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chema Description" state="visible" r:id="rId4"/>
    <sheet sheetId="2" name="Data Entry" state="visible" r:id="rId5"/>
    <sheet sheetId="3" name="Schema conformant data" state="visible" r:id="rId6"/>
  </sheets>
  <calcPr calcId="171027"/>
</workbook>
</file>

<file path=xl/sharedStrings.xml><?xml version="1.0" encoding="utf-8"?>
<sst xmlns="http://schemas.openxmlformats.org/spreadsheetml/2006/main" count="1784" uniqueCount="271">
  <si>
    <t>CB: Classification</t>
  </si>
  <si>
    <t>CB: Attribute Name</t>
  </si>
  <si>
    <t>CB: Attribute Type</t>
  </si>
  <si>
    <t>CB: Flagged Attribute</t>
  </si>
  <si>
    <t>OL: Character Encoding</t>
  </si>
  <si>
    <t>OL: Format</t>
  </si>
  <si>
    <t>CRDC:RDF40</t>
  </si>
  <si>
    <t>ADAPTIVE...High_1290_R1_001..GE....Chromosome</t>
  </si>
  <si>
    <t>Text</t>
  </si>
  <si>
    <t/>
  </si>
  <si>
    <t>utf-8</t>
  </si>
  <si>
    <t>^[A-Za-z0-9_]*$</t>
  </si>
  <si>
    <t>ADAPTIVE...High_1290_R1_001..GE....Chromosome.region.end</t>
  </si>
  <si>
    <t>Numeric</t>
  </si>
  <si>
    <t>^\+?\d+$</t>
  </si>
  <si>
    <t>ADAPTIVE...High_1290_R1_001..GE....Chromosome.region.start</t>
  </si>
  <si>
    <t>ADAPTIVE...High_1290_R1_001..GE....Exon.length</t>
  </si>
  <si>
    <t>ADAPTIVE...High_1290_R1_001..GE....Exons</t>
  </si>
  <si>
    <t>ADAPTIVE...High_1290_R1_001..GE....Expression.values</t>
  </si>
  <si>
    <t>^[+-]?\d*\.?\d+$</t>
  </si>
  <si>
    <t>ADAPTIVE...High_1290_R1_001..GE....Gene.ID</t>
  </si>
  <si>
    <t>^ENSOARG\d{11}$</t>
  </si>
  <si>
    <t>ADAPTIVE...High_1290_R1_001..GE....Gene.name</t>
  </si>
  <si>
    <t>ADAPTIVE...High_1290_R1_001..GE....Normalized.expression.values</t>
  </si>
  <si>
    <t>ADAPTIVE...High_1290_R1_001..GE....RPKM</t>
  </si>
  <si>
    <t>ADAPTIVE...High_1290_R1_001..GE....Ratio.of.intron.to.total.gene.reads</t>
  </si>
  <si>
    <t>ADAPTIVE...High_1290_R1_001..GE....Ratio.of.unique.to.total..exon.reads.</t>
  </si>
  <si>
    <t>ADAPTIVE...High_1290_R1_001..GE....Total.exon.exon.reads</t>
  </si>
  <si>
    <t>ADAPTIVE...High_1290_R1_001..GE....Total.exon.reads</t>
  </si>
  <si>
    <t>ADAPTIVE...High_1290_R1_001..GE....Total.gene.reads</t>
  </si>
  <si>
    <t>ADAPTIVE...High_1290_R1_001..GE....Total.intron.reads</t>
  </si>
  <si>
    <t>ADAPTIVE...High_1290_R1_001..GE....Transcripts.annotated</t>
  </si>
  <si>
    <t>ADAPTIVE...High_1290_R1_001..GE....Transformed.values</t>
  </si>
  <si>
    <t>ADAPTIVE...High_1290_R1_001..GE....Unique.exon.exon.reads</t>
  </si>
  <si>
    <t>ADAPTIVE...High_1290_R1_001..GE....Unique.exon.reads</t>
  </si>
  <si>
    <t>ADAPTIVE...High_1290_R1_001..GE....Unique.gene.reads</t>
  </si>
  <si>
    <t>ADAPTIVE...High_1290_R1_001..GE....Unique.intron.reads</t>
  </si>
  <si>
    <t>ADAPTIVE...High_1290_R1_001..GE....Uniquely.identified.transcripts</t>
  </si>
  <si>
    <t>ADAPTIVE...High_2919_R1_001..GE....Chromosome</t>
  </si>
  <si>
    <t>ADAPTIVE...High_2919_R1_001..GE....Chromosome.region.end</t>
  </si>
  <si>
    <t>ADAPTIVE...High_2919_R1_001..GE....Chromosome.region.start</t>
  </si>
  <si>
    <t>ADAPTIVE...High_2919_R1_001..GE....Exon.length</t>
  </si>
  <si>
    <t>ADAPTIVE...High_2919_R1_001..GE....Exons</t>
  </si>
  <si>
    <t>ADAPTIVE...High_2919_R1_001..GE....Expression.values</t>
  </si>
  <si>
    <t>ADAPTIVE...High_2919_R1_001..GE....Gene.ID</t>
  </si>
  <si>
    <t>ADAPTIVE...High_2919_R1_001..GE....Gene.name</t>
  </si>
  <si>
    <t>ADAPTIVE...High_2919_R1_001..GE....Normalized.expression.values</t>
  </si>
  <si>
    <t>ADAPTIVE...High_2919_R1_001..GE....RPKM</t>
  </si>
  <si>
    <t>ADAPTIVE...High_2919_R1_001..GE....Ratio.of.intron.to.total.gene.reads</t>
  </si>
  <si>
    <t>ADAPTIVE...High_2919_R1_001..GE....Ratio.of.unique.to.total..exon.reads.</t>
  </si>
  <si>
    <t>ADAPTIVE...High_2919_R1_001..GE....Total.exon.exon.reads</t>
  </si>
  <si>
    <t>ADAPTIVE...High_2919_R1_001..GE....Total.exon.reads</t>
  </si>
  <si>
    <t>ADAPTIVE...High_2919_R1_001..GE....Total.gene.reads</t>
  </si>
  <si>
    <t>ADAPTIVE...High_2919_R1_001..GE....Total.intron.reads</t>
  </si>
  <si>
    <t>ADAPTIVE...High_2919_R1_001..GE....Transcripts.annotated</t>
  </si>
  <si>
    <t>ADAPTIVE...High_2919_R1_001..GE....Transformed.values</t>
  </si>
  <si>
    <t>ADAPTIVE...High_2919_R1_001..GE....Unique.exon.exon.reads</t>
  </si>
  <si>
    <t>ADAPTIVE...High_2919_R1_001..GE....Unique.exon.reads</t>
  </si>
  <si>
    <t>ADAPTIVE...High_2919_R1_001..GE....Unique.gene.reads</t>
  </si>
  <si>
    <t>ADAPTIVE...High_2919_R1_001..GE....Unique.intron.reads</t>
  </si>
  <si>
    <t>ADAPTIVE...High_2919_R1_001..GE....Uniquely.identified.transcripts</t>
  </si>
  <si>
    <t>ADAPTIVE...High_2957_R1_001..GE....Chromosome</t>
  </si>
  <si>
    <t>ADAPTIVE...High_2957_R1_001..GE....Chromosome.region.end</t>
  </si>
  <si>
    <t>ADAPTIVE...High_2957_R1_001..GE....Chromosome.region.start</t>
  </si>
  <si>
    <t>ADAPTIVE...High_2957_R1_001..GE....Exon.length</t>
  </si>
  <si>
    <t>ADAPTIVE...High_2957_R1_001..GE....Exons</t>
  </si>
  <si>
    <t>ADAPTIVE...High_2957_R1_001..GE....Expression.values</t>
  </si>
  <si>
    <t>ADAPTIVE...High_2957_R1_001..GE....Gene.ID</t>
  </si>
  <si>
    <t>ADAPTIVE...High_2957_R1_001..GE....Gene.name</t>
  </si>
  <si>
    <t>ADAPTIVE...High_2957_R1_001..GE....Normalized.expression.values</t>
  </si>
  <si>
    <t>ADAPTIVE...High_2957_R1_001..GE....RPKM</t>
  </si>
  <si>
    <t>ADAPTIVE...High_2957_R1_001..GE....Ratio.of.intron.to.total.gene.reads</t>
  </si>
  <si>
    <t>ADAPTIVE...High_2957_R1_001..GE....Ratio.of.unique.to.total..exon.reads.</t>
  </si>
  <si>
    <t>ADAPTIVE...High_2957_R1_001..GE....Total.exon.exon.reads</t>
  </si>
  <si>
    <t>ADAPTIVE...High_2957_R1_001..GE....Total.exon.reads</t>
  </si>
  <si>
    <t>ADAPTIVE...High_2957_R1_001..GE....Total.gene.reads</t>
  </si>
  <si>
    <t>ADAPTIVE...High_2957_R1_001..GE....Total.intron.reads</t>
  </si>
  <si>
    <t>ADAPTIVE...High_2957_R1_001..GE....Transcripts.annotated</t>
  </si>
  <si>
    <t>ADAPTIVE...High_2957_R1_001..GE....Transformed.values</t>
  </si>
  <si>
    <t>ADAPTIVE...High_2957_R1_001..GE....Unique.exon.exon.reads</t>
  </si>
  <si>
    <t>ADAPTIVE...High_2957_R1_001..GE....Unique.exon.reads</t>
  </si>
  <si>
    <t>ADAPTIVE...High_2957_R1_001..GE....Unique.gene.reads</t>
  </si>
  <si>
    <t>ADAPTIVE...High_2957_R1_001..GE....Unique.intron.reads</t>
  </si>
  <si>
    <t>ADAPTIVE...High_2957_R1_001..GE....Uniquely.identified.transcripts</t>
  </si>
  <si>
    <t>ADAPTIVE...High_2972_R1_001..GE....Chromosome</t>
  </si>
  <si>
    <t>ADAPTIVE...High_2972_R1_001..GE....Chromosome.region.end</t>
  </si>
  <si>
    <t>ADAPTIVE...High_2972_R1_001..GE....Chromosome.region.start</t>
  </si>
  <si>
    <t>ADAPTIVE...High_2972_R1_001..GE....Exon.length</t>
  </si>
  <si>
    <t>ADAPTIVE...High_2972_R1_001..GE....Exons</t>
  </si>
  <si>
    <t>ADAPTIVE...High_2972_R1_001..GE....Expression.values</t>
  </si>
  <si>
    <t>ADAPTIVE...High_2972_R1_001..GE....Gene.ID</t>
  </si>
  <si>
    <t>ADAPTIVE...High_2972_R1_001..GE....Gene.name</t>
  </si>
  <si>
    <t>ADAPTIVE...High_2972_R1_001..GE....Normalized.expression.values</t>
  </si>
  <si>
    <t>ADAPTIVE...High_2972_R1_001..GE....RPKM</t>
  </si>
  <si>
    <t>ADAPTIVE...High_2972_R1_001..GE....Ratio.of.intron.to.total.gene.reads</t>
  </si>
  <si>
    <t>ADAPTIVE...High_2972_R1_001..GE....Ratio.of.unique.to.total..exon.reads.</t>
  </si>
  <si>
    <t>ADAPTIVE...High_2972_R1_001..GE....Total.exon.exon.reads</t>
  </si>
  <si>
    <t>ADAPTIVE...High_2972_R1_001..GE....Total.exon.reads</t>
  </si>
  <si>
    <t>ADAPTIVE...High_2972_R1_001..GE....Total.gene.reads</t>
  </si>
  <si>
    <t>ADAPTIVE...High_2972_R1_001..GE....Total.intron.reads</t>
  </si>
  <si>
    <t>ADAPTIVE...High_2972_R1_001..GE....Transcripts.annotated</t>
  </si>
  <si>
    <t>ADAPTIVE...High_2972_R1_001..GE....Transformed.values</t>
  </si>
  <si>
    <t>ADAPTIVE...High_2972_R1_001..GE....Unique.exon.exon.reads</t>
  </si>
  <si>
    <t>ADAPTIVE...High_2972_R1_001..GE....Unique.exon.reads</t>
  </si>
  <si>
    <t>ADAPTIVE...High_2972_R1_001..GE....Unique.gene.reads</t>
  </si>
  <si>
    <t>ADAPTIVE...High_2972_R1_001..GE....Unique.intron.reads</t>
  </si>
  <si>
    <t>ADAPTIVE...High_2972_R1_001..GE....Uniquely.identified.transcripts</t>
  </si>
  <si>
    <t>ADAPTIVE...High_3006_R1_001..GE....Chromosome</t>
  </si>
  <si>
    <t>ADAPTIVE...High_3006_R1_001..GE....Chromosome.region.end</t>
  </si>
  <si>
    <t>ADAPTIVE...High_3006_R1_001..GE....Chromosome.region.start</t>
  </si>
  <si>
    <t>ADAPTIVE...High_3006_R1_001..GE....Exon.length</t>
  </si>
  <si>
    <t>ADAPTIVE...High_3006_R1_001..GE....Exons</t>
  </si>
  <si>
    <t>ADAPTIVE...High_3006_R1_001..GE....Expression.values</t>
  </si>
  <si>
    <t>ADAPTIVE...High_3006_R1_001..GE....Gene.ID</t>
  </si>
  <si>
    <t>ADAPTIVE...High_3006_R1_001..GE....Gene.name</t>
  </si>
  <si>
    <t>ADAPTIVE...High_3006_R1_001..GE....Normalized.expression.values</t>
  </si>
  <si>
    <t>ADAPTIVE...High_3006_R1_001..GE....RPKM</t>
  </si>
  <si>
    <t>ADAPTIVE...High_3006_R1_001..GE....Ratio.of.intron.to.total.gene.reads</t>
  </si>
  <si>
    <t>ADAPTIVE...High_3006_R1_001..GE....Ratio.of.unique.to.total..exon.reads.</t>
  </si>
  <si>
    <t>ADAPTIVE...High_3006_R1_001..GE....Total.exon.exon.reads</t>
  </si>
  <si>
    <t>ADAPTIVE...High_3006_R1_001..GE....Total.exon.reads</t>
  </si>
  <si>
    <t>ADAPTIVE...High_3006_R1_001..GE....Total.gene.reads</t>
  </si>
  <si>
    <t>ADAPTIVE...High_3006_R1_001..GE....Total.intron.reads</t>
  </si>
  <si>
    <t>ADAPTIVE...High_3006_R1_001..GE....Transcripts.annotated</t>
  </si>
  <si>
    <t>ADAPTIVE...High_3006_R1_001..GE....Transformed.values</t>
  </si>
  <si>
    <t>ADAPTIVE...High_3006_R1_001..GE....Unique.exon.exon.reads</t>
  </si>
  <si>
    <t>ADAPTIVE...High_3006_R1_001..GE....Unique.exon.reads</t>
  </si>
  <si>
    <t>ADAPTIVE...High_3006_R1_001..GE....Unique.gene.reads</t>
  </si>
  <si>
    <t>ADAPTIVE...High_3006_R1_001..GE....Unique.intron.reads</t>
  </si>
  <si>
    <t>ADAPTIVE...High_3006_R1_001..GE....Uniquely.identified.transcripts</t>
  </si>
  <si>
    <t>ADAPTIVE...Means</t>
  </si>
  <si>
    <t>ADAPTIVE...Normalized.means</t>
  </si>
  <si>
    <t>ADAPTIVE...Transformed.means</t>
  </si>
  <si>
    <t>EDGE.test..INNATE.vs.ADAPTIVE..tagwise.dispersions...Bonferroni</t>
  </si>
  <si>
    <t>EDGE.test..INNATE.vs.ADAPTIVE..tagwise.dispersions...FDR.p.value.correction</t>
  </si>
  <si>
    <t>EDGE.test..INNATE.vs.ADAPTIVE..tagwise.dispersions...Fold.change</t>
  </si>
  <si>
    <t>EDGE.test..INNATE.vs.ADAPTIVE..tagwise.dispersions...P.value</t>
  </si>
  <si>
    <t>^(0(\.\d+)?|1(\.0+)?)$</t>
  </si>
  <si>
    <t>EDGE.test..INNATE.vs.ADAPTIVE..tagwise.dispersions...Weighted.difference</t>
  </si>
  <si>
    <t>Experiment...Difference..normalized.values.</t>
  </si>
  <si>
    <t>Experiment...Difference..original.values.</t>
  </si>
  <si>
    <t>Experiment...Difference..transformed.values.</t>
  </si>
  <si>
    <t>Experiment...Fold.Change..Transformed.values.</t>
  </si>
  <si>
    <t>Experiment...Fold.Change..normalized.values.</t>
  </si>
  <si>
    <t>Experiment...Fold.Change..original.values.</t>
  </si>
  <si>
    <t>Experiment...IQR..normalized.values.</t>
  </si>
  <si>
    <t>Experiment...IQR..original.values.</t>
  </si>
  <si>
    <t>Experiment...IQR..transformed.values.</t>
  </si>
  <si>
    <t>Experiment...Range..normalized.values.</t>
  </si>
  <si>
    <t>Experiment...Range..original.values.</t>
  </si>
  <si>
    <t>Experiment...Range..transformed.values.</t>
  </si>
  <si>
    <t>Feature.ID</t>
  </si>
  <si>
    <t>Y</t>
  </si>
  <si>
    <t>INNATE...High_1031_R1_001..GE....Chromosome</t>
  </si>
  <si>
    <t>INNATE...High_1031_R1_001..GE....Chromosome.region.end</t>
  </si>
  <si>
    <t>INNATE...High_1031_R1_001..GE....Chromosome.region.start</t>
  </si>
  <si>
    <t>INNATE...High_1031_R1_001..GE....Exon.length</t>
  </si>
  <si>
    <t>INNATE...High_1031_R1_001..GE....Exons</t>
  </si>
  <si>
    <t>INNATE...High_1031_R1_001..GE....Expression.values</t>
  </si>
  <si>
    <t>INNATE...High_1031_R1_001..GE....Gene.ID</t>
  </si>
  <si>
    <t>INNATE...High_1031_R1_001..GE....Gene.name</t>
  </si>
  <si>
    <t>INNATE...High_1031_R1_001..GE....Normalized.expression.values</t>
  </si>
  <si>
    <t>INNATE...High_1031_R1_001..GE....RPKM</t>
  </si>
  <si>
    <t>INNATE...High_1031_R1_001..GE....Ratio.of.intron.to.total.gene.reads</t>
  </si>
  <si>
    <t>INNATE...High_1031_R1_001..GE....Ratio.of.unique.to.total..exon.reads.</t>
  </si>
  <si>
    <t>INNATE...High_1031_R1_001..GE....Total.exon.exon.reads</t>
  </si>
  <si>
    <t>INNATE...High_1031_R1_001..GE....Total.exon.reads</t>
  </si>
  <si>
    <t>INNATE...High_1031_R1_001..GE....Total.gene.reads</t>
  </si>
  <si>
    <t>INNATE...High_1031_R1_001..GE....Total.intron.reads</t>
  </si>
  <si>
    <t>INNATE...High_1031_R1_001..GE....Transcripts.annotated</t>
  </si>
  <si>
    <t>INNATE...High_1031_R1_001..GE....Transformed.values</t>
  </si>
  <si>
    <t>INNATE...High_1031_R1_001..GE....Unique.exon.exon.reads</t>
  </si>
  <si>
    <t>INNATE...High_1031_R1_001..GE....Unique.exon.reads</t>
  </si>
  <si>
    <t>INNATE...High_1031_R1_001..GE....Unique.gene.reads</t>
  </si>
  <si>
    <t>INNATE...High_1031_R1_001..GE....Unique.intron.reads</t>
  </si>
  <si>
    <t>INNATE...High_1031_R1_001..GE....Uniquely.identified.transcripts</t>
  </si>
  <si>
    <t>INNATE...High_1059_R1_001..GE....Chromosome</t>
  </si>
  <si>
    <t>INNATE...High_1059_R1_001..GE....Chromosome.region.end</t>
  </si>
  <si>
    <t>INNATE...High_1059_R1_001..GE....Chromosome.region.start</t>
  </si>
  <si>
    <t>INNATE...High_1059_R1_001..GE....Exon.length</t>
  </si>
  <si>
    <t>INNATE...High_1059_R1_001..GE....Exons</t>
  </si>
  <si>
    <t>INNATE...High_1059_R1_001..GE....Expression.values</t>
  </si>
  <si>
    <t>INNATE...High_1059_R1_001..GE....Gene.ID</t>
  </si>
  <si>
    <t>INNATE...High_1059_R1_001..GE....Gene.name</t>
  </si>
  <si>
    <t>INNATE...High_1059_R1_001..GE....Normalized.expression.values</t>
  </si>
  <si>
    <t>INNATE...High_1059_R1_001..GE....RPKM</t>
  </si>
  <si>
    <t>INNATE...High_1059_R1_001..GE....Ratio.of.intron.to.total.gene.reads</t>
  </si>
  <si>
    <t>INNATE...High_1059_R1_001..GE....Ratio.of.unique.to.total..exon.reads.</t>
  </si>
  <si>
    <t>INNATE...High_1059_R1_001..GE....Total.exon.exon.reads</t>
  </si>
  <si>
    <t>INNATE...High_1059_R1_001..GE....Total.exon.reads</t>
  </si>
  <si>
    <t>INNATE...High_1059_R1_001..GE....Total.gene.reads</t>
  </si>
  <si>
    <t>INNATE...High_1059_R1_001..GE....Total.intron.reads</t>
  </si>
  <si>
    <t>INNATE...High_1059_R1_001..GE....Transcripts.annotated</t>
  </si>
  <si>
    <t>INNATE...High_1059_R1_001..GE....Transformed.values</t>
  </si>
  <si>
    <t>INNATE...High_1059_R1_001..GE....Unique.exon.exon.reads</t>
  </si>
  <si>
    <t>INNATE...High_1059_R1_001..GE....Unique.exon.reads</t>
  </si>
  <si>
    <t>INNATE...High_1059_R1_001..GE....Unique.gene.reads</t>
  </si>
  <si>
    <t>INNATE...High_1059_R1_001..GE....Unique.intron.reads</t>
  </si>
  <si>
    <t>INNATE...High_1059_R1_001..GE....Uniquely.identified.transcripts</t>
  </si>
  <si>
    <t>INNATE...High_1117_R1_001..GE....Chromosome</t>
  </si>
  <si>
    <t>INNATE...High_1117_R1_001..GE....Chromosome.region.end</t>
  </si>
  <si>
    <t>INNATE...High_1117_R1_001..GE....Chromosome.region.start</t>
  </si>
  <si>
    <t>INNATE...High_1117_R1_001..GE....Exon.length</t>
  </si>
  <si>
    <t>INNATE...High_1117_R1_001..GE....Exons</t>
  </si>
  <si>
    <t>INNATE...High_1117_R1_001..GE....Expression.values</t>
  </si>
  <si>
    <t>INNATE...High_1117_R1_001..GE....Gene.ID</t>
  </si>
  <si>
    <t>INNATE...High_1117_R1_001..GE....Gene.name</t>
  </si>
  <si>
    <t>INNATE...High_1117_R1_001..GE....Normalized.expression.values</t>
  </si>
  <si>
    <t>INNATE...High_1117_R1_001..GE....RPKM</t>
  </si>
  <si>
    <t>INNATE...High_1117_R1_001..GE....Ratio.of.intron.to.total.gene.reads</t>
  </si>
  <si>
    <t>INNATE...High_1117_R1_001..GE....Ratio.of.unique.to.total..exon.reads.</t>
  </si>
  <si>
    <t>INNATE...High_1117_R1_001..GE....Total.exon.exon.reads</t>
  </si>
  <si>
    <t>INNATE...High_1117_R1_001..GE....Total.exon.reads</t>
  </si>
  <si>
    <t>INNATE...High_1117_R1_001..GE....Total.gene.reads</t>
  </si>
  <si>
    <t>INNATE...High_1117_R1_001..GE....Total.intron.reads</t>
  </si>
  <si>
    <t>INNATE...High_1117_R1_001..GE....Transcripts.annotated</t>
  </si>
  <si>
    <t>INNATE...High_1117_R1_001..GE....Transformed.values</t>
  </si>
  <si>
    <t>INNATE...High_1117_R1_001..GE....Unique.exon.exon.reads</t>
  </si>
  <si>
    <t>INNATE...High_1117_R1_001..GE....Unique.exon.reads</t>
  </si>
  <si>
    <t>INNATE...High_1117_R1_001..GE....Unique.gene.reads</t>
  </si>
  <si>
    <t>INNATE...High_1117_R1_001..GE....Unique.intron.reads</t>
  </si>
  <si>
    <t>INNATE...High_1117_R1_001..GE....Uniquely.identified.transcripts</t>
  </si>
  <si>
    <t>INNATE...High_1186_R1_001..GE....Chromosome</t>
  </si>
  <si>
    <t>INNATE...High_1186_R1_001..GE....Chromosome.region.end</t>
  </si>
  <si>
    <t>INNATE...High_1186_R1_001..GE....Chromosome.region.start</t>
  </si>
  <si>
    <t>INNATE...High_1186_R1_001..GE....Exon.length</t>
  </si>
  <si>
    <t>INNATE...High_1186_R1_001..GE....Exons</t>
  </si>
  <si>
    <t>INNATE...High_1186_R1_001..GE....Expression.values</t>
  </si>
  <si>
    <t>INNATE...High_1186_R1_001..GE....Gene.ID</t>
  </si>
  <si>
    <t>INNATE...High_1186_R1_001..GE....Gene.name</t>
  </si>
  <si>
    <t>INNATE...High_1186_R1_001..GE....Normalized.expression.values</t>
  </si>
  <si>
    <t>INNATE...High_1186_R1_001..GE....RPKM</t>
  </si>
  <si>
    <t>INNATE...High_1186_R1_001..GE....Ratio.of.intron.to.total.gene.reads</t>
  </si>
  <si>
    <t>INNATE...High_1186_R1_001..GE....Ratio.of.unique.to.total..exon.reads.</t>
  </si>
  <si>
    <t>INNATE...High_1186_R1_001..GE....Total.exon.exon.reads</t>
  </si>
  <si>
    <t>INNATE...High_1186_R1_001..GE....Total.exon.reads</t>
  </si>
  <si>
    <t>INNATE...High_1186_R1_001..GE....Total.gene.reads</t>
  </si>
  <si>
    <t>INNATE...High_1186_R1_001..GE....Total.intron.reads</t>
  </si>
  <si>
    <t>INNATE...High_1186_R1_001..GE....Transcripts.annotated</t>
  </si>
  <si>
    <t>INNATE...High_1186_R1_001..GE....Transformed.values</t>
  </si>
  <si>
    <t>INNATE...High_1186_R1_001..GE....Unique.exon.exon.reads</t>
  </si>
  <si>
    <t>INNATE...High_1186_R1_001..GE....Unique.exon.reads</t>
  </si>
  <si>
    <t>INNATE...High_1186_R1_001..GE....Unique.gene.reads</t>
  </si>
  <si>
    <t>INNATE...High_1186_R1_001..GE....Unique.intron.reads</t>
  </si>
  <si>
    <t>INNATE...High_1186_R1_001..GE....Uniquely.identified.transcripts</t>
  </si>
  <si>
    <t>INNATE...High_1246_R1_001..GE....Chromosome</t>
  </si>
  <si>
    <t>INNATE...High_1246_R1_001..GE....Chromosome.region.end</t>
  </si>
  <si>
    <t>INNATE...High_1246_R1_001..GE....Chromosome.region.start</t>
  </si>
  <si>
    <t>INNATE...High_1246_R1_001..GE....Exon.length</t>
  </si>
  <si>
    <t>INNATE...High_1246_R1_001..GE....Exons</t>
  </si>
  <si>
    <t>INNATE...High_1246_R1_001..GE....Expression.values</t>
  </si>
  <si>
    <t>INNATE...High_1246_R1_001..GE....Gene.ID</t>
  </si>
  <si>
    <t>INNATE...High_1246_R1_001..GE....Gene.name</t>
  </si>
  <si>
    <t>INNATE...High_1246_R1_001..GE....Normalized.expression.values</t>
  </si>
  <si>
    <t>INNATE...High_1246_R1_001..GE....RPKM</t>
  </si>
  <si>
    <t>INNATE...High_1246_R1_001..GE....Ratio.of.intron.to.total.gene.reads</t>
  </si>
  <si>
    <t>INNATE...High_1246_R1_001..GE....Ratio.of.unique.to.total..exon.reads.</t>
  </si>
  <si>
    <t>INNATE...High_1246_R1_001..GE....Total.exon.exon.reads</t>
  </si>
  <si>
    <t>INNATE...High_1246_R1_001..GE....Total.exon.reads</t>
  </si>
  <si>
    <t>INNATE...High_1246_R1_001..GE....Total.gene.reads</t>
  </si>
  <si>
    <t>INNATE...High_1246_R1_001..GE....Total.intron.reads</t>
  </si>
  <si>
    <t>INNATE...High_1246_R1_001..GE....Transcripts.annotated</t>
  </si>
  <si>
    <t>INNATE...High_1246_R1_001..GE....Transformed.values</t>
  </si>
  <si>
    <t>INNATE...High_1246_R1_001..GE....Unique.exon.exon.reads</t>
  </si>
  <si>
    <t>INNATE...High_1246_R1_001..GE....Unique.exon.reads</t>
  </si>
  <si>
    <t>INNATE...High_1246_R1_001..GE....Unique.gene.reads</t>
  </si>
  <si>
    <t>INNATE...High_1246_R1_001..GE....Unique.intron.reads</t>
  </si>
  <si>
    <t>INNATE...High_1246_R1_001..GE....Uniquely.identified.transcripts</t>
  </si>
  <si>
    <t>INNATE...Means</t>
  </si>
  <si>
    <t>INNATE...Normalized.means</t>
  </si>
  <si>
    <t>INNATE...Transformed.means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</si>
</sst>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0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E7E6E6"/>
      </patternFill>
    </fill>
  </fills>
  <borders count="4">
    <border>
      <left/>
      <right/>
      <top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2" fillId="2" borderId="2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5"/>
  <sheetFormatPr defaultRowHeight="15" outlineLevelRow="0" outlineLevelCol="0" x14ac:dyDescent="55"/>
  <cols>
    <col min="1" max="1" width="13" customWidth="1"/>
    <col min="2" max="2" width="17" customWidth="1"/>
    <col min="3" max="3" width="12.5" customWidth="1"/>
    <col min="4" max="4" width="17" customWidth="1"/>
    <col min="5" max="6" width="15" customWidth="1"/>
  </cols>
  <sheetData>
    <row r="1" ht="35" customHeight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 spans="1:6" x14ac:dyDescent="0.25">
      <c r="A3" s="3" t="s">
        <v>6</v>
      </c>
      <c r="B3" s="3" t="s">
        <v>12</v>
      </c>
      <c r="C3" s="3" t="s">
        <v>13</v>
      </c>
      <c r="D3" s="3" t="s">
        <v>9</v>
      </c>
      <c r="E3" s="3" t="s">
        <v>10</v>
      </c>
      <c r="F3" s="3" t="s">
        <v>14</v>
      </c>
    </row>
    <row r="4" spans="1:6" x14ac:dyDescent="0.25">
      <c r="A4" s="3" t="s">
        <v>6</v>
      </c>
      <c r="B4" s="3" t="s">
        <v>15</v>
      </c>
      <c r="C4" s="3" t="s">
        <v>13</v>
      </c>
      <c r="D4" s="3" t="s">
        <v>9</v>
      </c>
      <c r="E4" s="3" t="s">
        <v>10</v>
      </c>
      <c r="F4" s="3" t="s">
        <v>14</v>
      </c>
    </row>
    <row r="5" spans="1:6" x14ac:dyDescent="0.25">
      <c r="A5" s="3" t="s">
        <v>6</v>
      </c>
      <c r="B5" s="3" t="s">
        <v>16</v>
      </c>
      <c r="C5" s="3" t="s">
        <v>13</v>
      </c>
      <c r="D5" s="3" t="s">
        <v>9</v>
      </c>
      <c r="E5" s="3" t="s">
        <v>10</v>
      </c>
      <c r="F5" s="3" t="s">
        <v>14</v>
      </c>
    </row>
    <row r="6" spans="1:6" x14ac:dyDescent="0.25">
      <c r="A6" s="3" t="s">
        <v>6</v>
      </c>
      <c r="B6" s="3" t="s">
        <v>17</v>
      </c>
      <c r="C6" s="3" t="s">
        <v>13</v>
      </c>
      <c r="D6" s="3" t="s">
        <v>9</v>
      </c>
      <c r="E6" s="3" t="s">
        <v>10</v>
      </c>
      <c r="F6" s="3" t="s">
        <v>14</v>
      </c>
    </row>
    <row r="7" spans="1:6" x14ac:dyDescent="0.25">
      <c r="A7" s="3" t="s">
        <v>6</v>
      </c>
      <c r="B7" s="3" t="s">
        <v>18</v>
      </c>
      <c r="C7" s="3" t="s">
        <v>13</v>
      </c>
      <c r="D7" s="3" t="s">
        <v>9</v>
      </c>
      <c r="E7" s="3" t="s">
        <v>10</v>
      </c>
      <c r="F7" s="3" t="s">
        <v>19</v>
      </c>
    </row>
    <row r="8" spans="1:6" x14ac:dyDescent="0.25">
      <c r="A8" s="3" t="s">
        <v>6</v>
      </c>
      <c r="B8" s="3" t="s">
        <v>20</v>
      </c>
      <c r="C8" s="3" t="s">
        <v>8</v>
      </c>
      <c r="D8" s="3" t="s">
        <v>9</v>
      </c>
      <c r="E8" s="3" t="s">
        <v>10</v>
      </c>
      <c r="F8" s="3" t="s">
        <v>21</v>
      </c>
    </row>
    <row r="9" spans="1:6" x14ac:dyDescent="0.25">
      <c r="A9" s="3" t="s">
        <v>6</v>
      </c>
      <c r="B9" s="3" t="s">
        <v>22</v>
      </c>
      <c r="C9" s="3" t="s">
        <v>8</v>
      </c>
      <c r="D9" s="3" t="s">
        <v>9</v>
      </c>
      <c r="E9" s="3" t="s">
        <v>10</v>
      </c>
      <c r="F9" s="3" t="s">
        <v>21</v>
      </c>
    </row>
    <row r="10" spans="1:6" x14ac:dyDescent="0.25">
      <c r="A10" s="3" t="s">
        <v>6</v>
      </c>
      <c r="B10" s="3" t="s">
        <v>23</v>
      </c>
      <c r="C10" s="3" t="s">
        <v>13</v>
      </c>
      <c r="D10" s="3" t="s">
        <v>9</v>
      </c>
      <c r="E10" s="3" t="s">
        <v>10</v>
      </c>
      <c r="F10" s="3" t="s">
        <v>19</v>
      </c>
    </row>
    <row r="11" spans="1:6" x14ac:dyDescent="0.25">
      <c r="A11" s="3" t="s">
        <v>6</v>
      </c>
      <c r="B11" s="3" t="s">
        <v>24</v>
      </c>
      <c r="C11" s="3" t="s">
        <v>13</v>
      </c>
      <c r="D11" s="3" t="s">
        <v>9</v>
      </c>
      <c r="E11" s="3" t="s">
        <v>10</v>
      </c>
      <c r="F11" s="3" t="s">
        <v>19</v>
      </c>
    </row>
    <row r="12" spans="1:6" x14ac:dyDescent="0.25">
      <c r="A12" s="3" t="s">
        <v>6</v>
      </c>
      <c r="B12" s="3" t="s">
        <v>25</v>
      </c>
      <c r="C12" s="3" t="s">
        <v>13</v>
      </c>
      <c r="D12" s="3" t="s">
        <v>9</v>
      </c>
      <c r="E12" s="3" t="s">
        <v>10</v>
      </c>
      <c r="F12" s="3" t="s">
        <v>19</v>
      </c>
    </row>
    <row r="13" spans="1:6" x14ac:dyDescent="0.25">
      <c r="A13" s="3" t="s">
        <v>6</v>
      </c>
      <c r="B13" s="3" t="s">
        <v>26</v>
      </c>
      <c r="C13" s="3" t="s">
        <v>13</v>
      </c>
      <c r="D13" s="3" t="s">
        <v>9</v>
      </c>
      <c r="E13" s="3" t="s">
        <v>10</v>
      </c>
      <c r="F13" s="3" t="s">
        <v>19</v>
      </c>
    </row>
    <row r="14" spans="1:6" x14ac:dyDescent="0.25">
      <c r="A14" s="3" t="s">
        <v>6</v>
      </c>
      <c r="B14" s="3" t="s">
        <v>27</v>
      </c>
      <c r="C14" s="3" t="s">
        <v>13</v>
      </c>
      <c r="D14" s="3" t="s">
        <v>9</v>
      </c>
      <c r="E14" s="3" t="s">
        <v>10</v>
      </c>
      <c r="F14" s="3" t="s">
        <v>14</v>
      </c>
    </row>
    <row r="15" spans="1:6" x14ac:dyDescent="0.25">
      <c r="A15" s="3" t="s">
        <v>6</v>
      </c>
      <c r="B15" s="3" t="s">
        <v>28</v>
      </c>
      <c r="C15" s="3" t="s">
        <v>13</v>
      </c>
      <c r="D15" s="3" t="s">
        <v>9</v>
      </c>
      <c r="E15" s="3" t="s">
        <v>10</v>
      </c>
      <c r="F15" s="3" t="s">
        <v>14</v>
      </c>
    </row>
    <row r="16" spans="1:6" x14ac:dyDescent="0.25">
      <c r="A16" s="3" t="s">
        <v>6</v>
      </c>
      <c r="B16" s="3" t="s">
        <v>29</v>
      </c>
      <c r="C16" s="3" t="s">
        <v>13</v>
      </c>
      <c r="D16" s="3" t="s">
        <v>9</v>
      </c>
      <c r="E16" s="3" t="s">
        <v>10</v>
      </c>
      <c r="F16" s="3" t="s">
        <v>14</v>
      </c>
    </row>
    <row r="17" spans="1:6" x14ac:dyDescent="0.25">
      <c r="A17" s="3" t="s">
        <v>6</v>
      </c>
      <c r="B17" s="3" t="s">
        <v>30</v>
      </c>
      <c r="C17" s="3" t="s">
        <v>13</v>
      </c>
      <c r="D17" s="3" t="s">
        <v>9</v>
      </c>
      <c r="E17" s="3" t="s">
        <v>10</v>
      </c>
      <c r="F17" s="3" t="s">
        <v>14</v>
      </c>
    </row>
    <row r="18" spans="1:6" x14ac:dyDescent="0.25">
      <c r="A18" s="3" t="s">
        <v>6</v>
      </c>
      <c r="B18" s="3" t="s">
        <v>31</v>
      </c>
      <c r="C18" s="3" t="s">
        <v>13</v>
      </c>
      <c r="D18" s="3" t="s">
        <v>9</v>
      </c>
      <c r="E18" s="3" t="s">
        <v>10</v>
      </c>
      <c r="F18" s="3" t="s">
        <v>14</v>
      </c>
    </row>
    <row r="19" spans="1:6" x14ac:dyDescent="0.25">
      <c r="A19" s="3" t="s">
        <v>6</v>
      </c>
      <c r="B19" s="3" t="s">
        <v>32</v>
      </c>
      <c r="C19" s="3" t="s">
        <v>13</v>
      </c>
      <c r="D19" s="3" t="s">
        <v>9</v>
      </c>
      <c r="E19" s="3" t="s">
        <v>10</v>
      </c>
      <c r="F19" s="3" t="s">
        <v>19</v>
      </c>
    </row>
    <row r="20" spans="1:6" x14ac:dyDescent="0.25">
      <c r="A20" s="3" t="s">
        <v>6</v>
      </c>
      <c r="B20" s="3" t="s">
        <v>33</v>
      </c>
      <c r="C20" s="3" t="s">
        <v>13</v>
      </c>
      <c r="D20" s="3" t="s">
        <v>9</v>
      </c>
      <c r="E20" s="3" t="s">
        <v>10</v>
      </c>
      <c r="F20" s="3" t="s">
        <v>14</v>
      </c>
    </row>
    <row r="21" spans="1:6" x14ac:dyDescent="0.25">
      <c r="A21" s="3" t="s">
        <v>6</v>
      </c>
      <c r="B21" s="3" t="s">
        <v>34</v>
      </c>
      <c r="C21" s="3" t="s">
        <v>13</v>
      </c>
      <c r="D21" s="3" t="s">
        <v>9</v>
      </c>
      <c r="E21" s="3" t="s">
        <v>10</v>
      </c>
      <c r="F21" s="3" t="s">
        <v>14</v>
      </c>
    </row>
    <row r="22" spans="1:6" x14ac:dyDescent="0.25">
      <c r="A22" s="3" t="s">
        <v>6</v>
      </c>
      <c r="B22" s="3" t="s">
        <v>35</v>
      </c>
      <c r="C22" s="3" t="s">
        <v>13</v>
      </c>
      <c r="D22" s="3" t="s">
        <v>9</v>
      </c>
      <c r="E22" s="3" t="s">
        <v>10</v>
      </c>
      <c r="F22" s="3" t="s">
        <v>14</v>
      </c>
    </row>
    <row r="23" spans="1:6" x14ac:dyDescent="0.25">
      <c r="A23" s="3" t="s">
        <v>6</v>
      </c>
      <c r="B23" s="3" t="s">
        <v>36</v>
      </c>
      <c r="C23" s="3" t="s">
        <v>13</v>
      </c>
      <c r="D23" s="3" t="s">
        <v>9</v>
      </c>
      <c r="E23" s="3" t="s">
        <v>10</v>
      </c>
      <c r="F23" s="3" t="s">
        <v>14</v>
      </c>
    </row>
    <row r="24" spans="1:6" x14ac:dyDescent="0.25">
      <c r="A24" s="3" t="s">
        <v>6</v>
      </c>
      <c r="B24" s="3" t="s">
        <v>37</v>
      </c>
      <c r="C24" s="3" t="s">
        <v>13</v>
      </c>
      <c r="D24" s="3" t="s">
        <v>9</v>
      </c>
      <c r="E24" s="3" t="s">
        <v>10</v>
      </c>
      <c r="F24" s="3" t="s">
        <v>14</v>
      </c>
    </row>
    <row r="25" spans="1:6" x14ac:dyDescent="0.25">
      <c r="A25" s="3" t="s">
        <v>6</v>
      </c>
      <c r="B25" s="3" t="s">
        <v>38</v>
      </c>
      <c r="C25" s="3" t="s">
        <v>8</v>
      </c>
      <c r="D25" s="3" t="s">
        <v>9</v>
      </c>
      <c r="E25" s="3" t="s">
        <v>10</v>
      </c>
      <c r="F25" s="3" t="s">
        <v>11</v>
      </c>
    </row>
    <row r="26" spans="1:6" x14ac:dyDescent="0.25">
      <c r="A26" s="3" t="s">
        <v>6</v>
      </c>
      <c r="B26" s="3" t="s">
        <v>39</v>
      </c>
      <c r="C26" s="3" t="s">
        <v>13</v>
      </c>
      <c r="D26" s="3" t="s">
        <v>9</v>
      </c>
      <c r="E26" s="3" t="s">
        <v>10</v>
      </c>
      <c r="F26" s="3" t="s">
        <v>14</v>
      </c>
    </row>
    <row r="27" spans="1:6" x14ac:dyDescent="0.25">
      <c r="A27" s="3" t="s">
        <v>6</v>
      </c>
      <c r="B27" s="3" t="s">
        <v>40</v>
      </c>
      <c r="C27" s="3" t="s">
        <v>13</v>
      </c>
      <c r="D27" s="3" t="s">
        <v>9</v>
      </c>
      <c r="E27" s="3" t="s">
        <v>10</v>
      </c>
      <c r="F27" s="3" t="s">
        <v>14</v>
      </c>
    </row>
    <row r="28" spans="1:6" x14ac:dyDescent="0.25">
      <c r="A28" s="3" t="s">
        <v>6</v>
      </c>
      <c r="B28" s="3" t="s">
        <v>41</v>
      </c>
      <c r="C28" s="3" t="s">
        <v>13</v>
      </c>
      <c r="D28" s="3" t="s">
        <v>9</v>
      </c>
      <c r="E28" s="3" t="s">
        <v>10</v>
      </c>
      <c r="F28" s="3" t="s">
        <v>14</v>
      </c>
    </row>
    <row r="29" spans="1:6" x14ac:dyDescent="0.25">
      <c r="A29" s="3" t="s">
        <v>6</v>
      </c>
      <c r="B29" s="3" t="s">
        <v>42</v>
      </c>
      <c r="C29" s="3" t="s">
        <v>13</v>
      </c>
      <c r="D29" s="3" t="s">
        <v>9</v>
      </c>
      <c r="E29" s="3" t="s">
        <v>10</v>
      </c>
      <c r="F29" s="3" t="s">
        <v>14</v>
      </c>
    </row>
    <row r="30" spans="1:6" x14ac:dyDescent="0.25">
      <c r="A30" s="3" t="s">
        <v>6</v>
      </c>
      <c r="B30" s="3" t="s">
        <v>43</v>
      </c>
      <c r="C30" s="3" t="s">
        <v>13</v>
      </c>
      <c r="D30" s="3" t="s">
        <v>9</v>
      </c>
      <c r="E30" s="3" t="s">
        <v>10</v>
      </c>
      <c r="F30" s="3" t="s">
        <v>19</v>
      </c>
    </row>
    <row r="31" spans="1:6" x14ac:dyDescent="0.25">
      <c r="A31" s="3" t="s">
        <v>6</v>
      </c>
      <c r="B31" s="3" t="s">
        <v>44</v>
      </c>
      <c r="C31" s="3" t="s">
        <v>8</v>
      </c>
      <c r="D31" s="3" t="s">
        <v>9</v>
      </c>
      <c r="E31" s="3" t="s">
        <v>10</v>
      </c>
      <c r="F31" s="3" t="s">
        <v>21</v>
      </c>
    </row>
    <row r="32" spans="1:6" x14ac:dyDescent="0.25">
      <c r="A32" s="3" t="s">
        <v>6</v>
      </c>
      <c r="B32" s="3" t="s">
        <v>45</v>
      </c>
      <c r="C32" s="3" t="s">
        <v>8</v>
      </c>
      <c r="D32" s="3" t="s">
        <v>9</v>
      </c>
      <c r="E32" s="3" t="s">
        <v>10</v>
      </c>
      <c r="F32" s="3" t="s">
        <v>21</v>
      </c>
    </row>
    <row r="33" spans="1:6" x14ac:dyDescent="0.25">
      <c r="A33" s="3" t="s">
        <v>6</v>
      </c>
      <c r="B33" s="3" t="s">
        <v>46</v>
      </c>
      <c r="C33" s="3" t="s">
        <v>13</v>
      </c>
      <c r="D33" s="3" t="s">
        <v>9</v>
      </c>
      <c r="E33" s="3" t="s">
        <v>10</v>
      </c>
      <c r="F33" s="3" t="s">
        <v>19</v>
      </c>
    </row>
    <row r="34" spans="1:6" x14ac:dyDescent="0.25">
      <c r="A34" s="3" t="s">
        <v>6</v>
      </c>
      <c r="B34" s="3" t="s">
        <v>47</v>
      </c>
      <c r="C34" s="3" t="s">
        <v>13</v>
      </c>
      <c r="D34" s="3" t="s">
        <v>9</v>
      </c>
      <c r="E34" s="3" t="s">
        <v>10</v>
      </c>
      <c r="F34" s="3" t="s">
        <v>19</v>
      </c>
    </row>
    <row r="35" spans="1:6" x14ac:dyDescent="0.25">
      <c r="A35" s="3" t="s">
        <v>6</v>
      </c>
      <c r="B35" s="3" t="s">
        <v>48</v>
      </c>
      <c r="C35" s="3" t="s">
        <v>13</v>
      </c>
      <c r="D35" s="3" t="s">
        <v>9</v>
      </c>
      <c r="E35" s="3" t="s">
        <v>10</v>
      </c>
      <c r="F35" s="3" t="s">
        <v>19</v>
      </c>
    </row>
    <row r="36" spans="1:6" x14ac:dyDescent="0.25">
      <c r="A36" s="3" t="s">
        <v>6</v>
      </c>
      <c r="B36" s="3" t="s">
        <v>49</v>
      </c>
      <c r="C36" s="3" t="s">
        <v>13</v>
      </c>
      <c r="D36" s="3" t="s">
        <v>9</v>
      </c>
      <c r="E36" s="3" t="s">
        <v>10</v>
      </c>
      <c r="F36" s="3" t="s">
        <v>19</v>
      </c>
    </row>
    <row r="37" spans="1:6" x14ac:dyDescent="0.25">
      <c r="A37" s="3" t="s">
        <v>6</v>
      </c>
      <c r="B37" s="3" t="s">
        <v>50</v>
      </c>
      <c r="C37" s="3" t="s">
        <v>13</v>
      </c>
      <c r="D37" s="3" t="s">
        <v>9</v>
      </c>
      <c r="E37" s="3" t="s">
        <v>10</v>
      </c>
      <c r="F37" s="3" t="s">
        <v>14</v>
      </c>
    </row>
    <row r="38" spans="1:6" x14ac:dyDescent="0.25">
      <c r="A38" s="3" t="s">
        <v>6</v>
      </c>
      <c r="B38" s="3" t="s">
        <v>51</v>
      </c>
      <c r="C38" s="3" t="s">
        <v>13</v>
      </c>
      <c r="D38" s="3" t="s">
        <v>9</v>
      </c>
      <c r="E38" s="3" t="s">
        <v>10</v>
      </c>
      <c r="F38" s="3" t="s">
        <v>14</v>
      </c>
    </row>
    <row r="39" spans="1:6" x14ac:dyDescent="0.25">
      <c r="A39" s="3" t="s">
        <v>6</v>
      </c>
      <c r="B39" s="3" t="s">
        <v>52</v>
      </c>
      <c r="C39" s="3" t="s">
        <v>13</v>
      </c>
      <c r="D39" s="3" t="s">
        <v>9</v>
      </c>
      <c r="E39" s="3" t="s">
        <v>10</v>
      </c>
      <c r="F39" s="3" t="s">
        <v>14</v>
      </c>
    </row>
    <row r="40" spans="1:6" x14ac:dyDescent="0.25">
      <c r="A40" s="3" t="s">
        <v>6</v>
      </c>
      <c r="B40" s="3" t="s">
        <v>53</v>
      </c>
      <c r="C40" s="3" t="s">
        <v>13</v>
      </c>
      <c r="D40" s="3" t="s">
        <v>9</v>
      </c>
      <c r="E40" s="3" t="s">
        <v>10</v>
      </c>
      <c r="F40" s="3" t="s">
        <v>14</v>
      </c>
    </row>
    <row r="41" spans="1:6" x14ac:dyDescent="0.25">
      <c r="A41" s="3" t="s">
        <v>6</v>
      </c>
      <c r="B41" s="3" t="s">
        <v>54</v>
      </c>
      <c r="C41" s="3" t="s">
        <v>13</v>
      </c>
      <c r="D41" s="3" t="s">
        <v>9</v>
      </c>
      <c r="E41" s="3" t="s">
        <v>10</v>
      </c>
      <c r="F41" s="3" t="s">
        <v>14</v>
      </c>
    </row>
    <row r="42" spans="1:6" x14ac:dyDescent="0.25">
      <c r="A42" s="3" t="s">
        <v>6</v>
      </c>
      <c r="B42" s="3" t="s">
        <v>55</v>
      </c>
      <c r="C42" s="3" t="s">
        <v>13</v>
      </c>
      <c r="D42" s="3" t="s">
        <v>9</v>
      </c>
      <c r="E42" s="3" t="s">
        <v>10</v>
      </c>
      <c r="F42" s="3" t="s">
        <v>19</v>
      </c>
    </row>
    <row r="43" spans="1:6" x14ac:dyDescent="0.25">
      <c r="A43" s="3" t="s">
        <v>6</v>
      </c>
      <c r="B43" s="3" t="s">
        <v>56</v>
      </c>
      <c r="C43" s="3" t="s">
        <v>13</v>
      </c>
      <c r="D43" s="3" t="s">
        <v>9</v>
      </c>
      <c r="E43" s="3" t="s">
        <v>10</v>
      </c>
      <c r="F43" s="3" t="s">
        <v>14</v>
      </c>
    </row>
    <row r="44" spans="1:6" x14ac:dyDescent="0.25">
      <c r="A44" s="3" t="s">
        <v>6</v>
      </c>
      <c r="B44" s="3" t="s">
        <v>57</v>
      </c>
      <c r="C44" s="3" t="s">
        <v>13</v>
      </c>
      <c r="D44" s="3" t="s">
        <v>9</v>
      </c>
      <c r="E44" s="3" t="s">
        <v>10</v>
      </c>
      <c r="F44" s="3" t="s">
        <v>14</v>
      </c>
    </row>
    <row r="45" spans="1:6" x14ac:dyDescent="0.25">
      <c r="A45" s="3" t="s">
        <v>6</v>
      </c>
      <c r="B45" s="3" t="s">
        <v>58</v>
      </c>
      <c r="C45" s="3" t="s">
        <v>13</v>
      </c>
      <c r="D45" s="3" t="s">
        <v>9</v>
      </c>
      <c r="E45" s="3" t="s">
        <v>10</v>
      </c>
      <c r="F45" s="3" t="s">
        <v>14</v>
      </c>
    </row>
    <row r="46" spans="1:6" x14ac:dyDescent="0.25">
      <c r="A46" s="3" t="s">
        <v>6</v>
      </c>
      <c r="B46" s="3" t="s">
        <v>59</v>
      </c>
      <c r="C46" s="3" t="s">
        <v>13</v>
      </c>
      <c r="D46" s="3" t="s">
        <v>9</v>
      </c>
      <c r="E46" s="3" t="s">
        <v>10</v>
      </c>
      <c r="F46" s="3" t="s">
        <v>14</v>
      </c>
    </row>
    <row r="47" spans="1:6" x14ac:dyDescent="0.25">
      <c r="A47" s="3" t="s">
        <v>6</v>
      </c>
      <c r="B47" s="3" t="s">
        <v>60</v>
      </c>
      <c r="C47" s="3" t="s">
        <v>13</v>
      </c>
      <c r="D47" s="3" t="s">
        <v>9</v>
      </c>
      <c r="E47" s="3" t="s">
        <v>10</v>
      </c>
      <c r="F47" s="3" t="s">
        <v>14</v>
      </c>
    </row>
    <row r="48" spans="1:6" x14ac:dyDescent="0.25">
      <c r="A48" s="3" t="s">
        <v>6</v>
      </c>
      <c r="B48" s="3" t="s">
        <v>61</v>
      </c>
      <c r="C48" s="3" t="s">
        <v>8</v>
      </c>
      <c r="D48" s="3" t="s">
        <v>9</v>
      </c>
      <c r="E48" s="3" t="s">
        <v>10</v>
      </c>
      <c r="F48" s="3" t="s">
        <v>11</v>
      </c>
    </row>
    <row r="49" spans="1:6" x14ac:dyDescent="0.25">
      <c r="A49" s="3" t="s">
        <v>6</v>
      </c>
      <c r="B49" s="3" t="s">
        <v>62</v>
      </c>
      <c r="C49" s="3" t="s">
        <v>13</v>
      </c>
      <c r="D49" s="3" t="s">
        <v>9</v>
      </c>
      <c r="E49" s="3" t="s">
        <v>10</v>
      </c>
      <c r="F49" s="3" t="s">
        <v>14</v>
      </c>
    </row>
    <row r="50" spans="1:6" x14ac:dyDescent="0.25">
      <c r="A50" s="3" t="s">
        <v>6</v>
      </c>
      <c r="B50" s="3" t="s">
        <v>63</v>
      </c>
      <c r="C50" s="3" t="s">
        <v>13</v>
      </c>
      <c r="D50" s="3" t="s">
        <v>9</v>
      </c>
      <c r="E50" s="3" t="s">
        <v>10</v>
      </c>
      <c r="F50" s="3" t="s">
        <v>14</v>
      </c>
    </row>
    <row r="51" spans="1:6" x14ac:dyDescent="0.25">
      <c r="A51" s="3" t="s">
        <v>6</v>
      </c>
      <c r="B51" s="3" t="s">
        <v>64</v>
      </c>
      <c r="C51" s="3" t="s">
        <v>13</v>
      </c>
      <c r="D51" s="3" t="s">
        <v>9</v>
      </c>
      <c r="E51" s="3" t="s">
        <v>10</v>
      </c>
      <c r="F51" s="3" t="s">
        <v>14</v>
      </c>
    </row>
    <row r="52" spans="1:6" x14ac:dyDescent="0.25">
      <c r="A52" s="3" t="s">
        <v>6</v>
      </c>
      <c r="B52" s="3" t="s">
        <v>65</v>
      </c>
      <c r="C52" s="3" t="s">
        <v>13</v>
      </c>
      <c r="D52" s="3" t="s">
        <v>9</v>
      </c>
      <c r="E52" s="3" t="s">
        <v>10</v>
      </c>
      <c r="F52" s="3" t="s">
        <v>14</v>
      </c>
    </row>
    <row r="53" spans="1:6" x14ac:dyDescent="0.25">
      <c r="A53" s="3" t="s">
        <v>6</v>
      </c>
      <c r="B53" s="3" t="s">
        <v>66</v>
      </c>
      <c r="C53" s="3" t="s">
        <v>13</v>
      </c>
      <c r="D53" s="3" t="s">
        <v>9</v>
      </c>
      <c r="E53" s="3" t="s">
        <v>10</v>
      </c>
      <c r="F53" s="3" t="s">
        <v>19</v>
      </c>
    </row>
    <row r="54" spans="1:6" x14ac:dyDescent="0.25">
      <c r="A54" s="3" t="s">
        <v>6</v>
      </c>
      <c r="B54" s="3" t="s">
        <v>67</v>
      </c>
      <c r="C54" s="3" t="s">
        <v>8</v>
      </c>
      <c r="D54" s="3" t="s">
        <v>9</v>
      </c>
      <c r="E54" s="3" t="s">
        <v>10</v>
      </c>
      <c r="F54" s="3" t="s">
        <v>21</v>
      </c>
    </row>
    <row r="55" spans="1:6" x14ac:dyDescent="0.25">
      <c r="A55" s="3" t="s">
        <v>6</v>
      </c>
      <c r="B55" s="3" t="s">
        <v>68</v>
      </c>
      <c r="C55" s="3" t="s">
        <v>8</v>
      </c>
      <c r="D55" s="3" t="s">
        <v>9</v>
      </c>
      <c r="E55" s="3" t="s">
        <v>10</v>
      </c>
      <c r="F55" s="3" t="s">
        <v>21</v>
      </c>
    </row>
    <row r="56" spans="1:6" x14ac:dyDescent="0.25">
      <c r="A56" s="3" t="s">
        <v>6</v>
      </c>
      <c r="B56" s="3" t="s">
        <v>69</v>
      </c>
      <c r="C56" s="3" t="s">
        <v>13</v>
      </c>
      <c r="D56" s="3" t="s">
        <v>9</v>
      </c>
      <c r="E56" s="3" t="s">
        <v>10</v>
      </c>
      <c r="F56" s="3" t="s">
        <v>19</v>
      </c>
    </row>
    <row r="57" spans="1:6" x14ac:dyDescent="0.25">
      <c r="A57" s="3" t="s">
        <v>6</v>
      </c>
      <c r="B57" s="3" t="s">
        <v>70</v>
      </c>
      <c r="C57" s="3" t="s">
        <v>13</v>
      </c>
      <c r="D57" s="3" t="s">
        <v>9</v>
      </c>
      <c r="E57" s="3" t="s">
        <v>10</v>
      </c>
      <c r="F57" s="3" t="s">
        <v>19</v>
      </c>
    </row>
    <row r="58" spans="1:6" x14ac:dyDescent="0.25">
      <c r="A58" s="3" t="s">
        <v>6</v>
      </c>
      <c r="B58" s="3" t="s">
        <v>71</v>
      </c>
      <c r="C58" s="3" t="s">
        <v>13</v>
      </c>
      <c r="D58" s="3" t="s">
        <v>9</v>
      </c>
      <c r="E58" s="3" t="s">
        <v>10</v>
      </c>
      <c r="F58" s="3" t="s">
        <v>19</v>
      </c>
    </row>
    <row r="59" spans="1:6" x14ac:dyDescent="0.25">
      <c r="A59" s="3" t="s">
        <v>6</v>
      </c>
      <c r="B59" s="3" t="s">
        <v>72</v>
      </c>
      <c r="C59" s="3" t="s">
        <v>13</v>
      </c>
      <c r="D59" s="3" t="s">
        <v>9</v>
      </c>
      <c r="E59" s="3" t="s">
        <v>10</v>
      </c>
      <c r="F59" s="3" t="s">
        <v>19</v>
      </c>
    </row>
    <row r="60" spans="1:6" x14ac:dyDescent="0.25">
      <c r="A60" s="3" t="s">
        <v>6</v>
      </c>
      <c r="B60" s="3" t="s">
        <v>73</v>
      </c>
      <c r="C60" s="3" t="s">
        <v>13</v>
      </c>
      <c r="D60" s="3" t="s">
        <v>9</v>
      </c>
      <c r="E60" s="3" t="s">
        <v>10</v>
      </c>
      <c r="F60" s="3" t="s">
        <v>14</v>
      </c>
    </row>
    <row r="61" spans="1:6" x14ac:dyDescent="0.25">
      <c r="A61" s="3" t="s">
        <v>6</v>
      </c>
      <c r="B61" s="3" t="s">
        <v>74</v>
      </c>
      <c r="C61" s="3" t="s">
        <v>13</v>
      </c>
      <c r="D61" s="3" t="s">
        <v>9</v>
      </c>
      <c r="E61" s="3" t="s">
        <v>10</v>
      </c>
      <c r="F61" s="3" t="s">
        <v>14</v>
      </c>
    </row>
    <row r="62" spans="1:6" x14ac:dyDescent="0.25">
      <c r="A62" s="3" t="s">
        <v>6</v>
      </c>
      <c r="B62" s="3" t="s">
        <v>75</v>
      </c>
      <c r="C62" s="3" t="s">
        <v>13</v>
      </c>
      <c r="D62" s="3" t="s">
        <v>9</v>
      </c>
      <c r="E62" s="3" t="s">
        <v>10</v>
      </c>
      <c r="F62" s="3" t="s">
        <v>14</v>
      </c>
    </row>
    <row r="63" spans="1:6" x14ac:dyDescent="0.25">
      <c r="A63" s="3" t="s">
        <v>6</v>
      </c>
      <c r="B63" s="3" t="s">
        <v>76</v>
      </c>
      <c r="C63" s="3" t="s">
        <v>13</v>
      </c>
      <c r="D63" s="3" t="s">
        <v>9</v>
      </c>
      <c r="E63" s="3" t="s">
        <v>10</v>
      </c>
      <c r="F63" s="3" t="s">
        <v>14</v>
      </c>
    </row>
    <row r="64" spans="1:6" x14ac:dyDescent="0.25">
      <c r="A64" s="3" t="s">
        <v>6</v>
      </c>
      <c r="B64" s="3" t="s">
        <v>77</v>
      </c>
      <c r="C64" s="3" t="s">
        <v>13</v>
      </c>
      <c r="D64" s="3" t="s">
        <v>9</v>
      </c>
      <c r="E64" s="3" t="s">
        <v>10</v>
      </c>
      <c r="F64" s="3" t="s">
        <v>14</v>
      </c>
    </row>
    <row r="65" spans="1:6" x14ac:dyDescent="0.25">
      <c r="A65" s="3" t="s">
        <v>6</v>
      </c>
      <c r="B65" s="3" t="s">
        <v>78</v>
      </c>
      <c r="C65" s="3" t="s">
        <v>13</v>
      </c>
      <c r="D65" s="3" t="s">
        <v>9</v>
      </c>
      <c r="E65" s="3" t="s">
        <v>10</v>
      </c>
      <c r="F65" s="3" t="s">
        <v>19</v>
      </c>
    </row>
    <row r="66" spans="1:6" x14ac:dyDescent="0.25">
      <c r="A66" s="3" t="s">
        <v>6</v>
      </c>
      <c r="B66" s="3" t="s">
        <v>79</v>
      </c>
      <c r="C66" s="3" t="s">
        <v>13</v>
      </c>
      <c r="D66" s="3" t="s">
        <v>9</v>
      </c>
      <c r="E66" s="3" t="s">
        <v>10</v>
      </c>
      <c r="F66" s="3" t="s">
        <v>14</v>
      </c>
    </row>
    <row r="67" spans="1:6" x14ac:dyDescent="0.25">
      <c r="A67" s="3" t="s">
        <v>6</v>
      </c>
      <c r="B67" s="3" t="s">
        <v>80</v>
      </c>
      <c r="C67" s="3" t="s">
        <v>13</v>
      </c>
      <c r="D67" s="3" t="s">
        <v>9</v>
      </c>
      <c r="E67" s="3" t="s">
        <v>10</v>
      </c>
      <c r="F67" s="3" t="s">
        <v>14</v>
      </c>
    </row>
    <row r="68" spans="1:6" x14ac:dyDescent="0.25">
      <c r="A68" s="3" t="s">
        <v>6</v>
      </c>
      <c r="B68" s="3" t="s">
        <v>81</v>
      </c>
      <c r="C68" s="3" t="s">
        <v>13</v>
      </c>
      <c r="D68" s="3" t="s">
        <v>9</v>
      </c>
      <c r="E68" s="3" t="s">
        <v>10</v>
      </c>
      <c r="F68" s="3" t="s">
        <v>14</v>
      </c>
    </row>
    <row r="69" spans="1:6" x14ac:dyDescent="0.25">
      <c r="A69" s="3" t="s">
        <v>6</v>
      </c>
      <c r="B69" s="3" t="s">
        <v>82</v>
      </c>
      <c r="C69" s="3" t="s">
        <v>13</v>
      </c>
      <c r="D69" s="3" t="s">
        <v>9</v>
      </c>
      <c r="E69" s="3" t="s">
        <v>10</v>
      </c>
      <c r="F69" s="3" t="s">
        <v>14</v>
      </c>
    </row>
    <row r="70" spans="1:6" x14ac:dyDescent="0.25">
      <c r="A70" s="3" t="s">
        <v>6</v>
      </c>
      <c r="B70" s="3" t="s">
        <v>83</v>
      </c>
      <c r="C70" s="3" t="s">
        <v>13</v>
      </c>
      <c r="D70" s="3" t="s">
        <v>9</v>
      </c>
      <c r="E70" s="3" t="s">
        <v>10</v>
      </c>
      <c r="F70" s="3" t="s">
        <v>14</v>
      </c>
    </row>
    <row r="71" spans="1:6" x14ac:dyDescent="0.25">
      <c r="A71" s="3" t="s">
        <v>6</v>
      </c>
      <c r="B71" s="3" t="s">
        <v>84</v>
      </c>
      <c r="C71" s="3" t="s">
        <v>8</v>
      </c>
      <c r="D71" s="3" t="s">
        <v>9</v>
      </c>
      <c r="E71" s="3" t="s">
        <v>10</v>
      </c>
      <c r="F71" s="3" t="s">
        <v>11</v>
      </c>
    </row>
    <row r="72" spans="1:6" x14ac:dyDescent="0.25">
      <c r="A72" s="3" t="s">
        <v>6</v>
      </c>
      <c r="B72" s="3" t="s">
        <v>85</v>
      </c>
      <c r="C72" s="3" t="s">
        <v>13</v>
      </c>
      <c r="D72" s="3" t="s">
        <v>9</v>
      </c>
      <c r="E72" s="3" t="s">
        <v>10</v>
      </c>
      <c r="F72" s="3" t="s">
        <v>14</v>
      </c>
    </row>
    <row r="73" spans="1:6" x14ac:dyDescent="0.25">
      <c r="A73" s="3" t="s">
        <v>6</v>
      </c>
      <c r="B73" s="3" t="s">
        <v>86</v>
      </c>
      <c r="C73" s="3" t="s">
        <v>13</v>
      </c>
      <c r="D73" s="3" t="s">
        <v>9</v>
      </c>
      <c r="E73" s="3" t="s">
        <v>10</v>
      </c>
      <c r="F73" s="3" t="s">
        <v>14</v>
      </c>
    </row>
    <row r="74" spans="1:6" x14ac:dyDescent="0.25">
      <c r="A74" s="3" t="s">
        <v>6</v>
      </c>
      <c r="B74" s="3" t="s">
        <v>87</v>
      </c>
      <c r="C74" s="3" t="s">
        <v>13</v>
      </c>
      <c r="D74" s="3" t="s">
        <v>9</v>
      </c>
      <c r="E74" s="3" t="s">
        <v>10</v>
      </c>
      <c r="F74" s="3" t="s">
        <v>14</v>
      </c>
    </row>
    <row r="75" spans="1:6" x14ac:dyDescent="0.25">
      <c r="A75" s="3" t="s">
        <v>6</v>
      </c>
      <c r="B75" s="3" t="s">
        <v>88</v>
      </c>
      <c r="C75" s="3" t="s">
        <v>13</v>
      </c>
      <c r="D75" s="3" t="s">
        <v>9</v>
      </c>
      <c r="E75" s="3" t="s">
        <v>10</v>
      </c>
      <c r="F75" s="3" t="s">
        <v>14</v>
      </c>
    </row>
    <row r="76" spans="1:6" x14ac:dyDescent="0.25">
      <c r="A76" s="3" t="s">
        <v>6</v>
      </c>
      <c r="B76" s="3" t="s">
        <v>89</v>
      </c>
      <c r="C76" s="3" t="s">
        <v>13</v>
      </c>
      <c r="D76" s="3" t="s">
        <v>9</v>
      </c>
      <c r="E76" s="3" t="s">
        <v>10</v>
      </c>
      <c r="F76" s="3" t="s">
        <v>19</v>
      </c>
    </row>
    <row r="77" spans="1:6" x14ac:dyDescent="0.25">
      <c r="A77" s="3" t="s">
        <v>6</v>
      </c>
      <c r="B77" s="3" t="s">
        <v>90</v>
      </c>
      <c r="C77" s="3" t="s">
        <v>8</v>
      </c>
      <c r="D77" s="3" t="s">
        <v>9</v>
      </c>
      <c r="E77" s="3" t="s">
        <v>10</v>
      </c>
      <c r="F77" s="3" t="s">
        <v>21</v>
      </c>
    </row>
    <row r="78" spans="1:6" x14ac:dyDescent="0.25">
      <c r="A78" s="3" t="s">
        <v>6</v>
      </c>
      <c r="B78" s="3" t="s">
        <v>91</v>
      </c>
      <c r="C78" s="3" t="s">
        <v>8</v>
      </c>
      <c r="D78" s="3" t="s">
        <v>9</v>
      </c>
      <c r="E78" s="3" t="s">
        <v>10</v>
      </c>
      <c r="F78" s="3" t="s">
        <v>21</v>
      </c>
    </row>
    <row r="79" spans="1:6" x14ac:dyDescent="0.25">
      <c r="A79" s="3" t="s">
        <v>6</v>
      </c>
      <c r="B79" s="3" t="s">
        <v>92</v>
      </c>
      <c r="C79" s="3" t="s">
        <v>13</v>
      </c>
      <c r="D79" s="3" t="s">
        <v>9</v>
      </c>
      <c r="E79" s="3" t="s">
        <v>10</v>
      </c>
      <c r="F79" s="3" t="s">
        <v>19</v>
      </c>
    </row>
    <row r="80" spans="1:6" x14ac:dyDescent="0.25">
      <c r="A80" s="3" t="s">
        <v>6</v>
      </c>
      <c r="B80" s="3" t="s">
        <v>93</v>
      </c>
      <c r="C80" s="3" t="s">
        <v>13</v>
      </c>
      <c r="D80" s="3" t="s">
        <v>9</v>
      </c>
      <c r="E80" s="3" t="s">
        <v>10</v>
      </c>
      <c r="F80" s="3" t="s">
        <v>19</v>
      </c>
    </row>
    <row r="81" spans="1:6" x14ac:dyDescent="0.25">
      <c r="A81" s="3" t="s">
        <v>6</v>
      </c>
      <c r="B81" s="3" t="s">
        <v>94</v>
      </c>
      <c r="C81" s="3" t="s">
        <v>13</v>
      </c>
      <c r="D81" s="3" t="s">
        <v>9</v>
      </c>
      <c r="E81" s="3" t="s">
        <v>10</v>
      </c>
      <c r="F81" s="3" t="s">
        <v>19</v>
      </c>
    </row>
    <row r="82" spans="1:6" x14ac:dyDescent="0.25">
      <c r="A82" s="3" t="s">
        <v>6</v>
      </c>
      <c r="B82" s="3" t="s">
        <v>95</v>
      </c>
      <c r="C82" s="3" t="s">
        <v>13</v>
      </c>
      <c r="D82" s="3" t="s">
        <v>9</v>
      </c>
      <c r="E82" s="3" t="s">
        <v>10</v>
      </c>
      <c r="F82" s="3" t="s">
        <v>19</v>
      </c>
    </row>
    <row r="83" spans="1:6" x14ac:dyDescent="0.25">
      <c r="A83" s="3" t="s">
        <v>6</v>
      </c>
      <c r="B83" s="3" t="s">
        <v>96</v>
      </c>
      <c r="C83" s="3" t="s">
        <v>13</v>
      </c>
      <c r="D83" s="3" t="s">
        <v>9</v>
      </c>
      <c r="E83" s="3" t="s">
        <v>10</v>
      </c>
      <c r="F83" s="3" t="s">
        <v>14</v>
      </c>
    </row>
    <row r="84" spans="1:6" x14ac:dyDescent="0.25">
      <c r="A84" s="3" t="s">
        <v>6</v>
      </c>
      <c r="B84" s="3" t="s">
        <v>97</v>
      </c>
      <c r="C84" s="3" t="s">
        <v>13</v>
      </c>
      <c r="D84" s="3" t="s">
        <v>9</v>
      </c>
      <c r="E84" s="3" t="s">
        <v>10</v>
      </c>
      <c r="F84" s="3" t="s">
        <v>14</v>
      </c>
    </row>
    <row r="85" spans="1:6" x14ac:dyDescent="0.25">
      <c r="A85" s="3" t="s">
        <v>6</v>
      </c>
      <c r="B85" s="3" t="s">
        <v>98</v>
      </c>
      <c r="C85" s="3" t="s">
        <v>13</v>
      </c>
      <c r="D85" s="3" t="s">
        <v>9</v>
      </c>
      <c r="E85" s="3" t="s">
        <v>10</v>
      </c>
      <c r="F85" s="3" t="s">
        <v>14</v>
      </c>
    </row>
    <row r="86" spans="1:6" x14ac:dyDescent="0.25">
      <c r="A86" s="3" t="s">
        <v>6</v>
      </c>
      <c r="B86" s="3" t="s">
        <v>99</v>
      </c>
      <c r="C86" s="3" t="s">
        <v>13</v>
      </c>
      <c r="D86" s="3" t="s">
        <v>9</v>
      </c>
      <c r="E86" s="3" t="s">
        <v>10</v>
      </c>
      <c r="F86" s="3" t="s">
        <v>14</v>
      </c>
    </row>
    <row r="87" spans="1:6" x14ac:dyDescent="0.25">
      <c r="A87" s="3" t="s">
        <v>6</v>
      </c>
      <c r="B87" s="3" t="s">
        <v>100</v>
      </c>
      <c r="C87" s="3" t="s">
        <v>13</v>
      </c>
      <c r="D87" s="3" t="s">
        <v>9</v>
      </c>
      <c r="E87" s="3" t="s">
        <v>10</v>
      </c>
      <c r="F87" s="3" t="s">
        <v>14</v>
      </c>
    </row>
    <row r="88" spans="1:6" x14ac:dyDescent="0.25">
      <c r="A88" s="3" t="s">
        <v>6</v>
      </c>
      <c r="B88" s="3" t="s">
        <v>101</v>
      </c>
      <c r="C88" s="3" t="s">
        <v>13</v>
      </c>
      <c r="D88" s="3" t="s">
        <v>9</v>
      </c>
      <c r="E88" s="3" t="s">
        <v>10</v>
      </c>
      <c r="F88" s="3" t="s">
        <v>19</v>
      </c>
    </row>
    <row r="89" spans="1:6" x14ac:dyDescent="0.25">
      <c r="A89" s="3" t="s">
        <v>6</v>
      </c>
      <c r="B89" s="3" t="s">
        <v>102</v>
      </c>
      <c r="C89" s="3" t="s">
        <v>13</v>
      </c>
      <c r="D89" s="3" t="s">
        <v>9</v>
      </c>
      <c r="E89" s="3" t="s">
        <v>10</v>
      </c>
      <c r="F89" s="3" t="s">
        <v>14</v>
      </c>
    </row>
    <row r="90" spans="1:6" x14ac:dyDescent="0.25">
      <c r="A90" s="3" t="s">
        <v>6</v>
      </c>
      <c r="B90" s="3" t="s">
        <v>103</v>
      </c>
      <c r="C90" s="3" t="s">
        <v>13</v>
      </c>
      <c r="D90" s="3" t="s">
        <v>9</v>
      </c>
      <c r="E90" s="3" t="s">
        <v>10</v>
      </c>
      <c r="F90" s="3" t="s">
        <v>14</v>
      </c>
    </row>
    <row r="91" spans="1:6" x14ac:dyDescent="0.25">
      <c r="A91" s="3" t="s">
        <v>6</v>
      </c>
      <c r="B91" s="3" t="s">
        <v>104</v>
      </c>
      <c r="C91" s="3" t="s">
        <v>13</v>
      </c>
      <c r="D91" s="3" t="s">
        <v>9</v>
      </c>
      <c r="E91" s="3" t="s">
        <v>10</v>
      </c>
      <c r="F91" s="3" t="s">
        <v>14</v>
      </c>
    </row>
    <row r="92" spans="1:6" x14ac:dyDescent="0.25">
      <c r="A92" s="3" t="s">
        <v>6</v>
      </c>
      <c r="B92" s="3" t="s">
        <v>105</v>
      </c>
      <c r="C92" s="3" t="s">
        <v>13</v>
      </c>
      <c r="D92" s="3" t="s">
        <v>9</v>
      </c>
      <c r="E92" s="3" t="s">
        <v>10</v>
      </c>
      <c r="F92" s="3" t="s">
        <v>14</v>
      </c>
    </row>
    <row r="93" spans="1:6" x14ac:dyDescent="0.25">
      <c r="A93" s="3" t="s">
        <v>6</v>
      </c>
      <c r="B93" s="3" t="s">
        <v>106</v>
      </c>
      <c r="C93" s="3" t="s">
        <v>13</v>
      </c>
      <c r="D93" s="3" t="s">
        <v>9</v>
      </c>
      <c r="E93" s="3" t="s">
        <v>10</v>
      </c>
      <c r="F93" s="3" t="s">
        <v>14</v>
      </c>
    </row>
    <row r="94" spans="1:6" x14ac:dyDescent="0.25">
      <c r="A94" s="3" t="s">
        <v>6</v>
      </c>
      <c r="B94" s="3" t="s">
        <v>107</v>
      </c>
      <c r="C94" s="3" t="s">
        <v>13</v>
      </c>
      <c r="D94" s="3" t="s">
        <v>9</v>
      </c>
      <c r="E94" s="3" t="s">
        <v>10</v>
      </c>
      <c r="F94" s="3" t="s">
        <v>11</v>
      </c>
    </row>
    <row r="95" spans="1:6" x14ac:dyDescent="0.25">
      <c r="A95" s="3" t="s">
        <v>6</v>
      </c>
      <c r="B95" s="3" t="s">
        <v>108</v>
      </c>
      <c r="C95" s="3" t="s">
        <v>13</v>
      </c>
      <c r="D95" s="3" t="s">
        <v>9</v>
      </c>
      <c r="E95" s="3" t="s">
        <v>10</v>
      </c>
      <c r="F95" s="3" t="s">
        <v>14</v>
      </c>
    </row>
    <row r="96" spans="1:6" x14ac:dyDescent="0.25">
      <c r="A96" s="3" t="s">
        <v>6</v>
      </c>
      <c r="B96" s="3" t="s">
        <v>109</v>
      </c>
      <c r="C96" s="3" t="s">
        <v>13</v>
      </c>
      <c r="D96" s="3" t="s">
        <v>9</v>
      </c>
      <c r="E96" s="3" t="s">
        <v>10</v>
      </c>
      <c r="F96" s="3" t="s">
        <v>14</v>
      </c>
    </row>
    <row r="97" spans="1:6" x14ac:dyDescent="0.25">
      <c r="A97" s="3" t="s">
        <v>6</v>
      </c>
      <c r="B97" s="3" t="s">
        <v>110</v>
      </c>
      <c r="C97" s="3" t="s">
        <v>13</v>
      </c>
      <c r="D97" s="3" t="s">
        <v>9</v>
      </c>
      <c r="E97" s="3" t="s">
        <v>10</v>
      </c>
      <c r="F97" s="3" t="s">
        <v>14</v>
      </c>
    </row>
    <row r="98" spans="1:6" x14ac:dyDescent="0.25">
      <c r="A98" s="3" t="s">
        <v>6</v>
      </c>
      <c r="B98" s="3" t="s">
        <v>111</v>
      </c>
      <c r="C98" s="3" t="s">
        <v>13</v>
      </c>
      <c r="D98" s="3" t="s">
        <v>9</v>
      </c>
      <c r="E98" s="3" t="s">
        <v>10</v>
      </c>
      <c r="F98" s="3" t="s">
        <v>14</v>
      </c>
    </row>
    <row r="99" spans="1:6" x14ac:dyDescent="0.25">
      <c r="A99" s="3" t="s">
        <v>6</v>
      </c>
      <c r="B99" s="3" t="s">
        <v>112</v>
      </c>
      <c r="C99" s="3" t="s">
        <v>13</v>
      </c>
      <c r="D99" s="3" t="s">
        <v>9</v>
      </c>
      <c r="E99" s="3" t="s">
        <v>10</v>
      </c>
      <c r="F99" s="3" t="s">
        <v>19</v>
      </c>
    </row>
    <row r="100" spans="1:6" x14ac:dyDescent="0.25">
      <c r="A100" s="3" t="s">
        <v>6</v>
      </c>
      <c r="B100" s="3" t="s">
        <v>113</v>
      </c>
      <c r="C100" s="3" t="s">
        <v>8</v>
      </c>
      <c r="D100" s="3" t="s">
        <v>9</v>
      </c>
      <c r="E100" s="3" t="s">
        <v>10</v>
      </c>
      <c r="F100" s="3" t="s">
        <v>21</v>
      </c>
    </row>
    <row r="101" spans="1:6" x14ac:dyDescent="0.25">
      <c r="A101" s="3" t="s">
        <v>6</v>
      </c>
      <c r="B101" s="3" t="s">
        <v>114</v>
      </c>
      <c r="C101" s="3" t="s">
        <v>8</v>
      </c>
      <c r="D101" s="3" t="s">
        <v>9</v>
      </c>
      <c r="E101" s="3" t="s">
        <v>10</v>
      </c>
      <c r="F101" s="3" t="s">
        <v>21</v>
      </c>
    </row>
    <row r="102" spans="1:6" x14ac:dyDescent="0.25">
      <c r="A102" s="3" t="s">
        <v>6</v>
      </c>
      <c r="B102" s="3" t="s">
        <v>115</v>
      </c>
      <c r="C102" s="3" t="s">
        <v>13</v>
      </c>
      <c r="D102" s="3" t="s">
        <v>9</v>
      </c>
      <c r="E102" s="3" t="s">
        <v>10</v>
      </c>
      <c r="F102" s="3" t="s">
        <v>19</v>
      </c>
    </row>
    <row r="103" spans="1:6" x14ac:dyDescent="0.25">
      <c r="A103" s="3" t="s">
        <v>6</v>
      </c>
      <c r="B103" s="3" t="s">
        <v>116</v>
      </c>
      <c r="C103" s="3" t="s">
        <v>13</v>
      </c>
      <c r="D103" s="3" t="s">
        <v>9</v>
      </c>
      <c r="E103" s="3" t="s">
        <v>10</v>
      </c>
      <c r="F103" s="3" t="s">
        <v>19</v>
      </c>
    </row>
    <row r="104" spans="1:6" x14ac:dyDescent="0.25">
      <c r="A104" s="3" t="s">
        <v>6</v>
      </c>
      <c r="B104" s="3" t="s">
        <v>117</v>
      </c>
      <c r="C104" s="3" t="s">
        <v>13</v>
      </c>
      <c r="D104" s="3" t="s">
        <v>9</v>
      </c>
      <c r="E104" s="3" t="s">
        <v>10</v>
      </c>
      <c r="F104" s="3" t="s">
        <v>19</v>
      </c>
    </row>
    <row r="105" spans="1:6" x14ac:dyDescent="0.25">
      <c r="A105" s="3" t="s">
        <v>6</v>
      </c>
      <c r="B105" s="3" t="s">
        <v>118</v>
      </c>
      <c r="C105" s="3" t="s">
        <v>13</v>
      </c>
      <c r="D105" s="3" t="s">
        <v>9</v>
      </c>
      <c r="E105" s="3" t="s">
        <v>10</v>
      </c>
      <c r="F105" s="3" t="s">
        <v>19</v>
      </c>
    </row>
    <row r="106" spans="1:6" x14ac:dyDescent="0.25">
      <c r="A106" s="3" t="s">
        <v>6</v>
      </c>
      <c r="B106" s="3" t="s">
        <v>119</v>
      </c>
      <c r="C106" s="3" t="s">
        <v>13</v>
      </c>
      <c r="D106" s="3" t="s">
        <v>9</v>
      </c>
      <c r="E106" s="3" t="s">
        <v>10</v>
      </c>
      <c r="F106" s="3" t="s">
        <v>14</v>
      </c>
    </row>
    <row r="107" spans="1:6" x14ac:dyDescent="0.25">
      <c r="A107" s="3" t="s">
        <v>6</v>
      </c>
      <c r="B107" s="3" t="s">
        <v>120</v>
      </c>
      <c r="C107" s="3" t="s">
        <v>13</v>
      </c>
      <c r="D107" s="3" t="s">
        <v>9</v>
      </c>
      <c r="E107" s="3" t="s">
        <v>10</v>
      </c>
      <c r="F107" s="3" t="s">
        <v>14</v>
      </c>
    </row>
    <row r="108" spans="1:6" x14ac:dyDescent="0.25">
      <c r="A108" s="3" t="s">
        <v>6</v>
      </c>
      <c r="B108" s="3" t="s">
        <v>121</v>
      </c>
      <c r="C108" s="3" t="s">
        <v>13</v>
      </c>
      <c r="D108" s="3" t="s">
        <v>9</v>
      </c>
      <c r="E108" s="3" t="s">
        <v>10</v>
      </c>
      <c r="F108" s="3" t="s">
        <v>14</v>
      </c>
    </row>
    <row r="109" spans="1:6" x14ac:dyDescent="0.25">
      <c r="A109" s="3" t="s">
        <v>6</v>
      </c>
      <c r="B109" s="3" t="s">
        <v>122</v>
      </c>
      <c r="C109" s="3" t="s">
        <v>13</v>
      </c>
      <c r="D109" s="3" t="s">
        <v>9</v>
      </c>
      <c r="E109" s="3" t="s">
        <v>10</v>
      </c>
      <c r="F109" s="3" t="s">
        <v>14</v>
      </c>
    </row>
    <row r="110" spans="1:6" x14ac:dyDescent="0.25">
      <c r="A110" s="3" t="s">
        <v>6</v>
      </c>
      <c r="B110" s="3" t="s">
        <v>123</v>
      </c>
      <c r="C110" s="3" t="s">
        <v>13</v>
      </c>
      <c r="D110" s="3" t="s">
        <v>9</v>
      </c>
      <c r="E110" s="3" t="s">
        <v>10</v>
      </c>
      <c r="F110" s="3" t="s">
        <v>14</v>
      </c>
    </row>
    <row r="111" spans="1:6" x14ac:dyDescent="0.25">
      <c r="A111" s="3" t="s">
        <v>6</v>
      </c>
      <c r="B111" s="3" t="s">
        <v>124</v>
      </c>
      <c r="C111" s="3" t="s">
        <v>13</v>
      </c>
      <c r="D111" s="3" t="s">
        <v>9</v>
      </c>
      <c r="E111" s="3" t="s">
        <v>10</v>
      </c>
      <c r="F111" s="3" t="s">
        <v>19</v>
      </c>
    </row>
    <row r="112" spans="1:6" x14ac:dyDescent="0.25">
      <c r="A112" s="3" t="s">
        <v>6</v>
      </c>
      <c r="B112" s="3" t="s">
        <v>125</v>
      </c>
      <c r="C112" s="3" t="s">
        <v>13</v>
      </c>
      <c r="D112" s="3" t="s">
        <v>9</v>
      </c>
      <c r="E112" s="3" t="s">
        <v>10</v>
      </c>
      <c r="F112" s="3" t="s">
        <v>14</v>
      </c>
    </row>
    <row r="113" spans="1:6" x14ac:dyDescent="0.25">
      <c r="A113" s="3" t="s">
        <v>6</v>
      </c>
      <c r="B113" s="3" t="s">
        <v>126</v>
      </c>
      <c r="C113" s="3" t="s">
        <v>13</v>
      </c>
      <c r="D113" s="3" t="s">
        <v>9</v>
      </c>
      <c r="E113" s="3" t="s">
        <v>10</v>
      </c>
      <c r="F113" s="3" t="s">
        <v>14</v>
      </c>
    </row>
    <row r="114" spans="1:6" x14ac:dyDescent="0.25">
      <c r="A114" s="3" t="s">
        <v>6</v>
      </c>
      <c r="B114" s="3" t="s">
        <v>127</v>
      </c>
      <c r="C114" s="3" t="s">
        <v>13</v>
      </c>
      <c r="D114" s="3" t="s">
        <v>9</v>
      </c>
      <c r="E114" s="3" t="s">
        <v>10</v>
      </c>
      <c r="F114" s="3" t="s">
        <v>14</v>
      </c>
    </row>
    <row r="115" spans="1:6" x14ac:dyDescent="0.25">
      <c r="A115" s="3" t="s">
        <v>6</v>
      </c>
      <c r="B115" s="3" t="s">
        <v>128</v>
      </c>
      <c r="C115" s="3" t="s">
        <v>13</v>
      </c>
      <c r="D115" s="3" t="s">
        <v>9</v>
      </c>
      <c r="E115" s="3" t="s">
        <v>10</v>
      </c>
      <c r="F115" s="3" t="s">
        <v>14</v>
      </c>
    </row>
    <row r="116" spans="1:6" x14ac:dyDescent="0.25">
      <c r="A116" s="3" t="s">
        <v>6</v>
      </c>
      <c r="B116" s="3" t="s">
        <v>129</v>
      </c>
      <c r="C116" s="3" t="s">
        <v>13</v>
      </c>
      <c r="D116" s="3" t="s">
        <v>9</v>
      </c>
      <c r="E116" s="3" t="s">
        <v>10</v>
      </c>
      <c r="F116" s="3" t="s">
        <v>14</v>
      </c>
    </row>
    <row r="117" spans="1:6" x14ac:dyDescent="0.25">
      <c r="A117" s="3" t="s">
        <v>6</v>
      </c>
      <c r="B117" s="3" t="s">
        <v>130</v>
      </c>
      <c r="C117" s="3" t="s">
        <v>13</v>
      </c>
      <c r="D117" s="3" t="s">
        <v>9</v>
      </c>
      <c r="E117" s="3" t="s">
        <v>10</v>
      </c>
      <c r="F117" s="3" t="s">
        <v>19</v>
      </c>
    </row>
    <row r="118" spans="1:6" x14ac:dyDescent="0.25">
      <c r="A118" s="3" t="s">
        <v>6</v>
      </c>
      <c r="B118" s="3" t="s">
        <v>131</v>
      </c>
      <c r="C118" s="3" t="s">
        <v>13</v>
      </c>
      <c r="D118" s="3" t="s">
        <v>9</v>
      </c>
      <c r="E118" s="3" t="s">
        <v>10</v>
      </c>
      <c r="F118" s="3" t="s">
        <v>19</v>
      </c>
    </row>
    <row r="119" spans="1:6" x14ac:dyDescent="0.25">
      <c r="A119" s="3" t="s">
        <v>6</v>
      </c>
      <c r="B119" s="3" t="s">
        <v>132</v>
      </c>
      <c r="C119" s="3" t="s">
        <v>13</v>
      </c>
      <c r="D119" s="3" t="s">
        <v>9</v>
      </c>
      <c r="E119" s="3" t="s">
        <v>10</v>
      </c>
      <c r="F119" s="3" t="s">
        <v>19</v>
      </c>
    </row>
    <row r="120" spans="1:6" x14ac:dyDescent="0.25">
      <c r="A120" s="3" t="s">
        <v>6</v>
      </c>
      <c r="B120" s="3" t="s">
        <v>133</v>
      </c>
      <c r="C120" s="3" t="s">
        <v>13</v>
      </c>
      <c r="D120" s="3" t="s">
        <v>9</v>
      </c>
      <c r="E120" s="3" t="s">
        <v>10</v>
      </c>
      <c r="F120" s="3" t="s">
        <v>19</v>
      </c>
    </row>
    <row r="121" spans="1:6" x14ac:dyDescent="0.25">
      <c r="A121" s="3" t="s">
        <v>6</v>
      </c>
      <c r="B121" s="3" t="s">
        <v>134</v>
      </c>
      <c r="C121" s="3" t="s">
        <v>13</v>
      </c>
      <c r="D121" s="3" t="s">
        <v>9</v>
      </c>
      <c r="E121" s="3" t="s">
        <v>10</v>
      </c>
      <c r="F121" s="3" t="s">
        <v>19</v>
      </c>
    </row>
    <row r="122" spans="1:6" x14ac:dyDescent="0.25">
      <c r="A122" s="3" t="s">
        <v>6</v>
      </c>
      <c r="B122" s="3" t="s">
        <v>135</v>
      </c>
      <c r="C122" s="3" t="s">
        <v>13</v>
      </c>
      <c r="D122" s="3" t="s">
        <v>9</v>
      </c>
      <c r="E122" s="3" t="s">
        <v>10</v>
      </c>
      <c r="F122" s="3" t="s">
        <v>19</v>
      </c>
    </row>
    <row r="123" spans="1:6" x14ac:dyDescent="0.25">
      <c r="A123" s="3" t="s">
        <v>6</v>
      </c>
      <c r="B123" s="3" t="s">
        <v>136</v>
      </c>
      <c r="C123" s="3" t="s">
        <v>13</v>
      </c>
      <c r="D123" s="3" t="s">
        <v>9</v>
      </c>
      <c r="E123" s="3" t="s">
        <v>10</v>
      </c>
      <c r="F123" s="3" t="s">
        <v>137</v>
      </c>
    </row>
    <row r="124" spans="1:6" x14ac:dyDescent="0.25">
      <c r="A124" s="3" t="s">
        <v>6</v>
      </c>
      <c r="B124" s="3" t="s">
        <v>138</v>
      </c>
      <c r="C124" s="3" t="s">
        <v>13</v>
      </c>
      <c r="D124" s="3" t="s">
        <v>9</v>
      </c>
      <c r="E124" s="3" t="s">
        <v>10</v>
      </c>
      <c r="F124" s="3" t="s">
        <v>19</v>
      </c>
    </row>
    <row r="125" spans="1:6" x14ac:dyDescent="0.25">
      <c r="A125" s="3" t="s">
        <v>6</v>
      </c>
      <c r="B125" s="3" t="s">
        <v>139</v>
      </c>
      <c r="C125" s="3" t="s">
        <v>13</v>
      </c>
      <c r="D125" s="3" t="s">
        <v>9</v>
      </c>
      <c r="E125" s="3" t="s">
        <v>10</v>
      </c>
      <c r="F125" s="3" t="s">
        <v>19</v>
      </c>
    </row>
    <row r="126" spans="1:6" x14ac:dyDescent="0.25">
      <c r="A126" s="3" t="s">
        <v>6</v>
      </c>
      <c r="B126" s="3" t="s">
        <v>140</v>
      </c>
      <c r="C126" s="3" t="s">
        <v>13</v>
      </c>
      <c r="D126" s="3" t="s">
        <v>9</v>
      </c>
      <c r="E126" s="3" t="s">
        <v>10</v>
      </c>
      <c r="F126" s="3" t="s">
        <v>19</v>
      </c>
    </row>
    <row r="127" spans="1:6" x14ac:dyDescent="0.25">
      <c r="A127" s="3" t="s">
        <v>6</v>
      </c>
      <c r="B127" s="3" t="s">
        <v>141</v>
      </c>
      <c r="C127" s="3" t="s">
        <v>13</v>
      </c>
      <c r="D127" s="3" t="s">
        <v>9</v>
      </c>
      <c r="E127" s="3" t="s">
        <v>10</v>
      </c>
      <c r="F127" s="3" t="s">
        <v>19</v>
      </c>
    </row>
    <row r="128" spans="1:6" x14ac:dyDescent="0.25">
      <c r="A128" s="3" t="s">
        <v>6</v>
      </c>
      <c r="B128" s="3" t="s">
        <v>142</v>
      </c>
      <c r="C128" s="3" t="s">
        <v>13</v>
      </c>
      <c r="D128" s="3" t="s">
        <v>9</v>
      </c>
      <c r="E128" s="3" t="s">
        <v>10</v>
      </c>
      <c r="F128" s="3" t="s">
        <v>19</v>
      </c>
    </row>
    <row r="129" spans="1:6" x14ac:dyDescent="0.25">
      <c r="A129" s="3" t="s">
        <v>6</v>
      </c>
      <c r="B129" s="3" t="s">
        <v>143</v>
      </c>
      <c r="C129" s="3" t="s">
        <v>13</v>
      </c>
      <c r="D129" s="3" t="s">
        <v>9</v>
      </c>
      <c r="E129" s="3" t="s">
        <v>10</v>
      </c>
      <c r="F129" s="3" t="s">
        <v>19</v>
      </c>
    </row>
    <row r="130" spans="1:6" x14ac:dyDescent="0.25">
      <c r="A130" s="3" t="s">
        <v>6</v>
      </c>
      <c r="B130" s="3" t="s">
        <v>144</v>
      </c>
      <c r="C130" s="3" t="s">
        <v>13</v>
      </c>
      <c r="D130" s="3" t="s">
        <v>9</v>
      </c>
      <c r="E130" s="3" t="s">
        <v>10</v>
      </c>
      <c r="F130" s="3" t="s">
        <v>19</v>
      </c>
    </row>
    <row r="131" spans="1:6" x14ac:dyDescent="0.25">
      <c r="A131" s="3" t="s">
        <v>6</v>
      </c>
      <c r="B131" s="3" t="s">
        <v>145</v>
      </c>
      <c r="C131" s="3" t="s">
        <v>13</v>
      </c>
      <c r="D131" s="3" t="s">
        <v>9</v>
      </c>
      <c r="E131" s="3" t="s">
        <v>10</v>
      </c>
      <c r="F131" s="3" t="s">
        <v>19</v>
      </c>
    </row>
    <row r="132" spans="1:6" x14ac:dyDescent="0.25">
      <c r="A132" s="3" t="s">
        <v>6</v>
      </c>
      <c r="B132" s="3" t="s">
        <v>146</v>
      </c>
      <c r="C132" s="3" t="s">
        <v>13</v>
      </c>
      <c r="D132" s="3" t="s">
        <v>9</v>
      </c>
      <c r="E132" s="3" t="s">
        <v>10</v>
      </c>
      <c r="F132" s="3" t="s">
        <v>19</v>
      </c>
    </row>
    <row r="133" spans="1:6" x14ac:dyDescent="0.25">
      <c r="A133" s="3" t="s">
        <v>6</v>
      </c>
      <c r="B133" s="3" t="s">
        <v>147</v>
      </c>
      <c r="C133" s="3" t="s">
        <v>13</v>
      </c>
      <c r="D133" s="3" t="s">
        <v>9</v>
      </c>
      <c r="E133" s="3" t="s">
        <v>10</v>
      </c>
      <c r="F133" s="3" t="s">
        <v>19</v>
      </c>
    </row>
    <row r="134" spans="1:6" x14ac:dyDescent="0.25">
      <c r="A134" s="3" t="s">
        <v>6</v>
      </c>
      <c r="B134" s="3" t="s">
        <v>148</v>
      </c>
      <c r="C134" s="3" t="s">
        <v>13</v>
      </c>
      <c r="D134" s="3" t="s">
        <v>9</v>
      </c>
      <c r="E134" s="3" t="s">
        <v>10</v>
      </c>
      <c r="F134" s="3" t="s">
        <v>19</v>
      </c>
    </row>
    <row r="135" spans="1:6" x14ac:dyDescent="0.25">
      <c r="A135" s="3" t="s">
        <v>6</v>
      </c>
      <c r="B135" s="3" t="s">
        <v>149</v>
      </c>
      <c r="C135" s="3" t="s">
        <v>13</v>
      </c>
      <c r="D135" s="3" t="s">
        <v>9</v>
      </c>
      <c r="E135" s="3" t="s">
        <v>10</v>
      </c>
      <c r="F135" s="3" t="s">
        <v>19</v>
      </c>
    </row>
    <row r="136" spans="1:6" x14ac:dyDescent="0.25">
      <c r="A136" s="3" t="s">
        <v>6</v>
      </c>
      <c r="B136" s="3" t="s">
        <v>150</v>
      </c>
      <c r="C136" s="3" t="s">
        <v>13</v>
      </c>
      <c r="D136" s="3" t="s">
        <v>9</v>
      </c>
      <c r="E136" s="3" t="s">
        <v>10</v>
      </c>
      <c r="F136" s="3" t="s">
        <v>19</v>
      </c>
    </row>
    <row r="137" spans="1:6" x14ac:dyDescent="0.25">
      <c r="A137" s="3" t="s">
        <v>6</v>
      </c>
      <c r="B137" s="3" t="s">
        <v>151</v>
      </c>
      <c r="C137" s="3" t="s">
        <v>8</v>
      </c>
      <c r="D137" s="3" t="s">
        <v>152</v>
      </c>
      <c r="E137" s="3" t="s">
        <v>10</v>
      </c>
      <c r="F137" s="3" t="s">
        <v>11</v>
      </c>
    </row>
    <row r="138" spans="1:6" x14ac:dyDescent="0.25">
      <c r="A138" s="3" t="s">
        <v>6</v>
      </c>
      <c r="B138" s="3" t="s">
        <v>153</v>
      </c>
      <c r="C138" s="3" t="s">
        <v>8</v>
      </c>
      <c r="D138" s="3" t="s">
        <v>9</v>
      </c>
      <c r="E138" s="3" t="s">
        <v>10</v>
      </c>
      <c r="F138" s="3" t="s">
        <v>11</v>
      </c>
    </row>
    <row r="139" spans="1:6" x14ac:dyDescent="0.25">
      <c r="A139" s="3" t="s">
        <v>6</v>
      </c>
      <c r="B139" s="3" t="s">
        <v>154</v>
      </c>
      <c r="C139" s="3" t="s">
        <v>13</v>
      </c>
      <c r="D139" s="3" t="s">
        <v>9</v>
      </c>
      <c r="E139" s="3" t="s">
        <v>10</v>
      </c>
      <c r="F139" s="3" t="s">
        <v>14</v>
      </c>
    </row>
    <row r="140" spans="1:6" x14ac:dyDescent="0.25">
      <c r="A140" s="3" t="s">
        <v>6</v>
      </c>
      <c r="B140" s="3" t="s">
        <v>155</v>
      </c>
      <c r="C140" s="3" t="s">
        <v>13</v>
      </c>
      <c r="D140" s="3" t="s">
        <v>9</v>
      </c>
      <c r="E140" s="3" t="s">
        <v>10</v>
      </c>
      <c r="F140" s="3" t="s">
        <v>14</v>
      </c>
    </row>
    <row r="141" spans="1:6" x14ac:dyDescent="0.25">
      <c r="A141" s="3" t="s">
        <v>6</v>
      </c>
      <c r="B141" s="3" t="s">
        <v>156</v>
      </c>
      <c r="C141" s="3" t="s">
        <v>13</v>
      </c>
      <c r="D141" s="3" t="s">
        <v>9</v>
      </c>
      <c r="E141" s="3" t="s">
        <v>10</v>
      </c>
      <c r="F141" s="3" t="s">
        <v>14</v>
      </c>
    </row>
    <row r="142" spans="1:6" x14ac:dyDescent="0.25">
      <c r="A142" s="3" t="s">
        <v>6</v>
      </c>
      <c r="B142" s="3" t="s">
        <v>157</v>
      </c>
      <c r="C142" s="3" t="s">
        <v>13</v>
      </c>
      <c r="D142" s="3" t="s">
        <v>9</v>
      </c>
      <c r="E142" s="3" t="s">
        <v>10</v>
      </c>
      <c r="F142" s="3" t="s">
        <v>14</v>
      </c>
    </row>
    <row r="143" spans="1:6" x14ac:dyDescent="0.25">
      <c r="A143" s="3" t="s">
        <v>6</v>
      </c>
      <c r="B143" s="3" t="s">
        <v>158</v>
      </c>
      <c r="C143" s="3" t="s">
        <v>13</v>
      </c>
      <c r="D143" s="3" t="s">
        <v>9</v>
      </c>
      <c r="E143" s="3" t="s">
        <v>10</v>
      </c>
      <c r="F143" s="3" t="s">
        <v>19</v>
      </c>
    </row>
    <row r="144" spans="1:6" x14ac:dyDescent="0.25">
      <c r="A144" s="3" t="s">
        <v>6</v>
      </c>
      <c r="B144" s="3" t="s">
        <v>159</v>
      </c>
      <c r="C144" s="3" t="s">
        <v>8</v>
      </c>
      <c r="D144" s="3" t="s">
        <v>9</v>
      </c>
      <c r="E144" s="3" t="s">
        <v>10</v>
      </c>
      <c r="F144" s="3" t="s">
        <v>21</v>
      </c>
    </row>
    <row r="145" spans="1:6" x14ac:dyDescent="0.25">
      <c r="A145" s="3" t="s">
        <v>6</v>
      </c>
      <c r="B145" s="3" t="s">
        <v>160</v>
      </c>
      <c r="C145" s="3" t="s">
        <v>8</v>
      </c>
      <c r="D145" s="3" t="s">
        <v>9</v>
      </c>
      <c r="E145" s="3" t="s">
        <v>10</v>
      </c>
      <c r="F145" s="3" t="s">
        <v>21</v>
      </c>
    </row>
    <row r="146" spans="1:6" x14ac:dyDescent="0.25">
      <c r="A146" s="3" t="s">
        <v>6</v>
      </c>
      <c r="B146" s="3" t="s">
        <v>161</v>
      </c>
      <c r="C146" s="3" t="s">
        <v>13</v>
      </c>
      <c r="D146" s="3" t="s">
        <v>9</v>
      </c>
      <c r="E146" s="3" t="s">
        <v>10</v>
      </c>
      <c r="F146" s="3" t="s">
        <v>19</v>
      </c>
    </row>
    <row r="147" spans="1:6" x14ac:dyDescent="0.25">
      <c r="A147" s="3" t="s">
        <v>6</v>
      </c>
      <c r="B147" s="3" t="s">
        <v>162</v>
      </c>
      <c r="C147" s="3" t="s">
        <v>13</v>
      </c>
      <c r="D147" s="3" t="s">
        <v>9</v>
      </c>
      <c r="E147" s="3" t="s">
        <v>10</v>
      </c>
      <c r="F147" s="3" t="s">
        <v>19</v>
      </c>
    </row>
    <row r="148" spans="1:6" x14ac:dyDescent="0.25">
      <c r="A148" s="3" t="s">
        <v>6</v>
      </c>
      <c r="B148" s="3" t="s">
        <v>163</v>
      </c>
      <c r="C148" s="3" t="s">
        <v>13</v>
      </c>
      <c r="D148" s="3" t="s">
        <v>9</v>
      </c>
      <c r="E148" s="3" t="s">
        <v>10</v>
      </c>
      <c r="F148" s="3" t="s">
        <v>19</v>
      </c>
    </row>
    <row r="149" spans="1:6" x14ac:dyDescent="0.25">
      <c r="A149" s="3" t="s">
        <v>6</v>
      </c>
      <c r="B149" s="3" t="s">
        <v>164</v>
      </c>
      <c r="C149" s="3" t="s">
        <v>13</v>
      </c>
      <c r="D149" s="3" t="s">
        <v>9</v>
      </c>
      <c r="E149" s="3" t="s">
        <v>10</v>
      </c>
      <c r="F149" s="3" t="s">
        <v>19</v>
      </c>
    </row>
    <row r="150" spans="1:6" x14ac:dyDescent="0.25">
      <c r="A150" s="3" t="s">
        <v>6</v>
      </c>
      <c r="B150" s="3" t="s">
        <v>165</v>
      </c>
      <c r="C150" s="3" t="s">
        <v>13</v>
      </c>
      <c r="D150" s="3" t="s">
        <v>9</v>
      </c>
      <c r="E150" s="3" t="s">
        <v>10</v>
      </c>
      <c r="F150" s="3" t="s">
        <v>14</v>
      </c>
    </row>
    <row r="151" spans="1:6" x14ac:dyDescent="0.25">
      <c r="A151" s="3" t="s">
        <v>6</v>
      </c>
      <c r="B151" s="3" t="s">
        <v>166</v>
      </c>
      <c r="C151" s="3" t="s">
        <v>13</v>
      </c>
      <c r="D151" s="3" t="s">
        <v>9</v>
      </c>
      <c r="E151" s="3" t="s">
        <v>10</v>
      </c>
      <c r="F151" s="3" t="s">
        <v>14</v>
      </c>
    </row>
    <row r="152" spans="1:6" x14ac:dyDescent="0.25">
      <c r="A152" s="3" t="s">
        <v>6</v>
      </c>
      <c r="B152" s="3" t="s">
        <v>167</v>
      </c>
      <c r="C152" s="3" t="s">
        <v>13</v>
      </c>
      <c r="D152" s="3" t="s">
        <v>9</v>
      </c>
      <c r="E152" s="3" t="s">
        <v>10</v>
      </c>
      <c r="F152" s="3" t="s">
        <v>14</v>
      </c>
    </row>
    <row r="153" spans="1:6" x14ac:dyDescent="0.25">
      <c r="A153" s="3" t="s">
        <v>6</v>
      </c>
      <c r="B153" s="3" t="s">
        <v>168</v>
      </c>
      <c r="C153" s="3" t="s">
        <v>13</v>
      </c>
      <c r="D153" s="3" t="s">
        <v>9</v>
      </c>
      <c r="E153" s="3" t="s">
        <v>10</v>
      </c>
      <c r="F153" s="3" t="s">
        <v>14</v>
      </c>
    </row>
    <row r="154" spans="1:6" x14ac:dyDescent="0.25">
      <c r="A154" s="3" t="s">
        <v>6</v>
      </c>
      <c r="B154" s="3" t="s">
        <v>169</v>
      </c>
      <c r="C154" s="3" t="s">
        <v>13</v>
      </c>
      <c r="D154" s="3" t="s">
        <v>9</v>
      </c>
      <c r="E154" s="3" t="s">
        <v>10</v>
      </c>
      <c r="F154" s="3" t="s">
        <v>14</v>
      </c>
    </row>
    <row r="155" spans="1:6" x14ac:dyDescent="0.25">
      <c r="A155" s="3" t="s">
        <v>6</v>
      </c>
      <c r="B155" s="3" t="s">
        <v>170</v>
      </c>
      <c r="C155" s="3" t="s">
        <v>13</v>
      </c>
      <c r="D155" s="3" t="s">
        <v>9</v>
      </c>
      <c r="E155" s="3" t="s">
        <v>10</v>
      </c>
      <c r="F155" s="3" t="s">
        <v>19</v>
      </c>
    </row>
    <row r="156" spans="1:6" x14ac:dyDescent="0.25">
      <c r="A156" s="3" t="s">
        <v>6</v>
      </c>
      <c r="B156" s="3" t="s">
        <v>171</v>
      </c>
      <c r="C156" s="3" t="s">
        <v>13</v>
      </c>
      <c r="D156" s="3" t="s">
        <v>9</v>
      </c>
      <c r="E156" s="3" t="s">
        <v>10</v>
      </c>
      <c r="F156" s="3" t="s">
        <v>14</v>
      </c>
    </row>
    <row r="157" spans="1:6" x14ac:dyDescent="0.25">
      <c r="A157" s="3" t="s">
        <v>6</v>
      </c>
      <c r="B157" s="3" t="s">
        <v>172</v>
      </c>
      <c r="C157" s="3" t="s">
        <v>13</v>
      </c>
      <c r="D157" s="3" t="s">
        <v>9</v>
      </c>
      <c r="E157" s="3" t="s">
        <v>10</v>
      </c>
      <c r="F157" s="3" t="s">
        <v>14</v>
      </c>
    </row>
    <row r="158" spans="1:6" x14ac:dyDescent="0.25">
      <c r="A158" s="3" t="s">
        <v>6</v>
      </c>
      <c r="B158" s="3" t="s">
        <v>173</v>
      </c>
      <c r="C158" s="3" t="s">
        <v>13</v>
      </c>
      <c r="D158" s="3" t="s">
        <v>9</v>
      </c>
      <c r="E158" s="3" t="s">
        <v>10</v>
      </c>
      <c r="F158" s="3" t="s">
        <v>14</v>
      </c>
    </row>
    <row r="159" spans="1:6" x14ac:dyDescent="0.25">
      <c r="A159" s="3" t="s">
        <v>6</v>
      </c>
      <c r="B159" s="3" t="s">
        <v>174</v>
      </c>
      <c r="C159" s="3" t="s">
        <v>13</v>
      </c>
      <c r="D159" s="3" t="s">
        <v>9</v>
      </c>
      <c r="E159" s="3" t="s">
        <v>10</v>
      </c>
      <c r="F159" s="3" t="s">
        <v>14</v>
      </c>
    </row>
    <row r="160" spans="1:6" x14ac:dyDescent="0.25">
      <c r="A160" s="3" t="s">
        <v>6</v>
      </c>
      <c r="B160" s="3" t="s">
        <v>175</v>
      </c>
      <c r="C160" s="3" t="s">
        <v>13</v>
      </c>
      <c r="D160" s="3" t="s">
        <v>9</v>
      </c>
      <c r="E160" s="3" t="s">
        <v>10</v>
      </c>
      <c r="F160" s="3" t="s">
        <v>14</v>
      </c>
    </row>
    <row r="161" spans="1:6" x14ac:dyDescent="0.25">
      <c r="A161" s="3" t="s">
        <v>6</v>
      </c>
      <c r="B161" s="3" t="s">
        <v>176</v>
      </c>
      <c r="C161" s="3" t="s">
        <v>8</v>
      </c>
      <c r="D161" s="3" t="s">
        <v>9</v>
      </c>
      <c r="E161" s="3" t="s">
        <v>10</v>
      </c>
      <c r="F161" s="3" t="s">
        <v>11</v>
      </c>
    </row>
    <row r="162" spans="1:6" x14ac:dyDescent="0.25">
      <c r="A162" s="3" t="s">
        <v>6</v>
      </c>
      <c r="B162" s="3" t="s">
        <v>177</v>
      </c>
      <c r="C162" s="3" t="s">
        <v>13</v>
      </c>
      <c r="D162" s="3" t="s">
        <v>9</v>
      </c>
      <c r="E162" s="3" t="s">
        <v>10</v>
      </c>
      <c r="F162" s="3" t="s">
        <v>14</v>
      </c>
    </row>
    <row r="163" spans="1:6" x14ac:dyDescent="0.25">
      <c r="A163" s="3" t="s">
        <v>6</v>
      </c>
      <c r="B163" s="3" t="s">
        <v>178</v>
      </c>
      <c r="C163" s="3" t="s">
        <v>13</v>
      </c>
      <c r="D163" s="3" t="s">
        <v>9</v>
      </c>
      <c r="E163" s="3" t="s">
        <v>10</v>
      </c>
      <c r="F163" s="3" t="s">
        <v>14</v>
      </c>
    </row>
    <row r="164" spans="1:6" x14ac:dyDescent="0.25">
      <c r="A164" s="3" t="s">
        <v>6</v>
      </c>
      <c r="B164" s="3" t="s">
        <v>179</v>
      </c>
      <c r="C164" s="3" t="s">
        <v>13</v>
      </c>
      <c r="D164" s="3" t="s">
        <v>9</v>
      </c>
      <c r="E164" s="3" t="s">
        <v>10</v>
      </c>
      <c r="F164" s="3" t="s">
        <v>14</v>
      </c>
    </row>
    <row r="165" spans="1:6" x14ac:dyDescent="0.25">
      <c r="A165" s="3" t="s">
        <v>6</v>
      </c>
      <c r="B165" s="3" t="s">
        <v>180</v>
      </c>
      <c r="C165" s="3" t="s">
        <v>13</v>
      </c>
      <c r="D165" s="3" t="s">
        <v>9</v>
      </c>
      <c r="E165" s="3" t="s">
        <v>10</v>
      </c>
      <c r="F165" s="3" t="s">
        <v>14</v>
      </c>
    </row>
    <row r="166" spans="1:6" x14ac:dyDescent="0.25">
      <c r="A166" s="3" t="s">
        <v>6</v>
      </c>
      <c r="B166" s="3" t="s">
        <v>181</v>
      </c>
      <c r="C166" s="3" t="s">
        <v>13</v>
      </c>
      <c r="D166" s="3" t="s">
        <v>9</v>
      </c>
      <c r="E166" s="3" t="s">
        <v>10</v>
      </c>
      <c r="F166" s="3" t="s">
        <v>19</v>
      </c>
    </row>
    <row r="167" spans="1:6" x14ac:dyDescent="0.25">
      <c r="A167" s="3" t="s">
        <v>6</v>
      </c>
      <c r="B167" s="3" t="s">
        <v>182</v>
      </c>
      <c r="C167" s="3" t="s">
        <v>8</v>
      </c>
      <c r="D167" s="3" t="s">
        <v>9</v>
      </c>
      <c r="E167" s="3" t="s">
        <v>10</v>
      </c>
      <c r="F167" s="3" t="s">
        <v>21</v>
      </c>
    </row>
    <row r="168" spans="1:6" x14ac:dyDescent="0.25">
      <c r="A168" s="3" t="s">
        <v>6</v>
      </c>
      <c r="B168" s="3" t="s">
        <v>183</v>
      </c>
      <c r="C168" s="3" t="s">
        <v>8</v>
      </c>
      <c r="D168" s="3" t="s">
        <v>9</v>
      </c>
      <c r="E168" s="3" t="s">
        <v>10</v>
      </c>
      <c r="F168" s="3" t="s">
        <v>21</v>
      </c>
    </row>
    <row r="169" spans="1:6" x14ac:dyDescent="0.25">
      <c r="A169" s="3" t="s">
        <v>6</v>
      </c>
      <c r="B169" s="3" t="s">
        <v>184</v>
      </c>
      <c r="C169" s="3" t="s">
        <v>13</v>
      </c>
      <c r="D169" s="3" t="s">
        <v>9</v>
      </c>
      <c r="E169" s="3" t="s">
        <v>10</v>
      </c>
      <c r="F169" s="3" t="s">
        <v>19</v>
      </c>
    </row>
    <row r="170" spans="1:6" x14ac:dyDescent="0.25">
      <c r="A170" s="3" t="s">
        <v>6</v>
      </c>
      <c r="B170" s="3" t="s">
        <v>185</v>
      </c>
      <c r="C170" s="3" t="s">
        <v>13</v>
      </c>
      <c r="D170" s="3" t="s">
        <v>9</v>
      </c>
      <c r="E170" s="3" t="s">
        <v>10</v>
      </c>
      <c r="F170" s="3" t="s">
        <v>19</v>
      </c>
    </row>
    <row r="171" spans="1:6" x14ac:dyDescent="0.25">
      <c r="A171" s="3" t="s">
        <v>6</v>
      </c>
      <c r="B171" s="3" t="s">
        <v>186</v>
      </c>
      <c r="C171" s="3" t="s">
        <v>13</v>
      </c>
      <c r="D171" s="3" t="s">
        <v>9</v>
      </c>
      <c r="E171" s="3" t="s">
        <v>10</v>
      </c>
      <c r="F171" s="3" t="s">
        <v>19</v>
      </c>
    </row>
    <row r="172" spans="1:6" x14ac:dyDescent="0.25">
      <c r="A172" s="3" t="s">
        <v>6</v>
      </c>
      <c r="B172" s="3" t="s">
        <v>187</v>
      </c>
      <c r="C172" s="3" t="s">
        <v>13</v>
      </c>
      <c r="D172" s="3" t="s">
        <v>9</v>
      </c>
      <c r="E172" s="3" t="s">
        <v>10</v>
      </c>
      <c r="F172" s="3" t="s">
        <v>19</v>
      </c>
    </row>
    <row r="173" spans="1:6" x14ac:dyDescent="0.25">
      <c r="A173" s="3" t="s">
        <v>6</v>
      </c>
      <c r="B173" s="3" t="s">
        <v>188</v>
      </c>
      <c r="C173" s="3" t="s">
        <v>13</v>
      </c>
      <c r="D173" s="3" t="s">
        <v>9</v>
      </c>
      <c r="E173" s="3" t="s">
        <v>10</v>
      </c>
      <c r="F173" s="3" t="s">
        <v>14</v>
      </c>
    </row>
    <row r="174" spans="1:6" x14ac:dyDescent="0.25">
      <c r="A174" s="3" t="s">
        <v>6</v>
      </c>
      <c r="B174" s="3" t="s">
        <v>189</v>
      </c>
      <c r="C174" s="3" t="s">
        <v>13</v>
      </c>
      <c r="D174" s="3" t="s">
        <v>9</v>
      </c>
      <c r="E174" s="3" t="s">
        <v>10</v>
      </c>
      <c r="F174" s="3" t="s">
        <v>14</v>
      </c>
    </row>
    <row r="175" spans="1:6" x14ac:dyDescent="0.25">
      <c r="A175" s="3" t="s">
        <v>6</v>
      </c>
      <c r="B175" s="3" t="s">
        <v>190</v>
      </c>
      <c r="C175" s="3" t="s">
        <v>13</v>
      </c>
      <c r="D175" s="3" t="s">
        <v>9</v>
      </c>
      <c r="E175" s="3" t="s">
        <v>10</v>
      </c>
      <c r="F175" s="3" t="s">
        <v>14</v>
      </c>
    </row>
    <row r="176" spans="1:6" x14ac:dyDescent="0.25">
      <c r="A176" s="3" t="s">
        <v>6</v>
      </c>
      <c r="B176" s="3" t="s">
        <v>191</v>
      </c>
      <c r="C176" s="3" t="s">
        <v>13</v>
      </c>
      <c r="D176" s="3" t="s">
        <v>9</v>
      </c>
      <c r="E176" s="3" t="s">
        <v>10</v>
      </c>
      <c r="F176" s="3" t="s">
        <v>14</v>
      </c>
    </row>
    <row r="177" spans="1:6" x14ac:dyDescent="0.25">
      <c r="A177" s="3" t="s">
        <v>6</v>
      </c>
      <c r="B177" s="3" t="s">
        <v>192</v>
      </c>
      <c r="C177" s="3" t="s">
        <v>13</v>
      </c>
      <c r="D177" s="3" t="s">
        <v>9</v>
      </c>
      <c r="E177" s="3" t="s">
        <v>10</v>
      </c>
      <c r="F177" s="3" t="s">
        <v>14</v>
      </c>
    </row>
    <row r="178" spans="1:6" x14ac:dyDescent="0.25">
      <c r="A178" s="3" t="s">
        <v>6</v>
      </c>
      <c r="B178" s="3" t="s">
        <v>193</v>
      </c>
      <c r="C178" s="3" t="s">
        <v>13</v>
      </c>
      <c r="D178" s="3" t="s">
        <v>9</v>
      </c>
      <c r="E178" s="3" t="s">
        <v>10</v>
      </c>
      <c r="F178" s="3" t="s">
        <v>19</v>
      </c>
    </row>
    <row r="179" spans="1:6" x14ac:dyDescent="0.25">
      <c r="A179" s="3" t="s">
        <v>6</v>
      </c>
      <c r="B179" s="3" t="s">
        <v>194</v>
      </c>
      <c r="C179" s="3" t="s">
        <v>13</v>
      </c>
      <c r="D179" s="3" t="s">
        <v>9</v>
      </c>
      <c r="E179" s="3" t="s">
        <v>10</v>
      </c>
      <c r="F179" s="3" t="s">
        <v>14</v>
      </c>
    </row>
    <row r="180" spans="1:6" x14ac:dyDescent="0.25">
      <c r="A180" s="3" t="s">
        <v>6</v>
      </c>
      <c r="B180" s="3" t="s">
        <v>195</v>
      </c>
      <c r="C180" s="3" t="s">
        <v>13</v>
      </c>
      <c r="D180" s="3" t="s">
        <v>9</v>
      </c>
      <c r="E180" s="3" t="s">
        <v>10</v>
      </c>
      <c r="F180" s="3" t="s">
        <v>14</v>
      </c>
    </row>
    <row r="181" spans="1:6" x14ac:dyDescent="0.25">
      <c r="A181" s="3" t="s">
        <v>6</v>
      </c>
      <c r="B181" s="3" t="s">
        <v>196</v>
      </c>
      <c r="C181" s="3" t="s">
        <v>13</v>
      </c>
      <c r="D181" s="3" t="s">
        <v>9</v>
      </c>
      <c r="E181" s="3" t="s">
        <v>10</v>
      </c>
      <c r="F181" s="3" t="s">
        <v>14</v>
      </c>
    </row>
    <row r="182" spans="1:6" x14ac:dyDescent="0.25">
      <c r="A182" s="3" t="s">
        <v>6</v>
      </c>
      <c r="B182" s="3" t="s">
        <v>197</v>
      </c>
      <c r="C182" s="3" t="s">
        <v>13</v>
      </c>
      <c r="D182" s="3" t="s">
        <v>9</v>
      </c>
      <c r="E182" s="3" t="s">
        <v>10</v>
      </c>
      <c r="F182" s="3" t="s">
        <v>14</v>
      </c>
    </row>
    <row r="183" spans="1:6" x14ac:dyDescent="0.25">
      <c r="A183" s="3" t="s">
        <v>6</v>
      </c>
      <c r="B183" s="3" t="s">
        <v>198</v>
      </c>
      <c r="C183" s="3" t="s">
        <v>13</v>
      </c>
      <c r="D183" s="3" t="s">
        <v>9</v>
      </c>
      <c r="E183" s="3" t="s">
        <v>10</v>
      </c>
      <c r="F183" s="3" t="s">
        <v>14</v>
      </c>
    </row>
    <row r="184" spans="1:6" x14ac:dyDescent="0.25">
      <c r="A184" s="3" t="s">
        <v>6</v>
      </c>
      <c r="B184" s="3" t="s">
        <v>199</v>
      </c>
      <c r="C184" s="3" t="s">
        <v>8</v>
      </c>
      <c r="D184" s="3" t="s">
        <v>9</v>
      </c>
      <c r="E184" s="3" t="s">
        <v>10</v>
      </c>
      <c r="F184" s="3" t="s">
        <v>11</v>
      </c>
    </row>
    <row r="185" spans="1:6" x14ac:dyDescent="0.25">
      <c r="A185" s="3" t="s">
        <v>6</v>
      </c>
      <c r="B185" s="3" t="s">
        <v>200</v>
      </c>
      <c r="C185" s="3" t="s">
        <v>13</v>
      </c>
      <c r="D185" s="3" t="s">
        <v>9</v>
      </c>
      <c r="E185" s="3" t="s">
        <v>10</v>
      </c>
      <c r="F185" s="3" t="s">
        <v>14</v>
      </c>
    </row>
    <row r="186" spans="1:6" x14ac:dyDescent="0.25">
      <c r="A186" s="3" t="s">
        <v>6</v>
      </c>
      <c r="B186" s="3" t="s">
        <v>201</v>
      </c>
      <c r="C186" s="3" t="s">
        <v>13</v>
      </c>
      <c r="D186" s="3" t="s">
        <v>9</v>
      </c>
      <c r="E186" s="3" t="s">
        <v>10</v>
      </c>
      <c r="F186" s="3" t="s">
        <v>14</v>
      </c>
    </row>
    <row r="187" spans="1:6" x14ac:dyDescent="0.25">
      <c r="A187" s="3" t="s">
        <v>6</v>
      </c>
      <c r="B187" s="3" t="s">
        <v>202</v>
      </c>
      <c r="C187" s="3" t="s">
        <v>13</v>
      </c>
      <c r="D187" s="3" t="s">
        <v>9</v>
      </c>
      <c r="E187" s="3" t="s">
        <v>10</v>
      </c>
      <c r="F187" s="3" t="s">
        <v>14</v>
      </c>
    </row>
    <row r="188" spans="1:6" x14ac:dyDescent="0.25">
      <c r="A188" s="3" t="s">
        <v>6</v>
      </c>
      <c r="B188" s="3" t="s">
        <v>203</v>
      </c>
      <c r="C188" s="3" t="s">
        <v>13</v>
      </c>
      <c r="D188" s="3" t="s">
        <v>9</v>
      </c>
      <c r="E188" s="3" t="s">
        <v>10</v>
      </c>
      <c r="F188" s="3" t="s">
        <v>14</v>
      </c>
    </row>
    <row r="189" spans="1:6" x14ac:dyDescent="0.25">
      <c r="A189" s="3" t="s">
        <v>6</v>
      </c>
      <c r="B189" s="3" t="s">
        <v>204</v>
      </c>
      <c r="C189" s="3" t="s">
        <v>13</v>
      </c>
      <c r="D189" s="3" t="s">
        <v>9</v>
      </c>
      <c r="E189" s="3" t="s">
        <v>10</v>
      </c>
      <c r="F189" s="3" t="s">
        <v>19</v>
      </c>
    </row>
    <row r="190" spans="1:6" x14ac:dyDescent="0.25">
      <c r="A190" s="3" t="s">
        <v>6</v>
      </c>
      <c r="B190" s="3" t="s">
        <v>205</v>
      </c>
      <c r="C190" s="3" t="s">
        <v>8</v>
      </c>
      <c r="D190" s="3" t="s">
        <v>9</v>
      </c>
      <c r="E190" s="3" t="s">
        <v>10</v>
      </c>
      <c r="F190" s="3" t="s">
        <v>21</v>
      </c>
    </row>
    <row r="191" spans="1:6" x14ac:dyDescent="0.25">
      <c r="A191" s="3" t="s">
        <v>6</v>
      </c>
      <c r="B191" s="3" t="s">
        <v>206</v>
      </c>
      <c r="C191" s="3" t="s">
        <v>8</v>
      </c>
      <c r="D191" s="3" t="s">
        <v>9</v>
      </c>
      <c r="E191" s="3" t="s">
        <v>10</v>
      </c>
      <c r="F191" s="3" t="s">
        <v>21</v>
      </c>
    </row>
    <row r="192" spans="1:6" x14ac:dyDescent="0.25">
      <c r="A192" s="3" t="s">
        <v>6</v>
      </c>
      <c r="B192" s="3" t="s">
        <v>207</v>
      </c>
      <c r="C192" s="3" t="s">
        <v>13</v>
      </c>
      <c r="D192" s="3" t="s">
        <v>9</v>
      </c>
      <c r="E192" s="3" t="s">
        <v>10</v>
      </c>
      <c r="F192" s="3" t="s">
        <v>19</v>
      </c>
    </row>
    <row r="193" spans="1:6" x14ac:dyDescent="0.25">
      <c r="A193" s="3" t="s">
        <v>6</v>
      </c>
      <c r="B193" s="3" t="s">
        <v>208</v>
      </c>
      <c r="C193" s="3" t="s">
        <v>13</v>
      </c>
      <c r="D193" s="3" t="s">
        <v>9</v>
      </c>
      <c r="E193" s="3" t="s">
        <v>10</v>
      </c>
      <c r="F193" s="3" t="s">
        <v>19</v>
      </c>
    </row>
    <row r="194" spans="1:6" x14ac:dyDescent="0.25">
      <c r="A194" s="3" t="s">
        <v>6</v>
      </c>
      <c r="B194" s="3" t="s">
        <v>209</v>
      </c>
      <c r="C194" s="3" t="s">
        <v>13</v>
      </c>
      <c r="D194" s="3" t="s">
        <v>9</v>
      </c>
      <c r="E194" s="3" t="s">
        <v>10</v>
      </c>
      <c r="F194" s="3" t="s">
        <v>19</v>
      </c>
    </row>
    <row r="195" spans="1:6" x14ac:dyDescent="0.25">
      <c r="A195" s="3" t="s">
        <v>6</v>
      </c>
      <c r="B195" s="3" t="s">
        <v>210</v>
      </c>
      <c r="C195" s="3" t="s">
        <v>13</v>
      </c>
      <c r="D195" s="3" t="s">
        <v>9</v>
      </c>
      <c r="E195" s="3" t="s">
        <v>10</v>
      </c>
      <c r="F195" s="3" t="s">
        <v>19</v>
      </c>
    </row>
    <row r="196" spans="1:6" x14ac:dyDescent="0.25">
      <c r="A196" s="3" t="s">
        <v>6</v>
      </c>
      <c r="B196" s="3" t="s">
        <v>211</v>
      </c>
      <c r="C196" s="3" t="s">
        <v>13</v>
      </c>
      <c r="D196" s="3" t="s">
        <v>9</v>
      </c>
      <c r="E196" s="3" t="s">
        <v>10</v>
      </c>
      <c r="F196" s="3" t="s">
        <v>14</v>
      </c>
    </row>
    <row r="197" spans="1:6" x14ac:dyDescent="0.25">
      <c r="A197" s="3" t="s">
        <v>6</v>
      </c>
      <c r="B197" s="3" t="s">
        <v>212</v>
      </c>
      <c r="C197" s="3" t="s">
        <v>13</v>
      </c>
      <c r="D197" s="3" t="s">
        <v>9</v>
      </c>
      <c r="E197" s="3" t="s">
        <v>10</v>
      </c>
      <c r="F197" s="3" t="s">
        <v>14</v>
      </c>
    </row>
    <row r="198" spans="1:6" x14ac:dyDescent="0.25">
      <c r="A198" s="3" t="s">
        <v>6</v>
      </c>
      <c r="B198" s="3" t="s">
        <v>213</v>
      </c>
      <c r="C198" s="3" t="s">
        <v>13</v>
      </c>
      <c r="D198" s="3" t="s">
        <v>9</v>
      </c>
      <c r="E198" s="3" t="s">
        <v>10</v>
      </c>
      <c r="F198" s="3" t="s">
        <v>14</v>
      </c>
    </row>
    <row r="199" spans="1:6" x14ac:dyDescent="0.25">
      <c r="A199" s="3" t="s">
        <v>6</v>
      </c>
      <c r="B199" s="3" t="s">
        <v>214</v>
      </c>
      <c r="C199" s="3" t="s">
        <v>13</v>
      </c>
      <c r="D199" s="3" t="s">
        <v>9</v>
      </c>
      <c r="E199" s="3" t="s">
        <v>10</v>
      </c>
      <c r="F199" s="3" t="s">
        <v>14</v>
      </c>
    </row>
    <row r="200" spans="1:6" x14ac:dyDescent="0.25">
      <c r="A200" s="3" t="s">
        <v>6</v>
      </c>
      <c r="B200" s="3" t="s">
        <v>215</v>
      </c>
      <c r="C200" s="3" t="s">
        <v>13</v>
      </c>
      <c r="D200" s="3" t="s">
        <v>9</v>
      </c>
      <c r="E200" s="3" t="s">
        <v>10</v>
      </c>
      <c r="F200" s="3" t="s">
        <v>14</v>
      </c>
    </row>
    <row r="201" spans="1:6" x14ac:dyDescent="0.25">
      <c r="A201" s="3" t="s">
        <v>6</v>
      </c>
      <c r="B201" s="3" t="s">
        <v>216</v>
      </c>
      <c r="C201" s="3" t="s">
        <v>13</v>
      </c>
      <c r="D201" s="3" t="s">
        <v>9</v>
      </c>
      <c r="E201" s="3" t="s">
        <v>10</v>
      </c>
      <c r="F201" s="3" t="s">
        <v>19</v>
      </c>
    </row>
    <row r="202" spans="1:6" x14ac:dyDescent="0.25">
      <c r="A202" s="3" t="s">
        <v>6</v>
      </c>
      <c r="B202" s="3" t="s">
        <v>217</v>
      </c>
      <c r="C202" s="3" t="s">
        <v>13</v>
      </c>
      <c r="D202" s="3" t="s">
        <v>9</v>
      </c>
      <c r="E202" s="3" t="s">
        <v>10</v>
      </c>
      <c r="F202" s="3" t="s">
        <v>14</v>
      </c>
    </row>
    <row r="203" spans="1:6" x14ac:dyDescent="0.25">
      <c r="A203" s="3" t="s">
        <v>6</v>
      </c>
      <c r="B203" s="3" t="s">
        <v>218</v>
      </c>
      <c r="C203" s="3" t="s">
        <v>13</v>
      </c>
      <c r="D203" s="3" t="s">
        <v>9</v>
      </c>
      <c r="E203" s="3" t="s">
        <v>10</v>
      </c>
      <c r="F203" s="3" t="s">
        <v>14</v>
      </c>
    </row>
    <row r="204" spans="1:6" x14ac:dyDescent="0.25">
      <c r="A204" s="3" t="s">
        <v>6</v>
      </c>
      <c r="B204" s="3" t="s">
        <v>219</v>
      </c>
      <c r="C204" s="3" t="s">
        <v>13</v>
      </c>
      <c r="D204" s="3" t="s">
        <v>9</v>
      </c>
      <c r="E204" s="3" t="s">
        <v>10</v>
      </c>
      <c r="F204" s="3" t="s">
        <v>14</v>
      </c>
    </row>
    <row r="205" spans="1:6" x14ac:dyDescent="0.25">
      <c r="A205" s="3" t="s">
        <v>6</v>
      </c>
      <c r="B205" s="3" t="s">
        <v>220</v>
      </c>
      <c r="C205" s="3" t="s">
        <v>13</v>
      </c>
      <c r="D205" s="3" t="s">
        <v>9</v>
      </c>
      <c r="E205" s="3" t="s">
        <v>10</v>
      </c>
      <c r="F205" s="3" t="s">
        <v>14</v>
      </c>
    </row>
    <row r="206" spans="1:6" x14ac:dyDescent="0.25">
      <c r="A206" s="3" t="s">
        <v>6</v>
      </c>
      <c r="B206" s="3" t="s">
        <v>221</v>
      </c>
      <c r="C206" s="3" t="s">
        <v>13</v>
      </c>
      <c r="D206" s="3" t="s">
        <v>9</v>
      </c>
      <c r="E206" s="3" t="s">
        <v>10</v>
      </c>
      <c r="F206" s="3" t="s">
        <v>14</v>
      </c>
    </row>
    <row r="207" spans="1:6" x14ac:dyDescent="0.25">
      <c r="A207" s="3" t="s">
        <v>6</v>
      </c>
      <c r="B207" s="3" t="s">
        <v>222</v>
      </c>
      <c r="C207" s="3" t="s">
        <v>8</v>
      </c>
      <c r="D207" s="3" t="s">
        <v>9</v>
      </c>
      <c r="E207" s="3" t="s">
        <v>10</v>
      </c>
      <c r="F207" s="3" t="s">
        <v>11</v>
      </c>
    </row>
    <row r="208" spans="1:6" x14ac:dyDescent="0.25">
      <c r="A208" s="3" t="s">
        <v>6</v>
      </c>
      <c r="B208" s="3" t="s">
        <v>223</v>
      </c>
      <c r="C208" s="3" t="s">
        <v>13</v>
      </c>
      <c r="D208" s="3" t="s">
        <v>9</v>
      </c>
      <c r="E208" s="3" t="s">
        <v>10</v>
      </c>
      <c r="F208" s="3" t="s">
        <v>14</v>
      </c>
    </row>
    <row r="209" spans="1:6" x14ac:dyDescent="0.25">
      <c r="A209" s="3" t="s">
        <v>6</v>
      </c>
      <c r="B209" s="3" t="s">
        <v>224</v>
      </c>
      <c r="C209" s="3" t="s">
        <v>13</v>
      </c>
      <c r="D209" s="3" t="s">
        <v>9</v>
      </c>
      <c r="E209" s="3" t="s">
        <v>10</v>
      </c>
      <c r="F209" s="3" t="s">
        <v>14</v>
      </c>
    </row>
    <row r="210" spans="1:6" x14ac:dyDescent="0.25">
      <c r="A210" s="3" t="s">
        <v>6</v>
      </c>
      <c r="B210" s="3" t="s">
        <v>225</v>
      </c>
      <c r="C210" s="3" t="s">
        <v>13</v>
      </c>
      <c r="D210" s="3" t="s">
        <v>9</v>
      </c>
      <c r="E210" s="3" t="s">
        <v>10</v>
      </c>
      <c r="F210" s="3" t="s">
        <v>14</v>
      </c>
    </row>
    <row r="211" spans="1:6" x14ac:dyDescent="0.25">
      <c r="A211" s="3" t="s">
        <v>6</v>
      </c>
      <c r="B211" s="3" t="s">
        <v>226</v>
      </c>
      <c r="C211" s="3" t="s">
        <v>13</v>
      </c>
      <c r="D211" s="3" t="s">
        <v>9</v>
      </c>
      <c r="E211" s="3" t="s">
        <v>10</v>
      </c>
      <c r="F211" s="3" t="s">
        <v>14</v>
      </c>
    </row>
    <row r="212" spans="1:6" x14ac:dyDescent="0.25">
      <c r="A212" s="3" t="s">
        <v>6</v>
      </c>
      <c r="B212" s="3" t="s">
        <v>227</v>
      </c>
      <c r="C212" s="3" t="s">
        <v>13</v>
      </c>
      <c r="D212" s="3" t="s">
        <v>9</v>
      </c>
      <c r="E212" s="3" t="s">
        <v>10</v>
      </c>
      <c r="F212" s="3" t="s">
        <v>19</v>
      </c>
    </row>
    <row r="213" spans="1:6" x14ac:dyDescent="0.25">
      <c r="A213" s="3" t="s">
        <v>6</v>
      </c>
      <c r="B213" s="3" t="s">
        <v>228</v>
      </c>
      <c r="C213" s="3" t="s">
        <v>8</v>
      </c>
      <c r="D213" s="3" t="s">
        <v>9</v>
      </c>
      <c r="E213" s="3" t="s">
        <v>10</v>
      </c>
      <c r="F213" s="3" t="s">
        <v>21</v>
      </c>
    </row>
    <row r="214" spans="1:6" x14ac:dyDescent="0.25">
      <c r="A214" s="3" t="s">
        <v>6</v>
      </c>
      <c r="B214" s="3" t="s">
        <v>229</v>
      </c>
      <c r="C214" s="3" t="s">
        <v>8</v>
      </c>
      <c r="D214" s="3" t="s">
        <v>9</v>
      </c>
      <c r="E214" s="3" t="s">
        <v>10</v>
      </c>
      <c r="F214" s="3" t="s">
        <v>21</v>
      </c>
    </row>
    <row r="215" spans="1:6" x14ac:dyDescent="0.25">
      <c r="A215" s="3" t="s">
        <v>6</v>
      </c>
      <c r="B215" s="3" t="s">
        <v>230</v>
      </c>
      <c r="C215" s="3" t="s">
        <v>13</v>
      </c>
      <c r="D215" s="3" t="s">
        <v>9</v>
      </c>
      <c r="E215" s="3" t="s">
        <v>10</v>
      </c>
      <c r="F215" s="3" t="s">
        <v>19</v>
      </c>
    </row>
    <row r="216" spans="1:6" x14ac:dyDescent="0.25">
      <c r="A216" s="3" t="s">
        <v>6</v>
      </c>
      <c r="B216" s="3" t="s">
        <v>231</v>
      </c>
      <c r="C216" s="3" t="s">
        <v>13</v>
      </c>
      <c r="D216" s="3" t="s">
        <v>9</v>
      </c>
      <c r="E216" s="3" t="s">
        <v>10</v>
      </c>
      <c r="F216" s="3" t="s">
        <v>19</v>
      </c>
    </row>
    <row r="217" spans="1:6" x14ac:dyDescent="0.25">
      <c r="A217" s="3" t="s">
        <v>6</v>
      </c>
      <c r="B217" s="3" t="s">
        <v>232</v>
      </c>
      <c r="C217" s="3" t="s">
        <v>13</v>
      </c>
      <c r="D217" s="3" t="s">
        <v>9</v>
      </c>
      <c r="E217" s="3" t="s">
        <v>10</v>
      </c>
      <c r="F217" s="3" t="s">
        <v>19</v>
      </c>
    </row>
    <row r="218" spans="1:6" x14ac:dyDescent="0.25">
      <c r="A218" s="3" t="s">
        <v>6</v>
      </c>
      <c r="B218" s="3" t="s">
        <v>233</v>
      </c>
      <c r="C218" s="3" t="s">
        <v>13</v>
      </c>
      <c r="D218" s="3" t="s">
        <v>9</v>
      </c>
      <c r="E218" s="3" t="s">
        <v>10</v>
      </c>
      <c r="F218" s="3" t="s">
        <v>19</v>
      </c>
    </row>
    <row r="219" spans="1:6" x14ac:dyDescent="0.25">
      <c r="A219" s="3" t="s">
        <v>6</v>
      </c>
      <c r="B219" s="3" t="s">
        <v>234</v>
      </c>
      <c r="C219" s="3" t="s">
        <v>13</v>
      </c>
      <c r="D219" s="3" t="s">
        <v>9</v>
      </c>
      <c r="E219" s="3" t="s">
        <v>10</v>
      </c>
      <c r="F219" s="3" t="s">
        <v>14</v>
      </c>
    </row>
    <row r="220" spans="1:6" x14ac:dyDescent="0.25">
      <c r="A220" s="3" t="s">
        <v>6</v>
      </c>
      <c r="B220" s="3" t="s">
        <v>235</v>
      </c>
      <c r="C220" s="3" t="s">
        <v>13</v>
      </c>
      <c r="D220" s="3" t="s">
        <v>9</v>
      </c>
      <c r="E220" s="3" t="s">
        <v>10</v>
      </c>
      <c r="F220" s="3" t="s">
        <v>14</v>
      </c>
    </row>
    <row r="221" spans="1:6" x14ac:dyDescent="0.25">
      <c r="A221" s="3" t="s">
        <v>6</v>
      </c>
      <c r="B221" s="3" t="s">
        <v>236</v>
      </c>
      <c r="C221" s="3" t="s">
        <v>13</v>
      </c>
      <c r="D221" s="3" t="s">
        <v>9</v>
      </c>
      <c r="E221" s="3" t="s">
        <v>10</v>
      </c>
      <c r="F221" s="3" t="s">
        <v>14</v>
      </c>
    </row>
    <row r="222" spans="1:6" x14ac:dyDescent="0.25">
      <c r="A222" s="3" t="s">
        <v>6</v>
      </c>
      <c r="B222" s="3" t="s">
        <v>237</v>
      </c>
      <c r="C222" s="3" t="s">
        <v>13</v>
      </c>
      <c r="D222" s="3" t="s">
        <v>9</v>
      </c>
      <c r="E222" s="3" t="s">
        <v>10</v>
      </c>
      <c r="F222" s="3" t="s">
        <v>14</v>
      </c>
    </row>
    <row r="223" spans="1:6" x14ac:dyDescent="0.25">
      <c r="A223" s="3" t="s">
        <v>6</v>
      </c>
      <c r="B223" s="3" t="s">
        <v>238</v>
      </c>
      <c r="C223" s="3" t="s">
        <v>13</v>
      </c>
      <c r="D223" s="3" t="s">
        <v>9</v>
      </c>
      <c r="E223" s="3" t="s">
        <v>10</v>
      </c>
      <c r="F223" s="3" t="s">
        <v>14</v>
      </c>
    </row>
    <row r="224" spans="1:6" x14ac:dyDescent="0.25">
      <c r="A224" s="3" t="s">
        <v>6</v>
      </c>
      <c r="B224" s="3" t="s">
        <v>239</v>
      </c>
      <c r="C224" s="3" t="s">
        <v>13</v>
      </c>
      <c r="D224" s="3" t="s">
        <v>9</v>
      </c>
      <c r="E224" s="3" t="s">
        <v>10</v>
      </c>
      <c r="F224" s="3" t="s">
        <v>19</v>
      </c>
    </row>
    <row r="225" spans="1:6" x14ac:dyDescent="0.25">
      <c r="A225" s="3" t="s">
        <v>6</v>
      </c>
      <c r="B225" s="3" t="s">
        <v>240</v>
      </c>
      <c r="C225" s="3" t="s">
        <v>13</v>
      </c>
      <c r="D225" s="3" t="s">
        <v>9</v>
      </c>
      <c r="E225" s="3" t="s">
        <v>10</v>
      </c>
      <c r="F225" s="3" t="s">
        <v>14</v>
      </c>
    </row>
    <row r="226" spans="1:6" x14ac:dyDescent="0.25">
      <c r="A226" s="3" t="s">
        <v>6</v>
      </c>
      <c r="B226" s="3" t="s">
        <v>241</v>
      </c>
      <c r="C226" s="3" t="s">
        <v>13</v>
      </c>
      <c r="D226" s="3" t="s">
        <v>9</v>
      </c>
      <c r="E226" s="3" t="s">
        <v>10</v>
      </c>
      <c r="F226" s="3" t="s">
        <v>14</v>
      </c>
    </row>
    <row r="227" spans="1:6" x14ac:dyDescent="0.25">
      <c r="A227" s="3" t="s">
        <v>6</v>
      </c>
      <c r="B227" s="3" t="s">
        <v>242</v>
      </c>
      <c r="C227" s="3" t="s">
        <v>13</v>
      </c>
      <c r="D227" s="3" t="s">
        <v>9</v>
      </c>
      <c r="E227" s="3" t="s">
        <v>10</v>
      </c>
      <c r="F227" s="3" t="s">
        <v>14</v>
      </c>
    </row>
    <row r="228" spans="1:6" x14ac:dyDescent="0.25">
      <c r="A228" s="3" t="s">
        <v>6</v>
      </c>
      <c r="B228" s="3" t="s">
        <v>243</v>
      </c>
      <c r="C228" s="3" t="s">
        <v>13</v>
      </c>
      <c r="D228" s="3" t="s">
        <v>9</v>
      </c>
      <c r="E228" s="3" t="s">
        <v>10</v>
      </c>
      <c r="F228" s="3" t="s">
        <v>14</v>
      </c>
    </row>
    <row r="229" spans="1:6" x14ac:dyDescent="0.25">
      <c r="A229" s="3" t="s">
        <v>6</v>
      </c>
      <c r="B229" s="3" t="s">
        <v>244</v>
      </c>
      <c r="C229" s="3" t="s">
        <v>13</v>
      </c>
      <c r="D229" s="3" t="s">
        <v>9</v>
      </c>
      <c r="E229" s="3" t="s">
        <v>10</v>
      </c>
      <c r="F229" s="3" t="s">
        <v>14</v>
      </c>
    </row>
    <row r="230" spans="1:6" x14ac:dyDescent="0.25">
      <c r="A230" s="3" t="s">
        <v>6</v>
      </c>
      <c r="B230" s="3" t="s">
        <v>245</v>
      </c>
      <c r="C230" s="3" t="s">
        <v>8</v>
      </c>
      <c r="D230" s="3" t="s">
        <v>9</v>
      </c>
      <c r="E230" s="3" t="s">
        <v>10</v>
      </c>
      <c r="F230" s="3" t="s">
        <v>11</v>
      </c>
    </row>
    <row r="231" spans="1:6" x14ac:dyDescent="0.25">
      <c r="A231" s="3" t="s">
        <v>6</v>
      </c>
      <c r="B231" s="3" t="s">
        <v>246</v>
      </c>
      <c r="C231" s="3" t="s">
        <v>13</v>
      </c>
      <c r="D231" s="3" t="s">
        <v>9</v>
      </c>
      <c r="E231" s="3" t="s">
        <v>10</v>
      </c>
      <c r="F231" s="3" t="s">
        <v>14</v>
      </c>
    </row>
    <row r="232" spans="1:6" x14ac:dyDescent="0.25">
      <c r="A232" s="3" t="s">
        <v>6</v>
      </c>
      <c r="B232" s="3" t="s">
        <v>247</v>
      </c>
      <c r="C232" s="3" t="s">
        <v>13</v>
      </c>
      <c r="D232" s="3" t="s">
        <v>9</v>
      </c>
      <c r="E232" s="3" t="s">
        <v>10</v>
      </c>
      <c r="F232" s="3" t="s">
        <v>14</v>
      </c>
    </row>
    <row r="233" spans="1:6" x14ac:dyDescent="0.25">
      <c r="A233" s="3" t="s">
        <v>6</v>
      </c>
      <c r="B233" s="3" t="s">
        <v>248</v>
      </c>
      <c r="C233" s="3" t="s">
        <v>13</v>
      </c>
      <c r="D233" s="3" t="s">
        <v>9</v>
      </c>
      <c r="E233" s="3" t="s">
        <v>10</v>
      </c>
      <c r="F233" s="3" t="s">
        <v>14</v>
      </c>
    </row>
    <row r="234" spans="1:6" x14ac:dyDescent="0.25">
      <c r="A234" s="3" t="s">
        <v>6</v>
      </c>
      <c r="B234" s="3" t="s">
        <v>249</v>
      </c>
      <c r="C234" s="3" t="s">
        <v>13</v>
      </c>
      <c r="D234" s="3" t="s">
        <v>9</v>
      </c>
      <c r="E234" s="3" t="s">
        <v>10</v>
      </c>
      <c r="F234" s="3" t="s">
        <v>14</v>
      </c>
    </row>
    <row r="235" spans="1:6" x14ac:dyDescent="0.25">
      <c r="A235" s="3" t="s">
        <v>6</v>
      </c>
      <c r="B235" s="3" t="s">
        <v>250</v>
      </c>
      <c r="C235" s="3" t="s">
        <v>13</v>
      </c>
      <c r="D235" s="3" t="s">
        <v>9</v>
      </c>
      <c r="E235" s="3" t="s">
        <v>10</v>
      </c>
      <c r="F235" s="3" t="s">
        <v>19</v>
      </c>
    </row>
    <row r="236" spans="1:6" x14ac:dyDescent="0.25">
      <c r="A236" s="3" t="s">
        <v>6</v>
      </c>
      <c r="B236" s="3" t="s">
        <v>251</v>
      </c>
      <c r="C236" s="3" t="s">
        <v>8</v>
      </c>
      <c r="D236" s="3" t="s">
        <v>9</v>
      </c>
      <c r="E236" s="3" t="s">
        <v>10</v>
      </c>
      <c r="F236" s="3" t="s">
        <v>21</v>
      </c>
    </row>
    <row r="237" spans="1:6" x14ac:dyDescent="0.25">
      <c r="A237" s="3" t="s">
        <v>6</v>
      </c>
      <c r="B237" s="3" t="s">
        <v>252</v>
      </c>
      <c r="C237" s="3" t="s">
        <v>8</v>
      </c>
      <c r="D237" s="3" t="s">
        <v>9</v>
      </c>
      <c r="E237" s="3" t="s">
        <v>10</v>
      </c>
      <c r="F237" s="3" t="s">
        <v>21</v>
      </c>
    </row>
    <row r="238" spans="1:6" x14ac:dyDescent="0.25">
      <c r="A238" s="3" t="s">
        <v>6</v>
      </c>
      <c r="B238" s="3" t="s">
        <v>253</v>
      </c>
      <c r="C238" s="3" t="s">
        <v>13</v>
      </c>
      <c r="D238" s="3" t="s">
        <v>9</v>
      </c>
      <c r="E238" s="3" t="s">
        <v>10</v>
      </c>
      <c r="F238" s="3" t="s">
        <v>19</v>
      </c>
    </row>
    <row r="239" spans="1:6" x14ac:dyDescent="0.25">
      <c r="A239" s="3" t="s">
        <v>6</v>
      </c>
      <c r="B239" s="3" t="s">
        <v>254</v>
      </c>
      <c r="C239" s="3" t="s">
        <v>13</v>
      </c>
      <c r="D239" s="3" t="s">
        <v>9</v>
      </c>
      <c r="E239" s="3" t="s">
        <v>10</v>
      </c>
      <c r="F239" s="3" t="s">
        <v>19</v>
      </c>
    </row>
    <row r="240" spans="1:6" x14ac:dyDescent="0.25">
      <c r="A240" s="3" t="s">
        <v>6</v>
      </c>
      <c r="B240" s="3" t="s">
        <v>255</v>
      </c>
      <c r="C240" s="3" t="s">
        <v>13</v>
      </c>
      <c r="D240" s="3" t="s">
        <v>9</v>
      </c>
      <c r="E240" s="3" t="s">
        <v>10</v>
      </c>
      <c r="F240" s="3" t="s">
        <v>19</v>
      </c>
    </row>
    <row r="241" spans="1:6" x14ac:dyDescent="0.25">
      <c r="A241" s="3" t="s">
        <v>6</v>
      </c>
      <c r="B241" s="3" t="s">
        <v>256</v>
      </c>
      <c r="C241" s="3" t="s">
        <v>13</v>
      </c>
      <c r="D241" s="3" t="s">
        <v>9</v>
      </c>
      <c r="E241" s="3" t="s">
        <v>10</v>
      </c>
      <c r="F241" s="3" t="s">
        <v>19</v>
      </c>
    </row>
    <row r="242" spans="1:6" x14ac:dyDescent="0.25">
      <c r="A242" s="3" t="s">
        <v>6</v>
      </c>
      <c r="B242" s="3" t="s">
        <v>257</v>
      </c>
      <c r="C242" s="3" t="s">
        <v>13</v>
      </c>
      <c r="D242" s="3" t="s">
        <v>9</v>
      </c>
      <c r="E242" s="3" t="s">
        <v>10</v>
      </c>
      <c r="F242" s="3" t="s">
        <v>14</v>
      </c>
    </row>
    <row r="243" spans="1:6" x14ac:dyDescent="0.25">
      <c r="A243" s="3" t="s">
        <v>6</v>
      </c>
      <c r="B243" s="3" t="s">
        <v>258</v>
      </c>
      <c r="C243" s="3" t="s">
        <v>13</v>
      </c>
      <c r="D243" s="3" t="s">
        <v>9</v>
      </c>
      <c r="E243" s="3" t="s">
        <v>10</v>
      </c>
      <c r="F243" s="3" t="s">
        <v>14</v>
      </c>
    </row>
    <row r="244" spans="1:6" x14ac:dyDescent="0.25">
      <c r="A244" s="3" t="s">
        <v>6</v>
      </c>
      <c r="B244" s="3" t="s">
        <v>259</v>
      </c>
      <c r="C244" s="3" t="s">
        <v>13</v>
      </c>
      <c r="D244" s="3" t="s">
        <v>9</v>
      </c>
      <c r="E244" s="3" t="s">
        <v>10</v>
      </c>
      <c r="F244" s="3" t="s">
        <v>14</v>
      </c>
    </row>
    <row r="245" spans="1:6" x14ac:dyDescent="0.25">
      <c r="A245" s="3" t="s">
        <v>6</v>
      </c>
      <c r="B245" s="3" t="s">
        <v>260</v>
      </c>
      <c r="C245" s="3" t="s">
        <v>13</v>
      </c>
      <c r="D245" s="3" t="s">
        <v>9</v>
      </c>
      <c r="E245" s="3" t="s">
        <v>10</v>
      </c>
      <c r="F245" s="3" t="s">
        <v>14</v>
      </c>
    </row>
    <row r="246" spans="1:6" x14ac:dyDescent="0.25">
      <c r="A246" s="3" t="s">
        <v>6</v>
      </c>
      <c r="B246" s="3" t="s">
        <v>261</v>
      </c>
      <c r="C246" s="3" t="s">
        <v>13</v>
      </c>
      <c r="D246" s="3" t="s">
        <v>9</v>
      </c>
      <c r="E246" s="3" t="s">
        <v>10</v>
      </c>
      <c r="F246" s="3" t="s">
        <v>14</v>
      </c>
    </row>
    <row r="247" spans="1:6" x14ac:dyDescent="0.25">
      <c r="A247" s="3" t="s">
        <v>6</v>
      </c>
      <c r="B247" s="3" t="s">
        <v>262</v>
      </c>
      <c r="C247" s="3" t="s">
        <v>13</v>
      </c>
      <c r="D247" s="3" t="s">
        <v>9</v>
      </c>
      <c r="E247" s="3" t="s">
        <v>10</v>
      </c>
      <c r="F247" s="3" t="s">
        <v>19</v>
      </c>
    </row>
    <row r="248" spans="1:6" x14ac:dyDescent="0.25">
      <c r="A248" s="3" t="s">
        <v>6</v>
      </c>
      <c r="B248" s="3" t="s">
        <v>263</v>
      </c>
      <c r="C248" s="3" t="s">
        <v>13</v>
      </c>
      <c r="D248" s="3" t="s">
        <v>9</v>
      </c>
      <c r="E248" s="3" t="s">
        <v>10</v>
      </c>
      <c r="F248" s="3" t="s">
        <v>14</v>
      </c>
    </row>
    <row r="249" spans="1:6" x14ac:dyDescent="0.25">
      <c r="A249" s="3" t="s">
        <v>6</v>
      </c>
      <c r="B249" s="3" t="s">
        <v>264</v>
      </c>
      <c r="C249" s="3" t="s">
        <v>13</v>
      </c>
      <c r="D249" s="3" t="s">
        <v>9</v>
      </c>
      <c r="E249" s="3" t="s">
        <v>10</v>
      </c>
      <c r="F249" s="3" t="s">
        <v>14</v>
      </c>
    </row>
    <row r="250" spans="1:6" x14ac:dyDescent="0.25">
      <c r="A250" s="3" t="s">
        <v>6</v>
      </c>
      <c r="B250" s="3" t="s">
        <v>265</v>
      </c>
      <c r="C250" s="3" t="s">
        <v>13</v>
      </c>
      <c r="D250" s="3" t="s">
        <v>9</v>
      </c>
      <c r="E250" s="3" t="s">
        <v>10</v>
      </c>
      <c r="F250" s="3" t="s">
        <v>14</v>
      </c>
    </row>
    <row r="251" spans="1:6" x14ac:dyDescent="0.25">
      <c r="A251" s="3" t="s">
        <v>6</v>
      </c>
      <c r="B251" s="3" t="s">
        <v>266</v>
      </c>
      <c r="C251" s="3" t="s">
        <v>13</v>
      </c>
      <c r="D251" s="3" t="s">
        <v>9</v>
      </c>
      <c r="E251" s="3" t="s">
        <v>10</v>
      </c>
      <c r="F251" s="3" t="s">
        <v>14</v>
      </c>
    </row>
    <row r="252" spans="1:6" x14ac:dyDescent="0.25">
      <c r="A252" s="3" t="s">
        <v>6</v>
      </c>
      <c r="B252" s="3" t="s">
        <v>267</v>
      </c>
      <c r="C252" s="3" t="s">
        <v>13</v>
      </c>
      <c r="D252" s="3" t="s">
        <v>9</v>
      </c>
      <c r="E252" s="3" t="s">
        <v>10</v>
      </c>
      <c r="F252" s="3" t="s">
        <v>14</v>
      </c>
    </row>
    <row r="253" spans="1:6" x14ac:dyDescent="0.25">
      <c r="A253" s="3" t="s">
        <v>6</v>
      </c>
      <c r="B253" s="3" t="s">
        <v>268</v>
      </c>
      <c r="C253" s="3" t="s">
        <v>13</v>
      </c>
      <c r="D253" s="3" t="s">
        <v>9</v>
      </c>
      <c r="E253" s="3" t="s">
        <v>10</v>
      </c>
      <c r="F253" s="3" t="s">
        <v>19</v>
      </c>
    </row>
    <row r="254" spans="1:6" x14ac:dyDescent="0.25">
      <c r="A254" s="3" t="s">
        <v>6</v>
      </c>
      <c r="B254" s="3" t="s">
        <v>269</v>
      </c>
      <c r="C254" s="3" t="s">
        <v>13</v>
      </c>
      <c r="D254" s="3" t="s">
        <v>9</v>
      </c>
      <c r="E254" s="3" t="s">
        <v>10</v>
      </c>
      <c r="F254" s="3" t="s">
        <v>19</v>
      </c>
    </row>
    <row r="255" spans="1:6" x14ac:dyDescent="0.25">
      <c r="A255" s="3" t="s">
        <v>6</v>
      </c>
      <c r="B255" s="3" t="s">
        <v>270</v>
      </c>
      <c r="C255" s="3" t="s">
        <v>13</v>
      </c>
      <c r="D255" s="3" t="s">
        <v>9</v>
      </c>
      <c r="E255" s="3" t="s">
        <v>10</v>
      </c>
      <c r="F255" s="3" t="s">
        <v>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cols>
    <col min="1" max="254" width="12" customWidth="1"/>
  </cols>
  <sheetData/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1001"/>
  <sheetFormatPr defaultRowHeight="15" outlineLevelRow="0" outlineLevelCol="0" x14ac:dyDescent="55"/>
  <cols>
    <col min="1" max="254" width="12" customWidth="1"/>
  </cols>
  <sheetData>
    <row r="1" spans="1:254" x14ac:dyDescent="0.25">
      <c r="A1" s="4" t="s">
        <v>7</v>
      </c>
      <c r="B1" s="4" t="s">
        <v>12</v>
      </c>
      <c r="C1" s="4" t="s">
        <v>15</v>
      </c>
      <c r="D1" s="4" t="s">
        <v>16</v>
      </c>
      <c r="E1" s="4" t="s">
        <v>17</v>
      </c>
      <c r="F1" s="4" t="s">
        <v>18</v>
      </c>
      <c r="G1" s="4" t="s">
        <v>20</v>
      </c>
      <c r="H1" s="4" t="s">
        <v>22</v>
      </c>
      <c r="I1" s="4" t="s">
        <v>23</v>
      </c>
      <c r="J1" s="4" t="s">
        <v>24</v>
      </c>
      <c r="K1" s="4" t="s">
        <v>25</v>
      </c>
      <c r="L1" s="4" t="s">
        <v>26</v>
      </c>
      <c r="M1" s="4" t="s">
        <v>27</v>
      </c>
      <c r="N1" s="4" t="s">
        <v>28</v>
      </c>
      <c r="O1" s="4" t="s">
        <v>29</v>
      </c>
      <c r="P1" s="4" t="s">
        <v>30</v>
      </c>
      <c r="Q1" s="4" t="s">
        <v>31</v>
      </c>
      <c r="R1" s="4" t="s">
        <v>32</v>
      </c>
      <c r="S1" s="4" t="s">
        <v>33</v>
      </c>
      <c r="T1" s="4" t="s">
        <v>34</v>
      </c>
      <c r="U1" s="4" t="s">
        <v>35</v>
      </c>
      <c r="V1" s="4" t="s">
        <v>36</v>
      </c>
      <c r="W1" s="4" t="s">
        <v>37</v>
      </c>
      <c r="X1" s="4" t="s">
        <v>38</v>
      </c>
      <c r="Y1" s="4" t="s">
        <v>39</v>
      </c>
      <c r="Z1" s="4" t="s">
        <v>40</v>
      </c>
      <c r="AA1" s="4" t="s">
        <v>41</v>
      </c>
      <c r="AB1" s="4" t="s">
        <v>42</v>
      </c>
      <c r="AC1" s="4" t="s">
        <v>43</v>
      </c>
      <c r="AD1" s="4" t="s">
        <v>44</v>
      </c>
      <c r="AE1" s="4" t="s">
        <v>45</v>
      </c>
      <c r="AF1" s="4" t="s">
        <v>46</v>
      </c>
      <c r="AG1" s="4" t="s">
        <v>47</v>
      </c>
      <c r="AH1" s="4" t="s">
        <v>48</v>
      </c>
      <c r="AI1" s="4" t="s">
        <v>49</v>
      </c>
      <c r="AJ1" s="4" t="s">
        <v>50</v>
      </c>
      <c r="AK1" s="4" t="s">
        <v>51</v>
      </c>
      <c r="AL1" s="4" t="s">
        <v>52</v>
      </c>
      <c r="AM1" s="4" t="s">
        <v>53</v>
      </c>
      <c r="AN1" s="4" t="s">
        <v>54</v>
      </c>
      <c r="AO1" s="4" t="s">
        <v>55</v>
      </c>
      <c r="AP1" s="4" t="s">
        <v>56</v>
      </c>
      <c r="AQ1" s="4" t="s">
        <v>57</v>
      </c>
      <c r="AR1" s="4" t="s">
        <v>58</v>
      </c>
      <c r="AS1" s="4" t="s">
        <v>59</v>
      </c>
      <c r="AT1" s="4" t="s">
        <v>60</v>
      </c>
      <c r="AU1" s="4" t="s">
        <v>61</v>
      </c>
      <c r="AV1" s="4" t="s">
        <v>62</v>
      </c>
      <c r="AW1" s="4" t="s">
        <v>63</v>
      </c>
      <c r="AX1" s="4" t="s">
        <v>64</v>
      </c>
      <c r="AY1" s="4" t="s">
        <v>65</v>
      </c>
      <c r="AZ1" s="4" t="s">
        <v>66</v>
      </c>
      <c r="BA1" s="4" t="s">
        <v>67</v>
      </c>
      <c r="BB1" s="4" t="s">
        <v>68</v>
      </c>
      <c r="BC1" s="4" t="s">
        <v>69</v>
      </c>
      <c r="BD1" s="4" t="s">
        <v>70</v>
      </c>
      <c r="BE1" s="4" t="s">
        <v>71</v>
      </c>
      <c r="BF1" s="4" t="s">
        <v>72</v>
      </c>
      <c r="BG1" s="4" t="s">
        <v>73</v>
      </c>
      <c r="BH1" s="4" t="s">
        <v>74</v>
      </c>
      <c r="BI1" s="4" t="s">
        <v>75</v>
      </c>
      <c r="BJ1" s="4" t="s">
        <v>76</v>
      </c>
      <c r="BK1" s="4" t="s">
        <v>77</v>
      </c>
      <c r="BL1" s="4" t="s">
        <v>78</v>
      </c>
      <c r="BM1" s="4" t="s">
        <v>79</v>
      </c>
      <c r="BN1" s="4" t="s">
        <v>80</v>
      </c>
      <c r="BO1" s="4" t="s">
        <v>81</v>
      </c>
      <c r="BP1" s="4" t="s">
        <v>82</v>
      </c>
      <c r="BQ1" s="4" t="s">
        <v>83</v>
      </c>
      <c r="BR1" s="4" t="s">
        <v>84</v>
      </c>
      <c r="BS1" s="4" t="s">
        <v>85</v>
      </c>
      <c r="BT1" s="4" t="s">
        <v>86</v>
      </c>
      <c r="BU1" s="4" t="s">
        <v>87</v>
      </c>
      <c r="BV1" s="4" t="s">
        <v>88</v>
      </c>
      <c r="BW1" s="4" t="s">
        <v>89</v>
      </c>
      <c r="BX1" s="4" t="s">
        <v>90</v>
      </c>
      <c r="BY1" s="4" t="s">
        <v>91</v>
      </c>
      <c r="BZ1" s="4" t="s">
        <v>92</v>
      </c>
      <c r="CA1" s="4" t="s">
        <v>93</v>
      </c>
      <c r="CB1" s="4" t="s">
        <v>94</v>
      </c>
      <c r="CC1" s="4" t="s">
        <v>95</v>
      </c>
      <c r="CD1" s="4" t="s">
        <v>96</v>
      </c>
      <c r="CE1" s="4" t="s">
        <v>97</v>
      </c>
      <c r="CF1" s="4" t="s">
        <v>98</v>
      </c>
      <c r="CG1" s="4" t="s">
        <v>99</v>
      </c>
      <c r="CH1" s="4" t="s">
        <v>100</v>
      </c>
      <c r="CI1" s="4" t="s">
        <v>101</v>
      </c>
      <c r="CJ1" s="4" t="s">
        <v>102</v>
      </c>
      <c r="CK1" s="4" t="s">
        <v>103</v>
      </c>
      <c r="CL1" s="4" t="s">
        <v>104</v>
      </c>
      <c r="CM1" s="4" t="s">
        <v>105</v>
      </c>
      <c r="CN1" s="4" t="s">
        <v>106</v>
      </c>
      <c r="CO1" s="4" t="s">
        <v>107</v>
      </c>
      <c r="CP1" s="4" t="s">
        <v>108</v>
      </c>
      <c r="CQ1" s="4" t="s">
        <v>109</v>
      </c>
      <c r="CR1" s="4" t="s">
        <v>110</v>
      </c>
      <c r="CS1" s="4" t="s">
        <v>111</v>
      </c>
      <c r="CT1" s="4" t="s">
        <v>112</v>
      </c>
      <c r="CU1" s="4" t="s">
        <v>113</v>
      </c>
      <c r="CV1" s="4" t="s">
        <v>114</v>
      </c>
      <c r="CW1" s="4" t="s">
        <v>115</v>
      </c>
      <c r="CX1" s="4" t="s">
        <v>116</v>
      </c>
      <c r="CY1" s="4" t="s">
        <v>117</v>
      </c>
      <c r="CZ1" s="4" t="s">
        <v>118</v>
      </c>
      <c r="DA1" s="4" t="s">
        <v>119</v>
      </c>
      <c r="DB1" s="4" t="s">
        <v>120</v>
      </c>
      <c r="DC1" s="4" t="s">
        <v>121</v>
      </c>
      <c r="DD1" s="4" t="s">
        <v>122</v>
      </c>
      <c r="DE1" s="4" t="s">
        <v>123</v>
      </c>
      <c r="DF1" s="4" t="s">
        <v>124</v>
      </c>
      <c r="DG1" s="4" t="s">
        <v>125</v>
      </c>
      <c r="DH1" s="4" t="s">
        <v>126</v>
      </c>
      <c r="DI1" s="4" t="s">
        <v>127</v>
      </c>
      <c r="DJ1" s="4" t="s">
        <v>128</v>
      </c>
      <c r="DK1" s="4" t="s">
        <v>129</v>
      </c>
      <c r="DL1" s="4" t="s">
        <v>130</v>
      </c>
      <c r="DM1" s="4" t="s">
        <v>131</v>
      </c>
      <c r="DN1" s="4" t="s">
        <v>132</v>
      </c>
      <c r="DO1" s="4" t="s">
        <v>133</v>
      </c>
      <c r="DP1" s="4" t="s">
        <v>134</v>
      </c>
      <c r="DQ1" s="4" t="s">
        <v>135</v>
      </c>
      <c r="DR1" s="4" t="s">
        <v>136</v>
      </c>
      <c r="DS1" s="4" t="s">
        <v>138</v>
      </c>
      <c r="DT1" s="4" t="s">
        <v>139</v>
      </c>
      <c r="DU1" s="4" t="s">
        <v>140</v>
      </c>
      <c r="DV1" s="4" t="s">
        <v>141</v>
      </c>
      <c r="DW1" s="4" t="s">
        <v>142</v>
      </c>
      <c r="DX1" s="4" t="s">
        <v>143</v>
      </c>
      <c r="DY1" s="4" t="s">
        <v>144</v>
      </c>
      <c r="DZ1" s="4" t="s">
        <v>145</v>
      </c>
      <c r="EA1" s="4" t="s">
        <v>146</v>
      </c>
      <c r="EB1" s="4" t="s">
        <v>147</v>
      </c>
      <c r="EC1" s="4" t="s">
        <v>148</v>
      </c>
      <c r="ED1" s="4" t="s">
        <v>149</v>
      </c>
      <c r="EE1" s="4" t="s">
        <v>150</v>
      </c>
      <c r="EF1" s="4" t="s">
        <v>151</v>
      </c>
      <c r="EG1" s="4" t="s">
        <v>153</v>
      </c>
      <c r="EH1" s="4" t="s">
        <v>154</v>
      </c>
      <c r="EI1" s="4" t="s">
        <v>155</v>
      </c>
      <c r="EJ1" s="4" t="s">
        <v>156</v>
      </c>
      <c r="EK1" s="4" t="s">
        <v>157</v>
      </c>
      <c r="EL1" s="4" t="s">
        <v>158</v>
      </c>
      <c r="EM1" s="4" t="s">
        <v>159</v>
      </c>
      <c r="EN1" s="4" t="s">
        <v>160</v>
      </c>
      <c r="EO1" s="4" t="s">
        <v>161</v>
      </c>
      <c r="EP1" s="4" t="s">
        <v>162</v>
      </c>
      <c r="EQ1" s="4" t="s">
        <v>163</v>
      </c>
      <c r="ER1" s="4" t="s">
        <v>164</v>
      </c>
      <c r="ES1" s="4" t="s">
        <v>165</v>
      </c>
      <c r="ET1" s="4" t="s">
        <v>166</v>
      </c>
      <c r="EU1" s="4" t="s">
        <v>167</v>
      </c>
      <c r="EV1" s="4" t="s">
        <v>168</v>
      </c>
      <c r="EW1" s="4" t="s">
        <v>169</v>
      </c>
      <c r="EX1" s="4" t="s">
        <v>170</v>
      </c>
      <c r="EY1" s="4" t="s">
        <v>171</v>
      </c>
      <c r="EZ1" s="4" t="s">
        <v>172</v>
      </c>
      <c r="FA1" s="4" t="s">
        <v>173</v>
      </c>
      <c r="FB1" s="4" t="s">
        <v>174</v>
      </c>
      <c r="FC1" s="4" t="s">
        <v>175</v>
      </c>
      <c r="FD1" s="4" t="s">
        <v>176</v>
      </c>
      <c r="FE1" s="4" t="s">
        <v>177</v>
      </c>
      <c r="FF1" s="4" t="s">
        <v>178</v>
      </c>
      <c r="FG1" s="4" t="s">
        <v>179</v>
      </c>
      <c r="FH1" s="4" t="s">
        <v>180</v>
      </c>
      <c r="FI1" s="4" t="s">
        <v>181</v>
      </c>
      <c r="FJ1" s="4" t="s">
        <v>182</v>
      </c>
      <c r="FK1" s="4" t="s">
        <v>183</v>
      </c>
      <c r="FL1" s="4" t="s">
        <v>184</v>
      </c>
      <c r="FM1" s="4" t="s">
        <v>185</v>
      </c>
      <c r="FN1" s="4" t="s">
        <v>186</v>
      </c>
      <c r="FO1" s="4" t="s">
        <v>187</v>
      </c>
      <c r="FP1" s="4" t="s">
        <v>188</v>
      </c>
      <c r="FQ1" s="4" t="s">
        <v>189</v>
      </c>
      <c r="FR1" s="4" t="s">
        <v>190</v>
      </c>
      <c r="FS1" s="4" t="s">
        <v>191</v>
      </c>
      <c r="FT1" s="4" t="s">
        <v>192</v>
      </c>
      <c r="FU1" s="4" t="s">
        <v>193</v>
      </c>
      <c r="FV1" s="4" t="s">
        <v>194</v>
      </c>
      <c r="FW1" s="4" t="s">
        <v>195</v>
      </c>
      <c r="FX1" s="4" t="s">
        <v>196</v>
      </c>
      <c r="FY1" s="4" t="s">
        <v>197</v>
      </c>
      <c r="FZ1" s="4" t="s">
        <v>198</v>
      </c>
      <c r="GA1" s="4" t="s">
        <v>199</v>
      </c>
      <c r="GB1" s="4" t="s">
        <v>200</v>
      </c>
      <c r="GC1" s="4" t="s">
        <v>201</v>
      </c>
      <c r="GD1" s="4" t="s">
        <v>202</v>
      </c>
      <c r="GE1" s="4" t="s">
        <v>203</v>
      </c>
      <c r="GF1" s="4" t="s">
        <v>204</v>
      </c>
      <c r="GG1" s="4" t="s">
        <v>205</v>
      </c>
      <c r="GH1" s="4" t="s">
        <v>206</v>
      </c>
      <c r="GI1" s="4" t="s">
        <v>207</v>
      </c>
      <c r="GJ1" s="4" t="s">
        <v>208</v>
      </c>
      <c r="GK1" s="4" t="s">
        <v>209</v>
      </c>
      <c r="GL1" s="4" t="s">
        <v>210</v>
      </c>
      <c r="GM1" s="4" t="s">
        <v>211</v>
      </c>
      <c r="GN1" s="4" t="s">
        <v>212</v>
      </c>
      <c r="GO1" s="4" t="s">
        <v>213</v>
      </c>
      <c r="GP1" s="4" t="s">
        <v>214</v>
      </c>
      <c r="GQ1" s="4" t="s">
        <v>215</v>
      </c>
      <c r="GR1" s="4" t="s">
        <v>216</v>
      </c>
      <c r="GS1" s="4" t="s">
        <v>217</v>
      </c>
      <c r="GT1" s="4" t="s">
        <v>218</v>
      </c>
      <c r="GU1" s="4" t="s">
        <v>219</v>
      </c>
      <c r="GV1" s="4" t="s">
        <v>220</v>
      </c>
      <c r="GW1" s="4" t="s">
        <v>221</v>
      </c>
      <c r="GX1" s="4" t="s">
        <v>222</v>
      </c>
      <c r="GY1" s="4" t="s">
        <v>223</v>
      </c>
      <c r="GZ1" s="4" t="s">
        <v>224</v>
      </c>
      <c r="HA1" s="4" t="s">
        <v>225</v>
      </c>
      <c r="HB1" s="4" t="s">
        <v>226</v>
      </c>
      <c r="HC1" s="4" t="s">
        <v>227</v>
      </c>
      <c r="HD1" s="4" t="s">
        <v>228</v>
      </c>
      <c r="HE1" s="4" t="s">
        <v>229</v>
      </c>
      <c r="HF1" s="4" t="s">
        <v>230</v>
      </c>
      <c r="HG1" s="4" t="s">
        <v>231</v>
      </c>
      <c r="HH1" s="4" t="s">
        <v>232</v>
      </c>
      <c r="HI1" s="4" t="s">
        <v>233</v>
      </c>
      <c r="HJ1" s="4" t="s">
        <v>234</v>
      </c>
      <c r="HK1" s="4" t="s">
        <v>235</v>
      </c>
      <c r="HL1" s="4" t="s">
        <v>236</v>
      </c>
      <c r="HM1" s="4" t="s">
        <v>237</v>
      </c>
      <c r="HN1" s="4" t="s">
        <v>238</v>
      </c>
      <c r="HO1" s="4" t="s">
        <v>239</v>
      </c>
      <c r="HP1" s="4" t="s">
        <v>240</v>
      </c>
      <c r="HQ1" s="4" t="s">
        <v>241</v>
      </c>
      <c r="HR1" s="4" t="s">
        <v>242</v>
      </c>
      <c r="HS1" s="4" t="s">
        <v>243</v>
      </c>
      <c r="HT1" s="4" t="s">
        <v>244</v>
      </c>
      <c r="HU1" s="4" t="s">
        <v>245</v>
      </c>
      <c r="HV1" s="4" t="s">
        <v>246</v>
      </c>
      <c r="HW1" s="4" t="s">
        <v>247</v>
      </c>
      <c r="HX1" s="4" t="s">
        <v>248</v>
      </c>
      <c r="HY1" s="4" t="s">
        <v>249</v>
      </c>
      <c r="HZ1" s="4" t="s">
        <v>250</v>
      </c>
      <c r="IA1" s="4" t="s">
        <v>251</v>
      </c>
      <c r="IB1" s="4" t="s">
        <v>252</v>
      </c>
      <c r="IC1" s="4" t="s">
        <v>253</v>
      </c>
      <c r="ID1" s="4" t="s">
        <v>254</v>
      </c>
      <c r="IE1" s="4" t="s">
        <v>255</v>
      </c>
      <c r="IF1" s="4" t="s">
        <v>256</v>
      </c>
      <c r="IG1" s="4" t="s">
        <v>257</v>
      </c>
      <c r="IH1" s="4" t="s">
        <v>258</v>
      </c>
      <c r="II1" s="4" t="s">
        <v>259</v>
      </c>
      <c r="IJ1" s="4" t="s">
        <v>260</v>
      </c>
      <c r="IK1" s="4" t="s">
        <v>261</v>
      </c>
      <c r="IL1" s="4" t="s">
        <v>262</v>
      </c>
      <c r="IM1" s="4" t="s">
        <v>263</v>
      </c>
      <c r="IN1" s="4" t="s">
        <v>264</v>
      </c>
      <c r="IO1" s="4" t="s">
        <v>265</v>
      </c>
      <c r="IP1" s="4" t="s">
        <v>266</v>
      </c>
      <c r="IQ1" s="4" t="s">
        <v>267</v>
      </c>
      <c r="IR1" s="4" t="s">
        <v>268</v>
      </c>
      <c r="IS1" s="4" t="s">
        <v>269</v>
      </c>
      <c r="IT1" s="4" t="s">
        <v>270</v>
      </c>
    </row>
    <row r="2" spans="1:254" x14ac:dyDescent="0.25">
      <c r="A2">
        <f>IF(ISBLANK('Data Entry'!$A$2), "", 'Data Entry'!$A$2)</f>
      </c>
      <c r="B2">
        <f>IF(ISBLANK('Data Entry'!$B$2), "", 'Data Entry'!$B$2)</f>
      </c>
      <c r="C2">
        <f>IF(ISBLANK('Data Entry'!$C$2), "", 'Data Entry'!$C$2)</f>
      </c>
      <c r="D2">
        <f>IF(ISBLANK('Data Entry'!$D$2), "", 'Data Entry'!$D$2)</f>
      </c>
      <c r="E2">
        <f>IF(ISBLANK('Data Entry'!$E$2), "", 'Data Entry'!$E$2)</f>
      </c>
      <c r="F2">
        <f>IF(ISBLANK('Data Entry'!$F$2), "", 'Data Entry'!$F$2)</f>
      </c>
      <c r="G2">
        <f>IF(ISBLANK('Data Entry'!$G$2), "", 'Data Entry'!$G$2)</f>
      </c>
      <c r="H2">
        <f>IF(ISBLANK('Data Entry'!$H$2), "", 'Data Entry'!$H$2)</f>
      </c>
      <c r="I2">
        <f>IF(ISBLANK('Data Entry'!$I$2), "", 'Data Entry'!$I$2)</f>
      </c>
      <c r="J2">
        <f>IF(ISBLANK('Data Entry'!$J$2), "", 'Data Entry'!$J$2)</f>
      </c>
      <c r="K2">
        <f>IF(ISBLANK('Data Entry'!$K$2), "", 'Data Entry'!$K$2)</f>
      </c>
      <c r="L2">
        <f>IF(ISBLANK('Data Entry'!$L$2), "", 'Data Entry'!$L$2)</f>
      </c>
      <c r="M2">
        <f>IF(ISBLANK('Data Entry'!$M$2), "", 'Data Entry'!$M$2)</f>
      </c>
      <c r="N2">
        <f>IF(ISBLANK('Data Entry'!$N$2), "", 'Data Entry'!$N$2)</f>
      </c>
      <c r="O2">
        <f>IF(ISBLANK('Data Entry'!$O$2), "", 'Data Entry'!$O$2)</f>
      </c>
      <c r="P2">
        <f>IF(ISBLANK('Data Entry'!$P$2), "", 'Data Entry'!$P$2)</f>
      </c>
      <c r="Q2">
        <f>IF(ISBLANK('Data Entry'!$Q$2), "", 'Data Entry'!$Q$2)</f>
      </c>
      <c r="R2">
        <f>IF(ISBLANK('Data Entry'!$R$2), "", 'Data Entry'!$R$2)</f>
      </c>
      <c r="S2">
        <f>IF(ISBLANK('Data Entry'!$S$2), "", 'Data Entry'!$S$2)</f>
      </c>
      <c r="T2">
        <f>IF(ISBLANK('Data Entry'!$T$2), "", 'Data Entry'!$T$2)</f>
      </c>
      <c r="U2">
        <f>IF(ISBLANK('Data Entry'!$U$2), "", 'Data Entry'!$U$2)</f>
      </c>
      <c r="V2">
        <f>IF(ISBLANK('Data Entry'!$V$2), "", 'Data Entry'!$V$2)</f>
      </c>
      <c r="W2">
        <f>IF(ISBLANK('Data Entry'!$W$2), "", 'Data Entry'!$W$2)</f>
      </c>
      <c r="X2">
        <f>IF(ISBLANK('Data Entry'!$X$2), "", 'Data Entry'!$X$2)</f>
      </c>
      <c r="Y2">
        <f>IF(ISBLANK('Data Entry'!$Y$2), "", 'Data Entry'!$Y$2)</f>
      </c>
      <c r="Z2">
        <f>IF(ISBLANK('Data Entry'!$Z$2), "", 'Data Entry'!$Z$2)</f>
      </c>
      <c r="AA2">
        <f>IF(ISBLANK('Data Entry'!$[$2), "", 'Data Entry'!$[$2)</f>
      </c>
      <c r="AB2">
        <f>IF(ISBLANK('Data Entry'!$\$2), "", 'Data Entry'!$\$2)</f>
      </c>
      <c r="AC2">
        <f>IF(ISBLANK('Data Entry'!$]$2), "", 'Data Entry'!$]$2)</f>
      </c>
      <c r="AD2">
        <f>IF(ISBLANK('Data Entry'!$^$2), "", 'Data Entry'!$^$2)</f>
      </c>
      <c r="AE2">
        <f>IF(ISBLANK('Data Entry'!$_$2), "", 'Data Entry'!$_$2)</f>
      </c>
      <c r="AF2">
        <f>IF(ISBLANK('Data Entry'!$`$2), "", 'Data Entry'!$`$2)</f>
      </c>
      <c r="AG2">
        <f>IF(ISBLANK('Data Entry'!$a$2), "", 'Data Entry'!$a$2)</f>
      </c>
      <c r="AH2">
        <f>IF(ISBLANK('Data Entry'!$b$2), "", 'Data Entry'!$b$2)</f>
      </c>
      <c r="AI2">
        <f>IF(ISBLANK('Data Entry'!$c$2), "", 'Data Entry'!$c$2)</f>
      </c>
      <c r="AJ2">
        <f>IF(ISBLANK('Data Entry'!$d$2), "", 'Data Entry'!$d$2)</f>
      </c>
      <c r="AK2">
        <f>IF(ISBLANK('Data Entry'!$e$2), "", 'Data Entry'!$e$2)</f>
      </c>
      <c r="AL2">
        <f>IF(ISBLANK('Data Entry'!$f$2), "", 'Data Entry'!$f$2)</f>
      </c>
      <c r="AM2">
        <f>IF(ISBLANK('Data Entry'!$g$2), "", 'Data Entry'!$g$2)</f>
      </c>
      <c r="AN2">
        <f>IF(ISBLANK('Data Entry'!$h$2), "", 'Data Entry'!$h$2)</f>
      </c>
      <c r="AO2">
        <f>IF(ISBLANK('Data Entry'!$i$2), "", 'Data Entry'!$i$2)</f>
      </c>
      <c r="AP2">
        <f>IF(ISBLANK('Data Entry'!$j$2), "", 'Data Entry'!$j$2)</f>
      </c>
      <c r="AQ2">
        <f>IF(ISBLANK('Data Entry'!$k$2), "", 'Data Entry'!$k$2)</f>
      </c>
      <c r="AR2">
        <f>IF(ISBLANK('Data Entry'!$l$2), "", 'Data Entry'!$l$2)</f>
      </c>
      <c r="AS2">
        <f>IF(ISBLANK('Data Entry'!$m$2), "", 'Data Entry'!$m$2)</f>
      </c>
      <c r="AT2">
        <f>IF(ISBLANK('Data Entry'!$n$2), "", 'Data Entry'!$n$2)</f>
      </c>
      <c r="AU2">
        <f>IF(ISBLANK('Data Entry'!$o$2), "", 'Data Entry'!$o$2)</f>
      </c>
      <c r="AV2">
        <f>IF(ISBLANK('Data Entry'!$p$2), "", 'Data Entry'!$p$2)</f>
      </c>
      <c r="AW2">
        <f>IF(ISBLANK('Data Entry'!$q$2), "", 'Data Entry'!$q$2)</f>
      </c>
      <c r="AX2">
        <f>IF(ISBLANK('Data Entry'!$r$2), "", 'Data Entry'!$r$2)</f>
      </c>
      <c r="AY2">
        <f>IF(ISBLANK('Data Entry'!$s$2), "", 'Data Entry'!$s$2)</f>
      </c>
      <c r="AZ2">
        <f>IF(ISBLANK('Data Entry'!$t$2), "", 'Data Entry'!$t$2)</f>
      </c>
      <c r="BA2">
        <f>IF(ISBLANK('Data Entry'!$u$2), "", 'Data Entry'!$u$2)</f>
      </c>
      <c r="BB2">
        <f>IF(ISBLANK('Data Entry'!$v$2), "", 'Data Entry'!$v$2)</f>
      </c>
      <c r="BC2">
        <f>IF(ISBLANK('Data Entry'!$w$2), "", 'Data Entry'!$w$2)</f>
      </c>
      <c r="BD2">
        <f>IF(ISBLANK('Data Entry'!$x$2), "", 'Data Entry'!$x$2)</f>
      </c>
      <c r="BE2">
        <f>IF(ISBLANK('Data Entry'!$y$2), "", 'Data Entry'!$y$2)</f>
      </c>
      <c r="BF2">
        <f>IF(ISBLANK('Data Entry'!$z$2), "", 'Data Entry'!$z$2)</f>
      </c>
      <c r="BG2">
        <f>IF(ISBLANK('Data Entry'!${$2), "", 'Data Entry'!${$2)</f>
      </c>
      <c r="BH2">
        <f>IF(ISBLANK('Data Entry'!$|$2), "", 'Data Entry'!$|$2)</f>
      </c>
      <c r="BI2">
        <f>IF(ISBLANK('Data Entry'!$}$2), "", 'Data Entry'!$}$2)</f>
      </c>
      <c r="BJ2">
        <f>IF(ISBLANK('Data Entry'!$~$2), "", 'Data Entry'!$~$2)</f>
      </c>
      <c r="BK2">
        <f>IF(ISBLANK('Data Entry'!$$2), "", 'Data Entry'!$$2)</f>
      </c>
      <c r="BL2">
        <f>IF(ISBLANK('Data Entry'!$$2), "", 'Data Entry'!$$2)</f>
      </c>
      <c r="BM2">
        <f>IF(ISBLANK('Data Entry'!$$2), "", 'Data Entry'!$$2)</f>
      </c>
      <c r="BN2">
        <f>IF(ISBLANK('Data Entry'!$$2), "", 'Data Entry'!$$2)</f>
      </c>
      <c r="BO2">
        <f>IF(ISBLANK('Data Entry'!$$2), "", 'Data Entry'!$$2)</f>
      </c>
      <c r="BP2">
        <f>IF(ISBLANK('Data Entry'!$$2), "", 'Data Entry'!$$2)</f>
      </c>
      <c r="BQ2">
        <f>IF(ISBLANK('Data Entry'!$$2), "", 'Data Entry'!$$2)</f>
      </c>
      <c r="BR2">
        <f>IF(ISBLANK('Data Entry'!$$2), "", 'Data Entry'!$$2)</f>
      </c>
      <c r="BS2">
        <f>IF(ISBLANK('Data Entry'!$$2), "", 'Data Entry'!$$2)</f>
      </c>
      <c r="BT2">
        <f>IF(ISBLANK('Data Entry'!$$2), "", 'Data Entry'!$$2)</f>
      </c>
      <c r="BU2">
        <f>IF(ISBLANK('Data Entry'!$$2), "", 'Data Entry'!$$2)</f>
      </c>
      <c r="BV2">
        <f>IF(ISBLANK('Data Entry'!$$2), "", 'Data Entry'!$$2)</f>
      </c>
      <c r="BW2">
        <f>IF(ISBLANK('Data Entry'!$$2), "", 'Data Entry'!$$2)</f>
      </c>
      <c r="BX2">
        <f>IF(ISBLANK('Data Entry'!$$2), "", 'Data Entry'!$$2)</f>
      </c>
      <c r="BY2">
        <f>IF(ISBLANK('Data Entry'!$$2), "", 'Data Entry'!$$2)</f>
      </c>
      <c r="BZ2">
        <f>IF(ISBLANK('Data Entry'!$$2), "", 'Data Entry'!$$2)</f>
      </c>
      <c r="CA2">
        <f>IF(ISBLANK('Data Entry'!$$2), "", 'Data Entry'!$$2)</f>
      </c>
      <c r="CB2">
        <f>IF(ISBLANK('Data Entry'!$$2), "", 'Data Entry'!$$2)</f>
      </c>
      <c r="CC2">
        <f>IF(ISBLANK('Data Entry'!$$2), "", 'Data Entry'!$$2)</f>
      </c>
      <c r="CD2">
        <f>IF(ISBLANK('Data Entry'!$$2), "", 'Data Entry'!$$2)</f>
      </c>
      <c r="CE2">
        <f>IF(ISBLANK('Data Entry'!$$2), "", 'Data Entry'!$$2)</f>
      </c>
      <c r="CF2">
        <f>IF(ISBLANK('Data Entry'!$$2), "", 'Data Entry'!$$2)</f>
      </c>
      <c r="CG2">
        <f>IF(ISBLANK('Data Entry'!$$2), "", 'Data Entry'!$$2)</f>
      </c>
      <c r="CH2">
        <f>IF(ISBLANK('Data Entry'!$$2), "", 'Data Entry'!$$2)</f>
      </c>
      <c r="CI2">
        <f>IF(ISBLANK('Data Entry'!$$2), "", 'Data Entry'!$$2)</f>
      </c>
      <c r="CJ2">
        <f>IF(ISBLANK('Data Entry'!$$2), "", 'Data Entry'!$$2)</f>
      </c>
      <c r="CK2">
        <f>IF(ISBLANK('Data Entry'!$$2), "", 'Data Entry'!$$2)</f>
      </c>
      <c r="CL2">
        <f>IF(ISBLANK('Data Entry'!$$2), "", 'Data Entry'!$$2)</f>
      </c>
      <c r="CM2">
        <f>IF(ISBLANK('Data Entry'!$$2), "", 'Data Entry'!$$2)</f>
      </c>
      <c r="CN2">
        <f>IF(ISBLANK('Data Entry'!$$2), "", 'Data Entry'!$$2)</f>
      </c>
      <c r="CO2">
        <f>IF(ISBLANK('Data Entry'!$$2), "", 'Data Entry'!$$2)</f>
      </c>
      <c r="CP2">
        <f>IF(ISBLANK('Data Entry'!$$2), "", 'Data Entry'!$$2)</f>
      </c>
      <c r="CQ2">
        <f>IF(ISBLANK('Data Entry'!$$2), "", 'Data Entry'!$$2)</f>
      </c>
      <c r="CR2">
        <f>IF(ISBLANK('Data Entry'!$ $2), "", 'Data Entry'!$ $2)</f>
      </c>
      <c r="CS2">
        <f>IF(ISBLANK('Data Entry'!$¡$2), "", 'Data Entry'!$¡$2)</f>
      </c>
      <c r="CT2">
        <f>IF(ISBLANK('Data Entry'!$¢$2), "", 'Data Entry'!$¢$2)</f>
      </c>
      <c r="CU2">
        <f>IF(ISBLANK('Data Entry'!$£$2), "", 'Data Entry'!$£$2)</f>
      </c>
      <c r="CV2">
        <f>IF(ISBLANK('Data Entry'!$¤$2), "", 'Data Entry'!$¤$2)</f>
      </c>
      <c r="CW2">
        <f>IF(ISBLANK('Data Entry'!$¥$2), "", 'Data Entry'!$¥$2)</f>
      </c>
      <c r="CX2">
        <f>IF(ISBLANK('Data Entry'!$¦$2), "", 'Data Entry'!$¦$2)</f>
      </c>
      <c r="CY2">
        <f>IF(ISBLANK('Data Entry'!$§$2), "", 'Data Entry'!$§$2)</f>
      </c>
      <c r="CZ2">
        <f>IF(ISBLANK('Data Entry'!$¨$2), "", 'Data Entry'!$¨$2)</f>
      </c>
      <c r="DA2">
        <f>IF(ISBLANK('Data Entry'!$©$2), "", 'Data Entry'!$©$2)</f>
      </c>
      <c r="DB2">
        <f>IF(ISBLANK('Data Entry'!$ª$2), "", 'Data Entry'!$ª$2)</f>
      </c>
      <c r="DC2">
        <f>IF(ISBLANK('Data Entry'!$«$2), "", 'Data Entry'!$«$2)</f>
      </c>
      <c r="DD2">
        <f>IF(ISBLANK('Data Entry'!$¬$2), "", 'Data Entry'!$¬$2)</f>
      </c>
      <c r="DE2">
        <f>IF(ISBLANK('Data Entry'!$­$2), "", 'Data Entry'!$­$2)</f>
      </c>
      <c r="DF2">
        <f>IF(ISBLANK('Data Entry'!$®$2), "", 'Data Entry'!$®$2)</f>
      </c>
      <c r="DG2">
        <f>IF(ISBLANK('Data Entry'!$¯$2), "", 'Data Entry'!$¯$2)</f>
      </c>
      <c r="DH2">
        <f>IF(ISBLANK('Data Entry'!$°$2), "", 'Data Entry'!$°$2)</f>
      </c>
      <c r="DI2">
        <f>IF(ISBLANK('Data Entry'!$±$2), "", 'Data Entry'!$±$2)</f>
      </c>
      <c r="DJ2">
        <f>IF(ISBLANK('Data Entry'!$²$2), "", 'Data Entry'!$²$2)</f>
      </c>
      <c r="DK2">
        <f>IF(ISBLANK('Data Entry'!$³$2), "", 'Data Entry'!$³$2)</f>
      </c>
      <c r="DL2">
        <f>IF(ISBLANK('Data Entry'!$´$2), "", 'Data Entry'!$´$2)</f>
      </c>
      <c r="DM2">
        <f>IF(ISBLANK('Data Entry'!$µ$2), "", 'Data Entry'!$µ$2)</f>
      </c>
      <c r="DN2">
        <f>IF(ISBLANK('Data Entry'!$¶$2), "", 'Data Entry'!$¶$2)</f>
      </c>
      <c r="DO2">
        <f>IF(ISBLANK('Data Entry'!$·$2), "", 'Data Entry'!$·$2)</f>
      </c>
      <c r="DP2">
        <f>IF(ISBLANK('Data Entry'!$¸$2), "", 'Data Entry'!$¸$2)</f>
      </c>
      <c r="DQ2">
        <f>IF(ISBLANK('Data Entry'!$¹$2), "", 'Data Entry'!$¹$2)</f>
      </c>
      <c r="DR2">
        <f>IF(ISBLANK('Data Entry'!$º$2), "", 'Data Entry'!$º$2)</f>
      </c>
      <c r="DS2">
        <f>IF(ISBLANK('Data Entry'!$»$2), "", 'Data Entry'!$»$2)</f>
      </c>
      <c r="DT2">
        <f>IF(ISBLANK('Data Entry'!$¼$2), "", 'Data Entry'!$¼$2)</f>
      </c>
      <c r="DU2">
        <f>IF(ISBLANK('Data Entry'!$½$2), "", 'Data Entry'!$½$2)</f>
      </c>
      <c r="DV2">
        <f>IF(ISBLANK('Data Entry'!$¾$2), "", 'Data Entry'!$¾$2)</f>
      </c>
      <c r="DW2">
        <f>IF(ISBLANK('Data Entry'!$¿$2), "", 'Data Entry'!$¿$2)</f>
      </c>
      <c r="DX2">
        <f>IF(ISBLANK('Data Entry'!$À$2), "", 'Data Entry'!$À$2)</f>
      </c>
      <c r="DY2">
        <f>IF(ISBLANK('Data Entry'!$Á$2), "", 'Data Entry'!$Á$2)</f>
      </c>
      <c r="DZ2">
        <f>IF(ISBLANK('Data Entry'!$Â$2), "", 'Data Entry'!$Â$2)</f>
      </c>
      <c r="EA2">
        <f>IF(ISBLANK('Data Entry'!$Ã$2), "", 'Data Entry'!$Ã$2)</f>
      </c>
      <c r="EB2">
        <f>IF(ISBLANK('Data Entry'!$Ä$2), "", 'Data Entry'!$Ä$2)</f>
      </c>
      <c r="EC2">
        <f>IF(ISBLANK('Data Entry'!$Å$2), "", 'Data Entry'!$Å$2)</f>
      </c>
      <c r="ED2">
        <f>IF(ISBLANK('Data Entry'!$Æ$2), "", 'Data Entry'!$Æ$2)</f>
      </c>
      <c r="EE2">
        <f>IF(ISBLANK('Data Entry'!$Ç$2), "", 'Data Entry'!$Ç$2)</f>
      </c>
      <c r="EF2">
        <f>IF(ISBLANK('Data Entry'!$È$2), "", 'Data Entry'!$È$2)</f>
      </c>
      <c r="EG2">
        <f>IF(ISBLANK('Data Entry'!$É$2), "", 'Data Entry'!$É$2)</f>
      </c>
      <c r="EH2">
        <f>IF(ISBLANK('Data Entry'!$Ê$2), "", 'Data Entry'!$Ê$2)</f>
      </c>
      <c r="EI2">
        <f>IF(ISBLANK('Data Entry'!$Ë$2), "", 'Data Entry'!$Ë$2)</f>
      </c>
      <c r="EJ2">
        <f>IF(ISBLANK('Data Entry'!$Ì$2), "", 'Data Entry'!$Ì$2)</f>
      </c>
      <c r="EK2">
        <f>IF(ISBLANK('Data Entry'!$Í$2), "", 'Data Entry'!$Í$2)</f>
      </c>
      <c r="EL2">
        <f>IF(ISBLANK('Data Entry'!$Î$2), "", 'Data Entry'!$Î$2)</f>
      </c>
      <c r="EM2">
        <f>IF(ISBLANK('Data Entry'!$Ï$2), "", 'Data Entry'!$Ï$2)</f>
      </c>
      <c r="EN2">
        <f>IF(ISBLANK('Data Entry'!$Ð$2), "", 'Data Entry'!$Ð$2)</f>
      </c>
      <c r="EO2">
        <f>IF(ISBLANK('Data Entry'!$Ñ$2), "", 'Data Entry'!$Ñ$2)</f>
      </c>
      <c r="EP2">
        <f>IF(ISBLANK('Data Entry'!$Ò$2), "", 'Data Entry'!$Ò$2)</f>
      </c>
      <c r="EQ2">
        <f>IF(ISBLANK('Data Entry'!$Ó$2), "", 'Data Entry'!$Ó$2)</f>
      </c>
      <c r="ER2">
        <f>IF(ISBLANK('Data Entry'!$Ô$2), "", 'Data Entry'!$Ô$2)</f>
      </c>
      <c r="ES2">
        <f>IF(ISBLANK('Data Entry'!$Õ$2), "", 'Data Entry'!$Õ$2)</f>
      </c>
      <c r="ET2">
        <f>IF(ISBLANK('Data Entry'!$Ö$2), "", 'Data Entry'!$Ö$2)</f>
      </c>
      <c r="EU2">
        <f>IF(ISBLANK('Data Entry'!$×$2), "", 'Data Entry'!$×$2)</f>
      </c>
      <c r="EV2">
        <f>IF(ISBLANK('Data Entry'!$Ø$2), "", 'Data Entry'!$Ø$2)</f>
      </c>
      <c r="EW2">
        <f>IF(ISBLANK('Data Entry'!$Ù$2), "", 'Data Entry'!$Ù$2)</f>
      </c>
      <c r="EX2">
        <f>IF(ISBLANK('Data Entry'!$Ú$2), "", 'Data Entry'!$Ú$2)</f>
      </c>
      <c r="EY2">
        <f>IF(ISBLANK('Data Entry'!$Û$2), "", 'Data Entry'!$Û$2)</f>
      </c>
      <c r="EZ2">
        <f>IF(ISBLANK('Data Entry'!$Ü$2), "", 'Data Entry'!$Ü$2)</f>
      </c>
      <c r="FA2">
        <f>IF(ISBLANK('Data Entry'!$Ý$2), "", 'Data Entry'!$Ý$2)</f>
      </c>
      <c r="FB2">
        <f>IF(ISBLANK('Data Entry'!$Þ$2), "", 'Data Entry'!$Þ$2)</f>
      </c>
      <c r="FC2">
        <f>IF(ISBLANK('Data Entry'!$ß$2), "", 'Data Entry'!$ß$2)</f>
      </c>
      <c r="FD2">
        <f>IF(ISBLANK('Data Entry'!$à$2), "", 'Data Entry'!$à$2)</f>
      </c>
      <c r="FE2">
        <f>IF(ISBLANK('Data Entry'!$á$2), "", 'Data Entry'!$á$2)</f>
      </c>
      <c r="FF2">
        <f>IF(ISBLANK('Data Entry'!$â$2), "", 'Data Entry'!$â$2)</f>
      </c>
      <c r="FG2">
        <f>IF(ISBLANK('Data Entry'!$ã$2), "", 'Data Entry'!$ã$2)</f>
      </c>
      <c r="FH2">
        <f>IF(ISBLANK('Data Entry'!$ä$2), "", 'Data Entry'!$ä$2)</f>
      </c>
      <c r="FI2">
        <f>IF(ISBLANK('Data Entry'!$å$2), "", 'Data Entry'!$å$2)</f>
      </c>
      <c r="FJ2">
        <f>IF(ISBLANK('Data Entry'!$æ$2), "", 'Data Entry'!$æ$2)</f>
      </c>
      <c r="FK2">
        <f>IF(ISBLANK('Data Entry'!$ç$2), "", 'Data Entry'!$ç$2)</f>
      </c>
      <c r="FL2">
        <f>IF(ISBLANK('Data Entry'!$è$2), "", 'Data Entry'!$è$2)</f>
      </c>
      <c r="FM2">
        <f>IF(ISBLANK('Data Entry'!$é$2), "", 'Data Entry'!$é$2)</f>
      </c>
      <c r="FN2">
        <f>IF(ISBLANK('Data Entry'!$ê$2), "", 'Data Entry'!$ê$2)</f>
      </c>
      <c r="FO2">
        <f>IF(ISBLANK('Data Entry'!$ë$2), "", 'Data Entry'!$ë$2)</f>
      </c>
      <c r="FP2">
        <f>IF(ISBLANK('Data Entry'!$ì$2), "", 'Data Entry'!$ì$2)</f>
      </c>
      <c r="FQ2">
        <f>IF(ISBLANK('Data Entry'!$í$2), "", 'Data Entry'!$í$2)</f>
      </c>
      <c r="FR2">
        <f>IF(ISBLANK('Data Entry'!$î$2), "", 'Data Entry'!$î$2)</f>
      </c>
      <c r="FS2">
        <f>IF(ISBLANK('Data Entry'!$ï$2), "", 'Data Entry'!$ï$2)</f>
      </c>
      <c r="FT2">
        <f>IF(ISBLANK('Data Entry'!$ð$2), "", 'Data Entry'!$ð$2)</f>
      </c>
      <c r="FU2">
        <f>IF(ISBLANK('Data Entry'!$ñ$2), "", 'Data Entry'!$ñ$2)</f>
      </c>
      <c r="FV2">
        <f>IF(ISBLANK('Data Entry'!$ò$2), "", 'Data Entry'!$ò$2)</f>
      </c>
      <c r="FW2">
        <f>IF(ISBLANK('Data Entry'!$ó$2), "", 'Data Entry'!$ó$2)</f>
      </c>
      <c r="FX2">
        <f>IF(ISBLANK('Data Entry'!$ô$2), "", 'Data Entry'!$ô$2)</f>
      </c>
      <c r="FY2">
        <f>IF(ISBLANK('Data Entry'!$õ$2), "", 'Data Entry'!$õ$2)</f>
      </c>
      <c r="FZ2">
        <f>IF(ISBLANK('Data Entry'!$ö$2), "", 'Data Entry'!$ö$2)</f>
      </c>
      <c r="GA2">
        <f>IF(ISBLANK('Data Entry'!$÷$2), "", 'Data Entry'!$÷$2)</f>
      </c>
      <c r="GB2">
        <f>IF(ISBLANK('Data Entry'!$ø$2), "", 'Data Entry'!$ø$2)</f>
      </c>
      <c r="GC2">
        <f>IF(ISBLANK('Data Entry'!$ù$2), "", 'Data Entry'!$ù$2)</f>
      </c>
      <c r="GD2">
        <f>IF(ISBLANK('Data Entry'!$ú$2), "", 'Data Entry'!$ú$2)</f>
      </c>
      <c r="GE2">
        <f>IF(ISBLANK('Data Entry'!$û$2), "", 'Data Entry'!$û$2)</f>
      </c>
      <c r="GF2">
        <f>IF(ISBLANK('Data Entry'!$ü$2), "", 'Data Entry'!$ü$2)</f>
      </c>
      <c r="GG2">
        <f>IF(ISBLANK('Data Entry'!$ý$2), "", 'Data Entry'!$ý$2)</f>
      </c>
      <c r="GH2">
        <f>IF(ISBLANK('Data Entry'!$þ$2), "", 'Data Entry'!$þ$2)</f>
      </c>
      <c r="GI2">
        <f>IF(ISBLANK('Data Entry'!$ÿ$2), "", 'Data Entry'!$ÿ$2)</f>
      </c>
      <c r="GJ2">
        <f>IF(ISBLANK('Data Entry'!$Ā$2), "", 'Data Entry'!$Ā$2)</f>
      </c>
      <c r="GK2">
        <f>IF(ISBLANK('Data Entry'!$ā$2), "", 'Data Entry'!$ā$2)</f>
      </c>
      <c r="GL2">
        <f>IF(ISBLANK('Data Entry'!$Ă$2), "", 'Data Entry'!$Ă$2)</f>
      </c>
      <c r="GM2">
        <f>IF(ISBLANK('Data Entry'!$ă$2), "", 'Data Entry'!$ă$2)</f>
      </c>
      <c r="GN2">
        <f>IF(ISBLANK('Data Entry'!$Ą$2), "", 'Data Entry'!$Ą$2)</f>
      </c>
      <c r="GO2">
        <f>IF(ISBLANK('Data Entry'!$ą$2), "", 'Data Entry'!$ą$2)</f>
      </c>
      <c r="GP2">
        <f>IF(ISBLANK('Data Entry'!$Ć$2), "", 'Data Entry'!$Ć$2)</f>
      </c>
      <c r="GQ2">
        <f>IF(ISBLANK('Data Entry'!$ć$2), "", 'Data Entry'!$ć$2)</f>
      </c>
      <c r="GR2">
        <f>IF(ISBLANK('Data Entry'!$Ĉ$2), "", 'Data Entry'!$Ĉ$2)</f>
      </c>
      <c r="GS2">
        <f>IF(ISBLANK('Data Entry'!$ĉ$2), "", 'Data Entry'!$ĉ$2)</f>
      </c>
      <c r="GT2">
        <f>IF(ISBLANK('Data Entry'!$Ċ$2), "", 'Data Entry'!$Ċ$2)</f>
      </c>
      <c r="GU2">
        <f>IF(ISBLANK('Data Entry'!$ċ$2), "", 'Data Entry'!$ċ$2)</f>
      </c>
      <c r="GV2">
        <f>IF(ISBLANK('Data Entry'!$Č$2), "", 'Data Entry'!$Č$2)</f>
      </c>
      <c r="GW2">
        <f>IF(ISBLANK('Data Entry'!$č$2), "", 'Data Entry'!$č$2)</f>
      </c>
      <c r="GX2">
        <f>IF(ISBLANK('Data Entry'!$Ď$2), "", 'Data Entry'!$Ď$2)</f>
      </c>
      <c r="GY2">
        <f>IF(ISBLANK('Data Entry'!$ď$2), "", 'Data Entry'!$ď$2)</f>
      </c>
      <c r="GZ2">
        <f>IF(ISBLANK('Data Entry'!$Đ$2), "", 'Data Entry'!$Đ$2)</f>
      </c>
      <c r="HA2">
        <f>IF(ISBLANK('Data Entry'!$đ$2), "", 'Data Entry'!$đ$2)</f>
      </c>
      <c r="HB2">
        <f>IF(ISBLANK('Data Entry'!$Ē$2), "", 'Data Entry'!$Ē$2)</f>
      </c>
      <c r="HC2">
        <f>IF(ISBLANK('Data Entry'!$ē$2), "", 'Data Entry'!$ē$2)</f>
      </c>
      <c r="HD2">
        <f>IF(ISBLANK('Data Entry'!$Ĕ$2), "", 'Data Entry'!$Ĕ$2)</f>
      </c>
      <c r="HE2">
        <f>IF(ISBLANK('Data Entry'!$ĕ$2), "", 'Data Entry'!$ĕ$2)</f>
      </c>
      <c r="HF2">
        <f>IF(ISBLANK('Data Entry'!$Ė$2), "", 'Data Entry'!$Ė$2)</f>
      </c>
      <c r="HG2">
        <f>IF(ISBLANK('Data Entry'!$ė$2), "", 'Data Entry'!$ė$2)</f>
      </c>
      <c r="HH2">
        <f>IF(ISBLANK('Data Entry'!$Ę$2), "", 'Data Entry'!$Ę$2)</f>
      </c>
      <c r="HI2">
        <f>IF(ISBLANK('Data Entry'!$ę$2), "", 'Data Entry'!$ę$2)</f>
      </c>
      <c r="HJ2">
        <f>IF(ISBLANK('Data Entry'!$Ě$2), "", 'Data Entry'!$Ě$2)</f>
      </c>
      <c r="HK2">
        <f>IF(ISBLANK('Data Entry'!$ě$2), "", 'Data Entry'!$ě$2)</f>
      </c>
      <c r="HL2">
        <f>IF(ISBLANK('Data Entry'!$Ĝ$2), "", 'Data Entry'!$Ĝ$2)</f>
      </c>
      <c r="HM2">
        <f>IF(ISBLANK('Data Entry'!$ĝ$2), "", 'Data Entry'!$ĝ$2)</f>
      </c>
      <c r="HN2">
        <f>IF(ISBLANK('Data Entry'!$Ğ$2), "", 'Data Entry'!$Ğ$2)</f>
      </c>
      <c r="HO2">
        <f>IF(ISBLANK('Data Entry'!$ğ$2), "", 'Data Entry'!$ğ$2)</f>
      </c>
      <c r="HP2">
        <f>IF(ISBLANK('Data Entry'!$Ġ$2), "", 'Data Entry'!$Ġ$2)</f>
      </c>
      <c r="HQ2">
        <f>IF(ISBLANK('Data Entry'!$ġ$2), "", 'Data Entry'!$ġ$2)</f>
      </c>
      <c r="HR2">
        <f>IF(ISBLANK('Data Entry'!$Ģ$2), "", 'Data Entry'!$Ģ$2)</f>
      </c>
      <c r="HS2">
        <f>IF(ISBLANK('Data Entry'!$ģ$2), "", 'Data Entry'!$ģ$2)</f>
      </c>
      <c r="HT2">
        <f>IF(ISBLANK('Data Entry'!$Ĥ$2), "", 'Data Entry'!$Ĥ$2)</f>
      </c>
      <c r="HU2">
        <f>IF(ISBLANK('Data Entry'!$ĥ$2), "", 'Data Entry'!$ĥ$2)</f>
      </c>
      <c r="HV2">
        <f>IF(ISBLANK('Data Entry'!$Ħ$2), "", 'Data Entry'!$Ħ$2)</f>
      </c>
      <c r="HW2">
        <f>IF(ISBLANK('Data Entry'!$ħ$2), "", 'Data Entry'!$ħ$2)</f>
      </c>
      <c r="HX2">
        <f>IF(ISBLANK('Data Entry'!$Ĩ$2), "", 'Data Entry'!$Ĩ$2)</f>
      </c>
      <c r="HY2">
        <f>IF(ISBLANK('Data Entry'!$ĩ$2), "", 'Data Entry'!$ĩ$2)</f>
      </c>
      <c r="HZ2">
        <f>IF(ISBLANK('Data Entry'!$Ī$2), "", 'Data Entry'!$Ī$2)</f>
      </c>
      <c r="IA2">
        <f>IF(ISBLANK('Data Entry'!$ī$2), "", 'Data Entry'!$ī$2)</f>
      </c>
      <c r="IB2">
        <f>IF(ISBLANK('Data Entry'!$Ĭ$2), "", 'Data Entry'!$Ĭ$2)</f>
      </c>
      <c r="IC2">
        <f>IF(ISBLANK('Data Entry'!$ĭ$2), "", 'Data Entry'!$ĭ$2)</f>
      </c>
      <c r="ID2">
        <f>IF(ISBLANK('Data Entry'!$Į$2), "", 'Data Entry'!$Į$2)</f>
      </c>
      <c r="IE2">
        <f>IF(ISBLANK('Data Entry'!$į$2), "", 'Data Entry'!$į$2)</f>
      </c>
      <c r="IF2">
        <f>IF(ISBLANK('Data Entry'!$İ$2), "", 'Data Entry'!$İ$2)</f>
      </c>
      <c r="IG2">
        <f>IF(ISBLANK('Data Entry'!$ı$2), "", 'Data Entry'!$ı$2)</f>
      </c>
      <c r="IH2">
        <f>IF(ISBLANK('Data Entry'!$Ĳ$2), "", 'Data Entry'!$Ĳ$2)</f>
      </c>
      <c r="II2">
        <f>IF(ISBLANK('Data Entry'!$ĳ$2), "", 'Data Entry'!$ĳ$2)</f>
      </c>
      <c r="IJ2">
        <f>IF(ISBLANK('Data Entry'!$Ĵ$2), "", 'Data Entry'!$Ĵ$2)</f>
      </c>
      <c r="IK2">
        <f>IF(ISBLANK('Data Entry'!$ĵ$2), "", 'Data Entry'!$ĵ$2)</f>
      </c>
      <c r="IL2">
        <f>IF(ISBLANK('Data Entry'!$Ķ$2), "", 'Data Entry'!$Ķ$2)</f>
      </c>
      <c r="IM2">
        <f>IF(ISBLANK('Data Entry'!$ķ$2), "", 'Data Entry'!$ķ$2)</f>
      </c>
      <c r="IN2">
        <f>IF(ISBLANK('Data Entry'!$ĸ$2), "", 'Data Entry'!$ĸ$2)</f>
      </c>
      <c r="IO2">
        <f>IF(ISBLANK('Data Entry'!$Ĺ$2), "", 'Data Entry'!$Ĺ$2)</f>
      </c>
      <c r="IP2">
        <f>IF(ISBLANK('Data Entry'!$ĺ$2), "", 'Data Entry'!$ĺ$2)</f>
      </c>
      <c r="IQ2">
        <f>IF(ISBLANK('Data Entry'!$Ļ$2), "", 'Data Entry'!$Ļ$2)</f>
      </c>
      <c r="IR2">
        <f>IF(ISBLANK('Data Entry'!$ļ$2), "", 'Data Entry'!$ļ$2)</f>
      </c>
      <c r="IS2">
        <f>IF(ISBLANK('Data Entry'!$Ľ$2), "", 'Data Entry'!$Ľ$2)</f>
      </c>
      <c r="IT2">
        <f>IF(ISBLANK('Data Entry'!$ľ$2), "", 'Data Entry'!$ľ$2)</f>
      </c>
    </row>
    <row r="3" spans="1:254" x14ac:dyDescent="0.25">
      <c r="A3">
        <f>IF(ISBLANK('Data Entry'!$A$3), "", 'Data Entry'!$A$3)</f>
      </c>
      <c r="B3">
        <f>IF(ISBLANK('Data Entry'!$B$3), "", 'Data Entry'!$B$3)</f>
      </c>
      <c r="C3">
        <f>IF(ISBLANK('Data Entry'!$C$3), "", 'Data Entry'!$C$3)</f>
      </c>
      <c r="D3">
        <f>IF(ISBLANK('Data Entry'!$D$3), "", 'Data Entry'!$D$3)</f>
      </c>
      <c r="E3">
        <f>IF(ISBLANK('Data Entry'!$E$3), "", 'Data Entry'!$E$3)</f>
      </c>
      <c r="F3">
        <f>IF(ISBLANK('Data Entry'!$F$3), "", 'Data Entry'!$F$3)</f>
      </c>
      <c r="G3">
        <f>IF(ISBLANK('Data Entry'!$G$3), "", 'Data Entry'!$G$3)</f>
      </c>
      <c r="H3">
        <f>IF(ISBLANK('Data Entry'!$H$3), "", 'Data Entry'!$H$3)</f>
      </c>
      <c r="I3">
        <f>IF(ISBLANK('Data Entry'!$I$3), "", 'Data Entry'!$I$3)</f>
      </c>
      <c r="J3">
        <f>IF(ISBLANK('Data Entry'!$J$3), "", 'Data Entry'!$J$3)</f>
      </c>
      <c r="K3">
        <f>IF(ISBLANK('Data Entry'!$K$3), "", 'Data Entry'!$K$3)</f>
      </c>
      <c r="L3">
        <f>IF(ISBLANK('Data Entry'!$L$3), "", 'Data Entry'!$L$3)</f>
      </c>
      <c r="M3">
        <f>IF(ISBLANK('Data Entry'!$M$3), "", 'Data Entry'!$M$3)</f>
      </c>
      <c r="N3">
        <f>IF(ISBLANK('Data Entry'!$N$3), "", 'Data Entry'!$N$3)</f>
      </c>
      <c r="O3">
        <f>IF(ISBLANK('Data Entry'!$O$3), "", 'Data Entry'!$O$3)</f>
      </c>
      <c r="P3">
        <f>IF(ISBLANK('Data Entry'!$P$3), "", 'Data Entry'!$P$3)</f>
      </c>
      <c r="Q3">
        <f>IF(ISBLANK('Data Entry'!$Q$3), "", 'Data Entry'!$Q$3)</f>
      </c>
      <c r="R3">
        <f>IF(ISBLANK('Data Entry'!$R$3), "", 'Data Entry'!$R$3)</f>
      </c>
      <c r="S3">
        <f>IF(ISBLANK('Data Entry'!$S$3), "", 'Data Entry'!$S$3)</f>
      </c>
      <c r="T3">
        <f>IF(ISBLANK('Data Entry'!$T$3), "", 'Data Entry'!$T$3)</f>
      </c>
      <c r="U3">
        <f>IF(ISBLANK('Data Entry'!$U$3), "", 'Data Entry'!$U$3)</f>
      </c>
      <c r="V3">
        <f>IF(ISBLANK('Data Entry'!$V$3), "", 'Data Entry'!$V$3)</f>
      </c>
      <c r="W3">
        <f>IF(ISBLANK('Data Entry'!$W$3), "", 'Data Entry'!$W$3)</f>
      </c>
      <c r="X3">
        <f>IF(ISBLANK('Data Entry'!$X$3), "", 'Data Entry'!$X$3)</f>
      </c>
      <c r="Y3">
        <f>IF(ISBLANK('Data Entry'!$Y$3), "", 'Data Entry'!$Y$3)</f>
      </c>
      <c r="Z3">
        <f>IF(ISBLANK('Data Entry'!$Z$3), "", 'Data Entry'!$Z$3)</f>
      </c>
      <c r="AA3">
        <f>IF(ISBLANK('Data Entry'!$[$3), "", 'Data Entry'!$[$3)</f>
      </c>
      <c r="AB3">
        <f>IF(ISBLANK('Data Entry'!$\$3), "", 'Data Entry'!$\$3)</f>
      </c>
      <c r="AC3">
        <f>IF(ISBLANK('Data Entry'!$]$3), "", 'Data Entry'!$]$3)</f>
      </c>
      <c r="AD3">
        <f>IF(ISBLANK('Data Entry'!$^$3), "", 'Data Entry'!$^$3)</f>
      </c>
      <c r="AE3">
        <f>IF(ISBLANK('Data Entry'!$_$3), "", 'Data Entry'!$_$3)</f>
      </c>
      <c r="AF3">
        <f>IF(ISBLANK('Data Entry'!$`$3), "", 'Data Entry'!$`$3)</f>
      </c>
      <c r="AG3">
        <f>IF(ISBLANK('Data Entry'!$a$3), "", 'Data Entry'!$a$3)</f>
      </c>
      <c r="AH3">
        <f>IF(ISBLANK('Data Entry'!$b$3), "", 'Data Entry'!$b$3)</f>
      </c>
      <c r="AI3">
        <f>IF(ISBLANK('Data Entry'!$c$3), "", 'Data Entry'!$c$3)</f>
      </c>
      <c r="AJ3">
        <f>IF(ISBLANK('Data Entry'!$d$3), "", 'Data Entry'!$d$3)</f>
      </c>
      <c r="AK3">
        <f>IF(ISBLANK('Data Entry'!$e$3), "", 'Data Entry'!$e$3)</f>
      </c>
      <c r="AL3">
        <f>IF(ISBLANK('Data Entry'!$f$3), "", 'Data Entry'!$f$3)</f>
      </c>
      <c r="AM3">
        <f>IF(ISBLANK('Data Entry'!$g$3), "", 'Data Entry'!$g$3)</f>
      </c>
      <c r="AN3">
        <f>IF(ISBLANK('Data Entry'!$h$3), "", 'Data Entry'!$h$3)</f>
      </c>
      <c r="AO3">
        <f>IF(ISBLANK('Data Entry'!$i$3), "", 'Data Entry'!$i$3)</f>
      </c>
      <c r="AP3">
        <f>IF(ISBLANK('Data Entry'!$j$3), "", 'Data Entry'!$j$3)</f>
      </c>
      <c r="AQ3">
        <f>IF(ISBLANK('Data Entry'!$k$3), "", 'Data Entry'!$k$3)</f>
      </c>
      <c r="AR3">
        <f>IF(ISBLANK('Data Entry'!$l$3), "", 'Data Entry'!$l$3)</f>
      </c>
      <c r="AS3">
        <f>IF(ISBLANK('Data Entry'!$m$3), "", 'Data Entry'!$m$3)</f>
      </c>
      <c r="AT3">
        <f>IF(ISBLANK('Data Entry'!$n$3), "", 'Data Entry'!$n$3)</f>
      </c>
      <c r="AU3">
        <f>IF(ISBLANK('Data Entry'!$o$3), "", 'Data Entry'!$o$3)</f>
      </c>
      <c r="AV3">
        <f>IF(ISBLANK('Data Entry'!$p$3), "", 'Data Entry'!$p$3)</f>
      </c>
      <c r="AW3">
        <f>IF(ISBLANK('Data Entry'!$q$3), "", 'Data Entry'!$q$3)</f>
      </c>
      <c r="AX3">
        <f>IF(ISBLANK('Data Entry'!$r$3), "", 'Data Entry'!$r$3)</f>
      </c>
      <c r="AY3">
        <f>IF(ISBLANK('Data Entry'!$s$3), "", 'Data Entry'!$s$3)</f>
      </c>
      <c r="AZ3">
        <f>IF(ISBLANK('Data Entry'!$t$3), "", 'Data Entry'!$t$3)</f>
      </c>
      <c r="BA3">
        <f>IF(ISBLANK('Data Entry'!$u$3), "", 'Data Entry'!$u$3)</f>
      </c>
      <c r="BB3">
        <f>IF(ISBLANK('Data Entry'!$v$3), "", 'Data Entry'!$v$3)</f>
      </c>
      <c r="BC3">
        <f>IF(ISBLANK('Data Entry'!$w$3), "", 'Data Entry'!$w$3)</f>
      </c>
      <c r="BD3">
        <f>IF(ISBLANK('Data Entry'!$x$3), "", 'Data Entry'!$x$3)</f>
      </c>
      <c r="BE3">
        <f>IF(ISBLANK('Data Entry'!$y$3), "", 'Data Entry'!$y$3)</f>
      </c>
      <c r="BF3">
        <f>IF(ISBLANK('Data Entry'!$z$3), "", 'Data Entry'!$z$3)</f>
      </c>
      <c r="BG3">
        <f>IF(ISBLANK('Data Entry'!${$3), "", 'Data Entry'!${$3)</f>
      </c>
      <c r="BH3">
        <f>IF(ISBLANK('Data Entry'!$|$3), "", 'Data Entry'!$|$3)</f>
      </c>
      <c r="BI3">
        <f>IF(ISBLANK('Data Entry'!$}$3), "", 'Data Entry'!$}$3)</f>
      </c>
      <c r="BJ3">
        <f>IF(ISBLANK('Data Entry'!$~$3), "", 'Data Entry'!$~$3)</f>
      </c>
      <c r="BK3">
        <f>IF(ISBLANK('Data Entry'!$$3), "", 'Data Entry'!$$3)</f>
      </c>
      <c r="BL3">
        <f>IF(ISBLANK('Data Entry'!$$3), "", 'Data Entry'!$$3)</f>
      </c>
      <c r="BM3">
        <f>IF(ISBLANK('Data Entry'!$$3), "", 'Data Entry'!$$3)</f>
      </c>
      <c r="BN3">
        <f>IF(ISBLANK('Data Entry'!$$3), "", 'Data Entry'!$$3)</f>
      </c>
      <c r="BO3">
        <f>IF(ISBLANK('Data Entry'!$$3), "", 'Data Entry'!$$3)</f>
      </c>
      <c r="BP3">
        <f>IF(ISBLANK('Data Entry'!$$3), "", 'Data Entry'!$$3)</f>
      </c>
      <c r="BQ3">
        <f>IF(ISBLANK('Data Entry'!$$3), "", 'Data Entry'!$$3)</f>
      </c>
      <c r="BR3">
        <f>IF(ISBLANK('Data Entry'!$$3), "", 'Data Entry'!$$3)</f>
      </c>
      <c r="BS3">
        <f>IF(ISBLANK('Data Entry'!$$3), "", 'Data Entry'!$$3)</f>
      </c>
      <c r="BT3">
        <f>IF(ISBLANK('Data Entry'!$$3), "", 'Data Entry'!$$3)</f>
      </c>
      <c r="BU3">
        <f>IF(ISBLANK('Data Entry'!$$3), "", 'Data Entry'!$$3)</f>
      </c>
      <c r="BV3">
        <f>IF(ISBLANK('Data Entry'!$$3), "", 'Data Entry'!$$3)</f>
      </c>
      <c r="BW3">
        <f>IF(ISBLANK('Data Entry'!$$3), "", 'Data Entry'!$$3)</f>
      </c>
      <c r="BX3">
        <f>IF(ISBLANK('Data Entry'!$$3), "", 'Data Entry'!$$3)</f>
      </c>
      <c r="BY3">
        <f>IF(ISBLANK('Data Entry'!$$3), "", 'Data Entry'!$$3)</f>
      </c>
      <c r="BZ3">
        <f>IF(ISBLANK('Data Entry'!$$3), "", 'Data Entry'!$$3)</f>
      </c>
      <c r="CA3">
        <f>IF(ISBLANK('Data Entry'!$$3), "", 'Data Entry'!$$3)</f>
      </c>
      <c r="CB3">
        <f>IF(ISBLANK('Data Entry'!$$3), "", 'Data Entry'!$$3)</f>
      </c>
      <c r="CC3">
        <f>IF(ISBLANK('Data Entry'!$$3), "", 'Data Entry'!$$3)</f>
      </c>
      <c r="CD3">
        <f>IF(ISBLANK('Data Entry'!$$3), "", 'Data Entry'!$$3)</f>
      </c>
      <c r="CE3">
        <f>IF(ISBLANK('Data Entry'!$$3), "", 'Data Entry'!$$3)</f>
      </c>
      <c r="CF3">
        <f>IF(ISBLANK('Data Entry'!$$3), "", 'Data Entry'!$$3)</f>
      </c>
      <c r="CG3">
        <f>IF(ISBLANK('Data Entry'!$$3), "", 'Data Entry'!$$3)</f>
      </c>
      <c r="CH3">
        <f>IF(ISBLANK('Data Entry'!$$3), "", 'Data Entry'!$$3)</f>
      </c>
      <c r="CI3">
        <f>IF(ISBLANK('Data Entry'!$$3), "", 'Data Entry'!$$3)</f>
      </c>
      <c r="CJ3">
        <f>IF(ISBLANK('Data Entry'!$$3), "", 'Data Entry'!$$3)</f>
      </c>
      <c r="CK3">
        <f>IF(ISBLANK('Data Entry'!$$3), "", 'Data Entry'!$$3)</f>
      </c>
      <c r="CL3">
        <f>IF(ISBLANK('Data Entry'!$$3), "", 'Data Entry'!$$3)</f>
      </c>
      <c r="CM3">
        <f>IF(ISBLANK('Data Entry'!$$3), "", 'Data Entry'!$$3)</f>
      </c>
      <c r="CN3">
        <f>IF(ISBLANK('Data Entry'!$$3), "", 'Data Entry'!$$3)</f>
      </c>
      <c r="CO3">
        <f>IF(ISBLANK('Data Entry'!$$3), "", 'Data Entry'!$$3)</f>
      </c>
      <c r="CP3">
        <f>IF(ISBLANK('Data Entry'!$$3), "", 'Data Entry'!$$3)</f>
      </c>
      <c r="CQ3">
        <f>IF(ISBLANK('Data Entry'!$$3), "", 'Data Entry'!$$3)</f>
      </c>
      <c r="CR3">
        <f>IF(ISBLANK('Data Entry'!$ $3), "", 'Data Entry'!$ $3)</f>
      </c>
      <c r="CS3">
        <f>IF(ISBLANK('Data Entry'!$¡$3), "", 'Data Entry'!$¡$3)</f>
      </c>
      <c r="CT3">
        <f>IF(ISBLANK('Data Entry'!$¢$3), "", 'Data Entry'!$¢$3)</f>
      </c>
      <c r="CU3">
        <f>IF(ISBLANK('Data Entry'!$£$3), "", 'Data Entry'!$£$3)</f>
      </c>
      <c r="CV3">
        <f>IF(ISBLANK('Data Entry'!$¤$3), "", 'Data Entry'!$¤$3)</f>
      </c>
      <c r="CW3">
        <f>IF(ISBLANK('Data Entry'!$¥$3), "", 'Data Entry'!$¥$3)</f>
      </c>
      <c r="CX3">
        <f>IF(ISBLANK('Data Entry'!$¦$3), "", 'Data Entry'!$¦$3)</f>
      </c>
      <c r="CY3">
        <f>IF(ISBLANK('Data Entry'!$§$3), "", 'Data Entry'!$§$3)</f>
      </c>
      <c r="CZ3">
        <f>IF(ISBLANK('Data Entry'!$¨$3), "", 'Data Entry'!$¨$3)</f>
      </c>
      <c r="DA3">
        <f>IF(ISBLANK('Data Entry'!$©$3), "", 'Data Entry'!$©$3)</f>
      </c>
      <c r="DB3">
        <f>IF(ISBLANK('Data Entry'!$ª$3), "", 'Data Entry'!$ª$3)</f>
      </c>
      <c r="DC3">
        <f>IF(ISBLANK('Data Entry'!$«$3), "", 'Data Entry'!$«$3)</f>
      </c>
      <c r="DD3">
        <f>IF(ISBLANK('Data Entry'!$¬$3), "", 'Data Entry'!$¬$3)</f>
      </c>
      <c r="DE3">
        <f>IF(ISBLANK('Data Entry'!$­$3), "", 'Data Entry'!$­$3)</f>
      </c>
      <c r="DF3">
        <f>IF(ISBLANK('Data Entry'!$®$3), "", 'Data Entry'!$®$3)</f>
      </c>
      <c r="DG3">
        <f>IF(ISBLANK('Data Entry'!$¯$3), "", 'Data Entry'!$¯$3)</f>
      </c>
      <c r="DH3">
        <f>IF(ISBLANK('Data Entry'!$°$3), "", 'Data Entry'!$°$3)</f>
      </c>
      <c r="DI3">
        <f>IF(ISBLANK('Data Entry'!$±$3), "", 'Data Entry'!$±$3)</f>
      </c>
      <c r="DJ3">
        <f>IF(ISBLANK('Data Entry'!$²$3), "", 'Data Entry'!$²$3)</f>
      </c>
      <c r="DK3">
        <f>IF(ISBLANK('Data Entry'!$³$3), "", 'Data Entry'!$³$3)</f>
      </c>
      <c r="DL3">
        <f>IF(ISBLANK('Data Entry'!$´$3), "", 'Data Entry'!$´$3)</f>
      </c>
      <c r="DM3">
        <f>IF(ISBLANK('Data Entry'!$µ$3), "", 'Data Entry'!$µ$3)</f>
      </c>
      <c r="DN3">
        <f>IF(ISBLANK('Data Entry'!$¶$3), "", 'Data Entry'!$¶$3)</f>
      </c>
      <c r="DO3">
        <f>IF(ISBLANK('Data Entry'!$·$3), "", 'Data Entry'!$·$3)</f>
      </c>
      <c r="DP3">
        <f>IF(ISBLANK('Data Entry'!$¸$3), "", 'Data Entry'!$¸$3)</f>
      </c>
      <c r="DQ3">
        <f>IF(ISBLANK('Data Entry'!$¹$3), "", 'Data Entry'!$¹$3)</f>
      </c>
      <c r="DR3">
        <f>IF(ISBLANK('Data Entry'!$º$3), "", 'Data Entry'!$º$3)</f>
      </c>
      <c r="DS3">
        <f>IF(ISBLANK('Data Entry'!$»$3), "", 'Data Entry'!$»$3)</f>
      </c>
      <c r="DT3">
        <f>IF(ISBLANK('Data Entry'!$¼$3), "", 'Data Entry'!$¼$3)</f>
      </c>
      <c r="DU3">
        <f>IF(ISBLANK('Data Entry'!$½$3), "", 'Data Entry'!$½$3)</f>
      </c>
      <c r="DV3">
        <f>IF(ISBLANK('Data Entry'!$¾$3), "", 'Data Entry'!$¾$3)</f>
      </c>
      <c r="DW3">
        <f>IF(ISBLANK('Data Entry'!$¿$3), "", 'Data Entry'!$¿$3)</f>
      </c>
      <c r="DX3">
        <f>IF(ISBLANK('Data Entry'!$À$3), "", 'Data Entry'!$À$3)</f>
      </c>
      <c r="DY3">
        <f>IF(ISBLANK('Data Entry'!$Á$3), "", 'Data Entry'!$Á$3)</f>
      </c>
      <c r="DZ3">
        <f>IF(ISBLANK('Data Entry'!$Â$3), "", 'Data Entry'!$Â$3)</f>
      </c>
      <c r="EA3">
        <f>IF(ISBLANK('Data Entry'!$Ã$3), "", 'Data Entry'!$Ã$3)</f>
      </c>
      <c r="EB3">
        <f>IF(ISBLANK('Data Entry'!$Ä$3), "", 'Data Entry'!$Ä$3)</f>
      </c>
      <c r="EC3">
        <f>IF(ISBLANK('Data Entry'!$Å$3), "", 'Data Entry'!$Å$3)</f>
      </c>
      <c r="ED3">
        <f>IF(ISBLANK('Data Entry'!$Æ$3), "", 'Data Entry'!$Æ$3)</f>
      </c>
      <c r="EE3">
        <f>IF(ISBLANK('Data Entry'!$Ç$3), "", 'Data Entry'!$Ç$3)</f>
      </c>
      <c r="EF3">
        <f>IF(ISBLANK('Data Entry'!$È$3), "", 'Data Entry'!$È$3)</f>
      </c>
      <c r="EG3">
        <f>IF(ISBLANK('Data Entry'!$É$3), "", 'Data Entry'!$É$3)</f>
      </c>
      <c r="EH3">
        <f>IF(ISBLANK('Data Entry'!$Ê$3), "", 'Data Entry'!$Ê$3)</f>
      </c>
      <c r="EI3">
        <f>IF(ISBLANK('Data Entry'!$Ë$3), "", 'Data Entry'!$Ë$3)</f>
      </c>
      <c r="EJ3">
        <f>IF(ISBLANK('Data Entry'!$Ì$3), "", 'Data Entry'!$Ì$3)</f>
      </c>
      <c r="EK3">
        <f>IF(ISBLANK('Data Entry'!$Í$3), "", 'Data Entry'!$Í$3)</f>
      </c>
      <c r="EL3">
        <f>IF(ISBLANK('Data Entry'!$Î$3), "", 'Data Entry'!$Î$3)</f>
      </c>
      <c r="EM3">
        <f>IF(ISBLANK('Data Entry'!$Ï$3), "", 'Data Entry'!$Ï$3)</f>
      </c>
      <c r="EN3">
        <f>IF(ISBLANK('Data Entry'!$Ð$3), "", 'Data Entry'!$Ð$3)</f>
      </c>
      <c r="EO3">
        <f>IF(ISBLANK('Data Entry'!$Ñ$3), "", 'Data Entry'!$Ñ$3)</f>
      </c>
      <c r="EP3">
        <f>IF(ISBLANK('Data Entry'!$Ò$3), "", 'Data Entry'!$Ò$3)</f>
      </c>
      <c r="EQ3">
        <f>IF(ISBLANK('Data Entry'!$Ó$3), "", 'Data Entry'!$Ó$3)</f>
      </c>
      <c r="ER3">
        <f>IF(ISBLANK('Data Entry'!$Ô$3), "", 'Data Entry'!$Ô$3)</f>
      </c>
      <c r="ES3">
        <f>IF(ISBLANK('Data Entry'!$Õ$3), "", 'Data Entry'!$Õ$3)</f>
      </c>
      <c r="ET3">
        <f>IF(ISBLANK('Data Entry'!$Ö$3), "", 'Data Entry'!$Ö$3)</f>
      </c>
      <c r="EU3">
        <f>IF(ISBLANK('Data Entry'!$×$3), "", 'Data Entry'!$×$3)</f>
      </c>
      <c r="EV3">
        <f>IF(ISBLANK('Data Entry'!$Ø$3), "", 'Data Entry'!$Ø$3)</f>
      </c>
      <c r="EW3">
        <f>IF(ISBLANK('Data Entry'!$Ù$3), "", 'Data Entry'!$Ù$3)</f>
      </c>
      <c r="EX3">
        <f>IF(ISBLANK('Data Entry'!$Ú$3), "", 'Data Entry'!$Ú$3)</f>
      </c>
      <c r="EY3">
        <f>IF(ISBLANK('Data Entry'!$Û$3), "", 'Data Entry'!$Û$3)</f>
      </c>
      <c r="EZ3">
        <f>IF(ISBLANK('Data Entry'!$Ü$3), "", 'Data Entry'!$Ü$3)</f>
      </c>
      <c r="FA3">
        <f>IF(ISBLANK('Data Entry'!$Ý$3), "", 'Data Entry'!$Ý$3)</f>
      </c>
      <c r="FB3">
        <f>IF(ISBLANK('Data Entry'!$Þ$3), "", 'Data Entry'!$Þ$3)</f>
      </c>
      <c r="FC3">
        <f>IF(ISBLANK('Data Entry'!$ß$3), "", 'Data Entry'!$ß$3)</f>
      </c>
      <c r="FD3">
        <f>IF(ISBLANK('Data Entry'!$à$3), "", 'Data Entry'!$à$3)</f>
      </c>
      <c r="FE3">
        <f>IF(ISBLANK('Data Entry'!$á$3), "", 'Data Entry'!$á$3)</f>
      </c>
      <c r="FF3">
        <f>IF(ISBLANK('Data Entry'!$â$3), "", 'Data Entry'!$â$3)</f>
      </c>
      <c r="FG3">
        <f>IF(ISBLANK('Data Entry'!$ã$3), "", 'Data Entry'!$ã$3)</f>
      </c>
      <c r="FH3">
        <f>IF(ISBLANK('Data Entry'!$ä$3), "", 'Data Entry'!$ä$3)</f>
      </c>
      <c r="FI3">
        <f>IF(ISBLANK('Data Entry'!$å$3), "", 'Data Entry'!$å$3)</f>
      </c>
      <c r="FJ3">
        <f>IF(ISBLANK('Data Entry'!$æ$3), "", 'Data Entry'!$æ$3)</f>
      </c>
      <c r="FK3">
        <f>IF(ISBLANK('Data Entry'!$ç$3), "", 'Data Entry'!$ç$3)</f>
      </c>
      <c r="FL3">
        <f>IF(ISBLANK('Data Entry'!$è$3), "", 'Data Entry'!$è$3)</f>
      </c>
      <c r="FM3">
        <f>IF(ISBLANK('Data Entry'!$é$3), "", 'Data Entry'!$é$3)</f>
      </c>
      <c r="FN3">
        <f>IF(ISBLANK('Data Entry'!$ê$3), "", 'Data Entry'!$ê$3)</f>
      </c>
      <c r="FO3">
        <f>IF(ISBLANK('Data Entry'!$ë$3), "", 'Data Entry'!$ë$3)</f>
      </c>
      <c r="FP3">
        <f>IF(ISBLANK('Data Entry'!$ì$3), "", 'Data Entry'!$ì$3)</f>
      </c>
      <c r="FQ3">
        <f>IF(ISBLANK('Data Entry'!$í$3), "", 'Data Entry'!$í$3)</f>
      </c>
      <c r="FR3">
        <f>IF(ISBLANK('Data Entry'!$î$3), "", 'Data Entry'!$î$3)</f>
      </c>
      <c r="FS3">
        <f>IF(ISBLANK('Data Entry'!$ï$3), "", 'Data Entry'!$ï$3)</f>
      </c>
      <c r="FT3">
        <f>IF(ISBLANK('Data Entry'!$ð$3), "", 'Data Entry'!$ð$3)</f>
      </c>
      <c r="FU3">
        <f>IF(ISBLANK('Data Entry'!$ñ$3), "", 'Data Entry'!$ñ$3)</f>
      </c>
      <c r="FV3">
        <f>IF(ISBLANK('Data Entry'!$ò$3), "", 'Data Entry'!$ò$3)</f>
      </c>
      <c r="FW3">
        <f>IF(ISBLANK('Data Entry'!$ó$3), "", 'Data Entry'!$ó$3)</f>
      </c>
      <c r="FX3">
        <f>IF(ISBLANK('Data Entry'!$ô$3), "", 'Data Entry'!$ô$3)</f>
      </c>
      <c r="FY3">
        <f>IF(ISBLANK('Data Entry'!$õ$3), "", 'Data Entry'!$õ$3)</f>
      </c>
      <c r="FZ3">
        <f>IF(ISBLANK('Data Entry'!$ö$3), "", 'Data Entry'!$ö$3)</f>
      </c>
      <c r="GA3">
        <f>IF(ISBLANK('Data Entry'!$÷$3), "", 'Data Entry'!$÷$3)</f>
      </c>
      <c r="GB3">
        <f>IF(ISBLANK('Data Entry'!$ø$3), "", 'Data Entry'!$ø$3)</f>
      </c>
      <c r="GC3">
        <f>IF(ISBLANK('Data Entry'!$ù$3), "", 'Data Entry'!$ù$3)</f>
      </c>
      <c r="GD3">
        <f>IF(ISBLANK('Data Entry'!$ú$3), "", 'Data Entry'!$ú$3)</f>
      </c>
      <c r="GE3">
        <f>IF(ISBLANK('Data Entry'!$û$3), "", 'Data Entry'!$û$3)</f>
      </c>
      <c r="GF3">
        <f>IF(ISBLANK('Data Entry'!$ü$3), "", 'Data Entry'!$ü$3)</f>
      </c>
      <c r="GG3">
        <f>IF(ISBLANK('Data Entry'!$ý$3), "", 'Data Entry'!$ý$3)</f>
      </c>
      <c r="GH3">
        <f>IF(ISBLANK('Data Entry'!$þ$3), "", 'Data Entry'!$þ$3)</f>
      </c>
      <c r="GI3">
        <f>IF(ISBLANK('Data Entry'!$ÿ$3), "", 'Data Entry'!$ÿ$3)</f>
      </c>
      <c r="GJ3">
        <f>IF(ISBLANK('Data Entry'!$Ā$3), "", 'Data Entry'!$Ā$3)</f>
      </c>
      <c r="GK3">
        <f>IF(ISBLANK('Data Entry'!$ā$3), "", 'Data Entry'!$ā$3)</f>
      </c>
      <c r="GL3">
        <f>IF(ISBLANK('Data Entry'!$Ă$3), "", 'Data Entry'!$Ă$3)</f>
      </c>
      <c r="GM3">
        <f>IF(ISBLANK('Data Entry'!$ă$3), "", 'Data Entry'!$ă$3)</f>
      </c>
      <c r="GN3">
        <f>IF(ISBLANK('Data Entry'!$Ą$3), "", 'Data Entry'!$Ą$3)</f>
      </c>
      <c r="GO3">
        <f>IF(ISBLANK('Data Entry'!$ą$3), "", 'Data Entry'!$ą$3)</f>
      </c>
      <c r="GP3">
        <f>IF(ISBLANK('Data Entry'!$Ć$3), "", 'Data Entry'!$Ć$3)</f>
      </c>
      <c r="GQ3">
        <f>IF(ISBLANK('Data Entry'!$ć$3), "", 'Data Entry'!$ć$3)</f>
      </c>
      <c r="GR3">
        <f>IF(ISBLANK('Data Entry'!$Ĉ$3), "", 'Data Entry'!$Ĉ$3)</f>
      </c>
      <c r="GS3">
        <f>IF(ISBLANK('Data Entry'!$ĉ$3), "", 'Data Entry'!$ĉ$3)</f>
      </c>
      <c r="GT3">
        <f>IF(ISBLANK('Data Entry'!$Ċ$3), "", 'Data Entry'!$Ċ$3)</f>
      </c>
      <c r="GU3">
        <f>IF(ISBLANK('Data Entry'!$ċ$3), "", 'Data Entry'!$ċ$3)</f>
      </c>
      <c r="GV3">
        <f>IF(ISBLANK('Data Entry'!$Č$3), "", 'Data Entry'!$Č$3)</f>
      </c>
      <c r="GW3">
        <f>IF(ISBLANK('Data Entry'!$č$3), "", 'Data Entry'!$č$3)</f>
      </c>
      <c r="GX3">
        <f>IF(ISBLANK('Data Entry'!$Ď$3), "", 'Data Entry'!$Ď$3)</f>
      </c>
      <c r="GY3">
        <f>IF(ISBLANK('Data Entry'!$ď$3), "", 'Data Entry'!$ď$3)</f>
      </c>
      <c r="GZ3">
        <f>IF(ISBLANK('Data Entry'!$Đ$3), "", 'Data Entry'!$Đ$3)</f>
      </c>
      <c r="HA3">
        <f>IF(ISBLANK('Data Entry'!$đ$3), "", 'Data Entry'!$đ$3)</f>
      </c>
      <c r="HB3">
        <f>IF(ISBLANK('Data Entry'!$Ē$3), "", 'Data Entry'!$Ē$3)</f>
      </c>
      <c r="HC3">
        <f>IF(ISBLANK('Data Entry'!$ē$3), "", 'Data Entry'!$ē$3)</f>
      </c>
      <c r="HD3">
        <f>IF(ISBLANK('Data Entry'!$Ĕ$3), "", 'Data Entry'!$Ĕ$3)</f>
      </c>
      <c r="HE3">
        <f>IF(ISBLANK('Data Entry'!$ĕ$3), "", 'Data Entry'!$ĕ$3)</f>
      </c>
      <c r="HF3">
        <f>IF(ISBLANK('Data Entry'!$Ė$3), "", 'Data Entry'!$Ė$3)</f>
      </c>
      <c r="HG3">
        <f>IF(ISBLANK('Data Entry'!$ė$3), "", 'Data Entry'!$ė$3)</f>
      </c>
      <c r="HH3">
        <f>IF(ISBLANK('Data Entry'!$Ę$3), "", 'Data Entry'!$Ę$3)</f>
      </c>
      <c r="HI3">
        <f>IF(ISBLANK('Data Entry'!$ę$3), "", 'Data Entry'!$ę$3)</f>
      </c>
      <c r="HJ3">
        <f>IF(ISBLANK('Data Entry'!$Ě$3), "", 'Data Entry'!$Ě$3)</f>
      </c>
      <c r="HK3">
        <f>IF(ISBLANK('Data Entry'!$ě$3), "", 'Data Entry'!$ě$3)</f>
      </c>
      <c r="HL3">
        <f>IF(ISBLANK('Data Entry'!$Ĝ$3), "", 'Data Entry'!$Ĝ$3)</f>
      </c>
      <c r="HM3">
        <f>IF(ISBLANK('Data Entry'!$ĝ$3), "", 'Data Entry'!$ĝ$3)</f>
      </c>
      <c r="HN3">
        <f>IF(ISBLANK('Data Entry'!$Ğ$3), "", 'Data Entry'!$Ğ$3)</f>
      </c>
      <c r="HO3">
        <f>IF(ISBLANK('Data Entry'!$ğ$3), "", 'Data Entry'!$ğ$3)</f>
      </c>
      <c r="HP3">
        <f>IF(ISBLANK('Data Entry'!$Ġ$3), "", 'Data Entry'!$Ġ$3)</f>
      </c>
      <c r="HQ3">
        <f>IF(ISBLANK('Data Entry'!$ġ$3), "", 'Data Entry'!$ġ$3)</f>
      </c>
      <c r="HR3">
        <f>IF(ISBLANK('Data Entry'!$Ģ$3), "", 'Data Entry'!$Ģ$3)</f>
      </c>
      <c r="HS3">
        <f>IF(ISBLANK('Data Entry'!$ģ$3), "", 'Data Entry'!$ģ$3)</f>
      </c>
      <c r="HT3">
        <f>IF(ISBLANK('Data Entry'!$Ĥ$3), "", 'Data Entry'!$Ĥ$3)</f>
      </c>
      <c r="HU3">
        <f>IF(ISBLANK('Data Entry'!$ĥ$3), "", 'Data Entry'!$ĥ$3)</f>
      </c>
      <c r="HV3">
        <f>IF(ISBLANK('Data Entry'!$Ħ$3), "", 'Data Entry'!$Ħ$3)</f>
      </c>
      <c r="HW3">
        <f>IF(ISBLANK('Data Entry'!$ħ$3), "", 'Data Entry'!$ħ$3)</f>
      </c>
      <c r="HX3">
        <f>IF(ISBLANK('Data Entry'!$Ĩ$3), "", 'Data Entry'!$Ĩ$3)</f>
      </c>
      <c r="HY3">
        <f>IF(ISBLANK('Data Entry'!$ĩ$3), "", 'Data Entry'!$ĩ$3)</f>
      </c>
      <c r="HZ3">
        <f>IF(ISBLANK('Data Entry'!$Ī$3), "", 'Data Entry'!$Ī$3)</f>
      </c>
      <c r="IA3">
        <f>IF(ISBLANK('Data Entry'!$ī$3), "", 'Data Entry'!$ī$3)</f>
      </c>
      <c r="IB3">
        <f>IF(ISBLANK('Data Entry'!$Ĭ$3), "", 'Data Entry'!$Ĭ$3)</f>
      </c>
      <c r="IC3">
        <f>IF(ISBLANK('Data Entry'!$ĭ$3), "", 'Data Entry'!$ĭ$3)</f>
      </c>
      <c r="ID3">
        <f>IF(ISBLANK('Data Entry'!$Į$3), "", 'Data Entry'!$Į$3)</f>
      </c>
      <c r="IE3">
        <f>IF(ISBLANK('Data Entry'!$į$3), "", 'Data Entry'!$į$3)</f>
      </c>
      <c r="IF3">
        <f>IF(ISBLANK('Data Entry'!$İ$3), "", 'Data Entry'!$İ$3)</f>
      </c>
      <c r="IG3">
        <f>IF(ISBLANK('Data Entry'!$ı$3), "", 'Data Entry'!$ı$3)</f>
      </c>
      <c r="IH3">
        <f>IF(ISBLANK('Data Entry'!$Ĳ$3), "", 'Data Entry'!$Ĳ$3)</f>
      </c>
      <c r="II3">
        <f>IF(ISBLANK('Data Entry'!$ĳ$3), "", 'Data Entry'!$ĳ$3)</f>
      </c>
      <c r="IJ3">
        <f>IF(ISBLANK('Data Entry'!$Ĵ$3), "", 'Data Entry'!$Ĵ$3)</f>
      </c>
      <c r="IK3">
        <f>IF(ISBLANK('Data Entry'!$ĵ$3), "", 'Data Entry'!$ĵ$3)</f>
      </c>
      <c r="IL3">
        <f>IF(ISBLANK('Data Entry'!$Ķ$3), "", 'Data Entry'!$Ķ$3)</f>
      </c>
      <c r="IM3">
        <f>IF(ISBLANK('Data Entry'!$ķ$3), "", 'Data Entry'!$ķ$3)</f>
      </c>
      <c r="IN3">
        <f>IF(ISBLANK('Data Entry'!$ĸ$3), "", 'Data Entry'!$ĸ$3)</f>
      </c>
      <c r="IO3">
        <f>IF(ISBLANK('Data Entry'!$Ĺ$3), "", 'Data Entry'!$Ĺ$3)</f>
      </c>
      <c r="IP3">
        <f>IF(ISBLANK('Data Entry'!$ĺ$3), "", 'Data Entry'!$ĺ$3)</f>
      </c>
      <c r="IQ3">
        <f>IF(ISBLANK('Data Entry'!$Ļ$3), "", 'Data Entry'!$Ļ$3)</f>
      </c>
      <c r="IR3">
        <f>IF(ISBLANK('Data Entry'!$ļ$3), "", 'Data Entry'!$ļ$3)</f>
      </c>
      <c r="IS3">
        <f>IF(ISBLANK('Data Entry'!$Ľ$3), "", 'Data Entry'!$Ľ$3)</f>
      </c>
      <c r="IT3">
        <f>IF(ISBLANK('Data Entry'!$ľ$3), "", 'Data Entry'!$ľ$3)</f>
      </c>
    </row>
    <row r="4" spans="1:254" x14ac:dyDescent="0.25">
      <c r="A4">
        <f>IF(ISBLANK('Data Entry'!$A$4), "", 'Data Entry'!$A$4)</f>
      </c>
      <c r="B4">
        <f>IF(ISBLANK('Data Entry'!$B$4), "", 'Data Entry'!$B$4)</f>
      </c>
      <c r="C4">
        <f>IF(ISBLANK('Data Entry'!$C$4), "", 'Data Entry'!$C$4)</f>
      </c>
      <c r="D4">
        <f>IF(ISBLANK('Data Entry'!$D$4), "", 'Data Entry'!$D$4)</f>
      </c>
      <c r="E4">
        <f>IF(ISBLANK('Data Entry'!$E$4), "", 'Data Entry'!$E$4)</f>
      </c>
      <c r="F4">
        <f>IF(ISBLANK('Data Entry'!$F$4), "", 'Data Entry'!$F$4)</f>
      </c>
      <c r="G4">
        <f>IF(ISBLANK('Data Entry'!$G$4), "", 'Data Entry'!$G$4)</f>
      </c>
      <c r="H4">
        <f>IF(ISBLANK('Data Entry'!$H$4), "", 'Data Entry'!$H$4)</f>
      </c>
      <c r="I4">
        <f>IF(ISBLANK('Data Entry'!$I$4), "", 'Data Entry'!$I$4)</f>
      </c>
      <c r="J4">
        <f>IF(ISBLANK('Data Entry'!$J$4), "", 'Data Entry'!$J$4)</f>
      </c>
      <c r="K4">
        <f>IF(ISBLANK('Data Entry'!$K$4), "", 'Data Entry'!$K$4)</f>
      </c>
      <c r="L4">
        <f>IF(ISBLANK('Data Entry'!$L$4), "", 'Data Entry'!$L$4)</f>
      </c>
      <c r="M4">
        <f>IF(ISBLANK('Data Entry'!$M$4), "", 'Data Entry'!$M$4)</f>
      </c>
      <c r="N4">
        <f>IF(ISBLANK('Data Entry'!$N$4), "", 'Data Entry'!$N$4)</f>
      </c>
      <c r="O4">
        <f>IF(ISBLANK('Data Entry'!$O$4), "", 'Data Entry'!$O$4)</f>
      </c>
      <c r="P4">
        <f>IF(ISBLANK('Data Entry'!$P$4), "", 'Data Entry'!$P$4)</f>
      </c>
      <c r="Q4">
        <f>IF(ISBLANK('Data Entry'!$Q$4), "", 'Data Entry'!$Q$4)</f>
      </c>
      <c r="R4">
        <f>IF(ISBLANK('Data Entry'!$R$4), "", 'Data Entry'!$R$4)</f>
      </c>
      <c r="S4">
        <f>IF(ISBLANK('Data Entry'!$S$4), "", 'Data Entry'!$S$4)</f>
      </c>
      <c r="T4">
        <f>IF(ISBLANK('Data Entry'!$T$4), "", 'Data Entry'!$T$4)</f>
      </c>
      <c r="U4">
        <f>IF(ISBLANK('Data Entry'!$U$4), "", 'Data Entry'!$U$4)</f>
      </c>
      <c r="V4">
        <f>IF(ISBLANK('Data Entry'!$V$4), "", 'Data Entry'!$V$4)</f>
      </c>
      <c r="W4">
        <f>IF(ISBLANK('Data Entry'!$W$4), "", 'Data Entry'!$W$4)</f>
      </c>
      <c r="X4">
        <f>IF(ISBLANK('Data Entry'!$X$4), "", 'Data Entry'!$X$4)</f>
      </c>
      <c r="Y4">
        <f>IF(ISBLANK('Data Entry'!$Y$4), "", 'Data Entry'!$Y$4)</f>
      </c>
      <c r="Z4">
        <f>IF(ISBLANK('Data Entry'!$Z$4), "", 'Data Entry'!$Z$4)</f>
      </c>
      <c r="AA4">
        <f>IF(ISBLANK('Data Entry'!$[$4), "", 'Data Entry'!$[$4)</f>
      </c>
      <c r="AB4">
        <f>IF(ISBLANK('Data Entry'!$\$4), "", 'Data Entry'!$\$4)</f>
      </c>
      <c r="AC4">
        <f>IF(ISBLANK('Data Entry'!$]$4), "", 'Data Entry'!$]$4)</f>
      </c>
      <c r="AD4">
        <f>IF(ISBLANK('Data Entry'!$^$4), "", 'Data Entry'!$^$4)</f>
      </c>
      <c r="AE4">
        <f>IF(ISBLANK('Data Entry'!$_$4), "", 'Data Entry'!$_$4)</f>
      </c>
      <c r="AF4">
        <f>IF(ISBLANK('Data Entry'!$`$4), "", 'Data Entry'!$`$4)</f>
      </c>
      <c r="AG4">
        <f>IF(ISBLANK('Data Entry'!$a$4), "", 'Data Entry'!$a$4)</f>
      </c>
      <c r="AH4">
        <f>IF(ISBLANK('Data Entry'!$b$4), "", 'Data Entry'!$b$4)</f>
      </c>
      <c r="AI4">
        <f>IF(ISBLANK('Data Entry'!$c$4), "", 'Data Entry'!$c$4)</f>
      </c>
      <c r="AJ4">
        <f>IF(ISBLANK('Data Entry'!$d$4), "", 'Data Entry'!$d$4)</f>
      </c>
      <c r="AK4">
        <f>IF(ISBLANK('Data Entry'!$e$4), "", 'Data Entry'!$e$4)</f>
      </c>
      <c r="AL4">
        <f>IF(ISBLANK('Data Entry'!$f$4), "", 'Data Entry'!$f$4)</f>
      </c>
      <c r="AM4">
        <f>IF(ISBLANK('Data Entry'!$g$4), "", 'Data Entry'!$g$4)</f>
      </c>
      <c r="AN4">
        <f>IF(ISBLANK('Data Entry'!$h$4), "", 'Data Entry'!$h$4)</f>
      </c>
      <c r="AO4">
        <f>IF(ISBLANK('Data Entry'!$i$4), "", 'Data Entry'!$i$4)</f>
      </c>
      <c r="AP4">
        <f>IF(ISBLANK('Data Entry'!$j$4), "", 'Data Entry'!$j$4)</f>
      </c>
      <c r="AQ4">
        <f>IF(ISBLANK('Data Entry'!$k$4), "", 'Data Entry'!$k$4)</f>
      </c>
      <c r="AR4">
        <f>IF(ISBLANK('Data Entry'!$l$4), "", 'Data Entry'!$l$4)</f>
      </c>
      <c r="AS4">
        <f>IF(ISBLANK('Data Entry'!$m$4), "", 'Data Entry'!$m$4)</f>
      </c>
      <c r="AT4">
        <f>IF(ISBLANK('Data Entry'!$n$4), "", 'Data Entry'!$n$4)</f>
      </c>
      <c r="AU4">
        <f>IF(ISBLANK('Data Entry'!$o$4), "", 'Data Entry'!$o$4)</f>
      </c>
      <c r="AV4">
        <f>IF(ISBLANK('Data Entry'!$p$4), "", 'Data Entry'!$p$4)</f>
      </c>
      <c r="AW4">
        <f>IF(ISBLANK('Data Entry'!$q$4), "", 'Data Entry'!$q$4)</f>
      </c>
      <c r="AX4">
        <f>IF(ISBLANK('Data Entry'!$r$4), "", 'Data Entry'!$r$4)</f>
      </c>
      <c r="AY4">
        <f>IF(ISBLANK('Data Entry'!$s$4), "", 'Data Entry'!$s$4)</f>
      </c>
      <c r="AZ4">
        <f>IF(ISBLANK('Data Entry'!$t$4), "", 'Data Entry'!$t$4)</f>
      </c>
      <c r="BA4">
        <f>IF(ISBLANK('Data Entry'!$u$4), "", 'Data Entry'!$u$4)</f>
      </c>
      <c r="BB4">
        <f>IF(ISBLANK('Data Entry'!$v$4), "", 'Data Entry'!$v$4)</f>
      </c>
      <c r="BC4">
        <f>IF(ISBLANK('Data Entry'!$w$4), "", 'Data Entry'!$w$4)</f>
      </c>
      <c r="BD4">
        <f>IF(ISBLANK('Data Entry'!$x$4), "", 'Data Entry'!$x$4)</f>
      </c>
      <c r="BE4">
        <f>IF(ISBLANK('Data Entry'!$y$4), "", 'Data Entry'!$y$4)</f>
      </c>
      <c r="BF4">
        <f>IF(ISBLANK('Data Entry'!$z$4), "", 'Data Entry'!$z$4)</f>
      </c>
      <c r="BG4">
        <f>IF(ISBLANK('Data Entry'!${$4), "", 'Data Entry'!${$4)</f>
      </c>
      <c r="BH4">
        <f>IF(ISBLANK('Data Entry'!$|$4), "", 'Data Entry'!$|$4)</f>
      </c>
      <c r="BI4">
        <f>IF(ISBLANK('Data Entry'!$}$4), "", 'Data Entry'!$}$4)</f>
      </c>
      <c r="BJ4">
        <f>IF(ISBLANK('Data Entry'!$~$4), "", 'Data Entry'!$~$4)</f>
      </c>
      <c r="BK4">
        <f>IF(ISBLANK('Data Entry'!$$4), "", 'Data Entry'!$$4)</f>
      </c>
      <c r="BL4">
        <f>IF(ISBLANK('Data Entry'!$$4), "", 'Data Entry'!$$4)</f>
      </c>
      <c r="BM4">
        <f>IF(ISBLANK('Data Entry'!$$4), "", 'Data Entry'!$$4)</f>
      </c>
      <c r="BN4">
        <f>IF(ISBLANK('Data Entry'!$$4), "", 'Data Entry'!$$4)</f>
      </c>
      <c r="BO4">
        <f>IF(ISBLANK('Data Entry'!$$4), "", 'Data Entry'!$$4)</f>
      </c>
      <c r="BP4">
        <f>IF(ISBLANK('Data Entry'!$$4), "", 'Data Entry'!$$4)</f>
      </c>
      <c r="BQ4">
        <f>IF(ISBLANK('Data Entry'!$$4), "", 'Data Entry'!$$4)</f>
      </c>
      <c r="BR4">
        <f>IF(ISBLANK('Data Entry'!$$4), "", 'Data Entry'!$$4)</f>
      </c>
      <c r="BS4">
        <f>IF(ISBLANK('Data Entry'!$$4), "", 'Data Entry'!$$4)</f>
      </c>
      <c r="BT4">
        <f>IF(ISBLANK('Data Entry'!$$4), "", 'Data Entry'!$$4)</f>
      </c>
      <c r="BU4">
        <f>IF(ISBLANK('Data Entry'!$$4), "", 'Data Entry'!$$4)</f>
      </c>
      <c r="BV4">
        <f>IF(ISBLANK('Data Entry'!$$4), "", 'Data Entry'!$$4)</f>
      </c>
      <c r="BW4">
        <f>IF(ISBLANK('Data Entry'!$$4), "", 'Data Entry'!$$4)</f>
      </c>
      <c r="BX4">
        <f>IF(ISBLANK('Data Entry'!$$4), "", 'Data Entry'!$$4)</f>
      </c>
      <c r="BY4">
        <f>IF(ISBLANK('Data Entry'!$$4), "", 'Data Entry'!$$4)</f>
      </c>
      <c r="BZ4">
        <f>IF(ISBLANK('Data Entry'!$$4), "", 'Data Entry'!$$4)</f>
      </c>
      <c r="CA4">
        <f>IF(ISBLANK('Data Entry'!$$4), "", 'Data Entry'!$$4)</f>
      </c>
      <c r="CB4">
        <f>IF(ISBLANK('Data Entry'!$$4), "", 'Data Entry'!$$4)</f>
      </c>
      <c r="CC4">
        <f>IF(ISBLANK('Data Entry'!$$4), "", 'Data Entry'!$$4)</f>
      </c>
      <c r="CD4">
        <f>IF(ISBLANK('Data Entry'!$$4), "", 'Data Entry'!$$4)</f>
      </c>
      <c r="CE4">
        <f>IF(ISBLANK('Data Entry'!$$4), "", 'Data Entry'!$$4)</f>
      </c>
      <c r="CF4">
        <f>IF(ISBLANK('Data Entry'!$$4), "", 'Data Entry'!$$4)</f>
      </c>
      <c r="CG4">
        <f>IF(ISBLANK('Data Entry'!$$4), "", 'Data Entry'!$$4)</f>
      </c>
      <c r="CH4">
        <f>IF(ISBLANK('Data Entry'!$$4), "", 'Data Entry'!$$4)</f>
      </c>
      <c r="CI4">
        <f>IF(ISBLANK('Data Entry'!$$4), "", 'Data Entry'!$$4)</f>
      </c>
      <c r="CJ4">
        <f>IF(ISBLANK('Data Entry'!$$4), "", 'Data Entry'!$$4)</f>
      </c>
      <c r="CK4">
        <f>IF(ISBLANK('Data Entry'!$$4), "", 'Data Entry'!$$4)</f>
      </c>
      <c r="CL4">
        <f>IF(ISBLANK('Data Entry'!$$4), "", 'Data Entry'!$$4)</f>
      </c>
      <c r="CM4">
        <f>IF(ISBLANK('Data Entry'!$$4), "", 'Data Entry'!$$4)</f>
      </c>
      <c r="CN4">
        <f>IF(ISBLANK('Data Entry'!$$4), "", 'Data Entry'!$$4)</f>
      </c>
      <c r="CO4">
        <f>IF(ISBLANK('Data Entry'!$$4), "", 'Data Entry'!$$4)</f>
      </c>
      <c r="CP4">
        <f>IF(ISBLANK('Data Entry'!$$4), "", 'Data Entry'!$$4)</f>
      </c>
      <c r="CQ4">
        <f>IF(ISBLANK('Data Entry'!$$4), "", 'Data Entry'!$$4)</f>
      </c>
      <c r="CR4">
        <f>IF(ISBLANK('Data Entry'!$ $4), "", 'Data Entry'!$ $4)</f>
      </c>
      <c r="CS4">
        <f>IF(ISBLANK('Data Entry'!$¡$4), "", 'Data Entry'!$¡$4)</f>
      </c>
      <c r="CT4">
        <f>IF(ISBLANK('Data Entry'!$¢$4), "", 'Data Entry'!$¢$4)</f>
      </c>
      <c r="CU4">
        <f>IF(ISBLANK('Data Entry'!$£$4), "", 'Data Entry'!$£$4)</f>
      </c>
      <c r="CV4">
        <f>IF(ISBLANK('Data Entry'!$¤$4), "", 'Data Entry'!$¤$4)</f>
      </c>
      <c r="CW4">
        <f>IF(ISBLANK('Data Entry'!$¥$4), "", 'Data Entry'!$¥$4)</f>
      </c>
      <c r="CX4">
        <f>IF(ISBLANK('Data Entry'!$¦$4), "", 'Data Entry'!$¦$4)</f>
      </c>
      <c r="CY4">
        <f>IF(ISBLANK('Data Entry'!$§$4), "", 'Data Entry'!$§$4)</f>
      </c>
      <c r="CZ4">
        <f>IF(ISBLANK('Data Entry'!$¨$4), "", 'Data Entry'!$¨$4)</f>
      </c>
      <c r="DA4">
        <f>IF(ISBLANK('Data Entry'!$©$4), "", 'Data Entry'!$©$4)</f>
      </c>
      <c r="DB4">
        <f>IF(ISBLANK('Data Entry'!$ª$4), "", 'Data Entry'!$ª$4)</f>
      </c>
      <c r="DC4">
        <f>IF(ISBLANK('Data Entry'!$«$4), "", 'Data Entry'!$«$4)</f>
      </c>
      <c r="DD4">
        <f>IF(ISBLANK('Data Entry'!$¬$4), "", 'Data Entry'!$¬$4)</f>
      </c>
      <c r="DE4">
        <f>IF(ISBLANK('Data Entry'!$­$4), "", 'Data Entry'!$­$4)</f>
      </c>
      <c r="DF4">
        <f>IF(ISBLANK('Data Entry'!$®$4), "", 'Data Entry'!$®$4)</f>
      </c>
      <c r="DG4">
        <f>IF(ISBLANK('Data Entry'!$¯$4), "", 'Data Entry'!$¯$4)</f>
      </c>
      <c r="DH4">
        <f>IF(ISBLANK('Data Entry'!$°$4), "", 'Data Entry'!$°$4)</f>
      </c>
      <c r="DI4">
        <f>IF(ISBLANK('Data Entry'!$±$4), "", 'Data Entry'!$±$4)</f>
      </c>
      <c r="DJ4">
        <f>IF(ISBLANK('Data Entry'!$²$4), "", 'Data Entry'!$²$4)</f>
      </c>
      <c r="DK4">
        <f>IF(ISBLANK('Data Entry'!$³$4), "", 'Data Entry'!$³$4)</f>
      </c>
      <c r="DL4">
        <f>IF(ISBLANK('Data Entry'!$´$4), "", 'Data Entry'!$´$4)</f>
      </c>
      <c r="DM4">
        <f>IF(ISBLANK('Data Entry'!$µ$4), "", 'Data Entry'!$µ$4)</f>
      </c>
      <c r="DN4">
        <f>IF(ISBLANK('Data Entry'!$¶$4), "", 'Data Entry'!$¶$4)</f>
      </c>
      <c r="DO4">
        <f>IF(ISBLANK('Data Entry'!$·$4), "", 'Data Entry'!$·$4)</f>
      </c>
      <c r="DP4">
        <f>IF(ISBLANK('Data Entry'!$¸$4), "", 'Data Entry'!$¸$4)</f>
      </c>
      <c r="DQ4">
        <f>IF(ISBLANK('Data Entry'!$¹$4), "", 'Data Entry'!$¹$4)</f>
      </c>
      <c r="DR4">
        <f>IF(ISBLANK('Data Entry'!$º$4), "", 'Data Entry'!$º$4)</f>
      </c>
      <c r="DS4">
        <f>IF(ISBLANK('Data Entry'!$»$4), "", 'Data Entry'!$»$4)</f>
      </c>
      <c r="DT4">
        <f>IF(ISBLANK('Data Entry'!$¼$4), "", 'Data Entry'!$¼$4)</f>
      </c>
      <c r="DU4">
        <f>IF(ISBLANK('Data Entry'!$½$4), "", 'Data Entry'!$½$4)</f>
      </c>
      <c r="DV4">
        <f>IF(ISBLANK('Data Entry'!$¾$4), "", 'Data Entry'!$¾$4)</f>
      </c>
      <c r="DW4">
        <f>IF(ISBLANK('Data Entry'!$¿$4), "", 'Data Entry'!$¿$4)</f>
      </c>
      <c r="DX4">
        <f>IF(ISBLANK('Data Entry'!$À$4), "", 'Data Entry'!$À$4)</f>
      </c>
      <c r="DY4">
        <f>IF(ISBLANK('Data Entry'!$Á$4), "", 'Data Entry'!$Á$4)</f>
      </c>
      <c r="DZ4">
        <f>IF(ISBLANK('Data Entry'!$Â$4), "", 'Data Entry'!$Â$4)</f>
      </c>
      <c r="EA4">
        <f>IF(ISBLANK('Data Entry'!$Ã$4), "", 'Data Entry'!$Ã$4)</f>
      </c>
      <c r="EB4">
        <f>IF(ISBLANK('Data Entry'!$Ä$4), "", 'Data Entry'!$Ä$4)</f>
      </c>
      <c r="EC4">
        <f>IF(ISBLANK('Data Entry'!$Å$4), "", 'Data Entry'!$Å$4)</f>
      </c>
      <c r="ED4">
        <f>IF(ISBLANK('Data Entry'!$Æ$4), "", 'Data Entry'!$Æ$4)</f>
      </c>
      <c r="EE4">
        <f>IF(ISBLANK('Data Entry'!$Ç$4), "", 'Data Entry'!$Ç$4)</f>
      </c>
      <c r="EF4">
        <f>IF(ISBLANK('Data Entry'!$È$4), "", 'Data Entry'!$È$4)</f>
      </c>
      <c r="EG4">
        <f>IF(ISBLANK('Data Entry'!$É$4), "", 'Data Entry'!$É$4)</f>
      </c>
      <c r="EH4">
        <f>IF(ISBLANK('Data Entry'!$Ê$4), "", 'Data Entry'!$Ê$4)</f>
      </c>
      <c r="EI4">
        <f>IF(ISBLANK('Data Entry'!$Ë$4), "", 'Data Entry'!$Ë$4)</f>
      </c>
      <c r="EJ4">
        <f>IF(ISBLANK('Data Entry'!$Ì$4), "", 'Data Entry'!$Ì$4)</f>
      </c>
      <c r="EK4">
        <f>IF(ISBLANK('Data Entry'!$Í$4), "", 'Data Entry'!$Í$4)</f>
      </c>
      <c r="EL4">
        <f>IF(ISBLANK('Data Entry'!$Î$4), "", 'Data Entry'!$Î$4)</f>
      </c>
      <c r="EM4">
        <f>IF(ISBLANK('Data Entry'!$Ï$4), "", 'Data Entry'!$Ï$4)</f>
      </c>
      <c r="EN4">
        <f>IF(ISBLANK('Data Entry'!$Ð$4), "", 'Data Entry'!$Ð$4)</f>
      </c>
      <c r="EO4">
        <f>IF(ISBLANK('Data Entry'!$Ñ$4), "", 'Data Entry'!$Ñ$4)</f>
      </c>
      <c r="EP4">
        <f>IF(ISBLANK('Data Entry'!$Ò$4), "", 'Data Entry'!$Ò$4)</f>
      </c>
      <c r="EQ4">
        <f>IF(ISBLANK('Data Entry'!$Ó$4), "", 'Data Entry'!$Ó$4)</f>
      </c>
      <c r="ER4">
        <f>IF(ISBLANK('Data Entry'!$Ô$4), "", 'Data Entry'!$Ô$4)</f>
      </c>
      <c r="ES4">
        <f>IF(ISBLANK('Data Entry'!$Õ$4), "", 'Data Entry'!$Õ$4)</f>
      </c>
      <c r="ET4">
        <f>IF(ISBLANK('Data Entry'!$Ö$4), "", 'Data Entry'!$Ö$4)</f>
      </c>
      <c r="EU4">
        <f>IF(ISBLANK('Data Entry'!$×$4), "", 'Data Entry'!$×$4)</f>
      </c>
      <c r="EV4">
        <f>IF(ISBLANK('Data Entry'!$Ø$4), "", 'Data Entry'!$Ø$4)</f>
      </c>
      <c r="EW4">
        <f>IF(ISBLANK('Data Entry'!$Ù$4), "", 'Data Entry'!$Ù$4)</f>
      </c>
      <c r="EX4">
        <f>IF(ISBLANK('Data Entry'!$Ú$4), "", 'Data Entry'!$Ú$4)</f>
      </c>
      <c r="EY4">
        <f>IF(ISBLANK('Data Entry'!$Û$4), "", 'Data Entry'!$Û$4)</f>
      </c>
      <c r="EZ4">
        <f>IF(ISBLANK('Data Entry'!$Ü$4), "", 'Data Entry'!$Ü$4)</f>
      </c>
      <c r="FA4">
        <f>IF(ISBLANK('Data Entry'!$Ý$4), "", 'Data Entry'!$Ý$4)</f>
      </c>
      <c r="FB4">
        <f>IF(ISBLANK('Data Entry'!$Þ$4), "", 'Data Entry'!$Þ$4)</f>
      </c>
      <c r="FC4">
        <f>IF(ISBLANK('Data Entry'!$ß$4), "", 'Data Entry'!$ß$4)</f>
      </c>
      <c r="FD4">
        <f>IF(ISBLANK('Data Entry'!$à$4), "", 'Data Entry'!$à$4)</f>
      </c>
      <c r="FE4">
        <f>IF(ISBLANK('Data Entry'!$á$4), "", 'Data Entry'!$á$4)</f>
      </c>
      <c r="FF4">
        <f>IF(ISBLANK('Data Entry'!$â$4), "", 'Data Entry'!$â$4)</f>
      </c>
      <c r="FG4">
        <f>IF(ISBLANK('Data Entry'!$ã$4), "", 'Data Entry'!$ã$4)</f>
      </c>
      <c r="FH4">
        <f>IF(ISBLANK('Data Entry'!$ä$4), "", 'Data Entry'!$ä$4)</f>
      </c>
      <c r="FI4">
        <f>IF(ISBLANK('Data Entry'!$å$4), "", 'Data Entry'!$å$4)</f>
      </c>
      <c r="FJ4">
        <f>IF(ISBLANK('Data Entry'!$æ$4), "", 'Data Entry'!$æ$4)</f>
      </c>
      <c r="FK4">
        <f>IF(ISBLANK('Data Entry'!$ç$4), "", 'Data Entry'!$ç$4)</f>
      </c>
      <c r="FL4">
        <f>IF(ISBLANK('Data Entry'!$è$4), "", 'Data Entry'!$è$4)</f>
      </c>
      <c r="FM4">
        <f>IF(ISBLANK('Data Entry'!$é$4), "", 'Data Entry'!$é$4)</f>
      </c>
      <c r="FN4">
        <f>IF(ISBLANK('Data Entry'!$ê$4), "", 'Data Entry'!$ê$4)</f>
      </c>
      <c r="FO4">
        <f>IF(ISBLANK('Data Entry'!$ë$4), "", 'Data Entry'!$ë$4)</f>
      </c>
      <c r="FP4">
        <f>IF(ISBLANK('Data Entry'!$ì$4), "", 'Data Entry'!$ì$4)</f>
      </c>
      <c r="FQ4">
        <f>IF(ISBLANK('Data Entry'!$í$4), "", 'Data Entry'!$í$4)</f>
      </c>
      <c r="FR4">
        <f>IF(ISBLANK('Data Entry'!$î$4), "", 'Data Entry'!$î$4)</f>
      </c>
      <c r="FS4">
        <f>IF(ISBLANK('Data Entry'!$ï$4), "", 'Data Entry'!$ï$4)</f>
      </c>
      <c r="FT4">
        <f>IF(ISBLANK('Data Entry'!$ð$4), "", 'Data Entry'!$ð$4)</f>
      </c>
      <c r="FU4">
        <f>IF(ISBLANK('Data Entry'!$ñ$4), "", 'Data Entry'!$ñ$4)</f>
      </c>
      <c r="FV4">
        <f>IF(ISBLANK('Data Entry'!$ò$4), "", 'Data Entry'!$ò$4)</f>
      </c>
      <c r="FW4">
        <f>IF(ISBLANK('Data Entry'!$ó$4), "", 'Data Entry'!$ó$4)</f>
      </c>
      <c r="FX4">
        <f>IF(ISBLANK('Data Entry'!$ô$4), "", 'Data Entry'!$ô$4)</f>
      </c>
      <c r="FY4">
        <f>IF(ISBLANK('Data Entry'!$õ$4), "", 'Data Entry'!$õ$4)</f>
      </c>
      <c r="FZ4">
        <f>IF(ISBLANK('Data Entry'!$ö$4), "", 'Data Entry'!$ö$4)</f>
      </c>
      <c r="GA4">
        <f>IF(ISBLANK('Data Entry'!$÷$4), "", 'Data Entry'!$÷$4)</f>
      </c>
      <c r="GB4">
        <f>IF(ISBLANK('Data Entry'!$ø$4), "", 'Data Entry'!$ø$4)</f>
      </c>
      <c r="GC4">
        <f>IF(ISBLANK('Data Entry'!$ù$4), "", 'Data Entry'!$ù$4)</f>
      </c>
      <c r="GD4">
        <f>IF(ISBLANK('Data Entry'!$ú$4), "", 'Data Entry'!$ú$4)</f>
      </c>
      <c r="GE4">
        <f>IF(ISBLANK('Data Entry'!$û$4), "", 'Data Entry'!$û$4)</f>
      </c>
      <c r="GF4">
        <f>IF(ISBLANK('Data Entry'!$ü$4), "", 'Data Entry'!$ü$4)</f>
      </c>
      <c r="GG4">
        <f>IF(ISBLANK('Data Entry'!$ý$4), "", 'Data Entry'!$ý$4)</f>
      </c>
      <c r="GH4">
        <f>IF(ISBLANK('Data Entry'!$þ$4), "", 'Data Entry'!$þ$4)</f>
      </c>
      <c r="GI4">
        <f>IF(ISBLANK('Data Entry'!$ÿ$4), "", 'Data Entry'!$ÿ$4)</f>
      </c>
      <c r="GJ4">
        <f>IF(ISBLANK('Data Entry'!$Ā$4), "", 'Data Entry'!$Ā$4)</f>
      </c>
      <c r="GK4">
        <f>IF(ISBLANK('Data Entry'!$ā$4), "", 'Data Entry'!$ā$4)</f>
      </c>
      <c r="GL4">
        <f>IF(ISBLANK('Data Entry'!$Ă$4), "", 'Data Entry'!$Ă$4)</f>
      </c>
      <c r="GM4">
        <f>IF(ISBLANK('Data Entry'!$ă$4), "", 'Data Entry'!$ă$4)</f>
      </c>
      <c r="GN4">
        <f>IF(ISBLANK('Data Entry'!$Ą$4), "", 'Data Entry'!$Ą$4)</f>
      </c>
      <c r="GO4">
        <f>IF(ISBLANK('Data Entry'!$ą$4), "", 'Data Entry'!$ą$4)</f>
      </c>
      <c r="GP4">
        <f>IF(ISBLANK('Data Entry'!$Ć$4), "", 'Data Entry'!$Ć$4)</f>
      </c>
      <c r="GQ4">
        <f>IF(ISBLANK('Data Entry'!$ć$4), "", 'Data Entry'!$ć$4)</f>
      </c>
      <c r="GR4">
        <f>IF(ISBLANK('Data Entry'!$Ĉ$4), "", 'Data Entry'!$Ĉ$4)</f>
      </c>
      <c r="GS4">
        <f>IF(ISBLANK('Data Entry'!$ĉ$4), "", 'Data Entry'!$ĉ$4)</f>
      </c>
      <c r="GT4">
        <f>IF(ISBLANK('Data Entry'!$Ċ$4), "", 'Data Entry'!$Ċ$4)</f>
      </c>
      <c r="GU4">
        <f>IF(ISBLANK('Data Entry'!$ċ$4), "", 'Data Entry'!$ċ$4)</f>
      </c>
      <c r="GV4">
        <f>IF(ISBLANK('Data Entry'!$Č$4), "", 'Data Entry'!$Č$4)</f>
      </c>
      <c r="GW4">
        <f>IF(ISBLANK('Data Entry'!$č$4), "", 'Data Entry'!$č$4)</f>
      </c>
      <c r="GX4">
        <f>IF(ISBLANK('Data Entry'!$Ď$4), "", 'Data Entry'!$Ď$4)</f>
      </c>
      <c r="GY4">
        <f>IF(ISBLANK('Data Entry'!$ď$4), "", 'Data Entry'!$ď$4)</f>
      </c>
      <c r="GZ4">
        <f>IF(ISBLANK('Data Entry'!$Đ$4), "", 'Data Entry'!$Đ$4)</f>
      </c>
      <c r="HA4">
        <f>IF(ISBLANK('Data Entry'!$đ$4), "", 'Data Entry'!$đ$4)</f>
      </c>
      <c r="HB4">
        <f>IF(ISBLANK('Data Entry'!$Ē$4), "", 'Data Entry'!$Ē$4)</f>
      </c>
      <c r="HC4">
        <f>IF(ISBLANK('Data Entry'!$ē$4), "", 'Data Entry'!$ē$4)</f>
      </c>
      <c r="HD4">
        <f>IF(ISBLANK('Data Entry'!$Ĕ$4), "", 'Data Entry'!$Ĕ$4)</f>
      </c>
      <c r="HE4">
        <f>IF(ISBLANK('Data Entry'!$ĕ$4), "", 'Data Entry'!$ĕ$4)</f>
      </c>
      <c r="HF4">
        <f>IF(ISBLANK('Data Entry'!$Ė$4), "", 'Data Entry'!$Ė$4)</f>
      </c>
      <c r="HG4">
        <f>IF(ISBLANK('Data Entry'!$ė$4), "", 'Data Entry'!$ė$4)</f>
      </c>
      <c r="HH4">
        <f>IF(ISBLANK('Data Entry'!$Ę$4), "", 'Data Entry'!$Ę$4)</f>
      </c>
      <c r="HI4">
        <f>IF(ISBLANK('Data Entry'!$ę$4), "", 'Data Entry'!$ę$4)</f>
      </c>
      <c r="HJ4">
        <f>IF(ISBLANK('Data Entry'!$Ě$4), "", 'Data Entry'!$Ě$4)</f>
      </c>
      <c r="HK4">
        <f>IF(ISBLANK('Data Entry'!$ě$4), "", 'Data Entry'!$ě$4)</f>
      </c>
      <c r="HL4">
        <f>IF(ISBLANK('Data Entry'!$Ĝ$4), "", 'Data Entry'!$Ĝ$4)</f>
      </c>
      <c r="HM4">
        <f>IF(ISBLANK('Data Entry'!$ĝ$4), "", 'Data Entry'!$ĝ$4)</f>
      </c>
      <c r="HN4">
        <f>IF(ISBLANK('Data Entry'!$Ğ$4), "", 'Data Entry'!$Ğ$4)</f>
      </c>
      <c r="HO4">
        <f>IF(ISBLANK('Data Entry'!$ğ$4), "", 'Data Entry'!$ğ$4)</f>
      </c>
      <c r="HP4">
        <f>IF(ISBLANK('Data Entry'!$Ġ$4), "", 'Data Entry'!$Ġ$4)</f>
      </c>
      <c r="HQ4">
        <f>IF(ISBLANK('Data Entry'!$ġ$4), "", 'Data Entry'!$ġ$4)</f>
      </c>
      <c r="HR4">
        <f>IF(ISBLANK('Data Entry'!$Ģ$4), "", 'Data Entry'!$Ģ$4)</f>
      </c>
      <c r="HS4">
        <f>IF(ISBLANK('Data Entry'!$ģ$4), "", 'Data Entry'!$ģ$4)</f>
      </c>
      <c r="HT4">
        <f>IF(ISBLANK('Data Entry'!$Ĥ$4), "", 'Data Entry'!$Ĥ$4)</f>
      </c>
      <c r="HU4">
        <f>IF(ISBLANK('Data Entry'!$ĥ$4), "", 'Data Entry'!$ĥ$4)</f>
      </c>
      <c r="HV4">
        <f>IF(ISBLANK('Data Entry'!$Ħ$4), "", 'Data Entry'!$Ħ$4)</f>
      </c>
      <c r="HW4">
        <f>IF(ISBLANK('Data Entry'!$ħ$4), "", 'Data Entry'!$ħ$4)</f>
      </c>
      <c r="HX4">
        <f>IF(ISBLANK('Data Entry'!$Ĩ$4), "", 'Data Entry'!$Ĩ$4)</f>
      </c>
      <c r="HY4">
        <f>IF(ISBLANK('Data Entry'!$ĩ$4), "", 'Data Entry'!$ĩ$4)</f>
      </c>
      <c r="HZ4">
        <f>IF(ISBLANK('Data Entry'!$Ī$4), "", 'Data Entry'!$Ī$4)</f>
      </c>
      <c r="IA4">
        <f>IF(ISBLANK('Data Entry'!$ī$4), "", 'Data Entry'!$ī$4)</f>
      </c>
      <c r="IB4">
        <f>IF(ISBLANK('Data Entry'!$Ĭ$4), "", 'Data Entry'!$Ĭ$4)</f>
      </c>
      <c r="IC4">
        <f>IF(ISBLANK('Data Entry'!$ĭ$4), "", 'Data Entry'!$ĭ$4)</f>
      </c>
      <c r="ID4">
        <f>IF(ISBLANK('Data Entry'!$Į$4), "", 'Data Entry'!$Į$4)</f>
      </c>
      <c r="IE4">
        <f>IF(ISBLANK('Data Entry'!$į$4), "", 'Data Entry'!$į$4)</f>
      </c>
      <c r="IF4">
        <f>IF(ISBLANK('Data Entry'!$İ$4), "", 'Data Entry'!$İ$4)</f>
      </c>
      <c r="IG4">
        <f>IF(ISBLANK('Data Entry'!$ı$4), "", 'Data Entry'!$ı$4)</f>
      </c>
      <c r="IH4">
        <f>IF(ISBLANK('Data Entry'!$Ĳ$4), "", 'Data Entry'!$Ĳ$4)</f>
      </c>
      <c r="II4">
        <f>IF(ISBLANK('Data Entry'!$ĳ$4), "", 'Data Entry'!$ĳ$4)</f>
      </c>
      <c r="IJ4">
        <f>IF(ISBLANK('Data Entry'!$Ĵ$4), "", 'Data Entry'!$Ĵ$4)</f>
      </c>
      <c r="IK4">
        <f>IF(ISBLANK('Data Entry'!$ĵ$4), "", 'Data Entry'!$ĵ$4)</f>
      </c>
      <c r="IL4">
        <f>IF(ISBLANK('Data Entry'!$Ķ$4), "", 'Data Entry'!$Ķ$4)</f>
      </c>
      <c r="IM4">
        <f>IF(ISBLANK('Data Entry'!$ķ$4), "", 'Data Entry'!$ķ$4)</f>
      </c>
      <c r="IN4">
        <f>IF(ISBLANK('Data Entry'!$ĸ$4), "", 'Data Entry'!$ĸ$4)</f>
      </c>
      <c r="IO4">
        <f>IF(ISBLANK('Data Entry'!$Ĺ$4), "", 'Data Entry'!$Ĺ$4)</f>
      </c>
      <c r="IP4">
        <f>IF(ISBLANK('Data Entry'!$ĺ$4), "", 'Data Entry'!$ĺ$4)</f>
      </c>
      <c r="IQ4">
        <f>IF(ISBLANK('Data Entry'!$Ļ$4), "", 'Data Entry'!$Ļ$4)</f>
      </c>
      <c r="IR4">
        <f>IF(ISBLANK('Data Entry'!$ļ$4), "", 'Data Entry'!$ļ$4)</f>
      </c>
      <c r="IS4">
        <f>IF(ISBLANK('Data Entry'!$Ľ$4), "", 'Data Entry'!$Ľ$4)</f>
      </c>
      <c r="IT4">
        <f>IF(ISBLANK('Data Entry'!$ľ$4), "", 'Data Entry'!$ľ$4)</f>
      </c>
    </row>
    <row r="5" spans="1:254" x14ac:dyDescent="0.25">
      <c r="A5">
        <f>IF(ISBLANK('Data Entry'!$A$5), "", 'Data Entry'!$A$5)</f>
      </c>
      <c r="B5">
        <f>IF(ISBLANK('Data Entry'!$B$5), "", 'Data Entry'!$B$5)</f>
      </c>
      <c r="C5">
        <f>IF(ISBLANK('Data Entry'!$C$5), "", 'Data Entry'!$C$5)</f>
      </c>
      <c r="D5">
        <f>IF(ISBLANK('Data Entry'!$D$5), "", 'Data Entry'!$D$5)</f>
      </c>
      <c r="E5">
        <f>IF(ISBLANK('Data Entry'!$E$5), "", 'Data Entry'!$E$5)</f>
      </c>
      <c r="F5">
        <f>IF(ISBLANK('Data Entry'!$F$5), "", 'Data Entry'!$F$5)</f>
      </c>
      <c r="G5">
        <f>IF(ISBLANK('Data Entry'!$G$5), "", 'Data Entry'!$G$5)</f>
      </c>
      <c r="H5">
        <f>IF(ISBLANK('Data Entry'!$H$5), "", 'Data Entry'!$H$5)</f>
      </c>
      <c r="I5">
        <f>IF(ISBLANK('Data Entry'!$I$5), "", 'Data Entry'!$I$5)</f>
      </c>
      <c r="J5">
        <f>IF(ISBLANK('Data Entry'!$J$5), "", 'Data Entry'!$J$5)</f>
      </c>
      <c r="K5">
        <f>IF(ISBLANK('Data Entry'!$K$5), "", 'Data Entry'!$K$5)</f>
      </c>
      <c r="L5">
        <f>IF(ISBLANK('Data Entry'!$L$5), "", 'Data Entry'!$L$5)</f>
      </c>
      <c r="M5">
        <f>IF(ISBLANK('Data Entry'!$M$5), "", 'Data Entry'!$M$5)</f>
      </c>
      <c r="N5">
        <f>IF(ISBLANK('Data Entry'!$N$5), "", 'Data Entry'!$N$5)</f>
      </c>
      <c r="O5">
        <f>IF(ISBLANK('Data Entry'!$O$5), "", 'Data Entry'!$O$5)</f>
      </c>
      <c r="P5">
        <f>IF(ISBLANK('Data Entry'!$P$5), "", 'Data Entry'!$P$5)</f>
      </c>
      <c r="Q5">
        <f>IF(ISBLANK('Data Entry'!$Q$5), "", 'Data Entry'!$Q$5)</f>
      </c>
      <c r="R5">
        <f>IF(ISBLANK('Data Entry'!$R$5), "", 'Data Entry'!$R$5)</f>
      </c>
      <c r="S5">
        <f>IF(ISBLANK('Data Entry'!$S$5), "", 'Data Entry'!$S$5)</f>
      </c>
      <c r="T5">
        <f>IF(ISBLANK('Data Entry'!$T$5), "", 'Data Entry'!$T$5)</f>
      </c>
      <c r="U5">
        <f>IF(ISBLANK('Data Entry'!$U$5), "", 'Data Entry'!$U$5)</f>
      </c>
      <c r="V5">
        <f>IF(ISBLANK('Data Entry'!$V$5), "", 'Data Entry'!$V$5)</f>
      </c>
      <c r="W5">
        <f>IF(ISBLANK('Data Entry'!$W$5), "", 'Data Entry'!$W$5)</f>
      </c>
      <c r="X5">
        <f>IF(ISBLANK('Data Entry'!$X$5), "", 'Data Entry'!$X$5)</f>
      </c>
      <c r="Y5">
        <f>IF(ISBLANK('Data Entry'!$Y$5), "", 'Data Entry'!$Y$5)</f>
      </c>
      <c r="Z5">
        <f>IF(ISBLANK('Data Entry'!$Z$5), "", 'Data Entry'!$Z$5)</f>
      </c>
      <c r="AA5">
        <f>IF(ISBLANK('Data Entry'!$[$5), "", 'Data Entry'!$[$5)</f>
      </c>
      <c r="AB5">
        <f>IF(ISBLANK('Data Entry'!$\$5), "", 'Data Entry'!$\$5)</f>
      </c>
      <c r="AC5">
        <f>IF(ISBLANK('Data Entry'!$]$5), "", 'Data Entry'!$]$5)</f>
      </c>
      <c r="AD5">
        <f>IF(ISBLANK('Data Entry'!$^$5), "", 'Data Entry'!$^$5)</f>
      </c>
      <c r="AE5">
        <f>IF(ISBLANK('Data Entry'!$_$5), "", 'Data Entry'!$_$5)</f>
      </c>
      <c r="AF5">
        <f>IF(ISBLANK('Data Entry'!$`$5), "", 'Data Entry'!$`$5)</f>
      </c>
      <c r="AG5">
        <f>IF(ISBLANK('Data Entry'!$a$5), "", 'Data Entry'!$a$5)</f>
      </c>
      <c r="AH5">
        <f>IF(ISBLANK('Data Entry'!$b$5), "", 'Data Entry'!$b$5)</f>
      </c>
      <c r="AI5">
        <f>IF(ISBLANK('Data Entry'!$c$5), "", 'Data Entry'!$c$5)</f>
      </c>
      <c r="AJ5">
        <f>IF(ISBLANK('Data Entry'!$d$5), "", 'Data Entry'!$d$5)</f>
      </c>
      <c r="AK5">
        <f>IF(ISBLANK('Data Entry'!$e$5), "", 'Data Entry'!$e$5)</f>
      </c>
      <c r="AL5">
        <f>IF(ISBLANK('Data Entry'!$f$5), "", 'Data Entry'!$f$5)</f>
      </c>
      <c r="AM5">
        <f>IF(ISBLANK('Data Entry'!$g$5), "", 'Data Entry'!$g$5)</f>
      </c>
      <c r="AN5">
        <f>IF(ISBLANK('Data Entry'!$h$5), "", 'Data Entry'!$h$5)</f>
      </c>
      <c r="AO5">
        <f>IF(ISBLANK('Data Entry'!$i$5), "", 'Data Entry'!$i$5)</f>
      </c>
      <c r="AP5">
        <f>IF(ISBLANK('Data Entry'!$j$5), "", 'Data Entry'!$j$5)</f>
      </c>
      <c r="AQ5">
        <f>IF(ISBLANK('Data Entry'!$k$5), "", 'Data Entry'!$k$5)</f>
      </c>
      <c r="AR5">
        <f>IF(ISBLANK('Data Entry'!$l$5), "", 'Data Entry'!$l$5)</f>
      </c>
      <c r="AS5">
        <f>IF(ISBLANK('Data Entry'!$m$5), "", 'Data Entry'!$m$5)</f>
      </c>
      <c r="AT5">
        <f>IF(ISBLANK('Data Entry'!$n$5), "", 'Data Entry'!$n$5)</f>
      </c>
      <c r="AU5">
        <f>IF(ISBLANK('Data Entry'!$o$5), "", 'Data Entry'!$o$5)</f>
      </c>
      <c r="AV5">
        <f>IF(ISBLANK('Data Entry'!$p$5), "", 'Data Entry'!$p$5)</f>
      </c>
      <c r="AW5">
        <f>IF(ISBLANK('Data Entry'!$q$5), "", 'Data Entry'!$q$5)</f>
      </c>
      <c r="AX5">
        <f>IF(ISBLANK('Data Entry'!$r$5), "", 'Data Entry'!$r$5)</f>
      </c>
      <c r="AY5">
        <f>IF(ISBLANK('Data Entry'!$s$5), "", 'Data Entry'!$s$5)</f>
      </c>
      <c r="AZ5">
        <f>IF(ISBLANK('Data Entry'!$t$5), "", 'Data Entry'!$t$5)</f>
      </c>
      <c r="BA5">
        <f>IF(ISBLANK('Data Entry'!$u$5), "", 'Data Entry'!$u$5)</f>
      </c>
      <c r="BB5">
        <f>IF(ISBLANK('Data Entry'!$v$5), "", 'Data Entry'!$v$5)</f>
      </c>
      <c r="BC5">
        <f>IF(ISBLANK('Data Entry'!$w$5), "", 'Data Entry'!$w$5)</f>
      </c>
      <c r="BD5">
        <f>IF(ISBLANK('Data Entry'!$x$5), "", 'Data Entry'!$x$5)</f>
      </c>
      <c r="BE5">
        <f>IF(ISBLANK('Data Entry'!$y$5), "", 'Data Entry'!$y$5)</f>
      </c>
      <c r="BF5">
        <f>IF(ISBLANK('Data Entry'!$z$5), "", 'Data Entry'!$z$5)</f>
      </c>
      <c r="BG5">
        <f>IF(ISBLANK('Data Entry'!${$5), "", 'Data Entry'!${$5)</f>
      </c>
      <c r="BH5">
        <f>IF(ISBLANK('Data Entry'!$|$5), "", 'Data Entry'!$|$5)</f>
      </c>
      <c r="BI5">
        <f>IF(ISBLANK('Data Entry'!$}$5), "", 'Data Entry'!$}$5)</f>
      </c>
      <c r="BJ5">
        <f>IF(ISBLANK('Data Entry'!$~$5), "", 'Data Entry'!$~$5)</f>
      </c>
      <c r="BK5">
        <f>IF(ISBLANK('Data Entry'!$$5), "", 'Data Entry'!$$5)</f>
      </c>
      <c r="BL5">
        <f>IF(ISBLANK('Data Entry'!$$5), "", 'Data Entry'!$$5)</f>
      </c>
      <c r="BM5">
        <f>IF(ISBLANK('Data Entry'!$$5), "", 'Data Entry'!$$5)</f>
      </c>
      <c r="BN5">
        <f>IF(ISBLANK('Data Entry'!$$5), "", 'Data Entry'!$$5)</f>
      </c>
      <c r="BO5">
        <f>IF(ISBLANK('Data Entry'!$$5), "", 'Data Entry'!$$5)</f>
      </c>
      <c r="BP5">
        <f>IF(ISBLANK('Data Entry'!$$5), "", 'Data Entry'!$$5)</f>
      </c>
      <c r="BQ5">
        <f>IF(ISBLANK('Data Entry'!$$5), "", 'Data Entry'!$$5)</f>
      </c>
      <c r="BR5">
        <f>IF(ISBLANK('Data Entry'!$$5), "", 'Data Entry'!$$5)</f>
      </c>
      <c r="BS5">
        <f>IF(ISBLANK('Data Entry'!$$5), "", 'Data Entry'!$$5)</f>
      </c>
      <c r="BT5">
        <f>IF(ISBLANK('Data Entry'!$$5), "", 'Data Entry'!$$5)</f>
      </c>
      <c r="BU5">
        <f>IF(ISBLANK('Data Entry'!$$5), "", 'Data Entry'!$$5)</f>
      </c>
      <c r="BV5">
        <f>IF(ISBLANK('Data Entry'!$$5), "", 'Data Entry'!$$5)</f>
      </c>
      <c r="BW5">
        <f>IF(ISBLANK('Data Entry'!$$5), "", 'Data Entry'!$$5)</f>
      </c>
      <c r="BX5">
        <f>IF(ISBLANK('Data Entry'!$$5), "", 'Data Entry'!$$5)</f>
      </c>
      <c r="BY5">
        <f>IF(ISBLANK('Data Entry'!$$5), "", 'Data Entry'!$$5)</f>
      </c>
      <c r="BZ5">
        <f>IF(ISBLANK('Data Entry'!$$5), "", 'Data Entry'!$$5)</f>
      </c>
      <c r="CA5">
        <f>IF(ISBLANK('Data Entry'!$$5), "", 'Data Entry'!$$5)</f>
      </c>
      <c r="CB5">
        <f>IF(ISBLANK('Data Entry'!$$5), "", 'Data Entry'!$$5)</f>
      </c>
      <c r="CC5">
        <f>IF(ISBLANK('Data Entry'!$$5), "", 'Data Entry'!$$5)</f>
      </c>
      <c r="CD5">
        <f>IF(ISBLANK('Data Entry'!$$5), "", 'Data Entry'!$$5)</f>
      </c>
      <c r="CE5">
        <f>IF(ISBLANK('Data Entry'!$$5), "", 'Data Entry'!$$5)</f>
      </c>
      <c r="CF5">
        <f>IF(ISBLANK('Data Entry'!$$5), "", 'Data Entry'!$$5)</f>
      </c>
      <c r="CG5">
        <f>IF(ISBLANK('Data Entry'!$$5), "", 'Data Entry'!$$5)</f>
      </c>
      <c r="CH5">
        <f>IF(ISBLANK('Data Entry'!$$5), "", 'Data Entry'!$$5)</f>
      </c>
      <c r="CI5">
        <f>IF(ISBLANK('Data Entry'!$$5), "", 'Data Entry'!$$5)</f>
      </c>
      <c r="CJ5">
        <f>IF(ISBLANK('Data Entry'!$$5), "", 'Data Entry'!$$5)</f>
      </c>
      <c r="CK5">
        <f>IF(ISBLANK('Data Entry'!$$5), "", 'Data Entry'!$$5)</f>
      </c>
      <c r="CL5">
        <f>IF(ISBLANK('Data Entry'!$$5), "", 'Data Entry'!$$5)</f>
      </c>
      <c r="CM5">
        <f>IF(ISBLANK('Data Entry'!$$5), "", 'Data Entry'!$$5)</f>
      </c>
      <c r="CN5">
        <f>IF(ISBLANK('Data Entry'!$$5), "", 'Data Entry'!$$5)</f>
      </c>
      <c r="CO5">
        <f>IF(ISBLANK('Data Entry'!$$5), "", 'Data Entry'!$$5)</f>
      </c>
      <c r="CP5">
        <f>IF(ISBLANK('Data Entry'!$$5), "", 'Data Entry'!$$5)</f>
      </c>
      <c r="CQ5">
        <f>IF(ISBLANK('Data Entry'!$$5), "", 'Data Entry'!$$5)</f>
      </c>
      <c r="CR5">
        <f>IF(ISBLANK('Data Entry'!$ $5), "", 'Data Entry'!$ $5)</f>
      </c>
      <c r="CS5">
        <f>IF(ISBLANK('Data Entry'!$¡$5), "", 'Data Entry'!$¡$5)</f>
      </c>
      <c r="CT5">
        <f>IF(ISBLANK('Data Entry'!$¢$5), "", 'Data Entry'!$¢$5)</f>
      </c>
      <c r="CU5">
        <f>IF(ISBLANK('Data Entry'!$£$5), "", 'Data Entry'!$£$5)</f>
      </c>
      <c r="CV5">
        <f>IF(ISBLANK('Data Entry'!$¤$5), "", 'Data Entry'!$¤$5)</f>
      </c>
      <c r="CW5">
        <f>IF(ISBLANK('Data Entry'!$¥$5), "", 'Data Entry'!$¥$5)</f>
      </c>
      <c r="CX5">
        <f>IF(ISBLANK('Data Entry'!$¦$5), "", 'Data Entry'!$¦$5)</f>
      </c>
      <c r="CY5">
        <f>IF(ISBLANK('Data Entry'!$§$5), "", 'Data Entry'!$§$5)</f>
      </c>
      <c r="CZ5">
        <f>IF(ISBLANK('Data Entry'!$¨$5), "", 'Data Entry'!$¨$5)</f>
      </c>
      <c r="DA5">
        <f>IF(ISBLANK('Data Entry'!$©$5), "", 'Data Entry'!$©$5)</f>
      </c>
      <c r="DB5">
        <f>IF(ISBLANK('Data Entry'!$ª$5), "", 'Data Entry'!$ª$5)</f>
      </c>
      <c r="DC5">
        <f>IF(ISBLANK('Data Entry'!$«$5), "", 'Data Entry'!$«$5)</f>
      </c>
      <c r="DD5">
        <f>IF(ISBLANK('Data Entry'!$¬$5), "", 'Data Entry'!$¬$5)</f>
      </c>
      <c r="DE5">
        <f>IF(ISBLANK('Data Entry'!$­$5), "", 'Data Entry'!$­$5)</f>
      </c>
      <c r="DF5">
        <f>IF(ISBLANK('Data Entry'!$®$5), "", 'Data Entry'!$®$5)</f>
      </c>
      <c r="DG5">
        <f>IF(ISBLANK('Data Entry'!$¯$5), "", 'Data Entry'!$¯$5)</f>
      </c>
      <c r="DH5">
        <f>IF(ISBLANK('Data Entry'!$°$5), "", 'Data Entry'!$°$5)</f>
      </c>
      <c r="DI5">
        <f>IF(ISBLANK('Data Entry'!$±$5), "", 'Data Entry'!$±$5)</f>
      </c>
      <c r="DJ5">
        <f>IF(ISBLANK('Data Entry'!$²$5), "", 'Data Entry'!$²$5)</f>
      </c>
      <c r="DK5">
        <f>IF(ISBLANK('Data Entry'!$³$5), "", 'Data Entry'!$³$5)</f>
      </c>
      <c r="DL5">
        <f>IF(ISBLANK('Data Entry'!$´$5), "", 'Data Entry'!$´$5)</f>
      </c>
      <c r="DM5">
        <f>IF(ISBLANK('Data Entry'!$µ$5), "", 'Data Entry'!$µ$5)</f>
      </c>
      <c r="DN5">
        <f>IF(ISBLANK('Data Entry'!$¶$5), "", 'Data Entry'!$¶$5)</f>
      </c>
      <c r="DO5">
        <f>IF(ISBLANK('Data Entry'!$·$5), "", 'Data Entry'!$·$5)</f>
      </c>
      <c r="DP5">
        <f>IF(ISBLANK('Data Entry'!$¸$5), "", 'Data Entry'!$¸$5)</f>
      </c>
      <c r="DQ5">
        <f>IF(ISBLANK('Data Entry'!$¹$5), "", 'Data Entry'!$¹$5)</f>
      </c>
      <c r="DR5">
        <f>IF(ISBLANK('Data Entry'!$º$5), "", 'Data Entry'!$º$5)</f>
      </c>
      <c r="DS5">
        <f>IF(ISBLANK('Data Entry'!$»$5), "", 'Data Entry'!$»$5)</f>
      </c>
      <c r="DT5">
        <f>IF(ISBLANK('Data Entry'!$¼$5), "", 'Data Entry'!$¼$5)</f>
      </c>
      <c r="DU5">
        <f>IF(ISBLANK('Data Entry'!$½$5), "", 'Data Entry'!$½$5)</f>
      </c>
      <c r="DV5">
        <f>IF(ISBLANK('Data Entry'!$¾$5), "", 'Data Entry'!$¾$5)</f>
      </c>
      <c r="DW5">
        <f>IF(ISBLANK('Data Entry'!$¿$5), "", 'Data Entry'!$¿$5)</f>
      </c>
      <c r="DX5">
        <f>IF(ISBLANK('Data Entry'!$À$5), "", 'Data Entry'!$À$5)</f>
      </c>
      <c r="DY5">
        <f>IF(ISBLANK('Data Entry'!$Á$5), "", 'Data Entry'!$Á$5)</f>
      </c>
      <c r="DZ5">
        <f>IF(ISBLANK('Data Entry'!$Â$5), "", 'Data Entry'!$Â$5)</f>
      </c>
      <c r="EA5">
        <f>IF(ISBLANK('Data Entry'!$Ã$5), "", 'Data Entry'!$Ã$5)</f>
      </c>
      <c r="EB5">
        <f>IF(ISBLANK('Data Entry'!$Ä$5), "", 'Data Entry'!$Ä$5)</f>
      </c>
      <c r="EC5">
        <f>IF(ISBLANK('Data Entry'!$Å$5), "", 'Data Entry'!$Å$5)</f>
      </c>
      <c r="ED5">
        <f>IF(ISBLANK('Data Entry'!$Æ$5), "", 'Data Entry'!$Æ$5)</f>
      </c>
      <c r="EE5">
        <f>IF(ISBLANK('Data Entry'!$Ç$5), "", 'Data Entry'!$Ç$5)</f>
      </c>
      <c r="EF5">
        <f>IF(ISBLANK('Data Entry'!$È$5), "", 'Data Entry'!$È$5)</f>
      </c>
      <c r="EG5">
        <f>IF(ISBLANK('Data Entry'!$É$5), "", 'Data Entry'!$É$5)</f>
      </c>
      <c r="EH5">
        <f>IF(ISBLANK('Data Entry'!$Ê$5), "", 'Data Entry'!$Ê$5)</f>
      </c>
      <c r="EI5">
        <f>IF(ISBLANK('Data Entry'!$Ë$5), "", 'Data Entry'!$Ë$5)</f>
      </c>
      <c r="EJ5">
        <f>IF(ISBLANK('Data Entry'!$Ì$5), "", 'Data Entry'!$Ì$5)</f>
      </c>
      <c r="EK5">
        <f>IF(ISBLANK('Data Entry'!$Í$5), "", 'Data Entry'!$Í$5)</f>
      </c>
      <c r="EL5">
        <f>IF(ISBLANK('Data Entry'!$Î$5), "", 'Data Entry'!$Î$5)</f>
      </c>
      <c r="EM5">
        <f>IF(ISBLANK('Data Entry'!$Ï$5), "", 'Data Entry'!$Ï$5)</f>
      </c>
      <c r="EN5">
        <f>IF(ISBLANK('Data Entry'!$Ð$5), "", 'Data Entry'!$Ð$5)</f>
      </c>
      <c r="EO5">
        <f>IF(ISBLANK('Data Entry'!$Ñ$5), "", 'Data Entry'!$Ñ$5)</f>
      </c>
      <c r="EP5">
        <f>IF(ISBLANK('Data Entry'!$Ò$5), "", 'Data Entry'!$Ò$5)</f>
      </c>
      <c r="EQ5">
        <f>IF(ISBLANK('Data Entry'!$Ó$5), "", 'Data Entry'!$Ó$5)</f>
      </c>
      <c r="ER5">
        <f>IF(ISBLANK('Data Entry'!$Ô$5), "", 'Data Entry'!$Ô$5)</f>
      </c>
      <c r="ES5">
        <f>IF(ISBLANK('Data Entry'!$Õ$5), "", 'Data Entry'!$Õ$5)</f>
      </c>
      <c r="ET5">
        <f>IF(ISBLANK('Data Entry'!$Ö$5), "", 'Data Entry'!$Ö$5)</f>
      </c>
      <c r="EU5">
        <f>IF(ISBLANK('Data Entry'!$×$5), "", 'Data Entry'!$×$5)</f>
      </c>
      <c r="EV5">
        <f>IF(ISBLANK('Data Entry'!$Ø$5), "", 'Data Entry'!$Ø$5)</f>
      </c>
      <c r="EW5">
        <f>IF(ISBLANK('Data Entry'!$Ù$5), "", 'Data Entry'!$Ù$5)</f>
      </c>
      <c r="EX5">
        <f>IF(ISBLANK('Data Entry'!$Ú$5), "", 'Data Entry'!$Ú$5)</f>
      </c>
      <c r="EY5">
        <f>IF(ISBLANK('Data Entry'!$Û$5), "", 'Data Entry'!$Û$5)</f>
      </c>
      <c r="EZ5">
        <f>IF(ISBLANK('Data Entry'!$Ü$5), "", 'Data Entry'!$Ü$5)</f>
      </c>
      <c r="FA5">
        <f>IF(ISBLANK('Data Entry'!$Ý$5), "", 'Data Entry'!$Ý$5)</f>
      </c>
      <c r="FB5">
        <f>IF(ISBLANK('Data Entry'!$Þ$5), "", 'Data Entry'!$Þ$5)</f>
      </c>
      <c r="FC5">
        <f>IF(ISBLANK('Data Entry'!$ß$5), "", 'Data Entry'!$ß$5)</f>
      </c>
      <c r="FD5">
        <f>IF(ISBLANK('Data Entry'!$à$5), "", 'Data Entry'!$à$5)</f>
      </c>
      <c r="FE5">
        <f>IF(ISBLANK('Data Entry'!$á$5), "", 'Data Entry'!$á$5)</f>
      </c>
      <c r="FF5">
        <f>IF(ISBLANK('Data Entry'!$â$5), "", 'Data Entry'!$â$5)</f>
      </c>
      <c r="FG5">
        <f>IF(ISBLANK('Data Entry'!$ã$5), "", 'Data Entry'!$ã$5)</f>
      </c>
      <c r="FH5">
        <f>IF(ISBLANK('Data Entry'!$ä$5), "", 'Data Entry'!$ä$5)</f>
      </c>
      <c r="FI5">
        <f>IF(ISBLANK('Data Entry'!$å$5), "", 'Data Entry'!$å$5)</f>
      </c>
      <c r="FJ5">
        <f>IF(ISBLANK('Data Entry'!$æ$5), "", 'Data Entry'!$æ$5)</f>
      </c>
      <c r="FK5">
        <f>IF(ISBLANK('Data Entry'!$ç$5), "", 'Data Entry'!$ç$5)</f>
      </c>
      <c r="FL5">
        <f>IF(ISBLANK('Data Entry'!$è$5), "", 'Data Entry'!$è$5)</f>
      </c>
      <c r="FM5">
        <f>IF(ISBLANK('Data Entry'!$é$5), "", 'Data Entry'!$é$5)</f>
      </c>
      <c r="FN5">
        <f>IF(ISBLANK('Data Entry'!$ê$5), "", 'Data Entry'!$ê$5)</f>
      </c>
      <c r="FO5">
        <f>IF(ISBLANK('Data Entry'!$ë$5), "", 'Data Entry'!$ë$5)</f>
      </c>
      <c r="FP5">
        <f>IF(ISBLANK('Data Entry'!$ì$5), "", 'Data Entry'!$ì$5)</f>
      </c>
      <c r="FQ5">
        <f>IF(ISBLANK('Data Entry'!$í$5), "", 'Data Entry'!$í$5)</f>
      </c>
      <c r="FR5">
        <f>IF(ISBLANK('Data Entry'!$î$5), "", 'Data Entry'!$î$5)</f>
      </c>
      <c r="FS5">
        <f>IF(ISBLANK('Data Entry'!$ï$5), "", 'Data Entry'!$ï$5)</f>
      </c>
      <c r="FT5">
        <f>IF(ISBLANK('Data Entry'!$ð$5), "", 'Data Entry'!$ð$5)</f>
      </c>
      <c r="FU5">
        <f>IF(ISBLANK('Data Entry'!$ñ$5), "", 'Data Entry'!$ñ$5)</f>
      </c>
      <c r="FV5">
        <f>IF(ISBLANK('Data Entry'!$ò$5), "", 'Data Entry'!$ò$5)</f>
      </c>
      <c r="FW5">
        <f>IF(ISBLANK('Data Entry'!$ó$5), "", 'Data Entry'!$ó$5)</f>
      </c>
      <c r="FX5">
        <f>IF(ISBLANK('Data Entry'!$ô$5), "", 'Data Entry'!$ô$5)</f>
      </c>
      <c r="FY5">
        <f>IF(ISBLANK('Data Entry'!$õ$5), "", 'Data Entry'!$õ$5)</f>
      </c>
      <c r="FZ5">
        <f>IF(ISBLANK('Data Entry'!$ö$5), "", 'Data Entry'!$ö$5)</f>
      </c>
      <c r="GA5">
        <f>IF(ISBLANK('Data Entry'!$÷$5), "", 'Data Entry'!$÷$5)</f>
      </c>
      <c r="GB5">
        <f>IF(ISBLANK('Data Entry'!$ø$5), "", 'Data Entry'!$ø$5)</f>
      </c>
      <c r="GC5">
        <f>IF(ISBLANK('Data Entry'!$ù$5), "", 'Data Entry'!$ù$5)</f>
      </c>
      <c r="GD5">
        <f>IF(ISBLANK('Data Entry'!$ú$5), "", 'Data Entry'!$ú$5)</f>
      </c>
      <c r="GE5">
        <f>IF(ISBLANK('Data Entry'!$û$5), "", 'Data Entry'!$û$5)</f>
      </c>
      <c r="GF5">
        <f>IF(ISBLANK('Data Entry'!$ü$5), "", 'Data Entry'!$ü$5)</f>
      </c>
      <c r="GG5">
        <f>IF(ISBLANK('Data Entry'!$ý$5), "", 'Data Entry'!$ý$5)</f>
      </c>
      <c r="GH5">
        <f>IF(ISBLANK('Data Entry'!$þ$5), "", 'Data Entry'!$þ$5)</f>
      </c>
      <c r="GI5">
        <f>IF(ISBLANK('Data Entry'!$ÿ$5), "", 'Data Entry'!$ÿ$5)</f>
      </c>
      <c r="GJ5">
        <f>IF(ISBLANK('Data Entry'!$Ā$5), "", 'Data Entry'!$Ā$5)</f>
      </c>
      <c r="GK5">
        <f>IF(ISBLANK('Data Entry'!$ā$5), "", 'Data Entry'!$ā$5)</f>
      </c>
      <c r="GL5">
        <f>IF(ISBLANK('Data Entry'!$Ă$5), "", 'Data Entry'!$Ă$5)</f>
      </c>
      <c r="GM5">
        <f>IF(ISBLANK('Data Entry'!$ă$5), "", 'Data Entry'!$ă$5)</f>
      </c>
      <c r="GN5">
        <f>IF(ISBLANK('Data Entry'!$Ą$5), "", 'Data Entry'!$Ą$5)</f>
      </c>
      <c r="GO5">
        <f>IF(ISBLANK('Data Entry'!$ą$5), "", 'Data Entry'!$ą$5)</f>
      </c>
      <c r="GP5">
        <f>IF(ISBLANK('Data Entry'!$Ć$5), "", 'Data Entry'!$Ć$5)</f>
      </c>
      <c r="GQ5">
        <f>IF(ISBLANK('Data Entry'!$ć$5), "", 'Data Entry'!$ć$5)</f>
      </c>
      <c r="GR5">
        <f>IF(ISBLANK('Data Entry'!$Ĉ$5), "", 'Data Entry'!$Ĉ$5)</f>
      </c>
      <c r="GS5">
        <f>IF(ISBLANK('Data Entry'!$ĉ$5), "", 'Data Entry'!$ĉ$5)</f>
      </c>
      <c r="GT5">
        <f>IF(ISBLANK('Data Entry'!$Ċ$5), "", 'Data Entry'!$Ċ$5)</f>
      </c>
      <c r="GU5">
        <f>IF(ISBLANK('Data Entry'!$ċ$5), "", 'Data Entry'!$ċ$5)</f>
      </c>
      <c r="GV5">
        <f>IF(ISBLANK('Data Entry'!$Č$5), "", 'Data Entry'!$Č$5)</f>
      </c>
      <c r="GW5">
        <f>IF(ISBLANK('Data Entry'!$č$5), "", 'Data Entry'!$č$5)</f>
      </c>
      <c r="GX5">
        <f>IF(ISBLANK('Data Entry'!$Ď$5), "", 'Data Entry'!$Ď$5)</f>
      </c>
      <c r="GY5">
        <f>IF(ISBLANK('Data Entry'!$ď$5), "", 'Data Entry'!$ď$5)</f>
      </c>
      <c r="GZ5">
        <f>IF(ISBLANK('Data Entry'!$Đ$5), "", 'Data Entry'!$Đ$5)</f>
      </c>
      <c r="HA5">
        <f>IF(ISBLANK('Data Entry'!$đ$5), "", 'Data Entry'!$đ$5)</f>
      </c>
      <c r="HB5">
        <f>IF(ISBLANK('Data Entry'!$Ē$5), "", 'Data Entry'!$Ē$5)</f>
      </c>
      <c r="HC5">
        <f>IF(ISBLANK('Data Entry'!$ē$5), "", 'Data Entry'!$ē$5)</f>
      </c>
      <c r="HD5">
        <f>IF(ISBLANK('Data Entry'!$Ĕ$5), "", 'Data Entry'!$Ĕ$5)</f>
      </c>
      <c r="HE5">
        <f>IF(ISBLANK('Data Entry'!$ĕ$5), "", 'Data Entry'!$ĕ$5)</f>
      </c>
      <c r="HF5">
        <f>IF(ISBLANK('Data Entry'!$Ė$5), "", 'Data Entry'!$Ė$5)</f>
      </c>
      <c r="HG5">
        <f>IF(ISBLANK('Data Entry'!$ė$5), "", 'Data Entry'!$ė$5)</f>
      </c>
      <c r="HH5">
        <f>IF(ISBLANK('Data Entry'!$Ę$5), "", 'Data Entry'!$Ę$5)</f>
      </c>
      <c r="HI5">
        <f>IF(ISBLANK('Data Entry'!$ę$5), "", 'Data Entry'!$ę$5)</f>
      </c>
      <c r="HJ5">
        <f>IF(ISBLANK('Data Entry'!$Ě$5), "", 'Data Entry'!$Ě$5)</f>
      </c>
      <c r="HK5">
        <f>IF(ISBLANK('Data Entry'!$ě$5), "", 'Data Entry'!$ě$5)</f>
      </c>
      <c r="HL5">
        <f>IF(ISBLANK('Data Entry'!$Ĝ$5), "", 'Data Entry'!$Ĝ$5)</f>
      </c>
      <c r="HM5">
        <f>IF(ISBLANK('Data Entry'!$ĝ$5), "", 'Data Entry'!$ĝ$5)</f>
      </c>
      <c r="HN5">
        <f>IF(ISBLANK('Data Entry'!$Ğ$5), "", 'Data Entry'!$Ğ$5)</f>
      </c>
      <c r="HO5">
        <f>IF(ISBLANK('Data Entry'!$ğ$5), "", 'Data Entry'!$ğ$5)</f>
      </c>
      <c r="HP5">
        <f>IF(ISBLANK('Data Entry'!$Ġ$5), "", 'Data Entry'!$Ġ$5)</f>
      </c>
      <c r="HQ5">
        <f>IF(ISBLANK('Data Entry'!$ġ$5), "", 'Data Entry'!$ġ$5)</f>
      </c>
      <c r="HR5">
        <f>IF(ISBLANK('Data Entry'!$Ģ$5), "", 'Data Entry'!$Ģ$5)</f>
      </c>
      <c r="HS5">
        <f>IF(ISBLANK('Data Entry'!$ģ$5), "", 'Data Entry'!$ģ$5)</f>
      </c>
      <c r="HT5">
        <f>IF(ISBLANK('Data Entry'!$Ĥ$5), "", 'Data Entry'!$Ĥ$5)</f>
      </c>
      <c r="HU5">
        <f>IF(ISBLANK('Data Entry'!$ĥ$5), "", 'Data Entry'!$ĥ$5)</f>
      </c>
      <c r="HV5">
        <f>IF(ISBLANK('Data Entry'!$Ħ$5), "", 'Data Entry'!$Ħ$5)</f>
      </c>
      <c r="HW5">
        <f>IF(ISBLANK('Data Entry'!$ħ$5), "", 'Data Entry'!$ħ$5)</f>
      </c>
      <c r="HX5">
        <f>IF(ISBLANK('Data Entry'!$Ĩ$5), "", 'Data Entry'!$Ĩ$5)</f>
      </c>
      <c r="HY5">
        <f>IF(ISBLANK('Data Entry'!$ĩ$5), "", 'Data Entry'!$ĩ$5)</f>
      </c>
      <c r="HZ5">
        <f>IF(ISBLANK('Data Entry'!$Ī$5), "", 'Data Entry'!$Ī$5)</f>
      </c>
      <c r="IA5">
        <f>IF(ISBLANK('Data Entry'!$ī$5), "", 'Data Entry'!$ī$5)</f>
      </c>
      <c r="IB5">
        <f>IF(ISBLANK('Data Entry'!$Ĭ$5), "", 'Data Entry'!$Ĭ$5)</f>
      </c>
      <c r="IC5">
        <f>IF(ISBLANK('Data Entry'!$ĭ$5), "", 'Data Entry'!$ĭ$5)</f>
      </c>
      <c r="ID5">
        <f>IF(ISBLANK('Data Entry'!$Į$5), "", 'Data Entry'!$Į$5)</f>
      </c>
      <c r="IE5">
        <f>IF(ISBLANK('Data Entry'!$į$5), "", 'Data Entry'!$į$5)</f>
      </c>
      <c r="IF5">
        <f>IF(ISBLANK('Data Entry'!$İ$5), "", 'Data Entry'!$İ$5)</f>
      </c>
      <c r="IG5">
        <f>IF(ISBLANK('Data Entry'!$ı$5), "", 'Data Entry'!$ı$5)</f>
      </c>
      <c r="IH5">
        <f>IF(ISBLANK('Data Entry'!$Ĳ$5), "", 'Data Entry'!$Ĳ$5)</f>
      </c>
      <c r="II5">
        <f>IF(ISBLANK('Data Entry'!$ĳ$5), "", 'Data Entry'!$ĳ$5)</f>
      </c>
      <c r="IJ5">
        <f>IF(ISBLANK('Data Entry'!$Ĵ$5), "", 'Data Entry'!$Ĵ$5)</f>
      </c>
      <c r="IK5">
        <f>IF(ISBLANK('Data Entry'!$ĵ$5), "", 'Data Entry'!$ĵ$5)</f>
      </c>
      <c r="IL5">
        <f>IF(ISBLANK('Data Entry'!$Ķ$5), "", 'Data Entry'!$Ķ$5)</f>
      </c>
      <c r="IM5">
        <f>IF(ISBLANK('Data Entry'!$ķ$5), "", 'Data Entry'!$ķ$5)</f>
      </c>
      <c r="IN5">
        <f>IF(ISBLANK('Data Entry'!$ĸ$5), "", 'Data Entry'!$ĸ$5)</f>
      </c>
      <c r="IO5">
        <f>IF(ISBLANK('Data Entry'!$Ĺ$5), "", 'Data Entry'!$Ĺ$5)</f>
      </c>
      <c r="IP5">
        <f>IF(ISBLANK('Data Entry'!$ĺ$5), "", 'Data Entry'!$ĺ$5)</f>
      </c>
      <c r="IQ5">
        <f>IF(ISBLANK('Data Entry'!$Ļ$5), "", 'Data Entry'!$Ļ$5)</f>
      </c>
      <c r="IR5">
        <f>IF(ISBLANK('Data Entry'!$ļ$5), "", 'Data Entry'!$ļ$5)</f>
      </c>
      <c r="IS5">
        <f>IF(ISBLANK('Data Entry'!$Ľ$5), "", 'Data Entry'!$Ľ$5)</f>
      </c>
      <c r="IT5">
        <f>IF(ISBLANK('Data Entry'!$ľ$5), "", 'Data Entry'!$ľ$5)</f>
      </c>
    </row>
    <row r="6" spans="1:254" x14ac:dyDescent="0.25">
      <c r="A6">
        <f>IF(ISBLANK('Data Entry'!$A$6), "", 'Data Entry'!$A$6)</f>
      </c>
      <c r="B6">
        <f>IF(ISBLANK('Data Entry'!$B$6), "", 'Data Entry'!$B$6)</f>
      </c>
      <c r="C6">
        <f>IF(ISBLANK('Data Entry'!$C$6), "", 'Data Entry'!$C$6)</f>
      </c>
      <c r="D6">
        <f>IF(ISBLANK('Data Entry'!$D$6), "", 'Data Entry'!$D$6)</f>
      </c>
      <c r="E6">
        <f>IF(ISBLANK('Data Entry'!$E$6), "", 'Data Entry'!$E$6)</f>
      </c>
      <c r="F6">
        <f>IF(ISBLANK('Data Entry'!$F$6), "", 'Data Entry'!$F$6)</f>
      </c>
      <c r="G6">
        <f>IF(ISBLANK('Data Entry'!$G$6), "", 'Data Entry'!$G$6)</f>
      </c>
      <c r="H6">
        <f>IF(ISBLANK('Data Entry'!$H$6), "", 'Data Entry'!$H$6)</f>
      </c>
      <c r="I6">
        <f>IF(ISBLANK('Data Entry'!$I$6), "", 'Data Entry'!$I$6)</f>
      </c>
      <c r="J6">
        <f>IF(ISBLANK('Data Entry'!$J$6), "", 'Data Entry'!$J$6)</f>
      </c>
      <c r="K6">
        <f>IF(ISBLANK('Data Entry'!$K$6), "", 'Data Entry'!$K$6)</f>
      </c>
      <c r="L6">
        <f>IF(ISBLANK('Data Entry'!$L$6), "", 'Data Entry'!$L$6)</f>
      </c>
      <c r="M6">
        <f>IF(ISBLANK('Data Entry'!$M$6), "", 'Data Entry'!$M$6)</f>
      </c>
      <c r="N6">
        <f>IF(ISBLANK('Data Entry'!$N$6), "", 'Data Entry'!$N$6)</f>
      </c>
      <c r="O6">
        <f>IF(ISBLANK('Data Entry'!$O$6), "", 'Data Entry'!$O$6)</f>
      </c>
      <c r="P6">
        <f>IF(ISBLANK('Data Entry'!$P$6), "", 'Data Entry'!$P$6)</f>
      </c>
      <c r="Q6">
        <f>IF(ISBLANK('Data Entry'!$Q$6), "", 'Data Entry'!$Q$6)</f>
      </c>
      <c r="R6">
        <f>IF(ISBLANK('Data Entry'!$R$6), "", 'Data Entry'!$R$6)</f>
      </c>
      <c r="S6">
        <f>IF(ISBLANK('Data Entry'!$S$6), "", 'Data Entry'!$S$6)</f>
      </c>
      <c r="T6">
        <f>IF(ISBLANK('Data Entry'!$T$6), "", 'Data Entry'!$T$6)</f>
      </c>
      <c r="U6">
        <f>IF(ISBLANK('Data Entry'!$U$6), "", 'Data Entry'!$U$6)</f>
      </c>
      <c r="V6">
        <f>IF(ISBLANK('Data Entry'!$V$6), "", 'Data Entry'!$V$6)</f>
      </c>
      <c r="W6">
        <f>IF(ISBLANK('Data Entry'!$W$6), "", 'Data Entry'!$W$6)</f>
      </c>
      <c r="X6">
        <f>IF(ISBLANK('Data Entry'!$X$6), "", 'Data Entry'!$X$6)</f>
      </c>
      <c r="Y6">
        <f>IF(ISBLANK('Data Entry'!$Y$6), "", 'Data Entry'!$Y$6)</f>
      </c>
      <c r="Z6">
        <f>IF(ISBLANK('Data Entry'!$Z$6), "", 'Data Entry'!$Z$6)</f>
      </c>
      <c r="AA6">
        <f>IF(ISBLANK('Data Entry'!$[$6), "", 'Data Entry'!$[$6)</f>
      </c>
      <c r="AB6">
        <f>IF(ISBLANK('Data Entry'!$\$6), "", 'Data Entry'!$\$6)</f>
      </c>
      <c r="AC6">
        <f>IF(ISBLANK('Data Entry'!$]$6), "", 'Data Entry'!$]$6)</f>
      </c>
      <c r="AD6">
        <f>IF(ISBLANK('Data Entry'!$^$6), "", 'Data Entry'!$^$6)</f>
      </c>
      <c r="AE6">
        <f>IF(ISBLANK('Data Entry'!$_$6), "", 'Data Entry'!$_$6)</f>
      </c>
      <c r="AF6">
        <f>IF(ISBLANK('Data Entry'!$`$6), "", 'Data Entry'!$`$6)</f>
      </c>
      <c r="AG6">
        <f>IF(ISBLANK('Data Entry'!$a$6), "", 'Data Entry'!$a$6)</f>
      </c>
      <c r="AH6">
        <f>IF(ISBLANK('Data Entry'!$b$6), "", 'Data Entry'!$b$6)</f>
      </c>
      <c r="AI6">
        <f>IF(ISBLANK('Data Entry'!$c$6), "", 'Data Entry'!$c$6)</f>
      </c>
      <c r="AJ6">
        <f>IF(ISBLANK('Data Entry'!$d$6), "", 'Data Entry'!$d$6)</f>
      </c>
      <c r="AK6">
        <f>IF(ISBLANK('Data Entry'!$e$6), "", 'Data Entry'!$e$6)</f>
      </c>
      <c r="AL6">
        <f>IF(ISBLANK('Data Entry'!$f$6), "", 'Data Entry'!$f$6)</f>
      </c>
      <c r="AM6">
        <f>IF(ISBLANK('Data Entry'!$g$6), "", 'Data Entry'!$g$6)</f>
      </c>
      <c r="AN6">
        <f>IF(ISBLANK('Data Entry'!$h$6), "", 'Data Entry'!$h$6)</f>
      </c>
      <c r="AO6">
        <f>IF(ISBLANK('Data Entry'!$i$6), "", 'Data Entry'!$i$6)</f>
      </c>
      <c r="AP6">
        <f>IF(ISBLANK('Data Entry'!$j$6), "", 'Data Entry'!$j$6)</f>
      </c>
      <c r="AQ6">
        <f>IF(ISBLANK('Data Entry'!$k$6), "", 'Data Entry'!$k$6)</f>
      </c>
      <c r="AR6">
        <f>IF(ISBLANK('Data Entry'!$l$6), "", 'Data Entry'!$l$6)</f>
      </c>
      <c r="AS6">
        <f>IF(ISBLANK('Data Entry'!$m$6), "", 'Data Entry'!$m$6)</f>
      </c>
      <c r="AT6">
        <f>IF(ISBLANK('Data Entry'!$n$6), "", 'Data Entry'!$n$6)</f>
      </c>
      <c r="AU6">
        <f>IF(ISBLANK('Data Entry'!$o$6), "", 'Data Entry'!$o$6)</f>
      </c>
      <c r="AV6">
        <f>IF(ISBLANK('Data Entry'!$p$6), "", 'Data Entry'!$p$6)</f>
      </c>
      <c r="AW6">
        <f>IF(ISBLANK('Data Entry'!$q$6), "", 'Data Entry'!$q$6)</f>
      </c>
      <c r="AX6">
        <f>IF(ISBLANK('Data Entry'!$r$6), "", 'Data Entry'!$r$6)</f>
      </c>
      <c r="AY6">
        <f>IF(ISBLANK('Data Entry'!$s$6), "", 'Data Entry'!$s$6)</f>
      </c>
      <c r="AZ6">
        <f>IF(ISBLANK('Data Entry'!$t$6), "", 'Data Entry'!$t$6)</f>
      </c>
      <c r="BA6">
        <f>IF(ISBLANK('Data Entry'!$u$6), "", 'Data Entry'!$u$6)</f>
      </c>
      <c r="BB6">
        <f>IF(ISBLANK('Data Entry'!$v$6), "", 'Data Entry'!$v$6)</f>
      </c>
      <c r="BC6">
        <f>IF(ISBLANK('Data Entry'!$w$6), "", 'Data Entry'!$w$6)</f>
      </c>
      <c r="BD6">
        <f>IF(ISBLANK('Data Entry'!$x$6), "", 'Data Entry'!$x$6)</f>
      </c>
      <c r="BE6">
        <f>IF(ISBLANK('Data Entry'!$y$6), "", 'Data Entry'!$y$6)</f>
      </c>
      <c r="BF6">
        <f>IF(ISBLANK('Data Entry'!$z$6), "", 'Data Entry'!$z$6)</f>
      </c>
      <c r="BG6">
        <f>IF(ISBLANK('Data Entry'!${$6), "", 'Data Entry'!${$6)</f>
      </c>
      <c r="BH6">
        <f>IF(ISBLANK('Data Entry'!$|$6), "", 'Data Entry'!$|$6)</f>
      </c>
      <c r="BI6">
        <f>IF(ISBLANK('Data Entry'!$}$6), "", 'Data Entry'!$}$6)</f>
      </c>
      <c r="BJ6">
        <f>IF(ISBLANK('Data Entry'!$~$6), "", 'Data Entry'!$~$6)</f>
      </c>
      <c r="BK6">
        <f>IF(ISBLANK('Data Entry'!$$6), "", 'Data Entry'!$$6)</f>
      </c>
      <c r="BL6">
        <f>IF(ISBLANK('Data Entry'!$$6), "", 'Data Entry'!$$6)</f>
      </c>
      <c r="BM6">
        <f>IF(ISBLANK('Data Entry'!$$6), "", 'Data Entry'!$$6)</f>
      </c>
      <c r="BN6">
        <f>IF(ISBLANK('Data Entry'!$$6), "", 'Data Entry'!$$6)</f>
      </c>
      <c r="BO6">
        <f>IF(ISBLANK('Data Entry'!$$6), "", 'Data Entry'!$$6)</f>
      </c>
      <c r="BP6">
        <f>IF(ISBLANK('Data Entry'!$$6), "", 'Data Entry'!$$6)</f>
      </c>
      <c r="BQ6">
        <f>IF(ISBLANK('Data Entry'!$$6), "", 'Data Entry'!$$6)</f>
      </c>
      <c r="BR6">
        <f>IF(ISBLANK('Data Entry'!$$6), "", 'Data Entry'!$$6)</f>
      </c>
      <c r="BS6">
        <f>IF(ISBLANK('Data Entry'!$$6), "", 'Data Entry'!$$6)</f>
      </c>
      <c r="BT6">
        <f>IF(ISBLANK('Data Entry'!$$6), "", 'Data Entry'!$$6)</f>
      </c>
      <c r="BU6">
        <f>IF(ISBLANK('Data Entry'!$$6), "", 'Data Entry'!$$6)</f>
      </c>
      <c r="BV6">
        <f>IF(ISBLANK('Data Entry'!$$6), "", 'Data Entry'!$$6)</f>
      </c>
      <c r="BW6">
        <f>IF(ISBLANK('Data Entry'!$$6), "", 'Data Entry'!$$6)</f>
      </c>
      <c r="BX6">
        <f>IF(ISBLANK('Data Entry'!$$6), "", 'Data Entry'!$$6)</f>
      </c>
      <c r="BY6">
        <f>IF(ISBLANK('Data Entry'!$$6), "", 'Data Entry'!$$6)</f>
      </c>
      <c r="BZ6">
        <f>IF(ISBLANK('Data Entry'!$$6), "", 'Data Entry'!$$6)</f>
      </c>
      <c r="CA6">
        <f>IF(ISBLANK('Data Entry'!$$6), "", 'Data Entry'!$$6)</f>
      </c>
      <c r="CB6">
        <f>IF(ISBLANK('Data Entry'!$$6), "", 'Data Entry'!$$6)</f>
      </c>
      <c r="CC6">
        <f>IF(ISBLANK('Data Entry'!$$6), "", 'Data Entry'!$$6)</f>
      </c>
      <c r="CD6">
        <f>IF(ISBLANK('Data Entry'!$$6), "", 'Data Entry'!$$6)</f>
      </c>
      <c r="CE6">
        <f>IF(ISBLANK('Data Entry'!$$6), "", 'Data Entry'!$$6)</f>
      </c>
      <c r="CF6">
        <f>IF(ISBLANK('Data Entry'!$$6), "", 'Data Entry'!$$6)</f>
      </c>
      <c r="CG6">
        <f>IF(ISBLANK('Data Entry'!$$6), "", 'Data Entry'!$$6)</f>
      </c>
      <c r="CH6">
        <f>IF(ISBLANK('Data Entry'!$$6), "", 'Data Entry'!$$6)</f>
      </c>
      <c r="CI6">
        <f>IF(ISBLANK('Data Entry'!$$6), "", 'Data Entry'!$$6)</f>
      </c>
      <c r="CJ6">
        <f>IF(ISBLANK('Data Entry'!$$6), "", 'Data Entry'!$$6)</f>
      </c>
      <c r="CK6">
        <f>IF(ISBLANK('Data Entry'!$$6), "", 'Data Entry'!$$6)</f>
      </c>
      <c r="CL6">
        <f>IF(ISBLANK('Data Entry'!$$6), "", 'Data Entry'!$$6)</f>
      </c>
      <c r="CM6">
        <f>IF(ISBLANK('Data Entry'!$$6), "", 'Data Entry'!$$6)</f>
      </c>
      <c r="CN6">
        <f>IF(ISBLANK('Data Entry'!$$6), "", 'Data Entry'!$$6)</f>
      </c>
      <c r="CO6">
        <f>IF(ISBLANK('Data Entry'!$$6), "", 'Data Entry'!$$6)</f>
      </c>
      <c r="CP6">
        <f>IF(ISBLANK('Data Entry'!$$6), "", 'Data Entry'!$$6)</f>
      </c>
      <c r="CQ6">
        <f>IF(ISBLANK('Data Entry'!$$6), "", 'Data Entry'!$$6)</f>
      </c>
      <c r="CR6">
        <f>IF(ISBLANK('Data Entry'!$ $6), "", 'Data Entry'!$ $6)</f>
      </c>
      <c r="CS6">
        <f>IF(ISBLANK('Data Entry'!$¡$6), "", 'Data Entry'!$¡$6)</f>
      </c>
      <c r="CT6">
        <f>IF(ISBLANK('Data Entry'!$¢$6), "", 'Data Entry'!$¢$6)</f>
      </c>
      <c r="CU6">
        <f>IF(ISBLANK('Data Entry'!$£$6), "", 'Data Entry'!$£$6)</f>
      </c>
      <c r="CV6">
        <f>IF(ISBLANK('Data Entry'!$¤$6), "", 'Data Entry'!$¤$6)</f>
      </c>
      <c r="CW6">
        <f>IF(ISBLANK('Data Entry'!$¥$6), "", 'Data Entry'!$¥$6)</f>
      </c>
      <c r="CX6">
        <f>IF(ISBLANK('Data Entry'!$¦$6), "", 'Data Entry'!$¦$6)</f>
      </c>
      <c r="CY6">
        <f>IF(ISBLANK('Data Entry'!$§$6), "", 'Data Entry'!$§$6)</f>
      </c>
      <c r="CZ6">
        <f>IF(ISBLANK('Data Entry'!$¨$6), "", 'Data Entry'!$¨$6)</f>
      </c>
      <c r="DA6">
        <f>IF(ISBLANK('Data Entry'!$©$6), "", 'Data Entry'!$©$6)</f>
      </c>
      <c r="DB6">
        <f>IF(ISBLANK('Data Entry'!$ª$6), "", 'Data Entry'!$ª$6)</f>
      </c>
      <c r="DC6">
        <f>IF(ISBLANK('Data Entry'!$«$6), "", 'Data Entry'!$«$6)</f>
      </c>
      <c r="DD6">
        <f>IF(ISBLANK('Data Entry'!$¬$6), "", 'Data Entry'!$¬$6)</f>
      </c>
      <c r="DE6">
        <f>IF(ISBLANK('Data Entry'!$­$6), "", 'Data Entry'!$­$6)</f>
      </c>
      <c r="DF6">
        <f>IF(ISBLANK('Data Entry'!$®$6), "", 'Data Entry'!$®$6)</f>
      </c>
      <c r="DG6">
        <f>IF(ISBLANK('Data Entry'!$¯$6), "", 'Data Entry'!$¯$6)</f>
      </c>
      <c r="DH6">
        <f>IF(ISBLANK('Data Entry'!$°$6), "", 'Data Entry'!$°$6)</f>
      </c>
      <c r="DI6">
        <f>IF(ISBLANK('Data Entry'!$±$6), "", 'Data Entry'!$±$6)</f>
      </c>
      <c r="DJ6">
        <f>IF(ISBLANK('Data Entry'!$²$6), "", 'Data Entry'!$²$6)</f>
      </c>
      <c r="DK6">
        <f>IF(ISBLANK('Data Entry'!$³$6), "", 'Data Entry'!$³$6)</f>
      </c>
      <c r="DL6">
        <f>IF(ISBLANK('Data Entry'!$´$6), "", 'Data Entry'!$´$6)</f>
      </c>
      <c r="DM6">
        <f>IF(ISBLANK('Data Entry'!$µ$6), "", 'Data Entry'!$µ$6)</f>
      </c>
      <c r="DN6">
        <f>IF(ISBLANK('Data Entry'!$¶$6), "", 'Data Entry'!$¶$6)</f>
      </c>
      <c r="DO6">
        <f>IF(ISBLANK('Data Entry'!$·$6), "", 'Data Entry'!$·$6)</f>
      </c>
      <c r="DP6">
        <f>IF(ISBLANK('Data Entry'!$¸$6), "", 'Data Entry'!$¸$6)</f>
      </c>
      <c r="DQ6">
        <f>IF(ISBLANK('Data Entry'!$¹$6), "", 'Data Entry'!$¹$6)</f>
      </c>
      <c r="DR6">
        <f>IF(ISBLANK('Data Entry'!$º$6), "", 'Data Entry'!$º$6)</f>
      </c>
      <c r="DS6">
        <f>IF(ISBLANK('Data Entry'!$»$6), "", 'Data Entry'!$»$6)</f>
      </c>
      <c r="DT6">
        <f>IF(ISBLANK('Data Entry'!$¼$6), "", 'Data Entry'!$¼$6)</f>
      </c>
      <c r="DU6">
        <f>IF(ISBLANK('Data Entry'!$½$6), "", 'Data Entry'!$½$6)</f>
      </c>
      <c r="DV6">
        <f>IF(ISBLANK('Data Entry'!$¾$6), "", 'Data Entry'!$¾$6)</f>
      </c>
      <c r="DW6">
        <f>IF(ISBLANK('Data Entry'!$¿$6), "", 'Data Entry'!$¿$6)</f>
      </c>
      <c r="DX6">
        <f>IF(ISBLANK('Data Entry'!$À$6), "", 'Data Entry'!$À$6)</f>
      </c>
      <c r="DY6">
        <f>IF(ISBLANK('Data Entry'!$Á$6), "", 'Data Entry'!$Á$6)</f>
      </c>
      <c r="DZ6">
        <f>IF(ISBLANK('Data Entry'!$Â$6), "", 'Data Entry'!$Â$6)</f>
      </c>
      <c r="EA6">
        <f>IF(ISBLANK('Data Entry'!$Ã$6), "", 'Data Entry'!$Ã$6)</f>
      </c>
      <c r="EB6">
        <f>IF(ISBLANK('Data Entry'!$Ä$6), "", 'Data Entry'!$Ä$6)</f>
      </c>
      <c r="EC6">
        <f>IF(ISBLANK('Data Entry'!$Å$6), "", 'Data Entry'!$Å$6)</f>
      </c>
      <c r="ED6">
        <f>IF(ISBLANK('Data Entry'!$Æ$6), "", 'Data Entry'!$Æ$6)</f>
      </c>
      <c r="EE6">
        <f>IF(ISBLANK('Data Entry'!$Ç$6), "", 'Data Entry'!$Ç$6)</f>
      </c>
      <c r="EF6">
        <f>IF(ISBLANK('Data Entry'!$È$6), "", 'Data Entry'!$È$6)</f>
      </c>
      <c r="EG6">
        <f>IF(ISBLANK('Data Entry'!$É$6), "", 'Data Entry'!$É$6)</f>
      </c>
      <c r="EH6">
        <f>IF(ISBLANK('Data Entry'!$Ê$6), "", 'Data Entry'!$Ê$6)</f>
      </c>
      <c r="EI6">
        <f>IF(ISBLANK('Data Entry'!$Ë$6), "", 'Data Entry'!$Ë$6)</f>
      </c>
      <c r="EJ6">
        <f>IF(ISBLANK('Data Entry'!$Ì$6), "", 'Data Entry'!$Ì$6)</f>
      </c>
      <c r="EK6">
        <f>IF(ISBLANK('Data Entry'!$Í$6), "", 'Data Entry'!$Í$6)</f>
      </c>
      <c r="EL6">
        <f>IF(ISBLANK('Data Entry'!$Î$6), "", 'Data Entry'!$Î$6)</f>
      </c>
      <c r="EM6">
        <f>IF(ISBLANK('Data Entry'!$Ï$6), "", 'Data Entry'!$Ï$6)</f>
      </c>
      <c r="EN6">
        <f>IF(ISBLANK('Data Entry'!$Ð$6), "", 'Data Entry'!$Ð$6)</f>
      </c>
      <c r="EO6">
        <f>IF(ISBLANK('Data Entry'!$Ñ$6), "", 'Data Entry'!$Ñ$6)</f>
      </c>
      <c r="EP6">
        <f>IF(ISBLANK('Data Entry'!$Ò$6), "", 'Data Entry'!$Ò$6)</f>
      </c>
      <c r="EQ6">
        <f>IF(ISBLANK('Data Entry'!$Ó$6), "", 'Data Entry'!$Ó$6)</f>
      </c>
      <c r="ER6">
        <f>IF(ISBLANK('Data Entry'!$Ô$6), "", 'Data Entry'!$Ô$6)</f>
      </c>
      <c r="ES6">
        <f>IF(ISBLANK('Data Entry'!$Õ$6), "", 'Data Entry'!$Õ$6)</f>
      </c>
      <c r="ET6">
        <f>IF(ISBLANK('Data Entry'!$Ö$6), "", 'Data Entry'!$Ö$6)</f>
      </c>
      <c r="EU6">
        <f>IF(ISBLANK('Data Entry'!$×$6), "", 'Data Entry'!$×$6)</f>
      </c>
      <c r="EV6">
        <f>IF(ISBLANK('Data Entry'!$Ø$6), "", 'Data Entry'!$Ø$6)</f>
      </c>
      <c r="EW6">
        <f>IF(ISBLANK('Data Entry'!$Ù$6), "", 'Data Entry'!$Ù$6)</f>
      </c>
      <c r="EX6">
        <f>IF(ISBLANK('Data Entry'!$Ú$6), "", 'Data Entry'!$Ú$6)</f>
      </c>
      <c r="EY6">
        <f>IF(ISBLANK('Data Entry'!$Û$6), "", 'Data Entry'!$Û$6)</f>
      </c>
      <c r="EZ6">
        <f>IF(ISBLANK('Data Entry'!$Ü$6), "", 'Data Entry'!$Ü$6)</f>
      </c>
      <c r="FA6">
        <f>IF(ISBLANK('Data Entry'!$Ý$6), "", 'Data Entry'!$Ý$6)</f>
      </c>
      <c r="FB6">
        <f>IF(ISBLANK('Data Entry'!$Þ$6), "", 'Data Entry'!$Þ$6)</f>
      </c>
      <c r="FC6">
        <f>IF(ISBLANK('Data Entry'!$ß$6), "", 'Data Entry'!$ß$6)</f>
      </c>
      <c r="FD6">
        <f>IF(ISBLANK('Data Entry'!$à$6), "", 'Data Entry'!$à$6)</f>
      </c>
      <c r="FE6">
        <f>IF(ISBLANK('Data Entry'!$á$6), "", 'Data Entry'!$á$6)</f>
      </c>
      <c r="FF6">
        <f>IF(ISBLANK('Data Entry'!$â$6), "", 'Data Entry'!$â$6)</f>
      </c>
      <c r="FG6">
        <f>IF(ISBLANK('Data Entry'!$ã$6), "", 'Data Entry'!$ã$6)</f>
      </c>
      <c r="FH6">
        <f>IF(ISBLANK('Data Entry'!$ä$6), "", 'Data Entry'!$ä$6)</f>
      </c>
      <c r="FI6">
        <f>IF(ISBLANK('Data Entry'!$å$6), "", 'Data Entry'!$å$6)</f>
      </c>
      <c r="FJ6">
        <f>IF(ISBLANK('Data Entry'!$æ$6), "", 'Data Entry'!$æ$6)</f>
      </c>
      <c r="FK6">
        <f>IF(ISBLANK('Data Entry'!$ç$6), "", 'Data Entry'!$ç$6)</f>
      </c>
      <c r="FL6">
        <f>IF(ISBLANK('Data Entry'!$è$6), "", 'Data Entry'!$è$6)</f>
      </c>
      <c r="FM6">
        <f>IF(ISBLANK('Data Entry'!$é$6), "", 'Data Entry'!$é$6)</f>
      </c>
      <c r="FN6">
        <f>IF(ISBLANK('Data Entry'!$ê$6), "", 'Data Entry'!$ê$6)</f>
      </c>
      <c r="FO6">
        <f>IF(ISBLANK('Data Entry'!$ë$6), "", 'Data Entry'!$ë$6)</f>
      </c>
      <c r="FP6">
        <f>IF(ISBLANK('Data Entry'!$ì$6), "", 'Data Entry'!$ì$6)</f>
      </c>
      <c r="FQ6">
        <f>IF(ISBLANK('Data Entry'!$í$6), "", 'Data Entry'!$í$6)</f>
      </c>
      <c r="FR6">
        <f>IF(ISBLANK('Data Entry'!$î$6), "", 'Data Entry'!$î$6)</f>
      </c>
      <c r="FS6">
        <f>IF(ISBLANK('Data Entry'!$ï$6), "", 'Data Entry'!$ï$6)</f>
      </c>
      <c r="FT6">
        <f>IF(ISBLANK('Data Entry'!$ð$6), "", 'Data Entry'!$ð$6)</f>
      </c>
      <c r="FU6">
        <f>IF(ISBLANK('Data Entry'!$ñ$6), "", 'Data Entry'!$ñ$6)</f>
      </c>
      <c r="FV6">
        <f>IF(ISBLANK('Data Entry'!$ò$6), "", 'Data Entry'!$ò$6)</f>
      </c>
      <c r="FW6">
        <f>IF(ISBLANK('Data Entry'!$ó$6), "", 'Data Entry'!$ó$6)</f>
      </c>
      <c r="FX6">
        <f>IF(ISBLANK('Data Entry'!$ô$6), "", 'Data Entry'!$ô$6)</f>
      </c>
      <c r="FY6">
        <f>IF(ISBLANK('Data Entry'!$õ$6), "", 'Data Entry'!$õ$6)</f>
      </c>
      <c r="FZ6">
        <f>IF(ISBLANK('Data Entry'!$ö$6), "", 'Data Entry'!$ö$6)</f>
      </c>
      <c r="GA6">
        <f>IF(ISBLANK('Data Entry'!$÷$6), "", 'Data Entry'!$÷$6)</f>
      </c>
      <c r="GB6">
        <f>IF(ISBLANK('Data Entry'!$ø$6), "", 'Data Entry'!$ø$6)</f>
      </c>
      <c r="GC6">
        <f>IF(ISBLANK('Data Entry'!$ù$6), "", 'Data Entry'!$ù$6)</f>
      </c>
      <c r="GD6">
        <f>IF(ISBLANK('Data Entry'!$ú$6), "", 'Data Entry'!$ú$6)</f>
      </c>
      <c r="GE6">
        <f>IF(ISBLANK('Data Entry'!$û$6), "", 'Data Entry'!$û$6)</f>
      </c>
      <c r="GF6">
        <f>IF(ISBLANK('Data Entry'!$ü$6), "", 'Data Entry'!$ü$6)</f>
      </c>
      <c r="GG6">
        <f>IF(ISBLANK('Data Entry'!$ý$6), "", 'Data Entry'!$ý$6)</f>
      </c>
      <c r="GH6">
        <f>IF(ISBLANK('Data Entry'!$þ$6), "", 'Data Entry'!$þ$6)</f>
      </c>
      <c r="GI6">
        <f>IF(ISBLANK('Data Entry'!$ÿ$6), "", 'Data Entry'!$ÿ$6)</f>
      </c>
      <c r="GJ6">
        <f>IF(ISBLANK('Data Entry'!$Ā$6), "", 'Data Entry'!$Ā$6)</f>
      </c>
      <c r="GK6">
        <f>IF(ISBLANK('Data Entry'!$ā$6), "", 'Data Entry'!$ā$6)</f>
      </c>
      <c r="GL6">
        <f>IF(ISBLANK('Data Entry'!$Ă$6), "", 'Data Entry'!$Ă$6)</f>
      </c>
      <c r="GM6">
        <f>IF(ISBLANK('Data Entry'!$ă$6), "", 'Data Entry'!$ă$6)</f>
      </c>
      <c r="GN6">
        <f>IF(ISBLANK('Data Entry'!$Ą$6), "", 'Data Entry'!$Ą$6)</f>
      </c>
      <c r="GO6">
        <f>IF(ISBLANK('Data Entry'!$ą$6), "", 'Data Entry'!$ą$6)</f>
      </c>
      <c r="GP6">
        <f>IF(ISBLANK('Data Entry'!$Ć$6), "", 'Data Entry'!$Ć$6)</f>
      </c>
      <c r="GQ6">
        <f>IF(ISBLANK('Data Entry'!$ć$6), "", 'Data Entry'!$ć$6)</f>
      </c>
      <c r="GR6">
        <f>IF(ISBLANK('Data Entry'!$Ĉ$6), "", 'Data Entry'!$Ĉ$6)</f>
      </c>
      <c r="GS6">
        <f>IF(ISBLANK('Data Entry'!$ĉ$6), "", 'Data Entry'!$ĉ$6)</f>
      </c>
      <c r="GT6">
        <f>IF(ISBLANK('Data Entry'!$Ċ$6), "", 'Data Entry'!$Ċ$6)</f>
      </c>
      <c r="GU6">
        <f>IF(ISBLANK('Data Entry'!$ċ$6), "", 'Data Entry'!$ċ$6)</f>
      </c>
      <c r="GV6">
        <f>IF(ISBLANK('Data Entry'!$Č$6), "", 'Data Entry'!$Č$6)</f>
      </c>
      <c r="GW6">
        <f>IF(ISBLANK('Data Entry'!$č$6), "", 'Data Entry'!$č$6)</f>
      </c>
      <c r="GX6">
        <f>IF(ISBLANK('Data Entry'!$Ď$6), "", 'Data Entry'!$Ď$6)</f>
      </c>
      <c r="GY6">
        <f>IF(ISBLANK('Data Entry'!$ď$6), "", 'Data Entry'!$ď$6)</f>
      </c>
      <c r="GZ6">
        <f>IF(ISBLANK('Data Entry'!$Đ$6), "", 'Data Entry'!$Đ$6)</f>
      </c>
      <c r="HA6">
        <f>IF(ISBLANK('Data Entry'!$đ$6), "", 'Data Entry'!$đ$6)</f>
      </c>
      <c r="HB6">
        <f>IF(ISBLANK('Data Entry'!$Ē$6), "", 'Data Entry'!$Ē$6)</f>
      </c>
      <c r="HC6">
        <f>IF(ISBLANK('Data Entry'!$ē$6), "", 'Data Entry'!$ē$6)</f>
      </c>
      <c r="HD6">
        <f>IF(ISBLANK('Data Entry'!$Ĕ$6), "", 'Data Entry'!$Ĕ$6)</f>
      </c>
      <c r="HE6">
        <f>IF(ISBLANK('Data Entry'!$ĕ$6), "", 'Data Entry'!$ĕ$6)</f>
      </c>
      <c r="HF6">
        <f>IF(ISBLANK('Data Entry'!$Ė$6), "", 'Data Entry'!$Ė$6)</f>
      </c>
      <c r="HG6">
        <f>IF(ISBLANK('Data Entry'!$ė$6), "", 'Data Entry'!$ė$6)</f>
      </c>
      <c r="HH6">
        <f>IF(ISBLANK('Data Entry'!$Ę$6), "", 'Data Entry'!$Ę$6)</f>
      </c>
      <c r="HI6">
        <f>IF(ISBLANK('Data Entry'!$ę$6), "", 'Data Entry'!$ę$6)</f>
      </c>
      <c r="HJ6">
        <f>IF(ISBLANK('Data Entry'!$Ě$6), "", 'Data Entry'!$Ě$6)</f>
      </c>
      <c r="HK6">
        <f>IF(ISBLANK('Data Entry'!$ě$6), "", 'Data Entry'!$ě$6)</f>
      </c>
      <c r="HL6">
        <f>IF(ISBLANK('Data Entry'!$Ĝ$6), "", 'Data Entry'!$Ĝ$6)</f>
      </c>
      <c r="HM6">
        <f>IF(ISBLANK('Data Entry'!$ĝ$6), "", 'Data Entry'!$ĝ$6)</f>
      </c>
      <c r="HN6">
        <f>IF(ISBLANK('Data Entry'!$Ğ$6), "", 'Data Entry'!$Ğ$6)</f>
      </c>
      <c r="HO6">
        <f>IF(ISBLANK('Data Entry'!$ğ$6), "", 'Data Entry'!$ğ$6)</f>
      </c>
      <c r="HP6">
        <f>IF(ISBLANK('Data Entry'!$Ġ$6), "", 'Data Entry'!$Ġ$6)</f>
      </c>
      <c r="HQ6">
        <f>IF(ISBLANK('Data Entry'!$ġ$6), "", 'Data Entry'!$ġ$6)</f>
      </c>
      <c r="HR6">
        <f>IF(ISBLANK('Data Entry'!$Ģ$6), "", 'Data Entry'!$Ģ$6)</f>
      </c>
      <c r="HS6">
        <f>IF(ISBLANK('Data Entry'!$ģ$6), "", 'Data Entry'!$ģ$6)</f>
      </c>
      <c r="HT6">
        <f>IF(ISBLANK('Data Entry'!$Ĥ$6), "", 'Data Entry'!$Ĥ$6)</f>
      </c>
      <c r="HU6">
        <f>IF(ISBLANK('Data Entry'!$ĥ$6), "", 'Data Entry'!$ĥ$6)</f>
      </c>
      <c r="HV6">
        <f>IF(ISBLANK('Data Entry'!$Ħ$6), "", 'Data Entry'!$Ħ$6)</f>
      </c>
      <c r="HW6">
        <f>IF(ISBLANK('Data Entry'!$ħ$6), "", 'Data Entry'!$ħ$6)</f>
      </c>
      <c r="HX6">
        <f>IF(ISBLANK('Data Entry'!$Ĩ$6), "", 'Data Entry'!$Ĩ$6)</f>
      </c>
      <c r="HY6">
        <f>IF(ISBLANK('Data Entry'!$ĩ$6), "", 'Data Entry'!$ĩ$6)</f>
      </c>
      <c r="HZ6">
        <f>IF(ISBLANK('Data Entry'!$Ī$6), "", 'Data Entry'!$Ī$6)</f>
      </c>
      <c r="IA6">
        <f>IF(ISBLANK('Data Entry'!$ī$6), "", 'Data Entry'!$ī$6)</f>
      </c>
      <c r="IB6">
        <f>IF(ISBLANK('Data Entry'!$Ĭ$6), "", 'Data Entry'!$Ĭ$6)</f>
      </c>
      <c r="IC6">
        <f>IF(ISBLANK('Data Entry'!$ĭ$6), "", 'Data Entry'!$ĭ$6)</f>
      </c>
      <c r="ID6">
        <f>IF(ISBLANK('Data Entry'!$Į$6), "", 'Data Entry'!$Į$6)</f>
      </c>
      <c r="IE6">
        <f>IF(ISBLANK('Data Entry'!$į$6), "", 'Data Entry'!$į$6)</f>
      </c>
      <c r="IF6">
        <f>IF(ISBLANK('Data Entry'!$İ$6), "", 'Data Entry'!$İ$6)</f>
      </c>
      <c r="IG6">
        <f>IF(ISBLANK('Data Entry'!$ı$6), "", 'Data Entry'!$ı$6)</f>
      </c>
      <c r="IH6">
        <f>IF(ISBLANK('Data Entry'!$Ĳ$6), "", 'Data Entry'!$Ĳ$6)</f>
      </c>
      <c r="II6">
        <f>IF(ISBLANK('Data Entry'!$ĳ$6), "", 'Data Entry'!$ĳ$6)</f>
      </c>
      <c r="IJ6">
        <f>IF(ISBLANK('Data Entry'!$Ĵ$6), "", 'Data Entry'!$Ĵ$6)</f>
      </c>
      <c r="IK6">
        <f>IF(ISBLANK('Data Entry'!$ĵ$6), "", 'Data Entry'!$ĵ$6)</f>
      </c>
      <c r="IL6">
        <f>IF(ISBLANK('Data Entry'!$Ķ$6), "", 'Data Entry'!$Ķ$6)</f>
      </c>
      <c r="IM6">
        <f>IF(ISBLANK('Data Entry'!$ķ$6), "", 'Data Entry'!$ķ$6)</f>
      </c>
      <c r="IN6">
        <f>IF(ISBLANK('Data Entry'!$ĸ$6), "", 'Data Entry'!$ĸ$6)</f>
      </c>
      <c r="IO6">
        <f>IF(ISBLANK('Data Entry'!$Ĺ$6), "", 'Data Entry'!$Ĺ$6)</f>
      </c>
      <c r="IP6">
        <f>IF(ISBLANK('Data Entry'!$ĺ$6), "", 'Data Entry'!$ĺ$6)</f>
      </c>
      <c r="IQ6">
        <f>IF(ISBLANK('Data Entry'!$Ļ$6), "", 'Data Entry'!$Ļ$6)</f>
      </c>
      <c r="IR6">
        <f>IF(ISBLANK('Data Entry'!$ļ$6), "", 'Data Entry'!$ļ$6)</f>
      </c>
      <c r="IS6">
        <f>IF(ISBLANK('Data Entry'!$Ľ$6), "", 'Data Entry'!$Ľ$6)</f>
      </c>
      <c r="IT6">
        <f>IF(ISBLANK('Data Entry'!$ľ$6), "", 'Data Entry'!$ľ$6)</f>
      </c>
    </row>
    <row r="7" spans="1:254" x14ac:dyDescent="0.25">
      <c r="A7">
        <f>IF(ISBLANK('Data Entry'!$A$7), "", 'Data Entry'!$A$7)</f>
      </c>
      <c r="B7">
        <f>IF(ISBLANK('Data Entry'!$B$7), "", 'Data Entry'!$B$7)</f>
      </c>
      <c r="C7">
        <f>IF(ISBLANK('Data Entry'!$C$7), "", 'Data Entry'!$C$7)</f>
      </c>
      <c r="D7">
        <f>IF(ISBLANK('Data Entry'!$D$7), "", 'Data Entry'!$D$7)</f>
      </c>
      <c r="E7">
        <f>IF(ISBLANK('Data Entry'!$E$7), "", 'Data Entry'!$E$7)</f>
      </c>
      <c r="F7">
        <f>IF(ISBLANK('Data Entry'!$F$7), "", 'Data Entry'!$F$7)</f>
      </c>
      <c r="G7">
        <f>IF(ISBLANK('Data Entry'!$G$7), "", 'Data Entry'!$G$7)</f>
      </c>
      <c r="H7">
        <f>IF(ISBLANK('Data Entry'!$H$7), "", 'Data Entry'!$H$7)</f>
      </c>
      <c r="I7">
        <f>IF(ISBLANK('Data Entry'!$I$7), "", 'Data Entry'!$I$7)</f>
      </c>
      <c r="J7">
        <f>IF(ISBLANK('Data Entry'!$J$7), "", 'Data Entry'!$J$7)</f>
      </c>
      <c r="K7">
        <f>IF(ISBLANK('Data Entry'!$K$7), "", 'Data Entry'!$K$7)</f>
      </c>
      <c r="L7">
        <f>IF(ISBLANK('Data Entry'!$L$7), "", 'Data Entry'!$L$7)</f>
      </c>
      <c r="M7">
        <f>IF(ISBLANK('Data Entry'!$M$7), "", 'Data Entry'!$M$7)</f>
      </c>
      <c r="N7">
        <f>IF(ISBLANK('Data Entry'!$N$7), "", 'Data Entry'!$N$7)</f>
      </c>
      <c r="O7">
        <f>IF(ISBLANK('Data Entry'!$O$7), "", 'Data Entry'!$O$7)</f>
      </c>
      <c r="P7">
        <f>IF(ISBLANK('Data Entry'!$P$7), "", 'Data Entry'!$P$7)</f>
      </c>
      <c r="Q7">
        <f>IF(ISBLANK('Data Entry'!$Q$7), "", 'Data Entry'!$Q$7)</f>
      </c>
      <c r="R7">
        <f>IF(ISBLANK('Data Entry'!$R$7), "", 'Data Entry'!$R$7)</f>
      </c>
      <c r="S7">
        <f>IF(ISBLANK('Data Entry'!$S$7), "", 'Data Entry'!$S$7)</f>
      </c>
      <c r="T7">
        <f>IF(ISBLANK('Data Entry'!$T$7), "", 'Data Entry'!$T$7)</f>
      </c>
      <c r="U7">
        <f>IF(ISBLANK('Data Entry'!$U$7), "", 'Data Entry'!$U$7)</f>
      </c>
      <c r="V7">
        <f>IF(ISBLANK('Data Entry'!$V$7), "", 'Data Entry'!$V$7)</f>
      </c>
      <c r="W7">
        <f>IF(ISBLANK('Data Entry'!$W$7), "", 'Data Entry'!$W$7)</f>
      </c>
      <c r="X7">
        <f>IF(ISBLANK('Data Entry'!$X$7), "", 'Data Entry'!$X$7)</f>
      </c>
      <c r="Y7">
        <f>IF(ISBLANK('Data Entry'!$Y$7), "", 'Data Entry'!$Y$7)</f>
      </c>
      <c r="Z7">
        <f>IF(ISBLANK('Data Entry'!$Z$7), "", 'Data Entry'!$Z$7)</f>
      </c>
      <c r="AA7">
        <f>IF(ISBLANK('Data Entry'!$[$7), "", 'Data Entry'!$[$7)</f>
      </c>
      <c r="AB7">
        <f>IF(ISBLANK('Data Entry'!$\$7), "", 'Data Entry'!$\$7)</f>
      </c>
      <c r="AC7">
        <f>IF(ISBLANK('Data Entry'!$]$7), "", 'Data Entry'!$]$7)</f>
      </c>
      <c r="AD7">
        <f>IF(ISBLANK('Data Entry'!$^$7), "", 'Data Entry'!$^$7)</f>
      </c>
      <c r="AE7">
        <f>IF(ISBLANK('Data Entry'!$_$7), "", 'Data Entry'!$_$7)</f>
      </c>
      <c r="AF7">
        <f>IF(ISBLANK('Data Entry'!$`$7), "", 'Data Entry'!$`$7)</f>
      </c>
      <c r="AG7">
        <f>IF(ISBLANK('Data Entry'!$a$7), "", 'Data Entry'!$a$7)</f>
      </c>
      <c r="AH7">
        <f>IF(ISBLANK('Data Entry'!$b$7), "", 'Data Entry'!$b$7)</f>
      </c>
      <c r="AI7">
        <f>IF(ISBLANK('Data Entry'!$c$7), "", 'Data Entry'!$c$7)</f>
      </c>
      <c r="AJ7">
        <f>IF(ISBLANK('Data Entry'!$d$7), "", 'Data Entry'!$d$7)</f>
      </c>
      <c r="AK7">
        <f>IF(ISBLANK('Data Entry'!$e$7), "", 'Data Entry'!$e$7)</f>
      </c>
      <c r="AL7">
        <f>IF(ISBLANK('Data Entry'!$f$7), "", 'Data Entry'!$f$7)</f>
      </c>
      <c r="AM7">
        <f>IF(ISBLANK('Data Entry'!$g$7), "", 'Data Entry'!$g$7)</f>
      </c>
      <c r="AN7">
        <f>IF(ISBLANK('Data Entry'!$h$7), "", 'Data Entry'!$h$7)</f>
      </c>
      <c r="AO7">
        <f>IF(ISBLANK('Data Entry'!$i$7), "", 'Data Entry'!$i$7)</f>
      </c>
      <c r="AP7">
        <f>IF(ISBLANK('Data Entry'!$j$7), "", 'Data Entry'!$j$7)</f>
      </c>
      <c r="AQ7">
        <f>IF(ISBLANK('Data Entry'!$k$7), "", 'Data Entry'!$k$7)</f>
      </c>
      <c r="AR7">
        <f>IF(ISBLANK('Data Entry'!$l$7), "", 'Data Entry'!$l$7)</f>
      </c>
      <c r="AS7">
        <f>IF(ISBLANK('Data Entry'!$m$7), "", 'Data Entry'!$m$7)</f>
      </c>
      <c r="AT7">
        <f>IF(ISBLANK('Data Entry'!$n$7), "", 'Data Entry'!$n$7)</f>
      </c>
      <c r="AU7">
        <f>IF(ISBLANK('Data Entry'!$o$7), "", 'Data Entry'!$o$7)</f>
      </c>
      <c r="AV7">
        <f>IF(ISBLANK('Data Entry'!$p$7), "", 'Data Entry'!$p$7)</f>
      </c>
      <c r="AW7">
        <f>IF(ISBLANK('Data Entry'!$q$7), "", 'Data Entry'!$q$7)</f>
      </c>
      <c r="AX7">
        <f>IF(ISBLANK('Data Entry'!$r$7), "", 'Data Entry'!$r$7)</f>
      </c>
      <c r="AY7">
        <f>IF(ISBLANK('Data Entry'!$s$7), "", 'Data Entry'!$s$7)</f>
      </c>
      <c r="AZ7">
        <f>IF(ISBLANK('Data Entry'!$t$7), "", 'Data Entry'!$t$7)</f>
      </c>
      <c r="BA7">
        <f>IF(ISBLANK('Data Entry'!$u$7), "", 'Data Entry'!$u$7)</f>
      </c>
      <c r="BB7">
        <f>IF(ISBLANK('Data Entry'!$v$7), "", 'Data Entry'!$v$7)</f>
      </c>
      <c r="BC7">
        <f>IF(ISBLANK('Data Entry'!$w$7), "", 'Data Entry'!$w$7)</f>
      </c>
      <c r="BD7">
        <f>IF(ISBLANK('Data Entry'!$x$7), "", 'Data Entry'!$x$7)</f>
      </c>
      <c r="BE7">
        <f>IF(ISBLANK('Data Entry'!$y$7), "", 'Data Entry'!$y$7)</f>
      </c>
      <c r="BF7">
        <f>IF(ISBLANK('Data Entry'!$z$7), "", 'Data Entry'!$z$7)</f>
      </c>
      <c r="BG7">
        <f>IF(ISBLANK('Data Entry'!${$7), "", 'Data Entry'!${$7)</f>
      </c>
      <c r="BH7">
        <f>IF(ISBLANK('Data Entry'!$|$7), "", 'Data Entry'!$|$7)</f>
      </c>
      <c r="BI7">
        <f>IF(ISBLANK('Data Entry'!$}$7), "", 'Data Entry'!$}$7)</f>
      </c>
      <c r="BJ7">
        <f>IF(ISBLANK('Data Entry'!$~$7), "", 'Data Entry'!$~$7)</f>
      </c>
      <c r="BK7">
        <f>IF(ISBLANK('Data Entry'!$$7), "", 'Data Entry'!$$7)</f>
      </c>
      <c r="BL7">
        <f>IF(ISBLANK('Data Entry'!$$7), "", 'Data Entry'!$$7)</f>
      </c>
      <c r="BM7">
        <f>IF(ISBLANK('Data Entry'!$$7), "", 'Data Entry'!$$7)</f>
      </c>
      <c r="BN7">
        <f>IF(ISBLANK('Data Entry'!$$7), "", 'Data Entry'!$$7)</f>
      </c>
      <c r="BO7">
        <f>IF(ISBLANK('Data Entry'!$$7), "", 'Data Entry'!$$7)</f>
      </c>
      <c r="BP7">
        <f>IF(ISBLANK('Data Entry'!$$7), "", 'Data Entry'!$$7)</f>
      </c>
      <c r="BQ7">
        <f>IF(ISBLANK('Data Entry'!$$7), "", 'Data Entry'!$$7)</f>
      </c>
      <c r="BR7">
        <f>IF(ISBLANK('Data Entry'!$$7), "", 'Data Entry'!$$7)</f>
      </c>
      <c r="BS7">
        <f>IF(ISBLANK('Data Entry'!$$7), "", 'Data Entry'!$$7)</f>
      </c>
      <c r="BT7">
        <f>IF(ISBLANK('Data Entry'!$$7), "", 'Data Entry'!$$7)</f>
      </c>
      <c r="BU7">
        <f>IF(ISBLANK('Data Entry'!$$7), "", 'Data Entry'!$$7)</f>
      </c>
      <c r="BV7">
        <f>IF(ISBLANK('Data Entry'!$$7), "", 'Data Entry'!$$7)</f>
      </c>
      <c r="BW7">
        <f>IF(ISBLANK('Data Entry'!$$7), "", 'Data Entry'!$$7)</f>
      </c>
      <c r="BX7">
        <f>IF(ISBLANK('Data Entry'!$$7), "", 'Data Entry'!$$7)</f>
      </c>
      <c r="BY7">
        <f>IF(ISBLANK('Data Entry'!$$7), "", 'Data Entry'!$$7)</f>
      </c>
      <c r="BZ7">
        <f>IF(ISBLANK('Data Entry'!$$7), "", 'Data Entry'!$$7)</f>
      </c>
      <c r="CA7">
        <f>IF(ISBLANK('Data Entry'!$$7), "", 'Data Entry'!$$7)</f>
      </c>
      <c r="CB7">
        <f>IF(ISBLANK('Data Entry'!$$7), "", 'Data Entry'!$$7)</f>
      </c>
      <c r="CC7">
        <f>IF(ISBLANK('Data Entry'!$$7), "", 'Data Entry'!$$7)</f>
      </c>
      <c r="CD7">
        <f>IF(ISBLANK('Data Entry'!$$7), "", 'Data Entry'!$$7)</f>
      </c>
      <c r="CE7">
        <f>IF(ISBLANK('Data Entry'!$$7), "", 'Data Entry'!$$7)</f>
      </c>
      <c r="CF7">
        <f>IF(ISBLANK('Data Entry'!$$7), "", 'Data Entry'!$$7)</f>
      </c>
      <c r="CG7">
        <f>IF(ISBLANK('Data Entry'!$$7), "", 'Data Entry'!$$7)</f>
      </c>
      <c r="CH7">
        <f>IF(ISBLANK('Data Entry'!$$7), "", 'Data Entry'!$$7)</f>
      </c>
      <c r="CI7">
        <f>IF(ISBLANK('Data Entry'!$$7), "", 'Data Entry'!$$7)</f>
      </c>
      <c r="CJ7">
        <f>IF(ISBLANK('Data Entry'!$$7), "", 'Data Entry'!$$7)</f>
      </c>
      <c r="CK7">
        <f>IF(ISBLANK('Data Entry'!$$7), "", 'Data Entry'!$$7)</f>
      </c>
      <c r="CL7">
        <f>IF(ISBLANK('Data Entry'!$$7), "", 'Data Entry'!$$7)</f>
      </c>
      <c r="CM7">
        <f>IF(ISBLANK('Data Entry'!$$7), "", 'Data Entry'!$$7)</f>
      </c>
      <c r="CN7">
        <f>IF(ISBLANK('Data Entry'!$$7), "", 'Data Entry'!$$7)</f>
      </c>
      <c r="CO7">
        <f>IF(ISBLANK('Data Entry'!$$7), "", 'Data Entry'!$$7)</f>
      </c>
      <c r="CP7">
        <f>IF(ISBLANK('Data Entry'!$$7), "", 'Data Entry'!$$7)</f>
      </c>
      <c r="CQ7">
        <f>IF(ISBLANK('Data Entry'!$$7), "", 'Data Entry'!$$7)</f>
      </c>
      <c r="CR7">
        <f>IF(ISBLANK('Data Entry'!$ $7), "", 'Data Entry'!$ $7)</f>
      </c>
      <c r="CS7">
        <f>IF(ISBLANK('Data Entry'!$¡$7), "", 'Data Entry'!$¡$7)</f>
      </c>
      <c r="CT7">
        <f>IF(ISBLANK('Data Entry'!$¢$7), "", 'Data Entry'!$¢$7)</f>
      </c>
      <c r="CU7">
        <f>IF(ISBLANK('Data Entry'!$£$7), "", 'Data Entry'!$£$7)</f>
      </c>
      <c r="CV7">
        <f>IF(ISBLANK('Data Entry'!$¤$7), "", 'Data Entry'!$¤$7)</f>
      </c>
      <c r="CW7">
        <f>IF(ISBLANK('Data Entry'!$¥$7), "", 'Data Entry'!$¥$7)</f>
      </c>
      <c r="CX7">
        <f>IF(ISBLANK('Data Entry'!$¦$7), "", 'Data Entry'!$¦$7)</f>
      </c>
      <c r="CY7">
        <f>IF(ISBLANK('Data Entry'!$§$7), "", 'Data Entry'!$§$7)</f>
      </c>
      <c r="CZ7">
        <f>IF(ISBLANK('Data Entry'!$¨$7), "", 'Data Entry'!$¨$7)</f>
      </c>
      <c r="DA7">
        <f>IF(ISBLANK('Data Entry'!$©$7), "", 'Data Entry'!$©$7)</f>
      </c>
      <c r="DB7">
        <f>IF(ISBLANK('Data Entry'!$ª$7), "", 'Data Entry'!$ª$7)</f>
      </c>
      <c r="DC7">
        <f>IF(ISBLANK('Data Entry'!$«$7), "", 'Data Entry'!$«$7)</f>
      </c>
      <c r="DD7">
        <f>IF(ISBLANK('Data Entry'!$¬$7), "", 'Data Entry'!$¬$7)</f>
      </c>
      <c r="DE7">
        <f>IF(ISBLANK('Data Entry'!$­$7), "", 'Data Entry'!$­$7)</f>
      </c>
      <c r="DF7">
        <f>IF(ISBLANK('Data Entry'!$®$7), "", 'Data Entry'!$®$7)</f>
      </c>
      <c r="DG7">
        <f>IF(ISBLANK('Data Entry'!$¯$7), "", 'Data Entry'!$¯$7)</f>
      </c>
      <c r="DH7">
        <f>IF(ISBLANK('Data Entry'!$°$7), "", 'Data Entry'!$°$7)</f>
      </c>
      <c r="DI7">
        <f>IF(ISBLANK('Data Entry'!$±$7), "", 'Data Entry'!$±$7)</f>
      </c>
      <c r="DJ7">
        <f>IF(ISBLANK('Data Entry'!$²$7), "", 'Data Entry'!$²$7)</f>
      </c>
      <c r="DK7">
        <f>IF(ISBLANK('Data Entry'!$³$7), "", 'Data Entry'!$³$7)</f>
      </c>
      <c r="DL7">
        <f>IF(ISBLANK('Data Entry'!$´$7), "", 'Data Entry'!$´$7)</f>
      </c>
      <c r="DM7">
        <f>IF(ISBLANK('Data Entry'!$µ$7), "", 'Data Entry'!$µ$7)</f>
      </c>
      <c r="DN7">
        <f>IF(ISBLANK('Data Entry'!$¶$7), "", 'Data Entry'!$¶$7)</f>
      </c>
      <c r="DO7">
        <f>IF(ISBLANK('Data Entry'!$·$7), "", 'Data Entry'!$·$7)</f>
      </c>
      <c r="DP7">
        <f>IF(ISBLANK('Data Entry'!$¸$7), "", 'Data Entry'!$¸$7)</f>
      </c>
      <c r="DQ7">
        <f>IF(ISBLANK('Data Entry'!$¹$7), "", 'Data Entry'!$¹$7)</f>
      </c>
      <c r="DR7">
        <f>IF(ISBLANK('Data Entry'!$º$7), "", 'Data Entry'!$º$7)</f>
      </c>
      <c r="DS7">
        <f>IF(ISBLANK('Data Entry'!$»$7), "", 'Data Entry'!$»$7)</f>
      </c>
      <c r="DT7">
        <f>IF(ISBLANK('Data Entry'!$¼$7), "", 'Data Entry'!$¼$7)</f>
      </c>
      <c r="DU7">
        <f>IF(ISBLANK('Data Entry'!$½$7), "", 'Data Entry'!$½$7)</f>
      </c>
      <c r="DV7">
        <f>IF(ISBLANK('Data Entry'!$¾$7), "", 'Data Entry'!$¾$7)</f>
      </c>
      <c r="DW7">
        <f>IF(ISBLANK('Data Entry'!$¿$7), "", 'Data Entry'!$¿$7)</f>
      </c>
      <c r="DX7">
        <f>IF(ISBLANK('Data Entry'!$À$7), "", 'Data Entry'!$À$7)</f>
      </c>
      <c r="DY7">
        <f>IF(ISBLANK('Data Entry'!$Á$7), "", 'Data Entry'!$Á$7)</f>
      </c>
      <c r="DZ7">
        <f>IF(ISBLANK('Data Entry'!$Â$7), "", 'Data Entry'!$Â$7)</f>
      </c>
      <c r="EA7">
        <f>IF(ISBLANK('Data Entry'!$Ã$7), "", 'Data Entry'!$Ã$7)</f>
      </c>
      <c r="EB7">
        <f>IF(ISBLANK('Data Entry'!$Ä$7), "", 'Data Entry'!$Ä$7)</f>
      </c>
      <c r="EC7">
        <f>IF(ISBLANK('Data Entry'!$Å$7), "", 'Data Entry'!$Å$7)</f>
      </c>
      <c r="ED7">
        <f>IF(ISBLANK('Data Entry'!$Æ$7), "", 'Data Entry'!$Æ$7)</f>
      </c>
      <c r="EE7">
        <f>IF(ISBLANK('Data Entry'!$Ç$7), "", 'Data Entry'!$Ç$7)</f>
      </c>
      <c r="EF7">
        <f>IF(ISBLANK('Data Entry'!$È$7), "", 'Data Entry'!$È$7)</f>
      </c>
      <c r="EG7">
        <f>IF(ISBLANK('Data Entry'!$É$7), "", 'Data Entry'!$É$7)</f>
      </c>
      <c r="EH7">
        <f>IF(ISBLANK('Data Entry'!$Ê$7), "", 'Data Entry'!$Ê$7)</f>
      </c>
      <c r="EI7">
        <f>IF(ISBLANK('Data Entry'!$Ë$7), "", 'Data Entry'!$Ë$7)</f>
      </c>
      <c r="EJ7">
        <f>IF(ISBLANK('Data Entry'!$Ì$7), "", 'Data Entry'!$Ì$7)</f>
      </c>
      <c r="EK7">
        <f>IF(ISBLANK('Data Entry'!$Í$7), "", 'Data Entry'!$Í$7)</f>
      </c>
      <c r="EL7">
        <f>IF(ISBLANK('Data Entry'!$Î$7), "", 'Data Entry'!$Î$7)</f>
      </c>
      <c r="EM7">
        <f>IF(ISBLANK('Data Entry'!$Ï$7), "", 'Data Entry'!$Ï$7)</f>
      </c>
      <c r="EN7">
        <f>IF(ISBLANK('Data Entry'!$Ð$7), "", 'Data Entry'!$Ð$7)</f>
      </c>
      <c r="EO7">
        <f>IF(ISBLANK('Data Entry'!$Ñ$7), "", 'Data Entry'!$Ñ$7)</f>
      </c>
      <c r="EP7">
        <f>IF(ISBLANK('Data Entry'!$Ò$7), "", 'Data Entry'!$Ò$7)</f>
      </c>
      <c r="EQ7">
        <f>IF(ISBLANK('Data Entry'!$Ó$7), "", 'Data Entry'!$Ó$7)</f>
      </c>
      <c r="ER7">
        <f>IF(ISBLANK('Data Entry'!$Ô$7), "", 'Data Entry'!$Ô$7)</f>
      </c>
      <c r="ES7">
        <f>IF(ISBLANK('Data Entry'!$Õ$7), "", 'Data Entry'!$Õ$7)</f>
      </c>
      <c r="ET7">
        <f>IF(ISBLANK('Data Entry'!$Ö$7), "", 'Data Entry'!$Ö$7)</f>
      </c>
      <c r="EU7">
        <f>IF(ISBLANK('Data Entry'!$×$7), "", 'Data Entry'!$×$7)</f>
      </c>
      <c r="EV7">
        <f>IF(ISBLANK('Data Entry'!$Ø$7), "", 'Data Entry'!$Ø$7)</f>
      </c>
      <c r="EW7">
        <f>IF(ISBLANK('Data Entry'!$Ù$7), "", 'Data Entry'!$Ù$7)</f>
      </c>
      <c r="EX7">
        <f>IF(ISBLANK('Data Entry'!$Ú$7), "", 'Data Entry'!$Ú$7)</f>
      </c>
      <c r="EY7">
        <f>IF(ISBLANK('Data Entry'!$Û$7), "", 'Data Entry'!$Û$7)</f>
      </c>
      <c r="EZ7">
        <f>IF(ISBLANK('Data Entry'!$Ü$7), "", 'Data Entry'!$Ü$7)</f>
      </c>
      <c r="FA7">
        <f>IF(ISBLANK('Data Entry'!$Ý$7), "", 'Data Entry'!$Ý$7)</f>
      </c>
      <c r="FB7">
        <f>IF(ISBLANK('Data Entry'!$Þ$7), "", 'Data Entry'!$Þ$7)</f>
      </c>
      <c r="FC7">
        <f>IF(ISBLANK('Data Entry'!$ß$7), "", 'Data Entry'!$ß$7)</f>
      </c>
      <c r="FD7">
        <f>IF(ISBLANK('Data Entry'!$à$7), "", 'Data Entry'!$à$7)</f>
      </c>
      <c r="FE7">
        <f>IF(ISBLANK('Data Entry'!$á$7), "", 'Data Entry'!$á$7)</f>
      </c>
      <c r="FF7">
        <f>IF(ISBLANK('Data Entry'!$â$7), "", 'Data Entry'!$â$7)</f>
      </c>
      <c r="FG7">
        <f>IF(ISBLANK('Data Entry'!$ã$7), "", 'Data Entry'!$ã$7)</f>
      </c>
      <c r="FH7">
        <f>IF(ISBLANK('Data Entry'!$ä$7), "", 'Data Entry'!$ä$7)</f>
      </c>
      <c r="FI7">
        <f>IF(ISBLANK('Data Entry'!$å$7), "", 'Data Entry'!$å$7)</f>
      </c>
      <c r="FJ7">
        <f>IF(ISBLANK('Data Entry'!$æ$7), "", 'Data Entry'!$æ$7)</f>
      </c>
      <c r="FK7">
        <f>IF(ISBLANK('Data Entry'!$ç$7), "", 'Data Entry'!$ç$7)</f>
      </c>
      <c r="FL7">
        <f>IF(ISBLANK('Data Entry'!$è$7), "", 'Data Entry'!$è$7)</f>
      </c>
      <c r="FM7">
        <f>IF(ISBLANK('Data Entry'!$é$7), "", 'Data Entry'!$é$7)</f>
      </c>
      <c r="FN7">
        <f>IF(ISBLANK('Data Entry'!$ê$7), "", 'Data Entry'!$ê$7)</f>
      </c>
      <c r="FO7">
        <f>IF(ISBLANK('Data Entry'!$ë$7), "", 'Data Entry'!$ë$7)</f>
      </c>
      <c r="FP7">
        <f>IF(ISBLANK('Data Entry'!$ì$7), "", 'Data Entry'!$ì$7)</f>
      </c>
      <c r="FQ7">
        <f>IF(ISBLANK('Data Entry'!$í$7), "", 'Data Entry'!$í$7)</f>
      </c>
      <c r="FR7">
        <f>IF(ISBLANK('Data Entry'!$î$7), "", 'Data Entry'!$î$7)</f>
      </c>
      <c r="FS7">
        <f>IF(ISBLANK('Data Entry'!$ï$7), "", 'Data Entry'!$ï$7)</f>
      </c>
      <c r="FT7">
        <f>IF(ISBLANK('Data Entry'!$ð$7), "", 'Data Entry'!$ð$7)</f>
      </c>
      <c r="FU7">
        <f>IF(ISBLANK('Data Entry'!$ñ$7), "", 'Data Entry'!$ñ$7)</f>
      </c>
      <c r="FV7">
        <f>IF(ISBLANK('Data Entry'!$ò$7), "", 'Data Entry'!$ò$7)</f>
      </c>
      <c r="FW7">
        <f>IF(ISBLANK('Data Entry'!$ó$7), "", 'Data Entry'!$ó$7)</f>
      </c>
      <c r="FX7">
        <f>IF(ISBLANK('Data Entry'!$ô$7), "", 'Data Entry'!$ô$7)</f>
      </c>
      <c r="FY7">
        <f>IF(ISBLANK('Data Entry'!$õ$7), "", 'Data Entry'!$õ$7)</f>
      </c>
      <c r="FZ7">
        <f>IF(ISBLANK('Data Entry'!$ö$7), "", 'Data Entry'!$ö$7)</f>
      </c>
      <c r="GA7">
        <f>IF(ISBLANK('Data Entry'!$÷$7), "", 'Data Entry'!$÷$7)</f>
      </c>
      <c r="GB7">
        <f>IF(ISBLANK('Data Entry'!$ø$7), "", 'Data Entry'!$ø$7)</f>
      </c>
      <c r="GC7">
        <f>IF(ISBLANK('Data Entry'!$ù$7), "", 'Data Entry'!$ù$7)</f>
      </c>
      <c r="GD7">
        <f>IF(ISBLANK('Data Entry'!$ú$7), "", 'Data Entry'!$ú$7)</f>
      </c>
      <c r="GE7">
        <f>IF(ISBLANK('Data Entry'!$û$7), "", 'Data Entry'!$û$7)</f>
      </c>
      <c r="GF7">
        <f>IF(ISBLANK('Data Entry'!$ü$7), "", 'Data Entry'!$ü$7)</f>
      </c>
      <c r="GG7">
        <f>IF(ISBLANK('Data Entry'!$ý$7), "", 'Data Entry'!$ý$7)</f>
      </c>
      <c r="GH7">
        <f>IF(ISBLANK('Data Entry'!$þ$7), "", 'Data Entry'!$þ$7)</f>
      </c>
      <c r="GI7">
        <f>IF(ISBLANK('Data Entry'!$ÿ$7), "", 'Data Entry'!$ÿ$7)</f>
      </c>
      <c r="GJ7">
        <f>IF(ISBLANK('Data Entry'!$Ā$7), "", 'Data Entry'!$Ā$7)</f>
      </c>
      <c r="GK7">
        <f>IF(ISBLANK('Data Entry'!$ā$7), "", 'Data Entry'!$ā$7)</f>
      </c>
      <c r="GL7">
        <f>IF(ISBLANK('Data Entry'!$Ă$7), "", 'Data Entry'!$Ă$7)</f>
      </c>
      <c r="GM7">
        <f>IF(ISBLANK('Data Entry'!$ă$7), "", 'Data Entry'!$ă$7)</f>
      </c>
      <c r="GN7">
        <f>IF(ISBLANK('Data Entry'!$Ą$7), "", 'Data Entry'!$Ą$7)</f>
      </c>
      <c r="GO7">
        <f>IF(ISBLANK('Data Entry'!$ą$7), "", 'Data Entry'!$ą$7)</f>
      </c>
      <c r="GP7">
        <f>IF(ISBLANK('Data Entry'!$Ć$7), "", 'Data Entry'!$Ć$7)</f>
      </c>
      <c r="GQ7">
        <f>IF(ISBLANK('Data Entry'!$ć$7), "", 'Data Entry'!$ć$7)</f>
      </c>
      <c r="GR7">
        <f>IF(ISBLANK('Data Entry'!$Ĉ$7), "", 'Data Entry'!$Ĉ$7)</f>
      </c>
      <c r="GS7">
        <f>IF(ISBLANK('Data Entry'!$ĉ$7), "", 'Data Entry'!$ĉ$7)</f>
      </c>
      <c r="GT7">
        <f>IF(ISBLANK('Data Entry'!$Ċ$7), "", 'Data Entry'!$Ċ$7)</f>
      </c>
      <c r="GU7">
        <f>IF(ISBLANK('Data Entry'!$ċ$7), "", 'Data Entry'!$ċ$7)</f>
      </c>
      <c r="GV7">
        <f>IF(ISBLANK('Data Entry'!$Č$7), "", 'Data Entry'!$Č$7)</f>
      </c>
      <c r="GW7">
        <f>IF(ISBLANK('Data Entry'!$č$7), "", 'Data Entry'!$č$7)</f>
      </c>
      <c r="GX7">
        <f>IF(ISBLANK('Data Entry'!$Ď$7), "", 'Data Entry'!$Ď$7)</f>
      </c>
      <c r="GY7">
        <f>IF(ISBLANK('Data Entry'!$ď$7), "", 'Data Entry'!$ď$7)</f>
      </c>
      <c r="GZ7">
        <f>IF(ISBLANK('Data Entry'!$Đ$7), "", 'Data Entry'!$Đ$7)</f>
      </c>
      <c r="HA7">
        <f>IF(ISBLANK('Data Entry'!$đ$7), "", 'Data Entry'!$đ$7)</f>
      </c>
      <c r="HB7">
        <f>IF(ISBLANK('Data Entry'!$Ē$7), "", 'Data Entry'!$Ē$7)</f>
      </c>
      <c r="HC7">
        <f>IF(ISBLANK('Data Entry'!$ē$7), "", 'Data Entry'!$ē$7)</f>
      </c>
      <c r="HD7">
        <f>IF(ISBLANK('Data Entry'!$Ĕ$7), "", 'Data Entry'!$Ĕ$7)</f>
      </c>
      <c r="HE7">
        <f>IF(ISBLANK('Data Entry'!$ĕ$7), "", 'Data Entry'!$ĕ$7)</f>
      </c>
      <c r="HF7">
        <f>IF(ISBLANK('Data Entry'!$Ė$7), "", 'Data Entry'!$Ė$7)</f>
      </c>
      <c r="HG7">
        <f>IF(ISBLANK('Data Entry'!$ė$7), "", 'Data Entry'!$ė$7)</f>
      </c>
      <c r="HH7">
        <f>IF(ISBLANK('Data Entry'!$Ę$7), "", 'Data Entry'!$Ę$7)</f>
      </c>
      <c r="HI7">
        <f>IF(ISBLANK('Data Entry'!$ę$7), "", 'Data Entry'!$ę$7)</f>
      </c>
      <c r="HJ7">
        <f>IF(ISBLANK('Data Entry'!$Ě$7), "", 'Data Entry'!$Ě$7)</f>
      </c>
      <c r="HK7">
        <f>IF(ISBLANK('Data Entry'!$ě$7), "", 'Data Entry'!$ě$7)</f>
      </c>
      <c r="HL7">
        <f>IF(ISBLANK('Data Entry'!$Ĝ$7), "", 'Data Entry'!$Ĝ$7)</f>
      </c>
      <c r="HM7">
        <f>IF(ISBLANK('Data Entry'!$ĝ$7), "", 'Data Entry'!$ĝ$7)</f>
      </c>
      <c r="HN7">
        <f>IF(ISBLANK('Data Entry'!$Ğ$7), "", 'Data Entry'!$Ğ$7)</f>
      </c>
      <c r="HO7">
        <f>IF(ISBLANK('Data Entry'!$ğ$7), "", 'Data Entry'!$ğ$7)</f>
      </c>
      <c r="HP7">
        <f>IF(ISBLANK('Data Entry'!$Ġ$7), "", 'Data Entry'!$Ġ$7)</f>
      </c>
      <c r="HQ7">
        <f>IF(ISBLANK('Data Entry'!$ġ$7), "", 'Data Entry'!$ġ$7)</f>
      </c>
      <c r="HR7">
        <f>IF(ISBLANK('Data Entry'!$Ģ$7), "", 'Data Entry'!$Ģ$7)</f>
      </c>
      <c r="HS7">
        <f>IF(ISBLANK('Data Entry'!$ģ$7), "", 'Data Entry'!$ģ$7)</f>
      </c>
      <c r="HT7">
        <f>IF(ISBLANK('Data Entry'!$Ĥ$7), "", 'Data Entry'!$Ĥ$7)</f>
      </c>
      <c r="HU7">
        <f>IF(ISBLANK('Data Entry'!$ĥ$7), "", 'Data Entry'!$ĥ$7)</f>
      </c>
      <c r="HV7">
        <f>IF(ISBLANK('Data Entry'!$Ħ$7), "", 'Data Entry'!$Ħ$7)</f>
      </c>
      <c r="HW7">
        <f>IF(ISBLANK('Data Entry'!$ħ$7), "", 'Data Entry'!$ħ$7)</f>
      </c>
      <c r="HX7">
        <f>IF(ISBLANK('Data Entry'!$Ĩ$7), "", 'Data Entry'!$Ĩ$7)</f>
      </c>
      <c r="HY7">
        <f>IF(ISBLANK('Data Entry'!$ĩ$7), "", 'Data Entry'!$ĩ$7)</f>
      </c>
      <c r="HZ7">
        <f>IF(ISBLANK('Data Entry'!$Ī$7), "", 'Data Entry'!$Ī$7)</f>
      </c>
      <c r="IA7">
        <f>IF(ISBLANK('Data Entry'!$ī$7), "", 'Data Entry'!$ī$7)</f>
      </c>
      <c r="IB7">
        <f>IF(ISBLANK('Data Entry'!$Ĭ$7), "", 'Data Entry'!$Ĭ$7)</f>
      </c>
      <c r="IC7">
        <f>IF(ISBLANK('Data Entry'!$ĭ$7), "", 'Data Entry'!$ĭ$7)</f>
      </c>
      <c r="ID7">
        <f>IF(ISBLANK('Data Entry'!$Į$7), "", 'Data Entry'!$Į$7)</f>
      </c>
      <c r="IE7">
        <f>IF(ISBLANK('Data Entry'!$į$7), "", 'Data Entry'!$į$7)</f>
      </c>
      <c r="IF7">
        <f>IF(ISBLANK('Data Entry'!$İ$7), "", 'Data Entry'!$İ$7)</f>
      </c>
      <c r="IG7">
        <f>IF(ISBLANK('Data Entry'!$ı$7), "", 'Data Entry'!$ı$7)</f>
      </c>
      <c r="IH7">
        <f>IF(ISBLANK('Data Entry'!$Ĳ$7), "", 'Data Entry'!$Ĳ$7)</f>
      </c>
      <c r="II7">
        <f>IF(ISBLANK('Data Entry'!$ĳ$7), "", 'Data Entry'!$ĳ$7)</f>
      </c>
      <c r="IJ7">
        <f>IF(ISBLANK('Data Entry'!$Ĵ$7), "", 'Data Entry'!$Ĵ$7)</f>
      </c>
      <c r="IK7">
        <f>IF(ISBLANK('Data Entry'!$ĵ$7), "", 'Data Entry'!$ĵ$7)</f>
      </c>
      <c r="IL7">
        <f>IF(ISBLANK('Data Entry'!$Ķ$7), "", 'Data Entry'!$Ķ$7)</f>
      </c>
      <c r="IM7">
        <f>IF(ISBLANK('Data Entry'!$ķ$7), "", 'Data Entry'!$ķ$7)</f>
      </c>
      <c r="IN7">
        <f>IF(ISBLANK('Data Entry'!$ĸ$7), "", 'Data Entry'!$ĸ$7)</f>
      </c>
      <c r="IO7">
        <f>IF(ISBLANK('Data Entry'!$Ĺ$7), "", 'Data Entry'!$Ĺ$7)</f>
      </c>
      <c r="IP7">
        <f>IF(ISBLANK('Data Entry'!$ĺ$7), "", 'Data Entry'!$ĺ$7)</f>
      </c>
      <c r="IQ7">
        <f>IF(ISBLANK('Data Entry'!$Ļ$7), "", 'Data Entry'!$Ļ$7)</f>
      </c>
      <c r="IR7">
        <f>IF(ISBLANK('Data Entry'!$ļ$7), "", 'Data Entry'!$ļ$7)</f>
      </c>
      <c r="IS7">
        <f>IF(ISBLANK('Data Entry'!$Ľ$7), "", 'Data Entry'!$Ľ$7)</f>
      </c>
      <c r="IT7">
        <f>IF(ISBLANK('Data Entry'!$ľ$7), "", 'Data Entry'!$ľ$7)</f>
      </c>
    </row>
    <row r="8" spans="1:254" x14ac:dyDescent="0.25">
      <c r="A8">
        <f>IF(ISBLANK('Data Entry'!$A$8), "", 'Data Entry'!$A$8)</f>
      </c>
      <c r="B8">
        <f>IF(ISBLANK('Data Entry'!$B$8), "", 'Data Entry'!$B$8)</f>
      </c>
      <c r="C8">
        <f>IF(ISBLANK('Data Entry'!$C$8), "", 'Data Entry'!$C$8)</f>
      </c>
      <c r="D8">
        <f>IF(ISBLANK('Data Entry'!$D$8), "", 'Data Entry'!$D$8)</f>
      </c>
      <c r="E8">
        <f>IF(ISBLANK('Data Entry'!$E$8), "", 'Data Entry'!$E$8)</f>
      </c>
      <c r="F8">
        <f>IF(ISBLANK('Data Entry'!$F$8), "", 'Data Entry'!$F$8)</f>
      </c>
      <c r="G8">
        <f>IF(ISBLANK('Data Entry'!$G$8), "", 'Data Entry'!$G$8)</f>
      </c>
      <c r="H8">
        <f>IF(ISBLANK('Data Entry'!$H$8), "", 'Data Entry'!$H$8)</f>
      </c>
      <c r="I8">
        <f>IF(ISBLANK('Data Entry'!$I$8), "", 'Data Entry'!$I$8)</f>
      </c>
      <c r="J8">
        <f>IF(ISBLANK('Data Entry'!$J$8), "", 'Data Entry'!$J$8)</f>
      </c>
      <c r="K8">
        <f>IF(ISBLANK('Data Entry'!$K$8), "", 'Data Entry'!$K$8)</f>
      </c>
      <c r="L8">
        <f>IF(ISBLANK('Data Entry'!$L$8), "", 'Data Entry'!$L$8)</f>
      </c>
      <c r="M8">
        <f>IF(ISBLANK('Data Entry'!$M$8), "", 'Data Entry'!$M$8)</f>
      </c>
      <c r="N8">
        <f>IF(ISBLANK('Data Entry'!$N$8), "", 'Data Entry'!$N$8)</f>
      </c>
      <c r="O8">
        <f>IF(ISBLANK('Data Entry'!$O$8), "", 'Data Entry'!$O$8)</f>
      </c>
      <c r="P8">
        <f>IF(ISBLANK('Data Entry'!$P$8), "", 'Data Entry'!$P$8)</f>
      </c>
      <c r="Q8">
        <f>IF(ISBLANK('Data Entry'!$Q$8), "", 'Data Entry'!$Q$8)</f>
      </c>
      <c r="R8">
        <f>IF(ISBLANK('Data Entry'!$R$8), "", 'Data Entry'!$R$8)</f>
      </c>
      <c r="S8">
        <f>IF(ISBLANK('Data Entry'!$S$8), "", 'Data Entry'!$S$8)</f>
      </c>
      <c r="T8">
        <f>IF(ISBLANK('Data Entry'!$T$8), "", 'Data Entry'!$T$8)</f>
      </c>
      <c r="U8">
        <f>IF(ISBLANK('Data Entry'!$U$8), "", 'Data Entry'!$U$8)</f>
      </c>
      <c r="V8">
        <f>IF(ISBLANK('Data Entry'!$V$8), "", 'Data Entry'!$V$8)</f>
      </c>
      <c r="W8">
        <f>IF(ISBLANK('Data Entry'!$W$8), "", 'Data Entry'!$W$8)</f>
      </c>
      <c r="X8">
        <f>IF(ISBLANK('Data Entry'!$X$8), "", 'Data Entry'!$X$8)</f>
      </c>
      <c r="Y8">
        <f>IF(ISBLANK('Data Entry'!$Y$8), "", 'Data Entry'!$Y$8)</f>
      </c>
      <c r="Z8">
        <f>IF(ISBLANK('Data Entry'!$Z$8), "", 'Data Entry'!$Z$8)</f>
      </c>
      <c r="AA8">
        <f>IF(ISBLANK('Data Entry'!$[$8), "", 'Data Entry'!$[$8)</f>
      </c>
      <c r="AB8">
        <f>IF(ISBLANK('Data Entry'!$\$8), "", 'Data Entry'!$\$8)</f>
      </c>
      <c r="AC8">
        <f>IF(ISBLANK('Data Entry'!$]$8), "", 'Data Entry'!$]$8)</f>
      </c>
      <c r="AD8">
        <f>IF(ISBLANK('Data Entry'!$^$8), "", 'Data Entry'!$^$8)</f>
      </c>
      <c r="AE8">
        <f>IF(ISBLANK('Data Entry'!$_$8), "", 'Data Entry'!$_$8)</f>
      </c>
      <c r="AF8">
        <f>IF(ISBLANK('Data Entry'!$`$8), "", 'Data Entry'!$`$8)</f>
      </c>
      <c r="AG8">
        <f>IF(ISBLANK('Data Entry'!$a$8), "", 'Data Entry'!$a$8)</f>
      </c>
      <c r="AH8">
        <f>IF(ISBLANK('Data Entry'!$b$8), "", 'Data Entry'!$b$8)</f>
      </c>
      <c r="AI8">
        <f>IF(ISBLANK('Data Entry'!$c$8), "", 'Data Entry'!$c$8)</f>
      </c>
      <c r="AJ8">
        <f>IF(ISBLANK('Data Entry'!$d$8), "", 'Data Entry'!$d$8)</f>
      </c>
      <c r="AK8">
        <f>IF(ISBLANK('Data Entry'!$e$8), "", 'Data Entry'!$e$8)</f>
      </c>
      <c r="AL8">
        <f>IF(ISBLANK('Data Entry'!$f$8), "", 'Data Entry'!$f$8)</f>
      </c>
      <c r="AM8">
        <f>IF(ISBLANK('Data Entry'!$g$8), "", 'Data Entry'!$g$8)</f>
      </c>
      <c r="AN8">
        <f>IF(ISBLANK('Data Entry'!$h$8), "", 'Data Entry'!$h$8)</f>
      </c>
      <c r="AO8">
        <f>IF(ISBLANK('Data Entry'!$i$8), "", 'Data Entry'!$i$8)</f>
      </c>
      <c r="AP8">
        <f>IF(ISBLANK('Data Entry'!$j$8), "", 'Data Entry'!$j$8)</f>
      </c>
      <c r="AQ8">
        <f>IF(ISBLANK('Data Entry'!$k$8), "", 'Data Entry'!$k$8)</f>
      </c>
      <c r="AR8">
        <f>IF(ISBLANK('Data Entry'!$l$8), "", 'Data Entry'!$l$8)</f>
      </c>
      <c r="AS8">
        <f>IF(ISBLANK('Data Entry'!$m$8), "", 'Data Entry'!$m$8)</f>
      </c>
      <c r="AT8">
        <f>IF(ISBLANK('Data Entry'!$n$8), "", 'Data Entry'!$n$8)</f>
      </c>
      <c r="AU8">
        <f>IF(ISBLANK('Data Entry'!$o$8), "", 'Data Entry'!$o$8)</f>
      </c>
      <c r="AV8">
        <f>IF(ISBLANK('Data Entry'!$p$8), "", 'Data Entry'!$p$8)</f>
      </c>
      <c r="AW8">
        <f>IF(ISBLANK('Data Entry'!$q$8), "", 'Data Entry'!$q$8)</f>
      </c>
      <c r="AX8">
        <f>IF(ISBLANK('Data Entry'!$r$8), "", 'Data Entry'!$r$8)</f>
      </c>
      <c r="AY8">
        <f>IF(ISBLANK('Data Entry'!$s$8), "", 'Data Entry'!$s$8)</f>
      </c>
      <c r="AZ8">
        <f>IF(ISBLANK('Data Entry'!$t$8), "", 'Data Entry'!$t$8)</f>
      </c>
      <c r="BA8">
        <f>IF(ISBLANK('Data Entry'!$u$8), "", 'Data Entry'!$u$8)</f>
      </c>
      <c r="BB8">
        <f>IF(ISBLANK('Data Entry'!$v$8), "", 'Data Entry'!$v$8)</f>
      </c>
      <c r="BC8">
        <f>IF(ISBLANK('Data Entry'!$w$8), "", 'Data Entry'!$w$8)</f>
      </c>
      <c r="BD8">
        <f>IF(ISBLANK('Data Entry'!$x$8), "", 'Data Entry'!$x$8)</f>
      </c>
      <c r="BE8">
        <f>IF(ISBLANK('Data Entry'!$y$8), "", 'Data Entry'!$y$8)</f>
      </c>
      <c r="BF8">
        <f>IF(ISBLANK('Data Entry'!$z$8), "", 'Data Entry'!$z$8)</f>
      </c>
      <c r="BG8">
        <f>IF(ISBLANK('Data Entry'!${$8), "", 'Data Entry'!${$8)</f>
      </c>
      <c r="BH8">
        <f>IF(ISBLANK('Data Entry'!$|$8), "", 'Data Entry'!$|$8)</f>
      </c>
      <c r="BI8">
        <f>IF(ISBLANK('Data Entry'!$}$8), "", 'Data Entry'!$}$8)</f>
      </c>
      <c r="BJ8">
        <f>IF(ISBLANK('Data Entry'!$~$8), "", 'Data Entry'!$~$8)</f>
      </c>
      <c r="BK8">
        <f>IF(ISBLANK('Data Entry'!$$8), "", 'Data Entry'!$$8)</f>
      </c>
      <c r="BL8">
        <f>IF(ISBLANK('Data Entry'!$$8), "", 'Data Entry'!$$8)</f>
      </c>
      <c r="BM8">
        <f>IF(ISBLANK('Data Entry'!$$8), "", 'Data Entry'!$$8)</f>
      </c>
      <c r="BN8">
        <f>IF(ISBLANK('Data Entry'!$$8), "", 'Data Entry'!$$8)</f>
      </c>
      <c r="BO8">
        <f>IF(ISBLANK('Data Entry'!$$8), "", 'Data Entry'!$$8)</f>
      </c>
      <c r="BP8">
        <f>IF(ISBLANK('Data Entry'!$$8), "", 'Data Entry'!$$8)</f>
      </c>
      <c r="BQ8">
        <f>IF(ISBLANK('Data Entry'!$$8), "", 'Data Entry'!$$8)</f>
      </c>
      <c r="BR8">
        <f>IF(ISBLANK('Data Entry'!$$8), "", 'Data Entry'!$$8)</f>
      </c>
      <c r="BS8">
        <f>IF(ISBLANK('Data Entry'!$$8), "", 'Data Entry'!$$8)</f>
      </c>
      <c r="BT8">
        <f>IF(ISBLANK('Data Entry'!$$8), "", 'Data Entry'!$$8)</f>
      </c>
      <c r="BU8">
        <f>IF(ISBLANK('Data Entry'!$$8), "", 'Data Entry'!$$8)</f>
      </c>
      <c r="BV8">
        <f>IF(ISBLANK('Data Entry'!$$8), "", 'Data Entry'!$$8)</f>
      </c>
      <c r="BW8">
        <f>IF(ISBLANK('Data Entry'!$$8), "", 'Data Entry'!$$8)</f>
      </c>
      <c r="BX8">
        <f>IF(ISBLANK('Data Entry'!$$8), "", 'Data Entry'!$$8)</f>
      </c>
      <c r="BY8">
        <f>IF(ISBLANK('Data Entry'!$$8), "", 'Data Entry'!$$8)</f>
      </c>
      <c r="BZ8">
        <f>IF(ISBLANK('Data Entry'!$$8), "", 'Data Entry'!$$8)</f>
      </c>
      <c r="CA8">
        <f>IF(ISBLANK('Data Entry'!$$8), "", 'Data Entry'!$$8)</f>
      </c>
      <c r="CB8">
        <f>IF(ISBLANK('Data Entry'!$$8), "", 'Data Entry'!$$8)</f>
      </c>
      <c r="CC8">
        <f>IF(ISBLANK('Data Entry'!$$8), "", 'Data Entry'!$$8)</f>
      </c>
      <c r="CD8">
        <f>IF(ISBLANK('Data Entry'!$$8), "", 'Data Entry'!$$8)</f>
      </c>
      <c r="CE8">
        <f>IF(ISBLANK('Data Entry'!$$8), "", 'Data Entry'!$$8)</f>
      </c>
      <c r="CF8">
        <f>IF(ISBLANK('Data Entry'!$$8), "", 'Data Entry'!$$8)</f>
      </c>
      <c r="CG8">
        <f>IF(ISBLANK('Data Entry'!$$8), "", 'Data Entry'!$$8)</f>
      </c>
      <c r="CH8">
        <f>IF(ISBLANK('Data Entry'!$$8), "", 'Data Entry'!$$8)</f>
      </c>
      <c r="CI8">
        <f>IF(ISBLANK('Data Entry'!$$8), "", 'Data Entry'!$$8)</f>
      </c>
      <c r="CJ8">
        <f>IF(ISBLANK('Data Entry'!$$8), "", 'Data Entry'!$$8)</f>
      </c>
      <c r="CK8">
        <f>IF(ISBLANK('Data Entry'!$$8), "", 'Data Entry'!$$8)</f>
      </c>
      <c r="CL8">
        <f>IF(ISBLANK('Data Entry'!$$8), "", 'Data Entry'!$$8)</f>
      </c>
      <c r="CM8">
        <f>IF(ISBLANK('Data Entry'!$$8), "", 'Data Entry'!$$8)</f>
      </c>
      <c r="CN8">
        <f>IF(ISBLANK('Data Entry'!$$8), "", 'Data Entry'!$$8)</f>
      </c>
      <c r="CO8">
        <f>IF(ISBLANK('Data Entry'!$$8), "", 'Data Entry'!$$8)</f>
      </c>
      <c r="CP8">
        <f>IF(ISBLANK('Data Entry'!$$8), "", 'Data Entry'!$$8)</f>
      </c>
      <c r="CQ8">
        <f>IF(ISBLANK('Data Entry'!$$8), "", 'Data Entry'!$$8)</f>
      </c>
      <c r="CR8">
        <f>IF(ISBLANK('Data Entry'!$ $8), "", 'Data Entry'!$ $8)</f>
      </c>
      <c r="CS8">
        <f>IF(ISBLANK('Data Entry'!$¡$8), "", 'Data Entry'!$¡$8)</f>
      </c>
      <c r="CT8">
        <f>IF(ISBLANK('Data Entry'!$¢$8), "", 'Data Entry'!$¢$8)</f>
      </c>
      <c r="CU8">
        <f>IF(ISBLANK('Data Entry'!$£$8), "", 'Data Entry'!$£$8)</f>
      </c>
      <c r="CV8">
        <f>IF(ISBLANK('Data Entry'!$¤$8), "", 'Data Entry'!$¤$8)</f>
      </c>
      <c r="CW8">
        <f>IF(ISBLANK('Data Entry'!$¥$8), "", 'Data Entry'!$¥$8)</f>
      </c>
      <c r="CX8">
        <f>IF(ISBLANK('Data Entry'!$¦$8), "", 'Data Entry'!$¦$8)</f>
      </c>
      <c r="CY8">
        <f>IF(ISBLANK('Data Entry'!$§$8), "", 'Data Entry'!$§$8)</f>
      </c>
      <c r="CZ8">
        <f>IF(ISBLANK('Data Entry'!$¨$8), "", 'Data Entry'!$¨$8)</f>
      </c>
      <c r="DA8">
        <f>IF(ISBLANK('Data Entry'!$©$8), "", 'Data Entry'!$©$8)</f>
      </c>
      <c r="DB8">
        <f>IF(ISBLANK('Data Entry'!$ª$8), "", 'Data Entry'!$ª$8)</f>
      </c>
      <c r="DC8">
        <f>IF(ISBLANK('Data Entry'!$«$8), "", 'Data Entry'!$«$8)</f>
      </c>
      <c r="DD8">
        <f>IF(ISBLANK('Data Entry'!$¬$8), "", 'Data Entry'!$¬$8)</f>
      </c>
      <c r="DE8">
        <f>IF(ISBLANK('Data Entry'!$­$8), "", 'Data Entry'!$­$8)</f>
      </c>
      <c r="DF8">
        <f>IF(ISBLANK('Data Entry'!$®$8), "", 'Data Entry'!$®$8)</f>
      </c>
      <c r="DG8">
        <f>IF(ISBLANK('Data Entry'!$¯$8), "", 'Data Entry'!$¯$8)</f>
      </c>
      <c r="DH8">
        <f>IF(ISBLANK('Data Entry'!$°$8), "", 'Data Entry'!$°$8)</f>
      </c>
      <c r="DI8">
        <f>IF(ISBLANK('Data Entry'!$±$8), "", 'Data Entry'!$±$8)</f>
      </c>
      <c r="DJ8">
        <f>IF(ISBLANK('Data Entry'!$²$8), "", 'Data Entry'!$²$8)</f>
      </c>
      <c r="DK8">
        <f>IF(ISBLANK('Data Entry'!$³$8), "", 'Data Entry'!$³$8)</f>
      </c>
      <c r="DL8">
        <f>IF(ISBLANK('Data Entry'!$´$8), "", 'Data Entry'!$´$8)</f>
      </c>
      <c r="DM8">
        <f>IF(ISBLANK('Data Entry'!$µ$8), "", 'Data Entry'!$µ$8)</f>
      </c>
      <c r="DN8">
        <f>IF(ISBLANK('Data Entry'!$¶$8), "", 'Data Entry'!$¶$8)</f>
      </c>
      <c r="DO8">
        <f>IF(ISBLANK('Data Entry'!$·$8), "", 'Data Entry'!$·$8)</f>
      </c>
      <c r="DP8">
        <f>IF(ISBLANK('Data Entry'!$¸$8), "", 'Data Entry'!$¸$8)</f>
      </c>
      <c r="DQ8">
        <f>IF(ISBLANK('Data Entry'!$¹$8), "", 'Data Entry'!$¹$8)</f>
      </c>
      <c r="DR8">
        <f>IF(ISBLANK('Data Entry'!$º$8), "", 'Data Entry'!$º$8)</f>
      </c>
      <c r="DS8">
        <f>IF(ISBLANK('Data Entry'!$»$8), "", 'Data Entry'!$»$8)</f>
      </c>
      <c r="DT8">
        <f>IF(ISBLANK('Data Entry'!$¼$8), "", 'Data Entry'!$¼$8)</f>
      </c>
      <c r="DU8">
        <f>IF(ISBLANK('Data Entry'!$½$8), "", 'Data Entry'!$½$8)</f>
      </c>
      <c r="DV8">
        <f>IF(ISBLANK('Data Entry'!$¾$8), "", 'Data Entry'!$¾$8)</f>
      </c>
      <c r="DW8">
        <f>IF(ISBLANK('Data Entry'!$¿$8), "", 'Data Entry'!$¿$8)</f>
      </c>
      <c r="DX8">
        <f>IF(ISBLANK('Data Entry'!$À$8), "", 'Data Entry'!$À$8)</f>
      </c>
      <c r="DY8">
        <f>IF(ISBLANK('Data Entry'!$Á$8), "", 'Data Entry'!$Á$8)</f>
      </c>
      <c r="DZ8">
        <f>IF(ISBLANK('Data Entry'!$Â$8), "", 'Data Entry'!$Â$8)</f>
      </c>
      <c r="EA8">
        <f>IF(ISBLANK('Data Entry'!$Ã$8), "", 'Data Entry'!$Ã$8)</f>
      </c>
      <c r="EB8">
        <f>IF(ISBLANK('Data Entry'!$Ä$8), "", 'Data Entry'!$Ä$8)</f>
      </c>
      <c r="EC8">
        <f>IF(ISBLANK('Data Entry'!$Å$8), "", 'Data Entry'!$Å$8)</f>
      </c>
      <c r="ED8">
        <f>IF(ISBLANK('Data Entry'!$Æ$8), "", 'Data Entry'!$Æ$8)</f>
      </c>
      <c r="EE8">
        <f>IF(ISBLANK('Data Entry'!$Ç$8), "", 'Data Entry'!$Ç$8)</f>
      </c>
      <c r="EF8">
        <f>IF(ISBLANK('Data Entry'!$È$8), "", 'Data Entry'!$È$8)</f>
      </c>
      <c r="EG8">
        <f>IF(ISBLANK('Data Entry'!$É$8), "", 'Data Entry'!$É$8)</f>
      </c>
      <c r="EH8">
        <f>IF(ISBLANK('Data Entry'!$Ê$8), "", 'Data Entry'!$Ê$8)</f>
      </c>
      <c r="EI8">
        <f>IF(ISBLANK('Data Entry'!$Ë$8), "", 'Data Entry'!$Ë$8)</f>
      </c>
      <c r="EJ8">
        <f>IF(ISBLANK('Data Entry'!$Ì$8), "", 'Data Entry'!$Ì$8)</f>
      </c>
      <c r="EK8">
        <f>IF(ISBLANK('Data Entry'!$Í$8), "", 'Data Entry'!$Í$8)</f>
      </c>
      <c r="EL8">
        <f>IF(ISBLANK('Data Entry'!$Î$8), "", 'Data Entry'!$Î$8)</f>
      </c>
      <c r="EM8">
        <f>IF(ISBLANK('Data Entry'!$Ï$8), "", 'Data Entry'!$Ï$8)</f>
      </c>
      <c r="EN8">
        <f>IF(ISBLANK('Data Entry'!$Ð$8), "", 'Data Entry'!$Ð$8)</f>
      </c>
      <c r="EO8">
        <f>IF(ISBLANK('Data Entry'!$Ñ$8), "", 'Data Entry'!$Ñ$8)</f>
      </c>
      <c r="EP8">
        <f>IF(ISBLANK('Data Entry'!$Ò$8), "", 'Data Entry'!$Ò$8)</f>
      </c>
      <c r="EQ8">
        <f>IF(ISBLANK('Data Entry'!$Ó$8), "", 'Data Entry'!$Ó$8)</f>
      </c>
      <c r="ER8">
        <f>IF(ISBLANK('Data Entry'!$Ô$8), "", 'Data Entry'!$Ô$8)</f>
      </c>
      <c r="ES8">
        <f>IF(ISBLANK('Data Entry'!$Õ$8), "", 'Data Entry'!$Õ$8)</f>
      </c>
      <c r="ET8">
        <f>IF(ISBLANK('Data Entry'!$Ö$8), "", 'Data Entry'!$Ö$8)</f>
      </c>
      <c r="EU8">
        <f>IF(ISBLANK('Data Entry'!$×$8), "", 'Data Entry'!$×$8)</f>
      </c>
      <c r="EV8">
        <f>IF(ISBLANK('Data Entry'!$Ø$8), "", 'Data Entry'!$Ø$8)</f>
      </c>
      <c r="EW8">
        <f>IF(ISBLANK('Data Entry'!$Ù$8), "", 'Data Entry'!$Ù$8)</f>
      </c>
      <c r="EX8">
        <f>IF(ISBLANK('Data Entry'!$Ú$8), "", 'Data Entry'!$Ú$8)</f>
      </c>
      <c r="EY8">
        <f>IF(ISBLANK('Data Entry'!$Û$8), "", 'Data Entry'!$Û$8)</f>
      </c>
      <c r="EZ8">
        <f>IF(ISBLANK('Data Entry'!$Ü$8), "", 'Data Entry'!$Ü$8)</f>
      </c>
      <c r="FA8">
        <f>IF(ISBLANK('Data Entry'!$Ý$8), "", 'Data Entry'!$Ý$8)</f>
      </c>
      <c r="FB8">
        <f>IF(ISBLANK('Data Entry'!$Þ$8), "", 'Data Entry'!$Þ$8)</f>
      </c>
      <c r="FC8">
        <f>IF(ISBLANK('Data Entry'!$ß$8), "", 'Data Entry'!$ß$8)</f>
      </c>
      <c r="FD8">
        <f>IF(ISBLANK('Data Entry'!$à$8), "", 'Data Entry'!$à$8)</f>
      </c>
      <c r="FE8">
        <f>IF(ISBLANK('Data Entry'!$á$8), "", 'Data Entry'!$á$8)</f>
      </c>
      <c r="FF8">
        <f>IF(ISBLANK('Data Entry'!$â$8), "", 'Data Entry'!$â$8)</f>
      </c>
      <c r="FG8">
        <f>IF(ISBLANK('Data Entry'!$ã$8), "", 'Data Entry'!$ã$8)</f>
      </c>
      <c r="FH8">
        <f>IF(ISBLANK('Data Entry'!$ä$8), "", 'Data Entry'!$ä$8)</f>
      </c>
      <c r="FI8">
        <f>IF(ISBLANK('Data Entry'!$å$8), "", 'Data Entry'!$å$8)</f>
      </c>
      <c r="FJ8">
        <f>IF(ISBLANK('Data Entry'!$æ$8), "", 'Data Entry'!$æ$8)</f>
      </c>
      <c r="FK8">
        <f>IF(ISBLANK('Data Entry'!$ç$8), "", 'Data Entry'!$ç$8)</f>
      </c>
      <c r="FL8">
        <f>IF(ISBLANK('Data Entry'!$è$8), "", 'Data Entry'!$è$8)</f>
      </c>
      <c r="FM8">
        <f>IF(ISBLANK('Data Entry'!$é$8), "", 'Data Entry'!$é$8)</f>
      </c>
      <c r="FN8">
        <f>IF(ISBLANK('Data Entry'!$ê$8), "", 'Data Entry'!$ê$8)</f>
      </c>
      <c r="FO8">
        <f>IF(ISBLANK('Data Entry'!$ë$8), "", 'Data Entry'!$ë$8)</f>
      </c>
      <c r="FP8">
        <f>IF(ISBLANK('Data Entry'!$ì$8), "", 'Data Entry'!$ì$8)</f>
      </c>
      <c r="FQ8">
        <f>IF(ISBLANK('Data Entry'!$í$8), "", 'Data Entry'!$í$8)</f>
      </c>
      <c r="FR8">
        <f>IF(ISBLANK('Data Entry'!$î$8), "", 'Data Entry'!$î$8)</f>
      </c>
      <c r="FS8">
        <f>IF(ISBLANK('Data Entry'!$ï$8), "", 'Data Entry'!$ï$8)</f>
      </c>
      <c r="FT8">
        <f>IF(ISBLANK('Data Entry'!$ð$8), "", 'Data Entry'!$ð$8)</f>
      </c>
      <c r="FU8">
        <f>IF(ISBLANK('Data Entry'!$ñ$8), "", 'Data Entry'!$ñ$8)</f>
      </c>
      <c r="FV8">
        <f>IF(ISBLANK('Data Entry'!$ò$8), "", 'Data Entry'!$ò$8)</f>
      </c>
      <c r="FW8">
        <f>IF(ISBLANK('Data Entry'!$ó$8), "", 'Data Entry'!$ó$8)</f>
      </c>
      <c r="FX8">
        <f>IF(ISBLANK('Data Entry'!$ô$8), "", 'Data Entry'!$ô$8)</f>
      </c>
      <c r="FY8">
        <f>IF(ISBLANK('Data Entry'!$õ$8), "", 'Data Entry'!$õ$8)</f>
      </c>
      <c r="FZ8">
        <f>IF(ISBLANK('Data Entry'!$ö$8), "", 'Data Entry'!$ö$8)</f>
      </c>
      <c r="GA8">
        <f>IF(ISBLANK('Data Entry'!$÷$8), "", 'Data Entry'!$÷$8)</f>
      </c>
      <c r="GB8">
        <f>IF(ISBLANK('Data Entry'!$ø$8), "", 'Data Entry'!$ø$8)</f>
      </c>
      <c r="GC8">
        <f>IF(ISBLANK('Data Entry'!$ù$8), "", 'Data Entry'!$ù$8)</f>
      </c>
      <c r="GD8">
        <f>IF(ISBLANK('Data Entry'!$ú$8), "", 'Data Entry'!$ú$8)</f>
      </c>
      <c r="GE8">
        <f>IF(ISBLANK('Data Entry'!$û$8), "", 'Data Entry'!$û$8)</f>
      </c>
      <c r="GF8">
        <f>IF(ISBLANK('Data Entry'!$ü$8), "", 'Data Entry'!$ü$8)</f>
      </c>
      <c r="GG8">
        <f>IF(ISBLANK('Data Entry'!$ý$8), "", 'Data Entry'!$ý$8)</f>
      </c>
      <c r="GH8">
        <f>IF(ISBLANK('Data Entry'!$þ$8), "", 'Data Entry'!$þ$8)</f>
      </c>
      <c r="GI8">
        <f>IF(ISBLANK('Data Entry'!$ÿ$8), "", 'Data Entry'!$ÿ$8)</f>
      </c>
      <c r="GJ8">
        <f>IF(ISBLANK('Data Entry'!$Ā$8), "", 'Data Entry'!$Ā$8)</f>
      </c>
      <c r="GK8">
        <f>IF(ISBLANK('Data Entry'!$ā$8), "", 'Data Entry'!$ā$8)</f>
      </c>
      <c r="GL8">
        <f>IF(ISBLANK('Data Entry'!$Ă$8), "", 'Data Entry'!$Ă$8)</f>
      </c>
      <c r="GM8">
        <f>IF(ISBLANK('Data Entry'!$ă$8), "", 'Data Entry'!$ă$8)</f>
      </c>
      <c r="GN8">
        <f>IF(ISBLANK('Data Entry'!$Ą$8), "", 'Data Entry'!$Ą$8)</f>
      </c>
      <c r="GO8">
        <f>IF(ISBLANK('Data Entry'!$ą$8), "", 'Data Entry'!$ą$8)</f>
      </c>
      <c r="GP8">
        <f>IF(ISBLANK('Data Entry'!$Ć$8), "", 'Data Entry'!$Ć$8)</f>
      </c>
      <c r="GQ8">
        <f>IF(ISBLANK('Data Entry'!$ć$8), "", 'Data Entry'!$ć$8)</f>
      </c>
      <c r="GR8">
        <f>IF(ISBLANK('Data Entry'!$Ĉ$8), "", 'Data Entry'!$Ĉ$8)</f>
      </c>
      <c r="GS8">
        <f>IF(ISBLANK('Data Entry'!$ĉ$8), "", 'Data Entry'!$ĉ$8)</f>
      </c>
      <c r="GT8">
        <f>IF(ISBLANK('Data Entry'!$Ċ$8), "", 'Data Entry'!$Ċ$8)</f>
      </c>
      <c r="GU8">
        <f>IF(ISBLANK('Data Entry'!$ċ$8), "", 'Data Entry'!$ċ$8)</f>
      </c>
      <c r="GV8">
        <f>IF(ISBLANK('Data Entry'!$Č$8), "", 'Data Entry'!$Č$8)</f>
      </c>
      <c r="GW8">
        <f>IF(ISBLANK('Data Entry'!$č$8), "", 'Data Entry'!$č$8)</f>
      </c>
      <c r="GX8">
        <f>IF(ISBLANK('Data Entry'!$Ď$8), "", 'Data Entry'!$Ď$8)</f>
      </c>
      <c r="GY8">
        <f>IF(ISBLANK('Data Entry'!$ď$8), "", 'Data Entry'!$ď$8)</f>
      </c>
      <c r="GZ8">
        <f>IF(ISBLANK('Data Entry'!$Đ$8), "", 'Data Entry'!$Đ$8)</f>
      </c>
      <c r="HA8">
        <f>IF(ISBLANK('Data Entry'!$đ$8), "", 'Data Entry'!$đ$8)</f>
      </c>
      <c r="HB8">
        <f>IF(ISBLANK('Data Entry'!$Ē$8), "", 'Data Entry'!$Ē$8)</f>
      </c>
      <c r="HC8">
        <f>IF(ISBLANK('Data Entry'!$ē$8), "", 'Data Entry'!$ē$8)</f>
      </c>
      <c r="HD8">
        <f>IF(ISBLANK('Data Entry'!$Ĕ$8), "", 'Data Entry'!$Ĕ$8)</f>
      </c>
      <c r="HE8">
        <f>IF(ISBLANK('Data Entry'!$ĕ$8), "", 'Data Entry'!$ĕ$8)</f>
      </c>
      <c r="HF8">
        <f>IF(ISBLANK('Data Entry'!$Ė$8), "", 'Data Entry'!$Ė$8)</f>
      </c>
      <c r="HG8">
        <f>IF(ISBLANK('Data Entry'!$ė$8), "", 'Data Entry'!$ė$8)</f>
      </c>
      <c r="HH8">
        <f>IF(ISBLANK('Data Entry'!$Ę$8), "", 'Data Entry'!$Ę$8)</f>
      </c>
      <c r="HI8">
        <f>IF(ISBLANK('Data Entry'!$ę$8), "", 'Data Entry'!$ę$8)</f>
      </c>
      <c r="HJ8">
        <f>IF(ISBLANK('Data Entry'!$Ě$8), "", 'Data Entry'!$Ě$8)</f>
      </c>
      <c r="HK8">
        <f>IF(ISBLANK('Data Entry'!$ě$8), "", 'Data Entry'!$ě$8)</f>
      </c>
      <c r="HL8">
        <f>IF(ISBLANK('Data Entry'!$Ĝ$8), "", 'Data Entry'!$Ĝ$8)</f>
      </c>
      <c r="HM8">
        <f>IF(ISBLANK('Data Entry'!$ĝ$8), "", 'Data Entry'!$ĝ$8)</f>
      </c>
      <c r="HN8">
        <f>IF(ISBLANK('Data Entry'!$Ğ$8), "", 'Data Entry'!$Ğ$8)</f>
      </c>
      <c r="HO8">
        <f>IF(ISBLANK('Data Entry'!$ğ$8), "", 'Data Entry'!$ğ$8)</f>
      </c>
      <c r="HP8">
        <f>IF(ISBLANK('Data Entry'!$Ġ$8), "", 'Data Entry'!$Ġ$8)</f>
      </c>
      <c r="HQ8">
        <f>IF(ISBLANK('Data Entry'!$ġ$8), "", 'Data Entry'!$ġ$8)</f>
      </c>
      <c r="HR8">
        <f>IF(ISBLANK('Data Entry'!$Ģ$8), "", 'Data Entry'!$Ģ$8)</f>
      </c>
      <c r="HS8">
        <f>IF(ISBLANK('Data Entry'!$ģ$8), "", 'Data Entry'!$ģ$8)</f>
      </c>
      <c r="HT8">
        <f>IF(ISBLANK('Data Entry'!$Ĥ$8), "", 'Data Entry'!$Ĥ$8)</f>
      </c>
      <c r="HU8">
        <f>IF(ISBLANK('Data Entry'!$ĥ$8), "", 'Data Entry'!$ĥ$8)</f>
      </c>
      <c r="HV8">
        <f>IF(ISBLANK('Data Entry'!$Ħ$8), "", 'Data Entry'!$Ħ$8)</f>
      </c>
      <c r="HW8">
        <f>IF(ISBLANK('Data Entry'!$ħ$8), "", 'Data Entry'!$ħ$8)</f>
      </c>
      <c r="HX8">
        <f>IF(ISBLANK('Data Entry'!$Ĩ$8), "", 'Data Entry'!$Ĩ$8)</f>
      </c>
      <c r="HY8">
        <f>IF(ISBLANK('Data Entry'!$ĩ$8), "", 'Data Entry'!$ĩ$8)</f>
      </c>
      <c r="HZ8">
        <f>IF(ISBLANK('Data Entry'!$Ī$8), "", 'Data Entry'!$Ī$8)</f>
      </c>
      <c r="IA8">
        <f>IF(ISBLANK('Data Entry'!$ī$8), "", 'Data Entry'!$ī$8)</f>
      </c>
      <c r="IB8">
        <f>IF(ISBLANK('Data Entry'!$Ĭ$8), "", 'Data Entry'!$Ĭ$8)</f>
      </c>
      <c r="IC8">
        <f>IF(ISBLANK('Data Entry'!$ĭ$8), "", 'Data Entry'!$ĭ$8)</f>
      </c>
      <c r="ID8">
        <f>IF(ISBLANK('Data Entry'!$Į$8), "", 'Data Entry'!$Į$8)</f>
      </c>
      <c r="IE8">
        <f>IF(ISBLANK('Data Entry'!$į$8), "", 'Data Entry'!$į$8)</f>
      </c>
      <c r="IF8">
        <f>IF(ISBLANK('Data Entry'!$İ$8), "", 'Data Entry'!$İ$8)</f>
      </c>
      <c r="IG8">
        <f>IF(ISBLANK('Data Entry'!$ı$8), "", 'Data Entry'!$ı$8)</f>
      </c>
      <c r="IH8">
        <f>IF(ISBLANK('Data Entry'!$Ĳ$8), "", 'Data Entry'!$Ĳ$8)</f>
      </c>
      <c r="II8">
        <f>IF(ISBLANK('Data Entry'!$ĳ$8), "", 'Data Entry'!$ĳ$8)</f>
      </c>
      <c r="IJ8">
        <f>IF(ISBLANK('Data Entry'!$Ĵ$8), "", 'Data Entry'!$Ĵ$8)</f>
      </c>
      <c r="IK8">
        <f>IF(ISBLANK('Data Entry'!$ĵ$8), "", 'Data Entry'!$ĵ$8)</f>
      </c>
      <c r="IL8">
        <f>IF(ISBLANK('Data Entry'!$Ķ$8), "", 'Data Entry'!$Ķ$8)</f>
      </c>
      <c r="IM8">
        <f>IF(ISBLANK('Data Entry'!$ķ$8), "", 'Data Entry'!$ķ$8)</f>
      </c>
      <c r="IN8">
        <f>IF(ISBLANK('Data Entry'!$ĸ$8), "", 'Data Entry'!$ĸ$8)</f>
      </c>
      <c r="IO8">
        <f>IF(ISBLANK('Data Entry'!$Ĺ$8), "", 'Data Entry'!$Ĺ$8)</f>
      </c>
      <c r="IP8">
        <f>IF(ISBLANK('Data Entry'!$ĺ$8), "", 'Data Entry'!$ĺ$8)</f>
      </c>
      <c r="IQ8">
        <f>IF(ISBLANK('Data Entry'!$Ļ$8), "", 'Data Entry'!$Ļ$8)</f>
      </c>
      <c r="IR8">
        <f>IF(ISBLANK('Data Entry'!$ļ$8), "", 'Data Entry'!$ļ$8)</f>
      </c>
      <c r="IS8">
        <f>IF(ISBLANK('Data Entry'!$Ľ$8), "", 'Data Entry'!$Ľ$8)</f>
      </c>
      <c r="IT8">
        <f>IF(ISBLANK('Data Entry'!$ľ$8), "", 'Data Entry'!$ľ$8)</f>
      </c>
    </row>
    <row r="9" spans="1:254" x14ac:dyDescent="0.25">
      <c r="A9">
        <f>IF(ISBLANK('Data Entry'!$A$9), "", 'Data Entry'!$A$9)</f>
      </c>
      <c r="B9">
        <f>IF(ISBLANK('Data Entry'!$B$9), "", 'Data Entry'!$B$9)</f>
      </c>
      <c r="C9">
        <f>IF(ISBLANK('Data Entry'!$C$9), "", 'Data Entry'!$C$9)</f>
      </c>
      <c r="D9">
        <f>IF(ISBLANK('Data Entry'!$D$9), "", 'Data Entry'!$D$9)</f>
      </c>
      <c r="E9">
        <f>IF(ISBLANK('Data Entry'!$E$9), "", 'Data Entry'!$E$9)</f>
      </c>
      <c r="F9">
        <f>IF(ISBLANK('Data Entry'!$F$9), "", 'Data Entry'!$F$9)</f>
      </c>
      <c r="G9">
        <f>IF(ISBLANK('Data Entry'!$G$9), "", 'Data Entry'!$G$9)</f>
      </c>
      <c r="H9">
        <f>IF(ISBLANK('Data Entry'!$H$9), "", 'Data Entry'!$H$9)</f>
      </c>
      <c r="I9">
        <f>IF(ISBLANK('Data Entry'!$I$9), "", 'Data Entry'!$I$9)</f>
      </c>
      <c r="J9">
        <f>IF(ISBLANK('Data Entry'!$J$9), "", 'Data Entry'!$J$9)</f>
      </c>
      <c r="K9">
        <f>IF(ISBLANK('Data Entry'!$K$9), "", 'Data Entry'!$K$9)</f>
      </c>
      <c r="L9">
        <f>IF(ISBLANK('Data Entry'!$L$9), "", 'Data Entry'!$L$9)</f>
      </c>
      <c r="M9">
        <f>IF(ISBLANK('Data Entry'!$M$9), "", 'Data Entry'!$M$9)</f>
      </c>
      <c r="N9">
        <f>IF(ISBLANK('Data Entry'!$N$9), "", 'Data Entry'!$N$9)</f>
      </c>
      <c r="O9">
        <f>IF(ISBLANK('Data Entry'!$O$9), "", 'Data Entry'!$O$9)</f>
      </c>
      <c r="P9">
        <f>IF(ISBLANK('Data Entry'!$P$9), "", 'Data Entry'!$P$9)</f>
      </c>
      <c r="Q9">
        <f>IF(ISBLANK('Data Entry'!$Q$9), "", 'Data Entry'!$Q$9)</f>
      </c>
      <c r="R9">
        <f>IF(ISBLANK('Data Entry'!$R$9), "", 'Data Entry'!$R$9)</f>
      </c>
      <c r="S9">
        <f>IF(ISBLANK('Data Entry'!$S$9), "", 'Data Entry'!$S$9)</f>
      </c>
      <c r="T9">
        <f>IF(ISBLANK('Data Entry'!$T$9), "", 'Data Entry'!$T$9)</f>
      </c>
      <c r="U9">
        <f>IF(ISBLANK('Data Entry'!$U$9), "", 'Data Entry'!$U$9)</f>
      </c>
      <c r="V9">
        <f>IF(ISBLANK('Data Entry'!$V$9), "", 'Data Entry'!$V$9)</f>
      </c>
      <c r="W9">
        <f>IF(ISBLANK('Data Entry'!$W$9), "", 'Data Entry'!$W$9)</f>
      </c>
      <c r="X9">
        <f>IF(ISBLANK('Data Entry'!$X$9), "", 'Data Entry'!$X$9)</f>
      </c>
      <c r="Y9">
        <f>IF(ISBLANK('Data Entry'!$Y$9), "", 'Data Entry'!$Y$9)</f>
      </c>
      <c r="Z9">
        <f>IF(ISBLANK('Data Entry'!$Z$9), "", 'Data Entry'!$Z$9)</f>
      </c>
      <c r="AA9">
        <f>IF(ISBLANK('Data Entry'!$[$9), "", 'Data Entry'!$[$9)</f>
      </c>
      <c r="AB9">
        <f>IF(ISBLANK('Data Entry'!$\$9), "", 'Data Entry'!$\$9)</f>
      </c>
      <c r="AC9">
        <f>IF(ISBLANK('Data Entry'!$]$9), "", 'Data Entry'!$]$9)</f>
      </c>
      <c r="AD9">
        <f>IF(ISBLANK('Data Entry'!$^$9), "", 'Data Entry'!$^$9)</f>
      </c>
      <c r="AE9">
        <f>IF(ISBLANK('Data Entry'!$_$9), "", 'Data Entry'!$_$9)</f>
      </c>
      <c r="AF9">
        <f>IF(ISBLANK('Data Entry'!$`$9), "", 'Data Entry'!$`$9)</f>
      </c>
      <c r="AG9">
        <f>IF(ISBLANK('Data Entry'!$a$9), "", 'Data Entry'!$a$9)</f>
      </c>
      <c r="AH9">
        <f>IF(ISBLANK('Data Entry'!$b$9), "", 'Data Entry'!$b$9)</f>
      </c>
      <c r="AI9">
        <f>IF(ISBLANK('Data Entry'!$c$9), "", 'Data Entry'!$c$9)</f>
      </c>
      <c r="AJ9">
        <f>IF(ISBLANK('Data Entry'!$d$9), "", 'Data Entry'!$d$9)</f>
      </c>
      <c r="AK9">
        <f>IF(ISBLANK('Data Entry'!$e$9), "", 'Data Entry'!$e$9)</f>
      </c>
      <c r="AL9">
        <f>IF(ISBLANK('Data Entry'!$f$9), "", 'Data Entry'!$f$9)</f>
      </c>
      <c r="AM9">
        <f>IF(ISBLANK('Data Entry'!$g$9), "", 'Data Entry'!$g$9)</f>
      </c>
      <c r="AN9">
        <f>IF(ISBLANK('Data Entry'!$h$9), "", 'Data Entry'!$h$9)</f>
      </c>
      <c r="AO9">
        <f>IF(ISBLANK('Data Entry'!$i$9), "", 'Data Entry'!$i$9)</f>
      </c>
      <c r="AP9">
        <f>IF(ISBLANK('Data Entry'!$j$9), "", 'Data Entry'!$j$9)</f>
      </c>
      <c r="AQ9">
        <f>IF(ISBLANK('Data Entry'!$k$9), "", 'Data Entry'!$k$9)</f>
      </c>
      <c r="AR9">
        <f>IF(ISBLANK('Data Entry'!$l$9), "", 'Data Entry'!$l$9)</f>
      </c>
      <c r="AS9">
        <f>IF(ISBLANK('Data Entry'!$m$9), "", 'Data Entry'!$m$9)</f>
      </c>
      <c r="AT9">
        <f>IF(ISBLANK('Data Entry'!$n$9), "", 'Data Entry'!$n$9)</f>
      </c>
      <c r="AU9">
        <f>IF(ISBLANK('Data Entry'!$o$9), "", 'Data Entry'!$o$9)</f>
      </c>
      <c r="AV9">
        <f>IF(ISBLANK('Data Entry'!$p$9), "", 'Data Entry'!$p$9)</f>
      </c>
      <c r="AW9">
        <f>IF(ISBLANK('Data Entry'!$q$9), "", 'Data Entry'!$q$9)</f>
      </c>
      <c r="AX9">
        <f>IF(ISBLANK('Data Entry'!$r$9), "", 'Data Entry'!$r$9)</f>
      </c>
      <c r="AY9">
        <f>IF(ISBLANK('Data Entry'!$s$9), "", 'Data Entry'!$s$9)</f>
      </c>
      <c r="AZ9">
        <f>IF(ISBLANK('Data Entry'!$t$9), "", 'Data Entry'!$t$9)</f>
      </c>
      <c r="BA9">
        <f>IF(ISBLANK('Data Entry'!$u$9), "", 'Data Entry'!$u$9)</f>
      </c>
      <c r="BB9">
        <f>IF(ISBLANK('Data Entry'!$v$9), "", 'Data Entry'!$v$9)</f>
      </c>
      <c r="BC9">
        <f>IF(ISBLANK('Data Entry'!$w$9), "", 'Data Entry'!$w$9)</f>
      </c>
      <c r="BD9">
        <f>IF(ISBLANK('Data Entry'!$x$9), "", 'Data Entry'!$x$9)</f>
      </c>
      <c r="BE9">
        <f>IF(ISBLANK('Data Entry'!$y$9), "", 'Data Entry'!$y$9)</f>
      </c>
      <c r="BF9">
        <f>IF(ISBLANK('Data Entry'!$z$9), "", 'Data Entry'!$z$9)</f>
      </c>
      <c r="BG9">
        <f>IF(ISBLANK('Data Entry'!${$9), "", 'Data Entry'!${$9)</f>
      </c>
      <c r="BH9">
        <f>IF(ISBLANK('Data Entry'!$|$9), "", 'Data Entry'!$|$9)</f>
      </c>
      <c r="BI9">
        <f>IF(ISBLANK('Data Entry'!$}$9), "", 'Data Entry'!$}$9)</f>
      </c>
      <c r="BJ9">
        <f>IF(ISBLANK('Data Entry'!$~$9), "", 'Data Entry'!$~$9)</f>
      </c>
      <c r="BK9">
        <f>IF(ISBLANK('Data Entry'!$$9), "", 'Data Entry'!$$9)</f>
      </c>
      <c r="BL9">
        <f>IF(ISBLANK('Data Entry'!$$9), "", 'Data Entry'!$$9)</f>
      </c>
      <c r="BM9">
        <f>IF(ISBLANK('Data Entry'!$$9), "", 'Data Entry'!$$9)</f>
      </c>
      <c r="BN9">
        <f>IF(ISBLANK('Data Entry'!$$9), "", 'Data Entry'!$$9)</f>
      </c>
      <c r="BO9">
        <f>IF(ISBLANK('Data Entry'!$$9), "", 'Data Entry'!$$9)</f>
      </c>
      <c r="BP9">
        <f>IF(ISBLANK('Data Entry'!$$9), "", 'Data Entry'!$$9)</f>
      </c>
      <c r="BQ9">
        <f>IF(ISBLANK('Data Entry'!$$9), "", 'Data Entry'!$$9)</f>
      </c>
      <c r="BR9">
        <f>IF(ISBLANK('Data Entry'!$$9), "", 'Data Entry'!$$9)</f>
      </c>
      <c r="BS9">
        <f>IF(ISBLANK('Data Entry'!$$9), "", 'Data Entry'!$$9)</f>
      </c>
      <c r="BT9">
        <f>IF(ISBLANK('Data Entry'!$$9), "", 'Data Entry'!$$9)</f>
      </c>
      <c r="BU9">
        <f>IF(ISBLANK('Data Entry'!$$9), "", 'Data Entry'!$$9)</f>
      </c>
      <c r="BV9">
        <f>IF(ISBLANK('Data Entry'!$$9), "", 'Data Entry'!$$9)</f>
      </c>
      <c r="BW9">
        <f>IF(ISBLANK('Data Entry'!$$9), "", 'Data Entry'!$$9)</f>
      </c>
      <c r="BX9">
        <f>IF(ISBLANK('Data Entry'!$$9), "", 'Data Entry'!$$9)</f>
      </c>
      <c r="BY9">
        <f>IF(ISBLANK('Data Entry'!$$9), "", 'Data Entry'!$$9)</f>
      </c>
      <c r="BZ9">
        <f>IF(ISBLANK('Data Entry'!$$9), "", 'Data Entry'!$$9)</f>
      </c>
      <c r="CA9">
        <f>IF(ISBLANK('Data Entry'!$$9), "", 'Data Entry'!$$9)</f>
      </c>
      <c r="CB9">
        <f>IF(ISBLANK('Data Entry'!$$9), "", 'Data Entry'!$$9)</f>
      </c>
      <c r="CC9">
        <f>IF(ISBLANK('Data Entry'!$$9), "", 'Data Entry'!$$9)</f>
      </c>
      <c r="CD9">
        <f>IF(ISBLANK('Data Entry'!$$9), "", 'Data Entry'!$$9)</f>
      </c>
      <c r="CE9">
        <f>IF(ISBLANK('Data Entry'!$$9), "", 'Data Entry'!$$9)</f>
      </c>
      <c r="CF9">
        <f>IF(ISBLANK('Data Entry'!$$9), "", 'Data Entry'!$$9)</f>
      </c>
      <c r="CG9">
        <f>IF(ISBLANK('Data Entry'!$$9), "", 'Data Entry'!$$9)</f>
      </c>
      <c r="CH9">
        <f>IF(ISBLANK('Data Entry'!$$9), "", 'Data Entry'!$$9)</f>
      </c>
      <c r="CI9">
        <f>IF(ISBLANK('Data Entry'!$$9), "", 'Data Entry'!$$9)</f>
      </c>
      <c r="CJ9">
        <f>IF(ISBLANK('Data Entry'!$$9), "", 'Data Entry'!$$9)</f>
      </c>
      <c r="CK9">
        <f>IF(ISBLANK('Data Entry'!$$9), "", 'Data Entry'!$$9)</f>
      </c>
      <c r="CL9">
        <f>IF(ISBLANK('Data Entry'!$$9), "", 'Data Entry'!$$9)</f>
      </c>
      <c r="CM9">
        <f>IF(ISBLANK('Data Entry'!$$9), "", 'Data Entry'!$$9)</f>
      </c>
      <c r="CN9">
        <f>IF(ISBLANK('Data Entry'!$$9), "", 'Data Entry'!$$9)</f>
      </c>
      <c r="CO9">
        <f>IF(ISBLANK('Data Entry'!$$9), "", 'Data Entry'!$$9)</f>
      </c>
      <c r="CP9">
        <f>IF(ISBLANK('Data Entry'!$$9), "", 'Data Entry'!$$9)</f>
      </c>
      <c r="CQ9">
        <f>IF(ISBLANK('Data Entry'!$$9), "", 'Data Entry'!$$9)</f>
      </c>
      <c r="CR9">
        <f>IF(ISBLANK('Data Entry'!$ $9), "", 'Data Entry'!$ $9)</f>
      </c>
      <c r="CS9">
        <f>IF(ISBLANK('Data Entry'!$¡$9), "", 'Data Entry'!$¡$9)</f>
      </c>
      <c r="CT9">
        <f>IF(ISBLANK('Data Entry'!$¢$9), "", 'Data Entry'!$¢$9)</f>
      </c>
      <c r="CU9">
        <f>IF(ISBLANK('Data Entry'!$£$9), "", 'Data Entry'!$£$9)</f>
      </c>
      <c r="CV9">
        <f>IF(ISBLANK('Data Entry'!$¤$9), "", 'Data Entry'!$¤$9)</f>
      </c>
      <c r="CW9">
        <f>IF(ISBLANK('Data Entry'!$¥$9), "", 'Data Entry'!$¥$9)</f>
      </c>
      <c r="CX9">
        <f>IF(ISBLANK('Data Entry'!$¦$9), "", 'Data Entry'!$¦$9)</f>
      </c>
      <c r="CY9">
        <f>IF(ISBLANK('Data Entry'!$§$9), "", 'Data Entry'!$§$9)</f>
      </c>
      <c r="CZ9">
        <f>IF(ISBLANK('Data Entry'!$¨$9), "", 'Data Entry'!$¨$9)</f>
      </c>
      <c r="DA9">
        <f>IF(ISBLANK('Data Entry'!$©$9), "", 'Data Entry'!$©$9)</f>
      </c>
      <c r="DB9">
        <f>IF(ISBLANK('Data Entry'!$ª$9), "", 'Data Entry'!$ª$9)</f>
      </c>
      <c r="DC9">
        <f>IF(ISBLANK('Data Entry'!$«$9), "", 'Data Entry'!$«$9)</f>
      </c>
      <c r="DD9">
        <f>IF(ISBLANK('Data Entry'!$¬$9), "", 'Data Entry'!$¬$9)</f>
      </c>
      <c r="DE9">
        <f>IF(ISBLANK('Data Entry'!$­$9), "", 'Data Entry'!$­$9)</f>
      </c>
      <c r="DF9">
        <f>IF(ISBLANK('Data Entry'!$®$9), "", 'Data Entry'!$®$9)</f>
      </c>
      <c r="DG9">
        <f>IF(ISBLANK('Data Entry'!$¯$9), "", 'Data Entry'!$¯$9)</f>
      </c>
      <c r="DH9">
        <f>IF(ISBLANK('Data Entry'!$°$9), "", 'Data Entry'!$°$9)</f>
      </c>
      <c r="DI9">
        <f>IF(ISBLANK('Data Entry'!$±$9), "", 'Data Entry'!$±$9)</f>
      </c>
      <c r="DJ9">
        <f>IF(ISBLANK('Data Entry'!$²$9), "", 'Data Entry'!$²$9)</f>
      </c>
      <c r="DK9">
        <f>IF(ISBLANK('Data Entry'!$³$9), "", 'Data Entry'!$³$9)</f>
      </c>
      <c r="DL9">
        <f>IF(ISBLANK('Data Entry'!$´$9), "", 'Data Entry'!$´$9)</f>
      </c>
      <c r="DM9">
        <f>IF(ISBLANK('Data Entry'!$µ$9), "", 'Data Entry'!$µ$9)</f>
      </c>
      <c r="DN9">
        <f>IF(ISBLANK('Data Entry'!$¶$9), "", 'Data Entry'!$¶$9)</f>
      </c>
      <c r="DO9">
        <f>IF(ISBLANK('Data Entry'!$·$9), "", 'Data Entry'!$·$9)</f>
      </c>
      <c r="DP9">
        <f>IF(ISBLANK('Data Entry'!$¸$9), "", 'Data Entry'!$¸$9)</f>
      </c>
      <c r="DQ9">
        <f>IF(ISBLANK('Data Entry'!$¹$9), "", 'Data Entry'!$¹$9)</f>
      </c>
      <c r="DR9">
        <f>IF(ISBLANK('Data Entry'!$º$9), "", 'Data Entry'!$º$9)</f>
      </c>
      <c r="DS9">
        <f>IF(ISBLANK('Data Entry'!$»$9), "", 'Data Entry'!$»$9)</f>
      </c>
      <c r="DT9">
        <f>IF(ISBLANK('Data Entry'!$¼$9), "", 'Data Entry'!$¼$9)</f>
      </c>
      <c r="DU9">
        <f>IF(ISBLANK('Data Entry'!$½$9), "", 'Data Entry'!$½$9)</f>
      </c>
      <c r="DV9">
        <f>IF(ISBLANK('Data Entry'!$¾$9), "", 'Data Entry'!$¾$9)</f>
      </c>
      <c r="DW9">
        <f>IF(ISBLANK('Data Entry'!$¿$9), "", 'Data Entry'!$¿$9)</f>
      </c>
      <c r="DX9">
        <f>IF(ISBLANK('Data Entry'!$À$9), "", 'Data Entry'!$À$9)</f>
      </c>
      <c r="DY9">
        <f>IF(ISBLANK('Data Entry'!$Á$9), "", 'Data Entry'!$Á$9)</f>
      </c>
      <c r="DZ9">
        <f>IF(ISBLANK('Data Entry'!$Â$9), "", 'Data Entry'!$Â$9)</f>
      </c>
      <c r="EA9">
        <f>IF(ISBLANK('Data Entry'!$Ã$9), "", 'Data Entry'!$Ã$9)</f>
      </c>
      <c r="EB9">
        <f>IF(ISBLANK('Data Entry'!$Ä$9), "", 'Data Entry'!$Ä$9)</f>
      </c>
      <c r="EC9">
        <f>IF(ISBLANK('Data Entry'!$Å$9), "", 'Data Entry'!$Å$9)</f>
      </c>
      <c r="ED9">
        <f>IF(ISBLANK('Data Entry'!$Æ$9), "", 'Data Entry'!$Æ$9)</f>
      </c>
      <c r="EE9">
        <f>IF(ISBLANK('Data Entry'!$Ç$9), "", 'Data Entry'!$Ç$9)</f>
      </c>
      <c r="EF9">
        <f>IF(ISBLANK('Data Entry'!$È$9), "", 'Data Entry'!$È$9)</f>
      </c>
      <c r="EG9">
        <f>IF(ISBLANK('Data Entry'!$É$9), "", 'Data Entry'!$É$9)</f>
      </c>
      <c r="EH9">
        <f>IF(ISBLANK('Data Entry'!$Ê$9), "", 'Data Entry'!$Ê$9)</f>
      </c>
      <c r="EI9">
        <f>IF(ISBLANK('Data Entry'!$Ë$9), "", 'Data Entry'!$Ë$9)</f>
      </c>
      <c r="EJ9">
        <f>IF(ISBLANK('Data Entry'!$Ì$9), "", 'Data Entry'!$Ì$9)</f>
      </c>
      <c r="EK9">
        <f>IF(ISBLANK('Data Entry'!$Í$9), "", 'Data Entry'!$Í$9)</f>
      </c>
      <c r="EL9">
        <f>IF(ISBLANK('Data Entry'!$Î$9), "", 'Data Entry'!$Î$9)</f>
      </c>
      <c r="EM9">
        <f>IF(ISBLANK('Data Entry'!$Ï$9), "", 'Data Entry'!$Ï$9)</f>
      </c>
      <c r="EN9">
        <f>IF(ISBLANK('Data Entry'!$Ð$9), "", 'Data Entry'!$Ð$9)</f>
      </c>
      <c r="EO9">
        <f>IF(ISBLANK('Data Entry'!$Ñ$9), "", 'Data Entry'!$Ñ$9)</f>
      </c>
      <c r="EP9">
        <f>IF(ISBLANK('Data Entry'!$Ò$9), "", 'Data Entry'!$Ò$9)</f>
      </c>
      <c r="EQ9">
        <f>IF(ISBLANK('Data Entry'!$Ó$9), "", 'Data Entry'!$Ó$9)</f>
      </c>
      <c r="ER9">
        <f>IF(ISBLANK('Data Entry'!$Ô$9), "", 'Data Entry'!$Ô$9)</f>
      </c>
      <c r="ES9">
        <f>IF(ISBLANK('Data Entry'!$Õ$9), "", 'Data Entry'!$Õ$9)</f>
      </c>
      <c r="ET9">
        <f>IF(ISBLANK('Data Entry'!$Ö$9), "", 'Data Entry'!$Ö$9)</f>
      </c>
      <c r="EU9">
        <f>IF(ISBLANK('Data Entry'!$×$9), "", 'Data Entry'!$×$9)</f>
      </c>
      <c r="EV9">
        <f>IF(ISBLANK('Data Entry'!$Ø$9), "", 'Data Entry'!$Ø$9)</f>
      </c>
      <c r="EW9">
        <f>IF(ISBLANK('Data Entry'!$Ù$9), "", 'Data Entry'!$Ù$9)</f>
      </c>
      <c r="EX9">
        <f>IF(ISBLANK('Data Entry'!$Ú$9), "", 'Data Entry'!$Ú$9)</f>
      </c>
      <c r="EY9">
        <f>IF(ISBLANK('Data Entry'!$Û$9), "", 'Data Entry'!$Û$9)</f>
      </c>
      <c r="EZ9">
        <f>IF(ISBLANK('Data Entry'!$Ü$9), "", 'Data Entry'!$Ü$9)</f>
      </c>
      <c r="FA9">
        <f>IF(ISBLANK('Data Entry'!$Ý$9), "", 'Data Entry'!$Ý$9)</f>
      </c>
      <c r="FB9">
        <f>IF(ISBLANK('Data Entry'!$Þ$9), "", 'Data Entry'!$Þ$9)</f>
      </c>
      <c r="FC9">
        <f>IF(ISBLANK('Data Entry'!$ß$9), "", 'Data Entry'!$ß$9)</f>
      </c>
      <c r="FD9">
        <f>IF(ISBLANK('Data Entry'!$à$9), "", 'Data Entry'!$à$9)</f>
      </c>
      <c r="FE9">
        <f>IF(ISBLANK('Data Entry'!$á$9), "", 'Data Entry'!$á$9)</f>
      </c>
      <c r="FF9">
        <f>IF(ISBLANK('Data Entry'!$â$9), "", 'Data Entry'!$â$9)</f>
      </c>
      <c r="FG9">
        <f>IF(ISBLANK('Data Entry'!$ã$9), "", 'Data Entry'!$ã$9)</f>
      </c>
      <c r="FH9">
        <f>IF(ISBLANK('Data Entry'!$ä$9), "", 'Data Entry'!$ä$9)</f>
      </c>
      <c r="FI9">
        <f>IF(ISBLANK('Data Entry'!$å$9), "", 'Data Entry'!$å$9)</f>
      </c>
      <c r="FJ9">
        <f>IF(ISBLANK('Data Entry'!$æ$9), "", 'Data Entry'!$æ$9)</f>
      </c>
      <c r="FK9">
        <f>IF(ISBLANK('Data Entry'!$ç$9), "", 'Data Entry'!$ç$9)</f>
      </c>
      <c r="FL9">
        <f>IF(ISBLANK('Data Entry'!$è$9), "", 'Data Entry'!$è$9)</f>
      </c>
      <c r="FM9">
        <f>IF(ISBLANK('Data Entry'!$é$9), "", 'Data Entry'!$é$9)</f>
      </c>
      <c r="FN9">
        <f>IF(ISBLANK('Data Entry'!$ê$9), "", 'Data Entry'!$ê$9)</f>
      </c>
      <c r="FO9">
        <f>IF(ISBLANK('Data Entry'!$ë$9), "", 'Data Entry'!$ë$9)</f>
      </c>
      <c r="FP9">
        <f>IF(ISBLANK('Data Entry'!$ì$9), "", 'Data Entry'!$ì$9)</f>
      </c>
      <c r="FQ9">
        <f>IF(ISBLANK('Data Entry'!$í$9), "", 'Data Entry'!$í$9)</f>
      </c>
      <c r="FR9">
        <f>IF(ISBLANK('Data Entry'!$î$9), "", 'Data Entry'!$î$9)</f>
      </c>
      <c r="FS9">
        <f>IF(ISBLANK('Data Entry'!$ï$9), "", 'Data Entry'!$ï$9)</f>
      </c>
      <c r="FT9">
        <f>IF(ISBLANK('Data Entry'!$ð$9), "", 'Data Entry'!$ð$9)</f>
      </c>
      <c r="FU9">
        <f>IF(ISBLANK('Data Entry'!$ñ$9), "", 'Data Entry'!$ñ$9)</f>
      </c>
      <c r="FV9">
        <f>IF(ISBLANK('Data Entry'!$ò$9), "", 'Data Entry'!$ò$9)</f>
      </c>
      <c r="FW9">
        <f>IF(ISBLANK('Data Entry'!$ó$9), "", 'Data Entry'!$ó$9)</f>
      </c>
      <c r="FX9">
        <f>IF(ISBLANK('Data Entry'!$ô$9), "", 'Data Entry'!$ô$9)</f>
      </c>
      <c r="FY9">
        <f>IF(ISBLANK('Data Entry'!$õ$9), "", 'Data Entry'!$õ$9)</f>
      </c>
      <c r="FZ9">
        <f>IF(ISBLANK('Data Entry'!$ö$9), "", 'Data Entry'!$ö$9)</f>
      </c>
      <c r="GA9">
        <f>IF(ISBLANK('Data Entry'!$÷$9), "", 'Data Entry'!$÷$9)</f>
      </c>
      <c r="GB9">
        <f>IF(ISBLANK('Data Entry'!$ø$9), "", 'Data Entry'!$ø$9)</f>
      </c>
      <c r="GC9">
        <f>IF(ISBLANK('Data Entry'!$ù$9), "", 'Data Entry'!$ù$9)</f>
      </c>
      <c r="GD9">
        <f>IF(ISBLANK('Data Entry'!$ú$9), "", 'Data Entry'!$ú$9)</f>
      </c>
      <c r="GE9">
        <f>IF(ISBLANK('Data Entry'!$û$9), "", 'Data Entry'!$û$9)</f>
      </c>
      <c r="GF9">
        <f>IF(ISBLANK('Data Entry'!$ü$9), "", 'Data Entry'!$ü$9)</f>
      </c>
      <c r="GG9">
        <f>IF(ISBLANK('Data Entry'!$ý$9), "", 'Data Entry'!$ý$9)</f>
      </c>
      <c r="GH9">
        <f>IF(ISBLANK('Data Entry'!$þ$9), "", 'Data Entry'!$þ$9)</f>
      </c>
      <c r="GI9">
        <f>IF(ISBLANK('Data Entry'!$ÿ$9), "", 'Data Entry'!$ÿ$9)</f>
      </c>
      <c r="GJ9">
        <f>IF(ISBLANK('Data Entry'!$Ā$9), "", 'Data Entry'!$Ā$9)</f>
      </c>
      <c r="GK9">
        <f>IF(ISBLANK('Data Entry'!$ā$9), "", 'Data Entry'!$ā$9)</f>
      </c>
      <c r="GL9">
        <f>IF(ISBLANK('Data Entry'!$Ă$9), "", 'Data Entry'!$Ă$9)</f>
      </c>
      <c r="GM9">
        <f>IF(ISBLANK('Data Entry'!$ă$9), "", 'Data Entry'!$ă$9)</f>
      </c>
      <c r="GN9">
        <f>IF(ISBLANK('Data Entry'!$Ą$9), "", 'Data Entry'!$Ą$9)</f>
      </c>
      <c r="GO9">
        <f>IF(ISBLANK('Data Entry'!$ą$9), "", 'Data Entry'!$ą$9)</f>
      </c>
      <c r="GP9">
        <f>IF(ISBLANK('Data Entry'!$Ć$9), "", 'Data Entry'!$Ć$9)</f>
      </c>
      <c r="GQ9">
        <f>IF(ISBLANK('Data Entry'!$ć$9), "", 'Data Entry'!$ć$9)</f>
      </c>
      <c r="GR9">
        <f>IF(ISBLANK('Data Entry'!$Ĉ$9), "", 'Data Entry'!$Ĉ$9)</f>
      </c>
      <c r="GS9">
        <f>IF(ISBLANK('Data Entry'!$ĉ$9), "", 'Data Entry'!$ĉ$9)</f>
      </c>
      <c r="GT9">
        <f>IF(ISBLANK('Data Entry'!$Ċ$9), "", 'Data Entry'!$Ċ$9)</f>
      </c>
      <c r="GU9">
        <f>IF(ISBLANK('Data Entry'!$ċ$9), "", 'Data Entry'!$ċ$9)</f>
      </c>
      <c r="GV9">
        <f>IF(ISBLANK('Data Entry'!$Č$9), "", 'Data Entry'!$Č$9)</f>
      </c>
      <c r="GW9">
        <f>IF(ISBLANK('Data Entry'!$č$9), "", 'Data Entry'!$č$9)</f>
      </c>
      <c r="GX9">
        <f>IF(ISBLANK('Data Entry'!$Ď$9), "", 'Data Entry'!$Ď$9)</f>
      </c>
      <c r="GY9">
        <f>IF(ISBLANK('Data Entry'!$ď$9), "", 'Data Entry'!$ď$9)</f>
      </c>
      <c r="GZ9">
        <f>IF(ISBLANK('Data Entry'!$Đ$9), "", 'Data Entry'!$Đ$9)</f>
      </c>
      <c r="HA9">
        <f>IF(ISBLANK('Data Entry'!$đ$9), "", 'Data Entry'!$đ$9)</f>
      </c>
      <c r="HB9">
        <f>IF(ISBLANK('Data Entry'!$Ē$9), "", 'Data Entry'!$Ē$9)</f>
      </c>
      <c r="HC9">
        <f>IF(ISBLANK('Data Entry'!$ē$9), "", 'Data Entry'!$ē$9)</f>
      </c>
      <c r="HD9">
        <f>IF(ISBLANK('Data Entry'!$Ĕ$9), "", 'Data Entry'!$Ĕ$9)</f>
      </c>
      <c r="HE9">
        <f>IF(ISBLANK('Data Entry'!$ĕ$9), "", 'Data Entry'!$ĕ$9)</f>
      </c>
      <c r="HF9">
        <f>IF(ISBLANK('Data Entry'!$Ė$9), "", 'Data Entry'!$Ė$9)</f>
      </c>
      <c r="HG9">
        <f>IF(ISBLANK('Data Entry'!$ė$9), "", 'Data Entry'!$ė$9)</f>
      </c>
      <c r="HH9">
        <f>IF(ISBLANK('Data Entry'!$Ę$9), "", 'Data Entry'!$Ę$9)</f>
      </c>
      <c r="HI9">
        <f>IF(ISBLANK('Data Entry'!$ę$9), "", 'Data Entry'!$ę$9)</f>
      </c>
      <c r="HJ9">
        <f>IF(ISBLANK('Data Entry'!$Ě$9), "", 'Data Entry'!$Ě$9)</f>
      </c>
      <c r="HK9">
        <f>IF(ISBLANK('Data Entry'!$ě$9), "", 'Data Entry'!$ě$9)</f>
      </c>
      <c r="HL9">
        <f>IF(ISBLANK('Data Entry'!$Ĝ$9), "", 'Data Entry'!$Ĝ$9)</f>
      </c>
      <c r="HM9">
        <f>IF(ISBLANK('Data Entry'!$ĝ$9), "", 'Data Entry'!$ĝ$9)</f>
      </c>
      <c r="HN9">
        <f>IF(ISBLANK('Data Entry'!$Ğ$9), "", 'Data Entry'!$Ğ$9)</f>
      </c>
      <c r="HO9">
        <f>IF(ISBLANK('Data Entry'!$ğ$9), "", 'Data Entry'!$ğ$9)</f>
      </c>
      <c r="HP9">
        <f>IF(ISBLANK('Data Entry'!$Ġ$9), "", 'Data Entry'!$Ġ$9)</f>
      </c>
      <c r="HQ9">
        <f>IF(ISBLANK('Data Entry'!$ġ$9), "", 'Data Entry'!$ġ$9)</f>
      </c>
      <c r="HR9">
        <f>IF(ISBLANK('Data Entry'!$Ģ$9), "", 'Data Entry'!$Ģ$9)</f>
      </c>
      <c r="HS9">
        <f>IF(ISBLANK('Data Entry'!$ģ$9), "", 'Data Entry'!$ģ$9)</f>
      </c>
      <c r="HT9">
        <f>IF(ISBLANK('Data Entry'!$Ĥ$9), "", 'Data Entry'!$Ĥ$9)</f>
      </c>
      <c r="HU9">
        <f>IF(ISBLANK('Data Entry'!$ĥ$9), "", 'Data Entry'!$ĥ$9)</f>
      </c>
      <c r="HV9">
        <f>IF(ISBLANK('Data Entry'!$Ħ$9), "", 'Data Entry'!$Ħ$9)</f>
      </c>
      <c r="HW9">
        <f>IF(ISBLANK('Data Entry'!$ħ$9), "", 'Data Entry'!$ħ$9)</f>
      </c>
      <c r="HX9">
        <f>IF(ISBLANK('Data Entry'!$Ĩ$9), "", 'Data Entry'!$Ĩ$9)</f>
      </c>
      <c r="HY9">
        <f>IF(ISBLANK('Data Entry'!$ĩ$9), "", 'Data Entry'!$ĩ$9)</f>
      </c>
      <c r="HZ9">
        <f>IF(ISBLANK('Data Entry'!$Ī$9), "", 'Data Entry'!$Ī$9)</f>
      </c>
      <c r="IA9">
        <f>IF(ISBLANK('Data Entry'!$ī$9), "", 'Data Entry'!$ī$9)</f>
      </c>
      <c r="IB9">
        <f>IF(ISBLANK('Data Entry'!$Ĭ$9), "", 'Data Entry'!$Ĭ$9)</f>
      </c>
      <c r="IC9">
        <f>IF(ISBLANK('Data Entry'!$ĭ$9), "", 'Data Entry'!$ĭ$9)</f>
      </c>
      <c r="ID9">
        <f>IF(ISBLANK('Data Entry'!$Į$9), "", 'Data Entry'!$Į$9)</f>
      </c>
      <c r="IE9">
        <f>IF(ISBLANK('Data Entry'!$į$9), "", 'Data Entry'!$į$9)</f>
      </c>
      <c r="IF9">
        <f>IF(ISBLANK('Data Entry'!$İ$9), "", 'Data Entry'!$İ$9)</f>
      </c>
      <c r="IG9">
        <f>IF(ISBLANK('Data Entry'!$ı$9), "", 'Data Entry'!$ı$9)</f>
      </c>
      <c r="IH9">
        <f>IF(ISBLANK('Data Entry'!$Ĳ$9), "", 'Data Entry'!$Ĳ$9)</f>
      </c>
      <c r="II9">
        <f>IF(ISBLANK('Data Entry'!$ĳ$9), "", 'Data Entry'!$ĳ$9)</f>
      </c>
      <c r="IJ9">
        <f>IF(ISBLANK('Data Entry'!$Ĵ$9), "", 'Data Entry'!$Ĵ$9)</f>
      </c>
      <c r="IK9">
        <f>IF(ISBLANK('Data Entry'!$ĵ$9), "", 'Data Entry'!$ĵ$9)</f>
      </c>
      <c r="IL9">
        <f>IF(ISBLANK('Data Entry'!$Ķ$9), "", 'Data Entry'!$Ķ$9)</f>
      </c>
      <c r="IM9">
        <f>IF(ISBLANK('Data Entry'!$ķ$9), "", 'Data Entry'!$ķ$9)</f>
      </c>
      <c r="IN9">
        <f>IF(ISBLANK('Data Entry'!$ĸ$9), "", 'Data Entry'!$ĸ$9)</f>
      </c>
      <c r="IO9">
        <f>IF(ISBLANK('Data Entry'!$Ĺ$9), "", 'Data Entry'!$Ĺ$9)</f>
      </c>
      <c r="IP9">
        <f>IF(ISBLANK('Data Entry'!$ĺ$9), "", 'Data Entry'!$ĺ$9)</f>
      </c>
      <c r="IQ9">
        <f>IF(ISBLANK('Data Entry'!$Ļ$9), "", 'Data Entry'!$Ļ$9)</f>
      </c>
      <c r="IR9">
        <f>IF(ISBLANK('Data Entry'!$ļ$9), "", 'Data Entry'!$ļ$9)</f>
      </c>
      <c r="IS9">
        <f>IF(ISBLANK('Data Entry'!$Ľ$9), "", 'Data Entry'!$Ľ$9)</f>
      </c>
      <c r="IT9">
        <f>IF(ISBLANK('Data Entry'!$ľ$9), "", 'Data Entry'!$ľ$9)</f>
      </c>
    </row>
    <row r="10" spans="1:254" x14ac:dyDescent="0.25">
      <c r="A10">
        <f>IF(ISBLANK('Data Entry'!$A$10), "", 'Data Entry'!$A$10)</f>
      </c>
      <c r="B10">
        <f>IF(ISBLANK('Data Entry'!$B$10), "", 'Data Entry'!$B$10)</f>
      </c>
      <c r="C10">
        <f>IF(ISBLANK('Data Entry'!$C$10), "", 'Data Entry'!$C$10)</f>
      </c>
      <c r="D10">
        <f>IF(ISBLANK('Data Entry'!$D$10), "", 'Data Entry'!$D$10)</f>
      </c>
      <c r="E10">
        <f>IF(ISBLANK('Data Entry'!$E$10), "", 'Data Entry'!$E$10)</f>
      </c>
      <c r="F10">
        <f>IF(ISBLANK('Data Entry'!$F$10), "", 'Data Entry'!$F$10)</f>
      </c>
      <c r="G10">
        <f>IF(ISBLANK('Data Entry'!$G$10), "", 'Data Entry'!$G$10)</f>
      </c>
      <c r="H10">
        <f>IF(ISBLANK('Data Entry'!$H$10), "", 'Data Entry'!$H$10)</f>
      </c>
      <c r="I10">
        <f>IF(ISBLANK('Data Entry'!$I$10), "", 'Data Entry'!$I$10)</f>
      </c>
      <c r="J10">
        <f>IF(ISBLANK('Data Entry'!$J$10), "", 'Data Entry'!$J$10)</f>
      </c>
      <c r="K10">
        <f>IF(ISBLANK('Data Entry'!$K$10), "", 'Data Entry'!$K$10)</f>
      </c>
      <c r="L10">
        <f>IF(ISBLANK('Data Entry'!$L$10), "", 'Data Entry'!$L$10)</f>
      </c>
      <c r="M10">
        <f>IF(ISBLANK('Data Entry'!$M$10), "", 'Data Entry'!$M$10)</f>
      </c>
      <c r="N10">
        <f>IF(ISBLANK('Data Entry'!$N$10), "", 'Data Entry'!$N$10)</f>
      </c>
      <c r="O10">
        <f>IF(ISBLANK('Data Entry'!$O$10), "", 'Data Entry'!$O$10)</f>
      </c>
      <c r="P10">
        <f>IF(ISBLANK('Data Entry'!$P$10), "", 'Data Entry'!$P$10)</f>
      </c>
      <c r="Q10">
        <f>IF(ISBLANK('Data Entry'!$Q$10), "", 'Data Entry'!$Q$10)</f>
      </c>
      <c r="R10">
        <f>IF(ISBLANK('Data Entry'!$R$10), "", 'Data Entry'!$R$10)</f>
      </c>
      <c r="S10">
        <f>IF(ISBLANK('Data Entry'!$S$10), "", 'Data Entry'!$S$10)</f>
      </c>
      <c r="T10">
        <f>IF(ISBLANK('Data Entry'!$T$10), "", 'Data Entry'!$T$10)</f>
      </c>
      <c r="U10">
        <f>IF(ISBLANK('Data Entry'!$U$10), "", 'Data Entry'!$U$10)</f>
      </c>
      <c r="V10">
        <f>IF(ISBLANK('Data Entry'!$V$10), "", 'Data Entry'!$V$10)</f>
      </c>
      <c r="W10">
        <f>IF(ISBLANK('Data Entry'!$W$10), "", 'Data Entry'!$W$10)</f>
      </c>
      <c r="X10">
        <f>IF(ISBLANK('Data Entry'!$X$10), "", 'Data Entry'!$X$10)</f>
      </c>
      <c r="Y10">
        <f>IF(ISBLANK('Data Entry'!$Y$10), "", 'Data Entry'!$Y$10)</f>
      </c>
      <c r="Z10">
        <f>IF(ISBLANK('Data Entry'!$Z$10), "", 'Data Entry'!$Z$10)</f>
      </c>
      <c r="AA10">
        <f>IF(ISBLANK('Data Entry'!$[$10), "", 'Data Entry'!$[$10)</f>
      </c>
      <c r="AB10">
        <f>IF(ISBLANK('Data Entry'!$\$10), "", 'Data Entry'!$\$10)</f>
      </c>
      <c r="AC10">
        <f>IF(ISBLANK('Data Entry'!$]$10), "", 'Data Entry'!$]$10)</f>
      </c>
      <c r="AD10">
        <f>IF(ISBLANK('Data Entry'!$^$10), "", 'Data Entry'!$^$10)</f>
      </c>
      <c r="AE10">
        <f>IF(ISBLANK('Data Entry'!$_$10), "", 'Data Entry'!$_$10)</f>
      </c>
      <c r="AF10">
        <f>IF(ISBLANK('Data Entry'!$`$10), "", 'Data Entry'!$`$10)</f>
      </c>
      <c r="AG10">
        <f>IF(ISBLANK('Data Entry'!$a$10), "", 'Data Entry'!$a$10)</f>
      </c>
      <c r="AH10">
        <f>IF(ISBLANK('Data Entry'!$b$10), "", 'Data Entry'!$b$10)</f>
      </c>
      <c r="AI10">
        <f>IF(ISBLANK('Data Entry'!$c$10), "", 'Data Entry'!$c$10)</f>
      </c>
      <c r="AJ10">
        <f>IF(ISBLANK('Data Entry'!$d$10), "", 'Data Entry'!$d$10)</f>
      </c>
      <c r="AK10">
        <f>IF(ISBLANK('Data Entry'!$e$10), "", 'Data Entry'!$e$10)</f>
      </c>
      <c r="AL10">
        <f>IF(ISBLANK('Data Entry'!$f$10), "", 'Data Entry'!$f$10)</f>
      </c>
      <c r="AM10">
        <f>IF(ISBLANK('Data Entry'!$g$10), "", 'Data Entry'!$g$10)</f>
      </c>
      <c r="AN10">
        <f>IF(ISBLANK('Data Entry'!$h$10), "", 'Data Entry'!$h$10)</f>
      </c>
      <c r="AO10">
        <f>IF(ISBLANK('Data Entry'!$i$10), "", 'Data Entry'!$i$10)</f>
      </c>
      <c r="AP10">
        <f>IF(ISBLANK('Data Entry'!$j$10), "", 'Data Entry'!$j$10)</f>
      </c>
      <c r="AQ10">
        <f>IF(ISBLANK('Data Entry'!$k$10), "", 'Data Entry'!$k$10)</f>
      </c>
      <c r="AR10">
        <f>IF(ISBLANK('Data Entry'!$l$10), "", 'Data Entry'!$l$10)</f>
      </c>
      <c r="AS10">
        <f>IF(ISBLANK('Data Entry'!$m$10), "", 'Data Entry'!$m$10)</f>
      </c>
      <c r="AT10">
        <f>IF(ISBLANK('Data Entry'!$n$10), "", 'Data Entry'!$n$10)</f>
      </c>
      <c r="AU10">
        <f>IF(ISBLANK('Data Entry'!$o$10), "", 'Data Entry'!$o$10)</f>
      </c>
      <c r="AV10">
        <f>IF(ISBLANK('Data Entry'!$p$10), "", 'Data Entry'!$p$10)</f>
      </c>
      <c r="AW10">
        <f>IF(ISBLANK('Data Entry'!$q$10), "", 'Data Entry'!$q$10)</f>
      </c>
      <c r="AX10">
        <f>IF(ISBLANK('Data Entry'!$r$10), "", 'Data Entry'!$r$10)</f>
      </c>
      <c r="AY10">
        <f>IF(ISBLANK('Data Entry'!$s$10), "", 'Data Entry'!$s$10)</f>
      </c>
      <c r="AZ10">
        <f>IF(ISBLANK('Data Entry'!$t$10), "", 'Data Entry'!$t$10)</f>
      </c>
      <c r="BA10">
        <f>IF(ISBLANK('Data Entry'!$u$10), "", 'Data Entry'!$u$10)</f>
      </c>
      <c r="BB10">
        <f>IF(ISBLANK('Data Entry'!$v$10), "", 'Data Entry'!$v$10)</f>
      </c>
      <c r="BC10">
        <f>IF(ISBLANK('Data Entry'!$w$10), "", 'Data Entry'!$w$10)</f>
      </c>
      <c r="BD10">
        <f>IF(ISBLANK('Data Entry'!$x$10), "", 'Data Entry'!$x$10)</f>
      </c>
      <c r="BE10">
        <f>IF(ISBLANK('Data Entry'!$y$10), "", 'Data Entry'!$y$10)</f>
      </c>
      <c r="BF10">
        <f>IF(ISBLANK('Data Entry'!$z$10), "", 'Data Entry'!$z$10)</f>
      </c>
      <c r="BG10">
        <f>IF(ISBLANK('Data Entry'!${$10), "", 'Data Entry'!${$10)</f>
      </c>
      <c r="BH10">
        <f>IF(ISBLANK('Data Entry'!$|$10), "", 'Data Entry'!$|$10)</f>
      </c>
      <c r="BI10">
        <f>IF(ISBLANK('Data Entry'!$}$10), "", 'Data Entry'!$}$10)</f>
      </c>
      <c r="BJ10">
        <f>IF(ISBLANK('Data Entry'!$~$10), "", 'Data Entry'!$~$10)</f>
      </c>
      <c r="BK10">
        <f>IF(ISBLANK('Data Entry'!$$10), "", 'Data Entry'!$$10)</f>
      </c>
      <c r="BL10">
        <f>IF(ISBLANK('Data Entry'!$$10), "", 'Data Entry'!$$10)</f>
      </c>
      <c r="BM10">
        <f>IF(ISBLANK('Data Entry'!$$10), "", 'Data Entry'!$$10)</f>
      </c>
      <c r="BN10">
        <f>IF(ISBLANK('Data Entry'!$$10), "", 'Data Entry'!$$10)</f>
      </c>
      <c r="BO10">
        <f>IF(ISBLANK('Data Entry'!$$10), "", 'Data Entry'!$$10)</f>
      </c>
      <c r="BP10">
        <f>IF(ISBLANK('Data Entry'!$$10), "", 'Data Entry'!$$10)</f>
      </c>
      <c r="BQ10">
        <f>IF(ISBLANK('Data Entry'!$$10), "", 'Data Entry'!$$10)</f>
      </c>
      <c r="BR10">
        <f>IF(ISBLANK('Data Entry'!$$10), "", 'Data Entry'!$$10)</f>
      </c>
      <c r="BS10">
        <f>IF(ISBLANK('Data Entry'!$$10), "", 'Data Entry'!$$10)</f>
      </c>
      <c r="BT10">
        <f>IF(ISBLANK('Data Entry'!$$10), "", 'Data Entry'!$$10)</f>
      </c>
      <c r="BU10">
        <f>IF(ISBLANK('Data Entry'!$$10), "", 'Data Entry'!$$10)</f>
      </c>
      <c r="BV10">
        <f>IF(ISBLANK('Data Entry'!$$10), "", 'Data Entry'!$$10)</f>
      </c>
      <c r="BW10">
        <f>IF(ISBLANK('Data Entry'!$$10), "", 'Data Entry'!$$10)</f>
      </c>
      <c r="BX10">
        <f>IF(ISBLANK('Data Entry'!$$10), "", 'Data Entry'!$$10)</f>
      </c>
      <c r="BY10">
        <f>IF(ISBLANK('Data Entry'!$$10), "", 'Data Entry'!$$10)</f>
      </c>
      <c r="BZ10">
        <f>IF(ISBLANK('Data Entry'!$$10), "", 'Data Entry'!$$10)</f>
      </c>
      <c r="CA10">
        <f>IF(ISBLANK('Data Entry'!$$10), "", 'Data Entry'!$$10)</f>
      </c>
      <c r="CB10">
        <f>IF(ISBLANK('Data Entry'!$$10), "", 'Data Entry'!$$10)</f>
      </c>
      <c r="CC10">
        <f>IF(ISBLANK('Data Entry'!$$10), "", 'Data Entry'!$$10)</f>
      </c>
      <c r="CD10">
        <f>IF(ISBLANK('Data Entry'!$$10), "", 'Data Entry'!$$10)</f>
      </c>
      <c r="CE10">
        <f>IF(ISBLANK('Data Entry'!$$10), "", 'Data Entry'!$$10)</f>
      </c>
      <c r="CF10">
        <f>IF(ISBLANK('Data Entry'!$$10), "", 'Data Entry'!$$10)</f>
      </c>
      <c r="CG10">
        <f>IF(ISBLANK('Data Entry'!$$10), "", 'Data Entry'!$$10)</f>
      </c>
      <c r="CH10">
        <f>IF(ISBLANK('Data Entry'!$$10), "", 'Data Entry'!$$10)</f>
      </c>
      <c r="CI10">
        <f>IF(ISBLANK('Data Entry'!$$10), "", 'Data Entry'!$$10)</f>
      </c>
      <c r="CJ10">
        <f>IF(ISBLANK('Data Entry'!$$10), "", 'Data Entry'!$$10)</f>
      </c>
      <c r="CK10">
        <f>IF(ISBLANK('Data Entry'!$$10), "", 'Data Entry'!$$10)</f>
      </c>
      <c r="CL10">
        <f>IF(ISBLANK('Data Entry'!$$10), "", 'Data Entry'!$$10)</f>
      </c>
      <c r="CM10">
        <f>IF(ISBLANK('Data Entry'!$$10), "", 'Data Entry'!$$10)</f>
      </c>
      <c r="CN10">
        <f>IF(ISBLANK('Data Entry'!$$10), "", 'Data Entry'!$$10)</f>
      </c>
      <c r="CO10">
        <f>IF(ISBLANK('Data Entry'!$$10), "", 'Data Entry'!$$10)</f>
      </c>
      <c r="CP10">
        <f>IF(ISBLANK('Data Entry'!$$10), "", 'Data Entry'!$$10)</f>
      </c>
      <c r="CQ10">
        <f>IF(ISBLANK('Data Entry'!$$10), "", 'Data Entry'!$$10)</f>
      </c>
      <c r="CR10">
        <f>IF(ISBLANK('Data Entry'!$ $10), "", 'Data Entry'!$ $10)</f>
      </c>
      <c r="CS10">
        <f>IF(ISBLANK('Data Entry'!$¡$10), "", 'Data Entry'!$¡$10)</f>
      </c>
      <c r="CT10">
        <f>IF(ISBLANK('Data Entry'!$¢$10), "", 'Data Entry'!$¢$10)</f>
      </c>
      <c r="CU10">
        <f>IF(ISBLANK('Data Entry'!$£$10), "", 'Data Entry'!$£$10)</f>
      </c>
      <c r="CV10">
        <f>IF(ISBLANK('Data Entry'!$¤$10), "", 'Data Entry'!$¤$10)</f>
      </c>
      <c r="CW10">
        <f>IF(ISBLANK('Data Entry'!$¥$10), "", 'Data Entry'!$¥$10)</f>
      </c>
      <c r="CX10">
        <f>IF(ISBLANK('Data Entry'!$¦$10), "", 'Data Entry'!$¦$10)</f>
      </c>
      <c r="CY10">
        <f>IF(ISBLANK('Data Entry'!$§$10), "", 'Data Entry'!$§$10)</f>
      </c>
      <c r="CZ10">
        <f>IF(ISBLANK('Data Entry'!$¨$10), "", 'Data Entry'!$¨$10)</f>
      </c>
      <c r="DA10">
        <f>IF(ISBLANK('Data Entry'!$©$10), "", 'Data Entry'!$©$10)</f>
      </c>
      <c r="DB10">
        <f>IF(ISBLANK('Data Entry'!$ª$10), "", 'Data Entry'!$ª$10)</f>
      </c>
      <c r="DC10">
        <f>IF(ISBLANK('Data Entry'!$«$10), "", 'Data Entry'!$«$10)</f>
      </c>
      <c r="DD10">
        <f>IF(ISBLANK('Data Entry'!$¬$10), "", 'Data Entry'!$¬$10)</f>
      </c>
      <c r="DE10">
        <f>IF(ISBLANK('Data Entry'!$­$10), "", 'Data Entry'!$­$10)</f>
      </c>
      <c r="DF10">
        <f>IF(ISBLANK('Data Entry'!$®$10), "", 'Data Entry'!$®$10)</f>
      </c>
      <c r="DG10">
        <f>IF(ISBLANK('Data Entry'!$¯$10), "", 'Data Entry'!$¯$10)</f>
      </c>
      <c r="DH10">
        <f>IF(ISBLANK('Data Entry'!$°$10), "", 'Data Entry'!$°$10)</f>
      </c>
      <c r="DI10">
        <f>IF(ISBLANK('Data Entry'!$±$10), "", 'Data Entry'!$±$10)</f>
      </c>
      <c r="DJ10">
        <f>IF(ISBLANK('Data Entry'!$²$10), "", 'Data Entry'!$²$10)</f>
      </c>
      <c r="DK10">
        <f>IF(ISBLANK('Data Entry'!$³$10), "", 'Data Entry'!$³$10)</f>
      </c>
      <c r="DL10">
        <f>IF(ISBLANK('Data Entry'!$´$10), "", 'Data Entry'!$´$10)</f>
      </c>
      <c r="DM10">
        <f>IF(ISBLANK('Data Entry'!$µ$10), "", 'Data Entry'!$µ$10)</f>
      </c>
      <c r="DN10">
        <f>IF(ISBLANK('Data Entry'!$¶$10), "", 'Data Entry'!$¶$10)</f>
      </c>
      <c r="DO10">
        <f>IF(ISBLANK('Data Entry'!$·$10), "", 'Data Entry'!$·$10)</f>
      </c>
      <c r="DP10">
        <f>IF(ISBLANK('Data Entry'!$¸$10), "", 'Data Entry'!$¸$10)</f>
      </c>
      <c r="DQ10">
        <f>IF(ISBLANK('Data Entry'!$¹$10), "", 'Data Entry'!$¹$10)</f>
      </c>
      <c r="DR10">
        <f>IF(ISBLANK('Data Entry'!$º$10), "", 'Data Entry'!$º$10)</f>
      </c>
      <c r="DS10">
        <f>IF(ISBLANK('Data Entry'!$»$10), "", 'Data Entry'!$»$10)</f>
      </c>
      <c r="DT10">
        <f>IF(ISBLANK('Data Entry'!$¼$10), "", 'Data Entry'!$¼$10)</f>
      </c>
      <c r="DU10">
        <f>IF(ISBLANK('Data Entry'!$½$10), "", 'Data Entry'!$½$10)</f>
      </c>
      <c r="DV10">
        <f>IF(ISBLANK('Data Entry'!$¾$10), "", 'Data Entry'!$¾$10)</f>
      </c>
      <c r="DW10">
        <f>IF(ISBLANK('Data Entry'!$¿$10), "", 'Data Entry'!$¿$10)</f>
      </c>
      <c r="DX10">
        <f>IF(ISBLANK('Data Entry'!$À$10), "", 'Data Entry'!$À$10)</f>
      </c>
      <c r="DY10">
        <f>IF(ISBLANK('Data Entry'!$Á$10), "", 'Data Entry'!$Á$10)</f>
      </c>
      <c r="DZ10">
        <f>IF(ISBLANK('Data Entry'!$Â$10), "", 'Data Entry'!$Â$10)</f>
      </c>
      <c r="EA10">
        <f>IF(ISBLANK('Data Entry'!$Ã$10), "", 'Data Entry'!$Ã$10)</f>
      </c>
      <c r="EB10">
        <f>IF(ISBLANK('Data Entry'!$Ä$10), "", 'Data Entry'!$Ä$10)</f>
      </c>
      <c r="EC10">
        <f>IF(ISBLANK('Data Entry'!$Å$10), "", 'Data Entry'!$Å$10)</f>
      </c>
      <c r="ED10">
        <f>IF(ISBLANK('Data Entry'!$Æ$10), "", 'Data Entry'!$Æ$10)</f>
      </c>
      <c r="EE10">
        <f>IF(ISBLANK('Data Entry'!$Ç$10), "", 'Data Entry'!$Ç$10)</f>
      </c>
      <c r="EF10">
        <f>IF(ISBLANK('Data Entry'!$È$10), "", 'Data Entry'!$È$10)</f>
      </c>
      <c r="EG10">
        <f>IF(ISBLANK('Data Entry'!$É$10), "", 'Data Entry'!$É$10)</f>
      </c>
      <c r="EH10">
        <f>IF(ISBLANK('Data Entry'!$Ê$10), "", 'Data Entry'!$Ê$10)</f>
      </c>
      <c r="EI10">
        <f>IF(ISBLANK('Data Entry'!$Ë$10), "", 'Data Entry'!$Ë$10)</f>
      </c>
      <c r="EJ10">
        <f>IF(ISBLANK('Data Entry'!$Ì$10), "", 'Data Entry'!$Ì$10)</f>
      </c>
      <c r="EK10">
        <f>IF(ISBLANK('Data Entry'!$Í$10), "", 'Data Entry'!$Í$10)</f>
      </c>
      <c r="EL10">
        <f>IF(ISBLANK('Data Entry'!$Î$10), "", 'Data Entry'!$Î$10)</f>
      </c>
      <c r="EM10">
        <f>IF(ISBLANK('Data Entry'!$Ï$10), "", 'Data Entry'!$Ï$10)</f>
      </c>
      <c r="EN10">
        <f>IF(ISBLANK('Data Entry'!$Ð$10), "", 'Data Entry'!$Ð$10)</f>
      </c>
      <c r="EO10">
        <f>IF(ISBLANK('Data Entry'!$Ñ$10), "", 'Data Entry'!$Ñ$10)</f>
      </c>
      <c r="EP10">
        <f>IF(ISBLANK('Data Entry'!$Ò$10), "", 'Data Entry'!$Ò$10)</f>
      </c>
      <c r="EQ10">
        <f>IF(ISBLANK('Data Entry'!$Ó$10), "", 'Data Entry'!$Ó$10)</f>
      </c>
      <c r="ER10">
        <f>IF(ISBLANK('Data Entry'!$Ô$10), "", 'Data Entry'!$Ô$10)</f>
      </c>
      <c r="ES10">
        <f>IF(ISBLANK('Data Entry'!$Õ$10), "", 'Data Entry'!$Õ$10)</f>
      </c>
      <c r="ET10">
        <f>IF(ISBLANK('Data Entry'!$Ö$10), "", 'Data Entry'!$Ö$10)</f>
      </c>
      <c r="EU10">
        <f>IF(ISBLANK('Data Entry'!$×$10), "", 'Data Entry'!$×$10)</f>
      </c>
      <c r="EV10">
        <f>IF(ISBLANK('Data Entry'!$Ø$10), "", 'Data Entry'!$Ø$10)</f>
      </c>
      <c r="EW10">
        <f>IF(ISBLANK('Data Entry'!$Ù$10), "", 'Data Entry'!$Ù$10)</f>
      </c>
      <c r="EX10">
        <f>IF(ISBLANK('Data Entry'!$Ú$10), "", 'Data Entry'!$Ú$10)</f>
      </c>
      <c r="EY10">
        <f>IF(ISBLANK('Data Entry'!$Û$10), "", 'Data Entry'!$Û$10)</f>
      </c>
      <c r="EZ10">
        <f>IF(ISBLANK('Data Entry'!$Ü$10), "", 'Data Entry'!$Ü$10)</f>
      </c>
      <c r="FA10">
        <f>IF(ISBLANK('Data Entry'!$Ý$10), "", 'Data Entry'!$Ý$10)</f>
      </c>
      <c r="FB10">
        <f>IF(ISBLANK('Data Entry'!$Þ$10), "", 'Data Entry'!$Þ$10)</f>
      </c>
      <c r="FC10">
        <f>IF(ISBLANK('Data Entry'!$ß$10), "", 'Data Entry'!$ß$10)</f>
      </c>
      <c r="FD10">
        <f>IF(ISBLANK('Data Entry'!$à$10), "", 'Data Entry'!$à$10)</f>
      </c>
      <c r="FE10">
        <f>IF(ISBLANK('Data Entry'!$á$10), "", 'Data Entry'!$á$10)</f>
      </c>
      <c r="FF10">
        <f>IF(ISBLANK('Data Entry'!$â$10), "", 'Data Entry'!$â$10)</f>
      </c>
      <c r="FG10">
        <f>IF(ISBLANK('Data Entry'!$ã$10), "", 'Data Entry'!$ã$10)</f>
      </c>
      <c r="FH10">
        <f>IF(ISBLANK('Data Entry'!$ä$10), "", 'Data Entry'!$ä$10)</f>
      </c>
      <c r="FI10">
        <f>IF(ISBLANK('Data Entry'!$å$10), "", 'Data Entry'!$å$10)</f>
      </c>
      <c r="FJ10">
        <f>IF(ISBLANK('Data Entry'!$æ$10), "", 'Data Entry'!$æ$10)</f>
      </c>
      <c r="FK10">
        <f>IF(ISBLANK('Data Entry'!$ç$10), "", 'Data Entry'!$ç$10)</f>
      </c>
      <c r="FL10">
        <f>IF(ISBLANK('Data Entry'!$è$10), "", 'Data Entry'!$è$10)</f>
      </c>
      <c r="FM10">
        <f>IF(ISBLANK('Data Entry'!$é$10), "", 'Data Entry'!$é$10)</f>
      </c>
      <c r="FN10">
        <f>IF(ISBLANK('Data Entry'!$ê$10), "", 'Data Entry'!$ê$10)</f>
      </c>
      <c r="FO10">
        <f>IF(ISBLANK('Data Entry'!$ë$10), "", 'Data Entry'!$ë$10)</f>
      </c>
      <c r="FP10">
        <f>IF(ISBLANK('Data Entry'!$ì$10), "", 'Data Entry'!$ì$10)</f>
      </c>
      <c r="FQ10">
        <f>IF(ISBLANK('Data Entry'!$í$10), "", 'Data Entry'!$í$10)</f>
      </c>
      <c r="FR10">
        <f>IF(ISBLANK('Data Entry'!$î$10), "", 'Data Entry'!$î$10)</f>
      </c>
      <c r="FS10">
        <f>IF(ISBLANK('Data Entry'!$ï$10), "", 'Data Entry'!$ï$10)</f>
      </c>
      <c r="FT10">
        <f>IF(ISBLANK('Data Entry'!$ð$10), "", 'Data Entry'!$ð$10)</f>
      </c>
      <c r="FU10">
        <f>IF(ISBLANK('Data Entry'!$ñ$10), "", 'Data Entry'!$ñ$10)</f>
      </c>
      <c r="FV10">
        <f>IF(ISBLANK('Data Entry'!$ò$10), "", 'Data Entry'!$ò$10)</f>
      </c>
      <c r="FW10">
        <f>IF(ISBLANK('Data Entry'!$ó$10), "", 'Data Entry'!$ó$10)</f>
      </c>
      <c r="FX10">
        <f>IF(ISBLANK('Data Entry'!$ô$10), "", 'Data Entry'!$ô$10)</f>
      </c>
      <c r="FY10">
        <f>IF(ISBLANK('Data Entry'!$õ$10), "", 'Data Entry'!$õ$10)</f>
      </c>
      <c r="FZ10">
        <f>IF(ISBLANK('Data Entry'!$ö$10), "", 'Data Entry'!$ö$10)</f>
      </c>
      <c r="GA10">
        <f>IF(ISBLANK('Data Entry'!$÷$10), "", 'Data Entry'!$÷$10)</f>
      </c>
      <c r="GB10">
        <f>IF(ISBLANK('Data Entry'!$ø$10), "", 'Data Entry'!$ø$10)</f>
      </c>
      <c r="GC10">
        <f>IF(ISBLANK('Data Entry'!$ù$10), "", 'Data Entry'!$ù$10)</f>
      </c>
      <c r="GD10">
        <f>IF(ISBLANK('Data Entry'!$ú$10), "", 'Data Entry'!$ú$10)</f>
      </c>
      <c r="GE10">
        <f>IF(ISBLANK('Data Entry'!$û$10), "", 'Data Entry'!$û$10)</f>
      </c>
      <c r="GF10">
        <f>IF(ISBLANK('Data Entry'!$ü$10), "", 'Data Entry'!$ü$10)</f>
      </c>
      <c r="GG10">
        <f>IF(ISBLANK('Data Entry'!$ý$10), "", 'Data Entry'!$ý$10)</f>
      </c>
      <c r="GH10">
        <f>IF(ISBLANK('Data Entry'!$þ$10), "", 'Data Entry'!$þ$10)</f>
      </c>
      <c r="GI10">
        <f>IF(ISBLANK('Data Entry'!$ÿ$10), "", 'Data Entry'!$ÿ$10)</f>
      </c>
      <c r="GJ10">
        <f>IF(ISBLANK('Data Entry'!$Ā$10), "", 'Data Entry'!$Ā$10)</f>
      </c>
      <c r="GK10">
        <f>IF(ISBLANK('Data Entry'!$ā$10), "", 'Data Entry'!$ā$10)</f>
      </c>
      <c r="GL10">
        <f>IF(ISBLANK('Data Entry'!$Ă$10), "", 'Data Entry'!$Ă$10)</f>
      </c>
      <c r="GM10">
        <f>IF(ISBLANK('Data Entry'!$ă$10), "", 'Data Entry'!$ă$10)</f>
      </c>
      <c r="GN10">
        <f>IF(ISBLANK('Data Entry'!$Ą$10), "", 'Data Entry'!$Ą$10)</f>
      </c>
      <c r="GO10">
        <f>IF(ISBLANK('Data Entry'!$ą$10), "", 'Data Entry'!$ą$10)</f>
      </c>
      <c r="GP10">
        <f>IF(ISBLANK('Data Entry'!$Ć$10), "", 'Data Entry'!$Ć$10)</f>
      </c>
      <c r="GQ10">
        <f>IF(ISBLANK('Data Entry'!$ć$10), "", 'Data Entry'!$ć$10)</f>
      </c>
      <c r="GR10">
        <f>IF(ISBLANK('Data Entry'!$Ĉ$10), "", 'Data Entry'!$Ĉ$10)</f>
      </c>
      <c r="GS10">
        <f>IF(ISBLANK('Data Entry'!$ĉ$10), "", 'Data Entry'!$ĉ$10)</f>
      </c>
      <c r="GT10">
        <f>IF(ISBLANK('Data Entry'!$Ċ$10), "", 'Data Entry'!$Ċ$10)</f>
      </c>
      <c r="GU10">
        <f>IF(ISBLANK('Data Entry'!$ċ$10), "", 'Data Entry'!$ċ$10)</f>
      </c>
      <c r="GV10">
        <f>IF(ISBLANK('Data Entry'!$Č$10), "", 'Data Entry'!$Č$10)</f>
      </c>
      <c r="GW10">
        <f>IF(ISBLANK('Data Entry'!$č$10), "", 'Data Entry'!$č$10)</f>
      </c>
      <c r="GX10">
        <f>IF(ISBLANK('Data Entry'!$Ď$10), "", 'Data Entry'!$Ď$10)</f>
      </c>
      <c r="GY10">
        <f>IF(ISBLANK('Data Entry'!$ď$10), "", 'Data Entry'!$ď$10)</f>
      </c>
      <c r="GZ10">
        <f>IF(ISBLANK('Data Entry'!$Đ$10), "", 'Data Entry'!$Đ$10)</f>
      </c>
      <c r="HA10">
        <f>IF(ISBLANK('Data Entry'!$đ$10), "", 'Data Entry'!$đ$10)</f>
      </c>
      <c r="HB10">
        <f>IF(ISBLANK('Data Entry'!$Ē$10), "", 'Data Entry'!$Ē$10)</f>
      </c>
      <c r="HC10">
        <f>IF(ISBLANK('Data Entry'!$ē$10), "", 'Data Entry'!$ē$10)</f>
      </c>
      <c r="HD10">
        <f>IF(ISBLANK('Data Entry'!$Ĕ$10), "", 'Data Entry'!$Ĕ$10)</f>
      </c>
      <c r="HE10">
        <f>IF(ISBLANK('Data Entry'!$ĕ$10), "", 'Data Entry'!$ĕ$10)</f>
      </c>
      <c r="HF10">
        <f>IF(ISBLANK('Data Entry'!$Ė$10), "", 'Data Entry'!$Ė$10)</f>
      </c>
      <c r="HG10">
        <f>IF(ISBLANK('Data Entry'!$ė$10), "", 'Data Entry'!$ė$10)</f>
      </c>
      <c r="HH10">
        <f>IF(ISBLANK('Data Entry'!$Ę$10), "", 'Data Entry'!$Ę$10)</f>
      </c>
      <c r="HI10">
        <f>IF(ISBLANK('Data Entry'!$ę$10), "", 'Data Entry'!$ę$10)</f>
      </c>
      <c r="HJ10">
        <f>IF(ISBLANK('Data Entry'!$Ě$10), "", 'Data Entry'!$Ě$10)</f>
      </c>
      <c r="HK10">
        <f>IF(ISBLANK('Data Entry'!$ě$10), "", 'Data Entry'!$ě$10)</f>
      </c>
      <c r="HL10">
        <f>IF(ISBLANK('Data Entry'!$Ĝ$10), "", 'Data Entry'!$Ĝ$10)</f>
      </c>
      <c r="HM10">
        <f>IF(ISBLANK('Data Entry'!$ĝ$10), "", 'Data Entry'!$ĝ$10)</f>
      </c>
      <c r="HN10">
        <f>IF(ISBLANK('Data Entry'!$Ğ$10), "", 'Data Entry'!$Ğ$10)</f>
      </c>
      <c r="HO10">
        <f>IF(ISBLANK('Data Entry'!$ğ$10), "", 'Data Entry'!$ğ$10)</f>
      </c>
      <c r="HP10">
        <f>IF(ISBLANK('Data Entry'!$Ġ$10), "", 'Data Entry'!$Ġ$10)</f>
      </c>
      <c r="HQ10">
        <f>IF(ISBLANK('Data Entry'!$ġ$10), "", 'Data Entry'!$ġ$10)</f>
      </c>
      <c r="HR10">
        <f>IF(ISBLANK('Data Entry'!$Ģ$10), "", 'Data Entry'!$Ģ$10)</f>
      </c>
      <c r="HS10">
        <f>IF(ISBLANK('Data Entry'!$ģ$10), "", 'Data Entry'!$ģ$10)</f>
      </c>
      <c r="HT10">
        <f>IF(ISBLANK('Data Entry'!$Ĥ$10), "", 'Data Entry'!$Ĥ$10)</f>
      </c>
      <c r="HU10">
        <f>IF(ISBLANK('Data Entry'!$ĥ$10), "", 'Data Entry'!$ĥ$10)</f>
      </c>
      <c r="HV10">
        <f>IF(ISBLANK('Data Entry'!$Ħ$10), "", 'Data Entry'!$Ħ$10)</f>
      </c>
      <c r="HW10">
        <f>IF(ISBLANK('Data Entry'!$ħ$10), "", 'Data Entry'!$ħ$10)</f>
      </c>
      <c r="HX10">
        <f>IF(ISBLANK('Data Entry'!$Ĩ$10), "", 'Data Entry'!$Ĩ$10)</f>
      </c>
      <c r="HY10">
        <f>IF(ISBLANK('Data Entry'!$ĩ$10), "", 'Data Entry'!$ĩ$10)</f>
      </c>
      <c r="HZ10">
        <f>IF(ISBLANK('Data Entry'!$Ī$10), "", 'Data Entry'!$Ī$10)</f>
      </c>
      <c r="IA10">
        <f>IF(ISBLANK('Data Entry'!$ī$10), "", 'Data Entry'!$ī$10)</f>
      </c>
      <c r="IB10">
        <f>IF(ISBLANK('Data Entry'!$Ĭ$10), "", 'Data Entry'!$Ĭ$10)</f>
      </c>
      <c r="IC10">
        <f>IF(ISBLANK('Data Entry'!$ĭ$10), "", 'Data Entry'!$ĭ$10)</f>
      </c>
      <c r="ID10">
        <f>IF(ISBLANK('Data Entry'!$Į$10), "", 'Data Entry'!$Į$10)</f>
      </c>
      <c r="IE10">
        <f>IF(ISBLANK('Data Entry'!$į$10), "", 'Data Entry'!$į$10)</f>
      </c>
      <c r="IF10">
        <f>IF(ISBLANK('Data Entry'!$İ$10), "", 'Data Entry'!$İ$10)</f>
      </c>
      <c r="IG10">
        <f>IF(ISBLANK('Data Entry'!$ı$10), "", 'Data Entry'!$ı$10)</f>
      </c>
      <c r="IH10">
        <f>IF(ISBLANK('Data Entry'!$Ĳ$10), "", 'Data Entry'!$Ĳ$10)</f>
      </c>
      <c r="II10">
        <f>IF(ISBLANK('Data Entry'!$ĳ$10), "", 'Data Entry'!$ĳ$10)</f>
      </c>
      <c r="IJ10">
        <f>IF(ISBLANK('Data Entry'!$Ĵ$10), "", 'Data Entry'!$Ĵ$10)</f>
      </c>
      <c r="IK10">
        <f>IF(ISBLANK('Data Entry'!$ĵ$10), "", 'Data Entry'!$ĵ$10)</f>
      </c>
      <c r="IL10">
        <f>IF(ISBLANK('Data Entry'!$Ķ$10), "", 'Data Entry'!$Ķ$10)</f>
      </c>
      <c r="IM10">
        <f>IF(ISBLANK('Data Entry'!$ķ$10), "", 'Data Entry'!$ķ$10)</f>
      </c>
      <c r="IN10">
        <f>IF(ISBLANK('Data Entry'!$ĸ$10), "", 'Data Entry'!$ĸ$10)</f>
      </c>
      <c r="IO10">
        <f>IF(ISBLANK('Data Entry'!$Ĺ$10), "", 'Data Entry'!$Ĺ$10)</f>
      </c>
      <c r="IP10">
        <f>IF(ISBLANK('Data Entry'!$ĺ$10), "", 'Data Entry'!$ĺ$10)</f>
      </c>
      <c r="IQ10">
        <f>IF(ISBLANK('Data Entry'!$Ļ$10), "", 'Data Entry'!$Ļ$10)</f>
      </c>
      <c r="IR10">
        <f>IF(ISBLANK('Data Entry'!$ļ$10), "", 'Data Entry'!$ļ$10)</f>
      </c>
      <c r="IS10">
        <f>IF(ISBLANK('Data Entry'!$Ľ$10), "", 'Data Entry'!$Ľ$10)</f>
      </c>
      <c r="IT10">
        <f>IF(ISBLANK('Data Entry'!$ľ$10), "", 'Data Entry'!$ľ$10)</f>
      </c>
    </row>
    <row r="11" spans="1:254" x14ac:dyDescent="0.25">
      <c r="A11">
        <f>IF(ISBLANK('Data Entry'!$A$11), "", 'Data Entry'!$A$11)</f>
      </c>
      <c r="B11">
        <f>IF(ISBLANK('Data Entry'!$B$11), "", 'Data Entry'!$B$11)</f>
      </c>
      <c r="C11">
        <f>IF(ISBLANK('Data Entry'!$C$11), "", 'Data Entry'!$C$11)</f>
      </c>
      <c r="D11">
        <f>IF(ISBLANK('Data Entry'!$D$11), "", 'Data Entry'!$D$11)</f>
      </c>
      <c r="E11">
        <f>IF(ISBLANK('Data Entry'!$E$11), "", 'Data Entry'!$E$11)</f>
      </c>
      <c r="F11">
        <f>IF(ISBLANK('Data Entry'!$F$11), "", 'Data Entry'!$F$11)</f>
      </c>
      <c r="G11">
        <f>IF(ISBLANK('Data Entry'!$G$11), "", 'Data Entry'!$G$11)</f>
      </c>
      <c r="H11">
        <f>IF(ISBLANK('Data Entry'!$H$11), "", 'Data Entry'!$H$11)</f>
      </c>
      <c r="I11">
        <f>IF(ISBLANK('Data Entry'!$I$11), "", 'Data Entry'!$I$11)</f>
      </c>
      <c r="J11">
        <f>IF(ISBLANK('Data Entry'!$J$11), "", 'Data Entry'!$J$11)</f>
      </c>
      <c r="K11">
        <f>IF(ISBLANK('Data Entry'!$K$11), "", 'Data Entry'!$K$11)</f>
      </c>
      <c r="L11">
        <f>IF(ISBLANK('Data Entry'!$L$11), "", 'Data Entry'!$L$11)</f>
      </c>
      <c r="M11">
        <f>IF(ISBLANK('Data Entry'!$M$11), "", 'Data Entry'!$M$11)</f>
      </c>
      <c r="N11">
        <f>IF(ISBLANK('Data Entry'!$N$11), "", 'Data Entry'!$N$11)</f>
      </c>
      <c r="O11">
        <f>IF(ISBLANK('Data Entry'!$O$11), "", 'Data Entry'!$O$11)</f>
      </c>
      <c r="P11">
        <f>IF(ISBLANK('Data Entry'!$P$11), "", 'Data Entry'!$P$11)</f>
      </c>
      <c r="Q11">
        <f>IF(ISBLANK('Data Entry'!$Q$11), "", 'Data Entry'!$Q$11)</f>
      </c>
      <c r="R11">
        <f>IF(ISBLANK('Data Entry'!$R$11), "", 'Data Entry'!$R$11)</f>
      </c>
      <c r="S11">
        <f>IF(ISBLANK('Data Entry'!$S$11), "", 'Data Entry'!$S$11)</f>
      </c>
      <c r="T11">
        <f>IF(ISBLANK('Data Entry'!$T$11), "", 'Data Entry'!$T$11)</f>
      </c>
      <c r="U11">
        <f>IF(ISBLANK('Data Entry'!$U$11), "", 'Data Entry'!$U$11)</f>
      </c>
      <c r="V11">
        <f>IF(ISBLANK('Data Entry'!$V$11), "", 'Data Entry'!$V$11)</f>
      </c>
      <c r="W11">
        <f>IF(ISBLANK('Data Entry'!$W$11), "", 'Data Entry'!$W$11)</f>
      </c>
      <c r="X11">
        <f>IF(ISBLANK('Data Entry'!$X$11), "", 'Data Entry'!$X$11)</f>
      </c>
      <c r="Y11">
        <f>IF(ISBLANK('Data Entry'!$Y$11), "", 'Data Entry'!$Y$11)</f>
      </c>
      <c r="Z11">
        <f>IF(ISBLANK('Data Entry'!$Z$11), "", 'Data Entry'!$Z$11)</f>
      </c>
      <c r="AA11">
        <f>IF(ISBLANK('Data Entry'!$[$11), "", 'Data Entry'!$[$11)</f>
      </c>
      <c r="AB11">
        <f>IF(ISBLANK('Data Entry'!$\$11), "", 'Data Entry'!$\$11)</f>
      </c>
      <c r="AC11">
        <f>IF(ISBLANK('Data Entry'!$]$11), "", 'Data Entry'!$]$11)</f>
      </c>
      <c r="AD11">
        <f>IF(ISBLANK('Data Entry'!$^$11), "", 'Data Entry'!$^$11)</f>
      </c>
      <c r="AE11">
        <f>IF(ISBLANK('Data Entry'!$_$11), "", 'Data Entry'!$_$11)</f>
      </c>
      <c r="AF11">
        <f>IF(ISBLANK('Data Entry'!$`$11), "", 'Data Entry'!$`$11)</f>
      </c>
      <c r="AG11">
        <f>IF(ISBLANK('Data Entry'!$a$11), "", 'Data Entry'!$a$11)</f>
      </c>
      <c r="AH11">
        <f>IF(ISBLANK('Data Entry'!$b$11), "", 'Data Entry'!$b$11)</f>
      </c>
      <c r="AI11">
        <f>IF(ISBLANK('Data Entry'!$c$11), "", 'Data Entry'!$c$11)</f>
      </c>
      <c r="AJ11">
        <f>IF(ISBLANK('Data Entry'!$d$11), "", 'Data Entry'!$d$11)</f>
      </c>
      <c r="AK11">
        <f>IF(ISBLANK('Data Entry'!$e$11), "", 'Data Entry'!$e$11)</f>
      </c>
      <c r="AL11">
        <f>IF(ISBLANK('Data Entry'!$f$11), "", 'Data Entry'!$f$11)</f>
      </c>
      <c r="AM11">
        <f>IF(ISBLANK('Data Entry'!$g$11), "", 'Data Entry'!$g$11)</f>
      </c>
      <c r="AN11">
        <f>IF(ISBLANK('Data Entry'!$h$11), "", 'Data Entry'!$h$11)</f>
      </c>
      <c r="AO11">
        <f>IF(ISBLANK('Data Entry'!$i$11), "", 'Data Entry'!$i$11)</f>
      </c>
      <c r="AP11">
        <f>IF(ISBLANK('Data Entry'!$j$11), "", 'Data Entry'!$j$11)</f>
      </c>
      <c r="AQ11">
        <f>IF(ISBLANK('Data Entry'!$k$11), "", 'Data Entry'!$k$11)</f>
      </c>
      <c r="AR11">
        <f>IF(ISBLANK('Data Entry'!$l$11), "", 'Data Entry'!$l$11)</f>
      </c>
      <c r="AS11">
        <f>IF(ISBLANK('Data Entry'!$m$11), "", 'Data Entry'!$m$11)</f>
      </c>
      <c r="AT11">
        <f>IF(ISBLANK('Data Entry'!$n$11), "", 'Data Entry'!$n$11)</f>
      </c>
      <c r="AU11">
        <f>IF(ISBLANK('Data Entry'!$o$11), "", 'Data Entry'!$o$11)</f>
      </c>
      <c r="AV11">
        <f>IF(ISBLANK('Data Entry'!$p$11), "", 'Data Entry'!$p$11)</f>
      </c>
      <c r="AW11">
        <f>IF(ISBLANK('Data Entry'!$q$11), "", 'Data Entry'!$q$11)</f>
      </c>
      <c r="AX11">
        <f>IF(ISBLANK('Data Entry'!$r$11), "", 'Data Entry'!$r$11)</f>
      </c>
      <c r="AY11">
        <f>IF(ISBLANK('Data Entry'!$s$11), "", 'Data Entry'!$s$11)</f>
      </c>
      <c r="AZ11">
        <f>IF(ISBLANK('Data Entry'!$t$11), "", 'Data Entry'!$t$11)</f>
      </c>
      <c r="BA11">
        <f>IF(ISBLANK('Data Entry'!$u$11), "", 'Data Entry'!$u$11)</f>
      </c>
      <c r="BB11">
        <f>IF(ISBLANK('Data Entry'!$v$11), "", 'Data Entry'!$v$11)</f>
      </c>
      <c r="BC11">
        <f>IF(ISBLANK('Data Entry'!$w$11), "", 'Data Entry'!$w$11)</f>
      </c>
      <c r="BD11">
        <f>IF(ISBLANK('Data Entry'!$x$11), "", 'Data Entry'!$x$11)</f>
      </c>
      <c r="BE11">
        <f>IF(ISBLANK('Data Entry'!$y$11), "", 'Data Entry'!$y$11)</f>
      </c>
      <c r="BF11">
        <f>IF(ISBLANK('Data Entry'!$z$11), "", 'Data Entry'!$z$11)</f>
      </c>
      <c r="BG11">
        <f>IF(ISBLANK('Data Entry'!${$11), "", 'Data Entry'!${$11)</f>
      </c>
      <c r="BH11">
        <f>IF(ISBLANK('Data Entry'!$|$11), "", 'Data Entry'!$|$11)</f>
      </c>
      <c r="BI11">
        <f>IF(ISBLANK('Data Entry'!$}$11), "", 'Data Entry'!$}$11)</f>
      </c>
      <c r="BJ11">
        <f>IF(ISBLANK('Data Entry'!$~$11), "", 'Data Entry'!$~$11)</f>
      </c>
      <c r="BK11">
        <f>IF(ISBLANK('Data Entry'!$$11), "", 'Data Entry'!$$11)</f>
      </c>
      <c r="BL11">
        <f>IF(ISBLANK('Data Entry'!$$11), "", 'Data Entry'!$$11)</f>
      </c>
      <c r="BM11">
        <f>IF(ISBLANK('Data Entry'!$$11), "", 'Data Entry'!$$11)</f>
      </c>
      <c r="BN11">
        <f>IF(ISBLANK('Data Entry'!$$11), "", 'Data Entry'!$$11)</f>
      </c>
      <c r="BO11">
        <f>IF(ISBLANK('Data Entry'!$$11), "", 'Data Entry'!$$11)</f>
      </c>
      <c r="BP11">
        <f>IF(ISBLANK('Data Entry'!$$11), "", 'Data Entry'!$$11)</f>
      </c>
      <c r="BQ11">
        <f>IF(ISBLANK('Data Entry'!$$11), "", 'Data Entry'!$$11)</f>
      </c>
      <c r="BR11">
        <f>IF(ISBLANK('Data Entry'!$$11), "", 'Data Entry'!$$11)</f>
      </c>
      <c r="BS11">
        <f>IF(ISBLANK('Data Entry'!$$11), "", 'Data Entry'!$$11)</f>
      </c>
      <c r="BT11">
        <f>IF(ISBLANK('Data Entry'!$$11), "", 'Data Entry'!$$11)</f>
      </c>
      <c r="BU11">
        <f>IF(ISBLANK('Data Entry'!$$11), "", 'Data Entry'!$$11)</f>
      </c>
      <c r="BV11">
        <f>IF(ISBLANK('Data Entry'!$$11), "", 'Data Entry'!$$11)</f>
      </c>
      <c r="BW11">
        <f>IF(ISBLANK('Data Entry'!$$11), "", 'Data Entry'!$$11)</f>
      </c>
      <c r="BX11">
        <f>IF(ISBLANK('Data Entry'!$$11), "", 'Data Entry'!$$11)</f>
      </c>
      <c r="BY11">
        <f>IF(ISBLANK('Data Entry'!$$11), "", 'Data Entry'!$$11)</f>
      </c>
      <c r="BZ11">
        <f>IF(ISBLANK('Data Entry'!$$11), "", 'Data Entry'!$$11)</f>
      </c>
      <c r="CA11">
        <f>IF(ISBLANK('Data Entry'!$$11), "", 'Data Entry'!$$11)</f>
      </c>
      <c r="CB11">
        <f>IF(ISBLANK('Data Entry'!$$11), "", 'Data Entry'!$$11)</f>
      </c>
      <c r="CC11">
        <f>IF(ISBLANK('Data Entry'!$$11), "", 'Data Entry'!$$11)</f>
      </c>
      <c r="CD11">
        <f>IF(ISBLANK('Data Entry'!$$11), "", 'Data Entry'!$$11)</f>
      </c>
      <c r="CE11">
        <f>IF(ISBLANK('Data Entry'!$$11), "", 'Data Entry'!$$11)</f>
      </c>
      <c r="CF11">
        <f>IF(ISBLANK('Data Entry'!$$11), "", 'Data Entry'!$$11)</f>
      </c>
      <c r="CG11">
        <f>IF(ISBLANK('Data Entry'!$$11), "", 'Data Entry'!$$11)</f>
      </c>
      <c r="CH11">
        <f>IF(ISBLANK('Data Entry'!$$11), "", 'Data Entry'!$$11)</f>
      </c>
      <c r="CI11">
        <f>IF(ISBLANK('Data Entry'!$$11), "", 'Data Entry'!$$11)</f>
      </c>
      <c r="CJ11">
        <f>IF(ISBLANK('Data Entry'!$$11), "", 'Data Entry'!$$11)</f>
      </c>
      <c r="CK11">
        <f>IF(ISBLANK('Data Entry'!$$11), "", 'Data Entry'!$$11)</f>
      </c>
      <c r="CL11">
        <f>IF(ISBLANK('Data Entry'!$$11), "", 'Data Entry'!$$11)</f>
      </c>
      <c r="CM11">
        <f>IF(ISBLANK('Data Entry'!$$11), "", 'Data Entry'!$$11)</f>
      </c>
      <c r="CN11">
        <f>IF(ISBLANK('Data Entry'!$$11), "", 'Data Entry'!$$11)</f>
      </c>
      <c r="CO11">
        <f>IF(ISBLANK('Data Entry'!$$11), "", 'Data Entry'!$$11)</f>
      </c>
      <c r="CP11">
        <f>IF(ISBLANK('Data Entry'!$$11), "", 'Data Entry'!$$11)</f>
      </c>
      <c r="CQ11">
        <f>IF(ISBLANK('Data Entry'!$$11), "", 'Data Entry'!$$11)</f>
      </c>
      <c r="CR11">
        <f>IF(ISBLANK('Data Entry'!$ $11), "", 'Data Entry'!$ $11)</f>
      </c>
      <c r="CS11">
        <f>IF(ISBLANK('Data Entry'!$¡$11), "", 'Data Entry'!$¡$11)</f>
      </c>
      <c r="CT11">
        <f>IF(ISBLANK('Data Entry'!$¢$11), "", 'Data Entry'!$¢$11)</f>
      </c>
      <c r="CU11">
        <f>IF(ISBLANK('Data Entry'!$£$11), "", 'Data Entry'!$£$11)</f>
      </c>
      <c r="CV11">
        <f>IF(ISBLANK('Data Entry'!$¤$11), "", 'Data Entry'!$¤$11)</f>
      </c>
      <c r="CW11">
        <f>IF(ISBLANK('Data Entry'!$¥$11), "", 'Data Entry'!$¥$11)</f>
      </c>
      <c r="CX11">
        <f>IF(ISBLANK('Data Entry'!$¦$11), "", 'Data Entry'!$¦$11)</f>
      </c>
      <c r="CY11">
        <f>IF(ISBLANK('Data Entry'!$§$11), "", 'Data Entry'!$§$11)</f>
      </c>
      <c r="CZ11">
        <f>IF(ISBLANK('Data Entry'!$¨$11), "", 'Data Entry'!$¨$11)</f>
      </c>
      <c r="DA11">
        <f>IF(ISBLANK('Data Entry'!$©$11), "", 'Data Entry'!$©$11)</f>
      </c>
      <c r="DB11">
        <f>IF(ISBLANK('Data Entry'!$ª$11), "", 'Data Entry'!$ª$11)</f>
      </c>
      <c r="DC11">
        <f>IF(ISBLANK('Data Entry'!$«$11), "", 'Data Entry'!$«$11)</f>
      </c>
      <c r="DD11">
        <f>IF(ISBLANK('Data Entry'!$¬$11), "", 'Data Entry'!$¬$11)</f>
      </c>
      <c r="DE11">
        <f>IF(ISBLANK('Data Entry'!$­$11), "", 'Data Entry'!$­$11)</f>
      </c>
      <c r="DF11">
        <f>IF(ISBLANK('Data Entry'!$®$11), "", 'Data Entry'!$®$11)</f>
      </c>
      <c r="DG11">
        <f>IF(ISBLANK('Data Entry'!$¯$11), "", 'Data Entry'!$¯$11)</f>
      </c>
      <c r="DH11">
        <f>IF(ISBLANK('Data Entry'!$°$11), "", 'Data Entry'!$°$11)</f>
      </c>
      <c r="DI11">
        <f>IF(ISBLANK('Data Entry'!$±$11), "", 'Data Entry'!$±$11)</f>
      </c>
      <c r="DJ11">
        <f>IF(ISBLANK('Data Entry'!$²$11), "", 'Data Entry'!$²$11)</f>
      </c>
      <c r="DK11">
        <f>IF(ISBLANK('Data Entry'!$³$11), "", 'Data Entry'!$³$11)</f>
      </c>
      <c r="DL11">
        <f>IF(ISBLANK('Data Entry'!$´$11), "", 'Data Entry'!$´$11)</f>
      </c>
      <c r="DM11">
        <f>IF(ISBLANK('Data Entry'!$µ$11), "", 'Data Entry'!$µ$11)</f>
      </c>
      <c r="DN11">
        <f>IF(ISBLANK('Data Entry'!$¶$11), "", 'Data Entry'!$¶$11)</f>
      </c>
      <c r="DO11">
        <f>IF(ISBLANK('Data Entry'!$·$11), "", 'Data Entry'!$·$11)</f>
      </c>
      <c r="DP11">
        <f>IF(ISBLANK('Data Entry'!$¸$11), "", 'Data Entry'!$¸$11)</f>
      </c>
      <c r="DQ11">
        <f>IF(ISBLANK('Data Entry'!$¹$11), "", 'Data Entry'!$¹$11)</f>
      </c>
      <c r="DR11">
        <f>IF(ISBLANK('Data Entry'!$º$11), "", 'Data Entry'!$º$11)</f>
      </c>
      <c r="DS11">
        <f>IF(ISBLANK('Data Entry'!$»$11), "", 'Data Entry'!$»$11)</f>
      </c>
      <c r="DT11">
        <f>IF(ISBLANK('Data Entry'!$¼$11), "", 'Data Entry'!$¼$11)</f>
      </c>
      <c r="DU11">
        <f>IF(ISBLANK('Data Entry'!$½$11), "", 'Data Entry'!$½$11)</f>
      </c>
      <c r="DV11">
        <f>IF(ISBLANK('Data Entry'!$¾$11), "", 'Data Entry'!$¾$11)</f>
      </c>
      <c r="DW11">
        <f>IF(ISBLANK('Data Entry'!$¿$11), "", 'Data Entry'!$¿$11)</f>
      </c>
      <c r="DX11">
        <f>IF(ISBLANK('Data Entry'!$À$11), "", 'Data Entry'!$À$11)</f>
      </c>
      <c r="DY11">
        <f>IF(ISBLANK('Data Entry'!$Á$11), "", 'Data Entry'!$Á$11)</f>
      </c>
      <c r="DZ11">
        <f>IF(ISBLANK('Data Entry'!$Â$11), "", 'Data Entry'!$Â$11)</f>
      </c>
      <c r="EA11">
        <f>IF(ISBLANK('Data Entry'!$Ã$11), "", 'Data Entry'!$Ã$11)</f>
      </c>
      <c r="EB11">
        <f>IF(ISBLANK('Data Entry'!$Ä$11), "", 'Data Entry'!$Ä$11)</f>
      </c>
      <c r="EC11">
        <f>IF(ISBLANK('Data Entry'!$Å$11), "", 'Data Entry'!$Å$11)</f>
      </c>
      <c r="ED11">
        <f>IF(ISBLANK('Data Entry'!$Æ$11), "", 'Data Entry'!$Æ$11)</f>
      </c>
      <c r="EE11">
        <f>IF(ISBLANK('Data Entry'!$Ç$11), "", 'Data Entry'!$Ç$11)</f>
      </c>
      <c r="EF11">
        <f>IF(ISBLANK('Data Entry'!$È$11), "", 'Data Entry'!$È$11)</f>
      </c>
      <c r="EG11">
        <f>IF(ISBLANK('Data Entry'!$É$11), "", 'Data Entry'!$É$11)</f>
      </c>
      <c r="EH11">
        <f>IF(ISBLANK('Data Entry'!$Ê$11), "", 'Data Entry'!$Ê$11)</f>
      </c>
      <c r="EI11">
        <f>IF(ISBLANK('Data Entry'!$Ë$11), "", 'Data Entry'!$Ë$11)</f>
      </c>
      <c r="EJ11">
        <f>IF(ISBLANK('Data Entry'!$Ì$11), "", 'Data Entry'!$Ì$11)</f>
      </c>
      <c r="EK11">
        <f>IF(ISBLANK('Data Entry'!$Í$11), "", 'Data Entry'!$Í$11)</f>
      </c>
      <c r="EL11">
        <f>IF(ISBLANK('Data Entry'!$Î$11), "", 'Data Entry'!$Î$11)</f>
      </c>
      <c r="EM11">
        <f>IF(ISBLANK('Data Entry'!$Ï$11), "", 'Data Entry'!$Ï$11)</f>
      </c>
      <c r="EN11">
        <f>IF(ISBLANK('Data Entry'!$Ð$11), "", 'Data Entry'!$Ð$11)</f>
      </c>
      <c r="EO11">
        <f>IF(ISBLANK('Data Entry'!$Ñ$11), "", 'Data Entry'!$Ñ$11)</f>
      </c>
      <c r="EP11">
        <f>IF(ISBLANK('Data Entry'!$Ò$11), "", 'Data Entry'!$Ò$11)</f>
      </c>
      <c r="EQ11">
        <f>IF(ISBLANK('Data Entry'!$Ó$11), "", 'Data Entry'!$Ó$11)</f>
      </c>
      <c r="ER11">
        <f>IF(ISBLANK('Data Entry'!$Ô$11), "", 'Data Entry'!$Ô$11)</f>
      </c>
      <c r="ES11">
        <f>IF(ISBLANK('Data Entry'!$Õ$11), "", 'Data Entry'!$Õ$11)</f>
      </c>
      <c r="ET11">
        <f>IF(ISBLANK('Data Entry'!$Ö$11), "", 'Data Entry'!$Ö$11)</f>
      </c>
      <c r="EU11">
        <f>IF(ISBLANK('Data Entry'!$×$11), "", 'Data Entry'!$×$11)</f>
      </c>
      <c r="EV11">
        <f>IF(ISBLANK('Data Entry'!$Ø$11), "", 'Data Entry'!$Ø$11)</f>
      </c>
      <c r="EW11">
        <f>IF(ISBLANK('Data Entry'!$Ù$11), "", 'Data Entry'!$Ù$11)</f>
      </c>
      <c r="EX11">
        <f>IF(ISBLANK('Data Entry'!$Ú$11), "", 'Data Entry'!$Ú$11)</f>
      </c>
      <c r="EY11">
        <f>IF(ISBLANK('Data Entry'!$Û$11), "", 'Data Entry'!$Û$11)</f>
      </c>
      <c r="EZ11">
        <f>IF(ISBLANK('Data Entry'!$Ü$11), "", 'Data Entry'!$Ü$11)</f>
      </c>
      <c r="FA11">
        <f>IF(ISBLANK('Data Entry'!$Ý$11), "", 'Data Entry'!$Ý$11)</f>
      </c>
      <c r="FB11">
        <f>IF(ISBLANK('Data Entry'!$Þ$11), "", 'Data Entry'!$Þ$11)</f>
      </c>
      <c r="FC11">
        <f>IF(ISBLANK('Data Entry'!$ß$11), "", 'Data Entry'!$ß$11)</f>
      </c>
      <c r="FD11">
        <f>IF(ISBLANK('Data Entry'!$à$11), "", 'Data Entry'!$à$11)</f>
      </c>
      <c r="FE11">
        <f>IF(ISBLANK('Data Entry'!$á$11), "", 'Data Entry'!$á$11)</f>
      </c>
      <c r="FF11">
        <f>IF(ISBLANK('Data Entry'!$â$11), "", 'Data Entry'!$â$11)</f>
      </c>
      <c r="FG11">
        <f>IF(ISBLANK('Data Entry'!$ã$11), "", 'Data Entry'!$ã$11)</f>
      </c>
      <c r="FH11">
        <f>IF(ISBLANK('Data Entry'!$ä$11), "", 'Data Entry'!$ä$11)</f>
      </c>
      <c r="FI11">
        <f>IF(ISBLANK('Data Entry'!$å$11), "", 'Data Entry'!$å$11)</f>
      </c>
      <c r="FJ11">
        <f>IF(ISBLANK('Data Entry'!$æ$11), "", 'Data Entry'!$æ$11)</f>
      </c>
      <c r="FK11">
        <f>IF(ISBLANK('Data Entry'!$ç$11), "", 'Data Entry'!$ç$11)</f>
      </c>
      <c r="FL11">
        <f>IF(ISBLANK('Data Entry'!$è$11), "", 'Data Entry'!$è$11)</f>
      </c>
      <c r="FM11">
        <f>IF(ISBLANK('Data Entry'!$é$11), "", 'Data Entry'!$é$11)</f>
      </c>
      <c r="FN11">
        <f>IF(ISBLANK('Data Entry'!$ê$11), "", 'Data Entry'!$ê$11)</f>
      </c>
      <c r="FO11">
        <f>IF(ISBLANK('Data Entry'!$ë$11), "", 'Data Entry'!$ë$11)</f>
      </c>
      <c r="FP11">
        <f>IF(ISBLANK('Data Entry'!$ì$11), "", 'Data Entry'!$ì$11)</f>
      </c>
      <c r="FQ11">
        <f>IF(ISBLANK('Data Entry'!$í$11), "", 'Data Entry'!$í$11)</f>
      </c>
      <c r="FR11">
        <f>IF(ISBLANK('Data Entry'!$î$11), "", 'Data Entry'!$î$11)</f>
      </c>
      <c r="FS11">
        <f>IF(ISBLANK('Data Entry'!$ï$11), "", 'Data Entry'!$ï$11)</f>
      </c>
      <c r="FT11">
        <f>IF(ISBLANK('Data Entry'!$ð$11), "", 'Data Entry'!$ð$11)</f>
      </c>
      <c r="FU11">
        <f>IF(ISBLANK('Data Entry'!$ñ$11), "", 'Data Entry'!$ñ$11)</f>
      </c>
      <c r="FV11">
        <f>IF(ISBLANK('Data Entry'!$ò$11), "", 'Data Entry'!$ò$11)</f>
      </c>
      <c r="FW11">
        <f>IF(ISBLANK('Data Entry'!$ó$11), "", 'Data Entry'!$ó$11)</f>
      </c>
      <c r="FX11">
        <f>IF(ISBLANK('Data Entry'!$ô$11), "", 'Data Entry'!$ô$11)</f>
      </c>
      <c r="FY11">
        <f>IF(ISBLANK('Data Entry'!$õ$11), "", 'Data Entry'!$õ$11)</f>
      </c>
      <c r="FZ11">
        <f>IF(ISBLANK('Data Entry'!$ö$11), "", 'Data Entry'!$ö$11)</f>
      </c>
      <c r="GA11">
        <f>IF(ISBLANK('Data Entry'!$÷$11), "", 'Data Entry'!$÷$11)</f>
      </c>
      <c r="GB11">
        <f>IF(ISBLANK('Data Entry'!$ø$11), "", 'Data Entry'!$ø$11)</f>
      </c>
      <c r="GC11">
        <f>IF(ISBLANK('Data Entry'!$ù$11), "", 'Data Entry'!$ù$11)</f>
      </c>
      <c r="GD11">
        <f>IF(ISBLANK('Data Entry'!$ú$11), "", 'Data Entry'!$ú$11)</f>
      </c>
      <c r="GE11">
        <f>IF(ISBLANK('Data Entry'!$û$11), "", 'Data Entry'!$û$11)</f>
      </c>
      <c r="GF11">
        <f>IF(ISBLANK('Data Entry'!$ü$11), "", 'Data Entry'!$ü$11)</f>
      </c>
      <c r="GG11">
        <f>IF(ISBLANK('Data Entry'!$ý$11), "", 'Data Entry'!$ý$11)</f>
      </c>
      <c r="GH11">
        <f>IF(ISBLANK('Data Entry'!$þ$11), "", 'Data Entry'!$þ$11)</f>
      </c>
      <c r="GI11">
        <f>IF(ISBLANK('Data Entry'!$ÿ$11), "", 'Data Entry'!$ÿ$11)</f>
      </c>
      <c r="GJ11">
        <f>IF(ISBLANK('Data Entry'!$Ā$11), "", 'Data Entry'!$Ā$11)</f>
      </c>
      <c r="GK11">
        <f>IF(ISBLANK('Data Entry'!$ā$11), "", 'Data Entry'!$ā$11)</f>
      </c>
      <c r="GL11">
        <f>IF(ISBLANK('Data Entry'!$Ă$11), "", 'Data Entry'!$Ă$11)</f>
      </c>
      <c r="GM11">
        <f>IF(ISBLANK('Data Entry'!$ă$11), "", 'Data Entry'!$ă$11)</f>
      </c>
      <c r="GN11">
        <f>IF(ISBLANK('Data Entry'!$Ą$11), "", 'Data Entry'!$Ą$11)</f>
      </c>
      <c r="GO11">
        <f>IF(ISBLANK('Data Entry'!$ą$11), "", 'Data Entry'!$ą$11)</f>
      </c>
      <c r="GP11">
        <f>IF(ISBLANK('Data Entry'!$Ć$11), "", 'Data Entry'!$Ć$11)</f>
      </c>
      <c r="GQ11">
        <f>IF(ISBLANK('Data Entry'!$ć$11), "", 'Data Entry'!$ć$11)</f>
      </c>
      <c r="GR11">
        <f>IF(ISBLANK('Data Entry'!$Ĉ$11), "", 'Data Entry'!$Ĉ$11)</f>
      </c>
      <c r="GS11">
        <f>IF(ISBLANK('Data Entry'!$ĉ$11), "", 'Data Entry'!$ĉ$11)</f>
      </c>
      <c r="GT11">
        <f>IF(ISBLANK('Data Entry'!$Ċ$11), "", 'Data Entry'!$Ċ$11)</f>
      </c>
      <c r="GU11">
        <f>IF(ISBLANK('Data Entry'!$ċ$11), "", 'Data Entry'!$ċ$11)</f>
      </c>
      <c r="GV11">
        <f>IF(ISBLANK('Data Entry'!$Č$11), "", 'Data Entry'!$Č$11)</f>
      </c>
      <c r="GW11">
        <f>IF(ISBLANK('Data Entry'!$č$11), "", 'Data Entry'!$č$11)</f>
      </c>
      <c r="GX11">
        <f>IF(ISBLANK('Data Entry'!$Ď$11), "", 'Data Entry'!$Ď$11)</f>
      </c>
      <c r="GY11">
        <f>IF(ISBLANK('Data Entry'!$ď$11), "", 'Data Entry'!$ď$11)</f>
      </c>
      <c r="GZ11">
        <f>IF(ISBLANK('Data Entry'!$Đ$11), "", 'Data Entry'!$Đ$11)</f>
      </c>
      <c r="HA11">
        <f>IF(ISBLANK('Data Entry'!$đ$11), "", 'Data Entry'!$đ$11)</f>
      </c>
      <c r="HB11">
        <f>IF(ISBLANK('Data Entry'!$Ē$11), "", 'Data Entry'!$Ē$11)</f>
      </c>
      <c r="HC11">
        <f>IF(ISBLANK('Data Entry'!$ē$11), "", 'Data Entry'!$ē$11)</f>
      </c>
      <c r="HD11">
        <f>IF(ISBLANK('Data Entry'!$Ĕ$11), "", 'Data Entry'!$Ĕ$11)</f>
      </c>
      <c r="HE11">
        <f>IF(ISBLANK('Data Entry'!$ĕ$11), "", 'Data Entry'!$ĕ$11)</f>
      </c>
      <c r="HF11">
        <f>IF(ISBLANK('Data Entry'!$Ė$11), "", 'Data Entry'!$Ė$11)</f>
      </c>
      <c r="HG11">
        <f>IF(ISBLANK('Data Entry'!$ė$11), "", 'Data Entry'!$ė$11)</f>
      </c>
      <c r="HH11">
        <f>IF(ISBLANK('Data Entry'!$Ę$11), "", 'Data Entry'!$Ę$11)</f>
      </c>
      <c r="HI11">
        <f>IF(ISBLANK('Data Entry'!$ę$11), "", 'Data Entry'!$ę$11)</f>
      </c>
      <c r="HJ11">
        <f>IF(ISBLANK('Data Entry'!$Ě$11), "", 'Data Entry'!$Ě$11)</f>
      </c>
      <c r="HK11">
        <f>IF(ISBLANK('Data Entry'!$ě$11), "", 'Data Entry'!$ě$11)</f>
      </c>
      <c r="HL11">
        <f>IF(ISBLANK('Data Entry'!$Ĝ$11), "", 'Data Entry'!$Ĝ$11)</f>
      </c>
      <c r="HM11">
        <f>IF(ISBLANK('Data Entry'!$ĝ$11), "", 'Data Entry'!$ĝ$11)</f>
      </c>
      <c r="HN11">
        <f>IF(ISBLANK('Data Entry'!$Ğ$11), "", 'Data Entry'!$Ğ$11)</f>
      </c>
      <c r="HO11">
        <f>IF(ISBLANK('Data Entry'!$ğ$11), "", 'Data Entry'!$ğ$11)</f>
      </c>
      <c r="HP11">
        <f>IF(ISBLANK('Data Entry'!$Ġ$11), "", 'Data Entry'!$Ġ$11)</f>
      </c>
      <c r="HQ11">
        <f>IF(ISBLANK('Data Entry'!$ġ$11), "", 'Data Entry'!$ġ$11)</f>
      </c>
      <c r="HR11">
        <f>IF(ISBLANK('Data Entry'!$Ģ$11), "", 'Data Entry'!$Ģ$11)</f>
      </c>
      <c r="HS11">
        <f>IF(ISBLANK('Data Entry'!$ģ$11), "", 'Data Entry'!$ģ$11)</f>
      </c>
      <c r="HT11">
        <f>IF(ISBLANK('Data Entry'!$Ĥ$11), "", 'Data Entry'!$Ĥ$11)</f>
      </c>
      <c r="HU11">
        <f>IF(ISBLANK('Data Entry'!$ĥ$11), "", 'Data Entry'!$ĥ$11)</f>
      </c>
      <c r="HV11">
        <f>IF(ISBLANK('Data Entry'!$Ħ$11), "", 'Data Entry'!$Ħ$11)</f>
      </c>
      <c r="HW11">
        <f>IF(ISBLANK('Data Entry'!$ħ$11), "", 'Data Entry'!$ħ$11)</f>
      </c>
      <c r="HX11">
        <f>IF(ISBLANK('Data Entry'!$Ĩ$11), "", 'Data Entry'!$Ĩ$11)</f>
      </c>
      <c r="HY11">
        <f>IF(ISBLANK('Data Entry'!$ĩ$11), "", 'Data Entry'!$ĩ$11)</f>
      </c>
      <c r="HZ11">
        <f>IF(ISBLANK('Data Entry'!$Ī$11), "", 'Data Entry'!$Ī$11)</f>
      </c>
      <c r="IA11">
        <f>IF(ISBLANK('Data Entry'!$ī$11), "", 'Data Entry'!$ī$11)</f>
      </c>
      <c r="IB11">
        <f>IF(ISBLANK('Data Entry'!$Ĭ$11), "", 'Data Entry'!$Ĭ$11)</f>
      </c>
      <c r="IC11">
        <f>IF(ISBLANK('Data Entry'!$ĭ$11), "", 'Data Entry'!$ĭ$11)</f>
      </c>
      <c r="ID11">
        <f>IF(ISBLANK('Data Entry'!$Į$11), "", 'Data Entry'!$Į$11)</f>
      </c>
      <c r="IE11">
        <f>IF(ISBLANK('Data Entry'!$į$11), "", 'Data Entry'!$į$11)</f>
      </c>
      <c r="IF11">
        <f>IF(ISBLANK('Data Entry'!$İ$11), "", 'Data Entry'!$İ$11)</f>
      </c>
      <c r="IG11">
        <f>IF(ISBLANK('Data Entry'!$ı$11), "", 'Data Entry'!$ı$11)</f>
      </c>
      <c r="IH11">
        <f>IF(ISBLANK('Data Entry'!$Ĳ$11), "", 'Data Entry'!$Ĳ$11)</f>
      </c>
      <c r="II11">
        <f>IF(ISBLANK('Data Entry'!$ĳ$11), "", 'Data Entry'!$ĳ$11)</f>
      </c>
      <c r="IJ11">
        <f>IF(ISBLANK('Data Entry'!$Ĵ$11), "", 'Data Entry'!$Ĵ$11)</f>
      </c>
      <c r="IK11">
        <f>IF(ISBLANK('Data Entry'!$ĵ$11), "", 'Data Entry'!$ĵ$11)</f>
      </c>
      <c r="IL11">
        <f>IF(ISBLANK('Data Entry'!$Ķ$11), "", 'Data Entry'!$Ķ$11)</f>
      </c>
      <c r="IM11">
        <f>IF(ISBLANK('Data Entry'!$ķ$11), "", 'Data Entry'!$ķ$11)</f>
      </c>
      <c r="IN11">
        <f>IF(ISBLANK('Data Entry'!$ĸ$11), "", 'Data Entry'!$ĸ$11)</f>
      </c>
      <c r="IO11">
        <f>IF(ISBLANK('Data Entry'!$Ĺ$11), "", 'Data Entry'!$Ĺ$11)</f>
      </c>
      <c r="IP11">
        <f>IF(ISBLANK('Data Entry'!$ĺ$11), "", 'Data Entry'!$ĺ$11)</f>
      </c>
      <c r="IQ11">
        <f>IF(ISBLANK('Data Entry'!$Ļ$11), "", 'Data Entry'!$Ļ$11)</f>
      </c>
      <c r="IR11">
        <f>IF(ISBLANK('Data Entry'!$ļ$11), "", 'Data Entry'!$ļ$11)</f>
      </c>
      <c r="IS11">
        <f>IF(ISBLANK('Data Entry'!$Ľ$11), "", 'Data Entry'!$Ľ$11)</f>
      </c>
      <c r="IT11">
        <f>IF(ISBLANK('Data Entry'!$ľ$11), "", 'Data Entry'!$ľ$11)</f>
      </c>
    </row>
    <row r="12" spans="1:254" x14ac:dyDescent="0.25">
      <c r="A12">
        <f>IF(ISBLANK('Data Entry'!$A$12), "", 'Data Entry'!$A$12)</f>
      </c>
      <c r="B12">
        <f>IF(ISBLANK('Data Entry'!$B$12), "", 'Data Entry'!$B$12)</f>
      </c>
      <c r="C12">
        <f>IF(ISBLANK('Data Entry'!$C$12), "", 'Data Entry'!$C$12)</f>
      </c>
      <c r="D12">
        <f>IF(ISBLANK('Data Entry'!$D$12), "", 'Data Entry'!$D$12)</f>
      </c>
      <c r="E12">
        <f>IF(ISBLANK('Data Entry'!$E$12), "", 'Data Entry'!$E$12)</f>
      </c>
      <c r="F12">
        <f>IF(ISBLANK('Data Entry'!$F$12), "", 'Data Entry'!$F$12)</f>
      </c>
      <c r="G12">
        <f>IF(ISBLANK('Data Entry'!$G$12), "", 'Data Entry'!$G$12)</f>
      </c>
      <c r="H12">
        <f>IF(ISBLANK('Data Entry'!$H$12), "", 'Data Entry'!$H$12)</f>
      </c>
      <c r="I12">
        <f>IF(ISBLANK('Data Entry'!$I$12), "", 'Data Entry'!$I$12)</f>
      </c>
      <c r="J12">
        <f>IF(ISBLANK('Data Entry'!$J$12), "", 'Data Entry'!$J$12)</f>
      </c>
      <c r="K12">
        <f>IF(ISBLANK('Data Entry'!$K$12), "", 'Data Entry'!$K$12)</f>
      </c>
      <c r="L12">
        <f>IF(ISBLANK('Data Entry'!$L$12), "", 'Data Entry'!$L$12)</f>
      </c>
      <c r="M12">
        <f>IF(ISBLANK('Data Entry'!$M$12), "", 'Data Entry'!$M$12)</f>
      </c>
      <c r="N12">
        <f>IF(ISBLANK('Data Entry'!$N$12), "", 'Data Entry'!$N$12)</f>
      </c>
      <c r="O12">
        <f>IF(ISBLANK('Data Entry'!$O$12), "", 'Data Entry'!$O$12)</f>
      </c>
      <c r="P12">
        <f>IF(ISBLANK('Data Entry'!$P$12), "", 'Data Entry'!$P$12)</f>
      </c>
      <c r="Q12">
        <f>IF(ISBLANK('Data Entry'!$Q$12), "", 'Data Entry'!$Q$12)</f>
      </c>
      <c r="R12">
        <f>IF(ISBLANK('Data Entry'!$R$12), "", 'Data Entry'!$R$12)</f>
      </c>
      <c r="S12">
        <f>IF(ISBLANK('Data Entry'!$S$12), "", 'Data Entry'!$S$12)</f>
      </c>
      <c r="T12">
        <f>IF(ISBLANK('Data Entry'!$T$12), "", 'Data Entry'!$T$12)</f>
      </c>
      <c r="U12">
        <f>IF(ISBLANK('Data Entry'!$U$12), "", 'Data Entry'!$U$12)</f>
      </c>
      <c r="V12">
        <f>IF(ISBLANK('Data Entry'!$V$12), "", 'Data Entry'!$V$12)</f>
      </c>
      <c r="W12">
        <f>IF(ISBLANK('Data Entry'!$W$12), "", 'Data Entry'!$W$12)</f>
      </c>
      <c r="X12">
        <f>IF(ISBLANK('Data Entry'!$X$12), "", 'Data Entry'!$X$12)</f>
      </c>
      <c r="Y12">
        <f>IF(ISBLANK('Data Entry'!$Y$12), "", 'Data Entry'!$Y$12)</f>
      </c>
      <c r="Z12">
        <f>IF(ISBLANK('Data Entry'!$Z$12), "", 'Data Entry'!$Z$12)</f>
      </c>
      <c r="AA12">
        <f>IF(ISBLANK('Data Entry'!$[$12), "", 'Data Entry'!$[$12)</f>
      </c>
      <c r="AB12">
        <f>IF(ISBLANK('Data Entry'!$\$12), "", 'Data Entry'!$\$12)</f>
      </c>
      <c r="AC12">
        <f>IF(ISBLANK('Data Entry'!$]$12), "", 'Data Entry'!$]$12)</f>
      </c>
      <c r="AD12">
        <f>IF(ISBLANK('Data Entry'!$^$12), "", 'Data Entry'!$^$12)</f>
      </c>
      <c r="AE12">
        <f>IF(ISBLANK('Data Entry'!$_$12), "", 'Data Entry'!$_$12)</f>
      </c>
      <c r="AF12">
        <f>IF(ISBLANK('Data Entry'!$`$12), "", 'Data Entry'!$`$12)</f>
      </c>
      <c r="AG12">
        <f>IF(ISBLANK('Data Entry'!$a$12), "", 'Data Entry'!$a$12)</f>
      </c>
      <c r="AH12">
        <f>IF(ISBLANK('Data Entry'!$b$12), "", 'Data Entry'!$b$12)</f>
      </c>
      <c r="AI12">
        <f>IF(ISBLANK('Data Entry'!$c$12), "", 'Data Entry'!$c$12)</f>
      </c>
      <c r="AJ12">
        <f>IF(ISBLANK('Data Entry'!$d$12), "", 'Data Entry'!$d$12)</f>
      </c>
      <c r="AK12">
        <f>IF(ISBLANK('Data Entry'!$e$12), "", 'Data Entry'!$e$12)</f>
      </c>
      <c r="AL12">
        <f>IF(ISBLANK('Data Entry'!$f$12), "", 'Data Entry'!$f$12)</f>
      </c>
      <c r="AM12">
        <f>IF(ISBLANK('Data Entry'!$g$12), "", 'Data Entry'!$g$12)</f>
      </c>
      <c r="AN12">
        <f>IF(ISBLANK('Data Entry'!$h$12), "", 'Data Entry'!$h$12)</f>
      </c>
      <c r="AO12">
        <f>IF(ISBLANK('Data Entry'!$i$12), "", 'Data Entry'!$i$12)</f>
      </c>
      <c r="AP12">
        <f>IF(ISBLANK('Data Entry'!$j$12), "", 'Data Entry'!$j$12)</f>
      </c>
      <c r="AQ12">
        <f>IF(ISBLANK('Data Entry'!$k$12), "", 'Data Entry'!$k$12)</f>
      </c>
      <c r="AR12">
        <f>IF(ISBLANK('Data Entry'!$l$12), "", 'Data Entry'!$l$12)</f>
      </c>
      <c r="AS12">
        <f>IF(ISBLANK('Data Entry'!$m$12), "", 'Data Entry'!$m$12)</f>
      </c>
      <c r="AT12">
        <f>IF(ISBLANK('Data Entry'!$n$12), "", 'Data Entry'!$n$12)</f>
      </c>
      <c r="AU12">
        <f>IF(ISBLANK('Data Entry'!$o$12), "", 'Data Entry'!$o$12)</f>
      </c>
      <c r="AV12">
        <f>IF(ISBLANK('Data Entry'!$p$12), "", 'Data Entry'!$p$12)</f>
      </c>
      <c r="AW12">
        <f>IF(ISBLANK('Data Entry'!$q$12), "", 'Data Entry'!$q$12)</f>
      </c>
      <c r="AX12">
        <f>IF(ISBLANK('Data Entry'!$r$12), "", 'Data Entry'!$r$12)</f>
      </c>
      <c r="AY12">
        <f>IF(ISBLANK('Data Entry'!$s$12), "", 'Data Entry'!$s$12)</f>
      </c>
      <c r="AZ12">
        <f>IF(ISBLANK('Data Entry'!$t$12), "", 'Data Entry'!$t$12)</f>
      </c>
      <c r="BA12">
        <f>IF(ISBLANK('Data Entry'!$u$12), "", 'Data Entry'!$u$12)</f>
      </c>
      <c r="BB12">
        <f>IF(ISBLANK('Data Entry'!$v$12), "", 'Data Entry'!$v$12)</f>
      </c>
      <c r="BC12">
        <f>IF(ISBLANK('Data Entry'!$w$12), "", 'Data Entry'!$w$12)</f>
      </c>
      <c r="BD12">
        <f>IF(ISBLANK('Data Entry'!$x$12), "", 'Data Entry'!$x$12)</f>
      </c>
      <c r="BE12">
        <f>IF(ISBLANK('Data Entry'!$y$12), "", 'Data Entry'!$y$12)</f>
      </c>
      <c r="BF12">
        <f>IF(ISBLANK('Data Entry'!$z$12), "", 'Data Entry'!$z$12)</f>
      </c>
      <c r="BG12">
        <f>IF(ISBLANK('Data Entry'!${$12), "", 'Data Entry'!${$12)</f>
      </c>
      <c r="BH12">
        <f>IF(ISBLANK('Data Entry'!$|$12), "", 'Data Entry'!$|$12)</f>
      </c>
      <c r="BI12">
        <f>IF(ISBLANK('Data Entry'!$}$12), "", 'Data Entry'!$}$12)</f>
      </c>
      <c r="BJ12">
        <f>IF(ISBLANK('Data Entry'!$~$12), "", 'Data Entry'!$~$12)</f>
      </c>
      <c r="BK12">
        <f>IF(ISBLANK('Data Entry'!$$12), "", 'Data Entry'!$$12)</f>
      </c>
      <c r="BL12">
        <f>IF(ISBLANK('Data Entry'!$$12), "", 'Data Entry'!$$12)</f>
      </c>
      <c r="BM12">
        <f>IF(ISBLANK('Data Entry'!$$12), "", 'Data Entry'!$$12)</f>
      </c>
      <c r="BN12">
        <f>IF(ISBLANK('Data Entry'!$$12), "", 'Data Entry'!$$12)</f>
      </c>
      <c r="BO12">
        <f>IF(ISBLANK('Data Entry'!$$12), "", 'Data Entry'!$$12)</f>
      </c>
      <c r="BP12">
        <f>IF(ISBLANK('Data Entry'!$$12), "", 'Data Entry'!$$12)</f>
      </c>
      <c r="BQ12">
        <f>IF(ISBLANK('Data Entry'!$$12), "", 'Data Entry'!$$12)</f>
      </c>
      <c r="BR12">
        <f>IF(ISBLANK('Data Entry'!$$12), "", 'Data Entry'!$$12)</f>
      </c>
      <c r="BS12">
        <f>IF(ISBLANK('Data Entry'!$$12), "", 'Data Entry'!$$12)</f>
      </c>
      <c r="BT12">
        <f>IF(ISBLANK('Data Entry'!$$12), "", 'Data Entry'!$$12)</f>
      </c>
      <c r="BU12">
        <f>IF(ISBLANK('Data Entry'!$$12), "", 'Data Entry'!$$12)</f>
      </c>
      <c r="BV12">
        <f>IF(ISBLANK('Data Entry'!$$12), "", 'Data Entry'!$$12)</f>
      </c>
      <c r="BW12">
        <f>IF(ISBLANK('Data Entry'!$$12), "", 'Data Entry'!$$12)</f>
      </c>
      <c r="BX12">
        <f>IF(ISBLANK('Data Entry'!$$12), "", 'Data Entry'!$$12)</f>
      </c>
      <c r="BY12">
        <f>IF(ISBLANK('Data Entry'!$$12), "", 'Data Entry'!$$12)</f>
      </c>
      <c r="BZ12">
        <f>IF(ISBLANK('Data Entry'!$$12), "", 'Data Entry'!$$12)</f>
      </c>
      <c r="CA12">
        <f>IF(ISBLANK('Data Entry'!$$12), "", 'Data Entry'!$$12)</f>
      </c>
      <c r="CB12">
        <f>IF(ISBLANK('Data Entry'!$$12), "", 'Data Entry'!$$12)</f>
      </c>
      <c r="CC12">
        <f>IF(ISBLANK('Data Entry'!$$12), "", 'Data Entry'!$$12)</f>
      </c>
      <c r="CD12">
        <f>IF(ISBLANK('Data Entry'!$$12), "", 'Data Entry'!$$12)</f>
      </c>
      <c r="CE12">
        <f>IF(ISBLANK('Data Entry'!$$12), "", 'Data Entry'!$$12)</f>
      </c>
      <c r="CF12">
        <f>IF(ISBLANK('Data Entry'!$$12), "", 'Data Entry'!$$12)</f>
      </c>
      <c r="CG12">
        <f>IF(ISBLANK('Data Entry'!$$12), "", 'Data Entry'!$$12)</f>
      </c>
      <c r="CH12">
        <f>IF(ISBLANK('Data Entry'!$$12), "", 'Data Entry'!$$12)</f>
      </c>
      <c r="CI12">
        <f>IF(ISBLANK('Data Entry'!$$12), "", 'Data Entry'!$$12)</f>
      </c>
      <c r="CJ12">
        <f>IF(ISBLANK('Data Entry'!$$12), "", 'Data Entry'!$$12)</f>
      </c>
      <c r="CK12">
        <f>IF(ISBLANK('Data Entry'!$$12), "", 'Data Entry'!$$12)</f>
      </c>
      <c r="CL12">
        <f>IF(ISBLANK('Data Entry'!$$12), "", 'Data Entry'!$$12)</f>
      </c>
      <c r="CM12">
        <f>IF(ISBLANK('Data Entry'!$$12), "", 'Data Entry'!$$12)</f>
      </c>
      <c r="CN12">
        <f>IF(ISBLANK('Data Entry'!$$12), "", 'Data Entry'!$$12)</f>
      </c>
      <c r="CO12">
        <f>IF(ISBLANK('Data Entry'!$$12), "", 'Data Entry'!$$12)</f>
      </c>
      <c r="CP12">
        <f>IF(ISBLANK('Data Entry'!$$12), "", 'Data Entry'!$$12)</f>
      </c>
      <c r="CQ12">
        <f>IF(ISBLANK('Data Entry'!$$12), "", 'Data Entry'!$$12)</f>
      </c>
      <c r="CR12">
        <f>IF(ISBLANK('Data Entry'!$ $12), "", 'Data Entry'!$ $12)</f>
      </c>
      <c r="CS12">
        <f>IF(ISBLANK('Data Entry'!$¡$12), "", 'Data Entry'!$¡$12)</f>
      </c>
      <c r="CT12">
        <f>IF(ISBLANK('Data Entry'!$¢$12), "", 'Data Entry'!$¢$12)</f>
      </c>
      <c r="CU12">
        <f>IF(ISBLANK('Data Entry'!$£$12), "", 'Data Entry'!$£$12)</f>
      </c>
      <c r="CV12">
        <f>IF(ISBLANK('Data Entry'!$¤$12), "", 'Data Entry'!$¤$12)</f>
      </c>
      <c r="CW12">
        <f>IF(ISBLANK('Data Entry'!$¥$12), "", 'Data Entry'!$¥$12)</f>
      </c>
      <c r="CX12">
        <f>IF(ISBLANK('Data Entry'!$¦$12), "", 'Data Entry'!$¦$12)</f>
      </c>
      <c r="CY12">
        <f>IF(ISBLANK('Data Entry'!$§$12), "", 'Data Entry'!$§$12)</f>
      </c>
      <c r="CZ12">
        <f>IF(ISBLANK('Data Entry'!$¨$12), "", 'Data Entry'!$¨$12)</f>
      </c>
      <c r="DA12">
        <f>IF(ISBLANK('Data Entry'!$©$12), "", 'Data Entry'!$©$12)</f>
      </c>
      <c r="DB12">
        <f>IF(ISBLANK('Data Entry'!$ª$12), "", 'Data Entry'!$ª$12)</f>
      </c>
      <c r="DC12">
        <f>IF(ISBLANK('Data Entry'!$«$12), "", 'Data Entry'!$«$12)</f>
      </c>
      <c r="DD12">
        <f>IF(ISBLANK('Data Entry'!$¬$12), "", 'Data Entry'!$¬$12)</f>
      </c>
      <c r="DE12">
        <f>IF(ISBLANK('Data Entry'!$­$12), "", 'Data Entry'!$­$12)</f>
      </c>
      <c r="DF12">
        <f>IF(ISBLANK('Data Entry'!$®$12), "", 'Data Entry'!$®$12)</f>
      </c>
      <c r="DG12">
        <f>IF(ISBLANK('Data Entry'!$¯$12), "", 'Data Entry'!$¯$12)</f>
      </c>
      <c r="DH12">
        <f>IF(ISBLANK('Data Entry'!$°$12), "", 'Data Entry'!$°$12)</f>
      </c>
      <c r="DI12">
        <f>IF(ISBLANK('Data Entry'!$±$12), "", 'Data Entry'!$±$12)</f>
      </c>
      <c r="DJ12">
        <f>IF(ISBLANK('Data Entry'!$²$12), "", 'Data Entry'!$²$12)</f>
      </c>
      <c r="DK12">
        <f>IF(ISBLANK('Data Entry'!$³$12), "", 'Data Entry'!$³$12)</f>
      </c>
      <c r="DL12">
        <f>IF(ISBLANK('Data Entry'!$´$12), "", 'Data Entry'!$´$12)</f>
      </c>
      <c r="DM12">
        <f>IF(ISBLANK('Data Entry'!$µ$12), "", 'Data Entry'!$µ$12)</f>
      </c>
      <c r="DN12">
        <f>IF(ISBLANK('Data Entry'!$¶$12), "", 'Data Entry'!$¶$12)</f>
      </c>
      <c r="DO12">
        <f>IF(ISBLANK('Data Entry'!$·$12), "", 'Data Entry'!$·$12)</f>
      </c>
      <c r="DP12">
        <f>IF(ISBLANK('Data Entry'!$¸$12), "", 'Data Entry'!$¸$12)</f>
      </c>
      <c r="DQ12">
        <f>IF(ISBLANK('Data Entry'!$¹$12), "", 'Data Entry'!$¹$12)</f>
      </c>
      <c r="DR12">
        <f>IF(ISBLANK('Data Entry'!$º$12), "", 'Data Entry'!$º$12)</f>
      </c>
      <c r="DS12">
        <f>IF(ISBLANK('Data Entry'!$»$12), "", 'Data Entry'!$»$12)</f>
      </c>
      <c r="DT12">
        <f>IF(ISBLANK('Data Entry'!$¼$12), "", 'Data Entry'!$¼$12)</f>
      </c>
      <c r="DU12">
        <f>IF(ISBLANK('Data Entry'!$½$12), "", 'Data Entry'!$½$12)</f>
      </c>
      <c r="DV12">
        <f>IF(ISBLANK('Data Entry'!$¾$12), "", 'Data Entry'!$¾$12)</f>
      </c>
      <c r="DW12">
        <f>IF(ISBLANK('Data Entry'!$¿$12), "", 'Data Entry'!$¿$12)</f>
      </c>
      <c r="DX12">
        <f>IF(ISBLANK('Data Entry'!$À$12), "", 'Data Entry'!$À$12)</f>
      </c>
      <c r="DY12">
        <f>IF(ISBLANK('Data Entry'!$Á$12), "", 'Data Entry'!$Á$12)</f>
      </c>
      <c r="DZ12">
        <f>IF(ISBLANK('Data Entry'!$Â$12), "", 'Data Entry'!$Â$12)</f>
      </c>
      <c r="EA12">
        <f>IF(ISBLANK('Data Entry'!$Ã$12), "", 'Data Entry'!$Ã$12)</f>
      </c>
      <c r="EB12">
        <f>IF(ISBLANK('Data Entry'!$Ä$12), "", 'Data Entry'!$Ä$12)</f>
      </c>
      <c r="EC12">
        <f>IF(ISBLANK('Data Entry'!$Å$12), "", 'Data Entry'!$Å$12)</f>
      </c>
      <c r="ED12">
        <f>IF(ISBLANK('Data Entry'!$Æ$12), "", 'Data Entry'!$Æ$12)</f>
      </c>
      <c r="EE12">
        <f>IF(ISBLANK('Data Entry'!$Ç$12), "", 'Data Entry'!$Ç$12)</f>
      </c>
      <c r="EF12">
        <f>IF(ISBLANK('Data Entry'!$È$12), "", 'Data Entry'!$È$12)</f>
      </c>
      <c r="EG12">
        <f>IF(ISBLANK('Data Entry'!$É$12), "", 'Data Entry'!$É$12)</f>
      </c>
      <c r="EH12">
        <f>IF(ISBLANK('Data Entry'!$Ê$12), "", 'Data Entry'!$Ê$12)</f>
      </c>
      <c r="EI12">
        <f>IF(ISBLANK('Data Entry'!$Ë$12), "", 'Data Entry'!$Ë$12)</f>
      </c>
      <c r="EJ12">
        <f>IF(ISBLANK('Data Entry'!$Ì$12), "", 'Data Entry'!$Ì$12)</f>
      </c>
      <c r="EK12">
        <f>IF(ISBLANK('Data Entry'!$Í$12), "", 'Data Entry'!$Í$12)</f>
      </c>
      <c r="EL12">
        <f>IF(ISBLANK('Data Entry'!$Î$12), "", 'Data Entry'!$Î$12)</f>
      </c>
      <c r="EM12">
        <f>IF(ISBLANK('Data Entry'!$Ï$12), "", 'Data Entry'!$Ï$12)</f>
      </c>
      <c r="EN12">
        <f>IF(ISBLANK('Data Entry'!$Ð$12), "", 'Data Entry'!$Ð$12)</f>
      </c>
      <c r="EO12">
        <f>IF(ISBLANK('Data Entry'!$Ñ$12), "", 'Data Entry'!$Ñ$12)</f>
      </c>
      <c r="EP12">
        <f>IF(ISBLANK('Data Entry'!$Ò$12), "", 'Data Entry'!$Ò$12)</f>
      </c>
      <c r="EQ12">
        <f>IF(ISBLANK('Data Entry'!$Ó$12), "", 'Data Entry'!$Ó$12)</f>
      </c>
      <c r="ER12">
        <f>IF(ISBLANK('Data Entry'!$Ô$12), "", 'Data Entry'!$Ô$12)</f>
      </c>
      <c r="ES12">
        <f>IF(ISBLANK('Data Entry'!$Õ$12), "", 'Data Entry'!$Õ$12)</f>
      </c>
      <c r="ET12">
        <f>IF(ISBLANK('Data Entry'!$Ö$12), "", 'Data Entry'!$Ö$12)</f>
      </c>
      <c r="EU12">
        <f>IF(ISBLANK('Data Entry'!$×$12), "", 'Data Entry'!$×$12)</f>
      </c>
      <c r="EV12">
        <f>IF(ISBLANK('Data Entry'!$Ø$12), "", 'Data Entry'!$Ø$12)</f>
      </c>
      <c r="EW12">
        <f>IF(ISBLANK('Data Entry'!$Ù$12), "", 'Data Entry'!$Ù$12)</f>
      </c>
      <c r="EX12">
        <f>IF(ISBLANK('Data Entry'!$Ú$12), "", 'Data Entry'!$Ú$12)</f>
      </c>
      <c r="EY12">
        <f>IF(ISBLANK('Data Entry'!$Û$12), "", 'Data Entry'!$Û$12)</f>
      </c>
      <c r="EZ12">
        <f>IF(ISBLANK('Data Entry'!$Ü$12), "", 'Data Entry'!$Ü$12)</f>
      </c>
      <c r="FA12">
        <f>IF(ISBLANK('Data Entry'!$Ý$12), "", 'Data Entry'!$Ý$12)</f>
      </c>
      <c r="FB12">
        <f>IF(ISBLANK('Data Entry'!$Þ$12), "", 'Data Entry'!$Þ$12)</f>
      </c>
      <c r="FC12">
        <f>IF(ISBLANK('Data Entry'!$ß$12), "", 'Data Entry'!$ß$12)</f>
      </c>
      <c r="FD12">
        <f>IF(ISBLANK('Data Entry'!$à$12), "", 'Data Entry'!$à$12)</f>
      </c>
      <c r="FE12">
        <f>IF(ISBLANK('Data Entry'!$á$12), "", 'Data Entry'!$á$12)</f>
      </c>
      <c r="FF12">
        <f>IF(ISBLANK('Data Entry'!$â$12), "", 'Data Entry'!$â$12)</f>
      </c>
      <c r="FG12">
        <f>IF(ISBLANK('Data Entry'!$ã$12), "", 'Data Entry'!$ã$12)</f>
      </c>
      <c r="FH12">
        <f>IF(ISBLANK('Data Entry'!$ä$12), "", 'Data Entry'!$ä$12)</f>
      </c>
      <c r="FI12">
        <f>IF(ISBLANK('Data Entry'!$å$12), "", 'Data Entry'!$å$12)</f>
      </c>
      <c r="FJ12">
        <f>IF(ISBLANK('Data Entry'!$æ$12), "", 'Data Entry'!$æ$12)</f>
      </c>
      <c r="FK12">
        <f>IF(ISBLANK('Data Entry'!$ç$12), "", 'Data Entry'!$ç$12)</f>
      </c>
      <c r="FL12">
        <f>IF(ISBLANK('Data Entry'!$è$12), "", 'Data Entry'!$è$12)</f>
      </c>
      <c r="FM12">
        <f>IF(ISBLANK('Data Entry'!$é$12), "", 'Data Entry'!$é$12)</f>
      </c>
      <c r="FN12">
        <f>IF(ISBLANK('Data Entry'!$ê$12), "", 'Data Entry'!$ê$12)</f>
      </c>
      <c r="FO12">
        <f>IF(ISBLANK('Data Entry'!$ë$12), "", 'Data Entry'!$ë$12)</f>
      </c>
      <c r="FP12">
        <f>IF(ISBLANK('Data Entry'!$ì$12), "", 'Data Entry'!$ì$12)</f>
      </c>
      <c r="FQ12">
        <f>IF(ISBLANK('Data Entry'!$í$12), "", 'Data Entry'!$í$12)</f>
      </c>
      <c r="FR12">
        <f>IF(ISBLANK('Data Entry'!$î$12), "", 'Data Entry'!$î$12)</f>
      </c>
      <c r="FS12">
        <f>IF(ISBLANK('Data Entry'!$ï$12), "", 'Data Entry'!$ï$12)</f>
      </c>
      <c r="FT12">
        <f>IF(ISBLANK('Data Entry'!$ð$12), "", 'Data Entry'!$ð$12)</f>
      </c>
      <c r="FU12">
        <f>IF(ISBLANK('Data Entry'!$ñ$12), "", 'Data Entry'!$ñ$12)</f>
      </c>
      <c r="FV12">
        <f>IF(ISBLANK('Data Entry'!$ò$12), "", 'Data Entry'!$ò$12)</f>
      </c>
      <c r="FW12">
        <f>IF(ISBLANK('Data Entry'!$ó$12), "", 'Data Entry'!$ó$12)</f>
      </c>
      <c r="FX12">
        <f>IF(ISBLANK('Data Entry'!$ô$12), "", 'Data Entry'!$ô$12)</f>
      </c>
      <c r="FY12">
        <f>IF(ISBLANK('Data Entry'!$õ$12), "", 'Data Entry'!$õ$12)</f>
      </c>
      <c r="FZ12">
        <f>IF(ISBLANK('Data Entry'!$ö$12), "", 'Data Entry'!$ö$12)</f>
      </c>
      <c r="GA12">
        <f>IF(ISBLANK('Data Entry'!$÷$12), "", 'Data Entry'!$÷$12)</f>
      </c>
      <c r="GB12">
        <f>IF(ISBLANK('Data Entry'!$ø$12), "", 'Data Entry'!$ø$12)</f>
      </c>
      <c r="GC12">
        <f>IF(ISBLANK('Data Entry'!$ù$12), "", 'Data Entry'!$ù$12)</f>
      </c>
      <c r="GD12">
        <f>IF(ISBLANK('Data Entry'!$ú$12), "", 'Data Entry'!$ú$12)</f>
      </c>
      <c r="GE12">
        <f>IF(ISBLANK('Data Entry'!$û$12), "", 'Data Entry'!$û$12)</f>
      </c>
      <c r="GF12">
        <f>IF(ISBLANK('Data Entry'!$ü$12), "", 'Data Entry'!$ü$12)</f>
      </c>
      <c r="GG12">
        <f>IF(ISBLANK('Data Entry'!$ý$12), "", 'Data Entry'!$ý$12)</f>
      </c>
      <c r="GH12">
        <f>IF(ISBLANK('Data Entry'!$þ$12), "", 'Data Entry'!$þ$12)</f>
      </c>
      <c r="GI12">
        <f>IF(ISBLANK('Data Entry'!$ÿ$12), "", 'Data Entry'!$ÿ$12)</f>
      </c>
      <c r="GJ12">
        <f>IF(ISBLANK('Data Entry'!$Ā$12), "", 'Data Entry'!$Ā$12)</f>
      </c>
      <c r="GK12">
        <f>IF(ISBLANK('Data Entry'!$ā$12), "", 'Data Entry'!$ā$12)</f>
      </c>
      <c r="GL12">
        <f>IF(ISBLANK('Data Entry'!$Ă$12), "", 'Data Entry'!$Ă$12)</f>
      </c>
      <c r="GM12">
        <f>IF(ISBLANK('Data Entry'!$ă$12), "", 'Data Entry'!$ă$12)</f>
      </c>
      <c r="GN12">
        <f>IF(ISBLANK('Data Entry'!$Ą$12), "", 'Data Entry'!$Ą$12)</f>
      </c>
      <c r="GO12">
        <f>IF(ISBLANK('Data Entry'!$ą$12), "", 'Data Entry'!$ą$12)</f>
      </c>
      <c r="GP12">
        <f>IF(ISBLANK('Data Entry'!$Ć$12), "", 'Data Entry'!$Ć$12)</f>
      </c>
      <c r="GQ12">
        <f>IF(ISBLANK('Data Entry'!$ć$12), "", 'Data Entry'!$ć$12)</f>
      </c>
      <c r="GR12">
        <f>IF(ISBLANK('Data Entry'!$Ĉ$12), "", 'Data Entry'!$Ĉ$12)</f>
      </c>
      <c r="GS12">
        <f>IF(ISBLANK('Data Entry'!$ĉ$12), "", 'Data Entry'!$ĉ$12)</f>
      </c>
      <c r="GT12">
        <f>IF(ISBLANK('Data Entry'!$Ċ$12), "", 'Data Entry'!$Ċ$12)</f>
      </c>
      <c r="GU12">
        <f>IF(ISBLANK('Data Entry'!$ċ$12), "", 'Data Entry'!$ċ$12)</f>
      </c>
      <c r="GV12">
        <f>IF(ISBLANK('Data Entry'!$Č$12), "", 'Data Entry'!$Č$12)</f>
      </c>
      <c r="GW12">
        <f>IF(ISBLANK('Data Entry'!$č$12), "", 'Data Entry'!$č$12)</f>
      </c>
      <c r="GX12">
        <f>IF(ISBLANK('Data Entry'!$Ď$12), "", 'Data Entry'!$Ď$12)</f>
      </c>
      <c r="GY12">
        <f>IF(ISBLANK('Data Entry'!$ď$12), "", 'Data Entry'!$ď$12)</f>
      </c>
      <c r="GZ12">
        <f>IF(ISBLANK('Data Entry'!$Đ$12), "", 'Data Entry'!$Đ$12)</f>
      </c>
      <c r="HA12">
        <f>IF(ISBLANK('Data Entry'!$đ$12), "", 'Data Entry'!$đ$12)</f>
      </c>
      <c r="HB12">
        <f>IF(ISBLANK('Data Entry'!$Ē$12), "", 'Data Entry'!$Ē$12)</f>
      </c>
      <c r="HC12">
        <f>IF(ISBLANK('Data Entry'!$ē$12), "", 'Data Entry'!$ē$12)</f>
      </c>
      <c r="HD12">
        <f>IF(ISBLANK('Data Entry'!$Ĕ$12), "", 'Data Entry'!$Ĕ$12)</f>
      </c>
      <c r="HE12">
        <f>IF(ISBLANK('Data Entry'!$ĕ$12), "", 'Data Entry'!$ĕ$12)</f>
      </c>
      <c r="HF12">
        <f>IF(ISBLANK('Data Entry'!$Ė$12), "", 'Data Entry'!$Ė$12)</f>
      </c>
      <c r="HG12">
        <f>IF(ISBLANK('Data Entry'!$ė$12), "", 'Data Entry'!$ė$12)</f>
      </c>
      <c r="HH12">
        <f>IF(ISBLANK('Data Entry'!$Ę$12), "", 'Data Entry'!$Ę$12)</f>
      </c>
      <c r="HI12">
        <f>IF(ISBLANK('Data Entry'!$ę$12), "", 'Data Entry'!$ę$12)</f>
      </c>
      <c r="HJ12">
        <f>IF(ISBLANK('Data Entry'!$Ě$12), "", 'Data Entry'!$Ě$12)</f>
      </c>
      <c r="HK12">
        <f>IF(ISBLANK('Data Entry'!$ě$12), "", 'Data Entry'!$ě$12)</f>
      </c>
      <c r="HL12">
        <f>IF(ISBLANK('Data Entry'!$Ĝ$12), "", 'Data Entry'!$Ĝ$12)</f>
      </c>
      <c r="HM12">
        <f>IF(ISBLANK('Data Entry'!$ĝ$12), "", 'Data Entry'!$ĝ$12)</f>
      </c>
      <c r="HN12">
        <f>IF(ISBLANK('Data Entry'!$Ğ$12), "", 'Data Entry'!$Ğ$12)</f>
      </c>
      <c r="HO12">
        <f>IF(ISBLANK('Data Entry'!$ğ$12), "", 'Data Entry'!$ğ$12)</f>
      </c>
      <c r="HP12">
        <f>IF(ISBLANK('Data Entry'!$Ġ$12), "", 'Data Entry'!$Ġ$12)</f>
      </c>
      <c r="HQ12">
        <f>IF(ISBLANK('Data Entry'!$ġ$12), "", 'Data Entry'!$ġ$12)</f>
      </c>
      <c r="HR12">
        <f>IF(ISBLANK('Data Entry'!$Ģ$12), "", 'Data Entry'!$Ģ$12)</f>
      </c>
      <c r="HS12">
        <f>IF(ISBLANK('Data Entry'!$ģ$12), "", 'Data Entry'!$ģ$12)</f>
      </c>
      <c r="HT12">
        <f>IF(ISBLANK('Data Entry'!$Ĥ$12), "", 'Data Entry'!$Ĥ$12)</f>
      </c>
      <c r="HU12">
        <f>IF(ISBLANK('Data Entry'!$ĥ$12), "", 'Data Entry'!$ĥ$12)</f>
      </c>
      <c r="HV12">
        <f>IF(ISBLANK('Data Entry'!$Ħ$12), "", 'Data Entry'!$Ħ$12)</f>
      </c>
      <c r="HW12">
        <f>IF(ISBLANK('Data Entry'!$ħ$12), "", 'Data Entry'!$ħ$12)</f>
      </c>
      <c r="HX12">
        <f>IF(ISBLANK('Data Entry'!$Ĩ$12), "", 'Data Entry'!$Ĩ$12)</f>
      </c>
      <c r="HY12">
        <f>IF(ISBLANK('Data Entry'!$ĩ$12), "", 'Data Entry'!$ĩ$12)</f>
      </c>
      <c r="HZ12">
        <f>IF(ISBLANK('Data Entry'!$Ī$12), "", 'Data Entry'!$Ī$12)</f>
      </c>
      <c r="IA12">
        <f>IF(ISBLANK('Data Entry'!$ī$12), "", 'Data Entry'!$ī$12)</f>
      </c>
      <c r="IB12">
        <f>IF(ISBLANK('Data Entry'!$Ĭ$12), "", 'Data Entry'!$Ĭ$12)</f>
      </c>
      <c r="IC12">
        <f>IF(ISBLANK('Data Entry'!$ĭ$12), "", 'Data Entry'!$ĭ$12)</f>
      </c>
      <c r="ID12">
        <f>IF(ISBLANK('Data Entry'!$Į$12), "", 'Data Entry'!$Į$12)</f>
      </c>
      <c r="IE12">
        <f>IF(ISBLANK('Data Entry'!$į$12), "", 'Data Entry'!$į$12)</f>
      </c>
      <c r="IF12">
        <f>IF(ISBLANK('Data Entry'!$İ$12), "", 'Data Entry'!$İ$12)</f>
      </c>
      <c r="IG12">
        <f>IF(ISBLANK('Data Entry'!$ı$12), "", 'Data Entry'!$ı$12)</f>
      </c>
      <c r="IH12">
        <f>IF(ISBLANK('Data Entry'!$Ĳ$12), "", 'Data Entry'!$Ĳ$12)</f>
      </c>
      <c r="II12">
        <f>IF(ISBLANK('Data Entry'!$ĳ$12), "", 'Data Entry'!$ĳ$12)</f>
      </c>
      <c r="IJ12">
        <f>IF(ISBLANK('Data Entry'!$Ĵ$12), "", 'Data Entry'!$Ĵ$12)</f>
      </c>
      <c r="IK12">
        <f>IF(ISBLANK('Data Entry'!$ĵ$12), "", 'Data Entry'!$ĵ$12)</f>
      </c>
      <c r="IL12">
        <f>IF(ISBLANK('Data Entry'!$Ķ$12), "", 'Data Entry'!$Ķ$12)</f>
      </c>
      <c r="IM12">
        <f>IF(ISBLANK('Data Entry'!$ķ$12), "", 'Data Entry'!$ķ$12)</f>
      </c>
      <c r="IN12">
        <f>IF(ISBLANK('Data Entry'!$ĸ$12), "", 'Data Entry'!$ĸ$12)</f>
      </c>
      <c r="IO12">
        <f>IF(ISBLANK('Data Entry'!$Ĺ$12), "", 'Data Entry'!$Ĺ$12)</f>
      </c>
      <c r="IP12">
        <f>IF(ISBLANK('Data Entry'!$ĺ$12), "", 'Data Entry'!$ĺ$12)</f>
      </c>
      <c r="IQ12">
        <f>IF(ISBLANK('Data Entry'!$Ļ$12), "", 'Data Entry'!$Ļ$12)</f>
      </c>
      <c r="IR12">
        <f>IF(ISBLANK('Data Entry'!$ļ$12), "", 'Data Entry'!$ļ$12)</f>
      </c>
      <c r="IS12">
        <f>IF(ISBLANK('Data Entry'!$Ľ$12), "", 'Data Entry'!$Ľ$12)</f>
      </c>
      <c r="IT12">
        <f>IF(ISBLANK('Data Entry'!$ľ$12), "", 'Data Entry'!$ľ$12)</f>
      </c>
    </row>
    <row r="13" spans="1:254" x14ac:dyDescent="0.25">
      <c r="A13">
        <f>IF(ISBLANK('Data Entry'!$A$13), "", 'Data Entry'!$A$13)</f>
      </c>
      <c r="B13">
        <f>IF(ISBLANK('Data Entry'!$B$13), "", 'Data Entry'!$B$13)</f>
      </c>
      <c r="C13">
        <f>IF(ISBLANK('Data Entry'!$C$13), "", 'Data Entry'!$C$13)</f>
      </c>
      <c r="D13">
        <f>IF(ISBLANK('Data Entry'!$D$13), "", 'Data Entry'!$D$13)</f>
      </c>
      <c r="E13">
        <f>IF(ISBLANK('Data Entry'!$E$13), "", 'Data Entry'!$E$13)</f>
      </c>
      <c r="F13">
        <f>IF(ISBLANK('Data Entry'!$F$13), "", 'Data Entry'!$F$13)</f>
      </c>
      <c r="G13">
        <f>IF(ISBLANK('Data Entry'!$G$13), "", 'Data Entry'!$G$13)</f>
      </c>
      <c r="H13">
        <f>IF(ISBLANK('Data Entry'!$H$13), "", 'Data Entry'!$H$13)</f>
      </c>
      <c r="I13">
        <f>IF(ISBLANK('Data Entry'!$I$13), "", 'Data Entry'!$I$13)</f>
      </c>
      <c r="J13">
        <f>IF(ISBLANK('Data Entry'!$J$13), "", 'Data Entry'!$J$13)</f>
      </c>
      <c r="K13">
        <f>IF(ISBLANK('Data Entry'!$K$13), "", 'Data Entry'!$K$13)</f>
      </c>
      <c r="L13">
        <f>IF(ISBLANK('Data Entry'!$L$13), "", 'Data Entry'!$L$13)</f>
      </c>
      <c r="M13">
        <f>IF(ISBLANK('Data Entry'!$M$13), "", 'Data Entry'!$M$13)</f>
      </c>
      <c r="N13">
        <f>IF(ISBLANK('Data Entry'!$N$13), "", 'Data Entry'!$N$13)</f>
      </c>
      <c r="O13">
        <f>IF(ISBLANK('Data Entry'!$O$13), "", 'Data Entry'!$O$13)</f>
      </c>
      <c r="P13">
        <f>IF(ISBLANK('Data Entry'!$P$13), "", 'Data Entry'!$P$13)</f>
      </c>
      <c r="Q13">
        <f>IF(ISBLANK('Data Entry'!$Q$13), "", 'Data Entry'!$Q$13)</f>
      </c>
      <c r="R13">
        <f>IF(ISBLANK('Data Entry'!$R$13), "", 'Data Entry'!$R$13)</f>
      </c>
      <c r="S13">
        <f>IF(ISBLANK('Data Entry'!$S$13), "", 'Data Entry'!$S$13)</f>
      </c>
      <c r="T13">
        <f>IF(ISBLANK('Data Entry'!$T$13), "", 'Data Entry'!$T$13)</f>
      </c>
      <c r="U13">
        <f>IF(ISBLANK('Data Entry'!$U$13), "", 'Data Entry'!$U$13)</f>
      </c>
      <c r="V13">
        <f>IF(ISBLANK('Data Entry'!$V$13), "", 'Data Entry'!$V$13)</f>
      </c>
      <c r="W13">
        <f>IF(ISBLANK('Data Entry'!$W$13), "", 'Data Entry'!$W$13)</f>
      </c>
      <c r="X13">
        <f>IF(ISBLANK('Data Entry'!$X$13), "", 'Data Entry'!$X$13)</f>
      </c>
      <c r="Y13">
        <f>IF(ISBLANK('Data Entry'!$Y$13), "", 'Data Entry'!$Y$13)</f>
      </c>
      <c r="Z13">
        <f>IF(ISBLANK('Data Entry'!$Z$13), "", 'Data Entry'!$Z$13)</f>
      </c>
      <c r="AA13">
        <f>IF(ISBLANK('Data Entry'!$[$13), "", 'Data Entry'!$[$13)</f>
      </c>
      <c r="AB13">
        <f>IF(ISBLANK('Data Entry'!$\$13), "", 'Data Entry'!$\$13)</f>
      </c>
      <c r="AC13">
        <f>IF(ISBLANK('Data Entry'!$]$13), "", 'Data Entry'!$]$13)</f>
      </c>
      <c r="AD13">
        <f>IF(ISBLANK('Data Entry'!$^$13), "", 'Data Entry'!$^$13)</f>
      </c>
      <c r="AE13">
        <f>IF(ISBLANK('Data Entry'!$_$13), "", 'Data Entry'!$_$13)</f>
      </c>
      <c r="AF13">
        <f>IF(ISBLANK('Data Entry'!$`$13), "", 'Data Entry'!$`$13)</f>
      </c>
      <c r="AG13">
        <f>IF(ISBLANK('Data Entry'!$a$13), "", 'Data Entry'!$a$13)</f>
      </c>
      <c r="AH13">
        <f>IF(ISBLANK('Data Entry'!$b$13), "", 'Data Entry'!$b$13)</f>
      </c>
      <c r="AI13">
        <f>IF(ISBLANK('Data Entry'!$c$13), "", 'Data Entry'!$c$13)</f>
      </c>
      <c r="AJ13">
        <f>IF(ISBLANK('Data Entry'!$d$13), "", 'Data Entry'!$d$13)</f>
      </c>
      <c r="AK13">
        <f>IF(ISBLANK('Data Entry'!$e$13), "", 'Data Entry'!$e$13)</f>
      </c>
      <c r="AL13">
        <f>IF(ISBLANK('Data Entry'!$f$13), "", 'Data Entry'!$f$13)</f>
      </c>
      <c r="AM13">
        <f>IF(ISBLANK('Data Entry'!$g$13), "", 'Data Entry'!$g$13)</f>
      </c>
      <c r="AN13">
        <f>IF(ISBLANK('Data Entry'!$h$13), "", 'Data Entry'!$h$13)</f>
      </c>
      <c r="AO13">
        <f>IF(ISBLANK('Data Entry'!$i$13), "", 'Data Entry'!$i$13)</f>
      </c>
      <c r="AP13">
        <f>IF(ISBLANK('Data Entry'!$j$13), "", 'Data Entry'!$j$13)</f>
      </c>
      <c r="AQ13">
        <f>IF(ISBLANK('Data Entry'!$k$13), "", 'Data Entry'!$k$13)</f>
      </c>
      <c r="AR13">
        <f>IF(ISBLANK('Data Entry'!$l$13), "", 'Data Entry'!$l$13)</f>
      </c>
      <c r="AS13">
        <f>IF(ISBLANK('Data Entry'!$m$13), "", 'Data Entry'!$m$13)</f>
      </c>
      <c r="AT13">
        <f>IF(ISBLANK('Data Entry'!$n$13), "", 'Data Entry'!$n$13)</f>
      </c>
      <c r="AU13">
        <f>IF(ISBLANK('Data Entry'!$o$13), "", 'Data Entry'!$o$13)</f>
      </c>
      <c r="AV13">
        <f>IF(ISBLANK('Data Entry'!$p$13), "", 'Data Entry'!$p$13)</f>
      </c>
      <c r="AW13">
        <f>IF(ISBLANK('Data Entry'!$q$13), "", 'Data Entry'!$q$13)</f>
      </c>
      <c r="AX13">
        <f>IF(ISBLANK('Data Entry'!$r$13), "", 'Data Entry'!$r$13)</f>
      </c>
      <c r="AY13">
        <f>IF(ISBLANK('Data Entry'!$s$13), "", 'Data Entry'!$s$13)</f>
      </c>
      <c r="AZ13">
        <f>IF(ISBLANK('Data Entry'!$t$13), "", 'Data Entry'!$t$13)</f>
      </c>
      <c r="BA13">
        <f>IF(ISBLANK('Data Entry'!$u$13), "", 'Data Entry'!$u$13)</f>
      </c>
      <c r="BB13">
        <f>IF(ISBLANK('Data Entry'!$v$13), "", 'Data Entry'!$v$13)</f>
      </c>
      <c r="BC13">
        <f>IF(ISBLANK('Data Entry'!$w$13), "", 'Data Entry'!$w$13)</f>
      </c>
      <c r="BD13">
        <f>IF(ISBLANK('Data Entry'!$x$13), "", 'Data Entry'!$x$13)</f>
      </c>
      <c r="BE13">
        <f>IF(ISBLANK('Data Entry'!$y$13), "", 'Data Entry'!$y$13)</f>
      </c>
      <c r="BF13">
        <f>IF(ISBLANK('Data Entry'!$z$13), "", 'Data Entry'!$z$13)</f>
      </c>
      <c r="BG13">
        <f>IF(ISBLANK('Data Entry'!${$13), "", 'Data Entry'!${$13)</f>
      </c>
      <c r="BH13">
        <f>IF(ISBLANK('Data Entry'!$|$13), "", 'Data Entry'!$|$13)</f>
      </c>
      <c r="BI13">
        <f>IF(ISBLANK('Data Entry'!$}$13), "", 'Data Entry'!$}$13)</f>
      </c>
      <c r="BJ13">
        <f>IF(ISBLANK('Data Entry'!$~$13), "", 'Data Entry'!$~$13)</f>
      </c>
      <c r="BK13">
        <f>IF(ISBLANK('Data Entry'!$$13), "", 'Data Entry'!$$13)</f>
      </c>
      <c r="BL13">
        <f>IF(ISBLANK('Data Entry'!$$13), "", 'Data Entry'!$$13)</f>
      </c>
      <c r="BM13">
        <f>IF(ISBLANK('Data Entry'!$$13), "", 'Data Entry'!$$13)</f>
      </c>
      <c r="BN13">
        <f>IF(ISBLANK('Data Entry'!$$13), "", 'Data Entry'!$$13)</f>
      </c>
      <c r="BO13">
        <f>IF(ISBLANK('Data Entry'!$$13), "", 'Data Entry'!$$13)</f>
      </c>
      <c r="BP13">
        <f>IF(ISBLANK('Data Entry'!$$13), "", 'Data Entry'!$$13)</f>
      </c>
      <c r="BQ13">
        <f>IF(ISBLANK('Data Entry'!$$13), "", 'Data Entry'!$$13)</f>
      </c>
      <c r="BR13">
        <f>IF(ISBLANK('Data Entry'!$$13), "", 'Data Entry'!$$13)</f>
      </c>
      <c r="BS13">
        <f>IF(ISBLANK('Data Entry'!$$13), "", 'Data Entry'!$$13)</f>
      </c>
      <c r="BT13">
        <f>IF(ISBLANK('Data Entry'!$$13), "", 'Data Entry'!$$13)</f>
      </c>
      <c r="BU13">
        <f>IF(ISBLANK('Data Entry'!$$13), "", 'Data Entry'!$$13)</f>
      </c>
      <c r="BV13">
        <f>IF(ISBLANK('Data Entry'!$$13), "", 'Data Entry'!$$13)</f>
      </c>
      <c r="BW13">
        <f>IF(ISBLANK('Data Entry'!$$13), "", 'Data Entry'!$$13)</f>
      </c>
      <c r="BX13">
        <f>IF(ISBLANK('Data Entry'!$$13), "", 'Data Entry'!$$13)</f>
      </c>
      <c r="BY13">
        <f>IF(ISBLANK('Data Entry'!$$13), "", 'Data Entry'!$$13)</f>
      </c>
      <c r="BZ13">
        <f>IF(ISBLANK('Data Entry'!$$13), "", 'Data Entry'!$$13)</f>
      </c>
      <c r="CA13">
        <f>IF(ISBLANK('Data Entry'!$$13), "", 'Data Entry'!$$13)</f>
      </c>
      <c r="CB13">
        <f>IF(ISBLANK('Data Entry'!$$13), "", 'Data Entry'!$$13)</f>
      </c>
      <c r="CC13">
        <f>IF(ISBLANK('Data Entry'!$$13), "", 'Data Entry'!$$13)</f>
      </c>
      <c r="CD13">
        <f>IF(ISBLANK('Data Entry'!$$13), "", 'Data Entry'!$$13)</f>
      </c>
      <c r="CE13">
        <f>IF(ISBLANK('Data Entry'!$$13), "", 'Data Entry'!$$13)</f>
      </c>
      <c r="CF13">
        <f>IF(ISBLANK('Data Entry'!$$13), "", 'Data Entry'!$$13)</f>
      </c>
      <c r="CG13">
        <f>IF(ISBLANK('Data Entry'!$$13), "", 'Data Entry'!$$13)</f>
      </c>
      <c r="CH13">
        <f>IF(ISBLANK('Data Entry'!$$13), "", 'Data Entry'!$$13)</f>
      </c>
      <c r="CI13">
        <f>IF(ISBLANK('Data Entry'!$$13), "", 'Data Entry'!$$13)</f>
      </c>
      <c r="CJ13">
        <f>IF(ISBLANK('Data Entry'!$$13), "", 'Data Entry'!$$13)</f>
      </c>
      <c r="CK13">
        <f>IF(ISBLANK('Data Entry'!$$13), "", 'Data Entry'!$$13)</f>
      </c>
      <c r="CL13">
        <f>IF(ISBLANK('Data Entry'!$$13), "", 'Data Entry'!$$13)</f>
      </c>
      <c r="CM13">
        <f>IF(ISBLANK('Data Entry'!$$13), "", 'Data Entry'!$$13)</f>
      </c>
      <c r="CN13">
        <f>IF(ISBLANK('Data Entry'!$$13), "", 'Data Entry'!$$13)</f>
      </c>
      <c r="CO13">
        <f>IF(ISBLANK('Data Entry'!$$13), "", 'Data Entry'!$$13)</f>
      </c>
      <c r="CP13">
        <f>IF(ISBLANK('Data Entry'!$$13), "", 'Data Entry'!$$13)</f>
      </c>
      <c r="CQ13">
        <f>IF(ISBLANK('Data Entry'!$$13), "", 'Data Entry'!$$13)</f>
      </c>
      <c r="CR13">
        <f>IF(ISBLANK('Data Entry'!$ $13), "", 'Data Entry'!$ $13)</f>
      </c>
      <c r="CS13">
        <f>IF(ISBLANK('Data Entry'!$¡$13), "", 'Data Entry'!$¡$13)</f>
      </c>
      <c r="CT13">
        <f>IF(ISBLANK('Data Entry'!$¢$13), "", 'Data Entry'!$¢$13)</f>
      </c>
      <c r="CU13">
        <f>IF(ISBLANK('Data Entry'!$£$13), "", 'Data Entry'!$£$13)</f>
      </c>
      <c r="CV13">
        <f>IF(ISBLANK('Data Entry'!$¤$13), "", 'Data Entry'!$¤$13)</f>
      </c>
      <c r="CW13">
        <f>IF(ISBLANK('Data Entry'!$¥$13), "", 'Data Entry'!$¥$13)</f>
      </c>
      <c r="CX13">
        <f>IF(ISBLANK('Data Entry'!$¦$13), "", 'Data Entry'!$¦$13)</f>
      </c>
      <c r="CY13">
        <f>IF(ISBLANK('Data Entry'!$§$13), "", 'Data Entry'!$§$13)</f>
      </c>
      <c r="CZ13">
        <f>IF(ISBLANK('Data Entry'!$¨$13), "", 'Data Entry'!$¨$13)</f>
      </c>
      <c r="DA13">
        <f>IF(ISBLANK('Data Entry'!$©$13), "", 'Data Entry'!$©$13)</f>
      </c>
      <c r="DB13">
        <f>IF(ISBLANK('Data Entry'!$ª$13), "", 'Data Entry'!$ª$13)</f>
      </c>
      <c r="DC13">
        <f>IF(ISBLANK('Data Entry'!$«$13), "", 'Data Entry'!$«$13)</f>
      </c>
      <c r="DD13">
        <f>IF(ISBLANK('Data Entry'!$¬$13), "", 'Data Entry'!$¬$13)</f>
      </c>
      <c r="DE13">
        <f>IF(ISBLANK('Data Entry'!$­$13), "", 'Data Entry'!$­$13)</f>
      </c>
      <c r="DF13">
        <f>IF(ISBLANK('Data Entry'!$®$13), "", 'Data Entry'!$®$13)</f>
      </c>
      <c r="DG13">
        <f>IF(ISBLANK('Data Entry'!$¯$13), "", 'Data Entry'!$¯$13)</f>
      </c>
      <c r="DH13">
        <f>IF(ISBLANK('Data Entry'!$°$13), "", 'Data Entry'!$°$13)</f>
      </c>
      <c r="DI13">
        <f>IF(ISBLANK('Data Entry'!$±$13), "", 'Data Entry'!$±$13)</f>
      </c>
      <c r="DJ13">
        <f>IF(ISBLANK('Data Entry'!$²$13), "", 'Data Entry'!$²$13)</f>
      </c>
      <c r="DK13">
        <f>IF(ISBLANK('Data Entry'!$³$13), "", 'Data Entry'!$³$13)</f>
      </c>
      <c r="DL13">
        <f>IF(ISBLANK('Data Entry'!$´$13), "", 'Data Entry'!$´$13)</f>
      </c>
      <c r="DM13">
        <f>IF(ISBLANK('Data Entry'!$µ$13), "", 'Data Entry'!$µ$13)</f>
      </c>
      <c r="DN13">
        <f>IF(ISBLANK('Data Entry'!$¶$13), "", 'Data Entry'!$¶$13)</f>
      </c>
      <c r="DO13">
        <f>IF(ISBLANK('Data Entry'!$·$13), "", 'Data Entry'!$·$13)</f>
      </c>
      <c r="DP13">
        <f>IF(ISBLANK('Data Entry'!$¸$13), "", 'Data Entry'!$¸$13)</f>
      </c>
      <c r="DQ13">
        <f>IF(ISBLANK('Data Entry'!$¹$13), "", 'Data Entry'!$¹$13)</f>
      </c>
      <c r="DR13">
        <f>IF(ISBLANK('Data Entry'!$º$13), "", 'Data Entry'!$º$13)</f>
      </c>
      <c r="DS13">
        <f>IF(ISBLANK('Data Entry'!$»$13), "", 'Data Entry'!$»$13)</f>
      </c>
      <c r="DT13">
        <f>IF(ISBLANK('Data Entry'!$¼$13), "", 'Data Entry'!$¼$13)</f>
      </c>
      <c r="DU13">
        <f>IF(ISBLANK('Data Entry'!$½$13), "", 'Data Entry'!$½$13)</f>
      </c>
      <c r="DV13">
        <f>IF(ISBLANK('Data Entry'!$¾$13), "", 'Data Entry'!$¾$13)</f>
      </c>
      <c r="DW13">
        <f>IF(ISBLANK('Data Entry'!$¿$13), "", 'Data Entry'!$¿$13)</f>
      </c>
      <c r="DX13">
        <f>IF(ISBLANK('Data Entry'!$À$13), "", 'Data Entry'!$À$13)</f>
      </c>
      <c r="DY13">
        <f>IF(ISBLANK('Data Entry'!$Á$13), "", 'Data Entry'!$Á$13)</f>
      </c>
      <c r="DZ13">
        <f>IF(ISBLANK('Data Entry'!$Â$13), "", 'Data Entry'!$Â$13)</f>
      </c>
      <c r="EA13">
        <f>IF(ISBLANK('Data Entry'!$Ã$13), "", 'Data Entry'!$Ã$13)</f>
      </c>
      <c r="EB13">
        <f>IF(ISBLANK('Data Entry'!$Ä$13), "", 'Data Entry'!$Ä$13)</f>
      </c>
      <c r="EC13">
        <f>IF(ISBLANK('Data Entry'!$Å$13), "", 'Data Entry'!$Å$13)</f>
      </c>
      <c r="ED13">
        <f>IF(ISBLANK('Data Entry'!$Æ$13), "", 'Data Entry'!$Æ$13)</f>
      </c>
      <c r="EE13">
        <f>IF(ISBLANK('Data Entry'!$Ç$13), "", 'Data Entry'!$Ç$13)</f>
      </c>
      <c r="EF13">
        <f>IF(ISBLANK('Data Entry'!$È$13), "", 'Data Entry'!$È$13)</f>
      </c>
      <c r="EG13">
        <f>IF(ISBLANK('Data Entry'!$É$13), "", 'Data Entry'!$É$13)</f>
      </c>
      <c r="EH13">
        <f>IF(ISBLANK('Data Entry'!$Ê$13), "", 'Data Entry'!$Ê$13)</f>
      </c>
      <c r="EI13">
        <f>IF(ISBLANK('Data Entry'!$Ë$13), "", 'Data Entry'!$Ë$13)</f>
      </c>
      <c r="EJ13">
        <f>IF(ISBLANK('Data Entry'!$Ì$13), "", 'Data Entry'!$Ì$13)</f>
      </c>
      <c r="EK13">
        <f>IF(ISBLANK('Data Entry'!$Í$13), "", 'Data Entry'!$Í$13)</f>
      </c>
      <c r="EL13">
        <f>IF(ISBLANK('Data Entry'!$Î$13), "", 'Data Entry'!$Î$13)</f>
      </c>
      <c r="EM13">
        <f>IF(ISBLANK('Data Entry'!$Ï$13), "", 'Data Entry'!$Ï$13)</f>
      </c>
      <c r="EN13">
        <f>IF(ISBLANK('Data Entry'!$Ð$13), "", 'Data Entry'!$Ð$13)</f>
      </c>
      <c r="EO13">
        <f>IF(ISBLANK('Data Entry'!$Ñ$13), "", 'Data Entry'!$Ñ$13)</f>
      </c>
      <c r="EP13">
        <f>IF(ISBLANK('Data Entry'!$Ò$13), "", 'Data Entry'!$Ò$13)</f>
      </c>
      <c r="EQ13">
        <f>IF(ISBLANK('Data Entry'!$Ó$13), "", 'Data Entry'!$Ó$13)</f>
      </c>
      <c r="ER13">
        <f>IF(ISBLANK('Data Entry'!$Ô$13), "", 'Data Entry'!$Ô$13)</f>
      </c>
      <c r="ES13">
        <f>IF(ISBLANK('Data Entry'!$Õ$13), "", 'Data Entry'!$Õ$13)</f>
      </c>
      <c r="ET13">
        <f>IF(ISBLANK('Data Entry'!$Ö$13), "", 'Data Entry'!$Ö$13)</f>
      </c>
      <c r="EU13">
        <f>IF(ISBLANK('Data Entry'!$×$13), "", 'Data Entry'!$×$13)</f>
      </c>
      <c r="EV13">
        <f>IF(ISBLANK('Data Entry'!$Ø$13), "", 'Data Entry'!$Ø$13)</f>
      </c>
      <c r="EW13">
        <f>IF(ISBLANK('Data Entry'!$Ù$13), "", 'Data Entry'!$Ù$13)</f>
      </c>
      <c r="EX13">
        <f>IF(ISBLANK('Data Entry'!$Ú$13), "", 'Data Entry'!$Ú$13)</f>
      </c>
      <c r="EY13">
        <f>IF(ISBLANK('Data Entry'!$Û$13), "", 'Data Entry'!$Û$13)</f>
      </c>
      <c r="EZ13">
        <f>IF(ISBLANK('Data Entry'!$Ü$13), "", 'Data Entry'!$Ü$13)</f>
      </c>
      <c r="FA13">
        <f>IF(ISBLANK('Data Entry'!$Ý$13), "", 'Data Entry'!$Ý$13)</f>
      </c>
      <c r="FB13">
        <f>IF(ISBLANK('Data Entry'!$Þ$13), "", 'Data Entry'!$Þ$13)</f>
      </c>
      <c r="FC13">
        <f>IF(ISBLANK('Data Entry'!$ß$13), "", 'Data Entry'!$ß$13)</f>
      </c>
      <c r="FD13">
        <f>IF(ISBLANK('Data Entry'!$à$13), "", 'Data Entry'!$à$13)</f>
      </c>
      <c r="FE13">
        <f>IF(ISBLANK('Data Entry'!$á$13), "", 'Data Entry'!$á$13)</f>
      </c>
      <c r="FF13">
        <f>IF(ISBLANK('Data Entry'!$â$13), "", 'Data Entry'!$â$13)</f>
      </c>
      <c r="FG13">
        <f>IF(ISBLANK('Data Entry'!$ã$13), "", 'Data Entry'!$ã$13)</f>
      </c>
      <c r="FH13">
        <f>IF(ISBLANK('Data Entry'!$ä$13), "", 'Data Entry'!$ä$13)</f>
      </c>
      <c r="FI13">
        <f>IF(ISBLANK('Data Entry'!$å$13), "", 'Data Entry'!$å$13)</f>
      </c>
      <c r="FJ13">
        <f>IF(ISBLANK('Data Entry'!$æ$13), "", 'Data Entry'!$æ$13)</f>
      </c>
      <c r="FK13">
        <f>IF(ISBLANK('Data Entry'!$ç$13), "", 'Data Entry'!$ç$13)</f>
      </c>
      <c r="FL13">
        <f>IF(ISBLANK('Data Entry'!$è$13), "", 'Data Entry'!$è$13)</f>
      </c>
      <c r="FM13">
        <f>IF(ISBLANK('Data Entry'!$é$13), "", 'Data Entry'!$é$13)</f>
      </c>
      <c r="FN13">
        <f>IF(ISBLANK('Data Entry'!$ê$13), "", 'Data Entry'!$ê$13)</f>
      </c>
      <c r="FO13">
        <f>IF(ISBLANK('Data Entry'!$ë$13), "", 'Data Entry'!$ë$13)</f>
      </c>
      <c r="FP13">
        <f>IF(ISBLANK('Data Entry'!$ì$13), "", 'Data Entry'!$ì$13)</f>
      </c>
      <c r="FQ13">
        <f>IF(ISBLANK('Data Entry'!$í$13), "", 'Data Entry'!$í$13)</f>
      </c>
      <c r="FR13">
        <f>IF(ISBLANK('Data Entry'!$î$13), "", 'Data Entry'!$î$13)</f>
      </c>
      <c r="FS13">
        <f>IF(ISBLANK('Data Entry'!$ï$13), "", 'Data Entry'!$ï$13)</f>
      </c>
      <c r="FT13">
        <f>IF(ISBLANK('Data Entry'!$ð$13), "", 'Data Entry'!$ð$13)</f>
      </c>
      <c r="FU13">
        <f>IF(ISBLANK('Data Entry'!$ñ$13), "", 'Data Entry'!$ñ$13)</f>
      </c>
      <c r="FV13">
        <f>IF(ISBLANK('Data Entry'!$ò$13), "", 'Data Entry'!$ò$13)</f>
      </c>
      <c r="FW13">
        <f>IF(ISBLANK('Data Entry'!$ó$13), "", 'Data Entry'!$ó$13)</f>
      </c>
      <c r="FX13">
        <f>IF(ISBLANK('Data Entry'!$ô$13), "", 'Data Entry'!$ô$13)</f>
      </c>
      <c r="FY13">
        <f>IF(ISBLANK('Data Entry'!$õ$13), "", 'Data Entry'!$õ$13)</f>
      </c>
      <c r="FZ13">
        <f>IF(ISBLANK('Data Entry'!$ö$13), "", 'Data Entry'!$ö$13)</f>
      </c>
      <c r="GA13">
        <f>IF(ISBLANK('Data Entry'!$÷$13), "", 'Data Entry'!$÷$13)</f>
      </c>
      <c r="GB13">
        <f>IF(ISBLANK('Data Entry'!$ø$13), "", 'Data Entry'!$ø$13)</f>
      </c>
      <c r="GC13">
        <f>IF(ISBLANK('Data Entry'!$ù$13), "", 'Data Entry'!$ù$13)</f>
      </c>
      <c r="GD13">
        <f>IF(ISBLANK('Data Entry'!$ú$13), "", 'Data Entry'!$ú$13)</f>
      </c>
      <c r="GE13">
        <f>IF(ISBLANK('Data Entry'!$û$13), "", 'Data Entry'!$û$13)</f>
      </c>
      <c r="GF13">
        <f>IF(ISBLANK('Data Entry'!$ü$13), "", 'Data Entry'!$ü$13)</f>
      </c>
      <c r="GG13">
        <f>IF(ISBLANK('Data Entry'!$ý$13), "", 'Data Entry'!$ý$13)</f>
      </c>
      <c r="GH13">
        <f>IF(ISBLANK('Data Entry'!$þ$13), "", 'Data Entry'!$þ$13)</f>
      </c>
      <c r="GI13">
        <f>IF(ISBLANK('Data Entry'!$ÿ$13), "", 'Data Entry'!$ÿ$13)</f>
      </c>
      <c r="GJ13">
        <f>IF(ISBLANK('Data Entry'!$Ā$13), "", 'Data Entry'!$Ā$13)</f>
      </c>
      <c r="GK13">
        <f>IF(ISBLANK('Data Entry'!$ā$13), "", 'Data Entry'!$ā$13)</f>
      </c>
      <c r="GL13">
        <f>IF(ISBLANK('Data Entry'!$Ă$13), "", 'Data Entry'!$Ă$13)</f>
      </c>
      <c r="GM13">
        <f>IF(ISBLANK('Data Entry'!$ă$13), "", 'Data Entry'!$ă$13)</f>
      </c>
      <c r="GN13">
        <f>IF(ISBLANK('Data Entry'!$Ą$13), "", 'Data Entry'!$Ą$13)</f>
      </c>
      <c r="GO13">
        <f>IF(ISBLANK('Data Entry'!$ą$13), "", 'Data Entry'!$ą$13)</f>
      </c>
      <c r="GP13">
        <f>IF(ISBLANK('Data Entry'!$Ć$13), "", 'Data Entry'!$Ć$13)</f>
      </c>
      <c r="GQ13">
        <f>IF(ISBLANK('Data Entry'!$ć$13), "", 'Data Entry'!$ć$13)</f>
      </c>
      <c r="GR13">
        <f>IF(ISBLANK('Data Entry'!$Ĉ$13), "", 'Data Entry'!$Ĉ$13)</f>
      </c>
      <c r="GS13">
        <f>IF(ISBLANK('Data Entry'!$ĉ$13), "", 'Data Entry'!$ĉ$13)</f>
      </c>
      <c r="GT13">
        <f>IF(ISBLANK('Data Entry'!$Ċ$13), "", 'Data Entry'!$Ċ$13)</f>
      </c>
      <c r="GU13">
        <f>IF(ISBLANK('Data Entry'!$ċ$13), "", 'Data Entry'!$ċ$13)</f>
      </c>
      <c r="GV13">
        <f>IF(ISBLANK('Data Entry'!$Č$13), "", 'Data Entry'!$Č$13)</f>
      </c>
      <c r="GW13">
        <f>IF(ISBLANK('Data Entry'!$č$13), "", 'Data Entry'!$č$13)</f>
      </c>
      <c r="GX13">
        <f>IF(ISBLANK('Data Entry'!$Ď$13), "", 'Data Entry'!$Ď$13)</f>
      </c>
      <c r="GY13">
        <f>IF(ISBLANK('Data Entry'!$ď$13), "", 'Data Entry'!$ď$13)</f>
      </c>
      <c r="GZ13">
        <f>IF(ISBLANK('Data Entry'!$Đ$13), "", 'Data Entry'!$Đ$13)</f>
      </c>
      <c r="HA13">
        <f>IF(ISBLANK('Data Entry'!$đ$13), "", 'Data Entry'!$đ$13)</f>
      </c>
      <c r="HB13">
        <f>IF(ISBLANK('Data Entry'!$Ē$13), "", 'Data Entry'!$Ē$13)</f>
      </c>
      <c r="HC13">
        <f>IF(ISBLANK('Data Entry'!$ē$13), "", 'Data Entry'!$ē$13)</f>
      </c>
      <c r="HD13">
        <f>IF(ISBLANK('Data Entry'!$Ĕ$13), "", 'Data Entry'!$Ĕ$13)</f>
      </c>
      <c r="HE13">
        <f>IF(ISBLANK('Data Entry'!$ĕ$13), "", 'Data Entry'!$ĕ$13)</f>
      </c>
      <c r="HF13">
        <f>IF(ISBLANK('Data Entry'!$Ė$13), "", 'Data Entry'!$Ė$13)</f>
      </c>
      <c r="HG13">
        <f>IF(ISBLANK('Data Entry'!$ė$13), "", 'Data Entry'!$ė$13)</f>
      </c>
      <c r="HH13">
        <f>IF(ISBLANK('Data Entry'!$Ę$13), "", 'Data Entry'!$Ę$13)</f>
      </c>
      <c r="HI13">
        <f>IF(ISBLANK('Data Entry'!$ę$13), "", 'Data Entry'!$ę$13)</f>
      </c>
      <c r="HJ13">
        <f>IF(ISBLANK('Data Entry'!$Ě$13), "", 'Data Entry'!$Ě$13)</f>
      </c>
      <c r="HK13">
        <f>IF(ISBLANK('Data Entry'!$ě$13), "", 'Data Entry'!$ě$13)</f>
      </c>
      <c r="HL13">
        <f>IF(ISBLANK('Data Entry'!$Ĝ$13), "", 'Data Entry'!$Ĝ$13)</f>
      </c>
      <c r="HM13">
        <f>IF(ISBLANK('Data Entry'!$ĝ$13), "", 'Data Entry'!$ĝ$13)</f>
      </c>
      <c r="HN13">
        <f>IF(ISBLANK('Data Entry'!$Ğ$13), "", 'Data Entry'!$Ğ$13)</f>
      </c>
      <c r="HO13">
        <f>IF(ISBLANK('Data Entry'!$ğ$13), "", 'Data Entry'!$ğ$13)</f>
      </c>
      <c r="HP13">
        <f>IF(ISBLANK('Data Entry'!$Ġ$13), "", 'Data Entry'!$Ġ$13)</f>
      </c>
      <c r="HQ13">
        <f>IF(ISBLANK('Data Entry'!$ġ$13), "", 'Data Entry'!$ġ$13)</f>
      </c>
      <c r="HR13">
        <f>IF(ISBLANK('Data Entry'!$Ģ$13), "", 'Data Entry'!$Ģ$13)</f>
      </c>
      <c r="HS13">
        <f>IF(ISBLANK('Data Entry'!$ģ$13), "", 'Data Entry'!$ģ$13)</f>
      </c>
      <c r="HT13">
        <f>IF(ISBLANK('Data Entry'!$Ĥ$13), "", 'Data Entry'!$Ĥ$13)</f>
      </c>
      <c r="HU13">
        <f>IF(ISBLANK('Data Entry'!$ĥ$13), "", 'Data Entry'!$ĥ$13)</f>
      </c>
      <c r="HV13">
        <f>IF(ISBLANK('Data Entry'!$Ħ$13), "", 'Data Entry'!$Ħ$13)</f>
      </c>
      <c r="HW13">
        <f>IF(ISBLANK('Data Entry'!$ħ$13), "", 'Data Entry'!$ħ$13)</f>
      </c>
      <c r="HX13">
        <f>IF(ISBLANK('Data Entry'!$Ĩ$13), "", 'Data Entry'!$Ĩ$13)</f>
      </c>
      <c r="HY13">
        <f>IF(ISBLANK('Data Entry'!$ĩ$13), "", 'Data Entry'!$ĩ$13)</f>
      </c>
      <c r="HZ13">
        <f>IF(ISBLANK('Data Entry'!$Ī$13), "", 'Data Entry'!$Ī$13)</f>
      </c>
      <c r="IA13">
        <f>IF(ISBLANK('Data Entry'!$ī$13), "", 'Data Entry'!$ī$13)</f>
      </c>
      <c r="IB13">
        <f>IF(ISBLANK('Data Entry'!$Ĭ$13), "", 'Data Entry'!$Ĭ$13)</f>
      </c>
      <c r="IC13">
        <f>IF(ISBLANK('Data Entry'!$ĭ$13), "", 'Data Entry'!$ĭ$13)</f>
      </c>
      <c r="ID13">
        <f>IF(ISBLANK('Data Entry'!$Į$13), "", 'Data Entry'!$Į$13)</f>
      </c>
      <c r="IE13">
        <f>IF(ISBLANK('Data Entry'!$į$13), "", 'Data Entry'!$į$13)</f>
      </c>
      <c r="IF13">
        <f>IF(ISBLANK('Data Entry'!$İ$13), "", 'Data Entry'!$İ$13)</f>
      </c>
      <c r="IG13">
        <f>IF(ISBLANK('Data Entry'!$ı$13), "", 'Data Entry'!$ı$13)</f>
      </c>
      <c r="IH13">
        <f>IF(ISBLANK('Data Entry'!$Ĳ$13), "", 'Data Entry'!$Ĳ$13)</f>
      </c>
      <c r="II13">
        <f>IF(ISBLANK('Data Entry'!$ĳ$13), "", 'Data Entry'!$ĳ$13)</f>
      </c>
      <c r="IJ13">
        <f>IF(ISBLANK('Data Entry'!$Ĵ$13), "", 'Data Entry'!$Ĵ$13)</f>
      </c>
      <c r="IK13">
        <f>IF(ISBLANK('Data Entry'!$ĵ$13), "", 'Data Entry'!$ĵ$13)</f>
      </c>
      <c r="IL13">
        <f>IF(ISBLANK('Data Entry'!$Ķ$13), "", 'Data Entry'!$Ķ$13)</f>
      </c>
      <c r="IM13">
        <f>IF(ISBLANK('Data Entry'!$ķ$13), "", 'Data Entry'!$ķ$13)</f>
      </c>
      <c r="IN13">
        <f>IF(ISBLANK('Data Entry'!$ĸ$13), "", 'Data Entry'!$ĸ$13)</f>
      </c>
      <c r="IO13">
        <f>IF(ISBLANK('Data Entry'!$Ĺ$13), "", 'Data Entry'!$Ĺ$13)</f>
      </c>
      <c r="IP13">
        <f>IF(ISBLANK('Data Entry'!$ĺ$13), "", 'Data Entry'!$ĺ$13)</f>
      </c>
      <c r="IQ13">
        <f>IF(ISBLANK('Data Entry'!$Ļ$13), "", 'Data Entry'!$Ļ$13)</f>
      </c>
      <c r="IR13">
        <f>IF(ISBLANK('Data Entry'!$ļ$13), "", 'Data Entry'!$ļ$13)</f>
      </c>
      <c r="IS13">
        <f>IF(ISBLANK('Data Entry'!$Ľ$13), "", 'Data Entry'!$Ľ$13)</f>
      </c>
      <c r="IT13">
        <f>IF(ISBLANK('Data Entry'!$ľ$13), "", 'Data Entry'!$ľ$13)</f>
      </c>
    </row>
    <row r="14" spans="1:254" x14ac:dyDescent="0.25">
      <c r="A14">
        <f>IF(ISBLANK('Data Entry'!$A$14), "", 'Data Entry'!$A$14)</f>
      </c>
      <c r="B14">
        <f>IF(ISBLANK('Data Entry'!$B$14), "", 'Data Entry'!$B$14)</f>
      </c>
      <c r="C14">
        <f>IF(ISBLANK('Data Entry'!$C$14), "", 'Data Entry'!$C$14)</f>
      </c>
      <c r="D14">
        <f>IF(ISBLANK('Data Entry'!$D$14), "", 'Data Entry'!$D$14)</f>
      </c>
      <c r="E14">
        <f>IF(ISBLANK('Data Entry'!$E$14), "", 'Data Entry'!$E$14)</f>
      </c>
      <c r="F14">
        <f>IF(ISBLANK('Data Entry'!$F$14), "", 'Data Entry'!$F$14)</f>
      </c>
      <c r="G14">
        <f>IF(ISBLANK('Data Entry'!$G$14), "", 'Data Entry'!$G$14)</f>
      </c>
      <c r="H14">
        <f>IF(ISBLANK('Data Entry'!$H$14), "", 'Data Entry'!$H$14)</f>
      </c>
      <c r="I14">
        <f>IF(ISBLANK('Data Entry'!$I$14), "", 'Data Entry'!$I$14)</f>
      </c>
      <c r="J14">
        <f>IF(ISBLANK('Data Entry'!$J$14), "", 'Data Entry'!$J$14)</f>
      </c>
      <c r="K14">
        <f>IF(ISBLANK('Data Entry'!$K$14), "", 'Data Entry'!$K$14)</f>
      </c>
      <c r="L14">
        <f>IF(ISBLANK('Data Entry'!$L$14), "", 'Data Entry'!$L$14)</f>
      </c>
      <c r="M14">
        <f>IF(ISBLANK('Data Entry'!$M$14), "", 'Data Entry'!$M$14)</f>
      </c>
      <c r="N14">
        <f>IF(ISBLANK('Data Entry'!$N$14), "", 'Data Entry'!$N$14)</f>
      </c>
      <c r="O14">
        <f>IF(ISBLANK('Data Entry'!$O$14), "", 'Data Entry'!$O$14)</f>
      </c>
      <c r="P14">
        <f>IF(ISBLANK('Data Entry'!$P$14), "", 'Data Entry'!$P$14)</f>
      </c>
      <c r="Q14">
        <f>IF(ISBLANK('Data Entry'!$Q$14), "", 'Data Entry'!$Q$14)</f>
      </c>
      <c r="R14">
        <f>IF(ISBLANK('Data Entry'!$R$14), "", 'Data Entry'!$R$14)</f>
      </c>
      <c r="S14">
        <f>IF(ISBLANK('Data Entry'!$S$14), "", 'Data Entry'!$S$14)</f>
      </c>
      <c r="T14">
        <f>IF(ISBLANK('Data Entry'!$T$14), "", 'Data Entry'!$T$14)</f>
      </c>
      <c r="U14">
        <f>IF(ISBLANK('Data Entry'!$U$14), "", 'Data Entry'!$U$14)</f>
      </c>
      <c r="V14">
        <f>IF(ISBLANK('Data Entry'!$V$14), "", 'Data Entry'!$V$14)</f>
      </c>
      <c r="W14">
        <f>IF(ISBLANK('Data Entry'!$W$14), "", 'Data Entry'!$W$14)</f>
      </c>
      <c r="X14">
        <f>IF(ISBLANK('Data Entry'!$X$14), "", 'Data Entry'!$X$14)</f>
      </c>
      <c r="Y14">
        <f>IF(ISBLANK('Data Entry'!$Y$14), "", 'Data Entry'!$Y$14)</f>
      </c>
      <c r="Z14">
        <f>IF(ISBLANK('Data Entry'!$Z$14), "", 'Data Entry'!$Z$14)</f>
      </c>
      <c r="AA14">
        <f>IF(ISBLANK('Data Entry'!$[$14), "", 'Data Entry'!$[$14)</f>
      </c>
      <c r="AB14">
        <f>IF(ISBLANK('Data Entry'!$\$14), "", 'Data Entry'!$\$14)</f>
      </c>
      <c r="AC14">
        <f>IF(ISBLANK('Data Entry'!$]$14), "", 'Data Entry'!$]$14)</f>
      </c>
      <c r="AD14">
        <f>IF(ISBLANK('Data Entry'!$^$14), "", 'Data Entry'!$^$14)</f>
      </c>
      <c r="AE14">
        <f>IF(ISBLANK('Data Entry'!$_$14), "", 'Data Entry'!$_$14)</f>
      </c>
      <c r="AF14">
        <f>IF(ISBLANK('Data Entry'!$`$14), "", 'Data Entry'!$`$14)</f>
      </c>
      <c r="AG14">
        <f>IF(ISBLANK('Data Entry'!$a$14), "", 'Data Entry'!$a$14)</f>
      </c>
      <c r="AH14">
        <f>IF(ISBLANK('Data Entry'!$b$14), "", 'Data Entry'!$b$14)</f>
      </c>
      <c r="AI14">
        <f>IF(ISBLANK('Data Entry'!$c$14), "", 'Data Entry'!$c$14)</f>
      </c>
      <c r="AJ14">
        <f>IF(ISBLANK('Data Entry'!$d$14), "", 'Data Entry'!$d$14)</f>
      </c>
      <c r="AK14">
        <f>IF(ISBLANK('Data Entry'!$e$14), "", 'Data Entry'!$e$14)</f>
      </c>
      <c r="AL14">
        <f>IF(ISBLANK('Data Entry'!$f$14), "", 'Data Entry'!$f$14)</f>
      </c>
      <c r="AM14">
        <f>IF(ISBLANK('Data Entry'!$g$14), "", 'Data Entry'!$g$14)</f>
      </c>
      <c r="AN14">
        <f>IF(ISBLANK('Data Entry'!$h$14), "", 'Data Entry'!$h$14)</f>
      </c>
      <c r="AO14">
        <f>IF(ISBLANK('Data Entry'!$i$14), "", 'Data Entry'!$i$14)</f>
      </c>
      <c r="AP14">
        <f>IF(ISBLANK('Data Entry'!$j$14), "", 'Data Entry'!$j$14)</f>
      </c>
      <c r="AQ14">
        <f>IF(ISBLANK('Data Entry'!$k$14), "", 'Data Entry'!$k$14)</f>
      </c>
      <c r="AR14">
        <f>IF(ISBLANK('Data Entry'!$l$14), "", 'Data Entry'!$l$14)</f>
      </c>
      <c r="AS14">
        <f>IF(ISBLANK('Data Entry'!$m$14), "", 'Data Entry'!$m$14)</f>
      </c>
      <c r="AT14">
        <f>IF(ISBLANK('Data Entry'!$n$14), "", 'Data Entry'!$n$14)</f>
      </c>
      <c r="AU14">
        <f>IF(ISBLANK('Data Entry'!$o$14), "", 'Data Entry'!$o$14)</f>
      </c>
      <c r="AV14">
        <f>IF(ISBLANK('Data Entry'!$p$14), "", 'Data Entry'!$p$14)</f>
      </c>
      <c r="AW14">
        <f>IF(ISBLANK('Data Entry'!$q$14), "", 'Data Entry'!$q$14)</f>
      </c>
      <c r="AX14">
        <f>IF(ISBLANK('Data Entry'!$r$14), "", 'Data Entry'!$r$14)</f>
      </c>
      <c r="AY14">
        <f>IF(ISBLANK('Data Entry'!$s$14), "", 'Data Entry'!$s$14)</f>
      </c>
      <c r="AZ14">
        <f>IF(ISBLANK('Data Entry'!$t$14), "", 'Data Entry'!$t$14)</f>
      </c>
      <c r="BA14">
        <f>IF(ISBLANK('Data Entry'!$u$14), "", 'Data Entry'!$u$14)</f>
      </c>
      <c r="BB14">
        <f>IF(ISBLANK('Data Entry'!$v$14), "", 'Data Entry'!$v$14)</f>
      </c>
      <c r="BC14">
        <f>IF(ISBLANK('Data Entry'!$w$14), "", 'Data Entry'!$w$14)</f>
      </c>
      <c r="BD14">
        <f>IF(ISBLANK('Data Entry'!$x$14), "", 'Data Entry'!$x$14)</f>
      </c>
      <c r="BE14">
        <f>IF(ISBLANK('Data Entry'!$y$14), "", 'Data Entry'!$y$14)</f>
      </c>
      <c r="BF14">
        <f>IF(ISBLANK('Data Entry'!$z$14), "", 'Data Entry'!$z$14)</f>
      </c>
      <c r="BG14">
        <f>IF(ISBLANK('Data Entry'!${$14), "", 'Data Entry'!${$14)</f>
      </c>
      <c r="BH14">
        <f>IF(ISBLANK('Data Entry'!$|$14), "", 'Data Entry'!$|$14)</f>
      </c>
      <c r="BI14">
        <f>IF(ISBLANK('Data Entry'!$}$14), "", 'Data Entry'!$}$14)</f>
      </c>
      <c r="BJ14">
        <f>IF(ISBLANK('Data Entry'!$~$14), "", 'Data Entry'!$~$14)</f>
      </c>
      <c r="BK14">
        <f>IF(ISBLANK('Data Entry'!$$14), "", 'Data Entry'!$$14)</f>
      </c>
      <c r="BL14">
        <f>IF(ISBLANK('Data Entry'!$$14), "", 'Data Entry'!$$14)</f>
      </c>
      <c r="BM14">
        <f>IF(ISBLANK('Data Entry'!$$14), "", 'Data Entry'!$$14)</f>
      </c>
      <c r="BN14">
        <f>IF(ISBLANK('Data Entry'!$$14), "", 'Data Entry'!$$14)</f>
      </c>
      <c r="BO14">
        <f>IF(ISBLANK('Data Entry'!$$14), "", 'Data Entry'!$$14)</f>
      </c>
      <c r="BP14">
        <f>IF(ISBLANK('Data Entry'!$$14), "", 'Data Entry'!$$14)</f>
      </c>
      <c r="BQ14">
        <f>IF(ISBLANK('Data Entry'!$$14), "", 'Data Entry'!$$14)</f>
      </c>
      <c r="BR14">
        <f>IF(ISBLANK('Data Entry'!$$14), "", 'Data Entry'!$$14)</f>
      </c>
      <c r="BS14">
        <f>IF(ISBLANK('Data Entry'!$$14), "", 'Data Entry'!$$14)</f>
      </c>
      <c r="BT14">
        <f>IF(ISBLANK('Data Entry'!$$14), "", 'Data Entry'!$$14)</f>
      </c>
      <c r="BU14">
        <f>IF(ISBLANK('Data Entry'!$$14), "", 'Data Entry'!$$14)</f>
      </c>
      <c r="BV14">
        <f>IF(ISBLANK('Data Entry'!$$14), "", 'Data Entry'!$$14)</f>
      </c>
      <c r="BW14">
        <f>IF(ISBLANK('Data Entry'!$$14), "", 'Data Entry'!$$14)</f>
      </c>
      <c r="BX14">
        <f>IF(ISBLANK('Data Entry'!$$14), "", 'Data Entry'!$$14)</f>
      </c>
      <c r="BY14">
        <f>IF(ISBLANK('Data Entry'!$$14), "", 'Data Entry'!$$14)</f>
      </c>
      <c r="BZ14">
        <f>IF(ISBLANK('Data Entry'!$$14), "", 'Data Entry'!$$14)</f>
      </c>
      <c r="CA14">
        <f>IF(ISBLANK('Data Entry'!$$14), "", 'Data Entry'!$$14)</f>
      </c>
      <c r="CB14">
        <f>IF(ISBLANK('Data Entry'!$$14), "", 'Data Entry'!$$14)</f>
      </c>
      <c r="CC14">
        <f>IF(ISBLANK('Data Entry'!$$14), "", 'Data Entry'!$$14)</f>
      </c>
      <c r="CD14">
        <f>IF(ISBLANK('Data Entry'!$$14), "", 'Data Entry'!$$14)</f>
      </c>
      <c r="CE14">
        <f>IF(ISBLANK('Data Entry'!$$14), "", 'Data Entry'!$$14)</f>
      </c>
      <c r="CF14">
        <f>IF(ISBLANK('Data Entry'!$$14), "", 'Data Entry'!$$14)</f>
      </c>
      <c r="CG14">
        <f>IF(ISBLANK('Data Entry'!$$14), "", 'Data Entry'!$$14)</f>
      </c>
      <c r="CH14">
        <f>IF(ISBLANK('Data Entry'!$$14), "", 'Data Entry'!$$14)</f>
      </c>
      <c r="CI14">
        <f>IF(ISBLANK('Data Entry'!$$14), "", 'Data Entry'!$$14)</f>
      </c>
      <c r="CJ14">
        <f>IF(ISBLANK('Data Entry'!$$14), "", 'Data Entry'!$$14)</f>
      </c>
      <c r="CK14">
        <f>IF(ISBLANK('Data Entry'!$$14), "", 'Data Entry'!$$14)</f>
      </c>
      <c r="CL14">
        <f>IF(ISBLANK('Data Entry'!$$14), "", 'Data Entry'!$$14)</f>
      </c>
      <c r="CM14">
        <f>IF(ISBLANK('Data Entry'!$$14), "", 'Data Entry'!$$14)</f>
      </c>
      <c r="CN14">
        <f>IF(ISBLANK('Data Entry'!$$14), "", 'Data Entry'!$$14)</f>
      </c>
      <c r="CO14">
        <f>IF(ISBLANK('Data Entry'!$$14), "", 'Data Entry'!$$14)</f>
      </c>
      <c r="CP14">
        <f>IF(ISBLANK('Data Entry'!$$14), "", 'Data Entry'!$$14)</f>
      </c>
      <c r="CQ14">
        <f>IF(ISBLANK('Data Entry'!$$14), "", 'Data Entry'!$$14)</f>
      </c>
      <c r="CR14">
        <f>IF(ISBLANK('Data Entry'!$ $14), "", 'Data Entry'!$ $14)</f>
      </c>
      <c r="CS14">
        <f>IF(ISBLANK('Data Entry'!$¡$14), "", 'Data Entry'!$¡$14)</f>
      </c>
      <c r="CT14">
        <f>IF(ISBLANK('Data Entry'!$¢$14), "", 'Data Entry'!$¢$14)</f>
      </c>
      <c r="CU14">
        <f>IF(ISBLANK('Data Entry'!$£$14), "", 'Data Entry'!$£$14)</f>
      </c>
      <c r="CV14">
        <f>IF(ISBLANK('Data Entry'!$¤$14), "", 'Data Entry'!$¤$14)</f>
      </c>
      <c r="CW14">
        <f>IF(ISBLANK('Data Entry'!$¥$14), "", 'Data Entry'!$¥$14)</f>
      </c>
      <c r="CX14">
        <f>IF(ISBLANK('Data Entry'!$¦$14), "", 'Data Entry'!$¦$14)</f>
      </c>
      <c r="CY14">
        <f>IF(ISBLANK('Data Entry'!$§$14), "", 'Data Entry'!$§$14)</f>
      </c>
      <c r="CZ14">
        <f>IF(ISBLANK('Data Entry'!$¨$14), "", 'Data Entry'!$¨$14)</f>
      </c>
      <c r="DA14">
        <f>IF(ISBLANK('Data Entry'!$©$14), "", 'Data Entry'!$©$14)</f>
      </c>
      <c r="DB14">
        <f>IF(ISBLANK('Data Entry'!$ª$14), "", 'Data Entry'!$ª$14)</f>
      </c>
      <c r="DC14">
        <f>IF(ISBLANK('Data Entry'!$«$14), "", 'Data Entry'!$«$14)</f>
      </c>
      <c r="DD14">
        <f>IF(ISBLANK('Data Entry'!$¬$14), "", 'Data Entry'!$¬$14)</f>
      </c>
      <c r="DE14">
        <f>IF(ISBLANK('Data Entry'!$­$14), "", 'Data Entry'!$­$14)</f>
      </c>
      <c r="DF14">
        <f>IF(ISBLANK('Data Entry'!$®$14), "", 'Data Entry'!$®$14)</f>
      </c>
      <c r="DG14">
        <f>IF(ISBLANK('Data Entry'!$¯$14), "", 'Data Entry'!$¯$14)</f>
      </c>
      <c r="DH14">
        <f>IF(ISBLANK('Data Entry'!$°$14), "", 'Data Entry'!$°$14)</f>
      </c>
      <c r="DI14">
        <f>IF(ISBLANK('Data Entry'!$±$14), "", 'Data Entry'!$±$14)</f>
      </c>
      <c r="DJ14">
        <f>IF(ISBLANK('Data Entry'!$²$14), "", 'Data Entry'!$²$14)</f>
      </c>
      <c r="DK14">
        <f>IF(ISBLANK('Data Entry'!$³$14), "", 'Data Entry'!$³$14)</f>
      </c>
      <c r="DL14">
        <f>IF(ISBLANK('Data Entry'!$´$14), "", 'Data Entry'!$´$14)</f>
      </c>
      <c r="DM14">
        <f>IF(ISBLANK('Data Entry'!$µ$14), "", 'Data Entry'!$µ$14)</f>
      </c>
      <c r="DN14">
        <f>IF(ISBLANK('Data Entry'!$¶$14), "", 'Data Entry'!$¶$14)</f>
      </c>
      <c r="DO14">
        <f>IF(ISBLANK('Data Entry'!$·$14), "", 'Data Entry'!$·$14)</f>
      </c>
      <c r="DP14">
        <f>IF(ISBLANK('Data Entry'!$¸$14), "", 'Data Entry'!$¸$14)</f>
      </c>
      <c r="DQ14">
        <f>IF(ISBLANK('Data Entry'!$¹$14), "", 'Data Entry'!$¹$14)</f>
      </c>
      <c r="DR14">
        <f>IF(ISBLANK('Data Entry'!$º$14), "", 'Data Entry'!$º$14)</f>
      </c>
      <c r="DS14">
        <f>IF(ISBLANK('Data Entry'!$»$14), "", 'Data Entry'!$»$14)</f>
      </c>
      <c r="DT14">
        <f>IF(ISBLANK('Data Entry'!$¼$14), "", 'Data Entry'!$¼$14)</f>
      </c>
      <c r="DU14">
        <f>IF(ISBLANK('Data Entry'!$½$14), "", 'Data Entry'!$½$14)</f>
      </c>
      <c r="DV14">
        <f>IF(ISBLANK('Data Entry'!$¾$14), "", 'Data Entry'!$¾$14)</f>
      </c>
      <c r="DW14">
        <f>IF(ISBLANK('Data Entry'!$¿$14), "", 'Data Entry'!$¿$14)</f>
      </c>
      <c r="DX14">
        <f>IF(ISBLANK('Data Entry'!$À$14), "", 'Data Entry'!$À$14)</f>
      </c>
      <c r="DY14">
        <f>IF(ISBLANK('Data Entry'!$Á$14), "", 'Data Entry'!$Á$14)</f>
      </c>
      <c r="DZ14">
        <f>IF(ISBLANK('Data Entry'!$Â$14), "", 'Data Entry'!$Â$14)</f>
      </c>
      <c r="EA14">
        <f>IF(ISBLANK('Data Entry'!$Ã$14), "", 'Data Entry'!$Ã$14)</f>
      </c>
      <c r="EB14">
        <f>IF(ISBLANK('Data Entry'!$Ä$14), "", 'Data Entry'!$Ä$14)</f>
      </c>
      <c r="EC14">
        <f>IF(ISBLANK('Data Entry'!$Å$14), "", 'Data Entry'!$Å$14)</f>
      </c>
      <c r="ED14">
        <f>IF(ISBLANK('Data Entry'!$Æ$14), "", 'Data Entry'!$Æ$14)</f>
      </c>
      <c r="EE14">
        <f>IF(ISBLANK('Data Entry'!$Ç$14), "", 'Data Entry'!$Ç$14)</f>
      </c>
      <c r="EF14">
        <f>IF(ISBLANK('Data Entry'!$È$14), "", 'Data Entry'!$È$14)</f>
      </c>
      <c r="EG14">
        <f>IF(ISBLANK('Data Entry'!$É$14), "", 'Data Entry'!$É$14)</f>
      </c>
      <c r="EH14">
        <f>IF(ISBLANK('Data Entry'!$Ê$14), "", 'Data Entry'!$Ê$14)</f>
      </c>
      <c r="EI14">
        <f>IF(ISBLANK('Data Entry'!$Ë$14), "", 'Data Entry'!$Ë$14)</f>
      </c>
      <c r="EJ14">
        <f>IF(ISBLANK('Data Entry'!$Ì$14), "", 'Data Entry'!$Ì$14)</f>
      </c>
      <c r="EK14">
        <f>IF(ISBLANK('Data Entry'!$Í$14), "", 'Data Entry'!$Í$14)</f>
      </c>
      <c r="EL14">
        <f>IF(ISBLANK('Data Entry'!$Î$14), "", 'Data Entry'!$Î$14)</f>
      </c>
      <c r="EM14">
        <f>IF(ISBLANK('Data Entry'!$Ï$14), "", 'Data Entry'!$Ï$14)</f>
      </c>
      <c r="EN14">
        <f>IF(ISBLANK('Data Entry'!$Ð$14), "", 'Data Entry'!$Ð$14)</f>
      </c>
      <c r="EO14">
        <f>IF(ISBLANK('Data Entry'!$Ñ$14), "", 'Data Entry'!$Ñ$14)</f>
      </c>
      <c r="EP14">
        <f>IF(ISBLANK('Data Entry'!$Ò$14), "", 'Data Entry'!$Ò$14)</f>
      </c>
      <c r="EQ14">
        <f>IF(ISBLANK('Data Entry'!$Ó$14), "", 'Data Entry'!$Ó$14)</f>
      </c>
      <c r="ER14">
        <f>IF(ISBLANK('Data Entry'!$Ô$14), "", 'Data Entry'!$Ô$14)</f>
      </c>
      <c r="ES14">
        <f>IF(ISBLANK('Data Entry'!$Õ$14), "", 'Data Entry'!$Õ$14)</f>
      </c>
      <c r="ET14">
        <f>IF(ISBLANK('Data Entry'!$Ö$14), "", 'Data Entry'!$Ö$14)</f>
      </c>
      <c r="EU14">
        <f>IF(ISBLANK('Data Entry'!$×$14), "", 'Data Entry'!$×$14)</f>
      </c>
      <c r="EV14">
        <f>IF(ISBLANK('Data Entry'!$Ø$14), "", 'Data Entry'!$Ø$14)</f>
      </c>
      <c r="EW14">
        <f>IF(ISBLANK('Data Entry'!$Ù$14), "", 'Data Entry'!$Ù$14)</f>
      </c>
      <c r="EX14">
        <f>IF(ISBLANK('Data Entry'!$Ú$14), "", 'Data Entry'!$Ú$14)</f>
      </c>
      <c r="EY14">
        <f>IF(ISBLANK('Data Entry'!$Û$14), "", 'Data Entry'!$Û$14)</f>
      </c>
      <c r="EZ14">
        <f>IF(ISBLANK('Data Entry'!$Ü$14), "", 'Data Entry'!$Ü$14)</f>
      </c>
      <c r="FA14">
        <f>IF(ISBLANK('Data Entry'!$Ý$14), "", 'Data Entry'!$Ý$14)</f>
      </c>
      <c r="FB14">
        <f>IF(ISBLANK('Data Entry'!$Þ$14), "", 'Data Entry'!$Þ$14)</f>
      </c>
      <c r="FC14">
        <f>IF(ISBLANK('Data Entry'!$ß$14), "", 'Data Entry'!$ß$14)</f>
      </c>
      <c r="FD14">
        <f>IF(ISBLANK('Data Entry'!$à$14), "", 'Data Entry'!$à$14)</f>
      </c>
      <c r="FE14">
        <f>IF(ISBLANK('Data Entry'!$á$14), "", 'Data Entry'!$á$14)</f>
      </c>
      <c r="FF14">
        <f>IF(ISBLANK('Data Entry'!$â$14), "", 'Data Entry'!$â$14)</f>
      </c>
      <c r="FG14">
        <f>IF(ISBLANK('Data Entry'!$ã$14), "", 'Data Entry'!$ã$14)</f>
      </c>
      <c r="FH14">
        <f>IF(ISBLANK('Data Entry'!$ä$14), "", 'Data Entry'!$ä$14)</f>
      </c>
      <c r="FI14">
        <f>IF(ISBLANK('Data Entry'!$å$14), "", 'Data Entry'!$å$14)</f>
      </c>
      <c r="FJ14">
        <f>IF(ISBLANK('Data Entry'!$æ$14), "", 'Data Entry'!$æ$14)</f>
      </c>
      <c r="FK14">
        <f>IF(ISBLANK('Data Entry'!$ç$14), "", 'Data Entry'!$ç$14)</f>
      </c>
      <c r="FL14">
        <f>IF(ISBLANK('Data Entry'!$è$14), "", 'Data Entry'!$è$14)</f>
      </c>
      <c r="FM14">
        <f>IF(ISBLANK('Data Entry'!$é$14), "", 'Data Entry'!$é$14)</f>
      </c>
      <c r="FN14">
        <f>IF(ISBLANK('Data Entry'!$ê$14), "", 'Data Entry'!$ê$14)</f>
      </c>
      <c r="FO14">
        <f>IF(ISBLANK('Data Entry'!$ë$14), "", 'Data Entry'!$ë$14)</f>
      </c>
      <c r="FP14">
        <f>IF(ISBLANK('Data Entry'!$ì$14), "", 'Data Entry'!$ì$14)</f>
      </c>
      <c r="FQ14">
        <f>IF(ISBLANK('Data Entry'!$í$14), "", 'Data Entry'!$í$14)</f>
      </c>
      <c r="FR14">
        <f>IF(ISBLANK('Data Entry'!$î$14), "", 'Data Entry'!$î$14)</f>
      </c>
      <c r="FS14">
        <f>IF(ISBLANK('Data Entry'!$ï$14), "", 'Data Entry'!$ï$14)</f>
      </c>
      <c r="FT14">
        <f>IF(ISBLANK('Data Entry'!$ð$14), "", 'Data Entry'!$ð$14)</f>
      </c>
      <c r="FU14">
        <f>IF(ISBLANK('Data Entry'!$ñ$14), "", 'Data Entry'!$ñ$14)</f>
      </c>
      <c r="FV14">
        <f>IF(ISBLANK('Data Entry'!$ò$14), "", 'Data Entry'!$ò$14)</f>
      </c>
      <c r="FW14">
        <f>IF(ISBLANK('Data Entry'!$ó$14), "", 'Data Entry'!$ó$14)</f>
      </c>
      <c r="FX14">
        <f>IF(ISBLANK('Data Entry'!$ô$14), "", 'Data Entry'!$ô$14)</f>
      </c>
      <c r="FY14">
        <f>IF(ISBLANK('Data Entry'!$õ$14), "", 'Data Entry'!$õ$14)</f>
      </c>
      <c r="FZ14">
        <f>IF(ISBLANK('Data Entry'!$ö$14), "", 'Data Entry'!$ö$14)</f>
      </c>
      <c r="GA14">
        <f>IF(ISBLANK('Data Entry'!$÷$14), "", 'Data Entry'!$÷$14)</f>
      </c>
      <c r="GB14">
        <f>IF(ISBLANK('Data Entry'!$ø$14), "", 'Data Entry'!$ø$14)</f>
      </c>
      <c r="GC14">
        <f>IF(ISBLANK('Data Entry'!$ù$14), "", 'Data Entry'!$ù$14)</f>
      </c>
      <c r="GD14">
        <f>IF(ISBLANK('Data Entry'!$ú$14), "", 'Data Entry'!$ú$14)</f>
      </c>
      <c r="GE14">
        <f>IF(ISBLANK('Data Entry'!$û$14), "", 'Data Entry'!$û$14)</f>
      </c>
      <c r="GF14">
        <f>IF(ISBLANK('Data Entry'!$ü$14), "", 'Data Entry'!$ü$14)</f>
      </c>
      <c r="GG14">
        <f>IF(ISBLANK('Data Entry'!$ý$14), "", 'Data Entry'!$ý$14)</f>
      </c>
      <c r="GH14">
        <f>IF(ISBLANK('Data Entry'!$þ$14), "", 'Data Entry'!$þ$14)</f>
      </c>
      <c r="GI14">
        <f>IF(ISBLANK('Data Entry'!$ÿ$14), "", 'Data Entry'!$ÿ$14)</f>
      </c>
      <c r="GJ14">
        <f>IF(ISBLANK('Data Entry'!$Ā$14), "", 'Data Entry'!$Ā$14)</f>
      </c>
      <c r="GK14">
        <f>IF(ISBLANK('Data Entry'!$ā$14), "", 'Data Entry'!$ā$14)</f>
      </c>
      <c r="GL14">
        <f>IF(ISBLANK('Data Entry'!$Ă$14), "", 'Data Entry'!$Ă$14)</f>
      </c>
      <c r="GM14">
        <f>IF(ISBLANK('Data Entry'!$ă$14), "", 'Data Entry'!$ă$14)</f>
      </c>
      <c r="GN14">
        <f>IF(ISBLANK('Data Entry'!$Ą$14), "", 'Data Entry'!$Ą$14)</f>
      </c>
      <c r="GO14">
        <f>IF(ISBLANK('Data Entry'!$ą$14), "", 'Data Entry'!$ą$14)</f>
      </c>
      <c r="GP14">
        <f>IF(ISBLANK('Data Entry'!$Ć$14), "", 'Data Entry'!$Ć$14)</f>
      </c>
      <c r="GQ14">
        <f>IF(ISBLANK('Data Entry'!$ć$14), "", 'Data Entry'!$ć$14)</f>
      </c>
      <c r="GR14">
        <f>IF(ISBLANK('Data Entry'!$Ĉ$14), "", 'Data Entry'!$Ĉ$14)</f>
      </c>
      <c r="GS14">
        <f>IF(ISBLANK('Data Entry'!$ĉ$14), "", 'Data Entry'!$ĉ$14)</f>
      </c>
      <c r="GT14">
        <f>IF(ISBLANK('Data Entry'!$Ċ$14), "", 'Data Entry'!$Ċ$14)</f>
      </c>
      <c r="GU14">
        <f>IF(ISBLANK('Data Entry'!$ċ$14), "", 'Data Entry'!$ċ$14)</f>
      </c>
      <c r="GV14">
        <f>IF(ISBLANK('Data Entry'!$Č$14), "", 'Data Entry'!$Č$14)</f>
      </c>
      <c r="GW14">
        <f>IF(ISBLANK('Data Entry'!$č$14), "", 'Data Entry'!$č$14)</f>
      </c>
      <c r="GX14">
        <f>IF(ISBLANK('Data Entry'!$Ď$14), "", 'Data Entry'!$Ď$14)</f>
      </c>
      <c r="GY14">
        <f>IF(ISBLANK('Data Entry'!$ď$14), "", 'Data Entry'!$ď$14)</f>
      </c>
      <c r="GZ14">
        <f>IF(ISBLANK('Data Entry'!$Đ$14), "", 'Data Entry'!$Đ$14)</f>
      </c>
      <c r="HA14">
        <f>IF(ISBLANK('Data Entry'!$đ$14), "", 'Data Entry'!$đ$14)</f>
      </c>
      <c r="HB14">
        <f>IF(ISBLANK('Data Entry'!$Ē$14), "", 'Data Entry'!$Ē$14)</f>
      </c>
      <c r="HC14">
        <f>IF(ISBLANK('Data Entry'!$ē$14), "", 'Data Entry'!$ē$14)</f>
      </c>
      <c r="HD14">
        <f>IF(ISBLANK('Data Entry'!$Ĕ$14), "", 'Data Entry'!$Ĕ$14)</f>
      </c>
      <c r="HE14">
        <f>IF(ISBLANK('Data Entry'!$ĕ$14), "", 'Data Entry'!$ĕ$14)</f>
      </c>
      <c r="HF14">
        <f>IF(ISBLANK('Data Entry'!$Ė$14), "", 'Data Entry'!$Ė$14)</f>
      </c>
      <c r="HG14">
        <f>IF(ISBLANK('Data Entry'!$ė$14), "", 'Data Entry'!$ė$14)</f>
      </c>
      <c r="HH14">
        <f>IF(ISBLANK('Data Entry'!$Ę$14), "", 'Data Entry'!$Ę$14)</f>
      </c>
      <c r="HI14">
        <f>IF(ISBLANK('Data Entry'!$ę$14), "", 'Data Entry'!$ę$14)</f>
      </c>
      <c r="HJ14">
        <f>IF(ISBLANK('Data Entry'!$Ě$14), "", 'Data Entry'!$Ě$14)</f>
      </c>
      <c r="HK14">
        <f>IF(ISBLANK('Data Entry'!$ě$14), "", 'Data Entry'!$ě$14)</f>
      </c>
      <c r="HL14">
        <f>IF(ISBLANK('Data Entry'!$Ĝ$14), "", 'Data Entry'!$Ĝ$14)</f>
      </c>
      <c r="HM14">
        <f>IF(ISBLANK('Data Entry'!$ĝ$14), "", 'Data Entry'!$ĝ$14)</f>
      </c>
      <c r="HN14">
        <f>IF(ISBLANK('Data Entry'!$Ğ$14), "", 'Data Entry'!$Ğ$14)</f>
      </c>
      <c r="HO14">
        <f>IF(ISBLANK('Data Entry'!$ğ$14), "", 'Data Entry'!$ğ$14)</f>
      </c>
      <c r="HP14">
        <f>IF(ISBLANK('Data Entry'!$Ġ$14), "", 'Data Entry'!$Ġ$14)</f>
      </c>
      <c r="HQ14">
        <f>IF(ISBLANK('Data Entry'!$ġ$14), "", 'Data Entry'!$ġ$14)</f>
      </c>
      <c r="HR14">
        <f>IF(ISBLANK('Data Entry'!$Ģ$14), "", 'Data Entry'!$Ģ$14)</f>
      </c>
      <c r="HS14">
        <f>IF(ISBLANK('Data Entry'!$ģ$14), "", 'Data Entry'!$ģ$14)</f>
      </c>
      <c r="HT14">
        <f>IF(ISBLANK('Data Entry'!$Ĥ$14), "", 'Data Entry'!$Ĥ$14)</f>
      </c>
      <c r="HU14">
        <f>IF(ISBLANK('Data Entry'!$ĥ$14), "", 'Data Entry'!$ĥ$14)</f>
      </c>
      <c r="HV14">
        <f>IF(ISBLANK('Data Entry'!$Ħ$14), "", 'Data Entry'!$Ħ$14)</f>
      </c>
      <c r="HW14">
        <f>IF(ISBLANK('Data Entry'!$ħ$14), "", 'Data Entry'!$ħ$14)</f>
      </c>
      <c r="HX14">
        <f>IF(ISBLANK('Data Entry'!$Ĩ$14), "", 'Data Entry'!$Ĩ$14)</f>
      </c>
      <c r="HY14">
        <f>IF(ISBLANK('Data Entry'!$ĩ$14), "", 'Data Entry'!$ĩ$14)</f>
      </c>
      <c r="HZ14">
        <f>IF(ISBLANK('Data Entry'!$Ī$14), "", 'Data Entry'!$Ī$14)</f>
      </c>
      <c r="IA14">
        <f>IF(ISBLANK('Data Entry'!$ī$14), "", 'Data Entry'!$ī$14)</f>
      </c>
      <c r="IB14">
        <f>IF(ISBLANK('Data Entry'!$Ĭ$14), "", 'Data Entry'!$Ĭ$14)</f>
      </c>
      <c r="IC14">
        <f>IF(ISBLANK('Data Entry'!$ĭ$14), "", 'Data Entry'!$ĭ$14)</f>
      </c>
      <c r="ID14">
        <f>IF(ISBLANK('Data Entry'!$Į$14), "", 'Data Entry'!$Į$14)</f>
      </c>
      <c r="IE14">
        <f>IF(ISBLANK('Data Entry'!$į$14), "", 'Data Entry'!$į$14)</f>
      </c>
      <c r="IF14">
        <f>IF(ISBLANK('Data Entry'!$İ$14), "", 'Data Entry'!$İ$14)</f>
      </c>
      <c r="IG14">
        <f>IF(ISBLANK('Data Entry'!$ı$14), "", 'Data Entry'!$ı$14)</f>
      </c>
      <c r="IH14">
        <f>IF(ISBLANK('Data Entry'!$Ĳ$14), "", 'Data Entry'!$Ĳ$14)</f>
      </c>
      <c r="II14">
        <f>IF(ISBLANK('Data Entry'!$ĳ$14), "", 'Data Entry'!$ĳ$14)</f>
      </c>
      <c r="IJ14">
        <f>IF(ISBLANK('Data Entry'!$Ĵ$14), "", 'Data Entry'!$Ĵ$14)</f>
      </c>
      <c r="IK14">
        <f>IF(ISBLANK('Data Entry'!$ĵ$14), "", 'Data Entry'!$ĵ$14)</f>
      </c>
      <c r="IL14">
        <f>IF(ISBLANK('Data Entry'!$Ķ$14), "", 'Data Entry'!$Ķ$14)</f>
      </c>
      <c r="IM14">
        <f>IF(ISBLANK('Data Entry'!$ķ$14), "", 'Data Entry'!$ķ$14)</f>
      </c>
      <c r="IN14">
        <f>IF(ISBLANK('Data Entry'!$ĸ$14), "", 'Data Entry'!$ĸ$14)</f>
      </c>
      <c r="IO14">
        <f>IF(ISBLANK('Data Entry'!$Ĺ$14), "", 'Data Entry'!$Ĺ$14)</f>
      </c>
      <c r="IP14">
        <f>IF(ISBLANK('Data Entry'!$ĺ$14), "", 'Data Entry'!$ĺ$14)</f>
      </c>
      <c r="IQ14">
        <f>IF(ISBLANK('Data Entry'!$Ļ$14), "", 'Data Entry'!$Ļ$14)</f>
      </c>
      <c r="IR14">
        <f>IF(ISBLANK('Data Entry'!$ļ$14), "", 'Data Entry'!$ļ$14)</f>
      </c>
      <c r="IS14">
        <f>IF(ISBLANK('Data Entry'!$Ľ$14), "", 'Data Entry'!$Ľ$14)</f>
      </c>
      <c r="IT14">
        <f>IF(ISBLANK('Data Entry'!$ľ$14), "", 'Data Entry'!$ľ$14)</f>
      </c>
    </row>
    <row r="15" spans="1:254" x14ac:dyDescent="0.25">
      <c r="A15">
        <f>IF(ISBLANK('Data Entry'!$A$15), "", 'Data Entry'!$A$15)</f>
      </c>
      <c r="B15">
        <f>IF(ISBLANK('Data Entry'!$B$15), "", 'Data Entry'!$B$15)</f>
      </c>
      <c r="C15">
        <f>IF(ISBLANK('Data Entry'!$C$15), "", 'Data Entry'!$C$15)</f>
      </c>
      <c r="D15">
        <f>IF(ISBLANK('Data Entry'!$D$15), "", 'Data Entry'!$D$15)</f>
      </c>
      <c r="E15">
        <f>IF(ISBLANK('Data Entry'!$E$15), "", 'Data Entry'!$E$15)</f>
      </c>
      <c r="F15">
        <f>IF(ISBLANK('Data Entry'!$F$15), "", 'Data Entry'!$F$15)</f>
      </c>
      <c r="G15">
        <f>IF(ISBLANK('Data Entry'!$G$15), "", 'Data Entry'!$G$15)</f>
      </c>
      <c r="H15">
        <f>IF(ISBLANK('Data Entry'!$H$15), "", 'Data Entry'!$H$15)</f>
      </c>
      <c r="I15">
        <f>IF(ISBLANK('Data Entry'!$I$15), "", 'Data Entry'!$I$15)</f>
      </c>
      <c r="J15">
        <f>IF(ISBLANK('Data Entry'!$J$15), "", 'Data Entry'!$J$15)</f>
      </c>
      <c r="K15">
        <f>IF(ISBLANK('Data Entry'!$K$15), "", 'Data Entry'!$K$15)</f>
      </c>
      <c r="L15">
        <f>IF(ISBLANK('Data Entry'!$L$15), "", 'Data Entry'!$L$15)</f>
      </c>
      <c r="M15">
        <f>IF(ISBLANK('Data Entry'!$M$15), "", 'Data Entry'!$M$15)</f>
      </c>
      <c r="N15">
        <f>IF(ISBLANK('Data Entry'!$N$15), "", 'Data Entry'!$N$15)</f>
      </c>
      <c r="O15">
        <f>IF(ISBLANK('Data Entry'!$O$15), "", 'Data Entry'!$O$15)</f>
      </c>
      <c r="P15">
        <f>IF(ISBLANK('Data Entry'!$P$15), "", 'Data Entry'!$P$15)</f>
      </c>
      <c r="Q15">
        <f>IF(ISBLANK('Data Entry'!$Q$15), "", 'Data Entry'!$Q$15)</f>
      </c>
      <c r="R15">
        <f>IF(ISBLANK('Data Entry'!$R$15), "", 'Data Entry'!$R$15)</f>
      </c>
      <c r="S15">
        <f>IF(ISBLANK('Data Entry'!$S$15), "", 'Data Entry'!$S$15)</f>
      </c>
      <c r="T15">
        <f>IF(ISBLANK('Data Entry'!$T$15), "", 'Data Entry'!$T$15)</f>
      </c>
      <c r="U15">
        <f>IF(ISBLANK('Data Entry'!$U$15), "", 'Data Entry'!$U$15)</f>
      </c>
      <c r="V15">
        <f>IF(ISBLANK('Data Entry'!$V$15), "", 'Data Entry'!$V$15)</f>
      </c>
      <c r="W15">
        <f>IF(ISBLANK('Data Entry'!$W$15), "", 'Data Entry'!$W$15)</f>
      </c>
      <c r="X15">
        <f>IF(ISBLANK('Data Entry'!$X$15), "", 'Data Entry'!$X$15)</f>
      </c>
      <c r="Y15">
        <f>IF(ISBLANK('Data Entry'!$Y$15), "", 'Data Entry'!$Y$15)</f>
      </c>
      <c r="Z15">
        <f>IF(ISBLANK('Data Entry'!$Z$15), "", 'Data Entry'!$Z$15)</f>
      </c>
      <c r="AA15">
        <f>IF(ISBLANK('Data Entry'!$[$15), "", 'Data Entry'!$[$15)</f>
      </c>
      <c r="AB15">
        <f>IF(ISBLANK('Data Entry'!$\$15), "", 'Data Entry'!$\$15)</f>
      </c>
      <c r="AC15">
        <f>IF(ISBLANK('Data Entry'!$]$15), "", 'Data Entry'!$]$15)</f>
      </c>
      <c r="AD15">
        <f>IF(ISBLANK('Data Entry'!$^$15), "", 'Data Entry'!$^$15)</f>
      </c>
      <c r="AE15">
        <f>IF(ISBLANK('Data Entry'!$_$15), "", 'Data Entry'!$_$15)</f>
      </c>
      <c r="AF15">
        <f>IF(ISBLANK('Data Entry'!$`$15), "", 'Data Entry'!$`$15)</f>
      </c>
      <c r="AG15">
        <f>IF(ISBLANK('Data Entry'!$a$15), "", 'Data Entry'!$a$15)</f>
      </c>
      <c r="AH15">
        <f>IF(ISBLANK('Data Entry'!$b$15), "", 'Data Entry'!$b$15)</f>
      </c>
      <c r="AI15">
        <f>IF(ISBLANK('Data Entry'!$c$15), "", 'Data Entry'!$c$15)</f>
      </c>
      <c r="AJ15">
        <f>IF(ISBLANK('Data Entry'!$d$15), "", 'Data Entry'!$d$15)</f>
      </c>
      <c r="AK15">
        <f>IF(ISBLANK('Data Entry'!$e$15), "", 'Data Entry'!$e$15)</f>
      </c>
      <c r="AL15">
        <f>IF(ISBLANK('Data Entry'!$f$15), "", 'Data Entry'!$f$15)</f>
      </c>
      <c r="AM15">
        <f>IF(ISBLANK('Data Entry'!$g$15), "", 'Data Entry'!$g$15)</f>
      </c>
      <c r="AN15">
        <f>IF(ISBLANK('Data Entry'!$h$15), "", 'Data Entry'!$h$15)</f>
      </c>
      <c r="AO15">
        <f>IF(ISBLANK('Data Entry'!$i$15), "", 'Data Entry'!$i$15)</f>
      </c>
      <c r="AP15">
        <f>IF(ISBLANK('Data Entry'!$j$15), "", 'Data Entry'!$j$15)</f>
      </c>
      <c r="AQ15">
        <f>IF(ISBLANK('Data Entry'!$k$15), "", 'Data Entry'!$k$15)</f>
      </c>
      <c r="AR15">
        <f>IF(ISBLANK('Data Entry'!$l$15), "", 'Data Entry'!$l$15)</f>
      </c>
      <c r="AS15">
        <f>IF(ISBLANK('Data Entry'!$m$15), "", 'Data Entry'!$m$15)</f>
      </c>
      <c r="AT15">
        <f>IF(ISBLANK('Data Entry'!$n$15), "", 'Data Entry'!$n$15)</f>
      </c>
      <c r="AU15">
        <f>IF(ISBLANK('Data Entry'!$o$15), "", 'Data Entry'!$o$15)</f>
      </c>
      <c r="AV15">
        <f>IF(ISBLANK('Data Entry'!$p$15), "", 'Data Entry'!$p$15)</f>
      </c>
      <c r="AW15">
        <f>IF(ISBLANK('Data Entry'!$q$15), "", 'Data Entry'!$q$15)</f>
      </c>
      <c r="AX15">
        <f>IF(ISBLANK('Data Entry'!$r$15), "", 'Data Entry'!$r$15)</f>
      </c>
      <c r="AY15">
        <f>IF(ISBLANK('Data Entry'!$s$15), "", 'Data Entry'!$s$15)</f>
      </c>
      <c r="AZ15">
        <f>IF(ISBLANK('Data Entry'!$t$15), "", 'Data Entry'!$t$15)</f>
      </c>
      <c r="BA15">
        <f>IF(ISBLANK('Data Entry'!$u$15), "", 'Data Entry'!$u$15)</f>
      </c>
      <c r="BB15">
        <f>IF(ISBLANK('Data Entry'!$v$15), "", 'Data Entry'!$v$15)</f>
      </c>
      <c r="BC15">
        <f>IF(ISBLANK('Data Entry'!$w$15), "", 'Data Entry'!$w$15)</f>
      </c>
      <c r="BD15">
        <f>IF(ISBLANK('Data Entry'!$x$15), "", 'Data Entry'!$x$15)</f>
      </c>
      <c r="BE15">
        <f>IF(ISBLANK('Data Entry'!$y$15), "", 'Data Entry'!$y$15)</f>
      </c>
      <c r="BF15">
        <f>IF(ISBLANK('Data Entry'!$z$15), "", 'Data Entry'!$z$15)</f>
      </c>
      <c r="BG15">
        <f>IF(ISBLANK('Data Entry'!${$15), "", 'Data Entry'!${$15)</f>
      </c>
      <c r="BH15">
        <f>IF(ISBLANK('Data Entry'!$|$15), "", 'Data Entry'!$|$15)</f>
      </c>
      <c r="BI15">
        <f>IF(ISBLANK('Data Entry'!$}$15), "", 'Data Entry'!$}$15)</f>
      </c>
      <c r="BJ15">
        <f>IF(ISBLANK('Data Entry'!$~$15), "", 'Data Entry'!$~$15)</f>
      </c>
      <c r="BK15">
        <f>IF(ISBLANK('Data Entry'!$$15), "", 'Data Entry'!$$15)</f>
      </c>
      <c r="BL15">
        <f>IF(ISBLANK('Data Entry'!$$15), "", 'Data Entry'!$$15)</f>
      </c>
      <c r="BM15">
        <f>IF(ISBLANK('Data Entry'!$$15), "", 'Data Entry'!$$15)</f>
      </c>
      <c r="BN15">
        <f>IF(ISBLANK('Data Entry'!$$15), "", 'Data Entry'!$$15)</f>
      </c>
      <c r="BO15">
        <f>IF(ISBLANK('Data Entry'!$$15), "", 'Data Entry'!$$15)</f>
      </c>
      <c r="BP15">
        <f>IF(ISBLANK('Data Entry'!$$15), "", 'Data Entry'!$$15)</f>
      </c>
      <c r="BQ15">
        <f>IF(ISBLANK('Data Entry'!$$15), "", 'Data Entry'!$$15)</f>
      </c>
      <c r="BR15">
        <f>IF(ISBLANK('Data Entry'!$$15), "", 'Data Entry'!$$15)</f>
      </c>
      <c r="BS15">
        <f>IF(ISBLANK('Data Entry'!$$15), "", 'Data Entry'!$$15)</f>
      </c>
      <c r="BT15">
        <f>IF(ISBLANK('Data Entry'!$$15), "", 'Data Entry'!$$15)</f>
      </c>
      <c r="BU15">
        <f>IF(ISBLANK('Data Entry'!$$15), "", 'Data Entry'!$$15)</f>
      </c>
      <c r="BV15">
        <f>IF(ISBLANK('Data Entry'!$$15), "", 'Data Entry'!$$15)</f>
      </c>
      <c r="BW15">
        <f>IF(ISBLANK('Data Entry'!$$15), "", 'Data Entry'!$$15)</f>
      </c>
      <c r="BX15">
        <f>IF(ISBLANK('Data Entry'!$$15), "", 'Data Entry'!$$15)</f>
      </c>
      <c r="BY15">
        <f>IF(ISBLANK('Data Entry'!$$15), "", 'Data Entry'!$$15)</f>
      </c>
      <c r="BZ15">
        <f>IF(ISBLANK('Data Entry'!$$15), "", 'Data Entry'!$$15)</f>
      </c>
      <c r="CA15">
        <f>IF(ISBLANK('Data Entry'!$$15), "", 'Data Entry'!$$15)</f>
      </c>
      <c r="CB15">
        <f>IF(ISBLANK('Data Entry'!$$15), "", 'Data Entry'!$$15)</f>
      </c>
      <c r="CC15">
        <f>IF(ISBLANK('Data Entry'!$$15), "", 'Data Entry'!$$15)</f>
      </c>
      <c r="CD15">
        <f>IF(ISBLANK('Data Entry'!$$15), "", 'Data Entry'!$$15)</f>
      </c>
      <c r="CE15">
        <f>IF(ISBLANK('Data Entry'!$$15), "", 'Data Entry'!$$15)</f>
      </c>
      <c r="CF15">
        <f>IF(ISBLANK('Data Entry'!$$15), "", 'Data Entry'!$$15)</f>
      </c>
      <c r="CG15">
        <f>IF(ISBLANK('Data Entry'!$$15), "", 'Data Entry'!$$15)</f>
      </c>
      <c r="CH15">
        <f>IF(ISBLANK('Data Entry'!$$15), "", 'Data Entry'!$$15)</f>
      </c>
      <c r="CI15">
        <f>IF(ISBLANK('Data Entry'!$$15), "", 'Data Entry'!$$15)</f>
      </c>
      <c r="CJ15">
        <f>IF(ISBLANK('Data Entry'!$$15), "", 'Data Entry'!$$15)</f>
      </c>
      <c r="CK15">
        <f>IF(ISBLANK('Data Entry'!$$15), "", 'Data Entry'!$$15)</f>
      </c>
      <c r="CL15">
        <f>IF(ISBLANK('Data Entry'!$$15), "", 'Data Entry'!$$15)</f>
      </c>
      <c r="CM15">
        <f>IF(ISBLANK('Data Entry'!$$15), "", 'Data Entry'!$$15)</f>
      </c>
      <c r="CN15">
        <f>IF(ISBLANK('Data Entry'!$$15), "", 'Data Entry'!$$15)</f>
      </c>
      <c r="CO15">
        <f>IF(ISBLANK('Data Entry'!$$15), "", 'Data Entry'!$$15)</f>
      </c>
      <c r="CP15">
        <f>IF(ISBLANK('Data Entry'!$$15), "", 'Data Entry'!$$15)</f>
      </c>
      <c r="CQ15">
        <f>IF(ISBLANK('Data Entry'!$$15), "", 'Data Entry'!$$15)</f>
      </c>
      <c r="CR15">
        <f>IF(ISBLANK('Data Entry'!$ $15), "", 'Data Entry'!$ $15)</f>
      </c>
      <c r="CS15">
        <f>IF(ISBLANK('Data Entry'!$¡$15), "", 'Data Entry'!$¡$15)</f>
      </c>
      <c r="CT15">
        <f>IF(ISBLANK('Data Entry'!$¢$15), "", 'Data Entry'!$¢$15)</f>
      </c>
      <c r="CU15">
        <f>IF(ISBLANK('Data Entry'!$£$15), "", 'Data Entry'!$£$15)</f>
      </c>
      <c r="CV15">
        <f>IF(ISBLANK('Data Entry'!$¤$15), "", 'Data Entry'!$¤$15)</f>
      </c>
      <c r="CW15">
        <f>IF(ISBLANK('Data Entry'!$¥$15), "", 'Data Entry'!$¥$15)</f>
      </c>
      <c r="CX15">
        <f>IF(ISBLANK('Data Entry'!$¦$15), "", 'Data Entry'!$¦$15)</f>
      </c>
      <c r="CY15">
        <f>IF(ISBLANK('Data Entry'!$§$15), "", 'Data Entry'!$§$15)</f>
      </c>
      <c r="CZ15">
        <f>IF(ISBLANK('Data Entry'!$¨$15), "", 'Data Entry'!$¨$15)</f>
      </c>
      <c r="DA15">
        <f>IF(ISBLANK('Data Entry'!$©$15), "", 'Data Entry'!$©$15)</f>
      </c>
      <c r="DB15">
        <f>IF(ISBLANK('Data Entry'!$ª$15), "", 'Data Entry'!$ª$15)</f>
      </c>
      <c r="DC15">
        <f>IF(ISBLANK('Data Entry'!$«$15), "", 'Data Entry'!$«$15)</f>
      </c>
      <c r="DD15">
        <f>IF(ISBLANK('Data Entry'!$¬$15), "", 'Data Entry'!$¬$15)</f>
      </c>
      <c r="DE15">
        <f>IF(ISBLANK('Data Entry'!$­$15), "", 'Data Entry'!$­$15)</f>
      </c>
      <c r="DF15">
        <f>IF(ISBLANK('Data Entry'!$®$15), "", 'Data Entry'!$®$15)</f>
      </c>
      <c r="DG15">
        <f>IF(ISBLANK('Data Entry'!$¯$15), "", 'Data Entry'!$¯$15)</f>
      </c>
      <c r="DH15">
        <f>IF(ISBLANK('Data Entry'!$°$15), "", 'Data Entry'!$°$15)</f>
      </c>
      <c r="DI15">
        <f>IF(ISBLANK('Data Entry'!$±$15), "", 'Data Entry'!$±$15)</f>
      </c>
      <c r="DJ15">
        <f>IF(ISBLANK('Data Entry'!$²$15), "", 'Data Entry'!$²$15)</f>
      </c>
      <c r="DK15">
        <f>IF(ISBLANK('Data Entry'!$³$15), "", 'Data Entry'!$³$15)</f>
      </c>
      <c r="DL15">
        <f>IF(ISBLANK('Data Entry'!$´$15), "", 'Data Entry'!$´$15)</f>
      </c>
      <c r="DM15">
        <f>IF(ISBLANK('Data Entry'!$µ$15), "", 'Data Entry'!$µ$15)</f>
      </c>
      <c r="DN15">
        <f>IF(ISBLANK('Data Entry'!$¶$15), "", 'Data Entry'!$¶$15)</f>
      </c>
      <c r="DO15">
        <f>IF(ISBLANK('Data Entry'!$·$15), "", 'Data Entry'!$·$15)</f>
      </c>
      <c r="DP15">
        <f>IF(ISBLANK('Data Entry'!$¸$15), "", 'Data Entry'!$¸$15)</f>
      </c>
      <c r="DQ15">
        <f>IF(ISBLANK('Data Entry'!$¹$15), "", 'Data Entry'!$¹$15)</f>
      </c>
      <c r="DR15">
        <f>IF(ISBLANK('Data Entry'!$º$15), "", 'Data Entry'!$º$15)</f>
      </c>
      <c r="DS15">
        <f>IF(ISBLANK('Data Entry'!$»$15), "", 'Data Entry'!$»$15)</f>
      </c>
      <c r="DT15">
        <f>IF(ISBLANK('Data Entry'!$¼$15), "", 'Data Entry'!$¼$15)</f>
      </c>
      <c r="DU15">
        <f>IF(ISBLANK('Data Entry'!$½$15), "", 'Data Entry'!$½$15)</f>
      </c>
      <c r="DV15">
        <f>IF(ISBLANK('Data Entry'!$¾$15), "", 'Data Entry'!$¾$15)</f>
      </c>
      <c r="DW15">
        <f>IF(ISBLANK('Data Entry'!$¿$15), "", 'Data Entry'!$¿$15)</f>
      </c>
      <c r="DX15">
        <f>IF(ISBLANK('Data Entry'!$À$15), "", 'Data Entry'!$À$15)</f>
      </c>
      <c r="DY15">
        <f>IF(ISBLANK('Data Entry'!$Á$15), "", 'Data Entry'!$Á$15)</f>
      </c>
      <c r="DZ15">
        <f>IF(ISBLANK('Data Entry'!$Â$15), "", 'Data Entry'!$Â$15)</f>
      </c>
      <c r="EA15">
        <f>IF(ISBLANK('Data Entry'!$Ã$15), "", 'Data Entry'!$Ã$15)</f>
      </c>
      <c r="EB15">
        <f>IF(ISBLANK('Data Entry'!$Ä$15), "", 'Data Entry'!$Ä$15)</f>
      </c>
      <c r="EC15">
        <f>IF(ISBLANK('Data Entry'!$Å$15), "", 'Data Entry'!$Å$15)</f>
      </c>
      <c r="ED15">
        <f>IF(ISBLANK('Data Entry'!$Æ$15), "", 'Data Entry'!$Æ$15)</f>
      </c>
      <c r="EE15">
        <f>IF(ISBLANK('Data Entry'!$Ç$15), "", 'Data Entry'!$Ç$15)</f>
      </c>
      <c r="EF15">
        <f>IF(ISBLANK('Data Entry'!$È$15), "", 'Data Entry'!$È$15)</f>
      </c>
      <c r="EG15">
        <f>IF(ISBLANK('Data Entry'!$É$15), "", 'Data Entry'!$É$15)</f>
      </c>
      <c r="EH15">
        <f>IF(ISBLANK('Data Entry'!$Ê$15), "", 'Data Entry'!$Ê$15)</f>
      </c>
      <c r="EI15">
        <f>IF(ISBLANK('Data Entry'!$Ë$15), "", 'Data Entry'!$Ë$15)</f>
      </c>
      <c r="EJ15">
        <f>IF(ISBLANK('Data Entry'!$Ì$15), "", 'Data Entry'!$Ì$15)</f>
      </c>
      <c r="EK15">
        <f>IF(ISBLANK('Data Entry'!$Í$15), "", 'Data Entry'!$Í$15)</f>
      </c>
      <c r="EL15">
        <f>IF(ISBLANK('Data Entry'!$Î$15), "", 'Data Entry'!$Î$15)</f>
      </c>
      <c r="EM15">
        <f>IF(ISBLANK('Data Entry'!$Ï$15), "", 'Data Entry'!$Ï$15)</f>
      </c>
      <c r="EN15">
        <f>IF(ISBLANK('Data Entry'!$Ð$15), "", 'Data Entry'!$Ð$15)</f>
      </c>
      <c r="EO15">
        <f>IF(ISBLANK('Data Entry'!$Ñ$15), "", 'Data Entry'!$Ñ$15)</f>
      </c>
      <c r="EP15">
        <f>IF(ISBLANK('Data Entry'!$Ò$15), "", 'Data Entry'!$Ò$15)</f>
      </c>
      <c r="EQ15">
        <f>IF(ISBLANK('Data Entry'!$Ó$15), "", 'Data Entry'!$Ó$15)</f>
      </c>
      <c r="ER15">
        <f>IF(ISBLANK('Data Entry'!$Ô$15), "", 'Data Entry'!$Ô$15)</f>
      </c>
      <c r="ES15">
        <f>IF(ISBLANK('Data Entry'!$Õ$15), "", 'Data Entry'!$Õ$15)</f>
      </c>
      <c r="ET15">
        <f>IF(ISBLANK('Data Entry'!$Ö$15), "", 'Data Entry'!$Ö$15)</f>
      </c>
      <c r="EU15">
        <f>IF(ISBLANK('Data Entry'!$×$15), "", 'Data Entry'!$×$15)</f>
      </c>
      <c r="EV15">
        <f>IF(ISBLANK('Data Entry'!$Ø$15), "", 'Data Entry'!$Ø$15)</f>
      </c>
      <c r="EW15">
        <f>IF(ISBLANK('Data Entry'!$Ù$15), "", 'Data Entry'!$Ù$15)</f>
      </c>
      <c r="EX15">
        <f>IF(ISBLANK('Data Entry'!$Ú$15), "", 'Data Entry'!$Ú$15)</f>
      </c>
      <c r="EY15">
        <f>IF(ISBLANK('Data Entry'!$Û$15), "", 'Data Entry'!$Û$15)</f>
      </c>
      <c r="EZ15">
        <f>IF(ISBLANK('Data Entry'!$Ü$15), "", 'Data Entry'!$Ü$15)</f>
      </c>
      <c r="FA15">
        <f>IF(ISBLANK('Data Entry'!$Ý$15), "", 'Data Entry'!$Ý$15)</f>
      </c>
      <c r="FB15">
        <f>IF(ISBLANK('Data Entry'!$Þ$15), "", 'Data Entry'!$Þ$15)</f>
      </c>
      <c r="FC15">
        <f>IF(ISBLANK('Data Entry'!$ß$15), "", 'Data Entry'!$ß$15)</f>
      </c>
      <c r="FD15">
        <f>IF(ISBLANK('Data Entry'!$à$15), "", 'Data Entry'!$à$15)</f>
      </c>
      <c r="FE15">
        <f>IF(ISBLANK('Data Entry'!$á$15), "", 'Data Entry'!$á$15)</f>
      </c>
      <c r="FF15">
        <f>IF(ISBLANK('Data Entry'!$â$15), "", 'Data Entry'!$â$15)</f>
      </c>
      <c r="FG15">
        <f>IF(ISBLANK('Data Entry'!$ã$15), "", 'Data Entry'!$ã$15)</f>
      </c>
      <c r="FH15">
        <f>IF(ISBLANK('Data Entry'!$ä$15), "", 'Data Entry'!$ä$15)</f>
      </c>
      <c r="FI15">
        <f>IF(ISBLANK('Data Entry'!$å$15), "", 'Data Entry'!$å$15)</f>
      </c>
      <c r="FJ15">
        <f>IF(ISBLANK('Data Entry'!$æ$15), "", 'Data Entry'!$æ$15)</f>
      </c>
      <c r="FK15">
        <f>IF(ISBLANK('Data Entry'!$ç$15), "", 'Data Entry'!$ç$15)</f>
      </c>
      <c r="FL15">
        <f>IF(ISBLANK('Data Entry'!$è$15), "", 'Data Entry'!$è$15)</f>
      </c>
      <c r="FM15">
        <f>IF(ISBLANK('Data Entry'!$é$15), "", 'Data Entry'!$é$15)</f>
      </c>
      <c r="FN15">
        <f>IF(ISBLANK('Data Entry'!$ê$15), "", 'Data Entry'!$ê$15)</f>
      </c>
      <c r="FO15">
        <f>IF(ISBLANK('Data Entry'!$ë$15), "", 'Data Entry'!$ë$15)</f>
      </c>
      <c r="FP15">
        <f>IF(ISBLANK('Data Entry'!$ì$15), "", 'Data Entry'!$ì$15)</f>
      </c>
      <c r="FQ15">
        <f>IF(ISBLANK('Data Entry'!$í$15), "", 'Data Entry'!$í$15)</f>
      </c>
      <c r="FR15">
        <f>IF(ISBLANK('Data Entry'!$î$15), "", 'Data Entry'!$î$15)</f>
      </c>
      <c r="FS15">
        <f>IF(ISBLANK('Data Entry'!$ï$15), "", 'Data Entry'!$ï$15)</f>
      </c>
      <c r="FT15">
        <f>IF(ISBLANK('Data Entry'!$ð$15), "", 'Data Entry'!$ð$15)</f>
      </c>
      <c r="FU15">
        <f>IF(ISBLANK('Data Entry'!$ñ$15), "", 'Data Entry'!$ñ$15)</f>
      </c>
      <c r="FV15">
        <f>IF(ISBLANK('Data Entry'!$ò$15), "", 'Data Entry'!$ò$15)</f>
      </c>
      <c r="FW15">
        <f>IF(ISBLANK('Data Entry'!$ó$15), "", 'Data Entry'!$ó$15)</f>
      </c>
      <c r="FX15">
        <f>IF(ISBLANK('Data Entry'!$ô$15), "", 'Data Entry'!$ô$15)</f>
      </c>
      <c r="FY15">
        <f>IF(ISBLANK('Data Entry'!$õ$15), "", 'Data Entry'!$õ$15)</f>
      </c>
      <c r="FZ15">
        <f>IF(ISBLANK('Data Entry'!$ö$15), "", 'Data Entry'!$ö$15)</f>
      </c>
      <c r="GA15">
        <f>IF(ISBLANK('Data Entry'!$÷$15), "", 'Data Entry'!$÷$15)</f>
      </c>
      <c r="GB15">
        <f>IF(ISBLANK('Data Entry'!$ø$15), "", 'Data Entry'!$ø$15)</f>
      </c>
      <c r="GC15">
        <f>IF(ISBLANK('Data Entry'!$ù$15), "", 'Data Entry'!$ù$15)</f>
      </c>
      <c r="GD15">
        <f>IF(ISBLANK('Data Entry'!$ú$15), "", 'Data Entry'!$ú$15)</f>
      </c>
      <c r="GE15">
        <f>IF(ISBLANK('Data Entry'!$û$15), "", 'Data Entry'!$û$15)</f>
      </c>
      <c r="GF15">
        <f>IF(ISBLANK('Data Entry'!$ü$15), "", 'Data Entry'!$ü$15)</f>
      </c>
      <c r="GG15">
        <f>IF(ISBLANK('Data Entry'!$ý$15), "", 'Data Entry'!$ý$15)</f>
      </c>
      <c r="GH15">
        <f>IF(ISBLANK('Data Entry'!$þ$15), "", 'Data Entry'!$þ$15)</f>
      </c>
      <c r="GI15">
        <f>IF(ISBLANK('Data Entry'!$ÿ$15), "", 'Data Entry'!$ÿ$15)</f>
      </c>
      <c r="GJ15">
        <f>IF(ISBLANK('Data Entry'!$Ā$15), "", 'Data Entry'!$Ā$15)</f>
      </c>
      <c r="GK15">
        <f>IF(ISBLANK('Data Entry'!$ā$15), "", 'Data Entry'!$ā$15)</f>
      </c>
      <c r="GL15">
        <f>IF(ISBLANK('Data Entry'!$Ă$15), "", 'Data Entry'!$Ă$15)</f>
      </c>
      <c r="GM15">
        <f>IF(ISBLANK('Data Entry'!$ă$15), "", 'Data Entry'!$ă$15)</f>
      </c>
      <c r="GN15">
        <f>IF(ISBLANK('Data Entry'!$Ą$15), "", 'Data Entry'!$Ą$15)</f>
      </c>
      <c r="GO15">
        <f>IF(ISBLANK('Data Entry'!$ą$15), "", 'Data Entry'!$ą$15)</f>
      </c>
      <c r="GP15">
        <f>IF(ISBLANK('Data Entry'!$Ć$15), "", 'Data Entry'!$Ć$15)</f>
      </c>
      <c r="GQ15">
        <f>IF(ISBLANK('Data Entry'!$ć$15), "", 'Data Entry'!$ć$15)</f>
      </c>
      <c r="GR15">
        <f>IF(ISBLANK('Data Entry'!$Ĉ$15), "", 'Data Entry'!$Ĉ$15)</f>
      </c>
      <c r="GS15">
        <f>IF(ISBLANK('Data Entry'!$ĉ$15), "", 'Data Entry'!$ĉ$15)</f>
      </c>
      <c r="GT15">
        <f>IF(ISBLANK('Data Entry'!$Ċ$15), "", 'Data Entry'!$Ċ$15)</f>
      </c>
      <c r="GU15">
        <f>IF(ISBLANK('Data Entry'!$ċ$15), "", 'Data Entry'!$ċ$15)</f>
      </c>
      <c r="GV15">
        <f>IF(ISBLANK('Data Entry'!$Č$15), "", 'Data Entry'!$Č$15)</f>
      </c>
      <c r="GW15">
        <f>IF(ISBLANK('Data Entry'!$č$15), "", 'Data Entry'!$č$15)</f>
      </c>
      <c r="GX15">
        <f>IF(ISBLANK('Data Entry'!$Ď$15), "", 'Data Entry'!$Ď$15)</f>
      </c>
      <c r="GY15">
        <f>IF(ISBLANK('Data Entry'!$ď$15), "", 'Data Entry'!$ď$15)</f>
      </c>
      <c r="GZ15">
        <f>IF(ISBLANK('Data Entry'!$Đ$15), "", 'Data Entry'!$Đ$15)</f>
      </c>
      <c r="HA15">
        <f>IF(ISBLANK('Data Entry'!$đ$15), "", 'Data Entry'!$đ$15)</f>
      </c>
      <c r="HB15">
        <f>IF(ISBLANK('Data Entry'!$Ē$15), "", 'Data Entry'!$Ē$15)</f>
      </c>
      <c r="HC15">
        <f>IF(ISBLANK('Data Entry'!$ē$15), "", 'Data Entry'!$ē$15)</f>
      </c>
      <c r="HD15">
        <f>IF(ISBLANK('Data Entry'!$Ĕ$15), "", 'Data Entry'!$Ĕ$15)</f>
      </c>
      <c r="HE15">
        <f>IF(ISBLANK('Data Entry'!$ĕ$15), "", 'Data Entry'!$ĕ$15)</f>
      </c>
      <c r="HF15">
        <f>IF(ISBLANK('Data Entry'!$Ė$15), "", 'Data Entry'!$Ė$15)</f>
      </c>
      <c r="HG15">
        <f>IF(ISBLANK('Data Entry'!$ė$15), "", 'Data Entry'!$ė$15)</f>
      </c>
      <c r="HH15">
        <f>IF(ISBLANK('Data Entry'!$Ę$15), "", 'Data Entry'!$Ę$15)</f>
      </c>
      <c r="HI15">
        <f>IF(ISBLANK('Data Entry'!$ę$15), "", 'Data Entry'!$ę$15)</f>
      </c>
      <c r="HJ15">
        <f>IF(ISBLANK('Data Entry'!$Ě$15), "", 'Data Entry'!$Ě$15)</f>
      </c>
      <c r="HK15">
        <f>IF(ISBLANK('Data Entry'!$ě$15), "", 'Data Entry'!$ě$15)</f>
      </c>
      <c r="HL15">
        <f>IF(ISBLANK('Data Entry'!$Ĝ$15), "", 'Data Entry'!$Ĝ$15)</f>
      </c>
      <c r="HM15">
        <f>IF(ISBLANK('Data Entry'!$ĝ$15), "", 'Data Entry'!$ĝ$15)</f>
      </c>
      <c r="HN15">
        <f>IF(ISBLANK('Data Entry'!$Ğ$15), "", 'Data Entry'!$Ğ$15)</f>
      </c>
      <c r="HO15">
        <f>IF(ISBLANK('Data Entry'!$ğ$15), "", 'Data Entry'!$ğ$15)</f>
      </c>
      <c r="HP15">
        <f>IF(ISBLANK('Data Entry'!$Ġ$15), "", 'Data Entry'!$Ġ$15)</f>
      </c>
      <c r="HQ15">
        <f>IF(ISBLANK('Data Entry'!$ġ$15), "", 'Data Entry'!$ġ$15)</f>
      </c>
      <c r="HR15">
        <f>IF(ISBLANK('Data Entry'!$Ģ$15), "", 'Data Entry'!$Ģ$15)</f>
      </c>
      <c r="HS15">
        <f>IF(ISBLANK('Data Entry'!$ģ$15), "", 'Data Entry'!$ģ$15)</f>
      </c>
      <c r="HT15">
        <f>IF(ISBLANK('Data Entry'!$Ĥ$15), "", 'Data Entry'!$Ĥ$15)</f>
      </c>
      <c r="HU15">
        <f>IF(ISBLANK('Data Entry'!$ĥ$15), "", 'Data Entry'!$ĥ$15)</f>
      </c>
      <c r="HV15">
        <f>IF(ISBLANK('Data Entry'!$Ħ$15), "", 'Data Entry'!$Ħ$15)</f>
      </c>
      <c r="HW15">
        <f>IF(ISBLANK('Data Entry'!$ħ$15), "", 'Data Entry'!$ħ$15)</f>
      </c>
      <c r="HX15">
        <f>IF(ISBLANK('Data Entry'!$Ĩ$15), "", 'Data Entry'!$Ĩ$15)</f>
      </c>
      <c r="HY15">
        <f>IF(ISBLANK('Data Entry'!$ĩ$15), "", 'Data Entry'!$ĩ$15)</f>
      </c>
      <c r="HZ15">
        <f>IF(ISBLANK('Data Entry'!$Ī$15), "", 'Data Entry'!$Ī$15)</f>
      </c>
      <c r="IA15">
        <f>IF(ISBLANK('Data Entry'!$ī$15), "", 'Data Entry'!$ī$15)</f>
      </c>
      <c r="IB15">
        <f>IF(ISBLANK('Data Entry'!$Ĭ$15), "", 'Data Entry'!$Ĭ$15)</f>
      </c>
      <c r="IC15">
        <f>IF(ISBLANK('Data Entry'!$ĭ$15), "", 'Data Entry'!$ĭ$15)</f>
      </c>
      <c r="ID15">
        <f>IF(ISBLANK('Data Entry'!$Į$15), "", 'Data Entry'!$Į$15)</f>
      </c>
      <c r="IE15">
        <f>IF(ISBLANK('Data Entry'!$į$15), "", 'Data Entry'!$į$15)</f>
      </c>
      <c r="IF15">
        <f>IF(ISBLANK('Data Entry'!$İ$15), "", 'Data Entry'!$İ$15)</f>
      </c>
      <c r="IG15">
        <f>IF(ISBLANK('Data Entry'!$ı$15), "", 'Data Entry'!$ı$15)</f>
      </c>
      <c r="IH15">
        <f>IF(ISBLANK('Data Entry'!$Ĳ$15), "", 'Data Entry'!$Ĳ$15)</f>
      </c>
      <c r="II15">
        <f>IF(ISBLANK('Data Entry'!$ĳ$15), "", 'Data Entry'!$ĳ$15)</f>
      </c>
      <c r="IJ15">
        <f>IF(ISBLANK('Data Entry'!$Ĵ$15), "", 'Data Entry'!$Ĵ$15)</f>
      </c>
      <c r="IK15">
        <f>IF(ISBLANK('Data Entry'!$ĵ$15), "", 'Data Entry'!$ĵ$15)</f>
      </c>
      <c r="IL15">
        <f>IF(ISBLANK('Data Entry'!$Ķ$15), "", 'Data Entry'!$Ķ$15)</f>
      </c>
      <c r="IM15">
        <f>IF(ISBLANK('Data Entry'!$ķ$15), "", 'Data Entry'!$ķ$15)</f>
      </c>
      <c r="IN15">
        <f>IF(ISBLANK('Data Entry'!$ĸ$15), "", 'Data Entry'!$ĸ$15)</f>
      </c>
      <c r="IO15">
        <f>IF(ISBLANK('Data Entry'!$Ĺ$15), "", 'Data Entry'!$Ĺ$15)</f>
      </c>
      <c r="IP15">
        <f>IF(ISBLANK('Data Entry'!$ĺ$15), "", 'Data Entry'!$ĺ$15)</f>
      </c>
      <c r="IQ15">
        <f>IF(ISBLANK('Data Entry'!$Ļ$15), "", 'Data Entry'!$Ļ$15)</f>
      </c>
      <c r="IR15">
        <f>IF(ISBLANK('Data Entry'!$ļ$15), "", 'Data Entry'!$ļ$15)</f>
      </c>
      <c r="IS15">
        <f>IF(ISBLANK('Data Entry'!$Ľ$15), "", 'Data Entry'!$Ľ$15)</f>
      </c>
      <c r="IT15">
        <f>IF(ISBLANK('Data Entry'!$ľ$15), "", 'Data Entry'!$ľ$15)</f>
      </c>
    </row>
    <row r="16" spans="1:254" x14ac:dyDescent="0.25">
      <c r="A16">
        <f>IF(ISBLANK('Data Entry'!$A$16), "", 'Data Entry'!$A$16)</f>
      </c>
      <c r="B16">
        <f>IF(ISBLANK('Data Entry'!$B$16), "", 'Data Entry'!$B$16)</f>
      </c>
      <c r="C16">
        <f>IF(ISBLANK('Data Entry'!$C$16), "", 'Data Entry'!$C$16)</f>
      </c>
      <c r="D16">
        <f>IF(ISBLANK('Data Entry'!$D$16), "", 'Data Entry'!$D$16)</f>
      </c>
      <c r="E16">
        <f>IF(ISBLANK('Data Entry'!$E$16), "", 'Data Entry'!$E$16)</f>
      </c>
      <c r="F16">
        <f>IF(ISBLANK('Data Entry'!$F$16), "", 'Data Entry'!$F$16)</f>
      </c>
      <c r="G16">
        <f>IF(ISBLANK('Data Entry'!$G$16), "", 'Data Entry'!$G$16)</f>
      </c>
      <c r="H16">
        <f>IF(ISBLANK('Data Entry'!$H$16), "", 'Data Entry'!$H$16)</f>
      </c>
      <c r="I16">
        <f>IF(ISBLANK('Data Entry'!$I$16), "", 'Data Entry'!$I$16)</f>
      </c>
      <c r="J16">
        <f>IF(ISBLANK('Data Entry'!$J$16), "", 'Data Entry'!$J$16)</f>
      </c>
      <c r="K16">
        <f>IF(ISBLANK('Data Entry'!$K$16), "", 'Data Entry'!$K$16)</f>
      </c>
      <c r="L16">
        <f>IF(ISBLANK('Data Entry'!$L$16), "", 'Data Entry'!$L$16)</f>
      </c>
      <c r="M16">
        <f>IF(ISBLANK('Data Entry'!$M$16), "", 'Data Entry'!$M$16)</f>
      </c>
      <c r="N16">
        <f>IF(ISBLANK('Data Entry'!$N$16), "", 'Data Entry'!$N$16)</f>
      </c>
      <c r="O16">
        <f>IF(ISBLANK('Data Entry'!$O$16), "", 'Data Entry'!$O$16)</f>
      </c>
      <c r="P16">
        <f>IF(ISBLANK('Data Entry'!$P$16), "", 'Data Entry'!$P$16)</f>
      </c>
      <c r="Q16">
        <f>IF(ISBLANK('Data Entry'!$Q$16), "", 'Data Entry'!$Q$16)</f>
      </c>
      <c r="R16">
        <f>IF(ISBLANK('Data Entry'!$R$16), "", 'Data Entry'!$R$16)</f>
      </c>
      <c r="S16">
        <f>IF(ISBLANK('Data Entry'!$S$16), "", 'Data Entry'!$S$16)</f>
      </c>
      <c r="T16">
        <f>IF(ISBLANK('Data Entry'!$T$16), "", 'Data Entry'!$T$16)</f>
      </c>
      <c r="U16">
        <f>IF(ISBLANK('Data Entry'!$U$16), "", 'Data Entry'!$U$16)</f>
      </c>
      <c r="V16">
        <f>IF(ISBLANK('Data Entry'!$V$16), "", 'Data Entry'!$V$16)</f>
      </c>
      <c r="W16">
        <f>IF(ISBLANK('Data Entry'!$W$16), "", 'Data Entry'!$W$16)</f>
      </c>
      <c r="X16">
        <f>IF(ISBLANK('Data Entry'!$X$16), "", 'Data Entry'!$X$16)</f>
      </c>
      <c r="Y16">
        <f>IF(ISBLANK('Data Entry'!$Y$16), "", 'Data Entry'!$Y$16)</f>
      </c>
      <c r="Z16">
        <f>IF(ISBLANK('Data Entry'!$Z$16), "", 'Data Entry'!$Z$16)</f>
      </c>
      <c r="AA16">
        <f>IF(ISBLANK('Data Entry'!$[$16), "", 'Data Entry'!$[$16)</f>
      </c>
      <c r="AB16">
        <f>IF(ISBLANK('Data Entry'!$\$16), "", 'Data Entry'!$\$16)</f>
      </c>
      <c r="AC16">
        <f>IF(ISBLANK('Data Entry'!$]$16), "", 'Data Entry'!$]$16)</f>
      </c>
      <c r="AD16">
        <f>IF(ISBLANK('Data Entry'!$^$16), "", 'Data Entry'!$^$16)</f>
      </c>
      <c r="AE16">
        <f>IF(ISBLANK('Data Entry'!$_$16), "", 'Data Entry'!$_$16)</f>
      </c>
      <c r="AF16">
        <f>IF(ISBLANK('Data Entry'!$`$16), "", 'Data Entry'!$`$16)</f>
      </c>
      <c r="AG16">
        <f>IF(ISBLANK('Data Entry'!$a$16), "", 'Data Entry'!$a$16)</f>
      </c>
      <c r="AH16">
        <f>IF(ISBLANK('Data Entry'!$b$16), "", 'Data Entry'!$b$16)</f>
      </c>
      <c r="AI16">
        <f>IF(ISBLANK('Data Entry'!$c$16), "", 'Data Entry'!$c$16)</f>
      </c>
      <c r="AJ16">
        <f>IF(ISBLANK('Data Entry'!$d$16), "", 'Data Entry'!$d$16)</f>
      </c>
      <c r="AK16">
        <f>IF(ISBLANK('Data Entry'!$e$16), "", 'Data Entry'!$e$16)</f>
      </c>
      <c r="AL16">
        <f>IF(ISBLANK('Data Entry'!$f$16), "", 'Data Entry'!$f$16)</f>
      </c>
      <c r="AM16">
        <f>IF(ISBLANK('Data Entry'!$g$16), "", 'Data Entry'!$g$16)</f>
      </c>
      <c r="AN16">
        <f>IF(ISBLANK('Data Entry'!$h$16), "", 'Data Entry'!$h$16)</f>
      </c>
      <c r="AO16">
        <f>IF(ISBLANK('Data Entry'!$i$16), "", 'Data Entry'!$i$16)</f>
      </c>
      <c r="AP16">
        <f>IF(ISBLANK('Data Entry'!$j$16), "", 'Data Entry'!$j$16)</f>
      </c>
      <c r="AQ16">
        <f>IF(ISBLANK('Data Entry'!$k$16), "", 'Data Entry'!$k$16)</f>
      </c>
      <c r="AR16">
        <f>IF(ISBLANK('Data Entry'!$l$16), "", 'Data Entry'!$l$16)</f>
      </c>
      <c r="AS16">
        <f>IF(ISBLANK('Data Entry'!$m$16), "", 'Data Entry'!$m$16)</f>
      </c>
      <c r="AT16">
        <f>IF(ISBLANK('Data Entry'!$n$16), "", 'Data Entry'!$n$16)</f>
      </c>
      <c r="AU16">
        <f>IF(ISBLANK('Data Entry'!$o$16), "", 'Data Entry'!$o$16)</f>
      </c>
      <c r="AV16">
        <f>IF(ISBLANK('Data Entry'!$p$16), "", 'Data Entry'!$p$16)</f>
      </c>
      <c r="AW16">
        <f>IF(ISBLANK('Data Entry'!$q$16), "", 'Data Entry'!$q$16)</f>
      </c>
      <c r="AX16">
        <f>IF(ISBLANK('Data Entry'!$r$16), "", 'Data Entry'!$r$16)</f>
      </c>
      <c r="AY16">
        <f>IF(ISBLANK('Data Entry'!$s$16), "", 'Data Entry'!$s$16)</f>
      </c>
      <c r="AZ16">
        <f>IF(ISBLANK('Data Entry'!$t$16), "", 'Data Entry'!$t$16)</f>
      </c>
      <c r="BA16">
        <f>IF(ISBLANK('Data Entry'!$u$16), "", 'Data Entry'!$u$16)</f>
      </c>
      <c r="BB16">
        <f>IF(ISBLANK('Data Entry'!$v$16), "", 'Data Entry'!$v$16)</f>
      </c>
      <c r="BC16">
        <f>IF(ISBLANK('Data Entry'!$w$16), "", 'Data Entry'!$w$16)</f>
      </c>
      <c r="BD16">
        <f>IF(ISBLANK('Data Entry'!$x$16), "", 'Data Entry'!$x$16)</f>
      </c>
      <c r="BE16">
        <f>IF(ISBLANK('Data Entry'!$y$16), "", 'Data Entry'!$y$16)</f>
      </c>
      <c r="BF16">
        <f>IF(ISBLANK('Data Entry'!$z$16), "", 'Data Entry'!$z$16)</f>
      </c>
      <c r="BG16">
        <f>IF(ISBLANK('Data Entry'!${$16), "", 'Data Entry'!${$16)</f>
      </c>
      <c r="BH16">
        <f>IF(ISBLANK('Data Entry'!$|$16), "", 'Data Entry'!$|$16)</f>
      </c>
      <c r="BI16">
        <f>IF(ISBLANK('Data Entry'!$}$16), "", 'Data Entry'!$}$16)</f>
      </c>
      <c r="BJ16">
        <f>IF(ISBLANK('Data Entry'!$~$16), "", 'Data Entry'!$~$16)</f>
      </c>
      <c r="BK16">
        <f>IF(ISBLANK('Data Entry'!$$16), "", 'Data Entry'!$$16)</f>
      </c>
      <c r="BL16">
        <f>IF(ISBLANK('Data Entry'!$$16), "", 'Data Entry'!$$16)</f>
      </c>
      <c r="BM16">
        <f>IF(ISBLANK('Data Entry'!$$16), "", 'Data Entry'!$$16)</f>
      </c>
      <c r="BN16">
        <f>IF(ISBLANK('Data Entry'!$$16), "", 'Data Entry'!$$16)</f>
      </c>
      <c r="BO16">
        <f>IF(ISBLANK('Data Entry'!$$16), "", 'Data Entry'!$$16)</f>
      </c>
      <c r="BP16">
        <f>IF(ISBLANK('Data Entry'!$$16), "", 'Data Entry'!$$16)</f>
      </c>
      <c r="BQ16">
        <f>IF(ISBLANK('Data Entry'!$$16), "", 'Data Entry'!$$16)</f>
      </c>
      <c r="BR16">
        <f>IF(ISBLANK('Data Entry'!$$16), "", 'Data Entry'!$$16)</f>
      </c>
      <c r="BS16">
        <f>IF(ISBLANK('Data Entry'!$$16), "", 'Data Entry'!$$16)</f>
      </c>
      <c r="BT16">
        <f>IF(ISBLANK('Data Entry'!$$16), "", 'Data Entry'!$$16)</f>
      </c>
      <c r="BU16">
        <f>IF(ISBLANK('Data Entry'!$$16), "", 'Data Entry'!$$16)</f>
      </c>
      <c r="BV16">
        <f>IF(ISBLANK('Data Entry'!$$16), "", 'Data Entry'!$$16)</f>
      </c>
      <c r="BW16">
        <f>IF(ISBLANK('Data Entry'!$$16), "", 'Data Entry'!$$16)</f>
      </c>
      <c r="BX16">
        <f>IF(ISBLANK('Data Entry'!$$16), "", 'Data Entry'!$$16)</f>
      </c>
      <c r="BY16">
        <f>IF(ISBLANK('Data Entry'!$$16), "", 'Data Entry'!$$16)</f>
      </c>
      <c r="BZ16">
        <f>IF(ISBLANK('Data Entry'!$$16), "", 'Data Entry'!$$16)</f>
      </c>
      <c r="CA16">
        <f>IF(ISBLANK('Data Entry'!$$16), "", 'Data Entry'!$$16)</f>
      </c>
      <c r="CB16">
        <f>IF(ISBLANK('Data Entry'!$$16), "", 'Data Entry'!$$16)</f>
      </c>
      <c r="CC16">
        <f>IF(ISBLANK('Data Entry'!$$16), "", 'Data Entry'!$$16)</f>
      </c>
      <c r="CD16">
        <f>IF(ISBLANK('Data Entry'!$$16), "", 'Data Entry'!$$16)</f>
      </c>
      <c r="CE16">
        <f>IF(ISBLANK('Data Entry'!$$16), "", 'Data Entry'!$$16)</f>
      </c>
      <c r="CF16">
        <f>IF(ISBLANK('Data Entry'!$$16), "", 'Data Entry'!$$16)</f>
      </c>
      <c r="CG16">
        <f>IF(ISBLANK('Data Entry'!$$16), "", 'Data Entry'!$$16)</f>
      </c>
      <c r="CH16">
        <f>IF(ISBLANK('Data Entry'!$$16), "", 'Data Entry'!$$16)</f>
      </c>
      <c r="CI16">
        <f>IF(ISBLANK('Data Entry'!$$16), "", 'Data Entry'!$$16)</f>
      </c>
      <c r="CJ16">
        <f>IF(ISBLANK('Data Entry'!$$16), "", 'Data Entry'!$$16)</f>
      </c>
      <c r="CK16">
        <f>IF(ISBLANK('Data Entry'!$$16), "", 'Data Entry'!$$16)</f>
      </c>
      <c r="CL16">
        <f>IF(ISBLANK('Data Entry'!$$16), "", 'Data Entry'!$$16)</f>
      </c>
      <c r="CM16">
        <f>IF(ISBLANK('Data Entry'!$$16), "", 'Data Entry'!$$16)</f>
      </c>
      <c r="CN16">
        <f>IF(ISBLANK('Data Entry'!$$16), "", 'Data Entry'!$$16)</f>
      </c>
      <c r="CO16">
        <f>IF(ISBLANK('Data Entry'!$$16), "", 'Data Entry'!$$16)</f>
      </c>
      <c r="CP16">
        <f>IF(ISBLANK('Data Entry'!$$16), "", 'Data Entry'!$$16)</f>
      </c>
      <c r="CQ16">
        <f>IF(ISBLANK('Data Entry'!$$16), "", 'Data Entry'!$$16)</f>
      </c>
      <c r="CR16">
        <f>IF(ISBLANK('Data Entry'!$ $16), "", 'Data Entry'!$ $16)</f>
      </c>
      <c r="CS16">
        <f>IF(ISBLANK('Data Entry'!$¡$16), "", 'Data Entry'!$¡$16)</f>
      </c>
      <c r="CT16">
        <f>IF(ISBLANK('Data Entry'!$¢$16), "", 'Data Entry'!$¢$16)</f>
      </c>
      <c r="CU16">
        <f>IF(ISBLANK('Data Entry'!$£$16), "", 'Data Entry'!$£$16)</f>
      </c>
      <c r="CV16">
        <f>IF(ISBLANK('Data Entry'!$¤$16), "", 'Data Entry'!$¤$16)</f>
      </c>
      <c r="CW16">
        <f>IF(ISBLANK('Data Entry'!$¥$16), "", 'Data Entry'!$¥$16)</f>
      </c>
      <c r="CX16">
        <f>IF(ISBLANK('Data Entry'!$¦$16), "", 'Data Entry'!$¦$16)</f>
      </c>
      <c r="CY16">
        <f>IF(ISBLANK('Data Entry'!$§$16), "", 'Data Entry'!$§$16)</f>
      </c>
      <c r="CZ16">
        <f>IF(ISBLANK('Data Entry'!$¨$16), "", 'Data Entry'!$¨$16)</f>
      </c>
      <c r="DA16">
        <f>IF(ISBLANK('Data Entry'!$©$16), "", 'Data Entry'!$©$16)</f>
      </c>
      <c r="DB16">
        <f>IF(ISBLANK('Data Entry'!$ª$16), "", 'Data Entry'!$ª$16)</f>
      </c>
      <c r="DC16">
        <f>IF(ISBLANK('Data Entry'!$«$16), "", 'Data Entry'!$«$16)</f>
      </c>
      <c r="DD16">
        <f>IF(ISBLANK('Data Entry'!$¬$16), "", 'Data Entry'!$¬$16)</f>
      </c>
      <c r="DE16">
        <f>IF(ISBLANK('Data Entry'!$­$16), "", 'Data Entry'!$­$16)</f>
      </c>
      <c r="DF16">
        <f>IF(ISBLANK('Data Entry'!$®$16), "", 'Data Entry'!$®$16)</f>
      </c>
      <c r="DG16">
        <f>IF(ISBLANK('Data Entry'!$¯$16), "", 'Data Entry'!$¯$16)</f>
      </c>
      <c r="DH16">
        <f>IF(ISBLANK('Data Entry'!$°$16), "", 'Data Entry'!$°$16)</f>
      </c>
      <c r="DI16">
        <f>IF(ISBLANK('Data Entry'!$±$16), "", 'Data Entry'!$±$16)</f>
      </c>
      <c r="DJ16">
        <f>IF(ISBLANK('Data Entry'!$²$16), "", 'Data Entry'!$²$16)</f>
      </c>
      <c r="DK16">
        <f>IF(ISBLANK('Data Entry'!$³$16), "", 'Data Entry'!$³$16)</f>
      </c>
      <c r="DL16">
        <f>IF(ISBLANK('Data Entry'!$´$16), "", 'Data Entry'!$´$16)</f>
      </c>
      <c r="DM16">
        <f>IF(ISBLANK('Data Entry'!$µ$16), "", 'Data Entry'!$µ$16)</f>
      </c>
      <c r="DN16">
        <f>IF(ISBLANK('Data Entry'!$¶$16), "", 'Data Entry'!$¶$16)</f>
      </c>
      <c r="DO16">
        <f>IF(ISBLANK('Data Entry'!$·$16), "", 'Data Entry'!$·$16)</f>
      </c>
      <c r="DP16">
        <f>IF(ISBLANK('Data Entry'!$¸$16), "", 'Data Entry'!$¸$16)</f>
      </c>
      <c r="DQ16">
        <f>IF(ISBLANK('Data Entry'!$¹$16), "", 'Data Entry'!$¹$16)</f>
      </c>
      <c r="DR16">
        <f>IF(ISBLANK('Data Entry'!$º$16), "", 'Data Entry'!$º$16)</f>
      </c>
      <c r="DS16">
        <f>IF(ISBLANK('Data Entry'!$»$16), "", 'Data Entry'!$»$16)</f>
      </c>
      <c r="DT16">
        <f>IF(ISBLANK('Data Entry'!$¼$16), "", 'Data Entry'!$¼$16)</f>
      </c>
      <c r="DU16">
        <f>IF(ISBLANK('Data Entry'!$½$16), "", 'Data Entry'!$½$16)</f>
      </c>
      <c r="DV16">
        <f>IF(ISBLANK('Data Entry'!$¾$16), "", 'Data Entry'!$¾$16)</f>
      </c>
      <c r="DW16">
        <f>IF(ISBLANK('Data Entry'!$¿$16), "", 'Data Entry'!$¿$16)</f>
      </c>
      <c r="DX16">
        <f>IF(ISBLANK('Data Entry'!$À$16), "", 'Data Entry'!$À$16)</f>
      </c>
      <c r="DY16">
        <f>IF(ISBLANK('Data Entry'!$Á$16), "", 'Data Entry'!$Á$16)</f>
      </c>
      <c r="DZ16">
        <f>IF(ISBLANK('Data Entry'!$Â$16), "", 'Data Entry'!$Â$16)</f>
      </c>
      <c r="EA16">
        <f>IF(ISBLANK('Data Entry'!$Ã$16), "", 'Data Entry'!$Ã$16)</f>
      </c>
      <c r="EB16">
        <f>IF(ISBLANK('Data Entry'!$Ä$16), "", 'Data Entry'!$Ä$16)</f>
      </c>
      <c r="EC16">
        <f>IF(ISBLANK('Data Entry'!$Å$16), "", 'Data Entry'!$Å$16)</f>
      </c>
      <c r="ED16">
        <f>IF(ISBLANK('Data Entry'!$Æ$16), "", 'Data Entry'!$Æ$16)</f>
      </c>
      <c r="EE16">
        <f>IF(ISBLANK('Data Entry'!$Ç$16), "", 'Data Entry'!$Ç$16)</f>
      </c>
      <c r="EF16">
        <f>IF(ISBLANK('Data Entry'!$È$16), "", 'Data Entry'!$È$16)</f>
      </c>
      <c r="EG16">
        <f>IF(ISBLANK('Data Entry'!$É$16), "", 'Data Entry'!$É$16)</f>
      </c>
      <c r="EH16">
        <f>IF(ISBLANK('Data Entry'!$Ê$16), "", 'Data Entry'!$Ê$16)</f>
      </c>
      <c r="EI16">
        <f>IF(ISBLANK('Data Entry'!$Ë$16), "", 'Data Entry'!$Ë$16)</f>
      </c>
      <c r="EJ16">
        <f>IF(ISBLANK('Data Entry'!$Ì$16), "", 'Data Entry'!$Ì$16)</f>
      </c>
      <c r="EK16">
        <f>IF(ISBLANK('Data Entry'!$Í$16), "", 'Data Entry'!$Í$16)</f>
      </c>
      <c r="EL16">
        <f>IF(ISBLANK('Data Entry'!$Î$16), "", 'Data Entry'!$Î$16)</f>
      </c>
      <c r="EM16">
        <f>IF(ISBLANK('Data Entry'!$Ï$16), "", 'Data Entry'!$Ï$16)</f>
      </c>
      <c r="EN16">
        <f>IF(ISBLANK('Data Entry'!$Ð$16), "", 'Data Entry'!$Ð$16)</f>
      </c>
      <c r="EO16">
        <f>IF(ISBLANK('Data Entry'!$Ñ$16), "", 'Data Entry'!$Ñ$16)</f>
      </c>
      <c r="EP16">
        <f>IF(ISBLANK('Data Entry'!$Ò$16), "", 'Data Entry'!$Ò$16)</f>
      </c>
      <c r="EQ16">
        <f>IF(ISBLANK('Data Entry'!$Ó$16), "", 'Data Entry'!$Ó$16)</f>
      </c>
      <c r="ER16">
        <f>IF(ISBLANK('Data Entry'!$Ô$16), "", 'Data Entry'!$Ô$16)</f>
      </c>
      <c r="ES16">
        <f>IF(ISBLANK('Data Entry'!$Õ$16), "", 'Data Entry'!$Õ$16)</f>
      </c>
      <c r="ET16">
        <f>IF(ISBLANK('Data Entry'!$Ö$16), "", 'Data Entry'!$Ö$16)</f>
      </c>
      <c r="EU16">
        <f>IF(ISBLANK('Data Entry'!$×$16), "", 'Data Entry'!$×$16)</f>
      </c>
      <c r="EV16">
        <f>IF(ISBLANK('Data Entry'!$Ø$16), "", 'Data Entry'!$Ø$16)</f>
      </c>
      <c r="EW16">
        <f>IF(ISBLANK('Data Entry'!$Ù$16), "", 'Data Entry'!$Ù$16)</f>
      </c>
      <c r="EX16">
        <f>IF(ISBLANK('Data Entry'!$Ú$16), "", 'Data Entry'!$Ú$16)</f>
      </c>
      <c r="EY16">
        <f>IF(ISBLANK('Data Entry'!$Û$16), "", 'Data Entry'!$Û$16)</f>
      </c>
      <c r="EZ16">
        <f>IF(ISBLANK('Data Entry'!$Ü$16), "", 'Data Entry'!$Ü$16)</f>
      </c>
      <c r="FA16">
        <f>IF(ISBLANK('Data Entry'!$Ý$16), "", 'Data Entry'!$Ý$16)</f>
      </c>
      <c r="FB16">
        <f>IF(ISBLANK('Data Entry'!$Þ$16), "", 'Data Entry'!$Þ$16)</f>
      </c>
      <c r="FC16">
        <f>IF(ISBLANK('Data Entry'!$ß$16), "", 'Data Entry'!$ß$16)</f>
      </c>
      <c r="FD16">
        <f>IF(ISBLANK('Data Entry'!$à$16), "", 'Data Entry'!$à$16)</f>
      </c>
      <c r="FE16">
        <f>IF(ISBLANK('Data Entry'!$á$16), "", 'Data Entry'!$á$16)</f>
      </c>
      <c r="FF16">
        <f>IF(ISBLANK('Data Entry'!$â$16), "", 'Data Entry'!$â$16)</f>
      </c>
      <c r="FG16">
        <f>IF(ISBLANK('Data Entry'!$ã$16), "", 'Data Entry'!$ã$16)</f>
      </c>
      <c r="FH16">
        <f>IF(ISBLANK('Data Entry'!$ä$16), "", 'Data Entry'!$ä$16)</f>
      </c>
      <c r="FI16">
        <f>IF(ISBLANK('Data Entry'!$å$16), "", 'Data Entry'!$å$16)</f>
      </c>
      <c r="FJ16">
        <f>IF(ISBLANK('Data Entry'!$æ$16), "", 'Data Entry'!$æ$16)</f>
      </c>
      <c r="FK16">
        <f>IF(ISBLANK('Data Entry'!$ç$16), "", 'Data Entry'!$ç$16)</f>
      </c>
      <c r="FL16">
        <f>IF(ISBLANK('Data Entry'!$è$16), "", 'Data Entry'!$è$16)</f>
      </c>
      <c r="FM16">
        <f>IF(ISBLANK('Data Entry'!$é$16), "", 'Data Entry'!$é$16)</f>
      </c>
      <c r="FN16">
        <f>IF(ISBLANK('Data Entry'!$ê$16), "", 'Data Entry'!$ê$16)</f>
      </c>
      <c r="FO16">
        <f>IF(ISBLANK('Data Entry'!$ë$16), "", 'Data Entry'!$ë$16)</f>
      </c>
      <c r="FP16">
        <f>IF(ISBLANK('Data Entry'!$ì$16), "", 'Data Entry'!$ì$16)</f>
      </c>
      <c r="FQ16">
        <f>IF(ISBLANK('Data Entry'!$í$16), "", 'Data Entry'!$í$16)</f>
      </c>
      <c r="FR16">
        <f>IF(ISBLANK('Data Entry'!$î$16), "", 'Data Entry'!$î$16)</f>
      </c>
      <c r="FS16">
        <f>IF(ISBLANK('Data Entry'!$ï$16), "", 'Data Entry'!$ï$16)</f>
      </c>
      <c r="FT16">
        <f>IF(ISBLANK('Data Entry'!$ð$16), "", 'Data Entry'!$ð$16)</f>
      </c>
      <c r="FU16">
        <f>IF(ISBLANK('Data Entry'!$ñ$16), "", 'Data Entry'!$ñ$16)</f>
      </c>
      <c r="FV16">
        <f>IF(ISBLANK('Data Entry'!$ò$16), "", 'Data Entry'!$ò$16)</f>
      </c>
      <c r="FW16">
        <f>IF(ISBLANK('Data Entry'!$ó$16), "", 'Data Entry'!$ó$16)</f>
      </c>
      <c r="FX16">
        <f>IF(ISBLANK('Data Entry'!$ô$16), "", 'Data Entry'!$ô$16)</f>
      </c>
      <c r="FY16">
        <f>IF(ISBLANK('Data Entry'!$õ$16), "", 'Data Entry'!$õ$16)</f>
      </c>
      <c r="FZ16">
        <f>IF(ISBLANK('Data Entry'!$ö$16), "", 'Data Entry'!$ö$16)</f>
      </c>
      <c r="GA16">
        <f>IF(ISBLANK('Data Entry'!$÷$16), "", 'Data Entry'!$÷$16)</f>
      </c>
      <c r="GB16">
        <f>IF(ISBLANK('Data Entry'!$ø$16), "", 'Data Entry'!$ø$16)</f>
      </c>
      <c r="GC16">
        <f>IF(ISBLANK('Data Entry'!$ù$16), "", 'Data Entry'!$ù$16)</f>
      </c>
      <c r="GD16">
        <f>IF(ISBLANK('Data Entry'!$ú$16), "", 'Data Entry'!$ú$16)</f>
      </c>
      <c r="GE16">
        <f>IF(ISBLANK('Data Entry'!$û$16), "", 'Data Entry'!$û$16)</f>
      </c>
      <c r="GF16">
        <f>IF(ISBLANK('Data Entry'!$ü$16), "", 'Data Entry'!$ü$16)</f>
      </c>
      <c r="GG16">
        <f>IF(ISBLANK('Data Entry'!$ý$16), "", 'Data Entry'!$ý$16)</f>
      </c>
      <c r="GH16">
        <f>IF(ISBLANK('Data Entry'!$þ$16), "", 'Data Entry'!$þ$16)</f>
      </c>
      <c r="GI16">
        <f>IF(ISBLANK('Data Entry'!$ÿ$16), "", 'Data Entry'!$ÿ$16)</f>
      </c>
      <c r="GJ16">
        <f>IF(ISBLANK('Data Entry'!$Ā$16), "", 'Data Entry'!$Ā$16)</f>
      </c>
      <c r="GK16">
        <f>IF(ISBLANK('Data Entry'!$ā$16), "", 'Data Entry'!$ā$16)</f>
      </c>
      <c r="GL16">
        <f>IF(ISBLANK('Data Entry'!$Ă$16), "", 'Data Entry'!$Ă$16)</f>
      </c>
      <c r="GM16">
        <f>IF(ISBLANK('Data Entry'!$ă$16), "", 'Data Entry'!$ă$16)</f>
      </c>
      <c r="GN16">
        <f>IF(ISBLANK('Data Entry'!$Ą$16), "", 'Data Entry'!$Ą$16)</f>
      </c>
      <c r="GO16">
        <f>IF(ISBLANK('Data Entry'!$ą$16), "", 'Data Entry'!$ą$16)</f>
      </c>
      <c r="GP16">
        <f>IF(ISBLANK('Data Entry'!$Ć$16), "", 'Data Entry'!$Ć$16)</f>
      </c>
      <c r="GQ16">
        <f>IF(ISBLANK('Data Entry'!$ć$16), "", 'Data Entry'!$ć$16)</f>
      </c>
      <c r="GR16">
        <f>IF(ISBLANK('Data Entry'!$Ĉ$16), "", 'Data Entry'!$Ĉ$16)</f>
      </c>
      <c r="GS16">
        <f>IF(ISBLANK('Data Entry'!$ĉ$16), "", 'Data Entry'!$ĉ$16)</f>
      </c>
      <c r="GT16">
        <f>IF(ISBLANK('Data Entry'!$Ċ$16), "", 'Data Entry'!$Ċ$16)</f>
      </c>
      <c r="GU16">
        <f>IF(ISBLANK('Data Entry'!$ċ$16), "", 'Data Entry'!$ċ$16)</f>
      </c>
      <c r="GV16">
        <f>IF(ISBLANK('Data Entry'!$Č$16), "", 'Data Entry'!$Č$16)</f>
      </c>
      <c r="GW16">
        <f>IF(ISBLANK('Data Entry'!$č$16), "", 'Data Entry'!$č$16)</f>
      </c>
      <c r="GX16">
        <f>IF(ISBLANK('Data Entry'!$Ď$16), "", 'Data Entry'!$Ď$16)</f>
      </c>
      <c r="GY16">
        <f>IF(ISBLANK('Data Entry'!$ď$16), "", 'Data Entry'!$ď$16)</f>
      </c>
      <c r="GZ16">
        <f>IF(ISBLANK('Data Entry'!$Đ$16), "", 'Data Entry'!$Đ$16)</f>
      </c>
      <c r="HA16">
        <f>IF(ISBLANK('Data Entry'!$đ$16), "", 'Data Entry'!$đ$16)</f>
      </c>
      <c r="HB16">
        <f>IF(ISBLANK('Data Entry'!$Ē$16), "", 'Data Entry'!$Ē$16)</f>
      </c>
      <c r="HC16">
        <f>IF(ISBLANK('Data Entry'!$ē$16), "", 'Data Entry'!$ē$16)</f>
      </c>
      <c r="HD16">
        <f>IF(ISBLANK('Data Entry'!$Ĕ$16), "", 'Data Entry'!$Ĕ$16)</f>
      </c>
      <c r="HE16">
        <f>IF(ISBLANK('Data Entry'!$ĕ$16), "", 'Data Entry'!$ĕ$16)</f>
      </c>
      <c r="HF16">
        <f>IF(ISBLANK('Data Entry'!$Ė$16), "", 'Data Entry'!$Ė$16)</f>
      </c>
      <c r="HG16">
        <f>IF(ISBLANK('Data Entry'!$ė$16), "", 'Data Entry'!$ė$16)</f>
      </c>
      <c r="HH16">
        <f>IF(ISBLANK('Data Entry'!$Ę$16), "", 'Data Entry'!$Ę$16)</f>
      </c>
      <c r="HI16">
        <f>IF(ISBLANK('Data Entry'!$ę$16), "", 'Data Entry'!$ę$16)</f>
      </c>
      <c r="HJ16">
        <f>IF(ISBLANK('Data Entry'!$Ě$16), "", 'Data Entry'!$Ě$16)</f>
      </c>
      <c r="HK16">
        <f>IF(ISBLANK('Data Entry'!$ě$16), "", 'Data Entry'!$ě$16)</f>
      </c>
      <c r="HL16">
        <f>IF(ISBLANK('Data Entry'!$Ĝ$16), "", 'Data Entry'!$Ĝ$16)</f>
      </c>
      <c r="HM16">
        <f>IF(ISBLANK('Data Entry'!$ĝ$16), "", 'Data Entry'!$ĝ$16)</f>
      </c>
      <c r="HN16">
        <f>IF(ISBLANK('Data Entry'!$Ğ$16), "", 'Data Entry'!$Ğ$16)</f>
      </c>
      <c r="HO16">
        <f>IF(ISBLANK('Data Entry'!$ğ$16), "", 'Data Entry'!$ğ$16)</f>
      </c>
      <c r="HP16">
        <f>IF(ISBLANK('Data Entry'!$Ġ$16), "", 'Data Entry'!$Ġ$16)</f>
      </c>
      <c r="HQ16">
        <f>IF(ISBLANK('Data Entry'!$ġ$16), "", 'Data Entry'!$ġ$16)</f>
      </c>
      <c r="HR16">
        <f>IF(ISBLANK('Data Entry'!$Ģ$16), "", 'Data Entry'!$Ģ$16)</f>
      </c>
      <c r="HS16">
        <f>IF(ISBLANK('Data Entry'!$ģ$16), "", 'Data Entry'!$ģ$16)</f>
      </c>
      <c r="HT16">
        <f>IF(ISBLANK('Data Entry'!$Ĥ$16), "", 'Data Entry'!$Ĥ$16)</f>
      </c>
      <c r="HU16">
        <f>IF(ISBLANK('Data Entry'!$ĥ$16), "", 'Data Entry'!$ĥ$16)</f>
      </c>
      <c r="HV16">
        <f>IF(ISBLANK('Data Entry'!$Ħ$16), "", 'Data Entry'!$Ħ$16)</f>
      </c>
      <c r="HW16">
        <f>IF(ISBLANK('Data Entry'!$ħ$16), "", 'Data Entry'!$ħ$16)</f>
      </c>
      <c r="HX16">
        <f>IF(ISBLANK('Data Entry'!$Ĩ$16), "", 'Data Entry'!$Ĩ$16)</f>
      </c>
      <c r="HY16">
        <f>IF(ISBLANK('Data Entry'!$ĩ$16), "", 'Data Entry'!$ĩ$16)</f>
      </c>
      <c r="HZ16">
        <f>IF(ISBLANK('Data Entry'!$Ī$16), "", 'Data Entry'!$Ī$16)</f>
      </c>
      <c r="IA16">
        <f>IF(ISBLANK('Data Entry'!$ī$16), "", 'Data Entry'!$ī$16)</f>
      </c>
      <c r="IB16">
        <f>IF(ISBLANK('Data Entry'!$Ĭ$16), "", 'Data Entry'!$Ĭ$16)</f>
      </c>
      <c r="IC16">
        <f>IF(ISBLANK('Data Entry'!$ĭ$16), "", 'Data Entry'!$ĭ$16)</f>
      </c>
      <c r="ID16">
        <f>IF(ISBLANK('Data Entry'!$Į$16), "", 'Data Entry'!$Į$16)</f>
      </c>
      <c r="IE16">
        <f>IF(ISBLANK('Data Entry'!$į$16), "", 'Data Entry'!$į$16)</f>
      </c>
      <c r="IF16">
        <f>IF(ISBLANK('Data Entry'!$İ$16), "", 'Data Entry'!$İ$16)</f>
      </c>
      <c r="IG16">
        <f>IF(ISBLANK('Data Entry'!$ı$16), "", 'Data Entry'!$ı$16)</f>
      </c>
      <c r="IH16">
        <f>IF(ISBLANK('Data Entry'!$Ĳ$16), "", 'Data Entry'!$Ĳ$16)</f>
      </c>
      <c r="II16">
        <f>IF(ISBLANK('Data Entry'!$ĳ$16), "", 'Data Entry'!$ĳ$16)</f>
      </c>
      <c r="IJ16">
        <f>IF(ISBLANK('Data Entry'!$Ĵ$16), "", 'Data Entry'!$Ĵ$16)</f>
      </c>
      <c r="IK16">
        <f>IF(ISBLANK('Data Entry'!$ĵ$16), "", 'Data Entry'!$ĵ$16)</f>
      </c>
      <c r="IL16">
        <f>IF(ISBLANK('Data Entry'!$Ķ$16), "", 'Data Entry'!$Ķ$16)</f>
      </c>
      <c r="IM16">
        <f>IF(ISBLANK('Data Entry'!$ķ$16), "", 'Data Entry'!$ķ$16)</f>
      </c>
      <c r="IN16">
        <f>IF(ISBLANK('Data Entry'!$ĸ$16), "", 'Data Entry'!$ĸ$16)</f>
      </c>
      <c r="IO16">
        <f>IF(ISBLANK('Data Entry'!$Ĺ$16), "", 'Data Entry'!$Ĺ$16)</f>
      </c>
      <c r="IP16">
        <f>IF(ISBLANK('Data Entry'!$ĺ$16), "", 'Data Entry'!$ĺ$16)</f>
      </c>
      <c r="IQ16">
        <f>IF(ISBLANK('Data Entry'!$Ļ$16), "", 'Data Entry'!$Ļ$16)</f>
      </c>
      <c r="IR16">
        <f>IF(ISBLANK('Data Entry'!$ļ$16), "", 'Data Entry'!$ļ$16)</f>
      </c>
      <c r="IS16">
        <f>IF(ISBLANK('Data Entry'!$Ľ$16), "", 'Data Entry'!$Ľ$16)</f>
      </c>
      <c r="IT16">
        <f>IF(ISBLANK('Data Entry'!$ľ$16), "", 'Data Entry'!$ľ$16)</f>
      </c>
    </row>
    <row r="17" spans="1:254" x14ac:dyDescent="0.25">
      <c r="A17">
        <f>IF(ISBLANK('Data Entry'!$A$17), "", 'Data Entry'!$A$17)</f>
      </c>
      <c r="B17">
        <f>IF(ISBLANK('Data Entry'!$B$17), "", 'Data Entry'!$B$17)</f>
      </c>
      <c r="C17">
        <f>IF(ISBLANK('Data Entry'!$C$17), "", 'Data Entry'!$C$17)</f>
      </c>
      <c r="D17">
        <f>IF(ISBLANK('Data Entry'!$D$17), "", 'Data Entry'!$D$17)</f>
      </c>
      <c r="E17">
        <f>IF(ISBLANK('Data Entry'!$E$17), "", 'Data Entry'!$E$17)</f>
      </c>
      <c r="F17">
        <f>IF(ISBLANK('Data Entry'!$F$17), "", 'Data Entry'!$F$17)</f>
      </c>
      <c r="G17">
        <f>IF(ISBLANK('Data Entry'!$G$17), "", 'Data Entry'!$G$17)</f>
      </c>
      <c r="H17">
        <f>IF(ISBLANK('Data Entry'!$H$17), "", 'Data Entry'!$H$17)</f>
      </c>
      <c r="I17">
        <f>IF(ISBLANK('Data Entry'!$I$17), "", 'Data Entry'!$I$17)</f>
      </c>
      <c r="J17">
        <f>IF(ISBLANK('Data Entry'!$J$17), "", 'Data Entry'!$J$17)</f>
      </c>
      <c r="K17">
        <f>IF(ISBLANK('Data Entry'!$K$17), "", 'Data Entry'!$K$17)</f>
      </c>
      <c r="L17">
        <f>IF(ISBLANK('Data Entry'!$L$17), "", 'Data Entry'!$L$17)</f>
      </c>
      <c r="M17">
        <f>IF(ISBLANK('Data Entry'!$M$17), "", 'Data Entry'!$M$17)</f>
      </c>
      <c r="N17">
        <f>IF(ISBLANK('Data Entry'!$N$17), "", 'Data Entry'!$N$17)</f>
      </c>
      <c r="O17">
        <f>IF(ISBLANK('Data Entry'!$O$17), "", 'Data Entry'!$O$17)</f>
      </c>
      <c r="P17">
        <f>IF(ISBLANK('Data Entry'!$P$17), "", 'Data Entry'!$P$17)</f>
      </c>
      <c r="Q17">
        <f>IF(ISBLANK('Data Entry'!$Q$17), "", 'Data Entry'!$Q$17)</f>
      </c>
      <c r="R17">
        <f>IF(ISBLANK('Data Entry'!$R$17), "", 'Data Entry'!$R$17)</f>
      </c>
      <c r="S17">
        <f>IF(ISBLANK('Data Entry'!$S$17), "", 'Data Entry'!$S$17)</f>
      </c>
      <c r="T17">
        <f>IF(ISBLANK('Data Entry'!$T$17), "", 'Data Entry'!$T$17)</f>
      </c>
      <c r="U17">
        <f>IF(ISBLANK('Data Entry'!$U$17), "", 'Data Entry'!$U$17)</f>
      </c>
      <c r="V17">
        <f>IF(ISBLANK('Data Entry'!$V$17), "", 'Data Entry'!$V$17)</f>
      </c>
      <c r="W17">
        <f>IF(ISBLANK('Data Entry'!$W$17), "", 'Data Entry'!$W$17)</f>
      </c>
      <c r="X17">
        <f>IF(ISBLANK('Data Entry'!$X$17), "", 'Data Entry'!$X$17)</f>
      </c>
      <c r="Y17">
        <f>IF(ISBLANK('Data Entry'!$Y$17), "", 'Data Entry'!$Y$17)</f>
      </c>
      <c r="Z17">
        <f>IF(ISBLANK('Data Entry'!$Z$17), "", 'Data Entry'!$Z$17)</f>
      </c>
      <c r="AA17">
        <f>IF(ISBLANK('Data Entry'!$[$17), "", 'Data Entry'!$[$17)</f>
      </c>
      <c r="AB17">
        <f>IF(ISBLANK('Data Entry'!$\$17), "", 'Data Entry'!$\$17)</f>
      </c>
      <c r="AC17">
        <f>IF(ISBLANK('Data Entry'!$]$17), "", 'Data Entry'!$]$17)</f>
      </c>
      <c r="AD17">
        <f>IF(ISBLANK('Data Entry'!$^$17), "", 'Data Entry'!$^$17)</f>
      </c>
      <c r="AE17">
        <f>IF(ISBLANK('Data Entry'!$_$17), "", 'Data Entry'!$_$17)</f>
      </c>
      <c r="AF17">
        <f>IF(ISBLANK('Data Entry'!$`$17), "", 'Data Entry'!$`$17)</f>
      </c>
      <c r="AG17">
        <f>IF(ISBLANK('Data Entry'!$a$17), "", 'Data Entry'!$a$17)</f>
      </c>
      <c r="AH17">
        <f>IF(ISBLANK('Data Entry'!$b$17), "", 'Data Entry'!$b$17)</f>
      </c>
      <c r="AI17">
        <f>IF(ISBLANK('Data Entry'!$c$17), "", 'Data Entry'!$c$17)</f>
      </c>
      <c r="AJ17">
        <f>IF(ISBLANK('Data Entry'!$d$17), "", 'Data Entry'!$d$17)</f>
      </c>
      <c r="AK17">
        <f>IF(ISBLANK('Data Entry'!$e$17), "", 'Data Entry'!$e$17)</f>
      </c>
      <c r="AL17">
        <f>IF(ISBLANK('Data Entry'!$f$17), "", 'Data Entry'!$f$17)</f>
      </c>
      <c r="AM17">
        <f>IF(ISBLANK('Data Entry'!$g$17), "", 'Data Entry'!$g$17)</f>
      </c>
      <c r="AN17">
        <f>IF(ISBLANK('Data Entry'!$h$17), "", 'Data Entry'!$h$17)</f>
      </c>
      <c r="AO17">
        <f>IF(ISBLANK('Data Entry'!$i$17), "", 'Data Entry'!$i$17)</f>
      </c>
      <c r="AP17">
        <f>IF(ISBLANK('Data Entry'!$j$17), "", 'Data Entry'!$j$17)</f>
      </c>
      <c r="AQ17">
        <f>IF(ISBLANK('Data Entry'!$k$17), "", 'Data Entry'!$k$17)</f>
      </c>
      <c r="AR17">
        <f>IF(ISBLANK('Data Entry'!$l$17), "", 'Data Entry'!$l$17)</f>
      </c>
      <c r="AS17">
        <f>IF(ISBLANK('Data Entry'!$m$17), "", 'Data Entry'!$m$17)</f>
      </c>
      <c r="AT17">
        <f>IF(ISBLANK('Data Entry'!$n$17), "", 'Data Entry'!$n$17)</f>
      </c>
      <c r="AU17">
        <f>IF(ISBLANK('Data Entry'!$o$17), "", 'Data Entry'!$o$17)</f>
      </c>
      <c r="AV17">
        <f>IF(ISBLANK('Data Entry'!$p$17), "", 'Data Entry'!$p$17)</f>
      </c>
      <c r="AW17">
        <f>IF(ISBLANK('Data Entry'!$q$17), "", 'Data Entry'!$q$17)</f>
      </c>
      <c r="AX17">
        <f>IF(ISBLANK('Data Entry'!$r$17), "", 'Data Entry'!$r$17)</f>
      </c>
      <c r="AY17">
        <f>IF(ISBLANK('Data Entry'!$s$17), "", 'Data Entry'!$s$17)</f>
      </c>
      <c r="AZ17">
        <f>IF(ISBLANK('Data Entry'!$t$17), "", 'Data Entry'!$t$17)</f>
      </c>
      <c r="BA17">
        <f>IF(ISBLANK('Data Entry'!$u$17), "", 'Data Entry'!$u$17)</f>
      </c>
      <c r="BB17">
        <f>IF(ISBLANK('Data Entry'!$v$17), "", 'Data Entry'!$v$17)</f>
      </c>
      <c r="BC17">
        <f>IF(ISBLANK('Data Entry'!$w$17), "", 'Data Entry'!$w$17)</f>
      </c>
      <c r="BD17">
        <f>IF(ISBLANK('Data Entry'!$x$17), "", 'Data Entry'!$x$17)</f>
      </c>
      <c r="BE17">
        <f>IF(ISBLANK('Data Entry'!$y$17), "", 'Data Entry'!$y$17)</f>
      </c>
      <c r="BF17">
        <f>IF(ISBLANK('Data Entry'!$z$17), "", 'Data Entry'!$z$17)</f>
      </c>
      <c r="BG17">
        <f>IF(ISBLANK('Data Entry'!${$17), "", 'Data Entry'!${$17)</f>
      </c>
      <c r="BH17">
        <f>IF(ISBLANK('Data Entry'!$|$17), "", 'Data Entry'!$|$17)</f>
      </c>
      <c r="BI17">
        <f>IF(ISBLANK('Data Entry'!$}$17), "", 'Data Entry'!$}$17)</f>
      </c>
      <c r="BJ17">
        <f>IF(ISBLANK('Data Entry'!$~$17), "", 'Data Entry'!$~$17)</f>
      </c>
      <c r="BK17">
        <f>IF(ISBLANK('Data Entry'!$$17), "", 'Data Entry'!$$17)</f>
      </c>
      <c r="BL17">
        <f>IF(ISBLANK('Data Entry'!$$17), "", 'Data Entry'!$$17)</f>
      </c>
      <c r="BM17">
        <f>IF(ISBLANK('Data Entry'!$$17), "", 'Data Entry'!$$17)</f>
      </c>
      <c r="BN17">
        <f>IF(ISBLANK('Data Entry'!$$17), "", 'Data Entry'!$$17)</f>
      </c>
      <c r="BO17">
        <f>IF(ISBLANK('Data Entry'!$$17), "", 'Data Entry'!$$17)</f>
      </c>
      <c r="BP17">
        <f>IF(ISBLANK('Data Entry'!$$17), "", 'Data Entry'!$$17)</f>
      </c>
      <c r="BQ17">
        <f>IF(ISBLANK('Data Entry'!$$17), "", 'Data Entry'!$$17)</f>
      </c>
      <c r="BR17">
        <f>IF(ISBLANK('Data Entry'!$$17), "", 'Data Entry'!$$17)</f>
      </c>
      <c r="BS17">
        <f>IF(ISBLANK('Data Entry'!$$17), "", 'Data Entry'!$$17)</f>
      </c>
      <c r="BT17">
        <f>IF(ISBLANK('Data Entry'!$$17), "", 'Data Entry'!$$17)</f>
      </c>
      <c r="BU17">
        <f>IF(ISBLANK('Data Entry'!$$17), "", 'Data Entry'!$$17)</f>
      </c>
      <c r="BV17">
        <f>IF(ISBLANK('Data Entry'!$$17), "", 'Data Entry'!$$17)</f>
      </c>
      <c r="BW17">
        <f>IF(ISBLANK('Data Entry'!$$17), "", 'Data Entry'!$$17)</f>
      </c>
      <c r="BX17">
        <f>IF(ISBLANK('Data Entry'!$$17), "", 'Data Entry'!$$17)</f>
      </c>
      <c r="BY17">
        <f>IF(ISBLANK('Data Entry'!$$17), "", 'Data Entry'!$$17)</f>
      </c>
      <c r="BZ17">
        <f>IF(ISBLANK('Data Entry'!$$17), "", 'Data Entry'!$$17)</f>
      </c>
      <c r="CA17">
        <f>IF(ISBLANK('Data Entry'!$$17), "", 'Data Entry'!$$17)</f>
      </c>
      <c r="CB17">
        <f>IF(ISBLANK('Data Entry'!$$17), "", 'Data Entry'!$$17)</f>
      </c>
      <c r="CC17">
        <f>IF(ISBLANK('Data Entry'!$$17), "", 'Data Entry'!$$17)</f>
      </c>
      <c r="CD17">
        <f>IF(ISBLANK('Data Entry'!$$17), "", 'Data Entry'!$$17)</f>
      </c>
      <c r="CE17">
        <f>IF(ISBLANK('Data Entry'!$$17), "", 'Data Entry'!$$17)</f>
      </c>
      <c r="CF17">
        <f>IF(ISBLANK('Data Entry'!$$17), "", 'Data Entry'!$$17)</f>
      </c>
      <c r="CG17">
        <f>IF(ISBLANK('Data Entry'!$$17), "", 'Data Entry'!$$17)</f>
      </c>
      <c r="CH17">
        <f>IF(ISBLANK('Data Entry'!$$17), "", 'Data Entry'!$$17)</f>
      </c>
      <c r="CI17">
        <f>IF(ISBLANK('Data Entry'!$$17), "", 'Data Entry'!$$17)</f>
      </c>
      <c r="CJ17">
        <f>IF(ISBLANK('Data Entry'!$$17), "", 'Data Entry'!$$17)</f>
      </c>
      <c r="CK17">
        <f>IF(ISBLANK('Data Entry'!$$17), "", 'Data Entry'!$$17)</f>
      </c>
      <c r="CL17">
        <f>IF(ISBLANK('Data Entry'!$$17), "", 'Data Entry'!$$17)</f>
      </c>
      <c r="CM17">
        <f>IF(ISBLANK('Data Entry'!$$17), "", 'Data Entry'!$$17)</f>
      </c>
      <c r="CN17">
        <f>IF(ISBLANK('Data Entry'!$$17), "", 'Data Entry'!$$17)</f>
      </c>
      <c r="CO17">
        <f>IF(ISBLANK('Data Entry'!$$17), "", 'Data Entry'!$$17)</f>
      </c>
      <c r="CP17">
        <f>IF(ISBLANK('Data Entry'!$$17), "", 'Data Entry'!$$17)</f>
      </c>
      <c r="CQ17">
        <f>IF(ISBLANK('Data Entry'!$$17), "", 'Data Entry'!$$17)</f>
      </c>
      <c r="CR17">
        <f>IF(ISBLANK('Data Entry'!$ $17), "", 'Data Entry'!$ $17)</f>
      </c>
      <c r="CS17">
        <f>IF(ISBLANK('Data Entry'!$¡$17), "", 'Data Entry'!$¡$17)</f>
      </c>
      <c r="CT17">
        <f>IF(ISBLANK('Data Entry'!$¢$17), "", 'Data Entry'!$¢$17)</f>
      </c>
      <c r="CU17">
        <f>IF(ISBLANK('Data Entry'!$£$17), "", 'Data Entry'!$£$17)</f>
      </c>
      <c r="CV17">
        <f>IF(ISBLANK('Data Entry'!$¤$17), "", 'Data Entry'!$¤$17)</f>
      </c>
      <c r="CW17">
        <f>IF(ISBLANK('Data Entry'!$¥$17), "", 'Data Entry'!$¥$17)</f>
      </c>
      <c r="CX17">
        <f>IF(ISBLANK('Data Entry'!$¦$17), "", 'Data Entry'!$¦$17)</f>
      </c>
      <c r="CY17">
        <f>IF(ISBLANK('Data Entry'!$§$17), "", 'Data Entry'!$§$17)</f>
      </c>
      <c r="CZ17">
        <f>IF(ISBLANK('Data Entry'!$¨$17), "", 'Data Entry'!$¨$17)</f>
      </c>
      <c r="DA17">
        <f>IF(ISBLANK('Data Entry'!$©$17), "", 'Data Entry'!$©$17)</f>
      </c>
      <c r="DB17">
        <f>IF(ISBLANK('Data Entry'!$ª$17), "", 'Data Entry'!$ª$17)</f>
      </c>
      <c r="DC17">
        <f>IF(ISBLANK('Data Entry'!$«$17), "", 'Data Entry'!$«$17)</f>
      </c>
      <c r="DD17">
        <f>IF(ISBLANK('Data Entry'!$¬$17), "", 'Data Entry'!$¬$17)</f>
      </c>
      <c r="DE17">
        <f>IF(ISBLANK('Data Entry'!$­$17), "", 'Data Entry'!$­$17)</f>
      </c>
      <c r="DF17">
        <f>IF(ISBLANK('Data Entry'!$®$17), "", 'Data Entry'!$®$17)</f>
      </c>
      <c r="DG17">
        <f>IF(ISBLANK('Data Entry'!$¯$17), "", 'Data Entry'!$¯$17)</f>
      </c>
      <c r="DH17">
        <f>IF(ISBLANK('Data Entry'!$°$17), "", 'Data Entry'!$°$17)</f>
      </c>
      <c r="DI17">
        <f>IF(ISBLANK('Data Entry'!$±$17), "", 'Data Entry'!$±$17)</f>
      </c>
      <c r="DJ17">
        <f>IF(ISBLANK('Data Entry'!$²$17), "", 'Data Entry'!$²$17)</f>
      </c>
      <c r="DK17">
        <f>IF(ISBLANK('Data Entry'!$³$17), "", 'Data Entry'!$³$17)</f>
      </c>
      <c r="DL17">
        <f>IF(ISBLANK('Data Entry'!$´$17), "", 'Data Entry'!$´$17)</f>
      </c>
      <c r="DM17">
        <f>IF(ISBLANK('Data Entry'!$µ$17), "", 'Data Entry'!$µ$17)</f>
      </c>
      <c r="DN17">
        <f>IF(ISBLANK('Data Entry'!$¶$17), "", 'Data Entry'!$¶$17)</f>
      </c>
      <c r="DO17">
        <f>IF(ISBLANK('Data Entry'!$·$17), "", 'Data Entry'!$·$17)</f>
      </c>
      <c r="DP17">
        <f>IF(ISBLANK('Data Entry'!$¸$17), "", 'Data Entry'!$¸$17)</f>
      </c>
      <c r="DQ17">
        <f>IF(ISBLANK('Data Entry'!$¹$17), "", 'Data Entry'!$¹$17)</f>
      </c>
      <c r="DR17">
        <f>IF(ISBLANK('Data Entry'!$º$17), "", 'Data Entry'!$º$17)</f>
      </c>
      <c r="DS17">
        <f>IF(ISBLANK('Data Entry'!$»$17), "", 'Data Entry'!$»$17)</f>
      </c>
      <c r="DT17">
        <f>IF(ISBLANK('Data Entry'!$¼$17), "", 'Data Entry'!$¼$17)</f>
      </c>
      <c r="DU17">
        <f>IF(ISBLANK('Data Entry'!$½$17), "", 'Data Entry'!$½$17)</f>
      </c>
      <c r="DV17">
        <f>IF(ISBLANK('Data Entry'!$¾$17), "", 'Data Entry'!$¾$17)</f>
      </c>
      <c r="DW17">
        <f>IF(ISBLANK('Data Entry'!$¿$17), "", 'Data Entry'!$¿$17)</f>
      </c>
      <c r="DX17">
        <f>IF(ISBLANK('Data Entry'!$À$17), "", 'Data Entry'!$À$17)</f>
      </c>
      <c r="DY17">
        <f>IF(ISBLANK('Data Entry'!$Á$17), "", 'Data Entry'!$Á$17)</f>
      </c>
      <c r="DZ17">
        <f>IF(ISBLANK('Data Entry'!$Â$17), "", 'Data Entry'!$Â$17)</f>
      </c>
      <c r="EA17">
        <f>IF(ISBLANK('Data Entry'!$Ã$17), "", 'Data Entry'!$Ã$17)</f>
      </c>
      <c r="EB17">
        <f>IF(ISBLANK('Data Entry'!$Ä$17), "", 'Data Entry'!$Ä$17)</f>
      </c>
      <c r="EC17">
        <f>IF(ISBLANK('Data Entry'!$Å$17), "", 'Data Entry'!$Å$17)</f>
      </c>
      <c r="ED17">
        <f>IF(ISBLANK('Data Entry'!$Æ$17), "", 'Data Entry'!$Æ$17)</f>
      </c>
      <c r="EE17">
        <f>IF(ISBLANK('Data Entry'!$Ç$17), "", 'Data Entry'!$Ç$17)</f>
      </c>
      <c r="EF17">
        <f>IF(ISBLANK('Data Entry'!$È$17), "", 'Data Entry'!$È$17)</f>
      </c>
      <c r="EG17">
        <f>IF(ISBLANK('Data Entry'!$É$17), "", 'Data Entry'!$É$17)</f>
      </c>
      <c r="EH17">
        <f>IF(ISBLANK('Data Entry'!$Ê$17), "", 'Data Entry'!$Ê$17)</f>
      </c>
      <c r="EI17">
        <f>IF(ISBLANK('Data Entry'!$Ë$17), "", 'Data Entry'!$Ë$17)</f>
      </c>
      <c r="EJ17">
        <f>IF(ISBLANK('Data Entry'!$Ì$17), "", 'Data Entry'!$Ì$17)</f>
      </c>
      <c r="EK17">
        <f>IF(ISBLANK('Data Entry'!$Í$17), "", 'Data Entry'!$Í$17)</f>
      </c>
      <c r="EL17">
        <f>IF(ISBLANK('Data Entry'!$Î$17), "", 'Data Entry'!$Î$17)</f>
      </c>
      <c r="EM17">
        <f>IF(ISBLANK('Data Entry'!$Ï$17), "", 'Data Entry'!$Ï$17)</f>
      </c>
      <c r="EN17">
        <f>IF(ISBLANK('Data Entry'!$Ð$17), "", 'Data Entry'!$Ð$17)</f>
      </c>
      <c r="EO17">
        <f>IF(ISBLANK('Data Entry'!$Ñ$17), "", 'Data Entry'!$Ñ$17)</f>
      </c>
      <c r="EP17">
        <f>IF(ISBLANK('Data Entry'!$Ò$17), "", 'Data Entry'!$Ò$17)</f>
      </c>
      <c r="EQ17">
        <f>IF(ISBLANK('Data Entry'!$Ó$17), "", 'Data Entry'!$Ó$17)</f>
      </c>
      <c r="ER17">
        <f>IF(ISBLANK('Data Entry'!$Ô$17), "", 'Data Entry'!$Ô$17)</f>
      </c>
      <c r="ES17">
        <f>IF(ISBLANK('Data Entry'!$Õ$17), "", 'Data Entry'!$Õ$17)</f>
      </c>
      <c r="ET17">
        <f>IF(ISBLANK('Data Entry'!$Ö$17), "", 'Data Entry'!$Ö$17)</f>
      </c>
      <c r="EU17">
        <f>IF(ISBLANK('Data Entry'!$×$17), "", 'Data Entry'!$×$17)</f>
      </c>
      <c r="EV17">
        <f>IF(ISBLANK('Data Entry'!$Ø$17), "", 'Data Entry'!$Ø$17)</f>
      </c>
      <c r="EW17">
        <f>IF(ISBLANK('Data Entry'!$Ù$17), "", 'Data Entry'!$Ù$17)</f>
      </c>
      <c r="EX17">
        <f>IF(ISBLANK('Data Entry'!$Ú$17), "", 'Data Entry'!$Ú$17)</f>
      </c>
      <c r="EY17">
        <f>IF(ISBLANK('Data Entry'!$Û$17), "", 'Data Entry'!$Û$17)</f>
      </c>
      <c r="EZ17">
        <f>IF(ISBLANK('Data Entry'!$Ü$17), "", 'Data Entry'!$Ü$17)</f>
      </c>
      <c r="FA17">
        <f>IF(ISBLANK('Data Entry'!$Ý$17), "", 'Data Entry'!$Ý$17)</f>
      </c>
      <c r="FB17">
        <f>IF(ISBLANK('Data Entry'!$Þ$17), "", 'Data Entry'!$Þ$17)</f>
      </c>
      <c r="FC17">
        <f>IF(ISBLANK('Data Entry'!$ß$17), "", 'Data Entry'!$ß$17)</f>
      </c>
      <c r="FD17">
        <f>IF(ISBLANK('Data Entry'!$à$17), "", 'Data Entry'!$à$17)</f>
      </c>
      <c r="FE17">
        <f>IF(ISBLANK('Data Entry'!$á$17), "", 'Data Entry'!$á$17)</f>
      </c>
      <c r="FF17">
        <f>IF(ISBLANK('Data Entry'!$â$17), "", 'Data Entry'!$â$17)</f>
      </c>
      <c r="FG17">
        <f>IF(ISBLANK('Data Entry'!$ã$17), "", 'Data Entry'!$ã$17)</f>
      </c>
      <c r="FH17">
        <f>IF(ISBLANK('Data Entry'!$ä$17), "", 'Data Entry'!$ä$17)</f>
      </c>
      <c r="FI17">
        <f>IF(ISBLANK('Data Entry'!$å$17), "", 'Data Entry'!$å$17)</f>
      </c>
      <c r="FJ17">
        <f>IF(ISBLANK('Data Entry'!$æ$17), "", 'Data Entry'!$æ$17)</f>
      </c>
      <c r="FK17">
        <f>IF(ISBLANK('Data Entry'!$ç$17), "", 'Data Entry'!$ç$17)</f>
      </c>
      <c r="FL17">
        <f>IF(ISBLANK('Data Entry'!$è$17), "", 'Data Entry'!$è$17)</f>
      </c>
      <c r="FM17">
        <f>IF(ISBLANK('Data Entry'!$é$17), "", 'Data Entry'!$é$17)</f>
      </c>
      <c r="FN17">
        <f>IF(ISBLANK('Data Entry'!$ê$17), "", 'Data Entry'!$ê$17)</f>
      </c>
      <c r="FO17">
        <f>IF(ISBLANK('Data Entry'!$ë$17), "", 'Data Entry'!$ë$17)</f>
      </c>
      <c r="FP17">
        <f>IF(ISBLANK('Data Entry'!$ì$17), "", 'Data Entry'!$ì$17)</f>
      </c>
      <c r="FQ17">
        <f>IF(ISBLANK('Data Entry'!$í$17), "", 'Data Entry'!$í$17)</f>
      </c>
      <c r="FR17">
        <f>IF(ISBLANK('Data Entry'!$î$17), "", 'Data Entry'!$î$17)</f>
      </c>
      <c r="FS17">
        <f>IF(ISBLANK('Data Entry'!$ï$17), "", 'Data Entry'!$ï$17)</f>
      </c>
      <c r="FT17">
        <f>IF(ISBLANK('Data Entry'!$ð$17), "", 'Data Entry'!$ð$17)</f>
      </c>
      <c r="FU17">
        <f>IF(ISBLANK('Data Entry'!$ñ$17), "", 'Data Entry'!$ñ$17)</f>
      </c>
      <c r="FV17">
        <f>IF(ISBLANK('Data Entry'!$ò$17), "", 'Data Entry'!$ò$17)</f>
      </c>
      <c r="FW17">
        <f>IF(ISBLANK('Data Entry'!$ó$17), "", 'Data Entry'!$ó$17)</f>
      </c>
      <c r="FX17">
        <f>IF(ISBLANK('Data Entry'!$ô$17), "", 'Data Entry'!$ô$17)</f>
      </c>
      <c r="FY17">
        <f>IF(ISBLANK('Data Entry'!$õ$17), "", 'Data Entry'!$õ$17)</f>
      </c>
      <c r="FZ17">
        <f>IF(ISBLANK('Data Entry'!$ö$17), "", 'Data Entry'!$ö$17)</f>
      </c>
      <c r="GA17">
        <f>IF(ISBLANK('Data Entry'!$÷$17), "", 'Data Entry'!$÷$17)</f>
      </c>
      <c r="GB17">
        <f>IF(ISBLANK('Data Entry'!$ø$17), "", 'Data Entry'!$ø$17)</f>
      </c>
      <c r="GC17">
        <f>IF(ISBLANK('Data Entry'!$ù$17), "", 'Data Entry'!$ù$17)</f>
      </c>
      <c r="GD17">
        <f>IF(ISBLANK('Data Entry'!$ú$17), "", 'Data Entry'!$ú$17)</f>
      </c>
      <c r="GE17">
        <f>IF(ISBLANK('Data Entry'!$û$17), "", 'Data Entry'!$û$17)</f>
      </c>
      <c r="GF17">
        <f>IF(ISBLANK('Data Entry'!$ü$17), "", 'Data Entry'!$ü$17)</f>
      </c>
      <c r="GG17">
        <f>IF(ISBLANK('Data Entry'!$ý$17), "", 'Data Entry'!$ý$17)</f>
      </c>
      <c r="GH17">
        <f>IF(ISBLANK('Data Entry'!$þ$17), "", 'Data Entry'!$þ$17)</f>
      </c>
      <c r="GI17">
        <f>IF(ISBLANK('Data Entry'!$ÿ$17), "", 'Data Entry'!$ÿ$17)</f>
      </c>
      <c r="GJ17">
        <f>IF(ISBLANK('Data Entry'!$Ā$17), "", 'Data Entry'!$Ā$17)</f>
      </c>
      <c r="GK17">
        <f>IF(ISBLANK('Data Entry'!$ā$17), "", 'Data Entry'!$ā$17)</f>
      </c>
      <c r="GL17">
        <f>IF(ISBLANK('Data Entry'!$Ă$17), "", 'Data Entry'!$Ă$17)</f>
      </c>
      <c r="GM17">
        <f>IF(ISBLANK('Data Entry'!$ă$17), "", 'Data Entry'!$ă$17)</f>
      </c>
      <c r="GN17">
        <f>IF(ISBLANK('Data Entry'!$Ą$17), "", 'Data Entry'!$Ą$17)</f>
      </c>
      <c r="GO17">
        <f>IF(ISBLANK('Data Entry'!$ą$17), "", 'Data Entry'!$ą$17)</f>
      </c>
      <c r="GP17">
        <f>IF(ISBLANK('Data Entry'!$Ć$17), "", 'Data Entry'!$Ć$17)</f>
      </c>
      <c r="GQ17">
        <f>IF(ISBLANK('Data Entry'!$ć$17), "", 'Data Entry'!$ć$17)</f>
      </c>
      <c r="GR17">
        <f>IF(ISBLANK('Data Entry'!$Ĉ$17), "", 'Data Entry'!$Ĉ$17)</f>
      </c>
      <c r="GS17">
        <f>IF(ISBLANK('Data Entry'!$ĉ$17), "", 'Data Entry'!$ĉ$17)</f>
      </c>
      <c r="GT17">
        <f>IF(ISBLANK('Data Entry'!$Ċ$17), "", 'Data Entry'!$Ċ$17)</f>
      </c>
      <c r="GU17">
        <f>IF(ISBLANK('Data Entry'!$ċ$17), "", 'Data Entry'!$ċ$17)</f>
      </c>
      <c r="GV17">
        <f>IF(ISBLANK('Data Entry'!$Č$17), "", 'Data Entry'!$Č$17)</f>
      </c>
      <c r="GW17">
        <f>IF(ISBLANK('Data Entry'!$č$17), "", 'Data Entry'!$č$17)</f>
      </c>
      <c r="GX17">
        <f>IF(ISBLANK('Data Entry'!$Ď$17), "", 'Data Entry'!$Ď$17)</f>
      </c>
      <c r="GY17">
        <f>IF(ISBLANK('Data Entry'!$ď$17), "", 'Data Entry'!$ď$17)</f>
      </c>
      <c r="GZ17">
        <f>IF(ISBLANK('Data Entry'!$Đ$17), "", 'Data Entry'!$Đ$17)</f>
      </c>
      <c r="HA17">
        <f>IF(ISBLANK('Data Entry'!$đ$17), "", 'Data Entry'!$đ$17)</f>
      </c>
      <c r="HB17">
        <f>IF(ISBLANK('Data Entry'!$Ē$17), "", 'Data Entry'!$Ē$17)</f>
      </c>
      <c r="HC17">
        <f>IF(ISBLANK('Data Entry'!$ē$17), "", 'Data Entry'!$ē$17)</f>
      </c>
      <c r="HD17">
        <f>IF(ISBLANK('Data Entry'!$Ĕ$17), "", 'Data Entry'!$Ĕ$17)</f>
      </c>
      <c r="HE17">
        <f>IF(ISBLANK('Data Entry'!$ĕ$17), "", 'Data Entry'!$ĕ$17)</f>
      </c>
      <c r="HF17">
        <f>IF(ISBLANK('Data Entry'!$Ė$17), "", 'Data Entry'!$Ė$17)</f>
      </c>
      <c r="HG17">
        <f>IF(ISBLANK('Data Entry'!$ė$17), "", 'Data Entry'!$ė$17)</f>
      </c>
      <c r="HH17">
        <f>IF(ISBLANK('Data Entry'!$Ę$17), "", 'Data Entry'!$Ę$17)</f>
      </c>
      <c r="HI17">
        <f>IF(ISBLANK('Data Entry'!$ę$17), "", 'Data Entry'!$ę$17)</f>
      </c>
      <c r="HJ17">
        <f>IF(ISBLANK('Data Entry'!$Ě$17), "", 'Data Entry'!$Ě$17)</f>
      </c>
      <c r="HK17">
        <f>IF(ISBLANK('Data Entry'!$ě$17), "", 'Data Entry'!$ě$17)</f>
      </c>
      <c r="HL17">
        <f>IF(ISBLANK('Data Entry'!$Ĝ$17), "", 'Data Entry'!$Ĝ$17)</f>
      </c>
      <c r="HM17">
        <f>IF(ISBLANK('Data Entry'!$ĝ$17), "", 'Data Entry'!$ĝ$17)</f>
      </c>
      <c r="HN17">
        <f>IF(ISBLANK('Data Entry'!$Ğ$17), "", 'Data Entry'!$Ğ$17)</f>
      </c>
      <c r="HO17">
        <f>IF(ISBLANK('Data Entry'!$ğ$17), "", 'Data Entry'!$ğ$17)</f>
      </c>
      <c r="HP17">
        <f>IF(ISBLANK('Data Entry'!$Ġ$17), "", 'Data Entry'!$Ġ$17)</f>
      </c>
      <c r="HQ17">
        <f>IF(ISBLANK('Data Entry'!$ġ$17), "", 'Data Entry'!$ġ$17)</f>
      </c>
      <c r="HR17">
        <f>IF(ISBLANK('Data Entry'!$Ģ$17), "", 'Data Entry'!$Ģ$17)</f>
      </c>
      <c r="HS17">
        <f>IF(ISBLANK('Data Entry'!$ģ$17), "", 'Data Entry'!$ģ$17)</f>
      </c>
      <c r="HT17">
        <f>IF(ISBLANK('Data Entry'!$Ĥ$17), "", 'Data Entry'!$Ĥ$17)</f>
      </c>
      <c r="HU17">
        <f>IF(ISBLANK('Data Entry'!$ĥ$17), "", 'Data Entry'!$ĥ$17)</f>
      </c>
      <c r="HV17">
        <f>IF(ISBLANK('Data Entry'!$Ħ$17), "", 'Data Entry'!$Ħ$17)</f>
      </c>
      <c r="HW17">
        <f>IF(ISBLANK('Data Entry'!$ħ$17), "", 'Data Entry'!$ħ$17)</f>
      </c>
      <c r="HX17">
        <f>IF(ISBLANK('Data Entry'!$Ĩ$17), "", 'Data Entry'!$Ĩ$17)</f>
      </c>
      <c r="HY17">
        <f>IF(ISBLANK('Data Entry'!$ĩ$17), "", 'Data Entry'!$ĩ$17)</f>
      </c>
      <c r="HZ17">
        <f>IF(ISBLANK('Data Entry'!$Ī$17), "", 'Data Entry'!$Ī$17)</f>
      </c>
      <c r="IA17">
        <f>IF(ISBLANK('Data Entry'!$ī$17), "", 'Data Entry'!$ī$17)</f>
      </c>
      <c r="IB17">
        <f>IF(ISBLANK('Data Entry'!$Ĭ$17), "", 'Data Entry'!$Ĭ$17)</f>
      </c>
      <c r="IC17">
        <f>IF(ISBLANK('Data Entry'!$ĭ$17), "", 'Data Entry'!$ĭ$17)</f>
      </c>
      <c r="ID17">
        <f>IF(ISBLANK('Data Entry'!$Į$17), "", 'Data Entry'!$Į$17)</f>
      </c>
      <c r="IE17">
        <f>IF(ISBLANK('Data Entry'!$į$17), "", 'Data Entry'!$į$17)</f>
      </c>
      <c r="IF17">
        <f>IF(ISBLANK('Data Entry'!$İ$17), "", 'Data Entry'!$İ$17)</f>
      </c>
      <c r="IG17">
        <f>IF(ISBLANK('Data Entry'!$ı$17), "", 'Data Entry'!$ı$17)</f>
      </c>
      <c r="IH17">
        <f>IF(ISBLANK('Data Entry'!$Ĳ$17), "", 'Data Entry'!$Ĳ$17)</f>
      </c>
      <c r="II17">
        <f>IF(ISBLANK('Data Entry'!$ĳ$17), "", 'Data Entry'!$ĳ$17)</f>
      </c>
      <c r="IJ17">
        <f>IF(ISBLANK('Data Entry'!$Ĵ$17), "", 'Data Entry'!$Ĵ$17)</f>
      </c>
      <c r="IK17">
        <f>IF(ISBLANK('Data Entry'!$ĵ$17), "", 'Data Entry'!$ĵ$17)</f>
      </c>
      <c r="IL17">
        <f>IF(ISBLANK('Data Entry'!$Ķ$17), "", 'Data Entry'!$Ķ$17)</f>
      </c>
      <c r="IM17">
        <f>IF(ISBLANK('Data Entry'!$ķ$17), "", 'Data Entry'!$ķ$17)</f>
      </c>
      <c r="IN17">
        <f>IF(ISBLANK('Data Entry'!$ĸ$17), "", 'Data Entry'!$ĸ$17)</f>
      </c>
      <c r="IO17">
        <f>IF(ISBLANK('Data Entry'!$Ĺ$17), "", 'Data Entry'!$Ĺ$17)</f>
      </c>
      <c r="IP17">
        <f>IF(ISBLANK('Data Entry'!$ĺ$17), "", 'Data Entry'!$ĺ$17)</f>
      </c>
      <c r="IQ17">
        <f>IF(ISBLANK('Data Entry'!$Ļ$17), "", 'Data Entry'!$Ļ$17)</f>
      </c>
      <c r="IR17">
        <f>IF(ISBLANK('Data Entry'!$ļ$17), "", 'Data Entry'!$ļ$17)</f>
      </c>
      <c r="IS17">
        <f>IF(ISBLANK('Data Entry'!$Ľ$17), "", 'Data Entry'!$Ľ$17)</f>
      </c>
      <c r="IT17">
        <f>IF(ISBLANK('Data Entry'!$ľ$17), "", 'Data Entry'!$ľ$17)</f>
      </c>
    </row>
    <row r="18" spans="1:254" x14ac:dyDescent="0.25">
      <c r="A18">
        <f>IF(ISBLANK('Data Entry'!$A$18), "", 'Data Entry'!$A$18)</f>
      </c>
      <c r="B18">
        <f>IF(ISBLANK('Data Entry'!$B$18), "", 'Data Entry'!$B$18)</f>
      </c>
      <c r="C18">
        <f>IF(ISBLANK('Data Entry'!$C$18), "", 'Data Entry'!$C$18)</f>
      </c>
      <c r="D18">
        <f>IF(ISBLANK('Data Entry'!$D$18), "", 'Data Entry'!$D$18)</f>
      </c>
      <c r="E18">
        <f>IF(ISBLANK('Data Entry'!$E$18), "", 'Data Entry'!$E$18)</f>
      </c>
      <c r="F18">
        <f>IF(ISBLANK('Data Entry'!$F$18), "", 'Data Entry'!$F$18)</f>
      </c>
      <c r="G18">
        <f>IF(ISBLANK('Data Entry'!$G$18), "", 'Data Entry'!$G$18)</f>
      </c>
      <c r="H18">
        <f>IF(ISBLANK('Data Entry'!$H$18), "", 'Data Entry'!$H$18)</f>
      </c>
      <c r="I18">
        <f>IF(ISBLANK('Data Entry'!$I$18), "", 'Data Entry'!$I$18)</f>
      </c>
      <c r="J18">
        <f>IF(ISBLANK('Data Entry'!$J$18), "", 'Data Entry'!$J$18)</f>
      </c>
      <c r="K18">
        <f>IF(ISBLANK('Data Entry'!$K$18), "", 'Data Entry'!$K$18)</f>
      </c>
      <c r="L18">
        <f>IF(ISBLANK('Data Entry'!$L$18), "", 'Data Entry'!$L$18)</f>
      </c>
      <c r="M18">
        <f>IF(ISBLANK('Data Entry'!$M$18), "", 'Data Entry'!$M$18)</f>
      </c>
      <c r="N18">
        <f>IF(ISBLANK('Data Entry'!$N$18), "", 'Data Entry'!$N$18)</f>
      </c>
      <c r="O18">
        <f>IF(ISBLANK('Data Entry'!$O$18), "", 'Data Entry'!$O$18)</f>
      </c>
      <c r="P18">
        <f>IF(ISBLANK('Data Entry'!$P$18), "", 'Data Entry'!$P$18)</f>
      </c>
      <c r="Q18">
        <f>IF(ISBLANK('Data Entry'!$Q$18), "", 'Data Entry'!$Q$18)</f>
      </c>
      <c r="R18">
        <f>IF(ISBLANK('Data Entry'!$R$18), "", 'Data Entry'!$R$18)</f>
      </c>
      <c r="S18">
        <f>IF(ISBLANK('Data Entry'!$S$18), "", 'Data Entry'!$S$18)</f>
      </c>
      <c r="T18">
        <f>IF(ISBLANK('Data Entry'!$T$18), "", 'Data Entry'!$T$18)</f>
      </c>
      <c r="U18">
        <f>IF(ISBLANK('Data Entry'!$U$18), "", 'Data Entry'!$U$18)</f>
      </c>
      <c r="V18">
        <f>IF(ISBLANK('Data Entry'!$V$18), "", 'Data Entry'!$V$18)</f>
      </c>
      <c r="W18">
        <f>IF(ISBLANK('Data Entry'!$W$18), "", 'Data Entry'!$W$18)</f>
      </c>
      <c r="X18">
        <f>IF(ISBLANK('Data Entry'!$X$18), "", 'Data Entry'!$X$18)</f>
      </c>
      <c r="Y18">
        <f>IF(ISBLANK('Data Entry'!$Y$18), "", 'Data Entry'!$Y$18)</f>
      </c>
      <c r="Z18">
        <f>IF(ISBLANK('Data Entry'!$Z$18), "", 'Data Entry'!$Z$18)</f>
      </c>
      <c r="AA18">
        <f>IF(ISBLANK('Data Entry'!$[$18), "", 'Data Entry'!$[$18)</f>
      </c>
      <c r="AB18">
        <f>IF(ISBLANK('Data Entry'!$\$18), "", 'Data Entry'!$\$18)</f>
      </c>
      <c r="AC18">
        <f>IF(ISBLANK('Data Entry'!$]$18), "", 'Data Entry'!$]$18)</f>
      </c>
      <c r="AD18">
        <f>IF(ISBLANK('Data Entry'!$^$18), "", 'Data Entry'!$^$18)</f>
      </c>
      <c r="AE18">
        <f>IF(ISBLANK('Data Entry'!$_$18), "", 'Data Entry'!$_$18)</f>
      </c>
      <c r="AF18">
        <f>IF(ISBLANK('Data Entry'!$`$18), "", 'Data Entry'!$`$18)</f>
      </c>
      <c r="AG18">
        <f>IF(ISBLANK('Data Entry'!$a$18), "", 'Data Entry'!$a$18)</f>
      </c>
      <c r="AH18">
        <f>IF(ISBLANK('Data Entry'!$b$18), "", 'Data Entry'!$b$18)</f>
      </c>
      <c r="AI18">
        <f>IF(ISBLANK('Data Entry'!$c$18), "", 'Data Entry'!$c$18)</f>
      </c>
      <c r="AJ18">
        <f>IF(ISBLANK('Data Entry'!$d$18), "", 'Data Entry'!$d$18)</f>
      </c>
      <c r="AK18">
        <f>IF(ISBLANK('Data Entry'!$e$18), "", 'Data Entry'!$e$18)</f>
      </c>
      <c r="AL18">
        <f>IF(ISBLANK('Data Entry'!$f$18), "", 'Data Entry'!$f$18)</f>
      </c>
      <c r="AM18">
        <f>IF(ISBLANK('Data Entry'!$g$18), "", 'Data Entry'!$g$18)</f>
      </c>
      <c r="AN18">
        <f>IF(ISBLANK('Data Entry'!$h$18), "", 'Data Entry'!$h$18)</f>
      </c>
      <c r="AO18">
        <f>IF(ISBLANK('Data Entry'!$i$18), "", 'Data Entry'!$i$18)</f>
      </c>
      <c r="AP18">
        <f>IF(ISBLANK('Data Entry'!$j$18), "", 'Data Entry'!$j$18)</f>
      </c>
      <c r="AQ18">
        <f>IF(ISBLANK('Data Entry'!$k$18), "", 'Data Entry'!$k$18)</f>
      </c>
      <c r="AR18">
        <f>IF(ISBLANK('Data Entry'!$l$18), "", 'Data Entry'!$l$18)</f>
      </c>
      <c r="AS18">
        <f>IF(ISBLANK('Data Entry'!$m$18), "", 'Data Entry'!$m$18)</f>
      </c>
      <c r="AT18">
        <f>IF(ISBLANK('Data Entry'!$n$18), "", 'Data Entry'!$n$18)</f>
      </c>
      <c r="AU18">
        <f>IF(ISBLANK('Data Entry'!$o$18), "", 'Data Entry'!$o$18)</f>
      </c>
      <c r="AV18">
        <f>IF(ISBLANK('Data Entry'!$p$18), "", 'Data Entry'!$p$18)</f>
      </c>
      <c r="AW18">
        <f>IF(ISBLANK('Data Entry'!$q$18), "", 'Data Entry'!$q$18)</f>
      </c>
      <c r="AX18">
        <f>IF(ISBLANK('Data Entry'!$r$18), "", 'Data Entry'!$r$18)</f>
      </c>
      <c r="AY18">
        <f>IF(ISBLANK('Data Entry'!$s$18), "", 'Data Entry'!$s$18)</f>
      </c>
      <c r="AZ18">
        <f>IF(ISBLANK('Data Entry'!$t$18), "", 'Data Entry'!$t$18)</f>
      </c>
      <c r="BA18">
        <f>IF(ISBLANK('Data Entry'!$u$18), "", 'Data Entry'!$u$18)</f>
      </c>
      <c r="BB18">
        <f>IF(ISBLANK('Data Entry'!$v$18), "", 'Data Entry'!$v$18)</f>
      </c>
      <c r="BC18">
        <f>IF(ISBLANK('Data Entry'!$w$18), "", 'Data Entry'!$w$18)</f>
      </c>
      <c r="BD18">
        <f>IF(ISBLANK('Data Entry'!$x$18), "", 'Data Entry'!$x$18)</f>
      </c>
      <c r="BE18">
        <f>IF(ISBLANK('Data Entry'!$y$18), "", 'Data Entry'!$y$18)</f>
      </c>
      <c r="BF18">
        <f>IF(ISBLANK('Data Entry'!$z$18), "", 'Data Entry'!$z$18)</f>
      </c>
      <c r="BG18">
        <f>IF(ISBLANK('Data Entry'!${$18), "", 'Data Entry'!${$18)</f>
      </c>
      <c r="BH18">
        <f>IF(ISBLANK('Data Entry'!$|$18), "", 'Data Entry'!$|$18)</f>
      </c>
      <c r="BI18">
        <f>IF(ISBLANK('Data Entry'!$}$18), "", 'Data Entry'!$}$18)</f>
      </c>
      <c r="BJ18">
        <f>IF(ISBLANK('Data Entry'!$~$18), "", 'Data Entry'!$~$18)</f>
      </c>
      <c r="BK18">
        <f>IF(ISBLANK('Data Entry'!$$18), "", 'Data Entry'!$$18)</f>
      </c>
      <c r="BL18">
        <f>IF(ISBLANK('Data Entry'!$$18), "", 'Data Entry'!$$18)</f>
      </c>
      <c r="BM18">
        <f>IF(ISBLANK('Data Entry'!$$18), "", 'Data Entry'!$$18)</f>
      </c>
      <c r="BN18">
        <f>IF(ISBLANK('Data Entry'!$$18), "", 'Data Entry'!$$18)</f>
      </c>
      <c r="BO18">
        <f>IF(ISBLANK('Data Entry'!$$18), "", 'Data Entry'!$$18)</f>
      </c>
      <c r="BP18">
        <f>IF(ISBLANK('Data Entry'!$$18), "", 'Data Entry'!$$18)</f>
      </c>
      <c r="BQ18">
        <f>IF(ISBLANK('Data Entry'!$$18), "", 'Data Entry'!$$18)</f>
      </c>
      <c r="BR18">
        <f>IF(ISBLANK('Data Entry'!$$18), "", 'Data Entry'!$$18)</f>
      </c>
      <c r="BS18">
        <f>IF(ISBLANK('Data Entry'!$$18), "", 'Data Entry'!$$18)</f>
      </c>
      <c r="BT18">
        <f>IF(ISBLANK('Data Entry'!$$18), "", 'Data Entry'!$$18)</f>
      </c>
      <c r="BU18">
        <f>IF(ISBLANK('Data Entry'!$$18), "", 'Data Entry'!$$18)</f>
      </c>
      <c r="BV18">
        <f>IF(ISBLANK('Data Entry'!$$18), "", 'Data Entry'!$$18)</f>
      </c>
      <c r="BW18">
        <f>IF(ISBLANK('Data Entry'!$$18), "", 'Data Entry'!$$18)</f>
      </c>
      <c r="BX18">
        <f>IF(ISBLANK('Data Entry'!$$18), "", 'Data Entry'!$$18)</f>
      </c>
      <c r="BY18">
        <f>IF(ISBLANK('Data Entry'!$$18), "", 'Data Entry'!$$18)</f>
      </c>
      <c r="BZ18">
        <f>IF(ISBLANK('Data Entry'!$$18), "", 'Data Entry'!$$18)</f>
      </c>
      <c r="CA18">
        <f>IF(ISBLANK('Data Entry'!$$18), "", 'Data Entry'!$$18)</f>
      </c>
      <c r="CB18">
        <f>IF(ISBLANK('Data Entry'!$$18), "", 'Data Entry'!$$18)</f>
      </c>
      <c r="CC18">
        <f>IF(ISBLANK('Data Entry'!$$18), "", 'Data Entry'!$$18)</f>
      </c>
      <c r="CD18">
        <f>IF(ISBLANK('Data Entry'!$$18), "", 'Data Entry'!$$18)</f>
      </c>
      <c r="CE18">
        <f>IF(ISBLANK('Data Entry'!$$18), "", 'Data Entry'!$$18)</f>
      </c>
      <c r="CF18">
        <f>IF(ISBLANK('Data Entry'!$$18), "", 'Data Entry'!$$18)</f>
      </c>
      <c r="CG18">
        <f>IF(ISBLANK('Data Entry'!$$18), "", 'Data Entry'!$$18)</f>
      </c>
      <c r="CH18">
        <f>IF(ISBLANK('Data Entry'!$$18), "", 'Data Entry'!$$18)</f>
      </c>
      <c r="CI18">
        <f>IF(ISBLANK('Data Entry'!$$18), "", 'Data Entry'!$$18)</f>
      </c>
      <c r="CJ18">
        <f>IF(ISBLANK('Data Entry'!$$18), "", 'Data Entry'!$$18)</f>
      </c>
      <c r="CK18">
        <f>IF(ISBLANK('Data Entry'!$$18), "", 'Data Entry'!$$18)</f>
      </c>
      <c r="CL18">
        <f>IF(ISBLANK('Data Entry'!$$18), "", 'Data Entry'!$$18)</f>
      </c>
      <c r="CM18">
        <f>IF(ISBLANK('Data Entry'!$$18), "", 'Data Entry'!$$18)</f>
      </c>
      <c r="CN18">
        <f>IF(ISBLANK('Data Entry'!$$18), "", 'Data Entry'!$$18)</f>
      </c>
      <c r="CO18">
        <f>IF(ISBLANK('Data Entry'!$$18), "", 'Data Entry'!$$18)</f>
      </c>
      <c r="CP18">
        <f>IF(ISBLANK('Data Entry'!$$18), "", 'Data Entry'!$$18)</f>
      </c>
      <c r="CQ18">
        <f>IF(ISBLANK('Data Entry'!$$18), "", 'Data Entry'!$$18)</f>
      </c>
      <c r="CR18">
        <f>IF(ISBLANK('Data Entry'!$ $18), "", 'Data Entry'!$ $18)</f>
      </c>
      <c r="CS18">
        <f>IF(ISBLANK('Data Entry'!$¡$18), "", 'Data Entry'!$¡$18)</f>
      </c>
      <c r="CT18">
        <f>IF(ISBLANK('Data Entry'!$¢$18), "", 'Data Entry'!$¢$18)</f>
      </c>
      <c r="CU18">
        <f>IF(ISBLANK('Data Entry'!$£$18), "", 'Data Entry'!$£$18)</f>
      </c>
      <c r="CV18">
        <f>IF(ISBLANK('Data Entry'!$¤$18), "", 'Data Entry'!$¤$18)</f>
      </c>
      <c r="CW18">
        <f>IF(ISBLANK('Data Entry'!$¥$18), "", 'Data Entry'!$¥$18)</f>
      </c>
      <c r="CX18">
        <f>IF(ISBLANK('Data Entry'!$¦$18), "", 'Data Entry'!$¦$18)</f>
      </c>
      <c r="CY18">
        <f>IF(ISBLANK('Data Entry'!$§$18), "", 'Data Entry'!$§$18)</f>
      </c>
      <c r="CZ18">
        <f>IF(ISBLANK('Data Entry'!$¨$18), "", 'Data Entry'!$¨$18)</f>
      </c>
      <c r="DA18">
        <f>IF(ISBLANK('Data Entry'!$©$18), "", 'Data Entry'!$©$18)</f>
      </c>
      <c r="DB18">
        <f>IF(ISBLANK('Data Entry'!$ª$18), "", 'Data Entry'!$ª$18)</f>
      </c>
      <c r="DC18">
        <f>IF(ISBLANK('Data Entry'!$«$18), "", 'Data Entry'!$«$18)</f>
      </c>
      <c r="DD18">
        <f>IF(ISBLANK('Data Entry'!$¬$18), "", 'Data Entry'!$¬$18)</f>
      </c>
      <c r="DE18">
        <f>IF(ISBLANK('Data Entry'!$­$18), "", 'Data Entry'!$­$18)</f>
      </c>
      <c r="DF18">
        <f>IF(ISBLANK('Data Entry'!$®$18), "", 'Data Entry'!$®$18)</f>
      </c>
      <c r="DG18">
        <f>IF(ISBLANK('Data Entry'!$¯$18), "", 'Data Entry'!$¯$18)</f>
      </c>
      <c r="DH18">
        <f>IF(ISBLANK('Data Entry'!$°$18), "", 'Data Entry'!$°$18)</f>
      </c>
      <c r="DI18">
        <f>IF(ISBLANK('Data Entry'!$±$18), "", 'Data Entry'!$±$18)</f>
      </c>
      <c r="DJ18">
        <f>IF(ISBLANK('Data Entry'!$²$18), "", 'Data Entry'!$²$18)</f>
      </c>
      <c r="DK18">
        <f>IF(ISBLANK('Data Entry'!$³$18), "", 'Data Entry'!$³$18)</f>
      </c>
      <c r="DL18">
        <f>IF(ISBLANK('Data Entry'!$´$18), "", 'Data Entry'!$´$18)</f>
      </c>
      <c r="DM18">
        <f>IF(ISBLANK('Data Entry'!$µ$18), "", 'Data Entry'!$µ$18)</f>
      </c>
      <c r="DN18">
        <f>IF(ISBLANK('Data Entry'!$¶$18), "", 'Data Entry'!$¶$18)</f>
      </c>
      <c r="DO18">
        <f>IF(ISBLANK('Data Entry'!$·$18), "", 'Data Entry'!$·$18)</f>
      </c>
      <c r="DP18">
        <f>IF(ISBLANK('Data Entry'!$¸$18), "", 'Data Entry'!$¸$18)</f>
      </c>
      <c r="DQ18">
        <f>IF(ISBLANK('Data Entry'!$¹$18), "", 'Data Entry'!$¹$18)</f>
      </c>
      <c r="DR18">
        <f>IF(ISBLANK('Data Entry'!$º$18), "", 'Data Entry'!$º$18)</f>
      </c>
      <c r="DS18">
        <f>IF(ISBLANK('Data Entry'!$»$18), "", 'Data Entry'!$»$18)</f>
      </c>
      <c r="DT18">
        <f>IF(ISBLANK('Data Entry'!$¼$18), "", 'Data Entry'!$¼$18)</f>
      </c>
      <c r="DU18">
        <f>IF(ISBLANK('Data Entry'!$½$18), "", 'Data Entry'!$½$18)</f>
      </c>
      <c r="DV18">
        <f>IF(ISBLANK('Data Entry'!$¾$18), "", 'Data Entry'!$¾$18)</f>
      </c>
      <c r="DW18">
        <f>IF(ISBLANK('Data Entry'!$¿$18), "", 'Data Entry'!$¿$18)</f>
      </c>
      <c r="DX18">
        <f>IF(ISBLANK('Data Entry'!$À$18), "", 'Data Entry'!$À$18)</f>
      </c>
      <c r="DY18">
        <f>IF(ISBLANK('Data Entry'!$Á$18), "", 'Data Entry'!$Á$18)</f>
      </c>
      <c r="DZ18">
        <f>IF(ISBLANK('Data Entry'!$Â$18), "", 'Data Entry'!$Â$18)</f>
      </c>
      <c r="EA18">
        <f>IF(ISBLANK('Data Entry'!$Ã$18), "", 'Data Entry'!$Ã$18)</f>
      </c>
      <c r="EB18">
        <f>IF(ISBLANK('Data Entry'!$Ä$18), "", 'Data Entry'!$Ä$18)</f>
      </c>
      <c r="EC18">
        <f>IF(ISBLANK('Data Entry'!$Å$18), "", 'Data Entry'!$Å$18)</f>
      </c>
      <c r="ED18">
        <f>IF(ISBLANK('Data Entry'!$Æ$18), "", 'Data Entry'!$Æ$18)</f>
      </c>
      <c r="EE18">
        <f>IF(ISBLANK('Data Entry'!$Ç$18), "", 'Data Entry'!$Ç$18)</f>
      </c>
      <c r="EF18">
        <f>IF(ISBLANK('Data Entry'!$È$18), "", 'Data Entry'!$È$18)</f>
      </c>
      <c r="EG18">
        <f>IF(ISBLANK('Data Entry'!$É$18), "", 'Data Entry'!$É$18)</f>
      </c>
      <c r="EH18">
        <f>IF(ISBLANK('Data Entry'!$Ê$18), "", 'Data Entry'!$Ê$18)</f>
      </c>
      <c r="EI18">
        <f>IF(ISBLANK('Data Entry'!$Ë$18), "", 'Data Entry'!$Ë$18)</f>
      </c>
      <c r="EJ18">
        <f>IF(ISBLANK('Data Entry'!$Ì$18), "", 'Data Entry'!$Ì$18)</f>
      </c>
      <c r="EK18">
        <f>IF(ISBLANK('Data Entry'!$Í$18), "", 'Data Entry'!$Í$18)</f>
      </c>
      <c r="EL18">
        <f>IF(ISBLANK('Data Entry'!$Î$18), "", 'Data Entry'!$Î$18)</f>
      </c>
      <c r="EM18">
        <f>IF(ISBLANK('Data Entry'!$Ï$18), "", 'Data Entry'!$Ï$18)</f>
      </c>
      <c r="EN18">
        <f>IF(ISBLANK('Data Entry'!$Ð$18), "", 'Data Entry'!$Ð$18)</f>
      </c>
      <c r="EO18">
        <f>IF(ISBLANK('Data Entry'!$Ñ$18), "", 'Data Entry'!$Ñ$18)</f>
      </c>
      <c r="EP18">
        <f>IF(ISBLANK('Data Entry'!$Ò$18), "", 'Data Entry'!$Ò$18)</f>
      </c>
      <c r="EQ18">
        <f>IF(ISBLANK('Data Entry'!$Ó$18), "", 'Data Entry'!$Ó$18)</f>
      </c>
      <c r="ER18">
        <f>IF(ISBLANK('Data Entry'!$Ô$18), "", 'Data Entry'!$Ô$18)</f>
      </c>
      <c r="ES18">
        <f>IF(ISBLANK('Data Entry'!$Õ$18), "", 'Data Entry'!$Õ$18)</f>
      </c>
      <c r="ET18">
        <f>IF(ISBLANK('Data Entry'!$Ö$18), "", 'Data Entry'!$Ö$18)</f>
      </c>
      <c r="EU18">
        <f>IF(ISBLANK('Data Entry'!$×$18), "", 'Data Entry'!$×$18)</f>
      </c>
      <c r="EV18">
        <f>IF(ISBLANK('Data Entry'!$Ø$18), "", 'Data Entry'!$Ø$18)</f>
      </c>
      <c r="EW18">
        <f>IF(ISBLANK('Data Entry'!$Ù$18), "", 'Data Entry'!$Ù$18)</f>
      </c>
      <c r="EX18">
        <f>IF(ISBLANK('Data Entry'!$Ú$18), "", 'Data Entry'!$Ú$18)</f>
      </c>
      <c r="EY18">
        <f>IF(ISBLANK('Data Entry'!$Û$18), "", 'Data Entry'!$Û$18)</f>
      </c>
      <c r="EZ18">
        <f>IF(ISBLANK('Data Entry'!$Ü$18), "", 'Data Entry'!$Ü$18)</f>
      </c>
      <c r="FA18">
        <f>IF(ISBLANK('Data Entry'!$Ý$18), "", 'Data Entry'!$Ý$18)</f>
      </c>
      <c r="FB18">
        <f>IF(ISBLANK('Data Entry'!$Þ$18), "", 'Data Entry'!$Þ$18)</f>
      </c>
      <c r="FC18">
        <f>IF(ISBLANK('Data Entry'!$ß$18), "", 'Data Entry'!$ß$18)</f>
      </c>
      <c r="FD18">
        <f>IF(ISBLANK('Data Entry'!$à$18), "", 'Data Entry'!$à$18)</f>
      </c>
      <c r="FE18">
        <f>IF(ISBLANK('Data Entry'!$á$18), "", 'Data Entry'!$á$18)</f>
      </c>
      <c r="FF18">
        <f>IF(ISBLANK('Data Entry'!$â$18), "", 'Data Entry'!$â$18)</f>
      </c>
      <c r="FG18">
        <f>IF(ISBLANK('Data Entry'!$ã$18), "", 'Data Entry'!$ã$18)</f>
      </c>
      <c r="FH18">
        <f>IF(ISBLANK('Data Entry'!$ä$18), "", 'Data Entry'!$ä$18)</f>
      </c>
      <c r="FI18">
        <f>IF(ISBLANK('Data Entry'!$å$18), "", 'Data Entry'!$å$18)</f>
      </c>
      <c r="FJ18">
        <f>IF(ISBLANK('Data Entry'!$æ$18), "", 'Data Entry'!$æ$18)</f>
      </c>
      <c r="FK18">
        <f>IF(ISBLANK('Data Entry'!$ç$18), "", 'Data Entry'!$ç$18)</f>
      </c>
      <c r="FL18">
        <f>IF(ISBLANK('Data Entry'!$è$18), "", 'Data Entry'!$è$18)</f>
      </c>
      <c r="FM18">
        <f>IF(ISBLANK('Data Entry'!$é$18), "", 'Data Entry'!$é$18)</f>
      </c>
      <c r="FN18">
        <f>IF(ISBLANK('Data Entry'!$ê$18), "", 'Data Entry'!$ê$18)</f>
      </c>
      <c r="FO18">
        <f>IF(ISBLANK('Data Entry'!$ë$18), "", 'Data Entry'!$ë$18)</f>
      </c>
      <c r="FP18">
        <f>IF(ISBLANK('Data Entry'!$ì$18), "", 'Data Entry'!$ì$18)</f>
      </c>
      <c r="FQ18">
        <f>IF(ISBLANK('Data Entry'!$í$18), "", 'Data Entry'!$í$18)</f>
      </c>
      <c r="FR18">
        <f>IF(ISBLANK('Data Entry'!$î$18), "", 'Data Entry'!$î$18)</f>
      </c>
      <c r="FS18">
        <f>IF(ISBLANK('Data Entry'!$ï$18), "", 'Data Entry'!$ï$18)</f>
      </c>
      <c r="FT18">
        <f>IF(ISBLANK('Data Entry'!$ð$18), "", 'Data Entry'!$ð$18)</f>
      </c>
      <c r="FU18">
        <f>IF(ISBLANK('Data Entry'!$ñ$18), "", 'Data Entry'!$ñ$18)</f>
      </c>
      <c r="FV18">
        <f>IF(ISBLANK('Data Entry'!$ò$18), "", 'Data Entry'!$ò$18)</f>
      </c>
      <c r="FW18">
        <f>IF(ISBLANK('Data Entry'!$ó$18), "", 'Data Entry'!$ó$18)</f>
      </c>
      <c r="FX18">
        <f>IF(ISBLANK('Data Entry'!$ô$18), "", 'Data Entry'!$ô$18)</f>
      </c>
      <c r="FY18">
        <f>IF(ISBLANK('Data Entry'!$õ$18), "", 'Data Entry'!$õ$18)</f>
      </c>
      <c r="FZ18">
        <f>IF(ISBLANK('Data Entry'!$ö$18), "", 'Data Entry'!$ö$18)</f>
      </c>
      <c r="GA18">
        <f>IF(ISBLANK('Data Entry'!$÷$18), "", 'Data Entry'!$÷$18)</f>
      </c>
      <c r="GB18">
        <f>IF(ISBLANK('Data Entry'!$ø$18), "", 'Data Entry'!$ø$18)</f>
      </c>
      <c r="GC18">
        <f>IF(ISBLANK('Data Entry'!$ù$18), "", 'Data Entry'!$ù$18)</f>
      </c>
      <c r="GD18">
        <f>IF(ISBLANK('Data Entry'!$ú$18), "", 'Data Entry'!$ú$18)</f>
      </c>
      <c r="GE18">
        <f>IF(ISBLANK('Data Entry'!$û$18), "", 'Data Entry'!$û$18)</f>
      </c>
      <c r="GF18">
        <f>IF(ISBLANK('Data Entry'!$ü$18), "", 'Data Entry'!$ü$18)</f>
      </c>
      <c r="GG18">
        <f>IF(ISBLANK('Data Entry'!$ý$18), "", 'Data Entry'!$ý$18)</f>
      </c>
      <c r="GH18">
        <f>IF(ISBLANK('Data Entry'!$þ$18), "", 'Data Entry'!$þ$18)</f>
      </c>
      <c r="GI18">
        <f>IF(ISBLANK('Data Entry'!$ÿ$18), "", 'Data Entry'!$ÿ$18)</f>
      </c>
      <c r="GJ18">
        <f>IF(ISBLANK('Data Entry'!$Ā$18), "", 'Data Entry'!$Ā$18)</f>
      </c>
      <c r="GK18">
        <f>IF(ISBLANK('Data Entry'!$ā$18), "", 'Data Entry'!$ā$18)</f>
      </c>
      <c r="GL18">
        <f>IF(ISBLANK('Data Entry'!$Ă$18), "", 'Data Entry'!$Ă$18)</f>
      </c>
      <c r="GM18">
        <f>IF(ISBLANK('Data Entry'!$ă$18), "", 'Data Entry'!$ă$18)</f>
      </c>
      <c r="GN18">
        <f>IF(ISBLANK('Data Entry'!$Ą$18), "", 'Data Entry'!$Ą$18)</f>
      </c>
      <c r="GO18">
        <f>IF(ISBLANK('Data Entry'!$ą$18), "", 'Data Entry'!$ą$18)</f>
      </c>
      <c r="GP18">
        <f>IF(ISBLANK('Data Entry'!$Ć$18), "", 'Data Entry'!$Ć$18)</f>
      </c>
      <c r="GQ18">
        <f>IF(ISBLANK('Data Entry'!$ć$18), "", 'Data Entry'!$ć$18)</f>
      </c>
      <c r="GR18">
        <f>IF(ISBLANK('Data Entry'!$Ĉ$18), "", 'Data Entry'!$Ĉ$18)</f>
      </c>
      <c r="GS18">
        <f>IF(ISBLANK('Data Entry'!$ĉ$18), "", 'Data Entry'!$ĉ$18)</f>
      </c>
      <c r="GT18">
        <f>IF(ISBLANK('Data Entry'!$Ċ$18), "", 'Data Entry'!$Ċ$18)</f>
      </c>
      <c r="GU18">
        <f>IF(ISBLANK('Data Entry'!$ċ$18), "", 'Data Entry'!$ċ$18)</f>
      </c>
      <c r="GV18">
        <f>IF(ISBLANK('Data Entry'!$Č$18), "", 'Data Entry'!$Č$18)</f>
      </c>
      <c r="GW18">
        <f>IF(ISBLANK('Data Entry'!$č$18), "", 'Data Entry'!$č$18)</f>
      </c>
      <c r="GX18">
        <f>IF(ISBLANK('Data Entry'!$Ď$18), "", 'Data Entry'!$Ď$18)</f>
      </c>
      <c r="GY18">
        <f>IF(ISBLANK('Data Entry'!$ď$18), "", 'Data Entry'!$ď$18)</f>
      </c>
      <c r="GZ18">
        <f>IF(ISBLANK('Data Entry'!$Đ$18), "", 'Data Entry'!$Đ$18)</f>
      </c>
      <c r="HA18">
        <f>IF(ISBLANK('Data Entry'!$đ$18), "", 'Data Entry'!$đ$18)</f>
      </c>
      <c r="HB18">
        <f>IF(ISBLANK('Data Entry'!$Ē$18), "", 'Data Entry'!$Ē$18)</f>
      </c>
      <c r="HC18">
        <f>IF(ISBLANK('Data Entry'!$ē$18), "", 'Data Entry'!$ē$18)</f>
      </c>
      <c r="HD18">
        <f>IF(ISBLANK('Data Entry'!$Ĕ$18), "", 'Data Entry'!$Ĕ$18)</f>
      </c>
      <c r="HE18">
        <f>IF(ISBLANK('Data Entry'!$ĕ$18), "", 'Data Entry'!$ĕ$18)</f>
      </c>
      <c r="HF18">
        <f>IF(ISBLANK('Data Entry'!$Ė$18), "", 'Data Entry'!$Ė$18)</f>
      </c>
      <c r="HG18">
        <f>IF(ISBLANK('Data Entry'!$ė$18), "", 'Data Entry'!$ė$18)</f>
      </c>
      <c r="HH18">
        <f>IF(ISBLANK('Data Entry'!$Ę$18), "", 'Data Entry'!$Ę$18)</f>
      </c>
      <c r="HI18">
        <f>IF(ISBLANK('Data Entry'!$ę$18), "", 'Data Entry'!$ę$18)</f>
      </c>
      <c r="HJ18">
        <f>IF(ISBLANK('Data Entry'!$Ě$18), "", 'Data Entry'!$Ě$18)</f>
      </c>
      <c r="HK18">
        <f>IF(ISBLANK('Data Entry'!$ě$18), "", 'Data Entry'!$ě$18)</f>
      </c>
      <c r="HL18">
        <f>IF(ISBLANK('Data Entry'!$Ĝ$18), "", 'Data Entry'!$Ĝ$18)</f>
      </c>
      <c r="HM18">
        <f>IF(ISBLANK('Data Entry'!$ĝ$18), "", 'Data Entry'!$ĝ$18)</f>
      </c>
      <c r="HN18">
        <f>IF(ISBLANK('Data Entry'!$Ğ$18), "", 'Data Entry'!$Ğ$18)</f>
      </c>
      <c r="HO18">
        <f>IF(ISBLANK('Data Entry'!$ğ$18), "", 'Data Entry'!$ğ$18)</f>
      </c>
      <c r="HP18">
        <f>IF(ISBLANK('Data Entry'!$Ġ$18), "", 'Data Entry'!$Ġ$18)</f>
      </c>
      <c r="HQ18">
        <f>IF(ISBLANK('Data Entry'!$ġ$18), "", 'Data Entry'!$ġ$18)</f>
      </c>
      <c r="HR18">
        <f>IF(ISBLANK('Data Entry'!$Ģ$18), "", 'Data Entry'!$Ģ$18)</f>
      </c>
      <c r="HS18">
        <f>IF(ISBLANK('Data Entry'!$ģ$18), "", 'Data Entry'!$ģ$18)</f>
      </c>
      <c r="HT18">
        <f>IF(ISBLANK('Data Entry'!$Ĥ$18), "", 'Data Entry'!$Ĥ$18)</f>
      </c>
      <c r="HU18">
        <f>IF(ISBLANK('Data Entry'!$ĥ$18), "", 'Data Entry'!$ĥ$18)</f>
      </c>
      <c r="HV18">
        <f>IF(ISBLANK('Data Entry'!$Ħ$18), "", 'Data Entry'!$Ħ$18)</f>
      </c>
      <c r="HW18">
        <f>IF(ISBLANK('Data Entry'!$ħ$18), "", 'Data Entry'!$ħ$18)</f>
      </c>
      <c r="HX18">
        <f>IF(ISBLANK('Data Entry'!$Ĩ$18), "", 'Data Entry'!$Ĩ$18)</f>
      </c>
      <c r="HY18">
        <f>IF(ISBLANK('Data Entry'!$ĩ$18), "", 'Data Entry'!$ĩ$18)</f>
      </c>
      <c r="HZ18">
        <f>IF(ISBLANK('Data Entry'!$Ī$18), "", 'Data Entry'!$Ī$18)</f>
      </c>
      <c r="IA18">
        <f>IF(ISBLANK('Data Entry'!$ī$18), "", 'Data Entry'!$ī$18)</f>
      </c>
      <c r="IB18">
        <f>IF(ISBLANK('Data Entry'!$Ĭ$18), "", 'Data Entry'!$Ĭ$18)</f>
      </c>
      <c r="IC18">
        <f>IF(ISBLANK('Data Entry'!$ĭ$18), "", 'Data Entry'!$ĭ$18)</f>
      </c>
      <c r="ID18">
        <f>IF(ISBLANK('Data Entry'!$Į$18), "", 'Data Entry'!$Į$18)</f>
      </c>
      <c r="IE18">
        <f>IF(ISBLANK('Data Entry'!$į$18), "", 'Data Entry'!$į$18)</f>
      </c>
      <c r="IF18">
        <f>IF(ISBLANK('Data Entry'!$İ$18), "", 'Data Entry'!$İ$18)</f>
      </c>
      <c r="IG18">
        <f>IF(ISBLANK('Data Entry'!$ı$18), "", 'Data Entry'!$ı$18)</f>
      </c>
      <c r="IH18">
        <f>IF(ISBLANK('Data Entry'!$Ĳ$18), "", 'Data Entry'!$Ĳ$18)</f>
      </c>
      <c r="II18">
        <f>IF(ISBLANK('Data Entry'!$ĳ$18), "", 'Data Entry'!$ĳ$18)</f>
      </c>
      <c r="IJ18">
        <f>IF(ISBLANK('Data Entry'!$Ĵ$18), "", 'Data Entry'!$Ĵ$18)</f>
      </c>
      <c r="IK18">
        <f>IF(ISBLANK('Data Entry'!$ĵ$18), "", 'Data Entry'!$ĵ$18)</f>
      </c>
      <c r="IL18">
        <f>IF(ISBLANK('Data Entry'!$Ķ$18), "", 'Data Entry'!$Ķ$18)</f>
      </c>
      <c r="IM18">
        <f>IF(ISBLANK('Data Entry'!$ķ$18), "", 'Data Entry'!$ķ$18)</f>
      </c>
      <c r="IN18">
        <f>IF(ISBLANK('Data Entry'!$ĸ$18), "", 'Data Entry'!$ĸ$18)</f>
      </c>
      <c r="IO18">
        <f>IF(ISBLANK('Data Entry'!$Ĺ$18), "", 'Data Entry'!$Ĺ$18)</f>
      </c>
      <c r="IP18">
        <f>IF(ISBLANK('Data Entry'!$ĺ$18), "", 'Data Entry'!$ĺ$18)</f>
      </c>
      <c r="IQ18">
        <f>IF(ISBLANK('Data Entry'!$Ļ$18), "", 'Data Entry'!$Ļ$18)</f>
      </c>
      <c r="IR18">
        <f>IF(ISBLANK('Data Entry'!$ļ$18), "", 'Data Entry'!$ļ$18)</f>
      </c>
      <c r="IS18">
        <f>IF(ISBLANK('Data Entry'!$Ľ$18), "", 'Data Entry'!$Ľ$18)</f>
      </c>
      <c r="IT18">
        <f>IF(ISBLANK('Data Entry'!$ľ$18), "", 'Data Entry'!$ľ$18)</f>
      </c>
    </row>
    <row r="19" spans="1:254" x14ac:dyDescent="0.25">
      <c r="A19">
        <f>IF(ISBLANK('Data Entry'!$A$19), "", 'Data Entry'!$A$19)</f>
      </c>
      <c r="B19">
        <f>IF(ISBLANK('Data Entry'!$B$19), "", 'Data Entry'!$B$19)</f>
      </c>
      <c r="C19">
        <f>IF(ISBLANK('Data Entry'!$C$19), "", 'Data Entry'!$C$19)</f>
      </c>
      <c r="D19">
        <f>IF(ISBLANK('Data Entry'!$D$19), "", 'Data Entry'!$D$19)</f>
      </c>
      <c r="E19">
        <f>IF(ISBLANK('Data Entry'!$E$19), "", 'Data Entry'!$E$19)</f>
      </c>
      <c r="F19">
        <f>IF(ISBLANK('Data Entry'!$F$19), "", 'Data Entry'!$F$19)</f>
      </c>
      <c r="G19">
        <f>IF(ISBLANK('Data Entry'!$G$19), "", 'Data Entry'!$G$19)</f>
      </c>
      <c r="H19">
        <f>IF(ISBLANK('Data Entry'!$H$19), "", 'Data Entry'!$H$19)</f>
      </c>
      <c r="I19">
        <f>IF(ISBLANK('Data Entry'!$I$19), "", 'Data Entry'!$I$19)</f>
      </c>
      <c r="J19">
        <f>IF(ISBLANK('Data Entry'!$J$19), "", 'Data Entry'!$J$19)</f>
      </c>
      <c r="K19">
        <f>IF(ISBLANK('Data Entry'!$K$19), "", 'Data Entry'!$K$19)</f>
      </c>
      <c r="L19">
        <f>IF(ISBLANK('Data Entry'!$L$19), "", 'Data Entry'!$L$19)</f>
      </c>
      <c r="M19">
        <f>IF(ISBLANK('Data Entry'!$M$19), "", 'Data Entry'!$M$19)</f>
      </c>
      <c r="N19">
        <f>IF(ISBLANK('Data Entry'!$N$19), "", 'Data Entry'!$N$19)</f>
      </c>
      <c r="O19">
        <f>IF(ISBLANK('Data Entry'!$O$19), "", 'Data Entry'!$O$19)</f>
      </c>
      <c r="P19">
        <f>IF(ISBLANK('Data Entry'!$P$19), "", 'Data Entry'!$P$19)</f>
      </c>
      <c r="Q19">
        <f>IF(ISBLANK('Data Entry'!$Q$19), "", 'Data Entry'!$Q$19)</f>
      </c>
      <c r="R19">
        <f>IF(ISBLANK('Data Entry'!$R$19), "", 'Data Entry'!$R$19)</f>
      </c>
      <c r="S19">
        <f>IF(ISBLANK('Data Entry'!$S$19), "", 'Data Entry'!$S$19)</f>
      </c>
      <c r="T19">
        <f>IF(ISBLANK('Data Entry'!$T$19), "", 'Data Entry'!$T$19)</f>
      </c>
      <c r="U19">
        <f>IF(ISBLANK('Data Entry'!$U$19), "", 'Data Entry'!$U$19)</f>
      </c>
      <c r="V19">
        <f>IF(ISBLANK('Data Entry'!$V$19), "", 'Data Entry'!$V$19)</f>
      </c>
      <c r="W19">
        <f>IF(ISBLANK('Data Entry'!$W$19), "", 'Data Entry'!$W$19)</f>
      </c>
      <c r="X19">
        <f>IF(ISBLANK('Data Entry'!$X$19), "", 'Data Entry'!$X$19)</f>
      </c>
      <c r="Y19">
        <f>IF(ISBLANK('Data Entry'!$Y$19), "", 'Data Entry'!$Y$19)</f>
      </c>
      <c r="Z19">
        <f>IF(ISBLANK('Data Entry'!$Z$19), "", 'Data Entry'!$Z$19)</f>
      </c>
      <c r="AA19">
        <f>IF(ISBLANK('Data Entry'!$[$19), "", 'Data Entry'!$[$19)</f>
      </c>
      <c r="AB19">
        <f>IF(ISBLANK('Data Entry'!$\$19), "", 'Data Entry'!$\$19)</f>
      </c>
      <c r="AC19">
        <f>IF(ISBLANK('Data Entry'!$]$19), "", 'Data Entry'!$]$19)</f>
      </c>
      <c r="AD19">
        <f>IF(ISBLANK('Data Entry'!$^$19), "", 'Data Entry'!$^$19)</f>
      </c>
      <c r="AE19">
        <f>IF(ISBLANK('Data Entry'!$_$19), "", 'Data Entry'!$_$19)</f>
      </c>
      <c r="AF19">
        <f>IF(ISBLANK('Data Entry'!$`$19), "", 'Data Entry'!$`$19)</f>
      </c>
      <c r="AG19">
        <f>IF(ISBLANK('Data Entry'!$a$19), "", 'Data Entry'!$a$19)</f>
      </c>
      <c r="AH19">
        <f>IF(ISBLANK('Data Entry'!$b$19), "", 'Data Entry'!$b$19)</f>
      </c>
      <c r="AI19">
        <f>IF(ISBLANK('Data Entry'!$c$19), "", 'Data Entry'!$c$19)</f>
      </c>
      <c r="AJ19">
        <f>IF(ISBLANK('Data Entry'!$d$19), "", 'Data Entry'!$d$19)</f>
      </c>
      <c r="AK19">
        <f>IF(ISBLANK('Data Entry'!$e$19), "", 'Data Entry'!$e$19)</f>
      </c>
      <c r="AL19">
        <f>IF(ISBLANK('Data Entry'!$f$19), "", 'Data Entry'!$f$19)</f>
      </c>
      <c r="AM19">
        <f>IF(ISBLANK('Data Entry'!$g$19), "", 'Data Entry'!$g$19)</f>
      </c>
      <c r="AN19">
        <f>IF(ISBLANK('Data Entry'!$h$19), "", 'Data Entry'!$h$19)</f>
      </c>
      <c r="AO19">
        <f>IF(ISBLANK('Data Entry'!$i$19), "", 'Data Entry'!$i$19)</f>
      </c>
      <c r="AP19">
        <f>IF(ISBLANK('Data Entry'!$j$19), "", 'Data Entry'!$j$19)</f>
      </c>
      <c r="AQ19">
        <f>IF(ISBLANK('Data Entry'!$k$19), "", 'Data Entry'!$k$19)</f>
      </c>
      <c r="AR19">
        <f>IF(ISBLANK('Data Entry'!$l$19), "", 'Data Entry'!$l$19)</f>
      </c>
      <c r="AS19">
        <f>IF(ISBLANK('Data Entry'!$m$19), "", 'Data Entry'!$m$19)</f>
      </c>
      <c r="AT19">
        <f>IF(ISBLANK('Data Entry'!$n$19), "", 'Data Entry'!$n$19)</f>
      </c>
      <c r="AU19">
        <f>IF(ISBLANK('Data Entry'!$o$19), "", 'Data Entry'!$o$19)</f>
      </c>
      <c r="AV19">
        <f>IF(ISBLANK('Data Entry'!$p$19), "", 'Data Entry'!$p$19)</f>
      </c>
      <c r="AW19">
        <f>IF(ISBLANK('Data Entry'!$q$19), "", 'Data Entry'!$q$19)</f>
      </c>
      <c r="AX19">
        <f>IF(ISBLANK('Data Entry'!$r$19), "", 'Data Entry'!$r$19)</f>
      </c>
      <c r="AY19">
        <f>IF(ISBLANK('Data Entry'!$s$19), "", 'Data Entry'!$s$19)</f>
      </c>
      <c r="AZ19">
        <f>IF(ISBLANK('Data Entry'!$t$19), "", 'Data Entry'!$t$19)</f>
      </c>
      <c r="BA19">
        <f>IF(ISBLANK('Data Entry'!$u$19), "", 'Data Entry'!$u$19)</f>
      </c>
      <c r="BB19">
        <f>IF(ISBLANK('Data Entry'!$v$19), "", 'Data Entry'!$v$19)</f>
      </c>
      <c r="BC19">
        <f>IF(ISBLANK('Data Entry'!$w$19), "", 'Data Entry'!$w$19)</f>
      </c>
      <c r="BD19">
        <f>IF(ISBLANK('Data Entry'!$x$19), "", 'Data Entry'!$x$19)</f>
      </c>
      <c r="BE19">
        <f>IF(ISBLANK('Data Entry'!$y$19), "", 'Data Entry'!$y$19)</f>
      </c>
      <c r="BF19">
        <f>IF(ISBLANK('Data Entry'!$z$19), "", 'Data Entry'!$z$19)</f>
      </c>
      <c r="BG19">
        <f>IF(ISBLANK('Data Entry'!${$19), "", 'Data Entry'!${$19)</f>
      </c>
      <c r="BH19">
        <f>IF(ISBLANK('Data Entry'!$|$19), "", 'Data Entry'!$|$19)</f>
      </c>
      <c r="BI19">
        <f>IF(ISBLANK('Data Entry'!$}$19), "", 'Data Entry'!$}$19)</f>
      </c>
      <c r="BJ19">
        <f>IF(ISBLANK('Data Entry'!$~$19), "", 'Data Entry'!$~$19)</f>
      </c>
      <c r="BK19">
        <f>IF(ISBLANK('Data Entry'!$$19), "", 'Data Entry'!$$19)</f>
      </c>
      <c r="BL19">
        <f>IF(ISBLANK('Data Entry'!$$19), "", 'Data Entry'!$$19)</f>
      </c>
      <c r="BM19">
        <f>IF(ISBLANK('Data Entry'!$$19), "", 'Data Entry'!$$19)</f>
      </c>
      <c r="BN19">
        <f>IF(ISBLANK('Data Entry'!$$19), "", 'Data Entry'!$$19)</f>
      </c>
      <c r="BO19">
        <f>IF(ISBLANK('Data Entry'!$$19), "", 'Data Entry'!$$19)</f>
      </c>
      <c r="BP19">
        <f>IF(ISBLANK('Data Entry'!$$19), "", 'Data Entry'!$$19)</f>
      </c>
      <c r="BQ19">
        <f>IF(ISBLANK('Data Entry'!$$19), "", 'Data Entry'!$$19)</f>
      </c>
      <c r="BR19">
        <f>IF(ISBLANK('Data Entry'!$$19), "", 'Data Entry'!$$19)</f>
      </c>
      <c r="BS19">
        <f>IF(ISBLANK('Data Entry'!$$19), "", 'Data Entry'!$$19)</f>
      </c>
      <c r="BT19">
        <f>IF(ISBLANK('Data Entry'!$$19), "", 'Data Entry'!$$19)</f>
      </c>
      <c r="BU19">
        <f>IF(ISBLANK('Data Entry'!$$19), "", 'Data Entry'!$$19)</f>
      </c>
      <c r="BV19">
        <f>IF(ISBLANK('Data Entry'!$$19), "", 'Data Entry'!$$19)</f>
      </c>
      <c r="BW19">
        <f>IF(ISBLANK('Data Entry'!$$19), "", 'Data Entry'!$$19)</f>
      </c>
      <c r="BX19">
        <f>IF(ISBLANK('Data Entry'!$$19), "", 'Data Entry'!$$19)</f>
      </c>
      <c r="BY19">
        <f>IF(ISBLANK('Data Entry'!$$19), "", 'Data Entry'!$$19)</f>
      </c>
      <c r="BZ19">
        <f>IF(ISBLANK('Data Entry'!$$19), "", 'Data Entry'!$$19)</f>
      </c>
      <c r="CA19">
        <f>IF(ISBLANK('Data Entry'!$$19), "", 'Data Entry'!$$19)</f>
      </c>
      <c r="CB19">
        <f>IF(ISBLANK('Data Entry'!$$19), "", 'Data Entry'!$$19)</f>
      </c>
      <c r="CC19">
        <f>IF(ISBLANK('Data Entry'!$$19), "", 'Data Entry'!$$19)</f>
      </c>
      <c r="CD19">
        <f>IF(ISBLANK('Data Entry'!$$19), "", 'Data Entry'!$$19)</f>
      </c>
      <c r="CE19">
        <f>IF(ISBLANK('Data Entry'!$$19), "", 'Data Entry'!$$19)</f>
      </c>
      <c r="CF19">
        <f>IF(ISBLANK('Data Entry'!$$19), "", 'Data Entry'!$$19)</f>
      </c>
      <c r="CG19">
        <f>IF(ISBLANK('Data Entry'!$$19), "", 'Data Entry'!$$19)</f>
      </c>
      <c r="CH19">
        <f>IF(ISBLANK('Data Entry'!$$19), "", 'Data Entry'!$$19)</f>
      </c>
      <c r="CI19">
        <f>IF(ISBLANK('Data Entry'!$$19), "", 'Data Entry'!$$19)</f>
      </c>
      <c r="CJ19">
        <f>IF(ISBLANK('Data Entry'!$$19), "", 'Data Entry'!$$19)</f>
      </c>
      <c r="CK19">
        <f>IF(ISBLANK('Data Entry'!$$19), "", 'Data Entry'!$$19)</f>
      </c>
      <c r="CL19">
        <f>IF(ISBLANK('Data Entry'!$$19), "", 'Data Entry'!$$19)</f>
      </c>
      <c r="CM19">
        <f>IF(ISBLANK('Data Entry'!$$19), "", 'Data Entry'!$$19)</f>
      </c>
      <c r="CN19">
        <f>IF(ISBLANK('Data Entry'!$$19), "", 'Data Entry'!$$19)</f>
      </c>
      <c r="CO19">
        <f>IF(ISBLANK('Data Entry'!$$19), "", 'Data Entry'!$$19)</f>
      </c>
      <c r="CP19">
        <f>IF(ISBLANK('Data Entry'!$$19), "", 'Data Entry'!$$19)</f>
      </c>
      <c r="CQ19">
        <f>IF(ISBLANK('Data Entry'!$$19), "", 'Data Entry'!$$19)</f>
      </c>
      <c r="CR19">
        <f>IF(ISBLANK('Data Entry'!$ $19), "", 'Data Entry'!$ $19)</f>
      </c>
      <c r="CS19">
        <f>IF(ISBLANK('Data Entry'!$¡$19), "", 'Data Entry'!$¡$19)</f>
      </c>
      <c r="CT19">
        <f>IF(ISBLANK('Data Entry'!$¢$19), "", 'Data Entry'!$¢$19)</f>
      </c>
      <c r="CU19">
        <f>IF(ISBLANK('Data Entry'!$£$19), "", 'Data Entry'!$£$19)</f>
      </c>
      <c r="CV19">
        <f>IF(ISBLANK('Data Entry'!$¤$19), "", 'Data Entry'!$¤$19)</f>
      </c>
      <c r="CW19">
        <f>IF(ISBLANK('Data Entry'!$¥$19), "", 'Data Entry'!$¥$19)</f>
      </c>
      <c r="CX19">
        <f>IF(ISBLANK('Data Entry'!$¦$19), "", 'Data Entry'!$¦$19)</f>
      </c>
      <c r="CY19">
        <f>IF(ISBLANK('Data Entry'!$§$19), "", 'Data Entry'!$§$19)</f>
      </c>
      <c r="CZ19">
        <f>IF(ISBLANK('Data Entry'!$¨$19), "", 'Data Entry'!$¨$19)</f>
      </c>
      <c r="DA19">
        <f>IF(ISBLANK('Data Entry'!$©$19), "", 'Data Entry'!$©$19)</f>
      </c>
      <c r="DB19">
        <f>IF(ISBLANK('Data Entry'!$ª$19), "", 'Data Entry'!$ª$19)</f>
      </c>
      <c r="DC19">
        <f>IF(ISBLANK('Data Entry'!$«$19), "", 'Data Entry'!$«$19)</f>
      </c>
      <c r="DD19">
        <f>IF(ISBLANK('Data Entry'!$¬$19), "", 'Data Entry'!$¬$19)</f>
      </c>
      <c r="DE19">
        <f>IF(ISBLANK('Data Entry'!$­$19), "", 'Data Entry'!$­$19)</f>
      </c>
      <c r="DF19">
        <f>IF(ISBLANK('Data Entry'!$®$19), "", 'Data Entry'!$®$19)</f>
      </c>
      <c r="DG19">
        <f>IF(ISBLANK('Data Entry'!$¯$19), "", 'Data Entry'!$¯$19)</f>
      </c>
      <c r="DH19">
        <f>IF(ISBLANK('Data Entry'!$°$19), "", 'Data Entry'!$°$19)</f>
      </c>
      <c r="DI19">
        <f>IF(ISBLANK('Data Entry'!$±$19), "", 'Data Entry'!$±$19)</f>
      </c>
      <c r="DJ19">
        <f>IF(ISBLANK('Data Entry'!$²$19), "", 'Data Entry'!$²$19)</f>
      </c>
      <c r="DK19">
        <f>IF(ISBLANK('Data Entry'!$³$19), "", 'Data Entry'!$³$19)</f>
      </c>
      <c r="DL19">
        <f>IF(ISBLANK('Data Entry'!$´$19), "", 'Data Entry'!$´$19)</f>
      </c>
      <c r="DM19">
        <f>IF(ISBLANK('Data Entry'!$µ$19), "", 'Data Entry'!$µ$19)</f>
      </c>
      <c r="DN19">
        <f>IF(ISBLANK('Data Entry'!$¶$19), "", 'Data Entry'!$¶$19)</f>
      </c>
      <c r="DO19">
        <f>IF(ISBLANK('Data Entry'!$·$19), "", 'Data Entry'!$·$19)</f>
      </c>
      <c r="DP19">
        <f>IF(ISBLANK('Data Entry'!$¸$19), "", 'Data Entry'!$¸$19)</f>
      </c>
      <c r="DQ19">
        <f>IF(ISBLANK('Data Entry'!$¹$19), "", 'Data Entry'!$¹$19)</f>
      </c>
      <c r="DR19">
        <f>IF(ISBLANK('Data Entry'!$º$19), "", 'Data Entry'!$º$19)</f>
      </c>
      <c r="DS19">
        <f>IF(ISBLANK('Data Entry'!$»$19), "", 'Data Entry'!$»$19)</f>
      </c>
      <c r="DT19">
        <f>IF(ISBLANK('Data Entry'!$¼$19), "", 'Data Entry'!$¼$19)</f>
      </c>
      <c r="DU19">
        <f>IF(ISBLANK('Data Entry'!$½$19), "", 'Data Entry'!$½$19)</f>
      </c>
      <c r="DV19">
        <f>IF(ISBLANK('Data Entry'!$¾$19), "", 'Data Entry'!$¾$19)</f>
      </c>
      <c r="DW19">
        <f>IF(ISBLANK('Data Entry'!$¿$19), "", 'Data Entry'!$¿$19)</f>
      </c>
      <c r="DX19">
        <f>IF(ISBLANK('Data Entry'!$À$19), "", 'Data Entry'!$À$19)</f>
      </c>
      <c r="DY19">
        <f>IF(ISBLANK('Data Entry'!$Á$19), "", 'Data Entry'!$Á$19)</f>
      </c>
      <c r="DZ19">
        <f>IF(ISBLANK('Data Entry'!$Â$19), "", 'Data Entry'!$Â$19)</f>
      </c>
      <c r="EA19">
        <f>IF(ISBLANK('Data Entry'!$Ã$19), "", 'Data Entry'!$Ã$19)</f>
      </c>
      <c r="EB19">
        <f>IF(ISBLANK('Data Entry'!$Ä$19), "", 'Data Entry'!$Ä$19)</f>
      </c>
      <c r="EC19">
        <f>IF(ISBLANK('Data Entry'!$Å$19), "", 'Data Entry'!$Å$19)</f>
      </c>
      <c r="ED19">
        <f>IF(ISBLANK('Data Entry'!$Æ$19), "", 'Data Entry'!$Æ$19)</f>
      </c>
      <c r="EE19">
        <f>IF(ISBLANK('Data Entry'!$Ç$19), "", 'Data Entry'!$Ç$19)</f>
      </c>
      <c r="EF19">
        <f>IF(ISBLANK('Data Entry'!$È$19), "", 'Data Entry'!$È$19)</f>
      </c>
      <c r="EG19">
        <f>IF(ISBLANK('Data Entry'!$É$19), "", 'Data Entry'!$É$19)</f>
      </c>
      <c r="EH19">
        <f>IF(ISBLANK('Data Entry'!$Ê$19), "", 'Data Entry'!$Ê$19)</f>
      </c>
      <c r="EI19">
        <f>IF(ISBLANK('Data Entry'!$Ë$19), "", 'Data Entry'!$Ë$19)</f>
      </c>
      <c r="EJ19">
        <f>IF(ISBLANK('Data Entry'!$Ì$19), "", 'Data Entry'!$Ì$19)</f>
      </c>
      <c r="EK19">
        <f>IF(ISBLANK('Data Entry'!$Í$19), "", 'Data Entry'!$Í$19)</f>
      </c>
      <c r="EL19">
        <f>IF(ISBLANK('Data Entry'!$Î$19), "", 'Data Entry'!$Î$19)</f>
      </c>
      <c r="EM19">
        <f>IF(ISBLANK('Data Entry'!$Ï$19), "", 'Data Entry'!$Ï$19)</f>
      </c>
      <c r="EN19">
        <f>IF(ISBLANK('Data Entry'!$Ð$19), "", 'Data Entry'!$Ð$19)</f>
      </c>
      <c r="EO19">
        <f>IF(ISBLANK('Data Entry'!$Ñ$19), "", 'Data Entry'!$Ñ$19)</f>
      </c>
      <c r="EP19">
        <f>IF(ISBLANK('Data Entry'!$Ò$19), "", 'Data Entry'!$Ò$19)</f>
      </c>
      <c r="EQ19">
        <f>IF(ISBLANK('Data Entry'!$Ó$19), "", 'Data Entry'!$Ó$19)</f>
      </c>
      <c r="ER19">
        <f>IF(ISBLANK('Data Entry'!$Ô$19), "", 'Data Entry'!$Ô$19)</f>
      </c>
      <c r="ES19">
        <f>IF(ISBLANK('Data Entry'!$Õ$19), "", 'Data Entry'!$Õ$19)</f>
      </c>
      <c r="ET19">
        <f>IF(ISBLANK('Data Entry'!$Ö$19), "", 'Data Entry'!$Ö$19)</f>
      </c>
      <c r="EU19">
        <f>IF(ISBLANK('Data Entry'!$×$19), "", 'Data Entry'!$×$19)</f>
      </c>
      <c r="EV19">
        <f>IF(ISBLANK('Data Entry'!$Ø$19), "", 'Data Entry'!$Ø$19)</f>
      </c>
      <c r="EW19">
        <f>IF(ISBLANK('Data Entry'!$Ù$19), "", 'Data Entry'!$Ù$19)</f>
      </c>
      <c r="EX19">
        <f>IF(ISBLANK('Data Entry'!$Ú$19), "", 'Data Entry'!$Ú$19)</f>
      </c>
      <c r="EY19">
        <f>IF(ISBLANK('Data Entry'!$Û$19), "", 'Data Entry'!$Û$19)</f>
      </c>
      <c r="EZ19">
        <f>IF(ISBLANK('Data Entry'!$Ü$19), "", 'Data Entry'!$Ü$19)</f>
      </c>
      <c r="FA19">
        <f>IF(ISBLANK('Data Entry'!$Ý$19), "", 'Data Entry'!$Ý$19)</f>
      </c>
      <c r="FB19">
        <f>IF(ISBLANK('Data Entry'!$Þ$19), "", 'Data Entry'!$Þ$19)</f>
      </c>
      <c r="FC19">
        <f>IF(ISBLANK('Data Entry'!$ß$19), "", 'Data Entry'!$ß$19)</f>
      </c>
      <c r="FD19">
        <f>IF(ISBLANK('Data Entry'!$à$19), "", 'Data Entry'!$à$19)</f>
      </c>
      <c r="FE19">
        <f>IF(ISBLANK('Data Entry'!$á$19), "", 'Data Entry'!$á$19)</f>
      </c>
      <c r="FF19">
        <f>IF(ISBLANK('Data Entry'!$â$19), "", 'Data Entry'!$â$19)</f>
      </c>
      <c r="FG19">
        <f>IF(ISBLANK('Data Entry'!$ã$19), "", 'Data Entry'!$ã$19)</f>
      </c>
      <c r="FH19">
        <f>IF(ISBLANK('Data Entry'!$ä$19), "", 'Data Entry'!$ä$19)</f>
      </c>
      <c r="FI19">
        <f>IF(ISBLANK('Data Entry'!$å$19), "", 'Data Entry'!$å$19)</f>
      </c>
      <c r="FJ19">
        <f>IF(ISBLANK('Data Entry'!$æ$19), "", 'Data Entry'!$æ$19)</f>
      </c>
      <c r="FK19">
        <f>IF(ISBLANK('Data Entry'!$ç$19), "", 'Data Entry'!$ç$19)</f>
      </c>
      <c r="FL19">
        <f>IF(ISBLANK('Data Entry'!$è$19), "", 'Data Entry'!$è$19)</f>
      </c>
      <c r="FM19">
        <f>IF(ISBLANK('Data Entry'!$é$19), "", 'Data Entry'!$é$19)</f>
      </c>
      <c r="FN19">
        <f>IF(ISBLANK('Data Entry'!$ê$19), "", 'Data Entry'!$ê$19)</f>
      </c>
      <c r="FO19">
        <f>IF(ISBLANK('Data Entry'!$ë$19), "", 'Data Entry'!$ë$19)</f>
      </c>
      <c r="FP19">
        <f>IF(ISBLANK('Data Entry'!$ì$19), "", 'Data Entry'!$ì$19)</f>
      </c>
      <c r="FQ19">
        <f>IF(ISBLANK('Data Entry'!$í$19), "", 'Data Entry'!$í$19)</f>
      </c>
      <c r="FR19">
        <f>IF(ISBLANK('Data Entry'!$î$19), "", 'Data Entry'!$î$19)</f>
      </c>
      <c r="FS19">
        <f>IF(ISBLANK('Data Entry'!$ï$19), "", 'Data Entry'!$ï$19)</f>
      </c>
      <c r="FT19">
        <f>IF(ISBLANK('Data Entry'!$ð$19), "", 'Data Entry'!$ð$19)</f>
      </c>
      <c r="FU19">
        <f>IF(ISBLANK('Data Entry'!$ñ$19), "", 'Data Entry'!$ñ$19)</f>
      </c>
      <c r="FV19">
        <f>IF(ISBLANK('Data Entry'!$ò$19), "", 'Data Entry'!$ò$19)</f>
      </c>
      <c r="FW19">
        <f>IF(ISBLANK('Data Entry'!$ó$19), "", 'Data Entry'!$ó$19)</f>
      </c>
      <c r="FX19">
        <f>IF(ISBLANK('Data Entry'!$ô$19), "", 'Data Entry'!$ô$19)</f>
      </c>
      <c r="FY19">
        <f>IF(ISBLANK('Data Entry'!$õ$19), "", 'Data Entry'!$õ$19)</f>
      </c>
      <c r="FZ19">
        <f>IF(ISBLANK('Data Entry'!$ö$19), "", 'Data Entry'!$ö$19)</f>
      </c>
      <c r="GA19">
        <f>IF(ISBLANK('Data Entry'!$÷$19), "", 'Data Entry'!$÷$19)</f>
      </c>
      <c r="GB19">
        <f>IF(ISBLANK('Data Entry'!$ø$19), "", 'Data Entry'!$ø$19)</f>
      </c>
      <c r="GC19">
        <f>IF(ISBLANK('Data Entry'!$ù$19), "", 'Data Entry'!$ù$19)</f>
      </c>
      <c r="GD19">
        <f>IF(ISBLANK('Data Entry'!$ú$19), "", 'Data Entry'!$ú$19)</f>
      </c>
      <c r="GE19">
        <f>IF(ISBLANK('Data Entry'!$û$19), "", 'Data Entry'!$û$19)</f>
      </c>
      <c r="GF19">
        <f>IF(ISBLANK('Data Entry'!$ü$19), "", 'Data Entry'!$ü$19)</f>
      </c>
      <c r="GG19">
        <f>IF(ISBLANK('Data Entry'!$ý$19), "", 'Data Entry'!$ý$19)</f>
      </c>
      <c r="GH19">
        <f>IF(ISBLANK('Data Entry'!$þ$19), "", 'Data Entry'!$þ$19)</f>
      </c>
      <c r="GI19">
        <f>IF(ISBLANK('Data Entry'!$ÿ$19), "", 'Data Entry'!$ÿ$19)</f>
      </c>
      <c r="GJ19">
        <f>IF(ISBLANK('Data Entry'!$Ā$19), "", 'Data Entry'!$Ā$19)</f>
      </c>
      <c r="GK19">
        <f>IF(ISBLANK('Data Entry'!$ā$19), "", 'Data Entry'!$ā$19)</f>
      </c>
      <c r="GL19">
        <f>IF(ISBLANK('Data Entry'!$Ă$19), "", 'Data Entry'!$Ă$19)</f>
      </c>
      <c r="GM19">
        <f>IF(ISBLANK('Data Entry'!$ă$19), "", 'Data Entry'!$ă$19)</f>
      </c>
      <c r="GN19">
        <f>IF(ISBLANK('Data Entry'!$Ą$19), "", 'Data Entry'!$Ą$19)</f>
      </c>
      <c r="GO19">
        <f>IF(ISBLANK('Data Entry'!$ą$19), "", 'Data Entry'!$ą$19)</f>
      </c>
      <c r="GP19">
        <f>IF(ISBLANK('Data Entry'!$Ć$19), "", 'Data Entry'!$Ć$19)</f>
      </c>
      <c r="GQ19">
        <f>IF(ISBLANK('Data Entry'!$ć$19), "", 'Data Entry'!$ć$19)</f>
      </c>
      <c r="GR19">
        <f>IF(ISBLANK('Data Entry'!$Ĉ$19), "", 'Data Entry'!$Ĉ$19)</f>
      </c>
      <c r="GS19">
        <f>IF(ISBLANK('Data Entry'!$ĉ$19), "", 'Data Entry'!$ĉ$19)</f>
      </c>
      <c r="GT19">
        <f>IF(ISBLANK('Data Entry'!$Ċ$19), "", 'Data Entry'!$Ċ$19)</f>
      </c>
      <c r="GU19">
        <f>IF(ISBLANK('Data Entry'!$ċ$19), "", 'Data Entry'!$ċ$19)</f>
      </c>
      <c r="GV19">
        <f>IF(ISBLANK('Data Entry'!$Č$19), "", 'Data Entry'!$Č$19)</f>
      </c>
      <c r="GW19">
        <f>IF(ISBLANK('Data Entry'!$č$19), "", 'Data Entry'!$č$19)</f>
      </c>
      <c r="GX19">
        <f>IF(ISBLANK('Data Entry'!$Ď$19), "", 'Data Entry'!$Ď$19)</f>
      </c>
      <c r="GY19">
        <f>IF(ISBLANK('Data Entry'!$ď$19), "", 'Data Entry'!$ď$19)</f>
      </c>
      <c r="GZ19">
        <f>IF(ISBLANK('Data Entry'!$Đ$19), "", 'Data Entry'!$Đ$19)</f>
      </c>
      <c r="HA19">
        <f>IF(ISBLANK('Data Entry'!$đ$19), "", 'Data Entry'!$đ$19)</f>
      </c>
      <c r="HB19">
        <f>IF(ISBLANK('Data Entry'!$Ē$19), "", 'Data Entry'!$Ē$19)</f>
      </c>
      <c r="HC19">
        <f>IF(ISBLANK('Data Entry'!$ē$19), "", 'Data Entry'!$ē$19)</f>
      </c>
      <c r="HD19">
        <f>IF(ISBLANK('Data Entry'!$Ĕ$19), "", 'Data Entry'!$Ĕ$19)</f>
      </c>
      <c r="HE19">
        <f>IF(ISBLANK('Data Entry'!$ĕ$19), "", 'Data Entry'!$ĕ$19)</f>
      </c>
      <c r="HF19">
        <f>IF(ISBLANK('Data Entry'!$Ė$19), "", 'Data Entry'!$Ė$19)</f>
      </c>
      <c r="HG19">
        <f>IF(ISBLANK('Data Entry'!$ė$19), "", 'Data Entry'!$ė$19)</f>
      </c>
      <c r="HH19">
        <f>IF(ISBLANK('Data Entry'!$Ę$19), "", 'Data Entry'!$Ę$19)</f>
      </c>
      <c r="HI19">
        <f>IF(ISBLANK('Data Entry'!$ę$19), "", 'Data Entry'!$ę$19)</f>
      </c>
      <c r="HJ19">
        <f>IF(ISBLANK('Data Entry'!$Ě$19), "", 'Data Entry'!$Ě$19)</f>
      </c>
      <c r="HK19">
        <f>IF(ISBLANK('Data Entry'!$ě$19), "", 'Data Entry'!$ě$19)</f>
      </c>
      <c r="HL19">
        <f>IF(ISBLANK('Data Entry'!$Ĝ$19), "", 'Data Entry'!$Ĝ$19)</f>
      </c>
      <c r="HM19">
        <f>IF(ISBLANK('Data Entry'!$ĝ$19), "", 'Data Entry'!$ĝ$19)</f>
      </c>
      <c r="HN19">
        <f>IF(ISBLANK('Data Entry'!$Ğ$19), "", 'Data Entry'!$Ğ$19)</f>
      </c>
      <c r="HO19">
        <f>IF(ISBLANK('Data Entry'!$ğ$19), "", 'Data Entry'!$ğ$19)</f>
      </c>
      <c r="HP19">
        <f>IF(ISBLANK('Data Entry'!$Ġ$19), "", 'Data Entry'!$Ġ$19)</f>
      </c>
      <c r="HQ19">
        <f>IF(ISBLANK('Data Entry'!$ġ$19), "", 'Data Entry'!$ġ$19)</f>
      </c>
      <c r="HR19">
        <f>IF(ISBLANK('Data Entry'!$Ģ$19), "", 'Data Entry'!$Ģ$19)</f>
      </c>
      <c r="HS19">
        <f>IF(ISBLANK('Data Entry'!$ģ$19), "", 'Data Entry'!$ģ$19)</f>
      </c>
      <c r="HT19">
        <f>IF(ISBLANK('Data Entry'!$Ĥ$19), "", 'Data Entry'!$Ĥ$19)</f>
      </c>
      <c r="HU19">
        <f>IF(ISBLANK('Data Entry'!$ĥ$19), "", 'Data Entry'!$ĥ$19)</f>
      </c>
      <c r="HV19">
        <f>IF(ISBLANK('Data Entry'!$Ħ$19), "", 'Data Entry'!$Ħ$19)</f>
      </c>
      <c r="HW19">
        <f>IF(ISBLANK('Data Entry'!$ħ$19), "", 'Data Entry'!$ħ$19)</f>
      </c>
      <c r="HX19">
        <f>IF(ISBLANK('Data Entry'!$Ĩ$19), "", 'Data Entry'!$Ĩ$19)</f>
      </c>
      <c r="HY19">
        <f>IF(ISBLANK('Data Entry'!$ĩ$19), "", 'Data Entry'!$ĩ$19)</f>
      </c>
      <c r="HZ19">
        <f>IF(ISBLANK('Data Entry'!$Ī$19), "", 'Data Entry'!$Ī$19)</f>
      </c>
      <c r="IA19">
        <f>IF(ISBLANK('Data Entry'!$ī$19), "", 'Data Entry'!$ī$19)</f>
      </c>
      <c r="IB19">
        <f>IF(ISBLANK('Data Entry'!$Ĭ$19), "", 'Data Entry'!$Ĭ$19)</f>
      </c>
      <c r="IC19">
        <f>IF(ISBLANK('Data Entry'!$ĭ$19), "", 'Data Entry'!$ĭ$19)</f>
      </c>
      <c r="ID19">
        <f>IF(ISBLANK('Data Entry'!$Į$19), "", 'Data Entry'!$Į$19)</f>
      </c>
      <c r="IE19">
        <f>IF(ISBLANK('Data Entry'!$į$19), "", 'Data Entry'!$į$19)</f>
      </c>
      <c r="IF19">
        <f>IF(ISBLANK('Data Entry'!$İ$19), "", 'Data Entry'!$İ$19)</f>
      </c>
      <c r="IG19">
        <f>IF(ISBLANK('Data Entry'!$ı$19), "", 'Data Entry'!$ı$19)</f>
      </c>
      <c r="IH19">
        <f>IF(ISBLANK('Data Entry'!$Ĳ$19), "", 'Data Entry'!$Ĳ$19)</f>
      </c>
      <c r="II19">
        <f>IF(ISBLANK('Data Entry'!$ĳ$19), "", 'Data Entry'!$ĳ$19)</f>
      </c>
      <c r="IJ19">
        <f>IF(ISBLANK('Data Entry'!$Ĵ$19), "", 'Data Entry'!$Ĵ$19)</f>
      </c>
      <c r="IK19">
        <f>IF(ISBLANK('Data Entry'!$ĵ$19), "", 'Data Entry'!$ĵ$19)</f>
      </c>
      <c r="IL19">
        <f>IF(ISBLANK('Data Entry'!$Ķ$19), "", 'Data Entry'!$Ķ$19)</f>
      </c>
      <c r="IM19">
        <f>IF(ISBLANK('Data Entry'!$ķ$19), "", 'Data Entry'!$ķ$19)</f>
      </c>
      <c r="IN19">
        <f>IF(ISBLANK('Data Entry'!$ĸ$19), "", 'Data Entry'!$ĸ$19)</f>
      </c>
      <c r="IO19">
        <f>IF(ISBLANK('Data Entry'!$Ĺ$19), "", 'Data Entry'!$Ĺ$19)</f>
      </c>
      <c r="IP19">
        <f>IF(ISBLANK('Data Entry'!$ĺ$19), "", 'Data Entry'!$ĺ$19)</f>
      </c>
      <c r="IQ19">
        <f>IF(ISBLANK('Data Entry'!$Ļ$19), "", 'Data Entry'!$Ļ$19)</f>
      </c>
      <c r="IR19">
        <f>IF(ISBLANK('Data Entry'!$ļ$19), "", 'Data Entry'!$ļ$19)</f>
      </c>
      <c r="IS19">
        <f>IF(ISBLANK('Data Entry'!$Ľ$19), "", 'Data Entry'!$Ľ$19)</f>
      </c>
      <c r="IT19">
        <f>IF(ISBLANK('Data Entry'!$ľ$19), "", 'Data Entry'!$ľ$19)</f>
      </c>
    </row>
    <row r="20" spans="1:254" x14ac:dyDescent="0.25">
      <c r="A20">
        <f>IF(ISBLANK('Data Entry'!$A$20), "", 'Data Entry'!$A$20)</f>
      </c>
      <c r="B20">
        <f>IF(ISBLANK('Data Entry'!$B$20), "", 'Data Entry'!$B$20)</f>
      </c>
      <c r="C20">
        <f>IF(ISBLANK('Data Entry'!$C$20), "", 'Data Entry'!$C$20)</f>
      </c>
      <c r="D20">
        <f>IF(ISBLANK('Data Entry'!$D$20), "", 'Data Entry'!$D$20)</f>
      </c>
      <c r="E20">
        <f>IF(ISBLANK('Data Entry'!$E$20), "", 'Data Entry'!$E$20)</f>
      </c>
      <c r="F20">
        <f>IF(ISBLANK('Data Entry'!$F$20), "", 'Data Entry'!$F$20)</f>
      </c>
      <c r="G20">
        <f>IF(ISBLANK('Data Entry'!$G$20), "", 'Data Entry'!$G$20)</f>
      </c>
      <c r="H20">
        <f>IF(ISBLANK('Data Entry'!$H$20), "", 'Data Entry'!$H$20)</f>
      </c>
      <c r="I20">
        <f>IF(ISBLANK('Data Entry'!$I$20), "", 'Data Entry'!$I$20)</f>
      </c>
      <c r="J20">
        <f>IF(ISBLANK('Data Entry'!$J$20), "", 'Data Entry'!$J$20)</f>
      </c>
      <c r="K20">
        <f>IF(ISBLANK('Data Entry'!$K$20), "", 'Data Entry'!$K$20)</f>
      </c>
      <c r="L20">
        <f>IF(ISBLANK('Data Entry'!$L$20), "", 'Data Entry'!$L$20)</f>
      </c>
      <c r="M20">
        <f>IF(ISBLANK('Data Entry'!$M$20), "", 'Data Entry'!$M$20)</f>
      </c>
      <c r="N20">
        <f>IF(ISBLANK('Data Entry'!$N$20), "", 'Data Entry'!$N$20)</f>
      </c>
      <c r="O20">
        <f>IF(ISBLANK('Data Entry'!$O$20), "", 'Data Entry'!$O$20)</f>
      </c>
      <c r="P20">
        <f>IF(ISBLANK('Data Entry'!$P$20), "", 'Data Entry'!$P$20)</f>
      </c>
      <c r="Q20">
        <f>IF(ISBLANK('Data Entry'!$Q$20), "", 'Data Entry'!$Q$20)</f>
      </c>
      <c r="R20">
        <f>IF(ISBLANK('Data Entry'!$R$20), "", 'Data Entry'!$R$20)</f>
      </c>
      <c r="S20">
        <f>IF(ISBLANK('Data Entry'!$S$20), "", 'Data Entry'!$S$20)</f>
      </c>
      <c r="T20">
        <f>IF(ISBLANK('Data Entry'!$T$20), "", 'Data Entry'!$T$20)</f>
      </c>
      <c r="U20">
        <f>IF(ISBLANK('Data Entry'!$U$20), "", 'Data Entry'!$U$20)</f>
      </c>
      <c r="V20">
        <f>IF(ISBLANK('Data Entry'!$V$20), "", 'Data Entry'!$V$20)</f>
      </c>
      <c r="W20">
        <f>IF(ISBLANK('Data Entry'!$W$20), "", 'Data Entry'!$W$20)</f>
      </c>
      <c r="X20">
        <f>IF(ISBLANK('Data Entry'!$X$20), "", 'Data Entry'!$X$20)</f>
      </c>
      <c r="Y20">
        <f>IF(ISBLANK('Data Entry'!$Y$20), "", 'Data Entry'!$Y$20)</f>
      </c>
      <c r="Z20">
        <f>IF(ISBLANK('Data Entry'!$Z$20), "", 'Data Entry'!$Z$20)</f>
      </c>
      <c r="AA20">
        <f>IF(ISBLANK('Data Entry'!$[$20), "", 'Data Entry'!$[$20)</f>
      </c>
      <c r="AB20">
        <f>IF(ISBLANK('Data Entry'!$\$20), "", 'Data Entry'!$\$20)</f>
      </c>
      <c r="AC20">
        <f>IF(ISBLANK('Data Entry'!$]$20), "", 'Data Entry'!$]$20)</f>
      </c>
      <c r="AD20">
        <f>IF(ISBLANK('Data Entry'!$^$20), "", 'Data Entry'!$^$20)</f>
      </c>
      <c r="AE20">
        <f>IF(ISBLANK('Data Entry'!$_$20), "", 'Data Entry'!$_$20)</f>
      </c>
      <c r="AF20">
        <f>IF(ISBLANK('Data Entry'!$`$20), "", 'Data Entry'!$`$20)</f>
      </c>
      <c r="AG20">
        <f>IF(ISBLANK('Data Entry'!$a$20), "", 'Data Entry'!$a$20)</f>
      </c>
      <c r="AH20">
        <f>IF(ISBLANK('Data Entry'!$b$20), "", 'Data Entry'!$b$20)</f>
      </c>
      <c r="AI20">
        <f>IF(ISBLANK('Data Entry'!$c$20), "", 'Data Entry'!$c$20)</f>
      </c>
      <c r="AJ20">
        <f>IF(ISBLANK('Data Entry'!$d$20), "", 'Data Entry'!$d$20)</f>
      </c>
      <c r="AK20">
        <f>IF(ISBLANK('Data Entry'!$e$20), "", 'Data Entry'!$e$20)</f>
      </c>
      <c r="AL20">
        <f>IF(ISBLANK('Data Entry'!$f$20), "", 'Data Entry'!$f$20)</f>
      </c>
      <c r="AM20">
        <f>IF(ISBLANK('Data Entry'!$g$20), "", 'Data Entry'!$g$20)</f>
      </c>
      <c r="AN20">
        <f>IF(ISBLANK('Data Entry'!$h$20), "", 'Data Entry'!$h$20)</f>
      </c>
      <c r="AO20">
        <f>IF(ISBLANK('Data Entry'!$i$20), "", 'Data Entry'!$i$20)</f>
      </c>
      <c r="AP20">
        <f>IF(ISBLANK('Data Entry'!$j$20), "", 'Data Entry'!$j$20)</f>
      </c>
      <c r="AQ20">
        <f>IF(ISBLANK('Data Entry'!$k$20), "", 'Data Entry'!$k$20)</f>
      </c>
      <c r="AR20">
        <f>IF(ISBLANK('Data Entry'!$l$20), "", 'Data Entry'!$l$20)</f>
      </c>
      <c r="AS20">
        <f>IF(ISBLANK('Data Entry'!$m$20), "", 'Data Entry'!$m$20)</f>
      </c>
      <c r="AT20">
        <f>IF(ISBLANK('Data Entry'!$n$20), "", 'Data Entry'!$n$20)</f>
      </c>
      <c r="AU20">
        <f>IF(ISBLANK('Data Entry'!$o$20), "", 'Data Entry'!$o$20)</f>
      </c>
      <c r="AV20">
        <f>IF(ISBLANK('Data Entry'!$p$20), "", 'Data Entry'!$p$20)</f>
      </c>
      <c r="AW20">
        <f>IF(ISBLANK('Data Entry'!$q$20), "", 'Data Entry'!$q$20)</f>
      </c>
      <c r="AX20">
        <f>IF(ISBLANK('Data Entry'!$r$20), "", 'Data Entry'!$r$20)</f>
      </c>
      <c r="AY20">
        <f>IF(ISBLANK('Data Entry'!$s$20), "", 'Data Entry'!$s$20)</f>
      </c>
      <c r="AZ20">
        <f>IF(ISBLANK('Data Entry'!$t$20), "", 'Data Entry'!$t$20)</f>
      </c>
      <c r="BA20">
        <f>IF(ISBLANK('Data Entry'!$u$20), "", 'Data Entry'!$u$20)</f>
      </c>
      <c r="BB20">
        <f>IF(ISBLANK('Data Entry'!$v$20), "", 'Data Entry'!$v$20)</f>
      </c>
      <c r="BC20">
        <f>IF(ISBLANK('Data Entry'!$w$20), "", 'Data Entry'!$w$20)</f>
      </c>
      <c r="BD20">
        <f>IF(ISBLANK('Data Entry'!$x$20), "", 'Data Entry'!$x$20)</f>
      </c>
      <c r="BE20">
        <f>IF(ISBLANK('Data Entry'!$y$20), "", 'Data Entry'!$y$20)</f>
      </c>
      <c r="BF20">
        <f>IF(ISBLANK('Data Entry'!$z$20), "", 'Data Entry'!$z$20)</f>
      </c>
      <c r="BG20">
        <f>IF(ISBLANK('Data Entry'!${$20), "", 'Data Entry'!${$20)</f>
      </c>
      <c r="BH20">
        <f>IF(ISBLANK('Data Entry'!$|$20), "", 'Data Entry'!$|$20)</f>
      </c>
      <c r="BI20">
        <f>IF(ISBLANK('Data Entry'!$}$20), "", 'Data Entry'!$}$20)</f>
      </c>
      <c r="BJ20">
        <f>IF(ISBLANK('Data Entry'!$~$20), "", 'Data Entry'!$~$20)</f>
      </c>
      <c r="BK20">
        <f>IF(ISBLANK('Data Entry'!$$20), "", 'Data Entry'!$$20)</f>
      </c>
      <c r="BL20">
        <f>IF(ISBLANK('Data Entry'!$$20), "", 'Data Entry'!$$20)</f>
      </c>
      <c r="BM20">
        <f>IF(ISBLANK('Data Entry'!$$20), "", 'Data Entry'!$$20)</f>
      </c>
      <c r="BN20">
        <f>IF(ISBLANK('Data Entry'!$$20), "", 'Data Entry'!$$20)</f>
      </c>
      <c r="BO20">
        <f>IF(ISBLANK('Data Entry'!$$20), "", 'Data Entry'!$$20)</f>
      </c>
      <c r="BP20">
        <f>IF(ISBLANK('Data Entry'!$$20), "", 'Data Entry'!$$20)</f>
      </c>
      <c r="BQ20">
        <f>IF(ISBLANK('Data Entry'!$$20), "", 'Data Entry'!$$20)</f>
      </c>
      <c r="BR20">
        <f>IF(ISBLANK('Data Entry'!$$20), "", 'Data Entry'!$$20)</f>
      </c>
      <c r="BS20">
        <f>IF(ISBLANK('Data Entry'!$$20), "", 'Data Entry'!$$20)</f>
      </c>
      <c r="BT20">
        <f>IF(ISBLANK('Data Entry'!$$20), "", 'Data Entry'!$$20)</f>
      </c>
      <c r="BU20">
        <f>IF(ISBLANK('Data Entry'!$$20), "", 'Data Entry'!$$20)</f>
      </c>
      <c r="BV20">
        <f>IF(ISBLANK('Data Entry'!$$20), "", 'Data Entry'!$$20)</f>
      </c>
      <c r="BW20">
        <f>IF(ISBLANK('Data Entry'!$$20), "", 'Data Entry'!$$20)</f>
      </c>
      <c r="BX20">
        <f>IF(ISBLANK('Data Entry'!$$20), "", 'Data Entry'!$$20)</f>
      </c>
      <c r="BY20">
        <f>IF(ISBLANK('Data Entry'!$$20), "", 'Data Entry'!$$20)</f>
      </c>
      <c r="BZ20">
        <f>IF(ISBLANK('Data Entry'!$$20), "", 'Data Entry'!$$20)</f>
      </c>
      <c r="CA20">
        <f>IF(ISBLANK('Data Entry'!$$20), "", 'Data Entry'!$$20)</f>
      </c>
      <c r="CB20">
        <f>IF(ISBLANK('Data Entry'!$$20), "", 'Data Entry'!$$20)</f>
      </c>
      <c r="CC20">
        <f>IF(ISBLANK('Data Entry'!$$20), "", 'Data Entry'!$$20)</f>
      </c>
      <c r="CD20">
        <f>IF(ISBLANK('Data Entry'!$$20), "", 'Data Entry'!$$20)</f>
      </c>
      <c r="CE20">
        <f>IF(ISBLANK('Data Entry'!$$20), "", 'Data Entry'!$$20)</f>
      </c>
      <c r="CF20">
        <f>IF(ISBLANK('Data Entry'!$$20), "", 'Data Entry'!$$20)</f>
      </c>
      <c r="CG20">
        <f>IF(ISBLANK('Data Entry'!$$20), "", 'Data Entry'!$$20)</f>
      </c>
      <c r="CH20">
        <f>IF(ISBLANK('Data Entry'!$$20), "", 'Data Entry'!$$20)</f>
      </c>
      <c r="CI20">
        <f>IF(ISBLANK('Data Entry'!$$20), "", 'Data Entry'!$$20)</f>
      </c>
      <c r="CJ20">
        <f>IF(ISBLANK('Data Entry'!$$20), "", 'Data Entry'!$$20)</f>
      </c>
      <c r="CK20">
        <f>IF(ISBLANK('Data Entry'!$$20), "", 'Data Entry'!$$20)</f>
      </c>
      <c r="CL20">
        <f>IF(ISBLANK('Data Entry'!$$20), "", 'Data Entry'!$$20)</f>
      </c>
      <c r="CM20">
        <f>IF(ISBLANK('Data Entry'!$$20), "", 'Data Entry'!$$20)</f>
      </c>
      <c r="CN20">
        <f>IF(ISBLANK('Data Entry'!$$20), "", 'Data Entry'!$$20)</f>
      </c>
      <c r="CO20">
        <f>IF(ISBLANK('Data Entry'!$$20), "", 'Data Entry'!$$20)</f>
      </c>
      <c r="CP20">
        <f>IF(ISBLANK('Data Entry'!$$20), "", 'Data Entry'!$$20)</f>
      </c>
      <c r="CQ20">
        <f>IF(ISBLANK('Data Entry'!$$20), "", 'Data Entry'!$$20)</f>
      </c>
      <c r="CR20">
        <f>IF(ISBLANK('Data Entry'!$ $20), "", 'Data Entry'!$ $20)</f>
      </c>
      <c r="CS20">
        <f>IF(ISBLANK('Data Entry'!$¡$20), "", 'Data Entry'!$¡$20)</f>
      </c>
      <c r="CT20">
        <f>IF(ISBLANK('Data Entry'!$¢$20), "", 'Data Entry'!$¢$20)</f>
      </c>
      <c r="CU20">
        <f>IF(ISBLANK('Data Entry'!$£$20), "", 'Data Entry'!$£$20)</f>
      </c>
      <c r="CV20">
        <f>IF(ISBLANK('Data Entry'!$¤$20), "", 'Data Entry'!$¤$20)</f>
      </c>
      <c r="CW20">
        <f>IF(ISBLANK('Data Entry'!$¥$20), "", 'Data Entry'!$¥$20)</f>
      </c>
      <c r="CX20">
        <f>IF(ISBLANK('Data Entry'!$¦$20), "", 'Data Entry'!$¦$20)</f>
      </c>
      <c r="CY20">
        <f>IF(ISBLANK('Data Entry'!$§$20), "", 'Data Entry'!$§$20)</f>
      </c>
      <c r="CZ20">
        <f>IF(ISBLANK('Data Entry'!$¨$20), "", 'Data Entry'!$¨$20)</f>
      </c>
      <c r="DA20">
        <f>IF(ISBLANK('Data Entry'!$©$20), "", 'Data Entry'!$©$20)</f>
      </c>
      <c r="DB20">
        <f>IF(ISBLANK('Data Entry'!$ª$20), "", 'Data Entry'!$ª$20)</f>
      </c>
      <c r="DC20">
        <f>IF(ISBLANK('Data Entry'!$«$20), "", 'Data Entry'!$«$20)</f>
      </c>
      <c r="DD20">
        <f>IF(ISBLANK('Data Entry'!$¬$20), "", 'Data Entry'!$¬$20)</f>
      </c>
      <c r="DE20">
        <f>IF(ISBLANK('Data Entry'!$­$20), "", 'Data Entry'!$­$20)</f>
      </c>
      <c r="DF20">
        <f>IF(ISBLANK('Data Entry'!$®$20), "", 'Data Entry'!$®$20)</f>
      </c>
      <c r="DG20">
        <f>IF(ISBLANK('Data Entry'!$¯$20), "", 'Data Entry'!$¯$20)</f>
      </c>
      <c r="DH20">
        <f>IF(ISBLANK('Data Entry'!$°$20), "", 'Data Entry'!$°$20)</f>
      </c>
      <c r="DI20">
        <f>IF(ISBLANK('Data Entry'!$±$20), "", 'Data Entry'!$±$20)</f>
      </c>
      <c r="DJ20">
        <f>IF(ISBLANK('Data Entry'!$²$20), "", 'Data Entry'!$²$20)</f>
      </c>
      <c r="DK20">
        <f>IF(ISBLANK('Data Entry'!$³$20), "", 'Data Entry'!$³$20)</f>
      </c>
      <c r="DL20">
        <f>IF(ISBLANK('Data Entry'!$´$20), "", 'Data Entry'!$´$20)</f>
      </c>
      <c r="DM20">
        <f>IF(ISBLANK('Data Entry'!$µ$20), "", 'Data Entry'!$µ$20)</f>
      </c>
      <c r="DN20">
        <f>IF(ISBLANK('Data Entry'!$¶$20), "", 'Data Entry'!$¶$20)</f>
      </c>
      <c r="DO20">
        <f>IF(ISBLANK('Data Entry'!$·$20), "", 'Data Entry'!$·$20)</f>
      </c>
      <c r="DP20">
        <f>IF(ISBLANK('Data Entry'!$¸$20), "", 'Data Entry'!$¸$20)</f>
      </c>
      <c r="DQ20">
        <f>IF(ISBLANK('Data Entry'!$¹$20), "", 'Data Entry'!$¹$20)</f>
      </c>
      <c r="DR20">
        <f>IF(ISBLANK('Data Entry'!$º$20), "", 'Data Entry'!$º$20)</f>
      </c>
      <c r="DS20">
        <f>IF(ISBLANK('Data Entry'!$»$20), "", 'Data Entry'!$»$20)</f>
      </c>
      <c r="DT20">
        <f>IF(ISBLANK('Data Entry'!$¼$20), "", 'Data Entry'!$¼$20)</f>
      </c>
      <c r="DU20">
        <f>IF(ISBLANK('Data Entry'!$½$20), "", 'Data Entry'!$½$20)</f>
      </c>
      <c r="DV20">
        <f>IF(ISBLANK('Data Entry'!$¾$20), "", 'Data Entry'!$¾$20)</f>
      </c>
      <c r="DW20">
        <f>IF(ISBLANK('Data Entry'!$¿$20), "", 'Data Entry'!$¿$20)</f>
      </c>
      <c r="DX20">
        <f>IF(ISBLANK('Data Entry'!$À$20), "", 'Data Entry'!$À$20)</f>
      </c>
      <c r="DY20">
        <f>IF(ISBLANK('Data Entry'!$Á$20), "", 'Data Entry'!$Á$20)</f>
      </c>
      <c r="DZ20">
        <f>IF(ISBLANK('Data Entry'!$Â$20), "", 'Data Entry'!$Â$20)</f>
      </c>
      <c r="EA20">
        <f>IF(ISBLANK('Data Entry'!$Ã$20), "", 'Data Entry'!$Ã$20)</f>
      </c>
      <c r="EB20">
        <f>IF(ISBLANK('Data Entry'!$Ä$20), "", 'Data Entry'!$Ä$20)</f>
      </c>
      <c r="EC20">
        <f>IF(ISBLANK('Data Entry'!$Å$20), "", 'Data Entry'!$Å$20)</f>
      </c>
      <c r="ED20">
        <f>IF(ISBLANK('Data Entry'!$Æ$20), "", 'Data Entry'!$Æ$20)</f>
      </c>
      <c r="EE20">
        <f>IF(ISBLANK('Data Entry'!$Ç$20), "", 'Data Entry'!$Ç$20)</f>
      </c>
      <c r="EF20">
        <f>IF(ISBLANK('Data Entry'!$È$20), "", 'Data Entry'!$È$20)</f>
      </c>
      <c r="EG20">
        <f>IF(ISBLANK('Data Entry'!$É$20), "", 'Data Entry'!$É$20)</f>
      </c>
      <c r="EH20">
        <f>IF(ISBLANK('Data Entry'!$Ê$20), "", 'Data Entry'!$Ê$20)</f>
      </c>
      <c r="EI20">
        <f>IF(ISBLANK('Data Entry'!$Ë$20), "", 'Data Entry'!$Ë$20)</f>
      </c>
      <c r="EJ20">
        <f>IF(ISBLANK('Data Entry'!$Ì$20), "", 'Data Entry'!$Ì$20)</f>
      </c>
      <c r="EK20">
        <f>IF(ISBLANK('Data Entry'!$Í$20), "", 'Data Entry'!$Í$20)</f>
      </c>
      <c r="EL20">
        <f>IF(ISBLANK('Data Entry'!$Î$20), "", 'Data Entry'!$Î$20)</f>
      </c>
      <c r="EM20">
        <f>IF(ISBLANK('Data Entry'!$Ï$20), "", 'Data Entry'!$Ï$20)</f>
      </c>
      <c r="EN20">
        <f>IF(ISBLANK('Data Entry'!$Ð$20), "", 'Data Entry'!$Ð$20)</f>
      </c>
      <c r="EO20">
        <f>IF(ISBLANK('Data Entry'!$Ñ$20), "", 'Data Entry'!$Ñ$20)</f>
      </c>
      <c r="EP20">
        <f>IF(ISBLANK('Data Entry'!$Ò$20), "", 'Data Entry'!$Ò$20)</f>
      </c>
      <c r="EQ20">
        <f>IF(ISBLANK('Data Entry'!$Ó$20), "", 'Data Entry'!$Ó$20)</f>
      </c>
      <c r="ER20">
        <f>IF(ISBLANK('Data Entry'!$Ô$20), "", 'Data Entry'!$Ô$20)</f>
      </c>
      <c r="ES20">
        <f>IF(ISBLANK('Data Entry'!$Õ$20), "", 'Data Entry'!$Õ$20)</f>
      </c>
      <c r="ET20">
        <f>IF(ISBLANK('Data Entry'!$Ö$20), "", 'Data Entry'!$Ö$20)</f>
      </c>
      <c r="EU20">
        <f>IF(ISBLANK('Data Entry'!$×$20), "", 'Data Entry'!$×$20)</f>
      </c>
      <c r="EV20">
        <f>IF(ISBLANK('Data Entry'!$Ø$20), "", 'Data Entry'!$Ø$20)</f>
      </c>
      <c r="EW20">
        <f>IF(ISBLANK('Data Entry'!$Ù$20), "", 'Data Entry'!$Ù$20)</f>
      </c>
      <c r="EX20">
        <f>IF(ISBLANK('Data Entry'!$Ú$20), "", 'Data Entry'!$Ú$20)</f>
      </c>
      <c r="EY20">
        <f>IF(ISBLANK('Data Entry'!$Û$20), "", 'Data Entry'!$Û$20)</f>
      </c>
      <c r="EZ20">
        <f>IF(ISBLANK('Data Entry'!$Ü$20), "", 'Data Entry'!$Ü$20)</f>
      </c>
      <c r="FA20">
        <f>IF(ISBLANK('Data Entry'!$Ý$20), "", 'Data Entry'!$Ý$20)</f>
      </c>
      <c r="FB20">
        <f>IF(ISBLANK('Data Entry'!$Þ$20), "", 'Data Entry'!$Þ$20)</f>
      </c>
      <c r="FC20">
        <f>IF(ISBLANK('Data Entry'!$ß$20), "", 'Data Entry'!$ß$20)</f>
      </c>
      <c r="FD20">
        <f>IF(ISBLANK('Data Entry'!$à$20), "", 'Data Entry'!$à$20)</f>
      </c>
      <c r="FE20">
        <f>IF(ISBLANK('Data Entry'!$á$20), "", 'Data Entry'!$á$20)</f>
      </c>
      <c r="FF20">
        <f>IF(ISBLANK('Data Entry'!$â$20), "", 'Data Entry'!$â$20)</f>
      </c>
      <c r="FG20">
        <f>IF(ISBLANK('Data Entry'!$ã$20), "", 'Data Entry'!$ã$20)</f>
      </c>
      <c r="FH20">
        <f>IF(ISBLANK('Data Entry'!$ä$20), "", 'Data Entry'!$ä$20)</f>
      </c>
      <c r="FI20">
        <f>IF(ISBLANK('Data Entry'!$å$20), "", 'Data Entry'!$å$20)</f>
      </c>
      <c r="FJ20">
        <f>IF(ISBLANK('Data Entry'!$æ$20), "", 'Data Entry'!$æ$20)</f>
      </c>
      <c r="FK20">
        <f>IF(ISBLANK('Data Entry'!$ç$20), "", 'Data Entry'!$ç$20)</f>
      </c>
      <c r="FL20">
        <f>IF(ISBLANK('Data Entry'!$è$20), "", 'Data Entry'!$è$20)</f>
      </c>
      <c r="FM20">
        <f>IF(ISBLANK('Data Entry'!$é$20), "", 'Data Entry'!$é$20)</f>
      </c>
      <c r="FN20">
        <f>IF(ISBLANK('Data Entry'!$ê$20), "", 'Data Entry'!$ê$20)</f>
      </c>
      <c r="FO20">
        <f>IF(ISBLANK('Data Entry'!$ë$20), "", 'Data Entry'!$ë$20)</f>
      </c>
      <c r="FP20">
        <f>IF(ISBLANK('Data Entry'!$ì$20), "", 'Data Entry'!$ì$20)</f>
      </c>
      <c r="FQ20">
        <f>IF(ISBLANK('Data Entry'!$í$20), "", 'Data Entry'!$í$20)</f>
      </c>
      <c r="FR20">
        <f>IF(ISBLANK('Data Entry'!$î$20), "", 'Data Entry'!$î$20)</f>
      </c>
      <c r="FS20">
        <f>IF(ISBLANK('Data Entry'!$ï$20), "", 'Data Entry'!$ï$20)</f>
      </c>
      <c r="FT20">
        <f>IF(ISBLANK('Data Entry'!$ð$20), "", 'Data Entry'!$ð$20)</f>
      </c>
      <c r="FU20">
        <f>IF(ISBLANK('Data Entry'!$ñ$20), "", 'Data Entry'!$ñ$20)</f>
      </c>
      <c r="FV20">
        <f>IF(ISBLANK('Data Entry'!$ò$20), "", 'Data Entry'!$ò$20)</f>
      </c>
      <c r="FW20">
        <f>IF(ISBLANK('Data Entry'!$ó$20), "", 'Data Entry'!$ó$20)</f>
      </c>
      <c r="FX20">
        <f>IF(ISBLANK('Data Entry'!$ô$20), "", 'Data Entry'!$ô$20)</f>
      </c>
      <c r="FY20">
        <f>IF(ISBLANK('Data Entry'!$õ$20), "", 'Data Entry'!$õ$20)</f>
      </c>
      <c r="FZ20">
        <f>IF(ISBLANK('Data Entry'!$ö$20), "", 'Data Entry'!$ö$20)</f>
      </c>
      <c r="GA20">
        <f>IF(ISBLANK('Data Entry'!$÷$20), "", 'Data Entry'!$÷$20)</f>
      </c>
      <c r="GB20">
        <f>IF(ISBLANK('Data Entry'!$ø$20), "", 'Data Entry'!$ø$20)</f>
      </c>
      <c r="GC20">
        <f>IF(ISBLANK('Data Entry'!$ù$20), "", 'Data Entry'!$ù$20)</f>
      </c>
      <c r="GD20">
        <f>IF(ISBLANK('Data Entry'!$ú$20), "", 'Data Entry'!$ú$20)</f>
      </c>
      <c r="GE20">
        <f>IF(ISBLANK('Data Entry'!$û$20), "", 'Data Entry'!$û$20)</f>
      </c>
      <c r="GF20">
        <f>IF(ISBLANK('Data Entry'!$ü$20), "", 'Data Entry'!$ü$20)</f>
      </c>
      <c r="GG20">
        <f>IF(ISBLANK('Data Entry'!$ý$20), "", 'Data Entry'!$ý$20)</f>
      </c>
      <c r="GH20">
        <f>IF(ISBLANK('Data Entry'!$þ$20), "", 'Data Entry'!$þ$20)</f>
      </c>
      <c r="GI20">
        <f>IF(ISBLANK('Data Entry'!$ÿ$20), "", 'Data Entry'!$ÿ$20)</f>
      </c>
      <c r="GJ20">
        <f>IF(ISBLANK('Data Entry'!$Ā$20), "", 'Data Entry'!$Ā$20)</f>
      </c>
      <c r="GK20">
        <f>IF(ISBLANK('Data Entry'!$ā$20), "", 'Data Entry'!$ā$20)</f>
      </c>
      <c r="GL20">
        <f>IF(ISBLANK('Data Entry'!$Ă$20), "", 'Data Entry'!$Ă$20)</f>
      </c>
      <c r="GM20">
        <f>IF(ISBLANK('Data Entry'!$ă$20), "", 'Data Entry'!$ă$20)</f>
      </c>
      <c r="GN20">
        <f>IF(ISBLANK('Data Entry'!$Ą$20), "", 'Data Entry'!$Ą$20)</f>
      </c>
      <c r="GO20">
        <f>IF(ISBLANK('Data Entry'!$ą$20), "", 'Data Entry'!$ą$20)</f>
      </c>
      <c r="GP20">
        <f>IF(ISBLANK('Data Entry'!$Ć$20), "", 'Data Entry'!$Ć$20)</f>
      </c>
      <c r="GQ20">
        <f>IF(ISBLANK('Data Entry'!$ć$20), "", 'Data Entry'!$ć$20)</f>
      </c>
      <c r="GR20">
        <f>IF(ISBLANK('Data Entry'!$Ĉ$20), "", 'Data Entry'!$Ĉ$20)</f>
      </c>
      <c r="GS20">
        <f>IF(ISBLANK('Data Entry'!$ĉ$20), "", 'Data Entry'!$ĉ$20)</f>
      </c>
      <c r="GT20">
        <f>IF(ISBLANK('Data Entry'!$Ċ$20), "", 'Data Entry'!$Ċ$20)</f>
      </c>
      <c r="GU20">
        <f>IF(ISBLANK('Data Entry'!$ċ$20), "", 'Data Entry'!$ċ$20)</f>
      </c>
      <c r="GV20">
        <f>IF(ISBLANK('Data Entry'!$Č$20), "", 'Data Entry'!$Č$20)</f>
      </c>
      <c r="GW20">
        <f>IF(ISBLANK('Data Entry'!$č$20), "", 'Data Entry'!$č$20)</f>
      </c>
      <c r="GX20">
        <f>IF(ISBLANK('Data Entry'!$Ď$20), "", 'Data Entry'!$Ď$20)</f>
      </c>
      <c r="GY20">
        <f>IF(ISBLANK('Data Entry'!$ď$20), "", 'Data Entry'!$ď$20)</f>
      </c>
      <c r="GZ20">
        <f>IF(ISBLANK('Data Entry'!$Đ$20), "", 'Data Entry'!$Đ$20)</f>
      </c>
      <c r="HA20">
        <f>IF(ISBLANK('Data Entry'!$đ$20), "", 'Data Entry'!$đ$20)</f>
      </c>
      <c r="HB20">
        <f>IF(ISBLANK('Data Entry'!$Ē$20), "", 'Data Entry'!$Ē$20)</f>
      </c>
      <c r="HC20">
        <f>IF(ISBLANK('Data Entry'!$ē$20), "", 'Data Entry'!$ē$20)</f>
      </c>
      <c r="HD20">
        <f>IF(ISBLANK('Data Entry'!$Ĕ$20), "", 'Data Entry'!$Ĕ$20)</f>
      </c>
      <c r="HE20">
        <f>IF(ISBLANK('Data Entry'!$ĕ$20), "", 'Data Entry'!$ĕ$20)</f>
      </c>
      <c r="HF20">
        <f>IF(ISBLANK('Data Entry'!$Ė$20), "", 'Data Entry'!$Ė$20)</f>
      </c>
      <c r="HG20">
        <f>IF(ISBLANK('Data Entry'!$ė$20), "", 'Data Entry'!$ė$20)</f>
      </c>
      <c r="HH20">
        <f>IF(ISBLANK('Data Entry'!$Ę$20), "", 'Data Entry'!$Ę$20)</f>
      </c>
      <c r="HI20">
        <f>IF(ISBLANK('Data Entry'!$ę$20), "", 'Data Entry'!$ę$20)</f>
      </c>
      <c r="HJ20">
        <f>IF(ISBLANK('Data Entry'!$Ě$20), "", 'Data Entry'!$Ě$20)</f>
      </c>
      <c r="HK20">
        <f>IF(ISBLANK('Data Entry'!$ě$20), "", 'Data Entry'!$ě$20)</f>
      </c>
      <c r="HL20">
        <f>IF(ISBLANK('Data Entry'!$Ĝ$20), "", 'Data Entry'!$Ĝ$20)</f>
      </c>
      <c r="HM20">
        <f>IF(ISBLANK('Data Entry'!$ĝ$20), "", 'Data Entry'!$ĝ$20)</f>
      </c>
      <c r="HN20">
        <f>IF(ISBLANK('Data Entry'!$Ğ$20), "", 'Data Entry'!$Ğ$20)</f>
      </c>
      <c r="HO20">
        <f>IF(ISBLANK('Data Entry'!$ğ$20), "", 'Data Entry'!$ğ$20)</f>
      </c>
      <c r="HP20">
        <f>IF(ISBLANK('Data Entry'!$Ġ$20), "", 'Data Entry'!$Ġ$20)</f>
      </c>
      <c r="HQ20">
        <f>IF(ISBLANK('Data Entry'!$ġ$20), "", 'Data Entry'!$ġ$20)</f>
      </c>
      <c r="HR20">
        <f>IF(ISBLANK('Data Entry'!$Ģ$20), "", 'Data Entry'!$Ģ$20)</f>
      </c>
      <c r="HS20">
        <f>IF(ISBLANK('Data Entry'!$ģ$20), "", 'Data Entry'!$ģ$20)</f>
      </c>
      <c r="HT20">
        <f>IF(ISBLANK('Data Entry'!$Ĥ$20), "", 'Data Entry'!$Ĥ$20)</f>
      </c>
      <c r="HU20">
        <f>IF(ISBLANK('Data Entry'!$ĥ$20), "", 'Data Entry'!$ĥ$20)</f>
      </c>
      <c r="HV20">
        <f>IF(ISBLANK('Data Entry'!$Ħ$20), "", 'Data Entry'!$Ħ$20)</f>
      </c>
      <c r="HW20">
        <f>IF(ISBLANK('Data Entry'!$ħ$20), "", 'Data Entry'!$ħ$20)</f>
      </c>
      <c r="HX20">
        <f>IF(ISBLANK('Data Entry'!$Ĩ$20), "", 'Data Entry'!$Ĩ$20)</f>
      </c>
      <c r="HY20">
        <f>IF(ISBLANK('Data Entry'!$ĩ$20), "", 'Data Entry'!$ĩ$20)</f>
      </c>
      <c r="HZ20">
        <f>IF(ISBLANK('Data Entry'!$Ī$20), "", 'Data Entry'!$Ī$20)</f>
      </c>
      <c r="IA20">
        <f>IF(ISBLANK('Data Entry'!$ī$20), "", 'Data Entry'!$ī$20)</f>
      </c>
      <c r="IB20">
        <f>IF(ISBLANK('Data Entry'!$Ĭ$20), "", 'Data Entry'!$Ĭ$20)</f>
      </c>
      <c r="IC20">
        <f>IF(ISBLANK('Data Entry'!$ĭ$20), "", 'Data Entry'!$ĭ$20)</f>
      </c>
      <c r="ID20">
        <f>IF(ISBLANK('Data Entry'!$Į$20), "", 'Data Entry'!$Į$20)</f>
      </c>
      <c r="IE20">
        <f>IF(ISBLANK('Data Entry'!$į$20), "", 'Data Entry'!$į$20)</f>
      </c>
      <c r="IF20">
        <f>IF(ISBLANK('Data Entry'!$İ$20), "", 'Data Entry'!$İ$20)</f>
      </c>
      <c r="IG20">
        <f>IF(ISBLANK('Data Entry'!$ı$20), "", 'Data Entry'!$ı$20)</f>
      </c>
      <c r="IH20">
        <f>IF(ISBLANK('Data Entry'!$Ĳ$20), "", 'Data Entry'!$Ĳ$20)</f>
      </c>
      <c r="II20">
        <f>IF(ISBLANK('Data Entry'!$ĳ$20), "", 'Data Entry'!$ĳ$20)</f>
      </c>
      <c r="IJ20">
        <f>IF(ISBLANK('Data Entry'!$Ĵ$20), "", 'Data Entry'!$Ĵ$20)</f>
      </c>
      <c r="IK20">
        <f>IF(ISBLANK('Data Entry'!$ĵ$20), "", 'Data Entry'!$ĵ$20)</f>
      </c>
      <c r="IL20">
        <f>IF(ISBLANK('Data Entry'!$Ķ$20), "", 'Data Entry'!$Ķ$20)</f>
      </c>
      <c r="IM20">
        <f>IF(ISBLANK('Data Entry'!$ķ$20), "", 'Data Entry'!$ķ$20)</f>
      </c>
      <c r="IN20">
        <f>IF(ISBLANK('Data Entry'!$ĸ$20), "", 'Data Entry'!$ĸ$20)</f>
      </c>
      <c r="IO20">
        <f>IF(ISBLANK('Data Entry'!$Ĺ$20), "", 'Data Entry'!$Ĺ$20)</f>
      </c>
      <c r="IP20">
        <f>IF(ISBLANK('Data Entry'!$ĺ$20), "", 'Data Entry'!$ĺ$20)</f>
      </c>
      <c r="IQ20">
        <f>IF(ISBLANK('Data Entry'!$Ļ$20), "", 'Data Entry'!$Ļ$20)</f>
      </c>
      <c r="IR20">
        <f>IF(ISBLANK('Data Entry'!$ļ$20), "", 'Data Entry'!$ļ$20)</f>
      </c>
      <c r="IS20">
        <f>IF(ISBLANK('Data Entry'!$Ľ$20), "", 'Data Entry'!$Ľ$20)</f>
      </c>
      <c r="IT20">
        <f>IF(ISBLANK('Data Entry'!$ľ$20), "", 'Data Entry'!$ľ$20)</f>
      </c>
    </row>
    <row r="21" spans="1:254" x14ac:dyDescent="0.25">
      <c r="A21">
        <f>IF(ISBLANK('Data Entry'!$A$21), "", 'Data Entry'!$A$21)</f>
      </c>
      <c r="B21">
        <f>IF(ISBLANK('Data Entry'!$B$21), "", 'Data Entry'!$B$21)</f>
      </c>
      <c r="C21">
        <f>IF(ISBLANK('Data Entry'!$C$21), "", 'Data Entry'!$C$21)</f>
      </c>
      <c r="D21">
        <f>IF(ISBLANK('Data Entry'!$D$21), "", 'Data Entry'!$D$21)</f>
      </c>
      <c r="E21">
        <f>IF(ISBLANK('Data Entry'!$E$21), "", 'Data Entry'!$E$21)</f>
      </c>
      <c r="F21">
        <f>IF(ISBLANK('Data Entry'!$F$21), "", 'Data Entry'!$F$21)</f>
      </c>
      <c r="G21">
        <f>IF(ISBLANK('Data Entry'!$G$21), "", 'Data Entry'!$G$21)</f>
      </c>
      <c r="H21">
        <f>IF(ISBLANK('Data Entry'!$H$21), "", 'Data Entry'!$H$21)</f>
      </c>
      <c r="I21">
        <f>IF(ISBLANK('Data Entry'!$I$21), "", 'Data Entry'!$I$21)</f>
      </c>
      <c r="J21">
        <f>IF(ISBLANK('Data Entry'!$J$21), "", 'Data Entry'!$J$21)</f>
      </c>
      <c r="K21">
        <f>IF(ISBLANK('Data Entry'!$K$21), "", 'Data Entry'!$K$21)</f>
      </c>
      <c r="L21">
        <f>IF(ISBLANK('Data Entry'!$L$21), "", 'Data Entry'!$L$21)</f>
      </c>
      <c r="M21">
        <f>IF(ISBLANK('Data Entry'!$M$21), "", 'Data Entry'!$M$21)</f>
      </c>
      <c r="N21">
        <f>IF(ISBLANK('Data Entry'!$N$21), "", 'Data Entry'!$N$21)</f>
      </c>
      <c r="O21">
        <f>IF(ISBLANK('Data Entry'!$O$21), "", 'Data Entry'!$O$21)</f>
      </c>
      <c r="P21">
        <f>IF(ISBLANK('Data Entry'!$P$21), "", 'Data Entry'!$P$21)</f>
      </c>
      <c r="Q21">
        <f>IF(ISBLANK('Data Entry'!$Q$21), "", 'Data Entry'!$Q$21)</f>
      </c>
      <c r="R21">
        <f>IF(ISBLANK('Data Entry'!$R$21), "", 'Data Entry'!$R$21)</f>
      </c>
      <c r="S21">
        <f>IF(ISBLANK('Data Entry'!$S$21), "", 'Data Entry'!$S$21)</f>
      </c>
      <c r="T21">
        <f>IF(ISBLANK('Data Entry'!$T$21), "", 'Data Entry'!$T$21)</f>
      </c>
      <c r="U21">
        <f>IF(ISBLANK('Data Entry'!$U$21), "", 'Data Entry'!$U$21)</f>
      </c>
      <c r="V21">
        <f>IF(ISBLANK('Data Entry'!$V$21), "", 'Data Entry'!$V$21)</f>
      </c>
      <c r="W21">
        <f>IF(ISBLANK('Data Entry'!$W$21), "", 'Data Entry'!$W$21)</f>
      </c>
      <c r="X21">
        <f>IF(ISBLANK('Data Entry'!$X$21), "", 'Data Entry'!$X$21)</f>
      </c>
      <c r="Y21">
        <f>IF(ISBLANK('Data Entry'!$Y$21), "", 'Data Entry'!$Y$21)</f>
      </c>
      <c r="Z21">
        <f>IF(ISBLANK('Data Entry'!$Z$21), "", 'Data Entry'!$Z$21)</f>
      </c>
      <c r="AA21">
        <f>IF(ISBLANK('Data Entry'!$[$21), "", 'Data Entry'!$[$21)</f>
      </c>
      <c r="AB21">
        <f>IF(ISBLANK('Data Entry'!$\$21), "", 'Data Entry'!$\$21)</f>
      </c>
      <c r="AC21">
        <f>IF(ISBLANK('Data Entry'!$]$21), "", 'Data Entry'!$]$21)</f>
      </c>
      <c r="AD21">
        <f>IF(ISBLANK('Data Entry'!$^$21), "", 'Data Entry'!$^$21)</f>
      </c>
      <c r="AE21">
        <f>IF(ISBLANK('Data Entry'!$_$21), "", 'Data Entry'!$_$21)</f>
      </c>
      <c r="AF21">
        <f>IF(ISBLANK('Data Entry'!$`$21), "", 'Data Entry'!$`$21)</f>
      </c>
      <c r="AG21">
        <f>IF(ISBLANK('Data Entry'!$a$21), "", 'Data Entry'!$a$21)</f>
      </c>
      <c r="AH21">
        <f>IF(ISBLANK('Data Entry'!$b$21), "", 'Data Entry'!$b$21)</f>
      </c>
      <c r="AI21">
        <f>IF(ISBLANK('Data Entry'!$c$21), "", 'Data Entry'!$c$21)</f>
      </c>
      <c r="AJ21">
        <f>IF(ISBLANK('Data Entry'!$d$21), "", 'Data Entry'!$d$21)</f>
      </c>
      <c r="AK21">
        <f>IF(ISBLANK('Data Entry'!$e$21), "", 'Data Entry'!$e$21)</f>
      </c>
      <c r="AL21">
        <f>IF(ISBLANK('Data Entry'!$f$21), "", 'Data Entry'!$f$21)</f>
      </c>
      <c r="AM21">
        <f>IF(ISBLANK('Data Entry'!$g$21), "", 'Data Entry'!$g$21)</f>
      </c>
      <c r="AN21">
        <f>IF(ISBLANK('Data Entry'!$h$21), "", 'Data Entry'!$h$21)</f>
      </c>
      <c r="AO21">
        <f>IF(ISBLANK('Data Entry'!$i$21), "", 'Data Entry'!$i$21)</f>
      </c>
      <c r="AP21">
        <f>IF(ISBLANK('Data Entry'!$j$21), "", 'Data Entry'!$j$21)</f>
      </c>
      <c r="AQ21">
        <f>IF(ISBLANK('Data Entry'!$k$21), "", 'Data Entry'!$k$21)</f>
      </c>
      <c r="AR21">
        <f>IF(ISBLANK('Data Entry'!$l$21), "", 'Data Entry'!$l$21)</f>
      </c>
      <c r="AS21">
        <f>IF(ISBLANK('Data Entry'!$m$21), "", 'Data Entry'!$m$21)</f>
      </c>
      <c r="AT21">
        <f>IF(ISBLANK('Data Entry'!$n$21), "", 'Data Entry'!$n$21)</f>
      </c>
      <c r="AU21">
        <f>IF(ISBLANK('Data Entry'!$o$21), "", 'Data Entry'!$o$21)</f>
      </c>
      <c r="AV21">
        <f>IF(ISBLANK('Data Entry'!$p$21), "", 'Data Entry'!$p$21)</f>
      </c>
      <c r="AW21">
        <f>IF(ISBLANK('Data Entry'!$q$21), "", 'Data Entry'!$q$21)</f>
      </c>
      <c r="AX21">
        <f>IF(ISBLANK('Data Entry'!$r$21), "", 'Data Entry'!$r$21)</f>
      </c>
      <c r="AY21">
        <f>IF(ISBLANK('Data Entry'!$s$21), "", 'Data Entry'!$s$21)</f>
      </c>
      <c r="AZ21">
        <f>IF(ISBLANK('Data Entry'!$t$21), "", 'Data Entry'!$t$21)</f>
      </c>
      <c r="BA21">
        <f>IF(ISBLANK('Data Entry'!$u$21), "", 'Data Entry'!$u$21)</f>
      </c>
      <c r="BB21">
        <f>IF(ISBLANK('Data Entry'!$v$21), "", 'Data Entry'!$v$21)</f>
      </c>
      <c r="BC21">
        <f>IF(ISBLANK('Data Entry'!$w$21), "", 'Data Entry'!$w$21)</f>
      </c>
      <c r="BD21">
        <f>IF(ISBLANK('Data Entry'!$x$21), "", 'Data Entry'!$x$21)</f>
      </c>
      <c r="BE21">
        <f>IF(ISBLANK('Data Entry'!$y$21), "", 'Data Entry'!$y$21)</f>
      </c>
      <c r="BF21">
        <f>IF(ISBLANK('Data Entry'!$z$21), "", 'Data Entry'!$z$21)</f>
      </c>
      <c r="BG21">
        <f>IF(ISBLANK('Data Entry'!${$21), "", 'Data Entry'!${$21)</f>
      </c>
      <c r="BH21">
        <f>IF(ISBLANK('Data Entry'!$|$21), "", 'Data Entry'!$|$21)</f>
      </c>
      <c r="BI21">
        <f>IF(ISBLANK('Data Entry'!$}$21), "", 'Data Entry'!$}$21)</f>
      </c>
      <c r="BJ21">
        <f>IF(ISBLANK('Data Entry'!$~$21), "", 'Data Entry'!$~$21)</f>
      </c>
      <c r="BK21">
        <f>IF(ISBLANK('Data Entry'!$$21), "", 'Data Entry'!$$21)</f>
      </c>
      <c r="BL21">
        <f>IF(ISBLANK('Data Entry'!$$21), "", 'Data Entry'!$$21)</f>
      </c>
      <c r="BM21">
        <f>IF(ISBLANK('Data Entry'!$$21), "", 'Data Entry'!$$21)</f>
      </c>
      <c r="BN21">
        <f>IF(ISBLANK('Data Entry'!$$21), "", 'Data Entry'!$$21)</f>
      </c>
      <c r="BO21">
        <f>IF(ISBLANK('Data Entry'!$$21), "", 'Data Entry'!$$21)</f>
      </c>
      <c r="BP21">
        <f>IF(ISBLANK('Data Entry'!$$21), "", 'Data Entry'!$$21)</f>
      </c>
      <c r="BQ21">
        <f>IF(ISBLANK('Data Entry'!$$21), "", 'Data Entry'!$$21)</f>
      </c>
      <c r="BR21">
        <f>IF(ISBLANK('Data Entry'!$$21), "", 'Data Entry'!$$21)</f>
      </c>
      <c r="BS21">
        <f>IF(ISBLANK('Data Entry'!$$21), "", 'Data Entry'!$$21)</f>
      </c>
      <c r="BT21">
        <f>IF(ISBLANK('Data Entry'!$$21), "", 'Data Entry'!$$21)</f>
      </c>
      <c r="BU21">
        <f>IF(ISBLANK('Data Entry'!$$21), "", 'Data Entry'!$$21)</f>
      </c>
      <c r="BV21">
        <f>IF(ISBLANK('Data Entry'!$$21), "", 'Data Entry'!$$21)</f>
      </c>
      <c r="BW21">
        <f>IF(ISBLANK('Data Entry'!$$21), "", 'Data Entry'!$$21)</f>
      </c>
      <c r="BX21">
        <f>IF(ISBLANK('Data Entry'!$$21), "", 'Data Entry'!$$21)</f>
      </c>
      <c r="BY21">
        <f>IF(ISBLANK('Data Entry'!$$21), "", 'Data Entry'!$$21)</f>
      </c>
      <c r="BZ21">
        <f>IF(ISBLANK('Data Entry'!$$21), "", 'Data Entry'!$$21)</f>
      </c>
      <c r="CA21">
        <f>IF(ISBLANK('Data Entry'!$$21), "", 'Data Entry'!$$21)</f>
      </c>
      <c r="CB21">
        <f>IF(ISBLANK('Data Entry'!$$21), "", 'Data Entry'!$$21)</f>
      </c>
      <c r="CC21">
        <f>IF(ISBLANK('Data Entry'!$$21), "", 'Data Entry'!$$21)</f>
      </c>
      <c r="CD21">
        <f>IF(ISBLANK('Data Entry'!$$21), "", 'Data Entry'!$$21)</f>
      </c>
      <c r="CE21">
        <f>IF(ISBLANK('Data Entry'!$$21), "", 'Data Entry'!$$21)</f>
      </c>
      <c r="CF21">
        <f>IF(ISBLANK('Data Entry'!$$21), "", 'Data Entry'!$$21)</f>
      </c>
      <c r="CG21">
        <f>IF(ISBLANK('Data Entry'!$$21), "", 'Data Entry'!$$21)</f>
      </c>
      <c r="CH21">
        <f>IF(ISBLANK('Data Entry'!$$21), "", 'Data Entry'!$$21)</f>
      </c>
      <c r="CI21">
        <f>IF(ISBLANK('Data Entry'!$$21), "", 'Data Entry'!$$21)</f>
      </c>
      <c r="CJ21">
        <f>IF(ISBLANK('Data Entry'!$$21), "", 'Data Entry'!$$21)</f>
      </c>
      <c r="CK21">
        <f>IF(ISBLANK('Data Entry'!$$21), "", 'Data Entry'!$$21)</f>
      </c>
      <c r="CL21">
        <f>IF(ISBLANK('Data Entry'!$$21), "", 'Data Entry'!$$21)</f>
      </c>
      <c r="CM21">
        <f>IF(ISBLANK('Data Entry'!$$21), "", 'Data Entry'!$$21)</f>
      </c>
      <c r="CN21">
        <f>IF(ISBLANK('Data Entry'!$$21), "", 'Data Entry'!$$21)</f>
      </c>
      <c r="CO21">
        <f>IF(ISBLANK('Data Entry'!$$21), "", 'Data Entry'!$$21)</f>
      </c>
      <c r="CP21">
        <f>IF(ISBLANK('Data Entry'!$$21), "", 'Data Entry'!$$21)</f>
      </c>
      <c r="CQ21">
        <f>IF(ISBLANK('Data Entry'!$$21), "", 'Data Entry'!$$21)</f>
      </c>
      <c r="CR21">
        <f>IF(ISBLANK('Data Entry'!$ $21), "", 'Data Entry'!$ $21)</f>
      </c>
      <c r="CS21">
        <f>IF(ISBLANK('Data Entry'!$¡$21), "", 'Data Entry'!$¡$21)</f>
      </c>
      <c r="CT21">
        <f>IF(ISBLANK('Data Entry'!$¢$21), "", 'Data Entry'!$¢$21)</f>
      </c>
      <c r="CU21">
        <f>IF(ISBLANK('Data Entry'!$£$21), "", 'Data Entry'!$£$21)</f>
      </c>
      <c r="CV21">
        <f>IF(ISBLANK('Data Entry'!$¤$21), "", 'Data Entry'!$¤$21)</f>
      </c>
      <c r="CW21">
        <f>IF(ISBLANK('Data Entry'!$¥$21), "", 'Data Entry'!$¥$21)</f>
      </c>
      <c r="CX21">
        <f>IF(ISBLANK('Data Entry'!$¦$21), "", 'Data Entry'!$¦$21)</f>
      </c>
      <c r="CY21">
        <f>IF(ISBLANK('Data Entry'!$§$21), "", 'Data Entry'!$§$21)</f>
      </c>
      <c r="CZ21">
        <f>IF(ISBLANK('Data Entry'!$¨$21), "", 'Data Entry'!$¨$21)</f>
      </c>
      <c r="DA21">
        <f>IF(ISBLANK('Data Entry'!$©$21), "", 'Data Entry'!$©$21)</f>
      </c>
      <c r="DB21">
        <f>IF(ISBLANK('Data Entry'!$ª$21), "", 'Data Entry'!$ª$21)</f>
      </c>
      <c r="DC21">
        <f>IF(ISBLANK('Data Entry'!$«$21), "", 'Data Entry'!$«$21)</f>
      </c>
      <c r="DD21">
        <f>IF(ISBLANK('Data Entry'!$¬$21), "", 'Data Entry'!$¬$21)</f>
      </c>
      <c r="DE21">
        <f>IF(ISBLANK('Data Entry'!$­$21), "", 'Data Entry'!$­$21)</f>
      </c>
      <c r="DF21">
        <f>IF(ISBLANK('Data Entry'!$®$21), "", 'Data Entry'!$®$21)</f>
      </c>
      <c r="DG21">
        <f>IF(ISBLANK('Data Entry'!$¯$21), "", 'Data Entry'!$¯$21)</f>
      </c>
      <c r="DH21">
        <f>IF(ISBLANK('Data Entry'!$°$21), "", 'Data Entry'!$°$21)</f>
      </c>
      <c r="DI21">
        <f>IF(ISBLANK('Data Entry'!$±$21), "", 'Data Entry'!$±$21)</f>
      </c>
      <c r="DJ21">
        <f>IF(ISBLANK('Data Entry'!$²$21), "", 'Data Entry'!$²$21)</f>
      </c>
      <c r="DK21">
        <f>IF(ISBLANK('Data Entry'!$³$21), "", 'Data Entry'!$³$21)</f>
      </c>
      <c r="DL21">
        <f>IF(ISBLANK('Data Entry'!$´$21), "", 'Data Entry'!$´$21)</f>
      </c>
      <c r="DM21">
        <f>IF(ISBLANK('Data Entry'!$µ$21), "", 'Data Entry'!$µ$21)</f>
      </c>
      <c r="DN21">
        <f>IF(ISBLANK('Data Entry'!$¶$21), "", 'Data Entry'!$¶$21)</f>
      </c>
      <c r="DO21">
        <f>IF(ISBLANK('Data Entry'!$·$21), "", 'Data Entry'!$·$21)</f>
      </c>
      <c r="DP21">
        <f>IF(ISBLANK('Data Entry'!$¸$21), "", 'Data Entry'!$¸$21)</f>
      </c>
      <c r="DQ21">
        <f>IF(ISBLANK('Data Entry'!$¹$21), "", 'Data Entry'!$¹$21)</f>
      </c>
      <c r="DR21">
        <f>IF(ISBLANK('Data Entry'!$º$21), "", 'Data Entry'!$º$21)</f>
      </c>
      <c r="DS21">
        <f>IF(ISBLANK('Data Entry'!$»$21), "", 'Data Entry'!$»$21)</f>
      </c>
      <c r="DT21">
        <f>IF(ISBLANK('Data Entry'!$¼$21), "", 'Data Entry'!$¼$21)</f>
      </c>
      <c r="DU21">
        <f>IF(ISBLANK('Data Entry'!$½$21), "", 'Data Entry'!$½$21)</f>
      </c>
      <c r="DV21">
        <f>IF(ISBLANK('Data Entry'!$¾$21), "", 'Data Entry'!$¾$21)</f>
      </c>
      <c r="DW21">
        <f>IF(ISBLANK('Data Entry'!$¿$21), "", 'Data Entry'!$¿$21)</f>
      </c>
      <c r="DX21">
        <f>IF(ISBLANK('Data Entry'!$À$21), "", 'Data Entry'!$À$21)</f>
      </c>
      <c r="DY21">
        <f>IF(ISBLANK('Data Entry'!$Á$21), "", 'Data Entry'!$Á$21)</f>
      </c>
      <c r="DZ21">
        <f>IF(ISBLANK('Data Entry'!$Â$21), "", 'Data Entry'!$Â$21)</f>
      </c>
      <c r="EA21">
        <f>IF(ISBLANK('Data Entry'!$Ã$21), "", 'Data Entry'!$Ã$21)</f>
      </c>
      <c r="EB21">
        <f>IF(ISBLANK('Data Entry'!$Ä$21), "", 'Data Entry'!$Ä$21)</f>
      </c>
      <c r="EC21">
        <f>IF(ISBLANK('Data Entry'!$Å$21), "", 'Data Entry'!$Å$21)</f>
      </c>
      <c r="ED21">
        <f>IF(ISBLANK('Data Entry'!$Æ$21), "", 'Data Entry'!$Æ$21)</f>
      </c>
      <c r="EE21">
        <f>IF(ISBLANK('Data Entry'!$Ç$21), "", 'Data Entry'!$Ç$21)</f>
      </c>
      <c r="EF21">
        <f>IF(ISBLANK('Data Entry'!$È$21), "", 'Data Entry'!$È$21)</f>
      </c>
      <c r="EG21">
        <f>IF(ISBLANK('Data Entry'!$É$21), "", 'Data Entry'!$É$21)</f>
      </c>
      <c r="EH21">
        <f>IF(ISBLANK('Data Entry'!$Ê$21), "", 'Data Entry'!$Ê$21)</f>
      </c>
      <c r="EI21">
        <f>IF(ISBLANK('Data Entry'!$Ë$21), "", 'Data Entry'!$Ë$21)</f>
      </c>
      <c r="EJ21">
        <f>IF(ISBLANK('Data Entry'!$Ì$21), "", 'Data Entry'!$Ì$21)</f>
      </c>
      <c r="EK21">
        <f>IF(ISBLANK('Data Entry'!$Í$21), "", 'Data Entry'!$Í$21)</f>
      </c>
      <c r="EL21">
        <f>IF(ISBLANK('Data Entry'!$Î$21), "", 'Data Entry'!$Î$21)</f>
      </c>
      <c r="EM21">
        <f>IF(ISBLANK('Data Entry'!$Ï$21), "", 'Data Entry'!$Ï$21)</f>
      </c>
      <c r="EN21">
        <f>IF(ISBLANK('Data Entry'!$Ð$21), "", 'Data Entry'!$Ð$21)</f>
      </c>
      <c r="EO21">
        <f>IF(ISBLANK('Data Entry'!$Ñ$21), "", 'Data Entry'!$Ñ$21)</f>
      </c>
      <c r="EP21">
        <f>IF(ISBLANK('Data Entry'!$Ò$21), "", 'Data Entry'!$Ò$21)</f>
      </c>
      <c r="EQ21">
        <f>IF(ISBLANK('Data Entry'!$Ó$21), "", 'Data Entry'!$Ó$21)</f>
      </c>
      <c r="ER21">
        <f>IF(ISBLANK('Data Entry'!$Ô$21), "", 'Data Entry'!$Ô$21)</f>
      </c>
      <c r="ES21">
        <f>IF(ISBLANK('Data Entry'!$Õ$21), "", 'Data Entry'!$Õ$21)</f>
      </c>
      <c r="ET21">
        <f>IF(ISBLANK('Data Entry'!$Ö$21), "", 'Data Entry'!$Ö$21)</f>
      </c>
      <c r="EU21">
        <f>IF(ISBLANK('Data Entry'!$×$21), "", 'Data Entry'!$×$21)</f>
      </c>
      <c r="EV21">
        <f>IF(ISBLANK('Data Entry'!$Ø$21), "", 'Data Entry'!$Ø$21)</f>
      </c>
      <c r="EW21">
        <f>IF(ISBLANK('Data Entry'!$Ù$21), "", 'Data Entry'!$Ù$21)</f>
      </c>
      <c r="EX21">
        <f>IF(ISBLANK('Data Entry'!$Ú$21), "", 'Data Entry'!$Ú$21)</f>
      </c>
      <c r="EY21">
        <f>IF(ISBLANK('Data Entry'!$Û$21), "", 'Data Entry'!$Û$21)</f>
      </c>
      <c r="EZ21">
        <f>IF(ISBLANK('Data Entry'!$Ü$21), "", 'Data Entry'!$Ü$21)</f>
      </c>
      <c r="FA21">
        <f>IF(ISBLANK('Data Entry'!$Ý$21), "", 'Data Entry'!$Ý$21)</f>
      </c>
      <c r="FB21">
        <f>IF(ISBLANK('Data Entry'!$Þ$21), "", 'Data Entry'!$Þ$21)</f>
      </c>
      <c r="FC21">
        <f>IF(ISBLANK('Data Entry'!$ß$21), "", 'Data Entry'!$ß$21)</f>
      </c>
      <c r="FD21">
        <f>IF(ISBLANK('Data Entry'!$à$21), "", 'Data Entry'!$à$21)</f>
      </c>
      <c r="FE21">
        <f>IF(ISBLANK('Data Entry'!$á$21), "", 'Data Entry'!$á$21)</f>
      </c>
      <c r="FF21">
        <f>IF(ISBLANK('Data Entry'!$â$21), "", 'Data Entry'!$â$21)</f>
      </c>
      <c r="FG21">
        <f>IF(ISBLANK('Data Entry'!$ã$21), "", 'Data Entry'!$ã$21)</f>
      </c>
      <c r="FH21">
        <f>IF(ISBLANK('Data Entry'!$ä$21), "", 'Data Entry'!$ä$21)</f>
      </c>
      <c r="FI21">
        <f>IF(ISBLANK('Data Entry'!$å$21), "", 'Data Entry'!$å$21)</f>
      </c>
      <c r="FJ21">
        <f>IF(ISBLANK('Data Entry'!$æ$21), "", 'Data Entry'!$æ$21)</f>
      </c>
      <c r="FK21">
        <f>IF(ISBLANK('Data Entry'!$ç$21), "", 'Data Entry'!$ç$21)</f>
      </c>
      <c r="FL21">
        <f>IF(ISBLANK('Data Entry'!$è$21), "", 'Data Entry'!$è$21)</f>
      </c>
      <c r="FM21">
        <f>IF(ISBLANK('Data Entry'!$é$21), "", 'Data Entry'!$é$21)</f>
      </c>
      <c r="FN21">
        <f>IF(ISBLANK('Data Entry'!$ê$21), "", 'Data Entry'!$ê$21)</f>
      </c>
      <c r="FO21">
        <f>IF(ISBLANK('Data Entry'!$ë$21), "", 'Data Entry'!$ë$21)</f>
      </c>
      <c r="FP21">
        <f>IF(ISBLANK('Data Entry'!$ì$21), "", 'Data Entry'!$ì$21)</f>
      </c>
      <c r="FQ21">
        <f>IF(ISBLANK('Data Entry'!$í$21), "", 'Data Entry'!$í$21)</f>
      </c>
      <c r="FR21">
        <f>IF(ISBLANK('Data Entry'!$î$21), "", 'Data Entry'!$î$21)</f>
      </c>
      <c r="FS21">
        <f>IF(ISBLANK('Data Entry'!$ï$21), "", 'Data Entry'!$ï$21)</f>
      </c>
      <c r="FT21">
        <f>IF(ISBLANK('Data Entry'!$ð$21), "", 'Data Entry'!$ð$21)</f>
      </c>
      <c r="FU21">
        <f>IF(ISBLANK('Data Entry'!$ñ$21), "", 'Data Entry'!$ñ$21)</f>
      </c>
      <c r="FV21">
        <f>IF(ISBLANK('Data Entry'!$ò$21), "", 'Data Entry'!$ò$21)</f>
      </c>
      <c r="FW21">
        <f>IF(ISBLANK('Data Entry'!$ó$21), "", 'Data Entry'!$ó$21)</f>
      </c>
      <c r="FX21">
        <f>IF(ISBLANK('Data Entry'!$ô$21), "", 'Data Entry'!$ô$21)</f>
      </c>
      <c r="FY21">
        <f>IF(ISBLANK('Data Entry'!$õ$21), "", 'Data Entry'!$õ$21)</f>
      </c>
      <c r="FZ21">
        <f>IF(ISBLANK('Data Entry'!$ö$21), "", 'Data Entry'!$ö$21)</f>
      </c>
      <c r="GA21">
        <f>IF(ISBLANK('Data Entry'!$÷$21), "", 'Data Entry'!$÷$21)</f>
      </c>
      <c r="GB21">
        <f>IF(ISBLANK('Data Entry'!$ø$21), "", 'Data Entry'!$ø$21)</f>
      </c>
      <c r="GC21">
        <f>IF(ISBLANK('Data Entry'!$ù$21), "", 'Data Entry'!$ù$21)</f>
      </c>
      <c r="GD21">
        <f>IF(ISBLANK('Data Entry'!$ú$21), "", 'Data Entry'!$ú$21)</f>
      </c>
      <c r="GE21">
        <f>IF(ISBLANK('Data Entry'!$û$21), "", 'Data Entry'!$û$21)</f>
      </c>
      <c r="GF21">
        <f>IF(ISBLANK('Data Entry'!$ü$21), "", 'Data Entry'!$ü$21)</f>
      </c>
      <c r="GG21">
        <f>IF(ISBLANK('Data Entry'!$ý$21), "", 'Data Entry'!$ý$21)</f>
      </c>
      <c r="GH21">
        <f>IF(ISBLANK('Data Entry'!$þ$21), "", 'Data Entry'!$þ$21)</f>
      </c>
      <c r="GI21">
        <f>IF(ISBLANK('Data Entry'!$ÿ$21), "", 'Data Entry'!$ÿ$21)</f>
      </c>
      <c r="GJ21">
        <f>IF(ISBLANK('Data Entry'!$Ā$21), "", 'Data Entry'!$Ā$21)</f>
      </c>
      <c r="GK21">
        <f>IF(ISBLANK('Data Entry'!$ā$21), "", 'Data Entry'!$ā$21)</f>
      </c>
      <c r="GL21">
        <f>IF(ISBLANK('Data Entry'!$Ă$21), "", 'Data Entry'!$Ă$21)</f>
      </c>
      <c r="GM21">
        <f>IF(ISBLANK('Data Entry'!$ă$21), "", 'Data Entry'!$ă$21)</f>
      </c>
      <c r="GN21">
        <f>IF(ISBLANK('Data Entry'!$Ą$21), "", 'Data Entry'!$Ą$21)</f>
      </c>
      <c r="GO21">
        <f>IF(ISBLANK('Data Entry'!$ą$21), "", 'Data Entry'!$ą$21)</f>
      </c>
      <c r="GP21">
        <f>IF(ISBLANK('Data Entry'!$Ć$21), "", 'Data Entry'!$Ć$21)</f>
      </c>
      <c r="GQ21">
        <f>IF(ISBLANK('Data Entry'!$ć$21), "", 'Data Entry'!$ć$21)</f>
      </c>
      <c r="GR21">
        <f>IF(ISBLANK('Data Entry'!$Ĉ$21), "", 'Data Entry'!$Ĉ$21)</f>
      </c>
      <c r="GS21">
        <f>IF(ISBLANK('Data Entry'!$ĉ$21), "", 'Data Entry'!$ĉ$21)</f>
      </c>
      <c r="GT21">
        <f>IF(ISBLANK('Data Entry'!$Ċ$21), "", 'Data Entry'!$Ċ$21)</f>
      </c>
      <c r="GU21">
        <f>IF(ISBLANK('Data Entry'!$ċ$21), "", 'Data Entry'!$ċ$21)</f>
      </c>
      <c r="GV21">
        <f>IF(ISBLANK('Data Entry'!$Č$21), "", 'Data Entry'!$Č$21)</f>
      </c>
      <c r="GW21">
        <f>IF(ISBLANK('Data Entry'!$č$21), "", 'Data Entry'!$č$21)</f>
      </c>
      <c r="GX21">
        <f>IF(ISBLANK('Data Entry'!$Ď$21), "", 'Data Entry'!$Ď$21)</f>
      </c>
      <c r="GY21">
        <f>IF(ISBLANK('Data Entry'!$ď$21), "", 'Data Entry'!$ď$21)</f>
      </c>
      <c r="GZ21">
        <f>IF(ISBLANK('Data Entry'!$Đ$21), "", 'Data Entry'!$Đ$21)</f>
      </c>
      <c r="HA21">
        <f>IF(ISBLANK('Data Entry'!$đ$21), "", 'Data Entry'!$đ$21)</f>
      </c>
      <c r="HB21">
        <f>IF(ISBLANK('Data Entry'!$Ē$21), "", 'Data Entry'!$Ē$21)</f>
      </c>
      <c r="HC21">
        <f>IF(ISBLANK('Data Entry'!$ē$21), "", 'Data Entry'!$ē$21)</f>
      </c>
      <c r="HD21">
        <f>IF(ISBLANK('Data Entry'!$Ĕ$21), "", 'Data Entry'!$Ĕ$21)</f>
      </c>
      <c r="HE21">
        <f>IF(ISBLANK('Data Entry'!$ĕ$21), "", 'Data Entry'!$ĕ$21)</f>
      </c>
      <c r="HF21">
        <f>IF(ISBLANK('Data Entry'!$Ė$21), "", 'Data Entry'!$Ė$21)</f>
      </c>
      <c r="HG21">
        <f>IF(ISBLANK('Data Entry'!$ė$21), "", 'Data Entry'!$ė$21)</f>
      </c>
      <c r="HH21">
        <f>IF(ISBLANK('Data Entry'!$Ę$21), "", 'Data Entry'!$Ę$21)</f>
      </c>
      <c r="HI21">
        <f>IF(ISBLANK('Data Entry'!$ę$21), "", 'Data Entry'!$ę$21)</f>
      </c>
      <c r="HJ21">
        <f>IF(ISBLANK('Data Entry'!$Ě$21), "", 'Data Entry'!$Ě$21)</f>
      </c>
      <c r="HK21">
        <f>IF(ISBLANK('Data Entry'!$ě$21), "", 'Data Entry'!$ě$21)</f>
      </c>
      <c r="HL21">
        <f>IF(ISBLANK('Data Entry'!$Ĝ$21), "", 'Data Entry'!$Ĝ$21)</f>
      </c>
      <c r="HM21">
        <f>IF(ISBLANK('Data Entry'!$ĝ$21), "", 'Data Entry'!$ĝ$21)</f>
      </c>
      <c r="HN21">
        <f>IF(ISBLANK('Data Entry'!$Ğ$21), "", 'Data Entry'!$Ğ$21)</f>
      </c>
      <c r="HO21">
        <f>IF(ISBLANK('Data Entry'!$ğ$21), "", 'Data Entry'!$ğ$21)</f>
      </c>
      <c r="HP21">
        <f>IF(ISBLANK('Data Entry'!$Ġ$21), "", 'Data Entry'!$Ġ$21)</f>
      </c>
      <c r="HQ21">
        <f>IF(ISBLANK('Data Entry'!$ġ$21), "", 'Data Entry'!$ġ$21)</f>
      </c>
      <c r="HR21">
        <f>IF(ISBLANK('Data Entry'!$Ģ$21), "", 'Data Entry'!$Ģ$21)</f>
      </c>
      <c r="HS21">
        <f>IF(ISBLANK('Data Entry'!$ģ$21), "", 'Data Entry'!$ģ$21)</f>
      </c>
      <c r="HT21">
        <f>IF(ISBLANK('Data Entry'!$Ĥ$21), "", 'Data Entry'!$Ĥ$21)</f>
      </c>
      <c r="HU21">
        <f>IF(ISBLANK('Data Entry'!$ĥ$21), "", 'Data Entry'!$ĥ$21)</f>
      </c>
      <c r="HV21">
        <f>IF(ISBLANK('Data Entry'!$Ħ$21), "", 'Data Entry'!$Ħ$21)</f>
      </c>
      <c r="HW21">
        <f>IF(ISBLANK('Data Entry'!$ħ$21), "", 'Data Entry'!$ħ$21)</f>
      </c>
      <c r="HX21">
        <f>IF(ISBLANK('Data Entry'!$Ĩ$21), "", 'Data Entry'!$Ĩ$21)</f>
      </c>
      <c r="HY21">
        <f>IF(ISBLANK('Data Entry'!$ĩ$21), "", 'Data Entry'!$ĩ$21)</f>
      </c>
      <c r="HZ21">
        <f>IF(ISBLANK('Data Entry'!$Ī$21), "", 'Data Entry'!$Ī$21)</f>
      </c>
      <c r="IA21">
        <f>IF(ISBLANK('Data Entry'!$ī$21), "", 'Data Entry'!$ī$21)</f>
      </c>
      <c r="IB21">
        <f>IF(ISBLANK('Data Entry'!$Ĭ$21), "", 'Data Entry'!$Ĭ$21)</f>
      </c>
      <c r="IC21">
        <f>IF(ISBLANK('Data Entry'!$ĭ$21), "", 'Data Entry'!$ĭ$21)</f>
      </c>
      <c r="ID21">
        <f>IF(ISBLANK('Data Entry'!$Į$21), "", 'Data Entry'!$Į$21)</f>
      </c>
      <c r="IE21">
        <f>IF(ISBLANK('Data Entry'!$į$21), "", 'Data Entry'!$į$21)</f>
      </c>
      <c r="IF21">
        <f>IF(ISBLANK('Data Entry'!$İ$21), "", 'Data Entry'!$İ$21)</f>
      </c>
      <c r="IG21">
        <f>IF(ISBLANK('Data Entry'!$ı$21), "", 'Data Entry'!$ı$21)</f>
      </c>
      <c r="IH21">
        <f>IF(ISBLANK('Data Entry'!$Ĳ$21), "", 'Data Entry'!$Ĳ$21)</f>
      </c>
      <c r="II21">
        <f>IF(ISBLANK('Data Entry'!$ĳ$21), "", 'Data Entry'!$ĳ$21)</f>
      </c>
      <c r="IJ21">
        <f>IF(ISBLANK('Data Entry'!$Ĵ$21), "", 'Data Entry'!$Ĵ$21)</f>
      </c>
      <c r="IK21">
        <f>IF(ISBLANK('Data Entry'!$ĵ$21), "", 'Data Entry'!$ĵ$21)</f>
      </c>
      <c r="IL21">
        <f>IF(ISBLANK('Data Entry'!$Ķ$21), "", 'Data Entry'!$Ķ$21)</f>
      </c>
      <c r="IM21">
        <f>IF(ISBLANK('Data Entry'!$ķ$21), "", 'Data Entry'!$ķ$21)</f>
      </c>
      <c r="IN21">
        <f>IF(ISBLANK('Data Entry'!$ĸ$21), "", 'Data Entry'!$ĸ$21)</f>
      </c>
      <c r="IO21">
        <f>IF(ISBLANK('Data Entry'!$Ĺ$21), "", 'Data Entry'!$Ĺ$21)</f>
      </c>
      <c r="IP21">
        <f>IF(ISBLANK('Data Entry'!$ĺ$21), "", 'Data Entry'!$ĺ$21)</f>
      </c>
      <c r="IQ21">
        <f>IF(ISBLANK('Data Entry'!$Ļ$21), "", 'Data Entry'!$Ļ$21)</f>
      </c>
      <c r="IR21">
        <f>IF(ISBLANK('Data Entry'!$ļ$21), "", 'Data Entry'!$ļ$21)</f>
      </c>
      <c r="IS21">
        <f>IF(ISBLANK('Data Entry'!$Ľ$21), "", 'Data Entry'!$Ľ$21)</f>
      </c>
      <c r="IT21">
        <f>IF(ISBLANK('Data Entry'!$ľ$21), "", 'Data Entry'!$ľ$21)</f>
      </c>
    </row>
    <row r="22" spans="1:254" x14ac:dyDescent="0.25">
      <c r="A22">
        <f>IF(ISBLANK('Data Entry'!$A$22), "", 'Data Entry'!$A$22)</f>
      </c>
      <c r="B22">
        <f>IF(ISBLANK('Data Entry'!$B$22), "", 'Data Entry'!$B$22)</f>
      </c>
      <c r="C22">
        <f>IF(ISBLANK('Data Entry'!$C$22), "", 'Data Entry'!$C$22)</f>
      </c>
      <c r="D22">
        <f>IF(ISBLANK('Data Entry'!$D$22), "", 'Data Entry'!$D$22)</f>
      </c>
      <c r="E22">
        <f>IF(ISBLANK('Data Entry'!$E$22), "", 'Data Entry'!$E$22)</f>
      </c>
      <c r="F22">
        <f>IF(ISBLANK('Data Entry'!$F$22), "", 'Data Entry'!$F$22)</f>
      </c>
      <c r="G22">
        <f>IF(ISBLANK('Data Entry'!$G$22), "", 'Data Entry'!$G$22)</f>
      </c>
      <c r="H22">
        <f>IF(ISBLANK('Data Entry'!$H$22), "", 'Data Entry'!$H$22)</f>
      </c>
      <c r="I22">
        <f>IF(ISBLANK('Data Entry'!$I$22), "", 'Data Entry'!$I$22)</f>
      </c>
      <c r="J22">
        <f>IF(ISBLANK('Data Entry'!$J$22), "", 'Data Entry'!$J$22)</f>
      </c>
      <c r="K22">
        <f>IF(ISBLANK('Data Entry'!$K$22), "", 'Data Entry'!$K$22)</f>
      </c>
      <c r="L22">
        <f>IF(ISBLANK('Data Entry'!$L$22), "", 'Data Entry'!$L$22)</f>
      </c>
      <c r="M22">
        <f>IF(ISBLANK('Data Entry'!$M$22), "", 'Data Entry'!$M$22)</f>
      </c>
      <c r="N22">
        <f>IF(ISBLANK('Data Entry'!$N$22), "", 'Data Entry'!$N$22)</f>
      </c>
      <c r="O22">
        <f>IF(ISBLANK('Data Entry'!$O$22), "", 'Data Entry'!$O$22)</f>
      </c>
      <c r="P22">
        <f>IF(ISBLANK('Data Entry'!$P$22), "", 'Data Entry'!$P$22)</f>
      </c>
      <c r="Q22">
        <f>IF(ISBLANK('Data Entry'!$Q$22), "", 'Data Entry'!$Q$22)</f>
      </c>
      <c r="R22">
        <f>IF(ISBLANK('Data Entry'!$R$22), "", 'Data Entry'!$R$22)</f>
      </c>
      <c r="S22">
        <f>IF(ISBLANK('Data Entry'!$S$22), "", 'Data Entry'!$S$22)</f>
      </c>
      <c r="T22">
        <f>IF(ISBLANK('Data Entry'!$T$22), "", 'Data Entry'!$T$22)</f>
      </c>
      <c r="U22">
        <f>IF(ISBLANK('Data Entry'!$U$22), "", 'Data Entry'!$U$22)</f>
      </c>
      <c r="V22">
        <f>IF(ISBLANK('Data Entry'!$V$22), "", 'Data Entry'!$V$22)</f>
      </c>
      <c r="W22">
        <f>IF(ISBLANK('Data Entry'!$W$22), "", 'Data Entry'!$W$22)</f>
      </c>
      <c r="X22">
        <f>IF(ISBLANK('Data Entry'!$X$22), "", 'Data Entry'!$X$22)</f>
      </c>
      <c r="Y22">
        <f>IF(ISBLANK('Data Entry'!$Y$22), "", 'Data Entry'!$Y$22)</f>
      </c>
      <c r="Z22">
        <f>IF(ISBLANK('Data Entry'!$Z$22), "", 'Data Entry'!$Z$22)</f>
      </c>
      <c r="AA22">
        <f>IF(ISBLANK('Data Entry'!$[$22), "", 'Data Entry'!$[$22)</f>
      </c>
      <c r="AB22">
        <f>IF(ISBLANK('Data Entry'!$\$22), "", 'Data Entry'!$\$22)</f>
      </c>
      <c r="AC22">
        <f>IF(ISBLANK('Data Entry'!$]$22), "", 'Data Entry'!$]$22)</f>
      </c>
      <c r="AD22">
        <f>IF(ISBLANK('Data Entry'!$^$22), "", 'Data Entry'!$^$22)</f>
      </c>
      <c r="AE22">
        <f>IF(ISBLANK('Data Entry'!$_$22), "", 'Data Entry'!$_$22)</f>
      </c>
      <c r="AF22">
        <f>IF(ISBLANK('Data Entry'!$`$22), "", 'Data Entry'!$`$22)</f>
      </c>
      <c r="AG22">
        <f>IF(ISBLANK('Data Entry'!$a$22), "", 'Data Entry'!$a$22)</f>
      </c>
      <c r="AH22">
        <f>IF(ISBLANK('Data Entry'!$b$22), "", 'Data Entry'!$b$22)</f>
      </c>
      <c r="AI22">
        <f>IF(ISBLANK('Data Entry'!$c$22), "", 'Data Entry'!$c$22)</f>
      </c>
      <c r="AJ22">
        <f>IF(ISBLANK('Data Entry'!$d$22), "", 'Data Entry'!$d$22)</f>
      </c>
      <c r="AK22">
        <f>IF(ISBLANK('Data Entry'!$e$22), "", 'Data Entry'!$e$22)</f>
      </c>
      <c r="AL22">
        <f>IF(ISBLANK('Data Entry'!$f$22), "", 'Data Entry'!$f$22)</f>
      </c>
      <c r="AM22">
        <f>IF(ISBLANK('Data Entry'!$g$22), "", 'Data Entry'!$g$22)</f>
      </c>
      <c r="AN22">
        <f>IF(ISBLANK('Data Entry'!$h$22), "", 'Data Entry'!$h$22)</f>
      </c>
      <c r="AO22">
        <f>IF(ISBLANK('Data Entry'!$i$22), "", 'Data Entry'!$i$22)</f>
      </c>
      <c r="AP22">
        <f>IF(ISBLANK('Data Entry'!$j$22), "", 'Data Entry'!$j$22)</f>
      </c>
      <c r="AQ22">
        <f>IF(ISBLANK('Data Entry'!$k$22), "", 'Data Entry'!$k$22)</f>
      </c>
      <c r="AR22">
        <f>IF(ISBLANK('Data Entry'!$l$22), "", 'Data Entry'!$l$22)</f>
      </c>
      <c r="AS22">
        <f>IF(ISBLANK('Data Entry'!$m$22), "", 'Data Entry'!$m$22)</f>
      </c>
      <c r="AT22">
        <f>IF(ISBLANK('Data Entry'!$n$22), "", 'Data Entry'!$n$22)</f>
      </c>
      <c r="AU22">
        <f>IF(ISBLANK('Data Entry'!$o$22), "", 'Data Entry'!$o$22)</f>
      </c>
      <c r="AV22">
        <f>IF(ISBLANK('Data Entry'!$p$22), "", 'Data Entry'!$p$22)</f>
      </c>
      <c r="AW22">
        <f>IF(ISBLANK('Data Entry'!$q$22), "", 'Data Entry'!$q$22)</f>
      </c>
      <c r="AX22">
        <f>IF(ISBLANK('Data Entry'!$r$22), "", 'Data Entry'!$r$22)</f>
      </c>
      <c r="AY22">
        <f>IF(ISBLANK('Data Entry'!$s$22), "", 'Data Entry'!$s$22)</f>
      </c>
      <c r="AZ22">
        <f>IF(ISBLANK('Data Entry'!$t$22), "", 'Data Entry'!$t$22)</f>
      </c>
      <c r="BA22">
        <f>IF(ISBLANK('Data Entry'!$u$22), "", 'Data Entry'!$u$22)</f>
      </c>
      <c r="BB22">
        <f>IF(ISBLANK('Data Entry'!$v$22), "", 'Data Entry'!$v$22)</f>
      </c>
      <c r="BC22">
        <f>IF(ISBLANK('Data Entry'!$w$22), "", 'Data Entry'!$w$22)</f>
      </c>
      <c r="BD22">
        <f>IF(ISBLANK('Data Entry'!$x$22), "", 'Data Entry'!$x$22)</f>
      </c>
      <c r="BE22">
        <f>IF(ISBLANK('Data Entry'!$y$22), "", 'Data Entry'!$y$22)</f>
      </c>
      <c r="BF22">
        <f>IF(ISBLANK('Data Entry'!$z$22), "", 'Data Entry'!$z$22)</f>
      </c>
      <c r="BG22">
        <f>IF(ISBLANK('Data Entry'!${$22), "", 'Data Entry'!${$22)</f>
      </c>
      <c r="BH22">
        <f>IF(ISBLANK('Data Entry'!$|$22), "", 'Data Entry'!$|$22)</f>
      </c>
      <c r="BI22">
        <f>IF(ISBLANK('Data Entry'!$}$22), "", 'Data Entry'!$}$22)</f>
      </c>
      <c r="BJ22">
        <f>IF(ISBLANK('Data Entry'!$~$22), "", 'Data Entry'!$~$22)</f>
      </c>
      <c r="BK22">
        <f>IF(ISBLANK('Data Entry'!$$22), "", 'Data Entry'!$$22)</f>
      </c>
      <c r="BL22">
        <f>IF(ISBLANK('Data Entry'!$$22), "", 'Data Entry'!$$22)</f>
      </c>
      <c r="BM22">
        <f>IF(ISBLANK('Data Entry'!$$22), "", 'Data Entry'!$$22)</f>
      </c>
      <c r="BN22">
        <f>IF(ISBLANK('Data Entry'!$$22), "", 'Data Entry'!$$22)</f>
      </c>
      <c r="BO22">
        <f>IF(ISBLANK('Data Entry'!$$22), "", 'Data Entry'!$$22)</f>
      </c>
      <c r="BP22">
        <f>IF(ISBLANK('Data Entry'!$$22), "", 'Data Entry'!$$22)</f>
      </c>
      <c r="BQ22">
        <f>IF(ISBLANK('Data Entry'!$$22), "", 'Data Entry'!$$22)</f>
      </c>
      <c r="BR22">
        <f>IF(ISBLANK('Data Entry'!$$22), "", 'Data Entry'!$$22)</f>
      </c>
      <c r="BS22">
        <f>IF(ISBLANK('Data Entry'!$$22), "", 'Data Entry'!$$22)</f>
      </c>
      <c r="BT22">
        <f>IF(ISBLANK('Data Entry'!$$22), "", 'Data Entry'!$$22)</f>
      </c>
      <c r="BU22">
        <f>IF(ISBLANK('Data Entry'!$$22), "", 'Data Entry'!$$22)</f>
      </c>
      <c r="BV22">
        <f>IF(ISBLANK('Data Entry'!$$22), "", 'Data Entry'!$$22)</f>
      </c>
      <c r="BW22">
        <f>IF(ISBLANK('Data Entry'!$$22), "", 'Data Entry'!$$22)</f>
      </c>
      <c r="BX22">
        <f>IF(ISBLANK('Data Entry'!$$22), "", 'Data Entry'!$$22)</f>
      </c>
      <c r="BY22">
        <f>IF(ISBLANK('Data Entry'!$$22), "", 'Data Entry'!$$22)</f>
      </c>
      <c r="BZ22">
        <f>IF(ISBLANK('Data Entry'!$$22), "", 'Data Entry'!$$22)</f>
      </c>
      <c r="CA22">
        <f>IF(ISBLANK('Data Entry'!$$22), "", 'Data Entry'!$$22)</f>
      </c>
      <c r="CB22">
        <f>IF(ISBLANK('Data Entry'!$$22), "", 'Data Entry'!$$22)</f>
      </c>
      <c r="CC22">
        <f>IF(ISBLANK('Data Entry'!$$22), "", 'Data Entry'!$$22)</f>
      </c>
      <c r="CD22">
        <f>IF(ISBLANK('Data Entry'!$$22), "", 'Data Entry'!$$22)</f>
      </c>
      <c r="CE22">
        <f>IF(ISBLANK('Data Entry'!$$22), "", 'Data Entry'!$$22)</f>
      </c>
      <c r="CF22">
        <f>IF(ISBLANK('Data Entry'!$$22), "", 'Data Entry'!$$22)</f>
      </c>
      <c r="CG22">
        <f>IF(ISBLANK('Data Entry'!$$22), "", 'Data Entry'!$$22)</f>
      </c>
      <c r="CH22">
        <f>IF(ISBLANK('Data Entry'!$$22), "", 'Data Entry'!$$22)</f>
      </c>
      <c r="CI22">
        <f>IF(ISBLANK('Data Entry'!$$22), "", 'Data Entry'!$$22)</f>
      </c>
      <c r="CJ22">
        <f>IF(ISBLANK('Data Entry'!$$22), "", 'Data Entry'!$$22)</f>
      </c>
      <c r="CK22">
        <f>IF(ISBLANK('Data Entry'!$$22), "", 'Data Entry'!$$22)</f>
      </c>
      <c r="CL22">
        <f>IF(ISBLANK('Data Entry'!$$22), "", 'Data Entry'!$$22)</f>
      </c>
      <c r="CM22">
        <f>IF(ISBLANK('Data Entry'!$$22), "", 'Data Entry'!$$22)</f>
      </c>
      <c r="CN22">
        <f>IF(ISBLANK('Data Entry'!$$22), "", 'Data Entry'!$$22)</f>
      </c>
      <c r="CO22">
        <f>IF(ISBLANK('Data Entry'!$$22), "", 'Data Entry'!$$22)</f>
      </c>
      <c r="CP22">
        <f>IF(ISBLANK('Data Entry'!$$22), "", 'Data Entry'!$$22)</f>
      </c>
      <c r="CQ22">
        <f>IF(ISBLANK('Data Entry'!$$22), "", 'Data Entry'!$$22)</f>
      </c>
      <c r="CR22">
        <f>IF(ISBLANK('Data Entry'!$ $22), "", 'Data Entry'!$ $22)</f>
      </c>
      <c r="CS22">
        <f>IF(ISBLANK('Data Entry'!$¡$22), "", 'Data Entry'!$¡$22)</f>
      </c>
      <c r="CT22">
        <f>IF(ISBLANK('Data Entry'!$¢$22), "", 'Data Entry'!$¢$22)</f>
      </c>
      <c r="CU22">
        <f>IF(ISBLANK('Data Entry'!$£$22), "", 'Data Entry'!$£$22)</f>
      </c>
      <c r="CV22">
        <f>IF(ISBLANK('Data Entry'!$¤$22), "", 'Data Entry'!$¤$22)</f>
      </c>
      <c r="CW22">
        <f>IF(ISBLANK('Data Entry'!$¥$22), "", 'Data Entry'!$¥$22)</f>
      </c>
      <c r="CX22">
        <f>IF(ISBLANK('Data Entry'!$¦$22), "", 'Data Entry'!$¦$22)</f>
      </c>
      <c r="CY22">
        <f>IF(ISBLANK('Data Entry'!$§$22), "", 'Data Entry'!$§$22)</f>
      </c>
      <c r="CZ22">
        <f>IF(ISBLANK('Data Entry'!$¨$22), "", 'Data Entry'!$¨$22)</f>
      </c>
      <c r="DA22">
        <f>IF(ISBLANK('Data Entry'!$©$22), "", 'Data Entry'!$©$22)</f>
      </c>
      <c r="DB22">
        <f>IF(ISBLANK('Data Entry'!$ª$22), "", 'Data Entry'!$ª$22)</f>
      </c>
      <c r="DC22">
        <f>IF(ISBLANK('Data Entry'!$«$22), "", 'Data Entry'!$«$22)</f>
      </c>
      <c r="DD22">
        <f>IF(ISBLANK('Data Entry'!$¬$22), "", 'Data Entry'!$¬$22)</f>
      </c>
      <c r="DE22">
        <f>IF(ISBLANK('Data Entry'!$­$22), "", 'Data Entry'!$­$22)</f>
      </c>
      <c r="DF22">
        <f>IF(ISBLANK('Data Entry'!$®$22), "", 'Data Entry'!$®$22)</f>
      </c>
      <c r="DG22">
        <f>IF(ISBLANK('Data Entry'!$¯$22), "", 'Data Entry'!$¯$22)</f>
      </c>
      <c r="DH22">
        <f>IF(ISBLANK('Data Entry'!$°$22), "", 'Data Entry'!$°$22)</f>
      </c>
      <c r="DI22">
        <f>IF(ISBLANK('Data Entry'!$±$22), "", 'Data Entry'!$±$22)</f>
      </c>
      <c r="DJ22">
        <f>IF(ISBLANK('Data Entry'!$²$22), "", 'Data Entry'!$²$22)</f>
      </c>
      <c r="DK22">
        <f>IF(ISBLANK('Data Entry'!$³$22), "", 'Data Entry'!$³$22)</f>
      </c>
      <c r="DL22">
        <f>IF(ISBLANK('Data Entry'!$´$22), "", 'Data Entry'!$´$22)</f>
      </c>
      <c r="DM22">
        <f>IF(ISBLANK('Data Entry'!$µ$22), "", 'Data Entry'!$µ$22)</f>
      </c>
      <c r="DN22">
        <f>IF(ISBLANK('Data Entry'!$¶$22), "", 'Data Entry'!$¶$22)</f>
      </c>
      <c r="DO22">
        <f>IF(ISBLANK('Data Entry'!$·$22), "", 'Data Entry'!$·$22)</f>
      </c>
      <c r="DP22">
        <f>IF(ISBLANK('Data Entry'!$¸$22), "", 'Data Entry'!$¸$22)</f>
      </c>
      <c r="DQ22">
        <f>IF(ISBLANK('Data Entry'!$¹$22), "", 'Data Entry'!$¹$22)</f>
      </c>
      <c r="DR22">
        <f>IF(ISBLANK('Data Entry'!$º$22), "", 'Data Entry'!$º$22)</f>
      </c>
      <c r="DS22">
        <f>IF(ISBLANK('Data Entry'!$»$22), "", 'Data Entry'!$»$22)</f>
      </c>
      <c r="DT22">
        <f>IF(ISBLANK('Data Entry'!$¼$22), "", 'Data Entry'!$¼$22)</f>
      </c>
      <c r="DU22">
        <f>IF(ISBLANK('Data Entry'!$½$22), "", 'Data Entry'!$½$22)</f>
      </c>
      <c r="DV22">
        <f>IF(ISBLANK('Data Entry'!$¾$22), "", 'Data Entry'!$¾$22)</f>
      </c>
      <c r="DW22">
        <f>IF(ISBLANK('Data Entry'!$¿$22), "", 'Data Entry'!$¿$22)</f>
      </c>
      <c r="DX22">
        <f>IF(ISBLANK('Data Entry'!$À$22), "", 'Data Entry'!$À$22)</f>
      </c>
      <c r="DY22">
        <f>IF(ISBLANK('Data Entry'!$Á$22), "", 'Data Entry'!$Á$22)</f>
      </c>
      <c r="DZ22">
        <f>IF(ISBLANK('Data Entry'!$Â$22), "", 'Data Entry'!$Â$22)</f>
      </c>
      <c r="EA22">
        <f>IF(ISBLANK('Data Entry'!$Ã$22), "", 'Data Entry'!$Ã$22)</f>
      </c>
      <c r="EB22">
        <f>IF(ISBLANK('Data Entry'!$Ä$22), "", 'Data Entry'!$Ä$22)</f>
      </c>
      <c r="EC22">
        <f>IF(ISBLANK('Data Entry'!$Å$22), "", 'Data Entry'!$Å$22)</f>
      </c>
      <c r="ED22">
        <f>IF(ISBLANK('Data Entry'!$Æ$22), "", 'Data Entry'!$Æ$22)</f>
      </c>
      <c r="EE22">
        <f>IF(ISBLANK('Data Entry'!$Ç$22), "", 'Data Entry'!$Ç$22)</f>
      </c>
      <c r="EF22">
        <f>IF(ISBLANK('Data Entry'!$È$22), "", 'Data Entry'!$È$22)</f>
      </c>
      <c r="EG22">
        <f>IF(ISBLANK('Data Entry'!$É$22), "", 'Data Entry'!$É$22)</f>
      </c>
      <c r="EH22">
        <f>IF(ISBLANK('Data Entry'!$Ê$22), "", 'Data Entry'!$Ê$22)</f>
      </c>
      <c r="EI22">
        <f>IF(ISBLANK('Data Entry'!$Ë$22), "", 'Data Entry'!$Ë$22)</f>
      </c>
      <c r="EJ22">
        <f>IF(ISBLANK('Data Entry'!$Ì$22), "", 'Data Entry'!$Ì$22)</f>
      </c>
      <c r="EK22">
        <f>IF(ISBLANK('Data Entry'!$Í$22), "", 'Data Entry'!$Í$22)</f>
      </c>
      <c r="EL22">
        <f>IF(ISBLANK('Data Entry'!$Î$22), "", 'Data Entry'!$Î$22)</f>
      </c>
      <c r="EM22">
        <f>IF(ISBLANK('Data Entry'!$Ï$22), "", 'Data Entry'!$Ï$22)</f>
      </c>
      <c r="EN22">
        <f>IF(ISBLANK('Data Entry'!$Ð$22), "", 'Data Entry'!$Ð$22)</f>
      </c>
      <c r="EO22">
        <f>IF(ISBLANK('Data Entry'!$Ñ$22), "", 'Data Entry'!$Ñ$22)</f>
      </c>
      <c r="EP22">
        <f>IF(ISBLANK('Data Entry'!$Ò$22), "", 'Data Entry'!$Ò$22)</f>
      </c>
      <c r="EQ22">
        <f>IF(ISBLANK('Data Entry'!$Ó$22), "", 'Data Entry'!$Ó$22)</f>
      </c>
      <c r="ER22">
        <f>IF(ISBLANK('Data Entry'!$Ô$22), "", 'Data Entry'!$Ô$22)</f>
      </c>
      <c r="ES22">
        <f>IF(ISBLANK('Data Entry'!$Õ$22), "", 'Data Entry'!$Õ$22)</f>
      </c>
      <c r="ET22">
        <f>IF(ISBLANK('Data Entry'!$Ö$22), "", 'Data Entry'!$Ö$22)</f>
      </c>
      <c r="EU22">
        <f>IF(ISBLANK('Data Entry'!$×$22), "", 'Data Entry'!$×$22)</f>
      </c>
      <c r="EV22">
        <f>IF(ISBLANK('Data Entry'!$Ø$22), "", 'Data Entry'!$Ø$22)</f>
      </c>
      <c r="EW22">
        <f>IF(ISBLANK('Data Entry'!$Ù$22), "", 'Data Entry'!$Ù$22)</f>
      </c>
      <c r="EX22">
        <f>IF(ISBLANK('Data Entry'!$Ú$22), "", 'Data Entry'!$Ú$22)</f>
      </c>
      <c r="EY22">
        <f>IF(ISBLANK('Data Entry'!$Û$22), "", 'Data Entry'!$Û$22)</f>
      </c>
      <c r="EZ22">
        <f>IF(ISBLANK('Data Entry'!$Ü$22), "", 'Data Entry'!$Ü$22)</f>
      </c>
      <c r="FA22">
        <f>IF(ISBLANK('Data Entry'!$Ý$22), "", 'Data Entry'!$Ý$22)</f>
      </c>
      <c r="FB22">
        <f>IF(ISBLANK('Data Entry'!$Þ$22), "", 'Data Entry'!$Þ$22)</f>
      </c>
      <c r="FC22">
        <f>IF(ISBLANK('Data Entry'!$ß$22), "", 'Data Entry'!$ß$22)</f>
      </c>
      <c r="FD22">
        <f>IF(ISBLANK('Data Entry'!$à$22), "", 'Data Entry'!$à$22)</f>
      </c>
      <c r="FE22">
        <f>IF(ISBLANK('Data Entry'!$á$22), "", 'Data Entry'!$á$22)</f>
      </c>
      <c r="FF22">
        <f>IF(ISBLANK('Data Entry'!$â$22), "", 'Data Entry'!$â$22)</f>
      </c>
      <c r="FG22">
        <f>IF(ISBLANK('Data Entry'!$ã$22), "", 'Data Entry'!$ã$22)</f>
      </c>
      <c r="FH22">
        <f>IF(ISBLANK('Data Entry'!$ä$22), "", 'Data Entry'!$ä$22)</f>
      </c>
      <c r="FI22">
        <f>IF(ISBLANK('Data Entry'!$å$22), "", 'Data Entry'!$å$22)</f>
      </c>
      <c r="FJ22">
        <f>IF(ISBLANK('Data Entry'!$æ$22), "", 'Data Entry'!$æ$22)</f>
      </c>
      <c r="FK22">
        <f>IF(ISBLANK('Data Entry'!$ç$22), "", 'Data Entry'!$ç$22)</f>
      </c>
      <c r="FL22">
        <f>IF(ISBLANK('Data Entry'!$è$22), "", 'Data Entry'!$è$22)</f>
      </c>
      <c r="FM22">
        <f>IF(ISBLANK('Data Entry'!$é$22), "", 'Data Entry'!$é$22)</f>
      </c>
      <c r="FN22">
        <f>IF(ISBLANK('Data Entry'!$ê$22), "", 'Data Entry'!$ê$22)</f>
      </c>
      <c r="FO22">
        <f>IF(ISBLANK('Data Entry'!$ë$22), "", 'Data Entry'!$ë$22)</f>
      </c>
      <c r="FP22">
        <f>IF(ISBLANK('Data Entry'!$ì$22), "", 'Data Entry'!$ì$22)</f>
      </c>
      <c r="FQ22">
        <f>IF(ISBLANK('Data Entry'!$í$22), "", 'Data Entry'!$í$22)</f>
      </c>
      <c r="FR22">
        <f>IF(ISBLANK('Data Entry'!$î$22), "", 'Data Entry'!$î$22)</f>
      </c>
      <c r="FS22">
        <f>IF(ISBLANK('Data Entry'!$ï$22), "", 'Data Entry'!$ï$22)</f>
      </c>
      <c r="FT22">
        <f>IF(ISBLANK('Data Entry'!$ð$22), "", 'Data Entry'!$ð$22)</f>
      </c>
      <c r="FU22">
        <f>IF(ISBLANK('Data Entry'!$ñ$22), "", 'Data Entry'!$ñ$22)</f>
      </c>
      <c r="FV22">
        <f>IF(ISBLANK('Data Entry'!$ò$22), "", 'Data Entry'!$ò$22)</f>
      </c>
      <c r="FW22">
        <f>IF(ISBLANK('Data Entry'!$ó$22), "", 'Data Entry'!$ó$22)</f>
      </c>
      <c r="FX22">
        <f>IF(ISBLANK('Data Entry'!$ô$22), "", 'Data Entry'!$ô$22)</f>
      </c>
      <c r="FY22">
        <f>IF(ISBLANK('Data Entry'!$õ$22), "", 'Data Entry'!$õ$22)</f>
      </c>
      <c r="FZ22">
        <f>IF(ISBLANK('Data Entry'!$ö$22), "", 'Data Entry'!$ö$22)</f>
      </c>
      <c r="GA22">
        <f>IF(ISBLANK('Data Entry'!$÷$22), "", 'Data Entry'!$÷$22)</f>
      </c>
      <c r="GB22">
        <f>IF(ISBLANK('Data Entry'!$ø$22), "", 'Data Entry'!$ø$22)</f>
      </c>
      <c r="GC22">
        <f>IF(ISBLANK('Data Entry'!$ù$22), "", 'Data Entry'!$ù$22)</f>
      </c>
      <c r="GD22">
        <f>IF(ISBLANK('Data Entry'!$ú$22), "", 'Data Entry'!$ú$22)</f>
      </c>
      <c r="GE22">
        <f>IF(ISBLANK('Data Entry'!$û$22), "", 'Data Entry'!$û$22)</f>
      </c>
      <c r="GF22">
        <f>IF(ISBLANK('Data Entry'!$ü$22), "", 'Data Entry'!$ü$22)</f>
      </c>
      <c r="GG22">
        <f>IF(ISBLANK('Data Entry'!$ý$22), "", 'Data Entry'!$ý$22)</f>
      </c>
      <c r="GH22">
        <f>IF(ISBLANK('Data Entry'!$þ$22), "", 'Data Entry'!$þ$22)</f>
      </c>
      <c r="GI22">
        <f>IF(ISBLANK('Data Entry'!$ÿ$22), "", 'Data Entry'!$ÿ$22)</f>
      </c>
      <c r="GJ22">
        <f>IF(ISBLANK('Data Entry'!$Ā$22), "", 'Data Entry'!$Ā$22)</f>
      </c>
      <c r="GK22">
        <f>IF(ISBLANK('Data Entry'!$ā$22), "", 'Data Entry'!$ā$22)</f>
      </c>
      <c r="GL22">
        <f>IF(ISBLANK('Data Entry'!$Ă$22), "", 'Data Entry'!$Ă$22)</f>
      </c>
      <c r="GM22">
        <f>IF(ISBLANK('Data Entry'!$ă$22), "", 'Data Entry'!$ă$22)</f>
      </c>
      <c r="GN22">
        <f>IF(ISBLANK('Data Entry'!$Ą$22), "", 'Data Entry'!$Ą$22)</f>
      </c>
      <c r="GO22">
        <f>IF(ISBLANK('Data Entry'!$ą$22), "", 'Data Entry'!$ą$22)</f>
      </c>
      <c r="GP22">
        <f>IF(ISBLANK('Data Entry'!$Ć$22), "", 'Data Entry'!$Ć$22)</f>
      </c>
      <c r="GQ22">
        <f>IF(ISBLANK('Data Entry'!$ć$22), "", 'Data Entry'!$ć$22)</f>
      </c>
      <c r="GR22">
        <f>IF(ISBLANK('Data Entry'!$Ĉ$22), "", 'Data Entry'!$Ĉ$22)</f>
      </c>
      <c r="GS22">
        <f>IF(ISBLANK('Data Entry'!$ĉ$22), "", 'Data Entry'!$ĉ$22)</f>
      </c>
      <c r="GT22">
        <f>IF(ISBLANK('Data Entry'!$Ċ$22), "", 'Data Entry'!$Ċ$22)</f>
      </c>
      <c r="GU22">
        <f>IF(ISBLANK('Data Entry'!$ċ$22), "", 'Data Entry'!$ċ$22)</f>
      </c>
      <c r="GV22">
        <f>IF(ISBLANK('Data Entry'!$Č$22), "", 'Data Entry'!$Č$22)</f>
      </c>
      <c r="GW22">
        <f>IF(ISBLANK('Data Entry'!$č$22), "", 'Data Entry'!$č$22)</f>
      </c>
      <c r="GX22">
        <f>IF(ISBLANK('Data Entry'!$Ď$22), "", 'Data Entry'!$Ď$22)</f>
      </c>
      <c r="GY22">
        <f>IF(ISBLANK('Data Entry'!$ď$22), "", 'Data Entry'!$ď$22)</f>
      </c>
      <c r="GZ22">
        <f>IF(ISBLANK('Data Entry'!$Đ$22), "", 'Data Entry'!$Đ$22)</f>
      </c>
      <c r="HA22">
        <f>IF(ISBLANK('Data Entry'!$đ$22), "", 'Data Entry'!$đ$22)</f>
      </c>
      <c r="HB22">
        <f>IF(ISBLANK('Data Entry'!$Ē$22), "", 'Data Entry'!$Ē$22)</f>
      </c>
      <c r="HC22">
        <f>IF(ISBLANK('Data Entry'!$ē$22), "", 'Data Entry'!$ē$22)</f>
      </c>
      <c r="HD22">
        <f>IF(ISBLANK('Data Entry'!$Ĕ$22), "", 'Data Entry'!$Ĕ$22)</f>
      </c>
      <c r="HE22">
        <f>IF(ISBLANK('Data Entry'!$ĕ$22), "", 'Data Entry'!$ĕ$22)</f>
      </c>
      <c r="HF22">
        <f>IF(ISBLANK('Data Entry'!$Ė$22), "", 'Data Entry'!$Ė$22)</f>
      </c>
      <c r="HG22">
        <f>IF(ISBLANK('Data Entry'!$ė$22), "", 'Data Entry'!$ė$22)</f>
      </c>
      <c r="HH22">
        <f>IF(ISBLANK('Data Entry'!$Ę$22), "", 'Data Entry'!$Ę$22)</f>
      </c>
      <c r="HI22">
        <f>IF(ISBLANK('Data Entry'!$ę$22), "", 'Data Entry'!$ę$22)</f>
      </c>
      <c r="HJ22">
        <f>IF(ISBLANK('Data Entry'!$Ě$22), "", 'Data Entry'!$Ě$22)</f>
      </c>
      <c r="HK22">
        <f>IF(ISBLANK('Data Entry'!$ě$22), "", 'Data Entry'!$ě$22)</f>
      </c>
      <c r="HL22">
        <f>IF(ISBLANK('Data Entry'!$Ĝ$22), "", 'Data Entry'!$Ĝ$22)</f>
      </c>
      <c r="HM22">
        <f>IF(ISBLANK('Data Entry'!$ĝ$22), "", 'Data Entry'!$ĝ$22)</f>
      </c>
      <c r="HN22">
        <f>IF(ISBLANK('Data Entry'!$Ğ$22), "", 'Data Entry'!$Ğ$22)</f>
      </c>
      <c r="HO22">
        <f>IF(ISBLANK('Data Entry'!$ğ$22), "", 'Data Entry'!$ğ$22)</f>
      </c>
      <c r="HP22">
        <f>IF(ISBLANK('Data Entry'!$Ġ$22), "", 'Data Entry'!$Ġ$22)</f>
      </c>
      <c r="HQ22">
        <f>IF(ISBLANK('Data Entry'!$ġ$22), "", 'Data Entry'!$ġ$22)</f>
      </c>
      <c r="HR22">
        <f>IF(ISBLANK('Data Entry'!$Ģ$22), "", 'Data Entry'!$Ģ$22)</f>
      </c>
      <c r="HS22">
        <f>IF(ISBLANK('Data Entry'!$ģ$22), "", 'Data Entry'!$ģ$22)</f>
      </c>
      <c r="HT22">
        <f>IF(ISBLANK('Data Entry'!$Ĥ$22), "", 'Data Entry'!$Ĥ$22)</f>
      </c>
      <c r="HU22">
        <f>IF(ISBLANK('Data Entry'!$ĥ$22), "", 'Data Entry'!$ĥ$22)</f>
      </c>
      <c r="HV22">
        <f>IF(ISBLANK('Data Entry'!$Ħ$22), "", 'Data Entry'!$Ħ$22)</f>
      </c>
      <c r="HW22">
        <f>IF(ISBLANK('Data Entry'!$ħ$22), "", 'Data Entry'!$ħ$22)</f>
      </c>
      <c r="HX22">
        <f>IF(ISBLANK('Data Entry'!$Ĩ$22), "", 'Data Entry'!$Ĩ$22)</f>
      </c>
      <c r="HY22">
        <f>IF(ISBLANK('Data Entry'!$ĩ$22), "", 'Data Entry'!$ĩ$22)</f>
      </c>
      <c r="HZ22">
        <f>IF(ISBLANK('Data Entry'!$Ī$22), "", 'Data Entry'!$Ī$22)</f>
      </c>
      <c r="IA22">
        <f>IF(ISBLANK('Data Entry'!$ī$22), "", 'Data Entry'!$ī$22)</f>
      </c>
      <c r="IB22">
        <f>IF(ISBLANK('Data Entry'!$Ĭ$22), "", 'Data Entry'!$Ĭ$22)</f>
      </c>
      <c r="IC22">
        <f>IF(ISBLANK('Data Entry'!$ĭ$22), "", 'Data Entry'!$ĭ$22)</f>
      </c>
      <c r="ID22">
        <f>IF(ISBLANK('Data Entry'!$Į$22), "", 'Data Entry'!$Į$22)</f>
      </c>
      <c r="IE22">
        <f>IF(ISBLANK('Data Entry'!$į$22), "", 'Data Entry'!$į$22)</f>
      </c>
      <c r="IF22">
        <f>IF(ISBLANK('Data Entry'!$İ$22), "", 'Data Entry'!$İ$22)</f>
      </c>
      <c r="IG22">
        <f>IF(ISBLANK('Data Entry'!$ı$22), "", 'Data Entry'!$ı$22)</f>
      </c>
      <c r="IH22">
        <f>IF(ISBLANK('Data Entry'!$Ĳ$22), "", 'Data Entry'!$Ĳ$22)</f>
      </c>
      <c r="II22">
        <f>IF(ISBLANK('Data Entry'!$ĳ$22), "", 'Data Entry'!$ĳ$22)</f>
      </c>
      <c r="IJ22">
        <f>IF(ISBLANK('Data Entry'!$Ĵ$22), "", 'Data Entry'!$Ĵ$22)</f>
      </c>
      <c r="IK22">
        <f>IF(ISBLANK('Data Entry'!$ĵ$22), "", 'Data Entry'!$ĵ$22)</f>
      </c>
      <c r="IL22">
        <f>IF(ISBLANK('Data Entry'!$Ķ$22), "", 'Data Entry'!$Ķ$22)</f>
      </c>
      <c r="IM22">
        <f>IF(ISBLANK('Data Entry'!$ķ$22), "", 'Data Entry'!$ķ$22)</f>
      </c>
      <c r="IN22">
        <f>IF(ISBLANK('Data Entry'!$ĸ$22), "", 'Data Entry'!$ĸ$22)</f>
      </c>
      <c r="IO22">
        <f>IF(ISBLANK('Data Entry'!$Ĺ$22), "", 'Data Entry'!$Ĺ$22)</f>
      </c>
      <c r="IP22">
        <f>IF(ISBLANK('Data Entry'!$ĺ$22), "", 'Data Entry'!$ĺ$22)</f>
      </c>
      <c r="IQ22">
        <f>IF(ISBLANK('Data Entry'!$Ļ$22), "", 'Data Entry'!$Ļ$22)</f>
      </c>
      <c r="IR22">
        <f>IF(ISBLANK('Data Entry'!$ļ$22), "", 'Data Entry'!$ļ$22)</f>
      </c>
      <c r="IS22">
        <f>IF(ISBLANK('Data Entry'!$Ľ$22), "", 'Data Entry'!$Ľ$22)</f>
      </c>
      <c r="IT22">
        <f>IF(ISBLANK('Data Entry'!$ľ$22), "", 'Data Entry'!$ľ$22)</f>
      </c>
    </row>
    <row r="23" spans="1:254" x14ac:dyDescent="0.25">
      <c r="A23">
        <f>IF(ISBLANK('Data Entry'!$A$23), "", 'Data Entry'!$A$23)</f>
      </c>
      <c r="B23">
        <f>IF(ISBLANK('Data Entry'!$B$23), "", 'Data Entry'!$B$23)</f>
      </c>
      <c r="C23">
        <f>IF(ISBLANK('Data Entry'!$C$23), "", 'Data Entry'!$C$23)</f>
      </c>
      <c r="D23">
        <f>IF(ISBLANK('Data Entry'!$D$23), "", 'Data Entry'!$D$23)</f>
      </c>
      <c r="E23">
        <f>IF(ISBLANK('Data Entry'!$E$23), "", 'Data Entry'!$E$23)</f>
      </c>
      <c r="F23">
        <f>IF(ISBLANK('Data Entry'!$F$23), "", 'Data Entry'!$F$23)</f>
      </c>
      <c r="G23">
        <f>IF(ISBLANK('Data Entry'!$G$23), "", 'Data Entry'!$G$23)</f>
      </c>
      <c r="H23">
        <f>IF(ISBLANK('Data Entry'!$H$23), "", 'Data Entry'!$H$23)</f>
      </c>
      <c r="I23">
        <f>IF(ISBLANK('Data Entry'!$I$23), "", 'Data Entry'!$I$23)</f>
      </c>
      <c r="J23">
        <f>IF(ISBLANK('Data Entry'!$J$23), "", 'Data Entry'!$J$23)</f>
      </c>
      <c r="K23">
        <f>IF(ISBLANK('Data Entry'!$K$23), "", 'Data Entry'!$K$23)</f>
      </c>
      <c r="L23">
        <f>IF(ISBLANK('Data Entry'!$L$23), "", 'Data Entry'!$L$23)</f>
      </c>
      <c r="M23">
        <f>IF(ISBLANK('Data Entry'!$M$23), "", 'Data Entry'!$M$23)</f>
      </c>
      <c r="N23">
        <f>IF(ISBLANK('Data Entry'!$N$23), "", 'Data Entry'!$N$23)</f>
      </c>
      <c r="O23">
        <f>IF(ISBLANK('Data Entry'!$O$23), "", 'Data Entry'!$O$23)</f>
      </c>
      <c r="P23">
        <f>IF(ISBLANK('Data Entry'!$P$23), "", 'Data Entry'!$P$23)</f>
      </c>
      <c r="Q23">
        <f>IF(ISBLANK('Data Entry'!$Q$23), "", 'Data Entry'!$Q$23)</f>
      </c>
      <c r="R23">
        <f>IF(ISBLANK('Data Entry'!$R$23), "", 'Data Entry'!$R$23)</f>
      </c>
      <c r="S23">
        <f>IF(ISBLANK('Data Entry'!$S$23), "", 'Data Entry'!$S$23)</f>
      </c>
      <c r="T23">
        <f>IF(ISBLANK('Data Entry'!$T$23), "", 'Data Entry'!$T$23)</f>
      </c>
      <c r="U23">
        <f>IF(ISBLANK('Data Entry'!$U$23), "", 'Data Entry'!$U$23)</f>
      </c>
      <c r="V23">
        <f>IF(ISBLANK('Data Entry'!$V$23), "", 'Data Entry'!$V$23)</f>
      </c>
      <c r="W23">
        <f>IF(ISBLANK('Data Entry'!$W$23), "", 'Data Entry'!$W$23)</f>
      </c>
      <c r="X23">
        <f>IF(ISBLANK('Data Entry'!$X$23), "", 'Data Entry'!$X$23)</f>
      </c>
      <c r="Y23">
        <f>IF(ISBLANK('Data Entry'!$Y$23), "", 'Data Entry'!$Y$23)</f>
      </c>
      <c r="Z23">
        <f>IF(ISBLANK('Data Entry'!$Z$23), "", 'Data Entry'!$Z$23)</f>
      </c>
      <c r="AA23">
        <f>IF(ISBLANK('Data Entry'!$[$23), "", 'Data Entry'!$[$23)</f>
      </c>
      <c r="AB23">
        <f>IF(ISBLANK('Data Entry'!$\$23), "", 'Data Entry'!$\$23)</f>
      </c>
      <c r="AC23">
        <f>IF(ISBLANK('Data Entry'!$]$23), "", 'Data Entry'!$]$23)</f>
      </c>
      <c r="AD23">
        <f>IF(ISBLANK('Data Entry'!$^$23), "", 'Data Entry'!$^$23)</f>
      </c>
      <c r="AE23">
        <f>IF(ISBLANK('Data Entry'!$_$23), "", 'Data Entry'!$_$23)</f>
      </c>
      <c r="AF23">
        <f>IF(ISBLANK('Data Entry'!$`$23), "", 'Data Entry'!$`$23)</f>
      </c>
      <c r="AG23">
        <f>IF(ISBLANK('Data Entry'!$a$23), "", 'Data Entry'!$a$23)</f>
      </c>
      <c r="AH23">
        <f>IF(ISBLANK('Data Entry'!$b$23), "", 'Data Entry'!$b$23)</f>
      </c>
      <c r="AI23">
        <f>IF(ISBLANK('Data Entry'!$c$23), "", 'Data Entry'!$c$23)</f>
      </c>
      <c r="AJ23">
        <f>IF(ISBLANK('Data Entry'!$d$23), "", 'Data Entry'!$d$23)</f>
      </c>
      <c r="AK23">
        <f>IF(ISBLANK('Data Entry'!$e$23), "", 'Data Entry'!$e$23)</f>
      </c>
      <c r="AL23">
        <f>IF(ISBLANK('Data Entry'!$f$23), "", 'Data Entry'!$f$23)</f>
      </c>
      <c r="AM23">
        <f>IF(ISBLANK('Data Entry'!$g$23), "", 'Data Entry'!$g$23)</f>
      </c>
      <c r="AN23">
        <f>IF(ISBLANK('Data Entry'!$h$23), "", 'Data Entry'!$h$23)</f>
      </c>
      <c r="AO23">
        <f>IF(ISBLANK('Data Entry'!$i$23), "", 'Data Entry'!$i$23)</f>
      </c>
      <c r="AP23">
        <f>IF(ISBLANK('Data Entry'!$j$23), "", 'Data Entry'!$j$23)</f>
      </c>
      <c r="AQ23">
        <f>IF(ISBLANK('Data Entry'!$k$23), "", 'Data Entry'!$k$23)</f>
      </c>
      <c r="AR23">
        <f>IF(ISBLANK('Data Entry'!$l$23), "", 'Data Entry'!$l$23)</f>
      </c>
      <c r="AS23">
        <f>IF(ISBLANK('Data Entry'!$m$23), "", 'Data Entry'!$m$23)</f>
      </c>
      <c r="AT23">
        <f>IF(ISBLANK('Data Entry'!$n$23), "", 'Data Entry'!$n$23)</f>
      </c>
      <c r="AU23">
        <f>IF(ISBLANK('Data Entry'!$o$23), "", 'Data Entry'!$o$23)</f>
      </c>
      <c r="AV23">
        <f>IF(ISBLANK('Data Entry'!$p$23), "", 'Data Entry'!$p$23)</f>
      </c>
      <c r="AW23">
        <f>IF(ISBLANK('Data Entry'!$q$23), "", 'Data Entry'!$q$23)</f>
      </c>
      <c r="AX23">
        <f>IF(ISBLANK('Data Entry'!$r$23), "", 'Data Entry'!$r$23)</f>
      </c>
      <c r="AY23">
        <f>IF(ISBLANK('Data Entry'!$s$23), "", 'Data Entry'!$s$23)</f>
      </c>
      <c r="AZ23">
        <f>IF(ISBLANK('Data Entry'!$t$23), "", 'Data Entry'!$t$23)</f>
      </c>
      <c r="BA23">
        <f>IF(ISBLANK('Data Entry'!$u$23), "", 'Data Entry'!$u$23)</f>
      </c>
      <c r="BB23">
        <f>IF(ISBLANK('Data Entry'!$v$23), "", 'Data Entry'!$v$23)</f>
      </c>
      <c r="BC23">
        <f>IF(ISBLANK('Data Entry'!$w$23), "", 'Data Entry'!$w$23)</f>
      </c>
      <c r="BD23">
        <f>IF(ISBLANK('Data Entry'!$x$23), "", 'Data Entry'!$x$23)</f>
      </c>
      <c r="BE23">
        <f>IF(ISBLANK('Data Entry'!$y$23), "", 'Data Entry'!$y$23)</f>
      </c>
      <c r="BF23">
        <f>IF(ISBLANK('Data Entry'!$z$23), "", 'Data Entry'!$z$23)</f>
      </c>
      <c r="BG23">
        <f>IF(ISBLANK('Data Entry'!${$23), "", 'Data Entry'!${$23)</f>
      </c>
      <c r="BH23">
        <f>IF(ISBLANK('Data Entry'!$|$23), "", 'Data Entry'!$|$23)</f>
      </c>
      <c r="BI23">
        <f>IF(ISBLANK('Data Entry'!$}$23), "", 'Data Entry'!$}$23)</f>
      </c>
      <c r="BJ23">
        <f>IF(ISBLANK('Data Entry'!$~$23), "", 'Data Entry'!$~$23)</f>
      </c>
      <c r="BK23">
        <f>IF(ISBLANK('Data Entry'!$$23), "", 'Data Entry'!$$23)</f>
      </c>
      <c r="BL23">
        <f>IF(ISBLANK('Data Entry'!$$23), "", 'Data Entry'!$$23)</f>
      </c>
      <c r="BM23">
        <f>IF(ISBLANK('Data Entry'!$$23), "", 'Data Entry'!$$23)</f>
      </c>
      <c r="BN23">
        <f>IF(ISBLANK('Data Entry'!$$23), "", 'Data Entry'!$$23)</f>
      </c>
      <c r="BO23">
        <f>IF(ISBLANK('Data Entry'!$$23), "", 'Data Entry'!$$23)</f>
      </c>
      <c r="BP23">
        <f>IF(ISBLANK('Data Entry'!$$23), "", 'Data Entry'!$$23)</f>
      </c>
      <c r="BQ23">
        <f>IF(ISBLANK('Data Entry'!$$23), "", 'Data Entry'!$$23)</f>
      </c>
      <c r="BR23">
        <f>IF(ISBLANK('Data Entry'!$$23), "", 'Data Entry'!$$23)</f>
      </c>
      <c r="BS23">
        <f>IF(ISBLANK('Data Entry'!$$23), "", 'Data Entry'!$$23)</f>
      </c>
      <c r="BT23">
        <f>IF(ISBLANK('Data Entry'!$$23), "", 'Data Entry'!$$23)</f>
      </c>
      <c r="BU23">
        <f>IF(ISBLANK('Data Entry'!$$23), "", 'Data Entry'!$$23)</f>
      </c>
      <c r="BV23">
        <f>IF(ISBLANK('Data Entry'!$$23), "", 'Data Entry'!$$23)</f>
      </c>
      <c r="BW23">
        <f>IF(ISBLANK('Data Entry'!$$23), "", 'Data Entry'!$$23)</f>
      </c>
      <c r="BX23">
        <f>IF(ISBLANK('Data Entry'!$$23), "", 'Data Entry'!$$23)</f>
      </c>
      <c r="BY23">
        <f>IF(ISBLANK('Data Entry'!$$23), "", 'Data Entry'!$$23)</f>
      </c>
      <c r="BZ23">
        <f>IF(ISBLANK('Data Entry'!$$23), "", 'Data Entry'!$$23)</f>
      </c>
      <c r="CA23">
        <f>IF(ISBLANK('Data Entry'!$$23), "", 'Data Entry'!$$23)</f>
      </c>
      <c r="CB23">
        <f>IF(ISBLANK('Data Entry'!$$23), "", 'Data Entry'!$$23)</f>
      </c>
      <c r="CC23">
        <f>IF(ISBLANK('Data Entry'!$$23), "", 'Data Entry'!$$23)</f>
      </c>
      <c r="CD23">
        <f>IF(ISBLANK('Data Entry'!$$23), "", 'Data Entry'!$$23)</f>
      </c>
      <c r="CE23">
        <f>IF(ISBLANK('Data Entry'!$$23), "", 'Data Entry'!$$23)</f>
      </c>
      <c r="CF23">
        <f>IF(ISBLANK('Data Entry'!$$23), "", 'Data Entry'!$$23)</f>
      </c>
      <c r="CG23">
        <f>IF(ISBLANK('Data Entry'!$$23), "", 'Data Entry'!$$23)</f>
      </c>
      <c r="CH23">
        <f>IF(ISBLANK('Data Entry'!$$23), "", 'Data Entry'!$$23)</f>
      </c>
      <c r="CI23">
        <f>IF(ISBLANK('Data Entry'!$$23), "", 'Data Entry'!$$23)</f>
      </c>
      <c r="CJ23">
        <f>IF(ISBLANK('Data Entry'!$$23), "", 'Data Entry'!$$23)</f>
      </c>
      <c r="CK23">
        <f>IF(ISBLANK('Data Entry'!$$23), "", 'Data Entry'!$$23)</f>
      </c>
      <c r="CL23">
        <f>IF(ISBLANK('Data Entry'!$$23), "", 'Data Entry'!$$23)</f>
      </c>
      <c r="CM23">
        <f>IF(ISBLANK('Data Entry'!$$23), "", 'Data Entry'!$$23)</f>
      </c>
      <c r="CN23">
        <f>IF(ISBLANK('Data Entry'!$$23), "", 'Data Entry'!$$23)</f>
      </c>
      <c r="CO23">
        <f>IF(ISBLANK('Data Entry'!$$23), "", 'Data Entry'!$$23)</f>
      </c>
      <c r="CP23">
        <f>IF(ISBLANK('Data Entry'!$$23), "", 'Data Entry'!$$23)</f>
      </c>
      <c r="CQ23">
        <f>IF(ISBLANK('Data Entry'!$$23), "", 'Data Entry'!$$23)</f>
      </c>
      <c r="CR23">
        <f>IF(ISBLANK('Data Entry'!$ $23), "", 'Data Entry'!$ $23)</f>
      </c>
      <c r="CS23">
        <f>IF(ISBLANK('Data Entry'!$¡$23), "", 'Data Entry'!$¡$23)</f>
      </c>
      <c r="CT23">
        <f>IF(ISBLANK('Data Entry'!$¢$23), "", 'Data Entry'!$¢$23)</f>
      </c>
      <c r="CU23">
        <f>IF(ISBLANK('Data Entry'!$£$23), "", 'Data Entry'!$£$23)</f>
      </c>
      <c r="CV23">
        <f>IF(ISBLANK('Data Entry'!$¤$23), "", 'Data Entry'!$¤$23)</f>
      </c>
      <c r="CW23">
        <f>IF(ISBLANK('Data Entry'!$¥$23), "", 'Data Entry'!$¥$23)</f>
      </c>
      <c r="CX23">
        <f>IF(ISBLANK('Data Entry'!$¦$23), "", 'Data Entry'!$¦$23)</f>
      </c>
      <c r="CY23">
        <f>IF(ISBLANK('Data Entry'!$§$23), "", 'Data Entry'!$§$23)</f>
      </c>
      <c r="CZ23">
        <f>IF(ISBLANK('Data Entry'!$¨$23), "", 'Data Entry'!$¨$23)</f>
      </c>
      <c r="DA23">
        <f>IF(ISBLANK('Data Entry'!$©$23), "", 'Data Entry'!$©$23)</f>
      </c>
      <c r="DB23">
        <f>IF(ISBLANK('Data Entry'!$ª$23), "", 'Data Entry'!$ª$23)</f>
      </c>
      <c r="DC23">
        <f>IF(ISBLANK('Data Entry'!$«$23), "", 'Data Entry'!$«$23)</f>
      </c>
      <c r="DD23">
        <f>IF(ISBLANK('Data Entry'!$¬$23), "", 'Data Entry'!$¬$23)</f>
      </c>
      <c r="DE23">
        <f>IF(ISBLANK('Data Entry'!$­$23), "", 'Data Entry'!$­$23)</f>
      </c>
      <c r="DF23">
        <f>IF(ISBLANK('Data Entry'!$®$23), "", 'Data Entry'!$®$23)</f>
      </c>
      <c r="DG23">
        <f>IF(ISBLANK('Data Entry'!$¯$23), "", 'Data Entry'!$¯$23)</f>
      </c>
      <c r="DH23">
        <f>IF(ISBLANK('Data Entry'!$°$23), "", 'Data Entry'!$°$23)</f>
      </c>
      <c r="DI23">
        <f>IF(ISBLANK('Data Entry'!$±$23), "", 'Data Entry'!$±$23)</f>
      </c>
      <c r="DJ23">
        <f>IF(ISBLANK('Data Entry'!$²$23), "", 'Data Entry'!$²$23)</f>
      </c>
      <c r="DK23">
        <f>IF(ISBLANK('Data Entry'!$³$23), "", 'Data Entry'!$³$23)</f>
      </c>
      <c r="DL23">
        <f>IF(ISBLANK('Data Entry'!$´$23), "", 'Data Entry'!$´$23)</f>
      </c>
      <c r="DM23">
        <f>IF(ISBLANK('Data Entry'!$µ$23), "", 'Data Entry'!$µ$23)</f>
      </c>
      <c r="DN23">
        <f>IF(ISBLANK('Data Entry'!$¶$23), "", 'Data Entry'!$¶$23)</f>
      </c>
      <c r="DO23">
        <f>IF(ISBLANK('Data Entry'!$·$23), "", 'Data Entry'!$·$23)</f>
      </c>
      <c r="DP23">
        <f>IF(ISBLANK('Data Entry'!$¸$23), "", 'Data Entry'!$¸$23)</f>
      </c>
      <c r="DQ23">
        <f>IF(ISBLANK('Data Entry'!$¹$23), "", 'Data Entry'!$¹$23)</f>
      </c>
      <c r="DR23">
        <f>IF(ISBLANK('Data Entry'!$º$23), "", 'Data Entry'!$º$23)</f>
      </c>
      <c r="DS23">
        <f>IF(ISBLANK('Data Entry'!$»$23), "", 'Data Entry'!$»$23)</f>
      </c>
      <c r="DT23">
        <f>IF(ISBLANK('Data Entry'!$¼$23), "", 'Data Entry'!$¼$23)</f>
      </c>
      <c r="DU23">
        <f>IF(ISBLANK('Data Entry'!$½$23), "", 'Data Entry'!$½$23)</f>
      </c>
      <c r="DV23">
        <f>IF(ISBLANK('Data Entry'!$¾$23), "", 'Data Entry'!$¾$23)</f>
      </c>
      <c r="DW23">
        <f>IF(ISBLANK('Data Entry'!$¿$23), "", 'Data Entry'!$¿$23)</f>
      </c>
      <c r="DX23">
        <f>IF(ISBLANK('Data Entry'!$À$23), "", 'Data Entry'!$À$23)</f>
      </c>
      <c r="DY23">
        <f>IF(ISBLANK('Data Entry'!$Á$23), "", 'Data Entry'!$Á$23)</f>
      </c>
      <c r="DZ23">
        <f>IF(ISBLANK('Data Entry'!$Â$23), "", 'Data Entry'!$Â$23)</f>
      </c>
      <c r="EA23">
        <f>IF(ISBLANK('Data Entry'!$Ã$23), "", 'Data Entry'!$Ã$23)</f>
      </c>
      <c r="EB23">
        <f>IF(ISBLANK('Data Entry'!$Ä$23), "", 'Data Entry'!$Ä$23)</f>
      </c>
      <c r="EC23">
        <f>IF(ISBLANK('Data Entry'!$Å$23), "", 'Data Entry'!$Å$23)</f>
      </c>
      <c r="ED23">
        <f>IF(ISBLANK('Data Entry'!$Æ$23), "", 'Data Entry'!$Æ$23)</f>
      </c>
      <c r="EE23">
        <f>IF(ISBLANK('Data Entry'!$Ç$23), "", 'Data Entry'!$Ç$23)</f>
      </c>
      <c r="EF23">
        <f>IF(ISBLANK('Data Entry'!$È$23), "", 'Data Entry'!$È$23)</f>
      </c>
      <c r="EG23">
        <f>IF(ISBLANK('Data Entry'!$É$23), "", 'Data Entry'!$É$23)</f>
      </c>
      <c r="EH23">
        <f>IF(ISBLANK('Data Entry'!$Ê$23), "", 'Data Entry'!$Ê$23)</f>
      </c>
      <c r="EI23">
        <f>IF(ISBLANK('Data Entry'!$Ë$23), "", 'Data Entry'!$Ë$23)</f>
      </c>
      <c r="EJ23">
        <f>IF(ISBLANK('Data Entry'!$Ì$23), "", 'Data Entry'!$Ì$23)</f>
      </c>
      <c r="EK23">
        <f>IF(ISBLANK('Data Entry'!$Í$23), "", 'Data Entry'!$Í$23)</f>
      </c>
      <c r="EL23">
        <f>IF(ISBLANK('Data Entry'!$Î$23), "", 'Data Entry'!$Î$23)</f>
      </c>
      <c r="EM23">
        <f>IF(ISBLANK('Data Entry'!$Ï$23), "", 'Data Entry'!$Ï$23)</f>
      </c>
      <c r="EN23">
        <f>IF(ISBLANK('Data Entry'!$Ð$23), "", 'Data Entry'!$Ð$23)</f>
      </c>
      <c r="EO23">
        <f>IF(ISBLANK('Data Entry'!$Ñ$23), "", 'Data Entry'!$Ñ$23)</f>
      </c>
      <c r="EP23">
        <f>IF(ISBLANK('Data Entry'!$Ò$23), "", 'Data Entry'!$Ò$23)</f>
      </c>
      <c r="EQ23">
        <f>IF(ISBLANK('Data Entry'!$Ó$23), "", 'Data Entry'!$Ó$23)</f>
      </c>
      <c r="ER23">
        <f>IF(ISBLANK('Data Entry'!$Ô$23), "", 'Data Entry'!$Ô$23)</f>
      </c>
      <c r="ES23">
        <f>IF(ISBLANK('Data Entry'!$Õ$23), "", 'Data Entry'!$Õ$23)</f>
      </c>
      <c r="ET23">
        <f>IF(ISBLANK('Data Entry'!$Ö$23), "", 'Data Entry'!$Ö$23)</f>
      </c>
      <c r="EU23">
        <f>IF(ISBLANK('Data Entry'!$×$23), "", 'Data Entry'!$×$23)</f>
      </c>
      <c r="EV23">
        <f>IF(ISBLANK('Data Entry'!$Ø$23), "", 'Data Entry'!$Ø$23)</f>
      </c>
      <c r="EW23">
        <f>IF(ISBLANK('Data Entry'!$Ù$23), "", 'Data Entry'!$Ù$23)</f>
      </c>
      <c r="EX23">
        <f>IF(ISBLANK('Data Entry'!$Ú$23), "", 'Data Entry'!$Ú$23)</f>
      </c>
      <c r="EY23">
        <f>IF(ISBLANK('Data Entry'!$Û$23), "", 'Data Entry'!$Û$23)</f>
      </c>
      <c r="EZ23">
        <f>IF(ISBLANK('Data Entry'!$Ü$23), "", 'Data Entry'!$Ü$23)</f>
      </c>
      <c r="FA23">
        <f>IF(ISBLANK('Data Entry'!$Ý$23), "", 'Data Entry'!$Ý$23)</f>
      </c>
      <c r="FB23">
        <f>IF(ISBLANK('Data Entry'!$Þ$23), "", 'Data Entry'!$Þ$23)</f>
      </c>
      <c r="FC23">
        <f>IF(ISBLANK('Data Entry'!$ß$23), "", 'Data Entry'!$ß$23)</f>
      </c>
      <c r="FD23">
        <f>IF(ISBLANK('Data Entry'!$à$23), "", 'Data Entry'!$à$23)</f>
      </c>
      <c r="FE23">
        <f>IF(ISBLANK('Data Entry'!$á$23), "", 'Data Entry'!$á$23)</f>
      </c>
      <c r="FF23">
        <f>IF(ISBLANK('Data Entry'!$â$23), "", 'Data Entry'!$â$23)</f>
      </c>
      <c r="FG23">
        <f>IF(ISBLANK('Data Entry'!$ã$23), "", 'Data Entry'!$ã$23)</f>
      </c>
      <c r="FH23">
        <f>IF(ISBLANK('Data Entry'!$ä$23), "", 'Data Entry'!$ä$23)</f>
      </c>
      <c r="FI23">
        <f>IF(ISBLANK('Data Entry'!$å$23), "", 'Data Entry'!$å$23)</f>
      </c>
      <c r="FJ23">
        <f>IF(ISBLANK('Data Entry'!$æ$23), "", 'Data Entry'!$æ$23)</f>
      </c>
      <c r="FK23">
        <f>IF(ISBLANK('Data Entry'!$ç$23), "", 'Data Entry'!$ç$23)</f>
      </c>
      <c r="FL23">
        <f>IF(ISBLANK('Data Entry'!$è$23), "", 'Data Entry'!$è$23)</f>
      </c>
      <c r="FM23">
        <f>IF(ISBLANK('Data Entry'!$é$23), "", 'Data Entry'!$é$23)</f>
      </c>
      <c r="FN23">
        <f>IF(ISBLANK('Data Entry'!$ê$23), "", 'Data Entry'!$ê$23)</f>
      </c>
      <c r="FO23">
        <f>IF(ISBLANK('Data Entry'!$ë$23), "", 'Data Entry'!$ë$23)</f>
      </c>
      <c r="FP23">
        <f>IF(ISBLANK('Data Entry'!$ì$23), "", 'Data Entry'!$ì$23)</f>
      </c>
      <c r="FQ23">
        <f>IF(ISBLANK('Data Entry'!$í$23), "", 'Data Entry'!$í$23)</f>
      </c>
      <c r="FR23">
        <f>IF(ISBLANK('Data Entry'!$î$23), "", 'Data Entry'!$î$23)</f>
      </c>
      <c r="FS23">
        <f>IF(ISBLANK('Data Entry'!$ï$23), "", 'Data Entry'!$ï$23)</f>
      </c>
      <c r="FT23">
        <f>IF(ISBLANK('Data Entry'!$ð$23), "", 'Data Entry'!$ð$23)</f>
      </c>
      <c r="FU23">
        <f>IF(ISBLANK('Data Entry'!$ñ$23), "", 'Data Entry'!$ñ$23)</f>
      </c>
      <c r="FV23">
        <f>IF(ISBLANK('Data Entry'!$ò$23), "", 'Data Entry'!$ò$23)</f>
      </c>
      <c r="FW23">
        <f>IF(ISBLANK('Data Entry'!$ó$23), "", 'Data Entry'!$ó$23)</f>
      </c>
      <c r="FX23">
        <f>IF(ISBLANK('Data Entry'!$ô$23), "", 'Data Entry'!$ô$23)</f>
      </c>
      <c r="FY23">
        <f>IF(ISBLANK('Data Entry'!$õ$23), "", 'Data Entry'!$õ$23)</f>
      </c>
      <c r="FZ23">
        <f>IF(ISBLANK('Data Entry'!$ö$23), "", 'Data Entry'!$ö$23)</f>
      </c>
      <c r="GA23">
        <f>IF(ISBLANK('Data Entry'!$÷$23), "", 'Data Entry'!$÷$23)</f>
      </c>
      <c r="GB23">
        <f>IF(ISBLANK('Data Entry'!$ø$23), "", 'Data Entry'!$ø$23)</f>
      </c>
      <c r="GC23">
        <f>IF(ISBLANK('Data Entry'!$ù$23), "", 'Data Entry'!$ù$23)</f>
      </c>
      <c r="GD23">
        <f>IF(ISBLANK('Data Entry'!$ú$23), "", 'Data Entry'!$ú$23)</f>
      </c>
      <c r="GE23">
        <f>IF(ISBLANK('Data Entry'!$û$23), "", 'Data Entry'!$û$23)</f>
      </c>
      <c r="GF23">
        <f>IF(ISBLANK('Data Entry'!$ü$23), "", 'Data Entry'!$ü$23)</f>
      </c>
      <c r="GG23">
        <f>IF(ISBLANK('Data Entry'!$ý$23), "", 'Data Entry'!$ý$23)</f>
      </c>
      <c r="GH23">
        <f>IF(ISBLANK('Data Entry'!$þ$23), "", 'Data Entry'!$þ$23)</f>
      </c>
      <c r="GI23">
        <f>IF(ISBLANK('Data Entry'!$ÿ$23), "", 'Data Entry'!$ÿ$23)</f>
      </c>
      <c r="GJ23">
        <f>IF(ISBLANK('Data Entry'!$Ā$23), "", 'Data Entry'!$Ā$23)</f>
      </c>
      <c r="GK23">
        <f>IF(ISBLANK('Data Entry'!$ā$23), "", 'Data Entry'!$ā$23)</f>
      </c>
      <c r="GL23">
        <f>IF(ISBLANK('Data Entry'!$Ă$23), "", 'Data Entry'!$Ă$23)</f>
      </c>
      <c r="GM23">
        <f>IF(ISBLANK('Data Entry'!$ă$23), "", 'Data Entry'!$ă$23)</f>
      </c>
      <c r="GN23">
        <f>IF(ISBLANK('Data Entry'!$Ą$23), "", 'Data Entry'!$Ą$23)</f>
      </c>
      <c r="GO23">
        <f>IF(ISBLANK('Data Entry'!$ą$23), "", 'Data Entry'!$ą$23)</f>
      </c>
      <c r="GP23">
        <f>IF(ISBLANK('Data Entry'!$Ć$23), "", 'Data Entry'!$Ć$23)</f>
      </c>
      <c r="GQ23">
        <f>IF(ISBLANK('Data Entry'!$ć$23), "", 'Data Entry'!$ć$23)</f>
      </c>
      <c r="GR23">
        <f>IF(ISBLANK('Data Entry'!$Ĉ$23), "", 'Data Entry'!$Ĉ$23)</f>
      </c>
      <c r="GS23">
        <f>IF(ISBLANK('Data Entry'!$ĉ$23), "", 'Data Entry'!$ĉ$23)</f>
      </c>
      <c r="GT23">
        <f>IF(ISBLANK('Data Entry'!$Ċ$23), "", 'Data Entry'!$Ċ$23)</f>
      </c>
      <c r="GU23">
        <f>IF(ISBLANK('Data Entry'!$ċ$23), "", 'Data Entry'!$ċ$23)</f>
      </c>
      <c r="GV23">
        <f>IF(ISBLANK('Data Entry'!$Č$23), "", 'Data Entry'!$Č$23)</f>
      </c>
      <c r="GW23">
        <f>IF(ISBLANK('Data Entry'!$č$23), "", 'Data Entry'!$č$23)</f>
      </c>
      <c r="GX23">
        <f>IF(ISBLANK('Data Entry'!$Ď$23), "", 'Data Entry'!$Ď$23)</f>
      </c>
      <c r="GY23">
        <f>IF(ISBLANK('Data Entry'!$ď$23), "", 'Data Entry'!$ď$23)</f>
      </c>
      <c r="GZ23">
        <f>IF(ISBLANK('Data Entry'!$Đ$23), "", 'Data Entry'!$Đ$23)</f>
      </c>
      <c r="HA23">
        <f>IF(ISBLANK('Data Entry'!$đ$23), "", 'Data Entry'!$đ$23)</f>
      </c>
      <c r="HB23">
        <f>IF(ISBLANK('Data Entry'!$Ē$23), "", 'Data Entry'!$Ē$23)</f>
      </c>
      <c r="HC23">
        <f>IF(ISBLANK('Data Entry'!$ē$23), "", 'Data Entry'!$ē$23)</f>
      </c>
      <c r="HD23">
        <f>IF(ISBLANK('Data Entry'!$Ĕ$23), "", 'Data Entry'!$Ĕ$23)</f>
      </c>
      <c r="HE23">
        <f>IF(ISBLANK('Data Entry'!$ĕ$23), "", 'Data Entry'!$ĕ$23)</f>
      </c>
      <c r="HF23">
        <f>IF(ISBLANK('Data Entry'!$Ė$23), "", 'Data Entry'!$Ė$23)</f>
      </c>
      <c r="HG23">
        <f>IF(ISBLANK('Data Entry'!$ė$23), "", 'Data Entry'!$ė$23)</f>
      </c>
      <c r="HH23">
        <f>IF(ISBLANK('Data Entry'!$Ę$23), "", 'Data Entry'!$Ę$23)</f>
      </c>
      <c r="HI23">
        <f>IF(ISBLANK('Data Entry'!$ę$23), "", 'Data Entry'!$ę$23)</f>
      </c>
      <c r="HJ23">
        <f>IF(ISBLANK('Data Entry'!$Ě$23), "", 'Data Entry'!$Ě$23)</f>
      </c>
      <c r="HK23">
        <f>IF(ISBLANK('Data Entry'!$ě$23), "", 'Data Entry'!$ě$23)</f>
      </c>
      <c r="HL23">
        <f>IF(ISBLANK('Data Entry'!$Ĝ$23), "", 'Data Entry'!$Ĝ$23)</f>
      </c>
      <c r="HM23">
        <f>IF(ISBLANK('Data Entry'!$ĝ$23), "", 'Data Entry'!$ĝ$23)</f>
      </c>
      <c r="HN23">
        <f>IF(ISBLANK('Data Entry'!$Ğ$23), "", 'Data Entry'!$Ğ$23)</f>
      </c>
      <c r="HO23">
        <f>IF(ISBLANK('Data Entry'!$ğ$23), "", 'Data Entry'!$ğ$23)</f>
      </c>
      <c r="HP23">
        <f>IF(ISBLANK('Data Entry'!$Ġ$23), "", 'Data Entry'!$Ġ$23)</f>
      </c>
      <c r="HQ23">
        <f>IF(ISBLANK('Data Entry'!$ġ$23), "", 'Data Entry'!$ġ$23)</f>
      </c>
      <c r="HR23">
        <f>IF(ISBLANK('Data Entry'!$Ģ$23), "", 'Data Entry'!$Ģ$23)</f>
      </c>
      <c r="HS23">
        <f>IF(ISBLANK('Data Entry'!$ģ$23), "", 'Data Entry'!$ģ$23)</f>
      </c>
      <c r="HT23">
        <f>IF(ISBLANK('Data Entry'!$Ĥ$23), "", 'Data Entry'!$Ĥ$23)</f>
      </c>
      <c r="HU23">
        <f>IF(ISBLANK('Data Entry'!$ĥ$23), "", 'Data Entry'!$ĥ$23)</f>
      </c>
      <c r="HV23">
        <f>IF(ISBLANK('Data Entry'!$Ħ$23), "", 'Data Entry'!$Ħ$23)</f>
      </c>
      <c r="HW23">
        <f>IF(ISBLANK('Data Entry'!$ħ$23), "", 'Data Entry'!$ħ$23)</f>
      </c>
      <c r="HX23">
        <f>IF(ISBLANK('Data Entry'!$Ĩ$23), "", 'Data Entry'!$Ĩ$23)</f>
      </c>
      <c r="HY23">
        <f>IF(ISBLANK('Data Entry'!$ĩ$23), "", 'Data Entry'!$ĩ$23)</f>
      </c>
      <c r="HZ23">
        <f>IF(ISBLANK('Data Entry'!$Ī$23), "", 'Data Entry'!$Ī$23)</f>
      </c>
      <c r="IA23">
        <f>IF(ISBLANK('Data Entry'!$ī$23), "", 'Data Entry'!$ī$23)</f>
      </c>
      <c r="IB23">
        <f>IF(ISBLANK('Data Entry'!$Ĭ$23), "", 'Data Entry'!$Ĭ$23)</f>
      </c>
      <c r="IC23">
        <f>IF(ISBLANK('Data Entry'!$ĭ$23), "", 'Data Entry'!$ĭ$23)</f>
      </c>
      <c r="ID23">
        <f>IF(ISBLANK('Data Entry'!$Į$23), "", 'Data Entry'!$Į$23)</f>
      </c>
      <c r="IE23">
        <f>IF(ISBLANK('Data Entry'!$į$23), "", 'Data Entry'!$į$23)</f>
      </c>
      <c r="IF23">
        <f>IF(ISBLANK('Data Entry'!$İ$23), "", 'Data Entry'!$İ$23)</f>
      </c>
      <c r="IG23">
        <f>IF(ISBLANK('Data Entry'!$ı$23), "", 'Data Entry'!$ı$23)</f>
      </c>
      <c r="IH23">
        <f>IF(ISBLANK('Data Entry'!$Ĳ$23), "", 'Data Entry'!$Ĳ$23)</f>
      </c>
      <c r="II23">
        <f>IF(ISBLANK('Data Entry'!$ĳ$23), "", 'Data Entry'!$ĳ$23)</f>
      </c>
      <c r="IJ23">
        <f>IF(ISBLANK('Data Entry'!$Ĵ$23), "", 'Data Entry'!$Ĵ$23)</f>
      </c>
      <c r="IK23">
        <f>IF(ISBLANK('Data Entry'!$ĵ$23), "", 'Data Entry'!$ĵ$23)</f>
      </c>
      <c r="IL23">
        <f>IF(ISBLANK('Data Entry'!$Ķ$23), "", 'Data Entry'!$Ķ$23)</f>
      </c>
      <c r="IM23">
        <f>IF(ISBLANK('Data Entry'!$ķ$23), "", 'Data Entry'!$ķ$23)</f>
      </c>
      <c r="IN23">
        <f>IF(ISBLANK('Data Entry'!$ĸ$23), "", 'Data Entry'!$ĸ$23)</f>
      </c>
      <c r="IO23">
        <f>IF(ISBLANK('Data Entry'!$Ĺ$23), "", 'Data Entry'!$Ĺ$23)</f>
      </c>
      <c r="IP23">
        <f>IF(ISBLANK('Data Entry'!$ĺ$23), "", 'Data Entry'!$ĺ$23)</f>
      </c>
      <c r="IQ23">
        <f>IF(ISBLANK('Data Entry'!$Ļ$23), "", 'Data Entry'!$Ļ$23)</f>
      </c>
      <c r="IR23">
        <f>IF(ISBLANK('Data Entry'!$ļ$23), "", 'Data Entry'!$ļ$23)</f>
      </c>
      <c r="IS23">
        <f>IF(ISBLANK('Data Entry'!$Ľ$23), "", 'Data Entry'!$Ľ$23)</f>
      </c>
      <c r="IT23">
        <f>IF(ISBLANK('Data Entry'!$ľ$23), "", 'Data Entry'!$ľ$23)</f>
      </c>
    </row>
    <row r="24" spans="1:254" x14ac:dyDescent="0.25">
      <c r="A24">
        <f>IF(ISBLANK('Data Entry'!$A$24), "", 'Data Entry'!$A$24)</f>
      </c>
      <c r="B24">
        <f>IF(ISBLANK('Data Entry'!$B$24), "", 'Data Entry'!$B$24)</f>
      </c>
      <c r="C24">
        <f>IF(ISBLANK('Data Entry'!$C$24), "", 'Data Entry'!$C$24)</f>
      </c>
      <c r="D24">
        <f>IF(ISBLANK('Data Entry'!$D$24), "", 'Data Entry'!$D$24)</f>
      </c>
      <c r="E24">
        <f>IF(ISBLANK('Data Entry'!$E$24), "", 'Data Entry'!$E$24)</f>
      </c>
      <c r="F24">
        <f>IF(ISBLANK('Data Entry'!$F$24), "", 'Data Entry'!$F$24)</f>
      </c>
      <c r="G24">
        <f>IF(ISBLANK('Data Entry'!$G$24), "", 'Data Entry'!$G$24)</f>
      </c>
      <c r="H24">
        <f>IF(ISBLANK('Data Entry'!$H$24), "", 'Data Entry'!$H$24)</f>
      </c>
      <c r="I24">
        <f>IF(ISBLANK('Data Entry'!$I$24), "", 'Data Entry'!$I$24)</f>
      </c>
      <c r="J24">
        <f>IF(ISBLANK('Data Entry'!$J$24), "", 'Data Entry'!$J$24)</f>
      </c>
      <c r="K24">
        <f>IF(ISBLANK('Data Entry'!$K$24), "", 'Data Entry'!$K$24)</f>
      </c>
      <c r="L24">
        <f>IF(ISBLANK('Data Entry'!$L$24), "", 'Data Entry'!$L$24)</f>
      </c>
      <c r="M24">
        <f>IF(ISBLANK('Data Entry'!$M$24), "", 'Data Entry'!$M$24)</f>
      </c>
      <c r="N24">
        <f>IF(ISBLANK('Data Entry'!$N$24), "", 'Data Entry'!$N$24)</f>
      </c>
      <c r="O24">
        <f>IF(ISBLANK('Data Entry'!$O$24), "", 'Data Entry'!$O$24)</f>
      </c>
      <c r="P24">
        <f>IF(ISBLANK('Data Entry'!$P$24), "", 'Data Entry'!$P$24)</f>
      </c>
      <c r="Q24">
        <f>IF(ISBLANK('Data Entry'!$Q$24), "", 'Data Entry'!$Q$24)</f>
      </c>
      <c r="R24">
        <f>IF(ISBLANK('Data Entry'!$R$24), "", 'Data Entry'!$R$24)</f>
      </c>
      <c r="S24">
        <f>IF(ISBLANK('Data Entry'!$S$24), "", 'Data Entry'!$S$24)</f>
      </c>
      <c r="T24">
        <f>IF(ISBLANK('Data Entry'!$T$24), "", 'Data Entry'!$T$24)</f>
      </c>
      <c r="U24">
        <f>IF(ISBLANK('Data Entry'!$U$24), "", 'Data Entry'!$U$24)</f>
      </c>
      <c r="V24">
        <f>IF(ISBLANK('Data Entry'!$V$24), "", 'Data Entry'!$V$24)</f>
      </c>
      <c r="W24">
        <f>IF(ISBLANK('Data Entry'!$W$24), "", 'Data Entry'!$W$24)</f>
      </c>
      <c r="X24">
        <f>IF(ISBLANK('Data Entry'!$X$24), "", 'Data Entry'!$X$24)</f>
      </c>
      <c r="Y24">
        <f>IF(ISBLANK('Data Entry'!$Y$24), "", 'Data Entry'!$Y$24)</f>
      </c>
      <c r="Z24">
        <f>IF(ISBLANK('Data Entry'!$Z$24), "", 'Data Entry'!$Z$24)</f>
      </c>
      <c r="AA24">
        <f>IF(ISBLANK('Data Entry'!$[$24), "", 'Data Entry'!$[$24)</f>
      </c>
      <c r="AB24">
        <f>IF(ISBLANK('Data Entry'!$\$24), "", 'Data Entry'!$\$24)</f>
      </c>
      <c r="AC24">
        <f>IF(ISBLANK('Data Entry'!$]$24), "", 'Data Entry'!$]$24)</f>
      </c>
      <c r="AD24">
        <f>IF(ISBLANK('Data Entry'!$^$24), "", 'Data Entry'!$^$24)</f>
      </c>
      <c r="AE24">
        <f>IF(ISBLANK('Data Entry'!$_$24), "", 'Data Entry'!$_$24)</f>
      </c>
      <c r="AF24">
        <f>IF(ISBLANK('Data Entry'!$`$24), "", 'Data Entry'!$`$24)</f>
      </c>
      <c r="AG24">
        <f>IF(ISBLANK('Data Entry'!$a$24), "", 'Data Entry'!$a$24)</f>
      </c>
      <c r="AH24">
        <f>IF(ISBLANK('Data Entry'!$b$24), "", 'Data Entry'!$b$24)</f>
      </c>
      <c r="AI24">
        <f>IF(ISBLANK('Data Entry'!$c$24), "", 'Data Entry'!$c$24)</f>
      </c>
      <c r="AJ24">
        <f>IF(ISBLANK('Data Entry'!$d$24), "", 'Data Entry'!$d$24)</f>
      </c>
      <c r="AK24">
        <f>IF(ISBLANK('Data Entry'!$e$24), "", 'Data Entry'!$e$24)</f>
      </c>
      <c r="AL24">
        <f>IF(ISBLANK('Data Entry'!$f$24), "", 'Data Entry'!$f$24)</f>
      </c>
      <c r="AM24">
        <f>IF(ISBLANK('Data Entry'!$g$24), "", 'Data Entry'!$g$24)</f>
      </c>
      <c r="AN24">
        <f>IF(ISBLANK('Data Entry'!$h$24), "", 'Data Entry'!$h$24)</f>
      </c>
      <c r="AO24">
        <f>IF(ISBLANK('Data Entry'!$i$24), "", 'Data Entry'!$i$24)</f>
      </c>
      <c r="AP24">
        <f>IF(ISBLANK('Data Entry'!$j$24), "", 'Data Entry'!$j$24)</f>
      </c>
      <c r="AQ24">
        <f>IF(ISBLANK('Data Entry'!$k$24), "", 'Data Entry'!$k$24)</f>
      </c>
      <c r="AR24">
        <f>IF(ISBLANK('Data Entry'!$l$24), "", 'Data Entry'!$l$24)</f>
      </c>
      <c r="AS24">
        <f>IF(ISBLANK('Data Entry'!$m$24), "", 'Data Entry'!$m$24)</f>
      </c>
      <c r="AT24">
        <f>IF(ISBLANK('Data Entry'!$n$24), "", 'Data Entry'!$n$24)</f>
      </c>
      <c r="AU24">
        <f>IF(ISBLANK('Data Entry'!$o$24), "", 'Data Entry'!$o$24)</f>
      </c>
      <c r="AV24">
        <f>IF(ISBLANK('Data Entry'!$p$24), "", 'Data Entry'!$p$24)</f>
      </c>
      <c r="AW24">
        <f>IF(ISBLANK('Data Entry'!$q$24), "", 'Data Entry'!$q$24)</f>
      </c>
      <c r="AX24">
        <f>IF(ISBLANK('Data Entry'!$r$24), "", 'Data Entry'!$r$24)</f>
      </c>
      <c r="AY24">
        <f>IF(ISBLANK('Data Entry'!$s$24), "", 'Data Entry'!$s$24)</f>
      </c>
      <c r="AZ24">
        <f>IF(ISBLANK('Data Entry'!$t$24), "", 'Data Entry'!$t$24)</f>
      </c>
      <c r="BA24">
        <f>IF(ISBLANK('Data Entry'!$u$24), "", 'Data Entry'!$u$24)</f>
      </c>
      <c r="BB24">
        <f>IF(ISBLANK('Data Entry'!$v$24), "", 'Data Entry'!$v$24)</f>
      </c>
      <c r="BC24">
        <f>IF(ISBLANK('Data Entry'!$w$24), "", 'Data Entry'!$w$24)</f>
      </c>
      <c r="BD24">
        <f>IF(ISBLANK('Data Entry'!$x$24), "", 'Data Entry'!$x$24)</f>
      </c>
      <c r="BE24">
        <f>IF(ISBLANK('Data Entry'!$y$24), "", 'Data Entry'!$y$24)</f>
      </c>
      <c r="BF24">
        <f>IF(ISBLANK('Data Entry'!$z$24), "", 'Data Entry'!$z$24)</f>
      </c>
      <c r="BG24">
        <f>IF(ISBLANK('Data Entry'!${$24), "", 'Data Entry'!${$24)</f>
      </c>
      <c r="BH24">
        <f>IF(ISBLANK('Data Entry'!$|$24), "", 'Data Entry'!$|$24)</f>
      </c>
      <c r="BI24">
        <f>IF(ISBLANK('Data Entry'!$}$24), "", 'Data Entry'!$}$24)</f>
      </c>
      <c r="BJ24">
        <f>IF(ISBLANK('Data Entry'!$~$24), "", 'Data Entry'!$~$24)</f>
      </c>
      <c r="BK24">
        <f>IF(ISBLANK('Data Entry'!$$24), "", 'Data Entry'!$$24)</f>
      </c>
      <c r="BL24">
        <f>IF(ISBLANK('Data Entry'!$$24), "", 'Data Entry'!$$24)</f>
      </c>
      <c r="BM24">
        <f>IF(ISBLANK('Data Entry'!$$24), "", 'Data Entry'!$$24)</f>
      </c>
      <c r="BN24">
        <f>IF(ISBLANK('Data Entry'!$$24), "", 'Data Entry'!$$24)</f>
      </c>
      <c r="BO24">
        <f>IF(ISBLANK('Data Entry'!$$24), "", 'Data Entry'!$$24)</f>
      </c>
      <c r="BP24">
        <f>IF(ISBLANK('Data Entry'!$$24), "", 'Data Entry'!$$24)</f>
      </c>
      <c r="BQ24">
        <f>IF(ISBLANK('Data Entry'!$$24), "", 'Data Entry'!$$24)</f>
      </c>
      <c r="BR24">
        <f>IF(ISBLANK('Data Entry'!$$24), "", 'Data Entry'!$$24)</f>
      </c>
      <c r="BS24">
        <f>IF(ISBLANK('Data Entry'!$$24), "", 'Data Entry'!$$24)</f>
      </c>
      <c r="BT24">
        <f>IF(ISBLANK('Data Entry'!$$24), "", 'Data Entry'!$$24)</f>
      </c>
      <c r="BU24">
        <f>IF(ISBLANK('Data Entry'!$$24), "", 'Data Entry'!$$24)</f>
      </c>
      <c r="BV24">
        <f>IF(ISBLANK('Data Entry'!$$24), "", 'Data Entry'!$$24)</f>
      </c>
      <c r="BW24">
        <f>IF(ISBLANK('Data Entry'!$$24), "", 'Data Entry'!$$24)</f>
      </c>
      <c r="BX24">
        <f>IF(ISBLANK('Data Entry'!$$24), "", 'Data Entry'!$$24)</f>
      </c>
      <c r="BY24">
        <f>IF(ISBLANK('Data Entry'!$$24), "", 'Data Entry'!$$24)</f>
      </c>
      <c r="BZ24">
        <f>IF(ISBLANK('Data Entry'!$$24), "", 'Data Entry'!$$24)</f>
      </c>
      <c r="CA24">
        <f>IF(ISBLANK('Data Entry'!$$24), "", 'Data Entry'!$$24)</f>
      </c>
      <c r="CB24">
        <f>IF(ISBLANK('Data Entry'!$$24), "", 'Data Entry'!$$24)</f>
      </c>
      <c r="CC24">
        <f>IF(ISBLANK('Data Entry'!$$24), "", 'Data Entry'!$$24)</f>
      </c>
      <c r="CD24">
        <f>IF(ISBLANK('Data Entry'!$$24), "", 'Data Entry'!$$24)</f>
      </c>
      <c r="CE24">
        <f>IF(ISBLANK('Data Entry'!$$24), "", 'Data Entry'!$$24)</f>
      </c>
      <c r="CF24">
        <f>IF(ISBLANK('Data Entry'!$$24), "", 'Data Entry'!$$24)</f>
      </c>
      <c r="CG24">
        <f>IF(ISBLANK('Data Entry'!$$24), "", 'Data Entry'!$$24)</f>
      </c>
      <c r="CH24">
        <f>IF(ISBLANK('Data Entry'!$$24), "", 'Data Entry'!$$24)</f>
      </c>
      <c r="CI24">
        <f>IF(ISBLANK('Data Entry'!$$24), "", 'Data Entry'!$$24)</f>
      </c>
      <c r="CJ24">
        <f>IF(ISBLANK('Data Entry'!$$24), "", 'Data Entry'!$$24)</f>
      </c>
      <c r="CK24">
        <f>IF(ISBLANK('Data Entry'!$$24), "", 'Data Entry'!$$24)</f>
      </c>
      <c r="CL24">
        <f>IF(ISBLANK('Data Entry'!$$24), "", 'Data Entry'!$$24)</f>
      </c>
      <c r="CM24">
        <f>IF(ISBLANK('Data Entry'!$$24), "", 'Data Entry'!$$24)</f>
      </c>
      <c r="CN24">
        <f>IF(ISBLANK('Data Entry'!$$24), "", 'Data Entry'!$$24)</f>
      </c>
      <c r="CO24">
        <f>IF(ISBLANK('Data Entry'!$$24), "", 'Data Entry'!$$24)</f>
      </c>
      <c r="CP24">
        <f>IF(ISBLANK('Data Entry'!$$24), "", 'Data Entry'!$$24)</f>
      </c>
      <c r="CQ24">
        <f>IF(ISBLANK('Data Entry'!$$24), "", 'Data Entry'!$$24)</f>
      </c>
      <c r="CR24">
        <f>IF(ISBLANK('Data Entry'!$ $24), "", 'Data Entry'!$ $24)</f>
      </c>
      <c r="CS24">
        <f>IF(ISBLANK('Data Entry'!$¡$24), "", 'Data Entry'!$¡$24)</f>
      </c>
      <c r="CT24">
        <f>IF(ISBLANK('Data Entry'!$¢$24), "", 'Data Entry'!$¢$24)</f>
      </c>
      <c r="CU24">
        <f>IF(ISBLANK('Data Entry'!$£$24), "", 'Data Entry'!$£$24)</f>
      </c>
      <c r="CV24">
        <f>IF(ISBLANK('Data Entry'!$¤$24), "", 'Data Entry'!$¤$24)</f>
      </c>
      <c r="CW24">
        <f>IF(ISBLANK('Data Entry'!$¥$24), "", 'Data Entry'!$¥$24)</f>
      </c>
      <c r="CX24">
        <f>IF(ISBLANK('Data Entry'!$¦$24), "", 'Data Entry'!$¦$24)</f>
      </c>
      <c r="CY24">
        <f>IF(ISBLANK('Data Entry'!$§$24), "", 'Data Entry'!$§$24)</f>
      </c>
      <c r="CZ24">
        <f>IF(ISBLANK('Data Entry'!$¨$24), "", 'Data Entry'!$¨$24)</f>
      </c>
      <c r="DA24">
        <f>IF(ISBLANK('Data Entry'!$©$24), "", 'Data Entry'!$©$24)</f>
      </c>
      <c r="DB24">
        <f>IF(ISBLANK('Data Entry'!$ª$24), "", 'Data Entry'!$ª$24)</f>
      </c>
      <c r="DC24">
        <f>IF(ISBLANK('Data Entry'!$«$24), "", 'Data Entry'!$«$24)</f>
      </c>
      <c r="DD24">
        <f>IF(ISBLANK('Data Entry'!$¬$24), "", 'Data Entry'!$¬$24)</f>
      </c>
      <c r="DE24">
        <f>IF(ISBLANK('Data Entry'!$­$24), "", 'Data Entry'!$­$24)</f>
      </c>
      <c r="DF24">
        <f>IF(ISBLANK('Data Entry'!$®$24), "", 'Data Entry'!$®$24)</f>
      </c>
      <c r="DG24">
        <f>IF(ISBLANK('Data Entry'!$¯$24), "", 'Data Entry'!$¯$24)</f>
      </c>
      <c r="DH24">
        <f>IF(ISBLANK('Data Entry'!$°$24), "", 'Data Entry'!$°$24)</f>
      </c>
      <c r="DI24">
        <f>IF(ISBLANK('Data Entry'!$±$24), "", 'Data Entry'!$±$24)</f>
      </c>
      <c r="DJ24">
        <f>IF(ISBLANK('Data Entry'!$²$24), "", 'Data Entry'!$²$24)</f>
      </c>
      <c r="DK24">
        <f>IF(ISBLANK('Data Entry'!$³$24), "", 'Data Entry'!$³$24)</f>
      </c>
      <c r="DL24">
        <f>IF(ISBLANK('Data Entry'!$´$24), "", 'Data Entry'!$´$24)</f>
      </c>
      <c r="DM24">
        <f>IF(ISBLANK('Data Entry'!$µ$24), "", 'Data Entry'!$µ$24)</f>
      </c>
      <c r="DN24">
        <f>IF(ISBLANK('Data Entry'!$¶$24), "", 'Data Entry'!$¶$24)</f>
      </c>
      <c r="DO24">
        <f>IF(ISBLANK('Data Entry'!$·$24), "", 'Data Entry'!$·$24)</f>
      </c>
      <c r="DP24">
        <f>IF(ISBLANK('Data Entry'!$¸$24), "", 'Data Entry'!$¸$24)</f>
      </c>
      <c r="DQ24">
        <f>IF(ISBLANK('Data Entry'!$¹$24), "", 'Data Entry'!$¹$24)</f>
      </c>
      <c r="DR24">
        <f>IF(ISBLANK('Data Entry'!$º$24), "", 'Data Entry'!$º$24)</f>
      </c>
      <c r="DS24">
        <f>IF(ISBLANK('Data Entry'!$»$24), "", 'Data Entry'!$»$24)</f>
      </c>
      <c r="DT24">
        <f>IF(ISBLANK('Data Entry'!$¼$24), "", 'Data Entry'!$¼$24)</f>
      </c>
      <c r="DU24">
        <f>IF(ISBLANK('Data Entry'!$½$24), "", 'Data Entry'!$½$24)</f>
      </c>
      <c r="DV24">
        <f>IF(ISBLANK('Data Entry'!$¾$24), "", 'Data Entry'!$¾$24)</f>
      </c>
      <c r="DW24">
        <f>IF(ISBLANK('Data Entry'!$¿$24), "", 'Data Entry'!$¿$24)</f>
      </c>
      <c r="DX24">
        <f>IF(ISBLANK('Data Entry'!$À$24), "", 'Data Entry'!$À$24)</f>
      </c>
      <c r="DY24">
        <f>IF(ISBLANK('Data Entry'!$Á$24), "", 'Data Entry'!$Á$24)</f>
      </c>
      <c r="DZ24">
        <f>IF(ISBLANK('Data Entry'!$Â$24), "", 'Data Entry'!$Â$24)</f>
      </c>
      <c r="EA24">
        <f>IF(ISBLANK('Data Entry'!$Ã$24), "", 'Data Entry'!$Ã$24)</f>
      </c>
      <c r="EB24">
        <f>IF(ISBLANK('Data Entry'!$Ä$24), "", 'Data Entry'!$Ä$24)</f>
      </c>
      <c r="EC24">
        <f>IF(ISBLANK('Data Entry'!$Å$24), "", 'Data Entry'!$Å$24)</f>
      </c>
      <c r="ED24">
        <f>IF(ISBLANK('Data Entry'!$Æ$24), "", 'Data Entry'!$Æ$24)</f>
      </c>
      <c r="EE24">
        <f>IF(ISBLANK('Data Entry'!$Ç$24), "", 'Data Entry'!$Ç$24)</f>
      </c>
      <c r="EF24">
        <f>IF(ISBLANK('Data Entry'!$È$24), "", 'Data Entry'!$È$24)</f>
      </c>
      <c r="EG24">
        <f>IF(ISBLANK('Data Entry'!$É$24), "", 'Data Entry'!$É$24)</f>
      </c>
      <c r="EH24">
        <f>IF(ISBLANK('Data Entry'!$Ê$24), "", 'Data Entry'!$Ê$24)</f>
      </c>
      <c r="EI24">
        <f>IF(ISBLANK('Data Entry'!$Ë$24), "", 'Data Entry'!$Ë$24)</f>
      </c>
      <c r="EJ24">
        <f>IF(ISBLANK('Data Entry'!$Ì$24), "", 'Data Entry'!$Ì$24)</f>
      </c>
      <c r="EK24">
        <f>IF(ISBLANK('Data Entry'!$Í$24), "", 'Data Entry'!$Í$24)</f>
      </c>
      <c r="EL24">
        <f>IF(ISBLANK('Data Entry'!$Î$24), "", 'Data Entry'!$Î$24)</f>
      </c>
      <c r="EM24">
        <f>IF(ISBLANK('Data Entry'!$Ï$24), "", 'Data Entry'!$Ï$24)</f>
      </c>
      <c r="EN24">
        <f>IF(ISBLANK('Data Entry'!$Ð$24), "", 'Data Entry'!$Ð$24)</f>
      </c>
      <c r="EO24">
        <f>IF(ISBLANK('Data Entry'!$Ñ$24), "", 'Data Entry'!$Ñ$24)</f>
      </c>
      <c r="EP24">
        <f>IF(ISBLANK('Data Entry'!$Ò$24), "", 'Data Entry'!$Ò$24)</f>
      </c>
      <c r="EQ24">
        <f>IF(ISBLANK('Data Entry'!$Ó$24), "", 'Data Entry'!$Ó$24)</f>
      </c>
      <c r="ER24">
        <f>IF(ISBLANK('Data Entry'!$Ô$24), "", 'Data Entry'!$Ô$24)</f>
      </c>
      <c r="ES24">
        <f>IF(ISBLANK('Data Entry'!$Õ$24), "", 'Data Entry'!$Õ$24)</f>
      </c>
      <c r="ET24">
        <f>IF(ISBLANK('Data Entry'!$Ö$24), "", 'Data Entry'!$Ö$24)</f>
      </c>
      <c r="EU24">
        <f>IF(ISBLANK('Data Entry'!$×$24), "", 'Data Entry'!$×$24)</f>
      </c>
      <c r="EV24">
        <f>IF(ISBLANK('Data Entry'!$Ø$24), "", 'Data Entry'!$Ø$24)</f>
      </c>
      <c r="EW24">
        <f>IF(ISBLANK('Data Entry'!$Ù$24), "", 'Data Entry'!$Ù$24)</f>
      </c>
      <c r="EX24">
        <f>IF(ISBLANK('Data Entry'!$Ú$24), "", 'Data Entry'!$Ú$24)</f>
      </c>
      <c r="EY24">
        <f>IF(ISBLANK('Data Entry'!$Û$24), "", 'Data Entry'!$Û$24)</f>
      </c>
      <c r="EZ24">
        <f>IF(ISBLANK('Data Entry'!$Ü$24), "", 'Data Entry'!$Ü$24)</f>
      </c>
      <c r="FA24">
        <f>IF(ISBLANK('Data Entry'!$Ý$24), "", 'Data Entry'!$Ý$24)</f>
      </c>
      <c r="FB24">
        <f>IF(ISBLANK('Data Entry'!$Þ$24), "", 'Data Entry'!$Þ$24)</f>
      </c>
      <c r="FC24">
        <f>IF(ISBLANK('Data Entry'!$ß$24), "", 'Data Entry'!$ß$24)</f>
      </c>
      <c r="FD24">
        <f>IF(ISBLANK('Data Entry'!$à$24), "", 'Data Entry'!$à$24)</f>
      </c>
      <c r="FE24">
        <f>IF(ISBLANK('Data Entry'!$á$24), "", 'Data Entry'!$á$24)</f>
      </c>
      <c r="FF24">
        <f>IF(ISBLANK('Data Entry'!$â$24), "", 'Data Entry'!$â$24)</f>
      </c>
      <c r="FG24">
        <f>IF(ISBLANK('Data Entry'!$ã$24), "", 'Data Entry'!$ã$24)</f>
      </c>
      <c r="FH24">
        <f>IF(ISBLANK('Data Entry'!$ä$24), "", 'Data Entry'!$ä$24)</f>
      </c>
      <c r="FI24">
        <f>IF(ISBLANK('Data Entry'!$å$24), "", 'Data Entry'!$å$24)</f>
      </c>
      <c r="FJ24">
        <f>IF(ISBLANK('Data Entry'!$æ$24), "", 'Data Entry'!$æ$24)</f>
      </c>
      <c r="FK24">
        <f>IF(ISBLANK('Data Entry'!$ç$24), "", 'Data Entry'!$ç$24)</f>
      </c>
      <c r="FL24">
        <f>IF(ISBLANK('Data Entry'!$è$24), "", 'Data Entry'!$è$24)</f>
      </c>
      <c r="FM24">
        <f>IF(ISBLANK('Data Entry'!$é$24), "", 'Data Entry'!$é$24)</f>
      </c>
      <c r="FN24">
        <f>IF(ISBLANK('Data Entry'!$ê$24), "", 'Data Entry'!$ê$24)</f>
      </c>
      <c r="FO24">
        <f>IF(ISBLANK('Data Entry'!$ë$24), "", 'Data Entry'!$ë$24)</f>
      </c>
      <c r="FP24">
        <f>IF(ISBLANK('Data Entry'!$ì$24), "", 'Data Entry'!$ì$24)</f>
      </c>
      <c r="FQ24">
        <f>IF(ISBLANK('Data Entry'!$í$24), "", 'Data Entry'!$í$24)</f>
      </c>
      <c r="FR24">
        <f>IF(ISBLANK('Data Entry'!$î$24), "", 'Data Entry'!$î$24)</f>
      </c>
      <c r="FS24">
        <f>IF(ISBLANK('Data Entry'!$ï$24), "", 'Data Entry'!$ï$24)</f>
      </c>
      <c r="FT24">
        <f>IF(ISBLANK('Data Entry'!$ð$24), "", 'Data Entry'!$ð$24)</f>
      </c>
      <c r="FU24">
        <f>IF(ISBLANK('Data Entry'!$ñ$24), "", 'Data Entry'!$ñ$24)</f>
      </c>
      <c r="FV24">
        <f>IF(ISBLANK('Data Entry'!$ò$24), "", 'Data Entry'!$ò$24)</f>
      </c>
      <c r="FW24">
        <f>IF(ISBLANK('Data Entry'!$ó$24), "", 'Data Entry'!$ó$24)</f>
      </c>
      <c r="FX24">
        <f>IF(ISBLANK('Data Entry'!$ô$24), "", 'Data Entry'!$ô$24)</f>
      </c>
      <c r="FY24">
        <f>IF(ISBLANK('Data Entry'!$õ$24), "", 'Data Entry'!$õ$24)</f>
      </c>
      <c r="FZ24">
        <f>IF(ISBLANK('Data Entry'!$ö$24), "", 'Data Entry'!$ö$24)</f>
      </c>
      <c r="GA24">
        <f>IF(ISBLANK('Data Entry'!$÷$24), "", 'Data Entry'!$÷$24)</f>
      </c>
      <c r="GB24">
        <f>IF(ISBLANK('Data Entry'!$ø$24), "", 'Data Entry'!$ø$24)</f>
      </c>
      <c r="GC24">
        <f>IF(ISBLANK('Data Entry'!$ù$24), "", 'Data Entry'!$ù$24)</f>
      </c>
      <c r="GD24">
        <f>IF(ISBLANK('Data Entry'!$ú$24), "", 'Data Entry'!$ú$24)</f>
      </c>
      <c r="GE24">
        <f>IF(ISBLANK('Data Entry'!$û$24), "", 'Data Entry'!$û$24)</f>
      </c>
      <c r="GF24">
        <f>IF(ISBLANK('Data Entry'!$ü$24), "", 'Data Entry'!$ü$24)</f>
      </c>
      <c r="GG24">
        <f>IF(ISBLANK('Data Entry'!$ý$24), "", 'Data Entry'!$ý$24)</f>
      </c>
      <c r="GH24">
        <f>IF(ISBLANK('Data Entry'!$þ$24), "", 'Data Entry'!$þ$24)</f>
      </c>
      <c r="GI24">
        <f>IF(ISBLANK('Data Entry'!$ÿ$24), "", 'Data Entry'!$ÿ$24)</f>
      </c>
      <c r="GJ24">
        <f>IF(ISBLANK('Data Entry'!$Ā$24), "", 'Data Entry'!$Ā$24)</f>
      </c>
      <c r="GK24">
        <f>IF(ISBLANK('Data Entry'!$ā$24), "", 'Data Entry'!$ā$24)</f>
      </c>
      <c r="GL24">
        <f>IF(ISBLANK('Data Entry'!$Ă$24), "", 'Data Entry'!$Ă$24)</f>
      </c>
      <c r="GM24">
        <f>IF(ISBLANK('Data Entry'!$ă$24), "", 'Data Entry'!$ă$24)</f>
      </c>
      <c r="GN24">
        <f>IF(ISBLANK('Data Entry'!$Ą$24), "", 'Data Entry'!$Ą$24)</f>
      </c>
      <c r="GO24">
        <f>IF(ISBLANK('Data Entry'!$ą$24), "", 'Data Entry'!$ą$24)</f>
      </c>
      <c r="GP24">
        <f>IF(ISBLANK('Data Entry'!$Ć$24), "", 'Data Entry'!$Ć$24)</f>
      </c>
      <c r="GQ24">
        <f>IF(ISBLANK('Data Entry'!$ć$24), "", 'Data Entry'!$ć$24)</f>
      </c>
      <c r="GR24">
        <f>IF(ISBLANK('Data Entry'!$Ĉ$24), "", 'Data Entry'!$Ĉ$24)</f>
      </c>
      <c r="GS24">
        <f>IF(ISBLANK('Data Entry'!$ĉ$24), "", 'Data Entry'!$ĉ$24)</f>
      </c>
      <c r="GT24">
        <f>IF(ISBLANK('Data Entry'!$Ċ$24), "", 'Data Entry'!$Ċ$24)</f>
      </c>
      <c r="GU24">
        <f>IF(ISBLANK('Data Entry'!$ċ$24), "", 'Data Entry'!$ċ$24)</f>
      </c>
      <c r="GV24">
        <f>IF(ISBLANK('Data Entry'!$Č$24), "", 'Data Entry'!$Č$24)</f>
      </c>
      <c r="GW24">
        <f>IF(ISBLANK('Data Entry'!$č$24), "", 'Data Entry'!$č$24)</f>
      </c>
      <c r="GX24">
        <f>IF(ISBLANK('Data Entry'!$Ď$24), "", 'Data Entry'!$Ď$24)</f>
      </c>
      <c r="GY24">
        <f>IF(ISBLANK('Data Entry'!$ď$24), "", 'Data Entry'!$ď$24)</f>
      </c>
      <c r="GZ24">
        <f>IF(ISBLANK('Data Entry'!$Đ$24), "", 'Data Entry'!$Đ$24)</f>
      </c>
      <c r="HA24">
        <f>IF(ISBLANK('Data Entry'!$đ$24), "", 'Data Entry'!$đ$24)</f>
      </c>
      <c r="HB24">
        <f>IF(ISBLANK('Data Entry'!$Ē$24), "", 'Data Entry'!$Ē$24)</f>
      </c>
      <c r="HC24">
        <f>IF(ISBLANK('Data Entry'!$ē$24), "", 'Data Entry'!$ē$24)</f>
      </c>
      <c r="HD24">
        <f>IF(ISBLANK('Data Entry'!$Ĕ$24), "", 'Data Entry'!$Ĕ$24)</f>
      </c>
      <c r="HE24">
        <f>IF(ISBLANK('Data Entry'!$ĕ$24), "", 'Data Entry'!$ĕ$24)</f>
      </c>
      <c r="HF24">
        <f>IF(ISBLANK('Data Entry'!$Ė$24), "", 'Data Entry'!$Ė$24)</f>
      </c>
      <c r="HG24">
        <f>IF(ISBLANK('Data Entry'!$ė$24), "", 'Data Entry'!$ė$24)</f>
      </c>
      <c r="HH24">
        <f>IF(ISBLANK('Data Entry'!$Ę$24), "", 'Data Entry'!$Ę$24)</f>
      </c>
      <c r="HI24">
        <f>IF(ISBLANK('Data Entry'!$ę$24), "", 'Data Entry'!$ę$24)</f>
      </c>
      <c r="HJ24">
        <f>IF(ISBLANK('Data Entry'!$Ě$24), "", 'Data Entry'!$Ě$24)</f>
      </c>
      <c r="HK24">
        <f>IF(ISBLANK('Data Entry'!$ě$24), "", 'Data Entry'!$ě$24)</f>
      </c>
      <c r="HL24">
        <f>IF(ISBLANK('Data Entry'!$Ĝ$24), "", 'Data Entry'!$Ĝ$24)</f>
      </c>
      <c r="HM24">
        <f>IF(ISBLANK('Data Entry'!$ĝ$24), "", 'Data Entry'!$ĝ$24)</f>
      </c>
      <c r="HN24">
        <f>IF(ISBLANK('Data Entry'!$Ğ$24), "", 'Data Entry'!$Ğ$24)</f>
      </c>
      <c r="HO24">
        <f>IF(ISBLANK('Data Entry'!$ğ$24), "", 'Data Entry'!$ğ$24)</f>
      </c>
      <c r="HP24">
        <f>IF(ISBLANK('Data Entry'!$Ġ$24), "", 'Data Entry'!$Ġ$24)</f>
      </c>
      <c r="HQ24">
        <f>IF(ISBLANK('Data Entry'!$ġ$24), "", 'Data Entry'!$ġ$24)</f>
      </c>
      <c r="HR24">
        <f>IF(ISBLANK('Data Entry'!$Ģ$24), "", 'Data Entry'!$Ģ$24)</f>
      </c>
      <c r="HS24">
        <f>IF(ISBLANK('Data Entry'!$ģ$24), "", 'Data Entry'!$ģ$24)</f>
      </c>
      <c r="HT24">
        <f>IF(ISBLANK('Data Entry'!$Ĥ$24), "", 'Data Entry'!$Ĥ$24)</f>
      </c>
      <c r="HU24">
        <f>IF(ISBLANK('Data Entry'!$ĥ$24), "", 'Data Entry'!$ĥ$24)</f>
      </c>
      <c r="HV24">
        <f>IF(ISBLANK('Data Entry'!$Ħ$24), "", 'Data Entry'!$Ħ$24)</f>
      </c>
      <c r="HW24">
        <f>IF(ISBLANK('Data Entry'!$ħ$24), "", 'Data Entry'!$ħ$24)</f>
      </c>
      <c r="HX24">
        <f>IF(ISBLANK('Data Entry'!$Ĩ$24), "", 'Data Entry'!$Ĩ$24)</f>
      </c>
      <c r="HY24">
        <f>IF(ISBLANK('Data Entry'!$ĩ$24), "", 'Data Entry'!$ĩ$24)</f>
      </c>
      <c r="HZ24">
        <f>IF(ISBLANK('Data Entry'!$Ī$24), "", 'Data Entry'!$Ī$24)</f>
      </c>
      <c r="IA24">
        <f>IF(ISBLANK('Data Entry'!$ī$24), "", 'Data Entry'!$ī$24)</f>
      </c>
      <c r="IB24">
        <f>IF(ISBLANK('Data Entry'!$Ĭ$24), "", 'Data Entry'!$Ĭ$24)</f>
      </c>
      <c r="IC24">
        <f>IF(ISBLANK('Data Entry'!$ĭ$24), "", 'Data Entry'!$ĭ$24)</f>
      </c>
      <c r="ID24">
        <f>IF(ISBLANK('Data Entry'!$Į$24), "", 'Data Entry'!$Į$24)</f>
      </c>
      <c r="IE24">
        <f>IF(ISBLANK('Data Entry'!$į$24), "", 'Data Entry'!$į$24)</f>
      </c>
      <c r="IF24">
        <f>IF(ISBLANK('Data Entry'!$İ$24), "", 'Data Entry'!$İ$24)</f>
      </c>
      <c r="IG24">
        <f>IF(ISBLANK('Data Entry'!$ı$24), "", 'Data Entry'!$ı$24)</f>
      </c>
      <c r="IH24">
        <f>IF(ISBLANK('Data Entry'!$Ĳ$24), "", 'Data Entry'!$Ĳ$24)</f>
      </c>
      <c r="II24">
        <f>IF(ISBLANK('Data Entry'!$ĳ$24), "", 'Data Entry'!$ĳ$24)</f>
      </c>
      <c r="IJ24">
        <f>IF(ISBLANK('Data Entry'!$Ĵ$24), "", 'Data Entry'!$Ĵ$24)</f>
      </c>
      <c r="IK24">
        <f>IF(ISBLANK('Data Entry'!$ĵ$24), "", 'Data Entry'!$ĵ$24)</f>
      </c>
      <c r="IL24">
        <f>IF(ISBLANK('Data Entry'!$Ķ$24), "", 'Data Entry'!$Ķ$24)</f>
      </c>
      <c r="IM24">
        <f>IF(ISBLANK('Data Entry'!$ķ$24), "", 'Data Entry'!$ķ$24)</f>
      </c>
      <c r="IN24">
        <f>IF(ISBLANK('Data Entry'!$ĸ$24), "", 'Data Entry'!$ĸ$24)</f>
      </c>
      <c r="IO24">
        <f>IF(ISBLANK('Data Entry'!$Ĺ$24), "", 'Data Entry'!$Ĺ$24)</f>
      </c>
      <c r="IP24">
        <f>IF(ISBLANK('Data Entry'!$ĺ$24), "", 'Data Entry'!$ĺ$24)</f>
      </c>
      <c r="IQ24">
        <f>IF(ISBLANK('Data Entry'!$Ļ$24), "", 'Data Entry'!$Ļ$24)</f>
      </c>
      <c r="IR24">
        <f>IF(ISBLANK('Data Entry'!$ļ$24), "", 'Data Entry'!$ļ$24)</f>
      </c>
      <c r="IS24">
        <f>IF(ISBLANK('Data Entry'!$Ľ$24), "", 'Data Entry'!$Ľ$24)</f>
      </c>
      <c r="IT24">
        <f>IF(ISBLANK('Data Entry'!$ľ$24), "", 'Data Entry'!$ľ$24)</f>
      </c>
    </row>
    <row r="25" spans="1:254" x14ac:dyDescent="0.25">
      <c r="A25">
        <f>IF(ISBLANK('Data Entry'!$A$25), "", 'Data Entry'!$A$25)</f>
      </c>
      <c r="B25">
        <f>IF(ISBLANK('Data Entry'!$B$25), "", 'Data Entry'!$B$25)</f>
      </c>
      <c r="C25">
        <f>IF(ISBLANK('Data Entry'!$C$25), "", 'Data Entry'!$C$25)</f>
      </c>
      <c r="D25">
        <f>IF(ISBLANK('Data Entry'!$D$25), "", 'Data Entry'!$D$25)</f>
      </c>
      <c r="E25">
        <f>IF(ISBLANK('Data Entry'!$E$25), "", 'Data Entry'!$E$25)</f>
      </c>
      <c r="F25">
        <f>IF(ISBLANK('Data Entry'!$F$25), "", 'Data Entry'!$F$25)</f>
      </c>
      <c r="G25">
        <f>IF(ISBLANK('Data Entry'!$G$25), "", 'Data Entry'!$G$25)</f>
      </c>
      <c r="H25">
        <f>IF(ISBLANK('Data Entry'!$H$25), "", 'Data Entry'!$H$25)</f>
      </c>
      <c r="I25">
        <f>IF(ISBLANK('Data Entry'!$I$25), "", 'Data Entry'!$I$25)</f>
      </c>
      <c r="J25">
        <f>IF(ISBLANK('Data Entry'!$J$25), "", 'Data Entry'!$J$25)</f>
      </c>
      <c r="K25">
        <f>IF(ISBLANK('Data Entry'!$K$25), "", 'Data Entry'!$K$25)</f>
      </c>
      <c r="L25">
        <f>IF(ISBLANK('Data Entry'!$L$25), "", 'Data Entry'!$L$25)</f>
      </c>
      <c r="M25">
        <f>IF(ISBLANK('Data Entry'!$M$25), "", 'Data Entry'!$M$25)</f>
      </c>
      <c r="N25">
        <f>IF(ISBLANK('Data Entry'!$N$25), "", 'Data Entry'!$N$25)</f>
      </c>
      <c r="O25">
        <f>IF(ISBLANK('Data Entry'!$O$25), "", 'Data Entry'!$O$25)</f>
      </c>
      <c r="P25">
        <f>IF(ISBLANK('Data Entry'!$P$25), "", 'Data Entry'!$P$25)</f>
      </c>
      <c r="Q25">
        <f>IF(ISBLANK('Data Entry'!$Q$25), "", 'Data Entry'!$Q$25)</f>
      </c>
      <c r="R25">
        <f>IF(ISBLANK('Data Entry'!$R$25), "", 'Data Entry'!$R$25)</f>
      </c>
      <c r="S25">
        <f>IF(ISBLANK('Data Entry'!$S$25), "", 'Data Entry'!$S$25)</f>
      </c>
      <c r="T25">
        <f>IF(ISBLANK('Data Entry'!$T$25), "", 'Data Entry'!$T$25)</f>
      </c>
      <c r="U25">
        <f>IF(ISBLANK('Data Entry'!$U$25), "", 'Data Entry'!$U$25)</f>
      </c>
      <c r="V25">
        <f>IF(ISBLANK('Data Entry'!$V$25), "", 'Data Entry'!$V$25)</f>
      </c>
      <c r="W25">
        <f>IF(ISBLANK('Data Entry'!$W$25), "", 'Data Entry'!$W$25)</f>
      </c>
      <c r="X25">
        <f>IF(ISBLANK('Data Entry'!$X$25), "", 'Data Entry'!$X$25)</f>
      </c>
      <c r="Y25">
        <f>IF(ISBLANK('Data Entry'!$Y$25), "", 'Data Entry'!$Y$25)</f>
      </c>
      <c r="Z25">
        <f>IF(ISBLANK('Data Entry'!$Z$25), "", 'Data Entry'!$Z$25)</f>
      </c>
      <c r="AA25">
        <f>IF(ISBLANK('Data Entry'!$[$25), "", 'Data Entry'!$[$25)</f>
      </c>
      <c r="AB25">
        <f>IF(ISBLANK('Data Entry'!$\$25), "", 'Data Entry'!$\$25)</f>
      </c>
      <c r="AC25">
        <f>IF(ISBLANK('Data Entry'!$]$25), "", 'Data Entry'!$]$25)</f>
      </c>
      <c r="AD25">
        <f>IF(ISBLANK('Data Entry'!$^$25), "", 'Data Entry'!$^$25)</f>
      </c>
      <c r="AE25">
        <f>IF(ISBLANK('Data Entry'!$_$25), "", 'Data Entry'!$_$25)</f>
      </c>
      <c r="AF25">
        <f>IF(ISBLANK('Data Entry'!$`$25), "", 'Data Entry'!$`$25)</f>
      </c>
      <c r="AG25">
        <f>IF(ISBLANK('Data Entry'!$a$25), "", 'Data Entry'!$a$25)</f>
      </c>
      <c r="AH25">
        <f>IF(ISBLANK('Data Entry'!$b$25), "", 'Data Entry'!$b$25)</f>
      </c>
      <c r="AI25">
        <f>IF(ISBLANK('Data Entry'!$c$25), "", 'Data Entry'!$c$25)</f>
      </c>
      <c r="AJ25">
        <f>IF(ISBLANK('Data Entry'!$d$25), "", 'Data Entry'!$d$25)</f>
      </c>
      <c r="AK25">
        <f>IF(ISBLANK('Data Entry'!$e$25), "", 'Data Entry'!$e$25)</f>
      </c>
      <c r="AL25">
        <f>IF(ISBLANK('Data Entry'!$f$25), "", 'Data Entry'!$f$25)</f>
      </c>
      <c r="AM25">
        <f>IF(ISBLANK('Data Entry'!$g$25), "", 'Data Entry'!$g$25)</f>
      </c>
      <c r="AN25">
        <f>IF(ISBLANK('Data Entry'!$h$25), "", 'Data Entry'!$h$25)</f>
      </c>
      <c r="AO25">
        <f>IF(ISBLANK('Data Entry'!$i$25), "", 'Data Entry'!$i$25)</f>
      </c>
      <c r="AP25">
        <f>IF(ISBLANK('Data Entry'!$j$25), "", 'Data Entry'!$j$25)</f>
      </c>
      <c r="AQ25">
        <f>IF(ISBLANK('Data Entry'!$k$25), "", 'Data Entry'!$k$25)</f>
      </c>
      <c r="AR25">
        <f>IF(ISBLANK('Data Entry'!$l$25), "", 'Data Entry'!$l$25)</f>
      </c>
      <c r="AS25">
        <f>IF(ISBLANK('Data Entry'!$m$25), "", 'Data Entry'!$m$25)</f>
      </c>
      <c r="AT25">
        <f>IF(ISBLANK('Data Entry'!$n$25), "", 'Data Entry'!$n$25)</f>
      </c>
      <c r="AU25">
        <f>IF(ISBLANK('Data Entry'!$o$25), "", 'Data Entry'!$o$25)</f>
      </c>
      <c r="AV25">
        <f>IF(ISBLANK('Data Entry'!$p$25), "", 'Data Entry'!$p$25)</f>
      </c>
      <c r="AW25">
        <f>IF(ISBLANK('Data Entry'!$q$25), "", 'Data Entry'!$q$25)</f>
      </c>
      <c r="AX25">
        <f>IF(ISBLANK('Data Entry'!$r$25), "", 'Data Entry'!$r$25)</f>
      </c>
      <c r="AY25">
        <f>IF(ISBLANK('Data Entry'!$s$25), "", 'Data Entry'!$s$25)</f>
      </c>
      <c r="AZ25">
        <f>IF(ISBLANK('Data Entry'!$t$25), "", 'Data Entry'!$t$25)</f>
      </c>
      <c r="BA25">
        <f>IF(ISBLANK('Data Entry'!$u$25), "", 'Data Entry'!$u$25)</f>
      </c>
      <c r="BB25">
        <f>IF(ISBLANK('Data Entry'!$v$25), "", 'Data Entry'!$v$25)</f>
      </c>
      <c r="BC25">
        <f>IF(ISBLANK('Data Entry'!$w$25), "", 'Data Entry'!$w$25)</f>
      </c>
      <c r="BD25">
        <f>IF(ISBLANK('Data Entry'!$x$25), "", 'Data Entry'!$x$25)</f>
      </c>
      <c r="BE25">
        <f>IF(ISBLANK('Data Entry'!$y$25), "", 'Data Entry'!$y$25)</f>
      </c>
      <c r="BF25">
        <f>IF(ISBLANK('Data Entry'!$z$25), "", 'Data Entry'!$z$25)</f>
      </c>
      <c r="BG25">
        <f>IF(ISBLANK('Data Entry'!${$25), "", 'Data Entry'!${$25)</f>
      </c>
      <c r="BH25">
        <f>IF(ISBLANK('Data Entry'!$|$25), "", 'Data Entry'!$|$25)</f>
      </c>
      <c r="BI25">
        <f>IF(ISBLANK('Data Entry'!$}$25), "", 'Data Entry'!$}$25)</f>
      </c>
      <c r="BJ25">
        <f>IF(ISBLANK('Data Entry'!$~$25), "", 'Data Entry'!$~$25)</f>
      </c>
      <c r="BK25">
        <f>IF(ISBLANK('Data Entry'!$$25), "", 'Data Entry'!$$25)</f>
      </c>
      <c r="BL25">
        <f>IF(ISBLANK('Data Entry'!$$25), "", 'Data Entry'!$$25)</f>
      </c>
      <c r="BM25">
        <f>IF(ISBLANK('Data Entry'!$$25), "", 'Data Entry'!$$25)</f>
      </c>
      <c r="BN25">
        <f>IF(ISBLANK('Data Entry'!$$25), "", 'Data Entry'!$$25)</f>
      </c>
      <c r="BO25">
        <f>IF(ISBLANK('Data Entry'!$$25), "", 'Data Entry'!$$25)</f>
      </c>
      <c r="BP25">
        <f>IF(ISBLANK('Data Entry'!$$25), "", 'Data Entry'!$$25)</f>
      </c>
      <c r="BQ25">
        <f>IF(ISBLANK('Data Entry'!$$25), "", 'Data Entry'!$$25)</f>
      </c>
      <c r="BR25">
        <f>IF(ISBLANK('Data Entry'!$$25), "", 'Data Entry'!$$25)</f>
      </c>
      <c r="BS25">
        <f>IF(ISBLANK('Data Entry'!$$25), "", 'Data Entry'!$$25)</f>
      </c>
      <c r="BT25">
        <f>IF(ISBLANK('Data Entry'!$$25), "", 'Data Entry'!$$25)</f>
      </c>
      <c r="BU25">
        <f>IF(ISBLANK('Data Entry'!$$25), "", 'Data Entry'!$$25)</f>
      </c>
      <c r="BV25">
        <f>IF(ISBLANK('Data Entry'!$$25), "", 'Data Entry'!$$25)</f>
      </c>
      <c r="BW25">
        <f>IF(ISBLANK('Data Entry'!$$25), "", 'Data Entry'!$$25)</f>
      </c>
      <c r="BX25">
        <f>IF(ISBLANK('Data Entry'!$$25), "", 'Data Entry'!$$25)</f>
      </c>
      <c r="BY25">
        <f>IF(ISBLANK('Data Entry'!$$25), "", 'Data Entry'!$$25)</f>
      </c>
      <c r="BZ25">
        <f>IF(ISBLANK('Data Entry'!$$25), "", 'Data Entry'!$$25)</f>
      </c>
      <c r="CA25">
        <f>IF(ISBLANK('Data Entry'!$$25), "", 'Data Entry'!$$25)</f>
      </c>
      <c r="CB25">
        <f>IF(ISBLANK('Data Entry'!$$25), "", 'Data Entry'!$$25)</f>
      </c>
      <c r="CC25">
        <f>IF(ISBLANK('Data Entry'!$$25), "", 'Data Entry'!$$25)</f>
      </c>
      <c r="CD25">
        <f>IF(ISBLANK('Data Entry'!$$25), "", 'Data Entry'!$$25)</f>
      </c>
      <c r="CE25">
        <f>IF(ISBLANK('Data Entry'!$$25), "", 'Data Entry'!$$25)</f>
      </c>
      <c r="CF25">
        <f>IF(ISBLANK('Data Entry'!$$25), "", 'Data Entry'!$$25)</f>
      </c>
      <c r="CG25">
        <f>IF(ISBLANK('Data Entry'!$$25), "", 'Data Entry'!$$25)</f>
      </c>
      <c r="CH25">
        <f>IF(ISBLANK('Data Entry'!$$25), "", 'Data Entry'!$$25)</f>
      </c>
      <c r="CI25">
        <f>IF(ISBLANK('Data Entry'!$$25), "", 'Data Entry'!$$25)</f>
      </c>
      <c r="CJ25">
        <f>IF(ISBLANK('Data Entry'!$$25), "", 'Data Entry'!$$25)</f>
      </c>
      <c r="CK25">
        <f>IF(ISBLANK('Data Entry'!$$25), "", 'Data Entry'!$$25)</f>
      </c>
      <c r="CL25">
        <f>IF(ISBLANK('Data Entry'!$$25), "", 'Data Entry'!$$25)</f>
      </c>
      <c r="CM25">
        <f>IF(ISBLANK('Data Entry'!$$25), "", 'Data Entry'!$$25)</f>
      </c>
      <c r="CN25">
        <f>IF(ISBLANK('Data Entry'!$$25), "", 'Data Entry'!$$25)</f>
      </c>
      <c r="CO25">
        <f>IF(ISBLANK('Data Entry'!$$25), "", 'Data Entry'!$$25)</f>
      </c>
      <c r="CP25">
        <f>IF(ISBLANK('Data Entry'!$$25), "", 'Data Entry'!$$25)</f>
      </c>
      <c r="CQ25">
        <f>IF(ISBLANK('Data Entry'!$$25), "", 'Data Entry'!$$25)</f>
      </c>
      <c r="CR25">
        <f>IF(ISBLANK('Data Entry'!$ $25), "", 'Data Entry'!$ $25)</f>
      </c>
      <c r="CS25">
        <f>IF(ISBLANK('Data Entry'!$¡$25), "", 'Data Entry'!$¡$25)</f>
      </c>
      <c r="CT25">
        <f>IF(ISBLANK('Data Entry'!$¢$25), "", 'Data Entry'!$¢$25)</f>
      </c>
      <c r="CU25">
        <f>IF(ISBLANK('Data Entry'!$£$25), "", 'Data Entry'!$£$25)</f>
      </c>
      <c r="CV25">
        <f>IF(ISBLANK('Data Entry'!$¤$25), "", 'Data Entry'!$¤$25)</f>
      </c>
      <c r="CW25">
        <f>IF(ISBLANK('Data Entry'!$¥$25), "", 'Data Entry'!$¥$25)</f>
      </c>
      <c r="CX25">
        <f>IF(ISBLANK('Data Entry'!$¦$25), "", 'Data Entry'!$¦$25)</f>
      </c>
      <c r="CY25">
        <f>IF(ISBLANK('Data Entry'!$§$25), "", 'Data Entry'!$§$25)</f>
      </c>
      <c r="CZ25">
        <f>IF(ISBLANK('Data Entry'!$¨$25), "", 'Data Entry'!$¨$25)</f>
      </c>
      <c r="DA25">
        <f>IF(ISBLANK('Data Entry'!$©$25), "", 'Data Entry'!$©$25)</f>
      </c>
      <c r="DB25">
        <f>IF(ISBLANK('Data Entry'!$ª$25), "", 'Data Entry'!$ª$25)</f>
      </c>
      <c r="DC25">
        <f>IF(ISBLANK('Data Entry'!$«$25), "", 'Data Entry'!$«$25)</f>
      </c>
      <c r="DD25">
        <f>IF(ISBLANK('Data Entry'!$¬$25), "", 'Data Entry'!$¬$25)</f>
      </c>
      <c r="DE25">
        <f>IF(ISBLANK('Data Entry'!$­$25), "", 'Data Entry'!$­$25)</f>
      </c>
      <c r="DF25">
        <f>IF(ISBLANK('Data Entry'!$®$25), "", 'Data Entry'!$®$25)</f>
      </c>
      <c r="DG25">
        <f>IF(ISBLANK('Data Entry'!$¯$25), "", 'Data Entry'!$¯$25)</f>
      </c>
      <c r="DH25">
        <f>IF(ISBLANK('Data Entry'!$°$25), "", 'Data Entry'!$°$25)</f>
      </c>
      <c r="DI25">
        <f>IF(ISBLANK('Data Entry'!$±$25), "", 'Data Entry'!$±$25)</f>
      </c>
      <c r="DJ25">
        <f>IF(ISBLANK('Data Entry'!$²$25), "", 'Data Entry'!$²$25)</f>
      </c>
      <c r="DK25">
        <f>IF(ISBLANK('Data Entry'!$³$25), "", 'Data Entry'!$³$25)</f>
      </c>
      <c r="DL25">
        <f>IF(ISBLANK('Data Entry'!$´$25), "", 'Data Entry'!$´$25)</f>
      </c>
      <c r="DM25">
        <f>IF(ISBLANK('Data Entry'!$µ$25), "", 'Data Entry'!$µ$25)</f>
      </c>
      <c r="DN25">
        <f>IF(ISBLANK('Data Entry'!$¶$25), "", 'Data Entry'!$¶$25)</f>
      </c>
      <c r="DO25">
        <f>IF(ISBLANK('Data Entry'!$·$25), "", 'Data Entry'!$·$25)</f>
      </c>
      <c r="DP25">
        <f>IF(ISBLANK('Data Entry'!$¸$25), "", 'Data Entry'!$¸$25)</f>
      </c>
      <c r="DQ25">
        <f>IF(ISBLANK('Data Entry'!$¹$25), "", 'Data Entry'!$¹$25)</f>
      </c>
      <c r="DR25">
        <f>IF(ISBLANK('Data Entry'!$º$25), "", 'Data Entry'!$º$25)</f>
      </c>
      <c r="DS25">
        <f>IF(ISBLANK('Data Entry'!$»$25), "", 'Data Entry'!$»$25)</f>
      </c>
      <c r="DT25">
        <f>IF(ISBLANK('Data Entry'!$¼$25), "", 'Data Entry'!$¼$25)</f>
      </c>
      <c r="DU25">
        <f>IF(ISBLANK('Data Entry'!$½$25), "", 'Data Entry'!$½$25)</f>
      </c>
      <c r="DV25">
        <f>IF(ISBLANK('Data Entry'!$¾$25), "", 'Data Entry'!$¾$25)</f>
      </c>
      <c r="DW25">
        <f>IF(ISBLANK('Data Entry'!$¿$25), "", 'Data Entry'!$¿$25)</f>
      </c>
      <c r="DX25">
        <f>IF(ISBLANK('Data Entry'!$À$25), "", 'Data Entry'!$À$25)</f>
      </c>
      <c r="DY25">
        <f>IF(ISBLANK('Data Entry'!$Á$25), "", 'Data Entry'!$Á$25)</f>
      </c>
      <c r="DZ25">
        <f>IF(ISBLANK('Data Entry'!$Â$25), "", 'Data Entry'!$Â$25)</f>
      </c>
      <c r="EA25">
        <f>IF(ISBLANK('Data Entry'!$Ã$25), "", 'Data Entry'!$Ã$25)</f>
      </c>
      <c r="EB25">
        <f>IF(ISBLANK('Data Entry'!$Ä$25), "", 'Data Entry'!$Ä$25)</f>
      </c>
      <c r="EC25">
        <f>IF(ISBLANK('Data Entry'!$Å$25), "", 'Data Entry'!$Å$25)</f>
      </c>
      <c r="ED25">
        <f>IF(ISBLANK('Data Entry'!$Æ$25), "", 'Data Entry'!$Æ$25)</f>
      </c>
      <c r="EE25">
        <f>IF(ISBLANK('Data Entry'!$Ç$25), "", 'Data Entry'!$Ç$25)</f>
      </c>
      <c r="EF25">
        <f>IF(ISBLANK('Data Entry'!$È$25), "", 'Data Entry'!$È$25)</f>
      </c>
      <c r="EG25">
        <f>IF(ISBLANK('Data Entry'!$É$25), "", 'Data Entry'!$É$25)</f>
      </c>
      <c r="EH25">
        <f>IF(ISBLANK('Data Entry'!$Ê$25), "", 'Data Entry'!$Ê$25)</f>
      </c>
      <c r="EI25">
        <f>IF(ISBLANK('Data Entry'!$Ë$25), "", 'Data Entry'!$Ë$25)</f>
      </c>
      <c r="EJ25">
        <f>IF(ISBLANK('Data Entry'!$Ì$25), "", 'Data Entry'!$Ì$25)</f>
      </c>
      <c r="EK25">
        <f>IF(ISBLANK('Data Entry'!$Í$25), "", 'Data Entry'!$Í$25)</f>
      </c>
      <c r="EL25">
        <f>IF(ISBLANK('Data Entry'!$Î$25), "", 'Data Entry'!$Î$25)</f>
      </c>
      <c r="EM25">
        <f>IF(ISBLANK('Data Entry'!$Ï$25), "", 'Data Entry'!$Ï$25)</f>
      </c>
      <c r="EN25">
        <f>IF(ISBLANK('Data Entry'!$Ð$25), "", 'Data Entry'!$Ð$25)</f>
      </c>
      <c r="EO25">
        <f>IF(ISBLANK('Data Entry'!$Ñ$25), "", 'Data Entry'!$Ñ$25)</f>
      </c>
      <c r="EP25">
        <f>IF(ISBLANK('Data Entry'!$Ò$25), "", 'Data Entry'!$Ò$25)</f>
      </c>
      <c r="EQ25">
        <f>IF(ISBLANK('Data Entry'!$Ó$25), "", 'Data Entry'!$Ó$25)</f>
      </c>
      <c r="ER25">
        <f>IF(ISBLANK('Data Entry'!$Ô$25), "", 'Data Entry'!$Ô$25)</f>
      </c>
      <c r="ES25">
        <f>IF(ISBLANK('Data Entry'!$Õ$25), "", 'Data Entry'!$Õ$25)</f>
      </c>
      <c r="ET25">
        <f>IF(ISBLANK('Data Entry'!$Ö$25), "", 'Data Entry'!$Ö$25)</f>
      </c>
      <c r="EU25">
        <f>IF(ISBLANK('Data Entry'!$×$25), "", 'Data Entry'!$×$25)</f>
      </c>
      <c r="EV25">
        <f>IF(ISBLANK('Data Entry'!$Ø$25), "", 'Data Entry'!$Ø$25)</f>
      </c>
      <c r="EW25">
        <f>IF(ISBLANK('Data Entry'!$Ù$25), "", 'Data Entry'!$Ù$25)</f>
      </c>
      <c r="EX25">
        <f>IF(ISBLANK('Data Entry'!$Ú$25), "", 'Data Entry'!$Ú$25)</f>
      </c>
      <c r="EY25">
        <f>IF(ISBLANK('Data Entry'!$Û$25), "", 'Data Entry'!$Û$25)</f>
      </c>
      <c r="EZ25">
        <f>IF(ISBLANK('Data Entry'!$Ü$25), "", 'Data Entry'!$Ü$25)</f>
      </c>
      <c r="FA25">
        <f>IF(ISBLANK('Data Entry'!$Ý$25), "", 'Data Entry'!$Ý$25)</f>
      </c>
      <c r="FB25">
        <f>IF(ISBLANK('Data Entry'!$Þ$25), "", 'Data Entry'!$Þ$25)</f>
      </c>
      <c r="FC25">
        <f>IF(ISBLANK('Data Entry'!$ß$25), "", 'Data Entry'!$ß$25)</f>
      </c>
      <c r="FD25">
        <f>IF(ISBLANK('Data Entry'!$à$25), "", 'Data Entry'!$à$25)</f>
      </c>
      <c r="FE25">
        <f>IF(ISBLANK('Data Entry'!$á$25), "", 'Data Entry'!$á$25)</f>
      </c>
      <c r="FF25">
        <f>IF(ISBLANK('Data Entry'!$â$25), "", 'Data Entry'!$â$25)</f>
      </c>
      <c r="FG25">
        <f>IF(ISBLANK('Data Entry'!$ã$25), "", 'Data Entry'!$ã$25)</f>
      </c>
      <c r="FH25">
        <f>IF(ISBLANK('Data Entry'!$ä$25), "", 'Data Entry'!$ä$25)</f>
      </c>
      <c r="FI25">
        <f>IF(ISBLANK('Data Entry'!$å$25), "", 'Data Entry'!$å$25)</f>
      </c>
      <c r="FJ25">
        <f>IF(ISBLANK('Data Entry'!$æ$25), "", 'Data Entry'!$æ$25)</f>
      </c>
      <c r="FK25">
        <f>IF(ISBLANK('Data Entry'!$ç$25), "", 'Data Entry'!$ç$25)</f>
      </c>
      <c r="FL25">
        <f>IF(ISBLANK('Data Entry'!$è$25), "", 'Data Entry'!$è$25)</f>
      </c>
      <c r="FM25">
        <f>IF(ISBLANK('Data Entry'!$é$25), "", 'Data Entry'!$é$25)</f>
      </c>
      <c r="FN25">
        <f>IF(ISBLANK('Data Entry'!$ê$25), "", 'Data Entry'!$ê$25)</f>
      </c>
      <c r="FO25">
        <f>IF(ISBLANK('Data Entry'!$ë$25), "", 'Data Entry'!$ë$25)</f>
      </c>
      <c r="FP25">
        <f>IF(ISBLANK('Data Entry'!$ì$25), "", 'Data Entry'!$ì$25)</f>
      </c>
      <c r="FQ25">
        <f>IF(ISBLANK('Data Entry'!$í$25), "", 'Data Entry'!$í$25)</f>
      </c>
      <c r="FR25">
        <f>IF(ISBLANK('Data Entry'!$î$25), "", 'Data Entry'!$î$25)</f>
      </c>
      <c r="FS25">
        <f>IF(ISBLANK('Data Entry'!$ï$25), "", 'Data Entry'!$ï$25)</f>
      </c>
      <c r="FT25">
        <f>IF(ISBLANK('Data Entry'!$ð$25), "", 'Data Entry'!$ð$25)</f>
      </c>
      <c r="FU25">
        <f>IF(ISBLANK('Data Entry'!$ñ$25), "", 'Data Entry'!$ñ$25)</f>
      </c>
      <c r="FV25">
        <f>IF(ISBLANK('Data Entry'!$ò$25), "", 'Data Entry'!$ò$25)</f>
      </c>
      <c r="FW25">
        <f>IF(ISBLANK('Data Entry'!$ó$25), "", 'Data Entry'!$ó$25)</f>
      </c>
      <c r="FX25">
        <f>IF(ISBLANK('Data Entry'!$ô$25), "", 'Data Entry'!$ô$25)</f>
      </c>
      <c r="FY25">
        <f>IF(ISBLANK('Data Entry'!$õ$25), "", 'Data Entry'!$õ$25)</f>
      </c>
      <c r="FZ25">
        <f>IF(ISBLANK('Data Entry'!$ö$25), "", 'Data Entry'!$ö$25)</f>
      </c>
      <c r="GA25">
        <f>IF(ISBLANK('Data Entry'!$÷$25), "", 'Data Entry'!$÷$25)</f>
      </c>
      <c r="GB25">
        <f>IF(ISBLANK('Data Entry'!$ø$25), "", 'Data Entry'!$ø$25)</f>
      </c>
      <c r="GC25">
        <f>IF(ISBLANK('Data Entry'!$ù$25), "", 'Data Entry'!$ù$25)</f>
      </c>
      <c r="GD25">
        <f>IF(ISBLANK('Data Entry'!$ú$25), "", 'Data Entry'!$ú$25)</f>
      </c>
      <c r="GE25">
        <f>IF(ISBLANK('Data Entry'!$û$25), "", 'Data Entry'!$û$25)</f>
      </c>
      <c r="GF25">
        <f>IF(ISBLANK('Data Entry'!$ü$25), "", 'Data Entry'!$ü$25)</f>
      </c>
      <c r="GG25">
        <f>IF(ISBLANK('Data Entry'!$ý$25), "", 'Data Entry'!$ý$25)</f>
      </c>
      <c r="GH25">
        <f>IF(ISBLANK('Data Entry'!$þ$25), "", 'Data Entry'!$þ$25)</f>
      </c>
      <c r="GI25">
        <f>IF(ISBLANK('Data Entry'!$ÿ$25), "", 'Data Entry'!$ÿ$25)</f>
      </c>
      <c r="GJ25">
        <f>IF(ISBLANK('Data Entry'!$Ā$25), "", 'Data Entry'!$Ā$25)</f>
      </c>
      <c r="GK25">
        <f>IF(ISBLANK('Data Entry'!$ā$25), "", 'Data Entry'!$ā$25)</f>
      </c>
      <c r="GL25">
        <f>IF(ISBLANK('Data Entry'!$Ă$25), "", 'Data Entry'!$Ă$25)</f>
      </c>
      <c r="GM25">
        <f>IF(ISBLANK('Data Entry'!$ă$25), "", 'Data Entry'!$ă$25)</f>
      </c>
      <c r="GN25">
        <f>IF(ISBLANK('Data Entry'!$Ą$25), "", 'Data Entry'!$Ą$25)</f>
      </c>
      <c r="GO25">
        <f>IF(ISBLANK('Data Entry'!$ą$25), "", 'Data Entry'!$ą$25)</f>
      </c>
      <c r="GP25">
        <f>IF(ISBLANK('Data Entry'!$Ć$25), "", 'Data Entry'!$Ć$25)</f>
      </c>
      <c r="GQ25">
        <f>IF(ISBLANK('Data Entry'!$ć$25), "", 'Data Entry'!$ć$25)</f>
      </c>
      <c r="GR25">
        <f>IF(ISBLANK('Data Entry'!$Ĉ$25), "", 'Data Entry'!$Ĉ$25)</f>
      </c>
      <c r="GS25">
        <f>IF(ISBLANK('Data Entry'!$ĉ$25), "", 'Data Entry'!$ĉ$25)</f>
      </c>
      <c r="GT25">
        <f>IF(ISBLANK('Data Entry'!$Ċ$25), "", 'Data Entry'!$Ċ$25)</f>
      </c>
      <c r="GU25">
        <f>IF(ISBLANK('Data Entry'!$ċ$25), "", 'Data Entry'!$ċ$25)</f>
      </c>
      <c r="GV25">
        <f>IF(ISBLANK('Data Entry'!$Č$25), "", 'Data Entry'!$Č$25)</f>
      </c>
      <c r="GW25">
        <f>IF(ISBLANK('Data Entry'!$č$25), "", 'Data Entry'!$č$25)</f>
      </c>
      <c r="GX25">
        <f>IF(ISBLANK('Data Entry'!$Ď$25), "", 'Data Entry'!$Ď$25)</f>
      </c>
      <c r="GY25">
        <f>IF(ISBLANK('Data Entry'!$ď$25), "", 'Data Entry'!$ď$25)</f>
      </c>
      <c r="GZ25">
        <f>IF(ISBLANK('Data Entry'!$Đ$25), "", 'Data Entry'!$Đ$25)</f>
      </c>
      <c r="HA25">
        <f>IF(ISBLANK('Data Entry'!$đ$25), "", 'Data Entry'!$đ$25)</f>
      </c>
      <c r="HB25">
        <f>IF(ISBLANK('Data Entry'!$Ē$25), "", 'Data Entry'!$Ē$25)</f>
      </c>
      <c r="HC25">
        <f>IF(ISBLANK('Data Entry'!$ē$25), "", 'Data Entry'!$ē$25)</f>
      </c>
      <c r="HD25">
        <f>IF(ISBLANK('Data Entry'!$Ĕ$25), "", 'Data Entry'!$Ĕ$25)</f>
      </c>
      <c r="HE25">
        <f>IF(ISBLANK('Data Entry'!$ĕ$25), "", 'Data Entry'!$ĕ$25)</f>
      </c>
      <c r="HF25">
        <f>IF(ISBLANK('Data Entry'!$Ė$25), "", 'Data Entry'!$Ė$25)</f>
      </c>
      <c r="HG25">
        <f>IF(ISBLANK('Data Entry'!$ė$25), "", 'Data Entry'!$ė$25)</f>
      </c>
      <c r="HH25">
        <f>IF(ISBLANK('Data Entry'!$Ę$25), "", 'Data Entry'!$Ę$25)</f>
      </c>
      <c r="HI25">
        <f>IF(ISBLANK('Data Entry'!$ę$25), "", 'Data Entry'!$ę$25)</f>
      </c>
      <c r="HJ25">
        <f>IF(ISBLANK('Data Entry'!$Ě$25), "", 'Data Entry'!$Ě$25)</f>
      </c>
      <c r="HK25">
        <f>IF(ISBLANK('Data Entry'!$ě$25), "", 'Data Entry'!$ě$25)</f>
      </c>
      <c r="HL25">
        <f>IF(ISBLANK('Data Entry'!$Ĝ$25), "", 'Data Entry'!$Ĝ$25)</f>
      </c>
      <c r="HM25">
        <f>IF(ISBLANK('Data Entry'!$ĝ$25), "", 'Data Entry'!$ĝ$25)</f>
      </c>
      <c r="HN25">
        <f>IF(ISBLANK('Data Entry'!$Ğ$25), "", 'Data Entry'!$Ğ$25)</f>
      </c>
      <c r="HO25">
        <f>IF(ISBLANK('Data Entry'!$ğ$25), "", 'Data Entry'!$ğ$25)</f>
      </c>
      <c r="HP25">
        <f>IF(ISBLANK('Data Entry'!$Ġ$25), "", 'Data Entry'!$Ġ$25)</f>
      </c>
      <c r="HQ25">
        <f>IF(ISBLANK('Data Entry'!$ġ$25), "", 'Data Entry'!$ġ$25)</f>
      </c>
      <c r="HR25">
        <f>IF(ISBLANK('Data Entry'!$Ģ$25), "", 'Data Entry'!$Ģ$25)</f>
      </c>
      <c r="HS25">
        <f>IF(ISBLANK('Data Entry'!$ģ$25), "", 'Data Entry'!$ģ$25)</f>
      </c>
      <c r="HT25">
        <f>IF(ISBLANK('Data Entry'!$Ĥ$25), "", 'Data Entry'!$Ĥ$25)</f>
      </c>
      <c r="HU25">
        <f>IF(ISBLANK('Data Entry'!$ĥ$25), "", 'Data Entry'!$ĥ$25)</f>
      </c>
      <c r="HV25">
        <f>IF(ISBLANK('Data Entry'!$Ħ$25), "", 'Data Entry'!$Ħ$25)</f>
      </c>
      <c r="HW25">
        <f>IF(ISBLANK('Data Entry'!$ħ$25), "", 'Data Entry'!$ħ$25)</f>
      </c>
      <c r="HX25">
        <f>IF(ISBLANK('Data Entry'!$Ĩ$25), "", 'Data Entry'!$Ĩ$25)</f>
      </c>
      <c r="HY25">
        <f>IF(ISBLANK('Data Entry'!$ĩ$25), "", 'Data Entry'!$ĩ$25)</f>
      </c>
      <c r="HZ25">
        <f>IF(ISBLANK('Data Entry'!$Ī$25), "", 'Data Entry'!$Ī$25)</f>
      </c>
      <c r="IA25">
        <f>IF(ISBLANK('Data Entry'!$ī$25), "", 'Data Entry'!$ī$25)</f>
      </c>
      <c r="IB25">
        <f>IF(ISBLANK('Data Entry'!$Ĭ$25), "", 'Data Entry'!$Ĭ$25)</f>
      </c>
      <c r="IC25">
        <f>IF(ISBLANK('Data Entry'!$ĭ$25), "", 'Data Entry'!$ĭ$25)</f>
      </c>
      <c r="ID25">
        <f>IF(ISBLANK('Data Entry'!$Į$25), "", 'Data Entry'!$Į$25)</f>
      </c>
      <c r="IE25">
        <f>IF(ISBLANK('Data Entry'!$į$25), "", 'Data Entry'!$į$25)</f>
      </c>
      <c r="IF25">
        <f>IF(ISBLANK('Data Entry'!$İ$25), "", 'Data Entry'!$İ$25)</f>
      </c>
      <c r="IG25">
        <f>IF(ISBLANK('Data Entry'!$ı$25), "", 'Data Entry'!$ı$25)</f>
      </c>
      <c r="IH25">
        <f>IF(ISBLANK('Data Entry'!$Ĳ$25), "", 'Data Entry'!$Ĳ$25)</f>
      </c>
      <c r="II25">
        <f>IF(ISBLANK('Data Entry'!$ĳ$25), "", 'Data Entry'!$ĳ$25)</f>
      </c>
      <c r="IJ25">
        <f>IF(ISBLANK('Data Entry'!$Ĵ$25), "", 'Data Entry'!$Ĵ$25)</f>
      </c>
      <c r="IK25">
        <f>IF(ISBLANK('Data Entry'!$ĵ$25), "", 'Data Entry'!$ĵ$25)</f>
      </c>
      <c r="IL25">
        <f>IF(ISBLANK('Data Entry'!$Ķ$25), "", 'Data Entry'!$Ķ$25)</f>
      </c>
      <c r="IM25">
        <f>IF(ISBLANK('Data Entry'!$ķ$25), "", 'Data Entry'!$ķ$25)</f>
      </c>
      <c r="IN25">
        <f>IF(ISBLANK('Data Entry'!$ĸ$25), "", 'Data Entry'!$ĸ$25)</f>
      </c>
      <c r="IO25">
        <f>IF(ISBLANK('Data Entry'!$Ĺ$25), "", 'Data Entry'!$Ĺ$25)</f>
      </c>
      <c r="IP25">
        <f>IF(ISBLANK('Data Entry'!$ĺ$25), "", 'Data Entry'!$ĺ$25)</f>
      </c>
      <c r="IQ25">
        <f>IF(ISBLANK('Data Entry'!$Ļ$25), "", 'Data Entry'!$Ļ$25)</f>
      </c>
      <c r="IR25">
        <f>IF(ISBLANK('Data Entry'!$ļ$25), "", 'Data Entry'!$ļ$25)</f>
      </c>
      <c r="IS25">
        <f>IF(ISBLANK('Data Entry'!$Ľ$25), "", 'Data Entry'!$Ľ$25)</f>
      </c>
      <c r="IT25">
        <f>IF(ISBLANK('Data Entry'!$ľ$25), "", 'Data Entry'!$ľ$25)</f>
      </c>
    </row>
    <row r="26" spans="1:254" x14ac:dyDescent="0.25">
      <c r="A26">
        <f>IF(ISBLANK('Data Entry'!$A$26), "", 'Data Entry'!$A$26)</f>
      </c>
      <c r="B26">
        <f>IF(ISBLANK('Data Entry'!$B$26), "", 'Data Entry'!$B$26)</f>
      </c>
      <c r="C26">
        <f>IF(ISBLANK('Data Entry'!$C$26), "", 'Data Entry'!$C$26)</f>
      </c>
      <c r="D26">
        <f>IF(ISBLANK('Data Entry'!$D$26), "", 'Data Entry'!$D$26)</f>
      </c>
      <c r="E26">
        <f>IF(ISBLANK('Data Entry'!$E$26), "", 'Data Entry'!$E$26)</f>
      </c>
      <c r="F26">
        <f>IF(ISBLANK('Data Entry'!$F$26), "", 'Data Entry'!$F$26)</f>
      </c>
      <c r="G26">
        <f>IF(ISBLANK('Data Entry'!$G$26), "", 'Data Entry'!$G$26)</f>
      </c>
      <c r="H26">
        <f>IF(ISBLANK('Data Entry'!$H$26), "", 'Data Entry'!$H$26)</f>
      </c>
      <c r="I26">
        <f>IF(ISBLANK('Data Entry'!$I$26), "", 'Data Entry'!$I$26)</f>
      </c>
      <c r="J26">
        <f>IF(ISBLANK('Data Entry'!$J$26), "", 'Data Entry'!$J$26)</f>
      </c>
      <c r="K26">
        <f>IF(ISBLANK('Data Entry'!$K$26), "", 'Data Entry'!$K$26)</f>
      </c>
      <c r="L26">
        <f>IF(ISBLANK('Data Entry'!$L$26), "", 'Data Entry'!$L$26)</f>
      </c>
      <c r="M26">
        <f>IF(ISBLANK('Data Entry'!$M$26), "", 'Data Entry'!$M$26)</f>
      </c>
      <c r="N26">
        <f>IF(ISBLANK('Data Entry'!$N$26), "", 'Data Entry'!$N$26)</f>
      </c>
      <c r="O26">
        <f>IF(ISBLANK('Data Entry'!$O$26), "", 'Data Entry'!$O$26)</f>
      </c>
      <c r="P26">
        <f>IF(ISBLANK('Data Entry'!$P$26), "", 'Data Entry'!$P$26)</f>
      </c>
      <c r="Q26">
        <f>IF(ISBLANK('Data Entry'!$Q$26), "", 'Data Entry'!$Q$26)</f>
      </c>
      <c r="R26">
        <f>IF(ISBLANK('Data Entry'!$R$26), "", 'Data Entry'!$R$26)</f>
      </c>
      <c r="S26">
        <f>IF(ISBLANK('Data Entry'!$S$26), "", 'Data Entry'!$S$26)</f>
      </c>
      <c r="T26">
        <f>IF(ISBLANK('Data Entry'!$T$26), "", 'Data Entry'!$T$26)</f>
      </c>
      <c r="U26">
        <f>IF(ISBLANK('Data Entry'!$U$26), "", 'Data Entry'!$U$26)</f>
      </c>
      <c r="V26">
        <f>IF(ISBLANK('Data Entry'!$V$26), "", 'Data Entry'!$V$26)</f>
      </c>
      <c r="W26">
        <f>IF(ISBLANK('Data Entry'!$W$26), "", 'Data Entry'!$W$26)</f>
      </c>
      <c r="X26">
        <f>IF(ISBLANK('Data Entry'!$X$26), "", 'Data Entry'!$X$26)</f>
      </c>
      <c r="Y26">
        <f>IF(ISBLANK('Data Entry'!$Y$26), "", 'Data Entry'!$Y$26)</f>
      </c>
      <c r="Z26">
        <f>IF(ISBLANK('Data Entry'!$Z$26), "", 'Data Entry'!$Z$26)</f>
      </c>
      <c r="AA26">
        <f>IF(ISBLANK('Data Entry'!$[$26), "", 'Data Entry'!$[$26)</f>
      </c>
      <c r="AB26">
        <f>IF(ISBLANK('Data Entry'!$\$26), "", 'Data Entry'!$\$26)</f>
      </c>
      <c r="AC26">
        <f>IF(ISBLANK('Data Entry'!$]$26), "", 'Data Entry'!$]$26)</f>
      </c>
      <c r="AD26">
        <f>IF(ISBLANK('Data Entry'!$^$26), "", 'Data Entry'!$^$26)</f>
      </c>
      <c r="AE26">
        <f>IF(ISBLANK('Data Entry'!$_$26), "", 'Data Entry'!$_$26)</f>
      </c>
      <c r="AF26">
        <f>IF(ISBLANK('Data Entry'!$`$26), "", 'Data Entry'!$`$26)</f>
      </c>
      <c r="AG26">
        <f>IF(ISBLANK('Data Entry'!$a$26), "", 'Data Entry'!$a$26)</f>
      </c>
      <c r="AH26">
        <f>IF(ISBLANK('Data Entry'!$b$26), "", 'Data Entry'!$b$26)</f>
      </c>
      <c r="AI26">
        <f>IF(ISBLANK('Data Entry'!$c$26), "", 'Data Entry'!$c$26)</f>
      </c>
      <c r="AJ26">
        <f>IF(ISBLANK('Data Entry'!$d$26), "", 'Data Entry'!$d$26)</f>
      </c>
      <c r="AK26">
        <f>IF(ISBLANK('Data Entry'!$e$26), "", 'Data Entry'!$e$26)</f>
      </c>
      <c r="AL26">
        <f>IF(ISBLANK('Data Entry'!$f$26), "", 'Data Entry'!$f$26)</f>
      </c>
      <c r="AM26">
        <f>IF(ISBLANK('Data Entry'!$g$26), "", 'Data Entry'!$g$26)</f>
      </c>
      <c r="AN26">
        <f>IF(ISBLANK('Data Entry'!$h$26), "", 'Data Entry'!$h$26)</f>
      </c>
      <c r="AO26">
        <f>IF(ISBLANK('Data Entry'!$i$26), "", 'Data Entry'!$i$26)</f>
      </c>
      <c r="AP26">
        <f>IF(ISBLANK('Data Entry'!$j$26), "", 'Data Entry'!$j$26)</f>
      </c>
      <c r="AQ26">
        <f>IF(ISBLANK('Data Entry'!$k$26), "", 'Data Entry'!$k$26)</f>
      </c>
      <c r="AR26">
        <f>IF(ISBLANK('Data Entry'!$l$26), "", 'Data Entry'!$l$26)</f>
      </c>
      <c r="AS26">
        <f>IF(ISBLANK('Data Entry'!$m$26), "", 'Data Entry'!$m$26)</f>
      </c>
      <c r="AT26">
        <f>IF(ISBLANK('Data Entry'!$n$26), "", 'Data Entry'!$n$26)</f>
      </c>
      <c r="AU26">
        <f>IF(ISBLANK('Data Entry'!$o$26), "", 'Data Entry'!$o$26)</f>
      </c>
      <c r="AV26">
        <f>IF(ISBLANK('Data Entry'!$p$26), "", 'Data Entry'!$p$26)</f>
      </c>
      <c r="AW26">
        <f>IF(ISBLANK('Data Entry'!$q$26), "", 'Data Entry'!$q$26)</f>
      </c>
      <c r="AX26">
        <f>IF(ISBLANK('Data Entry'!$r$26), "", 'Data Entry'!$r$26)</f>
      </c>
      <c r="AY26">
        <f>IF(ISBLANK('Data Entry'!$s$26), "", 'Data Entry'!$s$26)</f>
      </c>
      <c r="AZ26">
        <f>IF(ISBLANK('Data Entry'!$t$26), "", 'Data Entry'!$t$26)</f>
      </c>
      <c r="BA26">
        <f>IF(ISBLANK('Data Entry'!$u$26), "", 'Data Entry'!$u$26)</f>
      </c>
      <c r="BB26">
        <f>IF(ISBLANK('Data Entry'!$v$26), "", 'Data Entry'!$v$26)</f>
      </c>
      <c r="BC26">
        <f>IF(ISBLANK('Data Entry'!$w$26), "", 'Data Entry'!$w$26)</f>
      </c>
      <c r="BD26">
        <f>IF(ISBLANK('Data Entry'!$x$26), "", 'Data Entry'!$x$26)</f>
      </c>
      <c r="BE26">
        <f>IF(ISBLANK('Data Entry'!$y$26), "", 'Data Entry'!$y$26)</f>
      </c>
      <c r="BF26">
        <f>IF(ISBLANK('Data Entry'!$z$26), "", 'Data Entry'!$z$26)</f>
      </c>
      <c r="BG26">
        <f>IF(ISBLANK('Data Entry'!${$26), "", 'Data Entry'!${$26)</f>
      </c>
      <c r="BH26">
        <f>IF(ISBLANK('Data Entry'!$|$26), "", 'Data Entry'!$|$26)</f>
      </c>
      <c r="BI26">
        <f>IF(ISBLANK('Data Entry'!$}$26), "", 'Data Entry'!$}$26)</f>
      </c>
      <c r="BJ26">
        <f>IF(ISBLANK('Data Entry'!$~$26), "", 'Data Entry'!$~$26)</f>
      </c>
      <c r="BK26">
        <f>IF(ISBLANK('Data Entry'!$$26), "", 'Data Entry'!$$26)</f>
      </c>
      <c r="BL26">
        <f>IF(ISBLANK('Data Entry'!$$26), "", 'Data Entry'!$$26)</f>
      </c>
      <c r="BM26">
        <f>IF(ISBLANK('Data Entry'!$$26), "", 'Data Entry'!$$26)</f>
      </c>
      <c r="BN26">
        <f>IF(ISBLANK('Data Entry'!$$26), "", 'Data Entry'!$$26)</f>
      </c>
      <c r="BO26">
        <f>IF(ISBLANK('Data Entry'!$$26), "", 'Data Entry'!$$26)</f>
      </c>
      <c r="BP26">
        <f>IF(ISBLANK('Data Entry'!$$26), "", 'Data Entry'!$$26)</f>
      </c>
      <c r="BQ26">
        <f>IF(ISBLANK('Data Entry'!$$26), "", 'Data Entry'!$$26)</f>
      </c>
      <c r="BR26">
        <f>IF(ISBLANK('Data Entry'!$$26), "", 'Data Entry'!$$26)</f>
      </c>
      <c r="BS26">
        <f>IF(ISBLANK('Data Entry'!$$26), "", 'Data Entry'!$$26)</f>
      </c>
      <c r="BT26">
        <f>IF(ISBLANK('Data Entry'!$$26), "", 'Data Entry'!$$26)</f>
      </c>
      <c r="BU26">
        <f>IF(ISBLANK('Data Entry'!$$26), "", 'Data Entry'!$$26)</f>
      </c>
      <c r="BV26">
        <f>IF(ISBLANK('Data Entry'!$$26), "", 'Data Entry'!$$26)</f>
      </c>
      <c r="BW26">
        <f>IF(ISBLANK('Data Entry'!$$26), "", 'Data Entry'!$$26)</f>
      </c>
      <c r="BX26">
        <f>IF(ISBLANK('Data Entry'!$$26), "", 'Data Entry'!$$26)</f>
      </c>
      <c r="BY26">
        <f>IF(ISBLANK('Data Entry'!$$26), "", 'Data Entry'!$$26)</f>
      </c>
      <c r="BZ26">
        <f>IF(ISBLANK('Data Entry'!$$26), "", 'Data Entry'!$$26)</f>
      </c>
      <c r="CA26">
        <f>IF(ISBLANK('Data Entry'!$$26), "", 'Data Entry'!$$26)</f>
      </c>
      <c r="CB26">
        <f>IF(ISBLANK('Data Entry'!$$26), "", 'Data Entry'!$$26)</f>
      </c>
      <c r="CC26">
        <f>IF(ISBLANK('Data Entry'!$$26), "", 'Data Entry'!$$26)</f>
      </c>
      <c r="CD26">
        <f>IF(ISBLANK('Data Entry'!$$26), "", 'Data Entry'!$$26)</f>
      </c>
      <c r="CE26">
        <f>IF(ISBLANK('Data Entry'!$$26), "", 'Data Entry'!$$26)</f>
      </c>
      <c r="CF26">
        <f>IF(ISBLANK('Data Entry'!$$26), "", 'Data Entry'!$$26)</f>
      </c>
      <c r="CG26">
        <f>IF(ISBLANK('Data Entry'!$$26), "", 'Data Entry'!$$26)</f>
      </c>
      <c r="CH26">
        <f>IF(ISBLANK('Data Entry'!$$26), "", 'Data Entry'!$$26)</f>
      </c>
      <c r="CI26">
        <f>IF(ISBLANK('Data Entry'!$$26), "", 'Data Entry'!$$26)</f>
      </c>
      <c r="CJ26">
        <f>IF(ISBLANK('Data Entry'!$$26), "", 'Data Entry'!$$26)</f>
      </c>
      <c r="CK26">
        <f>IF(ISBLANK('Data Entry'!$$26), "", 'Data Entry'!$$26)</f>
      </c>
      <c r="CL26">
        <f>IF(ISBLANK('Data Entry'!$$26), "", 'Data Entry'!$$26)</f>
      </c>
      <c r="CM26">
        <f>IF(ISBLANK('Data Entry'!$$26), "", 'Data Entry'!$$26)</f>
      </c>
      <c r="CN26">
        <f>IF(ISBLANK('Data Entry'!$$26), "", 'Data Entry'!$$26)</f>
      </c>
      <c r="CO26">
        <f>IF(ISBLANK('Data Entry'!$$26), "", 'Data Entry'!$$26)</f>
      </c>
      <c r="CP26">
        <f>IF(ISBLANK('Data Entry'!$$26), "", 'Data Entry'!$$26)</f>
      </c>
      <c r="CQ26">
        <f>IF(ISBLANK('Data Entry'!$$26), "", 'Data Entry'!$$26)</f>
      </c>
      <c r="CR26">
        <f>IF(ISBLANK('Data Entry'!$ $26), "", 'Data Entry'!$ $26)</f>
      </c>
      <c r="CS26">
        <f>IF(ISBLANK('Data Entry'!$¡$26), "", 'Data Entry'!$¡$26)</f>
      </c>
      <c r="CT26">
        <f>IF(ISBLANK('Data Entry'!$¢$26), "", 'Data Entry'!$¢$26)</f>
      </c>
      <c r="CU26">
        <f>IF(ISBLANK('Data Entry'!$£$26), "", 'Data Entry'!$£$26)</f>
      </c>
      <c r="CV26">
        <f>IF(ISBLANK('Data Entry'!$¤$26), "", 'Data Entry'!$¤$26)</f>
      </c>
      <c r="CW26">
        <f>IF(ISBLANK('Data Entry'!$¥$26), "", 'Data Entry'!$¥$26)</f>
      </c>
      <c r="CX26">
        <f>IF(ISBLANK('Data Entry'!$¦$26), "", 'Data Entry'!$¦$26)</f>
      </c>
      <c r="CY26">
        <f>IF(ISBLANK('Data Entry'!$§$26), "", 'Data Entry'!$§$26)</f>
      </c>
      <c r="CZ26">
        <f>IF(ISBLANK('Data Entry'!$¨$26), "", 'Data Entry'!$¨$26)</f>
      </c>
      <c r="DA26">
        <f>IF(ISBLANK('Data Entry'!$©$26), "", 'Data Entry'!$©$26)</f>
      </c>
      <c r="DB26">
        <f>IF(ISBLANK('Data Entry'!$ª$26), "", 'Data Entry'!$ª$26)</f>
      </c>
      <c r="DC26">
        <f>IF(ISBLANK('Data Entry'!$«$26), "", 'Data Entry'!$«$26)</f>
      </c>
      <c r="DD26">
        <f>IF(ISBLANK('Data Entry'!$¬$26), "", 'Data Entry'!$¬$26)</f>
      </c>
      <c r="DE26">
        <f>IF(ISBLANK('Data Entry'!$­$26), "", 'Data Entry'!$­$26)</f>
      </c>
      <c r="DF26">
        <f>IF(ISBLANK('Data Entry'!$®$26), "", 'Data Entry'!$®$26)</f>
      </c>
      <c r="DG26">
        <f>IF(ISBLANK('Data Entry'!$¯$26), "", 'Data Entry'!$¯$26)</f>
      </c>
      <c r="DH26">
        <f>IF(ISBLANK('Data Entry'!$°$26), "", 'Data Entry'!$°$26)</f>
      </c>
      <c r="DI26">
        <f>IF(ISBLANK('Data Entry'!$±$26), "", 'Data Entry'!$±$26)</f>
      </c>
      <c r="DJ26">
        <f>IF(ISBLANK('Data Entry'!$²$26), "", 'Data Entry'!$²$26)</f>
      </c>
      <c r="DK26">
        <f>IF(ISBLANK('Data Entry'!$³$26), "", 'Data Entry'!$³$26)</f>
      </c>
      <c r="DL26">
        <f>IF(ISBLANK('Data Entry'!$´$26), "", 'Data Entry'!$´$26)</f>
      </c>
      <c r="DM26">
        <f>IF(ISBLANK('Data Entry'!$µ$26), "", 'Data Entry'!$µ$26)</f>
      </c>
      <c r="DN26">
        <f>IF(ISBLANK('Data Entry'!$¶$26), "", 'Data Entry'!$¶$26)</f>
      </c>
      <c r="DO26">
        <f>IF(ISBLANK('Data Entry'!$·$26), "", 'Data Entry'!$·$26)</f>
      </c>
      <c r="DP26">
        <f>IF(ISBLANK('Data Entry'!$¸$26), "", 'Data Entry'!$¸$26)</f>
      </c>
      <c r="DQ26">
        <f>IF(ISBLANK('Data Entry'!$¹$26), "", 'Data Entry'!$¹$26)</f>
      </c>
      <c r="DR26">
        <f>IF(ISBLANK('Data Entry'!$º$26), "", 'Data Entry'!$º$26)</f>
      </c>
      <c r="DS26">
        <f>IF(ISBLANK('Data Entry'!$»$26), "", 'Data Entry'!$»$26)</f>
      </c>
      <c r="DT26">
        <f>IF(ISBLANK('Data Entry'!$¼$26), "", 'Data Entry'!$¼$26)</f>
      </c>
      <c r="DU26">
        <f>IF(ISBLANK('Data Entry'!$½$26), "", 'Data Entry'!$½$26)</f>
      </c>
      <c r="DV26">
        <f>IF(ISBLANK('Data Entry'!$¾$26), "", 'Data Entry'!$¾$26)</f>
      </c>
      <c r="DW26">
        <f>IF(ISBLANK('Data Entry'!$¿$26), "", 'Data Entry'!$¿$26)</f>
      </c>
      <c r="DX26">
        <f>IF(ISBLANK('Data Entry'!$À$26), "", 'Data Entry'!$À$26)</f>
      </c>
      <c r="DY26">
        <f>IF(ISBLANK('Data Entry'!$Á$26), "", 'Data Entry'!$Á$26)</f>
      </c>
      <c r="DZ26">
        <f>IF(ISBLANK('Data Entry'!$Â$26), "", 'Data Entry'!$Â$26)</f>
      </c>
      <c r="EA26">
        <f>IF(ISBLANK('Data Entry'!$Ã$26), "", 'Data Entry'!$Ã$26)</f>
      </c>
      <c r="EB26">
        <f>IF(ISBLANK('Data Entry'!$Ä$26), "", 'Data Entry'!$Ä$26)</f>
      </c>
      <c r="EC26">
        <f>IF(ISBLANK('Data Entry'!$Å$26), "", 'Data Entry'!$Å$26)</f>
      </c>
      <c r="ED26">
        <f>IF(ISBLANK('Data Entry'!$Æ$26), "", 'Data Entry'!$Æ$26)</f>
      </c>
      <c r="EE26">
        <f>IF(ISBLANK('Data Entry'!$Ç$26), "", 'Data Entry'!$Ç$26)</f>
      </c>
      <c r="EF26">
        <f>IF(ISBLANK('Data Entry'!$È$26), "", 'Data Entry'!$È$26)</f>
      </c>
      <c r="EG26">
        <f>IF(ISBLANK('Data Entry'!$É$26), "", 'Data Entry'!$É$26)</f>
      </c>
      <c r="EH26">
        <f>IF(ISBLANK('Data Entry'!$Ê$26), "", 'Data Entry'!$Ê$26)</f>
      </c>
      <c r="EI26">
        <f>IF(ISBLANK('Data Entry'!$Ë$26), "", 'Data Entry'!$Ë$26)</f>
      </c>
      <c r="EJ26">
        <f>IF(ISBLANK('Data Entry'!$Ì$26), "", 'Data Entry'!$Ì$26)</f>
      </c>
      <c r="EK26">
        <f>IF(ISBLANK('Data Entry'!$Í$26), "", 'Data Entry'!$Í$26)</f>
      </c>
      <c r="EL26">
        <f>IF(ISBLANK('Data Entry'!$Î$26), "", 'Data Entry'!$Î$26)</f>
      </c>
      <c r="EM26">
        <f>IF(ISBLANK('Data Entry'!$Ï$26), "", 'Data Entry'!$Ï$26)</f>
      </c>
      <c r="EN26">
        <f>IF(ISBLANK('Data Entry'!$Ð$26), "", 'Data Entry'!$Ð$26)</f>
      </c>
      <c r="EO26">
        <f>IF(ISBLANK('Data Entry'!$Ñ$26), "", 'Data Entry'!$Ñ$26)</f>
      </c>
      <c r="EP26">
        <f>IF(ISBLANK('Data Entry'!$Ò$26), "", 'Data Entry'!$Ò$26)</f>
      </c>
      <c r="EQ26">
        <f>IF(ISBLANK('Data Entry'!$Ó$26), "", 'Data Entry'!$Ó$26)</f>
      </c>
      <c r="ER26">
        <f>IF(ISBLANK('Data Entry'!$Ô$26), "", 'Data Entry'!$Ô$26)</f>
      </c>
      <c r="ES26">
        <f>IF(ISBLANK('Data Entry'!$Õ$26), "", 'Data Entry'!$Õ$26)</f>
      </c>
      <c r="ET26">
        <f>IF(ISBLANK('Data Entry'!$Ö$26), "", 'Data Entry'!$Ö$26)</f>
      </c>
      <c r="EU26">
        <f>IF(ISBLANK('Data Entry'!$×$26), "", 'Data Entry'!$×$26)</f>
      </c>
      <c r="EV26">
        <f>IF(ISBLANK('Data Entry'!$Ø$26), "", 'Data Entry'!$Ø$26)</f>
      </c>
      <c r="EW26">
        <f>IF(ISBLANK('Data Entry'!$Ù$26), "", 'Data Entry'!$Ù$26)</f>
      </c>
      <c r="EX26">
        <f>IF(ISBLANK('Data Entry'!$Ú$26), "", 'Data Entry'!$Ú$26)</f>
      </c>
      <c r="EY26">
        <f>IF(ISBLANK('Data Entry'!$Û$26), "", 'Data Entry'!$Û$26)</f>
      </c>
      <c r="EZ26">
        <f>IF(ISBLANK('Data Entry'!$Ü$26), "", 'Data Entry'!$Ü$26)</f>
      </c>
      <c r="FA26">
        <f>IF(ISBLANK('Data Entry'!$Ý$26), "", 'Data Entry'!$Ý$26)</f>
      </c>
      <c r="FB26">
        <f>IF(ISBLANK('Data Entry'!$Þ$26), "", 'Data Entry'!$Þ$26)</f>
      </c>
      <c r="FC26">
        <f>IF(ISBLANK('Data Entry'!$ß$26), "", 'Data Entry'!$ß$26)</f>
      </c>
      <c r="FD26">
        <f>IF(ISBLANK('Data Entry'!$à$26), "", 'Data Entry'!$à$26)</f>
      </c>
      <c r="FE26">
        <f>IF(ISBLANK('Data Entry'!$á$26), "", 'Data Entry'!$á$26)</f>
      </c>
      <c r="FF26">
        <f>IF(ISBLANK('Data Entry'!$â$26), "", 'Data Entry'!$â$26)</f>
      </c>
      <c r="FG26">
        <f>IF(ISBLANK('Data Entry'!$ã$26), "", 'Data Entry'!$ã$26)</f>
      </c>
      <c r="FH26">
        <f>IF(ISBLANK('Data Entry'!$ä$26), "", 'Data Entry'!$ä$26)</f>
      </c>
      <c r="FI26">
        <f>IF(ISBLANK('Data Entry'!$å$26), "", 'Data Entry'!$å$26)</f>
      </c>
      <c r="FJ26">
        <f>IF(ISBLANK('Data Entry'!$æ$26), "", 'Data Entry'!$æ$26)</f>
      </c>
      <c r="FK26">
        <f>IF(ISBLANK('Data Entry'!$ç$26), "", 'Data Entry'!$ç$26)</f>
      </c>
      <c r="FL26">
        <f>IF(ISBLANK('Data Entry'!$è$26), "", 'Data Entry'!$è$26)</f>
      </c>
      <c r="FM26">
        <f>IF(ISBLANK('Data Entry'!$é$26), "", 'Data Entry'!$é$26)</f>
      </c>
      <c r="FN26">
        <f>IF(ISBLANK('Data Entry'!$ê$26), "", 'Data Entry'!$ê$26)</f>
      </c>
      <c r="FO26">
        <f>IF(ISBLANK('Data Entry'!$ë$26), "", 'Data Entry'!$ë$26)</f>
      </c>
      <c r="FP26">
        <f>IF(ISBLANK('Data Entry'!$ì$26), "", 'Data Entry'!$ì$26)</f>
      </c>
      <c r="FQ26">
        <f>IF(ISBLANK('Data Entry'!$í$26), "", 'Data Entry'!$í$26)</f>
      </c>
      <c r="FR26">
        <f>IF(ISBLANK('Data Entry'!$î$26), "", 'Data Entry'!$î$26)</f>
      </c>
      <c r="FS26">
        <f>IF(ISBLANK('Data Entry'!$ï$26), "", 'Data Entry'!$ï$26)</f>
      </c>
      <c r="FT26">
        <f>IF(ISBLANK('Data Entry'!$ð$26), "", 'Data Entry'!$ð$26)</f>
      </c>
      <c r="FU26">
        <f>IF(ISBLANK('Data Entry'!$ñ$26), "", 'Data Entry'!$ñ$26)</f>
      </c>
      <c r="FV26">
        <f>IF(ISBLANK('Data Entry'!$ò$26), "", 'Data Entry'!$ò$26)</f>
      </c>
      <c r="FW26">
        <f>IF(ISBLANK('Data Entry'!$ó$26), "", 'Data Entry'!$ó$26)</f>
      </c>
      <c r="FX26">
        <f>IF(ISBLANK('Data Entry'!$ô$26), "", 'Data Entry'!$ô$26)</f>
      </c>
      <c r="FY26">
        <f>IF(ISBLANK('Data Entry'!$õ$26), "", 'Data Entry'!$õ$26)</f>
      </c>
      <c r="FZ26">
        <f>IF(ISBLANK('Data Entry'!$ö$26), "", 'Data Entry'!$ö$26)</f>
      </c>
      <c r="GA26">
        <f>IF(ISBLANK('Data Entry'!$÷$26), "", 'Data Entry'!$÷$26)</f>
      </c>
      <c r="GB26">
        <f>IF(ISBLANK('Data Entry'!$ø$26), "", 'Data Entry'!$ø$26)</f>
      </c>
      <c r="GC26">
        <f>IF(ISBLANK('Data Entry'!$ù$26), "", 'Data Entry'!$ù$26)</f>
      </c>
      <c r="GD26">
        <f>IF(ISBLANK('Data Entry'!$ú$26), "", 'Data Entry'!$ú$26)</f>
      </c>
      <c r="GE26">
        <f>IF(ISBLANK('Data Entry'!$û$26), "", 'Data Entry'!$û$26)</f>
      </c>
      <c r="GF26">
        <f>IF(ISBLANK('Data Entry'!$ü$26), "", 'Data Entry'!$ü$26)</f>
      </c>
      <c r="GG26">
        <f>IF(ISBLANK('Data Entry'!$ý$26), "", 'Data Entry'!$ý$26)</f>
      </c>
      <c r="GH26">
        <f>IF(ISBLANK('Data Entry'!$þ$26), "", 'Data Entry'!$þ$26)</f>
      </c>
      <c r="GI26">
        <f>IF(ISBLANK('Data Entry'!$ÿ$26), "", 'Data Entry'!$ÿ$26)</f>
      </c>
      <c r="GJ26">
        <f>IF(ISBLANK('Data Entry'!$Ā$26), "", 'Data Entry'!$Ā$26)</f>
      </c>
      <c r="GK26">
        <f>IF(ISBLANK('Data Entry'!$ā$26), "", 'Data Entry'!$ā$26)</f>
      </c>
      <c r="GL26">
        <f>IF(ISBLANK('Data Entry'!$Ă$26), "", 'Data Entry'!$Ă$26)</f>
      </c>
      <c r="GM26">
        <f>IF(ISBLANK('Data Entry'!$ă$26), "", 'Data Entry'!$ă$26)</f>
      </c>
      <c r="GN26">
        <f>IF(ISBLANK('Data Entry'!$Ą$26), "", 'Data Entry'!$Ą$26)</f>
      </c>
      <c r="GO26">
        <f>IF(ISBLANK('Data Entry'!$ą$26), "", 'Data Entry'!$ą$26)</f>
      </c>
      <c r="GP26">
        <f>IF(ISBLANK('Data Entry'!$Ć$26), "", 'Data Entry'!$Ć$26)</f>
      </c>
      <c r="GQ26">
        <f>IF(ISBLANK('Data Entry'!$ć$26), "", 'Data Entry'!$ć$26)</f>
      </c>
      <c r="GR26">
        <f>IF(ISBLANK('Data Entry'!$Ĉ$26), "", 'Data Entry'!$Ĉ$26)</f>
      </c>
      <c r="GS26">
        <f>IF(ISBLANK('Data Entry'!$ĉ$26), "", 'Data Entry'!$ĉ$26)</f>
      </c>
      <c r="GT26">
        <f>IF(ISBLANK('Data Entry'!$Ċ$26), "", 'Data Entry'!$Ċ$26)</f>
      </c>
      <c r="GU26">
        <f>IF(ISBLANK('Data Entry'!$ċ$26), "", 'Data Entry'!$ċ$26)</f>
      </c>
      <c r="GV26">
        <f>IF(ISBLANK('Data Entry'!$Č$26), "", 'Data Entry'!$Č$26)</f>
      </c>
      <c r="GW26">
        <f>IF(ISBLANK('Data Entry'!$č$26), "", 'Data Entry'!$č$26)</f>
      </c>
      <c r="GX26">
        <f>IF(ISBLANK('Data Entry'!$Ď$26), "", 'Data Entry'!$Ď$26)</f>
      </c>
      <c r="GY26">
        <f>IF(ISBLANK('Data Entry'!$ď$26), "", 'Data Entry'!$ď$26)</f>
      </c>
      <c r="GZ26">
        <f>IF(ISBLANK('Data Entry'!$Đ$26), "", 'Data Entry'!$Đ$26)</f>
      </c>
      <c r="HA26">
        <f>IF(ISBLANK('Data Entry'!$đ$26), "", 'Data Entry'!$đ$26)</f>
      </c>
      <c r="HB26">
        <f>IF(ISBLANK('Data Entry'!$Ē$26), "", 'Data Entry'!$Ē$26)</f>
      </c>
      <c r="HC26">
        <f>IF(ISBLANK('Data Entry'!$ē$26), "", 'Data Entry'!$ē$26)</f>
      </c>
      <c r="HD26">
        <f>IF(ISBLANK('Data Entry'!$Ĕ$26), "", 'Data Entry'!$Ĕ$26)</f>
      </c>
      <c r="HE26">
        <f>IF(ISBLANK('Data Entry'!$ĕ$26), "", 'Data Entry'!$ĕ$26)</f>
      </c>
      <c r="HF26">
        <f>IF(ISBLANK('Data Entry'!$Ė$26), "", 'Data Entry'!$Ė$26)</f>
      </c>
      <c r="HG26">
        <f>IF(ISBLANK('Data Entry'!$ė$26), "", 'Data Entry'!$ė$26)</f>
      </c>
      <c r="HH26">
        <f>IF(ISBLANK('Data Entry'!$Ę$26), "", 'Data Entry'!$Ę$26)</f>
      </c>
      <c r="HI26">
        <f>IF(ISBLANK('Data Entry'!$ę$26), "", 'Data Entry'!$ę$26)</f>
      </c>
      <c r="HJ26">
        <f>IF(ISBLANK('Data Entry'!$Ě$26), "", 'Data Entry'!$Ě$26)</f>
      </c>
      <c r="HK26">
        <f>IF(ISBLANK('Data Entry'!$ě$26), "", 'Data Entry'!$ě$26)</f>
      </c>
      <c r="HL26">
        <f>IF(ISBLANK('Data Entry'!$Ĝ$26), "", 'Data Entry'!$Ĝ$26)</f>
      </c>
      <c r="HM26">
        <f>IF(ISBLANK('Data Entry'!$ĝ$26), "", 'Data Entry'!$ĝ$26)</f>
      </c>
      <c r="HN26">
        <f>IF(ISBLANK('Data Entry'!$Ğ$26), "", 'Data Entry'!$Ğ$26)</f>
      </c>
      <c r="HO26">
        <f>IF(ISBLANK('Data Entry'!$ğ$26), "", 'Data Entry'!$ğ$26)</f>
      </c>
      <c r="HP26">
        <f>IF(ISBLANK('Data Entry'!$Ġ$26), "", 'Data Entry'!$Ġ$26)</f>
      </c>
      <c r="HQ26">
        <f>IF(ISBLANK('Data Entry'!$ġ$26), "", 'Data Entry'!$ġ$26)</f>
      </c>
      <c r="HR26">
        <f>IF(ISBLANK('Data Entry'!$Ģ$26), "", 'Data Entry'!$Ģ$26)</f>
      </c>
      <c r="HS26">
        <f>IF(ISBLANK('Data Entry'!$ģ$26), "", 'Data Entry'!$ģ$26)</f>
      </c>
      <c r="HT26">
        <f>IF(ISBLANK('Data Entry'!$Ĥ$26), "", 'Data Entry'!$Ĥ$26)</f>
      </c>
      <c r="HU26">
        <f>IF(ISBLANK('Data Entry'!$ĥ$26), "", 'Data Entry'!$ĥ$26)</f>
      </c>
      <c r="HV26">
        <f>IF(ISBLANK('Data Entry'!$Ħ$26), "", 'Data Entry'!$Ħ$26)</f>
      </c>
      <c r="HW26">
        <f>IF(ISBLANK('Data Entry'!$ħ$26), "", 'Data Entry'!$ħ$26)</f>
      </c>
      <c r="HX26">
        <f>IF(ISBLANK('Data Entry'!$Ĩ$26), "", 'Data Entry'!$Ĩ$26)</f>
      </c>
      <c r="HY26">
        <f>IF(ISBLANK('Data Entry'!$ĩ$26), "", 'Data Entry'!$ĩ$26)</f>
      </c>
      <c r="HZ26">
        <f>IF(ISBLANK('Data Entry'!$Ī$26), "", 'Data Entry'!$Ī$26)</f>
      </c>
      <c r="IA26">
        <f>IF(ISBLANK('Data Entry'!$ī$26), "", 'Data Entry'!$ī$26)</f>
      </c>
      <c r="IB26">
        <f>IF(ISBLANK('Data Entry'!$Ĭ$26), "", 'Data Entry'!$Ĭ$26)</f>
      </c>
      <c r="IC26">
        <f>IF(ISBLANK('Data Entry'!$ĭ$26), "", 'Data Entry'!$ĭ$26)</f>
      </c>
      <c r="ID26">
        <f>IF(ISBLANK('Data Entry'!$Į$26), "", 'Data Entry'!$Į$26)</f>
      </c>
      <c r="IE26">
        <f>IF(ISBLANK('Data Entry'!$į$26), "", 'Data Entry'!$į$26)</f>
      </c>
      <c r="IF26">
        <f>IF(ISBLANK('Data Entry'!$İ$26), "", 'Data Entry'!$İ$26)</f>
      </c>
      <c r="IG26">
        <f>IF(ISBLANK('Data Entry'!$ı$26), "", 'Data Entry'!$ı$26)</f>
      </c>
      <c r="IH26">
        <f>IF(ISBLANK('Data Entry'!$Ĳ$26), "", 'Data Entry'!$Ĳ$26)</f>
      </c>
      <c r="II26">
        <f>IF(ISBLANK('Data Entry'!$ĳ$26), "", 'Data Entry'!$ĳ$26)</f>
      </c>
      <c r="IJ26">
        <f>IF(ISBLANK('Data Entry'!$Ĵ$26), "", 'Data Entry'!$Ĵ$26)</f>
      </c>
      <c r="IK26">
        <f>IF(ISBLANK('Data Entry'!$ĵ$26), "", 'Data Entry'!$ĵ$26)</f>
      </c>
      <c r="IL26">
        <f>IF(ISBLANK('Data Entry'!$Ķ$26), "", 'Data Entry'!$Ķ$26)</f>
      </c>
      <c r="IM26">
        <f>IF(ISBLANK('Data Entry'!$ķ$26), "", 'Data Entry'!$ķ$26)</f>
      </c>
      <c r="IN26">
        <f>IF(ISBLANK('Data Entry'!$ĸ$26), "", 'Data Entry'!$ĸ$26)</f>
      </c>
      <c r="IO26">
        <f>IF(ISBLANK('Data Entry'!$Ĺ$26), "", 'Data Entry'!$Ĺ$26)</f>
      </c>
      <c r="IP26">
        <f>IF(ISBLANK('Data Entry'!$ĺ$26), "", 'Data Entry'!$ĺ$26)</f>
      </c>
      <c r="IQ26">
        <f>IF(ISBLANK('Data Entry'!$Ļ$26), "", 'Data Entry'!$Ļ$26)</f>
      </c>
      <c r="IR26">
        <f>IF(ISBLANK('Data Entry'!$ļ$26), "", 'Data Entry'!$ļ$26)</f>
      </c>
      <c r="IS26">
        <f>IF(ISBLANK('Data Entry'!$Ľ$26), "", 'Data Entry'!$Ľ$26)</f>
      </c>
      <c r="IT26">
        <f>IF(ISBLANK('Data Entry'!$ľ$26), "", 'Data Entry'!$ľ$26)</f>
      </c>
    </row>
    <row r="27" spans="1:254" x14ac:dyDescent="0.25">
      <c r="A27">
        <f>IF(ISBLANK('Data Entry'!$A$27), "", 'Data Entry'!$A$27)</f>
      </c>
      <c r="B27">
        <f>IF(ISBLANK('Data Entry'!$B$27), "", 'Data Entry'!$B$27)</f>
      </c>
      <c r="C27">
        <f>IF(ISBLANK('Data Entry'!$C$27), "", 'Data Entry'!$C$27)</f>
      </c>
      <c r="D27">
        <f>IF(ISBLANK('Data Entry'!$D$27), "", 'Data Entry'!$D$27)</f>
      </c>
      <c r="E27">
        <f>IF(ISBLANK('Data Entry'!$E$27), "", 'Data Entry'!$E$27)</f>
      </c>
      <c r="F27">
        <f>IF(ISBLANK('Data Entry'!$F$27), "", 'Data Entry'!$F$27)</f>
      </c>
      <c r="G27">
        <f>IF(ISBLANK('Data Entry'!$G$27), "", 'Data Entry'!$G$27)</f>
      </c>
      <c r="H27">
        <f>IF(ISBLANK('Data Entry'!$H$27), "", 'Data Entry'!$H$27)</f>
      </c>
      <c r="I27">
        <f>IF(ISBLANK('Data Entry'!$I$27), "", 'Data Entry'!$I$27)</f>
      </c>
      <c r="J27">
        <f>IF(ISBLANK('Data Entry'!$J$27), "", 'Data Entry'!$J$27)</f>
      </c>
      <c r="K27">
        <f>IF(ISBLANK('Data Entry'!$K$27), "", 'Data Entry'!$K$27)</f>
      </c>
      <c r="L27">
        <f>IF(ISBLANK('Data Entry'!$L$27), "", 'Data Entry'!$L$27)</f>
      </c>
      <c r="M27">
        <f>IF(ISBLANK('Data Entry'!$M$27), "", 'Data Entry'!$M$27)</f>
      </c>
      <c r="N27">
        <f>IF(ISBLANK('Data Entry'!$N$27), "", 'Data Entry'!$N$27)</f>
      </c>
      <c r="O27">
        <f>IF(ISBLANK('Data Entry'!$O$27), "", 'Data Entry'!$O$27)</f>
      </c>
      <c r="P27">
        <f>IF(ISBLANK('Data Entry'!$P$27), "", 'Data Entry'!$P$27)</f>
      </c>
      <c r="Q27">
        <f>IF(ISBLANK('Data Entry'!$Q$27), "", 'Data Entry'!$Q$27)</f>
      </c>
      <c r="R27">
        <f>IF(ISBLANK('Data Entry'!$R$27), "", 'Data Entry'!$R$27)</f>
      </c>
      <c r="S27">
        <f>IF(ISBLANK('Data Entry'!$S$27), "", 'Data Entry'!$S$27)</f>
      </c>
      <c r="T27">
        <f>IF(ISBLANK('Data Entry'!$T$27), "", 'Data Entry'!$T$27)</f>
      </c>
      <c r="U27">
        <f>IF(ISBLANK('Data Entry'!$U$27), "", 'Data Entry'!$U$27)</f>
      </c>
      <c r="V27">
        <f>IF(ISBLANK('Data Entry'!$V$27), "", 'Data Entry'!$V$27)</f>
      </c>
      <c r="W27">
        <f>IF(ISBLANK('Data Entry'!$W$27), "", 'Data Entry'!$W$27)</f>
      </c>
      <c r="X27">
        <f>IF(ISBLANK('Data Entry'!$X$27), "", 'Data Entry'!$X$27)</f>
      </c>
      <c r="Y27">
        <f>IF(ISBLANK('Data Entry'!$Y$27), "", 'Data Entry'!$Y$27)</f>
      </c>
      <c r="Z27">
        <f>IF(ISBLANK('Data Entry'!$Z$27), "", 'Data Entry'!$Z$27)</f>
      </c>
      <c r="AA27">
        <f>IF(ISBLANK('Data Entry'!$[$27), "", 'Data Entry'!$[$27)</f>
      </c>
      <c r="AB27">
        <f>IF(ISBLANK('Data Entry'!$\$27), "", 'Data Entry'!$\$27)</f>
      </c>
      <c r="AC27">
        <f>IF(ISBLANK('Data Entry'!$]$27), "", 'Data Entry'!$]$27)</f>
      </c>
      <c r="AD27">
        <f>IF(ISBLANK('Data Entry'!$^$27), "", 'Data Entry'!$^$27)</f>
      </c>
      <c r="AE27">
        <f>IF(ISBLANK('Data Entry'!$_$27), "", 'Data Entry'!$_$27)</f>
      </c>
      <c r="AF27">
        <f>IF(ISBLANK('Data Entry'!$`$27), "", 'Data Entry'!$`$27)</f>
      </c>
      <c r="AG27">
        <f>IF(ISBLANK('Data Entry'!$a$27), "", 'Data Entry'!$a$27)</f>
      </c>
      <c r="AH27">
        <f>IF(ISBLANK('Data Entry'!$b$27), "", 'Data Entry'!$b$27)</f>
      </c>
      <c r="AI27">
        <f>IF(ISBLANK('Data Entry'!$c$27), "", 'Data Entry'!$c$27)</f>
      </c>
      <c r="AJ27">
        <f>IF(ISBLANK('Data Entry'!$d$27), "", 'Data Entry'!$d$27)</f>
      </c>
      <c r="AK27">
        <f>IF(ISBLANK('Data Entry'!$e$27), "", 'Data Entry'!$e$27)</f>
      </c>
      <c r="AL27">
        <f>IF(ISBLANK('Data Entry'!$f$27), "", 'Data Entry'!$f$27)</f>
      </c>
      <c r="AM27">
        <f>IF(ISBLANK('Data Entry'!$g$27), "", 'Data Entry'!$g$27)</f>
      </c>
      <c r="AN27">
        <f>IF(ISBLANK('Data Entry'!$h$27), "", 'Data Entry'!$h$27)</f>
      </c>
      <c r="AO27">
        <f>IF(ISBLANK('Data Entry'!$i$27), "", 'Data Entry'!$i$27)</f>
      </c>
      <c r="AP27">
        <f>IF(ISBLANK('Data Entry'!$j$27), "", 'Data Entry'!$j$27)</f>
      </c>
      <c r="AQ27">
        <f>IF(ISBLANK('Data Entry'!$k$27), "", 'Data Entry'!$k$27)</f>
      </c>
      <c r="AR27">
        <f>IF(ISBLANK('Data Entry'!$l$27), "", 'Data Entry'!$l$27)</f>
      </c>
      <c r="AS27">
        <f>IF(ISBLANK('Data Entry'!$m$27), "", 'Data Entry'!$m$27)</f>
      </c>
      <c r="AT27">
        <f>IF(ISBLANK('Data Entry'!$n$27), "", 'Data Entry'!$n$27)</f>
      </c>
      <c r="AU27">
        <f>IF(ISBLANK('Data Entry'!$o$27), "", 'Data Entry'!$o$27)</f>
      </c>
      <c r="AV27">
        <f>IF(ISBLANK('Data Entry'!$p$27), "", 'Data Entry'!$p$27)</f>
      </c>
      <c r="AW27">
        <f>IF(ISBLANK('Data Entry'!$q$27), "", 'Data Entry'!$q$27)</f>
      </c>
      <c r="AX27">
        <f>IF(ISBLANK('Data Entry'!$r$27), "", 'Data Entry'!$r$27)</f>
      </c>
      <c r="AY27">
        <f>IF(ISBLANK('Data Entry'!$s$27), "", 'Data Entry'!$s$27)</f>
      </c>
      <c r="AZ27">
        <f>IF(ISBLANK('Data Entry'!$t$27), "", 'Data Entry'!$t$27)</f>
      </c>
      <c r="BA27">
        <f>IF(ISBLANK('Data Entry'!$u$27), "", 'Data Entry'!$u$27)</f>
      </c>
      <c r="BB27">
        <f>IF(ISBLANK('Data Entry'!$v$27), "", 'Data Entry'!$v$27)</f>
      </c>
      <c r="BC27">
        <f>IF(ISBLANK('Data Entry'!$w$27), "", 'Data Entry'!$w$27)</f>
      </c>
      <c r="BD27">
        <f>IF(ISBLANK('Data Entry'!$x$27), "", 'Data Entry'!$x$27)</f>
      </c>
      <c r="BE27">
        <f>IF(ISBLANK('Data Entry'!$y$27), "", 'Data Entry'!$y$27)</f>
      </c>
      <c r="BF27">
        <f>IF(ISBLANK('Data Entry'!$z$27), "", 'Data Entry'!$z$27)</f>
      </c>
      <c r="BG27">
        <f>IF(ISBLANK('Data Entry'!${$27), "", 'Data Entry'!${$27)</f>
      </c>
      <c r="BH27">
        <f>IF(ISBLANK('Data Entry'!$|$27), "", 'Data Entry'!$|$27)</f>
      </c>
      <c r="BI27">
        <f>IF(ISBLANK('Data Entry'!$}$27), "", 'Data Entry'!$}$27)</f>
      </c>
      <c r="BJ27">
        <f>IF(ISBLANK('Data Entry'!$~$27), "", 'Data Entry'!$~$27)</f>
      </c>
      <c r="BK27">
        <f>IF(ISBLANK('Data Entry'!$$27), "", 'Data Entry'!$$27)</f>
      </c>
      <c r="BL27">
        <f>IF(ISBLANK('Data Entry'!$$27), "", 'Data Entry'!$$27)</f>
      </c>
      <c r="BM27">
        <f>IF(ISBLANK('Data Entry'!$$27), "", 'Data Entry'!$$27)</f>
      </c>
      <c r="BN27">
        <f>IF(ISBLANK('Data Entry'!$$27), "", 'Data Entry'!$$27)</f>
      </c>
      <c r="BO27">
        <f>IF(ISBLANK('Data Entry'!$$27), "", 'Data Entry'!$$27)</f>
      </c>
      <c r="BP27">
        <f>IF(ISBLANK('Data Entry'!$$27), "", 'Data Entry'!$$27)</f>
      </c>
      <c r="BQ27">
        <f>IF(ISBLANK('Data Entry'!$$27), "", 'Data Entry'!$$27)</f>
      </c>
      <c r="BR27">
        <f>IF(ISBLANK('Data Entry'!$$27), "", 'Data Entry'!$$27)</f>
      </c>
      <c r="BS27">
        <f>IF(ISBLANK('Data Entry'!$$27), "", 'Data Entry'!$$27)</f>
      </c>
      <c r="BT27">
        <f>IF(ISBLANK('Data Entry'!$$27), "", 'Data Entry'!$$27)</f>
      </c>
      <c r="BU27">
        <f>IF(ISBLANK('Data Entry'!$$27), "", 'Data Entry'!$$27)</f>
      </c>
      <c r="BV27">
        <f>IF(ISBLANK('Data Entry'!$$27), "", 'Data Entry'!$$27)</f>
      </c>
      <c r="BW27">
        <f>IF(ISBLANK('Data Entry'!$$27), "", 'Data Entry'!$$27)</f>
      </c>
      <c r="BX27">
        <f>IF(ISBLANK('Data Entry'!$$27), "", 'Data Entry'!$$27)</f>
      </c>
      <c r="BY27">
        <f>IF(ISBLANK('Data Entry'!$$27), "", 'Data Entry'!$$27)</f>
      </c>
      <c r="BZ27">
        <f>IF(ISBLANK('Data Entry'!$$27), "", 'Data Entry'!$$27)</f>
      </c>
      <c r="CA27">
        <f>IF(ISBLANK('Data Entry'!$$27), "", 'Data Entry'!$$27)</f>
      </c>
      <c r="CB27">
        <f>IF(ISBLANK('Data Entry'!$$27), "", 'Data Entry'!$$27)</f>
      </c>
      <c r="CC27">
        <f>IF(ISBLANK('Data Entry'!$$27), "", 'Data Entry'!$$27)</f>
      </c>
      <c r="CD27">
        <f>IF(ISBLANK('Data Entry'!$$27), "", 'Data Entry'!$$27)</f>
      </c>
      <c r="CE27">
        <f>IF(ISBLANK('Data Entry'!$$27), "", 'Data Entry'!$$27)</f>
      </c>
      <c r="CF27">
        <f>IF(ISBLANK('Data Entry'!$$27), "", 'Data Entry'!$$27)</f>
      </c>
      <c r="CG27">
        <f>IF(ISBLANK('Data Entry'!$$27), "", 'Data Entry'!$$27)</f>
      </c>
      <c r="CH27">
        <f>IF(ISBLANK('Data Entry'!$$27), "", 'Data Entry'!$$27)</f>
      </c>
      <c r="CI27">
        <f>IF(ISBLANK('Data Entry'!$$27), "", 'Data Entry'!$$27)</f>
      </c>
      <c r="CJ27">
        <f>IF(ISBLANK('Data Entry'!$$27), "", 'Data Entry'!$$27)</f>
      </c>
      <c r="CK27">
        <f>IF(ISBLANK('Data Entry'!$$27), "", 'Data Entry'!$$27)</f>
      </c>
      <c r="CL27">
        <f>IF(ISBLANK('Data Entry'!$$27), "", 'Data Entry'!$$27)</f>
      </c>
      <c r="CM27">
        <f>IF(ISBLANK('Data Entry'!$$27), "", 'Data Entry'!$$27)</f>
      </c>
      <c r="CN27">
        <f>IF(ISBLANK('Data Entry'!$$27), "", 'Data Entry'!$$27)</f>
      </c>
      <c r="CO27">
        <f>IF(ISBLANK('Data Entry'!$$27), "", 'Data Entry'!$$27)</f>
      </c>
      <c r="CP27">
        <f>IF(ISBLANK('Data Entry'!$$27), "", 'Data Entry'!$$27)</f>
      </c>
      <c r="CQ27">
        <f>IF(ISBLANK('Data Entry'!$$27), "", 'Data Entry'!$$27)</f>
      </c>
      <c r="CR27">
        <f>IF(ISBLANK('Data Entry'!$ $27), "", 'Data Entry'!$ $27)</f>
      </c>
      <c r="CS27">
        <f>IF(ISBLANK('Data Entry'!$¡$27), "", 'Data Entry'!$¡$27)</f>
      </c>
      <c r="CT27">
        <f>IF(ISBLANK('Data Entry'!$¢$27), "", 'Data Entry'!$¢$27)</f>
      </c>
      <c r="CU27">
        <f>IF(ISBLANK('Data Entry'!$£$27), "", 'Data Entry'!$£$27)</f>
      </c>
      <c r="CV27">
        <f>IF(ISBLANK('Data Entry'!$¤$27), "", 'Data Entry'!$¤$27)</f>
      </c>
      <c r="CW27">
        <f>IF(ISBLANK('Data Entry'!$¥$27), "", 'Data Entry'!$¥$27)</f>
      </c>
      <c r="CX27">
        <f>IF(ISBLANK('Data Entry'!$¦$27), "", 'Data Entry'!$¦$27)</f>
      </c>
      <c r="CY27">
        <f>IF(ISBLANK('Data Entry'!$§$27), "", 'Data Entry'!$§$27)</f>
      </c>
      <c r="CZ27">
        <f>IF(ISBLANK('Data Entry'!$¨$27), "", 'Data Entry'!$¨$27)</f>
      </c>
      <c r="DA27">
        <f>IF(ISBLANK('Data Entry'!$©$27), "", 'Data Entry'!$©$27)</f>
      </c>
      <c r="DB27">
        <f>IF(ISBLANK('Data Entry'!$ª$27), "", 'Data Entry'!$ª$27)</f>
      </c>
      <c r="DC27">
        <f>IF(ISBLANK('Data Entry'!$«$27), "", 'Data Entry'!$«$27)</f>
      </c>
      <c r="DD27">
        <f>IF(ISBLANK('Data Entry'!$¬$27), "", 'Data Entry'!$¬$27)</f>
      </c>
      <c r="DE27">
        <f>IF(ISBLANK('Data Entry'!$­$27), "", 'Data Entry'!$­$27)</f>
      </c>
      <c r="DF27">
        <f>IF(ISBLANK('Data Entry'!$®$27), "", 'Data Entry'!$®$27)</f>
      </c>
      <c r="DG27">
        <f>IF(ISBLANK('Data Entry'!$¯$27), "", 'Data Entry'!$¯$27)</f>
      </c>
      <c r="DH27">
        <f>IF(ISBLANK('Data Entry'!$°$27), "", 'Data Entry'!$°$27)</f>
      </c>
      <c r="DI27">
        <f>IF(ISBLANK('Data Entry'!$±$27), "", 'Data Entry'!$±$27)</f>
      </c>
      <c r="DJ27">
        <f>IF(ISBLANK('Data Entry'!$²$27), "", 'Data Entry'!$²$27)</f>
      </c>
      <c r="DK27">
        <f>IF(ISBLANK('Data Entry'!$³$27), "", 'Data Entry'!$³$27)</f>
      </c>
      <c r="DL27">
        <f>IF(ISBLANK('Data Entry'!$´$27), "", 'Data Entry'!$´$27)</f>
      </c>
      <c r="DM27">
        <f>IF(ISBLANK('Data Entry'!$µ$27), "", 'Data Entry'!$µ$27)</f>
      </c>
      <c r="DN27">
        <f>IF(ISBLANK('Data Entry'!$¶$27), "", 'Data Entry'!$¶$27)</f>
      </c>
      <c r="DO27">
        <f>IF(ISBLANK('Data Entry'!$·$27), "", 'Data Entry'!$·$27)</f>
      </c>
      <c r="DP27">
        <f>IF(ISBLANK('Data Entry'!$¸$27), "", 'Data Entry'!$¸$27)</f>
      </c>
      <c r="DQ27">
        <f>IF(ISBLANK('Data Entry'!$¹$27), "", 'Data Entry'!$¹$27)</f>
      </c>
      <c r="DR27">
        <f>IF(ISBLANK('Data Entry'!$º$27), "", 'Data Entry'!$º$27)</f>
      </c>
      <c r="DS27">
        <f>IF(ISBLANK('Data Entry'!$»$27), "", 'Data Entry'!$»$27)</f>
      </c>
      <c r="DT27">
        <f>IF(ISBLANK('Data Entry'!$¼$27), "", 'Data Entry'!$¼$27)</f>
      </c>
      <c r="DU27">
        <f>IF(ISBLANK('Data Entry'!$½$27), "", 'Data Entry'!$½$27)</f>
      </c>
      <c r="DV27">
        <f>IF(ISBLANK('Data Entry'!$¾$27), "", 'Data Entry'!$¾$27)</f>
      </c>
      <c r="DW27">
        <f>IF(ISBLANK('Data Entry'!$¿$27), "", 'Data Entry'!$¿$27)</f>
      </c>
      <c r="DX27">
        <f>IF(ISBLANK('Data Entry'!$À$27), "", 'Data Entry'!$À$27)</f>
      </c>
      <c r="DY27">
        <f>IF(ISBLANK('Data Entry'!$Á$27), "", 'Data Entry'!$Á$27)</f>
      </c>
      <c r="DZ27">
        <f>IF(ISBLANK('Data Entry'!$Â$27), "", 'Data Entry'!$Â$27)</f>
      </c>
      <c r="EA27">
        <f>IF(ISBLANK('Data Entry'!$Ã$27), "", 'Data Entry'!$Ã$27)</f>
      </c>
      <c r="EB27">
        <f>IF(ISBLANK('Data Entry'!$Ä$27), "", 'Data Entry'!$Ä$27)</f>
      </c>
      <c r="EC27">
        <f>IF(ISBLANK('Data Entry'!$Å$27), "", 'Data Entry'!$Å$27)</f>
      </c>
      <c r="ED27">
        <f>IF(ISBLANK('Data Entry'!$Æ$27), "", 'Data Entry'!$Æ$27)</f>
      </c>
      <c r="EE27">
        <f>IF(ISBLANK('Data Entry'!$Ç$27), "", 'Data Entry'!$Ç$27)</f>
      </c>
      <c r="EF27">
        <f>IF(ISBLANK('Data Entry'!$È$27), "", 'Data Entry'!$È$27)</f>
      </c>
      <c r="EG27">
        <f>IF(ISBLANK('Data Entry'!$É$27), "", 'Data Entry'!$É$27)</f>
      </c>
      <c r="EH27">
        <f>IF(ISBLANK('Data Entry'!$Ê$27), "", 'Data Entry'!$Ê$27)</f>
      </c>
      <c r="EI27">
        <f>IF(ISBLANK('Data Entry'!$Ë$27), "", 'Data Entry'!$Ë$27)</f>
      </c>
      <c r="EJ27">
        <f>IF(ISBLANK('Data Entry'!$Ì$27), "", 'Data Entry'!$Ì$27)</f>
      </c>
      <c r="EK27">
        <f>IF(ISBLANK('Data Entry'!$Í$27), "", 'Data Entry'!$Í$27)</f>
      </c>
      <c r="EL27">
        <f>IF(ISBLANK('Data Entry'!$Î$27), "", 'Data Entry'!$Î$27)</f>
      </c>
      <c r="EM27">
        <f>IF(ISBLANK('Data Entry'!$Ï$27), "", 'Data Entry'!$Ï$27)</f>
      </c>
      <c r="EN27">
        <f>IF(ISBLANK('Data Entry'!$Ð$27), "", 'Data Entry'!$Ð$27)</f>
      </c>
      <c r="EO27">
        <f>IF(ISBLANK('Data Entry'!$Ñ$27), "", 'Data Entry'!$Ñ$27)</f>
      </c>
      <c r="EP27">
        <f>IF(ISBLANK('Data Entry'!$Ò$27), "", 'Data Entry'!$Ò$27)</f>
      </c>
      <c r="EQ27">
        <f>IF(ISBLANK('Data Entry'!$Ó$27), "", 'Data Entry'!$Ó$27)</f>
      </c>
      <c r="ER27">
        <f>IF(ISBLANK('Data Entry'!$Ô$27), "", 'Data Entry'!$Ô$27)</f>
      </c>
      <c r="ES27">
        <f>IF(ISBLANK('Data Entry'!$Õ$27), "", 'Data Entry'!$Õ$27)</f>
      </c>
      <c r="ET27">
        <f>IF(ISBLANK('Data Entry'!$Ö$27), "", 'Data Entry'!$Ö$27)</f>
      </c>
      <c r="EU27">
        <f>IF(ISBLANK('Data Entry'!$×$27), "", 'Data Entry'!$×$27)</f>
      </c>
      <c r="EV27">
        <f>IF(ISBLANK('Data Entry'!$Ø$27), "", 'Data Entry'!$Ø$27)</f>
      </c>
      <c r="EW27">
        <f>IF(ISBLANK('Data Entry'!$Ù$27), "", 'Data Entry'!$Ù$27)</f>
      </c>
      <c r="EX27">
        <f>IF(ISBLANK('Data Entry'!$Ú$27), "", 'Data Entry'!$Ú$27)</f>
      </c>
      <c r="EY27">
        <f>IF(ISBLANK('Data Entry'!$Û$27), "", 'Data Entry'!$Û$27)</f>
      </c>
      <c r="EZ27">
        <f>IF(ISBLANK('Data Entry'!$Ü$27), "", 'Data Entry'!$Ü$27)</f>
      </c>
      <c r="FA27">
        <f>IF(ISBLANK('Data Entry'!$Ý$27), "", 'Data Entry'!$Ý$27)</f>
      </c>
      <c r="FB27">
        <f>IF(ISBLANK('Data Entry'!$Þ$27), "", 'Data Entry'!$Þ$27)</f>
      </c>
      <c r="FC27">
        <f>IF(ISBLANK('Data Entry'!$ß$27), "", 'Data Entry'!$ß$27)</f>
      </c>
      <c r="FD27">
        <f>IF(ISBLANK('Data Entry'!$à$27), "", 'Data Entry'!$à$27)</f>
      </c>
      <c r="FE27">
        <f>IF(ISBLANK('Data Entry'!$á$27), "", 'Data Entry'!$á$27)</f>
      </c>
      <c r="FF27">
        <f>IF(ISBLANK('Data Entry'!$â$27), "", 'Data Entry'!$â$27)</f>
      </c>
      <c r="FG27">
        <f>IF(ISBLANK('Data Entry'!$ã$27), "", 'Data Entry'!$ã$27)</f>
      </c>
      <c r="FH27">
        <f>IF(ISBLANK('Data Entry'!$ä$27), "", 'Data Entry'!$ä$27)</f>
      </c>
      <c r="FI27">
        <f>IF(ISBLANK('Data Entry'!$å$27), "", 'Data Entry'!$å$27)</f>
      </c>
      <c r="FJ27">
        <f>IF(ISBLANK('Data Entry'!$æ$27), "", 'Data Entry'!$æ$27)</f>
      </c>
      <c r="FK27">
        <f>IF(ISBLANK('Data Entry'!$ç$27), "", 'Data Entry'!$ç$27)</f>
      </c>
      <c r="FL27">
        <f>IF(ISBLANK('Data Entry'!$è$27), "", 'Data Entry'!$è$27)</f>
      </c>
      <c r="FM27">
        <f>IF(ISBLANK('Data Entry'!$é$27), "", 'Data Entry'!$é$27)</f>
      </c>
      <c r="FN27">
        <f>IF(ISBLANK('Data Entry'!$ê$27), "", 'Data Entry'!$ê$27)</f>
      </c>
      <c r="FO27">
        <f>IF(ISBLANK('Data Entry'!$ë$27), "", 'Data Entry'!$ë$27)</f>
      </c>
      <c r="FP27">
        <f>IF(ISBLANK('Data Entry'!$ì$27), "", 'Data Entry'!$ì$27)</f>
      </c>
      <c r="FQ27">
        <f>IF(ISBLANK('Data Entry'!$í$27), "", 'Data Entry'!$í$27)</f>
      </c>
      <c r="FR27">
        <f>IF(ISBLANK('Data Entry'!$î$27), "", 'Data Entry'!$î$27)</f>
      </c>
      <c r="FS27">
        <f>IF(ISBLANK('Data Entry'!$ï$27), "", 'Data Entry'!$ï$27)</f>
      </c>
      <c r="FT27">
        <f>IF(ISBLANK('Data Entry'!$ð$27), "", 'Data Entry'!$ð$27)</f>
      </c>
      <c r="FU27">
        <f>IF(ISBLANK('Data Entry'!$ñ$27), "", 'Data Entry'!$ñ$27)</f>
      </c>
      <c r="FV27">
        <f>IF(ISBLANK('Data Entry'!$ò$27), "", 'Data Entry'!$ò$27)</f>
      </c>
      <c r="FW27">
        <f>IF(ISBLANK('Data Entry'!$ó$27), "", 'Data Entry'!$ó$27)</f>
      </c>
      <c r="FX27">
        <f>IF(ISBLANK('Data Entry'!$ô$27), "", 'Data Entry'!$ô$27)</f>
      </c>
      <c r="FY27">
        <f>IF(ISBLANK('Data Entry'!$õ$27), "", 'Data Entry'!$õ$27)</f>
      </c>
      <c r="FZ27">
        <f>IF(ISBLANK('Data Entry'!$ö$27), "", 'Data Entry'!$ö$27)</f>
      </c>
      <c r="GA27">
        <f>IF(ISBLANK('Data Entry'!$÷$27), "", 'Data Entry'!$÷$27)</f>
      </c>
      <c r="GB27">
        <f>IF(ISBLANK('Data Entry'!$ø$27), "", 'Data Entry'!$ø$27)</f>
      </c>
      <c r="GC27">
        <f>IF(ISBLANK('Data Entry'!$ù$27), "", 'Data Entry'!$ù$27)</f>
      </c>
      <c r="GD27">
        <f>IF(ISBLANK('Data Entry'!$ú$27), "", 'Data Entry'!$ú$27)</f>
      </c>
      <c r="GE27">
        <f>IF(ISBLANK('Data Entry'!$û$27), "", 'Data Entry'!$û$27)</f>
      </c>
      <c r="GF27">
        <f>IF(ISBLANK('Data Entry'!$ü$27), "", 'Data Entry'!$ü$27)</f>
      </c>
      <c r="GG27">
        <f>IF(ISBLANK('Data Entry'!$ý$27), "", 'Data Entry'!$ý$27)</f>
      </c>
      <c r="GH27">
        <f>IF(ISBLANK('Data Entry'!$þ$27), "", 'Data Entry'!$þ$27)</f>
      </c>
      <c r="GI27">
        <f>IF(ISBLANK('Data Entry'!$ÿ$27), "", 'Data Entry'!$ÿ$27)</f>
      </c>
      <c r="GJ27">
        <f>IF(ISBLANK('Data Entry'!$Ā$27), "", 'Data Entry'!$Ā$27)</f>
      </c>
      <c r="GK27">
        <f>IF(ISBLANK('Data Entry'!$ā$27), "", 'Data Entry'!$ā$27)</f>
      </c>
      <c r="GL27">
        <f>IF(ISBLANK('Data Entry'!$Ă$27), "", 'Data Entry'!$Ă$27)</f>
      </c>
      <c r="GM27">
        <f>IF(ISBLANK('Data Entry'!$ă$27), "", 'Data Entry'!$ă$27)</f>
      </c>
      <c r="GN27">
        <f>IF(ISBLANK('Data Entry'!$Ą$27), "", 'Data Entry'!$Ą$27)</f>
      </c>
      <c r="GO27">
        <f>IF(ISBLANK('Data Entry'!$ą$27), "", 'Data Entry'!$ą$27)</f>
      </c>
      <c r="GP27">
        <f>IF(ISBLANK('Data Entry'!$Ć$27), "", 'Data Entry'!$Ć$27)</f>
      </c>
      <c r="GQ27">
        <f>IF(ISBLANK('Data Entry'!$ć$27), "", 'Data Entry'!$ć$27)</f>
      </c>
      <c r="GR27">
        <f>IF(ISBLANK('Data Entry'!$Ĉ$27), "", 'Data Entry'!$Ĉ$27)</f>
      </c>
      <c r="GS27">
        <f>IF(ISBLANK('Data Entry'!$ĉ$27), "", 'Data Entry'!$ĉ$27)</f>
      </c>
      <c r="GT27">
        <f>IF(ISBLANK('Data Entry'!$Ċ$27), "", 'Data Entry'!$Ċ$27)</f>
      </c>
      <c r="GU27">
        <f>IF(ISBLANK('Data Entry'!$ċ$27), "", 'Data Entry'!$ċ$27)</f>
      </c>
      <c r="GV27">
        <f>IF(ISBLANK('Data Entry'!$Č$27), "", 'Data Entry'!$Č$27)</f>
      </c>
      <c r="GW27">
        <f>IF(ISBLANK('Data Entry'!$č$27), "", 'Data Entry'!$č$27)</f>
      </c>
      <c r="GX27">
        <f>IF(ISBLANK('Data Entry'!$Ď$27), "", 'Data Entry'!$Ď$27)</f>
      </c>
      <c r="GY27">
        <f>IF(ISBLANK('Data Entry'!$ď$27), "", 'Data Entry'!$ď$27)</f>
      </c>
      <c r="GZ27">
        <f>IF(ISBLANK('Data Entry'!$Đ$27), "", 'Data Entry'!$Đ$27)</f>
      </c>
      <c r="HA27">
        <f>IF(ISBLANK('Data Entry'!$đ$27), "", 'Data Entry'!$đ$27)</f>
      </c>
      <c r="HB27">
        <f>IF(ISBLANK('Data Entry'!$Ē$27), "", 'Data Entry'!$Ē$27)</f>
      </c>
      <c r="HC27">
        <f>IF(ISBLANK('Data Entry'!$ē$27), "", 'Data Entry'!$ē$27)</f>
      </c>
      <c r="HD27">
        <f>IF(ISBLANK('Data Entry'!$Ĕ$27), "", 'Data Entry'!$Ĕ$27)</f>
      </c>
      <c r="HE27">
        <f>IF(ISBLANK('Data Entry'!$ĕ$27), "", 'Data Entry'!$ĕ$27)</f>
      </c>
      <c r="HF27">
        <f>IF(ISBLANK('Data Entry'!$Ė$27), "", 'Data Entry'!$Ė$27)</f>
      </c>
      <c r="HG27">
        <f>IF(ISBLANK('Data Entry'!$ė$27), "", 'Data Entry'!$ė$27)</f>
      </c>
      <c r="HH27">
        <f>IF(ISBLANK('Data Entry'!$Ę$27), "", 'Data Entry'!$Ę$27)</f>
      </c>
      <c r="HI27">
        <f>IF(ISBLANK('Data Entry'!$ę$27), "", 'Data Entry'!$ę$27)</f>
      </c>
      <c r="HJ27">
        <f>IF(ISBLANK('Data Entry'!$Ě$27), "", 'Data Entry'!$Ě$27)</f>
      </c>
      <c r="HK27">
        <f>IF(ISBLANK('Data Entry'!$ě$27), "", 'Data Entry'!$ě$27)</f>
      </c>
      <c r="HL27">
        <f>IF(ISBLANK('Data Entry'!$Ĝ$27), "", 'Data Entry'!$Ĝ$27)</f>
      </c>
      <c r="HM27">
        <f>IF(ISBLANK('Data Entry'!$ĝ$27), "", 'Data Entry'!$ĝ$27)</f>
      </c>
      <c r="HN27">
        <f>IF(ISBLANK('Data Entry'!$Ğ$27), "", 'Data Entry'!$Ğ$27)</f>
      </c>
      <c r="HO27">
        <f>IF(ISBLANK('Data Entry'!$ğ$27), "", 'Data Entry'!$ğ$27)</f>
      </c>
      <c r="HP27">
        <f>IF(ISBLANK('Data Entry'!$Ġ$27), "", 'Data Entry'!$Ġ$27)</f>
      </c>
      <c r="HQ27">
        <f>IF(ISBLANK('Data Entry'!$ġ$27), "", 'Data Entry'!$ġ$27)</f>
      </c>
      <c r="HR27">
        <f>IF(ISBLANK('Data Entry'!$Ģ$27), "", 'Data Entry'!$Ģ$27)</f>
      </c>
      <c r="HS27">
        <f>IF(ISBLANK('Data Entry'!$ģ$27), "", 'Data Entry'!$ģ$27)</f>
      </c>
      <c r="HT27">
        <f>IF(ISBLANK('Data Entry'!$Ĥ$27), "", 'Data Entry'!$Ĥ$27)</f>
      </c>
      <c r="HU27">
        <f>IF(ISBLANK('Data Entry'!$ĥ$27), "", 'Data Entry'!$ĥ$27)</f>
      </c>
      <c r="HV27">
        <f>IF(ISBLANK('Data Entry'!$Ħ$27), "", 'Data Entry'!$Ħ$27)</f>
      </c>
      <c r="HW27">
        <f>IF(ISBLANK('Data Entry'!$ħ$27), "", 'Data Entry'!$ħ$27)</f>
      </c>
      <c r="HX27">
        <f>IF(ISBLANK('Data Entry'!$Ĩ$27), "", 'Data Entry'!$Ĩ$27)</f>
      </c>
      <c r="HY27">
        <f>IF(ISBLANK('Data Entry'!$ĩ$27), "", 'Data Entry'!$ĩ$27)</f>
      </c>
      <c r="HZ27">
        <f>IF(ISBLANK('Data Entry'!$Ī$27), "", 'Data Entry'!$Ī$27)</f>
      </c>
      <c r="IA27">
        <f>IF(ISBLANK('Data Entry'!$ī$27), "", 'Data Entry'!$ī$27)</f>
      </c>
      <c r="IB27">
        <f>IF(ISBLANK('Data Entry'!$Ĭ$27), "", 'Data Entry'!$Ĭ$27)</f>
      </c>
      <c r="IC27">
        <f>IF(ISBLANK('Data Entry'!$ĭ$27), "", 'Data Entry'!$ĭ$27)</f>
      </c>
      <c r="ID27">
        <f>IF(ISBLANK('Data Entry'!$Į$27), "", 'Data Entry'!$Į$27)</f>
      </c>
      <c r="IE27">
        <f>IF(ISBLANK('Data Entry'!$į$27), "", 'Data Entry'!$į$27)</f>
      </c>
      <c r="IF27">
        <f>IF(ISBLANK('Data Entry'!$İ$27), "", 'Data Entry'!$İ$27)</f>
      </c>
      <c r="IG27">
        <f>IF(ISBLANK('Data Entry'!$ı$27), "", 'Data Entry'!$ı$27)</f>
      </c>
      <c r="IH27">
        <f>IF(ISBLANK('Data Entry'!$Ĳ$27), "", 'Data Entry'!$Ĳ$27)</f>
      </c>
      <c r="II27">
        <f>IF(ISBLANK('Data Entry'!$ĳ$27), "", 'Data Entry'!$ĳ$27)</f>
      </c>
      <c r="IJ27">
        <f>IF(ISBLANK('Data Entry'!$Ĵ$27), "", 'Data Entry'!$Ĵ$27)</f>
      </c>
      <c r="IK27">
        <f>IF(ISBLANK('Data Entry'!$ĵ$27), "", 'Data Entry'!$ĵ$27)</f>
      </c>
      <c r="IL27">
        <f>IF(ISBLANK('Data Entry'!$Ķ$27), "", 'Data Entry'!$Ķ$27)</f>
      </c>
      <c r="IM27">
        <f>IF(ISBLANK('Data Entry'!$ķ$27), "", 'Data Entry'!$ķ$27)</f>
      </c>
      <c r="IN27">
        <f>IF(ISBLANK('Data Entry'!$ĸ$27), "", 'Data Entry'!$ĸ$27)</f>
      </c>
      <c r="IO27">
        <f>IF(ISBLANK('Data Entry'!$Ĺ$27), "", 'Data Entry'!$Ĺ$27)</f>
      </c>
      <c r="IP27">
        <f>IF(ISBLANK('Data Entry'!$ĺ$27), "", 'Data Entry'!$ĺ$27)</f>
      </c>
      <c r="IQ27">
        <f>IF(ISBLANK('Data Entry'!$Ļ$27), "", 'Data Entry'!$Ļ$27)</f>
      </c>
      <c r="IR27">
        <f>IF(ISBLANK('Data Entry'!$ļ$27), "", 'Data Entry'!$ļ$27)</f>
      </c>
      <c r="IS27">
        <f>IF(ISBLANK('Data Entry'!$Ľ$27), "", 'Data Entry'!$Ľ$27)</f>
      </c>
      <c r="IT27">
        <f>IF(ISBLANK('Data Entry'!$ľ$27), "", 'Data Entry'!$ľ$27)</f>
      </c>
    </row>
    <row r="28" spans="1:254" x14ac:dyDescent="0.25">
      <c r="A28">
        <f>IF(ISBLANK('Data Entry'!$A$28), "", 'Data Entry'!$A$28)</f>
      </c>
      <c r="B28">
        <f>IF(ISBLANK('Data Entry'!$B$28), "", 'Data Entry'!$B$28)</f>
      </c>
      <c r="C28">
        <f>IF(ISBLANK('Data Entry'!$C$28), "", 'Data Entry'!$C$28)</f>
      </c>
      <c r="D28">
        <f>IF(ISBLANK('Data Entry'!$D$28), "", 'Data Entry'!$D$28)</f>
      </c>
      <c r="E28">
        <f>IF(ISBLANK('Data Entry'!$E$28), "", 'Data Entry'!$E$28)</f>
      </c>
      <c r="F28">
        <f>IF(ISBLANK('Data Entry'!$F$28), "", 'Data Entry'!$F$28)</f>
      </c>
      <c r="G28">
        <f>IF(ISBLANK('Data Entry'!$G$28), "", 'Data Entry'!$G$28)</f>
      </c>
      <c r="H28">
        <f>IF(ISBLANK('Data Entry'!$H$28), "", 'Data Entry'!$H$28)</f>
      </c>
      <c r="I28">
        <f>IF(ISBLANK('Data Entry'!$I$28), "", 'Data Entry'!$I$28)</f>
      </c>
      <c r="J28">
        <f>IF(ISBLANK('Data Entry'!$J$28), "", 'Data Entry'!$J$28)</f>
      </c>
      <c r="K28">
        <f>IF(ISBLANK('Data Entry'!$K$28), "", 'Data Entry'!$K$28)</f>
      </c>
      <c r="L28">
        <f>IF(ISBLANK('Data Entry'!$L$28), "", 'Data Entry'!$L$28)</f>
      </c>
      <c r="M28">
        <f>IF(ISBLANK('Data Entry'!$M$28), "", 'Data Entry'!$M$28)</f>
      </c>
      <c r="N28">
        <f>IF(ISBLANK('Data Entry'!$N$28), "", 'Data Entry'!$N$28)</f>
      </c>
      <c r="O28">
        <f>IF(ISBLANK('Data Entry'!$O$28), "", 'Data Entry'!$O$28)</f>
      </c>
      <c r="P28">
        <f>IF(ISBLANK('Data Entry'!$P$28), "", 'Data Entry'!$P$28)</f>
      </c>
      <c r="Q28">
        <f>IF(ISBLANK('Data Entry'!$Q$28), "", 'Data Entry'!$Q$28)</f>
      </c>
      <c r="R28">
        <f>IF(ISBLANK('Data Entry'!$R$28), "", 'Data Entry'!$R$28)</f>
      </c>
      <c r="S28">
        <f>IF(ISBLANK('Data Entry'!$S$28), "", 'Data Entry'!$S$28)</f>
      </c>
      <c r="T28">
        <f>IF(ISBLANK('Data Entry'!$T$28), "", 'Data Entry'!$T$28)</f>
      </c>
      <c r="U28">
        <f>IF(ISBLANK('Data Entry'!$U$28), "", 'Data Entry'!$U$28)</f>
      </c>
      <c r="V28">
        <f>IF(ISBLANK('Data Entry'!$V$28), "", 'Data Entry'!$V$28)</f>
      </c>
      <c r="W28">
        <f>IF(ISBLANK('Data Entry'!$W$28), "", 'Data Entry'!$W$28)</f>
      </c>
      <c r="X28">
        <f>IF(ISBLANK('Data Entry'!$X$28), "", 'Data Entry'!$X$28)</f>
      </c>
      <c r="Y28">
        <f>IF(ISBLANK('Data Entry'!$Y$28), "", 'Data Entry'!$Y$28)</f>
      </c>
      <c r="Z28">
        <f>IF(ISBLANK('Data Entry'!$Z$28), "", 'Data Entry'!$Z$28)</f>
      </c>
      <c r="AA28">
        <f>IF(ISBLANK('Data Entry'!$[$28), "", 'Data Entry'!$[$28)</f>
      </c>
      <c r="AB28">
        <f>IF(ISBLANK('Data Entry'!$\$28), "", 'Data Entry'!$\$28)</f>
      </c>
      <c r="AC28">
        <f>IF(ISBLANK('Data Entry'!$]$28), "", 'Data Entry'!$]$28)</f>
      </c>
      <c r="AD28">
        <f>IF(ISBLANK('Data Entry'!$^$28), "", 'Data Entry'!$^$28)</f>
      </c>
      <c r="AE28">
        <f>IF(ISBLANK('Data Entry'!$_$28), "", 'Data Entry'!$_$28)</f>
      </c>
      <c r="AF28">
        <f>IF(ISBLANK('Data Entry'!$`$28), "", 'Data Entry'!$`$28)</f>
      </c>
      <c r="AG28">
        <f>IF(ISBLANK('Data Entry'!$a$28), "", 'Data Entry'!$a$28)</f>
      </c>
      <c r="AH28">
        <f>IF(ISBLANK('Data Entry'!$b$28), "", 'Data Entry'!$b$28)</f>
      </c>
      <c r="AI28">
        <f>IF(ISBLANK('Data Entry'!$c$28), "", 'Data Entry'!$c$28)</f>
      </c>
      <c r="AJ28">
        <f>IF(ISBLANK('Data Entry'!$d$28), "", 'Data Entry'!$d$28)</f>
      </c>
      <c r="AK28">
        <f>IF(ISBLANK('Data Entry'!$e$28), "", 'Data Entry'!$e$28)</f>
      </c>
      <c r="AL28">
        <f>IF(ISBLANK('Data Entry'!$f$28), "", 'Data Entry'!$f$28)</f>
      </c>
      <c r="AM28">
        <f>IF(ISBLANK('Data Entry'!$g$28), "", 'Data Entry'!$g$28)</f>
      </c>
      <c r="AN28">
        <f>IF(ISBLANK('Data Entry'!$h$28), "", 'Data Entry'!$h$28)</f>
      </c>
      <c r="AO28">
        <f>IF(ISBLANK('Data Entry'!$i$28), "", 'Data Entry'!$i$28)</f>
      </c>
      <c r="AP28">
        <f>IF(ISBLANK('Data Entry'!$j$28), "", 'Data Entry'!$j$28)</f>
      </c>
      <c r="AQ28">
        <f>IF(ISBLANK('Data Entry'!$k$28), "", 'Data Entry'!$k$28)</f>
      </c>
      <c r="AR28">
        <f>IF(ISBLANK('Data Entry'!$l$28), "", 'Data Entry'!$l$28)</f>
      </c>
      <c r="AS28">
        <f>IF(ISBLANK('Data Entry'!$m$28), "", 'Data Entry'!$m$28)</f>
      </c>
      <c r="AT28">
        <f>IF(ISBLANK('Data Entry'!$n$28), "", 'Data Entry'!$n$28)</f>
      </c>
      <c r="AU28">
        <f>IF(ISBLANK('Data Entry'!$o$28), "", 'Data Entry'!$o$28)</f>
      </c>
      <c r="AV28">
        <f>IF(ISBLANK('Data Entry'!$p$28), "", 'Data Entry'!$p$28)</f>
      </c>
      <c r="AW28">
        <f>IF(ISBLANK('Data Entry'!$q$28), "", 'Data Entry'!$q$28)</f>
      </c>
      <c r="AX28">
        <f>IF(ISBLANK('Data Entry'!$r$28), "", 'Data Entry'!$r$28)</f>
      </c>
      <c r="AY28">
        <f>IF(ISBLANK('Data Entry'!$s$28), "", 'Data Entry'!$s$28)</f>
      </c>
      <c r="AZ28">
        <f>IF(ISBLANK('Data Entry'!$t$28), "", 'Data Entry'!$t$28)</f>
      </c>
      <c r="BA28">
        <f>IF(ISBLANK('Data Entry'!$u$28), "", 'Data Entry'!$u$28)</f>
      </c>
      <c r="BB28">
        <f>IF(ISBLANK('Data Entry'!$v$28), "", 'Data Entry'!$v$28)</f>
      </c>
      <c r="BC28">
        <f>IF(ISBLANK('Data Entry'!$w$28), "", 'Data Entry'!$w$28)</f>
      </c>
      <c r="BD28">
        <f>IF(ISBLANK('Data Entry'!$x$28), "", 'Data Entry'!$x$28)</f>
      </c>
      <c r="BE28">
        <f>IF(ISBLANK('Data Entry'!$y$28), "", 'Data Entry'!$y$28)</f>
      </c>
      <c r="BF28">
        <f>IF(ISBLANK('Data Entry'!$z$28), "", 'Data Entry'!$z$28)</f>
      </c>
      <c r="BG28">
        <f>IF(ISBLANK('Data Entry'!${$28), "", 'Data Entry'!${$28)</f>
      </c>
      <c r="BH28">
        <f>IF(ISBLANK('Data Entry'!$|$28), "", 'Data Entry'!$|$28)</f>
      </c>
      <c r="BI28">
        <f>IF(ISBLANK('Data Entry'!$}$28), "", 'Data Entry'!$}$28)</f>
      </c>
      <c r="BJ28">
        <f>IF(ISBLANK('Data Entry'!$~$28), "", 'Data Entry'!$~$28)</f>
      </c>
      <c r="BK28">
        <f>IF(ISBLANK('Data Entry'!$$28), "", 'Data Entry'!$$28)</f>
      </c>
      <c r="BL28">
        <f>IF(ISBLANK('Data Entry'!$$28), "", 'Data Entry'!$$28)</f>
      </c>
      <c r="BM28">
        <f>IF(ISBLANK('Data Entry'!$$28), "", 'Data Entry'!$$28)</f>
      </c>
      <c r="BN28">
        <f>IF(ISBLANK('Data Entry'!$$28), "", 'Data Entry'!$$28)</f>
      </c>
      <c r="BO28">
        <f>IF(ISBLANK('Data Entry'!$$28), "", 'Data Entry'!$$28)</f>
      </c>
      <c r="BP28">
        <f>IF(ISBLANK('Data Entry'!$$28), "", 'Data Entry'!$$28)</f>
      </c>
      <c r="BQ28">
        <f>IF(ISBLANK('Data Entry'!$$28), "", 'Data Entry'!$$28)</f>
      </c>
      <c r="BR28">
        <f>IF(ISBLANK('Data Entry'!$$28), "", 'Data Entry'!$$28)</f>
      </c>
      <c r="BS28">
        <f>IF(ISBLANK('Data Entry'!$$28), "", 'Data Entry'!$$28)</f>
      </c>
      <c r="BT28">
        <f>IF(ISBLANK('Data Entry'!$$28), "", 'Data Entry'!$$28)</f>
      </c>
      <c r="BU28">
        <f>IF(ISBLANK('Data Entry'!$$28), "", 'Data Entry'!$$28)</f>
      </c>
      <c r="BV28">
        <f>IF(ISBLANK('Data Entry'!$$28), "", 'Data Entry'!$$28)</f>
      </c>
      <c r="BW28">
        <f>IF(ISBLANK('Data Entry'!$$28), "", 'Data Entry'!$$28)</f>
      </c>
      <c r="BX28">
        <f>IF(ISBLANK('Data Entry'!$$28), "", 'Data Entry'!$$28)</f>
      </c>
      <c r="BY28">
        <f>IF(ISBLANK('Data Entry'!$$28), "", 'Data Entry'!$$28)</f>
      </c>
      <c r="BZ28">
        <f>IF(ISBLANK('Data Entry'!$$28), "", 'Data Entry'!$$28)</f>
      </c>
      <c r="CA28">
        <f>IF(ISBLANK('Data Entry'!$$28), "", 'Data Entry'!$$28)</f>
      </c>
      <c r="CB28">
        <f>IF(ISBLANK('Data Entry'!$$28), "", 'Data Entry'!$$28)</f>
      </c>
      <c r="CC28">
        <f>IF(ISBLANK('Data Entry'!$$28), "", 'Data Entry'!$$28)</f>
      </c>
      <c r="CD28">
        <f>IF(ISBLANK('Data Entry'!$$28), "", 'Data Entry'!$$28)</f>
      </c>
      <c r="CE28">
        <f>IF(ISBLANK('Data Entry'!$$28), "", 'Data Entry'!$$28)</f>
      </c>
      <c r="CF28">
        <f>IF(ISBLANK('Data Entry'!$$28), "", 'Data Entry'!$$28)</f>
      </c>
      <c r="CG28">
        <f>IF(ISBLANK('Data Entry'!$$28), "", 'Data Entry'!$$28)</f>
      </c>
      <c r="CH28">
        <f>IF(ISBLANK('Data Entry'!$$28), "", 'Data Entry'!$$28)</f>
      </c>
      <c r="CI28">
        <f>IF(ISBLANK('Data Entry'!$$28), "", 'Data Entry'!$$28)</f>
      </c>
      <c r="CJ28">
        <f>IF(ISBLANK('Data Entry'!$$28), "", 'Data Entry'!$$28)</f>
      </c>
      <c r="CK28">
        <f>IF(ISBLANK('Data Entry'!$$28), "", 'Data Entry'!$$28)</f>
      </c>
      <c r="CL28">
        <f>IF(ISBLANK('Data Entry'!$$28), "", 'Data Entry'!$$28)</f>
      </c>
      <c r="CM28">
        <f>IF(ISBLANK('Data Entry'!$$28), "", 'Data Entry'!$$28)</f>
      </c>
      <c r="CN28">
        <f>IF(ISBLANK('Data Entry'!$$28), "", 'Data Entry'!$$28)</f>
      </c>
      <c r="CO28">
        <f>IF(ISBLANK('Data Entry'!$$28), "", 'Data Entry'!$$28)</f>
      </c>
      <c r="CP28">
        <f>IF(ISBLANK('Data Entry'!$$28), "", 'Data Entry'!$$28)</f>
      </c>
      <c r="CQ28">
        <f>IF(ISBLANK('Data Entry'!$$28), "", 'Data Entry'!$$28)</f>
      </c>
      <c r="CR28">
        <f>IF(ISBLANK('Data Entry'!$ $28), "", 'Data Entry'!$ $28)</f>
      </c>
      <c r="CS28">
        <f>IF(ISBLANK('Data Entry'!$¡$28), "", 'Data Entry'!$¡$28)</f>
      </c>
      <c r="CT28">
        <f>IF(ISBLANK('Data Entry'!$¢$28), "", 'Data Entry'!$¢$28)</f>
      </c>
      <c r="CU28">
        <f>IF(ISBLANK('Data Entry'!$£$28), "", 'Data Entry'!$£$28)</f>
      </c>
      <c r="CV28">
        <f>IF(ISBLANK('Data Entry'!$¤$28), "", 'Data Entry'!$¤$28)</f>
      </c>
      <c r="CW28">
        <f>IF(ISBLANK('Data Entry'!$¥$28), "", 'Data Entry'!$¥$28)</f>
      </c>
      <c r="CX28">
        <f>IF(ISBLANK('Data Entry'!$¦$28), "", 'Data Entry'!$¦$28)</f>
      </c>
      <c r="CY28">
        <f>IF(ISBLANK('Data Entry'!$§$28), "", 'Data Entry'!$§$28)</f>
      </c>
      <c r="CZ28">
        <f>IF(ISBLANK('Data Entry'!$¨$28), "", 'Data Entry'!$¨$28)</f>
      </c>
      <c r="DA28">
        <f>IF(ISBLANK('Data Entry'!$©$28), "", 'Data Entry'!$©$28)</f>
      </c>
      <c r="DB28">
        <f>IF(ISBLANK('Data Entry'!$ª$28), "", 'Data Entry'!$ª$28)</f>
      </c>
      <c r="DC28">
        <f>IF(ISBLANK('Data Entry'!$«$28), "", 'Data Entry'!$«$28)</f>
      </c>
      <c r="DD28">
        <f>IF(ISBLANK('Data Entry'!$¬$28), "", 'Data Entry'!$¬$28)</f>
      </c>
      <c r="DE28">
        <f>IF(ISBLANK('Data Entry'!$­$28), "", 'Data Entry'!$­$28)</f>
      </c>
      <c r="DF28">
        <f>IF(ISBLANK('Data Entry'!$®$28), "", 'Data Entry'!$®$28)</f>
      </c>
      <c r="DG28">
        <f>IF(ISBLANK('Data Entry'!$¯$28), "", 'Data Entry'!$¯$28)</f>
      </c>
      <c r="DH28">
        <f>IF(ISBLANK('Data Entry'!$°$28), "", 'Data Entry'!$°$28)</f>
      </c>
      <c r="DI28">
        <f>IF(ISBLANK('Data Entry'!$±$28), "", 'Data Entry'!$±$28)</f>
      </c>
      <c r="DJ28">
        <f>IF(ISBLANK('Data Entry'!$²$28), "", 'Data Entry'!$²$28)</f>
      </c>
      <c r="DK28">
        <f>IF(ISBLANK('Data Entry'!$³$28), "", 'Data Entry'!$³$28)</f>
      </c>
      <c r="DL28">
        <f>IF(ISBLANK('Data Entry'!$´$28), "", 'Data Entry'!$´$28)</f>
      </c>
      <c r="DM28">
        <f>IF(ISBLANK('Data Entry'!$µ$28), "", 'Data Entry'!$µ$28)</f>
      </c>
      <c r="DN28">
        <f>IF(ISBLANK('Data Entry'!$¶$28), "", 'Data Entry'!$¶$28)</f>
      </c>
      <c r="DO28">
        <f>IF(ISBLANK('Data Entry'!$·$28), "", 'Data Entry'!$·$28)</f>
      </c>
      <c r="DP28">
        <f>IF(ISBLANK('Data Entry'!$¸$28), "", 'Data Entry'!$¸$28)</f>
      </c>
      <c r="DQ28">
        <f>IF(ISBLANK('Data Entry'!$¹$28), "", 'Data Entry'!$¹$28)</f>
      </c>
      <c r="DR28">
        <f>IF(ISBLANK('Data Entry'!$º$28), "", 'Data Entry'!$º$28)</f>
      </c>
      <c r="DS28">
        <f>IF(ISBLANK('Data Entry'!$»$28), "", 'Data Entry'!$»$28)</f>
      </c>
      <c r="DT28">
        <f>IF(ISBLANK('Data Entry'!$¼$28), "", 'Data Entry'!$¼$28)</f>
      </c>
      <c r="DU28">
        <f>IF(ISBLANK('Data Entry'!$½$28), "", 'Data Entry'!$½$28)</f>
      </c>
      <c r="DV28">
        <f>IF(ISBLANK('Data Entry'!$¾$28), "", 'Data Entry'!$¾$28)</f>
      </c>
      <c r="DW28">
        <f>IF(ISBLANK('Data Entry'!$¿$28), "", 'Data Entry'!$¿$28)</f>
      </c>
      <c r="DX28">
        <f>IF(ISBLANK('Data Entry'!$À$28), "", 'Data Entry'!$À$28)</f>
      </c>
      <c r="DY28">
        <f>IF(ISBLANK('Data Entry'!$Á$28), "", 'Data Entry'!$Á$28)</f>
      </c>
      <c r="DZ28">
        <f>IF(ISBLANK('Data Entry'!$Â$28), "", 'Data Entry'!$Â$28)</f>
      </c>
      <c r="EA28">
        <f>IF(ISBLANK('Data Entry'!$Ã$28), "", 'Data Entry'!$Ã$28)</f>
      </c>
      <c r="EB28">
        <f>IF(ISBLANK('Data Entry'!$Ä$28), "", 'Data Entry'!$Ä$28)</f>
      </c>
      <c r="EC28">
        <f>IF(ISBLANK('Data Entry'!$Å$28), "", 'Data Entry'!$Å$28)</f>
      </c>
      <c r="ED28">
        <f>IF(ISBLANK('Data Entry'!$Æ$28), "", 'Data Entry'!$Æ$28)</f>
      </c>
      <c r="EE28">
        <f>IF(ISBLANK('Data Entry'!$Ç$28), "", 'Data Entry'!$Ç$28)</f>
      </c>
      <c r="EF28">
        <f>IF(ISBLANK('Data Entry'!$È$28), "", 'Data Entry'!$È$28)</f>
      </c>
      <c r="EG28">
        <f>IF(ISBLANK('Data Entry'!$É$28), "", 'Data Entry'!$É$28)</f>
      </c>
      <c r="EH28">
        <f>IF(ISBLANK('Data Entry'!$Ê$28), "", 'Data Entry'!$Ê$28)</f>
      </c>
      <c r="EI28">
        <f>IF(ISBLANK('Data Entry'!$Ë$28), "", 'Data Entry'!$Ë$28)</f>
      </c>
      <c r="EJ28">
        <f>IF(ISBLANK('Data Entry'!$Ì$28), "", 'Data Entry'!$Ì$28)</f>
      </c>
      <c r="EK28">
        <f>IF(ISBLANK('Data Entry'!$Í$28), "", 'Data Entry'!$Í$28)</f>
      </c>
      <c r="EL28">
        <f>IF(ISBLANK('Data Entry'!$Î$28), "", 'Data Entry'!$Î$28)</f>
      </c>
      <c r="EM28">
        <f>IF(ISBLANK('Data Entry'!$Ï$28), "", 'Data Entry'!$Ï$28)</f>
      </c>
      <c r="EN28">
        <f>IF(ISBLANK('Data Entry'!$Ð$28), "", 'Data Entry'!$Ð$28)</f>
      </c>
      <c r="EO28">
        <f>IF(ISBLANK('Data Entry'!$Ñ$28), "", 'Data Entry'!$Ñ$28)</f>
      </c>
      <c r="EP28">
        <f>IF(ISBLANK('Data Entry'!$Ò$28), "", 'Data Entry'!$Ò$28)</f>
      </c>
      <c r="EQ28">
        <f>IF(ISBLANK('Data Entry'!$Ó$28), "", 'Data Entry'!$Ó$28)</f>
      </c>
      <c r="ER28">
        <f>IF(ISBLANK('Data Entry'!$Ô$28), "", 'Data Entry'!$Ô$28)</f>
      </c>
      <c r="ES28">
        <f>IF(ISBLANK('Data Entry'!$Õ$28), "", 'Data Entry'!$Õ$28)</f>
      </c>
      <c r="ET28">
        <f>IF(ISBLANK('Data Entry'!$Ö$28), "", 'Data Entry'!$Ö$28)</f>
      </c>
      <c r="EU28">
        <f>IF(ISBLANK('Data Entry'!$×$28), "", 'Data Entry'!$×$28)</f>
      </c>
      <c r="EV28">
        <f>IF(ISBLANK('Data Entry'!$Ø$28), "", 'Data Entry'!$Ø$28)</f>
      </c>
      <c r="EW28">
        <f>IF(ISBLANK('Data Entry'!$Ù$28), "", 'Data Entry'!$Ù$28)</f>
      </c>
      <c r="EX28">
        <f>IF(ISBLANK('Data Entry'!$Ú$28), "", 'Data Entry'!$Ú$28)</f>
      </c>
      <c r="EY28">
        <f>IF(ISBLANK('Data Entry'!$Û$28), "", 'Data Entry'!$Û$28)</f>
      </c>
      <c r="EZ28">
        <f>IF(ISBLANK('Data Entry'!$Ü$28), "", 'Data Entry'!$Ü$28)</f>
      </c>
      <c r="FA28">
        <f>IF(ISBLANK('Data Entry'!$Ý$28), "", 'Data Entry'!$Ý$28)</f>
      </c>
      <c r="FB28">
        <f>IF(ISBLANK('Data Entry'!$Þ$28), "", 'Data Entry'!$Þ$28)</f>
      </c>
      <c r="FC28">
        <f>IF(ISBLANK('Data Entry'!$ß$28), "", 'Data Entry'!$ß$28)</f>
      </c>
      <c r="FD28">
        <f>IF(ISBLANK('Data Entry'!$à$28), "", 'Data Entry'!$à$28)</f>
      </c>
      <c r="FE28">
        <f>IF(ISBLANK('Data Entry'!$á$28), "", 'Data Entry'!$á$28)</f>
      </c>
      <c r="FF28">
        <f>IF(ISBLANK('Data Entry'!$â$28), "", 'Data Entry'!$â$28)</f>
      </c>
      <c r="FG28">
        <f>IF(ISBLANK('Data Entry'!$ã$28), "", 'Data Entry'!$ã$28)</f>
      </c>
      <c r="FH28">
        <f>IF(ISBLANK('Data Entry'!$ä$28), "", 'Data Entry'!$ä$28)</f>
      </c>
      <c r="FI28">
        <f>IF(ISBLANK('Data Entry'!$å$28), "", 'Data Entry'!$å$28)</f>
      </c>
      <c r="FJ28">
        <f>IF(ISBLANK('Data Entry'!$æ$28), "", 'Data Entry'!$æ$28)</f>
      </c>
      <c r="FK28">
        <f>IF(ISBLANK('Data Entry'!$ç$28), "", 'Data Entry'!$ç$28)</f>
      </c>
      <c r="FL28">
        <f>IF(ISBLANK('Data Entry'!$è$28), "", 'Data Entry'!$è$28)</f>
      </c>
      <c r="FM28">
        <f>IF(ISBLANK('Data Entry'!$é$28), "", 'Data Entry'!$é$28)</f>
      </c>
      <c r="FN28">
        <f>IF(ISBLANK('Data Entry'!$ê$28), "", 'Data Entry'!$ê$28)</f>
      </c>
      <c r="FO28">
        <f>IF(ISBLANK('Data Entry'!$ë$28), "", 'Data Entry'!$ë$28)</f>
      </c>
      <c r="FP28">
        <f>IF(ISBLANK('Data Entry'!$ì$28), "", 'Data Entry'!$ì$28)</f>
      </c>
      <c r="FQ28">
        <f>IF(ISBLANK('Data Entry'!$í$28), "", 'Data Entry'!$í$28)</f>
      </c>
      <c r="FR28">
        <f>IF(ISBLANK('Data Entry'!$î$28), "", 'Data Entry'!$î$28)</f>
      </c>
      <c r="FS28">
        <f>IF(ISBLANK('Data Entry'!$ï$28), "", 'Data Entry'!$ï$28)</f>
      </c>
      <c r="FT28">
        <f>IF(ISBLANK('Data Entry'!$ð$28), "", 'Data Entry'!$ð$28)</f>
      </c>
      <c r="FU28">
        <f>IF(ISBLANK('Data Entry'!$ñ$28), "", 'Data Entry'!$ñ$28)</f>
      </c>
      <c r="FV28">
        <f>IF(ISBLANK('Data Entry'!$ò$28), "", 'Data Entry'!$ò$28)</f>
      </c>
      <c r="FW28">
        <f>IF(ISBLANK('Data Entry'!$ó$28), "", 'Data Entry'!$ó$28)</f>
      </c>
      <c r="FX28">
        <f>IF(ISBLANK('Data Entry'!$ô$28), "", 'Data Entry'!$ô$28)</f>
      </c>
      <c r="FY28">
        <f>IF(ISBLANK('Data Entry'!$õ$28), "", 'Data Entry'!$õ$28)</f>
      </c>
      <c r="FZ28">
        <f>IF(ISBLANK('Data Entry'!$ö$28), "", 'Data Entry'!$ö$28)</f>
      </c>
      <c r="GA28">
        <f>IF(ISBLANK('Data Entry'!$÷$28), "", 'Data Entry'!$÷$28)</f>
      </c>
      <c r="GB28">
        <f>IF(ISBLANK('Data Entry'!$ø$28), "", 'Data Entry'!$ø$28)</f>
      </c>
      <c r="GC28">
        <f>IF(ISBLANK('Data Entry'!$ù$28), "", 'Data Entry'!$ù$28)</f>
      </c>
      <c r="GD28">
        <f>IF(ISBLANK('Data Entry'!$ú$28), "", 'Data Entry'!$ú$28)</f>
      </c>
      <c r="GE28">
        <f>IF(ISBLANK('Data Entry'!$û$28), "", 'Data Entry'!$û$28)</f>
      </c>
      <c r="GF28">
        <f>IF(ISBLANK('Data Entry'!$ü$28), "", 'Data Entry'!$ü$28)</f>
      </c>
      <c r="GG28">
        <f>IF(ISBLANK('Data Entry'!$ý$28), "", 'Data Entry'!$ý$28)</f>
      </c>
      <c r="GH28">
        <f>IF(ISBLANK('Data Entry'!$þ$28), "", 'Data Entry'!$þ$28)</f>
      </c>
      <c r="GI28">
        <f>IF(ISBLANK('Data Entry'!$ÿ$28), "", 'Data Entry'!$ÿ$28)</f>
      </c>
      <c r="GJ28">
        <f>IF(ISBLANK('Data Entry'!$Ā$28), "", 'Data Entry'!$Ā$28)</f>
      </c>
      <c r="GK28">
        <f>IF(ISBLANK('Data Entry'!$ā$28), "", 'Data Entry'!$ā$28)</f>
      </c>
      <c r="GL28">
        <f>IF(ISBLANK('Data Entry'!$Ă$28), "", 'Data Entry'!$Ă$28)</f>
      </c>
      <c r="GM28">
        <f>IF(ISBLANK('Data Entry'!$ă$28), "", 'Data Entry'!$ă$28)</f>
      </c>
      <c r="GN28">
        <f>IF(ISBLANK('Data Entry'!$Ą$28), "", 'Data Entry'!$Ą$28)</f>
      </c>
      <c r="GO28">
        <f>IF(ISBLANK('Data Entry'!$ą$28), "", 'Data Entry'!$ą$28)</f>
      </c>
      <c r="GP28">
        <f>IF(ISBLANK('Data Entry'!$Ć$28), "", 'Data Entry'!$Ć$28)</f>
      </c>
      <c r="GQ28">
        <f>IF(ISBLANK('Data Entry'!$ć$28), "", 'Data Entry'!$ć$28)</f>
      </c>
      <c r="GR28">
        <f>IF(ISBLANK('Data Entry'!$Ĉ$28), "", 'Data Entry'!$Ĉ$28)</f>
      </c>
      <c r="GS28">
        <f>IF(ISBLANK('Data Entry'!$ĉ$28), "", 'Data Entry'!$ĉ$28)</f>
      </c>
      <c r="GT28">
        <f>IF(ISBLANK('Data Entry'!$Ċ$28), "", 'Data Entry'!$Ċ$28)</f>
      </c>
      <c r="GU28">
        <f>IF(ISBLANK('Data Entry'!$ċ$28), "", 'Data Entry'!$ċ$28)</f>
      </c>
      <c r="GV28">
        <f>IF(ISBLANK('Data Entry'!$Č$28), "", 'Data Entry'!$Č$28)</f>
      </c>
      <c r="GW28">
        <f>IF(ISBLANK('Data Entry'!$č$28), "", 'Data Entry'!$č$28)</f>
      </c>
      <c r="GX28">
        <f>IF(ISBLANK('Data Entry'!$Ď$28), "", 'Data Entry'!$Ď$28)</f>
      </c>
      <c r="GY28">
        <f>IF(ISBLANK('Data Entry'!$ď$28), "", 'Data Entry'!$ď$28)</f>
      </c>
      <c r="GZ28">
        <f>IF(ISBLANK('Data Entry'!$Đ$28), "", 'Data Entry'!$Đ$28)</f>
      </c>
      <c r="HA28">
        <f>IF(ISBLANK('Data Entry'!$đ$28), "", 'Data Entry'!$đ$28)</f>
      </c>
      <c r="HB28">
        <f>IF(ISBLANK('Data Entry'!$Ē$28), "", 'Data Entry'!$Ē$28)</f>
      </c>
      <c r="HC28">
        <f>IF(ISBLANK('Data Entry'!$ē$28), "", 'Data Entry'!$ē$28)</f>
      </c>
      <c r="HD28">
        <f>IF(ISBLANK('Data Entry'!$Ĕ$28), "", 'Data Entry'!$Ĕ$28)</f>
      </c>
      <c r="HE28">
        <f>IF(ISBLANK('Data Entry'!$ĕ$28), "", 'Data Entry'!$ĕ$28)</f>
      </c>
      <c r="HF28">
        <f>IF(ISBLANK('Data Entry'!$Ė$28), "", 'Data Entry'!$Ė$28)</f>
      </c>
      <c r="HG28">
        <f>IF(ISBLANK('Data Entry'!$ė$28), "", 'Data Entry'!$ė$28)</f>
      </c>
      <c r="HH28">
        <f>IF(ISBLANK('Data Entry'!$Ę$28), "", 'Data Entry'!$Ę$28)</f>
      </c>
      <c r="HI28">
        <f>IF(ISBLANK('Data Entry'!$ę$28), "", 'Data Entry'!$ę$28)</f>
      </c>
      <c r="HJ28">
        <f>IF(ISBLANK('Data Entry'!$Ě$28), "", 'Data Entry'!$Ě$28)</f>
      </c>
      <c r="HK28">
        <f>IF(ISBLANK('Data Entry'!$ě$28), "", 'Data Entry'!$ě$28)</f>
      </c>
      <c r="HL28">
        <f>IF(ISBLANK('Data Entry'!$Ĝ$28), "", 'Data Entry'!$Ĝ$28)</f>
      </c>
      <c r="HM28">
        <f>IF(ISBLANK('Data Entry'!$ĝ$28), "", 'Data Entry'!$ĝ$28)</f>
      </c>
      <c r="HN28">
        <f>IF(ISBLANK('Data Entry'!$Ğ$28), "", 'Data Entry'!$Ğ$28)</f>
      </c>
      <c r="HO28">
        <f>IF(ISBLANK('Data Entry'!$ğ$28), "", 'Data Entry'!$ğ$28)</f>
      </c>
      <c r="HP28">
        <f>IF(ISBLANK('Data Entry'!$Ġ$28), "", 'Data Entry'!$Ġ$28)</f>
      </c>
      <c r="HQ28">
        <f>IF(ISBLANK('Data Entry'!$ġ$28), "", 'Data Entry'!$ġ$28)</f>
      </c>
      <c r="HR28">
        <f>IF(ISBLANK('Data Entry'!$Ģ$28), "", 'Data Entry'!$Ģ$28)</f>
      </c>
      <c r="HS28">
        <f>IF(ISBLANK('Data Entry'!$ģ$28), "", 'Data Entry'!$ģ$28)</f>
      </c>
      <c r="HT28">
        <f>IF(ISBLANK('Data Entry'!$Ĥ$28), "", 'Data Entry'!$Ĥ$28)</f>
      </c>
      <c r="HU28">
        <f>IF(ISBLANK('Data Entry'!$ĥ$28), "", 'Data Entry'!$ĥ$28)</f>
      </c>
      <c r="HV28">
        <f>IF(ISBLANK('Data Entry'!$Ħ$28), "", 'Data Entry'!$Ħ$28)</f>
      </c>
      <c r="HW28">
        <f>IF(ISBLANK('Data Entry'!$ħ$28), "", 'Data Entry'!$ħ$28)</f>
      </c>
      <c r="HX28">
        <f>IF(ISBLANK('Data Entry'!$Ĩ$28), "", 'Data Entry'!$Ĩ$28)</f>
      </c>
      <c r="HY28">
        <f>IF(ISBLANK('Data Entry'!$ĩ$28), "", 'Data Entry'!$ĩ$28)</f>
      </c>
      <c r="HZ28">
        <f>IF(ISBLANK('Data Entry'!$Ī$28), "", 'Data Entry'!$Ī$28)</f>
      </c>
      <c r="IA28">
        <f>IF(ISBLANK('Data Entry'!$ī$28), "", 'Data Entry'!$ī$28)</f>
      </c>
      <c r="IB28">
        <f>IF(ISBLANK('Data Entry'!$Ĭ$28), "", 'Data Entry'!$Ĭ$28)</f>
      </c>
      <c r="IC28">
        <f>IF(ISBLANK('Data Entry'!$ĭ$28), "", 'Data Entry'!$ĭ$28)</f>
      </c>
      <c r="ID28">
        <f>IF(ISBLANK('Data Entry'!$Į$28), "", 'Data Entry'!$Į$28)</f>
      </c>
      <c r="IE28">
        <f>IF(ISBLANK('Data Entry'!$į$28), "", 'Data Entry'!$į$28)</f>
      </c>
      <c r="IF28">
        <f>IF(ISBLANK('Data Entry'!$İ$28), "", 'Data Entry'!$İ$28)</f>
      </c>
      <c r="IG28">
        <f>IF(ISBLANK('Data Entry'!$ı$28), "", 'Data Entry'!$ı$28)</f>
      </c>
      <c r="IH28">
        <f>IF(ISBLANK('Data Entry'!$Ĳ$28), "", 'Data Entry'!$Ĳ$28)</f>
      </c>
      <c r="II28">
        <f>IF(ISBLANK('Data Entry'!$ĳ$28), "", 'Data Entry'!$ĳ$28)</f>
      </c>
      <c r="IJ28">
        <f>IF(ISBLANK('Data Entry'!$Ĵ$28), "", 'Data Entry'!$Ĵ$28)</f>
      </c>
      <c r="IK28">
        <f>IF(ISBLANK('Data Entry'!$ĵ$28), "", 'Data Entry'!$ĵ$28)</f>
      </c>
      <c r="IL28">
        <f>IF(ISBLANK('Data Entry'!$Ķ$28), "", 'Data Entry'!$Ķ$28)</f>
      </c>
      <c r="IM28">
        <f>IF(ISBLANK('Data Entry'!$ķ$28), "", 'Data Entry'!$ķ$28)</f>
      </c>
      <c r="IN28">
        <f>IF(ISBLANK('Data Entry'!$ĸ$28), "", 'Data Entry'!$ĸ$28)</f>
      </c>
      <c r="IO28">
        <f>IF(ISBLANK('Data Entry'!$Ĺ$28), "", 'Data Entry'!$Ĺ$28)</f>
      </c>
      <c r="IP28">
        <f>IF(ISBLANK('Data Entry'!$ĺ$28), "", 'Data Entry'!$ĺ$28)</f>
      </c>
      <c r="IQ28">
        <f>IF(ISBLANK('Data Entry'!$Ļ$28), "", 'Data Entry'!$Ļ$28)</f>
      </c>
      <c r="IR28">
        <f>IF(ISBLANK('Data Entry'!$ļ$28), "", 'Data Entry'!$ļ$28)</f>
      </c>
      <c r="IS28">
        <f>IF(ISBLANK('Data Entry'!$Ľ$28), "", 'Data Entry'!$Ľ$28)</f>
      </c>
      <c r="IT28">
        <f>IF(ISBLANK('Data Entry'!$ľ$28), "", 'Data Entry'!$ľ$28)</f>
      </c>
    </row>
    <row r="29" spans="1:254" x14ac:dyDescent="0.25">
      <c r="A29">
        <f>IF(ISBLANK('Data Entry'!$A$29), "", 'Data Entry'!$A$29)</f>
      </c>
      <c r="B29">
        <f>IF(ISBLANK('Data Entry'!$B$29), "", 'Data Entry'!$B$29)</f>
      </c>
      <c r="C29">
        <f>IF(ISBLANK('Data Entry'!$C$29), "", 'Data Entry'!$C$29)</f>
      </c>
      <c r="D29">
        <f>IF(ISBLANK('Data Entry'!$D$29), "", 'Data Entry'!$D$29)</f>
      </c>
      <c r="E29">
        <f>IF(ISBLANK('Data Entry'!$E$29), "", 'Data Entry'!$E$29)</f>
      </c>
      <c r="F29">
        <f>IF(ISBLANK('Data Entry'!$F$29), "", 'Data Entry'!$F$29)</f>
      </c>
      <c r="G29">
        <f>IF(ISBLANK('Data Entry'!$G$29), "", 'Data Entry'!$G$29)</f>
      </c>
      <c r="H29">
        <f>IF(ISBLANK('Data Entry'!$H$29), "", 'Data Entry'!$H$29)</f>
      </c>
      <c r="I29">
        <f>IF(ISBLANK('Data Entry'!$I$29), "", 'Data Entry'!$I$29)</f>
      </c>
      <c r="J29">
        <f>IF(ISBLANK('Data Entry'!$J$29), "", 'Data Entry'!$J$29)</f>
      </c>
      <c r="K29">
        <f>IF(ISBLANK('Data Entry'!$K$29), "", 'Data Entry'!$K$29)</f>
      </c>
      <c r="L29">
        <f>IF(ISBLANK('Data Entry'!$L$29), "", 'Data Entry'!$L$29)</f>
      </c>
      <c r="M29">
        <f>IF(ISBLANK('Data Entry'!$M$29), "", 'Data Entry'!$M$29)</f>
      </c>
      <c r="N29">
        <f>IF(ISBLANK('Data Entry'!$N$29), "", 'Data Entry'!$N$29)</f>
      </c>
      <c r="O29">
        <f>IF(ISBLANK('Data Entry'!$O$29), "", 'Data Entry'!$O$29)</f>
      </c>
      <c r="P29">
        <f>IF(ISBLANK('Data Entry'!$P$29), "", 'Data Entry'!$P$29)</f>
      </c>
      <c r="Q29">
        <f>IF(ISBLANK('Data Entry'!$Q$29), "", 'Data Entry'!$Q$29)</f>
      </c>
      <c r="R29">
        <f>IF(ISBLANK('Data Entry'!$R$29), "", 'Data Entry'!$R$29)</f>
      </c>
      <c r="S29">
        <f>IF(ISBLANK('Data Entry'!$S$29), "", 'Data Entry'!$S$29)</f>
      </c>
      <c r="T29">
        <f>IF(ISBLANK('Data Entry'!$T$29), "", 'Data Entry'!$T$29)</f>
      </c>
      <c r="U29">
        <f>IF(ISBLANK('Data Entry'!$U$29), "", 'Data Entry'!$U$29)</f>
      </c>
      <c r="V29">
        <f>IF(ISBLANK('Data Entry'!$V$29), "", 'Data Entry'!$V$29)</f>
      </c>
      <c r="W29">
        <f>IF(ISBLANK('Data Entry'!$W$29), "", 'Data Entry'!$W$29)</f>
      </c>
      <c r="X29">
        <f>IF(ISBLANK('Data Entry'!$X$29), "", 'Data Entry'!$X$29)</f>
      </c>
      <c r="Y29">
        <f>IF(ISBLANK('Data Entry'!$Y$29), "", 'Data Entry'!$Y$29)</f>
      </c>
      <c r="Z29">
        <f>IF(ISBLANK('Data Entry'!$Z$29), "", 'Data Entry'!$Z$29)</f>
      </c>
      <c r="AA29">
        <f>IF(ISBLANK('Data Entry'!$[$29), "", 'Data Entry'!$[$29)</f>
      </c>
      <c r="AB29">
        <f>IF(ISBLANK('Data Entry'!$\$29), "", 'Data Entry'!$\$29)</f>
      </c>
      <c r="AC29">
        <f>IF(ISBLANK('Data Entry'!$]$29), "", 'Data Entry'!$]$29)</f>
      </c>
      <c r="AD29">
        <f>IF(ISBLANK('Data Entry'!$^$29), "", 'Data Entry'!$^$29)</f>
      </c>
      <c r="AE29">
        <f>IF(ISBLANK('Data Entry'!$_$29), "", 'Data Entry'!$_$29)</f>
      </c>
      <c r="AF29">
        <f>IF(ISBLANK('Data Entry'!$`$29), "", 'Data Entry'!$`$29)</f>
      </c>
      <c r="AG29">
        <f>IF(ISBLANK('Data Entry'!$a$29), "", 'Data Entry'!$a$29)</f>
      </c>
      <c r="AH29">
        <f>IF(ISBLANK('Data Entry'!$b$29), "", 'Data Entry'!$b$29)</f>
      </c>
      <c r="AI29">
        <f>IF(ISBLANK('Data Entry'!$c$29), "", 'Data Entry'!$c$29)</f>
      </c>
      <c r="AJ29">
        <f>IF(ISBLANK('Data Entry'!$d$29), "", 'Data Entry'!$d$29)</f>
      </c>
      <c r="AK29">
        <f>IF(ISBLANK('Data Entry'!$e$29), "", 'Data Entry'!$e$29)</f>
      </c>
      <c r="AL29">
        <f>IF(ISBLANK('Data Entry'!$f$29), "", 'Data Entry'!$f$29)</f>
      </c>
      <c r="AM29">
        <f>IF(ISBLANK('Data Entry'!$g$29), "", 'Data Entry'!$g$29)</f>
      </c>
      <c r="AN29">
        <f>IF(ISBLANK('Data Entry'!$h$29), "", 'Data Entry'!$h$29)</f>
      </c>
      <c r="AO29">
        <f>IF(ISBLANK('Data Entry'!$i$29), "", 'Data Entry'!$i$29)</f>
      </c>
      <c r="AP29">
        <f>IF(ISBLANK('Data Entry'!$j$29), "", 'Data Entry'!$j$29)</f>
      </c>
      <c r="AQ29">
        <f>IF(ISBLANK('Data Entry'!$k$29), "", 'Data Entry'!$k$29)</f>
      </c>
      <c r="AR29">
        <f>IF(ISBLANK('Data Entry'!$l$29), "", 'Data Entry'!$l$29)</f>
      </c>
      <c r="AS29">
        <f>IF(ISBLANK('Data Entry'!$m$29), "", 'Data Entry'!$m$29)</f>
      </c>
      <c r="AT29">
        <f>IF(ISBLANK('Data Entry'!$n$29), "", 'Data Entry'!$n$29)</f>
      </c>
      <c r="AU29">
        <f>IF(ISBLANK('Data Entry'!$o$29), "", 'Data Entry'!$o$29)</f>
      </c>
      <c r="AV29">
        <f>IF(ISBLANK('Data Entry'!$p$29), "", 'Data Entry'!$p$29)</f>
      </c>
      <c r="AW29">
        <f>IF(ISBLANK('Data Entry'!$q$29), "", 'Data Entry'!$q$29)</f>
      </c>
      <c r="AX29">
        <f>IF(ISBLANK('Data Entry'!$r$29), "", 'Data Entry'!$r$29)</f>
      </c>
      <c r="AY29">
        <f>IF(ISBLANK('Data Entry'!$s$29), "", 'Data Entry'!$s$29)</f>
      </c>
      <c r="AZ29">
        <f>IF(ISBLANK('Data Entry'!$t$29), "", 'Data Entry'!$t$29)</f>
      </c>
      <c r="BA29">
        <f>IF(ISBLANK('Data Entry'!$u$29), "", 'Data Entry'!$u$29)</f>
      </c>
      <c r="BB29">
        <f>IF(ISBLANK('Data Entry'!$v$29), "", 'Data Entry'!$v$29)</f>
      </c>
      <c r="BC29">
        <f>IF(ISBLANK('Data Entry'!$w$29), "", 'Data Entry'!$w$29)</f>
      </c>
      <c r="BD29">
        <f>IF(ISBLANK('Data Entry'!$x$29), "", 'Data Entry'!$x$29)</f>
      </c>
      <c r="BE29">
        <f>IF(ISBLANK('Data Entry'!$y$29), "", 'Data Entry'!$y$29)</f>
      </c>
      <c r="BF29">
        <f>IF(ISBLANK('Data Entry'!$z$29), "", 'Data Entry'!$z$29)</f>
      </c>
      <c r="BG29">
        <f>IF(ISBLANK('Data Entry'!${$29), "", 'Data Entry'!${$29)</f>
      </c>
      <c r="BH29">
        <f>IF(ISBLANK('Data Entry'!$|$29), "", 'Data Entry'!$|$29)</f>
      </c>
      <c r="BI29">
        <f>IF(ISBLANK('Data Entry'!$}$29), "", 'Data Entry'!$}$29)</f>
      </c>
      <c r="BJ29">
        <f>IF(ISBLANK('Data Entry'!$~$29), "", 'Data Entry'!$~$29)</f>
      </c>
      <c r="BK29">
        <f>IF(ISBLANK('Data Entry'!$$29), "", 'Data Entry'!$$29)</f>
      </c>
      <c r="BL29">
        <f>IF(ISBLANK('Data Entry'!$$29), "", 'Data Entry'!$$29)</f>
      </c>
      <c r="BM29">
        <f>IF(ISBLANK('Data Entry'!$$29), "", 'Data Entry'!$$29)</f>
      </c>
      <c r="BN29">
        <f>IF(ISBLANK('Data Entry'!$$29), "", 'Data Entry'!$$29)</f>
      </c>
      <c r="BO29">
        <f>IF(ISBLANK('Data Entry'!$$29), "", 'Data Entry'!$$29)</f>
      </c>
      <c r="BP29">
        <f>IF(ISBLANK('Data Entry'!$$29), "", 'Data Entry'!$$29)</f>
      </c>
      <c r="BQ29">
        <f>IF(ISBLANK('Data Entry'!$$29), "", 'Data Entry'!$$29)</f>
      </c>
      <c r="BR29">
        <f>IF(ISBLANK('Data Entry'!$$29), "", 'Data Entry'!$$29)</f>
      </c>
      <c r="BS29">
        <f>IF(ISBLANK('Data Entry'!$$29), "", 'Data Entry'!$$29)</f>
      </c>
      <c r="BT29">
        <f>IF(ISBLANK('Data Entry'!$$29), "", 'Data Entry'!$$29)</f>
      </c>
      <c r="BU29">
        <f>IF(ISBLANK('Data Entry'!$$29), "", 'Data Entry'!$$29)</f>
      </c>
      <c r="BV29">
        <f>IF(ISBLANK('Data Entry'!$$29), "", 'Data Entry'!$$29)</f>
      </c>
      <c r="BW29">
        <f>IF(ISBLANK('Data Entry'!$$29), "", 'Data Entry'!$$29)</f>
      </c>
      <c r="BX29">
        <f>IF(ISBLANK('Data Entry'!$$29), "", 'Data Entry'!$$29)</f>
      </c>
      <c r="BY29">
        <f>IF(ISBLANK('Data Entry'!$$29), "", 'Data Entry'!$$29)</f>
      </c>
      <c r="BZ29">
        <f>IF(ISBLANK('Data Entry'!$$29), "", 'Data Entry'!$$29)</f>
      </c>
      <c r="CA29">
        <f>IF(ISBLANK('Data Entry'!$$29), "", 'Data Entry'!$$29)</f>
      </c>
      <c r="CB29">
        <f>IF(ISBLANK('Data Entry'!$$29), "", 'Data Entry'!$$29)</f>
      </c>
      <c r="CC29">
        <f>IF(ISBLANK('Data Entry'!$$29), "", 'Data Entry'!$$29)</f>
      </c>
      <c r="CD29">
        <f>IF(ISBLANK('Data Entry'!$$29), "", 'Data Entry'!$$29)</f>
      </c>
      <c r="CE29">
        <f>IF(ISBLANK('Data Entry'!$$29), "", 'Data Entry'!$$29)</f>
      </c>
      <c r="CF29">
        <f>IF(ISBLANK('Data Entry'!$$29), "", 'Data Entry'!$$29)</f>
      </c>
      <c r="CG29">
        <f>IF(ISBLANK('Data Entry'!$$29), "", 'Data Entry'!$$29)</f>
      </c>
      <c r="CH29">
        <f>IF(ISBLANK('Data Entry'!$$29), "", 'Data Entry'!$$29)</f>
      </c>
      <c r="CI29">
        <f>IF(ISBLANK('Data Entry'!$$29), "", 'Data Entry'!$$29)</f>
      </c>
      <c r="CJ29">
        <f>IF(ISBLANK('Data Entry'!$$29), "", 'Data Entry'!$$29)</f>
      </c>
      <c r="CK29">
        <f>IF(ISBLANK('Data Entry'!$$29), "", 'Data Entry'!$$29)</f>
      </c>
      <c r="CL29">
        <f>IF(ISBLANK('Data Entry'!$$29), "", 'Data Entry'!$$29)</f>
      </c>
      <c r="CM29">
        <f>IF(ISBLANK('Data Entry'!$$29), "", 'Data Entry'!$$29)</f>
      </c>
      <c r="CN29">
        <f>IF(ISBLANK('Data Entry'!$$29), "", 'Data Entry'!$$29)</f>
      </c>
      <c r="CO29">
        <f>IF(ISBLANK('Data Entry'!$$29), "", 'Data Entry'!$$29)</f>
      </c>
      <c r="CP29">
        <f>IF(ISBLANK('Data Entry'!$$29), "", 'Data Entry'!$$29)</f>
      </c>
      <c r="CQ29">
        <f>IF(ISBLANK('Data Entry'!$$29), "", 'Data Entry'!$$29)</f>
      </c>
      <c r="CR29">
        <f>IF(ISBLANK('Data Entry'!$ $29), "", 'Data Entry'!$ $29)</f>
      </c>
      <c r="CS29">
        <f>IF(ISBLANK('Data Entry'!$¡$29), "", 'Data Entry'!$¡$29)</f>
      </c>
      <c r="CT29">
        <f>IF(ISBLANK('Data Entry'!$¢$29), "", 'Data Entry'!$¢$29)</f>
      </c>
      <c r="CU29">
        <f>IF(ISBLANK('Data Entry'!$£$29), "", 'Data Entry'!$£$29)</f>
      </c>
      <c r="CV29">
        <f>IF(ISBLANK('Data Entry'!$¤$29), "", 'Data Entry'!$¤$29)</f>
      </c>
      <c r="CW29">
        <f>IF(ISBLANK('Data Entry'!$¥$29), "", 'Data Entry'!$¥$29)</f>
      </c>
      <c r="CX29">
        <f>IF(ISBLANK('Data Entry'!$¦$29), "", 'Data Entry'!$¦$29)</f>
      </c>
      <c r="CY29">
        <f>IF(ISBLANK('Data Entry'!$§$29), "", 'Data Entry'!$§$29)</f>
      </c>
      <c r="CZ29">
        <f>IF(ISBLANK('Data Entry'!$¨$29), "", 'Data Entry'!$¨$29)</f>
      </c>
      <c r="DA29">
        <f>IF(ISBLANK('Data Entry'!$©$29), "", 'Data Entry'!$©$29)</f>
      </c>
      <c r="DB29">
        <f>IF(ISBLANK('Data Entry'!$ª$29), "", 'Data Entry'!$ª$29)</f>
      </c>
      <c r="DC29">
        <f>IF(ISBLANK('Data Entry'!$«$29), "", 'Data Entry'!$«$29)</f>
      </c>
      <c r="DD29">
        <f>IF(ISBLANK('Data Entry'!$¬$29), "", 'Data Entry'!$¬$29)</f>
      </c>
      <c r="DE29">
        <f>IF(ISBLANK('Data Entry'!$­$29), "", 'Data Entry'!$­$29)</f>
      </c>
      <c r="DF29">
        <f>IF(ISBLANK('Data Entry'!$®$29), "", 'Data Entry'!$®$29)</f>
      </c>
      <c r="DG29">
        <f>IF(ISBLANK('Data Entry'!$¯$29), "", 'Data Entry'!$¯$29)</f>
      </c>
      <c r="DH29">
        <f>IF(ISBLANK('Data Entry'!$°$29), "", 'Data Entry'!$°$29)</f>
      </c>
      <c r="DI29">
        <f>IF(ISBLANK('Data Entry'!$±$29), "", 'Data Entry'!$±$29)</f>
      </c>
      <c r="DJ29">
        <f>IF(ISBLANK('Data Entry'!$²$29), "", 'Data Entry'!$²$29)</f>
      </c>
      <c r="DK29">
        <f>IF(ISBLANK('Data Entry'!$³$29), "", 'Data Entry'!$³$29)</f>
      </c>
      <c r="DL29">
        <f>IF(ISBLANK('Data Entry'!$´$29), "", 'Data Entry'!$´$29)</f>
      </c>
      <c r="DM29">
        <f>IF(ISBLANK('Data Entry'!$µ$29), "", 'Data Entry'!$µ$29)</f>
      </c>
      <c r="DN29">
        <f>IF(ISBLANK('Data Entry'!$¶$29), "", 'Data Entry'!$¶$29)</f>
      </c>
      <c r="DO29">
        <f>IF(ISBLANK('Data Entry'!$·$29), "", 'Data Entry'!$·$29)</f>
      </c>
      <c r="DP29">
        <f>IF(ISBLANK('Data Entry'!$¸$29), "", 'Data Entry'!$¸$29)</f>
      </c>
      <c r="DQ29">
        <f>IF(ISBLANK('Data Entry'!$¹$29), "", 'Data Entry'!$¹$29)</f>
      </c>
      <c r="DR29">
        <f>IF(ISBLANK('Data Entry'!$º$29), "", 'Data Entry'!$º$29)</f>
      </c>
      <c r="DS29">
        <f>IF(ISBLANK('Data Entry'!$»$29), "", 'Data Entry'!$»$29)</f>
      </c>
      <c r="DT29">
        <f>IF(ISBLANK('Data Entry'!$¼$29), "", 'Data Entry'!$¼$29)</f>
      </c>
      <c r="DU29">
        <f>IF(ISBLANK('Data Entry'!$½$29), "", 'Data Entry'!$½$29)</f>
      </c>
      <c r="DV29">
        <f>IF(ISBLANK('Data Entry'!$¾$29), "", 'Data Entry'!$¾$29)</f>
      </c>
      <c r="DW29">
        <f>IF(ISBLANK('Data Entry'!$¿$29), "", 'Data Entry'!$¿$29)</f>
      </c>
      <c r="DX29">
        <f>IF(ISBLANK('Data Entry'!$À$29), "", 'Data Entry'!$À$29)</f>
      </c>
      <c r="DY29">
        <f>IF(ISBLANK('Data Entry'!$Á$29), "", 'Data Entry'!$Á$29)</f>
      </c>
      <c r="DZ29">
        <f>IF(ISBLANK('Data Entry'!$Â$29), "", 'Data Entry'!$Â$29)</f>
      </c>
      <c r="EA29">
        <f>IF(ISBLANK('Data Entry'!$Ã$29), "", 'Data Entry'!$Ã$29)</f>
      </c>
      <c r="EB29">
        <f>IF(ISBLANK('Data Entry'!$Ä$29), "", 'Data Entry'!$Ä$29)</f>
      </c>
      <c r="EC29">
        <f>IF(ISBLANK('Data Entry'!$Å$29), "", 'Data Entry'!$Å$29)</f>
      </c>
      <c r="ED29">
        <f>IF(ISBLANK('Data Entry'!$Æ$29), "", 'Data Entry'!$Æ$29)</f>
      </c>
      <c r="EE29">
        <f>IF(ISBLANK('Data Entry'!$Ç$29), "", 'Data Entry'!$Ç$29)</f>
      </c>
      <c r="EF29">
        <f>IF(ISBLANK('Data Entry'!$È$29), "", 'Data Entry'!$È$29)</f>
      </c>
      <c r="EG29">
        <f>IF(ISBLANK('Data Entry'!$É$29), "", 'Data Entry'!$É$29)</f>
      </c>
      <c r="EH29">
        <f>IF(ISBLANK('Data Entry'!$Ê$29), "", 'Data Entry'!$Ê$29)</f>
      </c>
      <c r="EI29">
        <f>IF(ISBLANK('Data Entry'!$Ë$29), "", 'Data Entry'!$Ë$29)</f>
      </c>
      <c r="EJ29">
        <f>IF(ISBLANK('Data Entry'!$Ì$29), "", 'Data Entry'!$Ì$29)</f>
      </c>
      <c r="EK29">
        <f>IF(ISBLANK('Data Entry'!$Í$29), "", 'Data Entry'!$Í$29)</f>
      </c>
      <c r="EL29">
        <f>IF(ISBLANK('Data Entry'!$Î$29), "", 'Data Entry'!$Î$29)</f>
      </c>
      <c r="EM29">
        <f>IF(ISBLANK('Data Entry'!$Ï$29), "", 'Data Entry'!$Ï$29)</f>
      </c>
      <c r="EN29">
        <f>IF(ISBLANK('Data Entry'!$Ð$29), "", 'Data Entry'!$Ð$29)</f>
      </c>
      <c r="EO29">
        <f>IF(ISBLANK('Data Entry'!$Ñ$29), "", 'Data Entry'!$Ñ$29)</f>
      </c>
      <c r="EP29">
        <f>IF(ISBLANK('Data Entry'!$Ò$29), "", 'Data Entry'!$Ò$29)</f>
      </c>
      <c r="EQ29">
        <f>IF(ISBLANK('Data Entry'!$Ó$29), "", 'Data Entry'!$Ó$29)</f>
      </c>
      <c r="ER29">
        <f>IF(ISBLANK('Data Entry'!$Ô$29), "", 'Data Entry'!$Ô$29)</f>
      </c>
      <c r="ES29">
        <f>IF(ISBLANK('Data Entry'!$Õ$29), "", 'Data Entry'!$Õ$29)</f>
      </c>
      <c r="ET29">
        <f>IF(ISBLANK('Data Entry'!$Ö$29), "", 'Data Entry'!$Ö$29)</f>
      </c>
      <c r="EU29">
        <f>IF(ISBLANK('Data Entry'!$×$29), "", 'Data Entry'!$×$29)</f>
      </c>
      <c r="EV29">
        <f>IF(ISBLANK('Data Entry'!$Ø$29), "", 'Data Entry'!$Ø$29)</f>
      </c>
      <c r="EW29">
        <f>IF(ISBLANK('Data Entry'!$Ù$29), "", 'Data Entry'!$Ù$29)</f>
      </c>
      <c r="EX29">
        <f>IF(ISBLANK('Data Entry'!$Ú$29), "", 'Data Entry'!$Ú$29)</f>
      </c>
      <c r="EY29">
        <f>IF(ISBLANK('Data Entry'!$Û$29), "", 'Data Entry'!$Û$29)</f>
      </c>
      <c r="EZ29">
        <f>IF(ISBLANK('Data Entry'!$Ü$29), "", 'Data Entry'!$Ü$29)</f>
      </c>
      <c r="FA29">
        <f>IF(ISBLANK('Data Entry'!$Ý$29), "", 'Data Entry'!$Ý$29)</f>
      </c>
      <c r="FB29">
        <f>IF(ISBLANK('Data Entry'!$Þ$29), "", 'Data Entry'!$Þ$29)</f>
      </c>
      <c r="FC29">
        <f>IF(ISBLANK('Data Entry'!$ß$29), "", 'Data Entry'!$ß$29)</f>
      </c>
      <c r="FD29">
        <f>IF(ISBLANK('Data Entry'!$à$29), "", 'Data Entry'!$à$29)</f>
      </c>
      <c r="FE29">
        <f>IF(ISBLANK('Data Entry'!$á$29), "", 'Data Entry'!$á$29)</f>
      </c>
      <c r="FF29">
        <f>IF(ISBLANK('Data Entry'!$â$29), "", 'Data Entry'!$â$29)</f>
      </c>
      <c r="FG29">
        <f>IF(ISBLANK('Data Entry'!$ã$29), "", 'Data Entry'!$ã$29)</f>
      </c>
      <c r="FH29">
        <f>IF(ISBLANK('Data Entry'!$ä$29), "", 'Data Entry'!$ä$29)</f>
      </c>
      <c r="FI29">
        <f>IF(ISBLANK('Data Entry'!$å$29), "", 'Data Entry'!$å$29)</f>
      </c>
      <c r="FJ29">
        <f>IF(ISBLANK('Data Entry'!$æ$29), "", 'Data Entry'!$æ$29)</f>
      </c>
      <c r="FK29">
        <f>IF(ISBLANK('Data Entry'!$ç$29), "", 'Data Entry'!$ç$29)</f>
      </c>
      <c r="FL29">
        <f>IF(ISBLANK('Data Entry'!$è$29), "", 'Data Entry'!$è$29)</f>
      </c>
      <c r="FM29">
        <f>IF(ISBLANK('Data Entry'!$é$29), "", 'Data Entry'!$é$29)</f>
      </c>
      <c r="FN29">
        <f>IF(ISBLANK('Data Entry'!$ê$29), "", 'Data Entry'!$ê$29)</f>
      </c>
      <c r="FO29">
        <f>IF(ISBLANK('Data Entry'!$ë$29), "", 'Data Entry'!$ë$29)</f>
      </c>
      <c r="FP29">
        <f>IF(ISBLANK('Data Entry'!$ì$29), "", 'Data Entry'!$ì$29)</f>
      </c>
      <c r="FQ29">
        <f>IF(ISBLANK('Data Entry'!$í$29), "", 'Data Entry'!$í$29)</f>
      </c>
      <c r="FR29">
        <f>IF(ISBLANK('Data Entry'!$î$29), "", 'Data Entry'!$î$29)</f>
      </c>
      <c r="FS29">
        <f>IF(ISBLANK('Data Entry'!$ï$29), "", 'Data Entry'!$ï$29)</f>
      </c>
      <c r="FT29">
        <f>IF(ISBLANK('Data Entry'!$ð$29), "", 'Data Entry'!$ð$29)</f>
      </c>
      <c r="FU29">
        <f>IF(ISBLANK('Data Entry'!$ñ$29), "", 'Data Entry'!$ñ$29)</f>
      </c>
      <c r="FV29">
        <f>IF(ISBLANK('Data Entry'!$ò$29), "", 'Data Entry'!$ò$29)</f>
      </c>
      <c r="FW29">
        <f>IF(ISBLANK('Data Entry'!$ó$29), "", 'Data Entry'!$ó$29)</f>
      </c>
      <c r="FX29">
        <f>IF(ISBLANK('Data Entry'!$ô$29), "", 'Data Entry'!$ô$29)</f>
      </c>
      <c r="FY29">
        <f>IF(ISBLANK('Data Entry'!$õ$29), "", 'Data Entry'!$õ$29)</f>
      </c>
      <c r="FZ29">
        <f>IF(ISBLANK('Data Entry'!$ö$29), "", 'Data Entry'!$ö$29)</f>
      </c>
      <c r="GA29">
        <f>IF(ISBLANK('Data Entry'!$÷$29), "", 'Data Entry'!$÷$29)</f>
      </c>
      <c r="GB29">
        <f>IF(ISBLANK('Data Entry'!$ø$29), "", 'Data Entry'!$ø$29)</f>
      </c>
      <c r="GC29">
        <f>IF(ISBLANK('Data Entry'!$ù$29), "", 'Data Entry'!$ù$29)</f>
      </c>
      <c r="GD29">
        <f>IF(ISBLANK('Data Entry'!$ú$29), "", 'Data Entry'!$ú$29)</f>
      </c>
      <c r="GE29">
        <f>IF(ISBLANK('Data Entry'!$û$29), "", 'Data Entry'!$û$29)</f>
      </c>
      <c r="GF29">
        <f>IF(ISBLANK('Data Entry'!$ü$29), "", 'Data Entry'!$ü$29)</f>
      </c>
      <c r="GG29">
        <f>IF(ISBLANK('Data Entry'!$ý$29), "", 'Data Entry'!$ý$29)</f>
      </c>
      <c r="GH29">
        <f>IF(ISBLANK('Data Entry'!$þ$29), "", 'Data Entry'!$þ$29)</f>
      </c>
      <c r="GI29">
        <f>IF(ISBLANK('Data Entry'!$ÿ$29), "", 'Data Entry'!$ÿ$29)</f>
      </c>
      <c r="GJ29">
        <f>IF(ISBLANK('Data Entry'!$Ā$29), "", 'Data Entry'!$Ā$29)</f>
      </c>
      <c r="GK29">
        <f>IF(ISBLANK('Data Entry'!$ā$29), "", 'Data Entry'!$ā$29)</f>
      </c>
      <c r="GL29">
        <f>IF(ISBLANK('Data Entry'!$Ă$29), "", 'Data Entry'!$Ă$29)</f>
      </c>
      <c r="GM29">
        <f>IF(ISBLANK('Data Entry'!$ă$29), "", 'Data Entry'!$ă$29)</f>
      </c>
      <c r="GN29">
        <f>IF(ISBLANK('Data Entry'!$Ą$29), "", 'Data Entry'!$Ą$29)</f>
      </c>
      <c r="GO29">
        <f>IF(ISBLANK('Data Entry'!$ą$29), "", 'Data Entry'!$ą$29)</f>
      </c>
      <c r="GP29">
        <f>IF(ISBLANK('Data Entry'!$Ć$29), "", 'Data Entry'!$Ć$29)</f>
      </c>
      <c r="GQ29">
        <f>IF(ISBLANK('Data Entry'!$ć$29), "", 'Data Entry'!$ć$29)</f>
      </c>
      <c r="GR29">
        <f>IF(ISBLANK('Data Entry'!$Ĉ$29), "", 'Data Entry'!$Ĉ$29)</f>
      </c>
      <c r="GS29">
        <f>IF(ISBLANK('Data Entry'!$ĉ$29), "", 'Data Entry'!$ĉ$29)</f>
      </c>
      <c r="GT29">
        <f>IF(ISBLANK('Data Entry'!$Ċ$29), "", 'Data Entry'!$Ċ$29)</f>
      </c>
      <c r="GU29">
        <f>IF(ISBLANK('Data Entry'!$ċ$29), "", 'Data Entry'!$ċ$29)</f>
      </c>
      <c r="GV29">
        <f>IF(ISBLANK('Data Entry'!$Č$29), "", 'Data Entry'!$Č$29)</f>
      </c>
      <c r="GW29">
        <f>IF(ISBLANK('Data Entry'!$č$29), "", 'Data Entry'!$č$29)</f>
      </c>
      <c r="GX29">
        <f>IF(ISBLANK('Data Entry'!$Ď$29), "", 'Data Entry'!$Ď$29)</f>
      </c>
      <c r="GY29">
        <f>IF(ISBLANK('Data Entry'!$ď$29), "", 'Data Entry'!$ď$29)</f>
      </c>
      <c r="GZ29">
        <f>IF(ISBLANK('Data Entry'!$Đ$29), "", 'Data Entry'!$Đ$29)</f>
      </c>
      <c r="HA29">
        <f>IF(ISBLANK('Data Entry'!$đ$29), "", 'Data Entry'!$đ$29)</f>
      </c>
      <c r="HB29">
        <f>IF(ISBLANK('Data Entry'!$Ē$29), "", 'Data Entry'!$Ē$29)</f>
      </c>
      <c r="HC29">
        <f>IF(ISBLANK('Data Entry'!$ē$29), "", 'Data Entry'!$ē$29)</f>
      </c>
      <c r="HD29">
        <f>IF(ISBLANK('Data Entry'!$Ĕ$29), "", 'Data Entry'!$Ĕ$29)</f>
      </c>
      <c r="HE29">
        <f>IF(ISBLANK('Data Entry'!$ĕ$29), "", 'Data Entry'!$ĕ$29)</f>
      </c>
      <c r="HF29">
        <f>IF(ISBLANK('Data Entry'!$Ė$29), "", 'Data Entry'!$Ė$29)</f>
      </c>
      <c r="HG29">
        <f>IF(ISBLANK('Data Entry'!$ė$29), "", 'Data Entry'!$ė$29)</f>
      </c>
      <c r="HH29">
        <f>IF(ISBLANK('Data Entry'!$Ę$29), "", 'Data Entry'!$Ę$29)</f>
      </c>
      <c r="HI29">
        <f>IF(ISBLANK('Data Entry'!$ę$29), "", 'Data Entry'!$ę$29)</f>
      </c>
      <c r="HJ29">
        <f>IF(ISBLANK('Data Entry'!$Ě$29), "", 'Data Entry'!$Ě$29)</f>
      </c>
      <c r="HK29">
        <f>IF(ISBLANK('Data Entry'!$ě$29), "", 'Data Entry'!$ě$29)</f>
      </c>
      <c r="HL29">
        <f>IF(ISBLANK('Data Entry'!$Ĝ$29), "", 'Data Entry'!$Ĝ$29)</f>
      </c>
      <c r="HM29">
        <f>IF(ISBLANK('Data Entry'!$ĝ$29), "", 'Data Entry'!$ĝ$29)</f>
      </c>
      <c r="HN29">
        <f>IF(ISBLANK('Data Entry'!$Ğ$29), "", 'Data Entry'!$Ğ$29)</f>
      </c>
      <c r="HO29">
        <f>IF(ISBLANK('Data Entry'!$ğ$29), "", 'Data Entry'!$ğ$29)</f>
      </c>
      <c r="HP29">
        <f>IF(ISBLANK('Data Entry'!$Ġ$29), "", 'Data Entry'!$Ġ$29)</f>
      </c>
      <c r="HQ29">
        <f>IF(ISBLANK('Data Entry'!$ġ$29), "", 'Data Entry'!$ġ$29)</f>
      </c>
      <c r="HR29">
        <f>IF(ISBLANK('Data Entry'!$Ģ$29), "", 'Data Entry'!$Ģ$29)</f>
      </c>
      <c r="HS29">
        <f>IF(ISBLANK('Data Entry'!$ģ$29), "", 'Data Entry'!$ģ$29)</f>
      </c>
      <c r="HT29">
        <f>IF(ISBLANK('Data Entry'!$Ĥ$29), "", 'Data Entry'!$Ĥ$29)</f>
      </c>
      <c r="HU29">
        <f>IF(ISBLANK('Data Entry'!$ĥ$29), "", 'Data Entry'!$ĥ$29)</f>
      </c>
      <c r="HV29">
        <f>IF(ISBLANK('Data Entry'!$Ħ$29), "", 'Data Entry'!$Ħ$29)</f>
      </c>
      <c r="HW29">
        <f>IF(ISBLANK('Data Entry'!$ħ$29), "", 'Data Entry'!$ħ$29)</f>
      </c>
      <c r="HX29">
        <f>IF(ISBLANK('Data Entry'!$Ĩ$29), "", 'Data Entry'!$Ĩ$29)</f>
      </c>
      <c r="HY29">
        <f>IF(ISBLANK('Data Entry'!$ĩ$29), "", 'Data Entry'!$ĩ$29)</f>
      </c>
      <c r="HZ29">
        <f>IF(ISBLANK('Data Entry'!$Ī$29), "", 'Data Entry'!$Ī$29)</f>
      </c>
      <c r="IA29">
        <f>IF(ISBLANK('Data Entry'!$ī$29), "", 'Data Entry'!$ī$29)</f>
      </c>
      <c r="IB29">
        <f>IF(ISBLANK('Data Entry'!$Ĭ$29), "", 'Data Entry'!$Ĭ$29)</f>
      </c>
      <c r="IC29">
        <f>IF(ISBLANK('Data Entry'!$ĭ$29), "", 'Data Entry'!$ĭ$29)</f>
      </c>
      <c r="ID29">
        <f>IF(ISBLANK('Data Entry'!$Į$29), "", 'Data Entry'!$Į$29)</f>
      </c>
      <c r="IE29">
        <f>IF(ISBLANK('Data Entry'!$į$29), "", 'Data Entry'!$į$29)</f>
      </c>
      <c r="IF29">
        <f>IF(ISBLANK('Data Entry'!$İ$29), "", 'Data Entry'!$İ$29)</f>
      </c>
      <c r="IG29">
        <f>IF(ISBLANK('Data Entry'!$ı$29), "", 'Data Entry'!$ı$29)</f>
      </c>
      <c r="IH29">
        <f>IF(ISBLANK('Data Entry'!$Ĳ$29), "", 'Data Entry'!$Ĳ$29)</f>
      </c>
      <c r="II29">
        <f>IF(ISBLANK('Data Entry'!$ĳ$29), "", 'Data Entry'!$ĳ$29)</f>
      </c>
      <c r="IJ29">
        <f>IF(ISBLANK('Data Entry'!$Ĵ$29), "", 'Data Entry'!$Ĵ$29)</f>
      </c>
      <c r="IK29">
        <f>IF(ISBLANK('Data Entry'!$ĵ$29), "", 'Data Entry'!$ĵ$29)</f>
      </c>
      <c r="IL29">
        <f>IF(ISBLANK('Data Entry'!$Ķ$29), "", 'Data Entry'!$Ķ$29)</f>
      </c>
      <c r="IM29">
        <f>IF(ISBLANK('Data Entry'!$ķ$29), "", 'Data Entry'!$ķ$29)</f>
      </c>
      <c r="IN29">
        <f>IF(ISBLANK('Data Entry'!$ĸ$29), "", 'Data Entry'!$ĸ$29)</f>
      </c>
      <c r="IO29">
        <f>IF(ISBLANK('Data Entry'!$Ĺ$29), "", 'Data Entry'!$Ĺ$29)</f>
      </c>
      <c r="IP29">
        <f>IF(ISBLANK('Data Entry'!$ĺ$29), "", 'Data Entry'!$ĺ$29)</f>
      </c>
      <c r="IQ29">
        <f>IF(ISBLANK('Data Entry'!$Ļ$29), "", 'Data Entry'!$Ļ$29)</f>
      </c>
      <c r="IR29">
        <f>IF(ISBLANK('Data Entry'!$ļ$29), "", 'Data Entry'!$ļ$29)</f>
      </c>
      <c r="IS29">
        <f>IF(ISBLANK('Data Entry'!$Ľ$29), "", 'Data Entry'!$Ľ$29)</f>
      </c>
      <c r="IT29">
        <f>IF(ISBLANK('Data Entry'!$ľ$29), "", 'Data Entry'!$ľ$29)</f>
      </c>
    </row>
    <row r="30" spans="1:254" x14ac:dyDescent="0.25">
      <c r="A30">
        <f>IF(ISBLANK('Data Entry'!$A$30), "", 'Data Entry'!$A$30)</f>
      </c>
      <c r="B30">
        <f>IF(ISBLANK('Data Entry'!$B$30), "", 'Data Entry'!$B$30)</f>
      </c>
      <c r="C30">
        <f>IF(ISBLANK('Data Entry'!$C$30), "", 'Data Entry'!$C$30)</f>
      </c>
      <c r="D30">
        <f>IF(ISBLANK('Data Entry'!$D$30), "", 'Data Entry'!$D$30)</f>
      </c>
      <c r="E30">
        <f>IF(ISBLANK('Data Entry'!$E$30), "", 'Data Entry'!$E$30)</f>
      </c>
      <c r="F30">
        <f>IF(ISBLANK('Data Entry'!$F$30), "", 'Data Entry'!$F$30)</f>
      </c>
      <c r="G30">
        <f>IF(ISBLANK('Data Entry'!$G$30), "", 'Data Entry'!$G$30)</f>
      </c>
      <c r="H30">
        <f>IF(ISBLANK('Data Entry'!$H$30), "", 'Data Entry'!$H$30)</f>
      </c>
      <c r="I30">
        <f>IF(ISBLANK('Data Entry'!$I$30), "", 'Data Entry'!$I$30)</f>
      </c>
      <c r="J30">
        <f>IF(ISBLANK('Data Entry'!$J$30), "", 'Data Entry'!$J$30)</f>
      </c>
      <c r="K30">
        <f>IF(ISBLANK('Data Entry'!$K$30), "", 'Data Entry'!$K$30)</f>
      </c>
      <c r="L30">
        <f>IF(ISBLANK('Data Entry'!$L$30), "", 'Data Entry'!$L$30)</f>
      </c>
      <c r="M30">
        <f>IF(ISBLANK('Data Entry'!$M$30), "", 'Data Entry'!$M$30)</f>
      </c>
      <c r="N30">
        <f>IF(ISBLANK('Data Entry'!$N$30), "", 'Data Entry'!$N$30)</f>
      </c>
      <c r="O30">
        <f>IF(ISBLANK('Data Entry'!$O$30), "", 'Data Entry'!$O$30)</f>
      </c>
      <c r="P30">
        <f>IF(ISBLANK('Data Entry'!$P$30), "", 'Data Entry'!$P$30)</f>
      </c>
      <c r="Q30">
        <f>IF(ISBLANK('Data Entry'!$Q$30), "", 'Data Entry'!$Q$30)</f>
      </c>
      <c r="R30">
        <f>IF(ISBLANK('Data Entry'!$R$30), "", 'Data Entry'!$R$30)</f>
      </c>
      <c r="S30">
        <f>IF(ISBLANK('Data Entry'!$S$30), "", 'Data Entry'!$S$30)</f>
      </c>
      <c r="T30">
        <f>IF(ISBLANK('Data Entry'!$T$30), "", 'Data Entry'!$T$30)</f>
      </c>
      <c r="U30">
        <f>IF(ISBLANK('Data Entry'!$U$30), "", 'Data Entry'!$U$30)</f>
      </c>
      <c r="V30">
        <f>IF(ISBLANK('Data Entry'!$V$30), "", 'Data Entry'!$V$30)</f>
      </c>
      <c r="W30">
        <f>IF(ISBLANK('Data Entry'!$W$30), "", 'Data Entry'!$W$30)</f>
      </c>
      <c r="X30">
        <f>IF(ISBLANK('Data Entry'!$X$30), "", 'Data Entry'!$X$30)</f>
      </c>
      <c r="Y30">
        <f>IF(ISBLANK('Data Entry'!$Y$30), "", 'Data Entry'!$Y$30)</f>
      </c>
      <c r="Z30">
        <f>IF(ISBLANK('Data Entry'!$Z$30), "", 'Data Entry'!$Z$30)</f>
      </c>
      <c r="AA30">
        <f>IF(ISBLANK('Data Entry'!$[$30), "", 'Data Entry'!$[$30)</f>
      </c>
      <c r="AB30">
        <f>IF(ISBLANK('Data Entry'!$\$30), "", 'Data Entry'!$\$30)</f>
      </c>
      <c r="AC30">
        <f>IF(ISBLANK('Data Entry'!$]$30), "", 'Data Entry'!$]$30)</f>
      </c>
      <c r="AD30">
        <f>IF(ISBLANK('Data Entry'!$^$30), "", 'Data Entry'!$^$30)</f>
      </c>
      <c r="AE30">
        <f>IF(ISBLANK('Data Entry'!$_$30), "", 'Data Entry'!$_$30)</f>
      </c>
      <c r="AF30">
        <f>IF(ISBLANK('Data Entry'!$`$30), "", 'Data Entry'!$`$30)</f>
      </c>
      <c r="AG30">
        <f>IF(ISBLANK('Data Entry'!$a$30), "", 'Data Entry'!$a$30)</f>
      </c>
      <c r="AH30">
        <f>IF(ISBLANK('Data Entry'!$b$30), "", 'Data Entry'!$b$30)</f>
      </c>
      <c r="AI30">
        <f>IF(ISBLANK('Data Entry'!$c$30), "", 'Data Entry'!$c$30)</f>
      </c>
      <c r="AJ30">
        <f>IF(ISBLANK('Data Entry'!$d$30), "", 'Data Entry'!$d$30)</f>
      </c>
      <c r="AK30">
        <f>IF(ISBLANK('Data Entry'!$e$30), "", 'Data Entry'!$e$30)</f>
      </c>
      <c r="AL30">
        <f>IF(ISBLANK('Data Entry'!$f$30), "", 'Data Entry'!$f$30)</f>
      </c>
      <c r="AM30">
        <f>IF(ISBLANK('Data Entry'!$g$30), "", 'Data Entry'!$g$30)</f>
      </c>
      <c r="AN30">
        <f>IF(ISBLANK('Data Entry'!$h$30), "", 'Data Entry'!$h$30)</f>
      </c>
      <c r="AO30">
        <f>IF(ISBLANK('Data Entry'!$i$30), "", 'Data Entry'!$i$30)</f>
      </c>
      <c r="AP30">
        <f>IF(ISBLANK('Data Entry'!$j$30), "", 'Data Entry'!$j$30)</f>
      </c>
      <c r="AQ30">
        <f>IF(ISBLANK('Data Entry'!$k$30), "", 'Data Entry'!$k$30)</f>
      </c>
      <c r="AR30">
        <f>IF(ISBLANK('Data Entry'!$l$30), "", 'Data Entry'!$l$30)</f>
      </c>
      <c r="AS30">
        <f>IF(ISBLANK('Data Entry'!$m$30), "", 'Data Entry'!$m$30)</f>
      </c>
      <c r="AT30">
        <f>IF(ISBLANK('Data Entry'!$n$30), "", 'Data Entry'!$n$30)</f>
      </c>
      <c r="AU30">
        <f>IF(ISBLANK('Data Entry'!$o$30), "", 'Data Entry'!$o$30)</f>
      </c>
      <c r="AV30">
        <f>IF(ISBLANK('Data Entry'!$p$30), "", 'Data Entry'!$p$30)</f>
      </c>
      <c r="AW30">
        <f>IF(ISBLANK('Data Entry'!$q$30), "", 'Data Entry'!$q$30)</f>
      </c>
      <c r="AX30">
        <f>IF(ISBLANK('Data Entry'!$r$30), "", 'Data Entry'!$r$30)</f>
      </c>
      <c r="AY30">
        <f>IF(ISBLANK('Data Entry'!$s$30), "", 'Data Entry'!$s$30)</f>
      </c>
      <c r="AZ30">
        <f>IF(ISBLANK('Data Entry'!$t$30), "", 'Data Entry'!$t$30)</f>
      </c>
      <c r="BA30">
        <f>IF(ISBLANK('Data Entry'!$u$30), "", 'Data Entry'!$u$30)</f>
      </c>
      <c r="BB30">
        <f>IF(ISBLANK('Data Entry'!$v$30), "", 'Data Entry'!$v$30)</f>
      </c>
      <c r="BC30">
        <f>IF(ISBLANK('Data Entry'!$w$30), "", 'Data Entry'!$w$30)</f>
      </c>
      <c r="BD30">
        <f>IF(ISBLANK('Data Entry'!$x$30), "", 'Data Entry'!$x$30)</f>
      </c>
      <c r="BE30">
        <f>IF(ISBLANK('Data Entry'!$y$30), "", 'Data Entry'!$y$30)</f>
      </c>
      <c r="BF30">
        <f>IF(ISBLANK('Data Entry'!$z$30), "", 'Data Entry'!$z$30)</f>
      </c>
      <c r="BG30">
        <f>IF(ISBLANK('Data Entry'!${$30), "", 'Data Entry'!${$30)</f>
      </c>
      <c r="BH30">
        <f>IF(ISBLANK('Data Entry'!$|$30), "", 'Data Entry'!$|$30)</f>
      </c>
      <c r="BI30">
        <f>IF(ISBLANK('Data Entry'!$}$30), "", 'Data Entry'!$}$30)</f>
      </c>
      <c r="BJ30">
        <f>IF(ISBLANK('Data Entry'!$~$30), "", 'Data Entry'!$~$30)</f>
      </c>
      <c r="BK30">
        <f>IF(ISBLANK('Data Entry'!$$30), "", 'Data Entry'!$$30)</f>
      </c>
      <c r="BL30">
        <f>IF(ISBLANK('Data Entry'!$$30), "", 'Data Entry'!$$30)</f>
      </c>
      <c r="BM30">
        <f>IF(ISBLANK('Data Entry'!$$30), "", 'Data Entry'!$$30)</f>
      </c>
      <c r="BN30">
        <f>IF(ISBLANK('Data Entry'!$$30), "", 'Data Entry'!$$30)</f>
      </c>
      <c r="BO30">
        <f>IF(ISBLANK('Data Entry'!$$30), "", 'Data Entry'!$$30)</f>
      </c>
      <c r="BP30">
        <f>IF(ISBLANK('Data Entry'!$$30), "", 'Data Entry'!$$30)</f>
      </c>
      <c r="BQ30">
        <f>IF(ISBLANK('Data Entry'!$$30), "", 'Data Entry'!$$30)</f>
      </c>
      <c r="BR30">
        <f>IF(ISBLANK('Data Entry'!$$30), "", 'Data Entry'!$$30)</f>
      </c>
      <c r="BS30">
        <f>IF(ISBLANK('Data Entry'!$$30), "", 'Data Entry'!$$30)</f>
      </c>
      <c r="BT30">
        <f>IF(ISBLANK('Data Entry'!$$30), "", 'Data Entry'!$$30)</f>
      </c>
      <c r="BU30">
        <f>IF(ISBLANK('Data Entry'!$$30), "", 'Data Entry'!$$30)</f>
      </c>
      <c r="BV30">
        <f>IF(ISBLANK('Data Entry'!$$30), "", 'Data Entry'!$$30)</f>
      </c>
      <c r="BW30">
        <f>IF(ISBLANK('Data Entry'!$$30), "", 'Data Entry'!$$30)</f>
      </c>
      <c r="BX30">
        <f>IF(ISBLANK('Data Entry'!$$30), "", 'Data Entry'!$$30)</f>
      </c>
      <c r="BY30">
        <f>IF(ISBLANK('Data Entry'!$$30), "", 'Data Entry'!$$30)</f>
      </c>
      <c r="BZ30">
        <f>IF(ISBLANK('Data Entry'!$$30), "", 'Data Entry'!$$30)</f>
      </c>
      <c r="CA30">
        <f>IF(ISBLANK('Data Entry'!$$30), "", 'Data Entry'!$$30)</f>
      </c>
      <c r="CB30">
        <f>IF(ISBLANK('Data Entry'!$$30), "", 'Data Entry'!$$30)</f>
      </c>
      <c r="CC30">
        <f>IF(ISBLANK('Data Entry'!$$30), "", 'Data Entry'!$$30)</f>
      </c>
      <c r="CD30">
        <f>IF(ISBLANK('Data Entry'!$$30), "", 'Data Entry'!$$30)</f>
      </c>
      <c r="CE30">
        <f>IF(ISBLANK('Data Entry'!$$30), "", 'Data Entry'!$$30)</f>
      </c>
      <c r="CF30">
        <f>IF(ISBLANK('Data Entry'!$$30), "", 'Data Entry'!$$30)</f>
      </c>
      <c r="CG30">
        <f>IF(ISBLANK('Data Entry'!$$30), "", 'Data Entry'!$$30)</f>
      </c>
      <c r="CH30">
        <f>IF(ISBLANK('Data Entry'!$$30), "", 'Data Entry'!$$30)</f>
      </c>
      <c r="CI30">
        <f>IF(ISBLANK('Data Entry'!$$30), "", 'Data Entry'!$$30)</f>
      </c>
      <c r="CJ30">
        <f>IF(ISBLANK('Data Entry'!$$30), "", 'Data Entry'!$$30)</f>
      </c>
      <c r="CK30">
        <f>IF(ISBLANK('Data Entry'!$$30), "", 'Data Entry'!$$30)</f>
      </c>
      <c r="CL30">
        <f>IF(ISBLANK('Data Entry'!$$30), "", 'Data Entry'!$$30)</f>
      </c>
      <c r="CM30">
        <f>IF(ISBLANK('Data Entry'!$$30), "", 'Data Entry'!$$30)</f>
      </c>
      <c r="CN30">
        <f>IF(ISBLANK('Data Entry'!$$30), "", 'Data Entry'!$$30)</f>
      </c>
      <c r="CO30">
        <f>IF(ISBLANK('Data Entry'!$$30), "", 'Data Entry'!$$30)</f>
      </c>
      <c r="CP30">
        <f>IF(ISBLANK('Data Entry'!$$30), "", 'Data Entry'!$$30)</f>
      </c>
      <c r="CQ30">
        <f>IF(ISBLANK('Data Entry'!$$30), "", 'Data Entry'!$$30)</f>
      </c>
      <c r="CR30">
        <f>IF(ISBLANK('Data Entry'!$ $30), "", 'Data Entry'!$ $30)</f>
      </c>
      <c r="CS30">
        <f>IF(ISBLANK('Data Entry'!$¡$30), "", 'Data Entry'!$¡$30)</f>
      </c>
      <c r="CT30">
        <f>IF(ISBLANK('Data Entry'!$¢$30), "", 'Data Entry'!$¢$30)</f>
      </c>
      <c r="CU30">
        <f>IF(ISBLANK('Data Entry'!$£$30), "", 'Data Entry'!$£$30)</f>
      </c>
      <c r="CV30">
        <f>IF(ISBLANK('Data Entry'!$¤$30), "", 'Data Entry'!$¤$30)</f>
      </c>
      <c r="CW30">
        <f>IF(ISBLANK('Data Entry'!$¥$30), "", 'Data Entry'!$¥$30)</f>
      </c>
      <c r="CX30">
        <f>IF(ISBLANK('Data Entry'!$¦$30), "", 'Data Entry'!$¦$30)</f>
      </c>
      <c r="CY30">
        <f>IF(ISBLANK('Data Entry'!$§$30), "", 'Data Entry'!$§$30)</f>
      </c>
      <c r="CZ30">
        <f>IF(ISBLANK('Data Entry'!$¨$30), "", 'Data Entry'!$¨$30)</f>
      </c>
      <c r="DA30">
        <f>IF(ISBLANK('Data Entry'!$©$30), "", 'Data Entry'!$©$30)</f>
      </c>
      <c r="DB30">
        <f>IF(ISBLANK('Data Entry'!$ª$30), "", 'Data Entry'!$ª$30)</f>
      </c>
      <c r="DC30">
        <f>IF(ISBLANK('Data Entry'!$«$30), "", 'Data Entry'!$«$30)</f>
      </c>
      <c r="DD30">
        <f>IF(ISBLANK('Data Entry'!$¬$30), "", 'Data Entry'!$¬$30)</f>
      </c>
      <c r="DE30">
        <f>IF(ISBLANK('Data Entry'!$­$30), "", 'Data Entry'!$­$30)</f>
      </c>
      <c r="DF30">
        <f>IF(ISBLANK('Data Entry'!$®$30), "", 'Data Entry'!$®$30)</f>
      </c>
      <c r="DG30">
        <f>IF(ISBLANK('Data Entry'!$¯$30), "", 'Data Entry'!$¯$30)</f>
      </c>
      <c r="DH30">
        <f>IF(ISBLANK('Data Entry'!$°$30), "", 'Data Entry'!$°$30)</f>
      </c>
      <c r="DI30">
        <f>IF(ISBLANK('Data Entry'!$±$30), "", 'Data Entry'!$±$30)</f>
      </c>
      <c r="DJ30">
        <f>IF(ISBLANK('Data Entry'!$²$30), "", 'Data Entry'!$²$30)</f>
      </c>
      <c r="DK30">
        <f>IF(ISBLANK('Data Entry'!$³$30), "", 'Data Entry'!$³$30)</f>
      </c>
      <c r="DL30">
        <f>IF(ISBLANK('Data Entry'!$´$30), "", 'Data Entry'!$´$30)</f>
      </c>
      <c r="DM30">
        <f>IF(ISBLANK('Data Entry'!$µ$30), "", 'Data Entry'!$µ$30)</f>
      </c>
      <c r="DN30">
        <f>IF(ISBLANK('Data Entry'!$¶$30), "", 'Data Entry'!$¶$30)</f>
      </c>
      <c r="DO30">
        <f>IF(ISBLANK('Data Entry'!$·$30), "", 'Data Entry'!$·$30)</f>
      </c>
      <c r="DP30">
        <f>IF(ISBLANK('Data Entry'!$¸$30), "", 'Data Entry'!$¸$30)</f>
      </c>
      <c r="DQ30">
        <f>IF(ISBLANK('Data Entry'!$¹$30), "", 'Data Entry'!$¹$30)</f>
      </c>
      <c r="DR30">
        <f>IF(ISBLANK('Data Entry'!$º$30), "", 'Data Entry'!$º$30)</f>
      </c>
      <c r="DS30">
        <f>IF(ISBLANK('Data Entry'!$»$30), "", 'Data Entry'!$»$30)</f>
      </c>
      <c r="DT30">
        <f>IF(ISBLANK('Data Entry'!$¼$30), "", 'Data Entry'!$¼$30)</f>
      </c>
      <c r="DU30">
        <f>IF(ISBLANK('Data Entry'!$½$30), "", 'Data Entry'!$½$30)</f>
      </c>
      <c r="DV30">
        <f>IF(ISBLANK('Data Entry'!$¾$30), "", 'Data Entry'!$¾$30)</f>
      </c>
      <c r="DW30">
        <f>IF(ISBLANK('Data Entry'!$¿$30), "", 'Data Entry'!$¿$30)</f>
      </c>
      <c r="DX30">
        <f>IF(ISBLANK('Data Entry'!$À$30), "", 'Data Entry'!$À$30)</f>
      </c>
      <c r="DY30">
        <f>IF(ISBLANK('Data Entry'!$Á$30), "", 'Data Entry'!$Á$30)</f>
      </c>
      <c r="DZ30">
        <f>IF(ISBLANK('Data Entry'!$Â$30), "", 'Data Entry'!$Â$30)</f>
      </c>
      <c r="EA30">
        <f>IF(ISBLANK('Data Entry'!$Ã$30), "", 'Data Entry'!$Ã$30)</f>
      </c>
      <c r="EB30">
        <f>IF(ISBLANK('Data Entry'!$Ä$30), "", 'Data Entry'!$Ä$30)</f>
      </c>
      <c r="EC30">
        <f>IF(ISBLANK('Data Entry'!$Å$30), "", 'Data Entry'!$Å$30)</f>
      </c>
      <c r="ED30">
        <f>IF(ISBLANK('Data Entry'!$Æ$30), "", 'Data Entry'!$Æ$30)</f>
      </c>
      <c r="EE30">
        <f>IF(ISBLANK('Data Entry'!$Ç$30), "", 'Data Entry'!$Ç$30)</f>
      </c>
      <c r="EF30">
        <f>IF(ISBLANK('Data Entry'!$È$30), "", 'Data Entry'!$È$30)</f>
      </c>
      <c r="EG30">
        <f>IF(ISBLANK('Data Entry'!$É$30), "", 'Data Entry'!$É$30)</f>
      </c>
      <c r="EH30">
        <f>IF(ISBLANK('Data Entry'!$Ê$30), "", 'Data Entry'!$Ê$30)</f>
      </c>
      <c r="EI30">
        <f>IF(ISBLANK('Data Entry'!$Ë$30), "", 'Data Entry'!$Ë$30)</f>
      </c>
      <c r="EJ30">
        <f>IF(ISBLANK('Data Entry'!$Ì$30), "", 'Data Entry'!$Ì$30)</f>
      </c>
      <c r="EK30">
        <f>IF(ISBLANK('Data Entry'!$Í$30), "", 'Data Entry'!$Í$30)</f>
      </c>
      <c r="EL30">
        <f>IF(ISBLANK('Data Entry'!$Î$30), "", 'Data Entry'!$Î$30)</f>
      </c>
      <c r="EM30">
        <f>IF(ISBLANK('Data Entry'!$Ï$30), "", 'Data Entry'!$Ï$30)</f>
      </c>
      <c r="EN30">
        <f>IF(ISBLANK('Data Entry'!$Ð$30), "", 'Data Entry'!$Ð$30)</f>
      </c>
      <c r="EO30">
        <f>IF(ISBLANK('Data Entry'!$Ñ$30), "", 'Data Entry'!$Ñ$30)</f>
      </c>
      <c r="EP30">
        <f>IF(ISBLANK('Data Entry'!$Ò$30), "", 'Data Entry'!$Ò$30)</f>
      </c>
      <c r="EQ30">
        <f>IF(ISBLANK('Data Entry'!$Ó$30), "", 'Data Entry'!$Ó$30)</f>
      </c>
      <c r="ER30">
        <f>IF(ISBLANK('Data Entry'!$Ô$30), "", 'Data Entry'!$Ô$30)</f>
      </c>
      <c r="ES30">
        <f>IF(ISBLANK('Data Entry'!$Õ$30), "", 'Data Entry'!$Õ$30)</f>
      </c>
      <c r="ET30">
        <f>IF(ISBLANK('Data Entry'!$Ö$30), "", 'Data Entry'!$Ö$30)</f>
      </c>
      <c r="EU30">
        <f>IF(ISBLANK('Data Entry'!$×$30), "", 'Data Entry'!$×$30)</f>
      </c>
      <c r="EV30">
        <f>IF(ISBLANK('Data Entry'!$Ø$30), "", 'Data Entry'!$Ø$30)</f>
      </c>
      <c r="EW30">
        <f>IF(ISBLANK('Data Entry'!$Ù$30), "", 'Data Entry'!$Ù$30)</f>
      </c>
      <c r="EX30">
        <f>IF(ISBLANK('Data Entry'!$Ú$30), "", 'Data Entry'!$Ú$30)</f>
      </c>
      <c r="EY30">
        <f>IF(ISBLANK('Data Entry'!$Û$30), "", 'Data Entry'!$Û$30)</f>
      </c>
      <c r="EZ30">
        <f>IF(ISBLANK('Data Entry'!$Ü$30), "", 'Data Entry'!$Ü$30)</f>
      </c>
      <c r="FA30">
        <f>IF(ISBLANK('Data Entry'!$Ý$30), "", 'Data Entry'!$Ý$30)</f>
      </c>
      <c r="FB30">
        <f>IF(ISBLANK('Data Entry'!$Þ$30), "", 'Data Entry'!$Þ$30)</f>
      </c>
      <c r="FC30">
        <f>IF(ISBLANK('Data Entry'!$ß$30), "", 'Data Entry'!$ß$30)</f>
      </c>
      <c r="FD30">
        <f>IF(ISBLANK('Data Entry'!$à$30), "", 'Data Entry'!$à$30)</f>
      </c>
      <c r="FE30">
        <f>IF(ISBLANK('Data Entry'!$á$30), "", 'Data Entry'!$á$30)</f>
      </c>
      <c r="FF30">
        <f>IF(ISBLANK('Data Entry'!$â$30), "", 'Data Entry'!$â$30)</f>
      </c>
      <c r="FG30">
        <f>IF(ISBLANK('Data Entry'!$ã$30), "", 'Data Entry'!$ã$30)</f>
      </c>
      <c r="FH30">
        <f>IF(ISBLANK('Data Entry'!$ä$30), "", 'Data Entry'!$ä$30)</f>
      </c>
      <c r="FI30">
        <f>IF(ISBLANK('Data Entry'!$å$30), "", 'Data Entry'!$å$30)</f>
      </c>
      <c r="FJ30">
        <f>IF(ISBLANK('Data Entry'!$æ$30), "", 'Data Entry'!$æ$30)</f>
      </c>
      <c r="FK30">
        <f>IF(ISBLANK('Data Entry'!$ç$30), "", 'Data Entry'!$ç$30)</f>
      </c>
      <c r="FL30">
        <f>IF(ISBLANK('Data Entry'!$è$30), "", 'Data Entry'!$è$30)</f>
      </c>
      <c r="FM30">
        <f>IF(ISBLANK('Data Entry'!$é$30), "", 'Data Entry'!$é$30)</f>
      </c>
      <c r="FN30">
        <f>IF(ISBLANK('Data Entry'!$ê$30), "", 'Data Entry'!$ê$30)</f>
      </c>
      <c r="FO30">
        <f>IF(ISBLANK('Data Entry'!$ë$30), "", 'Data Entry'!$ë$30)</f>
      </c>
      <c r="FP30">
        <f>IF(ISBLANK('Data Entry'!$ì$30), "", 'Data Entry'!$ì$30)</f>
      </c>
      <c r="FQ30">
        <f>IF(ISBLANK('Data Entry'!$í$30), "", 'Data Entry'!$í$30)</f>
      </c>
      <c r="FR30">
        <f>IF(ISBLANK('Data Entry'!$î$30), "", 'Data Entry'!$î$30)</f>
      </c>
      <c r="FS30">
        <f>IF(ISBLANK('Data Entry'!$ï$30), "", 'Data Entry'!$ï$30)</f>
      </c>
      <c r="FT30">
        <f>IF(ISBLANK('Data Entry'!$ð$30), "", 'Data Entry'!$ð$30)</f>
      </c>
      <c r="FU30">
        <f>IF(ISBLANK('Data Entry'!$ñ$30), "", 'Data Entry'!$ñ$30)</f>
      </c>
      <c r="FV30">
        <f>IF(ISBLANK('Data Entry'!$ò$30), "", 'Data Entry'!$ò$30)</f>
      </c>
      <c r="FW30">
        <f>IF(ISBLANK('Data Entry'!$ó$30), "", 'Data Entry'!$ó$30)</f>
      </c>
      <c r="FX30">
        <f>IF(ISBLANK('Data Entry'!$ô$30), "", 'Data Entry'!$ô$30)</f>
      </c>
      <c r="FY30">
        <f>IF(ISBLANK('Data Entry'!$õ$30), "", 'Data Entry'!$õ$30)</f>
      </c>
      <c r="FZ30">
        <f>IF(ISBLANK('Data Entry'!$ö$30), "", 'Data Entry'!$ö$30)</f>
      </c>
      <c r="GA30">
        <f>IF(ISBLANK('Data Entry'!$÷$30), "", 'Data Entry'!$÷$30)</f>
      </c>
      <c r="GB30">
        <f>IF(ISBLANK('Data Entry'!$ø$30), "", 'Data Entry'!$ø$30)</f>
      </c>
      <c r="GC30">
        <f>IF(ISBLANK('Data Entry'!$ù$30), "", 'Data Entry'!$ù$30)</f>
      </c>
      <c r="GD30">
        <f>IF(ISBLANK('Data Entry'!$ú$30), "", 'Data Entry'!$ú$30)</f>
      </c>
      <c r="GE30">
        <f>IF(ISBLANK('Data Entry'!$û$30), "", 'Data Entry'!$û$30)</f>
      </c>
      <c r="GF30">
        <f>IF(ISBLANK('Data Entry'!$ü$30), "", 'Data Entry'!$ü$30)</f>
      </c>
      <c r="GG30">
        <f>IF(ISBLANK('Data Entry'!$ý$30), "", 'Data Entry'!$ý$30)</f>
      </c>
      <c r="GH30">
        <f>IF(ISBLANK('Data Entry'!$þ$30), "", 'Data Entry'!$þ$30)</f>
      </c>
      <c r="GI30">
        <f>IF(ISBLANK('Data Entry'!$ÿ$30), "", 'Data Entry'!$ÿ$30)</f>
      </c>
      <c r="GJ30">
        <f>IF(ISBLANK('Data Entry'!$Ā$30), "", 'Data Entry'!$Ā$30)</f>
      </c>
      <c r="GK30">
        <f>IF(ISBLANK('Data Entry'!$ā$30), "", 'Data Entry'!$ā$30)</f>
      </c>
      <c r="GL30">
        <f>IF(ISBLANK('Data Entry'!$Ă$30), "", 'Data Entry'!$Ă$30)</f>
      </c>
      <c r="GM30">
        <f>IF(ISBLANK('Data Entry'!$ă$30), "", 'Data Entry'!$ă$30)</f>
      </c>
      <c r="GN30">
        <f>IF(ISBLANK('Data Entry'!$Ą$30), "", 'Data Entry'!$Ą$30)</f>
      </c>
      <c r="GO30">
        <f>IF(ISBLANK('Data Entry'!$ą$30), "", 'Data Entry'!$ą$30)</f>
      </c>
      <c r="GP30">
        <f>IF(ISBLANK('Data Entry'!$Ć$30), "", 'Data Entry'!$Ć$30)</f>
      </c>
      <c r="GQ30">
        <f>IF(ISBLANK('Data Entry'!$ć$30), "", 'Data Entry'!$ć$30)</f>
      </c>
      <c r="GR30">
        <f>IF(ISBLANK('Data Entry'!$Ĉ$30), "", 'Data Entry'!$Ĉ$30)</f>
      </c>
      <c r="GS30">
        <f>IF(ISBLANK('Data Entry'!$ĉ$30), "", 'Data Entry'!$ĉ$30)</f>
      </c>
      <c r="GT30">
        <f>IF(ISBLANK('Data Entry'!$Ċ$30), "", 'Data Entry'!$Ċ$30)</f>
      </c>
      <c r="GU30">
        <f>IF(ISBLANK('Data Entry'!$ċ$30), "", 'Data Entry'!$ċ$30)</f>
      </c>
      <c r="GV30">
        <f>IF(ISBLANK('Data Entry'!$Č$30), "", 'Data Entry'!$Č$30)</f>
      </c>
      <c r="GW30">
        <f>IF(ISBLANK('Data Entry'!$č$30), "", 'Data Entry'!$č$30)</f>
      </c>
      <c r="GX30">
        <f>IF(ISBLANK('Data Entry'!$Ď$30), "", 'Data Entry'!$Ď$30)</f>
      </c>
      <c r="GY30">
        <f>IF(ISBLANK('Data Entry'!$ď$30), "", 'Data Entry'!$ď$30)</f>
      </c>
      <c r="GZ30">
        <f>IF(ISBLANK('Data Entry'!$Đ$30), "", 'Data Entry'!$Đ$30)</f>
      </c>
      <c r="HA30">
        <f>IF(ISBLANK('Data Entry'!$đ$30), "", 'Data Entry'!$đ$30)</f>
      </c>
      <c r="HB30">
        <f>IF(ISBLANK('Data Entry'!$Ē$30), "", 'Data Entry'!$Ē$30)</f>
      </c>
      <c r="HC30">
        <f>IF(ISBLANK('Data Entry'!$ē$30), "", 'Data Entry'!$ē$30)</f>
      </c>
      <c r="HD30">
        <f>IF(ISBLANK('Data Entry'!$Ĕ$30), "", 'Data Entry'!$Ĕ$30)</f>
      </c>
      <c r="HE30">
        <f>IF(ISBLANK('Data Entry'!$ĕ$30), "", 'Data Entry'!$ĕ$30)</f>
      </c>
      <c r="HF30">
        <f>IF(ISBLANK('Data Entry'!$Ė$30), "", 'Data Entry'!$Ė$30)</f>
      </c>
      <c r="HG30">
        <f>IF(ISBLANK('Data Entry'!$ė$30), "", 'Data Entry'!$ė$30)</f>
      </c>
      <c r="HH30">
        <f>IF(ISBLANK('Data Entry'!$Ę$30), "", 'Data Entry'!$Ę$30)</f>
      </c>
      <c r="HI30">
        <f>IF(ISBLANK('Data Entry'!$ę$30), "", 'Data Entry'!$ę$30)</f>
      </c>
      <c r="HJ30">
        <f>IF(ISBLANK('Data Entry'!$Ě$30), "", 'Data Entry'!$Ě$30)</f>
      </c>
      <c r="HK30">
        <f>IF(ISBLANK('Data Entry'!$ě$30), "", 'Data Entry'!$ě$30)</f>
      </c>
      <c r="HL30">
        <f>IF(ISBLANK('Data Entry'!$Ĝ$30), "", 'Data Entry'!$Ĝ$30)</f>
      </c>
      <c r="HM30">
        <f>IF(ISBLANK('Data Entry'!$ĝ$30), "", 'Data Entry'!$ĝ$30)</f>
      </c>
      <c r="HN30">
        <f>IF(ISBLANK('Data Entry'!$Ğ$30), "", 'Data Entry'!$Ğ$30)</f>
      </c>
      <c r="HO30">
        <f>IF(ISBLANK('Data Entry'!$ğ$30), "", 'Data Entry'!$ğ$30)</f>
      </c>
      <c r="HP30">
        <f>IF(ISBLANK('Data Entry'!$Ġ$30), "", 'Data Entry'!$Ġ$30)</f>
      </c>
      <c r="HQ30">
        <f>IF(ISBLANK('Data Entry'!$ġ$30), "", 'Data Entry'!$ġ$30)</f>
      </c>
      <c r="HR30">
        <f>IF(ISBLANK('Data Entry'!$Ģ$30), "", 'Data Entry'!$Ģ$30)</f>
      </c>
      <c r="HS30">
        <f>IF(ISBLANK('Data Entry'!$ģ$30), "", 'Data Entry'!$ģ$30)</f>
      </c>
      <c r="HT30">
        <f>IF(ISBLANK('Data Entry'!$Ĥ$30), "", 'Data Entry'!$Ĥ$30)</f>
      </c>
      <c r="HU30">
        <f>IF(ISBLANK('Data Entry'!$ĥ$30), "", 'Data Entry'!$ĥ$30)</f>
      </c>
      <c r="HV30">
        <f>IF(ISBLANK('Data Entry'!$Ħ$30), "", 'Data Entry'!$Ħ$30)</f>
      </c>
      <c r="HW30">
        <f>IF(ISBLANK('Data Entry'!$ħ$30), "", 'Data Entry'!$ħ$30)</f>
      </c>
      <c r="HX30">
        <f>IF(ISBLANK('Data Entry'!$Ĩ$30), "", 'Data Entry'!$Ĩ$30)</f>
      </c>
      <c r="HY30">
        <f>IF(ISBLANK('Data Entry'!$ĩ$30), "", 'Data Entry'!$ĩ$30)</f>
      </c>
      <c r="HZ30">
        <f>IF(ISBLANK('Data Entry'!$Ī$30), "", 'Data Entry'!$Ī$30)</f>
      </c>
      <c r="IA30">
        <f>IF(ISBLANK('Data Entry'!$ī$30), "", 'Data Entry'!$ī$30)</f>
      </c>
      <c r="IB30">
        <f>IF(ISBLANK('Data Entry'!$Ĭ$30), "", 'Data Entry'!$Ĭ$30)</f>
      </c>
      <c r="IC30">
        <f>IF(ISBLANK('Data Entry'!$ĭ$30), "", 'Data Entry'!$ĭ$30)</f>
      </c>
      <c r="ID30">
        <f>IF(ISBLANK('Data Entry'!$Į$30), "", 'Data Entry'!$Į$30)</f>
      </c>
      <c r="IE30">
        <f>IF(ISBLANK('Data Entry'!$į$30), "", 'Data Entry'!$į$30)</f>
      </c>
      <c r="IF30">
        <f>IF(ISBLANK('Data Entry'!$İ$30), "", 'Data Entry'!$İ$30)</f>
      </c>
      <c r="IG30">
        <f>IF(ISBLANK('Data Entry'!$ı$30), "", 'Data Entry'!$ı$30)</f>
      </c>
      <c r="IH30">
        <f>IF(ISBLANK('Data Entry'!$Ĳ$30), "", 'Data Entry'!$Ĳ$30)</f>
      </c>
      <c r="II30">
        <f>IF(ISBLANK('Data Entry'!$ĳ$30), "", 'Data Entry'!$ĳ$30)</f>
      </c>
      <c r="IJ30">
        <f>IF(ISBLANK('Data Entry'!$Ĵ$30), "", 'Data Entry'!$Ĵ$30)</f>
      </c>
      <c r="IK30">
        <f>IF(ISBLANK('Data Entry'!$ĵ$30), "", 'Data Entry'!$ĵ$30)</f>
      </c>
      <c r="IL30">
        <f>IF(ISBLANK('Data Entry'!$Ķ$30), "", 'Data Entry'!$Ķ$30)</f>
      </c>
      <c r="IM30">
        <f>IF(ISBLANK('Data Entry'!$ķ$30), "", 'Data Entry'!$ķ$30)</f>
      </c>
      <c r="IN30">
        <f>IF(ISBLANK('Data Entry'!$ĸ$30), "", 'Data Entry'!$ĸ$30)</f>
      </c>
      <c r="IO30">
        <f>IF(ISBLANK('Data Entry'!$Ĺ$30), "", 'Data Entry'!$Ĺ$30)</f>
      </c>
      <c r="IP30">
        <f>IF(ISBLANK('Data Entry'!$ĺ$30), "", 'Data Entry'!$ĺ$30)</f>
      </c>
      <c r="IQ30">
        <f>IF(ISBLANK('Data Entry'!$Ļ$30), "", 'Data Entry'!$Ļ$30)</f>
      </c>
      <c r="IR30">
        <f>IF(ISBLANK('Data Entry'!$ļ$30), "", 'Data Entry'!$ļ$30)</f>
      </c>
      <c r="IS30">
        <f>IF(ISBLANK('Data Entry'!$Ľ$30), "", 'Data Entry'!$Ľ$30)</f>
      </c>
      <c r="IT30">
        <f>IF(ISBLANK('Data Entry'!$ľ$30), "", 'Data Entry'!$ľ$30)</f>
      </c>
    </row>
    <row r="31" spans="1:254" x14ac:dyDescent="0.25">
      <c r="A31">
        <f>IF(ISBLANK('Data Entry'!$A$31), "", 'Data Entry'!$A$31)</f>
      </c>
      <c r="B31">
        <f>IF(ISBLANK('Data Entry'!$B$31), "", 'Data Entry'!$B$31)</f>
      </c>
      <c r="C31">
        <f>IF(ISBLANK('Data Entry'!$C$31), "", 'Data Entry'!$C$31)</f>
      </c>
      <c r="D31">
        <f>IF(ISBLANK('Data Entry'!$D$31), "", 'Data Entry'!$D$31)</f>
      </c>
      <c r="E31">
        <f>IF(ISBLANK('Data Entry'!$E$31), "", 'Data Entry'!$E$31)</f>
      </c>
      <c r="F31">
        <f>IF(ISBLANK('Data Entry'!$F$31), "", 'Data Entry'!$F$31)</f>
      </c>
      <c r="G31">
        <f>IF(ISBLANK('Data Entry'!$G$31), "", 'Data Entry'!$G$31)</f>
      </c>
      <c r="H31">
        <f>IF(ISBLANK('Data Entry'!$H$31), "", 'Data Entry'!$H$31)</f>
      </c>
      <c r="I31">
        <f>IF(ISBLANK('Data Entry'!$I$31), "", 'Data Entry'!$I$31)</f>
      </c>
      <c r="J31">
        <f>IF(ISBLANK('Data Entry'!$J$31), "", 'Data Entry'!$J$31)</f>
      </c>
      <c r="K31">
        <f>IF(ISBLANK('Data Entry'!$K$31), "", 'Data Entry'!$K$31)</f>
      </c>
      <c r="L31">
        <f>IF(ISBLANK('Data Entry'!$L$31), "", 'Data Entry'!$L$31)</f>
      </c>
      <c r="M31">
        <f>IF(ISBLANK('Data Entry'!$M$31), "", 'Data Entry'!$M$31)</f>
      </c>
      <c r="N31">
        <f>IF(ISBLANK('Data Entry'!$N$31), "", 'Data Entry'!$N$31)</f>
      </c>
      <c r="O31">
        <f>IF(ISBLANK('Data Entry'!$O$31), "", 'Data Entry'!$O$31)</f>
      </c>
      <c r="P31">
        <f>IF(ISBLANK('Data Entry'!$P$31), "", 'Data Entry'!$P$31)</f>
      </c>
      <c r="Q31">
        <f>IF(ISBLANK('Data Entry'!$Q$31), "", 'Data Entry'!$Q$31)</f>
      </c>
      <c r="R31">
        <f>IF(ISBLANK('Data Entry'!$R$31), "", 'Data Entry'!$R$31)</f>
      </c>
      <c r="S31">
        <f>IF(ISBLANK('Data Entry'!$S$31), "", 'Data Entry'!$S$31)</f>
      </c>
      <c r="T31">
        <f>IF(ISBLANK('Data Entry'!$T$31), "", 'Data Entry'!$T$31)</f>
      </c>
      <c r="U31">
        <f>IF(ISBLANK('Data Entry'!$U$31), "", 'Data Entry'!$U$31)</f>
      </c>
      <c r="V31">
        <f>IF(ISBLANK('Data Entry'!$V$31), "", 'Data Entry'!$V$31)</f>
      </c>
      <c r="W31">
        <f>IF(ISBLANK('Data Entry'!$W$31), "", 'Data Entry'!$W$31)</f>
      </c>
      <c r="X31">
        <f>IF(ISBLANK('Data Entry'!$X$31), "", 'Data Entry'!$X$31)</f>
      </c>
      <c r="Y31">
        <f>IF(ISBLANK('Data Entry'!$Y$31), "", 'Data Entry'!$Y$31)</f>
      </c>
      <c r="Z31">
        <f>IF(ISBLANK('Data Entry'!$Z$31), "", 'Data Entry'!$Z$31)</f>
      </c>
      <c r="AA31">
        <f>IF(ISBLANK('Data Entry'!$[$31), "", 'Data Entry'!$[$31)</f>
      </c>
      <c r="AB31">
        <f>IF(ISBLANK('Data Entry'!$\$31), "", 'Data Entry'!$\$31)</f>
      </c>
      <c r="AC31">
        <f>IF(ISBLANK('Data Entry'!$]$31), "", 'Data Entry'!$]$31)</f>
      </c>
      <c r="AD31">
        <f>IF(ISBLANK('Data Entry'!$^$31), "", 'Data Entry'!$^$31)</f>
      </c>
      <c r="AE31">
        <f>IF(ISBLANK('Data Entry'!$_$31), "", 'Data Entry'!$_$31)</f>
      </c>
      <c r="AF31">
        <f>IF(ISBLANK('Data Entry'!$`$31), "", 'Data Entry'!$`$31)</f>
      </c>
      <c r="AG31">
        <f>IF(ISBLANK('Data Entry'!$a$31), "", 'Data Entry'!$a$31)</f>
      </c>
      <c r="AH31">
        <f>IF(ISBLANK('Data Entry'!$b$31), "", 'Data Entry'!$b$31)</f>
      </c>
      <c r="AI31">
        <f>IF(ISBLANK('Data Entry'!$c$31), "", 'Data Entry'!$c$31)</f>
      </c>
      <c r="AJ31">
        <f>IF(ISBLANK('Data Entry'!$d$31), "", 'Data Entry'!$d$31)</f>
      </c>
      <c r="AK31">
        <f>IF(ISBLANK('Data Entry'!$e$31), "", 'Data Entry'!$e$31)</f>
      </c>
      <c r="AL31">
        <f>IF(ISBLANK('Data Entry'!$f$31), "", 'Data Entry'!$f$31)</f>
      </c>
      <c r="AM31">
        <f>IF(ISBLANK('Data Entry'!$g$31), "", 'Data Entry'!$g$31)</f>
      </c>
      <c r="AN31">
        <f>IF(ISBLANK('Data Entry'!$h$31), "", 'Data Entry'!$h$31)</f>
      </c>
      <c r="AO31">
        <f>IF(ISBLANK('Data Entry'!$i$31), "", 'Data Entry'!$i$31)</f>
      </c>
      <c r="AP31">
        <f>IF(ISBLANK('Data Entry'!$j$31), "", 'Data Entry'!$j$31)</f>
      </c>
      <c r="AQ31">
        <f>IF(ISBLANK('Data Entry'!$k$31), "", 'Data Entry'!$k$31)</f>
      </c>
      <c r="AR31">
        <f>IF(ISBLANK('Data Entry'!$l$31), "", 'Data Entry'!$l$31)</f>
      </c>
      <c r="AS31">
        <f>IF(ISBLANK('Data Entry'!$m$31), "", 'Data Entry'!$m$31)</f>
      </c>
      <c r="AT31">
        <f>IF(ISBLANK('Data Entry'!$n$31), "", 'Data Entry'!$n$31)</f>
      </c>
      <c r="AU31">
        <f>IF(ISBLANK('Data Entry'!$o$31), "", 'Data Entry'!$o$31)</f>
      </c>
      <c r="AV31">
        <f>IF(ISBLANK('Data Entry'!$p$31), "", 'Data Entry'!$p$31)</f>
      </c>
      <c r="AW31">
        <f>IF(ISBLANK('Data Entry'!$q$31), "", 'Data Entry'!$q$31)</f>
      </c>
      <c r="AX31">
        <f>IF(ISBLANK('Data Entry'!$r$31), "", 'Data Entry'!$r$31)</f>
      </c>
      <c r="AY31">
        <f>IF(ISBLANK('Data Entry'!$s$31), "", 'Data Entry'!$s$31)</f>
      </c>
      <c r="AZ31">
        <f>IF(ISBLANK('Data Entry'!$t$31), "", 'Data Entry'!$t$31)</f>
      </c>
      <c r="BA31">
        <f>IF(ISBLANK('Data Entry'!$u$31), "", 'Data Entry'!$u$31)</f>
      </c>
      <c r="BB31">
        <f>IF(ISBLANK('Data Entry'!$v$31), "", 'Data Entry'!$v$31)</f>
      </c>
      <c r="BC31">
        <f>IF(ISBLANK('Data Entry'!$w$31), "", 'Data Entry'!$w$31)</f>
      </c>
      <c r="BD31">
        <f>IF(ISBLANK('Data Entry'!$x$31), "", 'Data Entry'!$x$31)</f>
      </c>
      <c r="BE31">
        <f>IF(ISBLANK('Data Entry'!$y$31), "", 'Data Entry'!$y$31)</f>
      </c>
      <c r="BF31">
        <f>IF(ISBLANK('Data Entry'!$z$31), "", 'Data Entry'!$z$31)</f>
      </c>
      <c r="BG31">
        <f>IF(ISBLANK('Data Entry'!${$31), "", 'Data Entry'!${$31)</f>
      </c>
      <c r="BH31">
        <f>IF(ISBLANK('Data Entry'!$|$31), "", 'Data Entry'!$|$31)</f>
      </c>
      <c r="BI31">
        <f>IF(ISBLANK('Data Entry'!$}$31), "", 'Data Entry'!$}$31)</f>
      </c>
      <c r="BJ31">
        <f>IF(ISBLANK('Data Entry'!$~$31), "", 'Data Entry'!$~$31)</f>
      </c>
      <c r="BK31">
        <f>IF(ISBLANK('Data Entry'!$$31), "", 'Data Entry'!$$31)</f>
      </c>
      <c r="BL31">
        <f>IF(ISBLANK('Data Entry'!$$31), "", 'Data Entry'!$$31)</f>
      </c>
      <c r="BM31">
        <f>IF(ISBLANK('Data Entry'!$$31), "", 'Data Entry'!$$31)</f>
      </c>
      <c r="BN31">
        <f>IF(ISBLANK('Data Entry'!$$31), "", 'Data Entry'!$$31)</f>
      </c>
      <c r="BO31">
        <f>IF(ISBLANK('Data Entry'!$$31), "", 'Data Entry'!$$31)</f>
      </c>
      <c r="BP31">
        <f>IF(ISBLANK('Data Entry'!$$31), "", 'Data Entry'!$$31)</f>
      </c>
      <c r="BQ31">
        <f>IF(ISBLANK('Data Entry'!$$31), "", 'Data Entry'!$$31)</f>
      </c>
      <c r="BR31">
        <f>IF(ISBLANK('Data Entry'!$$31), "", 'Data Entry'!$$31)</f>
      </c>
      <c r="BS31">
        <f>IF(ISBLANK('Data Entry'!$$31), "", 'Data Entry'!$$31)</f>
      </c>
      <c r="BT31">
        <f>IF(ISBLANK('Data Entry'!$$31), "", 'Data Entry'!$$31)</f>
      </c>
      <c r="BU31">
        <f>IF(ISBLANK('Data Entry'!$$31), "", 'Data Entry'!$$31)</f>
      </c>
      <c r="BV31">
        <f>IF(ISBLANK('Data Entry'!$$31), "", 'Data Entry'!$$31)</f>
      </c>
      <c r="BW31">
        <f>IF(ISBLANK('Data Entry'!$$31), "", 'Data Entry'!$$31)</f>
      </c>
      <c r="BX31">
        <f>IF(ISBLANK('Data Entry'!$$31), "", 'Data Entry'!$$31)</f>
      </c>
      <c r="BY31">
        <f>IF(ISBLANK('Data Entry'!$$31), "", 'Data Entry'!$$31)</f>
      </c>
      <c r="BZ31">
        <f>IF(ISBLANK('Data Entry'!$$31), "", 'Data Entry'!$$31)</f>
      </c>
      <c r="CA31">
        <f>IF(ISBLANK('Data Entry'!$$31), "", 'Data Entry'!$$31)</f>
      </c>
      <c r="CB31">
        <f>IF(ISBLANK('Data Entry'!$$31), "", 'Data Entry'!$$31)</f>
      </c>
      <c r="CC31">
        <f>IF(ISBLANK('Data Entry'!$$31), "", 'Data Entry'!$$31)</f>
      </c>
      <c r="CD31">
        <f>IF(ISBLANK('Data Entry'!$$31), "", 'Data Entry'!$$31)</f>
      </c>
      <c r="CE31">
        <f>IF(ISBLANK('Data Entry'!$$31), "", 'Data Entry'!$$31)</f>
      </c>
      <c r="CF31">
        <f>IF(ISBLANK('Data Entry'!$$31), "", 'Data Entry'!$$31)</f>
      </c>
      <c r="CG31">
        <f>IF(ISBLANK('Data Entry'!$$31), "", 'Data Entry'!$$31)</f>
      </c>
      <c r="CH31">
        <f>IF(ISBLANK('Data Entry'!$$31), "", 'Data Entry'!$$31)</f>
      </c>
      <c r="CI31">
        <f>IF(ISBLANK('Data Entry'!$$31), "", 'Data Entry'!$$31)</f>
      </c>
      <c r="CJ31">
        <f>IF(ISBLANK('Data Entry'!$$31), "", 'Data Entry'!$$31)</f>
      </c>
      <c r="CK31">
        <f>IF(ISBLANK('Data Entry'!$$31), "", 'Data Entry'!$$31)</f>
      </c>
      <c r="CL31">
        <f>IF(ISBLANK('Data Entry'!$$31), "", 'Data Entry'!$$31)</f>
      </c>
      <c r="CM31">
        <f>IF(ISBLANK('Data Entry'!$$31), "", 'Data Entry'!$$31)</f>
      </c>
      <c r="CN31">
        <f>IF(ISBLANK('Data Entry'!$$31), "", 'Data Entry'!$$31)</f>
      </c>
      <c r="CO31">
        <f>IF(ISBLANK('Data Entry'!$$31), "", 'Data Entry'!$$31)</f>
      </c>
      <c r="CP31">
        <f>IF(ISBLANK('Data Entry'!$$31), "", 'Data Entry'!$$31)</f>
      </c>
      <c r="CQ31">
        <f>IF(ISBLANK('Data Entry'!$$31), "", 'Data Entry'!$$31)</f>
      </c>
      <c r="CR31">
        <f>IF(ISBLANK('Data Entry'!$ $31), "", 'Data Entry'!$ $31)</f>
      </c>
      <c r="CS31">
        <f>IF(ISBLANK('Data Entry'!$¡$31), "", 'Data Entry'!$¡$31)</f>
      </c>
      <c r="CT31">
        <f>IF(ISBLANK('Data Entry'!$¢$31), "", 'Data Entry'!$¢$31)</f>
      </c>
      <c r="CU31">
        <f>IF(ISBLANK('Data Entry'!$£$31), "", 'Data Entry'!$£$31)</f>
      </c>
      <c r="CV31">
        <f>IF(ISBLANK('Data Entry'!$¤$31), "", 'Data Entry'!$¤$31)</f>
      </c>
      <c r="CW31">
        <f>IF(ISBLANK('Data Entry'!$¥$31), "", 'Data Entry'!$¥$31)</f>
      </c>
      <c r="CX31">
        <f>IF(ISBLANK('Data Entry'!$¦$31), "", 'Data Entry'!$¦$31)</f>
      </c>
      <c r="CY31">
        <f>IF(ISBLANK('Data Entry'!$§$31), "", 'Data Entry'!$§$31)</f>
      </c>
      <c r="CZ31">
        <f>IF(ISBLANK('Data Entry'!$¨$31), "", 'Data Entry'!$¨$31)</f>
      </c>
      <c r="DA31">
        <f>IF(ISBLANK('Data Entry'!$©$31), "", 'Data Entry'!$©$31)</f>
      </c>
      <c r="DB31">
        <f>IF(ISBLANK('Data Entry'!$ª$31), "", 'Data Entry'!$ª$31)</f>
      </c>
      <c r="DC31">
        <f>IF(ISBLANK('Data Entry'!$«$31), "", 'Data Entry'!$«$31)</f>
      </c>
      <c r="DD31">
        <f>IF(ISBLANK('Data Entry'!$¬$31), "", 'Data Entry'!$¬$31)</f>
      </c>
      <c r="DE31">
        <f>IF(ISBLANK('Data Entry'!$­$31), "", 'Data Entry'!$­$31)</f>
      </c>
      <c r="DF31">
        <f>IF(ISBLANK('Data Entry'!$®$31), "", 'Data Entry'!$®$31)</f>
      </c>
      <c r="DG31">
        <f>IF(ISBLANK('Data Entry'!$¯$31), "", 'Data Entry'!$¯$31)</f>
      </c>
      <c r="DH31">
        <f>IF(ISBLANK('Data Entry'!$°$31), "", 'Data Entry'!$°$31)</f>
      </c>
      <c r="DI31">
        <f>IF(ISBLANK('Data Entry'!$±$31), "", 'Data Entry'!$±$31)</f>
      </c>
      <c r="DJ31">
        <f>IF(ISBLANK('Data Entry'!$²$31), "", 'Data Entry'!$²$31)</f>
      </c>
      <c r="DK31">
        <f>IF(ISBLANK('Data Entry'!$³$31), "", 'Data Entry'!$³$31)</f>
      </c>
      <c r="DL31">
        <f>IF(ISBLANK('Data Entry'!$´$31), "", 'Data Entry'!$´$31)</f>
      </c>
      <c r="DM31">
        <f>IF(ISBLANK('Data Entry'!$µ$31), "", 'Data Entry'!$µ$31)</f>
      </c>
      <c r="DN31">
        <f>IF(ISBLANK('Data Entry'!$¶$31), "", 'Data Entry'!$¶$31)</f>
      </c>
      <c r="DO31">
        <f>IF(ISBLANK('Data Entry'!$·$31), "", 'Data Entry'!$·$31)</f>
      </c>
      <c r="DP31">
        <f>IF(ISBLANK('Data Entry'!$¸$31), "", 'Data Entry'!$¸$31)</f>
      </c>
      <c r="DQ31">
        <f>IF(ISBLANK('Data Entry'!$¹$31), "", 'Data Entry'!$¹$31)</f>
      </c>
      <c r="DR31">
        <f>IF(ISBLANK('Data Entry'!$º$31), "", 'Data Entry'!$º$31)</f>
      </c>
      <c r="DS31">
        <f>IF(ISBLANK('Data Entry'!$»$31), "", 'Data Entry'!$»$31)</f>
      </c>
      <c r="DT31">
        <f>IF(ISBLANK('Data Entry'!$¼$31), "", 'Data Entry'!$¼$31)</f>
      </c>
      <c r="DU31">
        <f>IF(ISBLANK('Data Entry'!$½$31), "", 'Data Entry'!$½$31)</f>
      </c>
      <c r="DV31">
        <f>IF(ISBLANK('Data Entry'!$¾$31), "", 'Data Entry'!$¾$31)</f>
      </c>
      <c r="DW31">
        <f>IF(ISBLANK('Data Entry'!$¿$31), "", 'Data Entry'!$¿$31)</f>
      </c>
      <c r="DX31">
        <f>IF(ISBLANK('Data Entry'!$À$31), "", 'Data Entry'!$À$31)</f>
      </c>
      <c r="DY31">
        <f>IF(ISBLANK('Data Entry'!$Á$31), "", 'Data Entry'!$Á$31)</f>
      </c>
      <c r="DZ31">
        <f>IF(ISBLANK('Data Entry'!$Â$31), "", 'Data Entry'!$Â$31)</f>
      </c>
      <c r="EA31">
        <f>IF(ISBLANK('Data Entry'!$Ã$31), "", 'Data Entry'!$Ã$31)</f>
      </c>
      <c r="EB31">
        <f>IF(ISBLANK('Data Entry'!$Ä$31), "", 'Data Entry'!$Ä$31)</f>
      </c>
      <c r="EC31">
        <f>IF(ISBLANK('Data Entry'!$Å$31), "", 'Data Entry'!$Å$31)</f>
      </c>
      <c r="ED31">
        <f>IF(ISBLANK('Data Entry'!$Æ$31), "", 'Data Entry'!$Æ$31)</f>
      </c>
      <c r="EE31">
        <f>IF(ISBLANK('Data Entry'!$Ç$31), "", 'Data Entry'!$Ç$31)</f>
      </c>
      <c r="EF31">
        <f>IF(ISBLANK('Data Entry'!$È$31), "", 'Data Entry'!$È$31)</f>
      </c>
      <c r="EG31">
        <f>IF(ISBLANK('Data Entry'!$É$31), "", 'Data Entry'!$É$31)</f>
      </c>
      <c r="EH31">
        <f>IF(ISBLANK('Data Entry'!$Ê$31), "", 'Data Entry'!$Ê$31)</f>
      </c>
      <c r="EI31">
        <f>IF(ISBLANK('Data Entry'!$Ë$31), "", 'Data Entry'!$Ë$31)</f>
      </c>
      <c r="EJ31">
        <f>IF(ISBLANK('Data Entry'!$Ì$31), "", 'Data Entry'!$Ì$31)</f>
      </c>
      <c r="EK31">
        <f>IF(ISBLANK('Data Entry'!$Í$31), "", 'Data Entry'!$Í$31)</f>
      </c>
      <c r="EL31">
        <f>IF(ISBLANK('Data Entry'!$Î$31), "", 'Data Entry'!$Î$31)</f>
      </c>
      <c r="EM31">
        <f>IF(ISBLANK('Data Entry'!$Ï$31), "", 'Data Entry'!$Ï$31)</f>
      </c>
      <c r="EN31">
        <f>IF(ISBLANK('Data Entry'!$Ð$31), "", 'Data Entry'!$Ð$31)</f>
      </c>
      <c r="EO31">
        <f>IF(ISBLANK('Data Entry'!$Ñ$31), "", 'Data Entry'!$Ñ$31)</f>
      </c>
      <c r="EP31">
        <f>IF(ISBLANK('Data Entry'!$Ò$31), "", 'Data Entry'!$Ò$31)</f>
      </c>
      <c r="EQ31">
        <f>IF(ISBLANK('Data Entry'!$Ó$31), "", 'Data Entry'!$Ó$31)</f>
      </c>
      <c r="ER31">
        <f>IF(ISBLANK('Data Entry'!$Ô$31), "", 'Data Entry'!$Ô$31)</f>
      </c>
      <c r="ES31">
        <f>IF(ISBLANK('Data Entry'!$Õ$31), "", 'Data Entry'!$Õ$31)</f>
      </c>
      <c r="ET31">
        <f>IF(ISBLANK('Data Entry'!$Ö$31), "", 'Data Entry'!$Ö$31)</f>
      </c>
      <c r="EU31">
        <f>IF(ISBLANK('Data Entry'!$×$31), "", 'Data Entry'!$×$31)</f>
      </c>
      <c r="EV31">
        <f>IF(ISBLANK('Data Entry'!$Ø$31), "", 'Data Entry'!$Ø$31)</f>
      </c>
      <c r="EW31">
        <f>IF(ISBLANK('Data Entry'!$Ù$31), "", 'Data Entry'!$Ù$31)</f>
      </c>
      <c r="EX31">
        <f>IF(ISBLANK('Data Entry'!$Ú$31), "", 'Data Entry'!$Ú$31)</f>
      </c>
      <c r="EY31">
        <f>IF(ISBLANK('Data Entry'!$Û$31), "", 'Data Entry'!$Û$31)</f>
      </c>
      <c r="EZ31">
        <f>IF(ISBLANK('Data Entry'!$Ü$31), "", 'Data Entry'!$Ü$31)</f>
      </c>
      <c r="FA31">
        <f>IF(ISBLANK('Data Entry'!$Ý$31), "", 'Data Entry'!$Ý$31)</f>
      </c>
      <c r="FB31">
        <f>IF(ISBLANK('Data Entry'!$Þ$31), "", 'Data Entry'!$Þ$31)</f>
      </c>
      <c r="FC31">
        <f>IF(ISBLANK('Data Entry'!$ß$31), "", 'Data Entry'!$ß$31)</f>
      </c>
      <c r="FD31">
        <f>IF(ISBLANK('Data Entry'!$à$31), "", 'Data Entry'!$à$31)</f>
      </c>
      <c r="FE31">
        <f>IF(ISBLANK('Data Entry'!$á$31), "", 'Data Entry'!$á$31)</f>
      </c>
      <c r="FF31">
        <f>IF(ISBLANK('Data Entry'!$â$31), "", 'Data Entry'!$â$31)</f>
      </c>
      <c r="FG31">
        <f>IF(ISBLANK('Data Entry'!$ã$31), "", 'Data Entry'!$ã$31)</f>
      </c>
      <c r="FH31">
        <f>IF(ISBLANK('Data Entry'!$ä$31), "", 'Data Entry'!$ä$31)</f>
      </c>
      <c r="FI31">
        <f>IF(ISBLANK('Data Entry'!$å$31), "", 'Data Entry'!$å$31)</f>
      </c>
      <c r="FJ31">
        <f>IF(ISBLANK('Data Entry'!$æ$31), "", 'Data Entry'!$æ$31)</f>
      </c>
      <c r="FK31">
        <f>IF(ISBLANK('Data Entry'!$ç$31), "", 'Data Entry'!$ç$31)</f>
      </c>
      <c r="FL31">
        <f>IF(ISBLANK('Data Entry'!$è$31), "", 'Data Entry'!$è$31)</f>
      </c>
      <c r="FM31">
        <f>IF(ISBLANK('Data Entry'!$é$31), "", 'Data Entry'!$é$31)</f>
      </c>
      <c r="FN31">
        <f>IF(ISBLANK('Data Entry'!$ê$31), "", 'Data Entry'!$ê$31)</f>
      </c>
      <c r="FO31">
        <f>IF(ISBLANK('Data Entry'!$ë$31), "", 'Data Entry'!$ë$31)</f>
      </c>
      <c r="FP31">
        <f>IF(ISBLANK('Data Entry'!$ì$31), "", 'Data Entry'!$ì$31)</f>
      </c>
      <c r="FQ31">
        <f>IF(ISBLANK('Data Entry'!$í$31), "", 'Data Entry'!$í$31)</f>
      </c>
      <c r="FR31">
        <f>IF(ISBLANK('Data Entry'!$î$31), "", 'Data Entry'!$î$31)</f>
      </c>
      <c r="FS31">
        <f>IF(ISBLANK('Data Entry'!$ï$31), "", 'Data Entry'!$ï$31)</f>
      </c>
      <c r="FT31">
        <f>IF(ISBLANK('Data Entry'!$ð$31), "", 'Data Entry'!$ð$31)</f>
      </c>
      <c r="FU31">
        <f>IF(ISBLANK('Data Entry'!$ñ$31), "", 'Data Entry'!$ñ$31)</f>
      </c>
      <c r="FV31">
        <f>IF(ISBLANK('Data Entry'!$ò$31), "", 'Data Entry'!$ò$31)</f>
      </c>
      <c r="FW31">
        <f>IF(ISBLANK('Data Entry'!$ó$31), "", 'Data Entry'!$ó$31)</f>
      </c>
      <c r="FX31">
        <f>IF(ISBLANK('Data Entry'!$ô$31), "", 'Data Entry'!$ô$31)</f>
      </c>
      <c r="FY31">
        <f>IF(ISBLANK('Data Entry'!$õ$31), "", 'Data Entry'!$õ$31)</f>
      </c>
      <c r="FZ31">
        <f>IF(ISBLANK('Data Entry'!$ö$31), "", 'Data Entry'!$ö$31)</f>
      </c>
      <c r="GA31">
        <f>IF(ISBLANK('Data Entry'!$÷$31), "", 'Data Entry'!$÷$31)</f>
      </c>
      <c r="GB31">
        <f>IF(ISBLANK('Data Entry'!$ø$31), "", 'Data Entry'!$ø$31)</f>
      </c>
      <c r="GC31">
        <f>IF(ISBLANK('Data Entry'!$ù$31), "", 'Data Entry'!$ù$31)</f>
      </c>
      <c r="GD31">
        <f>IF(ISBLANK('Data Entry'!$ú$31), "", 'Data Entry'!$ú$31)</f>
      </c>
      <c r="GE31">
        <f>IF(ISBLANK('Data Entry'!$û$31), "", 'Data Entry'!$û$31)</f>
      </c>
      <c r="GF31">
        <f>IF(ISBLANK('Data Entry'!$ü$31), "", 'Data Entry'!$ü$31)</f>
      </c>
      <c r="GG31">
        <f>IF(ISBLANK('Data Entry'!$ý$31), "", 'Data Entry'!$ý$31)</f>
      </c>
      <c r="GH31">
        <f>IF(ISBLANK('Data Entry'!$þ$31), "", 'Data Entry'!$þ$31)</f>
      </c>
      <c r="GI31">
        <f>IF(ISBLANK('Data Entry'!$ÿ$31), "", 'Data Entry'!$ÿ$31)</f>
      </c>
      <c r="GJ31">
        <f>IF(ISBLANK('Data Entry'!$Ā$31), "", 'Data Entry'!$Ā$31)</f>
      </c>
      <c r="GK31">
        <f>IF(ISBLANK('Data Entry'!$ā$31), "", 'Data Entry'!$ā$31)</f>
      </c>
      <c r="GL31">
        <f>IF(ISBLANK('Data Entry'!$Ă$31), "", 'Data Entry'!$Ă$31)</f>
      </c>
      <c r="GM31">
        <f>IF(ISBLANK('Data Entry'!$ă$31), "", 'Data Entry'!$ă$31)</f>
      </c>
      <c r="GN31">
        <f>IF(ISBLANK('Data Entry'!$Ą$31), "", 'Data Entry'!$Ą$31)</f>
      </c>
      <c r="GO31">
        <f>IF(ISBLANK('Data Entry'!$ą$31), "", 'Data Entry'!$ą$31)</f>
      </c>
      <c r="GP31">
        <f>IF(ISBLANK('Data Entry'!$Ć$31), "", 'Data Entry'!$Ć$31)</f>
      </c>
      <c r="GQ31">
        <f>IF(ISBLANK('Data Entry'!$ć$31), "", 'Data Entry'!$ć$31)</f>
      </c>
      <c r="GR31">
        <f>IF(ISBLANK('Data Entry'!$Ĉ$31), "", 'Data Entry'!$Ĉ$31)</f>
      </c>
      <c r="GS31">
        <f>IF(ISBLANK('Data Entry'!$ĉ$31), "", 'Data Entry'!$ĉ$31)</f>
      </c>
      <c r="GT31">
        <f>IF(ISBLANK('Data Entry'!$Ċ$31), "", 'Data Entry'!$Ċ$31)</f>
      </c>
      <c r="GU31">
        <f>IF(ISBLANK('Data Entry'!$ċ$31), "", 'Data Entry'!$ċ$31)</f>
      </c>
      <c r="GV31">
        <f>IF(ISBLANK('Data Entry'!$Č$31), "", 'Data Entry'!$Č$31)</f>
      </c>
      <c r="GW31">
        <f>IF(ISBLANK('Data Entry'!$č$31), "", 'Data Entry'!$č$31)</f>
      </c>
      <c r="GX31">
        <f>IF(ISBLANK('Data Entry'!$Ď$31), "", 'Data Entry'!$Ď$31)</f>
      </c>
      <c r="GY31">
        <f>IF(ISBLANK('Data Entry'!$ď$31), "", 'Data Entry'!$ď$31)</f>
      </c>
      <c r="GZ31">
        <f>IF(ISBLANK('Data Entry'!$Đ$31), "", 'Data Entry'!$Đ$31)</f>
      </c>
      <c r="HA31">
        <f>IF(ISBLANK('Data Entry'!$đ$31), "", 'Data Entry'!$đ$31)</f>
      </c>
      <c r="HB31">
        <f>IF(ISBLANK('Data Entry'!$Ē$31), "", 'Data Entry'!$Ē$31)</f>
      </c>
      <c r="HC31">
        <f>IF(ISBLANK('Data Entry'!$ē$31), "", 'Data Entry'!$ē$31)</f>
      </c>
      <c r="HD31">
        <f>IF(ISBLANK('Data Entry'!$Ĕ$31), "", 'Data Entry'!$Ĕ$31)</f>
      </c>
      <c r="HE31">
        <f>IF(ISBLANK('Data Entry'!$ĕ$31), "", 'Data Entry'!$ĕ$31)</f>
      </c>
      <c r="HF31">
        <f>IF(ISBLANK('Data Entry'!$Ė$31), "", 'Data Entry'!$Ė$31)</f>
      </c>
      <c r="HG31">
        <f>IF(ISBLANK('Data Entry'!$ė$31), "", 'Data Entry'!$ė$31)</f>
      </c>
      <c r="HH31">
        <f>IF(ISBLANK('Data Entry'!$Ę$31), "", 'Data Entry'!$Ę$31)</f>
      </c>
      <c r="HI31">
        <f>IF(ISBLANK('Data Entry'!$ę$31), "", 'Data Entry'!$ę$31)</f>
      </c>
      <c r="HJ31">
        <f>IF(ISBLANK('Data Entry'!$Ě$31), "", 'Data Entry'!$Ě$31)</f>
      </c>
      <c r="HK31">
        <f>IF(ISBLANK('Data Entry'!$ě$31), "", 'Data Entry'!$ě$31)</f>
      </c>
      <c r="HL31">
        <f>IF(ISBLANK('Data Entry'!$Ĝ$31), "", 'Data Entry'!$Ĝ$31)</f>
      </c>
      <c r="HM31">
        <f>IF(ISBLANK('Data Entry'!$ĝ$31), "", 'Data Entry'!$ĝ$31)</f>
      </c>
      <c r="HN31">
        <f>IF(ISBLANK('Data Entry'!$Ğ$31), "", 'Data Entry'!$Ğ$31)</f>
      </c>
      <c r="HO31">
        <f>IF(ISBLANK('Data Entry'!$ğ$31), "", 'Data Entry'!$ğ$31)</f>
      </c>
      <c r="HP31">
        <f>IF(ISBLANK('Data Entry'!$Ġ$31), "", 'Data Entry'!$Ġ$31)</f>
      </c>
      <c r="HQ31">
        <f>IF(ISBLANK('Data Entry'!$ġ$31), "", 'Data Entry'!$ġ$31)</f>
      </c>
      <c r="HR31">
        <f>IF(ISBLANK('Data Entry'!$Ģ$31), "", 'Data Entry'!$Ģ$31)</f>
      </c>
      <c r="HS31">
        <f>IF(ISBLANK('Data Entry'!$ģ$31), "", 'Data Entry'!$ģ$31)</f>
      </c>
      <c r="HT31">
        <f>IF(ISBLANK('Data Entry'!$Ĥ$31), "", 'Data Entry'!$Ĥ$31)</f>
      </c>
      <c r="HU31">
        <f>IF(ISBLANK('Data Entry'!$ĥ$31), "", 'Data Entry'!$ĥ$31)</f>
      </c>
      <c r="HV31">
        <f>IF(ISBLANK('Data Entry'!$Ħ$31), "", 'Data Entry'!$Ħ$31)</f>
      </c>
      <c r="HW31">
        <f>IF(ISBLANK('Data Entry'!$ħ$31), "", 'Data Entry'!$ħ$31)</f>
      </c>
      <c r="HX31">
        <f>IF(ISBLANK('Data Entry'!$Ĩ$31), "", 'Data Entry'!$Ĩ$31)</f>
      </c>
      <c r="HY31">
        <f>IF(ISBLANK('Data Entry'!$ĩ$31), "", 'Data Entry'!$ĩ$31)</f>
      </c>
      <c r="HZ31">
        <f>IF(ISBLANK('Data Entry'!$Ī$31), "", 'Data Entry'!$Ī$31)</f>
      </c>
      <c r="IA31">
        <f>IF(ISBLANK('Data Entry'!$ī$31), "", 'Data Entry'!$ī$31)</f>
      </c>
      <c r="IB31">
        <f>IF(ISBLANK('Data Entry'!$Ĭ$31), "", 'Data Entry'!$Ĭ$31)</f>
      </c>
      <c r="IC31">
        <f>IF(ISBLANK('Data Entry'!$ĭ$31), "", 'Data Entry'!$ĭ$31)</f>
      </c>
      <c r="ID31">
        <f>IF(ISBLANK('Data Entry'!$Į$31), "", 'Data Entry'!$Į$31)</f>
      </c>
      <c r="IE31">
        <f>IF(ISBLANK('Data Entry'!$į$31), "", 'Data Entry'!$į$31)</f>
      </c>
      <c r="IF31">
        <f>IF(ISBLANK('Data Entry'!$İ$31), "", 'Data Entry'!$İ$31)</f>
      </c>
      <c r="IG31">
        <f>IF(ISBLANK('Data Entry'!$ı$31), "", 'Data Entry'!$ı$31)</f>
      </c>
      <c r="IH31">
        <f>IF(ISBLANK('Data Entry'!$Ĳ$31), "", 'Data Entry'!$Ĳ$31)</f>
      </c>
      <c r="II31">
        <f>IF(ISBLANK('Data Entry'!$ĳ$31), "", 'Data Entry'!$ĳ$31)</f>
      </c>
      <c r="IJ31">
        <f>IF(ISBLANK('Data Entry'!$Ĵ$31), "", 'Data Entry'!$Ĵ$31)</f>
      </c>
      <c r="IK31">
        <f>IF(ISBLANK('Data Entry'!$ĵ$31), "", 'Data Entry'!$ĵ$31)</f>
      </c>
      <c r="IL31">
        <f>IF(ISBLANK('Data Entry'!$Ķ$31), "", 'Data Entry'!$Ķ$31)</f>
      </c>
      <c r="IM31">
        <f>IF(ISBLANK('Data Entry'!$ķ$31), "", 'Data Entry'!$ķ$31)</f>
      </c>
      <c r="IN31">
        <f>IF(ISBLANK('Data Entry'!$ĸ$31), "", 'Data Entry'!$ĸ$31)</f>
      </c>
      <c r="IO31">
        <f>IF(ISBLANK('Data Entry'!$Ĺ$31), "", 'Data Entry'!$Ĺ$31)</f>
      </c>
      <c r="IP31">
        <f>IF(ISBLANK('Data Entry'!$ĺ$31), "", 'Data Entry'!$ĺ$31)</f>
      </c>
      <c r="IQ31">
        <f>IF(ISBLANK('Data Entry'!$Ļ$31), "", 'Data Entry'!$Ļ$31)</f>
      </c>
      <c r="IR31">
        <f>IF(ISBLANK('Data Entry'!$ļ$31), "", 'Data Entry'!$ļ$31)</f>
      </c>
      <c r="IS31">
        <f>IF(ISBLANK('Data Entry'!$Ľ$31), "", 'Data Entry'!$Ľ$31)</f>
      </c>
      <c r="IT31">
        <f>IF(ISBLANK('Data Entry'!$ľ$31), "", 'Data Entry'!$ľ$31)</f>
      </c>
    </row>
    <row r="32" spans="1:254" x14ac:dyDescent="0.25">
      <c r="A32">
        <f>IF(ISBLANK('Data Entry'!$A$32), "", 'Data Entry'!$A$32)</f>
      </c>
      <c r="B32">
        <f>IF(ISBLANK('Data Entry'!$B$32), "", 'Data Entry'!$B$32)</f>
      </c>
      <c r="C32">
        <f>IF(ISBLANK('Data Entry'!$C$32), "", 'Data Entry'!$C$32)</f>
      </c>
      <c r="D32">
        <f>IF(ISBLANK('Data Entry'!$D$32), "", 'Data Entry'!$D$32)</f>
      </c>
      <c r="E32">
        <f>IF(ISBLANK('Data Entry'!$E$32), "", 'Data Entry'!$E$32)</f>
      </c>
      <c r="F32">
        <f>IF(ISBLANK('Data Entry'!$F$32), "", 'Data Entry'!$F$32)</f>
      </c>
      <c r="G32">
        <f>IF(ISBLANK('Data Entry'!$G$32), "", 'Data Entry'!$G$32)</f>
      </c>
      <c r="H32">
        <f>IF(ISBLANK('Data Entry'!$H$32), "", 'Data Entry'!$H$32)</f>
      </c>
      <c r="I32">
        <f>IF(ISBLANK('Data Entry'!$I$32), "", 'Data Entry'!$I$32)</f>
      </c>
      <c r="J32">
        <f>IF(ISBLANK('Data Entry'!$J$32), "", 'Data Entry'!$J$32)</f>
      </c>
      <c r="K32">
        <f>IF(ISBLANK('Data Entry'!$K$32), "", 'Data Entry'!$K$32)</f>
      </c>
      <c r="L32">
        <f>IF(ISBLANK('Data Entry'!$L$32), "", 'Data Entry'!$L$32)</f>
      </c>
      <c r="M32">
        <f>IF(ISBLANK('Data Entry'!$M$32), "", 'Data Entry'!$M$32)</f>
      </c>
      <c r="N32">
        <f>IF(ISBLANK('Data Entry'!$N$32), "", 'Data Entry'!$N$32)</f>
      </c>
      <c r="O32">
        <f>IF(ISBLANK('Data Entry'!$O$32), "", 'Data Entry'!$O$32)</f>
      </c>
      <c r="P32">
        <f>IF(ISBLANK('Data Entry'!$P$32), "", 'Data Entry'!$P$32)</f>
      </c>
      <c r="Q32">
        <f>IF(ISBLANK('Data Entry'!$Q$32), "", 'Data Entry'!$Q$32)</f>
      </c>
      <c r="R32">
        <f>IF(ISBLANK('Data Entry'!$R$32), "", 'Data Entry'!$R$32)</f>
      </c>
      <c r="S32">
        <f>IF(ISBLANK('Data Entry'!$S$32), "", 'Data Entry'!$S$32)</f>
      </c>
      <c r="T32">
        <f>IF(ISBLANK('Data Entry'!$T$32), "", 'Data Entry'!$T$32)</f>
      </c>
      <c r="U32">
        <f>IF(ISBLANK('Data Entry'!$U$32), "", 'Data Entry'!$U$32)</f>
      </c>
      <c r="V32">
        <f>IF(ISBLANK('Data Entry'!$V$32), "", 'Data Entry'!$V$32)</f>
      </c>
      <c r="W32">
        <f>IF(ISBLANK('Data Entry'!$W$32), "", 'Data Entry'!$W$32)</f>
      </c>
      <c r="X32">
        <f>IF(ISBLANK('Data Entry'!$X$32), "", 'Data Entry'!$X$32)</f>
      </c>
      <c r="Y32">
        <f>IF(ISBLANK('Data Entry'!$Y$32), "", 'Data Entry'!$Y$32)</f>
      </c>
      <c r="Z32">
        <f>IF(ISBLANK('Data Entry'!$Z$32), "", 'Data Entry'!$Z$32)</f>
      </c>
      <c r="AA32">
        <f>IF(ISBLANK('Data Entry'!$[$32), "", 'Data Entry'!$[$32)</f>
      </c>
      <c r="AB32">
        <f>IF(ISBLANK('Data Entry'!$\$32), "", 'Data Entry'!$\$32)</f>
      </c>
      <c r="AC32">
        <f>IF(ISBLANK('Data Entry'!$]$32), "", 'Data Entry'!$]$32)</f>
      </c>
      <c r="AD32">
        <f>IF(ISBLANK('Data Entry'!$^$32), "", 'Data Entry'!$^$32)</f>
      </c>
      <c r="AE32">
        <f>IF(ISBLANK('Data Entry'!$_$32), "", 'Data Entry'!$_$32)</f>
      </c>
      <c r="AF32">
        <f>IF(ISBLANK('Data Entry'!$`$32), "", 'Data Entry'!$`$32)</f>
      </c>
      <c r="AG32">
        <f>IF(ISBLANK('Data Entry'!$a$32), "", 'Data Entry'!$a$32)</f>
      </c>
      <c r="AH32">
        <f>IF(ISBLANK('Data Entry'!$b$32), "", 'Data Entry'!$b$32)</f>
      </c>
      <c r="AI32">
        <f>IF(ISBLANK('Data Entry'!$c$32), "", 'Data Entry'!$c$32)</f>
      </c>
      <c r="AJ32">
        <f>IF(ISBLANK('Data Entry'!$d$32), "", 'Data Entry'!$d$32)</f>
      </c>
      <c r="AK32">
        <f>IF(ISBLANK('Data Entry'!$e$32), "", 'Data Entry'!$e$32)</f>
      </c>
      <c r="AL32">
        <f>IF(ISBLANK('Data Entry'!$f$32), "", 'Data Entry'!$f$32)</f>
      </c>
      <c r="AM32">
        <f>IF(ISBLANK('Data Entry'!$g$32), "", 'Data Entry'!$g$32)</f>
      </c>
      <c r="AN32">
        <f>IF(ISBLANK('Data Entry'!$h$32), "", 'Data Entry'!$h$32)</f>
      </c>
      <c r="AO32">
        <f>IF(ISBLANK('Data Entry'!$i$32), "", 'Data Entry'!$i$32)</f>
      </c>
      <c r="AP32">
        <f>IF(ISBLANK('Data Entry'!$j$32), "", 'Data Entry'!$j$32)</f>
      </c>
      <c r="AQ32">
        <f>IF(ISBLANK('Data Entry'!$k$32), "", 'Data Entry'!$k$32)</f>
      </c>
      <c r="AR32">
        <f>IF(ISBLANK('Data Entry'!$l$32), "", 'Data Entry'!$l$32)</f>
      </c>
      <c r="AS32">
        <f>IF(ISBLANK('Data Entry'!$m$32), "", 'Data Entry'!$m$32)</f>
      </c>
      <c r="AT32">
        <f>IF(ISBLANK('Data Entry'!$n$32), "", 'Data Entry'!$n$32)</f>
      </c>
      <c r="AU32">
        <f>IF(ISBLANK('Data Entry'!$o$32), "", 'Data Entry'!$o$32)</f>
      </c>
      <c r="AV32">
        <f>IF(ISBLANK('Data Entry'!$p$32), "", 'Data Entry'!$p$32)</f>
      </c>
      <c r="AW32">
        <f>IF(ISBLANK('Data Entry'!$q$32), "", 'Data Entry'!$q$32)</f>
      </c>
      <c r="AX32">
        <f>IF(ISBLANK('Data Entry'!$r$32), "", 'Data Entry'!$r$32)</f>
      </c>
      <c r="AY32">
        <f>IF(ISBLANK('Data Entry'!$s$32), "", 'Data Entry'!$s$32)</f>
      </c>
      <c r="AZ32">
        <f>IF(ISBLANK('Data Entry'!$t$32), "", 'Data Entry'!$t$32)</f>
      </c>
      <c r="BA32">
        <f>IF(ISBLANK('Data Entry'!$u$32), "", 'Data Entry'!$u$32)</f>
      </c>
      <c r="BB32">
        <f>IF(ISBLANK('Data Entry'!$v$32), "", 'Data Entry'!$v$32)</f>
      </c>
      <c r="BC32">
        <f>IF(ISBLANK('Data Entry'!$w$32), "", 'Data Entry'!$w$32)</f>
      </c>
      <c r="BD32">
        <f>IF(ISBLANK('Data Entry'!$x$32), "", 'Data Entry'!$x$32)</f>
      </c>
      <c r="BE32">
        <f>IF(ISBLANK('Data Entry'!$y$32), "", 'Data Entry'!$y$32)</f>
      </c>
      <c r="BF32">
        <f>IF(ISBLANK('Data Entry'!$z$32), "", 'Data Entry'!$z$32)</f>
      </c>
      <c r="BG32">
        <f>IF(ISBLANK('Data Entry'!${$32), "", 'Data Entry'!${$32)</f>
      </c>
      <c r="BH32">
        <f>IF(ISBLANK('Data Entry'!$|$32), "", 'Data Entry'!$|$32)</f>
      </c>
      <c r="BI32">
        <f>IF(ISBLANK('Data Entry'!$}$32), "", 'Data Entry'!$}$32)</f>
      </c>
      <c r="BJ32">
        <f>IF(ISBLANK('Data Entry'!$~$32), "", 'Data Entry'!$~$32)</f>
      </c>
      <c r="BK32">
        <f>IF(ISBLANK('Data Entry'!$$32), "", 'Data Entry'!$$32)</f>
      </c>
      <c r="BL32">
        <f>IF(ISBLANK('Data Entry'!$$32), "", 'Data Entry'!$$32)</f>
      </c>
      <c r="BM32">
        <f>IF(ISBLANK('Data Entry'!$$32), "", 'Data Entry'!$$32)</f>
      </c>
      <c r="BN32">
        <f>IF(ISBLANK('Data Entry'!$$32), "", 'Data Entry'!$$32)</f>
      </c>
      <c r="BO32">
        <f>IF(ISBLANK('Data Entry'!$$32), "", 'Data Entry'!$$32)</f>
      </c>
      <c r="BP32">
        <f>IF(ISBLANK('Data Entry'!$$32), "", 'Data Entry'!$$32)</f>
      </c>
      <c r="BQ32">
        <f>IF(ISBLANK('Data Entry'!$$32), "", 'Data Entry'!$$32)</f>
      </c>
      <c r="BR32">
        <f>IF(ISBLANK('Data Entry'!$$32), "", 'Data Entry'!$$32)</f>
      </c>
      <c r="BS32">
        <f>IF(ISBLANK('Data Entry'!$$32), "", 'Data Entry'!$$32)</f>
      </c>
      <c r="BT32">
        <f>IF(ISBLANK('Data Entry'!$$32), "", 'Data Entry'!$$32)</f>
      </c>
      <c r="BU32">
        <f>IF(ISBLANK('Data Entry'!$$32), "", 'Data Entry'!$$32)</f>
      </c>
      <c r="BV32">
        <f>IF(ISBLANK('Data Entry'!$$32), "", 'Data Entry'!$$32)</f>
      </c>
      <c r="BW32">
        <f>IF(ISBLANK('Data Entry'!$$32), "", 'Data Entry'!$$32)</f>
      </c>
      <c r="BX32">
        <f>IF(ISBLANK('Data Entry'!$$32), "", 'Data Entry'!$$32)</f>
      </c>
      <c r="BY32">
        <f>IF(ISBLANK('Data Entry'!$$32), "", 'Data Entry'!$$32)</f>
      </c>
      <c r="BZ32">
        <f>IF(ISBLANK('Data Entry'!$$32), "", 'Data Entry'!$$32)</f>
      </c>
      <c r="CA32">
        <f>IF(ISBLANK('Data Entry'!$$32), "", 'Data Entry'!$$32)</f>
      </c>
      <c r="CB32">
        <f>IF(ISBLANK('Data Entry'!$$32), "", 'Data Entry'!$$32)</f>
      </c>
      <c r="CC32">
        <f>IF(ISBLANK('Data Entry'!$$32), "", 'Data Entry'!$$32)</f>
      </c>
      <c r="CD32">
        <f>IF(ISBLANK('Data Entry'!$$32), "", 'Data Entry'!$$32)</f>
      </c>
      <c r="CE32">
        <f>IF(ISBLANK('Data Entry'!$$32), "", 'Data Entry'!$$32)</f>
      </c>
      <c r="CF32">
        <f>IF(ISBLANK('Data Entry'!$$32), "", 'Data Entry'!$$32)</f>
      </c>
      <c r="CG32">
        <f>IF(ISBLANK('Data Entry'!$$32), "", 'Data Entry'!$$32)</f>
      </c>
      <c r="CH32">
        <f>IF(ISBLANK('Data Entry'!$$32), "", 'Data Entry'!$$32)</f>
      </c>
      <c r="CI32">
        <f>IF(ISBLANK('Data Entry'!$$32), "", 'Data Entry'!$$32)</f>
      </c>
      <c r="CJ32">
        <f>IF(ISBLANK('Data Entry'!$$32), "", 'Data Entry'!$$32)</f>
      </c>
      <c r="CK32">
        <f>IF(ISBLANK('Data Entry'!$$32), "", 'Data Entry'!$$32)</f>
      </c>
      <c r="CL32">
        <f>IF(ISBLANK('Data Entry'!$$32), "", 'Data Entry'!$$32)</f>
      </c>
      <c r="CM32">
        <f>IF(ISBLANK('Data Entry'!$$32), "", 'Data Entry'!$$32)</f>
      </c>
      <c r="CN32">
        <f>IF(ISBLANK('Data Entry'!$$32), "", 'Data Entry'!$$32)</f>
      </c>
      <c r="CO32">
        <f>IF(ISBLANK('Data Entry'!$$32), "", 'Data Entry'!$$32)</f>
      </c>
      <c r="CP32">
        <f>IF(ISBLANK('Data Entry'!$$32), "", 'Data Entry'!$$32)</f>
      </c>
      <c r="CQ32">
        <f>IF(ISBLANK('Data Entry'!$$32), "", 'Data Entry'!$$32)</f>
      </c>
      <c r="CR32">
        <f>IF(ISBLANK('Data Entry'!$ $32), "", 'Data Entry'!$ $32)</f>
      </c>
      <c r="CS32">
        <f>IF(ISBLANK('Data Entry'!$¡$32), "", 'Data Entry'!$¡$32)</f>
      </c>
      <c r="CT32">
        <f>IF(ISBLANK('Data Entry'!$¢$32), "", 'Data Entry'!$¢$32)</f>
      </c>
      <c r="CU32">
        <f>IF(ISBLANK('Data Entry'!$£$32), "", 'Data Entry'!$£$32)</f>
      </c>
      <c r="CV32">
        <f>IF(ISBLANK('Data Entry'!$¤$32), "", 'Data Entry'!$¤$32)</f>
      </c>
      <c r="CW32">
        <f>IF(ISBLANK('Data Entry'!$¥$32), "", 'Data Entry'!$¥$32)</f>
      </c>
      <c r="CX32">
        <f>IF(ISBLANK('Data Entry'!$¦$32), "", 'Data Entry'!$¦$32)</f>
      </c>
      <c r="CY32">
        <f>IF(ISBLANK('Data Entry'!$§$32), "", 'Data Entry'!$§$32)</f>
      </c>
      <c r="CZ32">
        <f>IF(ISBLANK('Data Entry'!$¨$32), "", 'Data Entry'!$¨$32)</f>
      </c>
      <c r="DA32">
        <f>IF(ISBLANK('Data Entry'!$©$32), "", 'Data Entry'!$©$32)</f>
      </c>
      <c r="DB32">
        <f>IF(ISBLANK('Data Entry'!$ª$32), "", 'Data Entry'!$ª$32)</f>
      </c>
      <c r="DC32">
        <f>IF(ISBLANK('Data Entry'!$«$32), "", 'Data Entry'!$«$32)</f>
      </c>
      <c r="DD32">
        <f>IF(ISBLANK('Data Entry'!$¬$32), "", 'Data Entry'!$¬$32)</f>
      </c>
      <c r="DE32">
        <f>IF(ISBLANK('Data Entry'!$­$32), "", 'Data Entry'!$­$32)</f>
      </c>
      <c r="DF32">
        <f>IF(ISBLANK('Data Entry'!$®$32), "", 'Data Entry'!$®$32)</f>
      </c>
      <c r="DG32">
        <f>IF(ISBLANK('Data Entry'!$¯$32), "", 'Data Entry'!$¯$32)</f>
      </c>
      <c r="DH32">
        <f>IF(ISBLANK('Data Entry'!$°$32), "", 'Data Entry'!$°$32)</f>
      </c>
      <c r="DI32">
        <f>IF(ISBLANK('Data Entry'!$±$32), "", 'Data Entry'!$±$32)</f>
      </c>
      <c r="DJ32">
        <f>IF(ISBLANK('Data Entry'!$²$32), "", 'Data Entry'!$²$32)</f>
      </c>
      <c r="DK32">
        <f>IF(ISBLANK('Data Entry'!$³$32), "", 'Data Entry'!$³$32)</f>
      </c>
      <c r="DL32">
        <f>IF(ISBLANK('Data Entry'!$´$32), "", 'Data Entry'!$´$32)</f>
      </c>
      <c r="DM32">
        <f>IF(ISBLANK('Data Entry'!$µ$32), "", 'Data Entry'!$µ$32)</f>
      </c>
      <c r="DN32">
        <f>IF(ISBLANK('Data Entry'!$¶$32), "", 'Data Entry'!$¶$32)</f>
      </c>
      <c r="DO32">
        <f>IF(ISBLANK('Data Entry'!$·$32), "", 'Data Entry'!$·$32)</f>
      </c>
      <c r="DP32">
        <f>IF(ISBLANK('Data Entry'!$¸$32), "", 'Data Entry'!$¸$32)</f>
      </c>
      <c r="DQ32">
        <f>IF(ISBLANK('Data Entry'!$¹$32), "", 'Data Entry'!$¹$32)</f>
      </c>
      <c r="DR32">
        <f>IF(ISBLANK('Data Entry'!$º$32), "", 'Data Entry'!$º$32)</f>
      </c>
      <c r="DS32">
        <f>IF(ISBLANK('Data Entry'!$»$32), "", 'Data Entry'!$»$32)</f>
      </c>
      <c r="DT32">
        <f>IF(ISBLANK('Data Entry'!$¼$32), "", 'Data Entry'!$¼$32)</f>
      </c>
      <c r="DU32">
        <f>IF(ISBLANK('Data Entry'!$½$32), "", 'Data Entry'!$½$32)</f>
      </c>
      <c r="DV32">
        <f>IF(ISBLANK('Data Entry'!$¾$32), "", 'Data Entry'!$¾$32)</f>
      </c>
      <c r="DW32">
        <f>IF(ISBLANK('Data Entry'!$¿$32), "", 'Data Entry'!$¿$32)</f>
      </c>
      <c r="DX32">
        <f>IF(ISBLANK('Data Entry'!$À$32), "", 'Data Entry'!$À$32)</f>
      </c>
      <c r="DY32">
        <f>IF(ISBLANK('Data Entry'!$Á$32), "", 'Data Entry'!$Á$32)</f>
      </c>
      <c r="DZ32">
        <f>IF(ISBLANK('Data Entry'!$Â$32), "", 'Data Entry'!$Â$32)</f>
      </c>
      <c r="EA32">
        <f>IF(ISBLANK('Data Entry'!$Ã$32), "", 'Data Entry'!$Ã$32)</f>
      </c>
      <c r="EB32">
        <f>IF(ISBLANK('Data Entry'!$Ä$32), "", 'Data Entry'!$Ä$32)</f>
      </c>
      <c r="EC32">
        <f>IF(ISBLANK('Data Entry'!$Å$32), "", 'Data Entry'!$Å$32)</f>
      </c>
      <c r="ED32">
        <f>IF(ISBLANK('Data Entry'!$Æ$32), "", 'Data Entry'!$Æ$32)</f>
      </c>
      <c r="EE32">
        <f>IF(ISBLANK('Data Entry'!$Ç$32), "", 'Data Entry'!$Ç$32)</f>
      </c>
      <c r="EF32">
        <f>IF(ISBLANK('Data Entry'!$È$32), "", 'Data Entry'!$È$32)</f>
      </c>
      <c r="EG32">
        <f>IF(ISBLANK('Data Entry'!$É$32), "", 'Data Entry'!$É$32)</f>
      </c>
      <c r="EH32">
        <f>IF(ISBLANK('Data Entry'!$Ê$32), "", 'Data Entry'!$Ê$32)</f>
      </c>
      <c r="EI32">
        <f>IF(ISBLANK('Data Entry'!$Ë$32), "", 'Data Entry'!$Ë$32)</f>
      </c>
      <c r="EJ32">
        <f>IF(ISBLANK('Data Entry'!$Ì$32), "", 'Data Entry'!$Ì$32)</f>
      </c>
      <c r="EK32">
        <f>IF(ISBLANK('Data Entry'!$Í$32), "", 'Data Entry'!$Í$32)</f>
      </c>
      <c r="EL32">
        <f>IF(ISBLANK('Data Entry'!$Î$32), "", 'Data Entry'!$Î$32)</f>
      </c>
      <c r="EM32">
        <f>IF(ISBLANK('Data Entry'!$Ï$32), "", 'Data Entry'!$Ï$32)</f>
      </c>
      <c r="EN32">
        <f>IF(ISBLANK('Data Entry'!$Ð$32), "", 'Data Entry'!$Ð$32)</f>
      </c>
      <c r="EO32">
        <f>IF(ISBLANK('Data Entry'!$Ñ$32), "", 'Data Entry'!$Ñ$32)</f>
      </c>
      <c r="EP32">
        <f>IF(ISBLANK('Data Entry'!$Ò$32), "", 'Data Entry'!$Ò$32)</f>
      </c>
      <c r="EQ32">
        <f>IF(ISBLANK('Data Entry'!$Ó$32), "", 'Data Entry'!$Ó$32)</f>
      </c>
      <c r="ER32">
        <f>IF(ISBLANK('Data Entry'!$Ô$32), "", 'Data Entry'!$Ô$32)</f>
      </c>
      <c r="ES32">
        <f>IF(ISBLANK('Data Entry'!$Õ$32), "", 'Data Entry'!$Õ$32)</f>
      </c>
      <c r="ET32">
        <f>IF(ISBLANK('Data Entry'!$Ö$32), "", 'Data Entry'!$Ö$32)</f>
      </c>
      <c r="EU32">
        <f>IF(ISBLANK('Data Entry'!$×$32), "", 'Data Entry'!$×$32)</f>
      </c>
      <c r="EV32">
        <f>IF(ISBLANK('Data Entry'!$Ø$32), "", 'Data Entry'!$Ø$32)</f>
      </c>
      <c r="EW32">
        <f>IF(ISBLANK('Data Entry'!$Ù$32), "", 'Data Entry'!$Ù$32)</f>
      </c>
      <c r="EX32">
        <f>IF(ISBLANK('Data Entry'!$Ú$32), "", 'Data Entry'!$Ú$32)</f>
      </c>
      <c r="EY32">
        <f>IF(ISBLANK('Data Entry'!$Û$32), "", 'Data Entry'!$Û$32)</f>
      </c>
      <c r="EZ32">
        <f>IF(ISBLANK('Data Entry'!$Ü$32), "", 'Data Entry'!$Ü$32)</f>
      </c>
      <c r="FA32">
        <f>IF(ISBLANK('Data Entry'!$Ý$32), "", 'Data Entry'!$Ý$32)</f>
      </c>
      <c r="FB32">
        <f>IF(ISBLANK('Data Entry'!$Þ$32), "", 'Data Entry'!$Þ$32)</f>
      </c>
      <c r="FC32">
        <f>IF(ISBLANK('Data Entry'!$ß$32), "", 'Data Entry'!$ß$32)</f>
      </c>
      <c r="FD32">
        <f>IF(ISBLANK('Data Entry'!$à$32), "", 'Data Entry'!$à$32)</f>
      </c>
      <c r="FE32">
        <f>IF(ISBLANK('Data Entry'!$á$32), "", 'Data Entry'!$á$32)</f>
      </c>
      <c r="FF32">
        <f>IF(ISBLANK('Data Entry'!$â$32), "", 'Data Entry'!$â$32)</f>
      </c>
      <c r="FG32">
        <f>IF(ISBLANK('Data Entry'!$ã$32), "", 'Data Entry'!$ã$32)</f>
      </c>
      <c r="FH32">
        <f>IF(ISBLANK('Data Entry'!$ä$32), "", 'Data Entry'!$ä$32)</f>
      </c>
      <c r="FI32">
        <f>IF(ISBLANK('Data Entry'!$å$32), "", 'Data Entry'!$å$32)</f>
      </c>
      <c r="FJ32">
        <f>IF(ISBLANK('Data Entry'!$æ$32), "", 'Data Entry'!$æ$32)</f>
      </c>
      <c r="FK32">
        <f>IF(ISBLANK('Data Entry'!$ç$32), "", 'Data Entry'!$ç$32)</f>
      </c>
      <c r="FL32">
        <f>IF(ISBLANK('Data Entry'!$è$32), "", 'Data Entry'!$è$32)</f>
      </c>
      <c r="FM32">
        <f>IF(ISBLANK('Data Entry'!$é$32), "", 'Data Entry'!$é$32)</f>
      </c>
      <c r="FN32">
        <f>IF(ISBLANK('Data Entry'!$ê$32), "", 'Data Entry'!$ê$32)</f>
      </c>
      <c r="FO32">
        <f>IF(ISBLANK('Data Entry'!$ë$32), "", 'Data Entry'!$ë$32)</f>
      </c>
      <c r="FP32">
        <f>IF(ISBLANK('Data Entry'!$ì$32), "", 'Data Entry'!$ì$32)</f>
      </c>
      <c r="FQ32">
        <f>IF(ISBLANK('Data Entry'!$í$32), "", 'Data Entry'!$í$32)</f>
      </c>
      <c r="FR32">
        <f>IF(ISBLANK('Data Entry'!$î$32), "", 'Data Entry'!$î$32)</f>
      </c>
      <c r="FS32">
        <f>IF(ISBLANK('Data Entry'!$ï$32), "", 'Data Entry'!$ï$32)</f>
      </c>
      <c r="FT32">
        <f>IF(ISBLANK('Data Entry'!$ð$32), "", 'Data Entry'!$ð$32)</f>
      </c>
      <c r="FU32">
        <f>IF(ISBLANK('Data Entry'!$ñ$32), "", 'Data Entry'!$ñ$32)</f>
      </c>
      <c r="FV32">
        <f>IF(ISBLANK('Data Entry'!$ò$32), "", 'Data Entry'!$ò$32)</f>
      </c>
      <c r="FW32">
        <f>IF(ISBLANK('Data Entry'!$ó$32), "", 'Data Entry'!$ó$32)</f>
      </c>
      <c r="FX32">
        <f>IF(ISBLANK('Data Entry'!$ô$32), "", 'Data Entry'!$ô$32)</f>
      </c>
      <c r="FY32">
        <f>IF(ISBLANK('Data Entry'!$õ$32), "", 'Data Entry'!$õ$32)</f>
      </c>
      <c r="FZ32">
        <f>IF(ISBLANK('Data Entry'!$ö$32), "", 'Data Entry'!$ö$32)</f>
      </c>
      <c r="GA32">
        <f>IF(ISBLANK('Data Entry'!$÷$32), "", 'Data Entry'!$÷$32)</f>
      </c>
      <c r="GB32">
        <f>IF(ISBLANK('Data Entry'!$ø$32), "", 'Data Entry'!$ø$32)</f>
      </c>
      <c r="GC32">
        <f>IF(ISBLANK('Data Entry'!$ù$32), "", 'Data Entry'!$ù$32)</f>
      </c>
      <c r="GD32">
        <f>IF(ISBLANK('Data Entry'!$ú$32), "", 'Data Entry'!$ú$32)</f>
      </c>
      <c r="GE32">
        <f>IF(ISBLANK('Data Entry'!$û$32), "", 'Data Entry'!$û$32)</f>
      </c>
      <c r="GF32">
        <f>IF(ISBLANK('Data Entry'!$ü$32), "", 'Data Entry'!$ü$32)</f>
      </c>
      <c r="GG32">
        <f>IF(ISBLANK('Data Entry'!$ý$32), "", 'Data Entry'!$ý$32)</f>
      </c>
      <c r="GH32">
        <f>IF(ISBLANK('Data Entry'!$þ$32), "", 'Data Entry'!$þ$32)</f>
      </c>
      <c r="GI32">
        <f>IF(ISBLANK('Data Entry'!$ÿ$32), "", 'Data Entry'!$ÿ$32)</f>
      </c>
      <c r="GJ32">
        <f>IF(ISBLANK('Data Entry'!$Ā$32), "", 'Data Entry'!$Ā$32)</f>
      </c>
      <c r="GK32">
        <f>IF(ISBLANK('Data Entry'!$ā$32), "", 'Data Entry'!$ā$32)</f>
      </c>
      <c r="GL32">
        <f>IF(ISBLANK('Data Entry'!$Ă$32), "", 'Data Entry'!$Ă$32)</f>
      </c>
      <c r="GM32">
        <f>IF(ISBLANK('Data Entry'!$ă$32), "", 'Data Entry'!$ă$32)</f>
      </c>
      <c r="GN32">
        <f>IF(ISBLANK('Data Entry'!$Ą$32), "", 'Data Entry'!$Ą$32)</f>
      </c>
      <c r="GO32">
        <f>IF(ISBLANK('Data Entry'!$ą$32), "", 'Data Entry'!$ą$32)</f>
      </c>
      <c r="GP32">
        <f>IF(ISBLANK('Data Entry'!$Ć$32), "", 'Data Entry'!$Ć$32)</f>
      </c>
      <c r="GQ32">
        <f>IF(ISBLANK('Data Entry'!$ć$32), "", 'Data Entry'!$ć$32)</f>
      </c>
      <c r="GR32">
        <f>IF(ISBLANK('Data Entry'!$Ĉ$32), "", 'Data Entry'!$Ĉ$32)</f>
      </c>
      <c r="GS32">
        <f>IF(ISBLANK('Data Entry'!$ĉ$32), "", 'Data Entry'!$ĉ$32)</f>
      </c>
      <c r="GT32">
        <f>IF(ISBLANK('Data Entry'!$Ċ$32), "", 'Data Entry'!$Ċ$32)</f>
      </c>
      <c r="GU32">
        <f>IF(ISBLANK('Data Entry'!$ċ$32), "", 'Data Entry'!$ċ$32)</f>
      </c>
      <c r="GV32">
        <f>IF(ISBLANK('Data Entry'!$Č$32), "", 'Data Entry'!$Č$32)</f>
      </c>
      <c r="GW32">
        <f>IF(ISBLANK('Data Entry'!$č$32), "", 'Data Entry'!$č$32)</f>
      </c>
      <c r="GX32">
        <f>IF(ISBLANK('Data Entry'!$Ď$32), "", 'Data Entry'!$Ď$32)</f>
      </c>
      <c r="GY32">
        <f>IF(ISBLANK('Data Entry'!$ď$32), "", 'Data Entry'!$ď$32)</f>
      </c>
      <c r="GZ32">
        <f>IF(ISBLANK('Data Entry'!$Đ$32), "", 'Data Entry'!$Đ$32)</f>
      </c>
      <c r="HA32">
        <f>IF(ISBLANK('Data Entry'!$đ$32), "", 'Data Entry'!$đ$32)</f>
      </c>
      <c r="HB32">
        <f>IF(ISBLANK('Data Entry'!$Ē$32), "", 'Data Entry'!$Ē$32)</f>
      </c>
      <c r="HC32">
        <f>IF(ISBLANK('Data Entry'!$ē$32), "", 'Data Entry'!$ē$32)</f>
      </c>
      <c r="HD32">
        <f>IF(ISBLANK('Data Entry'!$Ĕ$32), "", 'Data Entry'!$Ĕ$32)</f>
      </c>
      <c r="HE32">
        <f>IF(ISBLANK('Data Entry'!$ĕ$32), "", 'Data Entry'!$ĕ$32)</f>
      </c>
      <c r="HF32">
        <f>IF(ISBLANK('Data Entry'!$Ė$32), "", 'Data Entry'!$Ė$32)</f>
      </c>
      <c r="HG32">
        <f>IF(ISBLANK('Data Entry'!$ė$32), "", 'Data Entry'!$ė$32)</f>
      </c>
      <c r="HH32">
        <f>IF(ISBLANK('Data Entry'!$Ę$32), "", 'Data Entry'!$Ę$32)</f>
      </c>
      <c r="HI32">
        <f>IF(ISBLANK('Data Entry'!$ę$32), "", 'Data Entry'!$ę$32)</f>
      </c>
      <c r="HJ32">
        <f>IF(ISBLANK('Data Entry'!$Ě$32), "", 'Data Entry'!$Ě$32)</f>
      </c>
      <c r="HK32">
        <f>IF(ISBLANK('Data Entry'!$ě$32), "", 'Data Entry'!$ě$32)</f>
      </c>
      <c r="HL32">
        <f>IF(ISBLANK('Data Entry'!$Ĝ$32), "", 'Data Entry'!$Ĝ$32)</f>
      </c>
      <c r="HM32">
        <f>IF(ISBLANK('Data Entry'!$ĝ$32), "", 'Data Entry'!$ĝ$32)</f>
      </c>
      <c r="HN32">
        <f>IF(ISBLANK('Data Entry'!$Ğ$32), "", 'Data Entry'!$Ğ$32)</f>
      </c>
      <c r="HO32">
        <f>IF(ISBLANK('Data Entry'!$ğ$32), "", 'Data Entry'!$ğ$32)</f>
      </c>
      <c r="HP32">
        <f>IF(ISBLANK('Data Entry'!$Ġ$32), "", 'Data Entry'!$Ġ$32)</f>
      </c>
      <c r="HQ32">
        <f>IF(ISBLANK('Data Entry'!$ġ$32), "", 'Data Entry'!$ġ$32)</f>
      </c>
      <c r="HR32">
        <f>IF(ISBLANK('Data Entry'!$Ģ$32), "", 'Data Entry'!$Ģ$32)</f>
      </c>
      <c r="HS32">
        <f>IF(ISBLANK('Data Entry'!$ģ$32), "", 'Data Entry'!$ģ$32)</f>
      </c>
      <c r="HT32">
        <f>IF(ISBLANK('Data Entry'!$Ĥ$32), "", 'Data Entry'!$Ĥ$32)</f>
      </c>
      <c r="HU32">
        <f>IF(ISBLANK('Data Entry'!$ĥ$32), "", 'Data Entry'!$ĥ$32)</f>
      </c>
      <c r="HV32">
        <f>IF(ISBLANK('Data Entry'!$Ħ$32), "", 'Data Entry'!$Ħ$32)</f>
      </c>
      <c r="HW32">
        <f>IF(ISBLANK('Data Entry'!$ħ$32), "", 'Data Entry'!$ħ$32)</f>
      </c>
      <c r="HX32">
        <f>IF(ISBLANK('Data Entry'!$Ĩ$32), "", 'Data Entry'!$Ĩ$32)</f>
      </c>
      <c r="HY32">
        <f>IF(ISBLANK('Data Entry'!$ĩ$32), "", 'Data Entry'!$ĩ$32)</f>
      </c>
      <c r="HZ32">
        <f>IF(ISBLANK('Data Entry'!$Ī$32), "", 'Data Entry'!$Ī$32)</f>
      </c>
      <c r="IA32">
        <f>IF(ISBLANK('Data Entry'!$ī$32), "", 'Data Entry'!$ī$32)</f>
      </c>
      <c r="IB32">
        <f>IF(ISBLANK('Data Entry'!$Ĭ$32), "", 'Data Entry'!$Ĭ$32)</f>
      </c>
      <c r="IC32">
        <f>IF(ISBLANK('Data Entry'!$ĭ$32), "", 'Data Entry'!$ĭ$32)</f>
      </c>
      <c r="ID32">
        <f>IF(ISBLANK('Data Entry'!$Į$32), "", 'Data Entry'!$Į$32)</f>
      </c>
      <c r="IE32">
        <f>IF(ISBLANK('Data Entry'!$į$32), "", 'Data Entry'!$į$32)</f>
      </c>
      <c r="IF32">
        <f>IF(ISBLANK('Data Entry'!$İ$32), "", 'Data Entry'!$İ$32)</f>
      </c>
      <c r="IG32">
        <f>IF(ISBLANK('Data Entry'!$ı$32), "", 'Data Entry'!$ı$32)</f>
      </c>
      <c r="IH32">
        <f>IF(ISBLANK('Data Entry'!$Ĳ$32), "", 'Data Entry'!$Ĳ$32)</f>
      </c>
      <c r="II32">
        <f>IF(ISBLANK('Data Entry'!$ĳ$32), "", 'Data Entry'!$ĳ$32)</f>
      </c>
      <c r="IJ32">
        <f>IF(ISBLANK('Data Entry'!$Ĵ$32), "", 'Data Entry'!$Ĵ$32)</f>
      </c>
      <c r="IK32">
        <f>IF(ISBLANK('Data Entry'!$ĵ$32), "", 'Data Entry'!$ĵ$32)</f>
      </c>
      <c r="IL32">
        <f>IF(ISBLANK('Data Entry'!$Ķ$32), "", 'Data Entry'!$Ķ$32)</f>
      </c>
      <c r="IM32">
        <f>IF(ISBLANK('Data Entry'!$ķ$32), "", 'Data Entry'!$ķ$32)</f>
      </c>
      <c r="IN32">
        <f>IF(ISBLANK('Data Entry'!$ĸ$32), "", 'Data Entry'!$ĸ$32)</f>
      </c>
      <c r="IO32">
        <f>IF(ISBLANK('Data Entry'!$Ĺ$32), "", 'Data Entry'!$Ĺ$32)</f>
      </c>
      <c r="IP32">
        <f>IF(ISBLANK('Data Entry'!$ĺ$32), "", 'Data Entry'!$ĺ$32)</f>
      </c>
      <c r="IQ32">
        <f>IF(ISBLANK('Data Entry'!$Ļ$32), "", 'Data Entry'!$Ļ$32)</f>
      </c>
      <c r="IR32">
        <f>IF(ISBLANK('Data Entry'!$ļ$32), "", 'Data Entry'!$ļ$32)</f>
      </c>
      <c r="IS32">
        <f>IF(ISBLANK('Data Entry'!$Ľ$32), "", 'Data Entry'!$Ľ$32)</f>
      </c>
      <c r="IT32">
        <f>IF(ISBLANK('Data Entry'!$ľ$32), "", 'Data Entry'!$ľ$32)</f>
      </c>
    </row>
    <row r="33" spans="1:254" x14ac:dyDescent="0.25">
      <c r="A33">
        <f>IF(ISBLANK('Data Entry'!$A$33), "", 'Data Entry'!$A$33)</f>
      </c>
      <c r="B33">
        <f>IF(ISBLANK('Data Entry'!$B$33), "", 'Data Entry'!$B$33)</f>
      </c>
      <c r="C33">
        <f>IF(ISBLANK('Data Entry'!$C$33), "", 'Data Entry'!$C$33)</f>
      </c>
      <c r="D33">
        <f>IF(ISBLANK('Data Entry'!$D$33), "", 'Data Entry'!$D$33)</f>
      </c>
      <c r="E33">
        <f>IF(ISBLANK('Data Entry'!$E$33), "", 'Data Entry'!$E$33)</f>
      </c>
      <c r="F33">
        <f>IF(ISBLANK('Data Entry'!$F$33), "", 'Data Entry'!$F$33)</f>
      </c>
      <c r="G33">
        <f>IF(ISBLANK('Data Entry'!$G$33), "", 'Data Entry'!$G$33)</f>
      </c>
      <c r="H33">
        <f>IF(ISBLANK('Data Entry'!$H$33), "", 'Data Entry'!$H$33)</f>
      </c>
      <c r="I33">
        <f>IF(ISBLANK('Data Entry'!$I$33), "", 'Data Entry'!$I$33)</f>
      </c>
      <c r="J33">
        <f>IF(ISBLANK('Data Entry'!$J$33), "", 'Data Entry'!$J$33)</f>
      </c>
      <c r="K33">
        <f>IF(ISBLANK('Data Entry'!$K$33), "", 'Data Entry'!$K$33)</f>
      </c>
      <c r="L33">
        <f>IF(ISBLANK('Data Entry'!$L$33), "", 'Data Entry'!$L$33)</f>
      </c>
      <c r="M33">
        <f>IF(ISBLANK('Data Entry'!$M$33), "", 'Data Entry'!$M$33)</f>
      </c>
      <c r="N33">
        <f>IF(ISBLANK('Data Entry'!$N$33), "", 'Data Entry'!$N$33)</f>
      </c>
      <c r="O33">
        <f>IF(ISBLANK('Data Entry'!$O$33), "", 'Data Entry'!$O$33)</f>
      </c>
      <c r="P33">
        <f>IF(ISBLANK('Data Entry'!$P$33), "", 'Data Entry'!$P$33)</f>
      </c>
      <c r="Q33">
        <f>IF(ISBLANK('Data Entry'!$Q$33), "", 'Data Entry'!$Q$33)</f>
      </c>
      <c r="R33">
        <f>IF(ISBLANK('Data Entry'!$R$33), "", 'Data Entry'!$R$33)</f>
      </c>
      <c r="S33">
        <f>IF(ISBLANK('Data Entry'!$S$33), "", 'Data Entry'!$S$33)</f>
      </c>
      <c r="T33">
        <f>IF(ISBLANK('Data Entry'!$T$33), "", 'Data Entry'!$T$33)</f>
      </c>
      <c r="U33">
        <f>IF(ISBLANK('Data Entry'!$U$33), "", 'Data Entry'!$U$33)</f>
      </c>
      <c r="V33">
        <f>IF(ISBLANK('Data Entry'!$V$33), "", 'Data Entry'!$V$33)</f>
      </c>
      <c r="W33">
        <f>IF(ISBLANK('Data Entry'!$W$33), "", 'Data Entry'!$W$33)</f>
      </c>
      <c r="X33">
        <f>IF(ISBLANK('Data Entry'!$X$33), "", 'Data Entry'!$X$33)</f>
      </c>
      <c r="Y33">
        <f>IF(ISBLANK('Data Entry'!$Y$33), "", 'Data Entry'!$Y$33)</f>
      </c>
      <c r="Z33">
        <f>IF(ISBLANK('Data Entry'!$Z$33), "", 'Data Entry'!$Z$33)</f>
      </c>
      <c r="AA33">
        <f>IF(ISBLANK('Data Entry'!$[$33), "", 'Data Entry'!$[$33)</f>
      </c>
      <c r="AB33">
        <f>IF(ISBLANK('Data Entry'!$\$33), "", 'Data Entry'!$\$33)</f>
      </c>
      <c r="AC33">
        <f>IF(ISBLANK('Data Entry'!$]$33), "", 'Data Entry'!$]$33)</f>
      </c>
      <c r="AD33">
        <f>IF(ISBLANK('Data Entry'!$^$33), "", 'Data Entry'!$^$33)</f>
      </c>
      <c r="AE33">
        <f>IF(ISBLANK('Data Entry'!$_$33), "", 'Data Entry'!$_$33)</f>
      </c>
      <c r="AF33">
        <f>IF(ISBLANK('Data Entry'!$`$33), "", 'Data Entry'!$`$33)</f>
      </c>
      <c r="AG33">
        <f>IF(ISBLANK('Data Entry'!$a$33), "", 'Data Entry'!$a$33)</f>
      </c>
      <c r="AH33">
        <f>IF(ISBLANK('Data Entry'!$b$33), "", 'Data Entry'!$b$33)</f>
      </c>
      <c r="AI33">
        <f>IF(ISBLANK('Data Entry'!$c$33), "", 'Data Entry'!$c$33)</f>
      </c>
      <c r="AJ33">
        <f>IF(ISBLANK('Data Entry'!$d$33), "", 'Data Entry'!$d$33)</f>
      </c>
      <c r="AK33">
        <f>IF(ISBLANK('Data Entry'!$e$33), "", 'Data Entry'!$e$33)</f>
      </c>
      <c r="AL33">
        <f>IF(ISBLANK('Data Entry'!$f$33), "", 'Data Entry'!$f$33)</f>
      </c>
      <c r="AM33">
        <f>IF(ISBLANK('Data Entry'!$g$33), "", 'Data Entry'!$g$33)</f>
      </c>
      <c r="AN33">
        <f>IF(ISBLANK('Data Entry'!$h$33), "", 'Data Entry'!$h$33)</f>
      </c>
      <c r="AO33">
        <f>IF(ISBLANK('Data Entry'!$i$33), "", 'Data Entry'!$i$33)</f>
      </c>
      <c r="AP33">
        <f>IF(ISBLANK('Data Entry'!$j$33), "", 'Data Entry'!$j$33)</f>
      </c>
      <c r="AQ33">
        <f>IF(ISBLANK('Data Entry'!$k$33), "", 'Data Entry'!$k$33)</f>
      </c>
      <c r="AR33">
        <f>IF(ISBLANK('Data Entry'!$l$33), "", 'Data Entry'!$l$33)</f>
      </c>
      <c r="AS33">
        <f>IF(ISBLANK('Data Entry'!$m$33), "", 'Data Entry'!$m$33)</f>
      </c>
      <c r="AT33">
        <f>IF(ISBLANK('Data Entry'!$n$33), "", 'Data Entry'!$n$33)</f>
      </c>
      <c r="AU33">
        <f>IF(ISBLANK('Data Entry'!$o$33), "", 'Data Entry'!$o$33)</f>
      </c>
      <c r="AV33">
        <f>IF(ISBLANK('Data Entry'!$p$33), "", 'Data Entry'!$p$33)</f>
      </c>
      <c r="AW33">
        <f>IF(ISBLANK('Data Entry'!$q$33), "", 'Data Entry'!$q$33)</f>
      </c>
      <c r="AX33">
        <f>IF(ISBLANK('Data Entry'!$r$33), "", 'Data Entry'!$r$33)</f>
      </c>
      <c r="AY33">
        <f>IF(ISBLANK('Data Entry'!$s$33), "", 'Data Entry'!$s$33)</f>
      </c>
      <c r="AZ33">
        <f>IF(ISBLANK('Data Entry'!$t$33), "", 'Data Entry'!$t$33)</f>
      </c>
      <c r="BA33">
        <f>IF(ISBLANK('Data Entry'!$u$33), "", 'Data Entry'!$u$33)</f>
      </c>
      <c r="BB33">
        <f>IF(ISBLANK('Data Entry'!$v$33), "", 'Data Entry'!$v$33)</f>
      </c>
      <c r="BC33">
        <f>IF(ISBLANK('Data Entry'!$w$33), "", 'Data Entry'!$w$33)</f>
      </c>
      <c r="BD33">
        <f>IF(ISBLANK('Data Entry'!$x$33), "", 'Data Entry'!$x$33)</f>
      </c>
      <c r="BE33">
        <f>IF(ISBLANK('Data Entry'!$y$33), "", 'Data Entry'!$y$33)</f>
      </c>
      <c r="BF33">
        <f>IF(ISBLANK('Data Entry'!$z$33), "", 'Data Entry'!$z$33)</f>
      </c>
      <c r="BG33">
        <f>IF(ISBLANK('Data Entry'!${$33), "", 'Data Entry'!${$33)</f>
      </c>
      <c r="BH33">
        <f>IF(ISBLANK('Data Entry'!$|$33), "", 'Data Entry'!$|$33)</f>
      </c>
      <c r="BI33">
        <f>IF(ISBLANK('Data Entry'!$}$33), "", 'Data Entry'!$}$33)</f>
      </c>
      <c r="BJ33">
        <f>IF(ISBLANK('Data Entry'!$~$33), "", 'Data Entry'!$~$33)</f>
      </c>
      <c r="BK33">
        <f>IF(ISBLANK('Data Entry'!$$33), "", 'Data Entry'!$$33)</f>
      </c>
      <c r="BL33">
        <f>IF(ISBLANK('Data Entry'!$$33), "", 'Data Entry'!$$33)</f>
      </c>
      <c r="BM33">
        <f>IF(ISBLANK('Data Entry'!$$33), "", 'Data Entry'!$$33)</f>
      </c>
      <c r="BN33">
        <f>IF(ISBLANK('Data Entry'!$$33), "", 'Data Entry'!$$33)</f>
      </c>
      <c r="BO33">
        <f>IF(ISBLANK('Data Entry'!$$33), "", 'Data Entry'!$$33)</f>
      </c>
      <c r="BP33">
        <f>IF(ISBLANK('Data Entry'!$$33), "", 'Data Entry'!$$33)</f>
      </c>
      <c r="BQ33">
        <f>IF(ISBLANK('Data Entry'!$$33), "", 'Data Entry'!$$33)</f>
      </c>
      <c r="BR33">
        <f>IF(ISBLANK('Data Entry'!$$33), "", 'Data Entry'!$$33)</f>
      </c>
      <c r="BS33">
        <f>IF(ISBLANK('Data Entry'!$$33), "", 'Data Entry'!$$33)</f>
      </c>
      <c r="BT33">
        <f>IF(ISBLANK('Data Entry'!$$33), "", 'Data Entry'!$$33)</f>
      </c>
      <c r="BU33">
        <f>IF(ISBLANK('Data Entry'!$$33), "", 'Data Entry'!$$33)</f>
      </c>
      <c r="BV33">
        <f>IF(ISBLANK('Data Entry'!$$33), "", 'Data Entry'!$$33)</f>
      </c>
      <c r="BW33">
        <f>IF(ISBLANK('Data Entry'!$$33), "", 'Data Entry'!$$33)</f>
      </c>
      <c r="BX33">
        <f>IF(ISBLANK('Data Entry'!$$33), "", 'Data Entry'!$$33)</f>
      </c>
      <c r="BY33">
        <f>IF(ISBLANK('Data Entry'!$$33), "", 'Data Entry'!$$33)</f>
      </c>
      <c r="BZ33">
        <f>IF(ISBLANK('Data Entry'!$$33), "", 'Data Entry'!$$33)</f>
      </c>
      <c r="CA33">
        <f>IF(ISBLANK('Data Entry'!$$33), "", 'Data Entry'!$$33)</f>
      </c>
      <c r="CB33">
        <f>IF(ISBLANK('Data Entry'!$$33), "", 'Data Entry'!$$33)</f>
      </c>
      <c r="CC33">
        <f>IF(ISBLANK('Data Entry'!$$33), "", 'Data Entry'!$$33)</f>
      </c>
      <c r="CD33">
        <f>IF(ISBLANK('Data Entry'!$$33), "", 'Data Entry'!$$33)</f>
      </c>
      <c r="CE33">
        <f>IF(ISBLANK('Data Entry'!$$33), "", 'Data Entry'!$$33)</f>
      </c>
      <c r="CF33">
        <f>IF(ISBLANK('Data Entry'!$$33), "", 'Data Entry'!$$33)</f>
      </c>
      <c r="CG33">
        <f>IF(ISBLANK('Data Entry'!$$33), "", 'Data Entry'!$$33)</f>
      </c>
      <c r="CH33">
        <f>IF(ISBLANK('Data Entry'!$$33), "", 'Data Entry'!$$33)</f>
      </c>
      <c r="CI33">
        <f>IF(ISBLANK('Data Entry'!$$33), "", 'Data Entry'!$$33)</f>
      </c>
      <c r="CJ33">
        <f>IF(ISBLANK('Data Entry'!$$33), "", 'Data Entry'!$$33)</f>
      </c>
      <c r="CK33">
        <f>IF(ISBLANK('Data Entry'!$$33), "", 'Data Entry'!$$33)</f>
      </c>
      <c r="CL33">
        <f>IF(ISBLANK('Data Entry'!$$33), "", 'Data Entry'!$$33)</f>
      </c>
      <c r="CM33">
        <f>IF(ISBLANK('Data Entry'!$$33), "", 'Data Entry'!$$33)</f>
      </c>
      <c r="CN33">
        <f>IF(ISBLANK('Data Entry'!$$33), "", 'Data Entry'!$$33)</f>
      </c>
      <c r="CO33">
        <f>IF(ISBLANK('Data Entry'!$$33), "", 'Data Entry'!$$33)</f>
      </c>
      <c r="CP33">
        <f>IF(ISBLANK('Data Entry'!$$33), "", 'Data Entry'!$$33)</f>
      </c>
      <c r="CQ33">
        <f>IF(ISBLANK('Data Entry'!$$33), "", 'Data Entry'!$$33)</f>
      </c>
      <c r="CR33">
        <f>IF(ISBLANK('Data Entry'!$ $33), "", 'Data Entry'!$ $33)</f>
      </c>
      <c r="CS33">
        <f>IF(ISBLANK('Data Entry'!$¡$33), "", 'Data Entry'!$¡$33)</f>
      </c>
      <c r="CT33">
        <f>IF(ISBLANK('Data Entry'!$¢$33), "", 'Data Entry'!$¢$33)</f>
      </c>
      <c r="CU33">
        <f>IF(ISBLANK('Data Entry'!$£$33), "", 'Data Entry'!$£$33)</f>
      </c>
      <c r="CV33">
        <f>IF(ISBLANK('Data Entry'!$¤$33), "", 'Data Entry'!$¤$33)</f>
      </c>
      <c r="CW33">
        <f>IF(ISBLANK('Data Entry'!$¥$33), "", 'Data Entry'!$¥$33)</f>
      </c>
      <c r="CX33">
        <f>IF(ISBLANK('Data Entry'!$¦$33), "", 'Data Entry'!$¦$33)</f>
      </c>
      <c r="CY33">
        <f>IF(ISBLANK('Data Entry'!$§$33), "", 'Data Entry'!$§$33)</f>
      </c>
      <c r="CZ33">
        <f>IF(ISBLANK('Data Entry'!$¨$33), "", 'Data Entry'!$¨$33)</f>
      </c>
      <c r="DA33">
        <f>IF(ISBLANK('Data Entry'!$©$33), "", 'Data Entry'!$©$33)</f>
      </c>
      <c r="DB33">
        <f>IF(ISBLANK('Data Entry'!$ª$33), "", 'Data Entry'!$ª$33)</f>
      </c>
      <c r="DC33">
        <f>IF(ISBLANK('Data Entry'!$«$33), "", 'Data Entry'!$«$33)</f>
      </c>
      <c r="DD33">
        <f>IF(ISBLANK('Data Entry'!$¬$33), "", 'Data Entry'!$¬$33)</f>
      </c>
      <c r="DE33">
        <f>IF(ISBLANK('Data Entry'!$­$33), "", 'Data Entry'!$­$33)</f>
      </c>
      <c r="DF33">
        <f>IF(ISBLANK('Data Entry'!$®$33), "", 'Data Entry'!$®$33)</f>
      </c>
      <c r="DG33">
        <f>IF(ISBLANK('Data Entry'!$¯$33), "", 'Data Entry'!$¯$33)</f>
      </c>
      <c r="DH33">
        <f>IF(ISBLANK('Data Entry'!$°$33), "", 'Data Entry'!$°$33)</f>
      </c>
      <c r="DI33">
        <f>IF(ISBLANK('Data Entry'!$±$33), "", 'Data Entry'!$±$33)</f>
      </c>
      <c r="DJ33">
        <f>IF(ISBLANK('Data Entry'!$²$33), "", 'Data Entry'!$²$33)</f>
      </c>
      <c r="DK33">
        <f>IF(ISBLANK('Data Entry'!$³$33), "", 'Data Entry'!$³$33)</f>
      </c>
      <c r="DL33">
        <f>IF(ISBLANK('Data Entry'!$´$33), "", 'Data Entry'!$´$33)</f>
      </c>
      <c r="DM33">
        <f>IF(ISBLANK('Data Entry'!$µ$33), "", 'Data Entry'!$µ$33)</f>
      </c>
      <c r="DN33">
        <f>IF(ISBLANK('Data Entry'!$¶$33), "", 'Data Entry'!$¶$33)</f>
      </c>
      <c r="DO33">
        <f>IF(ISBLANK('Data Entry'!$·$33), "", 'Data Entry'!$·$33)</f>
      </c>
      <c r="DP33">
        <f>IF(ISBLANK('Data Entry'!$¸$33), "", 'Data Entry'!$¸$33)</f>
      </c>
      <c r="DQ33">
        <f>IF(ISBLANK('Data Entry'!$¹$33), "", 'Data Entry'!$¹$33)</f>
      </c>
      <c r="DR33">
        <f>IF(ISBLANK('Data Entry'!$º$33), "", 'Data Entry'!$º$33)</f>
      </c>
      <c r="DS33">
        <f>IF(ISBLANK('Data Entry'!$»$33), "", 'Data Entry'!$»$33)</f>
      </c>
      <c r="DT33">
        <f>IF(ISBLANK('Data Entry'!$¼$33), "", 'Data Entry'!$¼$33)</f>
      </c>
      <c r="DU33">
        <f>IF(ISBLANK('Data Entry'!$½$33), "", 'Data Entry'!$½$33)</f>
      </c>
      <c r="DV33">
        <f>IF(ISBLANK('Data Entry'!$¾$33), "", 'Data Entry'!$¾$33)</f>
      </c>
      <c r="DW33">
        <f>IF(ISBLANK('Data Entry'!$¿$33), "", 'Data Entry'!$¿$33)</f>
      </c>
      <c r="DX33">
        <f>IF(ISBLANK('Data Entry'!$À$33), "", 'Data Entry'!$À$33)</f>
      </c>
      <c r="DY33">
        <f>IF(ISBLANK('Data Entry'!$Á$33), "", 'Data Entry'!$Á$33)</f>
      </c>
      <c r="DZ33">
        <f>IF(ISBLANK('Data Entry'!$Â$33), "", 'Data Entry'!$Â$33)</f>
      </c>
      <c r="EA33">
        <f>IF(ISBLANK('Data Entry'!$Ã$33), "", 'Data Entry'!$Ã$33)</f>
      </c>
      <c r="EB33">
        <f>IF(ISBLANK('Data Entry'!$Ä$33), "", 'Data Entry'!$Ä$33)</f>
      </c>
      <c r="EC33">
        <f>IF(ISBLANK('Data Entry'!$Å$33), "", 'Data Entry'!$Å$33)</f>
      </c>
      <c r="ED33">
        <f>IF(ISBLANK('Data Entry'!$Æ$33), "", 'Data Entry'!$Æ$33)</f>
      </c>
      <c r="EE33">
        <f>IF(ISBLANK('Data Entry'!$Ç$33), "", 'Data Entry'!$Ç$33)</f>
      </c>
      <c r="EF33">
        <f>IF(ISBLANK('Data Entry'!$È$33), "", 'Data Entry'!$È$33)</f>
      </c>
      <c r="EG33">
        <f>IF(ISBLANK('Data Entry'!$É$33), "", 'Data Entry'!$É$33)</f>
      </c>
      <c r="EH33">
        <f>IF(ISBLANK('Data Entry'!$Ê$33), "", 'Data Entry'!$Ê$33)</f>
      </c>
      <c r="EI33">
        <f>IF(ISBLANK('Data Entry'!$Ë$33), "", 'Data Entry'!$Ë$33)</f>
      </c>
      <c r="EJ33">
        <f>IF(ISBLANK('Data Entry'!$Ì$33), "", 'Data Entry'!$Ì$33)</f>
      </c>
      <c r="EK33">
        <f>IF(ISBLANK('Data Entry'!$Í$33), "", 'Data Entry'!$Í$33)</f>
      </c>
      <c r="EL33">
        <f>IF(ISBLANK('Data Entry'!$Î$33), "", 'Data Entry'!$Î$33)</f>
      </c>
      <c r="EM33">
        <f>IF(ISBLANK('Data Entry'!$Ï$33), "", 'Data Entry'!$Ï$33)</f>
      </c>
      <c r="EN33">
        <f>IF(ISBLANK('Data Entry'!$Ð$33), "", 'Data Entry'!$Ð$33)</f>
      </c>
      <c r="EO33">
        <f>IF(ISBLANK('Data Entry'!$Ñ$33), "", 'Data Entry'!$Ñ$33)</f>
      </c>
      <c r="EP33">
        <f>IF(ISBLANK('Data Entry'!$Ò$33), "", 'Data Entry'!$Ò$33)</f>
      </c>
      <c r="EQ33">
        <f>IF(ISBLANK('Data Entry'!$Ó$33), "", 'Data Entry'!$Ó$33)</f>
      </c>
      <c r="ER33">
        <f>IF(ISBLANK('Data Entry'!$Ô$33), "", 'Data Entry'!$Ô$33)</f>
      </c>
      <c r="ES33">
        <f>IF(ISBLANK('Data Entry'!$Õ$33), "", 'Data Entry'!$Õ$33)</f>
      </c>
      <c r="ET33">
        <f>IF(ISBLANK('Data Entry'!$Ö$33), "", 'Data Entry'!$Ö$33)</f>
      </c>
      <c r="EU33">
        <f>IF(ISBLANK('Data Entry'!$×$33), "", 'Data Entry'!$×$33)</f>
      </c>
      <c r="EV33">
        <f>IF(ISBLANK('Data Entry'!$Ø$33), "", 'Data Entry'!$Ø$33)</f>
      </c>
      <c r="EW33">
        <f>IF(ISBLANK('Data Entry'!$Ù$33), "", 'Data Entry'!$Ù$33)</f>
      </c>
      <c r="EX33">
        <f>IF(ISBLANK('Data Entry'!$Ú$33), "", 'Data Entry'!$Ú$33)</f>
      </c>
      <c r="EY33">
        <f>IF(ISBLANK('Data Entry'!$Û$33), "", 'Data Entry'!$Û$33)</f>
      </c>
      <c r="EZ33">
        <f>IF(ISBLANK('Data Entry'!$Ü$33), "", 'Data Entry'!$Ü$33)</f>
      </c>
      <c r="FA33">
        <f>IF(ISBLANK('Data Entry'!$Ý$33), "", 'Data Entry'!$Ý$33)</f>
      </c>
      <c r="FB33">
        <f>IF(ISBLANK('Data Entry'!$Þ$33), "", 'Data Entry'!$Þ$33)</f>
      </c>
      <c r="FC33">
        <f>IF(ISBLANK('Data Entry'!$ß$33), "", 'Data Entry'!$ß$33)</f>
      </c>
      <c r="FD33">
        <f>IF(ISBLANK('Data Entry'!$à$33), "", 'Data Entry'!$à$33)</f>
      </c>
      <c r="FE33">
        <f>IF(ISBLANK('Data Entry'!$á$33), "", 'Data Entry'!$á$33)</f>
      </c>
      <c r="FF33">
        <f>IF(ISBLANK('Data Entry'!$â$33), "", 'Data Entry'!$â$33)</f>
      </c>
      <c r="FG33">
        <f>IF(ISBLANK('Data Entry'!$ã$33), "", 'Data Entry'!$ã$33)</f>
      </c>
      <c r="FH33">
        <f>IF(ISBLANK('Data Entry'!$ä$33), "", 'Data Entry'!$ä$33)</f>
      </c>
      <c r="FI33">
        <f>IF(ISBLANK('Data Entry'!$å$33), "", 'Data Entry'!$å$33)</f>
      </c>
      <c r="FJ33">
        <f>IF(ISBLANK('Data Entry'!$æ$33), "", 'Data Entry'!$æ$33)</f>
      </c>
      <c r="FK33">
        <f>IF(ISBLANK('Data Entry'!$ç$33), "", 'Data Entry'!$ç$33)</f>
      </c>
      <c r="FL33">
        <f>IF(ISBLANK('Data Entry'!$è$33), "", 'Data Entry'!$è$33)</f>
      </c>
      <c r="FM33">
        <f>IF(ISBLANK('Data Entry'!$é$33), "", 'Data Entry'!$é$33)</f>
      </c>
      <c r="FN33">
        <f>IF(ISBLANK('Data Entry'!$ê$33), "", 'Data Entry'!$ê$33)</f>
      </c>
      <c r="FO33">
        <f>IF(ISBLANK('Data Entry'!$ë$33), "", 'Data Entry'!$ë$33)</f>
      </c>
      <c r="FP33">
        <f>IF(ISBLANK('Data Entry'!$ì$33), "", 'Data Entry'!$ì$33)</f>
      </c>
      <c r="FQ33">
        <f>IF(ISBLANK('Data Entry'!$í$33), "", 'Data Entry'!$í$33)</f>
      </c>
      <c r="FR33">
        <f>IF(ISBLANK('Data Entry'!$î$33), "", 'Data Entry'!$î$33)</f>
      </c>
      <c r="FS33">
        <f>IF(ISBLANK('Data Entry'!$ï$33), "", 'Data Entry'!$ï$33)</f>
      </c>
      <c r="FT33">
        <f>IF(ISBLANK('Data Entry'!$ð$33), "", 'Data Entry'!$ð$33)</f>
      </c>
      <c r="FU33">
        <f>IF(ISBLANK('Data Entry'!$ñ$33), "", 'Data Entry'!$ñ$33)</f>
      </c>
      <c r="FV33">
        <f>IF(ISBLANK('Data Entry'!$ò$33), "", 'Data Entry'!$ò$33)</f>
      </c>
      <c r="FW33">
        <f>IF(ISBLANK('Data Entry'!$ó$33), "", 'Data Entry'!$ó$33)</f>
      </c>
      <c r="FX33">
        <f>IF(ISBLANK('Data Entry'!$ô$33), "", 'Data Entry'!$ô$33)</f>
      </c>
      <c r="FY33">
        <f>IF(ISBLANK('Data Entry'!$õ$33), "", 'Data Entry'!$õ$33)</f>
      </c>
      <c r="FZ33">
        <f>IF(ISBLANK('Data Entry'!$ö$33), "", 'Data Entry'!$ö$33)</f>
      </c>
      <c r="GA33">
        <f>IF(ISBLANK('Data Entry'!$÷$33), "", 'Data Entry'!$÷$33)</f>
      </c>
      <c r="GB33">
        <f>IF(ISBLANK('Data Entry'!$ø$33), "", 'Data Entry'!$ø$33)</f>
      </c>
      <c r="GC33">
        <f>IF(ISBLANK('Data Entry'!$ù$33), "", 'Data Entry'!$ù$33)</f>
      </c>
      <c r="GD33">
        <f>IF(ISBLANK('Data Entry'!$ú$33), "", 'Data Entry'!$ú$33)</f>
      </c>
      <c r="GE33">
        <f>IF(ISBLANK('Data Entry'!$û$33), "", 'Data Entry'!$û$33)</f>
      </c>
      <c r="GF33">
        <f>IF(ISBLANK('Data Entry'!$ü$33), "", 'Data Entry'!$ü$33)</f>
      </c>
      <c r="GG33">
        <f>IF(ISBLANK('Data Entry'!$ý$33), "", 'Data Entry'!$ý$33)</f>
      </c>
      <c r="GH33">
        <f>IF(ISBLANK('Data Entry'!$þ$33), "", 'Data Entry'!$þ$33)</f>
      </c>
      <c r="GI33">
        <f>IF(ISBLANK('Data Entry'!$ÿ$33), "", 'Data Entry'!$ÿ$33)</f>
      </c>
      <c r="GJ33">
        <f>IF(ISBLANK('Data Entry'!$Ā$33), "", 'Data Entry'!$Ā$33)</f>
      </c>
      <c r="GK33">
        <f>IF(ISBLANK('Data Entry'!$ā$33), "", 'Data Entry'!$ā$33)</f>
      </c>
      <c r="GL33">
        <f>IF(ISBLANK('Data Entry'!$Ă$33), "", 'Data Entry'!$Ă$33)</f>
      </c>
      <c r="GM33">
        <f>IF(ISBLANK('Data Entry'!$ă$33), "", 'Data Entry'!$ă$33)</f>
      </c>
      <c r="GN33">
        <f>IF(ISBLANK('Data Entry'!$Ą$33), "", 'Data Entry'!$Ą$33)</f>
      </c>
      <c r="GO33">
        <f>IF(ISBLANK('Data Entry'!$ą$33), "", 'Data Entry'!$ą$33)</f>
      </c>
      <c r="GP33">
        <f>IF(ISBLANK('Data Entry'!$Ć$33), "", 'Data Entry'!$Ć$33)</f>
      </c>
      <c r="GQ33">
        <f>IF(ISBLANK('Data Entry'!$ć$33), "", 'Data Entry'!$ć$33)</f>
      </c>
      <c r="GR33">
        <f>IF(ISBLANK('Data Entry'!$Ĉ$33), "", 'Data Entry'!$Ĉ$33)</f>
      </c>
      <c r="GS33">
        <f>IF(ISBLANK('Data Entry'!$ĉ$33), "", 'Data Entry'!$ĉ$33)</f>
      </c>
      <c r="GT33">
        <f>IF(ISBLANK('Data Entry'!$Ċ$33), "", 'Data Entry'!$Ċ$33)</f>
      </c>
      <c r="GU33">
        <f>IF(ISBLANK('Data Entry'!$ċ$33), "", 'Data Entry'!$ċ$33)</f>
      </c>
      <c r="GV33">
        <f>IF(ISBLANK('Data Entry'!$Č$33), "", 'Data Entry'!$Č$33)</f>
      </c>
      <c r="GW33">
        <f>IF(ISBLANK('Data Entry'!$č$33), "", 'Data Entry'!$č$33)</f>
      </c>
      <c r="GX33">
        <f>IF(ISBLANK('Data Entry'!$Ď$33), "", 'Data Entry'!$Ď$33)</f>
      </c>
      <c r="GY33">
        <f>IF(ISBLANK('Data Entry'!$ď$33), "", 'Data Entry'!$ď$33)</f>
      </c>
      <c r="GZ33">
        <f>IF(ISBLANK('Data Entry'!$Đ$33), "", 'Data Entry'!$Đ$33)</f>
      </c>
      <c r="HA33">
        <f>IF(ISBLANK('Data Entry'!$đ$33), "", 'Data Entry'!$đ$33)</f>
      </c>
      <c r="HB33">
        <f>IF(ISBLANK('Data Entry'!$Ē$33), "", 'Data Entry'!$Ē$33)</f>
      </c>
      <c r="HC33">
        <f>IF(ISBLANK('Data Entry'!$ē$33), "", 'Data Entry'!$ē$33)</f>
      </c>
      <c r="HD33">
        <f>IF(ISBLANK('Data Entry'!$Ĕ$33), "", 'Data Entry'!$Ĕ$33)</f>
      </c>
      <c r="HE33">
        <f>IF(ISBLANK('Data Entry'!$ĕ$33), "", 'Data Entry'!$ĕ$33)</f>
      </c>
      <c r="HF33">
        <f>IF(ISBLANK('Data Entry'!$Ė$33), "", 'Data Entry'!$Ė$33)</f>
      </c>
      <c r="HG33">
        <f>IF(ISBLANK('Data Entry'!$ė$33), "", 'Data Entry'!$ė$33)</f>
      </c>
      <c r="HH33">
        <f>IF(ISBLANK('Data Entry'!$Ę$33), "", 'Data Entry'!$Ę$33)</f>
      </c>
      <c r="HI33">
        <f>IF(ISBLANK('Data Entry'!$ę$33), "", 'Data Entry'!$ę$33)</f>
      </c>
      <c r="HJ33">
        <f>IF(ISBLANK('Data Entry'!$Ě$33), "", 'Data Entry'!$Ě$33)</f>
      </c>
      <c r="HK33">
        <f>IF(ISBLANK('Data Entry'!$ě$33), "", 'Data Entry'!$ě$33)</f>
      </c>
      <c r="HL33">
        <f>IF(ISBLANK('Data Entry'!$Ĝ$33), "", 'Data Entry'!$Ĝ$33)</f>
      </c>
      <c r="HM33">
        <f>IF(ISBLANK('Data Entry'!$ĝ$33), "", 'Data Entry'!$ĝ$33)</f>
      </c>
      <c r="HN33">
        <f>IF(ISBLANK('Data Entry'!$Ğ$33), "", 'Data Entry'!$Ğ$33)</f>
      </c>
      <c r="HO33">
        <f>IF(ISBLANK('Data Entry'!$ğ$33), "", 'Data Entry'!$ğ$33)</f>
      </c>
      <c r="HP33">
        <f>IF(ISBLANK('Data Entry'!$Ġ$33), "", 'Data Entry'!$Ġ$33)</f>
      </c>
      <c r="HQ33">
        <f>IF(ISBLANK('Data Entry'!$ġ$33), "", 'Data Entry'!$ġ$33)</f>
      </c>
      <c r="HR33">
        <f>IF(ISBLANK('Data Entry'!$Ģ$33), "", 'Data Entry'!$Ģ$33)</f>
      </c>
      <c r="HS33">
        <f>IF(ISBLANK('Data Entry'!$ģ$33), "", 'Data Entry'!$ģ$33)</f>
      </c>
      <c r="HT33">
        <f>IF(ISBLANK('Data Entry'!$Ĥ$33), "", 'Data Entry'!$Ĥ$33)</f>
      </c>
      <c r="HU33">
        <f>IF(ISBLANK('Data Entry'!$ĥ$33), "", 'Data Entry'!$ĥ$33)</f>
      </c>
      <c r="HV33">
        <f>IF(ISBLANK('Data Entry'!$Ħ$33), "", 'Data Entry'!$Ħ$33)</f>
      </c>
      <c r="HW33">
        <f>IF(ISBLANK('Data Entry'!$ħ$33), "", 'Data Entry'!$ħ$33)</f>
      </c>
      <c r="HX33">
        <f>IF(ISBLANK('Data Entry'!$Ĩ$33), "", 'Data Entry'!$Ĩ$33)</f>
      </c>
      <c r="HY33">
        <f>IF(ISBLANK('Data Entry'!$ĩ$33), "", 'Data Entry'!$ĩ$33)</f>
      </c>
      <c r="HZ33">
        <f>IF(ISBLANK('Data Entry'!$Ī$33), "", 'Data Entry'!$Ī$33)</f>
      </c>
      <c r="IA33">
        <f>IF(ISBLANK('Data Entry'!$ī$33), "", 'Data Entry'!$ī$33)</f>
      </c>
      <c r="IB33">
        <f>IF(ISBLANK('Data Entry'!$Ĭ$33), "", 'Data Entry'!$Ĭ$33)</f>
      </c>
      <c r="IC33">
        <f>IF(ISBLANK('Data Entry'!$ĭ$33), "", 'Data Entry'!$ĭ$33)</f>
      </c>
      <c r="ID33">
        <f>IF(ISBLANK('Data Entry'!$Į$33), "", 'Data Entry'!$Į$33)</f>
      </c>
      <c r="IE33">
        <f>IF(ISBLANK('Data Entry'!$į$33), "", 'Data Entry'!$į$33)</f>
      </c>
      <c r="IF33">
        <f>IF(ISBLANK('Data Entry'!$İ$33), "", 'Data Entry'!$İ$33)</f>
      </c>
      <c r="IG33">
        <f>IF(ISBLANK('Data Entry'!$ı$33), "", 'Data Entry'!$ı$33)</f>
      </c>
      <c r="IH33">
        <f>IF(ISBLANK('Data Entry'!$Ĳ$33), "", 'Data Entry'!$Ĳ$33)</f>
      </c>
      <c r="II33">
        <f>IF(ISBLANK('Data Entry'!$ĳ$33), "", 'Data Entry'!$ĳ$33)</f>
      </c>
      <c r="IJ33">
        <f>IF(ISBLANK('Data Entry'!$Ĵ$33), "", 'Data Entry'!$Ĵ$33)</f>
      </c>
      <c r="IK33">
        <f>IF(ISBLANK('Data Entry'!$ĵ$33), "", 'Data Entry'!$ĵ$33)</f>
      </c>
      <c r="IL33">
        <f>IF(ISBLANK('Data Entry'!$Ķ$33), "", 'Data Entry'!$Ķ$33)</f>
      </c>
      <c r="IM33">
        <f>IF(ISBLANK('Data Entry'!$ķ$33), "", 'Data Entry'!$ķ$33)</f>
      </c>
      <c r="IN33">
        <f>IF(ISBLANK('Data Entry'!$ĸ$33), "", 'Data Entry'!$ĸ$33)</f>
      </c>
      <c r="IO33">
        <f>IF(ISBLANK('Data Entry'!$Ĺ$33), "", 'Data Entry'!$Ĺ$33)</f>
      </c>
      <c r="IP33">
        <f>IF(ISBLANK('Data Entry'!$ĺ$33), "", 'Data Entry'!$ĺ$33)</f>
      </c>
      <c r="IQ33">
        <f>IF(ISBLANK('Data Entry'!$Ļ$33), "", 'Data Entry'!$Ļ$33)</f>
      </c>
      <c r="IR33">
        <f>IF(ISBLANK('Data Entry'!$ļ$33), "", 'Data Entry'!$ļ$33)</f>
      </c>
      <c r="IS33">
        <f>IF(ISBLANK('Data Entry'!$Ľ$33), "", 'Data Entry'!$Ľ$33)</f>
      </c>
      <c r="IT33">
        <f>IF(ISBLANK('Data Entry'!$ľ$33), "", 'Data Entry'!$ľ$33)</f>
      </c>
    </row>
    <row r="34" spans="1:254" x14ac:dyDescent="0.25">
      <c r="A34">
        <f>IF(ISBLANK('Data Entry'!$A$34), "", 'Data Entry'!$A$34)</f>
      </c>
      <c r="B34">
        <f>IF(ISBLANK('Data Entry'!$B$34), "", 'Data Entry'!$B$34)</f>
      </c>
      <c r="C34">
        <f>IF(ISBLANK('Data Entry'!$C$34), "", 'Data Entry'!$C$34)</f>
      </c>
      <c r="D34">
        <f>IF(ISBLANK('Data Entry'!$D$34), "", 'Data Entry'!$D$34)</f>
      </c>
      <c r="E34">
        <f>IF(ISBLANK('Data Entry'!$E$34), "", 'Data Entry'!$E$34)</f>
      </c>
      <c r="F34">
        <f>IF(ISBLANK('Data Entry'!$F$34), "", 'Data Entry'!$F$34)</f>
      </c>
      <c r="G34">
        <f>IF(ISBLANK('Data Entry'!$G$34), "", 'Data Entry'!$G$34)</f>
      </c>
      <c r="H34">
        <f>IF(ISBLANK('Data Entry'!$H$34), "", 'Data Entry'!$H$34)</f>
      </c>
      <c r="I34">
        <f>IF(ISBLANK('Data Entry'!$I$34), "", 'Data Entry'!$I$34)</f>
      </c>
      <c r="J34">
        <f>IF(ISBLANK('Data Entry'!$J$34), "", 'Data Entry'!$J$34)</f>
      </c>
      <c r="K34">
        <f>IF(ISBLANK('Data Entry'!$K$34), "", 'Data Entry'!$K$34)</f>
      </c>
      <c r="L34">
        <f>IF(ISBLANK('Data Entry'!$L$34), "", 'Data Entry'!$L$34)</f>
      </c>
      <c r="M34">
        <f>IF(ISBLANK('Data Entry'!$M$34), "", 'Data Entry'!$M$34)</f>
      </c>
      <c r="N34">
        <f>IF(ISBLANK('Data Entry'!$N$34), "", 'Data Entry'!$N$34)</f>
      </c>
      <c r="O34">
        <f>IF(ISBLANK('Data Entry'!$O$34), "", 'Data Entry'!$O$34)</f>
      </c>
      <c r="P34">
        <f>IF(ISBLANK('Data Entry'!$P$34), "", 'Data Entry'!$P$34)</f>
      </c>
      <c r="Q34">
        <f>IF(ISBLANK('Data Entry'!$Q$34), "", 'Data Entry'!$Q$34)</f>
      </c>
      <c r="R34">
        <f>IF(ISBLANK('Data Entry'!$R$34), "", 'Data Entry'!$R$34)</f>
      </c>
      <c r="S34">
        <f>IF(ISBLANK('Data Entry'!$S$34), "", 'Data Entry'!$S$34)</f>
      </c>
      <c r="T34">
        <f>IF(ISBLANK('Data Entry'!$T$34), "", 'Data Entry'!$T$34)</f>
      </c>
      <c r="U34">
        <f>IF(ISBLANK('Data Entry'!$U$34), "", 'Data Entry'!$U$34)</f>
      </c>
      <c r="V34">
        <f>IF(ISBLANK('Data Entry'!$V$34), "", 'Data Entry'!$V$34)</f>
      </c>
      <c r="W34">
        <f>IF(ISBLANK('Data Entry'!$W$34), "", 'Data Entry'!$W$34)</f>
      </c>
      <c r="X34">
        <f>IF(ISBLANK('Data Entry'!$X$34), "", 'Data Entry'!$X$34)</f>
      </c>
      <c r="Y34">
        <f>IF(ISBLANK('Data Entry'!$Y$34), "", 'Data Entry'!$Y$34)</f>
      </c>
      <c r="Z34">
        <f>IF(ISBLANK('Data Entry'!$Z$34), "", 'Data Entry'!$Z$34)</f>
      </c>
      <c r="AA34">
        <f>IF(ISBLANK('Data Entry'!$[$34), "", 'Data Entry'!$[$34)</f>
      </c>
      <c r="AB34">
        <f>IF(ISBLANK('Data Entry'!$\$34), "", 'Data Entry'!$\$34)</f>
      </c>
      <c r="AC34">
        <f>IF(ISBLANK('Data Entry'!$]$34), "", 'Data Entry'!$]$34)</f>
      </c>
      <c r="AD34">
        <f>IF(ISBLANK('Data Entry'!$^$34), "", 'Data Entry'!$^$34)</f>
      </c>
      <c r="AE34">
        <f>IF(ISBLANK('Data Entry'!$_$34), "", 'Data Entry'!$_$34)</f>
      </c>
      <c r="AF34">
        <f>IF(ISBLANK('Data Entry'!$`$34), "", 'Data Entry'!$`$34)</f>
      </c>
      <c r="AG34">
        <f>IF(ISBLANK('Data Entry'!$a$34), "", 'Data Entry'!$a$34)</f>
      </c>
      <c r="AH34">
        <f>IF(ISBLANK('Data Entry'!$b$34), "", 'Data Entry'!$b$34)</f>
      </c>
      <c r="AI34">
        <f>IF(ISBLANK('Data Entry'!$c$34), "", 'Data Entry'!$c$34)</f>
      </c>
      <c r="AJ34">
        <f>IF(ISBLANK('Data Entry'!$d$34), "", 'Data Entry'!$d$34)</f>
      </c>
      <c r="AK34">
        <f>IF(ISBLANK('Data Entry'!$e$34), "", 'Data Entry'!$e$34)</f>
      </c>
      <c r="AL34">
        <f>IF(ISBLANK('Data Entry'!$f$34), "", 'Data Entry'!$f$34)</f>
      </c>
      <c r="AM34">
        <f>IF(ISBLANK('Data Entry'!$g$34), "", 'Data Entry'!$g$34)</f>
      </c>
      <c r="AN34">
        <f>IF(ISBLANK('Data Entry'!$h$34), "", 'Data Entry'!$h$34)</f>
      </c>
      <c r="AO34">
        <f>IF(ISBLANK('Data Entry'!$i$34), "", 'Data Entry'!$i$34)</f>
      </c>
      <c r="AP34">
        <f>IF(ISBLANK('Data Entry'!$j$34), "", 'Data Entry'!$j$34)</f>
      </c>
      <c r="AQ34">
        <f>IF(ISBLANK('Data Entry'!$k$34), "", 'Data Entry'!$k$34)</f>
      </c>
      <c r="AR34">
        <f>IF(ISBLANK('Data Entry'!$l$34), "", 'Data Entry'!$l$34)</f>
      </c>
      <c r="AS34">
        <f>IF(ISBLANK('Data Entry'!$m$34), "", 'Data Entry'!$m$34)</f>
      </c>
      <c r="AT34">
        <f>IF(ISBLANK('Data Entry'!$n$34), "", 'Data Entry'!$n$34)</f>
      </c>
      <c r="AU34">
        <f>IF(ISBLANK('Data Entry'!$o$34), "", 'Data Entry'!$o$34)</f>
      </c>
      <c r="AV34">
        <f>IF(ISBLANK('Data Entry'!$p$34), "", 'Data Entry'!$p$34)</f>
      </c>
      <c r="AW34">
        <f>IF(ISBLANK('Data Entry'!$q$34), "", 'Data Entry'!$q$34)</f>
      </c>
      <c r="AX34">
        <f>IF(ISBLANK('Data Entry'!$r$34), "", 'Data Entry'!$r$34)</f>
      </c>
      <c r="AY34">
        <f>IF(ISBLANK('Data Entry'!$s$34), "", 'Data Entry'!$s$34)</f>
      </c>
      <c r="AZ34">
        <f>IF(ISBLANK('Data Entry'!$t$34), "", 'Data Entry'!$t$34)</f>
      </c>
      <c r="BA34">
        <f>IF(ISBLANK('Data Entry'!$u$34), "", 'Data Entry'!$u$34)</f>
      </c>
      <c r="BB34">
        <f>IF(ISBLANK('Data Entry'!$v$34), "", 'Data Entry'!$v$34)</f>
      </c>
      <c r="BC34">
        <f>IF(ISBLANK('Data Entry'!$w$34), "", 'Data Entry'!$w$34)</f>
      </c>
      <c r="BD34">
        <f>IF(ISBLANK('Data Entry'!$x$34), "", 'Data Entry'!$x$34)</f>
      </c>
      <c r="BE34">
        <f>IF(ISBLANK('Data Entry'!$y$34), "", 'Data Entry'!$y$34)</f>
      </c>
      <c r="BF34">
        <f>IF(ISBLANK('Data Entry'!$z$34), "", 'Data Entry'!$z$34)</f>
      </c>
      <c r="BG34">
        <f>IF(ISBLANK('Data Entry'!${$34), "", 'Data Entry'!${$34)</f>
      </c>
      <c r="BH34">
        <f>IF(ISBLANK('Data Entry'!$|$34), "", 'Data Entry'!$|$34)</f>
      </c>
      <c r="BI34">
        <f>IF(ISBLANK('Data Entry'!$}$34), "", 'Data Entry'!$}$34)</f>
      </c>
      <c r="BJ34">
        <f>IF(ISBLANK('Data Entry'!$~$34), "", 'Data Entry'!$~$34)</f>
      </c>
      <c r="BK34">
        <f>IF(ISBLANK('Data Entry'!$$34), "", 'Data Entry'!$$34)</f>
      </c>
      <c r="BL34">
        <f>IF(ISBLANK('Data Entry'!$$34), "", 'Data Entry'!$$34)</f>
      </c>
      <c r="BM34">
        <f>IF(ISBLANK('Data Entry'!$$34), "", 'Data Entry'!$$34)</f>
      </c>
      <c r="BN34">
        <f>IF(ISBLANK('Data Entry'!$$34), "", 'Data Entry'!$$34)</f>
      </c>
      <c r="BO34">
        <f>IF(ISBLANK('Data Entry'!$$34), "", 'Data Entry'!$$34)</f>
      </c>
      <c r="BP34">
        <f>IF(ISBLANK('Data Entry'!$$34), "", 'Data Entry'!$$34)</f>
      </c>
      <c r="BQ34">
        <f>IF(ISBLANK('Data Entry'!$$34), "", 'Data Entry'!$$34)</f>
      </c>
      <c r="BR34">
        <f>IF(ISBLANK('Data Entry'!$$34), "", 'Data Entry'!$$34)</f>
      </c>
      <c r="BS34">
        <f>IF(ISBLANK('Data Entry'!$$34), "", 'Data Entry'!$$34)</f>
      </c>
      <c r="BT34">
        <f>IF(ISBLANK('Data Entry'!$$34), "", 'Data Entry'!$$34)</f>
      </c>
      <c r="BU34">
        <f>IF(ISBLANK('Data Entry'!$$34), "", 'Data Entry'!$$34)</f>
      </c>
      <c r="BV34">
        <f>IF(ISBLANK('Data Entry'!$$34), "", 'Data Entry'!$$34)</f>
      </c>
      <c r="BW34">
        <f>IF(ISBLANK('Data Entry'!$$34), "", 'Data Entry'!$$34)</f>
      </c>
      <c r="BX34">
        <f>IF(ISBLANK('Data Entry'!$$34), "", 'Data Entry'!$$34)</f>
      </c>
      <c r="BY34">
        <f>IF(ISBLANK('Data Entry'!$$34), "", 'Data Entry'!$$34)</f>
      </c>
      <c r="BZ34">
        <f>IF(ISBLANK('Data Entry'!$$34), "", 'Data Entry'!$$34)</f>
      </c>
      <c r="CA34">
        <f>IF(ISBLANK('Data Entry'!$$34), "", 'Data Entry'!$$34)</f>
      </c>
      <c r="CB34">
        <f>IF(ISBLANK('Data Entry'!$$34), "", 'Data Entry'!$$34)</f>
      </c>
      <c r="CC34">
        <f>IF(ISBLANK('Data Entry'!$$34), "", 'Data Entry'!$$34)</f>
      </c>
      <c r="CD34">
        <f>IF(ISBLANK('Data Entry'!$$34), "", 'Data Entry'!$$34)</f>
      </c>
      <c r="CE34">
        <f>IF(ISBLANK('Data Entry'!$$34), "", 'Data Entry'!$$34)</f>
      </c>
      <c r="CF34">
        <f>IF(ISBLANK('Data Entry'!$$34), "", 'Data Entry'!$$34)</f>
      </c>
      <c r="CG34">
        <f>IF(ISBLANK('Data Entry'!$$34), "", 'Data Entry'!$$34)</f>
      </c>
      <c r="CH34">
        <f>IF(ISBLANK('Data Entry'!$$34), "", 'Data Entry'!$$34)</f>
      </c>
      <c r="CI34">
        <f>IF(ISBLANK('Data Entry'!$$34), "", 'Data Entry'!$$34)</f>
      </c>
      <c r="CJ34">
        <f>IF(ISBLANK('Data Entry'!$$34), "", 'Data Entry'!$$34)</f>
      </c>
      <c r="CK34">
        <f>IF(ISBLANK('Data Entry'!$$34), "", 'Data Entry'!$$34)</f>
      </c>
      <c r="CL34">
        <f>IF(ISBLANK('Data Entry'!$$34), "", 'Data Entry'!$$34)</f>
      </c>
      <c r="CM34">
        <f>IF(ISBLANK('Data Entry'!$$34), "", 'Data Entry'!$$34)</f>
      </c>
      <c r="CN34">
        <f>IF(ISBLANK('Data Entry'!$$34), "", 'Data Entry'!$$34)</f>
      </c>
      <c r="CO34">
        <f>IF(ISBLANK('Data Entry'!$$34), "", 'Data Entry'!$$34)</f>
      </c>
      <c r="CP34">
        <f>IF(ISBLANK('Data Entry'!$$34), "", 'Data Entry'!$$34)</f>
      </c>
      <c r="CQ34">
        <f>IF(ISBLANK('Data Entry'!$$34), "", 'Data Entry'!$$34)</f>
      </c>
      <c r="CR34">
        <f>IF(ISBLANK('Data Entry'!$ $34), "", 'Data Entry'!$ $34)</f>
      </c>
      <c r="CS34">
        <f>IF(ISBLANK('Data Entry'!$¡$34), "", 'Data Entry'!$¡$34)</f>
      </c>
      <c r="CT34">
        <f>IF(ISBLANK('Data Entry'!$¢$34), "", 'Data Entry'!$¢$34)</f>
      </c>
      <c r="CU34">
        <f>IF(ISBLANK('Data Entry'!$£$34), "", 'Data Entry'!$£$34)</f>
      </c>
      <c r="CV34">
        <f>IF(ISBLANK('Data Entry'!$¤$34), "", 'Data Entry'!$¤$34)</f>
      </c>
      <c r="CW34">
        <f>IF(ISBLANK('Data Entry'!$¥$34), "", 'Data Entry'!$¥$34)</f>
      </c>
      <c r="CX34">
        <f>IF(ISBLANK('Data Entry'!$¦$34), "", 'Data Entry'!$¦$34)</f>
      </c>
      <c r="CY34">
        <f>IF(ISBLANK('Data Entry'!$§$34), "", 'Data Entry'!$§$34)</f>
      </c>
      <c r="CZ34">
        <f>IF(ISBLANK('Data Entry'!$¨$34), "", 'Data Entry'!$¨$34)</f>
      </c>
      <c r="DA34">
        <f>IF(ISBLANK('Data Entry'!$©$34), "", 'Data Entry'!$©$34)</f>
      </c>
      <c r="DB34">
        <f>IF(ISBLANK('Data Entry'!$ª$34), "", 'Data Entry'!$ª$34)</f>
      </c>
      <c r="DC34">
        <f>IF(ISBLANK('Data Entry'!$«$34), "", 'Data Entry'!$«$34)</f>
      </c>
      <c r="DD34">
        <f>IF(ISBLANK('Data Entry'!$¬$34), "", 'Data Entry'!$¬$34)</f>
      </c>
      <c r="DE34">
        <f>IF(ISBLANK('Data Entry'!$­$34), "", 'Data Entry'!$­$34)</f>
      </c>
      <c r="DF34">
        <f>IF(ISBLANK('Data Entry'!$®$34), "", 'Data Entry'!$®$34)</f>
      </c>
      <c r="DG34">
        <f>IF(ISBLANK('Data Entry'!$¯$34), "", 'Data Entry'!$¯$34)</f>
      </c>
      <c r="DH34">
        <f>IF(ISBLANK('Data Entry'!$°$34), "", 'Data Entry'!$°$34)</f>
      </c>
      <c r="DI34">
        <f>IF(ISBLANK('Data Entry'!$±$34), "", 'Data Entry'!$±$34)</f>
      </c>
      <c r="DJ34">
        <f>IF(ISBLANK('Data Entry'!$²$34), "", 'Data Entry'!$²$34)</f>
      </c>
      <c r="DK34">
        <f>IF(ISBLANK('Data Entry'!$³$34), "", 'Data Entry'!$³$34)</f>
      </c>
      <c r="DL34">
        <f>IF(ISBLANK('Data Entry'!$´$34), "", 'Data Entry'!$´$34)</f>
      </c>
      <c r="DM34">
        <f>IF(ISBLANK('Data Entry'!$µ$34), "", 'Data Entry'!$µ$34)</f>
      </c>
      <c r="DN34">
        <f>IF(ISBLANK('Data Entry'!$¶$34), "", 'Data Entry'!$¶$34)</f>
      </c>
      <c r="DO34">
        <f>IF(ISBLANK('Data Entry'!$·$34), "", 'Data Entry'!$·$34)</f>
      </c>
      <c r="DP34">
        <f>IF(ISBLANK('Data Entry'!$¸$34), "", 'Data Entry'!$¸$34)</f>
      </c>
      <c r="DQ34">
        <f>IF(ISBLANK('Data Entry'!$¹$34), "", 'Data Entry'!$¹$34)</f>
      </c>
      <c r="DR34">
        <f>IF(ISBLANK('Data Entry'!$º$34), "", 'Data Entry'!$º$34)</f>
      </c>
      <c r="DS34">
        <f>IF(ISBLANK('Data Entry'!$»$34), "", 'Data Entry'!$»$34)</f>
      </c>
      <c r="DT34">
        <f>IF(ISBLANK('Data Entry'!$¼$34), "", 'Data Entry'!$¼$34)</f>
      </c>
      <c r="DU34">
        <f>IF(ISBLANK('Data Entry'!$½$34), "", 'Data Entry'!$½$34)</f>
      </c>
      <c r="DV34">
        <f>IF(ISBLANK('Data Entry'!$¾$34), "", 'Data Entry'!$¾$34)</f>
      </c>
      <c r="DW34">
        <f>IF(ISBLANK('Data Entry'!$¿$34), "", 'Data Entry'!$¿$34)</f>
      </c>
      <c r="DX34">
        <f>IF(ISBLANK('Data Entry'!$À$34), "", 'Data Entry'!$À$34)</f>
      </c>
      <c r="DY34">
        <f>IF(ISBLANK('Data Entry'!$Á$34), "", 'Data Entry'!$Á$34)</f>
      </c>
      <c r="DZ34">
        <f>IF(ISBLANK('Data Entry'!$Â$34), "", 'Data Entry'!$Â$34)</f>
      </c>
      <c r="EA34">
        <f>IF(ISBLANK('Data Entry'!$Ã$34), "", 'Data Entry'!$Ã$34)</f>
      </c>
      <c r="EB34">
        <f>IF(ISBLANK('Data Entry'!$Ä$34), "", 'Data Entry'!$Ä$34)</f>
      </c>
      <c r="EC34">
        <f>IF(ISBLANK('Data Entry'!$Å$34), "", 'Data Entry'!$Å$34)</f>
      </c>
      <c r="ED34">
        <f>IF(ISBLANK('Data Entry'!$Æ$34), "", 'Data Entry'!$Æ$34)</f>
      </c>
      <c r="EE34">
        <f>IF(ISBLANK('Data Entry'!$Ç$34), "", 'Data Entry'!$Ç$34)</f>
      </c>
      <c r="EF34">
        <f>IF(ISBLANK('Data Entry'!$È$34), "", 'Data Entry'!$È$34)</f>
      </c>
      <c r="EG34">
        <f>IF(ISBLANK('Data Entry'!$É$34), "", 'Data Entry'!$É$34)</f>
      </c>
      <c r="EH34">
        <f>IF(ISBLANK('Data Entry'!$Ê$34), "", 'Data Entry'!$Ê$34)</f>
      </c>
      <c r="EI34">
        <f>IF(ISBLANK('Data Entry'!$Ë$34), "", 'Data Entry'!$Ë$34)</f>
      </c>
      <c r="EJ34">
        <f>IF(ISBLANK('Data Entry'!$Ì$34), "", 'Data Entry'!$Ì$34)</f>
      </c>
      <c r="EK34">
        <f>IF(ISBLANK('Data Entry'!$Í$34), "", 'Data Entry'!$Í$34)</f>
      </c>
      <c r="EL34">
        <f>IF(ISBLANK('Data Entry'!$Î$34), "", 'Data Entry'!$Î$34)</f>
      </c>
      <c r="EM34">
        <f>IF(ISBLANK('Data Entry'!$Ï$34), "", 'Data Entry'!$Ï$34)</f>
      </c>
      <c r="EN34">
        <f>IF(ISBLANK('Data Entry'!$Ð$34), "", 'Data Entry'!$Ð$34)</f>
      </c>
      <c r="EO34">
        <f>IF(ISBLANK('Data Entry'!$Ñ$34), "", 'Data Entry'!$Ñ$34)</f>
      </c>
      <c r="EP34">
        <f>IF(ISBLANK('Data Entry'!$Ò$34), "", 'Data Entry'!$Ò$34)</f>
      </c>
      <c r="EQ34">
        <f>IF(ISBLANK('Data Entry'!$Ó$34), "", 'Data Entry'!$Ó$34)</f>
      </c>
      <c r="ER34">
        <f>IF(ISBLANK('Data Entry'!$Ô$34), "", 'Data Entry'!$Ô$34)</f>
      </c>
      <c r="ES34">
        <f>IF(ISBLANK('Data Entry'!$Õ$34), "", 'Data Entry'!$Õ$34)</f>
      </c>
      <c r="ET34">
        <f>IF(ISBLANK('Data Entry'!$Ö$34), "", 'Data Entry'!$Ö$34)</f>
      </c>
      <c r="EU34">
        <f>IF(ISBLANK('Data Entry'!$×$34), "", 'Data Entry'!$×$34)</f>
      </c>
      <c r="EV34">
        <f>IF(ISBLANK('Data Entry'!$Ø$34), "", 'Data Entry'!$Ø$34)</f>
      </c>
      <c r="EW34">
        <f>IF(ISBLANK('Data Entry'!$Ù$34), "", 'Data Entry'!$Ù$34)</f>
      </c>
      <c r="EX34">
        <f>IF(ISBLANK('Data Entry'!$Ú$34), "", 'Data Entry'!$Ú$34)</f>
      </c>
      <c r="EY34">
        <f>IF(ISBLANK('Data Entry'!$Û$34), "", 'Data Entry'!$Û$34)</f>
      </c>
      <c r="EZ34">
        <f>IF(ISBLANK('Data Entry'!$Ü$34), "", 'Data Entry'!$Ü$34)</f>
      </c>
      <c r="FA34">
        <f>IF(ISBLANK('Data Entry'!$Ý$34), "", 'Data Entry'!$Ý$34)</f>
      </c>
      <c r="FB34">
        <f>IF(ISBLANK('Data Entry'!$Þ$34), "", 'Data Entry'!$Þ$34)</f>
      </c>
      <c r="FC34">
        <f>IF(ISBLANK('Data Entry'!$ß$34), "", 'Data Entry'!$ß$34)</f>
      </c>
      <c r="FD34">
        <f>IF(ISBLANK('Data Entry'!$à$34), "", 'Data Entry'!$à$34)</f>
      </c>
      <c r="FE34">
        <f>IF(ISBLANK('Data Entry'!$á$34), "", 'Data Entry'!$á$34)</f>
      </c>
      <c r="FF34">
        <f>IF(ISBLANK('Data Entry'!$â$34), "", 'Data Entry'!$â$34)</f>
      </c>
      <c r="FG34">
        <f>IF(ISBLANK('Data Entry'!$ã$34), "", 'Data Entry'!$ã$34)</f>
      </c>
      <c r="FH34">
        <f>IF(ISBLANK('Data Entry'!$ä$34), "", 'Data Entry'!$ä$34)</f>
      </c>
      <c r="FI34">
        <f>IF(ISBLANK('Data Entry'!$å$34), "", 'Data Entry'!$å$34)</f>
      </c>
      <c r="FJ34">
        <f>IF(ISBLANK('Data Entry'!$æ$34), "", 'Data Entry'!$æ$34)</f>
      </c>
      <c r="FK34">
        <f>IF(ISBLANK('Data Entry'!$ç$34), "", 'Data Entry'!$ç$34)</f>
      </c>
      <c r="FL34">
        <f>IF(ISBLANK('Data Entry'!$è$34), "", 'Data Entry'!$è$34)</f>
      </c>
      <c r="FM34">
        <f>IF(ISBLANK('Data Entry'!$é$34), "", 'Data Entry'!$é$34)</f>
      </c>
      <c r="FN34">
        <f>IF(ISBLANK('Data Entry'!$ê$34), "", 'Data Entry'!$ê$34)</f>
      </c>
      <c r="FO34">
        <f>IF(ISBLANK('Data Entry'!$ë$34), "", 'Data Entry'!$ë$34)</f>
      </c>
      <c r="FP34">
        <f>IF(ISBLANK('Data Entry'!$ì$34), "", 'Data Entry'!$ì$34)</f>
      </c>
      <c r="FQ34">
        <f>IF(ISBLANK('Data Entry'!$í$34), "", 'Data Entry'!$í$34)</f>
      </c>
      <c r="FR34">
        <f>IF(ISBLANK('Data Entry'!$î$34), "", 'Data Entry'!$î$34)</f>
      </c>
      <c r="FS34">
        <f>IF(ISBLANK('Data Entry'!$ï$34), "", 'Data Entry'!$ï$34)</f>
      </c>
      <c r="FT34">
        <f>IF(ISBLANK('Data Entry'!$ð$34), "", 'Data Entry'!$ð$34)</f>
      </c>
      <c r="FU34">
        <f>IF(ISBLANK('Data Entry'!$ñ$34), "", 'Data Entry'!$ñ$34)</f>
      </c>
      <c r="FV34">
        <f>IF(ISBLANK('Data Entry'!$ò$34), "", 'Data Entry'!$ò$34)</f>
      </c>
      <c r="FW34">
        <f>IF(ISBLANK('Data Entry'!$ó$34), "", 'Data Entry'!$ó$34)</f>
      </c>
      <c r="FX34">
        <f>IF(ISBLANK('Data Entry'!$ô$34), "", 'Data Entry'!$ô$34)</f>
      </c>
      <c r="FY34">
        <f>IF(ISBLANK('Data Entry'!$õ$34), "", 'Data Entry'!$õ$34)</f>
      </c>
      <c r="FZ34">
        <f>IF(ISBLANK('Data Entry'!$ö$34), "", 'Data Entry'!$ö$34)</f>
      </c>
      <c r="GA34">
        <f>IF(ISBLANK('Data Entry'!$÷$34), "", 'Data Entry'!$÷$34)</f>
      </c>
      <c r="GB34">
        <f>IF(ISBLANK('Data Entry'!$ø$34), "", 'Data Entry'!$ø$34)</f>
      </c>
      <c r="GC34">
        <f>IF(ISBLANK('Data Entry'!$ù$34), "", 'Data Entry'!$ù$34)</f>
      </c>
      <c r="GD34">
        <f>IF(ISBLANK('Data Entry'!$ú$34), "", 'Data Entry'!$ú$34)</f>
      </c>
      <c r="GE34">
        <f>IF(ISBLANK('Data Entry'!$û$34), "", 'Data Entry'!$û$34)</f>
      </c>
      <c r="GF34">
        <f>IF(ISBLANK('Data Entry'!$ü$34), "", 'Data Entry'!$ü$34)</f>
      </c>
      <c r="GG34">
        <f>IF(ISBLANK('Data Entry'!$ý$34), "", 'Data Entry'!$ý$34)</f>
      </c>
      <c r="GH34">
        <f>IF(ISBLANK('Data Entry'!$þ$34), "", 'Data Entry'!$þ$34)</f>
      </c>
      <c r="GI34">
        <f>IF(ISBLANK('Data Entry'!$ÿ$34), "", 'Data Entry'!$ÿ$34)</f>
      </c>
      <c r="GJ34">
        <f>IF(ISBLANK('Data Entry'!$Ā$34), "", 'Data Entry'!$Ā$34)</f>
      </c>
      <c r="GK34">
        <f>IF(ISBLANK('Data Entry'!$ā$34), "", 'Data Entry'!$ā$34)</f>
      </c>
      <c r="GL34">
        <f>IF(ISBLANK('Data Entry'!$Ă$34), "", 'Data Entry'!$Ă$34)</f>
      </c>
      <c r="GM34">
        <f>IF(ISBLANK('Data Entry'!$ă$34), "", 'Data Entry'!$ă$34)</f>
      </c>
      <c r="GN34">
        <f>IF(ISBLANK('Data Entry'!$Ą$34), "", 'Data Entry'!$Ą$34)</f>
      </c>
      <c r="GO34">
        <f>IF(ISBLANK('Data Entry'!$ą$34), "", 'Data Entry'!$ą$34)</f>
      </c>
      <c r="GP34">
        <f>IF(ISBLANK('Data Entry'!$Ć$34), "", 'Data Entry'!$Ć$34)</f>
      </c>
      <c r="GQ34">
        <f>IF(ISBLANK('Data Entry'!$ć$34), "", 'Data Entry'!$ć$34)</f>
      </c>
      <c r="GR34">
        <f>IF(ISBLANK('Data Entry'!$Ĉ$34), "", 'Data Entry'!$Ĉ$34)</f>
      </c>
      <c r="GS34">
        <f>IF(ISBLANK('Data Entry'!$ĉ$34), "", 'Data Entry'!$ĉ$34)</f>
      </c>
      <c r="GT34">
        <f>IF(ISBLANK('Data Entry'!$Ċ$34), "", 'Data Entry'!$Ċ$34)</f>
      </c>
      <c r="GU34">
        <f>IF(ISBLANK('Data Entry'!$ċ$34), "", 'Data Entry'!$ċ$34)</f>
      </c>
      <c r="GV34">
        <f>IF(ISBLANK('Data Entry'!$Č$34), "", 'Data Entry'!$Č$34)</f>
      </c>
      <c r="GW34">
        <f>IF(ISBLANK('Data Entry'!$č$34), "", 'Data Entry'!$č$34)</f>
      </c>
      <c r="GX34">
        <f>IF(ISBLANK('Data Entry'!$Ď$34), "", 'Data Entry'!$Ď$34)</f>
      </c>
      <c r="GY34">
        <f>IF(ISBLANK('Data Entry'!$ď$34), "", 'Data Entry'!$ď$34)</f>
      </c>
      <c r="GZ34">
        <f>IF(ISBLANK('Data Entry'!$Đ$34), "", 'Data Entry'!$Đ$34)</f>
      </c>
      <c r="HA34">
        <f>IF(ISBLANK('Data Entry'!$đ$34), "", 'Data Entry'!$đ$34)</f>
      </c>
      <c r="HB34">
        <f>IF(ISBLANK('Data Entry'!$Ē$34), "", 'Data Entry'!$Ē$34)</f>
      </c>
      <c r="HC34">
        <f>IF(ISBLANK('Data Entry'!$ē$34), "", 'Data Entry'!$ē$34)</f>
      </c>
      <c r="HD34">
        <f>IF(ISBLANK('Data Entry'!$Ĕ$34), "", 'Data Entry'!$Ĕ$34)</f>
      </c>
      <c r="HE34">
        <f>IF(ISBLANK('Data Entry'!$ĕ$34), "", 'Data Entry'!$ĕ$34)</f>
      </c>
      <c r="HF34">
        <f>IF(ISBLANK('Data Entry'!$Ė$34), "", 'Data Entry'!$Ė$34)</f>
      </c>
      <c r="HG34">
        <f>IF(ISBLANK('Data Entry'!$ė$34), "", 'Data Entry'!$ė$34)</f>
      </c>
      <c r="HH34">
        <f>IF(ISBLANK('Data Entry'!$Ę$34), "", 'Data Entry'!$Ę$34)</f>
      </c>
      <c r="HI34">
        <f>IF(ISBLANK('Data Entry'!$ę$34), "", 'Data Entry'!$ę$34)</f>
      </c>
      <c r="HJ34">
        <f>IF(ISBLANK('Data Entry'!$Ě$34), "", 'Data Entry'!$Ě$34)</f>
      </c>
      <c r="HK34">
        <f>IF(ISBLANK('Data Entry'!$ě$34), "", 'Data Entry'!$ě$34)</f>
      </c>
      <c r="HL34">
        <f>IF(ISBLANK('Data Entry'!$Ĝ$34), "", 'Data Entry'!$Ĝ$34)</f>
      </c>
      <c r="HM34">
        <f>IF(ISBLANK('Data Entry'!$ĝ$34), "", 'Data Entry'!$ĝ$34)</f>
      </c>
      <c r="HN34">
        <f>IF(ISBLANK('Data Entry'!$Ğ$34), "", 'Data Entry'!$Ğ$34)</f>
      </c>
      <c r="HO34">
        <f>IF(ISBLANK('Data Entry'!$ğ$34), "", 'Data Entry'!$ğ$34)</f>
      </c>
      <c r="HP34">
        <f>IF(ISBLANK('Data Entry'!$Ġ$34), "", 'Data Entry'!$Ġ$34)</f>
      </c>
      <c r="HQ34">
        <f>IF(ISBLANK('Data Entry'!$ġ$34), "", 'Data Entry'!$ġ$34)</f>
      </c>
      <c r="HR34">
        <f>IF(ISBLANK('Data Entry'!$Ģ$34), "", 'Data Entry'!$Ģ$34)</f>
      </c>
      <c r="HS34">
        <f>IF(ISBLANK('Data Entry'!$ģ$34), "", 'Data Entry'!$ģ$34)</f>
      </c>
      <c r="HT34">
        <f>IF(ISBLANK('Data Entry'!$Ĥ$34), "", 'Data Entry'!$Ĥ$34)</f>
      </c>
      <c r="HU34">
        <f>IF(ISBLANK('Data Entry'!$ĥ$34), "", 'Data Entry'!$ĥ$34)</f>
      </c>
      <c r="HV34">
        <f>IF(ISBLANK('Data Entry'!$Ħ$34), "", 'Data Entry'!$Ħ$34)</f>
      </c>
      <c r="HW34">
        <f>IF(ISBLANK('Data Entry'!$ħ$34), "", 'Data Entry'!$ħ$34)</f>
      </c>
      <c r="HX34">
        <f>IF(ISBLANK('Data Entry'!$Ĩ$34), "", 'Data Entry'!$Ĩ$34)</f>
      </c>
      <c r="HY34">
        <f>IF(ISBLANK('Data Entry'!$ĩ$34), "", 'Data Entry'!$ĩ$34)</f>
      </c>
      <c r="HZ34">
        <f>IF(ISBLANK('Data Entry'!$Ī$34), "", 'Data Entry'!$Ī$34)</f>
      </c>
      <c r="IA34">
        <f>IF(ISBLANK('Data Entry'!$ī$34), "", 'Data Entry'!$ī$34)</f>
      </c>
      <c r="IB34">
        <f>IF(ISBLANK('Data Entry'!$Ĭ$34), "", 'Data Entry'!$Ĭ$34)</f>
      </c>
      <c r="IC34">
        <f>IF(ISBLANK('Data Entry'!$ĭ$34), "", 'Data Entry'!$ĭ$34)</f>
      </c>
      <c r="ID34">
        <f>IF(ISBLANK('Data Entry'!$Į$34), "", 'Data Entry'!$Į$34)</f>
      </c>
      <c r="IE34">
        <f>IF(ISBLANK('Data Entry'!$į$34), "", 'Data Entry'!$į$34)</f>
      </c>
      <c r="IF34">
        <f>IF(ISBLANK('Data Entry'!$İ$34), "", 'Data Entry'!$İ$34)</f>
      </c>
      <c r="IG34">
        <f>IF(ISBLANK('Data Entry'!$ı$34), "", 'Data Entry'!$ı$34)</f>
      </c>
      <c r="IH34">
        <f>IF(ISBLANK('Data Entry'!$Ĳ$34), "", 'Data Entry'!$Ĳ$34)</f>
      </c>
      <c r="II34">
        <f>IF(ISBLANK('Data Entry'!$ĳ$34), "", 'Data Entry'!$ĳ$34)</f>
      </c>
      <c r="IJ34">
        <f>IF(ISBLANK('Data Entry'!$Ĵ$34), "", 'Data Entry'!$Ĵ$34)</f>
      </c>
      <c r="IK34">
        <f>IF(ISBLANK('Data Entry'!$ĵ$34), "", 'Data Entry'!$ĵ$34)</f>
      </c>
      <c r="IL34">
        <f>IF(ISBLANK('Data Entry'!$Ķ$34), "", 'Data Entry'!$Ķ$34)</f>
      </c>
      <c r="IM34">
        <f>IF(ISBLANK('Data Entry'!$ķ$34), "", 'Data Entry'!$ķ$34)</f>
      </c>
      <c r="IN34">
        <f>IF(ISBLANK('Data Entry'!$ĸ$34), "", 'Data Entry'!$ĸ$34)</f>
      </c>
      <c r="IO34">
        <f>IF(ISBLANK('Data Entry'!$Ĺ$34), "", 'Data Entry'!$Ĺ$34)</f>
      </c>
      <c r="IP34">
        <f>IF(ISBLANK('Data Entry'!$ĺ$34), "", 'Data Entry'!$ĺ$34)</f>
      </c>
      <c r="IQ34">
        <f>IF(ISBLANK('Data Entry'!$Ļ$34), "", 'Data Entry'!$Ļ$34)</f>
      </c>
      <c r="IR34">
        <f>IF(ISBLANK('Data Entry'!$ļ$34), "", 'Data Entry'!$ļ$34)</f>
      </c>
      <c r="IS34">
        <f>IF(ISBLANK('Data Entry'!$Ľ$34), "", 'Data Entry'!$Ľ$34)</f>
      </c>
      <c r="IT34">
        <f>IF(ISBLANK('Data Entry'!$ľ$34), "", 'Data Entry'!$ľ$34)</f>
      </c>
    </row>
    <row r="35" spans="1:254" x14ac:dyDescent="0.25">
      <c r="A35">
        <f>IF(ISBLANK('Data Entry'!$A$35), "", 'Data Entry'!$A$35)</f>
      </c>
      <c r="B35">
        <f>IF(ISBLANK('Data Entry'!$B$35), "", 'Data Entry'!$B$35)</f>
      </c>
      <c r="C35">
        <f>IF(ISBLANK('Data Entry'!$C$35), "", 'Data Entry'!$C$35)</f>
      </c>
      <c r="D35">
        <f>IF(ISBLANK('Data Entry'!$D$35), "", 'Data Entry'!$D$35)</f>
      </c>
      <c r="E35">
        <f>IF(ISBLANK('Data Entry'!$E$35), "", 'Data Entry'!$E$35)</f>
      </c>
      <c r="F35">
        <f>IF(ISBLANK('Data Entry'!$F$35), "", 'Data Entry'!$F$35)</f>
      </c>
      <c r="G35">
        <f>IF(ISBLANK('Data Entry'!$G$35), "", 'Data Entry'!$G$35)</f>
      </c>
      <c r="H35">
        <f>IF(ISBLANK('Data Entry'!$H$35), "", 'Data Entry'!$H$35)</f>
      </c>
      <c r="I35">
        <f>IF(ISBLANK('Data Entry'!$I$35), "", 'Data Entry'!$I$35)</f>
      </c>
      <c r="J35">
        <f>IF(ISBLANK('Data Entry'!$J$35), "", 'Data Entry'!$J$35)</f>
      </c>
      <c r="K35">
        <f>IF(ISBLANK('Data Entry'!$K$35), "", 'Data Entry'!$K$35)</f>
      </c>
      <c r="L35">
        <f>IF(ISBLANK('Data Entry'!$L$35), "", 'Data Entry'!$L$35)</f>
      </c>
      <c r="M35">
        <f>IF(ISBLANK('Data Entry'!$M$35), "", 'Data Entry'!$M$35)</f>
      </c>
      <c r="N35">
        <f>IF(ISBLANK('Data Entry'!$N$35), "", 'Data Entry'!$N$35)</f>
      </c>
      <c r="O35">
        <f>IF(ISBLANK('Data Entry'!$O$35), "", 'Data Entry'!$O$35)</f>
      </c>
      <c r="P35">
        <f>IF(ISBLANK('Data Entry'!$P$35), "", 'Data Entry'!$P$35)</f>
      </c>
      <c r="Q35">
        <f>IF(ISBLANK('Data Entry'!$Q$35), "", 'Data Entry'!$Q$35)</f>
      </c>
      <c r="R35">
        <f>IF(ISBLANK('Data Entry'!$R$35), "", 'Data Entry'!$R$35)</f>
      </c>
      <c r="S35">
        <f>IF(ISBLANK('Data Entry'!$S$35), "", 'Data Entry'!$S$35)</f>
      </c>
      <c r="T35">
        <f>IF(ISBLANK('Data Entry'!$T$35), "", 'Data Entry'!$T$35)</f>
      </c>
      <c r="U35">
        <f>IF(ISBLANK('Data Entry'!$U$35), "", 'Data Entry'!$U$35)</f>
      </c>
      <c r="V35">
        <f>IF(ISBLANK('Data Entry'!$V$35), "", 'Data Entry'!$V$35)</f>
      </c>
      <c r="W35">
        <f>IF(ISBLANK('Data Entry'!$W$35), "", 'Data Entry'!$W$35)</f>
      </c>
      <c r="X35">
        <f>IF(ISBLANK('Data Entry'!$X$35), "", 'Data Entry'!$X$35)</f>
      </c>
      <c r="Y35">
        <f>IF(ISBLANK('Data Entry'!$Y$35), "", 'Data Entry'!$Y$35)</f>
      </c>
      <c r="Z35">
        <f>IF(ISBLANK('Data Entry'!$Z$35), "", 'Data Entry'!$Z$35)</f>
      </c>
      <c r="AA35">
        <f>IF(ISBLANK('Data Entry'!$[$35), "", 'Data Entry'!$[$35)</f>
      </c>
      <c r="AB35">
        <f>IF(ISBLANK('Data Entry'!$\$35), "", 'Data Entry'!$\$35)</f>
      </c>
      <c r="AC35">
        <f>IF(ISBLANK('Data Entry'!$]$35), "", 'Data Entry'!$]$35)</f>
      </c>
      <c r="AD35">
        <f>IF(ISBLANK('Data Entry'!$^$35), "", 'Data Entry'!$^$35)</f>
      </c>
      <c r="AE35">
        <f>IF(ISBLANK('Data Entry'!$_$35), "", 'Data Entry'!$_$35)</f>
      </c>
      <c r="AF35">
        <f>IF(ISBLANK('Data Entry'!$`$35), "", 'Data Entry'!$`$35)</f>
      </c>
      <c r="AG35">
        <f>IF(ISBLANK('Data Entry'!$a$35), "", 'Data Entry'!$a$35)</f>
      </c>
      <c r="AH35">
        <f>IF(ISBLANK('Data Entry'!$b$35), "", 'Data Entry'!$b$35)</f>
      </c>
      <c r="AI35">
        <f>IF(ISBLANK('Data Entry'!$c$35), "", 'Data Entry'!$c$35)</f>
      </c>
      <c r="AJ35">
        <f>IF(ISBLANK('Data Entry'!$d$35), "", 'Data Entry'!$d$35)</f>
      </c>
      <c r="AK35">
        <f>IF(ISBLANK('Data Entry'!$e$35), "", 'Data Entry'!$e$35)</f>
      </c>
      <c r="AL35">
        <f>IF(ISBLANK('Data Entry'!$f$35), "", 'Data Entry'!$f$35)</f>
      </c>
      <c r="AM35">
        <f>IF(ISBLANK('Data Entry'!$g$35), "", 'Data Entry'!$g$35)</f>
      </c>
      <c r="AN35">
        <f>IF(ISBLANK('Data Entry'!$h$35), "", 'Data Entry'!$h$35)</f>
      </c>
      <c r="AO35">
        <f>IF(ISBLANK('Data Entry'!$i$35), "", 'Data Entry'!$i$35)</f>
      </c>
      <c r="AP35">
        <f>IF(ISBLANK('Data Entry'!$j$35), "", 'Data Entry'!$j$35)</f>
      </c>
      <c r="AQ35">
        <f>IF(ISBLANK('Data Entry'!$k$35), "", 'Data Entry'!$k$35)</f>
      </c>
      <c r="AR35">
        <f>IF(ISBLANK('Data Entry'!$l$35), "", 'Data Entry'!$l$35)</f>
      </c>
      <c r="AS35">
        <f>IF(ISBLANK('Data Entry'!$m$35), "", 'Data Entry'!$m$35)</f>
      </c>
      <c r="AT35">
        <f>IF(ISBLANK('Data Entry'!$n$35), "", 'Data Entry'!$n$35)</f>
      </c>
      <c r="AU35">
        <f>IF(ISBLANK('Data Entry'!$o$35), "", 'Data Entry'!$o$35)</f>
      </c>
      <c r="AV35">
        <f>IF(ISBLANK('Data Entry'!$p$35), "", 'Data Entry'!$p$35)</f>
      </c>
      <c r="AW35">
        <f>IF(ISBLANK('Data Entry'!$q$35), "", 'Data Entry'!$q$35)</f>
      </c>
      <c r="AX35">
        <f>IF(ISBLANK('Data Entry'!$r$35), "", 'Data Entry'!$r$35)</f>
      </c>
      <c r="AY35">
        <f>IF(ISBLANK('Data Entry'!$s$35), "", 'Data Entry'!$s$35)</f>
      </c>
      <c r="AZ35">
        <f>IF(ISBLANK('Data Entry'!$t$35), "", 'Data Entry'!$t$35)</f>
      </c>
      <c r="BA35">
        <f>IF(ISBLANK('Data Entry'!$u$35), "", 'Data Entry'!$u$35)</f>
      </c>
      <c r="BB35">
        <f>IF(ISBLANK('Data Entry'!$v$35), "", 'Data Entry'!$v$35)</f>
      </c>
      <c r="BC35">
        <f>IF(ISBLANK('Data Entry'!$w$35), "", 'Data Entry'!$w$35)</f>
      </c>
      <c r="BD35">
        <f>IF(ISBLANK('Data Entry'!$x$35), "", 'Data Entry'!$x$35)</f>
      </c>
      <c r="BE35">
        <f>IF(ISBLANK('Data Entry'!$y$35), "", 'Data Entry'!$y$35)</f>
      </c>
      <c r="BF35">
        <f>IF(ISBLANK('Data Entry'!$z$35), "", 'Data Entry'!$z$35)</f>
      </c>
      <c r="BG35">
        <f>IF(ISBLANK('Data Entry'!${$35), "", 'Data Entry'!${$35)</f>
      </c>
      <c r="BH35">
        <f>IF(ISBLANK('Data Entry'!$|$35), "", 'Data Entry'!$|$35)</f>
      </c>
      <c r="BI35">
        <f>IF(ISBLANK('Data Entry'!$}$35), "", 'Data Entry'!$}$35)</f>
      </c>
      <c r="BJ35">
        <f>IF(ISBLANK('Data Entry'!$~$35), "", 'Data Entry'!$~$35)</f>
      </c>
      <c r="BK35">
        <f>IF(ISBLANK('Data Entry'!$$35), "", 'Data Entry'!$$35)</f>
      </c>
      <c r="BL35">
        <f>IF(ISBLANK('Data Entry'!$$35), "", 'Data Entry'!$$35)</f>
      </c>
      <c r="BM35">
        <f>IF(ISBLANK('Data Entry'!$$35), "", 'Data Entry'!$$35)</f>
      </c>
      <c r="BN35">
        <f>IF(ISBLANK('Data Entry'!$$35), "", 'Data Entry'!$$35)</f>
      </c>
      <c r="BO35">
        <f>IF(ISBLANK('Data Entry'!$$35), "", 'Data Entry'!$$35)</f>
      </c>
      <c r="BP35">
        <f>IF(ISBLANK('Data Entry'!$$35), "", 'Data Entry'!$$35)</f>
      </c>
      <c r="BQ35">
        <f>IF(ISBLANK('Data Entry'!$$35), "", 'Data Entry'!$$35)</f>
      </c>
      <c r="BR35">
        <f>IF(ISBLANK('Data Entry'!$$35), "", 'Data Entry'!$$35)</f>
      </c>
      <c r="BS35">
        <f>IF(ISBLANK('Data Entry'!$$35), "", 'Data Entry'!$$35)</f>
      </c>
      <c r="BT35">
        <f>IF(ISBLANK('Data Entry'!$$35), "", 'Data Entry'!$$35)</f>
      </c>
      <c r="BU35">
        <f>IF(ISBLANK('Data Entry'!$$35), "", 'Data Entry'!$$35)</f>
      </c>
      <c r="BV35">
        <f>IF(ISBLANK('Data Entry'!$$35), "", 'Data Entry'!$$35)</f>
      </c>
      <c r="BW35">
        <f>IF(ISBLANK('Data Entry'!$$35), "", 'Data Entry'!$$35)</f>
      </c>
      <c r="BX35">
        <f>IF(ISBLANK('Data Entry'!$$35), "", 'Data Entry'!$$35)</f>
      </c>
      <c r="BY35">
        <f>IF(ISBLANK('Data Entry'!$$35), "", 'Data Entry'!$$35)</f>
      </c>
      <c r="BZ35">
        <f>IF(ISBLANK('Data Entry'!$$35), "", 'Data Entry'!$$35)</f>
      </c>
      <c r="CA35">
        <f>IF(ISBLANK('Data Entry'!$$35), "", 'Data Entry'!$$35)</f>
      </c>
      <c r="CB35">
        <f>IF(ISBLANK('Data Entry'!$$35), "", 'Data Entry'!$$35)</f>
      </c>
      <c r="CC35">
        <f>IF(ISBLANK('Data Entry'!$$35), "", 'Data Entry'!$$35)</f>
      </c>
      <c r="CD35">
        <f>IF(ISBLANK('Data Entry'!$$35), "", 'Data Entry'!$$35)</f>
      </c>
      <c r="CE35">
        <f>IF(ISBLANK('Data Entry'!$$35), "", 'Data Entry'!$$35)</f>
      </c>
      <c r="CF35">
        <f>IF(ISBLANK('Data Entry'!$$35), "", 'Data Entry'!$$35)</f>
      </c>
      <c r="CG35">
        <f>IF(ISBLANK('Data Entry'!$$35), "", 'Data Entry'!$$35)</f>
      </c>
      <c r="CH35">
        <f>IF(ISBLANK('Data Entry'!$$35), "", 'Data Entry'!$$35)</f>
      </c>
      <c r="CI35">
        <f>IF(ISBLANK('Data Entry'!$$35), "", 'Data Entry'!$$35)</f>
      </c>
      <c r="CJ35">
        <f>IF(ISBLANK('Data Entry'!$$35), "", 'Data Entry'!$$35)</f>
      </c>
      <c r="CK35">
        <f>IF(ISBLANK('Data Entry'!$$35), "", 'Data Entry'!$$35)</f>
      </c>
      <c r="CL35">
        <f>IF(ISBLANK('Data Entry'!$$35), "", 'Data Entry'!$$35)</f>
      </c>
      <c r="CM35">
        <f>IF(ISBLANK('Data Entry'!$$35), "", 'Data Entry'!$$35)</f>
      </c>
      <c r="CN35">
        <f>IF(ISBLANK('Data Entry'!$$35), "", 'Data Entry'!$$35)</f>
      </c>
      <c r="CO35">
        <f>IF(ISBLANK('Data Entry'!$$35), "", 'Data Entry'!$$35)</f>
      </c>
      <c r="CP35">
        <f>IF(ISBLANK('Data Entry'!$$35), "", 'Data Entry'!$$35)</f>
      </c>
      <c r="CQ35">
        <f>IF(ISBLANK('Data Entry'!$$35), "", 'Data Entry'!$$35)</f>
      </c>
      <c r="CR35">
        <f>IF(ISBLANK('Data Entry'!$ $35), "", 'Data Entry'!$ $35)</f>
      </c>
      <c r="CS35">
        <f>IF(ISBLANK('Data Entry'!$¡$35), "", 'Data Entry'!$¡$35)</f>
      </c>
      <c r="CT35">
        <f>IF(ISBLANK('Data Entry'!$¢$35), "", 'Data Entry'!$¢$35)</f>
      </c>
      <c r="CU35">
        <f>IF(ISBLANK('Data Entry'!$£$35), "", 'Data Entry'!$£$35)</f>
      </c>
      <c r="CV35">
        <f>IF(ISBLANK('Data Entry'!$¤$35), "", 'Data Entry'!$¤$35)</f>
      </c>
      <c r="CW35">
        <f>IF(ISBLANK('Data Entry'!$¥$35), "", 'Data Entry'!$¥$35)</f>
      </c>
      <c r="CX35">
        <f>IF(ISBLANK('Data Entry'!$¦$35), "", 'Data Entry'!$¦$35)</f>
      </c>
      <c r="CY35">
        <f>IF(ISBLANK('Data Entry'!$§$35), "", 'Data Entry'!$§$35)</f>
      </c>
      <c r="CZ35">
        <f>IF(ISBLANK('Data Entry'!$¨$35), "", 'Data Entry'!$¨$35)</f>
      </c>
      <c r="DA35">
        <f>IF(ISBLANK('Data Entry'!$©$35), "", 'Data Entry'!$©$35)</f>
      </c>
      <c r="DB35">
        <f>IF(ISBLANK('Data Entry'!$ª$35), "", 'Data Entry'!$ª$35)</f>
      </c>
      <c r="DC35">
        <f>IF(ISBLANK('Data Entry'!$«$35), "", 'Data Entry'!$«$35)</f>
      </c>
      <c r="DD35">
        <f>IF(ISBLANK('Data Entry'!$¬$35), "", 'Data Entry'!$¬$35)</f>
      </c>
      <c r="DE35">
        <f>IF(ISBLANK('Data Entry'!$­$35), "", 'Data Entry'!$­$35)</f>
      </c>
      <c r="DF35">
        <f>IF(ISBLANK('Data Entry'!$®$35), "", 'Data Entry'!$®$35)</f>
      </c>
      <c r="DG35">
        <f>IF(ISBLANK('Data Entry'!$¯$35), "", 'Data Entry'!$¯$35)</f>
      </c>
      <c r="DH35">
        <f>IF(ISBLANK('Data Entry'!$°$35), "", 'Data Entry'!$°$35)</f>
      </c>
      <c r="DI35">
        <f>IF(ISBLANK('Data Entry'!$±$35), "", 'Data Entry'!$±$35)</f>
      </c>
      <c r="DJ35">
        <f>IF(ISBLANK('Data Entry'!$²$35), "", 'Data Entry'!$²$35)</f>
      </c>
      <c r="DK35">
        <f>IF(ISBLANK('Data Entry'!$³$35), "", 'Data Entry'!$³$35)</f>
      </c>
      <c r="DL35">
        <f>IF(ISBLANK('Data Entry'!$´$35), "", 'Data Entry'!$´$35)</f>
      </c>
      <c r="DM35">
        <f>IF(ISBLANK('Data Entry'!$µ$35), "", 'Data Entry'!$µ$35)</f>
      </c>
      <c r="DN35">
        <f>IF(ISBLANK('Data Entry'!$¶$35), "", 'Data Entry'!$¶$35)</f>
      </c>
      <c r="DO35">
        <f>IF(ISBLANK('Data Entry'!$·$35), "", 'Data Entry'!$·$35)</f>
      </c>
      <c r="DP35">
        <f>IF(ISBLANK('Data Entry'!$¸$35), "", 'Data Entry'!$¸$35)</f>
      </c>
      <c r="DQ35">
        <f>IF(ISBLANK('Data Entry'!$¹$35), "", 'Data Entry'!$¹$35)</f>
      </c>
      <c r="DR35">
        <f>IF(ISBLANK('Data Entry'!$º$35), "", 'Data Entry'!$º$35)</f>
      </c>
      <c r="DS35">
        <f>IF(ISBLANK('Data Entry'!$»$35), "", 'Data Entry'!$»$35)</f>
      </c>
      <c r="DT35">
        <f>IF(ISBLANK('Data Entry'!$¼$35), "", 'Data Entry'!$¼$35)</f>
      </c>
      <c r="DU35">
        <f>IF(ISBLANK('Data Entry'!$½$35), "", 'Data Entry'!$½$35)</f>
      </c>
      <c r="DV35">
        <f>IF(ISBLANK('Data Entry'!$¾$35), "", 'Data Entry'!$¾$35)</f>
      </c>
      <c r="DW35">
        <f>IF(ISBLANK('Data Entry'!$¿$35), "", 'Data Entry'!$¿$35)</f>
      </c>
      <c r="DX35">
        <f>IF(ISBLANK('Data Entry'!$À$35), "", 'Data Entry'!$À$35)</f>
      </c>
      <c r="DY35">
        <f>IF(ISBLANK('Data Entry'!$Á$35), "", 'Data Entry'!$Á$35)</f>
      </c>
      <c r="DZ35">
        <f>IF(ISBLANK('Data Entry'!$Â$35), "", 'Data Entry'!$Â$35)</f>
      </c>
      <c r="EA35">
        <f>IF(ISBLANK('Data Entry'!$Ã$35), "", 'Data Entry'!$Ã$35)</f>
      </c>
      <c r="EB35">
        <f>IF(ISBLANK('Data Entry'!$Ä$35), "", 'Data Entry'!$Ä$35)</f>
      </c>
      <c r="EC35">
        <f>IF(ISBLANK('Data Entry'!$Å$35), "", 'Data Entry'!$Å$35)</f>
      </c>
      <c r="ED35">
        <f>IF(ISBLANK('Data Entry'!$Æ$35), "", 'Data Entry'!$Æ$35)</f>
      </c>
      <c r="EE35">
        <f>IF(ISBLANK('Data Entry'!$Ç$35), "", 'Data Entry'!$Ç$35)</f>
      </c>
      <c r="EF35">
        <f>IF(ISBLANK('Data Entry'!$È$35), "", 'Data Entry'!$È$35)</f>
      </c>
      <c r="EG35">
        <f>IF(ISBLANK('Data Entry'!$É$35), "", 'Data Entry'!$É$35)</f>
      </c>
      <c r="EH35">
        <f>IF(ISBLANK('Data Entry'!$Ê$35), "", 'Data Entry'!$Ê$35)</f>
      </c>
      <c r="EI35">
        <f>IF(ISBLANK('Data Entry'!$Ë$35), "", 'Data Entry'!$Ë$35)</f>
      </c>
      <c r="EJ35">
        <f>IF(ISBLANK('Data Entry'!$Ì$35), "", 'Data Entry'!$Ì$35)</f>
      </c>
      <c r="EK35">
        <f>IF(ISBLANK('Data Entry'!$Í$35), "", 'Data Entry'!$Í$35)</f>
      </c>
      <c r="EL35">
        <f>IF(ISBLANK('Data Entry'!$Î$35), "", 'Data Entry'!$Î$35)</f>
      </c>
      <c r="EM35">
        <f>IF(ISBLANK('Data Entry'!$Ï$35), "", 'Data Entry'!$Ï$35)</f>
      </c>
      <c r="EN35">
        <f>IF(ISBLANK('Data Entry'!$Ð$35), "", 'Data Entry'!$Ð$35)</f>
      </c>
      <c r="EO35">
        <f>IF(ISBLANK('Data Entry'!$Ñ$35), "", 'Data Entry'!$Ñ$35)</f>
      </c>
      <c r="EP35">
        <f>IF(ISBLANK('Data Entry'!$Ò$35), "", 'Data Entry'!$Ò$35)</f>
      </c>
      <c r="EQ35">
        <f>IF(ISBLANK('Data Entry'!$Ó$35), "", 'Data Entry'!$Ó$35)</f>
      </c>
      <c r="ER35">
        <f>IF(ISBLANK('Data Entry'!$Ô$35), "", 'Data Entry'!$Ô$35)</f>
      </c>
      <c r="ES35">
        <f>IF(ISBLANK('Data Entry'!$Õ$35), "", 'Data Entry'!$Õ$35)</f>
      </c>
      <c r="ET35">
        <f>IF(ISBLANK('Data Entry'!$Ö$35), "", 'Data Entry'!$Ö$35)</f>
      </c>
      <c r="EU35">
        <f>IF(ISBLANK('Data Entry'!$×$35), "", 'Data Entry'!$×$35)</f>
      </c>
      <c r="EV35">
        <f>IF(ISBLANK('Data Entry'!$Ø$35), "", 'Data Entry'!$Ø$35)</f>
      </c>
      <c r="EW35">
        <f>IF(ISBLANK('Data Entry'!$Ù$35), "", 'Data Entry'!$Ù$35)</f>
      </c>
      <c r="EX35">
        <f>IF(ISBLANK('Data Entry'!$Ú$35), "", 'Data Entry'!$Ú$35)</f>
      </c>
      <c r="EY35">
        <f>IF(ISBLANK('Data Entry'!$Û$35), "", 'Data Entry'!$Û$35)</f>
      </c>
      <c r="EZ35">
        <f>IF(ISBLANK('Data Entry'!$Ü$35), "", 'Data Entry'!$Ü$35)</f>
      </c>
      <c r="FA35">
        <f>IF(ISBLANK('Data Entry'!$Ý$35), "", 'Data Entry'!$Ý$35)</f>
      </c>
      <c r="FB35">
        <f>IF(ISBLANK('Data Entry'!$Þ$35), "", 'Data Entry'!$Þ$35)</f>
      </c>
      <c r="FC35">
        <f>IF(ISBLANK('Data Entry'!$ß$35), "", 'Data Entry'!$ß$35)</f>
      </c>
      <c r="FD35">
        <f>IF(ISBLANK('Data Entry'!$à$35), "", 'Data Entry'!$à$35)</f>
      </c>
      <c r="FE35">
        <f>IF(ISBLANK('Data Entry'!$á$35), "", 'Data Entry'!$á$35)</f>
      </c>
      <c r="FF35">
        <f>IF(ISBLANK('Data Entry'!$â$35), "", 'Data Entry'!$â$35)</f>
      </c>
      <c r="FG35">
        <f>IF(ISBLANK('Data Entry'!$ã$35), "", 'Data Entry'!$ã$35)</f>
      </c>
      <c r="FH35">
        <f>IF(ISBLANK('Data Entry'!$ä$35), "", 'Data Entry'!$ä$35)</f>
      </c>
      <c r="FI35">
        <f>IF(ISBLANK('Data Entry'!$å$35), "", 'Data Entry'!$å$35)</f>
      </c>
      <c r="FJ35">
        <f>IF(ISBLANK('Data Entry'!$æ$35), "", 'Data Entry'!$æ$35)</f>
      </c>
      <c r="FK35">
        <f>IF(ISBLANK('Data Entry'!$ç$35), "", 'Data Entry'!$ç$35)</f>
      </c>
      <c r="FL35">
        <f>IF(ISBLANK('Data Entry'!$è$35), "", 'Data Entry'!$è$35)</f>
      </c>
      <c r="FM35">
        <f>IF(ISBLANK('Data Entry'!$é$35), "", 'Data Entry'!$é$35)</f>
      </c>
      <c r="FN35">
        <f>IF(ISBLANK('Data Entry'!$ê$35), "", 'Data Entry'!$ê$35)</f>
      </c>
      <c r="FO35">
        <f>IF(ISBLANK('Data Entry'!$ë$35), "", 'Data Entry'!$ë$35)</f>
      </c>
      <c r="FP35">
        <f>IF(ISBLANK('Data Entry'!$ì$35), "", 'Data Entry'!$ì$35)</f>
      </c>
      <c r="FQ35">
        <f>IF(ISBLANK('Data Entry'!$í$35), "", 'Data Entry'!$í$35)</f>
      </c>
      <c r="FR35">
        <f>IF(ISBLANK('Data Entry'!$î$35), "", 'Data Entry'!$î$35)</f>
      </c>
      <c r="FS35">
        <f>IF(ISBLANK('Data Entry'!$ï$35), "", 'Data Entry'!$ï$35)</f>
      </c>
      <c r="FT35">
        <f>IF(ISBLANK('Data Entry'!$ð$35), "", 'Data Entry'!$ð$35)</f>
      </c>
      <c r="FU35">
        <f>IF(ISBLANK('Data Entry'!$ñ$35), "", 'Data Entry'!$ñ$35)</f>
      </c>
      <c r="FV35">
        <f>IF(ISBLANK('Data Entry'!$ò$35), "", 'Data Entry'!$ò$35)</f>
      </c>
      <c r="FW35">
        <f>IF(ISBLANK('Data Entry'!$ó$35), "", 'Data Entry'!$ó$35)</f>
      </c>
      <c r="FX35">
        <f>IF(ISBLANK('Data Entry'!$ô$35), "", 'Data Entry'!$ô$35)</f>
      </c>
      <c r="FY35">
        <f>IF(ISBLANK('Data Entry'!$õ$35), "", 'Data Entry'!$õ$35)</f>
      </c>
      <c r="FZ35">
        <f>IF(ISBLANK('Data Entry'!$ö$35), "", 'Data Entry'!$ö$35)</f>
      </c>
      <c r="GA35">
        <f>IF(ISBLANK('Data Entry'!$÷$35), "", 'Data Entry'!$÷$35)</f>
      </c>
      <c r="GB35">
        <f>IF(ISBLANK('Data Entry'!$ø$35), "", 'Data Entry'!$ø$35)</f>
      </c>
      <c r="GC35">
        <f>IF(ISBLANK('Data Entry'!$ù$35), "", 'Data Entry'!$ù$35)</f>
      </c>
      <c r="GD35">
        <f>IF(ISBLANK('Data Entry'!$ú$35), "", 'Data Entry'!$ú$35)</f>
      </c>
      <c r="GE35">
        <f>IF(ISBLANK('Data Entry'!$û$35), "", 'Data Entry'!$û$35)</f>
      </c>
      <c r="GF35">
        <f>IF(ISBLANK('Data Entry'!$ü$35), "", 'Data Entry'!$ü$35)</f>
      </c>
      <c r="GG35">
        <f>IF(ISBLANK('Data Entry'!$ý$35), "", 'Data Entry'!$ý$35)</f>
      </c>
      <c r="GH35">
        <f>IF(ISBLANK('Data Entry'!$þ$35), "", 'Data Entry'!$þ$35)</f>
      </c>
      <c r="GI35">
        <f>IF(ISBLANK('Data Entry'!$ÿ$35), "", 'Data Entry'!$ÿ$35)</f>
      </c>
      <c r="GJ35">
        <f>IF(ISBLANK('Data Entry'!$Ā$35), "", 'Data Entry'!$Ā$35)</f>
      </c>
      <c r="GK35">
        <f>IF(ISBLANK('Data Entry'!$ā$35), "", 'Data Entry'!$ā$35)</f>
      </c>
      <c r="GL35">
        <f>IF(ISBLANK('Data Entry'!$Ă$35), "", 'Data Entry'!$Ă$35)</f>
      </c>
      <c r="GM35">
        <f>IF(ISBLANK('Data Entry'!$ă$35), "", 'Data Entry'!$ă$35)</f>
      </c>
      <c r="GN35">
        <f>IF(ISBLANK('Data Entry'!$Ą$35), "", 'Data Entry'!$Ą$35)</f>
      </c>
      <c r="GO35">
        <f>IF(ISBLANK('Data Entry'!$ą$35), "", 'Data Entry'!$ą$35)</f>
      </c>
      <c r="GP35">
        <f>IF(ISBLANK('Data Entry'!$Ć$35), "", 'Data Entry'!$Ć$35)</f>
      </c>
      <c r="GQ35">
        <f>IF(ISBLANK('Data Entry'!$ć$35), "", 'Data Entry'!$ć$35)</f>
      </c>
      <c r="GR35">
        <f>IF(ISBLANK('Data Entry'!$Ĉ$35), "", 'Data Entry'!$Ĉ$35)</f>
      </c>
      <c r="GS35">
        <f>IF(ISBLANK('Data Entry'!$ĉ$35), "", 'Data Entry'!$ĉ$35)</f>
      </c>
      <c r="GT35">
        <f>IF(ISBLANK('Data Entry'!$Ċ$35), "", 'Data Entry'!$Ċ$35)</f>
      </c>
      <c r="GU35">
        <f>IF(ISBLANK('Data Entry'!$ċ$35), "", 'Data Entry'!$ċ$35)</f>
      </c>
      <c r="GV35">
        <f>IF(ISBLANK('Data Entry'!$Č$35), "", 'Data Entry'!$Č$35)</f>
      </c>
      <c r="GW35">
        <f>IF(ISBLANK('Data Entry'!$č$35), "", 'Data Entry'!$č$35)</f>
      </c>
      <c r="GX35">
        <f>IF(ISBLANK('Data Entry'!$Ď$35), "", 'Data Entry'!$Ď$35)</f>
      </c>
      <c r="GY35">
        <f>IF(ISBLANK('Data Entry'!$ď$35), "", 'Data Entry'!$ď$35)</f>
      </c>
      <c r="GZ35">
        <f>IF(ISBLANK('Data Entry'!$Đ$35), "", 'Data Entry'!$Đ$35)</f>
      </c>
      <c r="HA35">
        <f>IF(ISBLANK('Data Entry'!$đ$35), "", 'Data Entry'!$đ$35)</f>
      </c>
      <c r="HB35">
        <f>IF(ISBLANK('Data Entry'!$Ē$35), "", 'Data Entry'!$Ē$35)</f>
      </c>
      <c r="HC35">
        <f>IF(ISBLANK('Data Entry'!$ē$35), "", 'Data Entry'!$ē$35)</f>
      </c>
      <c r="HD35">
        <f>IF(ISBLANK('Data Entry'!$Ĕ$35), "", 'Data Entry'!$Ĕ$35)</f>
      </c>
      <c r="HE35">
        <f>IF(ISBLANK('Data Entry'!$ĕ$35), "", 'Data Entry'!$ĕ$35)</f>
      </c>
      <c r="HF35">
        <f>IF(ISBLANK('Data Entry'!$Ė$35), "", 'Data Entry'!$Ė$35)</f>
      </c>
      <c r="HG35">
        <f>IF(ISBLANK('Data Entry'!$ė$35), "", 'Data Entry'!$ė$35)</f>
      </c>
      <c r="HH35">
        <f>IF(ISBLANK('Data Entry'!$Ę$35), "", 'Data Entry'!$Ę$35)</f>
      </c>
      <c r="HI35">
        <f>IF(ISBLANK('Data Entry'!$ę$35), "", 'Data Entry'!$ę$35)</f>
      </c>
      <c r="HJ35">
        <f>IF(ISBLANK('Data Entry'!$Ě$35), "", 'Data Entry'!$Ě$35)</f>
      </c>
      <c r="HK35">
        <f>IF(ISBLANK('Data Entry'!$ě$35), "", 'Data Entry'!$ě$35)</f>
      </c>
      <c r="HL35">
        <f>IF(ISBLANK('Data Entry'!$Ĝ$35), "", 'Data Entry'!$Ĝ$35)</f>
      </c>
      <c r="HM35">
        <f>IF(ISBLANK('Data Entry'!$ĝ$35), "", 'Data Entry'!$ĝ$35)</f>
      </c>
      <c r="HN35">
        <f>IF(ISBLANK('Data Entry'!$Ğ$35), "", 'Data Entry'!$Ğ$35)</f>
      </c>
      <c r="HO35">
        <f>IF(ISBLANK('Data Entry'!$ğ$35), "", 'Data Entry'!$ğ$35)</f>
      </c>
      <c r="HP35">
        <f>IF(ISBLANK('Data Entry'!$Ġ$35), "", 'Data Entry'!$Ġ$35)</f>
      </c>
      <c r="HQ35">
        <f>IF(ISBLANK('Data Entry'!$ġ$35), "", 'Data Entry'!$ġ$35)</f>
      </c>
      <c r="HR35">
        <f>IF(ISBLANK('Data Entry'!$Ģ$35), "", 'Data Entry'!$Ģ$35)</f>
      </c>
      <c r="HS35">
        <f>IF(ISBLANK('Data Entry'!$ģ$35), "", 'Data Entry'!$ģ$35)</f>
      </c>
      <c r="HT35">
        <f>IF(ISBLANK('Data Entry'!$Ĥ$35), "", 'Data Entry'!$Ĥ$35)</f>
      </c>
      <c r="HU35">
        <f>IF(ISBLANK('Data Entry'!$ĥ$35), "", 'Data Entry'!$ĥ$35)</f>
      </c>
      <c r="HV35">
        <f>IF(ISBLANK('Data Entry'!$Ħ$35), "", 'Data Entry'!$Ħ$35)</f>
      </c>
      <c r="HW35">
        <f>IF(ISBLANK('Data Entry'!$ħ$35), "", 'Data Entry'!$ħ$35)</f>
      </c>
      <c r="HX35">
        <f>IF(ISBLANK('Data Entry'!$Ĩ$35), "", 'Data Entry'!$Ĩ$35)</f>
      </c>
      <c r="HY35">
        <f>IF(ISBLANK('Data Entry'!$ĩ$35), "", 'Data Entry'!$ĩ$35)</f>
      </c>
      <c r="HZ35">
        <f>IF(ISBLANK('Data Entry'!$Ī$35), "", 'Data Entry'!$Ī$35)</f>
      </c>
      <c r="IA35">
        <f>IF(ISBLANK('Data Entry'!$ī$35), "", 'Data Entry'!$ī$35)</f>
      </c>
      <c r="IB35">
        <f>IF(ISBLANK('Data Entry'!$Ĭ$35), "", 'Data Entry'!$Ĭ$35)</f>
      </c>
      <c r="IC35">
        <f>IF(ISBLANK('Data Entry'!$ĭ$35), "", 'Data Entry'!$ĭ$35)</f>
      </c>
      <c r="ID35">
        <f>IF(ISBLANK('Data Entry'!$Į$35), "", 'Data Entry'!$Į$35)</f>
      </c>
      <c r="IE35">
        <f>IF(ISBLANK('Data Entry'!$į$35), "", 'Data Entry'!$į$35)</f>
      </c>
      <c r="IF35">
        <f>IF(ISBLANK('Data Entry'!$İ$35), "", 'Data Entry'!$İ$35)</f>
      </c>
      <c r="IG35">
        <f>IF(ISBLANK('Data Entry'!$ı$35), "", 'Data Entry'!$ı$35)</f>
      </c>
      <c r="IH35">
        <f>IF(ISBLANK('Data Entry'!$Ĳ$35), "", 'Data Entry'!$Ĳ$35)</f>
      </c>
      <c r="II35">
        <f>IF(ISBLANK('Data Entry'!$ĳ$35), "", 'Data Entry'!$ĳ$35)</f>
      </c>
      <c r="IJ35">
        <f>IF(ISBLANK('Data Entry'!$Ĵ$35), "", 'Data Entry'!$Ĵ$35)</f>
      </c>
      <c r="IK35">
        <f>IF(ISBLANK('Data Entry'!$ĵ$35), "", 'Data Entry'!$ĵ$35)</f>
      </c>
      <c r="IL35">
        <f>IF(ISBLANK('Data Entry'!$Ķ$35), "", 'Data Entry'!$Ķ$35)</f>
      </c>
      <c r="IM35">
        <f>IF(ISBLANK('Data Entry'!$ķ$35), "", 'Data Entry'!$ķ$35)</f>
      </c>
      <c r="IN35">
        <f>IF(ISBLANK('Data Entry'!$ĸ$35), "", 'Data Entry'!$ĸ$35)</f>
      </c>
      <c r="IO35">
        <f>IF(ISBLANK('Data Entry'!$Ĺ$35), "", 'Data Entry'!$Ĺ$35)</f>
      </c>
      <c r="IP35">
        <f>IF(ISBLANK('Data Entry'!$ĺ$35), "", 'Data Entry'!$ĺ$35)</f>
      </c>
      <c r="IQ35">
        <f>IF(ISBLANK('Data Entry'!$Ļ$35), "", 'Data Entry'!$Ļ$35)</f>
      </c>
      <c r="IR35">
        <f>IF(ISBLANK('Data Entry'!$ļ$35), "", 'Data Entry'!$ļ$35)</f>
      </c>
      <c r="IS35">
        <f>IF(ISBLANK('Data Entry'!$Ľ$35), "", 'Data Entry'!$Ľ$35)</f>
      </c>
      <c r="IT35">
        <f>IF(ISBLANK('Data Entry'!$ľ$35), "", 'Data Entry'!$ľ$35)</f>
      </c>
    </row>
    <row r="36" spans="1:254" x14ac:dyDescent="0.25">
      <c r="A36">
        <f>IF(ISBLANK('Data Entry'!$A$36), "", 'Data Entry'!$A$36)</f>
      </c>
      <c r="B36">
        <f>IF(ISBLANK('Data Entry'!$B$36), "", 'Data Entry'!$B$36)</f>
      </c>
      <c r="C36">
        <f>IF(ISBLANK('Data Entry'!$C$36), "", 'Data Entry'!$C$36)</f>
      </c>
      <c r="D36">
        <f>IF(ISBLANK('Data Entry'!$D$36), "", 'Data Entry'!$D$36)</f>
      </c>
      <c r="E36">
        <f>IF(ISBLANK('Data Entry'!$E$36), "", 'Data Entry'!$E$36)</f>
      </c>
      <c r="F36">
        <f>IF(ISBLANK('Data Entry'!$F$36), "", 'Data Entry'!$F$36)</f>
      </c>
      <c r="G36">
        <f>IF(ISBLANK('Data Entry'!$G$36), "", 'Data Entry'!$G$36)</f>
      </c>
      <c r="H36">
        <f>IF(ISBLANK('Data Entry'!$H$36), "", 'Data Entry'!$H$36)</f>
      </c>
      <c r="I36">
        <f>IF(ISBLANK('Data Entry'!$I$36), "", 'Data Entry'!$I$36)</f>
      </c>
      <c r="J36">
        <f>IF(ISBLANK('Data Entry'!$J$36), "", 'Data Entry'!$J$36)</f>
      </c>
      <c r="K36">
        <f>IF(ISBLANK('Data Entry'!$K$36), "", 'Data Entry'!$K$36)</f>
      </c>
      <c r="L36">
        <f>IF(ISBLANK('Data Entry'!$L$36), "", 'Data Entry'!$L$36)</f>
      </c>
      <c r="M36">
        <f>IF(ISBLANK('Data Entry'!$M$36), "", 'Data Entry'!$M$36)</f>
      </c>
      <c r="N36">
        <f>IF(ISBLANK('Data Entry'!$N$36), "", 'Data Entry'!$N$36)</f>
      </c>
      <c r="O36">
        <f>IF(ISBLANK('Data Entry'!$O$36), "", 'Data Entry'!$O$36)</f>
      </c>
      <c r="P36">
        <f>IF(ISBLANK('Data Entry'!$P$36), "", 'Data Entry'!$P$36)</f>
      </c>
      <c r="Q36">
        <f>IF(ISBLANK('Data Entry'!$Q$36), "", 'Data Entry'!$Q$36)</f>
      </c>
      <c r="R36">
        <f>IF(ISBLANK('Data Entry'!$R$36), "", 'Data Entry'!$R$36)</f>
      </c>
      <c r="S36">
        <f>IF(ISBLANK('Data Entry'!$S$36), "", 'Data Entry'!$S$36)</f>
      </c>
      <c r="T36">
        <f>IF(ISBLANK('Data Entry'!$T$36), "", 'Data Entry'!$T$36)</f>
      </c>
      <c r="U36">
        <f>IF(ISBLANK('Data Entry'!$U$36), "", 'Data Entry'!$U$36)</f>
      </c>
      <c r="V36">
        <f>IF(ISBLANK('Data Entry'!$V$36), "", 'Data Entry'!$V$36)</f>
      </c>
      <c r="W36">
        <f>IF(ISBLANK('Data Entry'!$W$36), "", 'Data Entry'!$W$36)</f>
      </c>
      <c r="X36">
        <f>IF(ISBLANK('Data Entry'!$X$36), "", 'Data Entry'!$X$36)</f>
      </c>
      <c r="Y36">
        <f>IF(ISBLANK('Data Entry'!$Y$36), "", 'Data Entry'!$Y$36)</f>
      </c>
      <c r="Z36">
        <f>IF(ISBLANK('Data Entry'!$Z$36), "", 'Data Entry'!$Z$36)</f>
      </c>
      <c r="AA36">
        <f>IF(ISBLANK('Data Entry'!$[$36), "", 'Data Entry'!$[$36)</f>
      </c>
      <c r="AB36">
        <f>IF(ISBLANK('Data Entry'!$\$36), "", 'Data Entry'!$\$36)</f>
      </c>
      <c r="AC36">
        <f>IF(ISBLANK('Data Entry'!$]$36), "", 'Data Entry'!$]$36)</f>
      </c>
      <c r="AD36">
        <f>IF(ISBLANK('Data Entry'!$^$36), "", 'Data Entry'!$^$36)</f>
      </c>
      <c r="AE36">
        <f>IF(ISBLANK('Data Entry'!$_$36), "", 'Data Entry'!$_$36)</f>
      </c>
      <c r="AF36">
        <f>IF(ISBLANK('Data Entry'!$`$36), "", 'Data Entry'!$`$36)</f>
      </c>
      <c r="AG36">
        <f>IF(ISBLANK('Data Entry'!$a$36), "", 'Data Entry'!$a$36)</f>
      </c>
      <c r="AH36">
        <f>IF(ISBLANK('Data Entry'!$b$36), "", 'Data Entry'!$b$36)</f>
      </c>
      <c r="AI36">
        <f>IF(ISBLANK('Data Entry'!$c$36), "", 'Data Entry'!$c$36)</f>
      </c>
      <c r="AJ36">
        <f>IF(ISBLANK('Data Entry'!$d$36), "", 'Data Entry'!$d$36)</f>
      </c>
      <c r="AK36">
        <f>IF(ISBLANK('Data Entry'!$e$36), "", 'Data Entry'!$e$36)</f>
      </c>
      <c r="AL36">
        <f>IF(ISBLANK('Data Entry'!$f$36), "", 'Data Entry'!$f$36)</f>
      </c>
      <c r="AM36">
        <f>IF(ISBLANK('Data Entry'!$g$36), "", 'Data Entry'!$g$36)</f>
      </c>
      <c r="AN36">
        <f>IF(ISBLANK('Data Entry'!$h$36), "", 'Data Entry'!$h$36)</f>
      </c>
      <c r="AO36">
        <f>IF(ISBLANK('Data Entry'!$i$36), "", 'Data Entry'!$i$36)</f>
      </c>
      <c r="AP36">
        <f>IF(ISBLANK('Data Entry'!$j$36), "", 'Data Entry'!$j$36)</f>
      </c>
      <c r="AQ36">
        <f>IF(ISBLANK('Data Entry'!$k$36), "", 'Data Entry'!$k$36)</f>
      </c>
      <c r="AR36">
        <f>IF(ISBLANK('Data Entry'!$l$36), "", 'Data Entry'!$l$36)</f>
      </c>
      <c r="AS36">
        <f>IF(ISBLANK('Data Entry'!$m$36), "", 'Data Entry'!$m$36)</f>
      </c>
      <c r="AT36">
        <f>IF(ISBLANK('Data Entry'!$n$36), "", 'Data Entry'!$n$36)</f>
      </c>
      <c r="AU36">
        <f>IF(ISBLANK('Data Entry'!$o$36), "", 'Data Entry'!$o$36)</f>
      </c>
      <c r="AV36">
        <f>IF(ISBLANK('Data Entry'!$p$36), "", 'Data Entry'!$p$36)</f>
      </c>
      <c r="AW36">
        <f>IF(ISBLANK('Data Entry'!$q$36), "", 'Data Entry'!$q$36)</f>
      </c>
      <c r="AX36">
        <f>IF(ISBLANK('Data Entry'!$r$36), "", 'Data Entry'!$r$36)</f>
      </c>
      <c r="AY36">
        <f>IF(ISBLANK('Data Entry'!$s$36), "", 'Data Entry'!$s$36)</f>
      </c>
      <c r="AZ36">
        <f>IF(ISBLANK('Data Entry'!$t$36), "", 'Data Entry'!$t$36)</f>
      </c>
      <c r="BA36">
        <f>IF(ISBLANK('Data Entry'!$u$36), "", 'Data Entry'!$u$36)</f>
      </c>
      <c r="BB36">
        <f>IF(ISBLANK('Data Entry'!$v$36), "", 'Data Entry'!$v$36)</f>
      </c>
      <c r="BC36">
        <f>IF(ISBLANK('Data Entry'!$w$36), "", 'Data Entry'!$w$36)</f>
      </c>
      <c r="BD36">
        <f>IF(ISBLANK('Data Entry'!$x$36), "", 'Data Entry'!$x$36)</f>
      </c>
      <c r="BE36">
        <f>IF(ISBLANK('Data Entry'!$y$36), "", 'Data Entry'!$y$36)</f>
      </c>
      <c r="BF36">
        <f>IF(ISBLANK('Data Entry'!$z$36), "", 'Data Entry'!$z$36)</f>
      </c>
      <c r="BG36">
        <f>IF(ISBLANK('Data Entry'!${$36), "", 'Data Entry'!${$36)</f>
      </c>
      <c r="BH36">
        <f>IF(ISBLANK('Data Entry'!$|$36), "", 'Data Entry'!$|$36)</f>
      </c>
      <c r="BI36">
        <f>IF(ISBLANK('Data Entry'!$}$36), "", 'Data Entry'!$}$36)</f>
      </c>
      <c r="BJ36">
        <f>IF(ISBLANK('Data Entry'!$~$36), "", 'Data Entry'!$~$36)</f>
      </c>
      <c r="BK36">
        <f>IF(ISBLANK('Data Entry'!$$36), "", 'Data Entry'!$$36)</f>
      </c>
      <c r="BL36">
        <f>IF(ISBLANK('Data Entry'!$$36), "", 'Data Entry'!$$36)</f>
      </c>
      <c r="BM36">
        <f>IF(ISBLANK('Data Entry'!$$36), "", 'Data Entry'!$$36)</f>
      </c>
      <c r="BN36">
        <f>IF(ISBLANK('Data Entry'!$$36), "", 'Data Entry'!$$36)</f>
      </c>
      <c r="BO36">
        <f>IF(ISBLANK('Data Entry'!$$36), "", 'Data Entry'!$$36)</f>
      </c>
      <c r="BP36">
        <f>IF(ISBLANK('Data Entry'!$$36), "", 'Data Entry'!$$36)</f>
      </c>
      <c r="BQ36">
        <f>IF(ISBLANK('Data Entry'!$$36), "", 'Data Entry'!$$36)</f>
      </c>
      <c r="BR36">
        <f>IF(ISBLANK('Data Entry'!$$36), "", 'Data Entry'!$$36)</f>
      </c>
      <c r="BS36">
        <f>IF(ISBLANK('Data Entry'!$$36), "", 'Data Entry'!$$36)</f>
      </c>
      <c r="BT36">
        <f>IF(ISBLANK('Data Entry'!$$36), "", 'Data Entry'!$$36)</f>
      </c>
      <c r="BU36">
        <f>IF(ISBLANK('Data Entry'!$$36), "", 'Data Entry'!$$36)</f>
      </c>
      <c r="BV36">
        <f>IF(ISBLANK('Data Entry'!$$36), "", 'Data Entry'!$$36)</f>
      </c>
      <c r="BW36">
        <f>IF(ISBLANK('Data Entry'!$$36), "", 'Data Entry'!$$36)</f>
      </c>
      <c r="BX36">
        <f>IF(ISBLANK('Data Entry'!$$36), "", 'Data Entry'!$$36)</f>
      </c>
      <c r="BY36">
        <f>IF(ISBLANK('Data Entry'!$$36), "", 'Data Entry'!$$36)</f>
      </c>
      <c r="BZ36">
        <f>IF(ISBLANK('Data Entry'!$$36), "", 'Data Entry'!$$36)</f>
      </c>
      <c r="CA36">
        <f>IF(ISBLANK('Data Entry'!$$36), "", 'Data Entry'!$$36)</f>
      </c>
      <c r="CB36">
        <f>IF(ISBLANK('Data Entry'!$$36), "", 'Data Entry'!$$36)</f>
      </c>
      <c r="CC36">
        <f>IF(ISBLANK('Data Entry'!$$36), "", 'Data Entry'!$$36)</f>
      </c>
      <c r="CD36">
        <f>IF(ISBLANK('Data Entry'!$$36), "", 'Data Entry'!$$36)</f>
      </c>
      <c r="CE36">
        <f>IF(ISBLANK('Data Entry'!$$36), "", 'Data Entry'!$$36)</f>
      </c>
      <c r="CF36">
        <f>IF(ISBLANK('Data Entry'!$$36), "", 'Data Entry'!$$36)</f>
      </c>
      <c r="CG36">
        <f>IF(ISBLANK('Data Entry'!$$36), "", 'Data Entry'!$$36)</f>
      </c>
      <c r="CH36">
        <f>IF(ISBLANK('Data Entry'!$$36), "", 'Data Entry'!$$36)</f>
      </c>
      <c r="CI36">
        <f>IF(ISBLANK('Data Entry'!$$36), "", 'Data Entry'!$$36)</f>
      </c>
      <c r="CJ36">
        <f>IF(ISBLANK('Data Entry'!$$36), "", 'Data Entry'!$$36)</f>
      </c>
      <c r="CK36">
        <f>IF(ISBLANK('Data Entry'!$$36), "", 'Data Entry'!$$36)</f>
      </c>
      <c r="CL36">
        <f>IF(ISBLANK('Data Entry'!$$36), "", 'Data Entry'!$$36)</f>
      </c>
      <c r="CM36">
        <f>IF(ISBLANK('Data Entry'!$$36), "", 'Data Entry'!$$36)</f>
      </c>
      <c r="CN36">
        <f>IF(ISBLANK('Data Entry'!$$36), "", 'Data Entry'!$$36)</f>
      </c>
      <c r="CO36">
        <f>IF(ISBLANK('Data Entry'!$$36), "", 'Data Entry'!$$36)</f>
      </c>
      <c r="CP36">
        <f>IF(ISBLANK('Data Entry'!$$36), "", 'Data Entry'!$$36)</f>
      </c>
      <c r="CQ36">
        <f>IF(ISBLANK('Data Entry'!$$36), "", 'Data Entry'!$$36)</f>
      </c>
      <c r="CR36">
        <f>IF(ISBLANK('Data Entry'!$ $36), "", 'Data Entry'!$ $36)</f>
      </c>
      <c r="CS36">
        <f>IF(ISBLANK('Data Entry'!$¡$36), "", 'Data Entry'!$¡$36)</f>
      </c>
      <c r="CT36">
        <f>IF(ISBLANK('Data Entry'!$¢$36), "", 'Data Entry'!$¢$36)</f>
      </c>
      <c r="CU36">
        <f>IF(ISBLANK('Data Entry'!$£$36), "", 'Data Entry'!$£$36)</f>
      </c>
      <c r="CV36">
        <f>IF(ISBLANK('Data Entry'!$¤$36), "", 'Data Entry'!$¤$36)</f>
      </c>
      <c r="CW36">
        <f>IF(ISBLANK('Data Entry'!$¥$36), "", 'Data Entry'!$¥$36)</f>
      </c>
      <c r="CX36">
        <f>IF(ISBLANK('Data Entry'!$¦$36), "", 'Data Entry'!$¦$36)</f>
      </c>
      <c r="CY36">
        <f>IF(ISBLANK('Data Entry'!$§$36), "", 'Data Entry'!$§$36)</f>
      </c>
      <c r="CZ36">
        <f>IF(ISBLANK('Data Entry'!$¨$36), "", 'Data Entry'!$¨$36)</f>
      </c>
      <c r="DA36">
        <f>IF(ISBLANK('Data Entry'!$©$36), "", 'Data Entry'!$©$36)</f>
      </c>
      <c r="DB36">
        <f>IF(ISBLANK('Data Entry'!$ª$36), "", 'Data Entry'!$ª$36)</f>
      </c>
      <c r="DC36">
        <f>IF(ISBLANK('Data Entry'!$«$36), "", 'Data Entry'!$«$36)</f>
      </c>
      <c r="DD36">
        <f>IF(ISBLANK('Data Entry'!$¬$36), "", 'Data Entry'!$¬$36)</f>
      </c>
      <c r="DE36">
        <f>IF(ISBLANK('Data Entry'!$­$36), "", 'Data Entry'!$­$36)</f>
      </c>
      <c r="DF36">
        <f>IF(ISBLANK('Data Entry'!$®$36), "", 'Data Entry'!$®$36)</f>
      </c>
      <c r="DG36">
        <f>IF(ISBLANK('Data Entry'!$¯$36), "", 'Data Entry'!$¯$36)</f>
      </c>
      <c r="DH36">
        <f>IF(ISBLANK('Data Entry'!$°$36), "", 'Data Entry'!$°$36)</f>
      </c>
      <c r="DI36">
        <f>IF(ISBLANK('Data Entry'!$±$36), "", 'Data Entry'!$±$36)</f>
      </c>
      <c r="DJ36">
        <f>IF(ISBLANK('Data Entry'!$²$36), "", 'Data Entry'!$²$36)</f>
      </c>
      <c r="DK36">
        <f>IF(ISBLANK('Data Entry'!$³$36), "", 'Data Entry'!$³$36)</f>
      </c>
      <c r="DL36">
        <f>IF(ISBLANK('Data Entry'!$´$36), "", 'Data Entry'!$´$36)</f>
      </c>
      <c r="DM36">
        <f>IF(ISBLANK('Data Entry'!$µ$36), "", 'Data Entry'!$µ$36)</f>
      </c>
      <c r="DN36">
        <f>IF(ISBLANK('Data Entry'!$¶$36), "", 'Data Entry'!$¶$36)</f>
      </c>
      <c r="DO36">
        <f>IF(ISBLANK('Data Entry'!$·$36), "", 'Data Entry'!$·$36)</f>
      </c>
      <c r="DP36">
        <f>IF(ISBLANK('Data Entry'!$¸$36), "", 'Data Entry'!$¸$36)</f>
      </c>
      <c r="DQ36">
        <f>IF(ISBLANK('Data Entry'!$¹$36), "", 'Data Entry'!$¹$36)</f>
      </c>
      <c r="DR36">
        <f>IF(ISBLANK('Data Entry'!$º$36), "", 'Data Entry'!$º$36)</f>
      </c>
      <c r="DS36">
        <f>IF(ISBLANK('Data Entry'!$»$36), "", 'Data Entry'!$»$36)</f>
      </c>
      <c r="DT36">
        <f>IF(ISBLANK('Data Entry'!$¼$36), "", 'Data Entry'!$¼$36)</f>
      </c>
      <c r="DU36">
        <f>IF(ISBLANK('Data Entry'!$½$36), "", 'Data Entry'!$½$36)</f>
      </c>
      <c r="DV36">
        <f>IF(ISBLANK('Data Entry'!$¾$36), "", 'Data Entry'!$¾$36)</f>
      </c>
      <c r="DW36">
        <f>IF(ISBLANK('Data Entry'!$¿$36), "", 'Data Entry'!$¿$36)</f>
      </c>
      <c r="DX36">
        <f>IF(ISBLANK('Data Entry'!$À$36), "", 'Data Entry'!$À$36)</f>
      </c>
      <c r="DY36">
        <f>IF(ISBLANK('Data Entry'!$Á$36), "", 'Data Entry'!$Á$36)</f>
      </c>
      <c r="DZ36">
        <f>IF(ISBLANK('Data Entry'!$Â$36), "", 'Data Entry'!$Â$36)</f>
      </c>
      <c r="EA36">
        <f>IF(ISBLANK('Data Entry'!$Ã$36), "", 'Data Entry'!$Ã$36)</f>
      </c>
      <c r="EB36">
        <f>IF(ISBLANK('Data Entry'!$Ä$36), "", 'Data Entry'!$Ä$36)</f>
      </c>
      <c r="EC36">
        <f>IF(ISBLANK('Data Entry'!$Å$36), "", 'Data Entry'!$Å$36)</f>
      </c>
      <c r="ED36">
        <f>IF(ISBLANK('Data Entry'!$Æ$36), "", 'Data Entry'!$Æ$36)</f>
      </c>
      <c r="EE36">
        <f>IF(ISBLANK('Data Entry'!$Ç$36), "", 'Data Entry'!$Ç$36)</f>
      </c>
      <c r="EF36">
        <f>IF(ISBLANK('Data Entry'!$È$36), "", 'Data Entry'!$È$36)</f>
      </c>
      <c r="EG36">
        <f>IF(ISBLANK('Data Entry'!$É$36), "", 'Data Entry'!$É$36)</f>
      </c>
      <c r="EH36">
        <f>IF(ISBLANK('Data Entry'!$Ê$36), "", 'Data Entry'!$Ê$36)</f>
      </c>
      <c r="EI36">
        <f>IF(ISBLANK('Data Entry'!$Ë$36), "", 'Data Entry'!$Ë$36)</f>
      </c>
      <c r="EJ36">
        <f>IF(ISBLANK('Data Entry'!$Ì$36), "", 'Data Entry'!$Ì$36)</f>
      </c>
      <c r="EK36">
        <f>IF(ISBLANK('Data Entry'!$Í$36), "", 'Data Entry'!$Í$36)</f>
      </c>
      <c r="EL36">
        <f>IF(ISBLANK('Data Entry'!$Î$36), "", 'Data Entry'!$Î$36)</f>
      </c>
      <c r="EM36">
        <f>IF(ISBLANK('Data Entry'!$Ï$36), "", 'Data Entry'!$Ï$36)</f>
      </c>
      <c r="EN36">
        <f>IF(ISBLANK('Data Entry'!$Ð$36), "", 'Data Entry'!$Ð$36)</f>
      </c>
      <c r="EO36">
        <f>IF(ISBLANK('Data Entry'!$Ñ$36), "", 'Data Entry'!$Ñ$36)</f>
      </c>
      <c r="EP36">
        <f>IF(ISBLANK('Data Entry'!$Ò$36), "", 'Data Entry'!$Ò$36)</f>
      </c>
      <c r="EQ36">
        <f>IF(ISBLANK('Data Entry'!$Ó$36), "", 'Data Entry'!$Ó$36)</f>
      </c>
      <c r="ER36">
        <f>IF(ISBLANK('Data Entry'!$Ô$36), "", 'Data Entry'!$Ô$36)</f>
      </c>
      <c r="ES36">
        <f>IF(ISBLANK('Data Entry'!$Õ$36), "", 'Data Entry'!$Õ$36)</f>
      </c>
      <c r="ET36">
        <f>IF(ISBLANK('Data Entry'!$Ö$36), "", 'Data Entry'!$Ö$36)</f>
      </c>
      <c r="EU36">
        <f>IF(ISBLANK('Data Entry'!$×$36), "", 'Data Entry'!$×$36)</f>
      </c>
      <c r="EV36">
        <f>IF(ISBLANK('Data Entry'!$Ø$36), "", 'Data Entry'!$Ø$36)</f>
      </c>
      <c r="EW36">
        <f>IF(ISBLANK('Data Entry'!$Ù$36), "", 'Data Entry'!$Ù$36)</f>
      </c>
      <c r="EX36">
        <f>IF(ISBLANK('Data Entry'!$Ú$36), "", 'Data Entry'!$Ú$36)</f>
      </c>
      <c r="EY36">
        <f>IF(ISBLANK('Data Entry'!$Û$36), "", 'Data Entry'!$Û$36)</f>
      </c>
      <c r="EZ36">
        <f>IF(ISBLANK('Data Entry'!$Ü$36), "", 'Data Entry'!$Ü$36)</f>
      </c>
      <c r="FA36">
        <f>IF(ISBLANK('Data Entry'!$Ý$36), "", 'Data Entry'!$Ý$36)</f>
      </c>
      <c r="FB36">
        <f>IF(ISBLANK('Data Entry'!$Þ$36), "", 'Data Entry'!$Þ$36)</f>
      </c>
      <c r="FC36">
        <f>IF(ISBLANK('Data Entry'!$ß$36), "", 'Data Entry'!$ß$36)</f>
      </c>
      <c r="FD36">
        <f>IF(ISBLANK('Data Entry'!$à$36), "", 'Data Entry'!$à$36)</f>
      </c>
      <c r="FE36">
        <f>IF(ISBLANK('Data Entry'!$á$36), "", 'Data Entry'!$á$36)</f>
      </c>
      <c r="FF36">
        <f>IF(ISBLANK('Data Entry'!$â$36), "", 'Data Entry'!$â$36)</f>
      </c>
      <c r="FG36">
        <f>IF(ISBLANK('Data Entry'!$ã$36), "", 'Data Entry'!$ã$36)</f>
      </c>
      <c r="FH36">
        <f>IF(ISBLANK('Data Entry'!$ä$36), "", 'Data Entry'!$ä$36)</f>
      </c>
      <c r="FI36">
        <f>IF(ISBLANK('Data Entry'!$å$36), "", 'Data Entry'!$å$36)</f>
      </c>
      <c r="FJ36">
        <f>IF(ISBLANK('Data Entry'!$æ$36), "", 'Data Entry'!$æ$36)</f>
      </c>
      <c r="FK36">
        <f>IF(ISBLANK('Data Entry'!$ç$36), "", 'Data Entry'!$ç$36)</f>
      </c>
      <c r="FL36">
        <f>IF(ISBLANK('Data Entry'!$è$36), "", 'Data Entry'!$è$36)</f>
      </c>
      <c r="FM36">
        <f>IF(ISBLANK('Data Entry'!$é$36), "", 'Data Entry'!$é$36)</f>
      </c>
      <c r="FN36">
        <f>IF(ISBLANK('Data Entry'!$ê$36), "", 'Data Entry'!$ê$36)</f>
      </c>
      <c r="FO36">
        <f>IF(ISBLANK('Data Entry'!$ë$36), "", 'Data Entry'!$ë$36)</f>
      </c>
      <c r="FP36">
        <f>IF(ISBLANK('Data Entry'!$ì$36), "", 'Data Entry'!$ì$36)</f>
      </c>
      <c r="FQ36">
        <f>IF(ISBLANK('Data Entry'!$í$36), "", 'Data Entry'!$í$36)</f>
      </c>
      <c r="FR36">
        <f>IF(ISBLANK('Data Entry'!$î$36), "", 'Data Entry'!$î$36)</f>
      </c>
      <c r="FS36">
        <f>IF(ISBLANK('Data Entry'!$ï$36), "", 'Data Entry'!$ï$36)</f>
      </c>
      <c r="FT36">
        <f>IF(ISBLANK('Data Entry'!$ð$36), "", 'Data Entry'!$ð$36)</f>
      </c>
      <c r="FU36">
        <f>IF(ISBLANK('Data Entry'!$ñ$36), "", 'Data Entry'!$ñ$36)</f>
      </c>
      <c r="FV36">
        <f>IF(ISBLANK('Data Entry'!$ò$36), "", 'Data Entry'!$ò$36)</f>
      </c>
      <c r="FW36">
        <f>IF(ISBLANK('Data Entry'!$ó$36), "", 'Data Entry'!$ó$36)</f>
      </c>
      <c r="FX36">
        <f>IF(ISBLANK('Data Entry'!$ô$36), "", 'Data Entry'!$ô$36)</f>
      </c>
      <c r="FY36">
        <f>IF(ISBLANK('Data Entry'!$õ$36), "", 'Data Entry'!$õ$36)</f>
      </c>
      <c r="FZ36">
        <f>IF(ISBLANK('Data Entry'!$ö$36), "", 'Data Entry'!$ö$36)</f>
      </c>
      <c r="GA36">
        <f>IF(ISBLANK('Data Entry'!$÷$36), "", 'Data Entry'!$÷$36)</f>
      </c>
      <c r="GB36">
        <f>IF(ISBLANK('Data Entry'!$ø$36), "", 'Data Entry'!$ø$36)</f>
      </c>
      <c r="GC36">
        <f>IF(ISBLANK('Data Entry'!$ù$36), "", 'Data Entry'!$ù$36)</f>
      </c>
      <c r="GD36">
        <f>IF(ISBLANK('Data Entry'!$ú$36), "", 'Data Entry'!$ú$36)</f>
      </c>
      <c r="GE36">
        <f>IF(ISBLANK('Data Entry'!$û$36), "", 'Data Entry'!$û$36)</f>
      </c>
      <c r="GF36">
        <f>IF(ISBLANK('Data Entry'!$ü$36), "", 'Data Entry'!$ü$36)</f>
      </c>
      <c r="GG36">
        <f>IF(ISBLANK('Data Entry'!$ý$36), "", 'Data Entry'!$ý$36)</f>
      </c>
      <c r="GH36">
        <f>IF(ISBLANK('Data Entry'!$þ$36), "", 'Data Entry'!$þ$36)</f>
      </c>
      <c r="GI36">
        <f>IF(ISBLANK('Data Entry'!$ÿ$36), "", 'Data Entry'!$ÿ$36)</f>
      </c>
      <c r="GJ36">
        <f>IF(ISBLANK('Data Entry'!$Ā$36), "", 'Data Entry'!$Ā$36)</f>
      </c>
      <c r="GK36">
        <f>IF(ISBLANK('Data Entry'!$ā$36), "", 'Data Entry'!$ā$36)</f>
      </c>
      <c r="GL36">
        <f>IF(ISBLANK('Data Entry'!$Ă$36), "", 'Data Entry'!$Ă$36)</f>
      </c>
      <c r="GM36">
        <f>IF(ISBLANK('Data Entry'!$ă$36), "", 'Data Entry'!$ă$36)</f>
      </c>
      <c r="GN36">
        <f>IF(ISBLANK('Data Entry'!$Ą$36), "", 'Data Entry'!$Ą$36)</f>
      </c>
      <c r="GO36">
        <f>IF(ISBLANK('Data Entry'!$ą$36), "", 'Data Entry'!$ą$36)</f>
      </c>
      <c r="GP36">
        <f>IF(ISBLANK('Data Entry'!$Ć$36), "", 'Data Entry'!$Ć$36)</f>
      </c>
      <c r="GQ36">
        <f>IF(ISBLANK('Data Entry'!$ć$36), "", 'Data Entry'!$ć$36)</f>
      </c>
      <c r="GR36">
        <f>IF(ISBLANK('Data Entry'!$Ĉ$36), "", 'Data Entry'!$Ĉ$36)</f>
      </c>
      <c r="GS36">
        <f>IF(ISBLANK('Data Entry'!$ĉ$36), "", 'Data Entry'!$ĉ$36)</f>
      </c>
      <c r="GT36">
        <f>IF(ISBLANK('Data Entry'!$Ċ$36), "", 'Data Entry'!$Ċ$36)</f>
      </c>
      <c r="GU36">
        <f>IF(ISBLANK('Data Entry'!$ċ$36), "", 'Data Entry'!$ċ$36)</f>
      </c>
      <c r="GV36">
        <f>IF(ISBLANK('Data Entry'!$Č$36), "", 'Data Entry'!$Č$36)</f>
      </c>
      <c r="GW36">
        <f>IF(ISBLANK('Data Entry'!$č$36), "", 'Data Entry'!$č$36)</f>
      </c>
      <c r="GX36">
        <f>IF(ISBLANK('Data Entry'!$Ď$36), "", 'Data Entry'!$Ď$36)</f>
      </c>
      <c r="GY36">
        <f>IF(ISBLANK('Data Entry'!$ď$36), "", 'Data Entry'!$ď$36)</f>
      </c>
      <c r="GZ36">
        <f>IF(ISBLANK('Data Entry'!$Đ$36), "", 'Data Entry'!$Đ$36)</f>
      </c>
      <c r="HA36">
        <f>IF(ISBLANK('Data Entry'!$đ$36), "", 'Data Entry'!$đ$36)</f>
      </c>
      <c r="HB36">
        <f>IF(ISBLANK('Data Entry'!$Ē$36), "", 'Data Entry'!$Ē$36)</f>
      </c>
      <c r="HC36">
        <f>IF(ISBLANK('Data Entry'!$ē$36), "", 'Data Entry'!$ē$36)</f>
      </c>
      <c r="HD36">
        <f>IF(ISBLANK('Data Entry'!$Ĕ$36), "", 'Data Entry'!$Ĕ$36)</f>
      </c>
      <c r="HE36">
        <f>IF(ISBLANK('Data Entry'!$ĕ$36), "", 'Data Entry'!$ĕ$36)</f>
      </c>
      <c r="HF36">
        <f>IF(ISBLANK('Data Entry'!$Ė$36), "", 'Data Entry'!$Ė$36)</f>
      </c>
      <c r="HG36">
        <f>IF(ISBLANK('Data Entry'!$ė$36), "", 'Data Entry'!$ė$36)</f>
      </c>
      <c r="HH36">
        <f>IF(ISBLANK('Data Entry'!$Ę$36), "", 'Data Entry'!$Ę$36)</f>
      </c>
      <c r="HI36">
        <f>IF(ISBLANK('Data Entry'!$ę$36), "", 'Data Entry'!$ę$36)</f>
      </c>
      <c r="HJ36">
        <f>IF(ISBLANK('Data Entry'!$Ě$36), "", 'Data Entry'!$Ě$36)</f>
      </c>
      <c r="HK36">
        <f>IF(ISBLANK('Data Entry'!$ě$36), "", 'Data Entry'!$ě$36)</f>
      </c>
      <c r="HL36">
        <f>IF(ISBLANK('Data Entry'!$Ĝ$36), "", 'Data Entry'!$Ĝ$36)</f>
      </c>
      <c r="HM36">
        <f>IF(ISBLANK('Data Entry'!$ĝ$36), "", 'Data Entry'!$ĝ$36)</f>
      </c>
      <c r="HN36">
        <f>IF(ISBLANK('Data Entry'!$Ğ$36), "", 'Data Entry'!$Ğ$36)</f>
      </c>
      <c r="HO36">
        <f>IF(ISBLANK('Data Entry'!$ğ$36), "", 'Data Entry'!$ğ$36)</f>
      </c>
      <c r="HP36">
        <f>IF(ISBLANK('Data Entry'!$Ġ$36), "", 'Data Entry'!$Ġ$36)</f>
      </c>
      <c r="HQ36">
        <f>IF(ISBLANK('Data Entry'!$ġ$36), "", 'Data Entry'!$ġ$36)</f>
      </c>
      <c r="HR36">
        <f>IF(ISBLANK('Data Entry'!$Ģ$36), "", 'Data Entry'!$Ģ$36)</f>
      </c>
      <c r="HS36">
        <f>IF(ISBLANK('Data Entry'!$ģ$36), "", 'Data Entry'!$ģ$36)</f>
      </c>
      <c r="HT36">
        <f>IF(ISBLANK('Data Entry'!$Ĥ$36), "", 'Data Entry'!$Ĥ$36)</f>
      </c>
      <c r="HU36">
        <f>IF(ISBLANK('Data Entry'!$ĥ$36), "", 'Data Entry'!$ĥ$36)</f>
      </c>
      <c r="HV36">
        <f>IF(ISBLANK('Data Entry'!$Ħ$36), "", 'Data Entry'!$Ħ$36)</f>
      </c>
      <c r="HW36">
        <f>IF(ISBLANK('Data Entry'!$ħ$36), "", 'Data Entry'!$ħ$36)</f>
      </c>
      <c r="HX36">
        <f>IF(ISBLANK('Data Entry'!$Ĩ$36), "", 'Data Entry'!$Ĩ$36)</f>
      </c>
      <c r="HY36">
        <f>IF(ISBLANK('Data Entry'!$ĩ$36), "", 'Data Entry'!$ĩ$36)</f>
      </c>
      <c r="HZ36">
        <f>IF(ISBLANK('Data Entry'!$Ī$36), "", 'Data Entry'!$Ī$36)</f>
      </c>
      <c r="IA36">
        <f>IF(ISBLANK('Data Entry'!$ī$36), "", 'Data Entry'!$ī$36)</f>
      </c>
      <c r="IB36">
        <f>IF(ISBLANK('Data Entry'!$Ĭ$36), "", 'Data Entry'!$Ĭ$36)</f>
      </c>
      <c r="IC36">
        <f>IF(ISBLANK('Data Entry'!$ĭ$36), "", 'Data Entry'!$ĭ$36)</f>
      </c>
      <c r="ID36">
        <f>IF(ISBLANK('Data Entry'!$Į$36), "", 'Data Entry'!$Į$36)</f>
      </c>
      <c r="IE36">
        <f>IF(ISBLANK('Data Entry'!$į$36), "", 'Data Entry'!$į$36)</f>
      </c>
      <c r="IF36">
        <f>IF(ISBLANK('Data Entry'!$İ$36), "", 'Data Entry'!$İ$36)</f>
      </c>
      <c r="IG36">
        <f>IF(ISBLANK('Data Entry'!$ı$36), "", 'Data Entry'!$ı$36)</f>
      </c>
      <c r="IH36">
        <f>IF(ISBLANK('Data Entry'!$Ĳ$36), "", 'Data Entry'!$Ĳ$36)</f>
      </c>
      <c r="II36">
        <f>IF(ISBLANK('Data Entry'!$ĳ$36), "", 'Data Entry'!$ĳ$36)</f>
      </c>
      <c r="IJ36">
        <f>IF(ISBLANK('Data Entry'!$Ĵ$36), "", 'Data Entry'!$Ĵ$36)</f>
      </c>
      <c r="IK36">
        <f>IF(ISBLANK('Data Entry'!$ĵ$36), "", 'Data Entry'!$ĵ$36)</f>
      </c>
      <c r="IL36">
        <f>IF(ISBLANK('Data Entry'!$Ķ$36), "", 'Data Entry'!$Ķ$36)</f>
      </c>
      <c r="IM36">
        <f>IF(ISBLANK('Data Entry'!$ķ$36), "", 'Data Entry'!$ķ$36)</f>
      </c>
      <c r="IN36">
        <f>IF(ISBLANK('Data Entry'!$ĸ$36), "", 'Data Entry'!$ĸ$36)</f>
      </c>
      <c r="IO36">
        <f>IF(ISBLANK('Data Entry'!$Ĺ$36), "", 'Data Entry'!$Ĺ$36)</f>
      </c>
      <c r="IP36">
        <f>IF(ISBLANK('Data Entry'!$ĺ$36), "", 'Data Entry'!$ĺ$36)</f>
      </c>
      <c r="IQ36">
        <f>IF(ISBLANK('Data Entry'!$Ļ$36), "", 'Data Entry'!$Ļ$36)</f>
      </c>
      <c r="IR36">
        <f>IF(ISBLANK('Data Entry'!$ļ$36), "", 'Data Entry'!$ļ$36)</f>
      </c>
      <c r="IS36">
        <f>IF(ISBLANK('Data Entry'!$Ľ$36), "", 'Data Entry'!$Ľ$36)</f>
      </c>
      <c r="IT36">
        <f>IF(ISBLANK('Data Entry'!$ľ$36), "", 'Data Entry'!$ľ$36)</f>
      </c>
    </row>
    <row r="37" spans="1:254" x14ac:dyDescent="0.25">
      <c r="A37">
        <f>IF(ISBLANK('Data Entry'!$A$37), "", 'Data Entry'!$A$37)</f>
      </c>
      <c r="B37">
        <f>IF(ISBLANK('Data Entry'!$B$37), "", 'Data Entry'!$B$37)</f>
      </c>
      <c r="C37">
        <f>IF(ISBLANK('Data Entry'!$C$37), "", 'Data Entry'!$C$37)</f>
      </c>
      <c r="D37">
        <f>IF(ISBLANK('Data Entry'!$D$37), "", 'Data Entry'!$D$37)</f>
      </c>
      <c r="E37">
        <f>IF(ISBLANK('Data Entry'!$E$37), "", 'Data Entry'!$E$37)</f>
      </c>
      <c r="F37">
        <f>IF(ISBLANK('Data Entry'!$F$37), "", 'Data Entry'!$F$37)</f>
      </c>
      <c r="G37">
        <f>IF(ISBLANK('Data Entry'!$G$37), "", 'Data Entry'!$G$37)</f>
      </c>
      <c r="H37">
        <f>IF(ISBLANK('Data Entry'!$H$37), "", 'Data Entry'!$H$37)</f>
      </c>
      <c r="I37">
        <f>IF(ISBLANK('Data Entry'!$I$37), "", 'Data Entry'!$I$37)</f>
      </c>
      <c r="J37">
        <f>IF(ISBLANK('Data Entry'!$J$37), "", 'Data Entry'!$J$37)</f>
      </c>
      <c r="K37">
        <f>IF(ISBLANK('Data Entry'!$K$37), "", 'Data Entry'!$K$37)</f>
      </c>
      <c r="L37">
        <f>IF(ISBLANK('Data Entry'!$L$37), "", 'Data Entry'!$L$37)</f>
      </c>
      <c r="M37">
        <f>IF(ISBLANK('Data Entry'!$M$37), "", 'Data Entry'!$M$37)</f>
      </c>
      <c r="N37">
        <f>IF(ISBLANK('Data Entry'!$N$37), "", 'Data Entry'!$N$37)</f>
      </c>
      <c r="O37">
        <f>IF(ISBLANK('Data Entry'!$O$37), "", 'Data Entry'!$O$37)</f>
      </c>
      <c r="P37">
        <f>IF(ISBLANK('Data Entry'!$P$37), "", 'Data Entry'!$P$37)</f>
      </c>
      <c r="Q37">
        <f>IF(ISBLANK('Data Entry'!$Q$37), "", 'Data Entry'!$Q$37)</f>
      </c>
      <c r="R37">
        <f>IF(ISBLANK('Data Entry'!$R$37), "", 'Data Entry'!$R$37)</f>
      </c>
      <c r="S37">
        <f>IF(ISBLANK('Data Entry'!$S$37), "", 'Data Entry'!$S$37)</f>
      </c>
      <c r="T37">
        <f>IF(ISBLANK('Data Entry'!$T$37), "", 'Data Entry'!$T$37)</f>
      </c>
      <c r="U37">
        <f>IF(ISBLANK('Data Entry'!$U$37), "", 'Data Entry'!$U$37)</f>
      </c>
      <c r="V37">
        <f>IF(ISBLANK('Data Entry'!$V$37), "", 'Data Entry'!$V$37)</f>
      </c>
      <c r="W37">
        <f>IF(ISBLANK('Data Entry'!$W$37), "", 'Data Entry'!$W$37)</f>
      </c>
      <c r="X37">
        <f>IF(ISBLANK('Data Entry'!$X$37), "", 'Data Entry'!$X$37)</f>
      </c>
      <c r="Y37">
        <f>IF(ISBLANK('Data Entry'!$Y$37), "", 'Data Entry'!$Y$37)</f>
      </c>
      <c r="Z37">
        <f>IF(ISBLANK('Data Entry'!$Z$37), "", 'Data Entry'!$Z$37)</f>
      </c>
      <c r="AA37">
        <f>IF(ISBLANK('Data Entry'!$[$37), "", 'Data Entry'!$[$37)</f>
      </c>
      <c r="AB37">
        <f>IF(ISBLANK('Data Entry'!$\$37), "", 'Data Entry'!$\$37)</f>
      </c>
      <c r="AC37">
        <f>IF(ISBLANK('Data Entry'!$]$37), "", 'Data Entry'!$]$37)</f>
      </c>
      <c r="AD37">
        <f>IF(ISBLANK('Data Entry'!$^$37), "", 'Data Entry'!$^$37)</f>
      </c>
      <c r="AE37">
        <f>IF(ISBLANK('Data Entry'!$_$37), "", 'Data Entry'!$_$37)</f>
      </c>
      <c r="AF37">
        <f>IF(ISBLANK('Data Entry'!$`$37), "", 'Data Entry'!$`$37)</f>
      </c>
      <c r="AG37">
        <f>IF(ISBLANK('Data Entry'!$a$37), "", 'Data Entry'!$a$37)</f>
      </c>
      <c r="AH37">
        <f>IF(ISBLANK('Data Entry'!$b$37), "", 'Data Entry'!$b$37)</f>
      </c>
      <c r="AI37">
        <f>IF(ISBLANK('Data Entry'!$c$37), "", 'Data Entry'!$c$37)</f>
      </c>
      <c r="AJ37">
        <f>IF(ISBLANK('Data Entry'!$d$37), "", 'Data Entry'!$d$37)</f>
      </c>
      <c r="AK37">
        <f>IF(ISBLANK('Data Entry'!$e$37), "", 'Data Entry'!$e$37)</f>
      </c>
      <c r="AL37">
        <f>IF(ISBLANK('Data Entry'!$f$37), "", 'Data Entry'!$f$37)</f>
      </c>
      <c r="AM37">
        <f>IF(ISBLANK('Data Entry'!$g$37), "", 'Data Entry'!$g$37)</f>
      </c>
      <c r="AN37">
        <f>IF(ISBLANK('Data Entry'!$h$37), "", 'Data Entry'!$h$37)</f>
      </c>
      <c r="AO37">
        <f>IF(ISBLANK('Data Entry'!$i$37), "", 'Data Entry'!$i$37)</f>
      </c>
      <c r="AP37">
        <f>IF(ISBLANK('Data Entry'!$j$37), "", 'Data Entry'!$j$37)</f>
      </c>
      <c r="AQ37">
        <f>IF(ISBLANK('Data Entry'!$k$37), "", 'Data Entry'!$k$37)</f>
      </c>
      <c r="AR37">
        <f>IF(ISBLANK('Data Entry'!$l$37), "", 'Data Entry'!$l$37)</f>
      </c>
      <c r="AS37">
        <f>IF(ISBLANK('Data Entry'!$m$37), "", 'Data Entry'!$m$37)</f>
      </c>
      <c r="AT37">
        <f>IF(ISBLANK('Data Entry'!$n$37), "", 'Data Entry'!$n$37)</f>
      </c>
      <c r="AU37">
        <f>IF(ISBLANK('Data Entry'!$o$37), "", 'Data Entry'!$o$37)</f>
      </c>
      <c r="AV37">
        <f>IF(ISBLANK('Data Entry'!$p$37), "", 'Data Entry'!$p$37)</f>
      </c>
      <c r="AW37">
        <f>IF(ISBLANK('Data Entry'!$q$37), "", 'Data Entry'!$q$37)</f>
      </c>
      <c r="AX37">
        <f>IF(ISBLANK('Data Entry'!$r$37), "", 'Data Entry'!$r$37)</f>
      </c>
      <c r="AY37">
        <f>IF(ISBLANK('Data Entry'!$s$37), "", 'Data Entry'!$s$37)</f>
      </c>
      <c r="AZ37">
        <f>IF(ISBLANK('Data Entry'!$t$37), "", 'Data Entry'!$t$37)</f>
      </c>
      <c r="BA37">
        <f>IF(ISBLANK('Data Entry'!$u$37), "", 'Data Entry'!$u$37)</f>
      </c>
      <c r="BB37">
        <f>IF(ISBLANK('Data Entry'!$v$37), "", 'Data Entry'!$v$37)</f>
      </c>
      <c r="BC37">
        <f>IF(ISBLANK('Data Entry'!$w$37), "", 'Data Entry'!$w$37)</f>
      </c>
      <c r="BD37">
        <f>IF(ISBLANK('Data Entry'!$x$37), "", 'Data Entry'!$x$37)</f>
      </c>
      <c r="BE37">
        <f>IF(ISBLANK('Data Entry'!$y$37), "", 'Data Entry'!$y$37)</f>
      </c>
      <c r="BF37">
        <f>IF(ISBLANK('Data Entry'!$z$37), "", 'Data Entry'!$z$37)</f>
      </c>
      <c r="BG37">
        <f>IF(ISBLANK('Data Entry'!${$37), "", 'Data Entry'!${$37)</f>
      </c>
      <c r="BH37">
        <f>IF(ISBLANK('Data Entry'!$|$37), "", 'Data Entry'!$|$37)</f>
      </c>
      <c r="BI37">
        <f>IF(ISBLANK('Data Entry'!$}$37), "", 'Data Entry'!$}$37)</f>
      </c>
      <c r="BJ37">
        <f>IF(ISBLANK('Data Entry'!$~$37), "", 'Data Entry'!$~$37)</f>
      </c>
      <c r="BK37">
        <f>IF(ISBLANK('Data Entry'!$$37), "", 'Data Entry'!$$37)</f>
      </c>
      <c r="BL37">
        <f>IF(ISBLANK('Data Entry'!$$37), "", 'Data Entry'!$$37)</f>
      </c>
      <c r="BM37">
        <f>IF(ISBLANK('Data Entry'!$$37), "", 'Data Entry'!$$37)</f>
      </c>
      <c r="BN37">
        <f>IF(ISBLANK('Data Entry'!$$37), "", 'Data Entry'!$$37)</f>
      </c>
      <c r="BO37">
        <f>IF(ISBLANK('Data Entry'!$$37), "", 'Data Entry'!$$37)</f>
      </c>
      <c r="BP37">
        <f>IF(ISBLANK('Data Entry'!$$37), "", 'Data Entry'!$$37)</f>
      </c>
      <c r="BQ37">
        <f>IF(ISBLANK('Data Entry'!$$37), "", 'Data Entry'!$$37)</f>
      </c>
      <c r="BR37">
        <f>IF(ISBLANK('Data Entry'!$$37), "", 'Data Entry'!$$37)</f>
      </c>
      <c r="BS37">
        <f>IF(ISBLANK('Data Entry'!$$37), "", 'Data Entry'!$$37)</f>
      </c>
      <c r="BT37">
        <f>IF(ISBLANK('Data Entry'!$$37), "", 'Data Entry'!$$37)</f>
      </c>
      <c r="BU37">
        <f>IF(ISBLANK('Data Entry'!$$37), "", 'Data Entry'!$$37)</f>
      </c>
      <c r="BV37">
        <f>IF(ISBLANK('Data Entry'!$$37), "", 'Data Entry'!$$37)</f>
      </c>
      <c r="BW37">
        <f>IF(ISBLANK('Data Entry'!$$37), "", 'Data Entry'!$$37)</f>
      </c>
      <c r="BX37">
        <f>IF(ISBLANK('Data Entry'!$$37), "", 'Data Entry'!$$37)</f>
      </c>
      <c r="BY37">
        <f>IF(ISBLANK('Data Entry'!$$37), "", 'Data Entry'!$$37)</f>
      </c>
      <c r="BZ37">
        <f>IF(ISBLANK('Data Entry'!$$37), "", 'Data Entry'!$$37)</f>
      </c>
      <c r="CA37">
        <f>IF(ISBLANK('Data Entry'!$$37), "", 'Data Entry'!$$37)</f>
      </c>
      <c r="CB37">
        <f>IF(ISBLANK('Data Entry'!$$37), "", 'Data Entry'!$$37)</f>
      </c>
      <c r="CC37">
        <f>IF(ISBLANK('Data Entry'!$$37), "", 'Data Entry'!$$37)</f>
      </c>
      <c r="CD37">
        <f>IF(ISBLANK('Data Entry'!$$37), "", 'Data Entry'!$$37)</f>
      </c>
      <c r="CE37">
        <f>IF(ISBLANK('Data Entry'!$$37), "", 'Data Entry'!$$37)</f>
      </c>
      <c r="CF37">
        <f>IF(ISBLANK('Data Entry'!$$37), "", 'Data Entry'!$$37)</f>
      </c>
      <c r="CG37">
        <f>IF(ISBLANK('Data Entry'!$$37), "", 'Data Entry'!$$37)</f>
      </c>
      <c r="CH37">
        <f>IF(ISBLANK('Data Entry'!$$37), "", 'Data Entry'!$$37)</f>
      </c>
      <c r="CI37">
        <f>IF(ISBLANK('Data Entry'!$$37), "", 'Data Entry'!$$37)</f>
      </c>
      <c r="CJ37">
        <f>IF(ISBLANK('Data Entry'!$$37), "", 'Data Entry'!$$37)</f>
      </c>
      <c r="CK37">
        <f>IF(ISBLANK('Data Entry'!$$37), "", 'Data Entry'!$$37)</f>
      </c>
      <c r="CL37">
        <f>IF(ISBLANK('Data Entry'!$$37), "", 'Data Entry'!$$37)</f>
      </c>
      <c r="CM37">
        <f>IF(ISBLANK('Data Entry'!$$37), "", 'Data Entry'!$$37)</f>
      </c>
      <c r="CN37">
        <f>IF(ISBLANK('Data Entry'!$$37), "", 'Data Entry'!$$37)</f>
      </c>
      <c r="CO37">
        <f>IF(ISBLANK('Data Entry'!$$37), "", 'Data Entry'!$$37)</f>
      </c>
      <c r="CP37">
        <f>IF(ISBLANK('Data Entry'!$$37), "", 'Data Entry'!$$37)</f>
      </c>
      <c r="CQ37">
        <f>IF(ISBLANK('Data Entry'!$$37), "", 'Data Entry'!$$37)</f>
      </c>
      <c r="CR37">
        <f>IF(ISBLANK('Data Entry'!$ $37), "", 'Data Entry'!$ $37)</f>
      </c>
      <c r="CS37">
        <f>IF(ISBLANK('Data Entry'!$¡$37), "", 'Data Entry'!$¡$37)</f>
      </c>
      <c r="CT37">
        <f>IF(ISBLANK('Data Entry'!$¢$37), "", 'Data Entry'!$¢$37)</f>
      </c>
      <c r="CU37">
        <f>IF(ISBLANK('Data Entry'!$£$37), "", 'Data Entry'!$£$37)</f>
      </c>
      <c r="CV37">
        <f>IF(ISBLANK('Data Entry'!$¤$37), "", 'Data Entry'!$¤$37)</f>
      </c>
      <c r="CW37">
        <f>IF(ISBLANK('Data Entry'!$¥$37), "", 'Data Entry'!$¥$37)</f>
      </c>
      <c r="CX37">
        <f>IF(ISBLANK('Data Entry'!$¦$37), "", 'Data Entry'!$¦$37)</f>
      </c>
      <c r="CY37">
        <f>IF(ISBLANK('Data Entry'!$§$37), "", 'Data Entry'!$§$37)</f>
      </c>
      <c r="CZ37">
        <f>IF(ISBLANK('Data Entry'!$¨$37), "", 'Data Entry'!$¨$37)</f>
      </c>
      <c r="DA37">
        <f>IF(ISBLANK('Data Entry'!$©$37), "", 'Data Entry'!$©$37)</f>
      </c>
      <c r="DB37">
        <f>IF(ISBLANK('Data Entry'!$ª$37), "", 'Data Entry'!$ª$37)</f>
      </c>
      <c r="DC37">
        <f>IF(ISBLANK('Data Entry'!$«$37), "", 'Data Entry'!$«$37)</f>
      </c>
      <c r="DD37">
        <f>IF(ISBLANK('Data Entry'!$¬$37), "", 'Data Entry'!$¬$37)</f>
      </c>
      <c r="DE37">
        <f>IF(ISBLANK('Data Entry'!$­$37), "", 'Data Entry'!$­$37)</f>
      </c>
      <c r="DF37">
        <f>IF(ISBLANK('Data Entry'!$®$37), "", 'Data Entry'!$®$37)</f>
      </c>
      <c r="DG37">
        <f>IF(ISBLANK('Data Entry'!$¯$37), "", 'Data Entry'!$¯$37)</f>
      </c>
      <c r="DH37">
        <f>IF(ISBLANK('Data Entry'!$°$37), "", 'Data Entry'!$°$37)</f>
      </c>
      <c r="DI37">
        <f>IF(ISBLANK('Data Entry'!$±$37), "", 'Data Entry'!$±$37)</f>
      </c>
      <c r="DJ37">
        <f>IF(ISBLANK('Data Entry'!$²$37), "", 'Data Entry'!$²$37)</f>
      </c>
      <c r="DK37">
        <f>IF(ISBLANK('Data Entry'!$³$37), "", 'Data Entry'!$³$37)</f>
      </c>
      <c r="DL37">
        <f>IF(ISBLANK('Data Entry'!$´$37), "", 'Data Entry'!$´$37)</f>
      </c>
      <c r="DM37">
        <f>IF(ISBLANK('Data Entry'!$µ$37), "", 'Data Entry'!$µ$37)</f>
      </c>
      <c r="DN37">
        <f>IF(ISBLANK('Data Entry'!$¶$37), "", 'Data Entry'!$¶$37)</f>
      </c>
      <c r="DO37">
        <f>IF(ISBLANK('Data Entry'!$·$37), "", 'Data Entry'!$·$37)</f>
      </c>
      <c r="DP37">
        <f>IF(ISBLANK('Data Entry'!$¸$37), "", 'Data Entry'!$¸$37)</f>
      </c>
      <c r="DQ37">
        <f>IF(ISBLANK('Data Entry'!$¹$37), "", 'Data Entry'!$¹$37)</f>
      </c>
      <c r="DR37">
        <f>IF(ISBLANK('Data Entry'!$º$37), "", 'Data Entry'!$º$37)</f>
      </c>
      <c r="DS37">
        <f>IF(ISBLANK('Data Entry'!$»$37), "", 'Data Entry'!$»$37)</f>
      </c>
      <c r="DT37">
        <f>IF(ISBLANK('Data Entry'!$¼$37), "", 'Data Entry'!$¼$37)</f>
      </c>
      <c r="DU37">
        <f>IF(ISBLANK('Data Entry'!$½$37), "", 'Data Entry'!$½$37)</f>
      </c>
      <c r="DV37">
        <f>IF(ISBLANK('Data Entry'!$¾$37), "", 'Data Entry'!$¾$37)</f>
      </c>
      <c r="DW37">
        <f>IF(ISBLANK('Data Entry'!$¿$37), "", 'Data Entry'!$¿$37)</f>
      </c>
      <c r="DX37">
        <f>IF(ISBLANK('Data Entry'!$À$37), "", 'Data Entry'!$À$37)</f>
      </c>
      <c r="DY37">
        <f>IF(ISBLANK('Data Entry'!$Á$37), "", 'Data Entry'!$Á$37)</f>
      </c>
      <c r="DZ37">
        <f>IF(ISBLANK('Data Entry'!$Â$37), "", 'Data Entry'!$Â$37)</f>
      </c>
      <c r="EA37">
        <f>IF(ISBLANK('Data Entry'!$Ã$37), "", 'Data Entry'!$Ã$37)</f>
      </c>
      <c r="EB37">
        <f>IF(ISBLANK('Data Entry'!$Ä$37), "", 'Data Entry'!$Ä$37)</f>
      </c>
      <c r="EC37">
        <f>IF(ISBLANK('Data Entry'!$Å$37), "", 'Data Entry'!$Å$37)</f>
      </c>
      <c r="ED37">
        <f>IF(ISBLANK('Data Entry'!$Æ$37), "", 'Data Entry'!$Æ$37)</f>
      </c>
      <c r="EE37">
        <f>IF(ISBLANK('Data Entry'!$Ç$37), "", 'Data Entry'!$Ç$37)</f>
      </c>
      <c r="EF37">
        <f>IF(ISBLANK('Data Entry'!$È$37), "", 'Data Entry'!$È$37)</f>
      </c>
      <c r="EG37">
        <f>IF(ISBLANK('Data Entry'!$É$37), "", 'Data Entry'!$É$37)</f>
      </c>
      <c r="EH37">
        <f>IF(ISBLANK('Data Entry'!$Ê$37), "", 'Data Entry'!$Ê$37)</f>
      </c>
      <c r="EI37">
        <f>IF(ISBLANK('Data Entry'!$Ë$37), "", 'Data Entry'!$Ë$37)</f>
      </c>
      <c r="EJ37">
        <f>IF(ISBLANK('Data Entry'!$Ì$37), "", 'Data Entry'!$Ì$37)</f>
      </c>
      <c r="EK37">
        <f>IF(ISBLANK('Data Entry'!$Í$37), "", 'Data Entry'!$Í$37)</f>
      </c>
      <c r="EL37">
        <f>IF(ISBLANK('Data Entry'!$Î$37), "", 'Data Entry'!$Î$37)</f>
      </c>
      <c r="EM37">
        <f>IF(ISBLANK('Data Entry'!$Ï$37), "", 'Data Entry'!$Ï$37)</f>
      </c>
      <c r="EN37">
        <f>IF(ISBLANK('Data Entry'!$Ð$37), "", 'Data Entry'!$Ð$37)</f>
      </c>
      <c r="EO37">
        <f>IF(ISBLANK('Data Entry'!$Ñ$37), "", 'Data Entry'!$Ñ$37)</f>
      </c>
      <c r="EP37">
        <f>IF(ISBLANK('Data Entry'!$Ò$37), "", 'Data Entry'!$Ò$37)</f>
      </c>
      <c r="EQ37">
        <f>IF(ISBLANK('Data Entry'!$Ó$37), "", 'Data Entry'!$Ó$37)</f>
      </c>
      <c r="ER37">
        <f>IF(ISBLANK('Data Entry'!$Ô$37), "", 'Data Entry'!$Ô$37)</f>
      </c>
      <c r="ES37">
        <f>IF(ISBLANK('Data Entry'!$Õ$37), "", 'Data Entry'!$Õ$37)</f>
      </c>
      <c r="ET37">
        <f>IF(ISBLANK('Data Entry'!$Ö$37), "", 'Data Entry'!$Ö$37)</f>
      </c>
      <c r="EU37">
        <f>IF(ISBLANK('Data Entry'!$×$37), "", 'Data Entry'!$×$37)</f>
      </c>
      <c r="EV37">
        <f>IF(ISBLANK('Data Entry'!$Ø$37), "", 'Data Entry'!$Ø$37)</f>
      </c>
      <c r="EW37">
        <f>IF(ISBLANK('Data Entry'!$Ù$37), "", 'Data Entry'!$Ù$37)</f>
      </c>
      <c r="EX37">
        <f>IF(ISBLANK('Data Entry'!$Ú$37), "", 'Data Entry'!$Ú$37)</f>
      </c>
      <c r="EY37">
        <f>IF(ISBLANK('Data Entry'!$Û$37), "", 'Data Entry'!$Û$37)</f>
      </c>
      <c r="EZ37">
        <f>IF(ISBLANK('Data Entry'!$Ü$37), "", 'Data Entry'!$Ü$37)</f>
      </c>
      <c r="FA37">
        <f>IF(ISBLANK('Data Entry'!$Ý$37), "", 'Data Entry'!$Ý$37)</f>
      </c>
      <c r="FB37">
        <f>IF(ISBLANK('Data Entry'!$Þ$37), "", 'Data Entry'!$Þ$37)</f>
      </c>
      <c r="FC37">
        <f>IF(ISBLANK('Data Entry'!$ß$37), "", 'Data Entry'!$ß$37)</f>
      </c>
      <c r="FD37">
        <f>IF(ISBLANK('Data Entry'!$à$37), "", 'Data Entry'!$à$37)</f>
      </c>
      <c r="FE37">
        <f>IF(ISBLANK('Data Entry'!$á$37), "", 'Data Entry'!$á$37)</f>
      </c>
      <c r="FF37">
        <f>IF(ISBLANK('Data Entry'!$â$37), "", 'Data Entry'!$â$37)</f>
      </c>
      <c r="FG37">
        <f>IF(ISBLANK('Data Entry'!$ã$37), "", 'Data Entry'!$ã$37)</f>
      </c>
      <c r="FH37">
        <f>IF(ISBLANK('Data Entry'!$ä$37), "", 'Data Entry'!$ä$37)</f>
      </c>
      <c r="FI37">
        <f>IF(ISBLANK('Data Entry'!$å$37), "", 'Data Entry'!$å$37)</f>
      </c>
      <c r="FJ37">
        <f>IF(ISBLANK('Data Entry'!$æ$37), "", 'Data Entry'!$æ$37)</f>
      </c>
      <c r="FK37">
        <f>IF(ISBLANK('Data Entry'!$ç$37), "", 'Data Entry'!$ç$37)</f>
      </c>
      <c r="FL37">
        <f>IF(ISBLANK('Data Entry'!$è$37), "", 'Data Entry'!$è$37)</f>
      </c>
      <c r="FM37">
        <f>IF(ISBLANK('Data Entry'!$é$37), "", 'Data Entry'!$é$37)</f>
      </c>
      <c r="FN37">
        <f>IF(ISBLANK('Data Entry'!$ê$37), "", 'Data Entry'!$ê$37)</f>
      </c>
      <c r="FO37">
        <f>IF(ISBLANK('Data Entry'!$ë$37), "", 'Data Entry'!$ë$37)</f>
      </c>
      <c r="FP37">
        <f>IF(ISBLANK('Data Entry'!$ì$37), "", 'Data Entry'!$ì$37)</f>
      </c>
      <c r="FQ37">
        <f>IF(ISBLANK('Data Entry'!$í$37), "", 'Data Entry'!$í$37)</f>
      </c>
      <c r="FR37">
        <f>IF(ISBLANK('Data Entry'!$î$37), "", 'Data Entry'!$î$37)</f>
      </c>
      <c r="FS37">
        <f>IF(ISBLANK('Data Entry'!$ï$37), "", 'Data Entry'!$ï$37)</f>
      </c>
      <c r="FT37">
        <f>IF(ISBLANK('Data Entry'!$ð$37), "", 'Data Entry'!$ð$37)</f>
      </c>
      <c r="FU37">
        <f>IF(ISBLANK('Data Entry'!$ñ$37), "", 'Data Entry'!$ñ$37)</f>
      </c>
      <c r="FV37">
        <f>IF(ISBLANK('Data Entry'!$ò$37), "", 'Data Entry'!$ò$37)</f>
      </c>
      <c r="FW37">
        <f>IF(ISBLANK('Data Entry'!$ó$37), "", 'Data Entry'!$ó$37)</f>
      </c>
      <c r="FX37">
        <f>IF(ISBLANK('Data Entry'!$ô$37), "", 'Data Entry'!$ô$37)</f>
      </c>
      <c r="FY37">
        <f>IF(ISBLANK('Data Entry'!$õ$37), "", 'Data Entry'!$õ$37)</f>
      </c>
      <c r="FZ37">
        <f>IF(ISBLANK('Data Entry'!$ö$37), "", 'Data Entry'!$ö$37)</f>
      </c>
      <c r="GA37">
        <f>IF(ISBLANK('Data Entry'!$÷$37), "", 'Data Entry'!$÷$37)</f>
      </c>
      <c r="GB37">
        <f>IF(ISBLANK('Data Entry'!$ø$37), "", 'Data Entry'!$ø$37)</f>
      </c>
      <c r="GC37">
        <f>IF(ISBLANK('Data Entry'!$ù$37), "", 'Data Entry'!$ù$37)</f>
      </c>
      <c r="GD37">
        <f>IF(ISBLANK('Data Entry'!$ú$37), "", 'Data Entry'!$ú$37)</f>
      </c>
      <c r="GE37">
        <f>IF(ISBLANK('Data Entry'!$û$37), "", 'Data Entry'!$û$37)</f>
      </c>
      <c r="GF37">
        <f>IF(ISBLANK('Data Entry'!$ü$37), "", 'Data Entry'!$ü$37)</f>
      </c>
      <c r="GG37">
        <f>IF(ISBLANK('Data Entry'!$ý$37), "", 'Data Entry'!$ý$37)</f>
      </c>
      <c r="GH37">
        <f>IF(ISBLANK('Data Entry'!$þ$37), "", 'Data Entry'!$þ$37)</f>
      </c>
      <c r="GI37">
        <f>IF(ISBLANK('Data Entry'!$ÿ$37), "", 'Data Entry'!$ÿ$37)</f>
      </c>
      <c r="GJ37">
        <f>IF(ISBLANK('Data Entry'!$Ā$37), "", 'Data Entry'!$Ā$37)</f>
      </c>
      <c r="GK37">
        <f>IF(ISBLANK('Data Entry'!$ā$37), "", 'Data Entry'!$ā$37)</f>
      </c>
      <c r="GL37">
        <f>IF(ISBLANK('Data Entry'!$Ă$37), "", 'Data Entry'!$Ă$37)</f>
      </c>
      <c r="GM37">
        <f>IF(ISBLANK('Data Entry'!$ă$37), "", 'Data Entry'!$ă$37)</f>
      </c>
      <c r="GN37">
        <f>IF(ISBLANK('Data Entry'!$Ą$37), "", 'Data Entry'!$Ą$37)</f>
      </c>
      <c r="GO37">
        <f>IF(ISBLANK('Data Entry'!$ą$37), "", 'Data Entry'!$ą$37)</f>
      </c>
      <c r="GP37">
        <f>IF(ISBLANK('Data Entry'!$Ć$37), "", 'Data Entry'!$Ć$37)</f>
      </c>
      <c r="GQ37">
        <f>IF(ISBLANK('Data Entry'!$ć$37), "", 'Data Entry'!$ć$37)</f>
      </c>
      <c r="GR37">
        <f>IF(ISBLANK('Data Entry'!$Ĉ$37), "", 'Data Entry'!$Ĉ$37)</f>
      </c>
      <c r="GS37">
        <f>IF(ISBLANK('Data Entry'!$ĉ$37), "", 'Data Entry'!$ĉ$37)</f>
      </c>
      <c r="GT37">
        <f>IF(ISBLANK('Data Entry'!$Ċ$37), "", 'Data Entry'!$Ċ$37)</f>
      </c>
      <c r="GU37">
        <f>IF(ISBLANK('Data Entry'!$ċ$37), "", 'Data Entry'!$ċ$37)</f>
      </c>
      <c r="GV37">
        <f>IF(ISBLANK('Data Entry'!$Č$37), "", 'Data Entry'!$Č$37)</f>
      </c>
      <c r="GW37">
        <f>IF(ISBLANK('Data Entry'!$č$37), "", 'Data Entry'!$č$37)</f>
      </c>
      <c r="GX37">
        <f>IF(ISBLANK('Data Entry'!$Ď$37), "", 'Data Entry'!$Ď$37)</f>
      </c>
      <c r="GY37">
        <f>IF(ISBLANK('Data Entry'!$ď$37), "", 'Data Entry'!$ď$37)</f>
      </c>
      <c r="GZ37">
        <f>IF(ISBLANK('Data Entry'!$Đ$37), "", 'Data Entry'!$Đ$37)</f>
      </c>
      <c r="HA37">
        <f>IF(ISBLANK('Data Entry'!$đ$37), "", 'Data Entry'!$đ$37)</f>
      </c>
      <c r="HB37">
        <f>IF(ISBLANK('Data Entry'!$Ē$37), "", 'Data Entry'!$Ē$37)</f>
      </c>
      <c r="HC37">
        <f>IF(ISBLANK('Data Entry'!$ē$37), "", 'Data Entry'!$ē$37)</f>
      </c>
      <c r="HD37">
        <f>IF(ISBLANK('Data Entry'!$Ĕ$37), "", 'Data Entry'!$Ĕ$37)</f>
      </c>
      <c r="HE37">
        <f>IF(ISBLANK('Data Entry'!$ĕ$37), "", 'Data Entry'!$ĕ$37)</f>
      </c>
      <c r="HF37">
        <f>IF(ISBLANK('Data Entry'!$Ė$37), "", 'Data Entry'!$Ė$37)</f>
      </c>
      <c r="HG37">
        <f>IF(ISBLANK('Data Entry'!$ė$37), "", 'Data Entry'!$ė$37)</f>
      </c>
      <c r="HH37">
        <f>IF(ISBLANK('Data Entry'!$Ę$37), "", 'Data Entry'!$Ę$37)</f>
      </c>
      <c r="HI37">
        <f>IF(ISBLANK('Data Entry'!$ę$37), "", 'Data Entry'!$ę$37)</f>
      </c>
      <c r="HJ37">
        <f>IF(ISBLANK('Data Entry'!$Ě$37), "", 'Data Entry'!$Ě$37)</f>
      </c>
      <c r="HK37">
        <f>IF(ISBLANK('Data Entry'!$ě$37), "", 'Data Entry'!$ě$37)</f>
      </c>
      <c r="HL37">
        <f>IF(ISBLANK('Data Entry'!$Ĝ$37), "", 'Data Entry'!$Ĝ$37)</f>
      </c>
      <c r="HM37">
        <f>IF(ISBLANK('Data Entry'!$ĝ$37), "", 'Data Entry'!$ĝ$37)</f>
      </c>
      <c r="HN37">
        <f>IF(ISBLANK('Data Entry'!$Ğ$37), "", 'Data Entry'!$Ğ$37)</f>
      </c>
      <c r="HO37">
        <f>IF(ISBLANK('Data Entry'!$ğ$37), "", 'Data Entry'!$ğ$37)</f>
      </c>
      <c r="HP37">
        <f>IF(ISBLANK('Data Entry'!$Ġ$37), "", 'Data Entry'!$Ġ$37)</f>
      </c>
      <c r="HQ37">
        <f>IF(ISBLANK('Data Entry'!$ġ$37), "", 'Data Entry'!$ġ$37)</f>
      </c>
      <c r="HR37">
        <f>IF(ISBLANK('Data Entry'!$Ģ$37), "", 'Data Entry'!$Ģ$37)</f>
      </c>
      <c r="HS37">
        <f>IF(ISBLANK('Data Entry'!$ģ$37), "", 'Data Entry'!$ģ$37)</f>
      </c>
      <c r="HT37">
        <f>IF(ISBLANK('Data Entry'!$Ĥ$37), "", 'Data Entry'!$Ĥ$37)</f>
      </c>
      <c r="HU37">
        <f>IF(ISBLANK('Data Entry'!$ĥ$37), "", 'Data Entry'!$ĥ$37)</f>
      </c>
      <c r="HV37">
        <f>IF(ISBLANK('Data Entry'!$Ħ$37), "", 'Data Entry'!$Ħ$37)</f>
      </c>
      <c r="HW37">
        <f>IF(ISBLANK('Data Entry'!$ħ$37), "", 'Data Entry'!$ħ$37)</f>
      </c>
      <c r="HX37">
        <f>IF(ISBLANK('Data Entry'!$Ĩ$37), "", 'Data Entry'!$Ĩ$37)</f>
      </c>
      <c r="HY37">
        <f>IF(ISBLANK('Data Entry'!$ĩ$37), "", 'Data Entry'!$ĩ$37)</f>
      </c>
      <c r="HZ37">
        <f>IF(ISBLANK('Data Entry'!$Ī$37), "", 'Data Entry'!$Ī$37)</f>
      </c>
      <c r="IA37">
        <f>IF(ISBLANK('Data Entry'!$ī$37), "", 'Data Entry'!$ī$37)</f>
      </c>
      <c r="IB37">
        <f>IF(ISBLANK('Data Entry'!$Ĭ$37), "", 'Data Entry'!$Ĭ$37)</f>
      </c>
      <c r="IC37">
        <f>IF(ISBLANK('Data Entry'!$ĭ$37), "", 'Data Entry'!$ĭ$37)</f>
      </c>
      <c r="ID37">
        <f>IF(ISBLANK('Data Entry'!$Į$37), "", 'Data Entry'!$Į$37)</f>
      </c>
      <c r="IE37">
        <f>IF(ISBLANK('Data Entry'!$į$37), "", 'Data Entry'!$į$37)</f>
      </c>
      <c r="IF37">
        <f>IF(ISBLANK('Data Entry'!$İ$37), "", 'Data Entry'!$İ$37)</f>
      </c>
      <c r="IG37">
        <f>IF(ISBLANK('Data Entry'!$ı$37), "", 'Data Entry'!$ı$37)</f>
      </c>
      <c r="IH37">
        <f>IF(ISBLANK('Data Entry'!$Ĳ$37), "", 'Data Entry'!$Ĳ$37)</f>
      </c>
      <c r="II37">
        <f>IF(ISBLANK('Data Entry'!$ĳ$37), "", 'Data Entry'!$ĳ$37)</f>
      </c>
      <c r="IJ37">
        <f>IF(ISBLANK('Data Entry'!$Ĵ$37), "", 'Data Entry'!$Ĵ$37)</f>
      </c>
      <c r="IK37">
        <f>IF(ISBLANK('Data Entry'!$ĵ$37), "", 'Data Entry'!$ĵ$37)</f>
      </c>
      <c r="IL37">
        <f>IF(ISBLANK('Data Entry'!$Ķ$37), "", 'Data Entry'!$Ķ$37)</f>
      </c>
      <c r="IM37">
        <f>IF(ISBLANK('Data Entry'!$ķ$37), "", 'Data Entry'!$ķ$37)</f>
      </c>
      <c r="IN37">
        <f>IF(ISBLANK('Data Entry'!$ĸ$37), "", 'Data Entry'!$ĸ$37)</f>
      </c>
      <c r="IO37">
        <f>IF(ISBLANK('Data Entry'!$Ĺ$37), "", 'Data Entry'!$Ĺ$37)</f>
      </c>
      <c r="IP37">
        <f>IF(ISBLANK('Data Entry'!$ĺ$37), "", 'Data Entry'!$ĺ$37)</f>
      </c>
      <c r="IQ37">
        <f>IF(ISBLANK('Data Entry'!$Ļ$37), "", 'Data Entry'!$Ļ$37)</f>
      </c>
      <c r="IR37">
        <f>IF(ISBLANK('Data Entry'!$ļ$37), "", 'Data Entry'!$ļ$37)</f>
      </c>
      <c r="IS37">
        <f>IF(ISBLANK('Data Entry'!$Ľ$37), "", 'Data Entry'!$Ľ$37)</f>
      </c>
      <c r="IT37">
        <f>IF(ISBLANK('Data Entry'!$ľ$37), "", 'Data Entry'!$ľ$37)</f>
      </c>
    </row>
    <row r="38" spans="1:254" x14ac:dyDescent="0.25">
      <c r="A38">
        <f>IF(ISBLANK('Data Entry'!$A$38), "", 'Data Entry'!$A$38)</f>
      </c>
      <c r="B38">
        <f>IF(ISBLANK('Data Entry'!$B$38), "", 'Data Entry'!$B$38)</f>
      </c>
      <c r="C38">
        <f>IF(ISBLANK('Data Entry'!$C$38), "", 'Data Entry'!$C$38)</f>
      </c>
      <c r="D38">
        <f>IF(ISBLANK('Data Entry'!$D$38), "", 'Data Entry'!$D$38)</f>
      </c>
      <c r="E38">
        <f>IF(ISBLANK('Data Entry'!$E$38), "", 'Data Entry'!$E$38)</f>
      </c>
      <c r="F38">
        <f>IF(ISBLANK('Data Entry'!$F$38), "", 'Data Entry'!$F$38)</f>
      </c>
      <c r="G38">
        <f>IF(ISBLANK('Data Entry'!$G$38), "", 'Data Entry'!$G$38)</f>
      </c>
      <c r="H38">
        <f>IF(ISBLANK('Data Entry'!$H$38), "", 'Data Entry'!$H$38)</f>
      </c>
      <c r="I38">
        <f>IF(ISBLANK('Data Entry'!$I$38), "", 'Data Entry'!$I$38)</f>
      </c>
      <c r="J38">
        <f>IF(ISBLANK('Data Entry'!$J$38), "", 'Data Entry'!$J$38)</f>
      </c>
      <c r="K38">
        <f>IF(ISBLANK('Data Entry'!$K$38), "", 'Data Entry'!$K$38)</f>
      </c>
      <c r="L38">
        <f>IF(ISBLANK('Data Entry'!$L$38), "", 'Data Entry'!$L$38)</f>
      </c>
      <c r="M38">
        <f>IF(ISBLANK('Data Entry'!$M$38), "", 'Data Entry'!$M$38)</f>
      </c>
      <c r="N38">
        <f>IF(ISBLANK('Data Entry'!$N$38), "", 'Data Entry'!$N$38)</f>
      </c>
      <c r="O38">
        <f>IF(ISBLANK('Data Entry'!$O$38), "", 'Data Entry'!$O$38)</f>
      </c>
      <c r="P38">
        <f>IF(ISBLANK('Data Entry'!$P$38), "", 'Data Entry'!$P$38)</f>
      </c>
      <c r="Q38">
        <f>IF(ISBLANK('Data Entry'!$Q$38), "", 'Data Entry'!$Q$38)</f>
      </c>
      <c r="R38">
        <f>IF(ISBLANK('Data Entry'!$R$38), "", 'Data Entry'!$R$38)</f>
      </c>
      <c r="S38">
        <f>IF(ISBLANK('Data Entry'!$S$38), "", 'Data Entry'!$S$38)</f>
      </c>
      <c r="T38">
        <f>IF(ISBLANK('Data Entry'!$T$38), "", 'Data Entry'!$T$38)</f>
      </c>
      <c r="U38">
        <f>IF(ISBLANK('Data Entry'!$U$38), "", 'Data Entry'!$U$38)</f>
      </c>
      <c r="V38">
        <f>IF(ISBLANK('Data Entry'!$V$38), "", 'Data Entry'!$V$38)</f>
      </c>
      <c r="W38">
        <f>IF(ISBLANK('Data Entry'!$W$38), "", 'Data Entry'!$W$38)</f>
      </c>
      <c r="X38">
        <f>IF(ISBLANK('Data Entry'!$X$38), "", 'Data Entry'!$X$38)</f>
      </c>
      <c r="Y38">
        <f>IF(ISBLANK('Data Entry'!$Y$38), "", 'Data Entry'!$Y$38)</f>
      </c>
      <c r="Z38">
        <f>IF(ISBLANK('Data Entry'!$Z$38), "", 'Data Entry'!$Z$38)</f>
      </c>
      <c r="AA38">
        <f>IF(ISBLANK('Data Entry'!$[$38), "", 'Data Entry'!$[$38)</f>
      </c>
      <c r="AB38">
        <f>IF(ISBLANK('Data Entry'!$\$38), "", 'Data Entry'!$\$38)</f>
      </c>
      <c r="AC38">
        <f>IF(ISBLANK('Data Entry'!$]$38), "", 'Data Entry'!$]$38)</f>
      </c>
      <c r="AD38">
        <f>IF(ISBLANK('Data Entry'!$^$38), "", 'Data Entry'!$^$38)</f>
      </c>
      <c r="AE38">
        <f>IF(ISBLANK('Data Entry'!$_$38), "", 'Data Entry'!$_$38)</f>
      </c>
      <c r="AF38">
        <f>IF(ISBLANK('Data Entry'!$`$38), "", 'Data Entry'!$`$38)</f>
      </c>
      <c r="AG38">
        <f>IF(ISBLANK('Data Entry'!$a$38), "", 'Data Entry'!$a$38)</f>
      </c>
      <c r="AH38">
        <f>IF(ISBLANK('Data Entry'!$b$38), "", 'Data Entry'!$b$38)</f>
      </c>
      <c r="AI38">
        <f>IF(ISBLANK('Data Entry'!$c$38), "", 'Data Entry'!$c$38)</f>
      </c>
      <c r="AJ38">
        <f>IF(ISBLANK('Data Entry'!$d$38), "", 'Data Entry'!$d$38)</f>
      </c>
      <c r="AK38">
        <f>IF(ISBLANK('Data Entry'!$e$38), "", 'Data Entry'!$e$38)</f>
      </c>
      <c r="AL38">
        <f>IF(ISBLANK('Data Entry'!$f$38), "", 'Data Entry'!$f$38)</f>
      </c>
      <c r="AM38">
        <f>IF(ISBLANK('Data Entry'!$g$38), "", 'Data Entry'!$g$38)</f>
      </c>
      <c r="AN38">
        <f>IF(ISBLANK('Data Entry'!$h$38), "", 'Data Entry'!$h$38)</f>
      </c>
      <c r="AO38">
        <f>IF(ISBLANK('Data Entry'!$i$38), "", 'Data Entry'!$i$38)</f>
      </c>
      <c r="AP38">
        <f>IF(ISBLANK('Data Entry'!$j$38), "", 'Data Entry'!$j$38)</f>
      </c>
      <c r="AQ38">
        <f>IF(ISBLANK('Data Entry'!$k$38), "", 'Data Entry'!$k$38)</f>
      </c>
      <c r="AR38">
        <f>IF(ISBLANK('Data Entry'!$l$38), "", 'Data Entry'!$l$38)</f>
      </c>
      <c r="AS38">
        <f>IF(ISBLANK('Data Entry'!$m$38), "", 'Data Entry'!$m$38)</f>
      </c>
      <c r="AT38">
        <f>IF(ISBLANK('Data Entry'!$n$38), "", 'Data Entry'!$n$38)</f>
      </c>
      <c r="AU38">
        <f>IF(ISBLANK('Data Entry'!$o$38), "", 'Data Entry'!$o$38)</f>
      </c>
      <c r="AV38">
        <f>IF(ISBLANK('Data Entry'!$p$38), "", 'Data Entry'!$p$38)</f>
      </c>
      <c r="AW38">
        <f>IF(ISBLANK('Data Entry'!$q$38), "", 'Data Entry'!$q$38)</f>
      </c>
      <c r="AX38">
        <f>IF(ISBLANK('Data Entry'!$r$38), "", 'Data Entry'!$r$38)</f>
      </c>
      <c r="AY38">
        <f>IF(ISBLANK('Data Entry'!$s$38), "", 'Data Entry'!$s$38)</f>
      </c>
      <c r="AZ38">
        <f>IF(ISBLANK('Data Entry'!$t$38), "", 'Data Entry'!$t$38)</f>
      </c>
      <c r="BA38">
        <f>IF(ISBLANK('Data Entry'!$u$38), "", 'Data Entry'!$u$38)</f>
      </c>
      <c r="BB38">
        <f>IF(ISBLANK('Data Entry'!$v$38), "", 'Data Entry'!$v$38)</f>
      </c>
      <c r="BC38">
        <f>IF(ISBLANK('Data Entry'!$w$38), "", 'Data Entry'!$w$38)</f>
      </c>
      <c r="BD38">
        <f>IF(ISBLANK('Data Entry'!$x$38), "", 'Data Entry'!$x$38)</f>
      </c>
      <c r="BE38">
        <f>IF(ISBLANK('Data Entry'!$y$38), "", 'Data Entry'!$y$38)</f>
      </c>
      <c r="BF38">
        <f>IF(ISBLANK('Data Entry'!$z$38), "", 'Data Entry'!$z$38)</f>
      </c>
      <c r="BG38">
        <f>IF(ISBLANK('Data Entry'!${$38), "", 'Data Entry'!${$38)</f>
      </c>
      <c r="BH38">
        <f>IF(ISBLANK('Data Entry'!$|$38), "", 'Data Entry'!$|$38)</f>
      </c>
      <c r="BI38">
        <f>IF(ISBLANK('Data Entry'!$}$38), "", 'Data Entry'!$}$38)</f>
      </c>
      <c r="BJ38">
        <f>IF(ISBLANK('Data Entry'!$~$38), "", 'Data Entry'!$~$38)</f>
      </c>
      <c r="BK38">
        <f>IF(ISBLANK('Data Entry'!$$38), "", 'Data Entry'!$$38)</f>
      </c>
      <c r="BL38">
        <f>IF(ISBLANK('Data Entry'!$$38), "", 'Data Entry'!$$38)</f>
      </c>
      <c r="BM38">
        <f>IF(ISBLANK('Data Entry'!$$38), "", 'Data Entry'!$$38)</f>
      </c>
      <c r="BN38">
        <f>IF(ISBLANK('Data Entry'!$$38), "", 'Data Entry'!$$38)</f>
      </c>
      <c r="BO38">
        <f>IF(ISBLANK('Data Entry'!$$38), "", 'Data Entry'!$$38)</f>
      </c>
      <c r="BP38">
        <f>IF(ISBLANK('Data Entry'!$$38), "", 'Data Entry'!$$38)</f>
      </c>
      <c r="BQ38">
        <f>IF(ISBLANK('Data Entry'!$$38), "", 'Data Entry'!$$38)</f>
      </c>
      <c r="BR38">
        <f>IF(ISBLANK('Data Entry'!$$38), "", 'Data Entry'!$$38)</f>
      </c>
      <c r="BS38">
        <f>IF(ISBLANK('Data Entry'!$$38), "", 'Data Entry'!$$38)</f>
      </c>
      <c r="BT38">
        <f>IF(ISBLANK('Data Entry'!$$38), "", 'Data Entry'!$$38)</f>
      </c>
      <c r="BU38">
        <f>IF(ISBLANK('Data Entry'!$$38), "", 'Data Entry'!$$38)</f>
      </c>
      <c r="BV38">
        <f>IF(ISBLANK('Data Entry'!$$38), "", 'Data Entry'!$$38)</f>
      </c>
      <c r="BW38">
        <f>IF(ISBLANK('Data Entry'!$$38), "", 'Data Entry'!$$38)</f>
      </c>
      <c r="BX38">
        <f>IF(ISBLANK('Data Entry'!$$38), "", 'Data Entry'!$$38)</f>
      </c>
      <c r="BY38">
        <f>IF(ISBLANK('Data Entry'!$$38), "", 'Data Entry'!$$38)</f>
      </c>
      <c r="BZ38">
        <f>IF(ISBLANK('Data Entry'!$$38), "", 'Data Entry'!$$38)</f>
      </c>
      <c r="CA38">
        <f>IF(ISBLANK('Data Entry'!$$38), "", 'Data Entry'!$$38)</f>
      </c>
      <c r="CB38">
        <f>IF(ISBLANK('Data Entry'!$$38), "", 'Data Entry'!$$38)</f>
      </c>
      <c r="CC38">
        <f>IF(ISBLANK('Data Entry'!$$38), "", 'Data Entry'!$$38)</f>
      </c>
      <c r="CD38">
        <f>IF(ISBLANK('Data Entry'!$$38), "", 'Data Entry'!$$38)</f>
      </c>
      <c r="CE38">
        <f>IF(ISBLANK('Data Entry'!$$38), "", 'Data Entry'!$$38)</f>
      </c>
      <c r="CF38">
        <f>IF(ISBLANK('Data Entry'!$$38), "", 'Data Entry'!$$38)</f>
      </c>
      <c r="CG38">
        <f>IF(ISBLANK('Data Entry'!$$38), "", 'Data Entry'!$$38)</f>
      </c>
      <c r="CH38">
        <f>IF(ISBLANK('Data Entry'!$$38), "", 'Data Entry'!$$38)</f>
      </c>
      <c r="CI38">
        <f>IF(ISBLANK('Data Entry'!$$38), "", 'Data Entry'!$$38)</f>
      </c>
      <c r="CJ38">
        <f>IF(ISBLANK('Data Entry'!$$38), "", 'Data Entry'!$$38)</f>
      </c>
      <c r="CK38">
        <f>IF(ISBLANK('Data Entry'!$$38), "", 'Data Entry'!$$38)</f>
      </c>
      <c r="CL38">
        <f>IF(ISBLANK('Data Entry'!$$38), "", 'Data Entry'!$$38)</f>
      </c>
      <c r="CM38">
        <f>IF(ISBLANK('Data Entry'!$$38), "", 'Data Entry'!$$38)</f>
      </c>
      <c r="CN38">
        <f>IF(ISBLANK('Data Entry'!$$38), "", 'Data Entry'!$$38)</f>
      </c>
      <c r="CO38">
        <f>IF(ISBLANK('Data Entry'!$$38), "", 'Data Entry'!$$38)</f>
      </c>
      <c r="CP38">
        <f>IF(ISBLANK('Data Entry'!$$38), "", 'Data Entry'!$$38)</f>
      </c>
      <c r="CQ38">
        <f>IF(ISBLANK('Data Entry'!$$38), "", 'Data Entry'!$$38)</f>
      </c>
      <c r="CR38">
        <f>IF(ISBLANK('Data Entry'!$ $38), "", 'Data Entry'!$ $38)</f>
      </c>
      <c r="CS38">
        <f>IF(ISBLANK('Data Entry'!$¡$38), "", 'Data Entry'!$¡$38)</f>
      </c>
      <c r="CT38">
        <f>IF(ISBLANK('Data Entry'!$¢$38), "", 'Data Entry'!$¢$38)</f>
      </c>
      <c r="CU38">
        <f>IF(ISBLANK('Data Entry'!$£$38), "", 'Data Entry'!$£$38)</f>
      </c>
      <c r="CV38">
        <f>IF(ISBLANK('Data Entry'!$¤$38), "", 'Data Entry'!$¤$38)</f>
      </c>
      <c r="CW38">
        <f>IF(ISBLANK('Data Entry'!$¥$38), "", 'Data Entry'!$¥$38)</f>
      </c>
      <c r="CX38">
        <f>IF(ISBLANK('Data Entry'!$¦$38), "", 'Data Entry'!$¦$38)</f>
      </c>
      <c r="CY38">
        <f>IF(ISBLANK('Data Entry'!$§$38), "", 'Data Entry'!$§$38)</f>
      </c>
      <c r="CZ38">
        <f>IF(ISBLANK('Data Entry'!$¨$38), "", 'Data Entry'!$¨$38)</f>
      </c>
      <c r="DA38">
        <f>IF(ISBLANK('Data Entry'!$©$38), "", 'Data Entry'!$©$38)</f>
      </c>
      <c r="DB38">
        <f>IF(ISBLANK('Data Entry'!$ª$38), "", 'Data Entry'!$ª$38)</f>
      </c>
      <c r="DC38">
        <f>IF(ISBLANK('Data Entry'!$«$38), "", 'Data Entry'!$«$38)</f>
      </c>
      <c r="DD38">
        <f>IF(ISBLANK('Data Entry'!$¬$38), "", 'Data Entry'!$¬$38)</f>
      </c>
      <c r="DE38">
        <f>IF(ISBLANK('Data Entry'!$­$38), "", 'Data Entry'!$­$38)</f>
      </c>
      <c r="DF38">
        <f>IF(ISBLANK('Data Entry'!$®$38), "", 'Data Entry'!$®$38)</f>
      </c>
      <c r="DG38">
        <f>IF(ISBLANK('Data Entry'!$¯$38), "", 'Data Entry'!$¯$38)</f>
      </c>
      <c r="DH38">
        <f>IF(ISBLANK('Data Entry'!$°$38), "", 'Data Entry'!$°$38)</f>
      </c>
      <c r="DI38">
        <f>IF(ISBLANK('Data Entry'!$±$38), "", 'Data Entry'!$±$38)</f>
      </c>
      <c r="DJ38">
        <f>IF(ISBLANK('Data Entry'!$²$38), "", 'Data Entry'!$²$38)</f>
      </c>
      <c r="DK38">
        <f>IF(ISBLANK('Data Entry'!$³$38), "", 'Data Entry'!$³$38)</f>
      </c>
      <c r="DL38">
        <f>IF(ISBLANK('Data Entry'!$´$38), "", 'Data Entry'!$´$38)</f>
      </c>
      <c r="DM38">
        <f>IF(ISBLANK('Data Entry'!$µ$38), "", 'Data Entry'!$µ$38)</f>
      </c>
      <c r="DN38">
        <f>IF(ISBLANK('Data Entry'!$¶$38), "", 'Data Entry'!$¶$38)</f>
      </c>
      <c r="DO38">
        <f>IF(ISBLANK('Data Entry'!$·$38), "", 'Data Entry'!$·$38)</f>
      </c>
      <c r="DP38">
        <f>IF(ISBLANK('Data Entry'!$¸$38), "", 'Data Entry'!$¸$38)</f>
      </c>
      <c r="DQ38">
        <f>IF(ISBLANK('Data Entry'!$¹$38), "", 'Data Entry'!$¹$38)</f>
      </c>
      <c r="DR38">
        <f>IF(ISBLANK('Data Entry'!$º$38), "", 'Data Entry'!$º$38)</f>
      </c>
      <c r="DS38">
        <f>IF(ISBLANK('Data Entry'!$»$38), "", 'Data Entry'!$»$38)</f>
      </c>
      <c r="DT38">
        <f>IF(ISBLANK('Data Entry'!$¼$38), "", 'Data Entry'!$¼$38)</f>
      </c>
      <c r="DU38">
        <f>IF(ISBLANK('Data Entry'!$½$38), "", 'Data Entry'!$½$38)</f>
      </c>
      <c r="DV38">
        <f>IF(ISBLANK('Data Entry'!$¾$38), "", 'Data Entry'!$¾$38)</f>
      </c>
      <c r="DW38">
        <f>IF(ISBLANK('Data Entry'!$¿$38), "", 'Data Entry'!$¿$38)</f>
      </c>
      <c r="DX38">
        <f>IF(ISBLANK('Data Entry'!$À$38), "", 'Data Entry'!$À$38)</f>
      </c>
      <c r="DY38">
        <f>IF(ISBLANK('Data Entry'!$Á$38), "", 'Data Entry'!$Á$38)</f>
      </c>
      <c r="DZ38">
        <f>IF(ISBLANK('Data Entry'!$Â$38), "", 'Data Entry'!$Â$38)</f>
      </c>
      <c r="EA38">
        <f>IF(ISBLANK('Data Entry'!$Ã$38), "", 'Data Entry'!$Ã$38)</f>
      </c>
      <c r="EB38">
        <f>IF(ISBLANK('Data Entry'!$Ä$38), "", 'Data Entry'!$Ä$38)</f>
      </c>
      <c r="EC38">
        <f>IF(ISBLANK('Data Entry'!$Å$38), "", 'Data Entry'!$Å$38)</f>
      </c>
      <c r="ED38">
        <f>IF(ISBLANK('Data Entry'!$Æ$38), "", 'Data Entry'!$Æ$38)</f>
      </c>
      <c r="EE38">
        <f>IF(ISBLANK('Data Entry'!$Ç$38), "", 'Data Entry'!$Ç$38)</f>
      </c>
      <c r="EF38">
        <f>IF(ISBLANK('Data Entry'!$È$38), "", 'Data Entry'!$È$38)</f>
      </c>
      <c r="EG38">
        <f>IF(ISBLANK('Data Entry'!$É$38), "", 'Data Entry'!$É$38)</f>
      </c>
      <c r="EH38">
        <f>IF(ISBLANK('Data Entry'!$Ê$38), "", 'Data Entry'!$Ê$38)</f>
      </c>
      <c r="EI38">
        <f>IF(ISBLANK('Data Entry'!$Ë$38), "", 'Data Entry'!$Ë$38)</f>
      </c>
      <c r="EJ38">
        <f>IF(ISBLANK('Data Entry'!$Ì$38), "", 'Data Entry'!$Ì$38)</f>
      </c>
      <c r="EK38">
        <f>IF(ISBLANK('Data Entry'!$Í$38), "", 'Data Entry'!$Í$38)</f>
      </c>
      <c r="EL38">
        <f>IF(ISBLANK('Data Entry'!$Î$38), "", 'Data Entry'!$Î$38)</f>
      </c>
      <c r="EM38">
        <f>IF(ISBLANK('Data Entry'!$Ï$38), "", 'Data Entry'!$Ï$38)</f>
      </c>
      <c r="EN38">
        <f>IF(ISBLANK('Data Entry'!$Ð$38), "", 'Data Entry'!$Ð$38)</f>
      </c>
      <c r="EO38">
        <f>IF(ISBLANK('Data Entry'!$Ñ$38), "", 'Data Entry'!$Ñ$38)</f>
      </c>
      <c r="EP38">
        <f>IF(ISBLANK('Data Entry'!$Ò$38), "", 'Data Entry'!$Ò$38)</f>
      </c>
      <c r="EQ38">
        <f>IF(ISBLANK('Data Entry'!$Ó$38), "", 'Data Entry'!$Ó$38)</f>
      </c>
      <c r="ER38">
        <f>IF(ISBLANK('Data Entry'!$Ô$38), "", 'Data Entry'!$Ô$38)</f>
      </c>
      <c r="ES38">
        <f>IF(ISBLANK('Data Entry'!$Õ$38), "", 'Data Entry'!$Õ$38)</f>
      </c>
      <c r="ET38">
        <f>IF(ISBLANK('Data Entry'!$Ö$38), "", 'Data Entry'!$Ö$38)</f>
      </c>
      <c r="EU38">
        <f>IF(ISBLANK('Data Entry'!$×$38), "", 'Data Entry'!$×$38)</f>
      </c>
      <c r="EV38">
        <f>IF(ISBLANK('Data Entry'!$Ø$38), "", 'Data Entry'!$Ø$38)</f>
      </c>
      <c r="EW38">
        <f>IF(ISBLANK('Data Entry'!$Ù$38), "", 'Data Entry'!$Ù$38)</f>
      </c>
      <c r="EX38">
        <f>IF(ISBLANK('Data Entry'!$Ú$38), "", 'Data Entry'!$Ú$38)</f>
      </c>
      <c r="EY38">
        <f>IF(ISBLANK('Data Entry'!$Û$38), "", 'Data Entry'!$Û$38)</f>
      </c>
      <c r="EZ38">
        <f>IF(ISBLANK('Data Entry'!$Ü$38), "", 'Data Entry'!$Ü$38)</f>
      </c>
      <c r="FA38">
        <f>IF(ISBLANK('Data Entry'!$Ý$38), "", 'Data Entry'!$Ý$38)</f>
      </c>
      <c r="FB38">
        <f>IF(ISBLANK('Data Entry'!$Þ$38), "", 'Data Entry'!$Þ$38)</f>
      </c>
      <c r="FC38">
        <f>IF(ISBLANK('Data Entry'!$ß$38), "", 'Data Entry'!$ß$38)</f>
      </c>
      <c r="FD38">
        <f>IF(ISBLANK('Data Entry'!$à$38), "", 'Data Entry'!$à$38)</f>
      </c>
      <c r="FE38">
        <f>IF(ISBLANK('Data Entry'!$á$38), "", 'Data Entry'!$á$38)</f>
      </c>
      <c r="FF38">
        <f>IF(ISBLANK('Data Entry'!$â$38), "", 'Data Entry'!$â$38)</f>
      </c>
      <c r="FG38">
        <f>IF(ISBLANK('Data Entry'!$ã$38), "", 'Data Entry'!$ã$38)</f>
      </c>
      <c r="FH38">
        <f>IF(ISBLANK('Data Entry'!$ä$38), "", 'Data Entry'!$ä$38)</f>
      </c>
      <c r="FI38">
        <f>IF(ISBLANK('Data Entry'!$å$38), "", 'Data Entry'!$å$38)</f>
      </c>
      <c r="FJ38">
        <f>IF(ISBLANK('Data Entry'!$æ$38), "", 'Data Entry'!$æ$38)</f>
      </c>
      <c r="FK38">
        <f>IF(ISBLANK('Data Entry'!$ç$38), "", 'Data Entry'!$ç$38)</f>
      </c>
      <c r="FL38">
        <f>IF(ISBLANK('Data Entry'!$è$38), "", 'Data Entry'!$è$38)</f>
      </c>
      <c r="FM38">
        <f>IF(ISBLANK('Data Entry'!$é$38), "", 'Data Entry'!$é$38)</f>
      </c>
      <c r="FN38">
        <f>IF(ISBLANK('Data Entry'!$ê$38), "", 'Data Entry'!$ê$38)</f>
      </c>
      <c r="FO38">
        <f>IF(ISBLANK('Data Entry'!$ë$38), "", 'Data Entry'!$ë$38)</f>
      </c>
      <c r="FP38">
        <f>IF(ISBLANK('Data Entry'!$ì$38), "", 'Data Entry'!$ì$38)</f>
      </c>
      <c r="FQ38">
        <f>IF(ISBLANK('Data Entry'!$í$38), "", 'Data Entry'!$í$38)</f>
      </c>
      <c r="FR38">
        <f>IF(ISBLANK('Data Entry'!$î$38), "", 'Data Entry'!$î$38)</f>
      </c>
      <c r="FS38">
        <f>IF(ISBLANK('Data Entry'!$ï$38), "", 'Data Entry'!$ï$38)</f>
      </c>
      <c r="FT38">
        <f>IF(ISBLANK('Data Entry'!$ð$38), "", 'Data Entry'!$ð$38)</f>
      </c>
      <c r="FU38">
        <f>IF(ISBLANK('Data Entry'!$ñ$38), "", 'Data Entry'!$ñ$38)</f>
      </c>
      <c r="FV38">
        <f>IF(ISBLANK('Data Entry'!$ò$38), "", 'Data Entry'!$ò$38)</f>
      </c>
      <c r="FW38">
        <f>IF(ISBLANK('Data Entry'!$ó$38), "", 'Data Entry'!$ó$38)</f>
      </c>
      <c r="FX38">
        <f>IF(ISBLANK('Data Entry'!$ô$38), "", 'Data Entry'!$ô$38)</f>
      </c>
      <c r="FY38">
        <f>IF(ISBLANK('Data Entry'!$õ$38), "", 'Data Entry'!$õ$38)</f>
      </c>
      <c r="FZ38">
        <f>IF(ISBLANK('Data Entry'!$ö$38), "", 'Data Entry'!$ö$38)</f>
      </c>
      <c r="GA38">
        <f>IF(ISBLANK('Data Entry'!$÷$38), "", 'Data Entry'!$÷$38)</f>
      </c>
      <c r="GB38">
        <f>IF(ISBLANK('Data Entry'!$ø$38), "", 'Data Entry'!$ø$38)</f>
      </c>
      <c r="GC38">
        <f>IF(ISBLANK('Data Entry'!$ù$38), "", 'Data Entry'!$ù$38)</f>
      </c>
      <c r="GD38">
        <f>IF(ISBLANK('Data Entry'!$ú$38), "", 'Data Entry'!$ú$38)</f>
      </c>
      <c r="GE38">
        <f>IF(ISBLANK('Data Entry'!$û$38), "", 'Data Entry'!$û$38)</f>
      </c>
      <c r="GF38">
        <f>IF(ISBLANK('Data Entry'!$ü$38), "", 'Data Entry'!$ü$38)</f>
      </c>
      <c r="GG38">
        <f>IF(ISBLANK('Data Entry'!$ý$38), "", 'Data Entry'!$ý$38)</f>
      </c>
      <c r="GH38">
        <f>IF(ISBLANK('Data Entry'!$þ$38), "", 'Data Entry'!$þ$38)</f>
      </c>
      <c r="GI38">
        <f>IF(ISBLANK('Data Entry'!$ÿ$38), "", 'Data Entry'!$ÿ$38)</f>
      </c>
      <c r="GJ38">
        <f>IF(ISBLANK('Data Entry'!$Ā$38), "", 'Data Entry'!$Ā$38)</f>
      </c>
      <c r="GK38">
        <f>IF(ISBLANK('Data Entry'!$ā$38), "", 'Data Entry'!$ā$38)</f>
      </c>
      <c r="GL38">
        <f>IF(ISBLANK('Data Entry'!$Ă$38), "", 'Data Entry'!$Ă$38)</f>
      </c>
      <c r="GM38">
        <f>IF(ISBLANK('Data Entry'!$ă$38), "", 'Data Entry'!$ă$38)</f>
      </c>
      <c r="GN38">
        <f>IF(ISBLANK('Data Entry'!$Ą$38), "", 'Data Entry'!$Ą$38)</f>
      </c>
      <c r="GO38">
        <f>IF(ISBLANK('Data Entry'!$ą$38), "", 'Data Entry'!$ą$38)</f>
      </c>
      <c r="GP38">
        <f>IF(ISBLANK('Data Entry'!$Ć$38), "", 'Data Entry'!$Ć$38)</f>
      </c>
      <c r="GQ38">
        <f>IF(ISBLANK('Data Entry'!$ć$38), "", 'Data Entry'!$ć$38)</f>
      </c>
      <c r="GR38">
        <f>IF(ISBLANK('Data Entry'!$Ĉ$38), "", 'Data Entry'!$Ĉ$38)</f>
      </c>
      <c r="GS38">
        <f>IF(ISBLANK('Data Entry'!$ĉ$38), "", 'Data Entry'!$ĉ$38)</f>
      </c>
      <c r="GT38">
        <f>IF(ISBLANK('Data Entry'!$Ċ$38), "", 'Data Entry'!$Ċ$38)</f>
      </c>
      <c r="GU38">
        <f>IF(ISBLANK('Data Entry'!$ċ$38), "", 'Data Entry'!$ċ$38)</f>
      </c>
      <c r="GV38">
        <f>IF(ISBLANK('Data Entry'!$Č$38), "", 'Data Entry'!$Č$38)</f>
      </c>
      <c r="GW38">
        <f>IF(ISBLANK('Data Entry'!$č$38), "", 'Data Entry'!$č$38)</f>
      </c>
      <c r="GX38">
        <f>IF(ISBLANK('Data Entry'!$Ď$38), "", 'Data Entry'!$Ď$38)</f>
      </c>
      <c r="GY38">
        <f>IF(ISBLANK('Data Entry'!$ď$38), "", 'Data Entry'!$ď$38)</f>
      </c>
      <c r="GZ38">
        <f>IF(ISBLANK('Data Entry'!$Đ$38), "", 'Data Entry'!$Đ$38)</f>
      </c>
      <c r="HA38">
        <f>IF(ISBLANK('Data Entry'!$đ$38), "", 'Data Entry'!$đ$38)</f>
      </c>
      <c r="HB38">
        <f>IF(ISBLANK('Data Entry'!$Ē$38), "", 'Data Entry'!$Ē$38)</f>
      </c>
      <c r="HC38">
        <f>IF(ISBLANK('Data Entry'!$ē$38), "", 'Data Entry'!$ē$38)</f>
      </c>
      <c r="HD38">
        <f>IF(ISBLANK('Data Entry'!$Ĕ$38), "", 'Data Entry'!$Ĕ$38)</f>
      </c>
      <c r="HE38">
        <f>IF(ISBLANK('Data Entry'!$ĕ$38), "", 'Data Entry'!$ĕ$38)</f>
      </c>
      <c r="HF38">
        <f>IF(ISBLANK('Data Entry'!$Ė$38), "", 'Data Entry'!$Ė$38)</f>
      </c>
      <c r="HG38">
        <f>IF(ISBLANK('Data Entry'!$ė$38), "", 'Data Entry'!$ė$38)</f>
      </c>
      <c r="HH38">
        <f>IF(ISBLANK('Data Entry'!$Ę$38), "", 'Data Entry'!$Ę$38)</f>
      </c>
      <c r="HI38">
        <f>IF(ISBLANK('Data Entry'!$ę$38), "", 'Data Entry'!$ę$38)</f>
      </c>
      <c r="HJ38">
        <f>IF(ISBLANK('Data Entry'!$Ě$38), "", 'Data Entry'!$Ě$38)</f>
      </c>
      <c r="HK38">
        <f>IF(ISBLANK('Data Entry'!$ě$38), "", 'Data Entry'!$ě$38)</f>
      </c>
      <c r="HL38">
        <f>IF(ISBLANK('Data Entry'!$Ĝ$38), "", 'Data Entry'!$Ĝ$38)</f>
      </c>
      <c r="HM38">
        <f>IF(ISBLANK('Data Entry'!$ĝ$38), "", 'Data Entry'!$ĝ$38)</f>
      </c>
      <c r="HN38">
        <f>IF(ISBLANK('Data Entry'!$Ğ$38), "", 'Data Entry'!$Ğ$38)</f>
      </c>
      <c r="HO38">
        <f>IF(ISBLANK('Data Entry'!$ğ$38), "", 'Data Entry'!$ğ$38)</f>
      </c>
      <c r="HP38">
        <f>IF(ISBLANK('Data Entry'!$Ġ$38), "", 'Data Entry'!$Ġ$38)</f>
      </c>
      <c r="HQ38">
        <f>IF(ISBLANK('Data Entry'!$ġ$38), "", 'Data Entry'!$ġ$38)</f>
      </c>
      <c r="HR38">
        <f>IF(ISBLANK('Data Entry'!$Ģ$38), "", 'Data Entry'!$Ģ$38)</f>
      </c>
      <c r="HS38">
        <f>IF(ISBLANK('Data Entry'!$ģ$38), "", 'Data Entry'!$ģ$38)</f>
      </c>
      <c r="HT38">
        <f>IF(ISBLANK('Data Entry'!$Ĥ$38), "", 'Data Entry'!$Ĥ$38)</f>
      </c>
      <c r="HU38">
        <f>IF(ISBLANK('Data Entry'!$ĥ$38), "", 'Data Entry'!$ĥ$38)</f>
      </c>
      <c r="HV38">
        <f>IF(ISBLANK('Data Entry'!$Ħ$38), "", 'Data Entry'!$Ħ$38)</f>
      </c>
      <c r="HW38">
        <f>IF(ISBLANK('Data Entry'!$ħ$38), "", 'Data Entry'!$ħ$38)</f>
      </c>
      <c r="HX38">
        <f>IF(ISBLANK('Data Entry'!$Ĩ$38), "", 'Data Entry'!$Ĩ$38)</f>
      </c>
      <c r="HY38">
        <f>IF(ISBLANK('Data Entry'!$ĩ$38), "", 'Data Entry'!$ĩ$38)</f>
      </c>
      <c r="HZ38">
        <f>IF(ISBLANK('Data Entry'!$Ī$38), "", 'Data Entry'!$Ī$38)</f>
      </c>
      <c r="IA38">
        <f>IF(ISBLANK('Data Entry'!$ī$38), "", 'Data Entry'!$ī$38)</f>
      </c>
      <c r="IB38">
        <f>IF(ISBLANK('Data Entry'!$Ĭ$38), "", 'Data Entry'!$Ĭ$38)</f>
      </c>
      <c r="IC38">
        <f>IF(ISBLANK('Data Entry'!$ĭ$38), "", 'Data Entry'!$ĭ$38)</f>
      </c>
      <c r="ID38">
        <f>IF(ISBLANK('Data Entry'!$Į$38), "", 'Data Entry'!$Į$38)</f>
      </c>
      <c r="IE38">
        <f>IF(ISBLANK('Data Entry'!$į$38), "", 'Data Entry'!$į$38)</f>
      </c>
      <c r="IF38">
        <f>IF(ISBLANK('Data Entry'!$İ$38), "", 'Data Entry'!$İ$38)</f>
      </c>
      <c r="IG38">
        <f>IF(ISBLANK('Data Entry'!$ı$38), "", 'Data Entry'!$ı$38)</f>
      </c>
      <c r="IH38">
        <f>IF(ISBLANK('Data Entry'!$Ĳ$38), "", 'Data Entry'!$Ĳ$38)</f>
      </c>
      <c r="II38">
        <f>IF(ISBLANK('Data Entry'!$ĳ$38), "", 'Data Entry'!$ĳ$38)</f>
      </c>
      <c r="IJ38">
        <f>IF(ISBLANK('Data Entry'!$Ĵ$38), "", 'Data Entry'!$Ĵ$38)</f>
      </c>
      <c r="IK38">
        <f>IF(ISBLANK('Data Entry'!$ĵ$38), "", 'Data Entry'!$ĵ$38)</f>
      </c>
      <c r="IL38">
        <f>IF(ISBLANK('Data Entry'!$Ķ$38), "", 'Data Entry'!$Ķ$38)</f>
      </c>
      <c r="IM38">
        <f>IF(ISBLANK('Data Entry'!$ķ$38), "", 'Data Entry'!$ķ$38)</f>
      </c>
      <c r="IN38">
        <f>IF(ISBLANK('Data Entry'!$ĸ$38), "", 'Data Entry'!$ĸ$38)</f>
      </c>
      <c r="IO38">
        <f>IF(ISBLANK('Data Entry'!$Ĺ$38), "", 'Data Entry'!$Ĺ$38)</f>
      </c>
      <c r="IP38">
        <f>IF(ISBLANK('Data Entry'!$ĺ$38), "", 'Data Entry'!$ĺ$38)</f>
      </c>
      <c r="IQ38">
        <f>IF(ISBLANK('Data Entry'!$Ļ$38), "", 'Data Entry'!$Ļ$38)</f>
      </c>
      <c r="IR38">
        <f>IF(ISBLANK('Data Entry'!$ļ$38), "", 'Data Entry'!$ļ$38)</f>
      </c>
      <c r="IS38">
        <f>IF(ISBLANK('Data Entry'!$Ľ$38), "", 'Data Entry'!$Ľ$38)</f>
      </c>
      <c r="IT38">
        <f>IF(ISBLANK('Data Entry'!$ľ$38), "", 'Data Entry'!$ľ$38)</f>
      </c>
    </row>
    <row r="39" spans="1:254" x14ac:dyDescent="0.25">
      <c r="A39">
        <f>IF(ISBLANK('Data Entry'!$A$39), "", 'Data Entry'!$A$39)</f>
      </c>
      <c r="B39">
        <f>IF(ISBLANK('Data Entry'!$B$39), "", 'Data Entry'!$B$39)</f>
      </c>
      <c r="C39">
        <f>IF(ISBLANK('Data Entry'!$C$39), "", 'Data Entry'!$C$39)</f>
      </c>
      <c r="D39">
        <f>IF(ISBLANK('Data Entry'!$D$39), "", 'Data Entry'!$D$39)</f>
      </c>
      <c r="E39">
        <f>IF(ISBLANK('Data Entry'!$E$39), "", 'Data Entry'!$E$39)</f>
      </c>
      <c r="F39">
        <f>IF(ISBLANK('Data Entry'!$F$39), "", 'Data Entry'!$F$39)</f>
      </c>
      <c r="G39">
        <f>IF(ISBLANK('Data Entry'!$G$39), "", 'Data Entry'!$G$39)</f>
      </c>
      <c r="H39">
        <f>IF(ISBLANK('Data Entry'!$H$39), "", 'Data Entry'!$H$39)</f>
      </c>
      <c r="I39">
        <f>IF(ISBLANK('Data Entry'!$I$39), "", 'Data Entry'!$I$39)</f>
      </c>
      <c r="J39">
        <f>IF(ISBLANK('Data Entry'!$J$39), "", 'Data Entry'!$J$39)</f>
      </c>
      <c r="K39">
        <f>IF(ISBLANK('Data Entry'!$K$39), "", 'Data Entry'!$K$39)</f>
      </c>
      <c r="L39">
        <f>IF(ISBLANK('Data Entry'!$L$39), "", 'Data Entry'!$L$39)</f>
      </c>
      <c r="M39">
        <f>IF(ISBLANK('Data Entry'!$M$39), "", 'Data Entry'!$M$39)</f>
      </c>
      <c r="N39">
        <f>IF(ISBLANK('Data Entry'!$N$39), "", 'Data Entry'!$N$39)</f>
      </c>
      <c r="O39">
        <f>IF(ISBLANK('Data Entry'!$O$39), "", 'Data Entry'!$O$39)</f>
      </c>
      <c r="P39">
        <f>IF(ISBLANK('Data Entry'!$P$39), "", 'Data Entry'!$P$39)</f>
      </c>
      <c r="Q39">
        <f>IF(ISBLANK('Data Entry'!$Q$39), "", 'Data Entry'!$Q$39)</f>
      </c>
      <c r="R39">
        <f>IF(ISBLANK('Data Entry'!$R$39), "", 'Data Entry'!$R$39)</f>
      </c>
      <c r="S39">
        <f>IF(ISBLANK('Data Entry'!$S$39), "", 'Data Entry'!$S$39)</f>
      </c>
      <c r="T39">
        <f>IF(ISBLANK('Data Entry'!$T$39), "", 'Data Entry'!$T$39)</f>
      </c>
      <c r="U39">
        <f>IF(ISBLANK('Data Entry'!$U$39), "", 'Data Entry'!$U$39)</f>
      </c>
      <c r="V39">
        <f>IF(ISBLANK('Data Entry'!$V$39), "", 'Data Entry'!$V$39)</f>
      </c>
      <c r="W39">
        <f>IF(ISBLANK('Data Entry'!$W$39), "", 'Data Entry'!$W$39)</f>
      </c>
      <c r="X39">
        <f>IF(ISBLANK('Data Entry'!$X$39), "", 'Data Entry'!$X$39)</f>
      </c>
      <c r="Y39">
        <f>IF(ISBLANK('Data Entry'!$Y$39), "", 'Data Entry'!$Y$39)</f>
      </c>
      <c r="Z39">
        <f>IF(ISBLANK('Data Entry'!$Z$39), "", 'Data Entry'!$Z$39)</f>
      </c>
      <c r="AA39">
        <f>IF(ISBLANK('Data Entry'!$[$39), "", 'Data Entry'!$[$39)</f>
      </c>
      <c r="AB39">
        <f>IF(ISBLANK('Data Entry'!$\$39), "", 'Data Entry'!$\$39)</f>
      </c>
      <c r="AC39">
        <f>IF(ISBLANK('Data Entry'!$]$39), "", 'Data Entry'!$]$39)</f>
      </c>
      <c r="AD39">
        <f>IF(ISBLANK('Data Entry'!$^$39), "", 'Data Entry'!$^$39)</f>
      </c>
      <c r="AE39">
        <f>IF(ISBLANK('Data Entry'!$_$39), "", 'Data Entry'!$_$39)</f>
      </c>
      <c r="AF39">
        <f>IF(ISBLANK('Data Entry'!$`$39), "", 'Data Entry'!$`$39)</f>
      </c>
      <c r="AG39">
        <f>IF(ISBLANK('Data Entry'!$a$39), "", 'Data Entry'!$a$39)</f>
      </c>
      <c r="AH39">
        <f>IF(ISBLANK('Data Entry'!$b$39), "", 'Data Entry'!$b$39)</f>
      </c>
      <c r="AI39">
        <f>IF(ISBLANK('Data Entry'!$c$39), "", 'Data Entry'!$c$39)</f>
      </c>
      <c r="AJ39">
        <f>IF(ISBLANK('Data Entry'!$d$39), "", 'Data Entry'!$d$39)</f>
      </c>
      <c r="AK39">
        <f>IF(ISBLANK('Data Entry'!$e$39), "", 'Data Entry'!$e$39)</f>
      </c>
      <c r="AL39">
        <f>IF(ISBLANK('Data Entry'!$f$39), "", 'Data Entry'!$f$39)</f>
      </c>
      <c r="AM39">
        <f>IF(ISBLANK('Data Entry'!$g$39), "", 'Data Entry'!$g$39)</f>
      </c>
      <c r="AN39">
        <f>IF(ISBLANK('Data Entry'!$h$39), "", 'Data Entry'!$h$39)</f>
      </c>
      <c r="AO39">
        <f>IF(ISBLANK('Data Entry'!$i$39), "", 'Data Entry'!$i$39)</f>
      </c>
      <c r="AP39">
        <f>IF(ISBLANK('Data Entry'!$j$39), "", 'Data Entry'!$j$39)</f>
      </c>
      <c r="AQ39">
        <f>IF(ISBLANK('Data Entry'!$k$39), "", 'Data Entry'!$k$39)</f>
      </c>
      <c r="AR39">
        <f>IF(ISBLANK('Data Entry'!$l$39), "", 'Data Entry'!$l$39)</f>
      </c>
      <c r="AS39">
        <f>IF(ISBLANK('Data Entry'!$m$39), "", 'Data Entry'!$m$39)</f>
      </c>
      <c r="AT39">
        <f>IF(ISBLANK('Data Entry'!$n$39), "", 'Data Entry'!$n$39)</f>
      </c>
      <c r="AU39">
        <f>IF(ISBLANK('Data Entry'!$o$39), "", 'Data Entry'!$o$39)</f>
      </c>
      <c r="AV39">
        <f>IF(ISBLANK('Data Entry'!$p$39), "", 'Data Entry'!$p$39)</f>
      </c>
      <c r="AW39">
        <f>IF(ISBLANK('Data Entry'!$q$39), "", 'Data Entry'!$q$39)</f>
      </c>
      <c r="AX39">
        <f>IF(ISBLANK('Data Entry'!$r$39), "", 'Data Entry'!$r$39)</f>
      </c>
      <c r="AY39">
        <f>IF(ISBLANK('Data Entry'!$s$39), "", 'Data Entry'!$s$39)</f>
      </c>
      <c r="AZ39">
        <f>IF(ISBLANK('Data Entry'!$t$39), "", 'Data Entry'!$t$39)</f>
      </c>
      <c r="BA39">
        <f>IF(ISBLANK('Data Entry'!$u$39), "", 'Data Entry'!$u$39)</f>
      </c>
      <c r="BB39">
        <f>IF(ISBLANK('Data Entry'!$v$39), "", 'Data Entry'!$v$39)</f>
      </c>
      <c r="BC39">
        <f>IF(ISBLANK('Data Entry'!$w$39), "", 'Data Entry'!$w$39)</f>
      </c>
      <c r="BD39">
        <f>IF(ISBLANK('Data Entry'!$x$39), "", 'Data Entry'!$x$39)</f>
      </c>
      <c r="BE39">
        <f>IF(ISBLANK('Data Entry'!$y$39), "", 'Data Entry'!$y$39)</f>
      </c>
      <c r="BF39">
        <f>IF(ISBLANK('Data Entry'!$z$39), "", 'Data Entry'!$z$39)</f>
      </c>
      <c r="BG39">
        <f>IF(ISBLANK('Data Entry'!${$39), "", 'Data Entry'!${$39)</f>
      </c>
      <c r="BH39">
        <f>IF(ISBLANK('Data Entry'!$|$39), "", 'Data Entry'!$|$39)</f>
      </c>
      <c r="BI39">
        <f>IF(ISBLANK('Data Entry'!$}$39), "", 'Data Entry'!$}$39)</f>
      </c>
      <c r="BJ39">
        <f>IF(ISBLANK('Data Entry'!$~$39), "", 'Data Entry'!$~$39)</f>
      </c>
      <c r="BK39">
        <f>IF(ISBLANK('Data Entry'!$$39), "", 'Data Entry'!$$39)</f>
      </c>
      <c r="BL39">
        <f>IF(ISBLANK('Data Entry'!$$39), "", 'Data Entry'!$$39)</f>
      </c>
      <c r="BM39">
        <f>IF(ISBLANK('Data Entry'!$$39), "", 'Data Entry'!$$39)</f>
      </c>
      <c r="BN39">
        <f>IF(ISBLANK('Data Entry'!$$39), "", 'Data Entry'!$$39)</f>
      </c>
      <c r="BO39">
        <f>IF(ISBLANK('Data Entry'!$$39), "", 'Data Entry'!$$39)</f>
      </c>
      <c r="BP39">
        <f>IF(ISBLANK('Data Entry'!$$39), "", 'Data Entry'!$$39)</f>
      </c>
      <c r="BQ39">
        <f>IF(ISBLANK('Data Entry'!$$39), "", 'Data Entry'!$$39)</f>
      </c>
      <c r="BR39">
        <f>IF(ISBLANK('Data Entry'!$$39), "", 'Data Entry'!$$39)</f>
      </c>
      <c r="BS39">
        <f>IF(ISBLANK('Data Entry'!$$39), "", 'Data Entry'!$$39)</f>
      </c>
      <c r="BT39">
        <f>IF(ISBLANK('Data Entry'!$$39), "", 'Data Entry'!$$39)</f>
      </c>
      <c r="BU39">
        <f>IF(ISBLANK('Data Entry'!$$39), "", 'Data Entry'!$$39)</f>
      </c>
      <c r="BV39">
        <f>IF(ISBLANK('Data Entry'!$$39), "", 'Data Entry'!$$39)</f>
      </c>
      <c r="BW39">
        <f>IF(ISBLANK('Data Entry'!$$39), "", 'Data Entry'!$$39)</f>
      </c>
      <c r="BX39">
        <f>IF(ISBLANK('Data Entry'!$$39), "", 'Data Entry'!$$39)</f>
      </c>
      <c r="BY39">
        <f>IF(ISBLANK('Data Entry'!$$39), "", 'Data Entry'!$$39)</f>
      </c>
      <c r="BZ39">
        <f>IF(ISBLANK('Data Entry'!$$39), "", 'Data Entry'!$$39)</f>
      </c>
      <c r="CA39">
        <f>IF(ISBLANK('Data Entry'!$$39), "", 'Data Entry'!$$39)</f>
      </c>
      <c r="CB39">
        <f>IF(ISBLANK('Data Entry'!$$39), "", 'Data Entry'!$$39)</f>
      </c>
      <c r="CC39">
        <f>IF(ISBLANK('Data Entry'!$$39), "", 'Data Entry'!$$39)</f>
      </c>
      <c r="CD39">
        <f>IF(ISBLANK('Data Entry'!$$39), "", 'Data Entry'!$$39)</f>
      </c>
      <c r="CE39">
        <f>IF(ISBLANK('Data Entry'!$$39), "", 'Data Entry'!$$39)</f>
      </c>
      <c r="CF39">
        <f>IF(ISBLANK('Data Entry'!$$39), "", 'Data Entry'!$$39)</f>
      </c>
      <c r="CG39">
        <f>IF(ISBLANK('Data Entry'!$$39), "", 'Data Entry'!$$39)</f>
      </c>
      <c r="CH39">
        <f>IF(ISBLANK('Data Entry'!$$39), "", 'Data Entry'!$$39)</f>
      </c>
      <c r="CI39">
        <f>IF(ISBLANK('Data Entry'!$$39), "", 'Data Entry'!$$39)</f>
      </c>
      <c r="CJ39">
        <f>IF(ISBLANK('Data Entry'!$$39), "", 'Data Entry'!$$39)</f>
      </c>
      <c r="CK39">
        <f>IF(ISBLANK('Data Entry'!$$39), "", 'Data Entry'!$$39)</f>
      </c>
      <c r="CL39">
        <f>IF(ISBLANK('Data Entry'!$$39), "", 'Data Entry'!$$39)</f>
      </c>
      <c r="CM39">
        <f>IF(ISBLANK('Data Entry'!$$39), "", 'Data Entry'!$$39)</f>
      </c>
      <c r="CN39">
        <f>IF(ISBLANK('Data Entry'!$$39), "", 'Data Entry'!$$39)</f>
      </c>
      <c r="CO39">
        <f>IF(ISBLANK('Data Entry'!$$39), "", 'Data Entry'!$$39)</f>
      </c>
      <c r="CP39">
        <f>IF(ISBLANK('Data Entry'!$$39), "", 'Data Entry'!$$39)</f>
      </c>
      <c r="CQ39">
        <f>IF(ISBLANK('Data Entry'!$$39), "", 'Data Entry'!$$39)</f>
      </c>
      <c r="CR39">
        <f>IF(ISBLANK('Data Entry'!$ $39), "", 'Data Entry'!$ $39)</f>
      </c>
      <c r="CS39">
        <f>IF(ISBLANK('Data Entry'!$¡$39), "", 'Data Entry'!$¡$39)</f>
      </c>
      <c r="CT39">
        <f>IF(ISBLANK('Data Entry'!$¢$39), "", 'Data Entry'!$¢$39)</f>
      </c>
      <c r="CU39">
        <f>IF(ISBLANK('Data Entry'!$£$39), "", 'Data Entry'!$£$39)</f>
      </c>
      <c r="CV39">
        <f>IF(ISBLANK('Data Entry'!$¤$39), "", 'Data Entry'!$¤$39)</f>
      </c>
      <c r="CW39">
        <f>IF(ISBLANK('Data Entry'!$¥$39), "", 'Data Entry'!$¥$39)</f>
      </c>
      <c r="CX39">
        <f>IF(ISBLANK('Data Entry'!$¦$39), "", 'Data Entry'!$¦$39)</f>
      </c>
      <c r="CY39">
        <f>IF(ISBLANK('Data Entry'!$§$39), "", 'Data Entry'!$§$39)</f>
      </c>
      <c r="CZ39">
        <f>IF(ISBLANK('Data Entry'!$¨$39), "", 'Data Entry'!$¨$39)</f>
      </c>
      <c r="DA39">
        <f>IF(ISBLANK('Data Entry'!$©$39), "", 'Data Entry'!$©$39)</f>
      </c>
      <c r="DB39">
        <f>IF(ISBLANK('Data Entry'!$ª$39), "", 'Data Entry'!$ª$39)</f>
      </c>
      <c r="DC39">
        <f>IF(ISBLANK('Data Entry'!$«$39), "", 'Data Entry'!$«$39)</f>
      </c>
      <c r="DD39">
        <f>IF(ISBLANK('Data Entry'!$¬$39), "", 'Data Entry'!$¬$39)</f>
      </c>
      <c r="DE39">
        <f>IF(ISBLANK('Data Entry'!$­$39), "", 'Data Entry'!$­$39)</f>
      </c>
      <c r="DF39">
        <f>IF(ISBLANK('Data Entry'!$®$39), "", 'Data Entry'!$®$39)</f>
      </c>
      <c r="DG39">
        <f>IF(ISBLANK('Data Entry'!$¯$39), "", 'Data Entry'!$¯$39)</f>
      </c>
      <c r="DH39">
        <f>IF(ISBLANK('Data Entry'!$°$39), "", 'Data Entry'!$°$39)</f>
      </c>
      <c r="DI39">
        <f>IF(ISBLANK('Data Entry'!$±$39), "", 'Data Entry'!$±$39)</f>
      </c>
      <c r="DJ39">
        <f>IF(ISBLANK('Data Entry'!$²$39), "", 'Data Entry'!$²$39)</f>
      </c>
      <c r="DK39">
        <f>IF(ISBLANK('Data Entry'!$³$39), "", 'Data Entry'!$³$39)</f>
      </c>
      <c r="DL39">
        <f>IF(ISBLANK('Data Entry'!$´$39), "", 'Data Entry'!$´$39)</f>
      </c>
      <c r="DM39">
        <f>IF(ISBLANK('Data Entry'!$µ$39), "", 'Data Entry'!$µ$39)</f>
      </c>
      <c r="DN39">
        <f>IF(ISBLANK('Data Entry'!$¶$39), "", 'Data Entry'!$¶$39)</f>
      </c>
      <c r="DO39">
        <f>IF(ISBLANK('Data Entry'!$·$39), "", 'Data Entry'!$·$39)</f>
      </c>
      <c r="DP39">
        <f>IF(ISBLANK('Data Entry'!$¸$39), "", 'Data Entry'!$¸$39)</f>
      </c>
      <c r="DQ39">
        <f>IF(ISBLANK('Data Entry'!$¹$39), "", 'Data Entry'!$¹$39)</f>
      </c>
      <c r="DR39">
        <f>IF(ISBLANK('Data Entry'!$º$39), "", 'Data Entry'!$º$39)</f>
      </c>
      <c r="DS39">
        <f>IF(ISBLANK('Data Entry'!$»$39), "", 'Data Entry'!$»$39)</f>
      </c>
      <c r="DT39">
        <f>IF(ISBLANK('Data Entry'!$¼$39), "", 'Data Entry'!$¼$39)</f>
      </c>
      <c r="DU39">
        <f>IF(ISBLANK('Data Entry'!$½$39), "", 'Data Entry'!$½$39)</f>
      </c>
      <c r="DV39">
        <f>IF(ISBLANK('Data Entry'!$¾$39), "", 'Data Entry'!$¾$39)</f>
      </c>
      <c r="DW39">
        <f>IF(ISBLANK('Data Entry'!$¿$39), "", 'Data Entry'!$¿$39)</f>
      </c>
      <c r="DX39">
        <f>IF(ISBLANK('Data Entry'!$À$39), "", 'Data Entry'!$À$39)</f>
      </c>
      <c r="DY39">
        <f>IF(ISBLANK('Data Entry'!$Á$39), "", 'Data Entry'!$Á$39)</f>
      </c>
      <c r="DZ39">
        <f>IF(ISBLANK('Data Entry'!$Â$39), "", 'Data Entry'!$Â$39)</f>
      </c>
      <c r="EA39">
        <f>IF(ISBLANK('Data Entry'!$Ã$39), "", 'Data Entry'!$Ã$39)</f>
      </c>
      <c r="EB39">
        <f>IF(ISBLANK('Data Entry'!$Ä$39), "", 'Data Entry'!$Ä$39)</f>
      </c>
      <c r="EC39">
        <f>IF(ISBLANK('Data Entry'!$Å$39), "", 'Data Entry'!$Å$39)</f>
      </c>
      <c r="ED39">
        <f>IF(ISBLANK('Data Entry'!$Æ$39), "", 'Data Entry'!$Æ$39)</f>
      </c>
      <c r="EE39">
        <f>IF(ISBLANK('Data Entry'!$Ç$39), "", 'Data Entry'!$Ç$39)</f>
      </c>
      <c r="EF39">
        <f>IF(ISBLANK('Data Entry'!$È$39), "", 'Data Entry'!$È$39)</f>
      </c>
      <c r="EG39">
        <f>IF(ISBLANK('Data Entry'!$É$39), "", 'Data Entry'!$É$39)</f>
      </c>
      <c r="EH39">
        <f>IF(ISBLANK('Data Entry'!$Ê$39), "", 'Data Entry'!$Ê$39)</f>
      </c>
      <c r="EI39">
        <f>IF(ISBLANK('Data Entry'!$Ë$39), "", 'Data Entry'!$Ë$39)</f>
      </c>
      <c r="EJ39">
        <f>IF(ISBLANK('Data Entry'!$Ì$39), "", 'Data Entry'!$Ì$39)</f>
      </c>
      <c r="EK39">
        <f>IF(ISBLANK('Data Entry'!$Í$39), "", 'Data Entry'!$Í$39)</f>
      </c>
      <c r="EL39">
        <f>IF(ISBLANK('Data Entry'!$Î$39), "", 'Data Entry'!$Î$39)</f>
      </c>
      <c r="EM39">
        <f>IF(ISBLANK('Data Entry'!$Ï$39), "", 'Data Entry'!$Ï$39)</f>
      </c>
      <c r="EN39">
        <f>IF(ISBLANK('Data Entry'!$Ð$39), "", 'Data Entry'!$Ð$39)</f>
      </c>
      <c r="EO39">
        <f>IF(ISBLANK('Data Entry'!$Ñ$39), "", 'Data Entry'!$Ñ$39)</f>
      </c>
      <c r="EP39">
        <f>IF(ISBLANK('Data Entry'!$Ò$39), "", 'Data Entry'!$Ò$39)</f>
      </c>
      <c r="EQ39">
        <f>IF(ISBLANK('Data Entry'!$Ó$39), "", 'Data Entry'!$Ó$39)</f>
      </c>
      <c r="ER39">
        <f>IF(ISBLANK('Data Entry'!$Ô$39), "", 'Data Entry'!$Ô$39)</f>
      </c>
      <c r="ES39">
        <f>IF(ISBLANK('Data Entry'!$Õ$39), "", 'Data Entry'!$Õ$39)</f>
      </c>
      <c r="ET39">
        <f>IF(ISBLANK('Data Entry'!$Ö$39), "", 'Data Entry'!$Ö$39)</f>
      </c>
      <c r="EU39">
        <f>IF(ISBLANK('Data Entry'!$×$39), "", 'Data Entry'!$×$39)</f>
      </c>
      <c r="EV39">
        <f>IF(ISBLANK('Data Entry'!$Ø$39), "", 'Data Entry'!$Ø$39)</f>
      </c>
      <c r="EW39">
        <f>IF(ISBLANK('Data Entry'!$Ù$39), "", 'Data Entry'!$Ù$39)</f>
      </c>
      <c r="EX39">
        <f>IF(ISBLANK('Data Entry'!$Ú$39), "", 'Data Entry'!$Ú$39)</f>
      </c>
      <c r="EY39">
        <f>IF(ISBLANK('Data Entry'!$Û$39), "", 'Data Entry'!$Û$39)</f>
      </c>
      <c r="EZ39">
        <f>IF(ISBLANK('Data Entry'!$Ü$39), "", 'Data Entry'!$Ü$39)</f>
      </c>
      <c r="FA39">
        <f>IF(ISBLANK('Data Entry'!$Ý$39), "", 'Data Entry'!$Ý$39)</f>
      </c>
      <c r="FB39">
        <f>IF(ISBLANK('Data Entry'!$Þ$39), "", 'Data Entry'!$Þ$39)</f>
      </c>
      <c r="FC39">
        <f>IF(ISBLANK('Data Entry'!$ß$39), "", 'Data Entry'!$ß$39)</f>
      </c>
      <c r="FD39">
        <f>IF(ISBLANK('Data Entry'!$à$39), "", 'Data Entry'!$à$39)</f>
      </c>
      <c r="FE39">
        <f>IF(ISBLANK('Data Entry'!$á$39), "", 'Data Entry'!$á$39)</f>
      </c>
      <c r="FF39">
        <f>IF(ISBLANK('Data Entry'!$â$39), "", 'Data Entry'!$â$39)</f>
      </c>
      <c r="FG39">
        <f>IF(ISBLANK('Data Entry'!$ã$39), "", 'Data Entry'!$ã$39)</f>
      </c>
      <c r="FH39">
        <f>IF(ISBLANK('Data Entry'!$ä$39), "", 'Data Entry'!$ä$39)</f>
      </c>
      <c r="FI39">
        <f>IF(ISBLANK('Data Entry'!$å$39), "", 'Data Entry'!$å$39)</f>
      </c>
      <c r="FJ39">
        <f>IF(ISBLANK('Data Entry'!$æ$39), "", 'Data Entry'!$æ$39)</f>
      </c>
      <c r="FK39">
        <f>IF(ISBLANK('Data Entry'!$ç$39), "", 'Data Entry'!$ç$39)</f>
      </c>
      <c r="FL39">
        <f>IF(ISBLANK('Data Entry'!$è$39), "", 'Data Entry'!$è$39)</f>
      </c>
      <c r="FM39">
        <f>IF(ISBLANK('Data Entry'!$é$39), "", 'Data Entry'!$é$39)</f>
      </c>
      <c r="FN39">
        <f>IF(ISBLANK('Data Entry'!$ê$39), "", 'Data Entry'!$ê$39)</f>
      </c>
      <c r="FO39">
        <f>IF(ISBLANK('Data Entry'!$ë$39), "", 'Data Entry'!$ë$39)</f>
      </c>
      <c r="FP39">
        <f>IF(ISBLANK('Data Entry'!$ì$39), "", 'Data Entry'!$ì$39)</f>
      </c>
      <c r="FQ39">
        <f>IF(ISBLANK('Data Entry'!$í$39), "", 'Data Entry'!$í$39)</f>
      </c>
      <c r="FR39">
        <f>IF(ISBLANK('Data Entry'!$î$39), "", 'Data Entry'!$î$39)</f>
      </c>
      <c r="FS39">
        <f>IF(ISBLANK('Data Entry'!$ï$39), "", 'Data Entry'!$ï$39)</f>
      </c>
      <c r="FT39">
        <f>IF(ISBLANK('Data Entry'!$ð$39), "", 'Data Entry'!$ð$39)</f>
      </c>
      <c r="FU39">
        <f>IF(ISBLANK('Data Entry'!$ñ$39), "", 'Data Entry'!$ñ$39)</f>
      </c>
      <c r="FV39">
        <f>IF(ISBLANK('Data Entry'!$ò$39), "", 'Data Entry'!$ò$39)</f>
      </c>
      <c r="FW39">
        <f>IF(ISBLANK('Data Entry'!$ó$39), "", 'Data Entry'!$ó$39)</f>
      </c>
      <c r="FX39">
        <f>IF(ISBLANK('Data Entry'!$ô$39), "", 'Data Entry'!$ô$39)</f>
      </c>
      <c r="FY39">
        <f>IF(ISBLANK('Data Entry'!$õ$39), "", 'Data Entry'!$õ$39)</f>
      </c>
      <c r="FZ39">
        <f>IF(ISBLANK('Data Entry'!$ö$39), "", 'Data Entry'!$ö$39)</f>
      </c>
      <c r="GA39">
        <f>IF(ISBLANK('Data Entry'!$÷$39), "", 'Data Entry'!$÷$39)</f>
      </c>
      <c r="GB39">
        <f>IF(ISBLANK('Data Entry'!$ø$39), "", 'Data Entry'!$ø$39)</f>
      </c>
      <c r="GC39">
        <f>IF(ISBLANK('Data Entry'!$ù$39), "", 'Data Entry'!$ù$39)</f>
      </c>
      <c r="GD39">
        <f>IF(ISBLANK('Data Entry'!$ú$39), "", 'Data Entry'!$ú$39)</f>
      </c>
      <c r="GE39">
        <f>IF(ISBLANK('Data Entry'!$û$39), "", 'Data Entry'!$û$39)</f>
      </c>
      <c r="GF39">
        <f>IF(ISBLANK('Data Entry'!$ü$39), "", 'Data Entry'!$ü$39)</f>
      </c>
      <c r="GG39">
        <f>IF(ISBLANK('Data Entry'!$ý$39), "", 'Data Entry'!$ý$39)</f>
      </c>
      <c r="GH39">
        <f>IF(ISBLANK('Data Entry'!$þ$39), "", 'Data Entry'!$þ$39)</f>
      </c>
      <c r="GI39">
        <f>IF(ISBLANK('Data Entry'!$ÿ$39), "", 'Data Entry'!$ÿ$39)</f>
      </c>
      <c r="GJ39">
        <f>IF(ISBLANK('Data Entry'!$Ā$39), "", 'Data Entry'!$Ā$39)</f>
      </c>
      <c r="GK39">
        <f>IF(ISBLANK('Data Entry'!$ā$39), "", 'Data Entry'!$ā$39)</f>
      </c>
      <c r="GL39">
        <f>IF(ISBLANK('Data Entry'!$Ă$39), "", 'Data Entry'!$Ă$39)</f>
      </c>
      <c r="GM39">
        <f>IF(ISBLANK('Data Entry'!$ă$39), "", 'Data Entry'!$ă$39)</f>
      </c>
      <c r="GN39">
        <f>IF(ISBLANK('Data Entry'!$Ą$39), "", 'Data Entry'!$Ą$39)</f>
      </c>
      <c r="GO39">
        <f>IF(ISBLANK('Data Entry'!$ą$39), "", 'Data Entry'!$ą$39)</f>
      </c>
      <c r="GP39">
        <f>IF(ISBLANK('Data Entry'!$Ć$39), "", 'Data Entry'!$Ć$39)</f>
      </c>
      <c r="GQ39">
        <f>IF(ISBLANK('Data Entry'!$ć$39), "", 'Data Entry'!$ć$39)</f>
      </c>
      <c r="GR39">
        <f>IF(ISBLANK('Data Entry'!$Ĉ$39), "", 'Data Entry'!$Ĉ$39)</f>
      </c>
      <c r="GS39">
        <f>IF(ISBLANK('Data Entry'!$ĉ$39), "", 'Data Entry'!$ĉ$39)</f>
      </c>
      <c r="GT39">
        <f>IF(ISBLANK('Data Entry'!$Ċ$39), "", 'Data Entry'!$Ċ$39)</f>
      </c>
      <c r="GU39">
        <f>IF(ISBLANK('Data Entry'!$ċ$39), "", 'Data Entry'!$ċ$39)</f>
      </c>
      <c r="GV39">
        <f>IF(ISBLANK('Data Entry'!$Č$39), "", 'Data Entry'!$Č$39)</f>
      </c>
      <c r="GW39">
        <f>IF(ISBLANK('Data Entry'!$č$39), "", 'Data Entry'!$č$39)</f>
      </c>
      <c r="GX39">
        <f>IF(ISBLANK('Data Entry'!$Ď$39), "", 'Data Entry'!$Ď$39)</f>
      </c>
      <c r="GY39">
        <f>IF(ISBLANK('Data Entry'!$ď$39), "", 'Data Entry'!$ď$39)</f>
      </c>
      <c r="GZ39">
        <f>IF(ISBLANK('Data Entry'!$Đ$39), "", 'Data Entry'!$Đ$39)</f>
      </c>
      <c r="HA39">
        <f>IF(ISBLANK('Data Entry'!$đ$39), "", 'Data Entry'!$đ$39)</f>
      </c>
      <c r="HB39">
        <f>IF(ISBLANK('Data Entry'!$Ē$39), "", 'Data Entry'!$Ē$39)</f>
      </c>
      <c r="HC39">
        <f>IF(ISBLANK('Data Entry'!$ē$39), "", 'Data Entry'!$ē$39)</f>
      </c>
      <c r="HD39">
        <f>IF(ISBLANK('Data Entry'!$Ĕ$39), "", 'Data Entry'!$Ĕ$39)</f>
      </c>
      <c r="HE39">
        <f>IF(ISBLANK('Data Entry'!$ĕ$39), "", 'Data Entry'!$ĕ$39)</f>
      </c>
      <c r="HF39">
        <f>IF(ISBLANK('Data Entry'!$Ė$39), "", 'Data Entry'!$Ė$39)</f>
      </c>
      <c r="HG39">
        <f>IF(ISBLANK('Data Entry'!$ė$39), "", 'Data Entry'!$ė$39)</f>
      </c>
      <c r="HH39">
        <f>IF(ISBLANK('Data Entry'!$Ę$39), "", 'Data Entry'!$Ę$39)</f>
      </c>
      <c r="HI39">
        <f>IF(ISBLANK('Data Entry'!$ę$39), "", 'Data Entry'!$ę$39)</f>
      </c>
      <c r="HJ39">
        <f>IF(ISBLANK('Data Entry'!$Ě$39), "", 'Data Entry'!$Ě$39)</f>
      </c>
      <c r="HK39">
        <f>IF(ISBLANK('Data Entry'!$ě$39), "", 'Data Entry'!$ě$39)</f>
      </c>
      <c r="HL39">
        <f>IF(ISBLANK('Data Entry'!$Ĝ$39), "", 'Data Entry'!$Ĝ$39)</f>
      </c>
      <c r="HM39">
        <f>IF(ISBLANK('Data Entry'!$ĝ$39), "", 'Data Entry'!$ĝ$39)</f>
      </c>
      <c r="HN39">
        <f>IF(ISBLANK('Data Entry'!$Ğ$39), "", 'Data Entry'!$Ğ$39)</f>
      </c>
      <c r="HO39">
        <f>IF(ISBLANK('Data Entry'!$ğ$39), "", 'Data Entry'!$ğ$39)</f>
      </c>
      <c r="HP39">
        <f>IF(ISBLANK('Data Entry'!$Ġ$39), "", 'Data Entry'!$Ġ$39)</f>
      </c>
      <c r="HQ39">
        <f>IF(ISBLANK('Data Entry'!$ġ$39), "", 'Data Entry'!$ġ$39)</f>
      </c>
      <c r="HR39">
        <f>IF(ISBLANK('Data Entry'!$Ģ$39), "", 'Data Entry'!$Ģ$39)</f>
      </c>
      <c r="HS39">
        <f>IF(ISBLANK('Data Entry'!$ģ$39), "", 'Data Entry'!$ģ$39)</f>
      </c>
      <c r="HT39">
        <f>IF(ISBLANK('Data Entry'!$Ĥ$39), "", 'Data Entry'!$Ĥ$39)</f>
      </c>
      <c r="HU39">
        <f>IF(ISBLANK('Data Entry'!$ĥ$39), "", 'Data Entry'!$ĥ$39)</f>
      </c>
      <c r="HV39">
        <f>IF(ISBLANK('Data Entry'!$Ħ$39), "", 'Data Entry'!$Ħ$39)</f>
      </c>
      <c r="HW39">
        <f>IF(ISBLANK('Data Entry'!$ħ$39), "", 'Data Entry'!$ħ$39)</f>
      </c>
      <c r="HX39">
        <f>IF(ISBLANK('Data Entry'!$Ĩ$39), "", 'Data Entry'!$Ĩ$39)</f>
      </c>
      <c r="HY39">
        <f>IF(ISBLANK('Data Entry'!$ĩ$39), "", 'Data Entry'!$ĩ$39)</f>
      </c>
      <c r="HZ39">
        <f>IF(ISBLANK('Data Entry'!$Ī$39), "", 'Data Entry'!$Ī$39)</f>
      </c>
      <c r="IA39">
        <f>IF(ISBLANK('Data Entry'!$ī$39), "", 'Data Entry'!$ī$39)</f>
      </c>
      <c r="IB39">
        <f>IF(ISBLANK('Data Entry'!$Ĭ$39), "", 'Data Entry'!$Ĭ$39)</f>
      </c>
      <c r="IC39">
        <f>IF(ISBLANK('Data Entry'!$ĭ$39), "", 'Data Entry'!$ĭ$39)</f>
      </c>
      <c r="ID39">
        <f>IF(ISBLANK('Data Entry'!$Į$39), "", 'Data Entry'!$Į$39)</f>
      </c>
      <c r="IE39">
        <f>IF(ISBLANK('Data Entry'!$į$39), "", 'Data Entry'!$į$39)</f>
      </c>
      <c r="IF39">
        <f>IF(ISBLANK('Data Entry'!$İ$39), "", 'Data Entry'!$İ$39)</f>
      </c>
      <c r="IG39">
        <f>IF(ISBLANK('Data Entry'!$ı$39), "", 'Data Entry'!$ı$39)</f>
      </c>
      <c r="IH39">
        <f>IF(ISBLANK('Data Entry'!$Ĳ$39), "", 'Data Entry'!$Ĳ$39)</f>
      </c>
      <c r="II39">
        <f>IF(ISBLANK('Data Entry'!$ĳ$39), "", 'Data Entry'!$ĳ$39)</f>
      </c>
      <c r="IJ39">
        <f>IF(ISBLANK('Data Entry'!$Ĵ$39), "", 'Data Entry'!$Ĵ$39)</f>
      </c>
      <c r="IK39">
        <f>IF(ISBLANK('Data Entry'!$ĵ$39), "", 'Data Entry'!$ĵ$39)</f>
      </c>
      <c r="IL39">
        <f>IF(ISBLANK('Data Entry'!$Ķ$39), "", 'Data Entry'!$Ķ$39)</f>
      </c>
      <c r="IM39">
        <f>IF(ISBLANK('Data Entry'!$ķ$39), "", 'Data Entry'!$ķ$39)</f>
      </c>
      <c r="IN39">
        <f>IF(ISBLANK('Data Entry'!$ĸ$39), "", 'Data Entry'!$ĸ$39)</f>
      </c>
      <c r="IO39">
        <f>IF(ISBLANK('Data Entry'!$Ĺ$39), "", 'Data Entry'!$Ĺ$39)</f>
      </c>
      <c r="IP39">
        <f>IF(ISBLANK('Data Entry'!$ĺ$39), "", 'Data Entry'!$ĺ$39)</f>
      </c>
      <c r="IQ39">
        <f>IF(ISBLANK('Data Entry'!$Ļ$39), "", 'Data Entry'!$Ļ$39)</f>
      </c>
      <c r="IR39">
        <f>IF(ISBLANK('Data Entry'!$ļ$39), "", 'Data Entry'!$ļ$39)</f>
      </c>
      <c r="IS39">
        <f>IF(ISBLANK('Data Entry'!$Ľ$39), "", 'Data Entry'!$Ľ$39)</f>
      </c>
      <c r="IT39">
        <f>IF(ISBLANK('Data Entry'!$ľ$39), "", 'Data Entry'!$ľ$39)</f>
      </c>
    </row>
    <row r="40" spans="1:254" x14ac:dyDescent="0.25">
      <c r="A40">
        <f>IF(ISBLANK('Data Entry'!$A$40), "", 'Data Entry'!$A$40)</f>
      </c>
      <c r="B40">
        <f>IF(ISBLANK('Data Entry'!$B$40), "", 'Data Entry'!$B$40)</f>
      </c>
      <c r="C40">
        <f>IF(ISBLANK('Data Entry'!$C$40), "", 'Data Entry'!$C$40)</f>
      </c>
      <c r="D40">
        <f>IF(ISBLANK('Data Entry'!$D$40), "", 'Data Entry'!$D$40)</f>
      </c>
      <c r="E40">
        <f>IF(ISBLANK('Data Entry'!$E$40), "", 'Data Entry'!$E$40)</f>
      </c>
      <c r="F40">
        <f>IF(ISBLANK('Data Entry'!$F$40), "", 'Data Entry'!$F$40)</f>
      </c>
      <c r="G40">
        <f>IF(ISBLANK('Data Entry'!$G$40), "", 'Data Entry'!$G$40)</f>
      </c>
      <c r="H40">
        <f>IF(ISBLANK('Data Entry'!$H$40), "", 'Data Entry'!$H$40)</f>
      </c>
      <c r="I40">
        <f>IF(ISBLANK('Data Entry'!$I$40), "", 'Data Entry'!$I$40)</f>
      </c>
      <c r="J40">
        <f>IF(ISBLANK('Data Entry'!$J$40), "", 'Data Entry'!$J$40)</f>
      </c>
      <c r="K40">
        <f>IF(ISBLANK('Data Entry'!$K$40), "", 'Data Entry'!$K$40)</f>
      </c>
      <c r="L40">
        <f>IF(ISBLANK('Data Entry'!$L$40), "", 'Data Entry'!$L$40)</f>
      </c>
      <c r="M40">
        <f>IF(ISBLANK('Data Entry'!$M$40), "", 'Data Entry'!$M$40)</f>
      </c>
      <c r="N40">
        <f>IF(ISBLANK('Data Entry'!$N$40), "", 'Data Entry'!$N$40)</f>
      </c>
      <c r="O40">
        <f>IF(ISBLANK('Data Entry'!$O$40), "", 'Data Entry'!$O$40)</f>
      </c>
      <c r="P40">
        <f>IF(ISBLANK('Data Entry'!$P$40), "", 'Data Entry'!$P$40)</f>
      </c>
      <c r="Q40">
        <f>IF(ISBLANK('Data Entry'!$Q$40), "", 'Data Entry'!$Q$40)</f>
      </c>
      <c r="R40">
        <f>IF(ISBLANK('Data Entry'!$R$40), "", 'Data Entry'!$R$40)</f>
      </c>
      <c r="S40">
        <f>IF(ISBLANK('Data Entry'!$S$40), "", 'Data Entry'!$S$40)</f>
      </c>
      <c r="T40">
        <f>IF(ISBLANK('Data Entry'!$T$40), "", 'Data Entry'!$T$40)</f>
      </c>
      <c r="U40">
        <f>IF(ISBLANK('Data Entry'!$U$40), "", 'Data Entry'!$U$40)</f>
      </c>
      <c r="V40">
        <f>IF(ISBLANK('Data Entry'!$V$40), "", 'Data Entry'!$V$40)</f>
      </c>
      <c r="W40">
        <f>IF(ISBLANK('Data Entry'!$W$40), "", 'Data Entry'!$W$40)</f>
      </c>
      <c r="X40">
        <f>IF(ISBLANK('Data Entry'!$X$40), "", 'Data Entry'!$X$40)</f>
      </c>
      <c r="Y40">
        <f>IF(ISBLANK('Data Entry'!$Y$40), "", 'Data Entry'!$Y$40)</f>
      </c>
      <c r="Z40">
        <f>IF(ISBLANK('Data Entry'!$Z$40), "", 'Data Entry'!$Z$40)</f>
      </c>
      <c r="AA40">
        <f>IF(ISBLANK('Data Entry'!$[$40), "", 'Data Entry'!$[$40)</f>
      </c>
      <c r="AB40">
        <f>IF(ISBLANK('Data Entry'!$\$40), "", 'Data Entry'!$\$40)</f>
      </c>
      <c r="AC40">
        <f>IF(ISBLANK('Data Entry'!$]$40), "", 'Data Entry'!$]$40)</f>
      </c>
      <c r="AD40">
        <f>IF(ISBLANK('Data Entry'!$^$40), "", 'Data Entry'!$^$40)</f>
      </c>
      <c r="AE40">
        <f>IF(ISBLANK('Data Entry'!$_$40), "", 'Data Entry'!$_$40)</f>
      </c>
      <c r="AF40">
        <f>IF(ISBLANK('Data Entry'!$`$40), "", 'Data Entry'!$`$40)</f>
      </c>
      <c r="AG40">
        <f>IF(ISBLANK('Data Entry'!$a$40), "", 'Data Entry'!$a$40)</f>
      </c>
      <c r="AH40">
        <f>IF(ISBLANK('Data Entry'!$b$40), "", 'Data Entry'!$b$40)</f>
      </c>
      <c r="AI40">
        <f>IF(ISBLANK('Data Entry'!$c$40), "", 'Data Entry'!$c$40)</f>
      </c>
      <c r="AJ40">
        <f>IF(ISBLANK('Data Entry'!$d$40), "", 'Data Entry'!$d$40)</f>
      </c>
      <c r="AK40">
        <f>IF(ISBLANK('Data Entry'!$e$40), "", 'Data Entry'!$e$40)</f>
      </c>
      <c r="AL40">
        <f>IF(ISBLANK('Data Entry'!$f$40), "", 'Data Entry'!$f$40)</f>
      </c>
      <c r="AM40">
        <f>IF(ISBLANK('Data Entry'!$g$40), "", 'Data Entry'!$g$40)</f>
      </c>
      <c r="AN40">
        <f>IF(ISBLANK('Data Entry'!$h$40), "", 'Data Entry'!$h$40)</f>
      </c>
      <c r="AO40">
        <f>IF(ISBLANK('Data Entry'!$i$40), "", 'Data Entry'!$i$40)</f>
      </c>
      <c r="AP40">
        <f>IF(ISBLANK('Data Entry'!$j$40), "", 'Data Entry'!$j$40)</f>
      </c>
      <c r="AQ40">
        <f>IF(ISBLANK('Data Entry'!$k$40), "", 'Data Entry'!$k$40)</f>
      </c>
      <c r="AR40">
        <f>IF(ISBLANK('Data Entry'!$l$40), "", 'Data Entry'!$l$40)</f>
      </c>
      <c r="AS40">
        <f>IF(ISBLANK('Data Entry'!$m$40), "", 'Data Entry'!$m$40)</f>
      </c>
      <c r="AT40">
        <f>IF(ISBLANK('Data Entry'!$n$40), "", 'Data Entry'!$n$40)</f>
      </c>
      <c r="AU40">
        <f>IF(ISBLANK('Data Entry'!$o$40), "", 'Data Entry'!$o$40)</f>
      </c>
      <c r="AV40">
        <f>IF(ISBLANK('Data Entry'!$p$40), "", 'Data Entry'!$p$40)</f>
      </c>
      <c r="AW40">
        <f>IF(ISBLANK('Data Entry'!$q$40), "", 'Data Entry'!$q$40)</f>
      </c>
      <c r="AX40">
        <f>IF(ISBLANK('Data Entry'!$r$40), "", 'Data Entry'!$r$40)</f>
      </c>
      <c r="AY40">
        <f>IF(ISBLANK('Data Entry'!$s$40), "", 'Data Entry'!$s$40)</f>
      </c>
      <c r="AZ40">
        <f>IF(ISBLANK('Data Entry'!$t$40), "", 'Data Entry'!$t$40)</f>
      </c>
      <c r="BA40">
        <f>IF(ISBLANK('Data Entry'!$u$40), "", 'Data Entry'!$u$40)</f>
      </c>
      <c r="BB40">
        <f>IF(ISBLANK('Data Entry'!$v$40), "", 'Data Entry'!$v$40)</f>
      </c>
      <c r="BC40">
        <f>IF(ISBLANK('Data Entry'!$w$40), "", 'Data Entry'!$w$40)</f>
      </c>
      <c r="BD40">
        <f>IF(ISBLANK('Data Entry'!$x$40), "", 'Data Entry'!$x$40)</f>
      </c>
      <c r="BE40">
        <f>IF(ISBLANK('Data Entry'!$y$40), "", 'Data Entry'!$y$40)</f>
      </c>
      <c r="BF40">
        <f>IF(ISBLANK('Data Entry'!$z$40), "", 'Data Entry'!$z$40)</f>
      </c>
      <c r="BG40">
        <f>IF(ISBLANK('Data Entry'!${$40), "", 'Data Entry'!${$40)</f>
      </c>
      <c r="BH40">
        <f>IF(ISBLANK('Data Entry'!$|$40), "", 'Data Entry'!$|$40)</f>
      </c>
      <c r="BI40">
        <f>IF(ISBLANK('Data Entry'!$}$40), "", 'Data Entry'!$}$40)</f>
      </c>
      <c r="BJ40">
        <f>IF(ISBLANK('Data Entry'!$~$40), "", 'Data Entry'!$~$40)</f>
      </c>
      <c r="BK40">
        <f>IF(ISBLANK('Data Entry'!$$40), "", 'Data Entry'!$$40)</f>
      </c>
      <c r="BL40">
        <f>IF(ISBLANK('Data Entry'!$$40), "", 'Data Entry'!$$40)</f>
      </c>
      <c r="BM40">
        <f>IF(ISBLANK('Data Entry'!$$40), "", 'Data Entry'!$$40)</f>
      </c>
      <c r="BN40">
        <f>IF(ISBLANK('Data Entry'!$$40), "", 'Data Entry'!$$40)</f>
      </c>
      <c r="BO40">
        <f>IF(ISBLANK('Data Entry'!$$40), "", 'Data Entry'!$$40)</f>
      </c>
      <c r="BP40">
        <f>IF(ISBLANK('Data Entry'!$$40), "", 'Data Entry'!$$40)</f>
      </c>
      <c r="BQ40">
        <f>IF(ISBLANK('Data Entry'!$$40), "", 'Data Entry'!$$40)</f>
      </c>
      <c r="BR40">
        <f>IF(ISBLANK('Data Entry'!$$40), "", 'Data Entry'!$$40)</f>
      </c>
      <c r="BS40">
        <f>IF(ISBLANK('Data Entry'!$$40), "", 'Data Entry'!$$40)</f>
      </c>
      <c r="BT40">
        <f>IF(ISBLANK('Data Entry'!$$40), "", 'Data Entry'!$$40)</f>
      </c>
      <c r="BU40">
        <f>IF(ISBLANK('Data Entry'!$$40), "", 'Data Entry'!$$40)</f>
      </c>
      <c r="BV40">
        <f>IF(ISBLANK('Data Entry'!$$40), "", 'Data Entry'!$$40)</f>
      </c>
      <c r="BW40">
        <f>IF(ISBLANK('Data Entry'!$$40), "", 'Data Entry'!$$40)</f>
      </c>
      <c r="BX40">
        <f>IF(ISBLANK('Data Entry'!$$40), "", 'Data Entry'!$$40)</f>
      </c>
      <c r="BY40">
        <f>IF(ISBLANK('Data Entry'!$$40), "", 'Data Entry'!$$40)</f>
      </c>
      <c r="BZ40">
        <f>IF(ISBLANK('Data Entry'!$$40), "", 'Data Entry'!$$40)</f>
      </c>
      <c r="CA40">
        <f>IF(ISBLANK('Data Entry'!$$40), "", 'Data Entry'!$$40)</f>
      </c>
      <c r="CB40">
        <f>IF(ISBLANK('Data Entry'!$$40), "", 'Data Entry'!$$40)</f>
      </c>
      <c r="CC40">
        <f>IF(ISBLANK('Data Entry'!$$40), "", 'Data Entry'!$$40)</f>
      </c>
      <c r="CD40">
        <f>IF(ISBLANK('Data Entry'!$$40), "", 'Data Entry'!$$40)</f>
      </c>
      <c r="CE40">
        <f>IF(ISBLANK('Data Entry'!$$40), "", 'Data Entry'!$$40)</f>
      </c>
      <c r="CF40">
        <f>IF(ISBLANK('Data Entry'!$$40), "", 'Data Entry'!$$40)</f>
      </c>
      <c r="CG40">
        <f>IF(ISBLANK('Data Entry'!$$40), "", 'Data Entry'!$$40)</f>
      </c>
      <c r="CH40">
        <f>IF(ISBLANK('Data Entry'!$$40), "", 'Data Entry'!$$40)</f>
      </c>
      <c r="CI40">
        <f>IF(ISBLANK('Data Entry'!$$40), "", 'Data Entry'!$$40)</f>
      </c>
      <c r="CJ40">
        <f>IF(ISBLANK('Data Entry'!$$40), "", 'Data Entry'!$$40)</f>
      </c>
      <c r="CK40">
        <f>IF(ISBLANK('Data Entry'!$$40), "", 'Data Entry'!$$40)</f>
      </c>
      <c r="CL40">
        <f>IF(ISBLANK('Data Entry'!$$40), "", 'Data Entry'!$$40)</f>
      </c>
      <c r="CM40">
        <f>IF(ISBLANK('Data Entry'!$$40), "", 'Data Entry'!$$40)</f>
      </c>
      <c r="CN40">
        <f>IF(ISBLANK('Data Entry'!$$40), "", 'Data Entry'!$$40)</f>
      </c>
      <c r="CO40">
        <f>IF(ISBLANK('Data Entry'!$$40), "", 'Data Entry'!$$40)</f>
      </c>
      <c r="CP40">
        <f>IF(ISBLANK('Data Entry'!$$40), "", 'Data Entry'!$$40)</f>
      </c>
      <c r="CQ40">
        <f>IF(ISBLANK('Data Entry'!$$40), "", 'Data Entry'!$$40)</f>
      </c>
      <c r="CR40">
        <f>IF(ISBLANK('Data Entry'!$ $40), "", 'Data Entry'!$ $40)</f>
      </c>
      <c r="CS40">
        <f>IF(ISBLANK('Data Entry'!$¡$40), "", 'Data Entry'!$¡$40)</f>
      </c>
      <c r="CT40">
        <f>IF(ISBLANK('Data Entry'!$¢$40), "", 'Data Entry'!$¢$40)</f>
      </c>
      <c r="CU40">
        <f>IF(ISBLANK('Data Entry'!$£$40), "", 'Data Entry'!$£$40)</f>
      </c>
      <c r="CV40">
        <f>IF(ISBLANK('Data Entry'!$¤$40), "", 'Data Entry'!$¤$40)</f>
      </c>
      <c r="CW40">
        <f>IF(ISBLANK('Data Entry'!$¥$40), "", 'Data Entry'!$¥$40)</f>
      </c>
      <c r="CX40">
        <f>IF(ISBLANK('Data Entry'!$¦$40), "", 'Data Entry'!$¦$40)</f>
      </c>
      <c r="CY40">
        <f>IF(ISBLANK('Data Entry'!$§$40), "", 'Data Entry'!$§$40)</f>
      </c>
      <c r="CZ40">
        <f>IF(ISBLANK('Data Entry'!$¨$40), "", 'Data Entry'!$¨$40)</f>
      </c>
      <c r="DA40">
        <f>IF(ISBLANK('Data Entry'!$©$40), "", 'Data Entry'!$©$40)</f>
      </c>
      <c r="DB40">
        <f>IF(ISBLANK('Data Entry'!$ª$40), "", 'Data Entry'!$ª$40)</f>
      </c>
      <c r="DC40">
        <f>IF(ISBLANK('Data Entry'!$«$40), "", 'Data Entry'!$«$40)</f>
      </c>
      <c r="DD40">
        <f>IF(ISBLANK('Data Entry'!$¬$40), "", 'Data Entry'!$¬$40)</f>
      </c>
      <c r="DE40">
        <f>IF(ISBLANK('Data Entry'!$­$40), "", 'Data Entry'!$­$40)</f>
      </c>
      <c r="DF40">
        <f>IF(ISBLANK('Data Entry'!$®$40), "", 'Data Entry'!$®$40)</f>
      </c>
      <c r="DG40">
        <f>IF(ISBLANK('Data Entry'!$¯$40), "", 'Data Entry'!$¯$40)</f>
      </c>
      <c r="DH40">
        <f>IF(ISBLANK('Data Entry'!$°$40), "", 'Data Entry'!$°$40)</f>
      </c>
      <c r="DI40">
        <f>IF(ISBLANK('Data Entry'!$±$40), "", 'Data Entry'!$±$40)</f>
      </c>
      <c r="DJ40">
        <f>IF(ISBLANK('Data Entry'!$²$40), "", 'Data Entry'!$²$40)</f>
      </c>
      <c r="DK40">
        <f>IF(ISBLANK('Data Entry'!$³$40), "", 'Data Entry'!$³$40)</f>
      </c>
      <c r="DL40">
        <f>IF(ISBLANK('Data Entry'!$´$40), "", 'Data Entry'!$´$40)</f>
      </c>
      <c r="DM40">
        <f>IF(ISBLANK('Data Entry'!$µ$40), "", 'Data Entry'!$µ$40)</f>
      </c>
      <c r="DN40">
        <f>IF(ISBLANK('Data Entry'!$¶$40), "", 'Data Entry'!$¶$40)</f>
      </c>
      <c r="DO40">
        <f>IF(ISBLANK('Data Entry'!$·$40), "", 'Data Entry'!$·$40)</f>
      </c>
      <c r="DP40">
        <f>IF(ISBLANK('Data Entry'!$¸$40), "", 'Data Entry'!$¸$40)</f>
      </c>
      <c r="DQ40">
        <f>IF(ISBLANK('Data Entry'!$¹$40), "", 'Data Entry'!$¹$40)</f>
      </c>
      <c r="DR40">
        <f>IF(ISBLANK('Data Entry'!$º$40), "", 'Data Entry'!$º$40)</f>
      </c>
      <c r="DS40">
        <f>IF(ISBLANK('Data Entry'!$»$40), "", 'Data Entry'!$»$40)</f>
      </c>
      <c r="DT40">
        <f>IF(ISBLANK('Data Entry'!$¼$40), "", 'Data Entry'!$¼$40)</f>
      </c>
      <c r="DU40">
        <f>IF(ISBLANK('Data Entry'!$½$40), "", 'Data Entry'!$½$40)</f>
      </c>
      <c r="DV40">
        <f>IF(ISBLANK('Data Entry'!$¾$40), "", 'Data Entry'!$¾$40)</f>
      </c>
      <c r="DW40">
        <f>IF(ISBLANK('Data Entry'!$¿$40), "", 'Data Entry'!$¿$40)</f>
      </c>
      <c r="DX40">
        <f>IF(ISBLANK('Data Entry'!$À$40), "", 'Data Entry'!$À$40)</f>
      </c>
      <c r="DY40">
        <f>IF(ISBLANK('Data Entry'!$Á$40), "", 'Data Entry'!$Á$40)</f>
      </c>
      <c r="DZ40">
        <f>IF(ISBLANK('Data Entry'!$Â$40), "", 'Data Entry'!$Â$40)</f>
      </c>
      <c r="EA40">
        <f>IF(ISBLANK('Data Entry'!$Ã$40), "", 'Data Entry'!$Ã$40)</f>
      </c>
      <c r="EB40">
        <f>IF(ISBLANK('Data Entry'!$Ä$40), "", 'Data Entry'!$Ä$40)</f>
      </c>
      <c r="EC40">
        <f>IF(ISBLANK('Data Entry'!$Å$40), "", 'Data Entry'!$Å$40)</f>
      </c>
      <c r="ED40">
        <f>IF(ISBLANK('Data Entry'!$Æ$40), "", 'Data Entry'!$Æ$40)</f>
      </c>
      <c r="EE40">
        <f>IF(ISBLANK('Data Entry'!$Ç$40), "", 'Data Entry'!$Ç$40)</f>
      </c>
      <c r="EF40">
        <f>IF(ISBLANK('Data Entry'!$È$40), "", 'Data Entry'!$È$40)</f>
      </c>
      <c r="EG40">
        <f>IF(ISBLANK('Data Entry'!$É$40), "", 'Data Entry'!$É$40)</f>
      </c>
      <c r="EH40">
        <f>IF(ISBLANK('Data Entry'!$Ê$40), "", 'Data Entry'!$Ê$40)</f>
      </c>
      <c r="EI40">
        <f>IF(ISBLANK('Data Entry'!$Ë$40), "", 'Data Entry'!$Ë$40)</f>
      </c>
      <c r="EJ40">
        <f>IF(ISBLANK('Data Entry'!$Ì$40), "", 'Data Entry'!$Ì$40)</f>
      </c>
      <c r="EK40">
        <f>IF(ISBLANK('Data Entry'!$Í$40), "", 'Data Entry'!$Í$40)</f>
      </c>
      <c r="EL40">
        <f>IF(ISBLANK('Data Entry'!$Î$40), "", 'Data Entry'!$Î$40)</f>
      </c>
      <c r="EM40">
        <f>IF(ISBLANK('Data Entry'!$Ï$40), "", 'Data Entry'!$Ï$40)</f>
      </c>
      <c r="EN40">
        <f>IF(ISBLANK('Data Entry'!$Ð$40), "", 'Data Entry'!$Ð$40)</f>
      </c>
      <c r="EO40">
        <f>IF(ISBLANK('Data Entry'!$Ñ$40), "", 'Data Entry'!$Ñ$40)</f>
      </c>
      <c r="EP40">
        <f>IF(ISBLANK('Data Entry'!$Ò$40), "", 'Data Entry'!$Ò$40)</f>
      </c>
      <c r="EQ40">
        <f>IF(ISBLANK('Data Entry'!$Ó$40), "", 'Data Entry'!$Ó$40)</f>
      </c>
      <c r="ER40">
        <f>IF(ISBLANK('Data Entry'!$Ô$40), "", 'Data Entry'!$Ô$40)</f>
      </c>
      <c r="ES40">
        <f>IF(ISBLANK('Data Entry'!$Õ$40), "", 'Data Entry'!$Õ$40)</f>
      </c>
      <c r="ET40">
        <f>IF(ISBLANK('Data Entry'!$Ö$40), "", 'Data Entry'!$Ö$40)</f>
      </c>
      <c r="EU40">
        <f>IF(ISBLANK('Data Entry'!$×$40), "", 'Data Entry'!$×$40)</f>
      </c>
      <c r="EV40">
        <f>IF(ISBLANK('Data Entry'!$Ø$40), "", 'Data Entry'!$Ø$40)</f>
      </c>
      <c r="EW40">
        <f>IF(ISBLANK('Data Entry'!$Ù$40), "", 'Data Entry'!$Ù$40)</f>
      </c>
      <c r="EX40">
        <f>IF(ISBLANK('Data Entry'!$Ú$40), "", 'Data Entry'!$Ú$40)</f>
      </c>
      <c r="EY40">
        <f>IF(ISBLANK('Data Entry'!$Û$40), "", 'Data Entry'!$Û$40)</f>
      </c>
      <c r="EZ40">
        <f>IF(ISBLANK('Data Entry'!$Ü$40), "", 'Data Entry'!$Ü$40)</f>
      </c>
      <c r="FA40">
        <f>IF(ISBLANK('Data Entry'!$Ý$40), "", 'Data Entry'!$Ý$40)</f>
      </c>
      <c r="FB40">
        <f>IF(ISBLANK('Data Entry'!$Þ$40), "", 'Data Entry'!$Þ$40)</f>
      </c>
      <c r="FC40">
        <f>IF(ISBLANK('Data Entry'!$ß$40), "", 'Data Entry'!$ß$40)</f>
      </c>
      <c r="FD40">
        <f>IF(ISBLANK('Data Entry'!$à$40), "", 'Data Entry'!$à$40)</f>
      </c>
      <c r="FE40">
        <f>IF(ISBLANK('Data Entry'!$á$40), "", 'Data Entry'!$á$40)</f>
      </c>
      <c r="FF40">
        <f>IF(ISBLANK('Data Entry'!$â$40), "", 'Data Entry'!$â$40)</f>
      </c>
      <c r="FG40">
        <f>IF(ISBLANK('Data Entry'!$ã$40), "", 'Data Entry'!$ã$40)</f>
      </c>
      <c r="FH40">
        <f>IF(ISBLANK('Data Entry'!$ä$40), "", 'Data Entry'!$ä$40)</f>
      </c>
      <c r="FI40">
        <f>IF(ISBLANK('Data Entry'!$å$40), "", 'Data Entry'!$å$40)</f>
      </c>
      <c r="FJ40">
        <f>IF(ISBLANK('Data Entry'!$æ$40), "", 'Data Entry'!$æ$40)</f>
      </c>
      <c r="FK40">
        <f>IF(ISBLANK('Data Entry'!$ç$40), "", 'Data Entry'!$ç$40)</f>
      </c>
      <c r="FL40">
        <f>IF(ISBLANK('Data Entry'!$è$40), "", 'Data Entry'!$è$40)</f>
      </c>
      <c r="FM40">
        <f>IF(ISBLANK('Data Entry'!$é$40), "", 'Data Entry'!$é$40)</f>
      </c>
      <c r="FN40">
        <f>IF(ISBLANK('Data Entry'!$ê$40), "", 'Data Entry'!$ê$40)</f>
      </c>
      <c r="FO40">
        <f>IF(ISBLANK('Data Entry'!$ë$40), "", 'Data Entry'!$ë$40)</f>
      </c>
      <c r="FP40">
        <f>IF(ISBLANK('Data Entry'!$ì$40), "", 'Data Entry'!$ì$40)</f>
      </c>
      <c r="FQ40">
        <f>IF(ISBLANK('Data Entry'!$í$40), "", 'Data Entry'!$í$40)</f>
      </c>
      <c r="FR40">
        <f>IF(ISBLANK('Data Entry'!$î$40), "", 'Data Entry'!$î$40)</f>
      </c>
      <c r="FS40">
        <f>IF(ISBLANK('Data Entry'!$ï$40), "", 'Data Entry'!$ï$40)</f>
      </c>
      <c r="FT40">
        <f>IF(ISBLANK('Data Entry'!$ð$40), "", 'Data Entry'!$ð$40)</f>
      </c>
      <c r="FU40">
        <f>IF(ISBLANK('Data Entry'!$ñ$40), "", 'Data Entry'!$ñ$40)</f>
      </c>
      <c r="FV40">
        <f>IF(ISBLANK('Data Entry'!$ò$40), "", 'Data Entry'!$ò$40)</f>
      </c>
      <c r="FW40">
        <f>IF(ISBLANK('Data Entry'!$ó$40), "", 'Data Entry'!$ó$40)</f>
      </c>
      <c r="FX40">
        <f>IF(ISBLANK('Data Entry'!$ô$40), "", 'Data Entry'!$ô$40)</f>
      </c>
      <c r="FY40">
        <f>IF(ISBLANK('Data Entry'!$õ$40), "", 'Data Entry'!$õ$40)</f>
      </c>
      <c r="FZ40">
        <f>IF(ISBLANK('Data Entry'!$ö$40), "", 'Data Entry'!$ö$40)</f>
      </c>
      <c r="GA40">
        <f>IF(ISBLANK('Data Entry'!$÷$40), "", 'Data Entry'!$÷$40)</f>
      </c>
      <c r="GB40">
        <f>IF(ISBLANK('Data Entry'!$ø$40), "", 'Data Entry'!$ø$40)</f>
      </c>
      <c r="GC40">
        <f>IF(ISBLANK('Data Entry'!$ù$40), "", 'Data Entry'!$ù$40)</f>
      </c>
      <c r="GD40">
        <f>IF(ISBLANK('Data Entry'!$ú$40), "", 'Data Entry'!$ú$40)</f>
      </c>
      <c r="GE40">
        <f>IF(ISBLANK('Data Entry'!$û$40), "", 'Data Entry'!$û$40)</f>
      </c>
      <c r="GF40">
        <f>IF(ISBLANK('Data Entry'!$ü$40), "", 'Data Entry'!$ü$40)</f>
      </c>
      <c r="GG40">
        <f>IF(ISBLANK('Data Entry'!$ý$40), "", 'Data Entry'!$ý$40)</f>
      </c>
      <c r="GH40">
        <f>IF(ISBLANK('Data Entry'!$þ$40), "", 'Data Entry'!$þ$40)</f>
      </c>
      <c r="GI40">
        <f>IF(ISBLANK('Data Entry'!$ÿ$40), "", 'Data Entry'!$ÿ$40)</f>
      </c>
      <c r="GJ40">
        <f>IF(ISBLANK('Data Entry'!$Ā$40), "", 'Data Entry'!$Ā$40)</f>
      </c>
      <c r="GK40">
        <f>IF(ISBLANK('Data Entry'!$ā$40), "", 'Data Entry'!$ā$40)</f>
      </c>
      <c r="GL40">
        <f>IF(ISBLANK('Data Entry'!$Ă$40), "", 'Data Entry'!$Ă$40)</f>
      </c>
      <c r="GM40">
        <f>IF(ISBLANK('Data Entry'!$ă$40), "", 'Data Entry'!$ă$40)</f>
      </c>
      <c r="GN40">
        <f>IF(ISBLANK('Data Entry'!$Ą$40), "", 'Data Entry'!$Ą$40)</f>
      </c>
      <c r="GO40">
        <f>IF(ISBLANK('Data Entry'!$ą$40), "", 'Data Entry'!$ą$40)</f>
      </c>
      <c r="GP40">
        <f>IF(ISBLANK('Data Entry'!$Ć$40), "", 'Data Entry'!$Ć$40)</f>
      </c>
      <c r="GQ40">
        <f>IF(ISBLANK('Data Entry'!$ć$40), "", 'Data Entry'!$ć$40)</f>
      </c>
      <c r="GR40">
        <f>IF(ISBLANK('Data Entry'!$Ĉ$40), "", 'Data Entry'!$Ĉ$40)</f>
      </c>
      <c r="GS40">
        <f>IF(ISBLANK('Data Entry'!$ĉ$40), "", 'Data Entry'!$ĉ$40)</f>
      </c>
      <c r="GT40">
        <f>IF(ISBLANK('Data Entry'!$Ċ$40), "", 'Data Entry'!$Ċ$40)</f>
      </c>
      <c r="GU40">
        <f>IF(ISBLANK('Data Entry'!$ċ$40), "", 'Data Entry'!$ċ$40)</f>
      </c>
      <c r="GV40">
        <f>IF(ISBLANK('Data Entry'!$Č$40), "", 'Data Entry'!$Č$40)</f>
      </c>
      <c r="GW40">
        <f>IF(ISBLANK('Data Entry'!$č$40), "", 'Data Entry'!$č$40)</f>
      </c>
      <c r="GX40">
        <f>IF(ISBLANK('Data Entry'!$Ď$40), "", 'Data Entry'!$Ď$40)</f>
      </c>
      <c r="GY40">
        <f>IF(ISBLANK('Data Entry'!$ď$40), "", 'Data Entry'!$ď$40)</f>
      </c>
      <c r="GZ40">
        <f>IF(ISBLANK('Data Entry'!$Đ$40), "", 'Data Entry'!$Đ$40)</f>
      </c>
      <c r="HA40">
        <f>IF(ISBLANK('Data Entry'!$đ$40), "", 'Data Entry'!$đ$40)</f>
      </c>
      <c r="HB40">
        <f>IF(ISBLANK('Data Entry'!$Ē$40), "", 'Data Entry'!$Ē$40)</f>
      </c>
      <c r="HC40">
        <f>IF(ISBLANK('Data Entry'!$ē$40), "", 'Data Entry'!$ē$40)</f>
      </c>
      <c r="HD40">
        <f>IF(ISBLANK('Data Entry'!$Ĕ$40), "", 'Data Entry'!$Ĕ$40)</f>
      </c>
      <c r="HE40">
        <f>IF(ISBLANK('Data Entry'!$ĕ$40), "", 'Data Entry'!$ĕ$40)</f>
      </c>
      <c r="HF40">
        <f>IF(ISBLANK('Data Entry'!$Ė$40), "", 'Data Entry'!$Ė$40)</f>
      </c>
      <c r="HG40">
        <f>IF(ISBLANK('Data Entry'!$ė$40), "", 'Data Entry'!$ė$40)</f>
      </c>
      <c r="HH40">
        <f>IF(ISBLANK('Data Entry'!$Ę$40), "", 'Data Entry'!$Ę$40)</f>
      </c>
      <c r="HI40">
        <f>IF(ISBLANK('Data Entry'!$ę$40), "", 'Data Entry'!$ę$40)</f>
      </c>
      <c r="HJ40">
        <f>IF(ISBLANK('Data Entry'!$Ě$40), "", 'Data Entry'!$Ě$40)</f>
      </c>
      <c r="HK40">
        <f>IF(ISBLANK('Data Entry'!$ě$40), "", 'Data Entry'!$ě$40)</f>
      </c>
      <c r="HL40">
        <f>IF(ISBLANK('Data Entry'!$Ĝ$40), "", 'Data Entry'!$Ĝ$40)</f>
      </c>
      <c r="HM40">
        <f>IF(ISBLANK('Data Entry'!$ĝ$40), "", 'Data Entry'!$ĝ$40)</f>
      </c>
      <c r="HN40">
        <f>IF(ISBLANK('Data Entry'!$Ğ$40), "", 'Data Entry'!$Ğ$40)</f>
      </c>
      <c r="HO40">
        <f>IF(ISBLANK('Data Entry'!$ğ$40), "", 'Data Entry'!$ğ$40)</f>
      </c>
      <c r="HP40">
        <f>IF(ISBLANK('Data Entry'!$Ġ$40), "", 'Data Entry'!$Ġ$40)</f>
      </c>
      <c r="HQ40">
        <f>IF(ISBLANK('Data Entry'!$ġ$40), "", 'Data Entry'!$ġ$40)</f>
      </c>
      <c r="HR40">
        <f>IF(ISBLANK('Data Entry'!$Ģ$40), "", 'Data Entry'!$Ģ$40)</f>
      </c>
      <c r="HS40">
        <f>IF(ISBLANK('Data Entry'!$ģ$40), "", 'Data Entry'!$ģ$40)</f>
      </c>
      <c r="HT40">
        <f>IF(ISBLANK('Data Entry'!$Ĥ$40), "", 'Data Entry'!$Ĥ$40)</f>
      </c>
      <c r="HU40">
        <f>IF(ISBLANK('Data Entry'!$ĥ$40), "", 'Data Entry'!$ĥ$40)</f>
      </c>
      <c r="HV40">
        <f>IF(ISBLANK('Data Entry'!$Ħ$40), "", 'Data Entry'!$Ħ$40)</f>
      </c>
      <c r="HW40">
        <f>IF(ISBLANK('Data Entry'!$ħ$40), "", 'Data Entry'!$ħ$40)</f>
      </c>
      <c r="HX40">
        <f>IF(ISBLANK('Data Entry'!$Ĩ$40), "", 'Data Entry'!$Ĩ$40)</f>
      </c>
      <c r="HY40">
        <f>IF(ISBLANK('Data Entry'!$ĩ$40), "", 'Data Entry'!$ĩ$40)</f>
      </c>
      <c r="HZ40">
        <f>IF(ISBLANK('Data Entry'!$Ī$40), "", 'Data Entry'!$Ī$40)</f>
      </c>
      <c r="IA40">
        <f>IF(ISBLANK('Data Entry'!$ī$40), "", 'Data Entry'!$ī$40)</f>
      </c>
      <c r="IB40">
        <f>IF(ISBLANK('Data Entry'!$Ĭ$40), "", 'Data Entry'!$Ĭ$40)</f>
      </c>
      <c r="IC40">
        <f>IF(ISBLANK('Data Entry'!$ĭ$40), "", 'Data Entry'!$ĭ$40)</f>
      </c>
      <c r="ID40">
        <f>IF(ISBLANK('Data Entry'!$Į$40), "", 'Data Entry'!$Į$40)</f>
      </c>
      <c r="IE40">
        <f>IF(ISBLANK('Data Entry'!$į$40), "", 'Data Entry'!$į$40)</f>
      </c>
      <c r="IF40">
        <f>IF(ISBLANK('Data Entry'!$İ$40), "", 'Data Entry'!$İ$40)</f>
      </c>
      <c r="IG40">
        <f>IF(ISBLANK('Data Entry'!$ı$40), "", 'Data Entry'!$ı$40)</f>
      </c>
      <c r="IH40">
        <f>IF(ISBLANK('Data Entry'!$Ĳ$40), "", 'Data Entry'!$Ĳ$40)</f>
      </c>
      <c r="II40">
        <f>IF(ISBLANK('Data Entry'!$ĳ$40), "", 'Data Entry'!$ĳ$40)</f>
      </c>
      <c r="IJ40">
        <f>IF(ISBLANK('Data Entry'!$Ĵ$40), "", 'Data Entry'!$Ĵ$40)</f>
      </c>
      <c r="IK40">
        <f>IF(ISBLANK('Data Entry'!$ĵ$40), "", 'Data Entry'!$ĵ$40)</f>
      </c>
      <c r="IL40">
        <f>IF(ISBLANK('Data Entry'!$Ķ$40), "", 'Data Entry'!$Ķ$40)</f>
      </c>
      <c r="IM40">
        <f>IF(ISBLANK('Data Entry'!$ķ$40), "", 'Data Entry'!$ķ$40)</f>
      </c>
      <c r="IN40">
        <f>IF(ISBLANK('Data Entry'!$ĸ$40), "", 'Data Entry'!$ĸ$40)</f>
      </c>
      <c r="IO40">
        <f>IF(ISBLANK('Data Entry'!$Ĺ$40), "", 'Data Entry'!$Ĺ$40)</f>
      </c>
      <c r="IP40">
        <f>IF(ISBLANK('Data Entry'!$ĺ$40), "", 'Data Entry'!$ĺ$40)</f>
      </c>
      <c r="IQ40">
        <f>IF(ISBLANK('Data Entry'!$Ļ$40), "", 'Data Entry'!$Ļ$40)</f>
      </c>
      <c r="IR40">
        <f>IF(ISBLANK('Data Entry'!$ļ$40), "", 'Data Entry'!$ļ$40)</f>
      </c>
      <c r="IS40">
        <f>IF(ISBLANK('Data Entry'!$Ľ$40), "", 'Data Entry'!$Ľ$40)</f>
      </c>
      <c r="IT40">
        <f>IF(ISBLANK('Data Entry'!$ľ$40), "", 'Data Entry'!$ľ$40)</f>
      </c>
    </row>
    <row r="41" spans="1:254" x14ac:dyDescent="0.25">
      <c r="A41">
        <f>IF(ISBLANK('Data Entry'!$A$41), "", 'Data Entry'!$A$41)</f>
      </c>
      <c r="B41">
        <f>IF(ISBLANK('Data Entry'!$B$41), "", 'Data Entry'!$B$41)</f>
      </c>
      <c r="C41">
        <f>IF(ISBLANK('Data Entry'!$C$41), "", 'Data Entry'!$C$41)</f>
      </c>
      <c r="D41">
        <f>IF(ISBLANK('Data Entry'!$D$41), "", 'Data Entry'!$D$41)</f>
      </c>
      <c r="E41">
        <f>IF(ISBLANK('Data Entry'!$E$41), "", 'Data Entry'!$E$41)</f>
      </c>
      <c r="F41">
        <f>IF(ISBLANK('Data Entry'!$F$41), "", 'Data Entry'!$F$41)</f>
      </c>
      <c r="G41">
        <f>IF(ISBLANK('Data Entry'!$G$41), "", 'Data Entry'!$G$41)</f>
      </c>
      <c r="H41">
        <f>IF(ISBLANK('Data Entry'!$H$41), "", 'Data Entry'!$H$41)</f>
      </c>
      <c r="I41">
        <f>IF(ISBLANK('Data Entry'!$I$41), "", 'Data Entry'!$I$41)</f>
      </c>
      <c r="J41">
        <f>IF(ISBLANK('Data Entry'!$J$41), "", 'Data Entry'!$J$41)</f>
      </c>
      <c r="K41">
        <f>IF(ISBLANK('Data Entry'!$K$41), "", 'Data Entry'!$K$41)</f>
      </c>
      <c r="L41">
        <f>IF(ISBLANK('Data Entry'!$L$41), "", 'Data Entry'!$L$41)</f>
      </c>
      <c r="M41">
        <f>IF(ISBLANK('Data Entry'!$M$41), "", 'Data Entry'!$M$41)</f>
      </c>
      <c r="N41">
        <f>IF(ISBLANK('Data Entry'!$N$41), "", 'Data Entry'!$N$41)</f>
      </c>
      <c r="O41">
        <f>IF(ISBLANK('Data Entry'!$O$41), "", 'Data Entry'!$O$41)</f>
      </c>
      <c r="P41">
        <f>IF(ISBLANK('Data Entry'!$P$41), "", 'Data Entry'!$P$41)</f>
      </c>
      <c r="Q41">
        <f>IF(ISBLANK('Data Entry'!$Q$41), "", 'Data Entry'!$Q$41)</f>
      </c>
      <c r="R41">
        <f>IF(ISBLANK('Data Entry'!$R$41), "", 'Data Entry'!$R$41)</f>
      </c>
      <c r="S41">
        <f>IF(ISBLANK('Data Entry'!$S$41), "", 'Data Entry'!$S$41)</f>
      </c>
      <c r="T41">
        <f>IF(ISBLANK('Data Entry'!$T$41), "", 'Data Entry'!$T$41)</f>
      </c>
      <c r="U41">
        <f>IF(ISBLANK('Data Entry'!$U$41), "", 'Data Entry'!$U$41)</f>
      </c>
      <c r="V41">
        <f>IF(ISBLANK('Data Entry'!$V$41), "", 'Data Entry'!$V$41)</f>
      </c>
      <c r="W41">
        <f>IF(ISBLANK('Data Entry'!$W$41), "", 'Data Entry'!$W$41)</f>
      </c>
      <c r="X41">
        <f>IF(ISBLANK('Data Entry'!$X$41), "", 'Data Entry'!$X$41)</f>
      </c>
      <c r="Y41">
        <f>IF(ISBLANK('Data Entry'!$Y$41), "", 'Data Entry'!$Y$41)</f>
      </c>
      <c r="Z41">
        <f>IF(ISBLANK('Data Entry'!$Z$41), "", 'Data Entry'!$Z$41)</f>
      </c>
      <c r="AA41">
        <f>IF(ISBLANK('Data Entry'!$[$41), "", 'Data Entry'!$[$41)</f>
      </c>
      <c r="AB41">
        <f>IF(ISBLANK('Data Entry'!$\$41), "", 'Data Entry'!$\$41)</f>
      </c>
      <c r="AC41">
        <f>IF(ISBLANK('Data Entry'!$]$41), "", 'Data Entry'!$]$41)</f>
      </c>
      <c r="AD41">
        <f>IF(ISBLANK('Data Entry'!$^$41), "", 'Data Entry'!$^$41)</f>
      </c>
      <c r="AE41">
        <f>IF(ISBLANK('Data Entry'!$_$41), "", 'Data Entry'!$_$41)</f>
      </c>
      <c r="AF41">
        <f>IF(ISBLANK('Data Entry'!$`$41), "", 'Data Entry'!$`$41)</f>
      </c>
      <c r="AG41">
        <f>IF(ISBLANK('Data Entry'!$a$41), "", 'Data Entry'!$a$41)</f>
      </c>
      <c r="AH41">
        <f>IF(ISBLANK('Data Entry'!$b$41), "", 'Data Entry'!$b$41)</f>
      </c>
      <c r="AI41">
        <f>IF(ISBLANK('Data Entry'!$c$41), "", 'Data Entry'!$c$41)</f>
      </c>
      <c r="AJ41">
        <f>IF(ISBLANK('Data Entry'!$d$41), "", 'Data Entry'!$d$41)</f>
      </c>
      <c r="AK41">
        <f>IF(ISBLANK('Data Entry'!$e$41), "", 'Data Entry'!$e$41)</f>
      </c>
      <c r="AL41">
        <f>IF(ISBLANK('Data Entry'!$f$41), "", 'Data Entry'!$f$41)</f>
      </c>
      <c r="AM41">
        <f>IF(ISBLANK('Data Entry'!$g$41), "", 'Data Entry'!$g$41)</f>
      </c>
      <c r="AN41">
        <f>IF(ISBLANK('Data Entry'!$h$41), "", 'Data Entry'!$h$41)</f>
      </c>
      <c r="AO41">
        <f>IF(ISBLANK('Data Entry'!$i$41), "", 'Data Entry'!$i$41)</f>
      </c>
      <c r="AP41">
        <f>IF(ISBLANK('Data Entry'!$j$41), "", 'Data Entry'!$j$41)</f>
      </c>
      <c r="AQ41">
        <f>IF(ISBLANK('Data Entry'!$k$41), "", 'Data Entry'!$k$41)</f>
      </c>
      <c r="AR41">
        <f>IF(ISBLANK('Data Entry'!$l$41), "", 'Data Entry'!$l$41)</f>
      </c>
      <c r="AS41">
        <f>IF(ISBLANK('Data Entry'!$m$41), "", 'Data Entry'!$m$41)</f>
      </c>
      <c r="AT41">
        <f>IF(ISBLANK('Data Entry'!$n$41), "", 'Data Entry'!$n$41)</f>
      </c>
      <c r="AU41">
        <f>IF(ISBLANK('Data Entry'!$o$41), "", 'Data Entry'!$o$41)</f>
      </c>
      <c r="AV41">
        <f>IF(ISBLANK('Data Entry'!$p$41), "", 'Data Entry'!$p$41)</f>
      </c>
      <c r="AW41">
        <f>IF(ISBLANK('Data Entry'!$q$41), "", 'Data Entry'!$q$41)</f>
      </c>
      <c r="AX41">
        <f>IF(ISBLANK('Data Entry'!$r$41), "", 'Data Entry'!$r$41)</f>
      </c>
      <c r="AY41">
        <f>IF(ISBLANK('Data Entry'!$s$41), "", 'Data Entry'!$s$41)</f>
      </c>
      <c r="AZ41">
        <f>IF(ISBLANK('Data Entry'!$t$41), "", 'Data Entry'!$t$41)</f>
      </c>
      <c r="BA41">
        <f>IF(ISBLANK('Data Entry'!$u$41), "", 'Data Entry'!$u$41)</f>
      </c>
      <c r="BB41">
        <f>IF(ISBLANK('Data Entry'!$v$41), "", 'Data Entry'!$v$41)</f>
      </c>
      <c r="BC41">
        <f>IF(ISBLANK('Data Entry'!$w$41), "", 'Data Entry'!$w$41)</f>
      </c>
      <c r="BD41">
        <f>IF(ISBLANK('Data Entry'!$x$41), "", 'Data Entry'!$x$41)</f>
      </c>
      <c r="BE41">
        <f>IF(ISBLANK('Data Entry'!$y$41), "", 'Data Entry'!$y$41)</f>
      </c>
      <c r="BF41">
        <f>IF(ISBLANK('Data Entry'!$z$41), "", 'Data Entry'!$z$41)</f>
      </c>
      <c r="BG41">
        <f>IF(ISBLANK('Data Entry'!${$41), "", 'Data Entry'!${$41)</f>
      </c>
      <c r="BH41">
        <f>IF(ISBLANK('Data Entry'!$|$41), "", 'Data Entry'!$|$41)</f>
      </c>
      <c r="BI41">
        <f>IF(ISBLANK('Data Entry'!$}$41), "", 'Data Entry'!$}$41)</f>
      </c>
      <c r="BJ41">
        <f>IF(ISBLANK('Data Entry'!$~$41), "", 'Data Entry'!$~$41)</f>
      </c>
      <c r="BK41">
        <f>IF(ISBLANK('Data Entry'!$$41), "", 'Data Entry'!$$41)</f>
      </c>
      <c r="BL41">
        <f>IF(ISBLANK('Data Entry'!$$41), "", 'Data Entry'!$$41)</f>
      </c>
      <c r="BM41">
        <f>IF(ISBLANK('Data Entry'!$$41), "", 'Data Entry'!$$41)</f>
      </c>
      <c r="BN41">
        <f>IF(ISBLANK('Data Entry'!$$41), "", 'Data Entry'!$$41)</f>
      </c>
      <c r="BO41">
        <f>IF(ISBLANK('Data Entry'!$$41), "", 'Data Entry'!$$41)</f>
      </c>
      <c r="BP41">
        <f>IF(ISBLANK('Data Entry'!$$41), "", 'Data Entry'!$$41)</f>
      </c>
      <c r="BQ41">
        <f>IF(ISBLANK('Data Entry'!$$41), "", 'Data Entry'!$$41)</f>
      </c>
      <c r="BR41">
        <f>IF(ISBLANK('Data Entry'!$$41), "", 'Data Entry'!$$41)</f>
      </c>
      <c r="BS41">
        <f>IF(ISBLANK('Data Entry'!$$41), "", 'Data Entry'!$$41)</f>
      </c>
      <c r="BT41">
        <f>IF(ISBLANK('Data Entry'!$$41), "", 'Data Entry'!$$41)</f>
      </c>
      <c r="BU41">
        <f>IF(ISBLANK('Data Entry'!$$41), "", 'Data Entry'!$$41)</f>
      </c>
      <c r="BV41">
        <f>IF(ISBLANK('Data Entry'!$$41), "", 'Data Entry'!$$41)</f>
      </c>
      <c r="BW41">
        <f>IF(ISBLANK('Data Entry'!$$41), "", 'Data Entry'!$$41)</f>
      </c>
      <c r="BX41">
        <f>IF(ISBLANK('Data Entry'!$$41), "", 'Data Entry'!$$41)</f>
      </c>
      <c r="BY41">
        <f>IF(ISBLANK('Data Entry'!$$41), "", 'Data Entry'!$$41)</f>
      </c>
      <c r="BZ41">
        <f>IF(ISBLANK('Data Entry'!$$41), "", 'Data Entry'!$$41)</f>
      </c>
      <c r="CA41">
        <f>IF(ISBLANK('Data Entry'!$$41), "", 'Data Entry'!$$41)</f>
      </c>
      <c r="CB41">
        <f>IF(ISBLANK('Data Entry'!$$41), "", 'Data Entry'!$$41)</f>
      </c>
      <c r="CC41">
        <f>IF(ISBLANK('Data Entry'!$$41), "", 'Data Entry'!$$41)</f>
      </c>
      <c r="CD41">
        <f>IF(ISBLANK('Data Entry'!$$41), "", 'Data Entry'!$$41)</f>
      </c>
      <c r="CE41">
        <f>IF(ISBLANK('Data Entry'!$$41), "", 'Data Entry'!$$41)</f>
      </c>
      <c r="CF41">
        <f>IF(ISBLANK('Data Entry'!$$41), "", 'Data Entry'!$$41)</f>
      </c>
      <c r="CG41">
        <f>IF(ISBLANK('Data Entry'!$$41), "", 'Data Entry'!$$41)</f>
      </c>
      <c r="CH41">
        <f>IF(ISBLANK('Data Entry'!$$41), "", 'Data Entry'!$$41)</f>
      </c>
      <c r="CI41">
        <f>IF(ISBLANK('Data Entry'!$$41), "", 'Data Entry'!$$41)</f>
      </c>
      <c r="CJ41">
        <f>IF(ISBLANK('Data Entry'!$$41), "", 'Data Entry'!$$41)</f>
      </c>
      <c r="CK41">
        <f>IF(ISBLANK('Data Entry'!$$41), "", 'Data Entry'!$$41)</f>
      </c>
      <c r="CL41">
        <f>IF(ISBLANK('Data Entry'!$$41), "", 'Data Entry'!$$41)</f>
      </c>
      <c r="CM41">
        <f>IF(ISBLANK('Data Entry'!$$41), "", 'Data Entry'!$$41)</f>
      </c>
      <c r="CN41">
        <f>IF(ISBLANK('Data Entry'!$$41), "", 'Data Entry'!$$41)</f>
      </c>
      <c r="CO41">
        <f>IF(ISBLANK('Data Entry'!$$41), "", 'Data Entry'!$$41)</f>
      </c>
      <c r="CP41">
        <f>IF(ISBLANK('Data Entry'!$$41), "", 'Data Entry'!$$41)</f>
      </c>
      <c r="CQ41">
        <f>IF(ISBLANK('Data Entry'!$$41), "", 'Data Entry'!$$41)</f>
      </c>
      <c r="CR41">
        <f>IF(ISBLANK('Data Entry'!$ $41), "", 'Data Entry'!$ $41)</f>
      </c>
      <c r="CS41">
        <f>IF(ISBLANK('Data Entry'!$¡$41), "", 'Data Entry'!$¡$41)</f>
      </c>
      <c r="CT41">
        <f>IF(ISBLANK('Data Entry'!$¢$41), "", 'Data Entry'!$¢$41)</f>
      </c>
      <c r="CU41">
        <f>IF(ISBLANK('Data Entry'!$£$41), "", 'Data Entry'!$£$41)</f>
      </c>
      <c r="CV41">
        <f>IF(ISBLANK('Data Entry'!$¤$41), "", 'Data Entry'!$¤$41)</f>
      </c>
      <c r="CW41">
        <f>IF(ISBLANK('Data Entry'!$¥$41), "", 'Data Entry'!$¥$41)</f>
      </c>
      <c r="CX41">
        <f>IF(ISBLANK('Data Entry'!$¦$41), "", 'Data Entry'!$¦$41)</f>
      </c>
      <c r="CY41">
        <f>IF(ISBLANK('Data Entry'!$§$41), "", 'Data Entry'!$§$41)</f>
      </c>
      <c r="CZ41">
        <f>IF(ISBLANK('Data Entry'!$¨$41), "", 'Data Entry'!$¨$41)</f>
      </c>
      <c r="DA41">
        <f>IF(ISBLANK('Data Entry'!$©$41), "", 'Data Entry'!$©$41)</f>
      </c>
      <c r="DB41">
        <f>IF(ISBLANK('Data Entry'!$ª$41), "", 'Data Entry'!$ª$41)</f>
      </c>
      <c r="DC41">
        <f>IF(ISBLANK('Data Entry'!$«$41), "", 'Data Entry'!$«$41)</f>
      </c>
      <c r="DD41">
        <f>IF(ISBLANK('Data Entry'!$¬$41), "", 'Data Entry'!$¬$41)</f>
      </c>
      <c r="DE41">
        <f>IF(ISBLANK('Data Entry'!$­$41), "", 'Data Entry'!$­$41)</f>
      </c>
      <c r="DF41">
        <f>IF(ISBLANK('Data Entry'!$®$41), "", 'Data Entry'!$®$41)</f>
      </c>
      <c r="DG41">
        <f>IF(ISBLANK('Data Entry'!$¯$41), "", 'Data Entry'!$¯$41)</f>
      </c>
      <c r="DH41">
        <f>IF(ISBLANK('Data Entry'!$°$41), "", 'Data Entry'!$°$41)</f>
      </c>
      <c r="DI41">
        <f>IF(ISBLANK('Data Entry'!$±$41), "", 'Data Entry'!$±$41)</f>
      </c>
      <c r="DJ41">
        <f>IF(ISBLANK('Data Entry'!$²$41), "", 'Data Entry'!$²$41)</f>
      </c>
      <c r="DK41">
        <f>IF(ISBLANK('Data Entry'!$³$41), "", 'Data Entry'!$³$41)</f>
      </c>
      <c r="DL41">
        <f>IF(ISBLANK('Data Entry'!$´$41), "", 'Data Entry'!$´$41)</f>
      </c>
      <c r="DM41">
        <f>IF(ISBLANK('Data Entry'!$µ$41), "", 'Data Entry'!$µ$41)</f>
      </c>
      <c r="DN41">
        <f>IF(ISBLANK('Data Entry'!$¶$41), "", 'Data Entry'!$¶$41)</f>
      </c>
      <c r="DO41">
        <f>IF(ISBLANK('Data Entry'!$·$41), "", 'Data Entry'!$·$41)</f>
      </c>
      <c r="DP41">
        <f>IF(ISBLANK('Data Entry'!$¸$41), "", 'Data Entry'!$¸$41)</f>
      </c>
      <c r="DQ41">
        <f>IF(ISBLANK('Data Entry'!$¹$41), "", 'Data Entry'!$¹$41)</f>
      </c>
      <c r="DR41">
        <f>IF(ISBLANK('Data Entry'!$º$41), "", 'Data Entry'!$º$41)</f>
      </c>
      <c r="DS41">
        <f>IF(ISBLANK('Data Entry'!$»$41), "", 'Data Entry'!$»$41)</f>
      </c>
      <c r="DT41">
        <f>IF(ISBLANK('Data Entry'!$¼$41), "", 'Data Entry'!$¼$41)</f>
      </c>
      <c r="DU41">
        <f>IF(ISBLANK('Data Entry'!$½$41), "", 'Data Entry'!$½$41)</f>
      </c>
      <c r="DV41">
        <f>IF(ISBLANK('Data Entry'!$¾$41), "", 'Data Entry'!$¾$41)</f>
      </c>
      <c r="DW41">
        <f>IF(ISBLANK('Data Entry'!$¿$41), "", 'Data Entry'!$¿$41)</f>
      </c>
      <c r="DX41">
        <f>IF(ISBLANK('Data Entry'!$À$41), "", 'Data Entry'!$À$41)</f>
      </c>
      <c r="DY41">
        <f>IF(ISBLANK('Data Entry'!$Á$41), "", 'Data Entry'!$Á$41)</f>
      </c>
      <c r="DZ41">
        <f>IF(ISBLANK('Data Entry'!$Â$41), "", 'Data Entry'!$Â$41)</f>
      </c>
      <c r="EA41">
        <f>IF(ISBLANK('Data Entry'!$Ã$41), "", 'Data Entry'!$Ã$41)</f>
      </c>
      <c r="EB41">
        <f>IF(ISBLANK('Data Entry'!$Ä$41), "", 'Data Entry'!$Ä$41)</f>
      </c>
      <c r="EC41">
        <f>IF(ISBLANK('Data Entry'!$Å$41), "", 'Data Entry'!$Å$41)</f>
      </c>
      <c r="ED41">
        <f>IF(ISBLANK('Data Entry'!$Æ$41), "", 'Data Entry'!$Æ$41)</f>
      </c>
      <c r="EE41">
        <f>IF(ISBLANK('Data Entry'!$Ç$41), "", 'Data Entry'!$Ç$41)</f>
      </c>
      <c r="EF41">
        <f>IF(ISBLANK('Data Entry'!$È$41), "", 'Data Entry'!$È$41)</f>
      </c>
      <c r="EG41">
        <f>IF(ISBLANK('Data Entry'!$É$41), "", 'Data Entry'!$É$41)</f>
      </c>
      <c r="EH41">
        <f>IF(ISBLANK('Data Entry'!$Ê$41), "", 'Data Entry'!$Ê$41)</f>
      </c>
      <c r="EI41">
        <f>IF(ISBLANK('Data Entry'!$Ë$41), "", 'Data Entry'!$Ë$41)</f>
      </c>
      <c r="EJ41">
        <f>IF(ISBLANK('Data Entry'!$Ì$41), "", 'Data Entry'!$Ì$41)</f>
      </c>
      <c r="EK41">
        <f>IF(ISBLANK('Data Entry'!$Í$41), "", 'Data Entry'!$Í$41)</f>
      </c>
      <c r="EL41">
        <f>IF(ISBLANK('Data Entry'!$Î$41), "", 'Data Entry'!$Î$41)</f>
      </c>
      <c r="EM41">
        <f>IF(ISBLANK('Data Entry'!$Ï$41), "", 'Data Entry'!$Ï$41)</f>
      </c>
      <c r="EN41">
        <f>IF(ISBLANK('Data Entry'!$Ð$41), "", 'Data Entry'!$Ð$41)</f>
      </c>
      <c r="EO41">
        <f>IF(ISBLANK('Data Entry'!$Ñ$41), "", 'Data Entry'!$Ñ$41)</f>
      </c>
      <c r="EP41">
        <f>IF(ISBLANK('Data Entry'!$Ò$41), "", 'Data Entry'!$Ò$41)</f>
      </c>
      <c r="EQ41">
        <f>IF(ISBLANK('Data Entry'!$Ó$41), "", 'Data Entry'!$Ó$41)</f>
      </c>
      <c r="ER41">
        <f>IF(ISBLANK('Data Entry'!$Ô$41), "", 'Data Entry'!$Ô$41)</f>
      </c>
      <c r="ES41">
        <f>IF(ISBLANK('Data Entry'!$Õ$41), "", 'Data Entry'!$Õ$41)</f>
      </c>
      <c r="ET41">
        <f>IF(ISBLANK('Data Entry'!$Ö$41), "", 'Data Entry'!$Ö$41)</f>
      </c>
      <c r="EU41">
        <f>IF(ISBLANK('Data Entry'!$×$41), "", 'Data Entry'!$×$41)</f>
      </c>
      <c r="EV41">
        <f>IF(ISBLANK('Data Entry'!$Ø$41), "", 'Data Entry'!$Ø$41)</f>
      </c>
      <c r="EW41">
        <f>IF(ISBLANK('Data Entry'!$Ù$41), "", 'Data Entry'!$Ù$41)</f>
      </c>
      <c r="EX41">
        <f>IF(ISBLANK('Data Entry'!$Ú$41), "", 'Data Entry'!$Ú$41)</f>
      </c>
      <c r="EY41">
        <f>IF(ISBLANK('Data Entry'!$Û$41), "", 'Data Entry'!$Û$41)</f>
      </c>
      <c r="EZ41">
        <f>IF(ISBLANK('Data Entry'!$Ü$41), "", 'Data Entry'!$Ü$41)</f>
      </c>
      <c r="FA41">
        <f>IF(ISBLANK('Data Entry'!$Ý$41), "", 'Data Entry'!$Ý$41)</f>
      </c>
      <c r="FB41">
        <f>IF(ISBLANK('Data Entry'!$Þ$41), "", 'Data Entry'!$Þ$41)</f>
      </c>
      <c r="FC41">
        <f>IF(ISBLANK('Data Entry'!$ß$41), "", 'Data Entry'!$ß$41)</f>
      </c>
      <c r="FD41">
        <f>IF(ISBLANK('Data Entry'!$à$41), "", 'Data Entry'!$à$41)</f>
      </c>
      <c r="FE41">
        <f>IF(ISBLANK('Data Entry'!$á$41), "", 'Data Entry'!$á$41)</f>
      </c>
      <c r="FF41">
        <f>IF(ISBLANK('Data Entry'!$â$41), "", 'Data Entry'!$â$41)</f>
      </c>
      <c r="FG41">
        <f>IF(ISBLANK('Data Entry'!$ã$41), "", 'Data Entry'!$ã$41)</f>
      </c>
      <c r="FH41">
        <f>IF(ISBLANK('Data Entry'!$ä$41), "", 'Data Entry'!$ä$41)</f>
      </c>
      <c r="FI41">
        <f>IF(ISBLANK('Data Entry'!$å$41), "", 'Data Entry'!$å$41)</f>
      </c>
      <c r="FJ41">
        <f>IF(ISBLANK('Data Entry'!$æ$41), "", 'Data Entry'!$æ$41)</f>
      </c>
      <c r="FK41">
        <f>IF(ISBLANK('Data Entry'!$ç$41), "", 'Data Entry'!$ç$41)</f>
      </c>
      <c r="FL41">
        <f>IF(ISBLANK('Data Entry'!$è$41), "", 'Data Entry'!$è$41)</f>
      </c>
      <c r="FM41">
        <f>IF(ISBLANK('Data Entry'!$é$41), "", 'Data Entry'!$é$41)</f>
      </c>
      <c r="FN41">
        <f>IF(ISBLANK('Data Entry'!$ê$41), "", 'Data Entry'!$ê$41)</f>
      </c>
      <c r="FO41">
        <f>IF(ISBLANK('Data Entry'!$ë$41), "", 'Data Entry'!$ë$41)</f>
      </c>
      <c r="FP41">
        <f>IF(ISBLANK('Data Entry'!$ì$41), "", 'Data Entry'!$ì$41)</f>
      </c>
      <c r="FQ41">
        <f>IF(ISBLANK('Data Entry'!$í$41), "", 'Data Entry'!$í$41)</f>
      </c>
      <c r="FR41">
        <f>IF(ISBLANK('Data Entry'!$î$41), "", 'Data Entry'!$î$41)</f>
      </c>
      <c r="FS41">
        <f>IF(ISBLANK('Data Entry'!$ï$41), "", 'Data Entry'!$ï$41)</f>
      </c>
      <c r="FT41">
        <f>IF(ISBLANK('Data Entry'!$ð$41), "", 'Data Entry'!$ð$41)</f>
      </c>
      <c r="FU41">
        <f>IF(ISBLANK('Data Entry'!$ñ$41), "", 'Data Entry'!$ñ$41)</f>
      </c>
      <c r="FV41">
        <f>IF(ISBLANK('Data Entry'!$ò$41), "", 'Data Entry'!$ò$41)</f>
      </c>
      <c r="FW41">
        <f>IF(ISBLANK('Data Entry'!$ó$41), "", 'Data Entry'!$ó$41)</f>
      </c>
      <c r="FX41">
        <f>IF(ISBLANK('Data Entry'!$ô$41), "", 'Data Entry'!$ô$41)</f>
      </c>
      <c r="FY41">
        <f>IF(ISBLANK('Data Entry'!$õ$41), "", 'Data Entry'!$õ$41)</f>
      </c>
      <c r="FZ41">
        <f>IF(ISBLANK('Data Entry'!$ö$41), "", 'Data Entry'!$ö$41)</f>
      </c>
      <c r="GA41">
        <f>IF(ISBLANK('Data Entry'!$÷$41), "", 'Data Entry'!$÷$41)</f>
      </c>
      <c r="GB41">
        <f>IF(ISBLANK('Data Entry'!$ø$41), "", 'Data Entry'!$ø$41)</f>
      </c>
      <c r="GC41">
        <f>IF(ISBLANK('Data Entry'!$ù$41), "", 'Data Entry'!$ù$41)</f>
      </c>
      <c r="GD41">
        <f>IF(ISBLANK('Data Entry'!$ú$41), "", 'Data Entry'!$ú$41)</f>
      </c>
      <c r="GE41">
        <f>IF(ISBLANK('Data Entry'!$û$41), "", 'Data Entry'!$û$41)</f>
      </c>
      <c r="GF41">
        <f>IF(ISBLANK('Data Entry'!$ü$41), "", 'Data Entry'!$ü$41)</f>
      </c>
      <c r="GG41">
        <f>IF(ISBLANK('Data Entry'!$ý$41), "", 'Data Entry'!$ý$41)</f>
      </c>
      <c r="GH41">
        <f>IF(ISBLANK('Data Entry'!$þ$41), "", 'Data Entry'!$þ$41)</f>
      </c>
      <c r="GI41">
        <f>IF(ISBLANK('Data Entry'!$ÿ$41), "", 'Data Entry'!$ÿ$41)</f>
      </c>
      <c r="GJ41">
        <f>IF(ISBLANK('Data Entry'!$Ā$41), "", 'Data Entry'!$Ā$41)</f>
      </c>
      <c r="GK41">
        <f>IF(ISBLANK('Data Entry'!$ā$41), "", 'Data Entry'!$ā$41)</f>
      </c>
      <c r="GL41">
        <f>IF(ISBLANK('Data Entry'!$Ă$41), "", 'Data Entry'!$Ă$41)</f>
      </c>
      <c r="GM41">
        <f>IF(ISBLANK('Data Entry'!$ă$41), "", 'Data Entry'!$ă$41)</f>
      </c>
      <c r="GN41">
        <f>IF(ISBLANK('Data Entry'!$Ą$41), "", 'Data Entry'!$Ą$41)</f>
      </c>
      <c r="GO41">
        <f>IF(ISBLANK('Data Entry'!$ą$41), "", 'Data Entry'!$ą$41)</f>
      </c>
      <c r="GP41">
        <f>IF(ISBLANK('Data Entry'!$Ć$41), "", 'Data Entry'!$Ć$41)</f>
      </c>
      <c r="GQ41">
        <f>IF(ISBLANK('Data Entry'!$ć$41), "", 'Data Entry'!$ć$41)</f>
      </c>
      <c r="GR41">
        <f>IF(ISBLANK('Data Entry'!$Ĉ$41), "", 'Data Entry'!$Ĉ$41)</f>
      </c>
      <c r="GS41">
        <f>IF(ISBLANK('Data Entry'!$ĉ$41), "", 'Data Entry'!$ĉ$41)</f>
      </c>
      <c r="GT41">
        <f>IF(ISBLANK('Data Entry'!$Ċ$41), "", 'Data Entry'!$Ċ$41)</f>
      </c>
      <c r="GU41">
        <f>IF(ISBLANK('Data Entry'!$ċ$41), "", 'Data Entry'!$ċ$41)</f>
      </c>
      <c r="GV41">
        <f>IF(ISBLANK('Data Entry'!$Č$41), "", 'Data Entry'!$Č$41)</f>
      </c>
      <c r="GW41">
        <f>IF(ISBLANK('Data Entry'!$č$41), "", 'Data Entry'!$č$41)</f>
      </c>
      <c r="GX41">
        <f>IF(ISBLANK('Data Entry'!$Ď$41), "", 'Data Entry'!$Ď$41)</f>
      </c>
      <c r="GY41">
        <f>IF(ISBLANK('Data Entry'!$ď$41), "", 'Data Entry'!$ď$41)</f>
      </c>
      <c r="GZ41">
        <f>IF(ISBLANK('Data Entry'!$Đ$41), "", 'Data Entry'!$Đ$41)</f>
      </c>
      <c r="HA41">
        <f>IF(ISBLANK('Data Entry'!$đ$41), "", 'Data Entry'!$đ$41)</f>
      </c>
      <c r="HB41">
        <f>IF(ISBLANK('Data Entry'!$Ē$41), "", 'Data Entry'!$Ē$41)</f>
      </c>
      <c r="HC41">
        <f>IF(ISBLANK('Data Entry'!$ē$41), "", 'Data Entry'!$ē$41)</f>
      </c>
      <c r="HD41">
        <f>IF(ISBLANK('Data Entry'!$Ĕ$41), "", 'Data Entry'!$Ĕ$41)</f>
      </c>
      <c r="HE41">
        <f>IF(ISBLANK('Data Entry'!$ĕ$41), "", 'Data Entry'!$ĕ$41)</f>
      </c>
      <c r="HF41">
        <f>IF(ISBLANK('Data Entry'!$Ė$41), "", 'Data Entry'!$Ė$41)</f>
      </c>
      <c r="HG41">
        <f>IF(ISBLANK('Data Entry'!$ė$41), "", 'Data Entry'!$ė$41)</f>
      </c>
      <c r="HH41">
        <f>IF(ISBLANK('Data Entry'!$Ę$41), "", 'Data Entry'!$Ę$41)</f>
      </c>
      <c r="HI41">
        <f>IF(ISBLANK('Data Entry'!$ę$41), "", 'Data Entry'!$ę$41)</f>
      </c>
      <c r="HJ41">
        <f>IF(ISBLANK('Data Entry'!$Ě$41), "", 'Data Entry'!$Ě$41)</f>
      </c>
      <c r="HK41">
        <f>IF(ISBLANK('Data Entry'!$ě$41), "", 'Data Entry'!$ě$41)</f>
      </c>
      <c r="HL41">
        <f>IF(ISBLANK('Data Entry'!$Ĝ$41), "", 'Data Entry'!$Ĝ$41)</f>
      </c>
      <c r="HM41">
        <f>IF(ISBLANK('Data Entry'!$ĝ$41), "", 'Data Entry'!$ĝ$41)</f>
      </c>
      <c r="HN41">
        <f>IF(ISBLANK('Data Entry'!$Ğ$41), "", 'Data Entry'!$Ğ$41)</f>
      </c>
      <c r="HO41">
        <f>IF(ISBLANK('Data Entry'!$ğ$41), "", 'Data Entry'!$ğ$41)</f>
      </c>
      <c r="HP41">
        <f>IF(ISBLANK('Data Entry'!$Ġ$41), "", 'Data Entry'!$Ġ$41)</f>
      </c>
      <c r="HQ41">
        <f>IF(ISBLANK('Data Entry'!$ġ$41), "", 'Data Entry'!$ġ$41)</f>
      </c>
      <c r="HR41">
        <f>IF(ISBLANK('Data Entry'!$Ģ$41), "", 'Data Entry'!$Ģ$41)</f>
      </c>
      <c r="HS41">
        <f>IF(ISBLANK('Data Entry'!$ģ$41), "", 'Data Entry'!$ģ$41)</f>
      </c>
      <c r="HT41">
        <f>IF(ISBLANK('Data Entry'!$Ĥ$41), "", 'Data Entry'!$Ĥ$41)</f>
      </c>
      <c r="HU41">
        <f>IF(ISBLANK('Data Entry'!$ĥ$41), "", 'Data Entry'!$ĥ$41)</f>
      </c>
      <c r="HV41">
        <f>IF(ISBLANK('Data Entry'!$Ħ$41), "", 'Data Entry'!$Ħ$41)</f>
      </c>
      <c r="HW41">
        <f>IF(ISBLANK('Data Entry'!$ħ$41), "", 'Data Entry'!$ħ$41)</f>
      </c>
      <c r="HX41">
        <f>IF(ISBLANK('Data Entry'!$Ĩ$41), "", 'Data Entry'!$Ĩ$41)</f>
      </c>
      <c r="HY41">
        <f>IF(ISBLANK('Data Entry'!$ĩ$41), "", 'Data Entry'!$ĩ$41)</f>
      </c>
      <c r="HZ41">
        <f>IF(ISBLANK('Data Entry'!$Ī$41), "", 'Data Entry'!$Ī$41)</f>
      </c>
      <c r="IA41">
        <f>IF(ISBLANK('Data Entry'!$ī$41), "", 'Data Entry'!$ī$41)</f>
      </c>
      <c r="IB41">
        <f>IF(ISBLANK('Data Entry'!$Ĭ$41), "", 'Data Entry'!$Ĭ$41)</f>
      </c>
      <c r="IC41">
        <f>IF(ISBLANK('Data Entry'!$ĭ$41), "", 'Data Entry'!$ĭ$41)</f>
      </c>
      <c r="ID41">
        <f>IF(ISBLANK('Data Entry'!$Į$41), "", 'Data Entry'!$Į$41)</f>
      </c>
      <c r="IE41">
        <f>IF(ISBLANK('Data Entry'!$į$41), "", 'Data Entry'!$į$41)</f>
      </c>
      <c r="IF41">
        <f>IF(ISBLANK('Data Entry'!$İ$41), "", 'Data Entry'!$İ$41)</f>
      </c>
      <c r="IG41">
        <f>IF(ISBLANK('Data Entry'!$ı$41), "", 'Data Entry'!$ı$41)</f>
      </c>
      <c r="IH41">
        <f>IF(ISBLANK('Data Entry'!$Ĳ$41), "", 'Data Entry'!$Ĳ$41)</f>
      </c>
      <c r="II41">
        <f>IF(ISBLANK('Data Entry'!$ĳ$41), "", 'Data Entry'!$ĳ$41)</f>
      </c>
      <c r="IJ41">
        <f>IF(ISBLANK('Data Entry'!$Ĵ$41), "", 'Data Entry'!$Ĵ$41)</f>
      </c>
      <c r="IK41">
        <f>IF(ISBLANK('Data Entry'!$ĵ$41), "", 'Data Entry'!$ĵ$41)</f>
      </c>
      <c r="IL41">
        <f>IF(ISBLANK('Data Entry'!$Ķ$41), "", 'Data Entry'!$Ķ$41)</f>
      </c>
      <c r="IM41">
        <f>IF(ISBLANK('Data Entry'!$ķ$41), "", 'Data Entry'!$ķ$41)</f>
      </c>
      <c r="IN41">
        <f>IF(ISBLANK('Data Entry'!$ĸ$41), "", 'Data Entry'!$ĸ$41)</f>
      </c>
      <c r="IO41">
        <f>IF(ISBLANK('Data Entry'!$Ĺ$41), "", 'Data Entry'!$Ĺ$41)</f>
      </c>
      <c r="IP41">
        <f>IF(ISBLANK('Data Entry'!$ĺ$41), "", 'Data Entry'!$ĺ$41)</f>
      </c>
      <c r="IQ41">
        <f>IF(ISBLANK('Data Entry'!$Ļ$41), "", 'Data Entry'!$Ļ$41)</f>
      </c>
      <c r="IR41">
        <f>IF(ISBLANK('Data Entry'!$ļ$41), "", 'Data Entry'!$ļ$41)</f>
      </c>
      <c r="IS41">
        <f>IF(ISBLANK('Data Entry'!$Ľ$41), "", 'Data Entry'!$Ľ$41)</f>
      </c>
      <c r="IT41">
        <f>IF(ISBLANK('Data Entry'!$ľ$41), "", 'Data Entry'!$ľ$41)</f>
      </c>
    </row>
    <row r="42" spans="1:254" x14ac:dyDescent="0.25">
      <c r="A42">
        <f>IF(ISBLANK('Data Entry'!$A$42), "", 'Data Entry'!$A$42)</f>
      </c>
      <c r="B42">
        <f>IF(ISBLANK('Data Entry'!$B$42), "", 'Data Entry'!$B$42)</f>
      </c>
      <c r="C42">
        <f>IF(ISBLANK('Data Entry'!$C$42), "", 'Data Entry'!$C$42)</f>
      </c>
      <c r="D42">
        <f>IF(ISBLANK('Data Entry'!$D$42), "", 'Data Entry'!$D$42)</f>
      </c>
      <c r="E42">
        <f>IF(ISBLANK('Data Entry'!$E$42), "", 'Data Entry'!$E$42)</f>
      </c>
      <c r="F42">
        <f>IF(ISBLANK('Data Entry'!$F$42), "", 'Data Entry'!$F$42)</f>
      </c>
      <c r="G42">
        <f>IF(ISBLANK('Data Entry'!$G$42), "", 'Data Entry'!$G$42)</f>
      </c>
      <c r="H42">
        <f>IF(ISBLANK('Data Entry'!$H$42), "", 'Data Entry'!$H$42)</f>
      </c>
      <c r="I42">
        <f>IF(ISBLANK('Data Entry'!$I$42), "", 'Data Entry'!$I$42)</f>
      </c>
      <c r="J42">
        <f>IF(ISBLANK('Data Entry'!$J$42), "", 'Data Entry'!$J$42)</f>
      </c>
      <c r="K42">
        <f>IF(ISBLANK('Data Entry'!$K$42), "", 'Data Entry'!$K$42)</f>
      </c>
      <c r="L42">
        <f>IF(ISBLANK('Data Entry'!$L$42), "", 'Data Entry'!$L$42)</f>
      </c>
      <c r="M42">
        <f>IF(ISBLANK('Data Entry'!$M$42), "", 'Data Entry'!$M$42)</f>
      </c>
      <c r="N42">
        <f>IF(ISBLANK('Data Entry'!$N$42), "", 'Data Entry'!$N$42)</f>
      </c>
      <c r="O42">
        <f>IF(ISBLANK('Data Entry'!$O$42), "", 'Data Entry'!$O$42)</f>
      </c>
      <c r="P42">
        <f>IF(ISBLANK('Data Entry'!$P$42), "", 'Data Entry'!$P$42)</f>
      </c>
      <c r="Q42">
        <f>IF(ISBLANK('Data Entry'!$Q$42), "", 'Data Entry'!$Q$42)</f>
      </c>
      <c r="R42">
        <f>IF(ISBLANK('Data Entry'!$R$42), "", 'Data Entry'!$R$42)</f>
      </c>
      <c r="S42">
        <f>IF(ISBLANK('Data Entry'!$S$42), "", 'Data Entry'!$S$42)</f>
      </c>
      <c r="T42">
        <f>IF(ISBLANK('Data Entry'!$T$42), "", 'Data Entry'!$T$42)</f>
      </c>
      <c r="U42">
        <f>IF(ISBLANK('Data Entry'!$U$42), "", 'Data Entry'!$U$42)</f>
      </c>
      <c r="V42">
        <f>IF(ISBLANK('Data Entry'!$V$42), "", 'Data Entry'!$V$42)</f>
      </c>
      <c r="W42">
        <f>IF(ISBLANK('Data Entry'!$W$42), "", 'Data Entry'!$W$42)</f>
      </c>
      <c r="X42">
        <f>IF(ISBLANK('Data Entry'!$X$42), "", 'Data Entry'!$X$42)</f>
      </c>
      <c r="Y42">
        <f>IF(ISBLANK('Data Entry'!$Y$42), "", 'Data Entry'!$Y$42)</f>
      </c>
      <c r="Z42">
        <f>IF(ISBLANK('Data Entry'!$Z$42), "", 'Data Entry'!$Z$42)</f>
      </c>
      <c r="AA42">
        <f>IF(ISBLANK('Data Entry'!$[$42), "", 'Data Entry'!$[$42)</f>
      </c>
      <c r="AB42">
        <f>IF(ISBLANK('Data Entry'!$\$42), "", 'Data Entry'!$\$42)</f>
      </c>
      <c r="AC42">
        <f>IF(ISBLANK('Data Entry'!$]$42), "", 'Data Entry'!$]$42)</f>
      </c>
      <c r="AD42">
        <f>IF(ISBLANK('Data Entry'!$^$42), "", 'Data Entry'!$^$42)</f>
      </c>
      <c r="AE42">
        <f>IF(ISBLANK('Data Entry'!$_$42), "", 'Data Entry'!$_$42)</f>
      </c>
      <c r="AF42">
        <f>IF(ISBLANK('Data Entry'!$`$42), "", 'Data Entry'!$`$42)</f>
      </c>
      <c r="AG42">
        <f>IF(ISBLANK('Data Entry'!$a$42), "", 'Data Entry'!$a$42)</f>
      </c>
      <c r="AH42">
        <f>IF(ISBLANK('Data Entry'!$b$42), "", 'Data Entry'!$b$42)</f>
      </c>
      <c r="AI42">
        <f>IF(ISBLANK('Data Entry'!$c$42), "", 'Data Entry'!$c$42)</f>
      </c>
      <c r="AJ42">
        <f>IF(ISBLANK('Data Entry'!$d$42), "", 'Data Entry'!$d$42)</f>
      </c>
      <c r="AK42">
        <f>IF(ISBLANK('Data Entry'!$e$42), "", 'Data Entry'!$e$42)</f>
      </c>
      <c r="AL42">
        <f>IF(ISBLANK('Data Entry'!$f$42), "", 'Data Entry'!$f$42)</f>
      </c>
      <c r="AM42">
        <f>IF(ISBLANK('Data Entry'!$g$42), "", 'Data Entry'!$g$42)</f>
      </c>
      <c r="AN42">
        <f>IF(ISBLANK('Data Entry'!$h$42), "", 'Data Entry'!$h$42)</f>
      </c>
      <c r="AO42">
        <f>IF(ISBLANK('Data Entry'!$i$42), "", 'Data Entry'!$i$42)</f>
      </c>
      <c r="AP42">
        <f>IF(ISBLANK('Data Entry'!$j$42), "", 'Data Entry'!$j$42)</f>
      </c>
      <c r="AQ42">
        <f>IF(ISBLANK('Data Entry'!$k$42), "", 'Data Entry'!$k$42)</f>
      </c>
      <c r="AR42">
        <f>IF(ISBLANK('Data Entry'!$l$42), "", 'Data Entry'!$l$42)</f>
      </c>
      <c r="AS42">
        <f>IF(ISBLANK('Data Entry'!$m$42), "", 'Data Entry'!$m$42)</f>
      </c>
      <c r="AT42">
        <f>IF(ISBLANK('Data Entry'!$n$42), "", 'Data Entry'!$n$42)</f>
      </c>
      <c r="AU42">
        <f>IF(ISBLANK('Data Entry'!$o$42), "", 'Data Entry'!$o$42)</f>
      </c>
      <c r="AV42">
        <f>IF(ISBLANK('Data Entry'!$p$42), "", 'Data Entry'!$p$42)</f>
      </c>
      <c r="AW42">
        <f>IF(ISBLANK('Data Entry'!$q$42), "", 'Data Entry'!$q$42)</f>
      </c>
      <c r="AX42">
        <f>IF(ISBLANK('Data Entry'!$r$42), "", 'Data Entry'!$r$42)</f>
      </c>
      <c r="AY42">
        <f>IF(ISBLANK('Data Entry'!$s$42), "", 'Data Entry'!$s$42)</f>
      </c>
      <c r="AZ42">
        <f>IF(ISBLANK('Data Entry'!$t$42), "", 'Data Entry'!$t$42)</f>
      </c>
      <c r="BA42">
        <f>IF(ISBLANK('Data Entry'!$u$42), "", 'Data Entry'!$u$42)</f>
      </c>
      <c r="BB42">
        <f>IF(ISBLANK('Data Entry'!$v$42), "", 'Data Entry'!$v$42)</f>
      </c>
      <c r="BC42">
        <f>IF(ISBLANK('Data Entry'!$w$42), "", 'Data Entry'!$w$42)</f>
      </c>
      <c r="BD42">
        <f>IF(ISBLANK('Data Entry'!$x$42), "", 'Data Entry'!$x$42)</f>
      </c>
      <c r="BE42">
        <f>IF(ISBLANK('Data Entry'!$y$42), "", 'Data Entry'!$y$42)</f>
      </c>
      <c r="BF42">
        <f>IF(ISBLANK('Data Entry'!$z$42), "", 'Data Entry'!$z$42)</f>
      </c>
      <c r="BG42">
        <f>IF(ISBLANK('Data Entry'!${$42), "", 'Data Entry'!${$42)</f>
      </c>
      <c r="BH42">
        <f>IF(ISBLANK('Data Entry'!$|$42), "", 'Data Entry'!$|$42)</f>
      </c>
      <c r="BI42">
        <f>IF(ISBLANK('Data Entry'!$}$42), "", 'Data Entry'!$}$42)</f>
      </c>
      <c r="BJ42">
        <f>IF(ISBLANK('Data Entry'!$~$42), "", 'Data Entry'!$~$42)</f>
      </c>
      <c r="BK42">
        <f>IF(ISBLANK('Data Entry'!$$42), "", 'Data Entry'!$$42)</f>
      </c>
      <c r="BL42">
        <f>IF(ISBLANK('Data Entry'!$$42), "", 'Data Entry'!$$42)</f>
      </c>
      <c r="BM42">
        <f>IF(ISBLANK('Data Entry'!$$42), "", 'Data Entry'!$$42)</f>
      </c>
      <c r="BN42">
        <f>IF(ISBLANK('Data Entry'!$$42), "", 'Data Entry'!$$42)</f>
      </c>
      <c r="BO42">
        <f>IF(ISBLANK('Data Entry'!$$42), "", 'Data Entry'!$$42)</f>
      </c>
      <c r="BP42">
        <f>IF(ISBLANK('Data Entry'!$$42), "", 'Data Entry'!$$42)</f>
      </c>
      <c r="BQ42">
        <f>IF(ISBLANK('Data Entry'!$$42), "", 'Data Entry'!$$42)</f>
      </c>
      <c r="BR42">
        <f>IF(ISBLANK('Data Entry'!$$42), "", 'Data Entry'!$$42)</f>
      </c>
      <c r="BS42">
        <f>IF(ISBLANK('Data Entry'!$$42), "", 'Data Entry'!$$42)</f>
      </c>
      <c r="BT42">
        <f>IF(ISBLANK('Data Entry'!$$42), "", 'Data Entry'!$$42)</f>
      </c>
      <c r="BU42">
        <f>IF(ISBLANK('Data Entry'!$$42), "", 'Data Entry'!$$42)</f>
      </c>
      <c r="BV42">
        <f>IF(ISBLANK('Data Entry'!$$42), "", 'Data Entry'!$$42)</f>
      </c>
      <c r="BW42">
        <f>IF(ISBLANK('Data Entry'!$$42), "", 'Data Entry'!$$42)</f>
      </c>
      <c r="BX42">
        <f>IF(ISBLANK('Data Entry'!$$42), "", 'Data Entry'!$$42)</f>
      </c>
      <c r="BY42">
        <f>IF(ISBLANK('Data Entry'!$$42), "", 'Data Entry'!$$42)</f>
      </c>
      <c r="BZ42">
        <f>IF(ISBLANK('Data Entry'!$$42), "", 'Data Entry'!$$42)</f>
      </c>
      <c r="CA42">
        <f>IF(ISBLANK('Data Entry'!$$42), "", 'Data Entry'!$$42)</f>
      </c>
      <c r="CB42">
        <f>IF(ISBLANK('Data Entry'!$$42), "", 'Data Entry'!$$42)</f>
      </c>
      <c r="CC42">
        <f>IF(ISBLANK('Data Entry'!$$42), "", 'Data Entry'!$$42)</f>
      </c>
      <c r="CD42">
        <f>IF(ISBLANK('Data Entry'!$$42), "", 'Data Entry'!$$42)</f>
      </c>
      <c r="CE42">
        <f>IF(ISBLANK('Data Entry'!$$42), "", 'Data Entry'!$$42)</f>
      </c>
      <c r="CF42">
        <f>IF(ISBLANK('Data Entry'!$$42), "", 'Data Entry'!$$42)</f>
      </c>
      <c r="CG42">
        <f>IF(ISBLANK('Data Entry'!$$42), "", 'Data Entry'!$$42)</f>
      </c>
      <c r="CH42">
        <f>IF(ISBLANK('Data Entry'!$$42), "", 'Data Entry'!$$42)</f>
      </c>
      <c r="CI42">
        <f>IF(ISBLANK('Data Entry'!$$42), "", 'Data Entry'!$$42)</f>
      </c>
      <c r="CJ42">
        <f>IF(ISBLANK('Data Entry'!$$42), "", 'Data Entry'!$$42)</f>
      </c>
      <c r="CK42">
        <f>IF(ISBLANK('Data Entry'!$$42), "", 'Data Entry'!$$42)</f>
      </c>
      <c r="CL42">
        <f>IF(ISBLANK('Data Entry'!$$42), "", 'Data Entry'!$$42)</f>
      </c>
      <c r="CM42">
        <f>IF(ISBLANK('Data Entry'!$$42), "", 'Data Entry'!$$42)</f>
      </c>
      <c r="CN42">
        <f>IF(ISBLANK('Data Entry'!$$42), "", 'Data Entry'!$$42)</f>
      </c>
      <c r="CO42">
        <f>IF(ISBLANK('Data Entry'!$$42), "", 'Data Entry'!$$42)</f>
      </c>
      <c r="CP42">
        <f>IF(ISBLANK('Data Entry'!$$42), "", 'Data Entry'!$$42)</f>
      </c>
      <c r="CQ42">
        <f>IF(ISBLANK('Data Entry'!$$42), "", 'Data Entry'!$$42)</f>
      </c>
      <c r="CR42">
        <f>IF(ISBLANK('Data Entry'!$ $42), "", 'Data Entry'!$ $42)</f>
      </c>
      <c r="CS42">
        <f>IF(ISBLANK('Data Entry'!$¡$42), "", 'Data Entry'!$¡$42)</f>
      </c>
      <c r="CT42">
        <f>IF(ISBLANK('Data Entry'!$¢$42), "", 'Data Entry'!$¢$42)</f>
      </c>
      <c r="CU42">
        <f>IF(ISBLANK('Data Entry'!$£$42), "", 'Data Entry'!$£$42)</f>
      </c>
      <c r="CV42">
        <f>IF(ISBLANK('Data Entry'!$¤$42), "", 'Data Entry'!$¤$42)</f>
      </c>
      <c r="CW42">
        <f>IF(ISBLANK('Data Entry'!$¥$42), "", 'Data Entry'!$¥$42)</f>
      </c>
      <c r="CX42">
        <f>IF(ISBLANK('Data Entry'!$¦$42), "", 'Data Entry'!$¦$42)</f>
      </c>
      <c r="CY42">
        <f>IF(ISBLANK('Data Entry'!$§$42), "", 'Data Entry'!$§$42)</f>
      </c>
      <c r="CZ42">
        <f>IF(ISBLANK('Data Entry'!$¨$42), "", 'Data Entry'!$¨$42)</f>
      </c>
      <c r="DA42">
        <f>IF(ISBLANK('Data Entry'!$©$42), "", 'Data Entry'!$©$42)</f>
      </c>
      <c r="DB42">
        <f>IF(ISBLANK('Data Entry'!$ª$42), "", 'Data Entry'!$ª$42)</f>
      </c>
      <c r="DC42">
        <f>IF(ISBLANK('Data Entry'!$«$42), "", 'Data Entry'!$«$42)</f>
      </c>
      <c r="DD42">
        <f>IF(ISBLANK('Data Entry'!$¬$42), "", 'Data Entry'!$¬$42)</f>
      </c>
      <c r="DE42">
        <f>IF(ISBLANK('Data Entry'!$­$42), "", 'Data Entry'!$­$42)</f>
      </c>
      <c r="DF42">
        <f>IF(ISBLANK('Data Entry'!$®$42), "", 'Data Entry'!$®$42)</f>
      </c>
      <c r="DG42">
        <f>IF(ISBLANK('Data Entry'!$¯$42), "", 'Data Entry'!$¯$42)</f>
      </c>
      <c r="DH42">
        <f>IF(ISBLANK('Data Entry'!$°$42), "", 'Data Entry'!$°$42)</f>
      </c>
      <c r="DI42">
        <f>IF(ISBLANK('Data Entry'!$±$42), "", 'Data Entry'!$±$42)</f>
      </c>
      <c r="DJ42">
        <f>IF(ISBLANK('Data Entry'!$²$42), "", 'Data Entry'!$²$42)</f>
      </c>
      <c r="DK42">
        <f>IF(ISBLANK('Data Entry'!$³$42), "", 'Data Entry'!$³$42)</f>
      </c>
      <c r="DL42">
        <f>IF(ISBLANK('Data Entry'!$´$42), "", 'Data Entry'!$´$42)</f>
      </c>
      <c r="DM42">
        <f>IF(ISBLANK('Data Entry'!$µ$42), "", 'Data Entry'!$µ$42)</f>
      </c>
      <c r="DN42">
        <f>IF(ISBLANK('Data Entry'!$¶$42), "", 'Data Entry'!$¶$42)</f>
      </c>
      <c r="DO42">
        <f>IF(ISBLANK('Data Entry'!$·$42), "", 'Data Entry'!$·$42)</f>
      </c>
      <c r="DP42">
        <f>IF(ISBLANK('Data Entry'!$¸$42), "", 'Data Entry'!$¸$42)</f>
      </c>
      <c r="DQ42">
        <f>IF(ISBLANK('Data Entry'!$¹$42), "", 'Data Entry'!$¹$42)</f>
      </c>
      <c r="DR42">
        <f>IF(ISBLANK('Data Entry'!$º$42), "", 'Data Entry'!$º$42)</f>
      </c>
      <c r="DS42">
        <f>IF(ISBLANK('Data Entry'!$»$42), "", 'Data Entry'!$»$42)</f>
      </c>
      <c r="DT42">
        <f>IF(ISBLANK('Data Entry'!$¼$42), "", 'Data Entry'!$¼$42)</f>
      </c>
      <c r="DU42">
        <f>IF(ISBLANK('Data Entry'!$½$42), "", 'Data Entry'!$½$42)</f>
      </c>
      <c r="DV42">
        <f>IF(ISBLANK('Data Entry'!$¾$42), "", 'Data Entry'!$¾$42)</f>
      </c>
      <c r="DW42">
        <f>IF(ISBLANK('Data Entry'!$¿$42), "", 'Data Entry'!$¿$42)</f>
      </c>
      <c r="DX42">
        <f>IF(ISBLANK('Data Entry'!$À$42), "", 'Data Entry'!$À$42)</f>
      </c>
      <c r="DY42">
        <f>IF(ISBLANK('Data Entry'!$Á$42), "", 'Data Entry'!$Á$42)</f>
      </c>
      <c r="DZ42">
        <f>IF(ISBLANK('Data Entry'!$Â$42), "", 'Data Entry'!$Â$42)</f>
      </c>
      <c r="EA42">
        <f>IF(ISBLANK('Data Entry'!$Ã$42), "", 'Data Entry'!$Ã$42)</f>
      </c>
      <c r="EB42">
        <f>IF(ISBLANK('Data Entry'!$Ä$42), "", 'Data Entry'!$Ä$42)</f>
      </c>
      <c r="EC42">
        <f>IF(ISBLANK('Data Entry'!$Å$42), "", 'Data Entry'!$Å$42)</f>
      </c>
      <c r="ED42">
        <f>IF(ISBLANK('Data Entry'!$Æ$42), "", 'Data Entry'!$Æ$42)</f>
      </c>
      <c r="EE42">
        <f>IF(ISBLANK('Data Entry'!$Ç$42), "", 'Data Entry'!$Ç$42)</f>
      </c>
      <c r="EF42">
        <f>IF(ISBLANK('Data Entry'!$È$42), "", 'Data Entry'!$È$42)</f>
      </c>
      <c r="EG42">
        <f>IF(ISBLANK('Data Entry'!$É$42), "", 'Data Entry'!$É$42)</f>
      </c>
      <c r="EH42">
        <f>IF(ISBLANK('Data Entry'!$Ê$42), "", 'Data Entry'!$Ê$42)</f>
      </c>
      <c r="EI42">
        <f>IF(ISBLANK('Data Entry'!$Ë$42), "", 'Data Entry'!$Ë$42)</f>
      </c>
      <c r="EJ42">
        <f>IF(ISBLANK('Data Entry'!$Ì$42), "", 'Data Entry'!$Ì$42)</f>
      </c>
      <c r="EK42">
        <f>IF(ISBLANK('Data Entry'!$Í$42), "", 'Data Entry'!$Í$42)</f>
      </c>
      <c r="EL42">
        <f>IF(ISBLANK('Data Entry'!$Î$42), "", 'Data Entry'!$Î$42)</f>
      </c>
      <c r="EM42">
        <f>IF(ISBLANK('Data Entry'!$Ï$42), "", 'Data Entry'!$Ï$42)</f>
      </c>
      <c r="EN42">
        <f>IF(ISBLANK('Data Entry'!$Ð$42), "", 'Data Entry'!$Ð$42)</f>
      </c>
      <c r="EO42">
        <f>IF(ISBLANK('Data Entry'!$Ñ$42), "", 'Data Entry'!$Ñ$42)</f>
      </c>
      <c r="EP42">
        <f>IF(ISBLANK('Data Entry'!$Ò$42), "", 'Data Entry'!$Ò$42)</f>
      </c>
      <c r="EQ42">
        <f>IF(ISBLANK('Data Entry'!$Ó$42), "", 'Data Entry'!$Ó$42)</f>
      </c>
      <c r="ER42">
        <f>IF(ISBLANK('Data Entry'!$Ô$42), "", 'Data Entry'!$Ô$42)</f>
      </c>
      <c r="ES42">
        <f>IF(ISBLANK('Data Entry'!$Õ$42), "", 'Data Entry'!$Õ$42)</f>
      </c>
      <c r="ET42">
        <f>IF(ISBLANK('Data Entry'!$Ö$42), "", 'Data Entry'!$Ö$42)</f>
      </c>
      <c r="EU42">
        <f>IF(ISBLANK('Data Entry'!$×$42), "", 'Data Entry'!$×$42)</f>
      </c>
      <c r="EV42">
        <f>IF(ISBLANK('Data Entry'!$Ø$42), "", 'Data Entry'!$Ø$42)</f>
      </c>
      <c r="EW42">
        <f>IF(ISBLANK('Data Entry'!$Ù$42), "", 'Data Entry'!$Ù$42)</f>
      </c>
      <c r="EX42">
        <f>IF(ISBLANK('Data Entry'!$Ú$42), "", 'Data Entry'!$Ú$42)</f>
      </c>
      <c r="EY42">
        <f>IF(ISBLANK('Data Entry'!$Û$42), "", 'Data Entry'!$Û$42)</f>
      </c>
      <c r="EZ42">
        <f>IF(ISBLANK('Data Entry'!$Ü$42), "", 'Data Entry'!$Ü$42)</f>
      </c>
      <c r="FA42">
        <f>IF(ISBLANK('Data Entry'!$Ý$42), "", 'Data Entry'!$Ý$42)</f>
      </c>
      <c r="FB42">
        <f>IF(ISBLANK('Data Entry'!$Þ$42), "", 'Data Entry'!$Þ$42)</f>
      </c>
      <c r="FC42">
        <f>IF(ISBLANK('Data Entry'!$ß$42), "", 'Data Entry'!$ß$42)</f>
      </c>
      <c r="FD42">
        <f>IF(ISBLANK('Data Entry'!$à$42), "", 'Data Entry'!$à$42)</f>
      </c>
      <c r="FE42">
        <f>IF(ISBLANK('Data Entry'!$á$42), "", 'Data Entry'!$á$42)</f>
      </c>
      <c r="FF42">
        <f>IF(ISBLANK('Data Entry'!$â$42), "", 'Data Entry'!$â$42)</f>
      </c>
      <c r="FG42">
        <f>IF(ISBLANK('Data Entry'!$ã$42), "", 'Data Entry'!$ã$42)</f>
      </c>
      <c r="FH42">
        <f>IF(ISBLANK('Data Entry'!$ä$42), "", 'Data Entry'!$ä$42)</f>
      </c>
      <c r="FI42">
        <f>IF(ISBLANK('Data Entry'!$å$42), "", 'Data Entry'!$å$42)</f>
      </c>
      <c r="FJ42">
        <f>IF(ISBLANK('Data Entry'!$æ$42), "", 'Data Entry'!$æ$42)</f>
      </c>
      <c r="FK42">
        <f>IF(ISBLANK('Data Entry'!$ç$42), "", 'Data Entry'!$ç$42)</f>
      </c>
      <c r="FL42">
        <f>IF(ISBLANK('Data Entry'!$è$42), "", 'Data Entry'!$è$42)</f>
      </c>
      <c r="FM42">
        <f>IF(ISBLANK('Data Entry'!$é$42), "", 'Data Entry'!$é$42)</f>
      </c>
      <c r="FN42">
        <f>IF(ISBLANK('Data Entry'!$ê$42), "", 'Data Entry'!$ê$42)</f>
      </c>
      <c r="FO42">
        <f>IF(ISBLANK('Data Entry'!$ë$42), "", 'Data Entry'!$ë$42)</f>
      </c>
      <c r="FP42">
        <f>IF(ISBLANK('Data Entry'!$ì$42), "", 'Data Entry'!$ì$42)</f>
      </c>
      <c r="FQ42">
        <f>IF(ISBLANK('Data Entry'!$í$42), "", 'Data Entry'!$í$42)</f>
      </c>
      <c r="FR42">
        <f>IF(ISBLANK('Data Entry'!$î$42), "", 'Data Entry'!$î$42)</f>
      </c>
      <c r="FS42">
        <f>IF(ISBLANK('Data Entry'!$ï$42), "", 'Data Entry'!$ï$42)</f>
      </c>
      <c r="FT42">
        <f>IF(ISBLANK('Data Entry'!$ð$42), "", 'Data Entry'!$ð$42)</f>
      </c>
      <c r="FU42">
        <f>IF(ISBLANK('Data Entry'!$ñ$42), "", 'Data Entry'!$ñ$42)</f>
      </c>
      <c r="FV42">
        <f>IF(ISBLANK('Data Entry'!$ò$42), "", 'Data Entry'!$ò$42)</f>
      </c>
      <c r="FW42">
        <f>IF(ISBLANK('Data Entry'!$ó$42), "", 'Data Entry'!$ó$42)</f>
      </c>
      <c r="FX42">
        <f>IF(ISBLANK('Data Entry'!$ô$42), "", 'Data Entry'!$ô$42)</f>
      </c>
      <c r="FY42">
        <f>IF(ISBLANK('Data Entry'!$õ$42), "", 'Data Entry'!$õ$42)</f>
      </c>
      <c r="FZ42">
        <f>IF(ISBLANK('Data Entry'!$ö$42), "", 'Data Entry'!$ö$42)</f>
      </c>
      <c r="GA42">
        <f>IF(ISBLANK('Data Entry'!$÷$42), "", 'Data Entry'!$÷$42)</f>
      </c>
      <c r="GB42">
        <f>IF(ISBLANK('Data Entry'!$ø$42), "", 'Data Entry'!$ø$42)</f>
      </c>
      <c r="GC42">
        <f>IF(ISBLANK('Data Entry'!$ù$42), "", 'Data Entry'!$ù$42)</f>
      </c>
      <c r="GD42">
        <f>IF(ISBLANK('Data Entry'!$ú$42), "", 'Data Entry'!$ú$42)</f>
      </c>
      <c r="GE42">
        <f>IF(ISBLANK('Data Entry'!$û$42), "", 'Data Entry'!$û$42)</f>
      </c>
      <c r="GF42">
        <f>IF(ISBLANK('Data Entry'!$ü$42), "", 'Data Entry'!$ü$42)</f>
      </c>
      <c r="GG42">
        <f>IF(ISBLANK('Data Entry'!$ý$42), "", 'Data Entry'!$ý$42)</f>
      </c>
      <c r="GH42">
        <f>IF(ISBLANK('Data Entry'!$þ$42), "", 'Data Entry'!$þ$42)</f>
      </c>
      <c r="GI42">
        <f>IF(ISBLANK('Data Entry'!$ÿ$42), "", 'Data Entry'!$ÿ$42)</f>
      </c>
      <c r="GJ42">
        <f>IF(ISBLANK('Data Entry'!$Ā$42), "", 'Data Entry'!$Ā$42)</f>
      </c>
      <c r="GK42">
        <f>IF(ISBLANK('Data Entry'!$ā$42), "", 'Data Entry'!$ā$42)</f>
      </c>
      <c r="GL42">
        <f>IF(ISBLANK('Data Entry'!$Ă$42), "", 'Data Entry'!$Ă$42)</f>
      </c>
      <c r="GM42">
        <f>IF(ISBLANK('Data Entry'!$ă$42), "", 'Data Entry'!$ă$42)</f>
      </c>
      <c r="GN42">
        <f>IF(ISBLANK('Data Entry'!$Ą$42), "", 'Data Entry'!$Ą$42)</f>
      </c>
      <c r="GO42">
        <f>IF(ISBLANK('Data Entry'!$ą$42), "", 'Data Entry'!$ą$42)</f>
      </c>
      <c r="GP42">
        <f>IF(ISBLANK('Data Entry'!$Ć$42), "", 'Data Entry'!$Ć$42)</f>
      </c>
      <c r="GQ42">
        <f>IF(ISBLANK('Data Entry'!$ć$42), "", 'Data Entry'!$ć$42)</f>
      </c>
      <c r="GR42">
        <f>IF(ISBLANK('Data Entry'!$Ĉ$42), "", 'Data Entry'!$Ĉ$42)</f>
      </c>
      <c r="GS42">
        <f>IF(ISBLANK('Data Entry'!$ĉ$42), "", 'Data Entry'!$ĉ$42)</f>
      </c>
      <c r="GT42">
        <f>IF(ISBLANK('Data Entry'!$Ċ$42), "", 'Data Entry'!$Ċ$42)</f>
      </c>
      <c r="GU42">
        <f>IF(ISBLANK('Data Entry'!$ċ$42), "", 'Data Entry'!$ċ$42)</f>
      </c>
      <c r="GV42">
        <f>IF(ISBLANK('Data Entry'!$Č$42), "", 'Data Entry'!$Č$42)</f>
      </c>
      <c r="GW42">
        <f>IF(ISBLANK('Data Entry'!$č$42), "", 'Data Entry'!$č$42)</f>
      </c>
      <c r="GX42">
        <f>IF(ISBLANK('Data Entry'!$Ď$42), "", 'Data Entry'!$Ď$42)</f>
      </c>
      <c r="GY42">
        <f>IF(ISBLANK('Data Entry'!$ď$42), "", 'Data Entry'!$ď$42)</f>
      </c>
      <c r="GZ42">
        <f>IF(ISBLANK('Data Entry'!$Đ$42), "", 'Data Entry'!$Đ$42)</f>
      </c>
      <c r="HA42">
        <f>IF(ISBLANK('Data Entry'!$đ$42), "", 'Data Entry'!$đ$42)</f>
      </c>
      <c r="HB42">
        <f>IF(ISBLANK('Data Entry'!$Ē$42), "", 'Data Entry'!$Ē$42)</f>
      </c>
      <c r="HC42">
        <f>IF(ISBLANK('Data Entry'!$ē$42), "", 'Data Entry'!$ē$42)</f>
      </c>
      <c r="HD42">
        <f>IF(ISBLANK('Data Entry'!$Ĕ$42), "", 'Data Entry'!$Ĕ$42)</f>
      </c>
      <c r="HE42">
        <f>IF(ISBLANK('Data Entry'!$ĕ$42), "", 'Data Entry'!$ĕ$42)</f>
      </c>
      <c r="HF42">
        <f>IF(ISBLANK('Data Entry'!$Ė$42), "", 'Data Entry'!$Ė$42)</f>
      </c>
      <c r="HG42">
        <f>IF(ISBLANK('Data Entry'!$ė$42), "", 'Data Entry'!$ė$42)</f>
      </c>
      <c r="HH42">
        <f>IF(ISBLANK('Data Entry'!$Ę$42), "", 'Data Entry'!$Ę$42)</f>
      </c>
      <c r="HI42">
        <f>IF(ISBLANK('Data Entry'!$ę$42), "", 'Data Entry'!$ę$42)</f>
      </c>
      <c r="HJ42">
        <f>IF(ISBLANK('Data Entry'!$Ě$42), "", 'Data Entry'!$Ě$42)</f>
      </c>
      <c r="HK42">
        <f>IF(ISBLANK('Data Entry'!$ě$42), "", 'Data Entry'!$ě$42)</f>
      </c>
      <c r="HL42">
        <f>IF(ISBLANK('Data Entry'!$Ĝ$42), "", 'Data Entry'!$Ĝ$42)</f>
      </c>
      <c r="HM42">
        <f>IF(ISBLANK('Data Entry'!$ĝ$42), "", 'Data Entry'!$ĝ$42)</f>
      </c>
      <c r="HN42">
        <f>IF(ISBLANK('Data Entry'!$Ğ$42), "", 'Data Entry'!$Ğ$42)</f>
      </c>
      <c r="HO42">
        <f>IF(ISBLANK('Data Entry'!$ğ$42), "", 'Data Entry'!$ğ$42)</f>
      </c>
      <c r="HP42">
        <f>IF(ISBLANK('Data Entry'!$Ġ$42), "", 'Data Entry'!$Ġ$42)</f>
      </c>
      <c r="HQ42">
        <f>IF(ISBLANK('Data Entry'!$ġ$42), "", 'Data Entry'!$ġ$42)</f>
      </c>
      <c r="HR42">
        <f>IF(ISBLANK('Data Entry'!$Ģ$42), "", 'Data Entry'!$Ģ$42)</f>
      </c>
      <c r="HS42">
        <f>IF(ISBLANK('Data Entry'!$ģ$42), "", 'Data Entry'!$ģ$42)</f>
      </c>
      <c r="HT42">
        <f>IF(ISBLANK('Data Entry'!$Ĥ$42), "", 'Data Entry'!$Ĥ$42)</f>
      </c>
      <c r="HU42">
        <f>IF(ISBLANK('Data Entry'!$ĥ$42), "", 'Data Entry'!$ĥ$42)</f>
      </c>
      <c r="HV42">
        <f>IF(ISBLANK('Data Entry'!$Ħ$42), "", 'Data Entry'!$Ħ$42)</f>
      </c>
      <c r="HW42">
        <f>IF(ISBLANK('Data Entry'!$ħ$42), "", 'Data Entry'!$ħ$42)</f>
      </c>
      <c r="HX42">
        <f>IF(ISBLANK('Data Entry'!$Ĩ$42), "", 'Data Entry'!$Ĩ$42)</f>
      </c>
      <c r="HY42">
        <f>IF(ISBLANK('Data Entry'!$ĩ$42), "", 'Data Entry'!$ĩ$42)</f>
      </c>
      <c r="HZ42">
        <f>IF(ISBLANK('Data Entry'!$Ī$42), "", 'Data Entry'!$Ī$42)</f>
      </c>
      <c r="IA42">
        <f>IF(ISBLANK('Data Entry'!$ī$42), "", 'Data Entry'!$ī$42)</f>
      </c>
      <c r="IB42">
        <f>IF(ISBLANK('Data Entry'!$Ĭ$42), "", 'Data Entry'!$Ĭ$42)</f>
      </c>
      <c r="IC42">
        <f>IF(ISBLANK('Data Entry'!$ĭ$42), "", 'Data Entry'!$ĭ$42)</f>
      </c>
      <c r="ID42">
        <f>IF(ISBLANK('Data Entry'!$Į$42), "", 'Data Entry'!$Į$42)</f>
      </c>
      <c r="IE42">
        <f>IF(ISBLANK('Data Entry'!$į$42), "", 'Data Entry'!$į$42)</f>
      </c>
      <c r="IF42">
        <f>IF(ISBLANK('Data Entry'!$İ$42), "", 'Data Entry'!$İ$42)</f>
      </c>
      <c r="IG42">
        <f>IF(ISBLANK('Data Entry'!$ı$42), "", 'Data Entry'!$ı$42)</f>
      </c>
      <c r="IH42">
        <f>IF(ISBLANK('Data Entry'!$Ĳ$42), "", 'Data Entry'!$Ĳ$42)</f>
      </c>
      <c r="II42">
        <f>IF(ISBLANK('Data Entry'!$ĳ$42), "", 'Data Entry'!$ĳ$42)</f>
      </c>
      <c r="IJ42">
        <f>IF(ISBLANK('Data Entry'!$Ĵ$42), "", 'Data Entry'!$Ĵ$42)</f>
      </c>
      <c r="IK42">
        <f>IF(ISBLANK('Data Entry'!$ĵ$42), "", 'Data Entry'!$ĵ$42)</f>
      </c>
      <c r="IL42">
        <f>IF(ISBLANK('Data Entry'!$Ķ$42), "", 'Data Entry'!$Ķ$42)</f>
      </c>
      <c r="IM42">
        <f>IF(ISBLANK('Data Entry'!$ķ$42), "", 'Data Entry'!$ķ$42)</f>
      </c>
      <c r="IN42">
        <f>IF(ISBLANK('Data Entry'!$ĸ$42), "", 'Data Entry'!$ĸ$42)</f>
      </c>
      <c r="IO42">
        <f>IF(ISBLANK('Data Entry'!$Ĺ$42), "", 'Data Entry'!$Ĺ$42)</f>
      </c>
      <c r="IP42">
        <f>IF(ISBLANK('Data Entry'!$ĺ$42), "", 'Data Entry'!$ĺ$42)</f>
      </c>
      <c r="IQ42">
        <f>IF(ISBLANK('Data Entry'!$Ļ$42), "", 'Data Entry'!$Ļ$42)</f>
      </c>
      <c r="IR42">
        <f>IF(ISBLANK('Data Entry'!$ļ$42), "", 'Data Entry'!$ļ$42)</f>
      </c>
      <c r="IS42">
        <f>IF(ISBLANK('Data Entry'!$Ľ$42), "", 'Data Entry'!$Ľ$42)</f>
      </c>
      <c r="IT42">
        <f>IF(ISBLANK('Data Entry'!$ľ$42), "", 'Data Entry'!$ľ$42)</f>
      </c>
    </row>
    <row r="43" spans="1:254" x14ac:dyDescent="0.25">
      <c r="A43">
        <f>IF(ISBLANK('Data Entry'!$A$43), "", 'Data Entry'!$A$43)</f>
      </c>
      <c r="B43">
        <f>IF(ISBLANK('Data Entry'!$B$43), "", 'Data Entry'!$B$43)</f>
      </c>
      <c r="C43">
        <f>IF(ISBLANK('Data Entry'!$C$43), "", 'Data Entry'!$C$43)</f>
      </c>
      <c r="D43">
        <f>IF(ISBLANK('Data Entry'!$D$43), "", 'Data Entry'!$D$43)</f>
      </c>
      <c r="E43">
        <f>IF(ISBLANK('Data Entry'!$E$43), "", 'Data Entry'!$E$43)</f>
      </c>
      <c r="F43">
        <f>IF(ISBLANK('Data Entry'!$F$43), "", 'Data Entry'!$F$43)</f>
      </c>
      <c r="G43">
        <f>IF(ISBLANK('Data Entry'!$G$43), "", 'Data Entry'!$G$43)</f>
      </c>
      <c r="H43">
        <f>IF(ISBLANK('Data Entry'!$H$43), "", 'Data Entry'!$H$43)</f>
      </c>
      <c r="I43">
        <f>IF(ISBLANK('Data Entry'!$I$43), "", 'Data Entry'!$I$43)</f>
      </c>
      <c r="J43">
        <f>IF(ISBLANK('Data Entry'!$J$43), "", 'Data Entry'!$J$43)</f>
      </c>
      <c r="K43">
        <f>IF(ISBLANK('Data Entry'!$K$43), "", 'Data Entry'!$K$43)</f>
      </c>
      <c r="L43">
        <f>IF(ISBLANK('Data Entry'!$L$43), "", 'Data Entry'!$L$43)</f>
      </c>
      <c r="M43">
        <f>IF(ISBLANK('Data Entry'!$M$43), "", 'Data Entry'!$M$43)</f>
      </c>
      <c r="N43">
        <f>IF(ISBLANK('Data Entry'!$N$43), "", 'Data Entry'!$N$43)</f>
      </c>
      <c r="O43">
        <f>IF(ISBLANK('Data Entry'!$O$43), "", 'Data Entry'!$O$43)</f>
      </c>
      <c r="P43">
        <f>IF(ISBLANK('Data Entry'!$P$43), "", 'Data Entry'!$P$43)</f>
      </c>
      <c r="Q43">
        <f>IF(ISBLANK('Data Entry'!$Q$43), "", 'Data Entry'!$Q$43)</f>
      </c>
      <c r="R43">
        <f>IF(ISBLANK('Data Entry'!$R$43), "", 'Data Entry'!$R$43)</f>
      </c>
      <c r="S43">
        <f>IF(ISBLANK('Data Entry'!$S$43), "", 'Data Entry'!$S$43)</f>
      </c>
      <c r="T43">
        <f>IF(ISBLANK('Data Entry'!$T$43), "", 'Data Entry'!$T$43)</f>
      </c>
      <c r="U43">
        <f>IF(ISBLANK('Data Entry'!$U$43), "", 'Data Entry'!$U$43)</f>
      </c>
      <c r="V43">
        <f>IF(ISBLANK('Data Entry'!$V$43), "", 'Data Entry'!$V$43)</f>
      </c>
      <c r="W43">
        <f>IF(ISBLANK('Data Entry'!$W$43), "", 'Data Entry'!$W$43)</f>
      </c>
      <c r="X43">
        <f>IF(ISBLANK('Data Entry'!$X$43), "", 'Data Entry'!$X$43)</f>
      </c>
      <c r="Y43">
        <f>IF(ISBLANK('Data Entry'!$Y$43), "", 'Data Entry'!$Y$43)</f>
      </c>
      <c r="Z43">
        <f>IF(ISBLANK('Data Entry'!$Z$43), "", 'Data Entry'!$Z$43)</f>
      </c>
      <c r="AA43">
        <f>IF(ISBLANK('Data Entry'!$[$43), "", 'Data Entry'!$[$43)</f>
      </c>
      <c r="AB43">
        <f>IF(ISBLANK('Data Entry'!$\$43), "", 'Data Entry'!$\$43)</f>
      </c>
      <c r="AC43">
        <f>IF(ISBLANK('Data Entry'!$]$43), "", 'Data Entry'!$]$43)</f>
      </c>
      <c r="AD43">
        <f>IF(ISBLANK('Data Entry'!$^$43), "", 'Data Entry'!$^$43)</f>
      </c>
      <c r="AE43">
        <f>IF(ISBLANK('Data Entry'!$_$43), "", 'Data Entry'!$_$43)</f>
      </c>
      <c r="AF43">
        <f>IF(ISBLANK('Data Entry'!$`$43), "", 'Data Entry'!$`$43)</f>
      </c>
      <c r="AG43">
        <f>IF(ISBLANK('Data Entry'!$a$43), "", 'Data Entry'!$a$43)</f>
      </c>
      <c r="AH43">
        <f>IF(ISBLANK('Data Entry'!$b$43), "", 'Data Entry'!$b$43)</f>
      </c>
      <c r="AI43">
        <f>IF(ISBLANK('Data Entry'!$c$43), "", 'Data Entry'!$c$43)</f>
      </c>
      <c r="AJ43">
        <f>IF(ISBLANK('Data Entry'!$d$43), "", 'Data Entry'!$d$43)</f>
      </c>
      <c r="AK43">
        <f>IF(ISBLANK('Data Entry'!$e$43), "", 'Data Entry'!$e$43)</f>
      </c>
      <c r="AL43">
        <f>IF(ISBLANK('Data Entry'!$f$43), "", 'Data Entry'!$f$43)</f>
      </c>
      <c r="AM43">
        <f>IF(ISBLANK('Data Entry'!$g$43), "", 'Data Entry'!$g$43)</f>
      </c>
      <c r="AN43">
        <f>IF(ISBLANK('Data Entry'!$h$43), "", 'Data Entry'!$h$43)</f>
      </c>
      <c r="AO43">
        <f>IF(ISBLANK('Data Entry'!$i$43), "", 'Data Entry'!$i$43)</f>
      </c>
      <c r="AP43">
        <f>IF(ISBLANK('Data Entry'!$j$43), "", 'Data Entry'!$j$43)</f>
      </c>
      <c r="AQ43">
        <f>IF(ISBLANK('Data Entry'!$k$43), "", 'Data Entry'!$k$43)</f>
      </c>
      <c r="AR43">
        <f>IF(ISBLANK('Data Entry'!$l$43), "", 'Data Entry'!$l$43)</f>
      </c>
      <c r="AS43">
        <f>IF(ISBLANK('Data Entry'!$m$43), "", 'Data Entry'!$m$43)</f>
      </c>
      <c r="AT43">
        <f>IF(ISBLANK('Data Entry'!$n$43), "", 'Data Entry'!$n$43)</f>
      </c>
      <c r="AU43">
        <f>IF(ISBLANK('Data Entry'!$o$43), "", 'Data Entry'!$o$43)</f>
      </c>
      <c r="AV43">
        <f>IF(ISBLANK('Data Entry'!$p$43), "", 'Data Entry'!$p$43)</f>
      </c>
      <c r="AW43">
        <f>IF(ISBLANK('Data Entry'!$q$43), "", 'Data Entry'!$q$43)</f>
      </c>
      <c r="AX43">
        <f>IF(ISBLANK('Data Entry'!$r$43), "", 'Data Entry'!$r$43)</f>
      </c>
      <c r="AY43">
        <f>IF(ISBLANK('Data Entry'!$s$43), "", 'Data Entry'!$s$43)</f>
      </c>
      <c r="AZ43">
        <f>IF(ISBLANK('Data Entry'!$t$43), "", 'Data Entry'!$t$43)</f>
      </c>
      <c r="BA43">
        <f>IF(ISBLANK('Data Entry'!$u$43), "", 'Data Entry'!$u$43)</f>
      </c>
      <c r="BB43">
        <f>IF(ISBLANK('Data Entry'!$v$43), "", 'Data Entry'!$v$43)</f>
      </c>
      <c r="BC43">
        <f>IF(ISBLANK('Data Entry'!$w$43), "", 'Data Entry'!$w$43)</f>
      </c>
      <c r="BD43">
        <f>IF(ISBLANK('Data Entry'!$x$43), "", 'Data Entry'!$x$43)</f>
      </c>
      <c r="BE43">
        <f>IF(ISBLANK('Data Entry'!$y$43), "", 'Data Entry'!$y$43)</f>
      </c>
      <c r="BF43">
        <f>IF(ISBLANK('Data Entry'!$z$43), "", 'Data Entry'!$z$43)</f>
      </c>
      <c r="BG43">
        <f>IF(ISBLANK('Data Entry'!${$43), "", 'Data Entry'!${$43)</f>
      </c>
      <c r="BH43">
        <f>IF(ISBLANK('Data Entry'!$|$43), "", 'Data Entry'!$|$43)</f>
      </c>
      <c r="BI43">
        <f>IF(ISBLANK('Data Entry'!$}$43), "", 'Data Entry'!$}$43)</f>
      </c>
      <c r="BJ43">
        <f>IF(ISBLANK('Data Entry'!$~$43), "", 'Data Entry'!$~$43)</f>
      </c>
      <c r="BK43">
        <f>IF(ISBLANK('Data Entry'!$$43), "", 'Data Entry'!$$43)</f>
      </c>
      <c r="BL43">
        <f>IF(ISBLANK('Data Entry'!$$43), "", 'Data Entry'!$$43)</f>
      </c>
      <c r="BM43">
        <f>IF(ISBLANK('Data Entry'!$$43), "", 'Data Entry'!$$43)</f>
      </c>
      <c r="BN43">
        <f>IF(ISBLANK('Data Entry'!$$43), "", 'Data Entry'!$$43)</f>
      </c>
      <c r="BO43">
        <f>IF(ISBLANK('Data Entry'!$$43), "", 'Data Entry'!$$43)</f>
      </c>
      <c r="BP43">
        <f>IF(ISBLANK('Data Entry'!$$43), "", 'Data Entry'!$$43)</f>
      </c>
      <c r="BQ43">
        <f>IF(ISBLANK('Data Entry'!$$43), "", 'Data Entry'!$$43)</f>
      </c>
      <c r="BR43">
        <f>IF(ISBLANK('Data Entry'!$$43), "", 'Data Entry'!$$43)</f>
      </c>
      <c r="BS43">
        <f>IF(ISBLANK('Data Entry'!$$43), "", 'Data Entry'!$$43)</f>
      </c>
      <c r="BT43">
        <f>IF(ISBLANK('Data Entry'!$$43), "", 'Data Entry'!$$43)</f>
      </c>
      <c r="BU43">
        <f>IF(ISBLANK('Data Entry'!$$43), "", 'Data Entry'!$$43)</f>
      </c>
      <c r="BV43">
        <f>IF(ISBLANK('Data Entry'!$$43), "", 'Data Entry'!$$43)</f>
      </c>
      <c r="BW43">
        <f>IF(ISBLANK('Data Entry'!$$43), "", 'Data Entry'!$$43)</f>
      </c>
      <c r="BX43">
        <f>IF(ISBLANK('Data Entry'!$$43), "", 'Data Entry'!$$43)</f>
      </c>
      <c r="BY43">
        <f>IF(ISBLANK('Data Entry'!$$43), "", 'Data Entry'!$$43)</f>
      </c>
      <c r="BZ43">
        <f>IF(ISBLANK('Data Entry'!$$43), "", 'Data Entry'!$$43)</f>
      </c>
      <c r="CA43">
        <f>IF(ISBLANK('Data Entry'!$$43), "", 'Data Entry'!$$43)</f>
      </c>
      <c r="CB43">
        <f>IF(ISBLANK('Data Entry'!$$43), "", 'Data Entry'!$$43)</f>
      </c>
      <c r="CC43">
        <f>IF(ISBLANK('Data Entry'!$$43), "", 'Data Entry'!$$43)</f>
      </c>
      <c r="CD43">
        <f>IF(ISBLANK('Data Entry'!$$43), "", 'Data Entry'!$$43)</f>
      </c>
      <c r="CE43">
        <f>IF(ISBLANK('Data Entry'!$$43), "", 'Data Entry'!$$43)</f>
      </c>
      <c r="CF43">
        <f>IF(ISBLANK('Data Entry'!$$43), "", 'Data Entry'!$$43)</f>
      </c>
      <c r="CG43">
        <f>IF(ISBLANK('Data Entry'!$$43), "", 'Data Entry'!$$43)</f>
      </c>
      <c r="CH43">
        <f>IF(ISBLANK('Data Entry'!$$43), "", 'Data Entry'!$$43)</f>
      </c>
      <c r="CI43">
        <f>IF(ISBLANK('Data Entry'!$$43), "", 'Data Entry'!$$43)</f>
      </c>
      <c r="CJ43">
        <f>IF(ISBLANK('Data Entry'!$$43), "", 'Data Entry'!$$43)</f>
      </c>
      <c r="CK43">
        <f>IF(ISBLANK('Data Entry'!$$43), "", 'Data Entry'!$$43)</f>
      </c>
      <c r="CL43">
        <f>IF(ISBLANK('Data Entry'!$$43), "", 'Data Entry'!$$43)</f>
      </c>
      <c r="CM43">
        <f>IF(ISBLANK('Data Entry'!$$43), "", 'Data Entry'!$$43)</f>
      </c>
      <c r="CN43">
        <f>IF(ISBLANK('Data Entry'!$$43), "", 'Data Entry'!$$43)</f>
      </c>
      <c r="CO43">
        <f>IF(ISBLANK('Data Entry'!$$43), "", 'Data Entry'!$$43)</f>
      </c>
      <c r="CP43">
        <f>IF(ISBLANK('Data Entry'!$$43), "", 'Data Entry'!$$43)</f>
      </c>
      <c r="CQ43">
        <f>IF(ISBLANK('Data Entry'!$$43), "", 'Data Entry'!$$43)</f>
      </c>
      <c r="CR43">
        <f>IF(ISBLANK('Data Entry'!$ $43), "", 'Data Entry'!$ $43)</f>
      </c>
      <c r="CS43">
        <f>IF(ISBLANK('Data Entry'!$¡$43), "", 'Data Entry'!$¡$43)</f>
      </c>
      <c r="CT43">
        <f>IF(ISBLANK('Data Entry'!$¢$43), "", 'Data Entry'!$¢$43)</f>
      </c>
      <c r="CU43">
        <f>IF(ISBLANK('Data Entry'!$£$43), "", 'Data Entry'!$£$43)</f>
      </c>
      <c r="CV43">
        <f>IF(ISBLANK('Data Entry'!$¤$43), "", 'Data Entry'!$¤$43)</f>
      </c>
      <c r="CW43">
        <f>IF(ISBLANK('Data Entry'!$¥$43), "", 'Data Entry'!$¥$43)</f>
      </c>
      <c r="CX43">
        <f>IF(ISBLANK('Data Entry'!$¦$43), "", 'Data Entry'!$¦$43)</f>
      </c>
      <c r="CY43">
        <f>IF(ISBLANK('Data Entry'!$§$43), "", 'Data Entry'!$§$43)</f>
      </c>
      <c r="CZ43">
        <f>IF(ISBLANK('Data Entry'!$¨$43), "", 'Data Entry'!$¨$43)</f>
      </c>
      <c r="DA43">
        <f>IF(ISBLANK('Data Entry'!$©$43), "", 'Data Entry'!$©$43)</f>
      </c>
      <c r="DB43">
        <f>IF(ISBLANK('Data Entry'!$ª$43), "", 'Data Entry'!$ª$43)</f>
      </c>
      <c r="DC43">
        <f>IF(ISBLANK('Data Entry'!$«$43), "", 'Data Entry'!$«$43)</f>
      </c>
      <c r="DD43">
        <f>IF(ISBLANK('Data Entry'!$¬$43), "", 'Data Entry'!$¬$43)</f>
      </c>
      <c r="DE43">
        <f>IF(ISBLANK('Data Entry'!$­$43), "", 'Data Entry'!$­$43)</f>
      </c>
      <c r="DF43">
        <f>IF(ISBLANK('Data Entry'!$®$43), "", 'Data Entry'!$®$43)</f>
      </c>
      <c r="DG43">
        <f>IF(ISBLANK('Data Entry'!$¯$43), "", 'Data Entry'!$¯$43)</f>
      </c>
      <c r="DH43">
        <f>IF(ISBLANK('Data Entry'!$°$43), "", 'Data Entry'!$°$43)</f>
      </c>
      <c r="DI43">
        <f>IF(ISBLANK('Data Entry'!$±$43), "", 'Data Entry'!$±$43)</f>
      </c>
      <c r="DJ43">
        <f>IF(ISBLANK('Data Entry'!$²$43), "", 'Data Entry'!$²$43)</f>
      </c>
      <c r="DK43">
        <f>IF(ISBLANK('Data Entry'!$³$43), "", 'Data Entry'!$³$43)</f>
      </c>
      <c r="DL43">
        <f>IF(ISBLANK('Data Entry'!$´$43), "", 'Data Entry'!$´$43)</f>
      </c>
      <c r="DM43">
        <f>IF(ISBLANK('Data Entry'!$µ$43), "", 'Data Entry'!$µ$43)</f>
      </c>
      <c r="DN43">
        <f>IF(ISBLANK('Data Entry'!$¶$43), "", 'Data Entry'!$¶$43)</f>
      </c>
      <c r="DO43">
        <f>IF(ISBLANK('Data Entry'!$·$43), "", 'Data Entry'!$·$43)</f>
      </c>
      <c r="DP43">
        <f>IF(ISBLANK('Data Entry'!$¸$43), "", 'Data Entry'!$¸$43)</f>
      </c>
      <c r="DQ43">
        <f>IF(ISBLANK('Data Entry'!$¹$43), "", 'Data Entry'!$¹$43)</f>
      </c>
      <c r="DR43">
        <f>IF(ISBLANK('Data Entry'!$º$43), "", 'Data Entry'!$º$43)</f>
      </c>
      <c r="DS43">
        <f>IF(ISBLANK('Data Entry'!$»$43), "", 'Data Entry'!$»$43)</f>
      </c>
      <c r="DT43">
        <f>IF(ISBLANK('Data Entry'!$¼$43), "", 'Data Entry'!$¼$43)</f>
      </c>
      <c r="DU43">
        <f>IF(ISBLANK('Data Entry'!$½$43), "", 'Data Entry'!$½$43)</f>
      </c>
      <c r="DV43">
        <f>IF(ISBLANK('Data Entry'!$¾$43), "", 'Data Entry'!$¾$43)</f>
      </c>
      <c r="DW43">
        <f>IF(ISBLANK('Data Entry'!$¿$43), "", 'Data Entry'!$¿$43)</f>
      </c>
      <c r="DX43">
        <f>IF(ISBLANK('Data Entry'!$À$43), "", 'Data Entry'!$À$43)</f>
      </c>
      <c r="DY43">
        <f>IF(ISBLANK('Data Entry'!$Á$43), "", 'Data Entry'!$Á$43)</f>
      </c>
      <c r="DZ43">
        <f>IF(ISBLANK('Data Entry'!$Â$43), "", 'Data Entry'!$Â$43)</f>
      </c>
      <c r="EA43">
        <f>IF(ISBLANK('Data Entry'!$Ã$43), "", 'Data Entry'!$Ã$43)</f>
      </c>
      <c r="EB43">
        <f>IF(ISBLANK('Data Entry'!$Ä$43), "", 'Data Entry'!$Ä$43)</f>
      </c>
      <c r="EC43">
        <f>IF(ISBLANK('Data Entry'!$Å$43), "", 'Data Entry'!$Å$43)</f>
      </c>
      <c r="ED43">
        <f>IF(ISBLANK('Data Entry'!$Æ$43), "", 'Data Entry'!$Æ$43)</f>
      </c>
      <c r="EE43">
        <f>IF(ISBLANK('Data Entry'!$Ç$43), "", 'Data Entry'!$Ç$43)</f>
      </c>
      <c r="EF43">
        <f>IF(ISBLANK('Data Entry'!$È$43), "", 'Data Entry'!$È$43)</f>
      </c>
      <c r="EG43">
        <f>IF(ISBLANK('Data Entry'!$É$43), "", 'Data Entry'!$É$43)</f>
      </c>
      <c r="EH43">
        <f>IF(ISBLANK('Data Entry'!$Ê$43), "", 'Data Entry'!$Ê$43)</f>
      </c>
      <c r="EI43">
        <f>IF(ISBLANK('Data Entry'!$Ë$43), "", 'Data Entry'!$Ë$43)</f>
      </c>
      <c r="EJ43">
        <f>IF(ISBLANK('Data Entry'!$Ì$43), "", 'Data Entry'!$Ì$43)</f>
      </c>
      <c r="EK43">
        <f>IF(ISBLANK('Data Entry'!$Í$43), "", 'Data Entry'!$Í$43)</f>
      </c>
      <c r="EL43">
        <f>IF(ISBLANK('Data Entry'!$Î$43), "", 'Data Entry'!$Î$43)</f>
      </c>
      <c r="EM43">
        <f>IF(ISBLANK('Data Entry'!$Ï$43), "", 'Data Entry'!$Ï$43)</f>
      </c>
      <c r="EN43">
        <f>IF(ISBLANK('Data Entry'!$Ð$43), "", 'Data Entry'!$Ð$43)</f>
      </c>
      <c r="EO43">
        <f>IF(ISBLANK('Data Entry'!$Ñ$43), "", 'Data Entry'!$Ñ$43)</f>
      </c>
      <c r="EP43">
        <f>IF(ISBLANK('Data Entry'!$Ò$43), "", 'Data Entry'!$Ò$43)</f>
      </c>
      <c r="EQ43">
        <f>IF(ISBLANK('Data Entry'!$Ó$43), "", 'Data Entry'!$Ó$43)</f>
      </c>
      <c r="ER43">
        <f>IF(ISBLANK('Data Entry'!$Ô$43), "", 'Data Entry'!$Ô$43)</f>
      </c>
      <c r="ES43">
        <f>IF(ISBLANK('Data Entry'!$Õ$43), "", 'Data Entry'!$Õ$43)</f>
      </c>
      <c r="ET43">
        <f>IF(ISBLANK('Data Entry'!$Ö$43), "", 'Data Entry'!$Ö$43)</f>
      </c>
      <c r="EU43">
        <f>IF(ISBLANK('Data Entry'!$×$43), "", 'Data Entry'!$×$43)</f>
      </c>
      <c r="EV43">
        <f>IF(ISBLANK('Data Entry'!$Ø$43), "", 'Data Entry'!$Ø$43)</f>
      </c>
      <c r="EW43">
        <f>IF(ISBLANK('Data Entry'!$Ù$43), "", 'Data Entry'!$Ù$43)</f>
      </c>
      <c r="EX43">
        <f>IF(ISBLANK('Data Entry'!$Ú$43), "", 'Data Entry'!$Ú$43)</f>
      </c>
      <c r="EY43">
        <f>IF(ISBLANK('Data Entry'!$Û$43), "", 'Data Entry'!$Û$43)</f>
      </c>
      <c r="EZ43">
        <f>IF(ISBLANK('Data Entry'!$Ü$43), "", 'Data Entry'!$Ü$43)</f>
      </c>
      <c r="FA43">
        <f>IF(ISBLANK('Data Entry'!$Ý$43), "", 'Data Entry'!$Ý$43)</f>
      </c>
      <c r="FB43">
        <f>IF(ISBLANK('Data Entry'!$Þ$43), "", 'Data Entry'!$Þ$43)</f>
      </c>
      <c r="FC43">
        <f>IF(ISBLANK('Data Entry'!$ß$43), "", 'Data Entry'!$ß$43)</f>
      </c>
      <c r="FD43">
        <f>IF(ISBLANK('Data Entry'!$à$43), "", 'Data Entry'!$à$43)</f>
      </c>
      <c r="FE43">
        <f>IF(ISBLANK('Data Entry'!$á$43), "", 'Data Entry'!$á$43)</f>
      </c>
      <c r="FF43">
        <f>IF(ISBLANK('Data Entry'!$â$43), "", 'Data Entry'!$â$43)</f>
      </c>
      <c r="FG43">
        <f>IF(ISBLANK('Data Entry'!$ã$43), "", 'Data Entry'!$ã$43)</f>
      </c>
      <c r="FH43">
        <f>IF(ISBLANK('Data Entry'!$ä$43), "", 'Data Entry'!$ä$43)</f>
      </c>
      <c r="FI43">
        <f>IF(ISBLANK('Data Entry'!$å$43), "", 'Data Entry'!$å$43)</f>
      </c>
      <c r="FJ43">
        <f>IF(ISBLANK('Data Entry'!$æ$43), "", 'Data Entry'!$æ$43)</f>
      </c>
      <c r="FK43">
        <f>IF(ISBLANK('Data Entry'!$ç$43), "", 'Data Entry'!$ç$43)</f>
      </c>
      <c r="FL43">
        <f>IF(ISBLANK('Data Entry'!$è$43), "", 'Data Entry'!$è$43)</f>
      </c>
      <c r="FM43">
        <f>IF(ISBLANK('Data Entry'!$é$43), "", 'Data Entry'!$é$43)</f>
      </c>
      <c r="FN43">
        <f>IF(ISBLANK('Data Entry'!$ê$43), "", 'Data Entry'!$ê$43)</f>
      </c>
      <c r="FO43">
        <f>IF(ISBLANK('Data Entry'!$ë$43), "", 'Data Entry'!$ë$43)</f>
      </c>
      <c r="FP43">
        <f>IF(ISBLANK('Data Entry'!$ì$43), "", 'Data Entry'!$ì$43)</f>
      </c>
      <c r="FQ43">
        <f>IF(ISBLANK('Data Entry'!$í$43), "", 'Data Entry'!$í$43)</f>
      </c>
      <c r="FR43">
        <f>IF(ISBLANK('Data Entry'!$î$43), "", 'Data Entry'!$î$43)</f>
      </c>
      <c r="FS43">
        <f>IF(ISBLANK('Data Entry'!$ï$43), "", 'Data Entry'!$ï$43)</f>
      </c>
      <c r="FT43">
        <f>IF(ISBLANK('Data Entry'!$ð$43), "", 'Data Entry'!$ð$43)</f>
      </c>
      <c r="FU43">
        <f>IF(ISBLANK('Data Entry'!$ñ$43), "", 'Data Entry'!$ñ$43)</f>
      </c>
      <c r="FV43">
        <f>IF(ISBLANK('Data Entry'!$ò$43), "", 'Data Entry'!$ò$43)</f>
      </c>
      <c r="FW43">
        <f>IF(ISBLANK('Data Entry'!$ó$43), "", 'Data Entry'!$ó$43)</f>
      </c>
      <c r="FX43">
        <f>IF(ISBLANK('Data Entry'!$ô$43), "", 'Data Entry'!$ô$43)</f>
      </c>
      <c r="FY43">
        <f>IF(ISBLANK('Data Entry'!$õ$43), "", 'Data Entry'!$õ$43)</f>
      </c>
      <c r="FZ43">
        <f>IF(ISBLANK('Data Entry'!$ö$43), "", 'Data Entry'!$ö$43)</f>
      </c>
      <c r="GA43">
        <f>IF(ISBLANK('Data Entry'!$÷$43), "", 'Data Entry'!$÷$43)</f>
      </c>
      <c r="GB43">
        <f>IF(ISBLANK('Data Entry'!$ø$43), "", 'Data Entry'!$ø$43)</f>
      </c>
      <c r="GC43">
        <f>IF(ISBLANK('Data Entry'!$ù$43), "", 'Data Entry'!$ù$43)</f>
      </c>
      <c r="GD43">
        <f>IF(ISBLANK('Data Entry'!$ú$43), "", 'Data Entry'!$ú$43)</f>
      </c>
      <c r="GE43">
        <f>IF(ISBLANK('Data Entry'!$û$43), "", 'Data Entry'!$û$43)</f>
      </c>
      <c r="GF43">
        <f>IF(ISBLANK('Data Entry'!$ü$43), "", 'Data Entry'!$ü$43)</f>
      </c>
      <c r="GG43">
        <f>IF(ISBLANK('Data Entry'!$ý$43), "", 'Data Entry'!$ý$43)</f>
      </c>
      <c r="GH43">
        <f>IF(ISBLANK('Data Entry'!$þ$43), "", 'Data Entry'!$þ$43)</f>
      </c>
      <c r="GI43">
        <f>IF(ISBLANK('Data Entry'!$ÿ$43), "", 'Data Entry'!$ÿ$43)</f>
      </c>
      <c r="GJ43">
        <f>IF(ISBLANK('Data Entry'!$Ā$43), "", 'Data Entry'!$Ā$43)</f>
      </c>
      <c r="GK43">
        <f>IF(ISBLANK('Data Entry'!$ā$43), "", 'Data Entry'!$ā$43)</f>
      </c>
      <c r="GL43">
        <f>IF(ISBLANK('Data Entry'!$Ă$43), "", 'Data Entry'!$Ă$43)</f>
      </c>
      <c r="GM43">
        <f>IF(ISBLANK('Data Entry'!$ă$43), "", 'Data Entry'!$ă$43)</f>
      </c>
      <c r="GN43">
        <f>IF(ISBLANK('Data Entry'!$Ą$43), "", 'Data Entry'!$Ą$43)</f>
      </c>
      <c r="GO43">
        <f>IF(ISBLANK('Data Entry'!$ą$43), "", 'Data Entry'!$ą$43)</f>
      </c>
      <c r="GP43">
        <f>IF(ISBLANK('Data Entry'!$Ć$43), "", 'Data Entry'!$Ć$43)</f>
      </c>
      <c r="GQ43">
        <f>IF(ISBLANK('Data Entry'!$ć$43), "", 'Data Entry'!$ć$43)</f>
      </c>
      <c r="GR43">
        <f>IF(ISBLANK('Data Entry'!$Ĉ$43), "", 'Data Entry'!$Ĉ$43)</f>
      </c>
      <c r="GS43">
        <f>IF(ISBLANK('Data Entry'!$ĉ$43), "", 'Data Entry'!$ĉ$43)</f>
      </c>
      <c r="GT43">
        <f>IF(ISBLANK('Data Entry'!$Ċ$43), "", 'Data Entry'!$Ċ$43)</f>
      </c>
      <c r="GU43">
        <f>IF(ISBLANK('Data Entry'!$ċ$43), "", 'Data Entry'!$ċ$43)</f>
      </c>
      <c r="GV43">
        <f>IF(ISBLANK('Data Entry'!$Č$43), "", 'Data Entry'!$Č$43)</f>
      </c>
      <c r="GW43">
        <f>IF(ISBLANK('Data Entry'!$č$43), "", 'Data Entry'!$č$43)</f>
      </c>
      <c r="GX43">
        <f>IF(ISBLANK('Data Entry'!$Ď$43), "", 'Data Entry'!$Ď$43)</f>
      </c>
      <c r="GY43">
        <f>IF(ISBLANK('Data Entry'!$ď$43), "", 'Data Entry'!$ď$43)</f>
      </c>
      <c r="GZ43">
        <f>IF(ISBLANK('Data Entry'!$Đ$43), "", 'Data Entry'!$Đ$43)</f>
      </c>
      <c r="HA43">
        <f>IF(ISBLANK('Data Entry'!$đ$43), "", 'Data Entry'!$đ$43)</f>
      </c>
      <c r="HB43">
        <f>IF(ISBLANK('Data Entry'!$Ē$43), "", 'Data Entry'!$Ē$43)</f>
      </c>
      <c r="HC43">
        <f>IF(ISBLANK('Data Entry'!$ē$43), "", 'Data Entry'!$ē$43)</f>
      </c>
      <c r="HD43">
        <f>IF(ISBLANK('Data Entry'!$Ĕ$43), "", 'Data Entry'!$Ĕ$43)</f>
      </c>
      <c r="HE43">
        <f>IF(ISBLANK('Data Entry'!$ĕ$43), "", 'Data Entry'!$ĕ$43)</f>
      </c>
      <c r="HF43">
        <f>IF(ISBLANK('Data Entry'!$Ė$43), "", 'Data Entry'!$Ė$43)</f>
      </c>
      <c r="HG43">
        <f>IF(ISBLANK('Data Entry'!$ė$43), "", 'Data Entry'!$ė$43)</f>
      </c>
      <c r="HH43">
        <f>IF(ISBLANK('Data Entry'!$Ę$43), "", 'Data Entry'!$Ę$43)</f>
      </c>
      <c r="HI43">
        <f>IF(ISBLANK('Data Entry'!$ę$43), "", 'Data Entry'!$ę$43)</f>
      </c>
      <c r="HJ43">
        <f>IF(ISBLANK('Data Entry'!$Ě$43), "", 'Data Entry'!$Ě$43)</f>
      </c>
      <c r="HK43">
        <f>IF(ISBLANK('Data Entry'!$ě$43), "", 'Data Entry'!$ě$43)</f>
      </c>
      <c r="HL43">
        <f>IF(ISBLANK('Data Entry'!$Ĝ$43), "", 'Data Entry'!$Ĝ$43)</f>
      </c>
      <c r="HM43">
        <f>IF(ISBLANK('Data Entry'!$ĝ$43), "", 'Data Entry'!$ĝ$43)</f>
      </c>
      <c r="HN43">
        <f>IF(ISBLANK('Data Entry'!$Ğ$43), "", 'Data Entry'!$Ğ$43)</f>
      </c>
      <c r="HO43">
        <f>IF(ISBLANK('Data Entry'!$ğ$43), "", 'Data Entry'!$ğ$43)</f>
      </c>
      <c r="HP43">
        <f>IF(ISBLANK('Data Entry'!$Ġ$43), "", 'Data Entry'!$Ġ$43)</f>
      </c>
      <c r="HQ43">
        <f>IF(ISBLANK('Data Entry'!$ġ$43), "", 'Data Entry'!$ġ$43)</f>
      </c>
      <c r="HR43">
        <f>IF(ISBLANK('Data Entry'!$Ģ$43), "", 'Data Entry'!$Ģ$43)</f>
      </c>
      <c r="HS43">
        <f>IF(ISBLANK('Data Entry'!$ģ$43), "", 'Data Entry'!$ģ$43)</f>
      </c>
      <c r="HT43">
        <f>IF(ISBLANK('Data Entry'!$Ĥ$43), "", 'Data Entry'!$Ĥ$43)</f>
      </c>
      <c r="HU43">
        <f>IF(ISBLANK('Data Entry'!$ĥ$43), "", 'Data Entry'!$ĥ$43)</f>
      </c>
      <c r="HV43">
        <f>IF(ISBLANK('Data Entry'!$Ħ$43), "", 'Data Entry'!$Ħ$43)</f>
      </c>
      <c r="HW43">
        <f>IF(ISBLANK('Data Entry'!$ħ$43), "", 'Data Entry'!$ħ$43)</f>
      </c>
      <c r="HX43">
        <f>IF(ISBLANK('Data Entry'!$Ĩ$43), "", 'Data Entry'!$Ĩ$43)</f>
      </c>
      <c r="HY43">
        <f>IF(ISBLANK('Data Entry'!$ĩ$43), "", 'Data Entry'!$ĩ$43)</f>
      </c>
      <c r="HZ43">
        <f>IF(ISBLANK('Data Entry'!$Ī$43), "", 'Data Entry'!$Ī$43)</f>
      </c>
      <c r="IA43">
        <f>IF(ISBLANK('Data Entry'!$ī$43), "", 'Data Entry'!$ī$43)</f>
      </c>
      <c r="IB43">
        <f>IF(ISBLANK('Data Entry'!$Ĭ$43), "", 'Data Entry'!$Ĭ$43)</f>
      </c>
      <c r="IC43">
        <f>IF(ISBLANK('Data Entry'!$ĭ$43), "", 'Data Entry'!$ĭ$43)</f>
      </c>
      <c r="ID43">
        <f>IF(ISBLANK('Data Entry'!$Į$43), "", 'Data Entry'!$Į$43)</f>
      </c>
      <c r="IE43">
        <f>IF(ISBLANK('Data Entry'!$į$43), "", 'Data Entry'!$į$43)</f>
      </c>
      <c r="IF43">
        <f>IF(ISBLANK('Data Entry'!$İ$43), "", 'Data Entry'!$İ$43)</f>
      </c>
      <c r="IG43">
        <f>IF(ISBLANK('Data Entry'!$ı$43), "", 'Data Entry'!$ı$43)</f>
      </c>
      <c r="IH43">
        <f>IF(ISBLANK('Data Entry'!$Ĳ$43), "", 'Data Entry'!$Ĳ$43)</f>
      </c>
      <c r="II43">
        <f>IF(ISBLANK('Data Entry'!$ĳ$43), "", 'Data Entry'!$ĳ$43)</f>
      </c>
      <c r="IJ43">
        <f>IF(ISBLANK('Data Entry'!$Ĵ$43), "", 'Data Entry'!$Ĵ$43)</f>
      </c>
      <c r="IK43">
        <f>IF(ISBLANK('Data Entry'!$ĵ$43), "", 'Data Entry'!$ĵ$43)</f>
      </c>
      <c r="IL43">
        <f>IF(ISBLANK('Data Entry'!$Ķ$43), "", 'Data Entry'!$Ķ$43)</f>
      </c>
      <c r="IM43">
        <f>IF(ISBLANK('Data Entry'!$ķ$43), "", 'Data Entry'!$ķ$43)</f>
      </c>
      <c r="IN43">
        <f>IF(ISBLANK('Data Entry'!$ĸ$43), "", 'Data Entry'!$ĸ$43)</f>
      </c>
      <c r="IO43">
        <f>IF(ISBLANK('Data Entry'!$Ĺ$43), "", 'Data Entry'!$Ĺ$43)</f>
      </c>
      <c r="IP43">
        <f>IF(ISBLANK('Data Entry'!$ĺ$43), "", 'Data Entry'!$ĺ$43)</f>
      </c>
      <c r="IQ43">
        <f>IF(ISBLANK('Data Entry'!$Ļ$43), "", 'Data Entry'!$Ļ$43)</f>
      </c>
      <c r="IR43">
        <f>IF(ISBLANK('Data Entry'!$ļ$43), "", 'Data Entry'!$ļ$43)</f>
      </c>
      <c r="IS43">
        <f>IF(ISBLANK('Data Entry'!$Ľ$43), "", 'Data Entry'!$Ľ$43)</f>
      </c>
      <c r="IT43">
        <f>IF(ISBLANK('Data Entry'!$ľ$43), "", 'Data Entry'!$ľ$43)</f>
      </c>
    </row>
    <row r="44" spans="1:254" x14ac:dyDescent="0.25">
      <c r="A44">
        <f>IF(ISBLANK('Data Entry'!$A$44), "", 'Data Entry'!$A$44)</f>
      </c>
      <c r="B44">
        <f>IF(ISBLANK('Data Entry'!$B$44), "", 'Data Entry'!$B$44)</f>
      </c>
      <c r="C44">
        <f>IF(ISBLANK('Data Entry'!$C$44), "", 'Data Entry'!$C$44)</f>
      </c>
      <c r="D44">
        <f>IF(ISBLANK('Data Entry'!$D$44), "", 'Data Entry'!$D$44)</f>
      </c>
      <c r="E44">
        <f>IF(ISBLANK('Data Entry'!$E$44), "", 'Data Entry'!$E$44)</f>
      </c>
      <c r="F44">
        <f>IF(ISBLANK('Data Entry'!$F$44), "", 'Data Entry'!$F$44)</f>
      </c>
      <c r="G44">
        <f>IF(ISBLANK('Data Entry'!$G$44), "", 'Data Entry'!$G$44)</f>
      </c>
      <c r="H44">
        <f>IF(ISBLANK('Data Entry'!$H$44), "", 'Data Entry'!$H$44)</f>
      </c>
      <c r="I44">
        <f>IF(ISBLANK('Data Entry'!$I$44), "", 'Data Entry'!$I$44)</f>
      </c>
      <c r="J44">
        <f>IF(ISBLANK('Data Entry'!$J$44), "", 'Data Entry'!$J$44)</f>
      </c>
      <c r="K44">
        <f>IF(ISBLANK('Data Entry'!$K$44), "", 'Data Entry'!$K$44)</f>
      </c>
      <c r="L44">
        <f>IF(ISBLANK('Data Entry'!$L$44), "", 'Data Entry'!$L$44)</f>
      </c>
      <c r="M44">
        <f>IF(ISBLANK('Data Entry'!$M$44), "", 'Data Entry'!$M$44)</f>
      </c>
      <c r="N44">
        <f>IF(ISBLANK('Data Entry'!$N$44), "", 'Data Entry'!$N$44)</f>
      </c>
      <c r="O44">
        <f>IF(ISBLANK('Data Entry'!$O$44), "", 'Data Entry'!$O$44)</f>
      </c>
      <c r="P44">
        <f>IF(ISBLANK('Data Entry'!$P$44), "", 'Data Entry'!$P$44)</f>
      </c>
      <c r="Q44">
        <f>IF(ISBLANK('Data Entry'!$Q$44), "", 'Data Entry'!$Q$44)</f>
      </c>
      <c r="R44">
        <f>IF(ISBLANK('Data Entry'!$R$44), "", 'Data Entry'!$R$44)</f>
      </c>
      <c r="S44">
        <f>IF(ISBLANK('Data Entry'!$S$44), "", 'Data Entry'!$S$44)</f>
      </c>
      <c r="T44">
        <f>IF(ISBLANK('Data Entry'!$T$44), "", 'Data Entry'!$T$44)</f>
      </c>
      <c r="U44">
        <f>IF(ISBLANK('Data Entry'!$U$44), "", 'Data Entry'!$U$44)</f>
      </c>
      <c r="V44">
        <f>IF(ISBLANK('Data Entry'!$V$44), "", 'Data Entry'!$V$44)</f>
      </c>
      <c r="W44">
        <f>IF(ISBLANK('Data Entry'!$W$44), "", 'Data Entry'!$W$44)</f>
      </c>
      <c r="X44">
        <f>IF(ISBLANK('Data Entry'!$X$44), "", 'Data Entry'!$X$44)</f>
      </c>
      <c r="Y44">
        <f>IF(ISBLANK('Data Entry'!$Y$44), "", 'Data Entry'!$Y$44)</f>
      </c>
      <c r="Z44">
        <f>IF(ISBLANK('Data Entry'!$Z$44), "", 'Data Entry'!$Z$44)</f>
      </c>
      <c r="AA44">
        <f>IF(ISBLANK('Data Entry'!$[$44), "", 'Data Entry'!$[$44)</f>
      </c>
      <c r="AB44">
        <f>IF(ISBLANK('Data Entry'!$\$44), "", 'Data Entry'!$\$44)</f>
      </c>
      <c r="AC44">
        <f>IF(ISBLANK('Data Entry'!$]$44), "", 'Data Entry'!$]$44)</f>
      </c>
      <c r="AD44">
        <f>IF(ISBLANK('Data Entry'!$^$44), "", 'Data Entry'!$^$44)</f>
      </c>
      <c r="AE44">
        <f>IF(ISBLANK('Data Entry'!$_$44), "", 'Data Entry'!$_$44)</f>
      </c>
      <c r="AF44">
        <f>IF(ISBLANK('Data Entry'!$`$44), "", 'Data Entry'!$`$44)</f>
      </c>
      <c r="AG44">
        <f>IF(ISBLANK('Data Entry'!$a$44), "", 'Data Entry'!$a$44)</f>
      </c>
      <c r="AH44">
        <f>IF(ISBLANK('Data Entry'!$b$44), "", 'Data Entry'!$b$44)</f>
      </c>
      <c r="AI44">
        <f>IF(ISBLANK('Data Entry'!$c$44), "", 'Data Entry'!$c$44)</f>
      </c>
      <c r="AJ44">
        <f>IF(ISBLANK('Data Entry'!$d$44), "", 'Data Entry'!$d$44)</f>
      </c>
      <c r="AK44">
        <f>IF(ISBLANK('Data Entry'!$e$44), "", 'Data Entry'!$e$44)</f>
      </c>
      <c r="AL44">
        <f>IF(ISBLANK('Data Entry'!$f$44), "", 'Data Entry'!$f$44)</f>
      </c>
      <c r="AM44">
        <f>IF(ISBLANK('Data Entry'!$g$44), "", 'Data Entry'!$g$44)</f>
      </c>
      <c r="AN44">
        <f>IF(ISBLANK('Data Entry'!$h$44), "", 'Data Entry'!$h$44)</f>
      </c>
      <c r="AO44">
        <f>IF(ISBLANK('Data Entry'!$i$44), "", 'Data Entry'!$i$44)</f>
      </c>
      <c r="AP44">
        <f>IF(ISBLANK('Data Entry'!$j$44), "", 'Data Entry'!$j$44)</f>
      </c>
      <c r="AQ44">
        <f>IF(ISBLANK('Data Entry'!$k$44), "", 'Data Entry'!$k$44)</f>
      </c>
      <c r="AR44">
        <f>IF(ISBLANK('Data Entry'!$l$44), "", 'Data Entry'!$l$44)</f>
      </c>
      <c r="AS44">
        <f>IF(ISBLANK('Data Entry'!$m$44), "", 'Data Entry'!$m$44)</f>
      </c>
      <c r="AT44">
        <f>IF(ISBLANK('Data Entry'!$n$44), "", 'Data Entry'!$n$44)</f>
      </c>
      <c r="AU44">
        <f>IF(ISBLANK('Data Entry'!$o$44), "", 'Data Entry'!$o$44)</f>
      </c>
      <c r="AV44">
        <f>IF(ISBLANK('Data Entry'!$p$44), "", 'Data Entry'!$p$44)</f>
      </c>
      <c r="AW44">
        <f>IF(ISBLANK('Data Entry'!$q$44), "", 'Data Entry'!$q$44)</f>
      </c>
      <c r="AX44">
        <f>IF(ISBLANK('Data Entry'!$r$44), "", 'Data Entry'!$r$44)</f>
      </c>
      <c r="AY44">
        <f>IF(ISBLANK('Data Entry'!$s$44), "", 'Data Entry'!$s$44)</f>
      </c>
      <c r="AZ44">
        <f>IF(ISBLANK('Data Entry'!$t$44), "", 'Data Entry'!$t$44)</f>
      </c>
      <c r="BA44">
        <f>IF(ISBLANK('Data Entry'!$u$44), "", 'Data Entry'!$u$44)</f>
      </c>
      <c r="BB44">
        <f>IF(ISBLANK('Data Entry'!$v$44), "", 'Data Entry'!$v$44)</f>
      </c>
      <c r="BC44">
        <f>IF(ISBLANK('Data Entry'!$w$44), "", 'Data Entry'!$w$44)</f>
      </c>
      <c r="BD44">
        <f>IF(ISBLANK('Data Entry'!$x$44), "", 'Data Entry'!$x$44)</f>
      </c>
      <c r="BE44">
        <f>IF(ISBLANK('Data Entry'!$y$44), "", 'Data Entry'!$y$44)</f>
      </c>
      <c r="BF44">
        <f>IF(ISBLANK('Data Entry'!$z$44), "", 'Data Entry'!$z$44)</f>
      </c>
      <c r="BG44">
        <f>IF(ISBLANK('Data Entry'!${$44), "", 'Data Entry'!${$44)</f>
      </c>
      <c r="BH44">
        <f>IF(ISBLANK('Data Entry'!$|$44), "", 'Data Entry'!$|$44)</f>
      </c>
      <c r="BI44">
        <f>IF(ISBLANK('Data Entry'!$}$44), "", 'Data Entry'!$}$44)</f>
      </c>
      <c r="BJ44">
        <f>IF(ISBLANK('Data Entry'!$~$44), "", 'Data Entry'!$~$44)</f>
      </c>
      <c r="BK44">
        <f>IF(ISBLANK('Data Entry'!$$44), "", 'Data Entry'!$$44)</f>
      </c>
      <c r="BL44">
        <f>IF(ISBLANK('Data Entry'!$$44), "", 'Data Entry'!$$44)</f>
      </c>
      <c r="BM44">
        <f>IF(ISBLANK('Data Entry'!$$44), "", 'Data Entry'!$$44)</f>
      </c>
      <c r="BN44">
        <f>IF(ISBLANK('Data Entry'!$$44), "", 'Data Entry'!$$44)</f>
      </c>
      <c r="BO44">
        <f>IF(ISBLANK('Data Entry'!$$44), "", 'Data Entry'!$$44)</f>
      </c>
      <c r="BP44">
        <f>IF(ISBLANK('Data Entry'!$$44), "", 'Data Entry'!$$44)</f>
      </c>
      <c r="BQ44">
        <f>IF(ISBLANK('Data Entry'!$$44), "", 'Data Entry'!$$44)</f>
      </c>
      <c r="BR44">
        <f>IF(ISBLANK('Data Entry'!$$44), "", 'Data Entry'!$$44)</f>
      </c>
      <c r="BS44">
        <f>IF(ISBLANK('Data Entry'!$$44), "", 'Data Entry'!$$44)</f>
      </c>
      <c r="BT44">
        <f>IF(ISBLANK('Data Entry'!$$44), "", 'Data Entry'!$$44)</f>
      </c>
      <c r="BU44">
        <f>IF(ISBLANK('Data Entry'!$$44), "", 'Data Entry'!$$44)</f>
      </c>
      <c r="BV44">
        <f>IF(ISBLANK('Data Entry'!$$44), "", 'Data Entry'!$$44)</f>
      </c>
      <c r="BW44">
        <f>IF(ISBLANK('Data Entry'!$$44), "", 'Data Entry'!$$44)</f>
      </c>
      <c r="BX44">
        <f>IF(ISBLANK('Data Entry'!$$44), "", 'Data Entry'!$$44)</f>
      </c>
      <c r="BY44">
        <f>IF(ISBLANK('Data Entry'!$$44), "", 'Data Entry'!$$44)</f>
      </c>
      <c r="BZ44">
        <f>IF(ISBLANK('Data Entry'!$$44), "", 'Data Entry'!$$44)</f>
      </c>
      <c r="CA44">
        <f>IF(ISBLANK('Data Entry'!$$44), "", 'Data Entry'!$$44)</f>
      </c>
      <c r="CB44">
        <f>IF(ISBLANK('Data Entry'!$$44), "", 'Data Entry'!$$44)</f>
      </c>
      <c r="CC44">
        <f>IF(ISBLANK('Data Entry'!$$44), "", 'Data Entry'!$$44)</f>
      </c>
      <c r="CD44">
        <f>IF(ISBLANK('Data Entry'!$$44), "", 'Data Entry'!$$44)</f>
      </c>
      <c r="CE44">
        <f>IF(ISBLANK('Data Entry'!$$44), "", 'Data Entry'!$$44)</f>
      </c>
      <c r="CF44">
        <f>IF(ISBLANK('Data Entry'!$$44), "", 'Data Entry'!$$44)</f>
      </c>
      <c r="CG44">
        <f>IF(ISBLANK('Data Entry'!$$44), "", 'Data Entry'!$$44)</f>
      </c>
      <c r="CH44">
        <f>IF(ISBLANK('Data Entry'!$$44), "", 'Data Entry'!$$44)</f>
      </c>
      <c r="CI44">
        <f>IF(ISBLANK('Data Entry'!$$44), "", 'Data Entry'!$$44)</f>
      </c>
      <c r="CJ44">
        <f>IF(ISBLANK('Data Entry'!$$44), "", 'Data Entry'!$$44)</f>
      </c>
      <c r="CK44">
        <f>IF(ISBLANK('Data Entry'!$$44), "", 'Data Entry'!$$44)</f>
      </c>
      <c r="CL44">
        <f>IF(ISBLANK('Data Entry'!$$44), "", 'Data Entry'!$$44)</f>
      </c>
      <c r="CM44">
        <f>IF(ISBLANK('Data Entry'!$$44), "", 'Data Entry'!$$44)</f>
      </c>
      <c r="CN44">
        <f>IF(ISBLANK('Data Entry'!$$44), "", 'Data Entry'!$$44)</f>
      </c>
      <c r="CO44">
        <f>IF(ISBLANK('Data Entry'!$$44), "", 'Data Entry'!$$44)</f>
      </c>
      <c r="CP44">
        <f>IF(ISBLANK('Data Entry'!$$44), "", 'Data Entry'!$$44)</f>
      </c>
      <c r="CQ44">
        <f>IF(ISBLANK('Data Entry'!$$44), "", 'Data Entry'!$$44)</f>
      </c>
      <c r="CR44">
        <f>IF(ISBLANK('Data Entry'!$ $44), "", 'Data Entry'!$ $44)</f>
      </c>
      <c r="CS44">
        <f>IF(ISBLANK('Data Entry'!$¡$44), "", 'Data Entry'!$¡$44)</f>
      </c>
      <c r="CT44">
        <f>IF(ISBLANK('Data Entry'!$¢$44), "", 'Data Entry'!$¢$44)</f>
      </c>
      <c r="CU44">
        <f>IF(ISBLANK('Data Entry'!$£$44), "", 'Data Entry'!$£$44)</f>
      </c>
      <c r="CV44">
        <f>IF(ISBLANK('Data Entry'!$¤$44), "", 'Data Entry'!$¤$44)</f>
      </c>
      <c r="CW44">
        <f>IF(ISBLANK('Data Entry'!$¥$44), "", 'Data Entry'!$¥$44)</f>
      </c>
      <c r="CX44">
        <f>IF(ISBLANK('Data Entry'!$¦$44), "", 'Data Entry'!$¦$44)</f>
      </c>
      <c r="CY44">
        <f>IF(ISBLANK('Data Entry'!$§$44), "", 'Data Entry'!$§$44)</f>
      </c>
      <c r="CZ44">
        <f>IF(ISBLANK('Data Entry'!$¨$44), "", 'Data Entry'!$¨$44)</f>
      </c>
      <c r="DA44">
        <f>IF(ISBLANK('Data Entry'!$©$44), "", 'Data Entry'!$©$44)</f>
      </c>
      <c r="DB44">
        <f>IF(ISBLANK('Data Entry'!$ª$44), "", 'Data Entry'!$ª$44)</f>
      </c>
      <c r="DC44">
        <f>IF(ISBLANK('Data Entry'!$«$44), "", 'Data Entry'!$«$44)</f>
      </c>
      <c r="DD44">
        <f>IF(ISBLANK('Data Entry'!$¬$44), "", 'Data Entry'!$¬$44)</f>
      </c>
      <c r="DE44">
        <f>IF(ISBLANK('Data Entry'!$­$44), "", 'Data Entry'!$­$44)</f>
      </c>
      <c r="DF44">
        <f>IF(ISBLANK('Data Entry'!$®$44), "", 'Data Entry'!$®$44)</f>
      </c>
      <c r="DG44">
        <f>IF(ISBLANK('Data Entry'!$¯$44), "", 'Data Entry'!$¯$44)</f>
      </c>
      <c r="DH44">
        <f>IF(ISBLANK('Data Entry'!$°$44), "", 'Data Entry'!$°$44)</f>
      </c>
      <c r="DI44">
        <f>IF(ISBLANK('Data Entry'!$±$44), "", 'Data Entry'!$±$44)</f>
      </c>
      <c r="DJ44">
        <f>IF(ISBLANK('Data Entry'!$²$44), "", 'Data Entry'!$²$44)</f>
      </c>
      <c r="DK44">
        <f>IF(ISBLANK('Data Entry'!$³$44), "", 'Data Entry'!$³$44)</f>
      </c>
      <c r="DL44">
        <f>IF(ISBLANK('Data Entry'!$´$44), "", 'Data Entry'!$´$44)</f>
      </c>
      <c r="DM44">
        <f>IF(ISBLANK('Data Entry'!$µ$44), "", 'Data Entry'!$µ$44)</f>
      </c>
      <c r="DN44">
        <f>IF(ISBLANK('Data Entry'!$¶$44), "", 'Data Entry'!$¶$44)</f>
      </c>
      <c r="DO44">
        <f>IF(ISBLANK('Data Entry'!$·$44), "", 'Data Entry'!$·$44)</f>
      </c>
      <c r="DP44">
        <f>IF(ISBLANK('Data Entry'!$¸$44), "", 'Data Entry'!$¸$44)</f>
      </c>
      <c r="DQ44">
        <f>IF(ISBLANK('Data Entry'!$¹$44), "", 'Data Entry'!$¹$44)</f>
      </c>
      <c r="DR44">
        <f>IF(ISBLANK('Data Entry'!$º$44), "", 'Data Entry'!$º$44)</f>
      </c>
      <c r="DS44">
        <f>IF(ISBLANK('Data Entry'!$»$44), "", 'Data Entry'!$»$44)</f>
      </c>
      <c r="DT44">
        <f>IF(ISBLANK('Data Entry'!$¼$44), "", 'Data Entry'!$¼$44)</f>
      </c>
      <c r="DU44">
        <f>IF(ISBLANK('Data Entry'!$½$44), "", 'Data Entry'!$½$44)</f>
      </c>
      <c r="DV44">
        <f>IF(ISBLANK('Data Entry'!$¾$44), "", 'Data Entry'!$¾$44)</f>
      </c>
      <c r="DW44">
        <f>IF(ISBLANK('Data Entry'!$¿$44), "", 'Data Entry'!$¿$44)</f>
      </c>
      <c r="DX44">
        <f>IF(ISBLANK('Data Entry'!$À$44), "", 'Data Entry'!$À$44)</f>
      </c>
      <c r="DY44">
        <f>IF(ISBLANK('Data Entry'!$Á$44), "", 'Data Entry'!$Á$44)</f>
      </c>
      <c r="DZ44">
        <f>IF(ISBLANK('Data Entry'!$Â$44), "", 'Data Entry'!$Â$44)</f>
      </c>
      <c r="EA44">
        <f>IF(ISBLANK('Data Entry'!$Ã$44), "", 'Data Entry'!$Ã$44)</f>
      </c>
      <c r="EB44">
        <f>IF(ISBLANK('Data Entry'!$Ä$44), "", 'Data Entry'!$Ä$44)</f>
      </c>
      <c r="EC44">
        <f>IF(ISBLANK('Data Entry'!$Å$44), "", 'Data Entry'!$Å$44)</f>
      </c>
      <c r="ED44">
        <f>IF(ISBLANK('Data Entry'!$Æ$44), "", 'Data Entry'!$Æ$44)</f>
      </c>
      <c r="EE44">
        <f>IF(ISBLANK('Data Entry'!$Ç$44), "", 'Data Entry'!$Ç$44)</f>
      </c>
      <c r="EF44">
        <f>IF(ISBLANK('Data Entry'!$È$44), "", 'Data Entry'!$È$44)</f>
      </c>
      <c r="EG44">
        <f>IF(ISBLANK('Data Entry'!$É$44), "", 'Data Entry'!$É$44)</f>
      </c>
      <c r="EH44">
        <f>IF(ISBLANK('Data Entry'!$Ê$44), "", 'Data Entry'!$Ê$44)</f>
      </c>
      <c r="EI44">
        <f>IF(ISBLANK('Data Entry'!$Ë$44), "", 'Data Entry'!$Ë$44)</f>
      </c>
      <c r="EJ44">
        <f>IF(ISBLANK('Data Entry'!$Ì$44), "", 'Data Entry'!$Ì$44)</f>
      </c>
      <c r="EK44">
        <f>IF(ISBLANK('Data Entry'!$Í$44), "", 'Data Entry'!$Í$44)</f>
      </c>
      <c r="EL44">
        <f>IF(ISBLANK('Data Entry'!$Î$44), "", 'Data Entry'!$Î$44)</f>
      </c>
      <c r="EM44">
        <f>IF(ISBLANK('Data Entry'!$Ï$44), "", 'Data Entry'!$Ï$44)</f>
      </c>
      <c r="EN44">
        <f>IF(ISBLANK('Data Entry'!$Ð$44), "", 'Data Entry'!$Ð$44)</f>
      </c>
      <c r="EO44">
        <f>IF(ISBLANK('Data Entry'!$Ñ$44), "", 'Data Entry'!$Ñ$44)</f>
      </c>
      <c r="EP44">
        <f>IF(ISBLANK('Data Entry'!$Ò$44), "", 'Data Entry'!$Ò$44)</f>
      </c>
      <c r="EQ44">
        <f>IF(ISBLANK('Data Entry'!$Ó$44), "", 'Data Entry'!$Ó$44)</f>
      </c>
      <c r="ER44">
        <f>IF(ISBLANK('Data Entry'!$Ô$44), "", 'Data Entry'!$Ô$44)</f>
      </c>
      <c r="ES44">
        <f>IF(ISBLANK('Data Entry'!$Õ$44), "", 'Data Entry'!$Õ$44)</f>
      </c>
      <c r="ET44">
        <f>IF(ISBLANK('Data Entry'!$Ö$44), "", 'Data Entry'!$Ö$44)</f>
      </c>
      <c r="EU44">
        <f>IF(ISBLANK('Data Entry'!$×$44), "", 'Data Entry'!$×$44)</f>
      </c>
      <c r="EV44">
        <f>IF(ISBLANK('Data Entry'!$Ø$44), "", 'Data Entry'!$Ø$44)</f>
      </c>
      <c r="EW44">
        <f>IF(ISBLANK('Data Entry'!$Ù$44), "", 'Data Entry'!$Ù$44)</f>
      </c>
      <c r="EX44">
        <f>IF(ISBLANK('Data Entry'!$Ú$44), "", 'Data Entry'!$Ú$44)</f>
      </c>
      <c r="EY44">
        <f>IF(ISBLANK('Data Entry'!$Û$44), "", 'Data Entry'!$Û$44)</f>
      </c>
      <c r="EZ44">
        <f>IF(ISBLANK('Data Entry'!$Ü$44), "", 'Data Entry'!$Ü$44)</f>
      </c>
      <c r="FA44">
        <f>IF(ISBLANK('Data Entry'!$Ý$44), "", 'Data Entry'!$Ý$44)</f>
      </c>
      <c r="FB44">
        <f>IF(ISBLANK('Data Entry'!$Þ$44), "", 'Data Entry'!$Þ$44)</f>
      </c>
      <c r="FC44">
        <f>IF(ISBLANK('Data Entry'!$ß$44), "", 'Data Entry'!$ß$44)</f>
      </c>
      <c r="FD44">
        <f>IF(ISBLANK('Data Entry'!$à$44), "", 'Data Entry'!$à$44)</f>
      </c>
      <c r="FE44">
        <f>IF(ISBLANK('Data Entry'!$á$44), "", 'Data Entry'!$á$44)</f>
      </c>
      <c r="FF44">
        <f>IF(ISBLANK('Data Entry'!$â$44), "", 'Data Entry'!$â$44)</f>
      </c>
      <c r="FG44">
        <f>IF(ISBLANK('Data Entry'!$ã$44), "", 'Data Entry'!$ã$44)</f>
      </c>
      <c r="FH44">
        <f>IF(ISBLANK('Data Entry'!$ä$44), "", 'Data Entry'!$ä$44)</f>
      </c>
      <c r="FI44">
        <f>IF(ISBLANK('Data Entry'!$å$44), "", 'Data Entry'!$å$44)</f>
      </c>
      <c r="FJ44">
        <f>IF(ISBLANK('Data Entry'!$æ$44), "", 'Data Entry'!$æ$44)</f>
      </c>
      <c r="FK44">
        <f>IF(ISBLANK('Data Entry'!$ç$44), "", 'Data Entry'!$ç$44)</f>
      </c>
      <c r="FL44">
        <f>IF(ISBLANK('Data Entry'!$è$44), "", 'Data Entry'!$è$44)</f>
      </c>
      <c r="FM44">
        <f>IF(ISBLANK('Data Entry'!$é$44), "", 'Data Entry'!$é$44)</f>
      </c>
      <c r="FN44">
        <f>IF(ISBLANK('Data Entry'!$ê$44), "", 'Data Entry'!$ê$44)</f>
      </c>
      <c r="FO44">
        <f>IF(ISBLANK('Data Entry'!$ë$44), "", 'Data Entry'!$ë$44)</f>
      </c>
      <c r="FP44">
        <f>IF(ISBLANK('Data Entry'!$ì$44), "", 'Data Entry'!$ì$44)</f>
      </c>
      <c r="FQ44">
        <f>IF(ISBLANK('Data Entry'!$í$44), "", 'Data Entry'!$í$44)</f>
      </c>
      <c r="FR44">
        <f>IF(ISBLANK('Data Entry'!$î$44), "", 'Data Entry'!$î$44)</f>
      </c>
      <c r="FS44">
        <f>IF(ISBLANK('Data Entry'!$ï$44), "", 'Data Entry'!$ï$44)</f>
      </c>
      <c r="FT44">
        <f>IF(ISBLANK('Data Entry'!$ð$44), "", 'Data Entry'!$ð$44)</f>
      </c>
      <c r="FU44">
        <f>IF(ISBLANK('Data Entry'!$ñ$44), "", 'Data Entry'!$ñ$44)</f>
      </c>
      <c r="FV44">
        <f>IF(ISBLANK('Data Entry'!$ò$44), "", 'Data Entry'!$ò$44)</f>
      </c>
      <c r="FW44">
        <f>IF(ISBLANK('Data Entry'!$ó$44), "", 'Data Entry'!$ó$44)</f>
      </c>
      <c r="FX44">
        <f>IF(ISBLANK('Data Entry'!$ô$44), "", 'Data Entry'!$ô$44)</f>
      </c>
      <c r="FY44">
        <f>IF(ISBLANK('Data Entry'!$õ$44), "", 'Data Entry'!$õ$44)</f>
      </c>
      <c r="FZ44">
        <f>IF(ISBLANK('Data Entry'!$ö$44), "", 'Data Entry'!$ö$44)</f>
      </c>
      <c r="GA44">
        <f>IF(ISBLANK('Data Entry'!$÷$44), "", 'Data Entry'!$÷$44)</f>
      </c>
      <c r="GB44">
        <f>IF(ISBLANK('Data Entry'!$ø$44), "", 'Data Entry'!$ø$44)</f>
      </c>
      <c r="GC44">
        <f>IF(ISBLANK('Data Entry'!$ù$44), "", 'Data Entry'!$ù$44)</f>
      </c>
      <c r="GD44">
        <f>IF(ISBLANK('Data Entry'!$ú$44), "", 'Data Entry'!$ú$44)</f>
      </c>
      <c r="GE44">
        <f>IF(ISBLANK('Data Entry'!$û$44), "", 'Data Entry'!$û$44)</f>
      </c>
      <c r="GF44">
        <f>IF(ISBLANK('Data Entry'!$ü$44), "", 'Data Entry'!$ü$44)</f>
      </c>
      <c r="GG44">
        <f>IF(ISBLANK('Data Entry'!$ý$44), "", 'Data Entry'!$ý$44)</f>
      </c>
      <c r="GH44">
        <f>IF(ISBLANK('Data Entry'!$þ$44), "", 'Data Entry'!$þ$44)</f>
      </c>
      <c r="GI44">
        <f>IF(ISBLANK('Data Entry'!$ÿ$44), "", 'Data Entry'!$ÿ$44)</f>
      </c>
      <c r="GJ44">
        <f>IF(ISBLANK('Data Entry'!$Ā$44), "", 'Data Entry'!$Ā$44)</f>
      </c>
      <c r="GK44">
        <f>IF(ISBLANK('Data Entry'!$ā$44), "", 'Data Entry'!$ā$44)</f>
      </c>
      <c r="GL44">
        <f>IF(ISBLANK('Data Entry'!$Ă$44), "", 'Data Entry'!$Ă$44)</f>
      </c>
      <c r="GM44">
        <f>IF(ISBLANK('Data Entry'!$ă$44), "", 'Data Entry'!$ă$44)</f>
      </c>
      <c r="GN44">
        <f>IF(ISBLANK('Data Entry'!$Ą$44), "", 'Data Entry'!$Ą$44)</f>
      </c>
      <c r="GO44">
        <f>IF(ISBLANK('Data Entry'!$ą$44), "", 'Data Entry'!$ą$44)</f>
      </c>
      <c r="GP44">
        <f>IF(ISBLANK('Data Entry'!$Ć$44), "", 'Data Entry'!$Ć$44)</f>
      </c>
      <c r="GQ44">
        <f>IF(ISBLANK('Data Entry'!$ć$44), "", 'Data Entry'!$ć$44)</f>
      </c>
      <c r="GR44">
        <f>IF(ISBLANK('Data Entry'!$Ĉ$44), "", 'Data Entry'!$Ĉ$44)</f>
      </c>
      <c r="GS44">
        <f>IF(ISBLANK('Data Entry'!$ĉ$44), "", 'Data Entry'!$ĉ$44)</f>
      </c>
      <c r="GT44">
        <f>IF(ISBLANK('Data Entry'!$Ċ$44), "", 'Data Entry'!$Ċ$44)</f>
      </c>
      <c r="GU44">
        <f>IF(ISBLANK('Data Entry'!$ċ$44), "", 'Data Entry'!$ċ$44)</f>
      </c>
      <c r="GV44">
        <f>IF(ISBLANK('Data Entry'!$Č$44), "", 'Data Entry'!$Č$44)</f>
      </c>
      <c r="GW44">
        <f>IF(ISBLANK('Data Entry'!$č$44), "", 'Data Entry'!$č$44)</f>
      </c>
      <c r="GX44">
        <f>IF(ISBLANK('Data Entry'!$Ď$44), "", 'Data Entry'!$Ď$44)</f>
      </c>
      <c r="GY44">
        <f>IF(ISBLANK('Data Entry'!$ď$44), "", 'Data Entry'!$ď$44)</f>
      </c>
      <c r="GZ44">
        <f>IF(ISBLANK('Data Entry'!$Đ$44), "", 'Data Entry'!$Đ$44)</f>
      </c>
      <c r="HA44">
        <f>IF(ISBLANK('Data Entry'!$đ$44), "", 'Data Entry'!$đ$44)</f>
      </c>
      <c r="HB44">
        <f>IF(ISBLANK('Data Entry'!$Ē$44), "", 'Data Entry'!$Ē$44)</f>
      </c>
      <c r="HC44">
        <f>IF(ISBLANK('Data Entry'!$ē$44), "", 'Data Entry'!$ē$44)</f>
      </c>
      <c r="HD44">
        <f>IF(ISBLANK('Data Entry'!$Ĕ$44), "", 'Data Entry'!$Ĕ$44)</f>
      </c>
      <c r="HE44">
        <f>IF(ISBLANK('Data Entry'!$ĕ$44), "", 'Data Entry'!$ĕ$44)</f>
      </c>
      <c r="HF44">
        <f>IF(ISBLANK('Data Entry'!$Ė$44), "", 'Data Entry'!$Ė$44)</f>
      </c>
      <c r="HG44">
        <f>IF(ISBLANK('Data Entry'!$ė$44), "", 'Data Entry'!$ė$44)</f>
      </c>
      <c r="HH44">
        <f>IF(ISBLANK('Data Entry'!$Ę$44), "", 'Data Entry'!$Ę$44)</f>
      </c>
      <c r="HI44">
        <f>IF(ISBLANK('Data Entry'!$ę$44), "", 'Data Entry'!$ę$44)</f>
      </c>
      <c r="HJ44">
        <f>IF(ISBLANK('Data Entry'!$Ě$44), "", 'Data Entry'!$Ě$44)</f>
      </c>
      <c r="HK44">
        <f>IF(ISBLANK('Data Entry'!$ě$44), "", 'Data Entry'!$ě$44)</f>
      </c>
      <c r="HL44">
        <f>IF(ISBLANK('Data Entry'!$Ĝ$44), "", 'Data Entry'!$Ĝ$44)</f>
      </c>
      <c r="HM44">
        <f>IF(ISBLANK('Data Entry'!$ĝ$44), "", 'Data Entry'!$ĝ$44)</f>
      </c>
      <c r="HN44">
        <f>IF(ISBLANK('Data Entry'!$Ğ$44), "", 'Data Entry'!$Ğ$44)</f>
      </c>
      <c r="HO44">
        <f>IF(ISBLANK('Data Entry'!$ğ$44), "", 'Data Entry'!$ğ$44)</f>
      </c>
      <c r="HP44">
        <f>IF(ISBLANK('Data Entry'!$Ġ$44), "", 'Data Entry'!$Ġ$44)</f>
      </c>
      <c r="HQ44">
        <f>IF(ISBLANK('Data Entry'!$ġ$44), "", 'Data Entry'!$ġ$44)</f>
      </c>
      <c r="HR44">
        <f>IF(ISBLANK('Data Entry'!$Ģ$44), "", 'Data Entry'!$Ģ$44)</f>
      </c>
      <c r="HS44">
        <f>IF(ISBLANK('Data Entry'!$ģ$44), "", 'Data Entry'!$ģ$44)</f>
      </c>
      <c r="HT44">
        <f>IF(ISBLANK('Data Entry'!$Ĥ$44), "", 'Data Entry'!$Ĥ$44)</f>
      </c>
      <c r="HU44">
        <f>IF(ISBLANK('Data Entry'!$ĥ$44), "", 'Data Entry'!$ĥ$44)</f>
      </c>
      <c r="HV44">
        <f>IF(ISBLANK('Data Entry'!$Ħ$44), "", 'Data Entry'!$Ħ$44)</f>
      </c>
      <c r="HW44">
        <f>IF(ISBLANK('Data Entry'!$ħ$44), "", 'Data Entry'!$ħ$44)</f>
      </c>
      <c r="HX44">
        <f>IF(ISBLANK('Data Entry'!$Ĩ$44), "", 'Data Entry'!$Ĩ$44)</f>
      </c>
      <c r="HY44">
        <f>IF(ISBLANK('Data Entry'!$ĩ$44), "", 'Data Entry'!$ĩ$44)</f>
      </c>
      <c r="HZ44">
        <f>IF(ISBLANK('Data Entry'!$Ī$44), "", 'Data Entry'!$Ī$44)</f>
      </c>
      <c r="IA44">
        <f>IF(ISBLANK('Data Entry'!$ī$44), "", 'Data Entry'!$ī$44)</f>
      </c>
      <c r="IB44">
        <f>IF(ISBLANK('Data Entry'!$Ĭ$44), "", 'Data Entry'!$Ĭ$44)</f>
      </c>
      <c r="IC44">
        <f>IF(ISBLANK('Data Entry'!$ĭ$44), "", 'Data Entry'!$ĭ$44)</f>
      </c>
      <c r="ID44">
        <f>IF(ISBLANK('Data Entry'!$Į$44), "", 'Data Entry'!$Į$44)</f>
      </c>
      <c r="IE44">
        <f>IF(ISBLANK('Data Entry'!$į$44), "", 'Data Entry'!$į$44)</f>
      </c>
      <c r="IF44">
        <f>IF(ISBLANK('Data Entry'!$İ$44), "", 'Data Entry'!$İ$44)</f>
      </c>
      <c r="IG44">
        <f>IF(ISBLANK('Data Entry'!$ı$44), "", 'Data Entry'!$ı$44)</f>
      </c>
      <c r="IH44">
        <f>IF(ISBLANK('Data Entry'!$Ĳ$44), "", 'Data Entry'!$Ĳ$44)</f>
      </c>
      <c r="II44">
        <f>IF(ISBLANK('Data Entry'!$ĳ$44), "", 'Data Entry'!$ĳ$44)</f>
      </c>
      <c r="IJ44">
        <f>IF(ISBLANK('Data Entry'!$Ĵ$44), "", 'Data Entry'!$Ĵ$44)</f>
      </c>
      <c r="IK44">
        <f>IF(ISBLANK('Data Entry'!$ĵ$44), "", 'Data Entry'!$ĵ$44)</f>
      </c>
      <c r="IL44">
        <f>IF(ISBLANK('Data Entry'!$Ķ$44), "", 'Data Entry'!$Ķ$44)</f>
      </c>
      <c r="IM44">
        <f>IF(ISBLANK('Data Entry'!$ķ$44), "", 'Data Entry'!$ķ$44)</f>
      </c>
      <c r="IN44">
        <f>IF(ISBLANK('Data Entry'!$ĸ$44), "", 'Data Entry'!$ĸ$44)</f>
      </c>
      <c r="IO44">
        <f>IF(ISBLANK('Data Entry'!$Ĺ$44), "", 'Data Entry'!$Ĺ$44)</f>
      </c>
      <c r="IP44">
        <f>IF(ISBLANK('Data Entry'!$ĺ$44), "", 'Data Entry'!$ĺ$44)</f>
      </c>
      <c r="IQ44">
        <f>IF(ISBLANK('Data Entry'!$Ļ$44), "", 'Data Entry'!$Ļ$44)</f>
      </c>
      <c r="IR44">
        <f>IF(ISBLANK('Data Entry'!$ļ$44), "", 'Data Entry'!$ļ$44)</f>
      </c>
      <c r="IS44">
        <f>IF(ISBLANK('Data Entry'!$Ľ$44), "", 'Data Entry'!$Ľ$44)</f>
      </c>
      <c r="IT44">
        <f>IF(ISBLANK('Data Entry'!$ľ$44), "", 'Data Entry'!$ľ$44)</f>
      </c>
    </row>
    <row r="45" spans="1:254" x14ac:dyDescent="0.25">
      <c r="A45">
        <f>IF(ISBLANK('Data Entry'!$A$45), "", 'Data Entry'!$A$45)</f>
      </c>
      <c r="B45">
        <f>IF(ISBLANK('Data Entry'!$B$45), "", 'Data Entry'!$B$45)</f>
      </c>
      <c r="C45">
        <f>IF(ISBLANK('Data Entry'!$C$45), "", 'Data Entry'!$C$45)</f>
      </c>
      <c r="D45">
        <f>IF(ISBLANK('Data Entry'!$D$45), "", 'Data Entry'!$D$45)</f>
      </c>
      <c r="E45">
        <f>IF(ISBLANK('Data Entry'!$E$45), "", 'Data Entry'!$E$45)</f>
      </c>
      <c r="F45">
        <f>IF(ISBLANK('Data Entry'!$F$45), "", 'Data Entry'!$F$45)</f>
      </c>
      <c r="G45">
        <f>IF(ISBLANK('Data Entry'!$G$45), "", 'Data Entry'!$G$45)</f>
      </c>
      <c r="H45">
        <f>IF(ISBLANK('Data Entry'!$H$45), "", 'Data Entry'!$H$45)</f>
      </c>
      <c r="I45">
        <f>IF(ISBLANK('Data Entry'!$I$45), "", 'Data Entry'!$I$45)</f>
      </c>
      <c r="J45">
        <f>IF(ISBLANK('Data Entry'!$J$45), "", 'Data Entry'!$J$45)</f>
      </c>
      <c r="K45">
        <f>IF(ISBLANK('Data Entry'!$K$45), "", 'Data Entry'!$K$45)</f>
      </c>
      <c r="L45">
        <f>IF(ISBLANK('Data Entry'!$L$45), "", 'Data Entry'!$L$45)</f>
      </c>
      <c r="M45">
        <f>IF(ISBLANK('Data Entry'!$M$45), "", 'Data Entry'!$M$45)</f>
      </c>
      <c r="N45">
        <f>IF(ISBLANK('Data Entry'!$N$45), "", 'Data Entry'!$N$45)</f>
      </c>
      <c r="O45">
        <f>IF(ISBLANK('Data Entry'!$O$45), "", 'Data Entry'!$O$45)</f>
      </c>
      <c r="P45">
        <f>IF(ISBLANK('Data Entry'!$P$45), "", 'Data Entry'!$P$45)</f>
      </c>
      <c r="Q45">
        <f>IF(ISBLANK('Data Entry'!$Q$45), "", 'Data Entry'!$Q$45)</f>
      </c>
      <c r="R45">
        <f>IF(ISBLANK('Data Entry'!$R$45), "", 'Data Entry'!$R$45)</f>
      </c>
      <c r="S45">
        <f>IF(ISBLANK('Data Entry'!$S$45), "", 'Data Entry'!$S$45)</f>
      </c>
      <c r="T45">
        <f>IF(ISBLANK('Data Entry'!$T$45), "", 'Data Entry'!$T$45)</f>
      </c>
      <c r="U45">
        <f>IF(ISBLANK('Data Entry'!$U$45), "", 'Data Entry'!$U$45)</f>
      </c>
      <c r="V45">
        <f>IF(ISBLANK('Data Entry'!$V$45), "", 'Data Entry'!$V$45)</f>
      </c>
      <c r="W45">
        <f>IF(ISBLANK('Data Entry'!$W$45), "", 'Data Entry'!$W$45)</f>
      </c>
      <c r="X45">
        <f>IF(ISBLANK('Data Entry'!$X$45), "", 'Data Entry'!$X$45)</f>
      </c>
      <c r="Y45">
        <f>IF(ISBLANK('Data Entry'!$Y$45), "", 'Data Entry'!$Y$45)</f>
      </c>
      <c r="Z45">
        <f>IF(ISBLANK('Data Entry'!$Z$45), "", 'Data Entry'!$Z$45)</f>
      </c>
      <c r="AA45">
        <f>IF(ISBLANK('Data Entry'!$[$45), "", 'Data Entry'!$[$45)</f>
      </c>
      <c r="AB45">
        <f>IF(ISBLANK('Data Entry'!$\$45), "", 'Data Entry'!$\$45)</f>
      </c>
      <c r="AC45">
        <f>IF(ISBLANK('Data Entry'!$]$45), "", 'Data Entry'!$]$45)</f>
      </c>
      <c r="AD45">
        <f>IF(ISBLANK('Data Entry'!$^$45), "", 'Data Entry'!$^$45)</f>
      </c>
      <c r="AE45">
        <f>IF(ISBLANK('Data Entry'!$_$45), "", 'Data Entry'!$_$45)</f>
      </c>
      <c r="AF45">
        <f>IF(ISBLANK('Data Entry'!$`$45), "", 'Data Entry'!$`$45)</f>
      </c>
      <c r="AG45">
        <f>IF(ISBLANK('Data Entry'!$a$45), "", 'Data Entry'!$a$45)</f>
      </c>
      <c r="AH45">
        <f>IF(ISBLANK('Data Entry'!$b$45), "", 'Data Entry'!$b$45)</f>
      </c>
      <c r="AI45">
        <f>IF(ISBLANK('Data Entry'!$c$45), "", 'Data Entry'!$c$45)</f>
      </c>
      <c r="AJ45">
        <f>IF(ISBLANK('Data Entry'!$d$45), "", 'Data Entry'!$d$45)</f>
      </c>
      <c r="AK45">
        <f>IF(ISBLANK('Data Entry'!$e$45), "", 'Data Entry'!$e$45)</f>
      </c>
      <c r="AL45">
        <f>IF(ISBLANK('Data Entry'!$f$45), "", 'Data Entry'!$f$45)</f>
      </c>
      <c r="AM45">
        <f>IF(ISBLANK('Data Entry'!$g$45), "", 'Data Entry'!$g$45)</f>
      </c>
      <c r="AN45">
        <f>IF(ISBLANK('Data Entry'!$h$45), "", 'Data Entry'!$h$45)</f>
      </c>
      <c r="AO45">
        <f>IF(ISBLANK('Data Entry'!$i$45), "", 'Data Entry'!$i$45)</f>
      </c>
      <c r="AP45">
        <f>IF(ISBLANK('Data Entry'!$j$45), "", 'Data Entry'!$j$45)</f>
      </c>
      <c r="AQ45">
        <f>IF(ISBLANK('Data Entry'!$k$45), "", 'Data Entry'!$k$45)</f>
      </c>
      <c r="AR45">
        <f>IF(ISBLANK('Data Entry'!$l$45), "", 'Data Entry'!$l$45)</f>
      </c>
      <c r="AS45">
        <f>IF(ISBLANK('Data Entry'!$m$45), "", 'Data Entry'!$m$45)</f>
      </c>
      <c r="AT45">
        <f>IF(ISBLANK('Data Entry'!$n$45), "", 'Data Entry'!$n$45)</f>
      </c>
      <c r="AU45">
        <f>IF(ISBLANK('Data Entry'!$o$45), "", 'Data Entry'!$o$45)</f>
      </c>
      <c r="AV45">
        <f>IF(ISBLANK('Data Entry'!$p$45), "", 'Data Entry'!$p$45)</f>
      </c>
      <c r="AW45">
        <f>IF(ISBLANK('Data Entry'!$q$45), "", 'Data Entry'!$q$45)</f>
      </c>
      <c r="AX45">
        <f>IF(ISBLANK('Data Entry'!$r$45), "", 'Data Entry'!$r$45)</f>
      </c>
      <c r="AY45">
        <f>IF(ISBLANK('Data Entry'!$s$45), "", 'Data Entry'!$s$45)</f>
      </c>
      <c r="AZ45">
        <f>IF(ISBLANK('Data Entry'!$t$45), "", 'Data Entry'!$t$45)</f>
      </c>
      <c r="BA45">
        <f>IF(ISBLANK('Data Entry'!$u$45), "", 'Data Entry'!$u$45)</f>
      </c>
      <c r="BB45">
        <f>IF(ISBLANK('Data Entry'!$v$45), "", 'Data Entry'!$v$45)</f>
      </c>
      <c r="BC45">
        <f>IF(ISBLANK('Data Entry'!$w$45), "", 'Data Entry'!$w$45)</f>
      </c>
      <c r="BD45">
        <f>IF(ISBLANK('Data Entry'!$x$45), "", 'Data Entry'!$x$45)</f>
      </c>
      <c r="BE45">
        <f>IF(ISBLANK('Data Entry'!$y$45), "", 'Data Entry'!$y$45)</f>
      </c>
      <c r="BF45">
        <f>IF(ISBLANK('Data Entry'!$z$45), "", 'Data Entry'!$z$45)</f>
      </c>
      <c r="BG45">
        <f>IF(ISBLANK('Data Entry'!${$45), "", 'Data Entry'!${$45)</f>
      </c>
      <c r="BH45">
        <f>IF(ISBLANK('Data Entry'!$|$45), "", 'Data Entry'!$|$45)</f>
      </c>
      <c r="BI45">
        <f>IF(ISBLANK('Data Entry'!$}$45), "", 'Data Entry'!$}$45)</f>
      </c>
      <c r="BJ45">
        <f>IF(ISBLANK('Data Entry'!$~$45), "", 'Data Entry'!$~$45)</f>
      </c>
      <c r="BK45">
        <f>IF(ISBLANK('Data Entry'!$$45), "", 'Data Entry'!$$45)</f>
      </c>
      <c r="BL45">
        <f>IF(ISBLANK('Data Entry'!$$45), "", 'Data Entry'!$$45)</f>
      </c>
      <c r="BM45">
        <f>IF(ISBLANK('Data Entry'!$$45), "", 'Data Entry'!$$45)</f>
      </c>
      <c r="BN45">
        <f>IF(ISBLANK('Data Entry'!$$45), "", 'Data Entry'!$$45)</f>
      </c>
      <c r="BO45">
        <f>IF(ISBLANK('Data Entry'!$$45), "", 'Data Entry'!$$45)</f>
      </c>
      <c r="BP45">
        <f>IF(ISBLANK('Data Entry'!$$45), "", 'Data Entry'!$$45)</f>
      </c>
      <c r="BQ45">
        <f>IF(ISBLANK('Data Entry'!$$45), "", 'Data Entry'!$$45)</f>
      </c>
      <c r="BR45">
        <f>IF(ISBLANK('Data Entry'!$$45), "", 'Data Entry'!$$45)</f>
      </c>
      <c r="BS45">
        <f>IF(ISBLANK('Data Entry'!$$45), "", 'Data Entry'!$$45)</f>
      </c>
      <c r="BT45">
        <f>IF(ISBLANK('Data Entry'!$$45), "", 'Data Entry'!$$45)</f>
      </c>
      <c r="BU45">
        <f>IF(ISBLANK('Data Entry'!$$45), "", 'Data Entry'!$$45)</f>
      </c>
      <c r="BV45">
        <f>IF(ISBLANK('Data Entry'!$$45), "", 'Data Entry'!$$45)</f>
      </c>
      <c r="BW45">
        <f>IF(ISBLANK('Data Entry'!$$45), "", 'Data Entry'!$$45)</f>
      </c>
      <c r="BX45">
        <f>IF(ISBLANK('Data Entry'!$$45), "", 'Data Entry'!$$45)</f>
      </c>
      <c r="BY45">
        <f>IF(ISBLANK('Data Entry'!$$45), "", 'Data Entry'!$$45)</f>
      </c>
      <c r="BZ45">
        <f>IF(ISBLANK('Data Entry'!$$45), "", 'Data Entry'!$$45)</f>
      </c>
      <c r="CA45">
        <f>IF(ISBLANK('Data Entry'!$$45), "", 'Data Entry'!$$45)</f>
      </c>
      <c r="CB45">
        <f>IF(ISBLANK('Data Entry'!$$45), "", 'Data Entry'!$$45)</f>
      </c>
      <c r="CC45">
        <f>IF(ISBLANK('Data Entry'!$$45), "", 'Data Entry'!$$45)</f>
      </c>
      <c r="CD45">
        <f>IF(ISBLANK('Data Entry'!$$45), "", 'Data Entry'!$$45)</f>
      </c>
      <c r="CE45">
        <f>IF(ISBLANK('Data Entry'!$$45), "", 'Data Entry'!$$45)</f>
      </c>
      <c r="CF45">
        <f>IF(ISBLANK('Data Entry'!$$45), "", 'Data Entry'!$$45)</f>
      </c>
      <c r="CG45">
        <f>IF(ISBLANK('Data Entry'!$$45), "", 'Data Entry'!$$45)</f>
      </c>
      <c r="CH45">
        <f>IF(ISBLANK('Data Entry'!$$45), "", 'Data Entry'!$$45)</f>
      </c>
      <c r="CI45">
        <f>IF(ISBLANK('Data Entry'!$$45), "", 'Data Entry'!$$45)</f>
      </c>
      <c r="CJ45">
        <f>IF(ISBLANK('Data Entry'!$$45), "", 'Data Entry'!$$45)</f>
      </c>
      <c r="CK45">
        <f>IF(ISBLANK('Data Entry'!$$45), "", 'Data Entry'!$$45)</f>
      </c>
      <c r="CL45">
        <f>IF(ISBLANK('Data Entry'!$$45), "", 'Data Entry'!$$45)</f>
      </c>
      <c r="CM45">
        <f>IF(ISBLANK('Data Entry'!$$45), "", 'Data Entry'!$$45)</f>
      </c>
      <c r="CN45">
        <f>IF(ISBLANK('Data Entry'!$$45), "", 'Data Entry'!$$45)</f>
      </c>
      <c r="CO45">
        <f>IF(ISBLANK('Data Entry'!$$45), "", 'Data Entry'!$$45)</f>
      </c>
      <c r="CP45">
        <f>IF(ISBLANK('Data Entry'!$$45), "", 'Data Entry'!$$45)</f>
      </c>
      <c r="CQ45">
        <f>IF(ISBLANK('Data Entry'!$$45), "", 'Data Entry'!$$45)</f>
      </c>
      <c r="CR45">
        <f>IF(ISBLANK('Data Entry'!$ $45), "", 'Data Entry'!$ $45)</f>
      </c>
      <c r="CS45">
        <f>IF(ISBLANK('Data Entry'!$¡$45), "", 'Data Entry'!$¡$45)</f>
      </c>
      <c r="CT45">
        <f>IF(ISBLANK('Data Entry'!$¢$45), "", 'Data Entry'!$¢$45)</f>
      </c>
      <c r="CU45">
        <f>IF(ISBLANK('Data Entry'!$£$45), "", 'Data Entry'!$£$45)</f>
      </c>
      <c r="CV45">
        <f>IF(ISBLANK('Data Entry'!$¤$45), "", 'Data Entry'!$¤$45)</f>
      </c>
      <c r="CW45">
        <f>IF(ISBLANK('Data Entry'!$¥$45), "", 'Data Entry'!$¥$45)</f>
      </c>
      <c r="CX45">
        <f>IF(ISBLANK('Data Entry'!$¦$45), "", 'Data Entry'!$¦$45)</f>
      </c>
      <c r="CY45">
        <f>IF(ISBLANK('Data Entry'!$§$45), "", 'Data Entry'!$§$45)</f>
      </c>
      <c r="CZ45">
        <f>IF(ISBLANK('Data Entry'!$¨$45), "", 'Data Entry'!$¨$45)</f>
      </c>
      <c r="DA45">
        <f>IF(ISBLANK('Data Entry'!$©$45), "", 'Data Entry'!$©$45)</f>
      </c>
      <c r="DB45">
        <f>IF(ISBLANK('Data Entry'!$ª$45), "", 'Data Entry'!$ª$45)</f>
      </c>
      <c r="DC45">
        <f>IF(ISBLANK('Data Entry'!$«$45), "", 'Data Entry'!$«$45)</f>
      </c>
      <c r="DD45">
        <f>IF(ISBLANK('Data Entry'!$¬$45), "", 'Data Entry'!$¬$45)</f>
      </c>
      <c r="DE45">
        <f>IF(ISBLANK('Data Entry'!$­$45), "", 'Data Entry'!$­$45)</f>
      </c>
      <c r="DF45">
        <f>IF(ISBLANK('Data Entry'!$®$45), "", 'Data Entry'!$®$45)</f>
      </c>
      <c r="DG45">
        <f>IF(ISBLANK('Data Entry'!$¯$45), "", 'Data Entry'!$¯$45)</f>
      </c>
      <c r="DH45">
        <f>IF(ISBLANK('Data Entry'!$°$45), "", 'Data Entry'!$°$45)</f>
      </c>
      <c r="DI45">
        <f>IF(ISBLANK('Data Entry'!$±$45), "", 'Data Entry'!$±$45)</f>
      </c>
      <c r="DJ45">
        <f>IF(ISBLANK('Data Entry'!$²$45), "", 'Data Entry'!$²$45)</f>
      </c>
      <c r="DK45">
        <f>IF(ISBLANK('Data Entry'!$³$45), "", 'Data Entry'!$³$45)</f>
      </c>
      <c r="DL45">
        <f>IF(ISBLANK('Data Entry'!$´$45), "", 'Data Entry'!$´$45)</f>
      </c>
      <c r="DM45">
        <f>IF(ISBLANK('Data Entry'!$µ$45), "", 'Data Entry'!$µ$45)</f>
      </c>
      <c r="DN45">
        <f>IF(ISBLANK('Data Entry'!$¶$45), "", 'Data Entry'!$¶$45)</f>
      </c>
      <c r="DO45">
        <f>IF(ISBLANK('Data Entry'!$·$45), "", 'Data Entry'!$·$45)</f>
      </c>
      <c r="DP45">
        <f>IF(ISBLANK('Data Entry'!$¸$45), "", 'Data Entry'!$¸$45)</f>
      </c>
      <c r="DQ45">
        <f>IF(ISBLANK('Data Entry'!$¹$45), "", 'Data Entry'!$¹$45)</f>
      </c>
      <c r="DR45">
        <f>IF(ISBLANK('Data Entry'!$º$45), "", 'Data Entry'!$º$45)</f>
      </c>
      <c r="DS45">
        <f>IF(ISBLANK('Data Entry'!$»$45), "", 'Data Entry'!$»$45)</f>
      </c>
      <c r="DT45">
        <f>IF(ISBLANK('Data Entry'!$¼$45), "", 'Data Entry'!$¼$45)</f>
      </c>
      <c r="DU45">
        <f>IF(ISBLANK('Data Entry'!$½$45), "", 'Data Entry'!$½$45)</f>
      </c>
      <c r="DV45">
        <f>IF(ISBLANK('Data Entry'!$¾$45), "", 'Data Entry'!$¾$45)</f>
      </c>
      <c r="DW45">
        <f>IF(ISBLANK('Data Entry'!$¿$45), "", 'Data Entry'!$¿$45)</f>
      </c>
      <c r="DX45">
        <f>IF(ISBLANK('Data Entry'!$À$45), "", 'Data Entry'!$À$45)</f>
      </c>
      <c r="DY45">
        <f>IF(ISBLANK('Data Entry'!$Á$45), "", 'Data Entry'!$Á$45)</f>
      </c>
      <c r="DZ45">
        <f>IF(ISBLANK('Data Entry'!$Â$45), "", 'Data Entry'!$Â$45)</f>
      </c>
      <c r="EA45">
        <f>IF(ISBLANK('Data Entry'!$Ã$45), "", 'Data Entry'!$Ã$45)</f>
      </c>
      <c r="EB45">
        <f>IF(ISBLANK('Data Entry'!$Ä$45), "", 'Data Entry'!$Ä$45)</f>
      </c>
      <c r="EC45">
        <f>IF(ISBLANK('Data Entry'!$Å$45), "", 'Data Entry'!$Å$45)</f>
      </c>
      <c r="ED45">
        <f>IF(ISBLANK('Data Entry'!$Æ$45), "", 'Data Entry'!$Æ$45)</f>
      </c>
      <c r="EE45">
        <f>IF(ISBLANK('Data Entry'!$Ç$45), "", 'Data Entry'!$Ç$45)</f>
      </c>
      <c r="EF45">
        <f>IF(ISBLANK('Data Entry'!$È$45), "", 'Data Entry'!$È$45)</f>
      </c>
      <c r="EG45">
        <f>IF(ISBLANK('Data Entry'!$É$45), "", 'Data Entry'!$É$45)</f>
      </c>
      <c r="EH45">
        <f>IF(ISBLANK('Data Entry'!$Ê$45), "", 'Data Entry'!$Ê$45)</f>
      </c>
      <c r="EI45">
        <f>IF(ISBLANK('Data Entry'!$Ë$45), "", 'Data Entry'!$Ë$45)</f>
      </c>
      <c r="EJ45">
        <f>IF(ISBLANK('Data Entry'!$Ì$45), "", 'Data Entry'!$Ì$45)</f>
      </c>
      <c r="EK45">
        <f>IF(ISBLANK('Data Entry'!$Í$45), "", 'Data Entry'!$Í$45)</f>
      </c>
      <c r="EL45">
        <f>IF(ISBLANK('Data Entry'!$Î$45), "", 'Data Entry'!$Î$45)</f>
      </c>
      <c r="EM45">
        <f>IF(ISBLANK('Data Entry'!$Ï$45), "", 'Data Entry'!$Ï$45)</f>
      </c>
      <c r="EN45">
        <f>IF(ISBLANK('Data Entry'!$Ð$45), "", 'Data Entry'!$Ð$45)</f>
      </c>
      <c r="EO45">
        <f>IF(ISBLANK('Data Entry'!$Ñ$45), "", 'Data Entry'!$Ñ$45)</f>
      </c>
      <c r="EP45">
        <f>IF(ISBLANK('Data Entry'!$Ò$45), "", 'Data Entry'!$Ò$45)</f>
      </c>
      <c r="EQ45">
        <f>IF(ISBLANK('Data Entry'!$Ó$45), "", 'Data Entry'!$Ó$45)</f>
      </c>
      <c r="ER45">
        <f>IF(ISBLANK('Data Entry'!$Ô$45), "", 'Data Entry'!$Ô$45)</f>
      </c>
      <c r="ES45">
        <f>IF(ISBLANK('Data Entry'!$Õ$45), "", 'Data Entry'!$Õ$45)</f>
      </c>
      <c r="ET45">
        <f>IF(ISBLANK('Data Entry'!$Ö$45), "", 'Data Entry'!$Ö$45)</f>
      </c>
      <c r="EU45">
        <f>IF(ISBLANK('Data Entry'!$×$45), "", 'Data Entry'!$×$45)</f>
      </c>
      <c r="EV45">
        <f>IF(ISBLANK('Data Entry'!$Ø$45), "", 'Data Entry'!$Ø$45)</f>
      </c>
      <c r="EW45">
        <f>IF(ISBLANK('Data Entry'!$Ù$45), "", 'Data Entry'!$Ù$45)</f>
      </c>
      <c r="EX45">
        <f>IF(ISBLANK('Data Entry'!$Ú$45), "", 'Data Entry'!$Ú$45)</f>
      </c>
      <c r="EY45">
        <f>IF(ISBLANK('Data Entry'!$Û$45), "", 'Data Entry'!$Û$45)</f>
      </c>
      <c r="EZ45">
        <f>IF(ISBLANK('Data Entry'!$Ü$45), "", 'Data Entry'!$Ü$45)</f>
      </c>
      <c r="FA45">
        <f>IF(ISBLANK('Data Entry'!$Ý$45), "", 'Data Entry'!$Ý$45)</f>
      </c>
      <c r="FB45">
        <f>IF(ISBLANK('Data Entry'!$Þ$45), "", 'Data Entry'!$Þ$45)</f>
      </c>
      <c r="FC45">
        <f>IF(ISBLANK('Data Entry'!$ß$45), "", 'Data Entry'!$ß$45)</f>
      </c>
      <c r="FD45">
        <f>IF(ISBLANK('Data Entry'!$à$45), "", 'Data Entry'!$à$45)</f>
      </c>
      <c r="FE45">
        <f>IF(ISBLANK('Data Entry'!$á$45), "", 'Data Entry'!$á$45)</f>
      </c>
      <c r="FF45">
        <f>IF(ISBLANK('Data Entry'!$â$45), "", 'Data Entry'!$â$45)</f>
      </c>
      <c r="FG45">
        <f>IF(ISBLANK('Data Entry'!$ã$45), "", 'Data Entry'!$ã$45)</f>
      </c>
      <c r="FH45">
        <f>IF(ISBLANK('Data Entry'!$ä$45), "", 'Data Entry'!$ä$45)</f>
      </c>
      <c r="FI45">
        <f>IF(ISBLANK('Data Entry'!$å$45), "", 'Data Entry'!$å$45)</f>
      </c>
      <c r="FJ45">
        <f>IF(ISBLANK('Data Entry'!$æ$45), "", 'Data Entry'!$æ$45)</f>
      </c>
      <c r="FK45">
        <f>IF(ISBLANK('Data Entry'!$ç$45), "", 'Data Entry'!$ç$45)</f>
      </c>
      <c r="FL45">
        <f>IF(ISBLANK('Data Entry'!$è$45), "", 'Data Entry'!$è$45)</f>
      </c>
      <c r="FM45">
        <f>IF(ISBLANK('Data Entry'!$é$45), "", 'Data Entry'!$é$45)</f>
      </c>
      <c r="FN45">
        <f>IF(ISBLANK('Data Entry'!$ê$45), "", 'Data Entry'!$ê$45)</f>
      </c>
      <c r="FO45">
        <f>IF(ISBLANK('Data Entry'!$ë$45), "", 'Data Entry'!$ë$45)</f>
      </c>
      <c r="FP45">
        <f>IF(ISBLANK('Data Entry'!$ì$45), "", 'Data Entry'!$ì$45)</f>
      </c>
      <c r="FQ45">
        <f>IF(ISBLANK('Data Entry'!$í$45), "", 'Data Entry'!$í$45)</f>
      </c>
      <c r="FR45">
        <f>IF(ISBLANK('Data Entry'!$î$45), "", 'Data Entry'!$î$45)</f>
      </c>
      <c r="FS45">
        <f>IF(ISBLANK('Data Entry'!$ï$45), "", 'Data Entry'!$ï$45)</f>
      </c>
      <c r="FT45">
        <f>IF(ISBLANK('Data Entry'!$ð$45), "", 'Data Entry'!$ð$45)</f>
      </c>
      <c r="FU45">
        <f>IF(ISBLANK('Data Entry'!$ñ$45), "", 'Data Entry'!$ñ$45)</f>
      </c>
      <c r="FV45">
        <f>IF(ISBLANK('Data Entry'!$ò$45), "", 'Data Entry'!$ò$45)</f>
      </c>
      <c r="FW45">
        <f>IF(ISBLANK('Data Entry'!$ó$45), "", 'Data Entry'!$ó$45)</f>
      </c>
      <c r="FX45">
        <f>IF(ISBLANK('Data Entry'!$ô$45), "", 'Data Entry'!$ô$45)</f>
      </c>
      <c r="FY45">
        <f>IF(ISBLANK('Data Entry'!$õ$45), "", 'Data Entry'!$õ$45)</f>
      </c>
      <c r="FZ45">
        <f>IF(ISBLANK('Data Entry'!$ö$45), "", 'Data Entry'!$ö$45)</f>
      </c>
      <c r="GA45">
        <f>IF(ISBLANK('Data Entry'!$÷$45), "", 'Data Entry'!$÷$45)</f>
      </c>
      <c r="GB45">
        <f>IF(ISBLANK('Data Entry'!$ø$45), "", 'Data Entry'!$ø$45)</f>
      </c>
      <c r="GC45">
        <f>IF(ISBLANK('Data Entry'!$ù$45), "", 'Data Entry'!$ù$45)</f>
      </c>
      <c r="GD45">
        <f>IF(ISBLANK('Data Entry'!$ú$45), "", 'Data Entry'!$ú$45)</f>
      </c>
      <c r="GE45">
        <f>IF(ISBLANK('Data Entry'!$û$45), "", 'Data Entry'!$û$45)</f>
      </c>
      <c r="GF45">
        <f>IF(ISBLANK('Data Entry'!$ü$45), "", 'Data Entry'!$ü$45)</f>
      </c>
      <c r="GG45">
        <f>IF(ISBLANK('Data Entry'!$ý$45), "", 'Data Entry'!$ý$45)</f>
      </c>
      <c r="GH45">
        <f>IF(ISBLANK('Data Entry'!$þ$45), "", 'Data Entry'!$þ$45)</f>
      </c>
      <c r="GI45">
        <f>IF(ISBLANK('Data Entry'!$ÿ$45), "", 'Data Entry'!$ÿ$45)</f>
      </c>
      <c r="GJ45">
        <f>IF(ISBLANK('Data Entry'!$Ā$45), "", 'Data Entry'!$Ā$45)</f>
      </c>
      <c r="GK45">
        <f>IF(ISBLANK('Data Entry'!$ā$45), "", 'Data Entry'!$ā$45)</f>
      </c>
      <c r="GL45">
        <f>IF(ISBLANK('Data Entry'!$Ă$45), "", 'Data Entry'!$Ă$45)</f>
      </c>
      <c r="GM45">
        <f>IF(ISBLANK('Data Entry'!$ă$45), "", 'Data Entry'!$ă$45)</f>
      </c>
      <c r="GN45">
        <f>IF(ISBLANK('Data Entry'!$Ą$45), "", 'Data Entry'!$Ą$45)</f>
      </c>
      <c r="GO45">
        <f>IF(ISBLANK('Data Entry'!$ą$45), "", 'Data Entry'!$ą$45)</f>
      </c>
      <c r="GP45">
        <f>IF(ISBLANK('Data Entry'!$Ć$45), "", 'Data Entry'!$Ć$45)</f>
      </c>
      <c r="GQ45">
        <f>IF(ISBLANK('Data Entry'!$ć$45), "", 'Data Entry'!$ć$45)</f>
      </c>
      <c r="GR45">
        <f>IF(ISBLANK('Data Entry'!$Ĉ$45), "", 'Data Entry'!$Ĉ$45)</f>
      </c>
      <c r="GS45">
        <f>IF(ISBLANK('Data Entry'!$ĉ$45), "", 'Data Entry'!$ĉ$45)</f>
      </c>
      <c r="GT45">
        <f>IF(ISBLANK('Data Entry'!$Ċ$45), "", 'Data Entry'!$Ċ$45)</f>
      </c>
      <c r="GU45">
        <f>IF(ISBLANK('Data Entry'!$ċ$45), "", 'Data Entry'!$ċ$45)</f>
      </c>
      <c r="GV45">
        <f>IF(ISBLANK('Data Entry'!$Č$45), "", 'Data Entry'!$Č$45)</f>
      </c>
      <c r="GW45">
        <f>IF(ISBLANK('Data Entry'!$č$45), "", 'Data Entry'!$č$45)</f>
      </c>
      <c r="GX45">
        <f>IF(ISBLANK('Data Entry'!$Ď$45), "", 'Data Entry'!$Ď$45)</f>
      </c>
      <c r="GY45">
        <f>IF(ISBLANK('Data Entry'!$ď$45), "", 'Data Entry'!$ď$45)</f>
      </c>
      <c r="GZ45">
        <f>IF(ISBLANK('Data Entry'!$Đ$45), "", 'Data Entry'!$Đ$45)</f>
      </c>
      <c r="HA45">
        <f>IF(ISBLANK('Data Entry'!$đ$45), "", 'Data Entry'!$đ$45)</f>
      </c>
      <c r="HB45">
        <f>IF(ISBLANK('Data Entry'!$Ē$45), "", 'Data Entry'!$Ē$45)</f>
      </c>
      <c r="HC45">
        <f>IF(ISBLANK('Data Entry'!$ē$45), "", 'Data Entry'!$ē$45)</f>
      </c>
      <c r="HD45">
        <f>IF(ISBLANK('Data Entry'!$Ĕ$45), "", 'Data Entry'!$Ĕ$45)</f>
      </c>
      <c r="HE45">
        <f>IF(ISBLANK('Data Entry'!$ĕ$45), "", 'Data Entry'!$ĕ$45)</f>
      </c>
      <c r="HF45">
        <f>IF(ISBLANK('Data Entry'!$Ė$45), "", 'Data Entry'!$Ė$45)</f>
      </c>
      <c r="HG45">
        <f>IF(ISBLANK('Data Entry'!$ė$45), "", 'Data Entry'!$ė$45)</f>
      </c>
      <c r="HH45">
        <f>IF(ISBLANK('Data Entry'!$Ę$45), "", 'Data Entry'!$Ę$45)</f>
      </c>
      <c r="HI45">
        <f>IF(ISBLANK('Data Entry'!$ę$45), "", 'Data Entry'!$ę$45)</f>
      </c>
      <c r="HJ45">
        <f>IF(ISBLANK('Data Entry'!$Ě$45), "", 'Data Entry'!$Ě$45)</f>
      </c>
      <c r="HK45">
        <f>IF(ISBLANK('Data Entry'!$ě$45), "", 'Data Entry'!$ě$45)</f>
      </c>
      <c r="HL45">
        <f>IF(ISBLANK('Data Entry'!$Ĝ$45), "", 'Data Entry'!$Ĝ$45)</f>
      </c>
      <c r="HM45">
        <f>IF(ISBLANK('Data Entry'!$ĝ$45), "", 'Data Entry'!$ĝ$45)</f>
      </c>
      <c r="HN45">
        <f>IF(ISBLANK('Data Entry'!$Ğ$45), "", 'Data Entry'!$Ğ$45)</f>
      </c>
      <c r="HO45">
        <f>IF(ISBLANK('Data Entry'!$ğ$45), "", 'Data Entry'!$ğ$45)</f>
      </c>
      <c r="HP45">
        <f>IF(ISBLANK('Data Entry'!$Ġ$45), "", 'Data Entry'!$Ġ$45)</f>
      </c>
      <c r="HQ45">
        <f>IF(ISBLANK('Data Entry'!$ġ$45), "", 'Data Entry'!$ġ$45)</f>
      </c>
      <c r="HR45">
        <f>IF(ISBLANK('Data Entry'!$Ģ$45), "", 'Data Entry'!$Ģ$45)</f>
      </c>
      <c r="HS45">
        <f>IF(ISBLANK('Data Entry'!$ģ$45), "", 'Data Entry'!$ģ$45)</f>
      </c>
      <c r="HT45">
        <f>IF(ISBLANK('Data Entry'!$Ĥ$45), "", 'Data Entry'!$Ĥ$45)</f>
      </c>
      <c r="HU45">
        <f>IF(ISBLANK('Data Entry'!$ĥ$45), "", 'Data Entry'!$ĥ$45)</f>
      </c>
      <c r="HV45">
        <f>IF(ISBLANK('Data Entry'!$Ħ$45), "", 'Data Entry'!$Ħ$45)</f>
      </c>
      <c r="HW45">
        <f>IF(ISBLANK('Data Entry'!$ħ$45), "", 'Data Entry'!$ħ$45)</f>
      </c>
      <c r="HX45">
        <f>IF(ISBLANK('Data Entry'!$Ĩ$45), "", 'Data Entry'!$Ĩ$45)</f>
      </c>
      <c r="HY45">
        <f>IF(ISBLANK('Data Entry'!$ĩ$45), "", 'Data Entry'!$ĩ$45)</f>
      </c>
      <c r="HZ45">
        <f>IF(ISBLANK('Data Entry'!$Ī$45), "", 'Data Entry'!$Ī$45)</f>
      </c>
      <c r="IA45">
        <f>IF(ISBLANK('Data Entry'!$ī$45), "", 'Data Entry'!$ī$45)</f>
      </c>
      <c r="IB45">
        <f>IF(ISBLANK('Data Entry'!$Ĭ$45), "", 'Data Entry'!$Ĭ$45)</f>
      </c>
      <c r="IC45">
        <f>IF(ISBLANK('Data Entry'!$ĭ$45), "", 'Data Entry'!$ĭ$45)</f>
      </c>
      <c r="ID45">
        <f>IF(ISBLANK('Data Entry'!$Į$45), "", 'Data Entry'!$Į$45)</f>
      </c>
      <c r="IE45">
        <f>IF(ISBLANK('Data Entry'!$į$45), "", 'Data Entry'!$į$45)</f>
      </c>
      <c r="IF45">
        <f>IF(ISBLANK('Data Entry'!$İ$45), "", 'Data Entry'!$İ$45)</f>
      </c>
      <c r="IG45">
        <f>IF(ISBLANK('Data Entry'!$ı$45), "", 'Data Entry'!$ı$45)</f>
      </c>
      <c r="IH45">
        <f>IF(ISBLANK('Data Entry'!$Ĳ$45), "", 'Data Entry'!$Ĳ$45)</f>
      </c>
      <c r="II45">
        <f>IF(ISBLANK('Data Entry'!$ĳ$45), "", 'Data Entry'!$ĳ$45)</f>
      </c>
      <c r="IJ45">
        <f>IF(ISBLANK('Data Entry'!$Ĵ$45), "", 'Data Entry'!$Ĵ$45)</f>
      </c>
      <c r="IK45">
        <f>IF(ISBLANK('Data Entry'!$ĵ$45), "", 'Data Entry'!$ĵ$45)</f>
      </c>
      <c r="IL45">
        <f>IF(ISBLANK('Data Entry'!$Ķ$45), "", 'Data Entry'!$Ķ$45)</f>
      </c>
      <c r="IM45">
        <f>IF(ISBLANK('Data Entry'!$ķ$45), "", 'Data Entry'!$ķ$45)</f>
      </c>
      <c r="IN45">
        <f>IF(ISBLANK('Data Entry'!$ĸ$45), "", 'Data Entry'!$ĸ$45)</f>
      </c>
      <c r="IO45">
        <f>IF(ISBLANK('Data Entry'!$Ĺ$45), "", 'Data Entry'!$Ĺ$45)</f>
      </c>
      <c r="IP45">
        <f>IF(ISBLANK('Data Entry'!$ĺ$45), "", 'Data Entry'!$ĺ$45)</f>
      </c>
      <c r="IQ45">
        <f>IF(ISBLANK('Data Entry'!$Ļ$45), "", 'Data Entry'!$Ļ$45)</f>
      </c>
      <c r="IR45">
        <f>IF(ISBLANK('Data Entry'!$ļ$45), "", 'Data Entry'!$ļ$45)</f>
      </c>
      <c r="IS45">
        <f>IF(ISBLANK('Data Entry'!$Ľ$45), "", 'Data Entry'!$Ľ$45)</f>
      </c>
      <c r="IT45">
        <f>IF(ISBLANK('Data Entry'!$ľ$45), "", 'Data Entry'!$ľ$45)</f>
      </c>
    </row>
    <row r="46" spans="1:254" x14ac:dyDescent="0.25">
      <c r="A46">
        <f>IF(ISBLANK('Data Entry'!$A$46), "", 'Data Entry'!$A$46)</f>
      </c>
      <c r="B46">
        <f>IF(ISBLANK('Data Entry'!$B$46), "", 'Data Entry'!$B$46)</f>
      </c>
      <c r="C46">
        <f>IF(ISBLANK('Data Entry'!$C$46), "", 'Data Entry'!$C$46)</f>
      </c>
      <c r="D46">
        <f>IF(ISBLANK('Data Entry'!$D$46), "", 'Data Entry'!$D$46)</f>
      </c>
      <c r="E46">
        <f>IF(ISBLANK('Data Entry'!$E$46), "", 'Data Entry'!$E$46)</f>
      </c>
      <c r="F46">
        <f>IF(ISBLANK('Data Entry'!$F$46), "", 'Data Entry'!$F$46)</f>
      </c>
      <c r="G46">
        <f>IF(ISBLANK('Data Entry'!$G$46), "", 'Data Entry'!$G$46)</f>
      </c>
      <c r="H46">
        <f>IF(ISBLANK('Data Entry'!$H$46), "", 'Data Entry'!$H$46)</f>
      </c>
      <c r="I46">
        <f>IF(ISBLANK('Data Entry'!$I$46), "", 'Data Entry'!$I$46)</f>
      </c>
      <c r="J46">
        <f>IF(ISBLANK('Data Entry'!$J$46), "", 'Data Entry'!$J$46)</f>
      </c>
      <c r="K46">
        <f>IF(ISBLANK('Data Entry'!$K$46), "", 'Data Entry'!$K$46)</f>
      </c>
      <c r="L46">
        <f>IF(ISBLANK('Data Entry'!$L$46), "", 'Data Entry'!$L$46)</f>
      </c>
      <c r="M46">
        <f>IF(ISBLANK('Data Entry'!$M$46), "", 'Data Entry'!$M$46)</f>
      </c>
      <c r="N46">
        <f>IF(ISBLANK('Data Entry'!$N$46), "", 'Data Entry'!$N$46)</f>
      </c>
      <c r="O46">
        <f>IF(ISBLANK('Data Entry'!$O$46), "", 'Data Entry'!$O$46)</f>
      </c>
      <c r="P46">
        <f>IF(ISBLANK('Data Entry'!$P$46), "", 'Data Entry'!$P$46)</f>
      </c>
      <c r="Q46">
        <f>IF(ISBLANK('Data Entry'!$Q$46), "", 'Data Entry'!$Q$46)</f>
      </c>
      <c r="R46">
        <f>IF(ISBLANK('Data Entry'!$R$46), "", 'Data Entry'!$R$46)</f>
      </c>
      <c r="S46">
        <f>IF(ISBLANK('Data Entry'!$S$46), "", 'Data Entry'!$S$46)</f>
      </c>
      <c r="T46">
        <f>IF(ISBLANK('Data Entry'!$T$46), "", 'Data Entry'!$T$46)</f>
      </c>
      <c r="U46">
        <f>IF(ISBLANK('Data Entry'!$U$46), "", 'Data Entry'!$U$46)</f>
      </c>
      <c r="V46">
        <f>IF(ISBLANK('Data Entry'!$V$46), "", 'Data Entry'!$V$46)</f>
      </c>
      <c r="W46">
        <f>IF(ISBLANK('Data Entry'!$W$46), "", 'Data Entry'!$W$46)</f>
      </c>
      <c r="X46">
        <f>IF(ISBLANK('Data Entry'!$X$46), "", 'Data Entry'!$X$46)</f>
      </c>
      <c r="Y46">
        <f>IF(ISBLANK('Data Entry'!$Y$46), "", 'Data Entry'!$Y$46)</f>
      </c>
      <c r="Z46">
        <f>IF(ISBLANK('Data Entry'!$Z$46), "", 'Data Entry'!$Z$46)</f>
      </c>
      <c r="AA46">
        <f>IF(ISBLANK('Data Entry'!$[$46), "", 'Data Entry'!$[$46)</f>
      </c>
      <c r="AB46">
        <f>IF(ISBLANK('Data Entry'!$\$46), "", 'Data Entry'!$\$46)</f>
      </c>
      <c r="AC46">
        <f>IF(ISBLANK('Data Entry'!$]$46), "", 'Data Entry'!$]$46)</f>
      </c>
      <c r="AD46">
        <f>IF(ISBLANK('Data Entry'!$^$46), "", 'Data Entry'!$^$46)</f>
      </c>
      <c r="AE46">
        <f>IF(ISBLANK('Data Entry'!$_$46), "", 'Data Entry'!$_$46)</f>
      </c>
      <c r="AF46">
        <f>IF(ISBLANK('Data Entry'!$`$46), "", 'Data Entry'!$`$46)</f>
      </c>
      <c r="AG46">
        <f>IF(ISBLANK('Data Entry'!$a$46), "", 'Data Entry'!$a$46)</f>
      </c>
      <c r="AH46">
        <f>IF(ISBLANK('Data Entry'!$b$46), "", 'Data Entry'!$b$46)</f>
      </c>
      <c r="AI46">
        <f>IF(ISBLANK('Data Entry'!$c$46), "", 'Data Entry'!$c$46)</f>
      </c>
      <c r="AJ46">
        <f>IF(ISBLANK('Data Entry'!$d$46), "", 'Data Entry'!$d$46)</f>
      </c>
      <c r="AK46">
        <f>IF(ISBLANK('Data Entry'!$e$46), "", 'Data Entry'!$e$46)</f>
      </c>
      <c r="AL46">
        <f>IF(ISBLANK('Data Entry'!$f$46), "", 'Data Entry'!$f$46)</f>
      </c>
      <c r="AM46">
        <f>IF(ISBLANK('Data Entry'!$g$46), "", 'Data Entry'!$g$46)</f>
      </c>
      <c r="AN46">
        <f>IF(ISBLANK('Data Entry'!$h$46), "", 'Data Entry'!$h$46)</f>
      </c>
      <c r="AO46">
        <f>IF(ISBLANK('Data Entry'!$i$46), "", 'Data Entry'!$i$46)</f>
      </c>
      <c r="AP46">
        <f>IF(ISBLANK('Data Entry'!$j$46), "", 'Data Entry'!$j$46)</f>
      </c>
      <c r="AQ46">
        <f>IF(ISBLANK('Data Entry'!$k$46), "", 'Data Entry'!$k$46)</f>
      </c>
      <c r="AR46">
        <f>IF(ISBLANK('Data Entry'!$l$46), "", 'Data Entry'!$l$46)</f>
      </c>
      <c r="AS46">
        <f>IF(ISBLANK('Data Entry'!$m$46), "", 'Data Entry'!$m$46)</f>
      </c>
      <c r="AT46">
        <f>IF(ISBLANK('Data Entry'!$n$46), "", 'Data Entry'!$n$46)</f>
      </c>
      <c r="AU46">
        <f>IF(ISBLANK('Data Entry'!$o$46), "", 'Data Entry'!$o$46)</f>
      </c>
      <c r="AV46">
        <f>IF(ISBLANK('Data Entry'!$p$46), "", 'Data Entry'!$p$46)</f>
      </c>
      <c r="AW46">
        <f>IF(ISBLANK('Data Entry'!$q$46), "", 'Data Entry'!$q$46)</f>
      </c>
      <c r="AX46">
        <f>IF(ISBLANK('Data Entry'!$r$46), "", 'Data Entry'!$r$46)</f>
      </c>
      <c r="AY46">
        <f>IF(ISBLANK('Data Entry'!$s$46), "", 'Data Entry'!$s$46)</f>
      </c>
      <c r="AZ46">
        <f>IF(ISBLANK('Data Entry'!$t$46), "", 'Data Entry'!$t$46)</f>
      </c>
      <c r="BA46">
        <f>IF(ISBLANK('Data Entry'!$u$46), "", 'Data Entry'!$u$46)</f>
      </c>
      <c r="BB46">
        <f>IF(ISBLANK('Data Entry'!$v$46), "", 'Data Entry'!$v$46)</f>
      </c>
      <c r="BC46">
        <f>IF(ISBLANK('Data Entry'!$w$46), "", 'Data Entry'!$w$46)</f>
      </c>
      <c r="BD46">
        <f>IF(ISBLANK('Data Entry'!$x$46), "", 'Data Entry'!$x$46)</f>
      </c>
      <c r="BE46">
        <f>IF(ISBLANK('Data Entry'!$y$46), "", 'Data Entry'!$y$46)</f>
      </c>
      <c r="BF46">
        <f>IF(ISBLANK('Data Entry'!$z$46), "", 'Data Entry'!$z$46)</f>
      </c>
      <c r="BG46">
        <f>IF(ISBLANK('Data Entry'!${$46), "", 'Data Entry'!${$46)</f>
      </c>
      <c r="BH46">
        <f>IF(ISBLANK('Data Entry'!$|$46), "", 'Data Entry'!$|$46)</f>
      </c>
      <c r="BI46">
        <f>IF(ISBLANK('Data Entry'!$}$46), "", 'Data Entry'!$}$46)</f>
      </c>
      <c r="BJ46">
        <f>IF(ISBLANK('Data Entry'!$~$46), "", 'Data Entry'!$~$46)</f>
      </c>
      <c r="BK46">
        <f>IF(ISBLANK('Data Entry'!$$46), "", 'Data Entry'!$$46)</f>
      </c>
      <c r="BL46">
        <f>IF(ISBLANK('Data Entry'!$$46), "", 'Data Entry'!$$46)</f>
      </c>
      <c r="BM46">
        <f>IF(ISBLANK('Data Entry'!$$46), "", 'Data Entry'!$$46)</f>
      </c>
      <c r="BN46">
        <f>IF(ISBLANK('Data Entry'!$$46), "", 'Data Entry'!$$46)</f>
      </c>
      <c r="BO46">
        <f>IF(ISBLANK('Data Entry'!$$46), "", 'Data Entry'!$$46)</f>
      </c>
      <c r="BP46">
        <f>IF(ISBLANK('Data Entry'!$$46), "", 'Data Entry'!$$46)</f>
      </c>
      <c r="BQ46">
        <f>IF(ISBLANK('Data Entry'!$$46), "", 'Data Entry'!$$46)</f>
      </c>
      <c r="BR46">
        <f>IF(ISBLANK('Data Entry'!$$46), "", 'Data Entry'!$$46)</f>
      </c>
      <c r="BS46">
        <f>IF(ISBLANK('Data Entry'!$$46), "", 'Data Entry'!$$46)</f>
      </c>
      <c r="BT46">
        <f>IF(ISBLANK('Data Entry'!$$46), "", 'Data Entry'!$$46)</f>
      </c>
      <c r="BU46">
        <f>IF(ISBLANK('Data Entry'!$$46), "", 'Data Entry'!$$46)</f>
      </c>
      <c r="BV46">
        <f>IF(ISBLANK('Data Entry'!$$46), "", 'Data Entry'!$$46)</f>
      </c>
      <c r="BW46">
        <f>IF(ISBLANK('Data Entry'!$$46), "", 'Data Entry'!$$46)</f>
      </c>
      <c r="BX46">
        <f>IF(ISBLANK('Data Entry'!$$46), "", 'Data Entry'!$$46)</f>
      </c>
      <c r="BY46">
        <f>IF(ISBLANK('Data Entry'!$$46), "", 'Data Entry'!$$46)</f>
      </c>
      <c r="BZ46">
        <f>IF(ISBLANK('Data Entry'!$$46), "", 'Data Entry'!$$46)</f>
      </c>
      <c r="CA46">
        <f>IF(ISBLANK('Data Entry'!$$46), "", 'Data Entry'!$$46)</f>
      </c>
      <c r="CB46">
        <f>IF(ISBLANK('Data Entry'!$$46), "", 'Data Entry'!$$46)</f>
      </c>
      <c r="CC46">
        <f>IF(ISBLANK('Data Entry'!$$46), "", 'Data Entry'!$$46)</f>
      </c>
      <c r="CD46">
        <f>IF(ISBLANK('Data Entry'!$$46), "", 'Data Entry'!$$46)</f>
      </c>
      <c r="CE46">
        <f>IF(ISBLANK('Data Entry'!$$46), "", 'Data Entry'!$$46)</f>
      </c>
      <c r="CF46">
        <f>IF(ISBLANK('Data Entry'!$$46), "", 'Data Entry'!$$46)</f>
      </c>
      <c r="CG46">
        <f>IF(ISBLANK('Data Entry'!$$46), "", 'Data Entry'!$$46)</f>
      </c>
      <c r="CH46">
        <f>IF(ISBLANK('Data Entry'!$$46), "", 'Data Entry'!$$46)</f>
      </c>
      <c r="CI46">
        <f>IF(ISBLANK('Data Entry'!$$46), "", 'Data Entry'!$$46)</f>
      </c>
      <c r="CJ46">
        <f>IF(ISBLANK('Data Entry'!$$46), "", 'Data Entry'!$$46)</f>
      </c>
      <c r="CK46">
        <f>IF(ISBLANK('Data Entry'!$$46), "", 'Data Entry'!$$46)</f>
      </c>
      <c r="CL46">
        <f>IF(ISBLANK('Data Entry'!$$46), "", 'Data Entry'!$$46)</f>
      </c>
      <c r="CM46">
        <f>IF(ISBLANK('Data Entry'!$$46), "", 'Data Entry'!$$46)</f>
      </c>
      <c r="CN46">
        <f>IF(ISBLANK('Data Entry'!$$46), "", 'Data Entry'!$$46)</f>
      </c>
      <c r="CO46">
        <f>IF(ISBLANK('Data Entry'!$$46), "", 'Data Entry'!$$46)</f>
      </c>
      <c r="CP46">
        <f>IF(ISBLANK('Data Entry'!$$46), "", 'Data Entry'!$$46)</f>
      </c>
      <c r="CQ46">
        <f>IF(ISBLANK('Data Entry'!$$46), "", 'Data Entry'!$$46)</f>
      </c>
      <c r="CR46">
        <f>IF(ISBLANK('Data Entry'!$ $46), "", 'Data Entry'!$ $46)</f>
      </c>
      <c r="CS46">
        <f>IF(ISBLANK('Data Entry'!$¡$46), "", 'Data Entry'!$¡$46)</f>
      </c>
      <c r="CT46">
        <f>IF(ISBLANK('Data Entry'!$¢$46), "", 'Data Entry'!$¢$46)</f>
      </c>
      <c r="CU46">
        <f>IF(ISBLANK('Data Entry'!$£$46), "", 'Data Entry'!$£$46)</f>
      </c>
      <c r="CV46">
        <f>IF(ISBLANK('Data Entry'!$¤$46), "", 'Data Entry'!$¤$46)</f>
      </c>
      <c r="CW46">
        <f>IF(ISBLANK('Data Entry'!$¥$46), "", 'Data Entry'!$¥$46)</f>
      </c>
      <c r="CX46">
        <f>IF(ISBLANK('Data Entry'!$¦$46), "", 'Data Entry'!$¦$46)</f>
      </c>
      <c r="CY46">
        <f>IF(ISBLANK('Data Entry'!$§$46), "", 'Data Entry'!$§$46)</f>
      </c>
      <c r="CZ46">
        <f>IF(ISBLANK('Data Entry'!$¨$46), "", 'Data Entry'!$¨$46)</f>
      </c>
      <c r="DA46">
        <f>IF(ISBLANK('Data Entry'!$©$46), "", 'Data Entry'!$©$46)</f>
      </c>
      <c r="DB46">
        <f>IF(ISBLANK('Data Entry'!$ª$46), "", 'Data Entry'!$ª$46)</f>
      </c>
      <c r="DC46">
        <f>IF(ISBLANK('Data Entry'!$«$46), "", 'Data Entry'!$«$46)</f>
      </c>
      <c r="DD46">
        <f>IF(ISBLANK('Data Entry'!$¬$46), "", 'Data Entry'!$¬$46)</f>
      </c>
      <c r="DE46">
        <f>IF(ISBLANK('Data Entry'!$­$46), "", 'Data Entry'!$­$46)</f>
      </c>
      <c r="DF46">
        <f>IF(ISBLANK('Data Entry'!$®$46), "", 'Data Entry'!$®$46)</f>
      </c>
      <c r="DG46">
        <f>IF(ISBLANK('Data Entry'!$¯$46), "", 'Data Entry'!$¯$46)</f>
      </c>
      <c r="DH46">
        <f>IF(ISBLANK('Data Entry'!$°$46), "", 'Data Entry'!$°$46)</f>
      </c>
      <c r="DI46">
        <f>IF(ISBLANK('Data Entry'!$±$46), "", 'Data Entry'!$±$46)</f>
      </c>
      <c r="DJ46">
        <f>IF(ISBLANK('Data Entry'!$²$46), "", 'Data Entry'!$²$46)</f>
      </c>
      <c r="DK46">
        <f>IF(ISBLANK('Data Entry'!$³$46), "", 'Data Entry'!$³$46)</f>
      </c>
      <c r="DL46">
        <f>IF(ISBLANK('Data Entry'!$´$46), "", 'Data Entry'!$´$46)</f>
      </c>
      <c r="DM46">
        <f>IF(ISBLANK('Data Entry'!$µ$46), "", 'Data Entry'!$µ$46)</f>
      </c>
      <c r="DN46">
        <f>IF(ISBLANK('Data Entry'!$¶$46), "", 'Data Entry'!$¶$46)</f>
      </c>
      <c r="DO46">
        <f>IF(ISBLANK('Data Entry'!$·$46), "", 'Data Entry'!$·$46)</f>
      </c>
      <c r="DP46">
        <f>IF(ISBLANK('Data Entry'!$¸$46), "", 'Data Entry'!$¸$46)</f>
      </c>
      <c r="DQ46">
        <f>IF(ISBLANK('Data Entry'!$¹$46), "", 'Data Entry'!$¹$46)</f>
      </c>
      <c r="DR46">
        <f>IF(ISBLANK('Data Entry'!$º$46), "", 'Data Entry'!$º$46)</f>
      </c>
      <c r="DS46">
        <f>IF(ISBLANK('Data Entry'!$»$46), "", 'Data Entry'!$»$46)</f>
      </c>
      <c r="DT46">
        <f>IF(ISBLANK('Data Entry'!$¼$46), "", 'Data Entry'!$¼$46)</f>
      </c>
      <c r="DU46">
        <f>IF(ISBLANK('Data Entry'!$½$46), "", 'Data Entry'!$½$46)</f>
      </c>
      <c r="DV46">
        <f>IF(ISBLANK('Data Entry'!$¾$46), "", 'Data Entry'!$¾$46)</f>
      </c>
      <c r="DW46">
        <f>IF(ISBLANK('Data Entry'!$¿$46), "", 'Data Entry'!$¿$46)</f>
      </c>
      <c r="DX46">
        <f>IF(ISBLANK('Data Entry'!$À$46), "", 'Data Entry'!$À$46)</f>
      </c>
      <c r="DY46">
        <f>IF(ISBLANK('Data Entry'!$Á$46), "", 'Data Entry'!$Á$46)</f>
      </c>
      <c r="DZ46">
        <f>IF(ISBLANK('Data Entry'!$Â$46), "", 'Data Entry'!$Â$46)</f>
      </c>
      <c r="EA46">
        <f>IF(ISBLANK('Data Entry'!$Ã$46), "", 'Data Entry'!$Ã$46)</f>
      </c>
      <c r="EB46">
        <f>IF(ISBLANK('Data Entry'!$Ä$46), "", 'Data Entry'!$Ä$46)</f>
      </c>
      <c r="EC46">
        <f>IF(ISBLANK('Data Entry'!$Å$46), "", 'Data Entry'!$Å$46)</f>
      </c>
      <c r="ED46">
        <f>IF(ISBLANK('Data Entry'!$Æ$46), "", 'Data Entry'!$Æ$46)</f>
      </c>
      <c r="EE46">
        <f>IF(ISBLANK('Data Entry'!$Ç$46), "", 'Data Entry'!$Ç$46)</f>
      </c>
      <c r="EF46">
        <f>IF(ISBLANK('Data Entry'!$È$46), "", 'Data Entry'!$È$46)</f>
      </c>
      <c r="EG46">
        <f>IF(ISBLANK('Data Entry'!$É$46), "", 'Data Entry'!$É$46)</f>
      </c>
      <c r="EH46">
        <f>IF(ISBLANK('Data Entry'!$Ê$46), "", 'Data Entry'!$Ê$46)</f>
      </c>
      <c r="EI46">
        <f>IF(ISBLANK('Data Entry'!$Ë$46), "", 'Data Entry'!$Ë$46)</f>
      </c>
      <c r="EJ46">
        <f>IF(ISBLANK('Data Entry'!$Ì$46), "", 'Data Entry'!$Ì$46)</f>
      </c>
      <c r="EK46">
        <f>IF(ISBLANK('Data Entry'!$Í$46), "", 'Data Entry'!$Í$46)</f>
      </c>
      <c r="EL46">
        <f>IF(ISBLANK('Data Entry'!$Î$46), "", 'Data Entry'!$Î$46)</f>
      </c>
      <c r="EM46">
        <f>IF(ISBLANK('Data Entry'!$Ï$46), "", 'Data Entry'!$Ï$46)</f>
      </c>
      <c r="EN46">
        <f>IF(ISBLANK('Data Entry'!$Ð$46), "", 'Data Entry'!$Ð$46)</f>
      </c>
      <c r="EO46">
        <f>IF(ISBLANK('Data Entry'!$Ñ$46), "", 'Data Entry'!$Ñ$46)</f>
      </c>
      <c r="EP46">
        <f>IF(ISBLANK('Data Entry'!$Ò$46), "", 'Data Entry'!$Ò$46)</f>
      </c>
      <c r="EQ46">
        <f>IF(ISBLANK('Data Entry'!$Ó$46), "", 'Data Entry'!$Ó$46)</f>
      </c>
      <c r="ER46">
        <f>IF(ISBLANK('Data Entry'!$Ô$46), "", 'Data Entry'!$Ô$46)</f>
      </c>
      <c r="ES46">
        <f>IF(ISBLANK('Data Entry'!$Õ$46), "", 'Data Entry'!$Õ$46)</f>
      </c>
      <c r="ET46">
        <f>IF(ISBLANK('Data Entry'!$Ö$46), "", 'Data Entry'!$Ö$46)</f>
      </c>
      <c r="EU46">
        <f>IF(ISBLANK('Data Entry'!$×$46), "", 'Data Entry'!$×$46)</f>
      </c>
      <c r="EV46">
        <f>IF(ISBLANK('Data Entry'!$Ø$46), "", 'Data Entry'!$Ø$46)</f>
      </c>
      <c r="EW46">
        <f>IF(ISBLANK('Data Entry'!$Ù$46), "", 'Data Entry'!$Ù$46)</f>
      </c>
      <c r="EX46">
        <f>IF(ISBLANK('Data Entry'!$Ú$46), "", 'Data Entry'!$Ú$46)</f>
      </c>
      <c r="EY46">
        <f>IF(ISBLANK('Data Entry'!$Û$46), "", 'Data Entry'!$Û$46)</f>
      </c>
      <c r="EZ46">
        <f>IF(ISBLANK('Data Entry'!$Ü$46), "", 'Data Entry'!$Ü$46)</f>
      </c>
      <c r="FA46">
        <f>IF(ISBLANK('Data Entry'!$Ý$46), "", 'Data Entry'!$Ý$46)</f>
      </c>
      <c r="FB46">
        <f>IF(ISBLANK('Data Entry'!$Þ$46), "", 'Data Entry'!$Þ$46)</f>
      </c>
      <c r="FC46">
        <f>IF(ISBLANK('Data Entry'!$ß$46), "", 'Data Entry'!$ß$46)</f>
      </c>
      <c r="FD46">
        <f>IF(ISBLANK('Data Entry'!$à$46), "", 'Data Entry'!$à$46)</f>
      </c>
      <c r="FE46">
        <f>IF(ISBLANK('Data Entry'!$á$46), "", 'Data Entry'!$á$46)</f>
      </c>
      <c r="FF46">
        <f>IF(ISBLANK('Data Entry'!$â$46), "", 'Data Entry'!$â$46)</f>
      </c>
      <c r="FG46">
        <f>IF(ISBLANK('Data Entry'!$ã$46), "", 'Data Entry'!$ã$46)</f>
      </c>
      <c r="FH46">
        <f>IF(ISBLANK('Data Entry'!$ä$46), "", 'Data Entry'!$ä$46)</f>
      </c>
      <c r="FI46">
        <f>IF(ISBLANK('Data Entry'!$å$46), "", 'Data Entry'!$å$46)</f>
      </c>
      <c r="FJ46">
        <f>IF(ISBLANK('Data Entry'!$æ$46), "", 'Data Entry'!$æ$46)</f>
      </c>
      <c r="FK46">
        <f>IF(ISBLANK('Data Entry'!$ç$46), "", 'Data Entry'!$ç$46)</f>
      </c>
      <c r="FL46">
        <f>IF(ISBLANK('Data Entry'!$è$46), "", 'Data Entry'!$è$46)</f>
      </c>
      <c r="FM46">
        <f>IF(ISBLANK('Data Entry'!$é$46), "", 'Data Entry'!$é$46)</f>
      </c>
      <c r="FN46">
        <f>IF(ISBLANK('Data Entry'!$ê$46), "", 'Data Entry'!$ê$46)</f>
      </c>
      <c r="FO46">
        <f>IF(ISBLANK('Data Entry'!$ë$46), "", 'Data Entry'!$ë$46)</f>
      </c>
      <c r="FP46">
        <f>IF(ISBLANK('Data Entry'!$ì$46), "", 'Data Entry'!$ì$46)</f>
      </c>
      <c r="FQ46">
        <f>IF(ISBLANK('Data Entry'!$í$46), "", 'Data Entry'!$í$46)</f>
      </c>
      <c r="FR46">
        <f>IF(ISBLANK('Data Entry'!$î$46), "", 'Data Entry'!$î$46)</f>
      </c>
      <c r="FS46">
        <f>IF(ISBLANK('Data Entry'!$ï$46), "", 'Data Entry'!$ï$46)</f>
      </c>
      <c r="FT46">
        <f>IF(ISBLANK('Data Entry'!$ð$46), "", 'Data Entry'!$ð$46)</f>
      </c>
      <c r="FU46">
        <f>IF(ISBLANK('Data Entry'!$ñ$46), "", 'Data Entry'!$ñ$46)</f>
      </c>
      <c r="FV46">
        <f>IF(ISBLANK('Data Entry'!$ò$46), "", 'Data Entry'!$ò$46)</f>
      </c>
      <c r="FW46">
        <f>IF(ISBLANK('Data Entry'!$ó$46), "", 'Data Entry'!$ó$46)</f>
      </c>
      <c r="FX46">
        <f>IF(ISBLANK('Data Entry'!$ô$46), "", 'Data Entry'!$ô$46)</f>
      </c>
      <c r="FY46">
        <f>IF(ISBLANK('Data Entry'!$õ$46), "", 'Data Entry'!$õ$46)</f>
      </c>
      <c r="FZ46">
        <f>IF(ISBLANK('Data Entry'!$ö$46), "", 'Data Entry'!$ö$46)</f>
      </c>
      <c r="GA46">
        <f>IF(ISBLANK('Data Entry'!$÷$46), "", 'Data Entry'!$÷$46)</f>
      </c>
      <c r="GB46">
        <f>IF(ISBLANK('Data Entry'!$ø$46), "", 'Data Entry'!$ø$46)</f>
      </c>
      <c r="GC46">
        <f>IF(ISBLANK('Data Entry'!$ù$46), "", 'Data Entry'!$ù$46)</f>
      </c>
      <c r="GD46">
        <f>IF(ISBLANK('Data Entry'!$ú$46), "", 'Data Entry'!$ú$46)</f>
      </c>
      <c r="GE46">
        <f>IF(ISBLANK('Data Entry'!$û$46), "", 'Data Entry'!$û$46)</f>
      </c>
      <c r="GF46">
        <f>IF(ISBLANK('Data Entry'!$ü$46), "", 'Data Entry'!$ü$46)</f>
      </c>
      <c r="GG46">
        <f>IF(ISBLANK('Data Entry'!$ý$46), "", 'Data Entry'!$ý$46)</f>
      </c>
      <c r="GH46">
        <f>IF(ISBLANK('Data Entry'!$þ$46), "", 'Data Entry'!$þ$46)</f>
      </c>
      <c r="GI46">
        <f>IF(ISBLANK('Data Entry'!$ÿ$46), "", 'Data Entry'!$ÿ$46)</f>
      </c>
      <c r="GJ46">
        <f>IF(ISBLANK('Data Entry'!$Ā$46), "", 'Data Entry'!$Ā$46)</f>
      </c>
      <c r="GK46">
        <f>IF(ISBLANK('Data Entry'!$ā$46), "", 'Data Entry'!$ā$46)</f>
      </c>
      <c r="GL46">
        <f>IF(ISBLANK('Data Entry'!$Ă$46), "", 'Data Entry'!$Ă$46)</f>
      </c>
      <c r="GM46">
        <f>IF(ISBLANK('Data Entry'!$ă$46), "", 'Data Entry'!$ă$46)</f>
      </c>
      <c r="GN46">
        <f>IF(ISBLANK('Data Entry'!$Ą$46), "", 'Data Entry'!$Ą$46)</f>
      </c>
      <c r="GO46">
        <f>IF(ISBLANK('Data Entry'!$ą$46), "", 'Data Entry'!$ą$46)</f>
      </c>
      <c r="GP46">
        <f>IF(ISBLANK('Data Entry'!$Ć$46), "", 'Data Entry'!$Ć$46)</f>
      </c>
      <c r="GQ46">
        <f>IF(ISBLANK('Data Entry'!$ć$46), "", 'Data Entry'!$ć$46)</f>
      </c>
      <c r="GR46">
        <f>IF(ISBLANK('Data Entry'!$Ĉ$46), "", 'Data Entry'!$Ĉ$46)</f>
      </c>
      <c r="GS46">
        <f>IF(ISBLANK('Data Entry'!$ĉ$46), "", 'Data Entry'!$ĉ$46)</f>
      </c>
      <c r="GT46">
        <f>IF(ISBLANK('Data Entry'!$Ċ$46), "", 'Data Entry'!$Ċ$46)</f>
      </c>
      <c r="GU46">
        <f>IF(ISBLANK('Data Entry'!$ċ$46), "", 'Data Entry'!$ċ$46)</f>
      </c>
      <c r="GV46">
        <f>IF(ISBLANK('Data Entry'!$Č$46), "", 'Data Entry'!$Č$46)</f>
      </c>
      <c r="GW46">
        <f>IF(ISBLANK('Data Entry'!$č$46), "", 'Data Entry'!$č$46)</f>
      </c>
      <c r="GX46">
        <f>IF(ISBLANK('Data Entry'!$Ď$46), "", 'Data Entry'!$Ď$46)</f>
      </c>
      <c r="GY46">
        <f>IF(ISBLANK('Data Entry'!$ď$46), "", 'Data Entry'!$ď$46)</f>
      </c>
      <c r="GZ46">
        <f>IF(ISBLANK('Data Entry'!$Đ$46), "", 'Data Entry'!$Đ$46)</f>
      </c>
      <c r="HA46">
        <f>IF(ISBLANK('Data Entry'!$đ$46), "", 'Data Entry'!$đ$46)</f>
      </c>
      <c r="HB46">
        <f>IF(ISBLANK('Data Entry'!$Ē$46), "", 'Data Entry'!$Ē$46)</f>
      </c>
      <c r="HC46">
        <f>IF(ISBLANK('Data Entry'!$ē$46), "", 'Data Entry'!$ē$46)</f>
      </c>
      <c r="HD46">
        <f>IF(ISBLANK('Data Entry'!$Ĕ$46), "", 'Data Entry'!$Ĕ$46)</f>
      </c>
      <c r="HE46">
        <f>IF(ISBLANK('Data Entry'!$ĕ$46), "", 'Data Entry'!$ĕ$46)</f>
      </c>
      <c r="HF46">
        <f>IF(ISBLANK('Data Entry'!$Ė$46), "", 'Data Entry'!$Ė$46)</f>
      </c>
      <c r="HG46">
        <f>IF(ISBLANK('Data Entry'!$ė$46), "", 'Data Entry'!$ė$46)</f>
      </c>
      <c r="HH46">
        <f>IF(ISBLANK('Data Entry'!$Ę$46), "", 'Data Entry'!$Ę$46)</f>
      </c>
      <c r="HI46">
        <f>IF(ISBLANK('Data Entry'!$ę$46), "", 'Data Entry'!$ę$46)</f>
      </c>
      <c r="HJ46">
        <f>IF(ISBLANK('Data Entry'!$Ě$46), "", 'Data Entry'!$Ě$46)</f>
      </c>
      <c r="HK46">
        <f>IF(ISBLANK('Data Entry'!$ě$46), "", 'Data Entry'!$ě$46)</f>
      </c>
      <c r="HL46">
        <f>IF(ISBLANK('Data Entry'!$Ĝ$46), "", 'Data Entry'!$Ĝ$46)</f>
      </c>
      <c r="HM46">
        <f>IF(ISBLANK('Data Entry'!$ĝ$46), "", 'Data Entry'!$ĝ$46)</f>
      </c>
      <c r="HN46">
        <f>IF(ISBLANK('Data Entry'!$Ğ$46), "", 'Data Entry'!$Ğ$46)</f>
      </c>
      <c r="HO46">
        <f>IF(ISBLANK('Data Entry'!$ğ$46), "", 'Data Entry'!$ğ$46)</f>
      </c>
      <c r="HP46">
        <f>IF(ISBLANK('Data Entry'!$Ġ$46), "", 'Data Entry'!$Ġ$46)</f>
      </c>
      <c r="HQ46">
        <f>IF(ISBLANK('Data Entry'!$ġ$46), "", 'Data Entry'!$ġ$46)</f>
      </c>
      <c r="HR46">
        <f>IF(ISBLANK('Data Entry'!$Ģ$46), "", 'Data Entry'!$Ģ$46)</f>
      </c>
      <c r="HS46">
        <f>IF(ISBLANK('Data Entry'!$ģ$46), "", 'Data Entry'!$ģ$46)</f>
      </c>
      <c r="HT46">
        <f>IF(ISBLANK('Data Entry'!$Ĥ$46), "", 'Data Entry'!$Ĥ$46)</f>
      </c>
      <c r="HU46">
        <f>IF(ISBLANK('Data Entry'!$ĥ$46), "", 'Data Entry'!$ĥ$46)</f>
      </c>
      <c r="HV46">
        <f>IF(ISBLANK('Data Entry'!$Ħ$46), "", 'Data Entry'!$Ħ$46)</f>
      </c>
      <c r="HW46">
        <f>IF(ISBLANK('Data Entry'!$ħ$46), "", 'Data Entry'!$ħ$46)</f>
      </c>
      <c r="HX46">
        <f>IF(ISBLANK('Data Entry'!$Ĩ$46), "", 'Data Entry'!$Ĩ$46)</f>
      </c>
      <c r="HY46">
        <f>IF(ISBLANK('Data Entry'!$ĩ$46), "", 'Data Entry'!$ĩ$46)</f>
      </c>
      <c r="HZ46">
        <f>IF(ISBLANK('Data Entry'!$Ī$46), "", 'Data Entry'!$Ī$46)</f>
      </c>
      <c r="IA46">
        <f>IF(ISBLANK('Data Entry'!$ī$46), "", 'Data Entry'!$ī$46)</f>
      </c>
      <c r="IB46">
        <f>IF(ISBLANK('Data Entry'!$Ĭ$46), "", 'Data Entry'!$Ĭ$46)</f>
      </c>
      <c r="IC46">
        <f>IF(ISBLANK('Data Entry'!$ĭ$46), "", 'Data Entry'!$ĭ$46)</f>
      </c>
      <c r="ID46">
        <f>IF(ISBLANK('Data Entry'!$Į$46), "", 'Data Entry'!$Į$46)</f>
      </c>
      <c r="IE46">
        <f>IF(ISBLANK('Data Entry'!$į$46), "", 'Data Entry'!$į$46)</f>
      </c>
      <c r="IF46">
        <f>IF(ISBLANK('Data Entry'!$İ$46), "", 'Data Entry'!$İ$46)</f>
      </c>
      <c r="IG46">
        <f>IF(ISBLANK('Data Entry'!$ı$46), "", 'Data Entry'!$ı$46)</f>
      </c>
      <c r="IH46">
        <f>IF(ISBLANK('Data Entry'!$Ĳ$46), "", 'Data Entry'!$Ĳ$46)</f>
      </c>
      <c r="II46">
        <f>IF(ISBLANK('Data Entry'!$ĳ$46), "", 'Data Entry'!$ĳ$46)</f>
      </c>
      <c r="IJ46">
        <f>IF(ISBLANK('Data Entry'!$Ĵ$46), "", 'Data Entry'!$Ĵ$46)</f>
      </c>
      <c r="IK46">
        <f>IF(ISBLANK('Data Entry'!$ĵ$46), "", 'Data Entry'!$ĵ$46)</f>
      </c>
      <c r="IL46">
        <f>IF(ISBLANK('Data Entry'!$Ķ$46), "", 'Data Entry'!$Ķ$46)</f>
      </c>
      <c r="IM46">
        <f>IF(ISBLANK('Data Entry'!$ķ$46), "", 'Data Entry'!$ķ$46)</f>
      </c>
      <c r="IN46">
        <f>IF(ISBLANK('Data Entry'!$ĸ$46), "", 'Data Entry'!$ĸ$46)</f>
      </c>
      <c r="IO46">
        <f>IF(ISBLANK('Data Entry'!$Ĺ$46), "", 'Data Entry'!$Ĺ$46)</f>
      </c>
      <c r="IP46">
        <f>IF(ISBLANK('Data Entry'!$ĺ$46), "", 'Data Entry'!$ĺ$46)</f>
      </c>
      <c r="IQ46">
        <f>IF(ISBLANK('Data Entry'!$Ļ$46), "", 'Data Entry'!$Ļ$46)</f>
      </c>
      <c r="IR46">
        <f>IF(ISBLANK('Data Entry'!$ļ$46), "", 'Data Entry'!$ļ$46)</f>
      </c>
      <c r="IS46">
        <f>IF(ISBLANK('Data Entry'!$Ľ$46), "", 'Data Entry'!$Ľ$46)</f>
      </c>
      <c r="IT46">
        <f>IF(ISBLANK('Data Entry'!$ľ$46), "", 'Data Entry'!$ľ$46)</f>
      </c>
    </row>
    <row r="47" spans="1:254" x14ac:dyDescent="0.25">
      <c r="A47">
        <f>IF(ISBLANK('Data Entry'!$A$47), "", 'Data Entry'!$A$47)</f>
      </c>
      <c r="B47">
        <f>IF(ISBLANK('Data Entry'!$B$47), "", 'Data Entry'!$B$47)</f>
      </c>
      <c r="C47">
        <f>IF(ISBLANK('Data Entry'!$C$47), "", 'Data Entry'!$C$47)</f>
      </c>
      <c r="D47">
        <f>IF(ISBLANK('Data Entry'!$D$47), "", 'Data Entry'!$D$47)</f>
      </c>
      <c r="E47">
        <f>IF(ISBLANK('Data Entry'!$E$47), "", 'Data Entry'!$E$47)</f>
      </c>
      <c r="F47">
        <f>IF(ISBLANK('Data Entry'!$F$47), "", 'Data Entry'!$F$47)</f>
      </c>
      <c r="G47">
        <f>IF(ISBLANK('Data Entry'!$G$47), "", 'Data Entry'!$G$47)</f>
      </c>
      <c r="H47">
        <f>IF(ISBLANK('Data Entry'!$H$47), "", 'Data Entry'!$H$47)</f>
      </c>
      <c r="I47">
        <f>IF(ISBLANK('Data Entry'!$I$47), "", 'Data Entry'!$I$47)</f>
      </c>
      <c r="J47">
        <f>IF(ISBLANK('Data Entry'!$J$47), "", 'Data Entry'!$J$47)</f>
      </c>
      <c r="K47">
        <f>IF(ISBLANK('Data Entry'!$K$47), "", 'Data Entry'!$K$47)</f>
      </c>
      <c r="L47">
        <f>IF(ISBLANK('Data Entry'!$L$47), "", 'Data Entry'!$L$47)</f>
      </c>
      <c r="M47">
        <f>IF(ISBLANK('Data Entry'!$M$47), "", 'Data Entry'!$M$47)</f>
      </c>
      <c r="N47">
        <f>IF(ISBLANK('Data Entry'!$N$47), "", 'Data Entry'!$N$47)</f>
      </c>
      <c r="O47">
        <f>IF(ISBLANK('Data Entry'!$O$47), "", 'Data Entry'!$O$47)</f>
      </c>
      <c r="P47">
        <f>IF(ISBLANK('Data Entry'!$P$47), "", 'Data Entry'!$P$47)</f>
      </c>
      <c r="Q47">
        <f>IF(ISBLANK('Data Entry'!$Q$47), "", 'Data Entry'!$Q$47)</f>
      </c>
      <c r="R47">
        <f>IF(ISBLANK('Data Entry'!$R$47), "", 'Data Entry'!$R$47)</f>
      </c>
      <c r="S47">
        <f>IF(ISBLANK('Data Entry'!$S$47), "", 'Data Entry'!$S$47)</f>
      </c>
      <c r="T47">
        <f>IF(ISBLANK('Data Entry'!$T$47), "", 'Data Entry'!$T$47)</f>
      </c>
      <c r="U47">
        <f>IF(ISBLANK('Data Entry'!$U$47), "", 'Data Entry'!$U$47)</f>
      </c>
      <c r="V47">
        <f>IF(ISBLANK('Data Entry'!$V$47), "", 'Data Entry'!$V$47)</f>
      </c>
      <c r="W47">
        <f>IF(ISBLANK('Data Entry'!$W$47), "", 'Data Entry'!$W$47)</f>
      </c>
      <c r="X47">
        <f>IF(ISBLANK('Data Entry'!$X$47), "", 'Data Entry'!$X$47)</f>
      </c>
      <c r="Y47">
        <f>IF(ISBLANK('Data Entry'!$Y$47), "", 'Data Entry'!$Y$47)</f>
      </c>
      <c r="Z47">
        <f>IF(ISBLANK('Data Entry'!$Z$47), "", 'Data Entry'!$Z$47)</f>
      </c>
      <c r="AA47">
        <f>IF(ISBLANK('Data Entry'!$[$47), "", 'Data Entry'!$[$47)</f>
      </c>
      <c r="AB47">
        <f>IF(ISBLANK('Data Entry'!$\$47), "", 'Data Entry'!$\$47)</f>
      </c>
      <c r="AC47">
        <f>IF(ISBLANK('Data Entry'!$]$47), "", 'Data Entry'!$]$47)</f>
      </c>
      <c r="AD47">
        <f>IF(ISBLANK('Data Entry'!$^$47), "", 'Data Entry'!$^$47)</f>
      </c>
      <c r="AE47">
        <f>IF(ISBLANK('Data Entry'!$_$47), "", 'Data Entry'!$_$47)</f>
      </c>
      <c r="AF47">
        <f>IF(ISBLANK('Data Entry'!$`$47), "", 'Data Entry'!$`$47)</f>
      </c>
      <c r="AG47">
        <f>IF(ISBLANK('Data Entry'!$a$47), "", 'Data Entry'!$a$47)</f>
      </c>
      <c r="AH47">
        <f>IF(ISBLANK('Data Entry'!$b$47), "", 'Data Entry'!$b$47)</f>
      </c>
      <c r="AI47">
        <f>IF(ISBLANK('Data Entry'!$c$47), "", 'Data Entry'!$c$47)</f>
      </c>
      <c r="AJ47">
        <f>IF(ISBLANK('Data Entry'!$d$47), "", 'Data Entry'!$d$47)</f>
      </c>
      <c r="AK47">
        <f>IF(ISBLANK('Data Entry'!$e$47), "", 'Data Entry'!$e$47)</f>
      </c>
      <c r="AL47">
        <f>IF(ISBLANK('Data Entry'!$f$47), "", 'Data Entry'!$f$47)</f>
      </c>
      <c r="AM47">
        <f>IF(ISBLANK('Data Entry'!$g$47), "", 'Data Entry'!$g$47)</f>
      </c>
      <c r="AN47">
        <f>IF(ISBLANK('Data Entry'!$h$47), "", 'Data Entry'!$h$47)</f>
      </c>
      <c r="AO47">
        <f>IF(ISBLANK('Data Entry'!$i$47), "", 'Data Entry'!$i$47)</f>
      </c>
      <c r="AP47">
        <f>IF(ISBLANK('Data Entry'!$j$47), "", 'Data Entry'!$j$47)</f>
      </c>
      <c r="AQ47">
        <f>IF(ISBLANK('Data Entry'!$k$47), "", 'Data Entry'!$k$47)</f>
      </c>
      <c r="AR47">
        <f>IF(ISBLANK('Data Entry'!$l$47), "", 'Data Entry'!$l$47)</f>
      </c>
      <c r="AS47">
        <f>IF(ISBLANK('Data Entry'!$m$47), "", 'Data Entry'!$m$47)</f>
      </c>
      <c r="AT47">
        <f>IF(ISBLANK('Data Entry'!$n$47), "", 'Data Entry'!$n$47)</f>
      </c>
      <c r="AU47">
        <f>IF(ISBLANK('Data Entry'!$o$47), "", 'Data Entry'!$o$47)</f>
      </c>
      <c r="AV47">
        <f>IF(ISBLANK('Data Entry'!$p$47), "", 'Data Entry'!$p$47)</f>
      </c>
      <c r="AW47">
        <f>IF(ISBLANK('Data Entry'!$q$47), "", 'Data Entry'!$q$47)</f>
      </c>
      <c r="AX47">
        <f>IF(ISBLANK('Data Entry'!$r$47), "", 'Data Entry'!$r$47)</f>
      </c>
      <c r="AY47">
        <f>IF(ISBLANK('Data Entry'!$s$47), "", 'Data Entry'!$s$47)</f>
      </c>
      <c r="AZ47">
        <f>IF(ISBLANK('Data Entry'!$t$47), "", 'Data Entry'!$t$47)</f>
      </c>
      <c r="BA47">
        <f>IF(ISBLANK('Data Entry'!$u$47), "", 'Data Entry'!$u$47)</f>
      </c>
      <c r="BB47">
        <f>IF(ISBLANK('Data Entry'!$v$47), "", 'Data Entry'!$v$47)</f>
      </c>
      <c r="BC47">
        <f>IF(ISBLANK('Data Entry'!$w$47), "", 'Data Entry'!$w$47)</f>
      </c>
      <c r="BD47">
        <f>IF(ISBLANK('Data Entry'!$x$47), "", 'Data Entry'!$x$47)</f>
      </c>
      <c r="BE47">
        <f>IF(ISBLANK('Data Entry'!$y$47), "", 'Data Entry'!$y$47)</f>
      </c>
      <c r="BF47">
        <f>IF(ISBLANK('Data Entry'!$z$47), "", 'Data Entry'!$z$47)</f>
      </c>
      <c r="BG47">
        <f>IF(ISBLANK('Data Entry'!${$47), "", 'Data Entry'!${$47)</f>
      </c>
      <c r="BH47">
        <f>IF(ISBLANK('Data Entry'!$|$47), "", 'Data Entry'!$|$47)</f>
      </c>
      <c r="BI47">
        <f>IF(ISBLANK('Data Entry'!$}$47), "", 'Data Entry'!$}$47)</f>
      </c>
      <c r="BJ47">
        <f>IF(ISBLANK('Data Entry'!$~$47), "", 'Data Entry'!$~$47)</f>
      </c>
      <c r="BK47">
        <f>IF(ISBLANK('Data Entry'!$$47), "", 'Data Entry'!$$47)</f>
      </c>
      <c r="BL47">
        <f>IF(ISBLANK('Data Entry'!$$47), "", 'Data Entry'!$$47)</f>
      </c>
      <c r="BM47">
        <f>IF(ISBLANK('Data Entry'!$$47), "", 'Data Entry'!$$47)</f>
      </c>
      <c r="BN47">
        <f>IF(ISBLANK('Data Entry'!$$47), "", 'Data Entry'!$$47)</f>
      </c>
      <c r="BO47">
        <f>IF(ISBLANK('Data Entry'!$$47), "", 'Data Entry'!$$47)</f>
      </c>
      <c r="BP47">
        <f>IF(ISBLANK('Data Entry'!$$47), "", 'Data Entry'!$$47)</f>
      </c>
      <c r="BQ47">
        <f>IF(ISBLANK('Data Entry'!$$47), "", 'Data Entry'!$$47)</f>
      </c>
      <c r="BR47">
        <f>IF(ISBLANK('Data Entry'!$$47), "", 'Data Entry'!$$47)</f>
      </c>
      <c r="BS47">
        <f>IF(ISBLANK('Data Entry'!$$47), "", 'Data Entry'!$$47)</f>
      </c>
      <c r="BT47">
        <f>IF(ISBLANK('Data Entry'!$$47), "", 'Data Entry'!$$47)</f>
      </c>
      <c r="BU47">
        <f>IF(ISBLANK('Data Entry'!$$47), "", 'Data Entry'!$$47)</f>
      </c>
      <c r="BV47">
        <f>IF(ISBLANK('Data Entry'!$$47), "", 'Data Entry'!$$47)</f>
      </c>
      <c r="BW47">
        <f>IF(ISBLANK('Data Entry'!$$47), "", 'Data Entry'!$$47)</f>
      </c>
      <c r="BX47">
        <f>IF(ISBLANK('Data Entry'!$$47), "", 'Data Entry'!$$47)</f>
      </c>
      <c r="BY47">
        <f>IF(ISBLANK('Data Entry'!$$47), "", 'Data Entry'!$$47)</f>
      </c>
      <c r="BZ47">
        <f>IF(ISBLANK('Data Entry'!$$47), "", 'Data Entry'!$$47)</f>
      </c>
      <c r="CA47">
        <f>IF(ISBLANK('Data Entry'!$$47), "", 'Data Entry'!$$47)</f>
      </c>
      <c r="CB47">
        <f>IF(ISBLANK('Data Entry'!$$47), "", 'Data Entry'!$$47)</f>
      </c>
      <c r="CC47">
        <f>IF(ISBLANK('Data Entry'!$$47), "", 'Data Entry'!$$47)</f>
      </c>
      <c r="CD47">
        <f>IF(ISBLANK('Data Entry'!$$47), "", 'Data Entry'!$$47)</f>
      </c>
      <c r="CE47">
        <f>IF(ISBLANK('Data Entry'!$$47), "", 'Data Entry'!$$47)</f>
      </c>
      <c r="CF47">
        <f>IF(ISBLANK('Data Entry'!$$47), "", 'Data Entry'!$$47)</f>
      </c>
      <c r="CG47">
        <f>IF(ISBLANK('Data Entry'!$$47), "", 'Data Entry'!$$47)</f>
      </c>
      <c r="CH47">
        <f>IF(ISBLANK('Data Entry'!$$47), "", 'Data Entry'!$$47)</f>
      </c>
      <c r="CI47">
        <f>IF(ISBLANK('Data Entry'!$$47), "", 'Data Entry'!$$47)</f>
      </c>
      <c r="CJ47">
        <f>IF(ISBLANK('Data Entry'!$$47), "", 'Data Entry'!$$47)</f>
      </c>
      <c r="CK47">
        <f>IF(ISBLANK('Data Entry'!$$47), "", 'Data Entry'!$$47)</f>
      </c>
      <c r="CL47">
        <f>IF(ISBLANK('Data Entry'!$$47), "", 'Data Entry'!$$47)</f>
      </c>
      <c r="CM47">
        <f>IF(ISBLANK('Data Entry'!$$47), "", 'Data Entry'!$$47)</f>
      </c>
      <c r="CN47">
        <f>IF(ISBLANK('Data Entry'!$$47), "", 'Data Entry'!$$47)</f>
      </c>
      <c r="CO47">
        <f>IF(ISBLANK('Data Entry'!$$47), "", 'Data Entry'!$$47)</f>
      </c>
      <c r="CP47">
        <f>IF(ISBLANK('Data Entry'!$$47), "", 'Data Entry'!$$47)</f>
      </c>
      <c r="CQ47">
        <f>IF(ISBLANK('Data Entry'!$$47), "", 'Data Entry'!$$47)</f>
      </c>
      <c r="CR47">
        <f>IF(ISBLANK('Data Entry'!$ $47), "", 'Data Entry'!$ $47)</f>
      </c>
      <c r="CS47">
        <f>IF(ISBLANK('Data Entry'!$¡$47), "", 'Data Entry'!$¡$47)</f>
      </c>
      <c r="CT47">
        <f>IF(ISBLANK('Data Entry'!$¢$47), "", 'Data Entry'!$¢$47)</f>
      </c>
      <c r="CU47">
        <f>IF(ISBLANK('Data Entry'!$£$47), "", 'Data Entry'!$£$47)</f>
      </c>
      <c r="CV47">
        <f>IF(ISBLANK('Data Entry'!$¤$47), "", 'Data Entry'!$¤$47)</f>
      </c>
      <c r="CW47">
        <f>IF(ISBLANK('Data Entry'!$¥$47), "", 'Data Entry'!$¥$47)</f>
      </c>
      <c r="CX47">
        <f>IF(ISBLANK('Data Entry'!$¦$47), "", 'Data Entry'!$¦$47)</f>
      </c>
      <c r="CY47">
        <f>IF(ISBLANK('Data Entry'!$§$47), "", 'Data Entry'!$§$47)</f>
      </c>
      <c r="CZ47">
        <f>IF(ISBLANK('Data Entry'!$¨$47), "", 'Data Entry'!$¨$47)</f>
      </c>
      <c r="DA47">
        <f>IF(ISBLANK('Data Entry'!$©$47), "", 'Data Entry'!$©$47)</f>
      </c>
      <c r="DB47">
        <f>IF(ISBLANK('Data Entry'!$ª$47), "", 'Data Entry'!$ª$47)</f>
      </c>
      <c r="DC47">
        <f>IF(ISBLANK('Data Entry'!$«$47), "", 'Data Entry'!$«$47)</f>
      </c>
      <c r="DD47">
        <f>IF(ISBLANK('Data Entry'!$¬$47), "", 'Data Entry'!$¬$47)</f>
      </c>
      <c r="DE47">
        <f>IF(ISBLANK('Data Entry'!$­$47), "", 'Data Entry'!$­$47)</f>
      </c>
      <c r="DF47">
        <f>IF(ISBLANK('Data Entry'!$®$47), "", 'Data Entry'!$®$47)</f>
      </c>
      <c r="DG47">
        <f>IF(ISBLANK('Data Entry'!$¯$47), "", 'Data Entry'!$¯$47)</f>
      </c>
      <c r="DH47">
        <f>IF(ISBLANK('Data Entry'!$°$47), "", 'Data Entry'!$°$47)</f>
      </c>
      <c r="DI47">
        <f>IF(ISBLANK('Data Entry'!$±$47), "", 'Data Entry'!$±$47)</f>
      </c>
      <c r="DJ47">
        <f>IF(ISBLANK('Data Entry'!$²$47), "", 'Data Entry'!$²$47)</f>
      </c>
      <c r="DK47">
        <f>IF(ISBLANK('Data Entry'!$³$47), "", 'Data Entry'!$³$47)</f>
      </c>
      <c r="DL47">
        <f>IF(ISBLANK('Data Entry'!$´$47), "", 'Data Entry'!$´$47)</f>
      </c>
      <c r="DM47">
        <f>IF(ISBLANK('Data Entry'!$µ$47), "", 'Data Entry'!$µ$47)</f>
      </c>
      <c r="DN47">
        <f>IF(ISBLANK('Data Entry'!$¶$47), "", 'Data Entry'!$¶$47)</f>
      </c>
      <c r="DO47">
        <f>IF(ISBLANK('Data Entry'!$·$47), "", 'Data Entry'!$·$47)</f>
      </c>
      <c r="DP47">
        <f>IF(ISBLANK('Data Entry'!$¸$47), "", 'Data Entry'!$¸$47)</f>
      </c>
      <c r="DQ47">
        <f>IF(ISBLANK('Data Entry'!$¹$47), "", 'Data Entry'!$¹$47)</f>
      </c>
      <c r="DR47">
        <f>IF(ISBLANK('Data Entry'!$º$47), "", 'Data Entry'!$º$47)</f>
      </c>
      <c r="DS47">
        <f>IF(ISBLANK('Data Entry'!$»$47), "", 'Data Entry'!$»$47)</f>
      </c>
      <c r="DT47">
        <f>IF(ISBLANK('Data Entry'!$¼$47), "", 'Data Entry'!$¼$47)</f>
      </c>
      <c r="DU47">
        <f>IF(ISBLANK('Data Entry'!$½$47), "", 'Data Entry'!$½$47)</f>
      </c>
      <c r="DV47">
        <f>IF(ISBLANK('Data Entry'!$¾$47), "", 'Data Entry'!$¾$47)</f>
      </c>
      <c r="DW47">
        <f>IF(ISBLANK('Data Entry'!$¿$47), "", 'Data Entry'!$¿$47)</f>
      </c>
      <c r="DX47">
        <f>IF(ISBLANK('Data Entry'!$À$47), "", 'Data Entry'!$À$47)</f>
      </c>
      <c r="DY47">
        <f>IF(ISBLANK('Data Entry'!$Á$47), "", 'Data Entry'!$Á$47)</f>
      </c>
      <c r="DZ47">
        <f>IF(ISBLANK('Data Entry'!$Â$47), "", 'Data Entry'!$Â$47)</f>
      </c>
      <c r="EA47">
        <f>IF(ISBLANK('Data Entry'!$Ã$47), "", 'Data Entry'!$Ã$47)</f>
      </c>
      <c r="EB47">
        <f>IF(ISBLANK('Data Entry'!$Ä$47), "", 'Data Entry'!$Ä$47)</f>
      </c>
      <c r="EC47">
        <f>IF(ISBLANK('Data Entry'!$Å$47), "", 'Data Entry'!$Å$47)</f>
      </c>
      <c r="ED47">
        <f>IF(ISBLANK('Data Entry'!$Æ$47), "", 'Data Entry'!$Æ$47)</f>
      </c>
      <c r="EE47">
        <f>IF(ISBLANK('Data Entry'!$Ç$47), "", 'Data Entry'!$Ç$47)</f>
      </c>
      <c r="EF47">
        <f>IF(ISBLANK('Data Entry'!$È$47), "", 'Data Entry'!$È$47)</f>
      </c>
      <c r="EG47">
        <f>IF(ISBLANK('Data Entry'!$É$47), "", 'Data Entry'!$É$47)</f>
      </c>
      <c r="EH47">
        <f>IF(ISBLANK('Data Entry'!$Ê$47), "", 'Data Entry'!$Ê$47)</f>
      </c>
      <c r="EI47">
        <f>IF(ISBLANK('Data Entry'!$Ë$47), "", 'Data Entry'!$Ë$47)</f>
      </c>
      <c r="EJ47">
        <f>IF(ISBLANK('Data Entry'!$Ì$47), "", 'Data Entry'!$Ì$47)</f>
      </c>
      <c r="EK47">
        <f>IF(ISBLANK('Data Entry'!$Í$47), "", 'Data Entry'!$Í$47)</f>
      </c>
      <c r="EL47">
        <f>IF(ISBLANK('Data Entry'!$Î$47), "", 'Data Entry'!$Î$47)</f>
      </c>
      <c r="EM47">
        <f>IF(ISBLANK('Data Entry'!$Ï$47), "", 'Data Entry'!$Ï$47)</f>
      </c>
      <c r="EN47">
        <f>IF(ISBLANK('Data Entry'!$Ð$47), "", 'Data Entry'!$Ð$47)</f>
      </c>
      <c r="EO47">
        <f>IF(ISBLANK('Data Entry'!$Ñ$47), "", 'Data Entry'!$Ñ$47)</f>
      </c>
      <c r="EP47">
        <f>IF(ISBLANK('Data Entry'!$Ò$47), "", 'Data Entry'!$Ò$47)</f>
      </c>
      <c r="EQ47">
        <f>IF(ISBLANK('Data Entry'!$Ó$47), "", 'Data Entry'!$Ó$47)</f>
      </c>
      <c r="ER47">
        <f>IF(ISBLANK('Data Entry'!$Ô$47), "", 'Data Entry'!$Ô$47)</f>
      </c>
      <c r="ES47">
        <f>IF(ISBLANK('Data Entry'!$Õ$47), "", 'Data Entry'!$Õ$47)</f>
      </c>
      <c r="ET47">
        <f>IF(ISBLANK('Data Entry'!$Ö$47), "", 'Data Entry'!$Ö$47)</f>
      </c>
      <c r="EU47">
        <f>IF(ISBLANK('Data Entry'!$×$47), "", 'Data Entry'!$×$47)</f>
      </c>
      <c r="EV47">
        <f>IF(ISBLANK('Data Entry'!$Ø$47), "", 'Data Entry'!$Ø$47)</f>
      </c>
      <c r="EW47">
        <f>IF(ISBLANK('Data Entry'!$Ù$47), "", 'Data Entry'!$Ù$47)</f>
      </c>
      <c r="EX47">
        <f>IF(ISBLANK('Data Entry'!$Ú$47), "", 'Data Entry'!$Ú$47)</f>
      </c>
      <c r="EY47">
        <f>IF(ISBLANK('Data Entry'!$Û$47), "", 'Data Entry'!$Û$47)</f>
      </c>
      <c r="EZ47">
        <f>IF(ISBLANK('Data Entry'!$Ü$47), "", 'Data Entry'!$Ü$47)</f>
      </c>
      <c r="FA47">
        <f>IF(ISBLANK('Data Entry'!$Ý$47), "", 'Data Entry'!$Ý$47)</f>
      </c>
      <c r="FB47">
        <f>IF(ISBLANK('Data Entry'!$Þ$47), "", 'Data Entry'!$Þ$47)</f>
      </c>
      <c r="FC47">
        <f>IF(ISBLANK('Data Entry'!$ß$47), "", 'Data Entry'!$ß$47)</f>
      </c>
      <c r="FD47">
        <f>IF(ISBLANK('Data Entry'!$à$47), "", 'Data Entry'!$à$47)</f>
      </c>
      <c r="FE47">
        <f>IF(ISBLANK('Data Entry'!$á$47), "", 'Data Entry'!$á$47)</f>
      </c>
      <c r="FF47">
        <f>IF(ISBLANK('Data Entry'!$â$47), "", 'Data Entry'!$â$47)</f>
      </c>
      <c r="FG47">
        <f>IF(ISBLANK('Data Entry'!$ã$47), "", 'Data Entry'!$ã$47)</f>
      </c>
      <c r="FH47">
        <f>IF(ISBLANK('Data Entry'!$ä$47), "", 'Data Entry'!$ä$47)</f>
      </c>
      <c r="FI47">
        <f>IF(ISBLANK('Data Entry'!$å$47), "", 'Data Entry'!$å$47)</f>
      </c>
      <c r="FJ47">
        <f>IF(ISBLANK('Data Entry'!$æ$47), "", 'Data Entry'!$æ$47)</f>
      </c>
      <c r="FK47">
        <f>IF(ISBLANK('Data Entry'!$ç$47), "", 'Data Entry'!$ç$47)</f>
      </c>
      <c r="FL47">
        <f>IF(ISBLANK('Data Entry'!$è$47), "", 'Data Entry'!$è$47)</f>
      </c>
      <c r="FM47">
        <f>IF(ISBLANK('Data Entry'!$é$47), "", 'Data Entry'!$é$47)</f>
      </c>
      <c r="FN47">
        <f>IF(ISBLANK('Data Entry'!$ê$47), "", 'Data Entry'!$ê$47)</f>
      </c>
      <c r="FO47">
        <f>IF(ISBLANK('Data Entry'!$ë$47), "", 'Data Entry'!$ë$47)</f>
      </c>
      <c r="FP47">
        <f>IF(ISBLANK('Data Entry'!$ì$47), "", 'Data Entry'!$ì$47)</f>
      </c>
      <c r="FQ47">
        <f>IF(ISBLANK('Data Entry'!$í$47), "", 'Data Entry'!$í$47)</f>
      </c>
      <c r="FR47">
        <f>IF(ISBLANK('Data Entry'!$î$47), "", 'Data Entry'!$î$47)</f>
      </c>
      <c r="FS47">
        <f>IF(ISBLANK('Data Entry'!$ï$47), "", 'Data Entry'!$ï$47)</f>
      </c>
      <c r="FT47">
        <f>IF(ISBLANK('Data Entry'!$ð$47), "", 'Data Entry'!$ð$47)</f>
      </c>
      <c r="FU47">
        <f>IF(ISBLANK('Data Entry'!$ñ$47), "", 'Data Entry'!$ñ$47)</f>
      </c>
      <c r="FV47">
        <f>IF(ISBLANK('Data Entry'!$ò$47), "", 'Data Entry'!$ò$47)</f>
      </c>
      <c r="FW47">
        <f>IF(ISBLANK('Data Entry'!$ó$47), "", 'Data Entry'!$ó$47)</f>
      </c>
      <c r="FX47">
        <f>IF(ISBLANK('Data Entry'!$ô$47), "", 'Data Entry'!$ô$47)</f>
      </c>
      <c r="FY47">
        <f>IF(ISBLANK('Data Entry'!$õ$47), "", 'Data Entry'!$õ$47)</f>
      </c>
      <c r="FZ47">
        <f>IF(ISBLANK('Data Entry'!$ö$47), "", 'Data Entry'!$ö$47)</f>
      </c>
      <c r="GA47">
        <f>IF(ISBLANK('Data Entry'!$÷$47), "", 'Data Entry'!$÷$47)</f>
      </c>
      <c r="GB47">
        <f>IF(ISBLANK('Data Entry'!$ø$47), "", 'Data Entry'!$ø$47)</f>
      </c>
      <c r="GC47">
        <f>IF(ISBLANK('Data Entry'!$ù$47), "", 'Data Entry'!$ù$47)</f>
      </c>
      <c r="GD47">
        <f>IF(ISBLANK('Data Entry'!$ú$47), "", 'Data Entry'!$ú$47)</f>
      </c>
      <c r="GE47">
        <f>IF(ISBLANK('Data Entry'!$û$47), "", 'Data Entry'!$û$47)</f>
      </c>
      <c r="GF47">
        <f>IF(ISBLANK('Data Entry'!$ü$47), "", 'Data Entry'!$ü$47)</f>
      </c>
      <c r="GG47">
        <f>IF(ISBLANK('Data Entry'!$ý$47), "", 'Data Entry'!$ý$47)</f>
      </c>
      <c r="GH47">
        <f>IF(ISBLANK('Data Entry'!$þ$47), "", 'Data Entry'!$þ$47)</f>
      </c>
      <c r="GI47">
        <f>IF(ISBLANK('Data Entry'!$ÿ$47), "", 'Data Entry'!$ÿ$47)</f>
      </c>
      <c r="GJ47">
        <f>IF(ISBLANK('Data Entry'!$Ā$47), "", 'Data Entry'!$Ā$47)</f>
      </c>
      <c r="GK47">
        <f>IF(ISBLANK('Data Entry'!$ā$47), "", 'Data Entry'!$ā$47)</f>
      </c>
      <c r="GL47">
        <f>IF(ISBLANK('Data Entry'!$Ă$47), "", 'Data Entry'!$Ă$47)</f>
      </c>
      <c r="GM47">
        <f>IF(ISBLANK('Data Entry'!$ă$47), "", 'Data Entry'!$ă$47)</f>
      </c>
      <c r="GN47">
        <f>IF(ISBLANK('Data Entry'!$Ą$47), "", 'Data Entry'!$Ą$47)</f>
      </c>
      <c r="GO47">
        <f>IF(ISBLANK('Data Entry'!$ą$47), "", 'Data Entry'!$ą$47)</f>
      </c>
      <c r="GP47">
        <f>IF(ISBLANK('Data Entry'!$Ć$47), "", 'Data Entry'!$Ć$47)</f>
      </c>
      <c r="GQ47">
        <f>IF(ISBLANK('Data Entry'!$ć$47), "", 'Data Entry'!$ć$47)</f>
      </c>
      <c r="GR47">
        <f>IF(ISBLANK('Data Entry'!$Ĉ$47), "", 'Data Entry'!$Ĉ$47)</f>
      </c>
      <c r="GS47">
        <f>IF(ISBLANK('Data Entry'!$ĉ$47), "", 'Data Entry'!$ĉ$47)</f>
      </c>
      <c r="GT47">
        <f>IF(ISBLANK('Data Entry'!$Ċ$47), "", 'Data Entry'!$Ċ$47)</f>
      </c>
      <c r="GU47">
        <f>IF(ISBLANK('Data Entry'!$ċ$47), "", 'Data Entry'!$ċ$47)</f>
      </c>
      <c r="GV47">
        <f>IF(ISBLANK('Data Entry'!$Č$47), "", 'Data Entry'!$Č$47)</f>
      </c>
      <c r="GW47">
        <f>IF(ISBLANK('Data Entry'!$č$47), "", 'Data Entry'!$č$47)</f>
      </c>
      <c r="GX47">
        <f>IF(ISBLANK('Data Entry'!$Ď$47), "", 'Data Entry'!$Ď$47)</f>
      </c>
      <c r="GY47">
        <f>IF(ISBLANK('Data Entry'!$ď$47), "", 'Data Entry'!$ď$47)</f>
      </c>
      <c r="GZ47">
        <f>IF(ISBLANK('Data Entry'!$Đ$47), "", 'Data Entry'!$Đ$47)</f>
      </c>
      <c r="HA47">
        <f>IF(ISBLANK('Data Entry'!$đ$47), "", 'Data Entry'!$đ$47)</f>
      </c>
      <c r="HB47">
        <f>IF(ISBLANK('Data Entry'!$Ē$47), "", 'Data Entry'!$Ē$47)</f>
      </c>
      <c r="HC47">
        <f>IF(ISBLANK('Data Entry'!$ē$47), "", 'Data Entry'!$ē$47)</f>
      </c>
      <c r="HD47">
        <f>IF(ISBLANK('Data Entry'!$Ĕ$47), "", 'Data Entry'!$Ĕ$47)</f>
      </c>
      <c r="HE47">
        <f>IF(ISBLANK('Data Entry'!$ĕ$47), "", 'Data Entry'!$ĕ$47)</f>
      </c>
      <c r="HF47">
        <f>IF(ISBLANK('Data Entry'!$Ė$47), "", 'Data Entry'!$Ė$47)</f>
      </c>
      <c r="HG47">
        <f>IF(ISBLANK('Data Entry'!$ė$47), "", 'Data Entry'!$ė$47)</f>
      </c>
      <c r="HH47">
        <f>IF(ISBLANK('Data Entry'!$Ę$47), "", 'Data Entry'!$Ę$47)</f>
      </c>
      <c r="HI47">
        <f>IF(ISBLANK('Data Entry'!$ę$47), "", 'Data Entry'!$ę$47)</f>
      </c>
      <c r="HJ47">
        <f>IF(ISBLANK('Data Entry'!$Ě$47), "", 'Data Entry'!$Ě$47)</f>
      </c>
      <c r="HK47">
        <f>IF(ISBLANK('Data Entry'!$ě$47), "", 'Data Entry'!$ě$47)</f>
      </c>
      <c r="HL47">
        <f>IF(ISBLANK('Data Entry'!$Ĝ$47), "", 'Data Entry'!$Ĝ$47)</f>
      </c>
      <c r="HM47">
        <f>IF(ISBLANK('Data Entry'!$ĝ$47), "", 'Data Entry'!$ĝ$47)</f>
      </c>
      <c r="HN47">
        <f>IF(ISBLANK('Data Entry'!$Ğ$47), "", 'Data Entry'!$Ğ$47)</f>
      </c>
      <c r="HO47">
        <f>IF(ISBLANK('Data Entry'!$ğ$47), "", 'Data Entry'!$ğ$47)</f>
      </c>
      <c r="HP47">
        <f>IF(ISBLANK('Data Entry'!$Ġ$47), "", 'Data Entry'!$Ġ$47)</f>
      </c>
      <c r="HQ47">
        <f>IF(ISBLANK('Data Entry'!$ġ$47), "", 'Data Entry'!$ġ$47)</f>
      </c>
      <c r="HR47">
        <f>IF(ISBLANK('Data Entry'!$Ģ$47), "", 'Data Entry'!$Ģ$47)</f>
      </c>
      <c r="HS47">
        <f>IF(ISBLANK('Data Entry'!$ģ$47), "", 'Data Entry'!$ģ$47)</f>
      </c>
      <c r="HT47">
        <f>IF(ISBLANK('Data Entry'!$Ĥ$47), "", 'Data Entry'!$Ĥ$47)</f>
      </c>
      <c r="HU47">
        <f>IF(ISBLANK('Data Entry'!$ĥ$47), "", 'Data Entry'!$ĥ$47)</f>
      </c>
      <c r="HV47">
        <f>IF(ISBLANK('Data Entry'!$Ħ$47), "", 'Data Entry'!$Ħ$47)</f>
      </c>
      <c r="HW47">
        <f>IF(ISBLANK('Data Entry'!$ħ$47), "", 'Data Entry'!$ħ$47)</f>
      </c>
      <c r="HX47">
        <f>IF(ISBLANK('Data Entry'!$Ĩ$47), "", 'Data Entry'!$Ĩ$47)</f>
      </c>
      <c r="HY47">
        <f>IF(ISBLANK('Data Entry'!$ĩ$47), "", 'Data Entry'!$ĩ$47)</f>
      </c>
      <c r="HZ47">
        <f>IF(ISBLANK('Data Entry'!$Ī$47), "", 'Data Entry'!$Ī$47)</f>
      </c>
      <c r="IA47">
        <f>IF(ISBLANK('Data Entry'!$ī$47), "", 'Data Entry'!$ī$47)</f>
      </c>
      <c r="IB47">
        <f>IF(ISBLANK('Data Entry'!$Ĭ$47), "", 'Data Entry'!$Ĭ$47)</f>
      </c>
      <c r="IC47">
        <f>IF(ISBLANK('Data Entry'!$ĭ$47), "", 'Data Entry'!$ĭ$47)</f>
      </c>
      <c r="ID47">
        <f>IF(ISBLANK('Data Entry'!$Į$47), "", 'Data Entry'!$Į$47)</f>
      </c>
      <c r="IE47">
        <f>IF(ISBLANK('Data Entry'!$į$47), "", 'Data Entry'!$į$47)</f>
      </c>
      <c r="IF47">
        <f>IF(ISBLANK('Data Entry'!$İ$47), "", 'Data Entry'!$İ$47)</f>
      </c>
      <c r="IG47">
        <f>IF(ISBLANK('Data Entry'!$ı$47), "", 'Data Entry'!$ı$47)</f>
      </c>
      <c r="IH47">
        <f>IF(ISBLANK('Data Entry'!$Ĳ$47), "", 'Data Entry'!$Ĳ$47)</f>
      </c>
      <c r="II47">
        <f>IF(ISBLANK('Data Entry'!$ĳ$47), "", 'Data Entry'!$ĳ$47)</f>
      </c>
      <c r="IJ47">
        <f>IF(ISBLANK('Data Entry'!$Ĵ$47), "", 'Data Entry'!$Ĵ$47)</f>
      </c>
      <c r="IK47">
        <f>IF(ISBLANK('Data Entry'!$ĵ$47), "", 'Data Entry'!$ĵ$47)</f>
      </c>
      <c r="IL47">
        <f>IF(ISBLANK('Data Entry'!$Ķ$47), "", 'Data Entry'!$Ķ$47)</f>
      </c>
      <c r="IM47">
        <f>IF(ISBLANK('Data Entry'!$ķ$47), "", 'Data Entry'!$ķ$47)</f>
      </c>
      <c r="IN47">
        <f>IF(ISBLANK('Data Entry'!$ĸ$47), "", 'Data Entry'!$ĸ$47)</f>
      </c>
      <c r="IO47">
        <f>IF(ISBLANK('Data Entry'!$Ĺ$47), "", 'Data Entry'!$Ĺ$47)</f>
      </c>
      <c r="IP47">
        <f>IF(ISBLANK('Data Entry'!$ĺ$47), "", 'Data Entry'!$ĺ$47)</f>
      </c>
      <c r="IQ47">
        <f>IF(ISBLANK('Data Entry'!$Ļ$47), "", 'Data Entry'!$Ļ$47)</f>
      </c>
      <c r="IR47">
        <f>IF(ISBLANK('Data Entry'!$ļ$47), "", 'Data Entry'!$ļ$47)</f>
      </c>
      <c r="IS47">
        <f>IF(ISBLANK('Data Entry'!$Ľ$47), "", 'Data Entry'!$Ľ$47)</f>
      </c>
      <c r="IT47">
        <f>IF(ISBLANK('Data Entry'!$ľ$47), "", 'Data Entry'!$ľ$47)</f>
      </c>
    </row>
    <row r="48" spans="1:254" x14ac:dyDescent="0.25">
      <c r="A48">
        <f>IF(ISBLANK('Data Entry'!$A$48), "", 'Data Entry'!$A$48)</f>
      </c>
      <c r="B48">
        <f>IF(ISBLANK('Data Entry'!$B$48), "", 'Data Entry'!$B$48)</f>
      </c>
      <c r="C48">
        <f>IF(ISBLANK('Data Entry'!$C$48), "", 'Data Entry'!$C$48)</f>
      </c>
      <c r="D48">
        <f>IF(ISBLANK('Data Entry'!$D$48), "", 'Data Entry'!$D$48)</f>
      </c>
      <c r="E48">
        <f>IF(ISBLANK('Data Entry'!$E$48), "", 'Data Entry'!$E$48)</f>
      </c>
      <c r="F48">
        <f>IF(ISBLANK('Data Entry'!$F$48), "", 'Data Entry'!$F$48)</f>
      </c>
      <c r="G48">
        <f>IF(ISBLANK('Data Entry'!$G$48), "", 'Data Entry'!$G$48)</f>
      </c>
      <c r="H48">
        <f>IF(ISBLANK('Data Entry'!$H$48), "", 'Data Entry'!$H$48)</f>
      </c>
      <c r="I48">
        <f>IF(ISBLANK('Data Entry'!$I$48), "", 'Data Entry'!$I$48)</f>
      </c>
      <c r="J48">
        <f>IF(ISBLANK('Data Entry'!$J$48), "", 'Data Entry'!$J$48)</f>
      </c>
      <c r="K48">
        <f>IF(ISBLANK('Data Entry'!$K$48), "", 'Data Entry'!$K$48)</f>
      </c>
      <c r="L48">
        <f>IF(ISBLANK('Data Entry'!$L$48), "", 'Data Entry'!$L$48)</f>
      </c>
      <c r="M48">
        <f>IF(ISBLANK('Data Entry'!$M$48), "", 'Data Entry'!$M$48)</f>
      </c>
      <c r="N48">
        <f>IF(ISBLANK('Data Entry'!$N$48), "", 'Data Entry'!$N$48)</f>
      </c>
      <c r="O48">
        <f>IF(ISBLANK('Data Entry'!$O$48), "", 'Data Entry'!$O$48)</f>
      </c>
      <c r="P48">
        <f>IF(ISBLANK('Data Entry'!$P$48), "", 'Data Entry'!$P$48)</f>
      </c>
      <c r="Q48">
        <f>IF(ISBLANK('Data Entry'!$Q$48), "", 'Data Entry'!$Q$48)</f>
      </c>
      <c r="R48">
        <f>IF(ISBLANK('Data Entry'!$R$48), "", 'Data Entry'!$R$48)</f>
      </c>
      <c r="S48">
        <f>IF(ISBLANK('Data Entry'!$S$48), "", 'Data Entry'!$S$48)</f>
      </c>
      <c r="T48">
        <f>IF(ISBLANK('Data Entry'!$T$48), "", 'Data Entry'!$T$48)</f>
      </c>
      <c r="U48">
        <f>IF(ISBLANK('Data Entry'!$U$48), "", 'Data Entry'!$U$48)</f>
      </c>
      <c r="V48">
        <f>IF(ISBLANK('Data Entry'!$V$48), "", 'Data Entry'!$V$48)</f>
      </c>
      <c r="W48">
        <f>IF(ISBLANK('Data Entry'!$W$48), "", 'Data Entry'!$W$48)</f>
      </c>
      <c r="X48">
        <f>IF(ISBLANK('Data Entry'!$X$48), "", 'Data Entry'!$X$48)</f>
      </c>
      <c r="Y48">
        <f>IF(ISBLANK('Data Entry'!$Y$48), "", 'Data Entry'!$Y$48)</f>
      </c>
      <c r="Z48">
        <f>IF(ISBLANK('Data Entry'!$Z$48), "", 'Data Entry'!$Z$48)</f>
      </c>
      <c r="AA48">
        <f>IF(ISBLANK('Data Entry'!$[$48), "", 'Data Entry'!$[$48)</f>
      </c>
      <c r="AB48">
        <f>IF(ISBLANK('Data Entry'!$\$48), "", 'Data Entry'!$\$48)</f>
      </c>
      <c r="AC48">
        <f>IF(ISBLANK('Data Entry'!$]$48), "", 'Data Entry'!$]$48)</f>
      </c>
      <c r="AD48">
        <f>IF(ISBLANK('Data Entry'!$^$48), "", 'Data Entry'!$^$48)</f>
      </c>
      <c r="AE48">
        <f>IF(ISBLANK('Data Entry'!$_$48), "", 'Data Entry'!$_$48)</f>
      </c>
      <c r="AF48">
        <f>IF(ISBLANK('Data Entry'!$`$48), "", 'Data Entry'!$`$48)</f>
      </c>
      <c r="AG48">
        <f>IF(ISBLANK('Data Entry'!$a$48), "", 'Data Entry'!$a$48)</f>
      </c>
      <c r="AH48">
        <f>IF(ISBLANK('Data Entry'!$b$48), "", 'Data Entry'!$b$48)</f>
      </c>
      <c r="AI48">
        <f>IF(ISBLANK('Data Entry'!$c$48), "", 'Data Entry'!$c$48)</f>
      </c>
      <c r="AJ48">
        <f>IF(ISBLANK('Data Entry'!$d$48), "", 'Data Entry'!$d$48)</f>
      </c>
      <c r="AK48">
        <f>IF(ISBLANK('Data Entry'!$e$48), "", 'Data Entry'!$e$48)</f>
      </c>
      <c r="AL48">
        <f>IF(ISBLANK('Data Entry'!$f$48), "", 'Data Entry'!$f$48)</f>
      </c>
      <c r="AM48">
        <f>IF(ISBLANK('Data Entry'!$g$48), "", 'Data Entry'!$g$48)</f>
      </c>
      <c r="AN48">
        <f>IF(ISBLANK('Data Entry'!$h$48), "", 'Data Entry'!$h$48)</f>
      </c>
      <c r="AO48">
        <f>IF(ISBLANK('Data Entry'!$i$48), "", 'Data Entry'!$i$48)</f>
      </c>
      <c r="AP48">
        <f>IF(ISBLANK('Data Entry'!$j$48), "", 'Data Entry'!$j$48)</f>
      </c>
      <c r="AQ48">
        <f>IF(ISBLANK('Data Entry'!$k$48), "", 'Data Entry'!$k$48)</f>
      </c>
      <c r="AR48">
        <f>IF(ISBLANK('Data Entry'!$l$48), "", 'Data Entry'!$l$48)</f>
      </c>
      <c r="AS48">
        <f>IF(ISBLANK('Data Entry'!$m$48), "", 'Data Entry'!$m$48)</f>
      </c>
      <c r="AT48">
        <f>IF(ISBLANK('Data Entry'!$n$48), "", 'Data Entry'!$n$48)</f>
      </c>
      <c r="AU48">
        <f>IF(ISBLANK('Data Entry'!$o$48), "", 'Data Entry'!$o$48)</f>
      </c>
      <c r="AV48">
        <f>IF(ISBLANK('Data Entry'!$p$48), "", 'Data Entry'!$p$48)</f>
      </c>
      <c r="AW48">
        <f>IF(ISBLANK('Data Entry'!$q$48), "", 'Data Entry'!$q$48)</f>
      </c>
      <c r="AX48">
        <f>IF(ISBLANK('Data Entry'!$r$48), "", 'Data Entry'!$r$48)</f>
      </c>
      <c r="AY48">
        <f>IF(ISBLANK('Data Entry'!$s$48), "", 'Data Entry'!$s$48)</f>
      </c>
      <c r="AZ48">
        <f>IF(ISBLANK('Data Entry'!$t$48), "", 'Data Entry'!$t$48)</f>
      </c>
      <c r="BA48">
        <f>IF(ISBLANK('Data Entry'!$u$48), "", 'Data Entry'!$u$48)</f>
      </c>
      <c r="BB48">
        <f>IF(ISBLANK('Data Entry'!$v$48), "", 'Data Entry'!$v$48)</f>
      </c>
      <c r="BC48">
        <f>IF(ISBLANK('Data Entry'!$w$48), "", 'Data Entry'!$w$48)</f>
      </c>
      <c r="BD48">
        <f>IF(ISBLANK('Data Entry'!$x$48), "", 'Data Entry'!$x$48)</f>
      </c>
      <c r="BE48">
        <f>IF(ISBLANK('Data Entry'!$y$48), "", 'Data Entry'!$y$48)</f>
      </c>
      <c r="BF48">
        <f>IF(ISBLANK('Data Entry'!$z$48), "", 'Data Entry'!$z$48)</f>
      </c>
      <c r="BG48">
        <f>IF(ISBLANK('Data Entry'!${$48), "", 'Data Entry'!${$48)</f>
      </c>
      <c r="BH48">
        <f>IF(ISBLANK('Data Entry'!$|$48), "", 'Data Entry'!$|$48)</f>
      </c>
      <c r="BI48">
        <f>IF(ISBLANK('Data Entry'!$}$48), "", 'Data Entry'!$}$48)</f>
      </c>
      <c r="BJ48">
        <f>IF(ISBLANK('Data Entry'!$~$48), "", 'Data Entry'!$~$48)</f>
      </c>
      <c r="BK48">
        <f>IF(ISBLANK('Data Entry'!$$48), "", 'Data Entry'!$$48)</f>
      </c>
      <c r="BL48">
        <f>IF(ISBLANK('Data Entry'!$$48), "", 'Data Entry'!$$48)</f>
      </c>
      <c r="BM48">
        <f>IF(ISBLANK('Data Entry'!$$48), "", 'Data Entry'!$$48)</f>
      </c>
      <c r="BN48">
        <f>IF(ISBLANK('Data Entry'!$$48), "", 'Data Entry'!$$48)</f>
      </c>
      <c r="BO48">
        <f>IF(ISBLANK('Data Entry'!$$48), "", 'Data Entry'!$$48)</f>
      </c>
      <c r="BP48">
        <f>IF(ISBLANK('Data Entry'!$$48), "", 'Data Entry'!$$48)</f>
      </c>
      <c r="BQ48">
        <f>IF(ISBLANK('Data Entry'!$$48), "", 'Data Entry'!$$48)</f>
      </c>
      <c r="BR48">
        <f>IF(ISBLANK('Data Entry'!$$48), "", 'Data Entry'!$$48)</f>
      </c>
      <c r="BS48">
        <f>IF(ISBLANK('Data Entry'!$$48), "", 'Data Entry'!$$48)</f>
      </c>
      <c r="BT48">
        <f>IF(ISBLANK('Data Entry'!$$48), "", 'Data Entry'!$$48)</f>
      </c>
      <c r="BU48">
        <f>IF(ISBLANK('Data Entry'!$$48), "", 'Data Entry'!$$48)</f>
      </c>
      <c r="BV48">
        <f>IF(ISBLANK('Data Entry'!$$48), "", 'Data Entry'!$$48)</f>
      </c>
      <c r="BW48">
        <f>IF(ISBLANK('Data Entry'!$$48), "", 'Data Entry'!$$48)</f>
      </c>
      <c r="BX48">
        <f>IF(ISBLANK('Data Entry'!$$48), "", 'Data Entry'!$$48)</f>
      </c>
      <c r="BY48">
        <f>IF(ISBLANK('Data Entry'!$$48), "", 'Data Entry'!$$48)</f>
      </c>
      <c r="BZ48">
        <f>IF(ISBLANK('Data Entry'!$$48), "", 'Data Entry'!$$48)</f>
      </c>
      <c r="CA48">
        <f>IF(ISBLANK('Data Entry'!$$48), "", 'Data Entry'!$$48)</f>
      </c>
      <c r="CB48">
        <f>IF(ISBLANK('Data Entry'!$$48), "", 'Data Entry'!$$48)</f>
      </c>
      <c r="CC48">
        <f>IF(ISBLANK('Data Entry'!$$48), "", 'Data Entry'!$$48)</f>
      </c>
      <c r="CD48">
        <f>IF(ISBLANK('Data Entry'!$$48), "", 'Data Entry'!$$48)</f>
      </c>
      <c r="CE48">
        <f>IF(ISBLANK('Data Entry'!$$48), "", 'Data Entry'!$$48)</f>
      </c>
      <c r="CF48">
        <f>IF(ISBLANK('Data Entry'!$$48), "", 'Data Entry'!$$48)</f>
      </c>
      <c r="CG48">
        <f>IF(ISBLANK('Data Entry'!$$48), "", 'Data Entry'!$$48)</f>
      </c>
      <c r="CH48">
        <f>IF(ISBLANK('Data Entry'!$$48), "", 'Data Entry'!$$48)</f>
      </c>
      <c r="CI48">
        <f>IF(ISBLANK('Data Entry'!$$48), "", 'Data Entry'!$$48)</f>
      </c>
      <c r="CJ48">
        <f>IF(ISBLANK('Data Entry'!$$48), "", 'Data Entry'!$$48)</f>
      </c>
      <c r="CK48">
        <f>IF(ISBLANK('Data Entry'!$$48), "", 'Data Entry'!$$48)</f>
      </c>
      <c r="CL48">
        <f>IF(ISBLANK('Data Entry'!$$48), "", 'Data Entry'!$$48)</f>
      </c>
      <c r="CM48">
        <f>IF(ISBLANK('Data Entry'!$$48), "", 'Data Entry'!$$48)</f>
      </c>
      <c r="CN48">
        <f>IF(ISBLANK('Data Entry'!$$48), "", 'Data Entry'!$$48)</f>
      </c>
      <c r="CO48">
        <f>IF(ISBLANK('Data Entry'!$$48), "", 'Data Entry'!$$48)</f>
      </c>
      <c r="CP48">
        <f>IF(ISBLANK('Data Entry'!$$48), "", 'Data Entry'!$$48)</f>
      </c>
      <c r="CQ48">
        <f>IF(ISBLANK('Data Entry'!$$48), "", 'Data Entry'!$$48)</f>
      </c>
      <c r="CR48">
        <f>IF(ISBLANK('Data Entry'!$ $48), "", 'Data Entry'!$ $48)</f>
      </c>
      <c r="CS48">
        <f>IF(ISBLANK('Data Entry'!$¡$48), "", 'Data Entry'!$¡$48)</f>
      </c>
      <c r="CT48">
        <f>IF(ISBLANK('Data Entry'!$¢$48), "", 'Data Entry'!$¢$48)</f>
      </c>
      <c r="CU48">
        <f>IF(ISBLANK('Data Entry'!$£$48), "", 'Data Entry'!$£$48)</f>
      </c>
      <c r="CV48">
        <f>IF(ISBLANK('Data Entry'!$¤$48), "", 'Data Entry'!$¤$48)</f>
      </c>
      <c r="CW48">
        <f>IF(ISBLANK('Data Entry'!$¥$48), "", 'Data Entry'!$¥$48)</f>
      </c>
      <c r="CX48">
        <f>IF(ISBLANK('Data Entry'!$¦$48), "", 'Data Entry'!$¦$48)</f>
      </c>
      <c r="CY48">
        <f>IF(ISBLANK('Data Entry'!$§$48), "", 'Data Entry'!$§$48)</f>
      </c>
      <c r="CZ48">
        <f>IF(ISBLANK('Data Entry'!$¨$48), "", 'Data Entry'!$¨$48)</f>
      </c>
      <c r="DA48">
        <f>IF(ISBLANK('Data Entry'!$©$48), "", 'Data Entry'!$©$48)</f>
      </c>
      <c r="DB48">
        <f>IF(ISBLANK('Data Entry'!$ª$48), "", 'Data Entry'!$ª$48)</f>
      </c>
      <c r="DC48">
        <f>IF(ISBLANK('Data Entry'!$«$48), "", 'Data Entry'!$«$48)</f>
      </c>
      <c r="DD48">
        <f>IF(ISBLANK('Data Entry'!$¬$48), "", 'Data Entry'!$¬$48)</f>
      </c>
      <c r="DE48">
        <f>IF(ISBLANK('Data Entry'!$­$48), "", 'Data Entry'!$­$48)</f>
      </c>
      <c r="DF48">
        <f>IF(ISBLANK('Data Entry'!$®$48), "", 'Data Entry'!$®$48)</f>
      </c>
      <c r="DG48">
        <f>IF(ISBLANK('Data Entry'!$¯$48), "", 'Data Entry'!$¯$48)</f>
      </c>
      <c r="DH48">
        <f>IF(ISBLANK('Data Entry'!$°$48), "", 'Data Entry'!$°$48)</f>
      </c>
      <c r="DI48">
        <f>IF(ISBLANK('Data Entry'!$±$48), "", 'Data Entry'!$±$48)</f>
      </c>
      <c r="DJ48">
        <f>IF(ISBLANK('Data Entry'!$²$48), "", 'Data Entry'!$²$48)</f>
      </c>
      <c r="DK48">
        <f>IF(ISBLANK('Data Entry'!$³$48), "", 'Data Entry'!$³$48)</f>
      </c>
      <c r="DL48">
        <f>IF(ISBLANK('Data Entry'!$´$48), "", 'Data Entry'!$´$48)</f>
      </c>
      <c r="DM48">
        <f>IF(ISBLANK('Data Entry'!$µ$48), "", 'Data Entry'!$µ$48)</f>
      </c>
      <c r="DN48">
        <f>IF(ISBLANK('Data Entry'!$¶$48), "", 'Data Entry'!$¶$48)</f>
      </c>
      <c r="DO48">
        <f>IF(ISBLANK('Data Entry'!$·$48), "", 'Data Entry'!$·$48)</f>
      </c>
      <c r="DP48">
        <f>IF(ISBLANK('Data Entry'!$¸$48), "", 'Data Entry'!$¸$48)</f>
      </c>
      <c r="DQ48">
        <f>IF(ISBLANK('Data Entry'!$¹$48), "", 'Data Entry'!$¹$48)</f>
      </c>
      <c r="DR48">
        <f>IF(ISBLANK('Data Entry'!$º$48), "", 'Data Entry'!$º$48)</f>
      </c>
      <c r="DS48">
        <f>IF(ISBLANK('Data Entry'!$»$48), "", 'Data Entry'!$»$48)</f>
      </c>
      <c r="DT48">
        <f>IF(ISBLANK('Data Entry'!$¼$48), "", 'Data Entry'!$¼$48)</f>
      </c>
      <c r="DU48">
        <f>IF(ISBLANK('Data Entry'!$½$48), "", 'Data Entry'!$½$48)</f>
      </c>
      <c r="DV48">
        <f>IF(ISBLANK('Data Entry'!$¾$48), "", 'Data Entry'!$¾$48)</f>
      </c>
      <c r="DW48">
        <f>IF(ISBLANK('Data Entry'!$¿$48), "", 'Data Entry'!$¿$48)</f>
      </c>
      <c r="DX48">
        <f>IF(ISBLANK('Data Entry'!$À$48), "", 'Data Entry'!$À$48)</f>
      </c>
      <c r="DY48">
        <f>IF(ISBLANK('Data Entry'!$Á$48), "", 'Data Entry'!$Á$48)</f>
      </c>
      <c r="DZ48">
        <f>IF(ISBLANK('Data Entry'!$Â$48), "", 'Data Entry'!$Â$48)</f>
      </c>
      <c r="EA48">
        <f>IF(ISBLANK('Data Entry'!$Ã$48), "", 'Data Entry'!$Ã$48)</f>
      </c>
      <c r="EB48">
        <f>IF(ISBLANK('Data Entry'!$Ä$48), "", 'Data Entry'!$Ä$48)</f>
      </c>
      <c r="EC48">
        <f>IF(ISBLANK('Data Entry'!$Å$48), "", 'Data Entry'!$Å$48)</f>
      </c>
      <c r="ED48">
        <f>IF(ISBLANK('Data Entry'!$Æ$48), "", 'Data Entry'!$Æ$48)</f>
      </c>
      <c r="EE48">
        <f>IF(ISBLANK('Data Entry'!$Ç$48), "", 'Data Entry'!$Ç$48)</f>
      </c>
      <c r="EF48">
        <f>IF(ISBLANK('Data Entry'!$È$48), "", 'Data Entry'!$È$48)</f>
      </c>
      <c r="EG48">
        <f>IF(ISBLANK('Data Entry'!$É$48), "", 'Data Entry'!$É$48)</f>
      </c>
      <c r="EH48">
        <f>IF(ISBLANK('Data Entry'!$Ê$48), "", 'Data Entry'!$Ê$48)</f>
      </c>
      <c r="EI48">
        <f>IF(ISBLANK('Data Entry'!$Ë$48), "", 'Data Entry'!$Ë$48)</f>
      </c>
      <c r="EJ48">
        <f>IF(ISBLANK('Data Entry'!$Ì$48), "", 'Data Entry'!$Ì$48)</f>
      </c>
      <c r="EK48">
        <f>IF(ISBLANK('Data Entry'!$Í$48), "", 'Data Entry'!$Í$48)</f>
      </c>
      <c r="EL48">
        <f>IF(ISBLANK('Data Entry'!$Î$48), "", 'Data Entry'!$Î$48)</f>
      </c>
      <c r="EM48">
        <f>IF(ISBLANK('Data Entry'!$Ï$48), "", 'Data Entry'!$Ï$48)</f>
      </c>
      <c r="EN48">
        <f>IF(ISBLANK('Data Entry'!$Ð$48), "", 'Data Entry'!$Ð$48)</f>
      </c>
      <c r="EO48">
        <f>IF(ISBLANK('Data Entry'!$Ñ$48), "", 'Data Entry'!$Ñ$48)</f>
      </c>
      <c r="EP48">
        <f>IF(ISBLANK('Data Entry'!$Ò$48), "", 'Data Entry'!$Ò$48)</f>
      </c>
      <c r="EQ48">
        <f>IF(ISBLANK('Data Entry'!$Ó$48), "", 'Data Entry'!$Ó$48)</f>
      </c>
      <c r="ER48">
        <f>IF(ISBLANK('Data Entry'!$Ô$48), "", 'Data Entry'!$Ô$48)</f>
      </c>
      <c r="ES48">
        <f>IF(ISBLANK('Data Entry'!$Õ$48), "", 'Data Entry'!$Õ$48)</f>
      </c>
      <c r="ET48">
        <f>IF(ISBLANK('Data Entry'!$Ö$48), "", 'Data Entry'!$Ö$48)</f>
      </c>
      <c r="EU48">
        <f>IF(ISBLANK('Data Entry'!$×$48), "", 'Data Entry'!$×$48)</f>
      </c>
      <c r="EV48">
        <f>IF(ISBLANK('Data Entry'!$Ø$48), "", 'Data Entry'!$Ø$48)</f>
      </c>
      <c r="EW48">
        <f>IF(ISBLANK('Data Entry'!$Ù$48), "", 'Data Entry'!$Ù$48)</f>
      </c>
      <c r="EX48">
        <f>IF(ISBLANK('Data Entry'!$Ú$48), "", 'Data Entry'!$Ú$48)</f>
      </c>
      <c r="EY48">
        <f>IF(ISBLANK('Data Entry'!$Û$48), "", 'Data Entry'!$Û$48)</f>
      </c>
      <c r="EZ48">
        <f>IF(ISBLANK('Data Entry'!$Ü$48), "", 'Data Entry'!$Ü$48)</f>
      </c>
      <c r="FA48">
        <f>IF(ISBLANK('Data Entry'!$Ý$48), "", 'Data Entry'!$Ý$48)</f>
      </c>
      <c r="FB48">
        <f>IF(ISBLANK('Data Entry'!$Þ$48), "", 'Data Entry'!$Þ$48)</f>
      </c>
      <c r="FC48">
        <f>IF(ISBLANK('Data Entry'!$ß$48), "", 'Data Entry'!$ß$48)</f>
      </c>
      <c r="FD48">
        <f>IF(ISBLANK('Data Entry'!$à$48), "", 'Data Entry'!$à$48)</f>
      </c>
      <c r="FE48">
        <f>IF(ISBLANK('Data Entry'!$á$48), "", 'Data Entry'!$á$48)</f>
      </c>
      <c r="FF48">
        <f>IF(ISBLANK('Data Entry'!$â$48), "", 'Data Entry'!$â$48)</f>
      </c>
      <c r="FG48">
        <f>IF(ISBLANK('Data Entry'!$ã$48), "", 'Data Entry'!$ã$48)</f>
      </c>
      <c r="FH48">
        <f>IF(ISBLANK('Data Entry'!$ä$48), "", 'Data Entry'!$ä$48)</f>
      </c>
      <c r="FI48">
        <f>IF(ISBLANK('Data Entry'!$å$48), "", 'Data Entry'!$å$48)</f>
      </c>
      <c r="FJ48">
        <f>IF(ISBLANK('Data Entry'!$æ$48), "", 'Data Entry'!$æ$48)</f>
      </c>
      <c r="FK48">
        <f>IF(ISBLANK('Data Entry'!$ç$48), "", 'Data Entry'!$ç$48)</f>
      </c>
      <c r="FL48">
        <f>IF(ISBLANK('Data Entry'!$è$48), "", 'Data Entry'!$è$48)</f>
      </c>
      <c r="FM48">
        <f>IF(ISBLANK('Data Entry'!$é$48), "", 'Data Entry'!$é$48)</f>
      </c>
      <c r="FN48">
        <f>IF(ISBLANK('Data Entry'!$ê$48), "", 'Data Entry'!$ê$48)</f>
      </c>
      <c r="FO48">
        <f>IF(ISBLANK('Data Entry'!$ë$48), "", 'Data Entry'!$ë$48)</f>
      </c>
      <c r="FP48">
        <f>IF(ISBLANK('Data Entry'!$ì$48), "", 'Data Entry'!$ì$48)</f>
      </c>
      <c r="FQ48">
        <f>IF(ISBLANK('Data Entry'!$í$48), "", 'Data Entry'!$í$48)</f>
      </c>
      <c r="FR48">
        <f>IF(ISBLANK('Data Entry'!$î$48), "", 'Data Entry'!$î$48)</f>
      </c>
      <c r="FS48">
        <f>IF(ISBLANK('Data Entry'!$ï$48), "", 'Data Entry'!$ï$48)</f>
      </c>
      <c r="FT48">
        <f>IF(ISBLANK('Data Entry'!$ð$48), "", 'Data Entry'!$ð$48)</f>
      </c>
      <c r="FU48">
        <f>IF(ISBLANK('Data Entry'!$ñ$48), "", 'Data Entry'!$ñ$48)</f>
      </c>
      <c r="FV48">
        <f>IF(ISBLANK('Data Entry'!$ò$48), "", 'Data Entry'!$ò$48)</f>
      </c>
      <c r="FW48">
        <f>IF(ISBLANK('Data Entry'!$ó$48), "", 'Data Entry'!$ó$48)</f>
      </c>
      <c r="FX48">
        <f>IF(ISBLANK('Data Entry'!$ô$48), "", 'Data Entry'!$ô$48)</f>
      </c>
      <c r="FY48">
        <f>IF(ISBLANK('Data Entry'!$õ$48), "", 'Data Entry'!$õ$48)</f>
      </c>
      <c r="FZ48">
        <f>IF(ISBLANK('Data Entry'!$ö$48), "", 'Data Entry'!$ö$48)</f>
      </c>
      <c r="GA48">
        <f>IF(ISBLANK('Data Entry'!$÷$48), "", 'Data Entry'!$÷$48)</f>
      </c>
      <c r="GB48">
        <f>IF(ISBLANK('Data Entry'!$ø$48), "", 'Data Entry'!$ø$48)</f>
      </c>
      <c r="GC48">
        <f>IF(ISBLANK('Data Entry'!$ù$48), "", 'Data Entry'!$ù$48)</f>
      </c>
      <c r="GD48">
        <f>IF(ISBLANK('Data Entry'!$ú$48), "", 'Data Entry'!$ú$48)</f>
      </c>
      <c r="GE48">
        <f>IF(ISBLANK('Data Entry'!$û$48), "", 'Data Entry'!$û$48)</f>
      </c>
      <c r="GF48">
        <f>IF(ISBLANK('Data Entry'!$ü$48), "", 'Data Entry'!$ü$48)</f>
      </c>
      <c r="GG48">
        <f>IF(ISBLANK('Data Entry'!$ý$48), "", 'Data Entry'!$ý$48)</f>
      </c>
      <c r="GH48">
        <f>IF(ISBLANK('Data Entry'!$þ$48), "", 'Data Entry'!$þ$48)</f>
      </c>
      <c r="GI48">
        <f>IF(ISBLANK('Data Entry'!$ÿ$48), "", 'Data Entry'!$ÿ$48)</f>
      </c>
      <c r="GJ48">
        <f>IF(ISBLANK('Data Entry'!$Ā$48), "", 'Data Entry'!$Ā$48)</f>
      </c>
      <c r="GK48">
        <f>IF(ISBLANK('Data Entry'!$ā$48), "", 'Data Entry'!$ā$48)</f>
      </c>
      <c r="GL48">
        <f>IF(ISBLANK('Data Entry'!$Ă$48), "", 'Data Entry'!$Ă$48)</f>
      </c>
      <c r="GM48">
        <f>IF(ISBLANK('Data Entry'!$ă$48), "", 'Data Entry'!$ă$48)</f>
      </c>
      <c r="GN48">
        <f>IF(ISBLANK('Data Entry'!$Ą$48), "", 'Data Entry'!$Ą$48)</f>
      </c>
      <c r="GO48">
        <f>IF(ISBLANK('Data Entry'!$ą$48), "", 'Data Entry'!$ą$48)</f>
      </c>
      <c r="GP48">
        <f>IF(ISBLANK('Data Entry'!$Ć$48), "", 'Data Entry'!$Ć$48)</f>
      </c>
      <c r="GQ48">
        <f>IF(ISBLANK('Data Entry'!$ć$48), "", 'Data Entry'!$ć$48)</f>
      </c>
      <c r="GR48">
        <f>IF(ISBLANK('Data Entry'!$Ĉ$48), "", 'Data Entry'!$Ĉ$48)</f>
      </c>
      <c r="GS48">
        <f>IF(ISBLANK('Data Entry'!$ĉ$48), "", 'Data Entry'!$ĉ$48)</f>
      </c>
      <c r="GT48">
        <f>IF(ISBLANK('Data Entry'!$Ċ$48), "", 'Data Entry'!$Ċ$48)</f>
      </c>
      <c r="GU48">
        <f>IF(ISBLANK('Data Entry'!$ċ$48), "", 'Data Entry'!$ċ$48)</f>
      </c>
      <c r="GV48">
        <f>IF(ISBLANK('Data Entry'!$Č$48), "", 'Data Entry'!$Č$48)</f>
      </c>
      <c r="GW48">
        <f>IF(ISBLANK('Data Entry'!$č$48), "", 'Data Entry'!$č$48)</f>
      </c>
      <c r="GX48">
        <f>IF(ISBLANK('Data Entry'!$Ď$48), "", 'Data Entry'!$Ď$48)</f>
      </c>
      <c r="GY48">
        <f>IF(ISBLANK('Data Entry'!$ď$48), "", 'Data Entry'!$ď$48)</f>
      </c>
      <c r="GZ48">
        <f>IF(ISBLANK('Data Entry'!$Đ$48), "", 'Data Entry'!$Đ$48)</f>
      </c>
      <c r="HA48">
        <f>IF(ISBLANK('Data Entry'!$đ$48), "", 'Data Entry'!$đ$48)</f>
      </c>
      <c r="HB48">
        <f>IF(ISBLANK('Data Entry'!$Ē$48), "", 'Data Entry'!$Ē$48)</f>
      </c>
      <c r="HC48">
        <f>IF(ISBLANK('Data Entry'!$ē$48), "", 'Data Entry'!$ē$48)</f>
      </c>
      <c r="HD48">
        <f>IF(ISBLANK('Data Entry'!$Ĕ$48), "", 'Data Entry'!$Ĕ$48)</f>
      </c>
      <c r="HE48">
        <f>IF(ISBLANK('Data Entry'!$ĕ$48), "", 'Data Entry'!$ĕ$48)</f>
      </c>
      <c r="HF48">
        <f>IF(ISBLANK('Data Entry'!$Ė$48), "", 'Data Entry'!$Ė$48)</f>
      </c>
      <c r="HG48">
        <f>IF(ISBLANK('Data Entry'!$ė$48), "", 'Data Entry'!$ė$48)</f>
      </c>
      <c r="HH48">
        <f>IF(ISBLANK('Data Entry'!$Ę$48), "", 'Data Entry'!$Ę$48)</f>
      </c>
      <c r="HI48">
        <f>IF(ISBLANK('Data Entry'!$ę$48), "", 'Data Entry'!$ę$48)</f>
      </c>
      <c r="HJ48">
        <f>IF(ISBLANK('Data Entry'!$Ě$48), "", 'Data Entry'!$Ě$48)</f>
      </c>
      <c r="HK48">
        <f>IF(ISBLANK('Data Entry'!$ě$48), "", 'Data Entry'!$ě$48)</f>
      </c>
      <c r="HL48">
        <f>IF(ISBLANK('Data Entry'!$Ĝ$48), "", 'Data Entry'!$Ĝ$48)</f>
      </c>
      <c r="HM48">
        <f>IF(ISBLANK('Data Entry'!$ĝ$48), "", 'Data Entry'!$ĝ$48)</f>
      </c>
      <c r="HN48">
        <f>IF(ISBLANK('Data Entry'!$Ğ$48), "", 'Data Entry'!$Ğ$48)</f>
      </c>
      <c r="HO48">
        <f>IF(ISBLANK('Data Entry'!$ğ$48), "", 'Data Entry'!$ğ$48)</f>
      </c>
      <c r="HP48">
        <f>IF(ISBLANK('Data Entry'!$Ġ$48), "", 'Data Entry'!$Ġ$48)</f>
      </c>
      <c r="HQ48">
        <f>IF(ISBLANK('Data Entry'!$ġ$48), "", 'Data Entry'!$ġ$48)</f>
      </c>
      <c r="HR48">
        <f>IF(ISBLANK('Data Entry'!$Ģ$48), "", 'Data Entry'!$Ģ$48)</f>
      </c>
      <c r="HS48">
        <f>IF(ISBLANK('Data Entry'!$ģ$48), "", 'Data Entry'!$ģ$48)</f>
      </c>
      <c r="HT48">
        <f>IF(ISBLANK('Data Entry'!$Ĥ$48), "", 'Data Entry'!$Ĥ$48)</f>
      </c>
      <c r="HU48">
        <f>IF(ISBLANK('Data Entry'!$ĥ$48), "", 'Data Entry'!$ĥ$48)</f>
      </c>
      <c r="HV48">
        <f>IF(ISBLANK('Data Entry'!$Ħ$48), "", 'Data Entry'!$Ħ$48)</f>
      </c>
      <c r="HW48">
        <f>IF(ISBLANK('Data Entry'!$ħ$48), "", 'Data Entry'!$ħ$48)</f>
      </c>
      <c r="HX48">
        <f>IF(ISBLANK('Data Entry'!$Ĩ$48), "", 'Data Entry'!$Ĩ$48)</f>
      </c>
      <c r="HY48">
        <f>IF(ISBLANK('Data Entry'!$ĩ$48), "", 'Data Entry'!$ĩ$48)</f>
      </c>
      <c r="HZ48">
        <f>IF(ISBLANK('Data Entry'!$Ī$48), "", 'Data Entry'!$Ī$48)</f>
      </c>
      <c r="IA48">
        <f>IF(ISBLANK('Data Entry'!$ī$48), "", 'Data Entry'!$ī$48)</f>
      </c>
      <c r="IB48">
        <f>IF(ISBLANK('Data Entry'!$Ĭ$48), "", 'Data Entry'!$Ĭ$48)</f>
      </c>
      <c r="IC48">
        <f>IF(ISBLANK('Data Entry'!$ĭ$48), "", 'Data Entry'!$ĭ$48)</f>
      </c>
      <c r="ID48">
        <f>IF(ISBLANK('Data Entry'!$Į$48), "", 'Data Entry'!$Į$48)</f>
      </c>
      <c r="IE48">
        <f>IF(ISBLANK('Data Entry'!$į$48), "", 'Data Entry'!$į$48)</f>
      </c>
      <c r="IF48">
        <f>IF(ISBLANK('Data Entry'!$İ$48), "", 'Data Entry'!$İ$48)</f>
      </c>
      <c r="IG48">
        <f>IF(ISBLANK('Data Entry'!$ı$48), "", 'Data Entry'!$ı$48)</f>
      </c>
      <c r="IH48">
        <f>IF(ISBLANK('Data Entry'!$Ĳ$48), "", 'Data Entry'!$Ĳ$48)</f>
      </c>
      <c r="II48">
        <f>IF(ISBLANK('Data Entry'!$ĳ$48), "", 'Data Entry'!$ĳ$48)</f>
      </c>
      <c r="IJ48">
        <f>IF(ISBLANK('Data Entry'!$Ĵ$48), "", 'Data Entry'!$Ĵ$48)</f>
      </c>
      <c r="IK48">
        <f>IF(ISBLANK('Data Entry'!$ĵ$48), "", 'Data Entry'!$ĵ$48)</f>
      </c>
      <c r="IL48">
        <f>IF(ISBLANK('Data Entry'!$Ķ$48), "", 'Data Entry'!$Ķ$48)</f>
      </c>
      <c r="IM48">
        <f>IF(ISBLANK('Data Entry'!$ķ$48), "", 'Data Entry'!$ķ$48)</f>
      </c>
      <c r="IN48">
        <f>IF(ISBLANK('Data Entry'!$ĸ$48), "", 'Data Entry'!$ĸ$48)</f>
      </c>
      <c r="IO48">
        <f>IF(ISBLANK('Data Entry'!$Ĺ$48), "", 'Data Entry'!$Ĺ$48)</f>
      </c>
      <c r="IP48">
        <f>IF(ISBLANK('Data Entry'!$ĺ$48), "", 'Data Entry'!$ĺ$48)</f>
      </c>
      <c r="IQ48">
        <f>IF(ISBLANK('Data Entry'!$Ļ$48), "", 'Data Entry'!$Ļ$48)</f>
      </c>
      <c r="IR48">
        <f>IF(ISBLANK('Data Entry'!$ļ$48), "", 'Data Entry'!$ļ$48)</f>
      </c>
      <c r="IS48">
        <f>IF(ISBLANK('Data Entry'!$Ľ$48), "", 'Data Entry'!$Ľ$48)</f>
      </c>
      <c r="IT48">
        <f>IF(ISBLANK('Data Entry'!$ľ$48), "", 'Data Entry'!$ľ$48)</f>
      </c>
    </row>
    <row r="49" spans="1:254" x14ac:dyDescent="0.25">
      <c r="A49">
        <f>IF(ISBLANK('Data Entry'!$A$49), "", 'Data Entry'!$A$49)</f>
      </c>
      <c r="B49">
        <f>IF(ISBLANK('Data Entry'!$B$49), "", 'Data Entry'!$B$49)</f>
      </c>
      <c r="C49">
        <f>IF(ISBLANK('Data Entry'!$C$49), "", 'Data Entry'!$C$49)</f>
      </c>
      <c r="D49">
        <f>IF(ISBLANK('Data Entry'!$D$49), "", 'Data Entry'!$D$49)</f>
      </c>
      <c r="E49">
        <f>IF(ISBLANK('Data Entry'!$E$49), "", 'Data Entry'!$E$49)</f>
      </c>
      <c r="F49">
        <f>IF(ISBLANK('Data Entry'!$F$49), "", 'Data Entry'!$F$49)</f>
      </c>
      <c r="G49">
        <f>IF(ISBLANK('Data Entry'!$G$49), "", 'Data Entry'!$G$49)</f>
      </c>
      <c r="H49">
        <f>IF(ISBLANK('Data Entry'!$H$49), "", 'Data Entry'!$H$49)</f>
      </c>
      <c r="I49">
        <f>IF(ISBLANK('Data Entry'!$I$49), "", 'Data Entry'!$I$49)</f>
      </c>
      <c r="J49">
        <f>IF(ISBLANK('Data Entry'!$J$49), "", 'Data Entry'!$J$49)</f>
      </c>
      <c r="K49">
        <f>IF(ISBLANK('Data Entry'!$K$49), "", 'Data Entry'!$K$49)</f>
      </c>
      <c r="L49">
        <f>IF(ISBLANK('Data Entry'!$L$49), "", 'Data Entry'!$L$49)</f>
      </c>
      <c r="M49">
        <f>IF(ISBLANK('Data Entry'!$M$49), "", 'Data Entry'!$M$49)</f>
      </c>
      <c r="N49">
        <f>IF(ISBLANK('Data Entry'!$N$49), "", 'Data Entry'!$N$49)</f>
      </c>
      <c r="O49">
        <f>IF(ISBLANK('Data Entry'!$O$49), "", 'Data Entry'!$O$49)</f>
      </c>
      <c r="P49">
        <f>IF(ISBLANK('Data Entry'!$P$49), "", 'Data Entry'!$P$49)</f>
      </c>
      <c r="Q49">
        <f>IF(ISBLANK('Data Entry'!$Q$49), "", 'Data Entry'!$Q$49)</f>
      </c>
      <c r="R49">
        <f>IF(ISBLANK('Data Entry'!$R$49), "", 'Data Entry'!$R$49)</f>
      </c>
      <c r="S49">
        <f>IF(ISBLANK('Data Entry'!$S$49), "", 'Data Entry'!$S$49)</f>
      </c>
      <c r="T49">
        <f>IF(ISBLANK('Data Entry'!$T$49), "", 'Data Entry'!$T$49)</f>
      </c>
      <c r="U49">
        <f>IF(ISBLANK('Data Entry'!$U$49), "", 'Data Entry'!$U$49)</f>
      </c>
      <c r="V49">
        <f>IF(ISBLANK('Data Entry'!$V$49), "", 'Data Entry'!$V$49)</f>
      </c>
      <c r="W49">
        <f>IF(ISBLANK('Data Entry'!$W$49), "", 'Data Entry'!$W$49)</f>
      </c>
      <c r="X49">
        <f>IF(ISBLANK('Data Entry'!$X$49), "", 'Data Entry'!$X$49)</f>
      </c>
      <c r="Y49">
        <f>IF(ISBLANK('Data Entry'!$Y$49), "", 'Data Entry'!$Y$49)</f>
      </c>
      <c r="Z49">
        <f>IF(ISBLANK('Data Entry'!$Z$49), "", 'Data Entry'!$Z$49)</f>
      </c>
      <c r="AA49">
        <f>IF(ISBLANK('Data Entry'!$[$49), "", 'Data Entry'!$[$49)</f>
      </c>
      <c r="AB49">
        <f>IF(ISBLANK('Data Entry'!$\$49), "", 'Data Entry'!$\$49)</f>
      </c>
      <c r="AC49">
        <f>IF(ISBLANK('Data Entry'!$]$49), "", 'Data Entry'!$]$49)</f>
      </c>
      <c r="AD49">
        <f>IF(ISBLANK('Data Entry'!$^$49), "", 'Data Entry'!$^$49)</f>
      </c>
      <c r="AE49">
        <f>IF(ISBLANK('Data Entry'!$_$49), "", 'Data Entry'!$_$49)</f>
      </c>
      <c r="AF49">
        <f>IF(ISBLANK('Data Entry'!$`$49), "", 'Data Entry'!$`$49)</f>
      </c>
      <c r="AG49">
        <f>IF(ISBLANK('Data Entry'!$a$49), "", 'Data Entry'!$a$49)</f>
      </c>
      <c r="AH49">
        <f>IF(ISBLANK('Data Entry'!$b$49), "", 'Data Entry'!$b$49)</f>
      </c>
      <c r="AI49">
        <f>IF(ISBLANK('Data Entry'!$c$49), "", 'Data Entry'!$c$49)</f>
      </c>
      <c r="AJ49">
        <f>IF(ISBLANK('Data Entry'!$d$49), "", 'Data Entry'!$d$49)</f>
      </c>
      <c r="AK49">
        <f>IF(ISBLANK('Data Entry'!$e$49), "", 'Data Entry'!$e$49)</f>
      </c>
      <c r="AL49">
        <f>IF(ISBLANK('Data Entry'!$f$49), "", 'Data Entry'!$f$49)</f>
      </c>
      <c r="AM49">
        <f>IF(ISBLANK('Data Entry'!$g$49), "", 'Data Entry'!$g$49)</f>
      </c>
      <c r="AN49">
        <f>IF(ISBLANK('Data Entry'!$h$49), "", 'Data Entry'!$h$49)</f>
      </c>
      <c r="AO49">
        <f>IF(ISBLANK('Data Entry'!$i$49), "", 'Data Entry'!$i$49)</f>
      </c>
      <c r="AP49">
        <f>IF(ISBLANK('Data Entry'!$j$49), "", 'Data Entry'!$j$49)</f>
      </c>
      <c r="AQ49">
        <f>IF(ISBLANK('Data Entry'!$k$49), "", 'Data Entry'!$k$49)</f>
      </c>
      <c r="AR49">
        <f>IF(ISBLANK('Data Entry'!$l$49), "", 'Data Entry'!$l$49)</f>
      </c>
      <c r="AS49">
        <f>IF(ISBLANK('Data Entry'!$m$49), "", 'Data Entry'!$m$49)</f>
      </c>
      <c r="AT49">
        <f>IF(ISBLANK('Data Entry'!$n$49), "", 'Data Entry'!$n$49)</f>
      </c>
      <c r="AU49">
        <f>IF(ISBLANK('Data Entry'!$o$49), "", 'Data Entry'!$o$49)</f>
      </c>
      <c r="AV49">
        <f>IF(ISBLANK('Data Entry'!$p$49), "", 'Data Entry'!$p$49)</f>
      </c>
      <c r="AW49">
        <f>IF(ISBLANK('Data Entry'!$q$49), "", 'Data Entry'!$q$49)</f>
      </c>
      <c r="AX49">
        <f>IF(ISBLANK('Data Entry'!$r$49), "", 'Data Entry'!$r$49)</f>
      </c>
      <c r="AY49">
        <f>IF(ISBLANK('Data Entry'!$s$49), "", 'Data Entry'!$s$49)</f>
      </c>
      <c r="AZ49">
        <f>IF(ISBLANK('Data Entry'!$t$49), "", 'Data Entry'!$t$49)</f>
      </c>
      <c r="BA49">
        <f>IF(ISBLANK('Data Entry'!$u$49), "", 'Data Entry'!$u$49)</f>
      </c>
      <c r="BB49">
        <f>IF(ISBLANK('Data Entry'!$v$49), "", 'Data Entry'!$v$49)</f>
      </c>
      <c r="BC49">
        <f>IF(ISBLANK('Data Entry'!$w$49), "", 'Data Entry'!$w$49)</f>
      </c>
      <c r="BD49">
        <f>IF(ISBLANK('Data Entry'!$x$49), "", 'Data Entry'!$x$49)</f>
      </c>
      <c r="BE49">
        <f>IF(ISBLANK('Data Entry'!$y$49), "", 'Data Entry'!$y$49)</f>
      </c>
      <c r="BF49">
        <f>IF(ISBLANK('Data Entry'!$z$49), "", 'Data Entry'!$z$49)</f>
      </c>
      <c r="BG49">
        <f>IF(ISBLANK('Data Entry'!${$49), "", 'Data Entry'!${$49)</f>
      </c>
      <c r="BH49">
        <f>IF(ISBLANK('Data Entry'!$|$49), "", 'Data Entry'!$|$49)</f>
      </c>
      <c r="BI49">
        <f>IF(ISBLANK('Data Entry'!$}$49), "", 'Data Entry'!$}$49)</f>
      </c>
      <c r="BJ49">
        <f>IF(ISBLANK('Data Entry'!$~$49), "", 'Data Entry'!$~$49)</f>
      </c>
      <c r="BK49">
        <f>IF(ISBLANK('Data Entry'!$$49), "", 'Data Entry'!$$49)</f>
      </c>
      <c r="BL49">
        <f>IF(ISBLANK('Data Entry'!$$49), "", 'Data Entry'!$$49)</f>
      </c>
      <c r="BM49">
        <f>IF(ISBLANK('Data Entry'!$$49), "", 'Data Entry'!$$49)</f>
      </c>
      <c r="BN49">
        <f>IF(ISBLANK('Data Entry'!$$49), "", 'Data Entry'!$$49)</f>
      </c>
      <c r="BO49">
        <f>IF(ISBLANK('Data Entry'!$$49), "", 'Data Entry'!$$49)</f>
      </c>
      <c r="BP49">
        <f>IF(ISBLANK('Data Entry'!$$49), "", 'Data Entry'!$$49)</f>
      </c>
      <c r="BQ49">
        <f>IF(ISBLANK('Data Entry'!$$49), "", 'Data Entry'!$$49)</f>
      </c>
      <c r="BR49">
        <f>IF(ISBLANK('Data Entry'!$$49), "", 'Data Entry'!$$49)</f>
      </c>
      <c r="BS49">
        <f>IF(ISBLANK('Data Entry'!$$49), "", 'Data Entry'!$$49)</f>
      </c>
      <c r="BT49">
        <f>IF(ISBLANK('Data Entry'!$$49), "", 'Data Entry'!$$49)</f>
      </c>
      <c r="BU49">
        <f>IF(ISBLANK('Data Entry'!$$49), "", 'Data Entry'!$$49)</f>
      </c>
      <c r="BV49">
        <f>IF(ISBLANK('Data Entry'!$$49), "", 'Data Entry'!$$49)</f>
      </c>
      <c r="BW49">
        <f>IF(ISBLANK('Data Entry'!$$49), "", 'Data Entry'!$$49)</f>
      </c>
      <c r="BX49">
        <f>IF(ISBLANK('Data Entry'!$$49), "", 'Data Entry'!$$49)</f>
      </c>
      <c r="BY49">
        <f>IF(ISBLANK('Data Entry'!$$49), "", 'Data Entry'!$$49)</f>
      </c>
      <c r="BZ49">
        <f>IF(ISBLANK('Data Entry'!$$49), "", 'Data Entry'!$$49)</f>
      </c>
      <c r="CA49">
        <f>IF(ISBLANK('Data Entry'!$$49), "", 'Data Entry'!$$49)</f>
      </c>
      <c r="CB49">
        <f>IF(ISBLANK('Data Entry'!$$49), "", 'Data Entry'!$$49)</f>
      </c>
      <c r="CC49">
        <f>IF(ISBLANK('Data Entry'!$$49), "", 'Data Entry'!$$49)</f>
      </c>
      <c r="CD49">
        <f>IF(ISBLANK('Data Entry'!$$49), "", 'Data Entry'!$$49)</f>
      </c>
      <c r="CE49">
        <f>IF(ISBLANK('Data Entry'!$$49), "", 'Data Entry'!$$49)</f>
      </c>
      <c r="CF49">
        <f>IF(ISBLANK('Data Entry'!$$49), "", 'Data Entry'!$$49)</f>
      </c>
      <c r="CG49">
        <f>IF(ISBLANK('Data Entry'!$$49), "", 'Data Entry'!$$49)</f>
      </c>
      <c r="CH49">
        <f>IF(ISBLANK('Data Entry'!$$49), "", 'Data Entry'!$$49)</f>
      </c>
      <c r="CI49">
        <f>IF(ISBLANK('Data Entry'!$$49), "", 'Data Entry'!$$49)</f>
      </c>
      <c r="CJ49">
        <f>IF(ISBLANK('Data Entry'!$$49), "", 'Data Entry'!$$49)</f>
      </c>
      <c r="CK49">
        <f>IF(ISBLANK('Data Entry'!$$49), "", 'Data Entry'!$$49)</f>
      </c>
      <c r="CL49">
        <f>IF(ISBLANK('Data Entry'!$$49), "", 'Data Entry'!$$49)</f>
      </c>
      <c r="CM49">
        <f>IF(ISBLANK('Data Entry'!$$49), "", 'Data Entry'!$$49)</f>
      </c>
      <c r="CN49">
        <f>IF(ISBLANK('Data Entry'!$$49), "", 'Data Entry'!$$49)</f>
      </c>
      <c r="CO49">
        <f>IF(ISBLANK('Data Entry'!$$49), "", 'Data Entry'!$$49)</f>
      </c>
      <c r="CP49">
        <f>IF(ISBLANK('Data Entry'!$$49), "", 'Data Entry'!$$49)</f>
      </c>
      <c r="CQ49">
        <f>IF(ISBLANK('Data Entry'!$$49), "", 'Data Entry'!$$49)</f>
      </c>
      <c r="CR49">
        <f>IF(ISBLANK('Data Entry'!$ $49), "", 'Data Entry'!$ $49)</f>
      </c>
      <c r="CS49">
        <f>IF(ISBLANK('Data Entry'!$¡$49), "", 'Data Entry'!$¡$49)</f>
      </c>
      <c r="CT49">
        <f>IF(ISBLANK('Data Entry'!$¢$49), "", 'Data Entry'!$¢$49)</f>
      </c>
      <c r="CU49">
        <f>IF(ISBLANK('Data Entry'!$£$49), "", 'Data Entry'!$£$49)</f>
      </c>
      <c r="CV49">
        <f>IF(ISBLANK('Data Entry'!$¤$49), "", 'Data Entry'!$¤$49)</f>
      </c>
      <c r="CW49">
        <f>IF(ISBLANK('Data Entry'!$¥$49), "", 'Data Entry'!$¥$49)</f>
      </c>
      <c r="CX49">
        <f>IF(ISBLANK('Data Entry'!$¦$49), "", 'Data Entry'!$¦$49)</f>
      </c>
      <c r="CY49">
        <f>IF(ISBLANK('Data Entry'!$§$49), "", 'Data Entry'!$§$49)</f>
      </c>
      <c r="CZ49">
        <f>IF(ISBLANK('Data Entry'!$¨$49), "", 'Data Entry'!$¨$49)</f>
      </c>
      <c r="DA49">
        <f>IF(ISBLANK('Data Entry'!$©$49), "", 'Data Entry'!$©$49)</f>
      </c>
      <c r="DB49">
        <f>IF(ISBLANK('Data Entry'!$ª$49), "", 'Data Entry'!$ª$49)</f>
      </c>
      <c r="DC49">
        <f>IF(ISBLANK('Data Entry'!$«$49), "", 'Data Entry'!$«$49)</f>
      </c>
      <c r="DD49">
        <f>IF(ISBLANK('Data Entry'!$¬$49), "", 'Data Entry'!$¬$49)</f>
      </c>
      <c r="DE49">
        <f>IF(ISBLANK('Data Entry'!$­$49), "", 'Data Entry'!$­$49)</f>
      </c>
      <c r="DF49">
        <f>IF(ISBLANK('Data Entry'!$®$49), "", 'Data Entry'!$®$49)</f>
      </c>
      <c r="DG49">
        <f>IF(ISBLANK('Data Entry'!$¯$49), "", 'Data Entry'!$¯$49)</f>
      </c>
      <c r="DH49">
        <f>IF(ISBLANK('Data Entry'!$°$49), "", 'Data Entry'!$°$49)</f>
      </c>
      <c r="DI49">
        <f>IF(ISBLANK('Data Entry'!$±$49), "", 'Data Entry'!$±$49)</f>
      </c>
      <c r="DJ49">
        <f>IF(ISBLANK('Data Entry'!$²$49), "", 'Data Entry'!$²$49)</f>
      </c>
      <c r="DK49">
        <f>IF(ISBLANK('Data Entry'!$³$49), "", 'Data Entry'!$³$49)</f>
      </c>
      <c r="DL49">
        <f>IF(ISBLANK('Data Entry'!$´$49), "", 'Data Entry'!$´$49)</f>
      </c>
      <c r="DM49">
        <f>IF(ISBLANK('Data Entry'!$µ$49), "", 'Data Entry'!$µ$49)</f>
      </c>
      <c r="DN49">
        <f>IF(ISBLANK('Data Entry'!$¶$49), "", 'Data Entry'!$¶$49)</f>
      </c>
      <c r="DO49">
        <f>IF(ISBLANK('Data Entry'!$·$49), "", 'Data Entry'!$·$49)</f>
      </c>
      <c r="DP49">
        <f>IF(ISBLANK('Data Entry'!$¸$49), "", 'Data Entry'!$¸$49)</f>
      </c>
      <c r="DQ49">
        <f>IF(ISBLANK('Data Entry'!$¹$49), "", 'Data Entry'!$¹$49)</f>
      </c>
      <c r="DR49">
        <f>IF(ISBLANK('Data Entry'!$º$49), "", 'Data Entry'!$º$49)</f>
      </c>
      <c r="DS49">
        <f>IF(ISBLANK('Data Entry'!$»$49), "", 'Data Entry'!$»$49)</f>
      </c>
      <c r="DT49">
        <f>IF(ISBLANK('Data Entry'!$¼$49), "", 'Data Entry'!$¼$49)</f>
      </c>
      <c r="DU49">
        <f>IF(ISBLANK('Data Entry'!$½$49), "", 'Data Entry'!$½$49)</f>
      </c>
      <c r="DV49">
        <f>IF(ISBLANK('Data Entry'!$¾$49), "", 'Data Entry'!$¾$49)</f>
      </c>
      <c r="DW49">
        <f>IF(ISBLANK('Data Entry'!$¿$49), "", 'Data Entry'!$¿$49)</f>
      </c>
      <c r="DX49">
        <f>IF(ISBLANK('Data Entry'!$À$49), "", 'Data Entry'!$À$49)</f>
      </c>
      <c r="DY49">
        <f>IF(ISBLANK('Data Entry'!$Á$49), "", 'Data Entry'!$Á$49)</f>
      </c>
      <c r="DZ49">
        <f>IF(ISBLANK('Data Entry'!$Â$49), "", 'Data Entry'!$Â$49)</f>
      </c>
      <c r="EA49">
        <f>IF(ISBLANK('Data Entry'!$Ã$49), "", 'Data Entry'!$Ã$49)</f>
      </c>
      <c r="EB49">
        <f>IF(ISBLANK('Data Entry'!$Ä$49), "", 'Data Entry'!$Ä$49)</f>
      </c>
      <c r="EC49">
        <f>IF(ISBLANK('Data Entry'!$Å$49), "", 'Data Entry'!$Å$49)</f>
      </c>
      <c r="ED49">
        <f>IF(ISBLANK('Data Entry'!$Æ$49), "", 'Data Entry'!$Æ$49)</f>
      </c>
      <c r="EE49">
        <f>IF(ISBLANK('Data Entry'!$Ç$49), "", 'Data Entry'!$Ç$49)</f>
      </c>
      <c r="EF49">
        <f>IF(ISBLANK('Data Entry'!$È$49), "", 'Data Entry'!$È$49)</f>
      </c>
      <c r="EG49">
        <f>IF(ISBLANK('Data Entry'!$É$49), "", 'Data Entry'!$É$49)</f>
      </c>
      <c r="EH49">
        <f>IF(ISBLANK('Data Entry'!$Ê$49), "", 'Data Entry'!$Ê$49)</f>
      </c>
      <c r="EI49">
        <f>IF(ISBLANK('Data Entry'!$Ë$49), "", 'Data Entry'!$Ë$49)</f>
      </c>
      <c r="EJ49">
        <f>IF(ISBLANK('Data Entry'!$Ì$49), "", 'Data Entry'!$Ì$49)</f>
      </c>
      <c r="EK49">
        <f>IF(ISBLANK('Data Entry'!$Í$49), "", 'Data Entry'!$Í$49)</f>
      </c>
      <c r="EL49">
        <f>IF(ISBLANK('Data Entry'!$Î$49), "", 'Data Entry'!$Î$49)</f>
      </c>
      <c r="EM49">
        <f>IF(ISBLANK('Data Entry'!$Ï$49), "", 'Data Entry'!$Ï$49)</f>
      </c>
      <c r="EN49">
        <f>IF(ISBLANK('Data Entry'!$Ð$49), "", 'Data Entry'!$Ð$49)</f>
      </c>
      <c r="EO49">
        <f>IF(ISBLANK('Data Entry'!$Ñ$49), "", 'Data Entry'!$Ñ$49)</f>
      </c>
      <c r="EP49">
        <f>IF(ISBLANK('Data Entry'!$Ò$49), "", 'Data Entry'!$Ò$49)</f>
      </c>
      <c r="EQ49">
        <f>IF(ISBLANK('Data Entry'!$Ó$49), "", 'Data Entry'!$Ó$49)</f>
      </c>
      <c r="ER49">
        <f>IF(ISBLANK('Data Entry'!$Ô$49), "", 'Data Entry'!$Ô$49)</f>
      </c>
      <c r="ES49">
        <f>IF(ISBLANK('Data Entry'!$Õ$49), "", 'Data Entry'!$Õ$49)</f>
      </c>
      <c r="ET49">
        <f>IF(ISBLANK('Data Entry'!$Ö$49), "", 'Data Entry'!$Ö$49)</f>
      </c>
      <c r="EU49">
        <f>IF(ISBLANK('Data Entry'!$×$49), "", 'Data Entry'!$×$49)</f>
      </c>
      <c r="EV49">
        <f>IF(ISBLANK('Data Entry'!$Ø$49), "", 'Data Entry'!$Ø$49)</f>
      </c>
      <c r="EW49">
        <f>IF(ISBLANK('Data Entry'!$Ù$49), "", 'Data Entry'!$Ù$49)</f>
      </c>
      <c r="EX49">
        <f>IF(ISBLANK('Data Entry'!$Ú$49), "", 'Data Entry'!$Ú$49)</f>
      </c>
      <c r="EY49">
        <f>IF(ISBLANK('Data Entry'!$Û$49), "", 'Data Entry'!$Û$49)</f>
      </c>
      <c r="EZ49">
        <f>IF(ISBLANK('Data Entry'!$Ü$49), "", 'Data Entry'!$Ü$49)</f>
      </c>
      <c r="FA49">
        <f>IF(ISBLANK('Data Entry'!$Ý$49), "", 'Data Entry'!$Ý$49)</f>
      </c>
      <c r="FB49">
        <f>IF(ISBLANK('Data Entry'!$Þ$49), "", 'Data Entry'!$Þ$49)</f>
      </c>
      <c r="FC49">
        <f>IF(ISBLANK('Data Entry'!$ß$49), "", 'Data Entry'!$ß$49)</f>
      </c>
      <c r="FD49">
        <f>IF(ISBLANK('Data Entry'!$à$49), "", 'Data Entry'!$à$49)</f>
      </c>
      <c r="FE49">
        <f>IF(ISBLANK('Data Entry'!$á$49), "", 'Data Entry'!$á$49)</f>
      </c>
      <c r="FF49">
        <f>IF(ISBLANK('Data Entry'!$â$49), "", 'Data Entry'!$â$49)</f>
      </c>
      <c r="FG49">
        <f>IF(ISBLANK('Data Entry'!$ã$49), "", 'Data Entry'!$ã$49)</f>
      </c>
      <c r="FH49">
        <f>IF(ISBLANK('Data Entry'!$ä$49), "", 'Data Entry'!$ä$49)</f>
      </c>
      <c r="FI49">
        <f>IF(ISBLANK('Data Entry'!$å$49), "", 'Data Entry'!$å$49)</f>
      </c>
      <c r="FJ49">
        <f>IF(ISBLANK('Data Entry'!$æ$49), "", 'Data Entry'!$æ$49)</f>
      </c>
      <c r="FK49">
        <f>IF(ISBLANK('Data Entry'!$ç$49), "", 'Data Entry'!$ç$49)</f>
      </c>
      <c r="FL49">
        <f>IF(ISBLANK('Data Entry'!$è$49), "", 'Data Entry'!$è$49)</f>
      </c>
      <c r="FM49">
        <f>IF(ISBLANK('Data Entry'!$é$49), "", 'Data Entry'!$é$49)</f>
      </c>
      <c r="FN49">
        <f>IF(ISBLANK('Data Entry'!$ê$49), "", 'Data Entry'!$ê$49)</f>
      </c>
      <c r="FO49">
        <f>IF(ISBLANK('Data Entry'!$ë$49), "", 'Data Entry'!$ë$49)</f>
      </c>
      <c r="FP49">
        <f>IF(ISBLANK('Data Entry'!$ì$49), "", 'Data Entry'!$ì$49)</f>
      </c>
      <c r="FQ49">
        <f>IF(ISBLANK('Data Entry'!$í$49), "", 'Data Entry'!$í$49)</f>
      </c>
      <c r="FR49">
        <f>IF(ISBLANK('Data Entry'!$î$49), "", 'Data Entry'!$î$49)</f>
      </c>
      <c r="FS49">
        <f>IF(ISBLANK('Data Entry'!$ï$49), "", 'Data Entry'!$ï$49)</f>
      </c>
      <c r="FT49">
        <f>IF(ISBLANK('Data Entry'!$ð$49), "", 'Data Entry'!$ð$49)</f>
      </c>
      <c r="FU49">
        <f>IF(ISBLANK('Data Entry'!$ñ$49), "", 'Data Entry'!$ñ$49)</f>
      </c>
      <c r="FV49">
        <f>IF(ISBLANK('Data Entry'!$ò$49), "", 'Data Entry'!$ò$49)</f>
      </c>
      <c r="FW49">
        <f>IF(ISBLANK('Data Entry'!$ó$49), "", 'Data Entry'!$ó$49)</f>
      </c>
      <c r="FX49">
        <f>IF(ISBLANK('Data Entry'!$ô$49), "", 'Data Entry'!$ô$49)</f>
      </c>
      <c r="FY49">
        <f>IF(ISBLANK('Data Entry'!$õ$49), "", 'Data Entry'!$õ$49)</f>
      </c>
      <c r="FZ49">
        <f>IF(ISBLANK('Data Entry'!$ö$49), "", 'Data Entry'!$ö$49)</f>
      </c>
      <c r="GA49">
        <f>IF(ISBLANK('Data Entry'!$÷$49), "", 'Data Entry'!$÷$49)</f>
      </c>
      <c r="GB49">
        <f>IF(ISBLANK('Data Entry'!$ø$49), "", 'Data Entry'!$ø$49)</f>
      </c>
      <c r="GC49">
        <f>IF(ISBLANK('Data Entry'!$ù$49), "", 'Data Entry'!$ù$49)</f>
      </c>
      <c r="GD49">
        <f>IF(ISBLANK('Data Entry'!$ú$49), "", 'Data Entry'!$ú$49)</f>
      </c>
      <c r="GE49">
        <f>IF(ISBLANK('Data Entry'!$û$49), "", 'Data Entry'!$û$49)</f>
      </c>
      <c r="GF49">
        <f>IF(ISBLANK('Data Entry'!$ü$49), "", 'Data Entry'!$ü$49)</f>
      </c>
      <c r="GG49">
        <f>IF(ISBLANK('Data Entry'!$ý$49), "", 'Data Entry'!$ý$49)</f>
      </c>
      <c r="GH49">
        <f>IF(ISBLANK('Data Entry'!$þ$49), "", 'Data Entry'!$þ$49)</f>
      </c>
      <c r="GI49">
        <f>IF(ISBLANK('Data Entry'!$ÿ$49), "", 'Data Entry'!$ÿ$49)</f>
      </c>
      <c r="GJ49">
        <f>IF(ISBLANK('Data Entry'!$Ā$49), "", 'Data Entry'!$Ā$49)</f>
      </c>
      <c r="GK49">
        <f>IF(ISBLANK('Data Entry'!$ā$49), "", 'Data Entry'!$ā$49)</f>
      </c>
      <c r="GL49">
        <f>IF(ISBLANK('Data Entry'!$Ă$49), "", 'Data Entry'!$Ă$49)</f>
      </c>
      <c r="GM49">
        <f>IF(ISBLANK('Data Entry'!$ă$49), "", 'Data Entry'!$ă$49)</f>
      </c>
      <c r="GN49">
        <f>IF(ISBLANK('Data Entry'!$Ą$49), "", 'Data Entry'!$Ą$49)</f>
      </c>
      <c r="GO49">
        <f>IF(ISBLANK('Data Entry'!$ą$49), "", 'Data Entry'!$ą$49)</f>
      </c>
      <c r="GP49">
        <f>IF(ISBLANK('Data Entry'!$Ć$49), "", 'Data Entry'!$Ć$49)</f>
      </c>
      <c r="GQ49">
        <f>IF(ISBLANK('Data Entry'!$ć$49), "", 'Data Entry'!$ć$49)</f>
      </c>
      <c r="GR49">
        <f>IF(ISBLANK('Data Entry'!$Ĉ$49), "", 'Data Entry'!$Ĉ$49)</f>
      </c>
      <c r="GS49">
        <f>IF(ISBLANK('Data Entry'!$ĉ$49), "", 'Data Entry'!$ĉ$49)</f>
      </c>
      <c r="GT49">
        <f>IF(ISBLANK('Data Entry'!$Ċ$49), "", 'Data Entry'!$Ċ$49)</f>
      </c>
      <c r="GU49">
        <f>IF(ISBLANK('Data Entry'!$ċ$49), "", 'Data Entry'!$ċ$49)</f>
      </c>
      <c r="GV49">
        <f>IF(ISBLANK('Data Entry'!$Č$49), "", 'Data Entry'!$Č$49)</f>
      </c>
      <c r="GW49">
        <f>IF(ISBLANK('Data Entry'!$č$49), "", 'Data Entry'!$č$49)</f>
      </c>
      <c r="GX49">
        <f>IF(ISBLANK('Data Entry'!$Ď$49), "", 'Data Entry'!$Ď$49)</f>
      </c>
      <c r="GY49">
        <f>IF(ISBLANK('Data Entry'!$ď$49), "", 'Data Entry'!$ď$49)</f>
      </c>
      <c r="GZ49">
        <f>IF(ISBLANK('Data Entry'!$Đ$49), "", 'Data Entry'!$Đ$49)</f>
      </c>
      <c r="HA49">
        <f>IF(ISBLANK('Data Entry'!$đ$49), "", 'Data Entry'!$đ$49)</f>
      </c>
      <c r="HB49">
        <f>IF(ISBLANK('Data Entry'!$Ē$49), "", 'Data Entry'!$Ē$49)</f>
      </c>
      <c r="HC49">
        <f>IF(ISBLANK('Data Entry'!$ē$49), "", 'Data Entry'!$ē$49)</f>
      </c>
      <c r="HD49">
        <f>IF(ISBLANK('Data Entry'!$Ĕ$49), "", 'Data Entry'!$Ĕ$49)</f>
      </c>
      <c r="HE49">
        <f>IF(ISBLANK('Data Entry'!$ĕ$49), "", 'Data Entry'!$ĕ$49)</f>
      </c>
      <c r="HF49">
        <f>IF(ISBLANK('Data Entry'!$Ė$49), "", 'Data Entry'!$Ė$49)</f>
      </c>
      <c r="HG49">
        <f>IF(ISBLANK('Data Entry'!$ė$49), "", 'Data Entry'!$ė$49)</f>
      </c>
      <c r="HH49">
        <f>IF(ISBLANK('Data Entry'!$Ę$49), "", 'Data Entry'!$Ę$49)</f>
      </c>
      <c r="HI49">
        <f>IF(ISBLANK('Data Entry'!$ę$49), "", 'Data Entry'!$ę$49)</f>
      </c>
      <c r="HJ49">
        <f>IF(ISBLANK('Data Entry'!$Ě$49), "", 'Data Entry'!$Ě$49)</f>
      </c>
      <c r="HK49">
        <f>IF(ISBLANK('Data Entry'!$ě$49), "", 'Data Entry'!$ě$49)</f>
      </c>
      <c r="HL49">
        <f>IF(ISBLANK('Data Entry'!$Ĝ$49), "", 'Data Entry'!$Ĝ$49)</f>
      </c>
      <c r="HM49">
        <f>IF(ISBLANK('Data Entry'!$ĝ$49), "", 'Data Entry'!$ĝ$49)</f>
      </c>
      <c r="HN49">
        <f>IF(ISBLANK('Data Entry'!$Ğ$49), "", 'Data Entry'!$Ğ$49)</f>
      </c>
      <c r="HO49">
        <f>IF(ISBLANK('Data Entry'!$ğ$49), "", 'Data Entry'!$ğ$49)</f>
      </c>
      <c r="HP49">
        <f>IF(ISBLANK('Data Entry'!$Ġ$49), "", 'Data Entry'!$Ġ$49)</f>
      </c>
      <c r="HQ49">
        <f>IF(ISBLANK('Data Entry'!$ġ$49), "", 'Data Entry'!$ġ$49)</f>
      </c>
      <c r="HR49">
        <f>IF(ISBLANK('Data Entry'!$Ģ$49), "", 'Data Entry'!$Ģ$49)</f>
      </c>
      <c r="HS49">
        <f>IF(ISBLANK('Data Entry'!$ģ$49), "", 'Data Entry'!$ģ$49)</f>
      </c>
      <c r="HT49">
        <f>IF(ISBLANK('Data Entry'!$Ĥ$49), "", 'Data Entry'!$Ĥ$49)</f>
      </c>
      <c r="HU49">
        <f>IF(ISBLANK('Data Entry'!$ĥ$49), "", 'Data Entry'!$ĥ$49)</f>
      </c>
      <c r="HV49">
        <f>IF(ISBLANK('Data Entry'!$Ħ$49), "", 'Data Entry'!$Ħ$49)</f>
      </c>
      <c r="HW49">
        <f>IF(ISBLANK('Data Entry'!$ħ$49), "", 'Data Entry'!$ħ$49)</f>
      </c>
      <c r="HX49">
        <f>IF(ISBLANK('Data Entry'!$Ĩ$49), "", 'Data Entry'!$Ĩ$49)</f>
      </c>
      <c r="HY49">
        <f>IF(ISBLANK('Data Entry'!$ĩ$49), "", 'Data Entry'!$ĩ$49)</f>
      </c>
      <c r="HZ49">
        <f>IF(ISBLANK('Data Entry'!$Ī$49), "", 'Data Entry'!$Ī$49)</f>
      </c>
      <c r="IA49">
        <f>IF(ISBLANK('Data Entry'!$ī$49), "", 'Data Entry'!$ī$49)</f>
      </c>
      <c r="IB49">
        <f>IF(ISBLANK('Data Entry'!$Ĭ$49), "", 'Data Entry'!$Ĭ$49)</f>
      </c>
      <c r="IC49">
        <f>IF(ISBLANK('Data Entry'!$ĭ$49), "", 'Data Entry'!$ĭ$49)</f>
      </c>
      <c r="ID49">
        <f>IF(ISBLANK('Data Entry'!$Į$49), "", 'Data Entry'!$Į$49)</f>
      </c>
      <c r="IE49">
        <f>IF(ISBLANK('Data Entry'!$į$49), "", 'Data Entry'!$į$49)</f>
      </c>
      <c r="IF49">
        <f>IF(ISBLANK('Data Entry'!$İ$49), "", 'Data Entry'!$İ$49)</f>
      </c>
      <c r="IG49">
        <f>IF(ISBLANK('Data Entry'!$ı$49), "", 'Data Entry'!$ı$49)</f>
      </c>
      <c r="IH49">
        <f>IF(ISBLANK('Data Entry'!$Ĳ$49), "", 'Data Entry'!$Ĳ$49)</f>
      </c>
      <c r="II49">
        <f>IF(ISBLANK('Data Entry'!$ĳ$49), "", 'Data Entry'!$ĳ$49)</f>
      </c>
      <c r="IJ49">
        <f>IF(ISBLANK('Data Entry'!$Ĵ$49), "", 'Data Entry'!$Ĵ$49)</f>
      </c>
      <c r="IK49">
        <f>IF(ISBLANK('Data Entry'!$ĵ$49), "", 'Data Entry'!$ĵ$49)</f>
      </c>
      <c r="IL49">
        <f>IF(ISBLANK('Data Entry'!$Ķ$49), "", 'Data Entry'!$Ķ$49)</f>
      </c>
      <c r="IM49">
        <f>IF(ISBLANK('Data Entry'!$ķ$49), "", 'Data Entry'!$ķ$49)</f>
      </c>
      <c r="IN49">
        <f>IF(ISBLANK('Data Entry'!$ĸ$49), "", 'Data Entry'!$ĸ$49)</f>
      </c>
      <c r="IO49">
        <f>IF(ISBLANK('Data Entry'!$Ĺ$49), "", 'Data Entry'!$Ĺ$49)</f>
      </c>
      <c r="IP49">
        <f>IF(ISBLANK('Data Entry'!$ĺ$49), "", 'Data Entry'!$ĺ$49)</f>
      </c>
      <c r="IQ49">
        <f>IF(ISBLANK('Data Entry'!$Ļ$49), "", 'Data Entry'!$Ļ$49)</f>
      </c>
      <c r="IR49">
        <f>IF(ISBLANK('Data Entry'!$ļ$49), "", 'Data Entry'!$ļ$49)</f>
      </c>
      <c r="IS49">
        <f>IF(ISBLANK('Data Entry'!$Ľ$49), "", 'Data Entry'!$Ľ$49)</f>
      </c>
      <c r="IT49">
        <f>IF(ISBLANK('Data Entry'!$ľ$49), "", 'Data Entry'!$ľ$49)</f>
      </c>
    </row>
    <row r="50" spans="1:254" x14ac:dyDescent="0.25">
      <c r="A50">
        <f>IF(ISBLANK('Data Entry'!$A$50), "", 'Data Entry'!$A$50)</f>
      </c>
      <c r="B50">
        <f>IF(ISBLANK('Data Entry'!$B$50), "", 'Data Entry'!$B$50)</f>
      </c>
      <c r="C50">
        <f>IF(ISBLANK('Data Entry'!$C$50), "", 'Data Entry'!$C$50)</f>
      </c>
      <c r="D50">
        <f>IF(ISBLANK('Data Entry'!$D$50), "", 'Data Entry'!$D$50)</f>
      </c>
      <c r="E50">
        <f>IF(ISBLANK('Data Entry'!$E$50), "", 'Data Entry'!$E$50)</f>
      </c>
      <c r="F50">
        <f>IF(ISBLANK('Data Entry'!$F$50), "", 'Data Entry'!$F$50)</f>
      </c>
      <c r="G50">
        <f>IF(ISBLANK('Data Entry'!$G$50), "", 'Data Entry'!$G$50)</f>
      </c>
      <c r="H50">
        <f>IF(ISBLANK('Data Entry'!$H$50), "", 'Data Entry'!$H$50)</f>
      </c>
      <c r="I50">
        <f>IF(ISBLANK('Data Entry'!$I$50), "", 'Data Entry'!$I$50)</f>
      </c>
      <c r="J50">
        <f>IF(ISBLANK('Data Entry'!$J$50), "", 'Data Entry'!$J$50)</f>
      </c>
      <c r="K50">
        <f>IF(ISBLANK('Data Entry'!$K$50), "", 'Data Entry'!$K$50)</f>
      </c>
      <c r="L50">
        <f>IF(ISBLANK('Data Entry'!$L$50), "", 'Data Entry'!$L$50)</f>
      </c>
      <c r="M50">
        <f>IF(ISBLANK('Data Entry'!$M$50), "", 'Data Entry'!$M$50)</f>
      </c>
      <c r="N50">
        <f>IF(ISBLANK('Data Entry'!$N$50), "", 'Data Entry'!$N$50)</f>
      </c>
      <c r="O50">
        <f>IF(ISBLANK('Data Entry'!$O$50), "", 'Data Entry'!$O$50)</f>
      </c>
      <c r="P50">
        <f>IF(ISBLANK('Data Entry'!$P$50), "", 'Data Entry'!$P$50)</f>
      </c>
      <c r="Q50">
        <f>IF(ISBLANK('Data Entry'!$Q$50), "", 'Data Entry'!$Q$50)</f>
      </c>
      <c r="R50">
        <f>IF(ISBLANK('Data Entry'!$R$50), "", 'Data Entry'!$R$50)</f>
      </c>
      <c r="S50">
        <f>IF(ISBLANK('Data Entry'!$S$50), "", 'Data Entry'!$S$50)</f>
      </c>
      <c r="T50">
        <f>IF(ISBLANK('Data Entry'!$T$50), "", 'Data Entry'!$T$50)</f>
      </c>
      <c r="U50">
        <f>IF(ISBLANK('Data Entry'!$U$50), "", 'Data Entry'!$U$50)</f>
      </c>
      <c r="V50">
        <f>IF(ISBLANK('Data Entry'!$V$50), "", 'Data Entry'!$V$50)</f>
      </c>
      <c r="W50">
        <f>IF(ISBLANK('Data Entry'!$W$50), "", 'Data Entry'!$W$50)</f>
      </c>
      <c r="X50">
        <f>IF(ISBLANK('Data Entry'!$X$50), "", 'Data Entry'!$X$50)</f>
      </c>
      <c r="Y50">
        <f>IF(ISBLANK('Data Entry'!$Y$50), "", 'Data Entry'!$Y$50)</f>
      </c>
      <c r="Z50">
        <f>IF(ISBLANK('Data Entry'!$Z$50), "", 'Data Entry'!$Z$50)</f>
      </c>
      <c r="AA50">
        <f>IF(ISBLANK('Data Entry'!$[$50), "", 'Data Entry'!$[$50)</f>
      </c>
      <c r="AB50">
        <f>IF(ISBLANK('Data Entry'!$\$50), "", 'Data Entry'!$\$50)</f>
      </c>
      <c r="AC50">
        <f>IF(ISBLANK('Data Entry'!$]$50), "", 'Data Entry'!$]$50)</f>
      </c>
      <c r="AD50">
        <f>IF(ISBLANK('Data Entry'!$^$50), "", 'Data Entry'!$^$50)</f>
      </c>
      <c r="AE50">
        <f>IF(ISBLANK('Data Entry'!$_$50), "", 'Data Entry'!$_$50)</f>
      </c>
      <c r="AF50">
        <f>IF(ISBLANK('Data Entry'!$`$50), "", 'Data Entry'!$`$50)</f>
      </c>
      <c r="AG50">
        <f>IF(ISBLANK('Data Entry'!$a$50), "", 'Data Entry'!$a$50)</f>
      </c>
      <c r="AH50">
        <f>IF(ISBLANK('Data Entry'!$b$50), "", 'Data Entry'!$b$50)</f>
      </c>
      <c r="AI50">
        <f>IF(ISBLANK('Data Entry'!$c$50), "", 'Data Entry'!$c$50)</f>
      </c>
      <c r="AJ50">
        <f>IF(ISBLANK('Data Entry'!$d$50), "", 'Data Entry'!$d$50)</f>
      </c>
      <c r="AK50">
        <f>IF(ISBLANK('Data Entry'!$e$50), "", 'Data Entry'!$e$50)</f>
      </c>
      <c r="AL50">
        <f>IF(ISBLANK('Data Entry'!$f$50), "", 'Data Entry'!$f$50)</f>
      </c>
      <c r="AM50">
        <f>IF(ISBLANK('Data Entry'!$g$50), "", 'Data Entry'!$g$50)</f>
      </c>
      <c r="AN50">
        <f>IF(ISBLANK('Data Entry'!$h$50), "", 'Data Entry'!$h$50)</f>
      </c>
      <c r="AO50">
        <f>IF(ISBLANK('Data Entry'!$i$50), "", 'Data Entry'!$i$50)</f>
      </c>
      <c r="AP50">
        <f>IF(ISBLANK('Data Entry'!$j$50), "", 'Data Entry'!$j$50)</f>
      </c>
      <c r="AQ50">
        <f>IF(ISBLANK('Data Entry'!$k$50), "", 'Data Entry'!$k$50)</f>
      </c>
      <c r="AR50">
        <f>IF(ISBLANK('Data Entry'!$l$50), "", 'Data Entry'!$l$50)</f>
      </c>
      <c r="AS50">
        <f>IF(ISBLANK('Data Entry'!$m$50), "", 'Data Entry'!$m$50)</f>
      </c>
      <c r="AT50">
        <f>IF(ISBLANK('Data Entry'!$n$50), "", 'Data Entry'!$n$50)</f>
      </c>
      <c r="AU50">
        <f>IF(ISBLANK('Data Entry'!$o$50), "", 'Data Entry'!$o$50)</f>
      </c>
      <c r="AV50">
        <f>IF(ISBLANK('Data Entry'!$p$50), "", 'Data Entry'!$p$50)</f>
      </c>
      <c r="AW50">
        <f>IF(ISBLANK('Data Entry'!$q$50), "", 'Data Entry'!$q$50)</f>
      </c>
      <c r="AX50">
        <f>IF(ISBLANK('Data Entry'!$r$50), "", 'Data Entry'!$r$50)</f>
      </c>
      <c r="AY50">
        <f>IF(ISBLANK('Data Entry'!$s$50), "", 'Data Entry'!$s$50)</f>
      </c>
      <c r="AZ50">
        <f>IF(ISBLANK('Data Entry'!$t$50), "", 'Data Entry'!$t$50)</f>
      </c>
      <c r="BA50">
        <f>IF(ISBLANK('Data Entry'!$u$50), "", 'Data Entry'!$u$50)</f>
      </c>
      <c r="BB50">
        <f>IF(ISBLANK('Data Entry'!$v$50), "", 'Data Entry'!$v$50)</f>
      </c>
      <c r="BC50">
        <f>IF(ISBLANK('Data Entry'!$w$50), "", 'Data Entry'!$w$50)</f>
      </c>
      <c r="BD50">
        <f>IF(ISBLANK('Data Entry'!$x$50), "", 'Data Entry'!$x$50)</f>
      </c>
      <c r="BE50">
        <f>IF(ISBLANK('Data Entry'!$y$50), "", 'Data Entry'!$y$50)</f>
      </c>
      <c r="BF50">
        <f>IF(ISBLANK('Data Entry'!$z$50), "", 'Data Entry'!$z$50)</f>
      </c>
      <c r="BG50">
        <f>IF(ISBLANK('Data Entry'!${$50), "", 'Data Entry'!${$50)</f>
      </c>
      <c r="BH50">
        <f>IF(ISBLANK('Data Entry'!$|$50), "", 'Data Entry'!$|$50)</f>
      </c>
      <c r="BI50">
        <f>IF(ISBLANK('Data Entry'!$}$50), "", 'Data Entry'!$}$50)</f>
      </c>
      <c r="BJ50">
        <f>IF(ISBLANK('Data Entry'!$~$50), "", 'Data Entry'!$~$50)</f>
      </c>
      <c r="BK50">
        <f>IF(ISBLANK('Data Entry'!$$50), "", 'Data Entry'!$$50)</f>
      </c>
      <c r="BL50">
        <f>IF(ISBLANK('Data Entry'!$$50), "", 'Data Entry'!$$50)</f>
      </c>
      <c r="BM50">
        <f>IF(ISBLANK('Data Entry'!$$50), "", 'Data Entry'!$$50)</f>
      </c>
      <c r="BN50">
        <f>IF(ISBLANK('Data Entry'!$$50), "", 'Data Entry'!$$50)</f>
      </c>
      <c r="BO50">
        <f>IF(ISBLANK('Data Entry'!$$50), "", 'Data Entry'!$$50)</f>
      </c>
      <c r="BP50">
        <f>IF(ISBLANK('Data Entry'!$$50), "", 'Data Entry'!$$50)</f>
      </c>
      <c r="BQ50">
        <f>IF(ISBLANK('Data Entry'!$$50), "", 'Data Entry'!$$50)</f>
      </c>
      <c r="BR50">
        <f>IF(ISBLANK('Data Entry'!$$50), "", 'Data Entry'!$$50)</f>
      </c>
      <c r="BS50">
        <f>IF(ISBLANK('Data Entry'!$$50), "", 'Data Entry'!$$50)</f>
      </c>
      <c r="BT50">
        <f>IF(ISBLANK('Data Entry'!$$50), "", 'Data Entry'!$$50)</f>
      </c>
      <c r="BU50">
        <f>IF(ISBLANK('Data Entry'!$$50), "", 'Data Entry'!$$50)</f>
      </c>
      <c r="BV50">
        <f>IF(ISBLANK('Data Entry'!$$50), "", 'Data Entry'!$$50)</f>
      </c>
      <c r="BW50">
        <f>IF(ISBLANK('Data Entry'!$$50), "", 'Data Entry'!$$50)</f>
      </c>
      <c r="BX50">
        <f>IF(ISBLANK('Data Entry'!$$50), "", 'Data Entry'!$$50)</f>
      </c>
      <c r="BY50">
        <f>IF(ISBLANK('Data Entry'!$$50), "", 'Data Entry'!$$50)</f>
      </c>
      <c r="BZ50">
        <f>IF(ISBLANK('Data Entry'!$$50), "", 'Data Entry'!$$50)</f>
      </c>
      <c r="CA50">
        <f>IF(ISBLANK('Data Entry'!$$50), "", 'Data Entry'!$$50)</f>
      </c>
      <c r="CB50">
        <f>IF(ISBLANK('Data Entry'!$$50), "", 'Data Entry'!$$50)</f>
      </c>
      <c r="CC50">
        <f>IF(ISBLANK('Data Entry'!$$50), "", 'Data Entry'!$$50)</f>
      </c>
      <c r="CD50">
        <f>IF(ISBLANK('Data Entry'!$$50), "", 'Data Entry'!$$50)</f>
      </c>
      <c r="CE50">
        <f>IF(ISBLANK('Data Entry'!$$50), "", 'Data Entry'!$$50)</f>
      </c>
      <c r="CF50">
        <f>IF(ISBLANK('Data Entry'!$$50), "", 'Data Entry'!$$50)</f>
      </c>
      <c r="CG50">
        <f>IF(ISBLANK('Data Entry'!$$50), "", 'Data Entry'!$$50)</f>
      </c>
      <c r="CH50">
        <f>IF(ISBLANK('Data Entry'!$$50), "", 'Data Entry'!$$50)</f>
      </c>
      <c r="CI50">
        <f>IF(ISBLANK('Data Entry'!$$50), "", 'Data Entry'!$$50)</f>
      </c>
      <c r="CJ50">
        <f>IF(ISBLANK('Data Entry'!$$50), "", 'Data Entry'!$$50)</f>
      </c>
      <c r="CK50">
        <f>IF(ISBLANK('Data Entry'!$$50), "", 'Data Entry'!$$50)</f>
      </c>
      <c r="CL50">
        <f>IF(ISBLANK('Data Entry'!$$50), "", 'Data Entry'!$$50)</f>
      </c>
      <c r="CM50">
        <f>IF(ISBLANK('Data Entry'!$$50), "", 'Data Entry'!$$50)</f>
      </c>
      <c r="CN50">
        <f>IF(ISBLANK('Data Entry'!$$50), "", 'Data Entry'!$$50)</f>
      </c>
      <c r="CO50">
        <f>IF(ISBLANK('Data Entry'!$$50), "", 'Data Entry'!$$50)</f>
      </c>
      <c r="CP50">
        <f>IF(ISBLANK('Data Entry'!$$50), "", 'Data Entry'!$$50)</f>
      </c>
      <c r="CQ50">
        <f>IF(ISBLANK('Data Entry'!$$50), "", 'Data Entry'!$$50)</f>
      </c>
      <c r="CR50">
        <f>IF(ISBLANK('Data Entry'!$ $50), "", 'Data Entry'!$ $50)</f>
      </c>
      <c r="CS50">
        <f>IF(ISBLANK('Data Entry'!$¡$50), "", 'Data Entry'!$¡$50)</f>
      </c>
      <c r="CT50">
        <f>IF(ISBLANK('Data Entry'!$¢$50), "", 'Data Entry'!$¢$50)</f>
      </c>
      <c r="CU50">
        <f>IF(ISBLANK('Data Entry'!$£$50), "", 'Data Entry'!$£$50)</f>
      </c>
      <c r="CV50">
        <f>IF(ISBLANK('Data Entry'!$¤$50), "", 'Data Entry'!$¤$50)</f>
      </c>
      <c r="CW50">
        <f>IF(ISBLANK('Data Entry'!$¥$50), "", 'Data Entry'!$¥$50)</f>
      </c>
      <c r="CX50">
        <f>IF(ISBLANK('Data Entry'!$¦$50), "", 'Data Entry'!$¦$50)</f>
      </c>
      <c r="CY50">
        <f>IF(ISBLANK('Data Entry'!$§$50), "", 'Data Entry'!$§$50)</f>
      </c>
      <c r="CZ50">
        <f>IF(ISBLANK('Data Entry'!$¨$50), "", 'Data Entry'!$¨$50)</f>
      </c>
      <c r="DA50">
        <f>IF(ISBLANK('Data Entry'!$©$50), "", 'Data Entry'!$©$50)</f>
      </c>
      <c r="DB50">
        <f>IF(ISBLANK('Data Entry'!$ª$50), "", 'Data Entry'!$ª$50)</f>
      </c>
      <c r="DC50">
        <f>IF(ISBLANK('Data Entry'!$«$50), "", 'Data Entry'!$«$50)</f>
      </c>
      <c r="DD50">
        <f>IF(ISBLANK('Data Entry'!$¬$50), "", 'Data Entry'!$¬$50)</f>
      </c>
      <c r="DE50">
        <f>IF(ISBLANK('Data Entry'!$­$50), "", 'Data Entry'!$­$50)</f>
      </c>
      <c r="DF50">
        <f>IF(ISBLANK('Data Entry'!$®$50), "", 'Data Entry'!$®$50)</f>
      </c>
      <c r="DG50">
        <f>IF(ISBLANK('Data Entry'!$¯$50), "", 'Data Entry'!$¯$50)</f>
      </c>
      <c r="DH50">
        <f>IF(ISBLANK('Data Entry'!$°$50), "", 'Data Entry'!$°$50)</f>
      </c>
      <c r="DI50">
        <f>IF(ISBLANK('Data Entry'!$±$50), "", 'Data Entry'!$±$50)</f>
      </c>
      <c r="DJ50">
        <f>IF(ISBLANK('Data Entry'!$²$50), "", 'Data Entry'!$²$50)</f>
      </c>
      <c r="DK50">
        <f>IF(ISBLANK('Data Entry'!$³$50), "", 'Data Entry'!$³$50)</f>
      </c>
      <c r="DL50">
        <f>IF(ISBLANK('Data Entry'!$´$50), "", 'Data Entry'!$´$50)</f>
      </c>
      <c r="DM50">
        <f>IF(ISBLANK('Data Entry'!$µ$50), "", 'Data Entry'!$µ$50)</f>
      </c>
      <c r="DN50">
        <f>IF(ISBLANK('Data Entry'!$¶$50), "", 'Data Entry'!$¶$50)</f>
      </c>
      <c r="DO50">
        <f>IF(ISBLANK('Data Entry'!$·$50), "", 'Data Entry'!$·$50)</f>
      </c>
      <c r="DP50">
        <f>IF(ISBLANK('Data Entry'!$¸$50), "", 'Data Entry'!$¸$50)</f>
      </c>
      <c r="DQ50">
        <f>IF(ISBLANK('Data Entry'!$¹$50), "", 'Data Entry'!$¹$50)</f>
      </c>
      <c r="DR50">
        <f>IF(ISBLANK('Data Entry'!$º$50), "", 'Data Entry'!$º$50)</f>
      </c>
      <c r="DS50">
        <f>IF(ISBLANK('Data Entry'!$»$50), "", 'Data Entry'!$»$50)</f>
      </c>
      <c r="DT50">
        <f>IF(ISBLANK('Data Entry'!$¼$50), "", 'Data Entry'!$¼$50)</f>
      </c>
      <c r="DU50">
        <f>IF(ISBLANK('Data Entry'!$½$50), "", 'Data Entry'!$½$50)</f>
      </c>
      <c r="DV50">
        <f>IF(ISBLANK('Data Entry'!$¾$50), "", 'Data Entry'!$¾$50)</f>
      </c>
      <c r="DW50">
        <f>IF(ISBLANK('Data Entry'!$¿$50), "", 'Data Entry'!$¿$50)</f>
      </c>
      <c r="DX50">
        <f>IF(ISBLANK('Data Entry'!$À$50), "", 'Data Entry'!$À$50)</f>
      </c>
      <c r="DY50">
        <f>IF(ISBLANK('Data Entry'!$Á$50), "", 'Data Entry'!$Á$50)</f>
      </c>
      <c r="DZ50">
        <f>IF(ISBLANK('Data Entry'!$Â$50), "", 'Data Entry'!$Â$50)</f>
      </c>
      <c r="EA50">
        <f>IF(ISBLANK('Data Entry'!$Ã$50), "", 'Data Entry'!$Ã$50)</f>
      </c>
      <c r="EB50">
        <f>IF(ISBLANK('Data Entry'!$Ä$50), "", 'Data Entry'!$Ä$50)</f>
      </c>
      <c r="EC50">
        <f>IF(ISBLANK('Data Entry'!$Å$50), "", 'Data Entry'!$Å$50)</f>
      </c>
      <c r="ED50">
        <f>IF(ISBLANK('Data Entry'!$Æ$50), "", 'Data Entry'!$Æ$50)</f>
      </c>
      <c r="EE50">
        <f>IF(ISBLANK('Data Entry'!$Ç$50), "", 'Data Entry'!$Ç$50)</f>
      </c>
      <c r="EF50">
        <f>IF(ISBLANK('Data Entry'!$È$50), "", 'Data Entry'!$È$50)</f>
      </c>
      <c r="EG50">
        <f>IF(ISBLANK('Data Entry'!$É$50), "", 'Data Entry'!$É$50)</f>
      </c>
      <c r="EH50">
        <f>IF(ISBLANK('Data Entry'!$Ê$50), "", 'Data Entry'!$Ê$50)</f>
      </c>
      <c r="EI50">
        <f>IF(ISBLANK('Data Entry'!$Ë$50), "", 'Data Entry'!$Ë$50)</f>
      </c>
      <c r="EJ50">
        <f>IF(ISBLANK('Data Entry'!$Ì$50), "", 'Data Entry'!$Ì$50)</f>
      </c>
      <c r="EK50">
        <f>IF(ISBLANK('Data Entry'!$Í$50), "", 'Data Entry'!$Í$50)</f>
      </c>
      <c r="EL50">
        <f>IF(ISBLANK('Data Entry'!$Î$50), "", 'Data Entry'!$Î$50)</f>
      </c>
      <c r="EM50">
        <f>IF(ISBLANK('Data Entry'!$Ï$50), "", 'Data Entry'!$Ï$50)</f>
      </c>
      <c r="EN50">
        <f>IF(ISBLANK('Data Entry'!$Ð$50), "", 'Data Entry'!$Ð$50)</f>
      </c>
      <c r="EO50">
        <f>IF(ISBLANK('Data Entry'!$Ñ$50), "", 'Data Entry'!$Ñ$50)</f>
      </c>
      <c r="EP50">
        <f>IF(ISBLANK('Data Entry'!$Ò$50), "", 'Data Entry'!$Ò$50)</f>
      </c>
      <c r="EQ50">
        <f>IF(ISBLANK('Data Entry'!$Ó$50), "", 'Data Entry'!$Ó$50)</f>
      </c>
      <c r="ER50">
        <f>IF(ISBLANK('Data Entry'!$Ô$50), "", 'Data Entry'!$Ô$50)</f>
      </c>
      <c r="ES50">
        <f>IF(ISBLANK('Data Entry'!$Õ$50), "", 'Data Entry'!$Õ$50)</f>
      </c>
      <c r="ET50">
        <f>IF(ISBLANK('Data Entry'!$Ö$50), "", 'Data Entry'!$Ö$50)</f>
      </c>
      <c r="EU50">
        <f>IF(ISBLANK('Data Entry'!$×$50), "", 'Data Entry'!$×$50)</f>
      </c>
      <c r="EV50">
        <f>IF(ISBLANK('Data Entry'!$Ø$50), "", 'Data Entry'!$Ø$50)</f>
      </c>
      <c r="EW50">
        <f>IF(ISBLANK('Data Entry'!$Ù$50), "", 'Data Entry'!$Ù$50)</f>
      </c>
      <c r="EX50">
        <f>IF(ISBLANK('Data Entry'!$Ú$50), "", 'Data Entry'!$Ú$50)</f>
      </c>
      <c r="EY50">
        <f>IF(ISBLANK('Data Entry'!$Û$50), "", 'Data Entry'!$Û$50)</f>
      </c>
      <c r="EZ50">
        <f>IF(ISBLANK('Data Entry'!$Ü$50), "", 'Data Entry'!$Ü$50)</f>
      </c>
      <c r="FA50">
        <f>IF(ISBLANK('Data Entry'!$Ý$50), "", 'Data Entry'!$Ý$50)</f>
      </c>
      <c r="FB50">
        <f>IF(ISBLANK('Data Entry'!$Þ$50), "", 'Data Entry'!$Þ$50)</f>
      </c>
      <c r="FC50">
        <f>IF(ISBLANK('Data Entry'!$ß$50), "", 'Data Entry'!$ß$50)</f>
      </c>
      <c r="FD50">
        <f>IF(ISBLANK('Data Entry'!$à$50), "", 'Data Entry'!$à$50)</f>
      </c>
      <c r="FE50">
        <f>IF(ISBLANK('Data Entry'!$á$50), "", 'Data Entry'!$á$50)</f>
      </c>
      <c r="FF50">
        <f>IF(ISBLANK('Data Entry'!$â$50), "", 'Data Entry'!$â$50)</f>
      </c>
      <c r="FG50">
        <f>IF(ISBLANK('Data Entry'!$ã$50), "", 'Data Entry'!$ã$50)</f>
      </c>
      <c r="FH50">
        <f>IF(ISBLANK('Data Entry'!$ä$50), "", 'Data Entry'!$ä$50)</f>
      </c>
      <c r="FI50">
        <f>IF(ISBLANK('Data Entry'!$å$50), "", 'Data Entry'!$å$50)</f>
      </c>
      <c r="FJ50">
        <f>IF(ISBLANK('Data Entry'!$æ$50), "", 'Data Entry'!$æ$50)</f>
      </c>
      <c r="FK50">
        <f>IF(ISBLANK('Data Entry'!$ç$50), "", 'Data Entry'!$ç$50)</f>
      </c>
      <c r="FL50">
        <f>IF(ISBLANK('Data Entry'!$è$50), "", 'Data Entry'!$è$50)</f>
      </c>
      <c r="FM50">
        <f>IF(ISBLANK('Data Entry'!$é$50), "", 'Data Entry'!$é$50)</f>
      </c>
      <c r="FN50">
        <f>IF(ISBLANK('Data Entry'!$ê$50), "", 'Data Entry'!$ê$50)</f>
      </c>
      <c r="FO50">
        <f>IF(ISBLANK('Data Entry'!$ë$50), "", 'Data Entry'!$ë$50)</f>
      </c>
      <c r="FP50">
        <f>IF(ISBLANK('Data Entry'!$ì$50), "", 'Data Entry'!$ì$50)</f>
      </c>
      <c r="FQ50">
        <f>IF(ISBLANK('Data Entry'!$í$50), "", 'Data Entry'!$í$50)</f>
      </c>
      <c r="FR50">
        <f>IF(ISBLANK('Data Entry'!$î$50), "", 'Data Entry'!$î$50)</f>
      </c>
      <c r="FS50">
        <f>IF(ISBLANK('Data Entry'!$ï$50), "", 'Data Entry'!$ï$50)</f>
      </c>
      <c r="FT50">
        <f>IF(ISBLANK('Data Entry'!$ð$50), "", 'Data Entry'!$ð$50)</f>
      </c>
      <c r="FU50">
        <f>IF(ISBLANK('Data Entry'!$ñ$50), "", 'Data Entry'!$ñ$50)</f>
      </c>
      <c r="FV50">
        <f>IF(ISBLANK('Data Entry'!$ò$50), "", 'Data Entry'!$ò$50)</f>
      </c>
      <c r="FW50">
        <f>IF(ISBLANK('Data Entry'!$ó$50), "", 'Data Entry'!$ó$50)</f>
      </c>
      <c r="FX50">
        <f>IF(ISBLANK('Data Entry'!$ô$50), "", 'Data Entry'!$ô$50)</f>
      </c>
      <c r="FY50">
        <f>IF(ISBLANK('Data Entry'!$õ$50), "", 'Data Entry'!$õ$50)</f>
      </c>
      <c r="FZ50">
        <f>IF(ISBLANK('Data Entry'!$ö$50), "", 'Data Entry'!$ö$50)</f>
      </c>
      <c r="GA50">
        <f>IF(ISBLANK('Data Entry'!$÷$50), "", 'Data Entry'!$÷$50)</f>
      </c>
      <c r="GB50">
        <f>IF(ISBLANK('Data Entry'!$ø$50), "", 'Data Entry'!$ø$50)</f>
      </c>
      <c r="GC50">
        <f>IF(ISBLANK('Data Entry'!$ù$50), "", 'Data Entry'!$ù$50)</f>
      </c>
      <c r="GD50">
        <f>IF(ISBLANK('Data Entry'!$ú$50), "", 'Data Entry'!$ú$50)</f>
      </c>
      <c r="GE50">
        <f>IF(ISBLANK('Data Entry'!$û$50), "", 'Data Entry'!$û$50)</f>
      </c>
      <c r="GF50">
        <f>IF(ISBLANK('Data Entry'!$ü$50), "", 'Data Entry'!$ü$50)</f>
      </c>
      <c r="GG50">
        <f>IF(ISBLANK('Data Entry'!$ý$50), "", 'Data Entry'!$ý$50)</f>
      </c>
      <c r="GH50">
        <f>IF(ISBLANK('Data Entry'!$þ$50), "", 'Data Entry'!$þ$50)</f>
      </c>
      <c r="GI50">
        <f>IF(ISBLANK('Data Entry'!$ÿ$50), "", 'Data Entry'!$ÿ$50)</f>
      </c>
      <c r="GJ50">
        <f>IF(ISBLANK('Data Entry'!$Ā$50), "", 'Data Entry'!$Ā$50)</f>
      </c>
      <c r="GK50">
        <f>IF(ISBLANK('Data Entry'!$ā$50), "", 'Data Entry'!$ā$50)</f>
      </c>
      <c r="GL50">
        <f>IF(ISBLANK('Data Entry'!$Ă$50), "", 'Data Entry'!$Ă$50)</f>
      </c>
      <c r="GM50">
        <f>IF(ISBLANK('Data Entry'!$ă$50), "", 'Data Entry'!$ă$50)</f>
      </c>
      <c r="GN50">
        <f>IF(ISBLANK('Data Entry'!$Ą$50), "", 'Data Entry'!$Ą$50)</f>
      </c>
      <c r="GO50">
        <f>IF(ISBLANK('Data Entry'!$ą$50), "", 'Data Entry'!$ą$50)</f>
      </c>
      <c r="GP50">
        <f>IF(ISBLANK('Data Entry'!$Ć$50), "", 'Data Entry'!$Ć$50)</f>
      </c>
      <c r="GQ50">
        <f>IF(ISBLANK('Data Entry'!$ć$50), "", 'Data Entry'!$ć$50)</f>
      </c>
      <c r="GR50">
        <f>IF(ISBLANK('Data Entry'!$Ĉ$50), "", 'Data Entry'!$Ĉ$50)</f>
      </c>
      <c r="GS50">
        <f>IF(ISBLANK('Data Entry'!$ĉ$50), "", 'Data Entry'!$ĉ$50)</f>
      </c>
      <c r="GT50">
        <f>IF(ISBLANK('Data Entry'!$Ċ$50), "", 'Data Entry'!$Ċ$50)</f>
      </c>
      <c r="GU50">
        <f>IF(ISBLANK('Data Entry'!$ċ$50), "", 'Data Entry'!$ċ$50)</f>
      </c>
      <c r="GV50">
        <f>IF(ISBLANK('Data Entry'!$Č$50), "", 'Data Entry'!$Č$50)</f>
      </c>
      <c r="GW50">
        <f>IF(ISBLANK('Data Entry'!$č$50), "", 'Data Entry'!$č$50)</f>
      </c>
      <c r="GX50">
        <f>IF(ISBLANK('Data Entry'!$Ď$50), "", 'Data Entry'!$Ď$50)</f>
      </c>
      <c r="GY50">
        <f>IF(ISBLANK('Data Entry'!$ď$50), "", 'Data Entry'!$ď$50)</f>
      </c>
      <c r="GZ50">
        <f>IF(ISBLANK('Data Entry'!$Đ$50), "", 'Data Entry'!$Đ$50)</f>
      </c>
      <c r="HA50">
        <f>IF(ISBLANK('Data Entry'!$đ$50), "", 'Data Entry'!$đ$50)</f>
      </c>
      <c r="HB50">
        <f>IF(ISBLANK('Data Entry'!$Ē$50), "", 'Data Entry'!$Ē$50)</f>
      </c>
      <c r="HC50">
        <f>IF(ISBLANK('Data Entry'!$ē$50), "", 'Data Entry'!$ē$50)</f>
      </c>
      <c r="HD50">
        <f>IF(ISBLANK('Data Entry'!$Ĕ$50), "", 'Data Entry'!$Ĕ$50)</f>
      </c>
      <c r="HE50">
        <f>IF(ISBLANK('Data Entry'!$ĕ$50), "", 'Data Entry'!$ĕ$50)</f>
      </c>
      <c r="HF50">
        <f>IF(ISBLANK('Data Entry'!$Ė$50), "", 'Data Entry'!$Ė$50)</f>
      </c>
      <c r="HG50">
        <f>IF(ISBLANK('Data Entry'!$ė$50), "", 'Data Entry'!$ė$50)</f>
      </c>
      <c r="HH50">
        <f>IF(ISBLANK('Data Entry'!$Ę$50), "", 'Data Entry'!$Ę$50)</f>
      </c>
      <c r="HI50">
        <f>IF(ISBLANK('Data Entry'!$ę$50), "", 'Data Entry'!$ę$50)</f>
      </c>
      <c r="HJ50">
        <f>IF(ISBLANK('Data Entry'!$Ě$50), "", 'Data Entry'!$Ě$50)</f>
      </c>
      <c r="HK50">
        <f>IF(ISBLANK('Data Entry'!$ě$50), "", 'Data Entry'!$ě$50)</f>
      </c>
      <c r="HL50">
        <f>IF(ISBLANK('Data Entry'!$Ĝ$50), "", 'Data Entry'!$Ĝ$50)</f>
      </c>
      <c r="HM50">
        <f>IF(ISBLANK('Data Entry'!$ĝ$50), "", 'Data Entry'!$ĝ$50)</f>
      </c>
      <c r="HN50">
        <f>IF(ISBLANK('Data Entry'!$Ğ$50), "", 'Data Entry'!$Ğ$50)</f>
      </c>
      <c r="HO50">
        <f>IF(ISBLANK('Data Entry'!$ğ$50), "", 'Data Entry'!$ğ$50)</f>
      </c>
      <c r="HP50">
        <f>IF(ISBLANK('Data Entry'!$Ġ$50), "", 'Data Entry'!$Ġ$50)</f>
      </c>
      <c r="HQ50">
        <f>IF(ISBLANK('Data Entry'!$ġ$50), "", 'Data Entry'!$ġ$50)</f>
      </c>
      <c r="HR50">
        <f>IF(ISBLANK('Data Entry'!$Ģ$50), "", 'Data Entry'!$Ģ$50)</f>
      </c>
      <c r="HS50">
        <f>IF(ISBLANK('Data Entry'!$ģ$50), "", 'Data Entry'!$ģ$50)</f>
      </c>
      <c r="HT50">
        <f>IF(ISBLANK('Data Entry'!$Ĥ$50), "", 'Data Entry'!$Ĥ$50)</f>
      </c>
      <c r="HU50">
        <f>IF(ISBLANK('Data Entry'!$ĥ$50), "", 'Data Entry'!$ĥ$50)</f>
      </c>
      <c r="HV50">
        <f>IF(ISBLANK('Data Entry'!$Ħ$50), "", 'Data Entry'!$Ħ$50)</f>
      </c>
      <c r="HW50">
        <f>IF(ISBLANK('Data Entry'!$ħ$50), "", 'Data Entry'!$ħ$50)</f>
      </c>
      <c r="HX50">
        <f>IF(ISBLANK('Data Entry'!$Ĩ$50), "", 'Data Entry'!$Ĩ$50)</f>
      </c>
      <c r="HY50">
        <f>IF(ISBLANK('Data Entry'!$ĩ$50), "", 'Data Entry'!$ĩ$50)</f>
      </c>
      <c r="HZ50">
        <f>IF(ISBLANK('Data Entry'!$Ī$50), "", 'Data Entry'!$Ī$50)</f>
      </c>
      <c r="IA50">
        <f>IF(ISBLANK('Data Entry'!$ī$50), "", 'Data Entry'!$ī$50)</f>
      </c>
      <c r="IB50">
        <f>IF(ISBLANK('Data Entry'!$Ĭ$50), "", 'Data Entry'!$Ĭ$50)</f>
      </c>
      <c r="IC50">
        <f>IF(ISBLANK('Data Entry'!$ĭ$50), "", 'Data Entry'!$ĭ$50)</f>
      </c>
      <c r="ID50">
        <f>IF(ISBLANK('Data Entry'!$Į$50), "", 'Data Entry'!$Į$50)</f>
      </c>
      <c r="IE50">
        <f>IF(ISBLANK('Data Entry'!$į$50), "", 'Data Entry'!$į$50)</f>
      </c>
      <c r="IF50">
        <f>IF(ISBLANK('Data Entry'!$İ$50), "", 'Data Entry'!$İ$50)</f>
      </c>
      <c r="IG50">
        <f>IF(ISBLANK('Data Entry'!$ı$50), "", 'Data Entry'!$ı$50)</f>
      </c>
      <c r="IH50">
        <f>IF(ISBLANK('Data Entry'!$Ĳ$50), "", 'Data Entry'!$Ĳ$50)</f>
      </c>
      <c r="II50">
        <f>IF(ISBLANK('Data Entry'!$ĳ$50), "", 'Data Entry'!$ĳ$50)</f>
      </c>
      <c r="IJ50">
        <f>IF(ISBLANK('Data Entry'!$Ĵ$50), "", 'Data Entry'!$Ĵ$50)</f>
      </c>
      <c r="IK50">
        <f>IF(ISBLANK('Data Entry'!$ĵ$50), "", 'Data Entry'!$ĵ$50)</f>
      </c>
      <c r="IL50">
        <f>IF(ISBLANK('Data Entry'!$Ķ$50), "", 'Data Entry'!$Ķ$50)</f>
      </c>
      <c r="IM50">
        <f>IF(ISBLANK('Data Entry'!$ķ$50), "", 'Data Entry'!$ķ$50)</f>
      </c>
      <c r="IN50">
        <f>IF(ISBLANK('Data Entry'!$ĸ$50), "", 'Data Entry'!$ĸ$50)</f>
      </c>
      <c r="IO50">
        <f>IF(ISBLANK('Data Entry'!$Ĺ$50), "", 'Data Entry'!$Ĺ$50)</f>
      </c>
      <c r="IP50">
        <f>IF(ISBLANK('Data Entry'!$ĺ$50), "", 'Data Entry'!$ĺ$50)</f>
      </c>
      <c r="IQ50">
        <f>IF(ISBLANK('Data Entry'!$Ļ$50), "", 'Data Entry'!$Ļ$50)</f>
      </c>
      <c r="IR50">
        <f>IF(ISBLANK('Data Entry'!$ļ$50), "", 'Data Entry'!$ļ$50)</f>
      </c>
      <c r="IS50">
        <f>IF(ISBLANK('Data Entry'!$Ľ$50), "", 'Data Entry'!$Ľ$50)</f>
      </c>
      <c r="IT50">
        <f>IF(ISBLANK('Data Entry'!$ľ$50), "", 'Data Entry'!$ľ$50)</f>
      </c>
    </row>
    <row r="51" spans="1:254" x14ac:dyDescent="0.25">
      <c r="A51">
        <f>IF(ISBLANK('Data Entry'!$A$51), "", 'Data Entry'!$A$51)</f>
      </c>
      <c r="B51">
        <f>IF(ISBLANK('Data Entry'!$B$51), "", 'Data Entry'!$B$51)</f>
      </c>
      <c r="C51">
        <f>IF(ISBLANK('Data Entry'!$C$51), "", 'Data Entry'!$C$51)</f>
      </c>
      <c r="D51">
        <f>IF(ISBLANK('Data Entry'!$D$51), "", 'Data Entry'!$D$51)</f>
      </c>
      <c r="E51">
        <f>IF(ISBLANK('Data Entry'!$E$51), "", 'Data Entry'!$E$51)</f>
      </c>
      <c r="F51">
        <f>IF(ISBLANK('Data Entry'!$F$51), "", 'Data Entry'!$F$51)</f>
      </c>
      <c r="G51">
        <f>IF(ISBLANK('Data Entry'!$G$51), "", 'Data Entry'!$G$51)</f>
      </c>
      <c r="H51">
        <f>IF(ISBLANK('Data Entry'!$H$51), "", 'Data Entry'!$H$51)</f>
      </c>
      <c r="I51">
        <f>IF(ISBLANK('Data Entry'!$I$51), "", 'Data Entry'!$I$51)</f>
      </c>
      <c r="J51">
        <f>IF(ISBLANK('Data Entry'!$J$51), "", 'Data Entry'!$J$51)</f>
      </c>
      <c r="K51">
        <f>IF(ISBLANK('Data Entry'!$K$51), "", 'Data Entry'!$K$51)</f>
      </c>
      <c r="L51">
        <f>IF(ISBLANK('Data Entry'!$L$51), "", 'Data Entry'!$L$51)</f>
      </c>
      <c r="M51">
        <f>IF(ISBLANK('Data Entry'!$M$51), "", 'Data Entry'!$M$51)</f>
      </c>
      <c r="N51">
        <f>IF(ISBLANK('Data Entry'!$N$51), "", 'Data Entry'!$N$51)</f>
      </c>
      <c r="O51">
        <f>IF(ISBLANK('Data Entry'!$O$51), "", 'Data Entry'!$O$51)</f>
      </c>
      <c r="P51">
        <f>IF(ISBLANK('Data Entry'!$P$51), "", 'Data Entry'!$P$51)</f>
      </c>
      <c r="Q51">
        <f>IF(ISBLANK('Data Entry'!$Q$51), "", 'Data Entry'!$Q$51)</f>
      </c>
      <c r="R51">
        <f>IF(ISBLANK('Data Entry'!$R$51), "", 'Data Entry'!$R$51)</f>
      </c>
      <c r="S51">
        <f>IF(ISBLANK('Data Entry'!$S$51), "", 'Data Entry'!$S$51)</f>
      </c>
      <c r="T51">
        <f>IF(ISBLANK('Data Entry'!$T$51), "", 'Data Entry'!$T$51)</f>
      </c>
      <c r="U51">
        <f>IF(ISBLANK('Data Entry'!$U$51), "", 'Data Entry'!$U$51)</f>
      </c>
      <c r="V51">
        <f>IF(ISBLANK('Data Entry'!$V$51), "", 'Data Entry'!$V$51)</f>
      </c>
      <c r="W51">
        <f>IF(ISBLANK('Data Entry'!$W$51), "", 'Data Entry'!$W$51)</f>
      </c>
      <c r="X51">
        <f>IF(ISBLANK('Data Entry'!$X$51), "", 'Data Entry'!$X$51)</f>
      </c>
      <c r="Y51">
        <f>IF(ISBLANK('Data Entry'!$Y$51), "", 'Data Entry'!$Y$51)</f>
      </c>
      <c r="Z51">
        <f>IF(ISBLANK('Data Entry'!$Z$51), "", 'Data Entry'!$Z$51)</f>
      </c>
      <c r="AA51">
        <f>IF(ISBLANK('Data Entry'!$[$51), "", 'Data Entry'!$[$51)</f>
      </c>
      <c r="AB51">
        <f>IF(ISBLANK('Data Entry'!$\$51), "", 'Data Entry'!$\$51)</f>
      </c>
      <c r="AC51">
        <f>IF(ISBLANK('Data Entry'!$]$51), "", 'Data Entry'!$]$51)</f>
      </c>
      <c r="AD51">
        <f>IF(ISBLANK('Data Entry'!$^$51), "", 'Data Entry'!$^$51)</f>
      </c>
      <c r="AE51">
        <f>IF(ISBLANK('Data Entry'!$_$51), "", 'Data Entry'!$_$51)</f>
      </c>
      <c r="AF51">
        <f>IF(ISBLANK('Data Entry'!$`$51), "", 'Data Entry'!$`$51)</f>
      </c>
      <c r="AG51">
        <f>IF(ISBLANK('Data Entry'!$a$51), "", 'Data Entry'!$a$51)</f>
      </c>
      <c r="AH51">
        <f>IF(ISBLANK('Data Entry'!$b$51), "", 'Data Entry'!$b$51)</f>
      </c>
      <c r="AI51">
        <f>IF(ISBLANK('Data Entry'!$c$51), "", 'Data Entry'!$c$51)</f>
      </c>
      <c r="AJ51">
        <f>IF(ISBLANK('Data Entry'!$d$51), "", 'Data Entry'!$d$51)</f>
      </c>
      <c r="AK51">
        <f>IF(ISBLANK('Data Entry'!$e$51), "", 'Data Entry'!$e$51)</f>
      </c>
      <c r="AL51">
        <f>IF(ISBLANK('Data Entry'!$f$51), "", 'Data Entry'!$f$51)</f>
      </c>
      <c r="AM51">
        <f>IF(ISBLANK('Data Entry'!$g$51), "", 'Data Entry'!$g$51)</f>
      </c>
      <c r="AN51">
        <f>IF(ISBLANK('Data Entry'!$h$51), "", 'Data Entry'!$h$51)</f>
      </c>
      <c r="AO51">
        <f>IF(ISBLANK('Data Entry'!$i$51), "", 'Data Entry'!$i$51)</f>
      </c>
      <c r="AP51">
        <f>IF(ISBLANK('Data Entry'!$j$51), "", 'Data Entry'!$j$51)</f>
      </c>
      <c r="AQ51">
        <f>IF(ISBLANK('Data Entry'!$k$51), "", 'Data Entry'!$k$51)</f>
      </c>
      <c r="AR51">
        <f>IF(ISBLANK('Data Entry'!$l$51), "", 'Data Entry'!$l$51)</f>
      </c>
      <c r="AS51">
        <f>IF(ISBLANK('Data Entry'!$m$51), "", 'Data Entry'!$m$51)</f>
      </c>
      <c r="AT51">
        <f>IF(ISBLANK('Data Entry'!$n$51), "", 'Data Entry'!$n$51)</f>
      </c>
      <c r="AU51">
        <f>IF(ISBLANK('Data Entry'!$o$51), "", 'Data Entry'!$o$51)</f>
      </c>
      <c r="AV51">
        <f>IF(ISBLANK('Data Entry'!$p$51), "", 'Data Entry'!$p$51)</f>
      </c>
      <c r="AW51">
        <f>IF(ISBLANK('Data Entry'!$q$51), "", 'Data Entry'!$q$51)</f>
      </c>
      <c r="AX51">
        <f>IF(ISBLANK('Data Entry'!$r$51), "", 'Data Entry'!$r$51)</f>
      </c>
      <c r="AY51">
        <f>IF(ISBLANK('Data Entry'!$s$51), "", 'Data Entry'!$s$51)</f>
      </c>
      <c r="AZ51">
        <f>IF(ISBLANK('Data Entry'!$t$51), "", 'Data Entry'!$t$51)</f>
      </c>
      <c r="BA51">
        <f>IF(ISBLANK('Data Entry'!$u$51), "", 'Data Entry'!$u$51)</f>
      </c>
      <c r="BB51">
        <f>IF(ISBLANK('Data Entry'!$v$51), "", 'Data Entry'!$v$51)</f>
      </c>
      <c r="BC51">
        <f>IF(ISBLANK('Data Entry'!$w$51), "", 'Data Entry'!$w$51)</f>
      </c>
      <c r="BD51">
        <f>IF(ISBLANK('Data Entry'!$x$51), "", 'Data Entry'!$x$51)</f>
      </c>
      <c r="BE51">
        <f>IF(ISBLANK('Data Entry'!$y$51), "", 'Data Entry'!$y$51)</f>
      </c>
      <c r="BF51">
        <f>IF(ISBLANK('Data Entry'!$z$51), "", 'Data Entry'!$z$51)</f>
      </c>
      <c r="BG51">
        <f>IF(ISBLANK('Data Entry'!${$51), "", 'Data Entry'!${$51)</f>
      </c>
      <c r="BH51">
        <f>IF(ISBLANK('Data Entry'!$|$51), "", 'Data Entry'!$|$51)</f>
      </c>
      <c r="BI51">
        <f>IF(ISBLANK('Data Entry'!$}$51), "", 'Data Entry'!$}$51)</f>
      </c>
      <c r="BJ51">
        <f>IF(ISBLANK('Data Entry'!$~$51), "", 'Data Entry'!$~$51)</f>
      </c>
      <c r="BK51">
        <f>IF(ISBLANK('Data Entry'!$$51), "", 'Data Entry'!$$51)</f>
      </c>
      <c r="BL51">
        <f>IF(ISBLANK('Data Entry'!$$51), "", 'Data Entry'!$$51)</f>
      </c>
      <c r="BM51">
        <f>IF(ISBLANK('Data Entry'!$$51), "", 'Data Entry'!$$51)</f>
      </c>
      <c r="BN51">
        <f>IF(ISBLANK('Data Entry'!$$51), "", 'Data Entry'!$$51)</f>
      </c>
      <c r="BO51">
        <f>IF(ISBLANK('Data Entry'!$$51), "", 'Data Entry'!$$51)</f>
      </c>
      <c r="BP51">
        <f>IF(ISBLANK('Data Entry'!$$51), "", 'Data Entry'!$$51)</f>
      </c>
      <c r="BQ51">
        <f>IF(ISBLANK('Data Entry'!$$51), "", 'Data Entry'!$$51)</f>
      </c>
      <c r="BR51">
        <f>IF(ISBLANK('Data Entry'!$$51), "", 'Data Entry'!$$51)</f>
      </c>
      <c r="BS51">
        <f>IF(ISBLANK('Data Entry'!$$51), "", 'Data Entry'!$$51)</f>
      </c>
      <c r="BT51">
        <f>IF(ISBLANK('Data Entry'!$$51), "", 'Data Entry'!$$51)</f>
      </c>
      <c r="BU51">
        <f>IF(ISBLANK('Data Entry'!$$51), "", 'Data Entry'!$$51)</f>
      </c>
      <c r="BV51">
        <f>IF(ISBLANK('Data Entry'!$$51), "", 'Data Entry'!$$51)</f>
      </c>
      <c r="BW51">
        <f>IF(ISBLANK('Data Entry'!$$51), "", 'Data Entry'!$$51)</f>
      </c>
      <c r="BX51">
        <f>IF(ISBLANK('Data Entry'!$$51), "", 'Data Entry'!$$51)</f>
      </c>
      <c r="BY51">
        <f>IF(ISBLANK('Data Entry'!$$51), "", 'Data Entry'!$$51)</f>
      </c>
      <c r="BZ51">
        <f>IF(ISBLANK('Data Entry'!$$51), "", 'Data Entry'!$$51)</f>
      </c>
      <c r="CA51">
        <f>IF(ISBLANK('Data Entry'!$$51), "", 'Data Entry'!$$51)</f>
      </c>
      <c r="CB51">
        <f>IF(ISBLANK('Data Entry'!$$51), "", 'Data Entry'!$$51)</f>
      </c>
      <c r="CC51">
        <f>IF(ISBLANK('Data Entry'!$$51), "", 'Data Entry'!$$51)</f>
      </c>
      <c r="CD51">
        <f>IF(ISBLANK('Data Entry'!$$51), "", 'Data Entry'!$$51)</f>
      </c>
      <c r="CE51">
        <f>IF(ISBLANK('Data Entry'!$$51), "", 'Data Entry'!$$51)</f>
      </c>
      <c r="CF51">
        <f>IF(ISBLANK('Data Entry'!$$51), "", 'Data Entry'!$$51)</f>
      </c>
      <c r="CG51">
        <f>IF(ISBLANK('Data Entry'!$$51), "", 'Data Entry'!$$51)</f>
      </c>
      <c r="CH51">
        <f>IF(ISBLANK('Data Entry'!$$51), "", 'Data Entry'!$$51)</f>
      </c>
      <c r="CI51">
        <f>IF(ISBLANK('Data Entry'!$$51), "", 'Data Entry'!$$51)</f>
      </c>
      <c r="CJ51">
        <f>IF(ISBLANK('Data Entry'!$$51), "", 'Data Entry'!$$51)</f>
      </c>
      <c r="CK51">
        <f>IF(ISBLANK('Data Entry'!$$51), "", 'Data Entry'!$$51)</f>
      </c>
      <c r="CL51">
        <f>IF(ISBLANK('Data Entry'!$$51), "", 'Data Entry'!$$51)</f>
      </c>
      <c r="CM51">
        <f>IF(ISBLANK('Data Entry'!$$51), "", 'Data Entry'!$$51)</f>
      </c>
      <c r="CN51">
        <f>IF(ISBLANK('Data Entry'!$$51), "", 'Data Entry'!$$51)</f>
      </c>
      <c r="CO51">
        <f>IF(ISBLANK('Data Entry'!$$51), "", 'Data Entry'!$$51)</f>
      </c>
      <c r="CP51">
        <f>IF(ISBLANK('Data Entry'!$$51), "", 'Data Entry'!$$51)</f>
      </c>
      <c r="CQ51">
        <f>IF(ISBLANK('Data Entry'!$$51), "", 'Data Entry'!$$51)</f>
      </c>
      <c r="CR51">
        <f>IF(ISBLANK('Data Entry'!$ $51), "", 'Data Entry'!$ $51)</f>
      </c>
      <c r="CS51">
        <f>IF(ISBLANK('Data Entry'!$¡$51), "", 'Data Entry'!$¡$51)</f>
      </c>
      <c r="CT51">
        <f>IF(ISBLANK('Data Entry'!$¢$51), "", 'Data Entry'!$¢$51)</f>
      </c>
      <c r="CU51">
        <f>IF(ISBLANK('Data Entry'!$£$51), "", 'Data Entry'!$£$51)</f>
      </c>
      <c r="CV51">
        <f>IF(ISBLANK('Data Entry'!$¤$51), "", 'Data Entry'!$¤$51)</f>
      </c>
      <c r="CW51">
        <f>IF(ISBLANK('Data Entry'!$¥$51), "", 'Data Entry'!$¥$51)</f>
      </c>
      <c r="CX51">
        <f>IF(ISBLANK('Data Entry'!$¦$51), "", 'Data Entry'!$¦$51)</f>
      </c>
      <c r="CY51">
        <f>IF(ISBLANK('Data Entry'!$§$51), "", 'Data Entry'!$§$51)</f>
      </c>
      <c r="CZ51">
        <f>IF(ISBLANK('Data Entry'!$¨$51), "", 'Data Entry'!$¨$51)</f>
      </c>
      <c r="DA51">
        <f>IF(ISBLANK('Data Entry'!$©$51), "", 'Data Entry'!$©$51)</f>
      </c>
      <c r="DB51">
        <f>IF(ISBLANK('Data Entry'!$ª$51), "", 'Data Entry'!$ª$51)</f>
      </c>
      <c r="DC51">
        <f>IF(ISBLANK('Data Entry'!$«$51), "", 'Data Entry'!$«$51)</f>
      </c>
      <c r="DD51">
        <f>IF(ISBLANK('Data Entry'!$¬$51), "", 'Data Entry'!$¬$51)</f>
      </c>
      <c r="DE51">
        <f>IF(ISBLANK('Data Entry'!$­$51), "", 'Data Entry'!$­$51)</f>
      </c>
      <c r="DF51">
        <f>IF(ISBLANK('Data Entry'!$®$51), "", 'Data Entry'!$®$51)</f>
      </c>
      <c r="DG51">
        <f>IF(ISBLANK('Data Entry'!$¯$51), "", 'Data Entry'!$¯$51)</f>
      </c>
      <c r="DH51">
        <f>IF(ISBLANK('Data Entry'!$°$51), "", 'Data Entry'!$°$51)</f>
      </c>
      <c r="DI51">
        <f>IF(ISBLANK('Data Entry'!$±$51), "", 'Data Entry'!$±$51)</f>
      </c>
      <c r="DJ51">
        <f>IF(ISBLANK('Data Entry'!$²$51), "", 'Data Entry'!$²$51)</f>
      </c>
      <c r="DK51">
        <f>IF(ISBLANK('Data Entry'!$³$51), "", 'Data Entry'!$³$51)</f>
      </c>
      <c r="DL51">
        <f>IF(ISBLANK('Data Entry'!$´$51), "", 'Data Entry'!$´$51)</f>
      </c>
      <c r="DM51">
        <f>IF(ISBLANK('Data Entry'!$µ$51), "", 'Data Entry'!$µ$51)</f>
      </c>
      <c r="DN51">
        <f>IF(ISBLANK('Data Entry'!$¶$51), "", 'Data Entry'!$¶$51)</f>
      </c>
      <c r="DO51">
        <f>IF(ISBLANK('Data Entry'!$·$51), "", 'Data Entry'!$·$51)</f>
      </c>
      <c r="DP51">
        <f>IF(ISBLANK('Data Entry'!$¸$51), "", 'Data Entry'!$¸$51)</f>
      </c>
      <c r="DQ51">
        <f>IF(ISBLANK('Data Entry'!$¹$51), "", 'Data Entry'!$¹$51)</f>
      </c>
      <c r="DR51">
        <f>IF(ISBLANK('Data Entry'!$º$51), "", 'Data Entry'!$º$51)</f>
      </c>
      <c r="DS51">
        <f>IF(ISBLANK('Data Entry'!$»$51), "", 'Data Entry'!$»$51)</f>
      </c>
      <c r="DT51">
        <f>IF(ISBLANK('Data Entry'!$¼$51), "", 'Data Entry'!$¼$51)</f>
      </c>
      <c r="DU51">
        <f>IF(ISBLANK('Data Entry'!$½$51), "", 'Data Entry'!$½$51)</f>
      </c>
      <c r="DV51">
        <f>IF(ISBLANK('Data Entry'!$¾$51), "", 'Data Entry'!$¾$51)</f>
      </c>
      <c r="DW51">
        <f>IF(ISBLANK('Data Entry'!$¿$51), "", 'Data Entry'!$¿$51)</f>
      </c>
      <c r="DX51">
        <f>IF(ISBLANK('Data Entry'!$À$51), "", 'Data Entry'!$À$51)</f>
      </c>
      <c r="DY51">
        <f>IF(ISBLANK('Data Entry'!$Á$51), "", 'Data Entry'!$Á$51)</f>
      </c>
      <c r="DZ51">
        <f>IF(ISBLANK('Data Entry'!$Â$51), "", 'Data Entry'!$Â$51)</f>
      </c>
      <c r="EA51">
        <f>IF(ISBLANK('Data Entry'!$Ã$51), "", 'Data Entry'!$Ã$51)</f>
      </c>
      <c r="EB51">
        <f>IF(ISBLANK('Data Entry'!$Ä$51), "", 'Data Entry'!$Ä$51)</f>
      </c>
      <c r="EC51">
        <f>IF(ISBLANK('Data Entry'!$Å$51), "", 'Data Entry'!$Å$51)</f>
      </c>
      <c r="ED51">
        <f>IF(ISBLANK('Data Entry'!$Æ$51), "", 'Data Entry'!$Æ$51)</f>
      </c>
      <c r="EE51">
        <f>IF(ISBLANK('Data Entry'!$Ç$51), "", 'Data Entry'!$Ç$51)</f>
      </c>
      <c r="EF51">
        <f>IF(ISBLANK('Data Entry'!$È$51), "", 'Data Entry'!$È$51)</f>
      </c>
      <c r="EG51">
        <f>IF(ISBLANK('Data Entry'!$É$51), "", 'Data Entry'!$É$51)</f>
      </c>
      <c r="EH51">
        <f>IF(ISBLANK('Data Entry'!$Ê$51), "", 'Data Entry'!$Ê$51)</f>
      </c>
      <c r="EI51">
        <f>IF(ISBLANK('Data Entry'!$Ë$51), "", 'Data Entry'!$Ë$51)</f>
      </c>
      <c r="EJ51">
        <f>IF(ISBLANK('Data Entry'!$Ì$51), "", 'Data Entry'!$Ì$51)</f>
      </c>
      <c r="EK51">
        <f>IF(ISBLANK('Data Entry'!$Í$51), "", 'Data Entry'!$Í$51)</f>
      </c>
      <c r="EL51">
        <f>IF(ISBLANK('Data Entry'!$Î$51), "", 'Data Entry'!$Î$51)</f>
      </c>
      <c r="EM51">
        <f>IF(ISBLANK('Data Entry'!$Ï$51), "", 'Data Entry'!$Ï$51)</f>
      </c>
      <c r="EN51">
        <f>IF(ISBLANK('Data Entry'!$Ð$51), "", 'Data Entry'!$Ð$51)</f>
      </c>
      <c r="EO51">
        <f>IF(ISBLANK('Data Entry'!$Ñ$51), "", 'Data Entry'!$Ñ$51)</f>
      </c>
      <c r="EP51">
        <f>IF(ISBLANK('Data Entry'!$Ò$51), "", 'Data Entry'!$Ò$51)</f>
      </c>
      <c r="EQ51">
        <f>IF(ISBLANK('Data Entry'!$Ó$51), "", 'Data Entry'!$Ó$51)</f>
      </c>
      <c r="ER51">
        <f>IF(ISBLANK('Data Entry'!$Ô$51), "", 'Data Entry'!$Ô$51)</f>
      </c>
      <c r="ES51">
        <f>IF(ISBLANK('Data Entry'!$Õ$51), "", 'Data Entry'!$Õ$51)</f>
      </c>
      <c r="ET51">
        <f>IF(ISBLANK('Data Entry'!$Ö$51), "", 'Data Entry'!$Ö$51)</f>
      </c>
      <c r="EU51">
        <f>IF(ISBLANK('Data Entry'!$×$51), "", 'Data Entry'!$×$51)</f>
      </c>
      <c r="EV51">
        <f>IF(ISBLANK('Data Entry'!$Ø$51), "", 'Data Entry'!$Ø$51)</f>
      </c>
      <c r="EW51">
        <f>IF(ISBLANK('Data Entry'!$Ù$51), "", 'Data Entry'!$Ù$51)</f>
      </c>
      <c r="EX51">
        <f>IF(ISBLANK('Data Entry'!$Ú$51), "", 'Data Entry'!$Ú$51)</f>
      </c>
      <c r="EY51">
        <f>IF(ISBLANK('Data Entry'!$Û$51), "", 'Data Entry'!$Û$51)</f>
      </c>
      <c r="EZ51">
        <f>IF(ISBLANK('Data Entry'!$Ü$51), "", 'Data Entry'!$Ü$51)</f>
      </c>
      <c r="FA51">
        <f>IF(ISBLANK('Data Entry'!$Ý$51), "", 'Data Entry'!$Ý$51)</f>
      </c>
      <c r="FB51">
        <f>IF(ISBLANK('Data Entry'!$Þ$51), "", 'Data Entry'!$Þ$51)</f>
      </c>
      <c r="FC51">
        <f>IF(ISBLANK('Data Entry'!$ß$51), "", 'Data Entry'!$ß$51)</f>
      </c>
      <c r="FD51">
        <f>IF(ISBLANK('Data Entry'!$à$51), "", 'Data Entry'!$à$51)</f>
      </c>
      <c r="FE51">
        <f>IF(ISBLANK('Data Entry'!$á$51), "", 'Data Entry'!$á$51)</f>
      </c>
      <c r="FF51">
        <f>IF(ISBLANK('Data Entry'!$â$51), "", 'Data Entry'!$â$51)</f>
      </c>
      <c r="FG51">
        <f>IF(ISBLANK('Data Entry'!$ã$51), "", 'Data Entry'!$ã$51)</f>
      </c>
      <c r="FH51">
        <f>IF(ISBLANK('Data Entry'!$ä$51), "", 'Data Entry'!$ä$51)</f>
      </c>
      <c r="FI51">
        <f>IF(ISBLANK('Data Entry'!$å$51), "", 'Data Entry'!$å$51)</f>
      </c>
      <c r="FJ51">
        <f>IF(ISBLANK('Data Entry'!$æ$51), "", 'Data Entry'!$æ$51)</f>
      </c>
      <c r="FK51">
        <f>IF(ISBLANK('Data Entry'!$ç$51), "", 'Data Entry'!$ç$51)</f>
      </c>
      <c r="FL51">
        <f>IF(ISBLANK('Data Entry'!$è$51), "", 'Data Entry'!$è$51)</f>
      </c>
      <c r="FM51">
        <f>IF(ISBLANK('Data Entry'!$é$51), "", 'Data Entry'!$é$51)</f>
      </c>
      <c r="FN51">
        <f>IF(ISBLANK('Data Entry'!$ê$51), "", 'Data Entry'!$ê$51)</f>
      </c>
      <c r="FO51">
        <f>IF(ISBLANK('Data Entry'!$ë$51), "", 'Data Entry'!$ë$51)</f>
      </c>
      <c r="FP51">
        <f>IF(ISBLANK('Data Entry'!$ì$51), "", 'Data Entry'!$ì$51)</f>
      </c>
      <c r="FQ51">
        <f>IF(ISBLANK('Data Entry'!$í$51), "", 'Data Entry'!$í$51)</f>
      </c>
      <c r="FR51">
        <f>IF(ISBLANK('Data Entry'!$î$51), "", 'Data Entry'!$î$51)</f>
      </c>
      <c r="FS51">
        <f>IF(ISBLANK('Data Entry'!$ï$51), "", 'Data Entry'!$ï$51)</f>
      </c>
      <c r="FT51">
        <f>IF(ISBLANK('Data Entry'!$ð$51), "", 'Data Entry'!$ð$51)</f>
      </c>
      <c r="FU51">
        <f>IF(ISBLANK('Data Entry'!$ñ$51), "", 'Data Entry'!$ñ$51)</f>
      </c>
      <c r="FV51">
        <f>IF(ISBLANK('Data Entry'!$ò$51), "", 'Data Entry'!$ò$51)</f>
      </c>
      <c r="FW51">
        <f>IF(ISBLANK('Data Entry'!$ó$51), "", 'Data Entry'!$ó$51)</f>
      </c>
      <c r="FX51">
        <f>IF(ISBLANK('Data Entry'!$ô$51), "", 'Data Entry'!$ô$51)</f>
      </c>
      <c r="FY51">
        <f>IF(ISBLANK('Data Entry'!$õ$51), "", 'Data Entry'!$õ$51)</f>
      </c>
      <c r="FZ51">
        <f>IF(ISBLANK('Data Entry'!$ö$51), "", 'Data Entry'!$ö$51)</f>
      </c>
      <c r="GA51">
        <f>IF(ISBLANK('Data Entry'!$÷$51), "", 'Data Entry'!$÷$51)</f>
      </c>
      <c r="GB51">
        <f>IF(ISBLANK('Data Entry'!$ø$51), "", 'Data Entry'!$ø$51)</f>
      </c>
      <c r="GC51">
        <f>IF(ISBLANK('Data Entry'!$ù$51), "", 'Data Entry'!$ù$51)</f>
      </c>
      <c r="GD51">
        <f>IF(ISBLANK('Data Entry'!$ú$51), "", 'Data Entry'!$ú$51)</f>
      </c>
      <c r="GE51">
        <f>IF(ISBLANK('Data Entry'!$û$51), "", 'Data Entry'!$û$51)</f>
      </c>
      <c r="GF51">
        <f>IF(ISBLANK('Data Entry'!$ü$51), "", 'Data Entry'!$ü$51)</f>
      </c>
      <c r="GG51">
        <f>IF(ISBLANK('Data Entry'!$ý$51), "", 'Data Entry'!$ý$51)</f>
      </c>
      <c r="GH51">
        <f>IF(ISBLANK('Data Entry'!$þ$51), "", 'Data Entry'!$þ$51)</f>
      </c>
      <c r="GI51">
        <f>IF(ISBLANK('Data Entry'!$ÿ$51), "", 'Data Entry'!$ÿ$51)</f>
      </c>
      <c r="GJ51">
        <f>IF(ISBLANK('Data Entry'!$Ā$51), "", 'Data Entry'!$Ā$51)</f>
      </c>
      <c r="GK51">
        <f>IF(ISBLANK('Data Entry'!$ā$51), "", 'Data Entry'!$ā$51)</f>
      </c>
      <c r="GL51">
        <f>IF(ISBLANK('Data Entry'!$Ă$51), "", 'Data Entry'!$Ă$51)</f>
      </c>
      <c r="GM51">
        <f>IF(ISBLANK('Data Entry'!$ă$51), "", 'Data Entry'!$ă$51)</f>
      </c>
      <c r="GN51">
        <f>IF(ISBLANK('Data Entry'!$Ą$51), "", 'Data Entry'!$Ą$51)</f>
      </c>
      <c r="GO51">
        <f>IF(ISBLANK('Data Entry'!$ą$51), "", 'Data Entry'!$ą$51)</f>
      </c>
      <c r="GP51">
        <f>IF(ISBLANK('Data Entry'!$Ć$51), "", 'Data Entry'!$Ć$51)</f>
      </c>
      <c r="GQ51">
        <f>IF(ISBLANK('Data Entry'!$ć$51), "", 'Data Entry'!$ć$51)</f>
      </c>
      <c r="GR51">
        <f>IF(ISBLANK('Data Entry'!$Ĉ$51), "", 'Data Entry'!$Ĉ$51)</f>
      </c>
      <c r="GS51">
        <f>IF(ISBLANK('Data Entry'!$ĉ$51), "", 'Data Entry'!$ĉ$51)</f>
      </c>
      <c r="GT51">
        <f>IF(ISBLANK('Data Entry'!$Ċ$51), "", 'Data Entry'!$Ċ$51)</f>
      </c>
      <c r="GU51">
        <f>IF(ISBLANK('Data Entry'!$ċ$51), "", 'Data Entry'!$ċ$51)</f>
      </c>
      <c r="GV51">
        <f>IF(ISBLANK('Data Entry'!$Č$51), "", 'Data Entry'!$Č$51)</f>
      </c>
      <c r="GW51">
        <f>IF(ISBLANK('Data Entry'!$č$51), "", 'Data Entry'!$č$51)</f>
      </c>
      <c r="GX51">
        <f>IF(ISBLANK('Data Entry'!$Ď$51), "", 'Data Entry'!$Ď$51)</f>
      </c>
      <c r="GY51">
        <f>IF(ISBLANK('Data Entry'!$ď$51), "", 'Data Entry'!$ď$51)</f>
      </c>
      <c r="GZ51">
        <f>IF(ISBLANK('Data Entry'!$Đ$51), "", 'Data Entry'!$Đ$51)</f>
      </c>
      <c r="HA51">
        <f>IF(ISBLANK('Data Entry'!$đ$51), "", 'Data Entry'!$đ$51)</f>
      </c>
      <c r="HB51">
        <f>IF(ISBLANK('Data Entry'!$Ē$51), "", 'Data Entry'!$Ē$51)</f>
      </c>
      <c r="HC51">
        <f>IF(ISBLANK('Data Entry'!$ē$51), "", 'Data Entry'!$ē$51)</f>
      </c>
      <c r="HD51">
        <f>IF(ISBLANK('Data Entry'!$Ĕ$51), "", 'Data Entry'!$Ĕ$51)</f>
      </c>
      <c r="HE51">
        <f>IF(ISBLANK('Data Entry'!$ĕ$51), "", 'Data Entry'!$ĕ$51)</f>
      </c>
      <c r="HF51">
        <f>IF(ISBLANK('Data Entry'!$Ė$51), "", 'Data Entry'!$Ė$51)</f>
      </c>
      <c r="HG51">
        <f>IF(ISBLANK('Data Entry'!$ė$51), "", 'Data Entry'!$ė$51)</f>
      </c>
      <c r="HH51">
        <f>IF(ISBLANK('Data Entry'!$Ę$51), "", 'Data Entry'!$Ę$51)</f>
      </c>
      <c r="HI51">
        <f>IF(ISBLANK('Data Entry'!$ę$51), "", 'Data Entry'!$ę$51)</f>
      </c>
      <c r="HJ51">
        <f>IF(ISBLANK('Data Entry'!$Ě$51), "", 'Data Entry'!$Ě$51)</f>
      </c>
      <c r="HK51">
        <f>IF(ISBLANK('Data Entry'!$ě$51), "", 'Data Entry'!$ě$51)</f>
      </c>
      <c r="HL51">
        <f>IF(ISBLANK('Data Entry'!$Ĝ$51), "", 'Data Entry'!$Ĝ$51)</f>
      </c>
      <c r="HM51">
        <f>IF(ISBLANK('Data Entry'!$ĝ$51), "", 'Data Entry'!$ĝ$51)</f>
      </c>
      <c r="HN51">
        <f>IF(ISBLANK('Data Entry'!$Ğ$51), "", 'Data Entry'!$Ğ$51)</f>
      </c>
      <c r="HO51">
        <f>IF(ISBLANK('Data Entry'!$ğ$51), "", 'Data Entry'!$ğ$51)</f>
      </c>
      <c r="HP51">
        <f>IF(ISBLANK('Data Entry'!$Ġ$51), "", 'Data Entry'!$Ġ$51)</f>
      </c>
      <c r="HQ51">
        <f>IF(ISBLANK('Data Entry'!$ġ$51), "", 'Data Entry'!$ġ$51)</f>
      </c>
      <c r="HR51">
        <f>IF(ISBLANK('Data Entry'!$Ģ$51), "", 'Data Entry'!$Ģ$51)</f>
      </c>
      <c r="HS51">
        <f>IF(ISBLANK('Data Entry'!$ģ$51), "", 'Data Entry'!$ģ$51)</f>
      </c>
      <c r="HT51">
        <f>IF(ISBLANK('Data Entry'!$Ĥ$51), "", 'Data Entry'!$Ĥ$51)</f>
      </c>
      <c r="HU51">
        <f>IF(ISBLANK('Data Entry'!$ĥ$51), "", 'Data Entry'!$ĥ$51)</f>
      </c>
      <c r="HV51">
        <f>IF(ISBLANK('Data Entry'!$Ħ$51), "", 'Data Entry'!$Ħ$51)</f>
      </c>
      <c r="HW51">
        <f>IF(ISBLANK('Data Entry'!$ħ$51), "", 'Data Entry'!$ħ$51)</f>
      </c>
      <c r="HX51">
        <f>IF(ISBLANK('Data Entry'!$Ĩ$51), "", 'Data Entry'!$Ĩ$51)</f>
      </c>
      <c r="HY51">
        <f>IF(ISBLANK('Data Entry'!$ĩ$51), "", 'Data Entry'!$ĩ$51)</f>
      </c>
      <c r="HZ51">
        <f>IF(ISBLANK('Data Entry'!$Ī$51), "", 'Data Entry'!$Ī$51)</f>
      </c>
      <c r="IA51">
        <f>IF(ISBLANK('Data Entry'!$ī$51), "", 'Data Entry'!$ī$51)</f>
      </c>
      <c r="IB51">
        <f>IF(ISBLANK('Data Entry'!$Ĭ$51), "", 'Data Entry'!$Ĭ$51)</f>
      </c>
      <c r="IC51">
        <f>IF(ISBLANK('Data Entry'!$ĭ$51), "", 'Data Entry'!$ĭ$51)</f>
      </c>
      <c r="ID51">
        <f>IF(ISBLANK('Data Entry'!$Į$51), "", 'Data Entry'!$Į$51)</f>
      </c>
      <c r="IE51">
        <f>IF(ISBLANK('Data Entry'!$į$51), "", 'Data Entry'!$į$51)</f>
      </c>
      <c r="IF51">
        <f>IF(ISBLANK('Data Entry'!$İ$51), "", 'Data Entry'!$İ$51)</f>
      </c>
      <c r="IG51">
        <f>IF(ISBLANK('Data Entry'!$ı$51), "", 'Data Entry'!$ı$51)</f>
      </c>
      <c r="IH51">
        <f>IF(ISBLANK('Data Entry'!$Ĳ$51), "", 'Data Entry'!$Ĳ$51)</f>
      </c>
      <c r="II51">
        <f>IF(ISBLANK('Data Entry'!$ĳ$51), "", 'Data Entry'!$ĳ$51)</f>
      </c>
      <c r="IJ51">
        <f>IF(ISBLANK('Data Entry'!$Ĵ$51), "", 'Data Entry'!$Ĵ$51)</f>
      </c>
      <c r="IK51">
        <f>IF(ISBLANK('Data Entry'!$ĵ$51), "", 'Data Entry'!$ĵ$51)</f>
      </c>
      <c r="IL51">
        <f>IF(ISBLANK('Data Entry'!$Ķ$51), "", 'Data Entry'!$Ķ$51)</f>
      </c>
      <c r="IM51">
        <f>IF(ISBLANK('Data Entry'!$ķ$51), "", 'Data Entry'!$ķ$51)</f>
      </c>
      <c r="IN51">
        <f>IF(ISBLANK('Data Entry'!$ĸ$51), "", 'Data Entry'!$ĸ$51)</f>
      </c>
      <c r="IO51">
        <f>IF(ISBLANK('Data Entry'!$Ĺ$51), "", 'Data Entry'!$Ĺ$51)</f>
      </c>
      <c r="IP51">
        <f>IF(ISBLANK('Data Entry'!$ĺ$51), "", 'Data Entry'!$ĺ$51)</f>
      </c>
      <c r="IQ51">
        <f>IF(ISBLANK('Data Entry'!$Ļ$51), "", 'Data Entry'!$Ļ$51)</f>
      </c>
      <c r="IR51">
        <f>IF(ISBLANK('Data Entry'!$ļ$51), "", 'Data Entry'!$ļ$51)</f>
      </c>
      <c r="IS51">
        <f>IF(ISBLANK('Data Entry'!$Ľ$51), "", 'Data Entry'!$Ľ$51)</f>
      </c>
      <c r="IT51">
        <f>IF(ISBLANK('Data Entry'!$ľ$51), "", 'Data Entry'!$ľ$51)</f>
      </c>
    </row>
    <row r="52" spans="1:254" x14ac:dyDescent="0.25">
      <c r="A52">
        <f>IF(ISBLANK('Data Entry'!$A$52), "", 'Data Entry'!$A$52)</f>
      </c>
      <c r="B52">
        <f>IF(ISBLANK('Data Entry'!$B$52), "", 'Data Entry'!$B$52)</f>
      </c>
      <c r="C52">
        <f>IF(ISBLANK('Data Entry'!$C$52), "", 'Data Entry'!$C$52)</f>
      </c>
      <c r="D52">
        <f>IF(ISBLANK('Data Entry'!$D$52), "", 'Data Entry'!$D$52)</f>
      </c>
      <c r="E52">
        <f>IF(ISBLANK('Data Entry'!$E$52), "", 'Data Entry'!$E$52)</f>
      </c>
      <c r="F52">
        <f>IF(ISBLANK('Data Entry'!$F$52), "", 'Data Entry'!$F$52)</f>
      </c>
      <c r="G52">
        <f>IF(ISBLANK('Data Entry'!$G$52), "", 'Data Entry'!$G$52)</f>
      </c>
      <c r="H52">
        <f>IF(ISBLANK('Data Entry'!$H$52), "", 'Data Entry'!$H$52)</f>
      </c>
      <c r="I52">
        <f>IF(ISBLANK('Data Entry'!$I$52), "", 'Data Entry'!$I$52)</f>
      </c>
      <c r="J52">
        <f>IF(ISBLANK('Data Entry'!$J$52), "", 'Data Entry'!$J$52)</f>
      </c>
      <c r="K52">
        <f>IF(ISBLANK('Data Entry'!$K$52), "", 'Data Entry'!$K$52)</f>
      </c>
      <c r="L52">
        <f>IF(ISBLANK('Data Entry'!$L$52), "", 'Data Entry'!$L$52)</f>
      </c>
      <c r="M52">
        <f>IF(ISBLANK('Data Entry'!$M$52), "", 'Data Entry'!$M$52)</f>
      </c>
      <c r="N52">
        <f>IF(ISBLANK('Data Entry'!$N$52), "", 'Data Entry'!$N$52)</f>
      </c>
      <c r="O52">
        <f>IF(ISBLANK('Data Entry'!$O$52), "", 'Data Entry'!$O$52)</f>
      </c>
      <c r="P52">
        <f>IF(ISBLANK('Data Entry'!$P$52), "", 'Data Entry'!$P$52)</f>
      </c>
      <c r="Q52">
        <f>IF(ISBLANK('Data Entry'!$Q$52), "", 'Data Entry'!$Q$52)</f>
      </c>
      <c r="R52">
        <f>IF(ISBLANK('Data Entry'!$R$52), "", 'Data Entry'!$R$52)</f>
      </c>
      <c r="S52">
        <f>IF(ISBLANK('Data Entry'!$S$52), "", 'Data Entry'!$S$52)</f>
      </c>
      <c r="T52">
        <f>IF(ISBLANK('Data Entry'!$T$52), "", 'Data Entry'!$T$52)</f>
      </c>
      <c r="U52">
        <f>IF(ISBLANK('Data Entry'!$U$52), "", 'Data Entry'!$U$52)</f>
      </c>
      <c r="V52">
        <f>IF(ISBLANK('Data Entry'!$V$52), "", 'Data Entry'!$V$52)</f>
      </c>
      <c r="W52">
        <f>IF(ISBLANK('Data Entry'!$W$52), "", 'Data Entry'!$W$52)</f>
      </c>
      <c r="X52">
        <f>IF(ISBLANK('Data Entry'!$X$52), "", 'Data Entry'!$X$52)</f>
      </c>
      <c r="Y52">
        <f>IF(ISBLANK('Data Entry'!$Y$52), "", 'Data Entry'!$Y$52)</f>
      </c>
      <c r="Z52">
        <f>IF(ISBLANK('Data Entry'!$Z$52), "", 'Data Entry'!$Z$52)</f>
      </c>
      <c r="AA52">
        <f>IF(ISBLANK('Data Entry'!$[$52), "", 'Data Entry'!$[$52)</f>
      </c>
      <c r="AB52">
        <f>IF(ISBLANK('Data Entry'!$\$52), "", 'Data Entry'!$\$52)</f>
      </c>
      <c r="AC52">
        <f>IF(ISBLANK('Data Entry'!$]$52), "", 'Data Entry'!$]$52)</f>
      </c>
      <c r="AD52">
        <f>IF(ISBLANK('Data Entry'!$^$52), "", 'Data Entry'!$^$52)</f>
      </c>
      <c r="AE52">
        <f>IF(ISBLANK('Data Entry'!$_$52), "", 'Data Entry'!$_$52)</f>
      </c>
      <c r="AF52">
        <f>IF(ISBLANK('Data Entry'!$`$52), "", 'Data Entry'!$`$52)</f>
      </c>
      <c r="AG52">
        <f>IF(ISBLANK('Data Entry'!$a$52), "", 'Data Entry'!$a$52)</f>
      </c>
      <c r="AH52">
        <f>IF(ISBLANK('Data Entry'!$b$52), "", 'Data Entry'!$b$52)</f>
      </c>
      <c r="AI52">
        <f>IF(ISBLANK('Data Entry'!$c$52), "", 'Data Entry'!$c$52)</f>
      </c>
      <c r="AJ52">
        <f>IF(ISBLANK('Data Entry'!$d$52), "", 'Data Entry'!$d$52)</f>
      </c>
      <c r="AK52">
        <f>IF(ISBLANK('Data Entry'!$e$52), "", 'Data Entry'!$e$52)</f>
      </c>
      <c r="AL52">
        <f>IF(ISBLANK('Data Entry'!$f$52), "", 'Data Entry'!$f$52)</f>
      </c>
      <c r="AM52">
        <f>IF(ISBLANK('Data Entry'!$g$52), "", 'Data Entry'!$g$52)</f>
      </c>
      <c r="AN52">
        <f>IF(ISBLANK('Data Entry'!$h$52), "", 'Data Entry'!$h$52)</f>
      </c>
      <c r="AO52">
        <f>IF(ISBLANK('Data Entry'!$i$52), "", 'Data Entry'!$i$52)</f>
      </c>
      <c r="AP52">
        <f>IF(ISBLANK('Data Entry'!$j$52), "", 'Data Entry'!$j$52)</f>
      </c>
      <c r="AQ52">
        <f>IF(ISBLANK('Data Entry'!$k$52), "", 'Data Entry'!$k$52)</f>
      </c>
      <c r="AR52">
        <f>IF(ISBLANK('Data Entry'!$l$52), "", 'Data Entry'!$l$52)</f>
      </c>
      <c r="AS52">
        <f>IF(ISBLANK('Data Entry'!$m$52), "", 'Data Entry'!$m$52)</f>
      </c>
      <c r="AT52">
        <f>IF(ISBLANK('Data Entry'!$n$52), "", 'Data Entry'!$n$52)</f>
      </c>
      <c r="AU52">
        <f>IF(ISBLANK('Data Entry'!$o$52), "", 'Data Entry'!$o$52)</f>
      </c>
      <c r="AV52">
        <f>IF(ISBLANK('Data Entry'!$p$52), "", 'Data Entry'!$p$52)</f>
      </c>
      <c r="AW52">
        <f>IF(ISBLANK('Data Entry'!$q$52), "", 'Data Entry'!$q$52)</f>
      </c>
      <c r="AX52">
        <f>IF(ISBLANK('Data Entry'!$r$52), "", 'Data Entry'!$r$52)</f>
      </c>
      <c r="AY52">
        <f>IF(ISBLANK('Data Entry'!$s$52), "", 'Data Entry'!$s$52)</f>
      </c>
      <c r="AZ52">
        <f>IF(ISBLANK('Data Entry'!$t$52), "", 'Data Entry'!$t$52)</f>
      </c>
      <c r="BA52">
        <f>IF(ISBLANK('Data Entry'!$u$52), "", 'Data Entry'!$u$52)</f>
      </c>
      <c r="BB52">
        <f>IF(ISBLANK('Data Entry'!$v$52), "", 'Data Entry'!$v$52)</f>
      </c>
      <c r="BC52">
        <f>IF(ISBLANK('Data Entry'!$w$52), "", 'Data Entry'!$w$52)</f>
      </c>
      <c r="BD52">
        <f>IF(ISBLANK('Data Entry'!$x$52), "", 'Data Entry'!$x$52)</f>
      </c>
      <c r="BE52">
        <f>IF(ISBLANK('Data Entry'!$y$52), "", 'Data Entry'!$y$52)</f>
      </c>
      <c r="BF52">
        <f>IF(ISBLANK('Data Entry'!$z$52), "", 'Data Entry'!$z$52)</f>
      </c>
      <c r="BG52">
        <f>IF(ISBLANK('Data Entry'!${$52), "", 'Data Entry'!${$52)</f>
      </c>
      <c r="BH52">
        <f>IF(ISBLANK('Data Entry'!$|$52), "", 'Data Entry'!$|$52)</f>
      </c>
      <c r="BI52">
        <f>IF(ISBLANK('Data Entry'!$}$52), "", 'Data Entry'!$}$52)</f>
      </c>
      <c r="BJ52">
        <f>IF(ISBLANK('Data Entry'!$~$52), "", 'Data Entry'!$~$52)</f>
      </c>
      <c r="BK52">
        <f>IF(ISBLANK('Data Entry'!$$52), "", 'Data Entry'!$$52)</f>
      </c>
      <c r="BL52">
        <f>IF(ISBLANK('Data Entry'!$$52), "", 'Data Entry'!$$52)</f>
      </c>
      <c r="BM52">
        <f>IF(ISBLANK('Data Entry'!$$52), "", 'Data Entry'!$$52)</f>
      </c>
      <c r="BN52">
        <f>IF(ISBLANK('Data Entry'!$$52), "", 'Data Entry'!$$52)</f>
      </c>
      <c r="BO52">
        <f>IF(ISBLANK('Data Entry'!$$52), "", 'Data Entry'!$$52)</f>
      </c>
      <c r="BP52">
        <f>IF(ISBLANK('Data Entry'!$$52), "", 'Data Entry'!$$52)</f>
      </c>
      <c r="BQ52">
        <f>IF(ISBLANK('Data Entry'!$$52), "", 'Data Entry'!$$52)</f>
      </c>
      <c r="BR52">
        <f>IF(ISBLANK('Data Entry'!$$52), "", 'Data Entry'!$$52)</f>
      </c>
      <c r="BS52">
        <f>IF(ISBLANK('Data Entry'!$$52), "", 'Data Entry'!$$52)</f>
      </c>
      <c r="BT52">
        <f>IF(ISBLANK('Data Entry'!$$52), "", 'Data Entry'!$$52)</f>
      </c>
      <c r="BU52">
        <f>IF(ISBLANK('Data Entry'!$$52), "", 'Data Entry'!$$52)</f>
      </c>
      <c r="BV52">
        <f>IF(ISBLANK('Data Entry'!$$52), "", 'Data Entry'!$$52)</f>
      </c>
      <c r="BW52">
        <f>IF(ISBLANK('Data Entry'!$$52), "", 'Data Entry'!$$52)</f>
      </c>
      <c r="BX52">
        <f>IF(ISBLANK('Data Entry'!$$52), "", 'Data Entry'!$$52)</f>
      </c>
      <c r="BY52">
        <f>IF(ISBLANK('Data Entry'!$$52), "", 'Data Entry'!$$52)</f>
      </c>
      <c r="BZ52">
        <f>IF(ISBLANK('Data Entry'!$$52), "", 'Data Entry'!$$52)</f>
      </c>
      <c r="CA52">
        <f>IF(ISBLANK('Data Entry'!$$52), "", 'Data Entry'!$$52)</f>
      </c>
      <c r="CB52">
        <f>IF(ISBLANK('Data Entry'!$$52), "", 'Data Entry'!$$52)</f>
      </c>
      <c r="CC52">
        <f>IF(ISBLANK('Data Entry'!$$52), "", 'Data Entry'!$$52)</f>
      </c>
      <c r="CD52">
        <f>IF(ISBLANK('Data Entry'!$$52), "", 'Data Entry'!$$52)</f>
      </c>
      <c r="CE52">
        <f>IF(ISBLANK('Data Entry'!$$52), "", 'Data Entry'!$$52)</f>
      </c>
      <c r="CF52">
        <f>IF(ISBLANK('Data Entry'!$$52), "", 'Data Entry'!$$52)</f>
      </c>
      <c r="CG52">
        <f>IF(ISBLANK('Data Entry'!$$52), "", 'Data Entry'!$$52)</f>
      </c>
      <c r="CH52">
        <f>IF(ISBLANK('Data Entry'!$$52), "", 'Data Entry'!$$52)</f>
      </c>
      <c r="CI52">
        <f>IF(ISBLANK('Data Entry'!$$52), "", 'Data Entry'!$$52)</f>
      </c>
      <c r="CJ52">
        <f>IF(ISBLANK('Data Entry'!$$52), "", 'Data Entry'!$$52)</f>
      </c>
      <c r="CK52">
        <f>IF(ISBLANK('Data Entry'!$$52), "", 'Data Entry'!$$52)</f>
      </c>
      <c r="CL52">
        <f>IF(ISBLANK('Data Entry'!$$52), "", 'Data Entry'!$$52)</f>
      </c>
      <c r="CM52">
        <f>IF(ISBLANK('Data Entry'!$$52), "", 'Data Entry'!$$52)</f>
      </c>
      <c r="CN52">
        <f>IF(ISBLANK('Data Entry'!$$52), "", 'Data Entry'!$$52)</f>
      </c>
      <c r="CO52">
        <f>IF(ISBLANK('Data Entry'!$$52), "", 'Data Entry'!$$52)</f>
      </c>
      <c r="CP52">
        <f>IF(ISBLANK('Data Entry'!$$52), "", 'Data Entry'!$$52)</f>
      </c>
      <c r="CQ52">
        <f>IF(ISBLANK('Data Entry'!$$52), "", 'Data Entry'!$$52)</f>
      </c>
      <c r="CR52">
        <f>IF(ISBLANK('Data Entry'!$ $52), "", 'Data Entry'!$ $52)</f>
      </c>
      <c r="CS52">
        <f>IF(ISBLANK('Data Entry'!$¡$52), "", 'Data Entry'!$¡$52)</f>
      </c>
      <c r="CT52">
        <f>IF(ISBLANK('Data Entry'!$¢$52), "", 'Data Entry'!$¢$52)</f>
      </c>
      <c r="CU52">
        <f>IF(ISBLANK('Data Entry'!$£$52), "", 'Data Entry'!$£$52)</f>
      </c>
      <c r="CV52">
        <f>IF(ISBLANK('Data Entry'!$¤$52), "", 'Data Entry'!$¤$52)</f>
      </c>
      <c r="CW52">
        <f>IF(ISBLANK('Data Entry'!$¥$52), "", 'Data Entry'!$¥$52)</f>
      </c>
      <c r="CX52">
        <f>IF(ISBLANK('Data Entry'!$¦$52), "", 'Data Entry'!$¦$52)</f>
      </c>
      <c r="CY52">
        <f>IF(ISBLANK('Data Entry'!$§$52), "", 'Data Entry'!$§$52)</f>
      </c>
      <c r="CZ52">
        <f>IF(ISBLANK('Data Entry'!$¨$52), "", 'Data Entry'!$¨$52)</f>
      </c>
      <c r="DA52">
        <f>IF(ISBLANK('Data Entry'!$©$52), "", 'Data Entry'!$©$52)</f>
      </c>
      <c r="DB52">
        <f>IF(ISBLANK('Data Entry'!$ª$52), "", 'Data Entry'!$ª$52)</f>
      </c>
      <c r="DC52">
        <f>IF(ISBLANK('Data Entry'!$«$52), "", 'Data Entry'!$«$52)</f>
      </c>
      <c r="DD52">
        <f>IF(ISBLANK('Data Entry'!$¬$52), "", 'Data Entry'!$¬$52)</f>
      </c>
      <c r="DE52">
        <f>IF(ISBLANK('Data Entry'!$­$52), "", 'Data Entry'!$­$52)</f>
      </c>
      <c r="DF52">
        <f>IF(ISBLANK('Data Entry'!$®$52), "", 'Data Entry'!$®$52)</f>
      </c>
      <c r="DG52">
        <f>IF(ISBLANK('Data Entry'!$¯$52), "", 'Data Entry'!$¯$52)</f>
      </c>
      <c r="DH52">
        <f>IF(ISBLANK('Data Entry'!$°$52), "", 'Data Entry'!$°$52)</f>
      </c>
      <c r="DI52">
        <f>IF(ISBLANK('Data Entry'!$±$52), "", 'Data Entry'!$±$52)</f>
      </c>
      <c r="DJ52">
        <f>IF(ISBLANK('Data Entry'!$²$52), "", 'Data Entry'!$²$52)</f>
      </c>
      <c r="DK52">
        <f>IF(ISBLANK('Data Entry'!$³$52), "", 'Data Entry'!$³$52)</f>
      </c>
      <c r="DL52">
        <f>IF(ISBLANK('Data Entry'!$´$52), "", 'Data Entry'!$´$52)</f>
      </c>
      <c r="DM52">
        <f>IF(ISBLANK('Data Entry'!$µ$52), "", 'Data Entry'!$µ$52)</f>
      </c>
      <c r="DN52">
        <f>IF(ISBLANK('Data Entry'!$¶$52), "", 'Data Entry'!$¶$52)</f>
      </c>
      <c r="DO52">
        <f>IF(ISBLANK('Data Entry'!$·$52), "", 'Data Entry'!$·$52)</f>
      </c>
      <c r="DP52">
        <f>IF(ISBLANK('Data Entry'!$¸$52), "", 'Data Entry'!$¸$52)</f>
      </c>
      <c r="DQ52">
        <f>IF(ISBLANK('Data Entry'!$¹$52), "", 'Data Entry'!$¹$52)</f>
      </c>
      <c r="DR52">
        <f>IF(ISBLANK('Data Entry'!$º$52), "", 'Data Entry'!$º$52)</f>
      </c>
      <c r="DS52">
        <f>IF(ISBLANK('Data Entry'!$»$52), "", 'Data Entry'!$»$52)</f>
      </c>
      <c r="DT52">
        <f>IF(ISBLANK('Data Entry'!$¼$52), "", 'Data Entry'!$¼$52)</f>
      </c>
      <c r="DU52">
        <f>IF(ISBLANK('Data Entry'!$½$52), "", 'Data Entry'!$½$52)</f>
      </c>
      <c r="DV52">
        <f>IF(ISBLANK('Data Entry'!$¾$52), "", 'Data Entry'!$¾$52)</f>
      </c>
      <c r="DW52">
        <f>IF(ISBLANK('Data Entry'!$¿$52), "", 'Data Entry'!$¿$52)</f>
      </c>
      <c r="DX52">
        <f>IF(ISBLANK('Data Entry'!$À$52), "", 'Data Entry'!$À$52)</f>
      </c>
      <c r="DY52">
        <f>IF(ISBLANK('Data Entry'!$Á$52), "", 'Data Entry'!$Á$52)</f>
      </c>
      <c r="DZ52">
        <f>IF(ISBLANK('Data Entry'!$Â$52), "", 'Data Entry'!$Â$52)</f>
      </c>
      <c r="EA52">
        <f>IF(ISBLANK('Data Entry'!$Ã$52), "", 'Data Entry'!$Ã$52)</f>
      </c>
      <c r="EB52">
        <f>IF(ISBLANK('Data Entry'!$Ä$52), "", 'Data Entry'!$Ä$52)</f>
      </c>
      <c r="EC52">
        <f>IF(ISBLANK('Data Entry'!$Å$52), "", 'Data Entry'!$Å$52)</f>
      </c>
      <c r="ED52">
        <f>IF(ISBLANK('Data Entry'!$Æ$52), "", 'Data Entry'!$Æ$52)</f>
      </c>
      <c r="EE52">
        <f>IF(ISBLANK('Data Entry'!$Ç$52), "", 'Data Entry'!$Ç$52)</f>
      </c>
      <c r="EF52">
        <f>IF(ISBLANK('Data Entry'!$È$52), "", 'Data Entry'!$È$52)</f>
      </c>
      <c r="EG52">
        <f>IF(ISBLANK('Data Entry'!$É$52), "", 'Data Entry'!$É$52)</f>
      </c>
      <c r="EH52">
        <f>IF(ISBLANK('Data Entry'!$Ê$52), "", 'Data Entry'!$Ê$52)</f>
      </c>
      <c r="EI52">
        <f>IF(ISBLANK('Data Entry'!$Ë$52), "", 'Data Entry'!$Ë$52)</f>
      </c>
      <c r="EJ52">
        <f>IF(ISBLANK('Data Entry'!$Ì$52), "", 'Data Entry'!$Ì$52)</f>
      </c>
      <c r="EK52">
        <f>IF(ISBLANK('Data Entry'!$Í$52), "", 'Data Entry'!$Í$52)</f>
      </c>
      <c r="EL52">
        <f>IF(ISBLANK('Data Entry'!$Î$52), "", 'Data Entry'!$Î$52)</f>
      </c>
      <c r="EM52">
        <f>IF(ISBLANK('Data Entry'!$Ï$52), "", 'Data Entry'!$Ï$52)</f>
      </c>
      <c r="EN52">
        <f>IF(ISBLANK('Data Entry'!$Ð$52), "", 'Data Entry'!$Ð$52)</f>
      </c>
      <c r="EO52">
        <f>IF(ISBLANK('Data Entry'!$Ñ$52), "", 'Data Entry'!$Ñ$52)</f>
      </c>
      <c r="EP52">
        <f>IF(ISBLANK('Data Entry'!$Ò$52), "", 'Data Entry'!$Ò$52)</f>
      </c>
      <c r="EQ52">
        <f>IF(ISBLANK('Data Entry'!$Ó$52), "", 'Data Entry'!$Ó$52)</f>
      </c>
      <c r="ER52">
        <f>IF(ISBLANK('Data Entry'!$Ô$52), "", 'Data Entry'!$Ô$52)</f>
      </c>
      <c r="ES52">
        <f>IF(ISBLANK('Data Entry'!$Õ$52), "", 'Data Entry'!$Õ$52)</f>
      </c>
      <c r="ET52">
        <f>IF(ISBLANK('Data Entry'!$Ö$52), "", 'Data Entry'!$Ö$52)</f>
      </c>
      <c r="EU52">
        <f>IF(ISBLANK('Data Entry'!$×$52), "", 'Data Entry'!$×$52)</f>
      </c>
      <c r="EV52">
        <f>IF(ISBLANK('Data Entry'!$Ø$52), "", 'Data Entry'!$Ø$52)</f>
      </c>
      <c r="EW52">
        <f>IF(ISBLANK('Data Entry'!$Ù$52), "", 'Data Entry'!$Ù$52)</f>
      </c>
      <c r="EX52">
        <f>IF(ISBLANK('Data Entry'!$Ú$52), "", 'Data Entry'!$Ú$52)</f>
      </c>
      <c r="EY52">
        <f>IF(ISBLANK('Data Entry'!$Û$52), "", 'Data Entry'!$Û$52)</f>
      </c>
      <c r="EZ52">
        <f>IF(ISBLANK('Data Entry'!$Ü$52), "", 'Data Entry'!$Ü$52)</f>
      </c>
      <c r="FA52">
        <f>IF(ISBLANK('Data Entry'!$Ý$52), "", 'Data Entry'!$Ý$52)</f>
      </c>
      <c r="FB52">
        <f>IF(ISBLANK('Data Entry'!$Þ$52), "", 'Data Entry'!$Þ$52)</f>
      </c>
      <c r="FC52">
        <f>IF(ISBLANK('Data Entry'!$ß$52), "", 'Data Entry'!$ß$52)</f>
      </c>
      <c r="FD52">
        <f>IF(ISBLANK('Data Entry'!$à$52), "", 'Data Entry'!$à$52)</f>
      </c>
      <c r="FE52">
        <f>IF(ISBLANK('Data Entry'!$á$52), "", 'Data Entry'!$á$52)</f>
      </c>
      <c r="FF52">
        <f>IF(ISBLANK('Data Entry'!$â$52), "", 'Data Entry'!$â$52)</f>
      </c>
      <c r="FG52">
        <f>IF(ISBLANK('Data Entry'!$ã$52), "", 'Data Entry'!$ã$52)</f>
      </c>
      <c r="FH52">
        <f>IF(ISBLANK('Data Entry'!$ä$52), "", 'Data Entry'!$ä$52)</f>
      </c>
      <c r="FI52">
        <f>IF(ISBLANK('Data Entry'!$å$52), "", 'Data Entry'!$å$52)</f>
      </c>
      <c r="FJ52">
        <f>IF(ISBLANK('Data Entry'!$æ$52), "", 'Data Entry'!$æ$52)</f>
      </c>
      <c r="FK52">
        <f>IF(ISBLANK('Data Entry'!$ç$52), "", 'Data Entry'!$ç$52)</f>
      </c>
      <c r="FL52">
        <f>IF(ISBLANK('Data Entry'!$è$52), "", 'Data Entry'!$è$52)</f>
      </c>
      <c r="FM52">
        <f>IF(ISBLANK('Data Entry'!$é$52), "", 'Data Entry'!$é$52)</f>
      </c>
      <c r="FN52">
        <f>IF(ISBLANK('Data Entry'!$ê$52), "", 'Data Entry'!$ê$52)</f>
      </c>
      <c r="FO52">
        <f>IF(ISBLANK('Data Entry'!$ë$52), "", 'Data Entry'!$ë$52)</f>
      </c>
      <c r="FP52">
        <f>IF(ISBLANK('Data Entry'!$ì$52), "", 'Data Entry'!$ì$52)</f>
      </c>
      <c r="FQ52">
        <f>IF(ISBLANK('Data Entry'!$í$52), "", 'Data Entry'!$í$52)</f>
      </c>
      <c r="FR52">
        <f>IF(ISBLANK('Data Entry'!$î$52), "", 'Data Entry'!$î$52)</f>
      </c>
      <c r="FS52">
        <f>IF(ISBLANK('Data Entry'!$ï$52), "", 'Data Entry'!$ï$52)</f>
      </c>
      <c r="FT52">
        <f>IF(ISBLANK('Data Entry'!$ð$52), "", 'Data Entry'!$ð$52)</f>
      </c>
      <c r="FU52">
        <f>IF(ISBLANK('Data Entry'!$ñ$52), "", 'Data Entry'!$ñ$52)</f>
      </c>
      <c r="FV52">
        <f>IF(ISBLANK('Data Entry'!$ò$52), "", 'Data Entry'!$ò$52)</f>
      </c>
      <c r="FW52">
        <f>IF(ISBLANK('Data Entry'!$ó$52), "", 'Data Entry'!$ó$52)</f>
      </c>
      <c r="FX52">
        <f>IF(ISBLANK('Data Entry'!$ô$52), "", 'Data Entry'!$ô$52)</f>
      </c>
      <c r="FY52">
        <f>IF(ISBLANK('Data Entry'!$õ$52), "", 'Data Entry'!$õ$52)</f>
      </c>
      <c r="FZ52">
        <f>IF(ISBLANK('Data Entry'!$ö$52), "", 'Data Entry'!$ö$52)</f>
      </c>
      <c r="GA52">
        <f>IF(ISBLANK('Data Entry'!$÷$52), "", 'Data Entry'!$÷$52)</f>
      </c>
      <c r="GB52">
        <f>IF(ISBLANK('Data Entry'!$ø$52), "", 'Data Entry'!$ø$52)</f>
      </c>
      <c r="GC52">
        <f>IF(ISBLANK('Data Entry'!$ù$52), "", 'Data Entry'!$ù$52)</f>
      </c>
      <c r="GD52">
        <f>IF(ISBLANK('Data Entry'!$ú$52), "", 'Data Entry'!$ú$52)</f>
      </c>
      <c r="GE52">
        <f>IF(ISBLANK('Data Entry'!$û$52), "", 'Data Entry'!$û$52)</f>
      </c>
      <c r="GF52">
        <f>IF(ISBLANK('Data Entry'!$ü$52), "", 'Data Entry'!$ü$52)</f>
      </c>
      <c r="GG52">
        <f>IF(ISBLANK('Data Entry'!$ý$52), "", 'Data Entry'!$ý$52)</f>
      </c>
      <c r="GH52">
        <f>IF(ISBLANK('Data Entry'!$þ$52), "", 'Data Entry'!$þ$52)</f>
      </c>
      <c r="GI52">
        <f>IF(ISBLANK('Data Entry'!$ÿ$52), "", 'Data Entry'!$ÿ$52)</f>
      </c>
      <c r="GJ52">
        <f>IF(ISBLANK('Data Entry'!$Ā$52), "", 'Data Entry'!$Ā$52)</f>
      </c>
      <c r="GK52">
        <f>IF(ISBLANK('Data Entry'!$ā$52), "", 'Data Entry'!$ā$52)</f>
      </c>
      <c r="GL52">
        <f>IF(ISBLANK('Data Entry'!$Ă$52), "", 'Data Entry'!$Ă$52)</f>
      </c>
      <c r="GM52">
        <f>IF(ISBLANK('Data Entry'!$ă$52), "", 'Data Entry'!$ă$52)</f>
      </c>
      <c r="GN52">
        <f>IF(ISBLANK('Data Entry'!$Ą$52), "", 'Data Entry'!$Ą$52)</f>
      </c>
      <c r="GO52">
        <f>IF(ISBLANK('Data Entry'!$ą$52), "", 'Data Entry'!$ą$52)</f>
      </c>
      <c r="GP52">
        <f>IF(ISBLANK('Data Entry'!$Ć$52), "", 'Data Entry'!$Ć$52)</f>
      </c>
      <c r="GQ52">
        <f>IF(ISBLANK('Data Entry'!$ć$52), "", 'Data Entry'!$ć$52)</f>
      </c>
      <c r="GR52">
        <f>IF(ISBLANK('Data Entry'!$Ĉ$52), "", 'Data Entry'!$Ĉ$52)</f>
      </c>
      <c r="GS52">
        <f>IF(ISBLANK('Data Entry'!$ĉ$52), "", 'Data Entry'!$ĉ$52)</f>
      </c>
      <c r="GT52">
        <f>IF(ISBLANK('Data Entry'!$Ċ$52), "", 'Data Entry'!$Ċ$52)</f>
      </c>
      <c r="GU52">
        <f>IF(ISBLANK('Data Entry'!$ċ$52), "", 'Data Entry'!$ċ$52)</f>
      </c>
      <c r="GV52">
        <f>IF(ISBLANK('Data Entry'!$Č$52), "", 'Data Entry'!$Č$52)</f>
      </c>
      <c r="GW52">
        <f>IF(ISBLANK('Data Entry'!$č$52), "", 'Data Entry'!$č$52)</f>
      </c>
      <c r="GX52">
        <f>IF(ISBLANK('Data Entry'!$Ď$52), "", 'Data Entry'!$Ď$52)</f>
      </c>
      <c r="GY52">
        <f>IF(ISBLANK('Data Entry'!$ď$52), "", 'Data Entry'!$ď$52)</f>
      </c>
      <c r="GZ52">
        <f>IF(ISBLANK('Data Entry'!$Đ$52), "", 'Data Entry'!$Đ$52)</f>
      </c>
      <c r="HA52">
        <f>IF(ISBLANK('Data Entry'!$đ$52), "", 'Data Entry'!$đ$52)</f>
      </c>
      <c r="HB52">
        <f>IF(ISBLANK('Data Entry'!$Ē$52), "", 'Data Entry'!$Ē$52)</f>
      </c>
      <c r="HC52">
        <f>IF(ISBLANK('Data Entry'!$ē$52), "", 'Data Entry'!$ē$52)</f>
      </c>
      <c r="HD52">
        <f>IF(ISBLANK('Data Entry'!$Ĕ$52), "", 'Data Entry'!$Ĕ$52)</f>
      </c>
      <c r="HE52">
        <f>IF(ISBLANK('Data Entry'!$ĕ$52), "", 'Data Entry'!$ĕ$52)</f>
      </c>
      <c r="HF52">
        <f>IF(ISBLANK('Data Entry'!$Ė$52), "", 'Data Entry'!$Ė$52)</f>
      </c>
      <c r="HG52">
        <f>IF(ISBLANK('Data Entry'!$ė$52), "", 'Data Entry'!$ė$52)</f>
      </c>
      <c r="HH52">
        <f>IF(ISBLANK('Data Entry'!$Ę$52), "", 'Data Entry'!$Ę$52)</f>
      </c>
      <c r="HI52">
        <f>IF(ISBLANK('Data Entry'!$ę$52), "", 'Data Entry'!$ę$52)</f>
      </c>
      <c r="HJ52">
        <f>IF(ISBLANK('Data Entry'!$Ě$52), "", 'Data Entry'!$Ě$52)</f>
      </c>
      <c r="HK52">
        <f>IF(ISBLANK('Data Entry'!$ě$52), "", 'Data Entry'!$ě$52)</f>
      </c>
      <c r="HL52">
        <f>IF(ISBLANK('Data Entry'!$Ĝ$52), "", 'Data Entry'!$Ĝ$52)</f>
      </c>
      <c r="HM52">
        <f>IF(ISBLANK('Data Entry'!$ĝ$52), "", 'Data Entry'!$ĝ$52)</f>
      </c>
      <c r="HN52">
        <f>IF(ISBLANK('Data Entry'!$Ğ$52), "", 'Data Entry'!$Ğ$52)</f>
      </c>
      <c r="HO52">
        <f>IF(ISBLANK('Data Entry'!$ğ$52), "", 'Data Entry'!$ğ$52)</f>
      </c>
      <c r="HP52">
        <f>IF(ISBLANK('Data Entry'!$Ġ$52), "", 'Data Entry'!$Ġ$52)</f>
      </c>
      <c r="HQ52">
        <f>IF(ISBLANK('Data Entry'!$ġ$52), "", 'Data Entry'!$ġ$52)</f>
      </c>
      <c r="HR52">
        <f>IF(ISBLANK('Data Entry'!$Ģ$52), "", 'Data Entry'!$Ģ$52)</f>
      </c>
      <c r="HS52">
        <f>IF(ISBLANK('Data Entry'!$ģ$52), "", 'Data Entry'!$ģ$52)</f>
      </c>
      <c r="HT52">
        <f>IF(ISBLANK('Data Entry'!$Ĥ$52), "", 'Data Entry'!$Ĥ$52)</f>
      </c>
      <c r="HU52">
        <f>IF(ISBLANK('Data Entry'!$ĥ$52), "", 'Data Entry'!$ĥ$52)</f>
      </c>
      <c r="HV52">
        <f>IF(ISBLANK('Data Entry'!$Ħ$52), "", 'Data Entry'!$Ħ$52)</f>
      </c>
      <c r="HW52">
        <f>IF(ISBLANK('Data Entry'!$ħ$52), "", 'Data Entry'!$ħ$52)</f>
      </c>
      <c r="HX52">
        <f>IF(ISBLANK('Data Entry'!$Ĩ$52), "", 'Data Entry'!$Ĩ$52)</f>
      </c>
      <c r="HY52">
        <f>IF(ISBLANK('Data Entry'!$ĩ$52), "", 'Data Entry'!$ĩ$52)</f>
      </c>
      <c r="HZ52">
        <f>IF(ISBLANK('Data Entry'!$Ī$52), "", 'Data Entry'!$Ī$52)</f>
      </c>
      <c r="IA52">
        <f>IF(ISBLANK('Data Entry'!$ī$52), "", 'Data Entry'!$ī$52)</f>
      </c>
      <c r="IB52">
        <f>IF(ISBLANK('Data Entry'!$Ĭ$52), "", 'Data Entry'!$Ĭ$52)</f>
      </c>
      <c r="IC52">
        <f>IF(ISBLANK('Data Entry'!$ĭ$52), "", 'Data Entry'!$ĭ$52)</f>
      </c>
      <c r="ID52">
        <f>IF(ISBLANK('Data Entry'!$Į$52), "", 'Data Entry'!$Į$52)</f>
      </c>
      <c r="IE52">
        <f>IF(ISBLANK('Data Entry'!$į$52), "", 'Data Entry'!$į$52)</f>
      </c>
      <c r="IF52">
        <f>IF(ISBLANK('Data Entry'!$İ$52), "", 'Data Entry'!$İ$52)</f>
      </c>
      <c r="IG52">
        <f>IF(ISBLANK('Data Entry'!$ı$52), "", 'Data Entry'!$ı$52)</f>
      </c>
      <c r="IH52">
        <f>IF(ISBLANK('Data Entry'!$Ĳ$52), "", 'Data Entry'!$Ĳ$52)</f>
      </c>
      <c r="II52">
        <f>IF(ISBLANK('Data Entry'!$ĳ$52), "", 'Data Entry'!$ĳ$52)</f>
      </c>
      <c r="IJ52">
        <f>IF(ISBLANK('Data Entry'!$Ĵ$52), "", 'Data Entry'!$Ĵ$52)</f>
      </c>
      <c r="IK52">
        <f>IF(ISBLANK('Data Entry'!$ĵ$52), "", 'Data Entry'!$ĵ$52)</f>
      </c>
      <c r="IL52">
        <f>IF(ISBLANK('Data Entry'!$Ķ$52), "", 'Data Entry'!$Ķ$52)</f>
      </c>
      <c r="IM52">
        <f>IF(ISBLANK('Data Entry'!$ķ$52), "", 'Data Entry'!$ķ$52)</f>
      </c>
      <c r="IN52">
        <f>IF(ISBLANK('Data Entry'!$ĸ$52), "", 'Data Entry'!$ĸ$52)</f>
      </c>
      <c r="IO52">
        <f>IF(ISBLANK('Data Entry'!$Ĺ$52), "", 'Data Entry'!$Ĺ$52)</f>
      </c>
      <c r="IP52">
        <f>IF(ISBLANK('Data Entry'!$ĺ$52), "", 'Data Entry'!$ĺ$52)</f>
      </c>
      <c r="IQ52">
        <f>IF(ISBLANK('Data Entry'!$Ļ$52), "", 'Data Entry'!$Ļ$52)</f>
      </c>
      <c r="IR52">
        <f>IF(ISBLANK('Data Entry'!$ļ$52), "", 'Data Entry'!$ļ$52)</f>
      </c>
      <c r="IS52">
        <f>IF(ISBLANK('Data Entry'!$Ľ$52), "", 'Data Entry'!$Ľ$52)</f>
      </c>
      <c r="IT52">
        <f>IF(ISBLANK('Data Entry'!$ľ$52), "", 'Data Entry'!$ľ$52)</f>
      </c>
    </row>
    <row r="53" spans="1:254" x14ac:dyDescent="0.25">
      <c r="A53">
        <f>IF(ISBLANK('Data Entry'!$A$53), "", 'Data Entry'!$A$53)</f>
      </c>
      <c r="B53">
        <f>IF(ISBLANK('Data Entry'!$B$53), "", 'Data Entry'!$B$53)</f>
      </c>
      <c r="C53">
        <f>IF(ISBLANK('Data Entry'!$C$53), "", 'Data Entry'!$C$53)</f>
      </c>
      <c r="D53">
        <f>IF(ISBLANK('Data Entry'!$D$53), "", 'Data Entry'!$D$53)</f>
      </c>
      <c r="E53">
        <f>IF(ISBLANK('Data Entry'!$E$53), "", 'Data Entry'!$E$53)</f>
      </c>
      <c r="F53">
        <f>IF(ISBLANK('Data Entry'!$F$53), "", 'Data Entry'!$F$53)</f>
      </c>
      <c r="G53">
        <f>IF(ISBLANK('Data Entry'!$G$53), "", 'Data Entry'!$G$53)</f>
      </c>
      <c r="H53">
        <f>IF(ISBLANK('Data Entry'!$H$53), "", 'Data Entry'!$H$53)</f>
      </c>
      <c r="I53">
        <f>IF(ISBLANK('Data Entry'!$I$53), "", 'Data Entry'!$I$53)</f>
      </c>
      <c r="J53">
        <f>IF(ISBLANK('Data Entry'!$J$53), "", 'Data Entry'!$J$53)</f>
      </c>
      <c r="K53">
        <f>IF(ISBLANK('Data Entry'!$K$53), "", 'Data Entry'!$K$53)</f>
      </c>
      <c r="L53">
        <f>IF(ISBLANK('Data Entry'!$L$53), "", 'Data Entry'!$L$53)</f>
      </c>
      <c r="M53">
        <f>IF(ISBLANK('Data Entry'!$M$53), "", 'Data Entry'!$M$53)</f>
      </c>
      <c r="N53">
        <f>IF(ISBLANK('Data Entry'!$N$53), "", 'Data Entry'!$N$53)</f>
      </c>
      <c r="O53">
        <f>IF(ISBLANK('Data Entry'!$O$53), "", 'Data Entry'!$O$53)</f>
      </c>
      <c r="P53">
        <f>IF(ISBLANK('Data Entry'!$P$53), "", 'Data Entry'!$P$53)</f>
      </c>
      <c r="Q53">
        <f>IF(ISBLANK('Data Entry'!$Q$53), "", 'Data Entry'!$Q$53)</f>
      </c>
      <c r="R53">
        <f>IF(ISBLANK('Data Entry'!$R$53), "", 'Data Entry'!$R$53)</f>
      </c>
      <c r="S53">
        <f>IF(ISBLANK('Data Entry'!$S$53), "", 'Data Entry'!$S$53)</f>
      </c>
      <c r="T53">
        <f>IF(ISBLANK('Data Entry'!$T$53), "", 'Data Entry'!$T$53)</f>
      </c>
      <c r="U53">
        <f>IF(ISBLANK('Data Entry'!$U$53), "", 'Data Entry'!$U$53)</f>
      </c>
      <c r="V53">
        <f>IF(ISBLANK('Data Entry'!$V$53), "", 'Data Entry'!$V$53)</f>
      </c>
      <c r="W53">
        <f>IF(ISBLANK('Data Entry'!$W$53), "", 'Data Entry'!$W$53)</f>
      </c>
      <c r="X53">
        <f>IF(ISBLANK('Data Entry'!$X$53), "", 'Data Entry'!$X$53)</f>
      </c>
      <c r="Y53">
        <f>IF(ISBLANK('Data Entry'!$Y$53), "", 'Data Entry'!$Y$53)</f>
      </c>
      <c r="Z53">
        <f>IF(ISBLANK('Data Entry'!$Z$53), "", 'Data Entry'!$Z$53)</f>
      </c>
      <c r="AA53">
        <f>IF(ISBLANK('Data Entry'!$[$53), "", 'Data Entry'!$[$53)</f>
      </c>
      <c r="AB53">
        <f>IF(ISBLANK('Data Entry'!$\$53), "", 'Data Entry'!$\$53)</f>
      </c>
      <c r="AC53">
        <f>IF(ISBLANK('Data Entry'!$]$53), "", 'Data Entry'!$]$53)</f>
      </c>
      <c r="AD53">
        <f>IF(ISBLANK('Data Entry'!$^$53), "", 'Data Entry'!$^$53)</f>
      </c>
      <c r="AE53">
        <f>IF(ISBLANK('Data Entry'!$_$53), "", 'Data Entry'!$_$53)</f>
      </c>
      <c r="AF53">
        <f>IF(ISBLANK('Data Entry'!$`$53), "", 'Data Entry'!$`$53)</f>
      </c>
      <c r="AG53">
        <f>IF(ISBLANK('Data Entry'!$a$53), "", 'Data Entry'!$a$53)</f>
      </c>
      <c r="AH53">
        <f>IF(ISBLANK('Data Entry'!$b$53), "", 'Data Entry'!$b$53)</f>
      </c>
      <c r="AI53">
        <f>IF(ISBLANK('Data Entry'!$c$53), "", 'Data Entry'!$c$53)</f>
      </c>
      <c r="AJ53">
        <f>IF(ISBLANK('Data Entry'!$d$53), "", 'Data Entry'!$d$53)</f>
      </c>
      <c r="AK53">
        <f>IF(ISBLANK('Data Entry'!$e$53), "", 'Data Entry'!$e$53)</f>
      </c>
      <c r="AL53">
        <f>IF(ISBLANK('Data Entry'!$f$53), "", 'Data Entry'!$f$53)</f>
      </c>
      <c r="AM53">
        <f>IF(ISBLANK('Data Entry'!$g$53), "", 'Data Entry'!$g$53)</f>
      </c>
      <c r="AN53">
        <f>IF(ISBLANK('Data Entry'!$h$53), "", 'Data Entry'!$h$53)</f>
      </c>
      <c r="AO53">
        <f>IF(ISBLANK('Data Entry'!$i$53), "", 'Data Entry'!$i$53)</f>
      </c>
      <c r="AP53">
        <f>IF(ISBLANK('Data Entry'!$j$53), "", 'Data Entry'!$j$53)</f>
      </c>
      <c r="AQ53">
        <f>IF(ISBLANK('Data Entry'!$k$53), "", 'Data Entry'!$k$53)</f>
      </c>
      <c r="AR53">
        <f>IF(ISBLANK('Data Entry'!$l$53), "", 'Data Entry'!$l$53)</f>
      </c>
      <c r="AS53">
        <f>IF(ISBLANK('Data Entry'!$m$53), "", 'Data Entry'!$m$53)</f>
      </c>
      <c r="AT53">
        <f>IF(ISBLANK('Data Entry'!$n$53), "", 'Data Entry'!$n$53)</f>
      </c>
      <c r="AU53">
        <f>IF(ISBLANK('Data Entry'!$o$53), "", 'Data Entry'!$o$53)</f>
      </c>
      <c r="AV53">
        <f>IF(ISBLANK('Data Entry'!$p$53), "", 'Data Entry'!$p$53)</f>
      </c>
      <c r="AW53">
        <f>IF(ISBLANK('Data Entry'!$q$53), "", 'Data Entry'!$q$53)</f>
      </c>
      <c r="AX53">
        <f>IF(ISBLANK('Data Entry'!$r$53), "", 'Data Entry'!$r$53)</f>
      </c>
      <c r="AY53">
        <f>IF(ISBLANK('Data Entry'!$s$53), "", 'Data Entry'!$s$53)</f>
      </c>
      <c r="AZ53">
        <f>IF(ISBLANK('Data Entry'!$t$53), "", 'Data Entry'!$t$53)</f>
      </c>
      <c r="BA53">
        <f>IF(ISBLANK('Data Entry'!$u$53), "", 'Data Entry'!$u$53)</f>
      </c>
      <c r="BB53">
        <f>IF(ISBLANK('Data Entry'!$v$53), "", 'Data Entry'!$v$53)</f>
      </c>
      <c r="BC53">
        <f>IF(ISBLANK('Data Entry'!$w$53), "", 'Data Entry'!$w$53)</f>
      </c>
      <c r="BD53">
        <f>IF(ISBLANK('Data Entry'!$x$53), "", 'Data Entry'!$x$53)</f>
      </c>
      <c r="BE53">
        <f>IF(ISBLANK('Data Entry'!$y$53), "", 'Data Entry'!$y$53)</f>
      </c>
      <c r="BF53">
        <f>IF(ISBLANK('Data Entry'!$z$53), "", 'Data Entry'!$z$53)</f>
      </c>
      <c r="BG53">
        <f>IF(ISBLANK('Data Entry'!${$53), "", 'Data Entry'!${$53)</f>
      </c>
      <c r="BH53">
        <f>IF(ISBLANK('Data Entry'!$|$53), "", 'Data Entry'!$|$53)</f>
      </c>
      <c r="BI53">
        <f>IF(ISBLANK('Data Entry'!$}$53), "", 'Data Entry'!$}$53)</f>
      </c>
      <c r="BJ53">
        <f>IF(ISBLANK('Data Entry'!$~$53), "", 'Data Entry'!$~$53)</f>
      </c>
      <c r="BK53">
        <f>IF(ISBLANK('Data Entry'!$$53), "", 'Data Entry'!$$53)</f>
      </c>
      <c r="BL53">
        <f>IF(ISBLANK('Data Entry'!$$53), "", 'Data Entry'!$$53)</f>
      </c>
      <c r="BM53">
        <f>IF(ISBLANK('Data Entry'!$$53), "", 'Data Entry'!$$53)</f>
      </c>
      <c r="BN53">
        <f>IF(ISBLANK('Data Entry'!$$53), "", 'Data Entry'!$$53)</f>
      </c>
      <c r="BO53">
        <f>IF(ISBLANK('Data Entry'!$$53), "", 'Data Entry'!$$53)</f>
      </c>
      <c r="BP53">
        <f>IF(ISBLANK('Data Entry'!$$53), "", 'Data Entry'!$$53)</f>
      </c>
      <c r="BQ53">
        <f>IF(ISBLANK('Data Entry'!$$53), "", 'Data Entry'!$$53)</f>
      </c>
      <c r="BR53">
        <f>IF(ISBLANK('Data Entry'!$$53), "", 'Data Entry'!$$53)</f>
      </c>
      <c r="BS53">
        <f>IF(ISBLANK('Data Entry'!$$53), "", 'Data Entry'!$$53)</f>
      </c>
      <c r="BT53">
        <f>IF(ISBLANK('Data Entry'!$$53), "", 'Data Entry'!$$53)</f>
      </c>
      <c r="BU53">
        <f>IF(ISBLANK('Data Entry'!$$53), "", 'Data Entry'!$$53)</f>
      </c>
      <c r="BV53">
        <f>IF(ISBLANK('Data Entry'!$$53), "", 'Data Entry'!$$53)</f>
      </c>
      <c r="BW53">
        <f>IF(ISBLANK('Data Entry'!$$53), "", 'Data Entry'!$$53)</f>
      </c>
      <c r="BX53">
        <f>IF(ISBLANK('Data Entry'!$$53), "", 'Data Entry'!$$53)</f>
      </c>
      <c r="BY53">
        <f>IF(ISBLANK('Data Entry'!$$53), "", 'Data Entry'!$$53)</f>
      </c>
      <c r="BZ53">
        <f>IF(ISBLANK('Data Entry'!$$53), "", 'Data Entry'!$$53)</f>
      </c>
      <c r="CA53">
        <f>IF(ISBLANK('Data Entry'!$$53), "", 'Data Entry'!$$53)</f>
      </c>
      <c r="CB53">
        <f>IF(ISBLANK('Data Entry'!$$53), "", 'Data Entry'!$$53)</f>
      </c>
      <c r="CC53">
        <f>IF(ISBLANK('Data Entry'!$$53), "", 'Data Entry'!$$53)</f>
      </c>
      <c r="CD53">
        <f>IF(ISBLANK('Data Entry'!$$53), "", 'Data Entry'!$$53)</f>
      </c>
      <c r="CE53">
        <f>IF(ISBLANK('Data Entry'!$$53), "", 'Data Entry'!$$53)</f>
      </c>
      <c r="CF53">
        <f>IF(ISBLANK('Data Entry'!$$53), "", 'Data Entry'!$$53)</f>
      </c>
      <c r="CG53">
        <f>IF(ISBLANK('Data Entry'!$$53), "", 'Data Entry'!$$53)</f>
      </c>
      <c r="CH53">
        <f>IF(ISBLANK('Data Entry'!$$53), "", 'Data Entry'!$$53)</f>
      </c>
      <c r="CI53">
        <f>IF(ISBLANK('Data Entry'!$$53), "", 'Data Entry'!$$53)</f>
      </c>
      <c r="CJ53">
        <f>IF(ISBLANK('Data Entry'!$$53), "", 'Data Entry'!$$53)</f>
      </c>
      <c r="CK53">
        <f>IF(ISBLANK('Data Entry'!$$53), "", 'Data Entry'!$$53)</f>
      </c>
      <c r="CL53">
        <f>IF(ISBLANK('Data Entry'!$$53), "", 'Data Entry'!$$53)</f>
      </c>
      <c r="CM53">
        <f>IF(ISBLANK('Data Entry'!$$53), "", 'Data Entry'!$$53)</f>
      </c>
      <c r="CN53">
        <f>IF(ISBLANK('Data Entry'!$$53), "", 'Data Entry'!$$53)</f>
      </c>
      <c r="CO53">
        <f>IF(ISBLANK('Data Entry'!$$53), "", 'Data Entry'!$$53)</f>
      </c>
      <c r="CP53">
        <f>IF(ISBLANK('Data Entry'!$$53), "", 'Data Entry'!$$53)</f>
      </c>
      <c r="CQ53">
        <f>IF(ISBLANK('Data Entry'!$$53), "", 'Data Entry'!$$53)</f>
      </c>
      <c r="CR53">
        <f>IF(ISBLANK('Data Entry'!$ $53), "", 'Data Entry'!$ $53)</f>
      </c>
      <c r="CS53">
        <f>IF(ISBLANK('Data Entry'!$¡$53), "", 'Data Entry'!$¡$53)</f>
      </c>
      <c r="CT53">
        <f>IF(ISBLANK('Data Entry'!$¢$53), "", 'Data Entry'!$¢$53)</f>
      </c>
      <c r="CU53">
        <f>IF(ISBLANK('Data Entry'!$£$53), "", 'Data Entry'!$£$53)</f>
      </c>
      <c r="CV53">
        <f>IF(ISBLANK('Data Entry'!$¤$53), "", 'Data Entry'!$¤$53)</f>
      </c>
      <c r="CW53">
        <f>IF(ISBLANK('Data Entry'!$¥$53), "", 'Data Entry'!$¥$53)</f>
      </c>
      <c r="CX53">
        <f>IF(ISBLANK('Data Entry'!$¦$53), "", 'Data Entry'!$¦$53)</f>
      </c>
      <c r="CY53">
        <f>IF(ISBLANK('Data Entry'!$§$53), "", 'Data Entry'!$§$53)</f>
      </c>
      <c r="CZ53">
        <f>IF(ISBLANK('Data Entry'!$¨$53), "", 'Data Entry'!$¨$53)</f>
      </c>
      <c r="DA53">
        <f>IF(ISBLANK('Data Entry'!$©$53), "", 'Data Entry'!$©$53)</f>
      </c>
      <c r="DB53">
        <f>IF(ISBLANK('Data Entry'!$ª$53), "", 'Data Entry'!$ª$53)</f>
      </c>
      <c r="DC53">
        <f>IF(ISBLANK('Data Entry'!$«$53), "", 'Data Entry'!$«$53)</f>
      </c>
      <c r="DD53">
        <f>IF(ISBLANK('Data Entry'!$¬$53), "", 'Data Entry'!$¬$53)</f>
      </c>
      <c r="DE53">
        <f>IF(ISBLANK('Data Entry'!$­$53), "", 'Data Entry'!$­$53)</f>
      </c>
      <c r="DF53">
        <f>IF(ISBLANK('Data Entry'!$®$53), "", 'Data Entry'!$®$53)</f>
      </c>
      <c r="DG53">
        <f>IF(ISBLANK('Data Entry'!$¯$53), "", 'Data Entry'!$¯$53)</f>
      </c>
      <c r="DH53">
        <f>IF(ISBLANK('Data Entry'!$°$53), "", 'Data Entry'!$°$53)</f>
      </c>
      <c r="DI53">
        <f>IF(ISBLANK('Data Entry'!$±$53), "", 'Data Entry'!$±$53)</f>
      </c>
      <c r="DJ53">
        <f>IF(ISBLANK('Data Entry'!$²$53), "", 'Data Entry'!$²$53)</f>
      </c>
      <c r="DK53">
        <f>IF(ISBLANK('Data Entry'!$³$53), "", 'Data Entry'!$³$53)</f>
      </c>
      <c r="DL53">
        <f>IF(ISBLANK('Data Entry'!$´$53), "", 'Data Entry'!$´$53)</f>
      </c>
      <c r="DM53">
        <f>IF(ISBLANK('Data Entry'!$µ$53), "", 'Data Entry'!$µ$53)</f>
      </c>
      <c r="DN53">
        <f>IF(ISBLANK('Data Entry'!$¶$53), "", 'Data Entry'!$¶$53)</f>
      </c>
      <c r="DO53">
        <f>IF(ISBLANK('Data Entry'!$·$53), "", 'Data Entry'!$·$53)</f>
      </c>
      <c r="DP53">
        <f>IF(ISBLANK('Data Entry'!$¸$53), "", 'Data Entry'!$¸$53)</f>
      </c>
      <c r="DQ53">
        <f>IF(ISBLANK('Data Entry'!$¹$53), "", 'Data Entry'!$¹$53)</f>
      </c>
      <c r="DR53">
        <f>IF(ISBLANK('Data Entry'!$º$53), "", 'Data Entry'!$º$53)</f>
      </c>
      <c r="DS53">
        <f>IF(ISBLANK('Data Entry'!$»$53), "", 'Data Entry'!$»$53)</f>
      </c>
      <c r="DT53">
        <f>IF(ISBLANK('Data Entry'!$¼$53), "", 'Data Entry'!$¼$53)</f>
      </c>
      <c r="DU53">
        <f>IF(ISBLANK('Data Entry'!$½$53), "", 'Data Entry'!$½$53)</f>
      </c>
      <c r="DV53">
        <f>IF(ISBLANK('Data Entry'!$¾$53), "", 'Data Entry'!$¾$53)</f>
      </c>
      <c r="DW53">
        <f>IF(ISBLANK('Data Entry'!$¿$53), "", 'Data Entry'!$¿$53)</f>
      </c>
      <c r="DX53">
        <f>IF(ISBLANK('Data Entry'!$À$53), "", 'Data Entry'!$À$53)</f>
      </c>
      <c r="DY53">
        <f>IF(ISBLANK('Data Entry'!$Á$53), "", 'Data Entry'!$Á$53)</f>
      </c>
      <c r="DZ53">
        <f>IF(ISBLANK('Data Entry'!$Â$53), "", 'Data Entry'!$Â$53)</f>
      </c>
      <c r="EA53">
        <f>IF(ISBLANK('Data Entry'!$Ã$53), "", 'Data Entry'!$Ã$53)</f>
      </c>
      <c r="EB53">
        <f>IF(ISBLANK('Data Entry'!$Ä$53), "", 'Data Entry'!$Ä$53)</f>
      </c>
      <c r="EC53">
        <f>IF(ISBLANK('Data Entry'!$Å$53), "", 'Data Entry'!$Å$53)</f>
      </c>
      <c r="ED53">
        <f>IF(ISBLANK('Data Entry'!$Æ$53), "", 'Data Entry'!$Æ$53)</f>
      </c>
      <c r="EE53">
        <f>IF(ISBLANK('Data Entry'!$Ç$53), "", 'Data Entry'!$Ç$53)</f>
      </c>
      <c r="EF53">
        <f>IF(ISBLANK('Data Entry'!$È$53), "", 'Data Entry'!$È$53)</f>
      </c>
      <c r="EG53">
        <f>IF(ISBLANK('Data Entry'!$É$53), "", 'Data Entry'!$É$53)</f>
      </c>
      <c r="EH53">
        <f>IF(ISBLANK('Data Entry'!$Ê$53), "", 'Data Entry'!$Ê$53)</f>
      </c>
      <c r="EI53">
        <f>IF(ISBLANK('Data Entry'!$Ë$53), "", 'Data Entry'!$Ë$53)</f>
      </c>
      <c r="EJ53">
        <f>IF(ISBLANK('Data Entry'!$Ì$53), "", 'Data Entry'!$Ì$53)</f>
      </c>
      <c r="EK53">
        <f>IF(ISBLANK('Data Entry'!$Í$53), "", 'Data Entry'!$Í$53)</f>
      </c>
      <c r="EL53">
        <f>IF(ISBLANK('Data Entry'!$Î$53), "", 'Data Entry'!$Î$53)</f>
      </c>
      <c r="EM53">
        <f>IF(ISBLANK('Data Entry'!$Ï$53), "", 'Data Entry'!$Ï$53)</f>
      </c>
      <c r="EN53">
        <f>IF(ISBLANK('Data Entry'!$Ð$53), "", 'Data Entry'!$Ð$53)</f>
      </c>
      <c r="EO53">
        <f>IF(ISBLANK('Data Entry'!$Ñ$53), "", 'Data Entry'!$Ñ$53)</f>
      </c>
      <c r="EP53">
        <f>IF(ISBLANK('Data Entry'!$Ò$53), "", 'Data Entry'!$Ò$53)</f>
      </c>
      <c r="EQ53">
        <f>IF(ISBLANK('Data Entry'!$Ó$53), "", 'Data Entry'!$Ó$53)</f>
      </c>
      <c r="ER53">
        <f>IF(ISBLANK('Data Entry'!$Ô$53), "", 'Data Entry'!$Ô$53)</f>
      </c>
      <c r="ES53">
        <f>IF(ISBLANK('Data Entry'!$Õ$53), "", 'Data Entry'!$Õ$53)</f>
      </c>
      <c r="ET53">
        <f>IF(ISBLANK('Data Entry'!$Ö$53), "", 'Data Entry'!$Ö$53)</f>
      </c>
      <c r="EU53">
        <f>IF(ISBLANK('Data Entry'!$×$53), "", 'Data Entry'!$×$53)</f>
      </c>
      <c r="EV53">
        <f>IF(ISBLANK('Data Entry'!$Ø$53), "", 'Data Entry'!$Ø$53)</f>
      </c>
      <c r="EW53">
        <f>IF(ISBLANK('Data Entry'!$Ù$53), "", 'Data Entry'!$Ù$53)</f>
      </c>
      <c r="EX53">
        <f>IF(ISBLANK('Data Entry'!$Ú$53), "", 'Data Entry'!$Ú$53)</f>
      </c>
      <c r="EY53">
        <f>IF(ISBLANK('Data Entry'!$Û$53), "", 'Data Entry'!$Û$53)</f>
      </c>
      <c r="EZ53">
        <f>IF(ISBLANK('Data Entry'!$Ü$53), "", 'Data Entry'!$Ü$53)</f>
      </c>
      <c r="FA53">
        <f>IF(ISBLANK('Data Entry'!$Ý$53), "", 'Data Entry'!$Ý$53)</f>
      </c>
      <c r="FB53">
        <f>IF(ISBLANK('Data Entry'!$Þ$53), "", 'Data Entry'!$Þ$53)</f>
      </c>
      <c r="FC53">
        <f>IF(ISBLANK('Data Entry'!$ß$53), "", 'Data Entry'!$ß$53)</f>
      </c>
      <c r="FD53">
        <f>IF(ISBLANK('Data Entry'!$à$53), "", 'Data Entry'!$à$53)</f>
      </c>
      <c r="FE53">
        <f>IF(ISBLANK('Data Entry'!$á$53), "", 'Data Entry'!$á$53)</f>
      </c>
      <c r="FF53">
        <f>IF(ISBLANK('Data Entry'!$â$53), "", 'Data Entry'!$â$53)</f>
      </c>
      <c r="FG53">
        <f>IF(ISBLANK('Data Entry'!$ã$53), "", 'Data Entry'!$ã$53)</f>
      </c>
      <c r="FH53">
        <f>IF(ISBLANK('Data Entry'!$ä$53), "", 'Data Entry'!$ä$53)</f>
      </c>
      <c r="FI53">
        <f>IF(ISBLANK('Data Entry'!$å$53), "", 'Data Entry'!$å$53)</f>
      </c>
      <c r="FJ53">
        <f>IF(ISBLANK('Data Entry'!$æ$53), "", 'Data Entry'!$æ$53)</f>
      </c>
      <c r="FK53">
        <f>IF(ISBLANK('Data Entry'!$ç$53), "", 'Data Entry'!$ç$53)</f>
      </c>
      <c r="FL53">
        <f>IF(ISBLANK('Data Entry'!$è$53), "", 'Data Entry'!$è$53)</f>
      </c>
      <c r="FM53">
        <f>IF(ISBLANK('Data Entry'!$é$53), "", 'Data Entry'!$é$53)</f>
      </c>
      <c r="FN53">
        <f>IF(ISBLANK('Data Entry'!$ê$53), "", 'Data Entry'!$ê$53)</f>
      </c>
      <c r="FO53">
        <f>IF(ISBLANK('Data Entry'!$ë$53), "", 'Data Entry'!$ë$53)</f>
      </c>
      <c r="FP53">
        <f>IF(ISBLANK('Data Entry'!$ì$53), "", 'Data Entry'!$ì$53)</f>
      </c>
      <c r="FQ53">
        <f>IF(ISBLANK('Data Entry'!$í$53), "", 'Data Entry'!$í$53)</f>
      </c>
      <c r="FR53">
        <f>IF(ISBLANK('Data Entry'!$î$53), "", 'Data Entry'!$î$53)</f>
      </c>
      <c r="FS53">
        <f>IF(ISBLANK('Data Entry'!$ï$53), "", 'Data Entry'!$ï$53)</f>
      </c>
      <c r="FT53">
        <f>IF(ISBLANK('Data Entry'!$ð$53), "", 'Data Entry'!$ð$53)</f>
      </c>
      <c r="FU53">
        <f>IF(ISBLANK('Data Entry'!$ñ$53), "", 'Data Entry'!$ñ$53)</f>
      </c>
      <c r="FV53">
        <f>IF(ISBLANK('Data Entry'!$ò$53), "", 'Data Entry'!$ò$53)</f>
      </c>
      <c r="FW53">
        <f>IF(ISBLANK('Data Entry'!$ó$53), "", 'Data Entry'!$ó$53)</f>
      </c>
      <c r="FX53">
        <f>IF(ISBLANK('Data Entry'!$ô$53), "", 'Data Entry'!$ô$53)</f>
      </c>
      <c r="FY53">
        <f>IF(ISBLANK('Data Entry'!$õ$53), "", 'Data Entry'!$õ$53)</f>
      </c>
      <c r="FZ53">
        <f>IF(ISBLANK('Data Entry'!$ö$53), "", 'Data Entry'!$ö$53)</f>
      </c>
      <c r="GA53">
        <f>IF(ISBLANK('Data Entry'!$÷$53), "", 'Data Entry'!$÷$53)</f>
      </c>
      <c r="GB53">
        <f>IF(ISBLANK('Data Entry'!$ø$53), "", 'Data Entry'!$ø$53)</f>
      </c>
      <c r="GC53">
        <f>IF(ISBLANK('Data Entry'!$ù$53), "", 'Data Entry'!$ù$53)</f>
      </c>
      <c r="GD53">
        <f>IF(ISBLANK('Data Entry'!$ú$53), "", 'Data Entry'!$ú$53)</f>
      </c>
      <c r="GE53">
        <f>IF(ISBLANK('Data Entry'!$û$53), "", 'Data Entry'!$û$53)</f>
      </c>
      <c r="GF53">
        <f>IF(ISBLANK('Data Entry'!$ü$53), "", 'Data Entry'!$ü$53)</f>
      </c>
      <c r="GG53">
        <f>IF(ISBLANK('Data Entry'!$ý$53), "", 'Data Entry'!$ý$53)</f>
      </c>
      <c r="GH53">
        <f>IF(ISBLANK('Data Entry'!$þ$53), "", 'Data Entry'!$þ$53)</f>
      </c>
      <c r="GI53">
        <f>IF(ISBLANK('Data Entry'!$ÿ$53), "", 'Data Entry'!$ÿ$53)</f>
      </c>
      <c r="GJ53">
        <f>IF(ISBLANK('Data Entry'!$Ā$53), "", 'Data Entry'!$Ā$53)</f>
      </c>
      <c r="GK53">
        <f>IF(ISBLANK('Data Entry'!$ā$53), "", 'Data Entry'!$ā$53)</f>
      </c>
      <c r="GL53">
        <f>IF(ISBLANK('Data Entry'!$Ă$53), "", 'Data Entry'!$Ă$53)</f>
      </c>
      <c r="GM53">
        <f>IF(ISBLANK('Data Entry'!$ă$53), "", 'Data Entry'!$ă$53)</f>
      </c>
      <c r="GN53">
        <f>IF(ISBLANK('Data Entry'!$Ą$53), "", 'Data Entry'!$Ą$53)</f>
      </c>
      <c r="GO53">
        <f>IF(ISBLANK('Data Entry'!$ą$53), "", 'Data Entry'!$ą$53)</f>
      </c>
      <c r="GP53">
        <f>IF(ISBLANK('Data Entry'!$Ć$53), "", 'Data Entry'!$Ć$53)</f>
      </c>
      <c r="GQ53">
        <f>IF(ISBLANK('Data Entry'!$ć$53), "", 'Data Entry'!$ć$53)</f>
      </c>
      <c r="GR53">
        <f>IF(ISBLANK('Data Entry'!$Ĉ$53), "", 'Data Entry'!$Ĉ$53)</f>
      </c>
      <c r="GS53">
        <f>IF(ISBLANK('Data Entry'!$ĉ$53), "", 'Data Entry'!$ĉ$53)</f>
      </c>
      <c r="GT53">
        <f>IF(ISBLANK('Data Entry'!$Ċ$53), "", 'Data Entry'!$Ċ$53)</f>
      </c>
      <c r="GU53">
        <f>IF(ISBLANK('Data Entry'!$ċ$53), "", 'Data Entry'!$ċ$53)</f>
      </c>
      <c r="GV53">
        <f>IF(ISBLANK('Data Entry'!$Č$53), "", 'Data Entry'!$Č$53)</f>
      </c>
      <c r="GW53">
        <f>IF(ISBLANK('Data Entry'!$č$53), "", 'Data Entry'!$č$53)</f>
      </c>
      <c r="GX53">
        <f>IF(ISBLANK('Data Entry'!$Ď$53), "", 'Data Entry'!$Ď$53)</f>
      </c>
      <c r="GY53">
        <f>IF(ISBLANK('Data Entry'!$ď$53), "", 'Data Entry'!$ď$53)</f>
      </c>
      <c r="GZ53">
        <f>IF(ISBLANK('Data Entry'!$Đ$53), "", 'Data Entry'!$Đ$53)</f>
      </c>
      <c r="HA53">
        <f>IF(ISBLANK('Data Entry'!$đ$53), "", 'Data Entry'!$đ$53)</f>
      </c>
      <c r="HB53">
        <f>IF(ISBLANK('Data Entry'!$Ē$53), "", 'Data Entry'!$Ē$53)</f>
      </c>
      <c r="HC53">
        <f>IF(ISBLANK('Data Entry'!$ē$53), "", 'Data Entry'!$ē$53)</f>
      </c>
      <c r="HD53">
        <f>IF(ISBLANK('Data Entry'!$Ĕ$53), "", 'Data Entry'!$Ĕ$53)</f>
      </c>
      <c r="HE53">
        <f>IF(ISBLANK('Data Entry'!$ĕ$53), "", 'Data Entry'!$ĕ$53)</f>
      </c>
      <c r="HF53">
        <f>IF(ISBLANK('Data Entry'!$Ė$53), "", 'Data Entry'!$Ė$53)</f>
      </c>
      <c r="HG53">
        <f>IF(ISBLANK('Data Entry'!$ė$53), "", 'Data Entry'!$ė$53)</f>
      </c>
      <c r="HH53">
        <f>IF(ISBLANK('Data Entry'!$Ę$53), "", 'Data Entry'!$Ę$53)</f>
      </c>
      <c r="HI53">
        <f>IF(ISBLANK('Data Entry'!$ę$53), "", 'Data Entry'!$ę$53)</f>
      </c>
      <c r="HJ53">
        <f>IF(ISBLANK('Data Entry'!$Ě$53), "", 'Data Entry'!$Ě$53)</f>
      </c>
      <c r="HK53">
        <f>IF(ISBLANK('Data Entry'!$ě$53), "", 'Data Entry'!$ě$53)</f>
      </c>
      <c r="HL53">
        <f>IF(ISBLANK('Data Entry'!$Ĝ$53), "", 'Data Entry'!$Ĝ$53)</f>
      </c>
      <c r="HM53">
        <f>IF(ISBLANK('Data Entry'!$ĝ$53), "", 'Data Entry'!$ĝ$53)</f>
      </c>
      <c r="HN53">
        <f>IF(ISBLANK('Data Entry'!$Ğ$53), "", 'Data Entry'!$Ğ$53)</f>
      </c>
      <c r="HO53">
        <f>IF(ISBLANK('Data Entry'!$ğ$53), "", 'Data Entry'!$ğ$53)</f>
      </c>
      <c r="HP53">
        <f>IF(ISBLANK('Data Entry'!$Ġ$53), "", 'Data Entry'!$Ġ$53)</f>
      </c>
      <c r="HQ53">
        <f>IF(ISBLANK('Data Entry'!$ġ$53), "", 'Data Entry'!$ġ$53)</f>
      </c>
      <c r="HR53">
        <f>IF(ISBLANK('Data Entry'!$Ģ$53), "", 'Data Entry'!$Ģ$53)</f>
      </c>
      <c r="HS53">
        <f>IF(ISBLANK('Data Entry'!$ģ$53), "", 'Data Entry'!$ģ$53)</f>
      </c>
      <c r="HT53">
        <f>IF(ISBLANK('Data Entry'!$Ĥ$53), "", 'Data Entry'!$Ĥ$53)</f>
      </c>
      <c r="HU53">
        <f>IF(ISBLANK('Data Entry'!$ĥ$53), "", 'Data Entry'!$ĥ$53)</f>
      </c>
      <c r="HV53">
        <f>IF(ISBLANK('Data Entry'!$Ħ$53), "", 'Data Entry'!$Ħ$53)</f>
      </c>
      <c r="HW53">
        <f>IF(ISBLANK('Data Entry'!$ħ$53), "", 'Data Entry'!$ħ$53)</f>
      </c>
      <c r="HX53">
        <f>IF(ISBLANK('Data Entry'!$Ĩ$53), "", 'Data Entry'!$Ĩ$53)</f>
      </c>
      <c r="HY53">
        <f>IF(ISBLANK('Data Entry'!$ĩ$53), "", 'Data Entry'!$ĩ$53)</f>
      </c>
      <c r="HZ53">
        <f>IF(ISBLANK('Data Entry'!$Ī$53), "", 'Data Entry'!$Ī$53)</f>
      </c>
      <c r="IA53">
        <f>IF(ISBLANK('Data Entry'!$ī$53), "", 'Data Entry'!$ī$53)</f>
      </c>
      <c r="IB53">
        <f>IF(ISBLANK('Data Entry'!$Ĭ$53), "", 'Data Entry'!$Ĭ$53)</f>
      </c>
      <c r="IC53">
        <f>IF(ISBLANK('Data Entry'!$ĭ$53), "", 'Data Entry'!$ĭ$53)</f>
      </c>
      <c r="ID53">
        <f>IF(ISBLANK('Data Entry'!$Į$53), "", 'Data Entry'!$Į$53)</f>
      </c>
      <c r="IE53">
        <f>IF(ISBLANK('Data Entry'!$į$53), "", 'Data Entry'!$į$53)</f>
      </c>
      <c r="IF53">
        <f>IF(ISBLANK('Data Entry'!$İ$53), "", 'Data Entry'!$İ$53)</f>
      </c>
      <c r="IG53">
        <f>IF(ISBLANK('Data Entry'!$ı$53), "", 'Data Entry'!$ı$53)</f>
      </c>
      <c r="IH53">
        <f>IF(ISBLANK('Data Entry'!$Ĳ$53), "", 'Data Entry'!$Ĳ$53)</f>
      </c>
      <c r="II53">
        <f>IF(ISBLANK('Data Entry'!$ĳ$53), "", 'Data Entry'!$ĳ$53)</f>
      </c>
      <c r="IJ53">
        <f>IF(ISBLANK('Data Entry'!$Ĵ$53), "", 'Data Entry'!$Ĵ$53)</f>
      </c>
      <c r="IK53">
        <f>IF(ISBLANK('Data Entry'!$ĵ$53), "", 'Data Entry'!$ĵ$53)</f>
      </c>
      <c r="IL53">
        <f>IF(ISBLANK('Data Entry'!$Ķ$53), "", 'Data Entry'!$Ķ$53)</f>
      </c>
      <c r="IM53">
        <f>IF(ISBLANK('Data Entry'!$ķ$53), "", 'Data Entry'!$ķ$53)</f>
      </c>
      <c r="IN53">
        <f>IF(ISBLANK('Data Entry'!$ĸ$53), "", 'Data Entry'!$ĸ$53)</f>
      </c>
      <c r="IO53">
        <f>IF(ISBLANK('Data Entry'!$Ĺ$53), "", 'Data Entry'!$Ĺ$53)</f>
      </c>
      <c r="IP53">
        <f>IF(ISBLANK('Data Entry'!$ĺ$53), "", 'Data Entry'!$ĺ$53)</f>
      </c>
      <c r="IQ53">
        <f>IF(ISBLANK('Data Entry'!$Ļ$53), "", 'Data Entry'!$Ļ$53)</f>
      </c>
      <c r="IR53">
        <f>IF(ISBLANK('Data Entry'!$ļ$53), "", 'Data Entry'!$ļ$53)</f>
      </c>
      <c r="IS53">
        <f>IF(ISBLANK('Data Entry'!$Ľ$53), "", 'Data Entry'!$Ľ$53)</f>
      </c>
      <c r="IT53">
        <f>IF(ISBLANK('Data Entry'!$ľ$53), "", 'Data Entry'!$ľ$53)</f>
      </c>
    </row>
    <row r="54" spans="1:254" x14ac:dyDescent="0.25">
      <c r="A54">
        <f>IF(ISBLANK('Data Entry'!$A$54), "", 'Data Entry'!$A$54)</f>
      </c>
      <c r="B54">
        <f>IF(ISBLANK('Data Entry'!$B$54), "", 'Data Entry'!$B$54)</f>
      </c>
      <c r="C54">
        <f>IF(ISBLANK('Data Entry'!$C$54), "", 'Data Entry'!$C$54)</f>
      </c>
      <c r="D54">
        <f>IF(ISBLANK('Data Entry'!$D$54), "", 'Data Entry'!$D$54)</f>
      </c>
      <c r="E54">
        <f>IF(ISBLANK('Data Entry'!$E$54), "", 'Data Entry'!$E$54)</f>
      </c>
      <c r="F54">
        <f>IF(ISBLANK('Data Entry'!$F$54), "", 'Data Entry'!$F$54)</f>
      </c>
      <c r="G54">
        <f>IF(ISBLANK('Data Entry'!$G$54), "", 'Data Entry'!$G$54)</f>
      </c>
      <c r="H54">
        <f>IF(ISBLANK('Data Entry'!$H$54), "", 'Data Entry'!$H$54)</f>
      </c>
      <c r="I54">
        <f>IF(ISBLANK('Data Entry'!$I$54), "", 'Data Entry'!$I$54)</f>
      </c>
      <c r="J54">
        <f>IF(ISBLANK('Data Entry'!$J$54), "", 'Data Entry'!$J$54)</f>
      </c>
      <c r="K54">
        <f>IF(ISBLANK('Data Entry'!$K$54), "", 'Data Entry'!$K$54)</f>
      </c>
      <c r="L54">
        <f>IF(ISBLANK('Data Entry'!$L$54), "", 'Data Entry'!$L$54)</f>
      </c>
      <c r="M54">
        <f>IF(ISBLANK('Data Entry'!$M$54), "", 'Data Entry'!$M$54)</f>
      </c>
      <c r="N54">
        <f>IF(ISBLANK('Data Entry'!$N$54), "", 'Data Entry'!$N$54)</f>
      </c>
      <c r="O54">
        <f>IF(ISBLANK('Data Entry'!$O$54), "", 'Data Entry'!$O$54)</f>
      </c>
      <c r="P54">
        <f>IF(ISBLANK('Data Entry'!$P$54), "", 'Data Entry'!$P$54)</f>
      </c>
      <c r="Q54">
        <f>IF(ISBLANK('Data Entry'!$Q$54), "", 'Data Entry'!$Q$54)</f>
      </c>
      <c r="R54">
        <f>IF(ISBLANK('Data Entry'!$R$54), "", 'Data Entry'!$R$54)</f>
      </c>
      <c r="S54">
        <f>IF(ISBLANK('Data Entry'!$S$54), "", 'Data Entry'!$S$54)</f>
      </c>
      <c r="T54">
        <f>IF(ISBLANK('Data Entry'!$T$54), "", 'Data Entry'!$T$54)</f>
      </c>
      <c r="U54">
        <f>IF(ISBLANK('Data Entry'!$U$54), "", 'Data Entry'!$U$54)</f>
      </c>
      <c r="V54">
        <f>IF(ISBLANK('Data Entry'!$V$54), "", 'Data Entry'!$V$54)</f>
      </c>
      <c r="W54">
        <f>IF(ISBLANK('Data Entry'!$W$54), "", 'Data Entry'!$W$54)</f>
      </c>
      <c r="X54">
        <f>IF(ISBLANK('Data Entry'!$X$54), "", 'Data Entry'!$X$54)</f>
      </c>
      <c r="Y54">
        <f>IF(ISBLANK('Data Entry'!$Y$54), "", 'Data Entry'!$Y$54)</f>
      </c>
      <c r="Z54">
        <f>IF(ISBLANK('Data Entry'!$Z$54), "", 'Data Entry'!$Z$54)</f>
      </c>
      <c r="AA54">
        <f>IF(ISBLANK('Data Entry'!$[$54), "", 'Data Entry'!$[$54)</f>
      </c>
      <c r="AB54">
        <f>IF(ISBLANK('Data Entry'!$\$54), "", 'Data Entry'!$\$54)</f>
      </c>
      <c r="AC54">
        <f>IF(ISBLANK('Data Entry'!$]$54), "", 'Data Entry'!$]$54)</f>
      </c>
      <c r="AD54">
        <f>IF(ISBLANK('Data Entry'!$^$54), "", 'Data Entry'!$^$54)</f>
      </c>
      <c r="AE54">
        <f>IF(ISBLANK('Data Entry'!$_$54), "", 'Data Entry'!$_$54)</f>
      </c>
      <c r="AF54">
        <f>IF(ISBLANK('Data Entry'!$`$54), "", 'Data Entry'!$`$54)</f>
      </c>
      <c r="AG54">
        <f>IF(ISBLANK('Data Entry'!$a$54), "", 'Data Entry'!$a$54)</f>
      </c>
      <c r="AH54">
        <f>IF(ISBLANK('Data Entry'!$b$54), "", 'Data Entry'!$b$54)</f>
      </c>
      <c r="AI54">
        <f>IF(ISBLANK('Data Entry'!$c$54), "", 'Data Entry'!$c$54)</f>
      </c>
      <c r="AJ54">
        <f>IF(ISBLANK('Data Entry'!$d$54), "", 'Data Entry'!$d$54)</f>
      </c>
      <c r="AK54">
        <f>IF(ISBLANK('Data Entry'!$e$54), "", 'Data Entry'!$e$54)</f>
      </c>
      <c r="AL54">
        <f>IF(ISBLANK('Data Entry'!$f$54), "", 'Data Entry'!$f$54)</f>
      </c>
      <c r="AM54">
        <f>IF(ISBLANK('Data Entry'!$g$54), "", 'Data Entry'!$g$54)</f>
      </c>
      <c r="AN54">
        <f>IF(ISBLANK('Data Entry'!$h$54), "", 'Data Entry'!$h$54)</f>
      </c>
      <c r="AO54">
        <f>IF(ISBLANK('Data Entry'!$i$54), "", 'Data Entry'!$i$54)</f>
      </c>
      <c r="AP54">
        <f>IF(ISBLANK('Data Entry'!$j$54), "", 'Data Entry'!$j$54)</f>
      </c>
      <c r="AQ54">
        <f>IF(ISBLANK('Data Entry'!$k$54), "", 'Data Entry'!$k$54)</f>
      </c>
      <c r="AR54">
        <f>IF(ISBLANK('Data Entry'!$l$54), "", 'Data Entry'!$l$54)</f>
      </c>
      <c r="AS54">
        <f>IF(ISBLANK('Data Entry'!$m$54), "", 'Data Entry'!$m$54)</f>
      </c>
      <c r="AT54">
        <f>IF(ISBLANK('Data Entry'!$n$54), "", 'Data Entry'!$n$54)</f>
      </c>
      <c r="AU54">
        <f>IF(ISBLANK('Data Entry'!$o$54), "", 'Data Entry'!$o$54)</f>
      </c>
      <c r="AV54">
        <f>IF(ISBLANK('Data Entry'!$p$54), "", 'Data Entry'!$p$54)</f>
      </c>
      <c r="AW54">
        <f>IF(ISBLANK('Data Entry'!$q$54), "", 'Data Entry'!$q$54)</f>
      </c>
      <c r="AX54">
        <f>IF(ISBLANK('Data Entry'!$r$54), "", 'Data Entry'!$r$54)</f>
      </c>
      <c r="AY54">
        <f>IF(ISBLANK('Data Entry'!$s$54), "", 'Data Entry'!$s$54)</f>
      </c>
      <c r="AZ54">
        <f>IF(ISBLANK('Data Entry'!$t$54), "", 'Data Entry'!$t$54)</f>
      </c>
      <c r="BA54">
        <f>IF(ISBLANK('Data Entry'!$u$54), "", 'Data Entry'!$u$54)</f>
      </c>
      <c r="BB54">
        <f>IF(ISBLANK('Data Entry'!$v$54), "", 'Data Entry'!$v$54)</f>
      </c>
      <c r="BC54">
        <f>IF(ISBLANK('Data Entry'!$w$54), "", 'Data Entry'!$w$54)</f>
      </c>
      <c r="BD54">
        <f>IF(ISBLANK('Data Entry'!$x$54), "", 'Data Entry'!$x$54)</f>
      </c>
      <c r="BE54">
        <f>IF(ISBLANK('Data Entry'!$y$54), "", 'Data Entry'!$y$54)</f>
      </c>
      <c r="BF54">
        <f>IF(ISBLANK('Data Entry'!$z$54), "", 'Data Entry'!$z$54)</f>
      </c>
      <c r="BG54">
        <f>IF(ISBLANK('Data Entry'!${$54), "", 'Data Entry'!${$54)</f>
      </c>
      <c r="BH54">
        <f>IF(ISBLANK('Data Entry'!$|$54), "", 'Data Entry'!$|$54)</f>
      </c>
      <c r="BI54">
        <f>IF(ISBLANK('Data Entry'!$}$54), "", 'Data Entry'!$}$54)</f>
      </c>
      <c r="BJ54">
        <f>IF(ISBLANK('Data Entry'!$~$54), "", 'Data Entry'!$~$54)</f>
      </c>
      <c r="BK54">
        <f>IF(ISBLANK('Data Entry'!$$54), "", 'Data Entry'!$$54)</f>
      </c>
      <c r="BL54">
        <f>IF(ISBLANK('Data Entry'!$$54), "", 'Data Entry'!$$54)</f>
      </c>
      <c r="BM54">
        <f>IF(ISBLANK('Data Entry'!$$54), "", 'Data Entry'!$$54)</f>
      </c>
      <c r="BN54">
        <f>IF(ISBLANK('Data Entry'!$$54), "", 'Data Entry'!$$54)</f>
      </c>
      <c r="BO54">
        <f>IF(ISBLANK('Data Entry'!$$54), "", 'Data Entry'!$$54)</f>
      </c>
      <c r="BP54">
        <f>IF(ISBLANK('Data Entry'!$$54), "", 'Data Entry'!$$54)</f>
      </c>
      <c r="BQ54">
        <f>IF(ISBLANK('Data Entry'!$$54), "", 'Data Entry'!$$54)</f>
      </c>
      <c r="BR54">
        <f>IF(ISBLANK('Data Entry'!$$54), "", 'Data Entry'!$$54)</f>
      </c>
      <c r="BS54">
        <f>IF(ISBLANK('Data Entry'!$$54), "", 'Data Entry'!$$54)</f>
      </c>
      <c r="BT54">
        <f>IF(ISBLANK('Data Entry'!$$54), "", 'Data Entry'!$$54)</f>
      </c>
      <c r="BU54">
        <f>IF(ISBLANK('Data Entry'!$$54), "", 'Data Entry'!$$54)</f>
      </c>
      <c r="BV54">
        <f>IF(ISBLANK('Data Entry'!$$54), "", 'Data Entry'!$$54)</f>
      </c>
      <c r="BW54">
        <f>IF(ISBLANK('Data Entry'!$$54), "", 'Data Entry'!$$54)</f>
      </c>
      <c r="BX54">
        <f>IF(ISBLANK('Data Entry'!$$54), "", 'Data Entry'!$$54)</f>
      </c>
      <c r="BY54">
        <f>IF(ISBLANK('Data Entry'!$$54), "", 'Data Entry'!$$54)</f>
      </c>
      <c r="BZ54">
        <f>IF(ISBLANK('Data Entry'!$$54), "", 'Data Entry'!$$54)</f>
      </c>
      <c r="CA54">
        <f>IF(ISBLANK('Data Entry'!$$54), "", 'Data Entry'!$$54)</f>
      </c>
      <c r="CB54">
        <f>IF(ISBLANK('Data Entry'!$$54), "", 'Data Entry'!$$54)</f>
      </c>
      <c r="CC54">
        <f>IF(ISBLANK('Data Entry'!$$54), "", 'Data Entry'!$$54)</f>
      </c>
      <c r="CD54">
        <f>IF(ISBLANK('Data Entry'!$$54), "", 'Data Entry'!$$54)</f>
      </c>
      <c r="CE54">
        <f>IF(ISBLANK('Data Entry'!$$54), "", 'Data Entry'!$$54)</f>
      </c>
      <c r="CF54">
        <f>IF(ISBLANK('Data Entry'!$$54), "", 'Data Entry'!$$54)</f>
      </c>
      <c r="CG54">
        <f>IF(ISBLANK('Data Entry'!$$54), "", 'Data Entry'!$$54)</f>
      </c>
      <c r="CH54">
        <f>IF(ISBLANK('Data Entry'!$$54), "", 'Data Entry'!$$54)</f>
      </c>
      <c r="CI54">
        <f>IF(ISBLANK('Data Entry'!$$54), "", 'Data Entry'!$$54)</f>
      </c>
      <c r="CJ54">
        <f>IF(ISBLANK('Data Entry'!$$54), "", 'Data Entry'!$$54)</f>
      </c>
      <c r="CK54">
        <f>IF(ISBLANK('Data Entry'!$$54), "", 'Data Entry'!$$54)</f>
      </c>
      <c r="CL54">
        <f>IF(ISBLANK('Data Entry'!$$54), "", 'Data Entry'!$$54)</f>
      </c>
      <c r="CM54">
        <f>IF(ISBLANK('Data Entry'!$$54), "", 'Data Entry'!$$54)</f>
      </c>
      <c r="CN54">
        <f>IF(ISBLANK('Data Entry'!$$54), "", 'Data Entry'!$$54)</f>
      </c>
      <c r="CO54">
        <f>IF(ISBLANK('Data Entry'!$$54), "", 'Data Entry'!$$54)</f>
      </c>
      <c r="CP54">
        <f>IF(ISBLANK('Data Entry'!$$54), "", 'Data Entry'!$$54)</f>
      </c>
      <c r="CQ54">
        <f>IF(ISBLANK('Data Entry'!$$54), "", 'Data Entry'!$$54)</f>
      </c>
      <c r="CR54">
        <f>IF(ISBLANK('Data Entry'!$ $54), "", 'Data Entry'!$ $54)</f>
      </c>
      <c r="CS54">
        <f>IF(ISBLANK('Data Entry'!$¡$54), "", 'Data Entry'!$¡$54)</f>
      </c>
      <c r="CT54">
        <f>IF(ISBLANK('Data Entry'!$¢$54), "", 'Data Entry'!$¢$54)</f>
      </c>
      <c r="CU54">
        <f>IF(ISBLANK('Data Entry'!$£$54), "", 'Data Entry'!$£$54)</f>
      </c>
      <c r="CV54">
        <f>IF(ISBLANK('Data Entry'!$¤$54), "", 'Data Entry'!$¤$54)</f>
      </c>
      <c r="CW54">
        <f>IF(ISBLANK('Data Entry'!$¥$54), "", 'Data Entry'!$¥$54)</f>
      </c>
      <c r="CX54">
        <f>IF(ISBLANK('Data Entry'!$¦$54), "", 'Data Entry'!$¦$54)</f>
      </c>
      <c r="CY54">
        <f>IF(ISBLANK('Data Entry'!$§$54), "", 'Data Entry'!$§$54)</f>
      </c>
      <c r="CZ54">
        <f>IF(ISBLANK('Data Entry'!$¨$54), "", 'Data Entry'!$¨$54)</f>
      </c>
      <c r="DA54">
        <f>IF(ISBLANK('Data Entry'!$©$54), "", 'Data Entry'!$©$54)</f>
      </c>
      <c r="DB54">
        <f>IF(ISBLANK('Data Entry'!$ª$54), "", 'Data Entry'!$ª$54)</f>
      </c>
      <c r="DC54">
        <f>IF(ISBLANK('Data Entry'!$«$54), "", 'Data Entry'!$«$54)</f>
      </c>
      <c r="DD54">
        <f>IF(ISBLANK('Data Entry'!$¬$54), "", 'Data Entry'!$¬$54)</f>
      </c>
      <c r="DE54">
        <f>IF(ISBLANK('Data Entry'!$­$54), "", 'Data Entry'!$­$54)</f>
      </c>
      <c r="DF54">
        <f>IF(ISBLANK('Data Entry'!$®$54), "", 'Data Entry'!$®$54)</f>
      </c>
      <c r="DG54">
        <f>IF(ISBLANK('Data Entry'!$¯$54), "", 'Data Entry'!$¯$54)</f>
      </c>
      <c r="DH54">
        <f>IF(ISBLANK('Data Entry'!$°$54), "", 'Data Entry'!$°$54)</f>
      </c>
      <c r="DI54">
        <f>IF(ISBLANK('Data Entry'!$±$54), "", 'Data Entry'!$±$54)</f>
      </c>
      <c r="DJ54">
        <f>IF(ISBLANK('Data Entry'!$²$54), "", 'Data Entry'!$²$54)</f>
      </c>
      <c r="DK54">
        <f>IF(ISBLANK('Data Entry'!$³$54), "", 'Data Entry'!$³$54)</f>
      </c>
      <c r="DL54">
        <f>IF(ISBLANK('Data Entry'!$´$54), "", 'Data Entry'!$´$54)</f>
      </c>
      <c r="DM54">
        <f>IF(ISBLANK('Data Entry'!$µ$54), "", 'Data Entry'!$µ$54)</f>
      </c>
      <c r="DN54">
        <f>IF(ISBLANK('Data Entry'!$¶$54), "", 'Data Entry'!$¶$54)</f>
      </c>
      <c r="DO54">
        <f>IF(ISBLANK('Data Entry'!$·$54), "", 'Data Entry'!$·$54)</f>
      </c>
      <c r="DP54">
        <f>IF(ISBLANK('Data Entry'!$¸$54), "", 'Data Entry'!$¸$54)</f>
      </c>
      <c r="DQ54">
        <f>IF(ISBLANK('Data Entry'!$¹$54), "", 'Data Entry'!$¹$54)</f>
      </c>
      <c r="DR54">
        <f>IF(ISBLANK('Data Entry'!$º$54), "", 'Data Entry'!$º$54)</f>
      </c>
      <c r="DS54">
        <f>IF(ISBLANK('Data Entry'!$»$54), "", 'Data Entry'!$»$54)</f>
      </c>
      <c r="DT54">
        <f>IF(ISBLANK('Data Entry'!$¼$54), "", 'Data Entry'!$¼$54)</f>
      </c>
      <c r="DU54">
        <f>IF(ISBLANK('Data Entry'!$½$54), "", 'Data Entry'!$½$54)</f>
      </c>
      <c r="DV54">
        <f>IF(ISBLANK('Data Entry'!$¾$54), "", 'Data Entry'!$¾$54)</f>
      </c>
      <c r="DW54">
        <f>IF(ISBLANK('Data Entry'!$¿$54), "", 'Data Entry'!$¿$54)</f>
      </c>
      <c r="DX54">
        <f>IF(ISBLANK('Data Entry'!$À$54), "", 'Data Entry'!$À$54)</f>
      </c>
      <c r="DY54">
        <f>IF(ISBLANK('Data Entry'!$Á$54), "", 'Data Entry'!$Á$54)</f>
      </c>
      <c r="DZ54">
        <f>IF(ISBLANK('Data Entry'!$Â$54), "", 'Data Entry'!$Â$54)</f>
      </c>
      <c r="EA54">
        <f>IF(ISBLANK('Data Entry'!$Ã$54), "", 'Data Entry'!$Ã$54)</f>
      </c>
      <c r="EB54">
        <f>IF(ISBLANK('Data Entry'!$Ä$54), "", 'Data Entry'!$Ä$54)</f>
      </c>
      <c r="EC54">
        <f>IF(ISBLANK('Data Entry'!$Å$54), "", 'Data Entry'!$Å$54)</f>
      </c>
      <c r="ED54">
        <f>IF(ISBLANK('Data Entry'!$Æ$54), "", 'Data Entry'!$Æ$54)</f>
      </c>
      <c r="EE54">
        <f>IF(ISBLANK('Data Entry'!$Ç$54), "", 'Data Entry'!$Ç$54)</f>
      </c>
      <c r="EF54">
        <f>IF(ISBLANK('Data Entry'!$È$54), "", 'Data Entry'!$È$54)</f>
      </c>
      <c r="EG54">
        <f>IF(ISBLANK('Data Entry'!$É$54), "", 'Data Entry'!$É$54)</f>
      </c>
      <c r="EH54">
        <f>IF(ISBLANK('Data Entry'!$Ê$54), "", 'Data Entry'!$Ê$54)</f>
      </c>
      <c r="EI54">
        <f>IF(ISBLANK('Data Entry'!$Ë$54), "", 'Data Entry'!$Ë$54)</f>
      </c>
      <c r="EJ54">
        <f>IF(ISBLANK('Data Entry'!$Ì$54), "", 'Data Entry'!$Ì$54)</f>
      </c>
      <c r="EK54">
        <f>IF(ISBLANK('Data Entry'!$Í$54), "", 'Data Entry'!$Í$54)</f>
      </c>
      <c r="EL54">
        <f>IF(ISBLANK('Data Entry'!$Î$54), "", 'Data Entry'!$Î$54)</f>
      </c>
      <c r="EM54">
        <f>IF(ISBLANK('Data Entry'!$Ï$54), "", 'Data Entry'!$Ï$54)</f>
      </c>
      <c r="EN54">
        <f>IF(ISBLANK('Data Entry'!$Ð$54), "", 'Data Entry'!$Ð$54)</f>
      </c>
      <c r="EO54">
        <f>IF(ISBLANK('Data Entry'!$Ñ$54), "", 'Data Entry'!$Ñ$54)</f>
      </c>
      <c r="EP54">
        <f>IF(ISBLANK('Data Entry'!$Ò$54), "", 'Data Entry'!$Ò$54)</f>
      </c>
      <c r="EQ54">
        <f>IF(ISBLANK('Data Entry'!$Ó$54), "", 'Data Entry'!$Ó$54)</f>
      </c>
      <c r="ER54">
        <f>IF(ISBLANK('Data Entry'!$Ô$54), "", 'Data Entry'!$Ô$54)</f>
      </c>
      <c r="ES54">
        <f>IF(ISBLANK('Data Entry'!$Õ$54), "", 'Data Entry'!$Õ$54)</f>
      </c>
      <c r="ET54">
        <f>IF(ISBLANK('Data Entry'!$Ö$54), "", 'Data Entry'!$Ö$54)</f>
      </c>
      <c r="EU54">
        <f>IF(ISBLANK('Data Entry'!$×$54), "", 'Data Entry'!$×$54)</f>
      </c>
      <c r="EV54">
        <f>IF(ISBLANK('Data Entry'!$Ø$54), "", 'Data Entry'!$Ø$54)</f>
      </c>
      <c r="EW54">
        <f>IF(ISBLANK('Data Entry'!$Ù$54), "", 'Data Entry'!$Ù$54)</f>
      </c>
      <c r="EX54">
        <f>IF(ISBLANK('Data Entry'!$Ú$54), "", 'Data Entry'!$Ú$54)</f>
      </c>
      <c r="EY54">
        <f>IF(ISBLANK('Data Entry'!$Û$54), "", 'Data Entry'!$Û$54)</f>
      </c>
      <c r="EZ54">
        <f>IF(ISBLANK('Data Entry'!$Ü$54), "", 'Data Entry'!$Ü$54)</f>
      </c>
      <c r="FA54">
        <f>IF(ISBLANK('Data Entry'!$Ý$54), "", 'Data Entry'!$Ý$54)</f>
      </c>
      <c r="FB54">
        <f>IF(ISBLANK('Data Entry'!$Þ$54), "", 'Data Entry'!$Þ$54)</f>
      </c>
      <c r="FC54">
        <f>IF(ISBLANK('Data Entry'!$ß$54), "", 'Data Entry'!$ß$54)</f>
      </c>
      <c r="FD54">
        <f>IF(ISBLANK('Data Entry'!$à$54), "", 'Data Entry'!$à$54)</f>
      </c>
      <c r="FE54">
        <f>IF(ISBLANK('Data Entry'!$á$54), "", 'Data Entry'!$á$54)</f>
      </c>
      <c r="FF54">
        <f>IF(ISBLANK('Data Entry'!$â$54), "", 'Data Entry'!$â$54)</f>
      </c>
      <c r="FG54">
        <f>IF(ISBLANK('Data Entry'!$ã$54), "", 'Data Entry'!$ã$54)</f>
      </c>
      <c r="FH54">
        <f>IF(ISBLANK('Data Entry'!$ä$54), "", 'Data Entry'!$ä$54)</f>
      </c>
      <c r="FI54">
        <f>IF(ISBLANK('Data Entry'!$å$54), "", 'Data Entry'!$å$54)</f>
      </c>
      <c r="FJ54">
        <f>IF(ISBLANK('Data Entry'!$æ$54), "", 'Data Entry'!$æ$54)</f>
      </c>
      <c r="FK54">
        <f>IF(ISBLANK('Data Entry'!$ç$54), "", 'Data Entry'!$ç$54)</f>
      </c>
      <c r="FL54">
        <f>IF(ISBLANK('Data Entry'!$è$54), "", 'Data Entry'!$è$54)</f>
      </c>
      <c r="FM54">
        <f>IF(ISBLANK('Data Entry'!$é$54), "", 'Data Entry'!$é$54)</f>
      </c>
      <c r="FN54">
        <f>IF(ISBLANK('Data Entry'!$ê$54), "", 'Data Entry'!$ê$54)</f>
      </c>
      <c r="FO54">
        <f>IF(ISBLANK('Data Entry'!$ë$54), "", 'Data Entry'!$ë$54)</f>
      </c>
      <c r="FP54">
        <f>IF(ISBLANK('Data Entry'!$ì$54), "", 'Data Entry'!$ì$54)</f>
      </c>
      <c r="FQ54">
        <f>IF(ISBLANK('Data Entry'!$í$54), "", 'Data Entry'!$í$54)</f>
      </c>
      <c r="FR54">
        <f>IF(ISBLANK('Data Entry'!$î$54), "", 'Data Entry'!$î$54)</f>
      </c>
      <c r="FS54">
        <f>IF(ISBLANK('Data Entry'!$ï$54), "", 'Data Entry'!$ï$54)</f>
      </c>
      <c r="FT54">
        <f>IF(ISBLANK('Data Entry'!$ð$54), "", 'Data Entry'!$ð$54)</f>
      </c>
      <c r="FU54">
        <f>IF(ISBLANK('Data Entry'!$ñ$54), "", 'Data Entry'!$ñ$54)</f>
      </c>
      <c r="FV54">
        <f>IF(ISBLANK('Data Entry'!$ò$54), "", 'Data Entry'!$ò$54)</f>
      </c>
      <c r="FW54">
        <f>IF(ISBLANK('Data Entry'!$ó$54), "", 'Data Entry'!$ó$54)</f>
      </c>
      <c r="FX54">
        <f>IF(ISBLANK('Data Entry'!$ô$54), "", 'Data Entry'!$ô$54)</f>
      </c>
      <c r="FY54">
        <f>IF(ISBLANK('Data Entry'!$õ$54), "", 'Data Entry'!$õ$54)</f>
      </c>
      <c r="FZ54">
        <f>IF(ISBLANK('Data Entry'!$ö$54), "", 'Data Entry'!$ö$54)</f>
      </c>
      <c r="GA54">
        <f>IF(ISBLANK('Data Entry'!$÷$54), "", 'Data Entry'!$÷$54)</f>
      </c>
      <c r="GB54">
        <f>IF(ISBLANK('Data Entry'!$ø$54), "", 'Data Entry'!$ø$54)</f>
      </c>
      <c r="GC54">
        <f>IF(ISBLANK('Data Entry'!$ù$54), "", 'Data Entry'!$ù$54)</f>
      </c>
      <c r="GD54">
        <f>IF(ISBLANK('Data Entry'!$ú$54), "", 'Data Entry'!$ú$54)</f>
      </c>
      <c r="GE54">
        <f>IF(ISBLANK('Data Entry'!$û$54), "", 'Data Entry'!$û$54)</f>
      </c>
      <c r="GF54">
        <f>IF(ISBLANK('Data Entry'!$ü$54), "", 'Data Entry'!$ü$54)</f>
      </c>
      <c r="GG54">
        <f>IF(ISBLANK('Data Entry'!$ý$54), "", 'Data Entry'!$ý$54)</f>
      </c>
      <c r="GH54">
        <f>IF(ISBLANK('Data Entry'!$þ$54), "", 'Data Entry'!$þ$54)</f>
      </c>
      <c r="GI54">
        <f>IF(ISBLANK('Data Entry'!$ÿ$54), "", 'Data Entry'!$ÿ$54)</f>
      </c>
      <c r="GJ54">
        <f>IF(ISBLANK('Data Entry'!$Ā$54), "", 'Data Entry'!$Ā$54)</f>
      </c>
      <c r="GK54">
        <f>IF(ISBLANK('Data Entry'!$ā$54), "", 'Data Entry'!$ā$54)</f>
      </c>
      <c r="GL54">
        <f>IF(ISBLANK('Data Entry'!$Ă$54), "", 'Data Entry'!$Ă$54)</f>
      </c>
      <c r="GM54">
        <f>IF(ISBLANK('Data Entry'!$ă$54), "", 'Data Entry'!$ă$54)</f>
      </c>
      <c r="GN54">
        <f>IF(ISBLANK('Data Entry'!$Ą$54), "", 'Data Entry'!$Ą$54)</f>
      </c>
      <c r="GO54">
        <f>IF(ISBLANK('Data Entry'!$ą$54), "", 'Data Entry'!$ą$54)</f>
      </c>
      <c r="GP54">
        <f>IF(ISBLANK('Data Entry'!$Ć$54), "", 'Data Entry'!$Ć$54)</f>
      </c>
      <c r="GQ54">
        <f>IF(ISBLANK('Data Entry'!$ć$54), "", 'Data Entry'!$ć$54)</f>
      </c>
      <c r="GR54">
        <f>IF(ISBLANK('Data Entry'!$Ĉ$54), "", 'Data Entry'!$Ĉ$54)</f>
      </c>
      <c r="GS54">
        <f>IF(ISBLANK('Data Entry'!$ĉ$54), "", 'Data Entry'!$ĉ$54)</f>
      </c>
      <c r="GT54">
        <f>IF(ISBLANK('Data Entry'!$Ċ$54), "", 'Data Entry'!$Ċ$54)</f>
      </c>
      <c r="GU54">
        <f>IF(ISBLANK('Data Entry'!$ċ$54), "", 'Data Entry'!$ċ$54)</f>
      </c>
      <c r="GV54">
        <f>IF(ISBLANK('Data Entry'!$Č$54), "", 'Data Entry'!$Č$54)</f>
      </c>
      <c r="GW54">
        <f>IF(ISBLANK('Data Entry'!$č$54), "", 'Data Entry'!$č$54)</f>
      </c>
      <c r="GX54">
        <f>IF(ISBLANK('Data Entry'!$Ď$54), "", 'Data Entry'!$Ď$54)</f>
      </c>
      <c r="GY54">
        <f>IF(ISBLANK('Data Entry'!$ď$54), "", 'Data Entry'!$ď$54)</f>
      </c>
      <c r="GZ54">
        <f>IF(ISBLANK('Data Entry'!$Đ$54), "", 'Data Entry'!$Đ$54)</f>
      </c>
      <c r="HA54">
        <f>IF(ISBLANK('Data Entry'!$đ$54), "", 'Data Entry'!$đ$54)</f>
      </c>
      <c r="HB54">
        <f>IF(ISBLANK('Data Entry'!$Ē$54), "", 'Data Entry'!$Ē$54)</f>
      </c>
      <c r="HC54">
        <f>IF(ISBLANK('Data Entry'!$ē$54), "", 'Data Entry'!$ē$54)</f>
      </c>
      <c r="HD54">
        <f>IF(ISBLANK('Data Entry'!$Ĕ$54), "", 'Data Entry'!$Ĕ$54)</f>
      </c>
      <c r="HE54">
        <f>IF(ISBLANK('Data Entry'!$ĕ$54), "", 'Data Entry'!$ĕ$54)</f>
      </c>
      <c r="HF54">
        <f>IF(ISBLANK('Data Entry'!$Ė$54), "", 'Data Entry'!$Ė$54)</f>
      </c>
      <c r="HG54">
        <f>IF(ISBLANK('Data Entry'!$ė$54), "", 'Data Entry'!$ė$54)</f>
      </c>
      <c r="HH54">
        <f>IF(ISBLANK('Data Entry'!$Ę$54), "", 'Data Entry'!$Ę$54)</f>
      </c>
      <c r="HI54">
        <f>IF(ISBLANK('Data Entry'!$ę$54), "", 'Data Entry'!$ę$54)</f>
      </c>
      <c r="HJ54">
        <f>IF(ISBLANK('Data Entry'!$Ě$54), "", 'Data Entry'!$Ě$54)</f>
      </c>
      <c r="HK54">
        <f>IF(ISBLANK('Data Entry'!$ě$54), "", 'Data Entry'!$ě$54)</f>
      </c>
      <c r="HL54">
        <f>IF(ISBLANK('Data Entry'!$Ĝ$54), "", 'Data Entry'!$Ĝ$54)</f>
      </c>
      <c r="HM54">
        <f>IF(ISBLANK('Data Entry'!$ĝ$54), "", 'Data Entry'!$ĝ$54)</f>
      </c>
      <c r="HN54">
        <f>IF(ISBLANK('Data Entry'!$Ğ$54), "", 'Data Entry'!$Ğ$54)</f>
      </c>
      <c r="HO54">
        <f>IF(ISBLANK('Data Entry'!$ğ$54), "", 'Data Entry'!$ğ$54)</f>
      </c>
      <c r="HP54">
        <f>IF(ISBLANK('Data Entry'!$Ġ$54), "", 'Data Entry'!$Ġ$54)</f>
      </c>
      <c r="HQ54">
        <f>IF(ISBLANK('Data Entry'!$ġ$54), "", 'Data Entry'!$ġ$54)</f>
      </c>
      <c r="HR54">
        <f>IF(ISBLANK('Data Entry'!$Ģ$54), "", 'Data Entry'!$Ģ$54)</f>
      </c>
      <c r="HS54">
        <f>IF(ISBLANK('Data Entry'!$ģ$54), "", 'Data Entry'!$ģ$54)</f>
      </c>
      <c r="HT54">
        <f>IF(ISBLANK('Data Entry'!$Ĥ$54), "", 'Data Entry'!$Ĥ$54)</f>
      </c>
      <c r="HU54">
        <f>IF(ISBLANK('Data Entry'!$ĥ$54), "", 'Data Entry'!$ĥ$54)</f>
      </c>
      <c r="HV54">
        <f>IF(ISBLANK('Data Entry'!$Ħ$54), "", 'Data Entry'!$Ħ$54)</f>
      </c>
      <c r="HW54">
        <f>IF(ISBLANK('Data Entry'!$ħ$54), "", 'Data Entry'!$ħ$54)</f>
      </c>
      <c r="HX54">
        <f>IF(ISBLANK('Data Entry'!$Ĩ$54), "", 'Data Entry'!$Ĩ$54)</f>
      </c>
      <c r="HY54">
        <f>IF(ISBLANK('Data Entry'!$ĩ$54), "", 'Data Entry'!$ĩ$54)</f>
      </c>
      <c r="HZ54">
        <f>IF(ISBLANK('Data Entry'!$Ī$54), "", 'Data Entry'!$Ī$54)</f>
      </c>
      <c r="IA54">
        <f>IF(ISBLANK('Data Entry'!$ī$54), "", 'Data Entry'!$ī$54)</f>
      </c>
      <c r="IB54">
        <f>IF(ISBLANK('Data Entry'!$Ĭ$54), "", 'Data Entry'!$Ĭ$54)</f>
      </c>
      <c r="IC54">
        <f>IF(ISBLANK('Data Entry'!$ĭ$54), "", 'Data Entry'!$ĭ$54)</f>
      </c>
      <c r="ID54">
        <f>IF(ISBLANK('Data Entry'!$Į$54), "", 'Data Entry'!$Į$54)</f>
      </c>
      <c r="IE54">
        <f>IF(ISBLANK('Data Entry'!$į$54), "", 'Data Entry'!$į$54)</f>
      </c>
      <c r="IF54">
        <f>IF(ISBLANK('Data Entry'!$İ$54), "", 'Data Entry'!$İ$54)</f>
      </c>
      <c r="IG54">
        <f>IF(ISBLANK('Data Entry'!$ı$54), "", 'Data Entry'!$ı$54)</f>
      </c>
      <c r="IH54">
        <f>IF(ISBLANK('Data Entry'!$Ĳ$54), "", 'Data Entry'!$Ĳ$54)</f>
      </c>
      <c r="II54">
        <f>IF(ISBLANK('Data Entry'!$ĳ$54), "", 'Data Entry'!$ĳ$54)</f>
      </c>
      <c r="IJ54">
        <f>IF(ISBLANK('Data Entry'!$Ĵ$54), "", 'Data Entry'!$Ĵ$54)</f>
      </c>
      <c r="IK54">
        <f>IF(ISBLANK('Data Entry'!$ĵ$54), "", 'Data Entry'!$ĵ$54)</f>
      </c>
      <c r="IL54">
        <f>IF(ISBLANK('Data Entry'!$Ķ$54), "", 'Data Entry'!$Ķ$54)</f>
      </c>
      <c r="IM54">
        <f>IF(ISBLANK('Data Entry'!$ķ$54), "", 'Data Entry'!$ķ$54)</f>
      </c>
      <c r="IN54">
        <f>IF(ISBLANK('Data Entry'!$ĸ$54), "", 'Data Entry'!$ĸ$54)</f>
      </c>
      <c r="IO54">
        <f>IF(ISBLANK('Data Entry'!$Ĺ$54), "", 'Data Entry'!$Ĺ$54)</f>
      </c>
      <c r="IP54">
        <f>IF(ISBLANK('Data Entry'!$ĺ$54), "", 'Data Entry'!$ĺ$54)</f>
      </c>
      <c r="IQ54">
        <f>IF(ISBLANK('Data Entry'!$Ļ$54), "", 'Data Entry'!$Ļ$54)</f>
      </c>
      <c r="IR54">
        <f>IF(ISBLANK('Data Entry'!$ļ$54), "", 'Data Entry'!$ļ$54)</f>
      </c>
      <c r="IS54">
        <f>IF(ISBLANK('Data Entry'!$Ľ$54), "", 'Data Entry'!$Ľ$54)</f>
      </c>
      <c r="IT54">
        <f>IF(ISBLANK('Data Entry'!$ľ$54), "", 'Data Entry'!$ľ$54)</f>
      </c>
    </row>
    <row r="55" spans="1:254" x14ac:dyDescent="0.25">
      <c r="A55">
        <f>IF(ISBLANK('Data Entry'!$A$55), "", 'Data Entry'!$A$55)</f>
      </c>
      <c r="B55">
        <f>IF(ISBLANK('Data Entry'!$B$55), "", 'Data Entry'!$B$55)</f>
      </c>
      <c r="C55">
        <f>IF(ISBLANK('Data Entry'!$C$55), "", 'Data Entry'!$C$55)</f>
      </c>
      <c r="D55">
        <f>IF(ISBLANK('Data Entry'!$D$55), "", 'Data Entry'!$D$55)</f>
      </c>
      <c r="E55">
        <f>IF(ISBLANK('Data Entry'!$E$55), "", 'Data Entry'!$E$55)</f>
      </c>
      <c r="F55">
        <f>IF(ISBLANK('Data Entry'!$F$55), "", 'Data Entry'!$F$55)</f>
      </c>
      <c r="G55">
        <f>IF(ISBLANK('Data Entry'!$G$55), "", 'Data Entry'!$G$55)</f>
      </c>
      <c r="H55">
        <f>IF(ISBLANK('Data Entry'!$H$55), "", 'Data Entry'!$H$55)</f>
      </c>
      <c r="I55">
        <f>IF(ISBLANK('Data Entry'!$I$55), "", 'Data Entry'!$I$55)</f>
      </c>
      <c r="J55">
        <f>IF(ISBLANK('Data Entry'!$J$55), "", 'Data Entry'!$J$55)</f>
      </c>
      <c r="K55">
        <f>IF(ISBLANK('Data Entry'!$K$55), "", 'Data Entry'!$K$55)</f>
      </c>
      <c r="L55">
        <f>IF(ISBLANK('Data Entry'!$L$55), "", 'Data Entry'!$L$55)</f>
      </c>
      <c r="M55">
        <f>IF(ISBLANK('Data Entry'!$M$55), "", 'Data Entry'!$M$55)</f>
      </c>
      <c r="N55">
        <f>IF(ISBLANK('Data Entry'!$N$55), "", 'Data Entry'!$N$55)</f>
      </c>
      <c r="O55">
        <f>IF(ISBLANK('Data Entry'!$O$55), "", 'Data Entry'!$O$55)</f>
      </c>
      <c r="P55">
        <f>IF(ISBLANK('Data Entry'!$P$55), "", 'Data Entry'!$P$55)</f>
      </c>
      <c r="Q55">
        <f>IF(ISBLANK('Data Entry'!$Q$55), "", 'Data Entry'!$Q$55)</f>
      </c>
      <c r="R55">
        <f>IF(ISBLANK('Data Entry'!$R$55), "", 'Data Entry'!$R$55)</f>
      </c>
      <c r="S55">
        <f>IF(ISBLANK('Data Entry'!$S$55), "", 'Data Entry'!$S$55)</f>
      </c>
      <c r="T55">
        <f>IF(ISBLANK('Data Entry'!$T$55), "", 'Data Entry'!$T$55)</f>
      </c>
      <c r="U55">
        <f>IF(ISBLANK('Data Entry'!$U$55), "", 'Data Entry'!$U$55)</f>
      </c>
      <c r="V55">
        <f>IF(ISBLANK('Data Entry'!$V$55), "", 'Data Entry'!$V$55)</f>
      </c>
      <c r="W55">
        <f>IF(ISBLANK('Data Entry'!$W$55), "", 'Data Entry'!$W$55)</f>
      </c>
      <c r="X55">
        <f>IF(ISBLANK('Data Entry'!$X$55), "", 'Data Entry'!$X$55)</f>
      </c>
      <c r="Y55">
        <f>IF(ISBLANK('Data Entry'!$Y$55), "", 'Data Entry'!$Y$55)</f>
      </c>
      <c r="Z55">
        <f>IF(ISBLANK('Data Entry'!$Z$55), "", 'Data Entry'!$Z$55)</f>
      </c>
      <c r="AA55">
        <f>IF(ISBLANK('Data Entry'!$[$55), "", 'Data Entry'!$[$55)</f>
      </c>
      <c r="AB55">
        <f>IF(ISBLANK('Data Entry'!$\$55), "", 'Data Entry'!$\$55)</f>
      </c>
      <c r="AC55">
        <f>IF(ISBLANK('Data Entry'!$]$55), "", 'Data Entry'!$]$55)</f>
      </c>
      <c r="AD55">
        <f>IF(ISBLANK('Data Entry'!$^$55), "", 'Data Entry'!$^$55)</f>
      </c>
      <c r="AE55">
        <f>IF(ISBLANK('Data Entry'!$_$55), "", 'Data Entry'!$_$55)</f>
      </c>
      <c r="AF55">
        <f>IF(ISBLANK('Data Entry'!$`$55), "", 'Data Entry'!$`$55)</f>
      </c>
      <c r="AG55">
        <f>IF(ISBLANK('Data Entry'!$a$55), "", 'Data Entry'!$a$55)</f>
      </c>
      <c r="AH55">
        <f>IF(ISBLANK('Data Entry'!$b$55), "", 'Data Entry'!$b$55)</f>
      </c>
      <c r="AI55">
        <f>IF(ISBLANK('Data Entry'!$c$55), "", 'Data Entry'!$c$55)</f>
      </c>
      <c r="AJ55">
        <f>IF(ISBLANK('Data Entry'!$d$55), "", 'Data Entry'!$d$55)</f>
      </c>
      <c r="AK55">
        <f>IF(ISBLANK('Data Entry'!$e$55), "", 'Data Entry'!$e$55)</f>
      </c>
      <c r="AL55">
        <f>IF(ISBLANK('Data Entry'!$f$55), "", 'Data Entry'!$f$55)</f>
      </c>
      <c r="AM55">
        <f>IF(ISBLANK('Data Entry'!$g$55), "", 'Data Entry'!$g$55)</f>
      </c>
      <c r="AN55">
        <f>IF(ISBLANK('Data Entry'!$h$55), "", 'Data Entry'!$h$55)</f>
      </c>
      <c r="AO55">
        <f>IF(ISBLANK('Data Entry'!$i$55), "", 'Data Entry'!$i$55)</f>
      </c>
      <c r="AP55">
        <f>IF(ISBLANK('Data Entry'!$j$55), "", 'Data Entry'!$j$55)</f>
      </c>
      <c r="AQ55">
        <f>IF(ISBLANK('Data Entry'!$k$55), "", 'Data Entry'!$k$55)</f>
      </c>
      <c r="AR55">
        <f>IF(ISBLANK('Data Entry'!$l$55), "", 'Data Entry'!$l$55)</f>
      </c>
      <c r="AS55">
        <f>IF(ISBLANK('Data Entry'!$m$55), "", 'Data Entry'!$m$55)</f>
      </c>
      <c r="AT55">
        <f>IF(ISBLANK('Data Entry'!$n$55), "", 'Data Entry'!$n$55)</f>
      </c>
      <c r="AU55">
        <f>IF(ISBLANK('Data Entry'!$o$55), "", 'Data Entry'!$o$55)</f>
      </c>
      <c r="AV55">
        <f>IF(ISBLANK('Data Entry'!$p$55), "", 'Data Entry'!$p$55)</f>
      </c>
      <c r="AW55">
        <f>IF(ISBLANK('Data Entry'!$q$55), "", 'Data Entry'!$q$55)</f>
      </c>
      <c r="AX55">
        <f>IF(ISBLANK('Data Entry'!$r$55), "", 'Data Entry'!$r$55)</f>
      </c>
      <c r="AY55">
        <f>IF(ISBLANK('Data Entry'!$s$55), "", 'Data Entry'!$s$55)</f>
      </c>
      <c r="AZ55">
        <f>IF(ISBLANK('Data Entry'!$t$55), "", 'Data Entry'!$t$55)</f>
      </c>
      <c r="BA55">
        <f>IF(ISBLANK('Data Entry'!$u$55), "", 'Data Entry'!$u$55)</f>
      </c>
      <c r="BB55">
        <f>IF(ISBLANK('Data Entry'!$v$55), "", 'Data Entry'!$v$55)</f>
      </c>
      <c r="BC55">
        <f>IF(ISBLANK('Data Entry'!$w$55), "", 'Data Entry'!$w$55)</f>
      </c>
      <c r="BD55">
        <f>IF(ISBLANK('Data Entry'!$x$55), "", 'Data Entry'!$x$55)</f>
      </c>
      <c r="BE55">
        <f>IF(ISBLANK('Data Entry'!$y$55), "", 'Data Entry'!$y$55)</f>
      </c>
      <c r="BF55">
        <f>IF(ISBLANK('Data Entry'!$z$55), "", 'Data Entry'!$z$55)</f>
      </c>
      <c r="BG55">
        <f>IF(ISBLANK('Data Entry'!${$55), "", 'Data Entry'!${$55)</f>
      </c>
      <c r="BH55">
        <f>IF(ISBLANK('Data Entry'!$|$55), "", 'Data Entry'!$|$55)</f>
      </c>
      <c r="BI55">
        <f>IF(ISBLANK('Data Entry'!$}$55), "", 'Data Entry'!$}$55)</f>
      </c>
      <c r="BJ55">
        <f>IF(ISBLANK('Data Entry'!$~$55), "", 'Data Entry'!$~$55)</f>
      </c>
      <c r="BK55">
        <f>IF(ISBLANK('Data Entry'!$$55), "", 'Data Entry'!$$55)</f>
      </c>
      <c r="BL55">
        <f>IF(ISBLANK('Data Entry'!$$55), "", 'Data Entry'!$$55)</f>
      </c>
      <c r="BM55">
        <f>IF(ISBLANK('Data Entry'!$$55), "", 'Data Entry'!$$55)</f>
      </c>
      <c r="BN55">
        <f>IF(ISBLANK('Data Entry'!$$55), "", 'Data Entry'!$$55)</f>
      </c>
      <c r="BO55">
        <f>IF(ISBLANK('Data Entry'!$$55), "", 'Data Entry'!$$55)</f>
      </c>
      <c r="BP55">
        <f>IF(ISBLANK('Data Entry'!$$55), "", 'Data Entry'!$$55)</f>
      </c>
      <c r="BQ55">
        <f>IF(ISBLANK('Data Entry'!$$55), "", 'Data Entry'!$$55)</f>
      </c>
      <c r="BR55">
        <f>IF(ISBLANK('Data Entry'!$$55), "", 'Data Entry'!$$55)</f>
      </c>
      <c r="BS55">
        <f>IF(ISBLANK('Data Entry'!$$55), "", 'Data Entry'!$$55)</f>
      </c>
      <c r="BT55">
        <f>IF(ISBLANK('Data Entry'!$$55), "", 'Data Entry'!$$55)</f>
      </c>
      <c r="BU55">
        <f>IF(ISBLANK('Data Entry'!$$55), "", 'Data Entry'!$$55)</f>
      </c>
      <c r="BV55">
        <f>IF(ISBLANK('Data Entry'!$$55), "", 'Data Entry'!$$55)</f>
      </c>
      <c r="BW55">
        <f>IF(ISBLANK('Data Entry'!$$55), "", 'Data Entry'!$$55)</f>
      </c>
      <c r="BX55">
        <f>IF(ISBLANK('Data Entry'!$$55), "", 'Data Entry'!$$55)</f>
      </c>
      <c r="BY55">
        <f>IF(ISBLANK('Data Entry'!$$55), "", 'Data Entry'!$$55)</f>
      </c>
      <c r="BZ55">
        <f>IF(ISBLANK('Data Entry'!$$55), "", 'Data Entry'!$$55)</f>
      </c>
      <c r="CA55">
        <f>IF(ISBLANK('Data Entry'!$$55), "", 'Data Entry'!$$55)</f>
      </c>
      <c r="CB55">
        <f>IF(ISBLANK('Data Entry'!$$55), "", 'Data Entry'!$$55)</f>
      </c>
      <c r="CC55">
        <f>IF(ISBLANK('Data Entry'!$$55), "", 'Data Entry'!$$55)</f>
      </c>
      <c r="CD55">
        <f>IF(ISBLANK('Data Entry'!$$55), "", 'Data Entry'!$$55)</f>
      </c>
      <c r="CE55">
        <f>IF(ISBLANK('Data Entry'!$$55), "", 'Data Entry'!$$55)</f>
      </c>
      <c r="CF55">
        <f>IF(ISBLANK('Data Entry'!$$55), "", 'Data Entry'!$$55)</f>
      </c>
      <c r="CG55">
        <f>IF(ISBLANK('Data Entry'!$$55), "", 'Data Entry'!$$55)</f>
      </c>
      <c r="CH55">
        <f>IF(ISBLANK('Data Entry'!$$55), "", 'Data Entry'!$$55)</f>
      </c>
      <c r="CI55">
        <f>IF(ISBLANK('Data Entry'!$$55), "", 'Data Entry'!$$55)</f>
      </c>
      <c r="CJ55">
        <f>IF(ISBLANK('Data Entry'!$$55), "", 'Data Entry'!$$55)</f>
      </c>
      <c r="CK55">
        <f>IF(ISBLANK('Data Entry'!$$55), "", 'Data Entry'!$$55)</f>
      </c>
      <c r="CL55">
        <f>IF(ISBLANK('Data Entry'!$$55), "", 'Data Entry'!$$55)</f>
      </c>
      <c r="CM55">
        <f>IF(ISBLANK('Data Entry'!$$55), "", 'Data Entry'!$$55)</f>
      </c>
      <c r="CN55">
        <f>IF(ISBLANK('Data Entry'!$$55), "", 'Data Entry'!$$55)</f>
      </c>
      <c r="CO55">
        <f>IF(ISBLANK('Data Entry'!$$55), "", 'Data Entry'!$$55)</f>
      </c>
      <c r="CP55">
        <f>IF(ISBLANK('Data Entry'!$$55), "", 'Data Entry'!$$55)</f>
      </c>
      <c r="CQ55">
        <f>IF(ISBLANK('Data Entry'!$$55), "", 'Data Entry'!$$55)</f>
      </c>
      <c r="CR55">
        <f>IF(ISBLANK('Data Entry'!$ $55), "", 'Data Entry'!$ $55)</f>
      </c>
      <c r="CS55">
        <f>IF(ISBLANK('Data Entry'!$¡$55), "", 'Data Entry'!$¡$55)</f>
      </c>
      <c r="CT55">
        <f>IF(ISBLANK('Data Entry'!$¢$55), "", 'Data Entry'!$¢$55)</f>
      </c>
      <c r="CU55">
        <f>IF(ISBLANK('Data Entry'!$£$55), "", 'Data Entry'!$£$55)</f>
      </c>
      <c r="CV55">
        <f>IF(ISBLANK('Data Entry'!$¤$55), "", 'Data Entry'!$¤$55)</f>
      </c>
      <c r="CW55">
        <f>IF(ISBLANK('Data Entry'!$¥$55), "", 'Data Entry'!$¥$55)</f>
      </c>
      <c r="CX55">
        <f>IF(ISBLANK('Data Entry'!$¦$55), "", 'Data Entry'!$¦$55)</f>
      </c>
      <c r="CY55">
        <f>IF(ISBLANK('Data Entry'!$§$55), "", 'Data Entry'!$§$55)</f>
      </c>
      <c r="CZ55">
        <f>IF(ISBLANK('Data Entry'!$¨$55), "", 'Data Entry'!$¨$55)</f>
      </c>
      <c r="DA55">
        <f>IF(ISBLANK('Data Entry'!$©$55), "", 'Data Entry'!$©$55)</f>
      </c>
      <c r="DB55">
        <f>IF(ISBLANK('Data Entry'!$ª$55), "", 'Data Entry'!$ª$55)</f>
      </c>
      <c r="DC55">
        <f>IF(ISBLANK('Data Entry'!$«$55), "", 'Data Entry'!$«$55)</f>
      </c>
      <c r="DD55">
        <f>IF(ISBLANK('Data Entry'!$¬$55), "", 'Data Entry'!$¬$55)</f>
      </c>
      <c r="DE55">
        <f>IF(ISBLANK('Data Entry'!$­$55), "", 'Data Entry'!$­$55)</f>
      </c>
      <c r="DF55">
        <f>IF(ISBLANK('Data Entry'!$®$55), "", 'Data Entry'!$®$55)</f>
      </c>
      <c r="DG55">
        <f>IF(ISBLANK('Data Entry'!$¯$55), "", 'Data Entry'!$¯$55)</f>
      </c>
      <c r="DH55">
        <f>IF(ISBLANK('Data Entry'!$°$55), "", 'Data Entry'!$°$55)</f>
      </c>
      <c r="DI55">
        <f>IF(ISBLANK('Data Entry'!$±$55), "", 'Data Entry'!$±$55)</f>
      </c>
      <c r="DJ55">
        <f>IF(ISBLANK('Data Entry'!$²$55), "", 'Data Entry'!$²$55)</f>
      </c>
      <c r="DK55">
        <f>IF(ISBLANK('Data Entry'!$³$55), "", 'Data Entry'!$³$55)</f>
      </c>
      <c r="DL55">
        <f>IF(ISBLANK('Data Entry'!$´$55), "", 'Data Entry'!$´$55)</f>
      </c>
      <c r="DM55">
        <f>IF(ISBLANK('Data Entry'!$µ$55), "", 'Data Entry'!$µ$55)</f>
      </c>
      <c r="DN55">
        <f>IF(ISBLANK('Data Entry'!$¶$55), "", 'Data Entry'!$¶$55)</f>
      </c>
      <c r="DO55">
        <f>IF(ISBLANK('Data Entry'!$·$55), "", 'Data Entry'!$·$55)</f>
      </c>
      <c r="DP55">
        <f>IF(ISBLANK('Data Entry'!$¸$55), "", 'Data Entry'!$¸$55)</f>
      </c>
      <c r="DQ55">
        <f>IF(ISBLANK('Data Entry'!$¹$55), "", 'Data Entry'!$¹$55)</f>
      </c>
      <c r="DR55">
        <f>IF(ISBLANK('Data Entry'!$º$55), "", 'Data Entry'!$º$55)</f>
      </c>
      <c r="DS55">
        <f>IF(ISBLANK('Data Entry'!$»$55), "", 'Data Entry'!$»$55)</f>
      </c>
      <c r="DT55">
        <f>IF(ISBLANK('Data Entry'!$¼$55), "", 'Data Entry'!$¼$55)</f>
      </c>
      <c r="DU55">
        <f>IF(ISBLANK('Data Entry'!$½$55), "", 'Data Entry'!$½$55)</f>
      </c>
      <c r="DV55">
        <f>IF(ISBLANK('Data Entry'!$¾$55), "", 'Data Entry'!$¾$55)</f>
      </c>
      <c r="DW55">
        <f>IF(ISBLANK('Data Entry'!$¿$55), "", 'Data Entry'!$¿$55)</f>
      </c>
      <c r="DX55">
        <f>IF(ISBLANK('Data Entry'!$À$55), "", 'Data Entry'!$À$55)</f>
      </c>
      <c r="DY55">
        <f>IF(ISBLANK('Data Entry'!$Á$55), "", 'Data Entry'!$Á$55)</f>
      </c>
      <c r="DZ55">
        <f>IF(ISBLANK('Data Entry'!$Â$55), "", 'Data Entry'!$Â$55)</f>
      </c>
      <c r="EA55">
        <f>IF(ISBLANK('Data Entry'!$Ã$55), "", 'Data Entry'!$Ã$55)</f>
      </c>
      <c r="EB55">
        <f>IF(ISBLANK('Data Entry'!$Ä$55), "", 'Data Entry'!$Ä$55)</f>
      </c>
      <c r="EC55">
        <f>IF(ISBLANK('Data Entry'!$Å$55), "", 'Data Entry'!$Å$55)</f>
      </c>
      <c r="ED55">
        <f>IF(ISBLANK('Data Entry'!$Æ$55), "", 'Data Entry'!$Æ$55)</f>
      </c>
      <c r="EE55">
        <f>IF(ISBLANK('Data Entry'!$Ç$55), "", 'Data Entry'!$Ç$55)</f>
      </c>
      <c r="EF55">
        <f>IF(ISBLANK('Data Entry'!$È$55), "", 'Data Entry'!$È$55)</f>
      </c>
      <c r="EG55">
        <f>IF(ISBLANK('Data Entry'!$É$55), "", 'Data Entry'!$É$55)</f>
      </c>
      <c r="EH55">
        <f>IF(ISBLANK('Data Entry'!$Ê$55), "", 'Data Entry'!$Ê$55)</f>
      </c>
      <c r="EI55">
        <f>IF(ISBLANK('Data Entry'!$Ë$55), "", 'Data Entry'!$Ë$55)</f>
      </c>
      <c r="EJ55">
        <f>IF(ISBLANK('Data Entry'!$Ì$55), "", 'Data Entry'!$Ì$55)</f>
      </c>
      <c r="EK55">
        <f>IF(ISBLANK('Data Entry'!$Í$55), "", 'Data Entry'!$Í$55)</f>
      </c>
      <c r="EL55">
        <f>IF(ISBLANK('Data Entry'!$Î$55), "", 'Data Entry'!$Î$55)</f>
      </c>
      <c r="EM55">
        <f>IF(ISBLANK('Data Entry'!$Ï$55), "", 'Data Entry'!$Ï$55)</f>
      </c>
      <c r="EN55">
        <f>IF(ISBLANK('Data Entry'!$Ð$55), "", 'Data Entry'!$Ð$55)</f>
      </c>
      <c r="EO55">
        <f>IF(ISBLANK('Data Entry'!$Ñ$55), "", 'Data Entry'!$Ñ$55)</f>
      </c>
      <c r="EP55">
        <f>IF(ISBLANK('Data Entry'!$Ò$55), "", 'Data Entry'!$Ò$55)</f>
      </c>
      <c r="EQ55">
        <f>IF(ISBLANK('Data Entry'!$Ó$55), "", 'Data Entry'!$Ó$55)</f>
      </c>
      <c r="ER55">
        <f>IF(ISBLANK('Data Entry'!$Ô$55), "", 'Data Entry'!$Ô$55)</f>
      </c>
      <c r="ES55">
        <f>IF(ISBLANK('Data Entry'!$Õ$55), "", 'Data Entry'!$Õ$55)</f>
      </c>
      <c r="ET55">
        <f>IF(ISBLANK('Data Entry'!$Ö$55), "", 'Data Entry'!$Ö$55)</f>
      </c>
      <c r="EU55">
        <f>IF(ISBLANK('Data Entry'!$×$55), "", 'Data Entry'!$×$55)</f>
      </c>
      <c r="EV55">
        <f>IF(ISBLANK('Data Entry'!$Ø$55), "", 'Data Entry'!$Ø$55)</f>
      </c>
      <c r="EW55">
        <f>IF(ISBLANK('Data Entry'!$Ù$55), "", 'Data Entry'!$Ù$55)</f>
      </c>
      <c r="EX55">
        <f>IF(ISBLANK('Data Entry'!$Ú$55), "", 'Data Entry'!$Ú$55)</f>
      </c>
      <c r="EY55">
        <f>IF(ISBLANK('Data Entry'!$Û$55), "", 'Data Entry'!$Û$55)</f>
      </c>
      <c r="EZ55">
        <f>IF(ISBLANK('Data Entry'!$Ü$55), "", 'Data Entry'!$Ü$55)</f>
      </c>
      <c r="FA55">
        <f>IF(ISBLANK('Data Entry'!$Ý$55), "", 'Data Entry'!$Ý$55)</f>
      </c>
      <c r="FB55">
        <f>IF(ISBLANK('Data Entry'!$Þ$55), "", 'Data Entry'!$Þ$55)</f>
      </c>
      <c r="FC55">
        <f>IF(ISBLANK('Data Entry'!$ß$55), "", 'Data Entry'!$ß$55)</f>
      </c>
      <c r="FD55">
        <f>IF(ISBLANK('Data Entry'!$à$55), "", 'Data Entry'!$à$55)</f>
      </c>
      <c r="FE55">
        <f>IF(ISBLANK('Data Entry'!$á$55), "", 'Data Entry'!$á$55)</f>
      </c>
      <c r="FF55">
        <f>IF(ISBLANK('Data Entry'!$â$55), "", 'Data Entry'!$â$55)</f>
      </c>
      <c r="FG55">
        <f>IF(ISBLANK('Data Entry'!$ã$55), "", 'Data Entry'!$ã$55)</f>
      </c>
      <c r="FH55">
        <f>IF(ISBLANK('Data Entry'!$ä$55), "", 'Data Entry'!$ä$55)</f>
      </c>
      <c r="FI55">
        <f>IF(ISBLANK('Data Entry'!$å$55), "", 'Data Entry'!$å$55)</f>
      </c>
      <c r="FJ55">
        <f>IF(ISBLANK('Data Entry'!$æ$55), "", 'Data Entry'!$æ$55)</f>
      </c>
      <c r="FK55">
        <f>IF(ISBLANK('Data Entry'!$ç$55), "", 'Data Entry'!$ç$55)</f>
      </c>
      <c r="FL55">
        <f>IF(ISBLANK('Data Entry'!$è$55), "", 'Data Entry'!$è$55)</f>
      </c>
      <c r="FM55">
        <f>IF(ISBLANK('Data Entry'!$é$55), "", 'Data Entry'!$é$55)</f>
      </c>
      <c r="FN55">
        <f>IF(ISBLANK('Data Entry'!$ê$55), "", 'Data Entry'!$ê$55)</f>
      </c>
      <c r="FO55">
        <f>IF(ISBLANK('Data Entry'!$ë$55), "", 'Data Entry'!$ë$55)</f>
      </c>
      <c r="FP55">
        <f>IF(ISBLANK('Data Entry'!$ì$55), "", 'Data Entry'!$ì$55)</f>
      </c>
      <c r="FQ55">
        <f>IF(ISBLANK('Data Entry'!$í$55), "", 'Data Entry'!$í$55)</f>
      </c>
      <c r="FR55">
        <f>IF(ISBLANK('Data Entry'!$î$55), "", 'Data Entry'!$î$55)</f>
      </c>
      <c r="FS55">
        <f>IF(ISBLANK('Data Entry'!$ï$55), "", 'Data Entry'!$ï$55)</f>
      </c>
      <c r="FT55">
        <f>IF(ISBLANK('Data Entry'!$ð$55), "", 'Data Entry'!$ð$55)</f>
      </c>
      <c r="FU55">
        <f>IF(ISBLANK('Data Entry'!$ñ$55), "", 'Data Entry'!$ñ$55)</f>
      </c>
      <c r="FV55">
        <f>IF(ISBLANK('Data Entry'!$ò$55), "", 'Data Entry'!$ò$55)</f>
      </c>
      <c r="FW55">
        <f>IF(ISBLANK('Data Entry'!$ó$55), "", 'Data Entry'!$ó$55)</f>
      </c>
      <c r="FX55">
        <f>IF(ISBLANK('Data Entry'!$ô$55), "", 'Data Entry'!$ô$55)</f>
      </c>
      <c r="FY55">
        <f>IF(ISBLANK('Data Entry'!$õ$55), "", 'Data Entry'!$õ$55)</f>
      </c>
      <c r="FZ55">
        <f>IF(ISBLANK('Data Entry'!$ö$55), "", 'Data Entry'!$ö$55)</f>
      </c>
      <c r="GA55">
        <f>IF(ISBLANK('Data Entry'!$÷$55), "", 'Data Entry'!$÷$55)</f>
      </c>
      <c r="GB55">
        <f>IF(ISBLANK('Data Entry'!$ø$55), "", 'Data Entry'!$ø$55)</f>
      </c>
      <c r="GC55">
        <f>IF(ISBLANK('Data Entry'!$ù$55), "", 'Data Entry'!$ù$55)</f>
      </c>
      <c r="GD55">
        <f>IF(ISBLANK('Data Entry'!$ú$55), "", 'Data Entry'!$ú$55)</f>
      </c>
      <c r="GE55">
        <f>IF(ISBLANK('Data Entry'!$û$55), "", 'Data Entry'!$û$55)</f>
      </c>
      <c r="GF55">
        <f>IF(ISBLANK('Data Entry'!$ü$55), "", 'Data Entry'!$ü$55)</f>
      </c>
      <c r="GG55">
        <f>IF(ISBLANK('Data Entry'!$ý$55), "", 'Data Entry'!$ý$55)</f>
      </c>
      <c r="GH55">
        <f>IF(ISBLANK('Data Entry'!$þ$55), "", 'Data Entry'!$þ$55)</f>
      </c>
      <c r="GI55">
        <f>IF(ISBLANK('Data Entry'!$ÿ$55), "", 'Data Entry'!$ÿ$55)</f>
      </c>
      <c r="GJ55">
        <f>IF(ISBLANK('Data Entry'!$Ā$55), "", 'Data Entry'!$Ā$55)</f>
      </c>
      <c r="GK55">
        <f>IF(ISBLANK('Data Entry'!$ā$55), "", 'Data Entry'!$ā$55)</f>
      </c>
      <c r="GL55">
        <f>IF(ISBLANK('Data Entry'!$Ă$55), "", 'Data Entry'!$Ă$55)</f>
      </c>
      <c r="GM55">
        <f>IF(ISBLANK('Data Entry'!$ă$55), "", 'Data Entry'!$ă$55)</f>
      </c>
      <c r="GN55">
        <f>IF(ISBLANK('Data Entry'!$Ą$55), "", 'Data Entry'!$Ą$55)</f>
      </c>
      <c r="GO55">
        <f>IF(ISBLANK('Data Entry'!$ą$55), "", 'Data Entry'!$ą$55)</f>
      </c>
      <c r="GP55">
        <f>IF(ISBLANK('Data Entry'!$Ć$55), "", 'Data Entry'!$Ć$55)</f>
      </c>
      <c r="GQ55">
        <f>IF(ISBLANK('Data Entry'!$ć$55), "", 'Data Entry'!$ć$55)</f>
      </c>
      <c r="GR55">
        <f>IF(ISBLANK('Data Entry'!$Ĉ$55), "", 'Data Entry'!$Ĉ$55)</f>
      </c>
      <c r="GS55">
        <f>IF(ISBLANK('Data Entry'!$ĉ$55), "", 'Data Entry'!$ĉ$55)</f>
      </c>
      <c r="GT55">
        <f>IF(ISBLANK('Data Entry'!$Ċ$55), "", 'Data Entry'!$Ċ$55)</f>
      </c>
      <c r="GU55">
        <f>IF(ISBLANK('Data Entry'!$ċ$55), "", 'Data Entry'!$ċ$55)</f>
      </c>
      <c r="GV55">
        <f>IF(ISBLANK('Data Entry'!$Č$55), "", 'Data Entry'!$Č$55)</f>
      </c>
      <c r="GW55">
        <f>IF(ISBLANK('Data Entry'!$č$55), "", 'Data Entry'!$č$55)</f>
      </c>
      <c r="GX55">
        <f>IF(ISBLANK('Data Entry'!$Ď$55), "", 'Data Entry'!$Ď$55)</f>
      </c>
      <c r="GY55">
        <f>IF(ISBLANK('Data Entry'!$ď$55), "", 'Data Entry'!$ď$55)</f>
      </c>
      <c r="GZ55">
        <f>IF(ISBLANK('Data Entry'!$Đ$55), "", 'Data Entry'!$Đ$55)</f>
      </c>
      <c r="HA55">
        <f>IF(ISBLANK('Data Entry'!$đ$55), "", 'Data Entry'!$đ$55)</f>
      </c>
      <c r="HB55">
        <f>IF(ISBLANK('Data Entry'!$Ē$55), "", 'Data Entry'!$Ē$55)</f>
      </c>
      <c r="HC55">
        <f>IF(ISBLANK('Data Entry'!$ē$55), "", 'Data Entry'!$ē$55)</f>
      </c>
      <c r="HD55">
        <f>IF(ISBLANK('Data Entry'!$Ĕ$55), "", 'Data Entry'!$Ĕ$55)</f>
      </c>
      <c r="HE55">
        <f>IF(ISBLANK('Data Entry'!$ĕ$55), "", 'Data Entry'!$ĕ$55)</f>
      </c>
      <c r="HF55">
        <f>IF(ISBLANK('Data Entry'!$Ė$55), "", 'Data Entry'!$Ė$55)</f>
      </c>
      <c r="HG55">
        <f>IF(ISBLANK('Data Entry'!$ė$55), "", 'Data Entry'!$ė$55)</f>
      </c>
      <c r="HH55">
        <f>IF(ISBLANK('Data Entry'!$Ę$55), "", 'Data Entry'!$Ę$55)</f>
      </c>
      <c r="HI55">
        <f>IF(ISBLANK('Data Entry'!$ę$55), "", 'Data Entry'!$ę$55)</f>
      </c>
      <c r="HJ55">
        <f>IF(ISBLANK('Data Entry'!$Ě$55), "", 'Data Entry'!$Ě$55)</f>
      </c>
      <c r="HK55">
        <f>IF(ISBLANK('Data Entry'!$ě$55), "", 'Data Entry'!$ě$55)</f>
      </c>
      <c r="HL55">
        <f>IF(ISBLANK('Data Entry'!$Ĝ$55), "", 'Data Entry'!$Ĝ$55)</f>
      </c>
      <c r="HM55">
        <f>IF(ISBLANK('Data Entry'!$ĝ$55), "", 'Data Entry'!$ĝ$55)</f>
      </c>
      <c r="HN55">
        <f>IF(ISBLANK('Data Entry'!$Ğ$55), "", 'Data Entry'!$Ğ$55)</f>
      </c>
      <c r="HO55">
        <f>IF(ISBLANK('Data Entry'!$ğ$55), "", 'Data Entry'!$ğ$55)</f>
      </c>
      <c r="HP55">
        <f>IF(ISBLANK('Data Entry'!$Ġ$55), "", 'Data Entry'!$Ġ$55)</f>
      </c>
      <c r="HQ55">
        <f>IF(ISBLANK('Data Entry'!$ġ$55), "", 'Data Entry'!$ġ$55)</f>
      </c>
      <c r="HR55">
        <f>IF(ISBLANK('Data Entry'!$Ģ$55), "", 'Data Entry'!$Ģ$55)</f>
      </c>
      <c r="HS55">
        <f>IF(ISBLANK('Data Entry'!$ģ$55), "", 'Data Entry'!$ģ$55)</f>
      </c>
      <c r="HT55">
        <f>IF(ISBLANK('Data Entry'!$Ĥ$55), "", 'Data Entry'!$Ĥ$55)</f>
      </c>
      <c r="HU55">
        <f>IF(ISBLANK('Data Entry'!$ĥ$55), "", 'Data Entry'!$ĥ$55)</f>
      </c>
      <c r="HV55">
        <f>IF(ISBLANK('Data Entry'!$Ħ$55), "", 'Data Entry'!$Ħ$55)</f>
      </c>
      <c r="HW55">
        <f>IF(ISBLANK('Data Entry'!$ħ$55), "", 'Data Entry'!$ħ$55)</f>
      </c>
      <c r="HX55">
        <f>IF(ISBLANK('Data Entry'!$Ĩ$55), "", 'Data Entry'!$Ĩ$55)</f>
      </c>
      <c r="HY55">
        <f>IF(ISBLANK('Data Entry'!$ĩ$55), "", 'Data Entry'!$ĩ$55)</f>
      </c>
      <c r="HZ55">
        <f>IF(ISBLANK('Data Entry'!$Ī$55), "", 'Data Entry'!$Ī$55)</f>
      </c>
      <c r="IA55">
        <f>IF(ISBLANK('Data Entry'!$ī$55), "", 'Data Entry'!$ī$55)</f>
      </c>
      <c r="IB55">
        <f>IF(ISBLANK('Data Entry'!$Ĭ$55), "", 'Data Entry'!$Ĭ$55)</f>
      </c>
      <c r="IC55">
        <f>IF(ISBLANK('Data Entry'!$ĭ$55), "", 'Data Entry'!$ĭ$55)</f>
      </c>
      <c r="ID55">
        <f>IF(ISBLANK('Data Entry'!$Į$55), "", 'Data Entry'!$Į$55)</f>
      </c>
      <c r="IE55">
        <f>IF(ISBLANK('Data Entry'!$į$55), "", 'Data Entry'!$į$55)</f>
      </c>
      <c r="IF55">
        <f>IF(ISBLANK('Data Entry'!$İ$55), "", 'Data Entry'!$İ$55)</f>
      </c>
      <c r="IG55">
        <f>IF(ISBLANK('Data Entry'!$ı$55), "", 'Data Entry'!$ı$55)</f>
      </c>
      <c r="IH55">
        <f>IF(ISBLANK('Data Entry'!$Ĳ$55), "", 'Data Entry'!$Ĳ$55)</f>
      </c>
      <c r="II55">
        <f>IF(ISBLANK('Data Entry'!$ĳ$55), "", 'Data Entry'!$ĳ$55)</f>
      </c>
      <c r="IJ55">
        <f>IF(ISBLANK('Data Entry'!$Ĵ$55), "", 'Data Entry'!$Ĵ$55)</f>
      </c>
      <c r="IK55">
        <f>IF(ISBLANK('Data Entry'!$ĵ$55), "", 'Data Entry'!$ĵ$55)</f>
      </c>
      <c r="IL55">
        <f>IF(ISBLANK('Data Entry'!$Ķ$55), "", 'Data Entry'!$Ķ$55)</f>
      </c>
      <c r="IM55">
        <f>IF(ISBLANK('Data Entry'!$ķ$55), "", 'Data Entry'!$ķ$55)</f>
      </c>
      <c r="IN55">
        <f>IF(ISBLANK('Data Entry'!$ĸ$55), "", 'Data Entry'!$ĸ$55)</f>
      </c>
      <c r="IO55">
        <f>IF(ISBLANK('Data Entry'!$Ĺ$55), "", 'Data Entry'!$Ĺ$55)</f>
      </c>
      <c r="IP55">
        <f>IF(ISBLANK('Data Entry'!$ĺ$55), "", 'Data Entry'!$ĺ$55)</f>
      </c>
      <c r="IQ55">
        <f>IF(ISBLANK('Data Entry'!$Ļ$55), "", 'Data Entry'!$Ļ$55)</f>
      </c>
      <c r="IR55">
        <f>IF(ISBLANK('Data Entry'!$ļ$55), "", 'Data Entry'!$ļ$55)</f>
      </c>
      <c r="IS55">
        <f>IF(ISBLANK('Data Entry'!$Ľ$55), "", 'Data Entry'!$Ľ$55)</f>
      </c>
      <c r="IT55">
        <f>IF(ISBLANK('Data Entry'!$ľ$55), "", 'Data Entry'!$ľ$55)</f>
      </c>
    </row>
    <row r="56" spans="1:254" x14ac:dyDescent="0.25">
      <c r="A56">
        <f>IF(ISBLANK('Data Entry'!$A$56), "", 'Data Entry'!$A$56)</f>
      </c>
      <c r="B56">
        <f>IF(ISBLANK('Data Entry'!$B$56), "", 'Data Entry'!$B$56)</f>
      </c>
      <c r="C56">
        <f>IF(ISBLANK('Data Entry'!$C$56), "", 'Data Entry'!$C$56)</f>
      </c>
      <c r="D56">
        <f>IF(ISBLANK('Data Entry'!$D$56), "", 'Data Entry'!$D$56)</f>
      </c>
      <c r="E56">
        <f>IF(ISBLANK('Data Entry'!$E$56), "", 'Data Entry'!$E$56)</f>
      </c>
      <c r="F56">
        <f>IF(ISBLANK('Data Entry'!$F$56), "", 'Data Entry'!$F$56)</f>
      </c>
      <c r="G56">
        <f>IF(ISBLANK('Data Entry'!$G$56), "", 'Data Entry'!$G$56)</f>
      </c>
      <c r="H56">
        <f>IF(ISBLANK('Data Entry'!$H$56), "", 'Data Entry'!$H$56)</f>
      </c>
      <c r="I56">
        <f>IF(ISBLANK('Data Entry'!$I$56), "", 'Data Entry'!$I$56)</f>
      </c>
      <c r="J56">
        <f>IF(ISBLANK('Data Entry'!$J$56), "", 'Data Entry'!$J$56)</f>
      </c>
      <c r="K56">
        <f>IF(ISBLANK('Data Entry'!$K$56), "", 'Data Entry'!$K$56)</f>
      </c>
      <c r="L56">
        <f>IF(ISBLANK('Data Entry'!$L$56), "", 'Data Entry'!$L$56)</f>
      </c>
      <c r="M56">
        <f>IF(ISBLANK('Data Entry'!$M$56), "", 'Data Entry'!$M$56)</f>
      </c>
      <c r="N56">
        <f>IF(ISBLANK('Data Entry'!$N$56), "", 'Data Entry'!$N$56)</f>
      </c>
      <c r="O56">
        <f>IF(ISBLANK('Data Entry'!$O$56), "", 'Data Entry'!$O$56)</f>
      </c>
      <c r="P56">
        <f>IF(ISBLANK('Data Entry'!$P$56), "", 'Data Entry'!$P$56)</f>
      </c>
      <c r="Q56">
        <f>IF(ISBLANK('Data Entry'!$Q$56), "", 'Data Entry'!$Q$56)</f>
      </c>
      <c r="R56">
        <f>IF(ISBLANK('Data Entry'!$R$56), "", 'Data Entry'!$R$56)</f>
      </c>
      <c r="S56">
        <f>IF(ISBLANK('Data Entry'!$S$56), "", 'Data Entry'!$S$56)</f>
      </c>
      <c r="T56">
        <f>IF(ISBLANK('Data Entry'!$T$56), "", 'Data Entry'!$T$56)</f>
      </c>
      <c r="U56">
        <f>IF(ISBLANK('Data Entry'!$U$56), "", 'Data Entry'!$U$56)</f>
      </c>
      <c r="V56">
        <f>IF(ISBLANK('Data Entry'!$V$56), "", 'Data Entry'!$V$56)</f>
      </c>
      <c r="W56">
        <f>IF(ISBLANK('Data Entry'!$W$56), "", 'Data Entry'!$W$56)</f>
      </c>
      <c r="X56">
        <f>IF(ISBLANK('Data Entry'!$X$56), "", 'Data Entry'!$X$56)</f>
      </c>
      <c r="Y56">
        <f>IF(ISBLANK('Data Entry'!$Y$56), "", 'Data Entry'!$Y$56)</f>
      </c>
      <c r="Z56">
        <f>IF(ISBLANK('Data Entry'!$Z$56), "", 'Data Entry'!$Z$56)</f>
      </c>
      <c r="AA56">
        <f>IF(ISBLANK('Data Entry'!$[$56), "", 'Data Entry'!$[$56)</f>
      </c>
      <c r="AB56">
        <f>IF(ISBLANK('Data Entry'!$\$56), "", 'Data Entry'!$\$56)</f>
      </c>
      <c r="AC56">
        <f>IF(ISBLANK('Data Entry'!$]$56), "", 'Data Entry'!$]$56)</f>
      </c>
      <c r="AD56">
        <f>IF(ISBLANK('Data Entry'!$^$56), "", 'Data Entry'!$^$56)</f>
      </c>
      <c r="AE56">
        <f>IF(ISBLANK('Data Entry'!$_$56), "", 'Data Entry'!$_$56)</f>
      </c>
      <c r="AF56">
        <f>IF(ISBLANK('Data Entry'!$`$56), "", 'Data Entry'!$`$56)</f>
      </c>
      <c r="AG56">
        <f>IF(ISBLANK('Data Entry'!$a$56), "", 'Data Entry'!$a$56)</f>
      </c>
      <c r="AH56">
        <f>IF(ISBLANK('Data Entry'!$b$56), "", 'Data Entry'!$b$56)</f>
      </c>
      <c r="AI56">
        <f>IF(ISBLANK('Data Entry'!$c$56), "", 'Data Entry'!$c$56)</f>
      </c>
      <c r="AJ56">
        <f>IF(ISBLANK('Data Entry'!$d$56), "", 'Data Entry'!$d$56)</f>
      </c>
      <c r="AK56">
        <f>IF(ISBLANK('Data Entry'!$e$56), "", 'Data Entry'!$e$56)</f>
      </c>
      <c r="AL56">
        <f>IF(ISBLANK('Data Entry'!$f$56), "", 'Data Entry'!$f$56)</f>
      </c>
      <c r="AM56">
        <f>IF(ISBLANK('Data Entry'!$g$56), "", 'Data Entry'!$g$56)</f>
      </c>
      <c r="AN56">
        <f>IF(ISBLANK('Data Entry'!$h$56), "", 'Data Entry'!$h$56)</f>
      </c>
      <c r="AO56">
        <f>IF(ISBLANK('Data Entry'!$i$56), "", 'Data Entry'!$i$56)</f>
      </c>
      <c r="AP56">
        <f>IF(ISBLANK('Data Entry'!$j$56), "", 'Data Entry'!$j$56)</f>
      </c>
      <c r="AQ56">
        <f>IF(ISBLANK('Data Entry'!$k$56), "", 'Data Entry'!$k$56)</f>
      </c>
      <c r="AR56">
        <f>IF(ISBLANK('Data Entry'!$l$56), "", 'Data Entry'!$l$56)</f>
      </c>
      <c r="AS56">
        <f>IF(ISBLANK('Data Entry'!$m$56), "", 'Data Entry'!$m$56)</f>
      </c>
      <c r="AT56">
        <f>IF(ISBLANK('Data Entry'!$n$56), "", 'Data Entry'!$n$56)</f>
      </c>
      <c r="AU56">
        <f>IF(ISBLANK('Data Entry'!$o$56), "", 'Data Entry'!$o$56)</f>
      </c>
      <c r="AV56">
        <f>IF(ISBLANK('Data Entry'!$p$56), "", 'Data Entry'!$p$56)</f>
      </c>
      <c r="AW56">
        <f>IF(ISBLANK('Data Entry'!$q$56), "", 'Data Entry'!$q$56)</f>
      </c>
      <c r="AX56">
        <f>IF(ISBLANK('Data Entry'!$r$56), "", 'Data Entry'!$r$56)</f>
      </c>
      <c r="AY56">
        <f>IF(ISBLANK('Data Entry'!$s$56), "", 'Data Entry'!$s$56)</f>
      </c>
      <c r="AZ56">
        <f>IF(ISBLANK('Data Entry'!$t$56), "", 'Data Entry'!$t$56)</f>
      </c>
      <c r="BA56">
        <f>IF(ISBLANK('Data Entry'!$u$56), "", 'Data Entry'!$u$56)</f>
      </c>
      <c r="BB56">
        <f>IF(ISBLANK('Data Entry'!$v$56), "", 'Data Entry'!$v$56)</f>
      </c>
      <c r="BC56">
        <f>IF(ISBLANK('Data Entry'!$w$56), "", 'Data Entry'!$w$56)</f>
      </c>
      <c r="BD56">
        <f>IF(ISBLANK('Data Entry'!$x$56), "", 'Data Entry'!$x$56)</f>
      </c>
      <c r="BE56">
        <f>IF(ISBLANK('Data Entry'!$y$56), "", 'Data Entry'!$y$56)</f>
      </c>
      <c r="BF56">
        <f>IF(ISBLANK('Data Entry'!$z$56), "", 'Data Entry'!$z$56)</f>
      </c>
      <c r="BG56">
        <f>IF(ISBLANK('Data Entry'!${$56), "", 'Data Entry'!${$56)</f>
      </c>
      <c r="BH56">
        <f>IF(ISBLANK('Data Entry'!$|$56), "", 'Data Entry'!$|$56)</f>
      </c>
      <c r="BI56">
        <f>IF(ISBLANK('Data Entry'!$}$56), "", 'Data Entry'!$}$56)</f>
      </c>
      <c r="BJ56">
        <f>IF(ISBLANK('Data Entry'!$~$56), "", 'Data Entry'!$~$56)</f>
      </c>
      <c r="BK56">
        <f>IF(ISBLANK('Data Entry'!$$56), "", 'Data Entry'!$$56)</f>
      </c>
      <c r="BL56">
        <f>IF(ISBLANK('Data Entry'!$$56), "", 'Data Entry'!$$56)</f>
      </c>
      <c r="BM56">
        <f>IF(ISBLANK('Data Entry'!$$56), "", 'Data Entry'!$$56)</f>
      </c>
      <c r="BN56">
        <f>IF(ISBLANK('Data Entry'!$$56), "", 'Data Entry'!$$56)</f>
      </c>
      <c r="BO56">
        <f>IF(ISBLANK('Data Entry'!$$56), "", 'Data Entry'!$$56)</f>
      </c>
      <c r="BP56">
        <f>IF(ISBLANK('Data Entry'!$$56), "", 'Data Entry'!$$56)</f>
      </c>
      <c r="BQ56">
        <f>IF(ISBLANK('Data Entry'!$$56), "", 'Data Entry'!$$56)</f>
      </c>
      <c r="BR56">
        <f>IF(ISBLANK('Data Entry'!$$56), "", 'Data Entry'!$$56)</f>
      </c>
      <c r="BS56">
        <f>IF(ISBLANK('Data Entry'!$$56), "", 'Data Entry'!$$56)</f>
      </c>
      <c r="BT56">
        <f>IF(ISBLANK('Data Entry'!$$56), "", 'Data Entry'!$$56)</f>
      </c>
      <c r="BU56">
        <f>IF(ISBLANK('Data Entry'!$$56), "", 'Data Entry'!$$56)</f>
      </c>
      <c r="BV56">
        <f>IF(ISBLANK('Data Entry'!$$56), "", 'Data Entry'!$$56)</f>
      </c>
      <c r="BW56">
        <f>IF(ISBLANK('Data Entry'!$$56), "", 'Data Entry'!$$56)</f>
      </c>
      <c r="BX56">
        <f>IF(ISBLANK('Data Entry'!$$56), "", 'Data Entry'!$$56)</f>
      </c>
      <c r="BY56">
        <f>IF(ISBLANK('Data Entry'!$$56), "", 'Data Entry'!$$56)</f>
      </c>
      <c r="BZ56">
        <f>IF(ISBLANK('Data Entry'!$$56), "", 'Data Entry'!$$56)</f>
      </c>
      <c r="CA56">
        <f>IF(ISBLANK('Data Entry'!$$56), "", 'Data Entry'!$$56)</f>
      </c>
      <c r="CB56">
        <f>IF(ISBLANK('Data Entry'!$$56), "", 'Data Entry'!$$56)</f>
      </c>
      <c r="CC56">
        <f>IF(ISBLANK('Data Entry'!$$56), "", 'Data Entry'!$$56)</f>
      </c>
      <c r="CD56">
        <f>IF(ISBLANK('Data Entry'!$$56), "", 'Data Entry'!$$56)</f>
      </c>
      <c r="CE56">
        <f>IF(ISBLANK('Data Entry'!$$56), "", 'Data Entry'!$$56)</f>
      </c>
      <c r="CF56">
        <f>IF(ISBLANK('Data Entry'!$$56), "", 'Data Entry'!$$56)</f>
      </c>
      <c r="CG56">
        <f>IF(ISBLANK('Data Entry'!$$56), "", 'Data Entry'!$$56)</f>
      </c>
      <c r="CH56">
        <f>IF(ISBLANK('Data Entry'!$$56), "", 'Data Entry'!$$56)</f>
      </c>
      <c r="CI56">
        <f>IF(ISBLANK('Data Entry'!$$56), "", 'Data Entry'!$$56)</f>
      </c>
      <c r="CJ56">
        <f>IF(ISBLANK('Data Entry'!$$56), "", 'Data Entry'!$$56)</f>
      </c>
      <c r="CK56">
        <f>IF(ISBLANK('Data Entry'!$$56), "", 'Data Entry'!$$56)</f>
      </c>
      <c r="CL56">
        <f>IF(ISBLANK('Data Entry'!$$56), "", 'Data Entry'!$$56)</f>
      </c>
      <c r="CM56">
        <f>IF(ISBLANK('Data Entry'!$$56), "", 'Data Entry'!$$56)</f>
      </c>
      <c r="CN56">
        <f>IF(ISBLANK('Data Entry'!$$56), "", 'Data Entry'!$$56)</f>
      </c>
      <c r="CO56">
        <f>IF(ISBLANK('Data Entry'!$$56), "", 'Data Entry'!$$56)</f>
      </c>
      <c r="CP56">
        <f>IF(ISBLANK('Data Entry'!$$56), "", 'Data Entry'!$$56)</f>
      </c>
      <c r="CQ56">
        <f>IF(ISBLANK('Data Entry'!$$56), "", 'Data Entry'!$$56)</f>
      </c>
      <c r="CR56">
        <f>IF(ISBLANK('Data Entry'!$ $56), "", 'Data Entry'!$ $56)</f>
      </c>
      <c r="CS56">
        <f>IF(ISBLANK('Data Entry'!$¡$56), "", 'Data Entry'!$¡$56)</f>
      </c>
      <c r="CT56">
        <f>IF(ISBLANK('Data Entry'!$¢$56), "", 'Data Entry'!$¢$56)</f>
      </c>
      <c r="CU56">
        <f>IF(ISBLANK('Data Entry'!$£$56), "", 'Data Entry'!$£$56)</f>
      </c>
      <c r="CV56">
        <f>IF(ISBLANK('Data Entry'!$¤$56), "", 'Data Entry'!$¤$56)</f>
      </c>
      <c r="CW56">
        <f>IF(ISBLANK('Data Entry'!$¥$56), "", 'Data Entry'!$¥$56)</f>
      </c>
      <c r="CX56">
        <f>IF(ISBLANK('Data Entry'!$¦$56), "", 'Data Entry'!$¦$56)</f>
      </c>
      <c r="CY56">
        <f>IF(ISBLANK('Data Entry'!$§$56), "", 'Data Entry'!$§$56)</f>
      </c>
      <c r="CZ56">
        <f>IF(ISBLANK('Data Entry'!$¨$56), "", 'Data Entry'!$¨$56)</f>
      </c>
      <c r="DA56">
        <f>IF(ISBLANK('Data Entry'!$©$56), "", 'Data Entry'!$©$56)</f>
      </c>
      <c r="DB56">
        <f>IF(ISBLANK('Data Entry'!$ª$56), "", 'Data Entry'!$ª$56)</f>
      </c>
      <c r="DC56">
        <f>IF(ISBLANK('Data Entry'!$«$56), "", 'Data Entry'!$«$56)</f>
      </c>
      <c r="DD56">
        <f>IF(ISBLANK('Data Entry'!$¬$56), "", 'Data Entry'!$¬$56)</f>
      </c>
      <c r="DE56">
        <f>IF(ISBLANK('Data Entry'!$­$56), "", 'Data Entry'!$­$56)</f>
      </c>
      <c r="DF56">
        <f>IF(ISBLANK('Data Entry'!$®$56), "", 'Data Entry'!$®$56)</f>
      </c>
      <c r="DG56">
        <f>IF(ISBLANK('Data Entry'!$¯$56), "", 'Data Entry'!$¯$56)</f>
      </c>
      <c r="DH56">
        <f>IF(ISBLANK('Data Entry'!$°$56), "", 'Data Entry'!$°$56)</f>
      </c>
      <c r="DI56">
        <f>IF(ISBLANK('Data Entry'!$±$56), "", 'Data Entry'!$±$56)</f>
      </c>
      <c r="DJ56">
        <f>IF(ISBLANK('Data Entry'!$²$56), "", 'Data Entry'!$²$56)</f>
      </c>
      <c r="DK56">
        <f>IF(ISBLANK('Data Entry'!$³$56), "", 'Data Entry'!$³$56)</f>
      </c>
      <c r="DL56">
        <f>IF(ISBLANK('Data Entry'!$´$56), "", 'Data Entry'!$´$56)</f>
      </c>
      <c r="DM56">
        <f>IF(ISBLANK('Data Entry'!$µ$56), "", 'Data Entry'!$µ$56)</f>
      </c>
      <c r="DN56">
        <f>IF(ISBLANK('Data Entry'!$¶$56), "", 'Data Entry'!$¶$56)</f>
      </c>
      <c r="DO56">
        <f>IF(ISBLANK('Data Entry'!$·$56), "", 'Data Entry'!$·$56)</f>
      </c>
      <c r="DP56">
        <f>IF(ISBLANK('Data Entry'!$¸$56), "", 'Data Entry'!$¸$56)</f>
      </c>
      <c r="DQ56">
        <f>IF(ISBLANK('Data Entry'!$¹$56), "", 'Data Entry'!$¹$56)</f>
      </c>
      <c r="DR56">
        <f>IF(ISBLANK('Data Entry'!$º$56), "", 'Data Entry'!$º$56)</f>
      </c>
      <c r="DS56">
        <f>IF(ISBLANK('Data Entry'!$»$56), "", 'Data Entry'!$»$56)</f>
      </c>
      <c r="DT56">
        <f>IF(ISBLANK('Data Entry'!$¼$56), "", 'Data Entry'!$¼$56)</f>
      </c>
      <c r="DU56">
        <f>IF(ISBLANK('Data Entry'!$½$56), "", 'Data Entry'!$½$56)</f>
      </c>
      <c r="DV56">
        <f>IF(ISBLANK('Data Entry'!$¾$56), "", 'Data Entry'!$¾$56)</f>
      </c>
      <c r="DW56">
        <f>IF(ISBLANK('Data Entry'!$¿$56), "", 'Data Entry'!$¿$56)</f>
      </c>
      <c r="DX56">
        <f>IF(ISBLANK('Data Entry'!$À$56), "", 'Data Entry'!$À$56)</f>
      </c>
      <c r="DY56">
        <f>IF(ISBLANK('Data Entry'!$Á$56), "", 'Data Entry'!$Á$56)</f>
      </c>
      <c r="DZ56">
        <f>IF(ISBLANK('Data Entry'!$Â$56), "", 'Data Entry'!$Â$56)</f>
      </c>
      <c r="EA56">
        <f>IF(ISBLANK('Data Entry'!$Ã$56), "", 'Data Entry'!$Ã$56)</f>
      </c>
      <c r="EB56">
        <f>IF(ISBLANK('Data Entry'!$Ä$56), "", 'Data Entry'!$Ä$56)</f>
      </c>
      <c r="EC56">
        <f>IF(ISBLANK('Data Entry'!$Å$56), "", 'Data Entry'!$Å$56)</f>
      </c>
      <c r="ED56">
        <f>IF(ISBLANK('Data Entry'!$Æ$56), "", 'Data Entry'!$Æ$56)</f>
      </c>
      <c r="EE56">
        <f>IF(ISBLANK('Data Entry'!$Ç$56), "", 'Data Entry'!$Ç$56)</f>
      </c>
      <c r="EF56">
        <f>IF(ISBLANK('Data Entry'!$È$56), "", 'Data Entry'!$È$56)</f>
      </c>
      <c r="EG56">
        <f>IF(ISBLANK('Data Entry'!$É$56), "", 'Data Entry'!$É$56)</f>
      </c>
      <c r="EH56">
        <f>IF(ISBLANK('Data Entry'!$Ê$56), "", 'Data Entry'!$Ê$56)</f>
      </c>
      <c r="EI56">
        <f>IF(ISBLANK('Data Entry'!$Ë$56), "", 'Data Entry'!$Ë$56)</f>
      </c>
      <c r="EJ56">
        <f>IF(ISBLANK('Data Entry'!$Ì$56), "", 'Data Entry'!$Ì$56)</f>
      </c>
      <c r="EK56">
        <f>IF(ISBLANK('Data Entry'!$Í$56), "", 'Data Entry'!$Í$56)</f>
      </c>
      <c r="EL56">
        <f>IF(ISBLANK('Data Entry'!$Î$56), "", 'Data Entry'!$Î$56)</f>
      </c>
      <c r="EM56">
        <f>IF(ISBLANK('Data Entry'!$Ï$56), "", 'Data Entry'!$Ï$56)</f>
      </c>
      <c r="EN56">
        <f>IF(ISBLANK('Data Entry'!$Ð$56), "", 'Data Entry'!$Ð$56)</f>
      </c>
      <c r="EO56">
        <f>IF(ISBLANK('Data Entry'!$Ñ$56), "", 'Data Entry'!$Ñ$56)</f>
      </c>
      <c r="EP56">
        <f>IF(ISBLANK('Data Entry'!$Ò$56), "", 'Data Entry'!$Ò$56)</f>
      </c>
      <c r="EQ56">
        <f>IF(ISBLANK('Data Entry'!$Ó$56), "", 'Data Entry'!$Ó$56)</f>
      </c>
      <c r="ER56">
        <f>IF(ISBLANK('Data Entry'!$Ô$56), "", 'Data Entry'!$Ô$56)</f>
      </c>
      <c r="ES56">
        <f>IF(ISBLANK('Data Entry'!$Õ$56), "", 'Data Entry'!$Õ$56)</f>
      </c>
      <c r="ET56">
        <f>IF(ISBLANK('Data Entry'!$Ö$56), "", 'Data Entry'!$Ö$56)</f>
      </c>
      <c r="EU56">
        <f>IF(ISBLANK('Data Entry'!$×$56), "", 'Data Entry'!$×$56)</f>
      </c>
      <c r="EV56">
        <f>IF(ISBLANK('Data Entry'!$Ø$56), "", 'Data Entry'!$Ø$56)</f>
      </c>
      <c r="EW56">
        <f>IF(ISBLANK('Data Entry'!$Ù$56), "", 'Data Entry'!$Ù$56)</f>
      </c>
      <c r="EX56">
        <f>IF(ISBLANK('Data Entry'!$Ú$56), "", 'Data Entry'!$Ú$56)</f>
      </c>
      <c r="EY56">
        <f>IF(ISBLANK('Data Entry'!$Û$56), "", 'Data Entry'!$Û$56)</f>
      </c>
      <c r="EZ56">
        <f>IF(ISBLANK('Data Entry'!$Ü$56), "", 'Data Entry'!$Ü$56)</f>
      </c>
      <c r="FA56">
        <f>IF(ISBLANK('Data Entry'!$Ý$56), "", 'Data Entry'!$Ý$56)</f>
      </c>
      <c r="FB56">
        <f>IF(ISBLANK('Data Entry'!$Þ$56), "", 'Data Entry'!$Þ$56)</f>
      </c>
      <c r="FC56">
        <f>IF(ISBLANK('Data Entry'!$ß$56), "", 'Data Entry'!$ß$56)</f>
      </c>
      <c r="FD56">
        <f>IF(ISBLANK('Data Entry'!$à$56), "", 'Data Entry'!$à$56)</f>
      </c>
      <c r="FE56">
        <f>IF(ISBLANK('Data Entry'!$á$56), "", 'Data Entry'!$á$56)</f>
      </c>
      <c r="FF56">
        <f>IF(ISBLANK('Data Entry'!$â$56), "", 'Data Entry'!$â$56)</f>
      </c>
      <c r="FG56">
        <f>IF(ISBLANK('Data Entry'!$ã$56), "", 'Data Entry'!$ã$56)</f>
      </c>
      <c r="FH56">
        <f>IF(ISBLANK('Data Entry'!$ä$56), "", 'Data Entry'!$ä$56)</f>
      </c>
      <c r="FI56">
        <f>IF(ISBLANK('Data Entry'!$å$56), "", 'Data Entry'!$å$56)</f>
      </c>
      <c r="FJ56">
        <f>IF(ISBLANK('Data Entry'!$æ$56), "", 'Data Entry'!$æ$56)</f>
      </c>
      <c r="FK56">
        <f>IF(ISBLANK('Data Entry'!$ç$56), "", 'Data Entry'!$ç$56)</f>
      </c>
      <c r="FL56">
        <f>IF(ISBLANK('Data Entry'!$è$56), "", 'Data Entry'!$è$56)</f>
      </c>
      <c r="FM56">
        <f>IF(ISBLANK('Data Entry'!$é$56), "", 'Data Entry'!$é$56)</f>
      </c>
      <c r="FN56">
        <f>IF(ISBLANK('Data Entry'!$ê$56), "", 'Data Entry'!$ê$56)</f>
      </c>
      <c r="FO56">
        <f>IF(ISBLANK('Data Entry'!$ë$56), "", 'Data Entry'!$ë$56)</f>
      </c>
      <c r="FP56">
        <f>IF(ISBLANK('Data Entry'!$ì$56), "", 'Data Entry'!$ì$56)</f>
      </c>
      <c r="FQ56">
        <f>IF(ISBLANK('Data Entry'!$í$56), "", 'Data Entry'!$í$56)</f>
      </c>
      <c r="FR56">
        <f>IF(ISBLANK('Data Entry'!$î$56), "", 'Data Entry'!$î$56)</f>
      </c>
      <c r="FS56">
        <f>IF(ISBLANK('Data Entry'!$ï$56), "", 'Data Entry'!$ï$56)</f>
      </c>
      <c r="FT56">
        <f>IF(ISBLANK('Data Entry'!$ð$56), "", 'Data Entry'!$ð$56)</f>
      </c>
      <c r="FU56">
        <f>IF(ISBLANK('Data Entry'!$ñ$56), "", 'Data Entry'!$ñ$56)</f>
      </c>
      <c r="FV56">
        <f>IF(ISBLANK('Data Entry'!$ò$56), "", 'Data Entry'!$ò$56)</f>
      </c>
      <c r="FW56">
        <f>IF(ISBLANK('Data Entry'!$ó$56), "", 'Data Entry'!$ó$56)</f>
      </c>
      <c r="FX56">
        <f>IF(ISBLANK('Data Entry'!$ô$56), "", 'Data Entry'!$ô$56)</f>
      </c>
      <c r="FY56">
        <f>IF(ISBLANK('Data Entry'!$õ$56), "", 'Data Entry'!$õ$56)</f>
      </c>
      <c r="FZ56">
        <f>IF(ISBLANK('Data Entry'!$ö$56), "", 'Data Entry'!$ö$56)</f>
      </c>
      <c r="GA56">
        <f>IF(ISBLANK('Data Entry'!$÷$56), "", 'Data Entry'!$÷$56)</f>
      </c>
      <c r="GB56">
        <f>IF(ISBLANK('Data Entry'!$ø$56), "", 'Data Entry'!$ø$56)</f>
      </c>
      <c r="GC56">
        <f>IF(ISBLANK('Data Entry'!$ù$56), "", 'Data Entry'!$ù$56)</f>
      </c>
      <c r="GD56">
        <f>IF(ISBLANK('Data Entry'!$ú$56), "", 'Data Entry'!$ú$56)</f>
      </c>
      <c r="GE56">
        <f>IF(ISBLANK('Data Entry'!$û$56), "", 'Data Entry'!$û$56)</f>
      </c>
      <c r="GF56">
        <f>IF(ISBLANK('Data Entry'!$ü$56), "", 'Data Entry'!$ü$56)</f>
      </c>
      <c r="GG56">
        <f>IF(ISBLANK('Data Entry'!$ý$56), "", 'Data Entry'!$ý$56)</f>
      </c>
      <c r="GH56">
        <f>IF(ISBLANK('Data Entry'!$þ$56), "", 'Data Entry'!$þ$56)</f>
      </c>
      <c r="GI56">
        <f>IF(ISBLANK('Data Entry'!$ÿ$56), "", 'Data Entry'!$ÿ$56)</f>
      </c>
      <c r="GJ56">
        <f>IF(ISBLANK('Data Entry'!$Ā$56), "", 'Data Entry'!$Ā$56)</f>
      </c>
      <c r="GK56">
        <f>IF(ISBLANK('Data Entry'!$ā$56), "", 'Data Entry'!$ā$56)</f>
      </c>
      <c r="GL56">
        <f>IF(ISBLANK('Data Entry'!$Ă$56), "", 'Data Entry'!$Ă$56)</f>
      </c>
      <c r="GM56">
        <f>IF(ISBLANK('Data Entry'!$ă$56), "", 'Data Entry'!$ă$56)</f>
      </c>
      <c r="GN56">
        <f>IF(ISBLANK('Data Entry'!$Ą$56), "", 'Data Entry'!$Ą$56)</f>
      </c>
      <c r="GO56">
        <f>IF(ISBLANK('Data Entry'!$ą$56), "", 'Data Entry'!$ą$56)</f>
      </c>
      <c r="GP56">
        <f>IF(ISBLANK('Data Entry'!$Ć$56), "", 'Data Entry'!$Ć$56)</f>
      </c>
      <c r="GQ56">
        <f>IF(ISBLANK('Data Entry'!$ć$56), "", 'Data Entry'!$ć$56)</f>
      </c>
      <c r="GR56">
        <f>IF(ISBLANK('Data Entry'!$Ĉ$56), "", 'Data Entry'!$Ĉ$56)</f>
      </c>
      <c r="GS56">
        <f>IF(ISBLANK('Data Entry'!$ĉ$56), "", 'Data Entry'!$ĉ$56)</f>
      </c>
      <c r="GT56">
        <f>IF(ISBLANK('Data Entry'!$Ċ$56), "", 'Data Entry'!$Ċ$56)</f>
      </c>
      <c r="GU56">
        <f>IF(ISBLANK('Data Entry'!$ċ$56), "", 'Data Entry'!$ċ$56)</f>
      </c>
      <c r="GV56">
        <f>IF(ISBLANK('Data Entry'!$Č$56), "", 'Data Entry'!$Č$56)</f>
      </c>
      <c r="GW56">
        <f>IF(ISBLANK('Data Entry'!$č$56), "", 'Data Entry'!$č$56)</f>
      </c>
      <c r="GX56">
        <f>IF(ISBLANK('Data Entry'!$Ď$56), "", 'Data Entry'!$Ď$56)</f>
      </c>
      <c r="GY56">
        <f>IF(ISBLANK('Data Entry'!$ď$56), "", 'Data Entry'!$ď$56)</f>
      </c>
      <c r="GZ56">
        <f>IF(ISBLANK('Data Entry'!$Đ$56), "", 'Data Entry'!$Đ$56)</f>
      </c>
      <c r="HA56">
        <f>IF(ISBLANK('Data Entry'!$đ$56), "", 'Data Entry'!$đ$56)</f>
      </c>
      <c r="HB56">
        <f>IF(ISBLANK('Data Entry'!$Ē$56), "", 'Data Entry'!$Ē$56)</f>
      </c>
      <c r="HC56">
        <f>IF(ISBLANK('Data Entry'!$ē$56), "", 'Data Entry'!$ē$56)</f>
      </c>
      <c r="HD56">
        <f>IF(ISBLANK('Data Entry'!$Ĕ$56), "", 'Data Entry'!$Ĕ$56)</f>
      </c>
      <c r="HE56">
        <f>IF(ISBLANK('Data Entry'!$ĕ$56), "", 'Data Entry'!$ĕ$56)</f>
      </c>
      <c r="HF56">
        <f>IF(ISBLANK('Data Entry'!$Ė$56), "", 'Data Entry'!$Ė$56)</f>
      </c>
      <c r="HG56">
        <f>IF(ISBLANK('Data Entry'!$ė$56), "", 'Data Entry'!$ė$56)</f>
      </c>
      <c r="HH56">
        <f>IF(ISBLANK('Data Entry'!$Ę$56), "", 'Data Entry'!$Ę$56)</f>
      </c>
      <c r="HI56">
        <f>IF(ISBLANK('Data Entry'!$ę$56), "", 'Data Entry'!$ę$56)</f>
      </c>
      <c r="HJ56">
        <f>IF(ISBLANK('Data Entry'!$Ě$56), "", 'Data Entry'!$Ě$56)</f>
      </c>
      <c r="HK56">
        <f>IF(ISBLANK('Data Entry'!$ě$56), "", 'Data Entry'!$ě$56)</f>
      </c>
      <c r="HL56">
        <f>IF(ISBLANK('Data Entry'!$Ĝ$56), "", 'Data Entry'!$Ĝ$56)</f>
      </c>
      <c r="HM56">
        <f>IF(ISBLANK('Data Entry'!$ĝ$56), "", 'Data Entry'!$ĝ$56)</f>
      </c>
      <c r="HN56">
        <f>IF(ISBLANK('Data Entry'!$Ğ$56), "", 'Data Entry'!$Ğ$56)</f>
      </c>
      <c r="HO56">
        <f>IF(ISBLANK('Data Entry'!$ğ$56), "", 'Data Entry'!$ğ$56)</f>
      </c>
      <c r="HP56">
        <f>IF(ISBLANK('Data Entry'!$Ġ$56), "", 'Data Entry'!$Ġ$56)</f>
      </c>
      <c r="HQ56">
        <f>IF(ISBLANK('Data Entry'!$ġ$56), "", 'Data Entry'!$ġ$56)</f>
      </c>
      <c r="HR56">
        <f>IF(ISBLANK('Data Entry'!$Ģ$56), "", 'Data Entry'!$Ģ$56)</f>
      </c>
      <c r="HS56">
        <f>IF(ISBLANK('Data Entry'!$ģ$56), "", 'Data Entry'!$ģ$56)</f>
      </c>
      <c r="HT56">
        <f>IF(ISBLANK('Data Entry'!$Ĥ$56), "", 'Data Entry'!$Ĥ$56)</f>
      </c>
      <c r="HU56">
        <f>IF(ISBLANK('Data Entry'!$ĥ$56), "", 'Data Entry'!$ĥ$56)</f>
      </c>
      <c r="HV56">
        <f>IF(ISBLANK('Data Entry'!$Ħ$56), "", 'Data Entry'!$Ħ$56)</f>
      </c>
      <c r="HW56">
        <f>IF(ISBLANK('Data Entry'!$ħ$56), "", 'Data Entry'!$ħ$56)</f>
      </c>
      <c r="HX56">
        <f>IF(ISBLANK('Data Entry'!$Ĩ$56), "", 'Data Entry'!$Ĩ$56)</f>
      </c>
      <c r="HY56">
        <f>IF(ISBLANK('Data Entry'!$ĩ$56), "", 'Data Entry'!$ĩ$56)</f>
      </c>
      <c r="HZ56">
        <f>IF(ISBLANK('Data Entry'!$Ī$56), "", 'Data Entry'!$Ī$56)</f>
      </c>
      <c r="IA56">
        <f>IF(ISBLANK('Data Entry'!$ī$56), "", 'Data Entry'!$ī$56)</f>
      </c>
      <c r="IB56">
        <f>IF(ISBLANK('Data Entry'!$Ĭ$56), "", 'Data Entry'!$Ĭ$56)</f>
      </c>
      <c r="IC56">
        <f>IF(ISBLANK('Data Entry'!$ĭ$56), "", 'Data Entry'!$ĭ$56)</f>
      </c>
      <c r="ID56">
        <f>IF(ISBLANK('Data Entry'!$Į$56), "", 'Data Entry'!$Į$56)</f>
      </c>
      <c r="IE56">
        <f>IF(ISBLANK('Data Entry'!$į$56), "", 'Data Entry'!$į$56)</f>
      </c>
      <c r="IF56">
        <f>IF(ISBLANK('Data Entry'!$İ$56), "", 'Data Entry'!$İ$56)</f>
      </c>
      <c r="IG56">
        <f>IF(ISBLANK('Data Entry'!$ı$56), "", 'Data Entry'!$ı$56)</f>
      </c>
      <c r="IH56">
        <f>IF(ISBLANK('Data Entry'!$Ĳ$56), "", 'Data Entry'!$Ĳ$56)</f>
      </c>
      <c r="II56">
        <f>IF(ISBLANK('Data Entry'!$ĳ$56), "", 'Data Entry'!$ĳ$56)</f>
      </c>
      <c r="IJ56">
        <f>IF(ISBLANK('Data Entry'!$Ĵ$56), "", 'Data Entry'!$Ĵ$56)</f>
      </c>
      <c r="IK56">
        <f>IF(ISBLANK('Data Entry'!$ĵ$56), "", 'Data Entry'!$ĵ$56)</f>
      </c>
      <c r="IL56">
        <f>IF(ISBLANK('Data Entry'!$Ķ$56), "", 'Data Entry'!$Ķ$56)</f>
      </c>
      <c r="IM56">
        <f>IF(ISBLANK('Data Entry'!$ķ$56), "", 'Data Entry'!$ķ$56)</f>
      </c>
      <c r="IN56">
        <f>IF(ISBLANK('Data Entry'!$ĸ$56), "", 'Data Entry'!$ĸ$56)</f>
      </c>
      <c r="IO56">
        <f>IF(ISBLANK('Data Entry'!$Ĺ$56), "", 'Data Entry'!$Ĺ$56)</f>
      </c>
      <c r="IP56">
        <f>IF(ISBLANK('Data Entry'!$ĺ$56), "", 'Data Entry'!$ĺ$56)</f>
      </c>
      <c r="IQ56">
        <f>IF(ISBLANK('Data Entry'!$Ļ$56), "", 'Data Entry'!$Ļ$56)</f>
      </c>
      <c r="IR56">
        <f>IF(ISBLANK('Data Entry'!$ļ$56), "", 'Data Entry'!$ļ$56)</f>
      </c>
      <c r="IS56">
        <f>IF(ISBLANK('Data Entry'!$Ľ$56), "", 'Data Entry'!$Ľ$56)</f>
      </c>
      <c r="IT56">
        <f>IF(ISBLANK('Data Entry'!$ľ$56), "", 'Data Entry'!$ľ$56)</f>
      </c>
    </row>
    <row r="57" spans="1:254" x14ac:dyDescent="0.25">
      <c r="A57">
        <f>IF(ISBLANK('Data Entry'!$A$57), "", 'Data Entry'!$A$57)</f>
      </c>
      <c r="B57">
        <f>IF(ISBLANK('Data Entry'!$B$57), "", 'Data Entry'!$B$57)</f>
      </c>
      <c r="C57">
        <f>IF(ISBLANK('Data Entry'!$C$57), "", 'Data Entry'!$C$57)</f>
      </c>
      <c r="D57">
        <f>IF(ISBLANK('Data Entry'!$D$57), "", 'Data Entry'!$D$57)</f>
      </c>
      <c r="E57">
        <f>IF(ISBLANK('Data Entry'!$E$57), "", 'Data Entry'!$E$57)</f>
      </c>
      <c r="F57">
        <f>IF(ISBLANK('Data Entry'!$F$57), "", 'Data Entry'!$F$57)</f>
      </c>
      <c r="G57">
        <f>IF(ISBLANK('Data Entry'!$G$57), "", 'Data Entry'!$G$57)</f>
      </c>
      <c r="H57">
        <f>IF(ISBLANK('Data Entry'!$H$57), "", 'Data Entry'!$H$57)</f>
      </c>
      <c r="I57">
        <f>IF(ISBLANK('Data Entry'!$I$57), "", 'Data Entry'!$I$57)</f>
      </c>
      <c r="J57">
        <f>IF(ISBLANK('Data Entry'!$J$57), "", 'Data Entry'!$J$57)</f>
      </c>
      <c r="K57">
        <f>IF(ISBLANK('Data Entry'!$K$57), "", 'Data Entry'!$K$57)</f>
      </c>
      <c r="L57">
        <f>IF(ISBLANK('Data Entry'!$L$57), "", 'Data Entry'!$L$57)</f>
      </c>
      <c r="M57">
        <f>IF(ISBLANK('Data Entry'!$M$57), "", 'Data Entry'!$M$57)</f>
      </c>
      <c r="N57">
        <f>IF(ISBLANK('Data Entry'!$N$57), "", 'Data Entry'!$N$57)</f>
      </c>
      <c r="O57">
        <f>IF(ISBLANK('Data Entry'!$O$57), "", 'Data Entry'!$O$57)</f>
      </c>
      <c r="P57">
        <f>IF(ISBLANK('Data Entry'!$P$57), "", 'Data Entry'!$P$57)</f>
      </c>
      <c r="Q57">
        <f>IF(ISBLANK('Data Entry'!$Q$57), "", 'Data Entry'!$Q$57)</f>
      </c>
      <c r="R57">
        <f>IF(ISBLANK('Data Entry'!$R$57), "", 'Data Entry'!$R$57)</f>
      </c>
      <c r="S57">
        <f>IF(ISBLANK('Data Entry'!$S$57), "", 'Data Entry'!$S$57)</f>
      </c>
      <c r="T57">
        <f>IF(ISBLANK('Data Entry'!$T$57), "", 'Data Entry'!$T$57)</f>
      </c>
      <c r="U57">
        <f>IF(ISBLANK('Data Entry'!$U$57), "", 'Data Entry'!$U$57)</f>
      </c>
      <c r="V57">
        <f>IF(ISBLANK('Data Entry'!$V$57), "", 'Data Entry'!$V$57)</f>
      </c>
      <c r="W57">
        <f>IF(ISBLANK('Data Entry'!$W$57), "", 'Data Entry'!$W$57)</f>
      </c>
      <c r="X57">
        <f>IF(ISBLANK('Data Entry'!$X$57), "", 'Data Entry'!$X$57)</f>
      </c>
      <c r="Y57">
        <f>IF(ISBLANK('Data Entry'!$Y$57), "", 'Data Entry'!$Y$57)</f>
      </c>
      <c r="Z57">
        <f>IF(ISBLANK('Data Entry'!$Z$57), "", 'Data Entry'!$Z$57)</f>
      </c>
      <c r="AA57">
        <f>IF(ISBLANK('Data Entry'!$[$57), "", 'Data Entry'!$[$57)</f>
      </c>
      <c r="AB57">
        <f>IF(ISBLANK('Data Entry'!$\$57), "", 'Data Entry'!$\$57)</f>
      </c>
      <c r="AC57">
        <f>IF(ISBLANK('Data Entry'!$]$57), "", 'Data Entry'!$]$57)</f>
      </c>
      <c r="AD57">
        <f>IF(ISBLANK('Data Entry'!$^$57), "", 'Data Entry'!$^$57)</f>
      </c>
      <c r="AE57">
        <f>IF(ISBLANK('Data Entry'!$_$57), "", 'Data Entry'!$_$57)</f>
      </c>
      <c r="AF57">
        <f>IF(ISBLANK('Data Entry'!$`$57), "", 'Data Entry'!$`$57)</f>
      </c>
      <c r="AG57">
        <f>IF(ISBLANK('Data Entry'!$a$57), "", 'Data Entry'!$a$57)</f>
      </c>
      <c r="AH57">
        <f>IF(ISBLANK('Data Entry'!$b$57), "", 'Data Entry'!$b$57)</f>
      </c>
      <c r="AI57">
        <f>IF(ISBLANK('Data Entry'!$c$57), "", 'Data Entry'!$c$57)</f>
      </c>
      <c r="AJ57">
        <f>IF(ISBLANK('Data Entry'!$d$57), "", 'Data Entry'!$d$57)</f>
      </c>
      <c r="AK57">
        <f>IF(ISBLANK('Data Entry'!$e$57), "", 'Data Entry'!$e$57)</f>
      </c>
      <c r="AL57">
        <f>IF(ISBLANK('Data Entry'!$f$57), "", 'Data Entry'!$f$57)</f>
      </c>
      <c r="AM57">
        <f>IF(ISBLANK('Data Entry'!$g$57), "", 'Data Entry'!$g$57)</f>
      </c>
      <c r="AN57">
        <f>IF(ISBLANK('Data Entry'!$h$57), "", 'Data Entry'!$h$57)</f>
      </c>
      <c r="AO57">
        <f>IF(ISBLANK('Data Entry'!$i$57), "", 'Data Entry'!$i$57)</f>
      </c>
      <c r="AP57">
        <f>IF(ISBLANK('Data Entry'!$j$57), "", 'Data Entry'!$j$57)</f>
      </c>
      <c r="AQ57">
        <f>IF(ISBLANK('Data Entry'!$k$57), "", 'Data Entry'!$k$57)</f>
      </c>
      <c r="AR57">
        <f>IF(ISBLANK('Data Entry'!$l$57), "", 'Data Entry'!$l$57)</f>
      </c>
      <c r="AS57">
        <f>IF(ISBLANK('Data Entry'!$m$57), "", 'Data Entry'!$m$57)</f>
      </c>
      <c r="AT57">
        <f>IF(ISBLANK('Data Entry'!$n$57), "", 'Data Entry'!$n$57)</f>
      </c>
      <c r="AU57">
        <f>IF(ISBLANK('Data Entry'!$o$57), "", 'Data Entry'!$o$57)</f>
      </c>
      <c r="AV57">
        <f>IF(ISBLANK('Data Entry'!$p$57), "", 'Data Entry'!$p$57)</f>
      </c>
      <c r="AW57">
        <f>IF(ISBLANK('Data Entry'!$q$57), "", 'Data Entry'!$q$57)</f>
      </c>
      <c r="AX57">
        <f>IF(ISBLANK('Data Entry'!$r$57), "", 'Data Entry'!$r$57)</f>
      </c>
      <c r="AY57">
        <f>IF(ISBLANK('Data Entry'!$s$57), "", 'Data Entry'!$s$57)</f>
      </c>
      <c r="AZ57">
        <f>IF(ISBLANK('Data Entry'!$t$57), "", 'Data Entry'!$t$57)</f>
      </c>
      <c r="BA57">
        <f>IF(ISBLANK('Data Entry'!$u$57), "", 'Data Entry'!$u$57)</f>
      </c>
      <c r="BB57">
        <f>IF(ISBLANK('Data Entry'!$v$57), "", 'Data Entry'!$v$57)</f>
      </c>
      <c r="BC57">
        <f>IF(ISBLANK('Data Entry'!$w$57), "", 'Data Entry'!$w$57)</f>
      </c>
      <c r="BD57">
        <f>IF(ISBLANK('Data Entry'!$x$57), "", 'Data Entry'!$x$57)</f>
      </c>
      <c r="BE57">
        <f>IF(ISBLANK('Data Entry'!$y$57), "", 'Data Entry'!$y$57)</f>
      </c>
      <c r="BF57">
        <f>IF(ISBLANK('Data Entry'!$z$57), "", 'Data Entry'!$z$57)</f>
      </c>
      <c r="BG57">
        <f>IF(ISBLANK('Data Entry'!${$57), "", 'Data Entry'!${$57)</f>
      </c>
      <c r="BH57">
        <f>IF(ISBLANK('Data Entry'!$|$57), "", 'Data Entry'!$|$57)</f>
      </c>
      <c r="BI57">
        <f>IF(ISBLANK('Data Entry'!$}$57), "", 'Data Entry'!$}$57)</f>
      </c>
      <c r="BJ57">
        <f>IF(ISBLANK('Data Entry'!$~$57), "", 'Data Entry'!$~$57)</f>
      </c>
      <c r="BK57">
        <f>IF(ISBLANK('Data Entry'!$$57), "", 'Data Entry'!$$57)</f>
      </c>
      <c r="BL57">
        <f>IF(ISBLANK('Data Entry'!$$57), "", 'Data Entry'!$$57)</f>
      </c>
      <c r="BM57">
        <f>IF(ISBLANK('Data Entry'!$$57), "", 'Data Entry'!$$57)</f>
      </c>
      <c r="BN57">
        <f>IF(ISBLANK('Data Entry'!$$57), "", 'Data Entry'!$$57)</f>
      </c>
      <c r="BO57">
        <f>IF(ISBLANK('Data Entry'!$$57), "", 'Data Entry'!$$57)</f>
      </c>
      <c r="BP57">
        <f>IF(ISBLANK('Data Entry'!$$57), "", 'Data Entry'!$$57)</f>
      </c>
      <c r="BQ57">
        <f>IF(ISBLANK('Data Entry'!$$57), "", 'Data Entry'!$$57)</f>
      </c>
      <c r="BR57">
        <f>IF(ISBLANK('Data Entry'!$$57), "", 'Data Entry'!$$57)</f>
      </c>
      <c r="BS57">
        <f>IF(ISBLANK('Data Entry'!$$57), "", 'Data Entry'!$$57)</f>
      </c>
      <c r="BT57">
        <f>IF(ISBLANK('Data Entry'!$$57), "", 'Data Entry'!$$57)</f>
      </c>
      <c r="BU57">
        <f>IF(ISBLANK('Data Entry'!$$57), "", 'Data Entry'!$$57)</f>
      </c>
      <c r="BV57">
        <f>IF(ISBLANK('Data Entry'!$$57), "", 'Data Entry'!$$57)</f>
      </c>
      <c r="BW57">
        <f>IF(ISBLANK('Data Entry'!$$57), "", 'Data Entry'!$$57)</f>
      </c>
      <c r="BX57">
        <f>IF(ISBLANK('Data Entry'!$$57), "", 'Data Entry'!$$57)</f>
      </c>
      <c r="BY57">
        <f>IF(ISBLANK('Data Entry'!$$57), "", 'Data Entry'!$$57)</f>
      </c>
      <c r="BZ57">
        <f>IF(ISBLANK('Data Entry'!$$57), "", 'Data Entry'!$$57)</f>
      </c>
      <c r="CA57">
        <f>IF(ISBLANK('Data Entry'!$$57), "", 'Data Entry'!$$57)</f>
      </c>
      <c r="CB57">
        <f>IF(ISBLANK('Data Entry'!$$57), "", 'Data Entry'!$$57)</f>
      </c>
      <c r="CC57">
        <f>IF(ISBLANK('Data Entry'!$$57), "", 'Data Entry'!$$57)</f>
      </c>
      <c r="CD57">
        <f>IF(ISBLANK('Data Entry'!$$57), "", 'Data Entry'!$$57)</f>
      </c>
      <c r="CE57">
        <f>IF(ISBLANK('Data Entry'!$$57), "", 'Data Entry'!$$57)</f>
      </c>
      <c r="CF57">
        <f>IF(ISBLANK('Data Entry'!$$57), "", 'Data Entry'!$$57)</f>
      </c>
      <c r="CG57">
        <f>IF(ISBLANK('Data Entry'!$$57), "", 'Data Entry'!$$57)</f>
      </c>
      <c r="CH57">
        <f>IF(ISBLANK('Data Entry'!$$57), "", 'Data Entry'!$$57)</f>
      </c>
      <c r="CI57">
        <f>IF(ISBLANK('Data Entry'!$$57), "", 'Data Entry'!$$57)</f>
      </c>
      <c r="CJ57">
        <f>IF(ISBLANK('Data Entry'!$$57), "", 'Data Entry'!$$57)</f>
      </c>
      <c r="CK57">
        <f>IF(ISBLANK('Data Entry'!$$57), "", 'Data Entry'!$$57)</f>
      </c>
      <c r="CL57">
        <f>IF(ISBLANK('Data Entry'!$$57), "", 'Data Entry'!$$57)</f>
      </c>
      <c r="CM57">
        <f>IF(ISBLANK('Data Entry'!$$57), "", 'Data Entry'!$$57)</f>
      </c>
      <c r="CN57">
        <f>IF(ISBLANK('Data Entry'!$$57), "", 'Data Entry'!$$57)</f>
      </c>
      <c r="CO57">
        <f>IF(ISBLANK('Data Entry'!$$57), "", 'Data Entry'!$$57)</f>
      </c>
      <c r="CP57">
        <f>IF(ISBLANK('Data Entry'!$$57), "", 'Data Entry'!$$57)</f>
      </c>
      <c r="CQ57">
        <f>IF(ISBLANK('Data Entry'!$$57), "", 'Data Entry'!$$57)</f>
      </c>
      <c r="CR57">
        <f>IF(ISBLANK('Data Entry'!$ $57), "", 'Data Entry'!$ $57)</f>
      </c>
      <c r="CS57">
        <f>IF(ISBLANK('Data Entry'!$¡$57), "", 'Data Entry'!$¡$57)</f>
      </c>
      <c r="CT57">
        <f>IF(ISBLANK('Data Entry'!$¢$57), "", 'Data Entry'!$¢$57)</f>
      </c>
      <c r="CU57">
        <f>IF(ISBLANK('Data Entry'!$£$57), "", 'Data Entry'!$£$57)</f>
      </c>
      <c r="CV57">
        <f>IF(ISBLANK('Data Entry'!$¤$57), "", 'Data Entry'!$¤$57)</f>
      </c>
      <c r="CW57">
        <f>IF(ISBLANK('Data Entry'!$¥$57), "", 'Data Entry'!$¥$57)</f>
      </c>
      <c r="CX57">
        <f>IF(ISBLANK('Data Entry'!$¦$57), "", 'Data Entry'!$¦$57)</f>
      </c>
      <c r="CY57">
        <f>IF(ISBLANK('Data Entry'!$§$57), "", 'Data Entry'!$§$57)</f>
      </c>
      <c r="CZ57">
        <f>IF(ISBLANK('Data Entry'!$¨$57), "", 'Data Entry'!$¨$57)</f>
      </c>
      <c r="DA57">
        <f>IF(ISBLANK('Data Entry'!$©$57), "", 'Data Entry'!$©$57)</f>
      </c>
      <c r="DB57">
        <f>IF(ISBLANK('Data Entry'!$ª$57), "", 'Data Entry'!$ª$57)</f>
      </c>
      <c r="DC57">
        <f>IF(ISBLANK('Data Entry'!$«$57), "", 'Data Entry'!$«$57)</f>
      </c>
      <c r="DD57">
        <f>IF(ISBLANK('Data Entry'!$¬$57), "", 'Data Entry'!$¬$57)</f>
      </c>
      <c r="DE57">
        <f>IF(ISBLANK('Data Entry'!$­$57), "", 'Data Entry'!$­$57)</f>
      </c>
      <c r="DF57">
        <f>IF(ISBLANK('Data Entry'!$®$57), "", 'Data Entry'!$®$57)</f>
      </c>
      <c r="DG57">
        <f>IF(ISBLANK('Data Entry'!$¯$57), "", 'Data Entry'!$¯$57)</f>
      </c>
      <c r="DH57">
        <f>IF(ISBLANK('Data Entry'!$°$57), "", 'Data Entry'!$°$57)</f>
      </c>
      <c r="DI57">
        <f>IF(ISBLANK('Data Entry'!$±$57), "", 'Data Entry'!$±$57)</f>
      </c>
      <c r="DJ57">
        <f>IF(ISBLANK('Data Entry'!$²$57), "", 'Data Entry'!$²$57)</f>
      </c>
      <c r="DK57">
        <f>IF(ISBLANK('Data Entry'!$³$57), "", 'Data Entry'!$³$57)</f>
      </c>
      <c r="DL57">
        <f>IF(ISBLANK('Data Entry'!$´$57), "", 'Data Entry'!$´$57)</f>
      </c>
      <c r="DM57">
        <f>IF(ISBLANK('Data Entry'!$µ$57), "", 'Data Entry'!$µ$57)</f>
      </c>
      <c r="DN57">
        <f>IF(ISBLANK('Data Entry'!$¶$57), "", 'Data Entry'!$¶$57)</f>
      </c>
      <c r="DO57">
        <f>IF(ISBLANK('Data Entry'!$·$57), "", 'Data Entry'!$·$57)</f>
      </c>
      <c r="DP57">
        <f>IF(ISBLANK('Data Entry'!$¸$57), "", 'Data Entry'!$¸$57)</f>
      </c>
      <c r="DQ57">
        <f>IF(ISBLANK('Data Entry'!$¹$57), "", 'Data Entry'!$¹$57)</f>
      </c>
      <c r="DR57">
        <f>IF(ISBLANK('Data Entry'!$º$57), "", 'Data Entry'!$º$57)</f>
      </c>
      <c r="DS57">
        <f>IF(ISBLANK('Data Entry'!$»$57), "", 'Data Entry'!$»$57)</f>
      </c>
      <c r="DT57">
        <f>IF(ISBLANK('Data Entry'!$¼$57), "", 'Data Entry'!$¼$57)</f>
      </c>
      <c r="DU57">
        <f>IF(ISBLANK('Data Entry'!$½$57), "", 'Data Entry'!$½$57)</f>
      </c>
      <c r="DV57">
        <f>IF(ISBLANK('Data Entry'!$¾$57), "", 'Data Entry'!$¾$57)</f>
      </c>
      <c r="DW57">
        <f>IF(ISBLANK('Data Entry'!$¿$57), "", 'Data Entry'!$¿$57)</f>
      </c>
      <c r="DX57">
        <f>IF(ISBLANK('Data Entry'!$À$57), "", 'Data Entry'!$À$57)</f>
      </c>
      <c r="DY57">
        <f>IF(ISBLANK('Data Entry'!$Á$57), "", 'Data Entry'!$Á$57)</f>
      </c>
      <c r="DZ57">
        <f>IF(ISBLANK('Data Entry'!$Â$57), "", 'Data Entry'!$Â$57)</f>
      </c>
      <c r="EA57">
        <f>IF(ISBLANK('Data Entry'!$Ã$57), "", 'Data Entry'!$Ã$57)</f>
      </c>
      <c r="EB57">
        <f>IF(ISBLANK('Data Entry'!$Ä$57), "", 'Data Entry'!$Ä$57)</f>
      </c>
      <c r="EC57">
        <f>IF(ISBLANK('Data Entry'!$Å$57), "", 'Data Entry'!$Å$57)</f>
      </c>
      <c r="ED57">
        <f>IF(ISBLANK('Data Entry'!$Æ$57), "", 'Data Entry'!$Æ$57)</f>
      </c>
      <c r="EE57">
        <f>IF(ISBLANK('Data Entry'!$Ç$57), "", 'Data Entry'!$Ç$57)</f>
      </c>
      <c r="EF57">
        <f>IF(ISBLANK('Data Entry'!$È$57), "", 'Data Entry'!$È$57)</f>
      </c>
      <c r="EG57">
        <f>IF(ISBLANK('Data Entry'!$É$57), "", 'Data Entry'!$É$57)</f>
      </c>
      <c r="EH57">
        <f>IF(ISBLANK('Data Entry'!$Ê$57), "", 'Data Entry'!$Ê$57)</f>
      </c>
      <c r="EI57">
        <f>IF(ISBLANK('Data Entry'!$Ë$57), "", 'Data Entry'!$Ë$57)</f>
      </c>
      <c r="EJ57">
        <f>IF(ISBLANK('Data Entry'!$Ì$57), "", 'Data Entry'!$Ì$57)</f>
      </c>
      <c r="EK57">
        <f>IF(ISBLANK('Data Entry'!$Í$57), "", 'Data Entry'!$Í$57)</f>
      </c>
      <c r="EL57">
        <f>IF(ISBLANK('Data Entry'!$Î$57), "", 'Data Entry'!$Î$57)</f>
      </c>
      <c r="EM57">
        <f>IF(ISBLANK('Data Entry'!$Ï$57), "", 'Data Entry'!$Ï$57)</f>
      </c>
      <c r="EN57">
        <f>IF(ISBLANK('Data Entry'!$Ð$57), "", 'Data Entry'!$Ð$57)</f>
      </c>
      <c r="EO57">
        <f>IF(ISBLANK('Data Entry'!$Ñ$57), "", 'Data Entry'!$Ñ$57)</f>
      </c>
      <c r="EP57">
        <f>IF(ISBLANK('Data Entry'!$Ò$57), "", 'Data Entry'!$Ò$57)</f>
      </c>
      <c r="EQ57">
        <f>IF(ISBLANK('Data Entry'!$Ó$57), "", 'Data Entry'!$Ó$57)</f>
      </c>
      <c r="ER57">
        <f>IF(ISBLANK('Data Entry'!$Ô$57), "", 'Data Entry'!$Ô$57)</f>
      </c>
      <c r="ES57">
        <f>IF(ISBLANK('Data Entry'!$Õ$57), "", 'Data Entry'!$Õ$57)</f>
      </c>
      <c r="ET57">
        <f>IF(ISBLANK('Data Entry'!$Ö$57), "", 'Data Entry'!$Ö$57)</f>
      </c>
      <c r="EU57">
        <f>IF(ISBLANK('Data Entry'!$×$57), "", 'Data Entry'!$×$57)</f>
      </c>
      <c r="EV57">
        <f>IF(ISBLANK('Data Entry'!$Ø$57), "", 'Data Entry'!$Ø$57)</f>
      </c>
      <c r="EW57">
        <f>IF(ISBLANK('Data Entry'!$Ù$57), "", 'Data Entry'!$Ù$57)</f>
      </c>
      <c r="EX57">
        <f>IF(ISBLANK('Data Entry'!$Ú$57), "", 'Data Entry'!$Ú$57)</f>
      </c>
      <c r="EY57">
        <f>IF(ISBLANK('Data Entry'!$Û$57), "", 'Data Entry'!$Û$57)</f>
      </c>
      <c r="EZ57">
        <f>IF(ISBLANK('Data Entry'!$Ü$57), "", 'Data Entry'!$Ü$57)</f>
      </c>
      <c r="FA57">
        <f>IF(ISBLANK('Data Entry'!$Ý$57), "", 'Data Entry'!$Ý$57)</f>
      </c>
      <c r="FB57">
        <f>IF(ISBLANK('Data Entry'!$Þ$57), "", 'Data Entry'!$Þ$57)</f>
      </c>
      <c r="FC57">
        <f>IF(ISBLANK('Data Entry'!$ß$57), "", 'Data Entry'!$ß$57)</f>
      </c>
      <c r="FD57">
        <f>IF(ISBLANK('Data Entry'!$à$57), "", 'Data Entry'!$à$57)</f>
      </c>
      <c r="FE57">
        <f>IF(ISBLANK('Data Entry'!$á$57), "", 'Data Entry'!$á$57)</f>
      </c>
      <c r="FF57">
        <f>IF(ISBLANK('Data Entry'!$â$57), "", 'Data Entry'!$â$57)</f>
      </c>
      <c r="FG57">
        <f>IF(ISBLANK('Data Entry'!$ã$57), "", 'Data Entry'!$ã$57)</f>
      </c>
      <c r="FH57">
        <f>IF(ISBLANK('Data Entry'!$ä$57), "", 'Data Entry'!$ä$57)</f>
      </c>
      <c r="FI57">
        <f>IF(ISBLANK('Data Entry'!$å$57), "", 'Data Entry'!$å$57)</f>
      </c>
      <c r="FJ57">
        <f>IF(ISBLANK('Data Entry'!$æ$57), "", 'Data Entry'!$æ$57)</f>
      </c>
      <c r="FK57">
        <f>IF(ISBLANK('Data Entry'!$ç$57), "", 'Data Entry'!$ç$57)</f>
      </c>
      <c r="FL57">
        <f>IF(ISBLANK('Data Entry'!$è$57), "", 'Data Entry'!$è$57)</f>
      </c>
      <c r="FM57">
        <f>IF(ISBLANK('Data Entry'!$é$57), "", 'Data Entry'!$é$57)</f>
      </c>
      <c r="FN57">
        <f>IF(ISBLANK('Data Entry'!$ê$57), "", 'Data Entry'!$ê$57)</f>
      </c>
      <c r="FO57">
        <f>IF(ISBLANK('Data Entry'!$ë$57), "", 'Data Entry'!$ë$57)</f>
      </c>
      <c r="FP57">
        <f>IF(ISBLANK('Data Entry'!$ì$57), "", 'Data Entry'!$ì$57)</f>
      </c>
      <c r="FQ57">
        <f>IF(ISBLANK('Data Entry'!$í$57), "", 'Data Entry'!$í$57)</f>
      </c>
      <c r="FR57">
        <f>IF(ISBLANK('Data Entry'!$î$57), "", 'Data Entry'!$î$57)</f>
      </c>
      <c r="FS57">
        <f>IF(ISBLANK('Data Entry'!$ï$57), "", 'Data Entry'!$ï$57)</f>
      </c>
      <c r="FT57">
        <f>IF(ISBLANK('Data Entry'!$ð$57), "", 'Data Entry'!$ð$57)</f>
      </c>
      <c r="FU57">
        <f>IF(ISBLANK('Data Entry'!$ñ$57), "", 'Data Entry'!$ñ$57)</f>
      </c>
      <c r="FV57">
        <f>IF(ISBLANK('Data Entry'!$ò$57), "", 'Data Entry'!$ò$57)</f>
      </c>
      <c r="FW57">
        <f>IF(ISBLANK('Data Entry'!$ó$57), "", 'Data Entry'!$ó$57)</f>
      </c>
      <c r="FX57">
        <f>IF(ISBLANK('Data Entry'!$ô$57), "", 'Data Entry'!$ô$57)</f>
      </c>
      <c r="FY57">
        <f>IF(ISBLANK('Data Entry'!$õ$57), "", 'Data Entry'!$õ$57)</f>
      </c>
      <c r="FZ57">
        <f>IF(ISBLANK('Data Entry'!$ö$57), "", 'Data Entry'!$ö$57)</f>
      </c>
      <c r="GA57">
        <f>IF(ISBLANK('Data Entry'!$÷$57), "", 'Data Entry'!$÷$57)</f>
      </c>
      <c r="GB57">
        <f>IF(ISBLANK('Data Entry'!$ø$57), "", 'Data Entry'!$ø$57)</f>
      </c>
      <c r="GC57">
        <f>IF(ISBLANK('Data Entry'!$ù$57), "", 'Data Entry'!$ù$57)</f>
      </c>
      <c r="GD57">
        <f>IF(ISBLANK('Data Entry'!$ú$57), "", 'Data Entry'!$ú$57)</f>
      </c>
      <c r="GE57">
        <f>IF(ISBLANK('Data Entry'!$û$57), "", 'Data Entry'!$û$57)</f>
      </c>
      <c r="GF57">
        <f>IF(ISBLANK('Data Entry'!$ü$57), "", 'Data Entry'!$ü$57)</f>
      </c>
      <c r="GG57">
        <f>IF(ISBLANK('Data Entry'!$ý$57), "", 'Data Entry'!$ý$57)</f>
      </c>
      <c r="GH57">
        <f>IF(ISBLANK('Data Entry'!$þ$57), "", 'Data Entry'!$þ$57)</f>
      </c>
      <c r="GI57">
        <f>IF(ISBLANK('Data Entry'!$ÿ$57), "", 'Data Entry'!$ÿ$57)</f>
      </c>
      <c r="GJ57">
        <f>IF(ISBLANK('Data Entry'!$Ā$57), "", 'Data Entry'!$Ā$57)</f>
      </c>
      <c r="GK57">
        <f>IF(ISBLANK('Data Entry'!$ā$57), "", 'Data Entry'!$ā$57)</f>
      </c>
      <c r="GL57">
        <f>IF(ISBLANK('Data Entry'!$Ă$57), "", 'Data Entry'!$Ă$57)</f>
      </c>
      <c r="GM57">
        <f>IF(ISBLANK('Data Entry'!$ă$57), "", 'Data Entry'!$ă$57)</f>
      </c>
      <c r="GN57">
        <f>IF(ISBLANK('Data Entry'!$Ą$57), "", 'Data Entry'!$Ą$57)</f>
      </c>
      <c r="GO57">
        <f>IF(ISBLANK('Data Entry'!$ą$57), "", 'Data Entry'!$ą$57)</f>
      </c>
      <c r="GP57">
        <f>IF(ISBLANK('Data Entry'!$Ć$57), "", 'Data Entry'!$Ć$57)</f>
      </c>
      <c r="GQ57">
        <f>IF(ISBLANK('Data Entry'!$ć$57), "", 'Data Entry'!$ć$57)</f>
      </c>
      <c r="GR57">
        <f>IF(ISBLANK('Data Entry'!$Ĉ$57), "", 'Data Entry'!$Ĉ$57)</f>
      </c>
      <c r="GS57">
        <f>IF(ISBLANK('Data Entry'!$ĉ$57), "", 'Data Entry'!$ĉ$57)</f>
      </c>
      <c r="GT57">
        <f>IF(ISBLANK('Data Entry'!$Ċ$57), "", 'Data Entry'!$Ċ$57)</f>
      </c>
      <c r="GU57">
        <f>IF(ISBLANK('Data Entry'!$ċ$57), "", 'Data Entry'!$ċ$57)</f>
      </c>
      <c r="GV57">
        <f>IF(ISBLANK('Data Entry'!$Č$57), "", 'Data Entry'!$Č$57)</f>
      </c>
      <c r="GW57">
        <f>IF(ISBLANK('Data Entry'!$č$57), "", 'Data Entry'!$č$57)</f>
      </c>
      <c r="GX57">
        <f>IF(ISBLANK('Data Entry'!$Ď$57), "", 'Data Entry'!$Ď$57)</f>
      </c>
      <c r="GY57">
        <f>IF(ISBLANK('Data Entry'!$ď$57), "", 'Data Entry'!$ď$57)</f>
      </c>
      <c r="GZ57">
        <f>IF(ISBLANK('Data Entry'!$Đ$57), "", 'Data Entry'!$Đ$57)</f>
      </c>
      <c r="HA57">
        <f>IF(ISBLANK('Data Entry'!$đ$57), "", 'Data Entry'!$đ$57)</f>
      </c>
      <c r="HB57">
        <f>IF(ISBLANK('Data Entry'!$Ē$57), "", 'Data Entry'!$Ē$57)</f>
      </c>
      <c r="HC57">
        <f>IF(ISBLANK('Data Entry'!$ē$57), "", 'Data Entry'!$ē$57)</f>
      </c>
      <c r="HD57">
        <f>IF(ISBLANK('Data Entry'!$Ĕ$57), "", 'Data Entry'!$Ĕ$57)</f>
      </c>
      <c r="HE57">
        <f>IF(ISBLANK('Data Entry'!$ĕ$57), "", 'Data Entry'!$ĕ$57)</f>
      </c>
      <c r="HF57">
        <f>IF(ISBLANK('Data Entry'!$Ė$57), "", 'Data Entry'!$Ė$57)</f>
      </c>
      <c r="HG57">
        <f>IF(ISBLANK('Data Entry'!$ė$57), "", 'Data Entry'!$ė$57)</f>
      </c>
      <c r="HH57">
        <f>IF(ISBLANK('Data Entry'!$Ę$57), "", 'Data Entry'!$Ę$57)</f>
      </c>
      <c r="HI57">
        <f>IF(ISBLANK('Data Entry'!$ę$57), "", 'Data Entry'!$ę$57)</f>
      </c>
      <c r="HJ57">
        <f>IF(ISBLANK('Data Entry'!$Ě$57), "", 'Data Entry'!$Ě$57)</f>
      </c>
      <c r="HK57">
        <f>IF(ISBLANK('Data Entry'!$ě$57), "", 'Data Entry'!$ě$57)</f>
      </c>
      <c r="HL57">
        <f>IF(ISBLANK('Data Entry'!$Ĝ$57), "", 'Data Entry'!$Ĝ$57)</f>
      </c>
      <c r="HM57">
        <f>IF(ISBLANK('Data Entry'!$ĝ$57), "", 'Data Entry'!$ĝ$57)</f>
      </c>
      <c r="HN57">
        <f>IF(ISBLANK('Data Entry'!$Ğ$57), "", 'Data Entry'!$Ğ$57)</f>
      </c>
      <c r="HO57">
        <f>IF(ISBLANK('Data Entry'!$ğ$57), "", 'Data Entry'!$ğ$57)</f>
      </c>
      <c r="HP57">
        <f>IF(ISBLANK('Data Entry'!$Ġ$57), "", 'Data Entry'!$Ġ$57)</f>
      </c>
      <c r="HQ57">
        <f>IF(ISBLANK('Data Entry'!$ġ$57), "", 'Data Entry'!$ġ$57)</f>
      </c>
      <c r="HR57">
        <f>IF(ISBLANK('Data Entry'!$Ģ$57), "", 'Data Entry'!$Ģ$57)</f>
      </c>
      <c r="HS57">
        <f>IF(ISBLANK('Data Entry'!$ģ$57), "", 'Data Entry'!$ģ$57)</f>
      </c>
      <c r="HT57">
        <f>IF(ISBLANK('Data Entry'!$Ĥ$57), "", 'Data Entry'!$Ĥ$57)</f>
      </c>
      <c r="HU57">
        <f>IF(ISBLANK('Data Entry'!$ĥ$57), "", 'Data Entry'!$ĥ$57)</f>
      </c>
      <c r="HV57">
        <f>IF(ISBLANK('Data Entry'!$Ħ$57), "", 'Data Entry'!$Ħ$57)</f>
      </c>
      <c r="HW57">
        <f>IF(ISBLANK('Data Entry'!$ħ$57), "", 'Data Entry'!$ħ$57)</f>
      </c>
      <c r="HX57">
        <f>IF(ISBLANK('Data Entry'!$Ĩ$57), "", 'Data Entry'!$Ĩ$57)</f>
      </c>
      <c r="HY57">
        <f>IF(ISBLANK('Data Entry'!$ĩ$57), "", 'Data Entry'!$ĩ$57)</f>
      </c>
      <c r="HZ57">
        <f>IF(ISBLANK('Data Entry'!$Ī$57), "", 'Data Entry'!$Ī$57)</f>
      </c>
      <c r="IA57">
        <f>IF(ISBLANK('Data Entry'!$ī$57), "", 'Data Entry'!$ī$57)</f>
      </c>
      <c r="IB57">
        <f>IF(ISBLANK('Data Entry'!$Ĭ$57), "", 'Data Entry'!$Ĭ$57)</f>
      </c>
      <c r="IC57">
        <f>IF(ISBLANK('Data Entry'!$ĭ$57), "", 'Data Entry'!$ĭ$57)</f>
      </c>
      <c r="ID57">
        <f>IF(ISBLANK('Data Entry'!$Į$57), "", 'Data Entry'!$Į$57)</f>
      </c>
      <c r="IE57">
        <f>IF(ISBLANK('Data Entry'!$į$57), "", 'Data Entry'!$į$57)</f>
      </c>
      <c r="IF57">
        <f>IF(ISBLANK('Data Entry'!$İ$57), "", 'Data Entry'!$İ$57)</f>
      </c>
      <c r="IG57">
        <f>IF(ISBLANK('Data Entry'!$ı$57), "", 'Data Entry'!$ı$57)</f>
      </c>
      <c r="IH57">
        <f>IF(ISBLANK('Data Entry'!$Ĳ$57), "", 'Data Entry'!$Ĳ$57)</f>
      </c>
      <c r="II57">
        <f>IF(ISBLANK('Data Entry'!$ĳ$57), "", 'Data Entry'!$ĳ$57)</f>
      </c>
      <c r="IJ57">
        <f>IF(ISBLANK('Data Entry'!$Ĵ$57), "", 'Data Entry'!$Ĵ$57)</f>
      </c>
      <c r="IK57">
        <f>IF(ISBLANK('Data Entry'!$ĵ$57), "", 'Data Entry'!$ĵ$57)</f>
      </c>
      <c r="IL57">
        <f>IF(ISBLANK('Data Entry'!$Ķ$57), "", 'Data Entry'!$Ķ$57)</f>
      </c>
      <c r="IM57">
        <f>IF(ISBLANK('Data Entry'!$ķ$57), "", 'Data Entry'!$ķ$57)</f>
      </c>
      <c r="IN57">
        <f>IF(ISBLANK('Data Entry'!$ĸ$57), "", 'Data Entry'!$ĸ$57)</f>
      </c>
      <c r="IO57">
        <f>IF(ISBLANK('Data Entry'!$Ĺ$57), "", 'Data Entry'!$Ĺ$57)</f>
      </c>
      <c r="IP57">
        <f>IF(ISBLANK('Data Entry'!$ĺ$57), "", 'Data Entry'!$ĺ$57)</f>
      </c>
      <c r="IQ57">
        <f>IF(ISBLANK('Data Entry'!$Ļ$57), "", 'Data Entry'!$Ļ$57)</f>
      </c>
      <c r="IR57">
        <f>IF(ISBLANK('Data Entry'!$ļ$57), "", 'Data Entry'!$ļ$57)</f>
      </c>
      <c r="IS57">
        <f>IF(ISBLANK('Data Entry'!$Ľ$57), "", 'Data Entry'!$Ľ$57)</f>
      </c>
      <c r="IT57">
        <f>IF(ISBLANK('Data Entry'!$ľ$57), "", 'Data Entry'!$ľ$57)</f>
      </c>
    </row>
    <row r="58" spans="1:254" x14ac:dyDescent="0.25">
      <c r="A58">
        <f>IF(ISBLANK('Data Entry'!$A$58), "", 'Data Entry'!$A$58)</f>
      </c>
      <c r="B58">
        <f>IF(ISBLANK('Data Entry'!$B$58), "", 'Data Entry'!$B$58)</f>
      </c>
      <c r="C58">
        <f>IF(ISBLANK('Data Entry'!$C$58), "", 'Data Entry'!$C$58)</f>
      </c>
      <c r="D58">
        <f>IF(ISBLANK('Data Entry'!$D$58), "", 'Data Entry'!$D$58)</f>
      </c>
      <c r="E58">
        <f>IF(ISBLANK('Data Entry'!$E$58), "", 'Data Entry'!$E$58)</f>
      </c>
      <c r="F58">
        <f>IF(ISBLANK('Data Entry'!$F$58), "", 'Data Entry'!$F$58)</f>
      </c>
      <c r="G58">
        <f>IF(ISBLANK('Data Entry'!$G$58), "", 'Data Entry'!$G$58)</f>
      </c>
      <c r="H58">
        <f>IF(ISBLANK('Data Entry'!$H$58), "", 'Data Entry'!$H$58)</f>
      </c>
      <c r="I58">
        <f>IF(ISBLANK('Data Entry'!$I$58), "", 'Data Entry'!$I$58)</f>
      </c>
      <c r="J58">
        <f>IF(ISBLANK('Data Entry'!$J$58), "", 'Data Entry'!$J$58)</f>
      </c>
      <c r="K58">
        <f>IF(ISBLANK('Data Entry'!$K$58), "", 'Data Entry'!$K$58)</f>
      </c>
      <c r="L58">
        <f>IF(ISBLANK('Data Entry'!$L$58), "", 'Data Entry'!$L$58)</f>
      </c>
      <c r="M58">
        <f>IF(ISBLANK('Data Entry'!$M$58), "", 'Data Entry'!$M$58)</f>
      </c>
      <c r="N58">
        <f>IF(ISBLANK('Data Entry'!$N$58), "", 'Data Entry'!$N$58)</f>
      </c>
      <c r="O58">
        <f>IF(ISBLANK('Data Entry'!$O$58), "", 'Data Entry'!$O$58)</f>
      </c>
      <c r="P58">
        <f>IF(ISBLANK('Data Entry'!$P$58), "", 'Data Entry'!$P$58)</f>
      </c>
      <c r="Q58">
        <f>IF(ISBLANK('Data Entry'!$Q$58), "", 'Data Entry'!$Q$58)</f>
      </c>
      <c r="R58">
        <f>IF(ISBLANK('Data Entry'!$R$58), "", 'Data Entry'!$R$58)</f>
      </c>
      <c r="S58">
        <f>IF(ISBLANK('Data Entry'!$S$58), "", 'Data Entry'!$S$58)</f>
      </c>
      <c r="T58">
        <f>IF(ISBLANK('Data Entry'!$T$58), "", 'Data Entry'!$T$58)</f>
      </c>
      <c r="U58">
        <f>IF(ISBLANK('Data Entry'!$U$58), "", 'Data Entry'!$U$58)</f>
      </c>
      <c r="V58">
        <f>IF(ISBLANK('Data Entry'!$V$58), "", 'Data Entry'!$V$58)</f>
      </c>
      <c r="W58">
        <f>IF(ISBLANK('Data Entry'!$W$58), "", 'Data Entry'!$W$58)</f>
      </c>
      <c r="X58">
        <f>IF(ISBLANK('Data Entry'!$X$58), "", 'Data Entry'!$X$58)</f>
      </c>
      <c r="Y58">
        <f>IF(ISBLANK('Data Entry'!$Y$58), "", 'Data Entry'!$Y$58)</f>
      </c>
      <c r="Z58">
        <f>IF(ISBLANK('Data Entry'!$Z$58), "", 'Data Entry'!$Z$58)</f>
      </c>
      <c r="AA58">
        <f>IF(ISBLANK('Data Entry'!$[$58), "", 'Data Entry'!$[$58)</f>
      </c>
      <c r="AB58">
        <f>IF(ISBLANK('Data Entry'!$\$58), "", 'Data Entry'!$\$58)</f>
      </c>
      <c r="AC58">
        <f>IF(ISBLANK('Data Entry'!$]$58), "", 'Data Entry'!$]$58)</f>
      </c>
      <c r="AD58">
        <f>IF(ISBLANK('Data Entry'!$^$58), "", 'Data Entry'!$^$58)</f>
      </c>
      <c r="AE58">
        <f>IF(ISBLANK('Data Entry'!$_$58), "", 'Data Entry'!$_$58)</f>
      </c>
      <c r="AF58">
        <f>IF(ISBLANK('Data Entry'!$`$58), "", 'Data Entry'!$`$58)</f>
      </c>
      <c r="AG58">
        <f>IF(ISBLANK('Data Entry'!$a$58), "", 'Data Entry'!$a$58)</f>
      </c>
      <c r="AH58">
        <f>IF(ISBLANK('Data Entry'!$b$58), "", 'Data Entry'!$b$58)</f>
      </c>
      <c r="AI58">
        <f>IF(ISBLANK('Data Entry'!$c$58), "", 'Data Entry'!$c$58)</f>
      </c>
      <c r="AJ58">
        <f>IF(ISBLANK('Data Entry'!$d$58), "", 'Data Entry'!$d$58)</f>
      </c>
      <c r="AK58">
        <f>IF(ISBLANK('Data Entry'!$e$58), "", 'Data Entry'!$e$58)</f>
      </c>
      <c r="AL58">
        <f>IF(ISBLANK('Data Entry'!$f$58), "", 'Data Entry'!$f$58)</f>
      </c>
      <c r="AM58">
        <f>IF(ISBLANK('Data Entry'!$g$58), "", 'Data Entry'!$g$58)</f>
      </c>
      <c r="AN58">
        <f>IF(ISBLANK('Data Entry'!$h$58), "", 'Data Entry'!$h$58)</f>
      </c>
      <c r="AO58">
        <f>IF(ISBLANK('Data Entry'!$i$58), "", 'Data Entry'!$i$58)</f>
      </c>
      <c r="AP58">
        <f>IF(ISBLANK('Data Entry'!$j$58), "", 'Data Entry'!$j$58)</f>
      </c>
      <c r="AQ58">
        <f>IF(ISBLANK('Data Entry'!$k$58), "", 'Data Entry'!$k$58)</f>
      </c>
      <c r="AR58">
        <f>IF(ISBLANK('Data Entry'!$l$58), "", 'Data Entry'!$l$58)</f>
      </c>
      <c r="AS58">
        <f>IF(ISBLANK('Data Entry'!$m$58), "", 'Data Entry'!$m$58)</f>
      </c>
      <c r="AT58">
        <f>IF(ISBLANK('Data Entry'!$n$58), "", 'Data Entry'!$n$58)</f>
      </c>
      <c r="AU58">
        <f>IF(ISBLANK('Data Entry'!$o$58), "", 'Data Entry'!$o$58)</f>
      </c>
      <c r="AV58">
        <f>IF(ISBLANK('Data Entry'!$p$58), "", 'Data Entry'!$p$58)</f>
      </c>
      <c r="AW58">
        <f>IF(ISBLANK('Data Entry'!$q$58), "", 'Data Entry'!$q$58)</f>
      </c>
      <c r="AX58">
        <f>IF(ISBLANK('Data Entry'!$r$58), "", 'Data Entry'!$r$58)</f>
      </c>
      <c r="AY58">
        <f>IF(ISBLANK('Data Entry'!$s$58), "", 'Data Entry'!$s$58)</f>
      </c>
      <c r="AZ58">
        <f>IF(ISBLANK('Data Entry'!$t$58), "", 'Data Entry'!$t$58)</f>
      </c>
      <c r="BA58">
        <f>IF(ISBLANK('Data Entry'!$u$58), "", 'Data Entry'!$u$58)</f>
      </c>
      <c r="BB58">
        <f>IF(ISBLANK('Data Entry'!$v$58), "", 'Data Entry'!$v$58)</f>
      </c>
      <c r="BC58">
        <f>IF(ISBLANK('Data Entry'!$w$58), "", 'Data Entry'!$w$58)</f>
      </c>
      <c r="BD58">
        <f>IF(ISBLANK('Data Entry'!$x$58), "", 'Data Entry'!$x$58)</f>
      </c>
      <c r="BE58">
        <f>IF(ISBLANK('Data Entry'!$y$58), "", 'Data Entry'!$y$58)</f>
      </c>
      <c r="BF58">
        <f>IF(ISBLANK('Data Entry'!$z$58), "", 'Data Entry'!$z$58)</f>
      </c>
      <c r="BG58">
        <f>IF(ISBLANK('Data Entry'!${$58), "", 'Data Entry'!${$58)</f>
      </c>
      <c r="BH58">
        <f>IF(ISBLANK('Data Entry'!$|$58), "", 'Data Entry'!$|$58)</f>
      </c>
      <c r="BI58">
        <f>IF(ISBLANK('Data Entry'!$}$58), "", 'Data Entry'!$}$58)</f>
      </c>
      <c r="BJ58">
        <f>IF(ISBLANK('Data Entry'!$~$58), "", 'Data Entry'!$~$58)</f>
      </c>
      <c r="BK58">
        <f>IF(ISBLANK('Data Entry'!$$58), "", 'Data Entry'!$$58)</f>
      </c>
      <c r="BL58">
        <f>IF(ISBLANK('Data Entry'!$$58), "", 'Data Entry'!$$58)</f>
      </c>
      <c r="BM58">
        <f>IF(ISBLANK('Data Entry'!$$58), "", 'Data Entry'!$$58)</f>
      </c>
      <c r="BN58">
        <f>IF(ISBLANK('Data Entry'!$$58), "", 'Data Entry'!$$58)</f>
      </c>
      <c r="BO58">
        <f>IF(ISBLANK('Data Entry'!$$58), "", 'Data Entry'!$$58)</f>
      </c>
      <c r="BP58">
        <f>IF(ISBLANK('Data Entry'!$$58), "", 'Data Entry'!$$58)</f>
      </c>
      <c r="BQ58">
        <f>IF(ISBLANK('Data Entry'!$$58), "", 'Data Entry'!$$58)</f>
      </c>
      <c r="BR58">
        <f>IF(ISBLANK('Data Entry'!$$58), "", 'Data Entry'!$$58)</f>
      </c>
      <c r="BS58">
        <f>IF(ISBLANK('Data Entry'!$$58), "", 'Data Entry'!$$58)</f>
      </c>
      <c r="BT58">
        <f>IF(ISBLANK('Data Entry'!$$58), "", 'Data Entry'!$$58)</f>
      </c>
      <c r="BU58">
        <f>IF(ISBLANK('Data Entry'!$$58), "", 'Data Entry'!$$58)</f>
      </c>
      <c r="BV58">
        <f>IF(ISBLANK('Data Entry'!$$58), "", 'Data Entry'!$$58)</f>
      </c>
      <c r="BW58">
        <f>IF(ISBLANK('Data Entry'!$$58), "", 'Data Entry'!$$58)</f>
      </c>
      <c r="BX58">
        <f>IF(ISBLANK('Data Entry'!$$58), "", 'Data Entry'!$$58)</f>
      </c>
      <c r="BY58">
        <f>IF(ISBLANK('Data Entry'!$$58), "", 'Data Entry'!$$58)</f>
      </c>
      <c r="BZ58">
        <f>IF(ISBLANK('Data Entry'!$$58), "", 'Data Entry'!$$58)</f>
      </c>
      <c r="CA58">
        <f>IF(ISBLANK('Data Entry'!$$58), "", 'Data Entry'!$$58)</f>
      </c>
      <c r="CB58">
        <f>IF(ISBLANK('Data Entry'!$$58), "", 'Data Entry'!$$58)</f>
      </c>
      <c r="CC58">
        <f>IF(ISBLANK('Data Entry'!$$58), "", 'Data Entry'!$$58)</f>
      </c>
      <c r="CD58">
        <f>IF(ISBLANK('Data Entry'!$$58), "", 'Data Entry'!$$58)</f>
      </c>
      <c r="CE58">
        <f>IF(ISBLANK('Data Entry'!$$58), "", 'Data Entry'!$$58)</f>
      </c>
      <c r="CF58">
        <f>IF(ISBLANK('Data Entry'!$$58), "", 'Data Entry'!$$58)</f>
      </c>
      <c r="CG58">
        <f>IF(ISBLANK('Data Entry'!$$58), "", 'Data Entry'!$$58)</f>
      </c>
      <c r="CH58">
        <f>IF(ISBLANK('Data Entry'!$$58), "", 'Data Entry'!$$58)</f>
      </c>
      <c r="CI58">
        <f>IF(ISBLANK('Data Entry'!$$58), "", 'Data Entry'!$$58)</f>
      </c>
      <c r="CJ58">
        <f>IF(ISBLANK('Data Entry'!$$58), "", 'Data Entry'!$$58)</f>
      </c>
      <c r="CK58">
        <f>IF(ISBLANK('Data Entry'!$$58), "", 'Data Entry'!$$58)</f>
      </c>
      <c r="CL58">
        <f>IF(ISBLANK('Data Entry'!$$58), "", 'Data Entry'!$$58)</f>
      </c>
      <c r="CM58">
        <f>IF(ISBLANK('Data Entry'!$$58), "", 'Data Entry'!$$58)</f>
      </c>
      <c r="CN58">
        <f>IF(ISBLANK('Data Entry'!$$58), "", 'Data Entry'!$$58)</f>
      </c>
      <c r="CO58">
        <f>IF(ISBLANK('Data Entry'!$$58), "", 'Data Entry'!$$58)</f>
      </c>
      <c r="CP58">
        <f>IF(ISBLANK('Data Entry'!$$58), "", 'Data Entry'!$$58)</f>
      </c>
      <c r="CQ58">
        <f>IF(ISBLANK('Data Entry'!$$58), "", 'Data Entry'!$$58)</f>
      </c>
      <c r="CR58">
        <f>IF(ISBLANK('Data Entry'!$ $58), "", 'Data Entry'!$ $58)</f>
      </c>
      <c r="CS58">
        <f>IF(ISBLANK('Data Entry'!$¡$58), "", 'Data Entry'!$¡$58)</f>
      </c>
      <c r="CT58">
        <f>IF(ISBLANK('Data Entry'!$¢$58), "", 'Data Entry'!$¢$58)</f>
      </c>
      <c r="CU58">
        <f>IF(ISBLANK('Data Entry'!$£$58), "", 'Data Entry'!$£$58)</f>
      </c>
      <c r="CV58">
        <f>IF(ISBLANK('Data Entry'!$¤$58), "", 'Data Entry'!$¤$58)</f>
      </c>
      <c r="CW58">
        <f>IF(ISBLANK('Data Entry'!$¥$58), "", 'Data Entry'!$¥$58)</f>
      </c>
      <c r="CX58">
        <f>IF(ISBLANK('Data Entry'!$¦$58), "", 'Data Entry'!$¦$58)</f>
      </c>
      <c r="CY58">
        <f>IF(ISBLANK('Data Entry'!$§$58), "", 'Data Entry'!$§$58)</f>
      </c>
      <c r="CZ58">
        <f>IF(ISBLANK('Data Entry'!$¨$58), "", 'Data Entry'!$¨$58)</f>
      </c>
      <c r="DA58">
        <f>IF(ISBLANK('Data Entry'!$©$58), "", 'Data Entry'!$©$58)</f>
      </c>
      <c r="DB58">
        <f>IF(ISBLANK('Data Entry'!$ª$58), "", 'Data Entry'!$ª$58)</f>
      </c>
      <c r="DC58">
        <f>IF(ISBLANK('Data Entry'!$«$58), "", 'Data Entry'!$«$58)</f>
      </c>
      <c r="DD58">
        <f>IF(ISBLANK('Data Entry'!$¬$58), "", 'Data Entry'!$¬$58)</f>
      </c>
      <c r="DE58">
        <f>IF(ISBLANK('Data Entry'!$­$58), "", 'Data Entry'!$­$58)</f>
      </c>
      <c r="DF58">
        <f>IF(ISBLANK('Data Entry'!$®$58), "", 'Data Entry'!$®$58)</f>
      </c>
      <c r="DG58">
        <f>IF(ISBLANK('Data Entry'!$¯$58), "", 'Data Entry'!$¯$58)</f>
      </c>
      <c r="DH58">
        <f>IF(ISBLANK('Data Entry'!$°$58), "", 'Data Entry'!$°$58)</f>
      </c>
      <c r="DI58">
        <f>IF(ISBLANK('Data Entry'!$±$58), "", 'Data Entry'!$±$58)</f>
      </c>
      <c r="DJ58">
        <f>IF(ISBLANK('Data Entry'!$²$58), "", 'Data Entry'!$²$58)</f>
      </c>
      <c r="DK58">
        <f>IF(ISBLANK('Data Entry'!$³$58), "", 'Data Entry'!$³$58)</f>
      </c>
      <c r="DL58">
        <f>IF(ISBLANK('Data Entry'!$´$58), "", 'Data Entry'!$´$58)</f>
      </c>
      <c r="DM58">
        <f>IF(ISBLANK('Data Entry'!$µ$58), "", 'Data Entry'!$µ$58)</f>
      </c>
      <c r="DN58">
        <f>IF(ISBLANK('Data Entry'!$¶$58), "", 'Data Entry'!$¶$58)</f>
      </c>
      <c r="DO58">
        <f>IF(ISBLANK('Data Entry'!$·$58), "", 'Data Entry'!$·$58)</f>
      </c>
      <c r="DP58">
        <f>IF(ISBLANK('Data Entry'!$¸$58), "", 'Data Entry'!$¸$58)</f>
      </c>
      <c r="DQ58">
        <f>IF(ISBLANK('Data Entry'!$¹$58), "", 'Data Entry'!$¹$58)</f>
      </c>
      <c r="DR58">
        <f>IF(ISBLANK('Data Entry'!$º$58), "", 'Data Entry'!$º$58)</f>
      </c>
      <c r="DS58">
        <f>IF(ISBLANK('Data Entry'!$»$58), "", 'Data Entry'!$»$58)</f>
      </c>
      <c r="DT58">
        <f>IF(ISBLANK('Data Entry'!$¼$58), "", 'Data Entry'!$¼$58)</f>
      </c>
      <c r="DU58">
        <f>IF(ISBLANK('Data Entry'!$½$58), "", 'Data Entry'!$½$58)</f>
      </c>
      <c r="DV58">
        <f>IF(ISBLANK('Data Entry'!$¾$58), "", 'Data Entry'!$¾$58)</f>
      </c>
      <c r="DW58">
        <f>IF(ISBLANK('Data Entry'!$¿$58), "", 'Data Entry'!$¿$58)</f>
      </c>
      <c r="DX58">
        <f>IF(ISBLANK('Data Entry'!$À$58), "", 'Data Entry'!$À$58)</f>
      </c>
      <c r="DY58">
        <f>IF(ISBLANK('Data Entry'!$Á$58), "", 'Data Entry'!$Á$58)</f>
      </c>
      <c r="DZ58">
        <f>IF(ISBLANK('Data Entry'!$Â$58), "", 'Data Entry'!$Â$58)</f>
      </c>
      <c r="EA58">
        <f>IF(ISBLANK('Data Entry'!$Ã$58), "", 'Data Entry'!$Ã$58)</f>
      </c>
      <c r="EB58">
        <f>IF(ISBLANK('Data Entry'!$Ä$58), "", 'Data Entry'!$Ä$58)</f>
      </c>
      <c r="EC58">
        <f>IF(ISBLANK('Data Entry'!$Å$58), "", 'Data Entry'!$Å$58)</f>
      </c>
      <c r="ED58">
        <f>IF(ISBLANK('Data Entry'!$Æ$58), "", 'Data Entry'!$Æ$58)</f>
      </c>
      <c r="EE58">
        <f>IF(ISBLANK('Data Entry'!$Ç$58), "", 'Data Entry'!$Ç$58)</f>
      </c>
      <c r="EF58">
        <f>IF(ISBLANK('Data Entry'!$È$58), "", 'Data Entry'!$È$58)</f>
      </c>
      <c r="EG58">
        <f>IF(ISBLANK('Data Entry'!$É$58), "", 'Data Entry'!$É$58)</f>
      </c>
      <c r="EH58">
        <f>IF(ISBLANK('Data Entry'!$Ê$58), "", 'Data Entry'!$Ê$58)</f>
      </c>
      <c r="EI58">
        <f>IF(ISBLANK('Data Entry'!$Ë$58), "", 'Data Entry'!$Ë$58)</f>
      </c>
      <c r="EJ58">
        <f>IF(ISBLANK('Data Entry'!$Ì$58), "", 'Data Entry'!$Ì$58)</f>
      </c>
      <c r="EK58">
        <f>IF(ISBLANK('Data Entry'!$Í$58), "", 'Data Entry'!$Í$58)</f>
      </c>
      <c r="EL58">
        <f>IF(ISBLANK('Data Entry'!$Î$58), "", 'Data Entry'!$Î$58)</f>
      </c>
      <c r="EM58">
        <f>IF(ISBLANK('Data Entry'!$Ï$58), "", 'Data Entry'!$Ï$58)</f>
      </c>
      <c r="EN58">
        <f>IF(ISBLANK('Data Entry'!$Ð$58), "", 'Data Entry'!$Ð$58)</f>
      </c>
      <c r="EO58">
        <f>IF(ISBLANK('Data Entry'!$Ñ$58), "", 'Data Entry'!$Ñ$58)</f>
      </c>
      <c r="EP58">
        <f>IF(ISBLANK('Data Entry'!$Ò$58), "", 'Data Entry'!$Ò$58)</f>
      </c>
      <c r="EQ58">
        <f>IF(ISBLANK('Data Entry'!$Ó$58), "", 'Data Entry'!$Ó$58)</f>
      </c>
      <c r="ER58">
        <f>IF(ISBLANK('Data Entry'!$Ô$58), "", 'Data Entry'!$Ô$58)</f>
      </c>
      <c r="ES58">
        <f>IF(ISBLANK('Data Entry'!$Õ$58), "", 'Data Entry'!$Õ$58)</f>
      </c>
      <c r="ET58">
        <f>IF(ISBLANK('Data Entry'!$Ö$58), "", 'Data Entry'!$Ö$58)</f>
      </c>
      <c r="EU58">
        <f>IF(ISBLANK('Data Entry'!$×$58), "", 'Data Entry'!$×$58)</f>
      </c>
      <c r="EV58">
        <f>IF(ISBLANK('Data Entry'!$Ø$58), "", 'Data Entry'!$Ø$58)</f>
      </c>
      <c r="EW58">
        <f>IF(ISBLANK('Data Entry'!$Ù$58), "", 'Data Entry'!$Ù$58)</f>
      </c>
      <c r="EX58">
        <f>IF(ISBLANK('Data Entry'!$Ú$58), "", 'Data Entry'!$Ú$58)</f>
      </c>
      <c r="EY58">
        <f>IF(ISBLANK('Data Entry'!$Û$58), "", 'Data Entry'!$Û$58)</f>
      </c>
      <c r="EZ58">
        <f>IF(ISBLANK('Data Entry'!$Ü$58), "", 'Data Entry'!$Ü$58)</f>
      </c>
      <c r="FA58">
        <f>IF(ISBLANK('Data Entry'!$Ý$58), "", 'Data Entry'!$Ý$58)</f>
      </c>
      <c r="FB58">
        <f>IF(ISBLANK('Data Entry'!$Þ$58), "", 'Data Entry'!$Þ$58)</f>
      </c>
      <c r="FC58">
        <f>IF(ISBLANK('Data Entry'!$ß$58), "", 'Data Entry'!$ß$58)</f>
      </c>
      <c r="FD58">
        <f>IF(ISBLANK('Data Entry'!$à$58), "", 'Data Entry'!$à$58)</f>
      </c>
      <c r="FE58">
        <f>IF(ISBLANK('Data Entry'!$á$58), "", 'Data Entry'!$á$58)</f>
      </c>
      <c r="FF58">
        <f>IF(ISBLANK('Data Entry'!$â$58), "", 'Data Entry'!$â$58)</f>
      </c>
      <c r="FG58">
        <f>IF(ISBLANK('Data Entry'!$ã$58), "", 'Data Entry'!$ã$58)</f>
      </c>
      <c r="FH58">
        <f>IF(ISBLANK('Data Entry'!$ä$58), "", 'Data Entry'!$ä$58)</f>
      </c>
      <c r="FI58">
        <f>IF(ISBLANK('Data Entry'!$å$58), "", 'Data Entry'!$å$58)</f>
      </c>
      <c r="FJ58">
        <f>IF(ISBLANK('Data Entry'!$æ$58), "", 'Data Entry'!$æ$58)</f>
      </c>
      <c r="FK58">
        <f>IF(ISBLANK('Data Entry'!$ç$58), "", 'Data Entry'!$ç$58)</f>
      </c>
      <c r="FL58">
        <f>IF(ISBLANK('Data Entry'!$è$58), "", 'Data Entry'!$è$58)</f>
      </c>
      <c r="FM58">
        <f>IF(ISBLANK('Data Entry'!$é$58), "", 'Data Entry'!$é$58)</f>
      </c>
      <c r="FN58">
        <f>IF(ISBLANK('Data Entry'!$ê$58), "", 'Data Entry'!$ê$58)</f>
      </c>
      <c r="FO58">
        <f>IF(ISBLANK('Data Entry'!$ë$58), "", 'Data Entry'!$ë$58)</f>
      </c>
      <c r="FP58">
        <f>IF(ISBLANK('Data Entry'!$ì$58), "", 'Data Entry'!$ì$58)</f>
      </c>
      <c r="FQ58">
        <f>IF(ISBLANK('Data Entry'!$í$58), "", 'Data Entry'!$í$58)</f>
      </c>
      <c r="FR58">
        <f>IF(ISBLANK('Data Entry'!$î$58), "", 'Data Entry'!$î$58)</f>
      </c>
      <c r="FS58">
        <f>IF(ISBLANK('Data Entry'!$ï$58), "", 'Data Entry'!$ï$58)</f>
      </c>
      <c r="FT58">
        <f>IF(ISBLANK('Data Entry'!$ð$58), "", 'Data Entry'!$ð$58)</f>
      </c>
      <c r="FU58">
        <f>IF(ISBLANK('Data Entry'!$ñ$58), "", 'Data Entry'!$ñ$58)</f>
      </c>
      <c r="FV58">
        <f>IF(ISBLANK('Data Entry'!$ò$58), "", 'Data Entry'!$ò$58)</f>
      </c>
      <c r="FW58">
        <f>IF(ISBLANK('Data Entry'!$ó$58), "", 'Data Entry'!$ó$58)</f>
      </c>
      <c r="FX58">
        <f>IF(ISBLANK('Data Entry'!$ô$58), "", 'Data Entry'!$ô$58)</f>
      </c>
      <c r="FY58">
        <f>IF(ISBLANK('Data Entry'!$õ$58), "", 'Data Entry'!$õ$58)</f>
      </c>
      <c r="FZ58">
        <f>IF(ISBLANK('Data Entry'!$ö$58), "", 'Data Entry'!$ö$58)</f>
      </c>
      <c r="GA58">
        <f>IF(ISBLANK('Data Entry'!$÷$58), "", 'Data Entry'!$÷$58)</f>
      </c>
      <c r="GB58">
        <f>IF(ISBLANK('Data Entry'!$ø$58), "", 'Data Entry'!$ø$58)</f>
      </c>
      <c r="GC58">
        <f>IF(ISBLANK('Data Entry'!$ù$58), "", 'Data Entry'!$ù$58)</f>
      </c>
      <c r="GD58">
        <f>IF(ISBLANK('Data Entry'!$ú$58), "", 'Data Entry'!$ú$58)</f>
      </c>
      <c r="GE58">
        <f>IF(ISBLANK('Data Entry'!$û$58), "", 'Data Entry'!$û$58)</f>
      </c>
      <c r="GF58">
        <f>IF(ISBLANK('Data Entry'!$ü$58), "", 'Data Entry'!$ü$58)</f>
      </c>
      <c r="GG58">
        <f>IF(ISBLANK('Data Entry'!$ý$58), "", 'Data Entry'!$ý$58)</f>
      </c>
      <c r="GH58">
        <f>IF(ISBLANK('Data Entry'!$þ$58), "", 'Data Entry'!$þ$58)</f>
      </c>
      <c r="GI58">
        <f>IF(ISBLANK('Data Entry'!$ÿ$58), "", 'Data Entry'!$ÿ$58)</f>
      </c>
      <c r="GJ58">
        <f>IF(ISBLANK('Data Entry'!$Ā$58), "", 'Data Entry'!$Ā$58)</f>
      </c>
      <c r="GK58">
        <f>IF(ISBLANK('Data Entry'!$ā$58), "", 'Data Entry'!$ā$58)</f>
      </c>
      <c r="GL58">
        <f>IF(ISBLANK('Data Entry'!$Ă$58), "", 'Data Entry'!$Ă$58)</f>
      </c>
      <c r="GM58">
        <f>IF(ISBLANK('Data Entry'!$ă$58), "", 'Data Entry'!$ă$58)</f>
      </c>
      <c r="GN58">
        <f>IF(ISBLANK('Data Entry'!$Ą$58), "", 'Data Entry'!$Ą$58)</f>
      </c>
      <c r="GO58">
        <f>IF(ISBLANK('Data Entry'!$ą$58), "", 'Data Entry'!$ą$58)</f>
      </c>
      <c r="GP58">
        <f>IF(ISBLANK('Data Entry'!$Ć$58), "", 'Data Entry'!$Ć$58)</f>
      </c>
      <c r="GQ58">
        <f>IF(ISBLANK('Data Entry'!$ć$58), "", 'Data Entry'!$ć$58)</f>
      </c>
      <c r="GR58">
        <f>IF(ISBLANK('Data Entry'!$Ĉ$58), "", 'Data Entry'!$Ĉ$58)</f>
      </c>
      <c r="GS58">
        <f>IF(ISBLANK('Data Entry'!$ĉ$58), "", 'Data Entry'!$ĉ$58)</f>
      </c>
      <c r="GT58">
        <f>IF(ISBLANK('Data Entry'!$Ċ$58), "", 'Data Entry'!$Ċ$58)</f>
      </c>
      <c r="GU58">
        <f>IF(ISBLANK('Data Entry'!$ċ$58), "", 'Data Entry'!$ċ$58)</f>
      </c>
      <c r="GV58">
        <f>IF(ISBLANK('Data Entry'!$Č$58), "", 'Data Entry'!$Č$58)</f>
      </c>
      <c r="GW58">
        <f>IF(ISBLANK('Data Entry'!$č$58), "", 'Data Entry'!$č$58)</f>
      </c>
      <c r="GX58">
        <f>IF(ISBLANK('Data Entry'!$Ď$58), "", 'Data Entry'!$Ď$58)</f>
      </c>
      <c r="GY58">
        <f>IF(ISBLANK('Data Entry'!$ď$58), "", 'Data Entry'!$ď$58)</f>
      </c>
      <c r="GZ58">
        <f>IF(ISBLANK('Data Entry'!$Đ$58), "", 'Data Entry'!$Đ$58)</f>
      </c>
      <c r="HA58">
        <f>IF(ISBLANK('Data Entry'!$đ$58), "", 'Data Entry'!$đ$58)</f>
      </c>
      <c r="HB58">
        <f>IF(ISBLANK('Data Entry'!$Ē$58), "", 'Data Entry'!$Ē$58)</f>
      </c>
      <c r="HC58">
        <f>IF(ISBLANK('Data Entry'!$ē$58), "", 'Data Entry'!$ē$58)</f>
      </c>
      <c r="HD58">
        <f>IF(ISBLANK('Data Entry'!$Ĕ$58), "", 'Data Entry'!$Ĕ$58)</f>
      </c>
      <c r="HE58">
        <f>IF(ISBLANK('Data Entry'!$ĕ$58), "", 'Data Entry'!$ĕ$58)</f>
      </c>
      <c r="HF58">
        <f>IF(ISBLANK('Data Entry'!$Ė$58), "", 'Data Entry'!$Ė$58)</f>
      </c>
      <c r="HG58">
        <f>IF(ISBLANK('Data Entry'!$ė$58), "", 'Data Entry'!$ė$58)</f>
      </c>
      <c r="HH58">
        <f>IF(ISBLANK('Data Entry'!$Ę$58), "", 'Data Entry'!$Ę$58)</f>
      </c>
      <c r="HI58">
        <f>IF(ISBLANK('Data Entry'!$ę$58), "", 'Data Entry'!$ę$58)</f>
      </c>
      <c r="HJ58">
        <f>IF(ISBLANK('Data Entry'!$Ě$58), "", 'Data Entry'!$Ě$58)</f>
      </c>
      <c r="HK58">
        <f>IF(ISBLANK('Data Entry'!$ě$58), "", 'Data Entry'!$ě$58)</f>
      </c>
      <c r="HL58">
        <f>IF(ISBLANK('Data Entry'!$Ĝ$58), "", 'Data Entry'!$Ĝ$58)</f>
      </c>
      <c r="HM58">
        <f>IF(ISBLANK('Data Entry'!$ĝ$58), "", 'Data Entry'!$ĝ$58)</f>
      </c>
      <c r="HN58">
        <f>IF(ISBLANK('Data Entry'!$Ğ$58), "", 'Data Entry'!$Ğ$58)</f>
      </c>
      <c r="HO58">
        <f>IF(ISBLANK('Data Entry'!$ğ$58), "", 'Data Entry'!$ğ$58)</f>
      </c>
      <c r="HP58">
        <f>IF(ISBLANK('Data Entry'!$Ġ$58), "", 'Data Entry'!$Ġ$58)</f>
      </c>
      <c r="HQ58">
        <f>IF(ISBLANK('Data Entry'!$ġ$58), "", 'Data Entry'!$ġ$58)</f>
      </c>
      <c r="HR58">
        <f>IF(ISBLANK('Data Entry'!$Ģ$58), "", 'Data Entry'!$Ģ$58)</f>
      </c>
      <c r="HS58">
        <f>IF(ISBLANK('Data Entry'!$ģ$58), "", 'Data Entry'!$ģ$58)</f>
      </c>
      <c r="HT58">
        <f>IF(ISBLANK('Data Entry'!$Ĥ$58), "", 'Data Entry'!$Ĥ$58)</f>
      </c>
      <c r="HU58">
        <f>IF(ISBLANK('Data Entry'!$ĥ$58), "", 'Data Entry'!$ĥ$58)</f>
      </c>
      <c r="HV58">
        <f>IF(ISBLANK('Data Entry'!$Ħ$58), "", 'Data Entry'!$Ħ$58)</f>
      </c>
      <c r="HW58">
        <f>IF(ISBLANK('Data Entry'!$ħ$58), "", 'Data Entry'!$ħ$58)</f>
      </c>
      <c r="HX58">
        <f>IF(ISBLANK('Data Entry'!$Ĩ$58), "", 'Data Entry'!$Ĩ$58)</f>
      </c>
      <c r="HY58">
        <f>IF(ISBLANK('Data Entry'!$ĩ$58), "", 'Data Entry'!$ĩ$58)</f>
      </c>
      <c r="HZ58">
        <f>IF(ISBLANK('Data Entry'!$Ī$58), "", 'Data Entry'!$Ī$58)</f>
      </c>
      <c r="IA58">
        <f>IF(ISBLANK('Data Entry'!$ī$58), "", 'Data Entry'!$ī$58)</f>
      </c>
      <c r="IB58">
        <f>IF(ISBLANK('Data Entry'!$Ĭ$58), "", 'Data Entry'!$Ĭ$58)</f>
      </c>
      <c r="IC58">
        <f>IF(ISBLANK('Data Entry'!$ĭ$58), "", 'Data Entry'!$ĭ$58)</f>
      </c>
      <c r="ID58">
        <f>IF(ISBLANK('Data Entry'!$Į$58), "", 'Data Entry'!$Į$58)</f>
      </c>
      <c r="IE58">
        <f>IF(ISBLANK('Data Entry'!$į$58), "", 'Data Entry'!$į$58)</f>
      </c>
      <c r="IF58">
        <f>IF(ISBLANK('Data Entry'!$İ$58), "", 'Data Entry'!$İ$58)</f>
      </c>
      <c r="IG58">
        <f>IF(ISBLANK('Data Entry'!$ı$58), "", 'Data Entry'!$ı$58)</f>
      </c>
      <c r="IH58">
        <f>IF(ISBLANK('Data Entry'!$Ĳ$58), "", 'Data Entry'!$Ĳ$58)</f>
      </c>
      <c r="II58">
        <f>IF(ISBLANK('Data Entry'!$ĳ$58), "", 'Data Entry'!$ĳ$58)</f>
      </c>
      <c r="IJ58">
        <f>IF(ISBLANK('Data Entry'!$Ĵ$58), "", 'Data Entry'!$Ĵ$58)</f>
      </c>
      <c r="IK58">
        <f>IF(ISBLANK('Data Entry'!$ĵ$58), "", 'Data Entry'!$ĵ$58)</f>
      </c>
      <c r="IL58">
        <f>IF(ISBLANK('Data Entry'!$Ķ$58), "", 'Data Entry'!$Ķ$58)</f>
      </c>
      <c r="IM58">
        <f>IF(ISBLANK('Data Entry'!$ķ$58), "", 'Data Entry'!$ķ$58)</f>
      </c>
      <c r="IN58">
        <f>IF(ISBLANK('Data Entry'!$ĸ$58), "", 'Data Entry'!$ĸ$58)</f>
      </c>
      <c r="IO58">
        <f>IF(ISBLANK('Data Entry'!$Ĺ$58), "", 'Data Entry'!$Ĺ$58)</f>
      </c>
      <c r="IP58">
        <f>IF(ISBLANK('Data Entry'!$ĺ$58), "", 'Data Entry'!$ĺ$58)</f>
      </c>
      <c r="IQ58">
        <f>IF(ISBLANK('Data Entry'!$Ļ$58), "", 'Data Entry'!$Ļ$58)</f>
      </c>
      <c r="IR58">
        <f>IF(ISBLANK('Data Entry'!$ļ$58), "", 'Data Entry'!$ļ$58)</f>
      </c>
      <c r="IS58">
        <f>IF(ISBLANK('Data Entry'!$Ľ$58), "", 'Data Entry'!$Ľ$58)</f>
      </c>
      <c r="IT58">
        <f>IF(ISBLANK('Data Entry'!$ľ$58), "", 'Data Entry'!$ľ$58)</f>
      </c>
    </row>
    <row r="59" spans="1:254" x14ac:dyDescent="0.25">
      <c r="A59">
        <f>IF(ISBLANK('Data Entry'!$A$59), "", 'Data Entry'!$A$59)</f>
      </c>
      <c r="B59">
        <f>IF(ISBLANK('Data Entry'!$B$59), "", 'Data Entry'!$B$59)</f>
      </c>
      <c r="C59">
        <f>IF(ISBLANK('Data Entry'!$C$59), "", 'Data Entry'!$C$59)</f>
      </c>
      <c r="D59">
        <f>IF(ISBLANK('Data Entry'!$D$59), "", 'Data Entry'!$D$59)</f>
      </c>
      <c r="E59">
        <f>IF(ISBLANK('Data Entry'!$E$59), "", 'Data Entry'!$E$59)</f>
      </c>
      <c r="F59">
        <f>IF(ISBLANK('Data Entry'!$F$59), "", 'Data Entry'!$F$59)</f>
      </c>
      <c r="G59">
        <f>IF(ISBLANK('Data Entry'!$G$59), "", 'Data Entry'!$G$59)</f>
      </c>
      <c r="H59">
        <f>IF(ISBLANK('Data Entry'!$H$59), "", 'Data Entry'!$H$59)</f>
      </c>
      <c r="I59">
        <f>IF(ISBLANK('Data Entry'!$I$59), "", 'Data Entry'!$I$59)</f>
      </c>
      <c r="J59">
        <f>IF(ISBLANK('Data Entry'!$J$59), "", 'Data Entry'!$J$59)</f>
      </c>
      <c r="K59">
        <f>IF(ISBLANK('Data Entry'!$K$59), "", 'Data Entry'!$K$59)</f>
      </c>
      <c r="L59">
        <f>IF(ISBLANK('Data Entry'!$L$59), "", 'Data Entry'!$L$59)</f>
      </c>
      <c r="M59">
        <f>IF(ISBLANK('Data Entry'!$M$59), "", 'Data Entry'!$M$59)</f>
      </c>
      <c r="N59">
        <f>IF(ISBLANK('Data Entry'!$N$59), "", 'Data Entry'!$N$59)</f>
      </c>
      <c r="O59">
        <f>IF(ISBLANK('Data Entry'!$O$59), "", 'Data Entry'!$O$59)</f>
      </c>
      <c r="P59">
        <f>IF(ISBLANK('Data Entry'!$P$59), "", 'Data Entry'!$P$59)</f>
      </c>
      <c r="Q59">
        <f>IF(ISBLANK('Data Entry'!$Q$59), "", 'Data Entry'!$Q$59)</f>
      </c>
      <c r="R59">
        <f>IF(ISBLANK('Data Entry'!$R$59), "", 'Data Entry'!$R$59)</f>
      </c>
      <c r="S59">
        <f>IF(ISBLANK('Data Entry'!$S$59), "", 'Data Entry'!$S$59)</f>
      </c>
      <c r="T59">
        <f>IF(ISBLANK('Data Entry'!$T$59), "", 'Data Entry'!$T$59)</f>
      </c>
      <c r="U59">
        <f>IF(ISBLANK('Data Entry'!$U$59), "", 'Data Entry'!$U$59)</f>
      </c>
      <c r="V59">
        <f>IF(ISBLANK('Data Entry'!$V$59), "", 'Data Entry'!$V$59)</f>
      </c>
      <c r="W59">
        <f>IF(ISBLANK('Data Entry'!$W$59), "", 'Data Entry'!$W$59)</f>
      </c>
      <c r="X59">
        <f>IF(ISBLANK('Data Entry'!$X$59), "", 'Data Entry'!$X$59)</f>
      </c>
      <c r="Y59">
        <f>IF(ISBLANK('Data Entry'!$Y$59), "", 'Data Entry'!$Y$59)</f>
      </c>
      <c r="Z59">
        <f>IF(ISBLANK('Data Entry'!$Z$59), "", 'Data Entry'!$Z$59)</f>
      </c>
      <c r="AA59">
        <f>IF(ISBLANK('Data Entry'!$[$59), "", 'Data Entry'!$[$59)</f>
      </c>
      <c r="AB59">
        <f>IF(ISBLANK('Data Entry'!$\$59), "", 'Data Entry'!$\$59)</f>
      </c>
      <c r="AC59">
        <f>IF(ISBLANK('Data Entry'!$]$59), "", 'Data Entry'!$]$59)</f>
      </c>
      <c r="AD59">
        <f>IF(ISBLANK('Data Entry'!$^$59), "", 'Data Entry'!$^$59)</f>
      </c>
      <c r="AE59">
        <f>IF(ISBLANK('Data Entry'!$_$59), "", 'Data Entry'!$_$59)</f>
      </c>
      <c r="AF59">
        <f>IF(ISBLANK('Data Entry'!$`$59), "", 'Data Entry'!$`$59)</f>
      </c>
      <c r="AG59">
        <f>IF(ISBLANK('Data Entry'!$a$59), "", 'Data Entry'!$a$59)</f>
      </c>
      <c r="AH59">
        <f>IF(ISBLANK('Data Entry'!$b$59), "", 'Data Entry'!$b$59)</f>
      </c>
      <c r="AI59">
        <f>IF(ISBLANK('Data Entry'!$c$59), "", 'Data Entry'!$c$59)</f>
      </c>
      <c r="AJ59">
        <f>IF(ISBLANK('Data Entry'!$d$59), "", 'Data Entry'!$d$59)</f>
      </c>
      <c r="AK59">
        <f>IF(ISBLANK('Data Entry'!$e$59), "", 'Data Entry'!$e$59)</f>
      </c>
      <c r="AL59">
        <f>IF(ISBLANK('Data Entry'!$f$59), "", 'Data Entry'!$f$59)</f>
      </c>
      <c r="AM59">
        <f>IF(ISBLANK('Data Entry'!$g$59), "", 'Data Entry'!$g$59)</f>
      </c>
      <c r="AN59">
        <f>IF(ISBLANK('Data Entry'!$h$59), "", 'Data Entry'!$h$59)</f>
      </c>
      <c r="AO59">
        <f>IF(ISBLANK('Data Entry'!$i$59), "", 'Data Entry'!$i$59)</f>
      </c>
      <c r="AP59">
        <f>IF(ISBLANK('Data Entry'!$j$59), "", 'Data Entry'!$j$59)</f>
      </c>
      <c r="AQ59">
        <f>IF(ISBLANK('Data Entry'!$k$59), "", 'Data Entry'!$k$59)</f>
      </c>
      <c r="AR59">
        <f>IF(ISBLANK('Data Entry'!$l$59), "", 'Data Entry'!$l$59)</f>
      </c>
      <c r="AS59">
        <f>IF(ISBLANK('Data Entry'!$m$59), "", 'Data Entry'!$m$59)</f>
      </c>
      <c r="AT59">
        <f>IF(ISBLANK('Data Entry'!$n$59), "", 'Data Entry'!$n$59)</f>
      </c>
      <c r="AU59">
        <f>IF(ISBLANK('Data Entry'!$o$59), "", 'Data Entry'!$o$59)</f>
      </c>
      <c r="AV59">
        <f>IF(ISBLANK('Data Entry'!$p$59), "", 'Data Entry'!$p$59)</f>
      </c>
      <c r="AW59">
        <f>IF(ISBLANK('Data Entry'!$q$59), "", 'Data Entry'!$q$59)</f>
      </c>
      <c r="AX59">
        <f>IF(ISBLANK('Data Entry'!$r$59), "", 'Data Entry'!$r$59)</f>
      </c>
      <c r="AY59">
        <f>IF(ISBLANK('Data Entry'!$s$59), "", 'Data Entry'!$s$59)</f>
      </c>
      <c r="AZ59">
        <f>IF(ISBLANK('Data Entry'!$t$59), "", 'Data Entry'!$t$59)</f>
      </c>
      <c r="BA59">
        <f>IF(ISBLANK('Data Entry'!$u$59), "", 'Data Entry'!$u$59)</f>
      </c>
      <c r="BB59">
        <f>IF(ISBLANK('Data Entry'!$v$59), "", 'Data Entry'!$v$59)</f>
      </c>
      <c r="BC59">
        <f>IF(ISBLANK('Data Entry'!$w$59), "", 'Data Entry'!$w$59)</f>
      </c>
      <c r="BD59">
        <f>IF(ISBLANK('Data Entry'!$x$59), "", 'Data Entry'!$x$59)</f>
      </c>
      <c r="BE59">
        <f>IF(ISBLANK('Data Entry'!$y$59), "", 'Data Entry'!$y$59)</f>
      </c>
      <c r="BF59">
        <f>IF(ISBLANK('Data Entry'!$z$59), "", 'Data Entry'!$z$59)</f>
      </c>
      <c r="BG59">
        <f>IF(ISBLANK('Data Entry'!${$59), "", 'Data Entry'!${$59)</f>
      </c>
      <c r="BH59">
        <f>IF(ISBLANK('Data Entry'!$|$59), "", 'Data Entry'!$|$59)</f>
      </c>
      <c r="BI59">
        <f>IF(ISBLANK('Data Entry'!$}$59), "", 'Data Entry'!$}$59)</f>
      </c>
      <c r="BJ59">
        <f>IF(ISBLANK('Data Entry'!$~$59), "", 'Data Entry'!$~$59)</f>
      </c>
      <c r="BK59">
        <f>IF(ISBLANK('Data Entry'!$$59), "", 'Data Entry'!$$59)</f>
      </c>
      <c r="BL59">
        <f>IF(ISBLANK('Data Entry'!$$59), "", 'Data Entry'!$$59)</f>
      </c>
      <c r="BM59">
        <f>IF(ISBLANK('Data Entry'!$$59), "", 'Data Entry'!$$59)</f>
      </c>
      <c r="BN59">
        <f>IF(ISBLANK('Data Entry'!$$59), "", 'Data Entry'!$$59)</f>
      </c>
      <c r="BO59">
        <f>IF(ISBLANK('Data Entry'!$$59), "", 'Data Entry'!$$59)</f>
      </c>
      <c r="BP59">
        <f>IF(ISBLANK('Data Entry'!$$59), "", 'Data Entry'!$$59)</f>
      </c>
      <c r="BQ59">
        <f>IF(ISBLANK('Data Entry'!$$59), "", 'Data Entry'!$$59)</f>
      </c>
      <c r="BR59">
        <f>IF(ISBLANK('Data Entry'!$$59), "", 'Data Entry'!$$59)</f>
      </c>
      <c r="BS59">
        <f>IF(ISBLANK('Data Entry'!$$59), "", 'Data Entry'!$$59)</f>
      </c>
      <c r="BT59">
        <f>IF(ISBLANK('Data Entry'!$$59), "", 'Data Entry'!$$59)</f>
      </c>
      <c r="BU59">
        <f>IF(ISBLANK('Data Entry'!$$59), "", 'Data Entry'!$$59)</f>
      </c>
      <c r="BV59">
        <f>IF(ISBLANK('Data Entry'!$$59), "", 'Data Entry'!$$59)</f>
      </c>
      <c r="BW59">
        <f>IF(ISBLANK('Data Entry'!$$59), "", 'Data Entry'!$$59)</f>
      </c>
      <c r="BX59">
        <f>IF(ISBLANK('Data Entry'!$$59), "", 'Data Entry'!$$59)</f>
      </c>
      <c r="BY59">
        <f>IF(ISBLANK('Data Entry'!$$59), "", 'Data Entry'!$$59)</f>
      </c>
      <c r="BZ59">
        <f>IF(ISBLANK('Data Entry'!$$59), "", 'Data Entry'!$$59)</f>
      </c>
      <c r="CA59">
        <f>IF(ISBLANK('Data Entry'!$$59), "", 'Data Entry'!$$59)</f>
      </c>
      <c r="CB59">
        <f>IF(ISBLANK('Data Entry'!$$59), "", 'Data Entry'!$$59)</f>
      </c>
      <c r="CC59">
        <f>IF(ISBLANK('Data Entry'!$$59), "", 'Data Entry'!$$59)</f>
      </c>
      <c r="CD59">
        <f>IF(ISBLANK('Data Entry'!$$59), "", 'Data Entry'!$$59)</f>
      </c>
      <c r="CE59">
        <f>IF(ISBLANK('Data Entry'!$$59), "", 'Data Entry'!$$59)</f>
      </c>
      <c r="CF59">
        <f>IF(ISBLANK('Data Entry'!$$59), "", 'Data Entry'!$$59)</f>
      </c>
      <c r="CG59">
        <f>IF(ISBLANK('Data Entry'!$$59), "", 'Data Entry'!$$59)</f>
      </c>
      <c r="CH59">
        <f>IF(ISBLANK('Data Entry'!$$59), "", 'Data Entry'!$$59)</f>
      </c>
      <c r="CI59">
        <f>IF(ISBLANK('Data Entry'!$$59), "", 'Data Entry'!$$59)</f>
      </c>
      <c r="CJ59">
        <f>IF(ISBLANK('Data Entry'!$$59), "", 'Data Entry'!$$59)</f>
      </c>
      <c r="CK59">
        <f>IF(ISBLANK('Data Entry'!$$59), "", 'Data Entry'!$$59)</f>
      </c>
      <c r="CL59">
        <f>IF(ISBLANK('Data Entry'!$$59), "", 'Data Entry'!$$59)</f>
      </c>
      <c r="CM59">
        <f>IF(ISBLANK('Data Entry'!$$59), "", 'Data Entry'!$$59)</f>
      </c>
      <c r="CN59">
        <f>IF(ISBLANK('Data Entry'!$$59), "", 'Data Entry'!$$59)</f>
      </c>
      <c r="CO59">
        <f>IF(ISBLANK('Data Entry'!$$59), "", 'Data Entry'!$$59)</f>
      </c>
      <c r="CP59">
        <f>IF(ISBLANK('Data Entry'!$$59), "", 'Data Entry'!$$59)</f>
      </c>
      <c r="CQ59">
        <f>IF(ISBLANK('Data Entry'!$$59), "", 'Data Entry'!$$59)</f>
      </c>
      <c r="CR59">
        <f>IF(ISBLANK('Data Entry'!$ $59), "", 'Data Entry'!$ $59)</f>
      </c>
      <c r="CS59">
        <f>IF(ISBLANK('Data Entry'!$¡$59), "", 'Data Entry'!$¡$59)</f>
      </c>
      <c r="CT59">
        <f>IF(ISBLANK('Data Entry'!$¢$59), "", 'Data Entry'!$¢$59)</f>
      </c>
      <c r="CU59">
        <f>IF(ISBLANK('Data Entry'!$£$59), "", 'Data Entry'!$£$59)</f>
      </c>
      <c r="CV59">
        <f>IF(ISBLANK('Data Entry'!$¤$59), "", 'Data Entry'!$¤$59)</f>
      </c>
      <c r="CW59">
        <f>IF(ISBLANK('Data Entry'!$¥$59), "", 'Data Entry'!$¥$59)</f>
      </c>
      <c r="CX59">
        <f>IF(ISBLANK('Data Entry'!$¦$59), "", 'Data Entry'!$¦$59)</f>
      </c>
      <c r="CY59">
        <f>IF(ISBLANK('Data Entry'!$§$59), "", 'Data Entry'!$§$59)</f>
      </c>
      <c r="CZ59">
        <f>IF(ISBLANK('Data Entry'!$¨$59), "", 'Data Entry'!$¨$59)</f>
      </c>
      <c r="DA59">
        <f>IF(ISBLANK('Data Entry'!$©$59), "", 'Data Entry'!$©$59)</f>
      </c>
      <c r="DB59">
        <f>IF(ISBLANK('Data Entry'!$ª$59), "", 'Data Entry'!$ª$59)</f>
      </c>
      <c r="DC59">
        <f>IF(ISBLANK('Data Entry'!$«$59), "", 'Data Entry'!$«$59)</f>
      </c>
      <c r="DD59">
        <f>IF(ISBLANK('Data Entry'!$¬$59), "", 'Data Entry'!$¬$59)</f>
      </c>
      <c r="DE59">
        <f>IF(ISBLANK('Data Entry'!$­$59), "", 'Data Entry'!$­$59)</f>
      </c>
      <c r="DF59">
        <f>IF(ISBLANK('Data Entry'!$®$59), "", 'Data Entry'!$®$59)</f>
      </c>
      <c r="DG59">
        <f>IF(ISBLANK('Data Entry'!$¯$59), "", 'Data Entry'!$¯$59)</f>
      </c>
      <c r="DH59">
        <f>IF(ISBLANK('Data Entry'!$°$59), "", 'Data Entry'!$°$59)</f>
      </c>
      <c r="DI59">
        <f>IF(ISBLANK('Data Entry'!$±$59), "", 'Data Entry'!$±$59)</f>
      </c>
      <c r="DJ59">
        <f>IF(ISBLANK('Data Entry'!$²$59), "", 'Data Entry'!$²$59)</f>
      </c>
      <c r="DK59">
        <f>IF(ISBLANK('Data Entry'!$³$59), "", 'Data Entry'!$³$59)</f>
      </c>
      <c r="DL59">
        <f>IF(ISBLANK('Data Entry'!$´$59), "", 'Data Entry'!$´$59)</f>
      </c>
      <c r="DM59">
        <f>IF(ISBLANK('Data Entry'!$µ$59), "", 'Data Entry'!$µ$59)</f>
      </c>
      <c r="DN59">
        <f>IF(ISBLANK('Data Entry'!$¶$59), "", 'Data Entry'!$¶$59)</f>
      </c>
      <c r="DO59">
        <f>IF(ISBLANK('Data Entry'!$·$59), "", 'Data Entry'!$·$59)</f>
      </c>
      <c r="DP59">
        <f>IF(ISBLANK('Data Entry'!$¸$59), "", 'Data Entry'!$¸$59)</f>
      </c>
      <c r="DQ59">
        <f>IF(ISBLANK('Data Entry'!$¹$59), "", 'Data Entry'!$¹$59)</f>
      </c>
      <c r="DR59">
        <f>IF(ISBLANK('Data Entry'!$º$59), "", 'Data Entry'!$º$59)</f>
      </c>
      <c r="DS59">
        <f>IF(ISBLANK('Data Entry'!$»$59), "", 'Data Entry'!$»$59)</f>
      </c>
      <c r="DT59">
        <f>IF(ISBLANK('Data Entry'!$¼$59), "", 'Data Entry'!$¼$59)</f>
      </c>
      <c r="DU59">
        <f>IF(ISBLANK('Data Entry'!$½$59), "", 'Data Entry'!$½$59)</f>
      </c>
      <c r="DV59">
        <f>IF(ISBLANK('Data Entry'!$¾$59), "", 'Data Entry'!$¾$59)</f>
      </c>
      <c r="DW59">
        <f>IF(ISBLANK('Data Entry'!$¿$59), "", 'Data Entry'!$¿$59)</f>
      </c>
      <c r="DX59">
        <f>IF(ISBLANK('Data Entry'!$À$59), "", 'Data Entry'!$À$59)</f>
      </c>
      <c r="DY59">
        <f>IF(ISBLANK('Data Entry'!$Á$59), "", 'Data Entry'!$Á$59)</f>
      </c>
      <c r="DZ59">
        <f>IF(ISBLANK('Data Entry'!$Â$59), "", 'Data Entry'!$Â$59)</f>
      </c>
      <c r="EA59">
        <f>IF(ISBLANK('Data Entry'!$Ã$59), "", 'Data Entry'!$Ã$59)</f>
      </c>
      <c r="EB59">
        <f>IF(ISBLANK('Data Entry'!$Ä$59), "", 'Data Entry'!$Ä$59)</f>
      </c>
      <c r="EC59">
        <f>IF(ISBLANK('Data Entry'!$Å$59), "", 'Data Entry'!$Å$59)</f>
      </c>
      <c r="ED59">
        <f>IF(ISBLANK('Data Entry'!$Æ$59), "", 'Data Entry'!$Æ$59)</f>
      </c>
      <c r="EE59">
        <f>IF(ISBLANK('Data Entry'!$Ç$59), "", 'Data Entry'!$Ç$59)</f>
      </c>
      <c r="EF59">
        <f>IF(ISBLANK('Data Entry'!$È$59), "", 'Data Entry'!$È$59)</f>
      </c>
      <c r="EG59">
        <f>IF(ISBLANK('Data Entry'!$É$59), "", 'Data Entry'!$É$59)</f>
      </c>
      <c r="EH59">
        <f>IF(ISBLANK('Data Entry'!$Ê$59), "", 'Data Entry'!$Ê$59)</f>
      </c>
      <c r="EI59">
        <f>IF(ISBLANK('Data Entry'!$Ë$59), "", 'Data Entry'!$Ë$59)</f>
      </c>
      <c r="EJ59">
        <f>IF(ISBLANK('Data Entry'!$Ì$59), "", 'Data Entry'!$Ì$59)</f>
      </c>
      <c r="EK59">
        <f>IF(ISBLANK('Data Entry'!$Í$59), "", 'Data Entry'!$Í$59)</f>
      </c>
      <c r="EL59">
        <f>IF(ISBLANK('Data Entry'!$Î$59), "", 'Data Entry'!$Î$59)</f>
      </c>
      <c r="EM59">
        <f>IF(ISBLANK('Data Entry'!$Ï$59), "", 'Data Entry'!$Ï$59)</f>
      </c>
      <c r="EN59">
        <f>IF(ISBLANK('Data Entry'!$Ð$59), "", 'Data Entry'!$Ð$59)</f>
      </c>
      <c r="EO59">
        <f>IF(ISBLANK('Data Entry'!$Ñ$59), "", 'Data Entry'!$Ñ$59)</f>
      </c>
      <c r="EP59">
        <f>IF(ISBLANK('Data Entry'!$Ò$59), "", 'Data Entry'!$Ò$59)</f>
      </c>
      <c r="EQ59">
        <f>IF(ISBLANK('Data Entry'!$Ó$59), "", 'Data Entry'!$Ó$59)</f>
      </c>
      <c r="ER59">
        <f>IF(ISBLANK('Data Entry'!$Ô$59), "", 'Data Entry'!$Ô$59)</f>
      </c>
      <c r="ES59">
        <f>IF(ISBLANK('Data Entry'!$Õ$59), "", 'Data Entry'!$Õ$59)</f>
      </c>
      <c r="ET59">
        <f>IF(ISBLANK('Data Entry'!$Ö$59), "", 'Data Entry'!$Ö$59)</f>
      </c>
      <c r="EU59">
        <f>IF(ISBLANK('Data Entry'!$×$59), "", 'Data Entry'!$×$59)</f>
      </c>
      <c r="EV59">
        <f>IF(ISBLANK('Data Entry'!$Ø$59), "", 'Data Entry'!$Ø$59)</f>
      </c>
      <c r="EW59">
        <f>IF(ISBLANK('Data Entry'!$Ù$59), "", 'Data Entry'!$Ù$59)</f>
      </c>
      <c r="EX59">
        <f>IF(ISBLANK('Data Entry'!$Ú$59), "", 'Data Entry'!$Ú$59)</f>
      </c>
      <c r="EY59">
        <f>IF(ISBLANK('Data Entry'!$Û$59), "", 'Data Entry'!$Û$59)</f>
      </c>
      <c r="EZ59">
        <f>IF(ISBLANK('Data Entry'!$Ü$59), "", 'Data Entry'!$Ü$59)</f>
      </c>
      <c r="FA59">
        <f>IF(ISBLANK('Data Entry'!$Ý$59), "", 'Data Entry'!$Ý$59)</f>
      </c>
      <c r="FB59">
        <f>IF(ISBLANK('Data Entry'!$Þ$59), "", 'Data Entry'!$Þ$59)</f>
      </c>
      <c r="FC59">
        <f>IF(ISBLANK('Data Entry'!$ß$59), "", 'Data Entry'!$ß$59)</f>
      </c>
      <c r="FD59">
        <f>IF(ISBLANK('Data Entry'!$à$59), "", 'Data Entry'!$à$59)</f>
      </c>
      <c r="FE59">
        <f>IF(ISBLANK('Data Entry'!$á$59), "", 'Data Entry'!$á$59)</f>
      </c>
      <c r="FF59">
        <f>IF(ISBLANK('Data Entry'!$â$59), "", 'Data Entry'!$â$59)</f>
      </c>
      <c r="FG59">
        <f>IF(ISBLANK('Data Entry'!$ã$59), "", 'Data Entry'!$ã$59)</f>
      </c>
      <c r="FH59">
        <f>IF(ISBLANK('Data Entry'!$ä$59), "", 'Data Entry'!$ä$59)</f>
      </c>
      <c r="FI59">
        <f>IF(ISBLANK('Data Entry'!$å$59), "", 'Data Entry'!$å$59)</f>
      </c>
      <c r="FJ59">
        <f>IF(ISBLANK('Data Entry'!$æ$59), "", 'Data Entry'!$æ$59)</f>
      </c>
      <c r="FK59">
        <f>IF(ISBLANK('Data Entry'!$ç$59), "", 'Data Entry'!$ç$59)</f>
      </c>
      <c r="FL59">
        <f>IF(ISBLANK('Data Entry'!$è$59), "", 'Data Entry'!$è$59)</f>
      </c>
      <c r="FM59">
        <f>IF(ISBLANK('Data Entry'!$é$59), "", 'Data Entry'!$é$59)</f>
      </c>
      <c r="FN59">
        <f>IF(ISBLANK('Data Entry'!$ê$59), "", 'Data Entry'!$ê$59)</f>
      </c>
      <c r="FO59">
        <f>IF(ISBLANK('Data Entry'!$ë$59), "", 'Data Entry'!$ë$59)</f>
      </c>
      <c r="FP59">
        <f>IF(ISBLANK('Data Entry'!$ì$59), "", 'Data Entry'!$ì$59)</f>
      </c>
      <c r="FQ59">
        <f>IF(ISBLANK('Data Entry'!$í$59), "", 'Data Entry'!$í$59)</f>
      </c>
      <c r="FR59">
        <f>IF(ISBLANK('Data Entry'!$î$59), "", 'Data Entry'!$î$59)</f>
      </c>
      <c r="FS59">
        <f>IF(ISBLANK('Data Entry'!$ï$59), "", 'Data Entry'!$ï$59)</f>
      </c>
      <c r="FT59">
        <f>IF(ISBLANK('Data Entry'!$ð$59), "", 'Data Entry'!$ð$59)</f>
      </c>
      <c r="FU59">
        <f>IF(ISBLANK('Data Entry'!$ñ$59), "", 'Data Entry'!$ñ$59)</f>
      </c>
      <c r="FV59">
        <f>IF(ISBLANK('Data Entry'!$ò$59), "", 'Data Entry'!$ò$59)</f>
      </c>
      <c r="FW59">
        <f>IF(ISBLANK('Data Entry'!$ó$59), "", 'Data Entry'!$ó$59)</f>
      </c>
      <c r="FX59">
        <f>IF(ISBLANK('Data Entry'!$ô$59), "", 'Data Entry'!$ô$59)</f>
      </c>
      <c r="FY59">
        <f>IF(ISBLANK('Data Entry'!$õ$59), "", 'Data Entry'!$õ$59)</f>
      </c>
      <c r="FZ59">
        <f>IF(ISBLANK('Data Entry'!$ö$59), "", 'Data Entry'!$ö$59)</f>
      </c>
      <c r="GA59">
        <f>IF(ISBLANK('Data Entry'!$÷$59), "", 'Data Entry'!$÷$59)</f>
      </c>
      <c r="GB59">
        <f>IF(ISBLANK('Data Entry'!$ø$59), "", 'Data Entry'!$ø$59)</f>
      </c>
      <c r="GC59">
        <f>IF(ISBLANK('Data Entry'!$ù$59), "", 'Data Entry'!$ù$59)</f>
      </c>
      <c r="GD59">
        <f>IF(ISBLANK('Data Entry'!$ú$59), "", 'Data Entry'!$ú$59)</f>
      </c>
      <c r="GE59">
        <f>IF(ISBLANK('Data Entry'!$û$59), "", 'Data Entry'!$û$59)</f>
      </c>
      <c r="GF59">
        <f>IF(ISBLANK('Data Entry'!$ü$59), "", 'Data Entry'!$ü$59)</f>
      </c>
      <c r="GG59">
        <f>IF(ISBLANK('Data Entry'!$ý$59), "", 'Data Entry'!$ý$59)</f>
      </c>
      <c r="GH59">
        <f>IF(ISBLANK('Data Entry'!$þ$59), "", 'Data Entry'!$þ$59)</f>
      </c>
      <c r="GI59">
        <f>IF(ISBLANK('Data Entry'!$ÿ$59), "", 'Data Entry'!$ÿ$59)</f>
      </c>
      <c r="GJ59">
        <f>IF(ISBLANK('Data Entry'!$Ā$59), "", 'Data Entry'!$Ā$59)</f>
      </c>
      <c r="GK59">
        <f>IF(ISBLANK('Data Entry'!$ā$59), "", 'Data Entry'!$ā$59)</f>
      </c>
      <c r="GL59">
        <f>IF(ISBLANK('Data Entry'!$Ă$59), "", 'Data Entry'!$Ă$59)</f>
      </c>
      <c r="GM59">
        <f>IF(ISBLANK('Data Entry'!$ă$59), "", 'Data Entry'!$ă$59)</f>
      </c>
      <c r="GN59">
        <f>IF(ISBLANK('Data Entry'!$Ą$59), "", 'Data Entry'!$Ą$59)</f>
      </c>
      <c r="GO59">
        <f>IF(ISBLANK('Data Entry'!$ą$59), "", 'Data Entry'!$ą$59)</f>
      </c>
      <c r="GP59">
        <f>IF(ISBLANK('Data Entry'!$Ć$59), "", 'Data Entry'!$Ć$59)</f>
      </c>
      <c r="GQ59">
        <f>IF(ISBLANK('Data Entry'!$ć$59), "", 'Data Entry'!$ć$59)</f>
      </c>
      <c r="GR59">
        <f>IF(ISBLANK('Data Entry'!$Ĉ$59), "", 'Data Entry'!$Ĉ$59)</f>
      </c>
      <c r="GS59">
        <f>IF(ISBLANK('Data Entry'!$ĉ$59), "", 'Data Entry'!$ĉ$59)</f>
      </c>
      <c r="GT59">
        <f>IF(ISBLANK('Data Entry'!$Ċ$59), "", 'Data Entry'!$Ċ$59)</f>
      </c>
      <c r="GU59">
        <f>IF(ISBLANK('Data Entry'!$ċ$59), "", 'Data Entry'!$ċ$59)</f>
      </c>
      <c r="GV59">
        <f>IF(ISBLANK('Data Entry'!$Č$59), "", 'Data Entry'!$Č$59)</f>
      </c>
      <c r="GW59">
        <f>IF(ISBLANK('Data Entry'!$č$59), "", 'Data Entry'!$č$59)</f>
      </c>
      <c r="GX59">
        <f>IF(ISBLANK('Data Entry'!$Ď$59), "", 'Data Entry'!$Ď$59)</f>
      </c>
      <c r="GY59">
        <f>IF(ISBLANK('Data Entry'!$ď$59), "", 'Data Entry'!$ď$59)</f>
      </c>
      <c r="GZ59">
        <f>IF(ISBLANK('Data Entry'!$Đ$59), "", 'Data Entry'!$Đ$59)</f>
      </c>
      <c r="HA59">
        <f>IF(ISBLANK('Data Entry'!$đ$59), "", 'Data Entry'!$đ$59)</f>
      </c>
      <c r="HB59">
        <f>IF(ISBLANK('Data Entry'!$Ē$59), "", 'Data Entry'!$Ē$59)</f>
      </c>
      <c r="HC59">
        <f>IF(ISBLANK('Data Entry'!$ē$59), "", 'Data Entry'!$ē$59)</f>
      </c>
      <c r="HD59">
        <f>IF(ISBLANK('Data Entry'!$Ĕ$59), "", 'Data Entry'!$Ĕ$59)</f>
      </c>
      <c r="HE59">
        <f>IF(ISBLANK('Data Entry'!$ĕ$59), "", 'Data Entry'!$ĕ$59)</f>
      </c>
      <c r="HF59">
        <f>IF(ISBLANK('Data Entry'!$Ė$59), "", 'Data Entry'!$Ė$59)</f>
      </c>
      <c r="HG59">
        <f>IF(ISBLANK('Data Entry'!$ė$59), "", 'Data Entry'!$ė$59)</f>
      </c>
      <c r="HH59">
        <f>IF(ISBLANK('Data Entry'!$Ę$59), "", 'Data Entry'!$Ę$59)</f>
      </c>
      <c r="HI59">
        <f>IF(ISBLANK('Data Entry'!$ę$59), "", 'Data Entry'!$ę$59)</f>
      </c>
      <c r="HJ59">
        <f>IF(ISBLANK('Data Entry'!$Ě$59), "", 'Data Entry'!$Ě$59)</f>
      </c>
      <c r="HK59">
        <f>IF(ISBLANK('Data Entry'!$ě$59), "", 'Data Entry'!$ě$59)</f>
      </c>
      <c r="HL59">
        <f>IF(ISBLANK('Data Entry'!$Ĝ$59), "", 'Data Entry'!$Ĝ$59)</f>
      </c>
      <c r="HM59">
        <f>IF(ISBLANK('Data Entry'!$ĝ$59), "", 'Data Entry'!$ĝ$59)</f>
      </c>
      <c r="HN59">
        <f>IF(ISBLANK('Data Entry'!$Ğ$59), "", 'Data Entry'!$Ğ$59)</f>
      </c>
      <c r="HO59">
        <f>IF(ISBLANK('Data Entry'!$ğ$59), "", 'Data Entry'!$ğ$59)</f>
      </c>
      <c r="HP59">
        <f>IF(ISBLANK('Data Entry'!$Ġ$59), "", 'Data Entry'!$Ġ$59)</f>
      </c>
      <c r="HQ59">
        <f>IF(ISBLANK('Data Entry'!$ġ$59), "", 'Data Entry'!$ġ$59)</f>
      </c>
      <c r="HR59">
        <f>IF(ISBLANK('Data Entry'!$Ģ$59), "", 'Data Entry'!$Ģ$59)</f>
      </c>
      <c r="HS59">
        <f>IF(ISBLANK('Data Entry'!$ģ$59), "", 'Data Entry'!$ģ$59)</f>
      </c>
      <c r="HT59">
        <f>IF(ISBLANK('Data Entry'!$Ĥ$59), "", 'Data Entry'!$Ĥ$59)</f>
      </c>
      <c r="HU59">
        <f>IF(ISBLANK('Data Entry'!$ĥ$59), "", 'Data Entry'!$ĥ$59)</f>
      </c>
      <c r="HV59">
        <f>IF(ISBLANK('Data Entry'!$Ħ$59), "", 'Data Entry'!$Ħ$59)</f>
      </c>
      <c r="HW59">
        <f>IF(ISBLANK('Data Entry'!$ħ$59), "", 'Data Entry'!$ħ$59)</f>
      </c>
      <c r="HX59">
        <f>IF(ISBLANK('Data Entry'!$Ĩ$59), "", 'Data Entry'!$Ĩ$59)</f>
      </c>
      <c r="HY59">
        <f>IF(ISBLANK('Data Entry'!$ĩ$59), "", 'Data Entry'!$ĩ$59)</f>
      </c>
      <c r="HZ59">
        <f>IF(ISBLANK('Data Entry'!$Ī$59), "", 'Data Entry'!$Ī$59)</f>
      </c>
      <c r="IA59">
        <f>IF(ISBLANK('Data Entry'!$ī$59), "", 'Data Entry'!$ī$59)</f>
      </c>
      <c r="IB59">
        <f>IF(ISBLANK('Data Entry'!$Ĭ$59), "", 'Data Entry'!$Ĭ$59)</f>
      </c>
      <c r="IC59">
        <f>IF(ISBLANK('Data Entry'!$ĭ$59), "", 'Data Entry'!$ĭ$59)</f>
      </c>
      <c r="ID59">
        <f>IF(ISBLANK('Data Entry'!$Į$59), "", 'Data Entry'!$Į$59)</f>
      </c>
      <c r="IE59">
        <f>IF(ISBLANK('Data Entry'!$į$59), "", 'Data Entry'!$į$59)</f>
      </c>
      <c r="IF59">
        <f>IF(ISBLANK('Data Entry'!$İ$59), "", 'Data Entry'!$İ$59)</f>
      </c>
      <c r="IG59">
        <f>IF(ISBLANK('Data Entry'!$ı$59), "", 'Data Entry'!$ı$59)</f>
      </c>
      <c r="IH59">
        <f>IF(ISBLANK('Data Entry'!$Ĳ$59), "", 'Data Entry'!$Ĳ$59)</f>
      </c>
      <c r="II59">
        <f>IF(ISBLANK('Data Entry'!$ĳ$59), "", 'Data Entry'!$ĳ$59)</f>
      </c>
      <c r="IJ59">
        <f>IF(ISBLANK('Data Entry'!$Ĵ$59), "", 'Data Entry'!$Ĵ$59)</f>
      </c>
      <c r="IK59">
        <f>IF(ISBLANK('Data Entry'!$ĵ$59), "", 'Data Entry'!$ĵ$59)</f>
      </c>
      <c r="IL59">
        <f>IF(ISBLANK('Data Entry'!$Ķ$59), "", 'Data Entry'!$Ķ$59)</f>
      </c>
      <c r="IM59">
        <f>IF(ISBLANK('Data Entry'!$ķ$59), "", 'Data Entry'!$ķ$59)</f>
      </c>
      <c r="IN59">
        <f>IF(ISBLANK('Data Entry'!$ĸ$59), "", 'Data Entry'!$ĸ$59)</f>
      </c>
      <c r="IO59">
        <f>IF(ISBLANK('Data Entry'!$Ĺ$59), "", 'Data Entry'!$Ĺ$59)</f>
      </c>
      <c r="IP59">
        <f>IF(ISBLANK('Data Entry'!$ĺ$59), "", 'Data Entry'!$ĺ$59)</f>
      </c>
      <c r="IQ59">
        <f>IF(ISBLANK('Data Entry'!$Ļ$59), "", 'Data Entry'!$Ļ$59)</f>
      </c>
      <c r="IR59">
        <f>IF(ISBLANK('Data Entry'!$ļ$59), "", 'Data Entry'!$ļ$59)</f>
      </c>
      <c r="IS59">
        <f>IF(ISBLANK('Data Entry'!$Ľ$59), "", 'Data Entry'!$Ľ$59)</f>
      </c>
      <c r="IT59">
        <f>IF(ISBLANK('Data Entry'!$ľ$59), "", 'Data Entry'!$ľ$59)</f>
      </c>
    </row>
    <row r="60" spans="1:254" x14ac:dyDescent="0.25">
      <c r="A60">
        <f>IF(ISBLANK('Data Entry'!$A$60), "", 'Data Entry'!$A$60)</f>
      </c>
      <c r="B60">
        <f>IF(ISBLANK('Data Entry'!$B$60), "", 'Data Entry'!$B$60)</f>
      </c>
      <c r="C60">
        <f>IF(ISBLANK('Data Entry'!$C$60), "", 'Data Entry'!$C$60)</f>
      </c>
      <c r="D60">
        <f>IF(ISBLANK('Data Entry'!$D$60), "", 'Data Entry'!$D$60)</f>
      </c>
      <c r="E60">
        <f>IF(ISBLANK('Data Entry'!$E$60), "", 'Data Entry'!$E$60)</f>
      </c>
      <c r="F60">
        <f>IF(ISBLANK('Data Entry'!$F$60), "", 'Data Entry'!$F$60)</f>
      </c>
      <c r="G60">
        <f>IF(ISBLANK('Data Entry'!$G$60), "", 'Data Entry'!$G$60)</f>
      </c>
      <c r="H60">
        <f>IF(ISBLANK('Data Entry'!$H$60), "", 'Data Entry'!$H$60)</f>
      </c>
      <c r="I60">
        <f>IF(ISBLANK('Data Entry'!$I$60), "", 'Data Entry'!$I$60)</f>
      </c>
      <c r="J60">
        <f>IF(ISBLANK('Data Entry'!$J$60), "", 'Data Entry'!$J$60)</f>
      </c>
      <c r="K60">
        <f>IF(ISBLANK('Data Entry'!$K$60), "", 'Data Entry'!$K$60)</f>
      </c>
      <c r="L60">
        <f>IF(ISBLANK('Data Entry'!$L$60), "", 'Data Entry'!$L$60)</f>
      </c>
      <c r="M60">
        <f>IF(ISBLANK('Data Entry'!$M$60), "", 'Data Entry'!$M$60)</f>
      </c>
      <c r="N60">
        <f>IF(ISBLANK('Data Entry'!$N$60), "", 'Data Entry'!$N$60)</f>
      </c>
      <c r="O60">
        <f>IF(ISBLANK('Data Entry'!$O$60), "", 'Data Entry'!$O$60)</f>
      </c>
      <c r="P60">
        <f>IF(ISBLANK('Data Entry'!$P$60), "", 'Data Entry'!$P$60)</f>
      </c>
      <c r="Q60">
        <f>IF(ISBLANK('Data Entry'!$Q$60), "", 'Data Entry'!$Q$60)</f>
      </c>
      <c r="R60">
        <f>IF(ISBLANK('Data Entry'!$R$60), "", 'Data Entry'!$R$60)</f>
      </c>
      <c r="S60">
        <f>IF(ISBLANK('Data Entry'!$S$60), "", 'Data Entry'!$S$60)</f>
      </c>
      <c r="T60">
        <f>IF(ISBLANK('Data Entry'!$T$60), "", 'Data Entry'!$T$60)</f>
      </c>
      <c r="U60">
        <f>IF(ISBLANK('Data Entry'!$U$60), "", 'Data Entry'!$U$60)</f>
      </c>
      <c r="V60">
        <f>IF(ISBLANK('Data Entry'!$V$60), "", 'Data Entry'!$V$60)</f>
      </c>
      <c r="W60">
        <f>IF(ISBLANK('Data Entry'!$W$60), "", 'Data Entry'!$W$60)</f>
      </c>
      <c r="X60">
        <f>IF(ISBLANK('Data Entry'!$X$60), "", 'Data Entry'!$X$60)</f>
      </c>
      <c r="Y60">
        <f>IF(ISBLANK('Data Entry'!$Y$60), "", 'Data Entry'!$Y$60)</f>
      </c>
      <c r="Z60">
        <f>IF(ISBLANK('Data Entry'!$Z$60), "", 'Data Entry'!$Z$60)</f>
      </c>
      <c r="AA60">
        <f>IF(ISBLANK('Data Entry'!$[$60), "", 'Data Entry'!$[$60)</f>
      </c>
      <c r="AB60">
        <f>IF(ISBLANK('Data Entry'!$\$60), "", 'Data Entry'!$\$60)</f>
      </c>
      <c r="AC60">
        <f>IF(ISBLANK('Data Entry'!$]$60), "", 'Data Entry'!$]$60)</f>
      </c>
      <c r="AD60">
        <f>IF(ISBLANK('Data Entry'!$^$60), "", 'Data Entry'!$^$60)</f>
      </c>
      <c r="AE60">
        <f>IF(ISBLANK('Data Entry'!$_$60), "", 'Data Entry'!$_$60)</f>
      </c>
      <c r="AF60">
        <f>IF(ISBLANK('Data Entry'!$`$60), "", 'Data Entry'!$`$60)</f>
      </c>
      <c r="AG60">
        <f>IF(ISBLANK('Data Entry'!$a$60), "", 'Data Entry'!$a$60)</f>
      </c>
      <c r="AH60">
        <f>IF(ISBLANK('Data Entry'!$b$60), "", 'Data Entry'!$b$60)</f>
      </c>
      <c r="AI60">
        <f>IF(ISBLANK('Data Entry'!$c$60), "", 'Data Entry'!$c$60)</f>
      </c>
      <c r="AJ60">
        <f>IF(ISBLANK('Data Entry'!$d$60), "", 'Data Entry'!$d$60)</f>
      </c>
      <c r="AK60">
        <f>IF(ISBLANK('Data Entry'!$e$60), "", 'Data Entry'!$e$60)</f>
      </c>
      <c r="AL60">
        <f>IF(ISBLANK('Data Entry'!$f$60), "", 'Data Entry'!$f$60)</f>
      </c>
      <c r="AM60">
        <f>IF(ISBLANK('Data Entry'!$g$60), "", 'Data Entry'!$g$60)</f>
      </c>
      <c r="AN60">
        <f>IF(ISBLANK('Data Entry'!$h$60), "", 'Data Entry'!$h$60)</f>
      </c>
      <c r="AO60">
        <f>IF(ISBLANK('Data Entry'!$i$60), "", 'Data Entry'!$i$60)</f>
      </c>
      <c r="AP60">
        <f>IF(ISBLANK('Data Entry'!$j$60), "", 'Data Entry'!$j$60)</f>
      </c>
      <c r="AQ60">
        <f>IF(ISBLANK('Data Entry'!$k$60), "", 'Data Entry'!$k$60)</f>
      </c>
      <c r="AR60">
        <f>IF(ISBLANK('Data Entry'!$l$60), "", 'Data Entry'!$l$60)</f>
      </c>
      <c r="AS60">
        <f>IF(ISBLANK('Data Entry'!$m$60), "", 'Data Entry'!$m$60)</f>
      </c>
      <c r="AT60">
        <f>IF(ISBLANK('Data Entry'!$n$60), "", 'Data Entry'!$n$60)</f>
      </c>
      <c r="AU60">
        <f>IF(ISBLANK('Data Entry'!$o$60), "", 'Data Entry'!$o$60)</f>
      </c>
      <c r="AV60">
        <f>IF(ISBLANK('Data Entry'!$p$60), "", 'Data Entry'!$p$60)</f>
      </c>
      <c r="AW60">
        <f>IF(ISBLANK('Data Entry'!$q$60), "", 'Data Entry'!$q$60)</f>
      </c>
      <c r="AX60">
        <f>IF(ISBLANK('Data Entry'!$r$60), "", 'Data Entry'!$r$60)</f>
      </c>
      <c r="AY60">
        <f>IF(ISBLANK('Data Entry'!$s$60), "", 'Data Entry'!$s$60)</f>
      </c>
      <c r="AZ60">
        <f>IF(ISBLANK('Data Entry'!$t$60), "", 'Data Entry'!$t$60)</f>
      </c>
      <c r="BA60">
        <f>IF(ISBLANK('Data Entry'!$u$60), "", 'Data Entry'!$u$60)</f>
      </c>
      <c r="BB60">
        <f>IF(ISBLANK('Data Entry'!$v$60), "", 'Data Entry'!$v$60)</f>
      </c>
      <c r="BC60">
        <f>IF(ISBLANK('Data Entry'!$w$60), "", 'Data Entry'!$w$60)</f>
      </c>
      <c r="BD60">
        <f>IF(ISBLANK('Data Entry'!$x$60), "", 'Data Entry'!$x$60)</f>
      </c>
      <c r="BE60">
        <f>IF(ISBLANK('Data Entry'!$y$60), "", 'Data Entry'!$y$60)</f>
      </c>
      <c r="BF60">
        <f>IF(ISBLANK('Data Entry'!$z$60), "", 'Data Entry'!$z$60)</f>
      </c>
      <c r="BG60">
        <f>IF(ISBLANK('Data Entry'!${$60), "", 'Data Entry'!${$60)</f>
      </c>
      <c r="BH60">
        <f>IF(ISBLANK('Data Entry'!$|$60), "", 'Data Entry'!$|$60)</f>
      </c>
      <c r="BI60">
        <f>IF(ISBLANK('Data Entry'!$}$60), "", 'Data Entry'!$}$60)</f>
      </c>
      <c r="BJ60">
        <f>IF(ISBLANK('Data Entry'!$~$60), "", 'Data Entry'!$~$60)</f>
      </c>
      <c r="BK60">
        <f>IF(ISBLANK('Data Entry'!$$60), "", 'Data Entry'!$$60)</f>
      </c>
      <c r="BL60">
        <f>IF(ISBLANK('Data Entry'!$$60), "", 'Data Entry'!$$60)</f>
      </c>
      <c r="BM60">
        <f>IF(ISBLANK('Data Entry'!$$60), "", 'Data Entry'!$$60)</f>
      </c>
      <c r="BN60">
        <f>IF(ISBLANK('Data Entry'!$$60), "", 'Data Entry'!$$60)</f>
      </c>
      <c r="BO60">
        <f>IF(ISBLANK('Data Entry'!$$60), "", 'Data Entry'!$$60)</f>
      </c>
      <c r="BP60">
        <f>IF(ISBLANK('Data Entry'!$$60), "", 'Data Entry'!$$60)</f>
      </c>
      <c r="BQ60">
        <f>IF(ISBLANK('Data Entry'!$$60), "", 'Data Entry'!$$60)</f>
      </c>
      <c r="BR60">
        <f>IF(ISBLANK('Data Entry'!$$60), "", 'Data Entry'!$$60)</f>
      </c>
      <c r="BS60">
        <f>IF(ISBLANK('Data Entry'!$$60), "", 'Data Entry'!$$60)</f>
      </c>
      <c r="BT60">
        <f>IF(ISBLANK('Data Entry'!$$60), "", 'Data Entry'!$$60)</f>
      </c>
      <c r="BU60">
        <f>IF(ISBLANK('Data Entry'!$$60), "", 'Data Entry'!$$60)</f>
      </c>
      <c r="BV60">
        <f>IF(ISBLANK('Data Entry'!$$60), "", 'Data Entry'!$$60)</f>
      </c>
      <c r="BW60">
        <f>IF(ISBLANK('Data Entry'!$$60), "", 'Data Entry'!$$60)</f>
      </c>
      <c r="BX60">
        <f>IF(ISBLANK('Data Entry'!$$60), "", 'Data Entry'!$$60)</f>
      </c>
      <c r="BY60">
        <f>IF(ISBLANK('Data Entry'!$$60), "", 'Data Entry'!$$60)</f>
      </c>
      <c r="BZ60">
        <f>IF(ISBLANK('Data Entry'!$$60), "", 'Data Entry'!$$60)</f>
      </c>
      <c r="CA60">
        <f>IF(ISBLANK('Data Entry'!$$60), "", 'Data Entry'!$$60)</f>
      </c>
      <c r="CB60">
        <f>IF(ISBLANK('Data Entry'!$$60), "", 'Data Entry'!$$60)</f>
      </c>
      <c r="CC60">
        <f>IF(ISBLANK('Data Entry'!$$60), "", 'Data Entry'!$$60)</f>
      </c>
      <c r="CD60">
        <f>IF(ISBLANK('Data Entry'!$$60), "", 'Data Entry'!$$60)</f>
      </c>
      <c r="CE60">
        <f>IF(ISBLANK('Data Entry'!$$60), "", 'Data Entry'!$$60)</f>
      </c>
      <c r="CF60">
        <f>IF(ISBLANK('Data Entry'!$$60), "", 'Data Entry'!$$60)</f>
      </c>
      <c r="CG60">
        <f>IF(ISBLANK('Data Entry'!$$60), "", 'Data Entry'!$$60)</f>
      </c>
      <c r="CH60">
        <f>IF(ISBLANK('Data Entry'!$$60), "", 'Data Entry'!$$60)</f>
      </c>
      <c r="CI60">
        <f>IF(ISBLANK('Data Entry'!$$60), "", 'Data Entry'!$$60)</f>
      </c>
      <c r="CJ60">
        <f>IF(ISBLANK('Data Entry'!$$60), "", 'Data Entry'!$$60)</f>
      </c>
      <c r="CK60">
        <f>IF(ISBLANK('Data Entry'!$$60), "", 'Data Entry'!$$60)</f>
      </c>
      <c r="CL60">
        <f>IF(ISBLANK('Data Entry'!$$60), "", 'Data Entry'!$$60)</f>
      </c>
      <c r="CM60">
        <f>IF(ISBLANK('Data Entry'!$$60), "", 'Data Entry'!$$60)</f>
      </c>
      <c r="CN60">
        <f>IF(ISBLANK('Data Entry'!$$60), "", 'Data Entry'!$$60)</f>
      </c>
      <c r="CO60">
        <f>IF(ISBLANK('Data Entry'!$$60), "", 'Data Entry'!$$60)</f>
      </c>
      <c r="CP60">
        <f>IF(ISBLANK('Data Entry'!$$60), "", 'Data Entry'!$$60)</f>
      </c>
      <c r="CQ60">
        <f>IF(ISBLANK('Data Entry'!$$60), "", 'Data Entry'!$$60)</f>
      </c>
      <c r="CR60">
        <f>IF(ISBLANK('Data Entry'!$ $60), "", 'Data Entry'!$ $60)</f>
      </c>
      <c r="CS60">
        <f>IF(ISBLANK('Data Entry'!$¡$60), "", 'Data Entry'!$¡$60)</f>
      </c>
      <c r="CT60">
        <f>IF(ISBLANK('Data Entry'!$¢$60), "", 'Data Entry'!$¢$60)</f>
      </c>
      <c r="CU60">
        <f>IF(ISBLANK('Data Entry'!$£$60), "", 'Data Entry'!$£$60)</f>
      </c>
      <c r="CV60">
        <f>IF(ISBLANK('Data Entry'!$¤$60), "", 'Data Entry'!$¤$60)</f>
      </c>
      <c r="CW60">
        <f>IF(ISBLANK('Data Entry'!$¥$60), "", 'Data Entry'!$¥$60)</f>
      </c>
      <c r="CX60">
        <f>IF(ISBLANK('Data Entry'!$¦$60), "", 'Data Entry'!$¦$60)</f>
      </c>
      <c r="CY60">
        <f>IF(ISBLANK('Data Entry'!$§$60), "", 'Data Entry'!$§$60)</f>
      </c>
      <c r="CZ60">
        <f>IF(ISBLANK('Data Entry'!$¨$60), "", 'Data Entry'!$¨$60)</f>
      </c>
      <c r="DA60">
        <f>IF(ISBLANK('Data Entry'!$©$60), "", 'Data Entry'!$©$60)</f>
      </c>
      <c r="DB60">
        <f>IF(ISBLANK('Data Entry'!$ª$60), "", 'Data Entry'!$ª$60)</f>
      </c>
      <c r="DC60">
        <f>IF(ISBLANK('Data Entry'!$«$60), "", 'Data Entry'!$«$60)</f>
      </c>
      <c r="DD60">
        <f>IF(ISBLANK('Data Entry'!$¬$60), "", 'Data Entry'!$¬$60)</f>
      </c>
      <c r="DE60">
        <f>IF(ISBLANK('Data Entry'!$­$60), "", 'Data Entry'!$­$60)</f>
      </c>
      <c r="DF60">
        <f>IF(ISBLANK('Data Entry'!$®$60), "", 'Data Entry'!$®$60)</f>
      </c>
      <c r="DG60">
        <f>IF(ISBLANK('Data Entry'!$¯$60), "", 'Data Entry'!$¯$60)</f>
      </c>
      <c r="DH60">
        <f>IF(ISBLANK('Data Entry'!$°$60), "", 'Data Entry'!$°$60)</f>
      </c>
      <c r="DI60">
        <f>IF(ISBLANK('Data Entry'!$±$60), "", 'Data Entry'!$±$60)</f>
      </c>
      <c r="DJ60">
        <f>IF(ISBLANK('Data Entry'!$²$60), "", 'Data Entry'!$²$60)</f>
      </c>
      <c r="DK60">
        <f>IF(ISBLANK('Data Entry'!$³$60), "", 'Data Entry'!$³$60)</f>
      </c>
      <c r="DL60">
        <f>IF(ISBLANK('Data Entry'!$´$60), "", 'Data Entry'!$´$60)</f>
      </c>
      <c r="DM60">
        <f>IF(ISBLANK('Data Entry'!$µ$60), "", 'Data Entry'!$µ$60)</f>
      </c>
      <c r="DN60">
        <f>IF(ISBLANK('Data Entry'!$¶$60), "", 'Data Entry'!$¶$60)</f>
      </c>
      <c r="DO60">
        <f>IF(ISBLANK('Data Entry'!$·$60), "", 'Data Entry'!$·$60)</f>
      </c>
      <c r="DP60">
        <f>IF(ISBLANK('Data Entry'!$¸$60), "", 'Data Entry'!$¸$60)</f>
      </c>
      <c r="DQ60">
        <f>IF(ISBLANK('Data Entry'!$¹$60), "", 'Data Entry'!$¹$60)</f>
      </c>
      <c r="DR60">
        <f>IF(ISBLANK('Data Entry'!$º$60), "", 'Data Entry'!$º$60)</f>
      </c>
      <c r="DS60">
        <f>IF(ISBLANK('Data Entry'!$»$60), "", 'Data Entry'!$»$60)</f>
      </c>
      <c r="DT60">
        <f>IF(ISBLANK('Data Entry'!$¼$60), "", 'Data Entry'!$¼$60)</f>
      </c>
      <c r="DU60">
        <f>IF(ISBLANK('Data Entry'!$½$60), "", 'Data Entry'!$½$60)</f>
      </c>
      <c r="DV60">
        <f>IF(ISBLANK('Data Entry'!$¾$60), "", 'Data Entry'!$¾$60)</f>
      </c>
      <c r="DW60">
        <f>IF(ISBLANK('Data Entry'!$¿$60), "", 'Data Entry'!$¿$60)</f>
      </c>
      <c r="DX60">
        <f>IF(ISBLANK('Data Entry'!$À$60), "", 'Data Entry'!$À$60)</f>
      </c>
      <c r="DY60">
        <f>IF(ISBLANK('Data Entry'!$Á$60), "", 'Data Entry'!$Á$60)</f>
      </c>
      <c r="DZ60">
        <f>IF(ISBLANK('Data Entry'!$Â$60), "", 'Data Entry'!$Â$60)</f>
      </c>
      <c r="EA60">
        <f>IF(ISBLANK('Data Entry'!$Ã$60), "", 'Data Entry'!$Ã$60)</f>
      </c>
      <c r="EB60">
        <f>IF(ISBLANK('Data Entry'!$Ä$60), "", 'Data Entry'!$Ä$60)</f>
      </c>
      <c r="EC60">
        <f>IF(ISBLANK('Data Entry'!$Å$60), "", 'Data Entry'!$Å$60)</f>
      </c>
      <c r="ED60">
        <f>IF(ISBLANK('Data Entry'!$Æ$60), "", 'Data Entry'!$Æ$60)</f>
      </c>
      <c r="EE60">
        <f>IF(ISBLANK('Data Entry'!$Ç$60), "", 'Data Entry'!$Ç$60)</f>
      </c>
      <c r="EF60">
        <f>IF(ISBLANK('Data Entry'!$È$60), "", 'Data Entry'!$È$60)</f>
      </c>
      <c r="EG60">
        <f>IF(ISBLANK('Data Entry'!$É$60), "", 'Data Entry'!$É$60)</f>
      </c>
      <c r="EH60">
        <f>IF(ISBLANK('Data Entry'!$Ê$60), "", 'Data Entry'!$Ê$60)</f>
      </c>
      <c r="EI60">
        <f>IF(ISBLANK('Data Entry'!$Ë$60), "", 'Data Entry'!$Ë$60)</f>
      </c>
      <c r="EJ60">
        <f>IF(ISBLANK('Data Entry'!$Ì$60), "", 'Data Entry'!$Ì$60)</f>
      </c>
      <c r="EK60">
        <f>IF(ISBLANK('Data Entry'!$Í$60), "", 'Data Entry'!$Í$60)</f>
      </c>
      <c r="EL60">
        <f>IF(ISBLANK('Data Entry'!$Î$60), "", 'Data Entry'!$Î$60)</f>
      </c>
      <c r="EM60">
        <f>IF(ISBLANK('Data Entry'!$Ï$60), "", 'Data Entry'!$Ï$60)</f>
      </c>
      <c r="EN60">
        <f>IF(ISBLANK('Data Entry'!$Ð$60), "", 'Data Entry'!$Ð$60)</f>
      </c>
      <c r="EO60">
        <f>IF(ISBLANK('Data Entry'!$Ñ$60), "", 'Data Entry'!$Ñ$60)</f>
      </c>
      <c r="EP60">
        <f>IF(ISBLANK('Data Entry'!$Ò$60), "", 'Data Entry'!$Ò$60)</f>
      </c>
      <c r="EQ60">
        <f>IF(ISBLANK('Data Entry'!$Ó$60), "", 'Data Entry'!$Ó$60)</f>
      </c>
      <c r="ER60">
        <f>IF(ISBLANK('Data Entry'!$Ô$60), "", 'Data Entry'!$Ô$60)</f>
      </c>
      <c r="ES60">
        <f>IF(ISBLANK('Data Entry'!$Õ$60), "", 'Data Entry'!$Õ$60)</f>
      </c>
      <c r="ET60">
        <f>IF(ISBLANK('Data Entry'!$Ö$60), "", 'Data Entry'!$Ö$60)</f>
      </c>
      <c r="EU60">
        <f>IF(ISBLANK('Data Entry'!$×$60), "", 'Data Entry'!$×$60)</f>
      </c>
      <c r="EV60">
        <f>IF(ISBLANK('Data Entry'!$Ø$60), "", 'Data Entry'!$Ø$60)</f>
      </c>
      <c r="EW60">
        <f>IF(ISBLANK('Data Entry'!$Ù$60), "", 'Data Entry'!$Ù$60)</f>
      </c>
      <c r="EX60">
        <f>IF(ISBLANK('Data Entry'!$Ú$60), "", 'Data Entry'!$Ú$60)</f>
      </c>
      <c r="EY60">
        <f>IF(ISBLANK('Data Entry'!$Û$60), "", 'Data Entry'!$Û$60)</f>
      </c>
      <c r="EZ60">
        <f>IF(ISBLANK('Data Entry'!$Ü$60), "", 'Data Entry'!$Ü$60)</f>
      </c>
      <c r="FA60">
        <f>IF(ISBLANK('Data Entry'!$Ý$60), "", 'Data Entry'!$Ý$60)</f>
      </c>
      <c r="FB60">
        <f>IF(ISBLANK('Data Entry'!$Þ$60), "", 'Data Entry'!$Þ$60)</f>
      </c>
      <c r="FC60">
        <f>IF(ISBLANK('Data Entry'!$ß$60), "", 'Data Entry'!$ß$60)</f>
      </c>
      <c r="FD60">
        <f>IF(ISBLANK('Data Entry'!$à$60), "", 'Data Entry'!$à$60)</f>
      </c>
      <c r="FE60">
        <f>IF(ISBLANK('Data Entry'!$á$60), "", 'Data Entry'!$á$60)</f>
      </c>
      <c r="FF60">
        <f>IF(ISBLANK('Data Entry'!$â$60), "", 'Data Entry'!$â$60)</f>
      </c>
      <c r="FG60">
        <f>IF(ISBLANK('Data Entry'!$ã$60), "", 'Data Entry'!$ã$60)</f>
      </c>
      <c r="FH60">
        <f>IF(ISBLANK('Data Entry'!$ä$60), "", 'Data Entry'!$ä$60)</f>
      </c>
      <c r="FI60">
        <f>IF(ISBLANK('Data Entry'!$å$60), "", 'Data Entry'!$å$60)</f>
      </c>
      <c r="FJ60">
        <f>IF(ISBLANK('Data Entry'!$æ$60), "", 'Data Entry'!$æ$60)</f>
      </c>
      <c r="FK60">
        <f>IF(ISBLANK('Data Entry'!$ç$60), "", 'Data Entry'!$ç$60)</f>
      </c>
      <c r="FL60">
        <f>IF(ISBLANK('Data Entry'!$è$60), "", 'Data Entry'!$è$60)</f>
      </c>
      <c r="FM60">
        <f>IF(ISBLANK('Data Entry'!$é$60), "", 'Data Entry'!$é$60)</f>
      </c>
      <c r="FN60">
        <f>IF(ISBLANK('Data Entry'!$ê$60), "", 'Data Entry'!$ê$60)</f>
      </c>
      <c r="FO60">
        <f>IF(ISBLANK('Data Entry'!$ë$60), "", 'Data Entry'!$ë$60)</f>
      </c>
      <c r="FP60">
        <f>IF(ISBLANK('Data Entry'!$ì$60), "", 'Data Entry'!$ì$60)</f>
      </c>
      <c r="FQ60">
        <f>IF(ISBLANK('Data Entry'!$í$60), "", 'Data Entry'!$í$60)</f>
      </c>
      <c r="FR60">
        <f>IF(ISBLANK('Data Entry'!$î$60), "", 'Data Entry'!$î$60)</f>
      </c>
      <c r="FS60">
        <f>IF(ISBLANK('Data Entry'!$ï$60), "", 'Data Entry'!$ï$60)</f>
      </c>
      <c r="FT60">
        <f>IF(ISBLANK('Data Entry'!$ð$60), "", 'Data Entry'!$ð$60)</f>
      </c>
      <c r="FU60">
        <f>IF(ISBLANK('Data Entry'!$ñ$60), "", 'Data Entry'!$ñ$60)</f>
      </c>
      <c r="FV60">
        <f>IF(ISBLANK('Data Entry'!$ò$60), "", 'Data Entry'!$ò$60)</f>
      </c>
      <c r="FW60">
        <f>IF(ISBLANK('Data Entry'!$ó$60), "", 'Data Entry'!$ó$60)</f>
      </c>
      <c r="FX60">
        <f>IF(ISBLANK('Data Entry'!$ô$60), "", 'Data Entry'!$ô$60)</f>
      </c>
      <c r="FY60">
        <f>IF(ISBLANK('Data Entry'!$õ$60), "", 'Data Entry'!$õ$60)</f>
      </c>
      <c r="FZ60">
        <f>IF(ISBLANK('Data Entry'!$ö$60), "", 'Data Entry'!$ö$60)</f>
      </c>
      <c r="GA60">
        <f>IF(ISBLANK('Data Entry'!$÷$60), "", 'Data Entry'!$÷$60)</f>
      </c>
      <c r="GB60">
        <f>IF(ISBLANK('Data Entry'!$ø$60), "", 'Data Entry'!$ø$60)</f>
      </c>
      <c r="GC60">
        <f>IF(ISBLANK('Data Entry'!$ù$60), "", 'Data Entry'!$ù$60)</f>
      </c>
      <c r="GD60">
        <f>IF(ISBLANK('Data Entry'!$ú$60), "", 'Data Entry'!$ú$60)</f>
      </c>
      <c r="GE60">
        <f>IF(ISBLANK('Data Entry'!$û$60), "", 'Data Entry'!$û$60)</f>
      </c>
      <c r="GF60">
        <f>IF(ISBLANK('Data Entry'!$ü$60), "", 'Data Entry'!$ü$60)</f>
      </c>
      <c r="GG60">
        <f>IF(ISBLANK('Data Entry'!$ý$60), "", 'Data Entry'!$ý$60)</f>
      </c>
      <c r="GH60">
        <f>IF(ISBLANK('Data Entry'!$þ$60), "", 'Data Entry'!$þ$60)</f>
      </c>
      <c r="GI60">
        <f>IF(ISBLANK('Data Entry'!$ÿ$60), "", 'Data Entry'!$ÿ$60)</f>
      </c>
      <c r="GJ60">
        <f>IF(ISBLANK('Data Entry'!$Ā$60), "", 'Data Entry'!$Ā$60)</f>
      </c>
      <c r="GK60">
        <f>IF(ISBLANK('Data Entry'!$ā$60), "", 'Data Entry'!$ā$60)</f>
      </c>
      <c r="GL60">
        <f>IF(ISBLANK('Data Entry'!$Ă$60), "", 'Data Entry'!$Ă$60)</f>
      </c>
      <c r="GM60">
        <f>IF(ISBLANK('Data Entry'!$ă$60), "", 'Data Entry'!$ă$60)</f>
      </c>
      <c r="GN60">
        <f>IF(ISBLANK('Data Entry'!$Ą$60), "", 'Data Entry'!$Ą$60)</f>
      </c>
      <c r="GO60">
        <f>IF(ISBLANK('Data Entry'!$ą$60), "", 'Data Entry'!$ą$60)</f>
      </c>
      <c r="GP60">
        <f>IF(ISBLANK('Data Entry'!$Ć$60), "", 'Data Entry'!$Ć$60)</f>
      </c>
      <c r="GQ60">
        <f>IF(ISBLANK('Data Entry'!$ć$60), "", 'Data Entry'!$ć$60)</f>
      </c>
      <c r="GR60">
        <f>IF(ISBLANK('Data Entry'!$Ĉ$60), "", 'Data Entry'!$Ĉ$60)</f>
      </c>
      <c r="GS60">
        <f>IF(ISBLANK('Data Entry'!$ĉ$60), "", 'Data Entry'!$ĉ$60)</f>
      </c>
      <c r="GT60">
        <f>IF(ISBLANK('Data Entry'!$Ċ$60), "", 'Data Entry'!$Ċ$60)</f>
      </c>
      <c r="GU60">
        <f>IF(ISBLANK('Data Entry'!$ċ$60), "", 'Data Entry'!$ċ$60)</f>
      </c>
      <c r="GV60">
        <f>IF(ISBLANK('Data Entry'!$Č$60), "", 'Data Entry'!$Č$60)</f>
      </c>
      <c r="GW60">
        <f>IF(ISBLANK('Data Entry'!$č$60), "", 'Data Entry'!$č$60)</f>
      </c>
      <c r="GX60">
        <f>IF(ISBLANK('Data Entry'!$Ď$60), "", 'Data Entry'!$Ď$60)</f>
      </c>
      <c r="GY60">
        <f>IF(ISBLANK('Data Entry'!$ď$60), "", 'Data Entry'!$ď$60)</f>
      </c>
      <c r="GZ60">
        <f>IF(ISBLANK('Data Entry'!$Đ$60), "", 'Data Entry'!$Đ$60)</f>
      </c>
      <c r="HA60">
        <f>IF(ISBLANK('Data Entry'!$đ$60), "", 'Data Entry'!$đ$60)</f>
      </c>
      <c r="HB60">
        <f>IF(ISBLANK('Data Entry'!$Ē$60), "", 'Data Entry'!$Ē$60)</f>
      </c>
      <c r="HC60">
        <f>IF(ISBLANK('Data Entry'!$ē$60), "", 'Data Entry'!$ē$60)</f>
      </c>
      <c r="HD60">
        <f>IF(ISBLANK('Data Entry'!$Ĕ$60), "", 'Data Entry'!$Ĕ$60)</f>
      </c>
      <c r="HE60">
        <f>IF(ISBLANK('Data Entry'!$ĕ$60), "", 'Data Entry'!$ĕ$60)</f>
      </c>
      <c r="HF60">
        <f>IF(ISBLANK('Data Entry'!$Ė$60), "", 'Data Entry'!$Ė$60)</f>
      </c>
      <c r="HG60">
        <f>IF(ISBLANK('Data Entry'!$ė$60), "", 'Data Entry'!$ė$60)</f>
      </c>
      <c r="HH60">
        <f>IF(ISBLANK('Data Entry'!$Ę$60), "", 'Data Entry'!$Ę$60)</f>
      </c>
      <c r="HI60">
        <f>IF(ISBLANK('Data Entry'!$ę$60), "", 'Data Entry'!$ę$60)</f>
      </c>
      <c r="HJ60">
        <f>IF(ISBLANK('Data Entry'!$Ě$60), "", 'Data Entry'!$Ě$60)</f>
      </c>
      <c r="HK60">
        <f>IF(ISBLANK('Data Entry'!$ě$60), "", 'Data Entry'!$ě$60)</f>
      </c>
      <c r="HL60">
        <f>IF(ISBLANK('Data Entry'!$Ĝ$60), "", 'Data Entry'!$Ĝ$60)</f>
      </c>
      <c r="HM60">
        <f>IF(ISBLANK('Data Entry'!$ĝ$60), "", 'Data Entry'!$ĝ$60)</f>
      </c>
      <c r="HN60">
        <f>IF(ISBLANK('Data Entry'!$Ğ$60), "", 'Data Entry'!$Ğ$60)</f>
      </c>
      <c r="HO60">
        <f>IF(ISBLANK('Data Entry'!$ğ$60), "", 'Data Entry'!$ğ$60)</f>
      </c>
      <c r="HP60">
        <f>IF(ISBLANK('Data Entry'!$Ġ$60), "", 'Data Entry'!$Ġ$60)</f>
      </c>
      <c r="HQ60">
        <f>IF(ISBLANK('Data Entry'!$ġ$60), "", 'Data Entry'!$ġ$60)</f>
      </c>
      <c r="HR60">
        <f>IF(ISBLANK('Data Entry'!$Ģ$60), "", 'Data Entry'!$Ģ$60)</f>
      </c>
      <c r="HS60">
        <f>IF(ISBLANK('Data Entry'!$ģ$60), "", 'Data Entry'!$ģ$60)</f>
      </c>
      <c r="HT60">
        <f>IF(ISBLANK('Data Entry'!$Ĥ$60), "", 'Data Entry'!$Ĥ$60)</f>
      </c>
      <c r="HU60">
        <f>IF(ISBLANK('Data Entry'!$ĥ$60), "", 'Data Entry'!$ĥ$60)</f>
      </c>
      <c r="HV60">
        <f>IF(ISBLANK('Data Entry'!$Ħ$60), "", 'Data Entry'!$Ħ$60)</f>
      </c>
      <c r="HW60">
        <f>IF(ISBLANK('Data Entry'!$ħ$60), "", 'Data Entry'!$ħ$60)</f>
      </c>
      <c r="HX60">
        <f>IF(ISBLANK('Data Entry'!$Ĩ$60), "", 'Data Entry'!$Ĩ$60)</f>
      </c>
      <c r="HY60">
        <f>IF(ISBLANK('Data Entry'!$ĩ$60), "", 'Data Entry'!$ĩ$60)</f>
      </c>
      <c r="HZ60">
        <f>IF(ISBLANK('Data Entry'!$Ī$60), "", 'Data Entry'!$Ī$60)</f>
      </c>
      <c r="IA60">
        <f>IF(ISBLANK('Data Entry'!$ī$60), "", 'Data Entry'!$ī$60)</f>
      </c>
      <c r="IB60">
        <f>IF(ISBLANK('Data Entry'!$Ĭ$60), "", 'Data Entry'!$Ĭ$60)</f>
      </c>
      <c r="IC60">
        <f>IF(ISBLANK('Data Entry'!$ĭ$60), "", 'Data Entry'!$ĭ$60)</f>
      </c>
      <c r="ID60">
        <f>IF(ISBLANK('Data Entry'!$Į$60), "", 'Data Entry'!$Į$60)</f>
      </c>
      <c r="IE60">
        <f>IF(ISBLANK('Data Entry'!$į$60), "", 'Data Entry'!$į$60)</f>
      </c>
      <c r="IF60">
        <f>IF(ISBLANK('Data Entry'!$İ$60), "", 'Data Entry'!$İ$60)</f>
      </c>
      <c r="IG60">
        <f>IF(ISBLANK('Data Entry'!$ı$60), "", 'Data Entry'!$ı$60)</f>
      </c>
      <c r="IH60">
        <f>IF(ISBLANK('Data Entry'!$Ĳ$60), "", 'Data Entry'!$Ĳ$60)</f>
      </c>
      <c r="II60">
        <f>IF(ISBLANK('Data Entry'!$ĳ$60), "", 'Data Entry'!$ĳ$60)</f>
      </c>
      <c r="IJ60">
        <f>IF(ISBLANK('Data Entry'!$Ĵ$60), "", 'Data Entry'!$Ĵ$60)</f>
      </c>
      <c r="IK60">
        <f>IF(ISBLANK('Data Entry'!$ĵ$60), "", 'Data Entry'!$ĵ$60)</f>
      </c>
      <c r="IL60">
        <f>IF(ISBLANK('Data Entry'!$Ķ$60), "", 'Data Entry'!$Ķ$60)</f>
      </c>
      <c r="IM60">
        <f>IF(ISBLANK('Data Entry'!$ķ$60), "", 'Data Entry'!$ķ$60)</f>
      </c>
      <c r="IN60">
        <f>IF(ISBLANK('Data Entry'!$ĸ$60), "", 'Data Entry'!$ĸ$60)</f>
      </c>
      <c r="IO60">
        <f>IF(ISBLANK('Data Entry'!$Ĺ$60), "", 'Data Entry'!$Ĺ$60)</f>
      </c>
      <c r="IP60">
        <f>IF(ISBLANK('Data Entry'!$ĺ$60), "", 'Data Entry'!$ĺ$60)</f>
      </c>
      <c r="IQ60">
        <f>IF(ISBLANK('Data Entry'!$Ļ$60), "", 'Data Entry'!$Ļ$60)</f>
      </c>
      <c r="IR60">
        <f>IF(ISBLANK('Data Entry'!$ļ$60), "", 'Data Entry'!$ļ$60)</f>
      </c>
      <c r="IS60">
        <f>IF(ISBLANK('Data Entry'!$Ľ$60), "", 'Data Entry'!$Ľ$60)</f>
      </c>
      <c r="IT60">
        <f>IF(ISBLANK('Data Entry'!$ľ$60), "", 'Data Entry'!$ľ$60)</f>
      </c>
    </row>
    <row r="61" spans="1:254" x14ac:dyDescent="0.25">
      <c r="A61">
        <f>IF(ISBLANK('Data Entry'!$A$61), "", 'Data Entry'!$A$61)</f>
      </c>
      <c r="B61">
        <f>IF(ISBLANK('Data Entry'!$B$61), "", 'Data Entry'!$B$61)</f>
      </c>
      <c r="C61">
        <f>IF(ISBLANK('Data Entry'!$C$61), "", 'Data Entry'!$C$61)</f>
      </c>
      <c r="D61">
        <f>IF(ISBLANK('Data Entry'!$D$61), "", 'Data Entry'!$D$61)</f>
      </c>
      <c r="E61">
        <f>IF(ISBLANK('Data Entry'!$E$61), "", 'Data Entry'!$E$61)</f>
      </c>
      <c r="F61">
        <f>IF(ISBLANK('Data Entry'!$F$61), "", 'Data Entry'!$F$61)</f>
      </c>
      <c r="G61">
        <f>IF(ISBLANK('Data Entry'!$G$61), "", 'Data Entry'!$G$61)</f>
      </c>
      <c r="H61">
        <f>IF(ISBLANK('Data Entry'!$H$61), "", 'Data Entry'!$H$61)</f>
      </c>
      <c r="I61">
        <f>IF(ISBLANK('Data Entry'!$I$61), "", 'Data Entry'!$I$61)</f>
      </c>
      <c r="J61">
        <f>IF(ISBLANK('Data Entry'!$J$61), "", 'Data Entry'!$J$61)</f>
      </c>
      <c r="K61">
        <f>IF(ISBLANK('Data Entry'!$K$61), "", 'Data Entry'!$K$61)</f>
      </c>
      <c r="L61">
        <f>IF(ISBLANK('Data Entry'!$L$61), "", 'Data Entry'!$L$61)</f>
      </c>
      <c r="M61">
        <f>IF(ISBLANK('Data Entry'!$M$61), "", 'Data Entry'!$M$61)</f>
      </c>
      <c r="N61">
        <f>IF(ISBLANK('Data Entry'!$N$61), "", 'Data Entry'!$N$61)</f>
      </c>
      <c r="O61">
        <f>IF(ISBLANK('Data Entry'!$O$61), "", 'Data Entry'!$O$61)</f>
      </c>
      <c r="P61">
        <f>IF(ISBLANK('Data Entry'!$P$61), "", 'Data Entry'!$P$61)</f>
      </c>
      <c r="Q61">
        <f>IF(ISBLANK('Data Entry'!$Q$61), "", 'Data Entry'!$Q$61)</f>
      </c>
      <c r="R61">
        <f>IF(ISBLANK('Data Entry'!$R$61), "", 'Data Entry'!$R$61)</f>
      </c>
      <c r="S61">
        <f>IF(ISBLANK('Data Entry'!$S$61), "", 'Data Entry'!$S$61)</f>
      </c>
      <c r="T61">
        <f>IF(ISBLANK('Data Entry'!$T$61), "", 'Data Entry'!$T$61)</f>
      </c>
      <c r="U61">
        <f>IF(ISBLANK('Data Entry'!$U$61), "", 'Data Entry'!$U$61)</f>
      </c>
      <c r="V61">
        <f>IF(ISBLANK('Data Entry'!$V$61), "", 'Data Entry'!$V$61)</f>
      </c>
      <c r="W61">
        <f>IF(ISBLANK('Data Entry'!$W$61), "", 'Data Entry'!$W$61)</f>
      </c>
      <c r="X61">
        <f>IF(ISBLANK('Data Entry'!$X$61), "", 'Data Entry'!$X$61)</f>
      </c>
      <c r="Y61">
        <f>IF(ISBLANK('Data Entry'!$Y$61), "", 'Data Entry'!$Y$61)</f>
      </c>
      <c r="Z61">
        <f>IF(ISBLANK('Data Entry'!$Z$61), "", 'Data Entry'!$Z$61)</f>
      </c>
      <c r="AA61">
        <f>IF(ISBLANK('Data Entry'!$[$61), "", 'Data Entry'!$[$61)</f>
      </c>
      <c r="AB61">
        <f>IF(ISBLANK('Data Entry'!$\$61), "", 'Data Entry'!$\$61)</f>
      </c>
      <c r="AC61">
        <f>IF(ISBLANK('Data Entry'!$]$61), "", 'Data Entry'!$]$61)</f>
      </c>
      <c r="AD61">
        <f>IF(ISBLANK('Data Entry'!$^$61), "", 'Data Entry'!$^$61)</f>
      </c>
      <c r="AE61">
        <f>IF(ISBLANK('Data Entry'!$_$61), "", 'Data Entry'!$_$61)</f>
      </c>
      <c r="AF61">
        <f>IF(ISBLANK('Data Entry'!$`$61), "", 'Data Entry'!$`$61)</f>
      </c>
      <c r="AG61">
        <f>IF(ISBLANK('Data Entry'!$a$61), "", 'Data Entry'!$a$61)</f>
      </c>
      <c r="AH61">
        <f>IF(ISBLANK('Data Entry'!$b$61), "", 'Data Entry'!$b$61)</f>
      </c>
      <c r="AI61">
        <f>IF(ISBLANK('Data Entry'!$c$61), "", 'Data Entry'!$c$61)</f>
      </c>
      <c r="AJ61">
        <f>IF(ISBLANK('Data Entry'!$d$61), "", 'Data Entry'!$d$61)</f>
      </c>
      <c r="AK61">
        <f>IF(ISBLANK('Data Entry'!$e$61), "", 'Data Entry'!$e$61)</f>
      </c>
      <c r="AL61">
        <f>IF(ISBLANK('Data Entry'!$f$61), "", 'Data Entry'!$f$61)</f>
      </c>
      <c r="AM61">
        <f>IF(ISBLANK('Data Entry'!$g$61), "", 'Data Entry'!$g$61)</f>
      </c>
      <c r="AN61">
        <f>IF(ISBLANK('Data Entry'!$h$61), "", 'Data Entry'!$h$61)</f>
      </c>
      <c r="AO61">
        <f>IF(ISBLANK('Data Entry'!$i$61), "", 'Data Entry'!$i$61)</f>
      </c>
      <c r="AP61">
        <f>IF(ISBLANK('Data Entry'!$j$61), "", 'Data Entry'!$j$61)</f>
      </c>
      <c r="AQ61">
        <f>IF(ISBLANK('Data Entry'!$k$61), "", 'Data Entry'!$k$61)</f>
      </c>
      <c r="AR61">
        <f>IF(ISBLANK('Data Entry'!$l$61), "", 'Data Entry'!$l$61)</f>
      </c>
      <c r="AS61">
        <f>IF(ISBLANK('Data Entry'!$m$61), "", 'Data Entry'!$m$61)</f>
      </c>
      <c r="AT61">
        <f>IF(ISBLANK('Data Entry'!$n$61), "", 'Data Entry'!$n$61)</f>
      </c>
      <c r="AU61">
        <f>IF(ISBLANK('Data Entry'!$o$61), "", 'Data Entry'!$o$61)</f>
      </c>
      <c r="AV61">
        <f>IF(ISBLANK('Data Entry'!$p$61), "", 'Data Entry'!$p$61)</f>
      </c>
      <c r="AW61">
        <f>IF(ISBLANK('Data Entry'!$q$61), "", 'Data Entry'!$q$61)</f>
      </c>
      <c r="AX61">
        <f>IF(ISBLANK('Data Entry'!$r$61), "", 'Data Entry'!$r$61)</f>
      </c>
      <c r="AY61">
        <f>IF(ISBLANK('Data Entry'!$s$61), "", 'Data Entry'!$s$61)</f>
      </c>
      <c r="AZ61">
        <f>IF(ISBLANK('Data Entry'!$t$61), "", 'Data Entry'!$t$61)</f>
      </c>
      <c r="BA61">
        <f>IF(ISBLANK('Data Entry'!$u$61), "", 'Data Entry'!$u$61)</f>
      </c>
      <c r="BB61">
        <f>IF(ISBLANK('Data Entry'!$v$61), "", 'Data Entry'!$v$61)</f>
      </c>
      <c r="BC61">
        <f>IF(ISBLANK('Data Entry'!$w$61), "", 'Data Entry'!$w$61)</f>
      </c>
      <c r="BD61">
        <f>IF(ISBLANK('Data Entry'!$x$61), "", 'Data Entry'!$x$61)</f>
      </c>
      <c r="BE61">
        <f>IF(ISBLANK('Data Entry'!$y$61), "", 'Data Entry'!$y$61)</f>
      </c>
      <c r="BF61">
        <f>IF(ISBLANK('Data Entry'!$z$61), "", 'Data Entry'!$z$61)</f>
      </c>
      <c r="BG61">
        <f>IF(ISBLANK('Data Entry'!${$61), "", 'Data Entry'!${$61)</f>
      </c>
      <c r="BH61">
        <f>IF(ISBLANK('Data Entry'!$|$61), "", 'Data Entry'!$|$61)</f>
      </c>
      <c r="BI61">
        <f>IF(ISBLANK('Data Entry'!$}$61), "", 'Data Entry'!$}$61)</f>
      </c>
      <c r="BJ61">
        <f>IF(ISBLANK('Data Entry'!$~$61), "", 'Data Entry'!$~$61)</f>
      </c>
      <c r="BK61">
        <f>IF(ISBLANK('Data Entry'!$$61), "", 'Data Entry'!$$61)</f>
      </c>
      <c r="BL61">
        <f>IF(ISBLANK('Data Entry'!$$61), "", 'Data Entry'!$$61)</f>
      </c>
      <c r="BM61">
        <f>IF(ISBLANK('Data Entry'!$$61), "", 'Data Entry'!$$61)</f>
      </c>
      <c r="BN61">
        <f>IF(ISBLANK('Data Entry'!$$61), "", 'Data Entry'!$$61)</f>
      </c>
      <c r="BO61">
        <f>IF(ISBLANK('Data Entry'!$$61), "", 'Data Entry'!$$61)</f>
      </c>
      <c r="BP61">
        <f>IF(ISBLANK('Data Entry'!$$61), "", 'Data Entry'!$$61)</f>
      </c>
      <c r="BQ61">
        <f>IF(ISBLANK('Data Entry'!$$61), "", 'Data Entry'!$$61)</f>
      </c>
      <c r="BR61">
        <f>IF(ISBLANK('Data Entry'!$$61), "", 'Data Entry'!$$61)</f>
      </c>
      <c r="BS61">
        <f>IF(ISBLANK('Data Entry'!$$61), "", 'Data Entry'!$$61)</f>
      </c>
      <c r="BT61">
        <f>IF(ISBLANK('Data Entry'!$$61), "", 'Data Entry'!$$61)</f>
      </c>
      <c r="BU61">
        <f>IF(ISBLANK('Data Entry'!$$61), "", 'Data Entry'!$$61)</f>
      </c>
      <c r="BV61">
        <f>IF(ISBLANK('Data Entry'!$$61), "", 'Data Entry'!$$61)</f>
      </c>
      <c r="BW61">
        <f>IF(ISBLANK('Data Entry'!$$61), "", 'Data Entry'!$$61)</f>
      </c>
      <c r="BX61">
        <f>IF(ISBLANK('Data Entry'!$$61), "", 'Data Entry'!$$61)</f>
      </c>
      <c r="BY61">
        <f>IF(ISBLANK('Data Entry'!$$61), "", 'Data Entry'!$$61)</f>
      </c>
      <c r="BZ61">
        <f>IF(ISBLANK('Data Entry'!$$61), "", 'Data Entry'!$$61)</f>
      </c>
      <c r="CA61">
        <f>IF(ISBLANK('Data Entry'!$$61), "", 'Data Entry'!$$61)</f>
      </c>
      <c r="CB61">
        <f>IF(ISBLANK('Data Entry'!$$61), "", 'Data Entry'!$$61)</f>
      </c>
      <c r="CC61">
        <f>IF(ISBLANK('Data Entry'!$$61), "", 'Data Entry'!$$61)</f>
      </c>
      <c r="CD61">
        <f>IF(ISBLANK('Data Entry'!$$61), "", 'Data Entry'!$$61)</f>
      </c>
      <c r="CE61">
        <f>IF(ISBLANK('Data Entry'!$$61), "", 'Data Entry'!$$61)</f>
      </c>
      <c r="CF61">
        <f>IF(ISBLANK('Data Entry'!$$61), "", 'Data Entry'!$$61)</f>
      </c>
      <c r="CG61">
        <f>IF(ISBLANK('Data Entry'!$$61), "", 'Data Entry'!$$61)</f>
      </c>
      <c r="CH61">
        <f>IF(ISBLANK('Data Entry'!$$61), "", 'Data Entry'!$$61)</f>
      </c>
      <c r="CI61">
        <f>IF(ISBLANK('Data Entry'!$$61), "", 'Data Entry'!$$61)</f>
      </c>
      <c r="CJ61">
        <f>IF(ISBLANK('Data Entry'!$$61), "", 'Data Entry'!$$61)</f>
      </c>
      <c r="CK61">
        <f>IF(ISBLANK('Data Entry'!$$61), "", 'Data Entry'!$$61)</f>
      </c>
      <c r="CL61">
        <f>IF(ISBLANK('Data Entry'!$$61), "", 'Data Entry'!$$61)</f>
      </c>
      <c r="CM61">
        <f>IF(ISBLANK('Data Entry'!$$61), "", 'Data Entry'!$$61)</f>
      </c>
      <c r="CN61">
        <f>IF(ISBLANK('Data Entry'!$$61), "", 'Data Entry'!$$61)</f>
      </c>
      <c r="CO61">
        <f>IF(ISBLANK('Data Entry'!$$61), "", 'Data Entry'!$$61)</f>
      </c>
      <c r="CP61">
        <f>IF(ISBLANK('Data Entry'!$$61), "", 'Data Entry'!$$61)</f>
      </c>
      <c r="CQ61">
        <f>IF(ISBLANK('Data Entry'!$$61), "", 'Data Entry'!$$61)</f>
      </c>
      <c r="CR61">
        <f>IF(ISBLANK('Data Entry'!$ $61), "", 'Data Entry'!$ $61)</f>
      </c>
      <c r="CS61">
        <f>IF(ISBLANK('Data Entry'!$¡$61), "", 'Data Entry'!$¡$61)</f>
      </c>
      <c r="CT61">
        <f>IF(ISBLANK('Data Entry'!$¢$61), "", 'Data Entry'!$¢$61)</f>
      </c>
      <c r="CU61">
        <f>IF(ISBLANK('Data Entry'!$£$61), "", 'Data Entry'!$£$61)</f>
      </c>
      <c r="CV61">
        <f>IF(ISBLANK('Data Entry'!$¤$61), "", 'Data Entry'!$¤$61)</f>
      </c>
      <c r="CW61">
        <f>IF(ISBLANK('Data Entry'!$¥$61), "", 'Data Entry'!$¥$61)</f>
      </c>
      <c r="CX61">
        <f>IF(ISBLANK('Data Entry'!$¦$61), "", 'Data Entry'!$¦$61)</f>
      </c>
      <c r="CY61">
        <f>IF(ISBLANK('Data Entry'!$§$61), "", 'Data Entry'!$§$61)</f>
      </c>
      <c r="CZ61">
        <f>IF(ISBLANK('Data Entry'!$¨$61), "", 'Data Entry'!$¨$61)</f>
      </c>
      <c r="DA61">
        <f>IF(ISBLANK('Data Entry'!$©$61), "", 'Data Entry'!$©$61)</f>
      </c>
      <c r="DB61">
        <f>IF(ISBLANK('Data Entry'!$ª$61), "", 'Data Entry'!$ª$61)</f>
      </c>
      <c r="DC61">
        <f>IF(ISBLANK('Data Entry'!$«$61), "", 'Data Entry'!$«$61)</f>
      </c>
      <c r="DD61">
        <f>IF(ISBLANK('Data Entry'!$¬$61), "", 'Data Entry'!$¬$61)</f>
      </c>
      <c r="DE61">
        <f>IF(ISBLANK('Data Entry'!$­$61), "", 'Data Entry'!$­$61)</f>
      </c>
      <c r="DF61">
        <f>IF(ISBLANK('Data Entry'!$®$61), "", 'Data Entry'!$®$61)</f>
      </c>
      <c r="DG61">
        <f>IF(ISBLANK('Data Entry'!$¯$61), "", 'Data Entry'!$¯$61)</f>
      </c>
      <c r="DH61">
        <f>IF(ISBLANK('Data Entry'!$°$61), "", 'Data Entry'!$°$61)</f>
      </c>
      <c r="DI61">
        <f>IF(ISBLANK('Data Entry'!$±$61), "", 'Data Entry'!$±$61)</f>
      </c>
      <c r="DJ61">
        <f>IF(ISBLANK('Data Entry'!$²$61), "", 'Data Entry'!$²$61)</f>
      </c>
      <c r="DK61">
        <f>IF(ISBLANK('Data Entry'!$³$61), "", 'Data Entry'!$³$61)</f>
      </c>
      <c r="DL61">
        <f>IF(ISBLANK('Data Entry'!$´$61), "", 'Data Entry'!$´$61)</f>
      </c>
      <c r="DM61">
        <f>IF(ISBLANK('Data Entry'!$µ$61), "", 'Data Entry'!$µ$61)</f>
      </c>
      <c r="DN61">
        <f>IF(ISBLANK('Data Entry'!$¶$61), "", 'Data Entry'!$¶$61)</f>
      </c>
      <c r="DO61">
        <f>IF(ISBLANK('Data Entry'!$·$61), "", 'Data Entry'!$·$61)</f>
      </c>
      <c r="DP61">
        <f>IF(ISBLANK('Data Entry'!$¸$61), "", 'Data Entry'!$¸$61)</f>
      </c>
      <c r="DQ61">
        <f>IF(ISBLANK('Data Entry'!$¹$61), "", 'Data Entry'!$¹$61)</f>
      </c>
      <c r="DR61">
        <f>IF(ISBLANK('Data Entry'!$º$61), "", 'Data Entry'!$º$61)</f>
      </c>
      <c r="DS61">
        <f>IF(ISBLANK('Data Entry'!$»$61), "", 'Data Entry'!$»$61)</f>
      </c>
      <c r="DT61">
        <f>IF(ISBLANK('Data Entry'!$¼$61), "", 'Data Entry'!$¼$61)</f>
      </c>
      <c r="DU61">
        <f>IF(ISBLANK('Data Entry'!$½$61), "", 'Data Entry'!$½$61)</f>
      </c>
      <c r="DV61">
        <f>IF(ISBLANK('Data Entry'!$¾$61), "", 'Data Entry'!$¾$61)</f>
      </c>
      <c r="DW61">
        <f>IF(ISBLANK('Data Entry'!$¿$61), "", 'Data Entry'!$¿$61)</f>
      </c>
      <c r="DX61">
        <f>IF(ISBLANK('Data Entry'!$À$61), "", 'Data Entry'!$À$61)</f>
      </c>
      <c r="DY61">
        <f>IF(ISBLANK('Data Entry'!$Á$61), "", 'Data Entry'!$Á$61)</f>
      </c>
      <c r="DZ61">
        <f>IF(ISBLANK('Data Entry'!$Â$61), "", 'Data Entry'!$Â$61)</f>
      </c>
      <c r="EA61">
        <f>IF(ISBLANK('Data Entry'!$Ã$61), "", 'Data Entry'!$Ã$61)</f>
      </c>
      <c r="EB61">
        <f>IF(ISBLANK('Data Entry'!$Ä$61), "", 'Data Entry'!$Ä$61)</f>
      </c>
      <c r="EC61">
        <f>IF(ISBLANK('Data Entry'!$Å$61), "", 'Data Entry'!$Å$61)</f>
      </c>
      <c r="ED61">
        <f>IF(ISBLANK('Data Entry'!$Æ$61), "", 'Data Entry'!$Æ$61)</f>
      </c>
      <c r="EE61">
        <f>IF(ISBLANK('Data Entry'!$Ç$61), "", 'Data Entry'!$Ç$61)</f>
      </c>
      <c r="EF61">
        <f>IF(ISBLANK('Data Entry'!$È$61), "", 'Data Entry'!$È$61)</f>
      </c>
      <c r="EG61">
        <f>IF(ISBLANK('Data Entry'!$É$61), "", 'Data Entry'!$É$61)</f>
      </c>
      <c r="EH61">
        <f>IF(ISBLANK('Data Entry'!$Ê$61), "", 'Data Entry'!$Ê$61)</f>
      </c>
      <c r="EI61">
        <f>IF(ISBLANK('Data Entry'!$Ë$61), "", 'Data Entry'!$Ë$61)</f>
      </c>
      <c r="EJ61">
        <f>IF(ISBLANK('Data Entry'!$Ì$61), "", 'Data Entry'!$Ì$61)</f>
      </c>
      <c r="EK61">
        <f>IF(ISBLANK('Data Entry'!$Í$61), "", 'Data Entry'!$Í$61)</f>
      </c>
      <c r="EL61">
        <f>IF(ISBLANK('Data Entry'!$Î$61), "", 'Data Entry'!$Î$61)</f>
      </c>
      <c r="EM61">
        <f>IF(ISBLANK('Data Entry'!$Ï$61), "", 'Data Entry'!$Ï$61)</f>
      </c>
      <c r="EN61">
        <f>IF(ISBLANK('Data Entry'!$Ð$61), "", 'Data Entry'!$Ð$61)</f>
      </c>
      <c r="EO61">
        <f>IF(ISBLANK('Data Entry'!$Ñ$61), "", 'Data Entry'!$Ñ$61)</f>
      </c>
      <c r="EP61">
        <f>IF(ISBLANK('Data Entry'!$Ò$61), "", 'Data Entry'!$Ò$61)</f>
      </c>
      <c r="EQ61">
        <f>IF(ISBLANK('Data Entry'!$Ó$61), "", 'Data Entry'!$Ó$61)</f>
      </c>
      <c r="ER61">
        <f>IF(ISBLANK('Data Entry'!$Ô$61), "", 'Data Entry'!$Ô$61)</f>
      </c>
      <c r="ES61">
        <f>IF(ISBLANK('Data Entry'!$Õ$61), "", 'Data Entry'!$Õ$61)</f>
      </c>
      <c r="ET61">
        <f>IF(ISBLANK('Data Entry'!$Ö$61), "", 'Data Entry'!$Ö$61)</f>
      </c>
      <c r="EU61">
        <f>IF(ISBLANK('Data Entry'!$×$61), "", 'Data Entry'!$×$61)</f>
      </c>
      <c r="EV61">
        <f>IF(ISBLANK('Data Entry'!$Ø$61), "", 'Data Entry'!$Ø$61)</f>
      </c>
      <c r="EW61">
        <f>IF(ISBLANK('Data Entry'!$Ù$61), "", 'Data Entry'!$Ù$61)</f>
      </c>
      <c r="EX61">
        <f>IF(ISBLANK('Data Entry'!$Ú$61), "", 'Data Entry'!$Ú$61)</f>
      </c>
      <c r="EY61">
        <f>IF(ISBLANK('Data Entry'!$Û$61), "", 'Data Entry'!$Û$61)</f>
      </c>
      <c r="EZ61">
        <f>IF(ISBLANK('Data Entry'!$Ü$61), "", 'Data Entry'!$Ü$61)</f>
      </c>
      <c r="FA61">
        <f>IF(ISBLANK('Data Entry'!$Ý$61), "", 'Data Entry'!$Ý$61)</f>
      </c>
      <c r="FB61">
        <f>IF(ISBLANK('Data Entry'!$Þ$61), "", 'Data Entry'!$Þ$61)</f>
      </c>
      <c r="FC61">
        <f>IF(ISBLANK('Data Entry'!$ß$61), "", 'Data Entry'!$ß$61)</f>
      </c>
      <c r="FD61">
        <f>IF(ISBLANK('Data Entry'!$à$61), "", 'Data Entry'!$à$61)</f>
      </c>
      <c r="FE61">
        <f>IF(ISBLANK('Data Entry'!$á$61), "", 'Data Entry'!$á$61)</f>
      </c>
      <c r="FF61">
        <f>IF(ISBLANK('Data Entry'!$â$61), "", 'Data Entry'!$â$61)</f>
      </c>
      <c r="FG61">
        <f>IF(ISBLANK('Data Entry'!$ã$61), "", 'Data Entry'!$ã$61)</f>
      </c>
      <c r="FH61">
        <f>IF(ISBLANK('Data Entry'!$ä$61), "", 'Data Entry'!$ä$61)</f>
      </c>
      <c r="FI61">
        <f>IF(ISBLANK('Data Entry'!$å$61), "", 'Data Entry'!$å$61)</f>
      </c>
      <c r="FJ61">
        <f>IF(ISBLANK('Data Entry'!$æ$61), "", 'Data Entry'!$æ$61)</f>
      </c>
      <c r="FK61">
        <f>IF(ISBLANK('Data Entry'!$ç$61), "", 'Data Entry'!$ç$61)</f>
      </c>
      <c r="FL61">
        <f>IF(ISBLANK('Data Entry'!$è$61), "", 'Data Entry'!$è$61)</f>
      </c>
      <c r="FM61">
        <f>IF(ISBLANK('Data Entry'!$é$61), "", 'Data Entry'!$é$61)</f>
      </c>
      <c r="FN61">
        <f>IF(ISBLANK('Data Entry'!$ê$61), "", 'Data Entry'!$ê$61)</f>
      </c>
      <c r="FO61">
        <f>IF(ISBLANK('Data Entry'!$ë$61), "", 'Data Entry'!$ë$61)</f>
      </c>
      <c r="FP61">
        <f>IF(ISBLANK('Data Entry'!$ì$61), "", 'Data Entry'!$ì$61)</f>
      </c>
      <c r="FQ61">
        <f>IF(ISBLANK('Data Entry'!$í$61), "", 'Data Entry'!$í$61)</f>
      </c>
      <c r="FR61">
        <f>IF(ISBLANK('Data Entry'!$î$61), "", 'Data Entry'!$î$61)</f>
      </c>
      <c r="FS61">
        <f>IF(ISBLANK('Data Entry'!$ï$61), "", 'Data Entry'!$ï$61)</f>
      </c>
      <c r="FT61">
        <f>IF(ISBLANK('Data Entry'!$ð$61), "", 'Data Entry'!$ð$61)</f>
      </c>
      <c r="FU61">
        <f>IF(ISBLANK('Data Entry'!$ñ$61), "", 'Data Entry'!$ñ$61)</f>
      </c>
      <c r="FV61">
        <f>IF(ISBLANK('Data Entry'!$ò$61), "", 'Data Entry'!$ò$61)</f>
      </c>
      <c r="FW61">
        <f>IF(ISBLANK('Data Entry'!$ó$61), "", 'Data Entry'!$ó$61)</f>
      </c>
      <c r="FX61">
        <f>IF(ISBLANK('Data Entry'!$ô$61), "", 'Data Entry'!$ô$61)</f>
      </c>
      <c r="FY61">
        <f>IF(ISBLANK('Data Entry'!$õ$61), "", 'Data Entry'!$õ$61)</f>
      </c>
      <c r="FZ61">
        <f>IF(ISBLANK('Data Entry'!$ö$61), "", 'Data Entry'!$ö$61)</f>
      </c>
      <c r="GA61">
        <f>IF(ISBLANK('Data Entry'!$÷$61), "", 'Data Entry'!$÷$61)</f>
      </c>
      <c r="GB61">
        <f>IF(ISBLANK('Data Entry'!$ø$61), "", 'Data Entry'!$ø$61)</f>
      </c>
      <c r="GC61">
        <f>IF(ISBLANK('Data Entry'!$ù$61), "", 'Data Entry'!$ù$61)</f>
      </c>
      <c r="GD61">
        <f>IF(ISBLANK('Data Entry'!$ú$61), "", 'Data Entry'!$ú$61)</f>
      </c>
      <c r="GE61">
        <f>IF(ISBLANK('Data Entry'!$û$61), "", 'Data Entry'!$û$61)</f>
      </c>
      <c r="GF61">
        <f>IF(ISBLANK('Data Entry'!$ü$61), "", 'Data Entry'!$ü$61)</f>
      </c>
      <c r="GG61">
        <f>IF(ISBLANK('Data Entry'!$ý$61), "", 'Data Entry'!$ý$61)</f>
      </c>
      <c r="GH61">
        <f>IF(ISBLANK('Data Entry'!$þ$61), "", 'Data Entry'!$þ$61)</f>
      </c>
      <c r="GI61">
        <f>IF(ISBLANK('Data Entry'!$ÿ$61), "", 'Data Entry'!$ÿ$61)</f>
      </c>
      <c r="GJ61">
        <f>IF(ISBLANK('Data Entry'!$Ā$61), "", 'Data Entry'!$Ā$61)</f>
      </c>
      <c r="GK61">
        <f>IF(ISBLANK('Data Entry'!$ā$61), "", 'Data Entry'!$ā$61)</f>
      </c>
      <c r="GL61">
        <f>IF(ISBLANK('Data Entry'!$Ă$61), "", 'Data Entry'!$Ă$61)</f>
      </c>
      <c r="GM61">
        <f>IF(ISBLANK('Data Entry'!$ă$61), "", 'Data Entry'!$ă$61)</f>
      </c>
      <c r="GN61">
        <f>IF(ISBLANK('Data Entry'!$Ą$61), "", 'Data Entry'!$Ą$61)</f>
      </c>
      <c r="GO61">
        <f>IF(ISBLANK('Data Entry'!$ą$61), "", 'Data Entry'!$ą$61)</f>
      </c>
      <c r="GP61">
        <f>IF(ISBLANK('Data Entry'!$Ć$61), "", 'Data Entry'!$Ć$61)</f>
      </c>
      <c r="GQ61">
        <f>IF(ISBLANK('Data Entry'!$ć$61), "", 'Data Entry'!$ć$61)</f>
      </c>
      <c r="GR61">
        <f>IF(ISBLANK('Data Entry'!$Ĉ$61), "", 'Data Entry'!$Ĉ$61)</f>
      </c>
      <c r="GS61">
        <f>IF(ISBLANK('Data Entry'!$ĉ$61), "", 'Data Entry'!$ĉ$61)</f>
      </c>
      <c r="GT61">
        <f>IF(ISBLANK('Data Entry'!$Ċ$61), "", 'Data Entry'!$Ċ$61)</f>
      </c>
      <c r="GU61">
        <f>IF(ISBLANK('Data Entry'!$ċ$61), "", 'Data Entry'!$ċ$61)</f>
      </c>
      <c r="GV61">
        <f>IF(ISBLANK('Data Entry'!$Č$61), "", 'Data Entry'!$Č$61)</f>
      </c>
      <c r="GW61">
        <f>IF(ISBLANK('Data Entry'!$č$61), "", 'Data Entry'!$č$61)</f>
      </c>
      <c r="GX61">
        <f>IF(ISBLANK('Data Entry'!$Ď$61), "", 'Data Entry'!$Ď$61)</f>
      </c>
      <c r="GY61">
        <f>IF(ISBLANK('Data Entry'!$ď$61), "", 'Data Entry'!$ď$61)</f>
      </c>
      <c r="GZ61">
        <f>IF(ISBLANK('Data Entry'!$Đ$61), "", 'Data Entry'!$Đ$61)</f>
      </c>
      <c r="HA61">
        <f>IF(ISBLANK('Data Entry'!$đ$61), "", 'Data Entry'!$đ$61)</f>
      </c>
      <c r="HB61">
        <f>IF(ISBLANK('Data Entry'!$Ē$61), "", 'Data Entry'!$Ē$61)</f>
      </c>
      <c r="HC61">
        <f>IF(ISBLANK('Data Entry'!$ē$61), "", 'Data Entry'!$ē$61)</f>
      </c>
      <c r="HD61">
        <f>IF(ISBLANK('Data Entry'!$Ĕ$61), "", 'Data Entry'!$Ĕ$61)</f>
      </c>
      <c r="HE61">
        <f>IF(ISBLANK('Data Entry'!$ĕ$61), "", 'Data Entry'!$ĕ$61)</f>
      </c>
      <c r="HF61">
        <f>IF(ISBLANK('Data Entry'!$Ė$61), "", 'Data Entry'!$Ė$61)</f>
      </c>
      <c r="HG61">
        <f>IF(ISBLANK('Data Entry'!$ė$61), "", 'Data Entry'!$ė$61)</f>
      </c>
      <c r="HH61">
        <f>IF(ISBLANK('Data Entry'!$Ę$61), "", 'Data Entry'!$Ę$61)</f>
      </c>
      <c r="HI61">
        <f>IF(ISBLANK('Data Entry'!$ę$61), "", 'Data Entry'!$ę$61)</f>
      </c>
      <c r="HJ61">
        <f>IF(ISBLANK('Data Entry'!$Ě$61), "", 'Data Entry'!$Ě$61)</f>
      </c>
      <c r="HK61">
        <f>IF(ISBLANK('Data Entry'!$ě$61), "", 'Data Entry'!$ě$61)</f>
      </c>
      <c r="HL61">
        <f>IF(ISBLANK('Data Entry'!$Ĝ$61), "", 'Data Entry'!$Ĝ$61)</f>
      </c>
      <c r="HM61">
        <f>IF(ISBLANK('Data Entry'!$ĝ$61), "", 'Data Entry'!$ĝ$61)</f>
      </c>
      <c r="HN61">
        <f>IF(ISBLANK('Data Entry'!$Ğ$61), "", 'Data Entry'!$Ğ$61)</f>
      </c>
      <c r="HO61">
        <f>IF(ISBLANK('Data Entry'!$ğ$61), "", 'Data Entry'!$ğ$61)</f>
      </c>
      <c r="HP61">
        <f>IF(ISBLANK('Data Entry'!$Ġ$61), "", 'Data Entry'!$Ġ$61)</f>
      </c>
      <c r="HQ61">
        <f>IF(ISBLANK('Data Entry'!$ġ$61), "", 'Data Entry'!$ġ$61)</f>
      </c>
      <c r="HR61">
        <f>IF(ISBLANK('Data Entry'!$Ģ$61), "", 'Data Entry'!$Ģ$61)</f>
      </c>
      <c r="HS61">
        <f>IF(ISBLANK('Data Entry'!$ģ$61), "", 'Data Entry'!$ģ$61)</f>
      </c>
      <c r="HT61">
        <f>IF(ISBLANK('Data Entry'!$Ĥ$61), "", 'Data Entry'!$Ĥ$61)</f>
      </c>
      <c r="HU61">
        <f>IF(ISBLANK('Data Entry'!$ĥ$61), "", 'Data Entry'!$ĥ$61)</f>
      </c>
      <c r="HV61">
        <f>IF(ISBLANK('Data Entry'!$Ħ$61), "", 'Data Entry'!$Ħ$61)</f>
      </c>
      <c r="HW61">
        <f>IF(ISBLANK('Data Entry'!$ħ$61), "", 'Data Entry'!$ħ$61)</f>
      </c>
      <c r="HX61">
        <f>IF(ISBLANK('Data Entry'!$Ĩ$61), "", 'Data Entry'!$Ĩ$61)</f>
      </c>
      <c r="HY61">
        <f>IF(ISBLANK('Data Entry'!$ĩ$61), "", 'Data Entry'!$ĩ$61)</f>
      </c>
      <c r="HZ61">
        <f>IF(ISBLANK('Data Entry'!$Ī$61), "", 'Data Entry'!$Ī$61)</f>
      </c>
      <c r="IA61">
        <f>IF(ISBLANK('Data Entry'!$ī$61), "", 'Data Entry'!$ī$61)</f>
      </c>
      <c r="IB61">
        <f>IF(ISBLANK('Data Entry'!$Ĭ$61), "", 'Data Entry'!$Ĭ$61)</f>
      </c>
      <c r="IC61">
        <f>IF(ISBLANK('Data Entry'!$ĭ$61), "", 'Data Entry'!$ĭ$61)</f>
      </c>
      <c r="ID61">
        <f>IF(ISBLANK('Data Entry'!$Į$61), "", 'Data Entry'!$Į$61)</f>
      </c>
      <c r="IE61">
        <f>IF(ISBLANK('Data Entry'!$į$61), "", 'Data Entry'!$į$61)</f>
      </c>
      <c r="IF61">
        <f>IF(ISBLANK('Data Entry'!$İ$61), "", 'Data Entry'!$İ$61)</f>
      </c>
      <c r="IG61">
        <f>IF(ISBLANK('Data Entry'!$ı$61), "", 'Data Entry'!$ı$61)</f>
      </c>
      <c r="IH61">
        <f>IF(ISBLANK('Data Entry'!$Ĳ$61), "", 'Data Entry'!$Ĳ$61)</f>
      </c>
      <c r="II61">
        <f>IF(ISBLANK('Data Entry'!$ĳ$61), "", 'Data Entry'!$ĳ$61)</f>
      </c>
      <c r="IJ61">
        <f>IF(ISBLANK('Data Entry'!$Ĵ$61), "", 'Data Entry'!$Ĵ$61)</f>
      </c>
      <c r="IK61">
        <f>IF(ISBLANK('Data Entry'!$ĵ$61), "", 'Data Entry'!$ĵ$61)</f>
      </c>
      <c r="IL61">
        <f>IF(ISBLANK('Data Entry'!$Ķ$61), "", 'Data Entry'!$Ķ$61)</f>
      </c>
      <c r="IM61">
        <f>IF(ISBLANK('Data Entry'!$ķ$61), "", 'Data Entry'!$ķ$61)</f>
      </c>
      <c r="IN61">
        <f>IF(ISBLANK('Data Entry'!$ĸ$61), "", 'Data Entry'!$ĸ$61)</f>
      </c>
      <c r="IO61">
        <f>IF(ISBLANK('Data Entry'!$Ĺ$61), "", 'Data Entry'!$Ĺ$61)</f>
      </c>
      <c r="IP61">
        <f>IF(ISBLANK('Data Entry'!$ĺ$61), "", 'Data Entry'!$ĺ$61)</f>
      </c>
      <c r="IQ61">
        <f>IF(ISBLANK('Data Entry'!$Ļ$61), "", 'Data Entry'!$Ļ$61)</f>
      </c>
      <c r="IR61">
        <f>IF(ISBLANK('Data Entry'!$ļ$61), "", 'Data Entry'!$ļ$61)</f>
      </c>
      <c r="IS61">
        <f>IF(ISBLANK('Data Entry'!$Ľ$61), "", 'Data Entry'!$Ľ$61)</f>
      </c>
      <c r="IT61">
        <f>IF(ISBLANK('Data Entry'!$ľ$61), "", 'Data Entry'!$ľ$61)</f>
      </c>
    </row>
    <row r="62" spans="1:254" x14ac:dyDescent="0.25">
      <c r="A62">
        <f>IF(ISBLANK('Data Entry'!$A$62), "", 'Data Entry'!$A$62)</f>
      </c>
      <c r="B62">
        <f>IF(ISBLANK('Data Entry'!$B$62), "", 'Data Entry'!$B$62)</f>
      </c>
      <c r="C62">
        <f>IF(ISBLANK('Data Entry'!$C$62), "", 'Data Entry'!$C$62)</f>
      </c>
      <c r="D62">
        <f>IF(ISBLANK('Data Entry'!$D$62), "", 'Data Entry'!$D$62)</f>
      </c>
      <c r="E62">
        <f>IF(ISBLANK('Data Entry'!$E$62), "", 'Data Entry'!$E$62)</f>
      </c>
      <c r="F62">
        <f>IF(ISBLANK('Data Entry'!$F$62), "", 'Data Entry'!$F$62)</f>
      </c>
      <c r="G62">
        <f>IF(ISBLANK('Data Entry'!$G$62), "", 'Data Entry'!$G$62)</f>
      </c>
      <c r="H62">
        <f>IF(ISBLANK('Data Entry'!$H$62), "", 'Data Entry'!$H$62)</f>
      </c>
      <c r="I62">
        <f>IF(ISBLANK('Data Entry'!$I$62), "", 'Data Entry'!$I$62)</f>
      </c>
      <c r="J62">
        <f>IF(ISBLANK('Data Entry'!$J$62), "", 'Data Entry'!$J$62)</f>
      </c>
      <c r="K62">
        <f>IF(ISBLANK('Data Entry'!$K$62), "", 'Data Entry'!$K$62)</f>
      </c>
      <c r="L62">
        <f>IF(ISBLANK('Data Entry'!$L$62), "", 'Data Entry'!$L$62)</f>
      </c>
      <c r="M62">
        <f>IF(ISBLANK('Data Entry'!$M$62), "", 'Data Entry'!$M$62)</f>
      </c>
      <c r="N62">
        <f>IF(ISBLANK('Data Entry'!$N$62), "", 'Data Entry'!$N$62)</f>
      </c>
      <c r="O62">
        <f>IF(ISBLANK('Data Entry'!$O$62), "", 'Data Entry'!$O$62)</f>
      </c>
      <c r="P62">
        <f>IF(ISBLANK('Data Entry'!$P$62), "", 'Data Entry'!$P$62)</f>
      </c>
      <c r="Q62">
        <f>IF(ISBLANK('Data Entry'!$Q$62), "", 'Data Entry'!$Q$62)</f>
      </c>
      <c r="R62">
        <f>IF(ISBLANK('Data Entry'!$R$62), "", 'Data Entry'!$R$62)</f>
      </c>
      <c r="S62">
        <f>IF(ISBLANK('Data Entry'!$S$62), "", 'Data Entry'!$S$62)</f>
      </c>
      <c r="T62">
        <f>IF(ISBLANK('Data Entry'!$T$62), "", 'Data Entry'!$T$62)</f>
      </c>
      <c r="U62">
        <f>IF(ISBLANK('Data Entry'!$U$62), "", 'Data Entry'!$U$62)</f>
      </c>
      <c r="V62">
        <f>IF(ISBLANK('Data Entry'!$V$62), "", 'Data Entry'!$V$62)</f>
      </c>
      <c r="W62">
        <f>IF(ISBLANK('Data Entry'!$W$62), "", 'Data Entry'!$W$62)</f>
      </c>
      <c r="X62">
        <f>IF(ISBLANK('Data Entry'!$X$62), "", 'Data Entry'!$X$62)</f>
      </c>
      <c r="Y62">
        <f>IF(ISBLANK('Data Entry'!$Y$62), "", 'Data Entry'!$Y$62)</f>
      </c>
      <c r="Z62">
        <f>IF(ISBLANK('Data Entry'!$Z$62), "", 'Data Entry'!$Z$62)</f>
      </c>
      <c r="AA62">
        <f>IF(ISBLANK('Data Entry'!$[$62), "", 'Data Entry'!$[$62)</f>
      </c>
      <c r="AB62">
        <f>IF(ISBLANK('Data Entry'!$\$62), "", 'Data Entry'!$\$62)</f>
      </c>
      <c r="AC62">
        <f>IF(ISBLANK('Data Entry'!$]$62), "", 'Data Entry'!$]$62)</f>
      </c>
      <c r="AD62">
        <f>IF(ISBLANK('Data Entry'!$^$62), "", 'Data Entry'!$^$62)</f>
      </c>
      <c r="AE62">
        <f>IF(ISBLANK('Data Entry'!$_$62), "", 'Data Entry'!$_$62)</f>
      </c>
      <c r="AF62">
        <f>IF(ISBLANK('Data Entry'!$`$62), "", 'Data Entry'!$`$62)</f>
      </c>
      <c r="AG62">
        <f>IF(ISBLANK('Data Entry'!$a$62), "", 'Data Entry'!$a$62)</f>
      </c>
      <c r="AH62">
        <f>IF(ISBLANK('Data Entry'!$b$62), "", 'Data Entry'!$b$62)</f>
      </c>
      <c r="AI62">
        <f>IF(ISBLANK('Data Entry'!$c$62), "", 'Data Entry'!$c$62)</f>
      </c>
      <c r="AJ62">
        <f>IF(ISBLANK('Data Entry'!$d$62), "", 'Data Entry'!$d$62)</f>
      </c>
      <c r="AK62">
        <f>IF(ISBLANK('Data Entry'!$e$62), "", 'Data Entry'!$e$62)</f>
      </c>
      <c r="AL62">
        <f>IF(ISBLANK('Data Entry'!$f$62), "", 'Data Entry'!$f$62)</f>
      </c>
      <c r="AM62">
        <f>IF(ISBLANK('Data Entry'!$g$62), "", 'Data Entry'!$g$62)</f>
      </c>
      <c r="AN62">
        <f>IF(ISBLANK('Data Entry'!$h$62), "", 'Data Entry'!$h$62)</f>
      </c>
      <c r="AO62">
        <f>IF(ISBLANK('Data Entry'!$i$62), "", 'Data Entry'!$i$62)</f>
      </c>
      <c r="AP62">
        <f>IF(ISBLANK('Data Entry'!$j$62), "", 'Data Entry'!$j$62)</f>
      </c>
      <c r="AQ62">
        <f>IF(ISBLANK('Data Entry'!$k$62), "", 'Data Entry'!$k$62)</f>
      </c>
      <c r="AR62">
        <f>IF(ISBLANK('Data Entry'!$l$62), "", 'Data Entry'!$l$62)</f>
      </c>
      <c r="AS62">
        <f>IF(ISBLANK('Data Entry'!$m$62), "", 'Data Entry'!$m$62)</f>
      </c>
      <c r="AT62">
        <f>IF(ISBLANK('Data Entry'!$n$62), "", 'Data Entry'!$n$62)</f>
      </c>
      <c r="AU62">
        <f>IF(ISBLANK('Data Entry'!$o$62), "", 'Data Entry'!$o$62)</f>
      </c>
      <c r="AV62">
        <f>IF(ISBLANK('Data Entry'!$p$62), "", 'Data Entry'!$p$62)</f>
      </c>
      <c r="AW62">
        <f>IF(ISBLANK('Data Entry'!$q$62), "", 'Data Entry'!$q$62)</f>
      </c>
      <c r="AX62">
        <f>IF(ISBLANK('Data Entry'!$r$62), "", 'Data Entry'!$r$62)</f>
      </c>
      <c r="AY62">
        <f>IF(ISBLANK('Data Entry'!$s$62), "", 'Data Entry'!$s$62)</f>
      </c>
      <c r="AZ62">
        <f>IF(ISBLANK('Data Entry'!$t$62), "", 'Data Entry'!$t$62)</f>
      </c>
      <c r="BA62">
        <f>IF(ISBLANK('Data Entry'!$u$62), "", 'Data Entry'!$u$62)</f>
      </c>
      <c r="BB62">
        <f>IF(ISBLANK('Data Entry'!$v$62), "", 'Data Entry'!$v$62)</f>
      </c>
      <c r="BC62">
        <f>IF(ISBLANK('Data Entry'!$w$62), "", 'Data Entry'!$w$62)</f>
      </c>
      <c r="BD62">
        <f>IF(ISBLANK('Data Entry'!$x$62), "", 'Data Entry'!$x$62)</f>
      </c>
      <c r="BE62">
        <f>IF(ISBLANK('Data Entry'!$y$62), "", 'Data Entry'!$y$62)</f>
      </c>
      <c r="BF62">
        <f>IF(ISBLANK('Data Entry'!$z$62), "", 'Data Entry'!$z$62)</f>
      </c>
      <c r="BG62">
        <f>IF(ISBLANK('Data Entry'!${$62), "", 'Data Entry'!${$62)</f>
      </c>
      <c r="BH62">
        <f>IF(ISBLANK('Data Entry'!$|$62), "", 'Data Entry'!$|$62)</f>
      </c>
      <c r="BI62">
        <f>IF(ISBLANK('Data Entry'!$}$62), "", 'Data Entry'!$}$62)</f>
      </c>
      <c r="BJ62">
        <f>IF(ISBLANK('Data Entry'!$~$62), "", 'Data Entry'!$~$62)</f>
      </c>
      <c r="BK62">
        <f>IF(ISBLANK('Data Entry'!$$62), "", 'Data Entry'!$$62)</f>
      </c>
      <c r="BL62">
        <f>IF(ISBLANK('Data Entry'!$$62), "", 'Data Entry'!$$62)</f>
      </c>
      <c r="BM62">
        <f>IF(ISBLANK('Data Entry'!$$62), "", 'Data Entry'!$$62)</f>
      </c>
      <c r="BN62">
        <f>IF(ISBLANK('Data Entry'!$$62), "", 'Data Entry'!$$62)</f>
      </c>
      <c r="BO62">
        <f>IF(ISBLANK('Data Entry'!$$62), "", 'Data Entry'!$$62)</f>
      </c>
      <c r="BP62">
        <f>IF(ISBLANK('Data Entry'!$$62), "", 'Data Entry'!$$62)</f>
      </c>
      <c r="BQ62">
        <f>IF(ISBLANK('Data Entry'!$$62), "", 'Data Entry'!$$62)</f>
      </c>
      <c r="BR62">
        <f>IF(ISBLANK('Data Entry'!$$62), "", 'Data Entry'!$$62)</f>
      </c>
      <c r="BS62">
        <f>IF(ISBLANK('Data Entry'!$$62), "", 'Data Entry'!$$62)</f>
      </c>
      <c r="BT62">
        <f>IF(ISBLANK('Data Entry'!$$62), "", 'Data Entry'!$$62)</f>
      </c>
      <c r="BU62">
        <f>IF(ISBLANK('Data Entry'!$$62), "", 'Data Entry'!$$62)</f>
      </c>
      <c r="BV62">
        <f>IF(ISBLANK('Data Entry'!$$62), "", 'Data Entry'!$$62)</f>
      </c>
      <c r="BW62">
        <f>IF(ISBLANK('Data Entry'!$$62), "", 'Data Entry'!$$62)</f>
      </c>
      <c r="BX62">
        <f>IF(ISBLANK('Data Entry'!$$62), "", 'Data Entry'!$$62)</f>
      </c>
      <c r="BY62">
        <f>IF(ISBLANK('Data Entry'!$$62), "", 'Data Entry'!$$62)</f>
      </c>
      <c r="BZ62">
        <f>IF(ISBLANK('Data Entry'!$$62), "", 'Data Entry'!$$62)</f>
      </c>
      <c r="CA62">
        <f>IF(ISBLANK('Data Entry'!$$62), "", 'Data Entry'!$$62)</f>
      </c>
      <c r="CB62">
        <f>IF(ISBLANK('Data Entry'!$$62), "", 'Data Entry'!$$62)</f>
      </c>
      <c r="CC62">
        <f>IF(ISBLANK('Data Entry'!$$62), "", 'Data Entry'!$$62)</f>
      </c>
      <c r="CD62">
        <f>IF(ISBLANK('Data Entry'!$$62), "", 'Data Entry'!$$62)</f>
      </c>
      <c r="CE62">
        <f>IF(ISBLANK('Data Entry'!$$62), "", 'Data Entry'!$$62)</f>
      </c>
      <c r="CF62">
        <f>IF(ISBLANK('Data Entry'!$$62), "", 'Data Entry'!$$62)</f>
      </c>
      <c r="CG62">
        <f>IF(ISBLANK('Data Entry'!$$62), "", 'Data Entry'!$$62)</f>
      </c>
      <c r="CH62">
        <f>IF(ISBLANK('Data Entry'!$$62), "", 'Data Entry'!$$62)</f>
      </c>
      <c r="CI62">
        <f>IF(ISBLANK('Data Entry'!$$62), "", 'Data Entry'!$$62)</f>
      </c>
      <c r="CJ62">
        <f>IF(ISBLANK('Data Entry'!$$62), "", 'Data Entry'!$$62)</f>
      </c>
      <c r="CK62">
        <f>IF(ISBLANK('Data Entry'!$$62), "", 'Data Entry'!$$62)</f>
      </c>
      <c r="CL62">
        <f>IF(ISBLANK('Data Entry'!$$62), "", 'Data Entry'!$$62)</f>
      </c>
      <c r="CM62">
        <f>IF(ISBLANK('Data Entry'!$$62), "", 'Data Entry'!$$62)</f>
      </c>
      <c r="CN62">
        <f>IF(ISBLANK('Data Entry'!$$62), "", 'Data Entry'!$$62)</f>
      </c>
      <c r="CO62">
        <f>IF(ISBLANK('Data Entry'!$$62), "", 'Data Entry'!$$62)</f>
      </c>
      <c r="CP62">
        <f>IF(ISBLANK('Data Entry'!$$62), "", 'Data Entry'!$$62)</f>
      </c>
      <c r="CQ62">
        <f>IF(ISBLANK('Data Entry'!$$62), "", 'Data Entry'!$$62)</f>
      </c>
      <c r="CR62">
        <f>IF(ISBLANK('Data Entry'!$ $62), "", 'Data Entry'!$ $62)</f>
      </c>
      <c r="CS62">
        <f>IF(ISBLANK('Data Entry'!$¡$62), "", 'Data Entry'!$¡$62)</f>
      </c>
      <c r="CT62">
        <f>IF(ISBLANK('Data Entry'!$¢$62), "", 'Data Entry'!$¢$62)</f>
      </c>
      <c r="CU62">
        <f>IF(ISBLANK('Data Entry'!$£$62), "", 'Data Entry'!$£$62)</f>
      </c>
      <c r="CV62">
        <f>IF(ISBLANK('Data Entry'!$¤$62), "", 'Data Entry'!$¤$62)</f>
      </c>
      <c r="CW62">
        <f>IF(ISBLANK('Data Entry'!$¥$62), "", 'Data Entry'!$¥$62)</f>
      </c>
      <c r="CX62">
        <f>IF(ISBLANK('Data Entry'!$¦$62), "", 'Data Entry'!$¦$62)</f>
      </c>
      <c r="CY62">
        <f>IF(ISBLANK('Data Entry'!$§$62), "", 'Data Entry'!$§$62)</f>
      </c>
      <c r="CZ62">
        <f>IF(ISBLANK('Data Entry'!$¨$62), "", 'Data Entry'!$¨$62)</f>
      </c>
      <c r="DA62">
        <f>IF(ISBLANK('Data Entry'!$©$62), "", 'Data Entry'!$©$62)</f>
      </c>
      <c r="DB62">
        <f>IF(ISBLANK('Data Entry'!$ª$62), "", 'Data Entry'!$ª$62)</f>
      </c>
      <c r="DC62">
        <f>IF(ISBLANK('Data Entry'!$«$62), "", 'Data Entry'!$«$62)</f>
      </c>
      <c r="DD62">
        <f>IF(ISBLANK('Data Entry'!$¬$62), "", 'Data Entry'!$¬$62)</f>
      </c>
      <c r="DE62">
        <f>IF(ISBLANK('Data Entry'!$­$62), "", 'Data Entry'!$­$62)</f>
      </c>
      <c r="DF62">
        <f>IF(ISBLANK('Data Entry'!$®$62), "", 'Data Entry'!$®$62)</f>
      </c>
      <c r="DG62">
        <f>IF(ISBLANK('Data Entry'!$¯$62), "", 'Data Entry'!$¯$62)</f>
      </c>
      <c r="DH62">
        <f>IF(ISBLANK('Data Entry'!$°$62), "", 'Data Entry'!$°$62)</f>
      </c>
      <c r="DI62">
        <f>IF(ISBLANK('Data Entry'!$±$62), "", 'Data Entry'!$±$62)</f>
      </c>
      <c r="DJ62">
        <f>IF(ISBLANK('Data Entry'!$²$62), "", 'Data Entry'!$²$62)</f>
      </c>
      <c r="DK62">
        <f>IF(ISBLANK('Data Entry'!$³$62), "", 'Data Entry'!$³$62)</f>
      </c>
      <c r="DL62">
        <f>IF(ISBLANK('Data Entry'!$´$62), "", 'Data Entry'!$´$62)</f>
      </c>
      <c r="DM62">
        <f>IF(ISBLANK('Data Entry'!$µ$62), "", 'Data Entry'!$µ$62)</f>
      </c>
      <c r="DN62">
        <f>IF(ISBLANK('Data Entry'!$¶$62), "", 'Data Entry'!$¶$62)</f>
      </c>
      <c r="DO62">
        <f>IF(ISBLANK('Data Entry'!$·$62), "", 'Data Entry'!$·$62)</f>
      </c>
      <c r="DP62">
        <f>IF(ISBLANK('Data Entry'!$¸$62), "", 'Data Entry'!$¸$62)</f>
      </c>
      <c r="DQ62">
        <f>IF(ISBLANK('Data Entry'!$¹$62), "", 'Data Entry'!$¹$62)</f>
      </c>
      <c r="DR62">
        <f>IF(ISBLANK('Data Entry'!$º$62), "", 'Data Entry'!$º$62)</f>
      </c>
      <c r="DS62">
        <f>IF(ISBLANK('Data Entry'!$»$62), "", 'Data Entry'!$»$62)</f>
      </c>
      <c r="DT62">
        <f>IF(ISBLANK('Data Entry'!$¼$62), "", 'Data Entry'!$¼$62)</f>
      </c>
      <c r="DU62">
        <f>IF(ISBLANK('Data Entry'!$½$62), "", 'Data Entry'!$½$62)</f>
      </c>
      <c r="DV62">
        <f>IF(ISBLANK('Data Entry'!$¾$62), "", 'Data Entry'!$¾$62)</f>
      </c>
      <c r="DW62">
        <f>IF(ISBLANK('Data Entry'!$¿$62), "", 'Data Entry'!$¿$62)</f>
      </c>
      <c r="DX62">
        <f>IF(ISBLANK('Data Entry'!$À$62), "", 'Data Entry'!$À$62)</f>
      </c>
      <c r="DY62">
        <f>IF(ISBLANK('Data Entry'!$Á$62), "", 'Data Entry'!$Á$62)</f>
      </c>
      <c r="DZ62">
        <f>IF(ISBLANK('Data Entry'!$Â$62), "", 'Data Entry'!$Â$62)</f>
      </c>
      <c r="EA62">
        <f>IF(ISBLANK('Data Entry'!$Ã$62), "", 'Data Entry'!$Ã$62)</f>
      </c>
      <c r="EB62">
        <f>IF(ISBLANK('Data Entry'!$Ä$62), "", 'Data Entry'!$Ä$62)</f>
      </c>
      <c r="EC62">
        <f>IF(ISBLANK('Data Entry'!$Å$62), "", 'Data Entry'!$Å$62)</f>
      </c>
      <c r="ED62">
        <f>IF(ISBLANK('Data Entry'!$Æ$62), "", 'Data Entry'!$Æ$62)</f>
      </c>
      <c r="EE62">
        <f>IF(ISBLANK('Data Entry'!$Ç$62), "", 'Data Entry'!$Ç$62)</f>
      </c>
      <c r="EF62">
        <f>IF(ISBLANK('Data Entry'!$È$62), "", 'Data Entry'!$È$62)</f>
      </c>
      <c r="EG62">
        <f>IF(ISBLANK('Data Entry'!$É$62), "", 'Data Entry'!$É$62)</f>
      </c>
      <c r="EH62">
        <f>IF(ISBLANK('Data Entry'!$Ê$62), "", 'Data Entry'!$Ê$62)</f>
      </c>
      <c r="EI62">
        <f>IF(ISBLANK('Data Entry'!$Ë$62), "", 'Data Entry'!$Ë$62)</f>
      </c>
      <c r="EJ62">
        <f>IF(ISBLANK('Data Entry'!$Ì$62), "", 'Data Entry'!$Ì$62)</f>
      </c>
      <c r="EK62">
        <f>IF(ISBLANK('Data Entry'!$Í$62), "", 'Data Entry'!$Í$62)</f>
      </c>
      <c r="EL62">
        <f>IF(ISBLANK('Data Entry'!$Î$62), "", 'Data Entry'!$Î$62)</f>
      </c>
      <c r="EM62">
        <f>IF(ISBLANK('Data Entry'!$Ï$62), "", 'Data Entry'!$Ï$62)</f>
      </c>
      <c r="EN62">
        <f>IF(ISBLANK('Data Entry'!$Ð$62), "", 'Data Entry'!$Ð$62)</f>
      </c>
      <c r="EO62">
        <f>IF(ISBLANK('Data Entry'!$Ñ$62), "", 'Data Entry'!$Ñ$62)</f>
      </c>
      <c r="EP62">
        <f>IF(ISBLANK('Data Entry'!$Ò$62), "", 'Data Entry'!$Ò$62)</f>
      </c>
      <c r="EQ62">
        <f>IF(ISBLANK('Data Entry'!$Ó$62), "", 'Data Entry'!$Ó$62)</f>
      </c>
      <c r="ER62">
        <f>IF(ISBLANK('Data Entry'!$Ô$62), "", 'Data Entry'!$Ô$62)</f>
      </c>
      <c r="ES62">
        <f>IF(ISBLANK('Data Entry'!$Õ$62), "", 'Data Entry'!$Õ$62)</f>
      </c>
      <c r="ET62">
        <f>IF(ISBLANK('Data Entry'!$Ö$62), "", 'Data Entry'!$Ö$62)</f>
      </c>
      <c r="EU62">
        <f>IF(ISBLANK('Data Entry'!$×$62), "", 'Data Entry'!$×$62)</f>
      </c>
      <c r="EV62">
        <f>IF(ISBLANK('Data Entry'!$Ø$62), "", 'Data Entry'!$Ø$62)</f>
      </c>
      <c r="EW62">
        <f>IF(ISBLANK('Data Entry'!$Ù$62), "", 'Data Entry'!$Ù$62)</f>
      </c>
      <c r="EX62">
        <f>IF(ISBLANK('Data Entry'!$Ú$62), "", 'Data Entry'!$Ú$62)</f>
      </c>
      <c r="EY62">
        <f>IF(ISBLANK('Data Entry'!$Û$62), "", 'Data Entry'!$Û$62)</f>
      </c>
      <c r="EZ62">
        <f>IF(ISBLANK('Data Entry'!$Ü$62), "", 'Data Entry'!$Ü$62)</f>
      </c>
      <c r="FA62">
        <f>IF(ISBLANK('Data Entry'!$Ý$62), "", 'Data Entry'!$Ý$62)</f>
      </c>
      <c r="FB62">
        <f>IF(ISBLANK('Data Entry'!$Þ$62), "", 'Data Entry'!$Þ$62)</f>
      </c>
      <c r="FC62">
        <f>IF(ISBLANK('Data Entry'!$ß$62), "", 'Data Entry'!$ß$62)</f>
      </c>
      <c r="FD62">
        <f>IF(ISBLANK('Data Entry'!$à$62), "", 'Data Entry'!$à$62)</f>
      </c>
      <c r="FE62">
        <f>IF(ISBLANK('Data Entry'!$á$62), "", 'Data Entry'!$á$62)</f>
      </c>
      <c r="FF62">
        <f>IF(ISBLANK('Data Entry'!$â$62), "", 'Data Entry'!$â$62)</f>
      </c>
      <c r="FG62">
        <f>IF(ISBLANK('Data Entry'!$ã$62), "", 'Data Entry'!$ã$62)</f>
      </c>
      <c r="FH62">
        <f>IF(ISBLANK('Data Entry'!$ä$62), "", 'Data Entry'!$ä$62)</f>
      </c>
      <c r="FI62">
        <f>IF(ISBLANK('Data Entry'!$å$62), "", 'Data Entry'!$å$62)</f>
      </c>
      <c r="FJ62">
        <f>IF(ISBLANK('Data Entry'!$æ$62), "", 'Data Entry'!$æ$62)</f>
      </c>
      <c r="FK62">
        <f>IF(ISBLANK('Data Entry'!$ç$62), "", 'Data Entry'!$ç$62)</f>
      </c>
      <c r="FL62">
        <f>IF(ISBLANK('Data Entry'!$è$62), "", 'Data Entry'!$è$62)</f>
      </c>
      <c r="FM62">
        <f>IF(ISBLANK('Data Entry'!$é$62), "", 'Data Entry'!$é$62)</f>
      </c>
      <c r="FN62">
        <f>IF(ISBLANK('Data Entry'!$ê$62), "", 'Data Entry'!$ê$62)</f>
      </c>
      <c r="FO62">
        <f>IF(ISBLANK('Data Entry'!$ë$62), "", 'Data Entry'!$ë$62)</f>
      </c>
      <c r="FP62">
        <f>IF(ISBLANK('Data Entry'!$ì$62), "", 'Data Entry'!$ì$62)</f>
      </c>
      <c r="FQ62">
        <f>IF(ISBLANK('Data Entry'!$í$62), "", 'Data Entry'!$í$62)</f>
      </c>
      <c r="FR62">
        <f>IF(ISBLANK('Data Entry'!$î$62), "", 'Data Entry'!$î$62)</f>
      </c>
      <c r="FS62">
        <f>IF(ISBLANK('Data Entry'!$ï$62), "", 'Data Entry'!$ï$62)</f>
      </c>
      <c r="FT62">
        <f>IF(ISBLANK('Data Entry'!$ð$62), "", 'Data Entry'!$ð$62)</f>
      </c>
      <c r="FU62">
        <f>IF(ISBLANK('Data Entry'!$ñ$62), "", 'Data Entry'!$ñ$62)</f>
      </c>
      <c r="FV62">
        <f>IF(ISBLANK('Data Entry'!$ò$62), "", 'Data Entry'!$ò$62)</f>
      </c>
      <c r="FW62">
        <f>IF(ISBLANK('Data Entry'!$ó$62), "", 'Data Entry'!$ó$62)</f>
      </c>
      <c r="FX62">
        <f>IF(ISBLANK('Data Entry'!$ô$62), "", 'Data Entry'!$ô$62)</f>
      </c>
      <c r="FY62">
        <f>IF(ISBLANK('Data Entry'!$õ$62), "", 'Data Entry'!$õ$62)</f>
      </c>
      <c r="FZ62">
        <f>IF(ISBLANK('Data Entry'!$ö$62), "", 'Data Entry'!$ö$62)</f>
      </c>
      <c r="GA62">
        <f>IF(ISBLANK('Data Entry'!$÷$62), "", 'Data Entry'!$÷$62)</f>
      </c>
      <c r="GB62">
        <f>IF(ISBLANK('Data Entry'!$ø$62), "", 'Data Entry'!$ø$62)</f>
      </c>
      <c r="GC62">
        <f>IF(ISBLANK('Data Entry'!$ù$62), "", 'Data Entry'!$ù$62)</f>
      </c>
      <c r="GD62">
        <f>IF(ISBLANK('Data Entry'!$ú$62), "", 'Data Entry'!$ú$62)</f>
      </c>
      <c r="GE62">
        <f>IF(ISBLANK('Data Entry'!$û$62), "", 'Data Entry'!$û$62)</f>
      </c>
      <c r="GF62">
        <f>IF(ISBLANK('Data Entry'!$ü$62), "", 'Data Entry'!$ü$62)</f>
      </c>
      <c r="GG62">
        <f>IF(ISBLANK('Data Entry'!$ý$62), "", 'Data Entry'!$ý$62)</f>
      </c>
      <c r="GH62">
        <f>IF(ISBLANK('Data Entry'!$þ$62), "", 'Data Entry'!$þ$62)</f>
      </c>
      <c r="GI62">
        <f>IF(ISBLANK('Data Entry'!$ÿ$62), "", 'Data Entry'!$ÿ$62)</f>
      </c>
      <c r="GJ62">
        <f>IF(ISBLANK('Data Entry'!$Ā$62), "", 'Data Entry'!$Ā$62)</f>
      </c>
      <c r="GK62">
        <f>IF(ISBLANK('Data Entry'!$ā$62), "", 'Data Entry'!$ā$62)</f>
      </c>
      <c r="GL62">
        <f>IF(ISBLANK('Data Entry'!$Ă$62), "", 'Data Entry'!$Ă$62)</f>
      </c>
      <c r="GM62">
        <f>IF(ISBLANK('Data Entry'!$ă$62), "", 'Data Entry'!$ă$62)</f>
      </c>
      <c r="GN62">
        <f>IF(ISBLANK('Data Entry'!$Ą$62), "", 'Data Entry'!$Ą$62)</f>
      </c>
      <c r="GO62">
        <f>IF(ISBLANK('Data Entry'!$ą$62), "", 'Data Entry'!$ą$62)</f>
      </c>
      <c r="GP62">
        <f>IF(ISBLANK('Data Entry'!$Ć$62), "", 'Data Entry'!$Ć$62)</f>
      </c>
      <c r="GQ62">
        <f>IF(ISBLANK('Data Entry'!$ć$62), "", 'Data Entry'!$ć$62)</f>
      </c>
      <c r="GR62">
        <f>IF(ISBLANK('Data Entry'!$Ĉ$62), "", 'Data Entry'!$Ĉ$62)</f>
      </c>
      <c r="GS62">
        <f>IF(ISBLANK('Data Entry'!$ĉ$62), "", 'Data Entry'!$ĉ$62)</f>
      </c>
      <c r="GT62">
        <f>IF(ISBLANK('Data Entry'!$Ċ$62), "", 'Data Entry'!$Ċ$62)</f>
      </c>
      <c r="GU62">
        <f>IF(ISBLANK('Data Entry'!$ċ$62), "", 'Data Entry'!$ċ$62)</f>
      </c>
      <c r="GV62">
        <f>IF(ISBLANK('Data Entry'!$Č$62), "", 'Data Entry'!$Č$62)</f>
      </c>
      <c r="GW62">
        <f>IF(ISBLANK('Data Entry'!$č$62), "", 'Data Entry'!$č$62)</f>
      </c>
      <c r="GX62">
        <f>IF(ISBLANK('Data Entry'!$Ď$62), "", 'Data Entry'!$Ď$62)</f>
      </c>
      <c r="GY62">
        <f>IF(ISBLANK('Data Entry'!$ď$62), "", 'Data Entry'!$ď$62)</f>
      </c>
      <c r="GZ62">
        <f>IF(ISBLANK('Data Entry'!$Đ$62), "", 'Data Entry'!$Đ$62)</f>
      </c>
      <c r="HA62">
        <f>IF(ISBLANK('Data Entry'!$đ$62), "", 'Data Entry'!$đ$62)</f>
      </c>
      <c r="HB62">
        <f>IF(ISBLANK('Data Entry'!$Ē$62), "", 'Data Entry'!$Ē$62)</f>
      </c>
      <c r="HC62">
        <f>IF(ISBLANK('Data Entry'!$ē$62), "", 'Data Entry'!$ē$62)</f>
      </c>
      <c r="HD62">
        <f>IF(ISBLANK('Data Entry'!$Ĕ$62), "", 'Data Entry'!$Ĕ$62)</f>
      </c>
      <c r="HE62">
        <f>IF(ISBLANK('Data Entry'!$ĕ$62), "", 'Data Entry'!$ĕ$62)</f>
      </c>
      <c r="HF62">
        <f>IF(ISBLANK('Data Entry'!$Ė$62), "", 'Data Entry'!$Ė$62)</f>
      </c>
      <c r="HG62">
        <f>IF(ISBLANK('Data Entry'!$ė$62), "", 'Data Entry'!$ė$62)</f>
      </c>
      <c r="HH62">
        <f>IF(ISBLANK('Data Entry'!$Ę$62), "", 'Data Entry'!$Ę$62)</f>
      </c>
      <c r="HI62">
        <f>IF(ISBLANK('Data Entry'!$ę$62), "", 'Data Entry'!$ę$62)</f>
      </c>
      <c r="HJ62">
        <f>IF(ISBLANK('Data Entry'!$Ě$62), "", 'Data Entry'!$Ě$62)</f>
      </c>
      <c r="HK62">
        <f>IF(ISBLANK('Data Entry'!$ě$62), "", 'Data Entry'!$ě$62)</f>
      </c>
      <c r="HL62">
        <f>IF(ISBLANK('Data Entry'!$Ĝ$62), "", 'Data Entry'!$Ĝ$62)</f>
      </c>
      <c r="HM62">
        <f>IF(ISBLANK('Data Entry'!$ĝ$62), "", 'Data Entry'!$ĝ$62)</f>
      </c>
      <c r="HN62">
        <f>IF(ISBLANK('Data Entry'!$Ğ$62), "", 'Data Entry'!$Ğ$62)</f>
      </c>
      <c r="HO62">
        <f>IF(ISBLANK('Data Entry'!$ğ$62), "", 'Data Entry'!$ğ$62)</f>
      </c>
      <c r="HP62">
        <f>IF(ISBLANK('Data Entry'!$Ġ$62), "", 'Data Entry'!$Ġ$62)</f>
      </c>
      <c r="HQ62">
        <f>IF(ISBLANK('Data Entry'!$ġ$62), "", 'Data Entry'!$ġ$62)</f>
      </c>
      <c r="HR62">
        <f>IF(ISBLANK('Data Entry'!$Ģ$62), "", 'Data Entry'!$Ģ$62)</f>
      </c>
      <c r="HS62">
        <f>IF(ISBLANK('Data Entry'!$ģ$62), "", 'Data Entry'!$ģ$62)</f>
      </c>
      <c r="HT62">
        <f>IF(ISBLANK('Data Entry'!$Ĥ$62), "", 'Data Entry'!$Ĥ$62)</f>
      </c>
      <c r="HU62">
        <f>IF(ISBLANK('Data Entry'!$ĥ$62), "", 'Data Entry'!$ĥ$62)</f>
      </c>
      <c r="HV62">
        <f>IF(ISBLANK('Data Entry'!$Ħ$62), "", 'Data Entry'!$Ħ$62)</f>
      </c>
      <c r="HW62">
        <f>IF(ISBLANK('Data Entry'!$ħ$62), "", 'Data Entry'!$ħ$62)</f>
      </c>
      <c r="HX62">
        <f>IF(ISBLANK('Data Entry'!$Ĩ$62), "", 'Data Entry'!$Ĩ$62)</f>
      </c>
      <c r="HY62">
        <f>IF(ISBLANK('Data Entry'!$ĩ$62), "", 'Data Entry'!$ĩ$62)</f>
      </c>
      <c r="HZ62">
        <f>IF(ISBLANK('Data Entry'!$Ī$62), "", 'Data Entry'!$Ī$62)</f>
      </c>
      <c r="IA62">
        <f>IF(ISBLANK('Data Entry'!$ī$62), "", 'Data Entry'!$ī$62)</f>
      </c>
      <c r="IB62">
        <f>IF(ISBLANK('Data Entry'!$Ĭ$62), "", 'Data Entry'!$Ĭ$62)</f>
      </c>
      <c r="IC62">
        <f>IF(ISBLANK('Data Entry'!$ĭ$62), "", 'Data Entry'!$ĭ$62)</f>
      </c>
      <c r="ID62">
        <f>IF(ISBLANK('Data Entry'!$Į$62), "", 'Data Entry'!$Į$62)</f>
      </c>
      <c r="IE62">
        <f>IF(ISBLANK('Data Entry'!$į$62), "", 'Data Entry'!$į$62)</f>
      </c>
      <c r="IF62">
        <f>IF(ISBLANK('Data Entry'!$İ$62), "", 'Data Entry'!$İ$62)</f>
      </c>
      <c r="IG62">
        <f>IF(ISBLANK('Data Entry'!$ı$62), "", 'Data Entry'!$ı$62)</f>
      </c>
      <c r="IH62">
        <f>IF(ISBLANK('Data Entry'!$Ĳ$62), "", 'Data Entry'!$Ĳ$62)</f>
      </c>
      <c r="II62">
        <f>IF(ISBLANK('Data Entry'!$ĳ$62), "", 'Data Entry'!$ĳ$62)</f>
      </c>
      <c r="IJ62">
        <f>IF(ISBLANK('Data Entry'!$Ĵ$62), "", 'Data Entry'!$Ĵ$62)</f>
      </c>
      <c r="IK62">
        <f>IF(ISBLANK('Data Entry'!$ĵ$62), "", 'Data Entry'!$ĵ$62)</f>
      </c>
      <c r="IL62">
        <f>IF(ISBLANK('Data Entry'!$Ķ$62), "", 'Data Entry'!$Ķ$62)</f>
      </c>
      <c r="IM62">
        <f>IF(ISBLANK('Data Entry'!$ķ$62), "", 'Data Entry'!$ķ$62)</f>
      </c>
      <c r="IN62">
        <f>IF(ISBLANK('Data Entry'!$ĸ$62), "", 'Data Entry'!$ĸ$62)</f>
      </c>
      <c r="IO62">
        <f>IF(ISBLANK('Data Entry'!$Ĺ$62), "", 'Data Entry'!$Ĺ$62)</f>
      </c>
      <c r="IP62">
        <f>IF(ISBLANK('Data Entry'!$ĺ$62), "", 'Data Entry'!$ĺ$62)</f>
      </c>
      <c r="IQ62">
        <f>IF(ISBLANK('Data Entry'!$Ļ$62), "", 'Data Entry'!$Ļ$62)</f>
      </c>
      <c r="IR62">
        <f>IF(ISBLANK('Data Entry'!$ļ$62), "", 'Data Entry'!$ļ$62)</f>
      </c>
      <c r="IS62">
        <f>IF(ISBLANK('Data Entry'!$Ľ$62), "", 'Data Entry'!$Ľ$62)</f>
      </c>
      <c r="IT62">
        <f>IF(ISBLANK('Data Entry'!$ľ$62), "", 'Data Entry'!$ľ$62)</f>
      </c>
    </row>
    <row r="63" spans="1:254" x14ac:dyDescent="0.25">
      <c r="A63">
        <f>IF(ISBLANK('Data Entry'!$A$63), "", 'Data Entry'!$A$63)</f>
      </c>
      <c r="B63">
        <f>IF(ISBLANK('Data Entry'!$B$63), "", 'Data Entry'!$B$63)</f>
      </c>
      <c r="C63">
        <f>IF(ISBLANK('Data Entry'!$C$63), "", 'Data Entry'!$C$63)</f>
      </c>
      <c r="D63">
        <f>IF(ISBLANK('Data Entry'!$D$63), "", 'Data Entry'!$D$63)</f>
      </c>
      <c r="E63">
        <f>IF(ISBLANK('Data Entry'!$E$63), "", 'Data Entry'!$E$63)</f>
      </c>
      <c r="F63">
        <f>IF(ISBLANK('Data Entry'!$F$63), "", 'Data Entry'!$F$63)</f>
      </c>
      <c r="G63">
        <f>IF(ISBLANK('Data Entry'!$G$63), "", 'Data Entry'!$G$63)</f>
      </c>
      <c r="H63">
        <f>IF(ISBLANK('Data Entry'!$H$63), "", 'Data Entry'!$H$63)</f>
      </c>
      <c r="I63">
        <f>IF(ISBLANK('Data Entry'!$I$63), "", 'Data Entry'!$I$63)</f>
      </c>
      <c r="J63">
        <f>IF(ISBLANK('Data Entry'!$J$63), "", 'Data Entry'!$J$63)</f>
      </c>
      <c r="K63">
        <f>IF(ISBLANK('Data Entry'!$K$63), "", 'Data Entry'!$K$63)</f>
      </c>
      <c r="L63">
        <f>IF(ISBLANK('Data Entry'!$L$63), "", 'Data Entry'!$L$63)</f>
      </c>
      <c r="M63">
        <f>IF(ISBLANK('Data Entry'!$M$63), "", 'Data Entry'!$M$63)</f>
      </c>
      <c r="N63">
        <f>IF(ISBLANK('Data Entry'!$N$63), "", 'Data Entry'!$N$63)</f>
      </c>
      <c r="O63">
        <f>IF(ISBLANK('Data Entry'!$O$63), "", 'Data Entry'!$O$63)</f>
      </c>
      <c r="P63">
        <f>IF(ISBLANK('Data Entry'!$P$63), "", 'Data Entry'!$P$63)</f>
      </c>
      <c r="Q63">
        <f>IF(ISBLANK('Data Entry'!$Q$63), "", 'Data Entry'!$Q$63)</f>
      </c>
      <c r="R63">
        <f>IF(ISBLANK('Data Entry'!$R$63), "", 'Data Entry'!$R$63)</f>
      </c>
      <c r="S63">
        <f>IF(ISBLANK('Data Entry'!$S$63), "", 'Data Entry'!$S$63)</f>
      </c>
      <c r="T63">
        <f>IF(ISBLANK('Data Entry'!$T$63), "", 'Data Entry'!$T$63)</f>
      </c>
      <c r="U63">
        <f>IF(ISBLANK('Data Entry'!$U$63), "", 'Data Entry'!$U$63)</f>
      </c>
      <c r="V63">
        <f>IF(ISBLANK('Data Entry'!$V$63), "", 'Data Entry'!$V$63)</f>
      </c>
      <c r="W63">
        <f>IF(ISBLANK('Data Entry'!$W$63), "", 'Data Entry'!$W$63)</f>
      </c>
      <c r="X63">
        <f>IF(ISBLANK('Data Entry'!$X$63), "", 'Data Entry'!$X$63)</f>
      </c>
      <c r="Y63">
        <f>IF(ISBLANK('Data Entry'!$Y$63), "", 'Data Entry'!$Y$63)</f>
      </c>
      <c r="Z63">
        <f>IF(ISBLANK('Data Entry'!$Z$63), "", 'Data Entry'!$Z$63)</f>
      </c>
      <c r="AA63">
        <f>IF(ISBLANK('Data Entry'!$[$63), "", 'Data Entry'!$[$63)</f>
      </c>
      <c r="AB63">
        <f>IF(ISBLANK('Data Entry'!$\$63), "", 'Data Entry'!$\$63)</f>
      </c>
      <c r="AC63">
        <f>IF(ISBLANK('Data Entry'!$]$63), "", 'Data Entry'!$]$63)</f>
      </c>
      <c r="AD63">
        <f>IF(ISBLANK('Data Entry'!$^$63), "", 'Data Entry'!$^$63)</f>
      </c>
      <c r="AE63">
        <f>IF(ISBLANK('Data Entry'!$_$63), "", 'Data Entry'!$_$63)</f>
      </c>
      <c r="AF63">
        <f>IF(ISBLANK('Data Entry'!$`$63), "", 'Data Entry'!$`$63)</f>
      </c>
      <c r="AG63">
        <f>IF(ISBLANK('Data Entry'!$a$63), "", 'Data Entry'!$a$63)</f>
      </c>
      <c r="AH63">
        <f>IF(ISBLANK('Data Entry'!$b$63), "", 'Data Entry'!$b$63)</f>
      </c>
      <c r="AI63">
        <f>IF(ISBLANK('Data Entry'!$c$63), "", 'Data Entry'!$c$63)</f>
      </c>
      <c r="AJ63">
        <f>IF(ISBLANK('Data Entry'!$d$63), "", 'Data Entry'!$d$63)</f>
      </c>
      <c r="AK63">
        <f>IF(ISBLANK('Data Entry'!$e$63), "", 'Data Entry'!$e$63)</f>
      </c>
      <c r="AL63">
        <f>IF(ISBLANK('Data Entry'!$f$63), "", 'Data Entry'!$f$63)</f>
      </c>
      <c r="AM63">
        <f>IF(ISBLANK('Data Entry'!$g$63), "", 'Data Entry'!$g$63)</f>
      </c>
      <c r="AN63">
        <f>IF(ISBLANK('Data Entry'!$h$63), "", 'Data Entry'!$h$63)</f>
      </c>
      <c r="AO63">
        <f>IF(ISBLANK('Data Entry'!$i$63), "", 'Data Entry'!$i$63)</f>
      </c>
      <c r="AP63">
        <f>IF(ISBLANK('Data Entry'!$j$63), "", 'Data Entry'!$j$63)</f>
      </c>
      <c r="AQ63">
        <f>IF(ISBLANK('Data Entry'!$k$63), "", 'Data Entry'!$k$63)</f>
      </c>
      <c r="AR63">
        <f>IF(ISBLANK('Data Entry'!$l$63), "", 'Data Entry'!$l$63)</f>
      </c>
      <c r="AS63">
        <f>IF(ISBLANK('Data Entry'!$m$63), "", 'Data Entry'!$m$63)</f>
      </c>
      <c r="AT63">
        <f>IF(ISBLANK('Data Entry'!$n$63), "", 'Data Entry'!$n$63)</f>
      </c>
      <c r="AU63">
        <f>IF(ISBLANK('Data Entry'!$o$63), "", 'Data Entry'!$o$63)</f>
      </c>
      <c r="AV63">
        <f>IF(ISBLANK('Data Entry'!$p$63), "", 'Data Entry'!$p$63)</f>
      </c>
      <c r="AW63">
        <f>IF(ISBLANK('Data Entry'!$q$63), "", 'Data Entry'!$q$63)</f>
      </c>
      <c r="AX63">
        <f>IF(ISBLANK('Data Entry'!$r$63), "", 'Data Entry'!$r$63)</f>
      </c>
      <c r="AY63">
        <f>IF(ISBLANK('Data Entry'!$s$63), "", 'Data Entry'!$s$63)</f>
      </c>
      <c r="AZ63">
        <f>IF(ISBLANK('Data Entry'!$t$63), "", 'Data Entry'!$t$63)</f>
      </c>
      <c r="BA63">
        <f>IF(ISBLANK('Data Entry'!$u$63), "", 'Data Entry'!$u$63)</f>
      </c>
      <c r="BB63">
        <f>IF(ISBLANK('Data Entry'!$v$63), "", 'Data Entry'!$v$63)</f>
      </c>
      <c r="BC63">
        <f>IF(ISBLANK('Data Entry'!$w$63), "", 'Data Entry'!$w$63)</f>
      </c>
      <c r="BD63">
        <f>IF(ISBLANK('Data Entry'!$x$63), "", 'Data Entry'!$x$63)</f>
      </c>
      <c r="BE63">
        <f>IF(ISBLANK('Data Entry'!$y$63), "", 'Data Entry'!$y$63)</f>
      </c>
      <c r="BF63">
        <f>IF(ISBLANK('Data Entry'!$z$63), "", 'Data Entry'!$z$63)</f>
      </c>
      <c r="BG63">
        <f>IF(ISBLANK('Data Entry'!${$63), "", 'Data Entry'!${$63)</f>
      </c>
      <c r="BH63">
        <f>IF(ISBLANK('Data Entry'!$|$63), "", 'Data Entry'!$|$63)</f>
      </c>
      <c r="BI63">
        <f>IF(ISBLANK('Data Entry'!$}$63), "", 'Data Entry'!$}$63)</f>
      </c>
      <c r="BJ63">
        <f>IF(ISBLANK('Data Entry'!$~$63), "", 'Data Entry'!$~$63)</f>
      </c>
      <c r="BK63">
        <f>IF(ISBLANK('Data Entry'!$$63), "", 'Data Entry'!$$63)</f>
      </c>
      <c r="BL63">
        <f>IF(ISBLANK('Data Entry'!$$63), "", 'Data Entry'!$$63)</f>
      </c>
      <c r="BM63">
        <f>IF(ISBLANK('Data Entry'!$$63), "", 'Data Entry'!$$63)</f>
      </c>
      <c r="BN63">
        <f>IF(ISBLANK('Data Entry'!$$63), "", 'Data Entry'!$$63)</f>
      </c>
      <c r="BO63">
        <f>IF(ISBLANK('Data Entry'!$$63), "", 'Data Entry'!$$63)</f>
      </c>
      <c r="BP63">
        <f>IF(ISBLANK('Data Entry'!$$63), "", 'Data Entry'!$$63)</f>
      </c>
      <c r="BQ63">
        <f>IF(ISBLANK('Data Entry'!$$63), "", 'Data Entry'!$$63)</f>
      </c>
      <c r="BR63">
        <f>IF(ISBLANK('Data Entry'!$$63), "", 'Data Entry'!$$63)</f>
      </c>
      <c r="BS63">
        <f>IF(ISBLANK('Data Entry'!$$63), "", 'Data Entry'!$$63)</f>
      </c>
      <c r="BT63">
        <f>IF(ISBLANK('Data Entry'!$$63), "", 'Data Entry'!$$63)</f>
      </c>
      <c r="BU63">
        <f>IF(ISBLANK('Data Entry'!$$63), "", 'Data Entry'!$$63)</f>
      </c>
      <c r="BV63">
        <f>IF(ISBLANK('Data Entry'!$$63), "", 'Data Entry'!$$63)</f>
      </c>
      <c r="BW63">
        <f>IF(ISBLANK('Data Entry'!$$63), "", 'Data Entry'!$$63)</f>
      </c>
      <c r="BX63">
        <f>IF(ISBLANK('Data Entry'!$$63), "", 'Data Entry'!$$63)</f>
      </c>
      <c r="BY63">
        <f>IF(ISBLANK('Data Entry'!$$63), "", 'Data Entry'!$$63)</f>
      </c>
      <c r="BZ63">
        <f>IF(ISBLANK('Data Entry'!$$63), "", 'Data Entry'!$$63)</f>
      </c>
      <c r="CA63">
        <f>IF(ISBLANK('Data Entry'!$$63), "", 'Data Entry'!$$63)</f>
      </c>
      <c r="CB63">
        <f>IF(ISBLANK('Data Entry'!$$63), "", 'Data Entry'!$$63)</f>
      </c>
      <c r="CC63">
        <f>IF(ISBLANK('Data Entry'!$$63), "", 'Data Entry'!$$63)</f>
      </c>
      <c r="CD63">
        <f>IF(ISBLANK('Data Entry'!$$63), "", 'Data Entry'!$$63)</f>
      </c>
      <c r="CE63">
        <f>IF(ISBLANK('Data Entry'!$$63), "", 'Data Entry'!$$63)</f>
      </c>
      <c r="CF63">
        <f>IF(ISBLANK('Data Entry'!$$63), "", 'Data Entry'!$$63)</f>
      </c>
      <c r="CG63">
        <f>IF(ISBLANK('Data Entry'!$$63), "", 'Data Entry'!$$63)</f>
      </c>
      <c r="CH63">
        <f>IF(ISBLANK('Data Entry'!$$63), "", 'Data Entry'!$$63)</f>
      </c>
      <c r="CI63">
        <f>IF(ISBLANK('Data Entry'!$$63), "", 'Data Entry'!$$63)</f>
      </c>
      <c r="CJ63">
        <f>IF(ISBLANK('Data Entry'!$$63), "", 'Data Entry'!$$63)</f>
      </c>
      <c r="CK63">
        <f>IF(ISBLANK('Data Entry'!$$63), "", 'Data Entry'!$$63)</f>
      </c>
      <c r="CL63">
        <f>IF(ISBLANK('Data Entry'!$$63), "", 'Data Entry'!$$63)</f>
      </c>
      <c r="CM63">
        <f>IF(ISBLANK('Data Entry'!$$63), "", 'Data Entry'!$$63)</f>
      </c>
      <c r="CN63">
        <f>IF(ISBLANK('Data Entry'!$$63), "", 'Data Entry'!$$63)</f>
      </c>
      <c r="CO63">
        <f>IF(ISBLANK('Data Entry'!$$63), "", 'Data Entry'!$$63)</f>
      </c>
      <c r="CP63">
        <f>IF(ISBLANK('Data Entry'!$$63), "", 'Data Entry'!$$63)</f>
      </c>
      <c r="CQ63">
        <f>IF(ISBLANK('Data Entry'!$$63), "", 'Data Entry'!$$63)</f>
      </c>
      <c r="CR63">
        <f>IF(ISBLANK('Data Entry'!$ $63), "", 'Data Entry'!$ $63)</f>
      </c>
      <c r="CS63">
        <f>IF(ISBLANK('Data Entry'!$¡$63), "", 'Data Entry'!$¡$63)</f>
      </c>
      <c r="CT63">
        <f>IF(ISBLANK('Data Entry'!$¢$63), "", 'Data Entry'!$¢$63)</f>
      </c>
      <c r="CU63">
        <f>IF(ISBLANK('Data Entry'!$£$63), "", 'Data Entry'!$£$63)</f>
      </c>
      <c r="CV63">
        <f>IF(ISBLANK('Data Entry'!$¤$63), "", 'Data Entry'!$¤$63)</f>
      </c>
      <c r="CW63">
        <f>IF(ISBLANK('Data Entry'!$¥$63), "", 'Data Entry'!$¥$63)</f>
      </c>
      <c r="CX63">
        <f>IF(ISBLANK('Data Entry'!$¦$63), "", 'Data Entry'!$¦$63)</f>
      </c>
      <c r="CY63">
        <f>IF(ISBLANK('Data Entry'!$§$63), "", 'Data Entry'!$§$63)</f>
      </c>
      <c r="CZ63">
        <f>IF(ISBLANK('Data Entry'!$¨$63), "", 'Data Entry'!$¨$63)</f>
      </c>
      <c r="DA63">
        <f>IF(ISBLANK('Data Entry'!$©$63), "", 'Data Entry'!$©$63)</f>
      </c>
      <c r="DB63">
        <f>IF(ISBLANK('Data Entry'!$ª$63), "", 'Data Entry'!$ª$63)</f>
      </c>
      <c r="DC63">
        <f>IF(ISBLANK('Data Entry'!$«$63), "", 'Data Entry'!$«$63)</f>
      </c>
      <c r="DD63">
        <f>IF(ISBLANK('Data Entry'!$¬$63), "", 'Data Entry'!$¬$63)</f>
      </c>
      <c r="DE63">
        <f>IF(ISBLANK('Data Entry'!$­$63), "", 'Data Entry'!$­$63)</f>
      </c>
      <c r="DF63">
        <f>IF(ISBLANK('Data Entry'!$®$63), "", 'Data Entry'!$®$63)</f>
      </c>
      <c r="DG63">
        <f>IF(ISBLANK('Data Entry'!$¯$63), "", 'Data Entry'!$¯$63)</f>
      </c>
      <c r="DH63">
        <f>IF(ISBLANK('Data Entry'!$°$63), "", 'Data Entry'!$°$63)</f>
      </c>
      <c r="DI63">
        <f>IF(ISBLANK('Data Entry'!$±$63), "", 'Data Entry'!$±$63)</f>
      </c>
      <c r="DJ63">
        <f>IF(ISBLANK('Data Entry'!$²$63), "", 'Data Entry'!$²$63)</f>
      </c>
      <c r="DK63">
        <f>IF(ISBLANK('Data Entry'!$³$63), "", 'Data Entry'!$³$63)</f>
      </c>
      <c r="DL63">
        <f>IF(ISBLANK('Data Entry'!$´$63), "", 'Data Entry'!$´$63)</f>
      </c>
      <c r="DM63">
        <f>IF(ISBLANK('Data Entry'!$µ$63), "", 'Data Entry'!$µ$63)</f>
      </c>
      <c r="DN63">
        <f>IF(ISBLANK('Data Entry'!$¶$63), "", 'Data Entry'!$¶$63)</f>
      </c>
      <c r="DO63">
        <f>IF(ISBLANK('Data Entry'!$·$63), "", 'Data Entry'!$·$63)</f>
      </c>
      <c r="DP63">
        <f>IF(ISBLANK('Data Entry'!$¸$63), "", 'Data Entry'!$¸$63)</f>
      </c>
      <c r="DQ63">
        <f>IF(ISBLANK('Data Entry'!$¹$63), "", 'Data Entry'!$¹$63)</f>
      </c>
      <c r="DR63">
        <f>IF(ISBLANK('Data Entry'!$º$63), "", 'Data Entry'!$º$63)</f>
      </c>
      <c r="DS63">
        <f>IF(ISBLANK('Data Entry'!$»$63), "", 'Data Entry'!$»$63)</f>
      </c>
      <c r="DT63">
        <f>IF(ISBLANK('Data Entry'!$¼$63), "", 'Data Entry'!$¼$63)</f>
      </c>
      <c r="DU63">
        <f>IF(ISBLANK('Data Entry'!$½$63), "", 'Data Entry'!$½$63)</f>
      </c>
      <c r="DV63">
        <f>IF(ISBLANK('Data Entry'!$¾$63), "", 'Data Entry'!$¾$63)</f>
      </c>
      <c r="DW63">
        <f>IF(ISBLANK('Data Entry'!$¿$63), "", 'Data Entry'!$¿$63)</f>
      </c>
      <c r="DX63">
        <f>IF(ISBLANK('Data Entry'!$À$63), "", 'Data Entry'!$À$63)</f>
      </c>
      <c r="DY63">
        <f>IF(ISBLANK('Data Entry'!$Á$63), "", 'Data Entry'!$Á$63)</f>
      </c>
      <c r="DZ63">
        <f>IF(ISBLANK('Data Entry'!$Â$63), "", 'Data Entry'!$Â$63)</f>
      </c>
      <c r="EA63">
        <f>IF(ISBLANK('Data Entry'!$Ã$63), "", 'Data Entry'!$Ã$63)</f>
      </c>
      <c r="EB63">
        <f>IF(ISBLANK('Data Entry'!$Ä$63), "", 'Data Entry'!$Ä$63)</f>
      </c>
      <c r="EC63">
        <f>IF(ISBLANK('Data Entry'!$Å$63), "", 'Data Entry'!$Å$63)</f>
      </c>
      <c r="ED63">
        <f>IF(ISBLANK('Data Entry'!$Æ$63), "", 'Data Entry'!$Æ$63)</f>
      </c>
      <c r="EE63">
        <f>IF(ISBLANK('Data Entry'!$Ç$63), "", 'Data Entry'!$Ç$63)</f>
      </c>
      <c r="EF63">
        <f>IF(ISBLANK('Data Entry'!$È$63), "", 'Data Entry'!$È$63)</f>
      </c>
      <c r="EG63">
        <f>IF(ISBLANK('Data Entry'!$É$63), "", 'Data Entry'!$É$63)</f>
      </c>
      <c r="EH63">
        <f>IF(ISBLANK('Data Entry'!$Ê$63), "", 'Data Entry'!$Ê$63)</f>
      </c>
      <c r="EI63">
        <f>IF(ISBLANK('Data Entry'!$Ë$63), "", 'Data Entry'!$Ë$63)</f>
      </c>
      <c r="EJ63">
        <f>IF(ISBLANK('Data Entry'!$Ì$63), "", 'Data Entry'!$Ì$63)</f>
      </c>
      <c r="EK63">
        <f>IF(ISBLANK('Data Entry'!$Í$63), "", 'Data Entry'!$Í$63)</f>
      </c>
      <c r="EL63">
        <f>IF(ISBLANK('Data Entry'!$Î$63), "", 'Data Entry'!$Î$63)</f>
      </c>
      <c r="EM63">
        <f>IF(ISBLANK('Data Entry'!$Ï$63), "", 'Data Entry'!$Ï$63)</f>
      </c>
      <c r="EN63">
        <f>IF(ISBLANK('Data Entry'!$Ð$63), "", 'Data Entry'!$Ð$63)</f>
      </c>
      <c r="EO63">
        <f>IF(ISBLANK('Data Entry'!$Ñ$63), "", 'Data Entry'!$Ñ$63)</f>
      </c>
      <c r="EP63">
        <f>IF(ISBLANK('Data Entry'!$Ò$63), "", 'Data Entry'!$Ò$63)</f>
      </c>
      <c r="EQ63">
        <f>IF(ISBLANK('Data Entry'!$Ó$63), "", 'Data Entry'!$Ó$63)</f>
      </c>
      <c r="ER63">
        <f>IF(ISBLANK('Data Entry'!$Ô$63), "", 'Data Entry'!$Ô$63)</f>
      </c>
      <c r="ES63">
        <f>IF(ISBLANK('Data Entry'!$Õ$63), "", 'Data Entry'!$Õ$63)</f>
      </c>
      <c r="ET63">
        <f>IF(ISBLANK('Data Entry'!$Ö$63), "", 'Data Entry'!$Ö$63)</f>
      </c>
      <c r="EU63">
        <f>IF(ISBLANK('Data Entry'!$×$63), "", 'Data Entry'!$×$63)</f>
      </c>
      <c r="EV63">
        <f>IF(ISBLANK('Data Entry'!$Ø$63), "", 'Data Entry'!$Ø$63)</f>
      </c>
      <c r="EW63">
        <f>IF(ISBLANK('Data Entry'!$Ù$63), "", 'Data Entry'!$Ù$63)</f>
      </c>
      <c r="EX63">
        <f>IF(ISBLANK('Data Entry'!$Ú$63), "", 'Data Entry'!$Ú$63)</f>
      </c>
      <c r="EY63">
        <f>IF(ISBLANK('Data Entry'!$Û$63), "", 'Data Entry'!$Û$63)</f>
      </c>
      <c r="EZ63">
        <f>IF(ISBLANK('Data Entry'!$Ü$63), "", 'Data Entry'!$Ü$63)</f>
      </c>
      <c r="FA63">
        <f>IF(ISBLANK('Data Entry'!$Ý$63), "", 'Data Entry'!$Ý$63)</f>
      </c>
      <c r="FB63">
        <f>IF(ISBLANK('Data Entry'!$Þ$63), "", 'Data Entry'!$Þ$63)</f>
      </c>
      <c r="FC63">
        <f>IF(ISBLANK('Data Entry'!$ß$63), "", 'Data Entry'!$ß$63)</f>
      </c>
      <c r="FD63">
        <f>IF(ISBLANK('Data Entry'!$à$63), "", 'Data Entry'!$à$63)</f>
      </c>
      <c r="FE63">
        <f>IF(ISBLANK('Data Entry'!$á$63), "", 'Data Entry'!$á$63)</f>
      </c>
      <c r="FF63">
        <f>IF(ISBLANK('Data Entry'!$â$63), "", 'Data Entry'!$â$63)</f>
      </c>
      <c r="FG63">
        <f>IF(ISBLANK('Data Entry'!$ã$63), "", 'Data Entry'!$ã$63)</f>
      </c>
      <c r="FH63">
        <f>IF(ISBLANK('Data Entry'!$ä$63), "", 'Data Entry'!$ä$63)</f>
      </c>
      <c r="FI63">
        <f>IF(ISBLANK('Data Entry'!$å$63), "", 'Data Entry'!$å$63)</f>
      </c>
      <c r="FJ63">
        <f>IF(ISBLANK('Data Entry'!$æ$63), "", 'Data Entry'!$æ$63)</f>
      </c>
      <c r="FK63">
        <f>IF(ISBLANK('Data Entry'!$ç$63), "", 'Data Entry'!$ç$63)</f>
      </c>
      <c r="FL63">
        <f>IF(ISBLANK('Data Entry'!$è$63), "", 'Data Entry'!$è$63)</f>
      </c>
      <c r="FM63">
        <f>IF(ISBLANK('Data Entry'!$é$63), "", 'Data Entry'!$é$63)</f>
      </c>
      <c r="FN63">
        <f>IF(ISBLANK('Data Entry'!$ê$63), "", 'Data Entry'!$ê$63)</f>
      </c>
      <c r="FO63">
        <f>IF(ISBLANK('Data Entry'!$ë$63), "", 'Data Entry'!$ë$63)</f>
      </c>
      <c r="FP63">
        <f>IF(ISBLANK('Data Entry'!$ì$63), "", 'Data Entry'!$ì$63)</f>
      </c>
      <c r="FQ63">
        <f>IF(ISBLANK('Data Entry'!$í$63), "", 'Data Entry'!$í$63)</f>
      </c>
      <c r="FR63">
        <f>IF(ISBLANK('Data Entry'!$î$63), "", 'Data Entry'!$î$63)</f>
      </c>
      <c r="FS63">
        <f>IF(ISBLANK('Data Entry'!$ï$63), "", 'Data Entry'!$ï$63)</f>
      </c>
      <c r="FT63">
        <f>IF(ISBLANK('Data Entry'!$ð$63), "", 'Data Entry'!$ð$63)</f>
      </c>
      <c r="FU63">
        <f>IF(ISBLANK('Data Entry'!$ñ$63), "", 'Data Entry'!$ñ$63)</f>
      </c>
      <c r="FV63">
        <f>IF(ISBLANK('Data Entry'!$ò$63), "", 'Data Entry'!$ò$63)</f>
      </c>
      <c r="FW63">
        <f>IF(ISBLANK('Data Entry'!$ó$63), "", 'Data Entry'!$ó$63)</f>
      </c>
      <c r="FX63">
        <f>IF(ISBLANK('Data Entry'!$ô$63), "", 'Data Entry'!$ô$63)</f>
      </c>
      <c r="FY63">
        <f>IF(ISBLANK('Data Entry'!$õ$63), "", 'Data Entry'!$õ$63)</f>
      </c>
      <c r="FZ63">
        <f>IF(ISBLANK('Data Entry'!$ö$63), "", 'Data Entry'!$ö$63)</f>
      </c>
      <c r="GA63">
        <f>IF(ISBLANK('Data Entry'!$÷$63), "", 'Data Entry'!$÷$63)</f>
      </c>
      <c r="GB63">
        <f>IF(ISBLANK('Data Entry'!$ø$63), "", 'Data Entry'!$ø$63)</f>
      </c>
      <c r="GC63">
        <f>IF(ISBLANK('Data Entry'!$ù$63), "", 'Data Entry'!$ù$63)</f>
      </c>
      <c r="GD63">
        <f>IF(ISBLANK('Data Entry'!$ú$63), "", 'Data Entry'!$ú$63)</f>
      </c>
      <c r="GE63">
        <f>IF(ISBLANK('Data Entry'!$û$63), "", 'Data Entry'!$û$63)</f>
      </c>
      <c r="GF63">
        <f>IF(ISBLANK('Data Entry'!$ü$63), "", 'Data Entry'!$ü$63)</f>
      </c>
      <c r="GG63">
        <f>IF(ISBLANK('Data Entry'!$ý$63), "", 'Data Entry'!$ý$63)</f>
      </c>
      <c r="GH63">
        <f>IF(ISBLANK('Data Entry'!$þ$63), "", 'Data Entry'!$þ$63)</f>
      </c>
      <c r="GI63">
        <f>IF(ISBLANK('Data Entry'!$ÿ$63), "", 'Data Entry'!$ÿ$63)</f>
      </c>
      <c r="GJ63">
        <f>IF(ISBLANK('Data Entry'!$Ā$63), "", 'Data Entry'!$Ā$63)</f>
      </c>
      <c r="GK63">
        <f>IF(ISBLANK('Data Entry'!$ā$63), "", 'Data Entry'!$ā$63)</f>
      </c>
      <c r="GL63">
        <f>IF(ISBLANK('Data Entry'!$Ă$63), "", 'Data Entry'!$Ă$63)</f>
      </c>
      <c r="GM63">
        <f>IF(ISBLANK('Data Entry'!$ă$63), "", 'Data Entry'!$ă$63)</f>
      </c>
      <c r="GN63">
        <f>IF(ISBLANK('Data Entry'!$Ą$63), "", 'Data Entry'!$Ą$63)</f>
      </c>
      <c r="GO63">
        <f>IF(ISBLANK('Data Entry'!$ą$63), "", 'Data Entry'!$ą$63)</f>
      </c>
      <c r="GP63">
        <f>IF(ISBLANK('Data Entry'!$Ć$63), "", 'Data Entry'!$Ć$63)</f>
      </c>
      <c r="GQ63">
        <f>IF(ISBLANK('Data Entry'!$ć$63), "", 'Data Entry'!$ć$63)</f>
      </c>
      <c r="GR63">
        <f>IF(ISBLANK('Data Entry'!$Ĉ$63), "", 'Data Entry'!$Ĉ$63)</f>
      </c>
      <c r="GS63">
        <f>IF(ISBLANK('Data Entry'!$ĉ$63), "", 'Data Entry'!$ĉ$63)</f>
      </c>
      <c r="GT63">
        <f>IF(ISBLANK('Data Entry'!$Ċ$63), "", 'Data Entry'!$Ċ$63)</f>
      </c>
      <c r="GU63">
        <f>IF(ISBLANK('Data Entry'!$ċ$63), "", 'Data Entry'!$ċ$63)</f>
      </c>
      <c r="GV63">
        <f>IF(ISBLANK('Data Entry'!$Č$63), "", 'Data Entry'!$Č$63)</f>
      </c>
      <c r="GW63">
        <f>IF(ISBLANK('Data Entry'!$č$63), "", 'Data Entry'!$č$63)</f>
      </c>
      <c r="GX63">
        <f>IF(ISBLANK('Data Entry'!$Ď$63), "", 'Data Entry'!$Ď$63)</f>
      </c>
      <c r="GY63">
        <f>IF(ISBLANK('Data Entry'!$ď$63), "", 'Data Entry'!$ď$63)</f>
      </c>
      <c r="GZ63">
        <f>IF(ISBLANK('Data Entry'!$Đ$63), "", 'Data Entry'!$Đ$63)</f>
      </c>
      <c r="HA63">
        <f>IF(ISBLANK('Data Entry'!$đ$63), "", 'Data Entry'!$đ$63)</f>
      </c>
      <c r="HB63">
        <f>IF(ISBLANK('Data Entry'!$Ē$63), "", 'Data Entry'!$Ē$63)</f>
      </c>
      <c r="HC63">
        <f>IF(ISBLANK('Data Entry'!$ē$63), "", 'Data Entry'!$ē$63)</f>
      </c>
      <c r="HD63">
        <f>IF(ISBLANK('Data Entry'!$Ĕ$63), "", 'Data Entry'!$Ĕ$63)</f>
      </c>
      <c r="HE63">
        <f>IF(ISBLANK('Data Entry'!$ĕ$63), "", 'Data Entry'!$ĕ$63)</f>
      </c>
      <c r="HF63">
        <f>IF(ISBLANK('Data Entry'!$Ė$63), "", 'Data Entry'!$Ė$63)</f>
      </c>
      <c r="HG63">
        <f>IF(ISBLANK('Data Entry'!$ė$63), "", 'Data Entry'!$ė$63)</f>
      </c>
      <c r="HH63">
        <f>IF(ISBLANK('Data Entry'!$Ę$63), "", 'Data Entry'!$Ę$63)</f>
      </c>
      <c r="HI63">
        <f>IF(ISBLANK('Data Entry'!$ę$63), "", 'Data Entry'!$ę$63)</f>
      </c>
      <c r="HJ63">
        <f>IF(ISBLANK('Data Entry'!$Ě$63), "", 'Data Entry'!$Ě$63)</f>
      </c>
      <c r="HK63">
        <f>IF(ISBLANK('Data Entry'!$ě$63), "", 'Data Entry'!$ě$63)</f>
      </c>
      <c r="HL63">
        <f>IF(ISBLANK('Data Entry'!$Ĝ$63), "", 'Data Entry'!$Ĝ$63)</f>
      </c>
      <c r="HM63">
        <f>IF(ISBLANK('Data Entry'!$ĝ$63), "", 'Data Entry'!$ĝ$63)</f>
      </c>
      <c r="HN63">
        <f>IF(ISBLANK('Data Entry'!$Ğ$63), "", 'Data Entry'!$Ğ$63)</f>
      </c>
      <c r="HO63">
        <f>IF(ISBLANK('Data Entry'!$ğ$63), "", 'Data Entry'!$ğ$63)</f>
      </c>
      <c r="HP63">
        <f>IF(ISBLANK('Data Entry'!$Ġ$63), "", 'Data Entry'!$Ġ$63)</f>
      </c>
      <c r="HQ63">
        <f>IF(ISBLANK('Data Entry'!$ġ$63), "", 'Data Entry'!$ġ$63)</f>
      </c>
      <c r="HR63">
        <f>IF(ISBLANK('Data Entry'!$Ģ$63), "", 'Data Entry'!$Ģ$63)</f>
      </c>
      <c r="HS63">
        <f>IF(ISBLANK('Data Entry'!$ģ$63), "", 'Data Entry'!$ģ$63)</f>
      </c>
      <c r="HT63">
        <f>IF(ISBLANK('Data Entry'!$Ĥ$63), "", 'Data Entry'!$Ĥ$63)</f>
      </c>
      <c r="HU63">
        <f>IF(ISBLANK('Data Entry'!$ĥ$63), "", 'Data Entry'!$ĥ$63)</f>
      </c>
      <c r="HV63">
        <f>IF(ISBLANK('Data Entry'!$Ħ$63), "", 'Data Entry'!$Ħ$63)</f>
      </c>
      <c r="HW63">
        <f>IF(ISBLANK('Data Entry'!$ħ$63), "", 'Data Entry'!$ħ$63)</f>
      </c>
      <c r="HX63">
        <f>IF(ISBLANK('Data Entry'!$Ĩ$63), "", 'Data Entry'!$Ĩ$63)</f>
      </c>
      <c r="HY63">
        <f>IF(ISBLANK('Data Entry'!$ĩ$63), "", 'Data Entry'!$ĩ$63)</f>
      </c>
      <c r="HZ63">
        <f>IF(ISBLANK('Data Entry'!$Ī$63), "", 'Data Entry'!$Ī$63)</f>
      </c>
      <c r="IA63">
        <f>IF(ISBLANK('Data Entry'!$ī$63), "", 'Data Entry'!$ī$63)</f>
      </c>
      <c r="IB63">
        <f>IF(ISBLANK('Data Entry'!$Ĭ$63), "", 'Data Entry'!$Ĭ$63)</f>
      </c>
      <c r="IC63">
        <f>IF(ISBLANK('Data Entry'!$ĭ$63), "", 'Data Entry'!$ĭ$63)</f>
      </c>
      <c r="ID63">
        <f>IF(ISBLANK('Data Entry'!$Į$63), "", 'Data Entry'!$Į$63)</f>
      </c>
      <c r="IE63">
        <f>IF(ISBLANK('Data Entry'!$į$63), "", 'Data Entry'!$į$63)</f>
      </c>
      <c r="IF63">
        <f>IF(ISBLANK('Data Entry'!$İ$63), "", 'Data Entry'!$İ$63)</f>
      </c>
      <c r="IG63">
        <f>IF(ISBLANK('Data Entry'!$ı$63), "", 'Data Entry'!$ı$63)</f>
      </c>
      <c r="IH63">
        <f>IF(ISBLANK('Data Entry'!$Ĳ$63), "", 'Data Entry'!$Ĳ$63)</f>
      </c>
      <c r="II63">
        <f>IF(ISBLANK('Data Entry'!$ĳ$63), "", 'Data Entry'!$ĳ$63)</f>
      </c>
      <c r="IJ63">
        <f>IF(ISBLANK('Data Entry'!$Ĵ$63), "", 'Data Entry'!$Ĵ$63)</f>
      </c>
      <c r="IK63">
        <f>IF(ISBLANK('Data Entry'!$ĵ$63), "", 'Data Entry'!$ĵ$63)</f>
      </c>
      <c r="IL63">
        <f>IF(ISBLANK('Data Entry'!$Ķ$63), "", 'Data Entry'!$Ķ$63)</f>
      </c>
      <c r="IM63">
        <f>IF(ISBLANK('Data Entry'!$ķ$63), "", 'Data Entry'!$ķ$63)</f>
      </c>
      <c r="IN63">
        <f>IF(ISBLANK('Data Entry'!$ĸ$63), "", 'Data Entry'!$ĸ$63)</f>
      </c>
      <c r="IO63">
        <f>IF(ISBLANK('Data Entry'!$Ĺ$63), "", 'Data Entry'!$Ĺ$63)</f>
      </c>
      <c r="IP63">
        <f>IF(ISBLANK('Data Entry'!$ĺ$63), "", 'Data Entry'!$ĺ$63)</f>
      </c>
      <c r="IQ63">
        <f>IF(ISBLANK('Data Entry'!$Ļ$63), "", 'Data Entry'!$Ļ$63)</f>
      </c>
      <c r="IR63">
        <f>IF(ISBLANK('Data Entry'!$ļ$63), "", 'Data Entry'!$ļ$63)</f>
      </c>
      <c r="IS63">
        <f>IF(ISBLANK('Data Entry'!$Ľ$63), "", 'Data Entry'!$Ľ$63)</f>
      </c>
      <c r="IT63">
        <f>IF(ISBLANK('Data Entry'!$ľ$63), "", 'Data Entry'!$ľ$63)</f>
      </c>
    </row>
    <row r="64" spans="1:254" x14ac:dyDescent="0.25">
      <c r="A64">
        <f>IF(ISBLANK('Data Entry'!$A$64), "", 'Data Entry'!$A$64)</f>
      </c>
      <c r="B64">
        <f>IF(ISBLANK('Data Entry'!$B$64), "", 'Data Entry'!$B$64)</f>
      </c>
      <c r="C64">
        <f>IF(ISBLANK('Data Entry'!$C$64), "", 'Data Entry'!$C$64)</f>
      </c>
      <c r="D64">
        <f>IF(ISBLANK('Data Entry'!$D$64), "", 'Data Entry'!$D$64)</f>
      </c>
      <c r="E64">
        <f>IF(ISBLANK('Data Entry'!$E$64), "", 'Data Entry'!$E$64)</f>
      </c>
      <c r="F64">
        <f>IF(ISBLANK('Data Entry'!$F$64), "", 'Data Entry'!$F$64)</f>
      </c>
      <c r="G64">
        <f>IF(ISBLANK('Data Entry'!$G$64), "", 'Data Entry'!$G$64)</f>
      </c>
      <c r="H64">
        <f>IF(ISBLANK('Data Entry'!$H$64), "", 'Data Entry'!$H$64)</f>
      </c>
      <c r="I64">
        <f>IF(ISBLANK('Data Entry'!$I$64), "", 'Data Entry'!$I$64)</f>
      </c>
      <c r="J64">
        <f>IF(ISBLANK('Data Entry'!$J$64), "", 'Data Entry'!$J$64)</f>
      </c>
      <c r="K64">
        <f>IF(ISBLANK('Data Entry'!$K$64), "", 'Data Entry'!$K$64)</f>
      </c>
      <c r="L64">
        <f>IF(ISBLANK('Data Entry'!$L$64), "", 'Data Entry'!$L$64)</f>
      </c>
      <c r="M64">
        <f>IF(ISBLANK('Data Entry'!$M$64), "", 'Data Entry'!$M$64)</f>
      </c>
      <c r="N64">
        <f>IF(ISBLANK('Data Entry'!$N$64), "", 'Data Entry'!$N$64)</f>
      </c>
      <c r="O64">
        <f>IF(ISBLANK('Data Entry'!$O$64), "", 'Data Entry'!$O$64)</f>
      </c>
      <c r="P64">
        <f>IF(ISBLANK('Data Entry'!$P$64), "", 'Data Entry'!$P$64)</f>
      </c>
      <c r="Q64">
        <f>IF(ISBLANK('Data Entry'!$Q$64), "", 'Data Entry'!$Q$64)</f>
      </c>
      <c r="R64">
        <f>IF(ISBLANK('Data Entry'!$R$64), "", 'Data Entry'!$R$64)</f>
      </c>
      <c r="S64">
        <f>IF(ISBLANK('Data Entry'!$S$64), "", 'Data Entry'!$S$64)</f>
      </c>
      <c r="T64">
        <f>IF(ISBLANK('Data Entry'!$T$64), "", 'Data Entry'!$T$64)</f>
      </c>
      <c r="U64">
        <f>IF(ISBLANK('Data Entry'!$U$64), "", 'Data Entry'!$U$64)</f>
      </c>
      <c r="V64">
        <f>IF(ISBLANK('Data Entry'!$V$64), "", 'Data Entry'!$V$64)</f>
      </c>
      <c r="W64">
        <f>IF(ISBLANK('Data Entry'!$W$64), "", 'Data Entry'!$W$64)</f>
      </c>
      <c r="X64">
        <f>IF(ISBLANK('Data Entry'!$X$64), "", 'Data Entry'!$X$64)</f>
      </c>
      <c r="Y64">
        <f>IF(ISBLANK('Data Entry'!$Y$64), "", 'Data Entry'!$Y$64)</f>
      </c>
      <c r="Z64">
        <f>IF(ISBLANK('Data Entry'!$Z$64), "", 'Data Entry'!$Z$64)</f>
      </c>
      <c r="AA64">
        <f>IF(ISBLANK('Data Entry'!$[$64), "", 'Data Entry'!$[$64)</f>
      </c>
      <c r="AB64">
        <f>IF(ISBLANK('Data Entry'!$\$64), "", 'Data Entry'!$\$64)</f>
      </c>
      <c r="AC64">
        <f>IF(ISBLANK('Data Entry'!$]$64), "", 'Data Entry'!$]$64)</f>
      </c>
      <c r="AD64">
        <f>IF(ISBLANK('Data Entry'!$^$64), "", 'Data Entry'!$^$64)</f>
      </c>
      <c r="AE64">
        <f>IF(ISBLANK('Data Entry'!$_$64), "", 'Data Entry'!$_$64)</f>
      </c>
      <c r="AF64">
        <f>IF(ISBLANK('Data Entry'!$`$64), "", 'Data Entry'!$`$64)</f>
      </c>
      <c r="AG64">
        <f>IF(ISBLANK('Data Entry'!$a$64), "", 'Data Entry'!$a$64)</f>
      </c>
      <c r="AH64">
        <f>IF(ISBLANK('Data Entry'!$b$64), "", 'Data Entry'!$b$64)</f>
      </c>
      <c r="AI64">
        <f>IF(ISBLANK('Data Entry'!$c$64), "", 'Data Entry'!$c$64)</f>
      </c>
      <c r="AJ64">
        <f>IF(ISBLANK('Data Entry'!$d$64), "", 'Data Entry'!$d$64)</f>
      </c>
      <c r="AK64">
        <f>IF(ISBLANK('Data Entry'!$e$64), "", 'Data Entry'!$e$64)</f>
      </c>
      <c r="AL64">
        <f>IF(ISBLANK('Data Entry'!$f$64), "", 'Data Entry'!$f$64)</f>
      </c>
      <c r="AM64">
        <f>IF(ISBLANK('Data Entry'!$g$64), "", 'Data Entry'!$g$64)</f>
      </c>
      <c r="AN64">
        <f>IF(ISBLANK('Data Entry'!$h$64), "", 'Data Entry'!$h$64)</f>
      </c>
      <c r="AO64">
        <f>IF(ISBLANK('Data Entry'!$i$64), "", 'Data Entry'!$i$64)</f>
      </c>
      <c r="AP64">
        <f>IF(ISBLANK('Data Entry'!$j$64), "", 'Data Entry'!$j$64)</f>
      </c>
      <c r="AQ64">
        <f>IF(ISBLANK('Data Entry'!$k$64), "", 'Data Entry'!$k$64)</f>
      </c>
      <c r="AR64">
        <f>IF(ISBLANK('Data Entry'!$l$64), "", 'Data Entry'!$l$64)</f>
      </c>
      <c r="AS64">
        <f>IF(ISBLANK('Data Entry'!$m$64), "", 'Data Entry'!$m$64)</f>
      </c>
      <c r="AT64">
        <f>IF(ISBLANK('Data Entry'!$n$64), "", 'Data Entry'!$n$64)</f>
      </c>
      <c r="AU64">
        <f>IF(ISBLANK('Data Entry'!$o$64), "", 'Data Entry'!$o$64)</f>
      </c>
      <c r="AV64">
        <f>IF(ISBLANK('Data Entry'!$p$64), "", 'Data Entry'!$p$64)</f>
      </c>
      <c r="AW64">
        <f>IF(ISBLANK('Data Entry'!$q$64), "", 'Data Entry'!$q$64)</f>
      </c>
      <c r="AX64">
        <f>IF(ISBLANK('Data Entry'!$r$64), "", 'Data Entry'!$r$64)</f>
      </c>
      <c r="AY64">
        <f>IF(ISBLANK('Data Entry'!$s$64), "", 'Data Entry'!$s$64)</f>
      </c>
      <c r="AZ64">
        <f>IF(ISBLANK('Data Entry'!$t$64), "", 'Data Entry'!$t$64)</f>
      </c>
      <c r="BA64">
        <f>IF(ISBLANK('Data Entry'!$u$64), "", 'Data Entry'!$u$64)</f>
      </c>
      <c r="BB64">
        <f>IF(ISBLANK('Data Entry'!$v$64), "", 'Data Entry'!$v$64)</f>
      </c>
      <c r="BC64">
        <f>IF(ISBLANK('Data Entry'!$w$64), "", 'Data Entry'!$w$64)</f>
      </c>
      <c r="BD64">
        <f>IF(ISBLANK('Data Entry'!$x$64), "", 'Data Entry'!$x$64)</f>
      </c>
      <c r="BE64">
        <f>IF(ISBLANK('Data Entry'!$y$64), "", 'Data Entry'!$y$64)</f>
      </c>
      <c r="BF64">
        <f>IF(ISBLANK('Data Entry'!$z$64), "", 'Data Entry'!$z$64)</f>
      </c>
      <c r="BG64">
        <f>IF(ISBLANK('Data Entry'!${$64), "", 'Data Entry'!${$64)</f>
      </c>
      <c r="BH64">
        <f>IF(ISBLANK('Data Entry'!$|$64), "", 'Data Entry'!$|$64)</f>
      </c>
      <c r="BI64">
        <f>IF(ISBLANK('Data Entry'!$}$64), "", 'Data Entry'!$}$64)</f>
      </c>
      <c r="BJ64">
        <f>IF(ISBLANK('Data Entry'!$~$64), "", 'Data Entry'!$~$64)</f>
      </c>
      <c r="BK64">
        <f>IF(ISBLANK('Data Entry'!$$64), "", 'Data Entry'!$$64)</f>
      </c>
      <c r="BL64">
        <f>IF(ISBLANK('Data Entry'!$$64), "", 'Data Entry'!$$64)</f>
      </c>
      <c r="BM64">
        <f>IF(ISBLANK('Data Entry'!$$64), "", 'Data Entry'!$$64)</f>
      </c>
      <c r="BN64">
        <f>IF(ISBLANK('Data Entry'!$$64), "", 'Data Entry'!$$64)</f>
      </c>
      <c r="BO64">
        <f>IF(ISBLANK('Data Entry'!$$64), "", 'Data Entry'!$$64)</f>
      </c>
      <c r="BP64">
        <f>IF(ISBLANK('Data Entry'!$$64), "", 'Data Entry'!$$64)</f>
      </c>
      <c r="BQ64">
        <f>IF(ISBLANK('Data Entry'!$$64), "", 'Data Entry'!$$64)</f>
      </c>
      <c r="BR64">
        <f>IF(ISBLANK('Data Entry'!$$64), "", 'Data Entry'!$$64)</f>
      </c>
      <c r="BS64">
        <f>IF(ISBLANK('Data Entry'!$$64), "", 'Data Entry'!$$64)</f>
      </c>
      <c r="BT64">
        <f>IF(ISBLANK('Data Entry'!$$64), "", 'Data Entry'!$$64)</f>
      </c>
      <c r="BU64">
        <f>IF(ISBLANK('Data Entry'!$$64), "", 'Data Entry'!$$64)</f>
      </c>
      <c r="BV64">
        <f>IF(ISBLANK('Data Entry'!$$64), "", 'Data Entry'!$$64)</f>
      </c>
      <c r="BW64">
        <f>IF(ISBLANK('Data Entry'!$$64), "", 'Data Entry'!$$64)</f>
      </c>
      <c r="BX64">
        <f>IF(ISBLANK('Data Entry'!$$64), "", 'Data Entry'!$$64)</f>
      </c>
      <c r="BY64">
        <f>IF(ISBLANK('Data Entry'!$$64), "", 'Data Entry'!$$64)</f>
      </c>
      <c r="BZ64">
        <f>IF(ISBLANK('Data Entry'!$$64), "", 'Data Entry'!$$64)</f>
      </c>
      <c r="CA64">
        <f>IF(ISBLANK('Data Entry'!$$64), "", 'Data Entry'!$$64)</f>
      </c>
      <c r="CB64">
        <f>IF(ISBLANK('Data Entry'!$$64), "", 'Data Entry'!$$64)</f>
      </c>
      <c r="CC64">
        <f>IF(ISBLANK('Data Entry'!$$64), "", 'Data Entry'!$$64)</f>
      </c>
      <c r="CD64">
        <f>IF(ISBLANK('Data Entry'!$$64), "", 'Data Entry'!$$64)</f>
      </c>
      <c r="CE64">
        <f>IF(ISBLANK('Data Entry'!$$64), "", 'Data Entry'!$$64)</f>
      </c>
      <c r="CF64">
        <f>IF(ISBLANK('Data Entry'!$$64), "", 'Data Entry'!$$64)</f>
      </c>
      <c r="CG64">
        <f>IF(ISBLANK('Data Entry'!$$64), "", 'Data Entry'!$$64)</f>
      </c>
      <c r="CH64">
        <f>IF(ISBLANK('Data Entry'!$$64), "", 'Data Entry'!$$64)</f>
      </c>
      <c r="CI64">
        <f>IF(ISBLANK('Data Entry'!$$64), "", 'Data Entry'!$$64)</f>
      </c>
      <c r="CJ64">
        <f>IF(ISBLANK('Data Entry'!$$64), "", 'Data Entry'!$$64)</f>
      </c>
      <c r="CK64">
        <f>IF(ISBLANK('Data Entry'!$$64), "", 'Data Entry'!$$64)</f>
      </c>
      <c r="CL64">
        <f>IF(ISBLANK('Data Entry'!$$64), "", 'Data Entry'!$$64)</f>
      </c>
      <c r="CM64">
        <f>IF(ISBLANK('Data Entry'!$$64), "", 'Data Entry'!$$64)</f>
      </c>
      <c r="CN64">
        <f>IF(ISBLANK('Data Entry'!$$64), "", 'Data Entry'!$$64)</f>
      </c>
      <c r="CO64">
        <f>IF(ISBLANK('Data Entry'!$$64), "", 'Data Entry'!$$64)</f>
      </c>
      <c r="CP64">
        <f>IF(ISBLANK('Data Entry'!$$64), "", 'Data Entry'!$$64)</f>
      </c>
      <c r="CQ64">
        <f>IF(ISBLANK('Data Entry'!$$64), "", 'Data Entry'!$$64)</f>
      </c>
      <c r="CR64">
        <f>IF(ISBLANK('Data Entry'!$ $64), "", 'Data Entry'!$ $64)</f>
      </c>
      <c r="CS64">
        <f>IF(ISBLANK('Data Entry'!$¡$64), "", 'Data Entry'!$¡$64)</f>
      </c>
      <c r="CT64">
        <f>IF(ISBLANK('Data Entry'!$¢$64), "", 'Data Entry'!$¢$64)</f>
      </c>
      <c r="CU64">
        <f>IF(ISBLANK('Data Entry'!$£$64), "", 'Data Entry'!$£$64)</f>
      </c>
      <c r="CV64">
        <f>IF(ISBLANK('Data Entry'!$¤$64), "", 'Data Entry'!$¤$64)</f>
      </c>
      <c r="CW64">
        <f>IF(ISBLANK('Data Entry'!$¥$64), "", 'Data Entry'!$¥$64)</f>
      </c>
      <c r="CX64">
        <f>IF(ISBLANK('Data Entry'!$¦$64), "", 'Data Entry'!$¦$64)</f>
      </c>
      <c r="CY64">
        <f>IF(ISBLANK('Data Entry'!$§$64), "", 'Data Entry'!$§$64)</f>
      </c>
      <c r="CZ64">
        <f>IF(ISBLANK('Data Entry'!$¨$64), "", 'Data Entry'!$¨$64)</f>
      </c>
      <c r="DA64">
        <f>IF(ISBLANK('Data Entry'!$©$64), "", 'Data Entry'!$©$64)</f>
      </c>
      <c r="DB64">
        <f>IF(ISBLANK('Data Entry'!$ª$64), "", 'Data Entry'!$ª$64)</f>
      </c>
      <c r="DC64">
        <f>IF(ISBLANK('Data Entry'!$«$64), "", 'Data Entry'!$«$64)</f>
      </c>
      <c r="DD64">
        <f>IF(ISBLANK('Data Entry'!$¬$64), "", 'Data Entry'!$¬$64)</f>
      </c>
      <c r="DE64">
        <f>IF(ISBLANK('Data Entry'!$­$64), "", 'Data Entry'!$­$64)</f>
      </c>
      <c r="DF64">
        <f>IF(ISBLANK('Data Entry'!$®$64), "", 'Data Entry'!$®$64)</f>
      </c>
      <c r="DG64">
        <f>IF(ISBLANK('Data Entry'!$¯$64), "", 'Data Entry'!$¯$64)</f>
      </c>
      <c r="DH64">
        <f>IF(ISBLANK('Data Entry'!$°$64), "", 'Data Entry'!$°$64)</f>
      </c>
      <c r="DI64">
        <f>IF(ISBLANK('Data Entry'!$±$64), "", 'Data Entry'!$±$64)</f>
      </c>
      <c r="DJ64">
        <f>IF(ISBLANK('Data Entry'!$²$64), "", 'Data Entry'!$²$64)</f>
      </c>
      <c r="DK64">
        <f>IF(ISBLANK('Data Entry'!$³$64), "", 'Data Entry'!$³$64)</f>
      </c>
      <c r="DL64">
        <f>IF(ISBLANK('Data Entry'!$´$64), "", 'Data Entry'!$´$64)</f>
      </c>
      <c r="DM64">
        <f>IF(ISBLANK('Data Entry'!$µ$64), "", 'Data Entry'!$µ$64)</f>
      </c>
      <c r="DN64">
        <f>IF(ISBLANK('Data Entry'!$¶$64), "", 'Data Entry'!$¶$64)</f>
      </c>
      <c r="DO64">
        <f>IF(ISBLANK('Data Entry'!$·$64), "", 'Data Entry'!$·$64)</f>
      </c>
      <c r="DP64">
        <f>IF(ISBLANK('Data Entry'!$¸$64), "", 'Data Entry'!$¸$64)</f>
      </c>
      <c r="DQ64">
        <f>IF(ISBLANK('Data Entry'!$¹$64), "", 'Data Entry'!$¹$64)</f>
      </c>
      <c r="DR64">
        <f>IF(ISBLANK('Data Entry'!$º$64), "", 'Data Entry'!$º$64)</f>
      </c>
      <c r="DS64">
        <f>IF(ISBLANK('Data Entry'!$»$64), "", 'Data Entry'!$»$64)</f>
      </c>
      <c r="DT64">
        <f>IF(ISBLANK('Data Entry'!$¼$64), "", 'Data Entry'!$¼$64)</f>
      </c>
      <c r="DU64">
        <f>IF(ISBLANK('Data Entry'!$½$64), "", 'Data Entry'!$½$64)</f>
      </c>
      <c r="DV64">
        <f>IF(ISBLANK('Data Entry'!$¾$64), "", 'Data Entry'!$¾$64)</f>
      </c>
      <c r="DW64">
        <f>IF(ISBLANK('Data Entry'!$¿$64), "", 'Data Entry'!$¿$64)</f>
      </c>
      <c r="DX64">
        <f>IF(ISBLANK('Data Entry'!$À$64), "", 'Data Entry'!$À$64)</f>
      </c>
      <c r="DY64">
        <f>IF(ISBLANK('Data Entry'!$Á$64), "", 'Data Entry'!$Á$64)</f>
      </c>
      <c r="DZ64">
        <f>IF(ISBLANK('Data Entry'!$Â$64), "", 'Data Entry'!$Â$64)</f>
      </c>
      <c r="EA64">
        <f>IF(ISBLANK('Data Entry'!$Ã$64), "", 'Data Entry'!$Ã$64)</f>
      </c>
      <c r="EB64">
        <f>IF(ISBLANK('Data Entry'!$Ä$64), "", 'Data Entry'!$Ä$64)</f>
      </c>
      <c r="EC64">
        <f>IF(ISBLANK('Data Entry'!$Å$64), "", 'Data Entry'!$Å$64)</f>
      </c>
      <c r="ED64">
        <f>IF(ISBLANK('Data Entry'!$Æ$64), "", 'Data Entry'!$Æ$64)</f>
      </c>
      <c r="EE64">
        <f>IF(ISBLANK('Data Entry'!$Ç$64), "", 'Data Entry'!$Ç$64)</f>
      </c>
      <c r="EF64">
        <f>IF(ISBLANK('Data Entry'!$È$64), "", 'Data Entry'!$È$64)</f>
      </c>
      <c r="EG64">
        <f>IF(ISBLANK('Data Entry'!$É$64), "", 'Data Entry'!$É$64)</f>
      </c>
      <c r="EH64">
        <f>IF(ISBLANK('Data Entry'!$Ê$64), "", 'Data Entry'!$Ê$64)</f>
      </c>
      <c r="EI64">
        <f>IF(ISBLANK('Data Entry'!$Ë$64), "", 'Data Entry'!$Ë$64)</f>
      </c>
      <c r="EJ64">
        <f>IF(ISBLANK('Data Entry'!$Ì$64), "", 'Data Entry'!$Ì$64)</f>
      </c>
      <c r="EK64">
        <f>IF(ISBLANK('Data Entry'!$Í$64), "", 'Data Entry'!$Í$64)</f>
      </c>
      <c r="EL64">
        <f>IF(ISBLANK('Data Entry'!$Î$64), "", 'Data Entry'!$Î$64)</f>
      </c>
      <c r="EM64">
        <f>IF(ISBLANK('Data Entry'!$Ï$64), "", 'Data Entry'!$Ï$64)</f>
      </c>
      <c r="EN64">
        <f>IF(ISBLANK('Data Entry'!$Ð$64), "", 'Data Entry'!$Ð$64)</f>
      </c>
      <c r="EO64">
        <f>IF(ISBLANK('Data Entry'!$Ñ$64), "", 'Data Entry'!$Ñ$64)</f>
      </c>
      <c r="EP64">
        <f>IF(ISBLANK('Data Entry'!$Ò$64), "", 'Data Entry'!$Ò$64)</f>
      </c>
      <c r="EQ64">
        <f>IF(ISBLANK('Data Entry'!$Ó$64), "", 'Data Entry'!$Ó$64)</f>
      </c>
      <c r="ER64">
        <f>IF(ISBLANK('Data Entry'!$Ô$64), "", 'Data Entry'!$Ô$64)</f>
      </c>
      <c r="ES64">
        <f>IF(ISBLANK('Data Entry'!$Õ$64), "", 'Data Entry'!$Õ$64)</f>
      </c>
      <c r="ET64">
        <f>IF(ISBLANK('Data Entry'!$Ö$64), "", 'Data Entry'!$Ö$64)</f>
      </c>
      <c r="EU64">
        <f>IF(ISBLANK('Data Entry'!$×$64), "", 'Data Entry'!$×$64)</f>
      </c>
      <c r="EV64">
        <f>IF(ISBLANK('Data Entry'!$Ø$64), "", 'Data Entry'!$Ø$64)</f>
      </c>
      <c r="EW64">
        <f>IF(ISBLANK('Data Entry'!$Ù$64), "", 'Data Entry'!$Ù$64)</f>
      </c>
      <c r="EX64">
        <f>IF(ISBLANK('Data Entry'!$Ú$64), "", 'Data Entry'!$Ú$64)</f>
      </c>
      <c r="EY64">
        <f>IF(ISBLANK('Data Entry'!$Û$64), "", 'Data Entry'!$Û$64)</f>
      </c>
      <c r="EZ64">
        <f>IF(ISBLANK('Data Entry'!$Ü$64), "", 'Data Entry'!$Ü$64)</f>
      </c>
      <c r="FA64">
        <f>IF(ISBLANK('Data Entry'!$Ý$64), "", 'Data Entry'!$Ý$64)</f>
      </c>
      <c r="FB64">
        <f>IF(ISBLANK('Data Entry'!$Þ$64), "", 'Data Entry'!$Þ$64)</f>
      </c>
      <c r="FC64">
        <f>IF(ISBLANK('Data Entry'!$ß$64), "", 'Data Entry'!$ß$64)</f>
      </c>
      <c r="FD64">
        <f>IF(ISBLANK('Data Entry'!$à$64), "", 'Data Entry'!$à$64)</f>
      </c>
      <c r="FE64">
        <f>IF(ISBLANK('Data Entry'!$á$64), "", 'Data Entry'!$á$64)</f>
      </c>
      <c r="FF64">
        <f>IF(ISBLANK('Data Entry'!$â$64), "", 'Data Entry'!$â$64)</f>
      </c>
      <c r="FG64">
        <f>IF(ISBLANK('Data Entry'!$ã$64), "", 'Data Entry'!$ã$64)</f>
      </c>
      <c r="FH64">
        <f>IF(ISBLANK('Data Entry'!$ä$64), "", 'Data Entry'!$ä$64)</f>
      </c>
      <c r="FI64">
        <f>IF(ISBLANK('Data Entry'!$å$64), "", 'Data Entry'!$å$64)</f>
      </c>
      <c r="FJ64">
        <f>IF(ISBLANK('Data Entry'!$æ$64), "", 'Data Entry'!$æ$64)</f>
      </c>
      <c r="FK64">
        <f>IF(ISBLANK('Data Entry'!$ç$64), "", 'Data Entry'!$ç$64)</f>
      </c>
      <c r="FL64">
        <f>IF(ISBLANK('Data Entry'!$è$64), "", 'Data Entry'!$è$64)</f>
      </c>
      <c r="FM64">
        <f>IF(ISBLANK('Data Entry'!$é$64), "", 'Data Entry'!$é$64)</f>
      </c>
      <c r="FN64">
        <f>IF(ISBLANK('Data Entry'!$ê$64), "", 'Data Entry'!$ê$64)</f>
      </c>
      <c r="FO64">
        <f>IF(ISBLANK('Data Entry'!$ë$64), "", 'Data Entry'!$ë$64)</f>
      </c>
      <c r="FP64">
        <f>IF(ISBLANK('Data Entry'!$ì$64), "", 'Data Entry'!$ì$64)</f>
      </c>
      <c r="FQ64">
        <f>IF(ISBLANK('Data Entry'!$í$64), "", 'Data Entry'!$í$64)</f>
      </c>
      <c r="FR64">
        <f>IF(ISBLANK('Data Entry'!$î$64), "", 'Data Entry'!$î$64)</f>
      </c>
      <c r="FS64">
        <f>IF(ISBLANK('Data Entry'!$ï$64), "", 'Data Entry'!$ï$64)</f>
      </c>
      <c r="FT64">
        <f>IF(ISBLANK('Data Entry'!$ð$64), "", 'Data Entry'!$ð$64)</f>
      </c>
      <c r="FU64">
        <f>IF(ISBLANK('Data Entry'!$ñ$64), "", 'Data Entry'!$ñ$64)</f>
      </c>
      <c r="FV64">
        <f>IF(ISBLANK('Data Entry'!$ò$64), "", 'Data Entry'!$ò$64)</f>
      </c>
      <c r="FW64">
        <f>IF(ISBLANK('Data Entry'!$ó$64), "", 'Data Entry'!$ó$64)</f>
      </c>
      <c r="FX64">
        <f>IF(ISBLANK('Data Entry'!$ô$64), "", 'Data Entry'!$ô$64)</f>
      </c>
      <c r="FY64">
        <f>IF(ISBLANK('Data Entry'!$õ$64), "", 'Data Entry'!$õ$64)</f>
      </c>
      <c r="FZ64">
        <f>IF(ISBLANK('Data Entry'!$ö$64), "", 'Data Entry'!$ö$64)</f>
      </c>
      <c r="GA64">
        <f>IF(ISBLANK('Data Entry'!$÷$64), "", 'Data Entry'!$÷$64)</f>
      </c>
      <c r="GB64">
        <f>IF(ISBLANK('Data Entry'!$ø$64), "", 'Data Entry'!$ø$64)</f>
      </c>
      <c r="GC64">
        <f>IF(ISBLANK('Data Entry'!$ù$64), "", 'Data Entry'!$ù$64)</f>
      </c>
      <c r="GD64">
        <f>IF(ISBLANK('Data Entry'!$ú$64), "", 'Data Entry'!$ú$64)</f>
      </c>
      <c r="GE64">
        <f>IF(ISBLANK('Data Entry'!$û$64), "", 'Data Entry'!$û$64)</f>
      </c>
      <c r="GF64">
        <f>IF(ISBLANK('Data Entry'!$ü$64), "", 'Data Entry'!$ü$64)</f>
      </c>
      <c r="GG64">
        <f>IF(ISBLANK('Data Entry'!$ý$64), "", 'Data Entry'!$ý$64)</f>
      </c>
      <c r="GH64">
        <f>IF(ISBLANK('Data Entry'!$þ$64), "", 'Data Entry'!$þ$64)</f>
      </c>
      <c r="GI64">
        <f>IF(ISBLANK('Data Entry'!$ÿ$64), "", 'Data Entry'!$ÿ$64)</f>
      </c>
      <c r="GJ64">
        <f>IF(ISBLANK('Data Entry'!$Ā$64), "", 'Data Entry'!$Ā$64)</f>
      </c>
      <c r="GK64">
        <f>IF(ISBLANK('Data Entry'!$ā$64), "", 'Data Entry'!$ā$64)</f>
      </c>
      <c r="GL64">
        <f>IF(ISBLANK('Data Entry'!$Ă$64), "", 'Data Entry'!$Ă$64)</f>
      </c>
      <c r="GM64">
        <f>IF(ISBLANK('Data Entry'!$ă$64), "", 'Data Entry'!$ă$64)</f>
      </c>
      <c r="GN64">
        <f>IF(ISBLANK('Data Entry'!$Ą$64), "", 'Data Entry'!$Ą$64)</f>
      </c>
      <c r="GO64">
        <f>IF(ISBLANK('Data Entry'!$ą$64), "", 'Data Entry'!$ą$64)</f>
      </c>
      <c r="GP64">
        <f>IF(ISBLANK('Data Entry'!$Ć$64), "", 'Data Entry'!$Ć$64)</f>
      </c>
      <c r="GQ64">
        <f>IF(ISBLANK('Data Entry'!$ć$64), "", 'Data Entry'!$ć$64)</f>
      </c>
      <c r="GR64">
        <f>IF(ISBLANK('Data Entry'!$Ĉ$64), "", 'Data Entry'!$Ĉ$64)</f>
      </c>
      <c r="GS64">
        <f>IF(ISBLANK('Data Entry'!$ĉ$64), "", 'Data Entry'!$ĉ$64)</f>
      </c>
      <c r="GT64">
        <f>IF(ISBLANK('Data Entry'!$Ċ$64), "", 'Data Entry'!$Ċ$64)</f>
      </c>
      <c r="GU64">
        <f>IF(ISBLANK('Data Entry'!$ċ$64), "", 'Data Entry'!$ċ$64)</f>
      </c>
      <c r="GV64">
        <f>IF(ISBLANK('Data Entry'!$Č$64), "", 'Data Entry'!$Č$64)</f>
      </c>
      <c r="GW64">
        <f>IF(ISBLANK('Data Entry'!$č$64), "", 'Data Entry'!$č$64)</f>
      </c>
      <c r="GX64">
        <f>IF(ISBLANK('Data Entry'!$Ď$64), "", 'Data Entry'!$Ď$64)</f>
      </c>
      <c r="GY64">
        <f>IF(ISBLANK('Data Entry'!$ď$64), "", 'Data Entry'!$ď$64)</f>
      </c>
      <c r="GZ64">
        <f>IF(ISBLANK('Data Entry'!$Đ$64), "", 'Data Entry'!$Đ$64)</f>
      </c>
      <c r="HA64">
        <f>IF(ISBLANK('Data Entry'!$đ$64), "", 'Data Entry'!$đ$64)</f>
      </c>
      <c r="HB64">
        <f>IF(ISBLANK('Data Entry'!$Ē$64), "", 'Data Entry'!$Ē$64)</f>
      </c>
      <c r="HC64">
        <f>IF(ISBLANK('Data Entry'!$ē$64), "", 'Data Entry'!$ē$64)</f>
      </c>
      <c r="HD64">
        <f>IF(ISBLANK('Data Entry'!$Ĕ$64), "", 'Data Entry'!$Ĕ$64)</f>
      </c>
      <c r="HE64">
        <f>IF(ISBLANK('Data Entry'!$ĕ$64), "", 'Data Entry'!$ĕ$64)</f>
      </c>
      <c r="HF64">
        <f>IF(ISBLANK('Data Entry'!$Ė$64), "", 'Data Entry'!$Ė$64)</f>
      </c>
      <c r="HG64">
        <f>IF(ISBLANK('Data Entry'!$ė$64), "", 'Data Entry'!$ė$64)</f>
      </c>
      <c r="HH64">
        <f>IF(ISBLANK('Data Entry'!$Ę$64), "", 'Data Entry'!$Ę$64)</f>
      </c>
      <c r="HI64">
        <f>IF(ISBLANK('Data Entry'!$ę$64), "", 'Data Entry'!$ę$64)</f>
      </c>
      <c r="HJ64">
        <f>IF(ISBLANK('Data Entry'!$Ě$64), "", 'Data Entry'!$Ě$64)</f>
      </c>
      <c r="HK64">
        <f>IF(ISBLANK('Data Entry'!$ě$64), "", 'Data Entry'!$ě$64)</f>
      </c>
      <c r="HL64">
        <f>IF(ISBLANK('Data Entry'!$Ĝ$64), "", 'Data Entry'!$Ĝ$64)</f>
      </c>
      <c r="HM64">
        <f>IF(ISBLANK('Data Entry'!$ĝ$64), "", 'Data Entry'!$ĝ$64)</f>
      </c>
      <c r="HN64">
        <f>IF(ISBLANK('Data Entry'!$Ğ$64), "", 'Data Entry'!$Ğ$64)</f>
      </c>
      <c r="HO64">
        <f>IF(ISBLANK('Data Entry'!$ğ$64), "", 'Data Entry'!$ğ$64)</f>
      </c>
      <c r="HP64">
        <f>IF(ISBLANK('Data Entry'!$Ġ$64), "", 'Data Entry'!$Ġ$64)</f>
      </c>
      <c r="HQ64">
        <f>IF(ISBLANK('Data Entry'!$ġ$64), "", 'Data Entry'!$ġ$64)</f>
      </c>
      <c r="HR64">
        <f>IF(ISBLANK('Data Entry'!$Ģ$64), "", 'Data Entry'!$Ģ$64)</f>
      </c>
      <c r="HS64">
        <f>IF(ISBLANK('Data Entry'!$ģ$64), "", 'Data Entry'!$ģ$64)</f>
      </c>
      <c r="HT64">
        <f>IF(ISBLANK('Data Entry'!$Ĥ$64), "", 'Data Entry'!$Ĥ$64)</f>
      </c>
      <c r="HU64">
        <f>IF(ISBLANK('Data Entry'!$ĥ$64), "", 'Data Entry'!$ĥ$64)</f>
      </c>
      <c r="HV64">
        <f>IF(ISBLANK('Data Entry'!$Ħ$64), "", 'Data Entry'!$Ħ$64)</f>
      </c>
      <c r="HW64">
        <f>IF(ISBLANK('Data Entry'!$ħ$64), "", 'Data Entry'!$ħ$64)</f>
      </c>
      <c r="HX64">
        <f>IF(ISBLANK('Data Entry'!$Ĩ$64), "", 'Data Entry'!$Ĩ$64)</f>
      </c>
      <c r="HY64">
        <f>IF(ISBLANK('Data Entry'!$ĩ$64), "", 'Data Entry'!$ĩ$64)</f>
      </c>
      <c r="HZ64">
        <f>IF(ISBLANK('Data Entry'!$Ī$64), "", 'Data Entry'!$Ī$64)</f>
      </c>
      <c r="IA64">
        <f>IF(ISBLANK('Data Entry'!$ī$64), "", 'Data Entry'!$ī$64)</f>
      </c>
      <c r="IB64">
        <f>IF(ISBLANK('Data Entry'!$Ĭ$64), "", 'Data Entry'!$Ĭ$64)</f>
      </c>
      <c r="IC64">
        <f>IF(ISBLANK('Data Entry'!$ĭ$64), "", 'Data Entry'!$ĭ$64)</f>
      </c>
      <c r="ID64">
        <f>IF(ISBLANK('Data Entry'!$Į$64), "", 'Data Entry'!$Į$64)</f>
      </c>
      <c r="IE64">
        <f>IF(ISBLANK('Data Entry'!$į$64), "", 'Data Entry'!$į$64)</f>
      </c>
      <c r="IF64">
        <f>IF(ISBLANK('Data Entry'!$İ$64), "", 'Data Entry'!$İ$64)</f>
      </c>
      <c r="IG64">
        <f>IF(ISBLANK('Data Entry'!$ı$64), "", 'Data Entry'!$ı$64)</f>
      </c>
      <c r="IH64">
        <f>IF(ISBLANK('Data Entry'!$Ĳ$64), "", 'Data Entry'!$Ĳ$64)</f>
      </c>
      <c r="II64">
        <f>IF(ISBLANK('Data Entry'!$ĳ$64), "", 'Data Entry'!$ĳ$64)</f>
      </c>
      <c r="IJ64">
        <f>IF(ISBLANK('Data Entry'!$Ĵ$64), "", 'Data Entry'!$Ĵ$64)</f>
      </c>
      <c r="IK64">
        <f>IF(ISBLANK('Data Entry'!$ĵ$64), "", 'Data Entry'!$ĵ$64)</f>
      </c>
      <c r="IL64">
        <f>IF(ISBLANK('Data Entry'!$Ķ$64), "", 'Data Entry'!$Ķ$64)</f>
      </c>
      <c r="IM64">
        <f>IF(ISBLANK('Data Entry'!$ķ$64), "", 'Data Entry'!$ķ$64)</f>
      </c>
      <c r="IN64">
        <f>IF(ISBLANK('Data Entry'!$ĸ$64), "", 'Data Entry'!$ĸ$64)</f>
      </c>
      <c r="IO64">
        <f>IF(ISBLANK('Data Entry'!$Ĺ$64), "", 'Data Entry'!$Ĺ$64)</f>
      </c>
      <c r="IP64">
        <f>IF(ISBLANK('Data Entry'!$ĺ$64), "", 'Data Entry'!$ĺ$64)</f>
      </c>
      <c r="IQ64">
        <f>IF(ISBLANK('Data Entry'!$Ļ$64), "", 'Data Entry'!$Ļ$64)</f>
      </c>
      <c r="IR64">
        <f>IF(ISBLANK('Data Entry'!$ļ$64), "", 'Data Entry'!$ļ$64)</f>
      </c>
      <c r="IS64">
        <f>IF(ISBLANK('Data Entry'!$Ľ$64), "", 'Data Entry'!$Ľ$64)</f>
      </c>
      <c r="IT64">
        <f>IF(ISBLANK('Data Entry'!$ľ$64), "", 'Data Entry'!$ľ$64)</f>
      </c>
    </row>
    <row r="65" spans="1:254" x14ac:dyDescent="0.25">
      <c r="A65">
        <f>IF(ISBLANK('Data Entry'!$A$65), "", 'Data Entry'!$A$65)</f>
      </c>
      <c r="B65">
        <f>IF(ISBLANK('Data Entry'!$B$65), "", 'Data Entry'!$B$65)</f>
      </c>
      <c r="C65">
        <f>IF(ISBLANK('Data Entry'!$C$65), "", 'Data Entry'!$C$65)</f>
      </c>
      <c r="D65">
        <f>IF(ISBLANK('Data Entry'!$D$65), "", 'Data Entry'!$D$65)</f>
      </c>
      <c r="E65">
        <f>IF(ISBLANK('Data Entry'!$E$65), "", 'Data Entry'!$E$65)</f>
      </c>
      <c r="F65">
        <f>IF(ISBLANK('Data Entry'!$F$65), "", 'Data Entry'!$F$65)</f>
      </c>
      <c r="G65">
        <f>IF(ISBLANK('Data Entry'!$G$65), "", 'Data Entry'!$G$65)</f>
      </c>
      <c r="H65">
        <f>IF(ISBLANK('Data Entry'!$H$65), "", 'Data Entry'!$H$65)</f>
      </c>
      <c r="I65">
        <f>IF(ISBLANK('Data Entry'!$I$65), "", 'Data Entry'!$I$65)</f>
      </c>
      <c r="J65">
        <f>IF(ISBLANK('Data Entry'!$J$65), "", 'Data Entry'!$J$65)</f>
      </c>
      <c r="K65">
        <f>IF(ISBLANK('Data Entry'!$K$65), "", 'Data Entry'!$K$65)</f>
      </c>
      <c r="L65">
        <f>IF(ISBLANK('Data Entry'!$L$65), "", 'Data Entry'!$L$65)</f>
      </c>
      <c r="M65">
        <f>IF(ISBLANK('Data Entry'!$M$65), "", 'Data Entry'!$M$65)</f>
      </c>
      <c r="N65">
        <f>IF(ISBLANK('Data Entry'!$N$65), "", 'Data Entry'!$N$65)</f>
      </c>
      <c r="O65">
        <f>IF(ISBLANK('Data Entry'!$O$65), "", 'Data Entry'!$O$65)</f>
      </c>
      <c r="P65">
        <f>IF(ISBLANK('Data Entry'!$P$65), "", 'Data Entry'!$P$65)</f>
      </c>
      <c r="Q65">
        <f>IF(ISBLANK('Data Entry'!$Q$65), "", 'Data Entry'!$Q$65)</f>
      </c>
      <c r="R65">
        <f>IF(ISBLANK('Data Entry'!$R$65), "", 'Data Entry'!$R$65)</f>
      </c>
      <c r="S65">
        <f>IF(ISBLANK('Data Entry'!$S$65), "", 'Data Entry'!$S$65)</f>
      </c>
      <c r="T65">
        <f>IF(ISBLANK('Data Entry'!$T$65), "", 'Data Entry'!$T$65)</f>
      </c>
      <c r="U65">
        <f>IF(ISBLANK('Data Entry'!$U$65), "", 'Data Entry'!$U$65)</f>
      </c>
      <c r="V65">
        <f>IF(ISBLANK('Data Entry'!$V$65), "", 'Data Entry'!$V$65)</f>
      </c>
      <c r="W65">
        <f>IF(ISBLANK('Data Entry'!$W$65), "", 'Data Entry'!$W$65)</f>
      </c>
      <c r="X65">
        <f>IF(ISBLANK('Data Entry'!$X$65), "", 'Data Entry'!$X$65)</f>
      </c>
      <c r="Y65">
        <f>IF(ISBLANK('Data Entry'!$Y$65), "", 'Data Entry'!$Y$65)</f>
      </c>
      <c r="Z65">
        <f>IF(ISBLANK('Data Entry'!$Z$65), "", 'Data Entry'!$Z$65)</f>
      </c>
      <c r="AA65">
        <f>IF(ISBLANK('Data Entry'!$[$65), "", 'Data Entry'!$[$65)</f>
      </c>
      <c r="AB65">
        <f>IF(ISBLANK('Data Entry'!$\$65), "", 'Data Entry'!$\$65)</f>
      </c>
      <c r="AC65">
        <f>IF(ISBLANK('Data Entry'!$]$65), "", 'Data Entry'!$]$65)</f>
      </c>
      <c r="AD65">
        <f>IF(ISBLANK('Data Entry'!$^$65), "", 'Data Entry'!$^$65)</f>
      </c>
      <c r="AE65">
        <f>IF(ISBLANK('Data Entry'!$_$65), "", 'Data Entry'!$_$65)</f>
      </c>
      <c r="AF65">
        <f>IF(ISBLANK('Data Entry'!$`$65), "", 'Data Entry'!$`$65)</f>
      </c>
      <c r="AG65">
        <f>IF(ISBLANK('Data Entry'!$a$65), "", 'Data Entry'!$a$65)</f>
      </c>
      <c r="AH65">
        <f>IF(ISBLANK('Data Entry'!$b$65), "", 'Data Entry'!$b$65)</f>
      </c>
      <c r="AI65">
        <f>IF(ISBLANK('Data Entry'!$c$65), "", 'Data Entry'!$c$65)</f>
      </c>
      <c r="AJ65">
        <f>IF(ISBLANK('Data Entry'!$d$65), "", 'Data Entry'!$d$65)</f>
      </c>
      <c r="AK65">
        <f>IF(ISBLANK('Data Entry'!$e$65), "", 'Data Entry'!$e$65)</f>
      </c>
      <c r="AL65">
        <f>IF(ISBLANK('Data Entry'!$f$65), "", 'Data Entry'!$f$65)</f>
      </c>
      <c r="AM65">
        <f>IF(ISBLANK('Data Entry'!$g$65), "", 'Data Entry'!$g$65)</f>
      </c>
      <c r="AN65">
        <f>IF(ISBLANK('Data Entry'!$h$65), "", 'Data Entry'!$h$65)</f>
      </c>
      <c r="AO65">
        <f>IF(ISBLANK('Data Entry'!$i$65), "", 'Data Entry'!$i$65)</f>
      </c>
      <c r="AP65">
        <f>IF(ISBLANK('Data Entry'!$j$65), "", 'Data Entry'!$j$65)</f>
      </c>
      <c r="AQ65">
        <f>IF(ISBLANK('Data Entry'!$k$65), "", 'Data Entry'!$k$65)</f>
      </c>
      <c r="AR65">
        <f>IF(ISBLANK('Data Entry'!$l$65), "", 'Data Entry'!$l$65)</f>
      </c>
      <c r="AS65">
        <f>IF(ISBLANK('Data Entry'!$m$65), "", 'Data Entry'!$m$65)</f>
      </c>
      <c r="AT65">
        <f>IF(ISBLANK('Data Entry'!$n$65), "", 'Data Entry'!$n$65)</f>
      </c>
      <c r="AU65">
        <f>IF(ISBLANK('Data Entry'!$o$65), "", 'Data Entry'!$o$65)</f>
      </c>
      <c r="AV65">
        <f>IF(ISBLANK('Data Entry'!$p$65), "", 'Data Entry'!$p$65)</f>
      </c>
      <c r="AW65">
        <f>IF(ISBLANK('Data Entry'!$q$65), "", 'Data Entry'!$q$65)</f>
      </c>
      <c r="AX65">
        <f>IF(ISBLANK('Data Entry'!$r$65), "", 'Data Entry'!$r$65)</f>
      </c>
      <c r="AY65">
        <f>IF(ISBLANK('Data Entry'!$s$65), "", 'Data Entry'!$s$65)</f>
      </c>
      <c r="AZ65">
        <f>IF(ISBLANK('Data Entry'!$t$65), "", 'Data Entry'!$t$65)</f>
      </c>
      <c r="BA65">
        <f>IF(ISBLANK('Data Entry'!$u$65), "", 'Data Entry'!$u$65)</f>
      </c>
      <c r="BB65">
        <f>IF(ISBLANK('Data Entry'!$v$65), "", 'Data Entry'!$v$65)</f>
      </c>
      <c r="BC65">
        <f>IF(ISBLANK('Data Entry'!$w$65), "", 'Data Entry'!$w$65)</f>
      </c>
      <c r="BD65">
        <f>IF(ISBLANK('Data Entry'!$x$65), "", 'Data Entry'!$x$65)</f>
      </c>
      <c r="BE65">
        <f>IF(ISBLANK('Data Entry'!$y$65), "", 'Data Entry'!$y$65)</f>
      </c>
      <c r="BF65">
        <f>IF(ISBLANK('Data Entry'!$z$65), "", 'Data Entry'!$z$65)</f>
      </c>
      <c r="BG65">
        <f>IF(ISBLANK('Data Entry'!${$65), "", 'Data Entry'!${$65)</f>
      </c>
      <c r="BH65">
        <f>IF(ISBLANK('Data Entry'!$|$65), "", 'Data Entry'!$|$65)</f>
      </c>
      <c r="BI65">
        <f>IF(ISBLANK('Data Entry'!$}$65), "", 'Data Entry'!$}$65)</f>
      </c>
      <c r="BJ65">
        <f>IF(ISBLANK('Data Entry'!$~$65), "", 'Data Entry'!$~$65)</f>
      </c>
      <c r="BK65">
        <f>IF(ISBLANK('Data Entry'!$$65), "", 'Data Entry'!$$65)</f>
      </c>
      <c r="BL65">
        <f>IF(ISBLANK('Data Entry'!$$65), "", 'Data Entry'!$$65)</f>
      </c>
      <c r="BM65">
        <f>IF(ISBLANK('Data Entry'!$$65), "", 'Data Entry'!$$65)</f>
      </c>
      <c r="BN65">
        <f>IF(ISBLANK('Data Entry'!$$65), "", 'Data Entry'!$$65)</f>
      </c>
      <c r="BO65">
        <f>IF(ISBLANK('Data Entry'!$$65), "", 'Data Entry'!$$65)</f>
      </c>
      <c r="BP65">
        <f>IF(ISBLANK('Data Entry'!$$65), "", 'Data Entry'!$$65)</f>
      </c>
      <c r="BQ65">
        <f>IF(ISBLANK('Data Entry'!$$65), "", 'Data Entry'!$$65)</f>
      </c>
      <c r="BR65">
        <f>IF(ISBLANK('Data Entry'!$$65), "", 'Data Entry'!$$65)</f>
      </c>
      <c r="BS65">
        <f>IF(ISBLANK('Data Entry'!$$65), "", 'Data Entry'!$$65)</f>
      </c>
      <c r="BT65">
        <f>IF(ISBLANK('Data Entry'!$$65), "", 'Data Entry'!$$65)</f>
      </c>
      <c r="BU65">
        <f>IF(ISBLANK('Data Entry'!$$65), "", 'Data Entry'!$$65)</f>
      </c>
      <c r="BV65">
        <f>IF(ISBLANK('Data Entry'!$$65), "", 'Data Entry'!$$65)</f>
      </c>
      <c r="BW65">
        <f>IF(ISBLANK('Data Entry'!$$65), "", 'Data Entry'!$$65)</f>
      </c>
      <c r="BX65">
        <f>IF(ISBLANK('Data Entry'!$$65), "", 'Data Entry'!$$65)</f>
      </c>
      <c r="BY65">
        <f>IF(ISBLANK('Data Entry'!$$65), "", 'Data Entry'!$$65)</f>
      </c>
      <c r="BZ65">
        <f>IF(ISBLANK('Data Entry'!$$65), "", 'Data Entry'!$$65)</f>
      </c>
      <c r="CA65">
        <f>IF(ISBLANK('Data Entry'!$$65), "", 'Data Entry'!$$65)</f>
      </c>
      <c r="CB65">
        <f>IF(ISBLANK('Data Entry'!$$65), "", 'Data Entry'!$$65)</f>
      </c>
      <c r="CC65">
        <f>IF(ISBLANK('Data Entry'!$$65), "", 'Data Entry'!$$65)</f>
      </c>
      <c r="CD65">
        <f>IF(ISBLANK('Data Entry'!$$65), "", 'Data Entry'!$$65)</f>
      </c>
      <c r="CE65">
        <f>IF(ISBLANK('Data Entry'!$$65), "", 'Data Entry'!$$65)</f>
      </c>
      <c r="CF65">
        <f>IF(ISBLANK('Data Entry'!$$65), "", 'Data Entry'!$$65)</f>
      </c>
      <c r="CG65">
        <f>IF(ISBLANK('Data Entry'!$$65), "", 'Data Entry'!$$65)</f>
      </c>
      <c r="CH65">
        <f>IF(ISBLANK('Data Entry'!$$65), "", 'Data Entry'!$$65)</f>
      </c>
      <c r="CI65">
        <f>IF(ISBLANK('Data Entry'!$$65), "", 'Data Entry'!$$65)</f>
      </c>
      <c r="CJ65">
        <f>IF(ISBLANK('Data Entry'!$$65), "", 'Data Entry'!$$65)</f>
      </c>
      <c r="CK65">
        <f>IF(ISBLANK('Data Entry'!$$65), "", 'Data Entry'!$$65)</f>
      </c>
      <c r="CL65">
        <f>IF(ISBLANK('Data Entry'!$$65), "", 'Data Entry'!$$65)</f>
      </c>
      <c r="CM65">
        <f>IF(ISBLANK('Data Entry'!$$65), "", 'Data Entry'!$$65)</f>
      </c>
      <c r="CN65">
        <f>IF(ISBLANK('Data Entry'!$$65), "", 'Data Entry'!$$65)</f>
      </c>
      <c r="CO65">
        <f>IF(ISBLANK('Data Entry'!$$65), "", 'Data Entry'!$$65)</f>
      </c>
      <c r="CP65">
        <f>IF(ISBLANK('Data Entry'!$$65), "", 'Data Entry'!$$65)</f>
      </c>
      <c r="CQ65">
        <f>IF(ISBLANK('Data Entry'!$$65), "", 'Data Entry'!$$65)</f>
      </c>
      <c r="CR65">
        <f>IF(ISBLANK('Data Entry'!$ $65), "", 'Data Entry'!$ $65)</f>
      </c>
      <c r="CS65">
        <f>IF(ISBLANK('Data Entry'!$¡$65), "", 'Data Entry'!$¡$65)</f>
      </c>
      <c r="CT65">
        <f>IF(ISBLANK('Data Entry'!$¢$65), "", 'Data Entry'!$¢$65)</f>
      </c>
      <c r="CU65">
        <f>IF(ISBLANK('Data Entry'!$£$65), "", 'Data Entry'!$£$65)</f>
      </c>
      <c r="CV65">
        <f>IF(ISBLANK('Data Entry'!$¤$65), "", 'Data Entry'!$¤$65)</f>
      </c>
      <c r="CW65">
        <f>IF(ISBLANK('Data Entry'!$¥$65), "", 'Data Entry'!$¥$65)</f>
      </c>
      <c r="CX65">
        <f>IF(ISBLANK('Data Entry'!$¦$65), "", 'Data Entry'!$¦$65)</f>
      </c>
      <c r="CY65">
        <f>IF(ISBLANK('Data Entry'!$§$65), "", 'Data Entry'!$§$65)</f>
      </c>
      <c r="CZ65">
        <f>IF(ISBLANK('Data Entry'!$¨$65), "", 'Data Entry'!$¨$65)</f>
      </c>
      <c r="DA65">
        <f>IF(ISBLANK('Data Entry'!$©$65), "", 'Data Entry'!$©$65)</f>
      </c>
      <c r="DB65">
        <f>IF(ISBLANK('Data Entry'!$ª$65), "", 'Data Entry'!$ª$65)</f>
      </c>
      <c r="DC65">
        <f>IF(ISBLANK('Data Entry'!$«$65), "", 'Data Entry'!$«$65)</f>
      </c>
      <c r="DD65">
        <f>IF(ISBLANK('Data Entry'!$¬$65), "", 'Data Entry'!$¬$65)</f>
      </c>
      <c r="DE65">
        <f>IF(ISBLANK('Data Entry'!$­$65), "", 'Data Entry'!$­$65)</f>
      </c>
      <c r="DF65">
        <f>IF(ISBLANK('Data Entry'!$®$65), "", 'Data Entry'!$®$65)</f>
      </c>
      <c r="DG65">
        <f>IF(ISBLANK('Data Entry'!$¯$65), "", 'Data Entry'!$¯$65)</f>
      </c>
      <c r="DH65">
        <f>IF(ISBLANK('Data Entry'!$°$65), "", 'Data Entry'!$°$65)</f>
      </c>
      <c r="DI65">
        <f>IF(ISBLANK('Data Entry'!$±$65), "", 'Data Entry'!$±$65)</f>
      </c>
      <c r="DJ65">
        <f>IF(ISBLANK('Data Entry'!$²$65), "", 'Data Entry'!$²$65)</f>
      </c>
      <c r="DK65">
        <f>IF(ISBLANK('Data Entry'!$³$65), "", 'Data Entry'!$³$65)</f>
      </c>
      <c r="DL65">
        <f>IF(ISBLANK('Data Entry'!$´$65), "", 'Data Entry'!$´$65)</f>
      </c>
      <c r="DM65">
        <f>IF(ISBLANK('Data Entry'!$µ$65), "", 'Data Entry'!$µ$65)</f>
      </c>
      <c r="DN65">
        <f>IF(ISBLANK('Data Entry'!$¶$65), "", 'Data Entry'!$¶$65)</f>
      </c>
      <c r="DO65">
        <f>IF(ISBLANK('Data Entry'!$·$65), "", 'Data Entry'!$·$65)</f>
      </c>
      <c r="DP65">
        <f>IF(ISBLANK('Data Entry'!$¸$65), "", 'Data Entry'!$¸$65)</f>
      </c>
      <c r="DQ65">
        <f>IF(ISBLANK('Data Entry'!$¹$65), "", 'Data Entry'!$¹$65)</f>
      </c>
      <c r="DR65">
        <f>IF(ISBLANK('Data Entry'!$º$65), "", 'Data Entry'!$º$65)</f>
      </c>
      <c r="DS65">
        <f>IF(ISBLANK('Data Entry'!$»$65), "", 'Data Entry'!$»$65)</f>
      </c>
      <c r="DT65">
        <f>IF(ISBLANK('Data Entry'!$¼$65), "", 'Data Entry'!$¼$65)</f>
      </c>
      <c r="DU65">
        <f>IF(ISBLANK('Data Entry'!$½$65), "", 'Data Entry'!$½$65)</f>
      </c>
      <c r="DV65">
        <f>IF(ISBLANK('Data Entry'!$¾$65), "", 'Data Entry'!$¾$65)</f>
      </c>
      <c r="DW65">
        <f>IF(ISBLANK('Data Entry'!$¿$65), "", 'Data Entry'!$¿$65)</f>
      </c>
      <c r="DX65">
        <f>IF(ISBLANK('Data Entry'!$À$65), "", 'Data Entry'!$À$65)</f>
      </c>
      <c r="DY65">
        <f>IF(ISBLANK('Data Entry'!$Á$65), "", 'Data Entry'!$Á$65)</f>
      </c>
      <c r="DZ65">
        <f>IF(ISBLANK('Data Entry'!$Â$65), "", 'Data Entry'!$Â$65)</f>
      </c>
      <c r="EA65">
        <f>IF(ISBLANK('Data Entry'!$Ã$65), "", 'Data Entry'!$Ã$65)</f>
      </c>
      <c r="EB65">
        <f>IF(ISBLANK('Data Entry'!$Ä$65), "", 'Data Entry'!$Ä$65)</f>
      </c>
      <c r="EC65">
        <f>IF(ISBLANK('Data Entry'!$Å$65), "", 'Data Entry'!$Å$65)</f>
      </c>
      <c r="ED65">
        <f>IF(ISBLANK('Data Entry'!$Æ$65), "", 'Data Entry'!$Æ$65)</f>
      </c>
      <c r="EE65">
        <f>IF(ISBLANK('Data Entry'!$Ç$65), "", 'Data Entry'!$Ç$65)</f>
      </c>
      <c r="EF65">
        <f>IF(ISBLANK('Data Entry'!$È$65), "", 'Data Entry'!$È$65)</f>
      </c>
      <c r="EG65">
        <f>IF(ISBLANK('Data Entry'!$É$65), "", 'Data Entry'!$É$65)</f>
      </c>
      <c r="EH65">
        <f>IF(ISBLANK('Data Entry'!$Ê$65), "", 'Data Entry'!$Ê$65)</f>
      </c>
      <c r="EI65">
        <f>IF(ISBLANK('Data Entry'!$Ë$65), "", 'Data Entry'!$Ë$65)</f>
      </c>
      <c r="EJ65">
        <f>IF(ISBLANK('Data Entry'!$Ì$65), "", 'Data Entry'!$Ì$65)</f>
      </c>
      <c r="EK65">
        <f>IF(ISBLANK('Data Entry'!$Í$65), "", 'Data Entry'!$Í$65)</f>
      </c>
      <c r="EL65">
        <f>IF(ISBLANK('Data Entry'!$Î$65), "", 'Data Entry'!$Î$65)</f>
      </c>
      <c r="EM65">
        <f>IF(ISBLANK('Data Entry'!$Ï$65), "", 'Data Entry'!$Ï$65)</f>
      </c>
      <c r="EN65">
        <f>IF(ISBLANK('Data Entry'!$Ð$65), "", 'Data Entry'!$Ð$65)</f>
      </c>
      <c r="EO65">
        <f>IF(ISBLANK('Data Entry'!$Ñ$65), "", 'Data Entry'!$Ñ$65)</f>
      </c>
      <c r="EP65">
        <f>IF(ISBLANK('Data Entry'!$Ò$65), "", 'Data Entry'!$Ò$65)</f>
      </c>
      <c r="EQ65">
        <f>IF(ISBLANK('Data Entry'!$Ó$65), "", 'Data Entry'!$Ó$65)</f>
      </c>
      <c r="ER65">
        <f>IF(ISBLANK('Data Entry'!$Ô$65), "", 'Data Entry'!$Ô$65)</f>
      </c>
      <c r="ES65">
        <f>IF(ISBLANK('Data Entry'!$Õ$65), "", 'Data Entry'!$Õ$65)</f>
      </c>
      <c r="ET65">
        <f>IF(ISBLANK('Data Entry'!$Ö$65), "", 'Data Entry'!$Ö$65)</f>
      </c>
      <c r="EU65">
        <f>IF(ISBLANK('Data Entry'!$×$65), "", 'Data Entry'!$×$65)</f>
      </c>
      <c r="EV65">
        <f>IF(ISBLANK('Data Entry'!$Ø$65), "", 'Data Entry'!$Ø$65)</f>
      </c>
      <c r="EW65">
        <f>IF(ISBLANK('Data Entry'!$Ù$65), "", 'Data Entry'!$Ù$65)</f>
      </c>
      <c r="EX65">
        <f>IF(ISBLANK('Data Entry'!$Ú$65), "", 'Data Entry'!$Ú$65)</f>
      </c>
      <c r="EY65">
        <f>IF(ISBLANK('Data Entry'!$Û$65), "", 'Data Entry'!$Û$65)</f>
      </c>
      <c r="EZ65">
        <f>IF(ISBLANK('Data Entry'!$Ü$65), "", 'Data Entry'!$Ü$65)</f>
      </c>
      <c r="FA65">
        <f>IF(ISBLANK('Data Entry'!$Ý$65), "", 'Data Entry'!$Ý$65)</f>
      </c>
      <c r="FB65">
        <f>IF(ISBLANK('Data Entry'!$Þ$65), "", 'Data Entry'!$Þ$65)</f>
      </c>
      <c r="FC65">
        <f>IF(ISBLANK('Data Entry'!$ß$65), "", 'Data Entry'!$ß$65)</f>
      </c>
      <c r="FD65">
        <f>IF(ISBLANK('Data Entry'!$à$65), "", 'Data Entry'!$à$65)</f>
      </c>
      <c r="FE65">
        <f>IF(ISBLANK('Data Entry'!$á$65), "", 'Data Entry'!$á$65)</f>
      </c>
      <c r="FF65">
        <f>IF(ISBLANK('Data Entry'!$â$65), "", 'Data Entry'!$â$65)</f>
      </c>
      <c r="FG65">
        <f>IF(ISBLANK('Data Entry'!$ã$65), "", 'Data Entry'!$ã$65)</f>
      </c>
      <c r="FH65">
        <f>IF(ISBLANK('Data Entry'!$ä$65), "", 'Data Entry'!$ä$65)</f>
      </c>
      <c r="FI65">
        <f>IF(ISBLANK('Data Entry'!$å$65), "", 'Data Entry'!$å$65)</f>
      </c>
      <c r="FJ65">
        <f>IF(ISBLANK('Data Entry'!$æ$65), "", 'Data Entry'!$æ$65)</f>
      </c>
      <c r="FK65">
        <f>IF(ISBLANK('Data Entry'!$ç$65), "", 'Data Entry'!$ç$65)</f>
      </c>
      <c r="FL65">
        <f>IF(ISBLANK('Data Entry'!$è$65), "", 'Data Entry'!$è$65)</f>
      </c>
      <c r="FM65">
        <f>IF(ISBLANK('Data Entry'!$é$65), "", 'Data Entry'!$é$65)</f>
      </c>
      <c r="FN65">
        <f>IF(ISBLANK('Data Entry'!$ê$65), "", 'Data Entry'!$ê$65)</f>
      </c>
      <c r="FO65">
        <f>IF(ISBLANK('Data Entry'!$ë$65), "", 'Data Entry'!$ë$65)</f>
      </c>
      <c r="FP65">
        <f>IF(ISBLANK('Data Entry'!$ì$65), "", 'Data Entry'!$ì$65)</f>
      </c>
      <c r="FQ65">
        <f>IF(ISBLANK('Data Entry'!$í$65), "", 'Data Entry'!$í$65)</f>
      </c>
      <c r="FR65">
        <f>IF(ISBLANK('Data Entry'!$î$65), "", 'Data Entry'!$î$65)</f>
      </c>
      <c r="FS65">
        <f>IF(ISBLANK('Data Entry'!$ï$65), "", 'Data Entry'!$ï$65)</f>
      </c>
      <c r="FT65">
        <f>IF(ISBLANK('Data Entry'!$ð$65), "", 'Data Entry'!$ð$65)</f>
      </c>
      <c r="FU65">
        <f>IF(ISBLANK('Data Entry'!$ñ$65), "", 'Data Entry'!$ñ$65)</f>
      </c>
      <c r="FV65">
        <f>IF(ISBLANK('Data Entry'!$ò$65), "", 'Data Entry'!$ò$65)</f>
      </c>
      <c r="FW65">
        <f>IF(ISBLANK('Data Entry'!$ó$65), "", 'Data Entry'!$ó$65)</f>
      </c>
      <c r="FX65">
        <f>IF(ISBLANK('Data Entry'!$ô$65), "", 'Data Entry'!$ô$65)</f>
      </c>
      <c r="FY65">
        <f>IF(ISBLANK('Data Entry'!$õ$65), "", 'Data Entry'!$õ$65)</f>
      </c>
      <c r="FZ65">
        <f>IF(ISBLANK('Data Entry'!$ö$65), "", 'Data Entry'!$ö$65)</f>
      </c>
      <c r="GA65">
        <f>IF(ISBLANK('Data Entry'!$÷$65), "", 'Data Entry'!$÷$65)</f>
      </c>
      <c r="GB65">
        <f>IF(ISBLANK('Data Entry'!$ø$65), "", 'Data Entry'!$ø$65)</f>
      </c>
      <c r="GC65">
        <f>IF(ISBLANK('Data Entry'!$ù$65), "", 'Data Entry'!$ù$65)</f>
      </c>
      <c r="GD65">
        <f>IF(ISBLANK('Data Entry'!$ú$65), "", 'Data Entry'!$ú$65)</f>
      </c>
      <c r="GE65">
        <f>IF(ISBLANK('Data Entry'!$û$65), "", 'Data Entry'!$û$65)</f>
      </c>
      <c r="GF65">
        <f>IF(ISBLANK('Data Entry'!$ü$65), "", 'Data Entry'!$ü$65)</f>
      </c>
      <c r="GG65">
        <f>IF(ISBLANK('Data Entry'!$ý$65), "", 'Data Entry'!$ý$65)</f>
      </c>
      <c r="GH65">
        <f>IF(ISBLANK('Data Entry'!$þ$65), "", 'Data Entry'!$þ$65)</f>
      </c>
      <c r="GI65">
        <f>IF(ISBLANK('Data Entry'!$ÿ$65), "", 'Data Entry'!$ÿ$65)</f>
      </c>
      <c r="GJ65">
        <f>IF(ISBLANK('Data Entry'!$Ā$65), "", 'Data Entry'!$Ā$65)</f>
      </c>
      <c r="GK65">
        <f>IF(ISBLANK('Data Entry'!$ā$65), "", 'Data Entry'!$ā$65)</f>
      </c>
      <c r="GL65">
        <f>IF(ISBLANK('Data Entry'!$Ă$65), "", 'Data Entry'!$Ă$65)</f>
      </c>
      <c r="GM65">
        <f>IF(ISBLANK('Data Entry'!$ă$65), "", 'Data Entry'!$ă$65)</f>
      </c>
      <c r="GN65">
        <f>IF(ISBLANK('Data Entry'!$Ą$65), "", 'Data Entry'!$Ą$65)</f>
      </c>
      <c r="GO65">
        <f>IF(ISBLANK('Data Entry'!$ą$65), "", 'Data Entry'!$ą$65)</f>
      </c>
      <c r="GP65">
        <f>IF(ISBLANK('Data Entry'!$Ć$65), "", 'Data Entry'!$Ć$65)</f>
      </c>
      <c r="GQ65">
        <f>IF(ISBLANK('Data Entry'!$ć$65), "", 'Data Entry'!$ć$65)</f>
      </c>
      <c r="GR65">
        <f>IF(ISBLANK('Data Entry'!$Ĉ$65), "", 'Data Entry'!$Ĉ$65)</f>
      </c>
      <c r="GS65">
        <f>IF(ISBLANK('Data Entry'!$ĉ$65), "", 'Data Entry'!$ĉ$65)</f>
      </c>
      <c r="GT65">
        <f>IF(ISBLANK('Data Entry'!$Ċ$65), "", 'Data Entry'!$Ċ$65)</f>
      </c>
      <c r="GU65">
        <f>IF(ISBLANK('Data Entry'!$ċ$65), "", 'Data Entry'!$ċ$65)</f>
      </c>
      <c r="GV65">
        <f>IF(ISBLANK('Data Entry'!$Č$65), "", 'Data Entry'!$Č$65)</f>
      </c>
      <c r="GW65">
        <f>IF(ISBLANK('Data Entry'!$č$65), "", 'Data Entry'!$č$65)</f>
      </c>
      <c r="GX65">
        <f>IF(ISBLANK('Data Entry'!$Ď$65), "", 'Data Entry'!$Ď$65)</f>
      </c>
      <c r="GY65">
        <f>IF(ISBLANK('Data Entry'!$ď$65), "", 'Data Entry'!$ď$65)</f>
      </c>
      <c r="GZ65">
        <f>IF(ISBLANK('Data Entry'!$Đ$65), "", 'Data Entry'!$Đ$65)</f>
      </c>
      <c r="HA65">
        <f>IF(ISBLANK('Data Entry'!$đ$65), "", 'Data Entry'!$đ$65)</f>
      </c>
      <c r="HB65">
        <f>IF(ISBLANK('Data Entry'!$Ē$65), "", 'Data Entry'!$Ē$65)</f>
      </c>
      <c r="HC65">
        <f>IF(ISBLANK('Data Entry'!$ē$65), "", 'Data Entry'!$ē$65)</f>
      </c>
      <c r="HD65">
        <f>IF(ISBLANK('Data Entry'!$Ĕ$65), "", 'Data Entry'!$Ĕ$65)</f>
      </c>
      <c r="HE65">
        <f>IF(ISBLANK('Data Entry'!$ĕ$65), "", 'Data Entry'!$ĕ$65)</f>
      </c>
      <c r="HF65">
        <f>IF(ISBLANK('Data Entry'!$Ė$65), "", 'Data Entry'!$Ė$65)</f>
      </c>
      <c r="HG65">
        <f>IF(ISBLANK('Data Entry'!$ė$65), "", 'Data Entry'!$ė$65)</f>
      </c>
      <c r="HH65">
        <f>IF(ISBLANK('Data Entry'!$Ę$65), "", 'Data Entry'!$Ę$65)</f>
      </c>
      <c r="HI65">
        <f>IF(ISBLANK('Data Entry'!$ę$65), "", 'Data Entry'!$ę$65)</f>
      </c>
      <c r="HJ65">
        <f>IF(ISBLANK('Data Entry'!$Ě$65), "", 'Data Entry'!$Ě$65)</f>
      </c>
      <c r="HK65">
        <f>IF(ISBLANK('Data Entry'!$ě$65), "", 'Data Entry'!$ě$65)</f>
      </c>
      <c r="HL65">
        <f>IF(ISBLANK('Data Entry'!$Ĝ$65), "", 'Data Entry'!$Ĝ$65)</f>
      </c>
      <c r="HM65">
        <f>IF(ISBLANK('Data Entry'!$ĝ$65), "", 'Data Entry'!$ĝ$65)</f>
      </c>
      <c r="HN65">
        <f>IF(ISBLANK('Data Entry'!$Ğ$65), "", 'Data Entry'!$Ğ$65)</f>
      </c>
      <c r="HO65">
        <f>IF(ISBLANK('Data Entry'!$ğ$65), "", 'Data Entry'!$ğ$65)</f>
      </c>
      <c r="HP65">
        <f>IF(ISBLANK('Data Entry'!$Ġ$65), "", 'Data Entry'!$Ġ$65)</f>
      </c>
      <c r="HQ65">
        <f>IF(ISBLANK('Data Entry'!$ġ$65), "", 'Data Entry'!$ġ$65)</f>
      </c>
      <c r="HR65">
        <f>IF(ISBLANK('Data Entry'!$Ģ$65), "", 'Data Entry'!$Ģ$65)</f>
      </c>
      <c r="HS65">
        <f>IF(ISBLANK('Data Entry'!$ģ$65), "", 'Data Entry'!$ģ$65)</f>
      </c>
      <c r="HT65">
        <f>IF(ISBLANK('Data Entry'!$Ĥ$65), "", 'Data Entry'!$Ĥ$65)</f>
      </c>
      <c r="HU65">
        <f>IF(ISBLANK('Data Entry'!$ĥ$65), "", 'Data Entry'!$ĥ$65)</f>
      </c>
      <c r="HV65">
        <f>IF(ISBLANK('Data Entry'!$Ħ$65), "", 'Data Entry'!$Ħ$65)</f>
      </c>
      <c r="HW65">
        <f>IF(ISBLANK('Data Entry'!$ħ$65), "", 'Data Entry'!$ħ$65)</f>
      </c>
      <c r="HX65">
        <f>IF(ISBLANK('Data Entry'!$Ĩ$65), "", 'Data Entry'!$Ĩ$65)</f>
      </c>
      <c r="HY65">
        <f>IF(ISBLANK('Data Entry'!$ĩ$65), "", 'Data Entry'!$ĩ$65)</f>
      </c>
      <c r="HZ65">
        <f>IF(ISBLANK('Data Entry'!$Ī$65), "", 'Data Entry'!$Ī$65)</f>
      </c>
      <c r="IA65">
        <f>IF(ISBLANK('Data Entry'!$ī$65), "", 'Data Entry'!$ī$65)</f>
      </c>
      <c r="IB65">
        <f>IF(ISBLANK('Data Entry'!$Ĭ$65), "", 'Data Entry'!$Ĭ$65)</f>
      </c>
      <c r="IC65">
        <f>IF(ISBLANK('Data Entry'!$ĭ$65), "", 'Data Entry'!$ĭ$65)</f>
      </c>
      <c r="ID65">
        <f>IF(ISBLANK('Data Entry'!$Į$65), "", 'Data Entry'!$Į$65)</f>
      </c>
      <c r="IE65">
        <f>IF(ISBLANK('Data Entry'!$į$65), "", 'Data Entry'!$į$65)</f>
      </c>
      <c r="IF65">
        <f>IF(ISBLANK('Data Entry'!$İ$65), "", 'Data Entry'!$İ$65)</f>
      </c>
      <c r="IG65">
        <f>IF(ISBLANK('Data Entry'!$ı$65), "", 'Data Entry'!$ı$65)</f>
      </c>
      <c r="IH65">
        <f>IF(ISBLANK('Data Entry'!$Ĳ$65), "", 'Data Entry'!$Ĳ$65)</f>
      </c>
      <c r="II65">
        <f>IF(ISBLANK('Data Entry'!$ĳ$65), "", 'Data Entry'!$ĳ$65)</f>
      </c>
      <c r="IJ65">
        <f>IF(ISBLANK('Data Entry'!$Ĵ$65), "", 'Data Entry'!$Ĵ$65)</f>
      </c>
      <c r="IK65">
        <f>IF(ISBLANK('Data Entry'!$ĵ$65), "", 'Data Entry'!$ĵ$65)</f>
      </c>
      <c r="IL65">
        <f>IF(ISBLANK('Data Entry'!$Ķ$65), "", 'Data Entry'!$Ķ$65)</f>
      </c>
      <c r="IM65">
        <f>IF(ISBLANK('Data Entry'!$ķ$65), "", 'Data Entry'!$ķ$65)</f>
      </c>
      <c r="IN65">
        <f>IF(ISBLANK('Data Entry'!$ĸ$65), "", 'Data Entry'!$ĸ$65)</f>
      </c>
      <c r="IO65">
        <f>IF(ISBLANK('Data Entry'!$Ĺ$65), "", 'Data Entry'!$Ĺ$65)</f>
      </c>
      <c r="IP65">
        <f>IF(ISBLANK('Data Entry'!$ĺ$65), "", 'Data Entry'!$ĺ$65)</f>
      </c>
      <c r="IQ65">
        <f>IF(ISBLANK('Data Entry'!$Ļ$65), "", 'Data Entry'!$Ļ$65)</f>
      </c>
      <c r="IR65">
        <f>IF(ISBLANK('Data Entry'!$ļ$65), "", 'Data Entry'!$ļ$65)</f>
      </c>
      <c r="IS65">
        <f>IF(ISBLANK('Data Entry'!$Ľ$65), "", 'Data Entry'!$Ľ$65)</f>
      </c>
      <c r="IT65">
        <f>IF(ISBLANK('Data Entry'!$ľ$65), "", 'Data Entry'!$ľ$65)</f>
      </c>
    </row>
    <row r="66" spans="1:254" x14ac:dyDescent="0.25">
      <c r="A66">
        <f>IF(ISBLANK('Data Entry'!$A$66), "", 'Data Entry'!$A$66)</f>
      </c>
      <c r="B66">
        <f>IF(ISBLANK('Data Entry'!$B$66), "", 'Data Entry'!$B$66)</f>
      </c>
      <c r="C66">
        <f>IF(ISBLANK('Data Entry'!$C$66), "", 'Data Entry'!$C$66)</f>
      </c>
      <c r="D66">
        <f>IF(ISBLANK('Data Entry'!$D$66), "", 'Data Entry'!$D$66)</f>
      </c>
      <c r="E66">
        <f>IF(ISBLANK('Data Entry'!$E$66), "", 'Data Entry'!$E$66)</f>
      </c>
      <c r="F66">
        <f>IF(ISBLANK('Data Entry'!$F$66), "", 'Data Entry'!$F$66)</f>
      </c>
      <c r="G66">
        <f>IF(ISBLANK('Data Entry'!$G$66), "", 'Data Entry'!$G$66)</f>
      </c>
      <c r="H66">
        <f>IF(ISBLANK('Data Entry'!$H$66), "", 'Data Entry'!$H$66)</f>
      </c>
      <c r="I66">
        <f>IF(ISBLANK('Data Entry'!$I$66), "", 'Data Entry'!$I$66)</f>
      </c>
      <c r="J66">
        <f>IF(ISBLANK('Data Entry'!$J$66), "", 'Data Entry'!$J$66)</f>
      </c>
      <c r="K66">
        <f>IF(ISBLANK('Data Entry'!$K$66), "", 'Data Entry'!$K$66)</f>
      </c>
      <c r="L66">
        <f>IF(ISBLANK('Data Entry'!$L$66), "", 'Data Entry'!$L$66)</f>
      </c>
      <c r="M66">
        <f>IF(ISBLANK('Data Entry'!$M$66), "", 'Data Entry'!$M$66)</f>
      </c>
      <c r="N66">
        <f>IF(ISBLANK('Data Entry'!$N$66), "", 'Data Entry'!$N$66)</f>
      </c>
      <c r="O66">
        <f>IF(ISBLANK('Data Entry'!$O$66), "", 'Data Entry'!$O$66)</f>
      </c>
      <c r="P66">
        <f>IF(ISBLANK('Data Entry'!$P$66), "", 'Data Entry'!$P$66)</f>
      </c>
      <c r="Q66">
        <f>IF(ISBLANK('Data Entry'!$Q$66), "", 'Data Entry'!$Q$66)</f>
      </c>
      <c r="R66">
        <f>IF(ISBLANK('Data Entry'!$R$66), "", 'Data Entry'!$R$66)</f>
      </c>
      <c r="S66">
        <f>IF(ISBLANK('Data Entry'!$S$66), "", 'Data Entry'!$S$66)</f>
      </c>
      <c r="T66">
        <f>IF(ISBLANK('Data Entry'!$T$66), "", 'Data Entry'!$T$66)</f>
      </c>
      <c r="U66">
        <f>IF(ISBLANK('Data Entry'!$U$66), "", 'Data Entry'!$U$66)</f>
      </c>
      <c r="V66">
        <f>IF(ISBLANK('Data Entry'!$V$66), "", 'Data Entry'!$V$66)</f>
      </c>
      <c r="W66">
        <f>IF(ISBLANK('Data Entry'!$W$66), "", 'Data Entry'!$W$66)</f>
      </c>
      <c r="X66">
        <f>IF(ISBLANK('Data Entry'!$X$66), "", 'Data Entry'!$X$66)</f>
      </c>
      <c r="Y66">
        <f>IF(ISBLANK('Data Entry'!$Y$66), "", 'Data Entry'!$Y$66)</f>
      </c>
      <c r="Z66">
        <f>IF(ISBLANK('Data Entry'!$Z$66), "", 'Data Entry'!$Z$66)</f>
      </c>
      <c r="AA66">
        <f>IF(ISBLANK('Data Entry'!$[$66), "", 'Data Entry'!$[$66)</f>
      </c>
      <c r="AB66">
        <f>IF(ISBLANK('Data Entry'!$\$66), "", 'Data Entry'!$\$66)</f>
      </c>
      <c r="AC66">
        <f>IF(ISBLANK('Data Entry'!$]$66), "", 'Data Entry'!$]$66)</f>
      </c>
      <c r="AD66">
        <f>IF(ISBLANK('Data Entry'!$^$66), "", 'Data Entry'!$^$66)</f>
      </c>
      <c r="AE66">
        <f>IF(ISBLANK('Data Entry'!$_$66), "", 'Data Entry'!$_$66)</f>
      </c>
      <c r="AF66">
        <f>IF(ISBLANK('Data Entry'!$`$66), "", 'Data Entry'!$`$66)</f>
      </c>
      <c r="AG66">
        <f>IF(ISBLANK('Data Entry'!$a$66), "", 'Data Entry'!$a$66)</f>
      </c>
      <c r="AH66">
        <f>IF(ISBLANK('Data Entry'!$b$66), "", 'Data Entry'!$b$66)</f>
      </c>
      <c r="AI66">
        <f>IF(ISBLANK('Data Entry'!$c$66), "", 'Data Entry'!$c$66)</f>
      </c>
      <c r="AJ66">
        <f>IF(ISBLANK('Data Entry'!$d$66), "", 'Data Entry'!$d$66)</f>
      </c>
      <c r="AK66">
        <f>IF(ISBLANK('Data Entry'!$e$66), "", 'Data Entry'!$e$66)</f>
      </c>
      <c r="AL66">
        <f>IF(ISBLANK('Data Entry'!$f$66), "", 'Data Entry'!$f$66)</f>
      </c>
      <c r="AM66">
        <f>IF(ISBLANK('Data Entry'!$g$66), "", 'Data Entry'!$g$66)</f>
      </c>
      <c r="AN66">
        <f>IF(ISBLANK('Data Entry'!$h$66), "", 'Data Entry'!$h$66)</f>
      </c>
      <c r="AO66">
        <f>IF(ISBLANK('Data Entry'!$i$66), "", 'Data Entry'!$i$66)</f>
      </c>
      <c r="AP66">
        <f>IF(ISBLANK('Data Entry'!$j$66), "", 'Data Entry'!$j$66)</f>
      </c>
      <c r="AQ66">
        <f>IF(ISBLANK('Data Entry'!$k$66), "", 'Data Entry'!$k$66)</f>
      </c>
      <c r="AR66">
        <f>IF(ISBLANK('Data Entry'!$l$66), "", 'Data Entry'!$l$66)</f>
      </c>
      <c r="AS66">
        <f>IF(ISBLANK('Data Entry'!$m$66), "", 'Data Entry'!$m$66)</f>
      </c>
      <c r="AT66">
        <f>IF(ISBLANK('Data Entry'!$n$66), "", 'Data Entry'!$n$66)</f>
      </c>
      <c r="AU66">
        <f>IF(ISBLANK('Data Entry'!$o$66), "", 'Data Entry'!$o$66)</f>
      </c>
      <c r="AV66">
        <f>IF(ISBLANK('Data Entry'!$p$66), "", 'Data Entry'!$p$66)</f>
      </c>
      <c r="AW66">
        <f>IF(ISBLANK('Data Entry'!$q$66), "", 'Data Entry'!$q$66)</f>
      </c>
      <c r="AX66">
        <f>IF(ISBLANK('Data Entry'!$r$66), "", 'Data Entry'!$r$66)</f>
      </c>
      <c r="AY66">
        <f>IF(ISBLANK('Data Entry'!$s$66), "", 'Data Entry'!$s$66)</f>
      </c>
      <c r="AZ66">
        <f>IF(ISBLANK('Data Entry'!$t$66), "", 'Data Entry'!$t$66)</f>
      </c>
      <c r="BA66">
        <f>IF(ISBLANK('Data Entry'!$u$66), "", 'Data Entry'!$u$66)</f>
      </c>
      <c r="BB66">
        <f>IF(ISBLANK('Data Entry'!$v$66), "", 'Data Entry'!$v$66)</f>
      </c>
      <c r="BC66">
        <f>IF(ISBLANK('Data Entry'!$w$66), "", 'Data Entry'!$w$66)</f>
      </c>
      <c r="BD66">
        <f>IF(ISBLANK('Data Entry'!$x$66), "", 'Data Entry'!$x$66)</f>
      </c>
      <c r="BE66">
        <f>IF(ISBLANK('Data Entry'!$y$66), "", 'Data Entry'!$y$66)</f>
      </c>
      <c r="BF66">
        <f>IF(ISBLANK('Data Entry'!$z$66), "", 'Data Entry'!$z$66)</f>
      </c>
      <c r="BG66">
        <f>IF(ISBLANK('Data Entry'!${$66), "", 'Data Entry'!${$66)</f>
      </c>
      <c r="BH66">
        <f>IF(ISBLANK('Data Entry'!$|$66), "", 'Data Entry'!$|$66)</f>
      </c>
      <c r="BI66">
        <f>IF(ISBLANK('Data Entry'!$}$66), "", 'Data Entry'!$}$66)</f>
      </c>
      <c r="BJ66">
        <f>IF(ISBLANK('Data Entry'!$~$66), "", 'Data Entry'!$~$66)</f>
      </c>
      <c r="BK66">
        <f>IF(ISBLANK('Data Entry'!$$66), "", 'Data Entry'!$$66)</f>
      </c>
      <c r="BL66">
        <f>IF(ISBLANK('Data Entry'!$$66), "", 'Data Entry'!$$66)</f>
      </c>
      <c r="BM66">
        <f>IF(ISBLANK('Data Entry'!$$66), "", 'Data Entry'!$$66)</f>
      </c>
      <c r="BN66">
        <f>IF(ISBLANK('Data Entry'!$$66), "", 'Data Entry'!$$66)</f>
      </c>
      <c r="BO66">
        <f>IF(ISBLANK('Data Entry'!$$66), "", 'Data Entry'!$$66)</f>
      </c>
      <c r="BP66">
        <f>IF(ISBLANK('Data Entry'!$$66), "", 'Data Entry'!$$66)</f>
      </c>
      <c r="BQ66">
        <f>IF(ISBLANK('Data Entry'!$$66), "", 'Data Entry'!$$66)</f>
      </c>
      <c r="BR66">
        <f>IF(ISBLANK('Data Entry'!$$66), "", 'Data Entry'!$$66)</f>
      </c>
      <c r="BS66">
        <f>IF(ISBLANK('Data Entry'!$$66), "", 'Data Entry'!$$66)</f>
      </c>
      <c r="BT66">
        <f>IF(ISBLANK('Data Entry'!$$66), "", 'Data Entry'!$$66)</f>
      </c>
      <c r="BU66">
        <f>IF(ISBLANK('Data Entry'!$$66), "", 'Data Entry'!$$66)</f>
      </c>
      <c r="BV66">
        <f>IF(ISBLANK('Data Entry'!$$66), "", 'Data Entry'!$$66)</f>
      </c>
      <c r="BW66">
        <f>IF(ISBLANK('Data Entry'!$$66), "", 'Data Entry'!$$66)</f>
      </c>
      <c r="BX66">
        <f>IF(ISBLANK('Data Entry'!$$66), "", 'Data Entry'!$$66)</f>
      </c>
      <c r="BY66">
        <f>IF(ISBLANK('Data Entry'!$$66), "", 'Data Entry'!$$66)</f>
      </c>
      <c r="BZ66">
        <f>IF(ISBLANK('Data Entry'!$$66), "", 'Data Entry'!$$66)</f>
      </c>
      <c r="CA66">
        <f>IF(ISBLANK('Data Entry'!$$66), "", 'Data Entry'!$$66)</f>
      </c>
      <c r="CB66">
        <f>IF(ISBLANK('Data Entry'!$$66), "", 'Data Entry'!$$66)</f>
      </c>
      <c r="CC66">
        <f>IF(ISBLANK('Data Entry'!$$66), "", 'Data Entry'!$$66)</f>
      </c>
      <c r="CD66">
        <f>IF(ISBLANK('Data Entry'!$$66), "", 'Data Entry'!$$66)</f>
      </c>
      <c r="CE66">
        <f>IF(ISBLANK('Data Entry'!$$66), "", 'Data Entry'!$$66)</f>
      </c>
      <c r="CF66">
        <f>IF(ISBLANK('Data Entry'!$$66), "", 'Data Entry'!$$66)</f>
      </c>
      <c r="CG66">
        <f>IF(ISBLANK('Data Entry'!$$66), "", 'Data Entry'!$$66)</f>
      </c>
      <c r="CH66">
        <f>IF(ISBLANK('Data Entry'!$$66), "", 'Data Entry'!$$66)</f>
      </c>
      <c r="CI66">
        <f>IF(ISBLANK('Data Entry'!$$66), "", 'Data Entry'!$$66)</f>
      </c>
      <c r="CJ66">
        <f>IF(ISBLANK('Data Entry'!$$66), "", 'Data Entry'!$$66)</f>
      </c>
      <c r="CK66">
        <f>IF(ISBLANK('Data Entry'!$$66), "", 'Data Entry'!$$66)</f>
      </c>
      <c r="CL66">
        <f>IF(ISBLANK('Data Entry'!$$66), "", 'Data Entry'!$$66)</f>
      </c>
      <c r="CM66">
        <f>IF(ISBLANK('Data Entry'!$$66), "", 'Data Entry'!$$66)</f>
      </c>
      <c r="CN66">
        <f>IF(ISBLANK('Data Entry'!$$66), "", 'Data Entry'!$$66)</f>
      </c>
      <c r="CO66">
        <f>IF(ISBLANK('Data Entry'!$$66), "", 'Data Entry'!$$66)</f>
      </c>
      <c r="CP66">
        <f>IF(ISBLANK('Data Entry'!$$66), "", 'Data Entry'!$$66)</f>
      </c>
      <c r="CQ66">
        <f>IF(ISBLANK('Data Entry'!$$66), "", 'Data Entry'!$$66)</f>
      </c>
      <c r="CR66">
        <f>IF(ISBLANK('Data Entry'!$ $66), "", 'Data Entry'!$ $66)</f>
      </c>
      <c r="CS66">
        <f>IF(ISBLANK('Data Entry'!$¡$66), "", 'Data Entry'!$¡$66)</f>
      </c>
      <c r="CT66">
        <f>IF(ISBLANK('Data Entry'!$¢$66), "", 'Data Entry'!$¢$66)</f>
      </c>
      <c r="CU66">
        <f>IF(ISBLANK('Data Entry'!$£$66), "", 'Data Entry'!$£$66)</f>
      </c>
      <c r="CV66">
        <f>IF(ISBLANK('Data Entry'!$¤$66), "", 'Data Entry'!$¤$66)</f>
      </c>
      <c r="CW66">
        <f>IF(ISBLANK('Data Entry'!$¥$66), "", 'Data Entry'!$¥$66)</f>
      </c>
      <c r="CX66">
        <f>IF(ISBLANK('Data Entry'!$¦$66), "", 'Data Entry'!$¦$66)</f>
      </c>
      <c r="CY66">
        <f>IF(ISBLANK('Data Entry'!$§$66), "", 'Data Entry'!$§$66)</f>
      </c>
      <c r="CZ66">
        <f>IF(ISBLANK('Data Entry'!$¨$66), "", 'Data Entry'!$¨$66)</f>
      </c>
      <c r="DA66">
        <f>IF(ISBLANK('Data Entry'!$©$66), "", 'Data Entry'!$©$66)</f>
      </c>
      <c r="DB66">
        <f>IF(ISBLANK('Data Entry'!$ª$66), "", 'Data Entry'!$ª$66)</f>
      </c>
      <c r="DC66">
        <f>IF(ISBLANK('Data Entry'!$«$66), "", 'Data Entry'!$«$66)</f>
      </c>
      <c r="DD66">
        <f>IF(ISBLANK('Data Entry'!$¬$66), "", 'Data Entry'!$¬$66)</f>
      </c>
      <c r="DE66">
        <f>IF(ISBLANK('Data Entry'!$­$66), "", 'Data Entry'!$­$66)</f>
      </c>
      <c r="DF66">
        <f>IF(ISBLANK('Data Entry'!$®$66), "", 'Data Entry'!$®$66)</f>
      </c>
      <c r="DG66">
        <f>IF(ISBLANK('Data Entry'!$¯$66), "", 'Data Entry'!$¯$66)</f>
      </c>
      <c r="DH66">
        <f>IF(ISBLANK('Data Entry'!$°$66), "", 'Data Entry'!$°$66)</f>
      </c>
      <c r="DI66">
        <f>IF(ISBLANK('Data Entry'!$±$66), "", 'Data Entry'!$±$66)</f>
      </c>
      <c r="DJ66">
        <f>IF(ISBLANK('Data Entry'!$²$66), "", 'Data Entry'!$²$66)</f>
      </c>
      <c r="DK66">
        <f>IF(ISBLANK('Data Entry'!$³$66), "", 'Data Entry'!$³$66)</f>
      </c>
      <c r="DL66">
        <f>IF(ISBLANK('Data Entry'!$´$66), "", 'Data Entry'!$´$66)</f>
      </c>
      <c r="DM66">
        <f>IF(ISBLANK('Data Entry'!$µ$66), "", 'Data Entry'!$µ$66)</f>
      </c>
      <c r="DN66">
        <f>IF(ISBLANK('Data Entry'!$¶$66), "", 'Data Entry'!$¶$66)</f>
      </c>
      <c r="DO66">
        <f>IF(ISBLANK('Data Entry'!$·$66), "", 'Data Entry'!$·$66)</f>
      </c>
      <c r="DP66">
        <f>IF(ISBLANK('Data Entry'!$¸$66), "", 'Data Entry'!$¸$66)</f>
      </c>
      <c r="DQ66">
        <f>IF(ISBLANK('Data Entry'!$¹$66), "", 'Data Entry'!$¹$66)</f>
      </c>
      <c r="DR66">
        <f>IF(ISBLANK('Data Entry'!$º$66), "", 'Data Entry'!$º$66)</f>
      </c>
      <c r="DS66">
        <f>IF(ISBLANK('Data Entry'!$»$66), "", 'Data Entry'!$»$66)</f>
      </c>
      <c r="DT66">
        <f>IF(ISBLANK('Data Entry'!$¼$66), "", 'Data Entry'!$¼$66)</f>
      </c>
      <c r="DU66">
        <f>IF(ISBLANK('Data Entry'!$½$66), "", 'Data Entry'!$½$66)</f>
      </c>
      <c r="DV66">
        <f>IF(ISBLANK('Data Entry'!$¾$66), "", 'Data Entry'!$¾$66)</f>
      </c>
      <c r="DW66">
        <f>IF(ISBLANK('Data Entry'!$¿$66), "", 'Data Entry'!$¿$66)</f>
      </c>
      <c r="DX66">
        <f>IF(ISBLANK('Data Entry'!$À$66), "", 'Data Entry'!$À$66)</f>
      </c>
      <c r="DY66">
        <f>IF(ISBLANK('Data Entry'!$Á$66), "", 'Data Entry'!$Á$66)</f>
      </c>
      <c r="DZ66">
        <f>IF(ISBLANK('Data Entry'!$Â$66), "", 'Data Entry'!$Â$66)</f>
      </c>
      <c r="EA66">
        <f>IF(ISBLANK('Data Entry'!$Ã$66), "", 'Data Entry'!$Ã$66)</f>
      </c>
      <c r="EB66">
        <f>IF(ISBLANK('Data Entry'!$Ä$66), "", 'Data Entry'!$Ä$66)</f>
      </c>
      <c r="EC66">
        <f>IF(ISBLANK('Data Entry'!$Å$66), "", 'Data Entry'!$Å$66)</f>
      </c>
      <c r="ED66">
        <f>IF(ISBLANK('Data Entry'!$Æ$66), "", 'Data Entry'!$Æ$66)</f>
      </c>
      <c r="EE66">
        <f>IF(ISBLANK('Data Entry'!$Ç$66), "", 'Data Entry'!$Ç$66)</f>
      </c>
      <c r="EF66">
        <f>IF(ISBLANK('Data Entry'!$È$66), "", 'Data Entry'!$È$66)</f>
      </c>
      <c r="EG66">
        <f>IF(ISBLANK('Data Entry'!$É$66), "", 'Data Entry'!$É$66)</f>
      </c>
      <c r="EH66">
        <f>IF(ISBLANK('Data Entry'!$Ê$66), "", 'Data Entry'!$Ê$66)</f>
      </c>
      <c r="EI66">
        <f>IF(ISBLANK('Data Entry'!$Ë$66), "", 'Data Entry'!$Ë$66)</f>
      </c>
      <c r="EJ66">
        <f>IF(ISBLANK('Data Entry'!$Ì$66), "", 'Data Entry'!$Ì$66)</f>
      </c>
      <c r="EK66">
        <f>IF(ISBLANK('Data Entry'!$Í$66), "", 'Data Entry'!$Í$66)</f>
      </c>
      <c r="EL66">
        <f>IF(ISBLANK('Data Entry'!$Î$66), "", 'Data Entry'!$Î$66)</f>
      </c>
      <c r="EM66">
        <f>IF(ISBLANK('Data Entry'!$Ï$66), "", 'Data Entry'!$Ï$66)</f>
      </c>
      <c r="EN66">
        <f>IF(ISBLANK('Data Entry'!$Ð$66), "", 'Data Entry'!$Ð$66)</f>
      </c>
      <c r="EO66">
        <f>IF(ISBLANK('Data Entry'!$Ñ$66), "", 'Data Entry'!$Ñ$66)</f>
      </c>
      <c r="EP66">
        <f>IF(ISBLANK('Data Entry'!$Ò$66), "", 'Data Entry'!$Ò$66)</f>
      </c>
      <c r="EQ66">
        <f>IF(ISBLANK('Data Entry'!$Ó$66), "", 'Data Entry'!$Ó$66)</f>
      </c>
      <c r="ER66">
        <f>IF(ISBLANK('Data Entry'!$Ô$66), "", 'Data Entry'!$Ô$66)</f>
      </c>
      <c r="ES66">
        <f>IF(ISBLANK('Data Entry'!$Õ$66), "", 'Data Entry'!$Õ$66)</f>
      </c>
      <c r="ET66">
        <f>IF(ISBLANK('Data Entry'!$Ö$66), "", 'Data Entry'!$Ö$66)</f>
      </c>
      <c r="EU66">
        <f>IF(ISBLANK('Data Entry'!$×$66), "", 'Data Entry'!$×$66)</f>
      </c>
      <c r="EV66">
        <f>IF(ISBLANK('Data Entry'!$Ø$66), "", 'Data Entry'!$Ø$66)</f>
      </c>
      <c r="EW66">
        <f>IF(ISBLANK('Data Entry'!$Ù$66), "", 'Data Entry'!$Ù$66)</f>
      </c>
      <c r="EX66">
        <f>IF(ISBLANK('Data Entry'!$Ú$66), "", 'Data Entry'!$Ú$66)</f>
      </c>
      <c r="EY66">
        <f>IF(ISBLANK('Data Entry'!$Û$66), "", 'Data Entry'!$Û$66)</f>
      </c>
      <c r="EZ66">
        <f>IF(ISBLANK('Data Entry'!$Ü$66), "", 'Data Entry'!$Ü$66)</f>
      </c>
      <c r="FA66">
        <f>IF(ISBLANK('Data Entry'!$Ý$66), "", 'Data Entry'!$Ý$66)</f>
      </c>
      <c r="FB66">
        <f>IF(ISBLANK('Data Entry'!$Þ$66), "", 'Data Entry'!$Þ$66)</f>
      </c>
      <c r="FC66">
        <f>IF(ISBLANK('Data Entry'!$ß$66), "", 'Data Entry'!$ß$66)</f>
      </c>
      <c r="FD66">
        <f>IF(ISBLANK('Data Entry'!$à$66), "", 'Data Entry'!$à$66)</f>
      </c>
      <c r="FE66">
        <f>IF(ISBLANK('Data Entry'!$á$66), "", 'Data Entry'!$á$66)</f>
      </c>
      <c r="FF66">
        <f>IF(ISBLANK('Data Entry'!$â$66), "", 'Data Entry'!$â$66)</f>
      </c>
      <c r="FG66">
        <f>IF(ISBLANK('Data Entry'!$ã$66), "", 'Data Entry'!$ã$66)</f>
      </c>
      <c r="FH66">
        <f>IF(ISBLANK('Data Entry'!$ä$66), "", 'Data Entry'!$ä$66)</f>
      </c>
      <c r="FI66">
        <f>IF(ISBLANK('Data Entry'!$å$66), "", 'Data Entry'!$å$66)</f>
      </c>
      <c r="FJ66">
        <f>IF(ISBLANK('Data Entry'!$æ$66), "", 'Data Entry'!$æ$66)</f>
      </c>
      <c r="FK66">
        <f>IF(ISBLANK('Data Entry'!$ç$66), "", 'Data Entry'!$ç$66)</f>
      </c>
      <c r="FL66">
        <f>IF(ISBLANK('Data Entry'!$è$66), "", 'Data Entry'!$è$66)</f>
      </c>
      <c r="FM66">
        <f>IF(ISBLANK('Data Entry'!$é$66), "", 'Data Entry'!$é$66)</f>
      </c>
      <c r="FN66">
        <f>IF(ISBLANK('Data Entry'!$ê$66), "", 'Data Entry'!$ê$66)</f>
      </c>
      <c r="FO66">
        <f>IF(ISBLANK('Data Entry'!$ë$66), "", 'Data Entry'!$ë$66)</f>
      </c>
      <c r="FP66">
        <f>IF(ISBLANK('Data Entry'!$ì$66), "", 'Data Entry'!$ì$66)</f>
      </c>
      <c r="FQ66">
        <f>IF(ISBLANK('Data Entry'!$í$66), "", 'Data Entry'!$í$66)</f>
      </c>
      <c r="FR66">
        <f>IF(ISBLANK('Data Entry'!$î$66), "", 'Data Entry'!$î$66)</f>
      </c>
      <c r="FS66">
        <f>IF(ISBLANK('Data Entry'!$ï$66), "", 'Data Entry'!$ï$66)</f>
      </c>
      <c r="FT66">
        <f>IF(ISBLANK('Data Entry'!$ð$66), "", 'Data Entry'!$ð$66)</f>
      </c>
      <c r="FU66">
        <f>IF(ISBLANK('Data Entry'!$ñ$66), "", 'Data Entry'!$ñ$66)</f>
      </c>
      <c r="FV66">
        <f>IF(ISBLANK('Data Entry'!$ò$66), "", 'Data Entry'!$ò$66)</f>
      </c>
      <c r="FW66">
        <f>IF(ISBLANK('Data Entry'!$ó$66), "", 'Data Entry'!$ó$66)</f>
      </c>
      <c r="FX66">
        <f>IF(ISBLANK('Data Entry'!$ô$66), "", 'Data Entry'!$ô$66)</f>
      </c>
      <c r="FY66">
        <f>IF(ISBLANK('Data Entry'!$õ$66), "", 'Data Entry'!$õ$66)</f>
      </c>
      <c r="FZ66">
        <f>IF(ISBLANK('Data Entry'!$ö$66), "", 'Data Entry'!$ö$66)</f>
      </c>
      <c r="GA66">
        <f>IF(ISBLANK('Data Entry'!$÷$66), "", 'Data Entry'!$÷$66)</f>
      </c>
      <c r="GB66">
        <f>IF(ISBLANK('Data Entry'!$ø$66), "", 'Data Entry'!$ø$66)</f>
      </c>
      <c r="GC66">
        <f>IF(ISBLANK('Data Entry'!$ù$66), "", 'Data Entry'!$ù$66)</f>
      </c>
      <c r="GD66">
        <f>IF(ISBLANK('Data Entry'!$ú$66), "", 'Data Entry'!$ú$66)</f>
      </c>
      <c r="GE66">
        <f>IF(ISBLANK('Data Entry'!$û$66), "", 'Data Entry'!$û$66)</f>
      </c>
      <c r="GF66">
        <f>IF(ISBLANK('Data Entry'!$ü$66), "", 'Data Entry'!$ü$66)</f>
      </c>
      <c r="GG66">
        <f>IF(ISBLANK('Data Entry'!$ý$66), "", 'Data Entry'!$ý$66)</f>
      </c>
      <c r="GH66">
        <f>IF(ISBLANK('Data Entry'!$þ$66), "", 'Data Entry'!$þ$66)</f>
      </c>
      <c r="GI66">
        <f>IF(ISBLANK('Data Entry'!$ÿ$66), "", 'Data Entry'!$ÿ$66)</f>
      </c>
      <c r="GJ66">
        <f>IF(ISBLANK('Data Entry'!$Ā$66), "", 'Data Entry'!$Ā$66)</f>
      </c>
      <c r="GK66">
        <f>IF(ISBLANK('Data Entry'!$ā$66), "", 'Data Entry'!$ā$66)</f>
      </c>
      <c r="GL66">
        <f>IF(ISBLANK('Data Entry'!$Ă$66), "", 'Data Entry'!$Ă$66)</f>
      </c>
      <c r="GM66">
        <f>IF(ISBLANK('Data Entry'!$ă$66), "", 'Data Entry'!$ă$66)</f>
      </c>
      <c r="GN66">
        <f>IF(ISBLANK('Data Entry'!$Ą$66), "", 'Data Entry'!$Ą$66)</f>
      </c>
      <c r="GO66">
        <f>IF(ISBLANK('Data Entry'!$ą$66), "", 'Data Entry'!$ą$66)</f>
      </c>
      <c r="GP66">
        <f>IF(ISBLANK('Data Entry'!$Ć$66), "", 'Data Entry'!$Ć$66)</f>
      </c>
      <c r="GQ66">
        <f>IF(ISBLANK('Data Entry'!$ć$66), "", 'Data Entry'!$ć$66)</f>
      </c>
      <c r="GR66">
        <f>IF(ISBLANK('Data Entry'!$Ĉ$66), "", 'Data Entry'!$Ĉ$66)</f>
      </c>
      <c r="GS66">
        <f>IF(ISBLANK('Data Entry'!$ĉ$66), "", 'Data Entry'!$ĉ$66)</f>
      </c>
      <c r="GT66">
        <f>IF(ISBLANK('Data Entry'!$Ċ$66), "", 'Data Entry'!$Ċ$66)</f>
      </c>
      <c r="GU66">
        <f>IF(ISBLANK('Data Entry'!$ċ$66), "", 'Data Entry'!$ċ$66)</f>
      </c>
      <c r="GV66">
        <f>IF(ISBLANK('Data Entry'!$Č$66), "", 'Data Entry'!$Č$66)</f>
      </c>
      <c r="GW66">
        <f>IF(ISBLANK('Data Entry'!$č$66), "", 'Data Entry'!$č$66)</f>
      </c>
      <c r="GX66">
        <f>IF(ISBLANK('Data Entry'!$Ď$66), "", 'Data Entry'!$Ď$66)</f>
      </c>
      <c r="GY66">
        <f>IF(ISBLANK('Data Entry'!$ď$66), "", 'Data Entry'!$ď$66)</f>
      </c>
      <c r="GZ66">
        <f>IF(ISBLANK('Data Entry'!$Đ$66), "", 'Data Entry'!$Đ$66)</f>
      </c>
      <c r="HA66">
        <f>IF(ISBLANK('Data Entry'!$đ$66), "", 'Data Entry'!$đ$66)</f>
      </c>
      <c r="HB66">
        <f>IF(ISBLANK('Data Entry'!$Ē$66), "", 'Data Entry'!$Ē$66)</f>
      </c>
      <c r="HC66">
        <f>IF(ISBLANK('Data Entry'!$ē$66), "", 'Data Entry'!$ē$66)</f>
      </c>
      <c r="HD66">
        <f>IF(ISBLANK('Data Entry'!$Ĕ$66), "", 'Data Entry'!$Ĕ$66)</f>
      </c>
      <c r="HE66">
        <f>IF(ISBLANK('Data Entry'!$ĕ$66), "", 'Data Entry'!$ĕ$66)</f>
      </c>
      <c r="HF66">
        <f>IF(ISBLANK('Data Entry'!$Ė$66), "", 'Data Entry'!$Ė$66)</f>
      </c>
      <c r="HG66">
        <f>IF(ISBLANK('Data Entry'!$ė$66), "", 'Data Entry'!$ė$66)</f>
      </c>
      <c r="HH66">
        <f>IF(ISBLANK('Data Entry'!$Ę$66), "", 'Data Entry'!$Ę$66)</f>
      </c>
      <c r="HI66">
        <f>IF(ISBLANK('Data Entry'!$ę$66), "", 'Data Entry'!$ę$66)</f>
      </c>
      <c r="HJ66">
        <f>IF(ISBLANK('Data Entry'!$Ě$66), "", 'Data Entry'!$Ě$66)</f>
      </c>
      <c r="HK66">
        <f>IF(ISBLANK('Data Entry'!$ě$66), "", 'Data Entry'!$ě$66)</f>
      </c>
      <c r="HL66">
        <f>IF(ISBLANK('Data Entry'!$Ĝ$66), "", 'Data Entry'!$Ĝ$66)</f>
      </c>
      <c r="HM66">
        <f>IF(ISBLANK('Data Entry'!$ĝ$66), "", 'Data Entry'!$ĝ$66)</f>
      </c>
      <c r="HN66">
        <f>IF(ISBLANK('Data Entry'!$Ğ$66), "", 'Data Entry'!$Ğ$66)</f>
      </c>
      <c r="HO66">
        <f>IF(ISBLANK('Data Entry'!$ğ$66), "", 'Data Entry'!$ğ$66)</f>
      </c>
      <c r="HP66">
        <f>IF(ISBLANK('Data Entry'!$Ġ$66), "", 'Data Entry'!$Ġ$66)</f>
      </c>
      <c r="HQ66">
        <f>IF(ISBLANK('Data Entry'!$ġ$66), "", 'Data Entry'!$ġ$66)</f>
      </c>
      <c r="HR66">
        <f>IF(ISBLANK('Data Entry'!$Ģ$66), "", 'Data Entry'!$Ģ$66)</f>
      </c>
      <c r="HS66">
        <f>IF(ISBLANK('Data Entry'!$ģ$66), "", 'Data Entry'!$ģ$66)</f>
      </c>
      <c r="HT66">
        <f>IF(ISBLANK('Data Entry'!$Ĥ$66), "", 'Data Entry'!$Ĥ$66)</f>
      </c>
      <c r="HU66">
        <f>IF(ISBLANK('Data Entry'!$ĥ$66), "", 'Data Entry'!$ĥ$66)</f>
      </c>
      <c r="HV66">
        <f>IF(ISBLANK('Data Entry'!$Ħ$66), "", 'Data Entry'!$Ħ$66)</f>
      </c>
      <c r="HW66">
        <f>IF(ISBLANK('Data Entry'!$ħ$66), "", 'Data Entry'!$ħ$66)</f>
      </c>
      <c r="HX66">
        <f>IF(ISBLANK('Data Entry'!$Ĩ$66), "", 'Data Entry'!$Ĩ$66)</f>
      </c>
      <c r="HY66">
        <f>IF(ISBLANK('Data Entry'!$ĩ$66), "", 'Data Entry'!$ĩ$66)</f>
      </c>
      <c r="HZ66">
        <f>IF(ISBLANK('Data Entry'!$Ī$66), "", 'Data Entry'!$Ī$66)</f>
      </c>
      <c r="IA66">
        <f>IF(ISBLANK('Data Entry'!$ī$66), "", 'Data Entry'!$ī$66)</f>
      </c>
      <c r="IB66">
        <f>IF(ISBLANK('Data Entry'!$Ĭ$66), "", 'Data Entry'!$Ĭ$66)</f>
      </c>
      <c r="IC66">
        <f>IF(ISBLANK('Data Entry'!$ĭ$66), "", 'Data Entry'!$ĭ$66)</f>
      </c>
      <c r="ID66">
        <f>IF(ISBLANK('Data Entry'!$Į$66), "", 'Data Entry'!$Į$66)</f>
      </c>
      <c r="IE66">
        <f>IF(ISBLANK('Data Entry'!$į$66), "", 'Data Entry'!$į$66)</f>
      </c>
      <c r="IF66">
        <f>IF(ISBLANK('Data Entry'!$İ$66), "", 'Data Entry'!$İ$66)</f>
      </c>
      <c r="IG66">
        <f>IF(ISBLANK('Data Entry'!$ı$66), "", 'Data Entry'!$ı$66)</f>
      </c>
      <c r="IH66">
        <f>IF(ISBLANK('Data Entry'!$Ĳ$66), "", 'Data Entry'!$Ĳ$66)</f>
      </c>
      <c r="II66">
        <f>IF(ISBLANK('Data Entry'!$ĳ$66), "", 'Data Entry'!$ĳ$66)</f>
      </c>
      <c r="IJ66">
        <f>IF(ISBLANK('Data Entry'!$Ĵ$66), "", 'Data Entry'!$Ĵ$66)</f>
      </c>
      <c r="IK66">
        <f>IF(ISBLANK('Data Entry'!$ĵ$66), "", 'Data Entry'!$ĵ$66)</f>
      </c>
      <c r="IL66">
        <f>IF(ISBLANK('Data Entry'!$Ķ$66), "", 'Data Entry'!$Ķ$66)</f>
      </c>
      <c r="IM66">
        <f>IF(ISBLANK('Data Entry'!$ķ$66), "", 'Data Entry'!$ķ$66)</f>
      </c>
      <c r="IN66">
        <f>IF(ISBLANK('Data Entry'!$ĸ$66), "", 'Data Entry'!$ĸ$66)</f>
      </c>
      <c r="IO66">
        <f>IF(ISBLANK('Data Entry'!$Ĺ$66), "", 'Data Entry'!$Ĺ$66)</f>
      </c>
      <c r="IP66">
        <f>IF(ISBLANK('Data Entry'!$ĺ$66), "", 'Data Entry'!$ĺ$66)</f>
      </c>
      <c r="IQ66">
        <f>IF(ISBLANK('Data Entry'!$Ļ$66), "", 'Data Entry'!$Ļ$66)</f>
      </c>
      <c r="IR66">
        <f>IF(ISBLANK('Data Entry'!$ļ$66), "", 'Data Entry'!$ļ$66)</f>
      </c>
      <c r="IS66">
        <f>IF(ISBLANK('Data Entry'!$Ľ$66), "", 'Data Entry'!$Ľ$66)</f>
      </c>
      <c r="IT66">
        <f>IF(ISBLANK('Data Entry'!$ľ$66), "", 'Data Entry'!$ľ$66)</f>
      </c>
    </row>
    <row r="67" spans="1:254" x14ac:dyDescent="0.25">
      <c r="A67">
        <f>IF(ISBLANK('Data Entry'!$A$67), "", 'Data Entry'!$A$67)</f>
      </c>
      <c r="B67">
        <f>IF(ISBLANK('Data Entry'!$B$67), "", 'Data Entry'!$B$67)</f>
      </c>
      <c r="C67">
        <f>IF(ISBLANK('Data Entry'!$C$67), "", 'Data Entry'!$C$67)</f>
      </c>
      <c r="D67">
        <f>IF(ISBLANK('Data Entry'!$D$67), "", 'Data Entry'!$D$67)</f>
      </c>
      <c r="E67">
        <f>IF(ISBLANK('Data Entry'!$E$67), "", 'Data Entry'!$E$67)</f>
      </c>
      <c r="F67">
        <f>IF(ISBLANK('Data Entry'!$F$67), "", 'Data Entry'!$F$67)</f>
      </c>
      <c r="G67">
        <f>IF(ISBLANK('Data Entry'!$G$67), "", 'Data Entry'!$G$67)</f>
      </c>
      <c r="H67">
        <f>IF(ISBLANK('Data Entry'!$H$67), "", 'Data Entry'!$H$67)</f>
      </c>
      <c r="I67">
        <f>IF(ISBLANK('Data Entry'!$I$67), "", 'Data Entry'!$I$67)</f>
      </c>
      <c r="J67">
        <f>IF(ISBLANK('Data Entry'!$J$67), "", 'Data Entry'!$J$67)</f>
      </c>
      <c r="K67">
        <f>IF(ISBLANK('Data Entry'!$K$67), "", 'Data Entry'!$K$67)</f>
      </c>
      <c r="L67">
        <f>IF(ISBLANK('Data Entry'!$L$67), "", 'Data Entry'!$L$67)</f>
      </c>
      <c r="M67">
        <f>IF(ISBLANK('Data Entry'!$M$67), "", 'Data Entry'!$M$67)</f>
      </c>
      <c r="N67">
        <f>IF(ISBLANK('Data Entry'!$N$67), "", 'Data Entry'!$N$67)</f>
      </c>
      <c r="O67">
        <f>IF(ISBLANK('Data Entry'!$O$67), "", 'Data Entry'!$O$67)</f>
      </c>
      <c r="P67">
        <f>IF(ISBLANK('Data Entry'!$P$67), "", 'Data Entry'!$P$67)</f>
      </c>
      <c r="Q67">
        <f>IF(ISBLANK('Data Entry'!$Q$67), "", 'Data Entry'!$Q$67)</f>
      </c>
      <c r="R67">
        <f>IF(ISBLANK('Data Entry'!$R$67), "", 'Data Entry'!$R$67)</f>
      </c>
      <c r="S67">
        <f>IF(ISBLANK('Data Entry'!$S$67), "", 'Data Entry'!$S$67)</f>
      </c>
      <c r="T67">
        <f>IF(ISBLANK('Data Entry'!$T$67), "", 'Data Entry'!$T$67)</f>
      </c>
      <c r="U67">
        <f>IF(ISBLANK('Data Entry'!$U$67), "", 'Data Entry'!$U$67)</f>
      </c>
      <c r="V67">
        <f>IF(ISBLANK('Data Entry'!$V$67), "", 'Data Entry'!$V$67)</f>
      </c>
      <c r="W67">
        <f>IF(ISBLANK('Data Entry'!$W$67), "", 'Data Entry'!$W$67)</f>
      </c>
      <c r="X67">
        <f>IF(ISBLANK('Data Entry'!$X$67), "", 'Data Entry'!$X$67)</f>
      </c>
      <c r="Y67">
        <f>IF(ISBLANK('Data Entry'!$Y$67), "", 'Data Entry'!$Y$67)</f>
      </c>
      <c r="Z67">
        <f>IF(ISBLANK('Data Entry'!$Z$67), "", 'Data Entry'!$Z$67)</f>
      </c>
      <c r="AA67">
        <f>IF(ISBLANK('Data Entry'!$[$67), "", 'Data Entry'!$[$67)</f>
      </c>
      <c r="AB67">
        <f>IF(ISBLANK('Data Entry'!$\$67), "", 'Data Entry'!$\$67)</f>
      </c>
      <c r="AC67">
        <f>IF(ISBLANK('Data Entry'!$]$67), "", 'Data Entry'!$]$67)</f>
      </c>
      <c r="AD67">
        <f>IF(ISBLANK('Data Entry'!$^$67), "", 'Data Entry'!$^$67)</f>
      </c>
      <c r="AE67">
        <f>IF(ISBLANK('Data Entry'!$_$67), "", 'Data Entry'!$_$67)</f>
      </c>
      <c r="AF67">
        <f>IF(ISBLANK('Data Entry'!$`$67), "", 'Data Entry'!$`$67)</f>
      </c>
      <c r="AG67">
        <f>IF(ISBLANK('Data Entry'!$a$67), "", 'Data Entry'!$a$67)</f>
      </c>
      <c r="AH67">
        <f>IF(ISBLANK('Data Entry'!$b$67), "", 'Data Entry'!$b$67)</f>
      </c>
      <c r="AI67">
        <f>IF(ISBLANK('Data Entry'!$c$67), "", 'Data Entry'!$c$67)</f>
      </c>
      <c r="AJ67">
        <f>IF(ISBLANK('Data Entry'!$d$67), "", 'Data Entry'!$d$67)</f>
      </c>
      <c r="AK67">
        <f>IF(ISBLANK('Data Entry'!$e$67), "", 'Data Entry'!$e$67)</f>
      </c>
      <c r="AL67">
        <f>IF(ISBLANK('Data Entry'!$f$67), "", 'Data Entry'!$f$67)</f>
      </c>
      <c r="AM67">
        <f>IF(ISBLANK('Data Entry'!$g$67), "", 'Data Entry'!$g$67)</f>
      </c>
      <c r="AN67">
        <f>IF(ISBLANK('Data Entry'!$h$67), "", 'Data Entry'!$h$67)</f>
      </c>
      <c r="AO67">
        <f>IF(ISBLANK('Data Entry'!$i$67), "", 'Data Entry'!$i$67)</f>
      </c>
      <c r="AP67">
        <f>IF(ISBLANK('Data Entry'!$j$67), "", 'Data Entry'!$j$67)</f>
      </c>
      <c r="AQ67">
        <f>IF(ISBLANK('Data Entry'!$k$67), "", 'Data Entry'!$k$67)</f>
      </c>
      <c r="AR67">
        <f>IF(ISBLANK('Data Entry'!$l$67), "", 'Data Entry'!$l$67)</f>
      </c>
      <c r="AS67">
        <f>IF(ISBLANK('Data Entry'!$m$67), "", 'Data Entry'!$m$67)</f>
      </c>
      <c r="AT67">
        <f>IF(ISBLANK('Data Entry'!$n$67), "", 'Data Entry'!$n$67)</f>
      </c>
      <c r="AU67">
        <f>IF(ISBLANK('Data Entry'!$o$67), "", 'Data Entry'!$o$67)</f>
      </c>
      <c r="AV67">
        <f>IF(ISBLANK('Data Entry'!$p$67), "", 'Data Entry'!$p$67)</f>
      </c>
      <c r="AW67">
        <f>IF(ISBLANK('Data Entry'!$q$67), "", 'Data Entry'!$q$67)</f>
      </c>
      <c r="AX67">
        <f>IF(ISBLANK('Data Entry'!$r$67), "", 'Data Entry'!$r$67)</f>
      </c>
      <c r="AY67">
        <f>IF(ISBLANK('Data Entry'!$s$67), "", 'Data Entry'!$s$67)</f>
      </c>
      <c r="AZ67">
        <f>IF(ISBLANK('Data Entry'!$t$67), "", 'Data Entry'!$t$67)</f>
      </c>
      <c r="BA67">
        <f>IF(ISBLANK('Data Entry'!$u$67), "", 'Data Entry'!$u$67)</f>
      </c>
      <c r="BB67">
        <f>IF(ISBLANK('Data Entry'!$v$67), "", 'Data Entry'!$v$67)</f>
      </c>
      <c r="BC67">
        <f>IF(ISBLANK('Data Entry'!$w$67), "", 'Data Entry'!$w$67)</f>
      </c>
      <c r="BD67">
        <f>IF(ISBLANK('Data Entry'!$x$67), "", 'Data Entry'!$x$67)</f>
      </c>
      <c r="BE67">
        <f>IF(ISBLANK('Data Entry'!$y$67), "", 'Data Entry'!$y$67)</f>
      </c>
      <c r="BF67">
        <f>IF(ISBLANK('Data Entry'!$z$67), "", 'Data Entry'!$z$67)</f>
      </c>
      <c r="BG67">
        <f>IF(ISBLANK('Data Entry'!${$67), "", 'Data Entry'!${$67)</f>
      </c>
      <c r="BH67">
        <f>IF(ISBLANK('Data Entry'!$|$67), "", 'Data Entry'!$|$67)</f>
      </c>
      <c r="BI67">
        <f>IF(ISBLANK('Data Entry'!$}$67), "", 'Data Entry'!$}$67)</f>
      </c>
      <c r="BJ67">
        <f>IF(ISBLANK('Data Entry'!$~$67), "", 'Data Entry'!$~$67)</f>
      </c>
      <c r="BK67">
        <f>IF(ISBLANK('Data Entry'!$$67), "", 'Data Entry'!$$67)</f>
      </c>
      <c r="BL67">
        <f>IF(ISBLANK('Data Entry'!$$67), "", 'Data Entry'!$$67)</f>
      </c>
      <c r="BM67">
        <f>IF(ISBLANK('Data Entry'!$$67), "", 'Data Entry'!$$67)</f>
      </c>
      <c r="BN67">
        <f>IF(ISBLANK('Data Entry'!$$67), "", 'Data Entry'!$$67)</f>
      </c>
      <c r="BO67">
        <f>IF(ISBLANK('Data Entry'!$$67), "", 'Data Entry'!$$67)</f>
      </c>
      <c r="BP67">
        <f>IF(ISBLANK('Data Entry'!$$67), "", 'Data Entry'!$$67)</f>
      </c>
      <c r="BQ67">
        <f>IF(ISBLANK('Data Entry'!$$67), "", 'Data Entry'!$$67)</f>
      </c>
      <c r="BR67">
        <f>IF(ISBLANK('Data Entry'!$$67), "", 'Data Entry'!$$67)</f>
      </c>
      <c r="BS67">
        <f>IF(ISBLANK('Data Entry'!$$67), "", 'Data Entry'!$$67)</f>
      </c>
      <c r="BT67">
        <f>IF(ISBLANK('Data Entry'!$$67), "", 'Data Entry'!$$67)</f>
      </c>
      <c r="BU67">
        <f>IF(ISBLANK('Data Entry'!$$67), "", 'Data Entry'!$$67)</f>
      </c>
      <c r="BV67">
        <f>IF(ISBLANK('Data Entry'!$$67), "", 'Data Entry'!$$67)</f>
      </c>
      <c r="BW67">
        <f>IF(ISBLANK('Data Entry'!$$67), "", 'Data Entry'!$$67)</f>
      </c>
      <c r="BX67">
        <f>IF(ISBLANK('Data Entry'!$$67), "", 'Data Entry'!$$67)</f>
      </c>
      <c r="BY67">
        <f>IF(ISBLANK('Data Entry'!$$67), "", 'Data Entry'!$$67)</f>
      </c>
      <c r="BZ67">
        <f>IF(ISBLANK('Data Entry'!$$67), "", 'Data Entry'!$$67)</f>
      </c>
      <c r="CA67">
        <f>IF(ISBLANK('Data Entry'!$$67), "", 'Data Entry'!$$67)</f>
      </c>
      <c r="CB67">
        <f>IF(ISBLANK('Data Entry'!$$67), "", 'Data Entry'!$$67)</f>
      </c>
      <c r="CC67">
        <f>IF(ISBLANK('Data Entry'!$$67), "", 'Data Entry'!$$67)</f>
      </c>
      <c r="CD67">
        <f>IF(ISBLANK('Data Entry'!$$67), "", 'Data Entry'!$$67)</f>
      </c>
      <c r="CE67">
        <f>IF(ISBLANK('Data Entry'!$$67), "", 'Data Entry'!$$67)</f>
      </c>
      <c r="CF67">
        <f>IF(ISBLANK('Data Entry'!$$67), "", 'Data Entry'!$$67)</f>
      </c>
      <c r="CG67">
        <f>IF(ISBLANK('Data Entry'!$$67), "", 'Data Entry'!$$67)</f>
      </c>
      <c r="CH67">
        <f>IF(ISBLANK('Data Entry'!$$67), "", 'Data Entry'!$$67)</f>
      </c>
      <c r="CI67">
        <f>IF(ISBLANK('Data Entry'!$$67), "", 'Data Entry'!$$67)</f>
      </c>
      <c r="CJ67">
        <f>IF(ISBLANK('Data Entry'!$$67), "", 'Data Entry'!$$67)</f>
      </c>
      <c r="CK67">
        <f>IF(ISBLANK('Data Entry'!$$67), "", 'Data Entry'!$$67)</f>
      </c>
      <c r="CL67">
        <f>IF(ISBLANK('Data Entry'!$$67), "", 'Data Entry'!$$67)</f>
      </c>
      <c r="CM67">
        <f>IF(ISBLANK('Data Entry'!$$67), "", 'Data Entry'!$$67)</f>
      </c>
      <c r="CN67">
        <f>IF(ISBLANK('Data Entry'!$$67), "", 'Data Entry'!$$67)</f>
      </c>
      <c r="CO67">
        <f>IF(ISBLANK('Data Entry'!$$67), "", 'Data Entry'!$$67)</f>
      </c>
      <c r="CP67">
        <f>IF(ISBLANK('Data Entry'!$$67), "", 'Data Entry'!$$67)</f>
      </c>
      <c r="CQ67">
        <f>IF(ISBLANK('Data Entry'!$$67), "", 'Data Entry'!$$67)</f>
      </c>
      <c r="CR67">
        <f>IF(ISBLANK('Data Entry'!$ $67), "", 'Data Entry'!$ $67)</f>
      </c>
      <c r="CS67">
        <f>IF(ISBLANK('Data Entry'!$¡$67), "", 'Data Entry'!$¡$67)</f>
      </c>
      <c r="CT67">
        <f>IF(ISBLANK('Data Entry'!$¢$67), "", 'Data Entry'!$¢$67)</f>
      </c>
      <c r="CU67">
        <f>IF(ISBLANK('Data Entry'!$£$67), "", 'Data Entry'!$£$67)</f>
      </c>
      <c r="CV67">
        <f>IF(ISBLANK('Data Entry'!$¤$67), "", 'Data Entry'!$¤$67)</f>
      </c>
      <c r="CW67">
        <f>IF(ISBLANK('Data Entry'!$¥$67), "", 'Data Entry'!$¥$67)</f>
      </c>
      <c r="CX67">
        <f>IF(ISBLANK('Data Entry'!$¦$67), "", 'Data Entry'!$¦$67)</f>
      </c>
      <c r="CY67">
        <f>IF(ISBLANK('Data Entry'!$§$67), "", 'Data Entry'!$§$67)</f>
      </c>
      <c r="CZ67">
        <f>IF(ISBLANK('Data Entry'!$¨$67), "", 'Data Entry'!$¨$67)</f>
      </c>
      <c r="DA67">
        <f>IF(ISBLANK('Data Entry'!$©$67), "", 'Data Entry'!$©$67)</f>
      </c>
      <c r="DB67">
        <f>IF(ISBLANK('Data Entry'!$ª$67), "", 'Data Entry'!$ª$67)</f>
      </c>
      <c r="DC67">
        <f>IF(ISBLANK('Data Entry'!$«$67), "", 'Data Entry'!$«$67)</f>
      </c>
      <c r="DD67">
        <f>IF(ISBLANK('Data Entry'!$¬$67), "", 'Data Entry'!$¬$67)</f>
      </c>
      <c r="DE67">
        <f>IF(ISBLANK('Data Entry'!$­$67), "", 'Data Entry'!$­$67)</f>
      </c>
      <c r="DF67">
        <f>IF(ISBLANK('Data Entry'!$®$67), "", 'Data Entry'!$®$67)</f>
      </c>
      <c r="DG67">
        <f>IF(ISBLANK('Data Entry'!$¯$67), "", 'Data Entry'!$¯$67)</f>
      </c>
      <c r="DH67">
        <f>IF(ISBLANK('Data Entry'!$°$67), "", 'Data Entry'!$°$67)</f>
      </c>
      <c r="DI67">
        <f>IF(ISBLANK('Data Entry'!$±$67), "", 'Data Entry'!$±$67)</f>
      </c>
      <c r="DJ67">
        <f>IF(ISBLANK('Data Entry'!$²$67), "", 'Data Entry'!$²$67)</f>
      </c>
      <c r="DK67">
        <f>IF(ISBLANK('Data Entry'!$³$67), "", 'Data Entry'!$³$67)</f>
      </c>
      <c r="DL67">
        <f>IF(ISBLANK('Data Entry'!$´$67), "", 'Data Entry'!$´$67)</f>
      </c>
      <c r="DM67">
        <f>IF(ISBLANK('Data Entry'!$µ$67), "", 'Data Entry'!$µ$67)</f>
      </c>
      <c r="DN67">
        <f>IF(ISBLANK('Data Entry'!$¶$67), "", 'Data Entry'!$¶$67)</f>
      </c>
      <c r="DO67">
        <f>IF(ISBLANK('Data Entry'!$·$67), "", 'Data Entry'!$·$67)</f>
      </c>
      <c r="DP67">
        <f>IF(ISBLANK('Data Entry'!$¸$67), "", 'Data Entry'!$¸$67)</f>
      </c>
      <c r="DQ67">
        <f>IF(ISBLANK('Data Entry'!$¹$67), "", 'Data Entry'!$¹$67)</f>
      </c>
      <c r="DR67">
        <f>IF(ISBLANK('Data Entry'!$º$67), "", 'Data Entry'!$º$67)</f>
      </c>
      <c r="DS67">
        <f>IF(ISBLANK('Data Entry'!$»$67), "", 'Data Entry'!$»$67)</f>
      </c>
      <c r="DT67">
        <f>IF(ISBLANK('Data Entry'!$¼$67), "", 'Data Entry'!$¼$67)</f>
      </c>
      <c r="DU67">
        <f>IF(ISBLANK('Data Entry'!$½$67), "", 'Data Entry'!$½$67)</f>
      </c>
      <c r="DV67">
        <f>IF(ISBLANK('Data Entry'!$¾$67), "", 'Data Entry'!$¾$67)</f>
      </c>
      <c r="DW67">
        <f>IF(ISBLANK('Data Entry'!$¿$67), "", 'Data Entry'!$¿$67)</f>
      </c>
      <c r="DX67">
        <f>IF(ISBLANK('Data Entry'!$À$67), "", 'Data Entry'!$À$67)</f>
      </c>
      <c r="DY67">
        <f>IF(ISBLANK('Data Entry'!$Á$67), "", 'Data Entry'!$Á$67)</f>
      </c>
      <c r="DZ67">
        <f>IF(ISBLANK('Data Entry'!$Â$67), "", 'Data Entry'!$Â$67)</f>
      </c>
      <c r="EA67">
        <f>IF(ISBLANK('Data Entry'!$Ã$67), "", 'Data Entry'!$Ã$67)</f>
      </c>
      <c r="EB67">
        <f>IF(ISBLANK('Data Entry'!$Ä$67), "", 'Data Entry'!$Ä$67)</f>
      </c>
      <c r="EC67">
        <f>IF(ISBLANK('Data Entry'!$Å$67), "", 'Data Entry'!$Å$67)</f>
      </c>
      <c r="ED67">
        <f>IF(ISBLANK('Data Entry'!$Æ$67), "", 'Data Entry'!$Æ$67)</f>
      </c>
      <c r="EE67">
        <f>IF(ISBLANK('Data Entry'!$Ç$67), "", 'Data Entry'!$Ç$67)</f>
      </c>
      <c r="EF67">
        <f>IF(ISBLANK('Data Entry'!$È$67), "", 'Data Entry'!$È$67)</f>
      </c>
      <c r="EG67">
        <f>IF(ISBLANK('Data Entry'!$É$67), "", 'Data Entry'!$É$67)</f>
      </c>
      <c r="EH67">
        <f>IF(ISBLANK('Data Entry'!$Ê$67), "", 'Data Entry'!$Ê$67)</f>
      </c>
      <c r="EI67">
        <f>IF(ISBLANK('Data Entry'!$Ë$67), "", 'Data Entry'!$Ë$67)</f>
      </c>
      <c r="EJ67">
        <f>IF(ISBLANK('Data Entry'!$Ì$67), "", 'Data Entry'!$Ì$67)</f>
      </c>
      <c r="EK67">
        <f>IF(ISBLANK('Data Entry'!$Í$67), "", 'Data Entry'!$Í$67)</f>
      </c>
      <c r="EL67">
        <f>IF(ISBLANK('Data Entry'!$Î$67), "", 'Data Entry'!$Î$67)</f>
      </c>
      <c r="EM67">
        <f>IF(ISBLANK('Data Entry'!$Ï$67), "", 'Data Entry'!$Ï$67)</f>
      </c>
      <c r="EN67">
        <f>IF(ISBLANK('Data Entry'!$Ð$67), "", 'Data Entry'!$Ð$67)</f>
      </c>
      <c r="EO67">
        <f>IF(ISBLANK('Data Entry'!$Ñ$67), "", 'Data Entry'!$Ñ$67)</f>
      </c>
      <c r="EP67">
        <f>IF(ISBLANK('Data Entry'!$Ò$67), "", 'Data Entry'!$Ò$67)</f>
      </c>
      <c r="EQ67">
        <f>IF(ISBLANK('Data Entry'!$Ó$67), "", 'Data Entry'!$Ó$67)</f>
      </c>
      <c r="ER67">
        <f>IF(ISBLANK('Data Entry'!$Ô$67), "", 'Data Entry'!$Ô$67)</f>
      </c>
      <c r="ES67">
        <f>IF(ISBLANK('Data Entry'!$Õ$67), "", 'Data Entry'!$Õ$67)</f>
      </c>
      <c r="ET67">
        <f>IF(ISBLANK('Data Entry'!$Ö$67), "", 'Data Entry'!$Ö$67)</f>
      </c>
      <c r="EU67">
        <f>IF(ISBLANK('Data Entry'!$×$67), "", 'Data Entry'!$×$67)</f>
      </c>
      <c r="EV67">
        <f>IF(ISBLANK('Data Entry'!$Ø$67), "", 'Data Entry'!$Ø$67)</f>
      </c>
      <c r="EW67">
        <f>IF(ISBLANK('Data Entry'!$Ù$67), "", 'Data Entry'!$Ù$67)</f>
      </c>
      <c r="EX67">
        <f>IF(ISBLANK('Data Entry'!$Ú$67), "", 'Data Entry'!$Ú$67)</f>
      </c>
      <c r="EY67">
        <f>IF(ISBLANK('Data Entry'!$Û$67), "", 'Data Entry'!$Û$67)</f>
      </c>
      <c r="EZ67">
        <f>IF(ISBLANK('Data Entry'!$Ü$67), "", 'Data Entry'!$Ü$67)</f>
      </c>
      <c r="FA67">
        <f>IF(ISBLANK('Data Entry'!$Ý$67), "", 'Data Entry'!$Ý$67)</f>
      </c>
      <c r="FB67">
        <f>IF(ISBLANK('Data Entry'!$Þ$67), "", 'Data Entry'!$Þ$67)</f>
      </c>
      <c r="FC67">
        <f>IF(ISBLANK('Data Entry'!$ß$67), "", 'Data Entry'!$ß$67)</f>
      </c>
      <c r="FD67">
        <f>IF(ISBLANK('Data Entry'!$à$67), "", 'Data Entry'!$à$67)</f>
      </c>
      <c r="FE67">
        <f>IF(ISBLANK('Data Entry'!$á$67), "", 'Data Entry'!$á$67)</f>
      </c>
      <c r="FF67">
        <f>IF(ISBLANK('Data Entry'!$â$67), "", 'Data Entry'!$â$67)</f>
      </c>
      <c r="FG67">
        <f>IF(ISBLANK('Data Entry'!$ã$67), "", 'Data Entry'!$ã$67)</f>
      </c>
      <c r="FH67">
        <f>IF(ISBLANK('Data Entry'!$ä$67), "", 'Data Entry'!$ä$67)</f>
      </c>
      <c r="FI67">
        <f>IF(ISBLANK('Data Entry'!$å$67), "", 'Data Entry'!$å$67)</f>
      </c>
      <c r="FJ67">
        <f>IF(ISBLANK('Data Entry'!$æ$67), "", 'Data Entry'!$æ$67)</f>
      </c>
      <c r="FK67">
        <f>IF(ISBLANK('Data Entry'!$ç$67), "", 'Data Entry'!$ç$67)</f>
      </c>
      <c r="FL67">
        <f>IF(ISBLANK('Data Entry'!$è$67), "", 'Data Entry'!$è$67)</f>
      </c>
      <c r="FM67">
        <f>IF(ISBLANK('Data Entry'!$é$67), "", 'Data Entry'!$é$67)</f>
      </c>
      <c r="FN67">
        <f>IF(ISBLANK('Data Entry'!$ê$67), "", 'Data Entry'!$ê$67)</f>
      </c>
      <c r="FO67">
        <f>IF(ISBLANK('Data Entry'!$ë$67), "", 'Data Entry'!$ë$67)</f>
      </c>
      <c r="FP67">
        <f>IF(ISBLANK('Data Entry'!$ì$67), "", 'Data Entry'!$ì$67)</f>
      </c>
      <c r="FQ67">
        <f>IF(ISBLANK('Data Entry'!$í$67), "", 'Data Entry'!$í$67)</f>
      </c>
      <c r="FR67">
        <f>IF(ISBLANK('Data Entry'!$î$67), "", 'Data Entry'!$î$67)</f>
      </c>
      <c r="FS67">
        <f>IF(ISBLANK('Data Entry'!$ï$67), "", 'Data Entry'!$ï$67)</f>
      </c>
      <c r="FT67">
        <f>IF(ISBLANK('Data Entry'!$ð$67), "", 'Data Entry'!$ð$67)</f>
      </c>
      <c r="FU67">
        <f>IF(ISBLANK('Data Entry'!$ñ$67), "", 'Data Entry'!$ñ$67)</f>
      </c>
      <c r="FV67">
        <f>IF(ISBLANK('Data Entry'!$ò$67), "", 'Data Entry'!$ò$67)</f>
      </c>
      <c r="FW67">
        <f>IF(ISBLANK('Data Entry'!$ó$67), "", 'Data Entry'!$ó$67)</f>
      </c>
      <c r="FX67">
        <f>IF(ISBLANK('Data Entry'!$ô$67), "", 'Data Entry'!$ô$67)</f>
      </c>
      <c r="FY67">
        <f>IF(ISBLANK('Data Entry'!$õ$67), "", 'Data Entry'!$õ$67)</f>
      </c>
      <c r="FZ67">
        <f>IF(ISBLANK('Data Entry'!$ö$67), "", 'Data Entry'!$ö$67)</f>
      </c>
      <c r="GA67">
        <f>IF(ISBLANK('Data Entry'!$÷$67), "", 'Data Entry'!$÷$67)</f>
      </c>
      <c r="GB67">
        <f>IF(ISBLANK('Data Entry'!$ø$67), "", 'Data Entry'!$ø$67)</f>
      </c>
      <c r="GC67">
        <f>IF(ISBLANK('Data Entry'!$ù$67), "", 'Data Entry'!$ù$67)</f>
      </c>
      <c r="GD67">
        <f>IF(ISBLANK('Data Entry'!$ú$67), "", 'Data Entry'!$ú$67)</f>
      </c>
      <c r="GE67">
        <f>IF(ISBLANK('Data Entry'!$û$67), "", 'Data Entry'!$û$67)</f>
      </c>
      <c r="GF67">
        <f>IF(ISBLANK('Data Entry'!$ü$67), "", 'Data Entry'!$ü$67)</f>
      </c>
      <c r="GG67">
        <f>IF(ISBLANK('Data Entry'!$ý$67), "", 'Data Entry'!$ý$67)</f>
      </c>
      <c r="GH67">
        <f>IF(ISBLANK('Data Entry'!$þ$67), "", 'Data Entry'!$þ$67)</f>
      </c>
      <c r="GI67">
        <f>IF(ISBLANK('Data Entry'!$ÿ$67), "", 'Data Entry'!$ÿ$67)</f>
      </c>
      <c r="GJ67">
        <f>IF(ISBLANK('Data Entry'!$Ā$67), "", 'Data Entry'!$Ā$67)</f>
      </c>
      <c r="GK67">
        <f>IF(ISBLANK('Data Entry'!$ā$67), "", 'Data Entry'!$ā$67)</f>
      </c>
      <c r="GL67">
        <f>IF(ISBLANK('Data Entry'!$Ă$67), "", 'Data Entry'!$Ă$67)</f>
      </c>
      <c r="GM67">
        <f>IF(ISBLANK('Data Entry'!$ă$67), "", 'Data Entry'!$ă$67)</f>
      </c>
      <c r="GN67">
        <f>IF(ISBLANK('Data Entry'!$Ą$67), "", 'Data Entry'!$Ą$67)</f>
      </c>
      <c r="GO67">
        <f>IF(ISBLANK('Data Entry'!$ą$67), "", 'Data Entry'!$ą$67)</f>
      </c>
      <c r="GP67">
        <f>IF(ISBLANK('Data Entry'!$Ć$67), "", 'Data Entry'!$Ć$67)</f>
      </c>
      <c r="GQ67">
        <f>IF(ISBLANK('Data Entry'!$ć$67), "", 'Data Entry'!$ć$67)</f>
      </c>
      <c r="GR67">
        <f>IF(ISBLANK('Data Entry'!$Ĉ$67), "", 'Data Entry'!$Ĉ$67)</f>
      </c>
      <c r="GS67">
        <f>IF(ISBLANK('Data Entry'!$ĉ$67), "", 'Data Entry'!$ĉ$67)</f>
      </c>
      <c r="GT67">
        <f>IF(ISBLANK('Data Entry'!$Ċ$67), "", 'Data Entry'!$Ċ$67)</f>
      </c>
      <c r="GU67">
        <f>IF(ISBLANK('Data Entry'!$ċ$67), "", 'Data Entry'!$ċ$67)</f>
      </c>
      <c r="GV67">
        <f>IF(ISBLANK('Data Entry'!$Č$67), "", 'Data Entry'!$Č$67)</f>
      </c>
      <c r="GW67">
        <f>IF(ISBLANK('Data Entry'!$č$67), "", 'Data Entry'!$č$67)</f>
      </c>
      <c r="GX67">
        <f>IF(ISBLANK('Data Entry'!$Ď$67), "", 'Data Entry'!$Ď$67)</f>
      </c>
      <c r="GY67">
        <f>IF(ISBLANK('Data Entry'!$ď$67), "", 'Data Entry'!$ď$67)</f>
      </c>
      <c r="GZ67">
        <f>IF(ISBLANK('Data Entry'!$Đ$67), "", 'Data Entry'!$Đ$67)</f>
      </c>
      <c r="HA67">
        <f>IF(ISBLANK('Data Entry'!$đ$67), "", 'Data Entry'!$đ$67)</f>
      </c>
      <c r="HB67">
        <f>IF(ISBLANK('Data Entry'!$Ē$67), "", 'Data Entry'!$Ē$67)</f>
      </c>
      <c r="HC67">
        <f>IF(ISBLANK('Data Entry'!$ē$67), "", 'Data Entry'!$ē$67)</f>
      </c>
      <c r="HD67">
        <f>IF(ISBLANK('Data Entry'!$Ĕ$67), "", 'Data Entry'!$Ĕ$67)</f>
      </c>
      <c r="HE67">
        <f>IF(ISBLANK('Data Entry'!$ĕ$67), "", 'Data Entry'!$ĕ$67)</f>
      </c>
      <c r="HF67">
        <f>IF(ISBLANK('Data Entry'!$Ė$67), "", 'Data Entry'!$Ė$67)</f>
      </c>
      <c r="HG67">
        <f>IF(ISBLANK('Data Entry'!$ė$67), "", 'Data Entry'!$ė$67)</f>
      </c>
      <c r="HH67">
        <f>IF(ISBLANK('Data Entry'!$Ę$67), "", 'Data Entry'!$Ę$67)</f>
      </c>
      <c r="HI67">
        <f>IF(ISBLANK('Data Entry'!$ę$67), "", 'Data Entry'!$ę$67)</f>
      </c>
      <c r="HJ67">
        <f>IF(ISBLANK('Data Entry'!$Ě$67), "", 'Data Entry'!$Ě$67)</f>
      </c>
      <c r="HK67">
        <f>IF(ISBLANK('Data Entry'!$ě$67), "", 'Data Entry'!$ě$67)</f>
      </c>
      <c r="HL67">
        <f>IF(ISBLANK('Data Entry'!$Ĝ$67), "", 'Data Entry'!$Ĝ$67)</f>
      </c>
      <c r="HM67">
        <f>IF(ISBLANK('Data Entry'!$ĝ$67), "", 'Data Entry'!$ĝ$67)</f>
      </c>
      <c r="HN67">
        <f>IF(ISBLANK('Data Entry'!$Ğ$67), "", 'Data Entry'!$Ğ$67)</f>
      </c>
      <c r="HO67">
        <f>IF(ISBLANK('Data Entry'!$ğ$67), "", 'Data Entry'!$ğ$67)</f>
      </c>
      <c r="HP67">
        <f>IF(ISBLANK('Data Entry'!$Ġ$67), "", 'Data Entry'!$Ġ$67)</f>
      </c>
      <c r="HQ67">
        <f>IF(ISBLANK('Data Entry'!$ġ$67), "", 'Data Entry'!$ġ$67)</f>
      </c>
      <c r="HR67">
        <f>IF(ISBLANK('Data Entry'!$Ģ$67), "", 'Data Entry'!$Ģ$67)</f>
      </c>
      <c r="HS67">
        <f>IF(ISBLANK('Data Entry'!$ģ$67), "", 'Data Entry'!$ģ$67)</f>
      </c>
      <c r="HT67">
        <f>IF(ISBLANK('Data Entry'!$Ĥ$67), "", 'Data Entry'!$Ĥ$67)</f>
      </c>
      <c r="HU67">
        <f>IF(ISBLANK('Data Entry'!$ĥ$67), "", 'Data Entry'!$ĥ$67)</f>
      </c>
      <c r="HV67">
        <f>IF(ISBLANK('Data Entry'!$Ħ$67), "", 'Data Entry'!$Ħ$67)</f>
      </c>
      <c r="HW67">
        <f>IF(ISBLANK('Data Entry'!$ħ$67), "", 'Data Entry'!$ħ$67)</f>
      </c>
      <c r="HX67">
        <f>IF(ISBLANK('Data Entry'!$Ĩ$67), "", 'Data Entry'!$Ĩ$67)</f>
      </c>
      <c r="HY67">
        <f>IF(ISBLANK('Data Entry'!$ĩ$67), "", 'Data Entry'!$ĩ$67)</f>
      </c>
      <c r="HZ67">
        <f>IF(ISBLANK('Data Entry'!$Ī$67), "", 'Data Entry'!$Ī$67)</f>
      </c>
      <c r="IA67">
        <f>IF(ISBLANK('Data Entry'!$ī$67), "", 'Data Entry'!$ī$67)</f>
      </c>
      <c r="IB67">
        <f>IF(ISBLANK('Data Entry'!$Ĭ$67), "", 'Data Entry'!$Ĭ$67)</f>
      </c>
      <c r="IC67">
        <f>IF(ISBLANK('Data Entry'!$ĭ$67), "", 'Data Entry'!$ĭ$67)</f>
      </c>
      <c r="ID67">
        <f>IF(ISBLANK('Data Entry'!$Į$67), "", 'Data Entry'!$Į$67)</f>
      </c>
      <c r="IE67">
        <f>IF(ISBLANK('Data Entry'!$į$67), "", 'Data Entry'!$į$67)</f>
      </c>
      <c r="IF67">
        <f>IF(ISBLANK('Data Entry'!$İ$67), "", 'Data Entry'!$İ$67)</f>
      </c>
      <c r="IG67">
        <f>IF(ISBLANK('Data Entry'!$ı$67), "", 'Data Entry'!$ı$67)</f>
      </c>
      <c r="IH67">
        <f>IF(ISBLANK('Data Entry'!$Ĳ$67), "", 'Data Entry'!$Ĳ$67)</f>
      </c>
      <c r="II67">
        <f>IF(ISBLANK('Data Entry'!$ĳ$67), "", 'Data Entry'!$ĳ$67)</f>
      </c>
      <c r="IJ67">
        <f>IF(ISBLANK('Data Entry'!$Ĵ$67), "", 'Data Entry'!$Ĵ$67)</f>
      </c>
      <c r="IK67">
        <f>IF(ISBLANK('Data Entry'!$ĵ$67), "", 'Data Entry'!$ĵ$67)</f>
      </c>
      <c r="IL67">
        <f>IF(ISBLANK('Data Entry'!$Ķ$67), "", 'Data Entry'!$Ķ$67)</f>
      </c>
      <c r="IM67">
        <f>IF(ISBLANK('Data Entry'!$ķ$67), "", 'Data Entry'!$ķ$67)</f>
      </c>
      <c r="IN67">
        <f>IF(ISBLANK('Data Entry'!$ĸ$67), "", 'Data Entry'!$ĸ$67)</f>
      </c>
      <c r="IO67">
        <f>IF(ISBLANK('Data Entry'!$Ĺ$67), "", 'Data Entry'!$Ĺ$67)</f>
      </c>
      <c r="IP67">
        <f>IF(ISBLANK('Data Entry'!$ĺ$67), "", 'Data Entry'!$ĺ$67)</f>
      </c>
      <c r="IQ67">
        <f>IF(ISBLANK('Data Entry'!$Ļ$67), "", 'Data Entry'!$Ļ$67)</f>
      </c>
      <c r="IR67">
        <f>IF(ISBLANK('Data Entry'!$ļ$67), "", 'Data Entry'!$ļ$67)</f>
      </c>
      <c r="IS67">
        <f>IF(ISBLANK('Data Entry'!$Ľ$67), "", 'Data Entry'!$Ľ$67)</f>
      </c>
      <c r="IT67">
        <f>IF(ISBLANK('Data Entry'!$ľ$67), "", 'Data Entry'!$ľ$67)</f>
      </c>
    </row>
    <row r="68" spans="1:254" x14ac:dyDescent="0.25">
      <c r="A68">
        <f>IF(ISBLANK('Data Entry'!$A$68), "", 'Data Entry'!$A$68)</f>
      </c>
      <c r="B68">
        <f>IF(ISBLANK('Data Entry'!$B$68), "", 'Data Entry'!$B$68)</f>
      </c>
      <c r="C68">
        <f>IF(ISBLANK('Data Entry'!$C$68), "", 'Data Entry'!$C$68)</f>
      </c>
      <c r="D68">
        <f>IF(ISBLANK('Data Entry'!$D$68), "", 'Data Entry'!$D$68)</f>
      </c>
      <c r="E68">
        <f>IF(ISBLANK('Data Entry'!$E$68), "", 'Data Entry'!$E$68)</f>
      </c>
      <c r="F68">
        <f>IF(ISBLANK('Data Entry'!$F$68), "", 'Data Entry'!$F$68)</f>
      </c>
      <c r="G68">
        <f>IF(ISBLANK('Data Entry'!$G$68), "", 'Data Entry'!$G$68)</f>
      </c>
      <c r="H68">
        <f>IF(ISBLANK('Data Entry'!$H$68), "", 'Data Entry'!$H$68)</f>
      </c>
      <c r="I68">
        <f>IF(ISBLANK('Data Entry'!$I$68), "", 'Data Entry'!$I$68)</f>
      </c>
      <c r="J68">
        <f>IF(ISBLANK('Data Entry'!$J$68), "", 'Data Entry'!$J$68)</f>
      </c>
      <c r="K68">
        <f>IF(ISBLANK('Data Entry'!$K$68), "", 'Data Entry'!$K$68)</f>
      </c>
      <c r="L68">
        <f>IF(ISBLANK('Data Entry'!$L$68), "", 'Data Entry'!$L$68)</f>
      </c>
      <c r="M68">
        <f>IF(ISBLANK('Data Entry'!$M$68), "", 'Data Entry'!$M$68)</f>
      </c>
      <c r="N68">
        <f>IF(ISBLANK('Data Entry'!$N$68), "", 'Data Entry'!$N$68)</f>
      </c>
      <c r="O68">
        <f>IF(ISBLANK('Data Entry'!$O$68), "", 'Data Entry'!$O$68)</f>
      </c>
      <c r="P68">
        <f>IF(ISBLANK('Data Entry'!$P$68), "", 'Data Entry'!$P$68)</f>
      </c>
      <c r="Q68">
        <f>IF(ISBLANK('Data Entry'!$Q$68), "", 'Data Entry'!$Q$68)</f>
      </c>
      <c r="R68">
        <f>IF(ISBLANK('Data Entry'!$R$68), "", 'Data Entry'!$R$68)</f>
      </c>
      <c r="S68">
        <f>IF(ISBLANK('Data Entry'!$S$68), "", 'Data Entry'!$S$68)</f>
      </c>
      <c r="T68">
        <f>IF(ISBLANK('Data Entry'!$T$68), "", 'Data Entry'!$T$68)</f>
      </c>
      <c r="U68">
        <f>IF(ISBLANK('Data Entry'!$U$68), "", 'Data Entry'!$U$68)</f>
      </c>
      <c r="V68">
        <f>IF(ISBLANK('Data Entry'!$V$68), "", 'Data Entry'!$V$68)</f>
      </c>
      <c r="W68">
        <f>IF(ISBLANK('Data Entry'!$W$68), "", 'Data Entry'!$W$68)</f>
      </c>
      <c r="X68">
        <f>IF(ISBLANK('Data Entry'!$X$68), "", 'Data Entry'!$X$68)</f>
      </c>
      <c r="Y68">
        <f>IF(ISBLANK('Data Entry'!$Y$68), "", 'Data Entry'!$Y$68)</f>
      </c>
      <c r="Z68">
        <f>IF(ISBLANK('Data Entry'!$Z$68), "", 'Data Entry'!$Z$68)</f>
      </c>
      <c r="AA68">
        <f>IF(ISBLANK('Data Entry'!$[$68), "", 'Data Entry'!$[$68)</f>
      </c>
      <c r="AB68">
        <f>IF(ISBLANK('Data Entry'!$\$68), "", 'Data Entry'!$\$68)</f>
      </c>
      <c r="AC68">
        <f>IF(ISBLANK('Data Entry'!$]$68), "", 'Data Entry'!$]$68)</f>
      </c>
      <c r="AD68">
        <f>IF(ISBLANK('Data Entry'!$^$68), "", 'Data Entry'!$^$68)</f>
      </c>
      <c r="AE68">
        <f>IF(ISBLANK('Data Entry'!$_$68), "", 'Data Entry'!$_$68)</f>
      </c>
      <c r="AF68">
        <f>IF(ISBLANK('Data Entry'!$`$68), "", 'Data Entry'!$`$68)</f>
      </c>
      <c r="AG68">
        <f>IF(ISBLANK('Data Entry'!$a$68), "", 'Data Entry'!$a$68)</f>
      </c>
      <c r="AH68">
        <f>IF(ISBLANK('Data Entry'!$b$68), "", 'Data Entry'!$b$68)</f>
      </c>
      <c r="AI68">
        <f>IF(ISBLANK('Data Entry'!$c$68), "", 'Data Entry'!$c$68)</f>
      </c>
      <c r="AJ68">
        <f>IF(ISBLANK('Data Entry'!$d$68), "", 'Data Entry'!$d$68)</f>
      </c>
      <c r="AK68">
        <f>IF(ISBLANK('Data Entry'!$e$68), "", 'Data Entry'!$e$68)</f>
      </c>
      <c r="AL68">
        <f>IF(ISBLANK('Data Entry'!$f$68), "", 'Data Entry'!$f$68)</f>
      </c>
      <c r="AM68">
        <f>IF(ISBLANK('Data Entry'!$g$68), "", 'Data Entry'!$g$68)</f>
      </c>
      <c r="AN68">
        <f>IF(ISBLANK('Data Entry'!$h$68), "", 'Data Entry'!$h$68)</f>
      </c>
      <c r="AO68">
        <f>IF(ISBLANK('Data Entry'!$i$68), "", 'Data Entry'!$i$68)</f>
      </c>
      <c r="AP68">
        <f>IF(ISBLANK('Data Entry'!$j$68), "", 'Data Entry'!$j$68)</f>
      </c>
      <c r="AQ68">
        <f>IF(ISBLANK('Data Entry'!$k$68), "", 'Data Entry'!$k$68)</f>
      </c>
      <c r="AR68">
        <f>IF(ISBLANK('Data Entry'!$l$68), "", 'Data Entry'!$l$68)</f>
      </c>
      <c r="AS68">
        <f>IF(ISBLANK('Data Entry'!$m$68), "", 'Data Entry'!$m$68)</f>
      </c>
      <c r="AT68">
        <f>IF(ISBLANK('Data Entry'!$n$68), "", 'Data Entry'!$n$68)</f>
      </c>
      <c r="AU68">
        <f>IF(ISBLANK('Data Entry'!$o$68), "", 'Data Entry'!$o$68)</f>
      </c>
      <c r="AV68">
        <f>IF(ISBLANK('Data Entry'!$p$68), "", 'Data Entry'!$p$68)</f>
      </c>
      <c r="AW68">
        <f>IF(ISBLANK('Data Entry'!$q$68), "", 'Data Entry'!$q$68)</f>
      </c>
      <c r="AX68">
        <f>IF(ISBLANK('Data Entry'!$r$68), "", 'Data Entry'!$r$68)</f>
      </c>
      <c r="AY68">
        <f>IF(ISBLANK('Data Entry'!$s$68), "", 'Data Entry'!$s$68)</f>
      </c>
      <c r="AZ68">
        <f>IF(ISBLANK('Data Entry'!$t$68), "", 'Data Entry'!$t$68)</f>
      </c>
      <c r="BA68">
        <f>IF(ISBLANK('Data Entry'!$u$68), "", 'Data Entry'!$u$68)</f>
      </c>
      <c r="BB68">
        <f>IF(ISBLANK('Data Entry'!$v$68), "", 'Data Entry'!$v$68)</f>
      </c>
      <c r="BC68">
        <f>IF(ISBLANK('Data Entry'!$w$68), "", 'Data Entry'!$w$68)</f>
      </c>
      <c r="BD68">
        <f>IF(ISBLANK('Data Entry'!$x$68), "", 'Data Entry'!$x$68)</f>
      </c>
      <c r="BE68">
        <f>IF(ISBLANK('Data Entry'!$y$68), "", 'Data Entry'!$y$68)</f>
      </c>
      <c r="BF68">
        <f>IF(ISBLANK('Data Entry'!$z$68), "", 'Data Entry'!$z$68)</f>
      </c>
      <c r="BG68">
        <f>IF(ISBLANK('Data Entry'!${$68), "", 'Data Entry'!${$68)</f>
      </c>
      <c r="BH68">
        <f>IF(ISBLANK('Data Entry'!$|$68), "", 'Data Entry'!$|$68)</f>
      </c>
      <c r="BI68">
        <f>IF(ISBLANK('Data Entry'!$}$68), "", 'Data Entry'!$}$68)</f>
      </c>
      <c r="BJ68">
        <f>IF(ISBLANK('Data Entry'!$~$68), "", 'Data Entry'!$~$68)</f>
      </c>
      <c r="BK68">
        <f>IF(ISBLANK('Data Entry'!$$68), "", 'Data Entry'!$$68)</f>
      </c>
      <c r="BL68">
        <f>IF(ISBLANK('Data Entry'!$$68), "", 'Data Entry'!$$68)</f>
      </c>
      <c r="BM68">
        <f>IF(ISBLANK('Data Entry'!$$68), "", 'Data Entry'!$$68)</f>
      </c>
      <c r="BN68">
        <f>IF(ISBLANK('Data Entry'!$$68), "", 'Data Entry'!$$68)</f>
      </c>
      <c r="BO68">
        <f>IF(ISBLANK('Data Entry'!$$68), "", 'Data Entry'!$$68)</f>
      </c>
      <c r="BP68">
        <f>IF(ISBLANK('Data Entry'!$$68), "", 'Data Entry'!$$68)</f>
      </c>
      <c r="BQ68">
        <f>IF(ISBLANK('Data Entry'!$$68), "", 'Data Entry'!$$68)</f>
      </c>
      <c r="BR68">
        <f>IF(ISBLANK('Data Entry'!$$68), "", 'Data Entry'!$$68)</f>
      </c>
      <c r="BS68">
        <f>IF(ISBLANK('Data Entry'!$$68), "", 'Data Entry'!$$68)</f>
      </c>
      <c r="BT68">
        <f>IF(ISBLANK('Data Entry'!$$68), "", 'Data Entry'!$$68)</f>
      </c>
      <c r="BU68">
        <f>IF(ISBLANK('Data Entry'!$$68), "", 'Data Entry'!$$68)</f>
      </c>
      <c r="BV68">
        <f>IF(ISBLANK('Data Entry'!$$68), "", 'Data Entry'!$$68)</f>
      </c>
      <c r="BW68">
        <f>IF(ISBLANK('Data Entry'!$$68), "", 'Data Entry'!$$68)</f>
      </c>
      <c r="BX68">
        <f>IF(ISBLANK('Data Entry'!$$68), "", 'Data Entry'!$$68)</f>
      </c>
      <c r="BY68">
        <f>IF(ISBLANK('Data Entry'!$$68), "", 'Data Entry'!$$68)</f>
      </c>
      <c r="BZ68">
        <f>IF(ISBLANK('Data Entry'!$$68), "", 'Data Entry'!$$68)</f>
      </c>
      <c r="CA68">
        <f>IF(ISBLANK('Data Entry'!$$68), "", 'Data Entry'!$$68)</f>
      </c>
      <c r="CB68">
        <f>IF(ISBLANK('Data Entry'!$$68), "", 'Data Entry'!$$68)</f>
      </c>
      <c r="CC68">
        <f>IF(ISBLANK('Data Entry'!$$68), "", 'Data Entry'!$$68)</f>
      </c>
      <c r="CD68">
        <f>IF(ISBLANK('Data Entry'!$$68), "", 'Data Entry'!$$68)</f>
      </c>
      <c r="CE68">
        <f>IF(ISBLANK('Data Entry'!$$68), "", 'Data Entry'!$$68)</f>
      </c>
      <c r="CF68">
        <f>IF(ISBLANK('Data Entry'!$$68), "", 'Data Entry'!$$68)</f>
      </c>
      <c r="CG68">
        <f>IF(ISBLANK('Data Entry'!$$68), "", 'Data Entry'!$$68)</f>
      </c>
      <c r="CH68">
        <f>IF(ISBLANK('Data Entry'!$$68), "", 'Data Entry'!$$68)</f>
      </c>
      <c r="CI68">
        <f>IF(ISBLANK('Data Entry'!$$68), "", 'Data Entry'!$$68)</f>
      </c>
      <c r="CJ68">
        <f>IF(ISBLANK('Data Entry'!$$68), "", 'Data Entry'!$$68)</f>
      </c>
      <c r="CK68">
        <f>IF(ISBLANK('Data Entry'!$$68), "", 'Data Entry'!$$68)</f>
      </c>
      <c r="CL68">
        <f>IF(ISBLANK('Data Entry'!$$68), "", 'Data Entry'!$$68)</f>
      </c>
      <c r="CM68">
        <f>IF(ISBLANK('Data Entry'!$$68), "", 'Data Entry'!$$68)</f>
      </c>
      <c r="CN68">
        <f>IF(ISBLANK('Data Entry'!$$68), "", 'Data Entry'!$$68)</f>
      </c>
      <c r="CO68">
        <f>IF(ISBLANK('Data Entry'!$$68), "", 'Data Entry'!$$68)</f>
      </c>
      <c r="CP68">
        <f>IF(ISBLANK('Data Entry'!$$68), "", 'Data Entry'!$$68)</f>
      </c>
      <c r="CQ68">
        <f>IF(ISBLANK('Data Entry'!$$68), "", 'Data Entry'!$$68)</f>
      </c>
      <c r="CR68">
        <f>IF(ISBLANK('Data Entry'!$ $68), "", 'Data Entry'!$ $68)</f>
      </c>
      <c r="CS68">
        <f>IF(ISBLANK('Data Entry'!$¡$68), "", 'Data Entry'!$¡$68)</f>
      </c>
      <c r="CT68">
        <f>IF(ISBLANK('Data Entry'!$¢$68), "", 'Data Entry'!$¢$68)</f>
      </c>
      <c r="CU68">
        <f>IF(ISBLANK('Data Entry'!$£$68), "", 'Data Entry'!$£$68)</f>
      </c>
      <c r="CV68">
        <f>IF(ISBLANK('Data Entry'!$¤$68), "", 'Data Entry'!$¤$68)</f>
      </c>
      <c r="CW68">
        <f>IF(ISBLANK('Data Entry'!$¥$68), "", 'Data Entry'!$¥$68)</f>
      </c>
      <c r="CX68">
        <f>IF(ISBLANK('Data Entry'!$¦$68), "", 'Data Entry'!$¦$68)</f>
      </c>
      <c r="CY68">
        <f>IF(ISBLANK('Data Entry'!$§$68), "", 'Data Entry'!$§$68)</f>
      </c>
      <c r="CZ68">
        <f>IF(ISBLANK('Data Entry'!$¨$68), "", 'Data Entry'!$¨$68)</f>
      </c>
      <c r="DA68">
        <f>IF(ISBLANK('Data Entry'!$©$68), "", 'Data Entry'!$©$68)</f>
      </c>
      <c r="DB68">
        <f>IF(ISBLANK('Data Entry'!$ª$68), "", 'Data Entry'!$ª$68)</f>
      </c>
      <c r="DC68">
        <f>IF(ISBLANK('Data Entry'!$«$68), "", 'Data Entry'!$«$68)</f>
      </c>
      <c r="DD68">
        <f>IF(ISBLANK('Data Entry'!$¬$68), "", 'Data Entry'!$¬$68)</f>
      </c>
      <c r="DE68">
        <f>IF(ISBLANK('Data Entry'!$­$68), "", 'Data Entry'!$­$68)</f>
      </c>
      <c r="DF68">
        <f>IF(ISBLANK('Data Entry'!$®$68), "", 'Data Entry'!$®$68)</f>
      </c>
      <c r="DG68">
        <f>IF(ISBLANK('Data Entry'!$¯$68), "", 'Data Entry'!$¯$68)</f>
      </c>
      <c r="DH68">
        <f>IF(ISBLANK('Data Entry'!$°$68), "", 'Data Entry'!$°$68)</f>
      </c>
      <c r="DI68">
        <f>IF(ISBLANK('Data Entry'!$±$68), "", 'Data Entry'!$±$68)</f>
      </c>
      <c r="DJ68">
        <f>IF(ISBLANK('Data Entry'!$²$68), "", 'Data Entry'!$²$68)</f>
      </c>
      <c r="DK68">
        <f>IF(ISBLANK('Data Entry'!$³$68), "", 'Data Entry'!$³$68)</f>
      </c>
      <c r="DL68">
        <f>IF(ISBLANK('Data Entry'!$´$68), "", 'Data Entry'!$´$68)</f>
      </c>
      <c r="DM68">
        <f>IF(ISBLANK('Data Entry'!$µ$68), "", 'Data Entry'!$µ$68)</f>
      </c>
      <c r="DN68">
        <f>IF(ISBLANK('Data Entry'!$¶$68), "", 'Data Entry'!$¶$68)</f>
      </c>
      <c r="DO68">
        <f>IF(ISBLANK('Data Entry'!$·$68), "", 'Data Entry'!$·$68)</f>
      </c>
      <c r="DP68">
        <f>IF(ISBLANK('Data Entry'!$¸$68), "", 'Data Entry'!$¸$68)</f>
      </c>
      <c r="DQ68">
        <f>IF(ISBLANK('Data Entry'!$¹$68), "", 'Data Entry'!$¹$68)</f>
      </c>
      <c r="DR68">
        <f>IF(ISBLANK('Data Entry'!$º$68), "", 'Data Entry'!$º$68)</f>
      </c>
      <c r="DS68">
        <f>IF(ISBLANK('Data Entry'!$»$68), "", 'Data Entry'!$»$68)</f>
      </c>
      <c r="DT68">
        <f>IF(ISBLANK('Data Entry'!$¼$68), "", 'Data Entry'!$¼$68)</f>
      </c>
      <c r="DU68">
        <f>IF(ISBLANK('Data Entry'!$½$68), "", 'Data Entry'!$½$68)</f>
      </c>
      <c r="DV68">
        <f>IF(ISBLANK('Data Entry'!$¾$68), "", 'Data Entry'!$¾$68)</f>
      </c>
      <c r="DW68">
        <f>IF(ISBLANK('Data Entry'!$¿$68), "", 'Data Entry'!$¿$68)</f>
      </c>
      <c r="DX68">
        <f>IF(ISBLANK('Data Entry'!$À$68), "", 'Data Entry'!$À$68)</f>
      </c>
      <c r="DY68">
        <f>IF(ISBLANK('Data Entry'!$Á$68), "", 'Data Entry'!$Á$68)</f>
      </c>
      <c r="DZ68">
        <f>IF(ISBLANK('Data Entry'!$Â$68), "", 'Data Entry'!$Â$68)</f>
      </c>
      <c r="EA68">
        <f>IF(ISBLANK('Data Entry'!$Ã$68), "", 'Data Entry'!$Ã$68)</f>
      </c>
      <c r="EB68">
        <f>IF(ISBLANK('Data Entry'!$Ä$68), "", 'Data Entry'!$Ä$68)</f>
      </c>
      <c r="EC68">
        <f>IF(ISBLANK('Data Entry'!$Å$68), "", 'Data Entry'!$Å$68)</f>
      </c>
      <c r="ED68">
        <f>IF(ISBLANK('Data Entry'!$Æ$68), "", 'Data Entry'!$Æ$68)</f>
      </c>
      <c r="EE68">
        <f>IF(ISBLANK('Data Entry'!$Ç$68), "", 'Data Entry'!$Ç$68)</f>
      </c>
      <c r="EF68">
        <f>IF(ISBLANK('Data Entry'!$È$68), "", 'Data Entry'!$È$68)</f>
      </c>
      <c r="EG68">
        <f>IF(ISBLANK('Data Entry'!$É$68), "", 'Data Entry'!$É$68)</f>
      </c>
      <c r="EH68">
        <f>IF(ISBLANK('Data Entry'!$Ê$68), "", 'Data Entry'!$Ê$68)</f>
      </c>
      <c r="EI68">
        <f>IF(ISBLANK('Data Entry'!$Ë$68), "", 'Data Entry'!$Ë$68)</f>
      </c>
      <c r="EJ68">
        <f>IF(ISBLANK('Data Entry'!$Ì$68), "", 'Data Entry'!$Ì$68)</f>
      </c>
      <c r="EK68">
        <f>IF(ISBLANK('Data Entry'!$Í$68), "", 'Data Entry'!$Í$68)</f>
      </c>
      <c r="EL68">
        <f>IF(ISBLANK('Data Entry'!$Î$68), "", 'Data Entry'!$Î$68)</f>
      </c>
      <c r="EM68">
        <f>IF(ISBLANK('Data Entry'!$Ï$68), "", 'Data Entry'!$Ï$68)</f>
      </c>
      <c r="EN68">
        <f>IF(ISBLANK('Data Entry'!$Ð$68), "", 'Data Entry'!$Ð$68)</f>
      </c>
      <c r="EO68">
        <f>IF(ISBLANK('Data Entry'!$Ñ$68), "", 'Data Entry'!$Ñ$68)</f>
      </c>
      <c r="EP68">
        <f>IF(ISBLANK('Data Entry'!$Ò$68), "", 'Data Entry'!$Ò$68)</f>
      </c>
      <c r="EQ68">
        <f>IF(ISBLANK('Data Entry'!$Ó$68), "", 'Data Entry'!$Ó$68)</f>
      </c>
      <c r="ER68">
        <f>IF(ISBLANK('Data Entry'!$Ô$68), "", 'Data Entry'!$Ô$68)</f>
      </c>
      <c r="ES68">
        <f>IF(ISBLANK('Data Entry'!$Õ$68), "", 'Data Entry'!$Õ$68)</f>
      </c>
      <c r="ET68">
        <f>IF(ISBLANK('Data Entry'!$Ö$68), "", 'Data Entry'!$Ö$68)</f>
      </c>
      <c r="EU68">
        <f>IF(ISBLANK('Data Entry'!$×$68), "", 'Data Entry'!$×$68)</f>
      </c>
      <c r="EV68">
        <f>IF(ISBLANK('Data Entry'!$Ø$68), "", 'Data Entry'!$Ø$68)</f>
      </c>
      <c r="EW68">
        <f>IF(ISBLANK('Data Entry'!$Ù$68), "", 'Data Entry'!$Ù$68)</f>
      </c>
      <c r="EX68">
        <f>IF(ISBLANK('Data Entry'!$Ú$68), "", 'Data Entry'!$Ú$68)</f>
      </c>
      <c r="EY68">
        <f>IF(ISBLANK('Data Entry'!$Û$68), "", 'Data Entry'!$Û$68)</f>
      </c>
      <c r="EZ68">
        <f>IF(ISBLANK('Data Entry'!$Ü$68), "", 'Data Entry'!$Ü$68)</f>
      </c>
      <c r="FA68">
        <f>IF(ISBLANK('Data Entry'!$Ý$68), "", 'Data Entry'!$Ý$68)</f>
      </c>
      <c r="FB68">
        <f>IF(ISBLANK('Data Entry'!$Þ$68), "", 'Data Entry'!$Þ$68)</f>
      </c>
      <c r="FC68">
        <f>IF(ISBLANK('Data Entry'!$ß$68), "", 'Data Entry'!$ß$68)</f>
      </c>
      <c r="FD68">
        <f>IF(ISBLANK('Data Entry'!$à$68), "", 'Data Entry'!$à$68)</f>
      </c>
      <c r="FE68">
        <f>IF(ISBLANK('Data Entry'!$á$68), "", 'Data Entry'!$á$68)</f>
      </c>
      <c r="FF68">
        <f>IF(ISBLANK('Data Entry'!$â$68), "", 'Data Entry'!$â$68)</f>
      </c>
      <c r="FG68">
        <f>IF(ISBLANK('Data Entry'!$ã$68), "", 'Data Entry'!$ã$68)</f>
      </c>
      <c r="FH68">
        <f>IF(ISBLANK('Data Entry'!$ä$68), "", 'Data Entry'!$ä$68)</f>
      </c>
      <c r="FI68">
        <f>IF(ISBLANK('Data Entry'!$å$68), "", 'Data Entry'!$å$68)</f>
      </c>
      <c r="FJ68">
        <f>IF(ISBLANK('Data Entry'!$æ$68), "", 'Data Entry'!$æ$68)</f>
      </c>
      <c r="FK68">
        <f>IF(ISBLANK('Data Entry'!$ç$68), "", 'Data Entry'!$ç$68)</f>
      </c>
      <c r="FL68">
        <f>IF(ISBLANK('Data Entry'!$è$68), "", 'Data Entry'!$è$68)</f>
      </c>
      <c r="FM68">
        <f>IF(ISBLANK('Data Entry'!$é$68), "", 'Data Entry'!$é$68)</f>
      </c>
      <c r="FN68">
        <f>IF(ISBLANK('Data Entry'!$ê$68), "", 'Data Entry'!$ê$68)</f>
      </c>
      <c r="FO68">
        <f>IF(ISBLANK('Data Entry'!$ë$68), "", 'Data Entry'!$ë$68)</f>
      </c>
      <c r="FP68">
        <f>IF(ISBLANK('Data Entry'!$ì$68), "", 'Data Entry'!$ì$68)</f>
      </c>
      <c r="FQ68">
        <f>IF(ISBLANK('Data Entry'!$í$68), "", 'Data Entry'!$í$68)</f>
      </c>
      <c r="FR68">
        <f>IF(ISBLANK('Data Entry'!$î$68), "", 'Data Entry'!$î$68)</f>
      </c>
      <c r="FS68">
        <f>IF(ISBLANK('Data Entry'!$ï$68), "", 'Data Entry'!$ï$68)</f>
      </c>
      <c r="FT68">
        <f>IF(ISBLANK('Data Entry'!$ð$68), "", 'Data Entry'!$ð$68)</f>
      </c>
      <c r="FU68">
        <f>IF(ISBLANK('Data Entry'!$ñ$68), "", 'Data Entry'!$ñ$68)</f>
      </c>
      <c r="FV68">
        <f>IF(ISBLANK('Data Entry'!$ò$68), "", 'Data Entry'!$ò$68)</f>
      </c>
      <c r="FW68">
        <f>IF(ISBLANK('Data Entry'!$ó$68), "", 'Data Entry'!$ó$68)</f>
      </c>
      <c r="FX68">
        <f>IF(ISBLANK('Data Entry'!$ô$68), "", 'Data Entry'!$ô$68)</f>
      </c>
      <c r="FY68">
        <f>IF(ISBLANK('Data Entry'!$õ$68), "", 'Data Entry'!$õ$68)</f>
      </c>
      <c r="FZ68">
        <f>IF(ISBLANK('Data Entry'!$ö$68), "", 'Data Entry'!$ö$68)</f>
      </c>
      <c r="GA68">
        <f>IF(ISBLANK('Data Entry'!$÷$68), "", 'Data Entry'!$÷$68)</f>
      </c>
      <c r="GB68">
        <f>IF(ISBLANK('Data Entry'!$ø$68), "", 'Data Entry'!$ø$68)</f>
      </c>
      <c r="GC68">
        <f>IF(ISBLANK('Data Entry'!$ù$68), "", 'Data Entry'!$ù$68)</f>
      </c>
      <c r="GD68">
        <f>IF(ISBLANK('Data Entry'!$ú$68), "", 'Data Entry'!$ú$68)</f>
      </c>
      <c r="GE68">
        <f>IF(ISBLANK('Data Entry'!$û$68), "", 'Data Entry'!$û$68)</f>
      </c>
      <c r="GF68">
        <f>IF(ISBLANK('Data Entry'!$ü$68), "", 'Data Entry'!$ü$68)</f>
      </c>
      <c r="GG68">
        <f>IF(ISBLANK('Data Entry'!$ý$68), "", 'Data Entry'!$ý$68)</f>
      </c>
      <c r="GH68">
        <f>IF(ISBLANK('Data Entry'!$þ$68), "", 'Data Entry'!$þ$68)</f>
      </c>
      <c r="GI68">
        <f>IF(ISBLANK('Data Entry'!$ÿ$68), "", 'Data Entry'!$ÿ$68)</f>
      </c>
      <c r="GJ68">
        <f>IF(ISBLANK('Data Entry'!$Ā$68), "", 'Data Entry'!$Ā$68)</f>
      </c>
      <c r="GK68">
        <f>IF(ISBLANK('Data Entry'!$ā$68), "", 'Data Entry'!$ā$68)</f>
      </c>
      <c r="GL68">
        <f>IF(ISBLANK('Data Entry'!$Ă$68), "", 'Data Entry'!$Ă$68)</f>
      </c>
      <c r="GM68">
        <f>IF(ISBLANK('Data Entry'!$ă$68), "", 'Data Entry'!$ă$68)</f>
      </c>
      <c r="GN68">
        <f>IF(ISBLANK('Data Entry'!$Ą$68), "", 'Data Entry'!$Ą$68)</f>
      </c>
      <c r="GO68">
        <f>IF(ISBLANK('Data Entry'!$ą$68), "", 'Data Entry'!$ą$68)</f>
      </c>
      <c r="GP68">
        <f>IF(ISBLANK('Data Entry'!$Ć$68), "", 'Data Entry'!$Ć$68)</f>
      </c>
      <c r="GQ68">
        <f>IF(ISBLANK('Data Entry'!$ć$68), "", 'Data Entry'!$ć$68)</f>
      </c>
      <c r="GR68">
        <f>IF(ISBLANK('Data Entry'!$Ĉ$68), "", 'Data Entry'!$Ĉ$68)</f>
      </c>
      <c r="GS68">
        <f>IF(ISBLANK('Data Entry'!$ĉ$68), "", 'Data Entry'!$ĉ$68)</f>
      </c>
      <c r="GT68">
        <f>IF(ISBLANK('Data Entry'!$Ċ$68), "", 'Data Entry'!$Ċ$68)</f>
      </c>
      <c r="GU68">
        <f>IF(ISBLANK('Data Entry'!$ċ$68), "", 'Data Entry'!$ċ$68)</f>
      </c>
      <c r="GV68">
        <f>IF(ISBLANK('Data Entry'!$Č$68), "", 'Data Entry'!$Č$68)</f>
      </c>
      <c r="GW68">
        <f>IF(ISBLANK('Data Entry'!$č$68), "", 'Data Entry'!$č$68)</f>
      </c>
      <c r="GX68">
        <f>IF(ISBLANK('Data Entry'!$Ď$68), "", 'Data Entry'!$Ď$68)</f>
      </c>
      <c r="GY68">
        <f>IF(ISBLANK('Data Entry'!$ď$68), "", 'Data Entry'!$ď$68)</f>
      </c>
      <c r="GZ68">
        <f>IF(ISBLANK('Data Entry'!$Đ$68), "", 'Data Entry'!$Đ$68)</f>
      </c>
      <c r="HA68">
        <f>IF(ISBLANK('Data Entry'!$đ$68), "", 'Data Entry'!$đ$68)</f>
      </c>
      <c r="HB68">
        <f>IF(ISBLANK('Data Entry'!$Ē$68), "", 'Data Entry'!$Ē$68)</f>
      </c>
      <c r="HC68">
        <f>IF(ISBLANK('Data Entry'!$ē$68), "", 'Data Entry'!$ē$68)</f>
      </c>
      <c r="HD68">
        <f>IF(ISBLANK('Data Entry'!$Ĕ$68), "", 'Data Entry'!$Ĕ$68)</f>
      </c>
      <c r="HE68">
        <f>IF(ISBLANK('Data Entry'!$ĕ$68), "", 'Data Entry'!$ĕ$68)</f>
      </c>
      <c r="HF68">
        <f>IF(ISBLANK('Data Entry'!$Ė$68), "", 'Data Entry'!$Ė$68)</f>
      </c>
      <c r="HG68">
        <f>IF(ISBLANK('Data Entry'!$ė$68), "", 'Data Entry'!$ė$68)</f>
      </c>
      <c r="HH68">
        <f>IF(ISBLANK('Data Entry'!$Ę$68), "", 'Data Entry'!$Ę$68)</f>
      </c>
      <c r="HI68">
        <f>IF(ISBLANK('Data Entry'!$ę$68), "", 'Data Entry'!$ę$68)</f>
      </c>
      <c r="HJ68">
        <f>IF(ISBLANK('Data Entry'!$Ě$68), "", 'Data Entry'!$Ě$68)</f>
      </c>
      <c r="HK68">
        <f>IF(ISBLANK('Data Entry'!$ě$68), "", 'Data Entry'!$ě$68)</f>
      </c>
      <c r="HL68">
        <f>IF(ISBLANK('Data Entry'!$Ĝ$68), "", 'Data Entry'!$Ĝ$68)</f>
      </c>
      <c r="HM68">
        <f>IF(ISBLANK('Data Entry'!$ĝ$68), "", 'Data Entry'!$ĝ$68)</f>
      </c>
      <c r="HN68">
        <f>IF(ISBLANK('Data Entry'!$Ğ$68), "", 'Data Entry'!$Ğ$68)</f>
      </c>
      <c r="HO68">
        <f>IF(ISBLANK('Data Entry'!$ğ$68), "", 'Data Entry'!$ğ$68)</f>
      </c>
      <c r="HP68">
        <f>IF(ISBLANK('Data Entry'!$Ġ$68), "", 'Data Entry'!$Ġ$68)</f>
      </c>
      <c r="HQ68">
        <f>IF(ISBLANK('Data Entry'!$ġ$68), "", 'Data Entry'!$ġ$68)</f>
      </c>
      <c r="HR68">
        <f>IF(ISBLANK('Data Entry'!$Ģ$68), "", 'Data Entry'!$Ģ$68)</f>
      </c>
      <c r="HS68">
        <f>IF(ISBLANK('Data Entry'!$ģ$68), "", 'Data Entry'!$ģ$68)</f>
      </c>
      <c r="HT68">
        <f>IF(ISBLANK('Data Entry'!$Ĥ$68), "", 'Data Entry'!$Ĥ$68)</f>
      </c>
      <c r="HU68">
        <f>IF(ISBLANK('Data Entry'!$ĥ$68), "", 'Data Entry'!$ĥ$68)</f>
      </c>
      <c r="HV68">
        <f>IF(ISBLANK('Data Entry'!$Ħ$68), "", 'Data Entry'!$Ħ$68)</f>
      </c>
      <c r="HW68">
        <f>IF(ISBLANK('Data Entry'!$ħ$68), "", 'Data Entry'!$ħ$68)</f>
      </c>
      <c r="HX68">
        <f>IF(ISBLANK('Data Entry'!$Ĩ$68), "", 'Data Entry'!$Ĩ$68)</f>
      </c>
      <c r="HY68">
        <f>IF(ISBLANK('Data Entry'!$ĩ$68), "", 'Data Entry'!$ĩ$68)</f>
      </c>
      <c r="HZ68">
        <f>IF(ISBLANK('Data Entry'!$Ī$68), "", 'Data Entry'!$Ī$68)</f>
      </c>
      <c r="IA68">
        <f>IF(ISBLANK('Data Entry'!$ī$68), "", 'Data Entry'!$ī$68)</f>
      </c>
      <c r="IB68">
        <f>IF(ISBLANK('Data Entry'!$Ĭ$68), "", 'Data Entry'!$Ĭ$68)</f>
      </c>
      <c r="IC68">
        <f>IF(ISBLANK('Data Entry'!$ĭ$68), "", 'Data Entry'!$ĭ$68)</f>
      </c>
      <c r="ID68">
        <f>IF(ISBLANK('Data Entry'!$Į$68), "", 'Data Entry'!$Į$68)</f>
      </c>
      <c r="IE68">
        <f>IF(ISBLANK('Data Entry'!$į$68), "", 'Data Entry'!$į$68)</f>
      </c>
      <c r="IF68">
        <f>IF(ISBLANK('Data Entry'!$İ$68), "", 'Data Entry'!$İ$68)</f>
      </c>
      <c r="IG68">
        <f>IF(ISBLANK('Data Entry'!$ı$68), "", 'Data Entry'!$ı$68)</f>
      </c>
      <c r="IH68">
        <f>IF(ISBLANK('Data Entry'!$Ĳ$68), "", 'Data Entry'!$Ĳ$68)</f>
      </c>
      <c r="II68">
        <f>IF(ISBLANK('Data Entry'!$ĳ$68), "", 'Data Entry'!$ĳ$68)</f>
      </c>
      <c r="IJ68">
        <f>IF(ISBLANK('Data Entry'!$Ĵ$68), "", 'Data Entry'!$Ĵ$68)</f>
      </c>
      <c r="IK68">
        <f>IF(ISBLANK('Data Entry'!$ĵ$68), "", 'Data Entry'!$ĵ$68)</f>
      </c>
      <c r="IL68">
        <f>IF(ISBLANK('Data Entry'!$Ķ$68), "", 'Data Entry'!$Ķ$68)</f>
      </c>
      <c r="IM68">
        <f>IF(ISBLANK('Data Entry'!$ķ$68), "", 'Data Entry'!$ķ$68)</f>
      </c>
      <c r="IN68">
        <f>IF(ISBLANK('Data Entry'!$ĸ$68), "", 'Data Entry'!$ĸ$68)</f>
      </c>
      <c r="IO68">
        <f>IF(ISBLANK('Data Entry'!$Ĺ$68), "", 'Data Entry'!$Ĺ$68)</f>
      </c>
      <c r="IP68">
        <f>IF(ISBLANK('Data Entry'!$ĺ$68), "", 'Data Entry'!$ĺ$68)</f>
      </c>
      <c r="IQ68">
        <f>IF(ISBLANK('Data Entry'!$Ļ$68), "", 'Data Entry'!$Ļ$68)</f>
      </c>
      <c r="IR68">
        <f>IF(ISBLANK('Data Entry'!$ļ$68), "", 'Data Entry'!$ļ$68)</f>
      </c>
      <c r="IS68">
        <f>IF(ISBLANK('Data Entry'!$Ľ$68), "", 'Data Entry'!$Ľ$68)</f>
      </c>
      <c r="IT68">
        <f>IF(ISBLANK('Data Entry'!$ľ$68), "", 'Data Entry'!$ľ$68)</f>
      </c>
    </row>
    <row r="69" spans="1:254" x14ac:dyDescent="0.25">
      <c r="A69">
        <f>IF(ISBLANK('Data Entry'!$A$69), "", 'Data Entry'!$A$69)</f>
      </c>
      <c r="B69">
        <f>IF(ISBLANK('Data Entry'!$B$69), "", 'Data Entry'!$B$69)</f>
      </c>
      <c r="C69">
        <f>IF(ISBLANK('Data Entry'!$C$69), "", 'Data Entry'!$C$69)</f>
      </c>
      <c r="D69">
        <f>IF(ISBLANK('Data Entry'!$D$69), "", 'Data Entry'!$D$69)</f>
      </c>
      <c r="E69">
        <f>IF(ISBLANK('Data Entry'!$E$69), "", 'Data Entry'!$E$69)</f>
      </c>
      <c r="F69">
        <f>IF(ISBLANK('Data Entry'!$F$69), "", 'Data Entry'!$F$69)</f>
      </c>
      <c r="G69">
        <f>IF(ISBLANK('Data Entry'!$G$69), "", 'Data Entry'!$G$69)</f>
      </c>
      <c r="H69">
        <f>IF(ISBLANK('Data Entry'!$H$69), "", 'Data Entry'!$H$69)</f>
      </c>
      <c r="I69">
        <f>IF(ISBLANK('Data Entry'!$I$69), "", 'Data Entry'!$I$69)</f>
      </c>
      <c r="J69">
        <f>IF(ISBLANK('Data Entry'!$J$69), "", 'Data Entry'!$J$69)</f>
      </c>
      <c r="K69">
        <f>IF(ISBLANK('Data Entry'!$K$69), "", 'Data Entry'!$K$69)</f>
      </c>
      <c r="L69">
        <f>IF(ISBLANK('Data Entry'!$L$69), "", 'Data Entry'!$L$69)</f>
      </c>
      <c r="M69">
        <f>IF(ISBLANK('Data Entry'!$M$69), "", 'Data Entry'!$M$69)</f>
      </c>
      <c r="N69">
        <f>IF(ISBLANK('Data Entry'!$N$69), "", 'Data Entry'!$N$69)</f>
      </c>
      <c r="O69">
        <f>IF(ISBLANK('Data Entry'!$O$69), "", 'Data Entry'!$O$69)</f>
      </c>
      <c r="P69">
        <f>IF(ISBLANK('Data Entry'!$P$69), "", 'Data Entry'!$P$69)</f>
      </c>
      <c r="Q69">
        <f>IF(ISBLANK('Data Entry'!$Q$69), "", 'Data Entry'!$Q$69)</f>
      </c>
      <c r="R69">
        <f>IF(ISBLANK('Data Entry'!$R$69), "", 'Data Entry'!$R$69)</f>
      </c>
      <c r="S69">
        <f>IF(ISBLANK('Data Entry'!$S$69), "", 'Data Entry'!$S$69)</f>
      </c>
      <c r="T69">
        <f>IF(ISBLANK('Data Entry'!$T$69), "", 'Data Entry'!$T$69)</f>
      </c>
      <c r="U69">
        <f>IF(ISBLANK('Data Entry'!$U$69), "", 'Data Entry'!$U$69)</f>
      </c>
      <c r="V69">
        <f>IF(ISBLANK('Data Entry'!$V$69), "", 'Data Entry'!$V$69)</f>
      </c>
      <c r="W69">
        <f>IF(ISBLANK('Data Entry'!$W$69), "", 'Data Entry'!$W$69)</f>
      </c>
      <c r="X69">
        <f>IF(ISBLANK('Data Entry'!$X$69), "", 'Data Entry'!$X$69)</f>
      </c>
      <c r="Y69">
        <f>IF(ISBLANK('Data Entry'!$Y$69), "", 'Data Entry'!$Y$69)</f>
      </c>
      <c r="Z69">
        <f>IF(ISBLANK('Data Entry'!$Z$69), "", 'Data Entry'!$Z$69)</f>
      </c>
      <c r="AA69">
        <f>IF(ISBLANK('Data Entry'!$[$69), "", 'Data Entry'!$[$69)</f>
      </c>
      <c r="AB69">
        <f>IF(ISBLANK('Data Entry'!$\$69), "", 'Data Entry'!$\$69)</f>
      </c>
      <c r="AC69">
        <f>IF(ISBLANK('Data Entry'!$]$69), "", 'Data Entry'!$]$69)</f>
      </c>
      <c r="AD69">
        <f>IF(ISBLANK('Data Entry'!$^$69), "", 'Data Entry'!$^$69)</f>
      </c>
      <c r="AE69">
        <f>IF(ISBLANK('Data Entry'!$_$69), "", 'Data Entry'!$_$69)</f>
      </c>
      <c r="AF69">
        <f>IF(ISBLANK('Data Entry'!$`$69), "", 'Data Entry'!$`$69)</f>
      </c>
      <c r="AG69">
        <f>IF(ISBLANK('Data Entry'!$a$69), "", 'Data Entry'!$a$69)</f>
      </c>
      <c r="AH69">
        <f>IF(ISBLANK('Data Entry'!$b$69), "", 'Data Entry'!$b$69)</f>
      </c>
      <c r="AI69">
        <f>IF(ISBLANK('Data Entry'!$c$69), "", 'Data Entry'!$c$69)</f>
      </c>
      <c r="AJ69">
        <f>IF(ISBLANK('Data Entry'!$d$69), "", 'Data Entry'!$d$69)</f>
      </c>
      <c r="AK69">
        <f>IF(ISBLANK('Data Entry'!$e$69), "", 'Data Entry'!$e$69)</f>
      </c>
      <c r="AL69">
        <f>IF(ISBLANK('Data Entry'!$f$69), "", 'Data Entry'!$f$69)</f>
      </c>
      <c r="AM69">
        <f>IF(ISBLANK('Data Entry'!$g$69), "", 'Data Entry'!$g$69)</f>
      </c>
      <c r="AN69">
        <f>IF(ISBLANK('Data Entry'!$h$69), "", 'Data Entry'!$h$69)</f>
      </c>
      <c r="AO69">
        <f>IF(ISBLANK('Data Entry'!$i$69), "", 'Data Entry'!$i$69)</f>
      </c>
      <c r="AP69">
        <f>IF(ISBLANK('Data Entry'!$j$69), "", 'Data Entry'!$j$69)</f>
      </c>
      <c r="AQ69">
        <f>IF(ISBLANK('Data Entry'!$k$69), "", 'Data Entry'!$k$69)</f>
      </c>
      <c r="AR69">
        <f>IF(ISBLANK('Data Entry'!$l$69), "", 'Data Entry'!$l$69)</f>
      </c>
      <c r="AS69">
        <f>IF(ISBLANK('Data Entry'!$m$69), "", 'Data Entry'!$m$69)</f>
      </c>
      <c r="AT69">
        <f>IF(ISBLANK('Data Entry'!$n$69), "", 'Data Entry'!$n$69)</f>
      </c>
      <c r="AU69">
        <f>IF(ISBLANK('Data Entry'!$o$69), "", 'Data Entry'!$o$69)</f>
      </c>
      <c r="AV69">
        <f>IF(ISBLANK('Data Entry'!$p$69), "", 'Data Entry'!$p$69)</f>
      </c>
      <c r="AW69">
        <f>IF(ISBLANK('Data Entry'!$q$69), "", 'Data Entry'!$q$69)</f>
      </c>
      <c r="AX69">
        <f>IF(ISBLANK('Data Entry'!$r$69), "", 'Data Entry'!$r$69)</f>
      </c>
      <c r="AY69">
        <f>IF(ISBLANK('Data Entry'!$s$69), "", 'Data Entry'!$s$69)</f>
      </c>
      <c r="AZ69">
        <f>IF(ISBLANK('Data Entry'!$t$69), "", 'Data Entry'!$t$69)</f>
      </c>
      <c r="BA69">
        <f>IF(ISBLANK('Data Entry'!$u$69), "", 'Data Entry'!$u$69)</f>
      </c>
      <c r="BB69">
        <f>IF(ISBLANK('Data Entry'!$v$69), "", 'Data Entry'!$v$69)</f>
      </c>
      <c r="BC69">
        <f>IF(ISBLANK('Data Entry'!$w$69), "", 'Data Entry'!$w$69)</f>
      </c>
      <c r="BD69">
        <f>IF(ISBLANK('Data Entry'!$x$69), "", 'Data Entry'!$x$69)</f>
      </c>
      <c r="BE69">
        <f>IF(ISBLANK('Data Entry'!$y$69), "", 'Data Entry'!$y$69)</f>
      </c>
      <c r="BF69">
        <f>IF(ISBLANK('Data Entry'!$z$69), "", 'Data Entry'!$z$69)</f>
      </c>
      <c r="BG69">
        <f>IF(ISBLANK('Data Entry'!${$69), "", 'Data Entry'!${$69)</f>
      </c>
      <c r="BH69">
        <f>IF(ISBLANK('Data Entry'!$|$69), "", 'Data Entry'!$|$69)</f>
      </c>
      <c r="BI69">
        <f>IF(ISBLANK('Data Entry'!$}$69), "", 'Data Entry'!$}$69)</f>
      </c>
      <c r="BJ69">
        <f>IF(ISBLANK('Data Entry'!$~$69), "", 'Data Entry'!$~$69)</f>
      </c>
      <c r="BK69">
        <f>IF(ISBLANK('Data Entry'!$$69), "", 'Data Entry'!$$69)</f>
      </c>
      <c r="BL69">
        <f>IF(ISBLANK('Data Entry'!$$69), "", 'Data Entry'!$$69)</f>
      </c>
      <c r="BM69">
        <f>IF(ISBLANK('Data Entry'!$$69), "", 'Data Entry'!$$69)</f>
      </c>
      <c r="BN69">
        <f>IF(ISBLANK('Data Entry'!$$69), "", 'Data Entry'!$$69)</f>
      </c>
      <c r="BO69">
        <f>IF(ISBLANK('Data Entry'!$$69), "", 'Data Entry'!$$69)</f>
      </c>
      <c r="BP69">
        <f>IF(ISBLANK('Data Entry'!$$69), "", 'Data Entry'!$$69)</f>
      </c>
      <c r="BQ69">
        <f>IF(ISBLANK('Data Entry'!$$69), "", 'Data Entry'!$$69)</f>
      </c>
      <c r="BR69">
        <f>IF(ISBLANK('Data Entry'!$$69), "", 'Data Entry'!$$69)</f>
      </c>
      <c r="BS69">
        <f>IF(ISBLANK('Data Entry'!$$69), "", 'Data Entry'!$$69)</f>
      </c>
      <c r="BT69">
        <f>IF(ISBLANK('Data Entry'!$$69), "", 'Data Entry'!$$69)</f>
      </c>
      <c r="BU69">
        <f>IF(ISBLANK('Data Entry'!$$69), "", 'Data Entry'!$$69)</f>
      </c>
      <c r="BV69">
        <f>IF(ISBLANK('Data Entry'!$$69), "", 'Data Entry'!$$69)</f>
      </c>
      <c r="BW69">
        <f>IF(ISBLANK('Data Entry'!$$69), "", 'Data Entry'!$$69)</f>
      </c>
      <c r="BX69">
        <f>IF(ISBLANK('Data Entry'!$$69), "", 'Data Entry'!$$69)</f>
      </c>
      <c r="BY69">
        <f>IF(ISBLANK('Data Entry'!$$69), "", 'Data Entry'!$$69)</f>
      </c>
      <c r="BZ69">
        <f>IF(ISBLANK('Data Entry'!$$69), "", 'Data Entry'!$$69)</f>
      </c>
      <c r="CA69">
        <f>IF(ISBLANK('Data Entry'!$$69), "", 'Data Entry'!$$69)</f>
      </c>
      <c r="CB69">
        <f>IF(ISBLANK('Data Entry'!$$69), "", 'Data Entry'!$$69)</f>
      </c>
      <c r="CC69">
        <f>IF(ISBLANK('Data Entry'!$$69), "", 'Data Entry'!$$69)</f>
      </c>
      <c r="CD69">
        <f>IF(ISBLANK('Data Entry'!$$69), "", 'Data Entry'!$$69)</f>
      </c>
      <c r="CE69">
        <f>IF(ISBLANK('Data Entry'!$$69), "", 'Data Entry'!$$69)</f>
      </c>
      <c r="CF69">
        <f>IF(ISBLANK('Data Entry'!$$69), "", 'Data Entry'!$$69)</f>
      </c>
      <c r="CG69">
        <f>IF(ISBLANK('Data Entry'!$$69), "", 'Data Entry'!$$69)</f>
      </c>
      <c r="CH69">
        <f>IF(ISBLANK('Data Entry'!$$69), "", 'Data Entry'!$$69)</f>
      </c>
      <c r="CI69">
        <f>IF(ISBLANK('Data Entry'!$$69), "", 'Data Entry'!$$69)</f>
      </c>
      <c r="CJ69">
        <f>IF(ISBLANK('Data Entry'!$$69), "", 'Data Entry'!$$69)</f>
      </c>
      <c r="CK69">
        <f>IF(ISBLANK('Data Entry'!$$69), "", 'Data Entry'!$$69)</f>
      </c>
      <c r="CL69">
        <f>IF(ISBLANK('Data Entry'!$$69), "", 'Data Entry'!$$69)</f>
      </c>
      <c r="CM69">
        <f>IF(ISBLANK('Data Entry'!$$69), "", 'Data Entry'!$$69)</f>
      </c>
      <c r="CN69">
        <f>IF(ISBLANK('Data Entry'!$$69), "", 'Data Entry'!$$69)</f>
      </c>
      <c r="CO69">
        <f>IF(ISBLANK('Data Entry'!$$69), "", 'Data Entry'!$$69)</f>
      </c>
      <c r="CP69">
        <f>IF(ISBLANK('Data Entry'!$$69), "", 'Data Entry'!$$69)</f>
      </c>
      <c r="CQ69">
        <f>IF(ISBLANK('Data Entry'!$$69), "", 'Data Entry'!$$69)</f>
      </c>
      <c r="CR69">
        <f>IF(ISBLANK('Data Entry'!$ $69), "", 'Data Entry'!$ $69)</f>
      </c>
      <c r="CS69">
        <f>IF(ISBLANK('Data Entry'!$¡$69), "", 'Data Entry'!$¡$69)</f>
      </c>
      <c r="CT69">
        <f>IF(ISBLANK('Data Entry'!$¢$69), "", 'Data Entry'!$¢$69)</f>
      </c>
      <c r="CU69">
        <f>IF(ISBLANK('Data Entry'!$£$69), "", 'Data Entry'!$£$69)</f>
      </c>
      <c r="CV69">
        <f>IF(ISBLANK('Data Entry'!$¤$69), "", 'Data Entry'!$¤$69)</f>
      </c>
      <c r="CW69">
        <f>IF(ISBLANK('Data Entry'!$¥$69), "", 'Data Entry'!$¥$69)</f>
      </c>
      <c r="CX69">
        <f>IF(ISBLANK('Data Entry'!$¦$69), "", 'Data Entry'!$¦$69)</f>
      </c>
      <c r="CY69">
        <f>IF(ISBLANK('Data Entry'!$§$69), "", 'Data Entry'!$§$69)</f>
      </c>
      <c r="CZ69">
        <f>IF(ISBLANK('Data Entry'!$¨$69), "", 'Data Entry'!$¨$69)</f>
      </c>
      <c r="DA69">
        <f>IF(ISBLANK('Data Entry'!$©$69), "", 'Data Entry'!$©$69)</f>
      </c>
      <c r="DB69">
        <f>IF(ISBLANK('Data Entry'!$ª$69), "", 'Data Entry'!$ª$69)</f>
      </c>
      <c r="DC69">
        <f>IF(ISBLANK('Data Entry'!$«$69), "", 'Data Entry'!$«$69)</f>
      </c>
      <c r="DD69">
        <f>IF(ISBLANK('Data Entry'!$¬$69), "", 'Data Entry'!$¬$69)</f>
      </c>
      <c r="DE69">
        <f>IF(ISBLANK('Data Entry'!$­$69), "", 'Data Entry'!$­$69)</f>
      </c>
      <c r="DF69">
        <f>IF(ISBLANK('Data Entry'!$®$69), "", 'Data Entry'!$®$69)</f>
      </c>
      <c r="DG69">
        <f>IF(ISBLANK('Data Entry'!$¯$69), "", 'Data Entry'!$¯$69)</f>
      </c>
      <c r="DH69">
        <f>IF(ISBLANK('Data Entry'!$°$69), "", 'Data Entry'!$°$69)</f>
      </c>
      <c r="DI69">
        <f>IF(ISBLANK('Data Entry'!$±$69), "", 'Data Entry'!$±$69)</f>
      </c>
      <c r="DJ69">
        <f>IF(ISBLANK('Data Entry'!$²$69), "", 'Data Entry'!$²$69)</f>
      </c>
      <c r="DK69">
        <f>IF(ISBLANK('Data Entry'!$³$69), "", 'Data Entry'!$³$69)</f>
      </c>
      <c r="DL69">
        <f>IF(ISBLANK('Data Entry'!$´$69), "", 'Data Entry'!$´$69)</f>
      </c>
      <c r="DM69">
        <f>IF(ISBLANK('Data Entry'!$µ$69), "", 'Data Entry'!$µ$69)</f>
      </c>
      <c r="DN69">
        <f>IF(ISBLANK('Data Entry'!$¶$69), "", 'Data Entry'!$¶$69)</f>
      </c>
      <c r="DO69">
        <f>IF(ISBLANK('Data Entry'!$·$69), "", 'Data Entry'!$·$69)</f>
      </c>
      <c r="DP69">
        <f>IF(ISBLANK('Data Entry'!$¸$69), "", 'Data Entry'!$¸$69)</f>
      </c>
      <c r="DQ69">
        <f>IF(ISBLANK('Data Entry'!$¹$69), "", 'Data Entry'!$¹$69)</f>
      </c>
      <c r="DR69">
        <f>IF(ISBLANK('Data Entry'!$º$69), "", 'Data Entry'!$º$69)</f>
      </c>
      <c r="DS69">
        <f>IF(ISBLANK('Data Entry'!$»$69), "", 'Data Entry'!$»$69)</f>
      </c>
      <c r="DT69">
        <f>IF(ISBLANK('Data Entry'!$¼$69), "", 'Data Entry'!$¼$69)</f>
      </c>
      <c r="DU69">
        <f>IF(ISBLANK('Data Entry'!$½$69), "", 'Data Entry'!$½$69)</f>
      </c>
      <c r="DV69">
        <f>IF(ISBLANK('Data Entry'!$¾$69), "", 'Data Entry'!$¾$69)</f>
      </c>
      <c r="DW69">
        <f>IF(ISBLANK('Data Entry'!$¿$69), "", 'Data Entry'!$¿$69)</f>
      </c>
      <c r="DX69">
        <f>IF(ISBLANK('Data Entry'!$À$69), "", 'Data Entry'!$À$69)</f>
      </c>
      <c r="DY69">
        <f>IF(ISBLANK('Data Entry'!$Á$69), "", 'Data Entry'!$Á$69)</f>
      </c>
      <c r="DZ69">
        <f>IF(ISBLANK('Data Entry'!$Â$69), "", 'Data Entry'!$Â$69)</f>
      </c>
      <c r="EA69">
        <f>IF(ISBLANK('Data Entry'!$Ã$69), "", 'Data Entry'!$Ã$69)</f>
      </c>
      <c r="EB69">
        <f>IF(ISBLANK('Data Entry'!$Ä$69), "", 'Data Entry'!$Ä$69)</f>
      </c>
      <c r="EC69">
        <f>IF(ISBLANK('Data Entry'!$Å$69), "", 'Data Entry'!$Å$69)</f>
      </c>
      <c r="ED69">
        <f>IF(ISBLANK('Data Entry'!$Æ$69), "", 'Data Entry'!$Æ$69)</f>
      </c>
      <c r="EE69">
        <f>IF(ISBLANK('Data Entry'!$Ç$69), "", 'Data Entry'!$Ç$69)</f>
      </c>
      <c r="EF69">
        <f>IF(ISBLANK('Data Entry'!$È$69), "", 'Data Entry'!$È$69)</f>
      </c>
      <c r="EG69">
        <f>IF(ISBLANK('Data Entry'!$É$69), "", 'Data Entry'!$É$69)</f>
      </c>
      <c r="EH69">
        <f>IF(ISBLANK('Data Entry'!$Ê$69), "", 'Data Entry'!$Ê$69)</f>
      </c>
      <c r="EI69">
        <f>IF(ISBLANK('Data Entry'!$Ë$69), "", 'Data Entry'!$Ë$69)</f>
      </c>
      <c r="EJ69">
        <f>IF(ISBLANK('Data Entry'!$Ì$69), "", 'Data Entry'!$Ì$69)</f>
      </c>
      <c r="EK69">
        <f>IF(ISBLANK('Data Entry'!$Í$69), "", 'Data Entry'!$Í$69)</f>
      </c>
      <c r="EL69">
        <f>IF(ISBLANK('Data Entry'!$Î$69), "", 'Data Entry'!$Î$69)</f>
      </c>
      <c r="EM69">
        <f>IF(ISBLANK('Data Entry'!$Ï$69), "", 'Data Entry'!$Ï$69)</f>
      </c>
      <c r="EN69">
        <f>IF(ISBLANK('Data Entry'!$Ð$69), "", 'Data Entry'!$Ð$69)</f>
      </c>
      <c r="EO69">
        <f>IF(ISBLANK('Data Entry'!$Ñ$69), "", 'Data Entry'!$Ñ$69)</f>
      </c>
      <c r="EP69">
        <f>IF(ISBLANK('Data Entry'!$Ò$69), "", 'Data Entry'!$Ò$69)</f>
      </c>
      <c r="EQ69">
        <f>IF(ISBLANK('Data Entry'!$Ó$69), "", 'Data Entry'!$Ó$69)</f>
      </c>
      <c r="ER69">
        <f>IF(ISBLANK('Data Entry'!$Ô$69), "", 'Data Entry'!$Ô$69)</f>
      </c>
      <c r="ES69">
        <f>IF(ISBLANK('Data Entry'!$Õ$69), "", 'Data Entry'!$Õ$69)</f>
      </c>
      <c r="ET69">
        <f>IF(ISBLANK('Data Entry'!$Ö$69), "", 'Data Entry'!$Ö$69)</f>
      </c>
      <c r="EU69">
        <f>IF(ISBLANK('Data Entry'!$×$69), "", 'Data Entry'!$×$69)</f>
      </c>
      <c r="EV69">
        <f>IF(ISBLANK('Data Entry'!$Ø$69), "", 'Data Entry'!$Ø$69)</f>
      </c>
      <c r="EW69">
        <f>IF(ISBLANK('Data Entry'!$Ù$69), "", 'Data Entry'!$Ù$69)</f>
      </c>
      <c r="EX69">
        <f>IF(ISBLANK('Data Entry'!$Ú$69), "", 'Data Entry'!$Ú$69)</f>
      </c>
      <c r="EY69">
        <f>IF(ISBLANK('Data Entry'!$Û$69), "", 'Data Entry'!$Û$69)</f>
      </c>
      <c r="EZ69">
        <f>IF(ISBLANK('Data Entry'!$Ü$69), "", 'Data Entry'!$Ü$69)</f>
      </c>
      <c r="FA69">
        <f>IF(ISBLANK('Data Entry'!$Ý$69), "", 'Data Entry'!$Ý$69)</f>
      </c>
      <c r="FB69">
        <f>IF(ISBLANK('Data Entry'!$Þ$69), "", 'Data Entry'!$Þ$69)</f>
      </c>
      <c r="FC69">
        <f>IF(ISBLANK('Data Entry'!$ß$69), "", 'Data Entry'!$ß$69)</f>
      </c>
      <c r="FD69">
        <f>IF(ISBLANK('Data Entry'!$à$69), "", 'Data Entry'!$à$69)</f>
      </c>
      <c r="FE69">
        <f>IF(ISBLANK('Data Entry'!$á$69), "", 'Data Entry'!$á$69)</f>
      </c>
      <c r="FF69">
        <f>IF(ISBLANK('Data Entry'!$â$69), "", 'Data Entry'!$â$69)</f>
      </c>
      <c r="FG69">
        <f>IF(ISBLANK('Data Entry'!$ã$69), "", 'Data Entry'!$ã$69)</f>
      </c>
      <c r="FH69">
        <f>IF(ISBLANK('Data Entry'!$ä$69), "", 'Data Entry'!$ä$69)</f>
      </c>
      <c r="FI69">
        <f>IF(ISBLANK('Data Entry'!$å$69), "", 'Data Entry'!$å$69)</f>
      </c>
      <c r="FJ69">
        <f>IF(ISBLANK('Data Entry'!$æ$69), "", 'Data Entry'!$æ$69)</f>
      </c>
      <c r="FK69">
        <f>IF(ISBLANK('Data Entry'!$ç$69), "", 'Data Entry'!$ç$69)</f>
      </c>
      <c r="FL69">
        <f>IF(ISBLANK('Data Entry'!$è$69), "", 'Data Entry'!$è$69)</f>
      </c>
      <c r="FM69">
        <f>IF(ISBLANK('Data Entry'!$é$69), "", 'Data Entry'!$é$69)</f>
      </c>
      <c r="FN69">
        <f>IF(ISBLANK('Data Entry'!$ê$69), "", 'Data Entry'!$ê$69)</f>
      </c>
      <c r="FO69">
        <f>IF(ISBLANK('Data Entry'!$ë$69), "", 'Data Entry'!$ë$69)</f>
      </c>
      <c r="FP69">
        <f>IF(ISBLANK('Data Entry'!$ì$69), "", 'Data Entry'!$ì$69)</f>
      </c>
      <c r="FQ69">
        <f>IF(ISBLANK('Data Entry'!$í$69), "", 'Data Entry'!$í$69)</f>
      </c>
      <c r="FR69">
        <f>IF(ISBLANK('Data Entry'!$î$69), "", 'Data Entry'!$î$69)</f>
      </c>
      <c r="FS69">
        <f>IF(ISBLANK('Data Entry'!$ï$69), "", 'Data Entry'!$ï$69)</f>
      </c>
      <c r="FT69">
        <f>IF(ISBLANK('Data Entry'!$ð$69), "", 'Data Entry'!$ð$69)</f>
      </c>
      <c r="FU69">
        <f>IF(ISBLANK('Data Entry'!$ñ$69), "", 'Data Entry'!$ñ$69)</f>
      </c>
      <c r="FV69">
        <f>IF(ISBLANK('Data Entry'!$ò$69), "", 'Data Entry'!$ò$69)</f>
      </c>
      <c r="FW69">
        <f>IF(ISBLANK('Data Entry'!$ó$69), "", 'Data Entry'!$ó$69)</f>
      </c>
      <c r="FX69">
        <f>IF(ISBLANK('Data Entry'!$ô$69), "", 'Data Entry'!$ô$69)</f>
      </c>
      <c r="FY69">
        <f>IF(ISBLANK('Data Entry'!$õ$69), "", 'Data Entry'!$õ$69)</f>
      </c>
      <c r="FZ69">
        <f>IF(ISBLANK('Data Entry'!$ö$69), "", 'Data Entry'!$ö$69)</f>
      </c>
      <c r="GA69">
        <f>IF(ISBLANK('Data Entry'!$÷$69), "", 'Data Entry'!$÷$69)</f>
      </c>
      <c r="GB69">
        <f>IF(ISBLANK('Data Entry'!$ø$69), "", 'Data Entry'!$ø$69)</f>
      </c>
      <c r="GC69">
        <f>IF(ISBLANK('Data Entry'!$ù$69), "", 'Data Entry'!$ù$69)</f>
      </c>
      <c r="GD69">
        <f>IF(ISBLANK('Data Entry'!$ú$69), "", 'Data Entry'!$ú$69)</f>
      </c>
      <c r="GE69">
        <f>IF(ISBLANK('Data Entry'!$û$69), "", 'Data Entry'!$û$69)</f>
      </c>
      <c r="GF69">
        <f>IF(ISBLANK('Data Entry'!$ü$69), "", 'Data Entry'!$ü$69)</f>
      </c>
      <c r="GG69">
        <f>IF(ISBLANK('Data Entry'!$ý$69), "", 'Data Entry'!$ý$69)</f>
      </c>
      <c r="GH69">
        <f>IF(ISBLANK('Data Entry'!$þ$69), "", 'Data Entry'!$þ$69)</f>
      </c>
      <c r="GI69">
        <f>IF(ISBLANK('Data Entry'!$ÿ$69), "", 'Data Entry'!$ÿ$69)</f>
      </c>
      <c r="GJ69">
        <f>IF(ISBLANK('Data Entry'!$Ā$69), "", 'Data Entry'!$Ā$69)</f>
      </c>
      <c r="GK69">
        <f>IF(ISBLANK('Data Entry'!$ā$69), "", 'Data Entry'!$ā$69)</f>
      </c>
      <c r="GL69">
        <f>IF(ISBLANK('Data Entry'!$Ă$69), "", 'Data Entry'!$Ă$69)</f>
      </c>
      <c r="GM69">
        <f>IF(ISBLANK('Data Entry'!$ă$69), "", 'Data Entry'!$ă$69)</f>
      </c>
      <c r="GN69">
        <f>IF(ISBLANK('Data Entry'!$Ą$69), "", 'Data Entry'!$Ą$69)</f>
      </c>
      <c r="GO69">
        <f>IF(ISBLANK('Data Entry'!$ą$69), "", 'Data Entry'!$ą$69)</f>
      </c>
      <c r="GP69">
        <f>IF(ISBLANK('Data Entry'!$Ć$69), "", 'Data Entry'!$Ć$69)</f>
      </c>
      <c r="GQ69">
        <f>IF(ISBLANK('Data Entry'!$ć$69), "", 'Data Entry'!$ć$69)</f>
      </c>
      <c r="GR69">
        <f>IF(ISBLANK('Data Entry'!$Ĉ$69), "", 'Data Entry'!$Ĉ$69)</f>
      </c>
      <c r="GS69">
        <f>IF(ISBLANK('Data Entry'!$ĉ$69), "", 'Data Entry'!$ĉ$69)</f>
      </c>
      <c r="GT69">
        <f>IF(ISBLANK('Data Entry'!$Ċ$69), "", 'Data Entry'!$Ċ$69)</f>
      </c>
      <c r="GU69">
        <f>IF(ISBLANK('Data Entry'!$ċ$69), "", 'Data Entry'!$ċ$69)</f>
      </c>
      <c r="GV69">
        <f>IF(ISBLANK('Data Entry'!$Č$69), "", 'Data Entry'!$Č$69)</f>
      </c>
      <c r="GW69">
        <f>IF(ISBLANK('Data Entry'!$č$69), "", 'Data Entry'!$č$69)</f>
      </c>
      <c r="GX69">
        <f>IF(ISBLANK('Data Entry'!$Ď$69), "", 'Data Entry'!$Ď$69)</f>
      </c>
      <c r="GY69">
        <f>IF(ISBLANK('Data Entry'!$ď$69), "", 'Data Entry'!$ď$69)</f>
      </c>
      <c r="GZ69">
        <f>IF(ISBLANK('Data Entry'!$Đ$69), "", 'Data Entry'!$Đ$69)</f>
      </c>
      <c r="HA69">
        <f>IF(ISBLANK('Data Entry'!$đ$69), "", 'Data Entry'!$đ$69)</f>
      </c>
      <c r="HB69">
        <f>IF(ISBLANK('Data Entry'!$Ē$69), "", 'Data Entry'!$Ē$69)</f>
      </c>
      <c r="HC69">
        <f>IF(ISBLANK('Data Entry'!$ē$69), "", 'Data Entry'!$ē$69)</f>
      </c>
      <c r="HD69">
        <f>IF(ISBLANK('Data Entry'!$Ĕ$69), "", 'Data Entry'!$Ĕ$69)</f>
      </c>
      <c r="HE69">
        <f>IF(ISBLANK('Data Entry'!$ĕ$69), "", 'Data Entry'!$ĕ$69)</f>
      </c>
      <c r="HF69">
        <f>IF(ISBLANK('Data Entry'!$Ė$69), "", 'Data Entry'!$Ė$69)</f>
      </c>
      <c r="HG69">
        <f>IF(ISBLANK('Data Entry'!$ė$69), "", 'Data Entry'!$ė$69)</f>
      </c>
      <c r="HH69">
        <f>IF(ISBLANK('Data Entry'!$Ę$69), "", 'Data Entry'!$Ę$69)</f>
      </c>
      <c r="HI69">
        <f>IF(ISBLANK('Data Entry'!$ę$69), "", 'Data Entry'!$ę$69)</f>
      </c>
      <c r="HJ69">
        <f>IF(ISBLANK('Data Entry'!$Ě$69), "", 'Data Entry'!$Ě$69)</f>
      </c>
      <c r="HK69">
        <f>IF(ISBLANK('Data Entry'!$ě$69), "", 'Data Entry'!$ě$69)</f>
      </c>
      <c r="HL69">
        <f>IF(ISBLANK('Data Entry'!$Ĝ$69), "", 'Data Entry'!$Ĝ$69)</f>
      </c>
      <c r="HM69">
        <f>IF(ISBLANK('Data Entry'!$ĝ$69), "", 'Data Entry'!$ĝ$69)</f>
      </c>
      <c r="HN69">
        <f>IF(ISBLANK('Data Entry'!$Ğ$69), "", 'Data Entry'!$Ğ$69)</f>
      </c>
      <c r="HO69">
        <f>IF(ISBLANK('Data Entry'!$ğ$69), "", 'Data Entry'!$ğ$69)</f>
      </c>
      <c r="HP69">
        <f>IF(ISBLANK('Data Entry'!$Ġ$69), "", 'Data Entry'!$Ġ$69)</f>
      </c>
      <c r="HQ69">
        <f>IF(ISBLANK('Data Entry'!$ġ$69), "", 'Data Entry'!$ġ$69)</f>
      </c>
      <c r="HR69">
        <f>IF(ISBLANK('Data Entry'!$Ģ$69), "", 'Data Entry'!$Ģ$69)</f>
      </c>
      <c r="HS69">
        <f>IF(ISBLANK('Data Entry'!$ģ$69), "", 'Data Entry'!$ģ$69)</f>
      </c>
      <c r="HT69">
        <f>IF(ISBLANK('Data Entry'!$Ĥ$69), "", 'Data Entry'!$Ĥ$69)</f>
      </c>
      <c r="HU69">
        <f>IF(ISBLANK('Data Entry'!$ĥ$69), "", 'Data Entry'!$ĥ$69)</f>
      </c>
      <c r="HV69">
        <f>IF(ISBLANK('Data Entry'!$Ħ$69), "", 'Data Entry'!$Ħ$69)</f>
      </c>
      <c r="HW69">
        <f>IF(ISBLANK('Data Entry'!$ħ$69), "", 'Data Entry'!$ħ$69)</f>
      </c>
      <c r="HX69">
        <f>IF(ISBLANK('Data Entry'!$Ĩ$69), "", 'Data Entry'!$Ĩ$69)</f>
      </c>
      <c r="HY69">
        <f>IF(ISBLANK('Data Entry'!$ĩ$69), "", 'Data Entry'!$ĩ$69)</f>
      </c>
      <c r="HZ69">
        <f>IF(ISBLANK('Data Entry'!$Ī$69), "", 'Data Entry'!$Ī$69)</f>
      </c>
      <c r="IA69">
        <f>IF(ISBLANK('Data Entry'!$ī$69), "", 'Data Entry'!$ī$69)</f>
      </c>
      <c r="IB69">
        <f>IF(ISBLANK('Data Entry'!$Ĭ$69), "", 'Data Entry'!$Ĭ$69)</f>
      </c>
      <c r="IC69">
        <f>IF(ISBLANK('Data Entry'!$ĭ$69), "", 'Data Entry'!$ĭ$69)</f>
      </c>
      <c r="ID69">
        <f>IF(ISBLANK('Data Entry'!$Į$69), "", 'Data Entry'!$Į$69)</f>
      </c>
      <c r="IE69">
        <f>IF(ISBLANK('Data Entry'!$į$69), "", 'Data Entry'!$į$69)</f>
      </c>
      <c r="IF69">
        <f>IF(ISBLANK('Data Entry'!$İ$69), "", 'Data Entry'!$İ$69)</f>
      </c>
      <c r="IG69">
        <f>IF(ISBLANK('Data Entry'!$ı$69), "", 'Data Entry'!$ı$69)</f>
      </c>
      <c r="IH69">
        <f>IF(ISBLANK('Data Entry'!$Ĳ$69), "", 'Data Entry'!$Ĳ$69)</f>
      </c>
      <c r="II69">
        <f>IF(ISBLANK('Data Entry'!$ĳ$69), "", 'Data Entry'!$ĳ$69)</f>
      </c>
      <c r="IJ69">
        <f>IF(ISBLANK('Data Entry'!$Ĵ$69), "", 'Data Entry'!$Ĵ$69)</f>
      </c>
      <c r="IK69">
        <f>IF(ISBLANK('Data Entry'!$ĵ$69), "", 'Data Entry'!$ĵ$69)</f>
      </c>
      <c r="IL69">
        <f>IF(ISBLANK('Data Entry'!$Ķ$69), "", 'Data Entry'!$Ķ$69)</f>
      </c>
      <c r="IM69">
        <f>IF(ISBLANK('Data Entry'!$ķ$69), "", 'Data Entry'!$ķ$69)</f>
      </c>
      <c r="IN69">
        <f>IF(ISBLANK('Data Entry'!$ĸ$69), "", 'Data Entry'!$ĸ$69)</f>
      </c>
      <c r="IO69">
        <f>IF(ISBLANK('Data Entry'!$Ĺ$69), "", 'Data Entry'!$Ĺ$69)</f>
      </c>
      <c r="IP69">
        <f>IF(ISBLANK('Data Entry'!$ĺ$69), "", 'Data Entry'!$ĺ$69)</f>
      </c>
      <c r="IQ69">
        <f>IF(ISBLANK('Data Entry'!$Ļ$69), "", 'Data Entry'!$Ļ$69)</f>
      </c>
      <c r="IR69">
        <f>IF(ISBLANK('Data Entry'!$ļ$69), "", 'Data Entry'!$ļ$69)</f>
      </c>
      <c r="IS69">
        <f>IF(ISBLANK('Data Entry'!$Ľ$69), "", 'Data Entry'!$Ľ$69)</f>
      </c>
      <c r="IT69">
        <f>IF(ISBLANK('Data Entry'!$ľ$69), "", 'Data Entry'!$ľ$69)</f>
      </c>
    </row>
    <row r="70" spans="1:254" x14ac:dyDescent="0.25">
      <c r="A70">
        <f>IF(ISBLANK('Data Entry'!$A$70), "", 'Data Entry'!$A$70)</f>
      </c>
      <c r="B70">
        <f>IF(ISBLANK('Data Entry'!$B$70), "", 'Data Entry'!$B$70)</f>
      </c>
      <c r="C70">
        <f>IF(ISBLANK('Data Entry'!$C$70), "", 'Data Entry'!$C$70)</f>
      </c>
      <c r="D70">
        <f>IF(ISBLANK('Data Entry'!$D$70), "", 'Data Entry'!$D$70)</f>
      </c>
      <c r="E70">
        <f>IF(ISBLANK('Data Entry'!$E$70), "", 'Data Entry'!$E$70)</f>
      </c>
      <c r="F70">
        <f>IF(ISBLANK('Data Entry'!$F$70), "", 'Data Entry'!$F$70)</f>
      </c>
      <c r="G70">
        <f>IF(ISBLANK('Data Entry'!$G$70), "", 'Data Entry'!$G$70)</f>
      </c>
      <c r="H70">
        <f>IF(ISBLANK('Data Entry'!$H$70), "", 'Data Entry'!$H$70)</f>
      </c>
      <c r="I70">
        <f>IF(ISBLANK('Data Entry'!$I$70), "", 'Data Entry'!$I$70)</f>
      </c>
      <c r="J70">
        <f>IF(ISBLANK('Data Entry'!$J$70), "", 'Data Entry'!$J$70)</f>
      </c>
      <c r="K70">
        <f>IF(ISBLANK('Data Entry'!$K$70), "", 'Data Entry'!$K$70)</f>
      </c>
      <c r="L70">
        <f>IF(ISBLANK('Data Entry'!$L$70), "", 'Data Entry'!$L$70)</f>
      </c>
      <c r="M70">
        <f>IF(ISBLANK('Data Entry'!$M$70), "", 'Data Entry'!$M$70)</f>
      </c>
      <c r="N70">
        <f>IF(ISBLANK('Data Entry'!$N$70), "", 'Data Entry'!$N$70)</f>
      </c>
      <c r="O70">
        <f>IF(ISBLANK('Data Entry'!$O$70), "", 'Data Entry'!$O$70)</f>
      </c>
      <c r="P70">
        <f>IF(ISBLANK('Data Entry'!$P$70), "", 'Data Entry'!$P$70)</f>
      </c>
      <c r="Q70">
        <f>IF(ISBLANK('Data Entry'!$Q$70), "", 'Data Entry'!$Q$70)</f>
      </c>
      <c r="R70">
        <f>IF(ISBLANK('Data Entry'!$R$70), "", 'Data Entry'!$R$70)</f>
      </c>
      <c r="S70">
        <f>IF(ISBLANK('Data Entry'!$S$70), "", 'Data Entry'!$S$70)</f>
      </c>
      <c r="T70">
        <f>IF(ISBLANK('Data Entry'!$T$70), "", 'Data Entry'!$T$70)</f>
      </c>
      <c r="U70">
        <f>IF(ISBLANK('Data Entry'!$U$70), "", 'Data Entry'!$U$70)</f>
      </c>
      <c r="V70">
        <f>IF(ISBLANK('Data Entry'!$V$70), "", 'Data Entry'!$V$70)</f>
      </c>
      <c r="W70">
        <f>IF(ISBLANK('Data Entry'!$W$70), "", 'Data Entry'!$W$70)</f>
      </c>
      <c r="X70">
        <f>IF(ISBLANK('Data Entry'!$X$70), "", 'Data Entry'!$X$70)</f>
      </c>
      <c r="Y70">
        <f>IF(ISBLANK('Data Entry'!$Y$70), "", 'Data Entry'!$Y$70)</f>
      </c>
      <c r="Z70">
        <f>IF(ISBLANK('Data Entry'!$Z$70), "", 'Data Entry'!$Z$70)</f>
      </c>
      <c r="AA70">
        <f>IF(ISBLANK('Data Entry'!$[$70), "", 'Data Entry'!$[$70)</f>
      </c>
      <c r="AB70">
        <f>IF(ISBLANK('Data Entry'!$\$70), "", 'Data Entry'!$\$70)</f>
      </c>
      <c r="AC70">
        <f>IF(ISBLANK('Data Entry'!$]$70), "", 'Data Entry'!$]$70)</f>
      </c>
      <c r="AD70">
        <f>IF(ISBLANK('Data Entry'!$^$70), "", 'Data Entry'!$^$70)</f>
      </c>
      <c r="AE70">
        <f>IF(ISBLANK('Data Entry'!$_$70), "", 'Data Entry'!$_$70)</f>
      </c>
      <c r="AF70">
        <f>IF(ISBLANK('Data Entry'!$`$70), "", 'Data Entry'!$`$70)</f>
      </c>
      <c r="AG70">
        <f>IF(ISBLANK('Data Entry'!$a$70), "", 'Data Entry'!$a$70)</f>
      </c>
      <c r="AH70">
        <f>IF(ISBLANK('Data Entry'!$b$70), "", 'Data Entry'!$b$70)</f>
      </c>
      <c r="AI70">
        <f>IF(ISBLANK('Data Entry'!$c$70), "", 'Data Entry'!$c$70)</f>
      </c>
      <c r="AJ70">
        <f>IF(ISBLANK('Data Entry'!$d$70), "", 'Data Entry'!$d$70)</f>
      </c>
      <c r="AK70">
        <f>IF(ISBLANK('Data Entry'!$e$70), "", 'Data Entry'!$e$70)</f>
      </c>
      <c r="AL70">
        <f>IF(ISBLANK('Data Entry'!$f$70), "", 'Data Entry'!$f$70)</f>
      </c>
      <c r="AM70">
        <f>IF(ISBLANK('Data Entry'!$g$70), "", 'Data Entry'!$g$70)</f>
      </c>
      <c r="AN70">
        <f>IF(ISBLANK('Data Entry'!$h$70), "", 'Data Entry'!$h$70)</f>
      </c>
      <c r="AO70">
        <f>IF(ISBLANK('Data Entry'!$i$70), "", 'Data Entry'!$i$70)</f>
      </c>
      <c r="AP70">
        <f>IF(ISBLANK('Data Entry'!$j$70), "", 'Data Entry'!$j$70)</f>
      </c>
      <c r="AQ70">
        <f>IF(ISBLANK('Data Entry'!$k$70), "", 'Data Entry'!$k$70)</f>
      </c>
      <c r="AR70">
        <f>IF(ISBLANK('Data Entry'!$l$70), "", 'Data Entry'!$l$70)</f>
      </c>
      <c r="AS70">
        <f>IF(ISBLANK('Data Entry'!$m$70), "", 'Data Entry'!$m$70)</f>
      </c>
      <c r="AT70">
        <f>IF(ISBLANK('Data Entry'!$n$70), "", 'Data Entry'!$n$70)</f>
      </c>
      <c r="AU70">
        <f>IF(ISBLANK('Data Entry'!$o$70), "", 'Data Entry'!$o$70)</f>
      </c>
      <c r="AV70">
        <f>IF(ISBLANK('Data Entry'!$p$70), "", 'Data Entry'!$p$70)</f>
      </c>
      <c r="AW70">
        <f>IF(ISBLANK('Data Entry'!$q$70), "", 'Data Entry'!$q$70)</f>
      </c>
      <c r="AX70">
        <f>IF(ISBLANK('Data Entry'!$r$70), "", 'Data Entry'!$r$70)</f>
      </c>
      <c r="AY70">
        <f>IF(ISBLANK('Data Entry'!$s$70), "", 'Data Entry'!$s$70)</f>
      </c>
      <c r="AZ70">
        <f>IF(ISBLANK('Data Entry'!$t$70), "", 'Data Entry'!$t$70)</f>
      </c>
      <c r="BA70">
        <f>IF(ISBLANK('Data Entry'!$u$70), "", 'Data Entry'!$u$70)</f>
      </c>
      <c r="BB70">
        <f>IF(ISBLANK('Data Entry'!$v$70), "", 'Data Entry'!$v$70)</f>
      </c>
      <c r="BC70">
        <f>IF(ISBLANK('Data Entry'!$w$70), "", 'Data Entry'!$w$70)</f>
      </c>
      <c r="BD70">
        <f>IF(ISBLANK('Data Entry'!$x$70), "", 'Data Entry'!$x$70)</f>
      </c>
      <c r="BE70">
        <f>IF(ISBLANK('Data Entry'!$y$70), "", 'Data Entry'!$y$70)</f>
      </c>
      <c r="BF70">
        <f>IF(ISBLANK('Data Entry'!$z$70), "", 'Data Entry'!$z$70)</f>
      </c>
      <c r="BG70">
        <f>IF(ISBLANK('Data Entry'!${$70), "", 'Data Entry'!${$70)</f>
      </c>
      <c r="BH70">
        <f>IF(ISBLANK('Data Entry'!$|$70), "", 'Data Entry'!$|$70)</f>
      </c>
      <c r="BI70">
        <f>IF(ISBLANK('Data Entry'!$}$70), "", 'Data Entry'!$}$70)</f>
      </c>
      <c r="BJ70">
        <f>IF(ISBLANK('Data Entry'!$~$70), "", 'Data Entry'!$~$70)</f>
      </c>
      <c r="BK70">
        <f>IF(ISBLANK('Data Entry'!$$70), "", 'Data Entry'!$$70)</f>
      </c>
      <c r="BL70">
        <f>IF(ISBLANK('Data Entry'!$$70), "", 'Data Entry'!$$70)</f>
      </c>
      <c r="BM70">
        <f>IF(ISBLANK('Data Entry'!$$70), "", 'Data Entry'!$$70)</f>
      </c>
      <c r="BN70">
        <f>IF(ISBLANK('Data Entry'!$$70), "", 'Data Entry'!$$70)</f>
      </c>
      <c r="BO70">
        <f>IF(ISBLANK('Data Entry'!$$70), "", 'Data Entry'!$$70)</f>
      </c>
      <c r="BP70">
        <f>IF(ISBLANK('Data Entry'!$$70), "", 'Data Entry'!$$70)</f>
      </c>
      <c r="BQ70">
        <f>IF(ISBLANK('Data Entry'!$$70), "", 'Data Entry'!$$70)</f>
      </c>
      <c r="BR70">
        <f>IF(ISBLANK('Data Entry'!$$70), "", 'Data Entry'!$$70)</f>
      </c>
      <c r="BS70">
        <f>IF(ISBLANK('Data Entry'!$$70), "", 'Data Entry'!$$70)</f>
      </c>
      <c r="BT70">
        <f>IF(ISBLANK('Data Entry'!$$70), "", 'Data Entry'!$$70)</f>
      </c>
      <c r="BU70">
        <f>IF(ISBLANK('Data Entry'!$$70), "", 'Data Entry'!$$70)</f>
      </c>
      <c r="BV70">
        <f>IF(ISBLANK('Data Entry'!$$70), "", 'Data Entry'!$$70)</f>
      </c>
      <c r="BW70">
        <f>IF(ISBLANK('Data Entry'!$$70), "", 'Data Entry'!$$70)</f>
      </c>
      <c r="BX70">
        <f>IF(ISBLANK('Data Entry'!$$70), "", 'Data Entry'!$$70)</f>
      </c>
      <c r="BY70">
        <f>IF(ISBLANK('Data Entry'!$$70), "", 'Data Entry'!$$70)</f>
      </c>
      <c r="BZ70">
        <f>IF(ISBLANK('Data Entry'!$$70), "", 'Data Entry'!$$70)</f>
      </c>
      <c r="CA70">
        <f>IF(ISBLANK('Data Entry'!$$70), "", 'Data Entry'!$$70)</f>
      </c>
      <c r="CB70">
        <f>IF(ISBLANK('Data Entry'!$$70), "", 'Data Entry'!$$70)</f>
      </c>
      <c r="CC70">
        <f>IF(ISBLANK('Data Entry'!$$70), "", 'Data Entry'!$$70)</f>
      </c>
      <c r="CD70">
        <f>IF(ISBLANK('Data Entry'!$$70), "", 'Data Entry'!$$70)</f>
      </c>
      <c r="CE70">
        <f>IF(ISBLANK('Data Entry'!$$70), "", 'Data Entry'!$$70)</f>
      </c>
      <c r="CF70">
        <f>IF(ISBLANK('Data Entry'!$$70), "", 'Data Entry'!$$70)</f>
      </c>
      <c r="CG70">
        <f>IF(ISBLANK('Data Entry'!$$70), "", 'Data Entry'!$$70)</f>
      </c>
      <c r="CH70">
        <f>IF(ISBLANK('Data Entry'!$$70), "", 'Data Entry'!$$70)</f>
      </c>
      <c r="CI70">
        <f>IF(ISBLANK('Data Entry'!$$70), "", 'Data Entry'!$$70)</f>
      </c>
      <c r="CJ70">
        <f>IF(ISBLANK('Data Entry'!$$70), "", 'Data Entry'!$$70)</f>
      </c>
      <c r="CK70">
        <f>IF(ISBLANK('Data Entry'!$$70), "", 'Data Entry'!$$70)</f>
      </c>
      <c r="CL70">
        <f>IF(ISBLANK('Data Entry'!$$70), "", 'Data Entry'!$$70)</f>
      </c>
      <c r="CM70">
        <f>IF(ISBLANK('Data Entry'!$$70), "", 'Data Entry'!$$70)</f>
      </c>
      <c r="CN70">
        <f>IF(ISBLANK('Data Entry'!$$70), "", 'Data Entry'!$$70)</f>
      </c>
      <c r="CO70">
        <f>IF(ISBLANK('Data Entry'!$$70), "", 'Data Entry'!$$70)</f>
      </c>
      <c r="CP70">
        <f>IF(ISBLANK('Data Entry'!$$70), "", 'Data Entry'!$$70)</f>
      </c>
      <c r="CQ70">
        <f>IF(ISBLANK('Data Entry'!$$70), "", 'Data Entry'!$$70)</f>
      </c>
      <c r="CR70">
        <f>IF(ISBLANK('Data Entry'!$ $70), "", 'Data Entry'!$ $70)</f>
      </c>
      <c r="CS70">
        <f>IF(ISBLANK('Data Entry'!$¡$70), "", 'Data Entry'!$¡$70)</f>
      </c>
      <c r="CT70">
        <f>IF(ISBLANK('Data Entry'!$¢$70), "", 'Data Entry'!$¢$70)</f>
      </c>
      <c r="CU70">
        <f>IF(ISBLANK('Data Entry'!$£$70), "", 'Data Entry'!$£$70)</f>
      </c>
      <c r="CV70">
        <f>IF(ISBLANK('Data Entry'!$¤$70), "", 'Data Entry'!$¤$70)</f>
      </c>
      <c r="CW70">
        <f>IF(ISBLANK('Data Entry'!$¥$70), "", 'Data Entry'!$¥$70)</f>
      </c>
      <c r="CX70">
        <f>IF(ISBLANK('Data Entry'!$¦$70), "", 'Data Entry'!$¦$70)</f>
      </c>
      <c r="CY70">
        <f>IF(ISBLANK('Data Entry'!$§$70), "", 'Data Entry'!$§$70)</f>
      </c>
      <c r="CZ70">
        <f>IF(ISBLANK('Data Entry'!$¨$70), "", 'Data Entry'!$¨$70)</f>
      </c>
      <c r="DA70">
        <f>IF(ISBLANK('Data Entry'!$©$70), "", 'Data Entry'!$©$70)</f>
      </c>
      <c r="DB70">
        <f>IF(ISBLANK('Data Entry'!$ª$70), "", 'Data Entry'!$ª$70)</f>
      </c>
      <c r="DC70">
        <f>IF(ISBLANK('Data Entry'!$«$70), "", 'Data Entry'!$«$70)</f>
      </c>
      <c r="DD70">
        <f>IF(ISBLANK('Data Entry'!$¬$70), "", 'Data Entry'!$¬$70)</f>
      </c>
      <c r="DE70">
        <f>IF(ISBLANK('Data Entry'!$­$70), "", 'Data Entry'!$­$70)</f>
      </c>
      <c r="DF70">
        <f>IF(ISBLANK('Data Entry'!$®$70), "", 'Data Entry'!$®$70)</f>
      </c>
      <c r="DG70">
        <f>IF(ISBLANK('Data Entry'!$¯$70), "", 'Data Entry'!$¯$70)</f>
      </c>
      <c r="DH70">
        <f>IF(ISBLANK('Data Entry'!$°$70), "", 'Data Entry'!$°$70)</f>
      </c>
      <c r="DI70">
        <f>IF(ISBLANK('Data Entry'!$±$70), "", 'Data Entry'!$±$70)</f>
      </c>
      <c r="DJ70">
        <f>IF(ISBLANK('Data Entry'!$²$70), "", 'Data Entry'!$²$70)</f>
      </c>
      <c r="DK70">
        <f>IF(ISBLANK('Data Entry'!$³$70), "", 'Data Entry'!$³$70)</f>
      </c>
      <c r="DL70">
        <f>IF(ISBLANK('Data Entry'!$´$70), "", 'Data Entry'!$´$70)</f>
      </c>
      <c r="DM70">
        <f>IF(ISBLANK('Data Entry'!$µ$70), "", 'Data Entry'!$µ$70)</f>
      </c>
      <c r="DN70">
        <f>IF(ISBLANK('Data Entry'!$¶$70), "", 'Data Entry'!$¶$70)</f>
      </c>
      <c r="DO70">
        <f>IF(ISBLANK('Data Entry'!$·$70), "", 'Data Entry'!$·$70)</f>
      </c>
      <c r="DP70">
        <f>IF(ISBLANK('Data Entry'!$¸$70), "", 'Data Entry'!$¸$70)</f>
      </c>
      <c r="DQ70">
        <f>IF(ISBLANK('Data Entry'!$¹$70), "", 'Data Entry'!$¹$70)</f>
      </c>
      <c r="DR70">
        <f>IF(ISBLANK('Data Entry'!$º$70), "", 'Data Entry'!$º$70)</f>
      </c>
      <c r="DS70">
        <f>IF(ISBLANK('Data Entry'!$»$70), "", 'Data Entry'!$»$70)</f>
      </c>
      <c r="DT70">
        <f>IF(ISBLANK('Data Entry'!$¼$70), "", 'Data Entry'!$¼$70)</f>
      </c>
      <c r="DU70">
        <f>IF(ISBLANK('Data Entry'!$½$70), "", 'Data Entry'!$½$70)</f>
      </c>
      <c r="DV70">
        <f>IF(ISBLANK('Data Entry'!$¾$70), "", 'Data Entry'!$¾$70)</f>
      </c>
      <c r="DW70">
        <f>IF(ISBLANK('Data Entry'!$¿$70), "", 'Data Entry'!$¿$70)</f>
      </c>
      <c r="DX70">
        <f>IF(ISBLANK('Data Entry'!$À$70), "", 'Data Entry'!$À$70)</f>
      </c>
      <c r="DY70">
        <f>IF(ISBLANK('Data Entry'!$Á$70), "", 'Data Entry'!$Á$70)</f>
      </c>
      <c r="DZ70">
        <f>IF(ISBLANK('Data Entry'!$Â$70), "", 'Data Entry'!$Â$70)</f>
      </c>
      <c r="EA70">
        <f>IF(ISBLANK('Data Entry'!$Ã$70), "", 'Data Entry'!$Ã$70)</f>
      </c>
      <c r="EB70">
        <f>IF(ISBLANK('Data Entry'!$Ä$70), "", 'Data Entry'!$Ä$70)</f>
      </c>
      <c r="EC70">
        <f>IF(ISBLANK('Data Entry'!$Å$70), "", 'Data Entry'!$Å$70)</f>
      </c>
      <c r="ED70">
        <f>IF(ISBLANK('Data Entry'!$Æ$70), "", 'Data Entry'!$Æ$70)</f>
      </c>
      <c r="EE70">
        <f>IF(ISBLANK('Data Entry'!$Ç$70), "", 'Data Entry'!$Ç$70)</f>
      </c>
      <c r="EF70">
        <f>IF(ISBLANK('Data Entry'!$È$70), "", 'Data Entry'!$È$70)</f>
      </c>
      <c r="EG70">
        <f>IF(ISBLANK('Data Entry'!$É$70), "", 'Data Entry'!$É$70)</f>
      </c>
      <c r="EH70">
        <f>IF(ISBLANK('Data Entry'!$Ê$70), "", 'Data Entry'!$Ê$70)</f>
      </c>
      <c r="EI70">
        <f>IF(ISBLANK('Data Entry'!$Ë$70), "", 'Data Entry'!$Ë$70)</f>
      </c>
      <c r="EJ70">
        <f>IF(ISBLANK('Data Entry'!$Ì$70), "", 'Data Entry'!$Ì$70)</f>
      </c>
      <c r="EK70">
        <f>IF(ISBLANK('Data Entry'!$Í$70), "", 'Data Entry'!$Í$70)</f>
      </c>
      <c r="EL70">
        <f>IF(ISBLANK('Data Entry'!$Î$70), "", 'Data Entry'!$Î$70)</f>
      </c>
      <c r="EM70">
        <f>IF(ISBLANK('Data Entry'!$Ï$70), "", 'Data Entry'!$Ï$70)</f>
      </c>
      <c r="EN70">
        <f>IF(ISBLANK('Data Entry'!$Ð$70), "", 'Data Entry'!$Ð$70)</f>
      </c>
      <c r="EO70">
        <f>IF(ISBLANK('Data Entry'!$Ñ$70), "", 'Data Entry'!$Ñ$70)</f>
      </c>
      <c r="EP70">
        <f>IF(ISBLANK('Data Entry'!$Ò$70), "", 'Data Entry'!$Ò$70)</f>
      </c>
      <c r="EQ70">
        <f>IF(ISBLANK('Data Entry'!$Ó$70), "", 'Data Entry'!$Ó$70)</f>
      </c>
      <c r="ER70">
        <f>IF(ISBLANK('Data Entry'!$Ô$70), "", 'Data Entry'!$Ô$70)</f>
      </c>
      <c r="ES70">
        <f>IF(ISBLANK('Data Entry'!$Õ$70), "", 'Data Entry'!$Õ$70)</f>
      </c>
      <c r="ET70">
        <f>IF(ISBLANK('Data Entry'!$Ö$70), "", 'Data Entry'!$Ö$70)</f>
      </c>
      <c r="EU70">
        <f>IF(ISBLANK('Data Entry'!$×$70), "", 'Data Entry'!$×$70)</f>
      </c>
      <c r="EV70">
        <f>IF(ISBLANK('Data Entry'!$Ø$70), "", 'Data Entry'!$Ø$70)</f>
      </c>
      <c r="EW70">
        <f>IF(ISBLANK('Data Entry'!$Ù$70), "", 'Data Entry'!$Ù$70)</f>
      </c>
      <c r="EX70">
        <f>IF(ISBLANK('Data Entry'!$Ú$70), "", 'Data Entry'!$Ú$70)</f>
      </c>
      <c r="EY70">
        <f>IF(ISBLANK('Data Entry'!$Û$70), "", 'Data Entry'!$Û$70)</f>
      </c>
      <c r="EZ70">
        <f>IF(ISBLANK('Data Entry'!$Ü$70), "", 'Data Entry'!$Ü$70)</f>
      </c>
      <c r="FA70">
        <f>IF(ISBLANK('Data Entry'!$Ý$70), "", 'Data Entry'!$Ý$70)</f>
      </c>
      <c r="FB70">
        <f>IF(ISBLANK('Data Entry'!$Þ$70), "", 'Data Entry'!$Þ$70)</f>
      </c>
      <c r="FC70">
        <f>IF(ISBLANK('Data Entry'!$ß$70), "", 'Data Entry'!$ß$70)</f>
      </c>
      <c r="FD70">
        <f>IF(ISBLANK('Data Entry'!$à$70), "", 'Data Entry'!$à$70)</f>
      </c>
      <c r="FE70">
        <f>IF(ISBLANK('Data Entry'!$á$70), "", 'Data Entry'!$á$70)</f>
      </c>
      <c r="FF70">
        <f>IF(ISBLANK('Data Entry'!$â$70), "", 'Data Entry'!$â$70)</f>
      </c>
      <c r="FG70">
        <f>IF(ISBLANK('Data Entry'!$ã$70), "", 'Data Entry'!$ã$70)</f>
      </c>
      <c r="FH70">
        <f>IF(ISBLANK('Data Entry'!$ä$70), "", 'Data Entry'!$ä$70)</f>
      </c>
      <c r="FI70">
        <f>IF(ISBLANK('Data Entry'!$å$70), "", 'Data Entry'!$å$70)</f>
      </c>
      <c r="FJ70">
        <f>IF(ISBLANK('Data Entry'!$æ$70), "", 'Data Entry'!$æ$70)</f>
      </c>
      <c r="FK70">
        <f>IF(ISBLANK('Data Entry'!$ç$70), "", 'Data Entry'!$ç$70)</f>
      </c>
      <c r="FL70">
        <f>IF(ISBLANK('Data Entry'!$è$70), "", 'Data Entry'!$è$70)</f>
      </c>
      <c r="FM70">
        <f>IF(ISBLANK('Data Entry'!$é$70), "", 'Data Entry'!$é$70)</f>
      </c>
      <c r="FN70">
        <f>IF(ISBLANK('Data Entry'!$ê$70), "", 'Data Entry'!$ê$70)</f>
      </c>
      <c r="FO70">
        <f>IF(ISBLANK('Data Entry'!$ë$70), "", 'Data Entry'!$ë$70)</f>
      </c>
      <c r="FP70">
        <f>IF(ISBLANK('Data Entry'!$ì$70), "", 'Data Entry'!$ì$70)</f>
      </c>
      <c r="FQ70">
        <f>IF(ISBLANK('Data Entry'!$í$70), "", 'Data Entry'!$í$70)</f>
      </c>
      <c r="FR70">
        <f>IF(ISBLANK('Data Entry'!$î$70), "", 'Data Entry'!$î$70)</f>
      </c>
      <c r="FS70">
        <f>IF(ISBLANK('Data Entry'!$ï$70), "", 'Data Entry'!$ï$70)</f>
      </c>
      <c r="FT70">
        <f>IF(ISBLANK('Data Entry'!$ð$70), "", 'Data Entry'!$ð$70)</f>
      </c>
      <c r="FU70">
        <f>IF(ISBLANK('Data Entry'!$ñ$70), "", 'Data Entry'!$ñ$70)</f>
      </c>
      <c r="FV70">
        <f>IF(ISBLANK('Data Entry'!$ò$70), "", 'Data Entry'!$ò$70)</f>
      </c>
      <c r="FW70">
        <f>IF(ISBLANK('Data Entry'!$ó$70), "", 'Data Entry'!$ó$70)</f>
      </c>
      <c r="FX70">
        <f>IF(ISBLANK('Data Entry'!$ô$70), "", 'Data Entry'!$ô$70)</f>
      </c>
      <c r="FY70">
        <f>IF(ISBLANK('Data Entry'!$õ$70), "", 'Data Entry'!$õ$70)</f>
      </c>
      <c r="FZ70">
        <f>IF(ISBLANK('Data Entry'!$ö$70), "", 'Data Entry'!$ö$70)</f>
      </c>
      <c r="GA70">
        <f>IF(ISBLANK('Data Entry'!$÷$70), "", 'Data Entry'!$÷$70)</f>
      </c>
      <c r="GB70">
        <f>IF(ISBLANK('Data Entry'!$ø$70), "", 'Data Entry'!$ø$70)</f>
      </c>
      <c r="GC70">
        <f>IF(ISBLANK('Data Entry'!$ù$70), "", 'Data Entry'!$ù$70)</f>
      </c>
      <c r="GD70">
        <f>IF(ISBLANK('Data Entry'!$ú$70), "", 'Data Entry'!$ú$70)</f>
      </c>
      <c r="GE70">
        <f>IF(ISBLANK('Data Entry'!$û$70), "", 'Data Entry'!$û$70)</f>
      </c>
      <c r="GF70">
        <f>IF(ISBLANK('Data Entry'!$ü$70), "", 'Data Entry'!$ü$70)</f>
      </c>
      <c r="GG70">
        <f>IF(ISBLANK('Data Entry'!$ý$70), "", 'Data Entry'!$ý$70)</f>
      </c>
      <c r="GH70">
        <f>IF(ISBLANK('Data Entry'!$þ$70), "", 'Data Entry'!$þ$70)</f>
      </c>
      <c r="GI70">
        <f>IF(ISBLANK('Data Entry'!$ÿ$70), "", 'Data Entry'!$ÿ$70)</f>
      </c>
      <c r="GJ70">
        <f>IF(ISBLANK('Data Entry'!$Ā$70), "", 'Data Entry'!$Ā$70)</f>
      </c>
      <c r="GK70">
        <f>IF(ISBLANK('Data Entry'!$ā$70), "", 'Data Entry'!$ā$70)</f>
      </c>
      <c r="GL70">
        <f>IF(ISBLANK('Data Entry'!$Ă$70), "", 'Data Entry'!$Ă$70)</f>
      </c>
      <c r="GM70">
        <f>IF(ISBLANK('Data Entry'!$ă$70), "", 'Data Entry'!$ă$70)</f>
      </c>
      <c r="GN70">
        <f>IF(ISBLANK('Data Entry'!$Ą$70), "", 'Data Entry'!$Ą$70)</f>
      </c>
      <c r="GO70">
        <f>IF(ISBLANK('Data Entry'!$ą$70), "", 'Data Entry'!$ą$70)</f>
      </c>
      <c r="GP70">
        <f>IF(ISBLANK('Data Entry'!$Ć$70), "", 'Data Entry'!$Ć$70)</f>
      </c>
      <c r="GQ70">
        <f>IF(ISBLANK('Data Entry'!$ć$70), "", 'Data Entry'!$ć$70)</f>
      </c>
      <c r="GR70">
        <f>IF(ISBLANK('Data Entry'!$Ĉ$70), "", 'Data Entry'!$Ĉ$70)</f>
      </c>
      <c r="GS70">
        <f>IF(ISBLANK('Data Entry'!$ĉ$70), "", 'Data Entry'!$ĉ$70)</f>
      </c>
      <c r="GT70">
        <f>IF(ISBLANK('Data Entry'!$Ċ$70), "", 'Data Entry'!$Ċ$70)</f>
      </c>
      <c r="GU70">
        <f>IF(ISBLANK('Data Entry'!$ċ$70), "", 'Data Entry'!$ċ$70)</f>
      </c>
      <c r="GV70">
        <f>IF(ISBLANK('Data Entry'!$Č$70), "", 'Data Entry'!$Č$70)</f>
      </c>
      <c r="GW70">
        <f>IF(ISBLANK('Data Entry'!$č$70), "", 'Data Entry'!$č$70)</f>
      </c>
      <c r="GX70">
        <f>IF(ISBLANK('Data Entry'!$Ď$70), "", 'Data Entry'!$Ď$70)</f>
      </c>
      <c r="GY70">
        <f>IF(ISBLANK('Data Entry'!$ď$70), "", 'Data Entry'!$ď$70)</f>
      </c>
      <c r="GZ70">
        <f>IF(ISBLANK('Data Entry'!$Đ$70), "", 'Data Entry'!$Đ$70)</f>
      </c>
      <c r="HA70">
        <f>IF(ISBLANK('Data Entry'!$đ$70), "", 'Data Entry'!$đ$70)</f>
      </c>
      <c r="HB70">
        <f>IF(ISBLANK('Data Entry'!$Ē$70), "", 'Data Entry'!$Ē$70)</f>
      </c>
      <c r="HC70">
        <f>IF(ISBLANK('Data Entry'!$ē$70), "", 'Data Entry'!$ē$70)</f>
      </c>
      <c r="HD70">
        <f>IF(ISBLANK('Data Entry'!$Ĕ$70), "", 'Data Entry'!$Ĕ$70)</f>
      </c>
      <c r="HE70">
        <f>IF(ISBLANK('Data Entry'!$ĕ$70), "", 'Data Entry'!$ĕ$70)</f>
      </c>
      <c r="HF70">
        <f>IF(ISBLANK('Data Entry'!$Ė$70), "", 'Data Entry'!$Ė$70)</f>
      </c>
      <c r="HG70">
        <f>IF(ISBLANK('Data Entry'!$ė$70), "", 'Data Entry'!$ė$70)</f>
      </c>
      <c r="HH70">
        <f>IF(ISBLANK('Data Entry'!$Ę$70), "", 'Data Entry'!$Ę$70)</f>
      </c>
      <c r="HI70">
        <f>IF(ISBLANK('Data Entry'!$ę$70), "", 'Data Entry'!$ę$70)</f>
      </c>
      <c r="HJ70">
        <f>IF(ISBLANK('Data Entry'!$Ě$70), "", 'Data Entry'!$Ě$70)</f>
      </c>
      <c r="HK70">
        <f>IF(ISBLANK('Data Entry'!$ě$70), "", 'Data Entry'!$ě$70)</f>
      </c>
      <c r="HL70">
        <f>IF(ISBLANK('Data Entry'!$Ĝ$70), "", 'Data Entry'!$Ĝ$70)</f>
      </c>
      <c r="HM70">
        <f>IF(ISBLANK('Data Entry'!$ĝ$70), "", 'Data Entry'!$ĝ$70)</f>
      </c>
      <c r="HN70">
        <f>IF(ISBLANK('Data Entry'!$Ğ$70), "", 'Data Entry'!$Ğ$70)</f>
      </c>
      <c r="HO70">
        <f>IF(ISBLANK('Data Entry'!$ğ$70), "", 'Data Entry'!$ğ$70)</f>
      </c>
      <c r="HP70">
        <f>IF(ISBLANK('Data Entry'!$Ġ$70), "", 'Data Entry'!$Ġ$70)</f>
      </c>
      <c r="HQ70">
        <f>IF(ISBLANK('Data Entry'!$ġ$70), "", 'Data Entry'!$ġ$70)</f>
      </c>
      <c r="HR70">
        <f>IF(ISBLANK('Data Entry'!$Ģ$70), "", 'Data Entry'!$Ģ$70)</f>
      </c>
      <c r="HS70">
        <f>IF(ISBLANK('Data Entry'!$ģ$70), "", 'Data Entry'!$ģ$70)</f>
      </c>
      <c r="HT70">
        <f>IF(ISBLANK('Data Entry'!$Ĥ$70), "", 'Data Entry'!$Ĥ$70)</f>
      </c>
      <c r="HU70">
        <f>IF(ISBLANK('Data Entry'!$ĥ$70), "", 'Data Entry'!$ĥ$70)</f>
      </c>
      <c r="HV70">
        <f>IF(ISBLANK('Data Entry'!$Ħ$70), "", 'Data Entry'!$Ħ$70)</f>
      </c>
      <c r="HW70">
        <f>IF(ISBLANK('Data Entry'!$ħ$70), "", 'Data Entry'!$ħ$70)</f>
      </c>
      <c r="HX70">
        <f>IF(ISBLANK('Data Entry'!$Ĩ$70), "", 'Data Entry'!$Ĩ$70)</f>
      </c>
      <c r="HY70">
        <f>IF(ISBLANK('Data Entry'!$ĩ$70), "", 'Data Entry'!$ĩ$70)</f>
      </c>
      <c r="HZ70">
        <f>IF(ISBLANK('Data Entry'!$Ī$70), "", 'Data Entry'!$Ī$70)</f>
      </c>
      <c r="IA70">
        <f>IF(ISBLANK('Data Entry'!$ī$70), "", 'Data Entry'!$ī$70)</f>
      </c>
      <c r="IB70">
        <f>IF(ISBLANK('Data Entry'!$Ĭ$70), "", 'Data Entry'!$Ĭ$70)</f>
      </c>
      <c r="IC70">
        <f>IF(ISBLANK('Data Entry'!$ĭ$70), "", 'Data Entry'!$ĭ$70)</f>
      </c>
      <c r="ID70">
        <f>IF(ISBLANK('Data Entry'!$Į$70), "", 'Data Entry'!$Į$70)</f>
      </c>
      <c r="IE70">
        <f>IF(ISBLANK('Data Entry'!$į$70), "", 'Data Entry'!$į$70)</f>
      </c>
      <c r="IF70">
        <f>IF(ISBLANK('Data Entry'!$İ$70), "", 'Data Entry'!$İ$70)</f>
      </c>
      <c r="IG70">
        <f>IF(ISBLANK('Data Entry'!$ı$70), "", 'Data Entry'!$ı$70)</f>
      </c>
      <c r="IH70">
        <f>IF(ISBLANK('Data Entry'!$Ĳ$70), "", 'Data Entry'!$Ĳ$70)</f>
      </c>
      <c r="II70">
        <f>IF(ISBLANK('Data Entry'!$ĳ$70), "", 'Data Entry'!$ĳ$70)</f>
      </c>
      <c r="IJ70">
        <f>IF(ISBLANK('Data Entry'!$Ĵ$70), "", 'Data Entry'!$Ĵ$70)</f>
      </c>
      <c r="IK70">
        <f>IF(ISBLANK('Data Entry'!$ĵ$70), "", 'Data Entry'!$ĵ$70)</f>
      </c>
      <c r="IL70">
        <f>IF(ISBLANK('Data Entry'!$Ķ$70), "", 'Data Entry'!$Ķ$70)</f>
      </c>
      <c r="IM70">
        <f>IF(ISBLANK('Data Entry'!$ķ$70), "", 'Data Entry'!$ķ$70)</f>
      </c>
      <c r="IN70">
        <f>IF(ISBLANK('Data Entry'!$ĸ$70), "", 'Data Entry'!$ĸ$70)</f>
      </c>
      <c r="IO70">
        <f>IF(ISBLANK('Data Entry'!$Ĺ$70), "", 'Data Entry'!$Ĺ$70)</f>
      </c>
      <c r="IP70">
        <f>IF(ISBLANK('Data Entry'!$ĺ$70), "", 'Data Entry'!$ĺ$70)</f>
      </c>
      <c r="IQ70">
        <f>IF(ISBLANK('Data Entry'!$Ļ$70), "", 'Data Entry'!$Ļ$70)</f>
      </c>
      <c r="IR70">
        <f>IF(ISBLANK('Data Entry'!$ļ$70), "", 'Data Entry'!$ļ$70)</f>
      </c>
      <c r="IS70">
        <f>IF(ISBLANK('Data Entry'!$Ľ$70), "", 'Data Entry'!$Ľ$70)</f>
      </c>
      <c r="IT70">
        <f>IF(ISBLANK('Data Entry'!$ľ$70), "", 'Data Entry'!$ľ$70)</f>
      </c>
    </row>
    <row r="71" spans="1:254" x14ac:dyDescent="0.25">
      <c r="A71">
        <f>IF(ISBLANK('Data Entry'!$A$71), "", 'Data Entry'!$A$71)</f>
      </c>
      <c r="B71">
        <f>IF(ISBLANK('Data Entry'!$B$71), "", 'Data Entry'!$B$71)</f>
      </c>
      <c r="C71">
        <f>IF(ISBLANK('Data Entry'!$C$71), "", 'Data Entry'!$C$71)</f>
      </c>
      <c r="D71">
        <f>IF(ISBLANK('Data Entry'!$D$71), "", 'Data Entry'!$D$71)</f>
      </c>
      <c r="E71">
        <f>IF(ISBLANK('Data Entry'!$E$71), "", 'Data Entry'!$E$71)</f>
      </c>
      <c r="F71">
        <f>IF(ISBLANK('Data Entry'!$F$71), "", 'Data Entry'!$F$71)</f>
      </c>
      <c r="G71">
        <f>IF(ISBLANK('Data Entry'!$G$71), "", 'Data Entry'!$G$71)</f>
      </c>
      <c r="H71">
        <f>IF(ISBLANK('Data Entry'!$H$71), "", 'Data Entry'!$H$71)</f>
      </c>
      <c r="I71">
        <f>IF(ISBLANK('Data Entry'!$I$71), "", 'Data Entry'!$I$71)</f>
      </c>
      <c r="J71">
        <f>IF(ISBLANK('Data Entry'!$J$71), "", 'Data Entry'!$J$71)</f>
      </c>
      <c r="K71">
        <f>IF(ISBLANK('Data Entry'!$K$71), "", 'Data Entry'!$K$71)</f>
      </c>
      <c r="L71">
        <f>IF(ISBLANK('Data Entry'!$L$71), "", 'Data Entry'!$L$71)</f>
      </c>
      <c r="M71">
        <f>IF(ISBLANK('Data Entry'!$M$71), "", 'Data Entry'!$M$71)</f>
      </c>
      <c r="N71">
        <f>IF(ISBLANK('Data Entry'!$N$71), "", 'Data Entry'!$N$71)</f>
      </c>
      <c r="O71">
        <f>IF(ISBLANK('Data Entry'!$O$71), "", 'Data Entry'!$O$71)</f>
      </c>
      <c r="P71">
        <f>IF(ISBLANK('Data Entry'!$P$71), "", 'Data Entry'!$P$71)</f>
      </c>
      <c r="Q71">
        <f>IF(ISBLANK('Data Entry'!$Q$71), "", 'Data Entry'!$Q$71)</f>
      </c>
      <c r="R71">
        <f>IF(ISBLANK('Data Entry'!$R$71), "", 'Data Entry'!$R$71)</f>
      </c>
      <c r="S71">
        <f>IF(ISBLANK('Data Entry'!$S$71), "", 'Data Entry'!$S$71)</f>
      </c>
      <c r="T71">
        <f>IF(ISBLANK('Data Entry'!$T$71), "", 'Data Entry'!$T$71)</f>
      </c>
      <c r="U71">
        <f>IF(ISBLANK('Data Entry'!$U$71), "", 'Data Entry'!$U$71)</f>
      </c>
      <c r="V71">
        <f>IF(ISBLANK('Data Entry'!$V$71), "", 'Data Entry'!$V$71)</f>
      </c>
      <c r="W71">
        <f>IF(ISBLANK('Data Entry'!$W$71), "", 'Data Entry'!$W$71)</f>
      </c>
      <c r="X71">
        <f>IF(ISBLANK('Data Entry'!$X$71), "", 'Data Entry'!$X$71)</f>
      </c>
      <c r="Y71">
        <f>IF(ISBLANK('Data Entry'!$Y$71), "", 'Data Entry'!$Y$71)</f>
      </c>
      <c r="Z71">
        <f>IF(ISBLANK('Data Entry'!$Z$71), "", 'Data Entry'!$Z$71)</f>
      </c>
      <c r="AA71">
        <f>IF(ISBLANK('Data Entry'!$[$71), "", 'Data Entry'!$[$71)</f>
      </c>
      <c r="AB71">
        <f>IF(ISBLANK('Data Entry'!$\$71), "", 'Data Entry'!$\$71)</f>
      </c>
      <c r="AC71">
        <f>IF(ISBLANK('Data Entry'!$]$71), "", 'Data Entry'!$]$71)</f>
      </c>
      <c r="AD71">
        <f>IF(ISBLANK('Data Entry'!$^$71), "", 'Data Entry'!$^$71)</f>
      </c>
      <c r="AE71">
        <f>IF(ISBLANK('Data Entry'!$_$71), "", 'Data Entry'!$_$71)</f>
      </c>
      <c r="AF71">
        <f>IF(ISBLANK('Data Entry'!$`$71), "", 'Data Entry'!$`$71)</f>
      </c>
      <c r="AG71">
        <f>IF(ISBLANK('Data Entry'!$a$71), "", 'Data Entry'!$a$71)</f>
      </c>
      <c r="AH71">
        <f>IF(ISBLANK('Data Entry'!$b$71), "", 'Data Entry'!$b$71)</f>
      </c>
      <c r="AI71">
        <f>IF(ISBLANK('Data Entry'!$c$71), "", 'Data Entry'!$c$71)</f>
      </c>
      <c r="AJ71">
        <f>IF(ISBLANK('Data Entry'!$d$71), "", 'Data Entry'!$d$71)</f>
      </c>
      <c r="AK71">
        <f>IF(ISBLANK('Data Entry'!$e$71), "", 'Data Entry'!$e$71)</f>
      </c>
      <c r="AL71">
        <f>IF(ISBLANK('Data Entry'!$f$71), "", 'Data Entry'!$f$71)</f>
      </c>
      <c r="AM71">
        <f>IF(ISBLANK('Data Entry'!$g$71), "", 'Data Entry'!$g$71)</f>
      </c>
      <c r="AN71">
        <f>IF(ISBLANK('Data Entry'!$h$71), "", 'Data Entry'!$h$71)</f>
      </c>
      <c r="AO71">
        <f>IF(ISBLANK('Data Entry'!$i$71), "", 'Data Entry'!$i$71)</f>
      </c>
      <c r="AP71">
        <f>IF(ISBLANK('Data Entry'!$j$71), "", 'Data Entry'!$j$71)</f>
      </c>
      <c r="AQ71">
        <f>IF(ISBLANK('Data Entry'!$k$71), "", 'Data Entry'!$k$71)</f>
      </c>
      <c r="AR71">
        <f>IF(ISBLANK('Data Entry'!$l$71), "", 'Data Entry'!$l$71)</f>
      </c>
      <c r="AS71">
        <f>IF(ISBLANK('Data Entry'!$m$71), "", 'Data Entry'!$m$71)</f>
      </c>
      <c r="AT71">
        <f>IF(ISBLANK('Data Entry'!$n$71), "", 'Data Entry'!$n$71)</f>
      </c>
      <c r="AU71">
        <f>IF(ISBLANK('Data Entry'!$o$71), "", 'Data Entry'!$o$71)</f>
      </c>
      <c r="AV71">
        <f>IF(ISBLANK('Data Entry'!$p$71), "", 'Data Entry'!$p$71)</f>
      </c>
      <c r="AW71">
        <f>IF(ISBLANK('Data Entry'!$q$71), "", 'Data Entry'!$q$71)</f>
      </c>
      <c r="AX71">
        <f>IF(ISBLANK('Data Entry'!$r$71), "", 'Data Entry'!$r$71)</f>
      </c>
      <c r="AY71">
        <f>IF(ISBLANK('Data Entry'!$s$71), "", 'Data Entry'!$s$71)</f>
      </c>
      <c r="AZ71">
        <f>IF(ISBLANK('Data Entry'!$t$71), "", 'Data Entry'!$t$71)</f>
      </c>
      <c r="BA71">
        <f>IF(ISBLANK('Data Entry'!$u$71), "", 'Data Entry'!$u$71)</f>
      </c>
      <c r="BB71">
        <f>IF(ISBLANK('Data Entry'!$v$71), "", 'Data Entry'!$v$71)</f>
      </c>
      <c r="BC71">
        <f>IF(ISBLANK('Data Entry'!$w$71), "", 'Data Entry'!$w$71)</f>
      </c>
      <c r="BD71">
        <f>IF(ISBLANK('Data Entry'!$x$71), "", 'Data Entry'!$x$71)</f>
      </c>
      <c r="BE71">
        <f>IF(ISBLANK('Data Entry'!$y$71), "", 'Data Entry'!$y$71)</f>
      </c>
      <c r="BF71">
        <f>IF(ISBLANK('Data Entry'!$z$71), "", 'Data Entry'!$z$71)</f>
      </c>
      <c r="BG71">
        <f>IF(ISBLANK('Data Entry'!${$71), "", 'Data Entry'!${$71)</f>
      </c>
      <c r="BH71">
        <f>IF(ISBLANK('Data Entry'!$|$71), "", 'Data Entry'!$|$71)</f>
      </c>
      <c r="BI71">
        <f>IF(ISBLANK('Data Entry'!$}$71), "", 'Data Entry'!$}$71)</f>
      </c>
      <c r="BJ71">
        <f>IF(ISBLANK('Data Entry'!$~$71), "", 'Data Entry'!$~$71)</f>
      </c>
      <c r="BK71">
        <f>IF(ISBLANK('Data Entry'!$$71), "", 'Data Entry'!$$71)</f>
      </c>
      <c r="BL71">
        <f>IF(ISBLANK('Data Entry'!$$71), "", 'Data Entry'!$$71)</f>
      </c>
      <c r="BM71">
        <f>IF(ISBLANK('Data Entry'!$$71), "", 'Data Entry'!$$71)</f>
      </c>
      <c r="BN71">
        <f>IF(ISBLANK('Data Entry'!$$71), "", 'Data Entry'!$$71)</f>
      </c>
      <c r="BO71">
        <f>IF(ISBLANK('Data Entry'!$$71), "", 'Data Entry'!$$71)</f>
      </c>
      <c r="BP71">
        <f>IF(ISBLANK('Data Entry'!$$71), "", 'Data Entry'!$$71)</f>
      </c>
      <c r="BQ71">
        <f>IF(ISBLANK('Data Entry'!$$71), "", 'Data Entry'!$$71)</f>
      </c>
      <c r="BR71">
        <f>IF(ISBLANK('Data Entry'!$$71), "", 'Data Entry'!$$71)</f>
      </c>
      <c r="BS71">
        <f>IF(ISBLANK('Data Entry'!$$71), "", 'Data Entry'!$$71)</f>
      </c>
      <c r="BT71">
        <f>IF(ISBLANK('Data Entry'!$$71), "", 'Data Entry'!$$71)</f>
      </c>
      <c r="BU71">
        <f>IF(ISBLANK('Data Entry'!$$71), "", 'Data Entry'!$$71)</f>
      </c>
      <c r="BV71">
        <f>IF(ISBLANK('Data Entry'!$$71), "", 'Data Entry'!$$71)</f>
      </c>
      <c r="BW71">
        <f>IF(ISBLANK('Data Entry'!$$71), "", 'Data Entry'!$$71)</f>
      </c>
      <c r="BX71">
        <f>IF(ISBLANK('Data Entry'!$$71), "", 'Data Entry'!$$71)</f>
      </c>
      <c r="BY71">
        <f>IF(ISBLANK('Data Entry'!$$71), "", 'Data Entry'!$$71)</f>
      </c>
      <c r="BZ71">
        <f>IF(ISBLANK('Data Entry'!$$71), "", 'Data Entry'!$$71)</f>
      </c>
      <c r="CA71">
        <f>IF(ISBLANK('Data Entry'!$$71), "", 'Data Entry'!$$71)</f>
      </c>
      <c r="CB71">
        <f>IF(ISBLANK('Data Entry'!$$71), "", 'Data Entry'!$$71)</f>
      </c>
      <c r="CC71">
        <f>IF(ISBLANK('Data Entry'!$$71), "", 'Data Entry'!$$71)</f>
      </c>
      <c r="CD71">
        <f>IF(ISBLANK('Data Entry'!$$71), "", 'Data Entry'!$$71)</f>
      </c>
      <c r="CE71">
        <f>IF(ISBLANK('Data Entry'!$$71), "", 'Data Entry'!$$71)</f>
      </c>
      <c r="CF71">
        <f>IF(ISBLANK('Data Entry'!$$71), "", 'Data Entry'!$$71)</f>
      </c>
      <c r="CG71">
        <f>IF(ISBLANK('Data Entry'!$$71), "", 'Data Entry'!$$71)</f>
      </c>
      <c r="CH71">
        <f>IF(ISBLANK('Data Entry'!$$71), "", 'Data Entry'!$$71)</f>
      </c>
      <c r="CI71">
        <f>IF(ISBLANK('Data Entry'!$$71), "", 'Data Entry'!$$71)</f>
      </c>
      <c r="CJ71">
        <f>IF(ISBLANK('Data Entry'!$$71), "", 'Data Entry'!$$71)</f>
      </c>
      <c r="CK71">
        <f>IF(ISBLANK('Data Entry'!$$71), "", 'Data Entry'!$$71)</f>
      </c>
      <c r="CL71">
        <f>IF(ISBLANK('Data Entry'!$$71), "", 'Data Entry'!$$71)</f>
      </c>
      <c r="CM71">
        <f>IF(ISBLANK('Data Entry'!$$71), "", 'Data Entry'!$$71)</f>
      </c>
      <c r="CN71">
        <f>IF(ISBLANK('Data Entry'!$$71), "", 'Data Entry'!$$71)</f>
      </c>
      <c r="CO71">
        <f>IF(ISBLANK('Data Entry'!$$71), "", 'Data Entry'!$$71)</f>
      </c>
      <c r="CP71">
        <f>IF(ISBLANK('Data Entry'!$$71), "", 'Data Entry'!$$71)</f>
      </c>
      <c r="CQ71">
        <f>IF(ISBLANK('Data Entry'!$$71), "", 'Data Entry'!$$71)</f>
      </c>
      <c r="CR71">
        <f>IF(ISBLANK('Data Entry'!$ $71), "", 'Data Entry'!$ $71)</f>
      </c>
      <c r="CS71">
        <f>IF(ISBLANK('Data Entry'!$¡$71), "", 'Data Entry'!$¡$71)</f>
      </c>
      <c r="CT71">
        <f>IF(ISBLANK('Data Entry'!$¢$71), "", 'Data Entry'!$¢$71)</f>
      </c>
      <c r="CU71">
        <f>IF(ISBLANK('Data Entry'!$£$71), "", 'Data Entry'!$£$71)</f>
      </c>
      <c r="CV71">
        <f>IF(ISBLANK('Data Entry'!$¤$71), "", 'Data Entry'!$¤$71)</f>
      </c>
      <c r="CW71">
        <f>IF(ISBLANK('Data Entry'!$¥$71), "", 'Data Entry'!$¥$71)</f>
      </c>
      <c r="CX71">
        <f>IF(ISBLANK('Data Entry'!$¦$71), "", 'Data Entry'!$¦$71)</f>
      </c>
      <c r="CY71">
        <f>IF(ISBLANK('Data Entry'!$§$71), "", 'Data Entry'!$§$71)</f>
      </c>
      <c r="CZ71">
        <f>IF(ISBLANK('Data Entry'!$¨$71), "", 'Data Entry'!$¨$71)</f>
      </c>
      <c r="DA71">
        <f>IF(ISBLANK('Data Entry'!$©$71), "", 'Data Entry'!$©$71)</f>
      </c>
      <c r="DB71">
        <f>IF(ISBLANK('Data Entry'!$ª$71), "", 'Data Entry'!$ª$71)</f>
      </c>
      <c r="DC71">
        <f>IF(ISBLANK('Data Entry'!$«$71), "", 'Data Entry'!$«$71)</f>
      </c>
      <c r="DD71">
        <f>IF(ISBLANK('Data Entry'!$¬$71), "", 'Data Entry'!$¬$71)</f>
      </c>
      <c r="DE71">
        <f>IF(ISBLANK('Data Entry'!$­$71), "", 'Data Entry'!$­$71)</f>
      </c>
      <c r="DF71">
        <f>IF(ISBLANK('Data Entry'!$®$71), "", 'Data Entry'!$®$71)</f>
      </c>
      <c r="DG71">
        <f>IF(ISBLANK('Data Entry'!$¯$71), "", 'Data Entry'!$¯$71)</f>
      </c>
      <c r="DH71">
        <f>IF(ISBLANK('Data Entry'!$°$71), "", 'Data Entry'!$°$71)</f>
      </c>
      <c r="DI71">
        <f>IF(ISBLANK('Data Entry'!$±$71), "", 'Data Entry'!$±$71)</f>
      </c>
      <c r="DJ71">
        <f>IF(ISBLANK('Data Entry'!$²$71), "", 'Data Entry'!$²$71)</f>
      </c>
      <c r="DK71">
        <f>IF(ISBLANK('Data Entry'!$³$71), "", 'Data Entry'!$³$71)</f>
      </c>
      <c r="DL71">
        <f>IF(ISBLANK('Data Entry'!$´$71), "", 'Data Entry'!$´$71)</f>
      </c>
      <c r="DM71">
        <f>IF(ISBLANK('Data Entry'!$µ$71), "", 'Data Entry'!$µ$71)</f>
      </c>
      <c r="DN71">
        <f>IF(ISBLANK('Data Entry'!$¶$71), "", 'Data Entry'!$¶$71)</f>
      </c>
      <c r="DO71">
        <f>IF(ISBLANK('Data Entry'!$·$71), "", 'Data Entry'!$·$71)</f>
      </c>
      <c r="DP71">
        <f>IF(ISBLANK('Data Entry'!$¸$71), "", 'Data Entry'!$¸$71)</f>
      </c>
      <c r="DQ71">
        <f>IF(ISBLANK('Data Entry'!$¹$71), "", 'Data Entry'!$¹$71)</f>
      </c>
      <c r="DR71">
        <f>IF(ISBLANK('Data Entry'!$º$71), "", 'Data Entry'!$º$71)</f>
      </c>
      <c r="DS71">
        <f>IF(ISBLANK('Data Entry'!$»$71), "", 'Data Entry'!$»$71)</f>
      </c>
      <c r="DT71">
        <f>IF(ISBLANK('Data Entry'!$¼$71), "", 'Data Entry'!$¼$71)</f>
      </c>
      <c r="DU71">
        <f>IF(ISBLANK('Data Entry'!$½$71), "", 'Data Entry'!$½$71)</f>
      </c>
      <c r="DV71">
        <f>IF(ISBLANK('Data Entry'!$¾$71), "", 'Data Entry'!$¾$71)</f>
      </c>
      <c r="DW71">
        <f>IF(ISBLANK('Data Entry'!$¿$71), "", 'Data Entry'!$¿$71)</f>
      </c>
      <c r="DX71">
        <f>IF(ISBLANK('Data Entry'!$À$71), "", 'Data Entry'!$À$71)</f>
      </c>
      <c r="DY71">
        <f>IF(ISBLANK('Data Entry'!$Á$71), "", 'Data Entry'!$Á$71)</f>
      </c>
      <c r="DZ71">
        <f>IF(ISBLANK('Data Entry'!$Â$71), "", 'Data Entry'!$Â$71)</f>
      </c>
      <c r="EA71">
        <f>IF(ISBLANK('Data Entry'!$Ã$71), "", 'Data Entry'!$Ã$71)</f>
      </c>
      <c r="EB71">
        <f>IF(ISBLANK('Data Entry'!$Ä$71), "", 'Data Entry'!$Ä$71)</f>
      </c>
      <c r="EC71">
        <f>IF(ISBLANK('Data Entry'!$Å$71), "", 'Data Entry'!$Å$71)</f>
      </c>
      <c r="ED71">
        <f>IF(ISBLANK('Data Entry'!$Æ$71), "", 'Data Entry'!$Æ$71)</f>
      </c>
      <c r="EE71">
        <f>IF(ISBLANK('Data Entry'!$Ç$71), "", 'Data Entry'!$Ç$71)</f>
      </c>
      <c r="EF71">
        <f>IF(ISBLANK('Data Entry'!$È$71), "", 'Data Entry'!$È$71)</f>
      </c>
      <c r="EG71">
        <f>IF(ISBLANK('Data Entry'!$É$71), "", 'Data Entry'!$É$71)</f>
      </c>
      <c r="EH71">
        <f>IF(ISBLANK('Data Entry'!$Ê$71), "", 'Data Entry'!$Ê$71)</f>
      </c>
      <c r="EI71">
        <f>IF(ISBLANK('Data Entry'!$Ë$71), "", 'Data Entry'!$Ë$71)</f>
      </c>
      <c r="EJ71">
        <f>IF(ISBLANK('Data Entry'!$Ì$71), "", 'Data Entry'!$Ì$71)</f>
      </c>
      <c r="EK71">
        <f>IF(ISBLANK('Data Entry'!$Í$71), "", 'Data Entry'!$Í$71)</f>
      </c>
      <c r="EL71">
        <f>IF(ISBLANK('Data Entry'!$Î$71), "", 'Data Entry'!$Î$71)</f>
      </c>
      <c r="EM71">
        <f>IF(ISBLANK('Data Entry'!$Ï$71), "", 'Data Entry'!$Ï$71)</f>
      </c>
      <c r="EN71">
        <f>IF(ISBLANK('Data Entry'!$Ð$71), "", 'Data Entry'!$Ð$71)</f>
      </c>
      <c r="EO71">
        <f>IF(ISBLANK('Data Entry'!$Ñ$71), "", 'Data Entry'!$Ñ$71)</f>
      </c>
      <c r="EP71">
        <f>IF(ISBLANK('Data Entry'!$Ò$71), "", 'Data Entry'!$Ò$71)</f>
      </c>
      <c r="EQ71">
        <f>IF(ISBLANK('Data Entry'!$Ó$71), "", 'Data Entry'!$Ó$71)</f>
      </c>
      <c r="ER71">
        <f>IF(ISBLANK('Data Entry'!$Ô$71), "", 'Data Entry'!$Ô$71)</f>
      </c>
      <c r="ES71">
        <f>IF(ISBLANK('Data Entry'!$Õ$71), "", 'Data Entry'!$Õ$71)</f>
      </c>
      <c r="ET71">
        <f>IF(ISBLANK('Data Entry'!$Ö$71), "", 'Data Entry'!$Ö$71)</f>
      </c>
      <c r="EU71">
        <f>IF(ISBLANK('Data Entry'!$×$71), "", 'Data Entry'!$×$71)</f>
      </c>
      <c r="EV71">
        <f>IF(ISBLANK('Data Entry'!$Ø$71), "", 'Data Entry'!$Ø$71)</f>
      </c>
      <c r="EW71">
        <f>IF(ISBLANK('Data Entry'!$Ù$71), "", 'Data Entry'!$Ù$71)</f>
      </c>
      <c r="EX71">
        <f>IF(ISBLANK('Data Entry'!$Ú$71), "", 'Data Entry'!$Ú$71)</f>
      </c>
      <c r="EY71">
        <f>IF(ISBLANK('Data Entry'!$Û$71), "", 'Data Entry'!$Û$71)</f>
      </c>
      <c r="EZ71">
        <f>IF(ISBLANK('Data Entry'!$Ü$71), "", 'Data Entry'!$Ü$71)</f>
      </c>
      <c r="FA71">
        <f>IF(ISBLANK('Data Entry'!$Ý$71), "", 'Data Entry'!$Ý$71)</f>
      </c>
      <c r="FB71">
        <f>IF(ISBLANK('Data Entry'!$Þ$71), "", 'Data Entry'!$Þ$71)</f>
      </c>
      <c r="FC71">
        <f>IF(ISBLANK('Data Entry'!$ß$71), "", 'Data Entry'!$ß$71)</f>
      </c>
      <c r="FD71">
        <f>IF(ISBLANK('Data Entry'!$à$71), "", 'Data Entry'!$à$71)</f>
      </c>
      <c r="FE71">
        <f>IF(ISBLANK('Data Entry'!$á$71), "", 'Data Entry'!$á$71)</f>
      </c>
      <c r="FF71">
        <f>IF(ISBLANK('Data Entry'!$â$71), "", 'Data Entry'!$â$71)</f>
      </c>
      <c r="FG71">
        <f>IF(ISBLANK('Data Entry'!$ã$71), "", 'Data Entry'!$ã$71)</f>
      </c>
      <c r="FH71">
        <f>IF(ISBLANK('Data Entry'!$ä$71), "", 'Data Entry'!$ä$71)</f>
      </c>
      <c r="FI71">
        <f>IF(ISBLANK('Data Entry'!$å$71), "", 'Data Entry'!$å$71)</f>
      </c>
      <c r="FJ71">
        <f>IF(ISBLANK('Data Entry'!$æ$71), "", 'Data Entry'!$æ$71)</f>
      </c>
      <c r="FK71">
        <f>IF(ISBLANK('Data Entry'!$ç$71), "", 'Data Entry'!$ç$71)</f>
      </c>
      <c r="FL71">
        <f>IF(ISBLANK('Data Entry'!$è$71), "", 'Data Entry'!$è$71)</f>
      </c>
      <c r="FM71">
        <f>IF(ISBLANK('Data Entry'!$é$71), "", 'Data Entry'!$é$71)</f>
      </c>
      <c r="FN71">
        <f>IF(ISBLANK('Data Entry'!$ê$71), "", 'Data Entry'!$ê$71)</f>
      </c>
      <c r="FO71">
        <f>IF(ISBLANK('Data Entry'!$ë$71), "", 'Data Entry'!$ë$71)</f>
      </c>
      <c r="FP71">
        <f>IF(ISBLANK('Data Entry'!$ì$71), "", 'Data Entry'!$ì$71)</f>
      </c>
      <c r="FQ71">
        <f>IF(ISBLANK('Data Entry'!$í$71), "", 'Data Entry'!$í$71)</f>
      </c>
      <c r="FR71">
        <f>IF(ISBLANK('Data Entry'!$î$71), "", 'Data Entry'!$î$71)</f>
      </c>
      <c r="FS71">
        <f>IF(ISBLANK('Data Entry'!$ï$71), "", 'Data Entry'!$ï$71)</f>
      </c>
      <c r="FT71">
        <f>IF(ISBLANK('Data Entry'!$ð$71), "", 'Data Entry'!$ð$71)</f>
      </c>
      <c r="FU71">
        <f>IF(ISBLANK('Data Entry'!$ñ$71), "", 'Data Entry'!$ñ$71)</f>
      </c>
      <c r="FV71">
        <f>IF(ISBLANK('Data Entry'!$ò$71), "", 'Data Entry'!$ò$71)</f>
      </c>
      <c r="FW71">
        <f>IF(ISBLANK('Data Entry'!$ó$71), "", 'Data Entry'!$ó$71)</f>
      </c>
      <c r="FX71">
        <f>IF(ISBLANK('Data Entry'!$ô$71), "", 'Data Entry'!$ô$71)</f>
      </c>
      <c r="FY71">
        <f>IF(ISBLANK('Data Entry'!$õ$71), "", 'Data Entry'!$õ$71)</f>
      </c>
      <c r="FZ71">
        <f>IF(ISBLANK('Data Entry'!$ö$71), "", 'Data Entry'!$ö$71)</f>
      </c>
      <c r="GA71">
        <f>IF(ISBLANK('Data Entry'!$÷$71), "", 'Data Entry'!$÷$71)</f>
      </c>
      <c r="GB71">
        <f>IF(ISBLANK('Data Entry'!$ø$71), "", 'Data Entry'!$ø$71)</f>
      </c>
      <c r="GC71">
        <f>IF(ISBLANK('Data Entry'!$ù$71), "", 'Data Entry'!$ù$71)</f>
      </c>
      <c r="GD71">
        <f>IF(ISBLANK('Data Entry'!$ú$71), "", 'Data Entry'!$ú$71)</f>
      </c>
      <c r="GE71">
        <f>IF(ISBLANK('Data Entry'!$û$71), "", 'Data Entry'!$û$71)</f>
      </c>
      <c r="GF71">
        <f>IF(ISBLANK('Data Entry'!$ü$71), "", 'Data Entry'!$ü$71)</f>
      </c>
      <c r="GG71">
        <f>IF(ISBLANK('Data Entry'!$ý$71), "", 'Data Entry'!$ý$71)</f>
      </c>
      <c r="GH71">
        <f>IF(ISBLANK('Data Entry'!$þ$71), "", 'Data Entry'!$þ$71)</f>
      </c>
      <c r="GI71">
        <f>IF(ISBLANK('Data Entry'!$ÿ$71), "", 'Data Entry'!$ÿ$71)</f>
      </c>
      <c r="GJ71">
        <f>IF(ISBLANK('Data Entry'!$Ā$71), "", 'Data Entry'!$Ā$71)</f>
      </c>
      <c r="GK71">
        <f>IF(ISBLANK('Data Entry'!$ā$71), "", 'Data Entry'!$ā$71)</f>
      </c>
      <c r="GL71">
        <f>IF(ISBLANK('Data Entry'!$Ă$71), "", 'Data Entry'!$Ă$71)</f>
      </c>
      <c r="GM71">
        <f>IF(ISBLANK('Data Entry'!$ă$71), "", 'Data Entry'!$ă$71)</f>
      </c>
      <c r="GN71">
        <f>IF(ISBLANK('Data Entry'!$Ą$71), "", 'Data Entry'!$Ą$71)</f>
      </c>
      <c r="GO71">
        <f>IF(ISBLANK('Data Entry'!$ą$71), "", 'Data Entry'!$ą$71)</f>
      </c>
      <c r="GP71">
        <f>IF(ISBLANK('Data Entry'!$Ć$71), "", 'Data Entry'!$Ć$71)</f>
      </c>
      <c r="GQ71">
        <f>IF(ISBLANK('Data Entry'!$ć$71), "", 'Data Entry'!$ć$71)</f>
      </c>
      <c r="GR71">
        <f>IF(ISBLANK('Data Entry'!$Ĉ$71), "", 'Data Entry'!$Ĉ$71)</f>
      </c>
      <c r="GS71">
        <f>IF(ISBLANK('Data Entry'!$ĉ$71), "", 'Data Entry'!$ĉ$71)</f>
      </c>
      <c r="GT71">
        <f>IF(ISBLANK('Data Entry'!$Ċ$71), "", 'Data Entry'!$Ċ$71)</f>
      </c>
      <c r="GU71">
        <f>IF(ISBLANK('Data Entry'!$ċ$71), "", 'Data Entry'!$ċ$71)</f>
      </c>
      <c r="GV71">
        <f>IF(ISBLANK('Data Entry'!$Č$71), "", 'Data Entry'!$Č$71)</f>
      </c>
      <c r="GW71">
        <f>IF(ISBLANK('Data Entry'!$č$71), "", 'Data Entry'!$č$71)</f>
      </c>
      <c r="GX71">
        <f>IF(ISBLANK('Data Entry'!$Ď$71), "", 'Data Entry'!$Ď$71)</f>
      </c>
      <c r="GY71">
        <f>IF(ISBLANK('Data Entry'!$ď$71), "", 'Data Entry'!$ď$71)</f>
      </c>
      <c r="GZ71">
        <f>IF(ISBLANK('Data Entry'!$Đ$71), "", 'Data Entry'!$Đ$71)</f>
      </c>
      <c r="HA71">
        <f>IF(ISBLANK('Data Entry'!$đ$71), "", 'Data Entry'!$đ$71)</f>
      </c>
      <c r="HB71">
        <f>IF(ISBLANK('Data Entry'!$Ē$71), "", 'Data Entry'!$Ē$71)</f>
      </c>
      <c r="HC71">
        <f>IF(ISBLANK('Data Entry'!$ē$71), "", 'Data Entry'!$ē$71)</f>
      </c>
      <c r="HD71">
        <f>IF(ISBLANK('Data Entry'!$Ĕ$71), "", 'Data Entry'!$Ĕ$71)</f>
      </c>
      <c r="HE71">
        <f>IF(ISBLANK('Data Entry'!$ĕ$71), "", 'Data Entry'!$ĕ$71)</f>
      </c>
      <c r="HF71">
        <f>IF(ISBLANK('Data Entry'!$Ė$71), "", 'Data Entry'!$Ė$71)</f>
      </c>
      <c r="HG71">
        <f>IF(ISBLANK('Data Entry'!$ė$71), "", 'Data Entry'!$ė$71)</f>
      </c>
      <c r="HH71">
        <f>IF(ISBLANK('Data Entry'!$Ę$71), "", 'Data Entry'!$Ę$71)</f>
      </c>
      <c r="HI71">
        <f>IF(ISBLANK('Data Entry'!$ę$71), "", 'Data Entry'!$ę$71)</f>
      </c>
      <c r="HJ71">
        <f>IF(ISBLANK('Data Entry'!$Ě$71), "", 'Data Entry'!$Ě$71)</f>
      </c>
      <c r="HK71">
        <f>IF(ISBLANK('Data Entry'!$ě$71), "", 'Data Entry'!$ě$71)</f>
      </c>
      <c r="HL71">
        <f>IF(ISBLANK('Data Entry'!$Ĝ$71), "", 'Data Entry'!$Ĝ$71)</f>
      </c>
      <c r="HM71">
        <f>IF(ISBLANK('Data Entry'!$ĝ$71), "", 'Data Entry'!$ĝ$71)</f>
      </c>
      <c r="HN71">
        <f>IF(ISBLANK('Data Entry'!$Ğ$71), "", 'Data Entry'!$Ğ$71)</f>
      </c>
      <c r="HO71">
        <f>IF(ISBLANK('Data Entry'!$ğ$71), "", 'Data Entry'!$ğ$71)</f>
      </c>
      <c r="HP71">
        <f>IF(ISBLANK('Data Entry'!$Ġ$71), "", 'Data Entry'!$Ġ$71)</f>
      </c>
      <c r="HQ71">
        <f>IF(ISBLANK('Data Entry'!$ġ$71), "", 'Data Entry'!$ġ$71)</f>
      </c>
      <c r="HR71">
        <f>IF(ISBLANK('Data Entry'!$Ģ$71), "", 'Data Entry'!$Ģ$71)</f>
      </c>
      <c r="HS71">
        <f>IF(ISBLANK('Data Entry'!$ģ$71), "", 'Data Entry'!$ģ$71)</f>
      </c>
      <c r="HT71">
        <f>IF(ISBLANK('Data Entry'!$Ĥ$71), "", 'Data Entry'!$Ĥ$71)</f>
      </c>
      <c r="HU71">
        <f>IF(ISBLANK('Data Entry'!$ĥ$71), "", 'Data Entry'!$ĥ$71)</f>
      </c>
      <c r="HV71">
        <f>IF(ISBLANK('Data Entry'!$Ħ$71), "", 'Data Entry'!$Ħ$71)</f>
      </c>
      <c r="HW71">
        <f>IF(ISBLANK('Data Entry'!$ħ$71), "", 'Data Entry'!$ħ$71)</f>
      </c>
      <c r="HX71">
        <f>IF(ISBLANK('Data Entry'!$Ĩ$71), "", 'Data Entry'!$Ĩ$71)</f>
      </c>
      <c r="HY71">
        <f>IF(ISBLANK('Data Entry'!$ĩ$71), "", 'Data Entry'!$ĩ$71)</f>
      </c>
      <c r="HZ71">
        <f>IF(ISBLANK('Data Entry'!$Ī$71), "", 'Data Entry'!$Ī$71)</f>
      </c>
      <c r="IA71">
        <f>IF(ISBLANK('Data Entry'!$ī$71), "", 'Data Entry'!$ī$71)</f>
      </c>
      <c r="IB71">
        <f>IF(ISBLANK('Data Entry'!$Ĭ$71), "", 'Data Entry'!$Ĭ$71)</f>
      </c>
      <c r="IC71">
        <f>IF(ISBLANK('Data Entry'!$ĭ$71), "", 'Data Entry'!$ĭ$71)</f>
      </c>
      <c r="ID71">
        <f>IF(ISBLANK('Data Entry'!$Į$71), "", 'Data Entry'!$Į$71)</f>
      </c>
      <c r="IE71">
        <f>IF(ISBLANK('Data Entry'!$į$71), "", 'Data Entry'!$į$71)</f>
      </c>
      <c r="IF71">
        <f>IF(ISBLANK('Data Entry'!$İ$71), "", 'Data Entry'!$İ$71)</f>
      </c>
      <c r="IG71">
        <f>IF(ISBLANK('Data Entry'!$ı$71), "", 'Data Entry'!$ı$71)</f>
      </c>
      <c r="IH71">
        <f>IF(ISBLANK('Data Entry'!$Ĳ$71), "", 'Data Entry'!$Ĳ$71)</f>
      </c>
      <c r="II71">
        <f>IF(ISBLANK('Data Entry'!$ĳ$71), "", 'Data Entry'!$ĳ$71)</f>
      </c>
      <c r="IJ71">
        <f>IF(ISBLANK('Data Entry'!$Ĵ$71), "", 'Data Entry'!$Ĵ$71)</f>
      </c>
      <c r="IK71">
        <f>IF(ISBLANK('Data Entry'!$ĵ$71), "", 'Data Entry'!$ĵ$71)</f>
      </c>
      <c r="IL71">
        <f>IF(ISBLANK('Data Entry'!$Ķ$71), "", 'Data Entry'!$Ķ$71)</f>
      </c>
      <c r="IM71">
        <f>IF(ISBLANK('Data Entry'!$ķ$71), "", 'Data Entry'!$ķ$71)</f>
      </c>
      <c r="IN71">
        <f>IF(ISBLANK('Data Entry'!$ĸ$71), "", 'Data Entry'!$ĸ$71)</f>
      </c>
      <c r="IO71">
        <f>IF(ISBLANK('Data Entry'!$Ĺ$71), "", 'Data Entry'!$Ĺ$71)</f>
      </c>
      <c r="IP71">
        <f>IF(ISBLANK('Data Entry'!$ĺ$71), "", 'Data Entry'!$ĺ$71)</f>
      </c>
      <c r="IQ71">
        <f>IF(ISBLANK('Data Entry'!$Ļ$71), "", 'Data Entry'!$Ļ$71)</f>
      </c>
      <c r="IR71">
        <f>IF(ISBLANK('Data Entry'!$ļ$71), "", 'Data Entry'!$ļ$71)</f>
      </c>
      <c r="IS71">
        <f>IF(ISBLANK('Data Entry'!$Ľ$71), "", 'Data Entry'!$Ľ$71)</f>
      </c>
      <c r="IT71">
        <f>IF(ISBLANK('Data Entry'!$ľ$71), "", 'Data Entry'!$ľ$71)</f>
      </c>
    </row>
    <row r="72" spans="1:254" x14ac:dyDescent="0.25">
      <c r="A72">
        <f>IF(ISBLANK('Data Entry'!$A$72), "", 'Data Entry'!$A$72)</f>
      </c>
      <c r="B72">
        <f>IF(ISBLANK('Data Entry'!$B$72), "", 'Data Entry'!$B$72)</f>
      </c>
      <c r="C72">
        <f>IF(ISBLANK('Data Entry'!$C$72), "", 'Data Entry'!$C$72)</f>
      </c>
      <c r="D72">
        <f>IF(ISBLANK('Data Entry'!$D$72), "", 'Data Entry'!$D$72)</f>
      </c>
      <c r="E72">
        <f>IF(ISBLANK('Data Entry'!$E$72), "", 'Data Entry'!$E$72)</f>
      </c>
      <c r="F72">
        <f>IF(ISBLANK('Data Entry'!$F$72), "", 'Data Entry'!$F$72)</f>
      </c>
      <c r="G72">
        <f>IF(ISBLANK('Data Entry'!$G$72), "", 'Data Entry'!$G$72)</f>
      </c>
      <c r="H72">
        <f>IF(ISBLANK('Data Entry'!$H$72), "", 'Data Entry'!$H$72)</f>
      </c>
      <c r="I72">
        <f>IF(ISBLANK('Data Entry'!$I$72), "", 'Data Entry'!$I$72)</f>
      </c>
      <c r="J72">
        <f>IF(ISBLANK('Data Entry'!$J$72), "", 'Data Entry'!$J$72)</f>
      </c>
      <c r="K72">
        <f>IF(ISBLANK('Data Entry'!$K$72), "", 'Data Entry'!$K$72)</f>
      </c>
      <c r="L72">
        <f>IF(ISBLANK('Data Entry'!$L$72), "", 'Data Entry'!$L$72)</f>
      </c>
      <c r="M72">
        <f>IF(ISBLANK('Data Entry'!$M$72), "", 'Data Entry'!$M$72)</f>
      </c>
      <c r="N72">
        <f>IF(ISBLANK('Data Entry'!$N$72), "", 'Data Entry'!$N$72)</f>
      </c>
      <c r="O72">
        <f>IF(ISBLANK('Data Entry'!$O$72), "", 'Data Entry'!$O$72)</f>
      </c>
      <c r="P72">
        <f>IF(ISBLANK('Data Entry'!$P$72), "", 'Data Entry'!$P$72)</f>
      </c>
      <c r="Q72">
        <f>IF(ISBLANK('Data Entry'!$Q$72), "", 'Data Entry'!$Q$72)</f>
      </c>
      <c r="R72">
        <f>IF(ISBLANK('Data Entry'!$R$72), "", 'Data Entry'!$R$72)</f>
      </c>
      <c r="S72">
        <f>IF(ISBLANK('Data Entry'!$S$72), "", 'Data Entry'!$S$72)</f>
      </c>
      <c r="T72">
        <f>IF(ISBLANK('Data Entry'!$T$72), "", 'Data Entry'!$T$72)</f>
      </c>
      <c r="U72">
        <f>IF(ISBLANK('Data Entry'!$U$72), "", 'Data Entry'!$U$72)</f>
      </c>
      <c r="V72">
        <f>IF(ISBLANK('Data Entry'!$V$72), "", 'Data Entry'!$V$72)</f>
      </c>
      <c r="W72">
        <f>IF(ISBLANK('Data Entry'!$W$72), "", 'Data Entry'!$W$72)</f>
      </c>
      <c r="X72">
        <f>IF(ISBLANK('Data Entry'!$X$72), "", 'Data Entry'!$X$72)</f>
      </c>
      <c r="Y72">
        <f>IF(ISBLANK('Data Entry'!$Y$72), "", 'Data Entry'!$Y$72)</f>
      </c>
      <c r="Z72">
        <f>IF(ISBLANK('Data Entry'!$Z$72), "", 'Data Entry'!$Z$72)</f>
      </c>
      <c r="AA72">
        <f>IF(ISBLANK('Data Entry'!$[$72), "", 'Data Entry'!$[$72)</f>
      </c>
      <c r="AB72">
        <f>IF(ISBLANK('Data Entry'!$\$72), "", 'Data Entry'!$\$72)</f>
      </c>
      <c r="AC72">
        <f>IF(ISBLANK('Data Entry'!$]$72), "", 'Data Entry'!$]$72)</f>
      </c>
      <c r="AD72">
        <f>IF(ISBLANK('Data Entry'!$^$72), "", 'Data Entry'!$^$72)</f>
      </c>
      <c r="AE72">
        <f>IF(ISBLANK('Data Entry'!$_$72), "", 'Data Entry'!$_$72)</f>
      </c>
      <c r="AF72">
        <f>IF(ISBLANK('Data Entry'!$`$72), "", 'Data Entry'!$`$72)</f>
      </c>
      <c r="AG72">
        <f>IF(ISBLANK('Data Entry'!$a$72), "", 'Data Entry'!$a$72)</f>
      </c>
      <c r="AH72">
        <f>IF(ISBLANK('Data Entry'!$b$72), "", 'Data Entry'!$b$72)</f>
      </c>
      <c r="AI72">
        <f>IF(ISBLANK('Data Entry'!$c$72), "", 'Data Entry'!$c$72)</f>
      </c>
      <c r="AJ72">
        <f>IF(ISBLANK('Data Entry'!$d$72), "", 'Data Entry'!$d$72)</f>
      </c>
      <c r="AK72">
        <f>IF(ISBLANK('Data Entry'!$e$72), "", 'Data Entry'!$e$72)</f>
      </c>
      <c r="AL72">
        <f>IF(ISBLANK('Data Entry'!$f$72), "", 'Data Entry'!$f$72)</f>
      </c>
      <c r="AM72">
        <f>IF(ISBLANK('Data Entry'!$g$72), "", 'Data Entry'!$g$72)</f>
      </c>
      <c r="AN72">
        <f>IF(ISBLANK('Data Entry'!$h$72), "", 'Data Entry'!$h$72)</f>
      </c>
      <c r="AO72">
        <f>IF(ISBLANK('Data Entry'!$i$72), "", 'Data Entry'!$i$72)</f>
      </c>
      <c r="AP72">
        <f>IF(ISBLANK('Data Entry'!$j$72), "", 'Data Entry'!$j$72)</f>
      </c>
      <c r="AQ72">
        <f>IF(ISBLANK('Data Entry'!$k$72), "", 'Data Entry'!$k$72)</f>
      </c>
      <c r="AR72">
        <f>IF(ISBLANK('Data Entry'!$l$72), "", 'Data Entry'!$l$72)</f>
      </c>
      <c r="AS72">
        <f>IF(ISBLANK('Data Entry'!$m$72), "", 'Data Entry'!$m$72)</f>
      </c>
      <c r="AT72">
        <f>IF(ISBLANK('Data Entry'!$n$72), "", 'Data Entry'!$n$72)</f>
      </c>
      <c r="AU72">
        <f>IF(ISBLANK('Data Entry'!$o$72), "", 'Data Entry'!$o$72)</f>
      </c>
      <c r="AV72">
        <f>IF(ISBLANK('Data Entry'!$p$72), "", 'Data Entry'!$p$72)</f>
      </c>
      <c r="AW72">
        <f>IF(ISBLANK('Data Entry'!$q$72), "", 'Data Entry'!$q$72)</f>
      </c>
      <c r="AX72">
        <f>IF(ISBLANK('Data Entry'!$r$72), "", 'Data Entry'!$r$72)</f>
      </c>
      <c r="AY72">
        <f>IF(ISBLANK('Data Entry'!$s$72), "", 'Data Entry'!$s$72)</f>
      </c>
      <c r="AZ72">
        <f>IF(ISBLANK('Data Entry'!$t$72), "", 'Data Entry'!$t$72)</f>
      </c>
      <c r="BA72">
        <f>IF(ISBLANK('Data Entry'!$u$72), "", 'Data Entry'!$u$72)</f>
      </c>
      <c r="BB72">
        <f>IF(ISBLANK('Data Entry'!$v$72), "", 'Data Entry'!$v$72)</f>
      </c>
      <c r="BC72">
        <f>IF(ISBLANK('Data Entry'!$w$72), "", 'Data Entry'!$w$72)</f>
      </c>
      <c r="BD72">
        <f>IF(ISBLANK('Data Entry'!$x$72), "", 'Data Entry'!$x$72)</f>
      </c>
      <c r="BE72">
        <f>IF(ISBLANK('Data Entry'!$y$72), "", 'Data Entry'!$y$72)</f>
      </c>
      <c r="BF72">
        <f>IF(ISBLANK('Data Entry'!$z$72), "", 'Data Entry'!$z$72)</f>
      </c>
      <c r="BG72">
        <f>IF(ISBLANK('Data Entry'!${$72), "", 'Data Entry'!${$72)</f>
      </c>
      <c r="BH72">
        <f>IF(ISBLANK('Data Entry'!$|$72), "", 'Data Entry'!$|$72)</f>
      </c>
      <c r="BI72">
        <f>IF(ISBLANK('Data Entry'!$}$72), "", 'Data Entry'!$}$72)</f>
      </c>
      <c r="BJ72">
        <f>IF(ISBLANK('Data Entry'!$~$72), "", 'Data Entry'!$~$72)</f>
      </c>
      <c r="BK72">
        <f>IF(ISBLANK('Data Entry'!$$72), "", 'Data Entry'!$$72)</f>
      </c>
      <c r="BL72">
        <f>IF(ISBLANK('Data Entry'!$$72), "", 'Data Entry'!$$72)</f>
      </c>
      <c r="BM72">
        <f>IF(ISBLANK('Data Entry'!$$72), "", 'Data Entry'!$$72)</f>
      </c>
      <c r="BN72">
        <f>IF(ISBLANK('Data Entry'!$$72), "", 'Data Entry'!$$72)</f>
      </c>
      <c r="BO72">
        <f>IF(ISBLANK('Data Entry'!$$72), "", 'Data Entry'!$$72)</f>
      </c>
      <c r="BP72">
        <f>IF(ISBLANK('Data Entry'!$$72), "", 'Data Entry'!$$72)</f>
      </c>
      <c r="BQ72">
        <f>IF(ISBLANK('Data Entry'!$$72), "", 'Data Entry'!$$72)</f>
      </c>
      <c r="BR72">
        <f>IF(ISBLANK('Data Entry'!$$72), "", 'Data Entry'!$$72)</f>
      </c>
      <c r="BS72">
        <f>IF(ISBLANK('Data Entry'!$$72), "", 'Data Entry'!$$72)</f>
      </c>
      <c r="BT72">
        <f>IF(ISBLANK('Data Entry'!$$72), "", 'Data Entry'!$$72)</f>
      </c>
      <c r="BU72">
        <f>IF(ISBLANK('Data Entry'!$$72), "", 'Data Entry'!$$72)</f>
      </c>
      <c r="BV72">
        <f>IF(ISBLANK('Data Entry'!$$72), "", 'Data Entry'!$$72)</f>
      </c>
      <c r="BW72">
        <f>IF(ISBLANK('Data Entry'!$$72), "", 'Data Entry'!$$72)</f>
      </c>
      <c r="BX72">
        <f>IF(ISBLANK('Data Entry'!$$72), "", 'Data Entry'!$$72)</f>
      </c>
      <c r="BY72">
        <f>IF(ISBLANK('Data Entry'!$$72), "", 'Data Entry'!$$72)</f>
      </c>
      <c r="BZ72">
        <f>IF(ISBLANK('Data Entry'!$$72), "", 'Data Entry'!$$72)</f>
      </c>
      <c r="CA72">
        <f>IF(ISBLANK('Data Entry'!$$72), "", 'Data Entry'!$$72)</f>
      </c>
      <c r="CB72">
        <f>IF(ISBLANK('Data Entry'!$$72), "", 'Data Entry'!$$72)</f>
      </c>
      <c r="CC72">
        <f>IF(ISBLANK('Data Entry'!$$72), "", 'Data Entry'!$$72)</f>
      </c>
      <c r="CD72">
        <f>IF(ISBLANK('Data Entry'!$$72), "", 'Data Entry'!$$72)</f>
      </c>
      <c r="CE72">
        <f>IF(ISBLANK('Data Entry'!$$72), "", 'Data Entry'!$$72)</f>
      </c>
      <c r="CF72">
        <f>IF(ISBLANK('Data Entry'!$$72), "", 'Data Entry'!$$72)</f>
      </c>
      <c r="CG72">
        <f>IF(ISBLANK('Data Entry'!$$72), "", 'Data Entry'!$$72)</f>
      </c>
      <c r="CH72">
        <f>IF(ISBLANK('Data Entry'!$$72), "", 'Data Entry'!$$72)</f>
      </c>
      <c r="CI72">
        <f>IF(ISBLANK('Data Entry'!$$72), "", 'Data Entry'!$$72)</f>
      </c>
      <c r="CJ72">
        <f>IF(ISBLANK('Data Entry'!$$72), "", 'Data Entry'!$$72)</f>
      </c>
      <c r="CK72">
        <f>IF(ISBLANK('Data Entry'!$$72), "", 'Data Entry'!$$72)</f>
      </c>
      <c r="CL72">
        <f>IF(ISBLANK('Data Entry'!$$72), "", 'Data Entry'!$$72)</f>
      </c>
      <c r="CM72">
        <f>IF(ISBLANK('Data Entry'!$$72), "", 'Data Entry'!$$72)</f>
      </c>
      <c r="CN72">
        <f>IF(ISBLANK('Data Entry'!$$72), "", 'Data Entry'!$$72)</f>
      </c>
      <c r="CO72">
        <f>IF(ISBLANK('Data Entry'!$$72), "", 'Data Entry'!$$72)</f>
      </c>
      <c r="CP72">
        <f>IF(ISBLANK('Data Entry'!$$72), "", 'Data Entry'!$$72)</f>
      </c>
      <c r="CQ72">
        <f>IF(ISBLANK('Data Entry'!$$72), "", 'Data Entry'!$$72)</f>
      </c>
      <c r="CR72">
        <f>IF(ISBLANK('Data Entry'!$ $72), "", 'Data Entry'!$ $72)</f>
      </c>
      <c r="CS72">
        <f>IF(ISBLANK('Data Entry'!$¡$72), "", 'Data Entry'!$¡$72)</f>
      </c>
      <c r="CT72">
        <f>IF(ISBLANK('Data Entry'!$¢$72), "", 'Data Entry'!$¢$72)</f>
      </c>
      <c r="CU72">
        <f>IF(ISBLANK('Data Entry'!$£$72), "", 'Data Entry'!$£$72)</f>
      </c>
      <c r="CV72">
        <f>IF(ISBLANK('Data Entry'!$¤$72), "", 'Data Entry'!$¤$72)</f>
      </c>
      <c r="CW72">
        <f>IF(ISBLANK('Data Entry'!$¥$72), "", 'Data Entry'!$¥$72)</f>
      </c>
      <c r="CX72">
        <f>IF(ISBLANK('Data Entry'!$¦$72), "", 'Data Entry'!$¦$72)</f>
      </c>
      <c r="CY72">
        <f>IF(ISBLANK('Data Entry'!$§$72), "", 'Data Entry'!$§$72)</f>
      </c>
      <c r="CZ72">
        <f>IF(ISBLANK('Data Entry'!$¨$72), "", 'Data Entry'!$¨$72)</f>
      </c>
      <c r="DA72">
        <f>IF(ISBLANK('Data Entry'!$©$72), "", 'Data Entry'!$©$72)</f>
      </c>
      <c r="DB72">
        <f>IF(ISBLANK('Data Entry'!$ª$72), "", 'Data Entry'!$ª$72)</f>
      </c>
      <c r="DC72">
        <f>IF(ISBLANK('Data Entry'!$«$72), "", 'Data Entry'!$«$72)</f>
      </c>
      <c r="DD72">
        <f>IF(ISBLANK('Data Entry'!$¬$72), "", 'Data Entry'!$¬$72)</f>
      </c>
      <c r="DE72">
        <f>IF(ISBLANK('Data Entry'!$­$72), "", 'Data Entry'!$­$72)</f>
      </c>
      <c r="DF72">
        <f>IF(ISBLANK('Data Entry'!$®$72), "", 'Data Entry'!$®$72)</f>
      </c>
      <c r="DG72">
        <f>IF(ISBLANK('Data Entry'!$¯$72), "", 'Data Entry'!$¯$72)</f>
      </c>
      <c r="DH72">
        <f>IF(ISBLANK('Data Entry'!$°$72), "", 'Data Entry'!$°$72)</f>
      </c>
      <c r="DI72">
        <f>IF(ISBLANK('Data Entry'!$±$72), "", 'Data Entry'!$±$72)</f>
      </c>
      <c r="DJ72">
        <f>IF(ISBLANK('Data Entry'!$²$72), "", 'Data Entry'!$²$72)</f>
      </c>
      <c r="DK72">
        <f>IF(ISBLANK('Data Entry'!$³$72), "", 'Data Entry'!$³$72)</f>
      </c>
      <c r="DL72">
        <f>IF(ISBLANK('Data Entry'!$´$72), "", 'Data Entry'!$´$72)</f>
      </c>
      <c r="DM72">
        <f>IF(ISBLANK('Data Entry'!$µ$72), "", 'Data Entry'!$µ$72)</f>
      </c>
      <c r="DN72">
        <f>IF(ISBLANK('Data Entry'!$¶$72), "", 'Data Entry'!$¶$72)</f>
      </c>
      <c r="DO72">
        <f>IF(ISBLANK('Data Entry'!$·$72), "", 'Data Entry'!$·$72)</f>
      </c>
      <c r="DP72">
        <f>IF(ISBLANK('Data Entry'!$¸$72), "", 'Data Entry'!$¸$72)</f>
      </c>
      <c r="DQ72">
        <f>IF(ISBLANK('Data Entry'!$¹$72), "", 'Data Entry'!$¹$72)</f>
      </c>
      <c r="DR72">
        <f>IF(ISBLANK('Data Entry'!$º$72), "", 'Data Entry'!$º$72)</f>
      </c>
      <c r="DS72">
        <f>IF(ISBLANK('Data Entry'!$»$72), "", 'Data Entry'!$»$72)</f>
      </c>
      <c r="DT72">
        <f>IF(ISBLANK('Data Entry'!$¼$72), "", 'Data Entry'!$¼$72)</f>
      </c>
      <c r="DU72">
        <f>IF(ISBLANK('Data Entry'!$½$72), "", 'Data Entry'!$½$72)</f>
      </c>
      <c r="DV72">
        <f>IF(ISBLANK('Data Entry'!$¾$72), "", 'Data Entry'!$¾$72)</f>
      </c>
      <c r="DW72">
        <f>IF(ISBLANK('Data Entry'!$¿$72), "", 'Data Entry'!$¿$72)</f>
      </c>
      <c r="DX72">
        <f>IF(ISBLANK('Data Entry'!$À$72), "", 'Data Entry'!$À$72)</f>
      </c>
      <c r="DY72">
        <f>IF(ISBLANK('Data Entry'!$Á$72), "", 'Data Entry'!$Á$72)</f>
      </c>
      <c r="DZ72">
        <f>IF(ISBLANK('Data Entry'!$Â$72), "", 'Data Entry'!$Â$72)</f>
      </c>
      <c r="EA72">
        <f>IF(ISBLANK('Data Entry'!$Ã$72), "", 'Data Entry'!$Ã$72)</f>
      </c>
      <c r="EB72">
        <f>IF(ISBLANK('Data Entry'!$Ä$72), "", 'Data Entry'!$Ä$72)</f>
      </c>
      <c r="EC72">
        <f>IF(ISBLANK('Data Entry'!$Å$72), "", 'Data Entry'!$Å$72)</f>
      </c>
      <c r="ED72">
        <f>IF(ISBLANK('Data Entry'!$Æ$72), "", 'Data Entry'!$Æ$72)</f>
      </c>
      <c r="EE72">
        <f>IF(ISBLANK('Data Entry'!$Ç$72), "", 'Data Entry'!$Ç$72)</f>
      </c>
      <c r="EF72">
        <f>IF(ISBLANK('Data Entry'!$È$72), "", 'Data Entry'!$È$72)</f>
      </c>
      <c r="EG72">
        <f>IF(ISBLANK('Data Entry'!$É$72), "", 'Data Entry'!$É$72)</f>
      </c>
      <c r="EH72">
        <f>IF(ISBLANK('Data Entry'!$Ê$72), "", 'Data Entry'!$Ê$72)</f>
      </c>
      <c r="EI72">
        <f>IF(ISBLANK('Data Entry'!$Ë$72), "", 'Data Entry'!$Ë$72)</f>
      </c>
      <c r="EJ72">
        <f>IF(ISBLANK('Data Entry'!$Ì$72), "", 'Data Entry'!$Ì$72)</f>
      </c>
      <c r="EK72">
        <f>IF(ISBLANK('Data Entry'!$Í$72), "", 'Data Entry'!$Í$72)</f>
      </c>
      <c r="EL72">
        <f>IF(ISBLANK('Data Entry'!$Î$72), "", 'Data Entry'!$Î$72)</f>
      </c>
      <c r="EM72">
        <f>IF(ISBLANK('Data Entry'!$Ï$72), "", 'Data Entry'!$Ï$72)</f>
      </c>
      <c r="EN72">
        <f>IF(ISBLANK('Data Entry'!$Ð$72), "", 'Data Entry'!$Ð$72)</f>
      </c>
      <c r="EO72">
        <f>IF(ISBLANK('Data Entry'!$Ñ$72), "", 'Data Entry'!$Ñ$72)</f>
      </c>
      <c r="EP72">
        <f>IF(ISBLANK('Data Entry'!$Ò$72), "", 'Data Entry'!$Ò$72)</f>
      </c>
      <c r="EQ72">
        <f>IF(ISBLANK('Data Entry'!$Ó$72), "", 'Data Entry'!$Ó$72)</f>
      </c>
      <c r="ER72">
        <f>IF(ISBLANK('Data Entry'!$Ô$72), "", 'Data Entry'!$Ô$72)</f>
      </c>
      <c r="ES72">
        <f>IF(ISBLANK('Data Entry'!$Õ$72), "", 'Data Entry'!$Õ$72)</f>
      </c>
      <c r="ET72">
        <f>IF(ISBLANK('Data Entry'!$Ö$72), "", 'Data Entry'!$Ö$72)</f>
      </c>
      <c r="EU72">
        <f>IF(ISBLANK('Data Entry'!$×$72), "", 'Data Entry'!$×$72)</f>
      </c>
      <c r="EV72">
        <f>IF(ISBLANK('Data Entry'!$Ø$72), "", 'Data Entry'!$Ø$72)</f>
      </c>
      <c r="EW72">
        <f>IF(ISBLANK('Data Entry'!$Ù$72), "", 'Data Entry'!$Ù$72)</f>
      </c>
      <c r="EX72">
        <f>IF(ISBLANK('Data Entry'!$Ú$72), "", 'Data Entry'!$Ú$72)</f>
      </c>
      <c r="EY72">
        <f>IF(ISBLANK('Data Entry'!$Û$72), "", 'Data Entry'!$Û$72)</f>
      </c>
      <c r="EZ72">
        <f>IF(ISBLANK('Data Entry'!$Ü$72), "", 'Data Entry'!$Ü$72)</f>
      </c>
      <c r="FA72">
        <f>IF(ISBLANK('Data Entry'!$Ý$72), "", 'Data Entry'!$Ý$72)</f>
      </c>
      <c r="FB72">
        <f>IF(ISBLANK('Data Entry'!$Þ$72), "", 'Data Entry'!$Þ$72)</f>
      </c>
      <c r="FC72">
        <f>IF(ISBLANK('Data Entry'!$ß$72), "", 'Data Entry'!$ß$72)</f>
      </c>
      <c r="FD72">
        <f>IF(ISBLANK('Data Entry'!$à$72), "", 'Data Entry'!$à$72)</f>
      </c>
      <c r="FE72">
        <f>IF(ISBLANK('Data Entry'!$á$72), "", 'Data Entry'!$á$72)</f>
      </c>
      <c r="FF72">
        <f>IF(ISBLANK('Data Entry'!$â$72), "", 'Data Entry'!$â$72)</f>
      </c>
      <c r="FG72">
        <f>IF(ISBLANK('Data Entry'!$ã$72), "", 'Data Entry'!$ã$72)</f>
      </c>
      <c r="FH72">
        <f>IF(ISBLANK('Data Entry'!$ä$72), "", 'Data Entry'!$ä$72)</f>
      </c>
      <c r="FI72">
        <f>IF(ISBLANK('Data Entry'!$å$72), "", 'Data Entry'!$å$72)</f>
      </c>
      <c r="FJ72">
        <f>IF(ISBLANK('Data Entry'!$æ$72), "", 'Data Entry'!$æ$72)</f>
      </c>
      <c r="FK72">
        <f>IF(ISBLANK('Data Entry'!$ç$72), "", 'Data Entry'!$ç$72)</f>
      </c>
      <c r="FL72">
        <f>IF(ISBLANK('Data Entry'!$è$72), "", 'Data Entry'!$è$72)</f>
      </c>
      <c r="FM72">
        <f>IF(ISBLANK('Data Entry'!$é$72), "", 'Data Entry'!$é$72)</f>
      </c>
      <c r="FN72">
        <f>IF(ISBLANK('Data Entry'!$ê$72), "", 'Data Entry'!$ê$72)</f>
      </c>
      <c r="FO72">
        <f>IF(ISBLANK('Data Entry'!$ë$72), "", 'Data Entry'!$ë$72)</f>
      </c>
      <c r="FP72">
        <f>IF(ISBLANK('Data Entry'!$ì$72), "", 'Data Entry'!$ì$72)</f>
      </c>
      <c r="FQ72">
        <f>IF(ISBLANK('Data Entry'!$í$72), "", 'Data Entry'!$í$72)</f>
      </c>
      <c r="FR72">
        <f>IF(ISBLANK('Data Entry'!$î$72), "", 'Data Entry'!$î$72)</f>
      </c>
      <c r="FS72">
        <f>IF(ISBLANK('Data Entry'!$ï$72), "", 'Data Entry'!$ï$72)</f>
      </c>
      <c r="FT72">
        <f>IF(ISBLANK('Data Entry'!$ð$72), "", 'Data Entry'!$ð$72)</f>
      </c>
      <c r="FU72">
        <f>IF(ISBLANK('Data Entry'!$ñ$72), "", 'Data Entry'!$ñ$72)</f>
      </c>
      <c r="FV72">
        <f>IF(ISBLANK('Data Entry'!$ò$72), "", 'Data Entry'!$ò$72)</f>
      </c>
      <c r="FW72">
        <f>IF(ISBLANK('Data Entry'!$ó$72), "", 'Data Entry'!$ó$72)</f>
      </c>
      <c r="FX72">
        <f>IF(ISBLANK('Data Entry'!$ô$72), "", 'Data Entry'!$ô$72)</f>
      </c>
      <c r="FY72">
        <f>IF(ISBLANK('Data Entry'!$õ$72), "", 'Data Entry'!$õ$72)</f>
      </c>
      <c r="FZ72">
        <f>IF(ISBLANK('Data Entry'!$ö$72), "", 'Data Entry'!$ö$72)</f>
      </c>
      <c r="GA72">
        <f>IF(ISBLANK('Data Entry'!$÷$72), "", 'Data Entry'!$÷$72)</f>
      </c>
      <c r="GB72">
        <f>IF(ISBLANK('Data Entry'!$ø$72), "", 'Data Entry'!$ø$72)</f>
      </c>
      <c r="GC72">
        <f>IF(ISBLANK('Data Entry'!$ù$72), "", 'Data Entry'!$ù$72)</f>
      </c>
      <c r="GD72">
        <f>IF(ISBLANK('Data Entry'!$ú$72), "", 'Data Entry'!$ú$72)</f>
      </c>
      <c r="GE72">
        <f>IF(ISBLANK('Data Entry'!$û$72), "", 'Data Entry'!$û$72)</f>
      </c>
      <c r="GF72">
        <f>IF(ISBLANK('Data Entry'!$ü$72), "", 'Data Entry'!$ü$72)</f>
      </c>
      <c r="GG72">
        <f>IF(ISBLANK('Data Entry'!$ý$72), "", 'Data Entry'!$ý$72)</f>
      </c>
      <c r="GH72">
        <f>IF(ISBLANK('Data Entry'!$þ$72), "", 'Data Entry'!$þ$72)</f>
      </c>
      <c r="GI72">
        <f>IF(ISBLANK('Data Entry'!$ÿ$72), "", 'Data Entry'!$ÿ$72)</f>
      </c>
      <c r="GJ72">
        <f>IF(ISBLANK('Data Entry'!$Ā$72), "", 'Data Entry'!$Ā$72)</f>
      </c>
      <c r="GK72">
        <f>IF(ISBLANK('Data Entry'!$ā$72), "", 'Data Entry'!$ā$72)</f>
      </c>
      <c r="GL72">
        <f>IF(ISBLANK('Data Entry'!$Ă$72), "", 'Data Entry'!$Ă$72)</f>
      </c>
      <c r="GM72">
        <f>IF(ISBLANK('Data Entry'!$ă$72), "", 'Data Entry'!$ă$72)</f>
      </c>
      <c r="GN72">
        <f>IF(ISBLANK('Data Entry'!$Ą$72), "", 'Data Entry'!$Ą$72)</f>
      </c>
      <c r="GO72">
        <f>IF(ISBLANK('Data Entry'!$ą$72), "", 'Data Entry'!$ą$72)</f>
      </c>
      <c r="GP72">
        <f>IF(ISBLANK('Data Entry'!$Ć$72), "", 'Data Entry'!$Ć$72)</f>
      </c>
      <c r="GQ72">
        <f>IF(ISBLANK('Data Entry'!$ć$72), "", 'Data Entry'!$ć$72)</f>
      </c>
      <c r="GR72">
        <f>IF(ISBLANK('Data Entry'!$Ĉ$72), "", 'Data Entry'!$Ĉ$72)</f>
      </c>
      <c r="GS72">
        <f>IF(ISBLANK('Data Entry'!$ĉ$72), "", 'Data Entry'!$ĉ$72)</f>
      </c>
      <c r="GT72">
        <f>IF(ISBLANK('Data Entry'!$Ċ$72), "", 'Data Entry'!$Ċ$72)</f>
      </c>
      <c r="GU72">
        <f>IF(ISBLANK('Data Entry'!$ċ$72), "", 'Data Entry'!$ċ$72)</f>
      </c>
      <c r="GV72">
        <f>IF(ISBLANK('Data Entry'!$Č$72), "", 'Data Entry'!$Č$72)</f>
      </c>
      <c r="GW72">
        <f>IF(ISBLANK('Data Entry'!$č$72), "", 'Data Entry'!$č$72)</f>
      </c>
      <c r="GX72">
        <f>IF(ISBLANK('Data Entry'!$Ď$72), "", 'Data Entry'!$Ď$72)</f>
      </c>
      <c r="GY72">
        <f>IF(ISBLANK('Data Entry'!$ď$72), "", 'Data Entry'!$ď$72)</f>
      </c>
      <c r="GZ72">
        <f>IF(ISBLANK('Data Entry'!$Đ$72), "", 'Data Entry'!$Đ$72)</f>
      </c>
      <c r="HA72">
        <f>IF(ISBLANK('Data Entry'!$đ$72), "", 'Data Entry'!$đ$72)</f>
      </c>
      <c r="HB72">
        <f>IF(ISBLANK('Data Entry'!$Ē$72), "", 'Data Entry'!$Ē$72)</f>
      </c>
      <c r="HC72">
        <f>IF(ISBLANK('Data Entry'!$ē$72), "", 'Data Entry'!$ē$72)</f>
      </c>
      <c r="HD72">
        <f>IF(ISBLANK('Data Entry'!$Ĕ$72), "", 'Data Entry'!$Ĕ$72)</f>
      </c>
      <c r="HE72">
        <f>IF(ISBLANK('Data Entry'!$ĕ$72), "", 'Data Entry'!$ĕ$72)</f>
      </c>
      <c r="HF72">
        <f>IF(ISBLANK('Data Entry'!$Ė$72), "", 'Data Entry'!$Ė$72)</f>
      </c>
      <c r="HG72">
        <f>IF(ISBLANK('Data Entry'!$ė$72), "", 'Data Entry'!$ė$72)</f>
      </c>
      <c r="HH72">
        <f>IF(ISBLANK('Data Entry'!$Ę$72), "", 'Data Entry'!$Ę$72)</f>
      </c>
      <c r="HI72">
        <f>IF(ISBLANK('Data Entry'!$ę$72), "", 'Data Entry'!$ę$72)</f>
      </c>
      <c r="HJ72">
        <f>IF(ISBLANK('Data Entry'!$Ě$72), "", 'Data Entry'!$Ě$72)</f>
      </c>
      <c r="HK72">
        <f>IF(ISBLANK('Data Entry'!$ě$72), "", 'Data Entry'!$ě$72)</f>
      </c>
      <c r="HL72">
        <f>IF(ISBLANK('Data Entry'!$Ĝ$72), "", 'Data Entry'!$Ĝ$72)</f>
      </c>
      <c r="HM72">
        <f>IF(ISBLANK('Data Entry'!$ĝ$72), "", 'Data Entry'!$ĝ$72)</f>
      </c>
      <c r="HN72">
        <f>IF(ISBLANK('Data Entry'!$Ğ$72), "", 'Data Entry'!$Ğ$72)</f>
      </c>
      <c r="HO72">
        <f>IF(ISBLANK('Data Entry'!$ğ$72), "", 'Data Entry'!$ğ$72)</f>
      </c>
      <c r="HP72">
        <f>IF(ISBLANK('Data Entry'!$Ġ$72), "", 'Data Entry'!$Ġ$72)</f>
      </c>
      <c r="HQ72">
        <f>IF(ISBLANK('Data Entry'!$ġ$72), "", 'Data Entry'!$ġ$72)</f>
      </c>
      <c r="HR72">
        <f>IF(ISBLANK('Data Entry'!$Ģ$72), "", 'Data Entry'!$Ģ$72)</f>
      </c>
      <c r="HS72">
        <f>IF(ISBLANK('Data Entry'!$ģ$72), "", 'Data Entry'!$ģ$72)</f>
      </c>
      <c r="HT72">
        <f>IF(ISBLANK('Data Entry'!$Ĥ$72), "", 'Data Entry'!$Ĥ$72)</f>
      </c>
      <c r="HU72">
        <f>IF(ISBLANK('Data Entry'!$ĥ$72), "", 'Data Entry'!$ĥ$72)</f>
      </c>
      <c r="HV72">
        <f>IF(ISBLANK('Data Entry'!$Ħ$72), "", 'Data Entry'!$Ħ$72)</f>
      </c>
      <c r="HW72">
        <f>IF(ISBLANK('Data Entry'!$ħ$72), "", 'Data Entry'!$ħ$72)</f>
      </c>
      <c r="HX72">
        <f>IF(ISBLANK('Data Entry'!$Ĩ$72), "", 'Data Entry'!$Ĩ$72)</f>
      </c>
      <c r="HY72">
        <f>IF(ISBLANK('Data Entry'!$ĩ$72), "", 'Data Entry'!$ĩ$72)</f>
      </c>
      <c r="HZ72">
        <f>IF(ISBLANK('Data Entry'!$Ī$72), "", 'Data Entry'!$Ī$72)</f>
      </c>
      <c r="IA72">
        <f>IF(ISBLANK('Data Entry'!$ī$72), "", 'Data Entry'!$ī$72)</f>
      </c>
      <c r="IB72">
        <f>IF(ISBLANK('Data Entry'!$Ĭ$72), "", 'Data Entry'!$Ĭ$72)</f>
      </c>
      <c r="IC72">
        <f>IF(ISBLANK('Data Entry'!$ĭ$72), "", 'Data Entry'!$ĭ$72)</f>
      </c>
      <c r="ID72">
        <f>IF(ISBLANK('Data Entry'!$Į$72), "", 'Data Entry'!$Į$72)</f>
      </c>
      <c r="IE72">
        <f>IF(ISBLANK('Data Entry'!$į$72), "", 'Data Entry'!$į$72)</f>
      </c>
      <c r="IF72">
        <f>IF(ISBLANK('Data Entry'!$İ$72), "", 'Data Entry'!$İ$72)</f>
      </c>
      <c r="IG72">
        <f>IF(ISBLANK('Data Entry'!$ı$72), "", 'Data Entry'!$ı$72)</f>
      </c>
      <c r="IH72">
        <f>IF(ISBLANK('Data Entry'!$Ĳ$72), "", 'Data Entry'!$Ĳ$72)</f>
      </c>
      <c r="II72">
        <f>IF(ISBLANK('Data Entry'!$ĳ$72), "", 'Data Entry'!$ĳ$72)</f>
      </c>
      <c r="IJ72">
        <f>IF(ISBLANK('Data Entry'!$Ĵ$72), "", 'Data Entry'!$Ĵ$72)</f>
      </c>
      <c r="IK72">
        <f>IF(ISBLANK('Data Entry'!$ĵ$72), "", 'Data Entry'!$ĵ$72)</f>
      </c>
      <c r="IL72">
        <f>IF(ISBLANK('Data Entry'!$Ķ$72), "", 'Data Entry'!$Ķ$72)</f>
      </c>
      <c r="IM72">
        <f>IF(ISBLANK('Data Entry'!$ķ$72), "", 'Data Entry'!$ķ$72)</f>
      </c>
      <c r="IN72">
        <f>IF(ISBLANK('Data Entry'!$ĸ$72), "", 'Data Entry'!$ĸ$72)</f>
      </c>
      <c r="IO72">
        <f>IF(ISBLANK('Data Entry'!$Ĺ$72), "", 'Data Entry'!$Ĺ$72)</f>
      </c>
      <c r="IP72">
        <f>IF(ISBLANK('Data Entry'!$ĺ$72), "", 'Data Entry'!$ĺ$72)</f>
      </c>
      <c r="IQ72">
        <f>IF(ISBLANK('Data Entry'!$Ļ$72), "", 'Data Entry'!$Ļ$72)</f>
      </c>
      <c r="IR72">
        <f>IF(ISBLANK('Data Entry'!$ļ$72), "", 'Data Entry'!$ļ$72)</f>
      </c>
      <c r="IS72">
        <f>IF(ISBLANK('Data Entry'!$Ľ$72), "", 'Data Entry'!$Ľ$72)</f>
      </c>
      <c r="IT72">
        <f>IF(ISBLANK('Data Entry'!$ľ$72), "", 'Data Entry'!$ľ$72)</f>
      </c>
    </row>
    <row r="73" spans="1:254" x14ac:dyDescent="0.25">
      <c r="A73">
        <f>IF(ISBLANK('Data Entry'!$A$73), "", 'Data Entry'!$A$73)</f>
      </c>
      <c r="B73">
        <f>IF(ISBLANK('Data Entry'!$B$73), "", 'Data Entry'!$B$73)</f>
      </c>
      <c r="C73">
        <f>IF(ISBLANK('Data Entry'!$C$73), "", 'Data Entry'!$C$73)</f>
      </c>
      <c r="D73">
        <f>IF(ISBLANK('Data Entry'!$D$73), "", 'Data Entry'!$D$73)</f>
      </c>
      <c r="E73">
        <f>IF(ISBLANK('Data Entry'!$E$73), "", 'Data Entry'!$E$73)</f>
      </c>
      <c r="F73">
        <f>IF(ISBLANK('Data Entry'!$F$73), "", 'Data Entry'!$F$73)</f>
      </c>
      <c r="G73">
        <f>IF(ISBLANK('Data Entry'!$G$73), "", 'Data Entry'!$G$73)</f>
      </c>
      <c r="H73">
        <f>IF(ISBLANK('Data Entry'!$H$73), "", 'Data Entry'!$H$73)</f>
      </c>
      <c r="I73">
        <f>IF(ISBLANK('Data Entry'!$I$73), "", 'Data Entry'!$I$73)</f>
      </c>
      <c r="J73">
        <f>IF(ISBLANK('Data Entry'!$J$73), "", 'Data Entry'!$J$73)</f>
      </c>
      <c r="K73">
        <f>IF(ISBLANK('Data Entry'!$K$73), "", 'Data Entry'!$K$73)</f>
      </c>
      <c r="L73">
        <f>IF(ISBLANK('Data Entry'!$L$73), "", 'Data Entry'!$L$73)</f>
      </c>
      <c r="M73">
        <f>IF(ISBLANK('Data Entry'!$M$73), "", 'Data Entry'!$M$73)</f>
      </c>
      <c r="N73">
        <f>IF(ISBLANK('Data Entry'!$N$73), "", 'Data Entry'!$N$73)</f>
      </c>
      <c r="O73">
        <f>IF(ISBLANK('Data Entry'!$O$73), "", 'Data Entry'!$O$73)</f>
      </c>
      <c r="P73">
        <f>IF(ISBLANK('Data Entry'!$P$73), "", 'Data Entry'!$P$73)</f>
      </c>
      <c r="Q73">
        <f>IF(ISBLANK('Data Entry'!$Q$73), "", 'Data Entry'!$Q$73)</f>
      </c>
      <c r="R73">
        <f>IF(ISBLANK('Data Entry'!$R$73), "", 'Data Entry'!$R$73)</f>
      </c>
      <c r="S73">
        <f>IF(ISBLANK('Data Entry'!$S$73), "", 'Data Entry'!$S$73)</f>
      </c>
      <c r="T73">
        <f>IF(ISBLANK('Data Entry'!$T$73), "", 'Data Entry'!$T$73)</f>
      </c>
      <c r="U73">
        <f>IF(ISBLANK('Data Entry'!$U$73), "", 'Data Entry'!$U$73)</f>
      </c>
      <c r="V73">
        <f>IF(ISBLANK('Data Entry'!$V$73), "", 'Data Entry'!$V$73)</f>
      </c>
      <c r="W73">
        <f>IF(ISBLANK('Data Entry'!$W$73), "", 'Data Entry'!$W$73)</f>
      </c>
      <c r="X73">
        <f>IF(ISBLANK('Data Entry'!$X$73), "", 'Data Entry'!$X$73)</f>
      </c>
      <c r="Y73">
        <f>IF(ISBLANK('Data Entry'!$Y$73), "", 'Data Entry'!$Y$73)</f>
      </c>
      <c r="Z73">
        <f>IF(ISBLANK('Data Entry'!$Z$73), "", 'Data Entry'!$Z$73)</f>
      </c>
      <c r="AA73">
        <f>IF(ISBLANK('Data Entry'!$[$73), "", 'Data Entry'!$[$73)</f>
      </c>
      <c r="AB73">
        <f>IF(ISBLANK('Data Entry'!$\$73), "", 'Data Entry'!$\$73)</f>
      </c>
      <c r="AC73">
        <f>IF(ISBLANK('Data Entry'!$]$73), "", 'Data Entry'!$]$73)</f>
      </c>
      <c r="AD73">
        <f>IF(ISBLANK('Data Entry'!$^$73), "", 'Data Entry'!$^$73)</f>
      </c>
      <c r="AE73">
        <f>IF(ISBLANK('Data Entry'!$_$73), "", 'Data Entry'!$_$73)</f>
      </c>
      <c r="AF73">
        <f>IF(ISBLANK('Data Entry'!$`$73), "", 'Data Entry'!$`$73)</f>
      </c>
      <c r="AG73">
        <f>IF(ISBLANK('Data Entry'!$a$73), "", 'Data Entry'!$a$73)</f>
      </c>
      <c r="AH73">
        <f>IF(ISBLANK('Data Entry'!$b$73), "", 'Data Entry'!$b$73)</f>
      </c>
      <c r="AI73">
        <f>IF(ISBLANK('Data Entry'!$c$73), "", 'Data Entry'!$c$73)</f>
      </c>
      <c r="AJ73">
        <f>IF(ISBLANK('Data Entry'!$d$73), "", 'Data Entry'!$d$73)</f>
      </c>
      <c r="AK73">
        <f>IF(ISBLANK('Data Entry'!$e$73), "", 'Data Entry'!$e$73)</f>
      </c>
      <c r="AL73">
        <f>IF(ISBLANK('Data Entry'!$f$73), "", 'Data Entry'!$f$73)</f>
      </c>
      <c r="AM73">
        <f>IF(ISBLANK('Data Entry'!$g$73), "", 'Data Entry'!$g$73)</f>
      </c>
      <c r="AN73">
        <f>IF(ISBLANK('Data Entry'!$h$73), "", 'Data Entry'!$h$73)</f>
      </c>
      <c r="AO73">
        <f>IF(ISBLANK('Data Entry'!$i$73), "", 'Data Entry'!$i$73)</f>
      </c>
      <c r="AP73">
        <f>IF(ISBLANK('Data Entry'!$j$73), "", 'Data Entry'!$j$73)</f>
      </c>
      <c r="AQ73">
        <f>IF(ISBLANK('Data Entry'!$k$73), "", 'Data Entry'!$k$73)</f>
      </c>
      <c r="AR73">
        <f>IF(ISBLANK('Data Entry'!$l$73), "", 'Data Entry'!$l$73)</f>
      </c>
      <c r="AS73">
        <f>IF(ISBLANK('Data Entry'!$m$73), "", 'Data Entry'!$m$73)</f>
      </c>
      <c r="AT73">
        <f>IF(ISBLANK('Data Entry'!$n$73), "", 'Data Entry'!$n$73)</f>
      </c>
      <c r="AU73">
        <f>IF(ISBLANK('Data Entry'!$o$73), "", 'Data Entry'!$o$73)</f>
      </c>
      <c r="AV73">
        <f>IF(ISBLANK('Data Entry'!$p$73), "", 'Data Entry'!$p$73)</f>
      </c>
      <c r="AW73">
        <f>IF(ISBLANK('Data Entry'!$q$73), "", 'Data Entry'!$q$73)</f>
      </c>
      <c r="AX73">
        <f>IF(ISBLANK('Data Entry'!$r$73), "", 'Data Entry'!$r$73)</f>
      </c>
      <c r="AY73">
        <f>IF(ISBLANK('Data Entry'!$s$73), "", 'Data Entry'!$s$73)</f>
      </c>
      <c r="AZ73">
        <f>IF(ISBLANK('Data Entry'!$t$73), "", 'Data Entry'!$t$73)</f>
      </c>
      <c r="BA73">
        <f>IF(ISBLANK('Data Entry'!$u$73), "", 'Data Entry'!$u$73)</f>
      </c>
      <c r="BB73">
        <f>IF(ISBLANK('Data Entry'!$v$73), "", 'Data Entry'!$v$73)</f>
      </c>
      <c r="BC73">
        <f>IF(ISBLANK('Data Entry'!$w$73), "", 'Data Entry'!$w$73)</f>
      </c>
      <c r="BD73">
        <f>IF(ISBLANK('Data Entry'!$x$73), "", 'Data Entry'!$x$73)</f>
      </c>
      <c r="BE73">
        <f>IF(ISBLANK('Data Entry'!$y$73), "", 'Data Entry'!$y$73)</f>
      </c>
      <c r="BF73">
        <f>IF(ISBLANK('Data Entry'!$z$73), "", 'Data Entry'!$z$73)</f>
      </c>
      <c r="BG73">
        <f>IF(ISBLANK('Data Entry'!${$73), "", 'Data Entry'!${$73)</f>
      </c>
      <c r="BH73">
        <f>IF(ISBLANK('Data Entry'!$|$73), "", 'Data Entry'!$|$73)</f>
      </c>
      <c r="BI73">
        <f>IF(ISBLANK('Data Entry'!$}$73), "", 'Data Entry'!$}$73)</f>
      </c>
      <c r="BJ73">
        <f>IF(ISBLANK('Data Entry'!$~$73), "", 'Data Entry'!$~$73)</f>
      </c>
      <c r="BK73">
        <f>IF(ISBLANK('Data Entry'!$$73), "", 'Data Entry'!$$73)</f>
      </c>
      <c r="BL73">
        <f>IF(ISBLANK('Data Entry'!$$73), "", 'Data Entry'!$$73)</f>
      </c>
      <c r="BM73">
        <f>IF(ISBLANK('Data Entry'!$$73), "", 'Data Entry'!$$73)</f>
      </c>
      <c r="BN73">
        <f>IF(ISBLANK('Data Entry'!$$73), "", 'Data Entry'!$$73)</f>
      </c>
      <c r="BO73">
        <f>IF(ISBLANK('Data Entry'!$$73), "", 'Data Entry'!$$73)</f>
      </c>
      <c r="BP73">
        <f>IF(ISBLANK('Data Entry'!$$73), "", 'Data Entry'!$$73)</f>
      </c>
      <c r="BQ73">
        <f>IF(ISBLANK('Data Entry'!$$73), "", 'Data Entry'!$$73)</f>
      </c>
      <c r="BR73">
        <f>IF(ISBLANK('Data Entry'!$$73), "", 'Data Entry'!$$73)</f>
      </c>
      <c r="BS73">
        <f>IF(ISBLANK('Data Entry'!$$73), "", 'Data Entry'!$$73)</f>
      </c>
      <c r="BT73">
        <f>IF(ISBLANK('Data Entry'!$$73), "", 'Data Entry'!$$73)</f>
      </c>
      <c r="BU73">
        <f>IF(ISBLANK('Data Entry'!$$73), "", 'Data Entry'!$$73)</f>
      </c>
      <c r="BV73">
        <f>IF(ISBLANK('Data Entry'!$$73), "", 'Data Entry'!$$73)</f>
      </c>
      <c r="BW73">
        <f>IF(ISBLANK('Data Entry'!$$73), "", 'Data Entry'!$$73)</f>
      </c>
      <c r="BX73">
        <f>IF(ISBLANK('Data Entry'!$$73), "", 'Data Entry'!$$73)</f>
      </c>
      <c r="BY73">
        <f>IF(ISBLANK('Data Entry'!$$73), "", 'Data Entry'!$$73)</f>
      </c>
      <c r="BZ73">
        <f>IF(ISBLANK('Data Entry'!$$73), "", 'Data Entry'!$$73)</f>
      </c>
      <c r="CA73">
        <f>IF(ISBLANK('Data Entry'!$$73), "", 'Data Entry'!$$73)</f>
      </c>
      <c r="CB73">
        <f>IF(ISBLANK('Data Entry'!$$73), "", 'Data Entry'!$$73)</f>
      </c>
      <c r="CC73">
        <f>IF(ISBLANK('Data Entry'!$$73), "", 'Data Entry'!$$73)</f>
      </c>
      <c r="CD73">
        <f>IF(ISBLANK('Data Entry'!$$73), "", 'Data Entry'!$$73)</f>
      </c>
      <c r="CE73">
        <f>IF(ISBLANK('Data Entry'!$$73), "", 'Data Entry'!$$73)</f>
      </c>
      <c r="CF73">
        <f>IF(ISBLANK('Data Entry'!$$73), "", 'Data Entry'!$$73)</f>
      </c>
      <c r="CG73">
        <f>IF(ISBLANK('Data Entry'!$$73), "", 'Data Entry'!$$73)</f>
      </c>
      <c r="CH73">
        <f>IF(ISBLANK('Data Entry'!$$73), "", 'Data Entry'!$$73)</f>
      </c>
      <c r="CI73">
        <f>IF(ISBLANK('Data Entry'!$$73), "", 'Data Entry'!$$73)</f>
      </c>
      <c r="CJ73">
        <f>IF(ISBLANK('Data Entry'!$$73), "", 'Data Entry'!$$73)</f>
      </c>
      <c r="CK73">
        <f>IF(ISBLANK('Data Entry'!$$73), "", 'Data Entry'!$$73)</f>
      </c>
      <c r="CL73">
        <f>IF(ISBLANK('Data Entry'!$$73), "", 'Data Entry'!$$73)</f>
      </c>
      <c r="CM73">
        <f>IF(ISBLANK('Data Entry'!$$73), "", 'Data Entry'!$$73)</f>
      </c>
      <c r="CN73">
        <f>IF(ISBLANK('Data Entry'!$$73), "", 'Data Entry'!$$73)</f>
      </c>
      <c r="CO73">
        <f>IF(ISBLANK('Data Entry'!$$73), "", 'Data Entry'!$$73)</f>
      </c>
      <c r="CP73">
        <f>IF(ISBLANK('Data Entry'!$$73), "", 'Data Entry'!$$73)</f>
      </c>
      <c r="CQ73">
        <f>IF(ISBLANK('Data Entry'!$$73), "", 'Data Entry'!$$73)</f>
      </c>
      <c r="CR73">
        <f>IF(ISBLANK('Data Entry'!$ $73), "", 'Data Entry'!$ $73)</f>
      </c>
      <c r="CS73">
        <f>IF(ISBLANK('Data Entry'!$¡$73), "", 'Data Entry'!$¡$73)</f>
      </c>
      <c r="CT73">
        <f>IF(ISBLANK('Data Entry'!$¢$73), "", 'Data Entry'!$¢$73)</f>
      </c>
      <c r="CU73">
        <f>IF(ISBLANK('Data Entry'!$£$73), "", 'Data Entry'!$£$73)</f>
      </c>
      <c r="CV73">
        <f>IF(ISBLANK('Data Entry'!$¤$73), "", 'Data Entry'!$¤$73)</f>
      </c>
      <c r="CW73">
        <f>IF(ISBLANK('Data Entry'!$¥$73), "", 'Data Entry'!$¥$73)</f>
      </c>
      <c r="CX73">
        <f>IF(ISBLANK('Data Entry'!$¦$73), "", 'Data Entry'!$¦$73)</f>
      </c>
      <c r="CY73">
        <f>IF(ISBLANK('Data Entry'!$§$73), "", 'Data Entry'!$§$73)</f>
      </c>
      <c r="CZ73">
        <f>IF(ISBLANK('Data Entry'!$¨$73), "", 'Data Entry'!$¨$73)</f>
      </c>
      <c r="DA73">
        <f>IF(ISBLANK('Data Entry'!$©$73), "", 'Data Entry'!$©$73)</f>
      </c>
      <c r="DB73">
        <f>IF(ISBLANK('Data Entry'!$ª$73), "", 'Data Entry'!$ª$73)</f>
      </c>
      <c r="DC73">
        <f>IF(ISBLANK('Data Entry'!$«$73), "", 'Data Entry'!$«$73)</f>
      </c>
      <c r="DD73">
        <f>IF(ISBLANK('Data Entry'!$¬$73), "", 'Data Entry'!$¬$73)</f>
      </c>
      <c r="DE73">
        <f>IF(ISBLANK('Data Entry'!$­$73), "", 'Data Entry'!$­$73)</f>
      </c>
      <c r="DF73">
        <f>IF(ISBLANK('Data Entry'!$®$73), "", 'Data Entry'!$®$73)</f>
      </c>
      <c r="DG73">
        <f>IF(ISBLANK('Data Entry'!$¯$73), "", 'Data Entry'!$¯$73)</f>
      </c>
      <c r="DH73">
        <f>IF(ISBLANK('Data Entry'!$°$73), "", 'Data Entry'!$°$73)</f>
      </c>
      <c r="DI73">
        <f>IF(ISBLANK('Data Entry'!$±$73), "", 'Data Entry'!$±$73)</f>
      </c>
      <c r="DJ73">
        <f>IF(ISBLANK('Data Entry'!$²$73), "", 'Data Entry'!$²$73)</f>
      </c>
      <c r="DK73">
        <f>IF(ISBLANK('Data Entry'!$³$73), "", 'Data Entry'!$³$73)</f>
      </c>
      <c r="DL73">
        <f>IF(ISBLANK('Data Entry'!$´$73), "", 'Data Entry'!$´$73)</f>
      </c>
      <c r="DM73">
        <f>IF(ISBLANK('Data Entry'!$µ$73), "", 'Data Entry'!$µ$73)</f>
      </c>
      <c r="DN73">
        <f>IF(ISBLANK('Data Entry'!$¶$73), "", 'Data Entry'!$¶$73)</f>
      </c>
      <c r="DO73">
        <f>IF(ISBLANK('Data Entry'!$·$73), "", 'Data Entry'!$·$73)</f>
      </c>
      <c r="DP73">
        <f>IF(ISBLANK('Data Entry'!$¸$73), "", 'Data Entry'!$¸$73)</f>
      </c>
      <c r="DQ73">
        <f>IF(ISBLANK('Data Entry'!$¹$73), "", 'Data Entry'!$¹$73)</f>
      </c>
      <c r="DR73">
        <f>IF(ISBLANK('Data Entry'!$º$73), "", 'Data Entry'!$º$73)</f>
      </c>
      <c r="DS73">
        <f>IF(ISBLANK('Data Entry'!$»$73), "", 'Data Entry'!$»$73)</f>
      </c>
      <c r="DT73">
        <f>IF(ISBLANK('Data Entry'!$¼$73), "", 'Data Entry'!$¼$73)</f>
      </c>
      <c r="DU73">
        <f>IF(ISBLANK('Data Entry'!$½$73), "", 'Data Entry'!$½$73)</f>
      </c>
      <c r="DV73">
        <f>IF(ISBLANK('Data Entry'!$¾$73), "", 'Data Entry'!$¾$73)</f>
      </c>
      <c r="DW73">
        <f>IF(ISBLANK('Data Entry'!$¿$73), "", 'Data Entry'!$¿$73)</f>
      </c>
      <c r="DX73">
        <f>IF(ISBLANK('Data Entry'!$À$73), "", 'Data Entry'!$À$73)</f>
      </c>
      <c r="DY73">
        <f>IF(ISBLANK('Data Entry'!$Á$73), "", 'Data Entry'!$Á$73)</f>
      </c>
      <c r="DZ73">
        <f>IF(ISBLANK('Data Entry'!$Â$73), "", 'Data Entry'!$Â$73)</f>
      </c>
      <c r="EA73">
        <f>IF(ISBLANK('Data Entry'!$Ã$73), "", 'Data Entry'!$Ã$73)</f>
      </c>
      <c r="EB73">
        <f>IF(ISBLANK('Data Entry'!$Ä$73), "", 'Data Entry'!$Ä$73)</f>
      </c>
      <c r="EC73">
        <f>IF(ISBLANK('Data Entry'!$Å$73), "", 'Data Entry'!$Å$73)</f>
      </c>
      <c r="ED73">
        <f>IF(ISBLANK('Data Entry'!$Æ$73), "", 'Data Entry'!$Æ$73)</f>
      </c>
      <c r="EE73">
        <f>IF(ISBLANK('Data Entry'!$Ç$73), "", 'Data Entry'!$Ç$73)</f>
      </c>
      <c r="EF73">
        <f>IF(ISBLANK('Data Entry'!$È$73), "", 'Data Entry'!$È$73)</f>
      </c>
      <c r="EG73">
        <f>IF(ISBLANK('Data Entry'!$É$73), "", 'Data Entry'!$É$73)</f>
      </c>
      <c r="EH73">
        <f>IF(ISBLANK('Data Entry'!$Ê$73), "", 'Data Entry'!$Ê$73)</f>
      </c>
      <c r="EI73">
        <f>IF(ISBLANK('Data Entry'!$Ë$73), "", 'Data Entry'!$Ë$73)</f>
      </c>
      <c r="EJ73">
        <f>IF(ISBLANK('Data Entry'!$Ì$73), "", 'Data Entry'!$Ì$73)</f>
      </c>
      <c r="EK73">
        <f>IF(ISBLANK('Data Entry'!$Í$73), "", 'Data Entry'!$Í$73)</f>
      </c>
      <c r="EL73">
        <f>IF(ISBLANK('Data Entry'!$Î$73), "", 'Data Entry'!$Î$73)</f>
      </c>
      <c r="EM73">
        <f>IF(ISBLANK('Data Entry'!$Ï$73), "", 'Data Entry'!$Ï$73)</f>
      </c>
      <c r="EN73">
        <f>IF(ISBLANK('Data Entry'!$Ð$73), "", 'Data Entry'!$Ð$73)</f>
      </c>
      <c r="EO73">
        <f>IF(ISBLANK('Data Entry'!$Ñ$73), "", 'Data Entry'!$Ñ$73)</f>
      </c>
      <c r="EP73">
        <f>IF(ISBLANK('Data Entry'!$Ò$73), "", 'Data Entry'!$Ò$73)</f>
      </c>
      <c r="EQ73">
        <f>IF(ISBLANK('Data Entry'!$Ó$73), "", 'Data Entry'!$Ó$73)</f>
      </c>
      <c r="ER73">
        <f>IF(ISBLANK('Data Entry'!$Ô$73), "", 'Data Entry'!$Ô$73)</f>
      </c>
      <c r="ES73">
        <f>IF(ISBLANK('Data Entry'!$Õ$73), "", 'Data Entry'!$Õ$73)</f>
      </c>
      <c r="ET73">
        <f>IF(ISBLANK('Data Entry'!$Ö$73), "", 'Data Entry'!$Ö$73)</f>
      </c>
      <c r="EU73">
        <f>IF(ISBLANK('Data Entry'!$×$73), "", 'Data Entry'!$×$73)</f>
      </c>
      <c r="EV73">
        <f>IF(ISBLANK('Data Entry'!$Ø$73), "", 'Data Entry'!$Ø$73)</f>
      </c>
      <c r="EW73">
        <f>IF(ISBLANK('Data Entry'!$Ù$73), "", 'Data Entry'!$Ù$73)</f>
      </c>
      <c r="EX73">
        <f>IF(ISBLANK('Data Entry'!$Ú$73), "", 'Data Entry'!$Ú$73)</f>
      </c>
      <c r="EY73">
        <f>IF(ISBLANK('Data Entry'!$Û$73), "", 'Data Entry'!$Û$73)</f>
      </c>
      <c r="EZ73">
        <f>IF(ISBLANK('Data Entry'!$Ü$73), "", 'Data Entry'!$Ü$73)</f>
      </c>
      <c r="FA73">
        <f>IF(ISBLANK('Data Entry'!$Ý$73), "", 'Data Entry'!$Ý$73)</f>
      </c>
      <c r="FB73">
        <f>IF(ISBLANK('Data Entry'!$Þ$73), "", 'Data Entry'!$Þ$73)</f>
      </c>
      <c r="FC73">
        <f>IF(ISBLANK('Data Entry'!$ß$73), "", 'Data Entry'!$ß$73)</f>
      </c>
      <c r="FD73">
        <f>IF(ISBLANK('Data Entry'!$à$73), "", 'Data Entry'!$à$73)</f>
      </c>
      <c r="FE73">
        <f>IF(ISBLANK('Data Entry'!$á$73), "", 'Data Entry'!$á$73)</f>
      </c>
      <c r="FF73">
        <f>IF(ISBLANK('Data Entry'!$â$73), "", 'Data Entry'!$â$73)</f>
      </c>
      <c r="FG73">
        <f>IF(ISBLANK('Data Entry'!$ã$73), "", 'Data Entry'!$ã$73)</f>
      </c>
      <c r="FH73">
        <f>IF(ISBLANK('Data Entry'!$ä$73), "", 'Data Entry'!$ä$73)</f>
      </c>
      <c r="FI73">
        <f>IF(ISBLANK('Data Entry'!$å$73), "", 'Data Entry'!$å$73)</f>
      </c>
      <c r="FJ73">
        <f>IF(ISBLANK('Data Entry'!$æ$73), "", 'Data Entry'!$æ$73)</f>
      </c>
      <c r="FK73">
        <f>IF(ISBLANK('Data Entry'!$ç$73), "", 'Data Entry'!$ç$73)</f>
      </c>
      <c r="FL73">
        <f>IF(ISBLANK('Data Entry'!$è$73), "", 'Data Entry'!$è$73)</f>
      </c>
      <c r="FM73">
        <f>IF(ISBLANK('Data Entry'!$é$73), "", 'Data Entry'!$é$73)</f>
      </c>
      <c r="FN73">
        <f>IF(ISBLANK('Data Entry'!$ê$73), "", 'Data Entry'!$ê$73)</f>
      </c>
      <c r="FO73">
        <f>IF(ISBLANK('Data Entry'!$ë$73), "", 'Data Entry'!$ë$73)</f>
      </c>
      <c r="FP73">
        <f>IF(ISBLANK('Data Entry'!$ì$73), "", 'Data Entry'!$ì$73)</f>
      </c>
      <c r="FQ73">
        <f>IF(ISBLANK('Data Entry'!$í$73), "", 'Data Entry'!$í$73)</f>
      </c>
      <c r="FR73">
        <f>IF(ISBLANK('Data Entry'!$î$73), "", 'Data Entry'!$î$73)</f>
      </c>
      <c r="FS73">
        <f>IF(ISBLANK('Data Entry'!$ï$73), "", 'Data Entry'!$ï$73)</f>
      </c>
      <c r="FT73">
        <f>IF(ISBLANK('Data Entry'!$ð$73), "", 'Data Entry'!$ð$73)</f>
      </c>
      <c r="FU73">
        <f>IF(ISBLANK('Data Entry'!$ñ$73), "", 'Data Entry'!$ñ$73)</f>
      </c>
      <c r="FV73">
        <f>IF(ISBLANK('Data Entry'!$ò$73), "", 'Data Entry'!$ò$73)</f>
      </c>
      <c r="FW73">
        <f>IF(ISBLANK('Data Entry'!$ó$73), "", 'Data Entry'!$ó$73)</f>
      </c>
      <c r="FX73">
        <f>IF(ISBLANK('Data Entry'!$ô$73), "", 'Data Entry'!$ô$73)</f>
      </c>
      <c r="FY73">
        <f>IF(ISBLANK('Data Entry'!$õ$73), "", 'Data Entry'!$õ$73)</f>
      </c>
      <c r="FZ73">
        <f>IF(ISBLANK('Data Entry'!$ö$73), "", 'Data Entry'!$ö$73)</f>
      </c>
      <c r="GA73">
        <f>IF(ISBLANK('Data Entry'!$÷$73), "", 'Data Entry'!$÷$73)</f>
      </c>
      <c r="GB73">
        <f>IF(ISBLANK('Data Entry'!$ø$73), "", 'Data Entry'!$ø$73)</f>
      </c>
      <c r="GC73">
        <f>IF(ISBLANK('Data Entry'!$ù$73), "", 'Data Entry'!$ù$73)</f>
      </c>
      <c r="GD73">
        <f>IF(ISBLANK('Data Entry'!$ú$73), "", 'Data Entry'!$ú$73)</f>
      </c>
      <c r="GE73">
        <f>IF(ISBLANK('Data Entry'!$û$73), "", 'Data Entry'!$û$73)</f>
      </c>
      <c r="GF73">
        <f>IF(ISBLANK('Data Entry'!$ü$73), "", 'Data Entry'!$ü$73)</f>
      </c>
      <c r="GG73">
        <f>IF(ISBLANK('Data Entry'!$ý$73), "", 'Data Entry'!$ý$73)</f>
      </c>
      <c r="GH73">
        <f>IF(ISBLANK('Data Entry'!$þ$73), "", 'Data Entry'!$þ$73)</f>
      </c>
      <c r="GI73">
        <f>IF(ISBLANK('Data Entry'!$ÿ$73), "", 'Data Entry'!$ÿ$73)</f>
      </c>
      <c r="GJ73">
        <f>IF(ISBLANK('Data Entry'!$Ā$73), "", 'Data Entry'!$Ā$73)</f>
      </c>
      <c r="GK73">
        <f>IF(ISBLANK('Data Entry'!$ā$73), "", 'Data Entry'!$ā$73)</f>
      </c>
      <c r="GL73">
        <f>IF(ISBLANK('Data Entry'!$Ă$73), "", 'Data Entry'!$Ă$73)</f>
      </c>
      <c r="GM73">
        <f>IF(ISBLANK('Data Entry'!$ă$73), "", 'Data Entry'!$ă$73)</f>
      </c>
      <c r="GN73">
        <f>IF(ISBLANK('Data Entry'!$Ą$73), "", 'Data Entry'!$Ą$73)</f>
      </c>
      <c r="GO73">
        <f>IF(ISBLANK('Data Entry'!$ą$73), "", 'Data Entry'!$ą$73)</f>
      </c>
      <c r="GP73">
        <f>IF(ISBLANK('Data Entry'!$Ć$73), "", 'Data Entry'!$Ć$73)</f>
      </c>
      <c r="GQ73">
        <f>IF(ISBLANK('Data Entry'!$ć$73), "", 'Data Entry'!$ć$73)</f>
      </c>
      <c r="GR73">
        <f>IF(ISBLANK('Data Entry'!$Ĉ$73), "", 'Data Entry'!$Ĉ$73)</f>
      </c>
      <c r="GS73">
        <f>IF(ISBLANK('Data Entry'!$ĉ$73), "", 'Data Entry'!$ĉ$73)</f>
      </c>
      <c r="GT73">
        <f>IF(ISBLANK('Data Entry'!$Ċ$73), "", 'Data Entry'!$Ċ$73)</f>
      </c>
      <c r="GU73">
        <f>IF(ISBLANK('Data Entry'!$ċ$73), "", 'Data Entry'!$ċ$73)</f>
      </c>
      <c r="GV73">
        <f>IF(ISBLANK('Data Entry'!$Č$73), "", 'Data Entry'!$Č$73)</f>
      </c>
      <c r="GW73">
        <f>IF(ISBLANK('Data Entry'!$č$73), "", 'Data Entry'!$č$73)</f>
      </c>
      <c r="GX73">
        <f>IF(ISBLANK('Data Entry'!$Ď$73), "", 'Data Entry'!$Ď$73)</f>
      </c>
      <c r="GY73">
        <f>IF(ISBLANK('Data Entry'!$ď$73), "", 'Data Entry'!$ď$73)</f>
      </c>
      <c r="GZ73">
        <f>IF(ISBLANK('Data Entry'!$Đ$73), "", 'Data Entry'!$Đ$73)</f>
      </c>
      <c r="HA73">
        <f>IF(ISBLANK('Data Entry'!$đ$73), "", 'Data Entry'!$đ$73)</f>
      </c>
      <c r="HB73">
        <f>IF(ISBLANK('Data Entry'!$Ē$73), "", 'Data Entry'!$Ē$73)</f>
      </c>
      <c r="HC73">
        <f>IF(ISBLANK('Data Entry'!$ē$73), "", 'Data Entry'!$ē$73)</f>
      </c>
      <c r="HD73">
        <f>IF(ISBLANK('Data Entry'!$Ĕ$73), "", 'Data Entry'!$Ĕ$73)</f>
      </c>
      <c r="HE73">
        <f>IF(ISBLANK('Data Entry'!$ĕ$73), "", 'Data Entry'!$ĕ$73)</f>
      </c>
      <c r="HF73">
        <f>IF(ISBLANK('Data Entry'!$Ė$73), "", 'Data Entry'!$Ė$73)</f>
      </c>
      <c r="HG73">
        <f>IF(ISBLANK('Data Entry'!$ė$73), "", 'Data Entry'!$ė$73)</f>
      </c>
      <c r="HH73">
        <f>IF(ISBLANK('Data Entry'!$Ę$73), "", 'Data Entry'!$Ę$73)</f>
      </c>
      <c r="HI73">
        <f>IF(ISBLANK('Data Entry'!$ę$73), "", 'Data Entry'!$ę$73)</f>
      </c>
      <c r="HJ73">
        <f>IF(ISBLANK('Data Entry'!$Ě$73), "", 'Data Entry'!$Ě$73)</f>
      </c>
      <c r="HK73">
        <f>IF(ISBLANK('Data Entry'!$ě$73), "", 'Data Entry'!$ě$73)</f>
      </c>
      <c r="HL73">
        <f>IF(ISBLANK('Data Entry'!$Ĝ$73), "", 'Data Entry'!$Ĝ$73)</f>
      </c>
      <c r="HM73">
        <f>IF(ISBLANK('Data Entry'!$ĝ$73), "", 'Data Entry'!$ĝ$73)</f>
      </c>
      <c r="HN73">
        <f>IF(ISBLANK('Data Entry'!$Ğ$73), "", 'Data Entry'!$Ğ$73)</f>
      </c>
      <c r="HO73">
        <f>IF(ISBLANK('Data Entry'!$ğ$73), "", 'Data Entry'!$ğ$73)</f>
      </c>
      <c r="HP73">
        <f>IF(ISBLANK('Data Entry'!$Ġ$73), "", 'Data Entry'!$Ġ$73)</f>
      </c>
      <c r="HQ73">
        <f>IF(ISBLANK('Data Entry'!$ġ$73), "", 'Data Entry'!$ġ$73)</f>
      </c>
      <c r="HR73">
        <f>IF(ISBLANK('Data Entry'!$Ģ$73), "", 'Data Entry'!$Ģ$73)</f>
      </c>
      <c r="HS73">
        <f>IF(ISBLANK('Data Entry'!$ģ$73), "", 'Data Entry'!$ģ$73)</f>
      </c>
      <c r="HT73">
        <f>IF(ISBLANK('Data Entry'!$Ĥ$73), "", 'Data Entry'!$Ĥ$73)</f>
      </c>
      <c r="HU73">
        <f>IF(ISBLANK('Data Entry'!$ĥ$73), "", 'Data Entry'!$ĥ$73)</f>
      </c>
      <c r="HV73">
        <f>IF(ISBLANK('Data Entry'!$Ħ$73), "", 'Data Entry'!$Ħ$73)</f>
      </c>
      <c r="HW73">
        <f>IF(ISBLANK('Data Entry'!$ħ$73), "", 'Data Entry'!$ħ$73)</f>
      </c>
      <c r="HX73">
        <f>IF(ISBLANK('Data Entry'!$Ĩ$73), "", 'Data Entry'!$Ĩ$73)</f>
      </c>
      <c r="HY73">
        <f>IF(ISBLANK('Data Entry'!$ĩ$73), "", 'Data Entry'!$ĩ$73)</f>
      </c>
      <c r="HZ73">
        <f>IF(ISBLANK('Data Entry'!$Ī$73), "", 'Data Entry'!$Ī$73)</f>
      </c>
      <c r="IA73">
        <f>IF(ISBLANK('Data Entry'!$ī$73), "", 'Data Entry'!$ī$73)</f>
      </c>
      <c r="IB73">
        <f>IF(ISBLANK('Data Entry'!$Ĭ$73), "", 'Data Entry'!$Ĭ$73)</f>
      </c>
      <c r="IC73">
        <f>IF(ISBLANK('Data Entry'!$ĭ$73), "", 'Data Entry'!$ĭ$73)</f>
      </c>
      <c r="ID73">
        <f>IF(ISBLANK('Data Entry'!$Į$73), "", 'Data Entry'!$Į$73)</f>
      </c>
      <c r="IE73">
        <f>IF(ISBLANK('Data Entry'!$į$73), "", 'Data Entry'!$į$73)</f>
      </c>
      <c r="IF73">
        <f>IF(ISBLANK('Data Entry'!$İ$73), "", 'Data Entry'!$İ$73)</f>
      </c>
      <c r="IG73">
        <f>IF(ISBLANK('Data Entry'!$ı$73), "", 'Data Entry'!$ı$73)</f>
      </c>
      <c r="IH73">
        <f>IF(ISBLANK('Data Entry'!$Ĳ$73), "", 'Data Entry'!$Ĳ$73)</f>
      </c>
      <c r="II73">
        <f>IF(ISBLANK('Data Entry'!$ĳ$73), "", 'Data Entry'!$ĳ$73)</f>
      </c>
      <c r="IJ73">
        <f>IF(ISBLANK('Data Entry'!$Ĵ$73), "", 'Data Entry'!$Ĵ$73)</f>
      </c>
      <c r="IK73">
        <f>IF(ISBLANK('Data Entry'!$ĵ$73), "", 'Data Entry'!$ĵ$73)</f>
      </c>
      <c r="IL73">
        <f>IF(ISBLANK('Data Entry'!$Ķ$73), "", 'Data Entry'!$Ķ$73)</f>
      </c>
      <c r="IM73">
        <f>IF(ISBLANK('Data Entry'!$ķ$73), "", 'Data Entry'!$ķ$73)</f>
      </c>
      <c r="IN73">
        <f>IF(ISBLANK('Data Entry'!$ĸ$73), "", 'Data Entry'!$ĸ$73)</f>
      </c>
      <c r="IO73">
        <f>IF(ISBLANK('Data Entry'!$Ĺ$73), "", 'Data Entry'!$Ĺ$73)</f>
      </c>
      <c r="IP73">
        <f>IF(ISBLANK('Data Entry'!$ĺ$73), "", 'Data Entry'!$ĺ$73)</f>
      </c>
      <c r="IQ73">
        <f>IF(ISBLANK('Data Entry'!$Ļ$73), "", 'Data Entry'!$Ļ$73)</f>
      </c>
      <c r="IR73">
        <f>IF(ISBLANK('Data Entry'!$ļ$73), "", 'Data Entry'!$ļ$73)</f>
      </c>
      <c r="IS73">
        <f>IF(ISBLANK('Data Entry'!$Ľ$73), "", 'Data Entry'!$Ľ$73)</f>
      </c>
      <c r="IT73">
        <f>IF(ISBLANK('Data Entry'!$ľ$73), "", 'Data Entry'!$ľ$73)</f>
      </c>
    </row>
    <row r="74" spans="1:254" x14ac:dyDescent="0.25">
      <c r="A74">
        <f>IF(ISBLANK('Data Entry'!$A$74), "", 'Data Entry'!$A$74)</f>
      </c>
      <c r="B74">
        <f>IF(ISBLANK('Data Entry'!$B$74), "", 'Data Entry'!$B$74)</f>
      </c>
      <c r="C74">
        <f>IF(ISBLANK('Data Entry'!$C$74), "", 'Data Entry'!$C$74)</f>
      </c>
      <c r="D74">
        <f>IF(ISBLANK('Data Entry'!$D$74), "", 'Data Entry'!$D$74)</f>
      </c>
      <c r="E74">
        <f>IF(ISBLANK('Data Entry'!$E$74), "", 'Data Entry'!$E$74)</f>
      </c>
      <c r="F74">
        <f>IF(ISBLANK('Data Entry'!$F$74), "", 'Data Entry'!$F$74)</f>
      </c>
      <c r="G74">
        <f>IF(ISBLANK('Data Entry'!$G$74), "", 'Data Entry'!$G$74)</f>
      </c>
      <c r="H74">
        <f>IF(ISBLANK('Data Entry'!$H$74), "", 'Data Entry'!$H$74)</f>
      </c>
      <c r="I74">
        <f>IF(ISBLANK('Data Entry'!$I$74), "", 'Data Entry'!$I$74)</f>
      </c>
      <c r="J74">
        <f>IF(ISBLANK('Data Entry'!$J$74), "", 'Data Entry'!$J$74)</f>
      </c>
      <c r="K74">
        <f>IF(ISBLANK('Data Entry'!$K$74), "", 'Data Entry'!$K$74)</f>
      </c>
      <c r="L74">
        <f>IF(ISBLANK('Data Entry'!$L$74), "", 'Data Entry'!$L$74)</f>
      </c>
      <c r="M74">
        <f>IF(ISBLANK('Data Entry'!$M$74), "", 'Data Entry'!$M$74)</f>
      </c>
      <c r="N74">
        <f>IF(ISBLANK('Data Entry'!$N$74), "", 'Data Entry'!$N$74)</f>
      </c>
      <c r="O74">
        <f>IF(ISBLANK('Data Entry'!$O$74), "", 'Data Entry'!$O$74)</f>
      </c>
      <c r="P74">
        <f>IF(ISBLANK('Data Entry'!$P$74), "", 'Data Entry'!$P$74)</f>
      </c>
      <c r="Q74">
        <f>IF(ISBLANK('Data Entry'!$Q$74), "", 'Data Entry'!$Q$74)</f>
      </c>
      <c r="R74">
        <f>IF(ISBLANK('Data Entry'!$R$74), "", 'Data Entry'!$R$74)</f>
      </c>
      <c r="S74">
        <f>IF(ISBLANK('Data Entry'!$S$74), "", 'Data Entry'!$S$74)</f>
      </c>
      <c r="T74">
        <f>IF(ISBLANK('Data Entry'!$T$74), "", 'Data Entry'!$T$74)</f>
      </c>
      <c r="U74">
        <f>IF(ISBLANK('Data Entry'!$U$74), "", 'Data Entry'!$U$74)</f>
      </c>
      <c r="V74">
        <f>IF(ISBLANK('Data Entry'!$V$74), "", 'Data Entry'!$V$74)</f>
      </c>
      <c r="W74">
        <f>IF(ISBLANK('Data Entry'!$W$74), "", 'Data Entry'!$W$74)</f>
      </c>
      <c r="X74">
        <f>IF(ISBLANK('Data Entry'!$X$74), "", 'Data Entry'!$X$74)</f>
      </c>
      <c r="Y74">
        <f>IF(ISBLANK('Data Entry'!$Y$74), "", 'Data Entry'!$Y$74)</f>
      </c>
      <c r="Z74">
        <f>IF(ISBLANK('Data Entry'!$Z$74), "", 'Data Entry'!$Z$74)</f>
      </c>
      <c r="AA74">
        <f>IF(ISBLANK('Data Entry'!$[$74), "", 'Data Entry'!$[$74)</f>
      </c>
      <c r="AB74">
        <f>IF(ISBLANK('Data Entry'!$\$74), "", 'Data Entry'!$\$74)</f>
      </c>
      <c r="AC74">
        <f>IF(ISBLANK('Data Entry'!$]$74), "", 'Data Entry'!$]$74)</f>
      </c>
      <c r="AD74">
        <f>IF(ISBLANK('Data Entry'!$^$74), "", 'Data Entry'!$^$74)</f>
      </c>
      <c r="AE74">
        <f>IF(ISBLANK('Data Entry'!$_$74), "", 'Data Entry'!$_$74)</f>
      </c>
      <c r="AF74">
        <f>IF(ISBLANK('Data Entry'!$`$74), "", 'Data Entry'!$`$74)</f>
      </c>
      <c r="AG74">
        <f>IF(ISBLANK('Data Entry'!$a$74), "", 'Data Entry'!$a$74)</f>
      </c>
      <c r="AH74">
        <f>IF(ISBLANK('Data Entry'!$b$74), "", 'Data Entry'!$b$74)</f>
      </c>
      <c r="AI74">
        <f>IF(ISBLANK('Data Entry'!$c$74), "", 'Data Entry'!$c$74)</f>
      </c>
      <c r="AJ74">
        <f>IF(ISBLANK('Data Entry'!$d$74), "", 'Data Entry'!$d$74)</f>
      </c>
      <c r="AK74">
        <f>IF(ISBLANK('Data Entry'!$e$74), "", 'Data Entry'!$e$74)</f>
      </c>
      <c r="AL74">
        <f>IF(ISBLANK('Data Entry'!$f$74), "", 'Data Entry'!$f$74)</f>
      </c>
      <c r="AM74">
        <f>IF(ISBLANK('Data Entry'!$g$74), "", 'Data Entry'!$g$74)</f>
      </c>
      <c r="AN74">
        <f>IF(ISBLANK('Data Entry'!$h$74), "", 'Data Entry'!$h$74)</f>
      </c>
      <c r="AO74">
        <f>IF(ISBLANK('Data Entry'!$i$74), "", 'Data Entry'!$i$74)</f>
      </c>
      <c r="AP74">
        <f>IF(ISBLANK('Data Entry'!$j$74), "", 'Data Entry'!$j$74)</f>
      </c>
      <c r="AQ74">
        <f>IF(ISBLANK('Data Entry'!$k$74), "", 'Data Entry'!$k$74)</f>
      </c>
      <c r="AR74">
        <f>IF(ISBLANK('Data Entry'!$l$74), "", 'Data Entry'!$l$74)</f>
      </c>
      <c r="AS74">
        <f>IF(ISBLANK('Data Entry'!$m$74), "", 'Data Entry'!$m$74)</f>
      </c>
      <c r="AT74">
        <f>IF(ISBLANK('Data Entry'!$n$74), "", 'Data Entry'!$n$74)</f>
      </c>
      <c r="AU74">
        <f>IF(ISBLANK('Data Entry'!$o$74), "", 'Data Entry'!$o$74)</f>
      </c>
      <c r="AV74">
        <f>IF(ISBLANK('Data Entry'!$p$74), "", 'Data Entry'!$p$74)</f>
      </c>
      <c r="AW74">
        <f>IF(ISBLANK('Data Entry'!$q$74), "", 'Data Entry'!$q$74)</f>
      </c>
      <c r="AX74">
        <f>IF(ISBLANK('Data Entry'!$r$74), "", 'Data Entry'!$r$74)</f>
      </c>
      <c r="AY74">
        <f>IF(ISBLANK('Data Entry'!$s$74), "", 'Data Entry'!$s$74)</f>
      </c>
      <c r="AZ74">
        <f>IF(ISBLANK('Data Entry'!$t$74), "", 'Data Entry'!$t$74)</f>
      </c>
      <c r="BA74">
        <f>IF(ISBLANK('Data Entry'!$u$74), "", 'Data Entry'!$u$74)</f>
      </c>
      <c r="BB74">
        <f>IF(ISBLANK('Data Entry'!$v$74), "", 'Data Entry'!$v$74)</f>
      </c>
      <c r="BC74">
        <f>IF(ISBLANK('Data Entry'!$w$74), "", 'Data Entry'!$w$74)</f>
      </c>
      <c r="BD74">
        <f>IF(ISBLANK('Data Entry'!$x$74), "", 'Data Entry'!$x$74)</f>
      </c>
      <c r="BE74">
        <f>IF(ISBLANK('Data Entry'!$y$74), "", 'Data Entry'!$y$74)</f>
      </c>
      <c r="BF74">
        <f>IF(ISBLANK('Data Entry'!$z$74), "", 'Data Entry'!$z$74)</f>
      </c>
      <c r="BG74">
        <f>IF(ISBLANK('Data Entry'!${$74), "", 'Data Entry'!${$74)</f>
      </c>
      <c r="BH74">
        <f>IF(ISBLANK('Data Entry'!$|$74), "", 'Data Entry'!$|$74)</f>
      </c>
      <c r="BI74">
        <f>IF(ISBLANK('Data Entry'!$}$74), "", 'Data Entry'!$}$74)</f>
      </c>
      <c r="BJ74">
        <f>IF(ISBLANK('Data Entry'!$~$74), "", 'Data Entry'!$~$74)</f>
      </c>
      <c r="BK74">
        <f>IF(ISBLANK('Data Entry'!$$74), "", 'Data Entry'!$$74)</f>
      </c>
      <c r="BL74">
        <f>IF(ISBLANK('Data Entry'!$$74), "", 'Data Entry'!$$74)</f>
      </c>
      <c r="BM74">
        <f>IF(ISBLANK('Data Entry'!$$74), "", 'Data Entry'!$$74)</f>
      </c>
      <c r="BN74">
        <f>IF(ISBLANK('Data Entry'!$$74), "", 'Data Entry'!$$74)</f>
      </c>
      <c r="BO74">
        <f>IF(ISBLANK('Data Entry'!$$74), "", 'Data Entry'!$$74)</f>
      </c>
      <c r="BP74">
        <f>IF(ISBLANK('Data Entry'!$$74), "", 'Data Entry'!$$74)</f>
      </c>
      <c r="BQ74">
        <f>IF(ISBLANK('Data Entry'!$$74), "", 'Data Entry'!$$74)</f>
      </c>
      <c r="BR74">
        <f>IF(ISBLANK('Data Entry'!$$74), "", 'Data Entry'!$$74)</f>
      </c>
      <c r="BS74">
        <f>IF(ISBLANK('Data Entry'!$$74), "", 'Data Entry'!$$74)</f>
      </c>
      <c r="BT74">
        <f>IF(ISBLANK('Data Entry'!$$74), "", 'Data Entry'!$$74)</f>
      </c>
      <c r="BU74">
        <f>IF(ISBLANK('Data Entry'!$$74), "", 'Data Entry'!$$74)</f>
      </c>
      <c r="BV74">
        <f>IF(ISBLANK('Data Entry'!$$74), "", 'Data Entry'!$$74)</f>
      </c>
      <c r="BW74">
        <f>IF(ISBLANK('Data Entry'!$$74), "", 'Data Entry'!$$74)</f>
      </c>
      <c r="BX74">
        <f>IF(ISBLANK('Data Entry'!$$74), "", 'Data Entry'!$$74)</f>
      </c>
      <c r="BY74">
        <f>IF(ISBLANK('Data Entry'!$$74), "", 'Data Entry'!$$74)</f>
      </c>
      <c r="BZ74">
        <f>IF(ISBLANK('Data Entry'!$$74), "", 'Data Entry'!$$74)</f>
      </c>
      <c r="CA74">
        <f>IF(ISBLANK('Data Entry'!$$74), "", 'Data Entry'!$$74)</f>
      </c>
      <c r="CB74">
        <f>IF(ISBLANK('Data Entry'!$$74), "", 'Data Entry'!$$74)</f>
      </c>
      <c r="CC74">
        <f>IF(ISBLANK('Data Entry'!$$74), "", 'Data Entry'!$$74)</f>
      </c>
      <c r="CD74">
        <f>IF(ISBLANK('Data Entry'!$$74), "", 'Data Entry'!$$74)</f>
      </c>
      <c r="CE74">
        <f>IF(ISBLANK('Data Entry'!$$74), "", 'Data Entry'!$$74)</f>
      </c>
      <c r="CF74">
        <f>IF(ISBLANK('Data Entry'!$$74), "", 'Data Entry'!$$74)</f>
      </c>
      <c r="CG74">
        <f>IF(ISBLANK('Data Entry'!$$74), "", 'Data Entry'!$$74)</f>
      </c>
      <c r="CH74">
        <f>IF(ISBLANK('Data Entry'!$$74), "", 'Data Entry'!$$74)</f>
      </c>
      <c r="CI74">
        <f>IF(ISBLANK('Data Entry'!$$74), "", 'Data Entry'!$$74)</f>
      </c>
      <c r="CJ74">
        <f>IF(ISBLANK('Data Entry'!$$74), "", 'Data Entry'!$$74)</f>
      </c>
      <c r="CK74">
        <f>IF(ISBLANK('Data Entry'!$$74), "", 'Data Entry'!$$74)</f>
      </c>
      <c r="CL74">
        <f>IF(ISBLANK('Data Entry'!$$74), "", 'Data Entry'!$$74)</f>
      </c>
      <c r="CM74">
        <f>IF(ISBLANK('Data Entry'!$$74), "", 'Data Entry'!$$74)</f>
      </c>
      <c r="CN74">
        <f>IF(ISBLANK('Data Entry'!$$74), "", 'Data Entry'!$$74)</f>
      </c>
      <c r="CO74">
        <f>IF(ISBLANK('Data Entry'!$$74), "", 'Data Entry'!$$74)</f>
      </c>
      <c r="CP74">
        <f>IF(ISBLANK('Data Entry'!$$74), "", 'Data Entry'!$$74)</f>
      </c>
      <c r="CQ74">
        <f>IF(ISBLANK('Data Entry'!$$74), "", 'Data Entry'!$$74)</f>
      </c>
      <c r="CR74">
        <f>IF(ISBLANK('Data Entry'!$ $74), "", 'Data Entry'!$ $74)</f>
      </c>
      <c r="CS74">
        <f>IF(ISBLANK('Data Entry'!$¡$74), "", 'Data Entry'!$¡$74)</f>
      </c>
      <c r="CT74">
        <f>IF(ISBLANK('Data Entry'!$¢$74), "", 'Data Entry'!$¢$74)</f>
      </c>
      <c r="CU74">
        <f>IF(ISBLANK('Data Entry'!$£$74), "", 'Data Entry'!$£$74)</f>
      </c>
      <c r="CV74">
        <f>IF(ISBLANK('Data Entry'!$¤$74), "", 'Data Entry'!$¤$74)</f>
      </c>
      <c r="CW74">
        <f>IF(ISBLANK('Data Entry'!$¥$74), "", 'Data Entry'!$¥$74)</f>
      </c>
      <c r="CX74">
        <f>IF(ISBLANK('Data Entry'!$¦$74), "", 'Data Entry'!$¦$74)</f>
      </c>
      <c r="CY74">
        <f>IF(ISBLANK('Data Entry'!$§$74), "", 'Data Entry'!$§$74)</f>
      </c>
      <c r="CZ74">
        <f>IF(ISBLANK('Data Entry'!$¨$74), "", 'Data Entry'!$¨$74)</f>
      </c>
      <c r="DA74">
        <f>IF(ISBLANK('Data Entry'!$©$74), "", 'Data Entry'!$©$74)</f>
      </c>
      <c r="DB74">
        <f>IF(ISBLANK('Data Entry'!$ª$74), "", 'Data Entry'!$ª$74)</f>
      </c>
      <c r="DC74">
        <f>IF(ISBLANK('Data Entry'!$«$74), "", 'Data Entry'!$«$74)</f>
      </c>
      <c r="DD74">
        <f>IF(ISBLANK('Data Entry'!$¬$74), "", 'Data Entry'!$¬$74)</f>
      </c>
      <c r="DE74">
        <f>IF(ISBLANK('Data Entry'!$­$74), "", 'Data Entry'!$­$74)</f>
      </c>
      <c r="DF74">
        <f>IF(ISBLANK('Data Entry'!$®$74), "", 'Data Entry'!$®$74)</f>
      </c>
      <c r="DG74">
        <f>IF(ISBLANK('Data Entry'!$¯$74), "", 'Data Entry'!$¯$74)</f>
      </c>
      <c r="DH74">
        <f>IF(ISBLANK('Data Entry'!$°$74), "", 'Data Entry'!$°$74)</f>
      </c>
      <c r="DI74">
        <f>IF(ISBLANK('Data Entry'!$±$74), "", 'Data Entry'!$±$74)</f>
      </c>
      <c r="DJ74">
        <f>IF(ISBLANK('Data Entry'!$²$74), "", 'Data Entry'!$²$74)</f>
      </c>
      <c r="DK74">
        <f>IF(ISBLANK('Data Entry'!$³$74), "", 'Data Entry'!$³$74)</f>
      </c>
      <c r="DL74">
        <f>IF(ISBLANK('Data Entry'!$´$74), "", 'Data Entry'!$´$74)</f>
      </c>
      <c r="DM74">
        <f>IF(ISBLANK('Data Entry'!$µ$74), "", 'Data Entry'!$µ$74)</f>
      </c>
      <c r="DN74">
        <f>IF(ISBLANK('Data Entry'!$¶$74), "", 'Data Entry'!$¶$74)</f>
      </c>
      <c r="DO74">
        <f>IF(ISBLANK('Data Entry'!$·$74), "", 'Data Entry'!$·$74)</f>
      </c>
      <c r="DP74">
        <f>IF(ISBLANK('Data Entry'!$¸$74), "", 'Data Entry'!$¸$74)</f>
      </c>
      <c r="DQ74">
        <f>IF(ISBLANK('Data Entry'!$¹$74), "", 'Data Entry'!$¹$74)</f>
      </c>
      <c r="DR74">
        <f>IF(ISBLANK('Data Entry'!$º$74), "", 'Data Entry'!$º$74)</f>
      </c>
      <c r="DS74">
        <f>IF(ISBLANK('Data Entry'!$»$74), "", 'Data Entry'!$»$74)</f>
      </c>
      <c r="DT74">
        <f>IF(ISBLANK('Data Entry'!$¼$74), "", 'Data Entry'!$¼$74)</f>
      </c>
      <c r="DU74">
        <f>IF(ISBLANK('Data Entry'!$½$74), "", 'Data Entry'!$½$74)</f>
      </c>
      <c r="DV74">
        <f>IF(ISBLANK('Data Entry'!$¾$74), "", 'Data Entry'!$¾$74)</f>
      </c>
      <c r="DW74">
        <f>IF(ISBLANK('Data Entry'!$¿$74), "", 'Data Entry'!$¿$74)</f>
      </c>
      <c r="DX74">
        <f>IF(ISBLANK('Data Entry'!$À$74), "", 'Data Entry'!$À$74)</f>
      </c>
      <c r="DY74">
        <f>IF(ISBLANK('Data Entry'!$Á$74), "", 'Data Entry'!$Á$74)</f>
      </c>
      <c r="DZ74">
        <f>IF(ISBLANK('Data Entry'!$Â$74), "", 'Data Entry'!$Â$74)</f>
      </c>
      <c r="EA74">
        <f>IF(ISBLANK('Data Entry'!$Ã$74), "", 'Data Entry'!$Ã$74)</f>
      </c>
      <c r="EB74">
        <f>IF(ISBLANK('Data Entry'!$Ä$74), "", 'Data Entry'!$Ä$74)</f>
      </c>
      <c r="EC74">
        <f>IF(ISBLANK('Data Entry'!$Å$74), "", 'Data Entry'!$Å$74)</f>
      </c>
      <c r="ED74">
        <f>IF(ISBLANK('Data Entry'!$Æ$74), "", 'Data Entry'!$Æ$74)</f>
      </c>
      <c r="EE74">
        <f>IF(ISBLANK('Data Entry'!$Ç$74), "", 'Data Entry'!$Ç$74)</f>
      </c>
      <c r="EF74">
        <f>IF(ISBLANK('Data Entry'!$È$74), "", 'Data Entry'!$È$74)</f>
      </c>
      <c r="EG74">
        <f>IF(ISBLANK('Data Entry'!$É$74), "", 'Data Entry'!$É$74)</f>
      </c>
      <c r="EH74">
        <f>IF(ISBLANK('Data Entry'!$Ê$74), "", 'Data Entry'!$Ê$74)</f>
      </c>
      <c r="EI74">
        <f>IF(ISBLANK('Data Entry'!$Ë$74), "", 'Data Entry'!$Ë$74)</f>
      </c>
      <c r="EJ74">
        <f>IF(ISBLANK('Data Entry'!$Ì$74), "", 'Data Entry'!$Ì$74)</f>
      </c>
      <c r="EK74">
        <f>IF(ISBLANK('Data Entry'!$Í$74), "", 'Data Entry'!$Í$74)</f>
      </c>
      <c r="EL74">
        <f>IF(ISBLANK('Data Entry'!$Î$74), "", 'Data Entry'!$Î$74)</f>
      </c>
      <c r="EM74">
        <f>IF(ISBLANK('Data Entry'!$Ï$74), "", 'Data Entry'!$Ï$74)</f>
      </c>
      <c r="EN74">
        <f>IF(ISBLANK('Data Entry'!$Ð$74), "", 'Data Entry'!$Ð$74)</f>
      </c>
      <c r="EO74">
        <f>IF(ISBLANK('Data Entry'!$Ñ$74), "", 'Data Entry'!$Ñ$74)</f>
      </c>
      <c r="EP74">
        <f>IF(ISBLANK('Data Entry'!$Ò$74), "", 'Data Entry'!$Ò$74)</f>
      </c>
      <c r="EQ74">
        <f>IF(ISBLANK('Data Entry'!$Ó$74), "", 'Data Entry'!$Ó$74)</f>
      </c>
      <c r="ER74">
        <f>IF(ISBLANK('Data Entry'!$Ô$74), "", 'Data Entry'!$Ô$74)</f>
      </c>
      <c r="ES74">
        <f>IF(ISBLANK('Data Entry'!$Õ$74), "", 'Data Entry'!$Õ$74)</f>
      </c>
      <c r="ET74">
        <f>IF(ISBLANK('Data Entry'!$Ö$74), "", 'Data Entry'!$Ö$74)</f>
      </c>
      <c r="EU74">
        <f>IF(ISBLANK('Data Entry'!$×$74), "", 'Data Entry'!$×$74)</f>
      </c>
      <c r="EV74">
        <f>IF(ISBLANK('Data Entry'!$Ø$74), "", 'Data Entry'!$Ø$74)</f>
      </c>
      <c r="EW74">
        <f>IF(ISBLANK('Data Entry'!$Ù$74), "", 'Data Entry'!$Ù$74)</f>
      </c>
      <c r="EX74">
        <f>IF(ISBLANK('Data Entry'!$Ú$74), "", 'Data Entry'!$Ú$74)</f>
      </c>
      <c r="EY74">
        <f>IF(ISBLANK('Data Entry'!$Û$74), "", 'Data Entry'!$Û$74)</f>
      </c>
      <c r="EZ74">
        <f>IF(ISBLANK('Data Entry'!$Ü$74), "", 'Data Entry'!$Ü$74)</f>
      </c>
      <c r="FA74">
        <f>IF(ISBLANK('Data Entry'!$Ý$74), "", 'Data Entry'!$Ý$74)</f>
      </c>
      <c r="FB74">
        <f>IF(ISBLANK('Data Entry'!$Þ$74), "", 'Data Entry'!$Þ$74)</f>
      </c>
      <c r="FC74">
        <f>IF(ISBLANK('Data Entry'!$ß$74), "", 'Data Entry'!$ß$74)</f>
      </c>
      <c r="FD74">
        <f>IF(ISBLANK('Data Entry'!$à$74), "", 'Data Entry'!$à$74)</f>
      </c>
      <c r="FE74">
        <f>IF(ISBLANK('Data Entry'!$á$74), "", 'Data Entry'!$á$74)</f>
      </c>
      <c r="FF74">
        <f>IF(ISBLANK('Data Entry'!$â$74), "", 'Data Entry'!$â$74)</f>
      </c>
      <c r="FG74">
        <f>IF(ISBLANK('Data Entry'!$ã$74), "", 'Data Entry'!$ã$74)</f>
      </c>
      <c r="FH74">
        <f>IF(ISBLANK('Data Entry'!$ä$74), "", 'Data Entry'!$ä$74)</f>
      </c>
      <c r="FI74">
        <f>IF(ISBLANK('Data Entry'!$å$74), "", 'Data Entry'!$å$74)</f>
      </c>
      <c r="FJ74">
        <f>IF(ISBLANK('Data Entry'!$æ$74), "", 'Data Entry'!$æ$74)</f>
      </c>
      <c r="FK74">
        <f>IF(ISBLANK('Data Entry'!$ç$74), "", 'Data Entry'!$ç$74)</f>
      </c>
      <c r="FL74">
        <f>IF(ISBLANK('Data Entry'!$è$74), "", 'Data Entry'!$è$74)</f>
      </c>
      <c r="FM74">
        <f>IF(ISBLANK('Data Entry'!$é$74), "", 'Data Entry'!$é$74)</f>
      </c>
      <c r="FN74">
        <f>IF(ISBLANK('Data Entry'!$ê$74), "", 'Data Entry'!$ê$74)</f>
      </c>
      <c r="FO74">
        <f>IF(ISBLANK('Data Entry'!$ë$74), "", 'Data Entry'!$ë$74)</f>
      </c>
      <c r="FP74">
        <f>IF(ISBLANK('Data Entry'!$ì$74), "", 'Data Entry'!$ì$74)</f>
      </c>
      <c r="FQ74">
        <f>IF(ISBLANK('Data Entry'!$í$74), "", 'Data Entry'!$í$74)</f>
      </c>
      <c r="FR74">
        <f>IF(ISBLANK('Data Entry'!$î$74), "", 'Data Entry'!$î$74)</f>
      </c>
      <c r="FS74">
        <f>IF(ISBLANK('Data Entry'!$ï$74), "", 'Data Entry'!$ï$74)</f>
      </c>
      <c r="FT74">
        <f>IF(ISBLANK('Data Entry'!$ð$74), "", 'Data Entry'!$ð$74)</f>
      </c>
      <c r="FU74">
        <f>IF(ISBLANK('Data Entry'!$ñ$74), "", 'Data Entry'!$ñ$74)</f>
      </c>
      <c r="FV74">
        <f>IF(ISBLANK('Data Entry'!$ò$74), "", 'Data Entry'!$ò$74)</f>
      </c>
      <c r="FW74">
        <f>IF(ISBLANK('Data Entry'!$ó$74), "", 'Data Entry'!$ó$74)</f>
      </c>
      <c r="FX74">
        <f>IF(ISBLANK('Data Entry'!$ô$74), "", 'Data Entry'!$ô$74)</f>
      </c>
      <c r="FY74">
        <f>IF(ISBLANK('Data Entry'!$õ$74), "", 'Data Entry'!$õ$74)</f>
      </c>
      <c r="FZ74">
        <f>IF(ISBLANK('Data Entry'!$ö$74), "", 'Data Entry'!$ö$74)</f>
      </c>
      <c r="GA74">
        <f>IF(ISBLANK('Data Entry'!$÷$74), "", 'Data Entry'!$÷$74)</f>
      </c>
      <c r="GB74">
        <f>IF(ISBLANK('Data Entry'!$ø$74), "", 'Data Entry'!$ø$74)</f>
      </c>
      <c r="GC74">
        <f>IF(ISBLANK('Data Entry'!$ù$74), "", 'Data Entry'!$ù$74)</f>
      </c>
      <c r="GD74">
        <f>IF(ISBLANK('Data Entry'!$ú$74), "", 'Data Entry'!$ú$74)</f>
      </c>
      <c r="GE74">
        <f>IF(ISBLANK('Data Entry'!$û$74), "", 'Data Entry'!$û$74)</f>
      </c>
      <c r="GF74">
        <f>IF(ISBLANK('Data Entry'!$ü$74), "", 'Data Entry'!$ü$74)</f>
      </c>
      <c r="GG74">
        <f>IF(ISBLANK('Data Entry'!$ý$74), "", 'Data Entry'!$ý$74)</f>
      </c>
      <c r="GH74">
        <f>IF(ISBLANK('Data Entry'!$þ$74), "", 'Data Entry'!$þ$74)</f>
      </c>
      <c r="GI74">
        <f>IF(ISBLANK('Data Entry'!$ÿ$74), "", 'Data Entry'!$ÿ$74)</f>
      </c>
      <c r="GJ74">
        <f>IF(ISBLANK('Data Entry'!$Ā$74), "", 'Data Entry'!$Ā$74)</f>
      </c>
      <c r="GK74">
        <f>IF(ISBLANK('Data Entry'!$ā$74), "", 'Data Entry'!$ā$74)</f>
      </c>
      <c r="GL74">
        <f>IF(ISBLANK('Data Entry'!$Ă$74), "", 'Data Entry'!$Ă$74)</f>
      </c>
      <c r="GM74">
        <f>IF(ISBLANK('Data Entry'!$ă$74), "", 'Data Entry'!$ă$74)</f>
      </c>
      <c r="GN74">
        <f>IF(ISBLANK('Data Entry'!$Ą$74), "", 'Data Entry'!$Ą$74)</f>
      </c>
      <c r="GO74">
        <f>IF(ISBLANK('Data Entry'!$ą$74), "", 'Data Entry'!$ą$74)</f>
      </c>
      <c r="GP74">
        <f>IF(ISBLANK('Data Entry'!$Ć$74), "", 'Data Entry'!$Ć$74)</f>
      </c>
      <c r="GQ74">
        <f>IF(ISBLANK('Data Entry'!$ć$74), "", 'Data Entry'!$ć$74)</f>
      </c>
      <c r="GR74">
        <f>IF(ISBLANK('Data Entry'!$Ĉ$74), "", 'Data Entry'!$Ĉ$74)</f>
      </c>
      <c r="GS74">
        <f>IF(ISBLANK('Data Entry'!$ĉ$74), "", 'Data Entry'!$ĉ$74)</f>
      </c>
      <c r="GT74">
        <f>IF(ISBLANK('Data Entry'!$Ċ$74), "", 'Data Entry'!$Ċ$74)</f>
      </c>
      <c r="GU74">
        <f>IF(ISBLANK('Data Entry'!$ċ$74), "", 'Data Entry'!$ċ$74)</f>
      </c>
      <c r="GV74">
        <f>IF(ISBLANK('Data Entry'!$Č$74), "", 'Data Entry'!$Č$74)</f>
      </c>
      <c r="GW74">
        <f>IF(ISBLANK('Data Entry'!$č$74), "", 'Data Entry'!$č$74)</f>
      </c>
      <c r="GX74">
        <f>IF(ISBLANK('Data Entry'!$Ď$74), "", 'Data Entry'!$Ď$74)</f>
      </c>
      <c r="GY74">
        <f>IF(ISBLANK('Data Entry'!$ď$74), "", 'Data Entry'!$ď$74)</f>
      </c>
      <c r="GZ74">
        <f>IF(ISBLANK('Data Entry'!$Đ$74), "", 'Data Entry'!$Đ$74)</f>
      </c>
      <c r="HA74">
        <f>IF(ISBLANK('Data Entry'!$đ$74), "", 'Data Entry'!$đ$74)</f>
      </c>
      <c r="HB74">
        <f>IF(ISBLANK('Data Entry'!$Ē$74), "", 'Data Entry'!$Ē$74)</f>
      </c>
      <c r="HC74">
        <f>IF(ISBLANK('Data Entry'!$ē$74), "", 'Data Entry'!$ē$74)</f>
      </c>
      <c r="HD74">
        <f>IF(ISBLANK('Data Entry'!$Ĕ$74), "", 'Data Entry'!$Ĕ$74)</f>
      </c>
      <c r="HE74">
        <f>IF(ISBLANK('Data Entry'!$ĕ$74), "", 'Data Entry'!$ĕ$74)</f>
      </c>
      <c r="HF74">
        <f>IF(ISBLANK('Data Entry'!$Ė$74), "", 'Data Entry'!$Ė$74)</f>
      </c>
      <c r="HG74">
        <f>IF(ISBLANK('Data Entry'!$ė$74), "", 'Data Entry'!$ė$74)</f>
      </c>
      <c r="HH74">
        <f>IF(ISBLANK('Data Entry'!$Ę$74), "", 'Data Entry'!$Ę$74)</f>
      </c>
      <c r="HI74">
        <f>IF(ISBLANK('Data Entry'!$ę$74), "", 'Data Entry'!$ę$74)</f>
      </c>
      <c r="HJ74">
        <f>IF(ISBLANK('Data Entry'!$Ě$74), "", 'Data Entry'!$Ě$74)</f>
      </c>
      <c r="HK74">
        <f>IF(ISBLANK('Data Entry'!$ě$74), "", 'Data Entry'!$ě$74)</f>
      </c>
      <c r="HL74">
        <f>IF(ISBLANK('Data Entry'!$Ĝ$74), "", 'Data Entry'!$Ĝ$74)</f>
      </c>
      <c r="HM74">
        <f>IF(ISBLANK('Data Entry'!$ĝ$74), "", 'Data Entry'!$ĝ$74)</f>
      </c>
      <c r="HN74">
        <f>IF(ISBLANK('Data Entry'!$Ğ$74), "", 'Data Entry'!$Ğ$74)</f>
      </c>
      <c r="HO74">
        <f>IF(ISBLANK('Data Entry'!$ğ$74), "", 'Data Entry'!$ğ$74)</f>
      </c>
      <c r="HP74">
        <f>IF(ISBLANK('Data Entry'!$Ġ$74), "", 'Data Entry'!$Ġ$74)</f>
      </c>
      <c r="HQ74">
        <f>IF(ISBLANK('Data Entry'!$ġ$74), "", 'Data Entry'!$ġ$74)</f>
      </c>
      <c r="HR74">
        <f>IF(ISBLANK('Data Entry'!$Ģ$74), "", 'Data Entry'!$Ģ$74)</f>
      </c>
      <c r="HS74">
        <f>IF(ISBLANK('Data Entry'!$ģ$74), "", 'Data Entry'!$ģ$74)</f>
      </c>
      <c r="HT74">
        <f>IF(ISBLANK('Data Entry'!$Ĥ$74), "", 'Data Entry'!$Ĥ$74)</f>
      </c>
      <c r="HU74">
        <f>IF(ISBLANK('Data Entry'!$ĥ$74), "", 'Data Entry'!$ĥ$74)</f>
      </c>
      <c r="HV74">
        <f>IF(ISBLANK('Data Entry'!$Ħ$74), "", 'Data Entry'!$Ħ$74)</f>
      </c>
      <c r="HW74">
        <f>IF(ISBLANK('Data Entry'!$ħ$74), "", 'Data Entry'!$ħ$74)</f>
      </c>
      <c r="HX74">
        <f>IF(ISBLANK('Data Entry'!$Ĩ$74), "", 'Data Entry'!$Ĩ$74)</f>
      </c>
      <c r="HY74">
        <f>IF(ISBLANK('Data Entry'!$ĩ$74), "", 'Data Entry'!$ĩ$74)</f>
      </c>
      <c r="HZ74">
        <f>IF(ISBLANK('Data Entry'!$Ī$74), "", 'Data Entry'!$Ī$74)</f>
      </c>
      <c r="IA74">
        <f>IF(ISBLANK('Data Entry'!$ī$74), "", 'Data Entry'!$ī$74)</f>
      </c>
      <c r="IB74">
        <f>IF(ISBLANK('Data Entry'!$Ĭ$74), "", 'Data Entry'!$Ĭ$74)</f>
      </c>
      <c r="IC74">
        <f>IF(ISBLANK('Data Entry'!$ĭ$74), "", 'Data Entry'!$ĭ$74)</f>
      </c>
      <c r="ID74">
        <f>IF(ISBLANK('Data Entry'!$Į$74), "", 'Data Entry'!$Į$74)</f>
      </c>
      <c r="IE74">
        <f>IF(ISBLANK('Data Entry'!$į$74), "", 'Data Entry'!$į$74)</f>
      </c>
      <c r="IF74">
        <f>IF(ISBLANK('Data Entry'!$İ$74), "", 'Data Entry'!$İ$74)</f>
      </c>
      <c r="IG74">
        <f>IF(ISBLANK('Data Entry'!$ı$74), "", 'Data Entry'!$ı$74)</f>
      </c>
      <c r="IH74">
        <f>IF(ISBLANK('Data Entry'!$Ĳ$74), "", 'Data Entry'!$Ĳ$74)</f>
      </c>
      <c r="II74">
        <f>IF(ISBLANK('Data Entry'!$ĳ$74), "", 'Data Entry'!$ĳ$74)</f>
      </c>
      <c r="IJ74">
        <f>IF(ISBLANK('Data Entry'!$Ĵ$74), "", 'Data Entry'!$Ĵ$74)</f>
      </c>
      <c r="IK74">
        <f>IF(ISBLANK('Data Entry'!$ĵ$74), "", 'Data Entry'!$ĵ$74)</f>
      </c>
      <c r="IL74">
        <f>IF(ISBLANK('Data Entry'!$Ķ$74), "", 'Data Entry'!$Ķ$74)</f>
      </c>
      <c r="IM74">
        <f>IF(ISBLANK('Data Entry'!$ķ$74), "", 'Data Entry'!$ķ$74)</f>
      </c>
      <c r="IN74">
        <f>IF(ISBLANK('Data Entry'!$ĸ$74), "", 'Data Entry'!$ĸ$74)</f>
      </c>
      <c r="IO74">
        <f>IF(ISBLANK('Data Entry'!$Ĺ$74), "", 'Data Entry'!$Ĺ$74)</f>
      </c>
      <c r="IP74">
        <f>IF(ISBLANK('Data Entry'!$ĺ$74), "", 'Data Entry'!$ĺ$74)</f>
      </c>
      <c r="IQ74">
        <f>IF(ISBLANK('Data Entry'!$Ļ$74), "", 'Data Entry'!$Ļ$74)</f>
      </c>
      <c r="IR74">
        <f>IF(ISBLANK('Data Entry'!$ļ$74), "", 'Data Entry'!$ļ$74)</f>
      </c>
      <c r="IS74">
        <f>IF(ISBLANK('Data Entry'!$Ľ$74), "", 'Data Entry'!$Ľ$74)</f>
      </c>
      <c r="IT74">
        <f>IF(ISBLANK('Data Entry'!$ľ$74), "", 'Data Entry'!$ľ$74)</f>
      </c>
    </row>
    <row r="75" spans="1:254" x14ac:dyDescent="0.25">
      <c r="A75">
        <f>IF(ISBLANK('Data Entry'!$A$75), "", 'Data Entry'!$A$75)</f>
      </c>
      <c r="B75">
        <f>IF(ISBLANK('Data Entry'!$B$75), "", 'Data Entry'!$B$75)</f>
      </c>
      <c r="C75">
        <f>IF(ISBLANK('Data Entry'!$C$75), "", 'Data Entry'!$C$75)</f>
      </c>
      <c r="D75">
        <f>IF(ISBLANK('Data Entry'!$D$75), "", 'Data Entry'!$D$75)</f>
      </c>
      <c r="E75">
        <f>IF(ISBLANK('Data Entry'!$E$75), "", 'Data Entry'!$E$75)</f>
      </c>
      <c r="F75">
        <f>IF(ISBLANK('Data Entry'!$F$75), "", 'Data Entry'!$F$75)</f>
      </c>
      <c r="G75">
        <f>IF(ISBLANK('Data Entry'!$G$75), "", 'Data Entry'!$G$75)</f>
      </c>
      <c r="H75">
        <f>IF(ISBLANK('Data Entry'!$H$75), "", 'Data Entry'!$H$75)</f>
      </c>
      <c r="I75">
        <f>IF(ISBLANK('Data Entry'!$I$75), "", 'Data Entry'!$I$75)</f>
      </c>
      <c r="J75">
        <f>IF(ISBLANK('Data Entry'!$J$75), "", 'Data Entry'!$J$75)</f>
      </c>
      <c r="K75">
        <f>IF(ISBLANK('Data Entry'!$K$75), "", 'Data Entry'!$K$75)</f>
      </c>
      <c r="L75">
        <f>IF(ISBLANK('Data Entry'!$L$75), "", 'Data Entry'!$L$75)</f>
      </c>
      <c r="M75">
        <f>IF(ISBLANK('Data Entry'!$M$75), "", 'Data Entry'!$M$75)</f>
      </c>
      <c r="N75">
        <f>IF(ISBLANK('Data Entry'!$N$75), "", 'Data Entry'!$N$75)</f>
      </c>
      <c r="O75">
        <f>IF(ISBLANK('Data Entry'!$O$75), "", 'Data Entry'!$O$75)</f>
      </c>
      <c r="P75">
        <f>IF(ISBLANK('Data Entry'!$P$75), "", 'Data Entry'!$P$75)</f>
      </c>
      <c r="Q75">
        <f>IF(ISBLANK('Data Entry'!$Q$75), "", 'Data Entry'!$Q$75)</f>
      </c>
      <c r="R75">
        <f>IF(ISBLANK('Data Entry'!$R$75), "", 'Data Entry'!$R$75)</f>
      </c>
      <c r="S75">
        <f>IF(ISBLANK('Data Entry'!$S$75), "", 'Data Entry'!$S$75)</f>
      </c>
      <c r="T75">
        <f>IF(ISBLANK('Data Entry'!$T$75), "", 'Data Entry'!$T$75)</f>
      </c>
      <c r="U75">
        <f>IF(ISBLANK('Data Entry'!$U$75), "", 'Data Entry'!$U$75)</f>
      </c>
      <c r="V75">
        <f>IF(ISBLANK('Data Entry'!$V$75), "", 'Data Entry'!$V$75)</f>
      </c>
      <c r="W75">
        <f>IF(ISBLANK('Data Entry'!$W$75), "", 'Data Entry'!$W$75)</f>
      </c>
      <c r="X75">
        <f>IF(ISBLANK('Data Entry'!$X$75), "", 'Data Entry'!$X$75)</f>
      </c>
      <c r="Y75">
        <f>IF(ISBLANK('Data Entry'!$Y$75), "", 'Data Entry'!$Y$75)</f>
      </c>
      <c r="Z75">
        <f>IF(ISBLANK('Data Entry'!$Z$75), "", 'Data Entry'!$Z$75)</f>
      </c>
      <c r="AA75">
        <f>IF(ISBLANK('Data Entry'!$[$75), "", 'Data Entry'!$[$75)</f>
      </c>
      <c r="AB75">
        <f>IF(ISBLANK('Data Entry'!$\$75), "", 'Data Entry'!$\$75)</f>
      </c>
      <c r="AC75">
        <f>IF(ISBLANK('Data Entry'!$]$75), "", 'Data Entry'!$]$75)</f>
      </c>
      <c r="AD75">
        <f>IF(ISBLANK('Data Entry'!$^$75), "", 'Data Entry'!$^$75)</f>
      </c>
      <c r="AE75">
        <f>IF(ISBLANK('Data Entry'!$_$75), "", 'Data Entry'!$_$75)</f>
      </c>
      <c r="AF75">
        <f>IF(ISBLANK('Data Entry'!$`$75), "", 'Data Entry'!$`$75)</f>
      </c>
      <c r="AG75">
        <f>IF(ISBLANK('Data Entry'!$a$75), "", 'Data Entry'!$a$75)</f>
      </c>
      <c r="AH75">
        <f>IF(ISBLANK('Data Entry'!$b$75), "", 'Data Entry'!$b$75)</f>
      </c>
      <c r="AI75">
        <f>IF(ISBLANK('Data Entry'!$c$75), "", 'Data Entry'!$c$75)</f>
      </c>
      <c r="AJ75">
        <f>IF(ISBLANK('Data Entry'!$d$75), "", 'Data Entry'!$d$75)</f>
      </c>
      <c r="AK75">
        <f>IF(ISBLANK('Data Entry'!$e$75), "", 'Data Entry'!$e$75)</f>
      </c>
      <c r="AL75">
        <f>IF(ISBLANK('Data Entry'!$f$75), "", 'Data Entry'!$f$75)</f>
      </c>
      <c r="AM75">
        <f>IF(ISBLANK('Data Entry'!$g$75), "", 'Data Entry'!$g$75)</f>
      </c>
      <c r="AN75">
        <f>IF(ISBLANK('Data Entry'!$h$75), "", 'Data Entry'!$h$75)</f>
      </c>
      <c r="AO75">
        <f>IF(ISBLANK('Data Entry'!$i$75), "", 'Data Entry'!$i$75)</f>
      </c>
      <c r="AP75">
        <f>IF(ISBLANK('Data Entry'!$j$75), "", 'Data Entry'!$j$75)</f>
      </c>
      <c r="AQ75">
        <f>IF(ISBLANK('Data Entry'!$k$75), "", 'Data Entry'!$k$75)</f>
      </c>
      <c r="AR75">
        <f>IF(ISBLANK('Data Entry'!$l$75), "", 'Data Entry'!$l$75)</f>
      </c>
      <c r="AS75">
        <f>IF(ISBLANK('Data Entry'!$m$75), "", 'Data Entry'!$m$75)</f>
      </c>
      <c r="AT75">
        <f>IF(ISBLANK('Data Entry'!$n$75), "", 'Data Entry'!$n$75)</f>
      </c>
      <c r="AU75">
        <f>IF(ISBLANK('Data Entry'!$o$75), "", 'Data Entry'!$o$75)</f>
      </c>
      <c r="AV75">
        <f>IF(ISBLANK('Data Entry'!$p$75), "", 'Data Entry'!$p$75)</f>
      </c>
      <c r="AW75">
        <f>IF(ISBLANK('Data Entry'!$q$75), "", 'Data Entry'!$q$75)</f>
      </c>
      <c r="AX75">
        <f>IF(ISBLANK('Data Entry'!$r$75), "", 'Data Entry'!$r$75)</f>
      </c>
      <c r="AY75">
        <f>IF(ISBLANK('Data Entry'!$s$75), "", 'Data Entry'!$s$75)</f>
      </c>
      <c r="AZ75">
        <f>IF(ISBLANK('Data Entry'!$t$75), "", 'Data Entry'!$t$75)</f>
      </c>
      <c r="BA75">
        <f>IF(ISBLANK('Data Entry'!$u$75), "", 'Data Entry'!$u$75)</f>
      </c>
      <c r="BB75">
        <f>IF(ISBLANK('Data Entry'!$v$75), "", 'Data Entry'!$v$75)</f>
      </c>
      <c r="BC75">
        <f>IF(ISBLANK('Data Entry'!$w$75), "", 'Data Entry'!$w$75)</f>
      </c>
      <c r="BD75">
        <f>IF(ISBLANK('Data Entry'!$x$75), "", 'Data Entry'!$x$75)</f>
      </c>
      <c r="BE75">
        <f>IF(ISBLANK('Data Entry'!$y$75), "", 'Data Entry'!$y$75)</f>
      </c>
      <c r="BF75">
        <f>IF(ISBLANK('Data Entry'!$z$75), "", 'Data Entry'!$z$75)</f>
      </c>
      <c r="BG75">
        <f>IF(ISBLANK('Data Entry'!${$75), "", 'Data Entry'!${$75)</f>
      </c>
      <c r="BH75">
        <f>IF(ISBLANK('Data Entry'!$|$75), "", 'Data Entry'!$|$75)</f>
      </c>
      <c r="BI75">
        <f>IF(ISBLANK('Data Entry'!$}$75), "", 'Data Entry'!$}$75)</f>
      </c>
      <c r="BJ75">
        <f>IF(ISBLANK('Data Entry'!$~$75), "", 'Data Entry'!$~$75)</f>
      </c>
      <c r="BK75">
        <f>IF(ISBLANK('Data Entry'!$$75), "", 'Data Entry'!$$75)</f>
      </c>
      <c r="BL75">
        <f>IF(ISBLANK('Data Entry'!$$75), "", 'Data Entry'!$$75)</f>
      </c>
      <c r="BM75">
        <f>IF(ISBLANK('Data Entry'!$$75), "", 'Data Entry'!$$75)</f>
      </c>
      <c r="BN75">
        <f>IF(ISBLANK('Data Entry'!$$75), "", 'Data Entry'!$$75)</f>
      </c>
      <c r="BO75">
        <f>IF(ISBLANK('Data Entry'!$$75), "", 'Data Entry'!$$75)</f>
      </c>
      <c r="BP75">
        <f>IF(ISBLANK('Data Entry'!$$75), "", 'Data Entry'!$$75)</f>
      </c>
      <c r="BQ75">
        <f>IF(ISBLANK('Data Entry'!$$75), "", 'Data Entry'!$$75)</f>
      </c>
      <c r="BR75">
        <f>IF(ISBLANK('Data Entry'!$$75), "", 'Data Entry'!$$75)</f>
      </c>
      <c r="BS75">
        <f>IF(ISBLANK('Data Entry'!$$75), "", 'Data Entry'!$$75)</f>
      </c>
      <c r="BT75">
        <f>IF(ISBLANK('Data Entry'!$$75), "", 'Data Entry'!$$75)</f>
      </c>
      <c r="BU75">
        <f>IF(ISBLANK('Data Entry'!$$75), "", 'Data Entry'!$$75)</f>
      </c>
      <c r="BV75">
        <f>IF(ISBLANK('Data Entry'!$$75), "", 'Data Entry'!$$75)</f>
      </c>
      <c r="BW75">
        <f>IF(ISBLANK('Data Entry'!$$75), "", 'Data Entry'!$$75)</f>
      </c>
      <c r="BX75">
        <f>IF(ISBLANK('Data Entry'!$$75), "", 'Data Entry'!$$75)</f>
      </c>
      <c r="BY75">
        <f>IF(ISBLANK('Data Entry'!$$75), "", 'Data Entry'!$$75)</f>
      </c>
      <c r="BZ75">
        <f>IF(ISBLANK('Data Entry'!$$75), "", 'Data Entry'!$$75)</f>
      </c>
      <c r="CA75">
        <f>IF(ISBLANK('Data Entry'!$$75), "", 'Data Entry'!$$75)</f>
      </c>
      <c r="CB75">
        <f>IF(ISBLANK('Data Entry'!$$75), "", 'Data Entry'!$$75)</f>
      </c>
      <c r="CC75">
        <f>IF(ISBLANK('Data Entry'!$$75), "", 'Data Entry'!$$75)</f>
      </c>
      <c r="CD75">
        <f>IF(ISBLANK('Data Entry'!$$75), "", 'Data Entry'!$$75)</f>
      </c>
      <c r="CE75">
        <f>IF(ISBLANK('Data Entry'!$$75), "", 'Data Entry'!$$75)</f>
      </c>
      <c r="CF75">
        <f>IF(ISBLANK('Data Entry'!$$75), "", 'Data Entry'!$$75)</f>
      </c>
      <c r="CG75">
        <f>IF(ISBLANK('Data Entry'!$$75), "", 'Data Entry'!$$75)</f>
      </c>
      <c r="CH75">
        <f>IF(ISBLANK('Data Entry'!$$75), "", 'Data Entry'!$$75)</f>
      </c>
      <c r="CI75">
        <f>IF(ISBLANK('Data Entry'!$$75), "", 'Data Entry'!$$75)</f>
      </c>
      <c r="CJ75">
        <f>IF(ISBLANK('Data Entry'!$$75), "", 'Data Entry'!$$75)</f>
      </c>
      <c r="CK75">
        <f>IF(ISBLANK('Data Entry'!$$75), "", 'Data Entry'!$$75)</f>
      </c>
      <c r="CL75">
        <f>IF(ISBLANK('Data Entry'!$$75), "", 'Data Entry'!$$75)</f>
      </c>
      <c r="CM75">
        <f>IF(ISBLANK('Data Entry'!$$75), "", 'Data Entry'!$$75)</f>
      </c>
      <c r="CN75">
        <f>IF(ISBLANK('Data Entry'!$$75), "", 'Data Entry'!$$75)</f>
      </c>
      <c r="CO75">
        <f>IF(ISBLANK('Data Entry'!$$75), "", 'Data Entry'!$$75)</f>
      </c>
      <c r="CP75">
        <f>IF(ISBLANK('Data Entry'!$$75), "", 'Data Entry'!$$75)</f>
      </c>
      <c r="CQ75">
        <f>IF(ISBLANK('Data Entry'!$$75), "", 'Data Entry'!$$75)</f>
      </c>
      <c r="CR75">
        <f>IF(ISBLANK('Data Entry'!$ $75), "", 'Data Entry'!$ $75)</f>
      </c>
      <c r="CS75">
        <f>IF(ISBLANK('Data Entry'!$¡$75), "", 'Data Entry'!$¡$75)</f>
      </c>
      <c r="CT75">
        <f>IF(ISBLANK('Data Entry'!$¢$75), "", 'Data Entry'!$¢$75)</f>
      </c>
      <c r="CU75">
        <f>IF(ISBLANK('Data Entry'!$£$75), "", 'Data Entry'!$£$75)</f>
      </c>
      <c r="CV75">
        <f>IF(ISBLANK('Data Entry'!$¤$75), "", 'Data Entry'!$¤$75)</f>
      </c>
      <c r="CW75">
        <f>IF(ISBLANK('Data Entry'!$¥$75), "", 'Data Entry'!$¥$75)</f>
      </c>
      <c r="CX75">
        <f>IF(ISBLANK('Data Entry'!$¦$75), "", 'Data Entry'!$¦$75)</f>
      </c>
      <c r="CY75">
        <f>IF(ISBLANK('Data Entry'!$§$75), "", 'Data Entry'!$§$75)</f>
      </c>
      <c r="CZ75">
        <f>IF(ISBLANK('Data Entry'!$¨$75), "", 'Data Entry'!$¨$75)</f>
      </c>
      <c r="DA75">
        <f>IF(ISBLANK('Data Entry'!$©$75), "", 'Data Entry'!$©$75)</f>
      </c>
      <c r="DB75">
        <f>IF(ISBLANK('Data Entry'!$ª$75), "", 'Data Entry'!$ª$75)</f>
      </c>
      <c r="DC75">
        <f>IF(ISBLANK('Data Entry'!$«$75), "", 'Data Entry'!$«$75)</f>
      </c>
      <c r="DD75">
        <f>IF(ISBLANK('Data Entry'!$¬$75), "", 'Data Entry'!$¬$75)</f>
      </c>
      <c r="DE75">
        <f>IF(ISBLANK('Data Entry'!$­$75), "", 'Data Entry'!$­$75)</f>
      </c>
      <c r="DF75">
        <f>IF(ISBLANK('Data Entry'!$®$75), "", 'Data Entry'!$®$75)</f>
      </c>
      <c r="DG75">
        <f>IF(ISBLANK('Data Entry'!$¯$75), "", 'Data Entry'!$¯$75)</f>
      </c>
      <c r="DH75">
        <f>IF(ISBLANK('Data Entry'!$°$75), "", 'Data Entry'!$°$75)</f>
      </c>
      <c r="DI75">
        <f>IF(ISBLANK('Data Entry'!$±$75), "", 'Data Entry'!$±$75)</f>
      </c>
      <c r="DJ75">
        <f>IF(ISBLANK('Data Entry'!$²$75), "", 'Data Entry'!$²$75)</f>
      </c>
      <c r="DK75">
        <f>IF(ISBLANK('Data Entry'!$³$75), "", 'Data Entry'!$³$75)</f>
      </c>
      <c r="DL75">
        <f>IF(ISBLANK('Data Entry'!$´$75), "", 'Data Entry'!$´$75)</f>
      </c>
      <c r="DM75">
        <f>IF(ISBLANK('Data Entry'!$µ$75), "", 'Data Entry'!$µ$75)</f>
      </c>
      <c r="DN75">
        <f>IF(ISBLANK('Data Entry'!$¶$75), "", 'Data Entry'!$¶$75)</f>
      </c>
      <c r="DO75">
        <f>IF(ISBLANK('Data Entry'!$·$75), "", 'Data Entry'!$·$75)</f>
      </c>
      <c r="DP75">
        <f>IF(ISBLANK('Data Entry'!$¸$75), "", 'Data Entry'!$¸$75)</f>
      </c>
      <c r="DQ75">
        <f>IF(ISBLANK('Data Entry'!$¹$75), "", 'Data Entry'!$¹$75)</f>
      </c>
      <c r="DR75">
        <f>IF(ISBLANK('Data Entry'!$º$75), "", 'Data Entry'!$º$75)</f>
      </c>
      <c r="DS75">
        <f>IF(ISBLANK('Data Entry'!$»$75), "", 'Data Entry'!$»$75)</f>
      </c>
      <c r="DT75">
        <f>IF(ISBLANK('Data Entry'!$¼$75), "", 'Data Entry'!$¼$75)</f>
      </c>
      <c r="DU75">
        <f>IF(ISBLANK('Data Entry'!$½$75), "", 'Data Entry'!$½$75)</f>
      </c>
      <c r="DV75">
        <f>IF(ISBLANK('Data Entry'!$¾$75), "", 'Data Entry'!$¾$75)</f>
      </c>
      <c r="DW75">
        <f>IF(ISBLANK('Data Entry'!$¿$75), "", 'Data Entry'!$¿$75)</f>
      </c>
      <c r="DX75">
        <f>IF(ISBLANK('Data Entry'!$À$75), "", 'Data Entry'!$À$75)</f>
      </c>
      <c r="DY75">
        <f>IF(ISBLANK('Data Entry'!$Á$75), "", 'Data Entry'!$Á$75)</f>
      </c>
      <c r="DZ75">
        <f>IF(ISBLANK('Data Entry'!$Â$75), "", 'Data Entry'!$Â$75)</f>
      </c>
      <c r="EA75">
        <f>IF(ISBLANK('Data Entry'!$Ã$75), "", 'Data Entry'!$Ã$75)</f>
      </c>
      <c r="EB75">
        <f>IF(ISBLANK('Data Entry'!$Ä$75), "", 'Data Entry'!$Ä$75)</f>
      </c>
      <c r="EC75">
        <f>IF(ISBLANK('Data Entry'!$Å$75), "", 'Data Entry'!$Å$75)</f>
      </c>
      <c r="ED75">
        <f>IF(ISBLANK('Data Entry'!$Æ$75), "", 'Data Entry'!$Æ$75)</f>
      </c>
      <c r="EE75">
        <f>IF(ISBLANK('Data Entry'!$Ç$75), "", 'Data Entry'!$Ç$75)</f>
      </c>
      <c r="EF75">
        <f>IF(ISBLANK('Data Entry'!$È$75), "", 'Data Entry'!$È$75)</f>
      </c>
      <c r="EG75">
        <f>IF(ISBLANK('Data Entry'!$É$75), "", 'Data Entry'!$É$75)</f>
      </c>
      <c r="EH75">
        <f>IF(ISBLANK('Data Entry'!$Ê$75), "", 'Data Entry'!$Ê$75)</f>
      </c>
      <c r="EI75">
        <f>IF(ISBLANK('Data Entry'!$Ë$75), "", 'Data Entry'!$Ë$75)</f>
      </c>
      <c r="EJ75">
        <f>IF(ISBLANK('Data Entry'!$Ì$75), "", 'Data Entry'!$Ì$75)</f>
      </c>
      <c r="EK75">
        <f>IF(ISBLANK('Data Entry'!$Í$75), "", 'Data Entry'!$Í$75)</f>
      </c>
      <c r="EL75">
        <f>IF(ISBLANK('Data Entry'!$Î$75), "", 'Data Entry'!$Î$75)</f>
      </c>
      <c r="EM75">
        <f>IF(ISBLANK('Data Entry'!$Ï$75), "", 'Data Entry'!$Ï$75)</f>
      </c>
      <c r="EN75">
        <f>IF(ISBLANK('Data Entry'!$Ð$75), "", 'Data Entry'!$Ð$75)</f>
      </c>
      <c r="EO75">
        <f>IF(ISBLANK('Data Entry'!$Ñ$75), "", 'Data Entry'!$Ñ$75)</f>
      </c>
      <c r="EP75">
        <f>IF(ISBLANK('Data Entry'!$Ò$75), "", 'Data Entry'!$Ò$75)</f>
      </c>
      <c r="EQ75">
        <f>IF(ISBLANK('Data Entry'!$Ó$75), "", 'Data Entry'!$Ó$75)</f>
      </c>
      <c r="ER75">
        <f>IF(ISBLANK('Data Entry'!$Ô$75), "", 'Data Entry'!$Ô$75)</f>
      </c>
      <c r="ES75">
        <f>IF(ISBLANK('Data Entry'!$Õ$75), "", 'Data Entry'!$Õ$75)</f>
      </c>
      <c r="ET75">
        <f>IF(ISBLANK('Data Entry'!$Ö$75), "", 'Data Entry'!$Ö$75)</f>
      </c>
      <c r="EU75">
        <f>IF(ISBLANK('Data Entry'!$×$75), "", 'Data Entry'!$×$75)</f>
      </c>
      <c r="EV75">
        <f>IF(ISBLANK('Data Entry'!$Ø$75), "", 'Data Entry'!$Ø$75)</f>
      </c>
      <c r="EW75">
        <f>IF(ISBLANK('Data Entry'!$Ù$75), "", 'Data Entry'!$Ù$75)</f>
      </c>
      <c r="EX75">
        <f>IF(ISBLANK('Data Entry'!$Ú$75), "", 'Data Entry'!$Ú$75)</f>
      </c>
      <c r="EY75">
        <f>IF(ISBLANK('Data Entry'!$Û$75), "", 'Data Entry'!$Û$75)</f>
      </c>
      <c r="EZ75">
        <f>IF(ISBLANK('Data Entry'!$Ü$75), "", 'Data Entry'!$Ü$75)</f>
      </c>
      <c r="FA75">
        <f>IF(ISBLANK('Data Entry'!$Ý$75), "", 'Data Entry'!$Ý$75)</f>
      </c>
      <c r="FB75">
        <f>IF(ISBLANK('Data Entry'!$Þ$75), "", 'Data Entry'!$Þ$75)</f>
      </c>
      <c r="FC75">
        <f>IF(ISBLANK('Data Entry'!$ß$75), "", 'Data Entry'!$ß$75)</f>
      </c>
      <c r="FD75">
        <f>IF(ISBLANK('Data Entry'!$à$75), "", 'Data Entry'!$à$75)</f>
      </c>
      <c r="FE75">
        <f>IF(ISBLANK('Data Entry'!$á$75), "", 'Data Entry'!$á$75)</f>
      </c>
      <c r="FF75">
        <f>IF(ISBLANK('Data Entry'!$â$75), "", 'Data Entry'!$â$75)</f>
      </c>
      <c r="FG75">
        <f>IF(ISBLANK('Data Entry'!$ã$75), "", 'Data Entry'!$ã$75)</f>
      </c>
      <c r="FH75">
        <f>IF(ISBLANK('Data Entry'!$ä$75), "", 'Data Entry'!$ä$75)</f>
      </c>
      <c r="FI75">
        <f>IF(ISBLANK('Data Entry'!$å$75), "", 'Data Entry'!$å$75)</f>
      </c>
      <c r="FJ75">
        <f>IF(ISBLANK('Data Entry'!$æ$75), "", 'Data Entry'!$æ$75)</f>
      </c>
      <c r="FK75">
        <f>IF(ISBLANK('Data Entry'!$ç$75), "", 'Data Entry'!$ç$75)</f>
      </c>
      <c r="FL75">
        <f>IF(ISBLANK('Data Entry'!$è$75), "", 'Data Entry'!$è$75)</f>
      </c>
      <c r="FM75">
        <f>IF(ISBLANK('Data Entry'!$é$75), "", 'Data Entry'!$é$75)</f>
      </c>
      <c r="FN75">
        <f>IF(ISBLANK('Data Entry'!$ê$75), "", 'Data Entry'!$ê$75)</f>
      </c>
      <c r="FO75">
        <f>IF(ISBLANK('Data Entry'!$ë$75), "", 'Data Entry'!$ë$75)</f>
      </c>
      <c r="FP75">
        <f>IF(ISBLANK('Data Entry'!$ì$75), "", 'Data Entry'!$ì$75)</f>
      </c>
      <c r="FQ75">
        <f>IF(ISBLANK('Data Entry'!$í$75), "", 'Data Entry'!$í$75)</f>
      </c>
      <c r="FR75">
        <f>IF(ISBLANK('Data Entry'!$î$75), "", 'Data Entry'!$î$75)</f>
      </c>
      <c r="FS75">
        <f>IF(ISBLANK('Data Entry'!$ï$75), "", 'Data Entry'!$ï$75)</f>
      </c>
      <c r="FT75">
        <f>IF(ISBLANK('Data Entry'!$ð$75), "", 'Data Entry'!$ð$75)</f>
      </c>
      <c r="FU75">
        <f>IF(ISBLANK('Data Entry'!$ñ$75), "", 'Data Entry'!$ñ$75)</f>
      </c>
      <c r="FV75">
        <f>IF(ISBLANK('Data Entry'!$ò$75), "", 'Data Entry'!$ò$75)</f>
      </c>
      <c r="FW75">
        <f>IF(ISBLANK('Data Entry'!$ó$75), "", 'Data Entry'!$ó$75)</f>
      </c>
      <c r="FX75">
        <f>IF(ISBLANK('Data Entry'!$ô$75), "", 'Data Entry'!$ô$75)</f>
      </c>
      <c r="FY75">
        <f>IF(ISBLANK('Data Entry'!$õ$75), "", 'Data Entry'!$õ$75)</f>
      </c>
      <c r="FZ75">
        <f>IF(ISBLANK('Data Entry'!$ö$75), "", 'Data Entry'!$ö$75)</f>
      </c>
      <c r="GA75">
        <f>IF(ISBLANK('Data Entry'!$÷$75), "", 'Data Entry'!$÷$75)</f>
      </c>
      <c r="GB75">
        <f>IF(ISBLANK('Data Entry'!$ø$75), "", 'Data Entry'!$ø$75)</f>
      </c>
      <c r="GC75">
        <f>IF(ISBLANK('Data Entry'!$ù$75), "", 'Data Entry'!$ù$75)</f>
      </c>
      <c r="GD75">
        <f>IF(ISBLANK('Data Entry'!$ú$75), "", 'Data Entry'!$ú$75)</f>
      </c>
      <c r="GE75">
        <f>IF(ISBLANK('Data Entry'!$û$75), "", 'Data Entry'!$û$75)</f>
      </c>
      <c r="GF75">
        <f>IF(ISBLANK('Data Entry'!$ü$75), "", 'Data Entry'!$ü$75)</f>
      </c>
      <c r="GG75">
        <f>IF(ISBLANK('Data Entry'!$ý$75), "", 'Data Entry'!$ý$75)</f>
      </c>
      <c r="GH75">
        <f>IF(ISBLANK('Data Entry'!$þ$75), "", 'Data Entry'!$þ$75)</f>
      </c>
      <c r="GI75">
        <f>IF(ISBLANK('Data Entry'!$ÿ$75), "", 'Data Entry'!$ÿ$75)</f>
      </c>
      <c r="GJ75">
        <f>IF(ISBLANK('Data Entry'!$Ā$75), "", 'Data Entry'!$Ā$75)</f>
      </c>
      <c r="GK75">
        <f>IF(ISBLANK('Data Entry'!$ā$75), "", 'Data Entry'!$ā$75)</f>
      </c>
      <c r="GL75">
        <f>IF(ISBLANK('Data Entry'!$Ă$75), "", 'Data Entry'!$Ă$75)</f>
      </c>
      <c r="GM75">
        <f>IF(ISBLANK('Data Entry'!$ă$75), "", 'Data Entry'!$ă$75)</f>
      </c>
      <c r="GN75">
        <f>IF(ISBLANK('Data Entry'!$Ą$75), "", 'Data Entry'!$Ą$75)</f>
      </c>
      <c r="GO75">
        <f>IF(ISBLANK('Data Entry'!$ą$75), "", 'Data Entry'!$ą$75)</f>
      </c>
      <c r="GP75">
        <f>IF(ISBLANK('Data Entry'!$Ć$75), "", 'Data Entry'!$Ć$75)</f>
      </c>
      <c r="GQ75">
        <f>IF(ISBLANK('Data Entry'!$ć$75), "", 'Data Entry'!$ć$75)</f>
      </c>
      <c r="GR75">
        <f>IF(ISBLANK('Data Entry'!$Ĉ$75), "", 'Data Entry'!$Ĉ$75)</f>
      </c>
      <c r="GS75">
        <f>IF(ISBLANK('Data Entry'!$ĉ$75), "", 'Data Entry'!$ĉ$75)</f>
      </c>
      <c r="GT75">
        <f>IF(ISBLANK('Data Entry'!$Ċ$75), "", 'Data Entry'!$Ċ$75)</f>
      </c>
      <c r="GU75">
        <f>IF(ISBLANK('Data Entry'!$ċ$75), "", 'Data Entry'!$ċ$75)</f>
      </c>
      <c r="GV75">
        <f>IF(ISBLANK('Data Entry'!$Č$75), "", 'Data Entry'!$Č$75)</f>
      </c>
      <c r="GW75">
        <f>IF(ISBLANK('Data Entry'!$č$75), "", 'Data Entry'!$č$75)</f>
      </c>
      <c r="GX75">
        <f>IF(ISBLANK('Data Entry'!$Ď$75), "", 'Data Entry'!$Ď$75)</f>
      </c>
      <c r="GY75">
        <f>IF(ISBLANK('Data Entry'!$ď$75), "", 'Data Entry'!$ď$75)</f>
      </c>
      <c r="GZ75">
        <f>IF(ISBLANK('Data Entry'!$Đ$75), "", 'Data Entry'!$Đ$75)</f>
      </c>
      <c r="HA75">
        <f>IF(ISBLANK('Data Entry'!$đ$75), "", 'Data Entry'!$đ$75)</f>
      </c>
      <c r="HB75">
        <f>IF(ISBLANK('Data Entry'!$Ē$75), "", 'Data Entry'!$Ē$75)</f>
      </c>
      <c r="HC75">
        <f>IF(ISBLANK('Data Entry'!$ē$75), "", 'Data Entry'!$ē$75)</f>
      </c>
      <c r="HD75">
        <f>IF(ISBLANK('Data Entry'!$Ĕ$75), "", 'Data Entry'!$Ĕ$75)</f>
      </c>
      <c r="HE75">
        <f>IF(ISBLANK('Data Entry'!$ĕ$75), "", 'Data Entry'!$ĕ$75)</f>
      </c>
      <c r="HF75">
        <f>IF(ISBLANK('Data Entry'!$Ė$75), "", 'Data Entry'!$Ė$75)</f>
      </c>
      <c r="HG75">
        <f>IF(ISBLANK('Data Entry'!$ė$75), "", 'Data Entry'!$ė$75)</f>
      </c>
      <c r="HH75">
        <f>IF(ISBLANK('Data Entry'!$Ę$75), "", 'Data Entry'!$Ę$75)</f>
      </c>
      <c r="HI75">
        <f>IF(ISBLANK('Data Entry'!$ę$75), "", 'Data Entry'!$ę$75)</f>
      </c>
      <c r="HJ75">
        <f>IF(ISBLANK('Data Entry'!$Ě$75), "", 'Data Entry'!$Ě$75)</f>
      </c>
      <c r="HK75">
        <f>IF(ISBLANK('Data Entry'!$ě$75), "", 'Data Entry'!$ě$75)</f>
      </c>
      <c r="HL75">
        <f>IF(ISBLANK('Data Entry'!$Ĝ$75), "", 'Data Entry'!$Ĝ$75)</f>
      </c>
      <c r="HM75">
        <f>IF(ISBLANK('Data Entry'!$ĝ$75), "", 'Data Entry'!$ĝ$75)</f>
      </c>
      <c r="HN75">
        <f>IF(ISBLANK('Data Entry'!$Ğ$75), "", 'Data Entry'!$Ğ$75)</f>
      </c>
      <c r="HO75">
        <f>IF(ISBLANK('Data Entry'!$ğ$75), "", 'Data Entry'!$ğ$75)</f>
      </c>
      <c r="HP75">
        <f>IF(ISBLANK('Data Entry'!$Ġ$75), "", 'Data Entry'!$Ġ$75)</f>
      </c>
      <c r="HQ75">
        <f>IF(ISBLANK('Data Entry'!$ġ$75), "", 'Data Entry'!$ġ$75)</f>
      </c>
      <c r="HR75">
        <f>IF(ISBLANK('Data Entry'!$Ģ$75), "", 'Data Entry'!$Ģ$75)</f>
      </c>
      <c r="HS75">
        <f>IF(ISBLANK('Data Entry'!$ģ$75), "", 'Data Entry'!$ģ$75)</f>
      </c>
      <c r="HT75">
        <f>IF(ISBLANK('Data Entry'!$Ĥ$75), "", 'Data Entry'!$Ĥ$75)</f>
      </c>
      <c r="HU75">
        <f>IF(ISBLANK('Data Entry'!$ĥ$75), "", 'Data Entry'!$ĥ$75)</f>
      </c>
      <c r="HV75">
        <f>IF(ISBLANK('Data Entry'!$Ħ$75), "", 'Data Entry'!$Ħ$75)</f>
      </c>
      <c r="HW75">
        <f>IF(ISBLANK('Data Entry'!$ħ$75), "", 'Data Entry'!$ħ$75)</f>
      </c>
      <c r="HX75">
        <f>IF(ISBLANK('Data Entry'!$Ĩ$75), "", 'Data Entry'!$Ĩ$75)</f>
      </c>
      <c r="HY75">
        <f>IF(ISBLANK('Data Entry'!$ĩ$75), "", 'Data Entry'!$ĩ$75)</f>
      </c>
      <c r="HZ75">
        <f>IF(ISBLANK('Data Entry'!$Ī$75), "", 'Data Entry'!$Ī$75)</f>
      </c>
      <c r="IA75">
        <f>IF(ISBLANK('Data Entry'!$ī$75), "", 'Data Entry'!$ī$75)</f>
      </c>
      <c r="IB75">
        <f>IF(ISBLANK('Data Entry'!$Ĭ$75), "", 'Data Entry'!$Ĭ$75)</f>
      </c>
      <c r="IC75">
        <f>IF(ISBLANK('Data Entry'!$ĭ$75), "", 'Data Entry'!$ĭ$75)</f>
      </c>
      <c r="ID75">
        <f>IF(ISBLANK('Data Entry'!$Į$75), "", 'Data Entry'!$Į$75)</f>
      </c>
      <c r="IE75">
        <f>IF(ISBLANK('Data Entry'!$į$75), "", 'Data Entry'!$į$75)</f>
      </c>
      <c r="IF75">
        <f>IF(ISBLANK('Data Entry'!$İ$75), "", 'Data Entry'!$İ$75)</f>
      </c>
      <c r="IG75">
        <f>IF(ISBLANK('Data Entry'!$ı$75), "", 'Data Entry'!$ı$75)</f>
      </c>
      <c r="IH75">
        <f>IF(ISBLANK('Data Entry'!$Ĳ$75), "", 'Data Entry'!$Ĳ$75)</f>
      </c>
      <c r="II75">
        <f>IF(ISBLANK('Data Entry'!$ĳ$75), "", 'Data Entry'!$ĳ$75)</f>
      </c>
      <c r="IJ75">
        <f>IF(ISBLANK('Data Entry'!$Ĵ$75), "", 'Data Entry'!$Ĵ$75)</f>
      </c>
      <c r="IK75">
        <f>IF(ISBLANK('Data Entry'!$ĵ$75), "", 'Data Entry'!$ĵ$75)</f>
      </c>
      <c r="IL75">
        <f>IF(ISBLANK('Data Entry'!$Ķ$75), "", 'Data Entry'!$Ķ$75)</f>
      </c>
      <c r="IM75">
        <f>IF(ISBLANK('Data Entry'!$ķ$75), "", 'Data Entry'!$ķ$75)</f>
      </c>
      <c r="IN75">
        <f>IF(ISBLANK('Data Entry'!$ĸ$75), "", 'Data Entry'!$ĸ$75)</f>
      </c>
      <c r="IO75">
        <f>IF(ISBLANK('Data Entry'!$Ĺ$75), "", 'Data Entry'!$Ĺ$75)</f>
      </c>
      <c r="IP75">
        <f>IF(ISBLANK('Data Entry'!$ĺ$75), "", 'Data Entry'!$ĺ$75)</f>
      </c>
      <c r="IQ75">
        <f>IF(ISBLANK('Data Entry'!$Ļ$75), "", 'Data Entry'!$Ļ$75)</f>
      </c>
      <c r="IR75">
        <f>IF(ISBLANK('Data Entry'!$ļ$75), "", 'Data Entry'!$ļ$75)</f>
      </c>
      <c r="IS75">
        <f>IF(ISBLANK('Data Entry'!$Ľ$75), "", 'Data Entry'!$Ľ$75)</f>
      </c>
      <c r="IT75">
        <f>IF(ISBLANK('Data Entry'!$ľ$75), "", 'Data Entry'!$ľ$75)</f>
      </c>
    </row>
    <row r="76" spans="1:254" x14ac:dyDescent="0.25">
      <c r="A76">
        <f>IF(ISBLANK('Data Entry'!$A$76), "", 'Data Entry'!$A$76)</f>
      </c>
      <c r="B76">
        <f>IF(ISBLANK('Data Entry'!$B$76), "", 'Data Entry'!$B$76)</f>
      </c>
      <c r="C76">
        <f>IF(ISBLANK('Data Entry'!$C$76), "", 'Data Entry'!$C$76)</f>
      </c>
      <c r="D76">
        <f>IF(ISBLANK('Data Entry'!$D$76), "", 'Data Entry'!$D$76)</f>
      </c>
      <c r="E76">
        <f>IF(ISBLANK('Data Entry'!$E$76), "", 'Data Entry'!$E$76)</f>
      </c>
      <c r="F76">
        <f>IF(ISBLANK('Data Entry'!$F$76), "", 'Data Entry'!$F$76)</f>
      </c>
      <c r="G76">
        <f>IF(ISBLANK('Data Entry'!$G$76), "", 'Data Entry'!$G$76)</f>
      </c>
      <c r="H76">
        <f>IF(ISBLANK('Data Entry'!$H$76), "", 'Data Entry'!$H$76)</f>
      </c>
      <c r="I76">
        <f>IF(ISBLANK('Data Entry'!$I$76), "", 'Data Entry'!$I$76)</f>
      </c>
      <c r="J76">
        <f>IF(ISBLANK('Data Entry'!$J$76), "", 'Data Entry'!$J$76)</f>
      </c>
      <c r="K76">
        <f>IF(ISBLANK('Data Entry'!$K$76), "", 'Data Entry'!$K$76)</f>
      </c>
      <c r="L76">
        <f>IF(ISBLANK('Data Entry'!$L$76), "", 'Data Entry'!$L$76)</f>
      </c>
      <c r="M76">
        <f>IF(ISBLANK('Data Entry'!$M$76), "", 'Data Entry'!$M$76)</f>
      </c>
      <c r="N76">
        <f>IF(ISBLANK('Data Entry'!$N$76), "", 'Data Entry'!$N$76)</f>
      </c>
      <c r="O76">
        <f>IF(ISBLANK('Data Entry'!$O$76), "", 'Data Entry'!$O$76)</f>
      </c>
      <c r="P76">
        <f>IF(ISBLANK('Data Entry'!$P$76), "", 'Data Entry'!$P$76)</f>
      </c>
      <c r="Q76">
        <f>IF(ISBLANK('Data Entry'!$Q$76), "", 'Data Entry'!$Q$76)</f>
      </c>
      <c r="R76">
        <f>IF(ISBLANK('Data Entry'!$R$76), "", 'Data Entry'!$R$76)</f>
      </c>
      <c r="S76">
        <f>IF(ISBLANK('Data Entry'!$S$76), "", 'Data Entry'!$S$76)</f>
      </c>
      <c r="T76">
        <f>IF(ISBLANK('Data Entry'!$T$76), "", 'Data Entry'!$T$76)</f>
      </c>
      <c r="U76">
        <f>IF(ISBLANK('Data Entry'!$U$76), "", 'Data Entry'!$U$76)</f>
      </c>
      <c r="V76">
        <f>IF(ISBLANK('Data Entry'!$V$76), "", 'Data Entry'!$V$76)</f>
      </c>
      <c r="W76">
        <f>IF(ISBLANK('Data Entry'!$W$76), "", 'Data Entry'!$W$76)</f>
      </c>
      <c r="X76">
        <f>IF(ISBLANK('Data Entry'!$X$76), "", 'Data Entry'!$X$76)</f>
      </c>
      <c r="Y76">
        <f>IF(ISBLANK('Data Entry'!$Y$76), "", 'Data Entry'!$Y$76)</f>
      </c>
      <c r="Z76">
        <f>IF(ISBLANK('Data Entry'!$Z$76), "", 'Data Entry'!$Z$76)</f>
      </c>
      <c r="AA76">
        <f>IF(ISBLANK('Data Entry'!$[$76), "", 'Data Entry'!$[$76)</f>
      </c>
      <c r="AB76">
        <f>IF(ISBLANK('Data Entry'!$\$76), "", 'Data Entry'!$\$76)</f>
      </c>
      <c r="AC76">
        <f>IF(ISBLANK('Data Entry'!$]$76), "", 'Data Entry'!$]$76)</f>
      </c>
      <c r="AD76">
        <f>IF(ISBLANK('Data Entry'!$^$76), "", 'Data Entry'!$^$76)</f>
      </c>
      <c r="AE76">
        <f>IF(ISBLANK('Data Entry'!$_$76), "", 'Data Entry'!$_$76)</f>
      </c>
      <c r="AF76">
        <f>IF(ISBLANK('Data Entry'!$`$76), "", 'Data Entry'!$`$76)</f>
      </c>
      <c r="AG76">
        <f>IF(ISBLANK('Data Entry'!$a$76), "", 'Data Entry'!$a$76)</f>
      </c>
      <c r="AH76">
        <f>IF(ISBLANK('Data Entry'!$b$76), "", 'Data Entry'!$b$76)</f>
      </c>
      <c r="AI76">
        <f>IF(ISBLANK('Data Entry'!$c$76), "", 'Data Entry'!$c$76)</f>
      </c>
      <c r="AJ76">
        <f>IF(ISBLANK('Data Entry'!$d$76), "", 'Data Entry'!$d$76)</f>
      </c>
      <c r="AK76">
        <f>IF(ISBLANK('Data Entry'!$e$76), "", 'Data Entry'!$e$76)</f>
      </c>
      <c r="AL76">
        <f>IF(ISBLANK('Data Entry'!$f$76), "", 'Data Entry'!$f$76)</f>
      </c>
      <c r="AM76">
        <f>IF(ISBLANK('Data Entry'!$g$76), "", 'Data Entry'!$g$76)</f>
      </c>
      <c r="AN76">
        <f>IF(ISBLANK('Data Entry'!$h$76), "", 'Data Entry'!$h$76)</f>
      </c>
      <c r="AO76">
        <f>IF(ISBLANK('Data Entry'!$i$76), "", 'Data Entry'!$i$76)</f>
      </c>
      <c r="AP76">
        <f>IF(ISBLANK('Data Entry'!$j$76), "", 'Data Entry'!$j$76)</f>
      </c>
      <c r="AQ76">
        <f>IF(ISBLANK('Data Entry'!$k$76), "", 'Data Entry'!$k$76)</f>
      </c>
      <c r="AR76">
        <f>IF(ISBLANK('Data Entry'!$l$76), "", 'Data Entry'!$l$76)</f>
      </c>
      <c r="AS76">
        <f>IF(ISBLANK('Data Entry'!$m$76), "", 'Data Entry'!$m$76)</f>
      </c>
      <c r="AT76">
        <f>IF(ISBLANK('Data Entry'!$n$76), "", 'Data Entry'!$n$76)</f>
      </c>
      <c r="AU76">
        <f>IF(ISBLANK('Data Entry'!$o$76), "", 'Data Entry'!$o$76)</f>
      </c>
      <c r="AV76">
        <f>IF(ISBLANK('Data Entry'!$p$76), "", 'Data Entry'!$p$76)</f>
      </c>
      <c r="AW76">
        <f>IF(ISBLANK('Data Entry'!$q$76), "", 'Data Entry'!$q$76)</f>
      </c>
      <c r="AX76">
        <f>IF(ISBLANK('Data Entry'!$r$76), "", 'Data Entry'!$r$76)</f>
      </c>
      <c r="AY76">
        <f>IF(ISBLANK('Data Entry'!$s$76), "", 'Data Entry'!$s$76)</f>
      </c>
      <c r="AZ76">
        <f>IF(ISBLANK('Data Entry'!$t$76), "", 'Data Entry'!$t$76)</f>
      </c>
      <c r="BA76">
        <f>IF(ISBLANK('Data Entry'!$u$76), "", 'Data Entry'!$u$76)</f>
      </c>
      <c r="BB76">
        <f>IF(ISBLANK('Data Entry'!$v$76), "", 'Data Entry'!$v$76)</f>
      </c>
      <c r="BC76">
        <f>IF(ISBLANK('Data Entry'!$w$76), "", 'Data Entry'!$w$76)</f>
      </c>
      <c r="BD76">
        <f>IF(ISBLANK('Data Entry'!$x$76), "", 'Data Entry'!$x$76)</f>
      </c>
      <c r="BE76">
        <f>IF(ISBLANK('Data Entry'!$y$76), "", 'Data Entry'!$y$76)</f>
      </c>
      <c r="BF76">
        <f>IF(ISBLANK('Data Entry'!$z$76), "", 'Data Entry'!$z$76)</f>
      </c>
      <c r="BG76">
        <f>IF(ISBLANK('Data Entry'!${$76), "", 'Data Entry'!${$76)</f>
      </c>
      <c r="BH76">
        <f>IF(ISBLANK('Data Entry'!$|$76), "", 'Data Entry'!$|$76)</f>
      </c>
      <c r="BI76">
        <f>IF(ISBLANK('Data Entry'!$}$76), "", 'Data Entry'!$}$76)</f>
      </c>
      <c r="BJ76">
        <f>IF(ISBLANK('Data Entry'!$~$76), "", 'Data Entry'!$~$76)</f>
      </c>
      <c r="BK76">
        <f>IF(ISBLANK('Data Entry'!$$76), "", 'Data Entry'!$$76)</f>
      </c>
      <c r="BL76">
        <f>IF(ISBLANK('Data Entry'!$$76), "", 'Data Entry'!$$76)</f>
      </c>
      <c r="BM76">
        <f>IF(ISBLANK('Data Entry'!$$76), "", 'Data Entry'!$$76)</f>
      </c>
      <c r="BN76">
        <f>IF(ISBLANK('Data Entry'!$$76), "", 'Data Entry'!$$76)</f>
      </c>
      <c r="BO76">
        <f>IF(ISBLANK('Data Entry'!$$76), "", 'Data Entry'!$$76)</f>
      </c>
      <c r="BP76">
        <f>IF(ISBLANK('Data Entry'!$$76), "", 'Data Entry'!$$76)</f>
      </c>
      <c r="BQ76">
        <f>IF(ISBLANK('Data Entry'!$$76), "", 'Data Entry'!$$76)</f>
      </c>
      <c r="BR76">
        <f>IF(ISBLANK('Data Entry'!$$76), "", 'Data Entry'!$$76)</f>
      </c>
      <c r="BS76">
        <f>IF(ISBLANK('Data Entry'!$$76), "", 'Data Entry'!$$76)</f>
      </c>
      <c r="BT76">
        <f>IF(ISBLANK('Data Entry'!$$76), "", 'Data Entry'!$$76)</f>
      </c>
      <c r="BU76">
        <f>IF(ISBLANK('Data Entry'!$$76), "", 'Data Entry'!$$76)</f>
      </c>
      <c r="BV76">
        <f>IF(ISBLANK('Data Entry'!$$76), "", 'Data Entry'!$$76)</f>
      </c>
      <c r="BW76">
        <f>IF(ISBLANK('Data Entry'!$$76), "", 'Data Entry'!$$76)</f>
      </c>
      <c r="BX76">
        <f>IF(ISBLANK('Data Entry'!$$76), "", 'Data Entry'!$$76)</f>
      </c>
      <c r="BY76">
        <f>IF(ISBLANK('Data Entry'!$$76), "", 'Data Entry'!$$76)</f>
      </c>
      <c r="BZ76">
        <f>IF(ISBLANK('Data Entry'!$$76), "", 'Data Entry'!$$76)</f>
      </c>
      <c r="CA76">
        <f>IF(ISBLANK('Data Entry'!$$76), "", 'Data Entry'!$$76)</f>
      </c>
      <c r="CB76">
        <f>IF(ISBLANK('Data Entry'!$$76), "", 'Data Entry'!$$76)</f>
      </c>
      <c r="CC76">
        <f>IF(ISBLANK('Data Entry'!$$76), "", 'Data Entry'!$$76)</f>
      </c>
      <c r="CD76">
        <f>IF(ISBLANK('Data Entry'!$$76), "", 'Data Entry'!$$76)</f>
      </c>
      <c r="CE76">
        <f>IF(ISBLANK('Data Entry'!$$76), "", 'Data Entry'!$$76)</f>
      </c>
      <c r="CF76">
        <f>IF(ISBLANK('Data Entry'!$$76), "", 'Data Entry'!$$76)</f>
      </c>
      <c r="CG76">
        <f>IF(ISBLANK('Data Entry'!$$76), "", 'Data Entry'!$$76)</f>
      </c>
      <c r="CH76">
        <f>IF(ISBLANK('Data Entry'!$$76), "", 'Data Entry'!$$76)</f>
      </c>
      <c r="CI76">
        <f>IF(ISBLANK('Data Entry'!$$76), "", 'Data Entry'!$$76)</f>
      </c>
      <c r="CJ76">
        <f>IF(ISBLANK('Data Entry'!$$76), "", 'Data Entry'!$$76)</f>
      </c>
      <c r="CK76">
        <f>IF(ISBLANK('Data Entry'!$$76), "", 'Data Entry'!$$76)</f>
      </c>
      <c r="CL76">
        <f>IF(ISBLANK('Data Entry'!$$76), "", 'Data Entry'!$$76)</f>
      </c>
      <c r="CM76">
        <f>IF(ISBLANK('Data Entry'!$$76), "", 'Data Entry'!$$76)</f>
      </c>
      <c r="CN76">
        <f>IF(ISBLANK('Data Entry'!$$76), "", 'Data Entry'!$$76)</f>
      </c>
      <c r="CO76">
        <f>IF(ISBLANK('Data Entry'!$$76), "", 'Data Entry'!$$76)</f>
      </c>
      <c r="CP76">
        <f>IF(ISBLANK('Data Entry'!$$76), "", 'Data Entry'!$$76)</f>
      </c>
      <c r="CQ76">
        <f>IF(ISBLANK('Data Entry'!$$76), "", 'Data Entry'!$$76)</f>
      </c>
      <c r="CR76">
        <f>IF(ISBLANK('Data Entry'!$ $76), "", 'Data Entry'!$ $76)</f>
      </c>
      <c r="CS76">
        <f>IF(ISBLANK('Data Entry'!$¡$76), "", 'Data Entry'!$¡$76)</f>
      </c>
      <c r="CT76">
        <f>IF(ISBLANK('Data Entry'!$¢$76), "", 'Data Entry'!$¢$76)</f>
      </c>
      <c r="CU76">
        <f>IF(ISBLANK('Data Entry'!$£$76), "", 'Data Entry'!$£$76)</f>
      </c>
      <c r="CV76">
        <f>IF(ISBLANK('Data Entry'!$¤$76), "", 'Data Entry'!$¤$76)</f>
      </c>
      <c r="CW76">
        <f>IF(ISBLANK('Data Entry'!$¥$76), "", 'Data Entry'!$¥$76)</f>
      </c>
      <c r="CX76">
        <f>IF(ISBLANK('Data Entry'!$¦$76), "", 'Data Entry'!$¦$76)</f>
      </c>
      <c r="CY76">
        <f>IF(ISBLANK('Data Entry'!$§$76), "", 'Data Entry'!$§$76)</f>
      </c>
      <c r="CZ76">
        <f>IF(ISBLANK('Data Entry'!$¨$76), "", 'Data Entry'!$¨$76)</f>
      </c>
      <c r="DA76">
        <f>IF(ISBLANK('Data Entry'!$©$76), "", 'Data Entry'!$©$76)</f>
      </c>
      <c r="DB76">
        <f>IF(ISBLANK('Data Entry'!$ª$76), "", 'Data Entry'!$ª$76)</f>
      </c>
      <c r="DC76">
        <f>IF(ISBLANK('Data Entry'!$«$76), "", 'Data Entry'!$«$76)</f>
      </c>
      <c r="DD76">
        <f>IF(ISBLANK('Data Entry'!$¬$76), "", 'Data Entry'!$¬$76)</f>
      </c>
      <c r="DE76">
        <f>IF(ISBLANK('Data Entry'!$­$76), "", 'Data Entry'!$­$76)</f>
      </c>
      <c r="DF76">
        <f>IF(ISBLANK('Data Entry'!$®$76), "", 'Data Entry'!$®$76)</f>
      </c>
      <c r="DG76">
        <f>IF(ISBLANK('Data Entry'!$¯$76), "", 'Data Entry'!$¯$76)</f>
      </c>
      <c r="DH76">
        <f>IF(ISBLANK('Data Entry'!$°$76), "", 'Data Entry'!$°$76)</f>
      </c>
      <c r="DI76">
        <f>IF(ISBLANK('Data Entry'!$±$76), "", 'Data Entry'!$±$76)</f>
      </c>
      <c r="DJ76">
        <f>IF(ISBLANK('Data Entry'!$²$76), "", 'Data Entry'!$²$76)</f>
      </c>
      <c r="DK76">
        <f>IF(ISBLANK('Data Entry'!$³$76), "", 'Data Entry'!$³$76)</f>
      </c>
      <c r="DL76">
        <f>IF(ISBLANK('Data Entry'!$´$76), "", 'Data Entry'!$´$76)</f>
      </c>
      <c r="DM76">
        <f>IF(ISBLANK('Data Entry'!$µ$76), "", 'Data Entry'!$µ$76)</f>
      </c>
      <c r="DN76">
        <f>IF(ISBLANK('Data Entry'!$¶$76), "", 'Data Entry'!$¶$76)</f>
      </c>
      <c r="DO76">
        <f>IF(ISBLANK('Data Entry'!$·$76), "", 'Data Entry'!$·$76)</f>
      </c>
      <c r="DP76">
        <f>IF(ISBLANK('Data Entry'!$¸$76), "", 'Data Entry'!$¸$76)</f>
      </c>
      <c r="DQ76">
        <f>IF(ISBLANK('Data Entry'!$¹$76), "", 'Data Entry'!$¹$76)</f>
      </c>
      <c r="DR76">
        <f>IF(ISBLANK('Data Entry'!$º$76), "", 'Data Entry'!$º$76)</f>
      </c>
      <c r="DS76">
        <f>IF(ISBLANK('Data Entry'!$»$76), "", 'Data Entry'!$»$76)</f>
      </c>
      <c r="DT76">
        <f>IF(ISBLANK('Data Entry'!$¼$76), "", 'Data Entry'!$¼$76)</f>
      </c>
      <c r="DU76">
        <f>IF(ISBLANK('Data Entry'!$½$76), "", 'Data Entry'!$½$76)</f>
      </c>
      <c r="DV76">
        <f>IF(ISBLANK('Data Entry'!$¾$76), "", 'Data Entry'!$¾$76)</f>
      </c>
      <c r="DW76">
        <f>IF(ISBLANK('Data Entry'!$¿$76), "", 'Data Entry'!$¿$76)</f>
      </c>
      <c r="DX76">
        <f>IF(ISBLANK('Data Entry'!$À$76), "", 'Data Entry'!$À$76)</f>
      </c>
      <c r="DY76">
        <f>IF(ISBLANK('Data Entry'!$Á$76), "", 'Data Entry'!$Á$76)</f>
      </c>
      <c r="DZ76">
        <f>IF(ISBLANK('Data Entry'!$Â$76), "", 'Data Entry'!$Â$76)</f>
      </c>
      <c r="EA76">
        <f>IF(ISBLANK('Data Entry'!$Ã$76), "", 'Data Entry'!$Ã$76)</f>
      </c>
      <c r="EB76">
        <f>IF(ISBLANK('Data Entry'!$Ä$76), "", 'Data Entry'!$Ä$76)</f>
      </c>
      <c r="EC76">
        <f>IF(ISBLANK('Data Entry'!$Å$76), "", 'Data Entry'!$Å$76)</f>
      </c>
      <c r="ED76">
        <f>IF(ISBLANK('Data Entry'!$Æ$76), "", 'Data Entry'!$Æ$76)</f>
      </c>
      <c r="EE76">
        <f>IF(ISBLANK('Data Entry'!$Ç$76), "", 'Data Entry'!$Ç$76)</f>
      </c>
      <c r="EF76">
        <f>IF(ISBLANK('Data Entry'!$È$76), "", 'Data Entry'!$È$76)</f>
      </c>
      <c r="EG76">
        <f>IF(ISBLANK('Data Entry'!$É$76), "", 'Data Entry'!$É$76)</f>
      </c>
      <c r="EH76">
        <f>IF(ISBLANK('Data Entry'!$Ê$76), "", 'Data Entry'!$Ê$76)</f>
      </c>
      <c r="EI76">
        <f>IF(ISBLANK('Data Entry'!$Ë$76), "", 'Data Entry'!$Ë$76)</f>
      </c>
      <c r="EJ76">
        <f>IF(ISBLANK('Data Entry'!$Ì$76), "", 'Data Entry'!$Ì$76)</f>
      </c>
      <c r="EK76">
        <f>IF(ISBLANK('Data Entry'!$Í$76), "", 'Data Entry'!$Í$76)</f>
      </c>
      <c r="EL76">
        <f>IF(ISBLANK('Data Entry'!$Î$76), "", 'Data Entry'!$Î$76)</f>
      </c>
      <c r="EM76">
        <f>IF(ISBLANK('Data Entry'!$Ï$76), "", 'Data Entry'!$Ï$76)</f>
      </c>
      <c r="EN76">
        <f>IF(ISBLANK('Data Entry'!$Ð$76), "", 'Data Entry'!$Ð$76)</f>
      </c>
      <c r="EO76">
        <f>IF(ISBLANK('Data Entry'!$Ñ$76), "", 'Data Entry'!$Ñ$76)</f>
      </c>
      <c r="EP76">
        <f>IF(ISBLANK('Data Entry'!$Ò$76), "", 'Data Entry'!$Ò$76)</f>
      </c>
      <c r="EQ76">
        <f>IF(ISBLANK('Data Entry'!$Ó$76), "", 'Data Entry'!$Ó$76)</f>
      </c>
      <c r="ER76">
        <f>IF(ISBLANK('Data Entry'!$Ô$76), "", 'Data Entry'!$Ô$76)</f>
      </c>
      <c r="ES76">
        <f>IF(ISBLANK('Data Entry'!$Õ$76), "", 'Data Entry'!$Õ$76)</f>
      </c>
      <c r="ET76">
        <f>IF(ISBLANK('Data Entry'!$Ö$76), "", 'Data Entry'!$Ö$76)</f>
      </c>
      <c r="EU76">
        <f>IF(ISBLANK('Data Entry'!$×$76), "", 'Data Entry'!$×$76)</f>
      </c>
      <c r="EV76">
        <f>IF(ISBLANK('Data Entry'!$Ø$76), "", 'Data Entry'!$Ø$76)</f>
      </c>
      <c r="EW76">
        <f>IF(ISBLANK('Data Entry'!$Ù$76), "", 'Data Entry'!$Ù$76)</f>
      </c>
      <c r="EX76">
        <f>IF(ISBLANK('Data Entry'!$Ú$76), "", 'Data Entry'!$Ú$76)</f>
      </c>
      <c r="EY76">
        <f>IF(ISBLANK('Data Entry'!$Û$76), "", 'Data Entry'!$Û$76)</f>
      </c>
      <c r="EZ76">
        <f>IF(ISBLANK('Data Entry'!$Ü$76), "", 'Data Entry'!$Ü$76)</f>
      </c>
      <c r="FA76">
        <f>IF(ISBLANK('Data Entry'!$Ý$76), "", 'Data Entry'!$Ý$76)</f>
      </c>
      <c r="FB76">
        <f>IF(ISBLANK('Data Entry'!$Þ$76), "", 'Data Entry'!$Þ$76)</f>
      </c>
      <c r="FC76">
        <f>IF(ISBLANK('Data Entry'!$ß$76), "", 'Data Entry'!$ß$76)</f>
      </c>
      <c r="FD76">
        <f>IF(ISBLANK('Data Entry'!$à$76), "", 'Data Entry'!$à$76)</f>
      </c>
      <c r="FE76">
        <f>IF(ISBLANK('Data Entry'!$á$76), "", 'Data Entry'!$á$76)</f>
      </c>
      <c r="FF76">
        <f>IF(ISBLANK('Data Entry'!$â$76), "", 'Data Entry'!$â$76)</f>
      </c>
      <c r="FG76">
        <f>IF(ISBLANK('Data Entry'!$ã$76), "", 'Data Entry'!$ã$76)</f>
      </c>
      <c r="FH76">
        <f>IF(ISBLANK('Data Entry'!$ä$76), "", 'Data Entry'!$ä$76)</f>
      </c>
      <c r="FI76">
        <f>IF(ISBLANK('Data Entry'!$å$76), "", 'Data Entry'!$å$76)</f>
      </c>
      <c r="FJ76">
        <f>IF(ISBLANK('Data Entry'!$æ$76), "", 'Data Entry'!$æ$76)</f>
      </c>
      <c r="FK76">
        <f>IF(ISBLANK('Data Entry'!$ç$76), "", 'Data Entry'!$ç$76)</f>
      </c>
      <c r="FL76">
        <f>IF(ISBLANK('Data Entry'!$è$76), "", 'Data Entry'!$è$76)</f>
      </c>
      <c r="FM76">
        <f>IF(ISBLANK('Data Entry'!$é$76), "", 'Data Entry'!$é$76)</f>
      </c>
      <c r="FN76">
        <f>IF(ISBLANK('Data Entry'!$ê$76), "", 'Data Entry'!$ê$76)</f>
      </c>
      <c r="FO76">
        <f>IF(ISBLANK('Data Entry'!$ë$76), "", 'Data Entry'!$ë$76)</f>
      </c>
      <c r="FP76">
        <f>IF(ISBLANK('Data Entry'!$ì$76), "", 'Data Entry'!$ì$76)</f>
      </c>
      <c r="FQ76">
        <f>IF(ISBLANK('Data Entry'!$í$76), "", 'Data Entry'!$í$76)</f>
      </c>
      <c r="FR76">
        <f>IF(ISBLANK('Data Entry'!$î$76), "", 'Data Entry'!$î$76)</f>
      </c>
      <c r="FS76">
        <f>IF(ISBLANK('Data Entry'!$ï$76), "", 'Data Entry'!$ï$76)</f>
      </c>
      <c r="FT76">
        <f>IF(ISBLANK('Data Entry'!$ð$76), "", 'Data Entry'!$ð$76)</f>
      </c>
      <c r="FU76">
        <f>IF(ISBLANK('Data Entry'!$ñ$76), "", 'Data Entry'!$ñ$76)</f>
      </c>
      <c r="FV76">
        <f>IF(ISBLANK('Data Entry'!$ò$76), "", 'Data Entry'!$ò$76)</f>
      </c>
      <c r="FW76">
        <f>IF(ISBLANK('Data Entry'!$ó$76), "", 'Data Entry'!$ó$76)</f>
      </c>
      <c r="FX76">
        <f>IF(ISBLANK('Data Entry'!$ô$76), "", 'Data Entry'!$ô$76)</f>
      </c>
      <c r="FY76">
        <f>IF(ISBLANK('Data Entry'!$õ$76), "", 'Data Entry'!$õ$76)</f>
      </c>
      <c r="FZ76">
        <f>IF(ISBLANK('Data Entry'!$ö$76), "", 'Data Entry'!$ö$76)</f>
      </c>
      <c r="GA76">
        <f>IF(ISBLANK('Data Entry'!$÷$76), "", 'Data Entry'!$÷$76)</f>
      </c>
      <c r="GB76">
        <f>IF(ISBLANK('Data Entry'!$ø$76), "", 'Data Entry'!$ø$76)</f>
      </c>
      <c r="GC76">
        <f>IF(ISBLANK('Data Entry'!$ù$76), "", 'Data Entry'!$ù$76)</f>
      </c>
      <c r="GD76">
        <f>IF(ISBLANK('Data Entry'!$ú$76), "", 'Data Entry'!$ú$76)</f>
      </c>
      <c r="GE76">
        <f>IF(ISBLANK('Data Entry'!$û$76), "", 'Data Entry'!$û$76)</f>
      </c>
      <c r="GF76">
        <f>IF(ISBLANK('Data Entry'!$ü$76), "", 'Data Entry'!$ü$76)</f>
      </c>
      <c r="GG76">
        <f>IF(ISBLANK('Data Entry'!$ý$76), "", 'Data Entry'!$ý$76)</f>
      </c>
      <c r="GH76">
        <f>IF(ISBLANK('Data Entry'!$þ$76), "", 'Data Entry'!$þ$76)</f>
      </c>
      <c r="GI76">
        <f>IF(ISBLANK('Data Entry'!$ÿ$76), "", 'Data Entry'!$ÿ$76)</f>
      </c>
      <c r="GJ76">
        <f>IF(ISBLANK('Data Entry'!$Ā$76), "", 'Data Entry'!$Ā$76)</f>
      </c>
      <c r="GK76">
        <f>IF(ISBLANK('Data Entry'!$ā$76), "", 'Data Entry'!$ā$76)</f>
      </c>
      <c r="GL76">
        <f>IF(ISBLANK('Data Entry'!$Ă$76), "", 'Data Entry'!$Ă$76)</f>
      </c>
      <c r="GM76">
        <f>IF(ISBLANK('Data Entry'!$ă$76), "", 'Data Entry'!$ă$76)</f>
      </c>
      <c r="GN76">
        <f>IF(ISBLANK('Data Entry'!$Ą$76), "", 'Data Entry'!$Ą$76)</f>
      </c>
      <c r="GO76">
        <f>IF(ISBLANK('Data Entry'!$ą$76), "", 'Data Entry'!$ą$76)</f>
      </c>
      <c r="GP76">
        <f>IF(ISBLANK('Data Entry'!$Ć$76), "", 'Data Entry'!$Ć$76)</f>
      </c>
      <c r="GQ76">
        <f>IF(ISBLANK('Data Entry'!$ć$76), "", 'Data Entry'!$ć$76)</f>
      </c>
      <c r="GR76">
        <f>IF(ISBLANK('Data Entry'!$Ĉ$76), "", 'Data Entry'!$Ĉ$76)</f>
      </c>
      <c r="GS76">
        <f>IF(ISBLANK('Data Entry'!$ĉ$76), "", 'Data Entry'!$ĉ$76)</f>
      </c>
      <c r="GT76">
        <f>IF(ISBLANK('Data Entry'!$Ċ$76), "", 'Data Entry'!$Ċ$76)</f>
      </c>
      <c r="GU76">
        <f>IF(ISBLANK('Data Entry'!$ċ$76), "", 'Data Entry'!$ċ$76)</f>
      </c>
      <c r="GV76">
        <f>IF(ISBLANK('Data Entry'!$Č$76), "", 'Data Entry'!$Č$76)</f>
      </c>
      <c r="GW76">
        <f>IF(ISBLANK('Data Entry'!$č$76), "", 'Data Entry'!$č$76)</f>
      </c>
      <c r="GX76">
        <f>IF(ISBLANK('Data Entry'!$Ď$76), "", 'Data Entry'!$Ď$76)</f>
      </c>
      <c r="GY76">
        <f>IF(ISBLANK('Data Entry'!$ď$76), "", 'Data Entry'!$ď$76)</f>
      </c>
      <c r="GZ76">
        <f>IF(ISBLANK('Data Entry'!$Đ$76), "", 'Data Entry'!$Đ$76)</f>
      </c>
      <c r="HA76">
        <f>IF(ISBLANK('Data Entry'!$đ$76), "", 'Data Entry'!$đ$76)</f>
      </c>
      <c r="HB76">
        <f>IF(ISBLANK('Data Entry'!$Ē$76), "", 'Data Entry'!$Ē$76)</f>
      </c>
      <c r="HC76">
        <f>IF(ISBLANK('Data Entry'!$ē$76), "", 'Data Entry'!$ē$76)</f>
      </c>
      <c r="HD76">
        <f>IF(ISBLANK('Data Entry'!$Ĕ$76), "", 'Data Entry'!$Ĕ$76)</f>
      </c>
      <c r="HE76">
        <f>IF(ISBLANK('Data Entry'!$ĕ$76), "", 'Data Entry'!$ĕ$76)</f>
      </c>
      <c r="HF76">
        <f>IF(ISBLANK('Data Entry'!$Ė$76), "", 'Data Entry'!$Ė$76)</f>
      </c>
      <c r="HG76">
        <f>IF(ISBLANK('Data Entry'!$ė$76), "", 'Data Entry'!$ė$76)</f>
      </c>
      <c r="HH76">
        <f>IF(ISBLANK('Data Entry'!$Ę$76), "", 'Data Entry'!$Ę$76)</f>
      </c>
      <c r="HI76">
        <f>IF(ISBLANK('Data Entry'!$ę$76), "", 'Data Entry'!$ę$76)</f>
      </c>
      <c r="HJ76">
        <f>IF(ISBLANK('Data Entry'!$Ě$76), "", 'Data Entry'!$Ě$76)</f>
      </c>
      <c r="HK76">
        <f>IF(ISBLANK('Data Entry'!$ě$76), "", 'Data Entry'!$ě$76)</f>
      </c>
      <c r="HL76">
        <f>IF(ISBLANK('Data Entry'!$Ĝ$76), "", 'Data Entry'!$Ĝ$76)</f>
      </c>
      <c r="HM76">
        <f>IF(ISBLANK('Data Entry'!$ĝ$76), "", 'Data Entry'!$ĝ$76)</f>
      </c>
      <c r="HN76">
        <f>IF(ISBLANK('Data Entry'!$Ğ$76), "", 'Data Entry'!$Ğ$76)</f>
      </c>
      <c r="HO76">
        <f>IF(ISBLANK('Data Entry'!$ğ$76), "", 'Data Entry'!$ğ$76)</f>
      </c>
      <c r="HP76">
        <f>IF(ISBLANK('Data Entry'!$Ġ$76), "", 'Data Entry'!$Ġ$76)</f>
      </c>
      <c r="HQ76">
        <f>IF(ISBLANK('Data Entry'!$ġ$76), "", 'Data Entry'!$ġ$76)</f>
      </c>
      <c r="HR76">
        <f>IF(ISBLANK('Data Entry'!$Ģ$76), "", 'Data Entry'!$Ģ$76)</f>
      </c>
      <c r="HS76">
        <f>IF(ISBLANK('Data Entry'!$ģ$76), "", 'Data Entry'!$ģ$76)</f>
      </c>
      <c r="HT76">
        <f>IF(ISBLANK('Data Entry'!$Ĥ$76), "", 'Data Entry'!$Ĥ$76)</f>
      </c>
      <c r="HU76">
        <f>IF(ISBLANK('Data Entry'!$ĥ$76), "", 'Data Entry'!$ĥ$76)</f>
      </c>
      <c r="HV76">
        <f>IF(ISBLANK('Data Entry'!$Ħ$76), "", 'Data Entry'!$Ħ$76)</f>
      </c>
      <c r="HW76">
        <f>IF(ISBLANK('Data Entry'!$ħ$76), "", 'Data Entry'!$ħ$76)</f>
      </c>
      <c r="HX76">
        <f>IF(ISBLANK('Data Entry'!$Ĩ$76), "", 'Data Entry'!$Ĩ$76)</f>
      </c>
      <c r="HY76">
        <f>IF(ISBLANK('Data Entry'!$ĩ$76), "", 'Data Entry'!$ĩ$76)</f>
      </c>
      <c r="HZ76">
        <f>IF(ISBLANK('Data Entry'!$Ī$76), "", 'Data Entry'!$Ī$76)</f>
      </c>
      <c r="IA76">
        <f>IF(ISBLANK('Data Entry'!$ī$76), "", 'Data Entry'!$ī$76)</f>
      </c>
      <c r="IB76">
        <f>IF(ISBLANK('Data Entry'!$Ĭ$76), "", 'Data Entry'!$Ĭ$76)</f>
      </c>
      <c r="IC76">
        <f>IF(ISBLANK('Data Entry'!$ĭ$76), "", 'Data Entry'!$ĭ$76)</f>
      </c>
      <c r="ID76">
        <f>IF(ISBLANK('Data Entry'!$Į$76), "", 'Data Entry'!$Į$76)</f>
      </c>
      <c r="IE76">
        <f>IF(ISBLANK('Data Entry'!$į$76), "", 'Data Entry'!$į$76)</f>
      </c>
      <c r="IF76">
        <f>IF(ISBLANK('Data Entry'!$İ$76), "", 'Data Entry'!$İ$76)</f>
      </c>
      <c r="IG76">
        <f>IF(ISBLANK('Data Entry'!$ı$76), "", 'Data Entry'!$ı$76)</f>
      </c>
      <c r="IH76">
        <f>IF(ISBLANK('Data Entry'!$Ĳ$76), "", 'Data Entry'!$Ĳ$76)</f>
      </c>
      <c r="II76">
        <f>IF(ISBLANK('Data Entry'!$ĳ$76), "", 'Data Entry'!$ĳ$76)</f>
      </c>
      <c r="IJ76">
        <f>IF(ISBLANK('Data Entry'!$Ĵ$76), "", 'Data Entry'!$Ĵ$76)</f>
      </c>
      <c r="IK76">
        <f>IF(ISBLANK('Data Entry'!$ĵ$76), "", 'Data Entry'!$ĵ$76)</f>
      </c>
      <c r="IL76">
        <f>IF(ISBLANK('Data Entry'!$Ķ$76), "", 'Data Entry'!$Ķ$76)</f>
      </c>
      <c r="IM76">
        <f>IF(ISBLANK('Data Entry'!$ķ$76), "", 'Data Entry'!$ķ$76)</f>
      </c>
      <c r="IN76">
        <f>IF(ISBLANK('Data Entry'!$ĸ$76), "", 'Data Entry'!$ĸ$76)</f>
      </c>
      <c r="IO76">
        <f>IF(ISBLANK('Data Entry'!$Ĺ$76), "", 'Data Entry'!$Ĺ$76)</f>
      </c>
      <c r="IP76">
        <f>IF(ISBLANK('Data Entry'!$ĺ$76), "", 'Data Entry'!$ĺ$76)</f>
      </c>
      <c r="IQ76">
        <f>IF(ISBLANK('Data Entry'!$Ļ$76), "", 'Data Entry'!$Ļ$76)</f>
      </c>
      <c r="IR76">
        <f>IF(ISBLANK('Data Entry'!$ļ$76), "", 'Data Entry'!$ļ$76)</f>
      </c>
      <c r="IS76">
        <f>IF(ISBLANK('Data Entry'!$Ľ$76), "", 'Data Entry'!$Ľ$76)</f>
      </c>
      <c r="IT76">
        <f>IF(ISBLANK('Data Entry'!$ľ$76), "", 'Data Entry'!$ľ$76)</f>
      </c>
    </row>
    <row r="77" spans="1:254" x14ac:dyDescent="0.25">
      <c r="A77">
        <f>IF(ISBLANK('Data Entry'!$A$77), "", 'Data Entry'!$A$77)</f>
      </c>
      <c r="B77">
        <f>IF(ISBLANK('Data Entry'!$B$77), "", 'Data Entry'!$B$77)</f>
      </c>
      <c r="C77">
        <f>IF(ISBLANK('Data Entry'!$C$77), "", 'Data Entry'!$C$77)</f>
      </c>
      <c r="D77">
        <f>IF(ISBLANK('Data Entry'!$D$77), "", 'Data Entry'!$D$77)</f>
      </c>
      <c r="E77">
        <f>IF(ISBLANK('Data Entry'!$E$77), "", 'Data Entry'!$E$77)</f>
      </c>
      <c r="F77">
        <f>IF(ISBLANK('Data Entry'!$F$77), "", 'Data Entry'!$F$77)</f>
      </c>
      <c r="G77">
        <f>IF(ISBLANK('Data Entry'!$G$77), "", 'Data Entry'!$G$77)</f>
      </c>
      <c r="H77">
        <f>IF(ISBLANK('Data Entry'!$H$77), "", 'Data Entry'!$H$77)</f>
      </c>
      <c r="I77">
        <f>IF(ISBLANK('Data Entry'!$I$77), "", 'Data Entry'!$I$77)</f>
      </c>
      <c r="J77">
        <f>IF(ISBLANK('Data Entry'!$J$77), "", 'Data Entry'!$J$77)</f>
      </c>
      <c r="K77">
        <f>IF(ISBLANK('Data Entry'!$K$77), "", 'Data Entry'!$K$77)</f>
      </c>
      <c r="L77">
        <f>IF(ISBLANK('Data Entry'!$L$77), "", 'Data Entry'!$L$77)</f>
      </c>
      <c r="M77">
        <f>IF(ISBLANK('Data Entry'!$M$77), "", 'Data Entry'!$M$77)</f>
      </c>
      <c r="N77">
        <f>IF(ISBLANK('Data Entry'!$N$77), "", 'Data Entry'!$N$77)</f>
      </c>
      <c r="O77">
        <f>IF(ISBLANK('Data Entry'!$O$77), "", 'Data Entry'!$O$77)</f>
      </c>
      <c r="P77">
        <f>IF(ISBLANK('Data Entry'!$P$77), "", 'Data Entry'!$P$77)</f>
      </c>
      <c r="Q77">
        <f>IF(ISBLANK('Data Entry'!$Q$77), "", 'Data Entry'!$Q$77)</f>
      </c>
      <c r="R77">
        <f>IF(ISBLANK('Data Entry'!$R$77), "", 'Data Entry'!$R$77)</f>
      </c>
      <c r="S77">
        <f>IF(ISBLANK('Data Entry'!$S$77), "", 'Data Entry'!$S$77)</f>
      </c>
      <c r="T77">
        <f>IF(ISBLANK('Data Entry'!$T$77), "", 'Data Entry'!$T$77)</f>
      </c>
      <c r="U77">
        <f>IF(ISBLANK('Data Entry'!$U$77), "", 'Data Entry'!$U$77)</f>
      </c>
      <c r="V77">
        <f>IF(ISBLANK('Data Entry'!$V$77), "", 'Data Entry'!$V$77)</f>
      </c>
      <c r="W77">
        <f>IF(ISBLANK('Data Entry'!$W$77), "", 'Data Entry'!$W$77)</f>
      </c>
      <c r="X77">
        <f>IF(ISBLANK('Data Entry'!$X$77), "", 'Data Entry'!$X$77)</f>
      </c>
      <c r="Y77">
        <f>IF(ISBLANK('Data Entry'!$Y$77), "", 'Data Entry'!$Y$77)</f>
      </c>
      <c r="Z77">
        <f>IF(ISBLANK('Data Entry'!$Z$77), "", 'Data Entry'!$Z$77)</f>
      </c>
      <c r="AA77">
        <f>IF(ISBLANK('Data Entry'!$[$77), "", 'Data Entry'!$[$77)</f>
      </c>
      <c r="AB77">
        <f>IF(ISBLANK('Data Entry'!$\$77), "", 'Data Entry'!$\$77)</f>
      </c>
      <c r="AC77">
        <f>IF(ISBLANK('Data Entry'!$]$77), "", 'Data Entry'!$]$77)</f>
      </c>
      <c r="AD77">
        <f>IF(ISBLANK('Data Entry'!$^$77), "", 'Data Entry'!$^$77)</f>
      </c>
      <c r="AE77">
        <f>IF(ISBLANK('Data Entry'!$_$77), "", 'Data Entry'!$_$77)</f>
      </c>
      <c r="AF77">
        <f>IF(ISBLANK('Data Entry'!$`$77), "", 'Data Entry'!$`$77)</f>
      </c>
      <c r="AG77">
        <f>IF(ISBLANK('Data Entry'!$a$77), "", 'Data Entry'!$a$77)</f>
      </c>
      <c r="AH77">
        <f>IF(ISBLANK('Data Entry'!$b$77), "", 'Data Entry'!$b$77)</f>
      </c>
      <c r="AI77">
        <f>IF(ISBLANK('Data Entry'!$c$77), "", 'Data Entry'!$c$77)</f>
      </c>
      <c r="AJ77">
        <f>IF(ISBLANK('Data Entry'!$d$77), "", 'Data Entry'!$d$77)</f>
      </c>
      <c r="AK77">
        <f>IF(ISBLANK('Data Entry'!$e$77), "", 'Data Entry'!$e$77)</f>
      </c>
      <c r="AL77">
        <f>IF(ISBLANK('Data Entry'!$f$77), "", 'Data Entry'!$f$77)</f>
      </c>
      <c r="AM77">
        <f>IF(ISBLANK('Data Entry'!$g$77), "", 'Data Entry'!$g$77)</f>
      </c>
      <c r="AN77">
        <f>IF(ISBLANK('Data Entry'!$h$77), "", 'Data Entry'!$h$77)</f>
      </c>
      <c r="AO77">
        <f>IF(ISBLANK('Data Entry'!$i$77), "", 'Data Entry'!$i$77)</f>
      </c>
      <c r="AP77">
        <f>IF(ISBLANK('Data Entry'!$j$77), "", 'Data Entry'!$j$77)</f>
      </c>
      <c r="AQ77">
        <f>IF(ISBLANK('Data Entry'!$k$77), "", 'Data Entry'!$k$77)</f>
      </c>
      <c r="AR77">
        <f>IF(ISBLANK('Data Entry'!$l$77), "", 'Data Entry'!$l$77)</f>
      </c>
      <c r="AS77">
        <f>IF(ISBLANK('Data Entry'!$m$77), "", 'Data Entry'!$m$77)</f>
      </c>
      <c r="AT77">
        <f>IF(ISBLANK('Data Entry'!$n$77), "", 'Data Entry'!$n$77)</f>
      </c>
      <c r="AU77">
        <f>IF(ISBLANK('Data Entry'!$o$77), "", 'Data Entry'!$o$77)</f>
      </c>
      <c r="AV77">
        <f>IF(ISBLANK('Data Entry'!$p$77), "", 'Data Entry'!$p$77)</f>
      </c>
      <c r="AW77">
        <f>IF(ISBLANK('Data Entry'!$q$77), "", 'Data Entry'!$q$77)</f>
      </c>
      <c r="AX77">
        <f>IF(ISBLANK('Data Entry'!$r$77), "", 'Data Entry'!$r$77)</f>
      </c>
      <c r="AY77">
        <f>IF(ISBLANK('Data Entry'!$s$77), "", 'Data Entry'!$s$77)</f>
      </c>
      <c r="AZ77">
        <f>IF(ISBLANK('Data Entry'!$t$77), "", 'Data Entry'!$t$77)</f>
      </c>
      <c r="BA77">
        <f>IF(ISBLANK('Data Entry'!$u$77), "", 'Data Entry'!$u$77)</f>
      </c>
      <c r="BB77">
        <f>IF(ISBLANK('Data Entry'!$v$77), "", 'Data Entry'!$v$77)</f>
      </c>
      <c r="BC77">
        <f>IF(ISBLANK('Data Entry'!$w$77), "", 'Data Entry'!$w$77)</f>
      </c>
      <c r="BD77">
        <f>IF(ISBLANK('Data Entry'!$x$77), "", 'Data Entry'!$x$77)</f>
      </c>
      <c r="BE77">
        <f>IF(ISBLANK('Data Entry'!$y$77), "", 'Data Entry'!$y$77)</f>
      </c>
      <c r="BF77">
        <f>IF(ISBLANK('Data Entry'!$z$77), "", 'Data Entry'!$z$77)</f>
      </c>
      <c r="BG77">
        <f>IF(ISBLANK('Data Entry'!${$77), "", 'Data Entry'!${$77)</f>
      </c>
      <c r="BH77">
        <f>IF(ISBLANK('Data Entry'!$|$77), "", 'Data Entry'!$|$77)</f>
      </c>
      <c r="BI77">
        <f>IF(ISBLANK('Data Entry'!$}$77), "", 'Data Entry'!$}$77)</f>
      </c>
      <c r="BJ77">
        <f>IF(ISBLANK('Data Entry'!$~$77), "", 'Data Entry'!$~$77)</f>
      </c>
      <c r="BK77">
        <f>IF(ISBLANK('Data Entry'!$$77), "", 'Data Entry'!$$77)</f>
      </c>
      <c r="BL77">
        <f>IF(ISBLANK('Data Entry'!$$77), "", 'Data Entry'!$$77)</f>
      </c>
      <c r="BM77">
        <f>IF(ISBLANK('Data Entry'!$$77), "", 'Data Entry'!$$77)</f>
      </c>
      <c r="BN77">
        <f>IF(ISBLANK('Data Entry'!$$77), "", 'Data Entry'!$$77)</f>
      </c>
      <c r="BO77">
        <f>IF(ISBLANK('Data Entry'!$$77), "", 'Data Entry'!$$77)</f>
      </c>
      <c r="BP77">
        <f>IF(ISBLANK('Data Entry'!$$77), "", 'Data Entry'!$$77)</f>
      </c>
      <c r="BQ77">
        <f>IF(ISBLANK('Data Entry'!$$77), "", 'Data Entry'!$$77)</f>
      </c>
      <c r="BR77">
        <f>IF(ISBLANK('Data Entry'!$$77), "", 'Data Entry'!$$77)</f>
      </c>
      <c r="BS77">
        <f>IF(ISBLANK('Data Entry'!$$77), "", 'Data Entry'!$$77)</f>
      </c>
      <c r="BT77">
        <f>IF(ISBLANK('Data Entry'!$$77), "", 'Data Entry'!$$77)</f>
      </c>
      <c r="BU77">
        <f>IF(ISBLANK('Data Entry'!$$77), "", 'Data Entry'!$$77)</f>
      </c>
      <c r="BV77">
        <f>IF(ISBLANK('Data Entry'!$$77), "", 'Data Entry'!$$77)</f>
      </c>
      <c r="BW77">
        <f>IF(ISBLANK('Data Entry'!$$77), "", 'Data Entry'!$$77)</f>
      </c>
      <c r="BX77">
        <f>IF(ISBLANK('Data Entry'!$$77), "", 'Data Entry'!$$77)</f>
      </c>
      <c r="BY77">
        <f>IF(ISBLANK('Data Entry'!$$77), "", 'Data Entry'!$$77)</f>
      </c>
      <c r="BZ77">
        <f>IF(ISBLANK('Data Entry'!$$77), "", 'Data Entry'!$$77)</f>
      </c>
      <c r="CA77">
        <f>IF(ISBLANK('Data Entry'!$$77), "", 'Data Entry'!$$77)</f>
      </c>
      <c r="CB77">
        <f>IF(ISBLANK('Data Entry'!$$77), "", 'Data Entry'!$$77)</f>
      </c>
      <c r="CC77">
        <f>IF(ISBLANK('Data Entry'!$$77), "", 'Data Entry'!$$77)</f>
      </c>
      <c r="CD77">
        <f>IF(ISBLANK('Data Entry'!$$77), "", 'Data Entry'!$$77)</f>
      </c>
      <c r="CE77">
        <f>IF(ISBLANK('Data Entry'!$$77), "", 'Data Entry'!$$77)</f>
      </c>
      <c r="CF77">
        <f>IF(ISBLANK('Data Entry'!$$77), "", 'Data Entry'!$$77)</f>
      </c>
      <c r="CG77">
        <f>IF(ISBLANK('Data Entry'!$$77), "", 'Data Entry'!$$77)</f>
      </c>
      <c r="CH77">
        <f>IF(ISBLANK('Data Entry'!$$77), "", 'Data Entry'!$$77)</f>
      </c>
      <c r="CI77">
        <f>IF(ISBLANK('Data Entry'!$$77), "", 'Data Entry'!$$77)</f>
      </c>
      <c r="CJ77">
        <f>IF(ISBLANK('Data Entry'!$$77), "", 'Data Entry'!$$77)</f>
      </c>
      <c r="CK77">
        <f>IF(ISBLANK('Data Entry'!$$77), "", 'Data Entry'!$$77)</f>
      </c>
      <c r="CL77">
        <f>IF(ISBLANK('Data Entry'!$$77), "", 'Data Entry'!$$77)</f>
      </c>
      <c r="CM77">
        <f>IF(ISBLANK('Data Entry'!$$77), "", 'Data Entry'!$$77)</f>
      </c>
      <c r="CN77">
        <f>IF(ISBLANK('Data Entry'!$$77), "", 'Data Entry'!$$77)</f>
      </c>
      <c r="CO77">
        <f>IF(ISBLANK('Data Entry'!$$77), "", 'Data Entry'!$$77)</f>
      </c>
      <c r="CP77">
        <f>IF(ISBLANK('Data Entry'!$$77), "", 'Data Entry'!$$77)</f>
      </c>
      <c r="CQ77">
        <f>IF(ISBLANK('Data Entry'!$$77), "", 'Data Entry'!$$77)</f>
      </c>
      <c r="CR77">
        <f>IF(ISBLANK('Data Entry'!$ $77), "", 'Data Entry'!$ $77)</f>
      </c>
      <c r="CS77">
        <f>IF(ISBLANK('Data Entry'!$¡$77), "", 'Data Entry'!$¡$77)</f>
      </c>
      <c r="CT77">
        <f>IF(ISBLANK('Data Entry'!$¢$77), "", 'Data Entry'!$¢$77)</f>
      </c>
      <c r="CU77">
        <f>IF(ISBLANK('Data Entry'!$£$77), "", 'Data Entry'!$£$77)</f>
      </c>
      <c r="CV77">
        <f>IF(ISBLANK('Data Entry'!$¤$77), "", 'Data Entry'!$¤$77)</f>
      </c>
      <c r="CW77">
        <f>IF(ISBLANK('Data Entry'!$¥$77), "", 'Data Entry'!$¥$77)</f>
      </c>
      <c r="CX77">
        <f>IF(ISBLANK('Data Entry'!$¦$77), "", 'Data Entry'!$¦$77)</f>
      </c>
      <c r="CY77">
        <f>IF(ISBLANK('Data Entry'!$§$77), "", 'Data Entry'!$§$77)</f>
      </c>
      <c r="CZ77">
        <f>IF(ISBLANK('Data Entry'!$¨$77), "", 'Data Entry'!$¨$77)</f>
      </c>
      <c r="DA77">
        <f>IF(ISBLANK('Data Entry'!$©$77), "", 'Data Entry'!$©$77)</f>
      </c>
      <c r="DB77">
        <f>IF(ISBLANK('Data Entry'!$ª$77), "", 'Data Entry'!$ª$77)</f>
      </c>
      <c r="DC77">
        <f>IF(ISBLANK('Data Entry'!$«$77), "", 'Data Entry'!$«$77)</f>
      </c>
      <c r="DD77">
        <f>IF(ISBLANK('Data Entry'!$¬$77), "", 'Data Entry'!$¬$77)</f>
      </c>
      <c r="DE77">
        <f>IF(ISBLANK('Data Entry'!$­$77), "", 'Data Entry'!$­$77)</f>
      </c>
      <c r="DF77">
        <f>IF(ISBLANK('Data Entry'!$®$77), "", 'Data Entry'!$®$77)</f>
      </c>
      <c r="DG77">
        <f>IF(ISBLANK('Data Entry'!$¯$77), "", 'Data Entry'!$¯$77)</f>
      </c>
      <c r="DH77">
        <f>IF(ISBLANK('Data Entry'!$°$77), "", 'Data Entry'!$°$77)</f>
      </c>
      <c r="DI77">
        <f>IF(ISBLANK('Data Entry'!$±$77), "", 'Data Entry'!$±$77)</f>
      </c>
      <c r="DJ77">
        <f>IF(ISBLANK('Data Entry'!$²$77), "", 'Data Entry'!$²$77)</f>
      </c>
      <c r="DK77">
        <f>IF(ISBLANK('Data Entry'!$³$77), "", 'Data Entry'!$³$77)</f>
      </c>
      <c r="DL77">
        <f>IF(ISBLANK('Data Entry'!$´$77), "", 'Data Entry'!$´$77)</f>
      </c>
      <c r="DM77">
        <f>IF(ISBLANK('Data Entry'!$µ$77), "", 'Data Entry'!$µ$77)</f>
      </c>
      <c r="DN77">
        <f>IF(ISBLANK('Data Entry'!$¶$77), "", 'Data Entry'!$¶$77)</f>
      </c>
      <c r="DO77">
        <f>IF(ISBLANK('Data Entry'!$·$77), "", 'Data Entry'!$·$77)</f>
      </c>
      <c r="DP77">
        <f>IF(ISBLANK('Data Entry'!$¸$77), "", 'Data Entry'!$¸$77)</f>
      </c>
      <c r="DQ77">
        <f>IF(ISBLANK('Data Entry'!$¹$77), "", 'Data Entry'!$¹$77)</f>
      </c>
      <c r="DR77">
        <f>IF(ISBLANK('Data Entry'!$º$77), "", 'Data Entry'!$º$77)</f>
      </c>
      <c r="DS77">
        <f>IF(ISBLANK('Data Entry'!$»$77), "", 'Data Entry'!$»$77)</f>
      </c>
      <c r="DT77">
        <f>IF(ISBLANK('Data Entry'!$¼$77), "", 'Data Entry'!$¼$77)</f>
      </c>
      <c r="DU77">
        <f>IF(ISBLANK('Data Entry'!$½$77), "", 'Data Entry'!$½$77)</f>
      </c>
      <c r="DV77">
        <f>IF(ISBLANK('Data Entry'!$¾$77), "", 'Data Entry'!$¾$77)</f>
      </c>
      <c r="DW77">
        <f>IF(ISBLANK('Data Entry'!$¿$77), "", 'Data Entry'!$¿$77)</f>
      </c>
      <c r="DX77">
        <f>IF(ISBLANK('Data Entry'!$À$77), "", 'Data Entry'!$À$77)</f>
      </c>
      <c r="DY77">
        <f>IF(ISBLANK('Data Entry'!$Á$77), "", 'Data Entry'!$Á$77)</f>
      </c>
      <c r="DZ77">
        <f>IF(ISBLANK('Data Entry'!$Â$77), "", 'Data Entry'!$Â$77)</f>
      </c>
      <c r="EA77">
        <f>IF(ISBLANK('Data Entry'!$Ã$77), "", 'Data Entry'!$Ã$77)</f>
      </c>
      <c r="EB77">
        <f>IF(ISBLANK('Data Entry'!$Ä$77), "", 'Data Entry'!$Ä$77)</f>
      </c>
      <c r="EC77">
        <f>IF(ISBLANK('Data Entry'!$Å$77), "", 'Data Entry'!$Å$77)</f>
      </c>
      <c r="ED77">
        <f>IF(ISBLANK('Data Entry'!$Æ$77), "", 'Data Entry'!$Æ$77)</f>
      </c>
      <c r="EE77">
        <f>IF(ISBLANK('Data Entry'!$Ç$77), "", 'Data Entry'!$Ç$77)</f>
      </c>
      <c r="EF77">
        <f>IF(ISBLANK('Data Entry'!$È$77), "", 'Data Entry'!$È$77)</f>
      </c>
      <c r="EG77">
        <f>IF(ISBLANK('Data Entry'!$É$77), "", 'Data Entry'!$É$77)</f>
      </c>
      <c r="EH77">
        <f>IF(ISBLANK('Data Entry'!$Ê$77), "", 'Data Entry'!$Ê$77)</f>
      </c>
      <c r="EI77">
        <f>IF(ISBLANK('Data Entry'!$Ë$77), "", 'Data Entry'!$Ë$77)</f>
      </c>
      <c r="EJ77">
        <f>IF(ISBLANK('Data Entry'!$Ì$77), "", 'Data Entry'!$Ì$77)</f>
      </c>
      <c r="EK77">
        <f>IF(ISBLANK('Data Entry'!$Í$77), "", 'Data Entry'!$Í$77)</f>
      </c>
      <c r="EL77">
        <f>IF(ISBLANK('Data Entry'!$Î$77), "", 'Data Entry'!$Î$77)</f>
      </c>
      <c r="EM77">
        <f>IF(ISBLANK('Data Entry'!$Ï$77), "", 'Data Entry'!$Ï$77)</f>
      </c>
      <c r="EN77">
        <f>IF(ISBLANK('Data Entry'!$Ð$77), "", 'Data Entry'!$Ð$77)</f>
      </c>
      <c r="EO77">
        <f>IF(ISBLANK('Data Entry'!$Ñ$77), "", 'Data Entry'!$Ñ$77)</f>
      </c>
      <c r="EP77">
        <f>IF(ISBLANK('Data Entry'!$Ò$77), "", 'Data Entry'!$Ò$77)</f>
      </c>
      <c r="EQ77">
        <f>IF(ISBLANK('Data Entry'!$Ó$77), "", 'Data Entry'!$Ó$77)</f>
      </c>
      <c r="ER77">
        <f>IF(ISBLANK('Data Entry'!$Ô$77), "", 'Data Entry'!$Ô$77)</f>
      </c>
      <c r="ES77">
        <f>IF(ISBLANK('Data Entry'!$Õ$77), "", 'Data Entry'!$Õ$77)</f>
      </c>
      <c r="ET77">
        <f>IF(ISBLANK('Data Entry'!$Ö$77), "", 'Data Entry'!$Ö$77)</f>
      </c>
      <c r="EU77">
        <f>IF(ISBLANK('Data Entry'!$×$77), "", 'Data Entry'!$×$77)</f>
      </c>
      <c r="EV77">
        <f>IF(ISBLANK('Data Entry'!$Ø$77), "", 'Data Entry'!$Ø$77)</f>
      </c>
      <c r="EW77">
        <f>IF(ISBLANK('Data Entry'!$Ù$77), "", 'Data Entry'!$Ù$77)</f>
      </c>
      <c r="EX77">
        <f>IF(ISBLANK('Data Entry'!$Ú$77), "", 'Data Entry'!$Ú$77)</f>
      </c>
      <c r="EY77">
        <f>IF(ISBLANK('Data Entry'!$Û$77), "", 'Data Entry'!$Û$77)</f>
      </c>
      <c r="EZ77">
        <f>IF(ISBLANK('Data Entry'!$Ü$77), "", 'Data Entry'!$Ü$77)</f>
      </c>
      <c r="FA77">
        <f>IF(ISBLANK('Data Entry'!$Ý$77), "", 'Data Entry'!$Ý$77)</f>
      </c>
      <c r="FB77">
        <f>IF(ISBLANK('Data Entry'!$Þ$77), "", 'Data Entry'!$Þ$77)</f>
      </c>
      <c r="FC77">
        <f>IF(ISBLANK('Data Entry'!$ß$77), "", 'Data Entry'!$ß$77)</f>
      </c>
      <c r="FD77">
        <f>IF(ISBLANK('Data Entry'!$à$77), "", 'Data Entry'!$à$77)</f>
      </c>
      <c r="FE77">
        <f>IF(ISBLANK('Data Entry'!$á$77), "", 'Data Entry'!$á$77)</f>
      </c>
      <c r="FF77">
        <f>IF(ISBLANK('Data Entry'!$â$77), "", 'Data Entry'!$â$77)</f>
      </c>
      <c r="FG77">
        <f>IF(ISBLANK('Data Entry'!$ã$77), "", 'Data Entry'!$ã$77)</f>
      </c>
      <c r="FH77">
        <f>IF(ISBLANK('Data Entry'!$ä$77), "", 'Data Entry'!$ä$77)</f>
      </c>
      <c r="FI77">
        <f>IF(ISBLANK('Data Entry'!$å$77), "", 'Data Entry'!$å$77)</f>
      </c>
      <c r="FJ77">
        <f>IF(ISBLANK('Data Entry'!$æ$77), "", 'Data Entry'!$æ$77)</f>
      </c>
      <c r="FK77">
        <f>IF(ISBLANK('Data Entry'!$ç$77), "", 'Data Entry'!$ç$77)</f>
      </c>
      <c r="FL77">
        <f>IF(ISBLANK('Data Entry'!$è$77), "", 'Data Entry'!$è$77)</f>
      </c>
      <c r="FM77">
        <f>IF(ISBLANK('Data Entry'!$é$77), "", 'Data Entry'!$é$77)</f>
      </c>
      <c r="FN77">
        <f>IF(ISBLANK('Data Entry'!$ê$77), "", 'Data Entry'!$ê$77)</f>
      </c>
      <c r="FO77">
        <f>IF(ISBLANK('Data Entry'!$ë$77), "", 'Data Entry'!$ë$77)</f>
      </c>
      <c r="FP77">
        <f>IF(ISBLANK('Data Entry'!$ì$77), "", 'Data Entry'!$ì$77)</f>
      </c>
      <c r="FQ77">
        <f>IF(ISBLANK('Data Entry'!$í$77), "", 'Data Entry'!$í$77)</f>
      </c>
      <c r="FR77">
        <f>IF(ISBLANK('Data Entry'!$î$77), "", 'Data Entry'!$î$77)</f>
      </c>
      <c r="FS77">
        <f>IF(ISBLANK('Data Entry'!$ï$77), "", 'Data Entry'!$ï$77)</f>
      </c>
      <c r="FT77">
        <f>IF(ISBLANK('Data Entry'!$ð$77), "", 'Data Entry'!$ð$77)</f>
      </c>
      <c r="FU77">
        <f>IF(ISBLANK('Data Entry'!$ñ$77), "", 'Data Entry'!$ñ$77)</f>
      </c>
      <c r="FV77">
        <f>IF(ISBLANK('Data Entry'!$ò$77), "", 'Data Entry'!$ò$77)</f>
      </c>
      <c r="FW77">
        <f>IF(ISBLANK('Data Entry'!$ó$77), "", 'Data Entry'!$ó$77)</f>
      </c>
      <c r="FX77">
        <f>IF(ISBLANK('Data Entry'!$ô$77), "", 'Data Entry'!$ô$77)</f>
      </c>
      <c r="FY77">
        <f>IF(ISBLANK('Data Entry'!$õ$77), "", 'Data Entry'!$õ$77)</f>
      </c>
      <c r="FZ77">
        <f>IF(ISBLANK('Data Entry'!$ö$77), "", 'Data Entry'!$ö$77)</f>
      </c>
      <c r="GA77">
        <f>IF(ISBLANK('Data Entry'!$÷$77), "", 'Data Entry'!$÷$77)</f>
      </c>
      <c r="GB77">
        <f>IF(ISBLANK('Data Entry'!$ø$77), "", 'Data Entry'!$ø$77)</f>
      </c>
      <c r="GC77">
        <f>IF(ISBLANK('Data Entry'!$ù$77), "", 'Data Entry'!$ù$77)</f>
      </c>
      <c r="GD77">
        <f>IF(ISBLANK('Data Entry'!$ú$77), "", 'Data Entry'!$ú$77)</f>
      </c>
      <c r="GE77">
        <f>IF(ISBLANK('Data Entry'!$û$77), "", 'Data Entry'!$û$77)</f>
      </c>
      <c r="GF77">
        <f>IF(ISBLANK('Data Entry'!$ü$77), "", 'Data Entry'!$ü$77)</f>
      </c>
      <c r="GG77">
        <f>IF(ISBLANK('Data Entry'!$ý$77), "", 'Data Entry'!$ý$77)</f>
      </c>
      <c r="GH77">
        <f>IF(ISBLANK('Data Entry'!$þ$77), "", 'Data Entry'!$þ$77)</f>
      </c>
      <c r="GI77">
        <f>IF(ISBLANK('Data Entry'!$ÿ$77), "", 'Data Entry'!$ÿ$77)</f>
      </c>
      <c r="GJ77">
        <f>IF(ISBLANK('Data Entry'!$Ā$77), "", 'Data Entry'!$Ā$77)</f>
      </c>
      <c r="GK77">
        <f>IF(ISBLANK('Data Entry'!$ā$77), "", 'Data Entry'!$ā$77)</f>
      </c>
      <c r="GL77">
        <f>IF(ISBLANK('Data Entry'!$Ă$77), "", 'Data Entry'!$Ă$77)</f>
      </c>
      <c r="GM77">
        <f>IF(ISBLANK('Data Entry'!$ă$77), "", 'Data Entry'!$ă$77)</f>
      </c>
      <c r="GN77">
        <f>IF(ISBLANK('Data Entry'!$Ą$77), "", 'Data Entry'!$Ą$77)</f>
      </c>
      <c r="GO77">
        <f>IF(ISBLANK('Data Entry'!$ą$77), "", 'Data Entry'!$ą$77)</f>
      </c>
      <c r="GP77">
        <f>IF(ISBLANK('Data Entry'!$Ć$77), "", 'Data Entry'!$Ć$77)</f>
      </c>
      <c r="GQ77">
        <f>IF(ISBLANK('Data Entry'!$ć$77), "", 'Data Entry'!$ć$77)</f>
      </c>
      <c r="GR77">
        <f>IF(ISBLANK('Data Entry'!$Ĉ$77), "", 'Data Entry'!$Ĉ$77)</f>
      </c>
      <c r="GS77">
        <f>IF(ISBLANK('Data Entry'!$ĉ$77), "", 'Data Entry'!$ĉ$77)</f>
      </c>
      <c r="GT77">
        <f>IF(ISBLANK('Data Entry'!$Ċ$77), "", 'Data Entry'!$Ċ$77)</f>
      </c>
      <c r="GU77">
        <f>IF(ISBLANK('Data Entry'!$ċ$77), "", 'Data Entry'!$ċ$77)</f>
      </c>
      <c r="GV77">
        <f>IF(ISBLANK('Data Entry'!$Č$77), "", 'Data Entry'!$Č$77)</f>
      </c>
      <c r="GW77">
        <f>IF(ISBLANK('Data Entry'!$č$77), "", 'Data Entry'!$č$77)</f>
      </c>
      <c r="GX77">
        <f>IF(ISBLANK('Data Entry'!$Ď$77), "", 'Data Entry'!$Ď$77)</f>
      </c>
      <c r="GY77">
        <f>IF(ISBLANK('Data Entry'!$ď$77), "", 'Data Entry'!$ď$77)</f>
      </c>
      <c r="GZ77">
        <f>IF(ISBLANK('Data Entry'!$Đ$77), "", 'Data Entry'!$Đ$77)</f>
      </c>
      <c r="HA77">
        <f>IF(ISBLANK('Data Entry'!$đ$77), "", 'Data Entry'!$đ$77)</f>
      </c>
      <c r="HB77">
        <f>IF(ISBLANK('Data Entry'!$Ē$77), "", 'Data Entry'!$Ē$77)</f>
      </c>
      <c r="HC77">
        <f>IF(ISBLANK('Data Entry'!$ē$77), "", 'Data Entry'!$ē$77)</f>
      </c>
      <c r="HD77">
        <f>IF(ISBLANK('Data Entry'!$Ĕ$77), "", 'Data Entry'!$Ĕ$77)</f>
      </c>
      <c r="HE77">
        <f>IF(ISBLANK('Data Entry'!$ĕ$77), "", 'Data Entry'!$ĕ$77)</f>
      </c>
      <c r="HF77">
        <f>IF(ISBLANK('Data Entry'!$Ė$77), "", 'Data Entry'!$Ė$77)</f>
      </c>
      <c r="HG77">
        <f>IF(ISBLANK('Data Entry'!$ė$77), "", 'Data Entry'!$ė$77)</f>
      </c>
      <c r="HH77">
        <f>IF(ISBLANK('Data Entry'!$Ę$77), "", 'Data Entry'!$Ę$77)</f>
      </c>
      <c r="HI77">
        <f>IF(ISBLANK('Data Entry'!$ę$77), "", 'Data Entry'!$ę$77)</f>
      </c>
      <c r="HJ77">
        <f>IF(ISBLANK('Data Entry'!$Ě$77), "", 'Data Entry'!$Ě$77)</f>
      </c>
      <c r="HK77">
        <f>IF(ISBLANK('Data Entry'!$ě$77), "", 'Data Entry'!$ě$77)</f>
      </c>
      <c r="HL77">
        <f>IF(ISBLANK('Data Entry'!$Ĝ$77), "", 'Data Entry'!$Ĝ$77)</f>
      </c>
      <c r="HM77">
        <f>IF(ISBLANK('Data Entry'!$ĝ$77), "", 'Data Entry'!$ĝ$77)</f>
      </c>
      <c r="HN77">
        <f>IF(ISBLANK('Data Entry'!$Ğ$77), "", 'Data Entry'!$Ğ$77)</f>
      </c>
      <c r="HO77">
        <f>IF(ISBLANK('Data Entry'!$ğ$77), "", 'Data Entry'!$ğ$77)</f>
      </c>
      <c r="HP77">
        <f>IF(ISBLANK('Data Entry'!$Ġ$77), "", 'Data Entry'!$Ġ$77)</f>
      </c>
      <c r="HQ77">
        <f>IF(ISBLANK('Data Entry'!$ġ$77), "", 'Data Entry'!$ġ$77)</f>
      </c>
      <c r="HR77">
        <f>IF(ISBLANK('Data Entry'!$Ģ$77), "", 'Data Entry'!$Ģ$77)</f>
      </c>
      <c r="HS77">
        <f>IF(ISBLANK('Data Entry'!$ģ$77), "", 'Data Entry'!$ģ$77)</f>
      </c>
      <c r="HT77">
        <f>IF(ISBLANK('Data Entry'!$Ĥ$77), "", 'Data Entry'!$Ĥ$77)</f>
      </c>
      <c r="HU77">
        <f>IF(ISBLANK('Data Entry'!$ĥ$77), "", 'Data Entry'!$ĥ$77)</f>
      </c>
      <c r="HV77">
        <f>IF(ISBLANK('Data Entry'!$Ħ$77), "", 'Data Entry'!$Ħ$77)</f>
      </c>
      <c r="HW77">
        <f>IF(ISBLANK('Data Entry'!$ħ$77), "", 'Data Entry'!$ħ$77)</f>
      </c>
      <c r="HX77">
        <f>IF(ISBLANK('Data Entry'!$Ĩ$77), "", 'Data Entry'!$Ĩ$77)</f>
      </c>
      <c r="HY77">
        <f>IF(ISBLANK('Data Entry'!$ĩ$77), "", 'Data Entry'!$ĩ$77)</f>
      </c>
      <c r="HZ77">
        <f>IF(ISBLANK('Data Entry'!$Ī$77), "", 'Data Entry'!$Ī$77)</f>
      </c>
      <c r="IA77">
        <f>IF(ISBLANK('Data Entry'!$ī$77), "", 'Data Entry'!$ī$77)</f>
      </c>
      <c r="IB77">
        <f>IF(ISBLANK('Data Entry'!$Ĭ$77), "", 'Data Entry'!$Ĭ$77)</f>
      </c>
      <c r="IC77">
        <f>IF(ISBLANK('Data Entry'!$ĭ$77), "", 'Data Entry'!$ĭ$77)</f>
      </c>
      <c r="ID77">
        <f>IF(ISBLANK('Data Entry'!$Į$77), "", 'Data Entry'!$Į$77)</f>
      </c>
      <c r="IE77">
        <f>IF(ISBLANK('Data Entry'!$į$77), "", 'Data Entry'!$į$77)</f>
      </c>
      <c r="IF77">
        <f>IF(ISBLANK('Data Entry'!$İ$77), "", 'Data Entry'!$İ$77)</f>
      </c>
      <c r="IG77">
        <f>IF(ISBLANK('Data Entry'!$ı$77), "", 'Data Entry'!$ı$77)</f>
      </c>
      <c r="IH77">
        <f>IF(ISBLANK('Data Entry'!$Ĳ$77), "", 'Data Entry'!$Ĳ$77)</f>
      </c>
      <c r="II77">
        <f>IF(ISBLANK('Data Entry'!$ĳ$77), "", 'Data Entry'!$ĳ$77)</f>
      </c>
      <c r="IJ77">
        <f>IF(ISBLANK('Data Entry'!$Ĵ$77), "", 'Data Entry'!$Ĵ$77)</f>
      </c>
      <c r="IK77">
        <f>IF(ISBLANK('Data Entry'!$ĵ$77), "", 'Data Entry'!$ĵ$77)</f>
      </c>
      <c r="IL77">
        <f>IF(ISBLANK('Data Entry'!$Ķ$77), "", 'Data Entry'!$Ķ$77)</f>
      </c>
      <c r="IM77">
        <f>IF(ISBLANK('Data Entry'!$ķ$77), "", 'Data Entry'!$ķ$77)</f>
      </c>
      <c r="IN77">
        <f>IF(ISBLANK('Data Entry'!$ĸ$77), "", 'Data Entry'!$ĸ$77)</f>
      </c>
      <c r="IO77">
        <f>IF(ISBLANK('Data Entry'!$Ĺ$77), "", 'Data Entry'!$Ĺ$77)</f>
      </c>
      <c r="IP77">
        <f>IF(ISBLANK('Data Entry'!$ĺ$77), "", 'Data Entry'!$ĺ$77)</f>
      </c>
      <c r="IQ77">
        <f>IF(ISBLANK('Data Entry'!$Ļ$77), "", 'Data Entry'!$Ļ$77)</f>
      </c>
      <c r="IR77">
        <f>IF(ISBLANK('Data Entry'!$ļ$77), "", 'Data Entry'!$ļ$77)</f>
      </c>
      <c r="IS77">
        <f>IF(ISBLANK('Data Entry'!$Ľ$77), "", 'Data Entry'!$Ľ$77)</f>
      </c>
      <c r="IT77">
        <f>IF(ISBLANK('Data Entry'!$ľ$77), "", 'Data Entry'!$ľ$77)</f>
      </c>
    </row>
    <row r="78" spans="1:254" x14ac:dyDescent="0.25">
      <c r="A78">
        <f>IF(ISBLANK('Data Entry'!$A$78), "", 'Data Entry'!$A$78)</f>
      </c>
      <c r="B78">
        <f>IF(ISBLANK('Data Entry'!$B$78), "", 'Data Entry'!$B$78)</f>
      </c>
      <c r="C78">
        <f>IF(ISBLANK('Data Entry'!$C$78), "", 'Data Entry'!$C$78)</f>
      </c>
      <c r="D78">
        <f>IF(ISBLANK('Data Entry'!$D$78), "", 'Data Entry'!$D$78)</f>
      </c>
      <c r="E78">
        <f>IF(ISBLANK('Data Entry'!$E$78), "", 'Data Entry'!$E$78)</f>
      </c>
      <c r="F78">
        <f>IF(ISBLANK('Data Entry'!$F$78), "", 'Data Entry'!$F$78)</f>
      </c>
      <c r="G78">
        <f>IF(ISBLANK('Data Entry'!$G$78), "", 'Data Entry'!$G$78)</f>
      </c>
      <c r="H78">
        <f>IF(ISBLANK('Data Entry'!$H$78), "", 'Data Entry'!$H$78)</f>
      </c>
      <c r="I78">
        <f>IF(ISBLANK('Data Entry'!$I$78), "", 'Data Entry'!$I$78)</f>
      </c>
      <c r="J78">
        <f>IF(ISBLANK('Data Entry'!$J$78), "", 'Data Entry'!$J$78)</f>
      </c>
      <c r="K78">
        <f>IF(ISBLANK('Data Entry'!$K$78), "", 'Data Entry'!$K$78)</f>
      </c>
      <c r="L78">
        <f>IF(ISBLANK('Data Entry'!$L$78), "", 'Data Entry'!$L$78)</f>
      </c>
      <c r="M78">
        <f>IF(ISBLANK('Data Entry'!$M$78), "", 'Data Entry'!$M$78)</f>
      </c>
      <c r="N78">
        <f>IF(ISBLANK('Data Entry'!$N$78), "", 'Data Entry'!$N$78)</f>
      </c>
      <c r="O78">
        <f>IF(ISBLANK('Data Entry'!$O$78), "", 'Data Entry'!$O$78)</f>
      </c>
      <c r="P78">
        <f>IF(ISBLANK('Data Entry'!$P$78), "", 'Data Entry'!$P$78)</f>
      </c>
      <c r="Q78">
        <f>IF(ISBLANK('Data Entry'!$Q$78), "", 'Data Entry'!$Q$78)</f>
      </c>
      <c r="R78">
        <f>IF(ISBLANK('Data Entry'!$R$78), "", 'Data Entry'!$R$78)</f>
      </c>
      <c r="S78">
        <f>IF(ISBLANK('Data Entry'!$S$78), "", 'Data Entry'!$S$78)</f>
      </c>
      <c r="T78">
        <f>IF(ISBLANK('Data Entry'!$T$78), "", 'Data Entry'!$T$78)</f>
      </c>
      <c r="U78">
        <f>IF(ISBLANK('Data Entry'!$U$78), "", 'Data Entry'!$U$78)</f>
      </c>
      <c r="V78">
        <f>IF(ISBLANK('Data Entry'!$V$78), "", 'Data Entry'!$V$78)</f>
      </c>
      <c r="W78">
        <f>IF(ISBLANK('Data Entry'!$W$78), "", 'Data Entry'!$W$78)</f>
      </c>
      <c r="X78">
        <f>IF(ISBLANK('Data Entry'!$X$78), "", 'Data Entry'!$X$78)</f>
      </c>
      <c r="Y78">
        <f>IF(ISBLANK('Data Entry'!$Y$78), "", 'Data Entry'!$Y$78)</f>
      </c>
      <c r="Z78">
        <f>IF(ISBLANK('Data Entry'!$Z$78), "", 'Data Entry'!$Z$78)</f>
      </c>
      <c r="AA78">
        <f>IF(ISBLANK('Data Entry'!$[$78), "", 'Data Entry'!$[$78)</f>
      </c>
      <c r="AB78">
        <f>IF(ISBLANK('Data Entry'!$\$78), "", 'Data Entry'!$\$78)</f>
      </c>
      <c r="AC78">
        <f>IF(ISBLANK('Data Entry'!$]$78), "", 'Data Entry'!$]$78)</f>
      </c>
      <c r="AD78">
        <f>IF(ISBLANK('Data Entry'!$^$78), "", 'Data Entry'!$^$78)</f>
      </c>
      <c r="AE78">
        <f>IF(ISBLANK('Data Entry'!$_$78), "", 'Data Entry'!$_$78)</f>
      </c>
      <c r="AF78">
        <f>IF(ISBLANK('Data Entry'!$`$78), "", 'Data Entry'!$`$78)</f>
      </c>
      <c r="AG78">
        <f>IF(ISBLANK('Data Entry'!$a$78), "", 'Data Entry'!$a$78)</f>
      </c>
      <c r="AH78">
        <f>IF(ISBLANK('Data Entry'!$b$78), "", 'Data Entry'!$b$78)</f>
      </c>
      <c r="AI78">
        <f>IF(ISBLANK('Data Entry'!$c$78), "", 'Data Entry'!$c$78)</f>
      </c>
      <c r="AJ78">
        <f>IF(ISBLANK('Data Entry'!$d$78), "", 'Data Entry'!$d$78)</f>
      </c>
      <c r="AK78">
        <f>IF(ISBLANK('Data Entry'!$e$78), "", 'Data Entry'!$e$78)</f>
      </c>
      <c r="AL78">
        <f>IF(ISBLANK('Data Entry'!$f$78), "", 'Data Entry'!$f$78)</f>
      </c>
      <c r="AM78">
        <f>IF(ISBLANK('Data Entry'!$g$78), "", 'Data Entry'!$g$78)</f>
      </c>
      <c r="AN78">
        <f>IF(ISBLANK('Data Entry'!$h$78), "", 'Data Entry'!$h$78)</f>
      </c>
      <c r="AO78">
        <f>IF(ISBLANK('Data Entry'!$i$78), "", 'Data Entry'!$i$78)</f>
      </c>
      <c r="AP78">
        <f>IF(ISBLANK('Data Entry'!$j$78), "", 'Data Entry'!$j$78)</f>
      </c>
      <c r="AQ78">
        <f>IF(ISBLANK('Data Entry'!$k$78), "", 'Data Entry'!$k$78)</f>
      </c>
      <c r="AR78">
        <f>IF(ISBLANK('Data Entry'!$l$78), "", 'Data Entry'!$l$78)</f>
      </c>
      <c r="AS78">
        <f>IF(ISBLANK('Data Entry'!$m$78), "", 'Data Entry'!$m$78)</f>
      </c>
      <c r="AT78">
        <f>IF(ISBLANK('Data Entry'!$n$78), "", 'Data Entry'!$n$78)</f>
      </c>
      <c r="AU78">
        <f>IF(ISBLANK('Data Entry'!$o$78), "", 'Data Entry'!$o$78)</f>
      </c>
      <c r="AV78">
        <f>IF(ISBLANK('Data Entry'!$p$78), "", 'Data Entry'!$p$78)</f>
      </c>
      <c r="AW78">
        <f>IF(ISBLANK('Data Entry'!$q$78), "", 'Data Entry'!$q$78)</f>
      </c>
      <c r="AX78">
        <f>IF(ISBLANK('Data Entry'!$r$78), "", 'Data Entry'!$r$78)</f>
      </c>
      <c r="AY78">
        <f>IF(ISBLANK('Data Entry'!$s$78), "", 'Data Entry'!$s$78)</f>
      </c>
      <c r="AZ78">
        <f>IF(ISBLANK('Data Entry'!$t$78), "", 'Data Entry'!$t$78)</f>
      </c>
      <c r="BA78">
        <f>IF(ISBLANK('Data Entry'!$u$78), "", 'Data Entry'!$u$78)</f>
      </c>
      <c r="BB78">
        <f>IF(ISBLANK('Data Entry'!$v$78), "", 'Data Entry'!$v$78)</f>
      </c>
      <c r="BC78">
        <f>IF(ISBLANK('Data Entry'!$w$78), "", 'Data Entry'!$w$78)</f>
      </c>
      <c r="BD78">
        <f>IF(ISBLANK('Data Entry'!$x$78), "", 'Data Entry'!$x$78)</f>
      </c>
      <c r="BE78">
        <f>IF(ISBLANK('Data Entry'!$y$78), "", 'Data Entry'!$y$78)</f>
      </c>
      <c r="BF78">
        <f>IF(ISBLANK('Data Entry'!$z$78), "", 'Data Entry'!$z$78)</f>
      </c>
      <c r="BG78">
        <f>IF(ISBLANK('Data Entry'!${$78), "", 'Data Entry'!${$78)</f>
      </c>
      <c r="BH78">
        <f>IF(ISBLANK('Data Entry'!$|$78), "", 'Data Entry'!$|$78)</f>
      </c>
      <c r="BI78">
        <f>IF(ISBLANK('Data Entry'!$}$78), "", 'Data Entry'!$}$78)</f>
      </c>
      <c r="BJ78">
        <f>IF(ISBLANK('Data Entry'!$~$78), "", 'Data Entry'!$~$78)</f>
      </c>
      <c r="BK78">
        <f>IF(ISBLANK('Data Entry'!$$78), "", 'Data Entry'!$$78)</f>
      </c>
      <c r="BL78">
        <f>IF(ISBLANK('Data Entry'!$$78), "", 'Data Entry'!$$78)</f>
      </c>
      <c r="BM78">
        <f>IF(ISBLANK('Data Entry'!$$78), "", 'Data Entry'!$$78)</f>
      </c>
      <c r="BN78">
        <f>IF(ISBLANK('Data Entry'!$$78), "", 'Data Entry'!$$78)</f>
      </c>
      <c r="BO78">
        <f>IF(ISBLANK('Data Entry'!$$78), "", 'Data Entry'!$$78)</f>
      </c>
      <c r="BP78">
        <f>IF(ISBLANK('Data Entry'!$$78), "", 'Data Entry'!$$78)</f>
      </c>
      <c r="BQ78">
        <f>IF(ISBLANK('Data Entry'!$$78), "", 'Data Entry'!$$78)</f>
      </c>
      <c r="BR78">
        <f>IF(ISBLANK('Data Entry'!$$78), "", 'Data Entry'!$$78)</f>
      </c>
      <c r="BS78">
        <f>IF(ISBLANK('Data Entry'!$$78), "", 'Data Entry'!$$78)</f>
      </c>
      <c r="BT78">
        <f>IF(ISBLANK('Data Entry'!$$78), "", 'Data Entry'!$$78)</f>
      </c>
      <c r="BU78">
        <f>IF(ISBLANK('Data Entry'!$$78), "", 'Data Entry'!$$78)</f>
      </c>
      <c r="BV78">
        <f>IF(ISBLANK('Data Entry'!$$78), "", 'Data Entry'!$$78)</f>
      </c>
      <c r="BW78">
        <f>IF(ISBLANK('Data Entry'!$$78), "", 'Data Entry'!$$78)</f>
      </c>
      <c r="BX78">
        <f>IF(ISBLANK('Data Entry'!$$78), "", 'Data Entry'!$$78)</f>
      </c>
      <c r="BY78">
        <f>IF(ISBLANK('Data Entry'!$$78), "", 'Data Entry'!$$78)</f>
      </c>
      <c r="BZ78">
        <f>IF(ISBLANK('Data Entry'!$$78), "", 'Data Entry'!$$78)</f>
      </c>
      <c r="CA78">
        <f>IF(ISBLANK('Data Entry'!$$78), "", 'Data Entry'!$$78)</f>
      </c>
      <c r="CB78">
        <f>IF(ISBLANK('Data Entry'!$$78), "", 'Data Entry'!$$78)</f>
      </c>
      <c r="CC78">
        <f>IF(ISBLANK('Data Entry'!$$78), "", 'Data Entry'!$$78)</f>
      </c>
      <c r="CD78">
        <f>IF(ISBLANK('Data Entry'!$$78), "", 'Data Entry'!$$78)</f>
      </c>
      <c r="CE78">
        <f>IF(ISBLANK('Data Entry'!$$78), "", 'Data Entry'!$$78)</f>
      </c>
      <c r="CF78">
        <f>IF(ISBLANK('Data Entry'!$$78), "", 'Data Entry'!$$78)</f>
      </c>
      <c r="CG78">
        <f>IF(ISBLANK('Data Entry'!$$78), "", 'Data Entry'!$$78)</f>
      </c>
      <c r="CH78">
        <f>IF(ISBLANK('Data Entry'!$$78), "", 'Data Entry'!$$78)</f>
      </c>
      <c r="CI78">
        <f>IF(ISBLANK('Data Entry'!$$78), "", 'Data Entry'!$$78)</f>
      </c>
      <c r="CJ78">
        <f>IF(ISBLANK('Data Entry'!$$78), "", 'Data Entry'!$$78)</f>
      </c>
      <c r="CK78">
        <f>IF(ISBLANK('Data Entry'!$$78), "", 'Data Entry'!$$78)</f>
      </c>
      <c r="CL78">
        <f>IF(ISBLANK('Data Entry'!$$78), "", 'Data Entry'!$$78)</f>
      </c>
      <c r="CM78">
        <f>IF(ISBLANK('Data Entry'!$$78), "", 'Data Entry'!$$78)</f>
      </c>
      <c r="CN78">
        <f>IF(ISBLANK('Data Entry'!$$78), "", 'Data Entry'!$$78)</f>
      </c>
      <c r="CO78">
        <f>IF(ISBLANK('Data Entry'!$$78), "", 'Data Entry'!$$78)</f>
      </c>
      <c r="CP78">
        <f>IF(ISBLANK('Data Entry'!$$78), "", 'Data Entry'!$$78)</f>
      </c>
      <c r="CQ78">
        <f>IF(ISBLANK('Data Entry'!$$78), "", 'Data Entry'!$$78)</f>
      </c>
      <c r="CR78">
        <f>IF(ISBLANK('Data Entry'!$ $78), "", 'Data Entry'!$ $78)</f>
      </c>
      <c r="CS78">
        <f>IF(ISBLANK('Data Entry'!$¡$78), "", 'Data Entry'!$¡$78)</f>
      </c>
      <c r="CT78">
        <f>IF(ISBLANK('Data Entry'!$¢$78), "", 'Data Entry'!$¢$78)</f>
      </c>
      <c r="CU78">
        <f>IF(ISBLANK('Data Entry'!$£$78), "", 'Data Entry'!$£$78)</f>
      </c>
      <c r="CV78">
        <f>IF(ISBLANK('Data Entry'!$¤$78), "", 'Data Entry'!$¤$78)</f>
      </c>
      <c r="CW78">
        <f>IF(ISBLANK('Data Entry'!$¥$78), "", 'Data Entry'!$¥$78)</f>
      </c>
      <c r="CX78">
        <f>IF(ISBLANK('Data Entry'!$¦$78), "", 'Data Entry'!$¦$78)</f>
      </c>
      <c r="CY78">
        <f>IF(ISBLANK('Data Entry'!$§$78), "", 'Data Entry'!$§$78)</f>
      </c>
      <c r="CZ78">
        <f>IF(ISBLANK('Data Entry'!$¨$78), "", 'Data Entry'!$¨$78)</f>
      </c>
      <c r="DA78">
        <f>IF(ISBLANK('Data Entry'!$©$78), "", 'Data Entry'!$©$78)</f>
      </c>
      <c r="DB78">
        <f>IF(ISBLANK('Data Entry'!$ª$78), "", 'Data Entry'!$ª$78)</f>
      </c>
      <c r="DC78">
        <f>IF(ISBLANK('Data Entry'!$«$78), "", 'Data Entry'!$«$78)</f>
      </c>
      <c r="DD78">
        <f>IF(ISBLANK('Data Entry'!$¬$78), "", 'Data Entry'!$¬$78)</f>
      </c>
      <c r="DE78">
        <f>IF(ISBLANK('Data Entry'!$­$78), "", 'Data Entry'!$­$78)</f>
      </c>
      <c r="DF78">
        <f>IF(ISBLANK('Data Entry'!$®$78), "", 'Data Entry'!$®$78)</f>
      </c>
      <c r="DG78">
        <f>IF(ISBLANK('Data Entry'!$¯$78), "", 'Data Entry'!$¯$78)</f>
      </c>
      <c r="DH78">
        <f>IF(ISBLANK('Data Entry'!$°$78), "", 'Data Entry'!$°$78)</f>
      </c>
      <c r="DI78">
        <f>IF(ISBLANK('Data Entry'!$±$78), "", 'Data Entry'!$±$78)</f>
      </c>
      <c r="DJ78">
        <f>IF(ISBLANK('Data Entry'!$²$78), "", 'Data Entry'!$²$78)</f>
      </c>
      <c r="DK78">
        <f>IF(ISBLANK('Data Entry'!$³$78), "", 'Data Entry'!$³$78)</f>
      </c>
      <c r="DL78">
        <f>IF(ISBLANK('Data Entry'!$´$78), "", 'Data Entry'!$´$78)</f>
      </c>
      <c r="DM78">
        <f>IF(ISBLANK('Data Entry'!$µ$78), "", 'Data Entry'!$µ$78)</f>
      </c>
      <c r="DN78">
        <f>IF(ISBLANK('Data Entry'!$¶$78), "", 'Data Entry'!$¶$78)</f>
      </c>
      <c r="DO78">
        <f>IF(ISBLANK('Data Entry'!$·$78), "", 'Data Entry'!$·$78)</f>
      </c>
      <c r="DP78">
        <f>IF(ISBLANK('Data Entry'!$¸$78), "", 'Data Entry'!$¸$78)</f>
      </c>
      <c r="DQ78">
        <f>IF(ISBLANK('Data Entry'!$¹$78), "", 'Data Entry'!$¹$78)</f>
      </c>
      <c r="DR78">
        <f>IF(ISBLANK('Data Entry'!$º$78), "", 'Data Entry'!$º$78)</f>
      </c>
      <c r="DS78">
        <f>IF(ISBLANK('Data Entry'!$»$78), "", 'Data Entry'!$»$78)</f>
      </c>
      <c r="DT78">
        <f>IF(ISBLANK('Data Entry'!$¼$78), "", 'Data Entry'!$¼$78)</f>
      </c>
      <c r="DU78">
        <f>IF(ISBLANK('Data Entry'!$½$78), "", 'Data Entry'!$½$78)</f>
      </c>
      <c r="DV78">
        <f>IF(ISBLANK('Data Entry'!$¾$78), "", 'Data Entry'!$¾$78)</f>
      </c>
      <c r="DW78">
        <f>IF(ISBLANK('Data Entry'!$¿$78), "", 'Data Entry'!$¿$78)</f>
      </c>
      <c r="DX78">
        <f>IF(ISBLANK('Data Entry'!$À$78), "", 'Data Entry'!$À$78)</f>
      </c>
      <c r="DY78">
        <f>IF(ISBLANK('Data Entry'!$Á$78), "", 'Data Entry'!$Á$78)</f>
      </c>
      <c r="DZ78">
        <f>IF(ISBLANK('Data Entry'!$Â$78), "", 'Data Entry'!$Â$78)</f>
      </c>
      <c r="EA78">
        <f>IF(ISBLANK('Data Entry'!$Ã$78), "", 'Data Entry'!$Ã$78)</f>
      </c>
      <c r="EB78">
        <f>IF(ISBLANK('Data Entry'!$Ä$78), "", 'Data Entry'!$Ä$78)</f>
      </c>
      <c r="EC78">
        <f>IF(ISBLANK('Data Entry'!$Å$78), "", 'Data Entry'!$Å$78)</f>
      </c>
      <c r="ED78">
        <f>IF(ISBLANK('Data Entry'!$Æ$78), "", 'Data Entry'!$Æ$78)</f>
      </c>
      <c r="EE78">
        <f>IF(ISBLANK('Data Entry'!$Ç$78), "", 'Data Entry'!$Ç$78)</f>
      </c>
      <c r="EF78">
        <f>IF(ISBLANK('Data Entry'!$È$78), "", 'Data Entry'!$È$78)</f>
      </c>
      <c r="EG78">
        <f>IF(ISBLANK('Data Entry'!$É$78), "", 'Data Entry'!$É$78)</f>
      </c>
      <c r="EH78">
        <f>IF(ISBLANK('Data Entry'!$Ê$78), "", 'Data Entry'!$Ê$78)</f>
      </c>
      <c r="EI78">
        <f>IF(ISBLANK('Data Entry'!$Ë$78), "", 'Data Entry'!$Ë$78)</f>
      </c>
      <c r="EJ78">
        <f>IF(ISBLANK('Data Entry'!$Ì$78), "", 'Data Entry'!$Ì$78)</f>
      </c>
      <c r="EK78">
        <f>IF(ISBLANK('Data Entry'!$Í$78), "", 'Data Entry'!$Í$78)</f>
      </c>
      <c r="EL78">
        <f>IF(ISBLANK('Data Entry'!$Î$78), "", 'Data Entry'!$Î$78)</f>
      </c>
      <c r="EM78">
        <f>IF(ISBLANK('Data Entry'!$Ï$78), "", 'Data Entry'!$Ï$78)</f>
      </c>
      <c r="EN78">
        <f>IF(ISBLANK('Data Entry'!$Ð$78), "", 'Data Entry'!$Ð$78)</f>
      </c>
      <c r="EO78">
        <f>IF(ISBLANK('Data Entry'!$Ñ$78), "", 'Data Entry'!$Ñ$78)</f>
      </c>
      <c r="EP78">
        <f>IF(ISBLANK('Data Entry'!$Ò$78), "", 'Data Entry'!$Ò$78)</f>
      </c>
      <c r="EQ78">
        <f>IF(ISBLANK('Data Entry'!$Ó$78), "", 'Data Entry'!$Ó$78)</f>
      </c>
      <c r="ER78">
        <f>IF(ISBLANK('Data Entry'!$Ô$78), "", 'Data Entry'!$Ô$78)</f>
      </c>
      <c r="ES78">
        <f>IF(ISBLANK('Data Entry'!$Õ$78), "", 'Data Entry'!$Õ$78)</f>
      </c>
      <c r="ET78">
        <f>IF(ISBLANK('Data Entry'!$Ö$78), "", 'Data Entry'!$Ö$78)</f>
      </c>
      <c r="EU78">
        <f>IF(ISBLANK('Data Entry'!$×$78), "", 'Data Entry'!$×$78)</f>
      </c>
      <c r="EV78">
        <f>IF(ISBLANK('Data Entry'!$Ø$78), "", 'Data Entry'!$Ø$78)</f>
      </c>
      <c r="EW78">
        <f>IF(ISBLANK('Data Entry'!$Ù$78), "", 'Data Entry'!$Ù$78)</f>
      </c>
      <c r="EX78">
        <f>IF(ISBLANK('Data Entry'!$Ú$78), "", 'Data Entry'!$Ú$78)</f>
      </c>
      <c r="EY78">
        <f>IF(ISBLANK('Data Entry'!$Û$78), "", 'Data Entry'!$Û$78)</f>
      </c>
      <c r="EZ78">
        <f>IF(ISBLANK('Data Entry'!$Ü$78), "", 'Data Entry'!$Ü$78)</f>
      </c>
      <c r="FA78">
        <f>IF(ISBLANK('Data Entry'!$Ý$78), "", 'Data Entry'!$Ý$78)</f>
      </c>
      <c r="FB78">
        <f>IF(ISBLANK('Data Entry'!$Þ$78), "", 'Data Entry'!$Þ$78)</f>
      </c>
      <c r="FC78">
        <f>IF(ISBLANK('Data Entry'!$ß$78), "", 'Data Entry'!$ß$78)</f>
      </c>
      <c r="FD78">
        <f>IF(ISBLANK('Data Entry'!$à$78), "", 'Data Entry'!$à$78)</f>
      </c>
      <c r="FE78">
        <f>IF(ISBLANK('Data Entry'!$á$78), "", 'Data Entry'!$á$78)</f>
      </c>
      <c r="FF78">
        <f>IF(ISBLANK('Data Entry'!$â$78), "", 'Data Entry'!$â$78)</f>
      </c>
      <c r="FG78">
        <f>IF(ISBLANK('Data Entry'!$ã$78), "", 'Data Entry'!$ã$78)</f>
      </c>
      <c r="FH78">
        <f>IF(ISBLANK('Data Entry'!$ä$78), "", 'Data Entry'!$ä$78)</f>
      </c>
      <c r="FI78">
        <f>IF(ISBLANK('Data Entry'!$å$78), "", 'Data Entry'!$å$78)</f>
      </c>
      <c r="FJ78">
        <f>IF(ISBLANK('Data Entry'!$æ$78), "", 'Data Entry'!$æ$78)</f>
      </c>
      <c r="FK78">
        <f>IF(ISBLANK('Data Entry'!$ç$78), "", 'Data Entry'!$ç$78)</f>
      </c>
      <c r="FL78">
        <f>IF(ISBLANK('Data Entry'!$è$78), "", 'Data Entry'!$è$78)</f>
      </c>
      <c r="FM78">
        <f>IF(ISBLANK('Data Entry'!$é$78), "", 'Data Entry'!$é$78)</f>
      </c>
      <c r="FN78">
        <f>IF(ISBLANK('Data Entry'!$ê$78), "", 'Data Entry'!$ê$78)</f>
      </c>
      <c r="FO78">
        <f>IF(ISBLANK('Data Entry'!$ë$78), "", 'Data Entry'!$ë$78)</f>
      </c>
      <c r="FP78">
        <f>IF(ISBLANK('Data Entry'!$ì$78), "", 'Data Entry'!$ì$78)</f>
      </c>
      <c r="FQ78">
        <f>IF(ISBLANK('Data Entry'!$í$78), "", 'Data Entry'!$í$78)</f>
      </c>
      <c r="FR78">
        <f>IF(ISBLANK('Data Entry'!$î$78), "", 'Data Entry'!$î$78)</f>
      </c>
      <c r="FS78">
        <f>IF(ISBLANK('Data Entry'!$ï$78), "", 'Data Entry'!$ï$78)</f>
      </c>
      <c r="FT78">
        <f>IF(ISBLANK('Data Entry'!$ð$78), "", 'Data Entry'!$ð$78)</f>
      </c>
      <c r="FU78">
        <f>IF(ISBLANK('Data Entry'!$ñ$78), "", 'Data Entry'!$ñ$78)</f>
      </c>
      <c r="FV78">
        <f>IF(ISBLANK('Data Entry'!$ò$78), "", 'Data Entry'!$ò$78)</f>
      </c>
      <c r="FW78">
        <f>IF(ISBLANK('Data Entry'!$ó$78), "", 'Data Entry'!$ó$78)</f>
      </c>
      <c r="FX78">
        <f>IF(ISBLANK('Data Entry'!$ô$78), "", 'Data Entry'!$ô$78)</f>
      </c>
      <c r="FY78">
        <f>IF(ISBLANK('Data Entry'!$õ$78), "", 'Data Entry'!$õ$78)</f>
      </c>
      <c r="FZ78">
        <f>IF(ISBLANK('Data Entry'!$ö$78), "", 'Data Entry'!$ö$78)</f>
      </c>
      <c r="GA78">
        <f>IF(ISBLANK('Data Entry'!$÷$78), "", 'Data Entry'!$÷$78)</f>
      </c>
      <c r="GB78">
        <f>IF(ISBLANK('Data Entry'!$ø$78), "", 'Data Entry'!$ø$78)</f>
      </c>
      <c r="GC78">
        <f>IF(ISBLANK('Data Entry'!$ù$78), "", 'Data Entry'!$ù$78)</f>
      </c>
      <c r="GD78">
        <f>IF(ISBLANK('Data Entry'!$ú$78), "", 'Data Entry'!$ú$78)</f>
      </c>
      <c r="GE78">
        <f>IF(ISBLANK('Data Entry'!$û$78), "", 'Data Entry'!$û$78)</f>
      </c>
      <c r="GF78">
        <f>IF(ISBLANK('Data Entry'!$ü$78), "", 'Data Entry'!$ü$78)</f>
      </c>
      <c r="GG78">
        <f>IF(ISBLANK('Data Entry'!$ý$78), "", 'Data Entry'!$ý$78)</f>
      </c>
      <c r="GH78">
        <f>IF(ISBLANK('Data Entry'!$þ$78), "", 'Data Entry'!$þ$78)</f>
      </c>
      <c r="GI78">
        <f>IF(ISBLANK('Data Entry'!$ÿ$78), "", 'Data Entry'!$ÿ$78)</f>
      </c>
      <c r="GJ78">
        <f>IF(ISBLANK('Data Entry'!$Ā$78), "", 'Data Entry'!$Ā$78)</f>
      </c>
      <c r="GK78">
        <f>IF(ISBLANK('Data Entry'!$ā$78), "", 'Data Entry'!$ā$78)</f>
      </c>
      <c r="GL78">
        <f>IF(ISBLANK('Data Entry'!$Ă$78), "", 'Data Entry'!$Ă$78)</f>
      </c>
      <c r="GM78">
        <f>IF(ISBLANK('Data Entry'!$ă$78), "", 'Data Entry'!$ă$78)</f>
      </c>
      <c r="GN78">
        <f>IF(ISBLANK('Data Entry'!$Ą$78), "", 'Data Entry'!$Ą$78)</f>
      </c>
      <c r="GO78">
        <f>IF(ISBLANK('Data Entry'!$ą$78), "", 'Data Entry'!$ą$78)</f>
      </c>
      <c r="GP78">
        <f>IF(ISBLANK('Data Entry'!$Ć$78), "", 'Data Entry'!$Ć$78)</f>
      </c>
      <c r="GQ78">
        <f>IF(ISBLANK('Data Entry'!$ć$78), "", 'Data Entry'!$ć$78)</f>
      </c>
      <c r="GR78">
        <f>IF(ISBLANK('Data Entry'!$Ĉ$78), "", 'Data Entry'!$Ĉ$78)</f>
      </c>
      <c r="GS78">
        <f>IF(ISBLANK('Data Entry'!$ĉ$78), "", 'Data Entry'!$ĉ$78)</f>
      </c>
      <c r="GT78">
        <f>IF(ISBLANK('Data Entry'!$Ċ$78), "", 'Data Entry'!$Ċ$78)</f>
      </c>
      <c r="GU78">
        <f>IF(ISBLANK('Data Entry'!$ċ$78), "", 'Data Entry'!$ċ$78)</f>
      </c>
      <c r="GV78">
        <f>IF(ISBLANK('Data Entry'!$Č$78), "", 'Data Entry'!$Č$78)</f>
      </c>
      <c r="GW78">
        <f>IF(ISBLANK('Data Entry'!$č$78), "", 'Data Entry'!$č$78)</f>
      </c>
      <c r="GX78">
        <f>IF(ISBLANK('Data Entry'!$Ď$78), "", 'Data Entry'!$Ď$78)</f>
      </c>
      <c r="GY78">
        <f>IF(ISBLANK('Data Entry'!$ď$78), "", 'Data Entry'!$ď$78)</f>
      </c>
      <c r="GZ78">
        <f>IF(ISBLANK('Data Entry'!$Đ$78), "", 'Data Entry'!$Đ$78)</f>
      </c>
      <c r="HA78">
        <f>IF(ISBLANK('Data Entry'!$đ$78), "", 'Data Entry'!$đ$78)</f>
      </c>
      <c r="HB78">
        <f>IF(ISBLANK('Data Entry'!$Ē$78), "", 'Data Entry'!$Ē$78)</f>
      </c>
      <c r="HC78">
        <f>IF(ISBLANK('Data Entry'!$ē$78), "", 'Data Entry'!$ē$78)</f>
      </c>
      <c r="HD78">
        <f>IF(ISBLANK('Data Entry'!$Ĕ$78), "", 'Data Entry'!$Ĕ$78)</f>
      </c>
      <c r="HE78">
        <f>IF(ISBLANK('Data Entry'!$ĕ$78), "", 'Data Entry'!$ĕ$78)</f>
      </c>
      <c r="HF78">
        <f>IF(ISBLANK('Data Entry'!$Ė$78), "", 'Data Entry'!$Ė$78)</f>
      </c>
      <c r="HG78">
        <f>IF(ISBLANK('Data Entry'!$ė$78), "", 'Data Entry'!$ė$78)</f>
      </c>
      <c r="HH78">
        <f>IF(ISBLANK('Data Entry'!$Ę$78), "", 'Data Entry'!$Ę$78)</f>
      </c>
      <c r="HI78">
        <f>IF(ISBLANK('Data Entry'!$ę$78), "", 'Data Entry'!$ę$78)</f>
      </c>
      <c r="HJ78">
        <f>IF(ISBLANK('Data Entry'!$Ě$78), "", 'Data Entry'!$Ě$78)</f>
      </c>
      <c r="HK78">
        <f>IF(ISBLANK('Data Entry'!$ě$78), "", 'Data Entry'!$ě$78)</f>
      </c>
      <c r="HL78">
        <f>IF(ISBLANK('Data Entry'!$Ĝ$78), "", 'Data Entry'!$Ĝ$78)</f>
      </c>
      <c r="HM78">
        <f>IF(ISBLANK('Data Entry'!$ĝ$78), "", 'Data Entry'!$ĝ$78)</f>
      </c>
      <c r="HN78">
        <f>IF(ISBLANK('Data Entry'!$Ğ$78), "", 'Data Entry'!$Ğ$78)</f>
      </c>
      <c r="HO78">
        <f>IF(ISBLANK('Data Entry'!$ğ$78), "", 'Data Entry'!$ğ$78)</f>
      </c>
      <c r="HP78">
        <f>IF(ISBLANK('Data Entry'!$Ġ$78), "", 'Data Entry'!$Ġ$78)</f>
      </c>
      <c r="HQ78">
        <f>IF(ISBLANK('Data Entry'!$ġ$78), "", 'Data Entry'!$ġ$78)</f>
      </c>
      <c r="HR78">
        <f>IF(ISBLANK('Data Entry'!$Ģ$78), "", 'Data Entry'!$Ģ$78)</f>
      </c>
      <c r="HS78">
        <f>IF(ISBLANK('Data Entry'!$ģ$78), "", 'Data Entry'!$ģ$78)</f>
      </c>
      <c r="HT78">
        <f>IF(ISBLANK('Data Entry'!$Ĥ$78), "", 'Data Entry'!$Ĥ$78)</f>
      </c>
      <c r="HU78">
        <f>IF(ISBLANK('Data Entry'!$ĥ$78), "", 'Data Entry'!$ĥ$78)</f>
      </c>
      <c r="HV78">
        <f>IF(ISBLANK('Data Entry'!$Ħ$78), "", 'Data Entry'!$Ħ$78)</f>
      </c>
      <c r="HW78">
        <f>IF(ISBLANK('Data Entry'!$ħ$78), "", 'Data Entry'!$ħ$78)</f>
      </c>
      <c r="HX78">
        <f>IF(ISBLANK('Data Entry'!$Ĩ$78), "", 'Data Entry'!$Ĩ$78)</f>
      </c>
      <c r="HY78">
        <f>IF(ISBLANK('Data Entry'!$ĩ$78), "", 'Data Entry'!$ĩ$78)</f>
      </c>
      <c r="HZ78">
        <f>IF(ISBLANK('Data Entry'!$Ī$78), "", 'Data Entry'!$Ī$78)</f>
      </c>
      <c r="IA78">
        <f>IF(ISBLANK('Data Entry'!$ī$78), "", 'Data Entry'!$ī$78)</f>
      </c>
      <c r="IB78">
        <f>IF(ISBLANK('Data Entry'!$Ĭ$78), "", 'Data Entry'!$Ĭ$78)</f>
      </c>
      <c r="IC78">
        <f>IF(ISBLANK('Data Entry'!$ĭ$78), "", 'Data Entry'!$ĭ$78)</f>
      </c>
      <c r="ID78">
        <f>IF(ISBLANK('Data Entry'!$Į$78), "", 'Data Entry'!$Į$78)</f>
      </c>
      <c r="IE78">
        <f>IF(ISBLANK('Data Entry'!$į$78), "", 'Data Entry'!$į$78)</f>
      </c>
      <c r="IF78">
        <f>IF(ISBLANK('Data Entry'!$İ$78), "", 'Data Entry'!$İ$78)</f>
      </c>
      <c r="IG78">
        <f>IF(ISBLANK('Data Entry'!$ı$78), "", 'Data Entry'!$ı$78)</f>
      </c>
      <c r="IH78">
        <f>IF(ISBLANK('Data Entry'!$Ĳ$78), "", 'Data Entry'!$Ĳ$78)</f>
      </c>
      <c r="II78">
        <f>IF(ISBLANK('Data Entry'!$ĳ$78), "", 'Data Entry'!$ĳ$78)</f>
      </c>
      <c r="IJ78">
        <f>IF(ISBLANK('Data Entry'!$Ĵ$78), "", 'Data Entry'!$Ĵ$78)</f>
      </c>
      <c r="IK78">
        <f>IF(ISBLANK('Data Entry'!$ĵ$78), "", 'Data Entry'!$ĵ$78)</f>
      </c>
      <c r="IL78">
        <f>IF(ISBLANK('Data Entry'!$Ķ$78), "", 'Data Entry'!$Ķ$78)</f>
      </c>
      <c r="IM78">
        <f>IF(ISBLANK('Data Entry'!$ķ$78), "", 'Data Entry'!$ķ$78)</f>
      </c>
      <c r="IN78">
        <f>IF(ISBLANK('Data Entry'!$ĸ$78), "", 'Data Entry'!$ĸ$78)</f>
      </c>
      <c r="IO78">
        <f>IF(ISBLANK('Data Entry'!$Ĺ$78), "", 'Data Entry'!$Ĺ$78)</f>
      </c>
      <c r="IP78">
        <f>IF(ISBLANK('Data Entry'!$ĺ$78), "", 'Data Entry'!$ĺ$78)</f>
      </c>
      <c r="IQ78">
        <f>IF(ISBLANK('Data Entry'!$Ļ$78), "", 'Data Entry'!$Ļ$78)</f>
      </c>
      <c r="IR78">
        <f>IF(ISBLANK('Data Entry'!$ļ$78), "", 'Data Entry'!$ļ$78)</f>
      </c>
      <c r="IS78">
        <f>IF(ISBLANK('Data Entry'!$Ľ$78), "", 'Data Entry'!$Ľ$78)</f>
      </c>
      <c r="IT78">
        <f>IF(ISBLANK('Data Entry'!$ľ$78), "", 'Data Entry'!$ľ$78)</f>
      </c>
    </row>
    <row r="79" spans="1:254" x14ac:dyDescent="0.25">
      <c r="A79">
        <f>IF(ISBLANK('Data Entry'!$A$79), "", 'Data Entry'!$A$79)</f>
      </c>
      <c r="B79">
        <f>IF(ISBLANK('Data Entry'!$B$79), "", 'Data Entry'!$B$79)</f>
      </c>
      <c r="C79">
        <f>IF(ISBLANK('Data Entry'!$C$79), "", 'Data Entry'!$C$79)</f>
      </c>
      <c r="D79">
        <f>IF(ISBLANK('Data Entry'!$D$79), "", 'Data Entry'!$D$79)</f>
      </c>
      <c r="E79">
        <f>IF(ISBLANK('Data Entry'!$E$79), "", 'Data Entry'!$E$79)</f>
      </c>
      <c r="F79">
        <f>IF(ISBLANK('Data Entry'!$F$79), "", 'Data Entry'!$F$79)</f>
      </c>
      <c r="G79">
        <f>IF(ISBLANK('Data Entry'!$G$79), "", 'Data Entry'!$G$79)</f>
      </c>
      <c r="H79">
        <f>IF(ISBLANK('Data Entry'!$H$79), "", 'Data Entry'!$H$79)</f>
      </c>
      <c r="I79">
        <f>IF(ISBLANK('Data Entry'!$I$79), "", 'Data Entry'!$I$79)</f>
      </c>
      <c r="J79">
        <f>IF(ISBLANK('Data Entry'!$J$79), "", 'Data Entry'!$J$79)</f>
      </c>
      <c r="K79">
        <f>IF(ISBLANK('Data Entry'!$K$79), "", 'Data Entry'!$K$79)</f>
      </c>
      <c r="L79">
        <f>IF(ISBLANK('Data Entry'!$L$79), "", 'Data Entry'!$L$79)</f>
      </c>
      <c r="M79">
        <f>IF(ISBLANK('Data Entry'!$M$79), "", 'Data Entry'!$M$79)</f>
      </c>
      <c r="N79">
        <f>IF(ISBLANK('Data Entry'!$N$79), "", 'Data Entry'!$N$79)</f>
      </c>
      <c r="O79">
        <f>IF(ISBLANK('Data Entry'!$O$79), "", 'Data Entry'!$O$79)</f>
      </c>
      <c r="P79">
        <f>IF(ISBLANK('Data Entry'!$P$79), "", 'Data Entry'!$P$79)</f>
      </c>
      <c r="Q79">
        <f>IF(ISBLANK('Data Entry'!$Q$79), "", 'Data Entry'!$Q$79)</f>
      </c>
      <c r="R79">
        <f>IF(ISBLANK('Data Entry'!$R$79), "", 'Data Entry'!$R$79)</f>
      </c>
      <c r="S79">
        <f>IF(ISBLANK('Data Entry'!$S$79), "", 'Data Entry'!$S$79)</f>
      </c>
      <c r="T79">
        <f>IF(ISBLANK('Data Entry'!$T$79), "", 'Data Entry'!$T$79)</f>
      </c>
      <c r="U79">
        <f>IF(ISBLANK('Data Entry'!$U$79), "", 'Data Entry'!$U$79)</f>
      </c>
      <c r="V79">
        <f>IF(ISBLANK('Data Entry'!$V$79), "", 'Data Entry'!$V$79)</f>
      </c>
      <c r="W79">
        <f>IF(ISBLANK('Data Entry'!$W$79), "", 'Data Entry'!$W$79)</f>
      </c>
      <c r="X79">
        <f>IF(ISBLANK('Data Entry'!$X$79), "", 'Data Entry'!$X$79)</f>
      </c>
      <c r="Y79">
        <f>IF(ISBLANK('Data Entry'!$Y$79), "", 'Data Entry'!$Y$79)</f>
      </c>
      <c r="Z79">
        <f>IF(ISBLANK('Data Entry'!$Z$79), "", 'Data Entry'!$Z$79)</f>
      </c>
      <c r="AA79">
        <f>IF(ISBLANK('Data Entry'!$[$79), "", 'Data Entry'!$[$79)</f>
      </c>
      <c r="AB79">
        <f>IF(ISBLANK('Data Entry'!$\$79), "", 'Data Entry'!$\$79)</f>
      </c>
      <c r="AC79">
        <f>IF(ISBLANK('Data Entry'!$]$79), "", 'Data Entry'!$]$79)</f>
      </c>
      <c r="AD79">
        <f>IF(ISBLANK('Data Entry'!$^$79), "", 'Data Entry'!$^$79)</f>
      </c>
      <c r="AE79">
        <f>IF(ISBLANK('Data Entry'!$_$79), "", 'Data Entry'!$_$79)</f>
      </c>
      <c r="AF79">
        <f>IF(ISBLANK('Data Entry'!$`$79), "", 'Data Entry'!$`$79)</f>
      </c>
      <c r="AG79">
        <f>IF(ISBLANK('Data Entry'!$a$79), "", 'Data Entry'!$a$79)</f>
      </c>
      <c r="AH79">
        <f>IF(ISBLANK('Data Entry'!$b$79), "", 'Data Entry'!$b$79)</f>
      </c>
      <c r="AI79">
        <f>IF(ISBLANK('Data Entry'!$c$79), "", 'Data Entry'!$c$79)</f>
      </c>
      <c r="AJ79">
        <f>IF(ISBLANK('Data Entry'!$d$79), "", 'Data Entry'!$d$79)</f>
      </c>
      <c r="AK79">
        <f>IF(ISBLANK('Data Entry'!$e$79), "", 'Data Entry'!$e$79)</f>
      </c>
      <c r="AL79">
        <f>IF(ISBLANK('Data Entry'!$f$79), "", 'Data Entry'!$f$79)</f>
      </c>
      <c r="AM79">
        <f>IF(ISBLANK('Data Entry'!$g$79), "", 'Data Entry'!$g$79)</f>
      </c>
      <c r="AN79">
        <f>IF(ISBLANK('Data Entry'!$h$79), "", 'Data Entry'!$h$79)</f>
      </c>
      <c r="AO79">
        <f>IF(ISBLANK('Data Entry'!$i$79), "", 'Data Entry'!$i$79)</f>
      </c>
      <c r="AP79">
        <f>IF(ISBLANK('Data Entry'!$j$79), "", 'Data Entry'!$j$79)</f>
      </c>
      <c r="AQ79">
        <f>IF(ISBLANK('Data Entry'!$k$79), "", 'Data Entry'!$k$79)</f>
      </c>
      <c r="AR79">
        <f>IF(ISBLANK('Data Entry'!$l$79), "", 'Data Entry'!$l$79)</f>
      </c>
      <c r="AS79">
        <f>IF(ISBLANK('Data Entry'!$m$79), "", 'Data Entry'!$m$79)</f>
      </c>
      <c r="AT79">
        <f>IF(ISBLANK('Data Entry'!$n$79), "", 'Data Entry'!$n$79)</f>
      </c>
      <c r="AU79">
        <f>IF(ISBLANK('Data Entry'!$o$79), "", 'Data Entry'!$o$79)</f>
      </c>
      <c r="AV79">
        <f>IF(ISBLANK('Data Entry'!$p$79), "", 'Data Entry'!$p$79)</f>
      </c>
      <c r="AW79">
        <f>IF(ISBLANK('Data Entry'!$q$79), "", 'Data Entry'!$q$79)</f>
      </c>
      <c r="AX79">
        <f>IF(ISBLANK('Data Entry'!$r$79), "", 'Data Entry'!$r$79)</f>
      </c>
      <c r="AY79">
        <f>IF(ISBLANK('Data Entry'!$s$79), "", 'Data Entry'!$s$79)</f>
      </c>
      <c r="AZ79">
        <f>IF(ISBLANK('Data Entry'!$t$79), "", 'Data Entry'!$t$79)</f>
      </c>
      <c r="BA79">
        <f>IF(ISBLANK('Data Entry'!$u$79), "", 'Data Entry'!$u$79)</f>
      </c>
      <c r="BB79">
        <f>IF(ISBLANK('Data Entry'!$v$79), "", 'Data Entry'!$v$79)</f>
      </c>
      <c r="BC79">
        <f>IF(ISBLANK('Data Entry'!$w$79), "", 'Data Entry'!$w$79)</f>
      </c>
      <c r="BD79">
        <f>IF(ISBLANK('Data Entry'!$x$79), "", 'Data Entry'!$x$79)</f>
      </c>
      <c r="BE79">
        <f>IF(ISBLANK('Data Entry'!$y$79), "", 'Data Entry'!$y$79)</f>
      </c>
      <c r="BF79">
        <f>IF(ISBLANK('Data Entry'!$z$79), "", 'Data Entry'!$z$79)</f>
      </c>
      <c r="BG79">
        <f>IF(ISBLANK('Data Entry'!${$79), "", 'Data Entry'!${$79)</f>
      </c>
      <c r="BH79">
        <f>IF(ISBLANK('Data Entry'!$|$79), "", 'Data Entry'!$|$79)</f>
      </c>
      <c r="BI79">
        <f>IF(ISBLANK('Data Entry'!$}$79), "", 'Data Entry'!$}$79)</f>
      </c>
      <c r="BJ79">
        <f>IF(ISBLANK('Data Entry'!$~$79), "", 'Data Entry'!$~$79)</f>
      </c>
      <c r="BK79">
        <f>IF(ISBLANK('Data Entry'!$$79), "", 'Data Entry'!$$79)</f>
      </c>
      <c r="BL79">
        <f>IF(ISBLANK('Data Entry'!$$79), "", 'Data Entry'!$$79)</f>
      </c>
      <c r="BM79">
        <f>IF(ISBLANK('Data Entry'!$$79), "", 'Data Entry'!$$79)</f>
      </c>
      <c r="BN79">
        <f>IF(ISBLANK('Data Entry'!$$79), "", 'Data Entry'!$$79)</f>
      </c>
      <c r="BO79">
        <f>IF(ISBLANK('Data Entry'!$$79), "", 'Data Entry'!$$79)</f>
      </c>
      <c r="BP79">
        <f>IF(ISBLANK('Data Entry'!$$79), "", 'Data Entry'!$$79)</f>
      </c>
      <c r="BQ79">
        <f>IF(ISBLANK('Data Entry'!$$79), "", 'Data Entry'!$$79)</f>
      </c>
      <c r="BR79">
        <f>IF(ISBLANK('Data Entry'!$$79), "", 'Data Entry'!$$79)</f>
      </c>
      <c r="BS79">
        <f>IF(ISBLANK('Data Entry'!$$79), "", 'Data Entry'!$$79)</f>
      </c>
      <c r="BT79">
        <f>IF(ISBLANK('Data Entry'!$$79), "", 'Data Entry'!$$79)</f>
      </c>
      <c r="BU79">
        <f>IF(ISBLANK('Data Entry'!$$79), "", 'Data Entry'!$$79)</f>
      </c>
      <c r="BV79">
        <f>IF(ISBLANK('Data Entry'!$$79), "", 'Data Entry'!$$79)</f>
      </c>
      <c r="BW79">
        <f>IF(ISBLANK('Data Entry'!$$79), "", 'Data Entry'!$$79)</f>
      </c>
      <c r="BX79">
        <f>IF(ISBLANK('Data Entry'!$$79), "", 'Data Entry'!$$79)</f>
      </c>
      <c r="BY79">
        <f>IF(ISBLANK('Data Entry'!$$79), "", 'Data Entry'!$$79)</f>
      </c>
      <c r="BZ79">
        <f>IF(ISBLANK('Data Entry'!$$79), "", 'Data Entry'!$$79)</f>
      </c>
      <c r="CA79">
        <f>IF(ISBLANK('Data Entry'!$$79), "", 'Data Entry'!$$79)</f>
      </c>
      <c r="CB79">
        <f>IF(ISBLANK('Data Entry'!$$79), "", 'Data Entry'!$$79)</f>
      </c>
      <c r="CC79">
        <f>IF(ISBLANK('Data Entry'!$$79), "", 'Data Entry'!$$79)</f>
      </c>
      <c r="CD79">
        <f>IF(ISBLANK('Data Entry'!$$79), "", 'Data Entry'!$$79)</f>
      </c>
      <c r="CE79">
        <f>IF(ISBLANK('Data Entry'!$$79), "", 'Data Entry'!$$79)</f>
      </c>
      <c r="CF79">
        <f>IF(ISBLANK('Data Entry'!$$79), "", 'Data Entry'!$$79)</f>
      </c>
      <c r="CG79">
        <f>IF(ISBLANK('Data Entry'!$$79), "", 'Data Entry'!$$79)</f>
      </c>
      <c r="CH79">
        <f>IF(ISBLANK('Data Entry'!$$79), "", 'Data Entry'!$$79)</f>
      </c>
      <c r="CI79">
        <f>IF(ISBLANK('Data Entry'!$$79), "", 'Data Entry'!$$79)</f>
      </c>
      <c r="CJ79">
        <f>IF(ISBLANK('Data Entry'!$$79), "", 'Data Entry'!$$79)</f>
      </c>
      <c r="CK79">
        <f>IF(ISBLANK('Data Entry'!$$79), "", 'Data Entry'!$$79)</f>
      </c>
      <c r="CL79">
        <f>IF(ISBLANK('Data Entry'!$$79), "", 'Data Entry'!$$79)</f>
      </c>
      <c r="CM79">
        <f>IF(ISBLANK('Data Entry'!$$79), "", 'Data Entry'!$$79)</f>
      </c>
      <c r="CN79">
        <f>IF(ISBLANK('Data Entry'!$$79), "", 'Data Entry'!$$79)</f>
      </c>
      <c r="CO79">
        <f>IF(ISBLANK('Data Entry'!$$79), "", 'Data Entry'!$$79)</f>
      </c>
      <c r="CP79">
        <f>IF(ISBLANK('Data Entry'!$$79), "", 'Data Entry'!$$79)</f>
      </c>
      <c r="CQ79">
        <f>IF(ISBLANK('Data Entry'!$$79), "", 'Data Entry'!$$79)</f>
      </c>
      <c r="CR79">
        <f>IF(ISBLANK('Data Entry'!$ $79), "", 'Data Entry'!$ $79)</f>
      </c>
      <c r="CS79">
        <f>IF(ISBLANK('Data Entry'!$¡$79), "", 'Data Entry'!$¡$79)</f>
      </c>
      <c r="CT79">
        <f>IF(ISBLANK('Data Entry'!$¢$79), "", 'Data Entry'!$¢$79)</f>
      </c>
      <c r="CU79">
        <f>IF(ISBLANK('Data Entry'!$£$79), "", 'Data Entry'!$£$79)</f>
      </c>
      <c r="CV79">
        <f>IF(ISBLANK('Data Entry'!$¤$79), "", 'Data Entry'!$¤$79)</f>
      </c>
      <c r="CW79">
        <f>IF(ISBLANK('Data Entry'!$¥$79), "", 'Data Entry'!$¥$79)</f>
      </c>
      <c r="CX79">
        <f>IF(ISBLANK('Data Entry'!$¦$79), "", 'Data Entry'!$¦$79)</f>
      </c>
      <c r="CY79">
        <f>IF(ISBLANK('Data Entry'!$§$79), "", 'Data Entry'!$§$79)</f>
      </c>
      <c r="CZ79">
        <f>IF(ISBLANK('Data Entry'!$¨$79), "", 'Data Entry'!$¨$79)</f>
      </c>
      <c r="DA79">
        <f>IF(ISBLANK('Data Entry'!$©$79), "", 'Data Entry'!$©$79)</f>
      </c>
      <c r="DB79">
        <f>IF(ISBLANK('Data Entry'!$ª$79), "", 'Data Entry'!$ª$79)</f>
      </c>
      <c r="DC79">
        <f>IF(ISBLANK('Data Entry'!$«$79), "", 'Data Entry'!$«$79)</f>
      </c>
      <c r="DD79">
        <f>IF(ISBLANK('Data Entry'!$¬$79), "", 'Data Entry'!$¬$79)</f>
      </c>
      <c r="DE79">
        <f>IF(ISBLANK('Data Entry'!$­$79), "", 'Data Entry'!$­$79)</f>
      </c>
      <c r="DF79">
        <f>IF(ISBLANK('Data Entry'!$®$79), "", 'Data Entry'!$®$79)</f>
      </c>
      <c r="DG79">
        <f>IF(ISBLANK('Data Entry'!$¯$79), "", 'Data Entry'!$¯$79)</f>
      </c>
      <c r="DH79">
        <f>IF(ISBLANK('Data Entry'!$°$79), "", 'Data Entry'!$°$79)</f>
      </c>
      <c r="DI79">
        <f>IF(ISBLANK('Data Entry'!$±$79), "", 'Data Entry'!$±$79)</f>
      </c>
      <c r="DJ79">
        <f>IF(ISBLANK('Data Entry'!$²$79), "", 'Data Entry'!$²$79)</f>
      </c>
      <c r="DK79">
        <f>IF(ISBLANK('Data Entry'!$³$79), "", 'Data Entry'!$³$79)</f>
      </c>
      <c r="DL79">
        <f>IF(ISBLANK('Data Entry'!$´$79), "", 'Data Entry'!$´$79)</f>
      </c>
      <c r="DM79">
        <f>IF(ISBLANK('Data Entry'!$µ$79), "", 'Data Entry'!$µ$79)</f>
      </c>
      <c r="DN79">
        <f>IF(ISBLANK('Data Entry'!$¶$79), "", 'Data Entry'!$¶$79)</f>
      </c>
      <c r="DO79">
        <f>IF(ISBLANK('Data Entry'!$·$79), "", 'Data Entry'!$·$79)</f>
      </c>
      <c r="DP79">
        <f>IF(ISBLANK('Data Entry'!$¸$79), "", 'Data Entry'!$¸$79)</f>
      </c>
      <c r="DQ79">
        <f>IF(ISBLANK('Data Entry'!$¹$79), "", 'Data Entry'!$¹$79)</f>
      </c>
      <c r="DR79">
        <f>IF(ISBLANK('Data Entry'!$º$79), "", 'Data Entry'!$º$79)</f>
      </c>
      <c r="DS79">
        <f>IF(ISBLANK('Data Entry'!$»$79), "", 'Data Entry'!$»$79)</f>
      </c>
      <c r="DT79">
        <f>IF(ISBLANK('Data Entry'!$¼$79), "", 'Data Entry'!$¼$79)</f>
      </c>
      <c r="DU79">
        <f>IF(ISBLANK('Data Entry'!$½$79), "", 'Data Entry'!$½$79)</f>
      </c>
      <c r="DV79">
        <f>IF(ISBLANK('Data Entry'!$¾$79), "", 'Data Entry'!$¾$79)</f>
      </c>
      <c r="DW79">
        <f>IF(ISBLANK('Data Entry'!$¿$79), "", 'Data Entry'!$¿$79)</f>
      </c>
      <c r="DX79">
        <f>IF(ISBLANK('Data Entry'!$À$79), "", 'Data Entry'!$À$79)</f>
      </c>
      <c r="DY79">
        <f>IF(ISBLANK('Data Entry'!$Á$79), "", 'Data Entry'!$Á$79)</f>
      </c>
      <c r="DZ79">
        <f>IF(ISBLANK('Data Entry'!$Â$79), "", 'Data Entry'!$Â$79)</f>
      </c>
      <c r="EA79">
        <f>IF(ISBLANK('Data Entry'!$Ã$79), "", 'Data Entry'!$Ã$79)</f>
      </c>
      <c r="EB79">
        <f>IF(ISBLANK('Data Entry'!$Ä$79), "", 'Data Entry'!$Ä$79)</f>
      </c>
      <c r="EC79">
        <f>IF(ISBLANK('Data Entry'!$Å$79), "", 'Data Entry'!$Å$79)</f>
      </c>
      <c r="ED79">
        <f>IF(ISBLANK('Data Entry'!$Æ$79), "", 'Data Entry'!$Æ$79)</f>
      </c>
      <c r="EE79">
        <f>IF(ISBLANK('Data Entry'!$Ç$79), "", 'Data Entry'!$Ç$79)</f>
      </c>
      <c r="EF79">
        <f>IF(ISBLANK('Data Entry'!$È$79), "", 'Data Entry'!$È$79)</f>
      </c>
      <c r="EG79">
        <f>IF(ISBLANK('Data Entry'!$É$79), "", 'Data Entry'!$É$79)</f>
      </c>
      <c r="EH79">
        <f>IF(ISBLANK('Data Entry'!$Ê$79), "", 'Data Entry'!$Ê$79)</f>
      </c>
      <c r="EI79">
        <f>IF(ISBLANK('Data Entry'!$Ë$79), "", 'Data Entry'!$Ë$79)</f>
      </c>
      <c r="EJ79">
        <f>IF(ISBLANK('Data Entry'!$Ì$79), "", 'Data Entry'!$Ì$79)</f>
      </c>
      <c r="EK79">
        <f>IF(ISBLANK('Data Entry'!$Í$79), "", 'Data Entry'!$Í$79)</f>
      </c>
      <c r="EL79">
        <f>IF(ISBLANK('Data Entry'!$Î$79), "", 'Data Entry'!$Î$79)</f>
      </c>
      <c r="EM79">
        <f>IF(ISBLANK('Data Entry'!$Ï$79), "", 'Data Entry'!$Ï$79)</f>
      </c>
      <c r="EN79">
        <f>IF(ISBLANK('Data Entry'!$Ð$79), "", 'Data Entry'!$Ð$79)</f>
      </c>
      <c r="EO79">
        <f>IF(ISBLANK('Data Entry'!$Ñ$79), "", 'Data Entry'!$Ñ$79)</f>
      </c>
      <c r="EP79">
        <f>IF(ISBLANK('Data Entry'!$Ò$79), "", 'Data Entry'!$Ò$79)</f>
      </c>
      <c r="EQ79">
        <f>IF(ISBLANK('Data Entry'!$Ó$79), "", 'Data Entry'!$Ó$79)</f>
      </c>
      <c r="ER79">
        <f>IF(ISBLANK('Data Entry'!$Ô$79), "", 'Data Entry'!$Ô$79)</f>
      </c>
      <c r="ES79">
        <f>IF(ISBLANK('Data Entry'!$Õ$79), "", 'Data Entry'!$Õ$79)</f>
      </c>
      <c r="ET79">
        <f>IF(ISBLANK('Data Entry'!$Ö$79), "", 'Data Entry'!$Ö$79)</f>
      </c>
      <c r="EU79">
        <f>IF(ISBLANK('Data Entry'!$×$79), "", 'Data Entry'!$×$79)</f>
      </c>
      <c r="EV79">
        <f>IF(ISBLANK('Data Entry'!$Ø$79), "", 'Data Entry'!$Ø$79)</f>
      </c>
      <c r="EW79">
        <f>IF(ISBLANK('Data Entry'!$Ù$79), "", 'Data Entry'!$Ù$79)</f>
      </c>
      <c r="EX79">
        <f>IF(ISBLANK('Data Entry'!$Ú$79), "", 'Data Entry'!$Ú$79)</f>
      </c>
      <c r="EY79">
        <f>IF(ISBLANK('Data Entry'!$Û$79), "", 'Data Entry'!$Û$79)</f>
      </c>
      <c r="EZ79">
        <f>IF(ISBLANK('Data Entry'!$Ü$79), "", 'Data Entry'!$Ü$79)</f>
      </c>
      <c r="FA79">
        <f>IF(ISBLANK('Data Entry'!$Ý$79), "", 'Data Entry'!$Ý$79)</f>
      </c>
      <c r="FB79">
        <f>IF(ISBLANK('Data Entry'!$Þ$79), "", 'Data Entry'!$Þ$79)</f>
      </c>
      <c r="FC79">
        <f>IF(ISBLANK('Data Entry'!$ß$79), "", 'Data Entry'!$ß$79)</f>
      </c>
      <c r="FD79">
        <f>IF(ISBLANK('Data Entry'!$à$79), "", 'Data Entry'!$à$79)</f>
      </c>
      <c r="FE79">
        <f>IF(ISBLANK('Data Entry'!$á$79), "", 'Data Entry'!$á$79)</f>
      </c>
      <c r="FF79">
        <f>IF(ISBLANK('Data Entry'!$â$79), "", 'Data Entry'!$â$79)</f>
      </c>
      <c r="FG79">
        <f>IF(ISBLANK('Data Entry'!$ã$79), "", 'Data Entry'!$ã$79)</f>
      </c>
      <c r="FH79">
        <f>IF(ISBLANK('Data Entry'!$ä$79), "", 'Data Entry'!$ä$79)</f>
      </c>
      <c r="FI79">
        <f>IF(ISBLANK('Data Entry'!$å$79), "", 'Data Entry'!$å$79)</f>
      </c>
      <c r="FJ79">
        <f>IF(ISBLANK('Data Entry'!$æ$79), "", 'Data Entry'!$æ$79)</f>
      </c>
      <c r="FK79">
        <f>IF(ISBLANK('Data Entry'!$ç$79), "", 'Data Entry'!$ç$79)</f>
      </c>
      <c r="FL79">
        <f>IF(ISBLANK('Data Entry'!$è$79), "", 'Data Entry'!$è$79)</f>
      </c>
      <c r="FM79">
        <f>IF(ISBLANK('Data Entry'!$é$79), "", 'Data Entry'!$é$79)</f>
      </c>
      <c r="FN79">
        <f>IF(ISBLANK('Data Entry'!$ê$79), "", 'Data Entry'!$ê$79)</f>
      </c>
      <c r="FO79">
        <f>IF(ISBLANK('Data Entry'!$ë$79), "", 'Data Entry'!$ë$79)</f>
      </c>
      <c r="FP79">
        <f>IF(ISBLANK('Data Entry'!$ì$79), "", 'Data Entry'!$ì$79)</f>
      </c>
      <c r="FQ79">
        <f>IF(ISBLANK('Data Entry'!$í$79), "", 'Data Entry'!$í$79)</f>
      </c>
      <c r="FR79">
        <f>IF(ISBLANK('Data Entry'!$î$79), "", 'Data Entry'!$î$79)</f>
      </c>
      <c r="FS79">
        <f>IF(ISBLANK('Data Entry'!$ï$79), "", 'Data Entry'!$ï$79)</f>
      </c>
      <c r="FT79">
        <f>IF(ISBLANK('Data Entry'!$ð$79), "", 'Data Entry'!$ð$79)</f>
      </c>
      <c r="FU79">
        <f>IF(ISBLANK('Data Entry'!$ñ$79), "", 'Data Entry'!$ñ$79)</f>
      </c>
      <c r="FV79">
        <f>IF(ISBLANK('Data Entry'!$ò$79), "", 'Data Entry'!$ò$79)</f>
      </c>
      <c r="FW79">
        <f>IF(ISBLANK('Data Entry'!$ó$79), "", 'Data Entry'!$ó$79)</f>
      </c>
      <c r="FX79">
        <f>IF(ISBLANK('Data Entry'!$ô$79), "", 'Data Entry'!$ô$79)</f>
      </c>
      <c r="FY79">
        <f>IF(ISBLANK('Data Entry'!$õ$79), "", 'Data Entry'!$õ$79)</f>
      </c>
      <c r="FZ79">
        <f>IF(ISBLANK('Data Entry'!$ö$79), "", 'Data Entry'!$ö$79)</f>
      </c>
      <c r="GA79">
        <f>IF(ISBLANK('Data Entry'!$÷$79), "", 'Data Entry'!$÷$79)</f>
      </c>
      <c r="GB79">
        <f>IF(ISBLANK('Data Entry'!$ø$79), "", 'Data Entry'!$ø$79)</f>
      </c>
      <c r="GC79">
        <f>IF(ISBLANK('Data Entry'!$ù$79), "", 'Data Entry'!$ù$79)</f>
      </c>
      <c r="GD79">
        <f>IF(ISBLANK('Data Entry'!$ú$79), "", 'Data Entry'!$ú$79)</f>
      </c>
      <c r="GE79">
        <f>IF(ISBLANK('Data Entry'!$û$79), "", 'Data Entry'!$û$79)</f>
      </c>
      <c r="GF79">
        <f>IF(ISBLANK('Data Entry'!$ü$79), "", 'Data Entry'!$ü$79)</f>
      </c>
      <c r="GG79">
        <f>IF(ISBLANK('Data Entry'!$ý$79), "", 'Data Entry'!$ý$79)</f>
      </c>
      <c r="GH79">
        <f>IF(ISBLANK('Data Entry'!$þ$79), "", 'Data Entry'!$þ$79)</f>
      </c>
      <c r="GI79">
        <f>IF(ISBLANK('Data Entry'!$ÿ$79), "", 'Data Entry'!$ÿ$79)</f>
      </c>
      <c r="GJ79">
        <f>IF(ISBLANK('Data Entry'!$Ā$79), "", 'Data Entry'!$Ā$79)</f>
      </c>
      <c r="GK79">
        <f>IF(ISBLANK('Data Entry'!$ā$79), "", 'Data Entry'!$ā$79)</f>
      </c>
      <c r="GL79">
        <f>IF(ISBLANK('Data Entry'!$Ă$79), "", 'Data Entry'!$Ă$79)</f>
      </c>
      <c r="GM79">
        <f>IF(ISBLANK('Data Entry'!$ă$79), "", 'Data Entry'!$ă$79)</f>
      </c>
      <c r="GN79">
        <f>IF(ISBLANK('Data Entry'!$Ą$79), "", 'Data Entry'!$Ą$79)</f>
      </c>
      <c r="GO79">
        <f>IF(ISBLANK('Data Entry'!$ą$79), "", 'Data Entry'!$ą$79)</f>
      </c>
      <c r="GP79">
        <f>IF(ISBLANK('Data Entry'!$Ć$79), "", 'Data Entry'!$Ć$79)</f>
      </c>
      <c r="GQ79">
        <f>IF(ISBLANK('Data Entry'!$ć$79), "", 'Data Entry'!$ć$79)</f>
      </c>
      <c r="GR79">
        <f>IF(ISBLANK('Data Entry'!$Ĉ$79), "", 'Data Entry'!$Ĉ$79)</f>
      </c>
      <c r="GS79">
        <f>IF(ISBLANK('Data Entry'!$ĉ$79), "", 'Data Entry'!$ĉ$79)</f>
      </c>
      <c r="GT79">
        <f>IF(ISBLANK('Data Entry'!$Ċ$79), "", 'Data Entry'!$Ċ$79)</f>
      </c>
      <c r="GU79">
        <f>IF(ISBLANK('Data Entry'!$ċ$79), "", 'Data Entry'!$ċ$79)</f>
      </c>
      <c r="GV79">
        <f>IF(ISBLANK('Data Entry'!$Č$79), "", 'Data Entry'!$Č$79)</f>
      </c>
      <c r="GW79">
        <f>IF(ISBLANK('Data Entry'!$č$79), "", 'Data Entry'!$č$79)</f>
      </c>
      <c r="GX79">
        <f>IF(ISBLANK('Data Entry'!$Ď$79), "", 'Data Entry'!$Ď$79)</f>
      </c>
      <c r="GY79">
        <f>IF(ISBLANK('Data Entry'!$ď$79), "", 'Data Entry'!$ď$79)</f>
      </c>
      <c r="GZ79">
        <f>IF(ISBLANK('Data Entry'!$Đ$79), "", 'Data Entry'!$Đ$79)</f>
      </c>
      <c r="HA79">
        <f>IF(ISBLANK('Data Entry'!$đ$79), "", 'Data Entry'!$đ$79)</f>
      </c>
      <c r="HB79">
        <f>IF(ISBLANK('Data Entry'!$Ē$79), "", 'Data Entry'!$Ē$79)</f>
      </c>
      <c r="HC79">
        <f>IF(ISBLANK('Data Entry'!$ē$79), "", 'Data Entry'!$ē$79)</f>
      </c>
      <c r="HD79">
        <f>IF(ISBLANK('Data Entry'!$Ĕ$79), "", 'Data Entry'!$Ĕ$79)</f>
      </c>
      <c r="HE79">
        <f>IF(ISBLANK('Data Entry'!$ĕ$79), "", 'Data Entry'!$ĕ$79)</f>
      </c>
      <c r="HF79">
        <f>IF(ISBLANK('Data Entry'!$Ė$79), "", 'Data Entry'!$Ė$79)</f>
      </c>
      <c r="HG79">
        <f>IF(ISBLANK('Data Entry'!$ė$79), "", 'Data Entry'!$ė$79)</f>
      </c>
      <c r="HH79">
        <f>IF(ISBLANK('Data Entry'!$Ę$79), "", 'Data Entry'!$Ę$79)</f>
      </c>
      <c r="HI79">
        <f>IF(ISBLANK('Data Entry'!$ę$79), "", 'Data Entry'!$ę$79)</f>
      </c>
      <c r="HJ79">
        <f>IF(ISBLANK('Data Entry'!$Ě$79), "", 'Data Entry'!$Ě$79)</f>
      </c>
      <c r="HK79">
        <f>IF(ISBLANK('Data Entry'!$ě$79), "", 'Data Entry'!$ě$79)</f>
      </c>
      <c r="HL79">
        <f>IF(ISBLANK('Data Entry'!$Ĝ$79), "", 'Data Entry'!$Ĝ$79)</f>
      </c>
      <c r="HM79">
        <f>IF(ISBLANK('Data Entry'!$ĝ$79), "", 'Data Entry'!$ĝ$79)</f>
      </c>
      <c r="HN79">
        <f>IF(ISBLANK('Data Entry'!$Ğ$79), "", 'Data Entry'!$Ğ$79)</f>
      </c>
      <c r="HO79">
        <f>IF(ISBLANK('Data Entry'!$ğ$79), "", 'Data Entry'!$ğ$79)</f>
      </c>
      <c r="HP79">
        <f>IF(ISBLANK('Data Entry'!$Ġ$79), "", 'Data Entry'!$Ġ$79)</f>
      </c>
      <c r="HQ79">
        <f>IF(ISBLANK('Data Entry'!$ġ$79), "", 'Data Entry'!$ġ$79)</f>
      </c>
      <c r="HR79">
        <f>IF(ISBLANK('Data Entry'!$Ģ$79), "", 'Data Entry'!$Ģ$79)</f>
      </c>
      <c r="HS79">
        <f>IF(ISBLANK('Data Entry'!$ģ$79), "", 'Data Entry'!$ģ$79)</f>
      </c>
      <c r="HT79">
        <f>IF(ISBLANK('Data Entry'!$Ĥ$79), "", 'Data Entry'!$Ĥ$79)</f>
      </c>
      <c r="HU79">
        <f>IF(ISBLANK('Data Entry'!$ĥ$79), "", 'Data Entry'!$ĥ$79)</f>
      </c>
      <c r="HV79">
        <f>IF(ISBLANK('Data Entry'!$Ħ$79), "", 'Data Entry'!$Ħ$79)</f>
      </c>
      <c r="HW79">
        <f>IF(ISBLANK('Data Entry'!$ħ$79), "", 'Data Entry'!$ħ$79)</f>
      </c>
      <c r="HX79">
        <f>IF(ISBLANK('Data Entry'!$Ĩ$79), "", 'Data Entry'!$Ĩ$79)</f>
      </c>
      <c r="HY79">
        <f>IF(ISBLANK('Data Entry'!$ĩ$79), "", 'Data Entry'!$ĩ$79)</f>
      </c>
      <c r="HZ79">
        <f>IF(ISBLANK('Data Entry'!$Ī$79), "", 'Data Entry'!$Ī$79)</f>
      </c>
      <c r="IA79">
        <f>IF(ISBLANK('Data Entry'!$ī$79), "", 'Data Entry'!$ī$79)</f>
      </c>
      <c r="IB79">
        <f>IF(ISBLANK('Data Entry'!$Ĭ$79), "", 'Data Entry'!$Ĭ$79)</f>
      </c>
      <c r="IC79">
        <f>IF(ISBLANK('Data Entry'!$ĭ$79), "", 'Data Entry'!$ĭ$79)</f>
      </c>
      <c r="ID79">
        <f>IF(ISBLANK('Data Entry'!$Į$79), "", 'Data Entry'!$Į$79)</f>
      </c>
      <c r="IE79">
        <f>IF(ISBLANK('Data Entry'!$į$79), "", 'Data Entry'!$į$79)</f>
      </c>
      <c r="IF79">
        <f>IF(ISBLANK('Data Entry'!$İ$79), "", 'Data Entry'!$İ$79)</f>
      </c>
      <c r="IG79">
        <f>IF(ISBLANK('Data Entry'!$ı$79), "", 'Data Entry'!$ı$79)</f>
      </c>
      <c r="IH79">
        <f>IF(ISBLANK('Data Entry'!$Ĳ$79), "", 'Data Entry'!$Ĳ$79)</f>
      </c>
      <c r="II79">
        <f>IF(ISBLANK('Data Entry'!$ĳ$79), "", 'Data Entry'!$ĳ$79)</f>
      </c>
      <c r="IJ79">
        <f>IF(ISBLANK('Data Entry'!$Ĵ$79), "", 'Data Entry'!$Ĵ$79)</f>
      </c>
      <c r="IK79">
        <f>IF(ISBLANK('Data Entry'!$ĵ$79), "", 'Data Entry'!$ĵ$79)</f>
      </c>
      <c r="IL79">
        <f>IF(ISBLANK('Data Entry'!$Ķ$79), "", 'Data Entry'!$Ķ$79)</f>
      </c>
      <c r="IM79">
        <f>IF(ISBLANK('Data Entry'!$ķ$79), "", 'Data Entry'!$ķ$79)</f>
      </c>
      <c r="IN79">
        <f>IF(ISBLANK('Data Entry'!$ĸ$79), "", 'Data Entry'!$ĸ$79)</f>
      </c>
      <c r="IO79">
        <f>IF(ISBLANK('Data Entry'!$Ĺ$79), "", 'Data Entry'!$Ĺ$79)</f>
      </c>
      <c r="IP79">
        <f>IF(ISBLANK('Data Entry'!$ĺ$79), "", 'Data Entry'!$ĺ$79)</f>
      </c>
      <c r="IQ79">
        <f>IF(ISBLANK('Data Entry'!$Ļ$79), "", 'Data Entry'!$Ļ$79)</f>
      </c>
      <c r="IR79">
        <f>IF(ISBLANK('Data Entry'!$ļ$79), "", 'Data Entry'!$ļ$79)</f>
      </c>
      <c r="IS79">
        <f>IF(ISBLANK('Data Entry'!$Ľ$79), "", 'Data Entry'!$Ľ$79)</f>
      </c>
      <c r="IT79">
        <f>IF(ISBLANK('Data Entry'!$ľ$79), "", 'Data Entry'!$ľ$79)</f>
      </c>
    </row>
    <row r="80" spans="1:254" x14ac:dyDescent="0.25">
      <c r="A80">
        <f>IF(ISBLANK('Data Entry'!$A$80), "", 'Data Entry'!$A$80)</f>
      </c>
      <c r="B80">
        <f>IF(ISBLANK('Data Entry'!$B$80), "", 'Data Entry'!$B$80)</f>
      </c>
      <c r="C80">
        <f>IF(ISBLANK('Data Entry'!$C$80), "", 'Data Entry'!$C$80)</f>
      </c>
      <c r="D80">
        <f>IF(ISBLANK('Data Entry'!$D$80), "", 'Data Entry'!$D$80)</f>
      </c>
      <c r="E80">
        <f>IF(ISBLANK('Data Entry'!$E$80), "", 'Data Entry'!$E$80)</f>
      </c>
      <c r="F80">
        <f>IF(ISBLANK('Data Entry'!$F$80), "", 'Data Entry'!$F$80)</f>
      </c>
      <c r="G80">
        <f>IF(ISBLANK('Data Entry'!$G$80), "", 'Data Entry'!$G$80)</f>
      </c>
      <c r="H80">
        <f>IF(ISBLANK('Data Entry'!$H$80), "", 'Data Entry'!$H$80)</f>
      </c>
      <c r="I80">
        <f>IF(ISBLANK('Data Entry'!$I$80), "", 'Data Entry'!$I$80)</f>
      </c>
      <c r="J80">
        <f>IF(ISBLANK('Data Entry'!$J$80), "", 'Data Entry'!$J$80)</f>
      </c>
      <c r="K80">
        <f>IF(ISBLANK('Data Entry'!$K$80), "", 'Data Entry'!$K$80)</f>
      </c>
      <c r="L80">
        <f>IF(ISBLANK('Data Entry'!$L$80), "", 'Data Entry'!$L$80)</f>
      </c>
      <c r="M80">
        <f>IF(ISBLANK('Data Entry'!$M$80), "", 'Data Entry'!$M$80)</f>
      </c>
      <c r="N80">
        <f>IF(ISBLANK('Data Entry'!$N$80), "", 'Data Entry'!$N$80)</f>
      </c>
      <c r="O80">
        <f>IF(ISBLANK('Data Entry'!$O$80), "", 'Data Entry'!$O$80)</f>
      </c>
      <c r="P80">
        <f>IF(ISBLANK('Data Entry'!$P$80), "", 'Data Entry'!$P$80)</f>
      </c>
      <c r="Q80">
        <f>IF(ISBLANK('Data Entry'!$Q$80), "", 'Data Entry'!$Q$80)</f>
      </c>
      <c r="R80">
        <f>IF(ISBLANK('Data Entry'!$R$80), "", 'Data Entry'!$R$80)</f>
      </c>
      <c r="S80">
        <f>IF(ISBLANK('Data Entry'!$S$80), "", 'Data Entry'!$S$80)</f>
      </c>
      <c r="T80">
        <f>IF(ISBLANK('Data Entry'!$T$80), "", 'Data Entry'!$T$80)</f>
      </c>
      <c r="U80">
        <f>IF(ISBLANK('Data Entry'!$U$80), "", 'Data Entry'!$U$80)</f>
      </c>
      <c r="V80">
        <f>IF(ISBLANK('Data Entry'!$V$80), "", 'Data Entry'!$V$80)</f>
      </c>
      <c r="W80">
        <f>IF(ISBLANK('Data Entry'!$W$80), "", 'Data Entry'!$W$80)</f>
      </c>
      <c r="X80">
        <f>IF(ISBLANK('Data Entry'!$X$80), "", 'Data Entry'!$X$80)</f>
      </c>
      <c r="Y80">
        <f>IF(ISBLANK('Data Entry'!$Y$80), "", 'Data Entry'!$Y$80)</f>
      </c>
      <c r="Z80">
        <f>IF(ISBLANK('Data Entry'!$Z$80), "", 'Data Entry'!$Z$80)</f>
      </c>
      <c r="AA80">
        <f>IF(ISBLANK('Data Entry'!$[$80), "", 'Data Entry'!$[$80)</f>
      </c>
      <c r="AB80">
        <f>IF(ISBLANK('Data Entry'!$\$80), "", 'Data Entry'!$\$80)</f>
      </c>
      <c r="AC80">
        <f>IF(ISBLANK('Data Entry'!$]$80), "", 'Data Entry'!$]$80)</f>
      </c>
      <c r="AD80">
        <f>IF(ISBLANK('Data Entry'!$^$80), "", 'Data Entry'!$^$80)</f>
      </c>
      <c r="AE80">
        <f>IF(ISBLANK('Data Entry'!$_$80), "", 'Data Entry'!$_$80)</f>
      </c>
      <c r="AF80">
        <f>IF(ISBLANK('Data Entry'!$`$80), "", 'Data Entry'!$`$80)</f>
      </c>
      <c r="AG80">
        <f>IF(ISBLANK('Data Entry'!$a$80), "", 'Data Entry'!$a$80)</f>
      </c>
      <c r="AH80">
        <f>IF(ISBLANK('Data Entry'!$b$80), "", 'Data Entry'!$b$80)</f>
      </c>
      <c r="AI80">
        <f>IF(ISBLANK('Data Entry'!$c$80), "", 'Data Entry'!$c$80)</f>
      </c>
      <c r="AJ80">
        <f>IF(ISBLANK('Data Entry'!$d$80), "", 'Data Entry'!$d$80)</f>
      </c>
      <c r="AK80">
        <f>IF(ISBLANK('Data Entry'!$e$80), "", 'Data Entry'!$e$80)</f>
      </c>
      <c r="AL80">
        <f>IF(ISBLANK('Data Entry'!$f$80), "", 'Data Entry'!$f$80)</f>
      </c>
      <c r="AM80">
        <f>IF(ISBLANK('Data Entry'!$g$80), "", 'Data Entry'!$g$80)</f>
      </c>
      <c r="AN80">
        <f>IF(ISBLANK('Data Entry'!$h$80), "", 'Data Entry'!$h$80)</f>
      </c>
      <c r="AO80">
        <f>IF(ISBLANK('Data Entry'!$i$80), "", 'Data Entry'!$i$80)</f>
      </c>
      <c r="AP80">
        <f>IF(ISBLANK('Data Entry'!$j$80), "", 'Data Entry'!$j$80)</f>
      </c>
      <c r="AQ80">
        <f>IF(ISBLANK('Data Entry'!$k$80), "", 'Data Entry'!$k$80)</f>
      </c>
      <c r="AR80">
        <f>IF(ISBLANK('Data Entry'!$l$80), "", 'Data Entry'!$l$80)</f>
      </c>
      <c r="AS80">
        <f>IF(ISBLANK('Data Entry'!$m$80), "", 'Data Entry'!$m$80)</f>
      </c>
      <c r="AT80">
        <f>IF(ISBLANK('Data Entry'!$n$80), "", 'Data Entry'!$n$80)</f>
      </c>
      <c r="AU80">
        <f>IF(ISBLANK('Data Entry'!$o$80), "", 'Data Entry'!$o$80)</f>
      </c>
      <c r="AV80">
        <f>IF(ISBLANK('Data Entry'!$p$80), "", 'Data Entry'!$p$80)</f>
      </c>
      <c r="AW80">
        <f>IF(ISBLANK('Data Entry'!$q$80), "", 'Data Entry'!$q$80)</f>
      </c>
      <c r="AX80">
        <f>IF(ISBLANK('Data Entry'!$r$80), "", 'Data Entry'!$r$80)</f>
      </c>
      <c r="AY80">
        <f>IF(ISBLANK('Data Entry'!$s$80), "", 'Data Entry'!$s$80)</f>
      </c>
      <c r="AZ80">
        <f>IF(ISBLANK('Data Entry'!$t$80), "", 'Data Entry'!$t$80)</f>
      </c>
      <c r="BA80">
        <f>IF(ISBLANK('Data Entry'!$u$80), "", 'Data Entry'!$u$80)</f>
      </c>
      <c r="BB80">
        <f>IF(ISBLANK('Data Entry'!$v$80), "", 'Data Entry'!$v$80)</f>
      </c>
      <c r="BC80">
        <f>IF(ISBLANK('Data Entry'!$w$80), "", 'Data Entry'!$w$80)</f>
      </c>
      <c r="BD80">
        <f>IF(ISBLANK('Data Entry'!$x$80), "", 'Data Entry'!$x$80)</f>
      </c>
      <c r="BE80">
        <f>IF(ISBLANK('Data Entry'!$y$80), "", 'Data Entry'!$y$80)</f>
      </c>
      <c r="BF80">
        <f>IF(ISBLANK('Data Entry'!$z$80), "", 'Data Entry'!$z$80)</f>
      </c>
      <c r="BG80">
        <f>IF(ISBLANK('Data Entry'!${$80), "", 'Data Entry'!${$80)</f>
      </c>
      <c r="BH80">
        <f>IF(ISBLANK('Data Entry'!$|$80), "", 'Data Entry'!$|$80)</f>
      </c>
      <c r="BI80">
        <f>IF(ISBLANK('Data Entry'!$}$80), "", 'Data Entry'!$}$80)</f>
      </c>
      <c r="BJ80">
        <f>IF(ISBLANK('Data Entry'!$~$80), "", 'Data Entry'!$~$80)</f>
      </c>
      <c r="BK80">
        <f>IF(ISBLANK('Data Entry'!$$80), "", 'Data Entry'!$$80)</f>
      </c>
      <c r="BL80">
        <f>IF(ISBLANK('Data Entry'!$$80), "", 'Data Entry'!$$80)</f>
      </c>
      <c r="BM80">
        <f>IF(ISBLANK('Data Entry'!$$80), "", 'Data Entry'!$$80)</f>
      </c>
      <c r="BN80">
        <f>IF(ISBLANK('Data Entry'!$$80), "", 'Data Entry'!$$80)</f>
      </c>
      <c r="BO80">
        <f>IF(ISBLANK('Data Entry'!$$80), "", 'Data Entry'!$$80)</f>
      </c>
      <c r="BP80">
        <f>IF(ISBLANK('Data Entry'!$$80), "", 'Data Entry'!$$80)</f>
      </c>
      <c r="BQ80">
        <f>IF(ISBLANK('Data Entry'!$$80), "", 'Data Entry'!$$80)</f>
      </c>
      <c r="BR80">
        <f>IF(ISBLANK('Data Entry'!$$80), "", 'Data Entry'!$$80)</f>
      </c>
      <c r="BS80">
        <f>IF(ISBLANK('Data Entry'!$$80), "", 'Data Entry'!$$80)</f>
      </c>
      <c r="BT80">
        <f>IF(ISBLANK('Data Entry'!$$80), "", 'Data Entry'!$$80)</f>
      </c>
      <c r="BU80">
        <f>IF(ISBLANK('Data Entry'!$$80), "", 'Data Entry'!$$80)</f>
      </c>
      <c r="BV80">
        <f>IF(ISBLANK('Data Entry'!$$80), "", 'Data Entry'!$$80)</f>
      </c>
      <c r="BW80">
        <f>IF(ISBLANK('Data Entry'!$$80), "", 'Data Entry'!$$80)</f>
      </c>
      <c r="BX80">
        <f>IF(ISBLANK('Data Entry'!$$80), "", 'Data Entry'!$$80)</f>
      </c>
      <c r="BY80">
        <f>IF(ISBLANK('Data Entry'!$$80), "", 'Data Entry'!$$80)</f>
      </c>
      <c r="BZ80">
        <f>IF(ISBLANK('Data Entry'!$$80), "", 'Data Entry'!$$80)</f>
      </c>
      <c r="CA80">
        <f>IF(ISBLANK('Data Entry'!$$80), "", 'Data Entry'!$$80)</f>
      </c>
      <c r="CB80">
        <f>IF(ISBLANK('Data Entry'!$$80), "", 'Data Entry'!$$80)</f>
      </c>
      <c r="CC80">
        <f>IF(ISBLANK('Data Entry'!$$80), "", 'Data Entry'!$$80)</f>
      </c>
      <c r="CD80">
        <f>IF(ISBLANK('Data Entry'!$$80), "", 'Data Entry'!$$80)</f>
      </c>
      <c r="CE80">
        <f>IF(ISBLANK('Data Entry'!$$80), "", 'Data Entry'!$$80)</f>
      </c>
      <c r="CF80">
        <f>IF(ISBLANK('Data Entry'!$$80), "", 'Data Entry'!$$80)</f>
      </c>
      <c r="CG80">
        <f>IF(ISBLANK('Data Entry'!$$80), "", 'Data Entry'!$$80)</f>
      </c>
      <c r="CH80">
        <f>IF(ISBLANK('Data Entry'!$$80), "", 'Data Entry'!$$80)</f>
      </c>
      <c r="CI80">
        <f>IF(ISBLANK('Data Entry'!$$80), "", 'Data Entry'!$$80)</f>
      </c>
      <c r="CJ80">
        <f>IF(ISBLANK('Data Entry'!$$80), "", 'Data Entry'!$$80)</f>
      </c>
      <c r="CK80">
        <f>IF(ISBLANK('Data Entry'!$$80), "", 'Data Entry'!$$80)</f>
      </c>
      <c r="CL80">
        <f>IF(ISBLANK('Data Entry'!$$80), "", 'Data Entry'!$$80)</f>
      </c>
      <c r="CM80">
        <f>IF(ISBLANK('Data Entry'!$$80), "", 'Data Entry'!$$80)</f>
      </c>
      <c r="CN80">
        <f>IF(ISBLANK('Data Entry'!$$80), "", 'Data Entry'!$$80)</f>
      </c>
      <c r="CO80">
        <f>IF(ISBLANK('Data Entry'!$$80), "", 'Data Entry'!$$80)</f>
      </c>
      <c r="CP80">
        <f>IF(ISBLANK('Data Entry'!$$80), "", 'Data Entry'!$$80)</f>
      </c>
      <c r="CQ80">
        <f>IF(ISBLANK('Data Entry'!$$80), "", 'Data Entry'!$$80)</f>
      </c>
      <c r="CR80">
        <f>IF(ISBLANK('Data Entry'!$ $80), "", 'Data Entry'!$ $80)</f>
      </c>
      <c r="CS80">
        <f>IF(ISBLANK('Data Entry'!$¡$80), "", 'Data Entry'!$¡$80)</f>
      </c>
      <c r="CT80">
        <f>IF(ISBLANK('Data Entry'!$¢$80), "", 'Data Entry'!$¢$80)</f>
      </c>
      <c r="CU80">
        <f>IF(ISBLANK('Data Entry'!$£$80), "", 'Data Entry'!$£$80)</f>
      </c>
      <c r="CV80">
        <f>IF(ISBLANK('Data Entry'!$¤$80), "", 'Data Entry'!$¤$80)</f>
      </c>
      <c r="CW80">
        <f>IF(ISBLANK('Data Entry'!$¥$80), "", 'Data Entry'!$¥$80)</f>
      </c>
      <c r="CX80">
        <f>IF(ISBLANK('Data Entry'!$¦$80), "", 'Data Entry'!$¦$80)</f>
      </c>
      <c r="CY80">
        <f>IF(ISBLANK('Data Entry'!$§$80), "", 'Data Entry'!$§$80)</f>
      </c>
      <c r="CZ80">
        <f>IF(ISBLANK('Data Entry'!$¨$80), "", 'Data Entry'!$¨$80)</f>
      </c>
      <c r="DA80">
        <f>IF(ISBLANK('Data Entry'!$©$80), "", 'Data Entry'!$©$80)</f>
      </c>
      <c r="DB80">
        <f>IF(ISBLANK('Data Entry'!$ª$80), "", 'Data Entry'!$ª$80)</f>
      </c>
      <c r="DC80">
        <f>IF(ISBLANK('Data Entry'!$«$80), "", 'Data Entry'!$«$80)</f>
      </c>
      <c r="DD80">
        <f>IF(ISBLANK('Data Entry'!$¬$80), "", 'Data Entry'!$¬$80)</f>
      </c>
      <c r="DE80">
        <f>IF(ISBLANK('Data Entry'!$­$80), "", 'Data Entry'!$­$80)</f>
      </c>
      <c r="DF80">
        <f>IF(ISBLANK('Data Entry'!$®$80), "", 'Data Entry'!$®$80)</f>
      </c>
      <c r="DG80">
        <f>IF(ISBLANK('Data Entry'!$¯$80), "", 'Data Entry'!$¯$80)</f>
      </c>
      <c r="DH80">
        <f>IF(ISBLANK('Data Entry'!$°$80), "", 'Data Entry'!$°$80)</f>
      </c>
      <c r="DI80">
        <f>IF(ISBLANK('Data Entry'!$±$80), "", 'Data Entry'!$±$80)</f>
      </c>
      <c r="DJ80">
        <f>IF(ISBLANK('Data Entry'!$²$80), "", 'Data Entry'!$²$80)</f>
      </c>
      <c r="DK80">
        <f>IF(ISBLANK('Data Entry'!$³$80), "", 'Data Entry'!$³$80)</f>
      </c>
      <c r="DL80">
        <f>IF(ISBLANK('Data Entry'!$´$80), "", 'Data Entry'!$´$80)</f>
      </c>
      <c r="DM80">
        <f>IF(ISBLANK('Data Entry'!$µ$80), "", 'Data Entry'!$µ$80)</f>
      </c>
      <c r="DN80">
        <f>IF(ISBLANK('Data Entry'!$¶$80), "", 'Data Entry'!$¶$80)</f>
      </c>
      <c r="DO80">
        <f>IF(ISBLANK('Data Entry'!$·$80), "", 'Data Entry'!$·$80)</f>
      </c>
      <c r="DP80">
        <f>IF(ISBLANK('Data Entry'!$¸$80), "", 'Data Entry'!$¸$80)</f>
      </c>
      <c r="DQ80">
        <f>IF(ISBLANK('Data Entry'!$¹$80), "", 'Data Entry'!$¹$80)</f>
      </c>
      <c r="DR80">
        <f>IF(ISBLANK('Data Entry'!$º$80), "", 'Data Entry'!$º$80)</f>
      </c>
      <c r="DS80">
        <f>IF(ISBLANK('Data Entry'!$»$80), "", 'Data Entry'!$»$80)</f>
      </c>
      <c r="DT80">
        <f>IF(ISBLANK('Data Entry'!$¼$80), "", 'Data Entry'!$¼$80)</f>
      </c>
      <c r="DU80">
        <f>IF(ISBLANK('Data Entry'!$½$80), "", 'Data Entry'!$½$80)</f>
      </c>
      <c r="DV80">
        <f>IF(ISBLANK('Data Entry'!$¾$80), "", 'Data Entry'!$¾$80)</f>
      </c>
      <c r="DW80">
        <f>IF(ISBLANK('Data Entry'!$¿$80), "", 'Data Entry'!$¿$80)</f>
      </c>
      <c r="DX80">
        <f>IF(ISBLANK('Data Entry'!$À$80), "", 'Data Entry'!$À$80)</f>
      </c>
      <c r="DY80">
        <f>IF(ISBLANK('Data Entry'!$Á$80), "", 'Data Entry'!$Á$80)</f>
      </c>
      <c r="DZ80">
        <f>IF(ISBLANK('Data Entry'!$Â$80), "", 'Data Entry'!$Â$80)</f>
      </c>
      <c r="EA80">
        <f>IF(ISBLANK('Data Entry'!$Ã$80), "", 'Data Entry'!$Ã$80)</f>
      </c>
      <c r="EB80">
        <f>IF(ISBLANK('Data Entry'!$Ä$80), "", 'Data Entry'!$Ä$80)</f>
      </c>
      <c r="EC80">
        <f>IF(ISBLANK('Data Entry'!$Å$80), "", 'Data Entry'!$Å$80)</f>
      </c>
      <c r="ED80">
        <f>IF(ISBLANK('Data Entry'!$Æ$80), "", 'Data Entry'!$Æ$80)</f>
      </c>
      <c r="EE80">
        <f>IF(ISBLANK('Data Entry'!$Ç$80), "", 'Data Entry'!$Ç$80)</f>
      </c>
      <c r="EF80">
        <f>IF(ISBLANK('Data Entry'!$È$80), "", 'Data Entry'!$È$80)</f>
      </c>
      <c r="EG80">
        <f>IF(ISBLANK('Data Entry'!$É$80), "", 'Data Entry'!$É$80)</f>
      </c>
      <c r="EH80">
        <f>IF(ISBLANK('Data Entry'!$Ê$80), "", 'Data Entry'!$Ê$80)</f>
      </c>
      <c r="EI80">
        <f>IF(ISBLANK('Data Entry'!$Ë$80), "", 'Data Entry'!$Ë$80)</f>
      </c>
      <c r="EJ80">
        <f>IF(ISBLANK('Data Entry'!$Ì$80), "", 'Data Entry'!$Ì$80)</f>
      </c>
      <c r="EK80">
        <f>IF(ISBLANK('Data Entry'!$Í$80), "", 'Data Entry'!$Í$80)</f>
      </c>
      <c r="EL80">
        <f>IF(ISBLANK('Data Entry'!$Î$80), "", 'Data Entry'!$Î$80)</f>
      </c>
      <c r="EM80">
        <f>IF(ISBLANK('Data Entry'!$Ï$80), "", 'Data Entry'!$Ï$80)</f>
      </c>
      <c r="EN80">
        <f>IF(ISBLANK('Data Entry'!$Ð$80), "", 'Data Entry'!$Ð$80)</f>
      </c>
      <c r="EO80">
        <f>IF(ISBLANK('Data Entry'!$Ñ$80), "", 'Data Entry'!$Ñ$80)</f>
      </c>
      <c r="EP80">
        <f>IF(ISBLANK('Data Entry'!$Ò$80), "", 'Data Entry'!$Ò$80)</f>
      </c>
      <c r="EQ80">
        <f>IF(ISBLANK('Data Entry'!$Ó$80), "", 'Data Entry'!$Ó$80)</f>
      </c>
      <c r="ER80">
        <f>IF(ISBLANK('Data Entry'!$Ô$80), "", 'Data Entry'!$Ô$80)</f>
      </c>
      <c r="ES80">
        <f>IF(ISBLANK('Data Entry'!$Õ$80), "", 'Data Entry'!$Õ$80)</f>
      </c>
      <c r="ET80">
        <f>IF(ISBLANK('Data Entry'!$Ö$80), "", 'Data Entry'!$Ö$80)</f>
      </c>
      <c r="EU80">
        <f>IF(ISBLANK('Data Entry'!$×$80), "", 'Data Entry'!$×$80)</f>
      </c>
      <c r="EV80">
        <f>IF(ISBLANK('Data Entry'!$Ø$80), "", 'Data Entry'!$Ø$80)</f>
      </c>
      <c r="EW80">
        <f>IF(ISBLANK('Data Entry'!$Ù$80), "", 'Data Entry'!$Ù$80)</f>
      </c>
      <c r="EX80">
        <f>IF(ISBLANK('Data Entry'!$Ú$80), "", 'Data Entry'!$Ú$80)</f>
      </c>
      <c r="EY80">
        <f>IF(ISBLANK('Data Entry'!$Û$80), "", 'Data Entry'!$Û$80)</f>
      </c>
      <c r="EZ80">
        <f>IF(ISBLANK('Data Entry'!$Ü$80), "", 'Data Entry'!$Ü$80)</f>
      </c>
      <c r="FA80">
        <f>IF(ISBLANK('Data Entry'!$Ý$80), "", 'Data Entry'!$Ý$80)</f>
      </c>
      <c r="FB80">
        <f>IF(ISBLANK('Data Entry'!$Þ$80), "", 'Data Entry'!$Þ$80)</f>
      </c>
      <c r="FC80">
        <f>IF(ISBLANK('Data Entry'!$ß$80), "", 'Data Entry'!$ß$80)</f>
      </c>
      <c r="FD80">
        <f>IF(ISBLANK('Data Entry'!$à$80), "", 'Data Entry'!$à$80)</f>
      </c>
      <c r="FE80">
        <f>IF(ISBLANK('Data Entry'!$á$80), "", 'Data Entry'!$á$80)</f>
      </c>
      <c r="FF80">
        <f>IF(ISBLANK('Data Entry'!$â$80), "", 'Data Entry'!$â$80)</f>
      </c>
      <c r="FG80">
        <f>IF(ISBLANK('Data Entry'!$ã$80), "", 'Data Entry'!$ã$80)</f>
      </c>
      <c r="FH80">
        <f>IF(ISBLANK('Data Entry'!$ä$80), "", 'Data Entry'!$ä$80)</f>
      </c>
      <c r="FI80">
        <f>IF(ISBLANK('Data Entry'!$å$80), "", 'Data Entry'!$å$80)</f>
      </c>
      <c r="FJ80">
        <f>IF(ISBLANK('Data Entry'!$æ$80), "", 'Data Entry'!$æ$80)</f>
      </c>
      <c r="FK80">
        <f>IF(ISBLANK('Data Entry'!$ç$80), "", 'Data Entry'!$ç$80)</f>
      </c>
      <c r="FL80">
        <f>IF(ISBLANK('Data Entry'!$è$80), "", 'Data Entry'!$è$80)</f>
      </c>
      <c r="FM80">
        <f>IF(ISBLANK('Data Entry'!$é$80), "", 'Data Entry'!$é$80)</f>
      </c>
      <c r="FN80">
        <f>IF(ISBLANK('Data Entry'!$ê$80), "", 'Data Entry'!$ê$80)</f>
      </c>
      <c r="FO80">
        <f>IF(ISBLANK('Data Entry'!$ë$80), "", 'Data Entry'!$ë$80)</f>
      </c>
      <c r="FP80">
        <f>IF(ISBLANK('Data Entry'!$ì$80), "", 'Data Entry'!$ì$80)</f>
      </c>
      <c r="FQ80">
        <f>IF(ISBLANK('Data Entry'!$í$80), "", 'Data Entry'!$í$80)</f>
      </c>
      <c r="FR80">
        <f>IF(ISBLANK('Data Entry'!$î$80), "", 'Data Entry'!$î$80)</f>
      </c>
      <c r="FS80">
        <f>IF(ISBLANK('Data Entry'!$ï$80), "", 'Data Entry'!$ï$80)</f>
      </c>
      <c r="FT80">
        <f>IF(ISBLANK('Data Entry'!$ð$80), "", 'Data Entry'!$ð$80)</f>
      </c>
      <c r="FU80">
        <f>IF(ISBLANK('Data Entry'!$ñ$80), "", 'Data Entry'!$ñ$80)</f>
      </c>
      <c r="FV80">
        <f>IF(ISBLANK('Data Entry'!$ò$80), "", 'Data Entry'!$ò$80)</f>
      </c>
      <c r="FW80">
        <f>IF(ISBLANK('Data Entry'!$ó$80), "", 'Data Entry'!$ó$80)</f>
      </c>
      <c r="FX80">
        <f>IF(ISBLANK('Data Entry'!$ô$80), "", 'Data Entry'!$ô$80)</f>
      </c>
      <c r="FY80">
        <f>IF(ISBLANK('Data Entry'!$õ$80), "", 'Data Entry'!$õ$80)</f>
      </c>
      <c r="FZ80">
        <f>IF(ISBLANK('Data Entry'!$ö$80), "", 'Data Entry'!$ö$80)</f>
      </c>
      <c r="GA80">
        <f>IF(ISBLANK('Data Entry'!$÷$80), "", 'Data Entry'!$÷$80)</f>
      </c>
      <c r="GB80">
        <f>IF(ISBLANK('Data Entry'!$ø$80), "", 'Data Entry'!$ø$80)</f>
      </c>
      <c r="GC80">
        <f>IF(ISBLANK('Data Entry'!$ù$80), "", 'Data Entry'!$ù$80)</f>
      </c>
      <c r="GD80">
        <f>IF(ISBLANK('Data Entry'!$ú$80), "", 'Data Entry'!$ú$80)</f>
      </c>
      <c r="GE80">
        <f>IF(ISBLANK('Data Entry'!$û$80), "", 'Data Entry'!$û$80)</f>
      </c>
      <c r="GF80">
        <f>IF(ISBLANK('Data Entry'!$ü$80), "", 'Data Entry'!$ü$80)</f>
      </c>
      <c r="GG80">
        <f>IF(ISBLANK('Data Entry'!$ý$80), "", 'Data Entry'!$ý$80)</f>
      </c>
      <c r="GH80">
        <f>IF(ISBLANK('Data Entry'!$þ$80), "", 'Data Entry'!$þ$80)</f>
      </c>
      <c r="GI80">
        <f>IF(ISBLANK('Data Entry'!$ÿ$80), "", 'Data Entry'!$ÿ$80)</f>
      </c>
      <c r="GJ80">
        <f>IF(ISBLANK('Data Entry'!$Ā$80), "", 'Data Entry'!$Ā$80)</f>
      </c>
      <c r="GK80">
        <f>IF(ISBLANK('Data Entry'!$ā$80), "", 'Data Entry'!$ā$80)</f>
      </c>
      <c r="GL80">
        <f>IF(ISBLANK('Data Entry'!$Ă$80), "", 'Data Entry'!$Ă$80)</f>
      </c>
      <c r="GM80">
        <f>IF(ISBLANK('Data Entry'!$ă$80), "", 'Data Entry'!$ă$80)</f>
      </c>
      <c r="GN80">
        <f>IF(ISBLANK('Data Entry'!$Ą$80), "", 'Data Entry'!$Ą$80)</f>
      </c>
      <c r="GO80">
        <f>IF(ISBLANK('Data Entry'!$ą$80), "", 'Data Entry'!$ą$80)</f>
      </c>
      <c r="GP80">
        <f>IF(ISBLANK('Data Entry'!$Ć$80), "", 'Data Entry'!$Ć$80)</f>
      </c>
      <c r="GQ80">
        <f>IF(ISBLANK('Data Entry'!$ć$80), "", 'Data Entry'!$ć$80)</f>
      </c>
      <c r="GR80">
        <f>IF(ISBLANK('Data Entry'!$Ĉ$80), "", 'Data Entry'!$Ĉ$80)</f>
      </c>
      <c r="GS80">
        <f>IF(ISBLANK('Data Entry'!$ĉ$80), "", 'Data Entry'!$ĉ$80)</f>
      </c>
      <c r="GT80">
        <f>IF(ISBLANK('Data Entry'!$Ċ$80), "", 'Data Entry'!$Ċ$80)</f>
      </c>
      <c r="GU80">
        <f>IF(ISBLANK('Data Entry'!$ċ$80), "", 'Data Entry'!$ċ$80)</f>
      </c>
      <c r="GV80">
        <f>IF(ISBLANK('Data Entry'!$Č$80), "", 'Data Entry'!$Č$80)</f>
      </c>
      <c r="GW80">
        <f>IF(ISBLANK('Data Entry'!$č$80), "", 'Data Entry'!$č$80)</f>
      </c>
      <c r="GX80">
        <f>IF(ISBLANK('Data Entry'!$Ď$80), "", 'Data Entry'!$Ď$80)</f>
      </c>
      <c r="GY80">
        <f>IF(ISBLANK('Data Entry'!$ď$80), "", 'Data Entry'!$ď$80)</f>
      </c>
      <c r="GZ80">
        <f>IF(ISBLANK('Data Entry'!$Đ$80), "", 'Data Entry'!$Đ$80)</f>
      </c>
      <c r="HA80">
        <f>IF(ISBLANK('Data Entry'!$đ$80), "", 'Data Entry'!$đ$80)</f>
      </c>
      <c r="HB80">
        <f>IF(ISBLANK('Data Entry'!$Ē$80), "", 'Data Entry'!$Ē$80)</f>
      </c>
      <c r="HC80">
        <f>IF(ISBLANK('Data Entry'!$ē$80), "", 'Data Entry'!$ē$80)</f>
      </c>
      <c r="HD80">
        <f>IF(ISBLANK('Data Entry'!$Ĕ$80), "", 'Data Entry'!$Ĕ$80)</f>
      </c>
      <c r="HE80">
        <f>IF(ISBLANK('Data Entry'!$ĕ$80), "", 'Data Entry'!$ĕ$80)</f>
      </c>
      <c r="HF80">
        <f>IF(ISBLANK('Data Entry'!$Ė$80), "", 'Data Entry'!$Ė$80)</f>
      </c>
      <c r="HG80">
        <f>IF(ISBLANK('Data Entry'!$ė$80), "", 'Data Entry'!$ė$80)</f>
      </c>
      <c r="HH80">
        <f>IF(ISBLANK('Data Entry'!$Ę$80), "", 'Data Entry'!$Ę$80)</f>
      </c>
      <c r="HI80">
        <f>IF(ISBLANK('Data Entry'!$ę$80), "", 'Data Entry'!$ę$80)</f>
      </c>
      <c r="HJ80">
        <f>IF(ISBLANK('Data Entry'!$Ě$80), "", 'Data Entry'!$Ě$80)</f>
      </c>
      <c r="HK80">
        <f>IF(ISBLANK('Data Entry'!$ě$80), "", 'Data Entry'!$ě$80)</f>
      </c>
      <c r="HL80">
        <f>IF(ISBLANK('Data Entry'!$Ĝ$80), "", 'Data Entry'!$Ĝ$80)</f>
      </c>
      <c r="HM80">
        <f>IF(ISBLANK('Data Entry'!$ĝ$80), "", 'Data Entry'!$ĝ$80)</f>
      </c>
      <c r="HN80">
        <f>IF(ISBLANK('Data Entry'!$Ğ$80), "", 'Data Entry'!$Ğ$80)</f>
      </c>
      <c r="HO80">
        <f>IF(ISBLANK('Data Entry'!$ğ$80), "", 'Data Entry'!$ğ$80)</f>
      </c>
      <c r="HP80">
        <f>IF(ISBLANK('Data Entry'!$Ġ$80), "", 'Data Entry'!$Ġ$80)</f>
      </c>
      <c r="HQ80">
        <f>IF(ISBLANK('Data Entry'!$ġ$80), "", 'Data Entry'!$ġ$80)</f>
      </c>
      <c r="HR80">
        <f>IF(ISBLANK('Data Entry'!$Ģ$80), "", 'Data Entry'!$Ģ$80)</f>
      </c>
      <c r="HS80">
        <f>IF(ISBLANK('Data Entry'!$ģ$80), "", 'Data Entry'!$ģ$80)</f>
      </c>
      <c r="HT80">
        <f>IF(ISBLANK('Data Entry'!$Ĥ$80), "", 'Data Entry'!$Ĥ$80)</f>
      </c>
      <c r="HU80">
        <f>IF(ISBLANK('Data Entry'!$ĥ$80), "", 'Data Entry'!$ĥ$80)</f>
      </c>
      <c r="HV80">
        <f>IF(ISBLANK('Data Entry'!$Ħ$80), "", 'Data Entry'!$Ħ$80)</f>
      </c>
      <c r="HW80">
        <f>IF(ISBLANK('Data Entry'!$ħ$80), "", 'Data Entry'!$ħ$80)</f>
      </c>
      <c r="HX80">
        <f>IF(ISBLANK('Data Entry'!$Ĩ$80), "", 'Data Entry'!$Ĩ$80)</f>
      </c>
      <c r="HY80">
        <f>IF(ISBLANK('Data Entry'!$ĩ$80), "", 'Data Entry'!$ĩ$80)</f>
      </c>
      <c r="HZ80">
        <f>IF(ISBLANK('Data Entry'!$Ī$80), "", 'Data Entry'!$Ī$80)</f>
      </c>
      <c r="IA80">
        <f>IF(ISBLANK('Data Entry'!$ī$80), "", 'Data Entry'!$ī$80)</f>
      </c>
      <c r="IB80">
        <f>IF(ISBLANK('Data Entry'!$Ĭ$80), "", 'Data Entry'!$Ĭ$80)</f>
      </c>
      <c r="IC80">
        <f>IF(ISBLANK('Data Entry'!$ĭ$80), "", 'Data Entry'!$ĭ$80)</f>
      </c>
      <c r="ID80">
        <f>IF(ISBLANK('Data Entry'!$Į$80), "", 'Data Entry'!$Į$80)</f>
      </c>
      <c r="IE80">
        <f>IF(ISBLANK('Data Entry'!$į$80), "", 'Data Entry'!$į$80)</f>
      </c>
      <c r="IF80">
        <f>IF(ISBLANK('Data Entry'!$İ$80), "", 'Data Entry'!$İ$80)</f>
      </c>
      <c r="IG80">
        <f>IF(ISBLANK('Data Entry'!$ı$80), "", 'Data Entry'!$ı$80)</f>
      </c>
      <c r="IH80">
        <f>IF(ISBLANK('Data Entry'!$Ĳ$80), "", 'Data Entry'!$Ĳ$80)</f>
      </c>
      <c r="II80">
        <f>IF(ISBLANK('Data Entry'!$ĳ$80), "", 'Data Entry'!$ĳ$80)</f>
      </c>
      <c r="IJ80">
        <f>IF(ISBLANK('Data Entry'!$Ĵ$80), "", 'Data Entry'!$Ĵ$80)</f>
      </c>
      <c r="IK80">
        <f>IF(ISBLANK('Data Entry'!$ĵ$80), "", 'Data Entry'!$ĵ$80)</f>
      </c>
      <c r="IL80">
        <f>IF(ISBLANK('Data Entry'!$Ķ$80), "", 'Data Entry'!$Ķ$80)</f>
      </c>
      <c r="IM80">
        <f>IF(ISBLANK('Data Entry'!$ķ$80), "", 'Data Entry'!$ķ$80)</f>
      </c>
      <c r="IN80">
        <f>IF(ISBLANK('Data Entry'!$ĸ$80), "", 'Data Entry'!$ĸ$80)</f>
      </c>
      <c r="IO80">
        <f>IF(ISBLANK('Data Entry'!$Ĺ$80), "", 'Data Entry'!$Ĺ$80)</f>
      </c>
      <c r="IP80">
        <f>IF(ISBLANK('Data Entry'!$ĺ$80), "", 'Data Entry'!$ĺ$80)</f>
      </c>
      <c r="IQ80">
        <f>IF(ISBLANK('Data Entry'!$Ļ$80), "", 'Data Entry'!$Ļ$80)</f>
      </c>
      <c r="IR80">
        <f>IF(ISBLANK('Data Entry'!$ļ$80), "", 'Data Entry'!$ļ$80)</f>
      </c>
      <c r="IS80">
        <f>IF(ISBLANK('Data Entry'!$Ľ$80), "", 'Data Entry'!$Ľ$80)</f>
      </c>
      <c r="IT80">
        <f>IF(ISBLANK('Data Entry'!$ľ$80), "", 'Data Entry'!$ľ$80)</f>
      </c>
    </row>
    <row r="81" spans="1:254" x14ac:dyDescent="0.25">
      <c r="A81">
        <f>IF(ISBLANK('Data Entry'!$A$81), "", 'Data Entry'!$A$81)</f>
      </c>
      <c r="B81">
        <f>IF(ISBLANK('Data Entry'!$B$81), "", 'Data Entry'!$B$81)</f>
      </c>
      <c r="C81">
        <f>IF(ISBLANK('Data Entry'!$C$81), "", 'Data Entry'!$C$81)</f>
      </c>
      <c r="D81">
        <f>IF(ISBLANK('Data Entry'!$D$81), "", 'Data Entry'!$D$81)</f>
      </c>
      <c r="E81">
        <f>IF(ISBLANK('Data Entry'!$E$81), "", 'Data Entry'!$E$81)</f>
      </c>
      <c r="F81">
        <f>IF(ISBLANK('Data Entry'!$F$81), "", 'Data Entry'!$F$81)</f>
      </c>
      <c r="G81">
        <f>IF(ISBLANK('Data Entry'!$G$81), "", 'Data Entry'!$G$81)</f>
      </c>
      <c r="H81">
        <f>IF(ISBLANK('Data Entry'!$H$81), "", 'Data Entry'!$H$81)</f>
      </c>
      <c r="I81">
        <f>IF(ISBLANK('Data Entry'!$I$81), "", 'Data Entry'!$I$81)</f>
      </c>
      <c r="J81">
        <f>IF(ISBLANK('Data Entry'!$J$81), "", 'Data Entry'!$J$81)</f>
      </c>
      <c r="K81">
        <f>IF(ISBLANK('Data Entry'!$K$81), "", 'Data Entry'!$K$81)</f>
      </c>
      <c r="L81">
        <f>IF(ISBLANK('Data Entry'!$L$81), "", 'Data Entry'!$L$81)</f>
      </c>
      <c r="M81">
        <f>IF(ISBLANK('Data Entry'!$M$81), "", 'Data Entry'!$M$81)</f>
      </c>
      <c r="N81">
        <f>IF(ISBLANK('Data Entry'!$N$81), "", 'Data Entry'!$N$81)</f>
      </c>
      <c r="O81">
        <f>IF(ISBLANK('Data Entry'!$O$81), "", 'Data Entry'!$O$81)</f>
      </c>
      <c r="P81">
        <f>IF(ISBLANK('Data Entry'!$P$81), "", 'Data Entry'!$P$81)</f>
      </c>
      <c r="Q81">
        <f>IF(ISBLANK('Data Entry'!$Q$81), "", 'Data Entry'!$Q$81)</f>
      </c>
      <c r="R81">
        <f>IF(ISBLANK('Data Entry'!$R$81), "", 'Data Entry'!$R$81)</f>
      </c>
      <c r="S81">
        <f>IF(ISBLANK('Data Entry'!$S$81), "", 'Data Entry'!$S$81)</f>
      </c>
      <c r="T81">
        <f>IF(ISBLANK('Data Entry'!$T$81), "", 'Data Entry'!$T$81)</f>
      </c>
      <c r="U81">
        <f>IF(ISBLANK('Data Entry'!$U$81), "", 'Data Entry'!$U$81)</f>
      </c>
      <c r="V81">
        <f>IF(ISBLANK('Data Entry'!$V$81), "", 'Data Entry'!$V$81)</f>
      </c>
      <c r="W81">
        <f>IF(ISBLANK('Data Entry'!$W$81), "", 'Data Entry'!$W$81)</f>
      </c>
      <c r="X81">
        <f>IF(ISBLANK('Data Entry'!$X$81), "", 'Data Entry'!$X$81)</f>
      </c>
      <c r="Y81">
        <f>IF(ISBLANK('Data Entry'!$Y$81), "", 'Data Entry'!$Y$81)</f>
      </c>
      <c r="Z81">
        <f>IF(ISBLANK('Data Entry'!$Z$81), "", 'Data Entry'!$Z$81)</f>
      </c>
      <c r="AA81">
        <f>IF(ISBLANK('Data Entry'!$[$81), "", 'Data Entry'!$[$81)</f>
      </c>
      <c r="AB81">
        <f>IF(ISBLANK('Data Entry'!$\$81), "", 'Data Entry'!$\$81)</f>
      </c>
      <c r="AC81">
        <f>IF(ISBLANK('Data Entry'!$]$81), "", 'Data Entry'!$]$81)</f>
      </c>
      <c r="AD81">
        <f>IF(ISBLANK('Data Entry'!$^$81), "", 'Data Entry'!$^$81)</f>
      </c>
      <c r="AE81">
        <f>IF(ISBLANK('Data Entry'!$_$81), "", 'Data Entry'!$_$81)</f>
      </c>
      <c r="AF81">
        <f>IF(ISBLANK('Data Entry'!$`$81), "", 'Data Entry'!$`$81)</f>
      </c>
      <c r="AG81">
        <f>IF(ISBLANK('Data Entry'!$a$81), "", 'Data Entry'!$a$81)</f>
      </c>
      <c r="AH81">
        <f>IF(ISBLANK('Data Entry'!$b$81), "", 'Data Entry'!$b$81)</f>
      </c>
      <c r="AI81">
        <f>IF(ISBLANK('Data Entry'!$c$81), "", 'Data Entry'!$c$81)</f>
      </c>
      <c r="AJ81">
        <f>IF(ISBLANK('Data Entry'!$d$81), "", 'Data Entry'!$d$81)</f>
      </c>
      <c r="AK81">
        <f>IF(ISBLANK('Data Entry'!$e$81), "", 'Data Entry'!$e$81)</f>
      </c>
      <c r="AL81">
        <f>IF(ISBLANK('Data Entry'!$f$81), "", 'Data Entry'!$f$81)</f>
      </c>
      <c r="AM81">
        <f>IF(ISBLANK('Data Entry'!$g$81), "", 'Data Entry'!$g$81)</f>
      </c>
      <c r="AN81">
        <f>IF(ISBLANK('Data Entry'!$h$81), "", 'Data Entry'!$h$81)</f>
      </c>
      <c r="AO81">
        <f>IF(ISBLANK('Data Entry'!$i$81), "", 'Data Entry'!$i$81)</f>
      </c>
      <c r="AP81">
        <f>IF(ISBLANK('Data Entry'!$j$81), "", 'Data Entry'!$j$81)</f>
      </c>
      <c r="AQ81">
        <f>IF(ISBLANK('Data Entry'!$k$81), "", 'Data Entry'!$k$81)</f>
      </c>
      <c r="AR81">
        <f>IF(ISBLANK('Data Entry'!$l$81), "", 'Data Entry'!$l$81)</f>
      </c>
      <c r="AS81">
        <f>IF(ISBLANK('Data Entry'!$m$81), "", 'Data Entry'!$m$81)</f>
      </c>
      <c r="AT81">
        <f>IF(ISBLANK('Data Entry'!$n$81), "", 'Data Entry'!$n$81)</f>
      </c>
      <c r="AU81">
        <f>IF(ISBLANK('Data Entry'!$o$81), "", 'Data Entry'!$o$81)</f>
      </c>
      <c r="AV81">
        <f>IF(ISBLANK('Data Entry'!$p$81), "", 'Data Entry'!$p$81)</f>
      </c>
      <c r="AW81">
        <f>IF(ISBLANK('Data Entry'!$q$81), "", 'Data Entry'!$q$81)</f>
      </c>
      <c r="AX81">
        <f>IF(ISBLANK('Data Entry'!$r$81), "", 'Data Entry'!$r$81)</f>
      </c>
      <c r="AY81">
        <f>IF(ISBLANK('Data Entry'!$s$81), "", 'Data Entry'!$s$81)</f>
      </c>
      <c r="AZ81">
        <f>IF(ISBLANK('Data Entry'!$t$81), "", 'Data Entry'!$t$81)</f>
      </c>
      <c r="BA81">
        <f>IF(ISBLANK('Data Entry'!$u$81), "", 'Data Entry'!$u$81)</f>
      </c>
      <c r="BB81">
        <f>IF(ISBLANK('Data Entry'!$v$81), "", 'Data Entry'!$v$81)</f>
      </c>
      <c r="BC81">
        <f>IF(ISBLANK('Data Entry'!$w$81), "", 'Data Entry'!$w$81)</f>
      </c>
      <c r="BD81">
        <f>IF(ISBLANK('Data Entry'!$x$81), "", 'Data Entry'!$x$81)</f>
      </c>
      <c r="BE81">
        <f>IF(ISBLANK('Data Entry'!$y$81), "", 'Data Entry'!$y$81)</f>
      </c>
      <c r="BF81">
        <f>IF(ISBLANK('Data Entry'!$z$81), "", 'Data Entry'!$z$81)</f>
      </c>
      <c r="BG81">
        <f>IF(ISBLANK('Data Entry'!${$81), "", 'Data Entry'!${$81)</f>
      </c>
      <c r="BH81">
        <f>IF(ISBLANK('Data Entry'!$|$81), "", 'Data Entry'!$|$81)</f>
      </c>
      <c r="BI81">
        <f>IF(ISBLANK('Data Entry'!$}$81), "", 'Data Entry'!$}$81)</f>
      </c>
      <c r="BJ81">
        <f>IF(ISBLANK('Data Entry'!$~$81), "", 'Data Entry'!$~$81)</f>
      </c>
      <c r="BK81">
        <f>IF(ISBLANK('Data Entry'!$$81), "", 'Data Entry'!$$81)</f>
      </c>
      <c r="BL81">
        <f>IF(ISBLANK('Data Entry'!$$81), "", 'Data Entry'!$$81)</f>
      </c>
      <c r="BM81">
        <f>IF(ISBLANK('Data Entry'!$$81), "", 'Data Entry'!$$81)</f>
      </c>
      <c r="BN81">
        <f>IF(ISBLANK('Data Entry'!$$81), "", 'Data Entry'!$$81)</f>
      </c>
      <c r="BO81">
        <f>IF(ISBLANK('Data Entry'!$$81), "", 'Data Entry'!$$81)</f>
      </c>
      <c r="BP81">
        <f>IF(ISBLANK('Data Entry'!$$81), "", 'Data Entry'!$$81)</f>
      </c>
      <c r="BQ81">
        <f>IF(ISBLANK('Data Entry'!$$81), "", 'Data Entry'!$$81)</f>
      </c>
      <c r="BR81">
        <f>IF(ISBLANK('Data Entry'!$$81), "", 'Data Entry'!$$81)</f>
      </c>
      <c r="BS81">
        <f>IF(ISBLANK('Data Entry'!$$81), "", 'Data Entry'!$$81)</f>
      </c>
      <c r="BT81">
        <f>IF(ISBLANK('Data Entry'!$$81), "", 'Data Entry'!$$81)</f>
      </c>
      <c r="BU81">
        <f>IF(ISBLANK('Data Entry'!$$81), "", 'Data Entry'!$$81)</f>
      </c>
      <c r="BV81">
        <f>IF(ISBLANK('Data Entry'!$$81), "", 'Data Entry'!$$81)</f>
      </c>
      <c r="BW81">
        <f>IF(ISBLANK('Data Entry'!$$81), "", 'Data Entry'!$$81)</f>
      </c>
      <c r="BX81">
        <f>IF(ISBLANK('Data Entry'!$$81), "", 'Data Entry'!$$81)</f>
      </c>
      <c r="BY81">
        <f>IF(ISBLANK('Data Entry'!$$81), "", 'Data Entry'!$$81)</f>
      </c>
      <c r="BZ81">
        <f>IF(ISBLANK('Data Entry'!$$81), "", 'Data Entry'!$$81)</f>
      </c>
      <c r="CA81">
        <f>IF(ISBLANK('Data Entry'!$$81), "", 'Data Entry'!$$81)</f>
      </c>
      <c r="CB81">
        <f>IF(ISBLANK('Data Entry'!$$81), "", 'Data Entry'!$$81)</f>
      </c>
      <c r="CC81">
        <f>IF(ISBLANK('Data Entry'!$$81), "", 'Data Entry'!$$81)</f>
      </c>
      <c r="CD81">
        <f>IF(ISBLANK('Data Entry'!$$81), "", 'Data Entry'!$$81)</f>
      </c>
      <c r="CE81">
        <f>IF(ISBLANK('Data Entry'!$$81), "", 'Data Entry'!$$81)</f>
      </c>
      <c r="CF81">
        <f>IF(ISBLANK('Data Entry'!$$81), "", 'Data Entry'!$$81)</f>
      </c>
      <c r="CG81">
        <f>IF(ISBLANK('Data Entry'!$$81), "", 'Data Entry'!$$81)</f>
      </c>
      <c r="CH81">
        <f>IF(ISBLANK('Data Entry'!$$81), "", 'Data Entry'!$$81)</f>
      </c>
      <c r="CI81">
        <f>IF(ISBLANK('Data Entry'!$$81), "", 'Data Entry'!$$81)</f>
      </c>
      <c r="CJ81">
        <f>IF(ISBLANK('Data Entry'!$$81), "", 'Data Entry'!$$81)</f>
      </c>
      <c r="CK81">
        <f>IF(ISBLANK('Data Entry'!$$81), "", 'Data Entry'!$$81)</f>
      </c>
      <c r="CL81">
        <f>IF(ISBLANK('Data Entry'!$$81), "", 'Data Entry'!$$81)</f>
      </c>
      <c r="CM81">
        <f>IF(ISBLANK('Data Entry'!$$81), "", 'Data Entry'!$$81)</f>
      </c>
      <c r="CN81">
        <f>IF(ISBLANK('Data Entry'!$$81), "", 'Data Entry'!$$81)</f>
      </c>
      <c r="CO81">
        <f>IF(ISBLANK('Data Entry'!$$81), "", 'Data Entry'!$$81)</f>
      </c>
      <c r="CP81">
        <f>IF(ISBLANK('Data Entry'!$$81), "", 'Data Entry'!$$81)</f>
      </c>
      <c r="CQ81">
        <f>IF(ISBLANK('Data Entry'!$$81), "", 'Data Entry'!$$81)</f>
      </c>
      <c r="CR81">
        <f>IF(ISBLANK('Data Entry'!$ $81), "", 'Data Entry'!$ $81)</f>
      </c>
      <c r="CS81">
        <f>IF(ISBLANK('Data Entry'!$¡$81), "", 'Data Entry'!$¡$81)</f>
      </c>
      <c r="CT81">
        <f>IF(ISBLANK('Data Entry'!$¢$81), "", 'Data Entry'!$¢$81)</f>
      </c>
      <c r="CU81">
        <f>IF(ISBLANK('Data Entry'!$£$81), "", 'Data Entry'!$£$81)</f>
      </c>
      <c r="CV81">
        <f>IF(ISBLANK('Data Entry'!$¤$81), "", 'Data Entry'!$¤$81)</f>
      </c>
      <c r="CW81">
        <f>IF(ISBLANK('Data Entry'!$¥$81), "", 'Data Entry'!$¥$81)</f>
      </c>
      <c r="CX81">
        <f>IF(ISBLANK('Data Entry'!$¦$81), "", 'Data Entry'!$¦$81)</f>
      </c>
      <c r="CY81">
        <f>IF(ISBLANK('Data Entry'!$§$81), "", 'Data Entry'!$§$81)</f>
      </c>
      <c r="CZ81">
        <f>IF(ISBLANK('Data Entry'!$¨$81), "", 'Data Entry'!$¨$81)</f>
      </c>
      <c r="DA81">
        <f>IF(ISBLANK('Data Entry'!$©$81), "", 'Data Entry'!$©$81)</f>
      </c>
      <c r="DB81">
        <f>IF(ISBLANK('Data Entry'!$ª$81), "", 'Data Entry'!$ª$81)</f>
      </c>
      <c r="DC81">
        <f>IF(ISBLANK('Data Entry'!$«$81), "", 'Data Entry'!$«$81)</f>
      </c>
      <c r="DD81">
        <f>IF(ISBLANK('Data Entry'!$¬$81), "", 'Data Entry'!$¬$81)</f>
      </c>
      <c r="DE81">
        <f>IF(ISBLANK('Data Entry'!$­$81), "", 'Data Entry'!$­$81)</f>
      </c>
      <c r="DF81">
        <f>IF(ISBLANK('Data Entry'!$®$81), "", 'Data Entry'!$®$81)</f>
      </c>
      <c r="DG81">
        <f>IF(ISBLANK('Data Entry'!$¯$81), "", 'Data Entry'!$¯$81)</f>
      </c>
      <c r="DH81">
        <f>IF(ISBLANK('Data Entry'!$°$81), "", 'Data Entry'!$°$81)</f>
      </c>
      <c r="DI81">
        <f>IF(ISBLANK('Data Entry'!$±$81), "", 'Data Entry'!$±$81)</f>
      </c>
      <c r="DJ81">
        <f>IF(ISBLANK('Data Entry'!$²$81), "", 'Data Entry'!$²$81)</f>
      </c>
      <c r="DK81">
        <f>IF(ISBLANK('Data Entry'!$³$81), "", 'Data Entry'!$³$81)</f>
      </c>
      <c r="DL81">
        <f>IF(ISBLANK('Data Entry'!$´$81), "", 'Data Entry'!$´$81)</f>
      </c>
      <c r="DM81">
        <f>IF(ISBLANK('Data Entry'!$µ$81), "", 'Data Entry'!$µ$81)</f>
      </c>
      <c r="DN81">
        <f>IF(ISBLANK('Data Entry'!$¶$81), "", 'Data Entry'!$¶$81)</f>
      </c>
      <c r="DO81">
        <f>IF(ISBLANK('Data Entry'!$·$81), "", 'Data Entry'!$·$81)</f>
      </c>
      <c r="DP81">
        <f>IF(ISBLANK('Data Entry'!$¸$81), "", 'Data Entry'!$¸$81)</f>
      </c>
      <c r="DQ81">
        <f>IF(ISBLANK('Data Entry'!$¹$81), "", 'Data Entry'!$¹$81)</f>
      </c>
      <c r="DR81">
        <f>IF(ISBLANK('Data Entry'!$º$81), "", 'Data Entry'!$º$81)</f>
      </c>
      <c r="DS81">
        <f>IF(ISBLANK('Data Entry'!$»$81), "", 'Data Entry'!$»$81)</f>
      </c>
      <c r="DT81">
        <f>IF(ISBLANK('Data Entry'!$¼$81), "", 'Data Entry'!$¼$81)</f>
      </c>
      <c r="DU81">
        <f>IF(ISBLANK('Data Entry'!$½$81), "", 'Data Entry'!$½$81)</f>
      </c>
      <c r="DV81">
        <f>IF(ISBLANK('Data Entry'!$¾$81), "", 'Data Entry'!$¾$81)</f>
      </c>
      <c r="DW81">
        <f>IF(ISBLANK('Data Entry'!$¿$81), "", 'Data Entry'!$¿$81)</f>
      </c>
      <c r="DX81">
        <f>IF(ISBLANK('Data Entry'!$À$81), "", 'Data Entry'!$À$81)</f>
      </c>
      <c r="DY81">
        <f>IF(ISBLANK('Data Entry'!$Á$81), "", 'Data Entry'!$Á$81)</f>
      </c>
      <c r="DZ81">
        <f>IF(ISBLANK('Data Entry'!$Â$81), "", 'Data Entry'!$Â$81)</f>
      </c>
      <c r="EA81">
        <f>IF(ISBLANK('Data Entry'!$Ã$81), "", 'Data Entry'!$Ã$81)</f>
      </c>
      <c r="EB81">
        <f>IF(ISBLANK('Data Entry'!$Ä$81), "", 'Data Entry'!$Ä$81)</f>
      </c>
      <c r="EC81">
        <f>IF(ISBLANK('Data Entry'!$Å$81), "", 'Data Entry'!$Å$81)</f>
      </c>
      <c r="ED81">
        <f>IF(ISBLANK('Data Entry'!$Æ$81), "", 'Data Entry'!$Æ$81)</f>
      </c>
      <c r="EE81">
        <f>IF(ISBLANK('Data Entry'!$Ç$81), "", 'Data Entry'!$Ç$81)</f>
      </c>
      <c r="EF81">
        <f>IF(ISBLANK('Data Entry'!$È$81), "", 'Data Entry'!$È$81)</f>
      </c>
      <c r="EG81">
        <f>IF(ISBLANK('Data Entry'!$É$81), "", 'Data Entry'!$É$81)</f>
      </c>
      <c r="EH81">
        <f>IF(ISBLANK('Data Entry'!$Ê$81), "", 'Data Entry'!$Ê$81)</f>
      </c>
      <c r="EI81">
        <f>IF(ISBLANK('Data Entry'!$Ë$81), "", 'Data Entry'!$Ë$81)</f>
      </c>
      <c r="EJ81">
        <f>IF(ISBLANK('Data Entry'!$Ì$81), "", 'Data Entry'!$Ì$81)</f>
      </c>
      <c r="EK81">
        <f>IF(ISBLANK('Data Entry'!$Í$81), "", 'Data Entry'!$Í$81)</f>
      </c>
      <c r="EL81">
        <f>IF(ISBLANK('Data Entry'!$Î$81), "", 'Data Entry'!$Î$81)</f>
      </c>
      <c r="EM81">
        <f>IF(ISBLANK('Data Entry'!$Ï$81), "", 'Data Entry'!$Ï$81)</f>
      </c>
      <c r="EN81">
        <f>IF(ISBLANK('Data Entry'!$Ð$81), "", 'Data Entry'!$Ð$81)</f>
      </c>
      <c r="EO81">
        <f>IF(ISBLANK('Data Entry'!$Ñ$81), "", 'Data Entry'!$Ñ$81)</f>
      </c>
      <c r="EP81">
        <f>IF(ISBLANK('Data Entry'!$Ò$81), "", 'Data Entry'!$Ò$81)</f>
      </c>
      <c r="EQ81">
        <f>IF(ISBLANK('Data Entry'!$Ó$81), "", 'Data Entry'!$Ó$81)</f>
      </c>
      <c r="ER81">
        <f>IF(ISBLANK('Data Entry'!$Ô$81), "", 'Data Entry'!$Ô$81)</f>
      </c>
      <c r="ES81">
        <f>IF(ISBLANK('Data Entry'!$Õ$81), "", 'Data Entry'!$Õ$81)</f>
      </c>
      <c r="ET81">
        <f>IF(ISBLANK('Data Entry'!$Ö$81), "", 'Data Entry'!$Ö$81)</f>
      </c>
      <c r="EU81">
        <f>IF(ISBLANK('Data Entry'!$×$81), "", 'Data Entry'!$×$81)</f>
      </c>
      <c r="EV81">
        <f>IF(ISBLANK('Data Entry'!$Ø$81), "", 'Data Entry'!$Ø$81)</f>
      </c>
      <c r="EW81">
        <f>IF(ISBLANK('Data Entry'!$Ù$81), "", 'Data Entry'!$Ù$81)</f>
      </c>
      <c r="EX81">
        <f>IF(ISBLANK('Data Entry'!$Ú$81), "", 'Data Entry'!$Ú$81)</f>
      </c>
      <c r="EY81">
        <f>IF(ISBLANK('Data Entry'!$Û$81), "", 'Data Entry'!$Û$81)</f>
      </c>
      <c r="EZ81">
        <f>IF(ISBLANK('Data Entry'!$Ü$81), "", 'Data Entry'!$Ü$81)</f>
      </c>
      <c r="FA81">
        <f>IF(ISBLANK('Data Entry'!$Ý$81), "", 'Data Entry'!$Ý$81)</f>
      </c>
      <c r="FB81">
        <f>IF(ISBLANK('Data Entry'!$Þ$81), "", 'Data Entry'!$Þ$81)</f>
      </c>
      <c r="FC81">
        <f>IF(ISBLANK('Data Entry'!$ß$81), "", 'Data Entry'!$ß$81)</f>
      </c>
      <c r="FD81">
        <f>IF(ISBLANK('Data Entry'!$à$81), "", 'Data Entry'!$à$81)</f>
      </c>
      <c r="FE81">
        <f>IF(ISBLANK('Data Entry'!$á$81), "", 'Data Entry'!$á$81)</f>
      </c>
      <c r="FF81">
        <f>IF(ISBLANK('Data Entry'!$â$81), "", 'Data Entry'!$â$81)</f>
      </c>
      <c r="FG81">
        <f>IF(ISBLANK('Data Entry'!$ã$81), "", 'Data Entry'!$ã$81)</f>
      </c>
      <c r="FH81">
        <f>IF(ISBLANK('Data Entry'!$ä$81), "", 'Data Entry'!$ä$81)</f>
      </c>
      <c r="FI81">
        <f>IF(ISBLANK('Data Entry'!$å$81), "", 'Data Entry'!$å$81)</f>
      </c>
      <c r="FJ81">
        <f>IF(ISBLANK('Data Entry'!$æ$81), "", 'Data Entry'!$æ$81)</f>
      </c>
      <c r="FK81">
        <f>IF(ISBLANK('Data Entry'!$ç$81), "", 'Data Entry'!$ç$81)</f>
      </c>
      <c r="FL81">
        <f>IF(ISBLANK('Data Entry'!$è$81), "", 'Data Entry'!$è$81)</f>
      </c>
      <c r="FM81">
        <f>IF(ISBLANK('Data Entry'!$é$81), "", 'Data Entry'!$é$81)</f>
      </c>
      <c r="FN81">
        <f>IF(ISBLANK('Data Entry'!$ê$81), "", 'Data Entry'!$ê$81)</f>
      </c>
      <c r="FO81">
        <f>IF(ISBLANK('Data Entry'!$ë$81), "", 'Data Entry'!$ë$81)</f>
      </c>
      <c r="FP81">
        <f>IF(ISBLANK('Data Entry'!$ì$81), "", 'Data Entry'!$ì$81)</f>
      </c>
      <c r="FQ81">
        <f>IF(ISBLANK('Data Entry'!$í$81), "", 'Data Entry'!$í$81)</f>
      </c>
      <c r="FR81">
        <f>IF(ISBLANK('Data Entry'!$î$81), "", 'Data Entry'!$î$81)</f>
      </c>
      <c r="FS81">
        <f>IF(ISBLANK('Data Entry'!$ï$81), "", 'Data Entry'!$ï$81)</f>
      </c>
      <c r="FT81">
        <f>IF(ISBLANK('Data Entry'!$ð$81), "", 'Data Entry'!$ð$81)</f>
      </c>
      <c r="FU81">
        <f>IF(ISBLANK('Data Entry'!$ñ$81), "", 'Data Entry'!$ñ$81)</f>
      </c>
      <c r="FV81">
        <f>IF(ISBLANK('Data Entry'!$ò$81), "", 'Data Entry'!$ò$81)</f>
      </c>
      <c r="FW81">
        <f>IF(ISBLANK('Data Entry'!$ó$81), "", 'Data Entry'!$ó$81)</f>
      </c>
      <c r="FX81">
        <f>IF(ISBLANK('Data Entry'!$ô$81), "", 'Data Entry'!$ô$81)</f>
      </c>
      <c r="FY81">
        <f>IF(ISBLANK('Data Entry'!$õ$81), "", 'Data Entry'!$õ$81)</f>
      </c>
      <c r="FZ81">
        <f>IF(ISBLANK('Data Entry'!$ö$81), "", 'Data Entry'!$ö$81)</f>
      </c>
      <c r="GA81">
        <f>IF(ISBLANK('Data Entry'!$÷$81), "", 'Data Entry'!$÷$81)</f>
      </c>
      <c r="GB81">
        <f>IF(ISBLANK('Data Entry'!$ø$81), "", 'Data Entry'!$ø$81)</f>
      </c>
      <c r="GC81">
        <f>IF(ISBLANK('Data Entry'!$ù$81), "", 'Data Entry'!$ù$81)</f>
      </c>
      <c r="GD81">
        <f>IF(ISBLANK('Data Entry'!$ú$81), "", 'Data Entry'!$ú$81)</f>
      </c>
      <c r="GE81">
        <f>IF(ISBLANK('Data Entry'!$û$81), "", 'Data Entry'!$û$81)</f>
      </c>
      <c r="GF81">
        <f>IF(ISBLANK('Data Entry'!$ü$81), "", 'Data Entry'!$ü$81)</f>
      </c>
      <c r="GG81">
        <f>IF(ISBLANK('Data Entry'!$ý$81), "", 'Data Entry'!$ý$81)</f>
      </c>
      <c r="GH81">
        <f>IF(ISBLANK('Data Entry'!$þ$81), "", 'Data Entry'!$þ$81)</f>
      </c>
      <c r="GI81">
        <f>IF(ISBLANK('Data Entry'!$ÿ$81), "", 'Data Entry'!$ÿ$81)</f>
      </c>
      <c r="GJ81">
        <f>IF(ISBLANK('Data Entry'!$Ā$81), "", 'Data Entry'!$Ā$81)</f>
      </c>
      <c r="GK81">
        <f>IF(ISBLANK('Data Entry'!$ā$81), "", 'Data Entry'!$ā$81)</f>
      </c>
      <c r="GL81">
        <f>IF(ISBLANK('Data Entry'!$Ă$81), "", 'Data Entry'!$Ă$81)</f>
      </c>
      <c r="GM81">
        <f>IF(ISBLANK('Data Entry'!$ă$81), "", 'Data Entry'!$ă$81)</f>
      </c>
      <c r="GN81">
        <f>IF(ISBLANK('Data Entry'!$Ą$81), "", 'Data Entry'!$Ą$81)</f>
      </c>
      <c r="GO81">
        <f>IF(ISBLANK('Data Entry'!$ą$81), "", 'Data Entry'!$ą$81)</f>
      </c>
      <c r="GP81">
        <f>IF(ISBLANK('Data Entry'!$Ć$81), "", 'Data Entry'!$Ć$81)</f>
      </c>
      <c r="GQ81">
        <f>IF(ISBLANK('Data Entry'!$ć$81), "", 'Data Entry'!$ć$81)</f>
      </c>
      <c r="GR81">
        <f>IF(ISBLANK('Data Entry'!$Ĉ$81), "", 'Data Entry'!$Ĉ$81)</f>
      </c>
      <c r="GS81">
        <f>IF(ISBLANK('Data Entry'!$ĉ$81), "", 'Data Entry'!$ĉ$81)</f>
      </c>
      <c r="GT81">
        <f>IF(ISBLANK('Data Entry'!$Ċ$81), "", 'Data Entry'!$Ċ$81)</f>
      </c>
      <c r="GU81">
        <f>IF(ISBLANK('Data Entry'!$ċ$81), "", 'Data Entry'!$ċ$81)</f>
      </c>
      <c r="GV81">
        <f>IF(ISBLANK('Data Entry'!$Č$81), "", 'Data Entry'!$Č$81)</f>
      </c>
      <c r="GW81">
        <f>IF(ISBLANK('Data Entry'!$č$81), "", 'Data Entry'!$č$81)</f>
      </c>
      <c r="GX81">
        <f>IF(ISBLANK('Data Entry'!$Ď$81), "", 'Data Entry'!$Ď$81)</f>
      </c>
      <c r="GY81">
        <f>IF(ISBLANK('Data Entry'!$ď$81), "", 'Data Entry'!$ď$81)</f>
      </c>
      <c r="GZ81">
        <f>IF(ISBLANK('Data Entry'!$Đ$81), "", 'Data Entry'!$Đ$81)</f>
      </c>
      <c r="HA81">
        <f>IF(ISBLANK('Data Entry'!$đ$81), "", 'Data Entry'!$đ$81)</f>
      </c>
      <c r="HB81">
        <f>IF(ISBLANK('Data Entry'!$Ē$81), "", 'Data Entry'!$Ē$81)</f>
      </c>
      <c r="HC81">
        <f>IF(ISBLANK('Data Entry'!$ē$81), "", 'Data Entry'!$ē$81)</f>
      </c>
      <c r="HD81">
        <f>IF(ISBLANK('Data Entry'!$Ĕ$81), "", 'Data Entry'!$Ĕ$81)</f>
      </c>
      <c r="HE81">
        <f>IF(ISBLANK('Data Entry'!$ĕ$81), "", 'Data Entry'!$ĕ$81)</f>
      </c>
      <c r="HF81">
        <f>IF(ISBLANK('Data Entry'!$Ė$81), "", 'Data Entry'!$Ė$81)</f>
      </c>
      <c r="HG81">
        <f>IF(ISBLANK('Data Entry'!$ė$81), "", 'Data Entry'!$ė$81)</f>
      </c>
      <c r="HH81">
        <f>IF(ISBLANK('Data Entry'!$Ę$81), "", 'Data Entry'!$Ę$81)</f>
      </c>
      <c r="HI81">
        <f>IF(ISBLANK('Data Entry'!$ę$81), "", 'Data Entry'!$ę$81)</f>
      </c>
      <c r="HJ81">
        <f>IF(ISBLANK('Data Entry'!$Ě$81), "", 'Data Entry'!$Ě$81)</f>
      </c>
      <c r="HK81">
        <f>IF(ISBLANK('Data Entry'!$ě$81), "", 'Data Entry'!$ě$81)</f>
      </c>
      <c r="HL81">
        <f>IF(ISBLANK('Data Entry'!$Ĝ$81), "", 'Data Entry'!$Ĝ$81)</f>
      </c>
      <c r="HM81">
        <f>IF(ISBLANK('Data Entry'!$ĝ$81), "", 'Data Entry'!$ĝ$81)</f>
      </c>
      <c r="HN81">
        <f>IF(ISBLANK('Data Entry'!$Ğ$81), "", 'Data Entry'!$Ğ$81)</f>
      </c>
      <c r="HO81">
        <f>IF(ISBLANK('Data Entry'!$ğ$81), "", 'Data Entry'!$ğ$81)</f>
      </c>
      <c r="HP81">
        <f>IF(ISBLANK('Data Entry'!$Ġ$81), "", 'Data Entry'!$Ġ$81)</f>
      </c>
      <c r="HQ81">
        <f>IF(ISBLANK('Data Entry'!$ġ$81), "", 'Data Entry'!$ġ$81)</f>
      </c>
      <c r="HR81">
        <f>IF(ISBLANK('Data Entry'!$Ģ$81), "", 'Data Entry'!$Ģ$81)</f>
      </c>
      <c r="HS81">
        <f>IF(ISBLANK('Data Entry'!$ģ$81), "", 'Data Entry'!$ģ$81)</f>
      </c>
      <c r="HT81">
        <f>IF(ISBLANK('Data Entry'!$Ĥ$81), "", 'Data Entry'!$Ĥ$81)</f>
      </c>
      <c r="HU81">
        <f>IF(ISBLANK('Data Entry'!$ĥ$81), "", 'Data Entry'!$ĥ$81)</f>
      </c>
      <c r="HV81">
        <f>IF(ISBLANK('Data Entry'!$Ħ$81), "", 'Data Entry'!$Ħ$81)</f>
      </c>
      <c r="HW81">
        <f>IF(ISBLANK('Data Entry'!$ħ$81), "", 'Data Entry'!$ħ$81)</f>
      </c>
      <c r="HX81">
        <f>IF(ISBLANK('Data Entry'!$Ĩ$81), "", 'Data Entry'!$Ĩ$81)</f>
      </c>
      <c r="HY81">
        <f>IF(ISBLANK('Data Entry'!$ĩ$81), "", 'Data Entry'!$ĩ$81)</f>
      </c>
      <c r="HZ81">
        <f>IF(ISBLANK('Data Entry'!$Ī$81), "", 'Data Entry'!$Ī$81)</f>
      </c>
      <c r="IA81">
        <f>IF(ISBLANK('Data Entry'!$ī$81), "", 'Data Entry'!$ī$81)</f>
      </c>
      <c r="IB81">
        <f>IF(ISBLANK('Data Entry'!$Ĭ$81), "", 'Data Entry'!$Ĭ$81)</f>
      </c>
      <c r="IC81">
        <f>IF(ISBLANK('Data Entry'!$ĭ$81), "", 'Data Entry'!$ĭ$81)</f>
      </c>
      <c r="ID81">
        <f>IF(ISBLANK('Data Entry'!$Į$81), "", 'Data Entry'!$Į$81)</f>
      </c>
      <c r="IE81">
        <f>IF(ISBLANK('Data Entry'!$į$81), "", 'Data Entry'!$į$81)</f>
      </c>
      <c r="IF81">
        <f>IF(ISBLANK('Data Entry'!$İ$81), "", 'Data Entry'!$İ$81)</f>
      </c>
      <c r="IG81">
        <f>IF(ISBLANK('Data Entry'!$ı$81), "", 'Data Entry'!$ı$81)</f>
      </c>
      <c r="IH81">
        <f>IF(ISBLANK('Data Entry'!$Ĳ$81), "", 'Data Entry'!$Ĳ$81)</f>
      </c>
      <c r="II81">
        <f>IF(ISBLANK('Data Entry'!$ĳ$81), "", 'Data Entry'!$ĳ$81)</f>
      </c>
      <c r="IJ81">
        <f>IF(ISBLANK('Data Entry'!$Ĵ$81), "", 'Data Entry'!$Ĵ$81)</f>
      </c>
      <c r="IK81">
        <f>IF(ISBLANK('Data Entry'!$ĵ$81), "", 'Data Entry'!$ĵ$81)</f>
      </c>
      <c r="IL81">
        <f>IF(ISBLANK('Data Entry'!$Ķ$81), "", 'Data Entry'!$Ķ$81)</f>
      </c>
      <c r="IM81">
        <f>IF(ISBLANK('Data Entry'!$ķ$81), "", 'Data Entry'!$ķ$81)</f>
      </c>
      <c r="IN81">
        <f>IF(ISBLANK('Data Entry'!$ĸ$81), "", 'Data Entry'!$ĸ$81)</f>
      </c>
      <c r="IO81">
        <f>IF(ISBLANK('Data Entry'!$Ĺ$81), "", 'Data Entry'!$Ĺ$81)</f>
      </c>
      <c r="IP81">
        <f>IF(ISBLANK('Data Entry'!$ĺ$81), "", 'Data Entry'!$ĺ$81)</f>
      </c>
      <c r="IQ81">
        <f>IF(ISBLANK('Data Entry'!$Ļ$81), "", 'Data Entry'!$Ļ$81)</f>
      </c>
      <c r="IR81">
        <f>IF(ISBLANK('Data Entry'!$ļ$81), "", 'Data Entry'!$ļ$81)</f>
      </c>
      <c r="IS81">
        <f>IF(ISBLANK('Data Entry'!$Ľ$81), "", 'Data Entry'!$Ľ$81)</f>
      </c>
      <c r="IT81">
        <f>IF(ISBLANK('Data Entry'!$ľ$81), "", 'Data Entry'!$ľ$81)</f>
      </c>
    </row>
    <row r="82" spans="1:254" x14ac:dyDescent="0.25">
      <c r="A82">
        <f>IF(ISBLANK('Data Entry'!$A$82), "", 'Data Entry'!$A$82)</f>
      </c>
      <c r="B82">
        <f>IF(ISBLANK('Data Entry'!$B$82), "", 'Data Entry'!$B$82)</f>
      </c>
      <c r="C82">
        <f>IF(ISBLANK('Data Entry'!$C$82), "", 'Data Entry'!$C$82)</f>
      </c>
      <c r="D82">
        <f>IF(ISBLANK('Data Entry'!$D$82), "", 'Data Entry'!$D$82)</f>
      </c>
      <c r="E82">
        <f>IF(ISBLANK('Data Entry'!$E$82), "", 'Data Entry'!$E$82)</f>
      </c>
      <c r="F82">
        <f>IF(ISBLANK('Data Entry'!$F$82), "", 'Data Entry'!$F$82)</f>
      </c>
      <c r="G82">
        <f>IF(ISBLANK('Data Entry'!$G$82), "", 'Data Entry'!$G$82)</f>
      </c>
      <c r="H82">
        <f>IF(ISBLANK('Data Entry'!$H$82), "", 'Data Entry'!$H$82)</f>
      </c>
      <c r="I82">
        <f>IF(ISBLANK('Data Entry'!$I$82), "", 'Data Entry'!$I$82)</f>
      </c>
      <c r="J82">
        <f>IF(ISBLANK('Data Entry'!$J$82), "", 'Data Entry'!$J$82)</f>
      </c>
      <c r="K82">
        <f>IF(ISBLANK('Data Entry'!$K$82), "", 'Data Entry'!$K$82)</f>
      </c>
      <c r="L82">
        <f>IF(ISBLANK('Data Entry'!$L$82), "", 'Data Entry'!$L$82)</f>
      </c>
      <c r="M82">
        <f>IF(ISBLANK('Data Entry'!$M$82), "", 'Data Entry'!$M$82)</f>
      </c>
      <c r="N82">
        <f>IF(ISBLANK('Data Entry'!$N$82), "", 'Data Entry'!$N$82)</f>
      </c>
      <c r="O82">
        <f>IF(ISBLANK('Data Entry'!$O$82), "", 'Data Entry'!$O$82)</f>
      </c>
      <c r="P82">
        <f>IF(ISBLANK('Data Entry'!$P$82), "", 'Data Entry'!$P$82)</f>
      </c>
      <c r="Q82">
        <f>IF(ISBLANK('Data Entry'!$Q$82), "", 'Data Entry'!$Q$82)</f>
      </c>
      <c r="R82">
        <f>IF(ISBLANK('Data Entry'!$R$82), "", 'Data Entry'!$R$82)</f>
      </c>
      <c r="S82">
        <f>IF(ISBLANK('Data Entry'!$S$82), "", 'Data Entry'!$S$82)</f>
      </c>
      <c r="T82">
        <f>IF(ISBLANK('Data Entry'!$T$82), "", 'Data Entry'!$T$82)</f>
      </c>
      <c r="U82">
        <f>IF(ISBLANK('Data Entry'!$U$82), "", 'Data Entry'!$U$82)</f>
      </c>
      <c r="V82">
        <f>IF(ISBLANK('Data Entry'!$V$82), "", 'Data Entry'!$V$82)</f>
      </c>
      <c r="W82">
        <f>IF(ISBLANK('Data Entry'!$W$82), "", 'Data Entry'!$W$82)</f>
      </c>
      <c r="X82">
        <f>IF(ISBLANK('Data Entry'!$X$82), "", 'Data Entry'!$X$82)</f>
      </c>
      <c r="Y82">
        <f>IF(ISBLANK('Data Entry'!$Y$82), "", 'Data Entry'!$Y$82)</f>
      </c>
      <c r="Z82">
        <f>IF(ISBLANK('Data Entry'!$Z$82), "", 'Data Entry'!$Z$82)</f>
      </c>
      <c r="AA82">
        <f>IF(ISBLANK('Data Entry'!$[$82), "", 'Data Entry'!$[$82)</f>
      </c>
      <c r="AB82">
        <f>IF(ISBLANK('Data Entry'!$\$82), "", 'Data Entry'!$\$82)</f>
      </c>
      <c r="AC82">
        <f>IF(ISBLANK('Data Entry'!$]$82), "", 'Data Entry'!$]$82)</f>
      </c>
      <c r="AD82">
        <f>IF(ISBLANK('Data Entry'!$^$82), "", 'Data Entry'!$^$82)</f>
      </c>
      <c r="AE82">
        <f>IF(ISBLANK('Data Entry'!$_$82), "", 'Data Entry'!$_$82)</f>
      </c>
      <c r="AF82">
        <f>IF(ISBLANK('Data Entry'!$`$82), "", 'Data Entry'!$`$82)</f>
      </c>
      <c r="AG82">
        <f>IF(ISBLANK('Data Entry'!$a$82), "", 'Data Entry'!$a$82)</f>
      </c>
      <c r="AH82">
        <f>IF(ISBLANK('Data Entry'!$b$82), "", 'Data Entry'!$b$82)</f>
      </c>
      <c r="AI82">
        <f>IF(ISBLANK('Data Entry'!$c$82), "", 'Data Entry'!$c$82)</f>
      </c>
      <c r="AJ82">
        <f>IF(ISBLANK('Data Entry'!$d$82), "", 'Data Entry'!$d$82)</f>
      </c>
      <c r="AK82">
        <f>IF(ISBLANK('Data Entry'!$e$82), "", 'Data Entry'!$e$82)</f>
      </c>
      <c r="AL82">
        <f>IF(ISBLANK('Data Entry'!$f$82), "", 'Data Entry'!$f$82)</f>
      </c>
      <c r="AM82">
        <f>IF(ISBLANK('Data Entry'!$g$82), "", 'Data Entry'!$g$82)</f>
      </c>
      <c r="AN82">
        <f>IF(ISBLANK('Data Entry'!$h$82), "", 'Data Entry'!$h$82)</f>
      </c>
      <c r="AO82">
        <f>IF(ISBLANK('Data Entry'!$i$82), "", 'Data Entry'!$i$82)</f>
      </c>
      <c r="AP82">
        <f>IF(ISBLANK('Data Entry'!$j$82), "", 'Data Entry'!$j$82)</f>
      </c>
      <c r="AQ82">
        <f>IF(ISBLANK('Data Entry'!$k$82), "", 'Data Entry'!$k$82)</f>
      </c>
      <c r="AR82">
        <f>IF(ISBLANK('Data Entry'!$l$82), "", 'Data Entry'!$l$82)</f>
      </c>
      <c r="AS82">
        <f>IF(ISBLANK('Data Entry'!$m$82), "", 'Data Entry'!$m$82)</f>
      </c>
      <c r="AT82">
        <f>IF(ISBLANK('Data Entry'!$n$82), "", 'Data Entry'!$n$82)</f>
      </c>
      <c r="AU82">
        <f>IF(ISBLANK('Data Entry'!$o$82), "", 'Data Entry'!$o$82)</f>
      </c>
      <c r="AV82">
        <f>IF(ISBLANK('Data Entry'!$p$82), "", 'Data Entry'!$p$82)</f>
      </c>
      <c r="AW82">
        <f>IF(ISBLANK('Data Entry'!$q$82), "", 'Data Entry'!$q$82)</f>
      </c>
      <c r="AX82">
        <f>IF(ISBLANK('Data Entry'!$r$82), "", 'Data Entry'!$r$82)</f>
      </c>
      <c r="AY82">
        <f>IF(ISBLANK('Data Entry'!$s$82), "", 'Data Entry'!$s$82)</f>
      </c>
      <c r="AZ82">
        <f>IF(ISBLANK('Data Entry'!$t$82), "", 'Data Entry'!$t$82)</f>
      </c>
      <c r="BA82">
        <f>IF(ISBLANK('Data Entry'!$u$82), "", 'Data Entry'!$u$82)</f>
      </c>
      <c r="BB82">
        <f>IF(ISBLANK('Data Entry'!$v$82), "", 'Data Entry'!$v$82)</f>
      </c>
      <c r="BC82">
        <f>IF(ISBLANK('Data Entry'!$w$82), "", 'Data Entry'!$w$82)</f>
      </c>
      <c r="BD82">
        <f>IF(ISBLANK('Data Entry'!$x$82), "", 'Data Entry'!$x$82)</f>
      </c>
      <c r="BE82">
        <f>IF(ISBLANK('Data Entry'!$y$82), "", 'Data Entry'!$y$82)</f>
      </c>
      <c r="BF82">
        <f>IF(ISBLANK('Data Entry'!$z$82), "", 'Data Entry'!$z$82)</f>
      </c>
      <c r="BG82">
        <f>IF(ISBLANK('Data Entry'!${$82), "", 'Data Entry'!${$82)</f>
      </c>
      <c r="BH82">
        <f>IF(ISBLANK('Data Entry'!$|$82), "", 'Data Entry'!$|$82)</f>
      </c>
      <c r="BI82">
        <f>IF(ISBLANK('Data Entry'!$}$82), "", 'Data Entry'!$}$82)</f>
      </c>
      <c r="BJ82">
        <f>IF(ISBLANK('Data Entry'!$~$82), "", 'Data Entry'!$~$82)</f>
      </c>
      <c r="BK82">
        <f>IF(ISBLANK('Data Entry'!$$82), "", 'Data Entry'!$$82)</f>
      </c>
      <c r="BL82">
        <f>IF(ISBLANK('Data Entry'!$$82), "", 'Data Entry'!$$82)</f>
      </c>
      <c r="BM82">
        <f>IF(ISBLANK('Data Entry'!$$82), "", 'Data Entry'!$$82)</f>
      </c>
      <c r="BN82">
        <f>IF(ISBLANK('Data Entry'!$$82), "", 'Data Entry'!$$82)</f>
      </c>
      <c r="BO82">
        <f>IF(ISBLANK('Data Entry'!$$82), "", 'Data Entry'!$$82)</f>
      </c>
      <c r="BP82">
        <f>IF(ISBLANK('Data Entry'!$$82), "", 'Data Entry'!$$82)</f>
      </c>
      <c r="BQ82">
        <f>IF(ISBLANK('Data Entry'!$$82), "", 'Data Entry'!$$82)</f>
      </c>
      <c r="BR82">
        <f>IF(ISBLANK('Data Entry'!$$82), "", 'Data Entry'!$$82)</f>
      </c>
      <c r="BS82">
        <f>IF(ISBLANK('Data Entry'!$$82), "", 'Data Entry'!$$82)</f>
      </c>
      <c r="BT82">
        <f>IF(ISBLANK('Data Entry'!$$82), "", 'Data Entry'!$$82)</f>
      </c>
      <c r="BU82">
        <f>IF(ISBLANK('Data Entry'!$$82), "", 'Data Entry'!$$82)</f>
      </c>
      <c r="BV82">
        <f>IF(ISBLANK('Data Entry'!$$82), "", 'Data Entry'!$$82)</f>
      </c>
      <c r="BW82">
        <f>IF(ISBLANK('Data Entry'!$$82), "", 'Data Entry'!$$82)</f>
      </c>
      <c r="BX82">
        <f>IF(ISBLANK('Data Entry'!$$82), "", 'Data Entry'!$$82)</f>
      </c>
      <c r="BY82">
        <f>IF(ISBLANK('Data Entry'!$$82), "", 'Data Entry'!$$82)</f>
      </c>
      <c r="BZ82">
        <f>IF(ISBLANK('Data Entry'!$$82), "", 'Data Entry'!$$82)</f>
      </c>
      <c r="CA82">
        <f>IF(ISBLANK('Data Entry'!$$82), "", 'Data Entry'!$$82)</f>
      </c>
      <c r="CB82">
        <f>IF(ISBLANK('Data Entry'!$$82), "", 'Data Entry'!$$82)</f>
      </c>
      <c r="CC82">
        <f>IF(ISBLANK('Data Entry'!$$82), "", 'Data Entry'!$$82)</f>
      </c>
      <c r="CD82">
        <f>IF(ISBLANK('Data Entry'!$$82), "", 'Data Entry'!$$82)</f>
      </c>
      <c r="CE82">
        <f>IF(ISBLANK('Data Entry'!$$82), "", 'Data Entry'!$$82)</f>
      </c>
      <c r="CF82">
        <f>IF(ISBLANK('Data Entry'!$$82), "", 'Data Entry'!$$82)</f>
      </c>
      <c r="CG82">
        <f>IF(ISBLANK('Data Entry'!$$82), "", 'Data Entry'!$$82)</f>
      </c>
      <c r="CH82">
        <f>IF(ISBLANK('Data Entry'!$$82), "", 'Data Entry'!$$82)</f>
      </c>
      <c r="CI82">
        <f>IF(ISBLANK('Data Entry'!$$82), "", 'Data Entry'!$$82)</f>
      </c>
      <c r="CJ82">
        <f>IF(ISBLANK('Data Entry'!$$82), "", 'Data Entry'!$$82)</f>
      </c>
      <c r="CK82">
        <f>IF(ISBLANK('Data Entry'!$$82), "", 'Data Entry'!$$82)</f>
      </c>
      <c r="CL82">
        <f>IF(ISBLANK('Data Entry'!$$82), "", 'Data Entry'!$$82)</f>
      </c>
      <c r="CM82">
        <f>IF(ISBLANK('Data Entry'!$$82), "", 'Data Entry'!$$82)</f>
      </c>
      <c r="CN82">
        <f>IF(ISBLANK('Data Entry'!$$82), "", 'Data Entry'!$$82)</f>
      </c>
      <c r="CO82">
        <f>IF(ISBLANK('Data Entry'!$$82), "", 'Data Entry'!$$82)</f>
      </c>
      <c r="CP82">
        <f>IF(ISBLANK('Data Entry'!$$82), "", 'Data Entry'!$$82)</f>
      </c>
      <c r="CQ82">
        <f>IF(ISBLANK('Data Entry'!$$82), "", 'Data Entry'!$$82)</f>
      </c>
      <c r="CR82">
        <f>IF(ISBLANK('Data Entry'!$ $82), "", 'Data Entry'!$ $82)</f>
      </c>
      <c r="CS82">
        <f>IF(ISBLANK('Data Entry'!$¡$82), "", 'Data Entry'!$¡$82)</f>
      </c>
      <c r="CT82">
        <f>IF(ISBLANK('Data Entry'!$¢$82), "", 'Data Entry'!$¢$82)</f>
      </c>
      <c r="CU82">
        <f>IF(ISBLANK('Data Entry'!$£$82), "", 'Data Entry'!$£$82)</f>
      </c>
      <c r="CV82">
        <f>IF(ISBLANK('Data Entry'!$¤$82), "", 'Data Entry'!$¤$82)</f>
      </c>
      <c r="CW82">
        <f>IF(ISBLANK('Data Entry'!$¥$82), "", 'Data Entry'!$¥$82)</f>
      </c>
      <c r="CX82">
        <f>IF(ISBLANK('Data Entry'!$¦$82), "", 'Data Entry'!$¦$82)</f>
      </c>
      <c r="CY82">
        <f>IF(ISBLANK('Data Entry'!$§$82), "", 'Data Entry'!$§$82)</f>
      </c>
      <c r="CZ82">
        <f>IF(ISBLANK('Data Entry'!$¨$82), "", 'Data Entry'!$¨$82)</f>
      </c>
      <c r="DA82">
        <f>IF(ISBLANK('Data Entry'!$©$82), "", 'Data Entry'!$©$82)</f>
      </c>
      <c r="DB82">
        <f>IF(ISBLANK('Data Entry'!$ª$82), "", 'Data Entry'!$ª$82)</f>
      </c>
      <c r="DC82">
        <f>IF(ISBLANK('Data Entry'!$«$82), "", 'Data Entry'!$«$82)</f>
      </c>
      <c r="DD82">
        <f>IF(ISBLANK('Data Entry'!$¬$82), "", 'Data Entry'!$¬$82)</f>
      </c>
      <c r="DE82">
        <f>IF(ISBLANK('Data Entry'!$­$82), "", 'Data Entry'!$­$82)</f>
      </c>
      <c r="DF82">
        <f>IF(ISBLANK('Data Entry'!$®$82), "", 'Data Entry'!$®$82)</f>
      </c>
      <c r="DG82">
        <f>IF(ISBLANK('Data Entry'!$¯$82), "", 'Data Entry'!$¯$82)</f>
      </c>
      <c r="DH82">
        <f>IF(ISBLANK('Data Entry'!$°$82), "", 'Data Entry'!$°$82)</f>
      </c>
      <c r="DI82">
        <f>IF(ISBLANK('Data Entry'!$±$82), "", 'Data Entry'!$±$82)</f>
      </c>
      <c r="DJ82">
        <f>IF(ISBLANK('Data Entry'!$²$82), "", 'Data Entry'!$²$82)</f>
      </c>
      <c r="DK82">
        <f>IF(ISBLANK('Data Entry'!$³$82), "", 'Data Entry'!$³$82)</f>
      </c>
      <c r="DL82">
        <f>IF(ISBLANK('Data Entry'!$´$82), "", 'Data Entry'!$´$82)</f>
      </c>
      <c r="DM82">
        <f>IF(ISBLANK('Data Entry'!$µ$82), "", 'Data Entry'!$µ$82)</f>
      </c>
      <c r="DN82">
        <f>IF(ISBLANK('Data Entry'!$¶$82), "", 'Data Entry'!$¶$82)</f>
      </c>
      <c r="DO82">
        <f>IF(ISBLANK('Data Entry'!$·$82), "", 'Data Entry'!$·$82)</f>
      </c>
      <c r="DP82">
        <f>IF(ISBLANK('Data Entry'!$¸$82), "", 'Data Entry'!$¸$82)</f>
      </c>
      <c r="DQ82">
        <f>IF(ISBLANK('Data Entry'!$¹$82), "", 'Data Entry'!$¹$82)</f>
      </c>
      <c r="DR82">
        <f>IF(ISBLANK('Data Entry'!$º$82), "", 'Data Entry'!$º$82)</f>
      </c>
      <c r="DS82">
        <f>IF(ISBLANK('Data Entry'!$»$82), "", 'Data Entry'!$»$82)</f>
      </c>
      <c r="DT82">
        <f>IF(ISBLANK('Data Entry'!$¼$82), "", 'Data Entry'!$¼$82)</f>
      </c>
      <c r="DU82">
        <f>IF(ISBLANK('Data Entry'!$½$82), "", 'Data Entry'!$½$82)</f>
      </c>
      <c r="DV82">
        <f>IF(ISBLANK('Data Entry'!$¾$82), "", 'Data Entry'!$¾$82)</f>
      </c>
      <c r="DW82">
        <f>IF(ISBLANK('Data Entry'!$¿$82), "", 'Data Entry'!$¿$82)</f>
      </c>
      <c r="DX82">
        <f>IF(ISBLANK('Data Entry'!$À$82), "", 'Data Entry'!$À$82)</f>
      </c>
      <c r="DY82">
        <f>IF(ISBLANK('Data Entry'!$Á$82), "", 'Data Entry'!$Á$82)</f>
      </c>
      <c r="DZ82">
        <f>IF(ISBLANK('Data Entry'!$Â$82), "", 'Data Entry'!$Â$82)</f>
      </c>
      <c r="EA82">
        <f>IF(ISBLANK('Data Entry'!$Ã$82), "", 'Data Entry'!$Ã$82)</f>
      </c>
      <c r="EB82">
        <f>IF(ISBLANK('Data Entry'!$Ä$82), "", 'Data Entry'!$Ä$82)</f>
      </c>
      <c r="EC82">
        <f>IF(ISBLANK('Data Entry'!$Å$82), "", 'Data Entry'!$Å$82)</f>
      </c>
      <c r="ED82">
        <f>IF(ISBLANK('Data Entry'!$Æ$82), "", 'Data Entry'!$Æ$82)</f>
      </c>
      <c r="EE82">
        <f>IF(ISBLANK('Data Entry'!$Ç$82), "", 'Data Entry'!$Ç$82)</f>
      </c>
      <c r="EF82">
        <f>IF(ISBLANK('Data Entry'!$È$82), "", 'Data Entry'!$È$82)</f>
      </c>
      <c r="EG82">
        <f>IF(ISBLANK('Data Entry'!$É$82), "", 'Data Entry'!$É$82)</f>
      </c>
      <c r="EH82">
        <f>IF(ISBLANK('Data Entry'!$Ê$82), "", 'Data Entry'!$Ê$82)</f>
      </c>
      <c r="EI82">
        <f>IF(ISBLANK('Data Entry'!$Ë$82), "", 'Data Entry'!$Ë$82)</f>
      </c>
      <c r="EJ82">
        <f>IF(ISBLANK('Data Entry'!$Ì$82), "", 'Data Entry'!$Ì$82)</f>
      </c>
      <c r="EK82">
        <f>IF(ISBLANK('Data Entry'!$Í$82), "", 'Data Entry'!$Í$82)</f>
      </c>
      <c r="EL82">
        <f>IF(ISBLANK('Data Entry'!$Î$82), "", 'Data Entry'!$Î$82)</f>
      </c>
      <c r="EM82">
        <f>IF(ISBLANK('Data Entry'!$Ï$82), "", 'Data Entry'!$Ï$82)</f>
      </c>
      <c r="EN82">
        <f>IF(ISBLANK('Data Entry'!$Ð$82), "", 'Data Entry'!$Ð$82)</f>
      </c>
      <c r="EO82">
        <f>IF(ISBLANK('Data Entry'!$Ñ$82), "", 'Data Entry'!$Ñ$82)</f>
      </c>
      <c r="EP82">
        <f>IF(ISBLANK('Data Entry'!$Ò$82), "", 'Data Entry'!$Ò$82)</f>
      </c>
      <c r="EQ82">
        <f>IF(ISBLANK('Data Entry'!$Ó$82), "", 'Data Entry'!$Ó$82)</f>
      </c>
      <c r="ER82">
        <f>IF(ISBLANK('Data Entry'!$Ô$82), "", 'Data Entry'!$Ô$82)</f>
      </c>
      <c r="ES82">
        <f>IF(ISBLANK('Data Entry'!$Õ$82), "", 'Data Entry'!$Õ$82)</f>
      </c>
      <c r="ET82">
        <f>IF(ISBLANK('Data Entry'!$Ö$82), "", 'Data Entry'!$Ö$82)</f>
      </c>
      <c r="EU82">
        <f>IF(ISBLANK('Data Entry'!$×$82), "", 'Data Entry'!$×$82)</f>
      </c>
      <c r="EV82">
        <f>IF(ISBLANK('Data Entry'!$Ø$82), "", 'Data Entry'!$Ø$82)</f>
      </c>
      <c r="EW82">
        <f>IF(ISBLANK('Data Entry'!$Ù$82), "", 'Data Entry'!$Ù$82)</f>
      </c>
      <c r="EX82">
        <f>IF(ISBLANK('Data Entry'!$Ú$82), "", 'Data Entry'!$Ú$82)</f>
      </c>
      <c r="EY82">
        <f>IF(ISBLANK('Data Entry'!$Û$82), "", 'Data Entry'!$Û$82)</f>
      </c>
      <c r="EZ82">
        <f>IF(ISBLANK('Data Entry'!$Ü$82), "", 'Data Entry'!$Ü$82)</f>
      </c>
      <c r="FA82">
        <f>IF(ISBLANK('Data Entry'!$Ý$82), "", 'Data Entry'!$Ý$82)</f>
      </c>
      <c r="FB82">
        <f>IF(ISBLANK('Data Entry'!$Þ$82), "", 'Data Entry'!$Þ$82)</f>
      </c>
      <c r="FC82">
        <f>IF(ISBLANK('Data Entry'!$ß$82), "", 'Data Entry'!$ß$82)</f>
      </c>
      <c r="FD82">
        <f>IF(ISBLANK('Data Entry'!$à$82), "", 'Data Entry'!$à$82)</f>
      </c>
      <c r="FE82">
        <f>IF(ISBLANK('Data Entry'!$á$82), "", 'Data Entry'!$á$82)</f>
      </c>
      <c r="FF82">
        <f>IF(ISBLANK('Data Entry'!$â$82), "", 'Data Entry'!$â$82)</f>
      </c>
      <c r="FG82">
        <f>IF(ISBLANK('Data Entry'!$ã$82), "", 'Data Entry'!$ã$82)</f>
      </c>
      <c r="FH82">
        <f>IF(ISBLANK('Data Entry'!$ä$82), "", 'Data Entry'!$ä$82)</f>
      </c>
      <c r="FI82">
        <f>IF(ISBLANK('Data Entry'!$å$82), "", 'Data Entry'!$å$82)</f>
      </c>
      <c r="FJ82">
        <f>IF(ISBLANK('Data Entry'!$æ$82), "", 'Data Entry'!$æ$82)</f>
      </c>
      <c r="FK82">
        <f>IF(ISBLANK('Data Entry'!$ç$82), "", 'Data Entry'!$ç$82)</f>
      </c>
      <c r="FL82">
        <f>IF(ISBLANK('Data Entry'!$è$82), "", 'Data Entry'!$è$82)</f>
      </c>
      <c r="FM82">
        <f>IF(ISBLANK('Data Entry'!$é$82), "", 'Data Entry'!$é$82)</f>
      </c>
      <c r="FN82">
        <f>IF(ISBLANK('Data Entry'!$ê$82), "", 'Data Entry'!$ê$82)</f>
      </c>
      <c r="FO82">
        <f>IF(ISBLANK('Data Entry'!$ë$82), "", 'Data Entry'!$ë$82)</f>
      </c>
      <c r="FP82">
        <f>IF(ISBLANK('Data Entry'!$ì$82), "", 'Data Entry'!$ì$82)</f>
      </c>
      <c r="FQ82">
        <f>IF(ISBLANK('Data Entry'!$í$82), "", 'Data Entry'!$í$82)</f>
      </c>
      <c r="FR82">
        <f>IF(ISBLANK('Data Entry'!$î$82), "", 'Data Entry'!$î$82)</f>
      </c>
      <c r="FS82">
        <f>IF(ISBLANK('Data Entry'!$ï$82), "", 'Data Entry'!$ï$82)</f>
      </c>
      <c r="FT82">
        <f>IF(ISBLANK('Data Entry'!$ð$82), "", 'Data Entry'!$ð$82)</f>
      </c>
      <c r="FU82">
        <f>IF(ISBLANK('Data Entry'!$ñ$82), "", 'Data Entry'!$ñ$82)</f>
      </c>
      <c r="FV82">
        <f>IF(ISBLANK('Data Entry'!$ò$82), "", 'Data Entry'!$ò$82)</f>
      </c>
      <c r="FW82">
        <f>IF(ISBLANK('Data Entry'!$ó$82), "", 'Data Entry'!$ó$82)</f>
      </c>
      <c r="FX82">
        <f>IF(ISBLANK('Data Entry'!$ô$82), "", 'Data Entry'!$ô$82)</f>
      </c>
      <c r="FY82">
        <f>IF(ISBLANK('Data Entry'!$õ$82), "", 'Data Entry'!$õ$82)</f>
      </c>
      <c r="FZ82">
        <f>IF(ISBLANK('Data Entry'!$ö$82), "", 'Data Entry'!$ö$82)</f>
      </c>
      <c r="GA82">
        <f>IF(ISBLANK('Data Entry'!$÷$82), "", 'Data Entry'!$÷$82)</f>
      </c>
      <c r="GB82">
        <f>IF(ISBLANK('Data Entry'!$ø$82), "", 'Data Entry'!$ø$82)</f>
      </c>
      <c r="GC82">
        <f>IF(ISBLANK('Data Entry'!$ù$82), "", 'Data Entry'!$ù$82)</f>
      </c>
      <c r="GD82">
        <f>IF(ISBLANK('Data Entry'!$ú$82), "", 'Data Entry'!$ú$82)</f>
      </c>
      <c r="GE82">
        <f>IF(ISBLANK('Data Entry'!$û$82), "", 'Data Entry'!$û$82)</f>
      </c>
      <c r="GF82">
        <f>IF(ISBLANK('Data Entry'!$ü$82), "", 'Data Entry'!$ü$82)</f>
      </c>
      <c r="GG82">
        <f>IF(ISBLANK('Data Entry'!$ý$82), "", 'Data Entry'!$ý$82)</f>
      </c>
      <c r="GH82">
        <f>IF(ISBLANK('Data Entry'!$þ$82), "", 'Data Entry'!$þ$82)</f>
      </c>
      <c r="GI82">
        <f>IF(ISBLANK('Data Entry'!$ÿ$82), "", 'Data Entry'!$ÿ$82)</f>
      </c>
      <c r="GJ82">
        <f>IF(ISBLANK('Data Entry'!$Ā$82), "", 'Data Entry'!$Ā$82)</f>
      </c>
      <c r="GK82">
        <f>IF(ISBLANK('Data Entry'!$ā$82), "", 'Data Entry'!$ā$82)</f>
      </c>
      <c r="GL82">
        <f>IF(ISBLANK('Data Entry'!$Ă$82), "", 'Data Entry'!$Ă$82)</f>
      </c>
      <c r="GM82">
        <f>IF(ISBLANK('Data Entry'!$ă$82), "", 'Data Entry'!$ă$82)</f>
      </c>
      <c r="GN82">
        <f>IF(ISBLANK('Data Entry'!$Ą$82), "", 'Data Entry'!$Ą$82)</f>
      </c>
      <c r="GO82">
        <f>IF(ISBLANK('Data Entry'!$ą$82), "", 'Data Entry'!$ą$82)</f>
      </c>
      <c r="GP82">
        <f>IF(ISBLANK('Data Entry'!$Ć$82), "", 'Data Entry'!$Ć$82)</f>
      </c>
      <c r="GQ82">
        <f>IF(ISBLANK('Data Entry'!$ć$82), "", 'Data Entry'!$ć$82)</f>
      </c>
      <c r="GR82">
        <f>IF(ISBLANK('Data Entry'!$Ĉ$82), "", 'Data Entry'!$Ĉ$82)</f>
      </c>
      <c r="GS82">
        <f>IF(ISBLANK('Data Entry'!$ĉ$82), "", 'Data Entry'!$ĉ$82)</f>
      </c>
      <c r="GT82">
        <f>IF(ISBLANK('Data Entry'!$Ċ$82), "", 'Data Entry'!$Ċ$82)</f>
      </c>
      <c r="GU82">
        <f>IF(ISBLANK('Data Entry'!$ċ$82), "", 'Data Entry'!$ċ$82)</f>
      </c>
      <c r="GV82">
        <f>IF(ISBLANK('Data Entry'!$Č$82), "", 'Data Entry'!$Č$82)</f>
      </c>
      <c r="GW82">
        <f>IF(ISBLANK('Data Entry'!$č$82), "", 'Data Entry'!$č$82)</f>
      </c>
      <c r="GX82">
        <f>IF(ISBLANK('Data Entry'!$Ď$82), "", 'Data Entry'!$Ď$82)</f>
      </c>
      <c r="GY82">
        <f>IF(ISBLANK('Data Entry'!$ď$82), "", 'Data Entry'!$ď$82)</f>
      </c>
      <c r="GZ82">
        <f>IF(ISBLANK('Data Entry'!$Đ$82), "", 'Data Entry'!$Đ$82)</f>
      </c>
      <c r="HA82">
        <f>IF(ISBLANK('Data Entry'!$đ$82), "", 'Data Entry'!$đ$82)</f>
      </c>
      <c r="HB82">
        <f>IF(ISBLANK('Data Entry'!$Ē$82), "", 'Data Entry'!$Ē$82)</f>
      </c>
      <c r="HC82">
        <f>IF(ISBLANK('Data Entry'!$ē$82), "", 'Data Entry'!$ē$82)</f>
      </c>
      <c r="HD82">
        <f>IF(ISBLANK('Data Entry'!$Ĕ$82), "", 'Data Entry'!$Ĕ$82)</f>
      </c>
      <c r="HE82">
        <f>IF(ISBLANK('Data Entry'!$ĕ$82), "", 'Data Entry'!$ĕ$82)</f>
      </c>
      <c r="HF82">
        <f>IF(ISBLANK('Data Entry'!$Ė$82), "", 'Data Entry'!$Ė$82)</f>
      </c>
      <c r="HG82">
        <f>IF(ISBLANK('Data Entry'!$ė$82), "", 'Data Entry'!$ė$82)</f>
      </c>
      <c r="HH82">
        <f>IF(ISBLANK('Data Entry'!$Ę$82), "", 'Data Entry'!$Ę$82)</f>
      </c>
      <c r="HI82">
        <f>IF(ISBLANK('Data Entry'!$ę$82), "", 'Data Entry'!$ę$82)</f>
      </c>
      <c r="HJ82">
        <f>IF(ISBLANK('Data Entry'!$Ě$82), "", 'Data Entry'!$Ě$82)</f>
      </c>
      <c r="HK82">
        <f>IF(ISBLANK('Data Entry'!$ě$82), "", 'Data Entry'!$ě$82)</f>
      </c>
      <c r="HL82">
        <f>IF(ISBLANK('Data Entry'!$Ĝ$82), "", 'Data Entry'!$Ĝ$82)</f>
      </c>
      <c r="HM82">
        <f>IF(ISBLANK('Data Entry'!$ĝ$82), "", 'Data Entry'!$ĝ$82)</f>
      </c>
      <c r="HN82">
        <f>IF(ISBLANK('Data Entry'!$Ğ$82), "", 'Data Entry'!$Ğ$82)</f>
      </c>
      <c r="HO82">
        <f>IF(ISBLANK('Data Entry'!$ğ$82), "", 'Data Entry'!$ğ$82)</f>
      </c>
      <c r="HP82">
        <f>IF(ISBLANK('Data Entry'!$Ġ$82), "", 'Data Entry'!$Ġ$82)</f>
      </c>
      <c r="HQ82">
        <f>IF(ISBLANK('Data Entry'!$ġ$82), "", 'Data Entry'!$ġ$82)</f>
      </c>
      <c r="HR82">
        <f>IF(ISBLANK('Data Entry'!$Ģ$82), "", 'Data Entry'!$Ģ$82)</f>
      </c>
      <c r="HS82">
        <f>IF(ISBLANK('Data Entry'!$ģ$82), "", 'Data Entry'!$ģ$82)</f>
      </c>
      <c r="HT82">
        <f>IF(ISBLANK('Data Entry'!$Ĥ$82), "", 'Data Entry'!$Ĥ$82)</f>
      </c>
      <c r="HU82">
        <f>IF(ISBLANK('Data Entry'!$ĥ$82), "", 'Data Entry'!$ĥ$82)</f>
      </c>
      <c r="HV82">
        <f>IF(ISBLANK('Data Entry'!$Ħ$82), "", 'Data Entry'!$Ħ$82)</f>
      </c>
      <c r="HW82">
        <f>IF(ISBLANK('Data Entry'!$ħ$82), "", 'Data Entry'!$ħ$82)</f>
      </c>
      <c r="HX82">
        <f>IF(ISBLANK('Data Entry'!$Ĩ$82), "", 'Data Entry'!$Ĩ$82)</f>
      </c>
      <c r="HY82">
        <f>IF(ISBLANK('Data Entry'!$ĩ$82), "", 'Data Entry'!$ĩ$82)</f>
      </c>
      <c r="HZ82">
        <f>IF(ISBLANK('Data Entry'!$Ī$82), "", 'Data Entry'!$Ī$82)</f>
      </c>
      <c r="IA82">
        <f>IF(ISBLANK('Data Entry'!$ī$82), "", 'Data Entry'!$ī$82)</f>
      </c>
      <c r="IB82">
        <f>IF(ISBLANK('Data Entry'!$Ĭ$82), "", 'Data Entry'!$Ĭ$82)</f>
      </c>
      <c r="IC82">
        <f>IF(ISBLANK('Data Entry'!$ĭ$82), "", 'Data Entry'!$ĭ$82)</f>
      </c>
      <c r="ID82">
        <f>IF(ISBLANK('Data Entry'!$Į$82), "", 'Data Entry'!$Į$82)</f>
      </c>
      <c r="IE82">
        <f>IF(ISBLANK('Data Entry'!$į$82), "", 'Data Entry'!$į$82)</f>
      </c>
      <c r="IF82">
        <f>IF(ISBLANK('Data Entry'!$İ$82), "", 'Data Entry'!$İ$82)</f>
      </c>
      <c r="IG82">
        <f>IF(ISBLANK('Data Entry'!$ı$82), "", 'Data Entry'!$ı$82)</f>
      </c>
      <c r="IH82">
        <f>IF(ISBLANK('Data Entry'!$Ĳ$82), "", 'Data Entry'!$Ĳ$82)</f>
      </c>
      <c r="II82">
        <f>IF(ISBLANK('Data Entry'!$ĳ$82), "", 'Data Entry'!$ĳ$82)</f>
      </c>
      <c r="IJ82">
        <f>IF(ISBLANK('Data Entry'!$Ĵ$82), "", 'Data Entry'!$Ĵ$82)</f>
      </c>
      <c r="IK82">
        <f>IF(ISBLANK('Data Entry'!$ĵ$82), "", 'Data Entry'!$ĵ$82)</f>
      </c>
      <c r="IL82">
        <f>IF(ISBLANK('Data Entry'!$Ķ$82), "", 'Data Entry'!$Ķ$82)</f>
      </c>
      <c r="IM82">
        <f>IF(ISBLANK('Data Entry'!$ķ$82), "", 'Data Entry'!$ķ$82)</f>
      </c>
      <c r="IN82">
        <f>IF(ISBLANK('Data Entry'!$ĸ$82), "", 'Data Entry'!$ĸ$82)</f>
      </c>
      <c r="IO82">
        <f>IF(ISBLANK('Data Entry'!$Ĺ$82), "", 'Data Entry'!$Ĺ$82)</f>
      </c>
      <c r="IP82">
        <f>IF(ISBLANK('Data Entry'!$ĺ$82), "", 'Data Entry'!$ĺ$82)</f>
      </c>
      <c r="IQ82">
        <f>IF(ISBLANK('Data Entry'!$Ļ$82), "", 'Data Entry'!$Ļ$82)</f>
      </c>
      <c r="IR82">
        <f>IF(ISBLANK('Data Entry'!$ļ$82), "", 'Data Entry'!$ļ$82)</f>
      </c>
      <c r="IS82">
        <f>IF(ISBLANK('Data Entry'!$Ľ$82), "", 'Data Entry'!$Ľ$82)</f>
      </c>
      <c r="IT82">
        <f>IF(ISBLANK('Data Entry'!$ľ$82), "", 'Data Entry'!$ľ$82)</f>
      </c>
    </row>
    <row r="83" spans="1:254" x14ac:dyDescent="0.25">
      <c r="A83">
        <f>IF(ISBLANK('Data Entry'!$A$83), "", 'Data Entry'!$A$83)</f>
      </c>
      <c r="B83">
        <f>IF(ISBLANK('Data Entry'!$B$83), "", 'Data Entry'!$B$83)</f>
      </c>
      <c r="C83">
        <f>IF(ISBLANK('Data Entry'!$C$83), "", 'Data Entry'!$C$83)</f>
      </c>
      <c r="D83">
        <f>IF(ISBLANK('Data Entry'!$D$83), "", 'Data Entry'!$D$83)</f>
      </c>
      <c r="E83">
        <f>IF(ISBLANK('Data Entry'!$E$83), "", 'Data Entry'!$E$83)</f>
      </c>
      <c r="F83">
        <f>IF(ISBLANK('Data Entry'!$F$83), "", 'Data Entry'!$F$83)</f>
      </c>
      <c r="G83">
        <f>IF(ISBLANK('Data Entry'!$G$83), "", 'Data Entry'!$G$83)</f>
      </c>
      <c r="H83">
        <f>IF(ISBLANK('Data Entry'!$H$83), "", 'Data Entry'!$H$83)</f>
      </c>
      <c r="I83">
        <f>IF(ISBLANK('Data Entry'!$I$83), "", 'Data Entry'!$I$83)</f>
      </c>
      <c r="J83">
        <f>IF(ISBLANK('Data Entry'!$J$83), "", 'Data Entry'!$J$83)</f>
      </c>
      <c r="K83">
        <f>IF(ISBLANK('Data Entry'!$K$83), "", 'Data Entry'!$K$83)</f>
      </c>
      <c r="L83">
        <f>IF(ISBLANK('Data Entry'!$L$83), "", 'Data Entry'!$L$83)</f>
      </c>
      <c r="M83">
        <f>IF(ISBLANK('Data Entry'!$M$83), "", 'Data Entry'!$M$83)</f>
      </c>
      <c r="N83">
        <f>IF(ISBLANK('Data Entry'!$N$83), "", 'Data Entry'!$N$83)</f>
      </c>
      <c r="O83">
        <f>IF(ISBLANK('Data Entry'!$O$83), "", 'Data Entry'!$O$83)</f>
      </c>
      <c r="P83">
        <f>IF(ISBLANK('Data Entry'!$P$83), "", 'Data Entry'!$P$83)</f>
      </c>
      <c r="Q83">
        <f>IF(ISBLANK('Data Entry'!$Q$83), "", 'Data Entry'!$Q$83)</f>
      </c>
      <c r="R83">
        <f>IF(ISBLANK('Data Entry'!$R$83), "", 'Data Entry'!$R$83)</f>
      </c>
      <c r="S83">
        <f>IF(ISBLANK('Data Entry'!$S$83), "", 'Data Entry'!$S$83)</f>
      </c>
      <c r="T83">
        <f>IF(ISBLANK('Data Entry'!$T$83), "", 'Data Entry'!$T$83)</f>
      </c>
      <c r="U83">
        <f>IF(ISBLANK('Data Entry'!$U$83), "", 'Data Entry'!$U$83)</f>
      </c>
      <c r="V83">
        <f>IF(ISBLANK('Data Entry'!$V$83), "", 'Data Entry'!$V$83)</f>
      </c>
      <c r="W83">
        <f>IF(ISBLANK('Data Entry'!$W$83), "", 'Data Entry'!$W$83)</f>
      </c>
      <c r="X83">
        <f>IF(ISBLANK('Data Entry'!$X$83), "", 'Data Entry'!$X$83)</f>
      </c>
      <c r="Y83">
        <f>IF(ISBLANK('Data Entry'!$Y$83), "", 'Data Entry'!$Y$83)</f>
      </c>
      <c r="Z83">
        <f>IF(ISBLANK('Data Entry'!$Z$83), "", 'Data Entry'!$Z$83)</f>
      </c>
      <c r="AA83">
        <f>IF(ISBLANK('Data Entry'!$[$83), "", 'Data Entry'!$[$83)</f>
      </c>
      <c r="AB83">
        <f>IF(ISBLANK('Data Entry'!$\$83), "", 'Data Entry'!$\$83)</f>
      </c>
      <c r="AC83">
        <f>IF(ISBLANK('Data Entry'!$]$83), "", 'Data Entry'!$]$83)</f>
      </c>
      <c r="AD83">
        <f>IF(ISBLANK('Data Entry'!$^$83), "", 'Data Entry'!$^$83)</f>
      </c>
      <c r="AE83">
        <f>IF(ISBLANK('Data Entry'!$_$83), "", 'Data Entry'!$_$83)</f>
      </c>
      <c r="AF83">
        <f>IF(ISBLANK('Data Entry'!$`$83), "", 'Data Entry'!$`$83)</f>
      </c>
      <c r="AG83">
        <f>IF(ISBLANK('Data Entry'!$a$83), "", 'Data Entry'!$a$83)</f>
      </c>
      <c r="AH83">
        <f>IF(ISBLANK('Data Entry'!$b$83), "", 'Data Entry'!$b$83)</f>
      </c>
      <c r="AI83">
        <f>IF(ISBLANK('Data Entry'!$c$83), "", 'Data Entry'!$c$83)</f>
      </c>
      <c r="AJ83">
        <f>IF(ISBLANK('Data Entry'!$d$83), "", 'Data Entry'!$d$83)</f>
      </c>
      <c r="AK83">
        <f>IF(ISBLANK('Data Entry'!$e$83), "", 'Data Entry'!$e$83)</f>
      </c>
      <c r="AL83">
        <f>IF(ISBLANK('Data Entry'!$f$83), "", 'Data Entry'!$f$83)</f>
      </c>
      <c r="AM83">
        <f>IF(ISBLANK('Data Entry'!$g$83), "", 'Data Entry'!$g$83)</f>
      </c>
      <c r="AN83">
        <f>IF(ISBLANK('Data Entry'!$h$83), "", 'Data Entry'!$h$83)</f>
      </c>
      <c r="AO83">
        <f>IF(ISBLANK('Data Entry'!$i$83), "", 'Data Entry'!$i$83)</f>
      </c>
      <c r="AP83">
        <f>IF(ISBLANK('Data Entry'!$j$83), "", 'Data Entry'!$j$83)</f>
      </c>
      <c r="AQ83">
        <f>IF(ISBLANK('Data Entry'!$k$83), "", 'Data Entry'!$k$83)</f>
      </c>
      <c r="AR83">
        <f>IF(ISBLANK('Data Entry'!$l$83), "", 'Data Entry'!$l$83)</f>
      </c>
      <c r="AS83">
        <f>IF(ISBLANK('Data Entry'!$m$83), "", 'Data Entry'!$m$83)</f>
      </c>
      <c r="AT83">
        <f>IF(ISBLANK('Data Entry'!$n$83), "", 'Data Entry'!$n$83)</f>
      </c>
      <c r="AU83">
        <f>IF(ISBLANK('Data Entry'!$o$83), "", 'Data Entry'!$o$83)</f>
      </c>
      <c r="AV83">
        <f>IF(ISBLANK('Data Entry'!$p$83), "", 'Data Entry'!$p$83)</f>
      </c>
      <c r="AW83">
        <f>IF(ISBLANK('Data Entry'!$q$83), "", 'Data Entry'!$q$83)</f>
      </c>
      <c r="AX83">
        <f>IF(ISBLANK('Data Entry'!$r$83), "", 'Data Entry'!$r$83)</f>
      </c>
      <c r="AY83">
        <f>IF(ISBLANK('Data Entry'!$s$83), "", 'Data Entry'!$s$83)</f>
      </c>
      <c r="AZ83">
        <f>IF(ISBLANK('Data Entry'!$t$83), "", 'Data Entry'!$t$83)</f>
      </c>
      <c r="BA83">
        <f>IF(ISBLANK('Data Entry'!$u$83), "", 'Data Entry'!$u$83)</f>
      </c>
      <c r="BB83">
        <f>IF(ISBLANK('Data Entry'!$v$83), "", 'Data Entry'!$v$83)</f>
      </c>
      <c r="BC83">
        <f>IF(ISBLANK('Data Entry'!$w$83), "", 'Data Entry'!$w$83)</f>
      </c>
      <c r="BD83">
        <f>IF(ISBLANK('Data Entry'!$x$83), "", 'Data Entry'!$x$83)</f>
      </c>
      <c r="BE83">
        <f>IF(ISBLANK('Data Entry'!$y$83), "", 'Data Entry'!$y$83)</f>
      </c>
      <c r="BF83">
        <f>IF(ISBLANK('Data Entry'!$z$83), "", 'Data Entry'!$z$83)</f>
      </c>
      <c r="BG83">
        <f>IF(ISBLANK('Data Entry'!${$83), "", 'Data Entry'!${$83)</f>
      </c>
      <c r="BH83">
        <f>IF(ISBLANK('Data Entry'!$|$83), "", 'Data Entry'!$|$83)</f>
      </c>
      <c r="BI83">
        <f>IF(ISBLANK('Data Entry'!$}$83), "", 'Data Entry'!$}$83)</f>
      </c>
      <c r="BJ83">
        <f>IF(ISBLANK('Data Entry'!$~$83), "", 'Data Entry'!$~$83)</f>
      </c>
      <c r="BK83">
        <f>IF(ISBLANK('Data Entry'!$$83), "", 'Data Entry'!$$83)</f>
      </c>
      <c r="BL83">
        <f>IF(ISBLANK('Data Entry'!$$83), "", 'Data Entry'!$$83)</f>
      </c>
      <c r="BM83">
        <f>IF(ISBLANK('Data Entry'!$$83), "", 'Data Entry'!$$83)</f>
      </c>
      <c r="BN83">
        <f>IF(ISBLANK('Data Entry'!$$83), "", 'Data Entry'!$$83)</f>
      </c>
      <c r="BO83">
        <f>IF(ISBLANK('Data Entry'!$$83), "", 'Data Entry'!$$83)</f>
      </c>
      <c r="BP83">
        <f>IF(ISBLANK('Data Entry'!$$83), "", 'Data Entry'!$$83)</f>
      </c>
      <c r="BQ83">
        <f>IF(ISBLANK('Data Entry'!$$83), "", 'Data Entry'!$$83)</f>
      </c>
      <c r="BR83">
        <f>IF(ISBLANK('Data Entry'!$$83), "", 'Data Entry'!$$83)</f>
      </c>
      <c r="BS83">
        <f>IF(ISBLANK('Data Entry'!$$83), "", 'Data Entry'!$$83)</f>
      </c>
      <c r="BT83">
        <f>IF(ISBLANK('Data Entry'!$$83), "", 'Data Entry'!$$83)</f>
      </c>
      <c r="BU83">
        <f>IF(ISBLANK('Data Entry'!$$83), "", 'Data Entry'!$$83)</f>
      </c>
      <c r="BV83">
        <f>IF(ISBLANK('Data Entry'!$$83), "", 'Data Entry'!$$83)</f>
      </c>
      <c r="BW83">
        <f>IF(ISBLANK('Data Entry'!$$83), "", 'Data Entry'!$$83)</f>
      </c>
      <c r="BX83">
        <f>IF(ISBLANK('Data Entry'!$$83), "", 'Data Entry'!$$83)</f>
      </c>
      <c r="BY83">
        <f>IF(ISBLANK('Data Entry'!$$83), "", 'Data Entry'!$$83)</f>
      </c>
      <c r="BZ83">
        <f>IF(ISBLANK('Data Entry'!$$83), "", 'Data Entry'!$$83)</f>
      </c>
      <c r="CA83">
        <f>IF(ISBLANK('Data Entry'!$$83), "", 'Data Entry'!$$83)</f>
      </c>
      <c r="CB83">
        <f>IF(ISBLANK('Data Entry'!$$83), "", 'Data Entry'!$$83)</f>
      </c>
      <c r="CC83">
        <f>IF(ISBLANK('Data Entry'!$$83), "", 'Data Entry'!$$83)</f>
      </c>
      <c r="CD83">
        <f>IF(ISBLANK('Data Entry'!$$83), "", 'Data Entry'!$$83)</f>
      </c>
      <c r="CE83">
        <f>IF(ISBLANK('Data Entry'!$$83), "", 'Data Entry'!$$83)</f>
      </c>
      <c r="CF83">
        <f>IF(ISBLANK('Data Entry'!$$83), "", 'Data Entry'!$$83)</f>
      </c>
      <c r="CG83">
        <f>IF(ISBLANK('Data Entry'!$$83), "", 'Data Entry'!$$83)</f>
      </c>
      <c r="CH83">
        <f>IF(ISBLANK('Data Entry'!$$83), "", 'Data Entry'!$$83)</f>
      </c>
      <c r="CI83">
        <f>IF(ISBLANK('Data Entry'!$$83), "", 'Data Entry'!$$83)</f>
      </c>
      <c r="CJ83">
        <f>IF(ISBLANK('Data Entry'!$$83), "", 'Data Entry'!$$83)</f>
      </c>
      <c r="CK83">
        <f>IF(ISBLANK('Data Entry'!$$83), "", 'Data Entry'!$$83)</f>
      </c>
      <c r="CL83">
        <f>IF(ISBLANK('Data Entry'!$$83), "", 'Data Entry'!$$83)</f>
      </c>
      <c r="CM83">
        <f>IF(ISBLANK('Data Entry'!$$83), "", 'Data Entry'!$$83)</f>
      </c>
      <c r="CN83">
        <f>IF(ISBLANK('Data Entry'!$$83), "", 'Data Entry'!$$83)</f>
      </c>
      <c r="CO83">
        <f>IF(ISBLANK('Data Entry'!$$83), "", 'Data Entry'!$$83)</f>
      </c>
      <c r="CP83">
        <f>IF(ISBLANK('Data Entry'!$$83), "", 'Data Entry'!$$83)</f>
      </c>
      <c r="CQ83">
        <f>IF(ISBLANK('Data Entry'!$$83), "", 'Data Entry'!$$83)</f>
      </c>
      <c r="CR83">
        <f>IF(ISBLANK('Data Entry'!$ $83), "", 'Data Entry'!$ $83)</f>
      </c>
      <c r="CS83">
        <f>IF(ISBLANK('Data Entry'!$¡$83), "", 'Data Entry'!$¡$83)</f>
      </c>
      <c r="CT83">
        <f>IF(ISBLANK('Data Entry'!$¢$83), "", 'Data Entry'!$¢$83)</f>
      </c>
      <c r="CU83">
        <f>IF(ISBLANK('Data Entry'!$£$83), "", 'Data Entry'!$£$83)</f>
      </c>
      <c r="CV83">
        <f>IF(ISBLANK('Data Entry'!$¤$83), "", 'Data Entry'!$¤$83)</f>
      </c>
      <c r="CW83">
        <f>IF(ISBLANK('Data Entry'!$¥$83), "", 'Data Entry'!$¥$83)</f>
      </c>
      <c r="CX83">
        <f>IF(ISBLANK('Data Entry'!$¦$83), "", 'Data Entry'!$¦$83)</f>
      </c>
      <c r="CY83">
        <f>IF(ISBLANK('Data Entry'!$§$83), "", 'Data Entry'!$§$83)</f>
      </c>
      <c r="CZ83">
        <f>IF(ISBLANK('Data Entry'!$¨$83), "", 'Data Entry'!$¨$83)</f>
      </c>
      <c r="DA83">
        <f>IF(ISBLANK('Data Entry'!$©$83), "", 'Data Entry'!$©$83)</f>
      </c>
      <c r="DB83">
        <f>IF(ISBLANK('Data Entry'!$ª$83), "", 'Data Entry'!$ª$83)</f>
      </c>
      <c r="DC83">
        <f>IF(ISBLANK('Data Entry'!$«$83), "", 'Data Entry'!$«$83)</f>
      </c>
      <c r="DD83">
        <f>IF(ISBLANK('Data Entry'!$¬$83), "", 'Data Entry'!$¬$83)</f>
      </c>
      <c r="DE83">
        <f>IF(ISBLANK('Data Entry'!$­$83), "", 'Data Entry'!$­$83)</f>
      </c>
      <c r="DF83">
        <f>IF(ISBLANK('Data Entry'!$®$83), "", 'Data Entry'!$®$83)</f>
      </c>
      <c r="DG83">
        <f>IF(ISBLANK('Data Entry'!$¯$83), "", 'Data Entry'!$¯$83)</f>
      </c>
      <c r="DH83">
        <f>IF(ISBLANK('Data Entry'!$°$83), "", 'Data Entry'!$°$83)</f>
      </c>
      <c r="DI83">
        <f>IF(ISBLANK('Data Entry'!$±$83), "", 'Data Entry'!$±$83)</f>
      </c>
      <c r="DJ83">
        <f>IF(ISBLANK('Data Entry'!$²$83), "", 'Data Entry'!$²$83)</f>
      </c>
      <c r="DK83">
        <f>IF(ISBLANK('Data Entry'!$³$83), "", 'Data Entry'!$³$83)</f>
      </c>
      <c r="DL83">
        <f>IF(ISBLANK('Data Entry'!$´$83), "", 'Data Entry'!$´$83)</f>
      </c>
      <c r="DM83">
        <f>IF(ISBLANK('Data Entry'!$µ$83), "", 'Data Entry'!$µ$83)</f>
      </c>
      <c r="DN83">
        <f>IF(ISBLANK('Data Entry'!$¶$83), "", 'Data Entry'!$¶$83)</f>
      </c>
      <c r="DO83">
        <f>IF(ISBLANK('Data Entry'!$·$83), "", 'Data Entry'!$·$83)</f>
      </c>
      <c r="DP83">
        <f>IF(ISBLANK('Data Entry'!$¸$83), "", 'Data Entry'!$¸$83)</f>
      </c>
      <c r="DQ83">
        <f>IF(ISBLANK('Data Entry'!$¹$83), "", 'Data Entry'!$¹$83)</f>
      </c>
      <c r="DR83">
        <f>IF(ISBLANK('Data Entry'!$º$83), "", 'Data Entry'!$º$83)</f>
      </c>
      <c r="DS83">
        <f>IF(ISBLANK('Data Entry'!$»$83), "", 'Data Entry'!$»$83)</f>
      </c>
      <c r="DT83">
        <f>IF(ISBLANK('Data Entry'!$¼$83), "", 'Data Entry'!$¼$83)</f>
      </c>
      <c r="DU83">
        <f>IF(ISBLANK('Data Entry'!$½$83), "", 'Data Entry'!$½$83)</f>
      </c>
      <c r="DV83">
        <f>IF(ISBLANK('Data Entry'!$¾$83), "", 'Data Entry'!$¾$83)</f>
      </c>
      <c r="DW83">
        <f>IF(ISBLANK('Data Entry'!$¿$83), "", 'Data Entry'!$¿$83)</f>
      </c>
      <c r="DX83">
        <f>IF(ISBLANK('Data Entry'!$À$83), "", 'Data Entry'!$À$83)</f>
      </c>
      <c r="DY83">
        <f>IF(ISBLANK('Data Entry'!$Á$83), "", 'Data Entry'!$Á$83)</f>
      </c>
      <c r="DZ83">
        <f>IF(ISBLANK('Data Entry'!$Â$83), "", 'Data Entry'!$Â$83)</f>
      </c>
      <c r="EA83">
        <f>IF(ISBLANK('Data Entry'!$Ã$83), "", 'Data Entry'!$Ã$83)</f>
      </c>
      <c r="EB83">
        <f>IF(ISBLANK('Data Entry'!$Ä$83), "", 'Data Entry'!$Ä$83)</f>
      </c>
      <c r="EC83">
        <f>IF(ISBLANK('Data Entry'!$Å$83), "", 'Data Entry'!$Å$83)</f>
      </c>
      <c r="ED83">
        <f>IF(ISBLANK('Data Entry'!$Æ$83), "", 'Data Entry'!$Æ$83)</f>
      </c>
      <c r="EE83">
        <f>IF(ISBLANK('Data Entry'!$Ç$83), "", 'Data Entry'!$Ç$83)</f>
      </c>
      <c r="EF83">
        <f>IF(ISBLANK('Data Entry'!$È$83), "", 'Data Entry'!$È$83)</f>
      </c>
      <c r="EG83">
        <f>IF(ISBLANK('Data Entry'!$É$83), "", 'Data Entry'!$É$83)</f>
      </c>
      <c r="EH83">
        <f>IF(ISBLANK('Data Entry'!$Ê$83), "", 'Data Entry'!$Ê$83)</f>
      </c>
      <c r="EI83">
        <f>IF(ISBLANK('Data Entry'!$Ë$83), "", 'Data Entry'!$Ë$83)</f>
      </c>
      <c r="EJ83">
        <f>IF(ISBLANK('Data Entry'!$Ì$83), "", 'Data Entry'!$Ì$83)</f>
      </c>
      <c r="EK83">
        <f>IF(ISBLANK('Data Entry'!$Í$83), "", 'Data Entry'!$Í$83)</f>
      </c>
      <c r="EL83">
        <f>IF(ISBLANK('Data Entry'!$Î$83), "", 'Data Entry'!$Î$83)</f>
      </c>
      <c r="EM83">
        <f>IF(ISBLANK('Data Entry'!$Ï$83), "", 'Data Entry'!$Ï$83)</f>
      </c>
      <c r="EN83">
        <f>IF(ISBLANK('Data Entry'!$Ð$83), "", 'Data Entry'!$Ð$83)</f>
      </c>
      <c r="EO83">
        <f>IF(ISBLANK('Data Entry'!$Ñ$83), "", 'Data Entry'!$Ñ$83)</f>
      </c>
      <c r="EP83">
        <f>IF(ISBLANK('Data Entry'!$Ò$83), "", 'Data Entry'!$Ò$83)</f>
      </c>
      <c r="EQ83">
        <f>IF(ISBLANK('Data Entry'!$Ó$83), "", 'Data Entry'!$Ó$83)</f>
      </c>
      <c r="ER83">
        <f>IF(ISBLANK('Data Entry'!$Ô$83), "", 'Data Entry'!$Ô$83)</f>
      </c>
      <c r="ES83">
        <f>IF(ISBLANK('Data Entry'!$Õ$83), "", 'Data Entry'!$Õ$83)</f>
      </c>
      <c r="ET83">
        <f>IF(ISBLANK('Data Entry'!$Ö$83), "", 'Data Entry'!$Ö$83)</f>
      </c>
      <c r="EU83">
        <f>IF(ISBLANK('Data Entry'!$×$83), "", 'Data Entry'!$×$83)</f>
      </c>
      <c r="EV83">
        <f>IF(ISBLANK('Data Entry'!$Ø$83), "", 'Data Entry'!$Ø$83)</f>
      </c>
      <c r="EW83">
        <f>IF(ISBLANK('Data Entry'!$Ù$83), "", 'Data Entry'!$Ù$83)</f>
      </c>
      <c r="EX83">
        <f>IF(ISBLANK('Data Entry'!$Ú$83), "", 'Data Entry'!$Ú$83)</f>
      </c>
      <c r="EY83">
        <f>IF(ISBLANK('Data Entry'!$Û$83), "", 'Data Entry'!$Û$83)</f>
      </c>
      <c r="EZ83">
        <f>IF(ISBLANK('Data Entry'!$Ü$83), "", 'Data Entry'!$Ü$83)</f>
      </c>
      <c r="FA83">
        <f>IF(ISBLANK('Data Entry'!$Ý$83), "", 'Data Entry'!$Ý$83)</f>
      </c>
      <c r="FB83">
        <f>IF(ISBLANK('Data Entry'!$Þ$83), "", 'Data Entry'!$Þ$83)</f>
      </c>
      <c r="FC83">
        <f>IF(ISBLANK('Data Entry'!$ß$83), "", 'Data Entry'!$ß$83)</f>
      </c>
      <c r="FD83">
        <f>IF(ISBLANK('Data Entry'!$à$83), "", 'Data Entry'!$à$83)</f>
      </c>
      <c r="FE83">
        <f>IF(ISBLANK('Data Entry'!$á$83), "", 'Data Entry'!$á$83)</f>
      </c>
      <c r="FF83">
        <f>IF(ISBLANK('Data Entry'!$â$83), "", 'Data Entry'!$â$83)</f>
      </c>
      <c r="FG83">
        <f>IF(ISBLANK('Data Entry'!$ã$83), "", 'Data Entry'!$ã$83)</f>
      </c>
      <c r="FH83">
        <f>IF(ISBLANK('Data Entry'!$ä$83), "", 'Data Entry'!$ä$83)</f>
      </c>
      <c r="FI83">
        <f>IF(ISBLANK('Data Entry'!$å$83), "", 'Data Entry'!$å$83)</f>
      </c>
      <c r="FJ83">
        <f>IF(ISBLANK('Data Entry'!$æ$83), "", 'Data Entry'!$æ$83)</f>
      </c>
      <c r="FK83">
        <f>IF(ISBLANK('Data Entry'!$ç$83), "", 'Data Entry'!$ç$83)</f>
      </c>
      <c r="FL83">
        <f>IF(ISBLANK('Data Entry'!$è$83), "", 'Data Entry'!$è$83)</f>
      </c>
      <c r="FM83">
        <f>IF(ISBLANK('Data Entry'!$é$83), "", 'Data Entry'!$é$83)</f>
      </c>
      <c r="FN83">
        <f>IF(ISBLANK('Data Entry'!$ê$83), "", 'Data Entry'!$ê$83)</f>
      </c>
      <c r="FO83">
        <f>IF(ISBLANK('Data Entry'!$ë$83), "", 'Data Entry'!$ë$83)</f>
      </c>
      <c r="FP83">
        <f>IF(ISBLANK('Data Entry'!$ì$83), "", 'Data Entry'!$ì$83)</f>
      </c>
      <c r="FQ83">
        <f>IF(ISBLANK('Data Entry'!$í$83), "", 'Data Entry'!$í$83)</f>
      </c>
      <c r="FR83">
        <f>IF(ISBLANK('Data Entry'!$î$83), "", 'Data Entry'!$î$83)</f>
      </c>
      <c r="FS83">
        <f>IF(ISBLANK('Data Entry'!$ï$83), "", 'Data Entry'!$ï$83)</f>
      </c>
      <c r="FT83">
        <f>IF(ISBLANK('Data Entry'!$ð$83), "", 'Data Entry'!$ð$83)</f>
      </c>
      <c r="FU83">
        <f>IF(ISBLANK('Data Entry'!$ñ$83), "", 'Data Entry'!$ñ$83)</f>
      </c>
      <c r="FV83">
        <f>IF(ISBLANK('Data Entry'!$ò$83), "", 'Data Entry'!$ò$83)</f>
      </c>
      <c r="FW83">
        <f>IF(ISBLANK('Data Entry'!$ó$83), "", 'Data Entry'!$ó$83)</f>
      </c>
      <c r="FX83">
        <f>IF(ISBLANK('Data Entry'!$ô$83), "", 'Data Entry'!$ô$83)</f>
      </c>
      <c r="FY83">
        <f>IF(ISBLANK('Data Entry'!$õ$83), "", 'Data Entry'!$õ$83)</f>
      </c>
      <c r="FZ83">
        <f>IF(ISBLANK('Data Entry'!$ö$83), "", 'Data Entry'!$ö$83)</f>
      </c>
      <c r="GA83">
        <f>IF(ISBLANK('Data Entry'!$÷$83), "", 'Data Entry'!$÷$83)</f>
      </c>
      <c r="GB83">
        <f>IF(ISBLANK('Data Entry'!$ø$83), "", 'Data Entry'!$ø$83)</f>
      </c>
      <c r="GC83">
        <f>IF(ISBLANK('Data Entry'!$ù$83), "", 'Data Entry'!$ù$83)</f>
      </c>
      <c r="GD83">
        <f>IF(ISBLANK('Data Entry'!$ú$83), "", 'Data Entry'!$ú$83)</f>
      </c>
      <c r="GE83">
        <f>IF(ISBLANK('Data Entry'!$û$83), "", 'Data Entry'!$û$83)</f>
      </c>
      <c r="GF83">
        <f>IF(ISBLANK('Data Entry'!$ü$83), "", 'Data Entry'!$ü$83)</f>
      </c>
      <c r="GG83">
        <f>IF(ISBLANK('Data Entry'!$ý$83), "", 'Data Entry'!$ý$83)</f>
      </c>
      <c r="GH83">
        <f>IF(ISBLANK('Data Entry'!$þ$83), "", 'Data Entry'!$þ$83)</f>
      </c>
      <c r="GI83">
        <f>IF(ISBLANK('Data Entry'!$ÿ$83), "", 'Data Entry'!$ÿ$83)</f>
      </c>
      <c r="GJ83">
        <f>IF(ISBLANK('Data Entry'!$Ā$83), "", 'Data Entry'!$Ā$83)</f>
      </c>
      <c r="GK83">
        <f>IF(ISBLANK('Data Entry'!$ā$83), "", 'Data Entry'!$ā$83)</f>
      </c>
      <c r="GL83">
        <f>IF(ISBLANK('Data Entry'!$Ă$83), "", 'Data Entry'!$Ă$83)</f>
      </c>
      <c r="GM83">
        <f>IF(ISBLANK('Data Entry'!$ă$83), "", 'Data Entry'!$ă$83)</f>
      </c>
      <c r="GN83">
        <f>IF(ISBLANK('Data Entry'!$Ą$83), "", 'Data Entry'!$Ą$83)</f>
      </c>
      <c r="GO83">
        <f>IF(ISBLANK('Data Entry'!$ą$83), "", 'Data Entry'!$ą$83)</f>
      </c>
      <c r="GP83">
        <f>IF(ISBLANK('Data Entry'!$Ć$83), "", 'Data Entry'!$Ć$83)</f>
      </c>
      <c r="GQ83">
        <f>IF(ISBLANK('Data Entry'!$ć$83), "", 'Data Entry'!$ć$83)</f>
      </c>
      <c r="GR83">
        <f>IF(ISBLANK('Data Entry'!$Ĉ$83), "", 'Data Entry'!$Ĉ$83)</f>
      </c>
      <c r="GS83">
        <f>IF(ISBLANK('Data Entry'!$ĉ$83), "", 'Data Entry'!$ĉ$83)</f>
      </c>
      <c r="GT83">
        <f>IF(ISBLANK('Data Entry'!$Ċ$83), "", 'Data Entry'!$Ċ$83)</f>
      </c>
      <c r="GU83">
        <f>IF(ISBLANK('Data Entry'!$ċ$83), "", 'Data Entry'!$ċ$83)</f>
      </c>
      <c r="GV83">
        <f>IF(ISBLANK('Data Entry'!$Č$83), "", 'Data Entry'!$Č$83)</f>
      </c>
      <c r="GW83">
        <f>IF(ISBLANK('Data Entry'!$č$83), "", 'Data Entry'!$č$83)</f>
      </c>
      <c r="GX83">
        <f>IF(ISBLANK('Data Entry'!$Ď$83), "", 'Data Entry'!$Ď$83)</f>
      </c>
      <c r="GY83">
        <f>IF(ISBLANK('Data Entry'!$ď$83), "", 'Data Entry'!$ď$83)</f>
      </c>
      <c r="GZ83">
        <f>IF(ISBLANK('Data Entry'!$Đ$83), "", 'Data Entry'!$Đ$83)</f>
      </c>
      <c r="HA83">
        <f>IF(ISBLANK('Data Entry'!$đ$83), "", 'Data Entry'!$đ$83)</f>
      </c>
      <c r="HB83">
        <f>IF(ISBLANK('Data Entry'!$Ē$83), "", 'Data Entry'!$Ē$83)</f>
      </c>
      <c r="HC83">
        <f>IF(ISBLANK('Data Entry'!$ē$83), "", 'Data Entry'!$ē$83)</f>
      </c>
      <c r="HD83">
        <f>IF(ISBLANK('Data Entry'!$Ĕ$83), "", 'Data Entry'!$Ĕ$83)</f>
      </c>
      <c r="HE83">
        <f>IF(ISBLANK('Data Entry'!$ĕ$83), "", 'Data Entry'!$ĕ$83)</f>
      </c>
      <c r="HF83">
        <f>IF(ISBLANK('Data Entry'!$Ė$83), "", 'Data Entry'!$Ė$83)</f>
      </c>
      <c r="HG83">
        <f>IF(ISBLANK('Data Entry'!$ė$83), "", 'Data Entry'!$ė$83)</f>
      </c>
      <c r="HH83">
        <f>IF(ISBLANK('Data Entry'!$Ę$83), "", 'Data Entry'!$Ę$83)</f>
      </c>
      <c r="HI83">
        <f>IF(ISBLANK('Data Entry'!$ę$83), "", 'Data Entry'!$ę$83)</f>
      </c>
      <c r="HJ83">
        <f>IF(ISBLANK('Data Entry'!$Ě$83), "", 'Data Entry'!$Ě$83)</f>
      </c>
      <c r="HK83">
        <f>IF(ISBLANK('Data Entry'!$ě$83), "", 'Data Entry'!$ě$83)</f>
      </c>
      <c r="HL83">
        <f>IF(ISBLANK('Data Entry'!$Ĝ$83), "", 'Data Entry'!$Ĝ$83)</f>
      </c>
      <c r="HM83">
        <f>IF(ISBLANK('Data Entry'!$ĝ$83), "", 'Data Entry'!$ĝ$83)</f>
      </c>
      <c r="HN83">
        <f>IF(ISBLANK('Data Entry'!$Ğ$83), "", 'Data Entry'!$Ğ$83)</f>
      </c>
      <c r="HO83">
        <f>IF(ISBLANK('Data Entry'!$ğ$83), "", 'Data Entry'!$ğ$83)</f>
      </c>
      <c r="HP83">
        <f>IF(ISBLANK('Data Entry'!$Ġ$83), "", 'Data Entry'!$Ġ$83)</f>
      </c>
      <c r="HQ83">
        <f>IF(ISBLANK('Data Entry'!$ġ$83), "", 'Data Entry'!$ġ$83)</f>
      </c>
      <c r="HR83">
        <f>IF(ISBLANK('Data Entry'!$Ģ$83), "", 'Data Entry'!$Ģ$83)</f>
      </c>
      <c r="HS83">
        <f>IF(ISBLANK('Data Entry'!$ģ$83), "", 'Data Entry'!$ģ$83)</f>
      </c>
      <c r="HT83">
        <f>IF(ISBLANK('Data Entry'!$Ĥ$83), "", 'Data Entry'!$Ĥ$83)</f>
      </c>
      <c r="HU83">
        <f>IF(ISBLANK('Data Entry'!$ĥ$83), "", 'Data Entry'!$ĥ$83)</f>
      </c>
      <c r="HV83">
        <f>IF(ISBLANK('Data Entry'!$Ħ$83), "", 'Data Entry'!$Ħ$83)</f>
      </c>
      <c r="HW83">
        <f>IF(ISBLANK('Data Entry'!$ħ$83), "", 'Data Entry'!$ħ$83)</f>
      </c>
      <c r="HX83">
        <f>IF(ISBLANK('Data Entry'!$Ĩ$83), "", 'Data Entry'!$Ĩ$83)</f>
      </c>
      <c r="HY83">
        <f>IF(ISBLANK('Data Entry'!$ĩ$83), "", 'Data Entry'!$ĩ$83)</f>
      </c>
      <c r="HZ83">
        <f>IF(ISBLANK('Data Entry'!$Ī$83), "", 'Data Entry'!$Ī$83)</f>
      </c>
      <c r="IA83">
        <f>IF(ISBLANK('Data Entry'!$ī$83), "", 'Data Entry'!$ī$83)</f>
      </c>
      <c r="IB83">
        <f>IF(ISBLANK('Data Entry'!$Ĭ$83), "", 'Data Entry'!$Ĭ$83)</f>
      </c>
      <c r="IC83">
        <f>IF(ISBLANK('Data Entry'!$ĭ$83), "", 'Data Entry'!$ĭ$83)</f>
      </c>
      <c r="ID83">
        <f>IF(ISBLANK('Data Entry'!$Į$83), "", 'Data Entry'!$Į$83)</f>
      </c>
      <c r="IE83">
        <f>IF(ISBLANK('Data Entry'!$į$83), "", 'Data Entry'!$į$83)</f>
      </c>
      <c r="IF83">
        <f>IF(ISBLANK('Data Entry'!$İ$83), "", 'Data Entry'!$İ$83)</f>
      </c>
      <c r="IG83">
        <f>IF(ISBLANK('Data Entry'!$ı$83), "", 'Data Entry'!$ı$83)</f>
      </c>
      <c r="IH83">
        <f>IF(ISBLANK('Data Entry'!$Ĳ$83), "", 'Data Entry'!$Ĳ$83)</f>
      </c>
      <c r="II83">
        <f>IF(ISBLANK('Data Entry'!$ĳ$83), "", 'Data Entry'!$ĳ$83)</f>
      </c>
      <c r="IJ83">
        <f>IF(ISBLANK('Data Entry'!$Ĵ$83), "", 'Data Entry'!$Ĵ$83)</f>
      </c>
      <c r="IK83">
        <f>IF(ISBLANK('Data Entry'!$ĵ$83), "", 'Data Entry'!$ĵ$83)</f>
      </c>
      <c r="IL83">
        <f>IF(ISBLANK('Data Entry'!$Ķ$83), "", 'Data Entry'!$Ķ$83)</f>
      </c>
      <c r="IM83">
        <f>IF(ISBLANK('Data Entry'!$ķ$83), "", 'Data Entry'!$ķ$83)</f>
      </c>
      <c r="IN83">
        <f>IF(ISBLANK('Data Entry'!$ĸ$83), "", 'Data Entry'!$ĸ$83)</f>
      </c>
      <c r="IO83">
        <f>IF(ISBLANK('Data Entry'!$Ĺ$83), "", 'Data Entry'!$Ĺ$83)</f>
      </c>
      <c r="IP83">
        <f>IF(ISBLANK('Data Entry'!$ĺ$83), "", 'Data Entry'!$ĺ$83)</f>
      </c>
      <c r="IQ83">
        <f>IF(ISBLANK('Data Entry'!$Ļ$83), "", 'Data Entry'!$Ļ$83)</f>
      </c>
      <c r="IR83">
        <f>IF(ISBLANK('Data Entry'!$ļ$83), "", 'Data Entry'!$ļ$83)</f>
      </c>
      <c r="IS83">
        <f>IF(ISBLANK('Data Entry'!$Ľ$83), "", 'Data Entry'!$Ľ$83)</f>
      </c>
      <c r="IT83">
        <f>IF(ISBLANK('Data Entry'!$ľ$83), "", 'Data Entry'!$ľ$83)</f>
      </c>
    </row>
    <row r="84" spans="1:254" x14ac:dyDescent="0.25">
      <c r="A84">
        <f>IF(ISBLANK('Data Entry'!$A$84), "", 'Data Entry'!$A$84)</f>
      </c>
      <c r="B84">
        <f>IF(ISBLANK('Data Entry'!$B$84), "", 'Data Entry'!$B$84)</f>
      </c>
      <c r="C84">
        <f>IF(ISBLANK('Data Entry'!$C$84), "", 'Data Entry'!$C$84)</f>
      </c>
      <c r="D84">
        <f>IF(ISBLANK('Data Entry'!$D$84), "", 'Data Entry'!$D$84)</f>
      </c>
      <c r="E84">
        <f>IF(ISBLANK('Data Entry'!$E$84), "", 'Data Entry'!$E$84)</f>
      </c>
      <c r="F84">
        <f>IF(ISBLANK('Data Entry'!$F$84), "", 'Data Entry'!$F$84)</f>
      </c>
      <c r="G84">
        <f>IF(ISBLANK('Data Entry'!$G$84), "", 'Data Entry'!$G$84)</f>
      </c>
      <c r="H84">
        <f>IF(ISBLANK('Data Entry'!$H$84), "", 'Data Entry'!$H$84)</f>
      </c>
      <c r="I84">
        <f>IF(ISBLANK('Data Entry'!$I$84), "", 'Data Entry'!$I$84)</f>
      </c>
      <c r="J84">
        <f>IF(ISBLANK('Data Entry'!$J$84), "", 'Data Entry'!$J$84)</f>
      </c>
      <c r="K84">
        <f>IF(ISBLANK('Data Entry'!$K$84), "", 'Data Entry'!$K$84)</f>
      </c>
      <c r="L84">
        <f>IF(ISBLANK('Data Entry'!$L$84), "", 'Data Entry'!$L$84)</f>
      </c>
      <c r="M84">
        <f>IF(ISBLANK('Data Entry'!$M$84), "", 'Data Entry'!$M$84)</f>
      </c>
      <c r="N84">
        <f>IF(ISBLANK('Data Entry'!$N$84), "", 'Data Entry'!$N$84)</f>
      </c>
      <c r="O84">
        <f>IF(ISBLANK('Data Entry'!$O$84), "", 'Data Entry'!$O$84)</f>
      </c>
      <c r="P84">
        <f>IF(ISBLANK('Data Entry'!$P$84), "", 'Data Entry'!$P$84)</f>
      </c>
      <c r="Q84">
        <f>IF(ISBLANK('Data Entry'!$Q$84), "", 'Data Entry'!$Q$84)</f>
      </c>
      <c r="R84">
        <f>IF(ISBLANK('Data Entry'!$R$84), "", 'Data Entry'!$R$84)</f>
      </c>
      <c r="S84">
        <f>IF(ISBLANK('Data Entry'!$S$84), "", 'Data Entry'!$S$84)</f>
      </c>
      <c r="T84">
        <f>IF(ISBLANK('Data Entry'!$T$84), "", 'Data Entry'!$T$84)</f>
      </c>
      <c r="U84">
        <f>IF(ISBLANK('Data Entry'!$U$84), "", 'Data Entry'!$U$84)</f>
      </c>
      <c r="V84">
        <f>IF(ISBLANK('Data Entry'!$V$84), "", 'Data Entry'!$V$84)</f>
      </c>
      <c r="W84">
        <f>IF(ISBLANK('Data Entry'!$W$84), "", 'Data Entry'!$W$84)</f>
      </c>
      <c r="X84">
        <f>IF(ISBLANK('Data Entry'!$X$84), "", 'Data Entry'!$X$84)</f>
      </c>
      <c r="Y84">
        <f>IF(ISBLANK('Data Entry'!$Y$84), "", 'Data Entry'!$Y$84)</f>
      </c>
      <c r="Z84">
        <f>IF(ISBLANK('Data Entry'!$Z$84), "", 'Data Entry'!$Z$84)</f>
      </c>
      <c r="AA84">
        <f>IF(ISBLANK('Data Entry'!$[$84), "", 'Data Entry'!$[$84)</f>
      </c>
      <c r="AB84">
        <f>IF(ISBLANK('Data Entry'!$\$84), "", 'Data Entry'!$\$84)</f>
      </c>
      <c r="AC84">
        <f>IF(ISBLANK('Data Entry'!$]$84), "", 'Data Entry'!$]$84)</f>
      </c>
      <c r="AD84">
        <f>IF(ISBLANK('Data Entry'!$^$84), "", 'Data Entry'!$^$84)</f>
      </c>
      <c r="AE84">
        <f>IF(ISBLANK('Data Entry'!$_$84), "", 'Data Entry'!$_$84)</f>
      </c>
      <c r="AF84">
        <f>IF(ISBLANK('Data Entry'!$`$84), "", 'Data Entry'!$`$84)</f>
      </c>
      <c r="AG84">
        <f>IF(ISBLANK('Data Entry'!$a$84), "", 'Data Entry'!$a$84)</f>
      </c>
      <c r="AH84">
        <f>IF(ISBLANK('Data Entry'!$b$84), "", 'Data Entry'!$b$84)</f>
      </c>
      <c r="AI84">
        <f>IF(ISBLANK('Data Entry'!$c$84), "", 'Data Entry'!$c$84)</f>
      </c>
      <c r="AJ84">
        <f>IF(ISBLANK('Data Entry'!$d$84), "", 'Data Entry'!$d$84)</f>
      </c>
      <c r="AK84">
        <f>IF(ISBLANK('Data Entry'!$e$84), "", 'Data Entry'!$e$84)</f>
      </c>
      <c r="AL84">
        <f>IF(ISBLANK('Data Entry'!$f$84), "", 'Data Entry'!$f$84)</f>
      </c>
      <c r="AM84">
        <f>IF(ISBLANK('Data Entry'!$g$84), "", 'Data Entry'!$g$84)</f>
      </c>
      <c r="AN84">
        <f>IF(ISBLANK('Data Entry'!$h$84), "", 'Data Entry'!$h$84)</f>
      </c>
      <c r="AO84">
        <f>IF(ISBLANK('Data Entry'!$i$84), "", 'Data Entry'!$i$84)</f>
      </c>
      <c r="AP84">
        <f>IF(ISBLANK('Data Entry'!$j$84), "", 'Data Entry'!$j$84)</f>
      </c>
      <c r="AQ84">
        <f>IF(ISBLANK('Data Entry'!$k$84), "", 'Data Entry'!$k$84)</f>
      </c>
      <c r="AR84">
        <f>IF(ISBLANK('Data Entry'!$l$84), "", 'Data Entry'!$l$84)</f>
      </c>
      <c r="AS84">
        <f>IF(ISBLANK('Data Entry'!$m$84), "", 'Data Entry'!$m$84)</f>
      </c>
      <c r="AT84">
        <f>IF(ISBLANK('Data Entry'!$n$84), "", 'Data Entry'!$n$84)</f>
      </c>
      <c r="AU84">
        <f>IF(ISBLANK('Data Entry'!$o$84), "", 'Data Entry'!$o$84)</f>
      </c>
      <c r="AV84">
        <f>IF(ISBLANK('Data Entry'!$p$84), "", 'Data Entry'!$p$84)</f>
      </c>
      <c r="AW84">
        <f>IF(ISBLANK('Data Entry'!$q$84), "", 'Data Entry'!$q$84)</f>
      </c>
      <c r="AX84">
        <f>IF(ISBLANK('Data Entry'!$r$84), "", 'Data Entry'!$r$84)</f>
      </c>
      <c r="AY84">
        <f>IF(ISBLANK('Data Entry'!$s$84), "", 'Data Entry'!$s$84)</f>
      </c>
      <c r="AZ84">
        <f>IF(ISBLANK('Data Entry'!$t$84), "", 'Data Entry'!$t$84)</f>
      </c>
      <c r="BA84">
        <f>IF(ISBLANK('Data Entry'!$u$84), "", 'Data Entry'!$u$84)</f>
      </c>
      <c r="BB84">
        <f>IF(ISBLANK('Data Entry'!$v$84), "", 'Data Entry'!$v$84)</f>
      </c>
      <c r="BC84">
        <f>IF(ISBLANK('Data Entry'!$w$84), "", 'Data Entry'!$w$84)</f>
      </c>
      <c r="BD84">
        <f>IF(ISBLANK('Data Entry'!$x$84), "", 'Data Entry'!$x$84)</f>
      </c>
      <c r="BE84">
        <f>IF(ISBLANK('Data Entry'!$y$84), "", 'Data Entry'!$y$84)</f>
      </c>
      <c r="BF84">
        <f>IF(ISBLANK('Data Entry'!$z$84), "", 'Data Entry'!$z$84)</f>
      </c>
      <c r="BG84">
        <f>IF(ISBLANK('Data Entry'!${$84), "", 'Data Entry'!${$84)</f>
      </c>
      <c r="BH84">
        <f>IF(ISBLANK('Data Entry'!$|$84), "", 'Data Entry'!$|$84)</f>
      </c>
      <c r="BI84">
        <f>IF(ISBLANK('Data Entry'!$}$84), "", 'Data Entry'!$}$84)</f>
      </c>
      <c r="BJ84">
        <f>IF(ISBLANK('Data Entry'!$~$84), "", 'Data Entry'!$~$84)</f>
      </c>
      <c r="BK84">
        <f>IF(ISBLANK('Data Entry'!$$84), "", 'Data Entry'!$$84)</f>
      </c>
      <c r="BL84">
        <f>IF(ISBLANK('Data Entry'!$$84), "", 'Data Entry'!$$84)</f>
      </c>
      <c r="BM84">
        <f>IF(ISBLANK('Data Entry'!$$84), "", 'Data Entry'!$$84)</f>
      </c>
      <c r="BN84">
        <f>IF(ISBLANK('Data Entry'!$$84), "", 'Data Entry'!$$84)</f>
      </c>
      <c r="BO84">
        <f>IF(ISBLANK('Data Entry'!$$84), "", 'Data Entry'!$$84)</f>
      </c>
      <c r="BP84">
        <f>IF(ISBLANK('Data Entry'!$$84), "", 'Data Entry'!$$84)</f>
      </c>
      <c r="BQ84">
        <f>IF(ISBLANK('Data Entry'!$$84), "", 'Data Entry'!$$84)</f>
      </c>
      <c r="BR84">
        <f>IF(ISBLANK('Data Entry'!$$84), "", 'Data Entry'!$$84)</f>
      </c>
      <c r="BS84">
        <f>IF(ISBLANK('Data Entry'!$$84), "", 'Data Entry'!$$84)</f>
      </c>
      <c r="BT84">
        <f>IF(ISBLANK('Data Entry'!$$84), "", 'Data Entry'!$$84)</f>
      </c>
      <c r="BU84">
        <f>IF(ISBLANK('Data Entry'!$$84), "", 'Data Entry'!$$84)</f>
      </c>
      <c r="BV84">
        <f>IF(ISBLANK('Data Entry'!$$84), "", 'Data Entry'!$$84)</f>
      </c>
      <c r="BW84">
        <f>IF(ISBLANK('Data Entry'!$$84), "", 'Data Entry'!$$84)</f>
      </c>
      <c r="BX84">
        <f>IF(ISBLANK('Data Entry'!$$84), "", 'Data Entry'!$$84)</f>
      </c>
      <c r="BY84">
        <f>IF(ISBLANK('Data Entry'!$$84), "", 'Data Entry'!$$84)</f>
      </c>
      <c r="BZ84">
        <f>IF(ISBLANK('Data Entry'!$$84), "", 'Data Entry'!$$84)</f>
      </c>
      <c r="CA84">
        <f>IF(ISBLANK('Data Entry'!$$84), "", 'Data Entry'!$$84)</f>
      </c>
      <c r="CB84">
        <f>IF(ISBLANK('Data Entry'!$$84), "", 'Data Entry'!$$84)</f>
      </c>
      <c r="CC84">
        <f>IF(ISBLANK('Data Entry'!$$84), "", 'Data Entry'!$$84)</f>
      </c>
      <c r="CD84">
        <f>IF(ISBLANK('Data Entry'!$$84), "", 'Data Entry'!$$84)</f>
      </c>
      <c r="CE84">
        <f>IF(ISBLANK('Data Entry'!$$84), "", 'Data Entry'!$$84)</f>
      </c>
      <c r="CF84">
        <f>IF(ISBLANK('Data Entry'!$$84), "", 'Data Entry'!$$84)</f>
      </c>
      <c r="CG84">
        <f>IF(ISBLANK('Data Entry'!$$84), "", 'Data Entry'!$$84)</f>
      </c>
      <c r="CH84">
        <f>IF(ISBLANK('Data Entry'!$$84), "", 'Data Entry'!$$84)</f>
      </c>
      <c r="CI84">
        <f>IF(ISBLANK('Data Entry'!$$84), "", 'Data Entry'!$$84)</f>
      </c>
      <c r="CJ84">
        <f>IF(ISBLANK('Data Entry'!$$84), "", 'Data Entry'!$$84)</f>
      </c>
      <c r="CK84">
        <f>IF(ISBLANK('Data Entry'!$$84), "", 'Data Entry'!$$84)</f>
      </c>
      <c r="CL84">
        <f>IF(ISBLANK('Data Entry'!$$84), "", 'Data Entry'!$$84)</f>
      </c>
      <c r="CM84">
        <f>IF(ISBLANK('Data Entry'!$$84), "", 'Data Entry'!$$84)</f>
      </c>
      <c r="CN84">
        <f>IF(ISBLANK('Data Entry'!$$84), "", 'Data Entry'!$$84)</f>
      </c>
      <c r="CO84">
        <f>IF(ISBLANK('Data Entry'!$$84), "", 'Data Entry'!$$84)</f>
      </c>
      <c r="CP84">
        <f>IF(ISBLANK('Data Entry'!$$84), "", 'Data Entry'!$$84)</f>
      </c>
      <c r="CQ84">
        <f>IF(ISBLANK('Data Entry'!$$84), "", 'Data Entry'!$$84)</f>
      </c>
      <c r="CR84">
        <f>IF(ISBLANK('Data Entry'!$ $84), "", 'Data Entry'!$ $84)</f>
      </c>
      <c r="CS84">
        <f>IF(ISBLANK('Data Entry'!$¡$84), "", 'Data Entry'!$¡$84)</f>
      </c>
      <c r="CT84">
        <f>IF(ISBLANK('Data Entry'!$¢$84), "", 'Data Entry'!$¢$84)</f>
      </c>
      <c r="CU84">
        <f>IF(ISBLANK('Data Entry'!$£$84), "", 'Data Entry'!$£$84)</f>
      </c>
      <c r="CV84">
        <f>IF(ISBLANK('Data Entry'!$¤$84), "", 'Data Entry'!$¤$84)</f>
      </c>
      <c r="CW84">
        <f>IF(ISBLANK('Data Entry'!$¥$84), "", 'Data Entry'!$¥$84)</f>
      </c>
      <c r="CX84">
        <f>IF(ISBLANK('Data Entry'!$¦$84), "", 'Data Entry'!$¦$84)</f>
      </c>
      <c r="CY84">
        <f>IF(ISBLANK('Data Entry'!$§$84), "", 'Data Entry'!$§$84)</f>
      </c>
      <c r="CZ84">
        <f>IF(ISBLANK('Data Entry'!$¨$84), "", 'Data Entry'!$¨$84)</f>
      </c>
      <c r="DA84">
        <f>IF(ISBLANK('Data Entry'!$©$84), "", 'Data Entry'!$©$84)</f>
      </c>
      <c r="DB84">
        <f>IF(ISBLANK('Data Entry'!$ª$84), "", 'Data Entry'!$ª$84)</f>
      </c>
      <c r="DC84">
        <f>IF(ISBLANK('Data Entry'!$«$84), "", 'Data Entry'!$«$84)</f>
      </c>
      <c r="DD84">
        <f>IF(ISBLANK('Data Entry'!$¬$84), "", 'Data Entry'!$¬$84)</f>
      </c>
      <c r="DE84">
        <f>IF(ISBLANK('Data Entry'!$­$84), "", 'Data Entry'!$­$84)</f>
      </c>
      <c r="DF84">
        <f>IF(ISBLANK('Data Entry'!$®$84), "", 'Data Entry'!$®$84)</f>
      </c>
      <c r="DG84">
        <f>IF(ISBLANK('Data Entry'!$¯$84), "", 'Data Entry'!$¯$84)</f>
      </c>
      <c r="DH84">
        <f>IF(ISBLANK('Data Entry'!$°$84), "", 'Data Entry'!$°$84)</f>
      </c>
      <c r="DI84">
        <f>IF(ISBLANK('Data Entry'!$±$84), "", 'Data Entry'!$±$84)</f>
      </c>
      <c r="DJ84">
        <f>IF(ISBLANK('Data Entry'!$²$84), "", 'Data Entry'!$²$84)</f>
      </c>
      <c r="DK84">
        <f>IF(ISBLANK('Data Entry'!$³$84), "", 'Data Entry'!$³$84)</f>
      </c>
      <c r="DL84">
        <f>IF(ISBLANK('Data Entry'!$´$84), "", 'Data Entry'!$´$84)</f>
      </c>
      <c r="DM84">
        <f>IF(ISBLANK('Data Entry'!$µ$84), "", 'Data Entry'!$µ$84)</f>
      </c>
      <c r="DN84">
        <f>IF(ISBLANK('Data Entry'!$¶$84), "", 'Data Entry'!$¶$84)</f>
      </c>
      <c r="DO84">
        <f>IF(ISBLANK('Data Entry'!$·$84), "", 'Data Entry'!$·$84)</f>
      </c>
      <c r="DP84">
        <f>IF(ISBLANK('Data Entry'!$¸$84), "", 'Data Entry'!$¸$84)</f>
      </c>
      <c r="DQ84">
        <f>IF(ISBLANK('Data Entry'!$¹$84), "", 'Data Entry'!$¹$84)</f>
      </c>
      <c r="DR84">
        <f>IF(ISBLANK('Data Entry'!$º$84), "", 'Data Entry'!$º$84)</f>
      </c>
      <c r="DS84">
        <f>IF(ISBLANK('Data Entry'!$»$84), "", 'Data Entry'!$»$84)</f>
      </c>
      <c r="DT84">
        <f>IF(ISBLANK('Data Entry'!$¼$84), "", 'Data Entry'!$¼$84)</f>
      </c>
      <c r="DU84">
        <f>IF(ISBLANK('Data Entry'!$½$84), "", 'Data Entry'!$½$84)</f>
      </c>
      <c r="DV84">
        <f>IF(ISBLANK('Data Entry'!$¾$84), "", 'Data Entry'!$¾$84)</f>
      </c>
      <c r="DW84">
        <f>IF(ISBLANK('Data Entry'!$¿$84), "", 'Data Entry'!$¿$84)</f>
      </c>
      <c r="DX84">
        <f>IF(ISBLANK('Data Entry'!$À$84), "", 'Data Entry'!$À$84)</f>
      </c>
      <c r="DY84">
        <f>IF(ISBLANK('Data Entry'!$Á$84), "", 'Data Entry'!$Á$84)</f>
      </c>
      <c r="DZ84">
        <f>IF(ISBLANK('Data Entry'!$Â$84), "", 'Data Entry'!$Â$84)</f>
      </c>
      <c r="EA84">
        <f>IF(ISBLANK('Data Entry'!$Ã$84), "", 'Data Entry'!$Ã$84)</f>
      </c>
      <c r="EB84">
        <f>IF(ISBLANK('Data Entry'!$Ä$84), "", 'Data Entry'!$Ä$84)</f>
      </c>
      <c r="EC84">
        <f>IF(ISBLANK('Data Entry'!$Å$84), "", 'Data Entry'!$Å$84)</f>
      </c>
      <c r="ED84">
        <f>IF(ISBLANK('Data Entry'!$Æ$84), "", 'Data Entry'!$Æ$84)</f>
      </c>
      <c r="EE84">
        <f>IF(ISBLANK('Data Entry'!$Ç$84), "", 'Data Entry'!$Ç$84)</f>
      </c>
      <c r="EF84">
        <f>IF(ISBLANK('Data Entry'!$È$84), "", 'Data Entry'!$È$84)</f>
      </c>
      <c r="EG84">
        <f>IF(ISBLANK('Data Entry'!$É$84), "", 'Data Entry'!$É$84)</f>
      </c>
      <c r="EH84">
        <f>IF(ISBLANK('Data Entry'!$Ê$84), "", 'Data Entry'!$Ê$84)</f>
      </c>
      <c r="EI84">
        <f>IF(ISBLANK('Data Entry'!$Ë$84), "", 'Data Entry'!$Ë$84)</f>
      </c>
      <c r="EJ84">
        <f>IF(ISBLANK('Data Entry'!$Ì$84), "", 'Data Entry'!$Ì$84)</f>
      </c>
      <c r="EK84">
        <f>IF(ISBLANK('Data Entry'!$Í$84), "", 'Data Entry'!$Í$84)</f>
      </c>
      <c r="EL84">
        <f>IF(ISBLANK('Data Entry'!$Î$84), "", 'Data Entry'!$Î$84)</f>
      </c>
      <c r="EM84">
        <f>IF(ISBLANK('Data Entry'!$Ï$84), "", 'Data Entry'!$Ï$84)</f>
      </c>
      <c r="EN84">
        <f>IF(ISBLANK('Data Entry'!$Ð$84), "", 'Data Entry'!$Ð$84)</f>
      </c>
      <c r="EO84">
        <f>IF(ISBLANK('Data Entry'!$Ñ$84), "", 'Data Entry'!$Ñ$84)</f>
      </c>
      <c r="EP84">
        <f>IF(ISBLANK('Data Entry'!$Ò$84), "", 'Data Entry'!$Ò$84)</f>
      </c>
      <c r="EQ84">
        <f>IF(ISBLANK('Data Entry'!$Ó$84), "", 'Data Entry'!$Ó$84)</f>
      </c>
      <c r="ER84">
        <f>IF(ISBLANK('Data Entry'!$Ô$84), "", 'Data Entry'!$Ô$84)</f>
      </c>
      <c r="ES84">
        <f>IF(ISBLANK('Data Entry'!$Õ$84), "", 'Data Entry'!$Õ$84)</f>
      </c>
      <c r="ET84">
        <f>IF(ISBLANK('Data Entry'!$Ö$84), "", 'Data Entry'!$Ö$84)</f>
      </c>
      <c r="EU84">
        <f>IF(ISBLANK('Data Entry'!$×$84), "", 'Data Entry'!$×$84)</f>
      </c>
      <c r="EV84">
        <f>IF(ISBLANK('Data Entry'!$Ø$84), "", 'Data Entry'!$Ø$84)</f>
      </c>
      <c r="EW84">
        <f>IF(ISBLANK('Data Entry'!$Ù$84), "", 'Data Entry'!$Ù$84)</f>
      </c>
      <c r="EX84">
        <f>IF(ISBLANK('Data Entry'!$Ú$84), "", 'Data Entry'!$Ú$84)</f>
      </c>
      <c r="EY84">
        <f>IF(ISBLANK('Data Entry'!$Û$84), "", 'Data Entry'!$Û$84)</f>
      </c>
      <c r="EZ84">
        <f>IF(ISBLANK('Data Entry'!$Ü$84), "", 'Data Entry'!$Ü$84)</f>
      </c>
      <c r="FA84">
        <f>IF(ISBLANK('Data Entry'!$Ý$84), "", 'Data Entry'!$Ý$84)</f>
      </c>
      <c r="FB84">
        <f>IF(ISBLANK('Data Entry'!$Þ$84), "", 'Data Entry'!$Þ$84)</f>
      </c>
      <c r="FC84">
        <f>IF(ISBLANK('Data Entry'!$ß$84), "", 'Data Entry'!$ß$84)</f>
      </c>
      <c r="FD84">
        <f>IF(ISBLANK('Data Entry'!$à$84), "", 'Data Entry'!$à$84)</f>
      </c>
      <c r="FE84">
        <f>IF(ISBLANK('Data Entry'!$á$84), "", 'Data Entry'!$á$84)</f>
      </c>
      <c r="FF84">
        <f>IF(ISBLANK('Data Entry'!$â$84), "", 'Data Entry'!$â$84)</f>
      </c>
      <c r="FG84">
        <f>IF(ISBLANK('Data Entry'!$ã$84), "", 'Data Entry'!$ã$84)</f>
      </c>
      <c r="FH84">
        <f>IF(ISBLANK('Data Entry'!$ä$84), "", 'Data Entry'!$ä$84)</f>
      </c>
      <c r="FI84">
        <f>IF(ISBLANK('Data Entry'!$å$84), "", 'Data Entry'!$å$84)</f>
      </c>
      <c r="FJ84">
        <f>IF(ISBLANK('Data Entry'!$æ$84), "", 'Data Entry'!$æ$84)</f>
      </c>
      <c r="FK84">
        <f>IF(ISBLANK('Data Entry'!$ç$84), "", 'Data Entry'!$ç$84)</f>
      </c>
      <c r="FL84">
        <f>IF(ISBLANK('Data Entry'!$è$84), "", 'Data Entry'!$è$84)</f>
      </c>
      <c r="FM84">
        <f>IF(ISBLANK('Data Entry'!$é$84), "", 'Data Entry'!$é$84)</f>
      </c>
      <c r="FN84">
        <f>IF(ISBLANK('Data Entry'!$ê$84), "", 'Data Entry'!$ê$84)</f>
      </c>
      <c r="FO84">
        <f>IF(ISBLANK('Data Entry'!$ë$84), "", 'Data Entry'!$ë$84)</f>
      </c>
      <c r="FP84">
        <f>IF(ISBLANK('Data Entry'!$ì$84), "", 'Data Entry'!$ì$84)</f>
      </c>
      <c r="FQ84">
        <f>IF(ISBLANK('Data Entry'!$í$84), "", 'Data Entry'!$í$84)</f>
      </c>
      <c r="FR84">
        <f>IF(ISBLANK('Data Entry'!$î$84), "", 'Data Entry'!$î$84)</f>
      </c>
      <c r="FS84">
        <f>IF(ISBLANK('Data Entry'!$ï$84), "", 'Data Entry'!$ï$84)</f>
      </c>
      <c r="FT84">
        <f>IF(ISBLANK('Data Entry'!$ð$84), "", 'Data Entry'!$ð$84)</f>
      </c>
      <c r="FU84">
        <f>IF(ISBLANK('Data Entry'!$ñ$84), "", 'Data Entry'!$ñ$84)</f>
      </c>
      <c r="FV84">
        <f>IF(ISBLANK('Data Entry'!$ò$84), "", 'Data Entry'!$ò$84)</f>
      </c>
      <c r="FW84">
        <f>IF(ISBLANK('Data Entry'!$ó$84), "", 'Data Entry'!$ó$84)</f>
      </c>
      <c r="FX84">
        <f>IF(ISBLANK('Data Entry'!$ô$84), "", 'Data Entry'!$ô$84)</f>
      </c>
      <c r="FY84">
        <f>IF(ISBLANK('Data Entry'!$õ$84), "", 'Data Entry'!$õ$84)</f>
      </c>
      <c r="FZ84">
        <f>IF(ISBLANK('Data Entry'!$ö$84), "", 'Data Entry'!$ö$84)</f>
      </c>
      <c r="GA84">
        <f>IF(ISBLANK('Data Entry'!$÷$84), "", 'Data Entry'!$÷$84)</f>
      </c>
      <c r="GB84">
        <f>IF(ISBLANK('Data Entry'!$ø$84), "", 'Data Entry'!$ø$84)</f>
      </c>
      <c r="GC84">
        <f>IF(ISBLANK('Data Entry'!$ù$84), "", 'Data Entry'!$ù$84)</f>
      </c>
      <c r="GD84">
        <f>IF(ISBLANK('Data Entry'!$ú$84), "", 'Data Entry'!$ú$84)</f>
      </c>
      <c r="GE84">
        <f>IF(ISBLANK('Data Entry'!$û$84), "", 'Data Entry'!$û$84)</f>
      </c>
      <c r="GF84">
        <f>IF(ISBLANK('Data Entry'!$ü$84), "", 'Data Entry'!$ü$84)</f>
      </c>
      <c r="GG84">
        <f>IF(ISBLANK('Data Entry'!$ý$84), "", 'Data Entry'!$ý$84)</f>
      </c>
      <c r="GH84">
        <f>IF(ISBLANK('Data Entry'!$þ$84), "", 'Data Entry'!$þ$84)</f>
      </c>
      <c r="GI84">
        <f>IF(ISBLANK('Data Entry'!$ÿ$84), "", 'Data Entry'!$ÿ$84)</f>
      </c>
      <c r="GJ84">
        <f>IF(ISBLANK('Data Entry'!$Ā$84), "", 'Data Entry'!$Ā$84)</f>
      </c>
      <c r="GK84">
        <f>IF(ISBLANK('Data Entry'!$ā$84), "", 'Data Entry'!$ā$84)</f>
      </c>
      <c r="GL84">
        <f>IF(ISBLANK('Data Entry'!$Ă$84), "", 'Data Entry'!$Ă$84)</f>
      </c>
      <c r="GM84">
        <f>IF(ISBLANK('Data Entry'!$ă$84), "", 'Data Entry'!$ă$84)</f>
      </c>
      <c r="GN84">
        <f>IF(ISBLANK('Data Entry'!$Ą$84), "", 'Data Entry'!$Ą$84)</f>
      </c>
      <c r="GO84">
        <f>IF(ISBLANK('Data Entry'!$ą$84), "", 'Data Entry'!$ą$84)</f>
      </c>
      <c r="GP84">
        <f>IF(ISBLANK('Data Entry'!$Ć$84), "", 'Data Entry'!$Ć$84)</f>
      </c>
      <c r="GQ84">
        <f>IF(ISBLANK('Data Entry'!$ć$84), "", 'Data Entry'!$ć$84)</f>
      </c>
      <c r="GR84">
        <f>IF(ISBLANK('Data Entry'!$Ĉ$84), "", 'Data Entry'!$Ĉ$84)</f>
      </c>
      <c r="GS84">
        <f>IF(ISBLANK('Data Entry'!$ĉ$84), "", 'Data Entry'!$ĉ$84)</f>
      </c>
      <c r="GT84">
        <f>IF(ISBLANK('Data Entry'!$Ċ$84), "", 'Data Entry'!$Ċ$84)</f>
      </c>
      <c r="GU84">
        <f>IF(ISBLANK('Data Entry'!$ċ$84), "", 'Data Entry'!$ċ$84)</f>
      </c>
      <c r="GV84">
        <f>IF(ISBLANK('Data Entry'!$Č$84), "", 'Data Entry'!$Č$84)</f>
      </c>
      <c r="GW84">
        <f>IF(ISBLANK('Data Entry'!$č$84), "", 'Data Entry'!$č$84)</f>
      </c>
      <c r="GX84">
        <f>IF(ISBLANK('Data Entry'!$Ď$84), "", 'Data Entry'!$Ď$84)</f>
      </c>
      <c r="GY84">
        <f>IF(ISBLANK('Data Entry'!$ď$84), "", 'Data Entry'!$ď$84)</f>
      </c>
      <c r="GZ84">
        <f>IF(ISBLANK('Data Entry'!$Đ$84), "", 'Data Entry'!$Đ$84)</f>
      </c>
      <c r="HA84">
        <f>IF(ISBLANK('Data Entry'!$đ$84), "", 'Data Entry'!$đ$84)</f>
      </c>
      <c r="HB84">
        <f>IF(ISBLANK('Data Entry'!$Ē$84), "", 'Data Entry'!$Ē$84)</f>
      </c>
      <c r="HC84">
        <f>IF(ISBLANK('Data Entry'!$ē$84), "", 'Data Entry'!$ē$84)</f>
      </c>
      <c r="HD84">
        <f>IF(ISBLANK('Data Entry'!$Ĕ$84), "", 'Data Entry'!$Ĕ$84)</f>
      </c>
      <c r="HE84">
        <f>IF(ISBLANK('Data Entry'!$ĕ$84), "", 'Data Entry'!$ĕ$84)</f>
      </c>
      <c r="HF84">
        <f>IF(ISBLANK('Data Entry'!$Ė$84), "", 'Data Entry'!$Ė$84)</f>
      </c>
      <c r="HG84">
        <f>IF(ISBLANK('Data Entry'!$ė$84), "", 'Data Entry'!$ė$84)</f>
      </c>
      <c r="HH84">
        <f>IF(ISBLANK('Data Entry'!$Ę$84), "", 'Data Entry'!$Ę$84)</f>
      </c>
      <c r="HI84">
        <f>IF(ISBLANK('Data Entry'!$ę$84), "", 'Data Entry'!$ę$84)</f>
      </c>
      <c r="HJ84">
        <f>IF(ISBLANK('Data Entry'!$Ě$84), "", 'Data Entry'!$Ě$84)</f>
      </c>
      <c r="HK84">
        <f>IF(ISBLANK('Data Entry'!$ě$84), "", 'Data Entry'!$ě$84)</f>
      </c>
      <c r="HL84">
        <f>IF(ISBLANK('Data Entry'!$Ĝ$84), "", 'Data Entry'!$Ĝ$84)</f>
      </c>
      <c r="HM84">
        <f>IF(ISBLANK('Data Entry'!$ĝ$84), "", 'Data Entry'!$ĝ$84)</f>
      </c>
      <c r="HN84">
        <f>IF(ISBLANK('Data Entry'!$Ğ$84), "", 'Data Entry'!$Ğ$84)</f>
      </c>
      <c r="HO84">
        <f>IF(ISBLANK('Data Entry'!$ğ$84), "", 'Data Entry'!$ğ$84)</f>
      </c>
      <c r="HP84">
        <f>IF(ISBLANK('Data Entry'!$Ġ$84), "", 'Data Entry'!$Ġ$84)</f>
      </c>
      <c r="HQ84">
        <f>IF(ISBLANK('Data Entry'!$ġ$84), "", 'Data Entry'!$ġ$84)</f>
      </c>
      <c r="HR84">
        <f>IF(ISBLANK('Data Entry'!$Ģ$84), "", 'Data Entry'!$Ģ$84)</f>
      </c>
      <c r="HS84">
        <f>IF(ISBLANK('Data Entry'!$ģ$84), "", 'Data Entry'!$ģ$84)</f>
      </c>
      <c r="HT84">
        <f>IF(ISBLANK('Data Entry'!$Ĥ$84), "", 'Data Entry'!$Ĥ$84)</f>
      </c>
      <c r="HU84">
        <f>IF(ISBLANK('Data Entry'!$ĥ$84), "", 'Data Entry'!$ĥ$84)</f>
      </c>
      <c r="HV84">
        <f>IF(ISBLANK('Data Entry'!$Ħ$84), "", 'Data Entry'!$Ħ$84)</f>
      </c>
      <c r="HW84">
        <f>IF(ISBLANK('Data Entry'!$ħ$84), "", 'Data Entry'!$ħ$84)</f>
      </c>
      <c r="HX84">
        <f>IF(ISBLANK('Data Entry'!$Ĩ$84), "", 'Data Entry'!$Ĩ$84)</f>
      </c>
      <c r="HY84">
        <f>IF(ISBLANK('Data Entry'!$ĩ$84), "", 'Data Entry'!$ĩ$84)</f>
      </c>
      <c r="HZ84">
        <f>IF(ISBLANK('Data Entry'!$Ī$84), "", 'Data Entry'!$Ī$84)</f>
      </c>
      <c r="IA84">
        <f>IF(ISBLANK('Data Entry'!$ī$84), "", 'Data Entry'!$ī$84)</f>
      </c>
      <c r="IB84">
        <f>IF(ISBLANK('Data Entry'!$Ĭ$84), "", 'Data Entry'!$Ĭ$84)</f>
      </c>
      <c r="IC84">
        <f>IF(ISBLANK('Data Entry'!$ĭ$84), "", 'Data Entry'!$ĭ$84)</f>
      </c>
      <c r="ID84">
        <f>IF(ISBLANK('Data Entry'!$Į$84), "", 'Data Entry'!$Į$84)</f>
      </c>
      <c r="IE84">
        <f>IF(ISBLANK('Data Entry'!$į$84), "", 'Data Entry'!$į$84)</f>
      </c>
      <c r="IF84">
        <f>IF(ISBLANK('Data Entry'!$İ$84), "", 'Data Entry'!$İ$84)</f>
      </c>
      <c r="IG84">
        <f>IF(ISBLANK('Data Entry'!$ı$84), "", 'Data Entry'!$ı$84)</f>
      </c>
      <c r="IH84">
        <f>IF(ISBLANK('Data Entry'!$Ĳ$84), "", 'Data Entry'!$Ĳ$84)</f>
      </c>
      <c r="II84">
        <f>IF(ISBLANK('Data Entry'!$ĳ$84), "", 'Data Entry'!$ĳ$84)</f>
      </c>
      <c r="IJ84">
        <f>IF(ISBLANK('Data Entry'!$Ĵ$84), "", 'Data Entry'!$Ĵ$84)</f>
      </c>
      <c r="IK84">
        <f>IF(ISBLANK('Data Entry'!$ĵ$84), "", 'Data Entry'!$ĵ$84)</f>
      </c>
      <c r="IL84">
        <f>IF(ISBLANK('Data Entry'!$Ķ$84), "", 'Data Entry'!$Ķ$84)</f>
      </c>
      <c r="IM84">
        <f>IF(ISBLANK('Data Entry'!$ķ$84), "", 'Data Entry'!$ķ$84)</f>
      </c>
      <c r="IN84">
        <f>IF(ISBLANK('Data Entry'!$ĸ$84), "", 'Data Entry'!$ĸ$84)</f>
      </c>
      <c r="IO84">
        <f>IF(ISBLANK('Data Entry'!$Ĺ$84), "", 'Data Entry'!$Ĺ$84)</f>
      </c>
      <c r="IP84">
        <f>IF(ISBLANK('Data Entry'!$ĺ$84), "", 'Data Entry'!$ĺ$84)</f>
      </c>
      <c r="IQ84">
        <f>IF(ISBLANK('Data Entry'!$Ļ$84), "", 'Data Entry'!$Ļ$84)</f>
      </c>
      <c r="IR84">
        <f>IF(ISBLANK('Data Entry'!$ļ$84), "", 'Data Entry'!$ļ$84)</f>
      </c>
      <c r="IS84">
        <f>IF(ISBLANK('Data Entry'!$Ľ$84), "", 'Data Entry'!$Ľ$84)</f>
      </c>
      <c r="IT84">
        <f>IF(ISBLANK('Data Entry'!$ľ$84), "", 'Data Entry'!$ľ$84)</f>
      </c>
    </row>
    <row r="85" spans="1:254" x14ac:dyDescent="0.25">
      <c r="A85">
        <f>IF(ISBLANK('Data Entry'!$A$85), "", 'Data Entry'!$A$85)</f>
      </c>
      <c r="B85">
        <f>IF(ISBLANK('Data Entry'!$B$85), "", 'Data Entry'!$B$85)</f>
      </c>
      <c r="C85">
        <f>IF(ISBLANK('Data Entry'!$C$85), "", 'Data Entry'!$C$85)</f>
      </c>
      <c r="D85">
        <f>IF(ISBLANK('Data Entry'!$D$85), "", 'Data Entry'!$D$85)</f>
      </c>
      <c r="E85">
        <f>IF(ISBLANK('Data Entry'!$E$85), "", 'Data Entry'!$E$85)</f>
      </c>
      <c r="F85">
        <f>IF(ISBLANK('Data Entry'!$F$85), "", 'Data Entry'!$F$85)</f>
      </c>
      <c r="G85">
        <f>IF(ISBLANK('Data Entry'!$G$85), "", 'Data Entry'!$G$85)</f>
      </c>
      <c r="H85">
        <f>IF(ISBLANK('Data Entry'!$H$85), "", 'Data Entry'!$H$85)</f>
      </c>
      <c r="I85">
        <f>IF(ISBLANK('Data Entry'!$I$85), "", 'Data Entry'!$I$85)</f>
      </c>
      <c r="J85">
        <f>IF(ISBLANK('Data Entry'!$J$85), "", 'Data Entry'!$J$85)</f>
      </c>
      <c r="K85">
        <f>IF(ISBLANK('Data Entry'!$K$85), "", 'Data Entry'!$K$85)</f>
      </c>
      <c r="L85">
        <f>IF(ISBLANK('Data Entry'!$L$85), "", 'Data Entry'!$L$85)</f>
      </c>
      <c r="M85">
        <f>IF(ISBLANK('Data Entry'!$M$85), "", 'Data Entry'!$M$85)</f>
      </c>
      <c r="N85">
        <f>IF(ISBLANK('Data Entry'!$N$85), "", 'Data Entry'!$N$85)</f>
      </c>
      <c r="O85">
        <f>IF(ISBLANK('Data Entry'!$O$85), "", 'Data Entry'!$O$85)</f>
      </c>
      <c r="P85">
        <f>IF(ISBLANK('Data Entry'!$P$85), "", 'Data Entry'!$P$85)</f>
      </c>
      <c r="Q85">
        <f>IF(ISBLANK('Data Entry'!$Q$85), "", 'Data Entry'!$Q$85)</f>
      </c>
      <c r="R85">
        <f>IF(ISBLANK('Data Entry'!$R$85), "", 'Data Entry'!$R$85)</f>
      </c>
      <c r="S85">
        <f>IF(ISBLANK('Data Entry'!$S$85), "", 'Data Entry'!$S$85)</f>
      </c>
      <c r="T85">
        <f>IF(ISBLANK('Data Entry'!$T$85), "", 'Data Entry'!$T$85)</f>
      </c>
      <c r="U85">
        <f>IF(ISBLANK('Data Entry'!$U$85), "", 'Data Entry'!$U$85)</f>
      </c>
      <c r="V85">
        <f>IF(ISBLANK('Data Entry'!$V$85), "", 'Data Entry'!$V$85)</f>
      </c>
      <c r="W85">
        <f>IF(ISBLANK('Data Entry'!$W$85), "", 'Data Entry'!$W$85)</f>
      </c>
      <c r="X85">
        <f>IF(ISBLANK('Data Entry'!$X$85), "", 'Data Entry'!$X$85)</f>
      </c>
      <c r="Y85">
        <f>IF(ISBLANK('Data Entry'!$Y$85), "", 'Data Entry'!$Y$85)</f>
      </c>
      <c r="Z85">
        <f>IF(ISBLANK('Data Entry'!$Z$85), "", 'Data Entry'!$Z$85)</f>
      </c>
      <c r="AA85">
        <f>IF(ISBLANK('Data Entry'!$[$85), "", 'Data Entry'!$[$85)</f>
      </c>
      <c r="AB85">
        <f>IF(ISBLANK('Data Entry'!$\$85), "", 'Data Entry'!$\$85)</f>
      </c>
      <c r="AC85">
        <f>IF(ISBLANK('Data Entry'!$]$85), "", 'Data Entry'!$]$85)</f>
      </c>
      <c r="AD85">
        <f>IF(ISBLANK('Data Entry'!$^$85), "", 'Data Entry'!$^$85)</f>
      </c>
      <c r="AE85">
        <f>IF(ISBLANK('Data Entry'!$_$85), "", 'Data Entry'!$_$85)</f>
      </c>
      <c r="AF85">
        <f>IF(ISBLANK('Data Entry'!$`$85), "", 'Data Entry'!$`$85)</f>
      </c>
      <c r="AG85">
        <f>IF(ISBLANK('Data Entry'!$a$85), "", 'Data Entry'!$a$85)</f>
      </c>
      <c r="AH85">
        <f>IF(ISBLANK('Data Entry'!$b$85), "", 'Data Entry'!$b$85)</f>
      </c>
      <c r="AI85">
        <f>IF(ISBLANK('Data Entry'!$c$85), "", 'Data Entry'!$c$85)</f>
      </c>
      <c r="AJ85">
        <f>IF(ISBLANK('Data Entry'!$d$85), "", 'Data Entry'!$d$85)</f>
      </c>
      <c r="AK85">
        <f>IF(ISBLANK('Data Entry'!$e$85), "", 'Data Entry'!$e$85)</f>
      </c>
      <c r="AL85">
        <f>IF(ISBLANK('Data Entry'!$f$85), "", 'Data Entry'!$f$85)</f>
      </c>
      <c r="AM85">
        <f>IF(ISBLANK('Data Entry'!$g$85), "", 'Data Entry'!$g$85)</f>
      </c>
      <c r="AN85">
        <f>IF(ISBLANK('Data Entry'!$h$85), "", 'Data Entry'!$h$85)</f>
      </c>
      <c r="AO85">
        <f>IF(ISBLANK('Data Entry'!$i$85), "", 'Data Entry'!$i$85)</f>
      </c>
      <c r="AP85">
        <f>IF(ISBLANK('Data Entry'!$j$85), "", 'Data Entry'!$j$85)</f>
      </c>
      <c r="AQ85">
        <f>IF(ISBLANK('Data Entry'!$k$85), "", 'Data Entry'!$k$85)</f>
      </c>
      <c r="AR85">
        <f>IF(ISBLANK('Data Entry'!$l$85), "", 'Data Entry'!$l$85)</f>
      </c>
      <c r="AS85">
        <f>IF(ISBLANK('Data Entry'!$m$85), "", 'Data Entry'!$m$85)</f>
      </c>
      <c r="AT85">
        <f>IF(ISBLANK('Data Entry'!$n$85), "", 'Data Entry'!$n$85)</f>
      </c>
      <c r="AU85">
        <f>IF(ISBLANK('Data Entry'!$o$85), "", 'Data Entry'!$o$85)</f>
      </c>
      <c r="AV85">
        <f>IF(ISBLANK('Data Entry'!$p$85), "", 'Data Entry'!$p$85)</f>
      </c>
      <c r="AW85">
        <f>IF(ISBLANK('Data Entry'!$q$85), "", 'Data Entry'!$q$85)</f>
      </c>
      <c r="AX85">
        <f>IF(ISBLANK('Data Entry'!$r$85), "", 'Data Entry'!$r$85)</f>
      </c>
      <c r="AY85">
        <f>IF(ISBLANK('Data Entry'!$s$85), "", 'Data Entry'!$s$85)</f>
      </c>
      <c r="AZ85">
        <f>IF(ISBLANK('Data Entry'!$t$85), "", 'Data Entry'!$t$85)</f>
      </c>
      <c r="BA85">
        <f>IF(ISBLANK('Data Entry'!$u$85), "", 'Data Entry'!$u$85)</f>
      </c>
      <c r="BB85">
        <f>IF(ISBLANK('Data Entry'!$v$85), "", 'Data Entry'!$v$85)</f>
      </c>
      <c r="BC85">
        <f>IF(ISBLANK('Data Entry'!$w$85), "", 'Data Entry'!$w$85)</f>
      </c>
      <c r="BD85">
        <f>IF(ISBLANK('Data Entry'!$x$85), "", 'Data Entry'!$x$85)</f>
      </c>
      <c r="BE85">
        <f>IF(ISBLANK('Data Entry'!$y$85), "", 'Data Entry'!$y$85)</f>
      </c>
      <c r="BF85">
        <f>IF(ISBLANK('Data Entry'!$z$85), "", 'Data Entry'!$z$85)</f>
      </c>
      <c r="BG85">
        <f>IF(ISBLANK('Data Entry'!${$85), "", 'Data Entry'!${$85)</f>
      </c>
      <c r="BH85">
        <f>IF(ISBLANK('Data Entry'!$|$85), "", 'Data Entry'!$|$85)</f>
      </c>
      <c r="BI85">
        <f>IF(ISBLANK('Data Entry'!$}$85), "", 'Data Entry'!$}$85)</f>
      </c>
      <c r="BJ85">
        <f>IF(ISBLANK('Data Entry'!$~$85), "", 'Data Entry'!$~$85)</f>
      </c>
      <c r="BK85">
        <f>IF(ISBLANK('Data Entry'!$$85), "", 'Data Entry'!$$85)</f>
      </c>
      <c r="BL85">
        <f>IF(ISBLANK('Data Entry'!$$85), "", 'Data Entry'!$$85)</f>
      </c>
      <c r="BM85">
        <f>IF(ISBLANK('Data Entry'!$$85), "", 'Data Entry'!$$85)</f>
      </c>
      <c r="BN85">
        <f>IF(ISBLANK('Data Entry'!$$85), "", 'Data Entry'!$$85)</f>
      </c>
      <c r="BO85">
        <f>IF(ISBLANK('Data Entry'!$$85), "", 'Data Entry'!$$85)</f>
      </c>
      <c r="BP85">
        <f>IF(ISBLANK('Data Entry'!$$85), "", 'Data Entry'!$$85)</f>
      </c>
      <c r="BQ85">
        <f>IF(ISBLANK('Data Entry'!$$85), "", 'Data Entry'!$$85)</f>
      </c>
      <c r="BR85">
        <f>IF(ISBLANK('Data Entry'!$$85), "", 'Data Entry'!$$85)</f>
      </c>
      <c r="BS85">
        <f>IF(ISBLANK('Data Entry'!$$85), "", 'Data Entry'!$$85)</f>
      </c>
      <c r="BT85">
        <f>IF(ISBLANK('Data Entry'!$$85), "", 'Data Entry'!$$85)</f>
      </c>
      <c r="BU85">
        <f>IF(ISBLANK('Data Entry'!$$85), "", 'Data Entry'!$$85)</f>
      </c>
      <c r="BV85">
        <f>IF(ISBLANK('Data Entry'!$$85), "", 'Data Entry'!$$85)</f>
      </c>
      <c r="BW85">
        <f>IF(ISBLANK('Data Entry'!$$85), "", 'Data Entry'!$$85)</f>
      </c>
      <c r="BX85">
        <f>IF(ISBLANK('Data Entry'!$$85), "", 'Data Entry'!$$85)</f>
      </c>
      <c r="BY85">
        <f>IF(ISBLANK('Data Entry'!$$85), "", 'Data Entry'!$$85)</f>
      </c>
      <c r="BZ85">
        <f>IF(ISBLANK('Data Entry'!$$85), "", 'Data Entry'!$$85)</f>
      </c>
      <c r="CA85">
        <f>IF(ISBLANK('Data Entry'!$$85), "", 'Data Entry'!$$85)</f>
      </c>
      <c r="CB85">
        <f>IF(ISBLANK('Data Entry'!$$85), "", 'Data Entry'!$$85)</f>
      </c>
      <c r="CC85">
        <f>IF(ISBLANK('Data Entry'!$$85), "", 'Data Entry'!$$85)</f>
      </c>
      <c r="CD85">
        <f>IF(ISBLANK('Data Entry'!$$85), "", 'Data Entry'!$$85)</f>
      </c>
      <c r="CE85">
        <f>IF(ISBLANK('Data Entry'!$$85), "", 'Data Entry'!$$85)</f>
      </c>
      <c r="CF85">
        <f>IF(ISBLANK('Data Entry'!$$85), "", 'Data Entry'!$$85)</f>
      </c>
      <c r="CG85">
        <f>IF(ISBLANK('Data Entry'!$$85), "", 'Data Entry'!$$85)</f>
      </c>
      <c r="CH85">
        <f>IF(ISBLANK('Data Entry'!$$85), "", 'Data Entry'!$$85)</f>
      </c>
      <c r="CI85">
        <f>IF(ISBLANK('Data Entry'!$$85), "", 'Data Entry'!$$85)</f>
      </c>
      <c r="CJ85">
        <f>IF(ISBLANK('Data Entry'!$$85), "", 'Data Entry'!$$85)</f>
      </c>
      <c r="CK85">
        <f>IF(ISBLANK('Data Entry'!$$85), "", 'Data Entry'!$$85)</f>
      </c>
      <c r="CL85">
        <f>IF(ISBLANK('Data Entry'!$$85), "", 'Data Entry'!$$85)</f>
      </c>
      <c r="CM85">
        <f>IF(ISBLANK('Data Entry'!$$85), "", 'Data Entry'!$$85)</f>
      </c>
      <c r="CN85">
        <f>IF(ISBLANK('Data Entry'!$$85), "", 'Data Entry'!$$85)</f>
      </c>
      <c r="CO85">
        <f>IF(ISBLANK('Data Entry'!$$85), "", 'Data Entry'!$$85)</f>
      </c>
      <c r="CP85">
        <f>IF(ISBLANK('Data Entry'!$$85), "", 'Data Entry'!$$85)</f>
      </c>
      <c r="CQ85">
        <f>IF(ISBLANK('Data Entry'!$$85), "", 'Data Entry'!$$85)</f>
      </c>
      <c r="CR85">
        <f>IF(ISBLANK('Data Entry'!$ $85), "", 'Data Entry'!$ $85)</f>
      </c>
      <c r="CS85">
        <f>IF(ISBLANK('Data Entry'!$¡$85), "", 'Data Entry'!$¡$85)</f>
      </c>
      <c r="CT85">
        <f>IF(ISBLANK('Data Entry'!$¢$85), "", 'Data Entry'!$¢$85)</f>
      </c>
      <c r="CU85">
        <f>IF(ISBLANK('Data Entry'!$£$85), "", 'Data Entry'!$£$85)</f>
      </c>
      <c r="CV85">
        <f>IF(ISBLANK('Data Entry'!$¤$85), "", 'Data Entry'!$¤$85)</f>
      </c>
      <c r="CW85">
        <f>IF(ISBLANK('Data Entry'!$¥$85), "", 'Data Entry'!$¥$85)</f>
      </c>
      <c r="CX85">
        <f>IF(ISBLANK('Data Entry'!$¦$85), "", 'Data Entry'!$¦$85)</f>
      </c>
      <c r="CY85">
        <f>IF(ISBLANK('Data Entry'!$§$85), "", 'Data Entry'!$§$85)</f>
      </c>
      <c r="CZ85">
        <f>IF(ISBLANK('Data Entry'!$¨$85), "", 'Data Entry'!$¨$85)</f>
      </c>
      <c r="DA85">
        <f>IF(ISBLANK('Data Entry'!$©$85), "", 'Data Entry'!$©$85)</f>
      </c>
      <c r="DB85">
        <f>IF(ISBLANK('Data Entry'!$ª$85), "", 'Data Entry'!$ª$85)</f>
      </c>
      <c r="DC85">
        <f>IF(ISBLANK('Data Entry'!$«$85), "", 'Data Entry'!$«$85)</f>
      </c>
      <c r="DD85">
        <f>IF(ISBLANK('Data Entry'!$¬$85), "", 'Data Entry'!$¬$85)</f>
      </c>
      <c r="DE85">
        <f>IF(ISBLANK('Data Entry'!$­$85), "", 'Data Entry'!$­$85)</f>
      </c>
      <c r="DF85">
        <f>IF(ISBLANK('Data Entry'!$®$85), "", 'Data Entry'!$®$85)</f>
      </c>
      <c r="DG85">
        <f>IF(ISBLANK('Data Entry'!$¯$85), "", 'Data Entry'!$¯$85)</f>
      </c>
      <c r="DH85">
        <f>IF(ISBLANK('Data Entry'!$°$85), "", 'Data Entry'!$°$85)</f>
      </c>
      <c r="DI85">
        <f>IF(ISBLANK('Data Entry'!$±$85), "", 'Data Entry'!$±$85)</f>
      </c>
      <c r="DJ85">
        <f>IF(ISBLANK('Data Entry'!$²$85), "", 'Data Entry'!$²$85)</f>
      </c>
      <c r="DK85">
        <f>IF(ISBLANK('Data Entry'!$³$85), "", 'Data Entry'!$³$85)</f>
      </c>
      <c r="DL85">
        <f>IF(ISBLANK('Data Entry'!$´$85), "", 'Data Entry'!$´$85)</f>
      </c>
      <c r="DM85">
        <f>IF(ISBLANK('Data Entry'!$µ$85), "", 'Data Entry'!$µ$85)</f>
      </c>
      <c r="DN85">
        <f>IF(ISBLANK('Data Entry'!$¶$85), "", 'Data Entry'!$¶$85)</f>
      </c>
      <c r="DO85">
        <f>IF(ISBLANK('Data Entry'!$·$85), "", 'Data Entry'!$·$85)</f>
      </c>
      <c r="DP85">
        <f>IF(ISBLANK('Data Entry'!$¸$85), "", 'Data Entry'!$¸$85)</f>
      </c>
      <c r="DQ85">
        <f>IF(ISBLANK('Data Entry'!$¹$85), "", 'Data Entry'!$¹$85)</f>
      </c>
      <c r="DR85">
        <f>IF(ISBLANK('Data Entry'!$º$85), "", 'Data Entry'!$º$85)</f>
      </c>
      <c r="DS85">
        <f>IF(ISBLANK('Data Entry'!$»$85), "", 'Data Entry'!$»$85)</f>
      </c>
      <c r="DT85">
        <f>IF(ISBLANK('Data Entry'!$¼$85), "", 'Data Entry'!$¼$85)</f>
      </c>
      <c r="DU85">
        <f>IF(ISBLANK('Data Entry'!$½$85), "", 'Data Entry'!$½$85)</f>
      </c>
      <c r="DV85">
        <f>IF(ISBLANK('Data Entry'!$¾$85), "", 'Data Entry'!$¾$85)</f>
      </c>
      <c r="DW85">
        <f>IF(ISBLANK('Data Entry'!$¿$85), "", 'Data Entry'!$¿$85)</f>
      </c>
      <c r="DX85">
        <f>IF(ISBLANK('Data Entry'!$À$85), "", 'Data Entry'!$À$85)</f>
      </c>
      <c r="DY85">
        <f>IF(ISBLANK('Data Entry'!$Á$85), "", 'Data Entry'!$Á$85)</f>
      </c>
      <c r="DZ85">
        <f>IF(ISBLANK('Data Entry'!$Â$85), "", 'Data Entry'!$Â$85)</f>
      </c>
      <c r="EA85">
        <f>IF(ISBLANK('Data Entry'!$Ã$85), "", 'Data Entry'!$Ã$85)</f>
      </c>
      <c r="EB85">
        <f>IF(ISBLANK('Data Entry'!$Ä$85), "", 'Data Entry'!$Ä$85)</f>
      </c>
      <c r="EC85">
        <f>IF(ISBLANK('Data Entry'!$Å$85), "", 'Data Entry'!$Å$85)</f>
      </c>
      <c r="ED85">
        <f>IF(ISBLANK('Data Entry'!$Æ$85), "", 'Data Entry'!$Æ$85)</f>
      </c>
      <c r="EE85">
        <f>IF(ISBLANK('Data Entry'!$Ç$85), "", 'Data Entry'!$Ç$85)</f>
      </c>
      <c r="EF85">
        <f>IF(ISBLANK('Data Entry'!$È$85), "", 'Data Entry'!$È$85)</f>
      </c>
      <c r="EG85">
        <f>IF(ISBLANK('Data Entry'!$É$85), "", 'Data Entry'!$É$85)</f>
      </c>
      <c r="EH85">
        <f>IF(ISBLANK('Data Entry'!$Ê$85), "", 'Data Entry'!$Ê$85)</f>
      </c>
      <c r="EI85">
        <f>IF(ISBLANK('Data Entry'!$Ë$85), "", 'Data Entry'!$Ë$85)</f>
      </c>
      <c r="EJ85">
        <f>IF(ISBLANK('Data Entry'!$Ì$85), "", 'Data Entry'!$Ì$85)</f>
      </c>
      <c r="EK85">
        <f>IF(ISBLANK('Data Entry'!$Í$85), "", 'Data Entry'!$Í$85)</f>
      </c>
      <c r="EL85">
        <f>IF(ISBLANK('Data Entry'!$Î$85), "", 'Data Entry'!$Î$85)</f>
      </c>
      <c r="EM85">
        <f>IF(ISBLANK('Data Entry'!$Ï$85), "", 'Data Entry'!$Ï$85)</f>
      </c>
      <c r="EN85">
        <f>IF(ISBLANK('Data Entry'!$Ð$85), "", 'Data Entry'!$Ð$85)</f>
      </c>
      <c r="EO85">
        <f>IF(ISBLANK('Data Entry'!$Ñ$85), "", 'Data Entry'!$Ñ$85)</f>
      </c>
      <c r="EP85">
        <f>IF(ISBLANK('Data Entry'!$Ò$85), "", 'Data Entry'!$Ò$85)</f>
      </c>
      <c r="EQ85">
        <f>IF(ISBLANK('Data Entry'!$Ó$85), "", 'Data Entry'!$Ó$85)</f>
      </c>
      <c r="ER85">
        <f>IF(ISBLANK('Data Entry'!$Ô$85), "", 'Data Entry'!$Ô$85)</f>
      </c>
      <c r="ES85">
        <f>IF(ISBLANK('Data Entry'!$Õ$85), "", 'Data Entry'!$Õ$85)</f>
      </c>
      <c r="ET85">
        <f>IF(ISBLANK('Data Entry'!$Ö$85), "", 'Data Entry'!$Ö$85)</f>
      </c>
      <c r="EU85">
        <f>IF(ISBLANK('Data Entry'!$×$85), "", 'Data Entry'!$×$85)</f>
      </c>
      <c r="EV85">
        <f>IF(ISBLANK('Data Entry'!$Ø$85), "", 'Data Entry'!$Ø$85)</f>
      </c>
      <c r="EW85">
        <f>IF(ISBLANK('Data Entry'!$Ù$85), "", 'Data Entry'!$Ù$85)</f>
      </c>
      <c r="EX85">
        <f>IF(ISBLANK('Data Entry'!$Ú$85), "", 'Data Entry'!$Ú$85)</f>
      </c>
      <c r="EY85">
        <f>IF(ISBLANK('Data Entry'!$Û$85), "", 'Data Entry'!$Û$85)</f>
      </c>
      <c r="EZ85">
        <f>IF(ISBLANK('Data Entry'!$Ü$85), "", 'Data Entry'!$Ü$85)</f>
      </c>
      <c r="FA85">
        <f>IF(ISBLANK('Data Entry'!$Ý$85), "", 'Data Entry'!$Ý$85)</f>
      </c>
      <c r="FB85">
        <f>IF(ISBLANK('Data Entry'!$Þ$85), "", 'Data Entry'!$Þ$85)</f>
      </c>
      <c r="FC85">
        <f>IF(ISBLANK('Data Entry'!$ß$85), "", 'Data Entry'!$ß$85)</f>
      </c>
      <c r="FD85">
        <f>IF(ISBLANK('Data Entry'!$à$85), "", 'Data Entry'!$à$85)</f>
      </c>
      <c r="FE85">
        <f>IF(ISBLANK('Data Entry'!$á$85), "", 'Data Entry'!$á$85)</f>
      </c>
      <c r="FF85">
        <f>IF(ISBLANK('Data Entry'!$â$85), "", 'Data Entry'!$â$85)</f>
      </c>
      <c r="FG85">
        <f>IF(ISBLANK('Data Entry'!$ã$85), "", 'Data Entry'!$ã$85)</f>
      </c>
      <c r="FH85">
        <f>IF(ISBLANK('Data Entry'!$ä$85), "", 'Data Entry'!$ä$85)</f>
      </c>
      <c r="FI85">
        <f>IF(ISBLANK('Data Entry'!$å$85), "", 'Data Entry'!$å$85)</f>
      </c>
      <c r="FJ85">
        <f>IF(ISBLANK('Data Entry'!$æ$85), "", 'Data Entry'!$æ$85)</f>
      </c>
      <c r="FK85">
        <f>IF(ISBLANK('Data Entry'!$ç$85), "", 'Data Entry'!$ç$85)</f>
      </c>
      <c r="FL85">
        <f>IF(ISBLANK('Data Entry'!$è$85), "", 'Data Entry'!$è$85)</f>
      </c>
      <c r="FM85">
        <f>IF(ISBLANK('Data Entry'!$é$85), "", 'Data Entry'!$é$85)</f>
      </c>
      <c r="FN85">
        <f>IF(ISBLANK('Data Entry'!$ê$85), "", 'Data Entry'!$ê$85)</f>
      </c>
      <c r="FO85">
        <f>IF(ISBLANK('Data Entry'!$ë$85), "", 'Data Entry'!$ë$85)</f>
      </c>
      <c r="FP85">
        <f>IF(ISBLANK('Data Entry'!$ì$85), "", 'Data Entry'!$ì$85)</f>
      </c>
      <c r="FQ85">
        <f>IF(ISBLANK('Data Entry'!$í$85), "", 'Data Entry'!$í$85)</f>
      </c>
      <c r="FR85">
        <f>IF(ISBLANK('Data Entry'!$î$85), "", 'Data Entry'!$î$85)</f>
      </c>
      <c r="FS85">
        <f>IF(ISBLANK('Data Entry'!$ï$85), "", 'Data Entry'!$ï$85)</f>
      </c>
      <c r="FT85">
        <f>IF(ISBLANK('Data Entry'!$ð$85), "", 'Data Entry'!$ð$85)</f>
      </c>
      <c r="FU85">
        <f>IF(ISBLANK('Data Entry'!$ñ$85), "", 'Data Entry'!$ñ$85)</f>
      </c>
      <c r="FV85">
        <f>IF(ISBLANK('Data Entry'!$ò$85), "", 'Data Entry'!$ò$85)</f>
      </c>
      <c r="FW85">
        <f>IF(ISBLANK('Data Entry'!$ó$85), "", 'Data Entry'!$ó$85)</f>
      </c>
      <c r="FX85">
        <f>IF(ISBLANK('Data Entry'!$ô$85), "", 'Data Entry'!$ô$85)</f>
      </c>
      <c r="FY85">
        <f>IF(ISBLANK('Data Entry'!$õ$85), "", 'Data Entry'!$õ$85)</f>
      </c>
      <c r="FZ85">
        <f>IF(ISBLANK('Data Entry'!$ö$85), "", 'Data Entry'!$ö$85)</f>
      </c>
      <c r="GA85">
        <f>IF(ISBLANK('Data Entry'!$÷$85), "", 'Data Entry'!$÷$85)</f>
      </c>
      <c r="GB85">
        <f>IF(ISBLANK('Data Entry'!$ø$85), "", 'Data Entry'!$ø$85)</f>
      </c>
      <c r="GC85">
        <f>IF(ISBLANK('Data Entry'!$ù$85), "", 'Data Entry'!$ù$85)</f>
      </c>
      <c r="GD85">
        <f>IF(ISBLANK('Data Entry'!$ú$85), "", 'Data Entry'!$ú$85)</f>
      </c>
      <c r="GE85">
        <f>IF(ISBLANK('Data Entry'!$û$85), "", 'Data Entry'!$û$85)</f>
      </c>
      <c r="GF85">
        <f>IF(ISBLANK('Data Entry'!$ü$85), "", 'Data Entry'!$ü$85)</f>
      </c>
      <c r="GG85">
        <f>IF(ISBLANK('Data Entry'!$ý$85), "", 'Data Entry'!$ý$85)</f>
      </c>
      <c r="GH85">
        <f>IF(ISBLANK('Data Entry'!$þ$85), "", 'Data Entry'!$þ$85)</f>
      </c>
      <c r="GI85">
        <f>IF(ISBLANK('Data Entry'!$ÿ$85), "", 'Data Entry'!$ÿ$85)</f>
      </c>
      <c r="GJ85">
        <f>IF(ISBLANK('Data Entry'!$Ā$85), "", 'Data Entry'!$Ā$85)</f>
      </c>
      <c r="GK85">
        <f>IF(ISBLANK('Data Entry'!$ā$85), "", 'Data Entry'!$ā$85)</f>
      </c>
      <c r="GL85">
        <f>IF(ISBLANK('Data Entry'!$Ă$85), "", 'Data Entry'!$Ă$85)</f>
      </c>
      <c r="GM85">
        <f>IF(ISBLANK('Data Entry'!$ă$85), "", 'Data Entry'!$ă$85)</f>
      </c>
      <c r="GN85">
        <f>IF(ISBLANK('Data Entry'!$Ą$85), "", 'Data Entry'!$Ą$85)</f>
      </c>
      <c r="GO85">
        <f>IF(ISBLANK('Data Entry'!$ą$85), "", 'Data Entry'!$ą$85)</f>
      </c>
      <c r="GP85">
        <f>IF(ISBLANK('Data Entry'!$Ć$85), "", 'Data Entry'!$Ć$85)</f>
      </c>
      <c r="GQ85">
        <f>IF(ISBLANK('Data Entry'!$ć$85), "", 'Data Entry'!$ć$85)</f>
      </c>
      <c r="GR85">
        <f>IF(ISBLANK('Data Entry'!$Ĉ$85), "", 'Data Entry'!$Ĉ$85)</f>
      </c>
      <c r="GS85">
        <f>IF(ISBLANK('Data Entry'!$ĉ$85), "", 'Data Entry'!$ĉ$85)</f>
      </c>
      <c r="GT85">
        <f>IF(ISBLANK('Data Entry'!$Ċ$85), "", 'Data Entry'!$Ċ$85)</f>
      </c>
      <c r="GU85">
        <f>IF(ISBLANK('Data Entry'!$ċ$85), "", 'Data Entry'!$ċ$85)</f>
      </c>
      <c r="GV85">
        <f>IF(ISBLANK('Data Entry'!$Č$85), "", 'Data Entry'!$Č$85)</f>
      </c>
      <c r="GW85">
        <f>IF(ISBLANK('Data Entry'!$č$85), "", 'Data Entry'!$č$85)</f>
      </c>
      <c r="GX85">
        <f>IF(ISBLANK('Data Entry'!$Ď$85), "", 'Data Entry'!$Ď$85)</f>
      </c>
      <c r="GY85">
        <f>IF(ISBLANK('Data Entry'!$ď$85), "", 'Data Entry'!$ď$85)</f>
      </c>
      <c r="GZ85">
        <f>IF(ISBLANK('Data Entry'!$Đ$85), "", 'Data Entry'!$Đ$85)</f>
      </c>
      <c r="HA85">
        <f>IF(ISBLANK('Data Entry'!$đ$85), "", 'Data Entry'!$đ$85)</f>
      </c>
      <c r="HB85">
        <f>IF(ISBLANK('Data Entry'!$Ē$85), "", 'Data Entry'!$Ē$85)</f>
      </c>
      <c r="HC85">
        <f>IF(ISBLANK('Data Entry'!$ē$85), "", 'Data Entry'!$ē$85)</f>
      </c>
      <c r="HD85">
        <f>IF(ISBLANK('Data Entry'!$Ĕ$85), "", 'Data Entry'!$Ĕ$85)</f>
      </c>
      <c r="HE85">
        <f>IF(ISBLANK('Data Entry'!$ĕ$85), "", 'Data Entry'!$ĕ$85)</f>
      </c>
      <c r="HF85">
        <f>IF(ISBLANK('Data Entry'!$Ė$85), "", 'Data Entry'!$Ė$85)</f>
      </c>
      <c r="HG85">
        <f>IF(ISBLANK('Data Entry'!$ė$85), "", 'Data Entry'!$ė$85)</f>
      </c>
      <c r="HH85">
        <f>IF(ISBLANK('Data Entry'!$Ę$85), "", 'Data Entry'!$Ę$85)</f>
      </c>
      <c r="HI85">
        <f>IF(ISBLANK('Data Entry'!$ę$85), "", 'Data Entry'!$ę$85)</f>
      </c>
      <c r="HJ85">
        <f>IF(ISBLANK('Data Entry'!$Ě$85), "", 'Data Entry'!$Ě$85)</f>
      </c>
      <c r="HK85">
        <f>IF(ISBLANK('Data Entry'!$ě$85), "", 'Data Entry'!$ě$85)</f>
      </c>
      <c r="HL85">
        <f>IF(ISBLANK('Data Entry'!$Ĝ$85), "", 'Data Entry'!$Ĝ$85)</f>
      </c>
      <c r="HM85">
        <f>IF(ISBLANK('Data Entry'!$ĝ$85), "", 'Data Entry'!$ĝ$85)</f>
      </c>
      <c r="HN85">
        <f>IF(ISBLANK('Data Entry'!$Ğ$85), "", 'Data Entry'!$Ğ$85)</f>
      </c>
      <c r="HO85">
        <f>IF(ISBLANK('Data Entry'!$ğ$85), "", 'Data Entry'!$ğ$85)</f>
      </c>
      <c r="HP85">
        <f>IF(ISBLANK('Data Entry'!$Ġ$85), "", 'Data Entry'!$Ġ$85)</f>
      </c>
      <c r="HQ85">
        <f>IF(ISBLANK('Data Entry'!$ġ$85), "", 'Data Entry'!$ġ$85)</f>
      </c>
      <c r="HR85">
        <f>IF(ISBLANK('Data Entry'!$Ģ$85), "", 'Data Entry'!$Ģ$85)</f>
      </c>
      <c r="HS85">
        <f>IF(ISBLANK('Data Entry'!$ģ$85), "", 'Data Entry'!$ģ$85)</f>
      </c>
      <c r="HT85">
        <f>IF(ISBLANK('Data Entry'!$Ĥ$85), "", 'Data Entry'!$Ĥ$85)</f>
      </c>
      <c r="HU85">
        <f>IF(ISBLANK('Data Entry'!$ĥ$85), "", 'Data Entry'!$ĥ$85)</f>
      </c>
      <c r="HV85">
        <f>IF(ISBLANK('Data Entry'!$Ħ$85), "", 'Data Entry'!$Ħ$85)</f>
      </c>
      <c r="HW85">
        <f>IF(ISBLANK('Data Entry'!$ħ$85), "", 'Data Entry'!$ħ$85)</f>
      </c>
      <c r="HX85">
        <f>IF(ISBLANK('Data Entry'!$Ĩ$85), "", 'Data Entry'!$Ĩ$85)</f>
      </c>
      <c r="HY85">
        <f>IF(ISBLANK('Data Entry'!$ĩ$85), "", 'Data Entry'!$ĩ$85)</f>
      </c>
      <c r="HZ85">
        <f>IF(ISBLANK('Data Entry'!$Ī$85), "", 'Data Entry'!$Ī$85)</f>
      </c>
      <c r="IA85">
        <f>IF(ISBLANK('Data Entry'!$ī$85), "", 'Data Entry'!$ī$85)</f>
      </c>
      <c r="IB85">
        <f>IF(ISBLANK('Data Entry'!$Ĭ$85), "", 'Data Entry'!$Ĭ$85)</f>
      </c>
      <c r="IC85">
        <f>IF(ISBLANK('Data Entry'!$ĭ$85), "", 'Data Entry'!$ĭ$85)</f>
      </c>
      <c r="ID85">
        <f>IF(ISBLANK('Data Entry'!$Į$85), "", 'Data Entry'!$Į$85)</f>
      </c>
      <c r="IE85">
        <f>IF(ISBLANK('Data Entry'!$į$85), "", 'Data Entry'!$į$85)</f>
      </c>
      <c r="IF85">
        <f>IF(ISBLANK('Data Entry'!$İ$85), "", 'Data Entry'!$İ$85)</f>
      </c>
      <c r="IG85">
        <f>IF(ISBLANK('Data Entry'!$ı$85), "", 'Data Entry'!$ı$85)</f>
      </c>
      <c r="IH85">
        <f>IF(ISBLANK('Data Entry'!$Ĳ$85), "", 'Data Entry'!$Ĳ$85)</f>
      </c>
      <c r="II85">
        <f>IF(ISBLANK('Data Entry'!$ĳ$85), "", 'Data Entry'!$ĳ$85)</f>
      </c>
      <c r="IJ85">
        <f>IF(ISBLANK('Data Entry'!$Ĵ$85), "", 'Data Entry'!$Ĵ$85)</f>
      </c>
      <c r="IK85">
        <f>IF(ISBLANK('Data Entry'!$ĵ$85), "", 'Data Entry'!$ĵ$85)</f>
      </c>
      <c r="IL85">
        <f>IF(ISBLANK('Data Entry'!$Ķ$85), "", 'Data Entry'!$Ķ$85)</f>
      </c>
      <c r="IM85">
        <f>IF(ISBLANK('Data Entry'!$ķ$85), "", 'Data Entry'!$ķ$85)</f>
      </c>
      <c r="IN85">
        <f>IF(ISBLANK('Data Entry'!$ĸ$85), "", 'Data Entry'!$ĸ$85)</f>
      </c>
      <c r="IO85">
        <f>IF(ISBLANK('Data Entry'!$Ĺ$85), "", 'Data Entry'!$Ĺ$85)</f>
      </c>
      <c r="IP85">
        <f>IF(ISBLANK('Data Entry'!$ĺ$85), "", 'Data Entry'!$ĺ$85)</f>
      </c>
      <c r="IQ85">
        <f>IF(ISBLANK('Data Entry'!$Ļ$85), "", 'Data Entry'!$Ļ$85)</f>
      </c>
      <c r="IR85">
        <f>IF(ISBLANK('Data Entry'!$ļ$85), "", 'Data Entry'!$ļ$85)</f>
      </c>
      <c r="IS85">
        <f>IF(ISBLANK('Data Entry'!$Ľ$85), "", 'Data Entry'!$Ľ$85)</f>
      </c>
      <c r="IT85">
        <f>IF(ISBLANK('Data Entry'!$ľ$85), "", 'Data Entry'!$ľ$85)</f>
      </c>
    </row>
    <row r="86" spans="1:254" x14ac:dyDescent="0.25">
      <c r="A86">
        <f>IF(ISBLANK('Data Entry'!$A$86), "", 'Data Entry'!$A$86)</f>
      </c>
      <c r="B86">
        <f>IF(ISBLANK('Data Entry'!$B$86), "", 'Data Entry'!$B$86)</f>
      </c>
      <c r="C86">
        <f>IF(ISBLANK('Data Entry'!$C$86), "", 'Data Entry'!$C$86)</f>
      </c>
      <c r="D86">
        <f>IF(ISBLANK('Data Entry'!$D$86), "", 'Data Entry'!$D$86)</f>
      </c>
      <c r="E86">
        <f>IF(ISBLANK('Data Entry'!$E$86), "", 'Data Entry'!$E$86)</f>
      </c>
      <c r="F86">
        <f>IF(ISBLANK('Data Entry'!$F$86), "", 'Data Entry'!$F$86)</f>
      </c>
      <c r="G86">
        <f>IF(ISBLANK('Data Entry'!$G$86), "", 'Data Entry'!$G$86)</f>
      </c>
      <c r="H86">
        <f>IF(ISBLANK('Data Entry'!$H$86), "", 'Data Entry'!$H$86)</f>
      </c>
      <c r="I86">
        <f>IF(ISBLANK('Data Entry'!$I$86), "", 'Data Entry'!$I$86)</f>
      </c>
      <c r="J86">
        <f>IF(ISBLANK('Data Entry'!$J$86), "", 'Data Entry'!$J$86)</f>
      </c>
      <c r="K86">
        <f>IF(ISBLANK('Data Entry'!$K$86), "", 'Data Entry'!$K$86)</f>
      </c>
      <c r="L86">
        <f>IF(ISBLANK('Data Entry'!$L$86), "", 'Data Entry'!$L$86)</f>
      </c>
      <c r="M86">
        <f>IF(ISBLANK('Data Entry'!$M$86), "", 'Data Entry'!$M$86)</f>
      </c>
      <c r="N86">
        <f>IF(ISBLANK('Data Entry'!$N$86), "", 'Data Entry'!$N$86)</f>
      </c>
      <c r="O86">
        <f>IF(ISBLANK('Data Entry'!$O$86), "", 'Data Entry'!$O$86)</f>
      </c>
      <c r="P86">
        <f>IF(ISBLANK('Data Entry'!$P$86), "", 'Data Entry'!$P$86)</f>
      </c>
      <c r="Q86">
        <f>IF(ISBLANK('Data Entry'!$Q$86), "", 'Data Entry'!$Q$86)</f>
      </c>
      <c r="R86">
        <f>IF(ISBLANK('Data Entry'!$R$86), "", 'Data Entry'!$R$86)</f>
      </c>
      <c r="S86">
        <f>IF(ISBLANK('Data Entry'!$S$86), "", 'Data Entry'!$S$86)</f>
      </c>
      <c r="T86">
        <f>IF(ISBLANK('Data Entry'!$T$86), "", 'Data Entry'!$T$86)</f>
      </c>
      <c r="U86">
        <f>IF(ISBLANK('Data Entry'!$U$86), "", 'Data Entry'!$U$86)</f>
      </c>
      <c r="V86">
        <f>IF(ISBLANK('Data Entry'!$V$86), "", 'Data Entry'!$V$86)</f>
      </c>
      <c r="W86">
        <f>IF(ISBLANK('Data Entry'!$W$86), "", 'Data Entry'!$W$86)</f>
      </c>
      <c r="X86">
        <f>IF(ISBLANK('Data Entry'!$X$86), "", 'Data Entry'!$X$86)</f>
      </c>
      <c r="Y86">
        <f>IF(ISBLANK('Data Entry'!$Y$86), "", 'Data Entry'!$Y$86)</f>
      </c>
      <c r="Z86">
        <f>IF(ISBLANK('Data Entry'!$Z$86), "", 'Data Entry'!$Z$86)</f>
      </c>
      <c r="AA86">
        <f>IF(ISBLANK('Data Entry'!$[$86), "", 'Data Entry'!$[$86)</f>
      </c>
      <c r="AB86">
        <f>IF(ISBLANK('Data Entry'!$\$86), "", 'Data Entry'!$\$86)</f>
      </c>
      <c r="AC86">
        <f>IF(ISBLANK('Data Entry'!$]$86), "", 'Data Entry'!$]$86)</f>
      </c>
      <c r="AD86">
        <f>IF(ISBLANK('Data Entry'!$^$86), "", 'Data Entry'!$^$86)</f>
      </c>
      <c r="AE86">
        <f>IF(ISBLANK('Data Entry'!$_$86), "", 'Data Entry'!$_$86)</f>
      </c>
      <c r="AF86">
        <f>IF(ISBLANK('Data Entry'!$`$86), "", 'Data Entry'!$`$86)</f>
      </c>
      <c r="AG86">
        <f>IF(ISBLANK('Data Entry'!$a$86), "", 'Data Entry'!$a$86)</f>
      </c>
      <c r="AH86">
        <f>IF(ISBLANK('Data Entry'!$b$86), "", 'Data Entry'!$b$86)</f>
      </c>
      <c r="AI86">
        <f>IF(ISBLANK('Data Entry'!$c$86), "", 'Data Entry'!$c$86)</f>
      </c>
      <c r="AJ86">
        <f>IF(ISBLANK('Data Entry'!$d$86), "", 'Data Entry'!$d$86)</f>
      </c>
      <c r="AK86">
        <f>IF(ISBLANK('Data Entry'!$e$86), "", 'Data Entry'!$e$86)</f>
      </c>
      <c r="AL86">
        <f>IF(ISBLANK('Data Entry'!$f$86), "", 'Data Entry'!$f$86)</f>
      </c>
      <c r="AM86">
        <f>IF(ISBLANK('Data Entry'!$g$86), "", 'Data Entry'!$g$86)</f>
      </c>
      <c r="AN86">
        <f>IF(ISBLANK('Data Entry'!$h$86), "", 'Data Entry'!$h$86)</f>
      </c>
      <c r="AO86">
        <f>IF(ISBLANK('Data Entry'!$i$86), "", 'Data Entry'!$i$86)</f>
      </c>
      <c r="AP86">
        <f>IF(ISBLANK('Data Entry'!$j$86), "", 'Data Entry'!$j$86)</f>
      </c>
      <c r="AQ86">
        <f>IF(ISBLANK('Data Entry'!$k$86), "", 'Data Entry'!$k$86)</f>
      </c>
      <c r="AR86">
        <f>IF(ISBLANK('Data Entry'!$l$86), "", 'Data Entry'!$l$86)</f>
      </c>
      <c r="AS86">
        <f>IF(ISBLANK('Data Entry'!$m$86), "", 'Data Entry'!$m$86)</f>
      </c>
      <c r="AT86">
        <f>IF(ISBLANK('Data Entry'!$n$86), "", 'Data Entry'!$n$86)</f>
      </c>
      <c r="AU86">
        <f>IF(ISBLANK('Data Entry'!$o$86), "", 'Data Entry'!$o$86)</f>
      </c>
      <c r="AV86">
        <f>IF(ISBLANK('Data Entry'!$p$86), "", 'Data Entry'!$p$86)</f>
      </c>
      <c r="AW86">
        <f>IF(ISBLANK('Data Entry'!$q$86), "", 'Data Entry'!$q$86)</f>
      </c>
      <c r="AX86">
        <f>IF(ISBLANK('Data Entry'!$r$86), "", 'Data Entry'!$r$86)</f>
      </c>
      <c r="AY86">
        <f>IF(ISBLANK('Data Entry'!$s$86), "", 'Data Entry'!$s$86)</f>
      </c>
      <c r="AZ86">
        <f>IF(ISBLANK('Data Entry'!$t$86), "", 'Data Entry'!$t$86)</f>
      </c>
      <c r="BA86">
        <f>IF(ISBLANK('Data Entry'!$u$86), "", 'Data Entry'!$u$86)</f>
      </c>
      <c r="BB86">
        <f>IF(ISBLANK('Data Entry'!$v$86), "", 'Data Entry'!$v$86)</f>
      </c>
      <c r="BC86">
        <f>IF(ISBLANK('Data Entry'!$w$86), "", 'Data Entry'!$w$86)</f>
      </c>
      <c r="BD86">
        <f>IF(ISBLANK('Data Entry'!$x$86), "", 'Data Entry'!$x$86)</f>
      </c>
      <c r="BE86">
        <f>IF(ISBLANK('Data Entry'!$y$86), "", 'Data Entry'!$y$86)</f>
      </c>
      <c r="BF86">
        <f>IF(ISBLANK('Data Entry'!$z$86), "", 'Data Entry'!$z$86)</f>
      </c>
      <c r="BG86">
        <f>IF(ISBLANK('Data Entry'!${$86), "", 'Data Entry'!${$86)</f>
      </c>
      <c r="BH86">
        <f>IF(ISBLANK('Data Entry'!$|$86), "", 'Data Entry'!$|$86)</f>
      </c>
      <c r="BI86">
        <f>IF(ISBLANK('Data Entry'!$}$86), "", 'Data Entry'!$}$86)</f>
      </c>
      <c r="BJ86">
        <f>IF(ISBLANK('Data Entry'!$~$86), "", 'Data Entry'!$~$86)</f>
      </c>
      <c r="BK86">
        <f>IF(ISBLANK('Data Entry'!$$86), "", 'Data Entry'!$$86)</f>
      </c>
      <c r="BL86">
        <f>IF(ISBLANK('Data Entry'!$$86), "", 'Data Entry'!$$86)</f>
      </c>
      <c r="BM86">
        <f>IF(ISBLANK('Data Entry'!$$86), "", 'Data Entry'!$$86)</f>
      </c>
      <c r="BN86">
        <f>IF(ISBLANK('Data Entry'!$$86), "", 'Data Entry'!$$86)</f>
      </c>
      <c r="BO86">
        <f>IF(ISBLANK('Data Entry'!$$86), "", 'Data Entry'!$$86)</f>
      </c>
      <c r="BP86">
        <f>IF(ISBLANK('Data Entry'!$$86), "", 'Data Entry'!$$86)</f>
      </c>
      <c r="BQ86">
        <f>IF(ISBLANK('Data Entry'!$$86), "", 'Data Entry'!$$86)</f>
      </c>
      <c r="BR86">
        <f>IF(ISBLANK('Data Entry'!$$86), "", 'Data Entry'!$$86)</f>
      </c>
      <c r="BS86">
        <f>IF(ISBLANK('Data Entry'!$$86), "", 'Data Entry'!$$86)</f>
      </c>
      <c r="BT86">
        <f>IF(ISBLANK('Data Entry'!$$86), "", 'Data Entry'!$$86)</f>
      </c>
      <c r="BU86">
        <f>IF(ISBLANK('Data Entry'!$$86), "", 'Data Entry'!$$86)</f>
      </c>
      <c r="BV86">
        <f>IF(ISBLANK('Data Entry'!$$86), "", 'Data Entry'!$$86)</f>
      </c>
      <c r="BW86">
        <f>IF(ISBLANK('Data Entry'!$$86), "", 'Data Entry'!$$86)</f>
      </c>
      <c r="BX86">
        <f>IF(ISBLANK('Data Entry'!$$86), "", 'Data Entry'!$$86)</f>
      </c>
      <c r="BY86">
        <f>IF(ISBLANK('Data Entry'!$$86), "", 'Data Entry'!$$86)</f>
      </c>
      <c r="BZ86">
        <f>IF(ISBLANK('Data Entry'!$$86), "", 'Data Entry'!$$86)</f>
      </c>
      <c r="CA86">
        <f>IF(ISBLANK('Data Entry'!$$86), "", 'Data Entry'!$$86)</f>
      </c>
      <c r="CB86">
        <f>IF(ISBLANK('Data Entry'!$$86), "", 'Data Entry'!$$86)</f>
      </c>
      <c r="CC86">
        <f>IF(ISBLANK('Data Entry'!$$86), "", 'Data Entry'!$$86)</f>
      </c>
      <c r="CD86">
        <f>IF(ISBLANK('Data Entry'!$$86), "", 'Data Entry'!$$86)</f>
      </c>
      <c r="CE86">
        <f>IF(ISBLANK('Data Entry'!$$86), "", 'Data Entry'!$$86)</f>
      </c>
      <c r="CF86">
        <f>IF(ISBLANK('Data Entry'!$$86), "", 'Data Entry'!$$86)</f>
      </c>
      <c r="CG86">
        <f>IF(ISBLANK('Data Entry'!$$86), "", 'Data Entry'!$$86)</f>
      </c>
      <c r="CH86">
        <f>IF(ISBLANK('Data Entry'!$$86), "", 'Data Entry'!$$86)</f>
      </c>
      <c r="CI86">
        <f>IF(ISBLANK('Data Entry'!$$86), "", 'Data Entry'!$$86)</f>
      </c>
      <c r="CJ86">
        <f>IF(ISBLANK('Data Entry'!$$86), "", 'Data Entry'!$$86)</f>
      </c>
      <c r="CK86">
        <f>IF(ISBLANK('Data Entry'!$$86), "", 'Data Entry'!$$86)</f>
      </c>
      <c r="CL86">
        <f>IF(ISBLANK('Data Entry'!$$86), "", 'Data Entry'!$$86)</f>
      </c>
      <c r="CM86">
        <f>IF(ISBLANK('Data Entry'!$$86), "", 'Data Entry'!$$86)</f>
      </c>
      <c r="CN86">
        <f>IF(ISBLANK('Data Entry'!$$86), "", 'Data Entry'!$$86)</f>
      </c>
      <c r="CO86">
        <f>IF(ISBLANK('Data Entry'!$$86), "", 'Data Entry'!$$86)</f>
      </c>
      <c r="CP86">
        <f>IF(ISBLANK('Data Entry'!$$86), "", 'Data Entry'!$$86)</f>
      </c>
      <c r="CQ86">
        <f>IF(ISBLANK('Data Entry'!$$86), "", 'Data Entry'!$$86)</f>
      </c>
      <c r="CR86">
        <f>IF(ISBLANK('Data Entry'!$ $86), "", 'Data Entry'!$ $86)</f>
      </c>
      <c r="CS86">
        <f>IF(ISBLANK('Data Entry'!$¡$86), "", 'Data Entry'!$¡$86)</f>
      </c>
      <c r="CT86">
        <f>IF(ISBLANK('Data Entry'!$¢$86), "", 'Data Entry'!$¢$86)</f>
      </c>
      <c r="CU86">
        <f>IF(ISBLANK('Data Entry'!$£$86), "", 'Data Entry'!$£$86)</f>
      </c>
      <c r="CV86">
        <f>IF(ISBLANK('Data Entry'!$¤$86), "", 'Data Entry'!$¤$86)</f>
      </c>
      <c r="CW86">
        <f>IF(ISBLANK('Data Entry'!$¥$86), "", 'Data Entry'!$¥$86)</f>
      </c>
      <c r="CX86">
        <f>IF(ISBLANK('Data Entry'!$¦$86), "", 'Data Entry'!$¦$86)</f>
      </c>
      <c r="CY86">
        <f>IF(ISBLANK('Data Entry'!$§$86), "", 'Data Entry'!$§$86)</f>
      </c>
      <c r="CZ86">
        <f>IF(ISBLANK('Data Entry'!$¨$86), "", 'Data Entry'!$¨$86)</f>
      </c>
      <c r="DA86">
        <f>IF(ISBLANK('Data Entry'!$©$86), "", 'Data Entry'!$©$86)</f>
      </c>
      <c r="DB86">
        <f>IF(ISBLANK('Data Entry'!$ª$86), "", 'Data Entry'!$ª$86)</f>
      </c>
      <c r="DC86">
        <f>IF(ISBLANK('Data Entry'!$«$86), "", 'Data Entry'!$«$86)</f>
      </c>
      <c r="DD86">
        <f>IF(ISBLANK('Data Entry'!$¬$86), "", 'Data Entry'!$¬$86)</f>
      </c>
      <c r="DE86">
        <f>IF(ISBLANK('Data Entry'!$­$86), "", 'Data Entry'!$­$86)</f>
      </c>
      <c r="DF86">
        <f>IF(ISBLANK('Data Entry'!$®$86), "", 'Data Entry'!$®$86)</f>
      </c>
      <c r="DG86">
        <f>IF(ISBLANK('Data Entry'!$¯$86), "", 'Data Entry'!$¯$86)</f>
      </c>
      <c r="DH86">
        <f>IF(ISBLANK('Data Entry'!$°$86), "", 'Data Entry'!$°$86)</f>
      </c>
      <c r="DI86">
        <f>IF(ISBLANK('Data Entry'!$±$86), "", 'Data Entry'!$±$86)</f>
      </c>
      <c r="DJ86">
        <f>IF(ISBLANK('Data Entry'!$²$86), "", 'Data Entry'!$²$86)</f>
      </c>
      <c r="DK86">
        <f>IF(ISBLANK('Data Entry'!$³$86), "", 'Data Entry'!$³$86)</f>
      </c>
      <c r="DL86">
        <f>IF(ISBLANK('Data Entry'!$´$86), "", 'Data Entry'!$´$86)</f>
      </c>
      <c r="DM86">
        <f>IF(ISBLANK('Data Entry'!$µ$86), "", 'Data Entry'!$µ$86)</f>
      </c>
      <c r="DN86">
        <f>IF(ISBLANK('Data Entry'!$¶$86), "", 'Data Entry'!$¶$86)</f>
      </c>
      <c r="DO86">
        <f>IF(ISBLANK('Data Entry'!$·$86), "", 'Data Entry'!$·$86)</f>
      </c>
      <c r="DP86">
        <f>IF(ISBLANK('Data Entry'!$¸$86), "", 'Data Entry'!$¸$86)</f>
      </c>
      <c r="DQ86">
        <f>IF(ISBLANK('Data Entry'!$¹$86), "", 'Data Entry'!$¹$86)</f>
      </c>
      <c r="DR86">
        <f>IF(ISBLANK('Data Entry'!$º$86), "", 'Data Entry'!$º$86)</f>
      </c>
      <c r="DS86">
        <f>IF(ISBLANK('Data Entry'!$»$86), "", 'Data Entry'!$»$86)</f>
      </c>
      <c r="DT86">
        <f>IF(ISBLANK('Data Entry'!$¼$86), "", 'Data Entry'!$¼$86)</f>
      </c>
      <c r="DU86">
        <f>IF(ISBLANK('Data Entry'!$½$86), "", 'Data Entry'!$½$86)</f>
      </c>
      <c r="DV86">
        <f>IF(ISBLANK('Data Entry'!$¾$86), "", 'Data Entry'!$¾$86)</f>
      </c>
      <c r="DW86">
        <f>IF(ISBLANK('Data Entry'!$¿$86), "", 'Data Entry'!$¿$86)</f>
      </c>
      <c r="DX86">
        <f>IF(ISBLANK('Data Entry'!$À$86), "", 'Data Entry'!$À$86)</f>
      </c>
      <c r="DY86">
        <f>IF(ISBLANK('Data Entry'!$Á$86), "", 'Data Entry'!$Á$86)</f>
      </c>
      <c r="DZ86">
        <f>IF(ISBLANK('Data Entry'!$Â$86), "", 'Data Entry'!$Â$86)</f>
      </c>
      <c r="EA86">
        <f>IF(ISBLANK('Data Entry'!$Ã$86), "", 'Data Entry'!$Ã$86)</f>
      </c>
      <c r="EB86">
        <f>IF(ISBLANK('Data Entry'!$Ä$86), "", 'Data Entry'!$Ä$86)</f>
      </c>
      <c r="EC86">
        <f>IF(ISBLANK('Data Entry'!$Å$86), "", 'Data Entry'!$Å$86)</f>
      </c>
      <c r="ED86">
        <f>IF(ISBLANK('Data Entry'!$Æ$86), "", 'Data Entry'!$Æ$86)</f>
      </c>
      <c r="EE86">
        <f>IF(ISBLANK('Data Entry'!$Ç$86), "", 'Data Entry'!$Ç$86)</f>
      </c>
      <c r="EF86">
        <f>IF(ISBLANK('Data Entry'!$È$86), "", 'Data Entry'!$È$86)</f>
      </c>
      <c r="EG86">
        <f>IF(ISBLANK('Data Entry'!$É$86), "", 'Data Entry'!$É$86)</f>
      </c>
      <c r="EH86">
        <f>IF(ISBLANK('Data Entry'!$Ê$86), "", 'Data Entry'!$Ê$86)</f>
      </c>
      <c r="EI86">
        <f>IF(ISBLANK('Data Entry'!$Ë$86), "", 'Data Entry'!$Ë$86)</f>
      </c>
      <c r="EJ86">
        <f>IF(ISBLANK('Data Entry'!$Ì$86), "", 'Data Entry'!$Ì$86)</f>
      </c>
      <c r="EK86">
        <f>IF(ISBLANK('Data Entry'!$Í$86), "", 'Data Entry'!$Í$86)</f>
      </c>
      <c r="EL86">
        <f>IF(ISBLANK('Data Entry'!$Î$86), "", 'Data Entry'!$Î$86)</f>
      </c>
      <c r="EM86">
        <f>IF(ISBLANK('Data Entry'!$Ï$86), "", 'Data Entry'!$Ï$86)</f>
      </c>
      <c r="EN86">
        <f>IF(ISBLANK('Data Entry'!$Ð$86), "", 'Data Entry'!$Ð$86)</f>
      </c>
      <c r="EO86">
        <f>IF(ISBLANK('Data Entry'!$Ñ$86), "", 'Data Entry'!$Ñ$86)</f>
      </c>
      <c r="EP86">
        <f>IF(ISBLANK('Data Entry'!$Ò$86), "", 'Data Entry'!$Ò$86)</f>
      </c>
      <c r="EQ86">
        <f>IF(ISBLANK('Data Entry'!$Ó$86), "", 'Data Entry'!$Ó$86)</f>
      </c>
      <c r="ER86">
        <f>IF(ISBLANK('Data Entry'!$Ô$86), "", 'Data Entry'!$Ô$86)</f>
      </c>
      <c r="ES86">
        <f>IF(ISBLANK('Data Entry'!$Õ$86), "", 'Data Entry'!$Õ$86)</f>
      </c>
      <c r="ET86">
        <f>IF(ISBLANK('Data Entry'!$Ö$86), "", 'Data Entry'!$Ö$86)</f>
      </c>
      <c r="EU86">
        <f>IF(ISBLANK('Data Entry'!$×$86), "", 'Data Entry'!$×$86)</f>
      </c>
      <c r="EV86">
        <f>IF(ISBLANK('Data Entry'!$Ø$86), "", 'Data Entry'!$Ø$86)</f>
      </c>
      <c r="EW86">
        <f>IF(ISBLANK('Data Entry'!$Ù$86), "", 'Data Entry'!$Ù$86)</f>
      </c>
      <c r="EX86">
        <f>IF(ISBLANK('Data Entry'!$Ú$86), "", 'Data Entry'!$Ú$86)</f>
      </c>
      <c r="EY86">
        <f>IF(ISBLANK('Data Entry'!$Û$86), "", 'Data Entry'!$Û$86)</f>
      </c>
      <c r="EZ86">
        <f>IF(ISBLANK('Data Entry'!$Ü$86), "", 'Data Entry'!$Ü$86)</f>
      </c>
      <c r="FA86">
        <f>IF(ISBLANK('Data Entry'!$Ý$86), "", 'Data Entry'!$Ý$86)</f>
      </c>
      <c r="FB86">
        <f>IF(ISBLANK('Data Entry'!$Þ$86), "", 'Data Entry'!$Þ$86)</f>
      </c>
      <c r="FC86">
        <f>IF(ISBLANK('Data Entry'!$ß$86), "", 'Data Entry'!$ß$86)</f>
      </c>
      <c r="FD86">
        <f>IF(ISBLANK('Data Entry'!$à$86), "", 'Data Entry'!$à$86)</f>
      </c>
      <c r="FE86">
        <f>IF(ISBLANK('Data Entry'!$á$86), "", 'Data Entry'!$á$86)</f>
      </c>
      <c r="FF86">
        <f>IF(ISBLANK('Data Entry'!$â$86), "", 'Data Entry'!$â$86)</f>
      </c>
      <c r="FG86">
        <f>IF(ISBLANK('Data Entry'!$ã$86), "", 'Data Entry'!$ã$86)</f>
      </c>
      <c r="FH86">
        <f>IF(ISBLANK('Data Entry'!$ä$86), "", 'Data Entry'!$ä$86)</f>
      </c>
      <c r="FI86">
        <f>IF(ISBLANK('Data Entry'!$å$86), "", 'Data Entry'!$å$86)</f>
      </c>
      <c r="FJ86">
        <f>IF(ISBLANK('Data Entry'!$æ$86), "", 'Data Entry'!$æ$86)</f>
      </c>
      <c r="FK86">
        <f>IF(ISBLANK('Data Entry'!$ç$86), "", 'Data Entry'!$ç$86)</f>
      </c>
      <c r="FL86">
        <f>IF(ISBLANK('Data Entry'!$è$86), "", 'Data Entry'!$è$86)</f>
      </c>
      <c r="FM86">
        <f>IF(ISBLANK('Data Entry'!$é$86), "", 'Data Entry'!$é$86)</f>
      </c>
      <c r="FN86">
        <f>IF(ISBLANK('Data Entry'!$ê$86), "", 'Data Entry'!$ê$86)</f>
      </c>
      <c r="FO86">
        <f>IF(ISBLANK('Data Entry'!$ë$86), "", 'Data Entry'!$ë$86)</f>
      </c>
      <c r="FP86">
        <f>IF(ISBLANK('Data Entry'!$ì$86), "", 'Data Entry'!$ì$86)</f>
      </c>
      <c r="FQ86">
        <f>IF(ISBLANK('Data Entry'!$í$86), "", 'Data Entry'!$í$86)</f>
      </c>
      <c r="FR86">
        <f>IF(ISBLANK('Data Entry'!$î$86), "", 'Data Entry'!$î$86)</f>
      </c>
      <c r="FS86">
        <f>IF(ISBLANK('Data Entry'!$ï$86), "", 'Data Entry'!$ï$86)</f>
      </c>
      <c r="FT86">
        <f>IF(ISBLANK('Data Entry'!$ð$86), "", 'Data Entry'!$ð$86)</f>
      </c>
      <c r="FU86">
        <f>IF(ISBLANK('Data Entry'!$ñ$86), "", 'Data Entry'!$ñ$86)</f>
      </c>
      <c r="FV86">
        <f>IF(ISBLANK('Data Entry'!$ò$86), "", 'Data Entry'!$ò$86)</f>
      </c>
      <c r="FW86">
        <f>IF(ISBLANK('Data Entry'!$ó$86), "", 'Data Entry'!$ó$86)</f>
      </c>
      <c r="FX86">
        <f>IF(ISBLANK('Data Entry'!$ô$86), "", 'Data Entry'!$ô$86)</f>
      </c>
      <c r="FY86">
        <f>IF(ISBLANK('Data Entry'!$õ$86), "", 'Data Entry'!$õ$86)</f>
      </c>
      <c r="FZ86">
        <f>IF(ISBLANK('Data Entry'!$ö$86), "", 'Data Entry'!$ö$86)</f>
      </c>
      <c r="GA86">
        <f>IF(ISBLANK('Data Entry'!$÷$86), "", 'Data Entry'!$÷$86)</f>
      </c>
      <c r="GB86">
        <f>IF(ISBLANK('Data Entry'!$ø$86), "", 'Data Entry'!$ø$86)</f>
      </c>
      <c r="GC86">
        <f>IF(ISBLANK('Data Entry'!$ù$86), "", 'Data Entry'!$ù$86)</f>
      </c>
      <c r="GD86">
        <f>IF(ISBLANK('Data Entry'!$ú$86), "", 'Data Entry'!$ú$86)</f>
      </c>
      <c r="GE86">
        <f>IF(ISBLANK('Data Entry'!$û$86), "", 'Data Entry'!$û$86)</f>
      </c>
      <c r="GF86">
        <f>IF(ISBLANK('Data Entry'!$ü$86), "", 'Data Entry'!$ü$86)</f>
      </c>
      <c r="GG86">
        <f>IF(ISBLANK('Data Entry'!$ý$86), "", 'Data Entry'!$ý$86)</f>
      </c>
      <c r="GH86">
        <f>IF(ISBLANK('Data Entry'!$þ$86), "", 'Data Entry'!$þ$86)</f>
      </c>
      <c r="GI86">
        <f>IF(ISBLANK('Data Entry'!$ÿ$86), "", 'Data Entry'!$ÿ$86)</f>
      </c>
      <c r="GJ86">
        <f>IF(ISBLANK('Data Entry'!$Ā$86), "", 'Data Entry'!$Ā$86)</f>
      </c>
      <c r="GK86">
        <f>IF(ISBLANK('Data Entry'!$ā$86), "", 'Data Entry'!$ā$86)</f>
      </c>
      <c r="GL86">
        <f>IF(ISBLANK('Data Entry'!$Ă$86), "", 'Data Entry'!$Ă$86)</f>
      </c>
      <c r="GM86">
        <f>IF(ISBLANK('Data Entry'!$ă$86), "", 'Data Entry'!$ă$86)</f>
      </c>
      <c r="GN86">
        <f>IF(ISBLANK('Data Entry'!$Ą$86), "", 'Data Entry'!$Ą$86)</f>
      </c>
      <c r="GO86">
        <f>IF(ISBLANK('Data Entry'!$ą$86), "", 'Data Entry'!$ą$86)</f>
      </c>
      <c r="GP86">
        <f>IF(ISBLANK('Data Entry'!$Ć$86), "", 'Data Entry'!$Ć$86)</f>
      </c>
      <c r="GQ86">
        <f>IF(ISBLANK('Data Entry'!$ć$86), "", 'Data Entry'!$ć$86)</f>
      </c>
      <c r="GR86">
        <f>IF(ISBLANK('Data Entry'!$Ĉ$86), "", 'Data Entry'!$Ĉ$86)</f>
      </c>
      <c r="GS86">
        <f>IF(ISBLANK('Data Entry'!$ĉ$86), "", 'Data Entry'!$ĉ$86)</f>
      </c>
      <c r="GT86">
        <f>IF(ISBLANK('Data Entry'!$Ċ$86), "", 'Data Entry'!$Ċ$86)</f>
      </c>
      <c r="GU86">
        <f>IF(ISBLANK('Data Entry'!$ċ$86), "", 'Data Entry'!$ċ$86)</f>
      </c>
      <c r="GV86">
        <f>IF(ISBLANK('Data Entry'!$Č$86), "", 'Data Entry'!$Č$86)</f>
      </c>
      <c r="GW86">
        <f>IF(ISBLANK('Data Entry'!$č$86), "", 'Data Entry'!$č$86)</f>
      </c>
      <c r="GX86">
        <f>IF(ISBLANK('Data Entry'!$Ď$86), "", 'Data Entry'!$Ď$86)</f>
      </c>
      <c r="GY86">
        <f>IF(ISBLANK('Data Entry'!$ď$86), "", 'Data Entry'!$ď$86)</f>
      </c>
      <c r="GZ86">
        <f>IF(ISBLANK('Data Entry'!$Đ$86), "", 'Data Entry'!$Đ$86)</f>
      </c>
      <c r="HA86">
        <f>IF(ISBLANK('Data Entry'!$đ$86), "", 'Data Entry'!$đ$86)</f>
      </c>
      <c r="HB86">
        <f>IF(ISBLANK('Data Entry'!$Ē$86), "", 'Data Entry'!$Ē$86)</f>
      </c>
      <c r="HC86">
        <f>IF(ISBLANK('Data Entry'!$ē$86), "", 'Data Entry'!$ē$86)</f>
      </c>
      <c r="HD86">
        <f>IF(ISBLANK('Data Entry'!$Ĕ$86), "", 'Data Entry'!$Ĕ$86)</f>
      </c>
      <c r="HE86">
        <f>IF(ISBLANK('Data Entry'!$ĕ$86), "", 'Data Entry'!$ĕ$86)</f>
      </c>
      <c r="HF86">
        <f>IF(ISBLANK('Data Entry'!$Ė$86), "", 'Data Entry'!$Ė$86)</f>
      </c>
      <c r="HG86">
        <f>IF(ISBLANK('Data Entry'!$ė$86), "", 'Data Entry'!$ė$86)</f>
      </c>
      <c r="HH86">
        <f>IF(ISBLANK('Data Entry'!$Ę$86), "", 'Data Entry'!$Ę$86)</f>
      </c>
      <c r="HI86">
        <f>IF(ISBLANK('Data Entry'!$ę$86), "", 'Data Entry'!$ę$86)</f>
      </c>
      <c r="HJ86">
        <f>IF(ISBLANK('Data Entry'!$Ě$86), "", 'Data Entry'!$Ě$86)</f>
      </c>
      <c r="HK86">
        <f>IF(ISBLANK('Data Entry'!$ě$86), "", 'Data Entry'!$ě$86)</f>
      </c>
      <c r="HL86">
        <f>IF(ISBLANK('Data Entry'!$Ĝ$86), "", 'Data Entry'!$Ĝ$86)</f>
      </c>
      <c r="HM86">
        <f>IF(ISBLANK('Data Entry'!$ĝ$86), "", 'Data Entry'!$ĝ$86)</f>
      </c>
      <c r="HN86">
        <f>IF(ISBLANK('Data Entry'!$Ğ$86), "", 'Data Entry'!$Ğ$86)</f>
      </c>
      <c r="HO86">
        <f>IF(ISBLANK('Data Entry'!$ğ$86), "", 'Data Entry'!$ğ$86)</f>
      </c>
      <c r="HP86">
        <f>IF(ISBLANK('Data Entry'!$Ġ$86), "", 'Data Entry'!$Ġ$86)</f>
      </c>
      <c r="HQ86">
        <f>IF(ISBLANK('Data Entry'!$ġ$86), "", 'Data Entry'!$ġ$86)</f>
      </c>
      <c r="HR86">
        <f>IF(ISBLANK('Data Entry'!$Ģ$86), "", 'Data Entry'!$Ģ$86)</f>
      </c>
      <c r="HS86">
        <f>IF(ISBLANK('Data Entry'!$ģ$86), "", 'Data Entry'!$ģ$86)</f>
      </c>
      <c r="HT86">
        <f>IF(ISBLANK('Data Entry'!$Ĥ$86), "", 'Data Entry'!$Ĥ$86)</f>
      </c>
      <c r="HU86">
        <f>IF(ISBLANK('Data Entry'!$ĥ$86), "", 'Data Entry'!$ĥ$86)</f>
      </c>
      <c r="HV86">
        <f>IF(ISBLANK('Data Entry'!$Ħ$86), "", 'Data Entry'!$Ħ$86)</f>
      </c>
      <c r="HW86">
        <f>IF(ISBLANK('Data Entry'!$ħ$86), "", 'Data Entry'!$ħ$86)</f>
      </c>
      <c r="HX86">
        <f>IF(ISBLANK('Data Entry'!$Ĩ$86), "", 'Data Entry'!$Ĩ$86)</f>
      </c>
      <c r="HY86">
        <f>IF(ISBLANK('Data Entry'!$ĩ$86), "", 'Data Entry'!$ĩ$86)</f>
      </c>
      <c r="HZ86">
        <f>IF(ISBLANK('Data Entry'!$Ī$86), "", 'Data Entry'!$Ī$86)</f>
      </c>
      <c r="IA86">
        <f>IF(ISBLANK('Data Entry'!$ī$86), "", 'Data Entry'!$ī$86)</f>
      </c>
      <c r="IB86">
        <f>IF(ISBLANK('Data Entry'!$Ĭ$86), "", 'Data Entry'!$Ĭ$86)</f>
      </c>
      <c r="IC86">
        <f>IF(ISBLANK('Data Entry'!$ĭ$86), "", 'Data Entry'!$ĭ$86)</f>
      </c>
      <c r="ID86">
        <f>IF(ISBLANK('Data Entry'!$Į$86), "", 'Data Entry'!$Į$86)</f>
      </c>
      <c r="IE86">
        <f>IF(ISBLANK('Data Entry'!$į$86), "", 'Data Entry'!$į$86)</f>
      </c>
      <c r="IF86">
        <f>IF(ISBLANK('Data Entry'!$İ$86), "", 'Data Entry'!$İ$86)</f>
      </c>
      <c r="IG86">
        <f>IF(ISBLANK('Data Entry'!$ı$86), "", 'Data Entry'!$ı$86)</f>
      </c>
      <c r="IH86">
        <f>IF(ISBLANK('Data Entry'!$Ĳ$86), "", 'Data Entry'!$Ĳ$86)</f>
      </c>
      <c r="II86">
        <f>IF(ISBLANK('Data Entry'!$ĳ$86), "", 'Data Entry'!$ĳ$86)</f>
      </c>
      <c r="IJ86">
        <f>IF(ISBLANK('Data Entry'!$Ĵ$86), "", 'Data Entry'!$Ĵ$86)</f>
      </c>
      <c r="IK86">
        <f>IF(ISBLANK('Data Entry'!$ĵ$86), "", 'Data Entry'!$ĵ$86)</f>
      </c>
      <c r="IL86">
        <f>IF(ISBLANK('Data Entry'!$Ķ$86), "", 'Data Entry'!$Ķ$86)</f>
      </c>
      <c r="IM86">
        <f>IF(ISBLANK('Data Entry'!$ķ$86), "", 'Data Entry'!$ķ$86)</f>
      </c>
      <c r="IN86">
        <f>IF(ISBLANK('Data Entry'!$ĸ$86), "", 'Data Entry'!$ĸ$86)</f>
      </c>
      <c r="IO86">
        <f>IF(ISBLANK('Data Entry'!$Ĺ$86), "", 'Data Entry'!$Ĺ$86)</f>
      </c>
      <c r="IP86">
        <f>IF(ISBLANK('Data Entry'!$ĺ$86), "", 'Data Entry'!$ĺ$86)</f>
      </c>
      <c r="IQ86">
        <f>IF(ISBLANK('Data Entry'!$Ļ$86), "", 'Data Entry'!$Ļ$86)</f>
      </c>
      <c r="IR86">
        <f>IF(ISBLANK('Data Entry'!$ļ$86), "", 'Data Entry'!$ļ$86)</f>
      </c>
      <c r="IS86">
        <f>IF(ISBLANK('Data Entry'!$Ľ$86), "", 'Data Entry'!$Ľ$86)</f>
      </c>
      <c r="IT86">
        <f>IF(ISBLANK('Data Entry'!$ľ$86), "", 'Data Entry'!$ľ$86)</f>
      </c>
    </row>
    <row r="87" spans="1:254" x14ac:dyDescent="0.25">
      <c r="A87">
        <f>IF(ISBLANK('Data Entry'!$A$87), "", 'Data Entry'!$A$87)</f>
      </c>
      <c r="B87">
        <f>IF(ISBLANK('Data Entry'!$B$87), "", 'Data Entry'!$B$87)</f>
      </c>
      <c r="C87">
        <f>IF(ISBLANK('Data Entry'!$C$87), "", 'Data Entry'!$C$87)</f>
      </c>
      <c r="D87">
        <f>IF(ISBLANK('Data Entry'!$D$87), "", 'Data Entry'!$D$87)</f>
      </c>
      <c r="E87">
        <f>IF(ISBLANK('Data Entry'!$E$87), "", 'Data Entry'!$E$87)</f>
      </c>
      <c r="F87">
        <f>IF(ISBLANK('Data Entry'!$F$87), "", 'Data Entry'!$F$87)</f>
      </c>
      <c r="G87">
        <f>IF(ISBLANK('Data Entry'!$G$87), "", 'Data Entry'!$G$87)</f>
      </c>
      <c r="H87">
        <f>IF(ISBLANK('Data Entry'!$H$87), "", 'Data Entry'!$H$87)</f>
      </c>
      <c r="I87">
        <f>IF(ISBLANK('Data Entry'!$I$87), "", 'Data Entry'!$I$87)</f>
      </c>
      <c r="J87">
        <f>IF(ISBLANK('Data Entry'!$J$87), "", 'Data Entry'!$J$87)</f>
      </c>
      <c r="K87">
        <f>IF(ISBLANK('Data Entry'!$K$87), "", 'Data Entry'!$K$87)</f>
      </c>
      <c r="L87">
        <f>IF(ISBLANK('Data Entry'!$L$87), "", 'Data Entry'!$L$87)</f>
      </c>
      <c r="M87">
        <f>IF(ISBLANK('Data Entry'!$M$87), "", 'Data Entry'!$M$87)</f>
      </c>
      <c r="N87">
        <f>IF(ISBLANK('Data Entry'!$N$87), "", 'Data Entry'!$N$87)</f>
      </c>
      <c r="O87">
        <f>IF(ISBLANK('Data Entry'!$O$87), "", 'Data Entry'!$O$87)</f>
      </c>
      <c r="P87">
        <f>IF(ISBLANK('Data Entry'!$P$87), "", 'Data Entry'!$P$87)</f>
      </c>
      <c r="Q87">
        <f>IF(ISBLANK('Data Entry'!$Q$87), "", 'Data Entry'!$Q$87)</f>
      </c>
      <c r="R87">
        <f>IF(ISBLANK('Data Entry'!$R$87), "", 'Data Entry'!$R$87)</f>
      </c>
      <c r="S87">
        <f>IF(ISBLANK('Data Entry'!$S$87), "", 'Data Entry'!$S$87)</f>
      </c>
      <c r="T87">
        <f>IF(ISBLANK('Data Entry'!$T$87), "", 'Data Entry'!$T$87)</f>
      </c>
      <c r="U87">
        <f>IF(ISBLANK('Data Entry'!$U$87), "", 'Data Entry'!$U$87)</f>
      </c>
      <c r="V87">
        <f>IF(ISBLANK('Data Entry'!$V$87), "", 'Data Entry'!$V$87)</f>
      </c>
      <c r="W87">
        <f>IF(ISBLANK('Data Entry'!$W$87), "", 'Data Entry'!$W$87)</f>
      </c>
      <c r="X87">
        <f>IF(ISBLANK('Data Entry'!$X$87), "", 'Data Entry'!$X$87)</f>
      </c>
      <c r="Y87">
        <f>IF(ISBLANK('Data Entry'!$Y$87), "", 'Data Entry'!$Y$87)</f>
      </c>
      <c r="Z87">
        <f>IF(ISBLANK('Data Entry'!$Z$87), "", 'Data Entry'!$Z$87)</f>
      </c>
      <c r="AA87">
        <f>IF(ISBLANK('Data Entry'!$[$87), "", 'Data Entry'!$[$87)</f>
      </c>
      <c r="AB87">
        <f>IF(ISBLANK('Data Entry'!$\$87), "", 'Data Entry'!$\$87)</f>
      </c>
      <c r="AC87">
        <f>IF(ISBLANK('Data Entry'!$]$87), "", 'Data Entry'!$]$87)</f>
      </c>
      <c r="AD87">
        <f>IF(ISBLANK('Data Entry'!$^$87), "", 'Data Entry'!$^$87)</f>
      </c>
      <c r="AE87">
        <f>IF(ISBLANK('Data Entry'!$_$87), "", 'Data Entry'!$_$87)</f>
      </c>
      <c r="AF87">
        <f>IF(ISBLANK('Data Entry'!$`$87), "", 'Data Entry'!$`$87)</f>
      </c>
      <c r="AG87">
        <f>IF(ISBLANK('Data Entry'!$a$87), "", 'Data Entry'!$a$87)</f>
      </c>
      <c r="AH87">
        <f>IF(ISBLANK('Data Entry'!$b$87), "", 'Data Entry'!$b$87)</f>
      </c>
      <c r="AI87">
        <f>IF(ISBLANK('Data Entry'!$c$87), "", 'Data Entry'!$c$87)</f>
      </c>
      <c r="AJ87">
        <f>IF(ISBLANK('Data Entry'!$d$87), "", 'Data Entry'!$d$87)</f>
      </c>
      <c r="AK87">
        <f>IF(ISBLANK('Data Entry'!$e$87), "", 'Data Entry'!$e$87)</f>
      </c>
      <c r="AL87">
        <f>IF(ISBLANK('Data Entry'!$f$87), "", 'Data Entry'!$f$87)</f>
      </c>
      <c r="AM87">
        <f>IF(ISBLANK('Data Entry'!$g$87), "", 'Data Entry'!$g$87)</f>
      </c>
      <c r="AN87">
        <f>IF(ISBLANK('Data Entry'!$h$87), "", 'Data Entry'!$h$87)</f>
      </c>
      <c r="AO87">
        <f>IF(ISBLANK('Data Entry'!$i$87), "", 'Data Entry'!$i$87)</f>
      </c>
      <c r="AP87">
        <f>IF(ISBLANK('Data Entry'!$j$87), "", 'Data Entry'!$j$87)</f>
      </c>
      <c r="AQ87">
        <f>IF(ISBLANK('Data Entry'!$k$87), "", 'Data Entry'!$k$87)</f>
      </c>
      <c r="AR87">
        <f>IF(ISBLANK('Data Entry'!$l$87), "", 'Data Entry'!$l$87)</f>
      </c>
      <c r="AS87">
        <f>IF(ISBLANK('Data Entry'!$m$87), "", 'Data Entry'!$m$87)</f>
      </c>
      <c r="AT87">
        <f>IF(ISBLANK('Data Entry'!$n$87), "", 'Data Entry'!$n$87)</f>
      </c>
      <c r="AU87">
        <f>IF(ISBLANK('Data Entry'!$o$87), "", 'Data Entry'!$o$87)</f>
      </c>
      <c r="AV87">
        <f>IF(ISBLANK('Data Entry'!$p$87), "", 'Data Entry'!$p$87)</f>
      </c>
      <c r="AW87">
        <f>IF(ISBLANK('Data Entry'!$q$87), "", 'Data Entry'!$q$87)</f>
      </c>
      <c r="AX87">
        <f>IF(ISBLANK('Data Entry'!$r$87), "", 'Data Entry'!$r$87)</f>
      </c>
      <c r="AY87">
        <f>IF(ISBLANK('Data Entry'!$s$87), "", 'Data Entry'!$s$87)</f>
      </c>
      <c r="AZ87">
        <f>IF(ISBLANK('Data Entry'!$t$87), "", 'Data Entry'!$t$87)</f>
      </c>
      <c r="BA87">
        <f>IF(ISBLANK('Data Entry'!$u$87), "", 'Data Entry'!$u$87)</f>
      </c>
      <c r="BB87">
        <f>IF(ISBLANK('Data Entry'!$v$87), "", 'Data Entry'!$v$87)</f>
      </c>
      <c r="BC87">
        <f>IF(ISBLANK('Data Entry'!$w$87), "", 'Data Entry'!$w$87)</f>
      </c>
      <c r="BD87">
        <f>IF(ISBLANK('Data Entry'!$x$87), "", 'Data Entry'!$x$87)</f>
      </c>
      <c r="BE87">
        <f>IF(ISBLANK('Data Entry'!$y$87), "", 'Data Entry'!$y$87)</f>
      </c>
      <c r="BF87">
        <f>IF(ISBLANK('Data Entry'!$z$87), "", 'Data Entry'!$z$87)</f>
      </c>
      <c r="BG87">
        <f>IF(ISBLANK('Data Entry'!${$87), "", 'Data Entry'!${$87)</f>
      </c>
      <c r="BH87">
        <f>IF(ISBLANK('Data Entry'!$|$87), "", 'Data Entry'!$|$87)</f>
      </c>
      <c r="BI87">
        <f>IF(ISBLANK('Data Entry'!$}$87), "", 'Data Entry'!$}$87)</f>
      </c>
      <c r="BJ87">
        <f>IF(ISBLANK('Data Entry'!$~$87), "", 'Data Entry'!$~$87)</f>
      </c>
      <c r="BK87">
        <f>IF(ISBLANK('Data Entry'!$$87), "", 'Data Entry'!$$87)</f>
      </c>
      <c r="BL87">
        <f>IF(ISBLANK('Data Entry'!$$87), "", 'Data Entry'!$$87)</f>
      </c>
      <c r="BM87">
        <f>IF(ISBLANK('Data Entry'!$$87), "", 'Data Entry'!$$87)</f>
      </c>
      <c r="BN87">
        <f>IF(ISBLANK('Data Entry'!$$87), "", 'Data Entry'!$$87)</f>
      </c>
      <c r="BO87">
        <f>IF(ISBLANK('Data Entry'!$$87), "", 'Data Entry'!$$87)</f>
      </c>
      <c r="BP87">
        <f>IF(ISBLANK('Data Entry'!$$87), "", 'Data Entry'!$$87)</f>
      </c>
      <c r="BQ87">
        <f>IF(ISBLANK('Data Entry'!$$87), "", 'Data Entry'!$$87)</f>
      </c>
      <c r="BR87">
        <f>IF(ISBLANK('Data Entry'!$$87), "", 'Data Entry'!$$87)</f>
      </c>
      <c r="BS87">
        <f>IF(ISBLANK('Data Entry'!$$87), "", 'Data Entry'!$$87)</f>
      </c>
      <c r="BT87">
        <f>IF(ISBLANK('Data Entry'!$$87), "", 'Data Entry'!$$87)</f>
      </c>
      <c r="BU87">
        <f>IF(ISBLANK('Data Entry'!$$87), "", 'Data Entry'!$$87)</f>
      </c>
      <c r="BV87">
        <f>IF(ISBLANK('Data Entry'!$$87), "", 'Data Entry'!$$87)</f>
      </c>
      <c r="BW87">
        <f>IF(ISBLANK('Data Entry'!$$87), "", 'Data Entry'!$$87)</f>
      </c>
      <c r="BX87">
        <f>IF(ISBLANK('Data Entry'!$$87), "", 'Data Entry'!$$87)</f>
      </c>
      <c r="BY87">
        <f>IF(ISBLANK('Data Entry'!$$87), "", 'Data Entry'!$$87)</f>
      </c>
      <c r="BZ87">
        <f>IF(ISBLANK('Data Entry'!$$87), "", 'Data Entry'!$$87)</f>
      </c>
      <c r="CA87">
        <f>IF(ISBLANK('Data Entry'!$$87), "", 'Data Entry'!$$87)</f>
      </c>
      <c r="CB87">
        <f>IF(ISBLANK('Data Entry'!$$87), "", 'Data Entry'!$$87)</f>
      </c>
      <c r="CC87">
        <f>IF(ISBLANK('Data Entry'!$$87), "", 'Data Entry'!$$87)</f>
      </c>
      <c r="CD87">
        <f>IF(ISBLANK('Data Entry'!$$87), "", 'Data Entry'!$$87)</f>
      </c>
      <c r="CE87">
        <f>IF(ISBLANK('Data Entry'!$$87), "", 'Data Entry'!$$87)</f>
      </c>
      <c r="CF87">
        <f>IF(ISBLANK('Data Entry'!$$87), "", 'Data Entry'!$$87)</f>
      </c>
      <c r="CG87">
        <f>IF(ISBLANK('Data Entry'!$$87), "", 'Data Entry'!$$87)</f>
      </c>
      <c r="CH87">
        <f>IF(ISBLANK('Data Entry'!$$87), "", 'Data Entry'!$$87)</f>
      </c>
      <c r="CI87">
        <f>IF(ISBLANK('Data Entry'!$$87), "", 'Data Entry'!$$87)</f>
      </c>
      <c r="CJ87">
        <f>IF(ISBLANK('Data Entry'!$$87), "", 'Data Entry'!$$87)</f>
      </c>
      <c r="CK87">
        <f>IF(ISBLANK('Data Entry'!$$87), "", 'Data Entry'!$$87)</f>
      </c>
      <c r="CL87">
        <f>IF(ISBLANK('Data Entry'!$$87), "", 'Data Entry'!$$87)</f>
      </c>
      <c r="CM87">
        <f>IF(ISBLANK('Data Entry'!$$87), "", 'Data Entry'!$$87)</f>
      </c>
      <c r="CN87">
        <f>IF(ISBLANK('Data Entry'!$$87), "", 'Data Entry'!$$87)</f>
      </c>
      <c r="CO87">
        <f>IF(ISBLANK('Data Entry'!$$87), "", 'Data Entry'!$$87)</f>
      </c>
      <c r="CP87">
        <f>IF(ISBLANK('Data Entry'!$$87), "", 'Data Entry'!$$87)</f>
      </c>
      <c r="CQ87">
        <f>IF(ISBLANK('Data Entry'!$$87), "", 'Data Entry'!$$87)</f>
      </c>
      <c r="CR87">
        <f>IF(ISBLANK('Data Entry'!$ $87), "", 'Data Entry'!$ $87)</f>
      </c>
      <c r="CS87">
        <f>IF(ISBLANK('Data Entry'!$¡$87), "", 'Data Entry'!$¡$87)</f>
      </c>
      <c r="CT87">
        <f>IF(ISBLANK('Data Entry'!$¢$87), "", 'Data Entry'!$¢$87)</f>
      </c>
      <c r="CU87">
        <f>IF(ISBLANK('Data Entry'!$£$87), "", 'Data Entry'!$£$87)</f>
      </c>
      <c r="CV87">
        <f>IF(ISBLANK('Data Entry'!$¤$87), "", 'Data Entry'!$¤$87)</f>
      </c>
      <c r="CW87">
        <f>IF(ISBLANK('Data Entry'!$¥$87), "", 'Data Entry'!$¥$87)</f>
      </c>
      <c r="CX87">
        <f>IF(ISBLANK('Data Entry'!$¦$87), "", 'Data Entry'!$¦$87)</f>
      </c>
      <c r="CY87">
        <f>IF(ISBLANK('Data Entry'!$§$87), "", 'Data Entry'!$§$87)</f>
      </c>
      <c r="CZ87">
        <f>IF(ISBLANK('Data Entry'!$¨$87), "", 'Data Entry'!$¨$87)</f>
      </c>
      <c r="DA87">
        <f>IF(ISBLANK('Data Entry'!$©$87), "", 'Data Entry'!$©$87)</f>
      </c>
      <c r="DB87">
        <f>IF(ISBLANK('Data Entry'!$ª$87), "", 'Data Entry'!$ª$87)</f>
      </c>
      <c r="DC87">
        <f>IF(ISBLANK('Data Entry'!$«$87), "", 'Data Entry'!$«$87)</f>
      </c>
      <c r="DD87">
        <f>IF(ISBLANK('Data Entry'!$¬$87), "", 'Data Entry'!$¬$87)</f>
      </c>
      <c r="DE87">
        <f>IF(ISBLANK('Data Entry'!$­$87), "", 'Data Entry'!$­$87)</f>
      </c>
      <c r="DF87">
        <f>IF(ISBLANK('Data Entry'!$®$87), "", 'Data Entry'!$®$87)</f>
      </c>
      <c r="DG87">
        <f>IF(ISBLANK('Data Entry'!$¯$87), "", 'Data Entry'!$¯$87)</f>
      </c>
      <c r="DH87">
        <f>IF(ISBLANK('Data Entry'!$°$87), "", 'Data Entry'!$°$87)</f>
      </c>
      <c r="DI87">
        <f>IF(ISBLANK('Data Entry'!$±$87), "", 'Data Entry'!$±$87)</f>
      </c>
      <c r="DJ87">
        <f>IF(ISBLANK('Data Entry'!$²$87), "", 'Data Entry'!$²$87)</f>
      </c>
      <c r="DK87">
        <f>IF(ISBLANK('Data Entry'!$³$87), "", 'Data Entry'!$³$87)</f>
      </c>
      <c r="DL87">
        <f>IF(ISBLANK('Data Entry'!$´$87), "", 'Data Entry'!$´$87)</f>
      </c>
      <c r="DM87">
        <f>IF(ISBLANK('Data Entry'!$µ$87), "", 'Data Entry'!$µ$87)</f>
      </c>
      <c r="DN87">
        <f>IF(ISBLANK('Data Entry'!$¶$87), "", 'Data Entry'!$¶$87)</f>
      </c>
      <c r="DO87">
        <f>IF(ISBLANK('Data Entry'!$·$87), "", 'Data Entry'!$·$87)</f>
      </c>
      <c r="DP87">
        <f>IF(ISBLANK('Data Entry'!$¸$87), "", 'Data Entry'!$¸$87)</f>
      </c>
      <c r="DQ87">
        <f>IF(ISBLANK('Data Entry'!$¹$87), "", 'Data Entry'!$¹$87)</f>
      </c>
      <c r="DR87">
        <f>IF(ISBLANK('Data Entry'!$º$87), "", 'Data Entry'!$º$87)</f>
      </c>
      <c r="DS87">
        <f>IF(ISBLANK('Data Entry'!$»$87), "", 'Data Entry'!$»$87)</f>
      </c>
      <c r="DT87">
        <f>IF(ISBLANK('Data Entry'!$¼$87), "", 'Data Entry'!$¼$87)</f>
      </c>
      <c r="DU87">
        <f>IF(ISBLANK('Data Entry'!$½$87), "", 'Data Entry'!$½$87)</f>
      </c>
      <c r="DV87">
        <f>IF(ISBLANK('Data Entry'!$¾$87), "", 'Data Entry'!$¾$87)</f>
      </c>
      <c r="DW87">
        <f>IF(ISBLANK('Data Entry'!$¿$87), "", 'Data Entry'!$¿$87)</f>
      </c>
      <c r="DX87">
        <f>IF(ISBLANK('Data Entry'!$À$87), "", 'Data Entry'!$À$87)</f>
      </c>
      <c r="DY87">
        <f>IF(ISBLANK('Data Entry'!$Á$87), "", 'Data Entry'!$Á$87)</f>
      </c>
      <c r="DZ87">
        <f>IF(ISBLANK('Data Entry'!$Â$87), "", 'Data Entry'!$Â$87)</f>
      </c>
      <c r="EA87">
        <f>IF(ISBLANK('Data Entry'!$Ã$87), "", 'Data Entry'!$Ã$87)</f>
      </c>
      <c r="EB87">
        <f>IF(ISBLANK('Data Entry'!$Ä$87), "", 'Data Entry'!$Ä$87)</f>
      </c>
      <c r="EC87">
        <f>IF(ISBLANK('Data Entry'!$Å$87), "", 'Data Entry'!$Å$87)</f>
      </c>
      <c r="ED87">
        <f>IF(ISBLANK('Data Entry'!$Æ$87), "", 'Data Entry'!$Æ$87)</f>
      </c>
      <c r="EE87">
        <f>IF(ISBLANK('Data Entry'!$Ç$87), "", 'Data Entry'!$Ç$87)</f>
      </c>
      <c r="EF87">
        <f>IF(ISBLANK('Data Entry'!$È$87), "", 'Data Entry'!$È$87)</f>
      </c>
      <c r="EG87">
        <f>IF(ISBLANK('Data Entry'!$É$87), "", 'Data Entry'!$É$87)</f>
      </c>
      <c r="EH87">
        <f>IF(ISBLANK('Data Entry'!$Ê$87), "", 'Data Entry'!$Ê$87)</f>
      </c>
      <c r="EI87">
        <f>IF(ISBLANK('Data Entry'!$Ë$87), "", 'Data Entry'!$Ë$87)</f>
      </c>
      <c r="EJ87">
        <f>IF(ISBLANK('Data Entry'!$Ì$87), "", 'Data Entry'!$Ì$87)</f>
      </c>
      <c r="EK87">
        <f>IF(ISBLANK('Data Entry'!$Í$87), "", 'Data Entry'!$Í$87)</f>
      </c>
      <c r="EL87">
        <f>IF(ISBLANK('Data Entry'!$Î$87), "", 'Data Entry'!$Î$87)</f>
      </c>
      <c r="EM87">
        <f>IF(ISBLANK('Data Entry'!$Ï$87), "", 'Data Entry'!$Ï$87)</f>
      </c>
      <c r="EN87">
        <f>IF(ISBLANK('Data Entry'!$Ð$87), "", 'Data Entry'!$Ð$87)</f>
      </c>
      <c r="EO87">
        <f>IF(ISBLANK('Data Entry'!$Ñ$87), "", 'Data Entry'!$Ñ$87)</f>
      </c>
      <c r="EP87">
        <f>IF(ISBLANK('Data Entry'!$Ò$87), "", 'Data Entry'!$Ò$87)</f>
      </c>
      <c r="EQ87">
        <f>IF(ISBLANK('Data Entry'!$Ó$87), "", 'Data Entry'!$Ó$87)</f>
      </c>
      <c r="ER87">
        <f>IF(ISBLANK('Data Entry'!$Ô$87), "", 'Data Entry'!$Ô$87)</f>
      </c>
      <c r="ES87">
        <f>IF(ISBLANK('Data Entry'!$Õ$87), "", 'Data Entry'!$Õ$87)</f>
      </c>
      <c r="ET87">
        <f>IF(ISBLANK('Data Entry'!$Ö$87), "", 'Data Entry'!$Ö$87)</f>
      </c>
      <c r="EU87">
        <f>IF(ISBLANK('Data Entry'!$×$87), "", 'Data Entry'!$×$87)</f>
      </c>
      <c r="EV87">
        <f>IF(ISBLANK('Data Entry'!$Ø$87), "", 'Data Entry'!$Ø$87)</f>
      </c>
      <c r="EW87">
        <f>IF(ISBLANK('Data Entry'!$Ù$87), "", 'Data Entry'!$Ù$87)</f>
      </c>
      <c r="EX87">
        <f>IF(ISBLANK('Data Entry'!$Ú$87), "", 'Data Entry'!$Ú$87)</f>
      </c>
      <c r="EY87">
        <f>IF(ISBLANK('Data Entry'!$Û$87), "", 'Data Entry'!$Û$87)</f>
      </c>
      <c r="EZ87">
        <f>IF(ISBLANK('Data Entry'!$Ü$87), "", 'Data Entry'!$Ü$87)</f>
      </c>
      <c r="FA87">
        <f>IF(ISBLANK('Data Entry'!$Ý$87), "", 'Data Entry'!$Ý$87)</f>
      </c>
      <c r="FB87">
        <f>IF(ISBLANK('Data Entry'!$Þ$87), "", 'Data Entry'!$Þ$87)</f>
      </c>
      <c r="FC87">
        <f>IF(ISBLANK('Data Entry'!$ß$87), "", 'Data Entry'!$ß$87)</f>
      </c>
      <c r="FD87">
        <f>IF(ISBLANK('Data Entry'!$à$87), "", 'Data Entry'!$à$87)</f>
      </c>
      <c r="FE87">
        <f>IF(ISBLANK('Data Entry'!$á$87), "", 'Data Entry'!$á$87)</f>
      </c>
      <c r="FF87">
        <f>IF(ISBLANK('Data Entry'!$â$87), "", 'Data Entry'!$â$87)</f>
      </c>
      <c r="FG87">
        <f>IF(ISBLANK('Data Entry'!$ã$87), "", 'Data Entry'!$ã$87)</f>
      </c>
      <c r="FH87">
        <f>IF(ISBLANK('Data Entry'!$ä$87), "", 'Data Entry'!$ä$87)</f>
      </c>
      <c r="FI87">
        <f>IF(ISBLANK('Data Entry'!$å$87), "", 'Data Entry'!$å$87)</f>
      </c>
      <c r="FJ87">
        <f>IF(ISBLANK('Data Entry'!$æ$87), "", 'Data Entry'!$æ$87)</f>
      </c>
      <c r="FK87">
        <f>IF(ISBLANK('Data Entry'!$ç$87), "", 'Data Entry'!$ç$87)</f>
      </c>
      <c r="FL87">
        <f>IF(ISBLANK('Data Entry'!$è$87), "", 'Data Entry'!$è$87)</f>
      </c>
      <c r="FM87">
        <f>IF(ISBLANK('Data Entry'!$é$87), "", 'Data Entry'!$é$87)</f>
      </c>
      <c r="FN87">
        <f>IF(ISBLANK('Data Entry'!$ê$87), "", 'Data Entry'!$ê$87)</f>
      </c>
      <c r="FO87">
        <f>IF(ISBLANK('Data Entry'!$ë$87), "", 'Data Entry'!$ë$87)</f>
      </c>
      <c r="FP87">
        <f>IF(ISBLANK('Data Entry'!$ì$87), "", 'Data Entry'!$ì$87)</f>
      </c>
      <c r="FQ87">
        <f>IF(ISBLANK('Data Entry'!$í$87), "", 'Data Entry'!$í$87)</f>
      </c>
      <c r="FR87">
        <f>IF(ISBLANK('Data Entry'!$î$87), "", 'Data Entry'!$î$87)</f>
      </c>
      <c r="FS87">
        <f>IF(ISBLANK('Data Entry'!$ï$87), "", 'Data Entry'!$ï$87)</f>
      </c>
      <c r="FT87">
        <f>IF(ISBLANK('Data Entry'!$ð$87), "", 'Data Entry'!$ð$87)</f>
      </c>
      <c r="FU87">
        <f>IF(ISBLANK('Data Entry'!$ñ$87), "", 'Data Entry'!$ñ$87)</f>
      </c>
      <c r="FV87">
        <f>IF(ISBLANK('Data Entry'!$ò$87), "", 'Data Entry'!$ò$87)</f>
      </c>
      <c r="FW87">
        <f>IF(ISBLANK('Data Entry'!$ó$87), "", 'Data Entry'!$ó$87)</f>
      </c>
      <c r="FX87">
        <f>IF(ISBLANK('Data Entry'!$ô$87), "", 'Data Entry'!$ô$87)</f>
      </c>
      <c r="FY87">
        <f>IF(ISBLANK('Data Entry'!$õ$87), "", 'Data Entry'!$õ$87)</f>
      </c>
      <c r="FZ87">
        <f>IF(ISBLANK('Data Entry'!$ö$87), "", 'Data Entry'!$ö$87)</f>
      </c>
      <c r="GA87">
        <f>IF(ISBLANK('Data Entry'!$÷$87), "", 'Data Entry'!$÷$87)</f>
      </c>
      <c r="GB87">
        <f>IF(ISBLANK('Data Entry'!$ø$87), "", 'Data Entry'!$ø$87)</f>
      </c>
      <c r="GC87">
        <f>IF(ISBLANK('Data Entry'!$ù$87), "", 'Data Entry'!$ù$87)</f>
      </c>
      <c r="GD87">
        <f>IF(ISBLANK('Data Entry'!$ú$87), "", 'Data Entry'!$ú$87)</f>
      </c>
      <c r="GE87">
        <f>IF(ISBLANK('Data Entry'!$û$87), "", 'Data Entry'!$û$87)</f>
      </c>
      <c r="GF87">
        <f>IF(ISBLANK('Data Entry'!$ü$87), "", 'Data Entry'!$ü$87)</f>
      </c>
      <c r="GG87">
        <f>IF(ISBLANK('Data Entry'!$ý$87), "", 'Data Entry'!$ý$87)</f>
      </c>
      <c r="GH87">
        <f>IF(ISBLANK('Data Entry'!$þ$87), "", 'Data Entry'!$þ$87)</f>
      </c>
      <c r="GI87">
        <f>IF(ISBLANK('Data Entry'!$ÿ$87), "", 'Data Entry'!$ÿ$87)</f>
      </c>
      <c r="GJ87">
        <f>IF(ISBLANK('Data Entry'!$Ā$87), "", 'Data Entry'!$Ā$87)</f>
      </c>
      <c r="GK87">
        <f>IF(ISBLANK('Data Entry'!$ā$87), "", 'Data Entry'!$ā$87)</f>
      </c>
      <c r="GL87">
        <f>IF(ISBLANK('Data Entry'!$Ă$87), "", 'Data Entry'!$Ă$87)</f>
      </c>
      <c r="GM87">
        <f>IF(ISBLANK('Data Entry'!$ă$87), "", 'Data Entry'!$ă$87)</f>
      </c>
      <c r="GN87">
        <f>IF(ISBLANK('Data Entry'!$Ą$87), "", 'Data Entry'!$Ą$87)</f>
      </c>
      <c r="GO87">
        <f>IF(ISBLANK('Data Entry'!$ą$87), "", 'Data Entry'!$ą$87)</f>
      </c>
      <c r="GP87">
        <f>IF(ISBLANK('Data Entry'!$Ć$87), "", 'Data Entry'!$Ć$87)</f>
      </c>
      <c r="GQ87">
        <f>IF(ISBLANK('Data Entry'!$ć$87), "", 'Data Entry'!$ć$87)</f>
      </c>
      <c r="GR87">
        <f>IF(ISBLANK('Data Entry'!$Ĉ$87), "", 'Data Entry'!$Ĉ$87)</f>
      </c>
      <c r="GS87">
        <f>IF(ISBLANK('Data Entry'!$ĉ$87), "", 'Data Entry'!$ĉ$87)</f>
      </c>
      <c r="GT87">
        <f>IF(ISBLANK('Data Entry'!$Ċ$87), "", 'Data Entry'!$Ċ$87)</f>
      </c>
      <c r="GU87">
        <f>IF(ISBLANK('Data Entry'!$ċ$87), "", 'Data Entry'!$ċ$87)</f>
      </c>
      <c r="GV87">
        <f>IF(ISBLANK('Data Entry'!$Č$87), "", 'Data Entry'!$Č$87)</f>
      </c>
      <c r="GW87">
        <f>IF(ISBLANK('Data Entry'!$č$87), "", 'Data Entry'!$č$87)</f>
      </c>
      <c r="GX87">
        <f>IF(ISBLANK('Data Entry'!$Ď$87), "", 'Data Entry'!$Ď$87)</f>
      </c>
      <c r="GY87">
        <f>IF(ISBLANK('Data Entry'!$ď$87), "", 'Data Entry'!$ď$87)</f>
      </c>
      <c r="GZ87">
        <f>IF(ISBLANK('Data Entry'!$Đ$87), "", 'Data Entry'!$Đ$87)</f>
      </c>
      <c r="HA87">
        <f>IF(ISBLANK('Data Entry'!$đ$87), "", 'Data Entry'!$đ$87)</f>
      </c>
      <c r="HB87">
        <f>IF(ISBLANK('Data Entry'!$Ē$87), "", 'Data Entry'!$Ē$87)</f>
      </c>
      <c r="HC87">
        <f>IF(ISBLANK('Data Entry'!$ē$87), "", 'Data Entry'!$ē$87)</f>
      </c>
      <c r="HD87">
        <f>IF(ISBLANK('Data Entry'!$Ĕ$87), "", 'Data Entry'!$Ĕ$87)</f>
      </c>
      <c r="HE87">
        <f>IF(ISBLANK('Data Entry'!$ĕ$87), "", 'Data Entry'!$ĕ$87)</f>
      </c>
      <c r="HF87">
        <f>IF(ISBLANK('Data Entry'!$Ė$87), "", 'Data Entry'!$Ė$87)</f>
      </c>
      <c r="HG87">
        <f>IF(ISBLANK('Data Entry'!$ė$87), "", 'Data Entry'!$ė$87)</f>
      </c>
      <c r="HH87">
        <f>IF(ISBLANK('Data Entry'!$Ę$87), "", 'Data Entry'!$Ę$87)</f>
      </c>
      <c r="HI87">
        <f>IF(ISBLANK('Data Entry'!$ę$87), "", 'Data Entry'!$ę$87)</f>
      </c>
      <c r="HJ87">
        <f>IF(ISBLANK('Data Entry'!$Ě$87), "", 'Data Entry'!$Ě$87)</f>
      </c>
      <c r="HK87">
        <f>IF(ISBLANK('Data Entry'!$ě$87), "", 'Data Entry'!$ě$87)</f>
      </c>
      <c r="HL87">
        <f>IF(ISBLANK('Data Entry'!$Ĝ$87), "", 'Data Entry'!$Ĝ$87)</f>
      </c>
      <c r="HM87">
        <f>IF(ISBLANK('Data Entry'!$ĝ$87), "", 'Data Entry'!$ĝ$87)</f>
      </c>
      <c r="HN87">
        <f>IF(ISBLANK('Data Entry'!$Ğ$87), "", 'Data Entry'!$Ğ$87)</f>
      </c>
      <c r="HO87">
        <f>IF(ISBLANK('Data Entry'!$ğ$87), "", 'Data Entry'!$ğ$87)</f>
      </c>
      <c r="HP87">
        <f>IF(ISBLANK('Data Entry'!$Ġ$87), "", 'Data Entry'!$Ġ$87)</f>
      </c>
      <c r="HQ87">
        <f>IF(ISBLANK('Data Entry'!$ġ$87), "", 'Data Entry'!$ġ$87)</f>
      </c>
      <c r="HR87">
        <f>IF(ISBLANK('Data Entry'!$Ģ$87), "", 'Data Entry'!$Ģ$87)</f>
      </c>
      <c r="HS87">
        <f>IF(ISBLANK('Data Entry'!$ģ$87), "", 'Data Entry'!$ģ$87)</f>
      </c>
      <c r="HT87">
        <f>IF(ISBLANK('Data Entry'!$Ĥ$87), "", 'Data Entry'!$Ĥ$87)</f>
      </c>
      <c r="HU87">
        <f>IF(ISBLANK('Data Entry'!$ĥ$87), "", 'Data Entry'!$ĥ$87)</f>
      </c>
      <c r="HV87">
        <f>IF(ISBLANK('Data Entry'!$Ħ$87), "", 'Data Entry'!$Ħ$87)</f>
      </c>
      <c r="HW87">
        <f>IF(ISBLANK('Data Entry'!$ħ$87), "", 'Data Entry'!$ħ$87)</f>
      </c>
      <c r="HX87">
        <f>IF(ISBLANK('Data Entry'!$Ĩ$87), "", 'Data Entry'!$Ĩ$87)</f>
      </c>
      <c r="HY87">
        <f>IF(ISBLANK('Data Entry'!$ĩ$87), "", 'Data Entry'!$ĩ$87)</f>
      </c>
      <c r="HZ87">
        <f>IF(ISBLANK('Data Entry'!$Ī$87), "", 'Data Entry'!$Ī$87)</f>
      </c>
      <c r="IA87">
        <f>IF(ISBLANK('Data Entry'!$ī$87), "", 'Data Entry'!$ī$87)</f>
      </c>
      <c r="IB87">
        <f>IF(ISBLANK('Data Entry'!$Ĭ$87), "", 'Data Entry'!$Ĭ$87)</f>
      </c>
      <c r="IC87">
        <f>IF(ISBLANK('Data Entry'!$ĭ$87), "", 'Data Entry'!$ĭ$87)</f>
      </c>
      <c r="ID87">
        <f>IF(ISBLANK('Data Entry'!$Į$87), "", 'Data Entry'!$Į$87)</f>
      </c>
      <c r="IE87">
        <f>IF(ISBLANK('Data Entry'!$į$87), "", 'Data Entry'!$į$87)</f>
      </c>
      <c r="IF87">
        <f>IF(ISBLANK('Data Entry'!$İ$87), "", 'Data Entry'!$İ$87)</f>
      </c>
      <c r="IG87">
        <f>IF(ISBLANK('Data Entry'!$ı$87), "", 'Data Entry'!$ı$87)</f>
      </c>
      <c r="IH87">
        <f>IF(ISBLANK('Data Entry'!$Ĳ$87), "", 'Data Entry'!$Ĳ$87)</f>
      </c>
      <c r="II87">
        <f>IF(ISBLANK('Data Entry'!$ĳ$87), "", 'Data Entry'!$ĳ$87)</f>
      </c>
      <c r="IJ87">
        <f>IF(ISBLANK('Data Entry'!$Ĵ$87), "", 'Data Entry'!$Ĵ$87)</f>
      </c>
      <c r="IK87">
        <f>IF(ISBLANK('Data Entry'!$ĵ$87), "", 'Data Entry'!$ĵ$87)</f>
      </c>
      <c r="IL87">
        <f>IF(ISBLANK('Data Entry'!$Ķ$87), "", 'Data Entry'!$Ķ$87)</f>
      </c>
      <c r="IM87">
        <f>IF(ISBLANK('Data Entry'!$ķ$87), "", 'Data Entry'!$ķ$87)</f>
      </c>
      <c r="IN87">
        <f>IF(ISBLANK('Data Entry'!$ĸ$87), "", 'Data Entry'!$ĸ$87)</f>
      </c>
      <c r="IO87">
        <f>IF(ISBLANK('Data Entry'!$Ĺ$87), "", 'Data Entry'!$Ĺ$87)</f>
      </c>
      <c r="IP87">
        <f>IF(ISBLANK('Data Entry'!$ĺ$87), "", 'Data Entry'!$ĺ$87)</f>
      </c>
      <c r="IQ87">
        <f>IF(ISBLANK('Data Entry'!$Ļ$87), "", 'Data Entry'!$Ļ$87)</f>
      </c>
      <c r="IR87">
        <f>IF(ISBLANK('Data Entry'!$ļ$87), "", 'Data Entry'!$ļ$87)</f>
      </c>
      <c r="IS87">
        <f>IF(ISBLANK('Data Entry'!$Ľ$87), "", 'Data Entry'!$Ľ$87)</f>
      </c>
      <c r="IT87">
        <f>IF(ISBLANK('Data Entry'!$ľ$87), "", 'Data Entry'!$ľ$87)</f>
      </c>
    </row>
    <row r="88" spans="1:254" x14ac:dyDescent="0.25">
      <c r="A88">
        <f>IF(ISBLANK('Data Entry'!$A$88), "", 'Data Entry'!$A$88)</f>
      </c>
      <c r="B88">
        <f>IF(ISBLANK('Data Entry'!$B$88), "", 'Data Entry'!$B$88)</f>
      </c>
      <c r="C88">
        <f>IF(ISBLANK('Data Entry'!$C$88), "", 'Data Entry'!$C$88)</f>
      </c>
      <c r="D88">
        <f>IF(ISBLANK('Data Entry'!$D$88), "", 'Data Entry'!$D$88)</f>
      </c>
      <c r="E88">
        <f>IF(ISBLANK('Data Entry'!$E$88), "", 'Data Entry'!$E$88)</f>
      </c>
      <c r="F88">
        <f>IF(ISBLANK('Data Entry'!$F$88), "", 'Data Entry'!$F$88)</f>
      </c>
      <c r="G88">
        <f>IF(ISBLANK('Data Entry'!$G$88), "", 'Data Entry'!$G$88)</f>
      </c>
      <c r="H88">
        <f>IF(ISBLANK('Data Entry'!$H$88), "", 'Data Entry'!$H$88)</f>
      </c>
      <c r="I88">
        <f>IF(ISBLANK('Data Entry'!$I$88), "", 'Data Entry'!$I$88)</f>
      </c>
      <c r="J88">
        <f>IF(ISBLANK('Data Entry'!$J$88), "", 'Data Entry'!$J$88)</f>
      </c>
      <c r="K88">
        <f>IF(ISBLANK('Data Entry'!$K$88), "", 'Data Entry'!$K$88)</f>
      </c>
      <c r="L88">
        <f>IF(ISBLANK('Data Entry'!$L$88), "", 'Data Entry'!$L$88)</f>
      </c>
      <c r="M88">
        <f>IF(ISBLANK('Data Entry'!$M$88), "", 'Data Entry'!$M$88)</f>
      </c>
      <c r="N88">
        <f>IF(ISBLANK('Data Entry'!$N$88), "", 'Data Entry'!$N$88)</f>
      </c>
      <c r="O88">
        <f>IF(ISBLANK('Data Entry'!$O$88), "", 'Data Entry'!$O$88)</f>
      </c>
      <c r="P88">
        <f>IF(ISBLANK('Data Entry'!$P$88), "", 'Data Entry'!$P$88)</f>
      </c>
      <c r="Q88">
        <f>IF(ISBLANK('Data Entry'!$Q$88), "", 'Data Entry'!$Q$88)</f>
      </c>
      <c r="R88">
        <f>IF(ISBLANK('Data Entry'!$R$88), "", 'Data Entry'!$R$88)</f>
      </c>
      <c r="S88">
        <f>IF(ISBLANK('Data Entry'!$S$88), "", 'Data Entry'!$S$88)</f>
      </c>
      <c r="T88">
        <f>IF(ISBLANK('Data Entry'!$T$88), "", 'Data Entry'!$T$88)</f>
      </c>
      <c r="U88">
        <f>IF(ISBLANK('Data Entry'!$U$88), "", 'Data Entry'!$U$88)</f>
      </c>
      <c r="V88">
        <f>IF(ISBLANK('Data Entry'!$V$88), "", 'Data Entry'!$V$88)</f>
      </c>
      <c r="W88">
        <f>IF(ISBLANK('Data Entry'!$W$88), "", 'Data Entry'!$W$88)</f>
      </c>
      <c r="X88">
        <f>IF(ISBLANK('Data Entry'!$X$88), "", 'Data Entry'!$X$88)</f>
      </c>
      <c r="Y88">
        <f>IF(ISBLANK('Data Entry'!$Y$88), "", 'Data Entry'!$Y$88)</f>
      </c>
      <c r="Z88">
        <f>IF(ISBLANK('Data Entry'!$Z$88), "", 'Data Entry'!$Z$88)</f>
      </c>
      <c r="AA88">
        <f>IF(ISBLANK('Data Entry'!$[$88), "", 'Data Entry'!$[$88)</f>
      </c>
      <c r="AB88">
        <f>IF(ISBLANK('Data Entry'!$\$88), "", 'Data Entry'!$\$88)</f>
      </c>
      <c r="AC88">
        <f>IF(ISBLANK('Data Entry'!$]$88), "", 'Data Entry'!$]$88)</f>
      </c>
      <c r="AD88">
        <f>IF(ISBLANK('Data Entry'!$^$88), "", 'Data Entry'!$^$88)</f>
      </c>
      <c r="AE88">
        <f>IF(ISBLANK('Data Entry'!$_$88), "", 'Data Entry'!$_$88)</f>
      </c>
      <c r="AF88">
        <f>IF(ISBLANK('Data Entry'!$`$88), "", 'Data Entry'!$`$88)</f>
      </c>
      <c r="AG88">
        <f>IF(ISBLANK('Data Entry'!$a$88), "", 'Data Entry'!$a$88)</f>
      </c>
      <c r="AH88">
        <f>IF(ISBLANK('Data Entry'!$b$88), "", 'Data Entry'!$b$88)</f>
      </c>
      <c r="AI88">
        <f>IF(ISBLANK('Data Entry'!$c$88), "", 'Data Entry'!$c$88)</f>
      </c>
      <c r="AJ88">
        <f>IF(ISBLANK('Data Entry'!$d$88), "", 'Data Entry'!$d$88)</f>
      </c>
      <c r="AK88">
        <f>IF(ISBLANK('Data Entry'!$e$88), "", 'Data Entry'!$e$88)</f>
      </c>
      <c r="AL88">
        <f>IF(ISBLANK('Data Entry'!$f$88), "", 'Data Entry'!$f$88)</f>
      </c>
      <c r="AM88">
        <f>IF(ISBLANK('Data Entry'!$g$88), "", 'Data Entry'!$g$88)</f>
      </c>
      <c r="AN88">
        <f>IF(ISBLANK('Data Entry'!$h$88), "", 'Data Entry'!$h$88)</f>
      </c>
      <c r="AO88">
        <f>IF(ISBLANK('Data Entry'!$i$88), "", 'Data Entry'!$i$88)</f>
      </c>
      <c r="AP88">
        <f>IF(ISBLANK('Data Entry'!$j$88), "", 'Data Entry'!$j$88)</f>
      </c>
      <c r="AQ88">
        <f>IF(ISBLANK('Data Entry'!$k$88), "", 'Data Entry'!$k$88)</f>
      </c>
      <c r="AR88">
        <f>IF(ISBLANK('Data Entry'!$l$88), "", 'Data Entry'!$l$88)</f>
      </c>
      <c r="AS88">
        <f>IF(ISBLANK('Data Entry'!$m$88), "", 'Data Entry'!$m$88)</f>
      </c>
      <c r="AT88">
        <f>IF(ISBLANK('Data Entry'!$n$88), "", 'Data Entry'!$n$88)</f>
      </c>
      <c r="AU88">
        <f>IF(ISBLANK('Data Entry'!$o$88), "", 'Data Entry'!$o$88)</f>
      </c>
      <c r="AV88">
        <f>IF(ISBLANK('Data Entry'!$p$88), "", 'Data Entry'!$p$88)</f>
      </c>
      <c r="AW88">
        <f>IF(ISBLANK('Data Entry'!$q$88), "", 'Data Entry'!$q$88)</f>
      </c>
      <c r="AX88">
        <f>IF(ISBLANK('Data Entry'!$r$88), "", 'Data Entry'!$r$88)</f>
      </c>
      <c r="AY88">
        <f>IF(ISBLANK('Data Entry'!$s$88), "", 'Data Entry'!$s$88)</f>
      </c>
      <c r="AZ88">
        <f>IF(ISBLANK('Data Entry'!$t$88), "", 'Data Entry'!$t$88)</f>
      </c>
      <c r="BA88">
        <f>IF(ISBLANK('Data Entry'!$u$88), "", 'Data Entry'!$u$88)</f>
      </c>
      <c r="BB88">
        <f>IF(ISBLANK('Data Entry'!$v$88), "", 'Data Entry'!$v$88)</f>
      </c>
      <c r="BC88">
        <f>IF(ISBLANK('Data Entry'!$w$88), "", 'Data Entry'!$w$88)</f>
      </c>
      <c r="BD88">
        <f>IF(ISBLANK('Data Entry'!$x$88), "", 'Data Entry'!$x$88)</f>
      </c>
      <c r="BE88">
        <f>IF(ISBLANK('Data Entry'!$y$88), "", 'Data Entry'!$y$88)</f>
      </c>
      <c r="BF88">
        <f>IF(ISBLANK('Data Entry'!$z$88), "", 'Data Entry'!$z$88)</f>
      </c>
      <c r="BG88">
        <f>IF(ISBLANK('Data Entry'!${$88), "", 'Data Entry'!${$88)</f>
      </c>
      <c r="BH88">
        <f>IF(ISBLANK('Data Entry'!$|$88), "", 'Data Entry'!$|$88)</f>
      </c>
      <c r="BI88">
        <f>IF(ISBLANK('Data Entry'!$}$88), "", 'Data Entry'!$}$88)</f>
      </c>
      <c r="BJ88">
        <f>IF(ISBLANK('Data Entry'!$~$88), "", 'Data Entry'!$~$88)</f>
      </c>
      <c r="BK88">
        <f>IF(ISBLANK('Data Entry'!$$88), "", 'Data Entry'!$$88)</f>
      </c>
      <c r="BL88">
        <f>IF(ISBLANK('Data Entry'!$$88), "", 'Data Entry'!$$88)</f>
      </c>
      <c r="BM88">
        <f>IF(ISBLANK('Data Entry'!$$88), "", 'Data Entry'!$$88)</f>
      </c>
      <c r="BN88">
        <f>IF(ISBLANK('Data Entry'!$$88), "", 'Data Entry'!$$88)</f>
      </c>
      <c r="BO88">
        <f>IF(ISBLANK('Data Entry'!$$88), "", 'Data Entry'!$$88)</f>
      </c>
      <c r="BP88">
        <f>IF(ISBLANK('Data Entry'!$$88), "", 'Data Entry'!$$88)</f>
      </c>
      <c r="BQ88">
        <f>IF(ISBLANK('Data Entry'!$$88), "", 'Data Entry'!$$88)</f>
      </c>
      <c r="BR88">
        <f>IF(ISBLANK('Data Entry'!$$88), "", 'Data Entry'!$$88)</f>
      </c>
      <c r="BS88">
        <f>IF(ISBLANK('Data Entry'!$$88), "", 'Data Entry'!$$88)</f>
      </c>
      <c r="BT88">
        <f>IF(ISBLANK('Data Entry'!$$88), "", 'Data Entry'!$$88)</f>
      </c>
      <c r="BU88">
        <f>IF(ISBLANK('Data Entry'!$$88), "", 'Data Entry'!$$88)</f>
      </c>
      <c r="BV88">
        <f>IF(ISBLANK('Data Entry'!$$88), "", 'Data Entry'!$$88)</f>
      </c>
      <c r="BW88">
        <f>IF(ISBLANK('Data Entry'!$$88), "", 'Data Entry'!$$88)</f>
      </c>
      <c r="BX88">
        <f>IF(ISBLANK('Data Entry'!$$88), "", 'Data Entry'!$$88)</f>
      </c>
      <c r="BY88">
        <f>IF(ISBLANK('Data Entry'!$$88), "", 'Data Entry'!$$88)</f>
      </c>
      <c r="BZ88">
        <f>IF(ISBLANK('Data Entry'!$$88), "", 'Data Entry'!$$88)</f>
      </c>
      <c r="CA88">
        <f>IF(ISBLANK('Data Entry'!$$88), "", 'Data Entry'!$$88)</f>
      </c>
      <c r="CB88">
        <f>IF(ISBLANK('Data Entry'!$$88), "", 'Data Entry'!$$88)</f>
      </c>
      <c r="CC88">
        <f>IF(ISBLANK('Data Entry'!$$88), "", 'Data Entry'!$$88)</f>
      </c>
      <c r="CD88">
        <f>IF(ISBLANK('Data Entry'!$$88), "", 'Data Entry'!$$88)</f>
      </c>
      <c r="CE88">
        <f>IF(ISBLANK('Data Entry'!$$88), "", 'Data Entry'!$$88)</f>
      </c>
      <c r="CF88">
        <f>IF(ISBLANK('Data Entry'!$$88), "", 'Data Entry'!$$88)</f>
      </c>
      <c r="CG88">
        <f>IF(ISBLANK('Data Entry'!$$88), "", 'Data Entry'!$$88)</f>
      </c>
      <c r="CH88">
        <f>IF(ISBLANK('Data Entry'!$$88), "", 'Data Entry'!$$88)</f>
      </c>
      <c r="CI88">
        <f>IF(ISBLANK('Data Entry'!$$88), "", 'Data Entry'!$$88)</f>
      </c>
      <c r="CJ88">
        <f>IF(ISBLANK('Data Entry'!$$88), "", 'Data Entry'!$$88)</f>
      </c>
      <c r="CK88">
        <f>IF(ISBLANK('Data Entry'!$$88), "", 'Data Entry'!$$88)</f>
      </c>
      <c r="CL88">
        <f>IF(ISBLANK('Data Entry'!$$88), "", 'Data Entry'!$$88)</f>
      </c>
      <c r="CM88">
        <f>IF(ISBLANK('Data Entry'!$$88), "", 'Data Entry'!$$88)</f>
      </c>
      <c r="CN88">
        <f>IF(ISBLANK('Data Entry'!$$88), "", 'Data Entry'!$$88)</f>
      </c>
      <c r="CO88">
        <f>IF(ISBLANK('Data Entry'!$$88), "", 'Data Entry'!$$88)</f>
      </c>
      <c r="CP88">
        <f>IF(ISBLANK('Data Entry'!$$88), "", 'Data Entry'!$$88)</f>
      </c>
      <c r="CQ88">
        <f>IF(ISBLANK('Data Entry'!$$88), "", 'Data Entry'!$$88)</f>
      </c>
      <c r="CR88">
        <f>IF(ISBLANK('Data Entry'!$ $88), "", 'Data Entry'!$ $88)</f>
      </c>
      <c r="CS88">
        <f>IF(ISBLANK('Data Entry'!$¡$88), "", 'Data Entry'!$¡$88)</f>
      </c>
      <c r="CT88">
        <f>IF(ISBLANK('Data Entry'!$¢$88), "", 'Data Entry'!$¢$88)</f>
      </c>
      <c r="CU88">
        <f>IF(ISBLANK('Data Entry'!$£$88), "", 'Data Entry'!$£$88)</f>
      </c>
      <c r="CV88">
        <f>IF(ISBLANK('Data Entry'!$¤$88), "", 'Data Entry'!$¤$88)</f>
      </c>
      <c r="CW88">
        <f>IF(ISBLANK('Data Entry'!$¥$88), "", 'Data Entry'!$¥$88)</f>
      </c>
      <c r="CX88">
        <f>IF(ISBLANK('Data Entry'!$¦$88), "", 'Data Entry'!$¦$88)</f>
      </c>
      <c r="CY88">
        <f>IF(ISBLANK('Data Entry'!$§$88), "", 'Data Entry'!$§$88)</f>
      </c>
      <c r="CZ88">
        <f>IF(ISBLANK('Data Entry'!$¨$88), "", 'Data Entry'!$¨$88)</f>
      </c>
      <c r="DA88">
        <f>IF(ISBLANK('Data Entry'!$©$88), "", 'Data Entry'!$©$88)</f>
      </c>
      <c r="DB88">
        <f>IF(ISBLANK('Data Entry'!$ª$88), "", 'Data Entry'!$ª$88)</f>
      </c>
      <c r="DC88">
        <f>IF(ISBLANK('Data Entry'!$«$88), "", 'Data Entry'!$«$88)</f>
      </c>
      <c r="DD88">
        <f>IF(ISBLANK('Data Entry'!$¬$88), "", 'Data Entry'!$¬$88)</f>
      </c>
      <c r="DE88">
        <f>IF(ISBLANK('Data Entry'!$­$88), "", 'Data Entry'!$­$88)</f>
      </c>
      <c r="DF88">
        <f>IF(ISBLANK('Data Entry'!$®$88), "", 'Data Entry'!$®$88)</f>
      </c>
      <c r="DG88">
        <f>IF(ISBLANK('Data Entry'!$¯$88), "", 'Data Entry'!$¯$88)</f>
      </c>
      <c r="DH88">
        <f>IF(ISBLANK('Data Entry'!$°$88), "", 'Data Entry'!$°$88)</f>
      </c>
      <c r="DI88">
        <f>IF(ISBLANK('Data Entry'!$±$88), "", 'Data Entry'!$±$88)</f>
      </c>
      <c r="DJ88">
        <f>IF(ISBLANK('Data Entry'!$²$88), "", 'Data Entry'!$²$88)</f>
      </c>
      <c r="DK88">
        <f>IF(ISBLANK('Data Entry'!$³$88), "", 'Data Entry'!$³$88)</f>
      </c>
      <c r="DL88">
        <f>IF(ISBLANK('Data Entry'!$´$88), "", 'Data Entry'!$´$88)</f>
      </c>
      <c r="DM88">
        <f>IF(ISBLANK('Data Entry'!$µ$88), "", 'Data Entry'!$µ$88)</f>
      </c>
      <c r="DN88">
        <f>IF(ISBLANK('Data Entry'!$¶$88), "", 'Data Entry'!$¶$88)</f>
      </c>
      <c r="DO88">
        <f>IF(ISBLANK('Data Entry'!$·$88), "", 'Data Entry'!$·$88)</f>
      </c>
      <c r="DP88">
        <f>IF(ISBLANK('Data Entry'!$¸$88), "", 'Data Entry'!$¸$88)</f>
      </c>
      <c r="DQ88">
        <f>IF(ISBLANK('Data Entry'!$¹$88), "", 'Data Entry'!$¹$88)</f>
      </c>
      <c r="DR88">
        <f>IF(ISBLANK('Data Entry'!$º$88), "", 'Data Entry'!$º$88)</f>
      </c>
      <c r="DS88">
        <f>IF(ISBLANK('Data Entry'!$»$88), "", 'Data Entry'!$»$88)</f>
      </c>
      <c r="DT88">
        <f>IF(ISBLANK('Data Entry'!$¼$88), "", 'Data Entry'!$¼$88)</f>
      </c>
      <c r="DU88">
        <f>IF(ISBLANK('Data Entry'!$½$88), "", 'Data Entry'!$½$88)</f>
      </c>
      <c r="DV88">
        <f>IF(ISBLANK('Data Entry'!$¾$88), "", 'Data Entry'!$¾$88)</f>
      </c>
      <c r="DW88">
        <f>IF(ISBLANK('Data Entry'!$¿$88), "", 'Data Entry'!$¿$88)</f>
      </c>
      <c r="DX88">
        <f>IF(ISBLANK('Data Entry'!$À$88), "", 'Data Entry'!$À$88)</f>
      </c>
      <c r="DY88">
        <f>IF(ISBLANK('Data Entry'!$Á$88), "", 'Data Entry'!$Á$88)</f>
      </c>
      <c r="DZ88">
        <f>IF(ISBLANK('Data Entry'!$Â$88), "", 'Data Entry'!$Â$88)</f>
      </c>
      <c r="EA88">
        <f>IF(ISBLANK('Data Entry'!$Ã$88), "", 'Data Entry'!$Ã$88)</f>
      </c>
      <c r="EB88">
        <f>IF(ISBLANK('Data Entry'!$Ä$88), "", 'Data Entry'!$Ä$88)</f>
      </c>
      <c r="EC88">
        <f>IF(ISBLANK('Data Entry'!$Å$88), "", 'Data Entry'!$Å$88)</f>
      </c>
      <c r="ED88">
        <f>IF(ISBLANK('Data Entry'!$Æ$88), "", 'Data Entry'!$Æ$88)</f>
      </c>
      <c r="EE88">
        <f>IF(ISBLANK('Data Entry'!$Ç$88), "", 'Data Entry'!$Ç$88)</f>
      </c>
      <c r="EF88">
        <f>IF(ISBLANK('Data Entry'!$È$88), "", 'Data Entry'!$È$88)</f>
      </c>
      <c r="EG88">
        <f>IF(ISBLANK('Data Entry'!$É$88), "", 'Data Entry'!$É$88)</f>
      </c>
      <c r="EH88">
        <f>IF(ISBLANK('Data Entry'!$Ê$88), "", 'Data Entry'!$Ê$88)</f>
      </c>
      <c r="EI88">
        <f>IF(ISBLANK('Data Entry'!$Ë$88), "", 'Data Entry'!$Ë$88)</f>
      </c>
      <c r="EJ88">
        <f>IF(ISBLANK('Data Entry'!$Ì$88), "", 'Data Entry'!$Ì$88)</f>
      </c>
      <c r="EK88">
        <f>IF(ISBLANK('Data Entry'!$Í$88), "", 'Data Entry'!$Í$88)</f>
      </c>
      <c r="EL88">
        <f>IF(ISBLANK('Data Entry'!$Î$88), "", 'Data Entry'!$Î$88)</f>
      </c>
      <c r="EM88">
        <f>IF(ISBLANK('Data Entry'!$Ï$88), "", 'Data Entry'!$Ï$88)</f>
      </c>
      <c r="EN88">
        <f>IF(ISBLANK('Data Entry'!$Ð$88), "", 'Data Entry'!$Ð$88)</f>
      </c>
      <c r="EO88">
        <f>IF(ISBLANK('Data Entry'!$Ñ$88), "", 'Data Entry'!$Ñ$88)</f>
      </c>
      <c r="EP88">
        <f>IF(ISBLANK('Data Entry'!$Ò$88), "", 'Data Entry'!$Ò$88)</f>
      </c>
      <c r="EQ88">
        <f>IF(ISBLANK('Data Entry'!$Ó$88), "", 'Data Entry'!$Ó$88)</f>
      </c>
      <c r="ER88">
        <f>IF(ISBLANK('Data Entry'!$Ô$88), "", 'Data Entry'!$Ô$88)</f>
      </c>
      <c r="ES88">
        <f>IF(ISBLANK('Data Entry'!$Õ$88), "", 'Data Entry'!$Õ$88)</f>
      </c>
      <c r="ET88">
        <f>IF(ISBLANK('Data Entry'!$Ö$88), "", 'Data Entry'!$Ö$88)</f>
      </c>
      <c r="EU88">
        <f>IF(ISBLANK('Data Entry'!$×$88), "", 'Data Entry'!$×$88)</f>
      </c>
      <c r="EV88">
        <f>IF(ISBLANK('Data Entry'!$Ø$88), "", 'Data Entry'!$Ø$88)</f>
      </c>
      <c r="EW88">
        <f>IF(ISBLANK('Data Entry'!$Ù$88), "", 'Data Entry'!$Ù$88)</f>
      </c>
      <c r="EX88">
        <f>IF(ISBLANK('Data Entry'!$Ú$88), "", 'Data Entry'!$Ú$88)</f>
      </c>
      <c r="EY88">
        <f>IF(ISBLANK('Data Entry'!$Û$88), "", 'Data Entry'!$Û$88)</f>
      </c>
      <c r="EZ88">
        <f>IF(ISBLANK('Data Entry'!$Ü$88), "", 'Data Entry'!$Ü$88)</f>
      </c>
      <c r="FA88">
        <f>IF(ISBLANK('Data Entry'!$Ý$88), "", 'Data Entry'!$Ý$88)</f>
      </c>
      <c r="FB88">
        <f>IF(ISBLANK('Data Entry'!$Þ$88), "", 'Data Entry'!$Þ$88)</f>
      </c>
      <c r="FC88">
        <f>IF(ISBLANK('Data Entry'!$ß$88), "", 'Data Entry'!$ß$88)</f>
      </c>
      <c r="FD88">
        <f>IF(ISBLANK('Data Entry'!$à$88), "", 'Data Entry'!$à$88)</f>
      </c>
      <c r="FE88">
        <f>IF(ISBLANK('Data Entry'!$á$88), "", 'Data Entry'!$á$88)</f>
      </c>
      <c r="FF88">
        <f>IF(ISBLANK('Data Entry'!$â$88), "", 'Data Entry'!$â$88)</f>
      </c>
      <c r="FG88">
        <f>IF(ISBLANK('Data Entry'!$ã$88), "", 'Data Entry'!$ã$88)</f>
      </c>
      <c r="FH88">
        <f>IF(ISBLANK('Data Entry'!$ä$88), "", 'Data Entry'!$ä$88)</f>
      </c>
      <c r="FI88">
        <f>IF(ISBLANK('Data Entry'!$å$88), "", 'Data Entry'!$å$88)</f>
      </c>
      <c r="FJ88">
        <f>IF(ISBLANK('Data Entry'!$æ$88), "", 'Data Entry'!$æ$88)</f>
      </c>
      <c r="FK88">
        <f>IF(ISBLANK('Data Entry'!$ç$88), "", 'Data Entry'!$ç$88)</f>
      </c>
      <c r="FL88">
        <f>IF(ISBLANK('Data Entry'!$è$88), "", 'Data Entry'!$è$88)</f>
      </c>
      <c r="FM88">
        <f>IF(ISBLANK('Data Entry'!$é$88), "", 'Data Entry'!$é$88)</f>
      </c>
      <c r="FN88">
        <f>IF(ISBLANK('Data Entry'!$ê$88), "", 'Data Entry'!$ê$88)</f>
      </c>
      <c r="FO88">
        <f>IF(ISBLANK('Data Entry'!$ë$88), "", 'Data Entry'!$ë$88)</f>
      </c>
      <c r="FP88">
        <f>IF(ISBLANK('Data Entry'!$ì$88), "", 'Data Entry'!$ì$88)</f>
      </c>
      <c r="FQ88">
        <f>IF(ISBLANK('Data Entry'!$í$88), "", 'Data Entry'!$í$88)</f>
      </c>
      <c r="FR88">
        <f>IF(ISBLANK('Data Entry'!$î$88), "", 'Data Entry'!$î$88)</f>
      </c>
      <c r="FS88">
        <f>IF(ISBLANK('Data Entry'!$ï$88), "", 'Data Entry'!$ï$88)</f>
      </c>
      <c r="FT88">
        <f>IF(ISBLANK('Data Entry'!$ð$88), "", 'Data Entry'!$ð$88)</f>
      </c>
      <c r="FU88">
        <f>IF(ISBLANK('Data Entry'!$ñ$88), "", 'Data Entry'!$ñ$88)</f>
      </c>
      <c r="FV88">
        <f>IF(ISBLANK('Data Entry'!$ò$88), "", 'Data Entry'!$ò$88)</f>
      </c>
      <c r="FW88">
        <f>IF(ISBLANK('Data Entry'!$ó$88), "", 'Data Entry'!$ó$88)</f>
      </c>
      <c r="FX88">
        <f>IF(ISBLANK('Data Entry'!$ô$88), "", 'Data Entry'!$ô$88)</f>
      </c>
      <c r="FY88">
        <f>IF(ISBLANK('Data Entry'!$õ$88), "", 'Data Entry'!$õ$88)</f>
      </c>
      <c r="FZ88">
        <f>IF(ISBLANK('Data Entry'!$ö$88), "", 'Data Entry'!$ö$88)</f>
      </c>
      <c r="GA88">
        <f>IF(ISBLANK('Data Entry'!$÷$88), "", 'Data Entry'!$÷$88)</f>
      </c>
      <c r="GB88">
        <f>IF(ISBLANK('Data Entry'!$ø$88), "", 'Data Entry'!$ø$88)</f>
      </c>
      <c r="GC88">
        <f>IF(ISBLANK('Data Entry'!$ù$88), "", 'Data Entry'!$ù$88)</f>
      </c>
      <c r="GD88">
        <f>IF(ISBLANK('Data Entry'!$ú$88), "", 'Data Entry'!$ú$88)</f>
      </c>
      <c r="GE88">
        <f>IF(ISBLANK('Data Entry'!$û$88), "", 'Data Entry'!$û$88)</f>
      </c>
      <c r="GF88">
        <f>IF(ISBLANK('Data Entry'!$ü$88), "", 'Data Entry'!$ü$88)</f>
      </c>
      <c r="GG88">
        <f>IF(ISBLANK('Data Entry'!$ý$88), "", 'Data Entry'!$ý$88)</f>
      </c>
      <c r="GH88">
        <f>IF(ISBLANK('Data Entry'!$þ$88), "", 'Data Entry'!$þ$88)</f>
      </c>
      <c r="GI88">
        <f>IF(ISBLANK('Data Entry'!$ÿ$88), "", 'Data Entry'!$ÿ$88)</f>
      </c>
      <c r="GJ88">
        <f>IF(ISBLANK('Data Entry'!$Ā$88), "", 'Data Entry'!$Ā$88)</f>
      </c>
      <c r="GK88">
        <f>IF(ISBLANK('Data Entry'!$ā$88), "", 'Data Entry'!$ā$88)</f>
      </c>
      <c r="GL88">
        <f>IF(ISBLANK('Data Entry'!$Ă$88), "", 'Data Entry'!$Ă$88)</f>
      </c>
      <c r="GM88">
        <f>IF(ISBLANK('Data Entry'!$ă$88), "", 'Data Entry'!$ă$88)</f>
      </c>
      <c r="GN88">
        <f>IF(ISBLANK('Data Entry'!$Ą$88), "", 'Data Entry'!$Ą$88)</f>
      </c>
      <c r="GO88">
        <f>IF(ISBLANK('Data Entry'!$ą$88), "", 'Data Entry'!$ą$88)</f>
      </c>
      <c r="GP88">
        <f>IF(ISBLANK('Data Entry'!$Ć$88), "", 'Data Entry'!$Ć$88)</f>
      </c>
      <c r="GQ88">
        <f>IF(ISBLANK('Data Entry'!$ć$88), "", 'Data Entry'!$ć$88)</f>
      </c>
      <c r="GR88">
        <f>IF(ISBLANK('Data Entry'!$Ĉ$88), "", 'Data Entry'!$Ĉ$88)</f>
      </c>
      <c r="GS88">
        <f>IF(ISBLANK('Data Entry'!$ĉ$88), "", 'Data Entry'!$ĉ$88)</f>
      </c>
      <c r="GT88">
        <f>IF(ISBLANK('Data Entry'!$Ċ$88), "", 'Data Entry'!$Ċ$88)</f>
      </c>
      <c r="GU88">
        <f>IF(ISBLANK('Data Entry'!$ċ$88), "", 'Data Entry'!$ċ$88)</f>
      </c>
      <c r="GV88">
        <f>IF(ISBLANK('Data Entry'!$Č$88), "", 'Data Entry'!$Č$88)</f>
      </c>
      <c r="GW88">
        <f>IF(ISBLANK('Data Entry'!$č$88), "", 'Data Entry'!$č$88)</f>
      </c>
      <c r="GX88">
        <f>IF(ISBLANK('Data Entry'!$Ď$88), "", 'Data Entry'!$Ď$88)</f>
      </c>
      <c r="GY88">
        <f>IF(ISBLANK('Data Entry'!$ď$88), "", 'Data Entry'!$ď$88)</f>
      </c>
      <c r="GZ88">
        <f>IF(ISBLANK('Data Entry'!$Đ$88), "", 'Data Entry'!$Đ$88)</f>
      </c>
      <c r="HA88">
        <f>IF(ISBLANK('Data Entry'!$đ$88), "", 'Data Entry'!$đ$88)</f>
      </c>
      <c r="HB88">
        <f>IF(ISBLANK('Data Entry'!$Ē$88), "", 'Data Entry'!$Ē$88)</f>
      </c>
      <c r="HC88">
        <f>IF(ISBLANK('Data Entry'!$ē$88), "", 'Data Entry'!$ē$88)</f>
      </c>
      <c r="HD88">
        <f>IF(ISBLANK('Data Entry'!$Ĕ$88), "", 'Data Entry'!$Ĕ$88)</f>
      </c>
      <c r="HE88">
        <f>IF(ISBLANK('Data Entry'!$ĕ$88), "", 'Data Entry'!$ĕ$88)</f>
      </c>
      <c r="HF88">
        <f>IF(ISBLANK('Data Entry'!$Ė$88), "", 'Data Entry'!$Ė$88)</f>
      </c>
      <c r="HG88">
        <f>IF(ISBLANK('Data Entry'!$ė$88), "", 'Data Entry'!$ė$88)</f>
      </c>
      <c r="HH88">
        <f>IF(ISBLANK('Data Entry'!$Ę$88), "", 'Data Entry'!$Ę$88)</f>
      </c>
      <c r="HI88">
        <f>IF(ISBLANK('Data Entry'!$ę$88), "", 'Data Entry'!$ę$88)</f>
      </c>
      <c r="HJ88">
        <f>IF(ISBLANK('Data Entry'!$Ě$88), "", 'Data Entry'!$Ě$88)</f>
      </c>
      <c r="HK88">
        <f>IF(ISBLANK('Data Entry'!$ě$88), "", 'Data Entry'!$ě$88)</f>
      </c>
      <c r="HL88">
        <f>IF(ISBLANK('Data Entry'!$Ĝ$88), "", 'Data Entry'!$Ĝ$88)</f>
      </c>
      <c r="HM88">
        <f>IF(ISBLANK('Data Entry'!$ĝ$88), "", 'Data Entry'!$ĝ$88)</f>
      </c>
      <c r="HN88">
        <f>IF(ISBLANK('Data Entry'!$Ğ$88), "", 'Data Entry'!$Ğ$88)</f>
      </c>
      <c r="HO88">
        <f>IF(ISBLANK('Data Entry'!$ğ$88), "", 'Data Entry'!$ğ$88)</f>
      </c>
      <c r="HP88">
        <f>IF(ISBLANK('Data Entry'!$Ġ$88), "", 'Data Entry'!$Ġ$88)</f>
      </c>
      <c r="HQ88">
        <f>IF(ISBLANK('Data Entry'!$ġ$88), "", 'Data Entry'!$ġ$88)</f>
      </c>
      <c r="HR88">
        <f>IF(ISBLANK('Data Entry'!$Ģ$88), "", 'Data Entry'!$Ģ$88)</f>
      </c>
      <c r="HS88">
        <f>IF(ISBLANK('Data Entry'!$ģ$88), "", 'Data Entry'!$ģ$88)</f>
      </c>
      <c r="HT88">
        <f>IF(ISBLANK('Data Entry'!$Ĥ$88), "", 'Data Entry'!$Ĥ$88)</f>
      </c>
      <c r="HU88">
        <f>IF(ISBLANK('Data Entry'!$ĥ$88), "", 'Data Entry'!$ĥ$88)</f>
      </c>
      <c r="HV88">
        <f>IF(ISBLANK('Data Entry'!$Ħ$88), "", 'Data Entry'!$Ħ$88)</f>
      </c>
      <c r="HW88">
        <f>IF(ISBLANK('Data Entry'!$ħ$88), "", 'Data Entry'!$ħ$88)</f>
      </c>
      <c r="HX88">
        <f>IF(ISBLANK('Data Entry'!$Ĩ$88), "", 'Data Entry'!$Ĩ$88)</f>
      </c>
      <c r="HY88">
        <f>IF(ISBLANK('Data Entry'!$ĩ$88), "", 'Data Entry'!$ĩ$88)</f>
      </c>
      <c r="HZ88">
        <f>IF(ISBLANK('Data Entry'!$Ī$88), "", 'Data Entry'!$Ī$88)</f>
      </c>
      <c r="IA88">
        <f>IF(ISBLANK('Data Entry'!$ī$88), "", 'Data Entry'!$ī$88)</f>
      </c>
      <c r="IB88">
        <f>IF(ISBLANK('Data Entry'!$Ĭ$88), "", 'Data Entry'!$Ĭ$88)</f>
      </c>
      <c r="IC88">
        <f>IF(ISBLANK('Data Entry'!$ĭ$88), "", 'Data Entry'!$ĭ$88)</f>
      </c>
      <c r="ID88">
        <f>IF(ISBLANK('Data Entry'!$Į$88), "", 'Data Entry'!$Į$88)</f>
      </c>
      <c r="IE88">
        <f>IF(ISBLANK('Data Entry'!$į$88), "", 'Data Entry'!$į$88)</f>
      </c>
      <c r="IF88">
        <f>IF(ISBLANK('Data Entry'!$İ$88), "", 'Data Entry'!$İ$88)</f>
      </c>
      <c r="IG88">
        <f>IF(ISBLANK('Data Entry'!$ı$88), "", 'Data Entry'!$ı$88)</f>
      </c>
      <c r="IH88">
        <f>IF(ISBLANK('Data Entry'!$Ĳ$88), "", 'Data Entry'!$Ĳ$88)</f>
      </c>
      <c r="II88">
        <f>IF(ISBLANK('Data Entry'!$ĳ$88), "", 'Data Entry'!$ĳ$88)</f>
      </c>
      <c r="IJ88">
        <f>IF(ISBLANK('Data Entry'!$Ĵ$88), "", 'Data Entry'!$Ĵ$88)</f>
      </c>
      <c r="IK88">
        <f>IF(ISBLANK('Data Entry'!$ĵ$88), "", 'Data Entry'!$ĵ$88)</f>
      </c>
      <c r="IL88">
        <f>IF(ISBLANK('Data Entry'!$Ķ$88), "", 'Data Entry'!$Ķ$88)</f>
      </c>
      <c r="IM88">
        <f>IF(ISBLANK('Data Entry'!$ķ$88), "", 'Data Entry'!$ķ$88)</f>
      </c>
      <c r="IN88">
        <f>IF(ISBLANK('Data Entry'!$ĸ$88), "", 'Data Entry'!$ĸ$88)</f>
      </c>
      <c r="IO88">
        <f>IF(ISBLANK('Data Entry'!$Ĺ$88), "", 'Data Entry'!$Ĺ$88)</f>
      </c>
      <c r="IP88">
        <f>IF(ISBLANK('Data Entry'!$ĺ$88), "", 'Data Entry'!$ĺ$88)</f>
      </c>
      <c r="IQ88">
        <f>IF(ISBLANK('Data Entry'!$Ļ$88), "", 'Data Entry'!$Ļ$88)</f>
      </c>
      <c r="IR88">
        <f>IF(ISBLANK('Data Entry'!$ļ$88), "", 'Data Entry'!$ļ$88)</f>
      </c>
      <c r="IS88">
        <f>IF(ISBLANK('Data Entry'!$Ľ$88), "", 'Data Entry'!$Ľ$88)</f>
      </c>
      <c r="IT88">
        <f>IF(ISBLANK('Data Entry'!$ľ$88), "", 'Data Entry'!$ľ$88)</f>
      </c>
    </row>
    <row r="89" spans="1:254" x14ac:dyDescent="0.25">
      <c r="A89">
        <f>IF(ISBLANK('Data Entry'!$A$89), "", 'Data Entry'!$A$89)</f>
      </c>
      <c r="B89">
        <f>IF(ISBLANK('Data Entry'!$B$89), "", 'Data Entry'!$B$89)</f>
      </c>
      <c r="C89">
        <f>IF(ISBLANK('Data Entry'!$C$89), "", 'Data Entry'!$C$89)</f>
      </c>
      <c r="D89">
        <f>IF(ISBLANK('Data Entry'!$D$89), "", 'Data Entry'!$D$89)</f>
      </c>
      <c r="E89">
        <f>IF(ISBLANK('Data Entry'!$E$89), "", 'Data Entry'!$E$89)</f>
      </c>
      <c r="F89">
        <f>IF(ISBLANK('Data Entry'!$F$89), "", 'Data Entry'!$F$89)</f>
      </c>
      <c r="G89">
        <f>IF(ISBLANK('Data Entry'!$G$89), "", 'Data Entry'!$G$89)</f>
      </c>
      <c r="H89">
        <f>IF(ISBLANK('Data Entry'!$H$89), "", 'Data Entry'!$H$89)</f>
      </c>
      <c r="I89">
        <f>IF(ISBLANK('Data Entry'!$I$89), "", 'Data Entry'!$I$89)</f>
      </c>
      <c r="J89">
        <f>IF(ISBLANK('Data Entry'!$J$89), "", 'Data Entry'!$J$89)</f>
      </c>
      <c r="K89">
        <f>IF(ISBLANK('Data Entry'!$K$89), "", 'Data Entry'!$K$89)</f>
      </c>
      <c r="L89">
        <f>IF(ISBLANK('Data Entry'!$L$89), "", 'Data Entry'!$L$89)</f>
      </c>
      <c r="M89">
        <f>IF(ISBLANK('Data Entry'!$M$89), "", 'Data Entry'!$M$89)</f>
      </c>
      <c r="N89">
        <f>IF(ISBLANK('Data Entry'!$N$89), "", 'Data Entry'!$N$89)</f>
      </c>
      <c r="O89">
        <f>IF(ISBLANK('Data Entry'!$O$89), "", 'Data Entry'!$O$89)</f>
      </c>
      <c r="P89">
        <f>IF(ISBLANK('Data Entry'!$P$89), "", 'Data Entry'!$P$89)</f>
      </c>
      <c r="Q89">
        <f>IF(ISBLANK('Data Entry'!$Q$89), "", 'Data Entry'!$Q$89)</f>
      </c>
      <c r="R89">
        <f>IF(ISBLANK('Data Entry'!$R$89), "", 'Data Entry'!$R$89)</f>
      </c>
      <c r="S89">
        <f>IF(ISBLANK('Data Entry'!$S$89), "", 'Data Entry'!$S$89)</f>
      </c>
      <c r="T89">
        <f>IF(ISBLANK('Data Entry'!$T$89), "", 'Data Entry'!$T$89)</f>
      </c>
      <c r="U89">
        <f>IF(ISBLANK('Data Entry'!$U$89), "", 'Data Entry'!$U$89)</f>
      </c>
      <c r="V89">
        <f>IF(ISBLANK('Data Entry'!$V$89), "", 'Data Entry'!$V$89)</f>
      </c>
      <c r="W89">
        <f>IF(ISBLANK('Data Entry'!$W$89), "", 'Data Entry'!$W$89)</f>
      </c>
      <c r="X89">
        <f>IF(ISBLANK('Data Entry'!$X$89), "", 'Data Entry'!$X$89)</f>
      </c>
      <c r="Y89">
        <f>IF(ISBLANK('Data Entry'!$Y$89), "", 'Data Entry'!$Y$89)</f>
      </c>
      <c r="Z89">
        <f>IF(ISBLANK('Data Entry'!$Z$89), "", 'Data Entry'!$Z$89)</f>
      </c>
      <c r="AA89">
        <f>IF(ISBLANK('Data Entry'!$[$89), "", 'Data Entry'!$[$89)</f>
      </c>
      <c r="AB89">
        <f>IF(ISBLANK('Data Entry'!$\$89), "", 'Data Entry'!$\$89)</f>
      </c>
      <c r="AC89">
        <f>IF(ISBLANK('Data Entry'!$]$89), "", 'Data Entry'!$]$89)</f>
      </c>
      <c r="AD89">
        <f>IF(ISBLANK('Data Entry'!$^$89), "", 'Data Entry'!$^$89)</f>
      </c>
      <c r="AE89">
        <f>IF(ISBLANK('Data Entry'!$_$89), "", 'Data Entry'!$_$89)</f>
      </c>
      <c r="AF89">
        <f>IF(ISBLANK('Data Entry'!$`$89), "", 'Data Entry'!$`$89)</f>
      </c>
      <c r="AG89">
        <f>IF(ISBLANK('Data Entry'!$a$89), "", 'Data Entry'!$a$89)</f>
      </c>
      <c r="AH89">
        <f>IF(ISBLANK('Data Entry'!$b$89), "", 'Data Entry'!$b$89)</f>
      </c>
      <c r="AI89">
        <f>IF(ISBLANK('Data Entry'!$c$89), "", 'Data Entry'!$c$89)</f>
      </c>
      <c r="AJ89">
        <f>IF(ISBLANK('Data Entry'!$d$89), "", 'Data Entry'!$d$89)</f>
      </c>
      <c r="AK89">
        <f>IF(ISBLANK('Data Entry'!$e$89), "", 'Data Entry'!$e$89)</f>
      </c>
      <c r="AL89">
        <f>IF(ISBLANK('Data Entry'!$f$89), "", 'Data Entry'!$f$89)</f>
      </c>
      <c r="AM89">
        <f>IF(ISBLANK('Data Entry'!$g$89), "", 'Data Entry'!$g$89)</f>
      </c>
      <c r="AN89">
        <f>IF(ISBLANK('Data Entry'!$h$89), "", 'Data Entry'!$h$89)</f>
      </c>
      <c r="AO89">
        <f>IF(ISBLANK('Data Entry'!$i$89), "", 'Data Entry'!$i$89)</f>
      </c>
      <c r="AP89">
        <f>IF(ISBLANK('Data Entry'!$j$89), "", 'Data Entry'!$j$89)</f>
      </c>
      <c r="AQ89">
        <f>IF(ISBLANK('Data Entry'!$k$89), "", 'Data Entry'!$k$89)</f>
      </c>
      <c r="AR89">
        <f>IF(ISBLANK('Data Entry'!$l$89), "", 'Data Entry'!$l$89)</f>
      </c>
      <c r="AS89">
        <f>IF(ISBLANK('Data Entry'!$m$89), "", 'Data Entry'!$m$89)</f>
      </c>
      <c r="AT89">
        <f>IF(ISBLANK('Data Entry'!$n$89), "", 'Data Entry'!$n$89)</f>
      </c>
      <c r="AU89">
        <f>IF(ISBLANK('Data Entry'!$o$89), "", 'Data Entry'!$o$89)</f>
      </c>
      <c r="AV89">
        <f>IF(ISBLANK('Data Entry'!$p$89), "", 'Data Entry'!$p$89)</f>
      </c>
      <c r="AW89">
        <f>IF(ISBLANK('Data Entry'!$q$89), "", 'Data Entry'!$q$89)</f>
      </c>
      <c r="AX89">
        <f>IF(ISBLANK('Data Entry'!$r$89), "", 'Data Entry'!$r$89)</f>
      </c>
      <c r="AY89">
        <f>IF(ISBLANK('Data Entry'!$s$89), "", 'Data Entry'!$s$89)</f>
      </c>
      <c r="AZ89">
        <f>IF(ISBLANK('Data Entry'!$t$89), "", 'Data Entry'!$t$89)</f>
      </c>
      <c r="BA89">
        <f>IF(ISBLANK('Data Entry'!$u$89), "", 'Data Entry'!$u$89)</f>
      </c>
      <c r="BB89">
        <f>IF(ISBLANK('Data Entry'!$v$89), "", 'Data Entry'!$v$89)</f>
      </c>
      <c r="BC89">
        <f>IF(ISBLANK('Data Entry'!$w$89), "", 'Data Entry'!$w$89)</f>
      </c>
      <c r="BD89">
        <f>IF(ISBLANK('Data Entry'!$x$89), "", 'Data Entry'!$x$89)</f>
      </c>
      <c r="BE89">
        <f>IF(ISBLANK('Data Entry'!$y$89), "", 'Data Entry'!$y$89)</f>
      </c>
      <c r="BF89">
        <f>IF(ISBLANK('Data Entry'!$z$89), "", 'Data Entry'!$z$89)</f>
      </c>
      <c r="BG89">
        <f>IF(ISBLANK('Data Entry'!${$89), "", 'Data Entry'!${$89)</f>
      </c>
      <c r="BH89">
        <f>IF(ISBLANK('Data Entry'!$|$89), "", 'Data Entry'!$|$89)</f>
      </c>
      <c r="BI89">
        <f>IF(ISBLANK('Data Entry'!$}$89), "", 'Data Entry'!$}$89)</f>
      </c>
      <c r="BJ89">
        <f>IF(ISBLANK('Data Entry'!$~$89), "", 'Data Entry'!$~$89)</f>
      </c>
      <c r="BK89">
        <f>IF(ISBLANK('Data Entry'!$$89), "", 'Data Entry'!$$89)</f>
      </c>
      <c r="BL89">
        <f>IF(ISBLANK('Data Entry'!$$89), "", 'Data Entry'!$$89)</f>
      </c>
      <c r="BM89">
        <f>IF(ISBLANK('Data Entry'!$$89), "", 'Data Entry'!$$89)</f>
      </c>
      <c r="BN89">
        <f>IF(ISBLANK('Data Entry'!$$89), "", 'Data Entry'!$$89)</f>
      </c>
      <c r="BO89">
        <f>IF(ISBLANK('Data Entry'!$$89), "", 'Data Entry'!$$89)</f>
      </c>
      <c r="BP89">
        <f>IF(ISBLANK('Data Entry'!$$89), "", 'Data Entry'!$$89)</f>
      </c>
      <c r="BQ89">
        <f>IF(ISBLANK('Data Entry'!$$89), "", 'Data Entry'!$$89)</f>
      </c>
      <c r="BR89">
        <f>IF(ISBLANK('Data Entry'!$$89), "", 'Data Entry'!$$89)</f>
      </c>
      <c r="BS89">
        <f>IF(ISBLANK('Data Entry'!$$89), "", 'Data Entry'!$$89)</f>
      </c>
      <c r="BT89">
        <f>IF(ISBLANK('Data Entry'!$$89), "", 'Data Entry'!$$89)</f>
      </c>
      <c r="BU89">
        <f>IF(ISBLANK('Data Entry'!$$89), "", 'Data Entry'!$$89)</f>
      </c>
      <c r="BV89">
        <f>IF(ISBLANK('Data Entry'!$$89), "", 'Data Entry'!$$89)</f>
      </c>
      <c r="BW89">
        <f>IF(ISBLANK('Data Entry'!$$89), "", 'Data Entry'!$$89)</f>
      </c>
      <c r="BX89">
        <f>IF(ISBLANK('Data Entry'!$$89), "", 'Data Entry'!$$89)</f>
      </c>
      <c r="BY89">
        <f>IF(ISBLANK('Data Entry'!$$89), "", 'Data Entry'!$$89)</f>
      </c>
      <c r="BZ89">
        <f>IF(ISBLANK('Data Entry'!$$89), "", 'Data Entry'!$$89)</f>
      </c>
      <c r="CA89">
        <f>IF(ISBLANK('Data Entry'!$$89), "", 'Data Entry'!$$89)</f>
      </c>
      <c r="CB89">
        <f>IF(ISBLANK('Data Entry'!$$89), "", 'Data Entry'!$$89)</f>
      </c>
      <c r="CC89">
        <f>IF(ISBLANK('Data Entry'!$$89), "", 'Data Entry'!$$89)</f>
      </c>
      <c r="CD89">
        <f>IF(ISBLANK('Data Entry'!$$89), "", 'Data Entry'!$$89)</f>
      </c>
      <c r="CE89">
        <f>IF(ISBLANK('Data Entry'!$$89), "", 'Data Entry'!$$89)</f>
      </c>
      <c r="CF89">
        <f>IF(ISBLANK('Data Entry'!$$89), "", 'Data Entry'!$$89)</f>
      </c>
      <c r="CG89">
        <f>IF(ISBLANK('Data Entry'!$$89), "", 'Data Entry'!$$89)</f>
      </c>
      <c r="CH89">
        <f>IF(ISBLANK('Data Entry'!$$89), "", 'Data Entry'!$$89)</f>
      </c>
      <c r="CI89">
        <f>IF(ISBLANK('Data Entry'!$$89), "", 'Data Entry'!$$89)</f>
      </c>
      <c r="CJ89">
        <f>IF(ISBLANK('Data Entry'!$$89), "", 'Data Entry'!$$89)</f>
      </c>
      <c r="CK89">
        <f>IF(ISBLANK('Data Entry'!$$89), "", 'Data Entry'!$$89)</f>
      </c>
      <c r="CL89">
        <f>IF(ISBLANK('Data Entry'!$$89), "", 'Data Entry'!$$89)</f>
      </c>
      <c r="CM89">
        <f>IF(ISBLANK('Data Entry'!$$89), "", 'Data Entry'!$$89)</f>
      </c>
      <c r="CN89">
        <f>IF(ISBLANK('Data Entry'!$$89), "", 'Data Entry'!$$89)</f>
      </c>
      <c r="CO89">
        <f>IF(ISBLANK('Data Entry'!$$89), "", 'Data Entry'!$$89)</f>
      </c>
      <c r="CP89">
        <f>IF(ISBLANK('Data Entry'!$$89), "", 'Data Entry'!$$89)</f>
      </c>
      <c r="CQ89">
        <f>IF(ISBLANK('Data Entry'!$$89), "", 'Data Entry'!$$89)</f>
      </c>
      <c r="CR89">
        <f>IF(ISBLANK('Data Entry'!$ $89), "", 'Data Entry'!$ $89)</f>
      </c>
      <c r="CS89">
        <f>IF(ISBLANK('Data Entry'!$¡$89), "", 'Data Entry'!$¡$89)</f>
      </c>
      <c r="CT89">
        <f>IF(ISBLANK('Data Entry'!$¢$89), "", 'Data Entry'!$¢$89)</f>
      </c>
      <c r="CU89">
        <f>IF(ISBLANK('Data Entry'!$£$89), "", 'Data Entry'!$£$89)</f>
      </c>
      <c r="CV89">
        <f>IF(ISBLANK('Data Entry'!$¤$89), "", 'Data Entry'!$¤$89)</f>
      </c>
      <c r="CW89">
        <f>IF(ISBLANK('Data Entry'!$¥$89), "", 'Data Entry'!$¥$89)</f>
      </c>
      <c r="CX89">
        <f>IF(ISBLANK('Data Entry'!$¦$89), "", 'Data Entry'!$¦$89)</f>
      </c>
      <c r="CY89">
        <f>IF(ISBLANK('Data Entry'!$§$89), "", 'Data Entry'!$§$89)</f>
      </c>
      <c r="CZ89">
        <f>IF(ISBLANK('Data Entry'!$¨$89), "", 'Data Entry'!$¨$89)</f>
      </c>
      <c r="DA89">
        <f>IF(ISBLANK('Data Entry'!$©$89), "", 'Data Entry'!$©$89)</f>
      </c>
      <c r="DB89">
        <f>IF(ISBLANK('Data Entry'!$ª$89), "", 'Data Entry'!$ª$89)</f>
      </c>
      <c r="DC89">
        <f>IF(ISBLANK('Data Entry'!$«$89), "", 'Data Entry'!$«$89)</f>
      </c>
      <c r="DD89">
        <f>IF(ISBLANK('Data Entry'!$¬$89), "", 'Data Entry'!$¬$89)</f>
      </c>
      <c r="DE89">
        <f>IF(ISBLANK('Data Entry'!$­$89), "", 'Data Entry'!$­$89)</f>
      </c>
      <c r="DF89">
        <f>IF(ISBLANK('Data Entry'!$®$89), "", 'Data Entry'!$®$89)</f>
      </c>
      <c r="DG89">
        <f>IF(ISBLANK('Data Entry'!$¯$89), "", 'Data Entry'!$¯$89)</f>
      </c>
      <c r="DH89">
        <f>IF(ISBLANK('Data Entry'!$°$89), "", 'Data Entry'!$°$89)</f>
      </c>
      <c r="DI89">
        <f>IF(ISBLANK('Data Entry'!$±$89), "", 'Data Entry'!$±$89)</f>
      </c>
      <c r="DJ89">
        <f>IF(ISBLANK('Data Entry'!$²$89), "", 'Data Entry'!$²$89)</f>
      </c>
      <c r="DK89">
        <f>IF(ISBLANK('Data Entry'!$³$89), "", 'Data Entry'!$³$89)</f>
      </c>
      <c r="DL89">
        <f>IF(ISBLANK('Data Entry'!$´$89), "", 'Data Entry'!$´$89)</f>
      </c>
      <c r="DM89">
        <f>IF(ISBLANK('Data Entry'!$µ$89), "", 'Data Entry'!$µ$89)</f>
      </c>
      <c r="DN89">
        <f>IF(ISBLANK('Data Entry'!$¶$89), "", 'Data Entry'!$¶$89)</f>
      </c>
      <c r="DO89">
        <f>IF(ISBLANK('Data Entry'!$·$89), "", 'Data Entry'!$·$89)</f>
      </c>
      <c r="DP89">
        <f>IF(ISBLANK('Data Entry'!$¸$89), "", 'Data Entry'!$¸$89)</f>
      </c>
      <c r="DQ89">
        <f>IF(ISBLANK('Data Entry'!$¹$89), "", 'Data Entry'!$¹$89)</f>
      </c>
      <c r="DR89">
        <f>IF(ISBLANK('Data Entry'!$º$89), "", 'Data Entry'!$º$89)</f>
      </c>
      <c r="DS89">
        <f>IF(ISBLANK('Data Entry'!$»$89), "", 'Data Entry'!$»$89)</f>
      </c>
      <c r="DT89">
        <f>IF(ISBLANK('Data Entry'!$¼$89), "", 'Data Entry'!$¼$89)</f>
      </c>
      <c r="DU89">
        <f>IF(ISBLANK('Data Entry'!$½$89), "", 'Data Entry'!$½$89)</f>
      </c>
      <c r="DV89">
        <f>IF(ISBLANK('Data Entry'!$¾$89), "", 'Data Entry'!$¾$89)</f>
      </c>
      <c r="DW89">
        <f>IF(ISBLANK('Data Entry'!$¿$89), "", 'Data Entry'!$¿$89)</f>
      </c>
      <c r="DX89">
        <f>IF(ISBLANK('Data Entry'!$À$89), "", 'Data Entry'!$À$89)</f>
      </c>
      <c r="DY89">
        <f>IF(ISBLANK('Data Entry'!$Á$89), "", 'Data Entry'!$Á$89)</f>
      </c>
      <c r="DZ89">
        <f>IF(ISBLANK('Data Entry'!$Â$89), "", 'Data Entry'!$Â$89)</f>
      </c>
      <c r="EA89">
        <f>IF(ISBLANK('Data Entry'!$Ã$89), "", 'Data Entry'!$Ã$89)</f>
      </c>
      <c r="EB89">
        <f>IF(ISBLANK('Data Entry'!$Ä$89), "", 'Data Entry'!$Ä$89)</f>
      </c>
      <c r="EC89">
        <f>IF(ISBLANK('Data Entry'!$Å$89), "", 'Data Entry'!$Å$89)</f>
      </c>
      <c r="ED89">
        <f>IF(ISBLANK('Data Entry'!$Æ$89), "", 'Data Entry'!$Æ$89)</f>
      </c>
      <c r="EE89">
        <f>IF(ISBLANK('Data Entry'!$Ç$89), "", 'Data Entry'!$Ç$89)</f>
      </c>
      <c r="EF89">
        <f>IF(ISBLANK('Data Entry'!$È$89), "", 'Data Entry'!$È$89)</f>
      </c>
      <c r="EG89">
        <f>IF(ISBLANK('Data Entry'!$É$89), "", 'Data Entry'!$É$89)</f>
      </c>
      <c r="EH89">
        <f>IF(ISBLANK('Data Entry'!$Ê$89), "", 'Data Entry'!$Ê$89)</f>
      </c>
      <c r="EI89">
        <f>IF(ISBLANK('Data Entry'!$Ë$89), "", 'Data Entry'!$Ë$89)</f>
      </c>
      <c r="EJ89">
        <f>IF(ISBLANK('Data Entry'!$Ì$89), "", 'Data Entry'!$Ì$89)</f>
      </c>
      <c r="EK89">
        <f>IF(ISBLANK('Data Entry'!$Í$89), "", 'Data Entry'!$Í$89)</f>
      </c>
      <c r="EL89">
        <f>IF(ISBLANK('Data Entry'!$Î$89), "", 'Data Entry'!$Î$89)</f>
      </c>
      <c r="EM89">
        <f>IF(ISBLANK('Data Entry'!$Ï$89), "", 'Data Entry'!$Ï$89)</f>
      </c>
      <c r="EN89">
        <f>IF(ISBLANK('Data Entry'!$Ð$89), "", 'Data Entry'!$Ð$89)</f>
      </c>
      <c r="EO89">
        <f>IF(ISBLANK('Data Entry'!$Ñ$89), "", 'Data Entry'!$Ñ$89)</f>
      </c>
      <c r="EP89">
        <f>IF(ISBLANK('Data Entry'!$Ò$89), "", 'Data Entry'!$Ò$89)</f>
      </c>
      <c r="EQ89">
        <f>IF(ISBLANK('Data Entry'!$Ó$89), "", 'Data Entry'!$Ó$89)</f>
      </c>
      <c r="ER89">
        <f>IF(ISBLANK('Data Entry'!$Ô$89), "", 'Data Entry'!$Ô$89)</f>
      </c>
      <c r="ES89">
        <f>IF(ISBLANK('Data Entry'!$Õ$89), "", 'Data Entry'!$Õ$89)</f>
      </c>
      <c r="ET89">
        <f>IF(ISBLANK('Data Entry'!$Ö$89), "", 'Data Entry'!$Ö$89)</f>
      </c>
      <c r="EU89">
        <f>IF(ISBLANK('Data Entry'!$×$89), "", 'Data Entry'!$×$89)</f>
      </c>
      <c r="EV89">
        <f>IF(ISBLANK('Data Entry'!$Ø$89), "", 'Data Entry'!$Ø$89)</f>
      </c>
      <c r="EW89">
        <f>IF(ISBLANK('Data Entry'!$Ù$89), "", 'Data Entry'!$Ù$89)</f>
      </c>
      <c r="EX89">
        <f>IF(ISBLANK('Data Entry'!$Ú$89), "", 'Data Entry'!$Ú$89)</f>
      </c>
      <c r="EY89">
        <f>IF(ISBLANK('Data Entry'!$Û$89), "", 'Data Entry'!$Û$89)</f>
      </c>
      <c r="EZ89">
        <f>IF(ISBLANK('Data Entry'!$Ü$89), "", 'Data Entry'!$Ü$89)</f>
      </c>
      <c r="FA89">
        <f>IF(ISBLANK('Data Entry'!$Ý$89), "", 'Data Entry'!$Ý$89)</f>
      </c>
      <c r="FB89">
        <f>IF(ISBLANK('Data Entry'!$Þ$89), "", 'Data Entry'!$Þ$89)</f>
      </c>
      <c r="FC89">
        <f>IF(ISBLANK('Data Entry'!$ß$89), "", 'Data Entry'!$ß$89)</f>
      </c>
      <c r="FD89">
        <f>IF(ISBLANK('Data Entry'!$à$89), "", 'Data Entry'!$à$89)</f>
      </c>
      <c r="FE89">
        <f>IF(ISBLANK('Data Entry'!$á$89), "", 'Data Entry'!$á$89)</f>
      </c>
      <c r="FF89">
        <f>IF(ISBLANK('Data Entry'!$â$89), "", 'Data Entry'!$â$89)</f>
      </c>
      <c r="FG89">
        <f>IF(ISBLANK('Data Entry'!$ã$89), "", 'Data Entry'!$ã$89)</f>
      </c>
      <c r="FH89">
        <f>IF(ISBLANK('Data Entry'!$ä$89), "", 'Data Entry'!$ä$89)</f>
      </c>
      <c r="FI89">
        <f>IF(ISBLANK('Data Entry'!$å$89), "", 'Data Entry'!$å$89)</f>
      </c>
      <c r="FJ89">
        <f>IF(ISBLANK('Data Entry'!$æ$89), "", 'Data Entry'!$æ$89)</f>
      </c>
      <c r="FK89">
        <f>IF(ISBLANK('Data Entry'!$ç$89), "", 'Data Entry'!$ç$89)</f>
      </c>
      <c r="FL89">
        <f>IF(ISBLANK('Data Entry'!$è$89), "", 'Data Entry'!$è$89)</f>
      </c>
      <c r="FM89">
        <f>IF(ISBLANK('Data Entry'!$é$89), "", 'Data Entry'!$é$89)</f>
      </c>
      <c r="FN89">
        <f>IF(ISBLANK('Data Entry'!$ê$89), "", 'Data Entry'!$ê$89)</f>
      </c>
      <c r="FO89">
        <f>IF(ISBLANK('Data Entry'!$ë$89), "", 'Data Entry'!$ë$89)</f>
      </c>
      <c r="FP89">
        <f>IF(ISBLANK('Data Entry'!$ì$89), "", 'Data Entry'!$ì$89)</f>
      </c>
      <c r="FQ89">
        <f>IF(ISBLANK('Data Entry'!$í$89), "", 'Data Entry'!$í$89)</f>
      </c>
      <c r="FR89">
        <f>IF(ISBLANK('Data Entry'!$î$89), "", 'Data Entry'!$î$89)</f>
      </c>
      <c r="FS89">
        <f>IF(ISBLANK('Data Entry'!$ï$89), "", 'Data Entry'!$ï$89)</f>
      </c>
      <c r="FT89">
        <f>IF(ISBLANK('Data Entry'!$ð$89), "", 'Data Entry'!$ð$89)</f>
      </c>
      <c r="FU89">
        <f>IF(ISBLANK('Data Entry'!$ñ$89), "", 'Data Entry'!$ñ$89)</f>
      </c>
      <c r="FV89">
        <f>IF(ISBLANK('Data Entry'!$ò$89), "", 'Data Entry'!$ò$89)</f>
      </c>
      <c r="FW89">
        <f>IF(ISBLANK('Data Entry'!$ó$89), "", 'Data Entry'!$ó$89)</f>
      </c>
      <c r="FX89">
        <f>IF(ISBLANK('Data Entry'!$ô$89), "", 'Data Entry'!$ô$89)</f>
      </c>
      <c r="FY89">
        <f>IF(ISBLANK('Data Entry'!$õ$89), "", 'Data Entry'!$õ$89)</f>
      </c>
      <c r="FZ89">
        <f>IF(ISBLANK('Data Entry'!$ö$89), "", 'Data Entry'!$ö$89)</f>
      </c>
      <c r="GA89">
        <f>IF(ISBLANK('Data Entry'!$÷$89), "", 'Data Entry'!$÷$89)</f>
      </c>
      <c r="GB89">
        <f>IF(ISBLANK('Data Entry'!$ø$89), "", 'Data Entry'!$ø$89)</f>
      </c>
      <c r="GC89">
        <f>IF(ISBLANK('Data Entry'!$ù$89), "", 'Data Entry'!$ù$89)</f>
      </c>
      <c r="GD89">
        <f>IF(ISBLANK('Data Entry'!$ú$89), "", 'Data Entry'!$ú$89)</f>
      </c>
      <c r="GE89">
        <f>IF(ISBLANK('Data Entry'!$û$89), "", 'Data Entry'!$û$89)</f>
      </c>
      <c r="GF89">
        <f>IF(ISBLANK('Data Entry'!$ü$89), "", 'Data Entry'!$ü$89)</f>
      </c>
      <c r="GG89">
        <f>IF(ISBLANK('Data Entry'!$ý$89), "", 'Data Entry'!$ý$89)</f>
      </c>
      <c r="GH89">
        <f>IF(ISBLANK('Data Entry'!$þ$89), "", 'Data Entry'!$þ$89)</f>
      </c>
      <c r="GI89">
        <f>IF(ISBLANK('Data Entry'!$ÿ$89), "", 'Data Entry'!$ÿ$89)</f>
      </c>
      <c r="GJ89">
        <f>IF(ISBLANK('Data Entry'!$Ā$89), "", 'Data Entry'!$Ā$89)</f>
      </c>
      <c r="GK89">
        <f>IF(ISBLANK('Data Entry'!$ā$89), "", 'Data Entry'!$ā$89)</f>
      </c>
      <c r="GL89">
        <f>IF(ISBLANK('Data Entry'!$Ă$89), "", 'Data Entry'!$Ă$89)</f>
      </c>
      <c r="GM89">
        <f>IF(ISBLANK('Data Entry'!$ă$89), "", 'Data Entry'!$ă$89)</f>
      </c>
      <c r="GN89">
        <f>IF(ISBLANK('Data Entry'!$Ą$89), "", 'Data Entry'!$Ą$89)</f>
      </c>
      <c r="GO89">
        <f>IF(ISBLANK('Data Entry'!$ą$89), "", 'Data Entry'!$ą$89)</f>
      </c>
      <c r="GP89">
        <f>IF(ISBLANK('Data Entry'!$Ć$89), "", 'Data Entry'!$Ć$89)</f>
      </c>
      <c r="GQ89">
        <f>IF(ISBLANK('Data Entry'!$ć$89), "", 'Data Entry'!$ć$89)</f>
      </c>
      <c r="GR89">
        <f>IF(ISBLANK('Data Entry'!$Ĉ$89), "", 'Data Entry'!$Ĉ$89)</f>
      </c>
      <c r="GS89">
        <f>IF(ISBLANK('Data Entry'!$ĉ$89), "", 'Data Entry'!$ĉ$89)</f>
      </c>
      <c r="GT89">
        <f>IF(ISBLANK('Data Entry'!$Ċ$89), "", 'Data Entry'!$Ċ$89)</f>
      </c>
      <c r="GU89">
        <f>IF(ISBLANK('Data Entry'!$ċ$89), "", 'Data Entry'!$ċ$89)</f>
      </c>
      <c r="GV89">
        <f>IF(ISBLANK('Data Entry'!$Č$89), "", 'Data Entry'!$Č$89)</f>
      </c>
      <c r="GW89">
        <f>IF(ISBLANK('Data Entry'!$č$89), "", 'Data Entry'!$č$89)</f>
      </c>
      <c r="GX89">
        <f>IF(ISBLANK('Data Entry'!$Ď$89), "", 'Data Entry'!$Ď$89)</f>
      </c>
      <c r="GY89">
        <f>IF(ISBLANK('Data Entry'!$ď$89), "", 'Data Entry'!$ď$89)</f>
      </c>
      <c r="GZ89">
        <f>IF(ISBLANK('Data Entry'!$Đ$89), "", 'Data Entry'!$Đ$89)</f>
      </c>
      <c r="HA89">
        <f>IF(ISBLANK('Data Entry'!$đ$89), "", 'Data Entry'!$đ$89)</f>
      </c>
      <c r="HB89">
        <f>IF(ISBLANK('Data Entry'!$Ē$89), "", 'Data Entry'!$Ē$89)</f>
      </c>
      <c r="HC89">
        <f>IF(ISBLANK('Data Entry'!$ē$89), "", 'Data Entry'!$ē$89)</f>
      </c>
      <c r="HD89">
        <f>IF(ISBLANK('Data Entry'!$Ĕ$89), "", 'Data Entry'!$Ĕ$89)</f>
      </c>
      <c r="HE89">
        <f>IF(ISBLANK('Data Entry'!$ĕ$89), "", 'Data Entry'!$ĕ$89)</f>
      </c>
      <c r="HF89">
        <f>IF(ISBLANK('Data Entry'!$Ė$89), "", 'Data Entry'!$Ė$89)</f>
      </c>
      <c r="HG89">
        <f>IF(ISBLANK('Data Entry'!$ė$89), "", 'Data Entry'!$ė$89)</f>
      </c>
      <c r="HH89">
        <f>IF(ISBLANK('Data Entry'!$Ę$89), "", 'Data Entry'!$Ę$89)</f>
      </c>
      <c r="HI89">
        <f>IF(ISBLANK('Data Entry'!$ę$89), "", 'Data Entry'!$ę$89)</f>
      </c>
      <c r="HJ89">
        <f>IF(ISBLANK('Data Entry'!$Ě$89), "", 'Data Entry'!$Ě$89)</f>
      </c>
      <c r="HK89">
        <f>IF(ISBLANK('Data Entry'!$ě$89), "", 'Data Entry'!$ě$89)</f>
      </c>
      <c r="HL89">
        <f>IF(ISBLANK('Data Entry'!$Ĝ$89), "", 'Data Entry'!$Ĝ$89)</f>
      </c>
      <c r="HM89">
        <f>IF(ISBLANK('Data Entry'!$ĝ$89), "", 'Data Entry'!$ĝ$89)</f>
      </c>
      <c r="HN89">
        <f>IF(ISBLANK('Data Entry'!$Ğ$89), "", 'Data Entry'!$Ğ$89)</f>
      </c>
      <c r="HO89">
        <f>IF(ISBLANK('Data Entry'!$ğ$89), "", 'Data Entry'!$ğ$89)</f>
      </c>
      <c r="HP89">
        <f>IF(ISBLANK('Data Entry'!$Ġ$89), "", 'Data Entry'!$Ġ$89)</f>
      </c>
      <c r="HQ89">
        <f>IF(ISBLANK('Data Entry'!$ġ$89), "", 'Data Entry'!$ġ$89)</f>
      </c>
      <c r="HR89">
        <f>IF(ISBLANK('Data Entry'!$Ģ$89), "", 'Data Entry'!$Ģ$89)</f>
      </c>
      <c r="HS89">
        <f>IF(ISBLANK('Data Entry'!$ģ$89), "", 'Data Entry'!$ģ$89)</f>
      </c>
      <c r="HT89">
        <f>IF(ISBLANK('Data Entry'!$Ĥ$89), "", 'Data Entry'!$Ĥ$89)</f>
      </c>
      <c r="HU89">
        <f>IF(ISBLANK('Data Entry'!$ĥ$89), "", 'Data Entry'!$ĥ$89)</f>
      </c>
      <c r="HV89">
        <f>IF(ISBLANK('Data Entry'!$Ħ$89), "", 'Data Entry'!$Ħ$89)</f>
      </c>
      <c r="HW89">
        <f>IF(ISBLANK('Data Entry'!$ħ$89), "", 'Data Entry'!$ħ$89)</f>
      </c>
      <c r="HX89">
        <f>IF(ISBLANK('Data Entry'!$Ĩ$89), "", 'Data Entry'!$Ĩ$89)</f>
      </c>
      <c r="HY89">
        <f>IF(ISBLANK('Data Entry'!$ĩ$89), "", 'Data Entry'!$ĩ$89)</f>
      </c>
      <c r="HZ89">
        <f>IF(ISBLANK('Data Entry'!$Ī$89), "", 'Data Entry'!$Ī$89)</f>
      </c>
      <c r="IA89">
        <f>IF(ISBLANK('Data Entry'!$ī$89), "", 'Data Entry'!$ī$89)</f>
      </c>
      <c r="IB89">
        <f>IF(ISBLANK('Data Entry'!$Ĭ$89), "", 'Data Entry'!$Ĭ$89)</f>
      </c>
      <c r="IC89">
        <f>IF(ISBLANK('Data Entry'!$ĭ$89), "", 'Data Entry'!$ĭ$89)</f>
      </c>
      <c r="ID89">
        <f>IF(ISBLANK('Data Entry'!$Į$89), "", 'Data Entry'!$Į$89)</f>
      </c>
      <c r="IE89">
        <f>IF(ISBLANK('Data Entry'!$į$89), "", 'Data Entry'!$į$89)</f>
      </c>
      <c r="IF89">
        <f>IF(ISBLANK('Data Entry'!$İ$89), "", 'Data Entry'!$İ$89)</f>
      </c>
      <c r="IG89">
        <f>IF(ISBLANK('Data Entry'!$ı$89), "", 'Data Entry'!$ı$89)</f>
      </c>
      <c r="IH89">
        <f>IF(ISBLANK('Data Entry'!$Ĳ$89), "", 'Data Entry'!$Ĳ$89)</f>
      </c>
      <c r="II89">
        <f>IF(ISBLANK('Data Entry'!$ĳ$89), "", 'Data Entry'!$ĳ$89)</f>
      </c>
      <c r="IJ89">
        <f>IF(ISBLANK('Data Entry'!$Ĵ$89), "", 'Data Entry'!$Ĵ$89)</f>
      </c>
      <c r="IK89">
        <f>IF(ISBLANK('Data Entry'!$ĵ$89), "", 'Data Entry'!$ĵ$89)</f>
      </c>
      <c r="IL89">
        <f>IF(ISBLANK('Data Entry'!$Ķ$89), "", 'Data Entry'!$Ķ$89)</f>
      </c>
      <c r="IM89">
        <f>IF(ISBLANK('Data Entry'!$ķ$89), "", 'Data Entry'!$ķ$89)</f>
      </c>
      <c r="IN89">
        <f>IF(ISBLANK('Data Entry'!$ĸ$89), "", 'Data Entry'!$ĸ$89)</f>
      </c>
      <c r="IO89">
        <f>IF(ISBLANK('Data Entry'!$Ĺ$89), "", 'Data Entry'!$Ĺ$89)</f>
      </c>
      <c r="IP89">
        <f>IF(ISBLANK('Data Entry'!$ĺ$89), "", 'Data Entry'!$ĺ$89)</f>
      </c>
      <c r="IQ89">
        <f>IF(ISBLANK('Data Entry'!$Ļ$89), "", 'Data Entry'!$Ļ$89)</f>
      </c>
      <c r="IR89">
        <f>IF(ISBLANK('Data Entry'!$ļ$89), "", 'Data Entry'!$ļ$89)</f>
      </c>
      <c r="IS89">
        <f>IF(ISBLANK('Data Entry'!$Ľ$89), "", 'Data Entry'!$Ľ$89)</f>
      </c>
      <c r="IT89">
        <f>IF(ISBLANK('Data Entry'!$ľ$89), "", 'Data Entry'!$ľ$89)</f>
      </c>
    </row>
    <row r="90" spans="1:254" x14ac:dyDescent="0.25">
      <c r="A90">
        <f>IF(ISBLANK('Data Entry'!$A$90), "", 'Data Entry'!$A$90)</f>
      </c>
      <c r="B90">
        <f>IF(ISBLANK('Data Entry'!$B$90), "", 'Data Entry'!$B$90)</f>
      </c>
      <c r="C90">
        <f>IF(ISBLANK('Data Entry'!$C$90), "", 'Data Entry'!$C$90)</f>
      </c>
      <c r="D90">
        <f>IF(ISBLANK('Data Entry'!$D$90), "", 'Data Entry'!$D$90)</f>
      </c>
      <c r="E90">
        <f>IF(ISBLANK('Data Entry'!$E$90), "", 'Data Entry'!$E$90)</f>
      </c>
      <c r="F90">
        <f>IF(ISBLANK('Data Entry'!$F$90), "", 'Data Entry'!$F$90)</f>
      </c>
      <c r="G90">
        <f>IF(ISBLANK('Data Entry'!$G$90), "", 'Data Entry'!$G$90)</f>
      </c>
      <c r="H90">
        <f>IF(ISBLANK('Data Entry'!$H$90), "", 'Data Entry'!$H$90)</f>
      </c>
      <c r="I90">
        <f>IF(ISBLANK('Data Entry'!$I$90), "", 'Data Entry'!$I$90)</f>
      </c>
      <c r="J90">
        <f>IF(ISBLANK('Data Entry'!$J$90), "", 'Data Entry'!$J$90)</f>
      </c>
      <c r="K90">
        <f>IF(ISBLANK('Data Entry'!$K$90), "", 'Data Entry'!$K$90)</f>
      </c>
      <c r="L90">
        <f>IF(ISBLANK('Data Entry'!$L$90), "", 'Data Entry'!$L$90)</f>
      </c>
      <c r="M90">
        <f>IF(ISBLANK('Data Entry'!$M$90), "", 'Data Entry'!$M$90)</f>
      </c>
      <c r="N90">
        <f>IF(ISBLANK('Data Entry'!$N$90), "", 'Data Entry'!$N$90)</f>
      </c>
      <c r="O90">
        <f>IF(ISBLANK('Data Entry'!$O$90), "", 'Data Entry'!$O$90)</f>
      </c>
      <c r="P90">
        <f>IF(ISBLANK('Data Entry'!$P$90), "", 'Data Entry'!$P$90)</f>
      </c>
      <c r="Q90">
        <f>IF(ISBLANK('Data Entry'!$Q$90), "", 'Data Entry'!$Q$90)</f>
      </c>
      <c r="R90">
        <f>IF(ISBLANK('Data Entry'!$R$90), "", 'Data Entry'!$R$90)</f>
      </c>
      <c r="S90">
        <f>IF(ISBLANK('Data Entry'!$S$90), "", 'Data Entry'!$S$90)</f>
      </c>
      <c r="T90">
        <f>IF(ISBLANK('Data Entry'!$T$90), "", 'Data Entry'!$T$90)</f>
      </c>
      <c r="U90">
        <f>IF(ISBLANK('Data Entry'!$U$90), "", 'Data Entry'!$U$90)</f>
      </c>
      <c r="V90">
        <f>IF(ISBLANK('Data Entry'!$V$90), "", 'Data Entry'!$V$90)</f>
      </c>
      <c r="W90">
        <f>IF(ISBLANK('Data Entry'!$W$90), "", 'Data Entry'!$W$90)</f>
      </c>
      <c r="X90">
        <f>IF(ISBLANK('Data Entry'!$X$90), "", 'Data Entry'!$X$90)</f>
      </c>
      <c r="Y90">
        <f>IF(ISBLANK('Data Entry'!$Y$90), "", 'Data Entry'!$Y$90)</f>
      </c>
      <c r="Z90">
        <f>IF(ISBLANK('Data Entry'!$Z$90), "", 'Data Entry'!$Z$90)</f>
      </c>
      <c r="AA90">
        <f>IF(ISBLANK('Data Entry'!$[$90), "", 'Data Entry'!$[$90)</f>
      </c>
      <c r="AB90">
        <f>IF(ISBLANK('Data Entry'!$\$90), "", 'Data Entry'!$\$90)</f>
      </c>
      <c r="AC90">
        <f>IF(ISBLANK('Data Entry'!$]$90), "", 'Data Entry'!$]$90)</f>
      </c>
      <c r="AD90">
        <f>IF(ISBLANK('Data Entry'!$^$90), "", 'Data Entry'!$^$90)</f>
      </c>
      <c r="AE90">
        <f>IF(ISBLANK('Data Entry'!$_$90), "", 'Data Entry'!$_$90)</f>
      </c>
      <c r="AF90">
        <f>IF(ISBLANK('Data Entry'!$`$90), "", 'Data Entry'!$`$90)</f>
      </c>
      <c r="AG90">
        <f>IF(ISBLANK('Data Entry'!$a$90), "", 'Data Entry'!$a$90)</f>
      </c>
      <c r="AH90">
        <f>IF(ISBLANK('Data Entry'!$b$90), "", 'Data Entry'!$b$90)</f>
      </c>
      <c r="AI90">
        <f>IF(ISBLANK('Data Entry'!$c$90), "", 'Data Entry'!$c$90)</f>
      </c>
      <c r="AJ90">
        <f>IF(ISBLANK('Data Entry'!$d$90), "", 'Data Entry'!$d$90)</f>
      </c>
      <c r="AK90">
        <f>IF(ISBLANK('Data Entry'!$e$90), "", 'Data Entry'!$e$90)</f>
      </c>
      <c r="AL90">
        <f>IF(ISBLANK('Data Entry'!$f$90), "", 'Data Entry'!$f$90)</f>
      </c>
      <c r="AM90">
        <f>IF(ISBLANK('Data Entry'!$g$90), "", 'Data Entry'!$g$90)</f>
      </c>
      <c r="AN90">
        <f>IF(ISBLANK('Data Entry'!$h$90), "", 'Data Entry'!$h$90)</f>
      </c>
      <c r="AO90">
        <f>IF(ISBLANK('Data Entry'!$i$90), "", 'Data Entry'!$i$90)</f>
      </c>
      <c r="AP90">
        <f>IF(ISBLANK('Data Entry'!$j$90), "", 'Data Entry'!$j$90)</f>
      </c>
      <c r="AQ90">
        <f>IF(ISBLANK('Data Entry'!$k$90), "", 'Data Entry'!$k$90)</f>
      </c>
      <c r="AR90">
        <f>IF(ISBLANK('Data Entry'!$l$90), "", 'Data Entry'!$l$90)</f>
      </c>
      <c r="AS90">
        <f>IF(ISBLANK('Data Entry'!$m$90), "", 'Data Entry'!$m$90)</f>
      </c>
      <c r="AT90">
        <f>IF(ISBLANK('Data Entry'!$n$90), "", 'Data Entry'!$n$90)</f>
      </c>
      <c r="AU90">
        <f>IF(ISBLANK('Data Entry'!$o$90), "", 'Data Entry'!$o$90)</f>
      </c>
      <c r="AV90">
        <f>IF(ISBLANK('Data Entry'!$p$90), "", 'Data Entry'!$p$90)</f>
      </c>
      <c r="AW90">
        <f>IF(ISBLANK('Data Entry'!$q$90), "", 'Data Entry'!$q$90)</f>
      </c>
      <c r="AX90">
        <f>IF(ISBLANK('Data Entry'!$r$90), "", 'Data Entry'!$r$90)</f>
      </c>
      <c r="AY90">
        <f>IF(ISBLANK('Data Entry'!$s$90), "", 'Data Entry'!$s$90)</f>
      </c>
      <c r="AZ90">
        <f>IF(ISBLANK('Data Entry'!$t$90), "", 'Data Entry'!$t$90)</f>
      </c>
      <c r="BA90">
        <f>IF(ISBLANK('Data Entry'!$u$90), "", 'Data Entry'!$u$90)</f>
      </c>
      <c r="BB90">
        <f>IF(ISBLANK('Data Entry'!$v$90), "", 'Data Entry'!$v$90)</f>
      </c>
      <c r="BC90">
        <f>IF(ISBLANK('Data Entry'!$w$90), "", 'Data Entry'!$w$90)</f>
      </c>
      <c r="BD90">
        <f>IF(ISBLANK('Data Entry'!$x$90), "", 'Data Entry'!$x$90)</f>
      </c>
      <c r="BE90">
        <f>IF(ISBLANK('Data Entry'!$y$90), "", 'Data Entry'!$y$90)</f>
      </c>
      <c r="BF90">
        <f>IF(ISBLANK('Data Entry'!$z$90), "", 'Data Entry'!$z$90)</f>
      </c>
      <c r="BG90">
        <f>IF(ISBLANK('Data Entry'!${$90), "", 'Data Entry'!${$90)</f>
      </c>
      <c r="BH90">
        <f>IF(ISBLANK('Data Entry'!$|$90), "", 'Data Entry'!$|$90)</f>
      </c>
      <c r="BI90">
        <f>IF(ISBLANK('Data Entry'!$}$90), "", 'Data Entry'!$}$90)</f>
      </c>
      <c r="BJ90">
        <f>IF(ISBLANK('Data Entry'!$~$90), "", 'Data Entry'!$~$90)</f>
      </c>
      <c r="BK90">
        <f>IF(ISBLANK('Data Entry'!$$90), "", 'Data Entry'!$$90)</f>
      </c>
      <c r="BL90">
        <f>IF(ISBLANK('Data Entry'!$$90), "", 'Data Entry'!$$90)</f>
      </c>
      <c r="BM90">
        <f>IF(ISBLANK('Data Entry'!$$90), "", 'Data Entry'!$$90)</f>
      </c>
      <c r="BN90">
        <f>IF(ISBLANK('Data Entry'!$$90), "", 'Data Entry'!$$90)</f>
      </c>
      <c r="BO90">
        <f>IF(ISBLANK('Data Entry'!$$90), "", 'Data Entry'!$$90)</f>
      </c>
      <c r="BP90">
        <f>IF(ISBLANK('Data Entry'!$$90), "", 'Data Entry'!$$90)</f>
      </c>
      <c r="BQ90">
        <f>IF(ISBLANK('Data Entry'!$$90), "", 'Data Entry'!$$90)</f>
      </c>
      <c r="BR90">
        <f>IF(ISBLANK('Data Entry'!$$90), "", 'Data Entry'!$$90)</f>
      </c>
      <c r="BS90">
        <f>IF(ISBLANK('Data Entry'!$$90), "", 'Data Entry'!$$90)</f>
      </c>
      <c r="BT90">
        <f>IF(ISBLANK('Data Entry'!$$90), "", 'Data Entry'!$$90)</f>
      </c>
      <c r="BU90">
        <f>IF(ISBLANK('Data Entry'!$$90), "", 'Data Entry'!$$90)</f>
      </c>
      <c r="BV90">
        <f>IF(ISBLANK('Data Entry'!$$90), "", 'Data Entry'!$$90)</f>
      </c>
      <c r="BW90">
        <f>IF(ISBLANK('Data Entry'!$$90), "", 'Data Entry'!$$90)</f>
      </c>
      <c r="BX90">
        <f>IF(ISBLANK('Data Entry'!$$90), "", 'Data Entry'!$$90)</f>
      </c>
      <c r="BY90">
        <f>IF(ISBLANK('Data Entry'!$$90), "", 'Data Entry'!$$90)</f>
      </c>
      <c r="BZ90">
        <f>IF(ISBLANK('Data Entry'!$$90), "", 'Data Entry'!$$90)</f>
      </c>
      <c r="CA90">
        <f>IF(ISBLANK('Data Entry'!$$90), "", 'Data Entry'!$$90)</f>
      </c>
      <c r="CB90">
        <f>IF(ISBLANK('Data Entry'!$$90), "", 'Data Entry'!$$90)</f>
      </c>
      <c r="CC90">
        <f>IF(ISBLANK('Data Entry'!$$90), "", 'Data Entry'!$$90)</f>
      </c>
      <c r="CD90">
        <f>IF(ISBLANK('Data Entry'!$$90), "", 'Data Entry'!$$90)</f>
      </c>
      <c r="CE90">
        <f>IF(ISBLANK('Data Entry'!$$90), "", 'Data Entry'!$$90)</f>
      </c>
      <c r="CF90">
        <f>IF(ISBLANK('Data Entry'!$$90), "", 'Data Entry'!$$90)</f>
      </c>
      <c r="CG90">
        <f>IF(ISBLANK('Data Entry'!$$90), "", 'Data Entry'!$$90)</f>
      </c>
      <c r="CH90">
        <f>IF(ISBLANK('Data Entry'!$$90), "", 'Data Entry'!$$90)</f>
      </c>
      <c r="CI90">
        <f>IF(ISBLANK('Data Entry'!$$90), "", 'Data Entry'!$$90)</f>
      </c>
      <c r="CJ90">
        <f>IF(ISBLANK('Data Entry'!$$90), "", 'Data Entry'!$$90)</f>
      </c>
      <c r="CK90">
        <f>IF(ISBLANK('Data Entry'!$$90), "", 'Data Entry'!$$90)</f>
      </c>
      <c r="CL90">
        <f>IF(ISBLANK('Data Entry'!$$90), "", 'Data Entry'!$$90)</f>
      </c>
      <c r="CM90">
        <f>IF(ISBLANK('Data Entry'!$$90), "", 'Data Entry'!$$90)</f>
      </c>
      <c r="CN90">
        <f>IF(ISBLANK('Data Entry'!$$90), "", 'Data Entry'!$$90)</f>
      </c>
      <c r="CO90">
        <f>IF(ISBLANK('Data Entry'!$$90), "", 'Data Entry'!$$90)</f>
      </c>
      <c r="CP90">
        <f>IF(ISBLANK('Data Entry'!$$90), "", 'Data Entry'!$$90)</f>
      </c>
      <c r="CQ90">
        <f>IF(ISBLANK('Data Entry'!$$90), "", 'Data Entry'!$$90)</f>
      </c>
      <c r="CR90">
        <f>IF(ISBLANK('Data Entry'!$ $90), "", 'Data Entry'!$ $90)</f>
      </c>
      <c r="CS90">
        <f>IF(ISBLANK('Data Entry'!$¡$90), "", 'Data Entry'!$¡$90)</f>
      </c>
      <c r="CT90">
        <f>IF(ISBLANK('Data Entry'!$¢$90), "", 'Data Entry'!$¢$90)</f>
      </c>
      <c r="CU90">
        <f>IF(ISBLANK('Data Entry'!$£$90), "", 'Data Entry'!$£$90)</f>
      </c>
      <c r="CV90">
        <f>IF(ISBLANK('Data Entry'!$¤$90), "", 'Data Entry'!$¤$90)</f>
      </c>
      <c r="CW90">
        <f>IF(ISBLANK('Data Entry'!$¥$90), "", 'Data Entry'!$¥$90)</f>
      </c>
      <c r="CX90">
        <f>IF(ISBLANK('Data Entry'!$¦$90), "", 'Data Entry'!$¦$90)</f>
      </c>
      <c r="CY90">
        <f>IF(ISBLANK('Data Entry'!$§$90), "", 'Data Entry'!$§$90)</f>
      </c>
      <c r="CZ90">
        <f>IF(ISBLANK('Data Entry'!$¨$90), "", 'Data Entry'!$¨$90)</f>
      </c>
      <c r="DA90">
        <f>IF(ISBLANK('Data Entry'!$©$90), "", 'Data Entry'!$©$90)</f>
      </c>
      <c r="DB90">
        <f>IF(ISBLANK('Data Entry'!$ª$90), "", 'Data Entry'!$ª$90)</f>
      </c>
      <c r="DC90">
        <f>IF(ISBLANK('Data Entry'!$«$90), "", 'Data Entry'!$«$90)</f>
      </c>
      <c r="DD90">
        <f>IF(ISBLANK('Data Entry'!$¬$90), "", 'Data Entry'!$¬$90)</f>
      </c>
      <c r="DE90">
        <f>IF(ISBLANK('Data Entry'!$­$90), "", 'Data Entry'!$­$90)</f>
      </c>
      <c r="DF90">
        <f>IF(ISBLANK('Data Entry'!$®$90), "", 'Data Entry'!$®$90)</f>
      </c>
      <c r="DG90">
        <f>IF(ISBLANK('Data Entry'!$¯$90), "", 'Data Entry'!$¯$90)</f>
      </c>
      <c r="DH90">
        <f>IF(ISBLANK('Data Entry'!$°$90), "", 'Data Entry'!$°$90)</f>
      </c>
      <c r="DI90">
        <f>IF(ISBLANK('Data Entry'!$±$90), "", 'Data Entry'!$±$90)</f>
      </c>
      <c r="DJ90">
        <f>IF(ISBLANK('Data Entry'!$²$90), "", 'Data Entry'!$²$90)</f>
      </c>
      <c r="DK90">
        <f>IF(ISBLANK('Data Entry'!$³$90), "", 'Data Entry'!$³$90)</f>
      </c>
      <c r="DL90">
        <f>IF(ISBLANK('Data Entry'!$´$90), "", 'Data Entry'!$´$90)</f>
      </c>
      <c r="DM90">
        <f>IF(ISBLANK('Data Entry'!$µ$90), "", 'Data Entry'!$µ$90)</f>
      </c>
      <c r="DN90">
        <f>IF(ISBLANK('Data Entry'!$¶$90), "", 'Data Entry'!$¶$90)</f>
      </c>
      <c r="DO90">
        <f>IF(ISBLANK('Data Entry'!$·$90), "", 'Data Entry'!$·$90)</f>
      </c>
      <c r="DP90">
        <f>IF(ISBLANK('Data Entry'!$¸$90), "", 'Data Entry'!$¸$90)</f>
      </c>
      <c r="DQ90">
        <f>IF(ISBLANK('Data Entry'!$¹$90), "", 'Data Entry'!$¹$90)</f>
      </c>
      <c r="DR90">
        <f>IF(ISBLANK('Data Entry'!$º$90), "", 'Data Entry'!$º$90)</f>
      </c>
      <c r="DS90">
        <f>IF(ISBLANK('Data Entry'!$»$90), "", 'Data Entry'!$»$90)</f>
      </c>
      <c r="DT90">
        <f>IF(ISBLANK('Data Entry'!$¼$90), "", 'Data Entry'!$¼$90)</f>
      </c>
      <c r="DU90">
        <f>IF(ISBLANK('Data Entry'!$½$90), "", 'Data Entry'!$½$90)</f>
      </c>
      <c r="DV90">
        <f>IF(ISBLANK('Data Entry'!$¾$90), "", 'Data Entry'!$¾$90)</f>
      </c>
      <c r="DW90">
        <f>IF(ISBLANK('Data Entry'!$¿$90), "", 'Data Entry'!$¿$90)</f>
      </c>
      <c r="DX90">
        <f>IF(ISBLANK('Data Entry'!$À$90), "", 'Data Entry'!$À$90)</f>
      </c>
      <c r="DY90">
        <f>IF(ISBLANK('Data Entry'!$Á$90), "", 'Data Entry'!$Á$90)</f>
      </c>
      <c r="DZ90">
        <f>IF(ISBLANK('Data Entry'!$Â$90), "", 'Data Entry'!$Â$90)</f>
      </c>
      <c r="EA90">
        <f>IF(ISBLANK('Data Entry'!$Ã$90), "", 'Data Entry'!$Ã$90)</f>
      </c>
      <c r="EB90">
        <f>IF(ISBLANK('Data Entry'!$Ä$90), "", 'Data Entry'!$Ä$90)</f>
      </c>
      <c r="EC90">
        <f>IF(ISBLANK('Data Entry'!$Å$90), "", 'Data Entry'!$Å$90)</f>
      </c>
      <c r="ED90">
        <f>IF(ISBLANK('Data Entry'!$Æ$90), "", 'Data Entry'!$Æ$90)</f>
      </c>
      <c r="EE90">
        <f>IF(ISBLANK('Data Entry'!$Ç$90), "", 'Data Entry'!$Ç$90)</f>
      </c>
      <c r="EF90">
        <f>IF(ISBLANK('Data Entry'!$È$90), "", 'Data Entry'!$È$90)</f>
      </c>
      <c r="EG90">
        <f>IF(ISBLANK('Data Entry'!$É$90), "", 'Data Entry'!$É$90)</f>
      </c>
      <c r="EH90">
        <f>IF(ISBLANK('Data Entry'!$Ê$90), "", 'Data Entry'!$Ê$90)</f>
      </c>
      <c r="EI90">
        <f>IF(ISBLANK('Data Entry'!$Ë$90), "", 'Data Entry'!$Ë$90)</f>
      </c>
      <c r="EJ90">
        <f>IF(ISBLANK('Data Entry'!$Ì$90), "", 'Data Entry'!$Ì$90)</f>
      </c>
      <c r="EK90">
        <f>IF(ISBLANK('Data Entry'!$Í$90), "", 'Data Entry'!$Í$90)</f>
      </c>
      <c r="EL90">
        <f>IF(ISBLANK('Data Entry'!$Î$90), "", 'Data Entry'!$Î$90)</f>
      </c>
      <c r="EM90">
        <f>IF(ISBLANK('Data Entry'!$Ï$90), "", 'Data Entry'!$Ï$90)</f>
      </c>
      <c r="EN90">
        <f>IF(ISBLANK('Data Entry'!$Ð$90), "", 'Data Entry'!$Ð$90)</f>
      </c>
      <c r="EO90">
        <f>IF(ISBLANK('Data Entry'!$Ñ$90), "", 'Data Entry'!$Ñ$90)</f>
      </c>
      <c r="EP90">
        <f>IF(ISBLANK('Data Entry'!$Ò$90), "", 'Data Entry'!$Ò$90)</f>
      </c>
      <c r="EQ90">
        <f>IF(ISBLANK('Data Entry'!$Ó$90), "", 'Data Entry'!$Ó$90)</f>
      </c>
      <c r="ER90">
        <f>IF(ISBLANK('Data Entry'!$Ô$90), "", 'Data Entry'!$Ô$90)</f>
      </c>
      <c r="ES90">
        <f>IF(ISBLANK('Data Entry'!$Õ$90), "", 'Data Entry'!$Õ$90)</f>
      </c>
      <c r="ET90">
        <f>IF(ISBLANK('Data Entry'!$Ö$90), "", 'Data Entry'!$Ö$90)</f>
      </c>
      <c r="EU90">
        <f>IF(ISBLANK('Data Entry'!$×$90), "", 'Data Entry'!$×$90)</f>
      </c>
      <c r="EV90">
        <f>IF(ISBLANK('Data Entry'!$Ø$90), "", 'Data Entry'!$Ø$90)</f>
      </c>
      <c r="EW90">
        <f>IF(ISBLANK('Data Entry'!$Ù$90), "", 'Data Entry'!$Ù$90)</f>
      </c>
      <c r="EX90">
        <f>IF(ISBLANK('Data Entry'!$Ú$90), "", 'Data Entry'!$Ú$90)</f>
      </c>
      <c r="EY90">
        <f>IF(ISBLANK('Data Entry'!$Û$90), "", 'Data Entry'!$Û$90)</f>
      </c>
      <c r="EZ90">
        <f>IF(ISBLANK('Data Entry'!$Ü$90), "", 'Data Entry'!$Ü$90)</f>
      </c>
      <c r="FA90">
        <f>IF(ISBLANK('Data Entry'!$Ý$90), "", 'Data Entry'!$Ý$90)</f>
      </c>
      <c r="FB90">
        <f>IF(ISBLANK('Data Entry'!$Þ$90), "", 'Data Entry'!$Þ$90)</f>
      </c>
      <c r="FC90">
        <f>IF(ISBLANK('Data Entry'!$ß$90), "", 'Data Entry'!$ß$90)</f>
      </c>
      <c r="FD90">
        <f>IF(ISBLANK('Data Entry'!$à$90), "", 'Data Entry'!$à$90)</f>
      </c>
      <c r="FE90">
        <f>IF(ISBLANK('Data Entry'!$á$90), "", 'Data Entry'!$á$90)</f>
      </c>
      <c r="FF90">
        <f>IF(ISBLANK('Data Entry'!$â$90), "", 'Data Entry'!$â$90)</f>
      </c>
      <c r="FG90">
        <f>IF(ISBLANK('Data Entry'!$ã$90), "", 'Data Entry'!$ã$90)</f>
      </c>
      <c r="FH90">
        <f>IF(ISBLANK('Data Entry'!$ä$90), "", 'Data Entry'!$ä$90)</f>
      </c>
      <c r="FI90">
        <f>IF(ISBLANK('Data Entry'!$å$90), "", 'Data Entry'!$å$90)</f>
      </c>
      <c r="FJ90">
        <f>IF(ISBLANK('Data Entry'!$æ$90), "", 'Data Entry'!$æ$90)</f>
      </c>
      <c r="FK90">
        <f>IF(ISBLANK('Data Entry'!$ç$90), "", 'Data Entry'!$ç$90)</f>
      </c>
      <c r="FL90">
        <f>IF(ISBLANK('Data Entry'!$è$90), "", 'Data Entry'!$è$90)</f>
      </c>
      <c r="FM90">
        <f>IF(ISBLANK('Data Entry'!$é$90), "", 'Data Entry'!$é$90)</f>
      </c>
      <c r="FN90">
        <f>IF(ISBLANK('Data Entry'!$ê$90), "", 'Data Entry'!$ê$90)</f>
      </c>
      <c r="FO90">
        <f>IF(ISBLANK('Data Entry'!$ë$90), "", 'Data Entry'!$ë$90)</f>
      </c>
      <c r="FP90">
        <f>IF(ISBLANK('Data Entry'!$ì$90), "", 'Data Entry'!$ì$90)</f>
      </c>
      <c r="FQ90">
        <f>IF(ISBLANK('Data Entry'!$í$90), "", 'Data Entry'!$í$90)</f>
      </c>
      <c r="FR90">
        <f>IF(ISBLANK('Data Entry'!$î$90), "", 'Data Entry'!$î$90)</f>
      </c>
      <c r="FS90">
        <f>IF(ISBLANK('Data Entry'!$ï$90), "", 'Data Entry'!$ï$90)</f>
      </c>
      <c r="FT90">
        <f>IF(ISBLANK('Data Entry'!$ð$90), "", 'Data Entry'!$ð$90)</f>
      </c>
      <c r="FU90">
        <f>IF(ISBLANK('Data Entry'!$ñ$90), "", 'Data Entry'!$ñ$90)</f>
      </c>
      <c r="FV90">
        <f>IF(ISBLANK('Data Entry'!$ò$90), "", 'Data Entry'!$ò$90)</f>
      </c>
      <c r="FW90">
        <f>IF(ISBLANK('Data Entry'!$ó$90), "", 'Data Entry'!$ó$90)</f>
      </c>
      <c r="FX90">
        <f>IF(ISBLANK('Data Entry'!$ô$90), "", 'Data Entry'!$ô$90)</f>
      </c>
      <c r="FY90">
        <f>IF(ISBLANK('Data Entry'!$õ$90), "", 'Data Entry'!$õ$90)</f>
      </c>
      <c r="FZ90">
        <f>IF(ISBLANK('Data Entry'!$ö$90), "", 'Data Entry'!$ö$90)</f>
      </c>
      <c r="GA90">
        <f>IF(ISBLANK('Data Entry'!$÷$90), "", 'Data Entry'!$÷$90)</f>
      </c>
      <c r="GB90">
        <f>IF(ISBLANK('Data Entry'!$ø$90), "", 'Data Entry'!$ø$90)</f>
      </c>
      <c r="GC90">
        <f>IF(ISBLANK('Data Entry'!$ù$90), "", 'Data Entry'!$ù$90)</f>
      </c>
      <c r="GD90">
        <f>IF(ISBLANK('Data Entry'!$ú$90), "", 'Data Entry'!$ú$90)</f>
      </c>
      <c r="GE90">
        <f>IF(ISBLANK('Data Entry'!$û$90), "", 'Data Entry'!$û$90)</f>
      </c>
      <c r="GF90">
        <f>IF(ISBLANK('Data Entry'!$ü$90), "", 'Data Entry'!$ü$90)</f>
      </c>
      <c r="GG90">
        <f>IF(ISBLANK('Data Entry'!$ý$90), "", 'Data Entry'!$ý$90)</f>
      </c>
      <c r="GH90">
        <f>IF(ISBLANK('Data Entry'!$þ$90), "", 'Data Entry'!$þ$90)</f>
      </c>
      <c r="GI90">
        <f>IF(ISBLANK('Data Entry'!$ÿ$90), "", 'Data Entry'!$ÿ$90)</f>
      </c>
      <c r="GJ90">
        <f>IF(ISBLANK('Data Entry'!$Ā$90), "", 'Data Entry'!$Ā$90)</f>
      </c>
      <c r="GK90">
        <f>IF(ISBLANK('Data Entry'!$ā$90), "", 'Data Entry'!$ā$90)</f>
      </c>
      <c r="GL90">
        <f>IF(ISBLANK('Data Entry'!$Ă$90), "", 'Data Entry'!$Ă$90)</f>
      </c>
      <c r="GM90">
        <f>IF(ISBLANK('Data Entry'!$ă$90), "", 'Data Entry'!$ă$90)</f>
      </c>
      <c r="GN90">
        <f>IF(ISBLANK('Data Entry'!$Ą$90), "", 'Data Entry'!$Ą$90)</f>
      </c>
      <c r="GO90">
        <f>IF(ISBLANK('Data Entry'!$ą$90), "", 'Data Entry'!$ą$90)</f>
      </c>
      <c r="GP90">
        <f>IF(ISBLANK('Data Entry'!$Ć$90), "", 'Data Entry'!$Ć$90)</f>
      </c>
      <c r="GQ90">
        <f>IF(ISBLANK('Data Entry'!$ć$90), "", 'Data Entry'!$ć$90)</f>
      </c>
      <c r="GR90">
        <f>IF(ISBLANK('Data Entry'!$Ĉ$90), "", 'Data Entry'!$Ĉ$90)</f>
      </c>
      <c r="GS90">
        <f>IF(ISBLANK('Data Entry'!$ĉ$90), "", 'Data Entry'!$ĉ$90)</f>
      </c>
      <c r="GT90">
        <f>IF(ISBLANK('Data Entry'!$Ċ$90), "", 'Data Entry'!$Ċ$90)</f>
      </c>
      <c r="GU90">
        <f>IF(ISBLANK('Data Entry'!$ċ$90), "", 'Data Entry'!$ċ$90)</f>
      </c>
      <c r="GV90">
        <f>IF(ISBLANK('Data Entry'!$Č$90), "", 'Data Entry'!$Č$90)</f>
      </c>
      <c r="GW90">
        <f>IF(ISBLANK('Data Entry'!$č$90), "", 'Data Entry'!$č$90)</f>
      </c>
      <c r="GX90">
        <f>IF(ISBLANK('Data Entry'!$Ď$90), "", 'Data Entry'!$Ď$90)</f>
      </c>
      <c r="GY90">
        <f>IF(ISBLANK('Data Entry'!$ď$90), "", 'Data Entry'!$ď$90)</f>
      </c>
      <c r="GZ90">
        <f>IF(ISBLANK('Data Entry'!$Đ$90), "", 'Data Entry'!$Đ$90)</f>
      </c>
      <c r="HA90">
        <f>IF(ISBLANK('Data Entry'!$đ$90), "", 'Data Entry'!$đ$90)</f>
      </c>
      <c r="HB90">
        <f>IF(ISBLANK('Data Entry'!$Ē$90), "", 'Data Entry'!$Ē$90)</f>
      </c>
      <c r="HC90">
        <f>IF(ISBLANK('Data Entry'!$ē$90), "", 'Data Entry'!$ē$90)</f>
      </c>
      <c r="HD90">
        <f>IF(ISBLANK('Data Entry'!$Ĕ$90), "", 'Data Entry'!$Ĕ$90)</f>
      </c>
      <c r="HE90">
        <f>IF(ISBLANK('Data Entry'!$ĕ$90), "", 'Data Entry'!$ĕ$90)</f>
      </c>
      <c r="HF90">
        <f>IF(ISBLANK('Data Entry'!$Ė$90), "", 'Data Entry'!$Ė$90)</f>
      </c>
      <c r="HG90">
        <f>IF(ISBLANK('Data Entry'!$ė$90), "", 'Data Entry'!$ė$90)</f>
      </c>
      <c r="HH90">
        <f>IF(ISBLANK('Data Entry'!$Ę$90), "", 'Data Entry'!$Ę$90)</f>
      </c>
      <c r="HI90">
        <f>IF(ISBLANK('Data Entry'!$ę$90), "", 'Data Entry'!$ę$90)</f>
      </c>
      <c r="HJ90">
        <f>IF(ISBLANK('Data Entry'!$Ě$90), "", 'Data Entry'!$Ě$90)</f>
      </c>
      <c r="HK90">
        <f>IF(ISBLANK('Data Entry'!$ě$90), "", 'Data Entry'!$ě$90)</f>
      </c>
      <c r="HL90">
        <f>IF(ISBLANK('Data Entry'!$Ĝ$90), "", 'Data Entry'!$Ĝ$90)</f>
      </c>
      <c r="HM90">
        <f>IF(ISBLANK('Data Entry'!$ĝ$90), "", 'Data Entry'!$ĝ$90)</f>
      </c>
      <c r="HN90">
        <f>IF(ISBLANK('Data Entry'!$Ğ$90), "", 'Data Entry'!$Ğ$90)</f>
      </c>
      <c r="HO90">
        <f>IF(ISBLANK('Data Entry'!$ğ$90), "", 'Data Entry'!$ğ$90)</f>
      </c>
      <c r="HP90">
        <f>IF(ISBLANK('Data Entry'!$Ġ$90), "", 'Data Entry'!$Ġ$90)</f>
      </c>
      <c r="HQ90">
        <f>IF(ISBLANK('Data Entry'!$ġ$90), "", 'Data Entry'!$ġ$90)</f>
      </c>
      <c r="HR90">
        <f>IF(ISBLANK('Data Entry'!$Ģ$90), "", 'Data Entry'!$Ģ$90)</f>
      </c>
      <c r="HS90">
        <f>IF(ISBLANK('Data Entry'!$ģ$90), "", 'Data Entry'!$ģ$90)</f>
      </c>
      <c r="HT90">
        <f>IF(ISBLANK('Data Entry'!$Ĥ$90), "", 'Data Entry'!$Ĥ$90)</f>
      </c>
      <c r="HU90">
        <f>IF(ISBLANK('Data Entry'!$ĥ$90), "", 'Data Entry'!$ĥ$90)</f>
      </c>
      <c r="HV90">
        <f>IF(ISBLANK('Data Entry'!$Ħ$90), "", 'Data Entry'!$Ħ$90)</f>
      </c>
      <c r="HW90">
        <f>IF(ISBLANK('Data Entry'!$ħ$90), "", 'Data Entry'!$ħ$90)</f>
      </c>
      <c r="HX90">
        <f>IF(ISBLANK('Data Entry'!$Ĩ$90), "", 'Data Entry'!$Ĩ$90)</f>
      </c>
      <c r="HY90">
        <f>IF(ISBLANK('Data Entry'!$ĩ$90), "", 'Data Entry'!$ĩ$90)</f>
      </c>
      <c r="HZ90">
        <f>IF(ISBLANK('Data Entry'!$Ī$90), "", 'Data Entry'!$Ī$90)</f>
      </c>
      <c r="IA90">
        <f>IF(ISBLANK('Data Entry'!$ī$90), "", 'Data Entry'!$ī$90)</f>
      </c>
      <c r="IB90">
        <f>IF(ISBLANK('Data Entry'!$Ĭ$90), "", 'Data Entry'!$Ĭ$90)</f>
      </c>
      <c r="IC90">
        <f>IF(ISBLANK('Data Entry'!$ĭ$90), "", 'Data Entry'!$ĭ$90)</f>
      </c>
      <c r="ID90">
        <f>IF(ISBLANK('Data Entry'!$Į$90), "", 'Data Entry'!$Į$90)</f>
      </c>
      <c r="IE90">
        <f>IF(ISBLANK('Data Entry'!$į$90), "", 'Data Entry'!$į$90)</f>
      </c>
      <c r="IF90">
        <f>IF(ISBLANK('Data Entry'!$İ$90), "", 'Data Entry'!$İ$90)</f>
      </c>
      <c r="IG90">
        <f>IF(ISBLANK('Data Entry'!$ı$90), "", 'Data Entry'!$ı$90)</f>
      </c>
      <c r="IH90">
        <f>IF(ISBLANK('Data Entry'!$Ĳ$90), "", 'Data Entry'!$Ĳ$90)</f>
      </c>
      <c r="II90">
        <f>IF(ISBLANK('Data Entry'!$ĳ$90), "", 'Data Entry'!$ĳ$90)</f>
      </c>
      <c r="IJ90">
        <f>IF(ISBLANK('Data Entry'!$Ĵ$90), "", 'Data Entry'!$Ĵ$90)</f>
      </c>
      <c r="IK90">
        <f>IF(ISBLANK('Data Entry'!$ĵ$90), "", 'Data Entry'!$ĵ$90)</f>
      </c>
      <c r="IL90">
        <f>IF(ISBLANK('Data Entry'!$Ķ$90), "", 'Data Entry'!$Ķ$90)</f>
      </c>
      <c r="IM90">
        <f>IF(ISBLANK('Data Entry'!$ķ$90), "", 'Data Entry'!$ķ$90)</f>
      </c>
      <c r="IN90">
        <f>IF(ISBLANK('Data Entry'!$ĸ$90), "", 'Data Entry'!$ĸ$90)</f>
      </c>
      <c r="IO90">
        <f>IF(ISBLANK('Data Entry'!$Ĺ$90), "", 'Data Entry'!$Ĺ$90)</f>
      </c>
      <c r="IP90">
        <f>IF(ISBLANK('Data Entry'!$ĺ$90), "", 'Data Entry'!$ĺ$90)</f>
      </c>
      <c r="IQ90">
        <f>IF(ISBLANK('Data Entry'!$Ļ$90), "", 'Data Entry'!$Ļ$90)</f>
      </c>
      <c r="IR90">
        <f>IF(ISBLANK('Data Entry'!$ļ$90), "", 'Data Entry'!$ļ$90)</f>
      </c>
      <c r="IS90">
        <f>IF(ISBLANK('Data Entry'!$Ľ$90), "", 'Data Entry'!$Ľ$90)</f>
      </c>
      <c r="IT90">
        <f>IF(ISBLANK('Data Entry'!$ľ$90), "", 'Data Entry'!$ľ$90)</f>
      </c>
    </row>
    <row r="91" spans="1:254" x14ac:dyDescent="0.25">
      <c r="A91">
        <f>IF(ISBLANK('Data Entry'!$A$91), "", 'Data Entry'!$A$91)</f>
      </c>
      <c r="B91">
        <f>IF(ISBLANK('Data Entry'!$B$91), "", 'Data Entry'!$B$91)</f>
      </c>
      <c r="C91">
        <f>IF(ISBLANK('Data Entry'!$C$91), "", 'Data Entry'!$C$91)</f>
      </c>
      <c r="D91">
        <f>IF(ISBLANK('Data Entry'!$D$91), "", 'Data Entry'!$D$91)</f>
      </c>
      <c r="E91">
        <f>IF(ISBLANK('Data Entry'!$E$91), "", 'Data Entry'!$E$91)</f>
      </c>
      <c r="F91">
        <f>IF(ISBLANK('Data Entry'!$F$91), "", 'Data Entry'!$F$91)</f>
      </c>
      <c r="G91">
        <f>IF(ISBLANK('Data Entry'!$G$91), "", 'Data Entry'!$G$91)</f>
      </c>
      <c r="H91">
        <f>IF(ISBLANK('Data Entry'!$H$91), "", 'Data Entry'!$H$91)</f>
      </c>
      <c r="I91">
        <f>IF(ISBLANK('Data Entry'!$I$91), "", 'Data Entry'!$I$91)</f>
      </c>
      <c r="J91">
        <f>IF(ISBLANK('Data Entry'!$J$91), "", 'Data Entry'!$J$91)</f>
      </c>
      <c r="K91">
        <f>IF(ISBLANK('Data Entry'!$K$91), "", 'Data Entry'!$K$91)</f>
      </c>
      <c r="L91">
        <f>IF(ISBLANK('Data Entry'!$L$91), "", 'Data Entry'!$L$91)</f>
      </c>
      <c r="M91">
        <f>IF(ISBLANK('Data Entry'!$M$91), "", 'Data Entry'!$M$91)</f>
      </c>
      <c r="N91">
        <f>IF(ISBLANK('Data Entry'!$N$91), "", 'Data Entry'!$N$91)</f>
      </c>
      <c r="O91">
        <f>IF(ISBLANK('Data Entry'!$O$91), "", 'Data Entry'!$O$91)</f>
      </c>
      <c r="P91">
        <f>IF(ISBLANK('Data Entry'!$P$91), "", 'Data Entry'!$P$91)</f>
      </c>
      <c r="Q91">
        <f>IF(ISBLANK('Data Entry'!$Q$91), "", 'Data Entry'!$Q$91)</f>
      </c>
      <c r="R91">
        <f>IF(ISBLANK('Data Entry'!$R$91), "", 'Data Entry'!$R$91)</f>
      </c>
      <c r="S91">
        <f>IF(ISBLANK('Data Entry'!$S$91), "", 'Data Entry'!$S$91)</f>
      </c>
      <c r="T91">
        <f>IF(ISBLANK('Data Entry'!$T$91), "", 'Data Entry'!$T$91)</f>
      </c>
      <c r="U91">
        <f>IF(ISBLANK('Data Entry'!$U$91), "", 'Data Entry'!$U$91)</f>
      </c>
      <c r="V91">
        <f>IF(ISBLANK('Data Entry'!$V$91), "", 'Data Entry'!$V$91)</f>
      </c>
      <c r="W91">
        <f>IF(ISBLANK('Data Entry'!$W$91), "", 'Data Entry'!$W$91)</f>
      </c>
      <c r="X91">
        <f>IF(ISBLANK('Data Entry'!$X$91), "", 'Data Entry'!$X$91)</f>
      </c>
      <c r="Y91">
        <f>IF(ISBLANK('Data Entry'!$Y$91), "", 'Data Entry'!$Y$91)</f>
      </c>
      <c r="Z91">
        <f>IF(ISBLANK('Data Entry'!$Z$91), "", 'Data Entry'!$Z$91)</f>
      </c>
      <c r="AA91">
        <f>IF(ISBLANK('Data Entry'!$[$91), "", 'Data Entry'!$[$91)</f>
      </c>
      <c r="AB91">
        <f>IF(ISBLANK('Data Entry'!$\$91), "", 'Data Entry'!$\$91)</f>
      </c>
      <c r="AC91">
        <f>IF(ISBLANK('Data Entry'!$]$91), "", 'Data Entry'!$]$91)</f>
      </c>
      <c r="AD91">
        <f>IF(ISBLANK('Data Entry'!$^$91), "", 'Data Entry'!$^$91)</f>
      </c>
      <c r="AE91">
        <f>IF(ISBLANK('Data Entry'!$_$91), "", 'Data Entry'!$_$91)</f>
      </c>
      <c r="AF91">
        <f>IF(ISBLANK('Data Entry'!$`$91), "", 'Data Entry'!$`$91)</f>
      </c>
      <c r="AG91">
        <f>IF(ISBLANK('Data Entry'!$a$91), "", 'Data Entry'!$a$91)</f>
      </c>
      <c r="AH91">
        <f>IF(ISBLANK('Data Entry'!$b$91), "", 'Data Entry'!$b$91)</f>
      </c>
      <c r="AI91">
        <f>IF(ISBLANK('Data Entry'!$c$91), "", 'Data Entry'!$c$91)</f>
      </c>
      <c r="AJ91">
        <f>IF(ISBLANK('Data Entry'!$d$91), "", 'Data Entry'!$d$91)</f>
      </c>
      <c r="AK91">
        <f>IF(ISBLANK('Data Entry'!$e$91), "", 'Data Entry'!$e$91)</f>
      </c>
      <c r="AL91">
        <f>IF(ISBLANK('Data Entry'!$f$91), "", 'Data Entry'!$f$91)</f>
      </c>
      <c r="AM91">
        <f>IF(ISBLANK('Data Entry'!$g$91), "", 'Data Entry'!$g$91)</f>
      </c>
      <c r="AN91">
        <f>IF(ISBLANK('Data Entry'!$h$91), "", 'Data Entry'!$h$91)</f>
      </c>
      <c r="AO91">
        <f>IF(ISBLANK('Data Entry'!$i$91), "", 'Data Entry'!$i$91)</f>
      </c>
      <c r="AP91">
        <f>IF(ISBLANK('Data Entry'!$j$91), "", 'Data Entry'!$j$91)</f>
      </c>
      <c r="AQ91">
        <f>IF(ISBLANK('Data Entry'!$k$91), "", 'Data Entry'!$k$91)</f>
      </c>
      <c r="AR91">
        <f>IF(ISBLANK('Data Entry'!$l$91), "", 'Data Entry'!$l$91)</f>
      </c>
      <c r="AS91">
        <f>IF(ISBLANK('Data Entry'!$m$91), "", 'Data Entry'!$m$91)</f>
      </c>
      <c r="AT91">
        <f>IF(ISBLANK('Data Entry'!$n$91), "", 'Data Entry'!$n$91)</f>
      </c>
      <c r="AU91">
        <f>IF(ISBLANK('Data Entry'!$o$91), "", 'Data Entry'!$o$91)</f>
      </c>
      <c r="AV91">
        <f>IF(ISBLANK('Data Entry'!$p$91), "", 'Data Entry'!$p$91)</f>
      </c>
      <c r="AW91">
        <f>IF(ISBLANK('Data Entry'!$q$91), "", 'Data Entry'!$q$91)</f>
      </c>
      <c r="AX91">
        <f>IF(ISBLANK('Data Entry'!$r$91), "", 'Data Entry'!$r$91)</f>
      </c>
      <c r="AY91">
        <f>IF(ISBLANK('Data Entry'!$s$91), "", 'Data Entry'!$s$91)</f>
      </c>
      <c r="AZ91">
        <f>IF(ISBLANK('Data Entry'!$t$91), "", 'Data Entry'!$t$91)</f>
      </c>
      <c r="BA91">
        <f>IF(ISBLANK('Data Entry'!$u$91), "", 'Data Entry'!$u$91)</f>
      </c>
      <c r="BB91">
        <f>IF(ISBLANK('Data Entry'!$v$91), "", 'Data Entry'!$v$91)</f>
      </c>
      <c r="BC91">
        <f>IF(ISBLANK('Data Entry'!$w$91), "", 'Data Entry'!$w$91)</f>
      </c>
      <c r="BD91">
        <f>IF(ISBLANK('Data Entry'!$x$91), "", 'Data Entry'!$x$91)</f>
      </c>
      <c r="BE91">
        <f>IF(ISBLANK('Data Entry'!$y$91), "", 'Data Entry'!$y$91)</f>
      </c>
      <c r="BF91">
        <f>IF(ISBLANK('Data Entry'!$z$91), "", 'Data Entry'!$z$91)</f>
      </c>
      <c r="BG91">
        <f>IF(ISBLANK('Data Entry'!${$91), "", 'Data Entry'!${$91)</f>
      </c>
      <c r="BH91">
        <f>IF(ISBLANK('Data Entry'!$|$91), "", 'Data Entry'!$|$91)</f>
      </c>
      <c r="BI91">
        <f>IF(ISBLANK('Data Entry'!$}$91), "", 'Data Entry'!$}$91)</f>
      </c>
      <c r="BJ91">
        <f>IF(ISBLANK('Data Entry'!$~$91), "", 'Data Entry'!$~$91)</f>
      </c>
      <c r="BK91">
        <f>IF(ISBLANK('Data Entry'!$$91), "", 'Data Entry'!$$91)</f>
      </c>
      <c r="BL91">
        <f>IF(ISBLANK('Data Entry'!$$91), "", 'Data Entry'!$$91)</f>
      </c>
      <c r="BM91">
        <f>IF(ISBLANK('Data Entry'!$$91), "", 'Data Entry'!$$91)</f>
      </c>
      <c r="BN91">
        <f>IF(ISBLANK('Data Entry'!$$91), "", 'Data Entry'!$$91)</f>
      </c>
      <c r="BO91">
        <f>IF(ISBLANK('Data Entry'!$$91), "", 'Data Entry'!$$91)</f>
      </c>
      <c r="BP91">
        <f>IF(ISBLANK('Data Entry'!$$91), "", 'Data Entry'!$$91)</f>
      </c>
      <c r="BQ91">
        <f>IF(ISBLANK('Data Entry'!$$91), "", 'Data Entry'!$$91)</f>
      </c>
      <c r="BR91">
        <f>IF(ISBLANK('Data Entry'!$$91), "", 'Data Entry'!$$91)</f>
      </c>
      <c r="BS91">
        <f>IF(ISBLANK('Data Entry'!$$91), "", 'Data Entry'!$$91)</f>
      </c>
      <c r="BT91">
        <f>IF(ISBLANK('Data Entry'!$$91), "", 'Data Entry'!$$91)</f>
      </c>
      <c r="BU91">
        <f>IF(ISBLANK('Data Entry'!$$91), "", 'Data Entry'!$$91)</f>
      </c>
      <c r="BV91">
        <f>IF(ISBLANK('Data Entry'!$$91), "", 'Data Entry'!$$91)</f>
      </c>
      <c r="BW91">
        <f>IF(ISBLANK('Data Entry'!$$91), "", 'Data Entry'!$$91)</f>
      </c>
      <c r="BX91">
        <f>IF(ISBLANK('Data Entry'!$$91), "", 'Data Entry'!$$91)</f>
      </c>
      <c r="BY91">
        <f>IF(ISBLANK('Data Entry'!$$91), "", 'Data Entry'!$$91)</f>
      </c>
      <c r="BZ91">
        <f>IF(ISBLANK('Data Entry'!$$91), "", 'Data Entry'!$$91)</f>
      </c>
      <c r="CA91">
        <f>IF(ISBLANK('Data Entry'!$$91), "", 'Data Entry'!$$91)</f>
      </c>
      <c r="CB91">
        <f>IF(ISBLANK('Data Entry'!$$91), "", 'Data Entry'!$$91)</f>
      </c>
      <c r="CC91">
        <f>IF(ISBLANK('Data Entry'!$$91), "", 'Data Entry'!$$91)</f>
      </c>
      <c r="CD91">
        <f>IF(ISBLANK('Data Entry'!$$91), "", 'Data Entry'!$$91)</f>
      </c>
      <c r="CE91">
        <f>IF(ISBLANK('Data Entry'!$$91), "", 'Data Entry'!$$91)</f>
      </c>
      <c r="CF91">
        <f>IF(ISBLANK('Data Entry'!$$91), "", 'Data Entry'!$$91)</f>
      </c>
      <c r="CG91">
        <f>IF(ISBLANK('Data Entry'!$$91), "", 'Data Entry'!$$91)</f>
      </c>
      <c r="CH91">
        <f>IF(ISBLANK('Data Entry'!$$91), "", 'Data Entry'!$$91)</f>
      </c>
      <c r="CI91">
        <f>IF(ISBLANK('Data Entry'!$$91), "", 'Data Entry'!$$91)</f>
      </c>
      <c r="CJ91">
        <f>IF(ISBLANK('Data Entry'!$$91), "", 'Data Entry'!$$91)</f>
      </c>
      <c r="CK91">
        <f>IF(ISBLANK('Data Entry'!$$91), "", 'Data Entry'!$$91)</f>
      </c>
      <c r="CL91">
        <f>IF(ISBLANK('Data Entry'!$$91), "", 'Data Entry'!$$91)</f>
      </c>
      <c r="CM91">
        <f>IF(ISBLANK('Data Entry'!$$91), "", 'Data Entry'!$$91)</f>
      </c>
      <c r="CN91">
        <f>IF(ISBLANK('Data Entry'!$$91), "", 'Data Entry'!$$91)</f>
      </c>
      <c r="CO91">
        <f>IF(ISBLANK('Data Entry'!$$91), "", 'Data Entry'!$$91)</f>
      </c>
      <c r="CP91">
        <f>IF(ISBLANK('Data Entry'!$$91), "", 'Data Entry'!$$91)</f>
      </c>
      <c r="CQ91">
        <f>IF(ISBLANK('Data Entry'!$$91), "", 'Data Entry'!$$91)</f>
      </c>
      <c r="CR91">
        <f>IF(ISBLANK('Data Entry'!$ $91), "", 'Data Entry'!$ $91)</f>
      </c>
      <c r="CS91">
        <f>IF(ISBLANK('Data Entry'!$¡$91), "", 'Data Entry'!$¡$91)</f>
      </c>
      <c r="CT91">
        <f>IF(ISBLANK('Data Entry'!$¢$91), "", 'Data Entry'!$¢$91)</f>
      </c>
      <c r="CU91">
        <f>IF(ISBLANK('Data Entry'!$£$91), "", 'Data Entry'!$£$91)</f>
      </c>
      <c r="CV91">
        <f>IF(ISBLANK('Data Entry'!$¤$91), "", 'Data Entry'!$¤$91)</f>
      </c>
      <c r="CW91">
        <f>IF(ISBLANK('Data Entry'!$¥$91), "", 'Data Entry'!$¥$91)</f>
      </c>
      <c r="CX91">
        <f>IF(ISBLANK('Data Entry'!$¦$91), "", 'Data Entry'!$¦$91)</f>
      </c>
      <c r="CY91">
        <f>IF(ISBLANK('Data Entry'!$§$91), "", 'Data Entry'!$§$91)</f>
      </c>
      <c r="CZ91">
        <f>IF(ISBLANK('Data Entry'!$¨$91), "", 'Data Entry'!$¨$91)</f>
      </c>
      <c r="DA91">
        <f>IF(ISBLANK('Data Entry'!$©$91), "", 'Data Entry'!$©$91)</f>
      </c>
      <c r="DB91">
        <f>IF(ISBLANK('Data Entry'!$ª$91), "", 'Data Entry'!$ª$91)</f>
      </c>
      <c r="DC91">
        <f>IF(ISBLANK('Data Entry'!$«$91), "", 'Data Entry'!$«$91)</f>
      </c>
      <c r="DD91">
        <f>IF(ISBLANK('Data Entry'!$¬$91), "", 'Data Entry'!$¬$91)</f>
      </c>
      <c r="DE91">
        <f>IF(ISBLANK('Data Entry'!$­$91), "", 'Data Entry'!$­$91)</f>
      </c>
      <c r="DF91">
        <f>IF(ISBLANK('Data Entry'!$®$91), "", 'Data Entry'!$®$91)</f>
      </c>
      <c r="DG91">
        <f>IF(ISBLANK('Data Entry'!$¯$91), "", 'Data Entry'!$¯$91)</f>
      </c>
      <c r="DH91">
        <f>IF(ISBLANK('Data Entry'!$°$91), "", 'Data Entry'!$°$91)</f>
      </c>
      <c r="DI91">
        <f>IF(ISBLANK('Data Entry'!$±$91), "", 'Data Entry'!$±$91)</f>
      </c>
      <c r="DJ91">
        <f>IF(ISBLANK('Data Entry'!$²$91), "", 'Data Entry'!$²$91)</f>
      </c>
      <c r="DK91">
        <f>IF(ISBLANK('Data Entry'!$³$91), "", 'Data Entry'!$³$91)</f>
      </c>
      <c r="DL91">
        <f>IF(ISBLANK('Data Entry'!$´$91), "", 'Data Entry'!$´$91)</f>
      </c>
      <c r="DM91">
        <f>IF(ISBLANK('Data Entry'!$µ$91), "", 'Data Entry'!$µ$91)</f>
      </c>
      <c r="DN91">
        <f>IF(ISBLANK('Data Entry'!$¶$91), "", 'Data Entry'!$¶$91)</f>
      </c>
      <c r="DO91">
        <f>IF(ISBLANK('Data Entry'!$·$91), "", 'Data Entry'!$·$91)</f>
      </c>
      <c r="DP91">
        <f>IF(ISBLANK('Data Entry'!$¸$91), "", 'Data Entry'!$¸$91)</f>
      </c>
      <c r="DQ91">
        <f>IF(ISBLANK('Data Entry'!$¹$91), "", 'Data Entry'!$¹$91)</f>
      </c>
      <c r="DR91">
        <f>IF(ISBLANK('Data Entry'!$º$91), "", 'Data Entry'!$º$91)</f>
      </c>
      <c r="DS91">
        <f>IF(ISBLANK('Data Entry'!$»$91), "", 'Data Entry'!$»$91)</f>
      </c>
      <c r="DT91">
        <f>IF(ISBLANK('Data Entry'!$¼$91), "", 'Data Entry'!$¼$91)</f>
      </c>
      <c r="DU91">
        <f>IF(ISBLANK('Data Entry'!$½$91), "", 'Data Entry'!$½$91)</f>
      </c>
      <c r="DV91">
        <f>IF(ISBLANK('Data Entry'!$¾$91), "", 'Data Entry'!$¾$91)</f>
      </c>
      <c r="DW91">
        <f>IF(ISBLANK('Data Entry'!$¿$91), "", 'Data Entry'!$¿$91)</f>
      </c>
      <c r="DX91">
        <f>IF(ISBLANK('Data Entry'!$À$91), "", 'Data Entry'!$À$91)</f>
      </c>
      <c r="DY91">
        <f>IF(ISBLANK('Data Entry'!$Á$91), "", 'Data Entry'!$Á$91)</f>
      </c>
      <c r="DZ91">
        <f>IF(ISBLANK('Data Entry'!$Â$91), "", 'Data Entry'!$Â$91)</f>
      </c>
      <c r="EA91">
        <f>IF(ISBLANK('Data Entry'!$Ã$91), "", 'Data Entry'!$Ã$91)</f>
      </c>
      <c r="EB91">
        <f>IF(ISBLANK('Data Entry'!$Ä$91), "", 'Data Entry'!$Ä$91)</f>
      </c>
      <c r="EC91">
        <f>IF(ISBLANK('Data Entry'!$Å$91), "", 'Data Entry'!$Å$91)</f>
      </c>
      <c r="ED91">
        <f>IF(ISBLANK('Data Entry'!$Æ$91), "", 'Data Entry'!$Æ$91)</f>
      </c>
      <c r="EE91">
        <f>IF(ISBLANK('Data Entry'!$Ç$91), "", 'Data Entry'!$Ç$91)</f>
      </c>
      <c r="EF91">
        <f>IF(ISBLANK('Data Entry'!$È$91), "", 'Data Entry'!$È$91)</f>
      </c>
      <c r="EG91">
        <f>IF(ISBLANK('Data Entry'!$É$91), "", 'Data Entry'!$É$91)</f>
      </c>
      <c r="EH91">
        <f>IF(ISBLANK('Data Entry'!$Ê$91), "", 'Data Entry'!$Ê$91)</f>
      </c>
      <c r="EI91">
        <f>IF(ISBLANK('Data Entry'!$Ë$91), "", 'Data Entry'!$Ë$91)</f>
      </c>
      <c r="EJ91">
        <f>IF(ISBLANK('Data Entry'!$Ì$91), "", 'Data Entry'!$Ì$91)</f>
      </c>
      <c r="EK91">
        <f>IF(ISBLANK('Data Entry'!$Í$91), "", 'Data Entry'!$Í$91)</f>
      </c>
      <c r="EL91">
        <f>IF(ISBLANK('Data Entry'!$Î$91), "", 'Data Entry'!$Î$91)</f>
      </c>
      <c r="EM91">
        <f>IF(ISBLANK('Data Entry'!$Ï$91), "", 'Data Entry'!$Ï$91)</f>
      </c>
      <c r="EN91">
        <f>IF(ISBLANK('Data Entry'!$Ð$91), "", 'Data Entry'!$Ð$91)</f>
      </c>
      <c r="EO91">
        <f>IF(ISBLANK('Data Entry'!$Ñ$91), "", 'Data Entry'!$Ñ$91)</f>
      </c>
      <c r="EP91">
        <f>IF(ISBLANK('Data Entry'!$Ò$91), "", 'Data Entry'!$Ò$91)</f>
      </c>
      <c r="EQ91">
        <f>IF(ISBLANK('Data Entry'!$Ó$91), "", 'Data Entry'!$Ó$91)</f>
      </c>
      <c r="ER91">
        <f>IF(ISBLANK('Data Entry'!$Ô$91), "", 'Data Entry'!$Ô$91)</f>
      </c>
      <c r="ES91">
        <f>IF(ISBLANK('Data Entry'!$Õ$91), "", 'Data Entry'!$Õ$91)</f>
      </c>
      <c r="ET91">
        <f>IF(ISBLANK('Data Entry'!$Ö$91), "", 'Data Entry'!$Ö$91)</f>
      </c>
      <c r="EU91">
        <f>IF(ISBLANK('Data Entry'!$×$91), "", 'Data Entry'!$×$91)</f>
      </c>
      <c r="EV91">
        <f>IF(ISBLANK('Data Entry'!$Ø$91), "", 'Data Entry'!$Ø$91)</f>
      </c>
      <c r="EW91">
        <f>IF(ISBLANK('Data Entry'!$Ù$91), "", 'Data Entry'!$Ù$91)</f>
      </c>
      <c r="EX91">
        <f>IF(ISBLANK('Data Entry'!$Ú$91), "", 'Data Entry'!$Ú$91)</f>
      </c>
      <c r="EY91">
        <f>IF(ISBLANK('Data Entry'!$Û$91), "", 'Data Entry'!$Û$91)</f>
      </c>
      <c r="EZ91">
        <f>IF(ISBLANK('Data Entry'!$Ü$91), "", 'Data Entry'!$Ü$91)</f>
      </c>
      <c r="FA91">
        <f>IF(ISBLANK('Data Entry'!$Ý$91), "", 'Data Entry'!$Ý$91)</f>
      </c>
      <c r="FB91">
        <f>IF(ISBLANK('Data Entry'!$Þ$91), "", 'Data Entry'!$Þ$91)</f>
      </c>
      <c r="FC91">
        <f>IF(ISBLANK('Data Entry'!$ß$91), "", 'Data Entry'!$ß$91)</f>
      </c>
      <c r="FD91">
        <f>IF(ISBLANK('Data Entry'!$à$91), "", 'Data Entry'!$à$91)</f>
      </c>
      <c r="FE91">
        <f>IF(ISBLANK('Data Entry'!$á$91), "", 'Data Entry'!$á$91)</f>
      </c>
      <c r="FF91">
        <f>IF(ISBLANK('Data Entry'!$â$91), "", 'Data Entry'!$â$91)</f>
      </c>
      <c r="FG91">
        <f>IF(ISBLANK('Data Entry'!$ã$91), "", 'Data Entry'!$ã$91)</f>
      </c>
      <c r="FH91">
        <f>IF(ISBLANK('Data Entry'!$ä$91), "", 'Data Entry'!$ä$91)</f>
      </c>
      <c r="FI91">
        <f>IF(ISBLANK('Data Entry'!$å$91), "", 'Data Entry'!$å$91)</f>
      </c>
      <c r="FJ91">
        <f>IF(ISBLANK('Data Entry'!$æ$91), "", 'Data Entry'!$æ$91)</f>
      </c>
      <c r="FK91">
        <f>IF(ISBLANK('Data Entry'!$ç$91), "", 'Data Entry'!$ç$91)</f>
      </c>
      <c r="FL91">
        <f>IF(ISBLANK('Data Entry'!$è$91), "", 'Data Entry'!$è$91)</f>
      </c>
      <c r="FM91">
        <f>IF(ISBLANK('Data Entry'!$é$91), "", 'Data Entry'!$é$91)</f>
      </c>
      <c r="FN91">
        <f>IF(ISBLANK('Data Entry'!$ê$91), "", 'Data Entry'!$ê$91)</f>
      </c>
      <c r="FO91">
        <f>IF(ISBLANK('Data Entry'!$ë$91), "", 'Data Entry'!$ë$91)</f>
      </c>
      <c r="FP91">
        <f>IF(ISBLANK('Data Entry'!$ì$91), "", 'Data Entry'!$ì$91)</f>
      </c>
      <c r="FQ91">
        <f>IF(ISBLANK('Data Entry'!$í$91), "", 'Data Entry'!$í$91)</f>
      </c>
      <c r="FR91">
        <f>IF(ISBLANK('Data Entry'!$î$91), "", 'Data Entry'!$î$91)</f>
      </c>
      <c r="FS91">
        <f>IF(ISBLANK('Data Entry'!$ï$91), "", 'Data Entry'!$ï$91)</f>
      </c>
      <c r="FT91">
        <f>IF(ISBLANK('Data Entry'!$ð$91), "", 'Data Entry'!$ð$91)</f>
      </c>
      <c r="FU91">
        <f>IF(ISBLANK('Data Entry'!$ñ$91), "", 'Data Entry'!$ñ$91)</f>
      </c>
      <c r="FV91">
        <f>IF(ISBLANK('Data Entry'!$ò$91), "", 'Data Entry'!$ò$91)</f>
      </c>
      <c r="FW91">
        <f>IF(ISBLANK('Data Entry'!$ó$91), "", 'Data Entry'!$ó$91)</f>
      </c>
      <c r="FX91">
        <f>IF(ISBLANK('Data Entry'!$ô$91), "", 'Data Entry'!$ô$91)</f>
      </c>
      <c r="FY91">
        <f>IF(ISBLANK('Data Entry'!$õ$91), "", 'Data Entry'!$õ$91)</f>
      </c>
      <c r="FZ91">
        <f>IF(ISBLANK('Data Entry'!$ö$91), "", 'Data Entry'!$ö$91)</f>
      </c>
      <c r="GA91">
        <f>IF(ISBLANK('Data Entry'!$÷$91), "", 'Data Entry'!$÷$91)</f>
      </c>
      <c r="GB91">
        <f>IF(ISBLANK('Data Entry'!$ø$91), "", 'Data Entry'!$ø$91)</f>
      </c>
      <c r="GC91">
        <f>IF(ISBLANK('Data Entry'!$ù$91), "", 'Data Entry'!$ù$91)</f>
      </c>
      <c r="GD91">
        <f>IF(ISBLANK('Data Entry'!$ú$91), "", 'Data Entry'!$ú$91)</f>
      </c>
      <c r="GE91">
        <f>IF(ISBLANK('Data Entry'!$û$91), "", 'Data Entry'!$û$91)</f>
      </c>
      <c r="GF91">
        <f>IF(ISBLANK('Data Entry'!$ü$91), "", 'Data Entry'!$ü$91)</f>
      </c>
      <c r="GG91">
        <f>IF(ISBLANK('Data Entry'!$ý$91), "", 'Data Entry'!$ý$91)</f>
      </c>
      <c r="GH91">
        <f>IF(ISBLANK('Data Entry'!$þ$91), "", 'Data Entry'!$þ$91)</f>
      </c>
      <c r="GI91">
        <f>IF(ISBLANK('Data Entry'!$ÿ$91), "", 'Data Entry'!$ÿ$91)</f>
      </c>
      <c r="GJ91">
        <f>IF(ISBLANK('Data Entry'!$Ā$91), "", 'Data Entry'!$Ā$91)</f>
      </c>
      <c r="GK91">
        <f>IF(ISBLANK('Data Entry'!$ā$91), "", 'Data Entry'!$ā$91)</f>
      </c>
      <c r="GL91">
        <f>IF(ISBLANK('Data Entry'!$Ă$91), "", 'Data Entry'!$Ă$91)</f>
      </c>
      <c r="GM91">
        <f>IF(ISBLANK('Data Entry'!$ă$91), "", 'Data Entry'!$ă$91)</f>
      </c>
      <c r="GN91">
        <f>IF(ISBLANK('Data Entry'!$Ą$91), "", 'Data Entry'!$Ą$91)</f>
      </c>
      <c r="GO91">
        <f>IF(ISBLANK('Data Entry'!$ą$91), "", 'Data Entry'!$ą$91)</f>
      </c>
      <c r="GP91">
        <f>IF(ISBLANK('Data Entry'!$Ć$91), "", 'Data Entry'!$Ć$91)</f>
      </c>
      <c r="GQ91">
        <f>IF(ISBLANK('Data Entry'!$ć$91), "", 'Data Entry'!$ć$91)</f>
      </c>
      <c r="GR91">
        <f>IF(ISBLANK('Data Entry'!$Ĉ$91), "", 'Data Entry'!$Ĉ$91)</f>
      </c>
      <c r="GS91">
        <f>IF(ISBLANK('Data Entry'!$ĉ$91), "", 'Data Entry'!$ĉ$91)</f>
      </c>
      <c r="GT91">
        <f>IF(ISBLANK('Data Entry'!$Ċ$91), "", 'Data Entry'!$Ċ$91)</f>
      </c>
      <c r="GU91">
        <f>IF(ISBLANK('Data Entry'!$ċ$91), "", 'Data Entry'!$ċ$91)</f>
      </c>
      <c r="GV91">
        <f>IF(ISBLANK('Data Entry'!$Č$91), "", 'Data Entry'!$Č$91)</f>
      </c>
      <c r="GW91">
        <f>IF(ISBLANK('Data Entry'!$č$91), "", 'Data Entry'!$č$91)</f>
      </c>
      <c r="GX91">
        <f>IF(ISBLANK('Data Entry'!$Ď$91), "", 'Data Entry'!$Ď$91)</f>
      </c>
      <c r="GY91">
        <f>IF(ISBLANK('Data Entry'!$ď$91), "", 'Data Entry'!$ď$91)</f>
      </c>
      <c r="GZ91">
        <f>IF(ISBLANK('Data Entry'!$Đ$91), "", 'Data Entry'!$Đ$91)</f>
      </c>
      <c r="HA91">
        <f>IF(ISBLANK('Data Entry'!$đ$91), "", 'Data Entry'!$đ$91)</f>
      </c>
      <c r="HB91">
        <f>IF(ISBLANK('Data Entry'!$Ē$91), "", 'Data Entry'!$Ē$91)</f>
      </c>
      <c r="HC91">
        <f>IF(ISBLANK('Data Entry'!$ē$91), "", 'Data Entry'!$ē$91)</f>
      </c>
      <c r="HD91">
        <f>IF(ISBLANK('Data Entry'!$Ĕ$91), "", 'Data Entry'!$Ĕ$91)</f>
      </c>
      <c r="HE91">
        <f>IF(ISBLANK('Data Entry'!$ĕ$91), "", 'Data Entry'!$ĕ$91)</f>
      </c>
      <c r="HF91">
        <f>IF(ISBLANK('Data Entry'!$Ė$91), "", 'Data Entry'!$Ė$91)</f>
      </c>
      <c r="HG91">
        <f>IF(ISBLANK('Data Entry'!$ė$91), "", 'Data Entry'!$ė$91)</f>
      </c>
      <c r="HH91">
        <f>IF(ISBLANK('Data Entry'!$Ę$91), "", 'Data Entry'!$Ę$91)</f>
      </c>
      <c r="HI91">
        <f>IF(ISBLANK('Data Entry'!$ę$91), "", 'Data Entry'!$ę$91)</f>
      </c>
      <c r="HJ91">
        <f>IF(ISBLANK('Data Entry'!$Ě$91), "", 'Data Entry'!$Ě$91)</f>
      </c>
      <c r="HK91">
        <f>IF(ISBLANK('Data Entry'!$ě$91), "", 'Data Entry'!$ě$91)</f>
      </c>
      <c r="HL91">
        <f>IF(ISBLANK('Data Entry'!$Ĝ$91), "", 'Data Entry'!$Ĝ$91)</f>
      </c>
      <c r="HM91">
        <f>IF(ISBLANK('Data Entry'!$ĝ$91), "", 'Data Entry'!$ĝ$91)</f>
      </c>
      <c r="HN91">
        <f>IF(ISBLANK('Data Entry'!$Ğ$91), "", 'Data Entry'!$Ğ$91)</f>
      </c>
      <c r="HO91">
        <f>IF(ISBLANK('Data Entry'!$ğ$91), "", 'Data Entry'!$ğ$91)</f>
      </c>
      <c r="HP91">
        <f>IF(ISBLANK('Data Entry'!$Ġ$91), "", 'Data Entry'!$Ġ$91)</f>
      </c>
      <c r="HQ91">
        <f>IF(ISBLANK('Data Entry'!$ġ$91), "", 'Data Entry'!$ġ$91)</f>
      </c>
      <c r="HR91">
        <f>IF(ISBLANK('Data Entry'!$Ģ$91), "", 'Data Entry'!$Ģ$91)</f>
      </c>
      <c r="HS91">
        <f>IF(ISBLANK('Data Entry'!$ģ$91), "", 'Data Entry'!$ģ$91)</f>
      </c>
      <c r="HT91">
        <f>IF(ISBLANK('Data Entry'!$Ĥ$91), "", 'Data Entry'!$Ĥ$91)</f>
      </c>
      <c r="HU91">
        <f>IF(ISBLANK('Data Entry'!$ĥ$91), "", 'Data Entry'!$ĥ$91)</f>
      </c>
      <c r="HV91">
        <f>IF(ISBLANK('Data Entry'!$Ħ$91), "", 'Data Entry'!$Ħ$91)</f>
      </c>
      <c r="HW91">
        <f>IF(ISBLANK('Data Entry'!$ħ$91), "", 'Data Entry'!$ħ$91)</f>
      </c>
      <c r="HX91">
        <f>IF(ISBLANK('Data Entry'!$Ĩ$91), "", 'Data Entry'!$Ĩ$91)</f>
      </c>
      <c r="HY91">
        <f>IF(ISBLANK('Data Entry'!$ĩ$91), "", 'Data Entry'!$ĩ$91)</f>
      </c>
      <c r="HZ91">
        <f>IF(ISBLANK('Data Entry'!$Ī$91), "", 'Data Entry'!$Ī$91)</f>
      </c>
      <c r="IA91">
        <f>IF(ISBLANK('Data Entry'!$ī$91), "", 'Data Entry'!$ī$91)</f>
      </c>
      <c r="IB91">
        <f>IF(ISBLANK('Data Entry'!$Ĭ$91), "", 'Data Entry'!$Ĭ$91)</f>
      </c>
      <c r="IC91">
        <f>IF(ISBLANK('Data Entry'!$ĭ$91), "", 'Data Entry'!$ĭ$91)</f>
      </c>
      <c r="ID91">
        <f>IF(ISBLANK('Data Entry'!$Į$91), "", 'Data Entry'!$Į$91)</f>
      </c>
      <c r="IE91">
        <f>IF(ISBLANK('Data Entry'!$į$91), "", 'Data Entry'!$į$91)</f>
      </c>
      <c r="IF91">
        <f>IF(ISBLANK('Data Entry'!$İ$91), "", 'Data Entry'!$İ$91)</f>
      </c>
      <c r="IG91">
        <f>IF(ISBLANK('Data Entry'!$ı$91), "", 'Data Entry'!$ı$91)</f>
      </c>
      <c r="IH91">
        <f>IF(ISBLANK('Data Entry'!$Ĳ$91), "", 'Data Entry'!$Ĳ$91)</f>
      </c>
      <c r="II91">
        <f>IF(ISBLANK('Data Entry'!$ĳ$91), "", 'Data Entry'!$ĳ$91)</f>
      </c>
      <c r="IJ91">
        <f>IF(ISBLANK('Data Entry'!$Ĵ$91), "", 'Data Entry'!$Ĵ$91)</f>
      </c>
      <c r="IK91">
        <f>IF(ISBLANK('Data Entry'!$ĵ$91), "", 'Data Entry'!$ĵ$91)</f>
      </c>
      <c r="IL91">
        <f>IF(ISBLANK('Data Entry'!$Ķ$91), "", 'Data Entry'!$Ķ$91)</f>
      </c>
      <c r="IM91">
        <f>IF(ISBLANK('Data Entry'!$ķ$91), "", 'Data Entry'!$ķ$91)</f>
      </c>
      <c r="IN91">
        <f>IF(ISBLANK('Data Entry'!$ĸ$91), "", 'Data Entry'!$ĸ$91)</f>
      </c>
      <c r="IO91">
        <f>IF(ISBLANK('Data Entry'!$Ĺ$91), "", 'Data Entry'!$Ĺ$91)</f>
      </c>
      <c r="IP91">
        <f>IF(ISBLANK('Data Entry'!$ĺ$91), "", 'Data Entry'!$ĺ$91)</f>
      </c>
      <c r="IQ91">
        <f>IF(ISBLANK('Data Entry'!$Ļ$91), "", 'Data Entry'!$Ļ$91)</f>
      </c>
      <c r="IR91">
        <f>IF(ISBLANK('Data Entry'!$ļ$91), "", 'Data Entry'!$ļ$91)</f>
      </c>
      <c r="IS91">
        <f>IF(ISBLANK('Data Entry'!$Ľ$91), "", 'Data Entry'!$Ľ$91)</f>
      </c>
      <c r="IT91">
        <f>IF(ISBLANK('Data Entry'!$ľ$91), "", 'Data Entry'!$ľ$91)</f>
      </c>
    </row>
    <row r="92" spans="1:254" x14ac:dyDescent="0.25">
      <c r="A92">
        <f>IF(ISBLANK('Data Entry'!$A$92), "", 'Data Entry'!$A$92)</f>
      </c>
      <c r="B92">
        <f>IF(ISBLANK('Data Entry'!$B$92), "", 'Data Entry'!$B$92)</f>
      </c>
      <c r="C92">
        <f>IF(ISBLANK('Data Entry'!$C$92), "", 'Data Entry'!$C$92)</f>
      </c>
      <c r="D92">
        <f>IF(ISBLANK('Data Entry'!$D$92), "", 'Data Entry'!$D$92)</f>
      </c>
      <c r="E92">
        <f>IF(ISBLANK('Data Entry'!$E$92), "", 'Data Entry'!$E$92)</f>
      </c>
      <c r="F92">
        <f>IF(ISBLANK('Data Entry'!$F$92), "", 'Data Entry'!$F$92)</f>
      </c>
      <c r="G92">
        <f>IF(ISBLANK('Data Entry'!$G$92), "", 'Data Entry'!$G$92)</f>
      </c>
      <c r="H92">
        <f>IF(ISBLANK('Data Entry'!$H$92), "", 'Data Entry'!$H$92)</f>
      </c>
      <c r="I92">
        <f>IF(ISBLANK('Data Entry'!$I$92), "", 'Data Entry'!$I$92)</f>
      </c>
      <c r="J92">
        <f>IF(ISBLANK('Data Entry'!$J$92), "", 'Data Entry'!$J$92)</f>
      </c>
      <c r="K92">
        <f>IF(ISBLANK('Data Entry'!$K$92), "", 'Data Entry'!$K$92)</f>
      </c>
      <c r="L92">
        <f>IF(ISBLANK('Data Entry'!$L$92), "", 'Data Entry'!$L$92)</f>
      </c>
      <c r="M92">
        <f>IF(ISBLANK('Data Entry'!$M$92), "", 'Data Entry'!$M$92)</f>
      </c>
      <c r="N92">
        <f>IF(ISBLANK('Data Entry'!$N$92), "", 'Data Entry'!$N$92)</f>
      </c>
      <c r="O92">
        <f>IF(ISBLANK('Data Entry'!$O$92), "", 'Data Entry'!$O$92)</f>
      </c>
      <c r="P92">
        <f>IF(ISBLANK('Data Entry'!$P$92), "", 'Data Entry'!$P$92)</f>
      </c>
      <c r="Q92">
        <f>IF(ISBLANK('Data Entry'!$Q$92), "", 'Data Entry'!$Q$92)</f>
      </c>
      <c r="R92">
        <f>IF(ISBLANK('Data Entry'!$R$92), "", 'Data Entry'!$R$92)</f>
      </c>
      <c r="S92">
        <f>IF(ISBLANK('Data Entry'!$S$92), "", 'Data Entry'!$S$92)</f>
      </c>
      <c r="T92">
        <f>IF(ISBLANK('Data Entry'!$T$92), "", 'Data Entry'!$T$92)</f>
      </c>
      <c r="U92">
        <f>IF(ISBLANK('Data Entry'!$U$92), "", 'Data Entry'!$U$92)</f>
      </c>
      <c r="V92">
        <f>IF(ISBLANK('Data Entry'!$V$92), "", 'Data Entry'!$V$92)</f>
      </c>
      <c r="W92">
        <f>IF(ISBLANK('Data Entry'!$W$92), "", 'Data Entry'!$W$92)</f>
      </c>
      <c r="X92">
        <f>IF(ISBLANK('Data Entry'!$X$92), "", 'Data Entry'!$X$92)</f>
      </c>
      <c r="Y92">
        <f>IF(ISBLANK('Data Entry'!$Y$92), "", 'Data Entry'!$Y$92)</f>
      </c>
      <c r="Z92">
        <f>IF(ISBLANK('Data Entry'!$Z$92), "", 'Data Entry'!$Z$92)</f>
      </c>
      <c r="AA92">
        <f>IF(ISBLANK('Data Entry'!$[$92), "", 'Data Entry'!$[$92)</f>
      </c>
      <c r="AB92">
        <f>IF(ISBLANK('Data Entry'!$\$92), "", 'Data Entry'!$\$92)</f>
      </c>
      <c r="AC92">
        <f>IF(ISBLANK('Data Entry'!$]$92), "", 'Data Entry'!$]$92)</f>
      </c>
      <c r="AD92">
        <f>IF(ISBLANK('Data Entry'!$^$92), "", 'Data Entry'!$^$92)</f>
      </c>
      <c r="AE92">
        <f>IF(ISBLANK('Data Entry'!$_$92), "", 'Data Entry'!$_$92)</f>
      </c>
      <c r="AF92">
        <f>IF(ISBLANK('Data Entry'!$`$92), "", 'Data Entry'!$`$92)</f>
      </c>
      <c r="AG92">
        <f>IF(ISBLANK('Data Entry'!$a$92), "", 'Data Entry'!$a$92)</f>
      </c>
      <c r="AH92">
        <f>IF(ISBLANK('Data Entry'!$b$92), "", 'Data Entry'!$b$92)</f>
      </c>
      <c r="AI92">
        <f>IF(ISBLANK('Data Entry'!$c$92), "", 'Data Entry'!$c$92)</f>
      </c>
      <c r="AJ92">
        <f>IF(ISBLANK('Data Entry'!$d$92), "", 'Data Entry'!$d$92)</f>
      </c>
      <c r="AK92">
        <f>IF(ISBLANK('Data Entry'!$e$92), "", 'Data Entry'!$e$92)</f>
      </c>
      <c r="AL92">
        <f>IF(ISBLANK('Data Entry'!$f$92), "", 'Data Entry'!$f$92)</f>
      </c>
      <c r="AM92">
        <f>IF(ISBLANK('Data Entry'!$g$92), "", 'Data Entry'!$g$92)</f>
      </c>
      <c r="AN92">
        <f>IF(ISBLANK('Data Entry'!$h$92), "", 'Data Entry'!$h$92)</f>
      </c>
      <c r="AO92">
        <f>IF(ISBLANK('Data Entry'!$i$92), "", 'Data Entry'!$i$92)</f>
      </c>
      <c r="AP92">
        <f>IF(ISBLANK('Data Entry'!$j$92), "", 'Data Entry'!$j$92)</f>
      </c>
      <c r="AQ92">
        <f>IF(ISBLANK('Data Entry'!$k$92), "", 'Data Entry'!$k$92)</f>
      </c>
      <c r="AR92">
        <f>IF(ISBLANK('Data Entry'!$l$92), "", 'Data Entry'!$l$92)</f>
      </c>
      <c r="AS92">
        <f>IF(ISBLANK('Data Entry'!$m$92), "", 'Data Entry'!$m$92)</f>
      </c>
      <c r="AT92">
        <f>IF(ISBLANK('Data Entry'!$n$92), "", 'Data Entry'!$n$92)</f>
      </c>
      <c r="AU92">
        <f>IF(ISBLANK('Data Entry'!$o$92), "", 'Data Entry'!$o$92)</f>
      </c>
      <c r="AV92">
        <f>IF(ISBLANK('Data Entry'!$p$92), "", 'Data Entry'!$p$92)</f>
      </c>
      <c r="AW92">
        <f>IF(ISBLANK('Data Entry'!$q$92), "", 'Data Entry'!$q$92)</f>
      </c>
      <c r="AX92">
        <f>IF(ISBLANK('Data Entry'!$r$92), "", 'Data Entry'!$r$92)</f>
      </c>
      <c r="AY92">
        <f>IF(ISBLANK('Data Entry'!$s$92), "", 'Data Entry'!$s$92)</f>
      </c>
      <c r="AZ92">
        <f>IF(ISBLANK('Data Entry'!$t$92), "", 'Data Entry'!$t$92)</f>
      </c>
      <c r="BA92">
        <f>IF(ISBLANK('Data Entry'!$u$92), "", 'Data Entry'!$u$92)</f>
      </c>
      <c r="BB92">
        <f>IF(ISBLANK('Data Entry'!$v$92), "", 'Data Entry'!$v$92)</f>
      </c>
      <c r="BC92">
        <f>IF(ISBLANK('Data Entry'!$w$92), "", 'Data Entry'!$w$92)</f>
      </c>
      <c r="BD92">
        <f>IF(ISBLANK('Data Entry'!$x$92), "", 'Data Entry'!$x$92)</f>
      </c>
      <c r="BE92">
        <f>IF(ISBLANK('Data Entry'!$y$92), "", 'Data Entry'!$y$92)</f>
      </c>
      <c r="BF92">
        <f>IF(ISBLANK('Data Entry'!$z$92), "", 'Data Entry'!$z$92)</f>
      </c>
      <c r="BG92">
        <f>IF(ISBLANK('Data Entry'!${$92), "", 'Data Entry'!${$92)</f>
      </c>
      <c r="BH92">
        <f>IF(ISBLANK('Data Entry'!$|$92), "", 'Data Entry'!$|$92)</f>
      </c>
      <c r="BI92">
        <f>IF(ISBLANK('Data Entry'!$}$92), "", 'Data Entry'!$}$92)</f>
      </c>
      <c r="BJ92">
        <f>IF(ISBLANK('Data Entry'!$~$92), "", 'Data Entry'!$~$92)</f>
      </c>
      <c r="BK92">
        <f>IF(ISBLANK('Data Entry'!$$92), "", 'Data Entry'!$$92)</f>
      </c>
      <c r="BL92">
        <f>IF(ISBLANK('Data Entry'!$$92), "", 'Data Entry'!$$92)</f>
      </c>
      <c r="BM92">
        <f>IF(ISBLANK('Data Entry'!$$92), "", 'Data Entry'!$$92)</f>
      </c>
      <c r="BN92">
        <f>IF(ISBLANK('Data Entry'!$$92), "", 'Data Entry'!$$92)</f>
      </c>
      <c r="BO92">
        <f>IF(ISBLANK('Data Entry'!$$92), "", 'Data Entry'!$$92)</f>
      </c>
      <c r="BP92">
        <f>IF(ISBLANK('Data Entry'!$$92), "", 'Data Entry'!$$92)</f>
      </c>
      <c r="BQ92">
        <f>IF(ISBLANK('Data Entry'!$$92), "", 'Data Entry'!$$92)</f>
      </c>
      <c r="BR92">
        <f>IF(ISBLANK('Data Entry'!$$92), "", 'Data Entry'!$$92)</f>
      </c>
      <c r="BS92">
        <f>IF(ISBLANK('Data Entry'!$$92), "", 'Data Entry'!$$92)</f>
      </c>
      <c r="BT92">
        <f>IF(ISBLANK('Data Entry'!$$92), "", 'Data Entry'!$$92)</f>
      </c>
      <c r="BU92">
        <f>IF(ISBLANK('Data Entry'!$$92), "", 'Data Entry'!$$92)</f>
      </c>
      <c r="BV92">
        <f>IF(ISBLANK('Data Entry'!$$92), "", 'Data Entry'!$$92)</f>
      </c>
      <c r="BW92">
        <f>IF(ISBLANK('Data Entry'!$$92), "", 'Data Entry'!$$92)</f>
      </c>
      <c r="BX92">
        <f>IF(ISBLANK('Data Entry'!$$92), "", 'Data Entry'!$$92)</f>
      </c>
      <c r="BY92">
        <f>IF(ISBLANK('Data Entry'!$$92), "", 'Data Entry'!$$92)</f>
      </c>
      <c r="BZ92">
        <f>IF(ISBLANK('Data Entry'!$$92), "", 'Data Entry'!$$92)</f>
      </c>
      <c r="CA92">
        <f>IF(ISBLANK('Data Entry'!$$92), "", 'Data Entry'!$$92)</f>
      </c>
      <c r="CB92">
        <f>IF(ISBLANK('Data Entry'!$$92), "", 'Data Entry'!$$92)</f>
      </c>
      <c r="CC92">
        <f>IF(ISBLANK('Data Entry'!$$92), "", 'Data Entry'!$$92)</f>
      </c>
      <c r="CD92">
        <f>IF(ISBLANK('Data Entry'!$$92), "", 'Data Entry'!$$92)</f>
      </c>
      <c r="CE92">
        <f>IF(ISBLANK('Data Entry'!$$92), "", 'Data Entry'!$$92)</f>
      </c>
      <c r="CF92">
        <f>IF(ISBLANK('Data Entry'!$$92), "", 'Data Entry'!$$92)</f>
      </c>
      <c r="CG92">
        <f>IF(ISBLANK('Data Entry'!$$92), "", 'Data Entry'!$$92)</f>
      </c>
      <c r="CH92">
        <f>IF(ISBLANK('Data Entry'!$$92), "", 'Data Entry'!$$92)</f>
      </c>
      <c r="CI92">
        <f>IF(ISBLANK('Data Entry'!$$92), "", 'Data Entry'!$$92)</f>
      </c>
      <c r="CJ92">
        <f>IF(ISBLANK('Data Entry'!$$92), "", 'Data Entry'!$$92)</f>
      </c>
      <c r="CK92">
        <f>IF(ISBLANK('Data Entry'!$$92), "", 'Data Entry'!$$92)</f>
      </c>
      <c r="CL92">
        <f>IF(ISBLANK('Data Entry'!$$92), "", 'Data Entry'!$$92)</f>
      </c>
      <c r="CM92">
        <f>IF(ISBLANK('Data Entry'!$$92), "", 'Data Entry'!$$92)</f>
      </c>
      <c r="CN92">
        <f>IF(ISBLANK('Data Entry'!$$92), "", 'Data Entry'!$$92)</f>
      </c>
      <c r="CO92">
        <f>IF(ISBLANK('Data Entry'!$$92), "", 'Data Entry'!$$92)</f>
      </c>
      <c r="CP92">
        <f>IF(ISBLANK('Data Entry'!$$92), "", 'Data Entry'!$$92)</f>
      </c>
      <c r="CQ92">
        <f>IF(ISBLANK('Data Entry'!$$92), "", 'Data Entry'!$$92)</f>
      </c>
      <c r="CR92">
        <f>IF(ISBLANK('Data Entry'!$ $92), "", 'Data Entry'!$ $92)</f>
      </c>
      <c r="CS92">
        <f>IF(ISBLANK('Data Entry'!$¡$92), "", 'Data Entry'!$¡$92)</f>
      </c>
      <c r="CT92">
        <f>IF(ISBLANK('Data Entry'!$¢$92), "", 'Data Entry'!$¢$92)</f>
      </c>
      <c r="CU92">
        <f>IF(ISBLANK('Data Entry'!$£$92), "", 'Data Entry'!$£$92)</f>
      </c>
      <c r="CV92">
        <f>IF(ISBLANK('Data Entry'!$¤$92), "", 'Data Entry'!$¤$92)</f>
      </c>
      <c r="CW92">
        <f>IF(ISBLANK('Data Entry'!$¥$92), "", 'Data Entry'!$¥$92)</f>
      </c>
      <c r="CX92">
        <f>IF(ISBLANK('Data Entry'!$¦$92), "", 'Data Entry'!$¦$92)</f>
      </c>
      <c r="CY92">
        <f>IF(ISBLANK('Data Entry'!$§$92), "", 'Data Entry'!$§$92)</f>
      </c>
      <c r="CZ92">
        <f>IF(ISBLANK('Data Entry'!$¨$92), "", 'Data Entry'!$¨$92)</f>
      </c>
      <c r="DA92">
        <f>IF(ISBLANK('Data Entry'!$©$92), "", 'Data Entry'!$©$92)</f>
      </c>
      <c r="DB92">
        <f>IF(ISBLANK('Data Entry'!$ª$92), "", 'Data Entry'!$ª$92)</f>
      </c>
      <c r="DC92">
        <f>IF(ISBLANK('Data Entry'!$«$92), "", 'Data Entry'!$«$92)</f>
      </c>
      <c r="DD92">
        <f>IF(ISBLANK('Data Entry'!$¬$92), "", 'Data Entry'!$¬$92)</f>
      </c>
      <c r="DE92">
        <f>IF(ISBLANK('Data Entry'!$­$92), "", 'Data Entry'!$­$92)</f>
      </c>
      <c r="DF92">
        <f>IF(ISBLANK('Data Entry'!$®$92), "", 'Data Entry'!$®$92)</f>
      </c>
      <c r="DG92">
        <f>IF(ISBLANK('Data Entry'!$¯$92), "", 'Data Entry'!$¯$92)</f>
      </c>
      <c r="DH92">
        <f>IF(ISBLANK('Data Entry'!$°$92), "", 'Data Entry'!$°$92)</f>
      </c>
      <c r="DI92">
        <f>IF(ISBLANK('Data Entry'!$±$92), "", 'Data Entry'!$±$92)</f>
      </c>
      <c r="DJ92">
        <f>IF(ISBLANK('Data Entry'!$²$92), "", 'Data Entry'!$²$92)</f>
      </c>
      <c r="DK92">
        <f>IF(ISBLANK('Data Entry'!$³$92), "", 'Data Entry'!$³$92)</f>
      </c>
      <c r="DL92">
        <f>IF(ISBLANK('Data Entry'!$´$92), "", 'Data Entry'!$´$92)</f>
      </c>
      <c r="DM92">
        <f>IF(ISBLANK('Data Entry'!$µ$92), "", 'Data Entry'!$µ$92)</f>
      </c>
      <c r="DN92">
        <f>IF(ISBLANK('Data Entry'!$¶$92), "", 'Data Entry'!$¶$92)</f>
      </c>
      <c r="DO92">
        <f>IF(ISBLANK('Data Entry'!$·$92), "", 'Data Entry'!$·$92)</f>
      </c>
      <c r="DP92">
        <f>IF(ISBLANK('Data Entry'!$¸$92), "", 'Data Entry'!$¸$92)</f>
      </c>
      <c r="DQ92">
        <f>IF(ISBLANK('Data Entry'!$¹$92), "", 'Data Entry'!$¹$92)</f>
      </c>
      <c r="DR92">
        <f>IF(ISBLANK('Data Entry'!$º$92), "", 'Data Entry'!$º$92)</f>
      </c>
      <c r="DS92">
        <f>IF(ISBLANK('Data Entry'!$»$92), "", 'Data Entry'!$»$92)</f>
      </c>
      <c r="DT92">
        <f>IF(ISBLANK('Data Entry'!$¼$92), "", 'Data Entry'!$¼$92)</f>
      </c>
      <c r="DU92">
        <f>IF(ISBLANK('Data Entry'!$½$92), "", 'Data Entry'!$½$92)</f>
      </c>
      <c r="DV92">
        <f>IF(ISBLANK('Data Entry'!$¾$92), "", 'Data Entry'!$¾$92)</f>
      </c>
      <c r="DW92">
        <f>IF(ISBLANK('Data Entry'!$¿$92), "", 'Data Entry'!$¿$92)</f>
      </c>
      <c r="DX92">
        <f>IF(ISBLANK('Data Entry'!$À$92), "", 'Data Entry'!$À$92)</f>
      </c>
      <c r="DY92">
        <f>IF(ISBLANK('Data Entry'!$Á$92), "", 'Data Entry'!$Á$92)</f>
      </c>
      <c r="DZ92">
        <f>IF(ISBLANK('Data Entry'!$Â$92), "", 'Data Entry'!$Â$92)</f>
      </c>
      <c r="EA92">
        <f>IF(ISBLANK('Data Entry'!$Ã$92), "", 'Data Entry'!$Ã$92)</f>
      </c>
      <c r="EB92">
        <f>IF(ISBLANK('Data Entry'!$Ä$92), "", 'Data Entry'!$Ä$92)</f>
      </c>
      <c r="EC92">
        <f>IF(ISBLANK('Data Entry'!$Å$92), "", 'Data Entry'!$Å$92)</f>
      </c>
      <c r="ED92">
        <f>IF(ISBLANK('Data Entry'!$Æ$92), "", 'Data Entry'!$Æ$92)</f>
      </c>
      <c r="EE92">
        <f>IF(ISBLANK('Data Entry'!$Ç$92), "", 'Data Entry'!$Ç$92)</f>
      </c>
      <c r="EF92">
        <f>IF(ISBLANK('Data Entry'!$È$92), "", 'Data Entry'!$È$92)</f>
      </c>
      <c r="EG92">
        <f>IF(ISBLANK('Data Entry'!$É$92), "", 'Data Entry'!$É$92)</f>
      </c>
      <c r="EH92">
        <f>IF(ISBLANK('Data Entry'!$Ê$92), "", 'Data Entry'!$Ê$92)</f>
      </c>
      <c r="EI92">
        <f>IF(ISBLANK('Data Entry'!$Ë$92), "", 'Data Entry'!$Ë$92)</f>
      </c>
      <c r="EJ92">
        <f>IF(ISBLANK('Data Entry'!$Ì$92), "", 'Data Entry'!$Ì$92)</f>
      </c>
      <c r="EK92">
        <f>IF(ISBLANK('Data Entry'!$Í$92), "", 'Data Entry'!$Í$92)</f>
      </c>
      <c r="EL92">
        <f>IF(ISBLANK('Data Entry'!$Î$92), "", 'Data Entry'!$Î$92)</f>
      </c>
      <c r="EM92">
        <f>IF(ISBLANK('Data Entry'!$Ï$92), "", 'Data Entry'!$Ï$92)</f>
      </c>
      <c r="EN92">
        <f>IF(ISBLANK('Data Entry'!$Ð$92), "", 'Data Entry'!$Ð$92)</f>
      </c>
      <c r="EO92">
        <f>IF(ISBLANK('Data Entry'!$Ñ$92), "", 'Data Entry'!$Ñ$92)</f>
      </c>
      <c r="EP92">
        <f>IF(ISBLANK('Data Entry'!$Ò$92), "", 'Data Entry'!$Ò$92)</f>
      </c>
      <c r="EQ92">
        <f>IF(ISBLANK('Data Entry'!$Ó$92), "", 'Data Entry'!$Ó$92)</f>
      </c>
      <c r="ER92">
        <f>IF(ISBLANK('Data Entry'!$Ô$92), "", 'Data Entry'!$Ô$92)</f>
      </c>
      <c r="ES92">
        <f>IF(ISBLANK('Data Entry'!$Õ$92), "", 'Data Entry'!$Õ$92)</f>
      </c>
      <c r="ET92">
        <f>IF(ISBLANK('Data Entry'!$Ö$92), "", 'Data Entry'!$Ö$92)</f>
      </c>
      <c r="EU92">
        <f>IF(ISBLANK('Data Entry'!$×$92), "", 'Data Entry'!$×$92)</f>
      </c>
      <c r="EV92">
        <f>IF(ISBLANK('Data Entry'!$Ø$92), "", 'Data Entry'!$Ø$92)</f>
      </c>
      <c r="EW92">
        <f>IF(ISBLANK('Data Entry'!$Ù$92), "", 'Data Entry'!$Ù$92)</f>
      </c>
      <c r="EX92">
        <f>IF(ISBLANK('Data Entry'!$Ú$92), "", 'Data Entry'!$Ú$92)</f>
      </c>
      <c r="EY92">
        <f>IF(ISBLANK('Data Entry'!$Û$92), "", 'Data Entry'!$Û$92)</f>
      </c>
      <c r="EZ92">
        <f>IF(ISBLANK('Data Entry'!$Ü$92), "", 'Data Entry'!$Ü$92)</f>
      </c>
      <c r="FA92">
        <f>IF(ISBLANK('Data Entry'!$Ý$92), "", 'Data Entry'!$Ý$92)</f>
      </c>
      <c r="FB92">
        <f>IF(ISBLANK('Data Entry'!$Þ$92), "", 'Data Entry'!$Þ$92)</f>
      </c>
      <c r="FC92">
        <f>IF(ISBLANK('Data Entry'!$ß$92), "", 'Data Entry'!$ß$92)</f>
      </c>
      <c r="FD92">
        <f>IF(ISBLANK('Data Entry'!$à$92), "", 'Data Entry'!$à$92)</f>
      </c>
      <c r="FE92">
        <f>IF(ISBLANK('Data Entry'!$á$92), "", 'Data Entry'!$á$92)</f>
      </c>
      <c r="FF92">
        <f>IF(ISBLANK('Data Entry'!$â$92), "", 'Data Entry'!$â$92)</f>
      </c>
      <c r="FG92">
        <f>IF(ISBLANK('Data Entry'!$ã$92), "", 'Data Entry'!$ã$92)</f>
      </c>
      <c r="FH92">
        <f>IF(ISBLANK('Data Entry'!$ä$92), "", 'Data Entry'!$ä$92)</f>
      </c>
      <c r="FI92">
        <f>IF(ISBLANK('Data Entry'!$å$92), "", 'Data Entry'!$å$92)</f>
      </c>
      <c r="FJ92">
        <f>IF(ISBLANK('Data Entry'!$æ$92), "", 'Data Entry'!$æ$92)</f>
      </c>
      <c r="FK92">
        <f>IF(ISBLANK('Data Entry'!$ç$92), "", 'Data Entry'!$ç$92)</f>
      </c>
      <c r="FL92">
        <f>IF(ISBLANK('Data Entry'!$è$92), "", 'Data Entry'!$è$92)</f>
      </c>
      <c r="FM92">
        <f>IF(ISBLANK('Data Entry'!$é$92), "", 'Data Entry'!$é$92)</f>
      </c>
      <c r="FN92">
        <f>IF(ISBLANK('Data Entry'!$ê$92), "", 'Data Entry'!$ê$92)</f>
      </c>
      <c r="FO92">
        <f>IF(ISBLANK('Data Entry'!$ë$92), "", 'Data Entry'!$ë$92)</f>
      </c>
      <c r="FP92">
        <f>IF(ISBLANK('Data Entry'!$ì$92), "", 'Data Entry'!$ì$92)</f>
      </c>
      <c r="FQ92">
        <f>IF(ISBLANK('Data Entry'!$í$92), "", 'Data Entry'!$í$92)</f>
      </c>
      <c r="FR92">
        <f>IF(ISBLANK('Data Entry'!$î$92), "", 'Data Entry'!$î$92)</f>
      </c>
      <c r="FS92">
        <f>IF(ISBLANK('Data Entry'!$ï$92), "", 'Data Entry'!$ï$92)</f>
      </c>
      <c r="FT92">
        <f>IF(ISBLANK('Data Entry'!$ð$92), "", 'Data Entry'!$ð$92)</f>
      </c>
      <c r="FU92">
        <f>IF(ISBLANK('Data Entry'!$ñ$92), "", 'Data Entry'!$ñ$92)</f>
      </c>
      <c r="FV92">
        <f>IF(ISBLANK('Data Entry'!$ò$92), "", 'Data Entry'!$ò$92)</f>
      </c>
      <c r="FW92">
        <f>IF(ISBLANK('Data Entry'!$ó$92), "", 'Data Entry'!$ó$92)</f>
      </c>
      <c r="FX92">
        <f>IF(ISBLANK('Data Entry'!$ô$92), "", 'Data Entry'!$ô$92)</f>
      </c>
      <c r="FY92">
        <f>IF(ISBLANK('Data Entry'!$õ$92), "", 'Data Entry'!$õ$92)</f>
      </c>
      <c r="FZ92">
        <f>IF(ISBLANK('Data Entry'!$ö$92), "", 'Data Entry'!$ö$92)</f>
      </c>
      <c r="GA92">
        <f>IF(ISBLANK('Data Entry'!$÷$92), "", 'Data Entry'!$÷$92)</f>
      </c>
      <c r="GB92">
        <f>IF(ISBLANK('Data Entry'!$ø$92), "", 'Data Entry'!$ø$92)</f>
      </c>
      <c r="GC92">
        <f>IF(ISBLANK('Data Entry'!$ù$92), "", 'Data Entry'!$ù$92)</f>
      </c>
      <c r="GD92">
        <f>IF(ISBLANK('Data Entry'!$ú$92), "", 'Data Entry'!$ú$92)</f>
      </c>
      <c r="GE92">
        <f>IF(ISBLANK('Data Entry'!$û$92), "", 'Data Entry'!$û$92)</f>
      </c>
      <c r="GF92">
        <f>IF(ISBLANK('Data Entry'!$ü$92), "", 'Data Entry'!$ü$92)</f>
      </c>
      <c r="GG92">
        <f>IF(ISBLANK('Data Entry'!$ý$92), "", 'Data Entry'!$ý$92)</f>
      </c>
      <c r="GH92">
        <f>IF(ISBLANK('Data Entry'!$þ$92), "", 'Data Entry'!$þ$92)</f>
      </c>
      <c r="GI92">
        <f>IF(ISBLANK('Data Entry'!$ÿ$92), "", 'Data Entry'!$ÿ$92)</f>
      </c>
      <c r="GJ92">
        <f>IF(ISBLANK('Data Entry'!$Ā$92), "", 'Data Entry'!$Ā$92)</f>
      </c>
      <c r="GK92">
        <f>IF(ISBLANK('Data Entry'!$ā$92), "", 'Data Entry'!$ā$92)</f>
      </c>
      <c r="GL92">
        <f>IF(ISBLANK('Data Entry'!$Ă$92), "", 'Data Entry'!$Ă$92)</f>
      </c>
      <c r="GM92">
        <f>IF(ISBLANK('Data Entry'!$ă$92), "", 'Data Entry'!$ă$92)</f>
      </c>
      <c r="GN92">
        <f>IF(ISBLANK('Data Entry'!$Ą$92), "", 'Data Entry'!$Ą$92)</f>
      </c>
      <c r="GO92">
        <f>IF(ISBLANK('Data Entry'!$ą$92), "", 'Data Entry'!$ą$92)</f>
      </c>
      <c r="GP92">
        <f>IF(ISBLANK('Data Entry'!$Ć$92), "", 'Data Entry'!$Ć$92)</f>
      </c>
      <c r="GQ92">
        <f>IF(ISBLANK('Data Entry'!$ć$92), "", 'Data Entry'!$ć$92)</f>
      </c>
      <c r="GR92">
        <f>IF(ISBLANK('Data Entry'!$Ĉ$92), "", 'Data Entry'!$Ĉ$92)</f>
      </c>
      <c r="GS92">
        <f>IF(ISBLANK('Data Entry'!$ĉ$92), "", 'Data Entry'!$ĉ$92)</f>
      </c>
      <c r="GT92">
        <f>IF(ISBLANK('Data Entry'!$Ċ$92), "", 'Data Entry'!$Ċ$92)</f>
      </c>
      <c r="GU92">
        <f>IF(ISBLANK('Data Entry'!$ċ$92), "", 'Data Entry'!$ċ$92)</f>
      </c>
      <c r="GV92">
        <f>IF(ISBLANK('Data Entry'!$Č$92), "", 'Data Entry'!$Č$92)</f>
      </c>
      <c r="GW92">
        <f>IF(ISBLANK('Data Entry'!$č$92), "", 'Data Entry'!$č$92)</f>
      </c>
      <c r="GX92">
        <f>IF(ISBLANK('Data Entry'!$Ď$92), "", 'Data Entry'!$Ď$92)</f>
      </c>
      <c r="GY92">
        <f>IF(ISBLANK('Data Entry'!$ď$92), "", 'Data Entry'!$ď$92)</f>
      </c>
      <c r="GZ92">
        <f>IF(ISBLANK('Data Entry'!$Đ$92), "", 'Data Entry'!$Đ$92)</f>
      </c>
      <c r="HA92">
        <f>IF(ISBLANK('Data Entry'!$đ$92), "", 'Data Entry'!$đ$92)</f>
      </c>
      <c r="HB92">
        <f>IF(ISBLANK('Data Entry'!$Ē$92), "", 'Data Entry'!$Ē$92)</f>
      </c>
      <c r="HC92">
        <f>IF(ISBLANK('Data Entry'!$ē$92), "", 'Data Entry'!$ē$92)</f>
      </c>
      <c r="HD92">
        <f>IF(ISBLANK('Data Entry'!$Ĕ$92), "", 'Data Entry'!$Ĕ$92)</f>
      </c>
      <c r="HE92">
        <f>IF(ISBLANK('Data Entry'!$ĕ$92), "", 'Data Entry'!$ĕ$92)</f>
      </c>
      <c r="HF92">
        <f>IF(ISBLANK('Data Entry'!$Ė$92), "", 'Data Entry'!$Ė$92)</f>
      </c>
      <c r="HG92">
        <f>IF(ISBLANK('Data Entry'!$ė$92), "", 'Data Entry'!$ė$92)</f>
      </c>
      <c r="HH92">
        <f>IF(ISBLANK('Data Entry'!$Ę$92), "", 'Data Entry'!$Ę$92)</f>
      </c>
      <c r="HI92">
        <f>IF(ISBLANK('Data Entry'!$ę$92), "", 'Data Entry'!$ę$92)</f>
      </c>
      <c r="HJ92">
        <f>IF(ISBLANK('Data Entry'!$Ě$92), "", 'Data Entry'!$Ě$92)</f>
      </c>
      <c r="HK92">
        <f>IF(ISBLANK('Data Entry'!$ě$92), "", 'Data Entry'!$ě$92)</f>
      </c>
      <c r="HL92">
        <f>IF(ISBLANK('Data Entry'!$Ĝ$92), "", 'Data Entry'!$Ĝ$92)</f>
      </c>
      <c r="HM92">
        <f>IF(ISBLANK('Data Entry'!$ĝ$92), "", 'Data Entry'!$ĝ$92)</f>
      </c>
      <c r="HN92">
        <f>IF(ISBLANK('Data Entry'!$Ğ$92), "", 'Data Entry'!$Ğ$92)</f>
      </c>
      <c r="HO92">
        <f>IF(ISBLANK('Data Entry'!$ğ$92), "", 'Data Entry'!$ğ$92)</f>
      </c>
      <c r="HP92">
        <f>IF(ISBLANK('Data Entry'!$Ġ$92), "", 'Data Entry'!$Ġ$92)</f>
      </c>
      <c r="HQ92">
        <f>IF(ISBLANK('Data Entry'!$ġ$92), "", 'Data Entry'!$ġ$92)</f>
      </c>
      <c r="HR92">
        <f>IF(ISBLANK('Data Entry'!$Ģ$92), "", 'Data Entry'!$Ģ$92)</f>
      </c>
      <c r="HS92">
        <f>IF(ISBLANK('Data Entry'!$ģ$92), "", 'Data Entry'!$ģ$92)</f>
      </c>
      <c r="HT92">
        <f>IF(ISBLANK('Data Entry'!$Ĥ$92), "", 'Data Entry'!$Ĥ$92)</f>
      </c>
      <c r="HU92">
        <f>IF(ISBLANK('Data Entry'!$ĥ$92), "", 'Data Entry'!$ĥ$92)</f>
      </c>
      <c r="HV92">
        <f>IF(ISBLANK('Data Entry'!$Ħ$92), "", 'Data Entry'!$Ħ$92)</f>
      </c>
      <c r="HW92">
        <f>IF(ISBLANK('Data Entry'!$ħ$92), "", 'Data Entry'!$ħ$92)</f>
      </c>
      <c r="HX92">
        <f>IF(ISBLANK('Data Entry'!$Ĩ$92), "", 'Data Entry'!$Ĩ$92)</f>
      </c>
      <c r="HY92">
        <f>IF(ISBLANK('Data Entry'!$ĩ$92), "", 'Data Entry'!$ĩ$92)</f>
      </c>
      <c r="HZ92">
        <f>IF(ISBLANK('Data Entry'!$Ī$92), "", 'Data Entry'!$Ī$92)</f>
      </c>
      <c r="IA92">
        <f>IF(ISBLANK('Data Entry'!$ī$92), "", 'Data Entry'!$ī$92)</f>
      </c>
      <c r="IB92">
        <f>IF(ISBLANK('Data Entry'!$Ĭ$92), "", 'Data Entry'!$Ĭ$92)</f>
      </c>
      <c r="IC92">
        <f>IF(ISBLANK('Data Entry'!$ĭ$92), "", 'Data Entry'!$ĭ$92)</f>
      </c>
      <c r="ID92">
        <f>IF(ISBLANK('Data Entry'!$Į$92), "", 'Data Entry'!$Į$92)</f>
      </c>
      <c r="IE92">
        <f>IF(ISBLANK('Data Entry'!$į$92), "", 'Data Entry'!$į$92)</f>
      </c>
      <c r="IF92">
        <f>IF(ISBLANK('Data Entry'!$İ$92), "", 'Data Entry'!$İ$92)</f>
      </c>
      <c r="IG92">
        <f>IF(ISBLANK('Data Entry'!$ı$92), "", 'Data Entry'!$ı$92)</f>
      </c>
      <c r="IH92">
        <f>IF(ISBLANK('Data Entry'!$Ĳ$92), "", 'Data Entry'!$Ĳ$92)</f>
      </c>
      <c r="II92">
        <f>IF(ISBLANK('Data Entry'!$ĳ$92), "", 'Data Entry'!$ĳ$92)</f>
      </c>
      <c r="IJ92">
        <f>IF(ISBLANK('Data Entry'!$Ĵ$92), "", 'Data Entry'!$Ĵ$92)</f>
      </c>
      <c r="IK92">
        <f>IF(ISBLANK('Data Entry'!$ĵ$92), "", 'Data Entry'!$ĵ$92)</f>
      </c>
      <c r="IL92">
        <f>IF(ISBLANK('Data Entry'!$Ķ$92), "", 'Data Entry'!$Ķ$92)</f>
      </c>
      <c r="IM92">
        <f>IF(ISBLANK('Data Entry'!$ķ$92), "", 'Data Entry'!$ķ$92)</f>
      </c>
      <c r="IN92">
        <f>IF(ISBLANK('Data Entry'!$ĸ$92), "", 'Data Entry'!$ĸ$92)</f>
      </c>
      <c r="IO92">
        <f>IF(ISBLANK('Data Entry'!$Ĺ$92), "", 'Data Entry'!$Ĺ$92)</f>
      </c>
      <c r="IP92">
        <f>IF(ISBLANK('Data Entry'!$ĺ$92), "", 'Data Entry'!$ĺ$92)</f>
      </c>
      <c r="IQ92">
        <f>IF(ISBLANK('Data Entry'!$Ļ$92), "", 'Data Entry'!$Ļ$92)</f>
      </c>
      <c r="IR92">
        <f>IF(ISBLANK('Data Entry'!$ļ$92), "", 'Data Entry'!$ļ$92)</f>
      </c>
      <c r="IS92">
        <f>IF(ISBLANK('Data Entry'!$Ľ$92), "", 'Data Entry'!$Ľ$92)</f>
      </c>
      <c r="IT92">
        <f>IF(ISBLANK('Data Entry'!$ľ$92), "", 'Data Entry'!$ľ$92)</f>
      </c>
    </row>
    <row r="93" spans="1:254" x14ac:dyDescent="0.25">
      <c r="A93">
        <f>IF(ISBLANK('Data Entry'!$A$93), "", 'Data Entry'!$A$93)</f>
      </c>
      <c r="B93">
        <f>IF(ISBLANK('Data Entry'!$B$93), "", 'Data Entry'!$B$93)</f>
      </c>
      <c r="C93">
        <f>IF(ISBLANK('Data Entry'!$C$93), "", 'Data Entry'!$C$93)</f>
      </c>
      <c r="D93">
        <f>IF(ISBLANK('Data Entry'!$D$93), "", 'Data Entry'!$D$93)</f>
      </c>
      <c r="E93">
        <f>IF(ISBLANK('Data Entry'!$E$93), "", 'Data Entry'!$E$93)</f>
      </c>
      <c r="F93">
        <f>IF(ISBLANK('Data Entry'!$F$93), "", 'Data Entry'!$F$93)</f>
      </c>
      <c r="G93">
        <f>IF(ISBLANK('Data Entry'!$G$93), "", 'Data Entry'!$G$93)</f>
      </c>
      <c r="H93">
        <f>IF(ISBLANK('Data Entry'!$H$93), "", 'Data Entry'!$H$93)</f>
      </c>
      <c r="I93">
        <f>IF(ISBLANK('Data Entry'!$I$93), "", 'Data Entry'!$I$93)</f>
      </c>
      <c r="J93">
        <f>IF(ISBLANK('Data Entry'!$J$93), "", 'Data Entry'!$J$93)</f>
      </c>
      <c r="K93">
        <f>IF(ISBLANK('Data Entry'!$K$93), "", 'Data Entry'!$K$93)</f>
      </c>
      <c r="L93">
        <f>IF(ISBLANK('Data Entry'!$L$93), "", 'Data Entry'!$L$93)</f>
      </c>
      <c r="M93">
        <f>IF(ISBLANK('Data Entry'!$M$93), "", 'Data Entry'!$M$93)</f>
      </c>
      <c r="N93">
        <f>IF(ISBLANK('Data Entry'!$N$93), "", 'Data Entry'!$N$93)</f>
      </c>
      <c r="O93">
        <f>IF(ISBLANK('Data Entry'!$O$93), "", 'Data Entry'!$O$93)</f>
      </c>
      <c r="P93">
        <f>IF(ISBLANK('Data Entry'!$P$93), "", 'Data Entry'!$P$93)</f>
      </c>
      <c r="Q93">
        <f>IF(ISBLANK('Data Entry'!$Q$93), "", 'Data Entry'!$Q$93)</f>
      </c>
      <c r="R93">
        <f>IF(ISBLANK('Data Entry'!$R$93), "", 'Data Entry'!$R$93)</f>
      </c>
      <c r="S93">
        <f>IF(ISBLANK('Data Entry'!$S$93), "", 'Data Entry'!$S$93)</f>
      </c>
      <c r="T93">
        <f>IF(ISBLANK('Data Entry'!$T$93), "", 'Data Entry'!$T$93)</f>
      </c>
      <c r="U93">
        <f>IF(ISBLANK('Data Entry'!$U$93), "", 'Data Entry'!$U$93)</f>
      </c>
      <c r="V93">
        <f>IF(ISBLANK('Data Entry'!$V$93), "", 'Data Entry'!$V$93)</f>
      </c>
      <c r="W93">
        <f>IF(ISBLANK('Data Entry'!$W$93), "", 'Data Entry'!$W$93)</f>
      </c>
      <c r="X93">
        <f>IF(ISBLANK('Data Entry'!$X$93), "", 'Data Entry'!$X$93)</f>
      </c>
      <c r="Y93">
        <f>IF(ISBLANK('Data Entry'!$Y$93), "", 'Data Entry'!$Y$93)</f>
      </c>
      <c r="Z93">
        <f>IF(ISBLANK('Data Entry'!$Z$93), "", 'Data Entry'!$Z$93)</f>
      </c>
      <c r="AA93">
        <f>IF(ISBLANK('Data Entry'!$[$93), "", 'Data Entry'!$[$93)</f>
      </c>
      <c r="AB93">
        <f>IF(ISBLANK('Data Entry'!$\$93), "", 'Data Entry'!$\$93)</f>
      </c>
      <c r="AC93">
        <f>IF(ISBLANK('Data Entry'!$]$93), "", 'Data Entry'!$]$93)</f>
      </c>
      <c r="AD93">
        <f>IF(ISBLANK('Data Entry'!$^$93), "", 'Data Entry'!$^$93)</f>
      </c>
      <c r="AE93">
        <f>IF(ISBLANK('Data Entry'!$_$93), "", 'Data Entry'!$_$93)</f>
      </c>
      <c r="AF93">
        <f>IF(ISBLANK('Data Entry'!$`$93), "", 'Data Entry'!$`$93)</f>
      </c>
      <c r="AG93">
        <f>IF(ISBLANK('Data Entry'!$a$93), "", 'Data Entry'!$a$93)</f>
      </c>
      <c r="AH93">
        <f>IF(ISBLANK('Data Entry'!$b$93), "", 'Data Entry'!$b$93)</f>
      </c>
      <c r="AI93">
        <f>IF(ISBLANK('Data Entry'!$c$93), "", 'Data Entry'!$c$93)</f>
      </c>
      <c r="AJ93">
        <f>IF(ISBLANK('Data Entry'!$d$93), "", 'Data Entry'!$d$93)</f>
      </c>
      <c r="AK93">
        <f>IF(ISBLANK('Data Entry'!$e$93), "", 'Data Entry'!$e$93)</f>
      </c>
      <c r="AL93">
        <f>IF(ISBLANK('Data Entry'!$f$93), "", 'Data Entry'!$f$93)</f>
      </c>
      <c r="AM93">
        <f>IF(ISBLANK('Data Entry'!$g$93), "", 'Data Entry'!$g$93)</f>
      </c>
      <c r="AN93">
        <f>IF(ISBLANK('Data Entry'!$h$93), "", 'Data Entry'!$h$93)</f>
      </c>
      <c r="AO93">
        <f>IF(ISBLANK('Data Entry'!$i$93), "", 'Data Entry'!$i$93)</f>
      </c>
      <c r="AP93">
        <f>IF(ISBLANK('Data Entry'!$j$93), "", 'Data Entry'!$j$93)</f>
      </c>
      <c r="AQ93">
        <f>IF(ISBLANK('Data Entry'!$k$93), "", 'Data Entry'!$k$93)</f>
      </c>
      <c r="AR93">
        <f>IF(ISBLANK('Data Entry'!$l$93), "", 'Data Entry'!$l$93)</f>
      </c>
      <c r="AS93">
        <f>IF(ISBLANK('Data Entry'!$m$93), "", 'Data Entry'!$m$93)</f>
      </c>
      <c r="AT93">
        <f>IF(ISBLANK('Data Entry'!$n$93), "", 'Data Entry'!$n$93)</f>
      </c>
      <c r="AU93">
        <f>IF(ISBLANK('Data Entry'!$o$93), "", 'Data Entry'!$o$93)</f>
      </c>
      <c r="AV93">
        <f>IF(ISBLANK('Data Entry'!$p$93), "", 'Data Entry'!$p$93)</f>
      </c>
      <c r="AW93">
        <f>IF(ISBLANK('Data Entry'!$q$93), "", 'Data Entry'!$q$93)</f>
      </c>
      <c r="AX93">
        <f>IF(ISBLANK('Data Entry'!$r$93), "", 'Data Entry'!$r$93)</f>
      </c>
      <c r="AY93">
        <f>IF(ISBLANK('Data Entry'!$s$93), "", 'Data Entry'!$s$93)</f>
      </c>
      <c r="AZ93">
        <f>IF(ISBLANK('Data Entry'!$t$93), "", 'Data Entry'!$t$93)</f>
      </c>
      <c r="BA93">
        <f>IF(ISBLANK('Data Entry'!$u$93), "", 'Data Entry'!$u$93)</f>
      </c>
      <c r="BB93">
        <f>IF(ISBLANK('Data Entry'!$v$93), "", 'Data Entry'!$v$93)</f>
      </c>
      <c r="BC93">
        <f>IF(ISBLANK('Data Entry'!$w$93), "", 'Data Entry'!$w$93)</f>
      </c>
      <c r="BD93">
        <f>IF(ISBLANK('Data Entry'!$x$93), "", 'Data Entry'!$x$93)</f>
      </c>
      <c r="BE93">
        <f>IF(ISBLANK('Data Entry'!$y$93), "", 'Data Entry'!$y$93)</f>
      </c>
      <c r="BF93">
        <f>IF(ISBLANK('Data Entry'!$z$93), "", 'Data Entry'!$z$93)</f>
      </c>
      <c r="BG93">
        <f>IF(ISBLANK('Data Entry'!${$93), "", 'Data Entry'!${$93)</f>
      </c>
      <c r="BH93">
        <f>IF(ISBLANK('Data Entry'!$|$93), "", 'Data Entry'!$|$93)</f>
      </c>
      <c r="BI93">
        <f>IF(ISBLANK('Data Entry'!$}$93), "", 'Data Entry'!$}$93)</f>
      </c>
      <c r="BJ93">
        <f>IF(ISBLANK('Data Entry'!$~$93), "", 'Data Entry'!$~$93)</f>
      </c>
      <c r="BK93">
        <f>IF(ISBLANK('Data Entry'!$$93), "", 'Data Entry'!$$93)</f>
      </c>
      <c r="BL93">
        <f>IF(ISBLANK('Data Entry'!$$93), "", 'Data Entry'!$$93)</f>
      </c>
      <c r="BM93">
        <f>IF(ISBLANK('Data Entry'!$$93), "", 'Data Entry'!$$93)</f>
      </c>
      <c r="BN93">
        <f>IF(ISBLANK('Data Entry'!$$93), "", 'Data Entry'!$$93)</f>
      </c>
      <c r="BO93">
        <f>IF(ISBLANK('Data Entry'!$$93), "", 'Data Entry'!$$93)</f>
      </c>
      <c r="BP93">
        <f>IF(ISBLANK('Data Entry'!$$93), "", 'Data Entry'!$$93)</f>
      </c>
      <c r="BQ93">
        <f>IF(ISBLANK('Data Entry'!$$93), "", 'Data Entry'!$$93)</f>
      </c>
      <c r="BR93">
        <f>IF(ISBLANK('Data Entry'!$$93), "", 'Data Entry'!$$93)</f>
      </c>
      <c r="BS93">
        <f>IF(ISBLANK('Data Entry'!$$93), "", 'Data Entry'!$$93)</f>
      </c>
      <c r="BT93">
        <f>IF(ISBLANK('Data Entry'!$$93), "", 'Data Entry'!$$93)</f>
      </c>
      <c r="BU93">
        <f>IF(ISBLANK('Data Entry'!$$93), "", 'Data Entry'!$$93)</f>
      </c>
      <c r="BV93">
        <f>IF(ISBLANK('Data Entry'!$$93), "", 'Data Entry'!$$93)</f>
      </c>
      <c r="BW93">
        <f>IF(ISBLANK('Data Entry'!$$93), "", 'Data Entry'!$$93)</f>
      </c>
      <c r="BX93">
        <f>IF(ISBLANK('Data Entry'!$$93), "", 'Data Entry'!$$93)</f>
      </c>
      <c r="BY93">
        <f>IF(ISBLANK('Data Entry'!$$93), "", 'Data Entry'!$$93)</f>
      </c>
      <c r="BZ93">
        <f>IF(ISBLANK('Data Entry'!$$93), "", 'Data Entry'!$$93)</f>
      </c>
      <c r="CA93">
        <f>IF(ISBLANK('Data Entry'!$$93), "", 'Data Entry'!$$93)</f>
      </c>
      <c r="CB93">
        <f>IF(ISBLANK('Data Entry'!$$93), "", 'Data Entry'!$$93)</f>
      </c>
      <c r="CC93">
        <f>IF(ISBLANK('Data Entry'!$$93), "", 'Data Entry'!$$93)</f>
      </c>
      <c r="CD93">
        <f>IF(ISBLANK('Data Entry'!$$93), "", 'Data Entry'!$$93)</f>
      </c>
      <c r="CE93">
        <f>IF(ISBLANK('Data Entry'!$$93), "", 'Data Entry'!$$93)</f>
      </c>
      <c r="CF93">
        <f>IF(ISBLANK('Data Entry'!$$93), "", 'Data Entry'!$$93)</f>
      </c>
      <c r="CG93">
        <f>IF(ISBLANK('Data Entry'!$$93), "", 'Data Entry'!$$93)</f>
      </c>
      <c r="CH93">
        <f>IF(ISBLANK('Data Entry'!$$93), "", 'Data Entry'!$$93)</f>
      </c>
      <c r="CI93">
        <f>IF(ISBLANK('Data Entry'!$$93), "", 'Data Entry'!$$93)</f>
      </c>
      <c r="CJ93">
        <f>IF(ISBLANK('Data Entry'!$$93), "", 'Data Entry'!$$93)</f>
      </c>
      <c r="CK93">
        <f>IF(ISBLANK('Data Entry'!$$93), "", 'Data Entry'!$$93)</f>
      </c>
      <c r="CL93">
        <f>IF(ISBLANK('Data Entry'!$$93), "", 'Data Entry'!$$93)</f>
      </c>
      <c r="CM93">
        <f>IF(ISBLANK('Data Entry'!$$93), "", 'Data Entry'!$$93)</f>
      </c>
      <c r="CN93">
        <f>IF(ISBLANK('Data Entry'!$$93), "", 'Data Entry'!$$93)</f>
      </c>
      <c r="CO93">
        <f>IF(ISBLANK('Data Entry'!$$93), "", 'Data Entry'!$$93)</f>
      </c>
      <c r="CP93">
        <f>IF(ISBLANK('Data Entry'!$$93), "", 'Data Entry'!$$93)</f>
      </c>
      <c r="CQ93">
        <f>IF(ISBLANK('Data Entry'!$$93), "", 'Data Entry'!$$93)</f>
      </c>
      <c r="CR93">
        <f>IF(ISBLANK('Data Entry'!$ $93), "", 'Data Entry'!$ $93)</f>
      </c>
      <c r="CS93">
        <f>IF(ISBLANK('Data Entry'!$¡$93), "", 'Data Entry'!$¡$93)</f>
      </c>
      <c r="CT93">
        <f>IF(ISBLANK('Data Entry'!$¢$93), "", 'Data Entry'!$¢$93)</f>
      </c>
      <c r="CU93">
        <f>IF(ISBLANK('Data Entry'!$£$93), "", 'Data Entry'!$£$93)</f>
      </c>
      <c r="CV93">
        <f>IF(ISBLANK('Data Entry'!$¤$93), "", 'Data Entry'!$¤$93)</f>
      </c>
      <c r="CW93">
        <f>IF(ISBLANK('Data Entry'!$¥$93), "", 'Data Entry'!$¥$93)</f>
      </c>
      <c r="CX93">
        <f>IF(ISBLANK('Data Entry'!$¦$93), "", 'Data Entry'!$¦$93)</f>
      </c>
      <c r="CY93">
        <f>IF(ISBLANK('Data Entry'!$§$93), "", 'Data Entry'!$§$93)</f>
      </c>
      <c r="CZ93">
        <f>IF(ISBLANK('Data Entry'!$¨$93), "", 'Data Entry'!$¨$93)</f>
      </c>
      <c r="DA93">
        <f>IF(ISBLANK('Data Entry'!$©$93), "", 'Data Entry'!$©$93)</f>
      </c>
      <c r="DB93">
        <f>IF(ISBLANK('Data Entry'!$ª$93), "", 'Data Entry'!$ª$93)</f>
      </c>
      <c r="DC93">
        <f>IF(ISBLANK('Data Entry'!$«$93), "", 'Data Entry'!$«$93)</f>
      </c>
      <c r="DD93">
        <f>IF(ISBLANK('Data Entry'!$¬$93), "", 'Data Entry'!$¬$93)</f>
      </c>
      <c r="DE93">
        <f>IF(ISBLANK('Data Entry'!$­$93), "", 'Data Entry'!$­$93)</f>
      </c>
      <c r="DF93">
        <f>IF(ISBLANK('Data Entry'!$®$93), "", 'Data Entry'!$®$93)</f>
      </c>
      <c r="DG93">
        <f>IF(ISBLANK('Data Entry'!$¯$93), "", 'Data Entry'!$¯$93)</f>
      </c>
      <c r="DH93">
        <f>IF(ISBLANK('Data Entry'!$°$93), "", 'Data Entry'!$°$93)</f>
      </c>
      <c r="DI93">
        <f>IF(ISBLANK('Data Entry'!$±$93), "", 'Data Entry'!$±$93)</f>
      </c>
      <c r="DJ93">
        <f>IF(ISBLANK('Data Entry'!$²$93), "", 'Data Entry'!$²$93)</f>
      </c>
      <c r="DK93">
        <f>IF(ISBLANK('Data Entry'!$³$93), "", 'Data Entry'!$³$93)</f>
      </c>
      <c r="DL93">
        <f>IF(ISBLANK('Data Entry'!$´$93), "", 'Data Entry'!$´$93)</f>
      </c>
      <c r="DM93">
        <f>IF(ISBLANK('Data Entry'!$µ$93), "", 'Data Entry'!$µ$93)</f>
      </c>
      <c r="DN93">
        <f>IF(ISBLANK('Data Entry'!$¶$93), "", 'Data Entry'!$¶$93)</f>
      </c>
      <c r="DO93">
        <f>IF(ISBLANK('Data Entry'!$·$93), "", 'Data Entry'!$·$93)</f>
      </c>
      <c r="DP93">
        <f>IF(ISBLANK('Data Entry'!$¸$93), "", 'Data Entry'!$¸$93)</f>
      </c>
      <c r="DQ93">
        <f>IF(ISBLANK('Data Entry'!$¹$93), "", 'Data Entry'!$¹$93)</f>
      </c>
      <c r="DR93">
        <f>IF(ISBLANK('Data Entry'!$º$93), "", 'Data Entry'!$º$93)</f>
      </c>
      <c r="DS93">
        <f>IF(ISBLANK('Data Entry'!$»$93), "", 'Data Entry'!$»$93)</f>
      </c>
      <c r="DT93">
        <f>IF(ISBLANK('Data Entry'!$¼$93), "", 'Data Entry'!$¼$93)</f>
      </c>
      <c r="DU93">
        <f>IF(ISBLANK('Data Entry'!$½$93), "", 'Data Entry'!$½$93)</f>
      </c>
      <c r="DV93">
        <f>IF(ISBLANK('Data Entry'!$¾$93), "", 'Data Entry'!$¾$93)</f>
      </c>
      <c r="DW93">
        <f>IF(ISBLANK('Data Entry'!$¿$93), "", 'Data Entry'!$¿$93)</f>
      </c>
      <c r="DX93">
        <f>IF(ISBLANK('Data Entry'!$À$93), "", 'Data Entry'!$À$93)</f>
      </c>
      <c r="DY93">
        <f>IF(ISBLANK('Data Entry'!$Á$93), "", 'Data Entry'!$Á$93)</f>
      </c>
      <c r="DZ93">
        <f>IF(ISBLANK('Data Entry'!$Â$93), "", 'Data Entry'!$Â$93)</f>
      </c>
      <c r="EA93">
        <f>IF(ISBLANK('Data Entry'!$Ã$93), "", 'Data Entry'!$Ã$93)</f>
      </c>
      <c r="EB93">
        <f>IF(ISBLANK('Data Entry'!$Ä$93), "", 'Data Entry'!$Ä$93)</f>
      </c>
      <c r="EC93">
        <f>IF(ISBLANK('Data Entry'!$Å$93), "", 'Data Entry'!$Å$93)</f>
      </c>
      <c r="ED93">
        <f>IF(ISBLANK('Data Entry'!$Æ$93), "", 'Data Entry'!$Æ$93)</f>
      </c>
      <c r="EE93">
        <f>IF(ISBLANK('Data Entry'!$Ç$93), "", 'Data Entry'!$Ç$93)</f>
      </c>
      <c r="EF93">
        <f>IF(ISBLANK('Data Entry'!$È$93), "", 'Data Entry'!$È$93)</f>
      </c>
      <c r="EG93">
        <f>IF(ISBLANK('Data Entry'!$É$93), "", 'Data Entry'!$É$93)</f>
      </c>
      <c r="EH93">
        <f>IF(ISBLANK('Data Entry'!$Ê$93), "", 'Data Entry'!$Ê$93)</f>
      </c>
      <c r="EI93">
        <f>IF(ISBLANK('Data Entry'!$Ë$93), "", 'Data Entry'!$Ë$93)</f>
      </c>
      <c r="EJ93">
        <f>IF(ISBLANK('Data Entry'!$Ì$93), "", 'Data Entry'!$Ì$93)</f>
      </c>
      <c r="EK93">
        <f>IF(ISBLANK('Data Entry'!$Í$93), "", 'Data Entry'!$Í$93)</f>
      </c>
      <c r="EL93">
        <f>IF(ISBLANK('Data Entry'!$Î$93), "", 'Data Entry'!$Î$93)</f>
      </c>
      <c r="EM93">
        <f>IF(ISBLANK('Data Entry'!$Ï$93), "", 'Data Entry'!$Ï$93)</f>
      </c>
      <c r="EN93">
        <f>IF(ISBLANK('Data Entry'!$Ð$93), "", 'Data Entry'!$Ð$93)</f>
      </c>
      <c r="EO93">
        <f>IF(ISBLANK('Data Entry'!$Ñ$93), "", 'Data Entry'!$Ñ$93)</f>
      </c>
      <c r="EP93">
        <f>IF(ISBLANK('Data Entry'!$Ò$93), "", 'Data Entry'!$Ò$93)</f>
      </c>
      <c r="EQ93">
        <f>IF(ISBLANK('Data Entry'!$Ó$93), "", 'Data Entry'!$Ó$93)</f>
      </c>
      <c r="ER93">
        <f>IF(ISBLANK('Data Entry'!$Ô$93), "", 'Data Entry'!$Ô$93)</f>
      </c>
      <c r="ES93">
        <f>IF(ISBLANK('Data Entry'!$Õ$93), "", 'Data Entry'!$Õ$93)</f>
      </c>
      <c r="ET93">
        <f>IF(ISBLANK('Data Entry'!$Ö$93), "", 'Data Entry'!$Ö$93)</f>
      </c>
      <c r="EU93">
        <f>IF(ISBLANK('Data Entry'!$×$93), "", 'Data Entry'!$×$93)</f>
      </c>
      <c r="EV93">
        <f>IF(ISBLANK('Data Entry'!$Ø$93), "", 'Data Entry'!$Ø$93)</f>
      </c>
      <c r="EW93">
        <f>IF(ISBLANK('Data Entry'!$Ù$93), "", 'Data Entry'!$Ù$93)</f>
      </c>
      <c r="EX93">
        <f>IF(ISBLANK('Data Entry'!$Ú$93), "", 'Data Entry'!$Ú$93)</f>
      </c>
      <c r="EY93">
        <f>IF(ISBLANK('Data Entry'!$Û$93), "", 'Data Entry'!$Û$93)</f>
      </c>
      <c r="EZ93">
        <f>IF(ISBLANK('Data Entry'!$Ü$93), "", 'Data Entry'!$Ü$93)</f>
      </c>
      <c r="FA93">
        <f>IF(ISBLANK('Data Entry'!$Ý$93), "", 'Data Entry'!$Ý$93)</f>
      </c>
      <c r="FB93">
        <f>IF(ISBLANK('Data Entry'!$Þ$93), "", 'Data Entry'!$Þ$93)</f>
      </c>
      <c r="FC93">
        <f>IF(ISBLANK('Data Entry'!$ß$93), "", 'Data Entry'!$ß$93)</f>
      </c>
      <c r="FD93">
        <f>IF(ISBLANK('Data Entry'!$à$93), "", 'Data Entry'!$à$93)</f>
      </c>
      <c r="FE93">
        <f>IF(ISBLANK('Data Entry'!$á$93), "", 'Data Entry'!$á$93)</f>
      </c>
      <c r="FF93">
        <f>IF(ISBLANK('Data Entry'!$â$93), "", 'Data Entry'!$â$93)</f>
      </c>
      <c r="FG93">
        <f>IF(ISBLANK('Data Entry'!$ã$93), "", 'Data Entry'!$ã$93)</f>
      </c>
      <c r="FH93">
        <f>IF(ISBLANK('Data Entry'!$ä$93), "", 'Data Entry'!$ä$93)</f>
      </c>
      <c r="FI93">
        <f>IF(ISBLANK('Data Entry'!$å$93), "", 'Data Entry'!$å$93)</f>
      </c>
      <c r="FJ93">
        <f>IF(ISBLANK('Data Entry'!$æ$93), "", 'Data Entry'!$æ$93)</f>
      </c>
      <c r="FK93">
        <f>IF(ISBLANK('Data Entry'!$ç$93), "", 'Data Entry'!$ç$93)</f>
      </c>
      <c r="FL93">
        <f>IF(ISBLANK('Data Entry'!$è$93), "", 'Data Entry'!$è$93)</f>
      </c>
      <c r="FM93">
        <f>IF(ISBLANK('Data Entry'!$é$93), "", 'Data Entry'!$é$93)</f>
      </c>
      <c r="FN93">
        <f>IF(ISBLANK('Data Entry'!$ê$93), "", 'Data Entry'!$ê$93)</f>
      </c>
      <c r="FO93">
        <f>IF(ISBLANK('Data Entry'!$ë$93), "", 'Data Entry'!$ë$93)</f>
      </c>
      <c r="FP93">
        <f>IF(ISBLANK('Data Entry'!$ì$93), "", 'Data Entry'!$ì$93)</f>
      </c>
      <c r="FQ93">
        <f>IF(ISBLANK('Data Entry'!$í$93), "", 'Data Entry'!$í$93)</f>
      </c>
      <c r="FR93">
        <f>IF(ISBLANK('Data Entry'!$î$93), "", 'Data Entry'!$î$93)</f>
      </c>
      <c r="FS93">
        <f>IF(ISBLANK('Data Entry'!$ï$93), "", 'Data Entry'!$ï$93)</f>
      </c>
      <c r="FT93">
        <f>IF(ISBLANK('Data Entry'!$ð$93), "", 'Data Entry'!$ð$93)</f>
      </c>
      <c r="FU93">
        <f>IF(ISBLANK('Data Entry'!$ñ$93), "", 'Data Entry'!$ñ$93)</f>
      </c>
      <c r="FV93">
        <f>IF(ISBLANK('Data Entry'!$ò$93), "", 'Data Entry'!$ò$93)</f>
      </c>
      <c r="FW93">
        <f>IF(ISBLANK('Data Entry'!$ó$93), "", 'Data Entry'!$ó$93)</f>
      </c>
      <c r="FX93">
        <f>IF(ISBLANK('Data Entry'!$ô$93), "", 'Data Entry'!$ô$93)</f>
      </c>
      <c r="FY93">
        <f>IF(ISBLANK('Data Entry'!$õ$93), "", 'Data Entry'!$õ$93)</f>
      </c>
      <c r="FZ93">
        <f>IF(ISBLANK('Data Entry'!$ö$93), "", 'Data Entry'!$ö$93)</f>
      </c>
      <c r="GA93">
        <f>IF(ISBLANK('Data Entry'!$÷$93), "", 'Data Entry'!$÷$93)</f>
      </c>
      <c r="GB93">
        <f>IF(ISBLANK('Data Entry'!$ø$93), "", 'Data Entry'!$ø$93)</f>
      </c>
      <c r="GC93">
        <f>IF(ISBLANK('Data Entry'!$ù$93), "", 'Data Entry'!$ù$93)</f>
      </c>
      <c r="GD93">
        <f>IF(ISBLANK('Data Entry'!$ú$93), "", 'Data Entry'!$ú$93)</f>
      </c>
      <c r="GE93">
        <f>IF(ISBLANK('Data Entry'!$û$93), "", 'Data Entry'!$û$93)</f>
      </c>
      <c r="GF93">
        <f>IF(ISBLANK('Data Entry'!$ü$93), "", 'Data Entry'!$ü$93)</f>
      </c>
      <c r="GG93">
        <f>IF(ISBLANK('Data Entry'!$ý$93), "", 'Data Entry'!$ý$93)</f>
      </c>
      <c r="GH93">
        <f>IF(ISBLANK('Data Entry'!$þ$93), "", 'Data Entry'!$þ$93)</f>
      </c>
      <c r="GI93">
        <f>IF(ISBLANK('Data Entry'!$ÿ$93), "", 'Data Entry'!$ÿ$93)</f>
      </c>
      <c r="GJ93">
        <f>IF(ISBLANK('Data Entry'!$Ā$93), "", 'Data Entry'!$Ā$93)</f>
      </c>
      <c r="GK93">
        <f>IF(ISBLANK('Data Entry'!$ā$93), "", 'Data Entry'!$ā$93)</f>
      </c>
      <c r="GL93">
        <f>IF(ISBLANK('Data Entry'!$Ă$93), "", 'Data Entry'!$Ă$93)</f>
      </c>
      <c r="GM93">
        <f>IF(ISBLANK('Data Entry'!$ă$93), "", 'Data Entry'!$ă$93)</f>
      </c>
      <c r="GN93">
        <f>IF(ISBLANK('Data Entry'!$Ą$93), "", 'Data Entry'!$Ą$93)</f>
      </c>
      <c r="GO93">
        <f>IF(ISBLANK('Data Entry'!$ą$93), "", 'Data Entry'!$ą$93)</f>
      </c>
      <c r="GP93">
        <f>IF(ISBLANK('Data Entry'!$Ć$93), "", 'Data Entry'!$Ć$93)</f>
      </c>
      <c r="GQ93">
        <f>IF(ISBLANK('Data Entry'!$ć$93), "", 'Data Entry'!$ć$93)</f>
      </c>
      <c r="GR93">
        <f>IF(ISBLANK('Data Entry'!$Ĉ$93), "", 'Data Entry'!$Ĉ$93)</f>
      </c>
      <c r="GS93">
        <f>IF(ISBLANK('Data Entry'!$ĉ$93), "", 'Data Entry'!$ĉ$93)</f>
      </c>
      <c r="GT93">
        <f>IF(ISBLANK('Data Entry'!$Ċ$93), "", 'Data Entry'!$Ċ$93)</f>
      </c>
      <c r="GU93">
        <f>IF(ISBLANK('Data Entry'!$ċ$93), "", 'Data Entry'!$ċ$93)</f>
      </c>
      <c r="GV93">
        <f>IF(ISBLANK('Data Entry'!$Č$93), "", 'Data Entry'!$Č$93)</f>
      </c>
      <c r="GW93">
        <f>IF(ISBLANK('Data Entry'!$č$93), "", 'Data Entry'!$č$93)</f>
      </c>
      <c r="GX93">
        <f>IF(ISBLANK('Data Entry'!$Ď$93), "", 'Data Entry'!$Ď$93)</f>
      </c>
      <c r="GY93">
        <f>IF(ISBLANK('Data Entry'!$ď$93), "", 'Data Entry'!$ď$93)</f>
      </c>
      <c r="GZ93">
        <f>IF(ISBLANK('Data Entry'!$Đ$93), "", 'Data Entry'!$Đ$93)</f>
      </c>
      <c r="HA93">
        <f>IF(ISBLANK('Data Entry'!$đ$93), "", 'Data Entry'!$đ$93)</f>
      </c>
      <c r="HB93">
        <f>IF(ISBLANK('Data Entry'!$Ē$93), "", 'Data Entry'!$Ē$93)</f>
      </c>
      <c r="HC93">
        <f>IF(ISBLANK('Data Entry'!$ē$93), "", 'Data Entry'!$ē$93)</f>
      </c>
      <c r="HD93">
        <f>IF(ISBLANK('Data Entry'!$Ĕ$93), "", 'Data Entry'!$Ĕ$93)</f>
      </c>
      <c r="HE93">
        <f>IF(ISBLANK('Data Entry'!$ĕ$93), "", 'Data Entry'!$ĕ$93)</f>
      </c>
      <c r="HF93">
        <f>IF(ISBLANK('Data Entry'!$Ė$93), "", 'Data Entry'!$Ė$93)</f>
      </c>
      <c r="HG93">
        <f>IF(ISBLANK('Data Entry'!$ė$93), "", 'Data Entry'!$ė$93)</f>
      </c>
      <c r="HH93">
        <f>IF(ISBLANK('Data Entry'!$Ę$93), "", 'Data Entry'!$Ę$93)</f>
      </c>
      <c r="HI93">
        <f>IF(ISBLANK('Data Entry'!$ę$93), "", 'Data Entry'!$ę$93)</f>
      </c>
      <c r="HJ93">
        <f>IF(ISBLANK('Data Entry'!$Ě$93), "", 'Data Entry'!$Ě$93)</f>
      </c>
      <c r="HK93">
        <f>IF(ISBLANK('Data Entry'!$ě$93), "", 'Data Entry'!$ě$93)</f>
      </c>
      <c r="HL93">
        <f>IF(ISBLANK('Data Entry'!$Ĝ$93), "", 'Data Entry'!$Ĝ$93)</f>
      </c>
      <c r="HM93">
        <f>IF(ISBLANK('Data Entry'!$ĝ$93), "", 'Data Entry'!$ĝ$93)</f>
      </c>
      <c r="HN93">
        <f>IF(ISBLANK('Data Entry'!$Ğ$93), "", 'Data Entry'!$Ğ$93)</f>
      </c>
      <c r="HO93">
        <f>IF(ISBLANK('Data Entry'!$ğ$93), "", 'Data Entry'!$ğ$93)</f>
      </c>
      <c r="HP93">
        <f>IF(ISBLANK('Data Entry'!$Ġ$93), "", 'Data Entry'!$Ġ$93)</f>
      </c>
      <c r="HQ93">
        <f>IF(ISBLANK('Data Entry'!$ġ$93), "", 'Data Entry'!$ġ$93)</f>
      </c>
      <c r="HR93">
        <f>IF(ISBLANK('Data Entry'!$Ģ$93), "", 'Data Entry'!$Ģ$93)</f>
      </c>
      <c r="HS93">
        <f>IF(ISBLANK('Data Entry'!$ģ$93), "", 'Data Entry'!$ģ$93)</f>
      </c>
      <c r="HT93">
        <f>IF(ISBLANK('Data Entry'!$Ĥ$93), "", 'Data Entry'!$Ĥ$93)</f>
      </c>
      <c r="HU93">
        <f>IF(ISBLANK('Data Entry'!$ĥ$93), "", 'Data Entry'!$ĥ$93)</f>
      </c>
      <c r="HV93">
        <f>IF(ISBLANK('Data Entry'!$Ħ$93), "", 'Data Entry'!$Ħ$93)</f>
      </c>
      <c r="HW93">
        <f>IF(ISBLANK('Data Entry'!$ħ$93), "", 'Data Entry'!$ħ$93)</f>
      </c>
      <c r="HX93">
        <f>IF(ISBLANK('Data Entry'!$Ĩ$93), "", 'Data Entry'!$Ĩ$93)</f>
      </c>
      <c r="HY93">
        <f>IF(ISBLANK('Data Entry'!$ĩ$93), "", 'Data Entry'!$ĩ$93)</f>
      </c>
      <c r="HZ93">
        <f>IF(ISBLANK('Data Entry'!$Ī$93), "", 'Data Entry'!$Ī$93)</f>
      </c>
      <c r="IA93">
        <f>IF(ISBLANK('Data Entry'!$ī$93), "", 'Data Entry'!$ī$93)</f>
      </c>
      <c r="IB93">
        <f>IF(ISBLANK('Data Entry'!$Ĭ$93), "", 'Data Entry'!$Ĭ$93)</f>
      </c>
      <c r="IC93">
        <f>IF(ISBLANK('Data Entry'!$ĭ$93), "", 'Data Entry'!$ĭ$93)</f>
      </c>
      <c r="ID93">
        <f>IF(ISBLANK('Data Entry'!$Į$93), "", 'Data Entry'!$Į$93)</f>
      </c>
      <c r="IE93">
        <f>IF(ISBLANK('Data Entry'!$į$93), "", 'Data Entry'!$į$93)</f>
      </c>
      <c r="IF93">
        <f>IF(ISBLANK('Data Entry'!$İ$93), "", 'Data Entry'!$İ$93)</f>
      </c>
      <c r="IG93">
        <f>IF(ISBLANK('Data Entry'!$ı$93), "", 'Data Entry'!$ı$93)</f>
      </c>
      <c r="IH93">
        <f>IF(ISBLANK('Data Entry'!$Ĳ$93), "", 'Data Entry'!$Ĳ$93)</f>
      </c>
      <c r="II93">
        <f>IF(ISBLANK('Data Entry'!$ĳ$93), "", 'Data Entry'!$ĳ$93)</f>
      </c>
      <c r="IJ93">
        <f>IF(ISBLANK('Data Entry'!$Ĵ$93), "", 'Data Entry'!$Ĵ$93)</f>
      </c>
      <c r="IK93">
        <f>IF(ISBLANK('Data Entry'!$ĵ$93), "", 'Data Entry'!$ĵ$93)</f>
      </c>
      <c r="IL93">
        <f>IF(ISBLANK('Data Entry'!$Ķ$93), "", 'Data Entry'!$Ķ$93)</f>
      </c>
      <c r="IM93">
        <f>IF(ISBLANK('Data Entry'!$ķ$93), "", 'Data Entry'!$ķ$93)</f>
      </c>
      <c r="IN93">
        <f>IF(ISBLANK('Data Entry'!$ĸ$93), "", 'Data Entry'!$ĸ$93)</f>
      </c>
      <c r="IO93">
        <f>IF(ISBLANK('Data Entry'!$Ĺ$93), "", 'Data Entry'!$Ĺ$93)</f>
      </c>
      <c r="IP93">
        <f>IF(ISBLANK('Data Entry'!$ĺ$93), "", 'Data Entry'!$ĺ$93)</f>
      </c>
      <c r="IQ93">
        <f>IF(ISBLANK('Data Entry'!$Ļ$93), "", 'Data Entry'!$Ļ$93)</f>
      </c>
      <c r="IR93">
        <f>IF(ISBLANK('Data Entry'!$ļ$93), "", 'Data Entry'!$ļ$93)</f>
      </c>
      <c r="IS93">
        <f>IF(ISBLANK('Data Entry'!$Ľ$93), "", 'Data Entry'!$Ľ$93)</f>
      </c>
      <c r="IT93">
        <f>IF(ISBLANK('Data Entry'!$ľ$93), "", 'Data Entry'!$ľ$93)</f>
      </c>
    </row>
    <row r="94" spans="1:254" x14ac:dyDescent="0.25">
      <c r="A94">
        <f>IF(ISBLANK('Data Entry'!$A$94), "", 'Data Entry'!$A$94)</f>
      </c>
      <c r="B94">
        <f>IF(ISBLANK('Data Entry'!$B$94), "", 'Data Entry'!$B$94)</f>
      </c>
      <c r="C94">
        <f>IF(ISBLANK('Data Entry'!$C$94), "", 'Data Entry'!$C$94)</f>
      </c>
      <c r="D94">
        <f>IF(ISBLANK('Data Entry'!$D$94), "", 'Data Entry'!$D$94)</f>
      </c>
      <c r="E94">
        <f>IF(ISBLANK('Data Entry'!$E$94), "", 'Data Entry'!$E$94)</f>
      </c>
      <c r="F94">
        <f>IF(ISBLANK('Data Entry'!$F$94), "", 'Data Entry'!$F$94)</f>
      </c>
      <c r="G94">
        <f>IF(ISBLANK('Data Entry'!$G$94), "", 'Data Entry'!$G$94)</f>
      </c>
      <c r="H94">
        <f>IF(ISBLANK('Data Entry'!$H$94), "", 'Data Entry'!$H$94)</f>
      </c>
      <c r="I94">
        <f>IF(ISBLANK('Data Entry'!$I$94), "", 'Data Entry'!$I$94)</f>
      </c>
      <c r="J94">
        <f>IF(ISBLANK('Data Entry'!$J$94), "", 'Data Entry'!$J$94)</f>
      </c>
      <c r="K94">
        <f>IF(ISBLANK('Data Entry'!$K$94), "", 'Data Entry'!$K$94)</f>
      </c>
      <c r="L94">
        <f>IF(ISBLANK('Data Entry'!$L$94), "", 'Data Entry'!$L$94)</f>
      </c>
      <c r="M94">
        <f>IF(ISBLANK('Data Entry'!$M$94), "", 'Data Entry'!$M$94)</f>
      </c>
      <c r="N94">
        <f>IF(ISBLANK('Data Entry'!$N$94), "", 'Data Entry'!$N$94)</f>
      </c>
      <c r="O94">
        <f>IF(ISBLANK('Data Entry'!$O$94), "", 'Data Entry'!$O$94)</f>
      </c>
      <c r="P94">
        <f>IF(ISBLANK('Data Entry'!$P$94), "", 'Data Entry'!$P$94)</f>
      </c>
      <c r="Q94">
        <f>IF(ISBLANK('Data Entry'!$Q$94), "", 'Data Entry'!$Q$94)</f>
      </c>
      <c r="R94">
        <f>IF(ISBLANK('Data Entry'!$R$94), "", 'Data Entry'!$R$94)</f>
      </c>
      <c r="S94">
        <f>IF(ISBLANK('Data Entry'!$S$94), "", 'Data Entry'!$S$94)</f>
      </c>
      <c r="T94">
        <f>IF(ISBLANK('Data Entry'!$T$94), "", 'Data Entry'!$T$94)</f>
      </c>
      <c r="U94">
        <f>IF(ISBLANK('Data Entry'!$U$94), "", 'Data Entry'!$U$94)</f>
      </c>
      <c r="V94">
        <f>IF(ISBLANK('Data Entry'!$V$94), "", 'Data Entry'!$V$94)</f>
      </c>
      <c r="W94">
        <f>IF(ISBLANK('Data Entry'!$W$94), "", 'Data Entry'!$W$94)</f>
      </c>
      <c r="X94">
        <f>IF(ISBLANK('Data Entry'!$X$94), "", 'Data Entry'!$X$94)</f>
      </c>
      <c r="Y94">
        <f>IF(ISBLANK('Data Entry'!$Y$94), "", 'Data Entry'!$Y$94)</f>
      </c>
      <c r="Z94">
        <f>IF(ISBLANK('Data Entry'!$Z$94), "", 'Data Entry'!$Z$94)</f>
      </c>
      <c r="AA94">
        <f>IF(ISBLANK('Data Entry'!$[$94), "", 'Data Entry'!$[$94)</f>
      </c>
      <c r="AB94">
        <f>IF(ISBLANK('Data Entry'!$\$94), "", 'Data Entry'!$\$94)</f>
      </c>
      <c r="AC94">
        <f>IF(ISBLANK('Data Entry'!$]$94), "", 'Data Entry'!$]$94)</f>
      </c>
      <c r="AD94">
        <f>IF(ISBLANK('Data Entry'!$^$94), "", 'Data Entry'!$^$94)</f>
      </c>
      <c r="AE94">
        <f>IF(ISBLANK('Data Entry'!$_$94), "", 'Data Entry'!$_$94)</f>
      </c>
      <c r="AF94">
        <f>IF(ISBLANK('Data Entry'!$`$94), "", 'Data Entry'!$`$94)</f>
      </c>
      <c r="AG94">
        <f>IF(ISBLANK('Data Entry'!$a$94), "", 'Data Entry'!$a$94)</f>
      </c>
      <c r="AH94">
        <f>IF(ISBLANK('Data Entry'!$b$94), "", 'Data Entry'!$b$94)</f>
      </c>
      <c r="AI94">
        <f>IF(ISBLANK('Data Entry'!$c$94), "", 'Data Entry'!$c$94)</f>
      </c>
      <c r="AJ94">
        <f>IF(ISBLANK('Data Entry'!$d$94), "", 'Data Entry'!$d$94)</f>
      </c>
      <c r="AK94">
        <f>IF(ISBLANK('Data Entry'!$e$94), "", 'Data Entry'!$e$94)</f>
      </c>
      <c r="AL94">
        <f>IF(ISBLANK('Data Entry'!$f$94), "", 'Data Entry'!$f$94)</f>
      </c>
      <c r="AM94">
        <f>IF(ISBLANK('Data Entry'!$g$94), "", 'Data Entry'!$g$94)</f>
      </c>
      <c r="AN94">
        <f>IF(ISBLANK('Data Entry'!$h$94), "", 'Data Entry'!$h$94)</f>
      </c>
      <c r="AO94">
        <f>IF(ISBLANK('Data Entry'!$i$94), "", 'Data Entry'!$i$94)</f>
      </c>
      <c r="AP94">
        <f>IF(ISBLANK('Data Entry'!$j$94), "", 'Data Entry'!$j$94)</f>
      </c>
      <c r="AQ94">
        <f>IF(ISBLANK('Data Entry'!$k$94), "", 'Data Entry'!$k$94)</f>
      </c>
      <c r="AR94">
        <f>IF(ISBLANK('Data Entry'!$l$94), "", 'Data Entry'!$l$94)</f>
      </c>
      <c r="AS94">
        <f>IF(ISBLANK('Data Entry'!$m$94), "", 'Data Entry'!$m$94)</f>
      </c>
      <c r="AT94">
        <f>IF(ISBLANK('Data Entry'!$n$94), "", 'Data Entry'!$n$94)</f>
      </c>
      <c r="AU94">
        <f>IF(ISBLANK('Data Entry'!$o$94), "", 'Data Entry'!$o$94)</f>
      </c>
      <c r="AV94">
        <f>IF(ISBLANK('Data Entry'!$p$94), "", 'Data Entry'!$p$94)</f>
      </c>
      <c r="AW94">
        <f>IF(ISBLANK('Data Entry'!$q$94), "", 'Data Entry'!$q$94)</f>
      </c>
      <c r="AX94">
        <f>IF(ISBLANK('Data Entry'!$r$94), "", 'Data Entry'!$r$94)</f>
      </c>
      <c r="AY94">
        <f>IF(ISBLANK('Data Entry'!$s$94), "", 'Data Entry'!$s$94)</f>
      </c>
      <c r="AZ94">
        <f>IF(ISBLANK('Data Entry'!$t$94), "", 'Data Entry'!$t$94)</f>
      </c>
      <c r="BA94">
        <f>IF(ISBLANK('Data Entry'!$u$94), "", 'Data Entry'!$u$94)</f>
      </c>
      <c r="BB94">
        <f>IF(ISBLANK('Data Entry'!$v$94), "", 'Data Entry'!$v$94)</f>
      </c>
      <c r="BC94">
        <f>IF(ISBLANK('Data Entry'!$w$94), "", 'Data Entry'!$w$94)</f>
      </c>
      <c r="BD94">
        <f>IF(ISBLANK('Data Entry'!$x$94), "", 'Data Entry'!$x$94)</f>
      </c>
      <c r="BE94">
        <f>IF(ISBLANK('Data Entry'!$y$94), "", 'Data Entry'!$y$94)</f>
      </c>
      <c r="BF94">
        <f>IF(ISBLANK('Data Entry'!$z$94), "", 'Data Entry'!$z$94)</f>
      </c>
      <c r="BG94">
        <f>IF(ISBLANK('Data Entry'!${$94), "", 'Data Entry'!${$94)</f>
      </c>
      <c r="BH94">
        <f>IF(ISBLANK('Data Entry'!$|$94), "", 'Data Entry'!$|$94)</f>
      </c>
      <c r="BI94">
        <f>IF(ISBLANK('Data Entry'!$}$94), "", 'Data Entry'!$}$94)</f>
      </c>
      <c r="BJ94">
        <f>IF(ISBLANK('Data Entry'!$~$94), "", 'Data Entry'!$~$94)</f>
      </c>
      <c r="BK94">
        <f>IF(ISBLANK('Data Entry'!$$94), "", 'Data Entry'!$$94)</f>
      </c>
      <c r="BL94">
        <f>IF(ISBLANK('Data Entry'!$$94), "", 'Data Entry'!$$94)</f>
      </c>
      <c r="BM94">
        <f>IF(ISBLANK('Data Entry'!$$94), "", 'Data Entry'!$$94)</f>
      </c>
      <c r="BN94">
        <f>IF(ISBLANK('Data Entry'!$$94), "", 'Data Entry'!$$94)</f>
      </c>
      <c r="BO94">
        <f>IF(ISBLANK('Data Entry'!$$94), "", 'Data Entry'!$$94)</f>
      </c>
      <c r="BP94">
        <f>IF(ISBLANK('Data Entry'!$$94), "", 'Data Entry'!$$94)</f>
      </c>
      <c r="BQ94">
        <f>IF(ISBLANK('Data Entry'!$$94), "", 'Data Entry'!$$94)</f>
      </c>
      <c r="BR94">
        <f>IF(ISBLANK('Data Entry'!$$94), "", 'Data Entry'!$$94)</f>
      </c>
      <c r="BS94">
        <f>IF(ISBLANK('Data Entry'!$$94), "", 'Data Entry'!$$94)</f>
      </c>
      <c r="BT94">
        <f>IF(ISBLANK('Data Entry'!$$94), "", 'Data Entry'!$$94)</f>
      </c>
      <c r="BU94">
        <f>IF(ISBLANK('Data Entry'!$$94), "", 'Data Entry'!$$94)</f>
      </c>
      <c r="BV94">
        <f>IF(ISBLANK('Data Entry'!$$94), "", 'Data Entry'!$$94)</f>
      </c>
      <c r="BW94">
        <f>IF(ISBLANK('Data Entry'!$$94), "", 'Data Entry'!$$94)</f>
      </c>
      <c r="BX94">
        <f>IF(ISBLANK('Data Entry'!$$94), "", 'Data Entry'!$$94)</f>
      </c>
      <c r="BY94">
        <f>IF(ISBLANK('Data Entry'!$$94), "", 'Data Entry'!$$94)</f>
      </c>
      <c r="BZ94">
        <f>IF(ISBLANK('Data Entry'!$$94), "", 'Data Entry'!$$94)</f>
      </c>
      <c r="CA94">
        <f>IF(ISBLANK('Data Entry'!$$94), "", 'Data Entry'!$$94)</f>
      </c>
      <c r="CB94">
        <f>IF(ISBLANK('Data Entry'!$$94), "", 'Data Entry'!$$94)</f>
      </c>
      <c r="CC94">
        <f>IF(ISBLANK('Data Entry'!$$94), "", 'Data Entry'!$$94)</f>
      </c>
      <c r="CD94">
        <f>IF(ISBLANK('Data Entry'!$$94), "", 'Data Entry'!$$94)</f>
      </c>
      <c r="CE94">
        <f>IF(ISBLANK('Data Entry'!$$94), "", 'Data Entry'!$$94)</f>
      </c>
      <c r="CF94">
        <f>IF(ISBLANK('Data Entry'!$$94), "", 'Data Entry'!$$94)</f>
      </c>
      <c r="CG94">
        <f>IF(ISBLANK('Data Entry'!$$94), "", 'Data Entry'!$$94)</f>
      </c>
      <c r="CH94">
        <f>IF(ISBLANK('Data Entry'!$$94), "", 'Data Entry'!$$94)</f>
      </c>
      <c r="CI94">
        <f>IF(ISBLANK('Data Entry'!$$94), "", 'Data Entry'!$$94)</f>
      </c>
      <c r="CJ94">
        <f>IF(ISBLANK('Data Entry'!$$94), "", 'Data Entry'!$$94)</f>
      </c>
      <c r="CK94">
        <f>IF(ISBLANK('Data Entry'!$$94), "", 'Data Entry'!$$94)</f>
      </c>
      <c r="CL94">
        <f>IF(ISBLANK('Data Entry'!$$94), "", 'Data Entry'!$$94)</f>
      </c>
      <c r="CM94">
        <f>IF(ISBLANK('Data Entry'!$$94), "", 'Data Entry'!$$94)</f>
      </c>
      <c r="CN94">
        <f>IF(ISBLANK('Data Entry'!$$94), "", 'Data Entry'!$$94)</f>
      </c>
      <c r="CO94">
        <f>IF(ISBLANK('Data Entry'!$$94), "", 'Data Entry'!$$94)</f>
      </c>
      <c r="CP94">
        <f>IF(ISBLANK('Data Entry'!$$94), "", 'Data Entry'!$$94)</f>
      </c>
      <c r="CQ94">
        <f>IF(ISBLANK('Data Entry'!$$94), "", 'Data Entry'!$$94)</f>
      </c>
      <c r="CR94">
        <f>IF(ISBLANK('Data Entry'!$ $94), "", 'Data Entry'!$ $94)</f>
      </c>
      <c r="CS94">
        <f>IF(ISBLANK('Data Entry'!$¡$94), "", 'Data Entry'!$¡$94)</f>
      </c>
      <c r="CT94">
        <f>IF(ISBLANK('Data Entry'!$¢$94), "", 'Data Entry'!$¢$94)</f>
      </c>
      <c r="CU94">
        <f>IF(ISBLANK('Data Entry'!$£$94), "", 'Data Entry'!$£$94)</f>
      </c>
      <c r="CV94">
        <f>IF(ISBLANK('Data Entry'!$¤$94), "", 'Data Entry'!$¤$94)</f>
      </c>
      <c r="CW94">
        <f>IF(ISBLANK('Data Entry'!$¥$94), "", 'Data Entry'!$¥$94)</f>
      </c>
      <c r="CX94">
        <f>IF(ISBLANK('Data Entry'!$¦$94), "", 'Data Entry'!$¦$94)</f>
      </c>
      <c r="CY94">
        <f>IF(ISBLANK('Data Entry'!$§$94), "", 'Data Entry'!$§$94)</f>
      </c>
      <c r="CZ94">
        <f>IF(ISBLANK('Data Entry'!$¨$94), "", 'Data Entry'!$¨$94)</f>
      </c>
      <c r="DA94">
        <f>IF(ISBLANK('Data Entry'!$©$94), "", 'Data Entry'!$©$94)</f>
      </c>
      <c r="DB94">
        <f>IF(ISBLANK('Data Entry'!$ª$94), "", 'Data Entry'!$ª$94)</f>
      </c>
      <c r="DC94">
        <f>IF(ISBLANK('Data Entry'!$«$94), "", 'Data Entry'!$«$94)</f>
      </c>
      <c r="DD94">
        <f>IF(ISBLANK('Data Entry'!$¬$94), "", 'Data Entry'!$¬$94)</f>
      </c>
      <c r="DE94">
        <f>IF(ISBLANK('Data Entry'!$­$94), "", 'Data Entry'!$­$94)</f>
      </c>
      <c r="DF94">
        <f>IF(ISBLANK('Data Entry'!$®$94), "", 'Data Entry'!$®$94)</f>
      </c>
      <c r="DG94">
        <f>IF(ISBLANK('Data Entry'!$¯$94), "", 'Data Entry'!$¯$94)</f>
      </c>
      <c r="DH94">
        <f>IF(ISBLANK('Data Entry'!$°$94), "", 'Data Entry'!$°$94)</f>
      </c>
      <c r="DI94">
        <f>IF(ISBLANK('Data Entry'!$±$94), "", 'Data Entry'!$±$94)</f>
      </c>
      <c r="DJ94">
        <f>IF(ISBLANK('Data Entry'!$²$94), "", 'Data Entry'!$²$94)</f>
      </c>
      <c r="DK94">
        <f>IF(ISBLANK('Data Entry'!$³$94), "", 'Data Entry'!$³$94)</f>
      </c>
      <c r="DL94">
        <f>IF(ISBLANK('Data Entry'!$´$94), "", 'Data Entry'!$´$94)</f>
      </c>
      <c r="DM94">
        <f>IF(ISBLANK('Data Entry'!$µ$94), "", 'Data Entry'!$µ$94)</f>
      </c>
      <c r="DN94">
        <f>IF(ISBLANK('Data Entry'!$¶$94), "", 'Data Entry'!$¶$94)</f>
      </c>
      <c r="DO94">
        <f>IF(ISBLANK('Data Entry'!$·$94), "", 'Data Entry'!$·$94)</f>
      </c>
      <c r="DP94">
        <f>IF(ISBLANK('Data Entry'!$¸$94), "", 'Data Entry'!$¸$94)</f>
      </c>
      <c r="DQ94">
        <f>IF(ISBLANK('Data Entry'!$¹$94), "", 'Data Entry'!$¹$94)</f>
      </c>
      <c r="DR94">
        <f>IF(ISBLANK('Data Entry'!$º$94), "", 'Data Entry'!$º$94)</f>
      </c>
      <c r="DS94">
        <f>IF(ISBLANK('Data Entry'!$»$94), "", 'Data Entry'!$»$94)</f>
      </c>
      <c r="DT94">
        <f>IF(ISBLANK('Data Entry'!$¼$94), "", 'Data Entry'!$¼$94)</f>
      </c>
      <c r="DU94">
        <f>IF(ISBLANK('Data Entry'!$½$94), "", 'Data Entry'!$½$94)</f>
      </c>
      <c r="DV94">
        <f>IF(ISBLANK('Data Entry'!$¾$94), "", 'Data Entry'!$¾$94)</f>
      </c>
      <c r="DW94">
        <f>IF(ISBLANK('Data Entry'!$¿$94), "", 'Data Entry'!$¿$94)</f>
      </c>
      <c r="DX94">
        <f>IF(ISBLANK('Data Entry'!$À$94), "", 'Data Entry'!$À$94)</f>
      </c>
      <c r="DY94">
        <f>IF(ISBLANK('Data Entry'!$Á$94), "", 'Data Entry'!$Á$94)</f>
      </c>
      <c r="DZ94">
        <f>IF(ISBLANK('Data Entry'!$Â$94), "", 'Data Entry'!$Â$94)</f>
      </c>
      <c r="EA94">
        <f>IF(ISBLANK('Data Entry'!$Ã$94), "", 'Data Entry'!$Ã$94)</f>
      </c>
      <c r="EB94">
        <f>IF(ISBLANK('Data Entry'!$Ä$94), "", 'Data Entry'!$Ä$94)</f>
      </c>
      <c r="EC94">
        <f>IF(ISBLANK('Data Entry'!$Å$94), "", 'Data Entry'!$Å$94)</f>
      </c>
      <c r="ED94">
        <f>IF(ISBLANK('Data Entry'!$Æ$94), "", 'Data Entry'!$Æ$94)</f>
      </c>
      <c r="EE94">
        <f>IF(ISBLANK('Data Entry'!$Ç$94), "", 'Data Entry'!$Ç$94)</f>
      </c>
      <c r="EF94">
        <f>IF(ISBLANK('Data Entry'!$È$94), "", 'Data Entry'!$È$94)</f>
      </c>
      <c r="EG94">
        <f>IF(ISBLANK('Data Entry'!$É$94), "", 'Data Entry'!$É$94)</f>
      </c>
      <c r="EH94">
        <f>IF(ISBLANK('Data Entry'!$Ê$94), "", 'Data Entry'!$Ê$94)</f>
      </c>
      <c r="EI94">
        <f>IF(ISBLANK('Data Entry'!$Ë$94), "", 'Data Entry'!$Ë$94)</f>
      </c>
      <c r="EJ94">
        <f>IF(ISBLANK('Data Entry'!$Ì$94), "", 'Data Entry'!$Ì$94)</f>
      </c>
      <c r="EK94">
        <f>IF(ISBLANK('Data Entry'!$Í$94), "", 'Data Entry'!$Í$94)</f>
      </c>
      <c r="EL94">
        <f>IF(ISBLANK('Data Entry'!$Î$94), "", 'Data Entry'!$Î$94)</f>
      </c>
      <c r="EM94">
        <f>IF(ISBLANK('Data Entry'!$Ï$94), "", 'Data Entry'!$Ï$94)</f>
      </c>
      <c r="EN94">
        <f>IF(ISBLANK('Data Entry'!$Ð$94), "", 'Data Entry'!$Ð$94)</f>
      </c>
      <c r="EO94">
        <f>IF(ISBLANK('Data Entry'!$Ñ$94), "", 'Data Entry'!$Ñ$94)</f>
      </c>
      <c r="EP94">
        <f>IF(ISBLANK('Data Entry'!$Ò$94), "", 'Data Entry'!$Ò$94)</f>
      </c>
      <c r="EQ94">
        <f>IF(ISBLANK('Data Entry'!$Ó$94), "", 'Data Entry'!$Ó$94)</f>
      </c>
      <c r="ER94">
        <f>IF(ISBLANK('Data Entry'!$Ô$94), "", 'Data Entry'!$Ô$94)</f>
      </c>
      <c r="ES94">
        <f>IF(ISBLANK('Data Entry'!$Õ$94), "", 'Data Entry'!$Õ$94)</f>
      </c>
      <c r="ET94">
        <f>IF(ISBLANK('Data Entry'!$Ö$94), "", 'Data Entry'!$Ö$94)</f>
      </c>
      <c r="EU94">
        <f>IF(ISBLANK('Data Entry'!$×$94), "", 'Data Entry'!$×$94)</f>
      </c>
      <c r="EV94">
        <f>IF(ISBLANK('Data Entry'!$Ø$94), "", 'Data Entry'!$Ø$94)</f>
      </c>
      <c r="EW94">
        <f>IF(ISBLANK('Data Entry'!$Ù$94), "", 'Data Entry'!$Ù$94)</f>
      </c>
      <c r="EX94">
        <f>IF(ISBLANK('Data Entry'!$Ú$94), "", 'Data Entry'!$Ú$94)</f>
      </c>
      <c r="EY94">
        <f>IF(ISBLANK('Data Entry'!$Û$94), "", 'Data Entry'!$Û$94)</f>
      </c>
      <c r="EZ94">
        <f>IF(ISBLANK('Data Entry'!$Ü$94), "", 'Data Entry'!$Ü$94)</f>
      </c>
      <c r="FA94">
        <f>IF(ISBLANK('Data Entry'!$Ý$94), "", 'Data Entry'!$Ý$94)</f>
      </c>
      <c r="FB94">
        <f>IF(ISBLANK('Data Entry'!$Þ$94), "", 'Data Entry'!$Þ$94)</f>
      </c>
      <c r="FC94">
        <f>IF(ISBLANK('Data Entry'!$ß$94), "", 'Data Entry'!$ß$94)</f>
      </c>
      <c r="FD94">
        <f>IF(ISBLANK('Data Entry'!$à$94), "", 'Data Entry'!$à$94)</f>
      </c>
      <c r="FE94">
        <f>IF(ISBLANK('Data Entry'!$á$94), "", 'Data Entry'!$á$94)</f>
      </c>
      <c r="FF94">
        <f>IF(ISBLANK('Data Entry'!$â$94), "", 'Data Entry'!$â$94)</f>
      </c>
      <c r="FG94">
        <f>IF(ISBLANK('Data Entry'!$ã$94), "", 'Data Entry'!$ã$94)</f>
      </c>
      <c r="FH94">
        <f>IF(ISBLANK('Data Entry'!$ä$94), "", 'Data Entry'!$ä$94)</f>
      </c>
      <c r="FI94">
        <f>IF(ISBLANK('Data Entry'!$å$94), "", 'Data Entry'!$å$94)</f>
      </c>
      <c r="FJ94">
        <f>IF(ISBLANK('Data Entry'!$æ$94), "", 'Data Entry'!$æ$94)</f>
      </c>
      <c r="FK94">
        <f>IF(ISBLANK('Data Entry'!$ç$94), "", 'Data Entry'!$ç$94)</f>
      </c>
      <c r="FL94">
        <f>IF(ISBLANK('Data Entry'!$è$94), "", 'Data Entry'!$è$94)</f>
      </c>
      <c r="FM94">
        <f>IF(ISBLANK('Data Entry'!$é$94), "", 'Data Entry'!$é$94)</f>
      </c>
      <c r="FN94">
        <f>IF(ISBLANK('Data Entry'!$ê$94), "", 'Data Entry'!$ê$94)</f>
      </c>
      <c r="FO94">
        <f>IF(ISBLANK('Data Entry'!$ë$94), "", 'Data Entry'!$ë$94)</f>
      </c>
      <c r="FP94">
        <f>IF(ISBLANK('Data Entry'!$ì$94), "", 'Data Entry'!$ì$94)</f>
      </c>
      <c r="FQ94">
        <f>IF(ISBLANK('Data Entry'!$í$94), "", 'Data Entry'!$í$94)</f>
      </c>
      <c r="FR94">
        <f>IF(ISBLANK('Data Entry'!$î$94), "", 'Data Entry'!$î$94)</f>
      </c>
      <c r="FS94">
        <f>IF(ISBLANK('Data Entry'!$ï$94), "", 'Data Entry'!$ï$94)</f>
      </c>
      <c r="FT94">
        <f>IF(ISBLANK('Data Entry'!$ð$94), "", 'Data Entry'!$ð$94)</f>
      </c>
      <c r="FU94">
        <f>IF(ISBLANK('Data Entry'!$ñ$94), "", 'Data Entry'!$ñ$94)</f>
      </c>
      <c r="FV94">
        <f>IF(ISBLANK('Data Entry'!$ò$94), "", 'Data Entry'!$ò$94)</f>
      </c>
      <c r="FW94">
        <f>IF(ISBLANK('Data Entry'!$ó$94), "", 'Data Entry'!$ó$94)</f>
      </c>
      <c r="FX94">
        <f>IF(ISBLANK('Data Entry'!$ô$94), "", 'Data Entry'!$ô$94)</f>
      </c>
      <c r="FY94">
        <f>IF(ISBLANK('Data Entry'!$õ$94), "", 'Data Entry'!$õ$94)</f>
      </c>
      <c r="FZ94">
        <f>IF(ISBLANK('Data Entry'!$ö$94), "", 'Data Entry'!$ö$94)</f>
      </c>
      <c r="GA94">
        <f>IF(ISBLANK('Data Entry'!$÷$94), "", 'Data Entry'!$÷$94)</f>
      </c>
      <c r="GB94">
        <f>IF(ISBLANK('Data Entry'!$ø$94), "", 'Data Entry'!$ø$94)</f>
      </c>
      <c r="GC94">
        <f>IF(ISBLANK('Data Entry'!$ù$94), "", 'Data Entry'!$ù$94)</f>
      </c>
      <c r="GD94">
        <f>IF(ISBLANK('Data Entry'!$ú$94), "", 'Data Entry'!$ú$94)</f>
      </c>
      <c r="GE94">
        <f>IF(ISBLANK('Data Entry'!$û$94), "", 'Data Entry'!$û$94)</f>
      </c>
      <c r="GF94">
        <f>IF(ISBLANK('Data Entry'!$ü$94), "", 'Data Entry'!$ü$94)</f>
      </c>
      <c r="GG94">
        <f>IF(ISBLANK('Data Entry'!$ý$94), "", 'Data Entry'!$ý$94)</f>
      </c>
      <c r="GH94">
        <f>IF(ISBLANK('Data Entry'!$þ$94), "", 'Data Entry'!$þ$94)</f>
      </c>
      <c r="GI94">
        <f>IF(ISBLANK('Data Entry'!$ÿ$94), "", 'Data Entry'!$ÿ$94)</f>
      </c>
      <c r="GJ94">
        <f>IF(ISBLANK('Data Entry'!$Ā$94), "", 'Data Entry'!$Ā$94)</f>
      </c>
      <c r="GK94">
        <f>IF(ISBLANK('Data Entry'!$ā$94), "", 'Data Entry'!$ā$94)</f>
      </c>
      <c r="GL94">
        <f>IF(ISBLANK('Data Entry'!$Ă$94), "", 'Data Entry'!$Ă$94)</f>
      </c>
      <c r="GM94">
        <f>IF(ISBLANK('Data Entry'!$ă$94), "", 'Data Entry'!$ă$94)</f>
      </c>
      <c r="GN94">
        <f>IF(ISBLANK('Data Entry'!$Ą$94), "", 'Data Entry'!$Ą$94)</f>
      </c>
      <c r="GO94">
        <f>IF(ISBLANK('Data Entry'!$ą$94), "", 'Data Entry'!$ą$94)</f>
      </c>
      <c r="GP94">
        <f>IF(ISBLANK('Data Entry'!$Ć$94), "", 'Data Entry'!$Ć$94)</f>
      </c>
      <c r="GQ94">
        <f>IF(ISBLANK('Data Entry'!$ć$94), "", 'Data Entry'!$ć$94)</f>
      </c>
      <c r="GR94">
        <f>IF(ISBLANK('Data Entry'!$Ĉ$94), "", 'Data Entry'!$Ĉ$94)</f>
      </c>
      <c r="GS94">
        <f>IF(ISBLANK('Data Entry'!$ĉ$94), "", 'Data Entry'!$ĉ$94)</f>
      </c>
      <c r="GT94">
        <f>IF(ISBLANK('Data Entry'!$Ċ$94), "", 'Data Entry'!$Ċ$94)</f>
      </c>
      <c r="GU94">
        <f>IF(ISBLANK('Data Entry'!$ċ$94), "", 'Data Entry'!$ċ$94)</f>
      </c>
      <c r="GV94">
        <f>IF(ISBLANK('Data Entry'!$Č$94), "", 'Data Entry'!$Č$94)</f>
      </c>
      <c r="GW94">
        <f>IF(ISBLANK('Data Entry'!$č$94), "", 'Data Entry'!$č$94)</f>
      </c>
      <c r="GX94">
        <f>IF(ISBLANK('Data Entry'!$Ď$94), "", 'Data Entry'!$Ď$94)</f>
      </c>
      <c r="GY94">
        <f>IF(ISBLANK('Data Entry'!$ď$94), "", 'Data Entry'!$ď$94)</f>
      </c>
      <c r="GZ94">
        <f>IF(ISBLANK('Data Entry'!$Đ$94), "", 'Data Entry'!$Đ$94)</f>
      </c>
      <c r="HA94">
        <f>IF(ISBLANK('Data Entry'!$đ$94), "", 'Data Entry'!$đ$94)</f>
      </c>
      <c r="HB94">
        <f>IF(ISBLANK('Data Entry'!$Ē$94), "", 'Data Entry'!$Ē$94)</f>
      </c>
      <c r="HC94">
        <f>IF(ISBLANK('Data Entry'!$ē$94), "", 'Data Entry'!$ē$94)</f>
      </c>
      <c r="HD94">
        <f>IF(ISBLANK('Data Entry'!$Ĕ$94), "", 'Data Entry'!$Ĕ$94)</f>
      </c>
      <c r="HE94">
        <f>IF(ISBLANK('Data Entry'!$ĕ$94), "", 'Data Entry'!$ĕ$94)</f>
      </c>
      <c r="HF94">
        <f>IF(ISBLANK('Data Entry'!$Ė$94), "", 'Data Entry'!$Ė$94)</f>
      </c>
      <c r="HG94">
        <f>IF(ISBLANK('Data Entry'!$ė$94), "", 'Data Entry'!$ė$94)</f>
      </c>
      <c r="HH94">
        <f>IF(ISBLANK('Data Entry'!$Ę$94), "", 'Data Entry'!$Ę$94)</f>
      </c>
      <c r="HI94">
        <f>IF(ISBLANK('Data Entry'!$ę$94), "", 'Data Entry'!$ę$94)</f>
      </c>
      <c r="HJ94">
        <f>IF(ISBLANK('Data Entry'!$Ě$94), "", 'Data Entry'!$Ě$94)</f>
      </c>
      <c r="HK94">
        <f>IF(ISBLANK('Data Entry'!$ě$94), "", 'Data Entry'!$ě$94)</f>
      </c>
      <c r="HL94">
        <f>IF(ISBLANK('Data Entry'!$Ĝ$94), "", 'Data Entry'!$Ĝ$94)</f>
      </c>
      <c r="HM94">
        <f>IF(ISBLANK('Data Entry'!$ĝ$94), "", 'Data Entry'!$ĝ$94)</f>
      </c>
      <c r="HN94">
        <f>IF(ISBLANK('Data Entry'!$Ğ$94), "", 'Data Entry'!$Ğ$94)</f>
      </c>
      <c r="HO94">
        <f>IF(ISBLANK('Data Entry'!$ğ$94), "", 'Data Entry'!$ğ$94)</f>
      </c>
      <c r="HP94">
        <f>IF(ISBLANK('Data Entry'!$Ġ$94), "", 'Data Entry'!$Ġ$94)</f>
      </c>
      <c r="HQ94">
        <f>IF(ISBLANK('Data Entry'!$ġ$94), "", 'Data Entry'!$ġ$94)</f>
      </c>
      <c r="HR94">
        <f>IF(ISBLANK('Data Entry'!$Ģ$94), "", 'Data Entry'!$Ģ$94)</f>
      </c>
      <c r="HS94">
        <f>IF(ISBLANK('Data Entry'!$ģ$94), "", 'Data Entry'!$ģ$94)</f>
      </c>
      <c r="HT94">
        <f>IF(ISBLANK('Data Entry'!$Ĥ$94), "", 'Data Entry'!$Ĥ$94)</f>
      </c>
      <c r="HU94">
        <f>IF(ISBLANK('Data Entry'!$ĥ$94), "", 'Data Entry'!$ĥ$94)</f>
      </c>
      <c r="HV94">
        <f>IF(ISBLANK('Data Entry'!$Ħ$94), "", 'Data Entry'!$Ħ$94)</f>
      </c>
      <c r="HW94">
        <f>IF(ISBLANK('Data Entry'!$ħ$94), "", 'Data Entry'!$ħ$94)</f>
      </c>
      <c r="HX94">
        <f>IF(ISBLANK('Data Entry'!$Ĩ$94), "", 'Data Entry'!$Ĩ$94)</f>
      </c>
      <c r="HY94">
        <f>IF(ISBLANK('Data Entry'!$ĩ$94), "", 'Data Entry'!$ĩ$94)</f>
      </c>
      <c r="HZ94">
        <f>IF(ISBLANK('Data Entry'!$Ī$94), "", 'Data Entry'!$Ī$94)</f>
      </c>
      <c r="IA94">
        <f>IF(ISBLANK('Data Entry'!$ī$94), "", 'Data Entry'!$ī$94)</f>
      </c>
      <c r="IB94">
        <f>IF(ISBLANK('Data Entry'!$Ĭ$94), "", 'Data Entry'!$Ĭ$94)</f>
      </c>
      <c r="IC94">
        <f>IF(ISBLANK('Data Entry'!$ĭ$94), "", 'Data Entry'!$ĭ$94)</f>
      </c>
      <c r="ID94">
        <f>IF(ISBLANK('Data Entry'!$Į$94), "", 'Data Entry'!$Į$94)</f>
      </c>
      <c r="IE94">
        <f>IF(ISBLANK('Data Entry'!$į$94), "", 'Data Entry'!$į$94)</f>
      </c>
      <c r="IF94">
        <f>IF(ISBLANK('Data Entry'!$İ$94), "", 'Data Entry'!$İ$94)</f>
      </c>
      <c r="IG94">
        <f>IF(ISBLANK('Data Entry'!$ı$94), "", 'Data Entry'!$ı$94)</f>
      </c>
      <c r="IH94">
        <f>IF(ISBLANK('Data Entry'!$Ĳ$94), "", 'Data Entry'!$Ĳ$94)</f>
      </c>
      <c r="II94">
        <f>IF(ISBLANK('Data Entry'!$ĳ$94), "", 'Data Entry'!$ĳ$94)</f>
      </c>
      <c r="IJ94">
        <f>IF(ISBLANK('Data Entry'!$Ĵ$94), "", 'Data Entry'!$Ĵ$94)</f>
      </c>
      <c r="IK94">
        <f>IF(ISBLANK('Data Entry'!$ĵ$94), "", 'Data Entry'!$ĵ$94)</f>
      </c>
      <c r="IL94">
        <f>IF(ISBLANK('Data Entry'!$Ķ$94), "", 'Data Entry'!$Ķ$94)</f>
      </c>
      <c r="IM94">
        <f>IF(ISBLANK('Data Entry'!$ķ$94), "", 'Data Entry'!$ķ$94)</f>
      </c>
      <c r="IN94">
        <f>IF(ISBLANK('Data Entry'!$ĸ$94), "", 'Data Entry'!$ĸ$94)</f>
      </c>
      <c r="IO94">
        <f>IF(ISBLANK('Data Entry'!$Ĺ$94), "", 'Data Entry'!$Ĺ$94)</f>
      </c>
      <c r="IP94">
        <f>IF(ISBLANK('Data Entry'!$ĺ$94), "", 'Data Entry'!$ĺ$94)</f>
      </c>
      <c r="IQ94">
        <f>IF(ISBLANK('Data Entry'!$Ļ$94), "", 'Data Entry'!$Ļ$94)</f>
      </c>
      <c r="IR94">
        <f>IF(ISBLANK('Data Entry'!$ļ$94), "", 'Data Entry'!$ļ$94)</f>
      </c>
      <c r="IS94">
        <f>IF(ISBLANK('Data Entry'!$Ľ$94), "", 'Data Entry'!$Ľ$94)</f>
      </c>
      <c r="IT94">
        <f>IF(ISBLANK('Data Entry'!$ľ$94), "", 'Data Entry'!$ľ$94)</f>
      </c>
    </row>
    <row r="95" spans="1:254" x14ac:dyDescent="0.25">
      <c r="A95">
        <f>IF(ISBLANK('Data Entry'!$A$95), "", 'Data Entry'!$A$95)</f>
      </c>
      <c r="B95">
        <f>IF(ISBLANK('Data Entry'!$B$95), "", 'Data Entry'!$B$95)</f>
      </c>
      <c r="C95">
        <f>IF(ISBLANK('Data Entry'!$C$95), "", 'Data Entry'!$C$95)</f>
      </c>
      <c r="D95">
        <f>IF(ISBLANK('Data Entry'!$D$95), "", 'Data Entry'!$D$95)</f>
      </c>
      <c r="E95">
        <f>IF(ISBLANK('Data Entry'!$E$95), "", 'Data Entry'!$E$95)</f>
      </c>
      <c r="F95">
        <f>IF(ISBLANK('Data Entry'!$F$95), "", 'Data Entry'!$F$95)</f>
      </c>
      <c r="G95">
        <f>IF(ISBLANK('Data Entry'!$G$95), "", 'Data Entry'!$G$95)</f>
      </c>
      <c r="H95">
        <f>IF(ISBLANK('Data Entry'!$H$95), "", 'Data Entry'!$H$95)</f>
      </c>
      <c r="I95">
        <f>IF(ISBLANK('Data Entry'!$I$95), "", 'Data Entry'!$I$95)</f>
      </c>
      <c r="J95">
        <f>IF(ISBLANK('Data Entry'!$J$95), "", 'Data Entry'!$J$95)</f>
      </c>
      <c r="K95">
        <f>IF(ISBLANK('Data Entry'!$K$95), "", 'Data Entry'!$K$95)</f>
      </c>
      <c r="L95">
        <f>IF(ISBLANK('Data Entry'!$L$95), "", 'Data Entry'!$L$95)</f>
      </c>
      <c r="M95">
        <f>IF(ISBLANK('Data Entry'!$M$95), "", 'Data Entry'!$M$95)</f>
      </c>
      <c r="N95">
        <f>IF(ISBLANK('Data Entry'!$N$95), "", 'Data Entry'!$N$95)</f>
      </c>
      <c r="O95">
        <f>IF(ISBLANK('Data Entry'!$O$95), "", 'Data Entry'!$O$95)</f>
      </c>
      <c r="P95">
        <f>IF(ISBLANK('Data Entry'!$P$95), "", 'Data Entry'!$P$95)</f>
      </c>
      <c r="Q95">
        <f>IF(ISBLANK('Data Entry'!$Q$95), "", 'Data Entry'!$Q$95)</f>
      </c>
      <c r="R95">
        <f>IF(ISBLANK('Data Entry'!$R$95), "", 'Data Entry'!$R$95)</f>
      </c>
      <c r="S95">
        <f>IF(ISBLANK('Data Entry'!$S$95), "", 'Data Entry'!$S$95)</f>
      </c>
      <c r="T95">
        <f>IF(ISBLANK('Data Entry'!$T$95), "", 'Data Entry'!$T$95)</f>
      </c>
      <c r="U95">
        <f>IF(ISBLANK('Data Entry'!$U$95), "", 'Data Entry'!$U$95)</f>
      </c>
      <c r="V95">
        <f>IF(ISBLANK('Data Entry'!$V$95), "", 'Data Entry'!$V$95)</f>
      </c>
      <c r="W95">
        <f>IF(ISBLANK('Data Entry'!$W$95), "", 'Data Entry'!$W$95)</f>
      </c>
      <c r="X95">
        <f>IF(ISBLANK('Data Entry'!$X$95), "", 'Data Entry'!$X$95)</f>
      </c>
      <c r="Y95">
        <f>IF(ISBLANK('Data Entry'!$Y$95), "", 'Data Entry'!$Y$95)</f>
      </c>
      <c r="Z95">
        <f>IF(ISBLANK('Data Entry'!$Z$95), "", 'Data Entry'!$Z$95)</f>
      </c>
      <c r="AA95">
        <f>IF(ISBLANK('Data Entry'!$[$95), "", 'Data Entry'!$[$95)</f>
      </c>
      <c r="AB95">
        <f>IF(ISBLANK('Data Entry'!$\$95), "", 'Data Entry'!$\$95)</f>
      </c>
      <c r="AC95">
        <f>IF(ISBLANK('Data Entry'!$]$95), "", 'Data Entry'!$]$95)</f>
      </c>
      <c r="AD95">
        <f>IF(ISBLANK('Data Entry'!$^$95), "", 'Data Entry'!$^$95)</f>
      </c>
      <c r="AE95">
        <f>IF(ISBLANK('Data Entry'!$_$95), "", 'Data Entry'!$_$95)</f>
      </c>
      <c r="AF95">
        <f>IF(ISBLANK('Data Entry'!$`$95), "", 'Data Entry'!$`$95)</f>
      </c>
      <c r="AG95">
        <f>IF(ISBLANK('Data Entry'!$a$95), "", 'Data Entry'!$a$95)</f>
      </c>
      <c r="AH95">
        <f>IF(ISBLANK('Data Entry'!$b$95), "", 'Data Entry'!$b$95)</f>
      </c>
      <c r="AI95">
        <f>IF(ISBLANK('Data Entry'!$c$95), "", 'Data Entry'!$c$95)</f>
      </c>
      <c r="AJ95">
        <f>IF(ISBLANK('Data Entry'!$d$95), "", 'Data Entry'!$d$95)</f>
      </c>
      <c r="AK95">
        <f>IF(ISBLANK('Data Entry'!$e$95), "", 'Data Entry'!$e$95)</f>
      </c>
      <c r="AL95">
        <f>IF(ISBLANK('Data Entry'!$f$95), "", 'Data Entry'!$f$95)</f>
      </c>
      <c r="AM95">
        <f>IF(ISBLANK('Data Entry'!$g$95), "", 'Data Entry'!$g$95)</f>
      </c>
      <c r="AN95">
        <f>IF(ISBLANK('Data Entry'!$h$95), "", 'Data Entry'!$h$95)</f>
      </c>
      <c r="AO95">
        <f>IF(ISBLANK('Data Entry'!$i$95), "", 'Data Entry'!$i$95)</f>
      </c>
      <c r="AP95">
        <f>IF(ISBLANK('Data Entry'!$j$95), "", 'Data Entry'!$j$95)</f>
      </c>
      <c r="AQ95">
        <f>IF(ISBLANK('Data Entry'!$k$95), "", 'Data Entry'!$k$95)</f>
      </c>
      <c r="AR95">
        <f>IF(ISBLANK('Data Entry'!$l$95), "", 'Data Entry'!$l$95)</f>
      </c>
      <c r="AS95">
        <f>IF(ISBLANK('Data Entry'!$m$95), "", 'Data Entry'!$m$95)</f>
      </c>
      <c r="AT95">
        <f>IF(ISBLANK('Data Entry'!$n$95), "", 'Data Entry'!$n$95)</f>
      </c>
      <c r="AU95">
        <f>IF(ISBLANK('Data Entry'!$o$95), "", 'Data Entry'!$o$95)</f>
      </c>
      <c r="AV95">
        <f>IF(ISBLANK('Data Entry'!$p$95), "", 'Data Entry'!$p$95)</f>
      </c>
      <c r="AW95">
        <f>IF(ISBLANK('Data Entry'!$q$95), "", 'Data Entry'!$q$95)</f>
      </c>
      <c r="AX95">
        <f>IF(ISBLANK('Data Entry'!$r$95), "", 'Data Entry'!$r$95)</f>
      </c>
      <c r="AY95">
        <f>IF(ISBLANK('Data Entry'!$s$95), "", 'Data Entry'!$s$95)</f>
      </c>
      <c r="AZ95">
        <f>IF(ISBLANK('Data Entry'!$t$95), "", 'Data Entry'!$t$95)</f>
      </c>
      <c r="BA95">
        <f>IF(ISBLANK('Data Entry'!$u$95), "", 'Data Entry'!$u$95)</f>
      </c>
      <c r="BB95">
        <f>IF(ISBLANK('Data Entry'!$v$95), "", 'Data Entry'!$v$95)</f>
      </c>
      <c r="BC95">
        <f>IF(ISBLANK('Data Entry'!$w$95), "", 'Data Entry'!$w$95)</f>
      </c>
      <c r="BD95">
        <f>IF(ISBLANK('Data Entry'!$x$95), "", 'Data Entry'!$x$95)</f>
      </c>
      <c r="BE95">
        <f>IF(ISBLANK('Data Entry'!$y$95), "", 'Data Entry'!$y$95)</f>
      </c>
      <c r="BF95">
        <f>IF(ISBLANK('Data Entry'!$z$95), "", 'Data Entry'!$z$95)</f>
      </c>
      <c r="BG95">
        <f>IF(ISBLANK('Data Entry'!${$95), "", 'Data Entry'!${$95)</f>
      </c>
      <c r="BH95">
        <f>IF(ISBLANK('Data Entry'!$|$95), "", 'Data Entry'!$|$95)</f>
      </c>
      <c r="BI95">
        <f>IF(ISBLANK('Data Entry'!$}$95), "", 'Data Entry'!$}$95)</f>
      </c>
      <c r="BJ95">
        <f>IF(ISBLANK('Data Entry'!$~$95), "", 'Data Entry'!$~$95)</f>
      </c>
      <c r="BK95">
        <f>IF(ISBLANK('Data Entry'!$$95), "", 'Data Entry'!$$95)</f>
      </c>
      <c r="BL95">
        <f>IF(ISBLANK('Data Entry'!$$95), "", 'Data Entry'!$$95)</f>
      </c>
      <c r="BM95">
        <f>IF(ISBLANK('Data Entry'!$$95), "", 'Data Entry'!$$95)</f>
      </c>
      <c r="BN95">
        <f>IF(ISBLANK('Data Entry'!$$95), "", 'Data Entry'!$$95)</f>
      </c>
      <c r="BO95">
        <f>IF(ISBLANK('Data Entry'!$$95), "", 'Data Entry'!$$95)</f>
      </c>
      <c r="BP95">
        <f>IF(ISBLANK('Data Entry'!$$95), "", 'Data Entry'!$$95)</f>
      </c>
      <c r="BQ95">
        <f>IF(ISBLANK('Data Entry'!$$95), "", 'Data Entry'!$$95)</f>
      </c>
      <c r="BR95">
        <f>IF(ISBLANK('Data Entry'!$$95), "", 'Data Entry'!$$95)</f>
      </c>
      <c r="BS95">
        <f>IF(ISBLANK('Data Entry'!$$95), "", 'Data Entry'!$$95)</f>
      </c>
      <c r="BT95">
        <f>IF(ISBLANK('Data Entry'!$$95), "", 'Data Entry'!$$95)</f>
      </c>
      <c r="BU95">
        <f>IF(ISBLANK('Data Entry'!$$95), "", 'Data Entry'!$$95)</f>
      </c>
      <c r="BV95">
        <f>IF(ISBLANK('Data Entry'!$$95), "", 'Data Entry'!$$95)</f>
      </c>
      <c r="BW95">
        <f>IF(ISBLANK('Data Entry'!$$95), "", 'Data Entry'!$$95)</f>
      </c>
      <c r="BX95">
        <f>IF(ISBLANK('Data Entry'!$$95), "", 'Data Entry'!$$95)</f>
      </c>
      <c r="BY95">
        <f>IF(ISBLANK('Data Entry'!$$95), "", 'Data Entry'!$$95)</f>
      </c>
      <c r="BZ95">
        <f>IF(ISBLANK('Data Entry'!$$95), "", 'Data Entry'!$$95)</f>
      </c>
      <c r="CA95">
        <f>IF(ISBLANK('Data Entry'!$$95), "", 'Data Entry'!$$95)</f>
      </c>
      <c r="CB95">
        <f>IF(ISBLANK('Data Entry'!$$95), "", 'Data Entry'!$$95)</f>
      </c>
      <c r="CC95">
        <f>IF(ISBLANK('Data Entry'!$$95), "", 'Data Entry'!$$95)</f>
      </c>
      <c r="CD95">
        <f>IF(ISBLANK('Data Entry'!$$95), "", 'Data Entry'!$$95)</f>
      </c>
      <c r="CE95">
        <f>IF(ISBLANK('Data Entry'!$$95), "", 'Data Entry'!$$95)</f>
      </c>
      <c r="CF95">
        <f>IF(ISBLANK('Data Entry'!$$95), "", 'Data Entry'!$$95)</f>
      </c>
      <c r="CG95">
        <f>IF(ISBLANK('Data Entry'!$$95), "", 'Data Entry'!$$95)</f>
      </c>
      <c r="CH95">
        <f>IF(ISBLANK('Data Entry'!$$95), "", 'Data Entry'!$$95)</f>
      </c>
      <c r="CI95">
        <f>IF(ISBLANK('Data Entry'!$$95), "", 'Data Entry'!$$95)</f>
      </c>
      <c r="CJ95">
        <f>IF(ISBLANK('Data Entry'!$$95), "", 'Data Entry'!$$95)</f>
      </c>
      <c r="CK95">
        <f>IF(ISBLANK('Data Entry'!$$95), "", 'Data Entry'!$$95)</f>
      </c>
      <c r="CL95">
        <f>IF(ISBLANK('Data Entry'!$$95), "", 'Data Entry'!$$95)</f>
      </c>
      <c r="CM95">
        <f>IF(ISBLANK('Data Entry'!$$95), "", 'Data Entry'!$$95)</f>
      </c>
      <c r="CN95">
        <f>IF(ISBLANK('Data Entry'!$$95), "", 'Data Entry'!$$95)</f>
      </c>
      <c r="CO95">
        <f>IF(ISBLANK('Data Entry'!$$95), "", 'Data Entry'!$$95)</f>
      </c>
      <c r="CP95">
        <f>IF(ISBLANK('Data Entry'!$$95), "", 'Data Entry'!$$95)</f>
      </c>
      <c r="CQ95">
        <f>IF(ISBLANK('Data Entry'!$$95), "", 'Data Entry'!$$95)</f>
      </c>
      <c r="CR95">
        <f>IF(ISBLANK('Data Entry'!$ $95), "", 'Data Entry'!$ $95)</f>
      </c>
      <c r="CS95">
        <f>IF(ISBLANK('Data Entry'!$¡$95), "", 'Data Entry'!$¡$95)</f>
      </c>
      <c r="CT95">
        <f>IF(ISBLANK('Data Entry'!$¢$95), "", 'Data Entry'!$¢$95)</f>
      </c>
      <c r="CU95">
        <f>IF(ISBLANK('Data Entry'!$£$95), "", 'Data Entry'!$£$95)</f>
      </c>
      <c r="CV95">
        <f>IF(ISBLANK('Data Entry'!$¤$95), "", 'Data Entry'!$¤$95)</f>
      </c>
      <c r="CW95">
        <f>IF(ISBLANK('Data Entry'!$¥$95), "", 'Data Entry'!$¥$95)</f>
      </c>
      <c r="CX95">
        <f>IF(ISBLANK('Data Entry'!$¦$95), "", 'Data Entry'!$¦$95)</f>
      </c>
      <c r="CY95">
        <f>IF(ISBLANK('Data Entry'!$§$95), "", 'Data Entry'!$§$95)</f>
      </c>
      <c r="CZ95">
        <f>IF(ISBLANK('Data Entry'!$¨$95), "", 'Data Entry'!$¨$95)</f>
      </c>
      <c r="DA95">
        <f>IF(ISBLANK('Data Entry'!$©$95), "", 'Data Entry'!$©$95)</f>
      </c>
      <c r="DB95">
        <f>IF(ISBLANK('Data Entry'!$ª$95), "", 'Data Entry'!$ª$95)</f>
      </c>
      <c r="DC95">
        <f>IF(ISBLANK('Data Entry'!$«$95), "", 'Data Entry'!$«$95)</f>
      </c>
      <c r="DD95">
        <f>IF(ISBLANK('Data Entry'!$¬$95), "", 'Data Entry'!$¬$95)</f>
      </c>
      <c r="DE95">
        <f>IF(ISBLANK('Data Entry'!$­$95), "", 'Data Entry'!$­$95)</f>
      </c>
      <c r="DF95">
        <f>IF(ISBLANK('Data Entry'!$®$95), "", 'Data Entry'!$®$95)</f>
      </c>
      <c r="DG95">
        <f>IF(ISBLANK('Data Entry'!$¯$95), "", 'Data Entry'!$¯$95)</f>
      </c>
      <c r="DH95">
        <f>IF(ISBLANK('Data Entry'!$°$95), "", 'Data Entry'!$°$95)</f>
      </c>
      <c r="DI95">
        <f>IF(ISBLANK('Data Entry'!$±$95), "", 'Data Entry'!$±$95)</f>
      </c>
      <c r="DJ95">
        <f>IF(ISBLANK('Data Entry'!$²$95), "", 'Data Entry'!$²$95)</f>
      </c>
      <c r="DK95">
        <f>IF(ISBLANK('Data Entry'!$³$95), "", 'Data Entry'!$³$95)</f>
      </c>
      <c r="DL95">
        <f>IF(ISBLANK('Data Entry'!$´$95), "", 'Data Entry'!$´$95)</f>
      </c>
      <c r="DM95">
        <f>IF(ISBLANK('Data Entry'!$µ$95), "", 'Data Entry'!$µ$95)</f>
      </c>
      <c r="DN95">
        <f>IF(ISBLANK('Data Entry'!$¶$95), "", 'Data Entry'!$¶$95)</f>
      </c>
      <c r="DO95">
        <f>IF(ISBLANK('Data Entry'!$·$95), "", 'Data Entry'!$·$95)</f>
      </c>
      <c r="DP95">
        <f>IF(ISBLANK('Data Entry'!$¸$95), "", 'Data Entry'!$¸$95)</f>
      </c>
      <c r="DQ95">
        <f>IF(ISBLANK('Data Entry'!$¹$95), "", 'Data Entry'!$¹$95)</f>
      </c>
      <c r="DR95">
        <f>IF(ISBLANK('Data Entry'!$º$95), "", 'Data Entry'!$º$95)</f>
      </c>
      <c r="DS95">
        <f>IF(ISBLANK('Data Entry'!$»$95), "", 'Data Entry'!$»$95)</f>
      </c>
      <c r="DT95">
        <f>IF(ISBLANK('Data Entry'!$¼$95), "", 'Data Entry'!$¼$95)</f>
      </c>
      <c r="DU95">
        <f>IF(ISBLANK('Data Entry'!$½$95), "", 'Data Entry'!$½$95)</f>
      </c>
      <c r="DV95">
        <f>IF(ISBLANK('Data Entry'!$¾$95), "", 'Data Entry'!$¾$95)</f>
      </c>
      <c r="DW95">
        <f>IF(ISBLANK('Data Entry'!$¿$95), "", 'Data Entry'!$¿$95)</f>
      </c>
      <c r="DX95">
        <f>IF(ISBLANK('Data Entry'!$À$95), "", 'Data Entry'!$À$95)</f>
      </c>
      <c r="DY95">
        <f>IF(ISBLANK('Data Entry'!$Á$95), "", 'Data Entry'!$Á$95)</f>
      </c>
      <c r="DZ95">
        <f>IF(ISBLANK('Data Entry'!$Â$95), "", 'Data Entry'!$Â$95)</f>
      </c>
      <c r="EA95">
        <f>IF(ISBLANK('Data Entry'!$Ã$95), "", 'Data Entry'!$Ã$95)</f>
      </c>
      <c r="EB95">
        <f>IF(ISBLANK('Data Entry'!$Ä$95), "", 'Data Entry'!$Ä$95)</f>
      </c>
      <c r="EC95">
        <f>IF(ISBLANK('Data Entry'!$Å$95), "", 'Data Entry'!$Å$95)</f>
      </c>
      <c r="ED95">
        <f>IF(ISBLANK('Data Entry'!$Æ$95), "", 'Data Entry'!$Æ$95)</f>
      </c>
      <c r="EE95">
        <f>IF(ISBLANK('Data Entry'!$Ç$95), "", 'Data Entry'!$Ç$95)</f>
      </c>
      <c r="EF95">
        <f>IF(ISBLANK('Data Entry'!$È$95), "", 'Data Entry'!$È$95)</f>
      </c>
      <c r="EG95">
        <f>IF(ISBLANK('Data Entry'!$É$95), "", 'Data Entry'!$É$95)</f>
      </c>
      <c r="EH95">
        <f>IF(ISBLANK('Data Entry'!$Ê$95), "", 'Data Entry'!$Ê$95)</f>
      </c>
      <c r="EI95">
        <f>IF(ISBLANK('Data Entry'!$Ë$95), "", 'Data Entry'!$Ë$95)</f>
      </c>
      <c r="EJ95">
        <f>IF(ISBLANK('Data Entry'!$Ì$95), "", 'Data Entry'!$Ì$95)</f>
      </c>
      <c r="EK95">
        <f>IF(ISBLANK('Data Entry'!$Í$95), "", 'Data Entry'!$Í$95)</f>
      </c>
      <c r="EL95">
        <f>IF(ISBLANK('Data Entry'!$Î$95), "", 'Data Entry'!$Î$95)</f>
      </c>
      <c r="EM95">
        <f>IF(ISBLANK('Data Entry'!$Ï$95), "", 'Data Entry'!$Ï$95)</f>
      </c>
      <c r="EN95">
        <f>IF(ISBLANK('Data Entry'!$Ð$95), "", 'Data Entry'!$Ð$95)</f>
      </c>
      <c r="EO95">
        <f>IF(ISBLANK('Data Entry'!$Ñ$95), "", 'Data Entry'!$Ñ$95)</f>
      </c>
      <c r="EP95">
        <f>IF(ISBLANK('Data Entry'!$Ò$95), "", 'Data Entry'!$Ò$95)</f>
      </c>
      <c r="EQ95">
        <f>IF(ISBLANK('Data Entry'!$Ó$95), "", 'Data Entry'!$Ó$95)</f>
      </c>
      <c r="ER95">
        <f>IF(ISBLANK('Data Entry'!$Ô$95), "", 'Data Entry'!$Ô$95)</f>
      </c>
      <c r="ES95">
        <f>IF(ISBLANK('Data Entry'!$Õ$95), "", 'Data Entry'!$Õ$95)</f>
      </c>
      <c r="ET95">
        <f>IF(ISBLANK('Data Entry'!$Ö$95), "", 'Data Entry'!$Ö$95)</f>
      </c>
      <c r="EU95">
        <f>IF(ISBLANK('Data Entry'!$×$95), "", 'Data Entry'!$×$95)</f>
      </c>
      <c r="EV95">
        <f>IF(ISBLANK('Data Entry'!$Ø$95), "", 'Data Entry'!$Ø$95)</f>
      </c>
      <c r="EW95">
        <f>IF(ISBLANK('Data Entry'!$Ù$95), "", 'Data Entry'!$Ù$95)</f>
      </c>
      <c r="EX95">
        <f>IF(ISBLANK('Data Entry'!$Ú$95), "", 'Data Entry'!$Ú$95)</f>
      </c>
      <c r="EY95">
        <f>IF(ISBLANK('Data Entry'!$Û$95), "", 'Data Entry'!$Û$95)</f>
      </c>
      <c r="EZ95">
        <f>IF(ISBLANK('Data Entry'!$Ü$95), "", 'Data Entry'!$Ü$95)</f>
      </c>
      <c r="FA95">
        <f>IF(ISBLANK('Data Entry'!$Ý$95), "", 'Data Entry'!$Ý$95)</f>
      </c>
      <c r="FB95">
        <f>IF(ISBLANK('Data Entry'!$Þ$95), "", 'Data Entry'!$Þ$95)</f>
      </c>
      <c r="FC95">
        <f>IF(ISBLANK('Data Entry'!$ß$95), "", 'Data Entry'!$ß$95)</f>
      </c>
      <c r="FD95">
        <f>IF(ISBLANK('Data Entry'!$à$95), "", 'Data Entry'!$à$95)</f>
      </c>
      <c r="FE95">
        <f>IF(ISBLANK('Data Entry'!$á$95), "", 'Data Entry'!$á$95)</f>
      </c>
      <c r="FF95">
        <f>IF(ISBLANK('Data Entry'!$â$95), "", 'Data Entry'!$â$95)</f>
      </c>
      <c r="FG95">
        <f>IF(ISBLANK('Data Entry'!$ã$95), "", 'Data Entry'!$ã$95)</f>
      </c>
      <c r="FH95">
        <f>IF(ISBLANK('Data Entry'!$ä$95), "", 'Data Entry'!$ä$95)</f>
      </c>
      <c r="FI95">
        <f>IF(ISBLANK('Data Entry'!$å$95), "", 'Data Entry'!$å$95)</f>
      </c>
      <c r="FJ95">
        <f>IF(ISBLANK('Data Entry'!$æ$95), "", 'Data Entry'!$æ$95)</f>
      </c>
      <c r="FK95">
        <f>IF(ISBLANK('Data Entry'!$ç$95), "", 'Data Entry'!$ç$95)</f>
      </c>
      <c r="FL95">
        <f>IF(ISBLANK('Data Entry'!$è$95), "", 'Data Entry'!$è$95)</f>
      </c>
      <c r="FM95">
        <f>IF(ISBLANK('Data Entry'!$é$95), "", 'Data Entry'!$é$95)</f>
      </c>
      <c r="FN95">
        <f>IF(ISBLANK('Data Entry'!$ê$95), "", 'Data Entry'!$ê$95)</f>
      </c>
      <c r="FO95">
        <f>IF(ISBLANK('Data Entry'!$ë$95), "", 'Data Entry'!$ë$95)</f>
      </c>
      <c r="FP95">
        <f>IF(ISBLANK('Data Entry'!$ì$95), "", 'Data Entry'!$ì$95)</f>
      </c>
      <c r="FQ95">
        <f>IF(ISBLANK('Data Entry'!$í$95), "", 'Data Entry'!$í$95)</f>
      </c>
      <c r="FR95">
        <f>IF(ISBLANK('Data Entry'!$î$95), "", 'Data Entry'!$î$95)</f>
      </c>
      <c r="FS95">
        <f>IF(ISBLANK('Data Entry'!$ï$95), "", 'Data Entry'!$ï$95)</f>
      </c>
      <c r="FT95">
        <f>IF(ISBLANK('Data Entry'!$ð$95), "", 'Data Entry'!$ð$95)</f>
      </c>
      <c r="FU95">
        <f>IF(ISBLANK('Data Entry'!$ñ$95), "", 'Data Entry'!$ñ$95)</f>
      </c>
      <c r="FV95">
        <f>IF(ISBLANK('Data Entry'!$ò$95), "", 'Data Entry'!$ò$95)</f>
      </c>
      <c r="FW95">
        <f>IF(ISBLANK('Data Entry'!$ó$95), "", 'Data Entry'!$ó$95)</f>
      </c>
      <c r="FX95">
        <f>IF(ISBLANK('Data Entry'!$ô$95), "", 'Data Entry'!$ô$95)</f>
      </c>
      <c r="FY95">
        <f>IF(ISBLANK('Data Entry'!$õ$95), "", 'Data Entry'!$õ$95)</f>
      </c>
      <c r="FZ95">
        <f>IF(ISBLANK('Data Entry'!$ö$95), "", 'Data Entry'!$ö$95)</f>
      </c>
      <c r="GA95">
        <f>IF(ISBLANK('Data Entry'!$÷$95), "", 'Data Entry'!$÷$95)</f>
      </c>
      <c r="GB95">
        <f>IF(ISBLANK('Data Entry'!$ø$95), "", 'Data Entry'!$ø$95)</f>
      </c>
      <c r="GC95">
        <f>IF(ISBLANK('Data Entry'!$ù$95), "", 'Data Entry'!$ù$95)</f>
      </c>
      <c r="GD95">
        <f>IF(ISBLANK('Data Entry'!$ú$95), "", 'Data Entry'!$ú$95)</f>
      </c>
      <c r="GE95">
        <f>IF(ISBLANK('Data Entry'!$û$95), "", 'Data Entry'!$û$95)</f>
      </c>
      <c r="GF95">
        <f>IF(ISBLANK('Data Entry'!$ü$95), "", 'Data Entry'!$ü$95)</f>
      </c>
      <c r="GG95">
        <f>IF(ISBLANK('Data Entry'!$ý$95), "", 'Data Entry'!$ý$95)</f>
      </c>
      <c r="GH95">
        <f>IF(ISBLANK('Data Entry'!$þ$95), "", 'Data Entry'!$þ$95)</f>
      </c>
      <c r="GI95">
        <f>IF(ISBLANK('Data Entry'!$ÿ$95), "", 'Data Entry'!$ÿ$95)</f>
      </c>
      <c r="GJ95">
        <f>IF(ISBLANK('Data Entry'!$Ā$95), "", 'Data Entry'!$Ā$95)</f>
      </c>
      <c r="GK95">
        <f>IF(ISBLANK('Data Entry'!$ā$95), "", 'Data Entry'!$ā$95)</f>
      </c>
      <c r="GL95">
        <f>IF(ISBLANK('Data Entry'!$Ă$95), "", 'Data Entry'!$Ă$95)</f>
      </c>
      <c r="GM95">
        <f>IF(ISBLANK('Data Entry'!$ă$95), "", 'Data Entry'!$ă$95)</f>
      </c>
      <c r="GN95">
        <f>IF(ISBLANK('Data Entry'!$Ą$95), "", 'Data Entry'!$Ą$95)</f>
      </c>
      <c r="GO95">
        <f>IF(ISBLANK('Data Entry'!$ą$95), "", 'Data Entry'!$ą$95)</f>
      </c>
      <c r="GP95">
        <f>IF(ISBLANK('Data Entry'!$Ć$95), "", 'Data Entry'!$Ć$95)</f>
      </c>
      <c r="GQ95">
        <f>IF(ISBLANK('Data Entry'!$ć$95), "", 'Data Entry'!$ć$95)</f>
      </c>
      <c r="GR95">
        <f>IF(ISBLANK('Data Entry'!$Ĉ$95), "", 'Data Entry'!$Ĉ$95)</f>
      </c>
      <c r="GS95">
        <f>IF(ISBLANK('Data Entry'!$ĉ$95), "", 'Data Entry'!$ĉ$95)</f>
      </c>
      <c r="GT95">
        <f>IF(ISBLANK('Data Entry'!$Ċ$95), "", 'Data Entry'!$Ċ$95)</f>
      </c>
      <c r="GU95">
        <f>IF(ISBLANK('Data Entry'!$ċ$95), "", 'Data Entry'!$ċ$95)</f>
      </c>
      <c r="GV95">
        <f>IF(ISBLANK('Data Entry'!$Č$95), "", 'Data Entry'!$Č$95)</f>
      </c>
      <c r="GW95">
        <f>IF(ISBLANK('Data Entry'!$č$95), "", 'Data Entry'!$č$95)</f>
      </c>
      <c r="GX95">
        <f>IF(ISBLANK('Data Entry'!$Ď$95), "", 'Data Entry'!$Ď$95)</f>
      </c>
      <c r="GY95">
        <f>IF(ISBLANK('Data Entry'!$ď$95), "", 'Data Entry'!$ď$95)</f>
      </c>
      <c r="GZ95">
        <f>IF(ISBLANK('Data Entry'!$Đ$95), "", 'Data Entry'!$Đ$95)</f>
      </c>
      <c r="HA95">
        <f>IF(ISBLANK('Data Entry'!$đ$95), "", 'Data Entry'!$đ$95)</f>
      </c>
      <c r="HB95">
        <f>IF(ISBLANK('Data Entry'!$Ē$95), "", 'Data Entry'!$Ē$95)</f>
      </c>
      <c r="HC95">
        <f>IF(ISBLANK('Data Entry'!$ē$95), "", 'Data Entry'!$ē$95)</f>
      </c>
      <c r="HD95">
        <f>IF(ISBLANK('Data Entry'!$Ĕ$95), "", 'Data Entry'!$Ĕ$95)</f>
      </c>
      <c r="HE95">
        <f>IF(ISBLANK('Data Entry'!$ĕ$95), "", 'Data Entry'!$ĕ$95)</f>
      </c>
      <c r="HF95">
        <f>IF(ISBLANK('Data Entry'!$Ė$95), "", 'Data Entry'!$Ė$95)</f>
      </c>
      <c r="HG95">
        <f>IF(ISBLANK('Data Entry'!$ė$95), "", 'Data Entry'!$ė$95)</f>
      </c>
      <c r="HH95">
        <f>IF(ISBLANK('Data Entry'!$Ę$95), "", 'Data Entry'!$Ę$95)</f>
      </c>
      <c r="HI95">
        <f>IF(ISBLANK('Data Entry'!$ę$95), "", 'Data Entry'!$ę$95)</f>
      </c>
      <c r="HJ95">
        <f>IF(ISBLANK('Data Entry'!$Ě$95), "", 'Data Entry'!$Ě$95)</f>
      </c>
      <c r="HK95">
        <f>IF(ISBLANK('Data Entry'!$ě$95), "", 'Data Entry'!$ě$95)</f>
      </c>
      <c r="HL95">
        <f>IF(ISBLANK('Data Entry'!$Ĝ$95), "", 'Data Entry'!$Ĝ$95)</f>
      </c>
      <c r="HM95">
        <f>IF(ISBLANK('Data Entry'!$ĝ$95), "", 'Data Entry'!$ĝ$95)</f>
      </c>
      <c r="HN95">
        <f>IF(ISBLANK('Data Entry'!$Ğ$95), "", 'Data Entry'!$Ğ$95)</f>
      </c>
      <c r="HO95">
        <f>IF(ISBLANK('Data Entry'!$ğ$95), "", 'Data Entry'!$ğ$95)</f>
      </c>
      <c r="HP95">
        <f>IF(ISBLANK('Data Entry'!$Ġ$95), "", 'Data Entry'!$Ġ$95)</f>
      </c>
      <c r="HQ95">
        <f>IF(ISBLANK('Data Entry'!$ġ$95), "", 'Data Entry'!$ġ$95)</f>
      </c>
      <c r="HR95">
        <f>IF(ISBLANK('Data Entry'!$Ģ$95), "", 'Data Entry'!$Ģ$95)</f>
      </c>
      <c r="HS95">
        <f>IF(ISBLANK('Data Entry'!$ģ$95), "", 'Data Entry'!$ģ$95)</f>
      </c>
      <c r="HT95">
        <f>IF(ISBLANK('Data Entry'!$Ĥ$95), "", 'Data Entry'!$Ĥ$95)</f>
      </c>
      <c r="HU95">
        <f>IF(ISBLANK('Data Entry'!$ĥ$95), "", 'Data Entry'!$ĥ$95)</f>
      </c>
      <c r="HV95">
        <f>IF(ISBLANK('Data Entry'!$Ħ$95), "", 'Data Entry'!$Ħ$95)</f>
      </c>
      <c r="HW95">
        <f>IF(ISBLANK('Data Entry'!$ħ$95), "", 'Data Entry'!$ħ$95)</f>
      </c>
      <c r="HX95">
        <f>IF(ISBLANK('Data Entry'!$Ĩ$95), "", 'Data Entry'!$Ĩ$95)</f>
      </c>
      <c r="HY95">
        <f>IF(ISBLANK('Data Entry'!$ĩ$95), "", 'Data Entry'!$ĩ$95)</f>
      </c>
      <c r="HZ95">
        <f>IF(ISBLANK('Data Entry'!$Ī$95), "", 'Data Entry'!$Ī$95)</f>
      </c>
      <c r="IA95">
        <f>IF(ISBLANK('Data Entry'!$ī$95), "", 'Data Entry'!$ī$95)</f>
      </c>
      <c r="IB95">
        <f>IF(ISBLANK('Data Entry'!$Ĭ$95), "", 'Data Entry'!$Ĭ$95)</f>
      </c>
      <c r="IC95">
        <f>IF(ISBLANK('Data Entry'!$ĭ$95), "", 'Data Entry'!$ĭ$95)</f>
      </c>
      <c r="ID95">
        <f>IF(ISBLANK('Data Entry'!$Į$95), "", 'Data Entry'!$Į$95)</f>
      </c>
      <c r="IE95">
        <f>IF(ISBLANK('Data Entry'!$į$95), "", 'Data Entry'!$į$95)</f>
      </c>
      <c r="IF95">
        <f>IF(ISBLANK('Data Entry'!$İ$95), "", 'Data Entry'!$İ$95)</f>
      </c>
      <c r="IG95">
        <f>IF(ISBLANK('Data Entry'!$ı$95), "", 'Data Entry'!$ı$95)</f>
      </c>
      <c r="IH95">
        <f>IF(ISBLANK('Data Entry'!$Ĳ$95), "", 'Data Entry'!$Ĳ$95)</f>
      </c>
      <c r="II95">
        <f>IF(ISBLANK('Data Entry'!$ĳ$95), "", 'Data Entry'!$ĳ$95)</f>
      </c>
      <c r="IJ95">
        <f>IF(ISBLANK('Data Entry'!$Ĵ$95), "", 'Data Entry'!$Ĵ$95)</f>
      </c>
      <c r="IK95">
        <f>IF(ISBLANK('Data Entry'!$ĵ$95), "", 'Data Entry'!$ĵ$95)</f>
      </c>
      <c r="IL95">
        <f>IF(ISBLANK('Data Entry'!$Ķ$95), "", 'Data Entry'!$Ķ$95)</f>
      </c>
      <c r="IM95">
        <f>IF(ISBLANK('Data Entry'!$ķ$95), "", 'Data Entry'!$ķ$95)</f>
      </c>
      <c r="IN95">
        <f>IF(ISBLANK('Data Entry'!$ĸ$95), "", 'Data Entry'!$ĸ$95)</f>
      </c>
      <c r="IO95">
        <f>IF(ISBLANK('Data Entry'!$Ĺ$95), "", 'Data Entry'!$Ĺ$95)</f>
      </c>
      <c r="IP95">
        <f>IF(ISBLANK('Data Entry'!$ĺ$95), "", 'Data Entry'!$ĺ$95)</f>
      </c>
      <c r="IQ95">
        <f>IF(ISBLANK('Data Entry'!$Ļ$95), "", 'Data Entry'!$Ļ$95)</f>
      </c>
      <c r="IR95">
        <f>IF(ISBLANK('Data Entry'!$ļ$95), "", 'Data Entry'!$ļ$95)</f>
      </c>
      <c r="IS95">
        <f>IF(ISBLANK('Data Entry'!$Ľ$95), "", 'Data Entry'!$Ľ$95)</f>
      </c>
      <c r="IT95">
        <f>IF(ISBLANK('Data Entry'!$ľ$95), "", 'Data Entry'!$ľ$95)</f>
      </c>
    </row>
    <row r="96" spans="1:254" x14ac:dyDescent="0.25">
      <c r="A96">
        <f>IF(ISBLANK('Data Entry'!$A$96), "", 'Data Entry'!$A$96)</f>
      </c>
      <c r="B96">
        <f>IF(ISBLANK('Data Entry'!$B$96), "", 'Data Entry'!$B$96)</f>
      </c>
      <c r="C96">
        <f>IF(ISBLANK('Data Entry'!$C$96), "", 'Data Entry'!$C$96)</f>
      </c>
      <c r="D96">
        <f>IF(ISBLANK('Data Entry'!$D$96), "", 'Data Entry'!$D$96)</f>
      </c>
      <c r="E96">
        <f>IF(ISBLANK('Data Entry'!$E$96), "", 'Data Entry'!$E$96)</f>
      </c>
      <c r="F96">
        <f>IF(ISBLANK('Data Entry'!$F$96), "", 'Data Entry'!$F$96)</f>
      </c>
      <c r="G96">
        <f>IF(ISBLANK('Data Entry'!$G$96), "", 'Data Entry'!$G$96)</f>
      </c>
      <c r="H96">
        <f>IF(ISBLANK('Data Entry'!$H$96), "", 'Data Entry'!$H$96)</f>
      </c>
      <c r="I96">
        <f>IF(ISBLANK('Data Entry'!$I$96), "", 'Data Entry'!$I$96)</f>
      </c>
      <c r="J96">
        <f>IF(ISBLANK('Data Entry'!$J$96), "", 'Data Entry'!$J$96)</f>
      </c>
      <c r="K96">
        <f>IF(ISBLANK('Data Entry'!$K$96), "", 'Data Entry'!$K$96)</f>
      </c>
      <c r="L96">
        <f>IF(ISBLANK('Data Entry'!$L$96), "", 'Data Entry'!$L$96)</f>
      </c>
      <c r="M96">
        <f>IF(ISBLANK('Data Entry'!$M$96), "", 'Data Entry'!$M$96)</f>
      </c>
      <c r="N96">
        <f>IF(ISBLANK('Data Entry'!$N$96), "", 'Data Entry'!$N$96)</f>
      </c>
      <c r="O96">
        <f>IF(ISBLANK('Data Entry'!$O$96), "", 'Data Entry'!$O$96)</f>
      </c>
      <c r="P96">
        <f>IF(ISBLANK('Data Entry'!$P$96), "", 'Data Entry'!$P$96)</f>
      </c>
      <c r="Q96">
        <f>IF(ISBLANK('Data Entry'!$Q$96), "", 'Data Entry'!$Q$96)</f>
      </c>
      <c r="R96">
        <f>IF(ISBLANK('Data Entry'!$R$96), "", 'Data Entry'!$R$96)</f>
      </c>
      <c r="S96">
        <f>IF(ISBLANK('Data Entry'!$S$96), "", 'Data Entry'!$S$96)</f>
      </c>
      <c r="T96">
        <f>IF(ISBLANK('Data Entry'!$T$96), "", 'Data Entry'!$T$96)</f>
      </c>
      <c r="U96">
        <f>IF(ISBLANK('Data Entry'!$U$96), "", 'Data Entry'!$U$96)</f>
      </c>
      <c r="V96">
        <f>IF(ISBLANK('Data Entry'!$V$96), "", 'Data Entry'!$V$96)</f>
      </c>
      <c r="W96">
        <f>IF(ISBLANK('Data Entry'!$W$96), "", 'Data Entry'!$W$96)</f>
      </c>
      <c r="X96">
        <f>IF(ISBLANK('Data Entry'!$X$96), "", 'Data Entry'!$X$96)</f>
      </c>
      <c r="Y96">
        <f>IF(ISBLANK('Data Entry'!$Y$96), "", 'Data Entry'!$Y$96)</f>
      </c>
      <c r="Z96">
        <f>IF(ISBLANK('Data Entry'!$Z$96), "", 'Data Entry'!$Z$96)</f>
      </c>
      <c r="AA96">
        <f>IF(ISBLANK('Data Entry'!$[$96), "", 'Data Entry'!$[$96)</f>
      </c>
      <c r="AB96">
        <f>IF(ISBLANK('Data Entry'!$\$96), "", 'Data Entry'!$\$96)</f>
      </c>
      <c r="AC96">
        <f>IF(ISBLANK('Data Entry'!$]$96), "", 'Data Entry'!$]$96)</f>
      </c>
      <c r="AD96">
        <f>IF(ISBLANK('Data Entry'!$^$96), "", 'Data Entry'!$^$96)</f>
      </c>
      <c r="AE96">
        <f>IF(ISBLANK('Data Entry'!$_$96), "", 'Data Entry'!$_$96)</f>
      </c>
      <c r="AF96">
        <f>IF(ISBLANK('Data Entry'!$`$96), "", 'Data Entry'!$`$96)</f>
      </c>
      <c r="AG96">
        <f>IF(ISBLANK('Data Entry'!$a$96), "", 'Data Entry'!$a$96)</f>
      </c>
      <c r="AH96">
        <f>IF(ISBLANK('Data Entry'!$b$96), "", 'Data Entry'!$b$96)</f>
      </c>
      <c r="AI96">
        <f>IF(ISBLANK('Data Entry'!$c$96), "", 'Data Entry'!$c$96)</f>
      </c>
      <c r="AJ96">
        <f>IF(ISBLANK('Data Entry'!$d$96), "", 'Data Entry'!$d$96)</f>
      </c>
      <c r="AK96">
        <f>IF(ISBLANK('Data Entry'!$e$96), "", 'Data Entry'!$e$96)</f>
      </c>
      <c r="AL96">
        <f>IF(ISBLANK('Data Entry'!$f$96), "", 'Data Entry'!$f$96)</f>
      </c>
      <c r="AM96">
        <f>IF(ISBLANK('Data Entry'!$g$96), "", 'Data Entry'!$g$96)</f>
      </c>
      <c r="AN96">
        <f>IF(ISBLANK('Data Entry'!$h$96), "", 'Data Entry'!$h$96)</f>
      </c>
      <c r="AO96">
        <f>IF(ISBLANK('Data Entry'!$i$96), "", 'Data Entry'!$i$96)</f>
      </c>
      <c r="AP96">
        <f>IF(ISBLANK('Data Entry'!$j$96), "", 'Data Entry'!$j$96)</f>
      </c>
      <c r="AQ96">
        <f>IF(ISBLANK('Data Entry'!$k$96), "", 'Data Entry'!$k$96)</f>
      </c>
      <c r="AR96">
        <f>IF(ISBLANK('Data Entry'!$l$96), "", 'Data Entry'!$l$96)</f>
      </c>
      <c r="AS96">
        <f>IF(ISBLANK('Data Entry'!$m$96), "", 'Data Entry'!$m$96)</f>
      </c>
      <c r="AT96">
        <f>IF(ISBLANK('Data Entry'!$n$96), "", 'Data Entry'!$n$96)</f>
      </c>
      <c r="AU96">
        <f>IF(ISBLANK('Data Entry'!$o$96), "", 'Data Entry'!$o$96)</f>
      </c>
      <c r="AV96">
        <f>IF(ISBLANK('Data Entry'!$p$96), "", 'Data Entry'!$p$96)</f>
      </c>
      <c r="AW96">
        <f>IF(ISBLANK('Data Entry'!$q$96), "", 'Data Entry'!$q$96)</f>
      </c>
      <c r="AX96">
        <f>IF(ISBLANK('Data Entry'!$r$96), "", 'Data Entry'!$r$96)</f>
      </c>
      <c r="AY96">
        <f>IF(ISBLANK('Data Entry'!$s$96), "", 'Data Entry'!$s$96)</f>
      </c>
      <c r="AZ96">
        <f>IF(ISBLANK('Data Entry'!$t$96), "", 'Data Entry'!$t$96)</f>
      </c>
      <c r="BA96">
        <f>IF(ISBLANK('Data Entry'!$u$96), "", 'Data Entry'!$u$96)</f>
      </c>
      <c r="BB96">
        <f>IF(ISBLANK('Data Entry'!$v$96), "", 'Data Entry'!$v$96)</f>
      </c>
      <c r="BC96">
        <f>IF(ISBLANK('Data Entry'!$w$96), "", 'Data Entry'!$w$96)</f>
      </c>
      <c r="BD96">
        <f>IF(ISBLANK('Data Entry'!$x$96), "", 'Data Entry'!$x$96)</f>
      </c>
      <c r="BE96">
        <f>IF(ISBLANK('Data Entry'!$y$96), "", 'Data Entry'!$y$96)</f>
      </c>
      <c r="BF96">
        <f>IF(ISBLANK('Data Entry'!$z$96), "", 'Data Entry'!$z$96)</f>
      </c>
      <c r="BG96">
        <f>IF(ISBLANK('Data Entry'!${$96), "", 'Data Entry'!${$96)</f>
      </c>
      <c r="BH96">
        <f>IF(ISBLANK('Data Entry'!$|$96), "", 'Data Entry'!$|$96)</f>
      </c>
      <c r="BI96">
        <f>IF(ISBLANK('Data Entry'!$}$96), "", 'Data Entry'!$}$96)</f>
      </c>
      <c r="BJ96">
        <f>IF(ISBLANK('Data Entry'!$~$96), "", 'Data Entry'!$~$96)</f>
      </c>
      <c r="BK96">
        <f>IF(ISBLANK('Data Entry'!$$96), "", 'Data Entry'!$$96)</f>
      </c>
      <c r="BL96">
        <f>IF(ISBLANK('Data Entry'!$$96), "", 'Data Entry'!$$96)</f>
      </c>
      <c r="BM96">
        <f>IF(ISBLANK('Data Entry'!$$96), "", 'Data Entry'!$$96)</f>
      </c>
      <c r="BN96">
        <f>IF(ISBLANK('Data Entry'!$$96), "", 'Data Entry'!$$96)</f>
      </c>
      <c r="BO96">
        <f>IF(ISBLANK('Data Entry'!$$96), "", 'Data Entry'!$$96)</f>
      </c>
      <c r="BP96">
        <f>IF(ISBLANK('Data Entry'!$$96), "", 'Data Entry'!$$96)</f>
      </c>
      <c r="BQ96">
        <f>IF(ISBLANK('Data Entry'!$$96), "", 'Data Entry'!$$96)</f>
      </c>
      <c r="BR96">
        <f>IF(ISBLANK('Data Entry'!$$96), "", 'Data Entry'!$$96)</f>
      </c>
      <c r="BS96">
        <f>IF(ISBLANK('Data Entry'!$$96), "", 'Data Entry'!$$96)</f>
      </c>
      <c r="BT96">
        <f>IF(ISBLANK('Data Entry'!$$96), "", 'Data Entry'!$$96)</f>
      </c>
      <c r="BU96">
        <f>IF(ISBLANK('Data Entry'!$$96), "", 'Data Entry'!$$96)</f>
      </c>
      <c r="BV96">
        <f>IF(ISBLANK('Data Entry'!$$96), "", 'Data Entry'!$$96)</f>
      </c>
      <c r="BW96">
        <f>IF(ISBLANK('Data Entry'!$$96), "", 'Data Entry'!$$96)</f>
      </c>
      <c r="BX96">
        <f>IF(ISBLANK('Data Entry'!$$96), "", 'Data Entry'!$$96)</f>
      </c>
      <c r="BY96">
        <f>IF(ISBLANK('Data Entry'!$$96), "", 'Data Entry'!$$96)</f>
      </c>
      <c r="BZ96">
        <f>IF(ISBLANK('Data Entry'!$$96), "", 'Data Entry'!$$96)</f>
      </c>
      <c r="CA96">
        <f>IF(ISBLANK('Data Entry'!$$96), "", 'Data Entry'!$$96)</f>
      </c>
      <c r="CB96">
        <f>IF(ISBLANK('Data Entry'!$$96), "", 'Data Entry'!$$96)</f>
      </c>
      <c r="CC96">
        <f>IF(ISBLANK('Data Entry'!$$96), "", 'Data Entry'!$$96)</f>
      </c>
      <c r="CD96">
        <f>IF(ISBLANK('Data Entry'!$$96), "", 'Data Entry'!$$96)</f>
      </c>
      <c r="CE96">
        <f>IF(ISBLANK('Data Entry'!$$96), "", 'Data Entry'!$$96)</f>
      </c>
      <c r="CF96">
        <f>IF(ISBLANK('Data Entry'!$$96), "", 'Data Entry'!$$96)</f>
      </c>
      <c r="CG96">
        <f>IF(ISBLANK('Data Entry'!$$96), "", 'Data Entry'!$$96)</f>
      </c>
      <c r="CH96">
        <f>IF(ISBLANK('Data Entry'!$$96), "", 'Data Entry'!$$96)</f>
      </c>
      <c r="CI96">
        <f>IF(ISBLANK('Data Entry'!$$96), "", 'Data Entry'!$$96)</f>
      </c>
      <c r="CJ96">
        <f>IF(ISBLANK('Data Entry'!$$96), "", 'Data Entry'!$$96)</f>
      </c>
      <c r="CK96">
        <f>IF(ISBLANK('Data Entry'!$$96), "", 'Data Entry'!$$96)</f>
      </c>
      <c r="CL96">
        <f>IF(ISBLANK('Data Entry'!$$96), "", 'Data Entry'!$$96)</f>
      </c>
      <c r="CM96">
        <f>IF(ISBLANK('Data Entry'!$$96), "", 'Data Entry'!$$96)</f>
      </c>
      <c r="CN96">
        <f>IF(ISBLANK('Data Entry'!$$96), "", 'Data Entry'!$$96)</f>
      </c>
      <c r="CO96">
        <f>IF(ISBLANK('Data Entry'!$$96), "", 'Data Entry'!$$96)</f>
      </c>
      <c r="CP96">
        <f>IF(ISBLANK('Data Entry'!$$96), "", 'Data Entry'!$$96)</f>
      </c>
      <c r="CQ96">
        <f>IF(ISBLANK('Data Entry'!$$96), "", 'Data Entry'!$$96)</f>
      </c>
      <c r="CR96">
        <f>IF(ISBLANK('Data Entry'!$ $96), "", 'Data Entry'!$ $96)</f>
      </c>
      <c r="CS96">
        <f>IF(ISBLANK('Data Entry'!$¡$96), "", 'Data Entry'!$¡$96)</f>
      </c>
      <c r="CT96">
        <f>IF(ISBLANK('Data Entry'!$¢$96), "", 'Data Entry'!$¢$96)</f>
      </c>
      <c r="CU96">
        <f>IF(ISBLANK('Data Entry'!$£$96), "", 'Data Entry'!$£$96)</f>
      </c>
      <c r="CV96">
        <f>IF(ISBLANK('Data Entry'!$¤$96), "", 'Data Entry'!$¤$96)</f>
      </c>
      <c r="CW96">
        <f>IF(ISBLANK('Data Entry'!$¥$96), "", 'Data Entry'!$¥$96)</f>
      </c>
      <c r="CX96">
        <f>IF(ISBLANK('Data Entry'!$¦$96), "", 'Data Entry'!$¦$96)</f>
      </c>
      <c r="CY96">
        <f>IF(ISBLANK('Data Entry'!$§$96), "", 'Data Entry'!$§$96)</f>
      </c>
      <c r="CZ96">
        <f>IF(ISBLANK('Data Entry'!$¨$96), "", 'Data Entry'!$¨$96)</f>
      </c>
      <c r="DA96">
        <f>IF(ISBLANK('Data Entry'!$©$96), "", 'Data Entry'!$©$96)</f>
      </c>
      <c r="DB96">
        <f>IF(ISBLANK('Data Entry'!$ª$96), "", 'Data Entry'!$ª$96)</f>
      </c>
      <c r="DC96">
        <f>IF(ISBLANK('Data Entry'!$«$96), "", 'Data Entry'!$«$96)</f>
      </c>
      <c r="DD96">
        <f>IF(ISBLANK('Data Entry'!$¬$96), "", 'Data Entry'!$¬$96)</f>
      </c>
      <c r="DE96">
        <f>IF(ISBLANK('Data Entry'!$­$96), "", 'Data Entry'!$­$96)</f>
      </c>
      <c r="DF96">
        <f>IF(ISBLANK('Data Entry'!$®$96), "", 'Data Entry'!$®$96)</f>
      </c>
      <c r="DG96">
        <f>IF(ISBLANK('Data Entry'!$¯$96), "", 'Data Entry'!$¯$96)</f>
      </c>
      <c r="DH96">
        <f>IF(ISBLANK('Data Entry'!$°$96), "", 'Data Entry'!$°$96)</f>
      </c>
      <c r="DI96">
        <f>IF(ISBLANK('Data Entry'!$±$96), "", 'Data Entry'!$±$96)</f>
      </c>
      <c r="DJ96">
        <f>IF(ISBLANK('Data Entry'!$²$96), "", 'Data Entry'!$²$96)</f>
      </c>
      <c r="DK96">
        <f>IF(ISBLANK('Data Entry'!$³$96), "", 'Data Entry'!$³$96)</f>
      </c>
      <c r="DL96">
        <f>IF(ISBLANK('Data Entry'!$´$96), "", 'Data Entry'!$´$96)</f>
      </c>
      <c r="DM96">
        <f>IF(ISBLANK('Data Entry'!$µ$96), "", 'Data Entry'!$µ$96)</f>
      </c>
      <c r="DN96">
        <f>IF(ISBLANK('Data Entry'!$¶$96), "", 'Data Entry'!$¶$96)</f>
      </c>
      <c r="DO96">
        <f>IF(ISBLANK('Data Entry'!$·$96), "", 'Data Entry'!$·$96)</f>
      </c>
      <c r="DP96">
        <f>IF(ISBLANK('Data Entry'!$¸$96), "", 'Data Entry'!$¸$96)</f>
      </c>
      <c r="DQ96">
        <f>IF(ISBLANK('Data Entry'!$¹$96), "", 'Data Entry'!$¹$96)</f>
      </c>
      <c r="DR96">
        <f>IF(ISBLANK('Data Entry'!$º$96), "", 'Data Entry'!$º$96)</f>
      </c>
      <c r="DS96">
        <f>IF(ISBLANK('Data Entry'!$»$96), "", 'Data Entry'!$»$96)</f>
      </c>
      <c r="DT96">
        <f>IF(ISBLANK('Data Entry'!$¼$96), "", 'Data Entry'!$¼$96)</f>
      </c>
      <c r="DU96">
        <f>IF(ISBLANK('Data Entry'!$½$96), "", 'Data Entry'!$½$96)</f>
      </c>
      <c r="DV96">
        <f>IF(ISBLANK('Data Entry'!$¾$96), "", 'Data Entry'!$¾$96)</f>
      </c>
      <c r="DW96">
        <f>IF(ISBLANK('Data Entry'!$¿$96), "", 'Data Entry'!$¿$96)</f>
      </c>
      <c r="DX96">
        <f>IF(ISBLANK('Data Entry'!$À$96), "", 'Data Entry'!$À$96)</f>
      </c>
      <c r="DY96">
        <f>IF(ISBLANK('Data Entry'!$Á$96), "", 'Data Entry'!$Á$96)</f>
      </c>
      <c r="DZ96">
        <f>IF(ISBLANK('Data Entry'!$Â$96), "", 'Data Entry'!$Â$96)</f>
      </c>
      <c r="EA96">
        <f>IF(ISBLANK('Data Entry'!$Ã$96), "", 'Data Entry'!$Ã$96)</f>
      </c>
      <c r="EB96">
        <f>IF(ISBLANK('Data Entry'!$Ä$96), "", 'Data Entry'!$Ä$96)</f>
      </c>
      <c r="EC96">
        <f>IF(ISBLANK('Data Entry'!$Å$96), "", 'Data Entry'!$Å$96)</f>
      </c>
      <c r="ED96">
        <f>IF(ISBLANK('Data Entry'!$Æ$96), "", 'Data Entry'!$Æ$96)</f>
      </c>
      <c r="EE96">
        <f>IF(ISBLANK('Data Entry'!$Ç$96), "", 'Data Entry'!$Ç$96)</f>
      </c>
      <c r="EF96">
        <f>IF(ISBLANK('Data Entry'!$È$96), "", 'Data Entry'!$È$96)</f>
      </c>
      <c r="EG96">
        <f>IF(ISBLANK('Data Entry'!$É$96), "", 'Data Entry'!$É$96)</f>
      </c>
      <c r="EH96">
        <f>IF(ISBLANK('Data Entry'!$Ê$96), "", 'Data Entry'!$Ê$96)</f>
      </c>
      <c r="EI96">
        <f>IF(ISBLANK('Data Entry'!$Ë$96), "", 'Data Entry'!$Ë$96)</f>
      </c>
      <c r="EJ96">
        <f>IF(ISBLANK('Data Entry'!$Ì$96), "", 'Data Entry'!$Ì$96)</f>
      </c>
      <c r="EK96">
        <f>IF(ISBLANK('Data Entry'!$Í$96), "", 'Data Entry'!$Í$96)</f>
      </c>
      <c r="EL96">
        <f>IF(ISBLANK('Data Entry'!$Î$96), "", 'Data Entry'!$Î$96)</f>
      </c>
      <c r="EM96">
        <f>IF(ISBLANK('Data Entry'!$Ï$96), "", 'Data Entry'!$Ï$96)</f>
      </c>
      <c r="EN96">
        <f>IF(ISBLANK('Data Entry'!$Ð$96), "", 'Data Entry'!$Ð$96)</f>
      </c>
      <c r="EO96">
        <f>IF(ISBLANK('Data Entry'!$Ñ$96), "", 'Data Entry'!$Ñ$96)</f>
      </c>
      <c r="EP96">
        <f>IF(ISBLANK('Data Entry'!$Ò$96), "", 'Data Entry'!$Ò$96)</f>
      </c>
      <c r="EQ96">
        <f>IF(ISBLANK('Data Entry'!$Ó$96), "", 'Data Entry'!$Ó$96)</f>
      </c>
      <c r="ER96">
        <f>IF(ISBLANK('Data Entry'!$Ô$96), "", 'Data Entry'!$Ô$96)</f>
      </c>
      <c r="ES96">
        <f>IF(ISBLANK('Data Entry'!$Õ$96), "", 'Data Entry'!$Õ$96)</f>
      </c>
      <c r="ET96">
        <f>IF(ISBLANK('Data Entry'!$Ö$96), "", 'Data Entry'!$Ö$96)</f>
      </c>
      <c r="EU96">
        <f>IF(ISBLANK('Data Entry'!$×$96), "", 'Data Entry'!$×$96)</f>
      </c>
      <c r="EV96">
        <f>IF(ISBLANK('Data Entry'!$Ø$96), "", 'Data Entry'!$Ø$96)</f>
      </c>
      <c r="EW96">
        <f>IF(ISBLANK('Data Entry'!$Ù$96), "", 'Data Entry'!$Ù$96)</f>
      </c>
      <c r="EX96">
        <f>IF(ISBLANK('Data Entry'!$Ú$96), "", 'Data Entry'!$Ú$96)</f>
      </c>
      <c r="EY96">
        <f>IF(ISBLANK('Data Entry'!$Û$96), "", 'Data Entry'!$Û$96)</f>
      </c>
      <c r="EZ96">
        <f>IF(ISBLANK('Data Entry'!$Ü$96), "", 'Data Entry'!$Ü$96)</f>
      </c>
      <c r="FA96">
        <f>IF(ISBLANK('Data Entry'!$Ý$96), "", 'Data Entry'!$Ý$96)</f>
      </c>
      <c r="FB96">
        <f>IF(ISBLANK('Data Entry'!$Þ$96), "", 'Data Entry'!$Þ$96)</f>
      </c>
      <c r="FC96">
        <f>IF(ISBLANK('Data Entry'!$ß$96), "", 'Data Entry'!$ß$96)</f>
      </c>
      <c r="FD96">
        <f>IF(ISBLANK('Data Entry'!$à$96), "", 'Data Entry'!$à$96)</f>
      </c>
      <c r="FE96">
        <f>IF(ISBLANK('Data Entry'!$á$96), "", 'Data Entry'!$á$96)</f>
      </c>
      <c r="FF96">
        <f>IF(ISBLANK('Data Entry'!$â$96), "", 'Data Entry'!$â$96)</f>
      </c>
      <c r="FG96">
        <f>IF(ISBLANK('Data Entry'!$ã$96), "", 'Data Entry'!$ã$96)</f>
      </c>
      <c r="FH96">
        <f>IF(ISBLANK('Data Entry'!$ä$96), "", 'Data Entry'!$ä$96)</f>
      </c>
      <c r="FI96">
        <f>IF(ISBLANK('Data Entry'!$å$96), "", 'Data Entry'!$å$96)</f>
      </c>
      <c r="FJ96">
        <f>IF(ISBLANK('Data Entry'!$æ$96), "", 'Data Entry'!$æ$96)</f>
      </c>
      <c r="FK96">
        <f>IF(ISBLANK('Data Entry'!$ç$96), "", 'Data Entry'!$ç$96)</f>
      </c>
      <c r="FL96">
        <f>IF(ISBLANK('Data Entry'!$è$96), "", 'Data Entry'!$è$96)</f>
      </c>
      <c r="FM96">
        <f>IF(ISBLANK('Data Entry'!$é$96), "", 'Data Entry'!$é$96)</f>
      </c>
      <c r="FN96">
        <f>IF(ISBLANK('Data Entry'!$ê$96), "", 'Data Entry'!$ê$96)</f>
      </c>
      <c r="FO96">
        <f>IF(ISBLANK('Data Entry'!$ë$96), "", 'Data Entry'!$ë$96)</f>
      </c>
      <c r="FP96">
        <f>IF(ISBLANK('Data Entry'!$ì$96), "", 'Data Entry'!$ì$96)</f>
      </c>
      <c r="FQ96">
        <f>IF(ISBLANK('Data Entry'!$í$96), "", 'Data Entry'!$í$96)</f>
      </c>
      <c r="FR96">
        <f>IF(ISBLANK('Data Entry'!$î$96), "", 'Data Entry'!$î$96)</f>
      </c>
      <c r="FS96">
        <f>IF(ISBLANK('Data Entry'!$ï$96), "", 'Data Entry'!$ï$96)</f>
      </c>
      <c r="FT96">
        <f>IF(ISBLANK('Data Entry'!$ð$96), "", 'Data Entry'!$ð$96)</f>
      </c>
      <c r="FU96">
        <f>IF(ISBLANK('Data Entry'!$ñ$96), "", 'Data Entry'!$ñ$96)</f>
      </c>
      <c r="FV96">
        <f>IF(ISBLANK('Data Entry'!$ò$96), "", 'Data Entry'!$ò$96)</f>
      </c>
      <c r="FW96">
        <f>IF(ISBLANK('Data Entry'!$ó$96), "", 'Data Entry'!$ó$96)</f>
      </c>
      <c r="FX96">
        <f>IF(ISBLANK('Data Entry'!$ô$96), "", 'Data Entry'!$ô$96)</f>
      </c>
      <c r="FY96">
        <f>IF(ISBLANK('Data Entry'!$õ$96), "", 'Data Entry'!$õ$96)</f>
      </c>
      <c r="FZ96">
        <f>IF(ISBLANK('Data Entry'!$ö$96), "", 'Data Entry'!$ö$96)</f>
      </c>
      <c r="GA96">
        <f>IF(ISBLANK('Data Entry'!$÷$96), "", 'Data Entry'!$÷$96)</f>
      </c>
      <c r="GB96">
        <f>IF(ISBLANK('Data Entry'!$ø$96), "", 'Data Entry'!$ø$96)</f>
      </c>
      <c r="GC96">
        <f>IF(ISBLANK('Data Entry'!$ù$96), "", 'Data Entry'!$ù$96)</f>
      </c>
      <c r="GD96">
        <f>IF(ISBLANK('Data Entry'!$ú$96), "", 'Data Entry'!$ú$96)</f>
      </c>
      <c r="GE96">
        <f>IF(ISBLANK('Data Entry'!$û$96), "", 'Data Entry'!$û$96)</f>
      </c>
      <c r="GF96">
        <f>IF(ISBLANK('Data Entry'!$ü$96), "", 'Data Entry'!$ü$96)</f>
      </c>
      <c r="GG96">
        <f>IF(ISBLANK('Data Entry'!$ý$96), "", 'Data Entry'!$ý$96)</f>
      </c>
      <c r="GH96">
        <f>IF(ISBLANK('Data Entry'!$þ$96), "", 'Data Entry'!$þ$96)</f>
      </c>
      <c r="GI96">
        <f>IF(ISBLANK('Data Entry'!$ÿ$96), "", 'Data Entry'!$ÿ$96)</f>
      </c>
      <c r="GJ96">
        <f>IF(ISBLANK('Data Entry'!$Ā$96), "", 'Data Entry'!$Ā$96)</f>
      </c>
      <c r="GK96">
        <f>IF(ISBLANK('Data Entry'!$ā$96), "", 'Data Entry'!$ā$96)</f>
      </c>
      <c r="GL96">
        <f>IF(ISBLANK('Data Entry'!$Ă$96), "", 'Data Entry'!$Ă$96)</f>
      </c>
      <c r="GM96">
        <f>IF(ISBLANK('Data Entry'!$ă$96), "", 'Data Entry'!$ă$96)</f>
      </c>
      <c r="GN96">
        <f>IF(ISBLANK('Data Entry'!$Ą$96), "", 'Data Entry'!$Ą$96)</f>
      </c>
      <c r="GO96">
        <f>IF(ISBLANK('Data Entry'!$ą$96), "", 'Data Entry'!$ą$96)</f>
      </c>
      <c r="GP96">
        <f>IF(ISBLANK('Data Entry'!$Ć$96), "", 'Data Entry'!$Ć$96)</f>
      </c>
      <c r="GQ96">
        <f>IF(ISBLANK('Data Entry'!$ć$96), "", 'Data Entry'!$ć$96)</f>
      </c>
      <c r="GR96">
        <f>IF(ISBLANK('Data Entry'!$Ĉ$96), "", 'Data Entry'!$Ĉ$96)</f>
      </c>
      <c r="GS96">
        <f>IF(ISBLANK('Data Entry'!$ĉ$96), "", 'Data Entry'!$ĉ$96)</f>
      </c>
      <c r="GT96">
        <f>IF(ISBLANK('Data Entry'!$Ċ$96), "", 'Data Entry'!$Ċ$96)</f>
      </c>
      <c r="GU96">
        <f>IF(ISBLANK('Data Entry'!$ċ$96), "", 'Data Entry'!$ċ$96)</f>
      </c>
      <c r="GV96">
        <f>IF(ISBLANK('Data Entry'!$Č$96), "", 'Data Entry'!$Č$96)</f>
      </c>
      <c r="GW96">
        <f>IF(ISBLANK('Data Entry'!$č$96), "", 'Data Entry'!$č$96)</f>
      </c>
      <c r="GX96">
        <f>IF(ISBLANK('Data Entry'!$Ď$96), "", 'Data Entry'!$Ď$96)</f>
      </c>
      <c r="GY96">
        <f>IF(ISBLANK('Data Entry'!$ď$96), "", 'Data Entry'!$ď$96)</f>
      </c>
      <c r="GZ96">
        <f>IF(ISBLANK('Data Entry'!$Đ$96), "", 'Data Entry'!$Đ$96)</f>
      </c>
      <c r="HA96">
        <f>IF(ISBLANK('Data Entry'!$đ$96), "", 'Data Entry'!$đ$96)</f>
      </c>
      <c r="HB96">
        <f>IF(ISBLANK('Data Entry'!$Ē$96), "", 'Data Entry'!$Ē$96)</f>
      </c>
      <c r="HC96">
        <f>IF(ISBLANK('Data Entry'!$ē$96), "", 'Data Entry'!$ē$96)</f>
      </c>
      <c r="HD96">
        <f>IF(ISBLANK('Data Entry'!$Ĕ$96), "", 'Data Entry'!$Ĕ$96)</f>
      </c>
      <c r="HE96">
        <f>IF(ISBLANK('Data Entry'!$ĕ$96), "", 'Data Entry'!$ĕ$96)</f>
      </c>
      <c r="HF96">
        <f>IF(ISBLANK('Data Entry'!$Ė$96), "", 'Data Entry'!$Ė$96)</f>
      </c>
      <c r="HG96">
        <f>IF(ISBLANK('Data Entry'!$ė$96), "", 'Data Entry'!$ė$96)</f>
      </c>
      <c r="HH96">
        <f>IF(ISBLANK('Data Entry'!$Ę$96), "", 'Data Entry'!$Ę$96)</f>
      </c>
      <c r="HI96">
        <f>IF(ISBLANK('Data Entry'!$ę$96), "", 'Data Entry'!$ę$96)</f>
      </c>
      <c r="HJ96">
        <f>IF(ISBLANK('Data Entry'!$Ě$96), "", 'Data Entry'!$Ě$96)</f>
      </c>
      <c r="HK96">
        <f>IF(ISBLANK('Data Entry'!$ě$96), "", 'Data Entry'!$ě$96)</f>
      </c>
      <c r="HL96">
        <f>IF(ISBLANK('Data Entry'!$Ĝ$96), "", 'Data Entry'!$Ĝ$96)</f>
      </c>
      <c r="HM96">
        <f>IF(ISBLANK('Data Entry'!$ĝ$96), "", 'Data Entry'!$ĝ$96)</f>
      </c>
      <c r="HN96">
        <f>IF(ISBLANK('Data Entry'!$Ğ$96), "", 'Data Entry'!$Ğ$96)</f>
      </c>
      <c r="HO96">
        <f>IF(ISBLANK('Data Entry'!$ğ$96), "", 'Data Entry'!$ğ$96)</f>
      </c>
      <c r="HP96">
        <f>IF(ISBLANK('Data Entry'!$Ġ$96), "", 'Data Entry'!$Ġ$96)</f>
      </c>
      <c r="HQ96">
        <f>IF(ISBLANK('Data Entry'!$ġ$96), "", 'Data Entry'!$ġ$96)</f>
      </c>
      <c r="HR96">
        <f>IF(ISBLANK('Data Entry'!$Ģ$96), "", 'Data Entry'!$Ģ$96)</f>
      </c>
      <c r="HS96">
        <f>IF(ISBLANK('Data Entry'!$ģ$96), "", 'Data Entry'!$ģ$96)</f>
      </c>
      <c r="HT96">
        <f>IF(ISBLANK('Data Entry'!$Ĥ$96), "", 'Data Entry'!$Ĥ$96)</f>
      </c>
      <c r="HU96">
        <f>IF(ISBLANK('Data Entry'!$ĥ$96), "", 'Data Entry'!$ĥ$96)</f>
      </c>
      <c r="HV96">
        <f>IF(ISBLANK('Data Entry'!$Ħ$96), "", 'Data Entry'!$Ħ$96)</f>
      </c>
      <c r="HW96">
        <f>IF(ISBLANK('Data Entry'!$ħ$96), "", 'Data Entry'!$ħ$96)</f>
      </c>
      <c r="HX96">
        <f>IF(ISBLANK('Data Entry'!$Ĩ$96), "", 'Data Entry'!$Ĩ$96)</f>
      </c>
      <c r="HY96">
        <f>IF(ISBLANK('Data Entry'!$ĩ$96), "", 'Data Entry'!$ĩ$96)</f>
      </c>
      <c r="HZ96">
        <f>IF(ISBLANK('Data Entry'!$Ī$96), "", 'Data Entry'!$Ī$96)</f>
      </c>
      <c r="IA96">
        <f>IF(ISBLANK('Data Entry'!$ī$96), "", 'Data Entry'!$ī$96)</f>
      </c>
      <c r="IB96">
        <f>IF(ISBLANK('Data Entry'!$Ĭ$96), "", 'Data Entry'!$Ĭ$96)</f>
      </c>
      <c r="IC96">
        <f>IF(ISBLANK('Data Entry'!$ĭ$96), "", 'Data Entry'!$ĭ$96)</f>
      </c>
      <c r="ID96">
        <f>IF(ISBLANK('Data Entry'!$Į$96), "", 'Data Entry'!$Į$96)</f>
      </c>
      <c r="IE96">
        <f>IF(ISBLANK('Data Entry'!$į$96), "", 'Data Entry'!$į$96)</f>
      </c>
      <c r="IF96">
        <f>IF(ISBLANK('Data Entry'!$İ$96), "", 'Data Entry'!$İ$96)</f>
      </c>
      <c r="IG96">
        <f>IF(ISBLANK('Data Entry'!$ı$96), "", 'Data Entry'!$ı$96)</f>
      </c>
      <c r="IH96">
        <f>IF(ISBLANK('Data Entry'!$Ĳ$96), "", 'Data Entry'!$Ĳ$96)</f>
      </c>
      <c r="II96">
        <f>IF(ISBLANK('Data Entry'!$ĳ$96), "", 'Data Entry'!$ĳ$96)</f>
      </c>
      <c r="IJ96">
        <f>IF(ISBLANK('Data Entry'!$Ĵ$96), "", 'Data Entry'!$Ĵ$96)</f>
      </c>
      <c r="IK96">
        <f>IF(ISBLANK('Data Entry'!$ĵ$96), "", 'Data Entry'!$ĵ$96)</f>
      </c>
      <c r="IL96">
        <f>IF(ISBLANK('Data Entry'!$Ķ$96), "", 'Data Entry'!$Ķ$96)</f>
      </c>
      <c r="IM96">
        <f>IF(ISBLANK('Data Entry'!$ķ$96), "", 'Data Entry'!$ķ$96)</f>
      </c>
      <c r="IN96">
        <f>IF(ISBLANK('Data Entry'!$ĸ$96), "", 'Data Entry'!$ĸ$96)</f>
      </c>
      <c r="IO96">
        <f>IF(ISBLANK('Data Entry'!$Ĺ$96), "", 'Data Entry'!$Ĺ$96)</f>
      </c>
      <c r="IP96">
        <f>IF(ISBLANK('Data Entry'!$ĺ$96), "", 'Data Entry'!$ĺ$96)</f>
      </c>
      <c r="IQ96">
        <f>IF(ISBLANK('Data Entry'!$Ļ$96), "", 'Data Entry'!$Ļ$96)</f>
      </c>
      <c r="IR96">
        <f>IF(ISBLANK('Data Entry'!$ļ$96), "", 'Data Entry'!$ļ$96)</f>
      </c>
      <c r="IS96">
        <f>IF(ISBLANK('Data Entry'!$Ľ$96), "", 'Data Entry'!$Ľ$96)</f>
      </c>
      <c r="IT96">
        <f>IF(ISBLANK('Data Entry'!$ľ$96), "", 'Data Entry'!$ľ$96)</f>
      </c>
    </row>
    <row r="97" spans="1:254" x14ac:dyDescent="0.25">
      <c r="A97">
        <f>IF(ISBLANK('Data Entry'!$A$97), "", 'Data Entry'!$A$97)</f>
      </c>
      <c r="B97">
        <f>IF(ISBLANK('Data Entry'!$B$97), "", 'Data Entry'!$B$97)</f>
      </c>
      <c r="C97">
        <f>IF(ISBLANK('Data Entry'!$C$97), "", 'Data Entry'!$C$97)</f>
      </c>
      <c r="D97">
        <f>IF(ISBLANK('Data Entry'!$D$97), "", 'Data Entry'!$D$97)</f>
      </c>
      <c r="E97">
        <f>IF(ISBLANK('Data Entry'!$E$97), "", 'Data Entry'!$E$97)</f>
      </c>
      <c r="F97">
        <f>IF(ISBLANK('Data Entry'!$F$97), "", 'Data Entry'!$F$97)</f>
      </c>
      <c r="G97">
        <f>IF(ISBLANK('Data Entry'!$G$97), "", 'Data Entry'!$G$97)</f>
      </c>
      <c r="H97">
        <f>IF(ISBLANK('Data Entry'!$H$97), "", 'Data Entry'!$H$97)</f>
      </c>
      <c r="I97">
        <f>IF(ISBLANK('Data Entry'!$I$97), "", 'Data Entry'!$I$97)</f>
      </c>
      <c r="J97">
        <f>IF(ISBLANK('Data Entry'!$J$97), "", 'Data Entry'!$J$97)</f>
      </c>
      <c r="K97">
        <f>IF(ISBLANK('Data Entry'!$K$97), "", 'Data Entry'!$K$97)</f>
      </c>
      <c r="L97">
        <f>IF(ISBLANK('Data Entry'!$L$97), "", 'Data Entry'!$L$97)</f>
      </c>
      <c r="M97">
        <f>IF(ISBLANK('Data Entry'!$M$97), "", 'Data Entry'!$M$97)</f>
      </c>
      <c r="N97">
        <f>IF(ISBLANK('Data Entry'!$N$97), "", 'Data Entry'!$N$97)</f>
      </c>
      <c r="O97">
        <f>IF(ISBLANK('Data Entry'!$O$97), "", 'Data Entry'!$O$97)</f>
      </c>
      <c r="P97">
        <f>IF(ISBLANK('Data Entry'!$P$97), "", 'Data Entry'!$P$97)</f>
      </c>
      <c r="Q97">
        <f>IF(ISBLANK('Data Entry'!$Q$97), "", 'Data Entry'!$Q$97)</f>
      </c>
      <c r="R97">
        <f>IF(ISBLANK('Data Entry'!$R$97), "", 'Data Entry'!$R$97)</f>
      </c>
      <c r="S97">
        <f>IF(ISBLANK('Data Entry'!$S$97), "", 'Data Entry'!$S$97)</f>
      </c>
      <c r="T97">
        <f>IF(ISBLANK('Data Entry'!$T$97), "", 'Data Entry'!$T$97)</f>
      </c>
      <c r="U97">
        <f>IF(ISBLANK('Data Entry'!$U$97), "", 'Data Entry'!$U$97)</f>
      </c>
      <c r="V97">
        <f>IF(ISBLANK('Data Entry'!$V$97), "", 'Data Entry'!$V$97)</f>
      </c>
      <c r="W97">
        <f>IF(ISBLANK('Data Entry'!$W$97), "", 'Data Entry'!$W$97)</f>
      </c>
      <c r="X97">
        <f>IF(ISBLANK('Data Entry'!$X$97), "", 'Data Entry'!$X$97)</f>
      </c>
      <c r="Y97">
        <f>IF(ISBLANK('Data Entry'!$Y$97), "", 'Data Entry'!$Y$97)</f>
      </c>
      <c r="Z97">
        <f>IF(ISBLANK('Data Entry'!$Z$97), "", 'Data Entry'!$Z$97)</f>
      </c>
      <c r="AA97">
        <f>IF(ISBLANK('Data Entry'!$[$97), "", 'Data Entry'!$[$97)</f>
      </c>
      <c r="AB97">
        <f>IF(ISBLANK('Data Entry'!$\$97), "", 'Data Entry'!$\$97)</f>
      </c>
      <c r="AC97">
        <f>IF(ISBLANK('Data Entry'!$]$97), "", 'Data Entry'!$]$97)</f>
      </c>
      <c r="AD97">
        <f>IF(ISBLANK('Data Entry'!$^$97), "", 'Data Entry'!$^$97)</f>
      </c>
      <c r="AE97">
        <f>IF(ISBLANK('Data Entry'!$_$97), "", 'Data Entry'!$_$97)</f>
      </c>
      <c r="AF97">
        <f>IF(ISBLANK('Data Entry'!$`$97), "", 'Data Entry'!$`$97)</f>
      </c>
      <c r="AG97">
        <f>IF(ISBLANK('Data Entry'!$a$97), "", 'Data Entry'!$a$97)</f>
      </c>
      <c r="AH97">
        <f>IF(ISBLANK('Data Entry'!$b$97), "", 'Data Entry'!$b$97)</f>
      </c>
      <c r="AI97">
        <f>IF(ISBLANK('Data Entry'!$c$97), "", 'Data Entry'!$c$97)</f>
      </c>
      <c r="AJ97">
        <f>IF(ISBLANK('Data Entry'!$d$97), "", 'Data Entry'!$d$97)</f>
      </c>
      <c r="AK97">
        <f>IF(ISBLANK('Data Entry'!$e$97), "", 'Data Entry'!$e$97)</f>
      </c>
      <c r="AL97">
        <f>IF(ISBLANK('Data Entry'!$f$97), "", 'Data Entry'!$f$97)</f>
      </c>
      <c r="AM97">
        <f>IF(ISBLANK('Data Entry'!$g$97), "", 'Data Entry'!$g$97)</f>
      </c>
      <c r="AN97">
        <f>IF(ISBLANK('Data Entry'!$h$97), "", 'Data Entry'!$h$97)</f>
      </c>
      <c r="AO97">
        <f>IF(ISBLANK('Data Entry'!$i$97), "", 'Data Entry'!$i$97)</f>
      </c>
      <c r="AP97">
        <f>IF(ISBLANK('Data Entry'!$j$97), "", 'Data Entry'!$j$97)</f>
      </c>
      <c r="AQ97">
        <f>IF(ISBLANK('Data Entry'!$k$97), "", 'Data Entry'!$k$97)</f>
      </c>
      <c r="AR97">
        <f>IF(ISBLANK('Data Entry'!$l$97), "", 'Data Entry'!$l$97)</f>
      </c>
      <c r="AS97">
        <f>IF(ISBLANK('Data Entry'!$m$97), "", 'Data Entry'!$m$97)</f>
      </c>
      <c r="AT97">
        <f>IF(ISBLANK('Data Entry'!$n$97), "", 'Data Entry'!$n$97)</f>
      </c>
      <c r="AU97">
        <f>IF(ISBLANK('Data Entry'!$o$97), "", 'Data Entry'!$o$97)</f>
      </c>
      <c r="AV97">
        <f>IF(ISBLANK('Data Entry'!$p$97), "", 'Data Entry'!$p$97)</f>
      </c>
      <c r="AW97">
        <f>IF(ISBLANK('Data Entry'!$q$97), "", 'Data Entry'!$q$97)</f>
      </c>
      <c r="AX97">
        <f>IF(ISBLANK('Data Entry'!$r$97), "", 'Data Entry'!$r$97)</f>
      </c>
      <c r="AY97">
        <f>IF(ISBLANK('Data Entry'!$s$97), "", 'Data Entry'!$s$97)</f>
      </c>
      <c r="AZ97">
        <f>IF(ISBLANK('Data Entry'!$t$97), "", 'Data Entry'!$t$97)</f>
      </c>
      <c r="BA97">
        <f>IF(ISBLANK('Data Entry'!$u$97), "", 'Data Entry'!$u$97)</f>
      </c>
      <c r="BB97">
        <f>IF(ISBLANK('Data Entry'!$v$97), "", 'Data Entry'!$v$97)</f>
      </c>
      <c r="BC97">
        <f>IF(ISBLANK('Data Entry'!$w$97), "", 'Data Entry'!$w$97)</f>
      </c>
      <c r="BD97">
        <f>IF(ISBLANK('Data Entry'!$x$97), "", 'Data Entry'!$x$97)</f>
      </c>
      <c r="BE97">
        <f>IF(ISBLANK('Data Entry'!$y$97), "", 'Data Entry'!$y$97)</f>
      </c>
      <c r="BF97">
        <f>IF(ISBLANK('Data Entry'!$z$97), "", 'Data Entry'!$z$97)</f>
      </c>
      <c r="BG97">
        <f>IF(ISBLANK('Data Entry'!${$97), "", 'Data Entry'!${$97)</f>
      </c>
      <c r="BH97">
        <f>IF(ISBLANK('Data Entry'!$|$97), "", 'Data Entry'!$|$97)</f>
      </c>
      <c r="BI97">
        <f>IF(ISBLANK('Data Entry'!$}$97), "", 'Data Entry'!$}$97)</f>
      </c>
      <c r="BJ97">
        <f>IF(ISBLANK('Data Entry'!$~$97), "", 'Data Entry'!$~$97)</f>
      </c>
      <c r="BK97">
        <f>IF(ISBLANK('Data Entry'!$$97), "", 'Data Entry'!$$97)</f>
      </c>
      <c r="BL97">
        <f>IF(ISBLANK('Data Entry'!$$97), "", 'Data Entry'!$$97)</f>
      </c>
      <c r="BM97">
        <f>IF(ISBLANK('Data Entry'!$$97), "", 'Data Entry'!$$97)</f>
      </c>
      <c r="BN97">
        <f>IF(ISBLANK('Data Entry'!$$97), "", 'Data Entry'!$$97)</f>
      </c>
      <c r="BO97">
        <f>IF(ISBLANK('Data Entry'!$$97), "", 'Data Entry'!$$97)</f>
      </c>
      <c r="BP97">
        <f>IF(ISBLANK('Data Entry'!$$97), "", 'Data Entry'!$$97)</f>
      </c>
      <c r="BQ97">
        <f>IF(ISBLANK('Data Entry'!$$97), "", 'Data Entry'!$$97)</f>
      </c>
      <c r="BR97">
        <f>IF(ISBLANK('Data Entry'!$$97), "", 'Data Entry'!$$97)</f>
      </c>
      <c r="BS97">
        <f>IF(ISBLANK('Data Entry'!$$97), "", 'Data Entry'!$$97)</f>
      </c>
      <c r="BT97">
        <f>IF(ISBLANK('Data Entry'!$$97), "", 'Data Entry'!$$97)</f>
      </c>
      <c r="BU97">
        <f>IF(ISBLANK('Data Entry'!$$97), "", 'Data Entry'!$$97)</f>
      </c>
      <c r="BV97">
        <f>IF(ISBLANK('Data Entry'!$$97), "", 'Data Entry'!$$97)</f>
      </c>
      <c r="BW97">
        <f>IF(ISBLANK('Data Entry'!$$97), "", 'Data Entry'!$$97)</f>
      </c>
      <c r="BX97">
        <f>IF(ISBLANK('Data Entry'!$$97), "", 'Data Entry'!$$97)</f>
      </c>
      <c r="BY97">
        <f>IF(ISBLANK('Data Entry'!$$97), "", 'Data Entry'!$$97)</f>
      </c>
      <c r="BZ97">
        <f>IF(ISBLANK('Data Entry'!$$97), "", 'Data Entry'!$$97)</f>
      </c>
      <c r="CA97">
        <f>IF(ISBLANK('Data Entry'!$$97), "", 'Data Entry'!$$97)</f>
      </c>
      <c r="CB97">
        <f>IF(ISBLANK('Data Entry'!$$97), "", 'Data Entry'!$$97)</f>
      </c>
      <c r="CC97">
        <f>IF(ISBLANK('Data Entry'!$$97), "", 'Data Entry'!$$97)</f>
      </c>
      <c r="CD97">
        <f>IF(ISBLANK('Data Entry'!$$97), "", 'Data Entry'!$$97)</f>
      </c>
      <c r="CE97">
        <f>IF(ISBLANK('Data Entry'!$$97), "", 'Data Entry'!$$97)</f>
      </c>
      <c r="CF97">
        <f>IF(ISBLANK('Data Entry'!$$97), "", 'Data Entry'!$$97)</f>
      </c>
      <c r="CG97">
        <f>IF(ISBLANK('Data Entry'!$$97), "", 'Data Entry'!$$97)</f>
      </c>
      <c r="CH97">
        <f>IF(ISBLANK('Data Entry'!$$97), "", 'Data Entry'!$$97)</f>
      </c>
      <c r="CI97">
        <f>IF(ISBLANK('Data Entry'!$$97), "", 'Data Entry'!$$97)</f>
      </c>
      <c r="CJ97">
        <f>IF(ISBLANK('Data Entry'!$$97), "", 'Data Entry'!$$97)</f>
      </c>
      <c r="CK97">
        <f>IF(ISBLANK('Data Entry'!$$97), "", 'Data Entry'!$$97)</f>
      </c>
      <c r="CL97">
        <f>IF(ISBLANK('Data Entry'!$$97), "", 'Data Entry'!$$97)</f>
      </c>
      <c r="CM97">
        <f>IF(ISBLANK('Data Entry'!$$97), "", 'Data Entry'!$$97)</f>
      </c>
      <c r="CN97">
        <f>IF(ISBLANK('Data Entry'!$$97), "", 'Data Entry'!$$97)</f>
      </c>
      <c r="CO97">
        <f>IF(ISBLANK('Data Entry'!$$97), "", 'Data Entry'!$$97)</f>
      </c>
      <c r="CP97">
        <f>IF(ISBLANK('Data Entry'!$$97), "", 'Data Entry'!$$97)</f>
      </c>
      <c r="CQ97">
        <f>IF(ISBLANK('Data Entry'!$$97), "", 'Data Entry'!$$97)</f>
      </c>
      <c r="CR97">
        <f>IF(ISBLANK('Data Entry'!$ $97), "", 'Data Entry'!$ $97)</f>
      </c>
      <c r="CS97">
        <f>IF(ISBLANK('Data Entry'!$¡$97), "", 'Data Entry'!$¡$97)</f>
      </c>
      <c r="CT97">
        <f>IF(ISBLANK('Data Entry'!$¢$97), "", 'Data Entry'!$¢$97)</f>
      </c>
      <c r="CU97">
        <f>IF(ISBLANK('Data Entry'!$£$97), "", 'Data Entry'!$£$97)</f>
      </c>
      <c r="CV97">
        <f>IF(ISBLANK('Data Entry'!$¤$97), "", 'Data Entry'!$¤$97)</f>
      </c>
      <c r="CW97">
        <f>IF(ISBLANK('Data Entry'!$¥$97), "", 'Data Entry'!$¥$97)</f>
      </c>
      <c r="CX97">
        <f>IF(ISBLANK('Data Entry'!$¦$97), "", 'Data Entry'!$¦$97)</f>
      </c>
      <c r="CY97">
        <f>IF(ISBLANK('Data Entry'!$§$97), "", 'Data Entry'!$§$97)</f>
      </c>
      <c r="CZ97">
        <f>IF(ISBLANK('Data Entry'!$¨$97), "", 'Data Entry'!$¨$97)</f>
      </c>
      <c r="DA97">
        <f>IF(ISBLANK('Data Entry'!$©$97), "", 'Data Entry'!$©$97)</f>
      </c>
      <c r="DB97">
        <f>IF(ISBLANK('Data Entry'!$ª$97), "", 'Data Entry'!$ª$97)</f>
      </c>
      <c r="DC97">
        <f>IF(ISBLANK('Data Entry'!$«$97), "", 'Data Entry'!$«$97)</f>
      </c>
      <c r="DD97">
        <f>IF(ISBLANK('Data Entry'!$¬$97), "", 'Data Entry'!$¬$97)</f>
      </c>
      <c r="DE97">
        <f>IF(ISBLANK('Data Entry'!$­$97), "", 'Data Entry'!$­$97)</f>
      </c>
      <c r="DF97">
        <f>IF(ISBLANK('Data Entry'!$®$97), "", 'Data Entry'!$®$97)</f>
      </c>
      <c r="DG97">
        <f>IF(ISBLANK('Data Entry'!$¯$97), "", 'Data Entry'!$¯$97)</f>
      </c>
      <c r="DH97">
        <f>IF(ISBLANK('Data Entry'!$°$97), "", 'Data Entry'!$°$97)</f>
      </c>
      <c r="DI97">
        <f>IF(ISBLANK('Data Entry'!$±$97), "", 'Data Entry'!$±$97)</f>
      </c>
      <c r="DJ97">
        <f>IF(ISBLANK('Data Entry'!$²$97), "", 'Data Entry'!$²$97)</f>
      </c>
      <c r="DK97">
        <f>IF(ISBLANK('Data Entry'!$³$97), "", 'Data Entry'!$³$97)</f>
      </c>
      <c r="DL97">
        <f>IF(ISBLANK('Data Entry'!$´$97), "", 'Data Entry'!$´$97)</f>
      </c>
      <c r="DM97">
        <f>IF(ISBLANK('Data Entry'!$µ$97), "", 'Data Entry'!$µ$97)</f>
      </c>
      <c r="DN97">
        <f>IF(ISBLANK('Data Entry'!$¶$97), "", 'Data Entry'!$¶$97)</f>
      </c>
      <c r="DO97">
        <f>IF(ISBLANK('Data Entry'!$·$97), "", 'Data Entry'!$·$97)</f>
      </c>
      <c r="DP97">
        <f>IF(ISBLANK('Data Entry'!$¸$97), "", 'Data Entry'!$¸$97)</f>
      </c>
      <c r="DQ97">
        <f>IF(ISBLANK('Data Entry'!$¹$97), "", 'Data Entry'!$¹$97)</f>
      </c>
      <c r="DR97">
        <f>IF(ISBLANK('Data Entry'!$º$97), "", 'Data Entry'!$º$97)</f>
      </c>
      <c r="DS97">
        <f>IF(ISBLANK('Data Entry'!$»$97), "", 'Data Entry'!$»$97)</f>
      </c>
      <c r="DT97">
        <f>IF(ISBLANK('Data Entry'!$¼$97), "", 'Data Entry'!$¼$97)</f>
      </c>
      <c r="DU97">
        <f>IF(ISBLANK('Data Entry'!$½$97), "", 'Data Entry'!$½$97)</f>
      </c>
      <c r="DV97">
        <f>IF(ISBLANK('Data Entry'!$¾$97), "", 'Data Entry'!$¾$97)</f>
      </c>
      <c r="DW97">
        <f>IF(ISBLANK('Data Entry'!$¿$97), "", 'Data Entry'!$¿$97)</f>
      </c>
      <c r="DX97">
        <f>IF(ISBLANK('Data Entry'!$À$97), "", 'Data Entry'!$À$97)</f>
      </c>
      <c r="DY97">
        <f>IF(ISBLANK('Data Entry'!$Á$97), "", 'Data Entry'!$Á$97)</f>
      </c>
      <c r="DZ97">
        <f>IF(ISBLANK('Data Entry'!$Â$97), "", 'Data Entry'!$Â$97)</f>
      </c>
      <c r="EA97">
        <f>IF(ISBLANK('Data Entry'!$Ã$97), "", 'Data Entry'!$Ã$97)</f>
      </c>
      <c r="EB97">
        <f>IF(ISBLANK('Data Entry'!$Ä$97), "", 'Data Entry'!$Ä$97)</f>
      </c>
      <c r="EC97">
        <f>IF(ISBLANK('Data Entry'!$Å$97), "", 'Data Entry'!$Å$97)</f>
      </c>
      <c r="ED97">
        <f>IF(ISBLANK('Data Entry'!$Æ$97), "", 'Data Entry'!$Æ$97)</f>
      </c>
      <c r="EE97">
        <f>IF(ISBLANK('Data Entry'!$Ç$97), "", 'Data Entry'!$Ç$97)</f>
      </c>
      <c r="EF97">
        <f>IF(ISBLANK('Data Entry'!$È$97), "", 'Data Entry'!$È$97)</f>
      </c>
      <c r="EG97">
        <f>IF(ISBLANK('Data Entry'!$É$97), "", 'Data Entry'!$É$97)</f>
      </c>
      <c r="EH97">
        <f>IF(ISBLANK('Data Entry'!$Ê$97), "", 'Data Entry'!$Ê$97)</f>
      </c>
      <c r="EI97">
        <f>IF(ISBLANK('Data Entry'!$Ë$97), "", 'Data Entry'!$Ë$97)</f>
      </c>
      <c r="EJ97">
        <f>IF(ISBLANK('Data Entry'!$Ì$97), "", 'Data Entry'!$Ì$97)</f>
      </c>
      <c r="EK97">
        <f>IF(ISBLANK('Data Entry'!$Í$97), "", 'Data Entry'!$Í$97)</f>
      </c>
      <c r="EL97">
        <f>IF(ISBLANK('Data Entry'!$Î$97), "", 'Data Entry'!$Î$97)</f>
      </c>
      <c r="EM97">
        <f>IF(ISBLANK('Data Entry'!$Ï$97), "", 'Data Entry'!$Ï$97)</f>
      </c>
      <c r="EN97">
        <f>IF(ISBLANK('Data Entry'!$Ð$97), "", 'Data Entry'!$Ð$97)</f>
      </c>
      <c r="EO97">
        <f>IF(ISBLANK('Data Entry'!$Ñ$97), "", 'Data Entry'!$Ñ$97)</f>
      </c>
      <c r="EP97">
        <f>IF(ISBLANK('Data Entry'!$Ò$97), "", 'Data Entry'!$Ò$97)</f>
      </c>
      <c r="EQ97">
        <f>IF(ISBLANK('Data Entry'!$Ó$97), "", 'Data Entry'!$Ó$97)</f>
      </c>
      <c r="ER97">
        <f>IF(ISBLANK('Data Entry'!$Ô$97), "", 'Data Entry'!$Ô$97)</f>
      </c>
      <c r="ES97">
        <f>IF(ISBLANK('Data Entry'!$Õ$97), "", 'Data Entry'!$Õ$97)</f>
      </c>
      <c r="ET97">
        <f>IF(ISBLANK('Data Entry'!$Ö$97), "", 'Data Entry'!$Ö$97)</f>
      </c>
      <c r="EU97">
        <f>IF(ISBLANK('Data Entry'!$×$97), "", 'Data Entry'!$×$97)</f>
      </c>
      <c r="EV97">
        <f>IF(ISBLANK('Data Entry'!$Ø$97), "", 'Data Entry'!$Ø$97)</f>
      </c>
      <c r="EW97">
        <f>IF(ISBLANK('Data Entry'!$Ù$97), "", 'Data Entry'!$Ù$97)</f>
      </c>
      <c r="EX97">
        <f>IF(ISBLANK('Data Entry'!$Ú$97), "", 'Data Entry'!$Ú$97)</f>
      </c>
      <c r="EY97">
        <f>IF(ISBLANK('Data Entry'!$Û$97), "", 'Data Entry'!$Û$97)</f>
      </c>
      <c r="EZ97">
        <f>IF(ISBLANK('Data Entry'!$Ü$97), "", 'Data Entry'!$Ü$97)</f>
      </c>
      <c r="FA97">
        <f>IF(ISBLANK('Data Entry'!$Ý$97), "", 'Data Entry'!$Ý$97)</f>
      </c>
      <c r="FB97">
        <f>IF(ISBLANK('Data Entry'!$Þ$97), "", 'Data Entry'!$Þ$97)</f>
      </c>
      <c r="FC97">
        <f>IF(ISBLANK('Data Entry'!$ß$97), "", 'Data Entry'!$ß$97)</f>
      </c>
      <c r="FD97">
        <f>IF(ISBLANK('Data Entry'!$à$97), "", 'Data Entry'!$à$97)</f>
      </c>
      <c r="FE97">
        <f>IF(ISBLANK('Data Entry'!$á$97), "", 'Data Entry'!$á$97)</f>
      </c>
      <c r="FF97">
        <f>IF(ISBLANK('Data Entry'!$â$97), "", 'Data Entry'!$â$97)</f>
      </c>
      <c r="FG97">
        <f>IF(ISBLANK('Data Entry'!$ã$97), "", 'Data Entry'!$ã$97)</f>
      </c>
      <c r="FH97">
        <f>IF(ISBLANK('Data Entry'!$ä$97), "", 'Data Entry'!$ä$97)</f>
      </c>
      <c r="FI97">
        <f>IF(ISBLANK('Data Entry'!$å$97), "", 'Data Entry'!$å$97)</f>
      </c>
      <c r="FJ97">
        <f>IF(ISBLANK('Data Entry'!$æ$97), "", 'Data Entry'!$æ$97)</f>
      </c>
      <c r="FK97">
        <f>IF(ISBLANK('Data Entry'!$ç$97), "", 'Data Entry'!$ç$97)</f>
      </c>
      <c r="FL97">
        <f>IF(ISBLANK('Data Entry'!$è$97), "", 'Data Entry'!$è$97)</f>
      </c>
      <c r="FM97">
        <f>IF(ISBLANK('Data Entry'!$é$97), "", 'Data Entry'!$é$97)</f>
      </c>
      <c r="FN97">
        <f>IF(ISBLANK('Data Entry'!$ê$97), "", 'Data Entry'!$ê$97)</f>
      </c>
      <c r="FO97">
        <f>IF(ISBLANK('Data Entry'!$ë$97), "", 'Data Entry'!$ë$97)</f>
      </c>
      <c r="FP97">
        <f>IF(ISBLANK('Data Entry'!$ì$97), "", 'Data Entry'!$ì$97)</f>
      </c>
      <c r="FQ97">
        <f>IF(ISBLANK('Data Entry'!$í$97), "", 'Data Entry'!$í$97)</f>
      </c>
      <c r="FR97">
        <f>IF(ISBLANK('Data Entry'!$î$97), "", 'Data Entry'!$î$97)</f>
      </c>
      <c r="FS97">
        <f>IF(ISBLANK('Data Entry'!$ï$97), "", 'Data Entry'!$ï$97)</f>
      </c>
      <c r="FT97">
        <f>IF(ISBLANK('Data Entry'!$ð$97), "", 'Data Entry'!$ð$97)</f>
      </c>
      <c r="FU97">
        <f>IF(ISBLANK('Data Entry'!$ñ$97), "", 'Data Entry'!$ñ$97)</f>
      </c>
      <c r="FV97">
        <f>IF(ISBLANK('Data Entry'!$ò$97), "", 'Data Entry'!$ò$97)</f>
      </c>
      <c r="FW97">
        <f>IF(ISBLANK('Data Entry'!$ó$97), "", 'Data Entry'!$ó$97)</f>
      </c>
      <c r="FX97">
        <f>IF(ISBLANK('Data Entry'!$ô$97), "", 'Data Entry'!$ô$97)</f>
      </c>
      <c r="FY97">
        <f>IF(ISBLANK('Data Entry'!$õ$97), "", 'Data Entry'!$õ$97)</f>
      </c>
      <c r="FZ97">
        <f>IF(ISBLANK('Data Entry'!$ö$97), "", 'Data Entry'!$ö$97)</f>
      </c>
      <c r="GA97">
        <f>IF(ISBLANK('Data Entry'!$÷$97), "", 'Data Entry'!$÷$97)</f>
      </c>
      <c r="GB97">
        <f>IF(ISBLANK('Data Entry'!$ø$97), "", 'Data Entry'!$ø$97)</f>
      </c>
      <c r="GC97">
        <f>IF(ISBLANK('Data Entry'!$ù$97), "", 'Data Entry'!$ù$97)</f>
      </c>
      <c r="GD97">
        <f>IF(ISBLANK('Data Entry'!$ú$97), "", 'Data Entry'!$ú$97)</f>
      </c>
      <c r="GE97">
        <f>IF(ISBLANK('Data Entry'!$û$97), "", 'Data Entry'!$û$97)</f>
      </c>
      <c r="GF97">
        <f>IF(ISBLANK('Data Entry'!$ü$97), "", 'Data Entry'!$ü$97)</f>
      </c>
      <c r="GG97">
        <f>IF(ISBLANK('Data Entry'!$ý$97), "", 'Data Entry'!$ý$97)</f>
      </c>
      <c r="GH97">
        <f>IF(ISBLANK('Data Entry'!$þ$97), "", 'Data Entry'!$þ$97)</f>
      </c>
      <c r="GI97">
        <f>IF(ISBLANK('Data Entry'!$ÿ$97), "", 'Data Entry'!$ÿ$97)</f>
      </c>
      <c r="GJ97">
        <f>IF(ISBLANK('Data Entry'!$Ā$97), "", 'Data Entry'!$Ā$97)</f>
      </c>
      <c r="GK97">
        <f>IF(ISBLANK('Data Entry'!$ā$97), "", 'Data Entry'!$ā$97)</f>
      </c>
      <c r="GL97">
        <f>IF(ISBLANK('Data Entry'!$Ă$97), "", 'Data Entry'!$Ă$97)</f>
      </c>
      <c r="GM97">
        <f>IF(ISBLANK('Data Entry'!$ă$97), "", 'Data Entry'!$ă$97)</f>
      </c>
      <c r="GN97">
        <f>IF(ISBLANK('Data Entry'!$Ą$97), "", 'Data Entry'!$Ą$97)</f>
      </c>
      <c r="GO97">
        <f>IF(ISBLANK('Data Entry'!$ą$97), "", 'Data Entry'!$ą$97)</f>
      </c>
      <c r="GP97">
        <f>IF(ISBLANK('Data Entry'!$Ć$97), "", 'Data Entry'!$Ć$97)</f>
      </c>
      <c r="GQ97">
        <f>IF(ISBLANK('Data Entry'!$ć$97), "", 'Data Entry'!$ć$97)</f>
      </c>
      <c r="GR97">
        <f>IF(ISBLANK('Data Entry'!$Ĉ$97), "", 'Data Entry'!$Ĉ$97)</f>
      </c>
      <c r="GS97">
        <f>IF(ISBLANK('Data Entry'!$ĉ$97), "", 'Data Entry'!$ĉ$97)</f>
      </c>
      <c r="GT97">
        <f>IF(ISBLANK('Data Entry'!$Ċ$97), "", 'Data Entry'!$Ċ$97)</f>
      </c>
      <c r="GU97">
        <f>IF(ISBLANK('Data Entry'!$ċ$97), "", 'Data Entry'!$ċ$97)</f>
      </c>
      <c r="GV97">
        <f>IF(ISBLANK('Data Entry'!$Č$97), "", 'Data Entry'!$Č$97)</f>
      </c>
      <c r="GW97">
        <f>IF(ISBLANK('Data Entry'!$č$97), "", 'Data Entry'!$č$97)</f>
      </c>
      <c r="GX97">
        <f>IF(ISBLANK('Data Entry'!$Ď$97), "", 'Data Entry'!$Ď$97)</f>
      </c>
      <c r="GY97">
        <f>IF(ISBLANK('Data Entry'!$ď$97), "", 'Data Entry'!$ď$97)</f>
      </c>
      <c r="GZ97">
        <f>IF(ISBLANK('Data Entry'!$Đ$97), "", 'Data Entry'!$Đ$97)</f>
      </c>
      <c r="HA97">
        <f>IF(ISBLANK('Data Entry'!$đ$97), "", 'Data Entry'!$đ$97)</f>
      </c>
      <c r="HB97">
        <f>IF(ISBLANK('Data Entry'!$Ē$97), "", 'Data Entry'!$Ē$97)</f>
      </c>
      <c r="HC97">
        <f>IF(ISBLANK('Data Entry'!$ē$97), "", 'Data Entry'!$ē$97)</f>
      </c>
      <c r="HD97">
        <f>IF(ISBLANK('Data Entry'!$Ĕ$97), "", 'Data Entry'!$Ĕ$97)</f>
      </c>
      <c r="HE97">
        <f>IF(ISBLANK('Data Entry'!$ĕ$97), "", 'Data Entry'!$ĕ$97)</f>
      </c>
      <c r="HF97">
        <f>IF(ISBLANK('Data Entry'!$Ė$97), "", 'Data Entry'!$Ė$97)</f>
      </c>
      <c r="HG97">
        <f>IF(ISBLANK('Data Entry'!$ė$97), "", 'Data Entry'!$ė$97)</f>
      </c>
      <c r="HH97">
        <f>IF(ISBLANK('Data Entry'!$Ę$97), "", 'Data Entry'!$Ę$97)</f>
      </c>
      <c r="HI97">
        <f>IF(ISBLANK('Data Entry'!$ę$97), "", 'Data Entry'!$ę$97)</f>
      </c>
      <c r="HJ97">
        <f>IF(ISBLANK('Data Entry'!$Ě$97), "", 'Data Entry'!$Ě$97)</f>
      </c>
      <c r="HK97">
        <f>IF(ISBLANK('Data Entry'!$ě$97), "", 'Data Entry'!$ě$97)</f>
      </c>
      <c r="HL97">
        <f>IF(ISBLANK('Data Entry'!$Ĝ$97), "", 'Data Entry'!$Ĝ$97)</f>
      </c>
      <c r="HM97">
        <f>IF(ISBLANK('Data Entry'!$ĝ$97), "", 'Data Entry'!$ĝ$97)</f>
      </c>
      <c r="HN97">
        <f>IF(ISBLANK('Data Entry'!$Ğ$97), "", 'Data Entry'!$Ğ$97)</f>
      </c>
      <c r="HO97">
        <f>IF(ISBLANK('Data Entry'!$ğ$97), "", 'Data Entry'!$ğ$97)</f>
      </c>
      <c r="HP97">
        <f>IF(ISBLANK('Data Entry'!$Ġ$97), "", 'Data Entry'!$Ġ$97)</f>
      </c>
      <c r="HQ97">
        <f>IF(ISBLANK('Data Entry'!$ġ$97), "", 'Data Entry'!$ġ$97)</f>
      </c>
      <c r="HR97">
        <f>IF(ISBLANK('Data Entry'!$Ģ$97), "", 'Data Entry'!$Ģ$97)</f>
      </c>
      <c r="HS97">
        <f>IF(ISBLANK('Data Entry'!$ģ$97), "", 'Data Entry'!$ģ$97)</f>
      </c>
      <c r="HT97">
        <f>IF(ISBLANK('Data Entry'!$Ĥ$97), "", 'Data Entry'!$Ĥ$97)</f>
      </c>
      <c r="HU97">
        <f>IF(ISBLANK('Data Entry'!$ĥ$97), "", 'Data Entry'!$ĥ$97)</f>
      </c>
      <c r="HV97">
        <f>IF(ISBLANK('Data Entry'!$Ħ$97), "", 'Data Entry'!$Ħ$97)</f>
      </c>
      <c r="HW97">
        <f>IF(ISBLANK('Data Entry'!$ħ$97), "", 'Data Entry'!$ħ$97)</f>
      </c>
      <c r="HX97">
        <f>IF(ISBLANK('Data Entry'!$Ĩ$97), "", 'Data Entry'!$Ĩ$97)</f>
      </c>
      <c r="HY97">
        <f>IF(ISBLANK('Data Entry'!$ĩ$97), "", 'Data Entry'!$ĩ$97)</f>
      </c>
      <c r="HZ97">
        <f>IF(ISBLANK('Data Entry'!$Ī$97), "", 'Data Entry'!$Ī$97)</f>
      </c>
      <c r="IA97">
        <f>IF(ISBLANK('Data Entry'!$ī$97), "", 'Data Entry'!$ī$97)</f>
      </c>
      <c r="IB97">
        <f>IF(ISBLANK('Data Entry'!$Ĭ$97), "", 'Data Entry'!$Ĭ$97)</f>
      </c>
      <c r="IC97">
        <f>IF(ISBLANK('Data Entry'!$ĭ$97), "", 'Data Entry'!$ĭ$97)</f>
      </c>
      <c r="ID97">
        <f>IF(ISBLANK('Data Entry'!$Į$97), "", 'Data Entry'!$Į$97)</f>
      </c>
      <c r="IE97">
        <f>IF(ISBLANK('Data Entry'!$į$97), "", 'Data Entry'!$į$97)</f>
      </c>
      <c r="IF97">
        <f>IF(ISBLANK('Data Entry'!$İ$97), "", 'Data Entry'!$İ$97)</f>
      </c>
      <c r="IG97">
        <f>IF(ISBLANK('Data Entry'!$ı$97), "", 'Data Entry'!$ı$97)</f>
      </c>
      <c r="IH97">
        <f>IF(ISBLANK('Data Entry'!$Ĳ$97), "", 'Data Entry'!$Ĳ$97)</f>
      </c>
      <c r="II97">
        <f>IF(ISBLANK('Data Entry'!$ĳ$97), "", 'Data Entry'!$ĳ$97)</f>
      </c>
      <c r="IJ97">
        <f>IF(ISBLANK('Data Entry'!$Ĵ$97), "", 'Data Entry'!$Ĵ$97)</f>
      </c>
      <c r="IK97">
        <f>IF(ISBLANK('Data Entry'!$ĵ$97), "", 'Data Entry'!$ĵ$97)</f>
      </c>
      <c r="IL97">
        <f>IF(ISBLANK('Data Entry'!$Ķ$97), "", 'Data Entry'!$Ķ$97)</f>
      </c>
      <c r="IM97">
        <f>IF(ISBLANK('Data Entry'!$ķ$97), "", 'Data Entry'!$ķ$97)</f>
      </c>
      <c r="IN97">
        <f>IF(ISBLANK('Data Entry'!$ĸ$97), "", 'Data Entry'!$ĸ$97)</f>
      </c>
      <c r="IO97">
        <f>IF(ISBLANK('Data Entry'!$Ĺ$97), "", 'Data Entry'!$Ĺ$97)</f>
      </c>
      <c r="IP97">
        <f>IF(ISBLANK('Data Entry'!$ĺ$97), "", 'Data Entry'!$ĺ$97)</f>
      </c>
      <c r="IQ97">
        <f>IF(ISBLANK('Data Entry'!$Ļ$97), "", 'Data Entry'!$Ļ$97)</f>
      </c>
      <c r="IR97">
        <f>IF(ISBLANK('Data Entry'!$ļ$97), "", 'Data Entry'!$ļ$97)</f>
      </c>
      <c r="IS97">
        <f>IF(ISBLANK('Data Entry'!$Ľ$97), "", 'Data Entry'!$Ľ$97)</f>
      </c>
      <c r="IT97">
        <f>IF(ISBLANK('Data Entry'!$ľ$97), "", 'Data Entry'!$ľ$97)</f>
      </c>
    </row>
    <row r="98" spans="1:254" x14ac:dyDescent="0.25">
      <c r="A98">
        <f>IF(ISBLANK('Data Entry'!$A$98), "", 'Data Entry'!$A$98)</f>
      </c>
      <c r="B98">
        <f>IF(ISBLANK('Data Entry'!$B$98), "", 'Data Entry'!$B$98)</f>
      </c>
      <c r="C98">
        <f>IF(ISBLANK('Data Entry'!$C$98), "", 'Data Entry'!$C$98)</f>
      </c>
      <c r="D98">
        <f>IF(ISBLANK('Data Entry'!$D$98), "", 'Data Entry'!$D$98)</f>
      </c>
      <c r="E98">
        <f>IF(ISBLANK('Data Entry'!$E$98), "", 'Data Entry'!$E$98)</f>
      </c>
      <c r="F98">
        <f>IF(ISBLANK('Data Entry'!$F$98), "", 'Data Entry'!$F$98)</f>
      </c>
      <c r="G98">
        <f>IF(ISBLANK('Data Entry'!$G$98), "", 'Data Entry'!$G$98)</f>
      </c>
      <c r="H98">
        <f>IF(ISBLANK('Data Entry'!$H$98), "", 'Data Entry'!$H$98)</f>
      </c>
      <c r="I98">
        <f>IF(ISBLANK('Data Entry'!$I$98), "", 'Data Entry'!$I$98)</f>
      </c>
      <c r="J98">
        <f>IF(ISBLANK('Data Entry'!$J$98), "", 'Data Entry'!$J$98)</f>
      </c>
      <c r="K98">
        <f>IF(ISBLANK('Data Entry'!$K$98), "", 'Data Entry'!$K$98)</f>
      </c>
      <c r="L98">
        <f>IF(ISBLANK('Data Entry'!$L$98), "", 'Data Entry'!$L$98)</f>
      </c>
      <c r="M98">
        <f>IF(ISBLANK('Data Entry'!$M$98), "", 'Data Entry'!$M$98)</f>
      </c>
      <c r="N98">
        <f>IF(ISBLANK('Data Entry'!$N$98), "", 'Data Entry'!$N$98)</f>
      </c>
      <c r="O98">
        <f>IF(ISBLANK('Data Entry'!$O$98), "", 'Data Entry'!$O$98)</f>
      </c>
      <c r="P98">
        <f>IF(ISBLANK('Data Entry'!$P$98), "", 'Data Entry'!$P$98)</f>
      </c>
      <c r="Q98">
        <f>IF(ISBLANK('Data Entry'!$Q$98), "", 'Data Entry'!$Q$98)</f>
      </c>
      <c r="R98">
        <f>IF(ISBLANK('Data Entry'!$R$98), "", 'Data Entry'!$R$98)</f>
      </c>
      <c r="S98">
        <f>IF(ISBLANK('Data Entry'!$S$98), "", 'Data Entry'!$S$98)</f>
      </c>
      <c r="T98">
        <f>IF(ISBLANK('Data Entry'!$T$98), "", 'Data Entry'!$T$98)</f>
      </c>
      <c r="U98">
        <f>IF(ISBLANK('Data Entry'!$U$98), "", 'Data Entry'!$U$98)</f>
      </c>
      <c r="V98">
        <f>IF(ISBLANK('Data Entry'!$V$98), "", 'Data Entry'!$V$98)</f>
      </c>
      <c r="W98">
        <f>IF(ISBLANK('Data Entry'!$W$98), "", 'Data Entry'!$W$98)</f>
      </c>
      <c r="X98">
        <f>IF(ISBLANK('Data Entry'!$X$98), "", 'Data Entry'!$X$98)</f>
      </c>
      <c r="Y98">
        <f>IF(ISBLANK('Data Entry'!$Y$98), "", 'Data Entry'!$Y$98)</f>
      </c>
      <c r="Z98">
        <f>IF(ISBLANK('Data Entry'!$Z$98), "", 'Data Entry'!$Z$98)</f>
      </c>
      <c r="AA98">
        <f>IF(ISBLANK('Data Entry'!$[$98), "", 'Data Entry'!$[$98)</f>
      </c>
      <c r="AB98">
        <f>IF(ISBLANK('Data Entry'!$\$98), "", 'Data Entry'!$\$98)</f>
      </c>
      <c r="AC98">
        <f>IF(ISBLANK('Data Entry'!$]$98), "", 'Data Entry'!$]$98)</f>
      </c>
      <c r="AD98">
        <f>IF(ISBLANK('Data Entry'!$^$98), "", 'Data Entry'!$^$98)</f>
      </c>
      <c r="AE98">
        <f>IF(ISBLANK('Data Entry'!$_$98), "", 'Data Entry'!$_$98)</f>
      </c>
      <c r="AF98">
        <f>IF(ISBLANK('Data Entry'!$`$98), "", 'Data Entry'!$`$98)</f>
      </c>
      <c r="AG98">
        <f>IF(ISBLANK('Data Entry'!$a$98), "", 'Data Entry'!$a$98)</f>
      </c>
      <c r="AH98">
        <f>IF(ISBLANK('Data Entry'!$b$98), "", 'Data Entry'!$b$98)</f>
      </c>
      <c r="AI98">
        <f>IF(ISBLANK('Data Entry'!$c$98), "", 'Data Entry'!$c$98)</f>
      </c>
      <c r="AJ98">
        <f>IF(ISBLANK('Data Entry'!$d$98), "", 'Data Entry'!$d$98)</f>
      </c>
      <c r="AK98">
        <f>IF(ISBLANK('Data Entry'!$e$98), "", 'Data Entry'!$e$98)</f>
      </c>
      <c r="AL98">
        <f>IF(ISBLANK('Data Entry'!$f$98), "", 'Data Entry'!$f$98)</f>
      </c>
      <c r="AM98">
        <f>IF(ISBLANK('Data Entry'!$g$98), "", 'Data Entry'!$g$98)</f>
      </c>
      <c r="AN98">
        <f>IF(ISBLANK('Data Entry'!$h$98), "", 'Data Entry'!$h$98)</f>
      </c>
      <c r="AO98">
        <f>IF(ISBLANK('Data Entry'!$i$98), "", 'Data Entry'!$i$98)</f>
      </c>
      <c r="AP98">
        <f>IF(ISBLANK('Data Entry'!$j$98), "", 'Data Entry'!$j$98)</f>
      </c>
      <c r="AQ98">
        <f>IF(ISBLANK('Data Entry'!$k$98), "", 'Data Entry'!$k$98)</f>
      </c>
      <c r="AR98">
        <f>IF(ISBLANK('Data Entry'!$l$98), "", 'Data Entry'!$l$98)</f>
      </c>
      <c r="AS98">
        <f>IF(ISBLANK('Data Entry'!$m$98), "", 'Data Entry'!$m$98)</f>
      </c>
      <c r="AT98">
        <f>IF(ISBLANK('Data Entry'!$n$98), "", 'Data Entry'!$n$98)</f>
      </c>
      <c r="AU98">
        <f>IF(ISBLANK('Data Entry'!$o$98), "", 'Data Entry'!$o$98)</f>
      </c>
      <c r="AV98">
        <f>IF(ISBLANK('Data Entry'!$p$98), "", 'Data Entry'!$p$98)</f>
      </c>
      <c r="AW98">
        <f>IF(ISBLANK('Data Entry'!$q$98), "", 'Data Entry'!$q$98)</f>
      </c>
      <c r="AX98">
        <f>IF(ISBLANK('Data Entry'!$r$98), "", 'Data Entry'!$r$98)</f>
      </c>
      <c r="AY98">
        <f>IF(ISBLANK('Data Entry'!$s$98), "", 'Data Entry'!$s$98)</f>
      </c>
      <c r="AZ98">
        <f>IF(ISBLANK('Data Entry'!$t$98), "", 'Data Entry'!$t$98)</f>
      </c>
      <c r="BA98">
        <f>IF(ISBLANK('Data Entry'!$u$98), "", 'Data Entry'!$u$98)</f>
      </c>
      <c r="BB98">
        <f>IF(ISBLANK('Data Entry'!$v$98), "", 'Data Entry'!$v$98)</f>
      </c>
      <c r="BC98">
        <f>IF(ISBLANK('Data Entry'!$w$98), "", 'Data Entry'!$w$98)</f>
      </c>
      <c r="BD98">
        <f>IF(ISBLANK('Data Entry'!$x$98), "", 'Data Entry'!$x$98)</f>
      </c>
      <c r="BE98">
        <f>IF(ISBLANK('Data Entry'!$y$98), "", 'Data Entry'!$y$98)</f>
      </c>
      <c r="BF98">
        <f>IF(ISBLANK('Data Entry'!$z$98), "", 'Data Entry'!$z$98)</f>
      </c>
      <c r="BG98">
        <f>IF(ISBLANK('Data Entry'!${$98), "", 'Data Entry'!${$98)</f>
      </c>
      <c r="BH98">
        <f>IF(ISBLANK('Data Entry'!$|$98), "", 'Data Entry'!$|$98)</f>
      </c>
      <c r="BI98">
        <f>IF(ISBLANK('Data Entry'!$}$98), "", 'Data Entry'!$}$98)</f>
      </c>
      <c r="BJ98">
        <f>IF(ISBLANK('Data Entry'!$~$98), "", 'Data Entry'!$~$98)</f>
      </c>
      <c r="BK98">
        <f>IF(ISBLANK('Data Entry'!$$98), "", 'Data Entry'!$$98)</f>
      </c>
      <c r="BL98">
        <f>IF(ISBLANK('Data Entry'!$$98), "", 'Data Entry'!$$98)</f>
      </c>
      <c r="BM98">
        <f>IF(ISBLANK('Data Entry'!$$98), "", 'Data Entry'!$$98)</f>
      </c>
      <c r="BN98">
        <f>IF(ISBLANK('Data Entry'!$$98), "", 'Data Entry'!$$98)</f>
      </c>
      <c r="BO98">
        <f>IF(ISBLANK('Data Entry'!$$98), "", 'Data Entry'!$$98)</f>
      </c>
      <c r="BP98">
        <f>IF(ISBLANK('Data Entry'!$$98), "", 'Data Entry'!$$98)</f>
      </c>
      <c r="BQ98">
        <f>IF(ISBLANK('Data Entry'!$$98), "", 'Data Entry'!$$98)</f>
      </c>
      <c r="BR98">
        <f>IF(ISBLANK('Data Entry'!$$98), "", 'Data Entry'!$$98)</f>
      </c>
      <c r="BS98">
        <f>IF(ISBLANK('Data Entry'!$$98), "", 'Data Entry'!$$98)</f>
      </c>
      <c r="BT98">
        <f>IF(ISBLANK('Data Entry'!$$98), "", 'Data Entry'!$$98)</f>
      </c>
      <c r="BU98">
        <f>IF(ISBLANK('Data Entry'!$$98), "", 'Data Entry'!$$98)</f>
      </c>
      <c r="BV98">
        <f>IF(ISBLANK('Data Entry'!$$98), "", 'Data Entry'!$$98)</f>
      </c>
      <c r="BW98">
        <f>IF(ISBLANK('Data Entry'!$$98), "", 'Data Entry'!$$98)</f>
      </c>
      <c r="BX98">
        <f>IF(ISBLANK('Data Entry'!$$98), "", 'Data Entry'!$$98)</f>
      </c>
      <c r="BY98">
        <f>IF(ISBLANK('Data Entry'!$$98), "", 'Data Entry'!$$98)</f>
      </c>
      <c r="BZ98">
        <f>IF(ISBLANK('Data Entry'!$$98), "", 'Data Entry'!$$98)</f>
      </c>
      <c r="CA98">
        <f>IF(ISBLANK('Data Entry'!$$98), "", 'Data Entry'!$$98)</f>
      </c>
      <c r="CB98">
        <f>IF(ISBLANK('Data Entry'!$$98), "", 'Data Entry'!$$98)</f>
      </c>
      <c r="CC98">
        <f>IF(ISBLANK('Data Entry'!$$98), "", 'Data Entry'!$$98)</f>
      </c>
      <c r="CD98">
        <f>IF(ISBLANK('Data Entry'!$$98), "", 'Data Entry'!$$98)</f>
      </c>
      <c r="CE98">
        <f>IF(ISBLANK('Data Entry'!$$98), "", 'Data Entry'!$$98)</f>
      </c>
      <c r="CF98">
        <f>IF(ISBLANK('Data Entry'!$$98), "", 'Data Entry'!$$98)</f>
      </c>
      <c r="CG98">
        <f>IF(ISBLANK('Data Entry'!$$98), "", 'Data Entry'!$$98)</f>
      </c>
      <c r="CH98">
        <f>IF(ISBLANK('Data Entry'!$$98), "", 'Data Entry'!$$98)</f>
      </c>
      <c r="CI98">
        <f>IF(ISBLANK('Data Entry'!$$98), "", 'Data Entry'!$$98)</f>
      </c>
      <c r="CJ98">
        <f>IF(ISBLANK('Data Entry'!$$98), "", 'Data Entry'!$$98)</f>
      </c>
      <c r="CK98">
        <f>IF(ISBLANK('Data Entry'!$$98), "", 'Data Entry'!$$98)</f>
      </c>
      <c r="CL98">
        <f>IF(ISBLANK('Data Entry'!$$98), "", 'Data Entry'!$$98)</f>
      </c>
      <c r="CM98">
        <f>IF(ISBLANK('Data Entry'!$$98), "", 'Data Entry'!$$98)</f>
      </c>
      <c r="CN98">
        <f>IF(ISBLANK('Data Entry'!$$98), "", 'Data Entry'!$$98)</f>
      </c>
      <c r="CO98">
        <f>IF(ISBLANK('Data Entry'!$$98), "", 'Data Entry'!$$98)</f>
      </c>
      <c r="CP98">
        <f>IF(ISBLANK('Data Entry'!$$98), "", 'Data Entry'!$$98)</f>
      </c>
      <c r="CQ98">
        <f>IF(ISBLANK('Data Entry'!$$98), "", 'Data Entry'!$$98)</f>
      </c>
      <c r="CR98">
        <f>IF(ISBLANK('Data Entry'!$ $98), "", 'Data Entry'!$ $98)</f>
      </c>
      <c r="CS98">
        <f>IF(ISBLANK('Data Entry'!$¡$98), "", 'Data Entry'!$¡$98)</f>
      </c>
      <c r="CT98">
        <f>IF(ISBLANK('Data Entry'!$¢$98), "", 'Data Entry'!$¢$98)</f>
      </c>
      <c r="CU98">
        <f>IF(ISBLANK('Data Entry'!$£$98), "", 'Data Entry'!$£$98)</f>
      </c>
      <c r="CV98">
        <f>IF(ISBLANK('Data Entry'!$¤$98), "", 'Data Entry'!$¤$98)</f>
      </c>
      <c r="CW98">
        <f>IF(ISBLANK('Data Entry'!$¥$98), "", 'Data Entry'!$¥$98)</f>
      </c>
      <c r="CX98">
        <f>IF(ISBLANK('Data Entry'!$¦$98), "", 'Data Entry'!$¦$98)</f>
      </c>
      <c r="CY98">
        <f>IF(ISBLANK('Data Entry'!$§$98), "", 'Data Entry'!$§$98)</f>
      </c>
      <c r="CZ98">
        <f>IF(ISBLANK('Data Entry'!$¨$98), "", 'Data Entry'!$¨$98)</f>
      </c>
      <c r="DA98">
        <f>IF(ISBLANK('Data Entry'!$©$98), "", 'Data Entry'!$©$98)</f>
      </c>
      <c r="DB98">
        <f>IF(ISBLANK('Data Entry'!$ª$98), "", 'Data Entry'!$ª$98)</f>
      </c>
      <c r="DC98">
        <f>IF(ISBLANK('Data Entry'!$«$98), "", 'Data Entry'!$«$98)</f>
      </c>
      <c r="DD98">
        <f>IF(ISBLANK('Data Entry'!$¬$98), "", 'Data Entry'!$¬$98)</f>
      </c>
      <c r="DE98">
        <f>IF(ISBLANK('Data Entry'!$­$98), "", 'Data Entry'!$­$98)</f>
      </c>
      <c r="DF98">
        <f>IF(ISBLANK('Data Entry'!$®$98), "", 'Data Entry'!$®$98)</f>
      </c>
      <c r="DG98">
        <f>IF(ISBLANK('Data Entry'!$¯$98), "", 'Data Entry'!$¯$98)</f>
      </c>
      <c r="DH98">
        <f>IF(ISBLANK('Data Entry'!$°$98), "", 'Data Entry'!$°$98)</f>
      </c>
      <c r="DI98">
        <f>IF(ISBLANK('Data Entry'!$±$98), "", 'Data Entry'!$±$98)</f>
      </c>
      <c r="DJ98">
        <f>IF(ISBLANK('Data Entry'!$²$98), "", 'Data Entry'!$²$98)</f>
      </c>
      <c r="DK98">
        <f>IF(ISBLANK('Data Entry'!$³$98), "", 'Data Entry'!$³$98)</f>
      </c>
      <c r="DL98">
        <f>IF(ISBLANK('Data Entry'!$´$98), "", 'Data Entry'!$´$98)</f>
      </c>
      <c r="DM98">
        <f>IF(ISBLANK('Data Entry'!$µ$98), "", 'Data Entry'!$µ$98)</f>
      </c>
      <c r="DN98">
        <f>IF(ISBLANK('Data Entry'!$¶$98), "", 'Data Entry'!$¶$98)</f>
      </c>
      <c r="DO98">
        <f>IF(ISBLANK('Data Entry'!$·$98), "", 'Data Entry'!$·$98)</f>
      </c>
      <c r="DP98">
        <f>IF(ISBLANK('Data Entry'!$¸$98), "", 'Data Entry'!$¸$98)</f>
      </c>
      <c r="DQ98">
        <f>IF(ISBLANK('Data Entry'!$¹$98), "", 'Data Entry'!$¹$98)</f>
      </c>
      <c r="DR98">
        <f>IF(ISBLANK('Data Entry'!$º$98), "", 'Data Entry'!$º$98)</f>
      </c>
      <c r="DS98">
        <f>IF(ISBLANK('Data Entry'!$»$98), "", 'Data Entry'!$»$98)</f>
      </c>
      <c r="DT98">
        <f>IF(ISBLANK('Data Entry'!$¼$98), "", 'Data Entry'!$¼$98)</f>
      </c>
      <c r="DU98">
        <f>IF(ISBLANK('Data Entry'!$½$98), "", 'Data Entry'!$½$98)</f>
      </c>
      <c r="DV98">
        <f>IF(ISBLANK('Data Entry'!$¾$98), "", 'Data Entry'!$¾$98)</f>
      </c>
      <c r="DW98">
        <f>IF(ISBLANK('Data Entry'!$¿$98), "", 'Data Entry'!$¿$98)</f>
      </c>
      <c r="DX98">
        <f>IF(ISBLANK('Data Entry'!$À$98), "", 'Data Entry'!$À$98)</f>
      </c>
      <c r="DY98">
        <f>IF(ISBLANK('Data Entry'!$Á$98), "", 'Data Entry'!$Á$98)</f>
      </c>
      <c r="DZ98">
        <f>IF(ISBLANK('Data Entry'!$Â$98), "", 'Data Entry'!$Â$98)</f>
      </c>
      <c r="EA98">
        <f>IF(ISBLANK('Data Entry'!$Ã$98), "", 'Data Entry'!$Ã$98)</f>
      </c>
      <c r="EB98">
        <f>IF(ISBLANK('Data Entry'!$Ä$98), "", 'Data Entry'!$Ä$98)</f>
      </c>
      <c r="EC98">
        <f>IF(ISBLANK('Data Entry'!$Å$98), "", 'Data Entry'!$Å$98)</f>
      </c>
      <c r="ED98">
        <f>IF(ISBLANK('Data Entry'!$Æ$98), "", 'Data Entry'!$Æ$98)</f>
      </c>
      <c r="EE98">
        <f>IF(ISBLANK('Data Entry'!$Ç$98), "", 'Data Entry'!$Ç$98)</f>
      </c>
      <c r="EF98">
        <f>IF(ISBLANK('Data Entry'!$È$98), "", 'Data Entry'!$È$98)</f>
      </c>
      <c r="EG98">
        <f>IF(ISBLANK('Data Entry'!$É$98), "", 'Data Entry'!$É$98)</f>
      </c>
      <c r="EH98">
        <f>IF(ISBLANK('Data Entry'!$Ê$98), "", 'Data Entry'!$Ê$98)</f>
      </c>
      <c r="EI98">
        <f>IF(ISBLANK('Data Entry'!$Ë$98), "", 'Data Entry'!$Ë$98)</f>
      </c>
      <c r="EJ98">
        <f>IF(ISBLANK('Data Entry'!$Ì$98), "", 'Data Entry'!$Ì$98)</f>
      </c>
      <c r="EK98">
        <f>IF(ISBLANK('Data Entry'!$Í$98), "", 'Data Entry'!$Í$98)</f>
      </c>
      <c r="EL98">
        <f>IF(ISBLANK('Data Entry'!$Î$98), "", 'Data Entry'!$Î$98)</f>
      </c>
      <c r="EM98">
        <f>IF(ISBLANK('Data Entry'!$Ï$98), "", 'Data Entry'!$Ï$98)</f>
      </c>
      <c r="EN98">
        <f>IF(ISBLANK('Data Entry'!$Ð$98), "", 'Data Entry'!$Ð$98)</f>
      </c>
      <c r="EO98">
        <f>IF(ISBLANK('Data Entry'!$Ñ$98), "", 'Data Entry'!$Ñ$98)</f>
      </c>
      <c r="EP98">
        <f>IF(ISBLANK('Data Entry'!$Ò$98), "", 'Data Entry'!$Ò$98)</f>
      </c>
      <c r="EQ98">
        <f>IF(ISBLANK('Data Entry'!$Ó$98), "", 'Data Entry'!$Ó$98)</f>
      </c>
      <c r="ER98">
        <f>IF(ISBLANK('Data Entry'!$Ô$98), "", 'Data Entry'!$Ô$98)</f>
      </c>
      <c r="ES98">
        <f>IF(ISBLANK('Data Entry'!$Õ$98), "", 'Data Entry'!$Õ$98)</f>
      </c>
      <c r="ET98">
        <f>IF(ISBLANK('Data Entry'!$Ö$98), "", 'Data Entry'!$Ö$98)</f>
      </c>
      <c r="EU98">
        <f>IF(ISBLANK('Data Entry'!$×$98), "", 'Data Entry'!$×$98)</f>
      </c>
      <c r="EV98">
        <f>IF(ISBLANK('Data Entry'!$Ø$98), "", 'Data Entry'!$Ø$98)</f>
      </c>
      <c r="EW98">
        <f>IF(ISBLANK('Data Entry'!$Ù$98), "", 'Data Entry'!$Ù$98)</f>
      </c>
      <c r="EX98">
        <f>IF(ISBLANK('Data Entry'!$Ú$98), "", 'Data Entry'!$Ú$98)</f>
      </c>
      <c r="EY98">
        <f>IF(ISBLANK('Data Entry'!$Û$98), "", 'Data Entry'!$Û$98)</f>
      </c>
      <c r="EZ98">
        <f>IF(ISBLANK('Data Entry'!$Ü$98), "", 'Data Entry'!$Ü$98)</f>
      </c>
      <c r="FA98">
        <f>IF(ISBLANK('Data Entry'!$Ý$98), "", 'Data Entry'!$Ý$98)</f>
      </c>
      <c r="FB98">
        <f>IF(ISBLANK('Data Entry'!$Þ$98), "", 'Data Entry'!$Þ$98)</f>
      </c>
      <c r="FC98">
        <f>IF(ISBLANK('Data Entry'!$ß$98), "", 'Data Entry'!$ß$98)</f>
      </c>
      <c r="FD98">
        <f>IF(ISBLANK('Data Entry'!$à$98), "", 'Data Entry'!$à$98)</f>
      </c>
      <c r="FE98">
        <f>IF(ISBLANK('Data Entry'!$á$98), "", 'Data Entry'!$á$98)</f>
      </c>
      <c r="FF98">
        <f>IF(ISBLANK('Data Entry'!$â$98), "", 'Data Entry'!$â$98)</f>
      </c>
      <c r="FG98">
        <f>IF(ISBLANK('Data Entry'!$ã$98), "", 'Data Entry'!$ã$98)</f>
      </c>
      <c r="FH98">
        <f>IF(ISBLANK('Data Entry'!$ä$98), "", 'Data Entry'!$ä$98)</f>
      </c>
      <c r="FI98">
        <f>IF(ISBLANK('Data Entry'!$å$98), "", 'Data Entry'!$å$98)</f>
      </c>
      <c r="FJ98">
        <f>IF(ISBLANK('Data Entry'!$æ$98), "", 'Data Entry'!$æ$98)</f>
      </c>
      <c r="FK98">
        <f>IF(ISBLANK('Data Entry'!$ç$98), "", 'Data Entry'!$ç$98)</f>
      </c>
      <c r="FL98">
        <f>IF(ISBLANK('Data Entry'!$è$98), "", 'Data Entry'!$è$98)</f>
      </c>
      <c r="FM98">
        <f>IF(ISBLANK('Data Entry'!$é$98), "", 'Data Entry'!$é$98)</f>
      </c>
      <c r="FN98">
        <f>IF(ISBLANK('Data Entry'!$ê$98), "", 'Data Entry'!$ê$98)</f>
      </c>
      <c r="FO98">
        <f>IF(ISBLANK('Data Entry'!$ë$98), "", 'Data Entry'!$ë$98)</f>
      </c>
      <c r="FP98">
        <f>IF(ISBLANK('Data Entry'!$ì$98), "", 'Data Entry'!$ì$98)</f>
      </c>
      <c r="FQ98">
        <f>IF(ISBLANK('Data Entry'!$í$98), "", 'Data Entry'!$í$98)</f>
      </c>
      <c r="FR98">
        <f>IF(ISBLANK('Data Entry'!$î$98), "", 'Data Entry'!$î$98)</f>
      </c>
      <c r="FS98">
        <f>IF(ISBLANK('Data Entry'!$ï$98), "", 'Data Entry'!$ï$98)</f>
      </c>
      <c r="FT98">
        <f>IF(ISBLANK('Data Entry'!$ð$98), "", 'Data Entry'!$ð$98)</f>
      </c>
      <c r="FU98">
        <f>IF(ISBLANK('Data Entry'!$ñ$98), "", 'Data Entry'!$ñ$98)</f>
      </c>
      <c r="FV98">
        <f>IF(ISBLANK('Data Entry'!$ò$98), "", 'Data Entry'!$ò$98)</f>
      </c>
      <c r="FW98">
        <f>IF(ISBLANK('Data Entry'!$ó$98), "", 'Data Entry'!$ó$98)</f>
      </c>
      <c r="FX98">
        <f>IF(ISBLANK('Data Entry'!$ô$98), "", 'Data Entry'!$ô$98)</f>
      </c>
      <c r="FY98">
        <f>IF(ISBLANK('Data Entry'!$õ$98), "", 'Data Entry'!$õ$98)</f>
      </c>
      <c r="FZ98">
        <f>IF(ISBLANK('Data Entry'!$ö$98), "", 'Data Entry'!$ö$98)</f>
      </c>
      <c r="GA98">
        <f>IF(ISBLANK('Data Entry'!$÷$98), "", 'Data Entry'!$÷$98)</f>
      </c>
      <c r="GB98">
        <f>IF(ISBLANK('Data Entry'!$ø$98), "", 'Data Entry'!$ø$98)</f>
      </c>
      <c r="GC98">
        <f>IF(ISBLANK('Data Entry'!$ù$98), "", 'Data Entry'!$ù$98)</f>
      </c>
      <c r="GD98">
        <f>IF(ISBLANK('Data Entry'!$ú$98), "", 'Data Entry'!$ú$98)</f>
      </c>
      <c r="GE98">
        <f>IF(ISBLANK('Data Entry'!$û$98), "", 'Data Entry'!$û$98)</f>
      </c>
      <c r="GF98">
        <f>IF(ISBLANK('Data Entry'!$ü$98), "", 'Data Entry'!$ü$98)</f>
      </c>
      <c r="GG98">
        <f>IF(ISBLANK('Data Entry'!$ý$98), "", 'Data Entry'!$ý$98)</f>
      </c>
      <c r="GH98">
        <f>IF(ISBLANK('Data Entry'!$þ$98), "", 'Data Entry'!$þ$98)</f>
      </c>
      <c r="GI98">
        <f>IF(ISBLANK('Data Entry'!$ÿ$98), "", 'Data Entry'!$ÿ$98)</f>
      </c>
      <c r="GJ98">
        <f>IF(ISBLANK('Data Entry'!$Ā$98), "", 'Data Entry'!$Ā$98)</f>
      </c>
      <c r="GK98">
        <f>IF(ISBLANK('Data Entry'!$ā$98), "", 'Data Entry'!$ā$98)</f>
      </c>
      <c r="GL98">
        <f>IF(ISBLANK('Data Entry'!$Ă$98), "", 'Data Entry'!$Ă$98)</f>
      </c>
      <c r="GM98">
        <f>IF(ISBLANK('Data Entry'!$ă$98), "", 'Data Entry'!$ă$98)</f>
      </c>
      <c r="GN98">
        <f>IF(ISBLANK('Data Entry'!$Ą$98), "", 'Data Entry'!$Ą$98)</f>
      </c>
      <c r="GO98">
        <f>IF(ISBLANK('Data Entry'!$ą$98), "", 'Data Entry'!$ą$98)</f>
      </c>
      <c r="GP98">
        <f>IF(ISBLANK('Data Entry'!$Ć$98), "", 'Data Entry'!$Ć$98)</f>
      </c>
      <c r="GQ98">
        <f>IF(ISBLANK('Data Entry'!$ć$98), "", 'Data Entry'!$ć$98)</f>
      </c>
      <c r="GR98">
        <f>IF(ISBLANK('Data Entry'!$Ĉ$98), "", 'Data Entry'!$Ĉ$98)</f>
      </c>
      <c r="GS98">
        <f>IF(ISBLANK('Data Entry'!$ĉ$98), "", 'Data Entry'!$ĉ$98)</f>
      </c>
      <c r="GT98">
        <f>IF(ISBLANK('Data Entry'!$Ċ$98), "", 'Data Entry'!$Ċ$98)</f>
      </c>
      <c r="GU98">
        <f>IF(ISBLANK('Data Entry'!$ċ$98), "", 'Data Entry'!$ċ$98)</f>
      </c>
      <c r="GV98">
        <f>IF(ISBLANK('Data Entry'!$Č$98), "", 'Data Entry'!$Č$98)</f>
      </c>
      <c r="GW98">
        <f>IF(ISBLANK('Data Entry'!$č$98), "", 'Data Entry'!$č$98)</f>
      </c>
      <c r="GX98">
        <f>IF(ISBLANK('Data Entry'!$Ď$98), "", 'Data Entry'!$Ď$98)</f>
      </c>
      <c r="GY98">
        <f>IF(ISBLANK('Data Entry'!$ď$98), "", 'Data Entry'!$ď$98)</f>
      </c>
      <c r="GZ98">
        <f>IF(ISBLANK('Data Entry'!$Đ$98), "", 'Data Entry'!$Đ$98)</f>
      </c>
      <c r="HA98">
        <f>IF(ISBLANK('Data Entry'!$đ$98), "", 'Data Entry'!$đ$98)</f>
      </c>
      <c r="HB98">
        <f>IF(ISBLANK('Data Entry'!$Ē$98), "", 'Data Entry'!$Ē$98)</f>
      </c>
      <c r="HC98">
        <f>IF(ISBLANK('Data Entry'!$ē$98), "", 'Data Entry'!$ē$98)</f>
      </c>
      <c r="HD98">
        <f>IF(ISBLANK('Data Entry'!$Ĕ$98), "", 'Data Entry'!$Ĕ$98)</f>
      </c>
      <c r="HE98">
        <f>IF(ISBLANK('Data Entry'!$ĕ$98), "", 'Data Entry'!$ĕ$98)</f>
      </c>
      <c r="HF98">
        <f>IF(ISBLANK('Data Entry'!$Ė$98), "", 'Data Entry'!$Ė$98)</f>
      </c>
      <c r="HG98">
        <f>IF(ISBLANK('Data Entry'!$ė$98), "", 'Data Entry'!$ė$98)</f>
      </c>
      <c r="HH98">
        <f>IF(ISBLANK('Data Entry'!$Ę$98), "", 'Data Entry'!$Ę$98)</f>
      </c>
      <c r="HI98">
        <f>IF(ISBLANK('Data Entry'!$ę$98), "", 'Data Entry'!$ę$98)</f>
      </c>
      <c r="HJ98">
        <f>IF(ISBLANK('Data Entry'!$Ě$98), "", 'Data Entry'!$Ě$98)</f>
      </c>
      <c r="HK98">
        <f>IF(ISBLANK('Data Entry'!$ě$98), "", 'Data Entry'!$ě$98)</f>
      </c>
      <c r="HL98">
        <f>IF(ISBLANK('Data Entry'!$Ĝ$98), "", 'Data Entry'!$Ĝ$98)</f>
      </c>
      <c r="HM98">
        <f>IF(ISBLANK('Data Entry'!$ĝ$98), "", 'Data Entry'!$ĝ$98)</f>
      </c>
      <c r="HN98">
        <f>IF(ISBLANK('Data Entry'!$Ğ$98), "", 'Data Entry'!$Ğ$98)</f>
      </c>
      <c r="HO98">
        <f>IF(ISBLANK('Data Entry'!$ğ$98), "", 'Data Entry'!$ğ$98)</f>
      </c>
      <c r="HP98">
        <f>IF(ISBLANK('Data Entry'!$Ġ$98), "", 'Data Entry'!$Ġ$98)</f>
      </c>
      <c r="HQ98">
        <f>IF(ISBLANK('Data Entry'!$ġ$98), "", 'Data Entry'!$ġ$98)</f>
      </c>
      <c r="HR98">
        <f>IF(ISBLANK('Data Entry'!$Ģ$98), "", 'Data Entry'!$Ģ$98)</f>
      </c>
      <c r="HS98">
        <f>IF(ISBLANK('Data Entry'!$ģ$98), "", 'Data Entry'!$ģ$98)</f>
      </c>
      <c r="HT98">
        <f>IF(ISBLANK('Data Entry'!$Ĥ$98), "", 'Data Entry'!$Ĥ$98)</f>
      </c>
      <c r="HU98">
        <f>IF(ISBLANK('Data Entry'!$ĥ$98), "", 'Data Entry'!$ĥ$98)</f>
      </c>
      <c r="HV98">
        <f>IF(ISBLANK('Data Entry'!$Ħ$98), "", 'Data Entry'!$Ħ$98)</f>
      </c>
      <c r="HW98">
        <f>IF(ISBLANK('Data Entry'!$ħ$98), "", 'Data Entry'!$ħ$98)</f>
      </c>
      <c r="HX98">
        <f>IF(ISBLANK('Data Entry'!$Ĩ$98), "", 'Data Entry'!$Ĩ$98)</f>
      </c>
      <c r="HY98">
        <f>IF(ISBLANK('Data Entry'!$ĩ$98), "", 'Data Entry'!$ĩ$98)</f>
      </c>
      <c r="HZ98">
        <f>IF(ISBLANK('Data Entry'!$Ī$98), "", 'Data Entry'!$Ī$98)</f>
      </c>
      <c r="IA98">
        <f>IF(ISBLANK('Data Entry'!$ī$98), "", 'Data Entry'!$ī$98)</f>
      </c>
      <c r="IB98">
        <f>IF(ISBLANK('Data Entry'!$Ĭ$98), "", 'Data Entry'!$Ĭ$98)</f>
      </c>
      <c r="IC98">
        <f>IF(ISBLANK('Data Entry'!$ĭ$98), "", 'Data Entry'!$ĭ$98)</f>
      </c>
      <c r="ID98">
        <f>IF(ISBLANK('Data Entry'!$Į$98), "", 'Data Entry'!$Į$98)</f>
      </c>
      <c r="IE98">
        <f>IF(ISBLANK('Data Entry'!$į$98), "", 'Data Entry'!$į$98)</f>
      </c>
      <c r="IF98">
        <f>IF(ISBLANK('Data Entry'!$İ$98), "", 'Data Entry'!$İ$98)</f>
      </c>
      <c r="IG98">
        <f>IF(ISBLANK('Data Entry'!$ı$98), "", 'Data Entry'!$ı$98)</f>
      </c>
      <c r="IH98">
        <f>IF(ISBLANK('Data Entry'!$Ĳ$98), "", 'Data Entry'!$Ĳ$98)</f>
      </c>
      <c r="II98">
        <f>IF(ISBLANK('Data Entry'!$ĳ$98), "", 'Data Entry'!$ĳ$98)</f>
      </c>
      <c r="IJ98">
        <f>IF(ISBLANK('Data Entry'!$Ĵ$98), "", 'Data Entry'!$Ĵ$98)</f>
      </c>
      <c r="IK98">
        <f>IF(ISBLANK('Data Entry'!$ĵ$98), "", 'Data Entry'!$ĵ$98)</f>
      </c>
      <c r="IL98">
        <f>IF(ISBLANK('Data Entry'!$Ķ$98), "", 'Data Entry'!$Ķ$98)</f>
      </c>
      <c r="IM98">
        <f>IF(ISBLANK('Data Entry'!$ķ$98), "", 'Data Entry'!$ķ$98)</f>
      </c>
      <c r="IN98">
        <f>IF(ISBLANK('Data Entry'!$ĸ$98), "", 'Data Entry'!$ĸ$98)</f>
      </c>
      <c r="IO98">
        <f>IF(ISBLANK('Data Entry'!$Ĺ$98), "", 'Data Entry'!$Ĺ$98)</f>
      </c>
      <c r="IP98">
        <f>IF(ISBLANK('Data Entry'!$ĺ$98), "", 'Data Entry'!$ĺ$98)</f>
      </c>
      <c r="IQ98">
        <f>IF(ISBLANK('Data Entry'!$Ļ$98), "", 'Data Entry'!$Ļ$98)</f>
      </c>
      <c r="IR98">
        <f>IF(ISBLANK('Data Entry'!$ļ$98), "", 'Data Entry'!$ļ$98)</f>
      </c>
      <c r="IS98">
        <f>IF(ISBLANK('Data Entry'!$Ľ$98), "", 'Data Entry'!$Ľ$98)</f>
      </c>
      <c r="IT98">
        <f>IF(ISBLANK('Data Entry'!$ľ$98), "", 'Data Entry'!$ľ$98)</f>
      </c>
    </row>
    <row r="99" spans="1:254" x14ac:dyDescent="0.25">
      <c r="A99">
        <f>IF(ISBLANK('Data Entry'!$A$99), "", 'Data Entry'!$A$99)</f>
      </c>
      <c r="B99">
        <f>IF(ISBLANK('Data Entry'!$B$99), "", 'Data Entry'!$B$99)</f>
      </c>
      <c r="C99">
        <f>IF(ISBLANK('Data Entry'!$C$99), "", 'Data Entry'!$C$99)</f>
      </c>
      <c r="D99">
        <f>IF(ISBLANK('Data Entry'!$D$99), "", 'Data Entry'!$D$99)</f>
      </c>
      <c r="E99">
        <f>IF(ISBLANK('Data Entry'!$E$99), "", 'Data Entry'!$E$99)</f>
      </c>
      <c r="F99">
        <f>IF(ISBLANK('Data Entry'!$F$99), "", 'Data Entry'!$F$99)</f>
      </c>
      <c r="G99">
        <f>IF(ISBLANK('Data Entry'!$G$99), "", 'Data Entry'!$G$99)</f>
      </c>
      <c r="H99">
        <f>IF(ISBLANK('Data Entry'!$H$99), "", 'Data Entry'!$H$99)</f>
      </c>
      <c r="I99">
        <f>IF(ISBLANK('Data Entry'!$I$99), "", 'Data Entry'!$I$99)</f>
      </c>
      <c r="J99">
        <f>IF(ISBLANK('Data Entry'!$J$99), "", 'Data Entry'!$J$99)</f>
      </c>
      <c r="K99">
        <f>IF(ISBLANK('Data Entry'!$K$99), "", 'Data Entry'!$K$99)</f>
      </c>
      <c r="L99">
        <f>IF(ISBLANK('Data Entry'!$L$99), "", 'Data Entry'!$L$99)</f>
      </c>
      <c r="M99">
        <f>IF(ISBLANK('Data Entry'!$M$99), "", 'Data Entry'!$M$99)</f>
      </c>
      <c r="N99">
        <f>IF(ISBLANK('Data Entry'!$N$99), "", 'Data Entry'!$N$99)</f>
      </c>
      <c r="O99">
        <f>IF(ISBLANK('Data Entry'!$O$99), "", 'Data Entry'!$O$99)</f>
      </c>
      <c r="P99">
        <f>IF(ISBLANK('Data Entry'!$P$99), "", 'Data Entry'!$P$99)</f>
      </c>
      <c r="Q99">
        <f>IF(ISBLANK('Data Entry'!$Q$99), "", 'Data Entry'!$Q$99)</f>
      </c>
      <c r="R99">
        <f>IF(ISBLANK('Data Entry'!$R$99), "", 'Data Entry'!$R$99)</f>
      </c>
      <c r="S99">
        <f>IF(ISBLANK('Data Entry'!$S$99), "", 'Data Entry'!$S$99)</f>
      </c>
      <c r="T99">
        <f>IF(ISBLANK('Data Entry'!$T$99), "", 'Data Entry'!$T$99)</f>
      </c>
      <c r="U99">
        <f>IF(ISBLANK('Data Entry'!$U$99), "", 'Data Entry'!$U$99)</f>
      </c>
      <c r="V99">
        <f>IF(ISBLANK('Data Entry'!$V$99), "", 'Data Entry'!$V$99)</f>
      </c>
      <c r="W99">
        <f>IF(ISBLANK('Data Entry'!$W$99), "", 'Data Entry'!$W$99)</f>
      </c>
      <c r="X99">
        <f>IF(ISBLANK('Data Entry'!$X$99), "", 'Data Entry'!$X$99)</f>
      </c>
      <c r="Y99">
        <f>IF(ISBLANK('Data Entry'!$Y$99), "", 'Data Entry'!$Y$99)</f>
      </c>
      <c r="Z99">
        <f>IF(ISBLANK('Data Entry'!$Z$99), "", 'Data Entry'!$Z$99)</f>
      </c>
      <c r="AA99">
        <f>IF(ISBLANK('Data Entry'!$[$99), "", 'Data Entry'!$[$99)</f>
      </c>
      <c r="AB99">
        <f>IF(ISBLANK('Data Entry'!$\$99), "", 'Data Entry'!$\$99)</f>
      </c>
      <c r="AC99">
        <f>IF(ISBLANK('Data Entry'!$]$99), "", 'Data Entry'!$]$99)</f>
      </c>
      <c r="AD99">
        <f>IF(ISBLANK('Data Entry'!$^$99), "", 'Data Entry'!$^$99)</f>
      </c>
      <c r="AE99">
        <f>IF(ISBLANK('Data Entry'!$_$99), "", 'Data Entry'!$_$99)</f>
      </c>
      <c r="AF99">
        <f>IF(ISBLANK('Data Entry'!$`$99), "", 'Data Entry'!$`$99)</f>
      </c>
      <c r="AG99">
        <f>IF(ISBLANK('Data Entry'!$a$99), "", 'Data Entry'!$a$99)</f>
      </c>
      <c r="AH99">
        <f>IF(ISBLANK('Data Entry'!$b$99), "", 'Data Entry'!$b$99)</f>
      </c>
      <c r="AI99">
        <f>IF(ISBLANK('Data Entry'!$c$99), "", 'Data Entry'!$c$99)</f>
      </c>
      <c r="AJ99">
        <f>IF(ISBLANK('Data Entry'!$d$99), "", 'Data Entry'!$d$99)</f>
      </c>
      <c r="AK99">
        <f>IF(ISBLANK('Data Entry'!$e$99), "", 'Data Entry'!$e$99)</f>
      </c>
      <c r="AL99">
        <f>IF(ISBLANK('Data Entry'!$f$99), "", 'Data Entry'!$f$99)</f>
      </c>
      <c r="AM99">
        <f>IF(ISBLANK('Data Entry'!$g$99), "", 'Data Entry'!$g$99)</f>
      </c>
      <c r="AN99">
        <f>IF(ISBLANK('Data Entry'!$h$99), "", 'Data Entry'!$h$99)</f>
      </c>
      <c r="AO99">
        <f>IF(ISBLANK('Data Entry'!$i$99), "", 'Data Entry'!$i$99)</f>
      </c>
      <c r="AP99">
        <f>IF(ISBLANK('Data Entry'!$j$99), "", 'Data Entry'!$j$99)</f>
      </c>
      <c r="AQ99">
        <f>IF(ISBLANK('Data Entry'!$k$99), "", 'Data Entry'!$k$99)</f>
      </c>
      <c r="AR99">
        <f>IF(ISBLANK('Data Entry'!$l$99), "", 'Data Entry'!$l$99)</f>
      </c>
      <c r="AS99">
        <f>IF(ISBLANK('Data Entry'!$m$99), "", 'Data Entry'!$m$99)</f>
      </c>
      <c r="AT99">
        <f>IF(ISBLANK('Data Entry'!$n$99), "", 'Data Entry'!$n$99)</f>
      </c>
      <c r="AU99">
        <f>IF(ISBLANK('Data Entry'!$o$99), "", 'Data Entry'!$o$99)</f>
      </c>
      <c r="AV99">
        <f>IF(ISBLANK('Data Entry'!$p$99), "", 'Data Entry'!$p$99)</f>
      </c>
      <c r="AW99">
        <f>IF(ISBLANK('Data Entry'!$q$99), "", 'Data Entry'!$q$99)</f>
      </c>
      <c r="AX99">
        <f>IF(ISBLANK('Data Entry'!$r$99), "", 'Data Entry'!$r$99)</f>
      </c>
      <c r="AY99">
        <f>IF(ISBLANK('Data Entry'!$s$99), "", 'Data Entry'!$s$99)</f>
      </c>
      <c r="AZ99">
        <f>IF(ISBLANK('Data Entry'!$t$99), "", 'Data Entry'!$t$99)</f>
      </c>
      <c r="BA99">
        <f>IF(ISBLANK('Data Entry'!$u$99), "", 'Data Entry'!$u$99)</f>
      </c>
      <c r="BB99">
        <f>IF(ISBLANK('Data Entry'!$v$99), "", 'Data Entry'!$v$99)</f>
      </c>
      <c r="BC99">
        <f>IF(ISBLANK('Data Entry'!$w$99), "", 'Data Entry'!$w$99)</f>
      </c>
      <c r="BD99">
        <f>IF(ISBLANK('Data Entry'!$x$99), "", 'Data Entry'!$x$99)</f>
      </c>
      <c r="BE99">
        <f>IF(ISBLANK('Data Entry'!$y$99), "", 'Data Entry'!$y$99)</f>
      </c>
      <c r="BF99">
        <f>IF(ISBLANK('Data Entry'!$z$99), "", 'Data Entry'!$z$99)</f>
      </c>
      <c r="BG99">
        <f>IF(ISBLANK('Data Entry'!${$99), "", 'Data Entry'!${$99)</f>
      </c>
      <c r="BH99">
        <f>IF(ISBLANK('Data Entry'!$|$99), "", 'Data Entry'!$|$99)</f>
      </c>
      <c r="BI99">
        <f>IF(ISBLANK('Data Entry'!$}$99), "", 'Data Entry'!$}$99)</f>
      </c>
      <c r="BJ99">
        <f>IF(ISBLANK('Data Entry'!$~$99), "", 'Data Entry'!$~$99)</f>
      </c>
      <c r="BK99">
        <f>IF(ISBLANK('Data Entry'!$$99), "", 'Data Entry'!$$99)</f>
      </c>
      <c r="BL99">
        <f>IF(ISBLANK('Data Entry'!$$99), "", 'Data Entry'!$$99)</f>
      </c>
      <c r="BM99">
        <f>IF(ISBLANK('Data Entry'!$$99), "", 'Data Entry'!$$99)</f>
      </c>
      <c r="BN99">
        <f>IF(ISBLANK('Data Entry'!$$99), "", 'Data Entry'!$$99)</f>
      </c>
      <c r="BO99">
        <f>IF(ISBLANK('Data Entry'!$$99), "", 'Data Entry'!$$99)</f>
      </c>
      <c r="BP99">
        <f>IF(ISBLANK('Data Entry'!$$99), "", 'Data Entry'!$$99)</f>
      </c>
      <c r="BQ99">
        <f>IF(ISBLANK('Data Entry'!$$99), "", 'Data Entry'!$$99)</f>
      </c>
      <c r="BR99">
        <f>IF(ISBLANK('Data Entry'!$$99), "", 'Data Entry'!$$99)</f>
      </c>
      <c r="BS99">
        <f>IF(ISBLANK('Data Entry'!$$99), "", 'Data Entry'!$$99)</f>
      </c>
      <c r="BT99">
        <f>IF(ISBLANK('Data Entry'!$$99), "", 'Data Entry'!$$99)</f>
      </c>
      <c r="BU99">
        <f>IF(ISBLANK('Data Entry'!$$99), "", 'Data Entry'!$$99)</f>
      </c>
      <c r="BV99">
        <f>IF(ISBLANK('Data Entry'!$$99), "", 'Data Entry'!$$99)</f>
      </c>
      <c r="BW99">
        <f>IF(ISBLANK('Data Entry'!$$99), "", 'Data Entry'!$$99)</f>
      </c>
      <c r="BX99">
        <f>IF(ISBLANK('Data Entry'!$$99), "", 'Data Entry'!$$99)</f>
      </c>
      <c r="BY99">
        <f>IF(ISBLANK('Data Entry'!$$99), "", 'Data Entry'!$$99)</f>
      </c>
      <c r="BZ99">
        <f>IF(ISBLANK('Data Entry'!$$99), "", 'Data Entry'!$$99)</f>
      </c>
      <c r="CA99">
        <f>IF(ISBLANK('Data Entry'!$$99), "", 'Data Entry'!$$99)</f>
      </c>
      <c r="CB99">
        <f>IF(ISBLANK('Data Entry'!$$99), "", 'Data Entry'!$$99)</f>
      </c>
      <c r="CC99">
        <f>IF(ISBLANK('Data Entry'!$$99), "", 'Data Entry'!$$99)</f>
      </c>
      <c r="CD99">
        <f>IF(ISBLANK('Data Entry'!$$99), "", 'Data Entry'!$$99)</f>
      </c>
      <c r="CE99">
        <f>IF(ISBLANK('Data Entry'!$$99), "", 'Data Entry'!$$99)</f>
      </c>
      <c r="CF99">
        <f>IF(ISBLANK('Data Entry'!$$99), "", 'Data Entry'!$$99)</f>
      </c>
      <c r="CG99">
        <f>IF(ISBLANK('Data Entry'!$$99), "", 'Data Entry'!$$99)</f>
      </c>
      <c r="CH99">
        <f>IF(ISBLANK('Data Entry'!$$99), "", 'Data Entry'!$$99)</f>
      </c>
      <c r="CI99">
        <f>IF(ISBLANK('Data Entry'!$$99), "", 'Data Entry'!$$99)</f>
      </c>
      <c r="CJ99">
        <f>IF(ISBLANK('Data Entry'!$$99), "", 'Data Entry'!$$99)</f>
      </c>
      <c r="CK99">
        <f>IF(ISBLANK('Data Entry'!$$99), "", 'Data Entry'!$$99)</f>
      </c>
      <c r="CL99">
        <f>IF(ISBLANK('Data Entry'!$$99), "", 'Data Entry'!$$99)</f>
      </c>
      <c r="CM99">
        <f>IF(ISBLANK('Data Entry'!$$99), "", 'Data Entry'!$$99)</f>
      </c>
      <c r="CN99">
        <f>IF(ISBLANK('Data Entry'!$$99), "", 'Data Entry'!$$99)</f>
      </c>
      <c r="CO99">
        <f>IF(ISBLANK('Data Entry'!$$99), "", 'Data Entry'!$$99)</f>
      </c>
      <c r="CP99">
        <f>IF(ISBLANK('Data Entry'!$$99), "", 'Data Entry'!$$99)</f>
      </c>
      <c r="CQ99">
        <f>IF(ISBLANK('Data Entry'!$$99), "", 'Data Entry'!$$99)</f>
      </c>
      <c r="CR99">
        <f>IF(ISBLANK('Data Entry'!$ $99), "", 'Data Entry'!$ $99)</f>
      </c>
      <c r="CS99">
        <f>IF(ISBLANK('Data Entry'!$¡$99), "", 'Data Entry'!$¡$99)</f>
      </c>
      <c r="CT99">
        <f>IF(ISBLANK('Data Entry'!$¢$99), "", 'Data Entry'!$¢$99)</f>
      </c>
      <c r="CU99">
        <f>IF(ISBLANK('Data Entry'!$£$99), "", 'Data Entry'!$£$99)</f>
      </c>
      <c r="CV99">
        <f>IF(ISBLANK('Data Entry'!$¤$99), "", 'Data Entry'!$¤$99)</f>
      </c>
      <c r="CW99">
        <f>IF(ISBLANK('Data Entry'!$¥$99), "", 'Data Entry'!$¥$99)</f>
      </c>
      <c r="CX99">
        <f>IF(ISBLANK('Data Entry'!$¦$99), "", 'Data Entry'!$¦$99)</f>
      </c>
      <c r="CY99">
        <f>IF(ISBLANK('Data Entry'!$§$99), "", 'Data Entry'!$§$99)</f>
      </c>
      <c r="CZ99">
        <f>IF(ISBLANK('Data Entry'!$¨$99), "", 'Data Entry'!$¨$99)</f>
      </c>
      <c r="DA99">
        <f>IF(ISBLANK('Data Entry'!$©$99), "", 'Data Entry'!$©$99)</f>
      </c>
      <c r="DB99">
        <f>IF(ISBLANK('Data Entry'!$ª$99), "", 'Data Entry'!$ª$99)</f>
      </c>
      <c r="DC99">
        <f>IF(ISBLANK('Data Entry'!$«$99), "", 'Data Entry'!$«$99)</f>
      </c>
      <c r="DD99">
        <f>IF(ISBLANK('Data Entry'!$¬$99), "", 'Data Entry'!$¬$99)</f>
      </c>
      <c r="DE99">
        <f>IF(ISBLANK('Data Entry'!$­$99), "", 'Data Entry'!$­$99)</f>
      </c>
      <c r="DF99">
        <f>IF(ISBLANK('Data Entry'!$®$99), "", 'Data Entry'!$®$99)</f>
      </c>
      <c r="DG99">
        <f>IF(ISBLANK('Data Entry'!$¯$99), "", 'Data Entry'!$¯$99)</f>
      </c>
      <c r="DH99">
        <f>IF(ISBLANK('Data Entry'!$°$99), "", 'Data Entry'!$°$99)</f>
      </c>
      <c r="DI99">
        <f>IF(ISBLANK('Data Entry'!$±$99), "", 'Data Entry'!$±$99)</f>
      </c>
      <c r="DJ99">
        <f>IF(ISBLANK('Data Entry'!$²$99), "", 'Data Entry'!$²$99)</f>
      </c>
      <c r="DK99">
        <f>IF(ISBLANK('Data Entry'!$³$99), "", 'Data Entry'!$³$99)</f>
      </c>
      <c r="DL99">
        <f>IF(ISBLANK('Data Entry'!$´$99), "", 'Data Entry'!$´$99)</f>
      </c>
      <c r="DM99">
        <f>IF(ISBLANK('Data Entry'!$µ$99), "", 'Data Entry'!$µ$99)</f>
      </c>
      <c r="DN99">
        <f>IF(ISBLANK('Data Entry'!$¶$99), "", 'Data Entry'!$¶$99)</f>
      </c>
      <c r="DO99">
        <f>IF(ISBLANK('Data Entry'!$·$99), "", 'Data Entry'!$·$99)</f>
      </c>
      <c r="DP99">
        <f>IF(ISBLANK('Data Entry'!$¸$99), "", 'Data Entry'!$¸$99)</f>
      </c>
      <c r="DQ99">
        <f>IF(ISBLANK('Data Entry'!$¹$99), "", 'Data Entry'!$¹$99)</f>
      </c>
      <c r="DR99">
        <f>IF(ISBLANK('Data Entry'!$º$99), "", 'Data Entry'!$º$99)</f>
      </c>
      <c r="DS99">
        <f>IF(ISBLANK('Data Entry'!$»$99), "", 'Data Entry'!$»$99)</f>
      </c>
      <c r="DT99">
        <f>IF(ISBLANK('Data Entry'!$¼$99), "", 'Data Entry'!$¼$99)</f>
      </c>
      <c r="DU99">
        <f>IF(ISBLANK('Data Entry'!$½$99), "", 'Data Entry'!$½$99)</f>
      </c>
      <c r="DV99">
        <f>IF(ISBLANK('Data Entry'!$¾$99), "", 'Data Entry'!$¾$99)</f>
      </c>
      <c r="DW99">
        <f>IF(ISBLANK('Data Entry'!$¿$99), "", 'Data Entry'!$¿$99)</f>
      </c>
      <c r="DX99">
        <f>IF(ISBLANK('Data Entry'!$À$99), "", 'Data Entry'!$À$99)</f>
      </c>
      <c r="DY99">
        <f>IF(ISBLANK('Data Entry'!$Á$99), "", 'Data Entry'!$Á$99)</f>
      </c>
      <c r="DZ99">
        <f>IF(ISBLANK('Data Entry'!$Â$99), "", 'Data Entry'!$Â$99)</f>
      </c>
      <c r="EA99">
        <f>IF(ISBLANK('Data Entry'!$Ã$99), "", 'Data Entry'!$Ã$99)</f>
      </c>
      <c r="EB99">
        <f>IF(ISBLANK('Data Entry'!$Ä$99), "", 'Data Entry'!$Ä$99)</f>
      </c>
      <c r="EC99">
        <f>IF(ISBLANK('Data Entry'!$Å$99), "", 'Data Entry'!$Å$99)</f>
      </c>
      <c r="ED99">
        <f>IF(ISBLANK('Data Entry'!$Æ$99), "", 'Data Entry'!$Æ$99)</f>
      </c>
      <c r="EE99">
        <f>IF(ISBLANK('Data Entry'!$Ç$99), "", 'Data Entry'!$Ç$99)</f>
      </c>
      <c r="EF99">
        <f>IF(ISBLANK('Data Entry'!$È$99), "", 'Data Entry'!$È$99)</f>
      </c>
      <c r="EG99">
        <f>IF(ISBLANK('Data Entry'!$É$99), "", 'Data Entry'!$É$99)</f>
      </c>
      <c r="EH99">
        <f>IF(ISBLANK('Data Entry'!$Ê$99), "", 'Data Entry'!$Ê$99)</f>
      </c>
      <c r="EI99">
        <f>IF(ISBLANK('Data Entry'!$Ë$99), "", 'Data Entry'!$Ë$99)</f>
      </c>
      <c r="EJ99">
        <f>IF(ISBLANK('Data Entry'!$Ì$99), "", 'Data Entry'!$Ì$99)</f>
      </c>
      <c r="EK99">
        <f>IF(ISBLANK('Data Entry'!$Í$99), "", 'Data Entry'!$Í$99)</f>
      </c>
      <c r="EL99">
        <f>IF(ISBLANK('Data Entry'!$Î$99), "", 'Data Entry'!$Î$99)</f>
      </c>
      <c r="EM99">
        <f>IF(ISBLANK('Data Entry'!$Ï$99), "", 'Data Entry'!$Ï$99)</f>
      </c>
      <c r="EN99">
        <f>IF(ISBLANK('Data Entry'!$Ð$99), "", 'Data Entry'!$Ð$99)</f>
      </c>
      <c r="EO99">
        <f>IF(ISBLANK('Data Entry'!$Ñ$99), "", 'Data Entry'!$Ñ$99)</f>
      </c>
      <c r="EP99">
        <f>IF(ISBLANK('Data Entry'!$Ò$99), "", 'Data Entry'!$Ò$99)</f>
      </c>
      <c r="EQ99">
        <f>IF(ISBLANK('Data Entry'!$Ó$99), "", 'Data Entry'!$Ó$99)</f>
      </c>
      <c r="ER99">
        <f>IF(ISBLANK('Data Entry'!$Ô$99), "", 'Data Entry'!$Ô$99)</f>
      </c>
      <c r="ES99">
        <f>IF(ISBLANK('Data Entry'!$Õ$99), "", 'Data Entry'!$Õ$99)</f>
      </c>
      <c r="ET99">
        <f>IF(ISBLANK('Data Entry'!$Ö$99), "", 'Data Entry'!$Ö$99)</f>
      </c>
      <c r="EU99">
        <f>IF(ISBLANK('Data Entry'!$×$99), "", 'Data Entry'!$×$99)</f>
      </c>
      <c r="EV99">
        <f>IF(ISBLANK('Data Entry'!$Ø$99), "", 'Data Entry'!$Ø$99)</f>
      </c>
      <c r="EW99">
        <f>IF(ISBLANK('Data Entry'!$Ù$99), "", 'Data Entry'!$Ù$99)</f>
      </c>
      <c r="EX99">
        <f>IF(ISBLANK('Data Entry'!$Ú$99), "", 'Data Entry'!$Ú$99)</f>
      </c>
      <c r="EY99">
        <f>IF(ISBLANK('Data Entry'!$Û$99), "", 'Data Entry'!$Û$99)</f>
      </c>
      <c r="EZ99">
        <f>IF(ISBLANK('Data Entry'!$Ü$99), "", 'Data Entry'!$Ü$99)</f>
      </c>
      <c r="FA99">
        <f>IF(ISBLANK('Data Entry'!$Ý$99), "", 'Data Entry'!$Ý$99)</f>
      </c>
      <c r="FB99">
        <f>IF(ISBLANK('Data Entry'!$Þ$99), "", 'Data Entry'!$Þ$99)</f>
      </c>
      <c r="FC99">
        <f>IF(ISBLANK('Data Entry'!$ß$99), "", 'Data Entry'!$ß$99)</f>
      </c>
      <c r="FD99">
        <f>IF(ISBLANK('Data Entry'!$à$99), "", 'Data Entry'!$à$99)</f>
      </c>
      <c r="FE99">
        <f>IF(ISBLANK('Data Entry'!$á$99), "", 'Data Entry'!$á$99)</f>
      </c>
      <c r="FF99">
        <f>IF(ISBLANK('Data Entry'!$â$99), "", 'Data Entry'!$â$99)</f>
      </c>
      <c r="FG99">
        <f>IF(ISBLANK('Data Entry'!$ã$99), "", 'Data Entry'!$ã$99)</f>
      </c>
      <c r="FH99">
        <f>IF(ISBLANK('Data Entry'!$ä$99), "", 'Data Entry'!$ä$99)</f>
      </c>
      <c r="FI99">
        <f>IF(ISBLANK('Data Entry'!$å$99), "", 'Data Entry'!$å$99)</f>
      </c>
      <c r="FJ99">
        <f>IF(ISBLANK('Data Entry'!$æ$99), "", 'Data Entry'!$æ$99)</f>
      </c>
      <c r="FK99">
        <f>IF(ISBLANK('Data Entry'!$ç$99), "", 'Data Entry'!$ç$99)</f>
      </c>
      <c r="FL99">
        <f>IF(ISBLANK('Data Entry'!$è$99), "", 'Data Entry'!$è$99)</f>
      </c>
      <c r="FM99">
        <f>IF(ISBLANK('Data Entry'!$é$99), "", 'Data Entry'!$é$99)</f>
      </c>
      <c r="FN99">
        <f>IF(ISBLANK('Data Entry'!$ê$99), "", 'Data Entry'!$ê$99)</f>
      </c>
      <c r="FO99">
        <f>IF(ISBLANK('Data Entry'!$ë$99), "", 'Data Entry'!$ë$99)</f>
      </c>
      <c r="FP99">
        <f>IF(ISBLANK('Data Entry'!$ì$99), "", 'Data Entry'!$ì$99)</f>
      </c>
      <c r="FQ99">
        <f>IF(ISBLANK('Data Entry'!$í$99), "", 'Data Entry'!$í$99)</f>
      </c>
      <c r="FR99">
        <f>IF(ISBLANK('Data Entry'!$î$99), "", 'Data Entry'!$î$99)</f>
      </c>
      <c r="FS99">
        <f>IF(ISBLANK('Data Entry'!$ï$99), "", 'Data Entry'!$ï$99)</f>
      </c>
      <c r="FT99">
        <f>IF(ISBLANK('Data Entry'!$ð$99), "", 'Data Entry'!$ð$99)</f>
      </c>
      <c r="FU99">
        <f>IF(ISBLANK('Data Entry'!$ñ$99), "", 'Data Entry'!$ñ$99)</f>
      </c>
      <c r="FV99">
        <f>IF(ISBLANK('Data Entry'!$ò$99), "", 'Data Entry'!$ò$99)</f>
      </c>
      <c r="FW99">
        <f>IF(ISBLANK('Data Entry'!$ó$99), "", 'Data Entry'!$ó$99)</f>
      </c>
      <c r="FX99">
        <f>IF(ISBLANK('Data Entry'!$ô$99), "", 'Data Entry'!$ô$99)</f>
      </c>
      <c r="FY99">
        <f>IF(ISBLANK('Data Entry'!$õ$99), "", 'Data Entry'!$õ$99)</f>
      </c>
      <c r="FZ99">
        <f>IF(ISBLANK('Data Entry'!$ö$99), "", 'Data Entry'!$ö$99)</f>
      </c>
      <c r="GA99">
        <f>IF(ISBLANK('Data Entry'!$÷$99), "", 'Data Entry'!$÷$99)</f>
      </c>
      <c r="GB99">
        <f>IF(ISBLANK('Data Entry'!$ø$99), "", 'Data Entry'!$ø$99)</f>
      </c>
      <c r="GC99">
        <f>IF(ISBLANK('Data Entry'!$ù$99), "", 'Data Entry'!$ù$99)</f>
      </c>
      <c r="GD99">
        <f>IF(ISBLANK('Data Entry'!$ú$99), "", 'Data Entry'!$ú$99)</f>
      </c>
      <c r="GE99">
        <f>IF(ISBLANK('Data Entry'!$û$99), "", 'Data Entry'!$û$99)</f>
      </c>
      <c r="GF99">
        <f>IF(ISBLANK('Data Entry'!$ü$99), "", 'Data Entry'!$ü$99)</f>
      </c>
      <c r="GG99">
        <f>IF(ISBLANK('Data Entry'!$ý$99), "", 'Data Entry'!$ý$99)</f>
      </c>
      <c r="GH99">
        <f>IF(ISBLANK('Data Entry'!$þ$99), "", 'Data Entry'!$þ$99)</f>
      </c>
      <c r="GI99">
        <f>IF(ISBLANK('Data Entry'!$ÿ$99), "", 'Data Entry'!$ÿ$99)</f>
      </c>
      <c r="GJ99">
        <f>IF(ISBLANK('Data Entry'!$Ā$99), "", 'Data Entry'!$Ā$99)</f>
      </c>
      <c r="GK99">
        <f>IF(ISBLANK('Data Entry'!$ā$99), "", 'Data Entry'!$ā$99)</f>
      </c>
      <c r="GL99">
        <f>IF(ISBLANK('Data Entry'!$Ă$99), "", 'Data Entry'!$Ă$99)</f>
      </c>
      <c r="GM99">
        <f>IF(ISBLANK('Data Entry'!$ă$99), "", 'Data Entry'!$ă$99)</f>
      </c>
      <c r="GN99">
        <f>IF(ISBLANK('Data Entry'!$Ą$99), "", 'Data Entry'!$Ą$99)</f>
      </c>
      <c r="GO99">
        <f>IF(ISBLANK('Data Entry'!$ą$99), "", 'Data Entry'!$ą$99)</f>
      </c>
      <c r="GP99">
        <f>IF(ISBLANK('Data Entry'!$Ć$99), "", 'Data Entry'!$Ć$99)</f>
      </c>
      <c r="GQ99">
        <f>IF(ISBLANK('Data Entry'!$ć$99), "", 'Data Entry'!$ć$99)</f>
      </c>
      <c r="GR99">
        <f>IF(ISBLANK('Data Entry'!$Ĉ$99), "", 'Data Entry'!$Ĉ$99)</f>
      </c>
      <c r="GS99">
        <f>IF(ISBLANK('Data Entry'!$ĉ$99), "", 'Data Entry'!$ĉ$99)</f>
      </c>
      <c r="GT99">
        <f>IF(ISBLANK('Data Entry'!$Ċ$99), "", 'Data Entry'!$Ċ$99)</f>
      </c>
      <c r="GU99">
        <f>IF(ISBLANK('Data Entry'!$ċ$99), "", 'Data Entry'!$ċ$99)</f>
      </c>
      <c r="GV99">
        <f>IF(ISBLANK('Data Entry'!$Č$99), "", 'Data Entry'!$Č$99)</f>
      </c>
      <c r="GW99">
        <f>IF(ISBLANK('Data Entry'!$č$99), "", 'Data Entry'!$č$99)</f>
      </c>
      <c r="GX99">
        <f>IF(ISBLANK('Data Entry'!$Ď$99), "", 'Data Entry'!$Ď$99)</f>
      </c>
      <c r="GY99">
        <f>IF(ISBLANK('Data Entry'!$ď$99), "", 'Data Entry'!$ď$99)</f>
      </c>
      <c r="GZ99">
        <f>IF(ISBLANK('Data Entry'!$Đ$99), "", 'Data Entry'!$Đ$99)</f>
      </c>
      <c r="HA99">
        <f>IF(ISBLANK('Data Entry'!$đ$99), "", 'Data Entry'!$đ$99)</f>
      </c>
      <c r="HB99">
        <f>IF(ISBLANK('Data Entry'!$Ē$99), "", 'Data Entry'!$Ē$99)</f>
      </c>
      <c r="HC99">
        <f>IF(ISBLANK('Data Entry'!$ē$99), "", 'Data Entry'!$ē$99)</f>
      </c>
      <c r="HD99">
        <f>IF(ISBLANK('Data Entry'!$Ĕ$99), "", 'Data Entry'!$Ĕ$99)</f>
      </c>
      <c r="HE99">
        <f>IF(ISBLANK('Data Entry'!$ĕ$99), "", 'Data Entry'!$ĕ$99)</f>
      </c>
      <c r="HF99">
        <f>IF(ISBLANK('Data Entry'!$Ė$99), "", 'Data Entry'!$Ė$99)</f>
      </c>
      <c r="HG99">
        <f>IF(ISBLANK('Data Entry'!$ė$99), "", 'Data Entry'!$ė$99)</f>
      </c>
      <c r="HH99">
        <f>IF(ISBLANK('Data Entry'!$Ę$99), "", 'Data Entry'!$Ę$99)</f>
      </c>
      <c r="HI99">
        <f>IF(ISBLANK('Data Entry'!$ę$99), "", 'Data Entry'!$ę$99)</f>
      </c>
      <c r="HJ99">
        <f>IF(ISBLANK('Data Entry'!$Ě$99), "", 'Data Entry'!$Ě$99)</f>
      </c>
      <c r="HK99">
        <f>IF(ISBLANK('Data Entry'!$ě$99), "", 'Data Entry'!$ě$99)</f>
      </c>
      <c r="HL99">
        <f>IF(ISBLANK('Data Entry'!$Ĝ$99), "", 'Data Entry'!$Ĝ$99)</f>
      </c>
      <c r="HM99">
        <f>IF(ISBLANK('Data Entry'!$ĝ$99), "", 'Data Entry'!$ĝ$99)</f>
      </c>
      <c r="HN99">
        <f>IF(ISBLANK('Data Entry'!$Ğ$99), "", 'Data Entry'!$Ğ$99)</f>
      </c>
      <c r="HO99">
        <f>IF(ISBLANK('Data Entry'!$ğ$99), "", 'Data Entry'!$ğ$99)</f>
      </c>
      <c r="HP99">
        <f>IF(ISBLANK('Data Entry'!$Ġ$99), "", 'Data Entry'!$Ġ$99)</f>
      </c>
      <c r="HQ99">
        <f>IF(ISBLANK('Data Entry'!$ġ$99), "", 'Data Entry'!$ġ$99)</f>
      </c>
      <c r="HR99">
        <f>IF(ISBLANK('Data Entry'!$Ģ$99), "", 'Data Entry'!$Ģ$99)</f>
      </c>
      <c r="HS99">
        <f>IF(ISBLANK('Data Entry'!$ģ$99), "", 'Data Entry'!$ģ$99)</f>
      </c>
      <c r="HT99">
        <f>IF(ISBLANK('Data Entry'!$Ĥ$99), "", 'Data Entry'!$Ĥ$99)</f>
      </c>
      <c r="HU99">
        <f>IF(ISBLANK('Data Entry'!$ĥ$99), "", 'Data Entry'!$ĥ$99)</f>
      </c>
      <c r="HV99">
        <f>IF(ISBLANK('Data Entry'!$Ħ$99), "", 'Data Entry'!$Ħ$99)</f>
      </c>
      <c r="HW99">
        <f>IF(ISBLANK('Data Entry'!$ħ$99), "", 'Data Entry'!$ħ$99)</f>
      </c>
      <c r="HX99">
        <f>IF(ISBLANK('Data Entry'!$Ĩ$99), "", 'Data Entry'!$Ĩ$99)</f>
      </c>
      <c r="HY99">
        <f>IF(ISBLANK('Data Entry'!$ĩ$99), "", 'Data Entry'!$ĩ$99)</f>
      </c>
      <c r="HZ99">
        <f>IF(ISBLANK('Data Entry'!$Ī$99), "", 'Data Entry'!$Ī$99)</f>
      </c>
      <c r="IA99">
        <f>IF(ISBLANK('Data Entry'!$ī$99), "", 'Data Entry'!$ī$99)</f>
      </c>
      <c r="IB99">
        <f>IF(ISBLANK('Data Entry'!$Ĭ$99), "", 'Data Entry'!$Ĭ$99)</f>
      </c>
      <c r="IC99">
        <f>IF(ISBLANK('Data Entry'!$ĭ$99), "", 'Data Entry'!$ĭ$99)</f>
      </c>
      <c r="ID99">
        <f>IF(ISBLANK('Data Entry'!$Į$99), "", 'Data Entry'!$Į$99)</f>
      </c>
      <c r="IE99">
        <f>IF(ISBLANK('Data Entry'!$į$99), "", 'Data Entry'!$į$99)</f>
      </c>
      <c r="IF99">
        <f>IF(ISBLANK('Data Entry'!$İ$99), "", 'Data Entry'!$İ$99)</f>
      </c>
      <c r="IG99">
        <f>IF(ISBLANK('Data Entry'!$ı$99), "", 'Data Entry'!$ı$99)</f>
      </c>
      <c r="IH99">
        <f>IF(ISBLANK('Data Entry'!$Ĳ$99), "", 'Data Entry'!$Ĳ$99)</f>
      </c>
      <c r="II99">
        <f>IF(ISBLANK('Data Entry'!$ĳ$99), "", 'Data Entry'!$ĳ$99)</f>
      </c>
      <c r="IJ99">
        <f>IF(ISBLANK('Data Entry'!$Ĵ$99), "", 'Data Entry'!$Ĵ$99)</f>
      </c>
      <c r="IK99">
        <f>IF(ISBLANK('Data Entry'!$ĵ$99), "", 'Data Entry'!$ĵ$99)</f>
      </c>
      <c r="IL99">
        <f>IF(ISBLANK('Data Entry'!$Ķ$99), "", 'Data Entry'!$Ķ$99)</f>
      </c>
      <c r="IM99">
        <f>IF(ISBLANK('Data Entry'!$ķ$99), "", 'Data Entry'!$ķ$99)</f>
      </c>
      <c r="IN99">
        <f>IF(ISBLANK('Data Entry'!$ĸ$99), "", 'Data Entry'!$ĸ$99)</f>
      </c>
      <c r="IO99">
        <f>IF(ISBLANK('Data Entry'!$Ĺ$99), "", 'Data Entry'!$Ĺ$99)</f>
      </c>
      <c r="IP99">
        <f>IF(ISBLANK('Data Entry'!$ĺ$99), "", 'Data Entry'!$ĺ$99)</f>
      </c>
      <c r="IQ99">
        <f>IF(ISBLANK('Data Entry'!$Ļ$99), "", 'Data Entry'!$Ļ$99)</f>
      </c>
      <c r="IR99">
        <f>IF(ISBLANK('Data Entry'!$ļ$99), "", 'Data Entry'!$ļ$99)</f>
      </c>
      <c r="IS99">
        <f>IF(ISBLANK('Data Entry'!$Ľ$99), "", 'Data Entry'!$Ľ$99)</f>
      </c>
      <c r="IT99">
        <f>IF(ISBLANK('Data Entry'!$ľ$99), "", 'Data Entry'!$ľ$99)</f>
      </c>
    </row>
    <row r="100" spans="1:254" x14ac:dyDescent="0.25">
      <c r="A100">
        <f>IF(ISBLANK('Data Entry'!$A$100), "", 'Data Entry'!$A$100)</f>
      </c>
      <c r="B100">
        <f>IF(ISBLANK('Data Entry'!$B$100), "", 'Data Entry'!$B$100)</f>
      </c>
      <c r="C100">
        <f>IF(ISBLANK('Data Entry'!$C$100), "", 'Data Entry'!$C$100)</f>
      </c>
      <c r="D100">
        <f>IF(ISBLANK('Data Entry'!$D$100), "", 'Data Entry'!$D$100)</f>
      </c>
      <c r="E100">
        <f>IF(ISBLANK('Data Entry'!$E$100), "", 'Data Entry'!$E$100)</f>
      </c>
      <c r="F100">
        <f>IF(ISBLANK('Data Entry'!$F$100), "", 'Data Entry'!$F$100)</f>
      </c>
      <c r="G100">
        <f>IF(ISBLANK('Data Entry'!$G$100), "", 'Data Entry'!$G$100)</f>
      </c>
      <c r="H100">
        <f>IF(ISBLANK('Data Entry'!$H$100), "", 'Data Entry'!$H$100)</f>
      </c>
      <c r="I100">
        <f>IF(ISBLANK('Data Entry'!$I$100), "", 'Data Entry'!$I$100)</f>
      </c>
      <c r="J100">
        <f>IF(ISBLANK('Data Entry'!$J$100), "", 'Data Entry'!$J$100)</f>
      </c>
      <c r="K100">
        <f>IF(ISBLANK('Data Entry'!$K$100), "", 'Data Entry'!$K$100)</f>
      </c>
      <c r="L100">
        <f>IF(ISBLANK('Data Entry'!$L$100), "", 'Data Entry'!$L$100)</f>
      </c>
      <c r="M100">
        <f>IF(ISBLANK('Data Entry'!$M$100), "", 'Data Entry'!$M$100)</f>
      </c>
      <c r="N100">
        <f>IF(ISBLANK('Data Entry'!$N$100), "", 'Data Entry'!$N$100)</f>
      </c>
      <c r="O100">
        <f>IF(ISBLANK('Data Entry'!$O$100), "", 'Data Entry'!$O$100)</f>
      </c>
      <c r="P100">
        <f>IF(ISBLANK('Data Entry'!$P$100), "", 'Data Entry'!$P$100)</f>
      </c>
      <c r="Q100">
        <f>IF(ISBLANK('Data Entry'!$Q$100), "", 'Data Entry'!$Q$100)</f>
      </c>
      <c r="R100">
        <f>IF(ISBLANK('Data Entry'!$R$100), "", 'Data Entry'!$R$100)</f>
      </c>
      <c r="S100">
        <f>IF(ISBLANK('Data Entry'!$S$100), "", 'Data Entry'!$S$100)</f>
      </c>
      <c r="T100">
        <f>IF(ISBLANK('Data Entry'!$T$100), "", 'Data Entry'!$T$100)</f>
      </c>
      <c r="U100">
        <f>IF(ISBLANK('Data Entry'!$U$100), "", 'Data Entry'!$U$100)</f>
      </c>
      <c r="V100">
        <f>IF(ISBLANK('Data Entry'!$V$100), "", 'Data Entry'!$V$100)</f>
      </c>
      <c r="W100">
        <f>IF(ISBLANK('Data Entry'!$W$100), "", 'Data Entry'!$W$100)</f>
      </c>
      <c r="X100">
        <f>IF(ISBLANK('Data Entry'!$X$100), "", 'Data Entry'!$X$100)</f>
      </c>
      <c r="Y100">
        <f>IF(ISBLANK('Data Entry'!$Y$100), "", 'Data Entry'!$Y$100)</f>
      </c>
      <c r="Z100">
        <f>IF(ISBLANK('Data Entry'!$Z$100), "", 'Data Entry'!$Z$100)</f>
      </c>
      <c r="AA100">
        <f>IF(ISBLANK('Data Entry'!$[$100), "", 'Data Entry'!$[$100)</f>
      </c>
      <c r="AB100">
        <f>IF(ISBLANK('Data Entry'!$\$100), "", 'Data Entry'!$\$100)</f>
      </c>
      <c r="AC100">
        <f>IF(ISBLANK('Data Entry'!$]$100), "", 'Data Entry'!$]$100)</f>
      </c>
      <c r="AD100">
        <f>IF(ISBLANK('Data Entry'!$^$100), "", 'Data Entry'!$^$100)</f>
      </c>
      <c r="AE100">
        <f>IF(ISBLANK('Data Entry'!$_$100), "", 'Data Entry'!$_$100)</f>
      </c>
      <c r="AF100">
        <f>IF(ISBLANK('Data Entry'!$`$100), "", 'Data Entry'!$`$100)</f>
      </c>
      <c r="AG100">
        <f>IF(ISBLANK('Data Entry'!$a$100), "", 'Data Entry'!$a$100)</f>
      </c>
      <c r="AH100">
        <f>IF(ISBLANK('Data Entry'!$b$100), "", 'Data Entry'!$b$100)</f>
      </c>
      <c r="AI100">
        <f>IF(ISBLANK('Data Entry'!$c$100), "", 'Data Entry'!$c$100)</f>
      </c>
      <c r="AJ100">
        <f>IF(ISBLANK('Data Entry'!$d$100), "", 'Data Entry'!$d$100)</f>
      </c>
      <c r="AK100">
        <f>IF(ISBLANK('Data Entry'!$e$100), "", 'Data Entry'!$e$100)</f>
      </c>
      <c r="AL100">
        <f>IF(ISBLANK('Data Entry'!$f$100), "", 'Data Entry'!$f$100)</f>
      </c>
      <c r="AM100">
        <f>IF(ISBLANK('Data Entry'!$g$100), "", 'Data Entry'!$g$100)</f>
      </c>
      <c r="AN100">
        <f>IF(ISBLANK('Data Entry'!$h$100), "", 'Data Entry'!$h$100)</f>
      </c>
      <c r="AO100">
        <f>IF(ISBLANK('Data Entry'!$i$100), "", 'Data Entry'!$i$100)</f>
      </c>
      <c r="AP100">
        <f>IF(ISBLANK('Data Entry'!$j$100), "", 'Data Entry'!$j$100)</f>
      </c>
      <c r="AQ100">
        <f>IF(ISBLANK('Data Entry'!$k$100), "", 'Data Entry'!$k$100)</f>
      </c>
      <c r="AR100">
        <f>IF(ISBLANK('Data Entry'!$l$100), "", 'Data Entry'!$l$100)</f>
      </c>
      <c r="AS100">
        <f>IF(ISBLANK('Data Entry'!$m$100), "", 'Data Entry'!$m$100)</f>
      </c>
      <c r="AT100">
        <f>IF(ISBLANK('Data Entry'!$n$100), "", 'Data Entry'!$n$100)</f>
      </c>
      <c r="AU100">
        <f>IF(ISBLANK('Data Entry'!$o$100), "", 'Data Entry'!$o$100)</f>
      </c>
      <c r="AV100">
        <f>IF(ISBLANK('Data Entry'!$p$100), "", 'Data Entry'!$p$100)</f>
      </c>
      <c r="AW100">
        <f>IF(ISBLANK('Data Entry'!$q$100), "", 'Data Entry'!$q$100)</f>
      </c>
      <c r="AX100">
        <f>IF(ISBLANK('Data Entry'!$r$100), "", 'Data Entry'!$r$100)</f>
      </c>
      <c r="AY100">
        <f>IF(ISBLANK('Data Entry'!$s$100), "", 'Data Entry'!$s$100)</f>
      </c>
      <c r="AZ100">
        <f>IF(ISBLANK('Data Entry'!$t$100), "", 'Data Entry'!$t$100)</f>
      </c>
      <c r="BA100">
        <f>IF(ISBLANK('Data Entry'!$u$100), "", 'Data Entry'!$u$100)</f>
      </c>
      <c r="BB100">
        <f>IF(ISBLANK('Data Entry'!$v$100), "", 'Data Entry'!$v$100)</f>
      </c>
      <c r="BC100">
        <f>IF(ISBLANK('Data Entry'!$w$100), "", 'Data Entry'!$w$100)</f>
      </c>
      <c r="BD100">
        <f>IF(ISBLANK('Data Entry'!$x$100), "", 'Data Entry'!$x$100)</f>
      </c>
      <c r="BE100">
        <f>IF(ISBLANK('Data Entry'!$y$100), "", 'Data Entry'!$y$100)</f>
      </c>
      <c r="BF100">
        <f>IF(ISBLANK('Data Entry'!$z$100), "", 'Data Entry'!$z$100)</f>
      </c>
      <c r="BG100">
        <f>IF(ISBLANK('Data Entry'!${$100), "", 'Data Entry'!${$100)</f>
      </c>
      <c r="BH100">
        <f>IF(ISBLANK('Data Entry'!$|$100), "", 'Data Entry'!$|$100)</f>
      </c>
      <c r="BI100">
        <f>IF(ISBLANK('Data Entry'!$}$100), "", 'Data Entry'!$}$100)</f>
      </c>
      <c r="BJ100">
        <f>IF(ISBLANK('Data Entry'!$~$100), "", 'Data Entry'!$~$100)</f>
      </c>
      <c r="BK100">
        <f>IF(ISBLANK('Data Entry'!$$100), "", 'Data Entry'!$$100)</f>
      </c>
      <c r="BL100">
        <f>IF(ISBLANK('Data Entry'!$$100), "", 'Data Entry'!$$100)</f>
      </c>
      <c r="BM100">
        <f>IF(ISBLANK('Data Entry'!$$100), "", 'Data Entry'!$$100)</f>
      </c>
      <c r="BN100">
        <f>IF(ISBLANK('Data Entry'!$$100), "", 'Data Entry'!$$100)</f>
      </c>
      <c r="BO100">
        <f>IF(ISBLANK('Data Entry'!$$100), "", 'Data Entry'!$$100)</f>
      </c>
      <c r="BP100">
        <f>IF(ISBLANK('Data Entry'!$$100), "", 'Data Entry'!$$100)</f>
      </c>
      <c r="BQ100">
        <f>IF(ISBLANK('Data Entry'!$$100), "", 'Data Entry'!$$100)</f>
      </c>
      <c r="BR100">
        <f>IF(ISBLANK('Data Entry'!$$100), "", 'Data Entry'!$$100)</f>
      </c>
      <c r="BS100">
        <f>IF(ISBLANK('Data Entry'!$$100), "", 'Data Entry'!$$100)</f>
      </c>
      <c r="BT100">
        <f>IF(ISBLANK('Data Entry'!$$100), "", 'Data Entry'!$$100)</f>
      </c>
      <c r="BU100">
        <f>IF(ISBLANK('Data Entry'!$$100), "", 'Data Entry'!$$100)</f>
      </c>
      <c r="BV100">
        <f>IF(ISBLANK('Data Entry'!$$100), "", 'Data Entry'!$$100)</f>
      </c>
      <c r="BW100">
        <f>IF(ISBLANK('Data Entry'!$$100), "", 'Data Entry'!$$100)</f>
      </c>
      <c r="BX100">
        <f>IF(ISBLANK('Data Entry'!$$100), "", 'Data Entry'!$$100)</f>
      </c>
      <c r="BY100">
        <f>IF(ISBLANK('Data Entry'!$$100), "", 'Data Entry'!$$100)</f>
      </c>
      <c r="BZ100">
        <f>IF(ISBLANK('Data Entry'!$$100), "", 'Data Entry'!$$100)</f>
      </c>
      <c r="CA100">
        <f>IF(ISBLANK('Data Entry'!$$100), "", 'Data Entry'!$$100)</f>
      </c>
      <c r="CB100">
        <f>IF(ISBLANK('Data Entry'!$$100), "", 'Data Entry'!$$100)</f>
      </c>
      <c r="CC100">
        <f>IF(ISBLANK('Data Entry'!$$100), "", 'Data Entry'!$$100)</f>
      </c>
      <c r="CD100">
        <f>IF(ISBLANK('Data Entry'!$$100), "", 'Data Entry'!$$100)</f>
      </c>
      <c r="CE100">
        <f>IF(ISBLANK('Data Entry'!$$100), "", 'Data Entry'!$$100)</f>
      </c>
      <c r="CF100">
        <f>IF(ISBLANK('Data Entry'!$$100), "", 'Data Entry'!$$100)</f>
      </c>
      <c r="CG100">
        <f>IF(ISBLANK('Data Entry'!$$100), "", 'Data Entry'!$$100)</f>
      </c>
      <c r="CH100">
        <f>IF(ISBLANK('Data Entry'!$$100), "", 'Data Entry'!$$100)</f>
      </c>
      <c r="CI100">
        <f>IF(ISBLANK('Data Entry'!$$100), "", 'Data Entry'!$$100)</f>
      </c>
      <c r="CJ100">
        <f>IF(ISBLANK('Data Entry'!$$100), "", 'Data Entry'!$$100)</f>
      </c>
      <c r="CK100">
        <f>IF(ISBLANK('Data Entry'!$$100), "", 'Data Entry'!$$100)</f>
      </c>
      <c r="CL100">
        <f>IF(ISBLANK('Data Entry'!$$100), "", 'Data Entry'!$$100)</f>
      </c>
      <c r="CM100">
        <f>IF(ISBLANK('Data Entry'!$$100), "", 'Data Entry'!$$100)</f>
      </c>
      <c r="CN100">
        <f>IF(ISBLANK('Data Entry'!$$100), "", 'Data Entry'!$$100)</f>
      </c>
      <c r="CO100">
        <f>IF(ISBLANK('Data Entry'!$$100), "", 'Data Entry'!$$100)</f>
      </c>
      <c r="CP100">
        <f>IF(ISBLANK('Data Entry'!$$100), "", 'Data Entry'!$$100)</f>
      </c>
      <c r="CQ100">
        <f>IF(ISBLANK('Data Entry'!$$100), "", 'Data Entry'!$$100)</f>
      </c>
      <c r="CR100">
        <f>IF(ISBLANK('Data Entry'!$ $100), "", 'Data Entry'!$ $100)</f>
      </c>
      <c r="CS100">
        <f>IF(ISBLANK('Data Entry'!$¡$100), "", 'Data Entry'!$¡$100)</f>
      </c>
      <c r="CT100">
        <f>IF(ISBLANK('Data Entry'!$¢$100), "", 'Data Entry'!$¢$100)</f>
      </c>
      <c r="CU100">
        <f>IF(ISBLANK('Data Entry'!$£$100), "", 'Data Entry'!$£$100)</f>
      </c>
      <c r="CV100">
        <f>IF(ISBLANK('Data Entry'!$¤$100), "", 'Data Entry'!$¤$100)</f>
      </c>
      <c r="CW100">
        <f>IF(ISBLANK('Data Entry'!$¥$100), "", 'Data Entry'!$¥$100)</f>
      </c>
      <c r="CX100">
        <f>IF(ISBLANK('Data Entry'!$¦$100), "", 'Data Entry'!$¦$100)</f>
      </c>
      <c r="CY100">
        <f>IF(ISBLANK('Data Entry'!$§$100), "", 'Data Entry'!$§$100)</f>
      </c>
      <c r="CZ100">
        <f>IF(ISBLANK('Data Entry'!$¨$100), "", 'Data Entry'!$¨$100)</f>
      </c>
      <c r="DA100">
        <f>IF(ISBLANK('Data Entry'!$©$100), "", 'Data Entry'!$©$100)</f>
      </c>
      <c r="DB100">
        <f>IF(ISBLANK('Data Entry'!$ª$100), "", 'Data Entry'!$ª$100)</f>
      </c>
      <c r="DC100">
        <f>IF(ISBLANK('Data Entry'!$«$100), "", 'Data Entry'!$«$100)</f>
      </c>
      <c r="DD100">
        <f>IF(ISBLANK('Data Entry'!$¬$100), "", 'Data Entry'!$¬$100)</f>
      </c>
      <c r="DE100">
        <f>IF(ISBLANK('Data Entry'!$­$100), "", 'Data Entry'!$­$100)</f>
      </c>
      <c r="DF100">
        <f>IF(ISBLANK('Data Entry'!$®$100), "", 'Data Entry'!$®$100)</f>
      </c>
      <c r="DG100">
        <f>IF(ISBLANK('Data Entry'!$¯$100), "", 'Data Entry'!$¯$100)</f>
      </c>
      <c r="DH100">
        <f>IF(ISBLANK('Data Entry'!$°$100), "", 'Data Entry'!$°$100)</f>
      </c>
      <c r="DI100">
        <f>IF(ISBLANK('Data Entry'!$±$100), "", 'Data Entry'!$±$100)</f>
      </c>
      <c r="DJ100">
        <f>IF(ISBLANK('Data Entry'!$²$100), "", 'Data Entry'!$²$100)</f>
      </c>
      <c r="DK100">
        <f>IF(ISBLANK('Data Entry'!$³$100), "", 'Data Entry'!$³$100)</f>
      </c>
      <c r="DL100">
        <f>IF(ISBLANK('Data Entry'!$´$100), "", 'Data Entry'!$´$100)</f>
      </c>
      <c r="DM100">
        <f>IF(ISBLANK('Data Entry'!$µ$100), "", 'Data Entry'!$µ$100)</f>
      </c>
      <c r="DN100">
        <f>IF(ISBLANK('Data Entry'!$¶$100), "", 'Data Entry'!$¶$100)</f>
      </c>
      <c r="DO100">
        <f>IF(ISBLANK('Data Entry'!$·$100), "", 'Data Entry'!$·$100)</f>
      </c>
      <c r="DP100">
        <f>IF(ISBLANK('Data Entry'!$¸$100), "", 'Data Entry'!$¸$100)</f>
      </c>
      <c r="DQ100">
        <f>IF(ISBLANK('Data Entry'!$¹$100), "", 'Data Entry'!$¹$100)</f>
      </c>
      <c r="DR100">
        <f>IF(ISBLANK('Data Entry'!$º$100), "", 'Data Entry'!$º$100)</f>
      </c>
      <c r="DS100">
        <f>IF(ISBLANK('Data Entry'!$»$100), "", 'Data Entry'!$»$100)</f>
      </c>
      <c r="DT100">
        <f>IF(ISBLANK('Data Entry'!$¼$100), "", 'Data Entry'!$¼$100)</f>
      </c>
      <c r="DU100">
        <f>IF(ISBLANK('Data Entry'!$½$100), "", 'Data Entry'!$½$100)</f>
      </c>
      <c r="DV100">
        <f>IF(ISBLANK('Data Entry'!$¾$100), "", 'Data Entry'!$¾$100)</f>
      </c>
      <c r="DW100">
        <f>IF(ISBLANK('Data Entry'!$¿$100), "", 'Data Entry'!$¿$100)</f>
      </c>
      <c r="DX100">
        <f>IF(ISBLANK('Data Entry'!$À$100), "", 'Data Entry'!$À$100)</f>
      </c>
      <c r="DY100">
        <f>IF(ISBLANK('Data Entry'!$Á$100), "", 'Data Entry'!$Á$100)</f>
      </c>
      <c r="DZ100">
        <f>IF(ISBLANK('Data Entry'!$Â$100), "", 'Data Entry'!$Â$100)</f>
      </c>
      <c r="EA100">
        <f>IF(ISBLANK('Data Entry'!$Ã$100), "", 'Data Entry'!$Ã$100)</f>
      </c>
      <c r="EB100">
        <f>IF(ISBLANK('Data Entry'!$Ä$100), "", 'Data Entry'!$Ä$100)</f>
      </c>
      <c r="EC100">
        <f>IF(ISBLANK('Data Entry'!$Å$100), "", 'Data Entry'!$Å$100)</f>
      </c>
      <c r="ED100">
        <f>IF(ISBLANK('Data Entry'!$Æ$100), "", 'Data Entry'!$Æ$100)</f>
      </c>
      <c r="EE100">
        <f>IF(ISBLANK('Data Entry'!$Ç$100), "", 'Data Entry'!$Ç$100)</f>
      </c>
      <c r="EF100">
        <f>IF(ISBLANK('Data Entry'!$È$100), "", 'Data Entry'!$È$100)</f>
      </c>
      <c r="EG100">
        <f>IF(ISBLANK('Data Entry'!$É$100), "", 'Data Entry'!$É$100)</f>
      </c>
      <c r="EH100">
        <f>IF(ISBLANK('Data Entry'!$Ê$100), "", 'Data Entry'!$Ê$100)</f>
      </c>
      <c r="EI100">
        <f>IF(ISBLANK('Data Entry'!$Ë$100), "", 'Data Entry'!$Ë$100)</f>
      </c>
      <c r="EJ100">
        <f>IF(ISBLANK('Data Entry'!$Ì$100), "", 'Data Entry'!$Ì$100)</f>
      </c>
      <c r="EK100">
        <f>IF(ISBLANK('Data Entry'!$Í$100), "", 'Data Entry'!$Í$100)</f>
      </c>
      <c r="EL100">
        <f>IF(ISBLANK('Data Entry'!$Î$100), "", 'Data Entry'!$Î$100)</f>
      </c>
      <c r="EM100">
        <f>IF(ISBLANK('Data Entry'!$Ï$100), "", 'Data Entry'!$Ï$100)</f>
      </c>
      <c r="EN100">
        <f>IF(ISBLANK('Data Entry'!$Ð$100), "", 'Data Entry'!$Ð$100)</f>
      </c>
      <c r="EO100">
        <f>IF(ISBLANK('Data Entry'!$Ñ$100), "", 'Data Entry'!$Ñ$100)</f>
      </c>
      <c r="EP100">
        <f>IF(ISBLANK('Data Entry'!$Ò$100), "", 'Data Entry'!$Ò$100)</f>
      </c>
      <c r="EQ100">
        <f>IF(ISBLANK('Data Entry'!$Ó$100), "", 'Data Entry'!$Ó$100)</f>
      </c>
      <c r="ER100">
        <f>IF(ISBLANK('Data Entry'!$Ô$100), "", 'Data Entry'!$Ô$100)</f>
      </c>
      <c r="ES100">
        <f>IF(ISBLANK('Data Entry'!$Õ$100), "", 'Data Entry'!$Õ$100)</f>
      </c>
      <c r="ET100">
        <f>IF(ISBLANK('Data Entry'!$Ö$100), "", 'Data Entry'!$Ö$100)</f>
      </c>
      <c r="EU100">
        <f>IF(ISBLANK('Data Entry'!$×$100), "", 'Data Entry'!$×$100)</f>
      </c>
      <c r="EV100">
        <f>IF(ISBLANK('Data Entry'!$Ø$100), "", 'Data Entry'!$Ø$100)</f>
      </c>
      <c r="EW100">
        <f>IF(ISBLANK('Data Entry'!$Ù$100), "", 'Data Entry'!$Ù$100)</f>
      </c>
      <c r="EX100">
        <f>IF(ISBLANK('Data Entry'!$Ú$100), "", 'Data Entry'!$Ú$100)</f>
      </c>
      <c r="EY100">
        <f>IF(ISBLANK('Data Entry'!$Û$100), "", 'Data Entry'!$Û$100)</f>
      </c>
      <c r="EZ100">
        <f>IF(ISBLANK('Data Entry'!$Ü$100), "", 'Data Entry'!$Ü$100)</f>
      </c>
      <c r="FA100">
        <f>IF(ISBLANK('Data Entry'!$Ý$100), "", 'Data Entry'!$Ý$100)</f>
      </c>
      <c r="FB100">
        <f>IF(ISBLANK('Data Entry'!$Þ$100), "", 'Data Entry'!$Þ$100)</f>
      </c>
      <c r="FC100">
        <f>IF(ISBLANK('Data Entry'!$ß$100), "", 'Data Entry'!$ß$100)</f>
      </c>
      <c r="FD100">
        <f>IF(ISBLANK('Data Entry'!$à$100), "", 'Data Entry'!$à$100)</f>
      </c>
      <c r="FE100">
        <f>IF(ISBLANK('Data Entry'!$á$100), "", 'Data Entry'!$á$100)</f>
      </c>
      <c r="FF100">
        <f>IF(ISBLANK('Data Entry'!$â$100), "", 'Data Entry'!$â$100)</f>
      </c>
      <c r="FG100">
        <f>IF(ISBLANK('Data Entry'!$ã$100), "", 'Data Entry'!$ã$100)</f>
      </c>
      <c r="FH100">
        <f>IF(ISBLANK('Data Entry'!$ä$100), "", 'Data Entry'!$ä$100)</f>
      </c>
      <c r="FI100">
        <f>IF(ISBLANK('Data Entry'!$å$100), "", 'Data Entry'!$å$100)</f>
      </c>
      <c r="FJ100">
        <f>IF(ISBLANK('Data Entry'!$æ$100), "", 'Data Entry'!$æ$100)</f>
      </c>
      <c r="FK100">
        <f>IF(ISBLANK('Data Entry'!$ç$100), "", 'Data Entry'!$ç$100)</f>
      </c>
      <c r="FL100">
        <f>IF(ISBLANK('Data Entry'!$è$100), "", 'Data Entry'!$è$100)</f>
      </c>
      <c r="FM100">
        <f>IF(ISBLANK('Data Entry'!$é$100), "", 'Data Entry'!$é$100)</f>
      </c>
      <c r="FN100">
        <f>IF(ISBLANK('Data Entry'!$ê$100), "", 'Data Entry'!$ê$100)</f>
      </c>
      <c r="FO100">
        <f>IF(ISBLANK('Data Entry'!$ë$100), "", 'Data Entry'!$ë$100)</f>
      </c>
      <c r="FP100">
        <f>IF(ISBLANK('Data Entry'!$ì$100), "", 'Data Entry'!$ì$100)</f>
      </c>
      <c r="FQ100">
        <f>IF(ISBLANK('Data Entry'!$í$100), "", 'Data Entry'!$í$100)</f>
      </c>
      <c r="FR100">
        <f>IF(ISBLANK('Data Entry'!$î$100), "", 'Data Entry'!$î$100)</f>
      </c>
      <c r="FS100">
        <f>IF(ISBLANK('Data Entry'!$ï$100), "", 'Data Entry'!$ï$100)</f>
      </c>
      <c r="FT100">
        <f>IF(ISBLANK('Data Entry'!$ð$100), "", 'Data Entry'!$ð$100)</f>
      </c>
      <c r="FU100">
        <f>IF(ISBLANK('Data Entry'!$ñ$100), "", 'Data Entry'!$ñ$100)</f>
      </c>
      <c r="FV100">
        <f>IF(ISBLANK('Data Entry'!$ò$100), "", 'Data Entry'!$ò$100)</f>
      </c>
      <c r="FW100">
        <f>IF(ISBLANK('Data Entry'!$ó$100), "", 'Data Entry'!$ó$100)</f>
      </c>
      <c r="FX100">
        <f>IF(ISBLANK('Data Entry'!$ô$100), "", 'Data Entry'!$ô$100)</f>
      </c>
      <c r="FY100">
        <f>IF(ISBLANK('Data Entry'!$õ$100), "", 'Data Entry'!$õ$100)</f>
      </c>
      <c r="FZ100">
        <f>IF(ISBLANK('Data Entry'!$ö$100), "", 'Data Entry'!$ö$100)</f>
      </c>
      <c r="GA100">
        <f>IF(ISBLANK('Data Entry'!$÷$100), "", 'Data Entry'!$÷$100)</f>
      </c>
      <c r="GB100">
        <f>IF(ISBLANK('Data Entry'!$ø$100), "", 'Data Entry'!$ø$100)</f>
      </c>
      <c r="GC100">
        <f>IF(ISBLANK('Data Entry'!$ù$100), "", 'Data Entry'!$ù$100)</f>
      </c>
      <c r="GD100">
        <f>IF(ISBLANK('Data Entry'!$ú$100), "", 'Data Entry'!$ú$100)</f>
      </c>
      <c r="GE100">
        <f>IF(ISBLANK('Data Entry'!$û$100), "", 'Data Entry'!$û$100)</f>
      </c>
      <c r="GF100">
        <f>IF(ISBLANK('Data Entry'!$ü$100), "", 'Data Entry'!$ü$100)</f>
      </c>
      <c r="GG100">
        <f>IF(ISBLANK('Data Entry'!$ý$100), "", 'Data Entry'!$ý$100)</f>
      </c>
      <c r="GH100">
        <f>IF(ISBLANK('Data Entry'!$þ$100), "", 'Data Entry'!$þ$100)</f>
      </c>
      <c r="GI100">
        <f>IF(ISBLANK('Data Entry'!$ÿ$100), "", 'Data Entry'!$ÿ$100)</f>
      </c>
      <c r="GJ100">
        <f>IF(ISBLANK('Data Entry'!$Ā$100), "", 'Data Entry'!$Ā$100)</f>
      </c>
      <c r="GK100">
        <f>IF(ISBLANK('Data Entry'!$ā$100), "", 'Data Entry'!$ā$100)</f>
      </c>
      <c r="GL100">
        <f>IF(ISBLANK('Data Entry'!$Ă$100), "", 'Data Entry'!$Ă$100)</f>
      </c>
      <c r="GM100">
        <f>IF(ISBLANK('Data Entry'!$ă$100), "", 'Data Entry'!$ă$100)</f>
      </c>
      <c r="GN100">
        <f>IF(ISBLANK('Data Entry'!$Ą$100), "", 'Data Entry'!$Ą$100)</f>
      </c>
      <c r="GO100">
        <f>IF(ISBLANK('Data Entry'!$ą$100), "", 'Data Entry'!$ą$100)</f>
      </c>
      <c r="GP100">
        <f>IF(ISBLANK('Data Entry'!$Ć$100), "", 'Data Entry'!$Ć$100)</f>
      </c>
      <c r="GQ100">
        <f>IF(ISBLANK('Data Entry'!$ć$100), "", 'Data Entry'!$ć$100)</f>
      </c>
      <c r="GR100">
        <f>IF(ISBLANK('Data Entry'!$Ĉ$100), "", 'Data Entry'!$Ĉ$100)</f>
      </c>
      <c r="GS100">
        <f>IF(ISBLANK('Data Entry'!$ĉ$100), "", 'Data Entry'!$ĉ$100)</f>
      </c>
      <c r="GT100">
        <f>IF(ISBLANK('Data Entry'!$Ċ$100), "", 'Data Entry'!$Ċ$100)</f>
      </c>
      <c r="GU100">
        <f>IF(ISBLANK('Data Entry'!$ċ$100), "", 'Data Entry'!$ċ$100)</f>
      </c>
      <c r="GV100">
        <f>IF(ISBLANK('Data Entry'!$Č$100), "", 'Data Entry'!$Č$100)</f>
      </c>
      <c r="GW100">
        <f>IF(ISBLANK('Data Entry'!$č$100), "", 'Data Entry'!$č$100)</f>
      </c>
      <c r="GX100">
        <f>IF(ISBLANK('Data Entry'!$Ď$100), "", 'Data Entry'!$Ď$100)</f>
      </c>
      <c r="GY100">
        <f>IF(ISBLANK('Data Entry'!$ď$100), "", 'Data Entry'!$ď$100)</f>
      </c>
      <c r="GZ100">
        <f>IF(ISBLANK('Data Entry'!$Đ$100), "", 'Data Entry'!$Đ$100)</f>
      </c>
      <c r="HA100">
        <f>IF(ISBLANK('Data Entry'!$đ$100), "", 'Data Entry'!$đ$100)</f>
      </c>
      <c r="HB100">
        <f>IF(ISBLANK('Data Entry'!$Ē$100), "", 'Data Entry'!$Ē$100)</f>
      </c>
      <c r="HC100">
        <f>IF(ISBLANK('Data Entry'!$ē$100), "", 'Data Entry'!$ē$100)</f>
      </c>
      <c r="HD100">
        <f>IF(ISBLANK('Data Entry'!$Ĕ$100), "", 'Data Entry'!$Ĕ$100)</f>
      </c>
      <c r="HE100">
        <f>IF(ISBLANK('Data Entry'!$ĕ$100), "", 'Data Entry'!$ĕ$100)</f>
      </c>
      <c r="HF100">
        <f>IF(ISBLANK('Data Entry'!$Ė$100), "", 'Data Entry'!$Ė$100)</f>
      </c>
      <c r="HG100">
        <f>IF(ISBLANK('Data Entry'!$ė$100), "", 'Data Entry'!$ė$100)</f>
      </c>
      <c r="HH100">
        <f>IF(ISBLANK('Data Entry'!$Ę$100), "", 'Data Entry'!$Ę$100)</f>
      </c>
      <c r="HI100">
        <f>IF(ISBLANK('Data Entry'!$ę$100), "", 'Data Entry'!$ę$100)</f>
      </c>
      <c r="HJ100">
        <f>IF(ISBLANK('Data Entry'!$Ě$100), "", 'Data Entry'!$Ě$100)</f>
      </c>
      <c r="HK100">
        <f>IF(ISBLANK('Data Entry'!$ě$100), "", 'Data Entry'!$ě$100)</f>
      </c>
      <c r="HL100">
        <f>IF(ISBLANK('Data Entry'!$Ĝ$100), "", 'Data Entry'!$Ĝ$100)</f>
      </c>
      <c r="HM100">
        <f>IF(ISBLANK('Data Entry'!$ĝ$100), "", 'Data Entry'!$ĝ$100)</f>
      </c>
      <c r="HN100">
        <f>IF(ISBLANK('Data Entry'!$Ğ$100), "", 'Data Entry'!$Ğ$100)</f>
      </c>
      <c r="HO100">
        <f>IF(ISBLANK('Data Entry'!$ğ$100), "", 'Data Entry'!$ğ$100)</f>
      </c>
      <c r="HP100">
        <f>IF(ISBLANK('Data Entry'!$Ġ$100), "", 'Data Entry'!$Ġ$100)</f>
      </c>
      <c r="HQ100">
        <f>IF(ISBLANK('Data Entry'!$ġ$100), "", 'Data Entry'!$ġ$100)</f>
      </c>
      <c r="HR100">
        <f>IF(ISBLANK('Data Entry'!$Ģ$100), "", 'Data Entry'!$Ģ$100)</f>
      </c>
      <c r="HS100">
        <f>IF(ISBLANK('Data Entry'!$ģ$100), "", 'Data Entry'!$ģ$100)</f>
      </c>
      <c r="HT100">
        <f>IF(ISBLANK('Data Entry'!$Ĥ$100), "", 'Data Entry'!$Ĥ$100)</f>
      </c>
      <c r="HU100">
        <f>IF(ISBLANK('Data Entry'!$ĥ$100), "", 'Data Entry'!$ĥ$100)</f>
      </c>
      <c r="HV100">
        <f>IF(ISBLANK('Data Entry'!$Ħ$100), "", 'Data Entry'!$Ħ$100)</f>
      </c>
      <c r="HW100">
        <f>IF(ISBLANK('Data Entry'!$ħ$100), "", 'Data Entry'!$ħ$100)</f>
      </c>
      <c r="HX100">
        <f>IF(ISBLANK('Data Entry'!$Ĩ$100), "", 'Data Entry'!$Ĩ$100)</f>
      </c>
      <c r="HY100">
        <f>IF(ISBLANK('Data Entry'!$ĩ$100), "", 'Data Entry'!$ĩ$100)</f>
      </c>
      <c r="HZ100">
        <f>IF(ISBLANK('Data Entry'!$Ī$100), "", 'Data Entry'!$Ī$100)</f>
      </c>
      <c r="IA100">
        <f>IF(ISBLANK('Data Entry'!$ī$100), "", 'Data Entry'!$ī$100)</f>
      </c>
      <c r="IB100">
        <f>IF(ISBLANK('Data Entry'!$Ĭ$100), "", 'Data Entry'!$Ĭ$100)</f>
      </c>
      <c r="IC100">
        <f>IF(ISBLANK('Data Entry'!$ĭ$100), "", 'Data Entry'!$ĭ$100)</f>
      </c>
      <c r="ID100">
        <f>IF(ISBLANK('Data Entry'!$Į$100), "", 'Data Entry'!$Į$100)</f>
      </c>
      <c r="IE100">
        <f>IF(ISBLANK('Data Entry'!$į$100), "", 'Data Entry'!$į$100)</f>
      </c>
      <c r="IF100">
        <f>IF(ISBLANK('Data Entry'!$İ$100), "", 'Data Entry'!$İ$100)</f>
      </c>
      <c r="IG100">
        <f>IF(ISBLANK('Data Entry'!$ı$100), "", 'Data Entry'!$ı$100)</f>
      </c>
      <c r="IH100">
        <f>IF(ISBLANK('Data Entry'!$Ĳ$100), "", 'Data Entry'!$Ĳ$100)</f>
      </c>
      <c r="II100">
        <f>IF(ISBLANK('Data Entry'!$ĳ$100), "", 'Data Entry'!$ĳ$100)</f>
      </c>
      <c r="IJ100">
        <f>IF(ISBLANK('Data Entry'!$Ĵ$100), "", 'Data Entry'!$Ĵ$100)</f>
      </c>
      <c r="IK100">
        <f>IF(ISBLANK('Data Entry'!$ĵ$100), "", 'Data Entry'!$ĵ$100)</f>
      </c>
      <c r="IL100">
        <f>IF(ISBLANK('Data Entry'!$Ķ$100), "", 'Data Entry'!$Ķ$100)</f>
      </c>
      <c r="IM100">
        <f>IF(ISBLANK('Data Entry'!$ķ$100), "", 'Data Entry'!$ķ$100)</f>
      </c>
      <c r="IN100">
        <f>IF(ISBLANK('Data Entry'!$ĸ$100), "", 'Data Entry'!$ĸ$100)</f>
      </c>
      <c r="IO100">
        <f>IF(ISBLANK('Data Entry'!$Ĺ$100), "", 'Data Entry'!$Ĺ$100)</f>
      </c>
      <c r="IP100">
        <f>IF(ISBLANK('Data Entry'!$ĺ$100), "", 'Data Entry'!$ĺ$100)</f>
      </c>
      <c r="IQ100">
        <f>IF(ISBLANK('Data Entry'!$Ļ$100), "", 'Data Entry'!$Ļ$100)</f>
      </c>
      <c r="IR100">
        <f>IF(ISBLANK('Data Entry'!$ļ$100), "", 'Data Entry'!$ļ$100)</f>
      </c>
      <c r="IS100">
        <f>IF(ISBLANK('Data Entry'!$Ľ$100), "", 'Data Entry'!$Ľ$100)</f>
      </c>
      <c r="IT100">
        <f>IF(ISBLANK('Data Entry'!$ľ$100), "", 'Data Entry'!$ľ$100)</f>
      </c>
    </row>
    <row r="101" spans="1:254" x14ac:dyDescent="0.25">
      <c r="A101">
        <f>IF(ISBLANK('Data Entry'!$A$101), "", 'Data Entry'!$A$101)</f>
      </c>
      <c r="B101">
        <f>IF(ISBLANK('Data Entry'!$B$101), "", 'Data Entry'!$B$101)</f>
      </c>
      <c r="C101">
        <f>IF(ISBLANK('Data Entry'!$C$101), "", 'Data Entry'!$C$101)</f>
      </c>
      <c r="D101">
        <f>IF(ISBLANK('Data Entry'!$D$101), "", 'Data Entry'!$D$101)</f>
      </c>
      <c r="E101">
        <f>IF(ISBLANK('Data Entry'!$E$101), "", 'Data Entry'!$E$101)</f>
      </c>
      <c r="F101">
        <f>IF(ISBLANK('Data Entry'!$F$101), "", 'Data Entry'!$F$101)</f>
      </c>
      <c r="G101">
        <f>IF(ISBLANK('Data Entry'!$G$101), "", 'Data Entry'!$G$101)</f>
      </c>
      <c r="H101">
        <f>IF(ISBLANK('Data Entry'!$H$101), "", 'Data Entry'!$H$101)</f>
      </c>
      <c r="I101">
        <f>IF(ISBLANK('Data Entry'!$I$101), "", 'Data Entry'!$I$101)</f>
      </c>
      <c r="J101">
        <f>IF(ISBLANK('Data Entry'!$J$101), "", 'Data Entry'!$J$101)</f>
      </c>
      <c r="K101">
        <f>IF(ISBLANK('Data Entry'!$K$101), "", 'Data Entry'!$K$101)</f>
      </c>
      <c r="L101">
        <f>IF(ISBLANK('Data Entry'!$L$101), "", 'Data Entry'!$L$101)</f>
      </c>
      <c r="M101">
        <f>IF(ISBLANK('Data Entry'!$M$101), "", 'Data Entry'!$M$101)</f>
      </c>
      <c r="N101">
        <f>IF(ISBLANK('Data Entry'!$N$101), "", 'Data Entry'!$N$101)</f>
      </c>
      <c r="O101">
        <f>IF(ISBLANK('Data Entry'!$O$101), "", 'Data Entry'!$O$101)</f>
      </c>
      <c r="P101">
        <f>IF(ISBLANK('Data Entry'!$P$101), "", 'Data Entry'!$P$101)</f>
      </c>
      <c r="Q101">
        <f>IF(ISBLANK('Data Entry'!$Q$101), "", 'Data Entry'!$Q$101)</f>
      </c>
      <c r="R101">
        <f>IF(ISBLANK('Data Entry'!$R$101), "", 'Data Entry'!$R$101)</f>
      </c>
      <c r="S101">
        <f>IF(ISBLANK('Data Entry'!$S$101), "", 'Data Entry'!$S$101)</f>
      </c>
      <c r="T101">
        <f>IF(ISBLANK('Data Entry'!$T$101), "", 'Data Entry'!$T$101)</f>
      </c>
      <c r="U101">
        <f>IF(ISBLANK('Data Entry'!$U$101), "", 'Data Entry'!$U$101)</f>
      </c>
      <c r="V101">
        <f>IF(ISBLANK('Data Entry'!$V$101), "", 'Data Entry'!$V$101)</f>
      </c>
      <c r="W101">
        <f>IF(ISBLANK('Data Entry'!$W$101), "", 'Data Entry'!$W$101)</f>
      </c>
      <c r="X101">
        <f>IF(ISBLANK('Data Entry'!$X$101), "", 'Data Entry'!$X$101)</f>
      </c>
      <c r="Y101">
        <f>IF(ISBLANK('Data Entry'!$Y$101), "", 'Data Entry'!$Y$101)</f>
      </c>
      <c r="Z101">
        <f>IF(ISBLANK('Data Entry'!$Z$101), "", 'Data Entry'!$Z$101)</f>
      </c>
      <c r="AA101">
        <f>IF(ISBLANK('Data Entry'!$[$101), "", 'Data Entry'!$[$101)</f>
      </c>
      <c r="AB101">
        <f>IF(ISBLANK('Data Entry'!$\$101), "", 'Data Entry'!$\$101)</f>
      </c>
      <c r="AC101">
        <f>IF(ISBLANK('Data Entry'!$]$101), "", 'Data Entry'!$]$101)</f>
      </c>
      <c r="AD101">
        <f>IF(ISBLANK('Data Entry'!$^$101), "", 'Data Entry'!$^$101)</f>
      </c>
      <c r="AE101">
        <f>IF(ISBLANK('Data Entry'!$_$101), "", 'Data Entry'!$_$101)</f>
      </c>
      <c r="AF101">
        <f>IF(ISBLANK('Data Entry'!$`$101), "", 'Data Entry'!$`$101)</f>
      </c>
      <c r="AG101">
        <f>IF(ISBLANK('Data Entry'!$a$101), "", 'Data Entry'!$a$101)</f>
      </c>
      <c r="AH101">
        <f>IF(ISBLANK('Data Entry'!$b$101), "", 'Data Entry'!$b$101)</f>
      </c>
      <c r="AI101">
        <f>IF(ISBLANK('Data Entry'!$c$101), "", 'Data Entry'!$c$101)</f>
      </c>
      <c r="AJ101">
        <f>IF(ISBLANK('Data Entry'!$d$101), "", 'Data Entry'!$d$101)</f>
      </c>
      <c r="AK101">
        <f>IF(ISBLANK('Data Entry'!$e$101), "", 'Data Entry'!$e$101)</f>
      </c>
      <c r="AL101">
        <f>IF(ISBLANK('Data Entry'!$f$101), "", 'Data Entry'!$f$101)</f>
      </c>
      <c r="AM101">
        <f>IF(ISBLANK('Data Entry'!$g$101), "", 'Data Entry'!$g$101)</f>
      </c>
      <c r="AN101">
        <f>IF(ISBLANK('Data Entry'!$h$101), "", 'Data Entry'!$h$101)</f>
      </c>
      <c r="AO101">
        <f>IF(ISBLANK('Data Entry'!$i$101), "", 'Data Entry'!$i$101)</f>
      </c>
      <c r="AP101">
        <f>IF(ISBLANK('Data Entry'!$j$101), "", 'Data Entry'!$j$101)</f>
      </c>
      <c r="AQ101">
        <f>IF(ISBLANK('Data Entry'!$k$101), "", 'Data Entry'!$k$101)</f>
      </c>
      <c r="AR101">
        <f>IF(ISBLANK('Data Entry'!$l$101), "", 'Data Entry'!$l$101)</f>
      </c>
      <c r="AS101">
        <f>IF(ISBLANK('Data Entry'!$m$101), "", 'Data Entry'!$m$101)</f>
      </c>
      <c r="AT101">
        <f>IF(ISBLANK('Data Entry'!$n$101), "", 'Data Entry'!$n$101)</f>
      </c>
      <c r="AU101">
        <f>IF(ISBLANK('Data Entry'!$o$101), "", 'Data Entry'!$o$101)</f>
      </c>
      <c r="AV101">
        <f>IF(ISBLANK('Data Entry'!$p$101), "", 'Data Entry'!$p$101)</f>
      </c>
      <c r="AW101">
        <f>IF(ISBLANK('Data Entry'!$q$101), "", 'Data Entry'!$q$101)</f>
      </c>
      <c r="AX101">
        <f>IF(ISBLANK('Data Entry'!$r$101), "", 'Data Entry'!$r$101)</f>
      </c>
      <c r="AY101">
        <f>IF(ISBLANK('Data Entry'!$s$101), "", 'Data Entry'!$s$101)</f>
      </c>
      <c r="AZ101">
        <f>IF(ISBLANK('Data Entry'!$t$101), "", 'Data Entry'!$t$101)</f>
      </c>
      <c r="BA101">
        <f>IF(ISBLANK('Data Entry'!$u$101), "", 'Data Entry'!$u$101)</f>
      </c>
      <c r="BB101">
        <f>IF(ISBLANK('Data Entry'!$v$101), "", 'Data Entry'!$v$101)</f>
      </c>
      <c r="BC101">
        <f>IF(ISBLANK('Data Entry'!$w$101), "", 'Data Entry'!$w$101)</f>
      </c>
      <c r="BD101">
        <f>IF(ISBLANK('Data Entry'!$x$101), "", 'Data Entry'!$x$101)</f>
      </c>
      <c r="BE101">
        <f>IF(ISBLANK('Data Entry'!$y$101), "", 'Data Entry'!$y$101)</f>
      </c>
      <c r="BF101">
        <f>IF(ISBLANK('Data Entry'!$z$101), "", 'Data Entry'!$z$101)</f>
      </c>
      <c r="BG101">
        <f>IF(ISBLANK('Data Entry'!${$101), "", 'Data Entry'!${$101)</f>
      </c>
      <c r="BH101">
        <f>IF(ISBLANK('Data Entry'!$|$101), "", 'Data Entry'!$|$101)</f>
      </c>
      <c r="BI101">
        <f>IF(ISBLANK('Data Entry'!$}$101), "", 'Data Entry'!$}$101)</f>
      </c>
      <c r="BJ101">
        <f>IF(ISBLANK('Data Entry'!$~$101), "", 'Data Entry'!$~$101)</f>
      </c>
      <c r="BK101">
        <f>IF(ISBLANK('Data Entry'!$$101), "", 'Data Entry'!$$101)</f>
      </c>
      <c r="BL101">
        <f>IF(ISBLANK('Data Entry'!$$101), "", 'Data Entry'!$$101)</f>
      </c>
      <c r="BM101">
        <f>IF(ISBLANK('Data Entry'!$$101), "", 'Data Entry'!$$101)</f>
      </c>
      <c r="BN101">
        <f>IF(ISBLANK('Data Entry'!$$101), "", 'Data Entry'!$$101)</f>
      </c>
      <c r="BO101">
        <f>IF(ISBLANK('Data Entry'!$$101), "", 'Data Entry'!$$101)</f>
      </c>
      <c r="BP101">
        <f>IF(ISBLANK('Data Entry'!$$101), "", 'Data Entry'!$$101)</f>
      </c>
      <c r="BQ101">
        <f>IF(ISBLANK('Data Entry'!$$101), "", 'Data Entry'!$$101)</f>
      </c>
      <c r="BR101">
        <f>IF(ISBLANK('Data Entry'!$$101), "", 'Data Entry'!$$101)</f>
      </c>
      <c r="BS101">
        <f>IF(ISBLANK('Data Entry'!$$101), "", 'Data Entry'!$$101)</f>
      </c>
      <c r="BT101">
        <f>IF(ISBLANK('Data Entry'!$$101), "", 'Data Entry'!$$101)</f>
      </c>
      <c r="BU101">
        <f>IF(ISBLANK('Data Entry'!$$101), "", 'Data Entry'!$$101)</f>
      </c>
      <c r="BV101">
        <f>IF(ISBLANK('Data Entry'!$$101), "", 'Data Entry'!$$101)</f>
      </c>
      <c r="BW101">
        <f>IF(ISBLANK('Data Entry'!$$101), "", 'Data Entry'!$$101)</f>
      </c>
      <c r="BX101">
        <f>IF(ISBLANK('Data Entry'!$$101), "", 'Data Entry'!$$101)</f>
      </c>
      <c r="BY101">
        <f>IF(ISBLANK('Data Entry'!$$101), "", 'Data Entry'!$$101)</f>
      </c>
      <c r="BZ101">
        <f>IF(ISBLANK('Data Entry'!$$101), "", 'Data Entry'!$$101)</f>
      </c>
      <c r="CA101">
        <f>IF(ISBLANK('Data Entry'!$$101), "", 'Data Entry'!$$101)</f>
      </c>
      <c r="CB101">
        <f>IF(ISBLANK('Data Entry'!$$101), "", 'Data Entry'!$$101)</f>
      </c>
      <c r="CC101">
        <f>IF(ISBLANK('Data Entry'!$$101), "", 'Data Entry'!$$101)</f>
      </c>
      <c r="CD101">
        <f>IF(ISBLANK('Data Entry'!$$101), "", 'Data Entry'!$$101)</f>
      </c>
      <c r="CE101">
        <f>IF(ISBLANK('Data Entry'!$$101), "", 'Data Entry'!$$101)</f>
      </c>
      <c r="CF101">
        <f>IF(ISBLANK('Data Entry'!$$101), "", 'Data Entry'!$$101)</f>
      </c>
      <c r="CG101">
        <f>IF(ISBLANK('Data Entry'!$$101), "", 'Data Entry'!$$101)</f>
      </c>
      <c r="CH101">
        <f>IF(ISBLANK('Data Entry'!$$101), "", 'Data Entry'!$$101)</f>
      </c>
      <c r="CI101">
        <f>IF(ISBLANK('Data Entry'!$$101), "", 'Data Entry'!$$101)</f>
      </c>
      <c r="CJ101">
        <f>IF(ISBLANK('Data Entry'!$$101), "", 'Data Entry'!$$101)</f>
      </c>
      <c r="CK101">
        <f>IF(ISBLANK('Data Entry'!$$101), "", 'Data Entry'!$$101)</f>
      </c>
      <c r="CL101">
        <f>IF(ISBLANK('Data Entry'!$$101), "", 'Data Entry'!$$101)</f>
      </c>
      <c r="CM101">
        <f>IF(ISBLANK('Data Entry'!$$101), "", 'Data Entry'!$$101)</f>
      </c>
      <c r="CN101">
        <f>IF(ISBLANK('Data Entry'!$$101), "", 'Data Entry'!$$101)</f>
      </c>
      <c r="CO101">
        <f>IF(ISBLANK('Data Entry'!$$101), "", 'Data Entry'!$$101)</f>
      </c>
      <c r="CP101">
        <f>IF(ISBLANK('Data Entry'!$$101), "", 'Data Entry'!$$101)</f>
      </c>
      <c r="CQ101">
        <f>IF(ISBLANK('Data Entry'!$$101), "", 'Data Entry'!$$101)</f>
      </c>
      <c r="CR101">
        <f>IF(ISBLANK('Data Entry'!$ $101), "", 'Data Entry'!$ $101)</f>
      </c>
      <c r="CS101">
        <f>IF(ISBLANK('Data Entry'!$¡$101), "", 'Data Entry'!$¡$101)</f>
      </c>
      <c r="CT101">
        <f>IF(ISBLANK('Data Entry'!$¢$101), "", 'Data Entry'!$¢$101)</f>
      </c>
      <c r="CU101">
        <f>IF(ISBLANK('Data Entry'!$£$101), "", 'Data Entry'!$£$101)</f>
      </c>
      <c r="CV101">
        <f>IF(ISBLANK('Data Entry'!$¤$101), "", 'Data Entry'!$¤$101)</f>
      </c>
      <c r="CW101">
        <f>IF(ISBLANK('Data Entry'!$¥$101), "", 'Data Entry'!$¥$101)</f>
      </c>
      <c r="CX101">
        <f>IF(ISBLANK('Data Entry'!$¦$101), "", 'Data Entry'!$¦$101)</f>
      </c>
      <c r="CY101">
        <f>IF(ISBLANK('Data Entry'!$§$101), "", 'Data Entry'!$§$101)</f>
      </c>
      <c r="CZ101">
        <f>IF(ISBLANK('Data Entry'!$¨$101), "", 'Data Entry'!$¨$101)</f>
      </c>
      <c r="DA101">
        <f>IF(ISBLANK('Data Entry'!$©$101), "", 'Data Entry'!$©$101)</f>
      </c>
      <c r="DB101">
        <f>IF(ISBLANK('Data Entry'!$ª$101), "", 'Data Entry'!$ª$101)</f>
      </c>
      <c r="DC101">
        <f>IF(ISBLANK('Data Entry'!$«$101), "", 'Data Entry'!$«$101)</f>
      </c>
      <c r="DD101">
        <f>IF(ISBLANK('Data Entry'!$¬$101), "", 'Data Entry'!$¬$101)</f>
      </c>
      <c r="DE101">
        <f>IF(ISBLANK('Data Entry'!$­$101), "", 'Data Entry'!$­$101)</f>
      </c>
      <c r="DF101">
        <f>IF(ISBLANK('Data Entry'!$®$101), "", 'Data Entry'!$®$101)</f>
      </c>
      <c r="DG101">
        <f>IF(ISBLANK('Data Entry'!$¯$101), "", 'Data Entry'!$¯$101)</f>
      </c>
      <c r="DH101">
        <f>IF(ISBLANK('Data Entry'!$°$101), "", 'Data Entry'!$°$101)</f>
      </c>
      <c r="DI101">
        <f>IF(ISBLANK('Data Entry'!$±$101), "", 'Data Entry'!$±$101)</f>
      </c>
      <c r="DJ101">
        <f>IF(ISBLANK('Data Entry'!$²$101), "", 'Data Entry'!$²$101)</f>
      </c>
      <c r="DK101">
        <f>IF(ISBLANK('Data Entry'!$³$101), "", 'Data Entry'!$³$101)</f>
      </c>
      <c r="DL101">
        <f>IF(ISBLANK('Data Entry'!$´$101), "", 'Data Entry'!$´$101)</f>
      </c>
      <c r="DM101">
        <f>IF(ISBLANK('Data Entry'!$µ$101), "", 'Data Entry'!$µ$101)</f>
      </c>
      <c r="DN101">
        <f>IF(ISBLANK('Data Entry'!$¶$101), "", 'Data Entry'!$¶$101)</f>
      </c>
      <c r="DO101">
        <f>IF(ISBLANK('Data Entry'!$·$101), "", 'Data Entry'!$·$101)</f>
      </c>
      <c r="DP101">
        <f>IF(ISBLANK('Data Entry'!$¸$101), "", 'Data Entry'!$¸$101)</f>
      </c>
      <c r="DQ101">
        <f>IF(ISBLANK('Data Entry'!$¹$101), "", 'Data Entry'!$¹$101)</f>
      </c>
      <c r="DR101">
        <f>IF(ISBLANK('Data Entry'!$º$101), "", 'Data Entry'!$º$101)</f>
      </c>
      <c r="DS101">
        <f>IF(ISBLANK('Data Entry'!$»$101), "", 'Data Entry'!$»$101)</f>
      </c>
      <c r="DT101">
        <f>IF(ISBLANK('Data Entry'!$¼$101), "", 'Data Entry'!$¼$101)</f>
      </c>
      <c r="DU101">
        <f>IF(ISBLANK('Data Entry'!$½$101), "", 'Data Entry'!$½$101)</f>
      </c>
      <c r="DV101">
        <f>IF(ISBLANK('Data Entry'!$¾$101), "", 'Data Entry'!$¾$101)</f>
      </c>
      <c r="DW101">
        <f>IF(ISBLANK('Data Entry'!$¿$101), "", 'Data Entry'!$¿$101)</f>
      </c>
      <c r="DX101">
        <f>IF(ISBLANK('Data Entry'!$À$101), "", 'Data Entry'!$À$101)</f>
      </c>
      <c r="DY101">
        <f>IF(ISBLANK('Data Entry'!$Á$101), "", 'Data Entry'!$Á$101)</f>
      </c>
      <c r="DZ101">
        <f>IF(ISBLANK('Data Entry'!$Â$101), "", 'Data Entry'!$Â$101)</f>
      </c>
      <c r="EA101">
        <f>IF(ISBLANK('Data Entry'!$Ã$101), "", 'Data Entry'!$Ã$101)</f>
      </c>
      <c r="EB101">
        <f>IF(ISBLANK('Data Entry'!$Ä$101), "", 'Data Entry'!$Ä$101)</f>
      </c>
      <c r="EC101">
        <f>IF(ISBLANK('Data Entry'!$Å$101), "", 'Data Entry'!$Å$101)</f>
      </c>
      <c r="ED101">
        <f>IF(ISBLANK('Data Entry'!$Æ$101), "", 'Data Entry'!$Æ$101)</f>
      </c>
      <c r="EE101">
        <f>IF(ISBLANK('Data Entry'!$Ç$101), "", 'Data Entry'!$Ç$101)</f>
      </c>
      <c r="EF101">
        <f>IF(ISBLANK('Data Entry'!$È$101), "", 'Data Entry'!$È$101)</f>
      </c>
      <c r="EG101">
        <f>IF(ISBLANK('Data Entry'!$É$101), "", 'Data Entry'!$É$101)</f>
      </c>
      <c r="EH101">
        <f>IF(ISBLANK('Data Entry'!$Ê$101), "", 'Data Entry'!$Ê$101)</f>
      </c>
      <c r="EI101">
        <f>IF(ISBLANK('Data Entry'!$Ë$101), "", 'Data Entry'!$Ë$101)</f>
      </c>
      <c r="EJ101">
        <f>IF(ISBLANK('Data Entry'!$Ì$101), "", 'Data Entry'!$Ì$101)</f>
      </c>
      <c r="EK101">
        <f>IF(ISBLANK('Data Entry'!$Í$101), "", 'Data Entry'!$Í$101)</f>
      </c>
      <c r="EL101">
        <f>IF(ISBLANK('Data Entry'!$Î$101), "", 'Data Entry'!$Î$101)</f>
      </c>
      <c r="EM101">
        <f>IF(ISBLANK('Data Entry'!$Ï$101), "", 'Data Entry'!$Ï$101)</f>
      </c>
      <c r="EN101">
        <f>IF(ISBLANK('Data Entry'!$Ð$101), "", 'Data Entry'!$Ð$101)</f>
      </c>
      <c r="EO101">
        <f>IF(ISBLANK('Data Entry'!$Ñ$101), "", 'Data Entry'!$Ñ$101)</f>
      </c>
      <c r="EP101">
        <f>IF(ISBLANK('Data Entry'!$Ò$101), "", 'Data Entry'!$Ò$101)</f>
      </c>
      <c r="EQ101">
        <f>IF(ISBLANK('Data Entry'!$Ó$101), "", 'Data Entry'!$Ó$101)</f>
      </c>
      <c r="ER101">
        <f>IF(ISBLANK('Data Entry'!$Ô$101), "", 'Data Entry'!$Ô$101)</f>
      </c>
      <c r="ES101">
        <f>IF(ISBLANK('Data Entry'!$Õ$101), "", 'Data Entry'!$Õ$101)</f>
      </c>
      <c r="ET101">
        <f>IF(ISBLANK('Data Entry'!$Ö$101), "", 'Data Entry'!$Ö$101)</f>
      </c>
      <c r="EU101">
        <f>IF(ISBLANK('Data Entry'!$×$101), "", 'Data Entry'!$×$101)</f>
      </c>
      <c r="EV101">
        <f>IF(ISBLANK('Data Entry'!$Ø$101), "", 'Data Entry'!$Ø$101)</f>
      </c>
      <c r="EW101">
        <f>IF(ISBLANK('Data Entry'!$Ù$101), "", 'Data Entry'!$Ù$101)</f>
      </c>
      <c r="EX101">
        <f>IF(ISBLANK('Data Entry'!$Ú$101), "", 'Data Entry'!$Ú$101)</f>
      </c>
      <c r="EY101">
        <f>IF(ISBLANK('Data Entry'!$Û$101), "", 'Data Entry'!$Û$101)</f>
      </c>
      <c r="EZ101">
        <f>IF(ISBLANK('Data Entry'!$Ü$101), "", 'Data Entry'!$Ü$101)</f>
      </c>
      <c r="FA101">
        <f>IF(ISBLANK('Data Entry'!$Ý$101), "", 'Data Entry'!$Ý$101)</f>
      </c>
      <c r="FB101">
        <f>IF(ISBLANK('Data Entry'!$Þ$101), "", 'Data Entry'!$Þ$101)</f>
      </c>
      <c r="FC101">
        <f>IF(ISBLANK('Data Entry'!$ß$101), "", 'Data Entry'!$ß$101)</f>
      </c>
      <c r="FD101">
        <f>IF(ISBLANK('Data Entry'!$à$101), "", 'Data Entry'!$à$101)</f>
      </c>
      <c r="FE101">
        <f>IF(ISBLANK('Data Entry'!$á$101), "", 'Data Entry'!$á$101)</f>
      </c>
      <c r="FF101">
        <f>IF(ISBLANK('Data Entry'!$â$101), "", 'Data Entry'!$â$101)</f>
      </c>
      <c r="FG101">
        <f>IF(ISBLANK('Data Entry'!$ã$101), "", 'Data Entry'!$ã$101)</f>
      </c>
      <c r="FH101">
        <f>IF(ISBLANK('Data Entry'!$ä$101), "", 'Data Entry'!$ä$101)</f>
      </c>
      <c r="FI101">
        <f>IF(ISBLANK('Data Entry'!$å$101), "", 'Data Entry'!$å$101)</f>
      </c>
      <c r="FJ101">
        <f>IF(ISBLANK('Data Entry'!$æ$101), "", 'Data Entry'!$æ$101)</f>
      </c>
      <c r="FK101">
        <f>IF(ISBLANK('Data Entry'!$ç$101), "", 'Data Entry'!$ç$101)</f>
      </c>
      <c r="FL101">
        <f>IF(ISBLANK('Data Entry'!$è$101), "", 'Data Entry'!$è$101)</f>
      </c>
      <c r="FM101">
        <f>IF(ISBLANK('Data Entry'!$é$101), "", 'Data Entry'!$é$101)</f>
      </c>
      <c r="FN101">
        <f>IF(ISBLANK('Data Entry'!$ê$101), "", 'Data Entry'!$ê$101)</f>
      </c>
      <c r="FO101">
        <f>IF(ISBLANK('Data Entry'!$ë$101), "", 'Data Entry'!$ë$101)</f>
      </c>
      <c r="FP101">
        <f>IF(ISBLANK('Data Entry'!$ì$101), "", 'Data Entry'!$ì$101)</f>
      </c>
      <c r="FQ101">
        <f>IF(ISBLANK('Data Entry'!$í$101), "", 'Data Entry'!$í$101)</f>
      </c>
      <c r="FR101">
        <f>IF(ISBLANK('Data Entry'!$î$101), "", 'Data Entry'!$î$101)</f>
      </c>
      <c r="FS101">
        <f>IF(ISBLANK('Data Entry'!$ï$101), "", 'Data Entry'!$ï$101)</f>
      </c>
      <c r="FT101">
        <f>IF(ISBLANK('Data Entry'!$ð$101), "", 'Data Entry'!$ð$101)</f>
      </c>
      <c r="FU101">
        <f>IF(ISBLANK('Data Entry'!$ñ$101), "", 'Data Entry'!$ñ$101)</f>
      </c>
      <c r="FV101">
        <f>IF(ISBLANK('Data Entry'!$ò$101), "", 'Data Entry'!$ò$101)</f>
      </c>
      <c r="FW101">
        <f>IF(ISBLANK('Data Entry'!$ó$101), "", 'Data Entry'!$ó$101)</f>
      </c>
      <c r="FX101">
        <f>IF(ISBLANK('Data Entry'!$ô$101), "", 'Data Entry'!$ô$101)</f>
      </c>
      <c r="FY101">
        <f>IF(ISBLANK('Data Entry'!$õ$101), "", 'Data Entry'!$õ$101)</f>
      </c>
      <c r="FZ101">
        <f>IF(ISBLANK('Data Entry'!$ö$101), "", 'Data Entry'!$ö$101)</f>
      </c>
      <c r="GA101">
        <f>IF(ISBLANK('Data Entry'!$÷$101), "", 'Data Entry'!$÷$101)</f>
      </c>
      <c r="GB101">
        <f>IF(ISBLANK('Data Entry'!$ø$101), "", 'Data Entry'!$ø$101)</f>
      </c>
      <c r="GC101">
        <f>IF(ISBLANK('Data Entry'!$ù$101), "", 'Data Entry'!$ù$101)</f>
      </c>
      <c r="GD101">
        <f>IF(ISBLANK('Data Entry'!$ú$101), "", 'Data Entry'!$ú$101)</f>
      </c>
      <c r="GE101">
        <f>IF(ISBLANK('Data Entry'!$û$101), "", 'Data Entry'!$û$101)</f>
      </c>
      <c r="GF101">
        <f>IF(ISBLANK('Data Entry'!$ü$101), "", 'Data Entry'!$ü$101)</f>
      </c>
      <c r="GG101">
        <f>IF(ISBLANK('Data Entry'!$ý$101), "", 'Data Entry'!$ý$101)</f>
      </c>
      <c r="GH101">
        <f>IF(ISBLANK('Data Entry'!$þ$101), "", 'Data Entry'!$þ$101)</f>
      </c>
      <c r="GI101">
        <f>IF(ISBLANK('Data Entry'!$ÿ$101), "", 'Data Entry'!$ÿ$101)</f>
      </c>
      <c r="GJ101">
        <f>IF(ISBLANK('Data Entry'!$Ā$101), "", 'Data Entry'!$Ā$101)</f>
      </c>
      <c r="GK101">
        <f>IF(ISBLANK('Data Entry'!$ā$101), "", 'Data Entry'!$ā$101)</f>
      </c>
      <c r="GL101">
        <f>IF(ISBLANK('Data Entry'!$Ă$101), "", 'Data Entry'!$Ă$101)</f>
      </c>
      <c r="GM101">
        <f>IF(ISBLANK('Data Entry'!$ă$101), "", 'Data Entry'!$ă$101)</f>
      </c>
      <c r="GN101">
        <f>IF(ISBLANK('Data Entry'!$Ą$101), "", 'Data Entry'!$Ą$101)</f>
      </c>
      <c r="GO101">
        <f>IF(ISBLANK('Data Entry'!$ą$101), "", 'Data Entry'!$ą$101)</f>
      </c>
      <c r="GP101">
        <f>IF(ISBLANK('Data Entry'!$Ć$101), "", 'Data Entry'!$Ć$101)</f>
      </c>
      <c r="GQ101">
        <f>IF(ISBLANK('Data Entry'!$ć$101), "", 'Data Entry'!$ć$101)</f>
      </c>
      <c r="GR101">
        <f>IF(ISBLANK('Data Entry'!$Ĉ$101), "", 'Data Entry'!$Ĉ$101)</f>
      </c>
      <c r="GS101">
        <f>IF(ISBLANK('Data Entry'!$ĉ$101), "", 'Data Entry'!$ĉ$101)</f>
      </c>
      <c r="GT101">
        <f>IF(ISBLANK('Data Entry'!$Ċ$101), "", 'Data Entry'!$Ċ$101)</f>
      </c>
      <c r="GU101">
        <f>IF(ISBLANK('Data Entry'!$ċ$101), "", 'Data Entry'!$ċ$101)</f>
      </c>
      <c r="GV101">
        <f>IF(ISBLANK('Data Entry'!$Č$101), "", 'Data Entry'!$Č$101)</f>
      </c>
      <c r="GW101">
        <f>IF(ISBLANK('Data Entry'!$č$101), "", 'Data Entry'!$č$101)</f>
      </c>
      <c r="GX101">
        <f>IF(ISBLANK('Data Entry'!$Ď$101), "", 'Data Entry'!$Ď$101)</f>
      </c>
      <c r="GY101">
        <f>IF(ISBLANK('Data Entry'!$ď$101), "", 'Data Entry'!$ď$101)</f>
      </c>
      <c r="GZ101">
        <f>IF(ISBLANK('Data Entry'!$Đ$101), "", 'Data Entry'!$Đ$101)</f>
      </c>
      <c r="HA101">
        <f>IF(ISBLANK('Data Entry'!$đ$101), "", 'Data Entry'!$đ$101)</f>
      </c>
      <c r="HB101">
        <f>IF(ISBLANK('Data Entry'!$Ē$101), "", 'Data Entry'!$Ē$101)</f>
      </c>
      <c r="HC101">
        <f>IF(ISBLANK('Data Entry'!$ē$101), "", 'Data Entry'!$ē$101)</f>
      </c>
      <c r="HD101">
        <f>IF(ISBLANK('Data Entry'!$Ĕ$101), "", 'Data Entry'!$Ĕ$101)</f>
      </c>
      <c r="HE101">
        <f>IF(ISBLANK('Data Entry'!$ĕ$101), "", 'Data Entry'!$ĕ$101)</f>
      </c>
      <c r="HF101">
        <f>IF(ISBLANK('Data Entry'!$Ė$101), "", 'Data Entry'!$Ė$101)</f>
      </c>
      <c r="HG101">
        <f>IF(ISBLANK('Data Entry'!$ė$101), "", 'Data Entry'!$ė$101)</f>
      </c>
      <c r="HH101">
        <f>IF(ISBLANK('Data Entry'!$Ę$101), "", 'Data Entry'!$Ę$101)</f>
      </c>
      <c r="HI101">
        <f>IF(ISBLANK('Data Entry'!$ę$101), "", 'Data Entry'!$ę$101)</f>
      </c>
      <c r="HJ101">
        <f>IF(ISBLANK('Data Entry'!$Ě$101), "", 'Data Entry'!$Ě$101)</f>
      </c>
      <c r="HK101">
        <f>IF(ISBLANK('Data Entry'!$ě$101), "", 'Data Entry'!$ě$101)</f>
      </c>
      <c r="HL101">
        <f>IF(ISBLANK('Data Entry'!$Ĝ$101), "", 'Data Entry'!$Ĝ$101)</f>
      </c>
      <c r="HM101">
        <f>IF(ISBLANK('Data Entry'!$ĝ$101), "", 'Data Entry'!$ĝ$101)</f>
      </c>
      <c r="HN101">
        <f>IF(ISBLANK('Data Entry'!$Ğ$101), "", 'Data Entry'!$Ğ$101)</f>
      </c>
      <c r="HO101">
        <f>IF(ISBLANK('Data Entry'!$ğ$101), "", 'Data Entry'!$ğ$101)</f>
      </c>
      <c r="HP101">
        <f>IF(ISBLANK('Data Entry'!$Ġ$101), "", 'Data Entry'!$Ġ$101)</f>
      </c>
      <c r="HQ101">
        <f>IF(ISBLANK('Data Entry'!$ġ$101), "", 'Data Entry'!$ġ$101)</f>
      </c>
      <c r="HR101">
        <f>IF(ISBLANK('Data Entry'!$Ģ$101), "", 'Data Entry'!$Ģ$101)</f>
      </c>
      <c r="HS101">
        <f>IF(ISBLANK('Data Entry'!$ģ$101), "", 'Data Entry'!$ģ$101)</f>
      </c>
      <c r="HT101">
        <f>IF(ISBLANK('Data Entry'!$Ĥ$101), "", 'Data Entry'!$Ĥ$101)</f>
      </c>
      <c r="HU101">
        <f>IF(ISBLANK('Data Entry'!$ĥ$101), "", 'Data Entry'!$ĥ$101)</f>
      </c>
      <c r="HV101">
        <f>IF(ISBLANK('Data Entry'!$Ħ$101), "", 'Data Entry'!$Ħ$101)</f>
      </c>
      <c r="HW101">
        <f>IF(ISBLANK('Data Entry'!$ħ$101), "", 'Data Entry'!$ħ$101)</f>
      </c>
      <c r="HX101">
        <f>IF(ISBLANK('Data Entry'!$Ĩ$101), "", 'Data Entry'!$Ĩ$101)</f>
      </c>
      <c r="HY101">
        <f>IF(ISBLANK('Data Entry'!$ĩ$101), "", 'Data Entry'!$ĩ$101)</f>
      </c>
      <c r="HZ101">
        <f>IF(ISBLANK('Data Entry'!$Ī$101), "", 'Data Entry'!$Ī$101)</f>
      </c>
      <c r="IA101">
        <f>IF(ISBLANK('Data Entry'!$ī$101), "", 'Data Entry'!$ī$101)</f>
      </c>
      <c r="IB101">
        <f>IF(ISBLANK('Data Entry'!$Ĭ$101), "", 'Data Entry'!$Ĭ$101)</f>
      </c>
      <c r="IC101">
        <f>IF(ISBLANK('Data Entry'!$ĭ$101), "", 'Data Entry'!$ĭ$101)</f>
      </c>
      <c r="ID101">
        <f>IF(ISBLANK('Data Entry'!$Į$101), "", 'Data Entry'!$Į$101)</f>
      </c>
      <c r="IE101">
        <f>IF(ISBLANK('Data Entry'!$į$101), "", 'Data Entry'!$į$101)</f>
      </c>
      <c r="IF101">
        <f>IF(ISBLANK('Data Entry'!$İ$101), "", 'Data Entry'!$İ$101)</f>
      </c>
      <c r="IG101">
        <f>IF(ISBLANK('Data Entry'!$ı$101), "", 'Data Entry'!$ı$101)</f>
      </c>
      <c r="IH101">
        <f>IF(ISBLANK('Data Entry'!$Ĳ$101), "", 'Data Entry'!$Ĳ$101)</f>
      </c>
      <c r="II101">
        <f>IF(ISBLANK('Data Entry'!$ĳ$101), "", 'Data Entry'!$ĳ$101)</f>
      </c>
      <c r="IJ101">
        <f>IF(ISBLANK('Data Entry'!$Ĵ$101), "", 'Data Entry'!$Ĵ$101)</f>
      </c>
      <c r="IK101">
        <f>IF(ISBLANK('Data Entry'!$ĵ$101), "", 'Data Entry'!$ĵ$101)</f>
      </c>
      <c r="IL101">
        <f>IF(ISBLANK('Data Entry'!$Ķ$101), "", 'Data Entry'!$Ķ$101)</f>
      </c>
      <c r="IM101">
        <f>IF(ISBLANK('Data Entry'!$ķ$101), "", 'Data Entry'!$ķ$101)</f>
      </c>
      <c r="IN101">
        <f>IF(ISBLANK('Data Entry'!$ĸ$101), "", 'Data Entry'!$ĸ$101)</f>
      </c>
      <c r="IO101">
        <f>IF(ISBLANK('Data Entry'!$Ĺ$101), "", 'Data Entry'!$Ĺ$101)</f>
      </c>
      <c r="IP101">
        <f>IF(ISBLANK('Data Entry'!$ĺ$101), "", 'Data Entry'!$ĺ$101)</f>
      </c>
      <c r="IQ101">
        <f>IF(ISBLANK('Data Entry'!$Ļ$101), "", 'Data Entry'!$Ļ$101)</f>
      </c>
      <c r="IR101">
        <f>IF(ISBLANK('Data Entry'!$ļ$101), "", 'Data Entry'!$ļ$101)</f>
      </c>
      <c r="IS101">
        <f>IF(ISBLANK('Data Entry'!$Ľ$101), "", 'Data Entry'!$Ľ$101)</f>
      </c>
      <c r="IT101">
        <f>IF(ISBLANK('Data Entry'!$ľ$101), "", 'Data Entry'!$ľ$101)</f>
      </c>
    </row>
    <row r="102" spans="1:254" x14ac:dyDescent="0.25">
      <c r="A102">
        <f>IF(ISBLANK('Data Entry'!$A$102), "", 'Data Entry'!$A$102)</f>
      </c>
      <c r="B102">
        <f>IF(ISBLANK('Data Entry'!$B$102), "", 'Data Entry'!$B$102)</f>
      </c>
      <c r="C102">
        <f>IF(ISBLANK('Data Entry'!$C$102), "", 'Data Entry'!$C$102)</f>
      </c>
      <c r="D102">
        <f>IF(ISBLANK('Data Entry'!$D$102), "", 'Data Entry'!$D$102)</f>
      </c>
      <c r="E102">
        <f>IF(ISBLANK('Data Entry'!$E$102), "", 'Data Entry'!$E$102)</f>
      </c>
      <c r="F102">
        <f>IF(ISBLANK('Data Entry'!$F$102), "", 'Data Entry'!$F$102)</f>
      </c>
      <c r="G102">
        <f>IF(ISBLANK('Data Entry'!$G$102), "", 'Data Entry'!$G$102)</f>
      </c>
      <c r="H102">
        <f>IF(ISBLANK('Data Entry'!$H$102), "", 'Data Entry'!$H$102)</f>
      </c>
      <c r="I102">
        <f>IF(ISBLANK('Data Entry'!$I$102), "", 'Data Entry'!$I$102)</f>
      </c>
      <c r="J102">
        <f>IF(ISBLANK('Data Entry'!$J$102), "", 'Data Entry'!$J$102)</f>
      </c>
      <c r="K102">
        <f>IF(ISBLANK('Data Entry'!$K$102), "", 'Data Entry'!$K$102)</f>
      </c>
      <c r="L102">
        <f>IF(ISBLANK('Data Entry'!$L$102), "", 'Data Entry'!$L$102)</f>
      </c>
      <c r="M102">
        <f>IF(ISBLANK('Data Entry'!$M$102), "", 'Data Entry'!$M$102)</f>
      </c>
      <c r="N102">
        <f>IF(ISBLANK('Data Entry'!$N$102), "", 'Data Entry'!$N$102)</f>
      </c>
      <c r="O102">
        <f>IF(ISBLANK('Data Entry'!$O$102), "", 'Data Entry'!$O$102)</f>
      </c>
      <c r="P102">
        <f>IF(ISBLANK('Data Entry'!$P$102), "", 'Data Entry'!$P$102)</f>
      </c>
      <c r="Q102">
        <f>IF(ISBLANK('Data Entry'!$Q$102), "", 'Data Entry'!$Q$102)</f>
      </c>
      <c r="R102">
        <f>IF(ISBLANK('Data Entry'!$R$102), "", 'Data Entry'!$R$102)</f>
      </c>
      <c r="S102">
        <f>IF(ISBLANK('Data Entry'!$S$102), "", 'Data Entry'!$S$102)</f>
      </c>
      <c r="T102">
        <f>IF(ISBLANK('Data Entry'!$T$102), "", 'Data Entry'!$T$102)</f>
      </c>
      <c r="U102">
        <f>IF(ISBLANK('Data Entry'!$U$102), "", 'Data Entry'!$U$102)</f>
      </c>
      <c r="V102">
        <f>IF(ISBLANK('Data Entry'!$V$102), "", 'Data Entry'!$V$102)</f>
      </c>
      <c r="W102">
        <f>IF(ISBLANK('Data Entry'!$W$102), "", 'Data Entry'!$W$102)</f>
      </c>
      <c r="X102">
        <f>IF(ISBLANK('Data Entry'!$X$102), "", 'Data Entry'!$X$102)</f>
      </c>
      <c r="Y102">
        <f>IF(ISBLANK('Data Entry'!$Y$102), "", 'Data Entry'!$Y$102)</f>
      </c>
      <c r="Z102">
        <f>IF(ISBLANK('Data Entry'!$Z$102), "", 'Data Entry'!$Z$102)</f>
      </c>
      <c r="AA102">
        <f>IF(ISBLANK('Data Entry'!$[$102), "", 'Data Entry'!$[$102)</f>
      </c>
      <c r="AB102">
        <f>IF(ISBLANK('Data Entry'!$\$102), "", 'Data Entry'!$\$102)</f>
      </c>
      <c r="AC102">
        <f>IF(ISBLANK('Data Entry'!$]$102), "", 'Data Entry'!$]$102)</f>
      </c>
      <c r="AD102">
        <f>IF(ISBLANK('Data Entry'!$^$102), "", 'Data Entry'!$^$102)</f>
      </c>
      <c r="AE102">
        <f>IF(ISBLANK('Data Entry'!$_$102), "", 'Data Entry'!$_$102)</f>
      </c>
      <c r="AF102">
        <f>IF(ISBLANK('Data Entry'!$`$102), "", 'Data Entry'!$`$102)</f>
      </c>
      <c r="AG102">
        <f>IF(ISBLANK('Data Entry'!$a$102), "", 'Data Entry'!$a$102)</f>
      </c>
      <c r="AH102">
        <f>IF(ISBLANK('Data Entry'!$b$102), "", 'Data Entry'!$b$102)</f>
      </c>
      <c r="AI102">
        <f>IF(ISBLANK('Data Entry'!$c$102), "", 'Data Entry'!$c$102)</f>
      </c>
      <c r="AJ102">
        <f>IF(ISBLANK('Data Entry'!$d$102), "", 'Data Entry'!$d$102)</f>
      </c>
      <c r="AK102">
        <f>IF(ISBLANK('Data Entry'!$e$102), "", 'Data Entry'!$e$102)</f>
      </c>
      <c r="AL102">
        <f>IF(ISBLANK('Data Entry'!$f$102), "", 'Data Entry'!$f$102)</f>
      </c>
      <c r="AM102">
        <f>IF(ISBLANK('Data Entry'!$g$102), "", 'Data Entry'!$g$102)</f>
      </c>
      <c r="AN102">
        <f>IF(ISBLANK('Data Entry'!$h$102), "", 'Data Entry'!$h$102)</f>
      </c>
      <c r="AO102">
        <f>IF(ISBLANK('Data Entry'!$i$102), "", 'Data Entry'!$i$102)</f>
      </c>
      <c r="AP102">
        <f>IF(ISBLANK('Data Entry'!$j$102), "", 'Data Entry'!$j$102)</f>
      </c>
      <c r="AQ102">
        <f>IF(ISBLANK('Data Entry'!$k$102), "", 'Data Entry'!$k$102)</f>
      </c>
      <c r="AR102">
        <f>IF(ISBLANK('Data Entry'!$l$102), "", 'Data Entry'!$l$102)</f>
      </c>
      <c r="AS102">
        <f>IF(ISBLANK('Data Entry'!$m$102), "", 'Data Entry'!$m$102)</f>
      </c>
      <c r="AT102">
        <f>IF(ISBLANK('Data Entry'!$n$102), "", 'Data Entry'!$n$102)</f>
      </c>
      <c r="AU102">
        <f>IF(ISBLANK('Data Entry'!$o$102), "", 'Data Entry'!$o$102)</f>
      </c>
      <c r="AV102">
        <f>IF(ISBLANK('Data Entry'!$p$102), "", 'Data Entry'!$p$102)</f>
      </c>
      <c r="AW102">
        <f>IF(ISBLANK('Data Entry'!$q$102), "", 'Data Entry'!$q$102)</f>
      </c>
      <c r="AX102">
        <f>IF(ISBLANK('Data Entry'!$r$102), "", 'Data Entry'!$r$102)</f>
      </c>
      <c r="AY102">
        <f>IF(ISBLANK('Data Entry'!$s$102), "", 'Data Entry'!$s$102)</f>
      </c>
      <c r="AZ102">
        <f>IF(ISBLANK('Data Entry'!$t$102), "", 'Data Entry'!$t$102)</f>
      </c>
      <c r="BA102">
        <f>IF(ISBLANK('Data Entry'!$u$102), "", 'Data Entry'!$u$102)</f>
      </c>
      <c r="BB102">
        <f>IF(ISBLANK('Data Entry'!$v$102), "", 'Data Entry'!$v$102)</f>
      </c>
      <c r="BC102">
        <f>IF(ISBLANK('Data Entry'!$w$102), "", 'Data Entry'!$w$102)</f>
      </c>
      <c r="BD102">
        <f>IF(ISBLANK('Data Entry'!$x$102), "", 'Data Entry'!$x$102)</f>
      </c>
      <c r="BE102">
        <f>IF(ISBLANK('Data Entry'!$y$102), "", 'Data Entry'!$y$102)</f>
      </c>
      <c r="BF102">
        <f>IF(ISBLANK('Data Entry'!$z$102), "", 'Data Entry'!$z$102)</f>
      </c>
      <c r="BG102">
        <f>IF(ISBLANK('Data Entry'!${$102), "", 'Data Entry'!${$102)</f>
      </c>
      <c r="BH102">
        <f>IF(ISBLANK('Data Entry'!$|$102), "", 'Data Entry'!$|$102)</f>
      </c>
      <c r="BI102">
        <f>IF(ISBLANK('Data Entry'!$}$102), "", 'Data Entry'!$}$102)</f>
      </c>
      <c r="BJ102">
        <f>IF(ISBLANK('Data Entry'!$~$102), "", 'Data Entry'!$~$102)</f>
      </c>
      <c r="BK102">
        <f>IF(ISBLANK('Data Entry'!$$102), "", 'Data Entry'!$$102)</f>
      </c>
      <c r="BL102">
        <f>IF(ISBLANK('Data Entry'!$$102), "", 'Data Entry'!$$102)</f>
      </c>
      <c r="BM102">
        <f>IF(ISBLANK('Data Entry'!$$102), "", 'Data Entry'!$$102)</f>
      </c>
      <c r="BN102">
        <f>IF(ISBLANK('Data Entry'!$$102), "", 'Data Entry'!$$102)</f>
      </c>
      <c r="BO102">
        <f>IF(ISBLANK('Data Entry'!$$102), "", 'Data Entry'!$$102)</f>
      </c>
      <c r="BP102">
        <f>IF(ISBLANK('Data Entry'!$$102), "", 'Data Entry'!$$102)</f>
      </c>
      <c r="BQ102">
        <f>IF(ISBLANK('Data Entry'!$$102), "", 'Data Entry'!$$102)</f>
      </c>
      <c r="BR102">
        <f>IF(ISBLANK('Data Entry'!$$102), "", 'Data Entry'!$$102)</f>
      </c>
      <c r="BS102">
        <f>IF(ISBLANK('Data Entry'!$$102), "", 'Data Entry'!$$102)</f>
      </c>
      <c r="BT102">
        <f>IF(ISBLANK('Data Entry'!$$102), "", 'Data Entry'!$$102)</f>
      </c>
      <c r="BU102">
        <f>IF(ISBLANK('Data Entry'!$$102), "", 'Data Entry'!$$102)</f>
      </c>
      <c r="BV102">
        <f>IF(ISBLANK('Data Entry'!$$102), "", 'Data Entry'!$$102)</f>
      </c>
      <c r="BW102">
        <f>IF(ISBLANK('Data Entry'!$$102), "", 'Data Entry'!$$102)</f>
      </c>
      <c r="BX102">
        <f>IF(ISBLANK('Data Entry'!$$102), "", 'Data Entry'!$$102)</f>
      </c>
      <c r="BY102">
        <f>IF(ISBLANK('Data Entry'!$$102), "", 'Data Entry'!$$102)</f>
      </c>
      <c r="BZ102">
        <f>IF(ISBLANK('Data Entry'!$$102), "", 'Data Entry'!$$102)</f>
      </c>
      <c r="CA102">
        <f>IF(ISBLANK('Data Entry'!$$102), "", 'Data Entry'!$$102)</f>
      </c>
      <c r="CB102">
        <f>IF(ISBLANK('Data Entry'!$$102), "", 'Data Entry'!$$102)</f>
      </c>
      <c r="CC102">
        <f>IF(ISBLANK('Data Entry'!$$102), "", 'Data Entry'!$$102)</f>
      </c>
      <c r="CD102">
        <f>IF(ISBLANK('Data Entry'!$$102), "", 'Data Entry'!$$102)</f>
      </c>
      <c r="CE102">
        <f>IF(ISBLANK('Data Entry'!$$102), "", 'Data Entry'!$$102)</f>
      </c>
      <c r="CF102">
        <f>IF(ISBLANK('Data Entry'!$$102), "", 'Data Entry'!$$102)</f>
      </c>
      <c r="CG102">
        <f>IF(ISBLANK('Data Entry'!$$102), "", 'Data Entry'!$$102)</f>
      </c>
      <c r="CH102">
        <f>IF(ISBLANK('Data Entry'!$$102), "", 'Data Entry'!$$102)</f>
      </c>
      <c r="CI102">
        <f>IF(ISBLANK('Data Entry'!$$102), "", 'Data Entry'!$$102)</f>
      </c>
      <c r="CJ102">
        <f>IF(ISBLANK('Data Entry'!$$102), "", 'Data Entry'!$$102)</f>
      </c>
      <c r="CK102">
        <f>IF(ISBLANK('Data Entry'!$$102), "", 'Data Entry'!$$102)</f>
      </c>
      <c r="CL102">
        <f>IF(ISBLANK('Data Entry'!$$102), "", 'Data Entry'!$$102)</f>
      </c>
      <c r="CM102">
        <f>IF(ISBLANK('Data Entry'!$$102), "", 'Data Entry'!$$102)</f>
      </c>
      <c r="CN102">
        <f>IF(ISBLANK('Data Entry'!$$102), "", 'Data Entry'!$$102)</f>
      </c>
      <c r="CO102">
        <f>IF(ISBLANK('Data Entry'!$$102), "", 'Data Entry'!$$102)</f>
      </c>
      <c r="CP102">
        <f>IF(ISBLANK('Data Entry'!$$102), "", 'Data Entry'!$$102)</f>
      </c>
      <c r="CQ102">
        <f>IF(ISBLANK('Data Entry'!$$102), "", 'Data Entry'!$$102)</f>
      </c>
      <c r="CR102">
        <f>IF(ISBLANK('Data Entry'!$ $102), "", 'Data Entry'!$ $102)</f>
      </c>
      <c r="CS102">
        <f>IF(ISBLANK('Data Entry'!$¡$102), "", 'Data Entry'!$¡$102)</f>
      </c>
      <c r="CT102">
        <f>IF(ISBLANK('Data Entry'!$¢$102), "", 'Data Entry'!$¢$102)</f>
      </c>
      <c r="CU102">
        <f>IF(ISBLANK('Data Entry'!$£$102), "", 'Data Entry'!$£$102)</f>
      </c>
      <c r="CV102">
        <f>IF(ISBLANK('Data Entry'!$¤$102), "", 'Data Entry'!$¤$102)</f>
      </c>
      <c r="CW102">
        <f>IF(ISBLANK('Data Entry'!$¥$102), "", 'Data Entry'!$¥$102)</f>
      </c>
      <c r="CX102">
        <f>IF(ISBLANK('Data Entry'!$¦$102), "", 'Data Entry'!$¦$102)</f>
      </c>
      <c r="CY102">
        <f>IF(ISBLANK('Data Entry'!$§$102), "", 'Data Entry'!$§$102)</f>
      </c>
      <c r="CZ102">
        <f>IF(ISBLANK('Data Entry'!$¨$102), "", 'Data Entry'!$¨$102)</f>
      </c>
      <c r="DA102">
        <f>IF(ISBLANK('Data Entry'!$©$102), "", 'Data Entry'!$©$102)</f>
      </c>
      <c r="DB102">
        <f>IF(ISBLANK('Data Entry'!$ª$102), "", 'Data Entry'!$ª$102)</f>
      </c>
      <c r="DC102">
        <f>IF(ISBLANK('Data Entry'!$«$102), "", 'Data Entry'!$«$102)</f>
      </c>
      <c r="DD102">
        <f>IF(ISBLANK('Data Entry'!$¬$102), "", 'Data Entry'!$¬$102)</f>
      </c>
      <c r="DE102">
        <f>IF(ISBLANK('Data Entry'!$­$102), "", 'Data Entry'!$­$102)</f>
      </c>
      <c r="DF102">
        <f>IF(ISBLANK('Data Entry'!$®$102), "", 'Data Entry'!$®$102)</f>
      </c>
      <c r="DG102">
        <f>IF(ISBLANK('Data Entry'!$¯$102), "", 'Data Entry'!$¯$102)</f>
      </c>
      <c r="DH102">
        <f>IF(ISBLANK('Data Entry'!$°$102), "", 'Data Entry'!$°$102)</f>
      </c>
      <c r="DI102">
        <f>IF(ISBLANK('Data Entry'!$±$102), "", 'Data Entry'!$±$102)</f>
      </c>
      <c r="DJ102">
        <f>IF(ISBLANK('Data Entry'!$²$102), "", 'Data Entry'!$²$102)</f>
      </c>
      <c r="DK102">
        <f>IF(ISBLANK('Data Entry'!$³$102), "", 'Data Entry'!$³$102)</f>
      </c>
      <c r="DL102">
        <f>IF(ISBLANK('Data Entry'!$´$102), "", 'Data Entry'!$´$102)</f>
      </c>
      <c r="DM102">
        <f>IF(ISBLANK('Data Entry'!$µ$102), "", 'Data Entry'!$µ$102)</f>
      </c>
      <c r="DN102">
        <f>IF(ISBLANK('Data Entry'!$¶$102), "", 'Data Entry'!$¶$102)</f>
      </c>
      <c r="DO102">
        <f>IF(ISBLANK('Data Entry'!$·$102), "", 'Data Entry'!$·$102)</f>
      </c>
      <c r="DP102">
        <f>IF(ISBLANK('Data Entry'!$¸$102), "", 'Data Entry'!$¸$102)</f>
      </c>
      <c r="DQ102">
        <f>IF(ISBLANK('Data Entry'!$¹$102), "", 'Data Entry'!$¹$102)</f>
      </c>
      <c r="DR102">
        <f>IF(ISBLANK('Data Entry'!$º$102), "", 'Data Entry'!$º$102)</f>
      </c>
      <c r="DS102">
        <f>IF(ISBLANK('Data Entry'!$»$102), "", 'Data Entry'!$»$102)</f>
      </c>
      <c r="DT102">
        <f>IF(ISBLANK('Data Entry'!$¼$102), "", 'Data Entry'!$¼$102)</f>
      </c>
      <c r="DU102">
        <f>IF(ISBLANK('Data Entry'!$½$102), "", 'Data Entry'!$½$102)</f>
      </c>
      <c r="DV102">
        <f>IF(ISBLANK('Data Entry'!$¾$102), "", 'Data Entry'!$¾$102)</f>
      </c>
      <c r="DW102">
        <f>IF(ISBLANK('Data Entry'!$¿$102), "", 'Data Entry'!$¿$102)</f>
      </c>
      <c r="DX102">
        <f>IF(ISBLANK('Data Entry'!$À$102), "", 'Data Entry'!$À$102)</f>
      </c>
      <c r="DY102">
        <f>IF(ISBLANK('Data Entry'!$Á$102), "", 'Data Entry'!$Á$102)</f>
      </c>
      <c r="DZ102">
        <f>IF(ISBLANK('Data Entry'!$Â$102), "", 'Data Entry'!$Â$102)</f>
      </c>
      <c r="EA102">
        <f>IF(ISBLANK('Data Entry'!$Ã$102), "", 'Data Entry'!$Ã$102)</f>
      </c>
      <c r="EB102">
        <f>IF(ISBLANK('Data Entry'!$Ä$102), "", 'Data Entry'!$Ä$102)</f>
      </c>
      <c r="EC102">
        <f>IF(ISBLANK('Data Entry'!$Å$102), "", 'Data Entry'!$Å$102)</f>
      </c>
      <c r="ED102">
        <f>IF(ISBLANK('Data Entry'!$Æ$102), "", 'Data Entry'!$Æ$102)</f>
      </c>
      <c r="EE102">
        <f>IF(ISBLANK('Data Entry'!$Ç$102), "", 'Data Entry'!$Ç$102)</f>
      </c>
      <c r="EF102">
        <f>IF(ISBLANK('Data Entry'!$È$102), "", 'Data Entry'!$È$102)</f>
      </c>
      <c r="EG102">
        <f>IF(ISBLANK('Data Entry'!$É$102), "", 'Data Entry'!$É$102)</f>
      </c>
      <c r="EH102">
        <f>IF(ISBLANK('Data Entry'!$Ê$102), "", 'Data Entry'!$Ê$102)</f>
      </c>
      <c r="EI102">
        <f>IF(ISBLANK('Data Entry'!$Ë$102), "", 'Data Entry'!$Ë$102)</f>
      </c>
      <c r="EJ102">
        <f>IF(ISBLANK('Data Entry'!$Ì$102), "", 'Data Entry'!$Ì$102)</f>
      </c>
      <c r="EK102">
        <f>IF(ISBLANK('Data Entry'!$Í$102), "", 'Data Entry'!$Í$102)</f>
      </c>
      <c r="EL102">
        <f>IF(ISBLANK('Data Entry'!$Î$102), "", 'Data Entry'!$Î$102)</f>
      </c>
      <c r="EM102">
        <f>IF(ISBLANK('Data Entry'!$Ï$102), "", 'Data Entry'!$Ï$102)</f>
      </c>
      <c r="EN102">
        <f>IF(ISBLANK('Data Entry'!$Ð$102), "", 'Data Entry'!$Ð$102)</f>
      </c>
      <c r="EO102">
        <f>IF(ISBLANK('Data Entry'!$Ñ$102), "", 'Data Entry'!$Ñ$102)</f>
      </c>
      <c r="EP102">
        <f>IF(ISBLANK('Data Entry'!$Ò$102), "", 'Data Entry'!$Ò$102)</f>
      </c>
      <c r="EQ102">
        <f>IF(ISBLANK('Data Entry'!$Ó$102), "", 'Data Entry'!$Ó$102)</f>
      </c>
      <c r="ER102">
        <f>IF(ISBLANK('Data Entry'!$Ô$102), "", 'Data Entry'!$Ô$102)</f>
      </c>
      <c r="ES102">
        <f>IF(ISBLANK('Data Entry'!$Õ$102), "", 'Data Entry'!$Õ$102)</f>
      </c>
      <c r="ET102">
        <f>IF(ISBLANK('Data Entry'!$Ö$102), "", 'Data Entry'!$Ö$102)</f>
      </c>
      <c r="EU102">
        <f>IF(ISBLANK('Data Entry'!$×$102), "", 'Data Entry'!$×$102)</f>
      </c>
      <c r="EV102">
        <f>IF(ISBLANK('Data Entry'!$Ø$102), "", 'Data Entry'!$Ø$102)</f>
      </c>
      <c r="EW102">
        <f>IF(ISBLANK('Data Entry'!$Ù$102), "", 'Data Entry'!$Ù$102)</f>
      </c>
      <c r="EX102">
        <f>IF(ISBLANK('Data Entry'!$Ú$102), "", 'Data Entry'!$Ú$102)</f>
      </c>
      <c r="EY102">
        <f>IF(ISBLANK('Data Entry'!$Û$102), "", 'Data Entry'!$Û$102)</f>
      </c>
      <c r="EZ102">
        <f>IF(ISBLANK('Data Entry'!$Ü$102), "", 'Data Entry'!$Ü$102)</f>
      </c>
      <c r="FA102">
        <f>IF(ISBLANK('Data Entry'!$Ý$102), "", 'Data Entry'!$Ý$102)</f>
      </c>
      <c r="FB102">
        <f>IF(ISBLANK('Data Entry'!$Þ$102), "", 'Data Entry'!$Þ$102)</f>
      </c>
      <c r="FC102">
        <f>IF(ISBLANK('Data Entry'!$ß$102), "", 'Data Entry'!$ß$102)</f>
      </c>
      <c r="FD102">
        <f>IF(ISBLANK('Data Entry'!$à$102), "", 'Data Entry'!$à$102)</f>
      </c>
      <c r="FE102">
        <f>IF(ISBLANK('Data Entry'!$á$102), "", 'Data Entry'!$á$102)</f>
      </c>
      <c r="FF102">
        <f>IF(ISBLANK('Data Entry'!$â$102), "", 'Data Entry'!$â$102)</f>
      </c>
      <c r="FG102">
        <f>IF(ISBLANK('Data Entry'!$ã$102), "", 'Data Entry'!$ã$102)</f>
      </c>
      <c r="FH102">
        <f>IF(ISBLANK('Data Entry'!$ä$102), "", 'Data Entry'!$ä$102)</f>
      </c>
      <c r="FI102">
        <f>IF(ISBLANK('Data Entry'!$å$102), "", 'Data Entry'!$å$102)</f>
      </c>
      <c r="FJ102">
        <f>IF(ISBLANK('Data Entry'!$æ$102), "", 'Data Entry'!$æ$102)</f>
      </c>
      <c r="FK102">
        <f>IF(ISBLANK('Data Entry'!$ç$102), "", 'Data Entry'!$ç$102)</f>
      </c>
      <c r="FL102">
        <f>IF(ISBLANK('Data Entry'!$è$102), "", 'Data Entry'!$è$102)</f>
      </c>
      <c r="FM102">
        <f>IF(ISBLANK('Data Entry'!$é$102), "", 'Data Entry'!$é$102)</f>
      </c>
      <c r="FN102">
        <f>IF(ISBLANK('Data Entry'!$ê$102), "", 'Data Entry'!$ê$102)</f>
      </c>
      <c r="FO102">
        <f>IF(ISBLANK('Data Entry'!$ë$102), "", 'Data Entry'!$ë$102)</f>
      </c>
      <c r="FP102">
        <f>IF(ISBLANK('Data Entry'!$ì$102), "", 'Data Entry'!$ì$102)</f>
      </c>
      <c r="FQ102">
        <f>IF(ISBLANK('Data Entry'!$í$102), "", 'Data Entry'!$í$102)</f>
      </c>
      <c r="FR102">
        <f>IF(ISBLANK('Data Entry'!$î$102), "", 'Data Entry'!$î$102)</f>
      </c>
      <c r="FS102">
        <f>IF(ISBLANK('Data Entry'!$ï$102), "", 'Data Entry'!$ï$102)</f>
      </c>
      <c r="FT102">
        <f>IF(ISBLANK('Data Entry'!$ð$102), "", 'Data Entry'!$ð$102)</f>
      </c>
      <c r="FU102">
        <f>IF(ISBLANK('Data Entry'!$ñ$102), "", 'Data Entry'!$ñ$102)</f>
      </c>
      <c r="FV102">
        <f>IF(ISBLANK('Data Entry'!$ò$102), "", 'Data Entry'!$ò$102)</f>
      </c>
      <c r="FW102">
        <f>IF(ISBLANK('Data Entry'!$ó$102), "", 'Data Entry'!$ó$102)</f>
      </c>
      <c r="FX102">
        <f>IF(ISBLANK('Data Entry'!$ô$102), "", 'Data Entry'!$ô$102)</f>
      </c>
      <c r="FY102">
        <f>IF(ISBLANK('Data Entry'!$õ$102), "", 'Data Entry'!$õ$102)</f>
      </c>
      <c r="FZ102">
        <f>IF(ISBLANK('Data Entry'!$ö$102), "", 'Data Entry'!$ö$102)</f>
      </c>
      <c r="GA102">
        <f>IF(ISBLANK('Data Entry'!$÷$102), "", 'Data Entry'!$÷$102)</f>
      </c>
      <c r="GB102">
        <f>IF(ISBLANK('Data Entry'!$ø$102), "", 'Data Entry'!$ø$102)</f>
      </c>
      <c r="GC102">
        <f>IF(ISBLANK('Data Entry'!$ù$102), "", 'Data Entry'!$ù$102)</f>
      </c>
      <c r="GD102">
        <f>IF(ISBLANK('Data Entry'!$ú$102), "", 'Data Entry'!$ú$102)</f>
      </c>
      <c r="GE102">
        <f>IF(ISBLANK('Data Entry'!$û$102), "", 'Data Entry'!$û$102)</f>
      </c>
      <c r="GF102">
        <f>IF(ISBLANK('Data Entry'!$ü$102), "", 'Data Entry'!$ü$102)</f>
      </c>
      <c r="GG102">
        <f>IF(ISBLANK('Data Entry'!$ý$102), "", 'Data Entry'!$ý$102)</f>
      </c>
      <c r="GH102">
        <f>IF(ISBLANK('Data Entry'!$þ$102), "", 'Data Entry'!$þ$102)</f>
      </c>
      <c r="GI102">
        <f>IF(ISBLANK('Data Entry'!$ÿ$102), "", 'Data Entry'!$ÿ$102)</f>
      </c>
      <c r="GJ102">
        <f>IF(ISBLANK('Data Entry'!$Ā$102), "", 'Data Entry'!$Ā$102)</f>
      </c>
      <c r="GK102">
        <f>IF(ISBLANK('Data Entry'!$ā$102), "", 'Data Entry'!$ā$102)</f>
      </c>
      <c r="GL102">
        <f>IF(ISBLANK('Data Entry'!$Ă$102), "", 'Data Entry'!$Ă$102)</f>
      </c>
      <c r="GM102">
        <f>IF(ISBLANK('Data Entry'!$ă$102), "", 'Data Entry'!$ă$102)</f>
      </c>
      <c r="GN102">
        <f>IF(ISBLANK('Data Entry'!$Ą$102), "", 'Data Entry'!$Ą$102)</f>
      </c>
      <c r="GO102">
        <f>IF(ISBLANK('Data Entry'!$ą$102), "", 'Data Entry'!$ą$102)</f>
      </c>
      <c r="GP102">
        <f>IF(ISBLANK('Data Entry'!$Ć$102), "", 'Data Entry'!$Ć$102)</f>
      </c>
      <c r="GQ102">
        <f>IF(ISBLANK('Data Entry'!$ć$102), "", 'Data Entry'!$ć$102)</f>
      </c>
      <c r="GR102">
        <f>IF(ISBLANK('Data Entry'!$Ĉ$102), "", 'Data Entry'!$Ĉ$102)</f>
      </c>
      <c r="GS102">
        <f>IF(ISBLANK('Data Entry'!$ĉ$102), "", 'Data Entry'!$ĉ$102)</f>
      </c>
      <c r="GT102">
        <f>IF(ISBLANK('Data Entry'!$Ċ$102), "", 'Data Entry'!$Ċ$102)</f>
      </c>
      <c r="GU102">
        <f>IF(ISBLANK('Data Entry'!$ċ$102), "", 'Data Entry'!$ċ$102)</f>
      </c>
      <c r="GV102">
        <f>IF(ISBLANK('Data Entry'!$Č$102), "", 'Data Entry'!$Č$102)</f>
      </c>
      <c r="GW102">
        <f>IF(ISBLANK('Data Entry'!$č$102), "", 'Data Entry'!$č$102)</f>
      </c>
      <c r="GX102">
        <f>IF(ISBLANK('Data Entry'!$Ď$102), "", 'Data Entry'!$Ď$102)</f>
      </c>
      <c r="GY102">
        <f>IF(ISBLANK('Data Entry'!$ď$102), "", 'Data Entry'!$ď$102)</f>
      </c>
      <c r="GZ102">
        <f>IF(ISBLANK('Data Entry'!$Đ$102), "", 'Data Entry'!$Đ$102)</f>
      </c>
      <c r="HA102">
        <f>IF(ISBLANK('Data Entry'!$đ$102), "", 'Data Entry'!$đ$102)</f>
      </c>
      <c r="HB102">
        <f>IF(ISBLANK('Data Entry'!$Ē$102), "", 'Data Entry'!$Ē$102)</f>
      </c>
      <c r="HC102">
        <f>IF(ISBLANK('Data Entry'!$ē$102), "", 'Data Entry'!$ē$102)</f>
      </c>
      <c r="HD102">
        <f>IF(ISBLANK('Data Entry'!$Ĕ$102), "", 'Data Entry'!$Ĕ$102)</f>
      </c>
      <c r="HE102">
        <f>IF(ISBLANK('Data Entry'!$ĕ$102), "", 'Data Entry'!$ĕ$102)</f>
      </c>
      <c r="HF102">
        <f>IF(ISBLANK('Data Entry'!$Ė$102), "", 'Data Entry'!$Ė$102)</f>
      </c>
      <c r="HG102">
        <f>IF(ISBLANK('Data Entry'!$ė$102), "", 'Data Entry'!$ė$102)</f>
      </c>
      <c r="HH102">
        <f>IF(ISBLANK('Data Entry'!$Ę$102), "", 'Data Entry'!$Ę$102)</f>
      </c>
      <c r="HI102">
        <f>IF(ISBLANK('Data Entry'!$ę$102), "", 'Data Entry'!$ę$102)</f>
      </c>
      <c r="HJ102">
        <f>IF(ISBLANK('Data Entry'!$Ě$102), "", 'Data Entry'!$Ě$102)</f>
      </c>
      <c r="HK102">
        <f>IF(ISBLANK('Data Entry'!$ě$102), "", 'Data Entry'!$ě$102)</f>
      </c>
      <c r="HL102">
        <f>IF(ISBLANK('Data Entry'!$Ĝ$102), "", 'Data Entry'!$Ĝ$102)</f>
      </c>
      <c r="HM102">
        <f>IF(ISBLANK('Data Entry'!$ĝ$102), "", 'Data Entry'!$ĝ$102)</f>
      </c>
      <c r="HN102">
        <f>IF(ISBLANK('Data Entry'!$Ğ$102), "", 'Data Entry'!$Ğ$102)</f>
      </c>
      <c r="HO102">
        <f>IF(ISBLANK('Data Entry'!$ğ$102), "", 'Data Entry'!$ğ$102)</f>
      </c>
      <c r="HP102">
        <f>IF(ISBLANK('Data Entry'!$Ġ$102), "", 'Data Entry'!$Ġ$102)</f>
      </c>
      <c r="HQ102">
        <f>IF(ISBLANK('Data Entry'!$ġ$102), "", 'Data Entry'!$ġ$102)</f>
      </c>
      <c r="HR102">
        <f>IF(ISBLANK('Data Entry'!$Ģ$102), "", 'Data Entry'!$Ģ$102)</f>
      </c>
      <c r="HS102">
        <f>IF(ISBLANK('Data Entry'!$ģ$102), "", 'Data Entry'!$ģ$102)</f>
      </c>
      <c r="HT102">
        <f>IF(ISBLANK('Data Entry'!$Ĥ$102), "", 'Data Entry'!$Ĥ$102)</f>
      </c>
      <c r="HU102">
        <f>IF(ISBLANK('Data Entry'!$ĥ$102), "", 'Data Entry'!$ĥ$102)</f>
      </c>
      <c r="HV102">
        <f>IF(ISBLANK('Data Entry'!$Ħ$102), "", 'Data Entry'!$Ħ$102)</f>
      </c>
      <c r="HW102">
        <f>IF(ISBLANK('Data Entry'!$ħ$102), "", 'Data Entry'!$ħ$102)</f>
      </c>
      <c r="HX102">
        <f>IF(ISBLANK('Data Entry'!$Ĩ$102), "", 'Data Entry'!$Ĩ$102)</f>
      </c>
      <c r="HY102">
        <f>IF(ISBLANK('Data Entry'!$ĩ$102), "", 'Data Entry'!$ĩ$102)</f>
      </c>
      <c r="HZ102">
        <f>IF(ISBLANK('Data Entry'!$Ī$102), "", 'Data Entry'!$Ī$102)</f>
      </c>
      <c r="IA102">
        <f>IF(ISBLANK('Data Entry'!$ī$102), "", 'Data Entry'!$ī$102)</f>
      </c>
      <c r="IB102">
        <f>IF(ISBLANK('Data Entry'!$Ĭ$102), "", 'Data Entry'!$Ĭ$102)</f>
      </c>
      <c r="IC102">
        <f>IF(ISBLANK('Data Entry'!$ĭ$102), "", 'Data Entry'!$ĭ$102)</f>
      </c>
      <c r="ID102">
        <f>IF(ISBLANK('Data Entry'!$Į$102), "", 'Data Entry'!$Į$102)</f>
      </c>
      <c r="IE102">
        <f>IF(ISBLANK('Data Entry'!$į$102), "", 'Data Entry'!$į$102)</f>
      </c>
      <c r="IF102">
        <f>IF(ISBLANK('Data Entry'!$İ$102), "", 'Data Entry'!$İ$102)</f>
      </c>
      <c r="IG102">
        <f>IF(ISBLANK('Data Entry'!$ı$102), "", 'Data Entry'!$ı$102)</f>
      </c>
      <c r="IH102">
        <f>IF(ISBLANK('Data Entry'!$Ĳ$102), "", 'Data Entry'!$Ĳ$102)</f>
      </c>
      <c r="II102">
        <f>IF(ISBLANK('Data Entry'!$ĳ$102), "", 'Data Entry'!$ĳ$102)</f>
      </c>
      <c r="IJ102">
        <f>IF(ISBLANK('Data Entry'!$Ĵ$102), "", 'Data Entry'!$Ĵ$102)</f>
      </c>
      <c r="IK102">
        <f>IF(ISBLANK('Data Entry'!$ĵ$102), "", 'Data Entry'!$ĵ$102)</f>
      </c>
      <c r="IL102">
        <f>IF(ISBLANK('Data Entry'!$Ķ$102), "", 'Data Entry'!$Ķ$102)</f>
      </c>
      <c r="IM102">
        <f>IF(ISBLANK('Data Entry'!$ķ$102), "", 'Data Entry'!$ķ$102)</f>
      </c>
      <c r="IN102">
        <f>IF(ISBLANK('Data Entry'!$ĸ$102), "", 'Data Entry'!$ĸ$102)</f>
      </c>
      <c r="IO102">
        <f>IF(ISBLANK('Data Entry'!$Ĺ$102), "", 'Data Entry'!$Ĺ$102)</f>
      </c>
      <c r="IP102">
        <f>IF(ISBLANK('Data Entry'!$ĺ$102), "", 'Data Entry'!$ĺ$102)</f>
      </c>
      <c r="IQ102">
        <f>IF(ISBLANK('Data Entry'!$Ļ$102), "", 'Data Entry'!$Ļ$102)</f>
      </c>
      <c r="IR102">
        <f>IF(ISBLANK('Data Entry'!$ļ$102), "", 'Data Entry'!$ļ$102)</f>
      </c>
      <c r="IS102">
        <f>IF(ISBLANK('Data Entry'!$Ľ$102), "", 'Data Entry'!$Ľ$102)</f>
      </c>
      <c r="IT102">
        <f>IF(ISBLANK('Data Entry'!$ľ$102), "", 'Data Entry'!$ľ$102)</f>
      </c>
    </row>
    <row r="103" spans="1:254" x14ac:dyDescent="0.25">
      <c r="A103">
        <f>IF(ISBLANK('Data Entry'!$A$103), "", 'Data Entry'!$A$103)</f>
      </c>
      <c r="B103">
        <f>IF(ISBLANK('Data Entry'!$B$103), "", 'Data Entry'!$B$103)</f>
      </c>
      <c r="C103">
        <f>IF(ISBLANK('Data Entry'!$C$103), "", 'Data Entry'!$C$103)</f>
      </c>
      <c r="D103">
        <f>IF(ISBLANK('Data Entry'!$D$103), "", 'Data Entry'!$D$103)</f>
      </c>
      <c r="E103">
        <f>IF(ISBLANK('Data Entry'!$E$103), "", 'Data Entry'!$E$103)</f>
      </c>
      <c r="F103">
        <f>IF(ISBLANK('Data Entry'!$F$103), "", 'Data Entry'!$F$103)</f>
      </c>
      <c r="G103">
        <f>IF(ISBLANK('Data Entry'!$G$103), "", 'Data Entry'!$G$103)</f>
      </c>
      <c r="H103">
        <f>IF(ISBLANK('Data Entry'!$H$103), "", 'Data Entry'!$H$103)</f>
      </c>
      <c r="I103">
        <f>IF(ISBLANK('Data Entry'!$I$103), "", 'Data Entry'!$I$103)</f>
      </c>
      <c r="J103">
        <f>IF(ISBLANK('Data Entry'!$J$103), "", 'Data Entry'!$J$103)</f>
      </c>
      <c r="K103">
        <f>IF(ISBLANK('Data Entry'!$K$103), "", 'Data Entry'!$K$103)</f>
      </c>
      <c r="L103">
        <f>IF(ISBLANK('Data Entry'!$L$103), "", 'Data Entry'!$L$103)</f>
      </c>
      <c r="M103">
        <f>IF(ISBLANK('Data Entry'!$M$103), "", 'Data Entry'!$M$103)</f>
      </c>
      <c r="N103">
        <f>IF(ISBLANK('Data Entry'!$N$103), "", 'Data Entry'!$N$103)</f>
      </c>
      <c r="O103">
        <f>IF(ISBLANK('Data Entry'!$O$103), "", 'Data Entry'!$O$103)</f>
      </c>
      <c r="P103">
        <f>IF(ISBLANK('Data Entry'!$P$103), "", 'Data Entry'!$P$103)</f>
      </c>
      <c r="Q103">
        <f>IF(ISBLANK('Data Entry'!$Q$103), "", 'Data Entry'!$Q$103)</f>
      </c>
      <c r="R103">
        <f>IF(ISBLANK('Data Entry'!$R$103), "", 'Data Entry'!$R$103)</f>
      </c>
      <c r="S103">
        <f>IF(ISBLANK('Data Entry'!$S$103), "", 'Data Entry'!$S$103)</f>
      </c>
      <c r="T103">
        <f>IF(ISBLANK('Data Entry'!$T$103), "", 'Data Entry'!$T$103)</f>
      </c>
      <c r="U103">
        <f>IF(ISBLANK('Data Entry'!$U$103), "", 'Data Entry'!$U$103)</f>
      </c>
      <c r="V103">
        <f>IF(ISBLANK('Data Entry'!$V$103), "", 'Data Entry'!$V$103)</f>
      </c>
      <c r="W103">
        <f>IF(ISBLANK('Data Entry'!$W$103), "", 'Data Entry'!$W$103)</f>
      </c>
      <c r="X103">
        <f>IF(ISBLANK('Data Entry'!$X$103), "", 'Data Entry'!$X$103)</f>
      </c>
      <c r="Y103">
        <f>IF(ISBLANK('Data Entry'!$Y$103), "", 'Data Entry'!$Y$103)</f>
      </c>
      <c r="Z103">
        <f>IF(ISBLANK('Data Entry'!$Z$103), "", 'Data Entry'!$Z$103)</f>
      </c>
      <c r="AA103">
        <f>IF(ISBLANK('Data Entry'!$[$103), "", 'Data Entry'!$[$103)</f>
      </c>
      <c r="AB103">
        <f>IF(ISBLANK('Data Entry'!$\$103), "", 'Data Entry'!$\$103)</f>
      </c>
      <c r="AC103">
        <f>IF(ISBLANK('Data Entry'!$]$103), "", 'Data Entry'!$]$103)</f>
      </c>
      <c r="AD103">
        <f>IF(ISBLANK('Data Entry'!$^$103), "", 'Data Entry'!$^$103)</f>
      </c>
      <c r="AE103">
        <f>IF(ISBLANK('Data Entry'!$_$103), "", 'Data Entry'!$_$103)</f>
      </c>
      <c r="AF103">
        <f>IF(ISBLANK('Data Entry'!$`$103), "", 'Data Entry'!$`$103)</f>
      </c>
      <c r="AG103">
        <f>IF(ISBLANK('Data Entry'!$a$103), "", 'Data Entry'!$a$103)</f>
      </c>
      <c r="AH103">
        <f>IF(ISBLANK('Data Entry'!$b$103), "", 'Data Entry'!$b$103)</f>
      </c>
      <c r="AI103">
        <f>IF(ISBLANK('Data Entry'!$c$103), "", 'Data Entry'!$c$103)</f>
      </c>
      <c r="AJ103">
        <f>IF(ISBLANK('Data Entry'!$d$103), "", 'Data Entry'!$d$103)</f>
      </c>
      <c r="AK103">
        <f>IF(ISBLANK('Data Entry'!$e$103), "", 'Data Entry'!$e$103)</f>
      </c>
      <c r="AL103">
        <f>IF(ISBLANK('Data Entry'!$f$103), "", 'Data Entry'!$f$103)</f>
      </c>
      <c r="AM103">
        <f>IF(ISBLANK('Data Entry'!$g$103), "", 'Data Entry'!$g$103)</f>
      </c>
      <c r="AN103">
        <f>IF(ISBLANK('Data Entry'!$h$103), "", 'Data Entry'!$h$103)</f>
      </c>
      <c r="AO103">
        <f>IF(ISBLANK('Data Entry'!$i$103), "", 'Data Entry'!$i$103)</f>
      </c>
      <c r="AP103">
        <f>IF(ISBLANK('Data Entry'!$j$103), "", 'Data Entry'!$j$103)</f>
      </c>
      <c r="AQ103">
        <f>IF(ISBLANK('Data Entry'!$k$103), "", 'Data Entry'!$k$103)</f>
      </c>
      <c r="AR103">
        <f>IF(ISBLANK('Data Entry'!$l$103), "", 'Data Entry'!$l$103)</f>
      </c>
      <c r="AS103">
        <f>IF(ISBLANK('Data Entry'!$m$103), "", 'Data Entry'!$m$103)</f>
      </c>
      <c r="AT103">
        <f>IF(ISBLANK('Data Entry'!$n$103), "", 'Data Entry'!$n$103)</f>
      </c>
      <c r="AU103">
        <f>IF(ISBLANK('Data Entry'!$o$103), "", 'Data Entry'!$o$103)</f>
      </c>
      <c r="AV103">
        <f>IF(ISBLANK('Data Entry'!$p$103), "", 'Data Entry'!$p$103)</f>
      </c>
      <c r="AW103">
        <f>IF(ISBLANK('Data Entry'!$q$103), "", 'Data Entry'!$q$103)</f>
      </c>
      <c r="AX103">
        <f>IF(ISBLANK('Data Entry'!$r$103), "", 'Data Entry'!$r$103)</f>
      </c>
      <c r="AY103">
        <f>IF(ISBLANK('Data Entry'!$s$103), "", 'Data Entry'!$s$103)</f>
      </c>
      <c r="AZ103">
        <f>IF(ISBLANK('Data Entry'!$t$103), "", 'Data Entry'!$t$103)</f>
      </c>
      <c r="BA103">
        <f>IF(ISBLANK('Data Entry'!$u$103), "", 'Data Entry'!$u$103)</f>
      </c>
      <c r="BB103">
        <f>IF(ISBLANK('Data Entry'!$v$103), "", 'Data Entry'!$v$103)</f>
      </c>
      <c r="BC103">
        <f>IF(ISBLANK('Data Entry'!$w$103), "", 'Data Entry'!$w$103)</f>
      </c>
      <c r="BD103">
        <f>IF(ISBLANK('Data Entry'!$x$103), "", 'Data Entry'!$x$103)</f>
      </c>
      <c r="BE103">
        <f>IF(ISBLANK('Data Entry'!$y$103), "", 'Data Entry'!$y$103)</f>
      </c>
      <c r="BF103">
        <f>IF(ISBLANK('Data Entry'!$z$103), "", 'Data Entry'!$z$103)</f>
      </c>
      <c r="BG103">
        <f>IF(ISBLANK('Data Entry'!${$103), "", 'Data Entry'!${$103)</f>
      </c>
      <c r="BH103">
        <f>IF(ISBLANK('Data Entry'!$|$103), "", 'Data Entry'!$|$103)</f>
      </c>
      <c r="BI103">
        <f>IF(ISBLANK('Data Entry'!$}$103), "", 'Data Entry'!$}$103)</f>
      </c>
      <c r="BJ103">
        <f>IF(ISBLANK('Data Entry'!$~$103), "", 'Data Entry'!$~$103)</f>
      </c>
      <c r="BK103">
        <f>IF(ISBLANK('Data Entry'!$$103), "", 'Data Entry'!$$103)</f>
      </c>
      <c r="BL103">
        <f>IF(ISBLANK('Data Entry'!$$103), "", 'Data Entry'!$$103)</f>
      </c>
      <c r="BM103">
        <f>IF(ISBLANK('Data Entry'!$$103), "", 'Data Entry'!$$103)</f>
      </c>
      <c r="BN103">
        <f>IF(ISBLANK('Data Entry'!$$103), "", 'Data Entry'!$$103)</f>
      </c>
      <c r="BO103">
        <f>IF(ISBLANK('Data Entry'!$$103), "", 'Data Entry'!$$103)</f>
      </c>
      <c r="BP103">
        <f>IF(ISBLANK('Data Entry'!$$103), "", 'Data Entry'!$$103)</f>
      </c>
      <c r="BQ103">
        <f>IF(ISBLANK('Data Entry'!$$103), "", 'Data Entry'!$$103)</f>
      </c>
      <c r="BR103">
        <f>IF(ISBLANK('Data Entry'!$$103), "", 'Data Entry'!$$103)</f>
      </c>
      <c r="BS103">
        <f>IF(ISBLANK('Data Entry'!$$103), "", 'Data Entry'!$$103)</f>
      </c>
      <c r="BT103">
        <f>IF(ISBLANK('Data Entry'!$$103), "", 'Data Entry'!$$103)</f>
      </c>
      <c r="BU103">
        <f>IF(ISBLANK('Data Entry'!$$103), "", 'Data Entry'!$$103)</f>
      </c>
      <c r="BV103">
        <f>IF(ISBLANK('Data Entry'!$$103), "", 'Data Entry'!$$103)</f>
      </c>
      <c r="BW103">
        <f>IF(ISBLANK('Data Entry'!$$103), "", 'Data Entry'!$$103)</f>
      </c>
      <c r="BX103">
        <f>IF(ISBLANK('Data Entry'!$$103), "", 'Data Entry'!$$103)</f>
      </c>
      <c r="BY103">
        <f>IF(ISBLANK('Data Entry'!$$103), "", 'Data Entry'!$$103)</f>
      </c>
      <c r="BZ103">
        <f>IF(ISBLANK('Data Entry'!$$103), "", 'Data Entry'!$$103)</f>
      </c>
      <c r="CA103">
        <f>IF(ISBLANK('Data Entry'!$$103), "", 'Data Entry'!$$103)</f>
      </c>
      <c r="CB103">
        <f>IF(ISBLANK('Data Entry'!$$103), "", 'Data Entry'!$$103)</f>
      </c>
      <c r="CC103">
        <f>IF(ISBLANK('Data Entry'!$$103), "", 'Data Entry'!$$103)</f>
      </c>
      <c r="CD103">
        <f>IF(ISBLANK('Data Entry'!$$103), "", 'Data Entry'!$$103)</f>
      </c>
      <c r="CE103">
        <f>IF(ISBLANK('Data Entry'!$$103), "", 'Data Entry'!$$103)</f>
      </c>
      <c r="CF103">
        <f>IF(ISBLANK('Data Entry'!$$103), "", 'Data Entry'!$$103)</f>
      </c>
      <c r="CG103">
        <f>IF(ISBLANK('Data Entry'!$$103), "", 'Data Entry'!$$103)</f>
      </c>
      <c r="CH103">
        <f>IF(ISBLANK('Data Entry'!$$103), "", 'Data Entry'!$$103)</f>
      </c>
      <c r="CI103">
        <f>IF(ISBLANK('Data Entry'!$$103), "", 'Data Entry'!$$103)</f>
      </c>
      <c r="CJ103">
        <f>IF(ISBLANK('Data Entry'!$$103), "", 'Data Entry'!$$103)</f>
      </c>
      <c r="CK103">
        <f>IF(ISBLANK('Data Entry'!$$103), "", 'Data Entry'!$$103)</f>
      </c>
      <c r="CL103">
        <f>IF(ISBLANK('Data Entry'!$$103), "", 'Data Entry'!$$103)</f>
      </c>
      <c r="CM103">
        <f>IF(ISBLANK('Data Entry'!$$103), "", 'Data Entry'!$$103)</f>
      </c>
      <c r="CN103">
        <f>IF(ISBLANK('Data Entry'!$$103), "", 'Data Entry'!$$103)</f>
      </c>
      <c r="CO103">
        <f>IF(ISBLANK('Data Entry'!$$103), "", 'Data Entry'!$$103)</f>
      </c>
      <c r="CP103">
        <f>IF(ISBLANK('Data Entry'!$$103), "", 'Data Entry'!$$103)</f>
      </c>
      <c r="CQ103">
        <f>IF(ISBLANK('Data Entry'!$$103), "", 'Data Entry'!$$103)</f>
      </c>
      <c r="CR103">
        <f>IF(ISBLANK('Data Entry'!$ $103), "", 'Data Entry'!$ $103)</f>
      </c>
      <c r="CS103">
        <f>IF(ISBLANK('Data Entry'!$¡$103), "", 'Data Entry'!$¡$103)</f>
      </c>
      <c r="CT103">
        <f>IF(ISBLANK('Data Entry'!$¢$103), "", 'Data Entry'!$¢$103)</f>
      </c>
      <c r="CU103">
        <f>IF(ISBLANK('Data Entry'!$£$103), "", 'Data Entry'!$£$103)</f>
      </c>
      <c r="CV103">
        <f>IF(ISBLANK('Data Entry'!$¤$103), "", 'Data Entry'!$¤$103)</f>
      </c>
      <c r="CW103">
        <f>IF(ISBLANK('Data Entry'!$¥$103), "", 'Data Entry'!$¥$103)</f>
      </c>
      <c r="CX103">
        <f>IF(ISBLANK('Data Entry'!$¦$103), "", 'Data Entry'!$¦$103)</f>
      </c>
      <c r="CY103">
        <f>IF(ISBLANK('Data Entry'!$§$103), "", 'Data Entry'!$§$103)</f>
      </c>
      <c r="CZ103">
        <f>IF(ISBLANK('Data Entry'!$¨$103), "", 'Data Entry'!$¨$103)</f>
      </c>
      <c r="DA103">
        <f>IF(ISBLANK('Data Entry'!$©$103), "", 'Data Entry'!$©$103)</f>
      </c>
      <c r="DB103">
        <f>IF(ISBLANK('Data Entry'!$ª$103), "", 'Data Entry'!$ª$103)</f>
      </c>
      <c r="DC103">
        <f>IF(ISBLANK('Data Entry'!$«$103), "", 'Data Entry'!$«$103)</f>
      </c>
      <c r="DD103">
        <f>IF(ISBLANK('Data Entry'!$¬$103), "", 'Data Entry'!$¬$103)</f>
      </c>
      <c r="DE103">
        <f>IF(ISBLANK('Data Entry'!$­$103), "", 'Data Entry'!$­$103)</f>
      </c>
      <c r="DF103">
        <f>IF(ISBLANK('Data Entry'!$®$103), "", 'Data Entry'!$®$103)</f>
      </c>
      <c r="DG103">
        <f>IF(ISBLANK('Data Entry'!$¯$103), "", 'Data Entry'!$¯$103)</f>
      </c>
      <c r="DH103">
        <f>IF(ISBLANK('Data Entry'!$°$103), "", 'Data Entry'!$°$103)</f>
      </c>
      <c r="DI103">
        <f>IF(ISBLANK('Data Entry'!$±$103), "", 'Data Entry'!$±$103)</f>
      </c>
      <c r="DJ103">
        <f>IF(ISBLANK('Data Entry'!$²$103), "", 'Data Entry'!$²$103)</f>
      </c>
      <c r="DK103">
        <f>IF(ISBLANK('Data Entry'!$³$103), "", 'Data Entry'!$³$103)</f>
      </c>
      <c r="DL103">
        <f>IF(ISBLANK('Data Entry'!$´$103), "", 'Data Entry'!$´$103)</f>
      </c>
      <c r="DM103">
        <f>IF(ISBLANK('Data Entry'!$µ$103), "", 'Data Entry'!$µ$103)</f>
      </c>
      <c r="DN103">
        <f>IF(ISBLANK('Data Entry'!$¶$103), "", 'Data Entry'!$¶$103)</f>
      </c>
      <c r="DO103">
        <f>IF(ISBLANK('Data Entry'!$·$103), "", 'Data Entry'!$·$103)</f>
      </c>
      <c r="DP103">
        <f>IF(ISBLANK('Data Entry'!$¸$103), "", 'Data Entry'!$¸$103)</f>
      </c>
      <c r="DQ103">
        <f>IF(ISBLANK('Data Entry'!$¹$103), "", 'Data Entry'!$¹$103)</f>
      </c>
      <c r="DR103">
        <f>IF(ISBLANK('Data Entry'!$º$103), "", 'Data Entry'!$º$103)</f>
      </c>
      <c r="DS103">
        <f>IF(ISBLANK('Data Entry'!$»$103), "", 'Data Entry'!$»$103)</f>
      </c>
      <c r="DT103">
        <f>IF(ISBLANK('Data Entry'!$¼$103), "", 'Data Entry'!$¼$103)</f>
      </c>
      <c r="DU103">
        <f>IF(ISBLANK('Data Entry'!$½$103), "", 'Data Entry'!$½$103)</f>
      </c>
      <c r="DV103">
        <f>IF(ISBLANK('Data Entry'!$¾$103), "", 'Data Entry'!$¾$103)</f>
      </c>
      <c r="DW103">
        <f>IF(ISBLANK('Data Entry'!$¿$103), "", 'Data Entry'!$¿$103)</f>
      </c>
      <c r="DX103">
        <f>IF(ISBLANK('Data Entry'!$À$103), "", 'Data Entry'!$À$103)</f>
      </c>
      <c r="DY103">
        <f>IF(ISBLANK('Data Entry'!$Á$103), "", 'Data Entry'!$Á$103)</f>
      </c>
      <c r="DZ103">
        <f>IF(ISBLANK('Data Entry'!$Â$103), "", 'Data Entry'!$Â$103)</f>
      </c>
      <c r="EA103">
        <f>IF(ISBLANK('Data Entry'!$Ã$103), "", 'Data Entry'!$Ã$103)</f>
      </c>
      <c r="EB103">
        <f>IF(ISBLANK('Data Entry'!$Ä$103), "", 'Data Entry'!$Ä$103)</f>
      </c>
      <c r="EC103">
        <f>IF(ISBLANK('Data Entry'!$Å$103), "", 'Data Entry'!$Å$103)</f>
      </c>
      <c r="ED103">
        <f>IF(ISBLANK('Data Entry'!$Æ$103), "", 'Data Entry'!$Æ$103)</f>
      </c>
      <c r="EE103">
        <f>IF(ISBLANK('Data Entry'!$Ç$103), "", 'Data Entry'!$Ç$103)</f>
      </c>
      <c r="EF103">
        <f>IF(ISBLANK('Data Entry'!$È$103), "", 'Data Entry'!$È$103)</f>
      </c>
      <c r="EG103">
        <f>IF(ISBLANK('Data Entry'!$É$103), "", 'Data Entry'!$É$103)</f>
      </c>
      <c r="EH103">
        <f>IF(ISBLANK('Data Entry'!$Ê$103), "", 'Data Entry'!$Ê$103)</f>
      </c>
      <c r="EI103">
        <f>IF(ISBLANK('Data Entry'!$Ë$103), "", 'Data Entry'!$Ë$103)</f>
      </c>
      <c r="EJ103">
        <f>IF(ISBLANK('Data Entry'!$Ì$103), "", 'Data Entry'!$Ì$103)</f>
      </c>
      <c r="EK103">
        <f>IF(ISBLANK('Data Entry'!$Í$103), "", 'Data Entry'!$Í$103)</f>
      </c>
      <c r="EL103">
        <f>IF(ISBLANK('Data Entry'!$Î$103), "", 'Data Entry'!$Î$103)</f>
      </c>
      <c r="EM103">
        <f>IF(ISBLANK('Data Entry'!$Ï$103), "", 'Data Entry'!$Ï$103)</f>
      </c>
      <c r="EN103">
        <f>IF(ISBLANK('Data Entry'!$Ð$103), "", 'Data Entry'!$Ð$103)</f>
      </c>
      <c r="EO103">
        <f>IF(ISBLANK('Data Entry'!$Ñ$103), "", 'Data Entry'!$Ñ$103)</f>
      </c>
      <c r="EP103">
        <f>IF(ISBLANK('Data Entry'!$Ò$103), "", 'Data Entry'!$Ò$103)</f>
      </c>
      <c r="EQ103">
        <f>IF(ISBLANK('Data Entry'!$Ó$103), "", 'Data Entry'!$Ó$103)</f>
      </c>
      <c r="ER103">
        <f>IF(ISBLANK('Data Entry'!$Ô$103), "", 'Data Entry'!$Ô$103)</f>
      </c>
      <c r="ES103">
        <f>IF(ISBLANK('Data Entry'!$Õ$103), "", 'Data Entry'!$Õ$103)</f>
      </c>
      <c r="ET103">
        <f>IF(ISBLANK('Data Entry'!$Ö$103), "", 'Data Entry'!$Ö$103)</f>
      </c>
      <c r="EU103">
        <f>IF(ISBLANK('Data Entry'!$×$103), "", 'Data Entry'!$×$103)</f>
      </c>
      <c r="EV103">
        <f>IF(ISBLANK('Data Entry'!$Ø$103), "", 'Data Entry'!$Ø$103)</f>
      </c>
      <c r="EW103">
        <f>IF(ISBLANK('Data Entry'!$Ù$103), "", 'Data Entry'!$Ù$103)</f>
      </c>
      <c r="EX103">
        <f>IF(ISBLANK('Data Entry'!$Ú$103), "", 'Data Entry'!$Ú$103)</f>
      </c>
      <c r="EY103">
        <f>IF(ISBLANK('Data Entry'!$Û$103), "", 'Data Entry'!$Û$103)</f>
      </c>
      <c r="EZ103">
        <f>IF(ISBLANK('Data Entry'!$Ü$103), "", 'Data Entry'!$Ü$103)</f>
      </c>
      <c r="FA103">
        <f>IF(ISBLANK('Data Entry'!$Ý$103), "", 'Data Entry'!$Ý$103)</f>
      </c>
      <c r="FB103">
        <f>IF(ISBLANK('Data Entry'!$Þ$103), "", 'Data Entry'!$Þ$103)</f>
      </c>
      <c r="FC103">
        <f>IF(ISBLANK('Data Entry'!$ß$103), "", 'Data Entry'!$ß$103)</f>
      </c>
      <c r="FD103">
        <f>IF(ISBLANK('Data Entry'!$à$103), "", 'Data Entry'!$à$103)</f>
      </c>
      <c r="FE103">
        <f>IF(ISBLANK('Data Entry'!$á$103), "", 'Data Entry'!$á$103)</f>
      </c>
      <c r="FF103">
        <f>IF(ISBLANK('Data Entry'!$â$103), "", 'Data Entry'!$â$103)</f>
      </c>
      <c r="FG103">
        <f>IF(ISBLANK('Data Entry'!$ã$103), "", 'Data Entry'!$ã$103)</f>
      </c>
      <c r="FH103">
        <f>IF(ISBLANK('Data Entry'!$ä$103), "", 'Data Entry'!$ä$103)</f>
      </c>
      <c r="FI103">
        <f>IF(ISBLANK('Data Entry'!$å$103), "", 'Data Entry'!$å$103)</f>
      </c>
      <c r="FJ103">
        <f>IF(ISBLANK('Data Entry'!$æ$103), "", 'Data Entry'!$æ$103)</f>
      </c>
      <c r="FK103">
        <f>IF(ISBLANK('Data Entry'!$ç$103), "", 'Data Entry'!$ç$103)</f>
      </c>
      <c r="FL103">
        <f>IF(ISBLANK('Data Entry'!$è$103), "", 'Data Entry'!$è$103)</f>
      </c>
      <c r="FM103">
        <f>IF(ISBLANK('Data Entry'!$é$103), "", 'Data Entry'!$é$103)</f>
      </c>
      <c r="FN103">
        <f>IF(ISBLANK('Data Entry'!$ê$103), "", 'Data Entry'!$ê$103)</f>
      </c>
      <c r="FO103">
        <f>IF(ISBLANK('Data Entry'!$ë$103), "", 'Data Entry'!$ë$103)</f>
      </c>
      <c r="FP103">
        <f>IF(ISBLANK('Data Entry'!$ì$103), "", 'Data Entry'!$ì$103)</f>
      </c>
      <c r="FQ103">
        <f>IF(ISBLANK('Data Entry'!$í$103), "", 'Data Entry'!$í$103)</f>
      </c>
      <c r="FR103">
        <f>IF(ISBLANK('Data Entry'!$î$103), "", 'Data Entry'!$î$103)</f>
      </c>
      <c r="FS103">
        <f>IF(ISBLANK('Data Entry'!$ï$103), "", 'Data Entry'!$ï$103)</f>
      </c>
      <c r="FT103">
        <f>IF(ISBLANK('Data Entry'!$ð$103), "", 'Data Entry'!$ð$103)</f>
      </c>
      <c r="FU103">
        <f>IF(ISBLANK('Data Entry'!$ñ$103), "", 'Data Entry'!$ñ$103)</f>
      </c>
      <c r="FV103">
        <f>IF(ISBLANK('Data Entry'!$ò$103), "", 'Data Entry'!$ò$103)</f>
      </c>
      <c r="FW103">
        <f>IF(ISBLANK('Data Entry'!$ó$103), "", 'Data Entry'!$ó$103)</f>
      </c>
      <c r="FX103">
        <f>IF(ISBLANK('Data Entry'!$ô$103), "", 'Data Entry'!$ô$103)</f>
      </c>
      <c r="FY103">
        <f>IF(ISBLANK('Data Entry'!$õ$103), "", 'Data Entry'!$õ$103)</f>
      </c>
      <c r="FZ103">
        <f>IF(ISBLANK('Data Entry'!$ö$103), "", 'Data Entry'!$ö$103)</f>
      </c>
      <c r="GA103">
        <f>IF(ISBLANK('Data Entry'!$÷$103), "", 'Data Entry'!$÷$103)</f>
      </c>
      <c r="GB103">
        <f>IF(ISBLANK('Data Entry'!$ø$103), "", 'Data Entry'!$ø$103)</f>
      </c>
      <c r="GC103">
        <f>IF(ISBLANK('Data Entry'!$ù$103), "", 'Data Entry'!$ù$103)</f>
      </c>
      <c r="GD103">
        <f>IF(ISBLANK('Data Entry'!$ú$103), "", 'Data Entry'!$ú$103)</f>
      </c>
      <c r="GE103">
        <f>IF(ISBLANK('Data Entry'!$û$103), "", 'Data Entry'!$û$103)</f>
      </c>
      <c r="GF103">
        <f>IF(ISBLANK('Data Entry'!$ü$103), "", 'Data Entry'!$ü$103)</f>
      </c>
      <c r="GG103">
        <f>IF(ISBLANK('Data Entry'!$ý$103), "", 'Data Entry'!$ý$103)</f>
      </c>
      <c r="GH103">
        <f>IF(ISBLANK('Data Entry'!$þ$103), "", 'Data Entry'!$þ$103)</f>
      </c>
      <c r="GI103">
        <f>IF(ISBLANK('Data Entry'!$ÿ$103), "", 'Data Entry'!$ÿ$103)</f>
      </c>
      <c r="GJ103">
        <f>IF(ISBLANK('Data Entry'!$Ā$103), "", 'Data Entry'!$Ā$103)</f>
      </c>
      <c r="GK103">
        <f>IF(ISBLANK('Data Entry'!$ā$103), "", 'Data Entry'!$ā$103)</f>
      </c>
      <c r="GL103">
        <f>IF(ISBLANK('Data Entry'!$Ă$103), "", 'Data Entry'!$Ă$103)</f>
      </c>
      <c r="GM103">
        <f>IF(ISBLANK('Data Entry'!$ă$103), "", 'Data Entry'!$ă$103)</f>
      </c>
      <c r="GN103">
        <f>IF(ISBLANK('Data Entry'!$Ą$103), "", 'Data Entry'!$Ą$103)</f>
      </c>
      <c r="GO103">
        <f>IF(ISBLANK('Data Entry'!$ą$103), "", 'Data Entry'!$ą$103)</f>
      </c>
      <c r="GP103">
        <f>IF(ISBLANK('Data Entry'!$Ć$103), "", 'Data Entry'!$Ć$103)</f>
      </c>
      <c r="GQ103">
        <f>IF(ISBLANK('Data Entry'!$ć$103), "", 'Data Entry'!$ć$103)</f>
      </c>
      <c r="GR103">
        <f>IF(ISBLANK('Data Entry'!$Ĉ$103), "", 'Data Entry'!$Ĉ$103)</f>
      </c>
      <c r="GS103">
        <f>IF(ISBLANK('Data Entry'!$ĉ$103), "", 'Data Entry'!$ĉ$103)</f>
      </c>
      <c r="GT103">
        <f>IF(ISBLANK('Data Entry'!$Ċ$103), "", 'Data Entry'!$Ċ$103)</f>
      </c>
      <c r="GU103">
        <f>IF(ISBLANK('Data Entry'!$ċ$103), "", 'Data Entry'!$ċ$103)</f>
      </c>
      <c r="GV103">
        <f>IF(ISBLANK('Data Entry'!$Č$103), "", 'Data Entry'!$Č$103)</f>
      </c>
      <c r="GW103">
        <f>IF(ISBLANK('Data Entry'!$č$103), "", 'Data Entry'!$č$103)</f>
      </c>
      <c r="GX103">
        <f>IF(ISBLANK('Data Entry'!$Ď$103), "", 'Data Entry'!$Ď$103)</f>
      </c>
      <c r="GY103">
        <f>IF(ISBLANK('Data Entry'!$ď$103), "", 'Data Entry'!$ď$103)</f>
      </c>
      <c r="GZ103">
        <f>IF(ISBLANK('Data Entry'!$Đ$103), "", 'Data Entry'!$Đ$103)</f>
      </c>
      <c r="HA103">
        <f>IF(ISBLANK('Data Entry'!$đ$103), "", 'Data Entry'!$đ$103)</f>
      </c>
      <c r="HB103">
        <f>IF(ISBLANK('Data Entry'!$Ē$103), "", 'Data Entry'!$Ē$103)</f>
      </c>
      <c r="HC103">
        <f>IF(ISBLANK('Data Entry'!$ē$103), "", 'Data Entry'!$ē$103)</f>
      </c>
      <c r="HD103">
        <f>IF(ISBLANK('Data Entry'!$Ĕ$103), "", 'Data Entry'!$Ĕ$103)</f>
      </c>
      <c r="HE103">
        <f>IF(ISBLANK('Data Entry'!$ĕ$103), "", 'Data Entry'!$ĕ$103)</f>
      </c>
      <c r="HF103">
        <f>IF(ISBLANK('Data Entry'!$Ė$103), "", 'Data Entry'!$Ė$103)</f>
      </c>
      <c r="HG103">
        <f>IF(ISBLANK('Data Entry'!$ė$103), "", 'Data Entry'!$ė$103)</f>
      </c>
      <c r="HH103">
        <f>IF(ISBLANK('Data Entry'!$Ę$103), "", 'Data Entry'!$Ę$103)</f>
      </c>
      <c r="HI103">
        <f>IF(ISBLANK('Data Entry'!$ę$103), "", 'Data Entry'!$ę$103)</f>
      </c>
      <c r="HJ103">
        <f>IF(ISBLANK('Data Entry'!$Ě$103), "", 'Data Entry'!$Ě$103)</f>
      </c>
      <c r="HK103">
        <f>IF(ISBLANK('Data Entry'!$ě$103), "", 'Data Entry'!$ě$103)</f>
      </c>
      <c r="HL103">
        <f>IF(ISBLANK('Data Entry'!$Ĝ$103), "", 'Data Entry'!$Ĝ$103)</f>
      </c>
      <c r="HM103">
        <f>IF(ISBLANK('Data Entry'!$ĝ$103), "", 'Data Entry'!$ĝ$103)</f>
      </c>
      <c r="HN103">
        <f>IF(ISBLANK('Data Entry'!$Ğ$103), "", 'Data Entry'!$Ğ$103)</f>
      </c>
      <c r="HO103">
        <f>IF(ISBLANK('Data Entry'!$ğ$103), "", 'Data Entry'!$ğ$103)</f>
      </c>
      <c r="HP103">
        <f>IF(ISBLANK('Data Entry'!$Ġ$103), "", 'Data Entry'!$Ġ$103)</f>
      </c>
      <c r="HQ103">
        <f>IF(ISBLANK('Data Entry'!$ġ$103), "", 'Data Entry'!$ġ$103)</f>
      </c>
      <c r="HR103">
        <f>IF(ISBLANK('Data Entry'!$Ģ$103), "", 'Data Entry'!$Ģ$103)</f>
      </c>
      <c r="HS103">
        <f>IF(ISBLANK('Data Entry'!$ģ$103), "", 'Data Entry'!$ģ$103)</f>
      </c>
      <c r="HT103">
        <f>IF(ISBLANK('Data Entry'!$Ĥ$103), "", 'Data Entry'!$Ĥ$103)</f>
      </c>
      <c r="HU103">
        <f>IF(ISBLANK('Data Entry'!$ĥ$103), "", 'Data Entry'!$ĥ$103)</f>
      </c>
      <c r="HV103">
        <f>IF(ISBLANK('Data Entry'!$Ħ$103), "", 'Data Entry'!$Ħ$103)</f>
      </c>
      <c r="HW103">
        <f>IF(ISBLANK('Data Entry'!$ħ$103), "", 'Data Entry'!$ħ$103)</f>
      </c>
      <c r="HX103">
        <f>IF(ISBLANK('Data Entry'!$Ĩ$103), "", 'Data Entry'!$Ĩ$103)</f>
      </c>
      <c r="HY103">
        <f>IF(ISBLANK('Data Entry'!$ĩ$103), "", 'Data Entry'!$ĩ$103)</f>
      </c>
      <c r="HZ103">
        <f>IF(ISBLANK('Data Entry'!$Ī$103), "", 'Data Entry'!$Ī$103)</f>
      </c>
      <c r="IA103">
        <f>IF(ISBLANK('Data Entry'!$ī$103), "", 'Data Entry'!$ī$103)</f>
      </c>
      <c r="IB103">
        <f>IF(ISBLANK('Data Entry'!$Ĭ$103), "", 'Data Entry'!$Ĭ$103)</f>
      </c>
      <c r="IC103">
        <f>IF(ISBLANK('Data Entry'!$ĭ$103), "", 'Data Entry'!$ĭ$103)</f>
      </c>
      <c r="ID103">
        <f>IF(ISBLANK('Data Entry'!$Į$103), "", 'Data Entry'!$Į$103)</f>
      </c>
      <c r="IE103">
        <f>IF(ISBLANK('Data Entry'!$į$103), "", 'Data Entry'!$į$103)</f>
      </c>
      <c r="IF103">
        <f>IF(ISBLANK('Data Entry'!$İ$103), "", 'Data Entry'!$İ$103)</f>
      </c>
      <c r="IG103">
        <f>IF(ISBLANK('Data Entry'!$ı$103), "", 'Data Entry'!$ı$103)</f>
      </c>
      <c r="IH103">
        <f>IF(ISBLANK('Data Entry'!$Ĳ$103), "", 'Data Entry'!$Ĳ$103)</f>
      </c>
      <c r="II103">
        <f>IF(ISBLANK('Data Entry'!$ĳ$103), "", 'Data Entry'!$ĳ$103)</f>
      </c>
      <c r="IJ103">
        <f>IF(ISBLANK('Data Entry'!$Ĵ$103), "", 'Data Entry'!$Ĵ$103)</f>
      </c>
      <c r="IK103">
        <f>IF(ISBLANK('Data Entry'!$ĵ$103), "", 'Data Entry'!$ĵ$103)</f>
      </c>
      <c r="IL103">
        <f>IF(ISBLANK('Data Entry'!$Ķ$103), "", 'Data Entry'!$Ķ$103)</f>
      </c>
      <c r="IM103">
        <f>IF(ISBLANK('Data Entry'!$ķ$103), "", 'Data Entry'!$ķ$103)</f>
      </c>
      <c r="IN103">
        <f>IF(ISBLANK('Data Entry'!$ĸ$103), "", 'Data Entry'!$ĸ$103)</f>
      </c>
      <c r="IO103">
        <f>IF(ISBLANK('Data Entry'!$Ĺ$103), "", 'Data Entry'!$Ĺ$103)</f>
      </c>
      <c r="IP103">
        <f>IF(ISBLANK('Data Entry'!$ĺ$103), "", 'Data Entry'!$ĺ$103)</f>
      </c>
      <c r="IQ103">
        <f>IF(ISBLANK('Data Entry'!$Ļ$103), "", 'Data Entry'!$Ļ$103)</f>
      </c>
      <c r="IR103">
        <f>IF(ISBLANK('Data Entry'!$ļ$103), "", 'Data Entry'!$ļ$103)</f>
      </c>
      <c r="IS103">
        <f>IF(ISBLANK('Data Entry'!$Ľ$103), "", 'Data Entry'!$Ľ$103)</f>
      </c>
      <c r="IT103">
        <f>IF(ISBLANK('Data Entry'!$ľ$103), "", 'Data Entry'!$ľ$103)</f>
      </c>
    </row>
    <row r="104" spans="1:254" x14ac:dyDescent="0.25">
      <c r="A104">
        <f>IF(ISBLANK('Data Entry'!$A$104), "", 'Data Entry'!$A$104)</f>
      </c>
      <c r="B104">
        <f>IF(ISBLANK('Data Entry'!$B$104), "", 'Data Entry'!$B$104)</f>
      </c>
      <c r="C104">
        <f>IF(ISBLANK('Data Entry'!$C$104), "", 'Data Entry'!$C$104)</f>
      </c>
      <c r="D104">
        <f>IF(ISBLANK('Data Entry'!$D$104), "", 'Data Entry'!$D$104)</f>
      </c>
      <c r="E104">
        <f>IF(ISBLANK('Data Entry'!$E$104), "", 'Data Entry'!$E$104)</f>
      </c>
      <c r="F104">
        <f>IF(ISBLANK('Data Entry'!$F$104), "", 'Data Entry'!$F$104)</f>
      </c>
      <c r="G104">
        <f>IF(ISBLANK('Data Entry'!$G$104), "", 'Data Entry'!$G$104)</f>
      </c>
      <c r="H104">
        <f>IF(ISBLANK('Data Entry'!$H$104), "", 'Data Entry'!$H$104)</f>
      </c>
      <c r="I104">
        <f>IF(ISBLANK('Data Entry'!$I$104), "", 'Data Entry'!$I$104)</f>
      </c>
      <c r="J104">
        <f>IF(ISBLANK('Data Entry'!$J$104), "", 'Data Entry'!$J$104)</f>
      </c>
      <c r="K104">
        <f>IF(ISBLANK('Data Entry'!$K$104), "", 'Data Entry'!$K$104)</f>
      </c>
      <c r="L104">
        <f>IF(ISBLANK('Data Entry'!$L$104), "", 'Data Entry'!$L$104)</f>
      </c>
      <c r="M104">
        <f>IF(ISBLANK('Data Entry'!$M$104), "", 'Data Entry'!$M$104)</f>
      </c>
      <c r="N104">
        <f>IF(ISBLANK('Data Entry'!$N$104), "", 'Data Entry'!$N$104)</f>
      </c>
      <c r="O104">
        <f>IF(ISBLANK('Data Entry'!$O$104), "", 'Data Entry'!$O$104)</f>
      </c>
      <c r="P104">
        <f>IF(ISBLANK('Data Entry'!$P$104), "", 'Data Entry'!$P$104)</f>
      </c>
      <c r="Q104">
        <f>IF(ISBLANK('Data Entry'!$Q$104), "", 'Data Entry'!$Q$104)</f>
      </c>
      <c r="R104">
        <f>IF(ISBLANK('Data Entry'!$R$104), "", 'Data Entry'!$R$104)</f>
      </c>
      <c r="S104">
        <f>IF(ISBLANK('Data Entry'!$S$104), "", 'Data Entry'!$S$104)</f>
      </c>
      <c r="T104">
        <f>IF(ISBLANK('Data Entry'!$T$104), "", 'Data Entry'!$T$104)</f>
      </c>
      <c r="U104">
        <f>IF(ISBLANK('Data Entry'!$U$104), "", 'Data Entry'!$U$104)</f>
      </c>
      <c r="V104">
        <f>IF(ISBLANK('Data Entry'!$V$104), "", 'Data Entry'!$V$104)</f>
      </c>
      <c r="W104">
        <f>IF(ISBLANK('Data Entry'!$W$104), "", 'Data Entry'!$W$104)</f>
      </c>
      <c r="X104">
        <f>IF(ISBLANK('Data Entry'!$X$104), "", 'Data Entry'!$X$104)</f>
      </c>
      <c r="Y104">
        <f>IF(ISBLANK('Data Entry'!$Y$104), "", 'Data Entry'!$Y$104)</f>
      </c>
      <c r="Z104">
        <f>IF(ISBLANK('Data Entry'!$Z$104), "", 'Data Entry'!$Z$104)</f>
      </c>
      <c r="AA104">
        <f>IF(ISBLANK('Data Entry'!$[$104), "", 'Data Entry'!$[$104)</f>
      </c>
      <c r="AB104">
        <f>IF(ISBLANK('Data Entry'!$\$104), "", 'Data Entry'!$\$104)</f>
      </c>
      <c r="AC104">
        <f>IF(ISBLANK('Data Entry'!$]$104), "", 'Data Entry'!$]$104)</f>
      </c>
      <c r="AD104">
        <f>IF(ISBLANK('Data Entry'!$^$104), "", 'Data Entry'!$^$104)</f>
      </c>
      <c r="AE104">
        <f>IF(ISBLANK('Data Entry'!$_$104), "", 'Data Entry'!$_$104)</f>
      </c>
      <c r="AF104">
        <f>IF(ISBLANK('Data Entry'!$`$104), "", 'Data Entry'!$`$104)</f>
      </c>
      <c r="AG104">
        <f>IF(ISBLANK('Data Entry'!$a$104), "", 'Data Entry'!$a$104)</f>
      </c>
      <c r="AH104">
        <f>IF(ISBLANK('Data Entry'!$b$104), "", 'Data Entry'!$b$104)</f>
      </c>
      <c r="AI104">
        <f>IF(ISBLANK('Data Entry'!$c$104), "", 'Data Entry'!$c$104)</f>
      </c>
      <c r="AJ104">
        <f>IF(ISBLANK('Data Entry'!$d$104), "", 'Data Entry'!$d$104)</f>
      </c>
      <c r="AK104">
        <f>IF(ISBLANK('Data Entry'!$e$104), "", 'Data Entry'!$e$104)</f>
      </c>
      <c r="AL104">
        <f>IF(ISBLANK('Data Entry'!$f$104), "", 'Data Entry'!$f$104)</f>
      </c>
      <c r="AM104">
        <f>IF(ISBLANK('Data Entry'!$g$104), "", 'Data Entry'!$g$104)</f>
      </c>
      <c r="AN104">
        <f>IF(ISBLANK('Data Entry'!$h$104), "", 'Data Entry'!$h$104)</f>
      </c>
      <c r="AO104">
        <f>IF(ISBLANK('Data Entry'!$i$104), "", 'Data Entry'!$i$104)</f>
      </c>
      <c r="AP104">
        <f>IF(ISBLANK('Data Entry'!$j$104), "", 'Data Entry'!$j$104)</f>
      </c>
      <c r="AQ104">
        <f>IF(ISBLANK('Data Entry'!$k$104), "", 'Data Entry'!$k$104)</f>
      </c>
      <c r="AR104">
        <f>IF(ISBLANK('Data Entry'!$l$104), "", 'Data Entry'!$l$104)</f>
      </c>
      <c r="AS104">
        <f>IF(ISBLANK('Data Entry'!$m$104), "", 'Data Entry'!$m$104)</f>
      </c>
      <c r="AT104">
        <f>IF(ISBLANK('Data Entry'!$n$104), "", 'Data Entry'!$n$104)</f>
      </c>
      <c r="AU104">
        <f>IF(ISBLANK('Data Entry'!$o$104), "", 'Data Entry'!$o$104)</f>
      </c>
      <c r="AV104">
        <f>IF(ISBLANK('Data Entry'!$p$104), "", 'Data Entry'!$p$104)</f>
      </c>
      <c r="AW104">
        <f>IF(ISBLANK('Data Entry'!$q$104), "", 'Data Entry'!$q$104)</f>
      </c>
      <c r="AX104">
        <f>IF(ISBLANK('Data Entry'!$r$104), "", 'Data Entry'!$r$104)</f>
      </c>
      <c r="AY104">
        <f>IF(ISBLANK('Data Entry'!$s$104), "", 'Data Entry'!$s$104)</f>
      </c>
      <c r="AZ104">
        <f>IF(ISBLANK('Data Entry'!$t$104), "", 'Data Entry'!$t$104)</f>
      </c>
      <c r="BA104">
        <f>IF(ISBLANK('Data Entry'!$u$104), "", 'Data Entry'!$u$104)</f>
      </c>
      <c r="BB104">
        <f>IF(ISBLANK('Data Entry'!$v$104), "", 'Data Entry'!$v$104)</f>
      </c>
      <c r="BC104">
        <f>IF(ISBLANK('Data Entry'!$w$104), "", 'Data Entry'!$w$104)</f>
      </c>
      <c r="BD104">
        <f>IF(ISBLANK('Data Entry'!$x$104), "", 'Data Entry'!$x$104)</f>
      </c>
      <c r="BE104">
        <f>IF(ISBLANK('Data Entry'!$y$104), "", 'Data Entry'!$y$104)</f>
      </c>
      <c r="BF104">
        <f>IF(ISBLANK('Data Entry'!$z$104), "", 'Data Entry'!$z$104)</f>
      </c>
      <c r="BG104">
        <f>IF(ISBLANK('Data Entry'!${$104), "", 'Data Entry'!${$104)</f>
      </c>
      <c r="BH104">
        <f>IF(ISBLANK('Data Entry'!$|$104), "", 'Data Entry'!$|$104)</f>
      </c>
      <c r="BI104">
        <f>IF(ISBLANK('Data Entry'!$}$104), "", 'Data Entry'!$}$104)</f>
      </c>
      <c r="BJ104">
        <f>IF(ISBLANK('Data Entry'!$~$104), "", 'Data Entry'!$~$104)</f>
      </c>
      <c r="BK104">
        <f>IF(ISBLANK('Data Entry'!$$104), "", 'Data Entry'!$$104)</f>
      </c>
      <c r="BL104">
        <f>IF(ISBLANK('Data Entry'!$$104), "", 'Data Entry'!$$104)</f>
      </c>
      <c r="BM104">
        <f>IF(ISBLANK('Data Entry'!$$104), "", 'Data Entry'!$$104)</f>
      </c>
      <c r="BN104">
        <f>IF(ISBLANK('Data Entry'!$$104), "", 'Data Entry'!$$104)</f>
      </c>
      <c r="BO104">
        <f>IF(ISBLANK('Data Entry'!$$104), "", 'Data Entry'!$$104)</f>
      </c>
      <c r="BP104">
        <f>IF(ISBLANK('Data Entry'!$$104), "", 'Data Entry'!$$104)</f>
      </c>
      <c r="BQ104">
        <f>IF(ISBLANK('Data Entry'!$$104), "", 'Data Entry'!$$104)</f>
      </c>
      <c r="BR104">
        <f>IF(ISBLANK('Data Entry'!$$104), "", 'Data Entry'!$$104)</f>
      </c>
      <c r="BS104">
        <f>IF(ISBLANK('Data Entry'!$$104), "", 'Data Entry'!$$104)</f>
      </c>
      <c r="BT104">
        <f>IF(ISBLANK('Data Entry'!$$104), "", 'Data Entry'!$$104)</f>
      </c>
      <c r="BU104">
        <f>IF(ISBLANK('Data Entry'!$$104), "", 'Data Entry'!$$104)</f>
      </c>
      <c r="BV104">
        <f>IF(ISBLANK('Data Entry'!$$104), "", 'Data Entry'!$$104)</f>
      </c>
      <c r="BW104">
        <f>IF(ISBLANK('Data Entry'!$$104), "", 'Data Entry'!$$104)</f>
      </c>
      <c r="BX104">
        <f>IF(ISBLANK('Data Entry'!$$104), "", 'Data Entry'!$$104)</f>
      </c>
      <c r="BY104">
        <f>IF(ISBLANK('Data Entry'!$$104), "", 'Data Entry'!$$104)</f>
      </c>
      <c r="BZ104">
        <f>IF(ISBLANK('Data Entry'!$$104), "", 'Data Entry'!$$104)</f>
      </c>
      <c r="CA104">
        <f>IF(ISBLANK('Data Entry'!$$104), "", 'Data Entry'!$$104)</f>
      </c>
      <c r="CB104">
        <f>IF(ISBLANK('Data Entry'!$$104), "", 'Data Entry'!$$104)</f>
      </c>
      <c r="CC104">
        <f>IF(ISBLANK('Data Entry'!$$104), "", 'Data Entry'!$$104)</f>
      </c>
      <c r="CD104">
        <f>IF(ISBLANK('Data Entry'!$$104), "", 'Data Entry'!$$104)</f>
      </c>
      <c r="CE104">
        <f>IF(ISBLANK('Data Entry'!$$104), "", 'Data Entry'!$$104)</f>
      </c>
      <c r="CF104">
        <f>IF(ISBLANK('Data Entry'!$$104), "", 'Data Entry'!$$104)</f>
      </c>
      <c r="CG104">
        <f>IF(ISBLANK('Data Entry'!$$104), "", 'Data Entry'!$$104)</f>
      </c>
      <c r="CH104">
        <f>IF(ISBLANK('Data Entry'!$$104), "", 'Data Entry'!$$104)</f>
      </c>
      <c r="CI104">
        <f>IF(ISBLANK('Data Entry'!$$104), "", 'Data Entry'!$$104)</f>
      </c>
      <c r="CJ104">
        <f>IF(ISBLANK('Data Entry'!$$104), "", 'Data Entry'!$$104)</f>
      </c>
      <c r="CK104">
        <f>IF(ISBLANK('Data Entry'!$$104), "", 'Data Entry'!$$104)</f>
      </c>
      <c r="CL104">
        <f>IF(ISBLANK('Data Entry'!$$104), "", 'Data Entry'!$$104)</f>
      </c>
      <c r="CM104">
        <f>IF(ISBLANK('Data Entry'!$$104), "", 'Data Entry'!$$104)</f>
      </c>
      <c r="CN104">
        <f>IF(ISBLANK('Data Entry'!$$104), "", 'Data Entry'!$$104)</f>
      </c>
      <c r="CO104">
        <f>IF(ISBLANK('Data Entry'!$$104), "", 'Data Entry'!$$104)</f>
      </c>
      <c r="CP104">
        <f>IF(ISBLANK('Data Entry'!$$104), "", 'Data Entry'!$$104)</f>
      </c>
      <c r="CQ104">
        <f>IF(ISBLANK('Data Entry'!$$104), "", 'Data Entry'!$$104)</f>
      </c>
      <c r="CR104">
        <f>IF(ISBLANK('Data Entry'!$ $104), "", 'Data Entry'!$ $104)</f>
      </c>
      <c r="CS104">
        <f>IF(ISBLANK('Data Entry'!$¡$104), "", 'Data Entry'!$¡$104)</f>
      </c>
      <c r="CT104">
        <f>IF(ISBLANK('Data Entry'!$¢$104), "", 'Data Entry'!$¢$104)</f>
      </c>
      <c r="CU104">
        <f>IF(ISBLANK('Data Entry'!$£$104), "", 'Data Entry'!$£$104)</f>
      </c>
      <c r="CV104">
        <f>IF(ISBLANK('Data Entry'!$¤$104), "", 'Data Entry'!$¤$104)</f>
      </c>
      <c r="CW104">
        <f>IF(ISBLANK('Data Entry'!$¥$104), "", 'Data Entry'!$¥$104)</f>
      </c>
      <c r="CX104">
        <f>IF(ISBLANK('Data Entry'!$¦$104), "", 'Data Entry'!$¦$104)</f>
      </c>
      <c r="CY104">
        <f>IF(ISBLANK('Data Entry'!$§$104), "", 'Data Entry'!$§$104)</f>
      </c>
      <c r="CZ104">
        <f>IF(ISBLANK('Data Entry'!$¨$104), "", 'Data Entry'!$¨$104)</f>
      </c>
      <c r="DA104">
        <f>IF(ISBLANK('Data Entry'!$©$104), "", 'Data Entry'!$©$104)</f>
      </c>
      <c r="DB104">
        <f>IF(ISBLANK('Data Entry'!$ª$104), "", 'Data Entry'!$ª$104)</f>
      </c>
      <c r="DC104">
        <f>IF(ISBLANK('Data Entry'!$«$104), "", 'Data Entry'!$«$104)</f>
      </c>
      <c r="DD104">
        <f>IF(ISBLANK('Data Entry'!$¬$104), "", 'Data Entry'!$¬$104)</f>
      </c>
      <c r="DE104">
        <f>IF(ISBLANK('Data Entry'!$­$104), "", 'Data Entry'!$­$104)</f>
      </c>
      <c r="DF104">
        <f>IF(ISBLANK('Data Entry'!$®$104), "", 'Data Entry'!$®$104)</f>
      </c>
      <c r="DG104">
        <f>IF(ISBLANK('Data Entry'!$¯$104), "", 'Data Entry'!$¯$104)</f>
      </c>
      <c r="DH104">
        <f>IF(ISBLANK('Data Entry'!$°$104), "", 'Data Entry'!$°$104)</f>
      </c>
      <c r="DI104">
        <f>IF(ISBLANK('Data Entry'!$±$104), "", 'Data Entry'!$±$104)</f>
      </c>
      <c r="DJ104">
        <f>IF(ISBLANK('Data Entry'!$²$104), "", 'Data Entry'!$²$104)</f>
      </c>
      <c r="DK104">
        <f>IF(ISBLANK('Data Entry'!$³$104), "", 'Data Entry'!$³$104)</f>
      </c>
      <c r="DL104">
        <f>IF(ISBLANK('Data Entry'!$´$104), "", 'Data Entry'!$´$104)</f>
      </c>
      <c r="DM104">
        <f>IF(ISBLANK('Data Entry'!$µ$104), "", 'Data Entry'!$µ$104)</f>
      </c>
      <c r="DN104">
        <f>IF(ISBLANK('Data Entry'!$¶$104), "", 'Data Entry'!$¶$104)</f>
      </c>
      <c r="DO104">
        <f>IF(ISBLANK('Data Entry'!$·$104), "", 'Data Entry'!$·$104)</f>
      </c>
      <c r="DP104">
        <f>IF(ISBLANK('Data Entry'!$¸$104), "", 'Data Entry'!$¸$104)</f>
      </c>
      <c r="DQ104">
        <f>IF(ISBLANK('Data Entry'!$¹$104), "", 'Data Entry'!$¹$104)</f>
      </c>
      <c r="DR104">
        <f>IF(ISBLANK('Data Entry'!$º$104), "", 'Data Entry'!$º$104)</f>
      </c>
      <c r="DS104">
        <f>IF(ISBLANK('Data Entry'!$»$104), "", 'Data Entry'!$»$104)</f>
      </c>
      <c r="DT104">
        <f>IF(ISBLANK('Data Entry'!$¼$104), "", 'Data Entry'!$¼$104)</f>
      </c>
      <c r="DU104">
        <f>IF(ISBLANK('Data Entry'!$½$104), "", 'Data Entry'!$½$104)</f>
      </c>
      <c r="DV104">
        <f>IF(ISBLANK('Data Entry'!$¾$104), "", 'Data Entry'!$¾$104)</f>
      </c>
      <c r="DW104">
        <f>IF(ISBLANK('Data Entry'!$¿$104), "", 'Data Entry'!$¿$104)</f>
      </c>
      <c r="DX104">
        <f>IF(ISBLANK('Data Entry'!$À$104), "", 'Data Entry'!$À$104)</f>
      </c>
      <c r="DY104">
        <f>IF(ISBLANK('Data Entry'!$Á$104), "", 'Data Entry'!$Á$104)</f>
      </c>
      <c r="DZ104">
        <f>IF(ISBLANK('Data Entry'!$Â$104), "", 'Data Entry'!$Â$104)</f>
      </c>
      <c r="EA104">
        <f>IF(ISBLANK('Data Entry'!$Ã$104), "", 'Data Entry'!$Ã$104)</f>
      </c>
      <c r="EB104">
        <f>IF(ISBLANK('Data Entry'!$Ä$104), "", 'Data Entry'!$Ä$104)</f>
      </c>
      <c r="EC104">
        <f>IF(ISBLANK('Data Entry'!$Å$104), "", 'Data Entry'!$Å$104)</f>
      </c>
      <c r="ED104">
        <f>IF(ISBLANK('Data Entry'!$Æ$104), "", 'Data Entry'!$Æ$104)</f>
      </c>
      <c r="EE104">
        <f>IF(ISBLANK('Data Entry'!$Ç$104), "", 'Data Entry'!$Ç$104)</f>
      </c>
      <c r="EF104">
        <f>IF(ISBLANK('Data Entry'!$È$104), "", 'Data Entry'!$È$104)</f>
      </c>
      <c r="EG104">
        <f>IF(ISBLANK('Data Entry'!$É$104), "", 'Data Entry'!$É$104)</f>
      </c>
      <c r="EH104">
        <f>IF(ISBLANK('Data Entry'!$Ê$104), "", 'Data Entry'!$Ê$104)</f>
      </c>
      <c r="EI104">
        <f>IF(ISBLANK('Data Entry'!$Ë$104), "", 'Data Entry'!$Ë$104)</f>
      </c>
      <c r="EJ104">
        <f>IF(ISBLANK('Data Entry'!$Ì$104), "", 'Data Entry'!$Ì$104)</f>
      </c>
      <c r="EK104">
        <f>IF(ISBLANK('Data Entry'!$Í$104), "", 'Data Entry'!$Í$104)</f>
      </c>
      <c r="EL104">
        <f>IF(ISBLANK('Data Entry'!$Î$104), "", 'Data Entry'!$Î$104)</f>
      </c>
      <c r="EM104">
        <f>IF(ISBLANK('Data Entry'!$Ï$104), "", 'Data Entry'!$Ï$104)</f>
      </c>
      <c r="EN104">
        <f>IF(ISBLANK('Data Entry'!$Ð$104), "", 'Data Entry'!$Ð$104)</f>
      </c>
      <c r="EO104">
        <f>IF(ISBLANK('Data Entry'!$Ñ$104), "", 'Data Entry'!$Ñ$104)</f>
      </c>
      <c r="EP104">
        <f>IF(ISBLANK('Data Entry'!$Ò$104), "", 'Data Entry'!$Ò$104)</f>
      </c>
      <c r="EQ104">
        <f>IF(ISBLANK('Data Entry'!$Ó$104), "", 'Data Entry'!$Ó$104)</f>
      </c>
      <c r="ER104">
        <f>IF(ISBLANK('Data Entry'!$Ô$104), "", 'Data Entry'!$Ô$104)</f>
      </c>
      <c r="ES104">
        <f>IF(ISBLANK('Data Entry'!$Õ$104), "", 'Data Entry'!$Õ$104)</f>
      </c>
      <c r="ET104">
        <f>IF(ISBLANK('Data Entry'!$Ö$104), "", 'Data Entry'!$Ö$104)</f>
      </c>
      <c r="EU104">
        <f>IF(ISBLANK('Data Entry'!$×$104), "", 'Data Entry'!$×$104)</f>
      </c>
      <c r="EV104">
        <f>IF(ISBLANK('Data Entry'!$Ø$104), "", 'Data Entry'!$Ø$104)</f>
      </c>
      <c r="EW104">
        <f>IF(ISBLANK('Data Entry'!$Ù$104), "", 'Data Entry'!$Ù$104)</f>
      </c>
      <c r="EX104">
        <f>IF(ISBLANK('Data Entry'!$Ú$104), "", 'Data Entry'!$Ú$104)</f>
      </c>
      <c r="EY104">
        <f>IF(ISBLANK('Data Entry'!$Û$104), "", 'Data Entry'!$Û$104)</f>
      </c>
      <c r="EZ104">
        <f>IF(ISBLANK('Data Entry'!$Ü$104), "", 'Data Entry'!$Ü$104)</f>
      </c>
      <c r="FA104">
        <f>IF(ISBLANK('Data Entry'!$Ý$104), "", 'Data Entry'!$Ý$104)</f>
      </c>
      <c r="FB104">
        <f>IF(ISBLANK('Data Entry'!$Þ$104), "", 'Data Entry'!$Þ$104)</f>
      </c>
      <c r="FC104">
        <f>IF(ISBLANK('Data Entry'!$ß$104), "", 'Data Entry'!$ß$104)</f>
      </c>
      <c r="FD104">
        <f>IF(ISBLANK('Data Entry'!$à$104), "", 'Data Entry'!$à$104)</f>
      </c>
      <c r="FE104">
        <f>IF(ISBLANK('Data Entry'!$á$104), "", 'Data Entry'!$á$104)</f>
      </c>
      <c r="FF104">
        <f>IF(ISBLANK('Data Entry'!$â$104), "", 'Data Entry'!$â$104)</f>
      </c>
      <c r="FG104">
        <f>IF(ISBLANK('Data Entry'!$ã$104), "", 'Data Entry'!$ã$104)</f>
      </c>
      <c r="FH104">
        <f>IF(ISBLANK('Data Entry'!$ä$104), "", 'Data Entry'!$ä$104)</f>
      </c>
      <c r="FI104">
        <f>IF(ISBLANK('Data Entry'!$å$104), "", 'Data Entry'!$å$104)</f>
      </c>
      <c r="FJ104">
        <f>IF(ISBLANK('Data Entry'!$æ$104), "", 'Data Entry'!$æ$104)</f>
      </c>
      <c r="FK104">
        <f>IF(ISBLANK('Data Entry'!$ç$104), "", 'Data Entry'!$ç$104)</f>
      </c>
      <c r="FL104">
        <f>IF(ISBLANK('Data Entry'!$è$104), "", 'Data Entry'!$è$104)</f>
      </c>
      <c r="FM104">
        <f>IF(ISBLANK('Data Entry'!$é$104), "", 'Data Entry'!$é$104)</f>
      </c>
      <c r="FN104">
        <f>IF(ISBLANK('Data Entry'!$ê$104), "", 'Data Entry'!$ê$104)</f>
      </c>
      <c r="FO104">
        <f>IF(ISBLANK('Data Entry'!$ë$104), "", 'Data Entry'!$ë$104)</f>
      </c>
      <c r="FP104">
        <f>IF(ISBLANK('Data Entry'!$ì$104), "", 'Data Entry'!$ì$104)</f>
      </c>
      <c r="FQ104">
        <f>IF(ISBLANK('Data Entry'!$í$104), "", 'Data Entry'!$í$104)</f>
      </c>
      <c r="FR104">
        <f>IF(ISBLANK('Data Entry'!$î$104), "", 'Data Entry'!$î$104)</f>
      </c>
      <c r="FS104">
        <f>IF(ISBLANK('Data Entry'!$ï$104), "", 'Data Entry'!$ï$104)</f>
      </c>
      <c r="FT104">
        <f>IF(ISBLANK('Data Entry'!$ð$104), "", 'Data Entry'!$ð$104)</f>
      </c>
      <c r="FU104">
        <f>IF(ISBLANK('Data Entry'!$ñ$104), "", 'Data Entry'!$ñ$104)</f>
      </c>
      <c r="FV104">
        <f>IF(ISBLANK('Data Entry'!$ò$104), "", 'Data Entry'!$ò$104)</f>
      </c>
      <c r="FW104">
        <f>IF(ISBLANK('Data Entry'!$ó$104), "", 'Data Entry'!$ó$104)</f>
      </c>
      <c r="FX104">
        <f>IF(ISBLANK('Data Entry'!$ô$104), "", 'Data Entry'!$ô$104)</f>
      </c>
      <c r="FY104">
        <f>IF(ISBLANK('Data Entry'!$õ$104), "", 'Data Entry'!$õ$104)</f>
      </c>
      <c r="FZ104">
        <f>IF(ISBLANK('Data Entry'!$ö$104), "", 'Data Entry'!$ö$104)</f>
      </c>
      <c r="GA104">
        <f>IF(ISBLANK('Data Entry'!$÷$104), "", 'Data Entry'!$÷$104)</f>
      </c>
      <c r="GB104">
        <f>IF(ISBLANK('Data Entry'!$ø$104), "", 'Data Entry'!$ø$104)</f>
      </c>
      <c r="GC104">
        <f>IF(ISBLANK('Data Entry'!$ù$104), "", 'Data Entry'!$ù$104)</f>
      </c>
      <c r="GD104">
        <f>IF(ISBLANK('Data Entry'!$ú$104), "", 'Data Entry'!$ú$104)</f>
      </c>
      <c r="GE104">
        <f>IF(ISBLANK('Data Entry'!$û$104), "", 'Data Entry'!$û$104)</f>
      </c>
      <c r="GF104">
        <f>IF(ISBLANK('Data Entry'!$ü$104), "", 'Data Entry'!$ü$104)</f>
      </c>
      <c r="GG104">
        <f>IF(ISBLANK('Data Entry'!$ý$104), "", 'Data Entry'!$ý$104)</f>
      </c>
      <c r="GH104">
        <f>IF(ISBLANK('Data Entry'!$þ$104), "", 'Data Entry'!$þ$104)</f>
      </c>
      <c r="GI104">
        <f>IF(ISBLANK('Data Entry'!$ÿ$104), "", 'Data Entry'!$ÿ$104)</f>
      </c>
      <c r="GJ104">
        <f>IF(ISBLANK('Data Entry'!$Ā$104), "", 'Data Entry'!$Ā$104)</f>
      </c>
      <c r="GK104">
        <f>IF(ISBLANK('Data Entry'!$ā$104), "", 'Data Entry'!$ā$104)</f>
      </c>
      <c r="GL104">
        <f>IF(ISBLANK('Data Entry'!$Ă$104), "", 'Data Entry'!$Ă$104)</f>
      </c>
      <c r="GM104">
        <f>IF(ISBLANK('Data Entry'!$ă$104), "", 'Data Entry'!$ă$104)</f>
      </c>
      <c r="GN104">
        <f>IF(ISBLANK('Data Entry'!$Ą$104), "", 'Data Entry'!$Ą$104)</f>
      </c>
      <c r="GO104">
        <f>IF(ISBLANK('Data Entry'!$ą$104), "", 'Data Entry'!$ą$104)</f>
      </c>
      <c r="GP104">
        <f>IF(ISBLANK('Data Entry'!$Ć$104), "", 'Data Entry'!$Ć$104)</f>
      </c>
      <c r="GQ104">
        <f>IF(ISBLANK('Data Entry'!$ć$104), "", 'Data Entry'!$ć$104)</f>
      </c>
      <c r="GR104">
        <f>IF(ISBLANK('Data Entry'!$Ĉ$104), "", 'Data Entry'!$Ĉ$104)</f>
      </c>
      <c r="GS104">
        <f>IF(ISBLANK('Data Entry'!$ĉ$104), "", 'Data Entry'!$ĉ$104)</f>
      </c>
      <c r="GT104">
        <f>IF(ISBLANK('Data Entry'!$Ċ$104), "", 'Data Entry'!$Ċ$104)</f>
      </c>
      <c r="GU104">
        <f>IF(ISBLANK('Data Entry'!$ċ$104), "", 'Data Entry'!$ċ$104)</f>
      </c>
      <c r="GV104">
        <f>IF(ISBLANK('Data Entry'!$Č$104), "", 'Data Entry'!$Č$104)</f>
      </c>
      <c r="GW104">
        <f>IF(ISBLANK('Data Entry'!$č$104), "", 'Data Entry'!$č$104)</f>
      </c>
      <c r="GX104">
        <f>IF(ISBLANK('Data Entry'!$Ď$104), "", 'Data Entry'!$Ď$104)</f>
      </c>
      <c r="GY104">
        <f>IF(ISBLANK('Data Entry'!$ď$104), "", 'Data Entry'!$ď$104)</f>
      </c>
      <c r="GZ104">
        <f>IF(ISBLANK('Data Entry'!$Đ$104), "", 'Data Entry'!$Đ$104)</f>
      </c>
      <c r="HA104">
        <f>IF(ISBLANK('Data Entry'!$đ$104), "", 'Data Entry'!$đ$104)</f>
      </c>
      <c r="HB104">
        <f>IF(ISBLANK('Data Entry'!$Ē$104), "", 'Data Entry'!$Ē$104)</f>
      </c>
      <c r="HC104">
        <f>IF(ISBLANK('Data Entry'!$ē$104), "", 'Data Entry'!$ē$104)</f>
      </c>
      <c r="HD104">
        <f>IF(ISBLANK('Data Entry'!$Ĕ$104), "", 'Data Entry'!$Ĕ$104)</f>
      </c>
      <c r="HE104">
        <f>IF(ISBLANK('Data Entry'!$ĕ$104), "", 'Data Entry'!$ĕ$104)</f>
      </c>
      <c r="HF104">
        <f>IF(ISBLANK('Data Entry'!$Ė$104), "", 'Data Entry'!$Ė$104)</f>
      </c>
      <c r="HG104">
        <f>IF(ISBLANK('Data Entry'!$ė$104), "", 'Data Entry'!$ė$104)</f>
      </c>
      <c r="HH104">
        <f>IF(ISBLANK('Data Entry'!$Ę$104), "", 'Data Entry'!$Ę$104)</f>
      </c>
      <c r="HI104">
        <f>IF(ISBLANK('Data Entry'!$ę$104), "", 'Data Entry'!$ę$104)</f>
      </c>
      <c r="HJ104">
        <f>IF(ISBLANK('Data Entry'!$Ě$104), "", 'Data Entry'!$Ě$104)</f>
      </c>
      <c r="HK104">
        <f>IF(ISBLANK('Data Entry'!$ě$104), "", 'Data Entry'!$ě$104)</f>
      </c>
      <c r="HL104">
        <f>IF(ISBLANK('Data Entry'!$Ĝ$104), "", 'Data Entry'!$Ĝ$104)</f>
      </c>
      <c r="HM104">
        <f>IF(ISBLANK('Data Entry'!$ĝ$104), "", 'Data Entry'!$ĝ$104)</f>
      </c>
      <c r="HN104">
        <f>IF(ISBLANK('Data Entry'!$Ğ$104), "", 'Data Entry'!$Ğ$104)</f>
      </c>
      <c r="HO104">
        <f>IF(ISBLANK('Data Entry'!$ğ$104), "", 'Data Entry'!$ğ$104)</f>
      </c>
      <c r="HP104">
        <f>IF(ISBLANK('Data Entry'!$Ġ$104), "", 'Data Entry'!$Ġ$104)</f>
      </c>
      <c r="HQ104">
        <f>IF(ISBLANK('Data Entry'!$ġ$104), "", 'Data Entry'!$ġ$104)</f>
      </c>
      <c r="HR104">
        <f>IF(ISBLANK('Data Entry'!$Ģ$104), "", 'Data Entry'!$Ģ$104)</f>
      </c>
      <c r="HS104">
        <f>IF(ISBLANK('Data Entry'!$ģ$104), "", 'Data Entry'!$ģ$104)</f>
      </c>
      <c r="HT104">
        <f>IF(ISBLANK('Data Entry'!$Ĥ$104), "", 'Data Entry'!$Ĥ$104)</f>
      </c>
      <c r="HU104">
        <f>IF(ISBLANK('Data Entry'!$ĥ$104), "", 'Data Entry'!$ĥ$104)</f>
      </c>
      <c r="HV104">
        <f>IF(ISBLANK('Data Entry'!$Ħ$104), "", 'Data Entry'!$Ħ$104)</f>
      </c>
      <c r="HW104">
        <f>IF(ISBLANK('Data Entry'!$ħ$104), "", 'Data Entry'!$ħ$104)</f>
      </c>
      <c r="HX104">
        <f>IF(ISBLANK('Data Entry'!$Ĩ$104), "", 'Data Entry'!$Ĩ$104)</f>
      </c>
      <c r="HY104">
        <f>IF(ISBLANK('Data Entry'!$ĩ$104), "", 'Data Entry'!$ĩ$104)</f>
      </c>
      <c r="HZ104">
        <f>IF(ISBLANK('Data Entry'!$Ī$104), "", 'Data Entry'!$Ī$104)</f>
      </c>
      <c r="IA104">
        <f>IF(ISBLANK('Data Entry'!$ī$104), "", 'Data Entry'!$ī$104)</f>
      </c>
      <c r="IB104">
        <f>IF(ISBLANK('Data Entry'!$Ĭ$104), "", 'Data Entry'!$Ĭ$104)</f>
      </c>
      <c r="IC104">
        <f>IF(ISBLANK('Data Entry'!$ĭ$104), "", 'Data Entry'!$ĭ$104)</f>
      </c>
      <c r="ID104">
        <f>IF(ISBLANK('Data Entry'!$Į$104), "", 'Data Entry'!$Į$104)</f>
      </c>
      <c r="IE104">
        <f>IF(ISBLANK('Data Entry'!$į$104), "", 'Data Entry'!$į$104)</f>
      </c>
      <c r="IF104">
        <f>IF(ISBLANK('Data Entry'!$İ$104), "", 'Data Entry'!$İ$104)</f>
      </c>
      <c r="IG104">
        <f>IF(ISBLANK('Data Entry'!$ı$104), "", 'Data Entry'!$ı$104)</f>
      </c>
      <c r="IH104">
        <f>IF(ISBLANK('Data Entry'!$Ĳ$104), "", 'Data Entry'!$Ĳ$104)</f>
      </c>
      <c r="II104">
        <f>IF(ISBLANK('Data Entry'!$ĳ$104), "", 'Data Entry'!$ĳ$104)</f>
      </c>
      <c r="IJ104">
        <f>IF(ISBLANK('Data Entry'!$Ĵ$104), "", 'Data Entry'!$Ĵ$104)</f>
      </c>
      <c r="IK104">
        <f>IF(ISBLANK('Data Entry'!$ĵ$104), "", 'Data Entry'!$ĵ$104)</f>
      </c>
      <c r="IL104">
        <f>IF(ISBLANK('Data Entry'!$Ķ$104), "", 'Data Entry'!$Ķ$104)</f>
      </c>
      <c r="IM104">
        <f>IF(ISBLANK('Data Entry'!$ķ$104), "", 'Data Entry'!$ķ$104)</f>
      </c>
      <c r="IN104">
        <f>IF(ISBLANK('Data Entry'!$ĸ$104), "", 'Data Entry'!$ĸ$104)</f>
      </c>
      <c r="IO104">
        <f>IF(ISBLANK('Data Entry'!$Ĺ$104), "", 'Data Entry'!$Ĺ$104)</f>
      </c>
      <c r="IP104">
        <f>IF(ISBLANK('Data Entry'!$ĺ$104), "", 'Data Entry'!$ĺ$104)</f>
      </c>
      <c r="IQ104">
        <f>IF(ISBLANK('Data Entry'!$Ļ$104), "", 'Data Entry'!$Ļ$104)</f>
      </c>
      <c r="IR104">
        <f>IF(ISBLANK('Data Entry'!$ļ$104), "", 'Data Entry'!$ļ$104)</f>
      </c>
      <c r="IS104">
        <f>IF(ISBLANK('Data Entry'!$Ľ$104), "", 'Data Entry'!$Ľ$104)</f>
      </c>
      <c r="IT104">
        <f>IF(ISBLANK('Data Entry'!$ľ$104), "", 'Data Entry'!$ľ$104)</f>
      </c>
    </row>
    <row r="105" spans="1:254" x14ac:dyDescent="0.25">
      <c r="A105">
        <f>IF(ISBLANK('Data Entry'!$A$105), "", 'Data Entry'!$A$105)</f>
      </c>
      <c r="B105">
        <f>IF(ISBLANK('Data Entry'!$B$105), "", 'Data Entry'!$B$105)</f>
      </c>
      <c r="C105">
        <f>IF(ISBLANK('Data Entry'!$C$105), "", 'Data Entry'!$C$105)</f>
      </c>
      <c r="D105">
        <f>IF(ISBLANK('Data Entry'!$D$105), "", 'Data Entry'!$D$105)</f>
      </c>
      <c r="E105">
        <f>IF(ISBLANK('Data Entry'!$E$105), "", 'Data Entry'!$E$105)</f>
      </c>
      <c r="F105">
        <f>IF(ISBLANK('Data Entry'!$F$105), "", 'Data Entry'!$F$105)</f>
      </c>
      <c r="G105">
        <f>IF(ISBLANK('Data Entry'!$G$105), "", 'Data Entry'!$G$105)</f>
      </c>
      <c r="H105">
        <f>IF(ISBLANK('Data Entry'!$H$105), "", 'Data Entry'!$H$105)</f>
      </c>
      <c r="I105">
        <f>IF(ISBLANK('Data Entry'!$I$105), "", 'Data Entry'!$I$105)</f>
      </c>
      <c r="J105">
        <f>IF(ISBLANK('Data Entry'!$J$105), "", 'Data Entry'!$J$105)</f>
      </c>
      <c r="K105">
        <f>IF(ISBLANK('Data Entry'!$K$105), "", 'Data Entry'!$K$105)</f>
      </c>
      <c r="L105">
        <f>IF(ISBLANK('Data Entry'!$L$105), "", 'Data Entry'!$L$105)</f>
      </c>
      <c r="M105">
        <f>IF(ISBLANK('Data Entry'!$M$105), "", 'Data Entry'!$M$105)</f>
      </c>
      <c r="N105">
        <f>IF(ISBLANK('Data Entry'!$N$105), "", 'Data Entry'!$N$105)</f>
      </c>
      <c r="O105">
        <f>IF(ISBLANK('Data Entry'!$O$105), "", 'Data Entry'!$O$105)</f>
      </c>
      <c r="P105">
        <f>IF(ISBLANK('Data Entry'!$P$105), "", 'Data Entry'!$P$105)</f>
      </c>
      <c r="Q105">
        <f>IF(ISBLANK('Data Entry'!$Q$105), "", 'Data Entry'!$Q$105)</f>
      </c>
      <c r="R105">
        <f>IF(ISBLANK('Data Entry'!$R$105), "", 'Data Entry'!$R$105)</f>
      </c>
      <c r="S105">
        <f>IF(ISBLANK('Data Entry'!$S$105), "", 'Data Entry'!$S$105)</f>
      </c>
      <c r="T105">
        <f>IF(ISBLANK('Data Entry'!$T$105), "", 'Data Entry'!$T$105)</f>
      </c>
      <c r="U105">
        <f>IF(ISBLANK('Data Entry'!$U$105), "", 'Data Entry'!$U$105)</f>
      </c>
      <c r="V105">
        <f>IF(ISBLANK('Data Entry'!$V$105), "", 'Data Entry'!$V$105)</f>
      </c>
      <c r="W105">
        <f>IF(ISBLANK('Data Entry'!$W$105), "", 'Data Entry'!$W$105)</f>
      </c>
      <c r="X105">
        <f>IF(ISBLANK('Data Entry'!$X$105), "", 'Data Entry'!$X$105)</f>
      </c>
      <c r="Y105">
        <f>IF(ISBLANK('Data Entry'!$Y$105), "", 'Data Entry'!$Y$105)</f>
      </c>
      <c r="Z105">
        <f>IF(ISBLANK('Data Entry'!$Z$105), "", 'Data Entry'!$Z$105)</f>
      </c>
      <c r="AA105">
        <f>IF(ISBLANK('Data Entry'!$[$105), "", 'Data Entry'!$[$105)</f>
      </c>
      <c r="AB105">
        <f>IF(ISBLANK('Data Entry'!$\$105), "", 'Data Entry'!$\$105)</f>
      </c>
      <c r="AC105">
        <f>IF(ISBLANK('Data Entry'!$]$105), "", 'Data Entry'!$]$105)</f>
      </c>
      <c r="AD105">
        <f>IF(ISBLANK('Data Entry'!$^$105), "", 'Data Entry'!$^$105)</f>
      </c>
      <c r="AE105">
        <f>IF(ISBLANK('Data Entry'!$_$105), "", 'Data Entry'!$_$105)</f>
      </c>
      <c r="AF105">
        <f>IF(ISBLANK('Data Entry'!$`$105), "", 'Data Entry'!$`$105)</f>
      </c>
      <c r="AG105">
        <f>IF(ISBLANK('Data Entry'!$a$105), "", 'Data Entry'!$a$105)</f>
      </c>
      <c r="AH105">
        <f>IF(ISBLANK('Data Entry'!$b$105), "", 'Data Entry'!$b$105)</f>
      </c>
      <c r="AI105">
        <f>IF(ISBLANK('Data Entry'!$c$105), "", 'Data Entry'!$c$105)</f>
      </c>
      <c r="AJ105">
        <f>IF(ISBLANK('Data Entry'!$d$105), "", 'Data Entry'!$d$105)</f>
      </c>
      <c r="AK105">
        <f>IF(ISBLANK('Data Entry'!$e$105), "", 'Data Entry'!$e$105)</f>
      </c>
      <c r="AL105">
        <f>IF(ISBLANK('Data Entry'!$f$105), "", 'Data Entry'!$f$105)</f>
      </c>
      <c r="AM105">
        <f>IF(ISBLANK('Data Entry'!$g$105), "", 'Data Entry'!$g$105)</f>
      </c>
      <c r="AN105">
        <f>IF(ISBLANK('Data Entry'!$h$105), "", 'Data Entry'!$h$105)</f>
      </c>
      <c r="AO105">
        <f>IF(ISBLANK('Data Entry'!$i$105), "", 'Data Entry'!$i$105)</f>
      </c>
      <c r="AP105">
        <f>IF(ISBLANK('Data Entry'!$j$105), "", 'Data Entry'!$j$105)</f>
      </c>
      <c r="AQ105">
        <f>IF(ISBLANK('Data Entry'!$k$105), "", 'Data Entry'!$k$105)</f>
      </c>
      <c r="AR105">
        <f>IF(ISBLANK('Data Entry'!$l$105), "", 'Data Entry'!$l$105)</f>
      </c>
      <c r="AS105">
        <f>IF(ISBLANK('Data Entry'!$m$105), "", 'Data Entry'!$m$105)</f>
      </c>
      <c r="AT105">
        <f>IF(ISBLANK('Data Entry'!$n$105), "", 'Data Entry'!$n$105)</f>
      </c>
      <c r="AU105">
        <f>IF(ISBLANK('Data Entry'!$o$105), "", 'Data Entry'!$o$105)</f>
      </c>
      <c r="AV105">
        <f>IF(ISBLANK('Data Entry'!$p$105), "", 'Data Entry'!$p$105)</f>
      </c>
      <c r="AW105">
        <f>IF(ISBLANK('Data Entry'!$q$105), "", 'Data Entry'!$q$105)</f>
      </c>
      <c r="AX105">
        <f>IF(ISBLANK('Data Entry'!$r$105), "", 'Data Entry'!$r$105)</f>
      </c>
      <c r="AY105">
        <f>IF(ISBLANK('Data Entry'!$s$105), "", 'Data Entry'!$s$105)</f>
      </c>
      <c r="AZ105">
        <f>IF(ISBLANK('Data Entry'!$t$105), "", 'Data Entry'!$t$105)</f>
      </c>
      <c r="BA105">
        <f>IF(ISBLANK('Data Entry'!$u$105), "", 'Data Entry'!$u$105)</f>
      </c>
      <c r="BB105">
        <f>IF(ISBLANK('Data Entry'!$v$105), "", 'Data Entry'!$v$105)</f>
      </c>
      <c r="BC105">
        <f>IF(ISBLANK('Data Entry'!$w$105), "", 'Data Entry'!$w$105)</f>
      </c>
      <c r="BD105">
        <f>IF(ISBLANK('Data Entry'!$x$105), "", 'Data Entry'!$x$105)</f>
      </c>
      <c r="BE105">
        <f>IF(ISBLANK('Data Entry'!$y$105), "", 'Data Entry'!$y$105)</f>
      </c>
      <c r="BF105">
        <f>IF(ISBLANK('Data Entry'!$z$105), "", 'Data Entry'!$z$105)</f>
      </c>
      <c r="BG105">
        <f>IF(ISBLANK('Data Entry'!${$105), "", 'Data Entry'!${$105)</f>
      </c>
      <c r="BH105">
        <f>IF(ISBLANK('Data Entry'!$|$105), "", 'Data Entry'!$|$105)</f>
      </c>
      <c r="BI105">
        <f>IF(ISBLANK('Data Entry'!$}$105), "", 'Data Entry'!$}$105)</f>
      </c>
      <c r="BJ105">
        <f>IF(ISBLANK('Data Entry'!$~$105), "", 'Data Entry'!$~$105)</f>
      </c>
      <c r="BK105">
        <f>IF(ISBLANK('Data Entry'!$$105), "", 'Data Entry'!$$105)</f>
      </c>
      <c r="BL105">
        <f>IF(ISBLANK('Data Entry'!$$105), "", 'Data Entry'!$$105)</f>
      </c>
      <c r="BM105">
        <f>IF(ISBLANK('Data Entry'!$$105), "", 'Data Entry'!$$105)</f>
      </c>
      <c r="BN105">
        <f>IF(ISBLANK('Data Entry'!$$105), "", 'Data Entry'!$$105)</f>
      </c>
      <c r="BO105">
        <f>IF(ISBLANK('Data Entry'!$$105), "", 'Data Entry'!$$105)</f>
      </c>
      <c r="BP105">
        <f>IF(ISBLANK('Data Entry'!$$105), "", 'Data Entry'!$$105)</f>
      </c>
      <c r="BQ105">
        <f>IF(ISBLANK('Data Entry'!$$105), "", 'Data Entry'!$$105)</f>
      </c>
      <c r="BR105">
        <f>IF(ISBLANK('Data Entry'!$$105), "", 'Data Entry'!$$105)</f>
      </c>
      <c r="BS105">
        <f>IF(ISBLANK('Data Entry'!$$105), "", 'Data Entry'!$$105)</f>
      </c>
      <c r="BT105">
        <f>IF(ISBLANK('Data Entry'!$$105), "", 'Data Entry'!$$105)</f>
      </c>
      <c r="BU105">
        <f>IF(ISBLANK('Data Entry'!$$105), "", 'Data Entry'!$$105)</f>
      </c>
      <c r="BV105">
        <f>IF(ISBLANK('Data Entry'!$$105), "", 'Data Entry'!$$105)</f>
      </c>
      <c r="BW105">
        <f>IF(ISBLANK('Data Entry'!$$105), "", 'Data Entry'!$$105)</f>
      </c>
      <c r="BX105">
        <f>IF(ISBLANK('Data Entry'!$$105), "", 'Data Entry'!$$105)</f>
      </c>
      <c r="BY105">
        <f>IF(ISBLANK('Data Entry'!$$105), "", 'Data Entry'!$$105)</f>
      </c>
      <c r="BZ105">
        <f>IF(ISBLANK('Data Entry'!$$105), "", 'Data Entry'!$$105)</f>
      </c>
      <c r="CA105">
        <f>IF(ISBLANK('Data Entry'!$$105), "", 'Data Entry'!$$105)</f>
      </c>
      <c r="CB105">
        <f>IF(ISBLANK('Data Entry'!$$105), "", 'Data Entry'!$$105)</f>
      </c>
      <c r="CC105">
        <f>IF(ISBLANK('Data Entry'!$$105), "", 'Data Entry'!$$105)</f>
      </c>
      <c r="CD105">
        <f>IF(ISBLANK('Data Entry'!$$105), "", 'Data Entry'!$$105)</f>
      </c>
      <c r="CE105">
        <f>IF(ISBLANK('Data Entry'!$$105), "", 'Data Entry'!$$105)</f>
      </c>
      <c r="CF105">
        <f>IF(ISBLANK('Data Entry'!$$105), "", 'Data Entry'!$$105)</f>
      </c>
      <c r="CG105">
        <f>IF(ISBLANK('Data Entry'!$$105), "", 'Data Entry'!$$105)</f>
      </c>
      <c r="CH105">
        <f>IF(ISBLANK('Data Entry'!$$105), "", 'Data Entry'!$$105)</f>
      </c>
      <c r="CI105">
        <f>IF(ISBLANK('Data Entry'!$$105), "", 'Data Entry'!$$105)</f>
      </c>
      <c r="CJ105">
        <f>IF(ISBLANK('Data Entry'!$$105), "", 'Data Entry'!$$105)</f>
      </c>
      <c r="CK105">
        <f>IF(ISBLANK('Data Entry'!$$105), "", 'Data Entry'!$$105)</f>
      </c>
      <c r="CL105">
        <f>IF(ISBLANK('Data Entry'!$$105), "", 'Data Entry'!$$105)</f>
      </c>
      <c r="CM105">
        <f>IF(ISBLANK('Data Entry'!$$105), "", 'Data Entry'!$$105)</f>
      </c>
      <c r="CN105">
        <f>IF(ISBLANK('Data Entry'!$$105), "", 'Data Entry'!$$105)</f>
      </c>
      <c r="CO105">
        <f>IF(ISBLANK('Data Entry'!$$105), "", 'Data Entry'!$$105)</f>
      </c>
      <c r="CP105">
        <f>IF(ISBLANK('Data Entry'!$$105), "", 'Data Entry'!$$105)</f>
      </c>
      <c r="CQ105">
        <f>IF(ISBLANK('Data Entry'!$$105), "", 'Data Entry'!$$105)</f>
      </c>
      <c r="CR105">
        <f>IF(ISBLANK('Data Entry'!$ $105), "", 'Data Entry'!$ $105)</f>
      </c>
      <c r="CS105">
        <f>IF(ISBLANK('Data Entry'!$¡$105), "", 'Data Entry'!$¡$105)</f>
      </c>
      <c r="CT105">
        <f>IF(ISBLANK('Data Entry'!$¢$105), "", 'Data Entry'!$¢$105)</f>
      </c>
      <c r="CU105">
        <f>IF(ISBLANK('Data Entry'!$£$105), "", 'Data Entry'!$£$105)</f>
      </c>
      <c r="CV105">
        <f>IF(ISBLANK('Data Entry'!$¤$105), "", 'Data Entry'!$¤$105)</f>
      </c>
      <c r="CW105">
        <f>IF(ISBLANK('Data Entry'!$¥$105), "", 'Data Entry'!$¥$105)</f>
      </c>
      <c r="CX105">
        <f>IF(ISBLANK('Data Entry'!$¦$105), "", 'Data Entry'!$¦$105)</f>
      </c>
      <c r="CY105">
        <f>IF(ISBLANK('Data Entry'!$§$105), "", 'Data Entry'!$§$105)</f>
      </c>
      <c r="CZ105">
        <f>IF(ISBLANK('Data Entry'!$¨$105), "", 'Data Entry'!$¨$105)</f>
      </c>
      <c r="DA105">
        <f>IF(ISBLANK('Data Entry'!$©$105), "", 'Data Entry'!$©$105)</f>
      </c>
      <c r="DB105">
        <f>IF(ISBLANK('Data Entry'!$ª$105), "", 'Data Entry'!$ª$105)</f>
      </c>
      <c r="DC105">
        <f>IF(ISBLANK('Data Entry'!$«$105), "", 'Data Entry'!$«$105)</f>
      </c>
      <c r="DD105">
        <f>IF(ISBLANK('Data Entry'!$¬$105), "", 'Data Entry'!$¬$105)</f>
      </c>
      <c r="DE105">
        <f>IF(ISBLANK('Data Entry'!$­$105), "", 'Data Entry'!$­$105)</f>
      </c>
      <c r="DF105">
        <f>IF(ISBLANK('Data Entry'!$®$105), "", 'Data Entry'!$®$105)</f>
      </c>
      <c r="DG105">
        <f>IF(ISBLANK('Data Entry'!$¯$105), "", 'Data Entry'!$¯$105)</f>
      </c>
      <c r="DH105">
        <f>IF(ISBLANK('Data Entry'!$°$105), "", 'Data Entry'!$°$105)</f>
      </c>
      <c r="DI105">
        <f>IF(ISBLANK('Data Entry'!$±$105), "", 'Data Entry'!$±$105)</f>
      </c>
      <c r="DJ105">
        <f>IF(ISBLANK('Data Entry'!$²$105), "", 'Data Entry'!$²$105)</f>
      </c>
      <c r="DK105">
        <f>IF(ISBLANK('Data Entry'!$³$105), "", 'Data Entry'!$³$105)</f>
      </c>
      <c r="DL105">
        <f>IF(ISBLANK('Data Entry'!$´$105), "", 'Data Entry'!$´$105)</f>
      </c>
      <c r="DM105">
        <f>IF(ISBLANK('Data Entry'!$µ$105), "", 'Data Entry'!$µ$105)</f>
      </c>
      <c r="DN105">
        <f>IF(ISBLANK('Data Entry'!$¶$105), "", 'Data Entry'!$¶$105)</f>
      </c>
      <c r="DO105">
        <f>IF(ISBLANK('Data Entry'!$·$105), "", 'Data Entry'!$·$105)</f>
      </c>
      <c r="DP105">
        <f>IF(ISBLANK('Data Entry'!$¸$105), "", 'Data Entry'!$¸$105)</f>
      </c>
      <c r="DQ105">
        <f>IF(ISBLANK('Data Entry'!$¹$105), "", 'Data Entry'!$¹$105)</f>
      </c>
      <c r="DR105">
        <f>IF(ISBLANK('Data Entry'!$º$105), "", 'Data Entry'!$º$105)</f>
      </c>
      <c r="DS105">
        <f>IF(ISBLANK('Data Entry'!$»$105), "", 'Data Entry'!$»$105)</f>
      </c>
      <c r="DT105">
        <f>IF(ISBLANK('Data Entry'!$¼$105), "", 'Data Entry'!$¼$105)</f>
      </c>
      <c r="DU105">
        <f>IF(ISBLANK('Data Entry'!$½$105), "", 'Data Entry'!$½$105)</f>
      </c>
      <c r="DV105">
        <f>IF(ISBLANK('Data Entry'!$¾$105), "", 'Data Entry'!$¾$105)</f>
      </c>
      <c r="DW105">
        <f>IF(ISBLANK('Data Entry'!$¿$105), "", 'Data Entry'!$¿$105)</f>
      </c>
      <c r="DX105">
        <f>IF(ISBLANK('Data Entry'!$À$105), "", 'Data Entry'!$À$105)</f>
      </c>
      <c r="DY105">
        <f>IF(ISBLANK('Data Entry'!$Á$105), "", 'Data Entry'!$Á$105)</f>
      </c>
      <c r="DZ105">
        <f>IF(ISBLANK('Data Entry'!$Â$105), "", 'Data Entry'!$Â$105)</f>
      </c>
      <c r="EA105">
        <f>IF(ISBLANK('Data Entry'!$Ã$105), "", 'Data Entry'!$Ã$105)</f>
      </c>
      <c r="EB105">
        <f>IF(ISBLANK('Data Entry'!$Ä$105), "", 'Data Entry'!$Ä$105)</f>
      </c>
      <c r="EC105">
        <f>IF(ISBLANK('Data Entry'!$Å$105), "", 'Data Entry'!$Å$105)</f>
      </c>
      <c r="ED105">
        <f>IF(ISBLANK('Data Entry'!$Æ$105), "", 'Data Entry'!$Æ$105)</f>
      </c>
      <c r="EE105">
        <f>IF(ISBLANK('Data Entry'!$Ç$105), "", 'Data Entry'!$Ç$105)</f>
      </c>
      <c r="EF105">
        <f>IF(ISBLANK('Data Entry'!$È$105), "", 'Data Entry'!$È$105)</f>
      </c>
      <c r="EG105">
        <f>IF(ISBLANK('Data Entry'!$É$105), "", 'Data Entry'!$É$105)</f>
      </c>
      <c r="EH105">
        <f>IF(ISBLANK('Data Entry'!$Ê$105), "", 'Data Entry'!$Ê$105)</f>
      </c>
      <c r="EI105">
        <f>IF(ISBLANK('Data Entry'!$Ë$105), "", 'Data Entry'!$Ë$105)</f>
      </c>
      <c r="EJ105">
        <f>IF(ISBLANK('Data Entry'!$Ì$105), "", 'Data Entry'!$Ì$105)</f>
      </c>
      <c r="EK105">
        <f>IF(ISBLANK('Data Entry'!$Í$105), "", 'Data Entry'!$Í$105)</f>
      </c>
      <c r="EL105">
        <f>IF(ISBLANK('Data Entry'!$Î$105), "", 'Data Entry'!$Î$105)</f>
      </c>
      <c r="EM105">
        <f>IF(ISBLANK('Data Entry'!$Ï$105), "", 'Data Entry'!$Ï$105)</f>
      </c>
      <c r="EN105">
        <f>IF(ISBLANK('Data Entry'!$Ð$105), "", 'Data Entry'!$Ð$105)</f>
      </c>
      <c r="EO105">
        <f>IF(ISBLANK('Data Entry'!$Ñ$105), "", 'Data Entry'!$Ñ$105)</f>
      </c>
      <c r="EP105">
        <f>IF(ISBLANK('Data Entry'!$Ò$105), "", 'Data Entry'!$Ò$105)</f>
      </c>
      <c r="EQ105">
        <f>IF(ISBLANK('Data Entry'!$Ó$105), "", 'Data Entry'!$Ó$105)</f>
      </c>
      <c r="ER105">
        <f>IF(ISBLANK('Data Entry'!$Ô$105), "", 'Data Entry'!$Ô$105)</f>
      </c>
      <c r="ES105">
        <f>IF(ISBLANK('Data Entry'!$Õ$105), "", 'Data Entry'!$Õ$105)</f>
      </c>
      <c r="ET105">
        <f>IF(ISBLANK('Data Entry'!$Ö$105), "", 'Data Entry'!$Ö$105)</f>
      </c>
      <c r="EU105">
        <f>IF(ISBLANK('Data Entry'!$×$105), "", 'Data Entry'!$×$105)</f>
      </c>
      <c r="EV105">
        <f>IF(ISBLANK('Data Entry'!$Ø$105), "", 'Data Entry'!$Ø$105)</f>
      </c>
      <c r="EW105">
        <f>IF(ISBLANK('Data Entry'!$Ù$105), "", 'Data Entry'!$Ù$105)</f>
      </c>
      <c r="EX105">
        <f>IF(ISBLANK('Data Entry'!$Ú$105), "", 'Data Entry'!$Ú$105)</f>
      </c>
      <c r="EY105">
        <f>IF(ISBLANK('Data Entry'!$Û$105), "", 'Data Entry'!$Û$105)</f>
      </c>
      <c r="EZ105">
        <f>IF(ISBLANK('Data Entry'!$Ü$105), "", 'Data Entry'!$Ü$105)</f>
      </c>
      <c r="FA105">
        <f>IF(ISBLANK('Data Entry'!$Ý$105), "", 'Data Entry'!$Ý$105)</f>
      </c>
      <c r="FB105">
        <f>IF(ISBLANK('Data Entry'!$Þ$105), "", 'Data Entry'!$Þ$105)</f>
      </c>
      <c r="FC105">
        <f>IF(ISBLANK('Data Entry'!$ß$105), "", 'Data Entry'!$ß$105)</f>
      </c>
      <c r="FD105">
        <f>IF(ISBLANK('Data Entry'!$à$105), "", 'Data Entry'!$à$105)</f>
      </c>
      <c r="FE105">
        <f>IF(ISBLANK('Data Entry'!$á$105), "", 'Data Entry'!$á$105)</f>
      </c>
      <c r="FF105">
        <f>IF(ISBLANK('Data Entry'!$â$105), "", 'Data Entry'!$â$105)</f>
      </c>
      <c r="FG105">
        <f>IF(ISBLANK('Data Entry'!$ã$105), "", 'Data Entry'!$ã$105)</f>
      </c>
      <c r="FH105">
        <f>IF(ISBLANK('Data Entry'!$ä$105), "", 'Data Entry'!$ä$105)</f>
      </c>
      <c r="FI105">
        <f>IF(ISBLANK('Data Entry'!$å$105), "", 'Data Entry'!$å$105)</f>
      </c>
      <c r="FJ105">
        <f>IF(ISBLANK('Data Entry'!$æ$105), "", 'Data Entry'!$æ$105)</f>
      </c>
      <c r="FK105">
        <f>IF(ISBLANK('Data Entry'!$ç$105), "", 'Data Entry'!$ç$105)</f>
      </c>
      <c r="FL105">
        <f>IF(ISBLANK('Data Entry'!$è$105), "", 'Data Entry'!$è$105)</f>
      </c>
      <c r="FM105">
        <f>IF(ISBLANK('Data Entry'!$é$105), "", 'Data Entry'!$é$105)</f>
      </c>
      <c r="FN105">
        <f>IF(ISBLANK('Data Entry'!$ê$105), "", 'Data Entry'!$ê$105)</f>
      </c>
      <c r="FO105">
        <f>IF(ISBLANK('Data Entry'!$ë$105), "", 'Data Entry'!$ë$105)</f>
      </c>
      <c r="FP105">
        <f>IF(ISBLANK('Data Entry'!$ì$105), "", 'Data Entry'!$ì$105)</f>
      </c>
      <c r="FQ105">
        <f>IF(ISBLANK('Data Entry'!$í$105), "", 'Data Entry'!$í$105)</f>
      </c>
      <c r="FR105">
        <f>IF(ISBLANK('Data Entry'!$î$105), "", 'Data Entry'!$î$105)</f>
      </c>
      <c r="FS105">
        <f>IF(ISBLANK('Data Entry'!$ï$105), "", 'Data Entry'!$ï$105)</f>
      </c>
      <c r="FT105">
        <f>IF(ISBLANK('Data Entry'!$ð$105), "", 'Data Entry'!$ð$105)</f>
      </c>
      <c r="FU105">
        <f>IF(ISBLANK('Data Entry'!$ñ$105), "", 'Data Entry'!$ñ$105)</f>
      </c>
      <c r="FV105">
        <f>IF(ISBLANK('Data Entry'!$ò$105), "", 'Data Entry'!$ò$105)</f>
      </c>
      <c r="FW105">
        <f>IF(ISBLANK('Data Entry'!$ó$105), "", 'Data Entry'!$ó$105)</f>
      </c>
      <c r="FX105">
        <f>IF(ISBLANK('Data Entry'!$ô$105), "", 'Data Entry'!$ô$105)</f>
      </c>
      <c r="FY105">
        <f>IF(ISBLANK('Data Entry'!$õ$105), "", 'Data Entry'!$õ$105)</f>
      </c>
      <c r="FZ105">
        <f>IF(ISBLANK('Data Entry'!$ö$105), "", 'Data Entry'!$ö$105)</f>
      </c>
      <c r="GA105">
        <f>IF(ISBLANK('Data Entry'!$÷$105), "", 'Data Entry'!$÷$105)</f>
      </c>
      <c r="GB105">
        <f>IF(ISBLANK('Data Entry'!$ø$105), "", 'Data Entry'!$ø$105)</f>
      </c>
      <c r="GC105">
        <f>IF(ISBLANK('Data Entry'!$ù$105), "", 'Data Entry'!$ù$105)</f>
      </c>
      <c r="GD105">
        <f>IF(ISBLANK('Data Entry'!$ú$105), "", 'Data Entry'!$ú$105)</f>
      </c>
      <c r="GE105">
        <f>IF(ISBLANK('Data Entry'!$û$105), "", 'Data Entry'!$û$105)</f>
      </c>
      <c r="GF105">
        <f>IF(ISBLANK('Data Entry'!$ü$105), "", 'Data Entry'!$ü$105)</f>
      </c>
      <c r="GG105">
        <f>IF(ISBLANK('Data Entry'!$ý$105), "", 'Data Entry'!$ý$105)</f>
      </c>
      <c r="GH105">
        <f>IF(ISBLANK('Data Entry'!$þ$105), "", 'Data Entry'!$þ$105)</f>
      </c>
      <c r="GI105">
        <f>IF(ISBLANK('Data Entry'!$ÿ$105), "", 'Data Entry'!$ÿ$105)</f>
      </c>
      <c r="GJ105">
        <f>IF(ISBLANK('Data Entry'!$Ā$105), "", 'Data Entry'!$Ā$105)</f>
      </c>
      <c r="GK105">
        <f>IF(ISBLANK('Data Entry'!$ā$105), "", 'Data Entry'!$ā$105)</f>
      </c>
      <c r="GL105">
        <f>IF(ISBLANK('Data Entry'!$Ă$105), "", 'Data Entry'!$Ă$105)</f>
      </c>
      <c r="GM105">
        <f>IF(ISBLANK('Data Entry'!$ă$105), "", 'Data Entry'!$ă$105)</f>
      </c>
      <c r="GN105">
        <f>IF(ISBLANK('Data Entry'!$Ą$105), "", 'Data Entry'!$Ą$105)</f>
      </c>
      <c r="GO105">
        <f>IF(ISBLANK('Data Entry'!$ą$105), "", 'Data Entry'!$ą$105)</f>
      </c>
      <c r="GP105">
        <f>IF(ISBLANK('Data Entry'!$Ć$105), "", 'Data Entry'!$Ć$105)</f>
      </c>
      <c r="GQ105">
        <f>IF(ISBLANK('Data Entry'!$ć$105), "", 'Data Entry'!$ć$105)</f>
      </c>
      <c r="GR105">
        <f>IF(ISBLANK('Data Entry'!$Ĉ$105), "", 'Data Entry'!$Ĉ$105)</f>
      </c>
      <c r="GS105">
        <f>IF(ISBLANK('Data Entry'!$ĉ$105), "", 'Data Entry'!$ĉ$105)</f>
      </c>
      <c r="GT105">
        <f>IF(ISBLANK('Data Entry'!$Ċ$105), "", 'Data Entry'!$Ċ$105)</f>
      </c>
      <c r="GU105">
        <f>IF(ISBLANK('Data Entry'!$ċ$105), "", 'Data Entry'!$ċ$105)</f>
      </c>
      <c r="GV105">
        <f>IF(ISBLANK('Data Entry'!$Č$105), "", 'Data Entry'!$Č$105)</f>
      </c>
      <c r="GW105">
        <f>IF(ISBLANK('Data Entry'!$č$105), "", 'Data Entry'!$č$105)</f>
      </c>
      <c r="GX105">
        <f>IF(ISBLANK('Data Entry'!$Ď$105), "", 'Data Entry'!$Ď$105)</f>
      </c>
      <c r="GY105">
        <f>IF(ISBLANK('Data Entry'!$ď$105), "", 'Data Entry'!$ď$105)</f>
      </c>
      <c r="GZ105">
        <f>IF(ISBLANK('Data Entry'!$Đ$105), "", 'Data Entry'!$Đ$105)</f>
      </c>
      <c r="HA105">
        <f>IF(ISBLANK('Data Entry'!$đ$105), "", 'Data Entry'!$đ$105)</f>
      </c>
      <c r="HB105">
        <f>IF(ISBLANK('Data Entry'!$Ē$105), "", 'Data Entry'!$Ē$105)</f>
      </c>
      <c r="HC105">
        <f>IF(ISBLANK('Data Entry'!$ē$105), "", 'Data Entry'!$ē$105)</f>
      </c>
      <c r="HD105">
        <f>IF(ISBLANK('Data Entry'!$Ĕ$105), "", 'Data Entry'!$Ĕ$105)</f>
      </c>
      <c r="HE105">
        <f>IF(ISBLANK('Data Entry'!$ĕ$105), "", 'Data Entry'!$ĕ$105)</f>
      </c>
      <c r="HF105">
        <f>IF(ISBLANK('Data Entry'!$Ė$105), "", 'Data Entry'!$Ė$105)</f>
      </c>
      <c r="HG105">
        <f>IF(ISBLANK('Data Entry'!$ė$105), "", 'Data Entry'!$ė$105)</f>
      </c>
      <c r="HH105">
        <f>IF(ISBLANK('Data Entry'!$Ę$105), "", 'Data Entry'!$Ę$105)</f>
      </c>
      <c r="HI105">
        <f>IF(ISBLANK('Data Entry'!$ę$105), "", 'Data Entry'!$ę$105)</f>
      </c>
      <c r="HJ105">
        <f>IF(ISBLANK('Data Entry'!$Ě$105), "", 'Data Entry'!$Ě$105)</f>
      </c>
      <c r="HK105">
        <f>IF(ISBLANK('Data Entry'!$ě$105), "", 'Data Entry'!$ě$105)</f>
      </c>
      <c r="HL105">
        <f>IF(ISBLANK('Data Entry'!$Ĝ$105), "", 'Data Entry'!$Ĝ$105)</f>
      </c>
      <c r="HM105">
        <f>IF(ISBLANK('Data Entry'!$ĝ$105), "", 'Data Entry'!$ĝ$105)</f>
      </c>
      <c r="HN105">
        <f>IF(ISBLANK('Data Entry'!$Ğ$105), "", 'Data Entry'!$Ğ$105)</f>
      </c>
      <c r="HO105">
        <f>IF(ISBLANK('Data Entry'!$ğ$105), "", 'Data Entry'!$ğ$105)</f>
      </c>
      <c r="HP105">
        <f>IF(ISBLANK('Data Entry'!$Ġ$105), "", 'Data Entry'!$Ġ$105)</f>
      </c>
      <c r="HQ105">
        <f>IF(ISBLANK('Data Entry'!$ġ$105), "", 'Data Entry'!$ġ$105)</f>
      </c>
      <c r="HR105">
        <f>IF(ISBLANK('Data Entry'!$Ģ$105), "", 'Data Entry'!$Ģ$105)</f>
      </c>
      <c r="HS105">
        <f>IF(ISBLANK('Data Entry'!$ģ$105), "", 'Data Entry'!$ģ$105)</f>
      </c>
      <c r="HT105">
        <f>IF(ISBLANK('Data Entry'!$Ĥ$105), "", 'Data Entry'!$Ĥ$105)</f>
      </c>
      <c r="HU105">
        <f>IF(ISBLANK('Data Entry'!$ĥ$105), "", 'Data Entry'!$ĥ$105)</f>
      </c>
      <c r="HV105">
        <f>IF(ISBLANK('Data Entry'!$Ħ$105), "", 'Data Entry'!$Ħ$105)</f>
      </c>
      <c r="HW105">
        <f>IF(ISBLANK('Data Entry'!$ħ$105), "", 'Data Entry'!$ħ$105)</f>
      </c>
      <c r="HX105">
        <f>IF(ISBLANK('Data Entry'!$Ĩ$105), "", 'Data Entry'!$Ĩ$105)</f>
      </c>
      <c r="HY105">
        <f>IF(ISBLANK('Data Entry'!$ĩ$105), "", 'Data Entry'!$ĩ$105)</f>
      </c>
      <c r="HZ105">
        <f>IF(ISBLANK('Data Entry'!$Ī$105), "", 'Data Entry'!$Ī$105)</f>
      </c>
      <c r="IA105">
        <f>IF(ISBLANK('Data Entry'!$ī$105), "", 'Data Entry'!$ī$105)</f>
      </c>
      <c r="IB105">
        <f>IF(ISBLANK('Data Entry'!$Ĭ$105), "", 'Data Entry'!$Ĭ$105)</f>
      </c>
      <c r="IC105">
        <f>IF(ISBLANK('Data Entry'!$ĭ$105), "", 'Data Entry'!$ĭ$105)</f>
      </c>
      <c r="ID105">
        <f>IF(ISBLANK('Data Entry'!$Į$105), "", 'Data Entry'!$Į$105)</f>
      </c>
      <c r="IE105">
        <f>IF(ISBLANK('Data Entry'!$į$105), "", 'Data Entry'!$į$105)</f>
      </c>
      <c r="IF105">
        <f>IF(ISBLANK('Data Entry'!$İ$105), "", 'Data Entry'!$İ$105)</f>
      </c>
      <c r="IG105">
        <f>IF(ISBLANK('Data Entry'!$ı$105), "", 'Data Entry'!$ı$105)</f>
      </c>
      <c r="IH105">
        <f>IF(ISBLANK('Data Entry'!$Ĳ$105), "", 'Data Entry'!$Ĳ$105)</f>
      </c>
      <c r="II105">
        <f>IF(ISBLANK('Data Entry'!$ĳ$105), "", 'Data Entry'!$ĳ$105)</f>
      </c>
      <c r="IJ105">
        <f>IF(ISBLANK('Data Entry'!$Ĵ$105), "", 'Data Entry'!$Ĵ$105)</f>
      </c>
      <c r="IK105">
        <f>IF(ISBLANK('Data Entry'!$ĵ$105), "", 'Data Entry'!$ĵ$105)</f>
      </c>
      <c r="IL105">
        <f>IF(ISBLANK('Data Entry'!$Ķ$105), "", 'Data Entry'!$Ķ$105)</f>
      </c>
      <c r="IM105">
        <f>IF(ISBLANK('Data Entry'!$ķ$105), "", 'Data Entry'!$ķ$105)</f>
      </c>
      <c r="IN105">
        <f>IF(ISBLANK('Data Entry'!$ĸ$105), "", 'Data Entry'!$ĸ$105)</f>
      </c>
      <c r="IO105">
        <f>IF(ISBLANK('Data Entry'!$Ĺ$105), "", 'Data Entry'!$Ĺ$105)</f>
      </c>
      <c r="IP105">
        <f>IF(ISBLANK('Data Entry'!$ĺ$105), "", 'Data Entry'!$ĺ$105)</f>
      </c>
      <c r="IQ105">
        <f>IF(ISBLANK('Data Entry'!$Ļ$105), "", 'Data Entry'!$Ļ$105)</f>
      </c>
      <c r="IR105">
        <f>IF(ISBLANK('Data Entry'!$ļ$105), "", 'Data Entry'!$ļ$105)</f>
      </c>
      <c r="IS105">
        <f>IF(ISBLANK('Data Entry'!$Ľ$105), "", 'Data Entry'!$Ľ$105)</f>
      </c>
      <c r="IT105">
        <f>IF(ISBLANK('Data Entry'!$ľ$105), "", 'Data Entry'!$ľ$105)</f>
      </c>
    </row>
    <row r="106" spans="1:254" x14ac:dyDescent="0.25">
      <c r="A106">
        <f>IF(ISBLANK('Data Entry'!$A$106), "", 'Data Entry'!$A$106)</f>
      </c>
      <c r="B106">
        <f>IF(ISBLANK('Data Entry'!$B$106), "", 'Data Entry'!$B$106)</f>
      </c>
      <c r="C106">
        <f>IF(ISBLANK('Data Entry'!$C$106), "", 'Data Entry'!$C$106)</f>
      </c>
      <c r="D106">
        <f>IF(ISBLANK('Data Entry'!$D$106), "", 'Data Entry'!$D$106)</f>
      </c>
      <c r="E106">
        <f>IF(ISBLANK('Data Entry'!$E$106), "", 'Data Entry'!$E$106)</f>
      </c>
      <c r="F106">
        <f>IF(ISBLANK('Data Entry'!$F$106), "", 'Data Entry'!$F$106)</f>
      </c>
      <c r="G106">
        <f>IF(ISBLANK('Data Entry'!$G$106), "", 'Data Entry'!$G$106)</f>
      </c>
      <c r="H106">
        <f>IF(ISBLANK('Data Entry'!$H$106), "", 'Data Entry'!$H$106)</f>
      </c>
      <c r="I106">
        <f>IF(ISBLANK('Data Entry'!$I$106), "", 'Data Entry'!$I$106)</f>
      </c>
      <c r="J106">
        <f>IF(ISBLANK('Data Entry'!$J$106), "", 'Data Entry'!$J$106)</f>
      </c>
      <c r="K106">
        <f>IF(ISBLANK('Data Entry'!$K$106), "", 'Data Entry'!$K$106)</f>
      </c>
      <c r="L106">
        <f>IF(ISBLANK('Data Entry'!$L$106), "", 'Data Entry'!$L$106)</f>
      </c>
      <c r="M106">
        <f>IF(ISBLANK('Data Entry'!$M$106), "", 'Data Entry'!$M$106)</f>
      </c>
      <c r="N106">
        <f>IF(ISBLANK('Data Entry'!$N$106), "", 'Data Entry'!$N$106)</f>
      </c>
      <c r="O106">
        <f>IF(ISBLANK('Data Entry'!$O$106), "", 'Data Entry'!$O$106)</f>
      </c>
      <c r="P106">
        <f>IF(ISBLANK('Data Entry'!$P$106), "", 'Data Entry'!$P$106)</f>
      </c>
      <c r="Q106">
        <f>IF(ISBLANK('Data Entry'!$Q$106), "", 'Data Entry'!$Q$106)</f>
      </c>
      <c r="R106">
        <f>IF(ISBLANK('Data Entry'!$R$106), "", 'Data Entry'!$R$106)</f>
      </c>
      <c r="S106">
        <f>IF(ISBLANK('Data Entry'!$S$106), "", 'Data Entry'!$S$106)</f>
      </c>
      <c r="T106">
        <f>IF(ISBLANK('Data Entry'!$T$106), "", 'Data Entry'!$T$106)</f>
      </c>
      <c r="U106">
        <f>IF(ISBLANK('Data Entry'!$U$106), "", 'Data Entry'!$U$106)</f>
      </c>
      <c r="V106">
        <f>IF(ISBLANK('Data Entry'!$V$106), "", 'Data Entry'!$V$106)</f>
      </c>
      <c r="W106">
        <f>IF(ISBLANK('Data Entry'!$W$106), "", 'Data Entry'!$W$106)</f>
      </c>
      <c r="X106">
        <f>IF(ISBLANK('Data Entry'!$X$106), "", 'Data Entry'!$X$106)</f>
      </c>
      <c r="Y106">
        <f>IF(ISBLANK('Data Entry'!$Y$106), "", 'Data Entry'!$Y$106)</f>
      </c>
      <c r="Z106">
        <f>IF(ISBLANK('Data Entry'!$Z$106), "", 'Data Entry'!$Z$106)</f>
      </c>
      <c r="AA106">
        <f>IF(ISBLANK('Data Entry'!$[$106), "", 'Data Entry'!$[$106)</f>
      </c>
      <c r="AB106">
        <f>IF(ISBLANK('Data Entry'!$\$106), "", 'Data Entry'!$\$106)</f>
      </c>
      <c r="AC106">
        <f>IF(ISBLANK('Data Entry'!$]$106), "", 'Data Entry'!$]$106)</f>
      </c>
      <c r="AD106">
        <f>IF(ISBLANK('Data Entry'!$^$106), "", 'Data Entry'!$^$106)</f>
      </c>
      <c r="AE106">
        <f>IF(ISBLANK('Data Entry'!$_$106), "", 'Data Entry'!$_$106)</f>
      </c>
      <c r="AF106">
        <f>IF(ISBLANK('Data Entry'!$`$106), "", 'Data Entry'!$`$106)</f>
      </c>
      <c r="AG106">
        <f>IF(ISBLANK('Data Entry'!$a$106), "", 'Data Entry'!$a$106)</f>
      </c>
      <c r="AH106">
        <f>IF(ISBLANK('Data Entry'!$b$106), "", 'Data Entry'!$b$106)</f>
      </c>
      <c r="AI106">
        <f>IF(ISBLANK('Data Entry'!$c$106), "", 'Data Entry'!$c$106)</f>
      </c>
      <c r="AJ106">
        <f>IF(ISBLANK('Data Entry'!$d$106), "", 'Data Entry'!$d$106)</f>
      </c>
      <c r="AK106">
        <f>IF(ISBLANK('Data Entry'!$e$106), "", 'Data Entry'!$e$106)</f>
      </c>
      <c r="AL106">
        <f>IF(ISBLANK('Data Entry'!$f$106), "", 'Data Entry'!$f$106)</f>
      </c>
      <c r="AM106">
        <f>IF(ISBLANK('Data Entry'!$g$106), "", 'Data Entry'!$g$106)</f>
      </c>
      <c r="AN106">
        <f>IF(ISBLANK('Data Entry'!$h$106), "", 'Data Entry'!$h$106)</f>
      </c>
      <c r="AO106">
        <f>IF(ISBLANK('Data Entry'!$i$106), "", 'Data Entry'!$i$106)</f>
      </c>
      <c r="AP106">
        <f>IF(ISBLANK('Data Entry'!$j$106), "", 'Data Entry'!$j$106)</f>
      </c>
      <c r="AQ106">
        <f>IF(ISBLANK('Data Entry'!$k$106), "", 'Data Entry'!$k$106)</f>
      </c>
      <c r="AR106">
        <f>IF(ISBLANK('Data Entry'!$l$106), "", 'Data Entry'!$l$106)</f>
      </c>
      <c r="AS106">
        <f>IF(ISBLANK('Data Entry'!$m$106), "", 'Data Entry'!$m$106)</f>
      </c>
      <c r="AT106">
        <f>IF(ISBLANK('Data Entry'!$n$106), "", 'Data Entry'!$n$106)</f>
      </c>
      <c r="AU106">
        <f>IF(ISBLANK('Data Entry'!$o$106), "", 'Data Entry'!$o$106)</f>
      </c>
      <c r="AV106">
        <f>IF(ISBLANK('Data Entry'!$p$106), "", 'Data Entry'!$p$106)</f>
      </c>
      <c r="AW106">
        <f>IF(ISBLANK('Data Entry'!$q$106), "", 'Data Entry'!$q$106)</f>
      </c>
      <c r="AX106">
        <f>IF(ISBLANK('Data Entry'!$r$106), "", 'Data Entry'!$r$106)</f>
      </c>
      <c r="AY106">
        <f>IF(ISBLANK('Data Entry'!$s$106), "", 'Data Entry'!$s$106)</f>
      </c>
      <c r="AZ106">
        <f>IF(ISBLANK('Data Entry'!$t$106), "", 'Data Entry'!$t$106)</f>
      </c>
      <c r="BA106">
        <f>IF(ISBLANK('Data Entry'!$u$106), "", 'Data Entry'!$u$106)</f>
      </c>
      <c r="BB106">
        <f>IF(ISBLANK('Data Entry'!$v$106), "", 'Data Entry'!$v$106)</f>
      </c>
      <c r="BC106">
        <f>IF(ISBLANK('Data Entry'!$w$106), "", 'Data Entry'!$w$106)</f>
      </c>
      <c r="BD106">
        <f>IF(ISBLANK('Data Entry'!$x$106), "", 'Data Entry'!$x$106)</f>
      </c>
      <c r="BE106">
        <f>IF(ISBLANK('Data Entry'!$y$106), "", 'Data Entry'!$y$106)</f>
      </c>
      <c r="BF106">
        <f>IF(ISBLANK('Data Entry'!$z$106), "", 'Data Entry'!$z$106)</f>
      </c>
      <c r="BG106">
        <f>IF(ISBLANK('Data Entry'!${$106), "", 'Data Entry'!${$106)</f>
      </c>
      <c r="BH106">
        <f>IF(ISBLANK('Data Entry'!$|$106), "", 'Data Entry'!$|$106)</f>
      </c>
      <c r="BI106">
        <f>IF(ISBLANK('Data Entry'!$}$106), "", 'Data Entry'!$}$106)</f>
      </c>
      <c r="BJ106">
        <f>IF(ISBLANK('Data Entry'!$~$106), "", 'Data Entry'!$~$106)</f>
      </c>
      <c r="BK106">
        <f>IF(ISBLANK('Data Entry'!$$106), "", 'Data Entry'!$$106)</f>
      </c>
      <c r="BL106">
        <f>IF(ISBLANK('Data Entry'!$$106), "", 'Data Entry'!$$106)</f>
      </c>
      <c r="BM106">
        <f>IF(ISBLANK('Data Entry'!$$106), "", 'Data Entry'!$$106)</f>
      </c>
      <c r="BN106">
        <f>IF(ISBLANK('Data Entry'!$$106), "", 'Data Entry'!$$106)</f>
      </c>
      <c r="BO106">
        <f>IF(ISBLANK('Data Entry'!$$106), "", 'Data Entry'!$$106)</f>
      </c>
      <c r="BP106">
        <f>IF(ISBLANK('Data Entry'!$$106), "", 'Data Entry'!$$106)</f>
      </c>
      <c r="BQ106">
        <f>IF(ISBLANK('Data Entry'!$$106), "", 'Data Entry'!$$106)</f>
      </c>
      <c r="BR106">
        <f>IF(ISBLANK('Data Entry'!$$106), "", 'Data Entry'!$$106)</f>
      </c>
      <c r="BS106">
        <f>IF(ISBLANK('Data Entry'!$$106), "", 'Data Entry'!$$106)</f>
      </c>
      <c r="BT106">
        <f>IF(ISBLANK('Data Entry'!$$106), "", 'Data Entry'!$$106)</f>
      </c>
      <c r="BU106">
        <f>IF(ISBLANK('Data Entry'!$$106), "", 'Data Entry'!$$106)</f>
      </c>
      <c r="BV106">
        <f>IF(ISBLANK('Data Entry'!$$106), "", 'Data Entry'!$$106)</f>
      </c>
      <c r="BW106">
        <f>IF(ISBLANK('Data Entry'!$$106), "", 'Data Entry'!$$106)</f>
      </c>
      <c r="BX106">
        <f>IF(ISBLANK('Data Entry'!$$106), "", 'Data Entry'!$$106)</f>
      </c>
      <c r="BY106">
        <f>IF(ISBLANK('Data Entry'!$$106), "", 'Data Entry'!$$106)</f>
      </c>
      <c r="BZ106">
        <f>IF(ISBLANK('Data Entry'!$$106), "", 'Data Entry'!$$106)</f>
      </c>
      <c r="CA106">
        <f>IF(ISBLANK('Data Entry'!$$106), "", 'Data Entry'!$$106)</f>
      </c>
      <c r="CB106">
        <f>IF(ISBLANK('Data Entry'!$$106), "", 'Data Entry'!$$106)</f>
      </c>
      <c r="CC106">
        <f>IF(ISBLANK('Data Entry'!$$106), "", 'Data Entry'!$$106)</f>
      </c>
      <c r="CD106">
        <f>IF(ISBLANK('Data Entry'!$$106), "", 'Data Entry'!$$106)</f>
      </c>
      <c r="CE106">
        <f>IF(ISBLANK('Data Entry'!$$106), "", 'Data Entry'!$$106)</f>
      </c>
      <c r="CF106">
        <f>IF(ISBLANK('Data Entry'!$$106), "", 'Data Entry'!$$106)</f>
      </c>
      <c r="CG106">
        <f>IF(ISBLANK('Data Entry'!$$106), "", 'Data Entry'!$$106)</f>
      </c>
      <c r="CH106">
        <f>IF(ISBLANK('Data Entry'!$$106), "", 'Data Entry'!$$106)</f>
      </c>
      <c r="CI106">
        <f>IF(ISBLANK('Data Entry'!$$106), "", 'Data Entry'!$$106)</f>
      </c>
      <c r="CJ106">
        <f>IF(ISBLANK('Data Entry'!$$106), "", 'Data Entry'!$$106)</f>
      </c>
      <c r="CK106">
        <f>IF(ISBLANK('Data Entry'!$$106), "", 'Data Entry'!$$106)</f>
      </c>
      <c r="CL106">
        <f>IF(ISBLANK('Data Entry'!$$106), "", 'Data Entry'!$$106)</f>
      </c>
      <c r="CM106">
        <f>IF(ISBLANK('Data Entry'!$$106), "", 'Data Entry'!$$106)</f>
      </c>
      <c r="CN106">
        <f>IF(ISBLANK('Data Entry'!$$106), "", 'Data Entry'!$$106)</f>
      </c>
      <c r="CO106">
        <f>IF(ISBLANK('Data Entry'!$$106), "", 'Data Entry'!$$106)</f>
      </c>
      <c r="CP106">
        <f>IF(ISBLANK('Data Entry'!$$106), "", 'Data Entry'!$$106)</f>
      </c>
      <c r="CQ106">
        <f>IF(ISBLANK('Data Entry'!$$106), "", 'Data Entry'!$$106)</f>
      </c>
      <c r="CR106">
        <f>IF(ISBLANK('Data Entry'!$ $106), "", 'Data Entry'!$ $106)</f>
      </c>
      <c r="CS106">
        <f>IF(ISBLANK('Data Entry'!$¡$106), "", 'Data Entry'!$¡$106)</f>
      </c>
      <c r="CT106">
        <f>IF(ISBLANK('Data Entry'!$¢$106), "", 'Data Entry'!$¢$106)</f>
      </c>
      <c r="CU106">
        <f>IF(ISBLANK('Data Entry'!$£$106), "", 'Data Entry'!$£$106)</f>
      </c>
      <c r="CV106">
        <f>IF(ISBLANK('Data Entry'!$¤$106), "", 'Data Entry'!$¤$106)</f>
      </c>
      <c r="CW106">
        <f>IF(ISBLANK('Data Entry'!$¥$106), "", 'Data Entry'!$¥$106)</f>
      </c>
      <c r="CX106">
        <f>IF(ISBLANK('Data Entry'!$¦$106), "", 'Data Entry'!$¦$106)</f>
      </c>
      <c r="CY106">
        <f>IF(ISBLANK('Data Entry'!$§$106), "", 'Data Entry'!$§$106)</f>
      </c>
      <c r="CZ106">
        <f>IF(ISBLANK('Data Entry'!$¨$106), "", 'Data Entry'!$¨$106)</f>
      </c>
      <c r="DA106">
        <f>IF(ISBLANK('Data Entry'!$©$106), "", 'Data Entry'!$©$106)</f>
      </c>
      <c r="DB106">
        <f>IF(ISBLANK('Data Entry'!$ª$106), "", 'Data Entry'!$ª$106)</f>
      </c>
      <c r="DC106">
        <f>IF(ISBLANK('Data Entry'!$«$106), "", 'Data Entry'!$«$106)</f>
      </c>
      <c r="DD106">
        <f>IF(ISBLANK('Data Entry'!$¬$106), "", 'Data Entry'!$¬$106)</f>
      </c>
      <c r="DE106">
        <f>IF(ISBLANK('Data Entry'!$­$106), "", 'Data Entry'!$­$106)</f>
      </c>
      <c r="DF106">
        <f>IF(ISBLANK('Data Entry'!$®$106), "", 'Data Entry'!$®$106)</f>
      </c>
      <c r="DG106">
        <f>IF(ISBLANK('Data Entry'!$¯$106), "", 'Data Entry'!$¯$106)</f>
      </c>
      <c r="DH106">
        <f>IF(ISBLANK('Data Entry'!$°$106), "", 'Data Entry'!$°$106)</f>
      </c>
      <c r="DI106">
        <f>IF(ISBLANK('Data Entry'!$±$106), "", 'Data Entry'!$±$106)</f>
      </c>
      <c r="DJ106">
        <f>IF(ISBLANK('Data Entry'!$²$106), "", 'Data Entry'!$²$106)</f>
      </c>
      <c r="DK106">
        <f>IF(ISBLANK('Data Entry'!$³$106), "", 'Data Entry'!$³$106)</f>
      </c>
      <c r="DL106">
        <f>IF(ISBLANK('Data Entry'!$´$106), "", 'Data Entry'!$´$106)</f>
      </c>
      <c r="DM106">
        <f>IF(ISBLANK('Data Entry'!$µ$106), "", 'Data Entry'!$µ$106)</f>
      </c>
      <c r="DN106">
        <f>IF(ISBLANK('Data Entry'!$¶$106), "", 'Data Entry'!$¶$106)</f>
      </c>
      <c r="DO106">
        <f>IF(ISBLANK('Data Entry'!$·$106), "", 'Data Entry'!$·$106)</f>
      </c>
      <c r="DP106">
        <f>IF(ISBLANK('Data Entry'!$¸$106), "", 'Data Entry'!$¸$106)</f>
      </c>
      <c r="DQ106">
        <f>IF(ISBLANK('Data Entry'!$¹$106), "", 'Data Entry'!$¹$106)</f>
      </c>
      <c r="DR106">
        <f>IF(ISBLANK('Data Entry'!$º$106), "", 'Data Entry'!$º$106)</f>
      </c>
      <c r="DS106">
        <f>IF(ISBLANK('Data Entry'!$»$106), "", 'Data Entry'!$»$106)</f>
      </c>
      <c r="DT106">
        <f>IF(ISBLANK('Data Entry'!$¼$106), "", 'Data Entry'!$¼$106)</f>
      </c>
      <c r="DU106">
        <f>IF(ISBLANK('Data Entry'!$½$106), "", 'Data Entry'!$½$106)</f>
      </c>
      <c r="DV106">
        <f>IF(ISBLANK('Data Entry'!$¾$106), "", 'Data Entry'!$¾$106)</f>
      </c>
      <c r="DW106">
        <f>IF(ISBLANK('Data Entry'!$¿$106), "", 'Data Entry'!$¿$106)</f>
      </c>
      <c r="DX106">
        <f>IF(ISBLANK('Data Entry'!$À$106), "", 'Data Entry'!$À$106)</f>
      </c>
      <c r="DY106">
        <f>IF(ISBLANK('Data Entry'!$Á$106), "", 'Data Entry'!$Á$106)</f>
      </c>
      <c r="DZ106">
        <f>IF(ISBLANK('Data Entry'!$Â$106), "", 'Data Entry'!$Â$106)</f>
      </c>
      <c r="EA106">
        <f>IF(ISBLANK('Data Entry'!$Ã$106), "", 'Data Entry'!$Ã$106)</f>
      </c>
      <c r="EB106">
        <f>IF(ISBLANK('Data Entry'!$Ä$106), "", 'Data Entry'!$Ä$106)</f>
      </c>
      <c r="EC106">
        <f>IF(ISBLANK('Data Entry'!$Å$106), "", 'Data Entry'!$Å$106)</f>
      </c>
      <c r="ED106">
        <f>IF(ISBLANK('Data Entry'!$Æ$106), "", 'Data Entry'!$Æ$106)</f>
      </c>
      <c r="EE106">
        <f>IF(ISBLANK('Data Entry'!$Ç$106), "", 'Data Entry'!$Ç$106)</f>
      </c>
      <c r="EF106">
        <f>IF(ISBLANK('Data Entry'!$È$106), "", 'Data Entry'!$È$106)</f>
      </c>
      <c r="EG106">
        <f>IF(ISBLANK('Data Entry'!$É$106), "", 'Data Entry'!$É$106)</f>
      </c>
      <c r="EH106">
        <f>IF(ISBLANK('Data Entry'!$Ê$106), "", 'Data Entry'!$Ê$106)</f>
      </c>
      <c r="EI106">
        <f>IF(ISBLANK('Data Entry'!$Ë$106), "", 'Data Entry'!$Ë$106)</f>
      </c>
      <c r="EJ106">
        <f>IF(ISBLANK('Data Entry'!$Ì$106), "", 'Data Entry'!$Ì$106)</f>
      </c>
      <c r="EK106">
        <f>IF(ISBLANK('Data Entry'!$Í$106), "", 'Data Entry'!$Í$106)</f>
      </c>
      <c r="EL106">
        <f>IF(ISBLANK('Data Entry'!$Î$106), "", 'Data Entry'!$Î$106)</f>
      </c>
      <c r="EM106">
        <f>IF(ISBLANK('Data Entry'!$Ï$106), "", 'Data Entry'!$Ï$106)</f>
      </c>
      <c r="EN106">
        <f>IF(ISBLANK('Data Entry'!$Ð$106), "", 'Data Entry'!$Ð$106)</f>
      </c>
      <c r="EO106">
        <f>IF(ISBLANK('Data Entry'!$Ñ$106), "", 'Data Entry'!$Ñ$106)</f>
      </c>
      <c r="EP106">
        <f>IF(ISBLANK('Data Entry'!$Ò$106), "", 'Data Entry'!$Ò$106)</f>
      </c>
      <c r="EQ106">
        <f>IF(ISBLANK('Data Entry'!$Ó$106), "", 'Data Entry'!$Ó$106)</f>
      </c>
      <c r="ER106">
        <f>IF(ISBLANK('Data Entry'!$Ô$106), "", 'Data Entry'!$Ô$106)</f>
      </c>
      <c r="ES106">
        <f>IF(ISBLANK('Data Entry'!$Õ$106), "", 'Data Entry'!$Õ$106)</f>
      </c>
      <c r="ET106">
        <f>IF(ISBLANK('Data Entry'!$Ö$106), "", 'Data Entry'!$Ö$106)</f>
      </c>
      <c r="EU106">
        <f>IF(ISBLANK('Data Entry'!$×$106), "", 'Data Entry'!$×$106)</f>
      </c>
      <c r="EV106">
        <f>IF(ISBLANK('Data Entry'!$Ø$106), "", 'Data Entry'!$Ø$106)</f>
      </c>
      <c r="EW106">
        <f>IF(ISBLANK('Data Entry'!$Ù$106), "", 'Data Entry'!$Ù$106)</f>
      </c>
      <c r="EX106">
        <f>IF(ISBLANK('Data Entry'!$Ú$106), "", 'Data Entry'!$Ú$106)</f>
      </c>
      <c r="EY106">
        <f>IF(ISBLANK('Data Entry'!$Û$106), "", 'Data Entry'!$Û$106)</f>
      </c>
      <c r="EZ106">
        <f>IF(ISBLANK('Data Entry'!$Ü$106), "", 'Data Entry'!$Ü$106)</f>
      </c>
      <c r="FA106">
        <f>IF(ISBLANK('Data Entry'!$Ý$106), "", 'Data Entry'!$Ý$106)</f>
      </c>
      <c r="FB106">
        <f>IF(ISBLANK('Data Entry'!$Þ$106), "", 'Data Entry'!$Þ$106)</f>
      </c>
      <c r="FC106">
        <f>IF(ISBLANK('Data Entry'!$ß$106), "", 'Data Entry'!$ß$106)</f>
      </c>
      <c r="FD106">
        <f>IF(ISBLANK('Data Entry'!$à$106), "", 'Data Entry'!$à$106)</f>
      </c>
      <c r="FE106">
        <f>IF(ISBLANK('Data Entry'!$á$106), "", 'Data Entry'!$á$106)</f>
      </c>
      <c r="FF106">
        <f>IF(ISBLANK('Data Entry'!$â$106), "", 'Data Entry'!$â$106)</f>
      </c>
      <c r="FG106">
        <f>IF(ISBLANK('Data Entry'!$ã$106), "", 'Data Entry'!$ã$106)</f>
      </c>
      <c r="FH106">
        <f>IF(ISBLANK('Data Entry'!$ä$106), "", 'Data Entry'!$ä$106)</f>
      </c>
      <c r="FI106">
        <f>IF(ISBLANK('Data Entry'!$å$106), "", 'Data Entry'!$å$106)</f>
      </c>
      <c r="FJ106">
        <f>IF(ISBLANK('Data Entry'!$æ$106), "", 'Data Entry'!$æ$106)</f>
      </c>
      <c r="FK106">
        <f>IF(ISBLANK('Data Entry'!$ç$106), "", 'Data Entry'!$ç$106)</f>
      </c>
      <c r="FL106">
        <f>IF(ISBLANK('Data Entry'!$è$106), "", 'Data Entry'!$è$106)</f>
      </c>
      <c r="FM106">
        <f>IF(ISBLANK('Data Entry'!$é$106), "", 'Data Entry'!$é$106)</f>
      </c>
      <c r="FN106">
        <f>IF(ISBLANK('Data Entry'!$ê$106), "", 'Data Entry'!$ê$106)</f>
      </c>
      <c r="FO106">
        <f>IF(ISBLANK('Data Entry'!$ë$106), "", 'Data Entry'!$ë$106)</f>
      </c>
      <c r="FP106">
        <f>IF(ISBLANK('Data Entry'!$ì$106), "", 'Data Entry'!$ì$106)</f>
      </c>
      <c r="FQ106">
        <f>IF(ISBLANK('Data Entry'!$í$106), "", 'Data Entry'!$í$106)</f>
      </c>
      <c r="FR106">
        <f>IF(ISBLANK('Data Entry'!$î$106), "", 'Data Entry'!$î$106)</f>
      </c>
      <c r="FS106">
        <f>IF(ISBLANK('Data Entry'!$ï$106), "", 'Data Entry'!$ï$106)</f>
      </c>
      <c r="FT106">
        <f>IF(ISBLANK('Data Entry'!$ð$106), "", 'Data Entry'!$ð$106)</f>
      </c>
      <c r="FU106">
        <f>IF(ISBLANK('Data Entry'!$ñ$106), "", 'Data Entry'!$ñ$106)</f>
      </c>
      <c r="FV106">
        <f>IF(ISBLANK('Data Entry'!$ò$106), "", 'Data Entry'!$ò$106)</f>
      </c>
      <c r="FW106">
        <f>IF(ISBLANK('Data Entry'!$ó$106), "", 'Data Entry'!$ó$106)</f>
      </c>
      <c r="FX106">
        <f>IF(ISBLANK('Data Entry'!$ô$106), "", 'Data Entry'!$ô$106)</f>
      </c>
      <c r="FY106">
        <f>IF(ISBLANK('Data Entry'!$õ$106), "", 'Data Entry'!$õ$106)</f>
      </c>
      <c r="FZ106">
        <f>IF(ISBLANK('Data Entry'!$ö$106), "", 'Data Entry'!$ö$106)</f>
      </c>
      <c r="GA106">
        <f>IF(ISBLANK('Data Entry'!$÷$106), "", 'Data Entry'!$÷$106)</f>
      </c>
      <c r="GB106">
        <f>IF(ISBLANK('Data Entry'!$ø$106), "", 'Data Entry'!$ø$106)</f>
      </c>
      <c r="GC106">
        <f>IF(ISBLANK('Data Entry'!$ù$106), "", 'Data Entry'!$ù$106)</f>
      </c>
      <c r="GD106">
        <f>IF(ISBLANK('Data Entry'!$ú$106), "", 'Data Entry'!$ú$106)</f>
      </c>
      <c r="GE106">
        <f>IF(ISBLANK('Data Entry'!$û$106), "", 'Data Entry'!$û$106)</f>
      </c>
      <c r="GF106">
        <f>IF(ISBLANK('Data Entry'!$ü$106), "", 'Data Entry'!$ü$106)</f>
      </c>
      <c r="GG106">
        <f>IF(ISBLANK('Data Entry'!$ý$106), "", 'Data Entry'!$ý$106)</f>
      </c>
      <c r="GH106">
        <f>IF(ISBLANK('Data Entry'!$þ$106), "", 'Data Entry'!$þ$106)</f>
      </c>
      <c r="GI106">
        <f>IF(ISBLANK('Data Entry'!$ÿ$106), "", 'Data Entry'!$ÿ$106)</f>
      </c>
      <c r="GJ106">
        <f>IF(ISBLANK('Data Entry'!$Ā$106), "", 'Data Entry'!$Ā$106)</f>
      </c>
      <c r="GK106">
        <f>IF(ISBLANK('Data Entry'!$ā$106), "", 'Data Entry'!$ā$106)</f>
      </c>
      <c r="GL106">
        <f>IF(ISBLANK('Data Entry'!$Ă$106), "", 'Data Entry'!$Ă$106)</f>
      </c>
      <c r="GM106">
        <f>IF(ISBLANK('Data Entry'!$ă$106), "", 'Data Entry'!$ă$106)</f>
      </c>
      <c r="GN106">
        <f>IF(ISBLANK('Data Entry'!$Ą$106), "", 'Data Entry'!$Ą$106)</f>
      </c>
      <c r="GO106">
        <f>IF(ISBLANK('Data Entry'!$ą$106), "", 'Data Entry'!$ą$106)</f>
      </c>
      <c r="GP106">
        <f>IF(ISBLANK('Data Entry'!$Ć$106), "", 'Data Entry'!$Ć$106)</f>
      </c>
      <c r="GQ106">
        <f>IF(ISBLANK('Data Entry'!$ć$106), "", 'Data Entry'!$ć$106)</f>
      </c>
      <c r="GR106">
        <f>IF(ISBLANK('Data Entry'!$Ĉ$106), "", 'Data Entry'!$Ĉ$106)</f>
      </c>
      <c r="GS106">
        <f>IF(ISBLANK('Data Entry'!$ĉ$106), "", 'Data Entry'!$ĉ$106)</f>
      </c>
      <c r="GT106">
        <f>IF(ISBLANK('Data Entry'!$Ċ$106), "", 'Data Entry'!$Ċ$106)</f>
      </c>
      <c r="GU106">
        <f>IF(ISBLANK('Data Entry'!$ċ$106), "", 'Data Entry'!$ċ$106)</f>
      </c>
      <c r="GV106">
        <f>IF(ISBLANK('Data Entry'!$Č$106), "", 'Data Entry'!$Č$106)</f>
      </c>
      <c r="GW106">
        <f>IF(ISBLANK('Data Entry'!$č$106), "", 'Data Entry'!$č$106)</f>
      </c>
      <c r="GX106">
        <f>IF(ISBLANK('Data Entry'!$Ď$106), "", 'Data Entry'!$Ď$106)</f>
      </c>
      <c r="GY106">
        <f>IF(ISBLANK('Data Entry'!$ď$106), "", 'Data Entry'!$ď$106)</f>
      </c>
      <c r="GZ106">
        <f>IF(ISBLANK('Data Entry'!$Đ$106), "", 'Data Entry'!$Đ$106)</f>
      </c>
      <c r="HA106">
        <f>IF(ISBLANK('Data Entry'!$đ$106), "", 'Data Entry'!$đ$106)</f>
      </c>
      <c r="HB106">
        <f>IF(ISBLANK('Data Entry'!$Ē$106), "", 'Data Entry'!$Ē$106)</f>
      </c>
      <c r="HC106">
        <f>IF(ISBLANK('Data Entry'!$ē$106), "", 'Data Entry'!$ē$106)</f>
      </c>
      <c r="HD106">
        <f>IF(ISBLANK('Data Entry'!$Ĕ$106), "", 'Data Entry'!$Ĕ$106)</f>
      </c>
      <c r="HE106">
        <f>IF(ISBLANK('Data Entry'!$ĕ$106), "", 'Data Entry'!$ĕ$106)</f>
      </c>
      <c r="HF106">
        <f>IF(ISBLANK('Data Entry'!$Ė$106), "", 'Data Entry'!$Ė$106)</f>
      </c>
      <c r="HG106">
        <f>IF(ISBLANK('Data Entry'!$ė$106), "", 'Data Entry'!$ė$106)</f>
      </c>
      <c r="HH106">
        <f>IF(ISBLANK('Data Entry'!$Ę$106), "", 'Data Entry'!$Ę$106)</f>
      </c>
      <c r="HI106">
        <f>IF(ISBLANK('Data Entry'!$ę$106), "", 'Data Entry'!$ę$106)</f>
      </c>
      <c r="HJ106">
        <f>IF(ISBLANK('Data Entry'!$Ě$106), "", 'Data Entry'!$Ě$106)</f>
      </c>
      <c r="HK106">
        <f>IF(ISBLANK('Data Entry'!$ě$106), "", 'Data Entry'!$ě$106)</f>
      </c>
      <c r="HL106">
        <f>IF(ISBLANK('Data Entry'!$Ĝ$106), "", 'Data Entry'!$Ĝ$106)</f>
      </c>
      <c r="HM106">
        <f>IF(ISBLANK('Data Entry'!$ĝ$106), "", 'Data Entry'!$ĝ$106)</f>
      </c>
      <c r="HN106">
        <f>IF(ISBLANK('Data Entry'!$Ğ$106), "", 'Data Entry'!$Ğ$106)</f>
      </c>
      <c r="HO106">
        <f>IF(ISBLANK('Data Entry'!$ğ$106), "", 'Data Entry'!$ğ$106)</f>
      </c>
      <c r="HP106">
        <f>IF(ISBLANK('Data Entry'!$Ġ$106), "", 'Data Entry'!$Ġ$106)</f>
      </c>
      <c r="HQ106">
        <f>IF(ISBLANK('Data Entry'!$ġ$106), "", 'Data Entry'!$ġ$106)</f>
      </c>
      <c r="HR106">
        <f>IF(ISBLANK('Data Entry'!$Ģ$106), "", 'Data Entry'!$Ģ$106)</f>
      </c>
      <c r="HS106">
        <f>IF(ISBLANK('Data Entry'!$ģ$106), "", 'Data Entry'!$ģ$106)</f>
      </c>
      <c r="HT106">
        <f>IF(ISBLANK('Data Entry'!$Ĥ$106), "", 'Data Entry'!$Ĥ$106)</f>
      </c>
      <c r="HU106">
        <f>IF(ISBLANK('Data Entry'!$ĥ$106), "", 'Data Entry'!$ĥ$106)</f>
      </c>
      <c r="HV106">
        <f>IF(ISBLANK('Data Entry'!$Ħ$106), "", 'Data Entry'!$Ħ$106)</f>
      </c>
      <c r="HW106">
        <f>IF(ISBLANK('Data Entry'!$ħ$106), "", 'Data Entry'!$ħ$106)</f>
      </c>
      <c r="HX106">
        <f>IF(ISBLANK('Data Entry'!$Ĩ$106), "", 'Data Entry'!$Ĩ$106)</f>
      </c>
      <c r="HY106">
        <f>IF(ISBLANK('Data Entry'!$ĩ$106), "", 'Data Entry'!$ĩ$106)</f>
      </c>
      <c r="HZ106">
        <f>IF(ISBLANK('Data Entry'!$Ī$106), "", 'Data Entry'!$Ī$106)</f>
      </c>
      <c r="IA106">
        <f>IF(ISBLANK('Data Entry'!$ī$106), "", 'Data Entry'!$ī$106)</f>
      </c>
      <c r="IB106">
        <f>IF(ISBLANK('Data Entry'!$Ĭ$106), "", 'Data Entry'!$Ĭ$106)</f>
      </c>
      <c r="IC106">
        <f>IF(ISBLANK('Data Entry'!$ĭ$106), "", 'Data Entry'!$ĭ$106)</f>
      </c>
      <c r="ID106">
        <f>IF(ISBLANK('Data Entry'!$Į$106), "", 'Data Entry'!$Į$106)</f>
      </c>
      <c r="IE106">
        <f>IF(ISBLANK('Data Entry'!$į$106), "", 'Data Entry'!$į$106)</f>
      </c>
      <c r="IF106">
        <f>IF(ISBLANK('Data Entry'!$İ$106), "", 'Data Entry'!$İ$106)</f>
      </c>
      <c r="IG106">
        <f>IF(ISBLANK('Data Entry'!$ı$106), "", 'Data Entry'!$ı$106)</f>
      </c>
      <c r="IH106">
        <f>IF(ISBLANK('Data Entry'!$Ĳ$106), "", 'Data Entry'!$Ĳ$106)</f>
      </c>
      <c r="II106">
        <f>IF(ISBLANK('Data Entry'!$ĳ$106), "", 'Data Entry'!$ĳ$106)</f>
      </c>
      <c r="IJ106">
        <f>IF(ISBLANK('Data Entry'!$Ĵ$106), "", 'Data Entry'!$Ĵ$106)</f>
      </c>
      <c r="IK106">
        <f>IF(ISBLANK('Data Entry'!$ĵ$106), "", 'Data Entry'!$ĵ$106)</f>
      </c>
      <c r="IL106">
        <f>IF(ISBLANK('Data Entry'!$Ķ$106), "", 'Data Entry'!$Ķ$106)</f>
      </c>
      <c r="IM106">
        <f>IF(ISBLANK('Data Entry'!$ķ$106), "", 'Data Entry'!$ķ$106)</f>
      </c>
      <c r="IN106">
        <f>IF(ISBLANK('Data Entry'!$ĸ$106), "", 'Data Entry'!$ĸ$106)</f>
      </c>
      <c r="IO106">
        <f>IF(ISBLANK('Data Entry'!$Ĺ$106), "", 'Data Entry'!$Ĺ$106)</f>
      </c>
      <c r="IP106">
        <f>IF(ISBLANK('Data Entry'!$ĺ$106), "", 'Data Entry'!$ĺ$106)</f>
      </c>
      <c r="IQ106">
        <f>IF(ISBLANK('Data Entry'!$Ļ$106), "", 'Data Entry'!$Ļ$106)</f>
      </c>
      <c r="IR106">
        <f>IF(ISBLANK('Data Entry'!$ļ$106), "", 'Data Entry'!$ļ$106)</f>
      </c>
      <c r="IS106">
        <f>IF(ISBLANK('Data Entry'!$Ľ$106), "", 'Data Entry'!$Ľ$106)</f>
      </c>
      <c r="IT106">
        <f>IF(ISBLANK('Data Entry'!$ľ$106), "", 'Data Entry'!$ľ$106)</f>
      </c>
    </row>
    <row r="107" spans="1:254" x14ac:dyDescent="0.25">
      <c r="A107">
        <f>IF(ISBLANK('Data Entry'!$A$107), "", 'Data Entry'!$A$107)</f>
      </c>
      <c r="B107">
        <f>IF(ISBLANK('Data Entry'!$B$107), "", 'Data Entry'!$B$107)</f>
      </c>
      <c r="C107">
        <f>IF(ISBLANK('Data Entry'!$C$107), "", 'Data Entry'!$C$107)</f>
      </c>
      <c r="D107">
        <f>IF(ISBLANK('Data Entry'!$D$107), "", 'Data Entry'!$D$107)</f>
      </c>
      <c r="E107">
        <f>IF(ISBLANK('Data Entry'!$E$107), "", 'Data Entry'!$E$107)</f>
      </c>
      <c r="F107">
        <f>IF(ISBLANK('Data Entry'!$F$107), "", 'Data Entry'!$F$107)</f>
      </c>
      <c r="G107">
        <f>IF(ISBLANK('Data Entry'!$G$107), "", 'Data Entry'!$G$107)</f>
      </c>
      <c r="H107">
        <f>IF(ISBLANK('Data Entry'!$H$107), "", 'Data Entry'!$H$107)</f>
      </c>
      <c r="I107">
        <f>IF(ISBLANK('Data Entry'!$I$107), "", 'Data Entry'!$I$107)</f>
      </c>
      <c r="J107">
        <f>IF(ISBLANK('Data Entry'!$J$107), "", 'Data Entry'!$J$107)</f>
      </c>
      <c r="K107">
        <f>IF(ISBLANK('Data Entry'!$K$107), "", 'Data Entry'!$K$107)</f>
      </c>
      <c r="L107">
        <f>IF(ISBLANK('Data Entry'!$L$107), "", 'Data Entry'!$L$107)</f>
      </c>
      <c r="M107">
        <f>IF(ISBLANK('Data Entry'!$M$107), "", 'Data Entry'!$M$107)</f>
      </c>
      <c r="N107">
        <f>IF(ISBLANK('Data Entry'!$N$107), "", 'Data Entry'!$N$107)</f>
      </c>
      <c r="O107">
        <f>IF(ISBLANK('Data Entry'!$O$107), "", 'Data Entry'!$O$107)</f>
      </c>
      <c r="P107">
        <f>IF(ISBLANK('Data Entry'!$P$107), "", 'Data Entry'!$P$107)</f>
      </c>
      <c r="Q107">
        <f>IF(ISBLANK('Data Entry'!$Q$107), "", 'Data Entry'!$Q$107)</f>
      </c>
      <c r="R107">
        <f>IF(ISBLANK('Data Entry'!$R$107), "", 'Data Entry'!$R$107)</f>
      </c>
      <c r="S107">
        <f>IF(ISBLANK('Data Entry'!$S$107), "", 'Data Entry'!$S$107)</f>
      </c>
      <c r="T107">
        <f>IF(ISBLANK('Data Entry'!$T$107), "", 'Data Entry'!$T$107)</f>
      </c>
      <c r="U107">
        <f>IF(ISBLANK('Data Entry'!$U$107), "", 'Data Entry'!$U$107)</f>
      </c>
      <c r="V107">
        <f>IF(ISBLANK('Data Entry'!$V$107), "", 'Data Entry'!$V$107)</f>
      </c>
      <c r="W107">
        <f>IF(ISBLANK('Data Entry'!$W$107), "", 'Data Entry'!$W$107)</f>
      </c>
      <c r="X107">
        <f>IF(ISBLANK('Data Entry'!$X$107), "", 'Data Entry'!$X$107)</f>
      </c>
      <c r="Y107">
        <f>IF(ISBLANK('Data Entry'!$Y$107), "", 'Data Entry'!$Y$107)</f>
      </c>
      <c r="Z107">
        <f>IF(ISBLANK('Data Entry'!$Z$107), "", 'Data Entry'!$Z$107)</f>
      </c>
      <c r="AA107">
        <f>IF(ISBLANK('Data Entry'!$[$107), "", 'Data Entry'!$[$107)</f>
      </c>
      <c r="AB107">
        <f>IF(ISBLANK('Data Entry'!$\$107), "", 'Data Entry'!$\$107)</f>
      </c>
      <c r="AC107">
        <f>IF(ISBLANK('Data Entry'!$]$107), "", 'Data Entry'!$]$107)</f>
      </c>
      <c r="AD107">
        <f>IF(ISBLANK('Data Entry'!$^$107), "", 'Data Entry'!$^$107)</f>
      </c>
      <c r="AE107">
        <f>IF(ISBLANK('Data Entry'!$_$107), "", 'Data Entry'!$_$107)</f>
      </c>
      <c r="AF107">
        <f>IF(ISBLANK('Data Entry'!$`$107), "", 'Data Entry'!$`$107)</f>
      </c>
      <c r="AG107">
        <f>IF(ISBLANK('Data Entry'!$a$107), "", 'Data Entry'!$a$107)</f>
      </c>
      <c r="AH107">
        <f>IF(ISBLANK('Data Entry'!$b$107), "", 'Data Entry'!$b$107)</f>
      </c>
      <c r="AI107">
        <f>IF(ISBLANK('Data Entry'!$c$107), "", 'Data Entry'!$c$107)</f>
      </c>
      <c r="AJ107">
        <f>IF(ISBLANK('Data Entry'!$d$107), "", 'Data Entry'!$d$107)</f>
      </c>
      <c r="AK107">
        <f>IF(ISBLANK('Data Entry'!$e$107), "", 'Data Entry'!$e$107)</f>
      </c>
      <c r="AL107">
        <f>IF(ISBLANK('Data Entry'!$f$107), "", 'Data Entry'!$f$107)</f>
      </c>
      <c r="AM107">
        <f>IF(ISBLANK('Data Entry'!$g$107), "", 'Data Entry'!$g$107)</f>
      </c>
      <c r="AN107">
        <f>IF(ISBLANK('Data Entry'!$h$107), "", 'Data Entry'!$h$107)</f>
      </c>
      <c r="AO107">
        <f>IF(ISBLANK('Data Entry'!$i$107), "", 'Data Entry'!$i$107)</f>
      </c>
      <c r="AP107">
        <f>IF(ISBLANK('Data Entry'!$j$107), "", 'Data Entry'!$j$107)</f>
      </c>
      <c r="AQ107">
        <f>IF(ISBLANK('Data Entry'!$k$107), "", 'Data Entry'!$k$107)</f>
      </c>
      <c r="AR107">
        <f>IF(ISBLANK('Data Entry'!$l$107), "", 'Data Entry'!$l$107)</f>
      </c>
      <c r="AS107">
        <f>IF(ISBLANK('Data Entry'!$m$107), "", 'Data Entry'!$m$107)</f>
      </c>
      <c r="AT107">
        <f>IF(ISBLANK('Data Entry'!$n$107), "", 'Data Entry'!$n$107)</f>
      </c>
      <c r="AU107">
        <f>IF(ISBLANK('Data Entry'!$o$107), "", 'Data Entry'!$o$107)</f>
      </c>
      <c r="AV107">
        <f>IF(ISBLANK('Data Entry'!$p$107), "", 'Data Entry'!$p$107)</f>
      </c>
      <c r="AW107">
        <f>IF(ISBLANK('Data Entry'!$q$107), "", 'Data Entry'!$q$107)</f>
      </c>
      <c r="AX107">
        <f>IF(ISBLANK('Data Entry'!$r$107), "", 'Data Entry'!$r$107)</f>
      </c>
      <c r="AY107">
        <f>IF(ISBLANK('Data Entry'!$s$107), "", 'Data Entry'!$s$107)</f>
      </c>
      <c r="AZ107">
        <f>IF(ISBLANK('Data Entry'!$t$107), "", 'Data Entry'!$t$107)</f>
      </c>
      <c r="BA107">
        <f>IF(ISBLANK('Data Entry'!$u$107), "", 'Data Entry'!$u$107)</f>
      </c>
      <c r="BB107">
        <f>IF(ISBLANK('Data Entry'!$v$107), "", 'Data Entry'!$v$107)</f>
      </c>
      <c r="BC107">
        <f>IF(ISBLANK('Data Entry'!$w$107), "", 'Data Entry'!$w$107)</f>
      </c>
      <c r="BD107">
        <f>IF(ISBLANK('Data Entry'!$x$107), "", 'Data Entry'!$x$107)</f>
      </c>
      <c r="BE107">
        <f>IF(ISBLANK('Data Entry'!$y$107), "", 'Data Entry'!$y$107)</f>
      </c>
      <c r="BF107">
        <f>IF(ISBLANK('Data Entry'!$z$107), "", 'Data Entry'!$z$107)</f>
      </c>
      <c r="BG107">
        <f>IF(ISBLANK('Data Entry'!${$107), "", 'Data Entry'!${$107)</f>
      </c>
      <c r="BH107">
        <f>IF(ISBLANK('Data Entry'!$|$107), "", 'Data Entry'!$|$107)</f>
      </c>
      <c r="BI107">
        <f>IF(ISBLANK('Data Entry'!$}$107), "", 'Data Entry'!$}$107)</f>
      </c>
      <c r="BJ107">
        <f>IF(ISBLANK('Data Entry'!$~$107), "", 'Data Entry'!$~$107)</f>
      </c>
      <c r="BK107">
        <f>IF(ISBLANK('Data Entry'!$$107), "", 'Data Entry'!$$107)</f>
      </c>
      <c r="BL107">
        <f>IF(ISBLANK('Data Entry'!$$107), "", 'Data Entry'!$$107)</f>
      </c>
      <c r="BM107">
        <f>IF(ISBLANK('Data Entry'!$$107), "", 'Data Entry'!$$107)</f>
      </c>
      <c r="BN107">
        <f>IF(ISBLANK('Data Entry'!$$107), "", 'Data Entry'!$$107)</f>
      </c>
      <c r="BO107">
        <f>IF(ISBLANK('Data Entry'!$$107), "", 'Data Entry'!$$107)</f>
      </c>
      <c r="BP107">
        <f>IF(ISBLANK('Data Entry'!$$107), "", 'Data Entry'!$$107)</f>
      </c>
      <c r="BQ107">
        <f>IF(ISBLANK('Data Entry'!$$107), "", 'Data Entry'!$$107)</f>
      </c>
      <c r="BR107">
        <f>IF(ISBLANK('Data Entry'!$$107), "", 'Data Entry'!$$107)</f>
      </c>
      <c r="BS107">
        <f>IF(ISBLANK('Data Entry'!$$107), "", 'Data Entry'!$$107)</f>
      </c>
      <c r="BT107">
        <f>IF(ISBLANK('Data Entry'!$$107), "", 'Data Entry'!$$107)</f>
      </c>
      <c r="BU107">
        <f>IF(ISBLANK('Data Entry'!$$107), "", 'Data Entry'!$$107)</f>
      </c>
      <c r="BV107">
        <f>IF(ISBLANK('Data Entry'!$$107), "", 'Data Entry'!$$107)</f>
      </c>
      <c r="BW107">
        <f>IF(ISBLANK('Data Entry'!$$107), "", 'Data Entry'!$$107)</f>
      </c>
      <c r="BX107">
        <f>IF(ISBLANK('Data Entry'!$$107), "", 'Data Entry'!$$107)</f>
      </c>
      <c r="BY107">
        <f>IF(ISBLANK('Data Entry'!$$107), "", 'Data Entry'!$$107)</f>
      </c>
      <c r="BZ107">
        <f>IF(ISBLANK('Data Entry'!$$107), "", 'Data Entry'!$$107)</f>
      </c>
      <c r="CA107">
        <f>IF(ISBLANK('Data Entry'!$$107), "", 'Data Entry'!$$107)</f>
      </c>
      <c r="CB107">
        <f>IF(ISBLANK('Data Entry'!$$107), "", 'Data Entry'!$$107)</f>
      </c>
      <c r="CC107">
        <f>IF(ISBLANK('Data Entry'!$$107), "", 'Data Entry'!$$107)</f>
      </c>
      <c r="CD107">
        <f>IF(ISBLANK('Data Entry'!$$107), "", 'Data Entry'!$$107)</f>
      </c>
      <c r="CE107">
        <f>IF(ISBLANK('Data Entry'!$$107), "", 'Data Entry'!$$107)</f>
      </c>
      <c r="CF107">
        <f>IF(ISBLANK('Data Entry'!$$107), "", 'Data Entry'!$$107)</f>
      </c>
      <c r="CG107">
        <f>IF(ISBLANK('Data Entry'!$$107), "", 'Data Entry'!$$107)</f>
      </c>
      <c r="CH107">
        <f>IF(ISBLANK('Data Entry'!$$107), "", 'Data Entry'!$$107)</f>
      </c>
      <c r="CI107">
        <f>IF(ISBLANK('Data Entry'!$$107), "", 'Data Entry'!$$107)</f>
      </c>
      <c r="CJ107">
        <f>IF(ISBLANK('Data Entry'!$$107), "", 'Data Entry'!$$107)</f>
      </c>
      <c r="CK107">
        <f>IF(ISBLANK('Data Entry'!$$107), "", 'Data Entry'!$$107)</f>
      </c>
      <c r="CL107">
        <f>IF(ISBLANK('Data Entry'!$$107), "", 'Data Entry'!$$107)</f>
      </c>
      <c r="CM107">
        <f>IF(ISBLANK('Data Entry'!$$107), "", 'Data Entry'!$$107)</f>
      </c>
      <c r="CN107">
        <f>IF(ISBLANK('Data Entry'!$$107), "", 'Data Entry'!$$107)</f>
      </c>
      <c r="CO107">
        <f>IF(ISBLANK('Data Entry'!$$107), "", 'Data Entry'!$$107)</f>
      </c>
      <c r="CP107">
        <f>IF(ISBLANK('Data Entry'!$$107), "", 'Data Entry'!$$107)</f>
      </c>
      <c r="CQ107">
        <f>IF(ISBLANK('Data Entry'!$$107), "", 'Data Entry'!$$107)</f>
      </c>
      <c r="CR107">
        <f>IF(ISBLANK('Data Entry'!$ $107), "", 'Data Entry'!$ $107)</f>
      </c>
      <c r="CS107">
        <f>IF(ISBLANK('Data Entry'!$¡$107), "", 'Data Entry'!$¡$107)</f>
      </c>
      <c r="CT107">
        <f>IF(ISBLANK('Data Entry'!$¢$107), "", 'Data Entry'!$¢$107)</f>
      </c>
      <c r="CU107">
        <f>IF(ISBLANK('Data Entry'!$£$107), "", 'Data Entry'!$£$107)</f>
      </c>
      <c r="CV107">
        <f>IF(ISBLANK('Data Entry'!$¤$107), "", 'Data Entry'!$¤$107)</f>
      </c>
      <c r="CW107">
        <f>IF(ISBLANK('Data Entry'!$¥$107), "", 'Data Entry'!$¥$107)</f>
      </c>
      <c r="CX107">
        <f>IF(ISBLANK('Data Entry'!$¦$107), "", 'Data Entry'!$¦$107)</f>
      </c>
      <c r="CY107">
        <f>IF(ISBLANK('Data Entry'!$§$107), "", 'Data Entry'!$§$107)</f>
      </c>
      <c r="CZ107">
        <f>IF(ISBLANK('Data Entry'!$¨$107), "", 'Data Entry'!$¨$107)</f>
      </c>
      <c r="DA107">
        <f>IF(ISBLANK('Data Entry'!$©$107), "", 'Data Entry'!$©$107)</f>
      </c>
      <c r="DB107">
        <f>IF(ISBLANK('Data Entry'!$ª$107), "", 'Data Entry'!$ª$107)</f>
      </c>
      <c r="DC107">
        <f>IF(ISBLANK('Data Entry'!$«$107), "", 'Data Entry'!$«$107)</f>
      </c>
      <c r="DD107">
        <f>IF(ISBLANK('Data Entry'!$¬$107), "", 'Data Entry'!$¬$107)</f>
      </c>
      <c r="DE107">
        <f>IF(ISBLANK('Data Entry'!$­$107), "", 'Data Entry'!$­$107)</f>
      </c>
      <c r="DF107">
        <f>IF(ISBLANK('Data Entry'!$®$107), "", 'Data Entry'!$®$107)</f>
      </c>
      <c r="DG107">
        <f>IF(ISBLANK('Data Entry'!$¯$107), "", 'Data Entry'!$¯$107)</f>
      </c>
      <c r="DH107">
        <f>IF(ISBLANK('Data Entry'!$°$107), "", 'Data Entry'!$°$107)</f>
      </c>
      <c r="DI107">
        <f>IF(ISBLANK('Data Entry'!$±$107), "", 'Data Entry'!$±$107)</f>
      </c>
      <c r="DJ107">
        <f>IF(ISBLANK('Data Entry'!$²$107), "", 'Data Entry'!$²$107)</f>
      </c>
      <c r="DK107">
        <f>IF(ISBLANK('Data Entry'!$³$107), "", 'Data Entry'!$³$107)</f>
      </c>
      <c r="DL107">
        <f>IF(ISBLANK('Data Entry'!$´$107), "", 'Data Entry'!$´$107)</f>
      </c>
      <c r="DM107">
        <f>IF(ISBLANK('Data Entry'!$µ$107), "", 'Data Entry'!$µ$107)</f>
      </c>
      <c r="DN107">
        <f>IF(ISBLANK('Data Entry'!$¶$107), "", 'Data Entry'!$¶$107)</f>
      </c>
      <c r="DO107">
        <f>IF(ISBLANK('Data Entry'!$·$107), "", 'Data Entry'!$·$107)</f>
      </c>
      <c r="DP107">
        <f>IF(ISBLANK('Data Entry'!$¸$107), "", 'Data Entry'!$¸$107)</f>
      </c>
      <c r="DQ107">
        <f>IF(ISBLANK('Data Entry'!$¹$107), "", 'Data Entry'!$¹$107)</f>
      </c>
      <c r="DR107">
        <f>IF(ISBLANK('Data Entry'!$º$107), "", 'Data Entry'!$º$107)</f>
      </c>
      <c r="DS107">
        <f>IF(ISBLANK('Data Entry'!$»$107), "", 'Data Entry'!$»$107)</f>
      </c>
      <c r="DT107">
        <f>IF(ISBLANK('Data Entry'!$¼$107), "", 'Data Entry'!$¼$107)</f>
      </c>
      <c r="DU107">
        <f>IF(ISBLANK('Data Entry'!$½$107), "", 'Data Entry'!$½$107)</f>
      </c>
      <c r="DV107">
        <f>IF(ISBLANK('Data Entry'!$¾$107), "", 'Data Entry'!$¾$107)</f>
      </c>
      <c r="DW107">
        <f>IF(ISBLANK('Data Entry'!$¿$107), "", 'Data Entry'!$¿$107)</f>
      </c>
      <c r="DX107">
        <f>IF(ISBLANK('Data Entry'!$À$107), "", 'Data Entry'!$À$107)</f>
      </c>
      <c r="DY107">
        <f>IF(ISBLANK('Data Entry'!$Á$107), "", 'Data Entry'!$Á$107)</f>
      </c>
      <c r="DZ107">
        <f>IF(ISBLANK('Data Entry'!$Â$107), "", 'Data Entry'!$Â$107)</f>
      </c>
      <c r="EA107">
        <f>IF(ISBLANK('Data Entry'!$Ã$107), "", 'Data Entry'!$Ã$107)</f>
      </c>
      <c r="EB107">
        <f>IF(ISBLANK('Data Entry'!$Ä$107), "", 'Data Entry'!$Ä$107)</f>
      </c>
      <c r="EC107">
        <f>IF(ISBLANK('Data Entry'!$Å$107), "", 'Data Entry'!$Å$107)</f>
      </c>
      <c r="ED107">
        <f>IF(ISBLANK('Data Entry'!$Æ$107), "", 'Data Entry'!$Æ$107)</f>
      </c>
      <c r="EE107">
        <f>IF(ISBLANK('Data Entry'!$Ç$107), "", 'Data Entry'!$Ç$107)</f>
      </c>
      <c r="EF107">
        <f>IF(ISBLANK('Data Entry'!$È$107), "", 'Data Entry'!$È$107)</f>
      </c>
      <c r="EG107">
        <f>IF(ISBLANK('Data Entry'!$É$107), "", 'Data Entry'!$É$107)</f>
      </c>
      <c r="EH107">
        <f>IF(ISBLANK('Data Entry'!$Ê$107), "", 'Data Entry'!$Ê$107)</f>
      </c>
      <c r="EI107">
        <f>IF(ISBLANK('Data Entry'!$Ë$107), "", 'Data Entry'!$Ë$107)</f>
      </c>
      <c r="EJ107">
        <f>IF(ISBLANK('Data Entry'!$Ì$107), "", 'Data Entry'!$Ì$107)</f>
      </c>
      <c r="EK107">
        <f>IF(ISBLANK('Data Entry'!$Í$107), "", 'Data Entry'!$Í$107)</f>
      </c>
      <c r="EL107">
        <f>IF(ISBLANK('Data Entry'!$Î$107), "", 'Data Entry'!$Î$107)</f>
      </c>
      <c r="EM107">
        <f>IF(ISBLANK('Data Entry'!$Ï$107), "", 'Data Entry'!$Ï$107)</f>
      </c>
      <c r="EN107">
        <f>IF(ISBLANK('Data Entry'!$Ð$107), "", 'Data Entry'!$Ð$107)</f>
      </c>
      <c r="EO107">
        <f>IF(ISBLANK('Data Entry'!$Ñ$107), "", 'Data Entry'!$Ñ$107)</f>
      </c>
      <c r="EP107">
        <f>IF(ISBLANK('Data Entry'!$Ò$107), "", 'Data Entry'!$Ò$107)</f>
      </c>
      <c r="EQ107">
        <f>IF(ISBLANK('Data Entry'!$Ó$107), "", 'Data Entry'!$Ó$107)</f>
      </c>
      <c r="ER107">
        <f>IF(ISBLANK('Data Entry'!$Ô$107), "", 'Data Entry'!$Ô$107)</f>
      </c>
      <c r="ES107">
        <f>IF(ISBLANK('Data Entry'!$Õ$107), "", 'Data Entry'!$Õ$107)</f>
      </c>
      <c r="ET107">
        <f>IF(ISBLANK('Data Entry'!$Ö$107), "", 'Data Entry'!$Ö$107)</f>
      </c>
      <c r="EU107">
        <f>IF(ISBLANK('Data Entry'!$×$107), "", 'Data Entry'!$×$107)</f>
      </c>
      <c r="EV107">
        <f>IF(ISBLANK('Data Entry'!$Ø$107), "", 'Data Entry'!$Ø$107)</f>
      </c>
      <c r="EW107">
        <f>IF(ISBLANK('Data Entry'!$Ù$107), "", 'Data Entry'!$Ù$107)</f>
      </c>
      <c r="EX107">
        <f>IF(ISBLANK('Data Entry'!$Ú$107), "", 'Data Entry'!$Ú$107)</f>
      </c>
      <c r="EY107">
        <f>IF(ISBLANK('Data Entry'!$Û$107), "", 'Data Entry'!$Û$107)</f>
      </c>
      <c r="EZ107">
        <f>IF(ISBLANK('Data Entry'!$Ü$107), "", 'Data Entry'!$Ü$107)</f>
      </c>
      <c r="FA107">
        <f>IF(ISBLANK('Data Entry'!$Ý$107), "", 'Data Entry'!$Ý$107)</f>
      </c>
      <c r="FB107">
        <f>IF(ISBLANK('Data Entry'!$Þ$107), "", 'Data Entry'!$Þ$107)</f>
      </c>
      <c r="FC107">
        <f>IF(ISBLANK('Data Entry'!$ß$107), "", 'Data Entry'!$ß$107)</f>
      </c>
      <c r="FD107">
        <f>IF(ISBLANK('Data Entry'!$à$107), "", 'Data Entry'!$à$107)</f>
      </c>
      <c r="FE107">
        <f>IF(ISBLANK('Data Entry'!$á$107), "", 'Data Entry'!$á$107)</f>
      </c>
      <c r="FF107">
        <f>IF(ISBLANK('Data Entry'!$â$107), "", 'Data Entry'!$â$107)</f>
      </c>
      <c r="FG107">
        <f>IF(ISBLANK('Data Entry'!$ã$107), "", 'Data Entry'!$ã$107)</f>
      </c>
      <c r="FH107">
        <f>IF(ISBLANK('Data Entry'!$ä$107), "", 'Data Entry'!$ä$107)</f>
      </c>
      <c r="FI107">
        <f>IF(ISBLANK('Data Entry'!$å$107), "", 'Data Entry'!$å$107)</f>
      </c>
      <c r="FJ107">
        <f>IF(ISBLANK('Data Entry'!$æ$107), "", 'Data Entry'!$æ$107)</f>
      </c>
      <c r="FK107">
        <f>IF(ISBLANK('Data Entry'!$ç$107), "", 'Data Entry'!$ç$107)</f>
      </c>
      <c r="FL107">
        <f>IF(ISBLANK('Data Entry'!$è$107), "", 'Data Entry'!$è$107)</f>
      </c>
      <c r="FM107">
        <f>IF(ISBLANK('Data Entry'!$é$107), "", 'Data Entry'!$é$107)</f>
      </c>
      <c r="FN107">
        <f>IF(ISBLANK('Data Entry'!$ê$107), "", 'Data Entry'!$ê$107)</f>
      </c>
      <c r="FO107">
        <f>IF(ISBLANK('Data Entry'!$ë$107), "", 'Data Entry'!$ë$107)</f>
      </c>
      <c r="FP107">
        <f>IF(ISBLANK('Data Entry'!$ì$107), "", 'Data Entry'!$ì$107)</f>
      </c>
      <c r="FQ107">
        <f>IF(ISBLANK('Data Entry'!$í$107), "", 'Data Entry'!$í$107)</f>
      </c>
      <c r="FR107">
        <f>IF(ISBLANK('Data Entry'!$î$107), "", 'Data Entry'!$î$107)</f>
      </c>
      <c r="FS107">
        <f>IF(ISBLANK('Data Entry'!$ï$107), "", 'Data Entry'!$ï$107)</f>
      </c>
      <c r="FT107">
        <f>IF(ISBLANK('Data Entry'!$ð$107), "", 'Data Entry'!$ð$107)</f>
      </c>
      <c r="FU107">
        <f>IF(ISBLANK('Data Entry'!$ñ$107), "", 'Data Entry'!$ñ$107)</f>
      </c>
      <c r="FV107">
        <f>IF(ISBLANK('Data Entry'!$ò$107), "", 'Data Entry'!$ò$107)</f>
      </c>
      <c r="FW107">
        <f>IF(ISBLANK('Data Entry'!$ó$107), "", 'Data Entry'!$ó$107)</f>
      </c>
      <c r="FX107">
        <f>IF(ISBLANK('Data Entry'!$ô$107), "", 'Data Entry'!$ô$107)</f>
      </c>
      <c r="FY107">
        <f>IF(ISBLANK('Data Entry'!$õ$107), "", 'Data Entry'!$õ$107)</f>
      </c>
      <c r="FZ107">
        <f>IF(ISBLANK('Data Entry'!$ö$107), "", 'Data Entry'!$ö$107)</f>
      </c>
      <c r="GA107">
        <f>IF(ISBLANK('Data Entry'!$÷$107), "", 'Data Entry'!$÷$107)</f>
      </c>
      <c r="GB107">
        <f>IF(ISBLANK('Data Entry'!$ø$107), "", 'Data Entry'!$ø$107)</f>
      </c>
      <c r="GC107">
        <f>IF(ISBLANK('Data Entry'!$ù$107), "", 'Data Entry'!$ù$107)</f>
      </c>
      <c r="GD107">
        <f>IF(ISBLANK('Data Entry'!$ú$107), "", 'Data Entry'!$ú$107)</f>
      </c>
      <c r="GE107">
        <f>IF(ISBLANK('Data Entry'!$û$107), "", 'Data Entry'!$û$107)</f>
      </c>
      <c r="GF107">
        <f>IF(ISBLANK('Data Entry'!$ü$107), "", 'Data Entry'!$ü$107)</f>
      </c>
      <c r="GG107">
        <f>IF(ISBLANK('Data Entry'!$ý$107), "", 'Data Entry'!$ý$107)</f>
      </c>
      <c r="GH107">
        <f>IF(ISBLANK('Data Entry'!$þ$107), "", 'Data Entry'!$þ$107)</f>
      </c>
      <c r="GI107">
        <f>IF(ISBLANK('Data Entry'!$ÿ$107), "", 'Data Entry'!$ÿ$107)</f>
      </c>
      <c r="GJ107">
        <f>IF(ISBLANK('Data Entry'!$Ā$107), "", 'Data Entry'!$Ā$107)</f>
      </c>
      <c r="GK107">
        <f>IF(ISBLANK('Data Entry'!$ā$107), "", 'Data Entry'!$ā$107)</f>
      </c>
      <c r="GL107">
        <f>IF(ISBLANK('Data Entry'!$Ă$107), "", 'Data Entry'!$Ă$107)</f>
      </c>
      <c r="GM107">
        <f>IF(ISBLANK('Data Entry'!$ă$107), "", 'Data Entry'!$ă$107)</f>
      </c>
      <c r="GN107">
        <f>IF(ISBLANK('Data Entry'!$Ą$107), "", 'Data Entry'!$Ą$107)</f>
      </c>
      <c r="GO107">
        <f>IF(ISBLANK('Data Entry'!$ą$107), "", 'Data Entry'!$ą$107)</f>
      </c>
      <c r="GP107">
        <f>IF(ISBLANK('Data Entry'!$Ć$107), "", 'Data Entry'!$Ć$107)</f>
      </c>
      <c r="GQ107">
        <f>IF(ISBLANK('Data Entry'!$ć$107), "", 'Data Entry'!$ć$107)</f>
      </c>
      <c r="GR107">
        <f>IF(ISBLANK('Data Entry'!$Ĉ$107), "", 'Data Entry'!$Ĉ$107)</f>
      </c>
      <c r="GS107">
        <f>IF(ISBLANK('Data Entry'!$ĉ$107), "", 'Data Entry'!$ĉ$107)</f>
      </c>
      <c r="GT107">
        <f>IF(ISBLANK('Data Entry'!$Ċ$107), "", 'Data Entry'!$Ċ$107)</f>
      </c>
      <c r="GU107">
        <f>IF(ISBLANK('Data Entry'!$ċ$107), "", 'Data Entry'!$ċ$107)</f>
      </c>
      <c r="GV107">
        <f>IF(ISBLANK('Data Entry'!$Č$107), "", 'Data Entry'!$Č$107)</f>
      </c>
      <c r="GW107">
        <f>IF(ISBLANK('Data Entry'!$č$107), "", 'Data Entry'!$č$107)</f>
      </c>
      <c r="GX107">
        <f>IF(ISBLANK('Data Entry'!$Ď$107), "", 'Data Entry'!$Ď$107)</f>
      </c>
      <c r="GY107">
        <f>IF(ISBLANK('Data Entry'!$ď$107), "", 'Data Entry'!$ď$107)</f>
      </c>
      <c r="GZ107">
        <f>IF(ISBLANK('Data Entry'!$Đ$107), "", 'Data Entry'!$Đ$107)</f>
      </c>
      <c r="HA107">
        <f>IF(ISBLANK('Data Entry'!$đ$107), "", 'Data Entry'!$đ$107)</f>
      </c>
      <c r="HB107">
        <f>IF(ISBLANK('Data Entry'!$Ē$107), "", 'Data Entry'!$Ē$107)</f>
      </c>
      <c r="HC107">
        <f>IF(ISBLANK('Data Entry'!$ē$107), "", 'Data Entry'!$ē$107)</f>
      </c>
      <c r="HD107">
        <f>IF(ISBLANK('Data Entry'!$Ĕ$107), "", 'Data Entry'!$Ĕ$107)</f>
      </c>
      <c r="HE107">
        <f>IF(ISBLANK('Data Entry'!$ĕ$107), "", 'Data Entry'!$ĕ$107)</f>
      </c>
      <c r="HF107">
        <f>IF(ISBLANK('Data Entry'!$Ė$107), "", 'Data Entry'!$Ė$107)</f>
      </c>
      <c r="HG107">
        <f>IF(ISBLANK('Data Entry'!$ė$107), "", 'Data Entry'!$ė$107)</f>
      </c>
      <c r="HH107">
        <f>IF(ISBLANK('Data Entry'!$Ę$107), "", 'Data Entry'!$Ę$107)</f>
      </c>
      <c r="HI107">
        <f>IF(ISBLANK('Data Entry'!$ę$107), "", 'Data Entry'!$ę$107)</f>
      </c>
      <c r="HJ107">
        <f>IF(ISBLANK('Data Entry'!$Ě$107), "", 'Data Entry'!$Ě$107)</f>
      </c>
      <c r="HK107">
        <f>IF(ISBLANK('Data Entry'!$ě$107), "", 'Data Entry'!$ě$107)</f>
      </c>
      <c r="HL107">
        <f>IF(ISBLANK('Data Entry'!$Ĝ$107), "", 'Data Entry'!$Ĝ$107)</f>
      </c>
      <c r="HM107">
        <f>IF(ISBLANK('Data Entry'!$ĝ$107), "", 'Data Entry'!$ĝ$107)</f>
      </c>
      <c r="HN107">
        <f>IF(ISBLANK('Data Entry'!$Ğ$107), "", 'Data Entry'!$Ğ$107)</f>
      </c>
      <c r="HO107">
        <f>IF(ISBLANK('Data Entry'!$ğ$107), "", 'Data Entry'!$ğ$107)</f>
      </c>
      <c r="HP107">
        <f>IF(ISBLANK('Data Entry'!$Ġ$107), "", 'Data Entry'!$Ġ$107)</f>
      </c>
      <c r="HQ107">
        <f>IF(ISBLANK('Data Entry'!$ġ$107), "", 'Data Entry'!$ġ$107)</f>
      </c>
      <c r="HR107">
        <f>IF(ISBLANK('Data Entry'!$Ģ$107), "", 'Data Entry'!$Ģ$107)</f>
      </c>
      <c r="HS107">
        <f>IF(ISBLANK('Data Entry'!$ģ$107), "", 'Data Entry'!$ģ$107)</f>
      </c>
      <c r="HT107">
        <f>IF(ISBLANK('Data Entry'!$Ĥ$107), "", 'Data Entry'!$Ĥ$107)</f>
      </c>
      <c r="HU107">
        <f>IF(ISBLANK('Data Entry'!$ĥ$107), "", 'Data Entry'!$ĥ$107)</f>
      </c>
      <c r="HV107">
        <f>IF(ISBLANK('Data Entry'!$Ħ$107), "", 'Data Entry'!$Ħ$107)</f>
      </c>
      <c r="HW107">
        <f>IF(ISBLANK('Data Entry'!$ħ$107), "", 'Data Entry'!$ħ$107)</f>
      </c>
      <c r="HX107">
        <f>IF(ISBLANK('Data Entry'!$Ĩ$107), "", 'Data Entry'!$Ĩ$107)</f>
      </c>
      <c r="HY107">
        <f>IF(ISBLANK('Data Entry'!$ĩ$107), "", 'Data Entry'!$ĩ$107)</f>
      </c>
      <c r="HZ107">
        <f>IF(ISBLANK('Data Entry'!$Ī$107), "", 'Data Entry'!$Ī$107)</f>
      </c>
      <c r="IA107">
        <f>IF(ISBLANK('Data Entry'!$ī$107), "", 'Data Entry'!$ī$107)</f>
      </c>
      <c r="IB107">
        <f>IF(ISBLANK('Data Entry'!$Ĭ$107), "", 'Data Entry'!$Ĭ$107)</f>
      </c>
      <c r="IC107">
        <f>IF(ISBLANK('Data Entry'!$ĭ$107), "", 'Data Entry'!$ĭ$107)</f>
      </c>
      <c r="ID107">
        <f>IF(ISBLANK('Data Entry'!$Į$107), "", 'Data Entry'!$Į$107)</f>
      </c>
      <c r="IE107">
        <f>IF(ISBLANK('Data Entry'!$į$107), "", 'Data Entry'!$į$107)</f>
      </c>
      <c r="IF107">
        <f>IF(ISBLANK('Data Entry'!$İ$107), "", 'Data Entry'!$İ$107)</f>
      </c>
      <c r="IG107">
        <f>IF(ISBLANK('Data Entry'!$ı$107), "", 'Data Entry'!$ı$107)</f>
      </c>
      <c r="IH107">
        <f>IF(ISBLANK('Data Entry'!$Ĳ$107), "", 'Data Entry'!$Ĳ$107)</f>
      </c>
      <c r="II107">
        <f>IF(ISBLANK('Data Entry'!$ĳ$107), "", 'Data Entry'!$ĳ$107)</f>
      </c>
      <c r="IJ107">
        <f>IF(ISBLANK('Data Entry'!$Ĵ$107), "", 'Data Entry'!$Ĵ$107)</f>
      </c>
      <c r="IK107">
        <f>IF(ISBLANK('Data Entry'!$ĵ$107), "", 'Data Entry'!$ĵ$107)</f>
      </c>
      <c r="IL107">
        <f>IF(ISBLANK('Data Entry'!$Ķ$107), "", 'Data Entry'!$Ķ$107)</f>
      </c>
      <c r="IM107">
        <f>IF(ISBLANK('Data Entry'!$ķ$107), "", 'Data Entry'!$ķ$107)</f>
      </c>
      <c r="IN107">
        <f>IF(ISBLANK('Data Entry'!$ĸ$107), "", 'Data Entry'!$ĸ$107)</f>
      </c>
      <c r="IO107">
        <f>IF(ISBLANK('Data Entry'!$Ĺ$107), "", 'Data Entry'!$Ĺ$107)</f>
      </c>
      <c r="IP107">
        <f>IF(ISBLANK('Data Entry'!$ĺ$107), "", 'Data Entry'!$ĺ$107)</f>
      </c>
      <c r="IQ107">
        <f>IF(ISBLANK('Data Entry'!$Ļ$107), "", 'Data Entry'!$Ļ$107)</f>
      </c>
      <c r="IR107">
        <f>IF(ISBLANK('Data Entry'!$ļ$107), "", 'Data Entry'!$ļ$107)</f>
      </c>
      <c r="IS107">
        <f>IF(ISBLANK('Data Entry'!$Ľ$107), "", 'Data Entry'!$Ľ$107)</f>
      </c>
      <c r="IT107">
        <f>IF(ISBLANK('Data Entry'!$ľ$107), "", 'Data Entry'!$ľ$107)</f>
      </c>
    </row>
    <row r="108" spans="1:254" x14ac:dyDescent="0.25">
      <c r="A108">
        <f>IF(ISBLANK('Data Entry'!$A$108), "", 'Data Entry'!$A$108)</f>
      </c>
      <c r="B108">
        <f>IF(ISBLANK('Data Entry'!$B$108), "", 'Data Entry'!$B$108)</f>
      </c>
      <c r="C108">
        <f>IF(ISBLANK('Data Entry'!$C$108), "", 'Data Entry'!$C$108)</f>
      </c>
      <c r="D108">
        <f>IF(ISBLANK('Data Entry'!$D$108), "", 'Data Entry'!$D$108)</f>
      </c>
      <c r="E108">
        <f>IF(ISBLANK('Data Entry'!$E$108), "", 'Data Entry'!$E$108)</f>
      </c>
      <c r="F108">
        <f>IF(ISBLANK('Data Entry'!$F$108), "", 'Data Entry'!$F$108)</f>
      </c>
      <c r="G108">
        <f>IF(ISBLANK('Data Entry'!$G$108), "", 'Data Entry'!$G$108)</f>
      </c>
      <c r="H108">
        <f>IF(ISBLANK('Data Entry'!$H$108), "", 'Data Entry'!$H$108)</f>
      </c>
      <c r="I108">
        <f>IF(ISBLANK('Data Entry'!$I$108), "", 'Data Entry'!$I$108)</f>
      </c>
      <c r="J108">
        <f>IF(ISBLANK('Data Entry'!$J$108), "", 'Data Entry'!$J$108)</f>
      </c>
      <c r="K108">
        <f>IF(ISBLANK('Data Entry'!$K$108), "", 'Data Entry'!$K$108)</f>
      </c>
      <c r="L108">
        <f>IF(ISBLANK('Data Entry'!$L$108), "", 'Data Entry'!$L$108)</f>
      </c>
      <c r="M108">
        <f>IF(ISBLANK('Data Entry'!$M$108), "", 'Data Entry'!$M$108)</f>
      </c>
      <c r="N108">
        <f>IF(ISBLANK('Data Entry'!$N$108), "", 'Data Entry'!$N$108)</f>
      </c>
      <c r="O108">
        <f>IF(ISBLANK('Data Entry'!$O$108), "", 'Data Entry'!$O$108)</f>
      </c>
      <c r="P108">
        <f>IF(ISBLANK('Data Entry'!$P$108), "", 'Data Entry'!$P$108)</f>
      </c>
      <c r="Q108">
        <f>IF(ISBLANK('Data Entry'!$Q$108), "", 'Data Entry'!$Q$108)</f>
      </c>
      <c r="R108">
        <f>IF(ISBLANK('Data Entry'!$R$108), "", 'Data Entry'!$R$108)</f>
      </c>
      <c r="S108">
        <f>IF(ISBLANK('Data Entry'!$S$108), "", 'Data Entry'!$S$108)</f>
      </c>
      <c r="T108">
        <f>IF(ISBLANK('Data Entry'!$T$108), "", 'Data Entry'!$T$108)</f>
      </c>
      <c r="U108">
        <f>IF(ISBLANK('Data Entry'!$U$108), "", 'Data Entry'!$U$108)</f>
      </c>
      <c r="V108">
        <f>IF(ISBLANK('Data Entry'!$V$108), "", 'Data Entry'!$V$108)</f>
      </c>
      <c r="W108">
        <f>IF(ISBLANK('Data Entry'!$W$108), "", 'Data Entry'!$W$108)</f>
      </c>
      <c r="X108">
        <f>IF(ISBLANK('Data Entry'!$X$108), "", 'Data Entry'!$X$108)</f>
      </c>
      <c r="Y108">
        <f>IF(ISBLANK('Data Entry'!$Y$108), "", 'Data Entry'!$Y$108)</f>
      </c>
      <c r="Z108">
        <f>IF(ISBLANK('Data Entry'!$Z$108), "", 'Data Entry'!$Z$108)</f>
      </c>
      <c r="AA108">
        <f>IF(ISBLANK('Data Entry'!$[$108), "", 'Data Entry'!$[$108)</f>
      </c>
      <c r="AB108">
        <f>IF(ISBLANK('Data Entry'!$\$108), "", 'Data Entry'!$\$108)</f>
      </c>
      <c r="AC108">
        <f>IF(ISBLANK('Data Entry'!$]$108), "", 'Data Entry'!$]$108)</f>
      </c>
      <c r="AD108">
        <f>IF(ISBLANK('Data Entry'!$^$108), "", 'Data Entry'!$^$108)</f>
      </c>
      <c r="AE108">
        <f>IF(ISBLANK('Data Entry'!$_$108), "", 'Data Entry'!$_$108)</f>
      </c>
      <c r="AF108">
        <f>IF(ISBLANK('Data Entry'!$`$108), "", 'Data Entry'!$`$108)</f>
      </c>
      <c r="AG108">
        <f>IF(ISBLANK('Data Entry'!$a$108), "", 'Data Entry'!$a$108)</f>
      </c>
      <c r="AH108">
        <f>IF(ISBLANK('Data Entry'!$b$108), "", 'Data Entry'!$b$108)</f>
      </c>
      <c r="AI108">
        <f>IF(ISBLANK('Data Entry'!$c$108), "", 'Data Entry'!$c$108)</f>
      </c>
      <c r="AJ108">
        <f>IF(ISBLANK('Data Entry'!$d$108), "", 'Data Entry'!$d$108)</f>
      </c>
      <c r="AK108">
        <f>IF(ISBLANK('Data Entry'!$e$108), "", 'Data Entry'!$e$108)</f>
      </c>
      <c r="AL108">
        <f>IF(ISBLANK('Data Entry'!$f$108), "", 'Data Entry'!$f$108)</f>
      </c>
      <c r="AM108">
        <f>IF(ISBLANK('Data Entry'!$g$108), "", 'Data Entry'!$g$108)</f>
      </c>
      <c r="AN108">
        <f>IF(ISBLANK('Data Entry'!$h$108), "", 'Data Entry'!$h$108)</f>
      </c>
      <c r="AO108">
        <f>IF(ISBLANK('Data Entry'!$i$108), "", 'Data Entry'!$i$108)</f>
      </c>
      <c r="AP108">
        <f>IF(ISBLANK('Data Entry'!$j$108), "", 'Data Entry'!$j$108)</f>
      </c>
      <c r="AQ108">
        <f>IF(ISBLANK('Data Entry'!$k$108), "", 'Data Entry'!$k$108)</f>
      </c>
      <c r="AR108">
        <f>IF(ISBLANK('Data Entry'!$l$108), "", 'Data Entry'!$l$108)</f>
      </c>
      <c r="AS108">
        <f>IF(ISBLANK('Data Entry'!$m$108), "", 'Data Entry'!$m$108)</f>
      </c>
      <c r="AT108">
        <f>IF(ISBLANK('Data Entry'!$n$108), "", 'Data Entry'!$n$108)</f>
      </c>
      <c r="AU108">
        <f>IF(ISBLANK('Data Entry'!$o$108), "", 'Data Entry'!$o$108)</f>
      </c>
      <c r="AV108">
        <f>IF(ISBLANK('Data Entry'!$p$108), "", 'Data Entry'!$p$108)</f>
      </c>
      <c r="AW108">
        <f>IF(ISBLANK('Data Entry'!$q$108), "", 'Data Entry'!$q$108)</f>
      </c>
      <c r="AX108">
        <f>IF(ISBLANK('Data Entry'!$r$108), "", 'Data Entry'!$r$108)</f>
      </c>
      <c r="AY108">
        <f>IF(ISBLANK('Data Entry'!$s$108), "", 'Data Entry'!$s$108)</f>
      </c>
      <c r="AZ108">
        <f>IF(ISBLANK('Data Entry'!$t$108), "", 'Data Entry'!$t$108)</f>
      </c>
      <c r="BA108">
        <f>IF(ISBLANK('Data Entry'!$u$108), "", 'Data Entry'!$u$108)</f>
      </c>
      <c r="BB108">
        <f>IF(ISBLANK('Data Entry'!$v$108), "", 'Data Entry'!$v$108)</f>
      </c>
      <c r="BC108">
        <f>IF(ISBLANK('Data Entry'!$w$108), "", 'Data Entry'!$w$108)</f>
      </c>
      <c r="BD108">
        <f>IF(ISBLANK('Data Entry'!$x$108), "", 'Data Entry'!$x$108)</f>
      </c>
      <c r="BE108">
        <f>IF(ISBLANK('Data Entry'!$y$108), "", 'Data Entry'!$y$108)</f>
      </c>
      <c r="BF108">
        <f>IF(ISBLANK('Data Entry'!$z$108), "", 'Data Entry'!$z$108)</f>
      </c>
      <c r="BG108">
        <f>IF(ISBLANK('Data Entry'!${$108), "", 'Data Entry'!${$108)</f>
      </c>
      <c r="BH108">
        <f>IF(ISBLANK('Data Entry'!$|$108), "", 'Data Entry'!$|$108)</f>
      </c>
      <c r="BI108">
        <f>IF(ISBLANK('Data Entry'!$}$108), "", 'Data Entry'!$}$108)</f>
      </c>
      <c r="BJ108">
        <f>IF(ISBLANK('Data Entry'!$~$108), "", 'Data Entry'!$~$108)</f>
      </c>
      <c r="BK108">
        <f>IF(ISBLANK('Data Entry'!$$108), "", 'Data Entry'!$$108)</f>
      </c>
      <c r="BL108">
        <f>IF(ISBLANK('Data Entry'!$$108), "", 'Data Entry'!$$108)</f>
      </c>
      <c r="BM108">
        <f>IF(ISBLANK('Data Entry'!$$108), "", 'Data Entry'!$$108)</f>
      </c>
      <c r="BN108">
        <f>IF(ISBLANK('Data Entry'!$$108), "", 'Data Entry'!$$108)</f>
      </c>
      <c r="BO108">
        <f>IF(ISBLANK('Data Entry'!$$108), "", 'Data Entry'!$$108)</f>
      </c>
      <c r="BP108">
        <f>IF(ISBLANK('Data Entry'!$$108), "", 'Data Entry'!$$108)</f>
      </c>
      <c r="BQ108">
        <f>IF(ISBLANK('Data Entry'!$$108), "", 'Data Entry'!$$108)</f>
      </c>
      <c r="BR108">
        <f>IF(ISBLANK('Data Entry'!$$108), "", 'Data Entry'!$$108)</f>
      </c>
      <c r="BS108">
        <f>IF(ISBLANK('Data Entry'!$$108), "", 'Data Entry'!$$108)</f>
      </c>
      <c r="BT108">
        <f>IF(ISBLANK('Data Entry'!$$108), "", 'Data Entry'!$$108)</f>
      </c>
      <c r="BU108">
        <f>IF(ISBLANK('Data Entry'!$$108), "", 'Data Entry'!$$108)</f>
      </c>
      <c r="BV108">
        <f>IF(ISBLANK('Data Entry'!$$108), "", 'Data Entry'!$$108)</f>
      </c>
      <c r="BW108">
        <f>IF(ISBLANK('Data Entry'!$$108), "", 'Data Entry'!$$108)</f>
      </c>
      <c r="BX108">
        <f>IF(ISBLANK('Data Entry'!$$108), "", 'Data Entry'!$$108)</f>
      </c>
      <c r="BY108">
        <f>IF(ISBLANK('Data Entry'!$$108), "", 'Data Entry'!$$108)</f>
      </c>
      <c r="BZ108">
        <f>IF(ISBLANK('Data Entry'!$$108), "", 'Data Entry'!$$108)</f>
      </c>
      <c r="CA108">
        <f>IF(ISBLANK('Data Entry'!$$108), "", 'Data Entry'!$$108)</f>
      </c>
      <c r="CB108">
        <f>IF(ISBLANK('Data Entry'!$$108), "", 'Data Entry'!$$108)</f>
      </c>
      <c r="CC108">
        <f>IF(ISBLANK('Data Entry'!$$108), "", 'Data Entry'!$$108)</f>
      </c>
      <c r="CD108">
        <f>IF(ISBLANK('Data Entry'!$$108), "", 'Data Entry'!$$108)</f>
      </c>
      <c r="CE108">
        <f>IF(ISBLANK('Data Entry'!$$108), "", 'Data Entry'!$$108)</f>
      </c>
      <c r="CF108">
        <f>IF(ISBLANK('Data Entry'!$$108), "", 'Data Entry'!$$108)</f>
      </c>
      <c r="CG108">
        <f>IF(ISBLANK('Data Entry'!$$108), "", 'Data Entry'!$$108)</f>
      </c>
      <c r="CH108">
        <f>IF(ISBLANK('Data Entry'!$$108), "", 'Data Entry'!$$108)</f>
      </c>
      <c r="CI108">
        <f>IF(ISBLANK('Data Entry'!$$108), "", 'Data Entry'!$$108)</f>
      </c>
      <c r="CJ108">
        <f>IF(ISBLANK('Data Entry'!$$108), "", 'Data Entry'!$$108)</f>
      </c>
      <c r="CK108">
        <f>IF(ISBLANK('Data Entry'!$$108), "", 'Data Entry'!$$108)</f>
      </c>
      <c r="CL108">
        <f>IF(ISBLANK('Data Entry'!$$108), "", 'Data Entry'!$$108)</f>
      </c>
      <c r="CM108">
        <f>IF(ISBLANK('Data Entry'!$$108), "", 'Data Entry'!$$108)</f>
      </c>
      <c r="CN108">
        <f>IF(ISBLANK('Data Entry'!$$108), "", 'Data Entry'!$$108)</f>
      </c>
      <c r="CO108">
        <f>IF(ISBLANK('Data Entry'!$$108), "", 'Data Entry'!$$108)</f>
      </c>
      <c r="CP108">
        <f>IF(ISBLANK('Data Entry'!$$108), "", 'Data Entry'!$$108)</f>
      </c>
      <c r="CQ108">
        <f>IF(ISBLANK('Data Entry'!$$108), "", 'Data Entry'!$$108)</f>
      </c>
      <c r="CR108">
        <f>IF(ISBLANK('Data Entry'!$ $108), "", 'Data Entry'!$ $108)</f>
      </c>
      <c r="CS108">
        <f>IF(ISBLANK('Data Entry'!$¡$108), "", 'Data Entry'!$¡$108)</f>
      </c>
      <c r="CT108">
        <f>IF(ISBLANK('Data Entry'!$¢$108), "", 'Data Entry'!$¢$108)</f>
      </c>
      <c r="CU108">
        <f>IF(ISBLANK('Data Entry'!$£$108), "", 'Data Entry'!$£$108)</f>
      </c>
      <c r="CV108">
        <f>IF(ISBLANK('Data Entry'!$¤$108), "", 'Data Entry'!$¤$108)</f>
      </c>
      <c r="CW108">
        <f>IF(ISBLANK('Data Entry'!$¥$108), "", 'Data Entry'!$¥$108)</f>
      </c>
      <c r="CX108">
        <f>IF(ISBLANK('Data Entry'!$¦$108), "", 'Data Entry'!$¦$108)</f>
      </c>
      <c r="CY108">
        <f>IF(ISBLANK('Data Entry'!$§$108), "", 'Data Entry'!$§$108)</f>
      </c>
      <c r="CZ108">
        <f>IF(ISBLANK('Data Entry'!$¨$108), "", 'Data Entry'!$¨$108)</f>
      </c>
      <c r="DA108">
        <f>IF(ISBLANK('Data Entry'!$©$108), "", 'Data Entry'!$©$108)</f>
      </c>
      <c r="DB108">
        <f>IF(ISBLANK('Data Entry'!$ª$108), "", 'Data Entry'!$ª$108)</f>
      </c>
      <c r="DC108">
        <f>IF(ISBLANK('Data Entry'!$«$108), "", 'Data Entry'!$«$108)</f>
      </c>
      <c r="DD108">
        <f>IF(ISBLANK('Data Entry'!$¬$108), "", 'Data Entry'!$¬$108)</f>
      </c>
      <c r="DE108">
        <f>IF(ISBLANK('Data Entry'!$­$108), "", 'Data Entry'!$­$108)</f>
      </c>
      <c r="DF108">
        <f>IF(ISBLANK('Data Entry'!$®$108), "", 'Data Entry'!$®$108)</f>
      </c>
      <c r="DG108">
        <f>IF(ISBLANK('Data Entry'!$¯$108), "", 'Data Entry'!$¯$108)</f>
      </c>
      <c r="DH108">
        <f>IF(ISBLANK('Data Entry'!$°$108), "", 'Data Entry'!$°$108)</f>
      </c>
      <c r="DI108">
        <f>IF(ISBLANK('Data Entry'!$±$108), "", 'Data Entry'!$±$108)</f>
      </c>
      <c r="DJ108">
        <f>IF(ISBLANK('Data Entry'!$²$108), "", 'Data Entry'!$²$108)</f>
      </c>
      <c r="DK108">
        <f>IF(ISBLANK('Data Entry'!$³$108), "", 'Data Entry'!$³$108)</f>
      </c>
      <c r="DL108">
        <f>IF(ISBLANK('Data Entry'!$´$108), "", 'Data Entry'!$´$108)</f>
      </c>
      <c r="DM108">
        <f>IF(ISBLANK('Data Entry'!$µ$108), "", 'Data Entry'!$µ$108)</f>
      </c>
      <c r="DN108">
        <f>IF(ISBLANK('Data Entry'!$¶$108), "", 'Data Entry'!$¶$108)</f>
      </c>
      <c r="DO108">
        <f>IF(ISBLANK('Data Entry'!$·$108), "", 'Data Entry'!$·$108)</f>
      </c>
      <c r="DP108">
        <f>IF(ISBLANK('Data Entry'!$¸$108), "", 'Data Entry'!$¸$108)</f>
      </c>
      <c r="DQ108">
        <f>IF(ISBLANK('Data Entry'!$¹$108), "", 'Data Entry'!$¹$108)</f>
      </c>
      <c r="DR108">
        <f>IF(ISBLANK('Data Entry'!$º$108), "", 'Data Entry'!$º$108)</f>
      </c>
      <c r="DS108">
        <f>IF(ISBLANK('Data Entry'!$»$108), "", 'Data Entry'!$»$108)</f>
      </c>
      <c r="DT108">
        <f>IF(ISBLANK('Data Entry'!$¼$108), "", 'Data Entry'!$¼$108)</f>
      </c>
      <c r="DU108">
        <f>IF(ISBLANK('Data Entry'!$½$108), "", 'Data Entry'!$½$108)</f>
      </c>
      <c r="DV108">
        <f>IF(ISBLANK('Data Entry'!$¾$108), "", 'Data Entry'!$¾$108)</f>
      </c>
      <c r="DW108">
        <f>IF(ISBLANK('Data Entry'!$¿$108), "", 'Data Entry'!$¿$108)</f>
      </c>
      <c r="DX108">
        <f>IF(ISBLANK('Data Entry'!$À$108), "", 'Data Entry'!$À$108)</f>
      </c>
      <c r="DY108">
        <f>IF(ISBLANK('Data Entry'!$Á$108), "", 'Data Entry'!$Á$108)</f>
      </c>
      <c r="DZ108">
        <f>IF(ISBLANK('Data Entry'!$Â$108), "", 'Data Entry'!$Â$108)</f>
      </c>
      <c r="EA108">
        <f>IF(ISBLANK('Data Entry'!$Ã$108), "", 'Data Entry'!$Ã$108)</f>
      </c>
      <c r="EB108">
        <f>IF(ISBLANK('Data Entry'!$Ä$108), "", 'Data Entry'!$Ä$108)</f>
      </c>
      <c r="EC108">
        <f>IF(ISBLANK('Data Entry'!$Å$108), "", 'Data Entry'!$Å$108)</f>
      </c>
      <c r="ED108">
        <f>IF(ISBLANK('Data Entry'!$Æ$108), "", 'Data Entry'!$Æ$108)</f>
      </c>
      <c r="EE108">
        <f>IF(ISBLANK('Data Entry'!$Ç$108), "", 'Data Entry'!$Ç$108)</f>
      </c>
      <c r="EF108">
        <f>IF(ISBLANK('Data Entry'!$È$108), "", 'Data Entry'!$È$108)</f>
      </c>
      <c r="EG108">
        <f>IF(ISBLANK('Data Entry'!$É$108), "", 'Data Entry'!$É$108)</f>
      </c>
      <c r="EH108">
        <f>IF(ISBLANK('Data Entry'!$Ê$108), "", 'Data Entry'!$Ê$108)</f>
      </c>
      <c r="EI108">
        <f>IF(ISBLANK('Data Entry'!$Ë$108), "", 'Data Entry'!$Ë$108)</f>
      </c>
      <c r="EJ108">
        <f>IF(ISBLANK('Data Entry'!$Ì$108), "", 'Data Entry'!$Ì$108)</f>
      </c>
      <c r="EK108">
        <f>IF(ISBLANK('Data Entry'!$Í$108), "", 'Data Entry'!$Í$108)</f>
      </c>
      <c r="EL108">
        <f>IF(ISBLANK('Data Entry'!$Î$108), "", 'Data Entry'!$Î$108)</f>
      </c>
      <c r="EM108">
        <f>IF(ISBLANK('Data Entry'!$Ï$108), "", 'Data Entry'!$Ï$108)</f>
      </c>
      <c r="EN108">
        <f>IF(ISBLANK('Data Entry'!$Ð$108), "", 'Data Entry'!$Ð$108)</f>
      </c>
      <c r="EO108">
        <f>IF(ISBLANK('Data Entry'!$Ñ$108), "", 'Data Entry'!$Ñ$108)</f>
      </c>
      <c r="EP108">
        <f>IF(ISBLANK('Data Entry'!$Ò$108), "", 'Data Entry'!$Ò$108)</f>
      </c>
      <c r="EQ108">
        <f>IF(ISBLANK('Data Entry'!$Ó$108), "", 'Data Entry'!$Ó$108)</f>
      </c>
      <c r="ER108">
        <f>IF(ISBLANK('Data Entry'!$Ô$108), "", 'Data Entry'!$Ô$108)</f>
      </c>
      <c r="ES108">
        <f>IF(ISBLANK('Data Entry'!$Õ$108), "", 'Data Entry'!$Õ$108)</f>
      </c>
      <c r="ET108">
        <f>IF(ISBLANK('Data Entry'!$Ö$108), "", 'Data Entry'!$Ö$108)</f>
      </c>
      <c r="EU108">
        <f>IF(ISBLANK('Data Entry'!$×$108), "", 'Data Entry'!$×$108)</f>
      </c>
      <c r="EV108">
        <f>IF(ISBLANK('Data Entry'!$Ø$108), "", 'Data Entry'!$Ø$108)</f>
      </c>
      <c r="EW108">
        <f>IF(ISBLANK('Data Entry'!$Ù$108), "", 'Data Entry'!$Ù$108)</f>
      </c>
      <c r="EX108">
        <f>IF(ISBLANK('Data Entry'!$Ú$108), "", 'Data Entry'!$Ú$108)</f>
      </c>
      <c r="EY108">
        <f>IF(ISBLANK('Data Entry'!$Û$108), "", 'Data Entry'!$Û$108)</f>
      </c>
      <c r="EZ108">
        <f>IF(ISBLANK('Data Entry'!$Ü$108), "", 'Data Entry'!$Ü$108)</f>
      </c>
      <c r="FA108">
        <f>IF(ISBLANK('Data Entry'!$Ý$108), "", 'Data Entry'!$Ý$108)</f>
      </c>
      <c r="FB108">
        <f>IF(ISBLANK('Data Entry'!$Þ$108), "", 'Data Entry'!$Þ$108)</f>
      </c>
      <c r="FC108">
        <f>IF(ISBLANK('Data Entry'!$ß$108), "", 'Data Entry'!$ß$108)</f>
      </c>
      <c r="FD108">
        <f>IF(ISBLANK('Data Entry'!$à$108), "", 'Data Entry'!$à$108)</f>
      </c>
      <c r="FE108">
        <f>IF(ISBLANK('Data Entry'!$á$108), "", 'Data Entry'!$á$108)</f>
      </c>
      <c r="FF108">
        <f>IF(ISBLANK('Data Entry'!$â$108), "", 'Data Entry'!$â$108)</f>
      </c>
      <c r="FG108">
        <f>IF(ISBLANK('Data Entry'!$ã$108), "", 'Data Entry'!$ã$108)</f>
      </c>
      <c r="FH108">
        <f>IF(ISBLANK('Data Entry'!$ä$108), "", 'Data Entry'!$ä$108)</f>
      </c>
      <c r="FI108">
        <f>IF(ISBLANK('Data Entry'!$å$108), "", 'Data Entry'!$å$108)</f>
      </c>
      <c r="FJ108">
        <f>IF(ISBLANK('Data Entry'!$æ$108), "", 'Data Entry'!$æ$108)</f>
      </c>
      <c r="FK108">
        <f>IF(ISBLANK('Data Entry'!$ç$108), "", 'Data Entry'!$ç$108)</f>
      </c>
      <c r="FL108">
        <f>IF(ISBLANK('Data Entry'!$è$108), "", 'Data Entry'!$è$108)</f>
      </c>
      <c r="FM108">
        <f>IF(ISBLANK('Data Entry'!$é$108), "", 'Data Entry'!$é$108)</f>
      </c>
      <c r="FN108">
        <f>IF(ISBLANK('Data Entry'!$ê$108), "", 'Data Entry'!$ê$108)</f>
      </c>
      <c r="FO108">
        <f>IF(ISBLANK('Data Entry'!$ë$108), "", 'Data Entry'!$ë$108)</f>
      </c>
      <c r="FP108">
        <f>IF(ISBLANK('Data Entry'!$ì$108), "", 'Data Entry'!$ì$108)</f>
      </c>
      <c r="FQ108">
        <f>IF(ISBLANK('Data Entry'!$í$108), "", 'Data Entry'!$í$108)</f>
      </c>
      <c r="FR108">
        <f>IF(ISBLANK('Data Entry'!$î$108), "", 'Data Entry'!$î$108)</f>
      </c>
      <c r="FS108">
        <f>IF(ISBLANK('Data Entry'!$ï$108), "", 'Data Entry'!$ï$108)</f>
      </c>
      <c r="FT108">
        <f>IF(ISBLANK('Data Entry'!$ð$108), "", 'Data Entry'!$ð$108)</f>
      </c>
      <c r="FU108">
        <f>IF(ISBLANK('Data Entry'!$ñ$108), "", 'Data Entry'!$ñ$108)</f>
      </c>
      <c r="FV108">
        <f>IF(ISBLANK('Data Entry'!$ò$108), "", 'Data Entry'!$ò$108)</f>
      </c>
      <c r="FW108">
        <f>IF(ISBLANK('Data Entry'!$ó$108), "", 'Data Entry'!$ó$108)</f>
      </c>
      <c r="FX108">
        <f>IF(ISBLANK('Data Entry'!$ô$108), "", 'Data Entry'!$ô$108)</f>
      </c>
      <c r="FY108">
        <f>IF(ISBLANK('Data Entry'!$õ$108), "", 'Data Entry'!$õ$108)</f>
      </c>
      <c r="FZ108">
        <f>IF(ISBLANK('Data Entry'!$ö$108), "", 'Data Entry'!$ö$108)</f>
      </c>
      <c r="GA108">
        <f>IF(ISBLANK('Data Entry'!$÷$108), "", 'Data Entry'!$÷$108)</f>
      </c>
      <c r="GB108">
        <f>IF(ISBLANK('Data Entry'!$ø$108), "", 'Data Entry'!$ø$108)</f>
      </c>
      <c r="GC108">
        <f>IF(ISBLANK('Data Entry'!$ù$108), "", 'Data Entry'!$ù$108)</f>
      </c>
      <c r="GD108">
        <f>IF(ISBLANK('Data Entry'!$ú$108), "", 'Data Entry'!$ú$108)</f>
      </c>
      <c r="GE108">
        <f>IF(ISBLANK('Data Entry'!$û$108), "", 'Data Entry'!$û$108)</f>
      </c>
      <c r="GF108">
        <f>IF(ISBLANK('Data Entry'!$ü$108), "", 'Data Entry'!$ü$108)</f>
      </c>
      <c r="GG108">
        <f>IF(ISBLANK('Data Entry'!$ý$108), "", 'Data Entry'!$ý$108)</f>
      </c>
      <c r="GH108">
        <f>IF(ISBLANK('Data Entry'!$þ$108), "", 'Data Entry'!$þ$108)</f>
      </c>
      <c r="GI108">
        <f>IF(ISBLANK('Data Entry'!$ÿ$108), "", 'Data Entry'!$ÿ$108)</f>
      </c>
      <c r="GJ108">
        <f>IF(ISBLANK('Data Entry'!$Ā$108), "", 'Data Entry'!$Ā$108)</f>
      </c>
      <c r="GK108">
        <f>IF(ISBLANK('Data Entry'!$ā$108), "", 'Data Entry'!$ā$108)</f>
      </c>
      <c r="GL108">
        <f>IF(ISBLANK('Data Entry'!$Ă$108), "", 'Data Entry'!$Ă$108)</f>
      </c>
      <c r="GM108">
        <f>IF(ISBLANK('Data Entry'!$ă$108), "", 'Data Entry'!$ă$108)</f>
      </c>
      <c r="GN108">
        <f>IF(ISBLANK('Data Entry'!$Ą$108), "", 'Data Entry'!$Ą$108)</f>
      </c>
      <c r="GO108">
        <f>IF(ISBLANK('Data Entry'!$ą$108), "", 'Data Entry'!$ą$108)</f>
      </c>
      <c r="GP108">
        <f>IF(ISBLANK('Data Entry'!$Ć$108), "", 'Data Entry'!$Ć$108)</f>
      </c>
      <c r="GQ108">
        <f>IF(ISBLANK('Data Entry'!$ć$108), "", 'Data Entry'!$ć$108)</f>
      </c>
      <c r="GR108">
        <f>IF(ISBLANK('Data Entry'!$Ĉ$108), "", 'Data Entry'!$Ĉ$108)</f>
      </c>
      <c r="GS108">
        <f>IF(ISBLANK('Data Entry'!$ĉ$108), "", 'Data Entry'!$ĉ$108)</f>
      </c>
      <c r="GT108">
        <f>IF(ISBLANK('Data Entry'!$Ċ$108), "", 'Data Entry'!$Ċ$108)</f>
      </c>
      <c r="GU108">
        <f>IF(ISBLANK('Data Entry'!$ċ$108), "", 'Data Entry'!$ċ$108)</f>
      </c>
      <c r="GV108">
        <f>IF(ISBLANK('Data Entry'!$Č$108), "", 'Data Entry'!$Č$108)</f>
      </c>
      <c r="GW108">
        <f>IF(ISBLANK('Data Entry'!$č$108), "", 'Data Entry'!$č$108)</f>
      </c>
      <c r="GX108">
        <f>IF(ISBLANK('Data Entry'!$Ď$108), "", 'Data Entry'!$Ď$108)</f>
      </c>
      <c r="GY108">
        <f>IF(ISBLANK('Data Entry'!$ď$108), "", 'Data Entry'!$ď$108)</f>
      </c>
      <c r="GZ108">
        <f>IF(ISBLANK('Data Entry'!$Đ$108), "", 'Data Entry'!$Đ$108)</f>
      </c>
      <c r="HA108">
        <f>IF(ISBLANK('Data Entry'!$đ$108), "", 'Data Entry'!$đ$108)</f>
      </c>
      <c r="HB108">
        <f>IF(ISBLANK('Data Entry'!$Ē$108), "", 'Data Entry'!$Ē$108)</f>
      </c>
      <c r="HC108">
        <f>IF(ISBLANK('Data Entry'!$ē$108), "", 'Data Entry'!$ē$108)</f>
      </c>
      <c r="HD108">
        <f>IF(ISBLANK('Data Entry'!$Ĕ$108), "", 'Data Entry'!$Ĕ$108)</f>
      </c>
      <c r="HE108">
        <f>IF(ISBLANK('Data Entry'!$ĕ$108), "", 'Data Entry'!$ĕ$108)</f>
      </c>
      <c r="HF108">
        <f>IF(ISBLANK('Data Entry'!$Ė$108), "", 'Data Entry'!$Ė$108)</f>
      </c>
      <c r="HG108">
        <f>IF(ISBLANK('Data Entry'!$ė$108), "", 'Data Entry'!$ė$108)</f>
      </c>
      <c r="HH108">
        <f>IF(ISBLANK('Data Entry'!$Ę$108), "", 'Data Entry'!$Ę$108)</f>
      </c>
      <c r="HI108">
        <f>IF(ISBLANK('Data Entry'!$ę$108), "", 'Data Entry'!$ę$108)</f>
      </c>
      <c r="HJ108">
        <f>IF(ISBLANK('Data Entry'!$Ě$108), "", 'Data Entry'!$Ě$108)</f>
      </c>
      <c r="HK108">
        <f>IF(ISBLANK('Data Entry'!$ě$108), "", 'Data Entry'!$ě$108)</f>
      </c>
      <c r="HL108">
        <f>IF(ISBLANK('Data Entry'!$Ĝ$108), "", 'Data Entry'!$Ĝ$108)</f>
      </c>
      <c r="HM108">
        <f>IF(ISBLANK('Data Entry'!$ĝ$108), "", 'Data Entry'!$ĝ$108)</f>
      </c>
      <c r="HN108">
        <f>IF(ISBLANK('Data Entry'!$Ğ$108), "", 'Data Entry'!$Ğ$108)</f>
      </c>
      <c r="HO108">
        <f>IF(ISBLANK('Data Entry'!$ğ$108), "", 'Data Entry'!$ğ$108)</f>
      </c>
      <c r="HP108">
        <f>IF(ISBLANK('Data Entry'!$Ġ$108), "", 'Data Entry'!$Ġ$108)</f>
      </c>
      <c r="HQ108">
        <f>IF(ISBLANK('Data Entry'!$ġ$108), "", 'Data Entry'!$ġ$108)</f>
      </c>
      <c r="HR108">
        <f>IF(ISBLANK('Data Entry'!$Ģ$108), "", 'Data Entry'!$Ģ$108)</f>
      </c>
      <c r="HS108">
        <f>IF(ISBLANK('Data Entry'!$ģ$108), "", 'Data Entry'!$ģ$108)</f>
      </c>
      <c r="HT108">
        <f>IF(ISBLANK('Data Entry'!$Ĥ$108), "", 'Data Entry'!$Ĥ$108)</f>
      </c>
      <c r="HU108">
        <f>IF(ISBLANK('Data Entry'!$ĥ$108), "", 'Data Entry'!$ĥ$108)</f>
      </c>
      <c r="HV108">
        <f>IF(ISBLANK('Data Entry'!$Ħ$108), "", 'Data Entry'!$Ħ$108)</f>
      </c>
      <c r="HW108">
        <f>IF(ISBLANK('Data Entry'!$ħ$108), "", 'Data Entry'!$ħ$108)</f>
      </c>
      <c r="HX108">
        <f>IF(ISBLANK('Data Entry'!$Ĩ$108), "", 'Data Entry'!$Ĩ$108)</f>
      </c>
      <c r="HY108">
        <f>IF(ISBLANK('Data Entry'!$ĩ$108), "", 'Data Entry'!$ĩ$108)</f>
      </c>
      <c r="HZ108">
        <f>IF(ISBLANK('Data Entry'!$Ī$108), "", 'Data Entry'!$Ī$108)</f>
      </c>
      <c r="IA108">
        <f>IF(ISBLANK('Data Entry'!$ī$108), "", 'Data Entry'!$ī$108)</f>
      </c>
      <c r="IB108">
        <f>IF(ISBLANK('Data Entry'!$Ĭ$108), "", 'Data Entry'!$Ĭ$108)</f>
      </c>
      <c r="IC108">
        <f>IF(ISBLANK('Data Entry'!$ĭ$108), "", 'Data Entry'!$ĭ$108)</f>
      </c>
      <c r="ID108">
        <f>IF(ISBLANK('Data Entry'!$Į$108), "", 'Data Entry'!$Į$108)</f>
      </c>
      <c r="IE108">
        <f>IF(ISBLANK('Data Entry'!$į$108), "", 'Data Entry'!$į$108)</f>
      </c>
      <c r="IF108">
        <f>IF(ISBLANK('Data Entry'!$İ$108), "", 'Data Entry'!$İ$108)</f>
      </c>
      <c r="IG108">
        <f>IF(ISBLANK('Data Entry'!$ı$108), "", 'Data Entry'!$ı$108)</f>
      </c>
      <c r="IH108">
        <f>IF(ISBLANK('Data Entry'!$Ĳ$108), "", 'Data Entry'!$Ĳ$108)</f>
      </c>
      <c r="II108">
        <f>IF(ISBLANK('Data Entry'!$ĳ$108), "", 'Data Entry'!$ĳ$108)</f>
      </c>
      <c r="IJ108">
        <f>IF(ISBLANK('Data Entry'!$Ĵ$108), "", 'Data Entry'!$Ĵ$108)</f>
      </c>
      <c r="IK108">
        <f>IF(ISBLANK('Data Entry'!$ĵ$108), "", 'Data Entry'!$ĵ$108)</f>
      </c>
      <c r="IL108">
        <f>IF(ISBLANK('Data Entry'!$Ķ$108), "", 'Data Entry'!$Ķ$108)</f>
      </c>
      <c r="IM108">
        <f>IF(ISBLANK('Data Entry'!$ķ$108), "", 'Data Entry'!$ķ$108)</f>
      </c>
      <c r="IN108">
        <f>IF(ISBLANK('Data Entry'!$ĸ$108), "", 'Data Entry'!$ĸ$108)</f>
      </c>
      <c r="IO108">
        <f>IF(ISBLANK('Data Entry'!$Ĺ$108), "", 'Data Entry'!$Ĺ$108)</f>
      </c>
      <c r="IP108">
        <f>IF(ISBLANK('Data Entry'!$ĺ$108), "", 'Data Entry'!$ĺ$108)</f>
      </c>
      <c r="IQ108">
        <f>IF(ISBLANK('Data Entry'!$Ļ$108), "", 'Data Entry'!$Ļ$108)</f>
      </c>
      <c r="IR108">
        <f>IF(ISBLANK('Data Entry'!$ļ$108), "", 'Data Entry'!$ļ$108)</f>
      </c>
      <c r="IS108">
        <f>IF(ISBLANK('Data Entry'!$Ľ$108), "", 'Data Entry'!$Ľ$108)</f>
      </c>
      <c r="IT108">
        <f>IF(ISBLANK('Data Entry'!$ľ$108), "", 'Data Entry'!$ľ$108)</f>
      </c>
    </row>
    <row r="109" spans="1:254" x14ac:dyDescent="0.25">
      <c r="A109">
        <f>IF(ISBLANK('Data Entry'!$A$109), "", 'Data Entry'!$A$109)</f>
      </c>
      <c r="B109">
        <f>IF(ISBLANK('Data Entry'!$B$109), "", 'Data Entry'!$B$109)</f>
      </c>
      <c r="C109">
        <f>IF(ISBLANK('Data Entry'!$C$109), "", 'Data Entry'!$C$109)</f>
      </c>
      <c r="D109">
        <f>IF(ISBLANK('Data Entry'!$D$109), "", 'Data Entry'!$D$109)</f>
      </c>
      <c r="E109">
        <f>IF(ISBLANK('Data Entry'!$E$109), "", 'Data Entry'!$E$109)</f>
      </c>
      <c r="F109">
        <f>IF(ISBLANK('Data Entry'!$F$109), "", 'Data Entry'!$F$109)</f>
      </c>
      <c r="G109">
        <f>IF(ISBLANK('Data Entry'!$G$109), "", 'Data Entry'!$G$109)</f>
      </c>
      <c r="H109">
        <f>IF(ISBLANK('Data Entry'!$H$109), "", 'Data Entry'!$H$109)</f>
      </c>
      <c r="I109">
        <f>IF(ISBLANK('Data Entry'!$I$109), "", 'Data Entry'!$I$109)</f>
      </c>
      <c r="J109">
        <f>IF(ISBLANK('Data Entry'!$J$109), "", 'Data Entry'!$J$109)</f>
      </c>
      <c r="K109">
        <f>IF(ISBLANK('Data Entry'!$K$109), "", 'Data Entry'!$K$109)</f>
      </c>
      <c r="L109">
        <f>IF(ISBLANK('Data Entry'!$L$109), "", 'Data Entry'!$L$109)</f>
      </c>
      <c r="M109">
        <f>IF(ISBLANK('Data Entry'!$M$109), "", 'Data Entry'!$M$109)</f>
      </c>
      <c r="N109">
        <f>IF(ISBLANK('Data Entry'!$N$109), "", 'Data Entry'!$N$109)</f>
      </c>
      <c r="O109">
        <f>IF(ISBLANK('Data Entry'!$O$109), "", 'Data Entry'!$O$109)</f>
      </c>
      <c r="P109">
        <f>IF(ISBLANK('Data Entry'!$P$109), "", 'Data Entry'!$P$109)</f>
      </c>
      <c r="Q109">
        <f>IF(ISBLANK('Data Entry'!$Q$109), "", 'Data Entry'!$Q$109)</f>
      </c>
      <c r="R109">
        <f>IF(ISBLANK('Data Entry'!$R$109), "", 'Data Entry'!$R$109)</f>
      </c>
      <c r="S109">
        <f>IF(ISBLANK('Data Entry'!$S$109), "", 'Data Entry'!$S$109)</f>
      </c>
      <c r="T109">
        <f>IF(ISBLANK('Data Entry'!$T$109), "", 'Data Entry'!$T$109)</f>
      </c>
      <c r="U109">
        <f>IF(ISBLANK('Data Entry'!$U$109), "", 'Data Entry'!$U$109)</f>
      </c>
      <c r="V109">
        <f>IF(ISBLANK('Data Entry'!$V$109), "", 'Data Entry'!$V$109)</f>
      </c>
      <c r="W109">
        <f>IF(ISBLANK('Data Entry'!$W$109), "", 'Data Entry'!$W$109)</f>
      </c>
      <c r="X109">
        <f>IF(ISBLANK('Data Entry'!$X$109), "", 'Data Entry'!$X$109)</f>
      </c>
      <c r="Y109">
        <f>IF(ISBLANK('Data Entry'!$Y$109), "", 'Data Entry'!$Y$109)</f>
      </c>
      <c r="Z109">
        <f>IF(ISBLANK('Data Entry'!$Z$109), "", 'Data Entry'!$Z$109)</f>
      </c>
      <c r="AA109">
        <f>IF(ISBLANK('Data Entry'!$[$109), "", 'Data Entry'!$[$109)</f>
      </c>
      <c r="AB109">
        <f>IF(ISBLANK('Data Entry'!$\$109), "", 'Data Entry'!$\$109)</f>
      </c>
      <c r="AC109">
        <f>IF(ISBLANK('Data Entry'!$]$109), "", 'Data Entry'!$]$109)</f>
      </c>
      <c r="AD109">
        <f>IF(ISBLANK('Data Entry'!$^$109), "", 'Data Entry'!$^$109)</f>
      </c>
      <c r="AE109">
        <f>IF(ISBLANK('Data Entry'!$_$109), "", 'Data Entry'!$_$109)</f>
      </c>
      <c r="AF109">
        <f>IF(ISBLANK('Data Entry'!$`$109), "", 'Data Entry'!$`$109)</f>
      </c>
      <c r="AG109">
        <f>IF(ISBLANK('Data Entry'!$a$109), "", 'Data Entry'!$a$109)</f>
      </c>
      <c r="AH109">
        <f>IF(ISBLANK('Data Entry'!$b$109), "", 'Data Entry'!$b$109)</f>
      </c>
      <c r="AI109">
        <f>IF(ISBLANK('Data Entry'!$c$109), "", 'Data Entry'!$c$109)</f>
      </c>
      <c r="AJ109">
        <f>IF(ISBLANK('Data Entry'!$d$109), "", 'Data Entry'!$d$109)</f>
      </c>
      <c r="AK109">
        <f>IF(ISBLANK('Data Entry'!$e$109), "", 'Data Entry'!$e$109)</f>
      </c>
      <c r="AL109">
        <f>IF(ISBLANK('Data Entry'!$f$109), "", 'Data Entry'!$f$109)</f>
      </c>
      <c r="AM109">
        <f>IF(ISBLANK('Data Entry'!$g$109), "", 'Data Entry'!$g$109)</f>
      </c>
      <c r="AN109">
        <f>IF(ISBLANK('Data Entry'!$h$109), "", 'Data Entry'!$h$109)</f>
      </c>
      <c r="AO109">
        <f>IF(ISBLANK('Data Entry'!$i$109), "", 'Data Entry'!$i$109)</f>
      </c>
      <c r="AP109">
        <f>IF(ISBLANK('Data Entry'!$j$109), "", 'Data Entry'!$j$109)</f>
      </c>
      <c r="AQ109">
        <f>IF(ISBLANK('Data Entry'!$k$109), "", 'Data Entry'!$k$109)</f>
      </c>
      <c r="AR109">
        <f>IF(ISBLANK('Data Entry'!$l$109), "", 'Data Entry'!$l$109)</f>
      </c>
      <c r="AS109">
        <f>IF(ISBLANK('Data Entry'!$m$109), "", 'Data Entry'!$m$109)</f>
      </c>
      <c r="AT109">
        <f>IF(ISBLANK('Data Entry'!$n$109), "", 'Data Entry'!$n$109)</f>
      </c>
      <c r="AU109">
        <f>IF(ISBLANK('Data Entry'!$o$109), "", 'Data Entry'!$o$109)</f>
      </c>
      <c r="AV109">
        <f>IF(ISBLANK('Data Entry'!$p$109), "", 'Data Entry'!$p$109)</f>
      </c>
      <c r="AW109">
        <f>IF(ISBLANK('Data Entry'!$q$109), "", 'Data Entry'!$q$109)</f>
      </c>
      <c r="AX109">
        <f>IF(ISBLANK('Data Entry'!$r$109), "", 'Data Entry'!$r$109)</f>
      </c>
      <c r="AY109">
        <f>IF(ISBLANK('Data Entry'!$s$109), "", 'Data Entry'!$s$109)</f>
      </c>
      <c r="AZ109">
        <f>IF(ISBLANK('Data Entry'!$t$109), "", 'Data Entry'!$t$109)</f>
      </c>
      <c r="BA109">
        <f>IF(ISBLANK('Data Entry'!$u$109), "", 'Data Entry'!$u$109)</f>
      </c>
      <c r="BB109">
        <f>IF(ISBLANK('Data Entry'!$v$109), "", 'Data Entry'!$v$109)</f>
      </c>
      <c r="BC109">
        <f>IF(ISBLANK('Data Entry'!$w$109), "", 'Data Entry'!$w$109)</f>
      </c>
      <c r="BD109">
        <f>IF(ISBLANK('Data Entry'!$x$109), "", 'Data Entry'!$x$109)</f>
      </c>
      <c r="BE109">
        <f>IF(ISBLANK('Data Entry'!$y$109), "", 'Data Entry'!$y$109)</f>
      </c>
      <c r="BF109">
        <f>IF(ISBLANK('Data Entry'!$z$109), "", 'Data Entry'!$z$109)</f>
      </c>
      <c r="BG109">
        <f>IF(ISBLANK('Data Entry'!${$109), "", 'Data Entry'!${$109)</f>
      </c>
      <c r="BH109">
        <f>IF(ISBLANK('Data Entry'!$|$109), "", 'Data Entry'!$|$109)</f>
      </c>
      <c r="BI109">
        <f>IF(ISBLANK('Data Entry'!$}$109), "", 'Data Entry'!$}$109)</f>
      </c>
      <c r="BJ109">
        <f>IF(ISBLANK('Data Entry'!$~$109), "", 'Data Entry'!$~$109)</f>
      </c>
      <c r="BK109">
        <f>IF(ISBLANK('Data Entry'!$$109), "", 'Data Entry'!$$109)</f>
      </c>
      <c r="BL109">
        <f>IF(ISBLANK('Data Entry'!$$109), "", 'Data Entry'!$$109)</f>
      </c>
      <c r="BM109">
        <f>IF(ISBLANK('Data Entry'!$$109), "", 'Data Entry'!$$109)</f>
      </c>
      <c r="BN109">
        <f>IF(ISBLANK('Data Entry'!$$109), "", 'Data Entry'!$$109)</f>
      </c>
      <c r="BO109">
        <f>IF(ISBLANK('Data Entry'!$$109), "", 'Data Entry'!$$109)</f>
      </c>
      <c r="BP109">
        <f>IF(ISBLANK('Data Entry'!$$109), "", 'Data Entry'!$$109)</f>
      </c>
      <c r="BQ109">
        <f>IF(ISBLANK('Data Entry'!$$109), "", 'Data Entry'!$$109)</f>
      </c>
      <c r="BR109">
        <f>IF(ISBLANK('Data Entry'!$$109), "", 'Data Entry'!$$109)</f>
      </c>
      <c r="BS109">
        <f>IF(ISBLANK('Data Entry'!$$109), "", 'Data Entry'!$$109)</f>
      </c>
      <c r="BT109">
        <f>IF(ISBLANK('Data Entry'!$$109), "", 'Data Entry'!$$109)</f>
      </c>
      <c r="BU109">
        <f>IF(ISBLANK('Data Entry'!$$109), "", 'Data Entry'!$$109)</f>
      </c>
      <c r="BV109">
        <f>IF(ISBLANK('Data Entry'!$$109), "", 'Data Entry'!$$109)</f>
      </c>
      <c r="BW109">
        <f>IF(ISBLANK('Data Entry'!$$109), "", 'Data Entry'!$$109)</f>
      </c>
      <c r="BX109">
        <f>IF(ISBLANK('Data Entry'!$$109), "", 'Data Entry'!$$109)</f>
      </c>
      <c r="BY109">
        <f>IF(ISBLANK('Data Entry'!$$109), "", 'Data Entry'!$$109)</f>
      </c>
      <c r="BZ109">
        <f>IF(ISBLANK('Data Entry'!$$109), "", 'Data Entry'!$$109)</f>
      </c>
      <c r="CA109">
        <f>IF(ISBLANK('Data Entry'!$$109), "", 'Data Entry'!$$109)</f>
      </c>
      <c r="CB109">
        <f>IF(ISBLANK('Data Entry'!$$109), "", 'Data Entry'!$$109)</f>
      </c>
      <c r="CC109">
        <f>IF(ISBLANK('Data Entry'!$$109), "", 'Data Entry'!$$109)</f>
      </c>
      <c r="CD109">
        <f>IF(ISBLANK('Data Entry'!$$109), "", 'Data Entry'!$$109)</f>
      </c>
      <c r="CE109">
        <f>IF(ISBLANK('Data Entry'!$$109), "", 'Data Entry'!$$109)</f>
      </c>
      <c r="CF109">
        <f>IF(ISBLANK('Data Entry'!$$109), "", 'Data Entry'!$$109)</f>
      </c>
      <c r="CG109">
        <f>IF(ISBLANK('Data Entry'!$$109), "", 'Data Entry'!$$109)</f>
      </c>
      <c r="CH109">
        <f>IF(ISBLANK('Data Entry'!$$109), "", 'Data Entry'!$$109)</f>
      </c>
      <c r="CI109">
        <f>IF(ISBLANK('Data Entry'!$$109), "", 'Data Entry'!$$109)</f>
      </c>
      <c r="CJ109">
        <f>IF(ISBLANK('Data Entry'!$$109), "", 'Data Entry'!$$109)</f>
      </c>
      <c r="CK109">
        <f>IF(ISBLANK('Data Entry'!$$109), "", 'Data Entry'!$$109)</f>
      </c>
      <c r="CL109">
        <f>IF(ISBLANK('Data Entry'!$$109), "", 'Data Entry'!$$109)</f>
      </c>
      <c r="CM109">
        <f>IF(ISBLANK('Data Entry'!$$109), "", 'Data Entry'!$$109)</f>
      </c>
      <c r="CN109">
        <f>IF(ISBLANK('Data Entry'!$$109), "", 'Data Entry'!$$109)</f>
      </c>
      <c r="CO109">
        <f>IF(ISBLANK('Data Entry'!$$109), "", 'Data Entry'!$$109)</f>
      </c>
      <c r="CP109">
        <f>IF(ISBLANK('Data Entry'!$$109), "", 'Data Entry'!$$109)</f>
      </c>
      <c r="CQ109">
        <f>IF(ISBLANK('Data Entry'!$$109), "", 'Data Entry'!$$109)</f>
      </c>
      <c r="CR109">
        <f>IF(ISBLANK('Data Entry'!$ $109), "", 'Data Entry'!$ $109)</f>
      </c>
      <c r="CS109">
        <f>IF(ISBLANK('Data Entry'!$¡$109), "", 'Data Entry'!$¡$109)</f>
      </c>
      <c r="CT109">
        <f>IF(ISBLANK('Data Entry'!$¢$109), "", 'Data Entry'!$¢$109)</f>
      </c>
      <c r="CU109">
        <f>IF(ISBLANK('Data Entry'!$£$109), "", 'Data Entry'!$£$109)</f>
      </c>
      <c r="CV109">
        <f>IF(ISBLANK('Data Entry'!$¤$109), "", 'Data Entry'!$¤$109)</f>
      </c>
      <c r="CW109">
        <f>IF(ISBLANK('Data Entry'!$¥$109), "", 'Data Entry'!$¥$109)</f>
      </c>
      <c r="CX109">
        <f>IF(ISBLANK('Data Entry'!$¦$109), "", 'Data Entry'!$¦$109)</f>
      </c>
      <c r="CY109">
        <f>IF(ISBLANK('Data Entry'!$§$109), "", 'Data Entry'!$§$109)</f>
      </c>
      <c r="CZ109">
        <f>IF(ISBLANK('Data Entry'!$¨$109), "", 'Data Entry'!$¨$109)</f>
      </c>
      <c r="DA109">
        <f>IF(ISBLANK('Data Entry'!$©$109), "", 'Data Entry'!$©$109)</f>
      </c>
      <c r="DB109">
        <f>IF(ISBLANK('Data Entry'!$ª$109), "", 'Data Entry'!$ª$109)</f>
      </c>
      <c r="DC109">
        <f>IF(ISBLANK('Data Entry'!$«$109), "", 'Data Entry'!$«$109)</f>
      </c>
      <c r="DD109">
        <f>IF(ISBLANK('Data Entry'!$¬$109), "", 'Data Entry'!$¬$109)</f>
      </c>
      <c r="DE109">
        <f>IF(ISBLANK('Data Entry'!$­$109), "", 'Data Entry'!$­$109)</f>
      </c>
      <c r="DF109">
        <f>IF(ISBLANK('Data Entry'!$®$109), "", 'Data Entry'!$®$109)</f>
      </c>
      <c r="DG109">
        <f>IF(ISBLANK('Data Entry'!$¯$109), "", 'Data Entry'!$¯$109)</f>
      </c>
      <c r="DH109">
        <f>IF(ISBLANK('Data Entry'!$°$109), "", 'Data Entry'!$°$109)</f>
      </c>
      <c r="DI109">
        <f>IF(ISBLANK('Data Entry'!$±$109), "", 'Data Entry'!$±$109)</f>
      </c>
      <c r="DJ109">
        <f>IF(ISBLANK('Data Entry'!$²$109), "", 'Data Entry'!$²$109)</f>
      </c>
      <c r="DK109">
        <f>IF(ISBLANK('Data Entry'!$³$109), "", 'Data Entry'!$³$109)</f>
      </c>
      <c r="DL109">
        <f>IF(ISBLANK('Data Entry'!$´$109), "", 'Data Entry'!$´$109)</f>
      </c>
      <c r="DM109">
        <f>IF(ISBLANK('Data Entry'!$µ$109), "", 'Data Entry'!$µ$109)</f>
      </c>
      <c r="DN109">
        <f>IF(ISBLANK('Data Entry'!$¶$109), "", 'Data Entry'!$¶$109)</f>
      </c>
      <c r="DO109">
        <f>IF(ISBLANK('Data Entry'!$·$109), "", 'Data Entry'!$·$109)</f>
      </c>
      <c r="DP109">
        <f>IF(ISBLANK('Data Entry'!$¸$109), "", 'Data Entry'!$¸$109)</f>
      </c>
      <c r="DQ109">
        <f>IF(ISBLANK('Data Entry'!$¹$109), "", 'Data Entry'!$¹$109)</f>
      </c>
      <c r="DR109">
        <f>IF(ISBLANK('Data Entry'!$º$109), "", 'Data Entry'!$º$109)</f>
      </c>
      <c r="DS109">
        <f>IF(ISBLANK('Data Entry'!$»$109), "", 'Data Entry'!$»$109)</f>
      </c>
      <c r="DT109">
        <f>IF(ISBLANK('Data Entry'!$¼$109), "", 'Data Entry'!$¼$109)</f>
      </c>
      <c r="DU109">
        <f>IF(ISBLANK('Data Entry'!$½$109), "", 'Data Entry'!$½$109)</f>
      </c>
      <c r="DV109">
        <f>IF(ISBLANK('Data Entry'!$¾$109), "", 'Data Entry'!$¾$109)</f>
      </c>
      <c r="DW109">
        <f>IF(ISBLANK('Data Entry'!$¿$109), "", 'Data Entry'!$¿$109)</f>
      </c>
      <c r="DX109">
        <f>IF(ISBLANK('Data Entry'!$À$109), "", 'Data Entry'!$À$109)</f>
      </c>
      <c r="DY109">
        <f>IF(ISBLANK('Data Entry'!$Á$109), "", 'Data Entry'!$Á$109)</f>
      </c>
      <c r="DZ109">
        <f>IF(ISBLANK('Data Entry'!$Â$109), "", 'Data Entry'!$Â$109)</f>
      </c>
      <c r="EA109">
        <f>IF(ISBLANK('Data Entry'!$Ã$109), "", 'Data Entry'!$Ã$109)</f>
      </c>
      <c r="EB109">
        <f>IF(ISBLANK('Data Entry'!$Ä$109), "", 'Data Entry'!$Ä$109)</f>
      </c>
      <c r="EC109">
        <f>IF(ISBLANK('Data Entry'!$Å$109), "", 'Data Entry'!$Å$109)</f>
      </c>
      <c r="ED109">
        <f>IF(ISBLANK('Data Entry'!$Æ$109), "", 'Data Entry'!$Æ$109)</f>
      </c>
      <c r="EE109">
        <f>IF(ISBLANK('Data Entry'!$Ç$109), "", 'Data Entry'!$Ç$109)</f>
      </c>
      <c r="EF109">
        <f>IF(ISBLANK('Data Entry'!$È$109), "", 'Data Entry'!$È$109)</f>
      </c>
      <c r="EG109">
        <f>IF(ISBLANK('Data Entry'!$É$109), "", 'Data Entry'!$É$109)</f>
      </c>
      <c r="EH109">
        <f>IF(ISBLANK('Data Entry'!$Ê$109), "", 'Data Entry'!$Ê$109)</f>
      </c>
      <c r="EI109">
        <f>IF(ISBLANK('Data Entry'!$Ë$109), "", 'Data Entry'!$Ë$109)</f>
      </c>
      <c r="EJ109">
        <f>IF(ISBLANK('Data Entry'!$Ì$109), "", 'Data Entry'!$Ì$109)</f>
      </c>
      <c r="EK109">
        <f>IF(ISBLANK('Data Entry'!$Í$109), "", 'Data Entry'!$Í$109)</f>
      </c>
      <c r="EL109">
        <f>IF(ISBLANK('Data Entry'!$Î$109), "", 'Data Entry'!$Î$109)</f>
      </c>
      <c r="EM109">
        <f>IF(ISBLANK('Data Entry'!$Ï$109), "", 'Data Entry'!$Ï$109)</f>
      </c>
      <c r="EN109">
        <f>IF(ISBLANK('Data Entry'!$Ð$109), "", 'Data Entry'!$Ð$109)</f>
      </c>
      <c r="EO109">
        <f>IF(ISBLANK('Data Entry'!$Ñ$109), "", 'Data Entry'!$Ñ$109)</f>
      </c>
      <c r="EP109">
        <f>IF(ISBLANK('Data Entry'!$Ò$109), "", 'Data Entry'!$Ò$109)</f>
      </c>
      <c r="EQ109">
        <f>IF(ISBLANK('Data Entry'!$Ó$109), "", 'Data Entry'!$Ó$109)</f>
      </c>
      <c r="ER109">
        <f>IF(ISBLANK('Data Entry'!$Ô$109), "", 'Data Entry'!$Ô$109)</f>
      </c>
      <c r="ES109">
        <f>IF(ISBLANK('Data Entry'!$Õ$109), "", 'Data Entry'!$Õ$109)</f>
      </c>
      <c r="ET109">
        <f>IF(ISBLANK('Data Entry'!$Ö$109), "", 'Data Entry'!$Ö$109)</f>
      </c>
      <c r="EU109">
        <f>IF(ISBLANK('Data Entry'!$×$109), "", 'Data Entry'!$×$109)</f>
      </c>
      <c r="EV109">
        <f>IF(ISBLANK('Data Entry'!$Ø$109), "", 'Data Entry'!$Ø$109)</f>
      </c>
      <c r="EW109">
        <f>IF(ISBLANK('Data Entry'!$Ù$109), "", 'Data Entry'!$Ù$109)</f>
      </c>
      <c r="EX109">
        <f>IF(ISBLANK('Data Entry'!$Ú$109), "", 'Data Entry'!$Ú$109)</f>
      </c>
      <c r="EY109">
        <f>IF(ISBLANK('Data Entry'!$Û$109), "", 'Data Entry'!$Û$109)</f>
      </c>
      <c r="EZ109">
        <f>IF(ISBLANK('Data Entry'!$Ü$109), "", 'Data Entry'!$Ü$109)</f>
      </c>
      <c r="FA109">
        <f>IF(ISBLANK('Data Entry'!$Ý$109), "", 'Data Entry'!$Ý$109)</f>
      </c>
      <c r="FB109">
        <f>IF(ISBLANK('Data Entry'!$Þ$109), "", 'Data Entry'!$Þ$109)</f>
      </c>
      <c r="FC109">
        <f>IF(ISBLANK('Data Entry'!$ß$109), "", 'Data Entry'!$ß$109)</f>
      </c>
      <c r="FD109">
        <f>IF(ISBLANK('Data Entry'!$à$109), "", 'Data Entry'!$à$109)</f>
      </c>
      <c r="FE109">
        <f>IF(ISBLANK('Data Entry'!$á$109), "", 'Data Entry'!$á$109)</f>
      </c>
      <c r="FF109">
        <f>IF(ISBLANK('Data Entry'!$â$109), "", 'Data Entry'!$â$109)</f>
      </c>
      <c r="FG109">
        <f>IF(ISBLANK('Data Entry'!$ã$109), "", 'Data Entry'!$ã$109)</f>
      </c>
      <c r="FH109">
        <f>IF(ISBLANK('Data Entry'!$ä$109), "", 'Data Entry'!$ä$109)</f>
      </c>
      <c r="FI109">
        <f>IF(ISBLANK('Data Entry'!$å$109), "", 'Data Entry'!$å$109)</f>
      </c>
      <c r="FJ109">
        <f>IF(ISBLANK('Data Entry'!$æ$109), "", 'Data Entry'!$æ$109)</f>
      </c>
      <c r="FK109">
        <f>IF(ISBLANK('Data Entry'!$ç$109), "", 'Data Entry'!$ç$109)</f>
      </c>
      <c r="FL109">
        <f>IF(ISBLANK('Data Entry'!$è$109), "", 'Data Entry'!$è$109)</f>
      </c>
      <c r="FM109">
        <f>IF(ISBLANK('Data Entry'!$é$109), "", 'Data Entry'!$é$109)</f>
      </c>
      <c r="FN109">
        <f>IF(ISBLANK('Data Entry'!$ê$109), "", 'Data Entry'!$ê$109)</f>
      </c>
      <c r="FO109">
        <f>IF(ISBLANK('Data Entry'!$ë$109), "", 'Data Entry'!$ë$109)</f>
      </c>
      <c r="FP109">
        <f>IF(ISBLANK('Data Entry'!$ì$109), "", 'Data Entry'!$ì$109)</f>
      </c>
      <c r="FQ109">
        <f>IF(ISBLANK('Data Entry'!$í$109), "", 'Data Entry'!$í$109)</f>
      </c>
      <c r="FR109">
        <f>IF(ISBLANK('Data Entry'!$î$109), "", 'Data Entry'!$î$109)</f>
      </c>
      <c r="FS109">
        <f>IF(ISBLANK('Data Entry'!$ï$109), "", 'Data Entry'!$ï$109)</f>
      </c>
      <c r="FT109">
        <f>IF(ISBLANK('Data Entry'!$ð$109), "", 'Data Entry'!$ð$109)</f>
      </c>
      <c r="FU109">
        <f>IF(ISBLANK('Data Entry'!$ñ$109), "", 'Data Entry'!$ñ$109)</f>
      </c>
      <c r="FV109">
        <f>IF(ISBLANK('Data Entry'!$ò$109), "", 'Data Entry'!$ò$109)</f>
      </c>
      <c r="FW109">
        <f>IF(ISBLANK('Data Entry'!$ó$109), "", 'Data Entry'!$ó$109)</f>
      </c>
      <c r="FX109">
        <f>IF(ISBLANK('Data Entry'!$ô$109), "", 'Data Entry'!$ô$109)</f>
      </c>
      <c r="FY109">
        <f>IF(ISBLANK('Data Entry'!$õ$109), "", 'Data Entry'!$õ$109)</f>
      </c>
      <c r="FZ109">
        <f>IF(ISBLANK('Data Entry'!$ö$109), "", 'Data Entry'!$ö$109)</f>
      </c>
      <c r="GA109">
        <f>IF(ISBLANK('Data Entry'!$÷$109), "", 'Data Entry'!$÷$109)</f>
      </c>
      <c r="GB109">
        <f>IF(ISBLANK('Data Entry'!$ø$109), "", 'Data Entry'!$ø$109)</f>
      </c>
      <c r="GC109">
        <f>IF(ISBLANK('Data Entry'!$ù$109), "", 'Data Entry'!$ù$109)</f>
      </c>
      <c r="GD109">
        <f>IF(ISBLANK('Data Entry'!$ú$109), "", 'Data Entry'!$ú$109)</f>
      </c>
      <c r="GE109">
        <f>IF(ISBLANK('Data Entry'!$û$109), "", 'Data Entry'!$û$109)</f>
      </c>
      <c r="GF109">
        <f>IF(ISBLANK('Data Entry'!$ü$109), "", 'Data Entry'!$ü$109)</f>
      </c>
      <c r="GG109">
        <f>IF(ISBLANK('Data Entry'!$ý$109), "", 'Data Entry'!$ý$109)</f>
      </c>
      <c r="GH109">
        <f>IF(ISBLANK('Data Entry'!$þ$109), "", 'Data Entry'!$þ$109)</f>
      </c>
      <c r="GI109">
        <f>IF(ISBLANK('Data Entry'!$ÿ$109), "", 'Data Entry'!$ÿ$109)</f>
      </c>
      <c r="GJ109">
        <f>IF(ISBLANK('Data Entry'!$Ā$109), "", 'Data Entry'!$Ā$109)</f>
      </c>
      <c r="GK109">
        <f>IF(ISBLANK('Data Entry'!$ā$109), "", 'Data Entry'!$ā$109)</f>
      </c>
      <c r="GL109">
        <f>IF(ISBLANK('Data Entry'!$Ă$109), "", 'Data Entry'!$Ă$109)</f>
      </c>
      <c r="GM109">
        <f>IF(ISBLANK('Data Entry'!$ă$109), "", 'Data Entry'!$ă$109)</f>
      </c>
      <c r="GN109">
        <f>IF(ISBLANK('Data Entry'!$Ą$109), "", 'Data Entry'!$Ą$109)</f>
      </c>
      <c r="GO109">
        <f>IF(ISBLANK('Data Entry'!$ą$109), "", 'Data Entry'!$ą$109)</f>
      </c>
      <c r="GP109">
        <f>IF(ISBLANK('Data Entry'!$Ć$109), "", 'Data Entry'!$Ć$109)</f>
      </c>
      <c r="GQ109">
        <f>IF(ISBLANK('Data Entry'!$ć$109), "", 'Data Entry'!$ć$109)</f>
      </c>
      <c r="GR109">
        <f>IF(ISBLANK('Data Entry'!$Ĉ$109), "", 'Data Entry'!$Ĉ$109)</f>
      </c>
      <c r="GS109">
        <f>IF(ISBLANK('Data Entry'!$ĉ$109), "", 'Data Entry'!$ĉ$109)</f>
      </c>
      <c r="GT109">
        <f>IF(ISBLANK('Data Entry'!$Ċ$109), "", 'Data Entry'!$Ċ$109)</f>
      </c>
      <c r="GU109">
        <f>IF(ISBLANK('Data Entry'!$ċ$109), "", 'Data Entry'!$ċ$109)</f>
      </c>
      <c r="GV109">
        <f>IF(ISBLANK('Data Entry'!$Č$109), "", 'Data Entry'!$Č$109)</f>
      </c>
      <c r="GW109">
        <f>IF(ISBLANK('Data Entry'!$č$109), "", 'Data Entry'!$č$109)</f>
      </c>
      <c r="GX109">
        <f>IF(ISBLANK('Data Entry'!$Ď$109), "", 'Data Entry'!$Ď$109)</f>
      </c>
      <c r="GY109">
        <f>IF(ISBLANK('Data Entry'!$ď$109), "", 'Data Entry'!$ď$109)</f>
      </c>
      <c r="GZ109">
        <f>IF(ISBLANK('Data Entry'!$Đ$109), "", 'Data Entry'!$Đ$109)</f>
      </c>
      <c r="HA109">
        <f>IF(ISBLANK('Data Entry'!$đ$109), "", 'Data Entry'!$đ$109)</f>
      </c>
      <c r="HB109">
        <f>IF(ISBLANK('Data Entry'!$Ē$109), "", 'Data Entry'!$Ē$109)</f>
      </c>
      <c r="HC109">
        <f>IF(ISBLANK('Data Entry'!$ē$109), "", 'Data Entry'!$ē$109)</f>
      </c>
      <c r="HD109">
        <f>IF(ISBLANK('Data Entry'!$Ĕ$109), "", 'Data Entry'!$Ĕ$109)</f>
      </c>
      <c r="HE109">
        <f>IF(ISBLANK('Data Entry'!$ĕ$109), "", 'Data Entry'!$ĕ$109)</f>
      </c>
      <c r="HF109">
        <f>IF(ISBLANK('Data Entry'!$Ė$109), "", 'Data Entry'!$Ė$109)</f>
      </c>
      <c r="HG109">
        <f>IF(ISBLANK('Data Entry'!$ė$109), "", 'Data Entry'!$ė$109)</f>
      </c>
      <c r="HH109">
        <f>IF(ISBLANK('Data Entry'!$Ę$109), "", 'Data Entry'!$Ę$109)</f>
      </c>
      <c r="HI109">
        <f>IF(ISBLANK('Data Entry'!$ę$109), "", 'Data Entry'!$ę$109)</f>
      </c>
      <c r="HJ109">
        <f>IF(ISBLANK('Data Entry'!$Ě$109), "", 'Data Entry'!$Ě$109)</f>
      </c>
      <c r="HK109">
        <f>IF(ISBLANK('Data Entry'!$ě$109), "", 'Data Entry'!$ě$109)</f>
      </c>
      <c r="HL109">
        <f>IF(ISBLANK('Data Entry'!$Ĝ$109), "", 'Data Entry'!$Ĝ$109)</f>
      </c>
      <c r="HM109">
        <f>IF(ISBLANK('Data Entry'!$ĝ$109), "", 'Data Entry'!$ĝ$109)</f>
      </c>
      <c r="HN109">
        <f>IF(ISBLANK('Data Entry'!$Ğ$109), "", 'Data Entry'!$Ğ$109)</f>
      </c>
      <c r="HO109">
        <f>IF(ISBLANK('Data Entry'!$ğ$109), "", 'Data Entry'!$ğ$109)</f>
      </c>
      <c r="HP109">
        <f>IF(ISBLANK('Data Entry'!$Ġ$109), "", 'Data Entry'!$Ġ$109)</f>
      </c>
      <c r="HQ109">
        <f>IF(ISBLANK('Data Entry'!$ġ$109), "", 'Data Entry'!$ġ$109)</f>
      </c>
      <c r="HR109">
        <f>IF(ISBLANK('Data Entry'!$Ģ$109), "", 'Data Entry'!$Ģ$109)</f>
      </c>
      <c r="HS109">
        <f>IF(ISBLANK('Data Entry'!$ģ$109), "", 'Data Entry'!$ģ$109)</f>
      </c>
      <c r="HT109">
        <f>IF(ISBLANK('Data Entry'!$Ĥ$109), "", 'Data Entry'!$Ĥ$109)</f>
      </c>
      <c r="HU109">
        <f>IF(ISBLANK('Data Entry'!$ĥ$109), "", 'Data Entry'!$ĥ$109)</f>
      </c>
      <c r="HV109">
        <f>IF(ISBLANK('Data Entry'!$Ħ$109), "", 'Data Entry'!$Ħ$109)</f>
      </c>
      <c r="HW109">
        <f>IF(ISBLANK('Data Entry'!$ħ$109), "", 'Data Entry'!$ħ$109)</f>
      </c>
      <c r="HX109">
        <f>IF(ISBLANK('Data Entry'!$Ĩ$109), "", 'Data Entry'!$Ĩ$109)</f>
      </c>
      <c r="HY109">
        <f>IF(ISBLANK('Data Entry'!$ĩ$109), "", 'Data Entry'!$ĩ$109)</f>
      </c>
      <c r="HZ109">
        <f>IF(ISBLANK('Data Entry'!$Ī$109), "", 'Data Entry'!$Ī$109)</f>
      </c>
      <c r="IA109">
        <f>IF(ISBLANK('Data Entry'!$ī$109), "", 'Data Entry'!$ī$109)</f>
      </c>
      <c r="IB109">
        <f>IF(ISBLANK('Data Entry'!$Ĭ$109), "", 'Data Entry'!$Ĭ$109)</f>
      </c>
      <c r="IC109">
        <f>IF(ISBLANK('Data Entry'!$ĭ$109), "", 'Data Entry'!$ĭ$109)</f>
      </c>
      <c r="ID109">
        <f>IF(ISBLANK('Data Entry'!$Į$109), "", 'Data Entry'!$Į$109)</f>
      </c>
      <c r="IE109">
        <f>IF(ISBLANK('Data Entry'!$į$109), "", 'Data Entry'!$į$109)</f>
      </c>
      <c r="IF109">
        <f>IF(ISBLANK('Data Entry'!$İ$109), "", 'Data Entry'!$İ$109)</f>
      </c>
      <c r="IG109">
        <f>IF(ISBLANK('Data Entry'!$ı$109), "", 'Data Entry'!$ı$109)</f>
      </c>
      <c r="IH109">
        <f>IF(ISBLANK('Data Entry'!$Ĳ$109), "", 'Data Entry'!$Ĳ$109)</f>
      </c>
      <c r="II109">
        <f>IF(ISBLANK('Data Entry'!$ĳ$109), "", 'Data Entry'!$ĳ$109)</f>
      </c>
      <c r="IJ109">
        <f>IF(ISBLANK('Data Entry'!$Ĵ$109), "", 'Data Entry'!$Ĵ$109)</f>
      </c>
      <c r="IK109">
        <f>IF(ISBLANK('Data Entry'!$ĵ$109), "", 'Data Entry'!$ĵ$109)</f>
      </c>
      <c r="IL109">
        <f>IF(ISBLANK('Data Entry'!$Ķ$109), "", 'Data Entry'!$Ķ$109)</f>
      </c>
      <c r="IM109">
        <f>IF(ISBLANK('Data Entry'!$ķ$109), "", 'Data Entry'!$ķ$109)</f>
      </c>
      <c r="IN109">
        <f>IF(ISBLANK('Data Entry'!$ĸ$109), "", 'Data Entry'!$ĸ$109)</f>
      </c>
      <c r="IO109">
        <f>IF(ISBLANK('Data Entry'!$Ĺ$109), "", 'Data Entry'!$Ĺ$109)</f>
      </c>
      <c r="IP109">
        <f>IF(ISBLANK('Data Entry'!$ĺ$109), "", 'Data Entry'!$ĺ$109)</f>
      </c>
      <c r="IQ109">
        <f>IF(ISBLANK('Data Entry'!$Ļ$109), "", 'Data Entry'!$Ļ$109)</f>
      </c>
      <c r="IR109">
        <f>IF(ISBLANK('Data Entry'!$ļ$109), "", 'Data Entry'!$ļ$109)</f>
      </c>
      <c r="IS109">
        <f>IF(ISBLANK('Data Entry'!$Ľ$109), "", 'Data Entry'!$Ľ$109)</f>
      </c>
      <c r="IT109">
        <f>IF(ISBLANK('Data Entry'!$ľ$109), "", 'Data Entry'!$ľ$109)</f>
      </c>
    </row>
    <row r="110" spans="1:254" x14ac:dyDescent="0.25">
      <c r="A110">
        <f>IF(ISBLANK('Data Entry'!$A$110), "", 'Data Entry'!$A$110)</f>
      </c>
      <c r="B110">
        <f>IF(ISBLANK('Data Entry'!$B$110), "", 'Data Entry'!$B$110)</f>
      </c>
      <c r="C110">
        <f>IF(ISBLANK('Data Entry'!$C$110), "", 'Data Entry'!$C$110)</f>
      </c>
      <c r="D110">
        <f>IF(ISBLANK('Data Entry'!$D$110), "", 'Data Entry'!$D$110)</f>
      </c>
      <c r="E110">
        <f>IF(ISBLANK('Data Entry'!$E$110), "", 'Data Entry'!$E$110)</f>
      </c>
      <c r="F110">
        <f>IF(ISBLANK('Data Entry'!$F$110), "", 'Data Entry'!$F$110)</f>
      </c>
      <c r="G110">
        <f>IF(ISBLANK('Data Entry'!$G$110), "", 'Data Entry'!$G$110)</f>
      </c>
      <c r="H110">
        <f>IF(ISBLANK('Data Entry'!$H$110), "", 'Data Entry'!$H$110)</f>
      </c>
      <c r="I110">
        <f>IF(ISBLANK('Data Entry'!$I$110), "", 'Data Entry'!$I$110)</f>
      </c>
      <c r="J110">
        <f>IF(ISBLANK('Data Entry'!$J$110), "", 'Data Entry'!$J$110)</f>
      </c>
      <c r="K110">
        <f>IF(ISBLANK('Data Entry'!$K$110), "", 'Data Entry'!$K$110)</f>
      </c>
      <c r="L110">
        <f>IF(ISBLANK('Data Entry'!$L$110), "", 'Data Entry'!$L$110)</f>
      </c>
      <c r="M110">
        <f>IF(ISBLANK('Data Entry'!$M$110), "", 'Data Entry'!$M$110)</f>
      </c>
      <c r="N110">
        <f>IF(ISBLANK('Data Entry'!$N$110), "", 'Data Entry'!$N$110)</f>
      </c>
      <c r="O110">
        <f>IF(ISBLANK('Data Entry'!$O$110), "", 'Data Entry'!$O$110)</f>
      </c>
      <c r="P110">
        <f>IF(ISBLANK('Data Entry'!$P$110), "", 'Data Entry'!$P$110)</f>
      </c>
      <c r="Q110">
        <f>IF(ISBLANK('Data Entry'!$Q$110), "", 'Data Entry'!$Q$110)</f>
      </c>
      <c r="R110">
        <f>IF(ISBLANK('Data Entry'!$R$110), "", 'Data Entry'!$R$110)</f>
      </c>
      <c r="S110">
        <f>IF(ISBLANK('Data Entry'!$S$110), "", 'Data Entry'!$S$110)</f>
      </c>
      <c r="T110">
        <f>IF(ISBLANK('Data Entry'!$T$110), "", 'Data Entry'!$T$110)</f>
      </c>
      <c r="U110">
        <f>IF(ISBLANK('Data Entry'!$U$110), "", 'Data Entry'!$U$110)</f>
      </c>
      <c r="V110">
        <f>IF(ISBLANK('Data Entry'!$V$110), "", 'Data Entry'!$V$110)</f>
      </c>
      <c r="W110">
        <f>IF(ISBLANK('Data Entry'!$W$110), "", 'Data Entry'!$W$110)</f>
      </c>
      <c r="X110">
        <f>IF(ISBLANK('Data Entry'!$X$110), "", 'Data Entry'!$X$110)</f>
      </c>
      <c r="Y110">
        <f>IF(ISBLANK('Data Entry'!$Y$110), "", 'Data Entry'!$Y$110)</f>
      </c>
      <c r="Z110">
        <f>IF(ISBLANK('Data Entry'!$Z$110), "", 'Data Entry'!$Z$110)</f>
      </c>
      <c r="AA110">
        <f>IF(ISBLANK('Data Entry'!$[$110), "", 'Data Entry'!$[$110)</f>
      </c>
      <c r="AB110">
        <f>IF(ISBLANK('Data Entry'!$\$110), "", 'Data Entry'!$\$110)</f>
      </c>
      <c r="AC110">
        <f>IF(ISBLANK('Data Entry'!$]$110), "", 'Data Entry'!$]$110)</f>
      </c>
      <c r="AD110">
        <f>IF(ISBLANK('Data Entry'!$^$110), "", 'Data Entry'!$^$110)</f>
      </c>
      <c r="AE110">
        <f>IF(ISBLANK('Data Entry'!$_$110), "", 'Data Entry'!$_$110)</f>
      </c>
      <c r="AF110">
        <f>IF(ISBLANK('Data Entry'!$`$110), "", 'Data Entry'!$`$110)</f>
      </c>
      <c r="AG110">
        <f>IF(ISBLANK('Data Entry'!$a$110), "", 'Data Entry'!$a$110)</f>
      </c>
      <c r="AH110">
        <f>IF(ISBLANK('Data Entry'!$b$110), "", 'Data Entry'!$b$110)</f>
      </c>
      <c r="AI110">
        <f>IF(ISBLANK('Data Entry'!$c$110), "", 'Data Entry'!$c$110)</f>
      </c>
      <c r="AJ110">
        <f>IF(ISBLANK('Data Entry'!$d$110), "", 'Data Entry'!$d$110)</f>
      </c>
      <c r="AK110">
        <f>IF(ISBLANK('Data Entry'!$e$110), "", 'Data Entry'!$e$110)</f>
      </c>
      <c r="AL110">
        <f>IF(ISBLANK('Data Entry'!$f$110), "", 'Data Entry'!$f$110)</f>
      </c>
      <c r="AM110">
        <f>IF(ISBLANK('Data Entry'!$g$110), "", 'Data Entry'!$g$110)</f>
      </c>
      <c r="AN110">
        <f>IF(ISBLANK('Data Entry'!$h$110), "", 'Data Entry'!$h$110)</f>
      </c>
      <c r="AO110">
        <f>IF(ISBLANK('Data Entry'!$i$110), "", 'Data Entry'!$i$110)</f>
      </c>
      <c r="AP110">
        <f>IF(ISBLANK('Data Entry'!$j$110), "", 'Data Entry'!$j$110)</f>
      </c>
      <c r="AQ110">
        <f>IF(ISBLANK('Data Entry'!$k$110), "", 'Data Entry'!$k$110)</f>
      </c>
      <c r="AR110">
        <f>IF(ISBLANK('Data Entry'!$l$110), "", 'Data Entry'!$l$110)</f>
      </c>
      <c r="AS110">
        <f>IF(ISBLANK('Data Entry'!$m$110), "", 'Data Entry'!$m$110)</f>
      </c>
      <c r="AT110">
        <f>IF(ISBLANK('Data Entry'!$n$110), "", 'Data Entry'!$n$110)</f>
      </c>
      <c r="AU110">
        <f>IF(ISBLANK('Data Entry'!$o$110), "", 'Data Entry'!$o$110)</f>
      </c>
      <c r="AV110">
        <f>IF(ISBLANK('Data Entry'!$p$110), "", 'Data Entry'!$p$110)</f>
      </c>
      <c r="AW110">
        <f>IF(ISBLANK('Data Entry'!$q$110), "", 'Data Entry'!$q$110)</f>
      </c>
      <c r="AX110">
        <f>IF(ISBLANK('Data Entry'!$r$110), "", 'Data Entry'!$r$110)</f>
      </c>
      <c r="AY110">
        <f>IF(ISBLANK('Data Entry'!$s$110), "", 'Data Entry'!$s$110)</f>
      </c>
      <c r="AZ110">
        <f>IF(ISBLANK('Data Entry'!$t$110), "", 'Data Entry'!$t$110)</f>
      </c>
      <c r="BA110">
        <f>IF(ISBLANK('Data Entry'!$u$110), "", 'Data Entry'!$u$110)</f>
      </c>
      <c r="BB110">
        <f>IF(ISBLANK('Data Entry'!$v$110), "", 'Data Entry'!$v$110)</f>
      </c>
      <c r="BC110">
        <f>IF(ISBLANK('Data Entry'!$w$110), "", 'Data Entry'!$w$110)</f>
      </c>
      <c r="BD110">
        <f>IF(ISBLANK('Data Entry'!$x$110), "", 'Data Entry'!$x$110)</f>
      </c>
      <c r="BE110">
        <f>IF(ISBLANK('Data Entry'!$y$110), "", 'Data Entry'!$y$110)</f>
      </c>
      <c r="BF110">
        <f>IF(ISBLANK('Data Entry'!$z$110), "", 'Data Entry'!$z$110)</f>
      </c>
      <c r="BG110">
        <f>IF(ISBLANK('Data Entry'!${$110), "", 'Data Entry'!${$110)</f>
      </c>
      <c r="BH110">
        <f>IF(ISBLANK('Data Entry'!$|$110), "", 'Data Entry'!$|$110)</f>
      </c>
      <c r="BI110">
        <f>IF(ISBLANK('Data Entry'!$}$110), "", 'Data Entry'!$}$110)</f>
      </c>
      <c r="BJ110">
        <f>IF(ISBLANK('Data Entry'!$~$110), "", 'Data Entry'!$~$110)</f>
      </c>
      <c r="BK110">
        <f>IF(ISBLANK('Data Entry'!$$110), "", 'Data Entry'!$$110)</f>
      </c>
      <c r="BL110">
        <f>IF(ISBLANK('Data Entry'!$$110), "", 'Data Entry'!$$110)</f>
      </c>
      <c r="BM110">
        <f>IF(ISBLANK('Data Entry'!$$110), "", 'Data Entry'!$$110)</f>
      </c>
      <c r="BN110">
        <f>IF(ISBLANK('Data Entry'!$$110), "", 'Data Entry'!$$110)</f>
      </c>
      <c r="BO110">
        <f>IF(ISBLANK('Data Entry'!$$110), "", 'Data Entry'!$$110)</f>
      </c>
      <c r="BP110">
        <f>IF(ISBLANK('Data Entry'!$$110), "", 'Data Entry'!$$110)</f>
      </c>
      <c r="BQ110">
        <f>IF(ISBLANK('Data Entry'!$$110), "", 'Data Entry'!$$110)</f>
      </c>
      <c r="BR110">
        <f>IF(ISBLANK('Data Entry'!$$110), "", 'Data Entry'!$$110)</f>
      </c>
      <c r="BS110">
        <f>IF(ISBLANK('Data Entry'!$$110), "", 'Data Entry'!$$110)</f>
      </c>
      <c r="BT110">
        <f>IF(ISBLANK('Data Entry'!$$110), "", 'Data Entry'!$$110)</f>
      </c>
      <c r="BU110">
        <f>IF(ISBLANK('Data Entry'!$$110), "", 'Data Entry'!$$110)</f>
      </c>
      <c r="BV110">
        <f>IF(ISBLANK('Data Entry'!$$110), "", 'Data Entry'!$$110)</f>
      </c>
      <c r="BW110">
        <f>IF(ISBLANK('Data Entry'!$$110), "", 'Data Entry'!$$110)</f>
      </c>
      <c r="BX110">
        <f>IF(ISBLANK('Data Entry'!$$110), "", 'Data Entry'!$$110)</f>
      </c>
      <c r="BY110">
        <f>IF(ISBLANK('Data Entry'!$$110), "", 'Data Entry'!$$110)</f>
      </c>
      <c r="BZ110">
        <f>IF(ISBLANK('Data Entry'!$$110), "", 'Data Entry'!$$110)</f>
      </c>
      <c r="CA110">
        <f>IF(ISBLANK('Data Entry'!$$110), "", 'Data Entry'!$$110)</f>
      </c>
      <c r="CB110">
        <f>IF(ISBLANK('Data Entry'!$$110), "", 'Data Entry'!$$110)</f>
      </c>
      <c r="CC110">
        <f>IF(ISBLANK('Data Entry'!$$110), "", 'Data Entry'!$$110)</f>
      </c>
      <c r="CD110">
        <f>IF(ISBLANK('Data Entry'!$$110), "", 'Data Entry'!$$110)</f>
      </c>
      <c r="CE110">
        <f>IF(ISBLANK('Data Entry'!$$110), "", 'Data Entry'!$$110)</f>
      </c>
      <c r="CF110">
        <f>IF(ISBLANK('Data Entry'!$$110), "", 'Data Entry'!$$110)</f>
      </c>
      <c r="CG110">
        <f>IF(ISBLANK('Data Entry'!$$110), "", 'Data Entry'!$$110)</f>
      </c>
      <c r="CH110">
        <f>IF(ISBLANK('Data Entry'!$$110), "", 'Data Entry'!$$110)</f>
      </c>
      <c r="CI110">
        <f>IF(ISBLANK('Data Entry'!$$110), "", 'Data Entry'!$$110)</f>
      </c>
      <c r="CJ110">
        <f>IF(ISBLANK('Data Entry'!$$110), "", 'Data Entry'!$$110)</f>
      </c>
      <c r="CK110">
        <f>IF(ISBLANK('Data Entry'!$$110), "", 'Data Entry'!$$110)</f>
      </c>
      <c r="CL110">
        <f>IF(ISBLANK('Data Entry'!$$110), "", 'Data Entry'!$$110)</f>
      </c>
      <c r="CM110">
        <f>IF(ISBLANK('Data Entry'!$$110), "", 'Data Entry'!$$110)</f>
      </c>
      <c r="CN110">
        <f>IF(ISBLANK('Data Entry'!$$110), "", 'Data Entry'!$$110)</f>
      </c>
      <c r="CO110">
        <f>IF(ISBLANK('Data Entry'!$$110), "", 'Data Entry'!$$110)</f>
      </c>
      <c r="CP110">
        <f>IF(ISBLANK('Data Entry'!$$110), "", 'Data Entry'!$$110)</f>
      </c>
      <c r="CQ110">
        <f>IF(ISBLANK('Data Entry'!$$110), "", 'Data Entry'!$$110)</f>
      </c>
      <c r="CR110">
        <f>IF(ISBLANK('Data Entry'!$ $110), "", 'Data Entry'!$ $110)</f>
      </c>
      <c r="CS110">
        <f>IF(ISBLANK('Data Entry'!$¡$110), "", 'Data Entry'!$¡$110)</f>
      </c>
      <c r="CT110">
        <f>IF(ISBLANK('Data Entry'!$¢$110), "", 'Data Entry'!$¢$110)</f>
      </c>
      <c r="CU110">
        <f>IF(ISBLANK('Data Entry'!$£$110), "", 'Data Entry'!$£$110)</f>
      </c>
      <c r="CV110">
        <f>IF(ISBLANK('Data Entry'!$¤$110), "", 'Data Entry'!$¤$110)</f>
      </c>
      <c r="CW110">
        <f>IF(ISBLANK('Data Entry'!$¥$110), "", 'Data Entry'!$¥$110)</f>
      </c>
      <c r="CX110">
        <f>IF(ISBLANK('Data Entry'!$¦$110), "", 'Data Entry'!$¦$110)</f>
      </c>
      <c r="CY110">
        <f>IF(ISBLANK('Data Entry'!$§$110), "", 'Data Entry'!$§$110)</f>
      </c>
      <c r="CZ110">
        <f>IF(ISBLANK('Data Entry'!$¨$110), "", 'Data Entry'!$¨$110)</f>
      </c>
      <c r="DA110">
        <f>IF(ISBLANK('Data Entry'!$©$110), "", 'Data Entry'!$©$110)</f>
      </c>
      <c r="DB110">
        <f>IF(ISBLANK('Data Entry'!$ª$110), "", 'Data Entry'!$ª$110)</f>
      </c>
      <c r="DC110">
        <f>IF(ISBLANK('Data Entry'!$«$110), "", 'Data Entry'!$«$110)</f>
      </c>
      <c r="DD110">
        <f>IF(ISBLANK('Data Entry'!$¬$110), "", 'Data Entry'!$¬$110)</f>
      </c>
      <c r="DE110">
        <f>IF(ISBLANK('Data Entry'!$­$110), "", 'Data Entry'!$­$110)</f>
      </c>
      <c r="DF110">
        <f>IF(ISBLANK('Data Entry'!$®$110), "", 'Data Entry'!$®$110)</f>
      </c>
      <c r="DG110">
        <f>IF(ISBLANK('Data Entry'!$¯$110), "", 'Data Entry'!$¯$110)</f>
      </c>
      <c r="DH110">
        <f>IF(ISBLANK('Data Entry'!$°$110), "", 'Data Entry'!$°$110)</f>
      </c>
      <c r="DI110">
        <f>IF(ISBLANK('Data Entry'!$±$110), "", 'Data Entry'!$±$110)</f>
      </c>
      <c r="DJ110">
        <f>IF(ISBLANK('Data Entry'!$²$110), "", 'Data Entry'!$²$110)</f>
      </c>
      <c r="DK110">
        <f>IF(ISBLANK('Data Entry'!$³$110), "", 'Data Entry'!$³$110)</f>
      </c>
      <c r="DL110">
        <f>IF(ISBLANK('Data Entry'!$´$110), "", 'Data Entry'!$´$110)</f>
      </c>
      <c r="DM110">
        <f>IF(ISBLANK('Data Entry'!$µ$110), "", 'Data Entry'!$µ$110)</f>
      </c>
      <c r="DN110">
        <f>IF(ISBLANK('Data Entry'!$¶$110), "", 'Data Entry'!$¶$110)</f>
      </c>
      <c r="DO110">
        <f>IF(ISBLANK('Data Entry'!$·$110), "", 'Data Entry'!$·$110)</f>
      </c>
      <c r="DP110">
        <f>IF(ISBLANK('Data Entry'!$¸$110), "", 'Data Entry'!$¸$110)</f>
      </c>
      <c r="DQ110">
        <f>IF(ISBLANK('Data Entry'!$¹$110), "", 'Data Entry'!$¹$110)</f>
      </c>
      <c r="DR110">
        <f>IF(ISBLANK('Data Entry'!$º$110), "", 'Data Entry'!$º$110)</f>
      </c>
      <c r="DS110">
        <f>IF(ISBLANK('Data Entry'!$»$110), "", 'Data Entry'!$»$110)</f>
      </c>
      <c r="DT110">
        <f>IF(ISBLANK('Data Entry'!$¼$110), "", 'Data Entry'!$¼$110)</f>
      </c>
      <c r="DU110">
        <f>IF(ISBLANK('Data Entry'!$½$110), "", 'Data Entry'!$½$110)</f>
      </c>
      <c r="DV110">
        <f>IF(ISBLANK('Data Entry'!$¾$110), "", 'Data Entry'!$¾$110)</f>
      </c>
      <c r="DW110">
        <f>IF(ISBLANK('Data Entry'!$¿$110), "", 'Data Entry'!$¿$110)</f>
      </c>
      <c r="DX110">
        <f>IF(ISBLANK('Data Entry'!$À$110), "", 'Data Entry'!$À$110)</f>
      </c>
      <c r="DY110">
        <f>IF(ISBLANK('Data Entry'!$Á$110), "", 'Data Entry'!$Á$110)</f>
      </c>
      <c r="DZ110">
        <f>IF(ISBLANK('Data Entry'!$Â$110), "", 'Data Entry'!$Â$110)</f>
      </c>
      <c r="EA110">
        <f>IF(ISBLANK('Data Entry'!$Ã$110), "", 'Data Entry'!$Ã$110)</f>
      </c>
      <c r="EB110">
        <f>IF(ISBLANK('Data Entry'!$Ä$110), "", 'Data Entry'!$Ä$110)</f>
      </c>
      <c r="EC110">
        <f>IF(ISBLANK('Data Entry'!$Å$110), "", 'Data Entry'!$Å$110)</f>
      </c>
      <c r="ED110">
        <f>IF(ISBLANK('Data Entry'!$Æ$110), "", 'Data Entry'!$Æ$110)</f>
      </c>
      <c r="EE110">
        <f>IF(ISBLANK('Data Entry'!$Ç$110), "", 'Data Entry'!$Ç$110)</f>
      </c>
      <c r="EF110">
        <f>IF(ISBLANK('Data Entry'!$È$110), "", 'Data Entry'!$È$110)</f>
      </c>
      <c r="EG110">
        <f>IF(ISBLANK('Data Entry'!$É$110), "", 'Data Entry'!$É$110)</f>
      </c>
      <c r="EH110">
        <f>IF(ISBLANK('Data Entry'!$Ê$110), "", 'Data Entry'!$Ê$110)</f>
      </c>
      <c r="EI110">
        <f>IF(ISBLANK('Data Entry'!$Ë$110), "", 'Data Entry'!$Ë$110)</f>
      </c>
      <c r="EJ110">
        <f>IF(ISBLANK('Data Entry'!$Ì$110), "", 'Data Entry'!$Ì$110)</f>
      </c>
      <c r="EK110">
        <f>IF(ISBLANK('Data Entry'!$Í$110), "", 'Data Entry'!$Í$110)</f>
      </c>
      <c r="EL110">
        <f>IF(ISBLANK('Data Entry'!$Î$110), "", 'Data Entry'!$Î$110)</f>
      </c>
      <c r="EM110">
        <f>IF(ISBLANK('Data Entry'!$Ï$110), "", 'Data Entry'!$Ï$110)</f>
      </c>
      <c r="EN110">
        <f>IF(ISBLANK('Data Entry'!$Ð$110), "", 'Data Entry'!$Ð$110)</f>
      </c>
      <c r="EO110">
        <f>IF(ISBLANK('Data Entry'!$Ñ$110), "", 'Data Entry'!$Ñ$110)</f>
      </c>
      <c r="EP110">
        <f>IF(ISBLANK('Data Entry'!$Ò$110), "", 'Data Entry'!$Ò$110)</f>
      </c>
      <c r="EQ110">
        <f>IF(ISBLANK('Data Entry'!$Ó$110), "", 'Data Entry'!$Ó$110)</f>
      </c>
      <c r="ER110">
        <f>IF(ISBLANK('Data Entry'!$Ô$110), "", 'Data Entry'!$Ô$110)</f>
      </c>
      <c r="ES110">
        <f>IF(ISBLANK('Data Entry'!$Õ$110), "", 'Data Entry'!$Õ$110)</f>
      </c>
      <c r="ET110">
        <f>IF(ISBLANK('Data Entry'!$Ö$110), "", 'Data Entry'!$Ö$110)</f>
      </c>
      <c r="EU110">
        <f>IF(ISBLANK('Data Entry'!$×$110), "", 'Data Entry'!$×$110)</f>
      </c>
      <c r="EV110">
        <f>IF(ISBLANK('Data Entry'!$Ø$110), "", 'Data Entry'!$Ø$110)</f>
      </c>
      <c r="EW110">
        <f>IF(ISBLANK('Data Entry'!$Ù$110), "", 'Data Entry'!$Ù$110)</f>
      </c>
      <c r="EX110">
        <f>IF(ISBLANK('Data Entry'!$Ú$110), "", 'Data Entry'!$Ú$110)</f>
      </c>
      <c r="EY110">
        <f>IF(ISBLANK('Data Entry'!$Û$110), "", 'Data Entry'!$Û$110)</f>
      </c>
      <c r="EZ110">
        <f>IF(ISBLANK('Data Entry'!$Ü$110), "", 'Data Entry'!$Ü$110)</f>
      </c>
      <c r="FA110">
        <f>IF(ISBLANK('Data Entry'!$Ý$110), "", 'Data Entry'!$Ý$110)</f>
      </c>
      <c r="FB110">
        <f>IF(ISBLANK('Data Entry'!$Þ$110), "", 'Data Entry'!$Þ$110)</f>
      </c>
      <c r="FC110">
        <f>IF(ISBLANK('Data Entry'!$ß$110), "", 'Data Entry'!$ß$110)</f>
      </c>
      <c r="FD110">
        <f>IF(ISBLANK('Data Entry'!$à$110), "", 'Data Entry'!$à$110)</f>
      </c>
      <c r="FE110">
        <f>IF(ISBLANK('Data Entry'!$á$110), "", 'Data Entry'!$á$110)</f>
      </c>
      <c r="FF110">
        <f>IF(ISBLANK('Data Entry'!$â$110), "", 'Data Entry'!$â$110)</f>
      </c>
      <c r="FG110">
        <f>IF(ISBLANK('Data Entry'!$ã$110), "", 'Data Entry'!$ã$110)</f>
      </c>
      <c r="FH110">
        <f>IF(ISBLANK('Data Entry'!$ä$110), "", 'Data Entry'!$ä$110)</f>
      </c>
      <c r="FI110">
        <f>IF(ISBLANK('Data Entry'!$å$110), "", 'Data Entry'!$å$110)</f>
      </c>
      <c r="FJ110">
        <f>IF(ISBLANK('Data Entry'!$æ$110), "", 'Data Entry'!$æ$110)</f>
      </c>
      <c r="FK110">
        <f>IF(ISBLANK('Data Entry'!$ç$110), "", 'Data Entry'!$ç$110)</f>
      </c>
      <c r="FL110">
        <f>IF(ISBLANK('Data Entry'!$è$110), "", 'Data Entry'!$è$110)</f>
      </c>
      <c r="FM110">
        <f>IF(ISBLANK('Data Entry'!$é$110), "", 'Data Entry'!$é$110)</f>
      </c>
      <c r="FN110">
        <f>IF(ISBLANK('Data Entry'!$ê$110), "", 'Data Entry'!$ê$110)</f>
      </c>
      <c r="FO110">
        <f>IF(ISBLANK('Data Entry'!$ë$110), "", 'Data Entry'!$ë$110)</f>
      </c>
      <c r="FP110">
        <f>IF(ISBLANK('Data Entry'!$ì$110), "", 'Data Entry'!$ì$110)</f>
      </c>
      <c r="FQ110">
        <f>IF(ISBLANK('Data Entry'!$í$110), "", 'Data Entry'!$í$110)</f>
      </c>
      <c r="FR110">
        <f>IF(ISBLANK('Data Entry'!$î$110), "", 'Data Entry'!$î$110)</f>
      </c>
      <c r="FS110">
        <f>IF(ISBLANK('Data Entry'!$ï$110), "", 'Data Entry'!$ï$110)</f>
      </c>
      <c r="FT110">
        <f>IF(ISBLANK('Data Entry'!$ð$110), "", 'Data Entry'!$ð$110)</f>
      </c>
      <c r="FU110">
        <f>IF(ISBLANK('Data Entry'!$ñ$110), "", 'Data Entry'!$ñ$110)</f>
      </c>
      <c r="FV110">
        <f>IF(ISBLANK('Data Entry'!$ò$110), "", 'Data Entry'!$ò$110)</f>
      </c>
      <c r="FW110">
        <f>IF(ISBLANK('Data Entry'!$ó$110), "", 'Data Entry'!$ó$110)</f>
      </c>
      <c r="FX110">
        <f>IF(ISBLANK('Data Entry'!$ô$110), "", 'Data Entry'!$ô$110)</f>
      </c>
      <c r="FY110">
        <f>IF(ISBLANK('Data Entry'!$õ$110), "", 'Data Entry'!$õ$110)</f>
      </c>
      <c r="FZ110">
        <f>IF(ISBLANK('Data Entry'!$ö$110), "", 'Data Entry'!$ö$110)</f>
      </c>
      <c r="GA110">
        <f>IF(ISBLANK('Data Entry'!$÷$110), "", 'Data Entry'!$÷$110)</f>
      </c>
      <c r="GB110">
        <f>IF(ISBLANK('Data Entry'!$ø$110), "", 'Data Entry'!$ø$110)</f>
      </c>
      <c r="GC110">
        <f>IF(ISBLANK('Data Entry'!$ù$110), "", 'Data Entry'!$ù$110)</f>
      </c>
      <c r="GD110">
        <f>IF(ISBLANK('Data Entry'!$ú$110), "", 'Data Entry'!$ú$110)</f>
      </c>
      <c r="GE110">
        <f>IF(ISBLANK('Data Entry'!$û$110), "", 'Data Entry'!$û$110)</f>
      </c>
      <c r="GF110">
        <f>IF(ISBLANK('Data Entry'!$ü$110), "", 'Data Entry'!$ü$110)</f>
      </c>
      <c r="GG110">
        <f>IF(ISBLANK('Data Entry'!$ý$110), "", 'Data Entry'!$ý$110)</f>
      </c>
      <c r="GH110">
        <f>IF(ISBLANK('Data Entry'!$þ$110), "", 'Data Entry'!$þ$110)</f>
      </c>
      <c r="GI110">
        <f>IF(ISBLANK('Data Entry'!$ÿ$110), "", 'Data Entry'!$ÿ$110)</f>
      </c>
      <c r="GJ110">
        <f>IF(ISBLANK('Data Entry'!$Ā$110), "", 'Data Entry'!$Ā$110)</f>
      </c>
      <c r="GK110">
        <f>IF(ISBLANK('Data Entry'!$ā$110), "", 'Data Entry'!$ā$110)</f>
      </c>
      <c r="GL110">
        <f>IF(ISBLANK('Data Entry'!$Ă$110), "", 'Data Entry'!$Ă$110)</f>
      </c>
      <c r="GM110">
        <f>IF(ISBLANK('Data Entry'!$ă$110), "", 'Data Entry'!$ă$110)</f>
      </c>
      <c r="GN110">
        <f>IF(ISBLANK('Data Entry'!$Ą$110), "", 'Data Entry'!$Ą$110)</f>
      </c>
      <c r="GO110">
        <f>IF(ISBLANK('Data Entry'!$ą$110), "", 'Data Entry'!$ą$110)</f>
      </c>
      <c r="GP110">
        <f>IF(ISBLANK('Data Entry'!$Ć$110), "", 'Data Entry'!$Ć$110)</f>
      </c>
      <c r="GQ110">
        <f>IF(ISBLANK('Data Entry'!$ć$110), "", 'Data Entry'!$ć$110)</f>
      </c>
      <c r="GR110">
        <f>IF(ISBLANK('Data Entry'!$Ĉ$110), "", 'Data Entry'!$Ĉ$110)</f>
      </c>
      <c r="GS110">
        <f>IF(ISBLANK('Data Entry'!$ĉ$110), "", 'Data Entry'!$ĉ$110)</f>
      </c>
      <c r="GT110">
        <f>IF(ISBLANK('Data Entry'!$Ċ$110), "", 'Data Entry'!$Ċ$110)</f>
      </c>
      <c r="GU110">
        <f>IF(ISBLANK('Data Entry'!$ċ$110), "", 'Data Entry'!$ċ$110)</f>
      </c>
      <c r="GV110">
        <f>IF(ISBLANK('Data Entry'!$Č$110), "", 'Data Entry'!$Č$110)</f>
      </c>
      <c r="GW110">
        <f>IF(ISBLANK('Data Entry'!$č$110), "", 'Data Entry'!$č$110)</f>
      </c>
      <c r="GX110">
        <f>IF(ISBLANK('Data Entry'!$Ď$110), "", 'Data Entry'!$Ď$110)</f>
      </c>
      <c r="GY110">
        <f>IF(ISBLANK('Data Entry'!$ď$110), "", 'Data Entry'!$ď$110)</f>
      </c>
      <c r="GZ110">
        <f>IF(ISBLANK('Data Entry'!$Đ$110), "", 'Data Entry'!$Đ$110)</f>
      </c>
      <c r="HA110">
        <f>IF(ISBLANK('Data Entry'!$đ$110), "", 'Data Entry'!$đ$110)</f>
      </c>
      <c r="HB110">
        <f>IF(ISBLANK('Data Entry'!$Ē$110), "", 'Data Entry'!$Ē$110)</f>
      </c>
      <c r="HC110">
        <f>IF(ISBLANK('Data Entry'!$ē$110), "", 'Data Entry'!$ē$110)</f>
      </c>
      <c r="HD110">
        <f>IF(ISBLANK('Data Entry'!$Ĕ$110), "", 'Data Entry'!$Ĕ$110)</f>
      </c>
      <c r="HE110">
        <f>IF(ISBLANK('Data Entry'!$ĕ$110), "", 'Data Entry'!$ĕ$110)</f>
      </c>
      <c r="HF110">
        <f>IF(ISBLANK('Data Entry'!$Ė$110), "", 'Data Entry'!$Ė$110)</f>
      </c>
      <c r="HG110">
        <f>IF(ISBLANK('Data Entry'!$ė$110), "", 'Data Entry'!$ė$110)</f>
      </c>
      <c r="HH110">
        <f>IF(ISBLANK('Data Entry'!$Ę$110), "", 'Data Entry'!$Ę$110)</f>
      </c>
      <c r="HI110">
        <f>IF(ISBLANK('Data Entry'!$ę$110), "", 'Data Entry'!$ę$110)</f>
      </c>
      <c r="HJ110">
        <f>IF(ISBLANK('Data Entry'!$Ě$110), "", 'Data Entry'!$Ě$110)</f>
      </c>
      <c r="HK110">
        <f>IF(ISBLANK('Data Entry'!$ě$110), "", 'Data Entry'!$ě$110)</f>
      </c>
      <c r="HL110">
        <f>IF(ISBLANK('Data Entry'!$Ĝ$110), "", 'Data Entry'!$Ĝ$110)</f>
      </c>
      <c r="HM110">
        <f>IF(ISBLANK('Data Entry'!$ĝ$110), "", 'Data Entry'!$ĝ$110)</f>
      </c>
      <c r="HN110">
        <f>IF(ISBLANK('Data Entry'!$Ğ$110), "", 'Data Entry'!$Ğ$110)</f>
      </c>
      <c r="HO110">
        <f>IF(ISBLANK('Data Entry'!$ğ$110), "", 'Data Entry'!$ğ$110)</f>
      </c>
      <c r="HP110">
        <f>IF(ISBLANK('Data Entry'!$Ġ$110), "", 'Data Entry'!$Ġ$110)</f>
      </c>
      <c r="HQ110">
        <f>IF(ISBLANK('Data Entry'!$ġ$110), "", 'Data Entry'!$ġ$110)</f>
      </c>
      <c r="HR110">
        <f>IF(ISBLANK('Data Entry'!$Ģ$110), "", 'Data Entry'!$Ģ$110)</f>
      </c>
      <c r="HS110">
        <f>IF(ISBLANK('Data Entry'!$ģ$110), "", 'Data Entry'!$ģ$110)</f>
      </c>
      <c r="HT110">
        <f>IF(ISBLANK('Data Entry'!$Ĥ$110), "", 'Data Entry'!$Ĥ$110)</f>
      </c>
      <c r="HU110">
        <f>IF(ISBLANK('Data Entry'!$ĥ$110), "", 'Data Entry'!$ĥ$110)</f>
      </c>
      <c r="HV110">
        <f>IF(ISBLANK('Data Entry'!$Ħ$110), "", 'Data Entry'!$Ħ$110)</f>
      </c>
      <c r="HW110">
        <f>IF(ISBLANK('Data Entry'!$ħ$110), "", 'Data Entry'!$ħ$110)</f>
      </c>
      <c r="HX110">
        <f>IF(ISBLANK('Data Entry'!$Ĩ$110), "", 'Data Entry'!$Ĩ$110)</f>
      </c>
      <c r="HY110">
        <f>IF(ISBLANK('Data Entry'!$ĩ$110), "", 'Data Entry'!$ĩ$110)</f>
      </c>
      <c r="HZ110">
        <f>IF(ISBLANK('Data Entry'!$Ī$110), "", 'Data Entry'!$Ī$110)</f>
      </c>
      <c r="IA110">
        <f>IF(ISBLANK('Data Entry'!$ī$110), "", 'Data Entry'!$ī$110)</f>
      </c>
      <c r="IB110">
        <f>IF(ISBLANK('Data Entry'!$Ĭ$110), "", 'Data Entry'!$Ĭ$110)</f>
      </c>
      <c r="IC110">
        <f>IF(ISBLANK('Data Entry'!$ĭ$110), "", 'Data Entry'!$ĭ$110)</f>
      </c>
      <c r="ID110">
        <f>IF(ISBLANK('Data Entry'!$Į$110), "", 'Data Entry'!$Į$110)</f>
      </c>
      <c r="IE110">
        <f>IF(ISBLANK('Data Entry'!$į$110), "", 'Data Entry'!$į$110)</f>
      </c>
      <c r="IF110">
        <f>IF(ISBLANK('Data Entry'!$İ$110), "", 'Data Entry'!$İ$110)</f>
      </c>
      <c r="IG110">
        <f>IF(ISBLANK('Data Entry'!$ı$110), "", 'Data Entry'!$ı$110)</f>
      </c>
      <c r="IH110">
        <f>IF(ISBLANK('Data Entry'!$Ĳ$110), "", 'Data Entry'!$Ĳ$110)</f>
      </c>
      <c r="II110">
        <f>IF(ISBLANK('Data Entry'!$ĳ$110), "", 'Data Entry'!$ĳ$110)</f>
      </c>
      <c r="IJ110">
        <f>IF(ISBLANK('Data Entry'!$Ĵ$110), "", 'Data Entry'!$Ĵ$110)</f>
      </c>
      <c r="IK110">
        <f>IF(ISBLANK('Data Entry'!$ĵ$110), "", 'Data Entry'!$ĵ$110)</f>
      </c>
      <c r="IL110">
        <f>IF(ISBLANK('Data Entry'!$Ķ$110), "", 'Data Entry'!$Ķ$110)</f>
      </c>
      <c r="IM110">
        <f>IF(ISBLANK('Data Entry'!$ķ$110), "", 'Data Entry'!$ķ$110)</f>
      </c>
      <c r="IN110">
        <f>IF(ISBLANK('Data Entry'!$ĸ$110), "", 'Data Entry'!$ĸ$110)</f>
      </c>
      <c r="IO110">
        <f>IF(ISBLANK('Data Entry'!$Ĺ$110), "", 'Data Entry'!$Ĺ$110)</f>
      </c>
      <c r="IP110">
        <f>IF(ISBLANK('Data Entry'!$ĺ$110), "", 'Data Entry'!$ĺ$110)</f>
      </c>
      <c r="IQ110">
        <f>IF(ISBLANK('Data Entry'!$Ļ$110), "", 'Data Entry'!$Ļ$110)</f>
      </c>
      <c r="IR110">
        <f>IF(ISBLANK('Data Entry'!$ļ$110), "", 'Data Entry'!$ļ$110)</f>
      </c>
      <c r="IS110">
        <f>IF(ISBLANK('Data Entry'!$Ľ$110), "", 'Data Entry'!$Ľ$110)</f>
      </c>
      <c r="IT110">
        <f>IF(ISBLANK('Data Entry'!$ľ$110), "", 'Data Entry'!$ľ$110)</f>
      </c>
    </row>
    <row r="111" spans="1:254" x14ac:dyDescent="0.25">
      <c r="A111">
        <f>IF(ISBLANK('Data Entry'!$A$111), "", 'Data Entry'!$A$111)</f>
      </c>
      <c r="B111">
        <f>IF(ISBLANK('Data Entry'!$B$111), "", 'Data Entry'!$B$111)</f>
      </c>
      <c r="C111">
        <f>IF(ISBLANK('Data Entry'!$C$111), "", 'Data Entry'!$C$111)</f>
      </c>
      <c r="D111">
        <f>IF(ISBLANK('Data Entry'!$D$111), "", 'Data Entry'!$D$111)</f>
      </c>
      <c r="E111">
        <f>IF(ISBLANK('Data Entry'!$E$111), "", 'Data Entry'!$E$111)</f>
      </c>
      <c r="F111">
        <f>IF(ISBLANK('Data Entry'!$F$111), "", 'Data Entry'!$F$111)</f>
      </c>
      <c r="G111">
        <f>IF(ISBLANK('Data Entry'!$G$111), "", 'Data Entry'!$G$111)</f>
      </c>
      <c r="H111">
        <f>IF(ISBLANK('Data Entry'!$H$111), "", 'Data Entry'!$H$111)</f>
      </c>
      <c r="I111">
        <f>IF(ISBLANK('Data Entry'!$I$111), "", 'Data Entry'!$I$111)</f>
      </c>
      <c r="J111">
        <f>IF(ISBLANK('Data Entry'!$J$111), "", 'Data Entry'!$J$111)</f>
      </c>
      <c r="K111">
        <f>IF(ISBLANK('Data Entry'!$K$111), "", 'Data Entry'!$K$111)</f>
      </c>
      <c r="L111">
        <f>IF(ISBLANK('Data Entry'!$L$111), "", 'Data Entry'!$L$111)</f>
      </c>
      <c r="M111">
        <f>IF(ISBLANK('Data Entry'!$M$111), "", 'Data Entry'!$M$111)</f>
      </c>
      <c r="N111">
        <f>IF(ISBLANK('Data Entry'!$N$111), "", 'Data Entry'!$N$111)</f>
      </c>
      <c r="O111">
        <f>IF(ISBLANK('Data Entry'!$O$111), "", 'Data Entry'!$O$111)</f>
      </c>
      <c r="P111">
        <f>IF(ISBLANK('Data Entry'!$P$111), "", 'Data Entry'!$P$111)</f>
      </c>
      <c r="Q111">
        <f>IF(ISBLANK('Data Entry'!$Q$111), "", 'Data Entry'!$Q$111)</f>
      </c>
      <c r="R111">
        <f>IF(ISBLANK('Data Entry'!$R$111), "", 'Data Entry'!$R$111)</f>
      </c>
      <c r="S111">
        <f>IF(ISBLANK('Data Entry'!$S$111), "", 'Data Entry'!$S$111)</f>
      </c>
      <c r="T111">
        <f>IF(ISBLANK('Data Entry'!$T$111), "", 'Data Entry'!$T$111)</f>
      </c>
      <c r="U111">
        <f>IF(ISBLANK('Data Entry'!$U$111), "", 'Data Entry'!$U$111)</f>
      </c>
      <c r="V111">
        <f>IF(ISBLANK('Data Entry'!$V$111), "", 'Data Entry'!$V$111)</f>
      </c>
      <c r="W111">
        <f>IF(ISBLANK('Data Entry'!$W$111), "", 'Data Entry'!$W$111)</f>
      </c>
      <c r="X111">
        <f>IF(ISBLANK('Data Entry'!$X$111), "", 'Data Entry'!$X$111)</f>
      </c>
      <c r="Y111">
        <f>IF(ISBLANK('Data Entry'!$Y$111), "", 'Data Entry'!$Y$111)</f>
      </c>
      <c r="Z111">
        <f>IF(ISBLANK('Data Entry'!$Z$111), "", 'Data Entry'!$Z$111)</f>
      </c>
      <c r="AA111">
        <f>IF(ISBLANK('Data Entry'!$[$111), "", 'Data Entry'!$[$111)</f>
      </c>
      <c r="AB111">
        <f>IF(ISBLANK('Data Entry'!$\$111), "", 'Data Entry'!$\$111)</f>
      </c>
      <c r="AC111">
        <f>IF(ISBLANK('Data Entry'!$]$111), "", 'Data Entry'!$]$111)</f>
      </c>
      <c r="AD111">
        <f>IF(ISBLANK('Data Entry'!$^$111), "", 'Data Entry'!$^$111)</f>
      </c>
      <c r="AE111">
        <f>IF(ISBLANK('Data Entry'!$_$111), "", 'Data Entry'!$_$111)</f>
      </c>
      <c r="AF111">
        <f>IF(ISBLANK('Data Entry'!$`$111), "", 'Data Entry'!$`$111)</f>
      </c>
      <c r="AG111">
        <f>IF(ISBLANK('Data Entry'!$a$111), "", 'Data Entry'!$a$111)</f>
      </c>
      <c r="AH111">
        <f>IF(ISBLANK('Data Entry'!$b$111), "", 'Data Entry'!$b$111)</f>
      </c>
      <c r="AI111">
        <f>IF(ISBLANK('Data Entry'!$c$111), "", 'Data Entry'!$c$111)</f>
      </c>
      <c r="AJ111">
        <f>IF(ISBLANK('Data Entry'!$d$111), "", 'Data Entry'!$d$111)</f>
      </c>
      <c r="AK111">
        <f>IF(ISBLANK('Data Entry'!$e$111), "", 'Data Entry'!$e$111)</f>
      </c>
      <c r="AL111">
        <f>IF(ISBLANK('Data Entry'!$f$111), "", 'Data Entry'!$f$111)</f>
      </c>
      <c r="AM111">
        <f>IF(ISBLANK('Data Entry'!$g$111), "", 'Data Entry'!$g$111)</f>
      </c>
      <c r="AN111">
        <f>IF(ISBLANK('Data Entry'!$h$111), "", 'Data Entry'!$h$111)</f>
      </c>
      <c r="AO111">
        <f>IF(ISBLANK('Data Entry'!$i$111), "", 'Data Entry'!$i$111)</f>
      </c>
      <c r="AP111">
        <f>IF(ISBLANK('Data Entry'!$j$111), "", 'Data Entry'!$j$111)</f>
      </c>
      <c r="AQ111">
        <f>IF(ISBLANK('Data Entry'!$k$111), "", 'Data Entry'!$k$111)</f>
      </c>
      <c r="AR111">
        <f>IF(ISBLANK('Data Entry'!$l$111), "", 'Data Entry'!$l$111)</f>
      </c>
      <c r="AS111">
        <f>IF(ISBLANK('Data Entry'!$m$111), "", 'Data Entry'!$m$111)</f>
      </c>
      <c r="AT111">
        <f>IF(ISBLANK('Data Entry'!$n$111), "", 'Data Entry'!$n$111)</f>
      </c>
      <c r="AU111">
        <f>IF(ISBLANK('Data Entry'!$o$111), "", 'Data Entry'!$o$111)</f>
      </c>
      <c r="AV111">
        <f>IF(ISBLANK('Data Entry'!$p$111), "", 'Data Entry'!$p$111)</f>
      </c>
      <c r="AW111">
        <f>IF(ISBLANK('Data Entry'!$q$111), "", 'Data Entry'!$q$111)</f>
      </c>
      <c r="AX111">
        <f>IF(ISBLANK('Data Entry'!$r$111), "", 'Data Entry'!$r$111)</f>
      </c>
      <c r="AY111">
        <f>IF(ISBLANK('Data Entry'!$s$111), "", 'Data Entry'!$s$111)</f>
      </c>
      <c r="AZ111">
        <f>IF(ISBLANK('Data Entry'!$t$111), "", 'Data Entry'!$t$111)</f>
      </c>
      <c r="BA111">
        <f>IF(ISBLANK('Data Entry'!$u$111), "", 'Data Entry'!$u$111)</f>
      </c>
      <c r="BB111">
        <f>IF(ISBLANK('Data Entry'!$v$111), "", 'Data Entry'!$v$111)</f>
      </c>
      <c r="BC111">
        <f>IF(ISBLANK('Data Entry'!$w$111), "", 'Data Entry'!$w$111)</f>
      </c>
      <c r="BD111">
        <f>IF(ISBLANK('Data Entry'!$x$111), "", 'Data Entry'!$x$111)</f>
      </c>
      <c r="BE111">
        <f>IF(ISBLANK('Data Entry'!$y$111), "", 'Data Entry'!$y$111)</f>
      </c>
      <c r="BF111">
        <f>IF(ISBLANK('Data Entry'!$z$111), "", 'Data Entry'!$z$111)</f>
      </c>
      <c r="BG111">
        <f>IF(ISBLANK('Data Entry'!${$111), "", 'Data Entry'!${$111)</f>
      </c>
      <c r="BH111">
        <f>IF(ISBLANK('Data Entry'!$|$111), "", 'Data Entry'!$|$111)</f>
      </c>
      <c r="BI111">
        <f>IF(ISBLANK('Data Entry'!$}$111), "", 'Data Entry'!$}$111)</f>
      </c>
      <c r="BJ111">
        <f>IF(ISBLANK('Data Entry'!$~$111), "", 'Data Entry'!$~$111)</f>
      </c>
      <c r="BK111">
        <f>IF(ISBLANK('Data Entry'!$$111), "", 'Data Entry'!$$111)</f>
      </c>
      <c r="BL111">
        <f>IF(ISBLANK('Data Entry'!$$111), "", 'Data Entry'!$$111)</f>
      </c>
      <c r="BM111">
        <f>IF(ISBLANK('Data Entry'!$$111), "", 'Data Entry'!$$111)</f>
      </c>
      <c r="BN111">
        <f>IF(ISBLANK('Data Entry'!$$111), "", 'Data Entry'!$$111)</f>
      </c>
      <c r="BO111">
        <f>IF(ISBLANK('Data Entry'!$$111), "", 'Data Entry'!$$111)</f>
      </c>
      <c r="BP111">
        <f>IF(ISBLANK('Data Entry'!$$111), "", 'Data Entry'!$$111)</f>
      </c>
      <c r="BQ111">
        <f>IF(ISBLANK('Data Entry'!$$111), "", 'Data Entry'!$$111)</f>
      </c>
      <c r="BR111">
        <f>IF(ISBLANK('Data Entry'!$$111), "", 'Data Entry'!$$111)</f>
      </c>
      <c r="BS111">
        <f>IF(ISBLANK('Data Entry'!$$111), "", 'Data Entry'!$$111)</f>
      </c>
      <c r="BT111">
        <f>IF(ISBLANK('Data Entry'!$$111), "", 'Data Entry'!$$111)</f>
      </c>
      <c r="BU111">
        <f>IF(ISBLANK('Data Entry'!$$111), "", 'Data Entry'!$$111)</f>
      </c>
      <c r="BV111">
        <f>IF(ISBLANK('Data Entry'!$$111), "", 'Data Entry'!$$111)</f>
      </c>
      <c r="BW111">
        <f>IF(ISBLANK('Data Entry'!$$111), "", 'Data Entry'!$$111)</f>
      </c>
      <c r="BX111">
        <f>IF(ISBLANK('Data Entry'!$$111), "", 'Data Entry'!$$111)</f>
      </c>
      <c r="BY111">
        <f>IF(ISBLANK('Data Entry'!$$111), "", 'Data Entry'!$$111)</f>
      </c>
      <c r="BZ111">
        <f>IF(ISBLANK('Data Entry'!$$111), "", 'Data Entry'!$$111)</f>
      </c>
      <c r="CA111">
        <f>IF(ISBLANK('Data Entry'!$$111), "", 'Data Entry'!$$111)</f>
      </c>
      <c r="CB111">
        <f>IF(ISBLANK('Data Entry'!$$111), "", 'Data Entry'!$$111)</f>
      </c>
      <c r="CC111">
        <f>IF(ISBLANK('Data Entry'!$$111), "", 'Data Entry'!$$111)</f>
      </c>
      <c r="CD111">
        <f>IF(ISBLANK('Data Entry'!$$111), "", 'Data Entry'!$$111)</f>
      </c>
      <c r="CE111">
        <f>IF(ISBLANK('Data Entry'!$$111), "", 'Data Entry'!$$111)</f>
      </c>
      <c r="CF111">
        <f>IF(ISBLANK('Data Entry'!$$111), "", 'Data Entry'!$$111)</f>
      </c>
      <c r="CG111">
        <f>IF(ISBLANK('Data Entry'!$$111), "", 'Data Entry'!$$111)</f>
      </c>
      <c r="CH111">
        <f>IF(ISBLANK('Data Entry'!$$111), "", 'Data Entry'!$$111)</f>
      </c>
      <c r="CI111">
        <f>IF(ISBLANK('Data Entry'!$$111), "", 'Data Entry'!$$111)</f>
      </c>
      <c r="CJ111">
        <f>IF(ISBLANK('Data Entry'!$$111), "", 'Data Entry'!$$111)</f>
      </c>
      <c r="CK111">
        <f>IF(ISBLANK('Data Entry'!$$111), "", 'Data Entry'!$$111)</f>
      </c>
      <c r="CL111">
        <f>IF(ISBLANK('Data Entry'!$$111), "", 'Data Entry'!$$111)</f>
      </c>
      <c r="CM111">
        <f>IF(ISBLANK('Data Entry'!$$111), "", 'Data Entry'!$$111)</f>
      </c>
      <c r="CN111">
        <f>IF(ISBLANK('Data Entry'!$$111), "", 'Data Entry'!$$111)</f>
      </c>
      <c r="CO111">
        <f>IF(ISBLANK('Data Entry'!$$111), "", 'Data Entry'!$$111)</f>
      </c>
      <c r="CP111">
        <f>IF(ISBLANK('Data Entry'!$$111), "", 'Data Entry'!$$111)</f>
      </c>
      <c r="CQ111">
        <f>IF(ISBLANK('Data Entry'!$$111), "", 'Data Entry'!$$111)</f>
      </c>
      <c r="CR111">
        <f>IF(ISBLANK('Data Entry'!$ $111), "", 'Data Entry'!$ $111)</f>
      </c>
      <c r="CS111">
        <f>IF(ISBLANK('Data Entry'!$¡$111), "", 'Data Entry'!$¡$111)</f>
      </c>
      <c r="CT111">
        <f>IF(ISBLANK('Data Entry'!$¢$111), "", 'Data Entry'!$¢$111)</f>
      </c>
      <c r="CU111">
        <f>IF(ISBLANK('Data Entry'!$£$111), "", 'Data Entry'!$£$111)</f>
      </c>
      <c r="CV111">
        <f>IF(ISBLANK('Data Entry'!$¤$111), "", 'Data Entry'!$¤$111)</f>
      </c>
      <c r="CW111">
        <f>IF(ISBLANK('Data Entry'!$¥$111), "", 'Data Entry'!$¥$111)</f>
      </c>
      <c r="CX111">
        <f>IF(ISBLANK('Data Entry'!$¦$111), "", 'Data Entry'!$¦$111)</f>
      </c>
      <c r="CY111">
        <f>IF(ISBLANK('Data Entry'!$§$111), "", 'Data Entry'!$§$111)</f>
      </c>
      <c r="CZ111">
        <f>IF(ISBLANK('Data Entry'!$¨$111), "", 'Data Entry'!$¨$111)</f>
      </c>
      <c r="DA111">
        <f>IF(ISBLANK('Data Entry'!$©$111), "", 'Data Entry'!$©$111)</f>
      </c>
      <c r="DB111">
        <f>IF(ISBLANK('Data Entry'!$ª$111), "", 'Data Entry'!$ª$111)</f>
      </c>
      <c r="DC111">
        <f>IF(ISBLANK('Data Entry'!$«$111), "", 'Data Entry'!$«$111)</f>
      </c>
      <c r="DD111">
        <f>IF(ISBLANK('Data Entry'!$¬$111), "", 'Data Entry'!$¬$111)</f>
      </c>
      <c r="DE111">
        <f>IF(ISBLANK('Data Entry'!$­$111), "", 'Data Entry'!$­$111)</f>
      </c>
      <c r="DF111">
        <f>IF(ISBLANK('Data Entry'!$®$111), "", 'Data Entry'!$®$111)</f>
      </c>
      <c r="DG111">
        <f>IF(ISBLANK('Data Entry'!$¯$111), "", 'Data Entry'!$¯$111)</f>
      </c>
      <c r="DH111">
        <f>IF(ISBLANK('Data Entry'!$°$111), "", 'Data Entry'!$°$111)</f>
      </c>
      <c r="DI111">
        <f>IF(ISBLANK('Data Entry'!$±$111), "", 'Data Entry'!$±$111)</f>
      </c>
      <c r="DJ111">
        <f>IF(ISBLANK('Data Entry'!$²$111), "", 'Data Entry'!$²$111)</f>
      </c>
      <c r="DK111">
        <f>IF(ISBLANK('Data Entry'!$³$111), "", 'Data Entry'!$³$111)</f>
      </c>
      <c r="DL111">
        <f>IF(ISBLANK('Data Entry'!$´$111), "", 'Data Entry'!$´$111)</f>
      </c>
      <c r="DM111">
        <f>IF(ISBLANK('Data Entry'!$µ$111), "", 'Data Entry'!$µ$111)</f>
      </c>
      <c r="DN111">
        <f>IF(ISBLANK('Data Entry'!$¶$111), "", 'Data Entry'!$¶$111)</f>
      </c>
      <c r="DO111">
        <f>IF(ISBLANK('Data Entry'!$·$111), "", 'Data Entry'!$·$111)</f>
      </c>
      <c r="DP111">
        <f>IF(ISBLANK('Data Entry'!$¸$111), "", 'Data Entry'!$¸$111)</f>
      </c>
      <c r="DQ111">
        <f>IF(ISBLANK('Data Entry'!$¹$111), "", 'Data Entry'!$¹$111)</f>
      </c>
      <c r="DR111">
        <f>IF(ISBLANK('Data Entry'!$º$111), "", 'Data Entry'!$º$111)</f>
      </c>
      <c r="DS111">
        <f>IF(ISBLANK('Data Entry'!$»$111), "", 'Data Entry'!$»$111)</f>
      </c>
      <c r="DT111">
        <f>IF(ISBLANK('Data Entry'!$¼$111), "", 'Data Entry'!$¼$111)</f>
      </c>
      <c r="DU111">
        <f>IF(ISBLANK('Data Entry'!$½$111), "", 'Data Entry'!$½$111)</f>
      </c>
      <c r="DV111">
        <f>IF(ISBLANK('Data Entry'!$¾$111), "", 'Data Entry'!$¾$111)</f>
      </c>
      <c r="DW111">
        <f>IF(ISBLANK('Data Entry'!$¿$111), "", 'Data Entry'!$¿$111)</f>
      </c>
      <c r="DX111">
        <f>IF(ISBLANK('Data Entry'!$À$111), "", 'Data Entry'!$À$111)</f>
      </c>
      <c r="DY111">
        <f>IF(ISBLANK('Data Entry'!$Á$111), "", 'Data Entry'!$Á$111)</f>
      </c>
      <c r="DZ111">
        <f>IF(ISBLANK('Data Entry'!$Â$111), "", 'Data Entry'!$Â$111)</f>
      </c>
      <c r="EA111">
        <f>IF(ISBLANK('Data Entry'!$Ã$111), "", 'Data Entry'!$Ã$111)</f>
      </c>
      <c r="EB111">
        <f>IF(ISBLANK('Data Entry'!$Ä$111), "", 'Data Entry'!$Ä$111)</f>
      </c>
      <c r="EC111">
        <f>IF(ISBLANK('Data Entry'!$Å$111), "", 'Data Entry'!$Å$111)</f>
      </c>
      <c r="ED111">
        <f>IF(ISBLANK('Data Entry'!$Æ$111), "", 'Data Entry'!$Æ$111)</f>
      </c>
      <c r="EE111">
        <f>IF(ISBLANK('Data Entry'!$Ç$111), "", 'Data Entry'!$Ç$111)</f>
      </c>
      <c r="EF111">
        <f>IF(ISBLANK('Data Entry'!$È$111), "", 'Data Entry'!$È$111)</f>
      </c>
      <c r="EG111">
        <f>IF(ISBLANK('Data Entry'!$É$111), "", 'Data Entry'!$É$111)</f>
      </c>
      <c r="EH111">
        <f>IF(ISBLANK('Data Entry'!$Ê$111), "", 'Data Entry'!$Ê$111)</f>
      </c>
      <c r="EI111">
        <f>IF(ISBLANK('Data Entry'!$Ë$111), "", 'Data Entry'!$Ë$111)</f>
      </c>
      <c r="EJ111">
        <f>IF(ISBLANK('Data Entry'!$Ì$111), "", 'Data Entry'!$Ì$111)</f>
      </c>
      <c r="EK111">
        <f>IF(ISBLANK('Data Entry'!$Í$111), "", 'Data Entry'!$Í$111)</f>
      </c>
      <c r="EL111">
        <f>IF(ISBLANK('Data Entry'!$Î$111), "", 'Data Entry'!$Î$111)</f>
      </c>
      <c r="EM111">
        <f>IF(ISBLANK('Data Entry'!$Ï$111), "", 'Data Entry'!$Ï$111)</f>
      </c>
      <c r="EN111">
        <f>IF(ISBLANK('Data Entry'!$Ð$111), "", 'Data Entry'!$Ð$111)</f>
      </c>
      <c r="EO111">
        <f>IF(ISBLANK('Data Entry'!$Ñ$111), "", 'Data Entry'!$Ñ$111)</f>
      </c>
      <c r="EP111">
        <f>IF(ISBLANK('Data Entry'!$Ò$111), "", 'Data Entry'!$Ò$111)</f>
      </c>
      <c r="EQ111">
        <f>IF(ISBLANK('Data Entry'!$Ó$111), "", 'Data Entry'!$Ó$111)</f>
      </c>
      <c r="ER111">
        <f>IF(ISBLANK('Data Entry'!$Ô$111), "", 'Data Entry'!$Ô$111)</f>
      </c>
      <c r="ES111">
        <f>IF(ISBLANK('Data Entry'!$Õ$111), "", 'Data Entry'!$Õ$111)</f>
      </c>
      <c r="ET111">
        <f>IF(ISBLANK('Data Entry'!$Ö$111), "", 'Data Entry'!$Ö$111)</f>
      </c>
      <c r="EU111">
        <f>IF(ISBLANK('Data Entry'!$×$111), "", 'Data Entry'!$×$111)</f>
      </c>
      <c r="EV111">
        <f>IF(ISBLANK('Data Entry'!$Ø$111), "", 'Data Entry'!$Ø$111)</f>
      </c>
      <c r="EW111">
        <f>IF(ISBLANK('Data Entry'!$Ù$111), "", 'Data Entry'!$Ù$111)</f>
      </c>
      <c r="EX111">
        <f>IF(ISBLANK('Data Entry'!$Ú$111), "", 'Data Entry'!$Ú$111)</f>
      </c>
      <c r="EY111">
        <f>IF(ISBLANK('Data Entry'!$Û$111), "", 'Data Entry'!$Û$111)</f>
      </c>
      <c r="EZ111">
        <f>IF(ISBLANK('Data Entry'!$Ü$111), "", 'Data Entry'!$Ü$111)</f>
      </c>
      <c r="FA111">
        <f>IF(ISBLANK('Data Entry'!$Ý$111), "", 'Data Entry'!$Ý$111)</f>
      </c>
      <c r="FB111">
        <f>IF(ISBLANK('Data Entry'!$Þ$111), "", 'Data Entry'!$Þ$111)</f>
      </c>
      <c r="FC111">
        <f>IF(ISBLANK('Data Entry'!$ß$111), "", 'Data Entry'!$ß$111)</f>
      </c>
      <c r="FD111">
        <f>IF(ISBLANK('Data Entry'!$à$111), "", 'Data Entry'!$à$111)</f>
      </c>
      <c r="FE111">
        <f>IF(ISBLANK('Data Entry'!$á$111), "", 'Data Entry'!$á$111)</f>
      </c>
      <c r="FF111">
        <f>IF(ISBLANK('Data Entry'!$â$111), "", 'Data Entry'!$â$111)</f>
      </c>
      <c r="FG111">
        <f>IF(ISBLANK('Data Entry'!$ã$111), "", 'Data Entry'!$ã$111)</f>
      </c>
      <c r="FH111">
        <f>IF(ISBLANK('Data Entry'!$ä$111), "", 'Data Entry'!$ä$111)</f>
      </c>
      <c r="FI111">
        <f>IF(ISBLANK('Data Entry'!$å$111), "", 'Data Entry'!$å$111)</f>
      </c>
      <c r="FJ111">
        <f>IF(ISBLANK('Data Entry'!$æ$111), "", 'Data Entry'!$æ$111)</f>
      </c>
      <c r="FK111">
        <f>IF(ISBLANK('Data Entry'!$ç$111), "", 'Data Entry'!$ç$111)</f>
      </c>
      <c r="FL111">
        <f>IF(ISBLANK('Data Entry'!$è$111), "", 'Data Entry'!$è$111)</f>
      </c>
      <c r="FM111">
        <f>IF(ISBLANK('Data Entry'!$é$111), "", 'Data Entry'!$é$111)</f>
      </c>
      <c r="FN111">
        <f>IF(ISBLANK('Data Entry'!$ê$111), "", 'Data Entry'!$ê$111)</f>
      </c>
      <c r="FO111">
        <f>IF(ISBLANK('Data Entry'!$ë$111), "", 'Data Entry'!$ë$111)</f>
      </c>
      <c r="FP111">
        <f>IF(ISBLANK('Data Entry'!$ì$111), "", 'Data Entry'!$ì$111)</f>
      </c>
      <c r="FQ111">
        <f>IF(ISBLANK('Data Entry'!$í$111), "", 'Data Entry'!$í$111)</f>
      </c>
      <c r="FR111">
        <f>IF(ISBLANK('Data Entry'!$î$111), "", 'Data Entry'!$î$111)</f>
      </c>
      <c r="FS111">
        <f>IF(ISBLANK('Data Entry'!$ï$111), "", 'Data Entry'!$ï$111)</f>
      </c>
      <c r="FT111">
        <f>IF(ISBLANK('Data Entry'!$ð$111), "", 'Data Entry'!$ð$111)</f>
      </c>
      <c r="FU111">
        <f>IF(ISBLANK('Data Entry'!$ñ$111), "", 'Data Entry'!$ñ$111)</f>
      </c>
      <c r="FV111">
        <f>IF(ISBLANK('Data Entry'!$ò$111), "", 'Data Entry'!$ò$111)</f>
      </c>
      <c r="FW111">
        <f>IF(ISBLANK('Data Entry'!$ó$111), "", 'Data Entry'!$ó$111)</f>
      </c>
      <c r="FX111">
        <f>IF(ISBLANK('Data Entry'!$ô$111), "", 'Data Entry'!$ô$111)</f>
      </c>
      <c r="FY111">
        <f>IF(ISBLANK('Data Entry'!$õ$111), "", 'Data Entry'!$õ$111)</f>
      </c>
      <c r="FZ111">
        <f>IF(ISBLANK('Data Entry'!$ö$111), "", 'Data Entry'!$ö$111)</f>
      </c>
      <c r="GA111">
        <f>IF(ISBLANK('Data Entry'!$÷$111), "", 'Data Entry'!$÷$111)</f>
      </c>
      <c r="GB111">
        <f>IF(ISBLANK('Data Entry'!$ø$111), "", 'Data Entry'!$ø$111)</f>
      </c>
      <c r="GC111">
        <f>IF(ISBLANK('Data Entry'!$ù$111), "", 'Data Entry'!$ù$111)</f>
      </c>
      <c r="GD111">
        <f>IF(ISBLANK('Data Entry'!$ú$111), "", 'Data Entry'!$ú$111)</f>
      </c>
      <c r="GE111">
        <f>IF(ISBLANK('Data Entry'!$û$111), "", 'Data Entry'!$û$111)</f>
      </c>
      <c r="GF111">
        <f>IF(ISBLANK('Data Entry'!$ü$111), "", 'Data Entry'!$ü$111)</f>
      </c>
      <c r="GG111">
        <f>IF(ISBLANK('Data Entry'!$ý$111), "", 'Data Entry'!$ý$111)</f>
      </c>
      <c r="GH111">
        <f>IF(ISBLANK('Data Entry'!$þ$111), "", 'Data Entry'!$þ$111)</f>
      </c>
      <c r="GI111">
        <f>IF(ISBLANK('Data Entry'!$ÿ$111), "", 'Data Entry'!$ÿ$111)</f>
      </c>
      <c r="GJ111">
        <f>IF(ISBLANK('Data Entry'!$Ā$111), "", 'Data Entry'!$Ā$111)</f>
      </c>
      <c r="GK111">
        <f>IF(ISBLANK('Data Entry'!$ā$111), "", 'Data Entry'!$ā$111)</f>
      </c>
      <c r="GL111">
        <f>IF(ISBLANK('Data Entry'!$Ă$111), "", 'Data Entry'!$Ă$111)</f>
      </c>
      <c r="GM111">
        <f>IF(ISBLANK('Data Entry'!$ă$111), "", 'Data Entry'!$ă$111)</f>
      </c>
      <c r="GN111">
        <f>IF(ISBLANK('Data Entry'!$Ą$111), "", 'Data Entry'!$Ą$111)</f>
      </c>
      <c r="GO111">
        <f>IF(ISBLANK('Data Entry'!$ą$111), "", 'Data Entry'!$ą$111)</f>
      </c>
      <c r="GP111">
        <f>IF(ISBLANK('Data Entry'!$Ć$111), "", 'Data Entry'!$Ć$111)</f>
      </c>
      <c r="GQ111">
        <f>IF(ISBLANK('Data Entry'!$ć$111), "", 'Data Entry'!$ć$111)</f>
      </c>
      <c r="GR111">
        <f>IF(ISBLANK('Data Entry'!$Ĉ$111), "", 'Data Entry'!$Ĉ$111)</f>
      </c>
      <c r="GS111">
        <f>IF(ISBLANK('Data Entry'!$ĉ$111), "", 'Data Entry'!$ĉ$111)</f>
      </c>
      <c r="GT111">
        <f>IF(ISBLANK('Data Entry'!$Ċ$111), "", 'Data Entry'!$Ċ$111)</f>
      </c>
      <c r="GU111">
        <f>IF(ISBLANK('Data Entry'!$ċ$111), "", 'Data Entry'!$ċ$111)</f>
      </c>
      <c r="GV111">
        <f>IF(ISBLANK('Data Entry'!$Č$111), "", 'Data Entry'!$Č$111)</f>
      </c>
      <c r="GW111">
        <f>IF(ISBLANK('Data Entry'!$č$111), "", 'Data Entry'!$č$111)</f>
      </c>
      <c r="GX111">
        <f>IF(ISBLANK('Data Entry'!$Ď$111), "", 'Data Entry'!$Ď$111)</f>
      </c>
      <c r="GY111">
        <f>IF(ISBLANK('Data Entry'!$ď$111), "", 'Data Entry'!$ď$111)</f>
      </c>
      <c r="GZ111">
        <f>IF(ISBLANK('Data Entry'!$Đ$111), "", 'Data Entry'!$Đ$111)</f>
      </c>
      <c r="HA111">
        <f>IF(ISBLANK('Data Entry'!$đ$111), "", 'Data Entry'!$đ$111)</f>
      </c>
      <c r="HB111">
        <f>IF(ISBLANK('Data Entry'!$Ē$111), "", 'Data Entry'!$Ē$111)</f>
      </c>
      <c r="HC111">
        <f>IF(ISBLANK('Data Entry'!$ē$111), "", 'Data Entry'!$ē$111)</f>
      </c>
      <c r="HD111">
        <f>IF(ISBLANK('Data Entry'!$Ĕ$111), "", 'Data Entry'!$Ĕ$111)</f>
      </c>
      <c r="HE111">
        <f>IF(ISBLANK('Data Entry'!$ĕ$111), "", 'Data Entry'!$ĕ$111)</f>
      </c>
      <c r="HF111">
        <f>IF(ISBLANK('Data Entry'!$Ė$111), "", 'Data Entry'!$Ė$111)</f>
      </c>
      <c r="HG111">
        <f>IF(ISBLANK('Data Entry'!$ė$111), "", 'Data Entry'!$ė$111)</f>
      </c>
      <c r="HH111">
        <f>IF(ISBLANK('Data Entry'!$Ę$111), "", 'Data Entry'!$Ę$111)</f>
      </c>
      <c r="HI111">
        <f>IF(ISBLANK('Data Entry'!$ę$111), "", 'Data Entry'!$ę$111)</f>
      </c>
      <c r="HJ111">
        <f>IF(ISBLANK('Data Entry'!$Ě$111), "", 'Data Entry'!$Ě$111)</f>
      </c>
      <c r="HK111">
        <f>IF(ISBLANK('Data Entry'!$ě$111), "", 'Data Entry'!$ě$111)</f>
      </c>
      <c r="HL111">
        <f>IF(ISBLANK('Data Entry'!$Ĝ$111), "", 'Data Entry'!$Ĝ$111)</f>
      </c>
      <c r="HM111">
        <f>IF(ISBLANK('Data Entry'!$ĝ$111), "", 'Data Entry'!$ĝ$111)</f>
      </c>
      <c r="HN111">
        <f>IF(ISBLANK('Data Entry'!$Ğ$111), "", 'Data Entry'!$Ğ$111)</f>
      </c>
      <c r="HO111">
        <f>IF(ISBLANK('Data Entry'!$ğ$111), "", 'Data Entry'!$ğ$111)</f>
      </c>
      <c r="HP111">
        <f>IF(ISBLANK('Data Entry'!$Ġ$111), "", 'Data Entry'!$Ġ$111)</f>
      </c>
      <c r="HQ111">
        <f>IF(ISBLANK('Data Entry'!$ġ$111), "", 'Data Entry'!$ġ$111)</f>
      </c>
      <c r="HR111">
        <f>IF(ISBLANK('Data Entry'!$Ģ$111), "", 'Data Entry'!$Ģ$111)</f>
      </c>
      <c r="HS111">
        <f>IF(ISBLANK('Data Entry'!$ģ$111), "", 'Data Entry'!$ģ$111)</f>
      </c>
      <c r="HT111">
        <f>IF(ISBLANK('Data Entry'!$Ĥ$111), "", 'Data Entry'!$Ĥ$111)</f>
      </c>
      <c r="HU111">
        <f>IF(ISBLANK('Data Entry'!$ĥ$111), "", 'Data Entry'!$ĥ$111)</f>
      </c>
      <c r="HV111">
        <f>IF(ISBLANK('Data Entry'!$Ħ$111), "", 'Data Entry'!$Ħ$111)</f>
      </c>
      <c r="HW111">
        <f>IF(ISBLANK('Data Entry'!$ħ$111), "", 'Data Entry'!$ħ$111)</f>
      </c>
      <c r="HX111">
        <f>IF(ISBLANK('Data Entry'!$Ĩ$111), "", 'Data Entry'!$Ĩ$111)</f>
      </c>
      <c r="HY111">
        <f>IF(ISBLANK('Data Entry'!$ĩ$111), "", 'Data Entry'!$ĩ$111)</f>
      </c>
      <c r="HZ111">
        <f>IF(ISBLANK('Data Entry'!$Ī$111), "", 'Data Entry'!$Ī$111)</f>
      </c>
      <c r="IA111">
        <f>IF(ISBLANK('Data Entry'!$ī$111), "", 'Data Entry'!$ī$111)</f>
      </c>
      <c r="IB111">
        <f>IF(ISBLANK('Data Entry'!$Ĭ$111), "", 'Data Entry'!$Ĭ$111)</f>
      </c>
      <c r="IC111">
        <f>IF(ISBLANK('Data Entry'!$ĭ$111), "", 'Data Entry'!$ĭ$111)</f>
      </c>
      <c r="ID111">
        <f>IF(ISBLANK('Data Entry'!$Į$111), "", 'Data Entry'!$Į$111)</f>
      </c>
      <c r="IE111">
        <f>IF(ISBLANK('Data Entry'!$į$111), "", 'Data Entry'!$į$111)</f>
      </c>
      <c r="IF111">
        <f>IF(ISBLANK('Data Entry'!$İ$111), "", 'Data Entry'!$İ$111)</f>
      </c>
      <c r="IG111">
        <f>IF(ISBLANK('Data Entry'!$ı$111), "", 'Data Entry'!$ı$111)</f>
      </c>
      <c r="IH111">
        <f>IF(ISBLANK('Data Entry'!$Ĳ$111), "", 'Data Entry'!$Ĳ$111)</f>
      </c>
      <c r="II111">
        <f>IF(ISBLANK('Data Entry'!$ĳ$111), "", 'Data Entry'!$ĳ$111)</f>
      </c>
      <c r="IJ111">
        <f>IF(ISBLANK('Data Entry'!$Ĵ$111), "", 'Data Entry'!$Ĵ$111)</f>
      </c>
      <c r="IK111">
        <f>IF(ISBLANK('Data Entry'!$ĵ$111), "", 'Data Entry'!$ĵ$111)</f>
      </c>
      <c r="IL111">
        <f>IF(ISBLANK('Data Entry'!$Ķ$111), "", 'Data Entry'!$Ķ$111)</f>
      </c>
      <c r="IM111">
        <f>IF(ISBLANK('Data Entry'!$ķ$111), "", 'Data Entry'!$ķ$111)</f>
      </c>
      <c r="IN111">
        <f>IF(ISBLANK('Data Entry'!$ĸ$111), "", 'Data Entry'!$ĸ$111)</f>
      </c>
      <c r="IO111">
        <f>IF(ISBLANK('Data Entry'!$Ĺ$111), "", 'Data Entry'!$Ĺ$111)</f>
      </c>
      <c r="IP111">
        <f>IF(ISBLANK('Data Entry'!$ĺ$111), "", 'Data Entry'!$ĺ$111)</f>
      </c>
      <c r="IQ111">
        <f>IF(ISBLANK('Data Entry'!$Ļ$111), "", 'Data Entry'!$Ļ$111)</f>
      </c>
      <c r="IR111">
        <f>IF(ISBLANK('Data Entry'!$ļ$111), "", 'Data Entry'!$ļ$111)</f>
      </c>
      <c r="IS111">
        <f>IF(ISBLANK('Data Entry'!$Ľ$111), "", 'Data Entry'!$Ľ$111)</f>
      </c>
      <c r="IT111">
        <f>IF(ISBLANK('Data Entry'!$ľ$111), "", 'Data Entry'!$ľ$111)</f>
      </c>
    </row>
    <row r="112" spans="1:254" x14ac:dyDescent="0.25">
      <c r="A112">
        <f>IF(ISBLANK('Data Entry'!$A$112), "", 'Data Entry'!$A$112)</f>
      </c>
      <c r="B112">
        <f>IF(ISBLANK('Data Entry'!$B$112), "", 'Data Entry'!$B$112)</f>
      </c>
      <c r="C112">
        <f>IF(ISBLANK('Data Entry'!$C$112), "", 'Data Entry'!$C$112)</f>
      </c>
      <c r="D112">
        <f>IF(ISBLANK('Data Entry'!$D$112), "", 'Data Entry'!$D$112)</f>
      </c>
      <c r="E112">
        <f>IF(ISBLANK('Data Entry'!$E$112), "", 'Data Entry'!$E$112)</f>
      </c>
      <c r="F112">
        <f>IF(ISBLANK('Data Entry'!$F$112), "", 'Data Entry'!$F$112)</f>
      </c>
      <c r="G112">
        <f>IF(ISBLANK('Data Entry'!$G$112), "", 'Data Entry'!$G$112)</f>
      </c>
      <c r="H112">
        <f>IF(ISBLANK('Data Entry'!$H$112), "", 'Data Entry'!$H$112)</f>
      </c>
      <c r="I112">
        <f>IF(ISBLANK('Data Entry'!$I$112), "", 'Data Entry'!$I$112)</f>
      </c>
      <c r="J112">
        <f>IF(ISBLANK('Data Entry'!$J$112), "", 'Data Entry'!$J$112)</f>
      </c>
      <c r="K112">
        <f>IF(ISBLANK('Data Entry'!$K$112), "", 'Data Entry'!$K$112)</f>
      </c>
      <c r="L112">
        <f>IF(ISBLANK('Data Entry'!$L$112), "", 'Data Entry'!$L$112)</f>
      </c>
      <c r="M112">
        <f>IF(ISBLANK('Data Entry'!$M$112), "", 'Data Entry'!$M$112)</f>
      </c>
      <c r="N112">
        <f>IF(ISBLANK('Data Entry'!$N$112), "", 'Data Entry'!$N$112)</f>
      </c>
      <c r="O112">
        <f>IF(ISBLANK('Data Entry'!$O$112), "", 'Data Entry'!$O$112)</f>
      </c>
      <c r="P112">
        <f>IF(ISBLANK('Data Entry'!$P$112), "", 'Data Entry'!$P$112)</f>
      </c>
      <c r="Q112">
        <f>IF(ISBLANK('Data Entry'!$Q$112), "", 'Data Entry'!$Q$112)</f>
      </c>
      <c r="R112">
        <f>IF(ISBLANK('Data Entry'!$R$112), "", 'Data Entry'!$R$112)</f>
      </c>
      <c r="S112">
        <f>IF(ISBLANK('Data Entry'!$S$112), "", 'Data Entry'!$S$112)</f>
      </c>
      <c r="T112">
        <f>IF(ISBLANK('Data Entry'!$T$112), "", 'Data Entry'!$T$112)</f>
      </c>
      <c r="U112">
        <f>IF(ISBLANK('Data Entry'!$U$112), "", 'Data Entry'!$U$112)</f>
      </c>
      <c r="V112">
        <f>IF(ISBLANK('Data Entry'!$V$112), "", 'Data Entry'!$V$112)</f>
      </c>
      <c r="W112">
        <f>IF(ISBLANK('Data Entry'!$W$112), "", 'Data Entry'!$W$112)</f>
      </c>
      <c r="X112">
        <f>IF(ISBLANK('Data Entry'!$X$112), "", 'Data Entry'!$X$112)</f>
      </c>
      <c r="Y112">
        <f>IF(ISBLANK('Data Entry'!$Y$112), "", 'Data Entry'!$Y$112)</f>
      </c>
      <c r="Z112">
        <f>IF(ISBLANK('Data Entry'!$Z$112), "", 'Data Entry'!$Z$112)</f>
      </c>
      <c r="AA112">
        <f>IF(ISBLANK('Data Entry'!$[$112), "", 'Data Entry'!$[$112)</f>
      </c>
      <c r="AB112">
        <f>IF(ISBLANK('Data Entry'!$\$112), "", 'Data Entry'!$\$112)</f>
      </c>
      <c r="AC112">
        <f>IF(ISBLANK('Data Entry'!$]$112), "", 'Data Entry'!$]$112)</f>
      </c>
      <c r="AD112">
        <f>IF(ISBLANK('Data Entry'!$^$112), "", 'Data Entry'!$^$112)</f>
      </c>
      <c r="AE112">
        <f>IF(ISBLANK('Data Entry'!$_$112), "", 'Data Entry'!$_$112)</f>
      </c>
      <c r="AF112">
        <f>IF(ISBLANK('Data Entry'!$`$112), "", 'Data Entry'!$`$112)</f>
      </c>
      <c r="AG112">
        <f>IF(ISBLANK('Data Entry'!$a$112), "", 'Data Entry'!$a$112)</f>
      </c>
      <c r="AH112">
        <f>IF(ISBLANK('Data Entry'!$b$112), "", 'Data Entry'!$b$112)</f>
      </c>
      <c r="AI112">
        <f>IF(ISBLANK('Data Entry'!$c$112), "", 'Data Entry'!$c$112)</f>
      </c>
      <c r="AJ112">
        <f>IF(ISBLANK('Data Entry'!$d$112), "", 'Data Entry'!$d$112)</f>
      </c>
      <c r="AK112">
        <f>IF(ISBLANK('Data Entry'!$e$112), "", 'Data Entry'!$e$112)</f>
      </c>
      <c r="AL112">
        <f>IF(ISBLANK('Data Entry'!$f$112), "", 'Data Entry'!$f$112)</f>
      </c>
      <c r="AM112">
        <f>IF(ISBLANK('Data Entry'!$g$112), "", 'Data Entry'!$g$112)</f>
      </c>
      <c r="AN112">
        <f>IF(ISBLANK('Data Entry'!$h$112), "", 'Data Entry'!$h$112)</f>
      </c>
      <c r="AO112">
        <f>IF(ISBLANK('Data Entry'!$i$112), "", 'Data Entry'!$i$112)</f>
      </c>
      <c r="AP112">
        <f>IF(ISBLANK('Data Entry'!$j$112), "", 'Data Entry'!$j$112)</f>
      </c>
      <c r="AQ112">
        <f>IF(ISBLANK('Data Entry'!$k$112), "", 'Data Entry'!$k$112)</f>
      </c>
      <c r="AR112">
        <f>IF(ISBLANK('Data Entry'!$l$112), "", 'Data Entry'!$l$112)</f>
      </c>
      <c r="AS112">
        <f>IF(ISBLANK('Data Entry'!$m$112), "", 'Data Entry'!$m$112)</f>
      </c>
      <c r="AT112">
        <f>IF(ISBLANK('Data Entry'!$n$112), "", 'Data Entry'!$n$112)</f>
      </c>
      <c r="AU112">
        <f>IF(ISBLANK('Data Entry'!$o$112), "", 'Data Entry'!$o$112)</f>
      </c>
      <c r="AV112">
        <f>IF(ISBLANK('Data Entry'!$p$112), "", 'Data Entry'!$p$112)</f>
      </c>
      <c r="AW112">
        <f>IF(ISBLANK('Data Entry'!$q$112), "", 'Data Entry'!$q$112)</f>
      </c>
      <c r="AX112">
        <f>IF(ISBLANK('Data Entry'!$r$112), "", 'Data Entry'!$r$112)</f>
      </c>
      <c r="AY112">
        <f>IF(ISBLANK('Data Entry'!$s$112), "", 'Data Entry'!$s$112)</f>
      </c>
      <c r="AZ112">
        <f>IF(ISBLANK('Data Entry'!$t$112), "", 'Data Entry'!$t$112)</f>
      </c>
      <c r="BA112">
        <f>IF(ISBLANK('Data Entry'!$u$112), "", 'Data Entry'!$u$112)</f>
      </c>
      <c r="BB112">
        <f>IF(ISBLANK('Data Entry'!$v$112), "", 'Data Entry'!$v$112)</f>
      </c>
      <c r="BC112">
        <f>IF(ISBLANK('Data Entry'!$w$112), "", 'Data Entry'!$w$112)</f>
      </c>
      <c r="BD112">
        <f>IF(ISBLANK('Data Entry'!$x$112), "", 'Data Entry'!$x$112)</f>
      </c>
      <c r="BE112">
        <f>IF(ISBLANK('Data Entry'!$y$112), "", 'Data Entry'!$y$112)</f>
      </c>
      <c r="BF112">
        <f>IF(ISBLANK('Data Entry'!$z$112), "", 'Data Entry'!$z$112)</f>
      </c>
      <c r="BG112">
        <f>IF(ISBLANK('Data Entry'!${$112), "", 'Data Entry'!${$112)</f>
      </c>
      <c r="BH112">
        <f>IF(ISBLANK('Data Entry'!$|$112), "", 'Data Entry'!$|$112)</f>
      </c>
      <c r="BI112">
        <f>IF(ISBLANK('Data Entry'!$}$112), "", 'Data Entry'!$}$112)</f>
      </c>
      <c r="BJ112">
        <f>IF(ISBLANK('Data Entry'!$~$112), "", 'Data Entry'!$~$112)</f>
      </c>
      <c r="BK112">
        <f>IF(ISBLANK('Data Entry'!$$112), "", 'Data Entry'!$$112)</f>
      </c>
      <c r="BL112">
        <f>IF(ISBLANK('Data Entry'!$$112), "", 'Data Entry'!$$112)</f>
      </c>
      <c r="BM112">
        <f>IF(ISBLANK('Data Entry'!$$112), "", 'Data Entry'!$$112)</f>
      </c>
      <c r="BN112">
        <f>IF(ISBLANK('Data Entry'!$$112), "", 'Data Entry'!$$112)</f>
      </c>
      <c r="BO112">
        <f>IF(ISBLANK('Data Entry'!$$112), "", 'Data Entry'!$$112)</f>
      </c>
      <c r="BP112">
        <f>IF(ISBLANK('Data Entry'!$$112), "", 'Data Entry'!$$112)</f>
      </c>
      <c r="BQ112">
        <f>IF(ISBLANK('Data Entry'!$$112), "", 'Data Entry'!$$112)</f>
      </c>
      <c r="BR112">
        <f>IF(ISBLANK('Data Entry'!$$112), "", 'Data Entry'!$$112)</f>
      </c>
      <c r="BS112">
        <f>IF(ISBLANK('Data Entry'!$$112), "", 'Data Entry'!$$112)</f>
      </c>
      <c r="BT112">
        <f>IF(ISBLANK('Data Entry'!$$112), "", 'Data Entry'!$$112)</f>
      </c>
      <c r="BU112">
        <f>IF(ISBLANK('Data Entry'!$$112), "", 'Data Entry'!$$112)</f>
      </c>
      <c r="BV112">
        <f>IF(ISBLANK('Data Entry'!$$112), "", 'Data Entry'!$$112)</f>
      </c>
      <c r="BW112">
        <f>IF(ISBLANK('Data Entry'!$$112), "", 'Data Entry'!$$112)</f>
      </c>
      <c r="BX112">
        <f>IF(ISBLANK('Data Entry'!$$112), "", 'Data Entry'!$$112)</f>
      </c>
      <c r="BY112">
        <f>IF(ISBLANK('Data Entry'!$$112), "", 'Data Entry'!$$112)</f>
      </c>
      <c r="BZ112">
        <f>IF(ISBLANK('Data Entry'!$$112), "", 'Data Entry'!$$112)</f>
      </c>
      <c r="CA112">
        <f>IF(ISBLANK('Data Entry'!$$112), "", 'Data Entry'!$$112)</f>
      </c>
      <c r="CB112">
        <f>IF(ISBLANK('Data Entry'!$$112), "", 'Data Entry'!$$112)</f>
      </c>
      <c r="CC112">
        <f>IF(ISBLANK('Data Entry'!$$112), "", 'Data Entry'!$$112)</f>
      </c>
      <c r="CD112">
        <f>IF(ISBLANK('Data Entry'!$$112), "", 'Data Entry'!$$112)</f>
      </c>
      <c r="CE112">
        <f>IF(ISBLANK('Data Entry'!$$112), "", 'Data Entry'!$$112)</f>
      </c>
      <c r="CF112">
        <f>IF(ISBLANK('Data Entry'!$$112), "", 'Data Entry'!$$112)</f>
      </c>
      <c r="CG112">
        <f>IF(ISBLANK('Data Entry'!$$112), "", 'Data Entry'!$$112)</f>
      </c>
      <c r="CH112">
        <f>IF(ISBLANK('Data Entry'!$$112), "", 'Data Entry'!$$112)</f>
      </c>
      <c r="CI112">
        <f>IF(ISBLANK('Data Entry'!$$112), "", 'Data Entry'!$$112)</f>
      </c>
      <c r="CJ112">
        <f>IF(ISBLANK('Data Entry'!$$112), "", 'Data Entry'!$$112)</f>
      </c>
      <c r="CK112">
        <f>IF(ISBLANK('Data Entry'!$$112), "", 'Data Entry'!$$112)</f>
      </c>
      <c r="CL112">
        <f>IF(ISBLANK('Data Entry'!$$112), "", 'Data Entry'!$$112)</f>
      </c>
      <c r="CM112">
        <f>IF(ISBLANK('Data Entry'!$$112), "", 'Data Entry'!$$112)</f>
      </c>
      <c r="CN112">
        <f>IF(ISBLANK('Data Entry'!$$112), "", 'Data Entry'!$$112)</f>
      </c>
      <c r="CO112">
        <f>IF(ISBLANK('Data Entry'!$$112), "", 'Data Entry'!$$112)</f>
      </c>
      <c r="CP112">
        <f>IF(ISBLANK('Data Entry'!$$112), "", 'Data Entry'!$$112)</f>
      </c>
      <c r="CQ112">
        <f>IF(ISBLANK('Data Entry'!$$112), "", 'Data Entry'!$$112)</f>
      </c>
      <c r="CR112">
        <f>IF(ISBLANK('Data Entry'!$ $112), "", 'Data Entry'!$ $112)</f>
      </c>
      <c r="CS112">
        <f>IF(ISBLANK('Data Entry'!$¡$112), "", 'Data Entry'!$¡$112)</f>
      </c>
      <c r="CT112">
        <f>IF(ISBLANK('Data Entry'!$¢$112), "", 'Data Entry'!$¢$112)</f>
      </c>
      <c r="CU112">
        <f>IF(ISBLANK('Data Entry'!$£$112), "", 'Data Entry'!$£$112)</f>
      </c>
      <c r="CV112">
        <f>IF(ISBLANK('Data Entry'!$¤$112), "", 'Data Entry'!$¤$112)</f>
      </c>
      <c r="CW112">
        <f>IF(ISBLANK('Data Entry'!$¥$112), "", 'Data Entry'!$¥$112)</f>
      </c>
      <c r="CX112">
        <f>IF(ISBLANK('Data Entry'!$¦$112), "", 'Data Entry'!$¦$112)</f>
      </c>
      <c r="CY112">
        <f>IF(ISBLANK('Data Entry'!$§$112), "", 'Data Entry'!$§$112)</f>
      </c>
      <c r="CZ112">
        <f>IF(ISBLANK('Data Entry'!$¨$112), "", 'Data Entry'!$¨$112)</f>
      </c>
      <c r="DA112">
        <f>IF(ISBLANK('Data Entry'!$©$112), "", 'Data Entry'!$©$112)</f>
      </c>
      <c r="DB112">
        <f>IF(ISBLANK('Data Entry'!$ª$112), "", 'Data Entry'!$ª$112)</f>
      </c>
      <c r="DC112">
        <f>IF(ISBLANK('Data Entry'!$«$112), "", 'Data Entry'!$«$112)</f>
      </c>
      <c r="DD112">
        <f>IF(ISBLANK('Data Entry'!$¬$112), "", 'Data Entry'!$¬$112)</f>
      </c>
      <c r="DE112">
        <f>IF(ISBLANK('Data Entry'!$­$112), "", 'Data Entry'!$­$112)</f>
      </c>
      <c r="DF112">
        <f>IF(ISBLANK('Data Entry'!$®$112), "", 'Data Entry'!$®$112)</f>
      </c>
      <c r="DG112">
        <f>IF(ISBLANK('Data Entry'!$¯$112), "", 'Data Entry'!$¯$112)</f>
      </c>
      <c r="DH112">
        <f>IF(ISBLANK('Data Entry'!$°$112), "", 'Data Entry'!$°$112)</f>
      </c>
      <c r="DI112">
        <f>IF(ISBLANK('Data Entry'!$±$112), "", 'Data Entry'!$±$112)</f>
      </c>
      <c r="DJ112">
        <f>IF(ISBLANK('Data Entry'!$²$112), "", 'Data Entry'!$²$112)</f>
      </c>
      <c r="DK112">
        <f>IF(ISBLANK('Data Entry'!$³$112), "", 'Data Entry'!$³$112)</f>
      </c>
      <c r="DL112">
        <f>IF(ISBLANK('Data Entry'!$´$112), "", 'Data Entry'!$´$112)</f>
      </c>
      <c r="DM112">
        <f>IF(ISBLANK('Data Entry'!$µ$112), "", 'Data Entry'!$µ$112)</f>
      </c>
      <c r="DN112">
        <f>IF(ISBLANK('Data Entry'!$¶$112), "", 'Data Entry'!$¶$112)</f>
      </c>
      <c r="DO112">
        <f>IF(ISBLANK('Data Entry'!$·$112), "", 'Data Entry'!$·$112)</f>
      </c>
      <c r="DP112">
        <f>IF(ISBLANK('Data Entry'!$¸$112), "", 'Data Entry'!$¸$112)</f>
      </c>
      <c r="DQ112">
        <f>IF(ISBLANK('Data Entry'!$¹$112), "", 'Data Entry'!$¹$112)</f>
      </c>
      <c r="DR112">
        <f>IF(ISBLANK('Data Entry'!$º$112), "", 'Data Entry'!$º$112)</f>
      </c>
      <c r="DS112">
        <f>IF(ISBLANK('Data Entry'!$»$112), "", 'Data Entry'!$»$112)</f>
      </c>
      <c r="DT112">
        <f>IF(ISBLANK('Data Entry'!$¼$112), "", 'Data Entry'!$¼$112)</f>
      </c>
      <c r="DU112">
        <f>IF(ISBLANK('Data Entry'!$½$112), "", 'Data Entry'!$½$112)</f>
      </c>
      <c r="DV112">
        <f>IF(ISBLANK('Data Entry'!$¾$112), "", 'Data Entry'!$¾$112)</f>
      </c>
      <c r="DW112">
        <f>IF(ISBLANK('Data Entry'!$¿$112), "", 'Data Entry'!$¿$112)</f>
      </c>
      <c r="DX112">
        <f>IF(ISBLANK('Data Entry'!$À$112), "", 'Data Entry'!$À$112)</f>
      </c>
      <c r="DY112">
        <f>IF(ISBLANK('Data Entry'!$Á$112), "", 'Data Entry'!$Á$112)</f>
      </c>
      <c r="DZ112">
        <f>IF(ISBLANK('Data Entry'!$Â$112), "", 'Data Entry'!$Â$112)</f>
      </c>
      <c r="EA112">
        <f>IF(ISBLANK('Data Entry'!$Ã$112), "", 'Data Entry'!$Ã$112)</f>
      </c>
      <c r="EB112">
        <f>IF(ISBLANK('Data Entry'!$Ä$112), "", 'Data Entry'!$Ä$112)</f>
      </c>
      <c r="EC112">
        <f>IF(ISBLANK('Data Entry'!$Å$112), "", 'Data Entry'!$Å$112)</f>
      </c>
      <c r="ED112">
        <f>IF(ISBLANK('Data Entry'!$Æ$112), "", 'Data Entry'!$Æ$112)</f>
      </c>
      <c r="EE112">
        <f>IF(ISBLANK('Data Entry'!$Ç$112), "", 'Data Entry'!$Ç$112)</f>
      </c>
      <c r="EF112">
        <f>IF(ISBLANK('Data Entry'!$È$112), "", 'Data Entry'!$È$112)</f>
      </c>
      <c r="EG112">
        <f>IF(ISBLANK('Data Entry'!$É$112), "", 'Data Entry'!$É$112)</f>
      </c>
      <c r="EH112">
        <f>IF(ISBLANK('Data Entry'!$Ê$112), "", 'Data Entry'!$Ê$112)</f>
      </c>
      <c r="EI112">
        <f>IF(ISBLANK('Data Entry'!$Ë$112), "", 'Data Entry'!$Ë$112)</f>
      </c>
      <c r="EJ112">
        <f>IF(ISBLANK('Data Entry'!$Ì$112), "", 'Data Entry'!$Ì$112)</f>
      </c>
      <c r="EK112">
        <f>IF(ISBLANK('Data Entry'!$Í$112), "", 'Data Entry'!$Í$112)</f>
      </c>
      <c r="EL112">
        <f>IF(ISBLANK('Data Entry'!$Î$112), "", 'Data Entry'!$Î$112)</f>
      </c>
      <c r="EM112">
        <f>IF(ISBLANK('Data Entry'!$Ï$112), "", 'Data Entry'!$Ï$112)</f>
      </c>
      <c r="EN112">
        <f>IF(ISBLANK('Data Entry'!$Ð$112), "", 'Data Entry'!$Ð$112)</f>
      </c>
      <c r="EO112">
        <f>IF(ISBLANK('Data Entry'!$Ñ$112), "", 'Data Entry'!$Ñ$112)</f>
      </c>
      <c r="EP112">
        <f>IF(ISBLANK('Data Entry'!$Ò$112), "", 'Data Entry'!$Ò$112)</f>
      </c>
      <c r="EQ112">
        <f>IF(ISBLANK('Data Entry'!$Ó$112), "", 'Data Entry'!$Ó$112)</f>
      </c>
      <c r="ER112">
        <f>IF(ISBLANK('Data Entry'!$Ô$112), "", 'Data Entry'!$Ô$112)</f>
      </c>
      <c r="ES112">
        <f>IF(ISBLANK('Data Entry'!$Õ$112), "", 'Data Entry'!$Õ$112)</f>
      </c>
      <c r="ET112">
        <f>IF(ISBLANK('Data Entry'!$Ö$112), "", 'Data Entry'!$Ö$112)</f>
      </c>
      <c r="EU112">
        <f>IF(ISBLANK('Data Entry'!$×$112), "", 'Data Entry'!$×$112)</f>
      </c>
      <c r="EV112">
        <f>IF(ISBLANK('Data Entry'!$Ø$112), "", 'Data Entry'!$Ø$112)</f>
      </c>
      <c r="EW112">
        <f>IF(ISBLANK('Data Entry'!$Ù$112), "", 'Data Entry'!$Ù$112)</f>
      </c>
      <c r="EX112">
        <f>IF(ISBLANK('Data Entry'!$Ú$112), "", 'Data Entry'!$Ú$112)</f>
      </c>
      <c r="EY112">
        <f>IF(ISBLANK('Data Entry'!$Û$112), "", 'Data Entry'!$Û$112)</f>
      </c>
      <c r="EZ112">
        <f>IF(ISBLANK('Data Entry'!$Ü$112), "", 'Data Entry'!$Ü$112)</f>
      </c>
      <c r="FA112">
        <f>IF(ISBLANK('Data Entry'!$Ý$112), "", 'Data Entry'!$Ý$112)</f>
      </c>
      <c r="FB112">
        <f>IF(ISBLANK('Data Entry'!$Þ$112), "", 'Data Entry'!$Þ$112)</f>
      </c>
      <c r="FC112">
        <f>IF(ISBLANK('Data Entry'!$ß$112), "", 'Data Entry'!$ß$112)</f>
      </c>
      <c r="FD112">
        <f>IF(ISBLANK('Data Entry'!$à$112), "", 'Data Entry'!$à$112)</f>
      </c>
      <c r="FE112">
        <f>IF(ISBLANK('Data Entry'!$á$112), "", 'Data Entry'!$á$112)</f>
      </c>
      <c r="FF112">
        <f>IF(ISBLANK('Data Entry'!$â$112), "", 'Data Entry'!$â$112)</f>
      </c>
      <c r="FG112">
        <f>IF(ISBLANK('Data Entry'!$ã$112), "", 'Data Entry'!$ã$112)</f>
      </c>
      <c r="FH112">
        <f>IF(ISBLANK('Data Entry'!$ä$112), "", 'Data Entry'!$ä$112)</f>
      </c>
      <c r="FI112">
        <f>IF(ISBLANK('Data Entry'!$å$112), "", 'Data Entry'!$å$112)</f>
      </c>
      <c r="FJ112">
        <f>IF(ISBLANK('Data Entry'!$æ$112), "", 'Data Entry'!$æ$112)</f>
      </c>
      <c r="FK112">
        <f>IF(ISBLANK('Data Entry'!$ç$112), "", 'Data Entry'!$ç$112)</f>
      </c>
      <c r="FL112">
        <f>IF(ISBLANK('Data Entry'!$è$112), "", 'Data Entry'!$è$112)</f>
      </c>
      <c r="FM112">
        <f>IF(ISBLANK('Data Entry'!$é$112), "", 'Data Entry'!$é$112)</f>
      </c>
      <c r="FN112">
        <f>IF(ISBLANK('Data Entry'!$ê$112), "", 'Data Entry'!$ê$112)</f>
      </c>
      <c r="FO112">
        <f>IF(ISBLANK('Data Entry'!$ë$112), "", 'Data Entry'!$ë$112)</f>
      </c>
      <c r="FP112">
        <f>IF(ISBLANK('Data Entry'!$ì$112), "", 'Data Entry'!$ì$112)</f>
      </c>
      <c r="FQ112">
        <f>IF(ISBLANK('Data Entry'!$í$112), "", 'Data Entry'!$í$112)</f>
      </c>
      <c r="FR112">
        <f>IF(ISBLANK('Data Entry'!$î$112), "", 'Data Entry'!$î$112)</f>
      </c>
      <c r="FS112">
        <f>IF(ISBLANK('Data Entry'!$ï$112), "", 'Data Entry'!$ï$112)</f>
      </c>
      <c r="FT112">
        <f>IF(ISBLANK('Data Entry'!$ð$112), "", 'Data Entry'!$ð$112)</f>
      </c>
      <c r="FU112">
        <f>IF(ISBLANK('Data Entry'!$ñ$112), "", 'Data Entry'!$ñ$112)</f>
      </c>
      <c r="FV112">
        <f>IF(ISBLANK('Data Entry'!$ò$112), "", 'Data Entry'!$ò$112)</f>
      </c>
      <c r="FW112">
        <f>IF(ISBLANK('Data Entry'!$ó$112), "", 'Data Entry'!$ó$112)</f>
      </c>
      <c r="FX112">
        <f>IF(ISBLANK('Data Entry'!$ô$112), "", 'Data Entry'!$ô$112)</f>
      </c>
      <c r="FY112">
        <f>IF(ISBLANK('Data Entry'!$õ$112), "", 'Data Entry'!$õ$112)</f>
      </c>
      <c r="FZ112">
        <f>IF(ISBLANK('Data Entry'!$ö$112), "", 'Data Entry'!$ö$112)</f>
      </c>
      <c r="GA112">
        <f>IF(ISBLANK('Data Entry'!$÷$112), "", 'Data Entry'!$÷$112)</f>
      </c>
      <c r="GB112">
        <f>IF(ISBLANK('Data Entry'!$ø$112), "", 'Data Entry'!$ø$112)</f>
      </c>
      <c r="GC112">
        <f>IF(ISBLANK('Data Entry'!$ù$112), "", 'Data Entry'!$ù$112)</f>
      </c>
      <c r="GD112">
        <f>IF(ISBLANK('Data Entry'!$ú$112), "", 'Data Entry'!$ú$112)</f>
      </c>
      <c r="GE112">
        <f>IF(ISBLANK('Data Entry'!$û$112), "", 'Data Entry'!$û$112)</f>
      </c>
      <c r="GF112">
        <f>IF(ISBLANK('Data Entry'!$ü$112), "", 'Data Entry'!$ü$112)</f>
      </c>
      <c r="GG112">
        <f>IF(ISBLANK('Data Entry'!$ý$112), "", 'Data Entry'!$ý$112)</f>
      </c>
      <c r="GH112">
        <f>IF(ISBLANK('Data Entry'!$þ$112), "", 'Data Entry'!$þ$112)</f>
      </c>
      <c r="GI112">
        <f>IF(ISBLANK('Data Entry'!$ÿ$112), "", 'Data Entry'!$ÿ$112)</f>
      </c>
      <c r="GJ112">
        <f>IF(ISBLANK('Data Entry'!$Ā$112), "", 'Data Entry'!$Ā$112)</f>
      </c>
      <c r="GK112">
        <f>IF(ISBLANK('Data Entry'!$ā$112), "", 'Data Entry'!$ā$112)</f>
      </c>
      <c r="GL112">
        <f>IF(ISBLANK('Data Entry'!$Ă$112), "", 'Data Entry'!$Ă$112)</f>
      </c>
      <c r="GM112">
        <f>IF(ISBLANK('Data Entry'!$ă$112), "", 'Data Entry'!$ă$112)</f>
      </c>
      <c r="GN112">
        <f>IF(ISBLANK('Data Entry'!$Ą$112), "", 'Data Entry'!$Ą$112)</f>
      </c>
      <c r="GO112">
        <f>IF(ISBLANK('Data Entry'!$ą$112), "", 'Data Entry'!$ą$112)</f>
      </c>
      <c r="GP112">
        <f>IF(ISBLANK('Data Entry'!$Ć$112), "", 'Data Entry'!$Ć$112)</f>
      </c>
      <c r="GQ112">
        <f>IF(ISBLANK('Data Entry'!$ć$112), "", 'Data Entry'!$ć$112)</f>
      </c>
      <c r="GR112">
        <f>IF(ISBLANK('Data Entry'!$Ĉ$112), "", 'Data Entry'!$Ĉ$112)</f>
      </c>
      <c r="GS112">
        <f>IF(ISBLANK('Data Entry'!$ĉ$112), "", 'Data Entry'!$ĉ$112)</f>
      </c>
      <c r="GT112">
        <f>IF(ISBLANK('Data Entry'!$Ċ$112), "", 'Data Entry'!$Ċ$112)</f>
      </c>
      <c r="GU112">
        <f>IF(ISBLANK('Data Entry'!$ċ$112), "", 'Data Entry'!$ċ$112)</f>
      </c>
      <c r="GV112">
        <f>IF(ISBLANK('Data Entry'!$Č$112), "", 'Data Entry'!$Č$112)</f>
      </c>
      <c r="GW112">
        <f>IF(ISBLANK('Data Entry'!$č$112), "", 'Data Entry'!$č$112)</f>
      </c>
      <c r="GX112">
        <f>IF(ISBLANK('Data Entry'!$Ď$112), "", 'Data Entry'!$Ď$112)</f>
      </c>
      <c r="GY112">
        <f>IF(ISBLANK('Data Entry'!$ď$112), "", 'Data Entry'!$ď$112)</f>
      </c>
      <c r="GZ112">
        <f>IF(ISBLANK('Data Entry'!$Đ$112), "", 'Data Entry'!$Đ$112)</f>
      </c>
      <c r="HA112">
        <f>IF(ISBLANK('Data Entry'!$đ$112), "", 'Data Entry'!$đ$112)</f>
      </c>
      <c r="HB112">
        <f>IF(ISBLANK('Data Entry'!$Ē$112), "", 'Data Entry'!$Ē$112)</f>
      </c>
      <c r="HC112">
        <f>IF(ISBLANK('Data Entry'!$ē$112), "", 'Data Entry'!$ē$112)</f>
      </c>
      <c r="HD112">
        <f>IF(ISBLANK('Data Entry'!$Ĕ$112), "", 'Data Entry'!$Ĕ$112)</f>
      </c>
      <c r="HE112">
        <f>IF(ISBLANK('Data Entry'!$ĕ$112), "", 'Data Entry'!$ĕ$112)</f>
      </c>
      <c r="HF112">
        <f>IF(ISBLANK('Data Entry'!$Ė$112), "", 'Data Entry'!$Ė$112)</f>
      </c>
      <c r="HG112">
        <f>IF(ISBLANK('Data Entry'!$ė$112), "", 'Data Entry'!$ė$112)</f>
      </c>
      <c r="HH112">
        <f>IF(ISBLANK('Data Entry'!$Ę$112), "", 'Data Entry'!$Ę$112)</f>
      </c>
      <c r="HI112">
        <f>IF(ISBLANK('Data Entry'!$ę$112), "", 'Data Entry'!$ę$112)</f>
      </c>
      <c r="HJ112">
        <f>IF(ISBLANK('Data Entry'!$Ě$112), "", 'Data Entry'!$Ě$112)</f>
      </c>
      <c r="HK112">
        <f>IF(ISBLANK('Data Entry'!$ě$112), "", 'Data Entry'!$ě$112)</f>
      </c>
      <c r="HL112">
        <f>IF(ISBLANK('Data Entry'!$Ĝ$112), "", 'Data Entry'!$Ĝ$112)</f>
      </c>
      <c r="HM112">
        <f>IF(ISBLANK('Data Entry'!$ĝ$112), "", 'Data Entry'!$ĝ$112)</f>
      </c>
      <c r="HN112">
        <f>IF(ISBLANK('Data Entry'!$Ğ$112), "", 'Data Entry'!$Ğ$112)</f>
      </c>
      <c r="HO112">
        <f>IF(ISBLANK('Data Entry'!$ğ$112), "", 'Data Entry'!$ğ$112)</f>
      </c>
      <c r="HP112">
        <f>IF(ISBLANK('Data Entry'!$Ġ$112), "", 'Data Entry'!$Ġ$112)</f>
      </c>
      <c r="HQ112">
        <f>IF(ISBLANK('Data Entry'!$ġ$112), "", 'Data Entry'!$ġ$112)</f>
      </c>
      <c r="HR112">
        <f>IF(ISBLANK('Data Entry'!$Ģ$112), "", 'Data Entry'!$Ģ$112)</f>
      </c>
      <c r="HS112">
        <f>IF(ISBLANK('Data Entry'!$ģ$112), "", 'Data Entry'!$ģ$112)</f>
      </c>
      <c r="HT112">
        <f>IF(ISBLANK('Data Entry'!$Ĥ$112), "", 'Data Entry'!$Ĥ$112)</f>
      </c>
      <c r="HU112">
        <f>IF(ISBLANK('Data Entry'!$ĥ$112), "", 'Data Entry'!$ĥ$112)</f>
      </c>
      <c r="HV112">
        <f>IF(ISBLANK('Data Entry'!$Ħ$112), "", 'Data Entry'!$Ħ$112)</f>
      </c>
      <c r="HW112">
        <f>IF(ISBLANK('Data Entry'!$ħ$112), "", 'Data Entry'!$ħ$112)</f>
      </c>
      <c r="HX112">
        <f>IF(ISBLANK('Data Entry'!$Ĩ$112), "", 'Data Entry'!$Ĩ$112)</f>
      </c>
      <c r="HY112">
        <f>IF(ISBLANK('Data Entry'!$ĩ$112), "", 'Data Entry'!$ĩ$112)</f>
      </c>
      <c r="HZ112">
        <f>IF(ISBLANK('Data Entry'!$Ī$112), "", 'Data Entry'!$Ī$112)</f>
      </c>
      <c r="IA112">
        <f>IF(ISBLANK('Data Entry'!$ī$112), "", 'Data Entry'!$ī$112)</f>
      </c>
      <c r="IB112">
        <f>IF(ISBLANK('Data Entry'!$Ĭ$112), "", 'Data Entry'!$Ĭ$112)</f>
      </c>
      <c r="IC112">
        <f>IF(ISBLANK('Data Entry'!$ĭ$112), "", 'Data Entry'!$ĭ$112)</f>
      </c>
      <c r="ID112">
        <f>IF(ISBLANK('Data Entry'!$Į$112), "", 'Data Entry'!$Į$112)</f>
      </c>
      <c r="IE112">
        <f>IF(ISBLANK('Data Entry'!$į$112), "", 'Data Entry'!$į$112)</f>
      </c>
      <c r="IF112">
        <f>IF(ISBLANK('Data Entry'!$İ$112), "", 'Data Entry'!$İ$112)</f>
      </c>
      <c r="IG112">
        <f>IF(ISBLANK('Data Entry'!$ı$112), "", 'Data Entry'!$ı$112)</f>
      </c>
      <c r="IH112">
        <f>IF(ISBLANK('Data Entry'!$Ĳ$112), "", 'Data Entry'!$Ĳ$112)</f>
      </c>
      <c r="II112">
        <f>IF(ISBLANK('Data Entry'!$ĳ$112), "", 'Data Entry'!$ĳ$112)</f>
      </c>
      <c r="IJ112">
        <f>IF(ISBLANK('Data Entry'!$Ĵ$112), "", 'Data Entry'!$Ĵ$112)</f>
      </c>
      <c r="IK112">
        <f>IF(ISBLANK('Data Entry'!$ĵ$112), "", 'Data Entry'!$ĵ$112)</f>
      </c>
      <c r="IL112">
        <f>IF(ISBLANK('Data Entry'!$Ķ$112), "", 'Data Entry'!$Ķ$112)</f>
      </c>
      <c r="IM112">
        <f>IF(ISBLANK('Data Entry'!$ķ$112), "", 'Data Entry'!$ķ$112)</f>
      </c>
      <c r="IN112">
        <f>IF(ISBLANK('Data Entry'!$ĸ$112), "", 'Data Entry'!$ĸ$112)</f>
      </c>
      <c r="IO112">
        <f>IF(ISBLANK('Data Entry'!$Ĺ$112), "", 'Data Entry'!$Ĺ$112)</f>
      </c>
      <c r="IP112">
        <f>IF(ISBLANK('Data Entry'!$ĺ$112), "", 'Data Entry'!$ĺ$112)</f>
      </c>
      <c r="IQ112">
        <f>IF(ISBLANK('Data Entry'!$Ļ$112), "", 'Data Entry'!$Ļ$112)</f>
      </c>
      <c r="IR112">
        <f>IF(ISBLANK('Data Entry'!$ļ$112), "", 'Data Entry'!$ļ$112)</f>
      </c>
      <c r="IS112">
        <f>IF(ISBLANK('Data Entry'!$Ľ$112), "", 'Data Entry'!$Ľ$112)</f>
      </c>
      <c r="IT112">
        <f>IF(ISBLANK('Data Entry'!$ľ$112), "", 'Data Entry'!$ľ$112)</f>
      </c>
    </row>
    <row r="113" spans="1:254" x14ac:dyDescent="0.25">
      <c r="A113">
        <f>IF(ISBLANK('Data Entry'!$A$113), "", 'Data Entry'!$A$113)</f>
      </c>
      <c r="B113">
        <f>IF(ISBLANK('Data Entry'!$B$113), "", 'Data Entry'!$B$113)</f>
      </c>
      <c r="C113">
        <f>IF(ISBLANK('Data Entry'!$C$113), "", 'Data Entry'!$C$113)</f>
      </c>
      <c r="D113">
        <f>IF(ISBLANK('Data Entry'!$D$113), "", 'Data Entry'!$D$113)</f>
      </c>
      <c r="E113">
        <f>IF(ISBLANK('Data Entry'!$E$113), "", 'Data Entry'!$E$113)</f>
      </c>
      <c r="F113">
        <f>IF(ISBLANK('Data Entry'!$F$113), "", 'Data Entry'!$F$113)</f>
      </c>
      <c r="G113">
        <f>IF(ISBLANK('Data Entry'!$G$113), "", 'Data Entry'!$G$113)</f>
      </c>
      <c r="H113">
        <f>IF(ISBLANK('Data Entry'!$H$113), "", 'Data Entry'!$H$113)</f>
      </c>
      <c r="I113">
        <f>IF(ISBLANK('Data Entry'!$I$113), "", 'Data Entry'!$I$113)</f>
      </c>
      <c r="J113">
        <f>IF(ISBLANK('Data Entry'!$J$113), "", 'Data Entry'!$J$113)</f>
      </c>
      <c r="K113">
        <f>IF(ISBLANK('Data Entry'!$K$113), "", 'Data Entry'!$K$113)</f>
      </c>
      <c r="L113">
        <f>IF(ISBLANK('Data Entry'!$L$113), "", 'Data Entry'!$L$113)</f>
      </c>
      <c r="M113">
        <f>IF(ISBLANK('Data Entry'!$M$113), "", 'Data Entry'!$M$113)</f>
      </c>
      <c r="N113">
        <f>IF(ISBLANK('Data Entry'!$N$113), "", 'Data Entry'!$N$113)</f>
      </c>
      <c r="O113">
        <f>IF(ISBLANK('Data Entry'!$O$113), "", 'Data Entry'!$O$113)</f>
      </c>
      <c r="P113">
        <f>IF(ISBLANK('Data Entry'!$P$113), "", 'Data Entry'!$P$113)</f>
      </c>
      <c r="Q113">
        <f>IF(ISBLANK('Data Entry'!$Q$113), "", 'Data Entry'!$Q$113)</f>
      </c>
      <c r="R113">
        <f>IF(ISBLANK('Data Entry'!$R$113), "", 'Data Entry'!$R$113)</f>
      </c>
      <c r="S113">
        <f>IF(ISBLANK('Data Entry'!$S$113), "", 'Data Entry'!$S$113)</f>
      </c>
      <c r="T113">
        <f>IF(ISBLANK('Data Entry'!$T$113), "", 'Data Entry'!$T$113)</f>
      </c>
      <c r="U113">
        <f>IF(ISBLANK('Data Entry'!$U$113), "", 'Data Entry'!$U$113)</f>
      </c>
      <c r="V113">
        <f>IF(ISBLANK('Data Entry'!$V$113), "", 'Data Entry'!$V$113)</f>
      </c>
      <c r="W113">
        <f>IF(ISBLANK('Data Entry'!$W$113), "", 'Data Entry'!$W$113)</f>
      </c>
      <c r="X113">
        <f>IF(ISBLANK('Data Entry'!$X$113), "", 'Data Entry'!$X$113)</f>
      </c>
      <c r="Y113">
        <f>IF(ISBLANK('Data Entry'!$Y$113), "", 'Data Entry'!$Y$113)</f>
      </c>
      <c r="Z113">
        <f>IF(ISBLANK('Data Entry'!$Z$113), "", 'Data Entry'!$Z$113)</f>
      </c>
      <c r="AA113">
        <f>IF(ISBLANK('Data Entry'!$[$113), "", 'Data Entry'!$[$113)</f>
      </c>
      <c r="AB113">
        <f>IF(ISBLANK('Data Entry'!$\$113), "", 'Data Entry'!$\$113)</f>
      </c>
      <c r="AC113">
        <f>IF(ISBLANK('Data Entry'!$]$113), "", 'Data Entry'!$]$113)</f>
      </c>
      <c r="AD113">
        <f>IF(ISBLANK('Data Entry'!$^$113), "", 'Data Entry'!$^$113)</f>
      </c>
      <c r="AE113">
        <f>IF(ISBLANK('Data Entry'!$_$113), "", 'Data Entry'!$_$113)</f>
      </c>
      <c r="AF113">
        <f>IF(ISBLANK('Data Entry'!$`$113), "", 'Data Entry'!$`$113)</f>
      </c>
      <c r="AG113">
        <f>IF(ISBLANK('Data Entry'!$a$113), "", 'Data Entry'!$a$113)</f>
      </c>
      <c r="AH113">
        <f>IF(ISBLANK('Data Entry'!$b$113), "", 'Data Entry'!$b$113)</f>
      </c>
      <c r="AI113">
        <f>IF(ISBLANK('Data Entry'!$c$113), "", 'Data Entry'!$c$113)</f>
      </c>
      <c r="AJ113">
        <f>IF(ISBLANK('Data Entry'!$d$113), "", 'Data Entry'!$d$113)</f>
      </c>
      <c r="AK113">
        <f>IF(ISBLANK('Data Entry'!$e$113), "", 'Data Entry'!$e$113)</f>
      </c>
      <c r="AL113">
        <f>IF(ISBLANK('Data Entry'!$f$113), "", 'Data Entry'!$f$113)</f>
      </c>
      <c r="AM113">
        <f>IF(ISBLANK('Data Entry'!$g$113), "", 'Data Entry'!$g$113)</f>
      </c>
      <c r="AN113">
        <f>IF(ISBLANK('Data Entry'!$h$113), "", 'Data Entry'!$h$113)</f>
      </c>
      <c r="AO113">
        <f>IF(ISBLANK('Data Entry'!$i$113), "", 'Data Entry'!$i$113)</f>
      </c>
      <c r="AP113">
        <f>IF(ISBLANK('Data Entry'!$j$113), "", 'Data Entry'!$j$113)</f>
      </c>
      <c r="AQ113">
        <f>IF(ISBLANK('Data Entry'!$k$113), "", 'Data Entry'!$k$113)</f>
      </c>
      <c r="AR113">
        <f>IF(ISBLANK('Data Entry'!$l$113), "", 'Data Entry'!$l$113)</f>
      </c>
      <c r="AS113">
        <f>IF(ISBLANK('Data Entry'!$m$113), "", 'Data Entry'!$m$113)</f>
      </c>
      <c r="AT113">
        <f>IF(ISBLANK('Data Entry'!$n$113), "", 'Data Entry'!$n$113)</f>
      </c>
      <c r="AU113">
        <f>IF(ISBLANK('Data Entry'!$o$113), "", 'Data Entry'!$o$113)</f>
      </c>
      <c r="AV113">
        <f>IF(ISBLANK('Data Entry'!$p$113), "", 'Data Entry'!$p$113)</f>
      </c>
      <c r="AW113">
        <f>IF(ISBLANK('Data Entry'!$q$113), "", 'Data Entry'!$q$113)</f>
      </c>
      <c r="AX113">
        <f>IF(ISBLANK('Data Entry'!$r$113), "", 'Data Entry'!$r$113)</f>
      </c>
      <c r="AY113">
        <f>IF(ISBLANK('Data Entry'!$s$113), "", 'Data Entry'!$s$113)</f>
      </c>
      <c r="AZ113">
        <f>IF(ISBLANK('Data Entry'!$t$113), "", 'Data Entry'!$t$113)</f>
      </c>
      <c r="BA113">
        <f>IF(ISBLANK('Data Entry'!$u$113), "", 'Data Entry'!$u$113)</f>
      </c>
      <c r="BB113">
        <f>IF(ISBLANK('Data Entry'!$v$113), "", 'Data Entry'!$v$113)</f>
      </c>
      <c r="BC113">
        <f>IF(ISBLANK('Data Entry'!$w$113), "", 'Data Entry'!$w$113)</f>
      </c>
      <c r="BD113">
        <f>IF(ISBLANK('Data Entry'!$x$113), "", 'Data Entry'!$x$113)</f>
      </c>
      <c r="BE113">
        <f>IF(ISBLANK('Data Entry'!$y$113), "", 'Data Entry'!$y$113)</f>
      </c>
      <c r="BF113">
        <f>IF(ISBLANK('Data Entry'!$z$113), "", 'Data Entry'!$z$113)</f>
      </c>
      <c r="BG113">
        <f>IF(ISBLANK('Data Entry'!${$113), "", 'Data Entry'!${$113)</f>
      </c>
      <c r="BH113">
        <f>IF(ISBLANK('Data Entry'!$|$113), "", 'Data Entry'!$|$113)</f>
      </c>
      <c r="BI113">
        <f>IF(ISBLANK('Data Entry'!$}$113), "", 'Data Entry'!$}$113)</f>
      </c>
      <c r="BJ113">
        <f>IF(ISBLANK('Data Entry'!$~$113), "", 'Data Entry'!$~$113)</f>
      </c>
      <c r="BK113">
        <f>IF(ISBLANK('Data Entry'!$$113), "", 'Data Entry'!$$113)</f>
      </c>
      <c r="BL113">
        <f>IF(ISBLANK('Data Entry'!$$113), "", 'Data Entry'!$$113)</f>
      </c>
      <c r="BM113">
        <f>IF(ISBLANK('Data Entry'!$$113), "", 'Data Entry'!$$113)</f>
      </c>
      <c r="BN113">
        <f>IF(ISBLANK('Data Entry'!$$113), "", 'Data Entry'!$$113)</f>
      </c>
      <c r="BO113">
        <f>IF(ISBLANK('Data Entry'!$$113), "", 'Data Entry'!$$113)</f>
      </c>
      <c r="BP113">
        <f>IF(ISBLANK('Data Entry'!$$113), "", 'Data Entry'!$$113)</f>
      </c>
      <c r="BQ113">
        <f>IF(ISBLANK('Data Entry'!$$113), "", 'Data Entry'!$$113)</f>
      </c>
      <c r="BR113">
        <f>IF(ISBLANK('Data Entry'!$$113), "", 'Data Entry'!$$113)</f>
      </c>
      <c r="BS113">
        <f>IF(ISBLANK('Data Entry'!$$113), "", 'Data Entry'!$$113)</f>
      </c>
      <c r="BT113">
        <f>IF(ISBLANK('Data Entry'!$$113), "", 'Data Entry'!$$113)</f>
      </c>
      <c r="BU113">
        <f>IF(ISBLANK('Data Entry'!$$113), "", 'Data Entry'!$$113)</f>
      </c>
      <c r="BV113">
        <f>IF(ISBLANK('Data Entry'!$$113), "", 'Data Entry'!$$113)</f>
      </c>
      <c r="BW113">
        <f>IF(ISBLANK('Data Entry'!$$113), "", 'Data Entry'!$$113)</f>
      </c>
      <c r="BX113">
        <f>IF(ISBLANK('Data Entry'!$$113), "", 'Data Entry'!$$113)</f>
      </c>
      <c r="BY113">
        <f>IF(ISBLANK('Data Entry'!$$113), "", 'Data Entry'!$$113)</f>
      </c>
      <c r="BZ113">
        <f>IF(ISBLANK('Data Entry'!$$113), "", 'Data Entry'!$$113)</f>
      </c>
      <c r="CA113">
        <f>IF(ISBLANK('Data Entry'!$$113), "", 'Data Entry'!$$113)</f>
      </c>
      <c r="CB113">
        <f>IF(ISBLANK('Data Entry'!$$113), "", 'Data Entry'!$$113)</f>
      </c>
      <c r="CC113">
        <f>IF(ISBLANK('Data Entry'!$$113), "", 'Data Entry'!$$113)</f>
      </c>
      <c r="CD113">
        <f>IF(ISBLANK('Data Entry'!$$113), "", 'Data Entry'!$$113)</f>
      </c>
      <c r="CE113">
        <f>IF(ISBLANK('Data Entry'!$$113), "", 'Data Entry'!$$113)</f>
      </c>
      <c r="CF113">
        <f>IF(ISBLANK('Data Entry'!$$113), "", 'Data Entry'!$$113)</f>
      </c>
      <c r="CG113">
        <f>IF(ISBLANK('Data Entry'!$$113), "", 'Data Entry'!$$113)</f>
      </c>
      <c r="CH113">
        <f>IF(ISBLANK('Data Entry'!$$113), "", 'Data Entry'!$$113)</f>
      </c>
      <c r="CI113">
        <f>IF(ISBLANK('Data Entry'!$$113), "", 'Data Entry'!$$113)</f>
      </c>
      <c r="CJ113">
        <f>IF(ISBLANK('Data Entry'!$$113), "", 'Data Entry'!$$113)</f>
      </c>
      <c r="CK113">
        <f>IF(ISBLANK('Data Entry'!$$113), "", 'Data Entry'!$$113)</f>
      </c>
      <c r="CL113">
        <f>IF(ISBLANK('Data Entry'!$$113), "", 'Data Entry'!$$113)</f>
      </c>
      <c r="CM113">
        <f>IF(ISBLANK('Data Entry'!$$113), "", 'Data Entry'!$$113)</f>
      </c>
      <c r="CN113">
        <f>IF(ISBLANK('Data Entry'!$$113), "", 'Data Entry'!$$113)</f>
      </c>
      <c r="CO113">
        <f>IF(ISBLANK('Data Entry'!$$113), "", 'Data Entry'!$$113)</f>
      </c>
      <c r="CP113">
        <f>IF(ISBLANK('Data Entry'!$$113), "", 'Data Entry'!$$113)</f>
      </c>
      <c r="CQ113">
        <f>IF(ISBLANK('Data Entry'!$$113), "", 'Data Entry'!$$113)</f>
      </c>
      <c r="CR113">
        <f>IF(ISBLANK('Data Entry'!$ $113), "", 'Data Entry'!$ $113)</f>
      </c>
      <c r="CS113">
        <f>IF(ISBLANK('Data Entry'!$¡$113), "", 'Data Entry'!$¡$113)</f>
      </c>
      <c r="CT113">
        <f>IF(ISBLANK('Data Entry'!$¢$113), "", 'Data Entry'!$¢$113)</f>
      </c>
      <c r="CU113">
        <f>IF(ISBLANK('Data Entry'!$£$113), "", 'Data Entry'!$£$113)</f>
      </c>
      <c r="CV113">
        <f>IF(ISBLANK('Data Entry'!$¤$113), "", 'Data Entry'!$¤$113)</f>
      </c>
      <c r="CW113">
        <f>IF(ISBLANK('Data Entry'!$¥$113), "", 'Data Entry'!$¥$113)</f>
      </c>
      <c r="CX113">
        <f>IF(ISBLANK('Data Entry'!$¦$113), "", 'Data Entry'!$¦$113)</f>
      </c>
      <c r="CY113">
        <f>IF(ISBLANK('Data Entry'!$§$113), "", 'Data Entry'!$§$113)</f>
      </c>
      <c r="CZ113">
        <f>IF(ISBLANK('Data Entry'!$¨$113), "", 'Data Entry'!$¨$113)</f>
      </c>
      <c r="DA113">
        <f>IF(ISBLANK('Data Entry'!$©$113), "", 'Data Entry'!$©$113)</f>
      </c>
      <c r="DB113">
        <f>IF(ISBLANK('Data Entry'!$ª$113), "", 'Data Entry'!$ª$113)</f>
      </c>
      <c r="DC113">
        <f>IF(ISBLANK('Data Entry'!$«$113), "", 'Data Entry'!$«$113)</f>
      </c>
      <c r="DD113">
        <f>IF(ISBLANK('Data Entry'!$¬$113), "", 'Data Entry'!$¬$113)</f>
      </c>
      <c r="DE113">
        <f>IF(ISBLANK('Data Entry'!$­$113), "", 'Data Entry'!$­$113)</f>
      </c>
      <c r="DF113">
        <f>IF(ISBLANK('Data Entry'!$®$113), "", 'Data Entry'!$®$113)</f>
      </c>
      <c r="DG113">
        <f>IF(ISBLANK('Data Entry'!$¯$113), "", 'Data Entry'!$¯$113)</f>
      </c>
      <c r="DH113">
        <f>IF(ISBLANK('Data Entry'!$°$113), "", 'Data Entry'!$°$113)</f>
      </c>
      <c r="DI113">
        <f>IF(ISBLANK('Data Entry'!$±$113), "", 'Data Entry'!$±$113)</f>
      </c>
      <c r="DJ113">
        <f>IF(ISBLANK('Data Entry'!$²$113), "", 'Data Entry'!$²$113)</f>
      </c>
      <c r="DK113">
        <f>IF(ISBLANK('Data Entry'!$³$113), "", 'Data Entry'!$³$113)</f>
      </c>
      <c r="DL113">
        <f>IF(ISBLANK('Data Entry'!$´$113), "", 'Data Entry'!$´$113)</f>
      </c>
      <c r="DM113">
        <f>IF(ISBLANK('Data Entry'!$µ$113), "", 'Data Entry'!$µ$113)</f>
      </c>
      <c r="DN113">
        <f>IF(ISBLANK('Data Entry'!$¶$113), "", 'Data Entry'!$¶$113)</f>
      </c>
      <c r="DO113">
        <f>IF(ISBLANK('Data Entry'!$·$113), "", 'Data Entry'!$·$113)</f>
      </c>
      <c r="DP113">
        <f>IF(ISBLANK('Data Entry'!$¸$113), "", 'Data Entry'!$¸$113)</f>
      </c>
      <c r="DQ113">
        <f>IF(ISBLANK('Data Entry'!$¹$113), "", 'Data Entry'!$¹$113)</f>
      </c>
      <c r="DR113">
        <f>IF(ISBLANK('Data Entry'!$º$113), "", 'Data Entry'!$º$113)</f>
      </c>
      <c r="DS113">
        <f>IF(ISBLANK('Data Entry'!$»$113), "", 'Data Entry'!$»$113)</f>
      </c>
      <c r="DT113">
        <f>IF(ISBLANK('Data Entry'!$¼$113), "", 'Data Entry'!$¼$113)</f>
      </c>
      <c r="DU113">
        <f>IF(ISBLANK('Data Entry'!$½$113), "", 'Data Entry'!$½$113)</f>
      </c>
      <c r="DV113">
        <f>IF(ISBLANK('Data Entry'!$¾$113), "", 'Data Entry'!$¾$113)</f>
      </c>
      <c r="DW113">
        <f>IF(ISBLANK('Data Entry'!$¿$113), "", 'Data Entry'!$¿$113)</f>
      </c>
      <c r="DX113">
        <f>IF(ISBLANK('Data Entry'!$À$113), "", 'Data Entry'!$À$113)</f>
      </c>
      <c r="DY113">
        <f>IF(ISBLANK('Data Entry'!$Á$113), "", 'Data Entry'!$Á$113)</f>
      </c>
      <c r="DZ113">
        <f>IF(ISBLANK('Data Entry'!$Â$113), "", 'Data Entry'!$Â$113)</f>
      </c>
      <c r="EA113">
        <f>IF(ISBLANK('Data Entry'!$Ã$113), "", 'Data Entry'!$Ã$113)</f>
      </c>
      <c r="EB113">
        <f>IF(ISBLANK('Data Entry'!$Ä$113), "", 'Data Entry'!$Ä$113)</f>
      </c>
      <c r="EC113">
        <f>IF(ISBLANK('Data Entry'!$Å$113), "", 'Data Entry'!$Å$113)</f>
      </c>
      <c r="ED113">
        <f>IF(ISBLANK('Data Entry'!$Æ$113), "", 'Data Entry'!$Æ$113)</f>
      </c>
      <c r="EE113">
        <f>IF(ISBLANK('Data Entry'!$Ç$113), "", 'Data Entry'!$Ç$113)</f>
      </c>
      <c r="EF113">
        <f>IF(ISBLANK('Data Entry'!$È$113), "", 'Data Entry'!$È$113)</f>
      </c>
      <c r="EG113">
        <f>IF(ISBLANK('Data Entry'!$É$113), "", 'Data Entry'!$É$113)</f>
      </c>
      <c r="EH113">
        <f>IF(ISBLANK('Data Entry'!$Ê$113), "", 'Data Entry'!$Ê$113)</f>
      </c>
      <c r="EI113">
        <f>IF(ISBLANK('Data Entry'!$Ë$113), "", 'Data Entry'!$Ë$113)</f>
      </c>
      <c r="EJ113">
        <f>IF(ISBLANK('Data Entry'!$Ì$113), "", 'Data Entry'!$Ì$113)</f>
      </c>
      <c r="EK113">
        <f>IF(ISBLANK('Data Entry'!$Í$113), "", 'Data Entry'!$Í$113)</f>
      </c>
      <c r="EL113">
        <f>IF(ISBLANK('Data Entry'!$Î$113), "", 'Data Entry'!$Î$113)</f>
      </c>
      <c r="EM113">
        <f>IF(ISBLANK('Data Entry'!$Ï$113), "", 'Data Entry'!$Ï$113)</f>
      </c>
      <c r="EN113">
        <f>IF(ISBLANK('Data Entry'!$Ð$113), "", 'Data Entry'!$Ð$113)</f>
      </c>
      <c r="EO113">
        <f>IF(ISBLANK('Data Entry'!$Ñ$113), "", 'Data Entry'!$Ñ$113)</f>
      </c>
      <c r="EP113">
        <f>IF(ISBLANK('Data Entry'!$Ò$113), "", 'Data Entry'!$Ò$113)</f>
      </c>
      <c r="EQ113">
        <f>IF(ISBLANK('Data Entry'!$Ó$113), "", 'Data Entry'!$Ó$113)</f>
      </c>
      <c r="ER113">
        <f>IF(ISBLANK('Data Entry'!$Ô$113), "", 'Data Entry'!$Ô$113)</f>
      </c>
      <c r="ES113">
        <f>IF(ISBLANK('Data Entry'!$Õ$113), "", 'Data Entry'!$Õ$113)</f>
      </c>
      <c r="ET113">
        <f>IF(ISBLANK('Data Entry'!$Ö$113), "", 'Data Entry'!$Ö$113)</f>
      </c>
      <c r="EU113">
        <f>IF(ISBLANK('Data Entry'!$×$113), "", 'Data Entry'!$×$113)</f>
      </c>
      <c r="EV113">
        <f>IF(ISBLANK('Data Entry'!$Ø$113), "", 'Data Entry'!$Ø$113)</f>
      </c>
      <c r="EW113">
        <f>IF(ISBLANK('Data Entry'!$Ù$113), "", 'Data Entry'!$Ù$113)</f>
      </c>
      <c r="EX113">
        <f>IF(ISBLANK('Data Entry'!$Ú$113), "", 'Data Entry'!$Ú$113)</f>
      </c>
      <c r="EY113">
        <f>IF(ISBLANK('Data Entry'!$Û$113), "", 'Data Entry'!$Û$113)</f>
      </c>
      <c r="EZ113">
        <f>IF(ISBLANK('Data Entry'!$Ü$113), "", 'Data Entry'!$Ü$113)</f>
      </c>
      <c r="FA113">
        <f>IF(ISBLANK('Data Entry'!$Ý$113), "", 'Data Entry'!$Ý$113)</f>
      </c>
      <c r="FB113">
        <f>IF(ISBLANK('Data Entry'!$Þ$113), "", 'Data Entry'!$Þ$113)</f>
      </c>
      <c r="FC113">
        <f>IF(ISBLANK('Data Entry'!$ß$113), "", 'Data Entry'!$ß$113)</f>
      </c>
      <c r="FD113">
        <f>IF(ISBLANK('Data Entry'!$à$113), "", 'Data Entry'!$à$113)</f>
      </c>
      <c r="FE113">
        <f>IF(ISBLANK('Data Entry'!$á$113), "", 'Data Entry'!$á$113)</f>
      </c>
      <c r="FF113">
        <f>IF(ISBLANK('Data Entry'!$â$113), "", 'Data Entry'!$â$113)</f>
      </c>
      <c r="FG113">
        <f>IF(ISBLANK('Data Entry'!$ã$113), "", 'Data Entry'!$ã$113)</f>
      </c>
      <c r="FH113">
        <f>IF(ISBLANK('Data Entry'!$ä$113), "", 'Data Entry'!$ä$113)</f>
      </c>
      <c r="FI113">
        <f>IF(ISBLANK('Data Entry'!$å$113), "", 'Data Entry'!$å$113)</f>
      </c>
      <c r="FJ113">
        <f>IF(ISBLANK('Data Entry'!$æ$113), "", 'Data Entry'!$æ$113)</f>
      </c>
      <c r="FK113">
        <f>IF(ISBLANK('Data Entry'!$ç$113), "", 'Data Entry'!$ç$113)</f>
      </c>
      <c r="FL113">
        <f>IF(ISBLANK('Data Entry'!$è$113), "", 'Data Entry'!$è$113)</f>
      </c>
      <c r="FM113">
        <f>IF(ISBLANK('Data Entry'!$é$113), "", 'Data Entry'!$é$113)</f>
      </c>
      <c r="FN113">
        <f>IF(ISBLANK('Data Entry'!$ê$113), "", 'Data Entry'!$ê$113)</f>
      </c>
      <c r="FO113">
        <f>IF(ISBLANK('Data Entry'!$ë$113), "", 'Data Entry'!$ë$113)</f>
      </c>
      <c r="FP113">
        <f>IF(ISBLANK('Data Entry'!$ì$113), "", 'Data Entry'!$ì$113)</f>
      </c>
      <c r="FQ113">
        <f>IF(ISBLANK('Data Entry'!$í$113), "", 'Data Entry'!$í$113)</f>
      </c>
      <c r="FR113">
        <f>IF(ISBLANK('Data Entry'!$î$113), "", 'Data Entry'!$î$113)</f>
      </c>
      <c r="FS113">
        <f>IF(ISBLANK('Data Entry'!$ï$113), "", 'Data Entry'!$ï$113)</f>
      </c>
      <c r="FT113">
        <f>IF(ISBLANK('Data Entry'!$ð$113), "", 'Data Entry'!$ð$113)</f>
      </c>
      <c r="FU113">
        <f>IF(ISBLANK('Data Entry'!$ñ$113), "", 'Data Entry'!$ñ$113)</f>
      </c>
      <c r="FV113">
        <f>IF(ISBLANK('Data Entry'!$ò$113), "", 'Data Entry'!$ò$113)</f>
      </c>
      <c r="FW113">
        <f>IF(ISBLANK('Data Entry'!$ó$113), "", 'Data Entry'!$ó$113)</f>
      </c>
      <c r="FX113">
        <f>IF(ISBLANK('Data Entry'!$ô$113), "", 'Data Entry'!$ô$113)</f>
      </c>
      <c r="FY113">
        <f>IF(ISBLANK('Data Entry'!$õ$113), "", 'Data Entry'!$õ$113)</f>
      </c>
      <c r="FZ113">
        <f>IF(ISBLANK('Data Entry'!$ö$113), "", 'Data Entry'!$ö$113)</f>
      </c>
      <c r="GA113">
        <f>IF(ISBLANK('Data Entry'!$÷$113), "", 'Data Entry'!$÷$113)</f>
      </c>
      <c r="GB113">
        <f>IF(ISBLANK('Data Entry'!$ø$113), "", 'Data Entry'!$ø$113)</f>
      </c>
      <c r="GC113">
        <f>IF(ISBLANK('Data Entry'!$ù$113), "", 'Data Entry'!$ù$113)</f>
      </c>
      <c r="GD113">
        <f>IF(ISBLANK('Data Entry'!$ú$113), "", 'Data Entry'!$ú$113)</f>
      </c>
      <c r="GE113">
        <f>IF(ISBLANK('Data Entry'!$û$113), "", 'Data Entry'!$û$113)</f>
      </c>
      <c r="GF113">
        <f>IF(ISBLANK('Data Entry'!$ü$113), "", 'Data Entry'!$ü$113)</f>
      </c>
      <c r="GG113">
        <f>IF(ISBLANK('Data Entry'!$ý$113), "", 'Data Entry'!$ý$113)</f>
      </c>
      <c r="GH113">
        <f>IF(ISBLANK('Data Entry'!$þ$113), "", 'Data Entry'!$þ$113)</f>
      </c>
      <c r="GI113">
        <f>IF(ISBLANK('Data Entry'!$ÿ$113), "", 'Data Entry'!$ÿ$113)</f>
      </c>
      <c r="GJ113">
        <f>IF(ISBLANK('Data Entry'!$Ā$113), "", 'Data Entry'!$Ā$113)</f>
      </c>
      <c r="GK113">
        <f>IF(ISBLANK('Data Entry'!$ā$113), "", 'Data Entry'!$ā$113)</f>
      </c>
      <c r="GL113">
        <f>IF(ISBLANK('Data Entry'!$Ă$113), "", 'Data Entry'!$Ă$113)</f>
      </c>
      <c r="GM113">
        <f>IF(ISBLANK('Data Entry'!$ă$113), "", 'Data Entry'!$ă$113)</f>
      </c>
      <c r="GN113">
        <f>IF(ISBLANK('Data Entry'!$Ą$113), "", 'Data Entry'!$Ą$113)</f>
      </c>
      <c r="GO113">
        <f>IF(ISBLANK('Data Entry'!$ą$113), "", 'Data Entry'!$ą$113)</f>
      </c>
      <c r="GP113">
        <f>IF(ISBLANK('Data Entry'!$Ć$113), "", 'Data Entry'!$Ć$113)</f>
      </c>
      <c r="GQ113">
        <f>IF(ISBLANK('Data Entry'!$ć$113), "", 'Data Entry'!$ć$113)</f>
      </c>
      <c r="GR113">
        <f>IF(ISBLANK('Data Entry'!$Ĉ$113), "", 'Data Entry'!$Ĉ$113)</f>
      </c>
      <c r="GS113">
        <f>IF(ISBLANK('Data Entry'!$ĉ$113), "", 'Data Entry'!$ĉ$113)</f>
      </c>
      <c r="GT113">
        <f>IF(ISBLANK('Data Entry'!$Ċ$113), "", 'Data Entry'!$Ċ$113)</f>
      </c>
      <c r="GU113">
        <f>IF(ISBLANK('Data Entry'!$ċ$113), "", 'Data Entry'!$ċ$113)</f>
      </c>
      <c r="GV113">
        <f>IF(ISBLANK('Data Entry'!$Č$113), "", 'Data Entry'!$Č$113)</f>
      </c>
      <c r="GW113">
        <f>IF(ISBLANK('Data Entry'!$č$113), "", 'Data Entry'!$č$113)</f>
      </c>
      <c r="GX113">
        <f>IF(ISBLANK('Data Entry'!$Ď$113), "", 'Data Entry'!$Ď$113)</f>
      </c>
      <c r="GY113">
        <f>IF(ISBLANK('Data Entry'!$ď$113), "", 'Data Entry'!$ď$113)</f>
      </c>
      <c r="GZ113">
        <f>IF(ISBLANK('Data Entry'!$Đ$113), "", 'Data Entry'!$Đ$113)</f>
      </c>
      <c r="HA113">
        <f>IF(ISBLANK('Data Entry'!$đ$113), "", 'Data Entry'!$đ$113)</f>
      </c>
      <c r="HB113">
        <f>IF(ISBLANK('Data Entry'!$Ē$113), "", 'Data Entry'!$Ē$113)</f>
      </c>
      <c r="HC113">
        <f>IF(ISBLANK('Data Entry'!$ē$113), "", 'Data Entry'!$ē$113)</f>
      </c>
      <c r="HD113">
        <f>IF(ISBLANK('Data Entry'!$Ĕ$113), "", 'Data Entry'!$Ĕ$113)</f>
      </c>
      <c r="HE113">
        <f>IF(ISBLANK('Data Entry'!$ĕ$113), "", 'Data Entry'!$ĕ$113)</f>
      </c>
      <c r="HF113">
        <f>IF(ISBLANK('Data Entry'!$Ė$113), "", 'Data Entry'!$Ė$113)</f>
      </c>
      <c r="HG113">
        <f>IF(ISBLANK('Data Entry'!$ė$113), "", 'Data Entry'!$ė$113)</f>
      </c>
      <c r="HH113">
        <f>IF(ISBLANK('Data Entry'!$Ę$113), "", 'Data Entry'!$Ę$113)</f>
      </c>
      <c r="HI113">
        <f>IF(ISBLANK('Data Entry'!$ę$113), "", 'Data Entry'!$ę$113)</f>
      </c>
      <c r="HJ113">
        <f>IF(ISBLANK('Data Entry'!$Ě$113), "", 'Data Entry'!$Ě$113)</f>
      </c>
      <c r="HK113">
        <f>IF(ISBLANK('Data Entry'!$ě$113), "", 'Data Entry'!$ě$113)</f>
      </c>
      <c r="HL113">
        <f>IF(ISBLANK('Data Entry'!$Ĝ$113), "", 'Data Entry'!$Ĝ$113)</f>
      </c>
      <c r="HM113">
        <f>IF(ISBLANK('Data Entry'!$ĝ$113), "", 'Data Entry'!$ĝ$113)</f>
      </c>
      <c r="HN113">
        <f>IF(ISBLANK('Data Entry'!$Ğ$113), "", 'Data Entry'!$Ğ$113)</f>
      </c>
      <c r="HO113">
        <f>IF(ISBLANK('Data Entry'!$ğ$113), "", 'Data Entry'!$ğ$113)</f>
      </c>
      <c r="HP113">
        <f>IF(ISBLANK('Data Entry'!$Ġ$113), "", 'Data Entry'!$Ġ$113)</f>
      </c>
      <c r="HQ113">
        <f>IF(ISBLANK('Data Entry'!$ġ$113), "", 'Data Entry'!$ġ$113)</f>
      </c>
      <c r="HR113">
        <f>IF(ISBLANK('Data Entry'!$Ģ$113), "", 'Data Entry'!$Ģ$113)</f>
      </c>
      <c r="HS113">
        <f>IF(ISBLANK('Data Entry'!$ģ$113), "", 'Data Entry'!$ģ$113)</f>
      </c>
      <c r="HT113">
        <f>IF(ISBLANK('Data Entry'!$Ĥ$113), "", 'Data Entry'!$Ĥ$113)</f>
      </c>
      <c r="HU113">
        <f>IF(ISBLANK('Data Entry'!$ĥ$113), "", 'Data Entry'!$ĥ$113)</f>
      </c>
      <c r="HV113">
        <f>IF(ISBLANK('Data Entry'!$Ħ$113), "", 'Data Entry'!$Ħ$113)</f>
      </c>
      <c r="HW113">
        <f>IF(ISBLANK('Data Entry'!$ħ$113), "", 'Data Entry'!$ħ$113)</f>
      </c>
      <c r="HX113">
        <f>IF(ISBLANK('Data Entry'!$Ĩ$113), "", 'Data Entry'!$Ĩ$113)</f>
      </c>
      <c r="HY113">
        <f>IF(ISBLANK('Data Entry'!$ĩ$113), "", 'Data Entry'!$ĩ$113)</f>
      </c>
      <c r="HZ113">
        <f>IF(ISBLANK('Data Entry'!$Ī$113), "", 'Data Entry'!$Ī$113)</f>
      </c>
      <c r="IA113">
        <f>IF(ISBLANK('Data Entry'!$ī$113), "", 'Data Entry'!$ī$113)</f>
      </c>
      <c r="IB113">
        <f>IF(ISBLANK('Data Entry'!$Ĭ$113), "", 'Data Entry'!$Ĭ$113)</f>
      </c>
      <c r="IC113">
        <f>IF(ISBLANK('Data Entry'!$ĭ$113), "", 'Data Entry'!$ĭ$113)</f>
      </c>
      <c r="ID113">
        <f>IF(ISBLANK('Data Entry'!$Į$113), "", 'Data Entry'!$Į$113)</f>
      </c>
      <c r="IE113">
        <f>IF(ISBLANK('Data Entry'!$į$113), "", 'Data Entry'!$į$113)</f>
      </c>
      <c r="IF113">
        <f>IF(ISBLANK('Data Entry'!$İ$113), "", 'Data Entry'!$İ$113)</f>
      </c>
      <c r="IG113">
        <f>IF(ISBLANK('Data Entry'!$ı$113), "", 'Data Entry'!$ı$113)</f>
      </c>
      <c r="IH113">
        <f>IF(ISBLANK('Data Entry'!$Ĳ$113), "", 'Data Entry'!$Ĳ$113)</f>
      </c>
      <c r="II113">
        <f>IF(ISBLANK('Data Entry'!$ĳ$113), "", 'Data Entry'!$ĳ$113)</f>
      </c>
      <c r="IJ113">
        <f>IF(ISBLANK('Data Entry'!$Ĵ$113), "", 'Data Entry'!$Ĵ$113)</f>
      </c>
      <c r="IK113">
        <f>IF(ISBLANK('Data Entry'!$ĵ$113), "", 'Data Entry'!$ĵ$113)</f>
      </c>
      <c r="IL113">
        <f>IF(ISBLANK('Data Entry'!$Ķ$113), "", 'Data Entry'!$Ķ$113)</f>
      </c>
      <c r="IM113">
        <f>IF(ISBLANK('Data Entry'!$ķ$113), "", 'Data Entry'!$ķ$113)</f>
      </c>
      <c r="IN113">
        <f>IF(ISBLANK('Data Entry'!$ĸ$113), "", 'Data Entry'!$ĸ$113)</f>
      </c>
      <c r="IO113">
        <f>IF(ISBLANK('Data Entry'!$Ĺ$113), "", 'Data Entry'!$Ĺ$113)</f>
      </c>
      <c r="IP113">
        <f>IF(ISBLANK('Data Entry'!$ĺ$113), "", 'Data Entry'!$ĺ$113)</f>
      </c>
      <c r="IQ113">
        <f>IF(ISBLANK('Data Entry'!$Ļ$113), "", 'Data Entry'!$Ļ$113)</f>
      </c>
      <c r="IR113">
        <f>IF(ISBLANK('Data Entry'!$ļ$113), "", 'Data Entry'!$ļ$113)</f>
      </c>
      <c r="IS113">
        <f>IF(ISBLANK('Data Entry'!$Ľ$113), "", 'Data Entry'!$Ľ$113)</f>
      </c>
      <c r="IT113">
        <f>IF(ISBLANK('Data Entry'!$ľ$113), "", 'Data Entry'!$ľ$113)</f>
      </c>
    </row>
    <row r="114" spans="1:254" x14ac:dyDescent="0.25">
      <c r="A114">
        <f>IF(ISBLANK('Data Entry'!$A$114), "", 'Data Entry'!$A$114)</f>
      </c>
      <c r="B114">
        <f>IF(ISBLANK('Data Entry'!$B$114), "", 'Data Entry'!$B$114)</f>
      </c>
      <c r="C114">
        <f>IF(ISBLANK('Data Entry'!$C$114), "", 'Data Entry'!$C$114)</f>
      </c>
      <c r="D114">
        <f>IF(ISBLANK('Data Entry'!$D$114), "", 'Data Entry'!$D$114)</f>
      </c>
      <c r="E114">
        <f>IF(ISBLANK('Data Entry'!$E$114), "", 'Data Entry'!$E$114)</f>
      </c>
      <c r="F114">
        <f>IF(ISBLANK('Data Entry'!$F$114), "", 'Data Entry'!$F$114)</f>
      </c>
      <c r="G114">
        <f>IF(ISBLANK('Data Entry'!$G$114), "", 'Data Entry'!$G$114)</f>
      </c>
      <c r="H114">
        <f>IF(ISBLANK('Data Entry'!$H$114), "", 'Data Entry'!$H$114)</f>
      </c>
      <c r="I114">
        <f>IF(ISBLANK('Data Entry'!$I$114), "", 'Data Entry'!$I$114)</f>
      </c>
      <c r="J114">
        <f>IF(ISBLANK('Data Entry'!$J$114), "", 'Data Entry'!$J$114)</f>
      </c>
      <c r="K114">
        <f>IF(ISBLANK('Data Entry'!$K$114), "", 'Data Entry'!$K$114)</f>
      </c>
      <c r="L114">
        <f>IF(ISBLANK('Data Entry'!$L$114), "", 'Data Entry'!$L$114)</f>
      </c>
      <c r="M114">
        <f>IF(ISBLANK('Data Entry'!$M$114), "", 'Data Entry'!$M$114)</f>
      </c>
      <c r="N114">
        <f>IF(ISBLANK('Data Entry'!$N$114), "", 'Data Entry'!$N$114)</f>
      </c>
      <c r="O114">
        <f>IF(ISBLANK('Data Entry'!$O$114), "", 'Data Entry'!$O$114)</f>
      </c>
      <c r="P114">
        <f>IF(ISBLANK('Data Entry'!$P$114), "", 'Data Entry'!$P$114)</f>
      </c>
      <c r="Q114">
        <f>IF(ISBLANK('Data Entry'!$Q$114), "", 'Data Entry'!$Q$114)</f>
      </c>
      <c r="R114">
        <f>IF(ISBLANK('Data Entry'!$R$114), "", 'Data Entry'!$R$114)</f>
      </c>
      <c r="S114">
        <f>IF(ISBLANK('Data Entry'!$S$114), "", 'Data Entry'!$S$114)</f>
      </c>
      <c r="T114">
        <f>IF(ISBLANK('Data Entry'!$T$114), "", 'Data Entry'!$T$114)</f>
      </c>
      <c r="U114">
        <f>IF(ISBLANK('Data Entry'!$U$114), "", 'Data Entry'!$U$114)</f>
      </c>
      <c r="V114">
        <f>IF(ISBLANK('Data Entry'!$V$114), "", 'Data Entry'!$V$114)</f>
      </c>
      <c r="W114">
        <f>IF(ISBLANK('Data Entry'!$W$114), "", 'Data Entry'!$W$114)</f>
      </c>
      <c r="X114">
        <f>IF(ISBLANK('Data Entry'!$X$114), "", 'Data Entry'!$X$114)</f>
      </c>
      <c r="Y114">
        <f>IF(ISBLANK('Data Entry'!$Y$114), "", 'Data Entry'!$Y$114)</f>
      </c>
      <c r="Z114">
        <f>IF(ISBLANK('Data Entry'!$Z$114), "", 'Data Entry'!$Z$114)</f>
      </c>
      <c r="AA114">
        <f>IF(ISBLANK('Data Entry'!$[$114), "", 'Data Entry'!$[$114)</f>
      </c>
      <c r="AB114">
        <f>IF(ISBLANK('Data Entry'!$\$114), "", 'Data Entry'!$\$114)</f>
      </c>
      <c r="AC114">
        <f>IF(ISBLANK('Data Entry'!$]$114), "", 'Data Entry'!$]$114)</f>
      </c>
      <c r="AD114">
        <f>IF(ISBLANK('Data Entry'!$^$114), "", 'Data Entry'!$^$114)</f>
      </c>
      <c r="AE114">
        <f>IF(ISBLANK('Data Entry'!$_$114), "", 'Data Entry'!$_$114)</f>
      </c>
      <c r="AF114">
        <f>IF(ISBLANK('Data Entry'!$`$114), "", 'Data Entry'!$`$114)</f>
      </c>
      <c r="AG114">
        <f>IF(ISBLANK('Data Entry'!$a$114), "", 'Data Entry'!$a$114)</f>
      </c>
      <c r="AH114">
        <f>IF(ISBLANK('Data Entry'!$b$114), "", 'Data Entry'!$b$114)</f>
      </c>
      <c r="AI114">
        <f>IF(ISBLANK('Data Entry'!$c$114), "", 'Data Entry'!$c$114)</f>
      </c>
      <c r="AJ114">
        <f>IF(ISBLANK('Data Entry'!$d$114), "", 'Data Entry'!$d$114)</f>
      </c>
      <c r="AK114">
        <f>IF(ISBLANK('Data Entry'!$e$114), "", 'Data Entry'!$e$114)</f>
      </c>
      <c r="AL114">
        <f>IF(ISBLANK('Data Entry'!$f$114), "", 'Data Entry'!$f$114)</f>
      </c>
      <c r="AM114">
        <f>IF(ISBLANK('Data Entry'!$g$114), "", 'Data Entry'!$g$114)</f>
      </c>
      <c r="AN114">
        <f>IF(ISBLANK('Data Entry'!$h$114), "", 'Data Entry'!$h$114)</f>
      </c>
      <c r="AO114">
        <f>IF(ISBLANK('Data Entry'!$i$114), "", 'Data Entry'!$i$114)</f>
      </c>
      <c r="AP114">
        <f>IF(ISBLANK('Data Entry'!$j$114), "", 'Data Entry'!$j$114)</f>
      </c>
      <c r="AQ114">
        <f>IF(ISBLANK('Data Entry'!$k$114), "", 'Data Entry'!$k$114)</f>
      </c>
      <c r="AR114">
        <f>IF(ISBLANK('Data Entry'!$l$114), "", 'Data Entry'!$l$114)</f>
      </c>
      <c r="AS114">
        <f>IF(ISBLANK('Data Entry'!$m$114), "", 'Data Entry'!$m$114)</f>
      </c>
      <c r="AT114">
        <f>IF(ISBLANK('Data Entry'!$n$114), "", 'Data Entry'!$n$114)</f>
      </c>
      <c r="AU114">
        <f>IF(ISBLANK('Data Entry'!$o$114), "", 'Data Entry'!$o$114)</f>
      </c>
      <c r="AV114">
        <f>IF(ISBLANK('Data Entry'!$p$114), "", 'Data Entry'!$p$114)</f>
      </c>
      <c r="AW114">
        <f>IF(ISBLANK('Data Entry'!$q$114), "", 'Data Entry'!$q$114)</f>
      </c>
      <c r="AX114">
        <f>IF(ISBLANK('Data Entry'!$r$114), "", 'Data Entry'!$r$114)</f>
      </c>
      <c r="AY114">
        <f>IF(ISBLANK('Data Entry'!$s$114), "", 'Data Entry'!$s$114)</f>
      </c>
      <c r="AZ114">
        <f>IF(ISBLANK('Data Entry'!$t$114), "", 'Data Entry'!$t$114)</f>
      </c>
      <c r="BA114">
        <f>IF(ISBLANK('Data Entry'!$u$114), "", 'Data Entry'!$u$114)</f>
      </c>
      <c r="BB114">
        <f>IF(ISBLANK('Data Entry'!$v$114), "", 'Data Entry'!$v$114)</f>
      </c>
      <c r="BC114">
        <f>IF(ISBLANK('Data Entry'!$w$114), "", 'Data Entry'!$w$114)</f>
      </c>
      <c r="BD114">
        <f>IF(ISBLANK('Data Entry'!$x$114), "", 'Data Entry'!$x$114)</f>
      </c>
      <c r="BE114">
        <f>IF(ISBLANK('Data Entry'!$y$114), "", 'Data Entry'!$y$114)</f>
      </c>
      <c r="BF114">
        <f>IF(ISBLANK('Data Entry'!$z$114), "", 'Data Entry'!$z$114)</f>
      </c>
      <c r="BG114">
        <f>IF(ISBLANK('Data Entry'!${$114), "", 'Data Entry'!${$114)</f>
      </c>
      <c r="BH114">
        <f>IF(ISBLANK('Data Entry'!$|$114), "", 'Data Entry'!$|$114)</f>
      </c>
      <c r="BI114">
        <f>IF(ISBLANK('Data Entry'!$}$114), "", 'Data Entry'!$}$114)</f>
      </c>
      <c r="BJ114">
        <f>IF(ISBLANK('Data Entry'!$~$114), "", 'Data Entry'!$~$114)</f>
      </c>
      <c r="BK114">
        <f>IF(ISBLANK('Data Entry'!$$114), "", 'Data Entry'!$$114)</f>
      </c>
      <c r="BL114">
        <f>IF(ISBLANK('Data Entry'!$$114), "", 'Data Entry'!$$114)</f>
      </c>
      <c r="BM114">
        <f>IF(ISBLANK('Data Entry'!$$114), "", 'Data Entry'!$$114)</f>
      </c>
      <c r="BN114">
        <f>IF(ISBLANK('Data Entry'!$$114), "", 'Data Entry'!$$114)</f>
      </c>
      <c r="BO114">
        <f>IF(ISBLANK('Data Entry'!$$114), "", 'Data Entry'!$$114)</f>
      </c>
      <c r="BP114">
        <f>IF(ISBLANK('Data Entry'!$$114), "", 'Data Entry'!$$114)</f>
      </c>
      <c r="BQ114">
        <f>IF(ISBLANK('Data Entry'!$$114), "", 'Data Entry'!$$114)</f>
      </c>
      <c r="BR114">
        <f>IF(ISBLANK('Data Entry'!$$114), "", 'Data Entry'!$$114)</f>
      </c>
      <c r="BS114">
        <f>IF(ISBLANK('Data Entry'!$$114), "", 'Data Entry'!$$114)</f>
      </c>
      <c r="BT114">
        <f>IF(ISBLANK('Data Entry'!$$114), "", 'Data Entry'!$$114)</f>
      </c>
      <c r="BU114">
        <f>IF(ISBLANK('Data Entry'!$$114), "", 'Data Entry'!$$114)</f>
      </c>
      <c r="BV114">
        <f>IF(ISBLANK('Data Entry'!$$114), "", 'Data Entry'!$$114)</f>
      </c>
      <c r="BW114">
        <f>IF(ISBLANK('Data Entry'!$$114), "", 'Data Entry'!$$114)</f>
      </c>
      <c r="BX114">
        <f>IF(ISBLANK('Data Entry'!$$114), "", 'Data Entry'!$$114)</f>
      </c>
      <c r="BY114">
        <f>IF(ISBLANK('Data Entry'!$$114), "", 'Data Entry'!$$114)</f>
      </c>
      <c r="BZ114">
        <f>IF(ISBLANK('Data Entry'!$$114), "", 'Data Entry'!$$114)</f>
      </c>
      <c r="CA114">
        <f>IF(ISBLANK('Data Entry'!$$114), "", 'Data Entry'!$$114)</f>
      </c>
      <c r="CB114">
        <f>IF(ISBLANK('Data Entry'!$$114), "", 'Data Entry'!$$114)</f>
      </c>
      <c r="CC114">
        <f>IF(ISBLANK('Data Entry'!$$114), "", 'Data Entry'!$$114)</f>
      </c>
      <c r="CD114">
        <f>IF(ISBLANK('Data Entry'!$$114), "", 'Data Entry'!$$114)</f>
      </c>
      <c r="CE114">
        <f>IF(ISBLANK('Data Entry'!$$114), "", 'Data Entry'!$$114)</f>
      </c>
      <c r="CF114">
        <f>IF(ISBLANK('Data Entry'!$$114), "", 'Data Entry'!$$114)</f>
      </c>
      <c r="CG114">
        <f>IF(ISBLANK('Data Entry'!$$114), "", 'Data Entry'!$$114)</f>
      </c>
      <c r="CH114">
        <f>IF(ISBLANK('Data Entry'!$$114), "", 'Data Entry'!$$114)</f>
      </c>
      <c r="CI114">
        <f>IF(ISBLANK('Data Entry'!$$114), "", 'Data Entry'!$$114)</f>
      </c>
      <c r="CJ114">
        <f>IF(ISBLANK('Data Entry'!$$114), "", 'Data Entry'!$$114)</f>
      </c>
      <c r="CK114">
        <f>IF(ISBLANK('Data Entry'!$$114), "", 'Data Entry'!$$114)</f>
      </c>
      <c r="CL114">
        <f>IF(ISBLANK('Data Entry'!$$114), "", 'Data Entry'!$$114)</f>
      </c>
      <c r="CM114">
        <f>IF(ISBLANK('Data Entry'!$$114), "", 'Data Entry'!$$114)</f>
      </c>
      <c r="CN114">
        <f>IF(ISBLANK('Data Entry'!$$114), "", 'Data Entry'!$$114)</f>
      </c>
      <c r="CO114">
        <f>IF(ISBLANK('Data Entry'!$$114), "", 'Data Entry'!$$114)</f>
      </c>
      <c r="CP114">
        <f>IF(ISBLANK('Data Entry'!$$114), "", 'Data Entry'!$$114)</f>
      </c>
      <c r="CQ114">
        <f>IF(ISBLANK('Data Entry'!$$114), "", 'Data Entry'!$$114)</f>
      </c>
      <c r="CR114">
        <f>IF(ISBLANK('Data Entry'!$ $114), "", 'Data Entry'!$ $114)</f>
      </c>
      <c r="CS114">
        <f>IF(ISBLANK('Data Entry'!$¡$114), "", 'Data Entry'!$¡$114)</f>
      </c>
      <c r="CT114">
        <f>IF(ISBLANK('Data Entry'!$¢$114), "", 'Data Entry'!$¢$114)</f>
      </c>
      <c r="CU114">
        <f>IF(ISBLANK('Data Entry'!$£$114), "", 'Data Entry'!$£$114)</f>
      </c>
      <c r="CV114">
        <f>IF(ISBLANK('Data Entry'!$¤$114), "", 'Data Entry'!$¤$114)</f>
      </c>
      <c r="CW114">
        <f>IF(ISBLANK('Data Entry'!$¥$114), "", 'Data Entry'!$¥$114)</f>
      </c>
      <c r="CX114">
        <f>IF(ISBLANK('Data Entry'!$¦$114), "", 'Data Entry'!$¦$114)</f>
      </c>
      <c r="CY114">
        <f>IF(ISBLANK('Data Entry'!$§$114), "", 'Data Entry'!$§$114)</f>
      </c>
      <c r="CZ114">
        <f>IF(ISBLANK('Data Entry'!$¨$114), "", 'Data Entry'!$¨$114)</f>
      </c>
      <c r="DA114">
        <f>IF(ISBLANK('Data Entry'!$©$114), "", 'Data Entry'!$©$114)</f>
      </c>
      <c r="DB114">
        <f>IF(ISBLANK('Data Entry'!$ª$114), "", 'Data Entry'!$ª$114)</f>
      </c>
      <c r="DC114">
        <f>IF(ISBLANK('Data Entry'!$«$114), "", 'Data Entry'!$«$114)</f>
      </c>
      <c r="DD114">
        <f>IF(ISBLANK('Data Entry'!$¬$114), "", 'Data Entry'!$¬$114)</f>
      </c>
      <c r="DE114">
        <f>IF(ISBLANK('Data Entry'!$­$114), "", 'Data Entry'!$­$114)</f>
      </c>
      <c r="DF114">
        <f>IF(ISBLANK('Data Entry'!$®$114), "", 'Data Entry'!$®$114)</f>
      </c>
      <c r="DG114">
        <f>IF(ISBLANK('Data Entry'!$¯$114), "", 'Data Entry'!$¯$114)</f>
      </c>
      <c r="DH114">
        <f>IF(ISBLANK('Data Entry'!$°$114), "", 'Data Entry'!$°$114)</f>
      </c>
      <c r="DI114">
        <f>IF(ISBLANK('Data Entry'!$±$114), "", 'Data Entry'!$±$114)</f>
      </c>
      <c r="DJ114">
        <f>IF(ISBLANK('Data Entry'!$²$114), "", 'Data Entry'!$²$114)</f>
      </c>
      <c r="DK114">
        <f>IF(ISBLANK('Data Entry'!$³$114), "", 'Data Entry'!$³$114)</f>
      </c>
      <c r="DL114">
        <f>IF(ISBLANK('Data Entry'!$´$114), "", 'Data Entry'!$´$114)</f>
      </c>
      <c r="DM114">
        <f>IF(ISBLANK('Data Entry'!$µ$114), "", 'Data Entry'!$µ$114)</f>
      </c>
      <c r="DN114">
        <f>IF(ISBLANK('Data Entry'!$¶$114), "", 'Data Entry'!$¶$114)</f>
      </c>
      <c r="DO114">
        <f>IF(ISBLANK('Data Entry'!$·$114), "", 'Data Entry'!$·$114)</f>
      </c>
      <c r="DP114">
        <f>IF(ISBLANK('Data Entry'!$¸$114), "", 'Data Entry'!$¸$114)</f>
      </c>
      <c r="DQ114">
        <f>IF(ISBLANK('Data Entry'!$¹$114), "", 'Data Entry'!$¹$114)</f>
      </c>
      <c r="DR114">
        <f>IF(ISBLANK('Data Entry'!$º$114), "", 'Data Entry'!$º$114)</f>
      </c>
      <c r="DS114">
        <f>IF(ISBLANK('Data Entry'!$»$114), "", 'Data Entry'!$»$114)</f>
      </c>
      <c r="DT114">
        <f>IF(ISBLANK('Data Entry'!$¼$114), "", 'Data Entry'!$¼$114)</f>
      </c>
      <c r="DU114">
        <f>IF(ISBLANK('Data Entry'!$½$114), "", 'Data Entry'!$½$114)</f>
      </c>
      <c r="DV114">
        <f>IF(ISBLANK('Data Entry'!$¾$114), "", 'Data Entry'!$¾$114)</f>
      </c>
      <c r="DW114">
        <f>IF(ISBLANK('Data Entry'!$¿$114), "", 'Data Entry'!$¿$114)</f>
      </c>
      <c r="DX114">
        <f>IF(ISBLANK('Data Entry'!$À$114), "", 'Data Entry'!$À$114)</f>
      </c>
      <c r="DY114">
        <f>IF(ISBLANK('Data Entry'!$Á$114), "", 'Data Entry'!$Á$114)</f>
      </c>
      <c r="DZ114">
        <f>IF(ISBLANK('Data Entry'!$Â$114), "", 'Data Entry'!$Â$114)</f>
      </c>
      <c r="EA114">
        <f>IF(ISBLANK('Data Entry'!$Ã$114), "", 'Data Entry'!$Ã$114)</f>
      </c>
      <c r="EB114">
        <f>IF(ISBLANK('Data Entry'!$Ä$114), "", 'Data Entry'!$Ä$114)</f>
      </c>
      <c r="EC114">
        <f>IF(ISBLANK('Data Entry'!$Å$114), "", 'Data Entry'!$Å$114)</f>
      </c>
      <c r="ED114">
        <f>IF(ISBLANK('Data Entry'!$Æ$114), "", 'Data Entry'!$Æ$114)</f>
      </c>
      <c r="EE114">
        <f>IF(ISBLANK('Data Entry'!$Ç$114), "", 'Data Entry'!$Ç$114)</f>
      </c>
      <c r="EF114">
        <f>IF(ISBLANK('Data Entry'!$È$114), "", 'Data Entry'!$È$114)</f>
      </c>
      <c r="EG114">
        <f>IF(ISBLANK('Data Entry'!$É$114), "", 'Data Entry'!$É$114)</f>
      </c>
      <c r="EH114">
        <f>IF(ISBLANK('Data Entry'!$Ê$114), "", 'Data Entry'!$Ê$114)</f>
      </c>
      <c r="EI114">
        <f>IF(ISBLANK('Data Entry'!$Ë$114), "", 'Data Entry'!$Ë$114)</f>
      </c>
      <c r="EJ114">
        <f>IF(ISBLANK('Data Entry'!$Ì$114), "", 'Data Entry'!$Ì$114)</f>
      </c>
      <c r="EK114">
        <f>IF(ISBLANK('Data Entry'!$Í$114), "", 'Data Entry'!$Í$114)</f>
      </c>
      <c r="EL114">
        <f>IF(ISBLANK('Data Entry'!$Î$114), "", 'Data Entry'!$Î$114)</f>
      </c>
      <c r="EM114">
        <f>IF(ISBLANK('Data Entry'!$Ï$114), "", 'Data Entry'!$Ï$114)</f>
      </c>
      <c r="EN114">
        <f>IF(ISBLANK('Data Entry'!$Ð$114), "", 'Data Entry'!$Ð$114)</f>
      </c>
      <c r="EO114">
        <f>IF(ISBLANK('Data Entry'!$Ñ$114), "", 'Data Entry'!$Ñ$114)</f>
      </c>
      <c r="EP114">
        <f>IF(ISBLANK('Data Entry'!$Ò$114), "", 'Data Entry'!$Ò$114)</f>
      </c>
      <c r="EQ114">
        <f>IF(ISBLANK('Data Entry'!$Ó$114), "", 'Data Entry'!$Ó$114)</f>
      </c>
      <c r="ER114">
        <f>IF(ISBLANK('Data Entry'!$Ô$114), "", 'Data Entry'!$Ô$114)</f>
      </c>
      <c r="ES114">
        <f>IF(ISBLANK('Data Entry'!$Õ$114), "", 'Data Entry'!$Õ$114)</f>
      </c>
      <c r="ET114">
        <f>IF(ISBLANK('Data Entry'!$Ö$114), "", 'Data Entry'!$Ö$114)</f>
      </c>
      <c r="EU114">
        <f>IF(ISBLANK('Data Entry'!$×$114), "", 'Data Entry'!$×$114)</f>
      </c>
      <c r="EV114">
        <f>IF(ISBLANK('Data Entry'!$Ø$114), "", 'Data Entry'!$Ø$114)</f>
      </c>
      <c r="EW114">
        <f>IF(ISBLANK('Data Entry'!$Ù$114), "", 'Data Entry'!$Ù$114)</f>
      </c>
      <c r="EX114">
        <f>IF(ISBLANK('Data Entry'!$Ú$114), "", 'Data Entry'!$Ú$114)</f>
      </c>
      <c r="EY114">
        <f>IF(ISBLANK('Data Entry'!$Û$114), "", 'Data Entry'!$Û$114)</f>
      </c>
      <c r="EZ114">
        <f>IF(ISBLANK('Data Entry'!$Ü$114), "", 'Data Entry'!$Ü$114)</f>
      </c>
      <c r="FA114">
        <f>IF(ISBLANK('Data Entry'!$Ý$114), "", 'Data Entry'!$Ý$114)</f>
      </c>
      <c r="FB114">
        <f>IF(ISBLANK('Data Entry'!$Þ$114), "", 'Data Entry'!$Þ$114)</f>
      </c>
      <c r="FC114">
        <f>IF(ISBLANK('Data Entry'!$ß$114), "", 'Data Entry'!$ß$114)</f>
      </c>
      <c r="FD114">
        <f>IF(ISBLANK('Data Entry'!$à$114), "", 'Data Entry'!$à$114)</f>
      </c>
      <c r="FE114">
        <f>IF(ISBLANK('Data Entry'!$á$114), "", 'Data Entry'!$á$114)</f>
      </c>
      <c r="FF114">
        <f>IF(ISBLANK('Data Entry'!$â$114), "", 'Data Entry'!$â$114)</f>
      </c>
      <c r="FG114">
        <f>IF(ISBLANK('Data Entry'!$ã$114), "", 'Data Entry'!$ã$114)</f>
      </c>
      <c r="FH114">
        <f>IF(ISBLANK('Data Entry'!$ä$114), "", 'Data Entry'!$ä$114)</f>
      </c>
      <c r="FI114">
        <f>IF(ISBLANK('Data Entry'!$å$114), "", 'Data Entry'!$å$114)</f>
      </c>
      <c r="FJ114">
        <f>IF(ISBLANK('Data Entry'!$æ$114), "", 'Data Entry'!$æ$114)</f>
      </c>
      <c r="FK114">
        <f>IF(ISBLANK('Data Entry'!$ç$114), "", 'Data Entry'!$ç$114)</f>
      </c>
      <c r="FL114">
        <f>IF(ISBLANK('Data Entry'!$è$114), "", 'Data Entry'!$è$114)</f>
      </c>
      <c r="FM114">
        <f>IF(ISBLANK('Data Entry'!$é$114), "", 'Data Entry'!$é$114)</f>
      </c>
      <c r="FN114">
        <f>IF(ISBLANK('Data Entry'!$ê$114), "", 'Data Entry'!$ê$114)</f>
      </c>
      <c r="FO114">
        <f>IF(ISBLANK('Data Entry'!$ë$114), "", 'Data Entry'!$ë$114)</f>
      </c>
      <c r="FP114">
        <f>IF(ISBLANK('Data Entry'!$ì$114), "", 'Data Entry'!$ì$114)</f>
      </c>
      <c r="FQ114">
        <f>IF(ISBLANK('Data Entry'!$í$114), "", 'Data Entry'!$í$114)</f>
      </c>
      <c r="FR114">
        <f>IF(ISBLANK('Data Entry'!$î$114), "", 'Data Entry'!$î$114)</f>
      </c>
      <c r="FS114">
        <f>IF(ISBLANK('Data Entry'!$ï$114), "", 'Data Entry'!$ï$114)</f>
      </c>
      <c r="FT114">
        <f>IF(ISBLANK('Data Entry'!$ð$114), "", 'Data Entry'!$ð$114)</f>
      </c>
      <c r="FU114">
        <f>IF(ISBLANK('Data Entry'!$ñ$114), "", 'Data Entry'!$ñ$114)</f>
      </c>
      <c r="FV114">
        <f>IF(ISBLANK('Data Entry'!$ò$114), "", 'Data Entry'!$ò$114)</f>
      </c>
      <c r="FW114">
        <f>IF(ISBLANK('Data Entry'!$ó$114), "", 'Data Entry'!$ó$114)</f>
      </c>
      <c r="FX114">
        <f>IF(ISBLANK('Data Entry'!$ô$114), "", 'Data Entry'!$ô$114)</f>
      </c>
      <c r="FY114">
        <f>IF(ISBLANK('Data Entry'!$õ$114), "", 'Data Entry'!$õ$114)</f>
      </c>
      <c r="FZ114">
        <f>IF(ISBLANK('Data Entry'!$ö$114), "", 'Data Entry'!$ö$114)</f>
      </c>
      <c r="GA114">
        <f>IF(ISBLANK('Data Entry'!$÷$114), "", 'Data Entry'!$÷$114)</f>
      </c>
      <c r="GB114">
        <f>IF(ISBLANK('Data Entry'!$ø$114), "", 'Data Entry'!$ø$114)</f>
      </c>
      <c r="GC114">
        <f>IF(ISBLANK('Data Entry'!$ù$114), "", 'Data Entry'!$ù$114)</f>
      </c>
      <c r="GD114">
        <f>IF(ISBLANK('Data Entry'!$ú$114), "", 'Data Entry'!$ú$114)</f>
      </c>
      <c r="GE114">
        <f>IF(ISBLANK('Data Entry'!$û$114), "", 'Data Entry'!$û$114)</f>
      </c>
      <c r="GF114">
        <f>IF(ISBLANK('Data Entry'!$ü$114), "", 'Data Entry'!$ü$114)</f>
      </c>
      <c r="GG114">
        <f>IF(ISBLANK('Data Entry'!$ý$114), "", 'Data Entry'!$ý$114)</f>
      </c>
      <c r="GH114">
        <f>IF(ISBLANK('Data Entry'!$þ$114), "", 'Data Entry'!$þ$114)</f>
      </c>
      <c r="GI114">
        <f>IF(ISBLANK('Data Entry'!$ÿ$114), "", 'Data Entry'!$ÿ$114)</f>
      </c>
      <c r="GJ114">
        <f>IF(ISBLANK('Data Entry'!$Ā$114), "", 'Data Entry'!$Ā$114)</f>
      </c>
      <c r="GK114">
        <f>IF(ISBLANK('Data Entry'!$ā$114), "", 'Data Entry'!$ā$114)</f>
      </c>
      <c r="GL114">
        <f>IF(ISBLANK('Data Entry'!$Ă$114), "", 'Data Entry'!$Ă$114)</f>
      </c>
      <c r="GM114">
        <f>IF(ISBLANK('Data Entry'!$ă$114), "", 'Data Entry'!$ă$114)</f>
      </c>
      <c r="GN114">
        <f>IF(ISBLANK('Data Entry'!$Ą$114), "", 'Data Entry'!$Ą$114)</f>
      </c>
      <c r="GO114">
        <f>IF(ISBLANK('Data Entry'!$ą$114), "", 'Data Entry'!$ą$114)</f>
      </c>
      <c r="GP114">
        <f>IF(ISBLANK('Data Entry'!$Ć$114), "", 'Data Entry'!$Ć$114)</f>
      </c>
      <c r="GQ114">
        <f>IF(ISBLANK('Data Entry'!$ć$114), "", 'Data Entry'!$ć$114)</f>
      </c>
      <c r="GR114">
        <f>IF(ISBLANK('Data Entry'!$Ĉ$114), "", 'Data Entry'!$Ĉ$114)</f>
      </c>
      <c r="GS114">
        <f>IF(ISBLANK('Data Entry'!$ĉ$114), "", 'Data Entry'!$ĉ$114)</f>
      </c>
      <c r="GT114">
        <f>IF(ISBLANK('Data Entry'!$Ċ$114), "", 'Data Entry'!$Ċ$114)</f>
      </c>
      <c r="GU114">
        <f>IF(ISBLANK('Data Entry'!$ċ$114), "", 'Data Entry'!$ċ$114)</f>
      </c>
      <c r="GV114">
        <f>IF(ISBLANK('Data Entry'!$Č$114), "", 'Data Entry'!$Č$114)</f>
      </c>
      <c r="GW114">
        <f>IF(ISBLANK('Data Entry'!$č$114), "", 'Data Entry'!$č$114)</f>
      </c>
      <c r="GX114">
        <f>IF(ISBLANK('Data Entry'!$Ď$114), "", 'Data Entry'!$Ď$114)</f>
      </c>
      <c r="GY114">
        <f>IF(ISBLANK('Data Entry'!$ď$114), "", 'Data Entry'!$ď$114)</f>
      </c>
      <c r="GZ114">
        <f>IF(ISBLANK('Data Entry'!$Đ$114), "", 'Data Entry'!$Đ$114)</f>
      </c>
      <c r="HA114">
        <f>IF(ISBLANK('Data Entry'!$đ$114), "", 'Data Entry'!$đ$114)</f>
      </c>
      <c r="HB114">
        <f>IF(ISBLANK('Data Entry'!$Ē$114), "", 'Data Entry'!$Ē$114)</f>
      </c>
      <c r="HC114">
        <f>IF(ISBLANK('Data Entry'!$ē$114), "", 'Data Entry'!$ē$114)</f>
      </c>
      <c r="HD114">
        <f>IF(ISBLANK('Data Entry'!$Ĕ$114), "", 'Data Entry'!$Ĕ$114)</f>
      </c>
      <c r="HE114">
        <f>IF(ISBLANK('Data Entry'!$ĕ$114), "", 'Data Entry'!$ĕ$114)</f>
      </c>
      <c r="HF114">
        <f>IF(ISBLANK('Data Entry'!$Ė$114), "", 'Data Entry'!$Ė$114)</f>
      </c>
      <c r="HG114">
        <f>IF(ISBLANK('Data Entry'!$ė$114), "", 'Data Entry'!$ė$114)</f>
      </c>
      <c r="HH114">
        <f>IF(ISBLANK('Data Entry'!$Ę$114), "", 'Data Entry'!$Ę$114)</f>
      </c>
      <c r="HI114">
        <f>IF(ISBLANK('Data Entry'!$ę$114), "", 'Data Entry'!$ę$114)</f>
      </c>
      <c r="HJ114">
        <f>IF(ISBLANK('Data Entry'!$Ě$114), "", 'Data Entry'!$Ě$114)</f>
      </c>
      <c r="HK114">
        <f>IF(ISBLANK('Data Entry'!$ě$114), "", 'Data Entry'!$ě$114)</f>
      </c>
      <c r="HL114">
        <f>IF(ISBLANK('Data Entry'!$Ĝ$114), "", 'Data Entry'!$Ĝ$114)</f>
      </c>
      <c r="HM114">
        <f>IF(ISBLANK('Data Entry'!$ĝ$114), "", 'Data Entry'!$ĝ$114)</f>
      </c>
      <c r="HN114">
        <f>IF(ISBLANK('Data Entry'!$Ğ$114), "", 'Data Entry'!$Ğ$114)</f>
      </c>
      <c r="HO114">
        <f>IF(ISBLANK('Data Entry'!$ğ$114), "", 'Data Entry'!$ğ$114)</f>
      </c>
      <c r="HP114">
        <f>IF(ISBLANK('Data Entry'!$Ġ$114), "", 'Data Entry'!$Ġ$114)</f>
      </c>
      <c r="HQ114">
        <f>IF(ISBLANK('Data Entry'!$ġ$114), "", 'Data Entry'!$ġ$114)</f>
      </c>
      <c r="HR114">
        <f>IF(ISBLANK('Data Entry'!$Ģ$114), "", 'Data Entry'!$Ģ$114)</f>
      </c>
      <c r="HS114">
        <f>IF(ISBLANK('Data Entry'!$ģ$114), "", 'Data Entry'!$ģ$114)</f>
      </c>
      <c r="HT114">
        <f>IF(ISBLANK('Data Entry'!$Ĥ$114), "", 'Data Entry'!$Ĥ$114)</f>
      </c>
      <c r="HU114">
        <f>IF(ISBLANK('Data Entry'!$ĥ$114), "", 'Data Entry'!$ĥ$114)</f>
      </c>
      <c r="HV114">
        <f>IF(ISBLANK('Data Entry'!$Ħ$114), "", 'Data Entry'!$Ħ$114)</f>
      </c>
      <c r="HW114">
        <f>IF(ISBLANK('Data Entry'!$ħ$114), "", 'Data Entry'!$ħ$114)</f>
      </c>
      <c r="HX114">
        <f>IF(ISBLANK('Data Entry'!$Ĩ$114), "", 'Data Entry'!$Ĩ$114)</f>
      </c>
      <c r="HY114">
        <f>IF(ISBLANK('Data Entry'!$ĩ$114), "", 'Data Entry'!$ĩ$114)</f>
      </c>
      <c r="HZ114">
        <f>IF(ISBLANK('Data Entry'!$Ī$114), "", 'Data Entry'!$Ī$114)</f>
      </c>
      <c r="IA114">
        <f>IF(ISBLANK('Data Entry'!$ī$114), "", 'Data Entry'!$ī$114)</f>
      </c>
      <c r="IB114">
        <f>IF(ISBLANK('Data Entry'!$Ĭ$114), "", 'Data Entry'!$Ĭ$114)</f>
      </c>
      <c r="IC114">
        <f>IF(ISBLANK('Data Entry'!$ĭ$114), "", 'Data Entry'!$ĭ$114)</f>
      </c>
      <c r="ID114">
        <f>IF(ISBLANK('Data Entry'!$Į$114), "", 'Data Entry'!$Į$114)</f>
      </c>
      <c r="IE114">
        <f>IF(ISBLANK('Data Entry'!$į$114), "", 'Data Entry'!$į$114)</f>
      </c>
      <c r="IF114">
        <f>IF(ISBLANK('Data Entry'!$İ$114), "", 'Data Entry'!$İ$114)</f>
      </c>
      <c r="IG114">
        <f>IF(ISBLANK('Data Entry'!$ı$114), "", 'Data Entry'!$ı$114)</f>
      </c>
      <c r="IH114">
        <f>IF(ISBLANK('Data Entry'!$Ĳ$114), "", 'Data Entry'!$Ĳ$114)</f>
      </c>
      <c r="II114">
        <f>IF(ISBLANK('Data Entry'!$ĳ$114), "", 'Data Entry'!$ĳ$114)</f>
      </c>
      <c r="IJ114">
        <f>IF(ISBLANK('Data Entry'!$Ĵ$114), "", 'Data Entry'!$Ĵ$114)</f>
      </c>
      <c r="IK114">
        <f>IF(ISBLANK('Data Entry'!$ĵ$114), "", 'Data Entry'!$ĵ$114)</f>
      </c>
      <c r="IL114">
        <f>IF(ISBLANK('Data Entry'!$Ķ$114), "", 'Data Entry'!$Ķ$114)</f>
      </c>
      <c r="IM114">
        <f>IF(ISBLANK('Data Entry'!$ķ$114), "", 'Data Entry'!$ķ$114)</f>
      </c>
      <c r="IN114">
        <f>IF(ISBLANK('Data Entry'!$ĸ$114), "", 'Data Entry'!$ĸ$114)</f>
      </c>
      <c r="IO114">
        <f>IF(ISBLANK('Data Entry'!$Ĺ$114), "", 'Data Entry'!$Ĺ$114)</f>
      </c>
      <c r="IP114">
        <f>IF(ISBLANK('Data Entry'!$ĺ$114), "", 'Data Entry'!$ĺ$114)</f>
      </c>
      <c r="IQ114">
        <f>IF(ISBLANK('Data Entry'!$Ļ$114), "", 'Data Entry'!$Ļ$114)</f>
      </c>
      <c r="IR114">
        <f>IF(ISBLANK('Data Entry'!$ļ$114), "", 'Data Entry'!$ļ$114)</f>
      </c>
      <c r="IS114">
        <f>IF(ISBLANK('Data Entry'!$Ľ$114), "", 'Data Entry'!$Ľ$114)</f>
      </c>
      <c r="IT114">
        <f>IF(ISBLANK('Data Entry'!$ľ$114), "", 'Data Entry'!$ľ$114)</f>
      </c>
    </row>
    <row r="115" spans="1:254" x14ac:dyDescent="0.25">
      <c r="A115">
        <f>IF(ISBLANK('Data Entry'!$A$115), "", 'Data Entry'!$A$115)</f>
      </c>
      <c r="B115">
        <f>IF(ISBLANK('Data Entry'!$B$115), "", 'Data Entry'!$B$115)</f>
      </c>
      <c r="C115">
        <f>IF(ISBLANK('Data Entry'!$C$115), "", 'Data Entry'!$C$115)</f>
      </c>
      <c r="D115">
        <f>IF(ISBLANK('Data Entry'!$D$115), "", 'Data Entry'!$D$115)</f>
      </c>
      <c r="E115">
        <f>IF(ISBLANK('Data Entry'!$E$115), "", 'Data Entry'!$E$115)</f>
      </c>
      <c r="F115">
        <f>IF(ISBLANK('Data Entry'!$F$115), "", 'Data Entry'!$F$115)</f>
      </c>
      <c r="G115">
        <f>IF(ISBLANK('Data Entry'!$G$115), "", 'Data Entry'!$G$115)</f>
      </c>
      <c r="H115">
        <f>IF(ISBLANK('Data Entry'!$H$115), "", 'Data Entry'!$H$115)</f>
      </c>
      <c r="I115">
        <f>IF(ISBLANK('Data Entry'!$I$115), "", 'Data Entry'!$I$115)</f>
      </c>
      <c r="J115">
        <f>IF(ISBLANK('Data Entry'!$J$115), "", 'Data Entry'!$J$115)</f>
      </c>
      <c r="K115">
        <f>IF(ISBLANK('Data Entry'!$K$115), "", 'Data Entry'!$K$115)</f>
      </c>
      <c r="L115">
        <f>IF(ISBLANK('Data Entry'!$L$115), "", 'Data Entry'!$L$115)</f>
      </c>
      <c r="M115">
        <f>IF(ISBLANK('Data Entry'!$M$115), "", 'Data Entry'!$M$115)</f>
      </c>
      <c r="N115">
        <f>IF(ISBLANK('Data Entry'!$N$115), "", 'Data Entry'!$N$115)</f>
      </c>
      <c r="O115">
        <f>IF(ISBLANK('Data Entry'!$O$115), "", 'Data Entry'!$O$115)</f>
      </c>
      <c r="P115">
        <f>IF(ISBLANK('Data Entry'!$P$115), "", 'Data Entry'!$P$115)</f>
      </c>
      <c r="Q115">
        <f>IF(ISBLANK('Data Entry'!$Q$115), "", 'Data Entry'!$Q$115)</f>
      </c>
      <c r="R115">
        <f>IF(ISBLANK('Data Entry'!$R$115), "", 'Data Entry'!$R$115)</f>
      </c>
      <c r="S115">
        <f>IF(ISBLANK('Data Entry'!$S$115), "", 'Data Entry'!$S$115)</f>
      </c>
      <c r="T115">
        <f>IF(ISBLANK('Data Entry'!$T$115), "", 'Data Entry'!$T$115)</f>
      </c>
      <c r="U115">
        <f>IF(ISBLANK('Data Entry'!$U$115), "", 'Data Entry'!$U$115)</f>
      </c>
      <c r="V115">
        <f>IF(ISBLANK('Data Entry'!$V$115), "", 'Data Entry'!$V$115)</f>
      </c>
      <c r="W115">
        <f>IF(ISBLANK('Data Entry'!$W$115), "", 'Data Entry'!$W$115)</f>
      </c>
      <c r="X115">
        <f>IF(ISBLANK('Data Entry'!$X$115), "", 'Data Entry'!$X$115)</f>
      </c>
      <c r="Y115">
        <f>IF(ISBLANK('Data Entry'!$Y$115), "", 'Data Entry'!$Y$115)</f>
      </c>
      <c r="Z115">
        <f>IF(ISBLANK('Data Entry'!$Z$115), "", 'Data Entry'!$Z$115)</f>
      </c>
      <c r="AA115">
        <f>IF(ISBLANK('Data Entry'!$[$115), "", 'Data Entry'!$[$115)</f>
      </c>
      <c r="AB115">
        <f>IF(ISBLANK('Data Entry'!$\$115), "", 'Data Entry'!$\$115)</f>
      </c>
      <c r="AC115">
        <f>IF(ISBLANK('Data Entry'!$]$115), "", 'Data Entry'!$]$115)</f>
      </c>
      <c r="AD115">
        <f>IF(ISBLANK('Data Entry'!$^$115), "", 'Data Entry'!$^$115)</f>
      </c>
      <c r="AE115">
        <f>IF(ISBLANK('Data Entry'!$_$115), "", 'Data Entry'!$_$115)</f>
      </c>
      <c r="AF115">
        <f>IF(ISBLANK('Data Entry'!$`$115), "", 'Data Entry'!$`$115)</f>
      </c>
      <c r="AG115">
        <f>IF(ISBLANK('Data Entry'!$a$115), "", 'Data Entry'!$a$115)</f>
      </c>
      <c r="AH115">
        <f>IF(ISBLANK('Data Entry'!$b$115), "", 'Data Entry'!$b$115)</f>
      </c>
      <c r="AI115">
        <f>IF(ISBLANK('Data Entry'!$c$115), "", 'Data Entry'!$c$115)</f>
      </c>
      <c r="AJ115">
        <f>IF(ISBLANK('Data Entry'!$d$115), "", 'Data Entry'!$d$115)</f>
      </c>
      <c r="AK115">
        <f>IF(ISBLANK('Data Entry'!$e$115), "", 'Data Entry'!$e$115)</f>
      </c>
      <c r="AL115">
        <f>IF(ISBLANK('Data Entry'!$f$115), "", 'Data Entry'!$f$115)</f>
      </c>
      <c r="AM115">
        <f>IF(ISBLANK('Data Entry'!$g$115), "", 'Data Entry'!$g$115)</f>
      </c>
      <c r="AN115">
        <f>IF(ISBLANK('Data Entry'!$h$115), "", 'Data Entry'!$h$115)</f>
      </c>
      <c r="AO115">
        <f>IF(ISBLANK('Data Entry'!$i$115), "", 'Data Entry'!$i$115)</f>
      </c>
      <c r="AP115">
        <f>IF(ISBLANK('Data Entry'!$j$115), "", 'Data Entry'!$j$115)</f>
      </c>
      <c r="AQ115">
        <f>IF(ISBLANK('Data Entry'!$k$115), "", 'Data Entry'!$k$115)</f>
      </c>
      <c r="AR115">
        <f>IF(ISBLANK('Data Entry'!$l$115), "", 'Data Entry'!$l$115)</f>
      </c>
      <c r="AS115">
        <f>IF(ISBLANK('Data Entry'!$m$115), "", 'Data Entry'!$m$115)</f>
      </c>
      <c r="AT115">
        <f>IF(ISBLANK('Data Entry'!$n$115), "", 'Data Entry'!$n$115)</f>
      </c>
      <c r="AU115">
        <f>IF(ISBLANK('Data Entry'!$o$115), "", 'Data Entry'!$o$115)</f>
      </c>
      <c r="AV115">
        <f>IF(ISBLANK('Data Entry'!$p$115), "", 'Data Entry'!$p$115)</f>
      </c>
      <c r="AW115">
        <f>IF(ISBLANK('Data Entry'!$q$115), "", 'Data Entry'!$q$115)</f>
      </c>
      <c r="AX115">
        <f>IF(ISBLANK('Data Entry'!$r$115), "", 'Data Entry'!$r$115)</f>
      </c>
      <c r="AY115">
        <f>IF(ISBLANK('Data Entry'!$s$115), "", 'Data Entry'!$s$115)</f>
      </c>
      <c r="AZ115">
        <f>IF(ISBLANK('Data Entry'!$t$115), "", 'Data Entry'!$t$115)</f>
      </c>
      <c r="BA115">
        <f>IF(ISBLANK('Data Entry'!$u$115), "", 'Data Entry'!$u$115)</f>
      </c>
      <c r="BB115">
        <f>IF(ISBLANK('Data Entry'!$v$115), "", 'Data Entry'!$v$115)</f>
      </c>
      <c r="BC115">
        <f>IF(ISBLANK('Data Entry'!$w$115), "", 'Data Entry'!$w$115)</f>
      </c>
      <c r="BD115">
        <f>IF(ISBLANK('Data Entry'!$x$115), "", 'Data Entry'!$x$115)</f>
      </c>
      <c r="BE115">
        <f>IF(ISBLANK('Data Entry'!$y$115), "", 'Data Entry'!$y$115)</f>
      </c>
      <c r="BF115">
        <f>IF(ISBLANK('Data Entry'!$z$115), "", 'Data Entry'!$z$115)</f>
      </c>
      <c r="BG115">
        <f>IF(ISBLANK('Data Entry'!${$115), "", 'Data Entry'!${$115)</f>
      </c>
      <c r="BH115">
        <f>IF(ISBLANK('Data Entry'!$|$115), "", 'Data Entry'!$|$115)</f>
      </c>
      <c r="BI115">
        <f>IF(ISBLANK('Data Entry'!$}$115), "", 'Data Entry'!$}$115)</f>
      </c>
      <c r="BJ115">
        <f>IF(ISBLANK('Data Entry'!$~$115), "", 'Data Entry'!$~$115)</f>
      </c>
      <c r="BK115">
        <f>IF(ISBLANK('Data Entry'!$$115), "", 'Data Entry'!$$115)</f>
      </c>
      <c r="BL115">
        <f>IF(ISBLANK('Data Entry'!$$115), "", 'Data Entry'!$$115)</f>
      </c>
      <c r="BM115">
        <f>IF(ISBLANK('Data Entry'!$$115), "", 'Data Entry'!$$115)</f>
      </c>
      <c r="BN115">
        <f>IF(ISBLANK('Data Entry'!$$115), "", 'Data Entry'!$$115)</f>
      </c>
      <c r="BO115">
        <f>IF(ISBLANK('Data Entry'!$$115), "", 'Data Entry'!$$115)</f>
      </c>
      <c r="BP115">
        <f>IF(ISBLANK('Data Entry'!$$115), "", 'Data Entry'!$$115)</f>
      </c>
      <c r="BQ115">
        <f>IF(ISBLANK('Data Entry'!$$115), "", 'Data Entry'!$$115)</f>
      </c>
      <c r="BR115">
        <f>IF(ISBLANK('Data Entry'!$$115), "", 'Data Entry'!$$115)</f>
      </c>
      <c r="BS115">
        <f>IF(ISBLANK('Data Entry'!$$115), "", 'Data Entry'!$$115)</f>
      </c>
      <c r="BT115">
        <f>IF(ISBLANK('Data Entry'!$$115), "", 'Data Entry'!$$115)</f>
      </c>
      <c r="BU115">
        <f>IF(ISBLANK('Data Entry'!$$115), "", 'Data Entry'!$$115)</f>
      </c>
      <c r="BV115">
        <f>IF(ISBLANK('Data Entry'!$$115), "", 'Data Entry'!$$115)</f>
      </c>
      <c r="BW115">
        <f>IF(ISBLANK('Data Entry'!$$115), "", 'Data Entry'!$$115)</f>
      </c>
      <c r="BX115">
        <f>IF(ISBLANK('Data Entry'!$$115), "", 'Data Entry'!$$115)</f>
      </c>
      <c r="BY115">
        <f>IF(ISBLANK('Data Entry'!$$115), "", 'Data Entry'!$$115)</f>
      </c>
      <c r="BZ115">
        <f>IF(ISBLANK('Data Entry'!$$115), "", 'Data Entry'!$$115)</f>
      </c>
      <c r="CA115">
        <f>IF(ISBLANK('Data Entry'!$$115), "", 'Data Entry'!$$115)</f>
      </c>
      <c r="CB115">
        <f>IF(ISBLANK('Data Entry'!$$115), "", 'Data Entry'!$$115)</f>
      </c>
      <c r="CC115">
        <f>IF(ISBLANK('Data Entry'!$$115), "", 'Data Entry'!$$115)</f>
      </c>
      <c r="CD115">
        <f>IF(ISBLANK('Data Entry'!$$115), "", 'Data Entry'!$$115)</f>
      </c>
      <c r="CE115">
        <f>IF(ISBLANK('Data Entry'!$$115), "", 'Data Entry'!$$115)</f>
      </c>
      <c r="CF115">
        <f>IF(ISBLANK('Data Entry'!$$115), "", 'Data Entry'!$$115)</f>
      </c>
      <c r="CG115">
        <f>IF(ISBLANK('Data Entry'!$$115), "", 'Data Entry'!$$115)</f>
      </c>
      <c r="CH115">
        <f>IF(ISBLANK('Data Entry'!$$115), "", 'Data Entry'!$$115)</f>
      </c>
      <c r="CI115">
        <f>IF(ISBLANK('Data Entry'!$$115), "", 'Data Entry'!$$115)</f>
      </c>
      <c r="CJ115">
        <f>IF(ISBLANK('Data Entry'!$$115), "", 'Data Entry'!$$115)</f>
      </c>
      <c r="CK115">
        <f>IF(ISBLANK('Data Entry'!$$115), "", 'Data Entry'!$$115)</f>
      </c>
      <c r="CL115">
        <f>IF(ISBLANK('Data Entry'!$$115), "", 'Data Entry'!$$115)</f>
      </c>
      <c r="CM115">
        <f>IF(ISBLANK('Data Entry'!$$115), "", 'Data Entry'!$$115)</f>
      </c>
      <c r="CN115">
        <f>IF(ISBLANK('Data Entry'!$$115), "", 'Data Entry'!$$115)</f>
      </c>
      <c r="CO115">
        <f>IF(ISBLANK('Data Entry'!$$115), "", 'Data Entry'!$$115)</f>
      </c>
      <c r="CP115">
        <f>IF(ISBLANK('Data Entry'!$$115), "", 'Data Entry'!$$115)</f>
      </c>
      <c r="CQ115">
        <f>IF(ISBLANK('Data Entry'!$$115), "", 'Data Entry'!$$115)</f>
      </c>
      <c r="CR115">
        <f>IF(ISBLANK('Data Entry'!$ $115), "", 'Data Entry'!$ $115)</f>
      </c>
      <c r="CS115">
        <f>IF(ISBLANK('Data Entry'!$¡$115), "", 'Data Entry'!$¡$115)</f>
      </c>
      <c r="CT115">
        <f>IF(ISBLANK('Data Entry'!$¢$115), "", 'Data Entry'!$¢$115)</f>
      </c>
      <c r="CU115">
        <f>IF(ISBLANK('Data Entry'!$£$115), "", 'Data Entry'!$£$115)</f>
      </c>
      <c r="CV115">
        <f>IF(ISBLANK('Data Entry'!$¤$115), "", 'Data Entry'!$¤$115)</f>
      </c>
      <c r="CW115">
        <f>IF(ISBLANK('Data Entry'!$¥$115), "", 'Data Entry'!$¥$115)</f>
      </c>
      <c r="CX115">
        <f>IF(ISBLANK('Data Entry'!$¦$115), "", 'Data Entry'!$¦$115)</f>
      </c>
      <c r="CY115">
        <f>IF(ISBLANK('Data Entry'!$§$115), "", 'Data Entry'!$§$115)</f>
      </c>
      <c r="CZ115">
        <f>IF(ISBLANK('Data Entry'!$¨$115), "", 'Data Entry'!$¨$115)</f>
      </c>
      <c r="DA115">
        <f>IF(ISBLANK('Data Entry'!$©$115), "", 'Data Entry'!$©$115)</f>
      </c>
      <c r="DB115">
        <f>IF(ISBLANK('Data Entry'!$ª$115), "", 'Data Entry'!$ª$115)</f>
      </c>
      <c r="DC115">
        <f>IF(ISBLANK('Data Entry'!$«$115), "", 'Data Entry'!$«$115)</f>
      </c>
      <c r="DD115">
        <f>IF(ISBLANK('Data Entry'!$¬$115), "", 'Data Entry'!$¬$115)</f>
      </c>
      <c r="DE115">
        <f>IF(ISBLANK('Data Entry'!$­$115), "", 'Data Entry'!$­$115)</f>
      </c>
      <c r="DF115">
        <f>IF(ISBLANK('Data Entry'!$®$115), "", 'Data Entry'!$®$115)</f>
      </c>
      <c r="DG115">
        <f>IF(ISBLANK('Data Entry'!$¯$115), "", 'Data Entry'!$¯$115)</f>
      </c>
      <c r="DH115">
        <f>IF(ISBLANK('Data Entry'!$°$115), "", 'Data Entry'!$°$115)</f>
      </c>
      <c r="DI115">
        <f>IF(ISBLANK('Data Entry'!$±$115), "", 'Data Entry'!$±$115)</f>
      </c>
      <c r="DJ115">
        <f>IF(ISBLANK('Data Entry'!$²$115), "", 'Data Entry'!$²$115)</f>
      </c>
      <c r="DK115">
        <f>IF(ISBLANK('Data Entry'!$³$115), "", 'Data Entry'!$³$115)</f>
      </c>
      <c r="DL115">
        <f>IF(ISBLANK('Data Entry'!$´$115), "", 'Data Entry'!$´$115)</f>
      </c>
      <c r="DM115">
        <f>IF(ISBLANK('Data Entry'!$µ$115), "", 'Data Entry'!$µ$115)</f>
      </c>
      <c r="DN115">
        <f>IF(ISBLANK('Data Entry'!$¶$115), "", 'Data Entry'!$¶$115)</f>
      </c>
      <c r="DO115">
        <f>IF(ISBLANK('Data Entry'!$·$115), "", 'Data Entry'!$·$115)</f>
      </c>
      <c r="DP115">
        <f>IF(ISBLANK('Data Entry'!$¸$115), "", 'Data Entry'!$¸$115)</f>
      </c>
      <c r="DQ115">
        <f>IF(ISBLANK('Data Entry'!$¹$115), "", 'Data Entry'!$¹$115)</f>
      </c>
      <c r="DR115">
        <f>IF(ISBLANK('Data Entry'!$º$115), "", 'Data Entry'!$º$115)</f>
      </c>
      <c r="DS115">
        <f>IF(ISBLANK('Data Entry'!$»$115), "", 'Data Entry'!$»$115)</f>
      </c>
      <c r="DT115">
        <f>IF(ISBLANK('Data Entry'!$¼$115), "", 'Data Entry'!$¼$115)</f>
      </c>
      <c r="DU115">
        <f>IF(ISBLANK('Data Entry'!$½$115), "", 'Data Entry'!$½$115)</f>
      </c>
      <c r="DV115">
        <f>IF(ISBLANK('Data Entry'!$¾$115), "", 'Data Entry'!$¾$115)</f>
      </c>
      <c r="DW115">
        <f>IF(ISBLANK('Data Entry'!$¿$115), "", 'Data Entry'!$¿$115)</f>
      </c>
      <c r="DX115">
        <f>IF(ISBLANK('Data Entry'!$À$115), "", 'Data Entry'!$À$115)</f>
      </c>
      <c r="DY115">
        <f>IF(ISBLANK('Data Entry'!$Á$115), "", 'Data Entry'!$Á$115)</f>
      </c>
      <c r="DZ115">
        <f>IF(ISBLANK('Data Entry'!$Â$115), "", 'Data Entry'!$Â$115)</f>
      </c>
      <c r="EA115">
        <f>IF(ISBLANK('Data Entry'!$Ã$115), "", 'Data Entry'!$Ã$115)</f>
      </c>
      <c r="EB115">
        <f>IF(ISBLANK('Data Entry'!$Ä$115), "", 'Data Entry'!$Ä$115)</f>
      </c>
      <c r="EC115">
        <f>IF(ISBLANK('Data Entry'!$Å$115), "", 'Data Entry'!$Å$115)</f>
      </c>
      <c r="ED115">
        <f>IF(ISBLANK('Data Entry'!$Æ$115), "", 'Data Entry'!$Æ$115)</f>
      </c>
      <c r="EE115">
        <f>IF(ISBLANK('Data Entry'!$Ç$115), "", 'Data Entry'!$Ç$115)</f>
      </c>
      <c r="EF115">
        <f>IF(ISBLANK('Data Entry'!$È$115), "", 'Data Entry'!$È$115)</f>
      </c>
      <c r="EG115">
        <f>IF(ISBLANK('Data Entry'!$É$115), "", 'Data Entry'!$É$115)</f>
      </c>
      <c r="EH115">
        <f>IF(ISBLANK('Data Entry'!$Ê$115), "", 'Data Entry'!$Ê$115)</f>
      </c>
      <c r="EI115">
        <f>IF(ISBLANK('Data Entry'!$Ë$115), "", 'Data Entry'!$Ë$115)</f>
      </c>
      <c r="EJ115">
        <f>IF(ISBLANK('Data Entry'!$Ì$115), "", 'Data Entry'!$Ì$115)</f>
      </c>
      <c r="EK115">
        <f>IF(ISBLANK('Data Entry'!$Í$115), "", 'Data Entry'!$Í$115)</f>
      </c>
      <c r="EL115">
        <f>IF(ISBLANK('Data Entry'!$Î$115), "", 'Data Entry'!$Î$115)</f>
      </c>
      <c r="EM115">
        <f>IF(ISBLANK('Data Entry'!$Ï$115), "", 'Data Entry'!$Ï$115)</f>
      </c>
      <c r="EN115">
        <f>IF(ISBLANK('Data Entry'!$Ð$115), "", 'Data Entry'!$Ð$115)</f>
      </c>
      <c r="EO115">
        <f>IF(ISBLANK('Data Entry'!$Ñ$115), "", 'Data Entry'!$Ñ$115)</f>
      </c>
      <c r="EP115">
        <f>IF(ISBLANK('Data Entry'!$Ò$115), "", 'Data Entry'!$Ò$115)</f>
      </c>
      <c r="EQ115">
        <f>IF(ISBLANK('Data Entry'!$Ó$115), "", 'Data Entry'!$Ó$115)</f>
      </c>
      <c r="ER115">
        <f>IF(ISBLANK('Data Entry'!$Ô$115), "", 'Data Entry'!$Ô$115)</f>
      </c>
      <c r="ES115">
        <f>IF(ISBLANK('Data Entry'!$Õ$115), "", 'Data Entry'!$Õ$115)</f>
      </c>
      <c r="ET115">
        <f>IF(ISBLANK('Data Entry'!$Ö$115), "", 'Data Entry'!$Ö$115)</f>
      </c>
      <c r="EU115">
        <f>IF(ISBLANK('Data Entry'!$×$115), "", 'Data Entry'!$×$115)</f>
      </c>
      <c r="EV115">
        <f>IF(ISBLANK('Data Entry'!$Ø$115), "", 'Data Entry'!$Ø$115)</f>
      </c>
      <c r="EW115">
        <f>IF(ISBLANK('Data Entry'!$Ù$115), "", 'Data Entry'!$Ù$115)</f>
      </c>
      <c r="EX115">
        <f>IF(ISBLANK('Data Entry'!$Ú$115), "", 'Data Entry'!$Ú$115)</f>
      </c>
      <c r="EY115">
        <f>IF(ISBLANK('Data Entry'!$Û$115), "", 'Data Entry'!$Û$115)</f>
      </c>
      <c r="EZ115">
        <f>IF(ISBLANK('Data Entry'!$Ü$115), "", 'Data Entry'!$Ü$115)</f>
      </c>
      <c r="FA115">
        <f>IF(ISBLANK('Data Entry'!$Ý$115), "", 'Data Entry'!$Ý$115)</f>
      </c>
      <c r="FB115">
        <f>IF(ISBLANK('Data Entry'!$Þ$115), "", 'Data Entry'!$Þ$115)</f>
      </c>
      <c r="FC115">
        <f>IF(ISBLANK('Data Entry'!$ß$115), "", 'Data Entry'!$ß$115)</f>
      </c>
      <c r="FD115">
        <f>IF(ISBLANK('Data Entry'!$à$115), "", 'Data Entry'!$à$115)</f>
      </c>
      <c r="FE115">
        <f>IF(ISBLANK('Data Entry'!$á$115), "", 'Data Entry'!$á$115)</f>
      </c>
      <c r="FF115">
        <f>IF(ISBLANK('Data Entry'!$â$115), "", 'Data Entry'!$â$115)</f>
      </c>
      <c r="FG115">
        <f>IF(ISBLANK('Data Entry'!$ã$115), "", 'Data Entry'!$ã$115)</f>
      </c>
      <c r="FH115">
        <f>IF(ISBLANK('Data Entry'!$ä$115), "", 'Data Entry'!$ä$115)</f>
      </c>
      <c r="FI115">
        <f>IF(ISBLANK('Data Entry'!$å$115), "", 'Data Entry'!$å$115)</f>
      </c>
      <c r="FJ115">
        <f>IF(ISBLANK('Data Entry'!$æ$115), "", 'Data Entry'!$æ$115)</f>
      </c>
      <c r="FK115">
        <f>IF(ISBLANK('Data Entry'!$ç$115), "", 'Data Entry'!$ç$115)</f>
      </c>
      <c r="FL115">
        <f>IF(ISBLANK('Data Entry'!$è$115), "", 'Data Entry'!$è$115)</f>
      </c>
      <c r="FM115">
        <f>IF(ISBLANK('Data Entry'!$é$115), "", 'Data Entry'!$é$115)</f>
      </c>
      <c r="FN115">
        <f>IF(ISBLANK('Data Entry'!$ê$115), "", 'Data Entry'!$ê$115)</f>
      </c>
      <c r="FO115">
        <f>IF(ISBLANK('Data Entry'!$ë$115), "", 'Data Entry'!$ë$115)</f>
      </c>
      <c r="FP115">
        <f>IF(ISBLANK('Data Entry'!$ì$115), "", 'Data Entry'!$ì$115)</f>
      </c>
      <c r="FQ115">
        <f>IF(ISBLANK('Data Entry'!$í$115), "", 'Data Entry'!$í$115)</f>
      </c>
      <c r="FR115">
        <f>IF(ISBLANK('Data Entry'!$î$115), "", 'Data Entry'!$î$115)</f>
      </c>
      <c r="FS115">
        <f>IF(ISBLANK('Data Entry'!$ï$115), "", 'Data Entry'!$ï$115)</f>
      </c>
      <c r="FT115">
        <f>IF(ISBLANK('Data Entry'!$ð$115), "", 'Data Entry'!$ð$115)</f>
      </c>
      <c r="FU115">
        <f>IF(ISBLANK('Data Entry'!$ñ$115), "", 'Data Entry'!$ñ$115)</f>
      </c>
      <c r="FV115">
        <f>IF(ISBLANK('Data Entry'!$ò$115), "", 'Data Entry'!$ò$115)</f>
      </c>
      <c r="FW115">
        <f>IF(ISBLANK('Data Entry'!$ó$115), "", 'Data Entry'!$ó$115)</f>
      </c>
      <c r="FX115">
        <f>IF(ISBLANK('Data Entry'!$ô$115), "", 'Data Entry'!$ô$115)</f>
      </c>
      <c r="FY115">
        <f>IF(ISBLANK('Data Entry'!$õ$115), "", 'Data Entry'!$õ$115)</f>
      </c>
      <c r="FZ115">
        <f>IF(ISBLANK('Data Entry'!$ö$115), "", 'Data Entry'!$ö$115)</f>
      </c>
      <c r="GA115">
        <f>IF(ISBLANK('Data Entry'!$÷$115), "", 'Data Entry'!$÷$115)</f>
      </c>
      <c r="GB115">
        <f>IF(ISBLANK('Data Entry'!$ø$115), "", 'Data Entry'!$ø$115)</f>
      </c>
      <c r="GC115">
        <f>IF(ISBLANK('Data Entry'!$ù$115), "", 'Data Entry'!$ù$115)</f>
      </c>
      <c r="GD115">
        <f>IF(ISBLANK('Data Entry'!$ú$115), "", 'Data Entry'!$ú$115)</f>
      </c>
      <c r="GE115">
        <f>IF(ISBLANK('Data Entry'!$û$115), "", 'Data Entry'!$û$115)</f>
      </c>
      <c r="GF115">
        <f>IF(ISBLANK('Data Entry'!$ü$115), "", 'Data Entry'!$ü$115)</f>
      </c>
      <c r="GG115">
        <f>IF(ISBLANK('Data Entry'!$ý$115), "", 'Data Entry'!$ý$115)</f>
      </c>
      <c r="GH115">
        <f>IF(ISBLANK('Data Entry'!$þ$115), "", 'Data Entry'!$þ$115)</f>
      </c>
      <c r="GI115">
        <f>IF(ISBLANK('Data Entry'!$ÿ$115), "", 'Data Entry'!$ÿ$115)</f>
      </c>
      <c r="GJ115">
        <f>IF(ISBLANK('Data Entry'!$Ā$115), "", 'Data Entry'!$Ā$115)</f>
      </c>
      <c r="GK115">
        <f>IF(ISBLANK('Data Entry'!$ā$115), "", 'Data Entry'!$ā$115)</f>
      </c>
      <c r="GL115">
        <f>IF(ISBLANK('Data Entry'!$Ă$115), "", 'Data Entry'!$Ă$115)</f>
      </c>
      <c r="GM115">
        <f>IF(ISBLANK('Data Entry'!$ă$115), "", 'Data Entry'!$ă$115)</f>
      </c>
      <c r="GN115">
        <f>IF(ISBLANK('Data Entry'!$Ą$115), "", 'Data Entry'!$Ą$115)</f>
      </c>
      <c r="GO115">
        <f>IF(ISBLANK('Data Entry'!$ą$115), "", 'Data Entry'!$ą$115)</f>
      </c>
      <c r="GP115">
        <f>IF(ISBLANK('Data Entry'!$Ć$115), "", 'Data Entry'!$Ć$115)</f>
      </c>
      <c r="GQ115">
        <f>IF(ISBLANK('Data Entry'!$ć$115), "", 'Data Entry'!$ć$115)</f>
      </c>
      <c r="GR115">
        <f>IF(ISBLANK('Data Entry'!$Ĉ$115), "", 'Data Entry'!$Ĉ$115)</f>
      </c>
      <c r="GS115">
        <f>IF(ISBLANK('Data Entry'!$ĉ$115), "", 'Data Entry'!$ĉ$115)</f>
      </c>
      <c r="GT115">
        <f>IF(ISBLANK('Data Entry'!$Ċ$115), "", 'Data Entry'!$Ċ$115)</f>
      </c>
      <c r="GU115">
        <f>IF(ISBLANK('Data Entry'!$ċ$115), "", 'Data Entry'!$ċ$115)</f>
      </c>
      <c r="GV115">
        <f>IF(ISBLANK('Data Entry'!$Č$115), "", 'Data Entry'!$Č$115)</f>
      </c>
      <c r="GW115">
        <f>IF(ISBLANK('Data Entry'!$č$115), "", 'Data Entry'!$č$115)</f>
      </c>
      <c r="GX115">
        <f>IF(ISBLANK('Data Entry'!$Ď$115), "", 'Data Entry'!$Ď$115)</f>
      </c>
      <c r="GY115">
        <f>IF(ISBLANK('Data Entry'!$ď$115), "", 'Data Entry'!$ď$115)</f>
      </c>
      <c r="GZ115">
        <f>IF(ISBLANK('Data Entry'!$Đ$115), "", 'Data Entry'!$Đ$115)</f>
      </c>
      <c r="HA115">
        <f>IF(ISBLANK('Data Entry'!$đ$115), "", 'Data Entry'!$đ$115)</f>
      </c>
      <c r="HB115">
        <f>IF(ISBLANK('Data Entry'!$Ē$115), "", 'Data Entry'!$Ē$115)</f>
      </c>
      <c r="HC115">
        <f>IF(ISBLANK('Data Entry'!$ē$115), "", 'Data Entry'!$ē$115)</f>
      </c>
      <c r="HD115">
        <f>IF(ISBLANK('Data Entry'!$Ĕ$115), "", 'Data Entry'!$Ĕ$115)</f>
      </c>
      <c r="HE115">
        <f>IF(ISBLANK('Data Entry'!$ĕ$115), "", 'Data Entry'!$ĕ$115)</f>
      </c>
      <c r="HF115">
        <f>IF(ISBLANK('Data Entry'!$Ė$115), "", 'Data Entry'!$Ė$115)</f>
      </c>
      <c r="HG115">
        <f>IF(ISBLANK('Data Entry'!$ė$115), "", 'Data Entry'!$ė$115)</f>
      </c>
      <c r="HH115">
        <f>IF(ISBLANK('Data Entry'!$Ę$115), "", 'Data Entry'!$Ę$115)</f>
      </c>
      <c r="HI115">
        <f>IF(ISBLANK('Data Entry'!$ę$115), "", 'Data Entry'!$ę$115)</f>
      </c>
      <c r="HJ115">
        <f>IF(ISBLANK('Data Entry'!$Ě$115), "", 'Data Entry'!$Ě$115)</f>
      </c>
      <c r="HK115">
        <f>IF(ISBLANK('Data Entry'!$ě$115), "", 'Data Entry'!$ě$115)</f>
      </c>
      <c r="HL115">
        <f>IF(ISBLANK('Data Entry'!$Ĝ$115), "", 'Data Entry'!$Ĝ$115)</f>
      </c>
      <c r="HM115">
        <f>IF(ISBLANK('Data Entry'!$ĝ$115), "", 'Data Entry'!$ĝ$115)</f>
      </c>
      <c r="HN115">
        <f>IF(ISBLANK('Data Entry'!$Ğ$115), "", 'Data Entry'!$Ğ$115)</f>
      </c>
      <c r="HO115">
        <f>IF(ISBLANK('Data Entry'!$ğ$115), "", 'Data Entry'!$ğ$115)</f>
      </c>
      <c r="HP115">
        <f>IF(ISBLANK('Data Entry'!$Ġ$115), "", 'Data Entry'!$Ġ$115)</f>
      </c>
      <c r="HQ115">
        <f>IF(ISBLANK('Data Entry'!$ġ$115), "", 'Data Entry'!$ġ$115)</f>
      </c>
      <c r="HR115">
        <f>IF(ISBLANK('Data Entry'!$Ģ$115), "", 'Data Entry'!$Ģ$115)</f>
      </c>
      <c r="HS115">
        <f>IF(ISBLANK('Data Entry'!$ģ$115), "", 'Data Entry'!$ģ$115)</f>
      </c>
      <c r="HT115">
        <f>IF(ISBLANK('Data Entry'!$Ĥ$115), "", 'Data Entry'!$Ĥ$115)</f>
      </c>
      <c r="HU115">
        <f>IF(ISBLANK('Data Entry'!$ĥ$115), "", 'Data Entry'!$ĥ$115)</f>
      </c>
      <c r="HV115">
        <f>IF(ISBLANK('Data Entry'!$Ħ$115), "", 'Data Entry'!$Ħ$115)</f>
      </c>
      <c r="HW115">
        <f>IF(ISBLANK('Data Entry'!$ħ$115), "", 'Data Entry'!$ħ$115)</f>
      </c>
      <c r="HX115">
        <f>IF(ISBLANK('Data Entry'!$Ĩ$115), "", 'Data Entry'!$Ĩ$115)</f>
      </c>
      <c r="HY115">
        <f>IF(ISBLANK('Data Entry'!$ĩ$115), "", 'Data Entry'!$ĩ$115)</f>
      </c>
      <c r="HZ115">
        <f>IF(ISBLANK('Data Entry'!$Ī$115), "", 'Data Entry'!$Ī$115)</f>
      </c>
      <c r="IA115">
        <f>IF(ISBLANK('Data Entry'!$ī$115), "", 'Data Entry'!$ī$115)</f>
      </c>
      <c r="IB115">
        <f>IF(ISBLANK('Data Entry'!$Ĭ$115), "", 'Data Entry'!$Ĭ$115)</f>
      </c>
      <c r="IC115">
        <f>IF(ISBLANK('Data Entry'!$ĭ$115), "", 'Data Entry'!$ĭ$115)</f>
      </c>
      <c r="ID115">
        <f>IF(ISBLANK('Data Entry'!$Į$115), "", 'Data Entry'!$Į$115)</f>
      </c>
      <c r="IE115">
        <f>IF(ISBLANK('Data Entry'!$į$115), "", 'Data Entry'!$į$115)</f>
      </c>
      <c r="IF115">
        <f>IF(ISBLANK('Data Entry'!$İ$115), "", 'Data Entry'!$İ$115)</f>
      </c>
      <c r="IG115">
        <f>IF(ISBLANK('Data Entry'!$ı$115), "", 'Data Entry'!$ı$115)</f>
      </c>
      <c r="IH115">
        <f>IF(ISBLANK('Data Entry'!$Ĳ$115), "", 'Data Entry'!$Ĳ$115)</f>
      </c>
      <c r="II115">
        <f>IF(ISBLANK('Data Entry'!$ĳ$115), "", 'Data Entry'!$ĳ$115)</f>
      </c>
      <c r="IJ115">
        <f>IF(ISBLANK('Data Entry'!$Ĵ$115), "", 'Data Entry'!$Ĵ$115)</f>
      </c>
      <c r="IK115">
        <f>IF(ISBLANK('Data Entry'!$ĵ$115), "", 'Data Entry'!$ĵ$115)</f>
      </c>
      <c r="IL115">
        <f>IF(ISBLANK('Data Entry'!$Ķ$115), "", 'Data Entry'!$Ķ$115)</f>
      </c>
      <c r="IM115">
        <f>IF(ISBLANK('Data Entry'!$ķ$115), "", 'Data Entry'!$ķ$115)</f>
      </c>
      <c r="IN115">
        <f>IF(ISBLANK('Data Entry'!$ĸ$115), "", 'Data Entry'!$ĸ$115)</f>
      </c>
      <c r="IO115">
        <f>IF(ISBLANK('Data Entry'!$Ĺ$115), "", 'Data Entry'!$Ĺ$115)</f>
      </c>
      <c r="IP115">
        <f>IF(ISBLANK('Data Entry'!$ĺ$115), "", 'Data Entry'!$ĺ$115)</f>
      </c>
      <c r="IQ115">
        <f>IF(ISBLANK('Data Entry'!$Ļ$115), "", 'Data Entry'!$Ļ$115)</f>
      </c>
      <c r="IR115">
        <f>IF(ISBLANK('Data Entry'!$ļ$115), "", 'Data Entry'!$ļ$115)</f>
      </c>
      <c r="IS115">
        <f>IF(ISBLANK('Data Entry'!$Ľ$115), "", 'Data Entry'!$Ľ$115)</f>
      </c>
      <c r="IT115">
        <f>IF(ISBLANK('Data Entry'!$ľ$115), "", 'Data Entry'!$ľ$115)</f>
      </c>
    </row>
    <row r="116" spans="1:254" x14ac:dyDescent="0.25">
      <c r="A116">
        <f>IF(ISBLANK('Data Entry'!$A$116), "", 'Data Entry'!$A$116)</f>
      </c>
      <c r="B116">
        <f>IF(ISBLANK('Data Entry'!$B$116), "", 'Data Entry'!$B$116)</f>
      </c>
      <c r="C116">
        <f>IF(ISBLANK('Data Entry'!$C$116), "", 'Data Entry'!$C$116)</f>
      </c>
      <c r="D116">
        <f>IF(ISBLANK('Data Entry'!$D$116), "", 'Data Entry'!$D$116)</f>
      </c>
      <c r="E116">
        <f>IF(ISBLANK('Data Entry'!$E$116), "", 'Data Entry'!$E$116)</f>
      </c>
      <c r="F116">
        <f>IF(ISBLANK('Data Entry'!$F$116), "", 'Data Entry'!$F$116)</f>
      </c>
      <c r="G116">
        <f>IF(ISBLANK('Data Entry'!$G$116), "", 'Data Entry'!$G$116)</f>
      </c>
      <c r="H116">
        <f>IF(ISBLANK('Data Entry'!$H$116), "", 'Data Entry'!$H$116)</f>
      </c>
      <c r="I116">
        <f>IF(ISBLANK('Data Entry'!$I$116), "", 'Data Entry'!$I$116)</f>
      </c>
      <c r="J116">
        <f>IF(ISBLANK('Data Entry'!$J$116), "", 'Data Entry'!$J$116)</f>
      </c>
      <c r="K116">
        <f>IF(ISBLANK('Data Entry'!$K$116), "", 'Data Entry'!$K$116)</f>
      </c>
      <c r="L116">
        <f>IF(ISBLANK('Data Entry'!$L$116), "", 'Data Entry'!$L$116)</f>
      </c>
      <c r="M116">
        <f>IF(ISBLANK('Data Entry'!$M$116), "", 'Data Entry'!$M$116)</f>
      </c>
      <c r="N116">
        <f>IF(ISBLANK('Data Entry'!$N$116), "", 'Data Entry'!$N$116)</f>
      </c>
      <c r="O116">
        <f>IF(ISBLANK('Data Entry'!$O$116), "", 'Data Entry'!$O$116)</f>
      </c>
      <c r="P116">
        <f>IF(ISBLANK('Data Entry'!$P$116), "", 'Data Entry'!$P$116)</f>
      </c>
      <c r="Q116">
        <f>IF(ISBLANK('Data Entry'!$Q$116), "", 'Data Entry'!$Q$116)</f>
      </c>
      <c r="R116">
        <f>IF(ISBLANK('Data Entry'!$R$116), "", 'Data Entry'!$R$116)</f>
      </c>
      <c r="S116">
        <f>IF(ISBLANK('Data Entry'!$S$116), "", 'Data Entry'!$S$116)</f>
      </c>
      <c r="T116">
        <f>IF(ISBLANK('Data Entry'!$T$116), "", 'Data Entry'!$T$116)</f>
      </c>
      <c r="U116">
        <f>IF(ISBLANK('Data Entry'!$U$116), "", 'Data Entry'!$U$116)</f>
      </c>
      <c r="V116">
        <f>IF(ISBLANK('Data Entry'!$V$116), "", 'Data Entry'!$V$116)</f>
      </c>
      <c r="W116">
        <f>IF(ISBLANK('Data Entry'!$W$116), "", 'Data Entry'!$W$116)</f>
      </c>
      <c r="X116">
        <f>IF(ISBLANK('Data Entry'!$X$116), "", 'Data Entry'!$X$116)</f>
      </c>
      <c r="Y116">
        <f>IF(ISBLANK('Data Entry'!$Y$116), "", 'Data Entry'!$Y$116)</f>
      </c>
      <c r="Z116">
        <f>IF(ISBLANK('Data Entry'!$Z$116), "", 'Data Entry'!$Z$116)</f>
      </c>
      <c r="AA116">
        <f>IF(ISBLANK('Data Entry'!$[$116), "", 'Data Entry'!$[$116)</f>
      </c>
      <c r="AB116">
        <f>IF(ISBLANK('Data Entry'!$\$116), "", 'Data Entry'!$\$116)</f>
      </c>
      <c r="AC116">
        <f>IF(ISBLANK('Data Entry'!$]$116), "", 'Data Entry'!$]$116)</f>
      </c>
      <c r="AD116">
        <f>IF(ISBLANK('Data Entry'!$^$116), "", 'Data Entry'!$^$116)</f>
      </c>
      <c r="AE116">
        <f>IF(ISBLANK('Data Entry'!$_$116), "", 'Data Entry'!$_$116)</f>
      </c>
      <c r="AF116">
        <f>IF(ISBLANK('Data Entry'!$`$116), "", 'Data Entry'!$`$116)</f>
      </c>
      <c r="AG116">
        <f>IF(ISBLANK('Data Entry'!$a$116), "", 'Data Entry'!$a$116)</f>
      </c>
      <c r="AH116">
        <f>IF(ISBLANK('Data Entry'!$b$116), "", 'Data Entry'!$b$116)</f>
      </c>
      <c r="AI116">
        <f>IF(ISBLANK('Data Entry'!$c$116), "", 'Data Entry'!$c$116)</f>
      </c>
      <c r="AJ116">
        <f>IF(ISBLANK('Data Entry'!$d$116), "", 'Data Entry'!$d$116)</f>
      </c>
      <c r="AK116">
        <f>IF(ISBLANK('Data Entry'!$e$116), "", 'Data Entry'!$e$116)</f>
      </c>
      <c r="AL116">
        <f>IF(ISBLANK('Data Entry'!$f$116), "", 'Data Entry'!$f$116)</f>
      </c>
      <c r="AM116">
        <f>IF(ISBLANK('Data Entry'!$g$116), "", 'Data Entry'!$g$116)</f>
      </c>
      <c r="AN116">
        <f>IF(ISBLANK('Data Entry'!$h$116), "", 'Data Entry'!$h$116)</f>
      </c>
      <c r="AO116">
        <f>IF(ISBLANK('Data Entry'!$i$116), "", 'Data Entry'!$i$116)</f>
      </c>
      <c r="AP116">
        <f>IF(ISBLANK('Data Entry'!$j$116), "", 'Data Entry'!$j$116)</f>
      </c>
      <c r="AQ116">
        <f>IF(ISBLANK('Data Entry'!$k$116), "", 'Data Entry'!$k$116)</f>
      </c>
      <c r="AR116">
        <f>IF(ISBLANK('Data Entry'!$l$116), "", 'Data Entry'!$l$116)</f>
      </c>
      <c r="AS116">
        <f>IF(ISBLANK('Data Entry'!$m$116), "", 'Data Entry'!$m$116)</f>
      </c>
      <c r="AT116">
        <f>IF(ISBLANK('Data Entry'!$n$116), "", 'Data Entry'!$n$116)</f>
      </c>
      <c r="AU116">
        <f>IF(ISBLANK('Data Entry'!$o$116), "", 'Data Entry'!$o$116)</f>
      </c>
      <c r="AV116">
        <f>IF(ISBLANK('Data Entry'!$p$116), "", 'Data Entry'!$p$116)</f>
      </c>
      <c r="AW116">
        <f>IF(ISBLANK('Data Entry'!$q$116), "", 'Data Entry'!$q$116)</f>
      </c>
      <c r="AX116">
        <f>IF(ISBLANK('Data Entry'!$r$116), "", 'Data Entry'!$r$116)</f>
      </c>
      <c r="AY116">
        <f>IF(ISBLANK('Data Entry'!$s$116), "", 'Data Entry'!$s$116)</f>
      </c>
      <c r="AZ116">
        <f>IF(ISBLANK('Data Entry'!$t$116), "", 'Data Entry'!$t$116)</f>
      </c>
      <c r="BA116">
        <f>IF(ISBLANK('Data Entry'!$u$116), "", 'Data Entry'!$u$116)</f>
      </c>
      <c r="BB116">
        <f>IF(ISBLANK('Data Entry'!$v$116), "", 'Data Entry'!$v$116)</f>
      </c>
      <c r="BC116">
        <f>IF(ISBLANK('Data Entry'!$w$116), "", 'Data Entry'!$w$116)</f>
      </c>
      <c r="BD116">
        <f>IF(ISBLANK('Data Entry'!$x$116), "", 'Data Entry'!$x$116)</f>
      </c>
      <c r="BE116">
        <f>IF(ISBLANK('Data Entry'!$y$116), "", 'Data Entry'!$y$116)</f>
      </c>
      <c r="BF116">
        <f>IF(ISBLANK('Data Entry'!$z$116), "", 'Data Entry'!$z$116)</f>
      </c>
      <c r="BG116">
        <f>IF(ISBLANK('Data Entry'!${$116), "", 'Data Entry'!${$116)</f>
      </c>
      <c r="BH116">
        <f>IF(ISBLANK('Data Entry'!$|$116), "", 'Data Entry'!$|$116)</f>
      </c>
      <c r="BI116">
        <f>IF(ISBLANK('Data Entry'!$}$116), "", 'Data Entry'!$}$116)</f>
      </c>
      <c r="BJ116">
        <f>IF(ISBLANK('Data Entry'!$~$116), "", 'Data Entry'!$~$116)</f>
      </c>
      <c r="BK116">
        <f>IF(ISBLANK('Data Entry'!$$116), "", 'Data Entry'!$$116)</f>
      </c>
      <c r="BL116">
        <f>IF(ISBLANK('Data Entry'!$$116), "", 'Data Entry'!$$116)</f>
      </c>
      <c r="BM116">
        <f>IF(ISBLANK('Data Entry'!$$116), "", 'Data Entry'!$$116)</f>
      </c>
      <c r="BN116">
        <f>IF(ISBLANK('Data Entry'!$$116), "", 'Data Entry'!$$116)</f>
      </c>
      <c r="BO116">
        <f>IF(ISBLANK('Data Entry'!$$116), "", 'Data Entry'!$$116)</f>
      </c>
      <c r="BP116">
        <f>IF(ISBLANK('Data Entry'!$$116), "", 'Data Entry'!$$116)</f>
      </c>
      <c r="BQ116">
        <f>IF(ISBLANK('Data Entry'!$$116), "", 'Data Entry'!$$116)</f>
      </c>
      <c r="BR116">
        <f>IF(ISBLANK('Data Entry'!$$116), "", 'Data Entry'!$$116)</f>
      </c>
      <c r="BS116">
        <f>IF(ISBLANK('Data Entry'!$$116), "", 'Data Entry'!$$116)</f>
      </c>
      <c r="BT116">
        <f>IF(ISBLANK('Data Entry'!$$116), "", 'Data Entry'!$$116)</f>
      </c>
      <c r="BU116">
        <f>IF(ISBLANK('Data Entry'!$$116), "", 'Data Entry'!$$116)</f>
      </c>
      <c r="BV116">
        <f>IF(ISBLANK('Data Entry'!$$116), "", 'Data Entry'!$$116)</f>
      </c>
      <c r="BW116">
        <f>IF(ISBLANK('Data Entry'!$$116), "", 'Data Entry'!$$116)</f>
      </c>
      <c r="BX116">
        <f>IF(ISBLANK('Data Entry'!$$116), "", 'Data Entry'!$$116)</f>
      </c>
      <c r="BY116">
        <f>IF(ISBLANK('Data Entry'!$$116), "", 'Data Entry'!$$116)</f>
      </c>
      <c r="BZ116">
        <f>IF(ISBLANK('Data Entry'!$$116), "", 'Data Entry'!$$116)</f>
      </c>
      <c r="CA116">
        <f>IF(ISBLANK('Data Entry'!$$116), "", 'Data Entry'!$$116)</f>
      </c>
      <c r="CB116">
        <f>IF(ISBLANK('Data Entry'!$$116), "", 'Data Entry'!$$116)</f>
      </c>
      <c r="CC116">
        <f>IF(ISBLANK('Data Entry'!$$116), "", 'Data Entry'!$$116)</f>
      </c>
      <c r="CD116">
        <f>IF(ISBLANK('Data Entry'!$$116), "", 'Data Entry'!$$116)</f>
      </c>
      <c r="CE116">
        <f>IF(ISBLANK('Data Entry'!$$116), "", 'Data Entry'!$$116)</f>
      </c>
      <c r="CF116">
        <f>IF(ISBLANK('Data Entry'!$$116), "", 'Data Entry'!$$116)</f>
      </c>
      <c r="CG116">
        <f>IF(ISBLANK('Data Entry'!$$116), "", 'Data Entry'!$$116)</f>
      </c>
      <c r="CH116">
        <f>IF(ISBLANK('Data Entry'!$$116), "", 'Data Entry'!$$116)</f>
      </c>
      <c r="CI116">
        <f>IF(ISBLANK('Data Entry'!$$116), "", 'Data Entry'!$$116)</f>
      </c>
      <c r="CJ116">
        <f>IF(ISBLANK('Data Entry'!$$116), "", 'Data Entry'!$$116)</f>
      </c>
      <c r="CK116">
        <f>IF(ISBLANK('Data Entry'!$$116), "", 'Data Entry'!$$116)</f>
      </c>
      <c r="CL116">
        <f>IF(ISBLANK('Data Entry'!$$116), "", 'Data Entry'!$$116)</f>
      </c>
      <c r="CM116">
        <f>IF(ISBLANK('Data Entry'!$$116), "", 'Data Entry'!$$116)</f>
      </c>
      <c r="CN116">
        <f>IF(ISBLANK('Data Entry'!$$116), "", 'Data Entry'!$$116)</f>
      </c>
      <c r="CO116">
        <f>IF(ISBLANK('Data Entry'!$$116), "", 'Data Entry'!$$116)</f>
      </c>
      <c r="CP116">
        <f>IF(ISBLANK('Data Entry'!$$116), "", 'Data Entry'!$$116)</f>
      </c>
      <c r="CQ116">
        <f>IF(ISBLANK('Data Entry'!$$116), "", 'Data Entry'!$$116)</f>
      </c>
      <c r="CR116">
        <f>IF(ISBLANK('Data Entry'!$ $116), "", 'Data Entry'!$ $116)</f>
      </c>
      <c r="CS116">
        <f>IF(ISBLANK('Data Entry'!$¡$116), "", 'Data Entry'!$¡$116)</f>
      </c>
      <c r="CT116">
        <f>IF(ISBLANK('Data Entry'!$¢$116), "", 'Data Entry'!$¢$116)</f>
      </c>
      <c r="CU116">
        <f>IF(ISBLANK('Data Entry'!$£$116), "", 'Data Entry'!$£$116)</f>
      </c>
      <c r="CV116">
        <f>IF(ISBLANK('Data Entry'!$¤$116), "", 'Data Entry'!$¤$116)</f>
      </c>
      <c r="CW116">
        <f>IF(ISBLANK('Data Entry'!$¥$116), "", 'Data Entry'!$¥$116)</f>
      </c>
      <c r="CX116">
        <f>IF(ISBLANK('Data Entry'!$¦$116), "", 'Data Entry'!$¦$116)</f>
      </c>
      <c r="CY116">
        <f>IF(ISBLANK('Data Entry'!$§$116), "", 'Data Entry'!$§$116)</f>
      </c>
      <c r="CZ116">
        <f>IF(ISBLANK('Data Entry'!$¨$116), "", 'Data Entry'!$¨$116)</f>
      </c>
      <c r="DA116">
        <f>IF(ISBLANK('Data Entry'!$©$116), "", 'Data Entry'!$©$116)</f>
      </c>
      <c r="DB116">
        <f>IF(ISBLANK('Data Entry'!$ª$116), "", 'Data Entry'!$ª$116)</f>
      </c>
      <c r="DC116">
        <f>IF(ISBLANK('Data Entry'!$«$116), "", 'Data Entry'!$«$116)</f>
      </c>
      <c r="DD116">
        <f>IF(ISBLANK('Data Entry'!$¬$116), "", 'Data Entry'!$¬$116)</f>
      </c>
      <c r="DE116">
        <f>IF(ISBLANK('Data Entry'!$­$116), "", 'Data Entry'!$­$116)</f>
      </c>
      <c r="DF116">
        <f>IF(ISBLANK('Data Entry'!$®$116), "", 'Data Entry'!$®$116)</f>
      </c>
      <c r="DG116">
        <f>IF(ISBLANK('Data Entry'!$¯$116), "", 'Data Entry'!$¯$116)</f>
      </c>
      <c r="DH116">
        <f>IF(ISBLANK('Data Entry'!$°$116), "", 'Data Entry'!$°$116)</f>
      </c>
      <c r="DI116">
        <f>IF(ISBLANK('Data Entry'!$±$116), "", 'Data Entry'!$±$116)</f>
      </c>
      <c r="DJ116">
        <f>IF(ISBLANK('Data Entry'!$²$116), "", 'Data Entry'!$²$116)</f>
      </c>
      <c r="DK116">
        <f>IF(ISBLANK('Data Entry'!$³$116), "", 'Data Entry'!$³$116)</f>
      </c>
      <c r="DL116">
        <f>IF(ISBLANK('Data Entry'!$´$116), "", 'Data Entry'!$´$116)</f>
      </c>
      <c r="DM116">
        <f>IF(ISBLANK('Data Entry'!$µ$116), "", 'Data Entry'!$µ$116)</f>
      </c>
      <c r="DN116">
        <f>IF(ISBLANK('Data Entry'!$¶$116), "", 'Data Entry'!$¶$116)</f>
      </c>
      <c r="DO116">
        <f>IF(ISBLANK('Data Entry'!$·$116), "", 'Data Entry'!$·$116)</f>
      </c>
      <c r="DP116">
        <f>IF(ISBLANK('Data Entry'!$¸$116), "", 'Data Entry'!$¸$116)</f>
      </c>
      <c r="DQ116">
        <f>IF(ISBLANK('Data Entry'!$¹$116), "", 'Data Entry'!$¹$116)</f>
      </c>
      <c r="DR116">
        <f>IF(ISBLANK('Data Entry'!$º$116), "", 'Data Entry'!$º$116)</f>
      </c>
      <c r="DS116">
        <f>IF(ISBLANK('Data Entry'!$»$116), "", 'Data Entry'!$»$116)</f>
      </c>
      <c r="DT116">
        <f>IF(ISBLANK('Data Entry'!$¼$116), "", 'Data Entry'!$¼$116)</f>
      </c>
      <c r="DU116">
        <f>IF(ISBLANK('Data Entry'!$½$116), "", 'Data Entry'!$½$116)</f>
      </c>
      <c r="DV116">
        <f>IF(ISBLANK('Data Entry'!$¾$116), "", 'Data Entry'!$¾$116)</f>
      </c>
      <c r="DW116">
        <f>IF(ISBLANK('Data Entry'!$¿$116), "", 'Data Entry'!$¿$116)</f>
      </c>
      <c r="DX116">
        <f>IF(ISBLANK('Data Entry'!$À$116), "", 'Data Entry'!$À$116)</f>
      </c>
      <c r="DY116">
        <f>IF(ISBLANK('Data Entry'!$Á$116), "", 'Data Entry'!$Á$116)</f>
      </c>
      <c r="DZ116">
        <f>IF(ISBLANK('Data Entry'!$Â$116), "", 'Data Entry'!$Â$116)</f>
      </c>
      <c r="EA116">
        <f>IF(ISBLANK('Data Entry'!$Ã$116), "", 'Data Entry'!$Ã$116)</f>
      </c>
      <c r="EB116">
        <f>IF(ISBLANK('Data Entry'!$Ä$116), "", 'Data Entry'!$Ä$116)</f>
      </c>
      <c r="EC116">
        <f>IF(ISBLANK('Data Entry'!$Å$116), "", 'Data Entry'!$Å$116)</f>
      </c>
      <c r="ED116">
        <f>IF(ISBLANK('Data Entry'!$Æ$116), "", 'Data Entry'!$Æ$116)</f>
      </c>
      <c r="EE116">
        <f>IF(ISBLANK('Data Entry'!$Ç$116), "", 'Data Entry'!$Ç$116)</f>
      </c>
      <c r="EF116">
        <f>IF(ISBLANK('Data Entry'!$È$116), "", 'Data Entry'!$È$116)</f>
      </c>
      <c r="EG116">
        <f>IF(ISBLANK('Data Entry'!$É$116), "", 'Data Entry'!$É$116)</f>
      </c>
      <c r="EH116">
        <f>IF(ISBLANK('Data Entry'!$Ê$116), "", 'Data Entry'!$Ê$116)</f>
      </c>
      <c r="EI116">
        <f>IF(ISBLANK('Data Entry'!$Ë$116), "", 'Data Entry'!$Ë$116)</f>
      </c>
      <c r="EJ116">
        <f>IF(ISBLANK('Data Entry'!$Ì$116), "", 'Data Entry'!$Ì$116)</f>
      </c>
      <c r="EK116">
        <f>IF(ISBLANK('Data Entry'!$Í$116), "", 'Data Entry'!$Í$116)</f>
      </c>
      <c r="EL116">
        <f>IF(ISBLANK('Data Entry'!$Î$116), "", 'Data Entry'!$Î$116)</f>
      </c>
      <c r="EM116">
        <f>IF(ISBLANK('Data Entry'!$Ï$116), "", 'Data Entry'!$Ï$116)</f>
      </c>
      <c r="EN116">
        <f>IF(ISBLANK('Data Entry'!$Ð$116), "", 'Data Entry'!$Ð$116)</f>
      </c>
      <c r="EO116">
        <f>IF(ISBLANK('Data Entry'!$Ñ$116), "", 'Data Entry'!$Ñ$116)</f>
      </c>
      <c r="EP116">
        <f>IF(ISBLANK('Data Entry'!$Ò$116), "", 'Data Entry'!$Ò$116)</f>
      </c>
      <c r="EQ116">
        <f>IF(ISBLANK('Data Entry'!$Ó$116), "", 'Data Entry'!$Ó$116)</f>
      </c>
      <c r="ER116">
        <f>IF(ISBLANK('Data Entry'!$Ô$116), "", 'Data Entry'!$Ô$116)</f>
      </c>
      <c r="ES116">
        <f>IF(ISBLANK('Data Entry'!$Õ$116), "", 'Data Entry'!$Õ$116)</f>
      </c>
      <c r="ET116">
        <f>IF(ISBLANK('Data Entry'!$Ö$116), "", 'Data Entry'!$Ö$116)</f>
      </c>
      <c r="EU116">
        <f>IF(ISBLANK('Data Entry'!$×$116), "", 'Data Entry'!$×$116)</f>
      </c>
      <c r="EV116">
        <f>IF(ISBLANK('Data Entry'!$Ø$116), "", 'Data Entry'!$Ø$116)</f>
      </c>
      <c r="EW116">
        <f>IF(ISBLANK('Data Entry'!$Ù$116), "", 'Data Entry'!$Ù$116)</f>
      </c>
      <c r="EX116">
        <f>IF(ISBLANK('Data Entry'!$Ú$116), "", 'Data Entry'!$Ú$116)</f>
      </c>
      <c r="EY116">
        <f>IF(ISBLANK('Data Entry'!$Û$116), "", 'Data Entry'!$Û$116)</f>
      </c>
      <c r="EZ116">
        <f>IF(ISBLANK('Data Entry'!$Ü$116), "", 'Data Entry'!$Ü$116)</f>
      </c>
      <c r="FA116">
        <f>IF(ISBLANK('Data Entry'!$Ý$116), "", 'Data Entry'!$Ý$116)</f>
      </c>
      <c r="FB116">
        <f>IF(ISBLANK('Data Entry'!$Þ$116), "", 'Data Entry'!$Þ$116)</f>
      </c>
      <c r="FC116">
        <f>IF(ISBLANK('Data Entry'!$ß$116), "", 'Data Entry'!$ß$116)</f>
      </c>
      <c r="FD116">
        <f>IF(ISBLANK('Data Entry'!$à$116), "", 'Data Entry'!$à$116)</f>
      </c>
      <c r="FE116">
        <f>IF(ISBLANK('Data Entry'!$á$116), "", 'Data Entry'!$á$116)</f>
      </c>
      <c r="FF116">
        <f>IF(ISBLANK('Data Entry'!$â$116), "", 'Data Entry'!$â$116)</f>
      </c>
      <c r="FG116">
        <f>IF(ISBLANK('Data Entry'!$ã$116), "", 'Data Entry'!$ã$116)</f>
      </c>
      <c r="FH116">
        <f>IF(ISBLANK('Data Entry'!$ä$116), "", 'Data Entry'!$ä$116)</f>
      </c>
      <c r="FI116">
        <f>IF(ISBLANK('Data Entry'!$å$116), "", 'Data Entry'!$å$116)</f>
      </c>
      <c r="FJ116">
        <f>IF(ISBLANK('Data Entry'!$æ$116), "", 'Data Entry'!$æ$116)</f>
      </c>
      <c r="FK116">
        <f>IF(ISBLANK('Data Entry'!$ç$116), "", 'Data Entry'!$ç$116)</f>
      </c>
      <c r="FL116">
        <f>IF(ISBLANK('Data Entry'!$è$116), "", 'Data Entry'!$è$116)</f>
      </c>
      <c r="FM116">
        <f>IF(ISBLANK('Data Entry'!$é$116), "", 'Data Entry'!$é$116)</f>
      </c>
      <c r="FN116">
        <f>IF(ISBLANK('Data Entry'!$ê$116), "", 'Data Entry'!$ê$116)</f>
      </c>
      <c r="FO116">
        <f>IF(ISBLANK('Data Entry'!$ë$116), "", 'Data Entry'!$ë$116)</f>
      </c>
      <c r="FP116">
        <f>IF(ISBLANK('Data Entry'!$ì$116), "", 'Data Entry'!$ì$116)</f>
      </c>
      <c r="FQ116">
        <f>IF(ISBLANK('Data Entry'!$í$116), "", 'Data Entry'!$í$116)</f>
      </c>
      <c r="FR116">
        <f>IF(ISBLANK('Data Entry'!$î$116), "", 'Data Entry'!$î$116)</f>
      </c>
      <c r="FS116">
        <f>IF(ISBLANK('Data Entry'!$ï$116), "", 'Data Entry'!$ï$116)</f>
      </c>
      <c r="FT116">
        <f>IF(ISBLANK('Data Entry'!$ð$116), "", 'Data Entry'!$ð$116)</f>
      </c>
      <c r="FU116">
        <f>IF(ISBLANK('Data Entry'!$ñ$116), "", 'Data Entry'!$ñ$116)</f>
      </c>
      <c r="FV116">
        <f>IF(ISBLANK('Data Entry'!$ò$116), "", 'Data Entry'!$ò$116)</f>
      </c>
      <c r="FW116">
        <f>IF(ISBLANK('Data Entry'!$ó$116), "", 'Data Entry'!$ó$116)</f>
      </c>
      <c r="FX116">
        <f>IF(ISBLANK('Data Entry'!$ô$116), "", 'Data Entry'!$ô$116)</f>
      </c>
      <c r="FY116">
        <f>IF(ISBLANK('Data Entry'!$õ$116), "", 'Data Entry'!$õ$116)</f>
      </c>
      <c r="FZ116">
        <f>IF(ISBLANK('Data Entry'!$ö$116), "", 'Data Entry'!$ö$116)</f>
      </c>
      <c r="GA116">
        <f>IF(ISBLANK('Data Entry'!$÷$116), "", 'Data Entry'!$÷$116)</f>
      </c>
      <c r="GB116">
        <f>IF(ISBLANK('Data Entry'!$ø$116), "", 'Data Entry'!$ø$116)</f>
      </c>
      <c r="GC116">
        <f>IF(ISBLANK('Data Entry'!$ù$116), "", 'Data Entry'!$ù$116)</f>
      </c>
      <c r="GD116">
        <f>IF(ISBLANK('Data Entry'!$ú$116), "", 'Data Entry'!$ú$116)</f>
      </c>
      <c r="GE116">
        <f>IF(ISBLANK('Data Entry'!$û$116), "", 'Data Entry'!$û$116)</f>
      </c>
      <c r="GF116">
        <f>IF(ISBLANK('Data Entry'!$ü$116), "", 'Data Entry'!$ü$116)</f>
      </c>
      <c r="GG116">
        <f>IF(ISBLANK('Data Entry'!$ý$116), "", 'Data Entry'!$ý$116)</f>
      </c>
      <c r="GH116">
        <f>IF(ISBLANK('Data Entry'!$þ$116), "", 'Data Entry'!$þ$116)</f>
      </c>
      <c r="GI116">
        <f>IF(ISBLANK('Data Entry'!$ÿ$116), "", 'Data Entry'!$ÿ$116)</f>
      </c>
      <c r="GJ116">
        <f>IF(ISBLANK('Data Entry'!$Ā$116), "", 'Data Entry'!$Ā$116)</f>
      </c>
      <c r="GK116">
        <f>IF(ISBLANK('Data Entry'!$ā$116), "", 'Data Entry'!$ā$116)</f>
      </c>
      <c r="GL116">
        <f>IF(ISBLANK('Data Entry'!$Ă$116), "", 'Data Entry'!$Ă$116)</f>
      </c>
      <c r="GM116">
        <f>IF(ISBLANK('Data Entry'!$ă$116), "", 'Data Entry'!$ă$116)</f>
      </c>
      <c r="GN116">
        <f>IF(ISBLANK('Data Entry'!$Ą$116), "", 'Data Entry'!$Ą$116)</f>
      </c>
      <c r="GO116">
        <f>IF(ISBLANK('Data Entry'!$ą$116), "", 'Data Entry'!$ą$116)</f>
      </c>
      <c r="GP116">
        <f>IF(ISBLANK('Data Entry'!$Ć$116), "", 'Data Entry'!$Ć$116)</f>
      </c>
      <c r="GQ116">
        <f>IF(ISBLANK('Data Entry'!$ć$116), "", 'Data Entry'!$ć$116)</f>
      </c>
      <c r="GR116">
        <f>IF(ISBLANK('Data Entry'!$Ĉ$116), "", 'Data Entry'!$Ĉ$116)</f>
      </c>
      <c r="GS116">
        <f>IF(ISBLANK('Data Entry'!$ĉ$116), "", 'Data Entry'!$ĉ$116)</f>
      </c>
      <c r="GT116">
        <f>IF(ISBLANK('Data Entry'!$Ċ$116), "", 'Data Entry'!$Ċ$116)</f>
      </c>
      <c r="GU116">
        <f>IF(ISBLANK('Data Entry'!$ċ$116), "", 'Data Entry'!$ċ$116)</f>
      </c>
      <c r="GV116">
        <f>IF(ISBLANK('Data Entry'!$Č$116), "", 'Data Entry'!$Č$116)</f>
      </c>
      <c r="GW116">
        <f>IF(ISBLANK('Data Entry'!$č$116), "", 'Data Entry'!$č$116)</f>
      </c>
      <c r="GX116">
        <f>IF(ISBLANK('Data Entry'!$Ď$116), "", 'Data Entry'!$Ď$116)</f>
      </c>
      <c r="GY116">
        <f>IF(ISBLANK('Data Entry'!$ď$116), "", 'Data Entry'!$ď$116)</f>
      </c>
      <c r="GZ116">
        <f>IF(ISBLANK('Data Entry'!$Đ$116), "", 'Data Entry'!$Đ$116)</f>
      </c>
      <c r="HA116">
        <f>IF(ISBLANK('Data Entry'!$đ$116), "", 'Data Entry'!$đ$116)</f>
      </c>
      <c r="HB116">
        <f>IF(ISBLANK('Data Entry'!$Ē$116), "", 'Data Entry'!$Ē$116)</f>
      </c>
      <c r="HC116">
        <f>IF(ISBLANK('Data Entry'!$ē$116), "", 'Data Entry'!$ē$116)</f>
      </c>
      <c r="HD116">
        <f>IF(ISBLANK('Data Entry'!$Ĕ$116), "", 'Data Entry'!$Ĕ$116)</f>
      </c>
      <c r="HE116">
        <f>IF(ISBLANK('Data Entry'!$ĕ$116), "", 'Data Entry'!$ĕ$116)</f>
      </c>
      <c r="HF116">
        <f>IF(ISBLANK('Data Entry'!$Ė$116), "", 'Data Entry'!$Ė$116)</f>
      </c>
      <c r="HG116">
        <f>IF(ISBLANK('Data Entry'!$ė$116), "", 'Data Entry'!$ė$116)</f>
      </c>
      <c r="HH116">
        <f>IF(ISBLANK('Data Entry'!$Ę$116), "", 'Data Entry'!$Ę$116)</f>
      </c>
      <c r="HI116">
        <f>IF(ISBLANK('Data Entry'!$ę$116), "", 'Data Entry'!$ę$116)</f>
      </c>
      <c r="HJ116">
        <f>IF(ISBLANK('Data Entry'!$Ě$116), "", 'Data Entry'!$Ě$116)</f>
      </c>
      <c r="HK116">
        <f>IF(ISBLANK('Data Entry'!$ě$116), "", 'Data Entry'!$ě$116)</f>
      </c>
      <c r="HL116">
        <f>IF(ISBLANK('Data Entry'!$Ĝ$116), "", 'Data Entry'!$Ĝ$116)</f>
      </c>
      <c r="HM116">
        <f>IF(ISBLANK('Data Entry'!$ĝ$116), "", 'Data Entry'!$ĝ$116)</f>
      </c>
      <c r="HN116">
        <f>IF(ISBLANK('Data Entry'!$Ğ$116), "", 'Data Entry'!$Ğ$116)</f>
      </c>
      <c r="HO116">
        <f>IF(ISBLANK('Data Entry'!$ğ$116), "", 'Data Entry'!$ğ$116)</f>
      </c>
      <c r="HP116">
        <f>IF(ISBLANK('Data Entry'!$Ġ$116), "", 'Data Entry'!$Ġ$116)</f>
      </c>
      <c r="HQ116">
        <f>IF(ISBLANK('Data Entry'!$ġ$116), "", 'Data Entry'!$ġ$116)</f>
      </c>
      <c r="HR116">
        <f>IF(ISBLANK('Data Entry'!$Ģ$116), "", 'Data Entry'!$Ģ$116)</f>
      </c>
      <c r="HS116">
        <f>IF(ISBLANK('Data Entry'!$ģ$116), "", 'Data Entry'!$ģ$116)</f>
      </c>
      <c r="HT116">
        <f>IF(ISBLANK('Data Entry'!$Ĥ$116), "", 'Data Entry'!$Ĥ$116)</f>
      </c>
      <c r="HU116">
        <f>IF(ISBLANK('Data Entry'!$ĥ$116), "", 'Data Entry'!$ĥ$116)</f>
      </c>
      <c r="HV116">
        <f>IF(ISBLANK('Data Entry'!$Ħ$116), "", 'Data Entry'!$Ħ$116)</f>
      </c>
      <c r="HW116">
        <f>IF(ISBLANK('Data Entry'!$ħ$116), "", 'Data Entry'!$ħ$116)</f>
      </c>
      <c r="HX116">
        <f>IF(ISBLANK('Data Entry'!$Ĩ$116), "", 'Data Entry'!$Ĩ$116)</f>
      </c>
      <c r="HY116">
        <f>IF(ISBLANK('Data Entry'!$ĩ$116), "", 'Data Entry'!$ĩ$116)</f>
      </c>
      <c r="HZ116">
        <f>IF(ISBLANK('Data Entry'!$Ī$116), "", 'Data Entry'!$Ī$116)</f>
      </c>
      <c r="IA116">
        <f>IF(ISBLANK('Data Entry'!$ī$116), "", 'Data Entry'!$ī$116)</f>
      </c>
      <c r="IB116">
        <f>IF(ISBLANK('Data Entry'!$Ĭ$116), "", 'Data Entry'!$Ĭ$116)</f>
      </c>
      <c r="IC116">
        <f>IF(ISBLANK('Data Entry'!$ĭ$116), "", 'Data Entry'!$ĭ$116)</f>
      </c>
      <c r="ID116">
        <f>IF(ISBLANK('Data Entry'!$Į$116), "", 'Data Entry'!$Į$116)</f>
      </c>
      <c r="IE116">
        <f>IF(ISBLANK('Data Entry'!$į$116), "", 'Data Entry'!$į$116)</f>
      </c>
      <c r="IF116">
        <f>IF(ISBLANK('Data Entry'!$İ$116), "", 'Data Entry'!$İ$116)</f>
      </c>
      <c r="IG116">
        <f>IF(ISBLANK('Data Entry'!$ı$116), "", 'Data Entry'!$ı$116)</f>
      </c>
      <c r="IH116">
        <f>IF(ISBLANK('Data Entry'!$Ĳ$116), "", 'Data Entry'!$Ĳ$116)</f>
      </c>
      <c r="II116">
        <f>IF(ISBLANK('Data Entry'!$ĳ$116), "", 'Data Entry'!$ĳ$116)</f>
      </c>
      <c r="IJ116">
        <f>IF(ISBLANK('Data Entry'!$Ĵ$116), "", 'Data Entry'!$Ĵ$116)</f>
      </c>
      <c r="IK116">
        <f>IF(ISBLANK('Data Entry'!$ĵ$116), "", 'Data Entry'!$ĵ$116)</f>
      </c>
      <c r="IL116">
        <f>IF(ISBLANK('Data Entry'!$Ķ$116), "", 'Data Entry'!$Ķ$116)</f>
      </c>
      <c r="IM116">
        <f>IF(ISBLANK('Data Entry'!$ķ$116), "", 'Data Entry'!$ķ$116)</f>
      </c>
      <c r="IN116">
        <f>IF(ISBLANK('Data Entry'!$ĸ$116), "", 'Data Entry'!$ĸ$116)</f>
      </c>
      <c r="IO116">
        <f>IF(ISBLANK('Data Entry'!$Ĺ$116), "", 'Data Entry'!$Ĺ$116)</f>
      </c>
      <c r="IP116">
        <f>IF(ISBLANK('Data Entry'!$ĺ$116), "", 'Data Entry'!$ĺ$116)</f>
      </c>
      <c r="IQ116">
        <f>IF(ISBLANK('Data Entry'!$Ļ$116), "", 'Data Entry'!$Ļ$116)</f>
      </c>
      <c r="IR116">
        <f>IF(ISBLANK('Data Entry'!$ļ$116), "", 'Data Entry'!$ļ$116)</f>
      </c>
      <c r="IS116">
        <f>IF(ISBLANK('Data Entry'!$Ľ$116), "", 'Data Entry'!$Ľ$116)</f>
      </c>
      <c r="IT116">
        <f>IF(ISBLANK('Data Entry'!$ľ$116), "", 'Data Entry'!$ľ$116)</f>
      </c>
    </row>
    <row r="117" spans="1:254" x14ac:dyDescent="0.25">
      <c r="A117">
        <f>IF(ISBLANK('Data Entry'!$A$117), "", 'Data Entry'!$A$117)</f>
      </c>
      <c r="B117">
        <f>IF(ISBLANK('Data Entry'!$B$117), "", 'Data Entry'!$B$117)</f>
      </c>
      <c r="C117">
        <f>IF(ISBLANK('Data Entry'!$C$117), "", 'Data Entry'!$C$117)</f>
      </c>
      <c r="D117">
        <f>IF(ISBLANK('Data Entry'!$D$117), "", 'Data Entry'!$D$117)</f>
      </c>
      <c r="E117">
        <f>IF(ISBLANK('Data Entry'!$E$117), "", 'Data Entry'!$E$117)</f>
      </c>
      <c r="F117">
        <f>IF(ISBLANK('Data Entry'!$F$117), "", 'Data Entry'!$F$117)</f>
      </c>
      <c r="G117">
        <f>IF(ISBLANK('Data Entry'!$G$117), "", 'Data Entry'!$G$117)</f>
      </c>
      <c r="H117">
        <f>IF(ISBLANK('Data Entry'!$H$117), "", 'Data Entry'!$H$117)</f>
      </c>
      <c r="I117">
        <f>IF(ISBLANK('Data Entry'!$I$117), "", 'Data Entry'!$I$117)</f>
      </c>
      <c r="J117">
        <f>IF(ISBLANK('Data Entry'!$J$117), "", 'Data Entry'!$J$117)</f>
      </c>
      <c r="K117">
        <f>IF(ISBLANK('Data Entry'!$K$117), "", 'Data Entry'!$K$117)</f>
      </c>
      <c r="L117">
        <f>IF(ISBLANK('Data Entry'!$L$117), "", 'Data Entry'!$L$117)</f>
      </c>
      <c r="M117">
        <f>IF(ISBLANK('Data Entry'!$M$117), "", 'Data Entry'!$M$117)</f>
      </c>
      <c r="N117">
        <f>IF(ISBLANK('Data Entry'!$N$117), "", 'Data Entry'!$N$117)</f>
      </c>
      <c r="O117">
        <f>IF(ISBLANK('Data Entry'!$O$117), "", 'Data Entry'!$O$117)</f>
      </c>
      <c r="P117">
        <f>IF(ISBLANK('Data Entry'!$P$117), "", 'Data Entry'!$P$117)</f>
      </c>
      <c r="Q117">
        <f>IF(ISBLANK('Data Entry'!$Q$117), "", 'Data Entry'!$Q$117)</f>
      </c>
      <c r="R117">
        <f>IF(ISBLANK('Data Entry'!$R$117), "", 'Data Entry'!$R$117)</f>
      </c>
      <c r="S117">
        <f>IF(ISBLANK('Data Entry'!$S$117), "", 'Data Entry'!$S$117)</f>
      </c>
      <c r="T117">
        <f>IF(ISBLANK('Data Entry'!$T$117), "", 'Data Entry'!$T$117)</f>
      </c>
      <c r="U117">
        <f>IF(ISBLANK('Data Entry'!$U$117), "", 'Data Entry'!$U$117)</f>
      </c>
      <c r="V117">
        <f>IF(ISBLANK('Data Entry'!$V$117), "", 'Data Entry'!$V$117)</f>
      </c>
      <c r="W117">
        <f>IF(ISBLANK('Data Entry'!$W$117), "", 'Data Entry'!$W$117)</f>
      </c>
      <c r="X117">
        <f>IF(ISBLANK('Data Entry'!$X$117), "", 'Data Entry'!$X$117)</f>
      </c>
      <c r="Y117">
        <f>IF(ISBLANK('Data Entry'!$Y$117), "", 'Data Entry'!$Y$117)</f>
      </c>
      <c r="Z117">
        <f>IF(ISBLANK('Data Entry'!$Z$117), "", 'Data Entry'!$Z$117)</f>
      </c>
      <c r="AA117">
        <f>IF(ISBLANK('Data Entry'!$[$117), "", 'Data Entry'!$[$117)</f>
      </c>
      <c r="AB117">
        <f>IF(ISBLANK('Data Entry'!$\$117), "", 'Data Entry'!$\$117)</f>
      </c>
      <c r="AC117">
        <f>IF(ISBLANK('Data Entry'!$]$117), "", 'Data Entry'!$]$117)</f>
      </c>
      <c r="AD117">
        <f>IF(ISBLANK('Data Entry'!$^$117), "", 'Data Entry'!$^$117)</f>
      </c>
      <c r="AE117">
        <f>IF(ISBLANK('Data Entry'!$_$117), "", 'Data Entry'!$_$117)</f>
      </c>
      <c r="AF117">
        <f>IF(ISBLANK('Data Entry'!$`$117), "", 'Data Entry'!$`$117)</f>
      </c>
      <c r="AG117">
        <f>IF(ISBLANK('Data Entry'!$a$117), "", 'Data Entry'!$a$117)</f>
      </c>
      <c r="AH117">
        <f>IF(ISBLANK('Data Entry'!$b$117), "", 'Data Entry'!$b$117)</f>
      </c>
      <c r="AI117">
        <f>IF(ISBLANK('Data Entry'!$c$117), "", 'Data Entry'!$c$117)</f>
      </c>
      <c r="AJ117">
        <f>IF(ISBLANK('Data Entry'!$d$117), "", 'Data Entry'!$d$117)</f>
      </c>
      <c r="AK117">
        <f>IF(ISBLANK('Data Entry'!$e$117), "", 'Data Entry'!$e$117)</f>
      </c>
      <c r="AL117">
        <f>IF(ISBLANK('Data Entry'!$f$117), "", 'Data Entry'!$f$117)</f>
      </c>
      <c r="AM117">
        <f>IF(ISBLANK('Data Entry'!$g$117), "", 'Data Entry'!$g$117)</f>
      </c>
      <c r="AN117">
        <f>IF(ISBLANK('Data Entry'!$h$117), "", 'Data Entry'!$h$117)</f>
      </c>
      <c r="AO117">
        <f>IF(ISBLANK('Data Entry'!$i$117), "", 'Data Entry'!$i$117)</f>
      </c>
      <c r="AP117">
        <f>IF(ISBLANK('Data Entry'!$j$117), "", 'Data Entry'!$j$117)</f>
      </c>
      <c r="AQ117">
        <f>IF(ISBLANK('Data Entry'!$k$117), "", 'Data Entry'!$k$117)</f>
      </c>
      <c r="AR117">
        <f>IF(ISBLANK('Data Entry'!$l$117), "", 'Data Entry'!$l$117)</f>
      </c>
      <c r="AS117">
        <f>IF(ISBLANK('Data Entry'!$m$117), "", 'Data Entry'!$m$117)</f>
      </c>
      <c r="AT117">
        <f>IF(ISBLANK('Data Entry'!$n$117), "", 'Data Entry'!$n$117)</f>
      </c>
      <c r="AU117">
        <f>IF(ISBLANK('Data Entry'!$o$117), "", 'Data Entry'!$o$117)</f>
      </c>
      <c r="AV117">
        <f>IF(ISBLANK('Data Entry'!$p$117), "", 'Data Entry'!$p$117)</f>
      </c>
      <c r="AW117">
        <f>IF(ISBLANK('Data Entry'!$q$117), "", 'Data Entry'!$q$117)</f>
      </c>
      <c r="AX117">
        <f>IF(ISBLANK('Data Entry'!$r$117), "", 'Data Entry'!$r$117)</f>
      </c>
      <c r="AY117">
        <f>IF(ISBLANK('Data Entry'!$s$117), "", 'Data Entry'!$s$117)</f>
      </c>
      <c r="AZ117">
        <f>IF(ISBLANK('Data Entry'!$t$117), "", 'Data Entry'!$t$117)</f>
      </c>
      <c r="BA117">
        <f>IF(ISBLANK('Data Entry'!$u$117), "", 'Data Entry'!$u$117)</f>
      </c>
      <c r="BB117">
        <f>IF(ISBLANK('Data Entry'!$v$117), "", 'Data Entry'!$v$117)</f>
      </c>
      <c r="BC117">
        <f>IF(ISBLANK('Data Entry'!$w$117), "", 'Data Entry'!$w$117)</f>
      </c>
      <c r="BD117">
        <f>IF(ISBLANK('Data Entry'!$x$117), "", 'Data Entry'!$x$117)</f>
      </c>
      <c r="BE117">
        <f>IF(ISBLANK('Data Entry'!$y$117), "", 'Data Entry'!$y$117)</f>
      </c>
      <c r="BF117">
        <f>IF(ISBLANK('Data Entry'!$z$117), "", 'Data Entry'!$z$117)</f>
      </c>
      <c r="BG117">
        <f>IF(ISBLANK('Data Entry'!${$117), "", 'Data Entry'!${$117)</f>
      </c>
      <c r="BH117">
        <f>IF(ISBLANK('Data Entry'!$|$117), "", 'Data Entry'!$|$117)</f>
      </c>
      <c r="BI117">
        <f>IF(ISBLANK('Data Entry'!$}$117), "", 'Data Entry'!$}$117)</f>
      </c>
      <c r="BJ117">
        <f>IF(ISBLANK('Data Entry'!$~$117), "", 'Data Entry'!$~$117)</f>
      </c>
      <c r="BK117">
        <f>IF(ISBLANK('Data Entry'!$$117), "", 'Data Entry'!$$117)</f>
      </c>
      <c r="BL117">
        <f>IF(ISBLANK('Data Entry'!$$117), "", 'Data Entry'!$$117)</f>
      </c>
      <c r="BM117">
        <f>IF(ISBLANK('Data Entry'!$$117), "", 'Data Entry'!$$117)</f>
      </c>
      <c r="BN117">
        <f>IF(ISBLANK('Data Entry'!$$117), "", 'Data Entry'!$$117)</f>
      </c>
      <c r="BO117">
        <f>IF(ISBLANK('Data Entry'!$$117), "", 'Data Entry'!$$117)</f>
      </c>
      <c r="BP117">
        <f>IF(ISBLANK('Data Entry'!$$117), "", 'Data Entry'!$$117)</f>
      </c>
      <c r="BQ117">
        <f>IF(ISBLANK('Data Entry'!$$117), "", 'Data Entry'!$$117)</f>
      </c>
      <c r="BR117">
        <f>IF(ISBLANK('Data Entry'!$$117), "", 'Data Entry'!$$117)</f>
      </c>
      <c r="BS117">
        <f>IF(ISBLANK('Data Entry'!$$117), "", 'Data Entry'!$$117)</f>
      </c>
      <c r="BT117">
        <f>IF(ISBLANK('Data Entry'!$$117), "", 'Data Entry'!$$117)</f>
      </c>
      <c r="BU117">
        <f>IF(ISBLANK('Data Entry'!$$117), "", 'Data Entry'!$$117)</f>
      </c>
      <c r="BV117">
        <f>IF(ISBLANK('Data Entry'!$$117), "", 'Data Entry'!$$117)</f>
      </c>
      <c r="BW117">
        <f>IF(ISBLANK('Data Entry'!$$117), "", 'Data Entry'!$$117)</f>
      </c>
      <c r="BX117">
        <f>IF(ISBLANK('Data Entry'!$$117), "", 'Data Entry'!$$117)</f>
      </c>
      <c r="BY117">
        <f>IF(ISBLANK('Data Entry'!$$117), "", 'Data Entry'!$$117)</f>
      </c>
      <c r="BZ117">
        <f>IF(ISBLANK('Data Entry'!$$117), "", 'Data Entry'!$$117)</f>
      </c>
      <c r="CA117">
        <f>IF(ISBLANK('Data Entry'!$$117), "", 'Data Entry'!$$117)</f>
      </c>
      <c r="CB117">
        <f>IF(ISBLANK('Data Entry'!$$117), "", 'Data Entry'!$$117)</f>
      </c>
      <c r="CC117">
        <f>IF(ISBLANK('Data Entry'!$$117), "", 'Data Entry'!$$117)</f>
      </c>
      <c r="CD117">
        <f>IF(ISBLANK('Data Entry'!$$117), "", 'Data Entry'!$$117)</f>
      </c>
      <c r="CE117">
        <f>IF(ISBLANK('Data Entry'!$$117), "", 'Data Entry'!$$117)</f>
      </c>
      <c r="CF117">
        <f>IF(ISBLANK('Data Entry'!$$117), "", 'Data Entry'!$$117)</f>
      </c>
      <c r="CG117">
        <f>IF(ISBLANK('Data Entry'!$$117), "", 'Data Entry'!$$117)</f>
      </c>
      <c r="CH117">
        <f>IF(ISBLANK('Data Entry'!$$117), "", 'Data Entry'!$$117)</f>
      </c>
      <c r="CI117">
        <f>IF(ISBLANK('Data Entry'!$$117), "", 'Data Entry'!$$117)</f>
      </c>
      <c r="CJ117">
        <f>IF(ISBLANK('Data Entry'!$$117), "", 'Data Entry'!$$117)</f>
      </c>
      <c r="CK117">
        <f>IF(ISBLANK('Data Entry'!$$117), "", 'Data Entry'!$$117)</f>
      </c>
      <c r="CL117">
        <f>IF(ISBLANK('Data Entry'!$$117), "", 'Data Entry'!$$117)</f>
      </c>
      <c r="CM117">
        <f>IF(ISBLANK('Data Entry'!$$117), "", 'Data Entry'!$$117)</f>
      </c>
      <c r="CN117">
        <f>IF(ISBLANK('Data Entry'!$$117), "", 'Data Entry'!$$117)</f>
      </c>
      <c r="CO117">
        <f>IF(ISBLANK('Data Entry'!$$117), "", 'Data Entry'!$$117)</f>
      </c>
      <c r="CP117">
        <f>IF(ISBLANK('Data Entry'!$$117), "", 'Data Entry'!$$117)</f>
      </c>
      <c r="CQ117">
        <f>IF(ISBLANK('Data Entry'!$$117), "", 'Data Entry'!$$117)</f>
      </c>
      <c r="CR117">
        <f>IF(ISBLANK('Data Entry'!$ $117), "", 'Data Entry'!$ $117)</f>
      </c>
      <c r="CS117">
        <f>IF(ISBLANK('Data Entry'!$¡$117), "", 'Data Entry'!$¡$117)</f>
      </c>
      <c r="CT117">
        <f>IF(ISBLANK('Data Entry'!$¢$117), "", 'Data Entry'!$¢$117)</f>
      </c>
      <c r="CU117">
        <f>IF(ISBLANK('Data Entry'!$£$117), "", 'Data Entry'!$£$117)</f>
      </c>
      <c r="CV117">
        <f>IF(ISBLANK('Data Entry'!$¤$117), "", 'Data Entry'!$¤$117)</f>
      </c>
      <c r="CW117">
        <f>IF(ISBLANK('Data Entry'!$¥$117), "", 'Data Entry'!$¥$117)</f>
      </c>
      <c r="CX117">
        <f>IF(ISBLANK('Data Entry'!$¦$117), "", 'Data Entry'!$¦$117)</f>
      </c>
      <c r="CY117">
        <f>IF(ISBLANK('Data Entry'!$§$117), "", 'Data Entry'!$§$117)</f>
      </c>
      <c r="CZ117">
        <f>IF(ISBLANK('Data Entry'!$¨$117), "", 'Data Entry'!$¨$117)</f>
      </c>
      <c r="DA117">
        <f>IF(ISBLANK('Data Entry'!$©$117), "", 'Data Entry'!$©$117)</f>
      </c>
      <c r="DB117">
        <f>IF(ISBLANK('Data Entry'!$ª$117), "", 'Data Entry'!$ª$117)</f>
      </c>
      <c r="DC117">
        <f>IF(ISBLANK('Data Entry'!$«$117), "", 'Data Entry'!$«$117)</f>
      </c>
      <c r="DD117">
        <f>IF(ISBLANK('Data Entry'!$¬$117), "", 'Data Entry'!$¬$117)</f>
      </c>
      <c r="DE117">
        <f>IF(ISBLANK('Data Entry'!$­$117), "", 'Data Entry'!$­$117)</f>
      </c>
      <c r="DF117">
        <f>IF(ISBLANK('Data Entry'!$®$117), "", 'Data Entry'!$®$117)</f>
      </c>
      <c r="DG117">
        <f>IF(ISBLANK('Data Entry'!$¯$117), "", 'Data Entry'!$¯$117)</f>
      </c>
      <c r="DH117">
        <f>IF(ISBLANK('Data Entry'!$°$117), "", 'Data Entry'!$°$117)</f>
      </c>
      <c r="DI117">
        <f>IF(ISBLANK('Data Entry'!$±$117), "", 'Data Entry'!$±$117)</f>
      </c>
      <c r="DJ117">
        <f>IF(ISBLANK('Data Entry'!$²$117), "", 'Data Entry'!$²$117)</f>
      </c>
      <c r="DK117">
        <f>IF(ISBLANK('Data Entry'!$³$117), "", 'Data Entry'!$³$117)</f>
      </c>
      <c r="DL117">
        <f>IF(ISBLANK('Data Entry'!$´$117), "", 'Data Entry'!$´$117)</f>
      </c>
      <c r="DM117">
        <f>IF(ISBLANK('Data Entry'!$µ$117), "", 'Data Entry'!$µ$117)</f>
      </c>
      <c r="DN117">
        <f>IF(ISBLANK('Data Entry'!$¶$117), "", 'Data Entry'!$¶$117)</f>
      </c>
      <c r="DO117">
        <f>IF(ISBLANK('Data Entry'!$·$117), "", 'Data Entry'!$·$117)</f>
      </c>
      <c r="DP117">
        <f>IF(ISBLANK('Data Entry'!$¸$117), "", 'Data Entry'!$¸$117)</f>
      </c>
      <c r="DQ117">
        <f>IF(ISBLANK('Data Entry'!$¹$117), "", 'Data Entry'!$¹$117)</f>
      </c>
      <c r="DR117">
        <f>IF(ISBLANK('Data Entry'!$º$117), "", 'Data Entry'!$º$117)</f>
      </c>
      <c r="DS117">
        <f>IF(ISBLANK('Data Entry'!$»$117), "", 'Data Entry'!$»$117)</f>
      </c>
      <c r="DT117">
        <f>IF(ISBLANK('Data Entry'!$¼$117), "", 'Data Entry'!$¼$117)</f>
      </c>
      <c r="DU117">
        <f>IF(ISBLANK('Data Entry'!$½$117), "", 'Data Entry'!$½$117)</f>
      </c>
      <c r="DV117">
        <f>IF(ISBLANK('Data Entry'!$¾$117), "", 'Data Entry'!$¾$117)</f>
      </c>
      <c r="DW117">
        <f>IF(ISBLANK('Data Entry'!$¿$117), "", 'Data Entry'!$¿$117)</f>
      </c>
      <c r="DX117">
        <f>IF(ISBLANK('Data Entry'!$À$117), "", 'Data Entry'!$À$117)</f>
      </c>
      <c r="DY117">
        <f>IF(ISBLANK('Data Entry'!$Á$117), "", 'Data Entry'!$Á$117)</f>
      </c>
      <c r="DZ117">
        <f>IF(ISBLANK('Data Entry'!$Â$117), "", 'Data Entry'!$Â$117)</f>
      </c>
      <c r="EA117">
        <f>IF(ISBLANK('Data Entry'!$Ã$117), "", 'Data Entry'!$Ã$117)</f>
      </c>
      <c r="EB117">
        <f>IF(ISBLANK('Data Entry'!$Ä$117), "", 'Data Entry'!$Ä$117)</f>
      </c>
      <c r="EC117">
        <f>IF(ISBLANK('Data Entry'!$Å$117), "", 'Data Entry'!$Å$117)</f>
      </c>
      <c r="ED117">
        <f>IF(ISBLANK('Data Entry'!$Æ$117), "", 'Data Entry'!$Æ$117)</f>
      </c>
      <c r="EE117">
        <f>IF(ISBLANK('Data Entry'!$Ç$117), "", 'Data Entry'!$Ç$117)</f>
      </c>
      <c r="EF117">
        <f>IF(ISBLANK('Data Entry'!$È$117), "", 'Data Entry'!$È$117)</f>
      </c>
      <c r="EG117">
        <f>IF(ISBLANK('Data Entry'!$É$117), "", 'Data Entry'!$É$117)</f>
      </c>
      <c r="EH117">
        <f>IF(ISBLANK('Data Entry'!$Ê$117), "", 'Data Entry'!$Ê$117)</f>
      </c>
      <c r="EI117">
        <f>IF(ISBLANK('Data Entry'!$Ë$117), "", 'Data Entry'!$Ë$117)</f>
      </c>
      <c r="EJ117">
        <f>IF(ISBLANK('Data Entry'!$Ì$117), "", 'Data Entry'!$Ì$117)</f>
      </c>
      <c r="EK117">
        <f>IF(ISBLANK('Data Entry'!$Í$117), "", 'Data Entry'!$Í$117)</f>
      </c>
      <c r="EL117">
        <f>IF(ISBLANK('Data Entry'!$Î$117), "", 'Data Entry'!$Î$117)</f>
      </c>
      <c r="EM117">
        <f>IF(ISBLANK('Data Entry'!$Ï$117), "", 'Data Entry'!$Ï$117)</f>
      </c>
      <c r="EN117">
        <f>IF(ISBLANK('Data Entry'!$Ð$117), "", 'Data Entry'!$Ð$117)</f>
      </c>
      <c r="EO117">
        <f>IF(ISBLANK('Data Entry'!$Ñ$117), "", 'Data Entry'!$Ñ$117)</f>
      </c>
      <c r="EP117">
        <f>IF(ISBLANK('Data Entry'!$Ò$117), "", 'Data Entry'!$Ò$117)</f>
      </c>
      <c r="EQ117">
        <f>IF(ISBLANK('Data Entry'!$Ó$117), "", 'Data Entry'!$Ó$117)</f>
      </c>
      <c r="ER117">
        <f>IF(ISBLANK('Data Entry'!$Ô$117), "", 'Data Entry'!$Ô$117)</f>
      </c>
      <c r="ES117">
        <f>IF(ISBLANK('Data Entry'!$Õ$117), "", 'Data Entry'!$Õ$117)</f>
      </c>
      <c r="ET117">
        <f>IF(ISBLANK('Data Entry'!$Ö$117), "", 'Data Entry'!$Ö$117)</f>
      </c>
      <c r="EU117">
        <f>IF(ISBLANK('Data Entry'!$×$117), "", 'Data Entry'!$×$117)</f>
      </c>
      <c r="EV117">
        <f>IF(ISBLANK('Data Entry'!$Ø$117), "", 'Data Entry'!$Ø$117)</f>
      </c>
      <c r="EW117">
        <f>IF(ISBLANK('Data Entry'!$Ù$117), "", 'Data Entry'!$Ù$117)</f>
      </c>
      <c r="EX117">
        <f>IF(ISBLANK('Data Entry'!$Ú$117), "", 'Data Entry'!$Ú$117)</f>
      </c>
      <c r="EY117">
        <f>IF(ISBLANK('Data Entry'!$Û$117), "", 'Data Entry'!$Û$117)</f>
      </c>
      <c r="EZ117">
        <f>IF(ISBLANK('Data Entry'!$Ü$117), "", 'Data Entry'!$Ü$117)</f>
      </c>
      <c r="FA117">
        <f>IF(ISBLANK('Data Entry'!$Ý$117), "", 'Data Entry'!$Ý$117)</f>
      </c>
      <c r="FB117">
        <f>IF(ISBLANK('Data Entry'!$Þ$117), "", 'Data Entry'!$Þ$117)</f>
      </c>
      <c r="FC117">
        <f>IF(ISBLANK('Data Entry'!$ß$117), "", 'Data Entry'!$ß$117)</f>
      </c>
      <c r="FD117">
        <f>IF(ISBLANK('Data Entry'!$à$117), "", 'Data Entry'!$à$117)</f>
      </c>
      <c r="FE117">
        <f>IF(ISBLANK('Data Entry'!$á$117), "", 'Data Entry'!$á$117)</f>
      </c>
      <c r="FF117">
        <f>IF(ISBLANK('Data Entry'!$â$117), "", 'Data Entry'!$â$117)</f>
      </c>
      <c r="FG117">
        <f>IF(ISBLANK('Data Entry'!$ã$117), "", 'Data Entry'!$ã$117)</f>
      </c>
      <c r="FH117">
        <f>IF(ISBLANK('Data Entry'!$ä$117), "", 'Data Entry'!$ä$117)</f>
      </c>
      <c r="FI117">
        <f>IF(ISBLANK('Data Entry'!$å$117), "", 'Data Entry'!$å$117)</f>
      </c>
      <c r="FJ117">
        <f>IF(ISBLANK('Data Entry'!$æ$117), "", 'Data Entry'!$æ$117)</f>
      </c>
      <c r="FK117">
        <f>IF(ISBLANK('Data Entry'!$ç$117), "", 'Data Entry'!$ç$117)</f>
      </c>
      <c r="FL117">
        <f>IF(ISBLANK('Data Entry'!$è$117), "", 'Data Entry'!$è$117)</f>
      </c>
      <c r="FM117">
        <f>IF(ISBLANK('Data Entry'!$é$117), "", 'Data Entry'!$é$117)</f>
      </c>
      <c r="FN117">
        <f>IF(ISBLANK('Data Entry'!$ê$117), "", 'Data Entry'!$ê$117)</f>
      </c>
      <c r="FO117">
        <f>IF(ISBLANK('Data Entry'!$ë$117), "", 'Data Entry'!$ë$117)</f>
      </c>
      <c r="FP117">
        <f>IF(ISBLANK('Data Entry'!$ì$117), "", 'Data Entry'!$ì$117)</f>
      </c>
      <c r="FQ117">
        <f>IF(ISBLANK('Data Entry'!$í$117), "", 'Data Entry'!$í$117)</f>
      </c>
      <c r="FR117">
        <f>IF(ISBLANK('Data Entry'!$î$117), "", 'Data Entry'!$î$117)</f>
      </c>
      <c r="FS117">
        <f>IF(ISBLANK('Data Entry'!$ï$117), "", 'Data Entry'!$ï$117)</f>
      </c>
      <c r="FT117">
        <f>IF(ISBLANK('Data Entry'!$ð$117), "", 'Data Entry'!$ð$117)</f>
      </c>
      <c r="FU117">
        <f>IF(ISBLANK('Data Entry'!$ñ$117), "", 'Data Entry'!$ñ$117)</f>
      </c>
      <c r="FV117">
        <f>IF(ISBLANK('Data Entry'!$ò$117), "", 'Data Entry'!$ò$117)</f>
      </c>
      <c r="FW117">
        <f>IF(ISBLANK('Data Entry'!$ó$117), "", 'Data Entry'!$ó$117)</f>
      </c>
      <c r="FX117">
        <f>IF(ISBLANK('Data Entry'!$ô$117), "", 'Data Entry'!$ô$117)</f>
      </c>
      <c r="FY117">
        <f>IF(ISBLANK('Data Entry'!$õ$117), "", 'Data Entry'!$õ$117)</f>
      </c>
      <c r="FZ117">
        <f>IF(ISBLANK('Data Entry'!$ö$117), "", 'Data Entry'!$ö$117)</f>
      </c>
      <c r="GA117">
        <f>IF(ISBLANK('Data Entry'!$÷$117), "", 'Data Entry'!$÷$117)</f>
      </c>
      <c r="GB117">
        <f>IF(ISBLANK('Data Entry'!$ø$117), "", 'Data Entry'!$ø$117)</f>
      </c>
      <c r="GC117">
        <f>IF(ISBLANK('Data Entry'!$ù$117), "", 'Data Entry'!$ù$117)</f>
      </c>
      <c r="GD117">
        <f>IF(ISBLANK('Data Entry'!$ú$117), "", 'Data Entry'!$ú$117)</f>
      </c>
      <c r="GE117">
        <f>IF(ISBLANK('Data Entry'!$û$117), "", 'Data Entry'!$û$117)</f>
      </c>
      <c r="GF117">
        <f>IF(ISBLANK('Data Entry'!$ü$117), "", 'Data Entry'!$ü$117)</f>
      </c>
      <c r="GG117">
        <f>IF(ISBLANK('Data Entry'!$ý$117), "", 'Data Entry'!$ý$117)</f>
      </c>
      <c r="GH117">
        <f>IF(ISBLANK('Data Entry'!$þ$117), "", 'Data Entry'!$þ$117)</f>
      </c>
      <c r="GI117">
        <f>IF(ISBLANK('Data Entry'!$ÿ$117), "", 'Data Entry'!$ÿ$117)</f>
      </c>
      <c r="GJ117">
        <f>IF(ISBLANK('Data Entry'!$Ā$117), "", 'Data Entry'!$Ā$117)</f>
      </c>
      <c r="GK117">
        <f>IF(ISBLANK('Data Entry'!$ā$117), "", 'Data Entry'!$ā$117)</f>
      </c>
      <c r="GL117">
        <f>IF(ISBLANK('Data Entry'!$Ă$117), "", 'Data Entry'!$Ă$117)</f>
      </c>
      <c r="GM117">
        <f>IF(ISBLANK('Data Entry'!$ă$117), "", 'Data Entry'!$ă$117)</f>
      </c>
      <c r="GN117">
        <f>IF(ISBLANK('Data Entry'!$Ą$117), "", 'Data Entry'!$Ą$117)</f>
      </c>
      <c r="GO117">
        <f>IF(ISBLANK('Data Entry'!$ą$117), "", 'Data Entry'!$ą$117)</f>
      </c>
      <c r="GP117">
        <f>IF(ISBLANK('Data Entry'!$Ć$117), "", 'Data Entry'!$Ć$117)</f>
      </c>
      <c r="GQ117">
        <f>IF(ISBLANK('Data Entry'!$ć$117), "", 'Data Entry'!$ć$117)</f>
      </c>
      <c r="GR117">
        <f>IF(ISBLANK('Data Entry'!$Ĉ$117), "", 'Data Entry'!$Ĉ$117)</f>
      </c>
      <c r="GS117">
        <f>IF(ISBLANK('Data Entry'!$ĉ$117), "", 'Data Entry'!$ĉ$117)</f>
      </c>
      <c r="GT117">
        <f>IF(ISBLANK('Data Entry'!$Ċ$117), "", 'Data Entry'!$Ċ$117)</f>
      </c>
      <c r="GU117">
        <f>IF(ISBLANK('Data Entry'!$ċ$117), "", 'Data Entry'!$ċ$117)</f>
      </c>
      <c r="GV117">
        <f>IF(ISBLANK('Data Entry'!$Č$117), "", 'Data Entry'!$Č$117)</f>
      </c>
      <c r="GW117">
        <f>IF(ISBLANK('Data Entry'!$č$117), "", 'Data Entry'!$č$117)</f>
      </c>
      <c r="GX117">
        <f>IF(ISBLANK('Data Entry'!$Ď$117), "", 'Data Entry'!$Ď$117)</f>
      </c>
      <c r="GY117">
        <f>IF(ISBLANK('Data Entry'!$ď$117), "", 'Data Entry'!$ď$117)</f>
      </c>
      <c r="GZ117">
        <f>IF(ISBLANK('Data Entry'!$Đ$117), "", 'Data Entry'!$Đ$117)</f>
      </c>
      <c r="HA117">
        <f>IF(ISBLANK('Data Entry'!$đ$117), "", 'Data Entry'!$đ$117)</f>
      </c>
      <c r="HB117">
        <f>IF(ISBLANK('Data Entry'!$Ē$117), "", 'Data Entry'!$Ē$117)</f>
      </c>
      <c r="HC117">
        <f>IF(ISBLANK('Data Entry'!$ē$117), "", 'Data Entry'!$ē$117)</f>
      </c>
      <c r="HD117">
        <f>IF(ISBLANK('Data Entry'!$Ĕ$117), "", 'Data Entry'!$Ĕ$117)</f>
      </c>
      <c r="HE117">
        <f>IF(ISBLANK('Data Entry'!$ĕ$117), "", 'Data Entry'!$ĕ$117)</f>
      </c>
      <c r="HF117">
        <f>IF(ISBLANK('Data Entry'!$Ė$117), "", 'Data Entry'!$Ė$117)</f>
      </c>
      <c r="HG117">
        <f>IF(ISBLANK('Data Entry'!$ė$117), "", 'Data Entry'!$ė$117)</f>
      </c>
      <c r="HH117">
        <f>IF(ISBLANK('Data Entry'!$Ę$117), "", 'Data Entry'!$Ę$117)</f>
      </c>
      <c r="HI117">
        <f>IF(ISBLANK('Data Entry'!$ę$117), "", 'Data Entry'!$ę$117)</f>
      </c>
      <c r="HJ117">
        <f>IF(ISBLANK('Data Entry'!$Ě$117), "", 'Data Entry'!$Ě$117)</f>
      </c>
      <c r="HK117">
        <f>IF(ISBLANK('Data Entry'!$ě$117), "", 'Data Entry'!$ě$117)</f>
      </c>
      <c r="HL117">
        <f>IF(ISBLANK('Data Entry'!$Ĝ$117), "", 'Data Entry'!$Ĝ$117)</f>
      </c>
      <c r="HM117">
        <f>IF(ISBLANK('Data Entry'!$ĝ$117), "", 'Data Entry'!$ĝ$117)</f>
      </c>
      <c r="HN117">
        <f>IF(ISBLANK('Data Entry'!$Ğ$117), "", 'Data Entry'!$Ğ$117)</f>
      </c>
      <c r="HO117">
        <f>IF(ISBLANK('Data Entry'!$ğ$117), "", 'Data Entry'!$ğ$117)</f>
      </c>
      <c r="HP117">
        <f>IF(ISBLANK('Data Entry'!$Ġ$117), "", 'Data Entry'!$Ġ$117)</f>
      </c>
      <c r="HQ117">
        <f>IF(ISBLANK('Data Entry'!$ġ$117), "", 'Data Entry'!$ġ$117)</f>
      </c>
      <c r="HR117">
        <f>IF(ISBLANK('Data Entry'!$Ģ$117), "", 'Data Entry'!$Ģ$117)</f>
      </c>
      <c r="HS117">
        <f>IF(ISBLANK('Data Entry'!$ģ$117), "", 'Data Entry'!$ģ$117)</f>
      </c>
      <c r="HT117">
        <f>IF(ISBLANK('Data Entry'!$Ĥ$117), "", 'Data Entry'!$Ĥ$117)</f>
      </c>
      <c r="HU117">
        <f>IF(ISBLANK('Data Entry'!$ĥ$117), "", 'Data Entry'!$ĥ$117)</f>
      </c>
      <c r="HV117">
        <f>IF(ISBLANK('Data Entry'!$Ħ$117), "", 'Data Entry'!$Ħ$117)</f>
      </c>
      <c r="HW117">
        <f>IF(ISBLANK('Data Entry'!$ħ$117), "", 'Data Entry'!$ħ$117)</f>
      </c>
      <c r="HX117">
        <f>IF(ISBLANK('Data Entry'!$Ĩ$117), "", 'Data Entry'!$Ĩ$117)</f>
      </c>
      <c r="HY117">
        <f>IF(ISBLANK('Data Entry'!$ĩ$117), "", 'Data Entry'!$ĩ$117)</f>
      </c>
      <c r="HZ117">
        <f>IF(ISBLANK('Data Entry'!$Ī$117), "", 'Data Entry'!$Ī$117)</f>
      </c>
      <c r="IA117">
        <f>IF(ISBLANK('Data Entry'!$ī$117), "", 'Data Entry'!$ī$117)</f>
      </c>
      <c r="IB117">
        <f>IF(ISBLANK('Data Entry'!$Ĭ$117), "", 'Data Entry'!$Ĭ$117)</f>
      </c>
      <c r="IC117">
        <f>IF(ISBLANK('Data Entry'!$ĭ$117), "", 'Data Entry'!$ĭ$117)</f>
      </c>
      <c r="ID117">
        <f>IF(ISBLANK('Data Entry'!$Į$117), "", 'Data Entry'!$Į$117)</f>
      </c>
      <c r="IE117">
        <f>IF(ISBLANK('Data Entry'!$į$117), "", 'Data Entry'!$į$117)</f>
      </c>
      <c r="IF117">
        <f>IF(ISBLANK('Data Entry'!$İ$117), "", 'Data Entry'!$İ$117)</f>
      </c>
      <c r="IG117">
        <f>IF(ISBLANK('Data Entry'!$ı$117), "", 'Data Entry'!$ı$117)</f>
      </c>
      <c r="IH117">
        <f>IF(ISBLANK('Data Entry'!$Ĳ$117), "", 'Data Entry'!$Ĳ$117)</f>
      </c>
      <c r="II117">
        <f>IF(ISBLANK('Data Entry'!$ĳ$117), "", 'Data Entry'!$ĳ$117)</f>
      </c>
      <c r="IJ117">
        <f>IF(ISBLANK('Data Entry'!$Ĵ$117), "", 'Data Entry'!$Ĵ$117)</f>
      </c>
      <c r="IK117">
        <f>IF(ISBLANK('Data Entry'!$ĵ$117), "", 'Data Entry'!$ĵ$117)</f>
      </c>
      <c r="IL117">
        <f>IF(ISBLANK('Data Entry'!$Ķ$117), "", 'Data Entry'!$Ķ$117)</f>
      </c>
      <c r="IM117">
        <f>IF(ISBLANK('Data Entry'!$ķ$117), "", 'Data Entry'!$ķ$117)</f>
      </c>
      <c r="IN117">
        <f>IF(ISBLANK('Data Entry'!$ĸ$117), "", 'Data Entry'!$ĸ$117)</f>
      </c>
      <c r="IO117">
        <f>IF(ISBLANK('Data Entry'!$Ĺ$117), "", 'Data Entry'!$Ĺ$117)</f>
      </c>
      <c r="IP117">
        <f>IF(ISBLANK('Data Entry'!$ĺ$117), "", 'Data Entry'!$ĺ$117)</f>
      </c>
      <c r="IQ117">
        <f>IF(ISBLANK('Data Entry'!$Ļ$117), "", 'Data Entry'!$Ļ$117)</f>
      </c>
      <c r="IR117">
        <f>IF(ISBLANK('Data Entry'!$ļ$117), "", 'Data Entry'!$ļ$117)</f>
      </c>
      <c r="IS117">
        <f>IF(ISBLANK('Data Entry'!$Ľ$117), "", 'Data Entry'!$Ľ$117)</f>
      </c>
      <c r="IT117">
        <f>IF(ISBLANK('Data Entry'!$ľ$117), "", 'Data Entry'!$ľ$117)</f>
      </c>
    </row>
    <row r="118" spans="1:254" x14ac:dyDescent="0.25">
      <c r="A118">
        <f>IF(ISBLANK('Data Entry'!$A$118), "", 'Data Entry'!$A$118)</f>
      </c>
      <c r="B118">
        <f>IF(ISBLANK('Data Entry'!$B$118), "", 'Data Entry'!$B$118)</f>
      </c>
      <c r="C118">
        <f>IF(ISBLANK('Data Entry'!$C$118), "", 'Data Entry'!$C$118)</f>
      </c>
      <c r="D118">
        <f>IF(ISBLANK('Data Entry'!$D$118), "", 'Data Entry'!$D$118)</f>
      </c>
      <c r="E118">
        <f>IF(ISBLANK('Data Entry'!$E$118), "", 'Data Entry'!$E$118)</f>
      </c>
      <c r="F118">
        <f>IF(ISBLANK('Data Entry'!$F$118), "", 'Data Entry'!$F$118)</f>
      </c>
      <c r="G118">
        <f>IF(ISBLANK('Data Entry'!$G$118), "", 'Data Entry'!$G$118)</f>
      </c>
      <c r="H118">
        <f>IF(ISBLANK('Data Entry'!$H$118), "", 'Data Entry'!$H$118)</f>
      </c>
      <c r="I118">
        <f>IF(ISBLANK('Data Entry'!$I$118), "", 'Data Entry'!$I$118)</f>
      </c>
      <c r="J118">
        <f>IF(ISBLANK('Data Entry'!$J$118), "", 'Data Entry'!$J$118)</f>
      </c>
      <c r="K118">
        <f>IF(ISBLANK('Data Entry'!$K$118), "", 'Data Entry'!$K$118)</f>
      </c>
      <c r="L118">
        <f>IF(ISBLANK('Data Entry'!$L$118), "", 'Data Entry'!$L$118)</f>
      </c>
      <c r="M118">
        <f>IF(ISBLANK('Data Entry'!$M$118), "", 'Data Entry'!$M$118)</f>
      </c>
      <c r="N118">
        <f>IF(ISBLANK('Data Entry'!$N$118), "", 'Data Entry'!$N$118)</f>
      </c>
      <c r="O118">
        <f>IF(ISBLANK('Data Entry'!$O$118), "", 'Data Entry'!$O$118)</f>
      </c>
      <c r="P118">
        <f>IF(ISBLANK('Data Entry'!$P$118), "", 'Data Entry'!$P$118)</f>
      </c>
      <c r="Q118">
        <f>IF(ISBLANK('Data Entry'!$Q$118), "", 'Data Entry'!$Q$118)</f>
      </c>
      <c r="R118">
        <f>IF(ISBLANK('Data Entry'!$R$118), "", 'Data Entry'!$R$118)</f>
      </c>
      <c r="S118">
        <f>IF(ISBLANK('Data Entry'!$S$118), "", 'Data Entry'!$S$118)</f>
      </c>
      <c r="T118">
        <f>IF(ISBLANK('Data Entry'!$T$118), "", 'Data Entry'!$T$118)</f>
      </c>
      <c r="U118">
        <f>IF(ISBLANK('Data Entry'!$U$118), "", 'Data Entry'!$U$118)</f>
      </c>
      <c r="V118">
        <f>IF(ISBLANK('Data Entry'!$V$118), "", 'Data Entry'!$V$118)</f>
      </c>
      <c r="W118">
        <f>IF(ISBLANK('Data Entry'!$W$118), "", 'Data Entry'!$W$118)</f>
      </c>
      <c r="X118">
        <f>IF(ISBLANK('Data Entry'!$X$118), "", 'Data Entry'!$X$118)</f>
      </c>
      <c r="Y118">
        <f>IF(ISBLANK('Data Entry'!$Y$118), "", 'Data Entry'!$Y$118)</f>
      </c>
      <c r="Z118">
        <f>IF(ISBLANK('Data Entry'!$Z$118), "", 'Data Entry'!$Z$118)</f>
      </c>
      <c r="AA118">
        <f>IF(ISBLANK('Data Entry'!$[$118), "", 'Data Entry'!$[$118)</f>
      </c>
      <c r="AB118">
        <f>IF(ISBLANK('Data Entry'!$\$118), "", 'Data Entry'!$\$118)</f>
      </c>
      <c r="AC118">
        <f>IF(ISBLANK('Data Entry'!$]$118), "", 'Data Entry'!$]$118)</f>
      </c>
      <c r="AD118">
        <f>IF(ISBLANK('Data Entry'!$^$118), "", 'Data Entry'!$^$118)</f>
      </c>
      <c r="AE118">
        <f>IF(ISBLANK('Data Entry'!$_$118), "", 'Data Entry'!$_$118)</f>
      </c>
      <c r="AF118">
        <f>IF(ISBLANK('Data Entry'!$`$118), "", 'Data Entry'!$`$118)</f>
      </c>
      <c r="AG118">
        <f>IF(ISBLANK('Data Entry'!$a$118), "", 'Data Entry'!$a$118)</f>
      </c>
      <c r="AH118">
        <f>IF(ISBLANK('Data Entry'!$b$118), "", 'Data Entry'!$b$118)</f>
      </c>
      <c r="AI118">
        <f>IF(ISBLANK('Data Entry'!$c$118), "", 'Data Entry'!$c$118)</f>
      </c>
      <c r="AJ118">
        <f>IF(ISBLANK('Data Entry'!$d$118), "", 'Data Entry'!$d$118)</f>
      </c>
      <c r="AK118">
        <f>IF(ISBLANK('Data Entry'!$e$118), "", 'Data Entry'!$e$118)</f>
      </c>
      <c r="AL118">
        <f>IF(ISBLANK('Data Entry'!$f$118), "", 'Data Entry'!$f$118)</f>
      </c>
      <c r="AM118">
        <f>IF(ISBLANK('Data Entry'!$g$118), "", 'Data Entry'!$g$118)</f>
      </c>
      <c r="AN118">
        <f>IF(ISBLANK('Data Entry'!$h$118), "", 'Data Entry'!$h$118)</f>
      </c>
      <c r="AO118">
        <f>IF(ISBLANK('Data Entry'!$i$118), "", 'Data Entry'!$i$118)</f>
      </c>
      <c r="AP118">
        <f>IF(ISBLANK('Data Entry'!$j$118), "", 'Data Entry'!$j$118)</f>
      </c>
      <c r="AQ118">
        <f>IF(ISBLANK('Data Entry'!$k$118), "", 'Data Entry'!$k$118)</f>
      </c>
      <c r="AR118">
        <f>IF(ISBLANK('Data Entry'!$l$118), "", 'Data Entry'!$l$118)</f>
      </c>
      <c r="AS118">
        <f>IF(ISBLANK('Data Entry'!$m$118), "", 'Data Entry'!$m$118)</f>
      </c>
      <c r="AT118">
        <f>IF(ISBLANK('Data Entry'!$n$118), "", 'Data Entry'!$n$118)</f>
      </c>
      <c r="AU118">
        <f>IF(ISBLANK('Data Entry'!$o$118), "", 'Data Entry'!$o$118)</f>
      </c>
      <c r="AV118">
        <f>IF(ISBLANK('Data Entry'!$p$118), "", 'Data Entry'!$p$118)</f>
      </c>
      <c r="AW118">
        <f>IF(ISBLANK('Data Entry'!$q$118), "", 'Data Entry'!$q$118)</f>
      </c>
      <c r="AX118">
        <f>IF(ISBLANK('Data Entry'!$r$118), "", 'Data Entry'!$r$118)</f>
      </c>
      <c r="AY118">
        <f>IF(ISBLANK('Data Entry'!$s$118), "", 'Data Entry'!$s$118)</f>
      </c>
      <c r="AZ118">
        <f>IF(ISBLANK('Data Entry'!$t$118), "", 'Data Entry'!$t$118)</f>
      </c>
      <c r="BA118">
        <f>IF(ISBLANK('Data Entry'!$u$118), "", 'Data Entry'!$u$118)</f>
      </c>
      <c r="BB118">
        <f>IF(ISBLANK('Data Entry'!$v$118), "", 'Data Entry'!$v$118)</f>
      </c>
      <c r="BC118">
        <f>IF(ISBLANK('Data Entry'!$w$118), "", 'Data Entry'!$w$118)</f>
      </c>
      <c r="BD118">
        <f>IF(ISBLANK('Data Entry'!$x$118), "", 'Data Entry'!$x$118)</f>
      </c>
      <c r="BE118">
        <f>IF(ISBLANK('Data Entry'!$y$118), "", 'Data Entry'!$y$118)</f>
      </c>
      <c r="BF118">
        <f>IF(ISBLANK('Data Entry'!$z$118), "", 'Data Entry'!$z$118)</f>
      </c>
      <c r="BG118">
        <f>IF(ISBLANK('Data Entry'!${$118), "", 'Data Entry'!${$118)</f>
      </c>
      <c r="BH118">
        <f>IF(ISBLANK('Data Entry'!$|$118), "", 'Data Entry'!$|$118)</f>
      </c>
      <c r="BI118">
        <f>IF(ISBLANK('Data Entry'!$}$118), "", 'Data Entry'!$}$118)</f>
      </c>
      <c r="BJ118">
        <f>IF(ISBLANK('Data Entry'!$~$118), "", 'Data Entry'!$~$118)</f>
      </c>
      <c r="BK118">
        <f>IF(ISBLANK('Data Entry'!$$118), "", 'Data Entry'!$$118)</f>
      </c>
      <c r="BL118">
        <f>IF(ISBLANK('Data Entry'!$$118), "", 'Data Entry'!$$118)</f>
      </c>
      <c r="BM118">
        <f>IF(ISBLANK('Data Entry'!$$118), "", 'Data Entry'!$$118)</f>
      </c>
      <c r="BN118">
        <f>IF(ISBLANK('Data Entry'!$$118), "", 'Data Entry'!$$118)</f>
      </c>
      <c r="BO118">
        <f>IF(ISBLANK('Data Entry'!$$118), "", 'Data Entry'!$$118)</f>
      </c>
      <c r="BP118">
        <f>IF(ISBLANK('Data Entry'!$$118), "", 'Data Entry'!$$118)</f>
      </c>
      <c r="BQ118">
        <f>IF(ISBLANK('Data Entry'!$$118), "", 'Data Entry'!$$118)</f>
      </c>
      <c r="BR118">
        <f>IF(ISBLANK('Data Entry'!$$118), "", 'Data Entry'!$$118)</f>
      </c>
      <c r="BS118">
        <f>IF(ISBLANK('Data Entry'!$$118), "", 'Data Entry'!$$118)</f>
      </c>
      <c r="BT118">
        <f>IF(ISBLANK('Data Entry'!$$118), "", 'Data Entry'!$$118)</f>
      </c>
      <c r="BU118">
        <f>IF(ISBLANK('Data Entry'!$$118), "", 'Data Entry'!$$118)</f>
      </c>
      <c r="BV118">
        <f>IF(ISBLANK('Data Entry'!$$118), "", 'Data Entry'!$$118)</f>
      </c>
      <c r="BW118">
        <f>IF(ISBLANK('Data Entry'!$$118), "", 'Data Entry'!$$118)</f>
      </c>
      <c r="BX118">
        <f>IF(ISBLANK('Data Entry'!$$118), "", 'Data Entry'!$$118)</f>
      </c>
      <c r="BY118">
        <f>IF(ISBLANK('Data Entry'!$$118), "", 'Data Entry'!$$118)</f>
      </c>
      <c r="BZ118">
        <f>IF(ISBLANK('Data Entry'!$$118), "", 'Data Entry'!$$118)</f>
      </c>
      <c r="CA118">
        <f>IF(ISBLANK('Data Entry'!$$118), "", 'Data Entry'!$$118)</f>
      </c>
      <c r="CB118">
        <f>IF(ISBLANK('Data Entry'!$$118), "", 'Data Entry'!$$118)</f>
      </c>
      <c r="CC118">
        <f>IF(ISBLANK('Data Entry'!$$118), "", 'Data Entry'!$$118)</f>
      </c>
      <c r="CD118">
        <f>IF(ISBLANK('Data Entry'!$$118), "", 'Data Entry'!$$118)</f>
      </c>
      <c r="CE118">
        <f>IF(ISBLANK('Data Entry'!$$118), "", 'Data Entry'!$$118)</f>
      </c>
      <c r="CF118">
        <f>IF(ISBLANK('Data Entry'!$$118), "", 'Data Entry'!$$118)</f>
      </c>
      <c r="CG118">
        <f>IF(ISBLANK('Data Entry'!$$118), "", 'Data Entry'!$$118)</f>
      </c>
      <c r="CH118">
        <f>IF(ISBLANK('Data Entry'!$$118), "", 'Data Entry'!$$118)</f>
      </c>
      <c r="CI118">
        <f>IF(ISBLANK('Data Entry'!$$118), "", 'Data Entry'!$$118)</f>
      </c>
      <c r="CJ118">
        <f>IF(ISBLANK('Data Entry'!$$118), "", 'Data Entry'!$$118)</f>
      </c>
      <c r="CK118">
        <f>IF(ISBLANK('Data Entry'!$$118), "", 'Data Entry'!$$118)</f>
      </c>
      <c r="CL118">
        <f>IF(ISBLANK('Data Entry'!$$118), "", 'Data Entry'!$$118)</f>
      </c>
      <c r="CM118">
        <f>IF(ISBLANK('Data Entry'!$$118), "", 'Data Entry'!$$118)</f>
      </c>
      <c r="CN118">
        <f>IF(ISBLANK('Data Entry'!$$118), "", 'Data Entry'!$$118)</f>
      </c>
      <c r="CO118">
        <f>IF(ISBLANK('Data Entry'!$$118), "", 'Data Entry'!$$118)</f>
      </c>
      <c r="CP118">
        <f>IF(ISBLANK('Data Entry'!$$118), "", 'Data Entry'!$$118)</f>
      </c>
      <c r="CQ118">
        <f>IF(ISBLANK('Data Entry'!$$118), "", 'Data Entry'!$$118)</f>
      </c>
      <c r="CR118">
        <f>IF(ISBLANK('Data Entry'!$ $118), "", 'Data Entry'!$ $118)</f>
      </c>
      <c r="CS118">
        <f>IF(ISBLANK('Data Entry'!$¡$118), "", 'Data Entry'!$¡$118)</f>
      </c>
      <c r="CT118">
        <f>IF(ISBLANK('Data Entry'!$¢$118), "", 'Data Entry'!$¢$118)</f>
      </c>
      <c r="CU118">
        <f>IF(ISBLANK('Data Entry'!$£$118), "", 'Data Entry'!$£$118)</f>
      </c>
      <c r="CV118">
        <f>IF(ISBLANK('Data Entry'!$¤$118), "", 'Data Entry'!$¤$118)</f>
      </c>
      <c r="CW118">
        <f>IF(ISBLANK('Data Entry'!$¥$118), "", 'Data Entry'!$¥$118)</f>
      </c>
      <c r="CX118">
        <f>IF(ISBLANK('Data Entry'!$¦$118), "", 'Data Entry'!$¦$118)</f>
      </c>
      <c r="CY118">
        <f>IF(ISBLANK('Data Entry'!$§$118), "", 'Data Entry'!$§$118)</f>
      </c>
      <c r="CZ118">
        <f>IF(ISBLANK('Data Entry'!$¨$118), "", 'Data Entry'!$¨$118)</f>
      </c>
      <c r="DA118">
        <f>IF(ISBLANK('Data Entry'!$©$118), "", 'Data Entry'!$©$118)</f>
      </c>
      <c r="DB118">
        <f>IF(ISBLANK('Data Entry'!$ª$118), "", 'Data Entry'!$ª$118)</f>
      </c>
      <c r="DC118">
        <f>IF(ISBLANK('Data Entry'!$«$118), "", 'Data Entry'!$«$118)</f>
      </c>
      <c r="DD118">
        <f>IF(ISBLANK('Data Entry'!$¬$118), "", 'Data Entry'!$¬$118)</f>
      </c>
      <c r="DE118">
        <f>IF(ISBLANK('Data Entry'!$­$118), "", 'Data Entry'!$­$118)</f>
      </c>
      <c r="DF118">
        <f>IF(ISBLANK('Data Entry'!$®$118), "", 'Data Entry'!$®$118)</f>
      </c>
      <c r="DG118">
        <f>IF(ISBLANK('Data Entry'!$¯$118), "", 'Data Entry'!$¯$118)</f>
      </c>
      <c r="DH118">
        <f>IF(ISBLANK('Data Entry'!$°$118), "", 'Data Entry'!$°$118)</f>
      </c>
      <c r="DI118">
        <f>IF(ISBLANK('Data Entry'!$±$118), "", 'Data Entry'!$±$118)</f>
      </c>
      <c r="DJ118">
        <f>IF(ISBLANK('Data Entry'!$²$118), "", 'Data Entry'!$²$118)</f>
      </c>
      <c r="DK118">
        <f>IF(ISBLANK('Data Entry'!$³$118), "", 'Data Entry'!$³$118)</f>
      </c>
      <c r="DL118">
        <f>IF(ISBLANK('Data Entry'!$´$118), "", 'Data Entry'!$´$118)</f>
      </c>
      <c r="DM118">
        <f>IF(ISBLANK('Data Entry'!$µ$118), "", 'Data Entry'!$µ$118)</f>
      </c>
      <c r="DN118">
        <f>IF(ISBLANK('Data Entry'!$¶$118), "", 'Data Entry'!$¶$118)</f>
      </c>
      <c r="DO118">
        <f>IF(ISBLANK('Data Entry'!$·$118), "", 'Data Entry'!$·$118)</f>
      </c>
      <c r="DP118">
        <f>IF(ISBLANK('Data Entry'!$¸$118), "", 'Data Entry'!$¸$118)</f>
      </c>
      <c r="DQ118">
        <f>IF(ISBLANK('Data Entry'!$¹$118), "", 'Data Entry'!$¹$118)</f>
      </c>
      <c r="DR118">
        <f>IF(ISBLANK('Data Entry'!$º$118), "", 'Data Entry'!$º$118)</f>
      </c>
      <c r="DS118">
        <f>IF(ISBLANK('Data Entry'!$»$118), "", 'Data Entry'!$»$118)</f>
      </c>
      <c r="DT118">
        <f>IF(ISBLANK('Data Entry'!$¼$118), "", 'Data Entry'!$¼$118)</f>
      </c>
      <c r="DU118">
        <f>IF(ISBLANK('Data Entry'!$½$118), "", 'Data Entry'!$½$118)</f>
      </c>
      <c r="DV118">
        <f>IF(ISBLANK('Data Entry'!$¾$118), "", 'Data Entry'!$¾$118)</f>
      </c>
      <c r="DW118">
        <f>IF(ISBLANK('Data Entry'!$¿$118), "", 'Data Entry'!$¿$118)</f>
      </c>
      <c r="DX118">
        <f>IF(ISBLANK('Data Entry'!$À$118), "", 'Data Entry'!$À$118)</f>
      </c>
      <c r="DY118">
        <f>IF(ISBLANK('Data Entry'!$Á$118), "", 'Data Entry'!$Á$118)</f>
      </c>
      <c r="DZ118">
        <f>IF(ISBLANK('Data Entry'!$Â$118), "", 'Data Entry'!$Â$118)</f>
      </c>
      <c r="EA118">
        <f>IF(ISBLANK('Data Entry'!$Ã$118), "", 'Data Entry'!$Ã$118)</f>
      </c>
      <c r="EB118">
        <f>IF(ISBLANK('Data Entry'!$Ä$118), "", 'Data Entry'!$Ä$118)</f>
      </c>
      <c r="EC118">
        <f>IF(ISBLANK('Data Entry'!$Å$118), "", 'Data Entry'!$Å$118)</f>
      </c>
      <c r="ED118">
        <f>IF(ISBLANK('Data Entry'!$Æ$118), "", 'Data Entry'!$Æ$118)</f>
      </c>
      <c r="EE118">
        <f>IF(ISBLANK('Data Entry'!$Ç$118), "", 'Data Entry'!$Ç$118)</f>
      </c>
      <c r="EF118">
        <f>IF(ISBLANK('Data Entry'!$È$118), "", 'Data Entry'!$È$118)</f>
      </c>
      <c r="EG118">
        <f>IF(ISBLANK('Data Entry'!$É$118), "", 'Data Entry'!$É$118)</f>
      </c>
      <c r="EH118">
        <f>IF(ISBLANK('Data Entry'!$Ê$118), "", 'Data Entry'!$Ê$118)</f>
      </c>
      <c r="EI118">
        <f>IF(ISBLANK('Data Entry'!$Ë$118), "", 'Data Entry'!$Ë$118)</f>
      </c>
      <c r="EJ118">
        <f>IF(ISBLANK('Data Entry'!$Ì$118), "", 'Data Entry'!$Ì$118)</f>
      </c>
      <c r="EK118">
        <f>IF(ISBLANK('Data Entry'!$Í$118), "", 'Data Entry'!$Í$118)</f>
      </c>
      <c r="EL118">
        <f>IF(ISBLANK('Data Entry'!$Î$118), "", 'Data Entry'!$Î$118)</f>
      </c>
      <c r="EM118">
        <f>IF(ISBLANK('Data Entry'!$Ï$118), "", 'Data Entry'!$Ï$118)</f>
      </c>
      <c r="EN118">
        <f>IF(ISBLANK('Data Entry'!$Ð$118), "", 'Data Entry'!$Ð$118)</f>
      </c>
      <c r="EO118">
        <f>IF(ISBLANK('Data Entry'!$Ñ$118), "", 'Data Entry'!$Ñ$118)</f>
      </c>
      <c r="EP118">
        <f>IF(ISBLANK('Data Entry'!$Ò$118), "", 'Data Entry'!$Ò$118)</f>
      </c>
      <c r="EQ118">
        <f>IF(ISBLANK('Data Entry'!$Ó$118), "", 'Data Entry'!$Ó$118)</f>
      </c>
      <c r="ER118">
        <f>IF(ISBLANK('Data Entry'!$Ô$118), "", 'Data Entry'!$Ô$118)</f>
      </c>
      <c r="ES118">
        <f>IF(ISBLANK('Data Entry'!$Õ$118), "", 'Data Entry'!$Õ$118)</f>
      </c>
      <c r="ET118">
        <f>IF(ISBLANK('Data Entry'!$Ö$118), "", 'Data Entry'!$Ö$118)</f>
      </c>
      <c r="EU118">
        <f>IF(ISBLANK('Data Entry'!$×$118), "", 'Data Entry'!$×$118)</f>
      </c>
      <c r="EV118">
        <f>IF(ISBLANK('Data Entry'!$Ø$118), "", 'Data Entry'!$Ø$118)</f>
      </c>
      <c r="EW118">
        <f>IF(ISBLANK('Data Entry'!$Ù$118), "", 'Data Entry'!$Ù$118)</f>
      </c>
      <c r="EX118">
        <f>IF(ISBLANK('Data Entry'!$Ú$118), "", 'Data Entry'!$Ú$118)</f>
      </c>
      <c r="EY118">
        <f>IF(ISBLANK('Data Entry'!$Û$118), "", 'Data Entry'!$Û$118)</f>
      </c>
      <c r="EZ118">
        <f>IF(ISBLANK('Data Entry'!$Ü$118), "", 'Data Entry'!$Ü$118)</f>
      </c>
      <c r="FA118">
        <f>IF(ISBLANK('Data Entry'!$Ý$118), "", 'Data Entry'!$Ý$118)</f>
      </c>
      <c r="FB118">
        <f>IF(ISBLANK('Data Entry'!$Þ$118), "", 'Data Entry'!$Þ$118)</f>
      </c>
      <c r="FC118">
        <f>IF(ISBLANK('Data Entry'!$ß$118), "", 'Data Entry'!$ß$118)</f>
      </c>
      <c r="FD118">
        <f>IF(ISBLANK('Data Entry'!$à$118), "", 'Data Entry'!$à$118)</f>
      </c>
      <c r="FE118">
        <f>IF(ISBLANK('Data Entry'!$á$118), "", 'Data Entry'!$á$118)</f>
      </c>
      <c r="FF118">
        <f>IF(ISBLANK('Data Entry'!$â$118), "", 'Data Entry'!$â$118)</f>
      </c>
      <c r="FG118">
        <f>IF(ISBLANK('Data Entry'!$ã$118), "", 'Data Entry'!$ã$118)</f>
      </c>
      <c r="FH118">
        <f>IF(ISBLANK('Data Entry'!$ä$118), "", 'Data Entry'!$ä$118)</f>
      </c>
      <c r="FI118">
        <f>IF(ISBLANK('Data Entry'!$å$118), "", 'Data Entry'!$å$118)</f>
      </c>
      <c r="FJ118">
        <f>IF(ISBLANK('Data Entry'!$æ$118), "", 'Data Entry'!$æ$118)</f>
      </c>
      <c r="FK118">
        <f>IF(ISBLANK('Data Entry'!$ç$118), "", 'Data Entry'!$ç$118)</f>
      </c>
      <c r="FL118">
        <f>IF(ISBLANK('Data Entry'!$è$118), "", 'Data Entry'!$è$118)</f>
      </c>
      <c r="FM118">
        <f>IF(ISBLANK('Data Entry'!$é$118), "", 'Data Entry'!$é$118)</f>
      </c>
      <c r="FN118">
        <f>IF(ISBLANK('Data Entry'!$ê$118), "", 'Data Entry'!$ê$118)</f>
      </c>
      <c r="FO118">
        <f>IF(ISBLANK('Data Entry'!$ë$118), "", 'Data Entry'!$ë$118)</f>
      </c>
      <c r="FP118">
        <f>IF(ISBLANK('Data Entry'!$ì$118), "", 'Data Entry'!$ì$118)</f>
      </c>
      <c r="FQ118">
        <f>IF(ISBLANK('Data Entry'!$í$118), "", 'Data Entry'!$í$118)</f>
      </c>
      <c r="FR118">
        <f>IF(ISBLANK('Data Entry'!$î$118), "", 'Data Entry'!$î$118)</f>
      </c>
      <c r="FS118">
        <f>IF(ISBLANK('Data Entry'!$ï$118), "", 'Data Entry'!$ï$118)</f>
      </c>
      <c r="FT118">
        <f>IF(ISBLANK('Data Entry'!$ð$118), "", 'Data Entry'!$ð$118)</f>
      </c>
      <c r="FU118">
        <f>IF(ISBLANK('Data Entry'!$ñ$118), "", 'Data Entry'!$ñ$118)</f>
      </c>
      <c r="FV118">
        <f>IF(ISBLANK('Data Entry'!$ò$118), "", 'Data Entry'!$ò$118)</f>
      </c>
      <c r="FW118">
        <f>IF(ISBLANK('Data Entry'!$ó$118), "", 'Data Entry'!$ó$118)</f>
      </c>
      <c r="FX118">
        <f>IF(ISBLANK('Data Entry'!$ô$118), "", 'Data Entry'!$ô$118)</f>
      </c>
      <c r="FY118">
        <f>IF(ISBLANK('Data Entry'!$õ$118), "", 'Data Entry'!$õ$118)</f>
      </c>
      <c r="FZ118">
        <f>IF(ISBLANK('Data Entry'!$ö$118), "", 'Data Entry'!$ö$118)</f>
      </c>
      <c r="GA118">
        <f>IF(ISBLANK('Data Entry'!$÷$118), "", 'Data Entry'!$÷$118)</f>
      </c>
      <c r="GB118">
        <f>IF(ISBLANK('Data Entry'!$ø$118), "", 'Data Entry'!$ø$118)</f>
      </c>
      <c r="GC118">
        <f>IF(ISBLANK('Data Entry'!$ù$118), "", 'Data Entry'!$ù$118)</f>
      </c>
      <c r="GD118">
        <f>IF(ISBLANK('Data Entry'!$ú$118), "", 'Data Entry'!$ú$118)</f>
      </c>
      <c r="GE118">
        <f>IF(ISBLANK('Data Entry'!$û$118), "", 'Data Entry'!$û$118)</f>
      </c>
      <c r="GF118">
        <f>IF(ISBLANK('Data Entry'!$ü$118), "", 'Data Entry'!$ü$118)</f>
      </c>
      <c r="GG118">
        <f>IF(ISBLANK('Data Entry'!$ý$118), "", 'Data Entry'!$ý$118)</f>
      </c>
      <c r="GH118">
        <f>IF(ISBLANK('Data Entry'!$þ$118), "", 'Data Entry'!$þ$118)</f>
      </c>
      <c r="GI118">
        <f>IF(ISBLANK('Data Entry'!$ÿ$118), "", 'Data Entry'!$ÿ$118)</f>
      </c>
      <c r="GJ118">
        <f>IF(ISBLANK('Data Entry'!$Ā$118), "", 'Data Entry'!$Ā$118)</f>
      </c>
      <c r="GK118">
        <f>IF(ISBLANK('Data Entry'!$ā$118), "", 'Data Entry'!$ā$118)</f>
      </c>
      <c r="GL118">
        <f>IF(ISBLANK('Data Entry'!$Ă$118), "", 'Data Entry'!$Ă$118)</f>
      </c>
      <c r="GM118">
        <f>IF(ISBLANK('Data Entry'!$ă$118), "", 'Data Entry'!$ă$118)</f>
      </c>
      <c r="GN118">
        <f>IF(ISBLANK('Data Entry'!$Ą$118), "", 'Data Entry'!$Ą$118)</f>
      </c>
      <c r="GO118">
        <f>IF(ISBLANK('Data Entry'!$ą$118), "", 'Data Entry'!$ą$118)</f>
      </c>
      <c r="GP118">
        <f>IF(ISBLANK('Data Entry'!$Ć$118), "", 'Data Entry'!$Ć$118)</f>
      </c>
      <c r="GQ118">
        <f>IF(ISBLANK('Data Entry'!$ć$118), "", 'Data Entry'!$ć$118)</f>
      </c>
      <c r="GR118">
        <f>IF(ISBLANK('Data Entry'!$Ĉ$118), "", 'Data Entry'!$Ĉ$118)</f>
      </c>
      <c r="GS118">
        <f>IF(ISBLANK('Data Entry'!$ĉ$118), "", 'Data Entry'!$ĉ$118)</f>
      </c>
      <c r="GT118">
        <f>IF(ISBLANK('Data Entry'!$Ċ$118), "", 'Data Entry'!$Ċ$118)</f>
      </c>
      <c r="GU118">
        <f>IF(ISBLANK('Data Entry'!$ċ$118), "", 'Data Entry'!$ċ$118)</f>
      </c>
      <c r="GV118">
        <f>IF(ISBLANK('Data Entry'!$Č$118), "", 'Data Entry'!$Č$118)</f>
      </c>
      <c r="GW118">
        <f>IF(ISBLANK('Data Entry'!$č$118), "", 'Data Entry'!$č$118)</f>
      </c>
      <c r="GX118">
        <f>IF(ISBLANK('Data Entry'!$Ď$118), "", 'Data Entry'!$Ď$118)</f>
      </c>
      <c r="GY118">
        <f>IF(ISBLANK('Data Entry'!$ď$118), "", 'Data Entry'!$ď$118)</f>
      </c>
      <c r="GZ118">
        <f>IF(ISBLANK('Data Entry'!$Đ$118), "", 'Data Entry'!$Đ$118)</f>
      </c>
      <c r="HA118">
        <f>IF(ISBLANK('Data Entry'!$đ$118), "", 'Data Entry'!$đ$118)</f>
      </c>
      <c r="HB118">
        <f>IF(ISBLANK('Data Entry'!$Ē$118), "", 'Data Entry'!$Ē$118)</f>
      </c>
      <c r="HC118">
        <f>IF(ISBLANK('Data Entry'!$ē$118), "", 'Data Entry'!$ē$118)</f>
      </c>
      <c r="HD118">
        <f>IF(ISBLANK('Data Entry'!$Ĕ$118), "", 'Data Entry'!$Ĕ$118)</f>
      </c>
      <c r="HE118">
        <f>IF(ISBLANK('Data Entry'!$ĕ$118), "", 'Data Entry'!$ĕ$118)</f>
      </c>
      <c r="HF118">
        <f>IF(ISBLANK('Data Entry'!$Ė$118), "", 'Data Entry'!$Ė$118)</f>
      </c>
      <c r="HG118">
        <f>IF(ISBLANK('Data Entry'!$ė$118), "", 'Data Entry'!$ė$118)</f>
      </c>
      <c r="HH118">
        <f>IF(ISBLANK('Data Entry'!$Ę$118), "", 'Data Entry'!$Ę$118)</f>
      </c>
      <c r="HI118">
        <f>IF(ISBLANK('Data Entry'!$ę$118), "", 'Data Entry'!$ę$118)</f>
      </c>
      <c r="HJ118">
        <f>IF(ISBLANK('Data Entry'!$Ě$118), "", 'Data Entry'!$Ě$118)</f>
      </c>
      <c r="HK118">
        <f>IF(ISBLANK('Data Entry'!$ě$118), "", 'Data Entry'!$ě$118)</f>
      </c>
      <c r="HL118">
        <f>IF(ISBLANK('Data Entry'!$Ĝ$118), "", 'Data Entry'!$Ĝ$118)</f>
      </c>
      <c r="HM118">
        <f>IF(ISBLANK('Data Entry'!$ĝ$118), "", 'Data Entry'!$ĝ$118)</f>
      </c>
      <c r="HN118">
        <f>IF(ISBLANK('Data Entry'!$Ğ$118), "", 'Data Entry'!$Ğ$118)</f>
      </c>
      <c r="HO118">
        <f>IF(ISBLANK('Data Entry'!$ğ$118), "", 'Data Entry'!$ğ$118)</f>
      </c>
      <c r="HP118">
        <f>IF(ISBLANK('Data Entry'!$Ġ$118), "", 'Data Entry'!$Ġ$118)</f>
      </c>
      <c r="HQ118">
        <f>IF(ISBLANK('Data Entry'!$ġ$118), "", 'Data Entry'!$ġ$118)</f>
      </c>
      <c r="HR118">
        <f>IF(ISBLANK('Data Entry'!$Ģ$118), "", 'Data Entry'!$Ģ$118)</f>
      </c>
      <c r="HS118">
        <f>IF(ISBLANK('Data Entry'!$ģ$118), "", 'Data Entry'!$ģ$118)</f>
      </c>
      <c r="HT118">
        <f>IF(ISBLANK('Data Entry'!$Ĥ$118), "", 'Data Entry'!$Ĥ$118)</f>
      </c>
      <c r="HU118">
        <f>IF(ISBLANK('Data Entry'!$ĥ$118), "", 'Data Entry'!$ĥ$118)</f>
      </c>
      <c r="HV118">
        <f>IF(ISBLANK('Data Entry'!$Ħ$118), "", 'Data Entry'!$Ħ$118)</f>
      </c>
      <c r="HW118">
        <f>IF(ISBLANK('Data Entry'!$ħ$118), "", 'Data Entry'!$ħ$118)</f>
      </c>
      <c r="HX118">
        <f>IF(ISBLANK('Data Entry'!$Ĩ$118), "", 'Data Entry'!$Ĩ$118)</f>
      </c>
      <c r="HY118">
        <f>IF(ISBLANK('Data Entry'!$ĩ$118), "", 'Data Entry'!$ĩ$118)</f>
      </c>
      <c r="HZ118">
        <f>IF(ISBLANK('Data Entry'!$Ī$118), "", 'Data Entry'!$Ī$118)</f>
      </c>
      <c r="IA118">
        <f>IF(ISBLANK('Data Entry'!$ī$118), "", 'Data Entry'!$ī$118)</f>
      </c>
      <c r="IB118">
        <f>IF(ISBLANK('Data Entry'!$Ĭ$118), "", 'Data Entry'!$Ĭ$118)</f>
      </c>
      <c r="IC118">
        <f>IF(ISBLANK('Data Entry'!$ĭ$118), "", 'Data Entry'!$ĭ$118)</f>
      </c>
      <c r="ID118">
        <f>IF(ISBLANK('Data Entry'!$Į$118), "", 'Data Entry'!$Į$118)</f>
      </c>
      <c r="IE118">
        <f>IF(ISBLANK('Data Entry'!$į$118), "", 'Data Entry'!$į$118)</f>
      </c>
      <c r="IF118">
        <f>IF(ISBLANK('Data Entry'!$İ$118), "", 'Data Entry'!$İ$118)</f>
      </c>
      <c r="IG118">
        <f>IF(ISBLANK('Data Entry'!$ı$118), "", 'Data Entry'!$ı$118)</f>
      </c>
      <c r="IH118">
        <f>IF(ISBLANK('Data Entry'!$Ĳ$118), "", 'Data Entry'!$Ĳ$118)</f>
      </c>
      <c r="II118">
        <f>IF(ISBLANK('Data Entry'!$ĳ$118), "", 'Data Entry'!$ĳ$118)</f>
      </c>
      <c r="IJ118">
        <f>IF(ISBLANK('Data Entry'!$Ĵ$118), "", 'Data Entry'!$Ĵ$118)</f>
      </c>
      <c r="IK118">
        <f>IF(ISBLANK('Data Entry'!$ĵ$118), "", 'Data Entry'!$ĵ$118)</f>
      </c>
      <c r="IL118">
        <f>IF(ISBLANK('Data Entry'!$Ķ$118), "", 'Data Entry'!$Ķ$118)</f>
      </c>
      <c r="IM118">
        <f>IF(ISBLANK('Data Entry'!$ķ$118), "", 'Data Entry'!$ķ$118)</f>
      </c>
      <c r="IN118">
        <f>IF(ISBLANK('Data Entry'!$ĸ$118), "", 'Data Entry'!$ĸ$118)</f>
      </c>
      <c r="IO118">
        <f>IF(ISBLANK('Data Entry'!$Ĺ$118), "", 'Data Entry'!$Ĺ$118)</f>
      </c>
      <c r="IP118">
        <f>IF(ISBLANK('Data Entry'!$ĺ$118), "", 'Data Entry'!$ĺ$118)</f>
      </c>
      <c r="IQ118">
        <f>IF(ISBLANK('Data Entry'!$Ļ$118), "", 'Data Entry'!$Ļ$118)</f>
      </c>
      <c r="IR118">
        <f>IF(ISBLANK('Data Entry'!$ļ$118), "", 'Data Entry'!$ļ$118)</f>
      </c>
      <c r="IS118">
        <f>IF(ISBLANK('Data Entry'!$Ľ$118), "", 'Data Entry'!$Ľ$118)</f>
      </c>
      <c r="IT118">
        <f>IF(ISBLANK('Data Entry'!$ľ$118), "", 'Data Entry'!$ľ$118)</f>
      </c>
    </row>
    <row r="119" spans="1:254" x14ac:dyDescent="0.25">
      <c r="A119">
        <f>IF(ISBLANK('Data Entry'!$A$119), "", 'Data Entry'!$A$119)</f>
      </c>
      <c r="B119">
        <f>IF(ISBLANK('Data Entry'!$B$119), "", 'Data Entry'!$B$119)</f>
      </c>
      <c r="C119">
        <f>IF(ISBLANK('Data Entry'!$C$119), "", 'Data Entry'!$C$119)</f>
      </c>
      <c r="D119">
        <f>IF(ISBLANK('Data Entry'!$D$119), "", 'Data Entry'!$D$119)</f>
      </c>
      <c r="E119">
        <f>IF(ISBLANK('Data Entry'!$E$119), "", 'Data Entry'!$E$119)</f>
      </c>
      <c r="F119">
        <f>IF(ISBLANK('Data Entry'!$F$119), "", 'Data Entry'!$F$119)</f>
      </c>
      <c r="G119">
        <f>IF(ISBLANK('Data Entry'!$G$119), "", 'Data Entry'!$G$119)</f>
      </c>
      <c r="H119">
        <f>IF(ISBLANK('Data Entry'!$H$119), "", 'Data Entry'!$H$119)</f>
      </c>
      <c r="I119">
        <f>IF(ISBLANK('Data Entry'!$I$119), "", 'Data Entry'!$I$119)</f>
      </c>
      <c r="J119">
        <f>IF(ISBLANK('Data Entry'!$J$119), "", 'Data Entry'!$J$119)</f>
      </c>
      <c r="K119">
        <f>IF(ISBLANK('Data Entry'!$K$119), "", 'Data Entry'!$K$119)</f>
      </c>
      <c r="L119">
        <f>IF(ISBLANK('Data Entry'!$L$119), "", 'Data Entry'!$L$119)</f>
      </c>
      <c r="M119">
        <f>IF(ISBLANK('Data Entry'!$M$119), "", 'Data Entry'!$M$119)</f>
      </c>
      <c r="N119">
        <f>IF(ISBLANK('Data Entry'!$N$119), "", 'Data Entry'!$N$119)</f>
      </c>
      <c r="O119">
        <f>IF(ISBLANK('Data Entry'!$O$119), "", 'Data Entry'!$O$119)</f>
      </c>
      <c r="P119">
        <f>IF(ISBLANK('Data Entry'!$P$119), "", 'Data Entry'!$P$119)</f>
      </c>
      <c r="Q119">
        <f>IF(ISBLANK('Data Entry'!$Q$119), "", 'Data Entry'!$Q$119)</f>
      </c>
      <c r="R119">
        <f>IF(ISBLANK('Data Entry'!$R$119), "", 'Data Entry'!$R$119)</f>
      </c>
      <c r="S119">
        <f>IF(ISBLANK('Data Entry'!$S$119), "", 'Data Entry'!$S$119)</f>
      </c>
      <c r="T119">
        <f>IF(ISBLANK('Data Entry'!$T$119), "", 'Data Entry'!$T$119)</f>
      </c>
      <c r="U119">
        <f>IF(ISBLANK('Data Entry'!$U$119), "", 'Data Entry'!$U$119)</f>
      </c>
      <c r="V119">
        <f>IF(ISBLANK('Data Entry'!$V$119), "", 'Data Entry'!$V$119)</f>
      </c>
      <c r="W119">
        <f>IF(ISBLANK('Data Entry'!$W$119), "", 'Data Entry'!$W$119)</f>
      </c>
      <c r="X119">
        <f>IF(ISBLANK('Data Entry'!$X$119), "", 'Data Entry'!$X$119)</f>
      </c>
      <c r="Y119">
        <f>IF(ISBLANK('Data Entry'!$Y$119), "", 'Data Entry'!$Y$119)</f>
      </c>
      <c r="Z119">
        <f>IF(ISBLANK('Data Entry'!$Z$119), "", 'Data Entry'!$Z$119)</f>
      </c>
      <c r="AA119">
        <f>IF(ISBLANK('Data Entry'!$[$119), "", 'Data Entry'!$[$119)</f>
      </c>
      <c r="AB119">
        <f>IF(ISBLANK('Data Entry'!$\$119), "", 'Data Entry'!$\$119)</f>
      </c>
      <c r="AC119">
        <f>IF(ISBLANK('Data Entry'!$]$119), "", 'Data Entry'!$]$119)</f>
      </c>
      <c r="AD119">
        <f>IF(ISBLANK('Data Entry'!$^$119), "", 'Data Entry'!$^$119)</f>
      </c>
      <c r="AE119">
        <f>IF(ISBLANK('Data Entry'!$_$119), "", 'Data Entry'!$_$119)</f>
      </c>
      <c r="AF119">
        <f>IF(ISBLANK('Data Entry'!$`$119), "", 'Data Entry'!$`$119)</f>
      </c>
      <c r="AG119">
        <f>IF(ISBLANK('Data Entry'!$a$119), "", 'Data Entry'!$a$119)</f>
      </c>
      <c r="AH119">
        <f>IF(ISBLANK('Data Entry'!$b$119), "", 'Data Entry'!$b$119)</f>
      </c>
      <c r="AI119">
        <f>IF(ISBLANK('Data Entry'!$c$119), "", 'Data Entry'!$c$119)</f>
      </c>
      <c r="AJ119">
        <f>IF(ISBLANK('Data Entry'!$d$119), "", 'Data Entry'!$d$119)</f>
      </c>
      <c r="AK119">
        <f>IF(ISBLANK('Data Entry'!$e$119), "", 'Data Entry'!$e$119)</f>
      </c>
      <c r="AL119">
        <f>IF(ISBLANK('Data Entry'!$f$119), "", 'Data Entry'!$f$119)</f>
      </c>
      <c r="AM119">
        <f>IF(ISBLANK('Data Entry'!$g$119), "", 'Data Entry'!$g$119)</f>
      </c>
      <c r="AN119">
        <f>IF(ISBLANK('Data Entry'!$h$119), "", 'Data Entry'!$h$119)</f>
      </c>
      <c r="AO119">
        <f>IF(ISBLANK('Data Entry'!$i$119), "", 'Data Entry'!$i$119)</f>
      </c>
      <c r="AP119">
        <f>IF(ISBLANK('Data Entry'!$j$119), "", 'Data Entry'!$j$119)</f>
      </c>
      <c r="AQ119">
        <f>IF(ISBLANK('Data Entry'!$k$119), "", 'Data Entry'!$k$119)</f>
      </c>
      <c r="AR119">
        <f>IF(ISBLANK('Data Entry'!$l$119), "", 'Data Entry'!$l$119)</f>
      </c>
      <c r="AS119">
        <f>IF(ISBLANK('Data Entry'!$m$119), "", 'Data Entry'!$m$119)</f>
      </c>
      <c r="AT119">
        <f>IF(ISBLANK('Data Entry'!$n$119), "", 'Data Entry'!$n$119)</f>
      </c>
      <c r="AU119">
        <f>IF(ISBLANK('Data Entry'!$o$119), "", 'Data Entry'!$o$119)</f>
      </c>
      <c r="AV119">
        <f>IF(ISBLANK('Data Entry'!$p$119), "", 'Data Entry'!$p$119)</f>
      </c>
      <c r="AW119">
        <f>IF(ISBLANK('Data Entry'!$q$119), "", 'Data Entry'!$q$119)</f>
      </c>
      <c r="AX119">
        <f>IF(ISBLANK('Data Entry'!$r$119), "", 'Data Entry'!$r$119)</f>
      </c>
      <c r="AY119">
        <f>IF(ISBLANK('Data Entry'!$s$119), "", 'Data Entry'!$s$119)</f>
      </c>
      <c r="AZ119">
        <f>IF(ISBLANK('Data Entry'!$t$119), "", 'Data Entry'!$t$119)</f>
      </c>
      <c r="BA119">
        <f>IF(ISBLANK('Data Entry'!$u$119), "", 'Data Entry'!$u$119)</f>
      </c>
      <c r="BB119">
        <f>IF(ISBLANK('Data Entry'!$v$119), "", 'Data Entry'!$v$119)</f>
      </c>
      <c r="BC119">
        <f>IF(ISBLANK('Data Entry'!$w$119), "", 'Data Entry'!$w$119)</f>
      </c>
      <c r="BD119">
        <f>IF(ISBLANK('Data Entry'!$x$119), "", 'Data Entry'!$x$119)</f>
      </c>
      <c r="BE119">
        <f>IF(ISBLANK('Data Entry'!$y$119), "", 'Data Entry'!$y$119)</f>
      </c>
      <c r="BF119">
        <f>IF(ISBLANK('Data Entry'!$z$119), "", 'Data Entry'!$z$119)</f>
      </c>
      <c r="BG119">
        <f>IF(ISBLANK('Data Entry'!${$119), "", 'Data Entry'!${$119)</f>
      </c>
      <c r="BH119">
        <f>IF(ISBLANK('Data Entry'!$|$119), "", 'Data Entry'!$|$119)</f>
      </c>
      <c r="BI119">
        <f>IF(ISBLANK('Data Entry'!$}$119), "", 'Data Entry'!$}$119)</f>
      </c>
      <c r="BJ119">
        <f>IF(ISBLANK('Data Entry'!$~$119), "", 'Data Entry'!$~$119)</f>
      </c>
      <c r="BK119">
        <f>IF(ISBLANK('Data Entry'!$$119), "", 'Data Entry'!$$119)</f>
      </c>
      <c r="BL119">
        <f>IF(ISBLANK('Data Entry'!$$119), "", 'Data Entry'!$$119)</f>
      </c>
      <c r="BM119">
        <f>IF(ISBLANK('Data Entry'!$$119), "", 'Data Entry'!$$119)</f>
      </c>
      <c r="BN119">
        <f>IF(ISBLANK('Data Entry'!$$119), "", 'Data Entry'!$$119)</f>
      </c>
      <c r="BO119">
        <f>IF(ISBLANK('Data Entry'!$$119), "", 'Data Entry'!$$119)</f>
      </c>
      <c r="BP119">
        <f>IF(ISBLANK('Data Entry'!$$119), "", 'Data Entry'!$$119)</f>
      </c>
      <c r="BQ119">
        <f>IF(ISBLANK('Data Entry'!$$119), "", 'Data Entry'!$$119)</f>
      </c>
      <c r="BR119">
        <f>IF(ISBLANK('Data Entry'!$$119), "", 'Data Entry'!$$119)</f>
      </c>
      <c r="BS119">
        <f>IF(ISBLANK('Data Entry'!$$119), "", 'Data Entry'!$$119)</f>
      </c>
      <c r="BT119">
        <f>IF(ISBLANK('Data Entry'!$$119), "", 'Data Entry'!$$119)</f>
      </c>
      <c r="BU119">
        <f>IF(ISBLANK('Data Entry'!$$119), "", 'Data Entry'!$$119)</f>
      </c>
      <c r="BV119">
        <f>IF(ISBLANK('Data Entry'!$$119), "", 'Data Entry'!$$119)</f>
      </c>
      <c r="BW119">
        <f>IF(ISBLANK('Data Entry'!$$119), "", 'Data Entry'!$$119)</f>
      </c>
      <c r="BX119">
        <f>IF(ISBLANK('Data Entry'!$$119), "", 'Data Entry'!$$119)</f>
      </c>
      <c r="BY119">
        <f>IF(ISBLANK('Data Entry'!$$119), "", 'Data Entry'!$$119)</f>
      </c>
      <c r="BZ119">
        <f>IF(ISBLANK('Data Entry'!$$119), "", 'Data Entry'!$$119)</f>
      </c>
      <c r="CA119">
        <f>IF(ISBLANK('Data Entry'!$$119), "", 'Data Entry'!$$119)</f>
      </c>
      <c r="CB119">
        <f>IF(ISBLANK('Data Entry'!$$119), "", 'Data Entry'!$$119)</f>
      </c>
      <c r="CC119">
        <f>IF(ISBLANK('Data Entry'!$$119), "", 'Data Entry'!$$119)</f>
      </c>
      <c r="CD119">
        <f>IF(ISBLANK('Data Entry'!$$119), "", 'Data Entry'!$$119)</f>
      </c>
      <c r="CE119">
        <f>IF(ISBLANK('Data Entry'!$$119), "", 'Data Entry'!$$119)</f>
      </c>
      <c r="CF119">
        <f>IF(ISBLANK('Data Entry'!$$119), "", 'Data Entry'!$$119)</f>
      </c>
      <c r="CG119">
        <f>IF(ISBLANK('Data Entry'!$$119), "", 'Data Entry'!$$119)</f>
      </c>
      <c r="CH119">
        <f>IF(ISBLANK('Data Entry'!$$119), "", 'Data Entry'!$$119)</f>
      </c>
      <c r="CI119">
        <f>IF(ISBLANK('Data Entry'!$$119), "", 'Data Entry'!$$119)</f>
      </c>
      <c r="CJ119">
        <f>IF(ISBLANK('Data Entry'!$$119), "", 'Data Entry'!$$119)</f>
      </c>
      <c r="CK119">
        <f>IF(ISBLANK('Data Entry'!$$119), "", 'Data Entry'!$$119)</f>
      </c>
      <c r="CL119">
        <f>IF(ISBLANK('Data Entry'!$$119), "", 'Data Entry'!$$119)</f>
      </c>
      <c r="CM119">
        <f>IF(ISBLANK('Data Entry'!$$119), "", 'Data Entry'!$$119)</f>
      </c>
      <c r="CN119">
        <f>IF(ISBLANK('Data Entry'!$$119), "", 'Data Entry'!$$119)</f>
      </c>
      <c r="CO119">
        <f>IF(ISBLANK('Data Entry'!$$119), "", 'Data Entry'!$$119)</f>
      </c>
      <c r="CP119">
        <f>IF(ISBLANK('Data Entry'!$$119), "", 'Data Entry'!$$119)</f>
      </c>
      <c r="CQ119">
        <f>IF(ISBLANK('Data Entry'!$$119), "", 'Data Entry'!$$119)</f>
      </c>
      <c r="CR119">
        <f>IF(ISBLANK('Data Entry'!$ $119), "", 'Data Entry'!$ $119)</f>
      </c>
      <c r="CS119">
        <f>IF(ISBLANK('Data Entry'!$¡$119), "", 'Data Entry'!$¡$119)</f>
      </c>
      <c r="CT119">
        <f>IF(ISBLANK('Data Entry'!$¢$119), "", 'Data Entry'!$¢$119)</f>
      </c>
      <c r="CU119">
        <f>IF(ISBLANK('Data Entry'!$£$119), "", 'Data Entry'!$£$119)</f>
      </c>
      <c r="CV119">
        <f>IF(ISBLANK('Data Entry'!$¤$119), "", 'Data Entry'!$¤$119)</f>
      </c>
      <c r="CW119">
        <f>IF(ISBLANK('Data Entry'!$¥$119), "", 'Data Entry'!$¥$119)</f>
      </c>
      <c r="CX119">
        <f>IF(ISBLANK('Data Entry'!$¦$119), "", 'Data Entry'!$¦$119)</f>
      </c>
      <c r="CY119">
        <f>IF(ISBLANK('Data Entry'!$§$119), "", 'Data Entry'!$§$119)</f>
      </c>
      <c r="CZ119">
        <f>IF(ISBLANK('Data Entry'!$¨$119), "", 'Data Entry'!$¨$119)</f>
      </c>
      <c r="DA119">
        <f>IF(ISBLANK('Data Entry'!$©$119), "", 'Data Entry'!$©$119)</f>
      </c>
      <c r="DB119">
        <f>IF(ISBLANK('Data Entry'!$ª$119), "", 'Data Entry'!$ª$119)</f>
      </c>
      <c r="DC119">
        <f>IF(ISBLANK('Data Entry'!$«$119), "", 'Data Entry'!$«$119)</f>
      </c>
      <c r="DD119">
        <f>IF(ISBLANK('Data Entry'!$¬$119), "", 'Data Entry'!$¬$119)</f>
      </c>
      <c r="DE119">
        <f>IF(ISBLANK('Data Entry'!$­$119), "", 'Data Entry'!$­$119)</f>
      </c>
      <c r="DF119">
        <f>IF(ISBLANK('Data Entry'!$®$119), "", 'Data Entry'!$®$119)</f>
      </c>
      <c r="DG119">
        <f>IF(ISBLANK('Data Entry'!$¯$119), "", 'Data Entry'!$¯$119)</f>
      </c>
      <c r="DH119">
        <f>IF(ISBLANK('Data Entry'!$°$119), "", 'Data Entry'!$°$119)</f>
      </c>
      <c r="DI119">
        <f>IF(ISBLANK('Data Entry'!$±$119), "", 'Data Entry'!$±$119)</f>
      </c>
      <c r="DJ119">
        <f>IF(ISBLANK('Data Entry'!$²$119), "", 'Data Entry'!$²$119)</f>
      </c>
      <c r="DK119">
        <f>IF(ISBLANK('Data Entry'!$³$119), "", 'Data Entry'!$³$119)</f>
      </c>
      <c r="DL119">
        <f>IF(ISBLANK('Data Entry'!$´$119), "", 'Data Entry'!$´$119)</f>
      </c>
      <c r="DM119">
        <f>IF(ISBLANK('Data Entry'!$µ$119), "", 'Data Entry'!$µ$119)</f>
      </c>
      <c r="DN119">
        <f>IF(ISBLANK('Data Entry'!$¶$119), "", 'Data Entry'!$¶$119)</f>
      </c>
      <c r="DO119">
        <f>IF(ISBLANK('Data Entry'!$·$119), "", 'Data Entry'!$·$119)</f>
      </c>
      <c r="DP119">
        <f>IF(ISBLANK('Data Entry'!$¸$119), "", 'Data Entry'!$¸$119)</f>
      </c>
      <c r="DQ119">
        <f>IF(ISBLANK('Data Entry'!$¹$119), "", 'Data Entry'!$¹$119)</f>
      </c>
      <c r="DR119">
        <f>IF(ISBLANK('Data Entry'!$º$119), "", 'Data Entry'!$º$119)</f>
      </c>
      <c r="DS119">
        <f>IF(ISBLANK('Data Entry'!$»$119), "", 'Data Entry'!$»$119)</f>
      </c>
      <c r="DT119">
        <f>IF(ISBLANK('Data Entry'!$¼$119), "", 'Data Entry'!$¼$119)</f>
      </c>
      <c r="DU119">
        <f>IF(ISBLANK('Data Entry'!$½$119), "", 'Data Entry'!$½$119)</f>
      </c>
      <c r="DV119">
        <f>IF(ISBLANK('Data Entry'!$¾$119), "", 'Data Entry'!$¾$119)</f>
      </c>
      <c r="DW119">
        <f>IF(ISBLANK('Data Entry'!$¿$119), "", 'Data Entry'!$¿$119)</f>
      </c>
      <c r="DX119">
        <f>IF(ISBLANK('Data Entry'!$À$119), "", 'Data Entry'!$À$119)</f>
      </c>
      <c r="DY119">
        <f>IF(ISBLANK('Data Entry'!$Á$119), "", 'Data Entry'!$Á$119)</f>
      </c>
      <c r="DZ119">
        <f>IF(ISBLANK('Data Entry'!$Â$119), "", 'Data Entry'!$Â$119)</f>
      </c>
      <c r="EA119">
        <f>IF(ISBLANK('Data Entry'!$Ã$119), "", 'Data Entry'!$Ã$119)</f>
      </c>
      <c r="EB119">
        <f>IF(ISBLANK('Data Entry'!$Ä$119), "", 'Data Entry'!$Ä$119)</f>
      </c>
      <c r="EC119">
        <f>IF(ISBLANK('Data Entry'!$Å$119), "", 'Data Entry'!$Å$119)</f>
      </c>
      <c r="ED119">
        <f>IF(ISBLANK('Data Entry'!$Æ$119), "", 'Data Entry'!$Æ$119)</f>
      </c>
      <c r="EE119">
        <f>IF(ISBLANK('Data Entry'!$Ç$119), "", 'Data Entry'!$Ç$119)</f>
      </c>
      <c r="EF119">
        <f>IF(ISBLANK('Data Entry'!$È$119), "", 'Data Entry'!$È$119)</f>
      </c>
      <c r="EG119">
        <f>IF(ISBLANK('Data Entry'!$É$119), "", 'Data Entry'!$É$119)</f>
      </c>
      <c r="EH119">
        <f>IF(ISBLANK('Data Entry'!$Ê$119), "", 'Data Entry'!$Ê$119)</f>
      </c>
      <c r="EI119">
        <f>IF(ISBLANK('Data Entry'!$Ë$119), "", 'Data Entry'!$Ë$119)</f>
      </c>
      <c r="EJ119">
        <f>IF(ISBLANK('Data Entry'!$Ì$119), "", 'Data Entry'!$Ì$119)</f>
      </c>
      <c r="EK119">
        <f>IF(ISBLANK('Data Entry'!$Í$119), "", 'Data Entry'!$Í$119)</f>
      </c>
      <c r="EL119">
        <f>IF(ISBLANK('Data Entry'!$Î$119), "", 'Data Entry'!$Î$119)</f>
      </c>
      <c r="EM119">
        <f>IF(ISBLANK('Data Entry'!$Ï$119), "", 'Data Entry'!$Ï$119)</f>
      </c>
      <c r="EN119">
        <f>IF(ISBLANK('Data Entry'!$Ð$119), "", 'Data Entry'!$Ð$119)</f>
      </c>
      <c r="EO119">
        <f>IF(ISBLANK('Data Entry'!$Ñ$119), "", 'Data Entry'!$Ñ$119)</f>
      </c>
      <c r="EP119">
        <f>IF(ISBLANK('Data Entry'!$Ò$119), "", 'Data Entry'!$Ò$119)</f>
      </c>
      <c r="EQ119">
        <f>IF(ISBLANK('Data Entry'!$Ó$119), "", 'Data Entry'!$Ó$119)</f>
      </c>
      <c r="ER119">
        <f>IF(ISBLANK('Data Entry'!$Ô$119), "", 'Data Entry'!$Ô$119)</f>
      </c>
      <c r="ES119">
        <f>IF(ISBLANK('Data Entry'!$Õ$119), "", 'Data Entry'!$Õ$119)</f>
      </c>
      <c r="ET119">
        <f>IF(ISBLANK('Data Entry'!$Ö$119), "", 'Data Entry'!$Ö$119)</f>
      </c>
      <c r="EU119">
        <f>IF(ISBLANK('Data Entry'!$×$119), "", 'Data Entry'!$×$119)</f>
      </c>
      <c r="EV119">
        <f>IF(ISBLANK('Data Entry'!$Ø$119), "", 'Data Entry'!$Ø$119)</f>
      </c>
      <c r="EW119">
        <f>IF(ISBLANK('Data Entry'!$Ù$119), "", 'Data Entry'!$Ù$119)</f>
      </c>
      <c r="EX119">
        <f>IF(ISBLANK('Data Entry'!$Ú$119), "", 'Data Entry'!$Ú$119)</f>
      </c>
      <c r="EY119">
        <f>IF(ISBLANK('Data Entry'!$Û$119), "", 'Data Entry'!$Û$119)</f>
      </c>
      <c r="EZ119">
        <f>IF(ISBLANK('Data Entry'!$Ü$119), "", 'Data Entry'!$Ü$119)</f>
      </c>
      <c r="FA119">
        <f>IF(ISBLANK('Data Entry'!$Ý$119), "", 'Data Entry'!$Ý$119)</f>
      </c>
      <c r="FB119">
        <f>IF(ISBLANK('Data Entry'!$Þ$119), "", 'Data Entry'!$Þ$119)</f>
      </c>
      <c r="FC119">
        <f>IF(ISBLANK('Data Entry'!$ß$119), "", 'Data Entry'!$ß$119)</f>
      </c>
      <c r="FD119">
        <f>IF(ISBLANK('Data Entry'!$à$119), "", 'Data Entry'!$à$119)</f>
      </c>
      <c r="FE119">
        <f>IF(ISBLANK('Data Entry'!$á$119), "", 'Data Entry'!$á$119)</f>
      </c>
      <c r="FF119">
        <f>IF(ISBLANK('Data Entry'!$â$119), "", 'Data Entry'!$â$119)</f>
      </c>
      <c r="FG119">
        <f>IF(ISBLANK('Data Entry'!$ã$119), "", 'Data Entry'!$ã$119)</f>
      </c>
      <c r="FH119">
        <f>IF(ISBLANK('Data Entry'!$ä$119), "", 'Data Entry'!$ä$119)</f>
      </c>
      <c r="FI119">
        <f>IF(ISBLANK('Data Entry'!$å$119), "", 'Data Entry'!$å$119)</f>
      </c>
      <c r="FJ119">
        <f>IF(ISBLANK('Data Entry'!$æ$119), "", 'Data Entry'!$æ$119)</f>
      </c>
      <c r="FK119">
        <f>IF(ISBLANK('Data Entry'!$ç$119), "", 'Data Entry'!$ç$119)</f>
      </c>
      <c r="FL119">
        <f>IF(ISBLANK('Data Entry'!$è$119), "", 'Data Entry'!$è$119)</f>
      </c>
      <c r="FM119">
        <f>IF(ISBLANK('Data Entry'!$é$119), "", 'Data Entry'!$é$119)</f>
      </c>
      <c r="FN119">
        <f>IF(ISBLANK('Data Entry'!$ê$119), "", 'Data Entry'!$ê$119)</f>
      </c>
      <c r="FO119">
        <f>IF(ISBLANK('Data Entry'!$ë$119), "", 'Data Entry'!$ë$119)</f>
      </c>
      <c r="FP119">
        <f>IF(ISBLANK('Data Entry'!$ì$119), "", 'Data Entry'!$ì$119)</f>
      </c>
      <c r="FQ119">
        <f>IF(ISBLANK('Data Entry'!$í$119), "", 'Data Entry'!$í$119)</f>
      </c>
      <c r="FR119">
        <f>IF(ISBLANK('Data Entry'!$î$119), "", 'Data Entry'!$î$119)</f>
      </c>
      <c r="FS119">
        <f>IF(ISBLANK('Data Entry'!$ï$119), "", 'Data Entry'!$ï$119)</f>
      </c>
      <c r="FT119">
        <f>IF(ISBLANK('Data Entry'!$ð$119), "", 'Data Entry'!$ð$119)</f>
      </c>
      <c r="FU119">
        <f>IF(ISBLANK('Data Entry'!$ñ$119), "", 'Data Entry'!$ñ$119)</f>
      </c>
      <c r="FV119">
        <f>IF(ISBLANK('Data Entry'!$ò$119), "", 'Data Entry'!$ò$119)</f>
      </c>
      <c r="FW119">
        <f>IF(ISBLANK('Data Entry'!$ó$119), "", 'Data Entry'!$ó$119)</f>
      </c>
      <c r="FX119">
        <f>IF(ISBLANK('Data Entry'!$ô$119), "", 'Data Entry'!$ô$119)</f>
      </c>
      <c r="FY119">
        <f>IF(ISBLANK('Data Entry'!$õ$119), "", 'Data Entry'!$õ$119)</f>
      </c>
      <c r="FZ119">
        <f>IF(ISBLANK('Data Entry'!$ö$119), "", 'Data Entry'!$ö$119)</f>
      </c>
      <c r="GA119">
        <f>IF(ISBLANK('Data Entry'!$÷$119), "", 'Data Entry'!$÷$119)</f>
      </c>
      <c r="GB119">
        <f>IF(ISBLANK('Data Entry'!$ø$119), "", 'Data Entry'!$ø$119)</f>
      </c>
      <c r="GC119">
        <f>IF(ISBLANK('Data Entry'!$ù$119), "", 'Data Entry'!$ù$119)</f>
      </c>
      <c r="GD119">
        <f>IF(ISBLANK('Data Entry'!$ú$119), "", 'Data Entry'!$ú$119)</f>
      </c>
      <c r="GE119">
        <f>IF(ISBLANK('Data Entry'!$û$119), "", 'Data Entry'!$û$119)</f>
      </c>
      <c r="GF119">
        <f>IF(ISBLANK('Data Entry'!$ü$119), "", 'Data Entry'!$ü$119)</f>
      </c>
      <c r="GG119">
        <f>IF(ISBLANK('Data Entry'!$ý$119), "", 'Data Entry'!$ý$119)</f>
      </c>
      <c r="GH119">
        <f>IF(ISBLANK('Data Entry'!$þ$119), "", 'Data Entry'!$þ$119)</f>
      </c>
      <c r="GI119">
        <f>IF(ISBLANK('Data Entry'!$ÿ$119), "", 'Data Entry'!$ÿ$119)</f>
      </c>
      <c r="GJ119">
        <f>IF(ISBLANK('Data Entry'!$Ā$119), "", 'Data Entry'!$Ā$119)</f>
      </c>
      <c r="GK119">
        <f>IF(ISBLANK('Data Entry'!$ā$119), "", 'Data Entry'!$ā$119)</f>
      </c>
      <c r="GL119">
        <f>IF(ISBLANK('Data Entry'!$Ă$119), "", 'Data Entry'!$Ă$119)</f>
      </c>
      <c r="GM119">
        <f>IF(ISBLANK('Data Entry'!$ă$119), "", 'Data Entry'!$ă$119)</f>
      </c>
      <c r="GN119">
        <f>IF(ISBLANK('Data Entry'!$Ą$119), "", 'Data Entry'!$Ą$119)</f>
      </c>
      <c r="GO119">
        <f>IF(ISBLANK('Data Entry'!$ą$119), "", 'Data Entry'!$ą$119)</f>
      </c>
      <c r="GP119">
        <f>IF(ISBLANK('Data Entry'!$Ć$119), "", 'Data Entry'!$Ć$119)</f>
      </c>
      <c r="GQ119">
        <f>IF(ISBLANK('Data Entry'!$ć$119), "", 'Data Entry'!$ć$119)</f>
      </c>
      <c r="GR119">
        <f>IF(ISBLANK('Data Entry'!$Ĉ$119), "", 'Data Entry'!$Ĉ$119)</f>
      </c>
      <c r="GS119">
        <f>IF(ISBLANK('Data Entry'!$ĉ$119), "", 'Data Entry'!$ĉ$119)</f>
      </c>
      <c r="GT119">
        <f>IF(ISBLANK('Data Entry'!$Ċ$119), "", 'Data Entry'!$Ċ$119)</f>
      </c>
      <c r="GU119">
        <f>IF(ISBLANK('Data Entry'!$ċ$119), "", 'Data Entry'!$ċ$119)</f>
      </c>
      <c r="GV119">
        <f>IF(ISBLANK('Data Entry'!$Č$119), "", 'Data Entry'!$Č$119)</f>
      </c>
      <c r="GW119">
        <f>IF(ISBLANK('Data Entry'!$č$119), "", 'Data Entry'!$č$119)</f>
      </c>
      <c r="GX119">
        <f>IF(ISBLANK('Data Entry'!$Ď$119), "", 'Data Entry'!$Ď$119)</f>
      </c>
      <c r="GY119">
        <f>IF(ISBLANK('Data Entry'!$ď$119), "", 'Data Entry'!$ď$119)</f>
      </c>
      <c r="GZ119">
        <f>IF(ISBLANK('Data Entry'!$Đ$119), "", 'Data Entry'!$Đ$119)</f>
      </c>
      <c r="HA119">
        <f>IF(ISBLANK('Data Entry'!$đ$119), "", 'Data Entry'!$đ$119)</f>
      </c>
      <c r="HB119">
        <f>IF(ISBLANK('Data Entry'!$Ē$119), "", 'Data Entry'!$Ē$119)</f>
      </c>
      <c r="HC119">
        <f>IF(ISBLANK('Data Entry'!$ē$119), "", 'Data Entry'!$ē$119)</f>
      </c>
      <c r="HD119">
        <f>IF(ISBLANK('Data Entry'!$Ĕ$119), "", 'Data Entry'!$Ĕ$119)</f>
      </c>
      <c r="HE119">
        <f>IF(ISBLANK('Data Entry'!$ĕ$119), "", 'Data Entry'!$ĕ$119)</f>
      </c>
      <c r="HF119">
        <f>IF(ISBLANK('Data Entry'!$Ė$119), "", 'Data Entry'!$Ė$119)</f>
      </c>
      <c r="HG119">
        <f>IF(ISBLANK('Data Entry'!$ė$119), "", 'Data Entry'!$ė$119)</f>
      </c>
      <c r="HH119">
        <f>IF(ISBLANK('Data Entry'!$Ę$119), "", 'Data Entry'!$Ę$119)</f>
      </c>
      <c r="HI119">
        <f>IF(ISBLANK('Data Entry'!$ę$119), "", 'Data Entry'!$ę$119)</f>
      </c>
      <c r="HJ119">
        <f>IF(ISBLANK('Data Entry'!$Ě$119), "", 'Data Entry'!$Ě$119)</f>
      </c>
      <c r="HK119">
        <f>IF(ISBLANK('Data Entry'!$ě$119), "", 'Data Entry'!$ě$119)</f>
      </c>
      <c r="HL119">
        <f>IF(ISBLANK('Data Entry'!$Ĝ$119), "", 'Data Entry'!$Ĝ$119)</f>
      </c>
      <c r="HM119">
        <f>IF(ISBLANK('Data Entry'!$ĝ$119), "", 'Data Entry'!$ĝ$119)</f>
      </c>
      <c r="HN119">
        <f>IF(ISBLANK('Data Entry'!$Ğ$119), "", 'Data Entry'!$Ğ$119)</f>
      </c>
      <c r="HO119">
        <f>IF(ISBLANK('Data Entry'!$ğ$119), "", 'Data Entry'!$ğ$119)</f>
      </c>
      <c r="HP119">
        <f>IF(ISBLANK('Data Entry'!$Ġ$119), "", 'Data Entry'!$Ġ$119)</f>
      </c>
      <c r="HQ119">
        <f>IF(ISBLANK('Data Entry'!$ġ$119), "", 'Data Entry'!$ġ$119)</f>
      </c>
      <c r="HR119">
        <f>IF(ISBLANK('Data Entry'!$Ģ$119), "", 'Data Entry'!$Ģ$119)</f>
      </c>
      <c r="HS119">
        <f>IF(ISBLANK('Data Entry'!$ģ$119), "", 'Data Entry'!$ģ$119)</f>
      </c>
      <c r="HT119">
        <f>IF(ISBLANK('Data Entry'!$Ĥ$119), "", 'Data Entry'!$Ĥ$119)</f>
      </c>
      <c r="HU119">
        <f>IF(ISBLANK('Data Entry'!$ĥ$119), "", 'Data Entry'!$ĥ$119)</f>
      </c>
      <c r="HV119">
        <f>IF(ISBLANK('Data Entry'!$Ħ$119), "", 'Data Entry'!$Ħ$119)</f>
      </c>
      <c r="HW119">
        <f>IF(ISBLANK('Data Entry'!$ħ$119), "", 'Data Entry'!$ħ$119)</f>
      </c>
      <c r="HX119">
        <f>IF(ISBLANK('Data Entry'!$Ĩ$119), "", 'Data Entry'!$Ĩ$119)</f>
      </c>
      <c r="HY119">
        <f>IF(ISBLANK('Data Entry'!$ĩ$119), "", 'Data Entry'!$ĩ$119)</f>
      </c>
      <c r="HZ119">
        <f>IF(ISBLANK('Data Entry'!$Ī$119), "", 'Data Entry'!$Ī$119)</f>
      </c>
      <c r="IA119">
        <f>IF(ISBLANK('Data Entry'!$ī$119), "", 'Data Entry'!$ī$119)</f>
      </c>
      <c r="IB119">
        <f>IF(ISBLANK('Data Entry'!$Ĭ$119), "", 'Data Entry'!$Ĭ$119)</f>
      </c>
      <c r="IC119">
        <f>IF(ISBLANK('Data Entry'!$ĭ$119), "", 'Data Entry'!$ĭ$119)</f>
      </c>
      <c r="ID119">
        <f>IF(ISBLANK('Data Entry'!$Į$119), "", 'Data Entry'!$Į$119)</f>
      </c>
      <c r="IE119">
        <f>IF(ISBLANK('Data Entry'!$į$119), "", 'Data Entry'!$į$119)</f>
      </c>
      <c r="IF119">
        <f>IF(ISBLANK('Data Entry'!$İ$119), "", 'Data Entry'!$İ$119)</f>
      </c>
      <c r="IG119">
        <f>IF(ISBLANK('Data Entry'!$ı$119), "", 'Data Entry'!$ı$119)</f>
      </c>
      <c r="IH119">
        <f>IF(ISBLANK('Data Entry'!$Ĳ$119), "", 'Data Entry'!$Ĳ$119)</f>
      </c>
      <c r="II119">
        <f>IF(ISBLANK('Data Entry'!$ĳ$119), "", 'Data Entry'!$ĳ$119)</f>
      </c>
      <c r="IJ119">
        <f>IF(ISBLANK('Data Entry'!$Ĵ$119), "", 'Data Entry'!$Ĵ$119)</f>
      </c>
      <c r="IK119">
        <f>IF(ISBLANK('Data Entry'!$ĵ$119), "", 'Data Entry'!$ĵ$119)</f>
      </c>
      <c r="IL119">
        <f>IF(ISBLANK('Data Entry'!$Ķ$119), "", 'Data Entry'!$Ķ$119)</f>
      </c>
      <c r="IM119">
        <f>IF(ISBLANK('Data Entry'!$ķ$119), "", 'Data Entry'!$ķ$119)</f>
      </c>
      <c r="IN119">
        <f>IF(ISBLANK('Data Entry'!$ĸ$119), "", 'Data Entry'!$ĸ$119)</f>
      </c>
      <c r="IO119">
        <f>IF(ISBLANK('Data Entry'!$Ĺ$119), "", 'Data Entry'!$Ĺ$119)</f>
      </c>
      <c r="IP119">
        <f>IF(ISBLANK('Data Entry'!$ĺ$119), "", 'Data Entry'!$ĺ$119)</f>
      </c>
      <c r="IQ119">
        <f>IF(ISBLANK('Data Entry'!$Ļ$119), "", 'Data Entry'!$Ļ$119)</f>
      </c>
      <c r="IR119">
        <f>IF(ISBLANK('Data Entry'!$ļ$119), "", 'Data Entry'!$ļ$119)</f>
      </c>
      <c r="IS119">
        <f>IF(ISBLANK('Data Entry'!$Ľ$119), "", 'Data Entry'!$Ľ$119)</f>
      </c>
      <c r="IT119">
        <f>IF(ISBLANK('Data Entry'!$ľ$119), "", 'Data Entry'!$ľ$119)</f>
      </c>
    </row>
    <row r="120" spans="1:254" x14ac:dyDescent="0.25">
      <c r="A120">
        <f>IF(ISBLANK('Data Entry'!$A$120), "", 'Data Entry'!$A$120)</f>
      </c>
      <c r="B120">
        <f>IF(ISBLANK('Data Entry'!$B$120), "", 'Data Entry'!$B$120)</f>
      </c>
      <c r="C120">
        <f>IF(ISBLANK('Data Entry'!$C$120), "", 'Data Entry'!$C$120)</f>
      </c>
      <c r="D120">
        <f>IF(ISBLANK('Data Entry'!$D$120), "", 'Data Entry'!$D$120)</f>
      </c>
      <c r="E120">
        <f>IF(ISBLANK('Data Entry'!$E$120), "", 'Data Entry'!$E$120)</f>
      </c>
      <c r="F120">
        <f>IF(ISBLANK('Data Entry'!$F$120), "", 'Data Entry'!$F$120)</f>
      </c>
      <c r="G120">
        <f>IF(ISBLANK('Data Entry'!$G$120), "", 'Data Entry'!$G$120)</f>
      </c>
      <c r="H120">
        <f>IF(ISBLANK('Data Entry'!$H$120), "", 'Data Entry'!$H$120)</f>
      </c>
      <c r="I120">
        <f>IF(ISBLANK('Data Entry'!$I$120), "", 'Data Entry'!$I$120)</f>
      </c>
      <c r="J120">
        <f>IF(ISBLANK('Data Entry'!$J$120), "", 'Data Entry'!$J$120)</f>
      </c>
      <c r="K120">
        <f>IF(ISBLANK('Data Entry'!$K$120), "", 'Data Entry'!$K$120)</f>
      </c>
      <c r="L120">
        <f>IF(ISBLANK('Data Entry'!$L$120), "", 'Data Entry'!$L$120)</f>
      </c>
      <c r="M120">
        <f>IF(ISBLANK('Data Entry'!$M$120), "", 'Data Entry'!$M$120)</f>
      </c>
      <c r="N120">
        <f>IF(ISBLANK('Data Entry'!$N$120), "", 'Data Entry'!$N$120)</f>
      </c>
      <c r="O120">
        <f>IF(ISBLANK('Data Entry'!$O$120), "", 'Data Entry'!$O$120)</f>
      </c>
      <c r="P120">
        <f>IF(ISBLANK('Data Entry'!$P$120), "", 'Data Entry'!$P$120)</f>
      </c>
      <c r="Q120">
        <f>IF(ISBLANK('Data Entry'!$Q$120), "", 'Data Entry'!$Q$120)</f>
      </c>
      <c r="R120">
        <f>IF(ISBLANK('Data Entry'!$R$120), "", 'Data Entry'!$R$120)</f>
      </c>
      <c r="S120">
        <f>IF(ISBLANK('Data Entry'!$S$120), "", 'Data Entry'!$S$120)</f>
      </c>
      <c r="T120">
        <f>IF(ISBLANK('Data Entry'!$T$120), "", 'Data Entry'!$T$120)</f>
      </c>
      <c r="U120">
        <f>IF(ISBLANK('Data Entry'!$U$120), "", 'Data Entry'!$U$120)</f>
      </c>
      <c r="V120">
        <f>IF(ISBLANK('Data Entry'!$V$120), "", 'Data Entry'!$V$120)</f>
      </c>
      <c r="W120">
        <f>IF(ISBLANK('Data Entry'!$W$120), "", 'Data Entry'!$W$120)</f>
      </c>
      <c r="X120">
        <f>IF(ISBLANK('Data Entry'!$X$120), "", 'Data Entry'!$X$120)</f>
      </c>
      <c r="Y120">
        <f>IF(ISBLANK('Data Entry'!$Y$120), "", 'Data Entry'!$Y$120)</f>
      </c>
      <c r="Z120">
        <f>IF(ISBLANK('Data Entry'!$Z$120), "", 'Data Entry'!$Z$120)</f>
      </c>
      <c r="AA120">
        <f>IF(ISBLANK('Data Entry'!$[$120), "", 'Data Entry'!$[$120)</f>
      </c>
      <c r="AB120">
        <f>IF(ISBLANK('Data Entry'!$\$120), "", 'Data Entry'!$\$120)</f>
      </c>
      <c r="AC120">
        <f>IF(ISBLANK('Data Entry'!$]$120), "", 'Data Entry'!$]$120)</f>
      </c>
      <c r="AD120">
        <f>IF(ISBLANK('Data Entry'!$^$120), "", 'Data Entry'!$^$120)</f>
      </c>
      <c r="AE120">
        <f>IF(ISBLANK('Data Entry'!$_$120), "", 'Data Entry'!$_$120)</f>
      </c>
      <c r="AF120">
        <f>IF(ISBLANK('Data Entry'!$`$120), "", 'Data Entry'!$`$120)</f>
      </c>
      <c r="AG120">
        <f>IF(ISBLANK('Data Entry'!$a$120), "", 'Data Entry'!$a$120)</f>
      </c>
      <c r="AH120">
        <f>IF(ISBLANK('Data Entry'!$b$120), "", 'Data Entry'!$b$120)</f>
      </c>
      <c r="AI120">
        <f>IF(ISBLANK('Data Entry'!$c$120), "", 'Data Entry'!$c$120)</f>
      </c>
      <c r="AJ120">
        <f>IF(ISBLANK('Data Entry'!$d$120), "", 'Data Entry'!$d$120)</f>
      </c>
      <c r="AK120">
        <f>IF(ISBLANK('Data Entry'!$e$120), "", 'Data Entry'!$e$120)</f>
      </c>
      <c r="AL120">
        <f>IF(ISBLANK('Data Entry'!$f$120), "", 'Data Entry'!$f$120)</f>
      </c>
      <c r="AM120">
        <f>IF(ISBLANK('Data Entry'!$g$120), "", 'Data Entry'!$g$120)</f>
      </c>
      <c r="AN120">
        <f>IF(ISBLANK('Data Entry'!$h$120), "", 'Data Entry'!$h$120)</f>
      </c>
      <c r="AO120">
        <f>IF(ISBLANK('Data Entry'!$i$120), "", 'Data Entry'!$i$120)</f>
      </c>
      <c r="AP120">
        <f>IF(ISBLANK('Data Entry'!$j$120), "", 'Data Entry'!$j$120)</f>
      </c>
      <c r="AQ120">
        <f>IF(ISBLANK('Data Entry'!$k$120), "", 'Data Entry'!$k$120)</f>
      </c>
      <c r="AR120">
        <f>IF(ISBLANK('Data Entry'!$l$120), "", 'Data Entry'!$l$120)</f>
      </c>
      <c r="AS120">
        <f>IF(ISBLANK('Data Entry'!$m$120), "", 'Data Entry'!$m$120)</f>
      </c>
      <c r="AT120">
        <f>IF(ISBLANK('Data Entry'!$n$120), "", 'Data Entry'!$n$120)</f>
      </c>
      <c r="AU120">
        <f>IF(ISBLANK('Data Entry'!$o$120), "", 'Data Entry'!$o$120)</f>
      </c>
      <c r="AV120">
        <f>IF(ISBLANK('Data Entry'!$p$120), "", 'Data Entry'!$p$120)</f>
      </c>
      <c r="AW120">
        <f>IF(ISBLANK('Data Entry'!$q$120), "", 'Data Entry'!$q$120)</f>
      </c>
      <c r="AX120">
        <f>IF(ISBLANK('Data Entry'!$r$120), "", 'Data Entry'!$r$120)</f>
      </c>
      <c r="AY120">
        <f>IF(ISBLANK('Data Entry'!$s$120), "", 'Data Entry'!$s$120)</f>
      </c>
      <c r="AZ120">
        <f>IF(ISBLANK('Data Entry'!$t$120), "", 'Data Entry'!$t$120)</f>
      </c>
      <c r="BA120">
        <f>IF(ISBLANK('Data Entry'!$u$120), "", 'Data Entry'!$u$120)</f>
      </c>
      <c r="BB120">
        <f>IF(ISBLANK('Data Entry'!$v$120), "", 'Data Entry'!$v$120)</f>
      </c>
      <c r="BC120">
        <f>IF(ISBLANK('Data Entry'!$w$120), "", 'Data Entry'!$w$120)</f>
      </c>
      <c r="BD120">
        <f>IF(ISBLANK('Data Entry'!$x$120), "", 'Data Entry'!$x$120)</f>
      </c>
      <c r="BE120">
        <f>IF(ISBLANK('Data Entry'!$y$120), "", 'Data Entry'!$y$120)</f>
      </c>
      <c r="BF120">
        <f>IF(ISBLANK('Data Entry'!$z$120), "", 'Data Entry'!$z$120)</f>
      </c>
      <c r="BG120">
        <f>IF(ISBLANK('Data Entry'!${$120), "", 'Data Entry'!${$120)</f>
      </c>
      <c r="BH120">
        <f>IF(ISBLANK('Data Entry'!$|$120), "", 'Data Entry'!$|$120)</f>
      </c>
      <c r="BI120">
        <f>IF(ISBLANK('Data Entry'!$}$120), "", 'Data Entry'!$}$120)</f>
      </c>
      <c r="BJ120">
        <f>IF(ISBLANK('Data Entry'!$~$120), "", 'Data Entry'!$~$120)</f>
      </c>
      <c r="BK120">
        <f>IF(ISBLANK('Data Entry'!$$120), "", 'Data Entry'!$$120)</f>
      </c>
      <c r="BL120">
        <f>IF(ISBLANK('Data Entry'!$$120), "", 'Data Entry'!$$120)</f>
      </c>
      <c r="BM120">
        <f>IF(ISBLANK('Data Entry'!$$120), "", 'Data Entry'!$$120)</f>
      </c>
      <c r="BN120">
        <f>IF(ISBLANK('Data Entry'!$$120), "", 'Data Entry'!$$120)</f>
      </c>
      <c r="BO120">
        <f>IF(ISBLANK('Data Entry'!$$120), "", 'Data Entry'!$$120)</f>
      </c>
      <c r="BP120">
        <f>IF(ISBLANK('Data Entry'!$$120), "", 'Data Entry'!$$120)</f>
      </c>
      <c r="BQ120">
        <f>IF(ISBLANK('Data Entry'!$$120), "", 'Data Entry'!$$120)</f>
      </c>
      <c r="BR120">
        <f>IF(ISBLANK('Data Entry'!$$120), "", 'Data Entry'!$$120)</f>
      </c>
      <c r="BS120">
        <f>IF(ISBLANK('Data Entry'!$$120), "", 'Data Entry'!$$120)</f>
      </c>
      <c r="BT120">
        <f>IF(ISBLANK('Data Entry'!$$120), "", 'Data Entry'!$$120)</f>
      </c>
      <c r="BU120">
        <f>IF(ISBLANK('Data Entry'!$$120), "", 'Data Entry'!$$120)</f>
      </c>
      <c r="BV120">
        <f>IF(ISBLANK('Data Entry'!$$120), "", 'Data Entry'!$$120)</f>
      </c>
      <c r="BW120">
        <f>IF(ISBLANK('Data Entry'!$$120), "", 'Data Entry'!$$120)</f>
      </c>
      <c r="BX120">
        <f>IF(ISBLANK('Data Entry'!$$120), "", 'Data Entry'!$$120)</f>
      </c>
      <c r="BY120">
        <f>IF(ISBLANK('Data Entry'!$$120), "", 'Data Entry'!$$120)</f>
      </c>
      <c r="BZ120">
        <f>IF(ISBLANK('Data Entry'!$$120), "", 'Data Entry'!$$120)</f>
      </c>
      <c r="CA120">
        <f>IF(ISBLANK('Data Entry'!$$120), "", 'Data Entry'!$$120)</f>
      </c>
      <c r="CB120">
        <f>IF(ISBLANK('Data Entry'!$$120), "", 'Data Entry'!$$120)</f>
      </c>
      <c r="CC120">
        <f>IF(ISBLANK('Data Entry'!$$120), "", 'Data Entry'!$$120)</f>
      </c>
      <c r="CD120">
        <f>IF(ISBLANK('Data Entry'!$$120), "", 'Data Entry'!$$120)</f>
      </c>
      <c r="CE120">
        <f>IF(ISBLANK('Data Entry'!$$120), "", 'Data Entry'!$$120)</f>
      </c>
      <c r="CF120">
        <f>IF(ISBLANK('Data Entry'!$$120), "", 'Data Entry'!$$120)</f>
      </c>
      <c r="CG120">
        <f>IF(ISBLANK('Data Entry'!$$120), "", 'Data Entry'!$$120)</f>
      </c>
      <c r="CH120">
        <f>IF(ISBLANK('Data Entry'!$$120), "", 'Data Entry'!$$120)</f>
      </c>
      <c r="CI120">
        <f>IF(ISBLANK('Data Entry'!$$120), "", 'Data Entry'!$$120)</f>
      </c>
      <c r="CJ120">
        <f>IF(ISBLANK('Data Entry'!$$120), "", 'Data Entry'!$$120)</f>
      </c>
      <c r="CK120">
        <f>IF(ISBLANK('Data Entry'!$$120), "", 'Data Entry'!$$120)</f>
      </c>
      <c r="CL120">
        <f>IF(ISBLANK('Data Entry'!$$120), "", 'Data Entry'!$$120)</f>
      </c>
      <c r="CM120">
        <f>IF(ISBLANK('Data Entry'!$$120), "", 'Data Entry'!$$120)</f>
      </c>
      <c r="CN120">
        <f>IF(ISBLANK('Data Entry'!$$120), "", 'Data Entry'!$$120)</f>
      </c>
      <c r="CO120">
        <f>IF(ISBLANK('Data Entry'!$$120), "", 'Data Entry'!$$120)</f>
      </c>
      <c r="CP120">
        <f>IF(ISBLANK('Data Entry'!$$120), "", 'Data Entry'!$$120)</f>
      </c>
      <c r="CQ120">
        <f>IF(ISBLANK('Data Entry'!$$120), "", 'Data Entry'!$$120)</f>
      </c>
      <c r="CR120">
        <f>IF(ISBLANK('Data Entry'!$ $120), "", 'Data Entry'!$ $120)</f>
      </c>
      <c r="CS120">
        <f>IF(ISBLANK('Data Entry'!$¡$120), "", 'Data Entry'!$¡$120)</f>
      </c>
      <c r="CT120">
        <f>IF(ISBLANK('Data Entry'!$¢$120), "", 'Data Entry'!$¢$120)</f>
      </c>
      <c r="CU120">
        <f>IF(ISBLANK('Data Entry'!$£$120), "", 'Data Entry'!$£$120)</f>
      </c>
      <c r="CV120">
        <f>IF(ISBLANK('Data Entry'!$¤$120), "", 'Data Entry'!$¤$120)</f>
      </c>
      <c r="CW120">
        <f>IF(ISBLANK('Data Entry'!$¥$120), "", 'Data Entry'!$¥$120)</f>
      </c>
      <c r="CX120">
        <f>IF(ISBLANK('Data Entry'!$¦$120), "", 'Data Entry'!$¦$120)</f>
      </c>
      <c r="CY120">
        <f>IF(ISBLANK('Data Entry'!$§$120), "", 'Data Entry'!$§$120)</f>
      </c>
      <c r="CZ120">
        <f>IF(ISBLANK('Data Entry'!$¨$120), "", 'Data Entry'!$¨$120)</f>
      </c>
      <c r="DA120">
        <f>IF(ISBLANK('Data Entry'!$©$120), "", 'Data Entry'!$©$120)</f>
      </c>
      <c r="DB120">
        <f>IF(ISBLANK('Data Entry'!$ª$120), "", 'Data Entry'!$ª$120)</f>
      </c>
      <c r="DC120">
        <f>IF(ISBLANK('Data Entry'!$«$120), "", 'Data Entry'!$«$120)</f>
      </c>
      <c r="DD120">
        <f>IF(ISBLANK('Data Entry'!$¬$120), "", 'Data Entry'!$¬$120)</f>
      </c>
      <c r="DE120">
        <f>IF(ISBLANK('Data Entry'!$­$120), "", 'Data Entry'!$­$120)</f>
      </c>
      <c r="DF120">
        <f>IF(ISBLANK('Data Entry'!$®$120), "", 'Data Entry'!$®$120)</f>
      </c>
      <c r="DG120">
        <f>IF(ISBLANK('Data Entry'!$¯$120), "", 'Data Entry'!$¯$120)</f>
      </c>
      <c r="DH120">
        <f>IF(ISBLANK('Data Entry'!$°$120), "", 'Data Entry'!$°$120)</f>
      </c>
      <c r="DI120">
        <f>IF(ISBLANK('Data Entry'!$±$120), "", 'Data Entry'!$±$120)</f>
      </c>
      <c r="DJ120">
        <f>IF(ISBLANK('Data Entry'!$²$120), "", 'Data Entry'!$²$120)</f>
      </c>
      <c r="DK120">
        <f>IF(ISBLANK('Data Entry'!$³$120), "", 'Data Entry'!$³$120)</f>
      </c>
      <c r="DL120">
        <f>IF(ISBLANK('Data Entry'!$´$120), "", 'Data Entry'!$´$120)</f>
      </c>
      <c r="DM120">
        <f>IF(ISBLANK('Data Entry'!$µ$120), "", 'Data Entry'!$µ$120)</f>
      </c>
      <c r="DN120">
        <f>IF(ISBLANK('Data Entry'!$¶$120), "", 'Data Entry'!$¶$120)</f>
      </c>
      <c r="DO120">
        <f>IF(ISBLANK('Data Entry'!$·$120), "", 'Data Entry'!$·$120)</f>
      </c>
      <c r="DP120">
        <f>IF(ISBLANK('Data Entry'!$¸$120), "", 'Data Entry'!$¸$120)</f>
      </c>
      <c r="DQ120">
        <f>IF(ISBLANK('Data Entry'!$¹$120), "", 'Data Entry'!$¹$120)</f>
      </c>
      <c r="DR120">
        <f>IF(ISBLANK('Data Entry'!$º$120), "", 'Data Entry'!$º$120)</f>
      </c>
      <c r="DS120">
        <f>IF(ISBLANK('Data Entry'!$»$120), "", 'Data Entry'!$»$120)</f>
      </c>
      <c r="DT120">
        <f>IF(ISBLANK('Data Entry'!$¼$120), "", 'Data Entry'!$¼$120)</f>
      </c>
      <c r="DU120">
        <f>IF(ISBLANK('Data Entry'!$½$120), "", 'Data Entry'!$½$120)</f>
      </c>
      <c r="DV120">
        <f>IF(ISBLANK('Data Entry'!$¾$120), "", 'Data Entry'!$¾$120)</f>
      </c>
      <c r="DW120">
        <f>IF(ISBLANK('Data Entry'!$¿$120), "", 'Data Entry'!$¿$120)</f>
      </c>
      <c r="DX120">
        <f>IF(ISBLANK('Data Entry'!$À$120), "", 'Data Entry'!$À$120)</f>
      </c>
      <c r="DY120">
        <f>IF(ISBLANK('Data Entry'!$Á$120), "", 'Data Entry'!$Á$120)</f>
      </c>
      <c r="DZ120">
        <f>IF(ISBLANK('Data Entry'!$Â$120), "", 'Data Entry'!$Â$120)</f>
      </c>
      <c r="EA120">
        <f>IF(ISBLANK('Data Entry'!$Ã$120), "", 'Data Entry'!$Ã$120)</f>
      </c>
      <c r="EB120">
        <f>IF(ISBLANK('Data Entry'!$Ä$120), "", 'Data Entry'!$Ä$120)</f>
      </c>
      <c r="EC120">
        <f>IF(ISBLANK('Data Entry'!$Å$120), "", 'Data Entry'!$Å$120)</f>
      </c>
      <c r="ED120">
        <f>IF(ISBLANK('Data Entry'!$Æ$120), "", 'Data Entry'!$Æ$120)</f>
      </c>
      <c r="EE120">
        <f>IF(ISBLANK('Data Entry'!$Ç$120), "", 'Data Entry'!$Ç$120)</f>
      </c>
      <c r="EF120">
        <f>IF(ISBLANK('Data Entry'!$È$120), "", 'Data Entry'!$È$120)</f>
      </c>
      <c r="EG120">
        <f>IF(ISBLANK('Data Entry'!$É$120), "", 'Data Entry'!$É$120)</f>
      </c>
      <c r="EH120">
        <f>IF(ISBLANK('Data Entry'!$Ê$120), "", 'Data Entry'!$Ê$120)</f>
      </c>
      <c r="EI120">
        <f>IF(ISBLANK('Data Entry'!$Ë$120), "", 'Data Entry'!$Ë$120)</f>
      </c>
      <c r="EJ120">
        <f>IF(ISBLANK('Data Entry'!$Ì$120), "", 'Data Entry'!$Ì$120)</f>
      </c>
      <c r="EK120">
        <f>IF(ISBLANK('Data Entry'!$Í$120), "", 'Data Entry'!$Í$120)</f>
      </c>
      <c r="EL120">
        <f>IF(ISBLANK('Data Entry'!$Î$120), "", 'Data Entry'!$Î$120)</f>
      </c>
      <c r="EM120">
        <f>IF(ISBLANK('Data Entry'!$Ï$120), "", 'Data Entry'!$Ï$120)</f>
      </c>
      <c r="EN120">
        <f>IF(ISBLANK('Data Entry'!$Ð$120), "", 'Data Entry'!$Ð$120)</f>
      </c>
      <c r="EO120">
        <f>IF(ISBLANK('Data Entry'!$Ñ$120), "", 'Data Entry'!$Ñ$120)</f>
      </c>
      <c r="EP120">
        <f>IF(ISBLANK('Data Entry'!$Ò$120), "", 'Data Entry'!$Ò$120)</f>
      </c>
      <c r="EQ120">
        <f>IF(ISBLANK('Data Entry'!$Ó$120), "", 'Data Entry'!$Ó$120)</f>
      </c>
      <c r="ER120">
        <f>IF(ISBLANK('Data Entry'!$Ô$120), "", 'Data Entry'!$Ô$120)</f>
      </c>
      <c r="ES120">
        <f>IF(ISBLANK('Data Entry'!$Õ$120), "", 'Data Entry'!$Õ$120)</f>
      </c>
      <c r="ET120">
        <f>IF(ISBLANK('Data Entry'!$Ö$120), "", 'Data Entry'!$Ö$120)</f>
      </c>
      <c r="EU120">
        <f>IF(ISBLANK('Data Entry'!$×$120), "", 'Data Entry'!$×$120)</f>
      </c>
      <c r="EV120">
        <f>IF(ISBLANK('Data Entry'!$Ø$120), "", 'Data Entry'!$Ø$120)</f>
      </c>
      <c r="EW120">
        <f>IF(ISBLANK('Data Entry'!$Ù$120), "", 'Data Entry'!$Ù$120)</f>
      </c>
      <c r="EX120">
        <f>IF(ISBLANK('Data Entry'!$Ú$120), "", 'Data Entry'!$Ú$120)</f>
      </c>
      <c r="EY120">
        <f>IF(ISBLANK('Data Entry'!$Û$120), "", 'Data Entry'!$Û$120)</f>
      </c>
      <c r="EZ120">
        <f>IF(ISBLANK('Data Entry'!$Ü$120), "", 'Data Entry'!$Ü$120)</f>
      </c>
      <c r="FA120">
        <f>IF(ISBLANK('Data Entry'!$Ý$120), "", 'Data Entry'!$Ý$120)</f>
      </c>
      <c r="FB120">
        <f>IF(ISBLANK('Data Entry'!$Þ$120), "", 'Data Entry'!$Þ$120)</f>
      </c>
      <c r="FC120">
        <f>IF(ISBLANK('Data Entry'!$ß$120), "", 'Data Entry'!$ß$120)</f>
      </c>
      <c r="FD120">
        <f>IF(ISBLANK('Data Entry'!$à$120), "", 'Data Entry'!$à$120)</f>
      </c>
      <c r="FE120">
        <f>IF(ISBLANK('Data Entry'!$á$120), "", 'Data Entry'!$á$120)</f>
      </c>
      <c r="FF120">
        <f>IF(ISBLANK('Data Entry'!$â$120), "", 'Data Entry'!$â$120)</f>
      </c>
      <c r="FG120">
        <f>IF(ISBLANK('Data Entry'!$ã$120), "", 'Data Entry'!$ã$120)</f>
      </c>
      <c r="FH120">
        <f>IF(ISBLANK('Data Entry'!$ä$120), "", 'Data Entry'!$ä$120)</f>
      </c>
      <c r="FI120">
        <f>IF(ISBLANK('Data Entry'!$å$120), "", 'Data Entry'!$å$120)</f>
      </c>
      <c r="FJ120">
        <f>IF(ISBLANK('Data Entry'!$æ$120), "", 'Data Entry'!$æ$120)</f>
      </c>
      <c r="FK120">
        <f>IF(ISBLANK('Data Entry'!$ç$120), "", 'Data Entry'!$ç$120)</f>
      </c>
      <c r="FL120">
        <f>IF(ISBLANK('Data Entry'!$è$120), "", 'Data Entry'!$è$120)</f>
      </c>
      <c r="FM120">
        <f>IF(ISBLANK('Data Entry'!$é$120), "", 'Data Entry'!$é$120)</f>
      </c>
      <c r="FN120">
        <f>IF(ISBLANK('Data Entry'!$ê$120), "", 'Data Entry'!$ê$120)</f>
      </c>
      <c r="FO120">
        <f>IF(ISBLANK('Data Entry'!$ë$120), "", 'Data Entry'!$ë$120)</f>
      </c>
      <c r="FP120">
        <f>IF(ISBLANK('Data Entry'!$ì$120), "", 'Data Entry'!$ì$120)</f>
      </c>
      <c r="FQ120">
        <f>IF(ISBLANK('Data Entry'!$í$120), "", 'Data Entry'!$í$120)</f>
      </c>
      <c r="FR120">
        <f>IF(ISBLANK('Data Entry'!$î$120), "", 'Data Entry'!$î$120)</f>
      </c>
      <c r="FS120">
        <f>IF(ISBLANK('Data Entry'!$ï$120), "", 'Data Entry'!$ï$120)</f>
      </c>
      <c r="FT120">
        <f>IF(ISBLANK('Data Entry'!$ð$120), "", 'Data Entry'!$ð$120)</f>
      </c>
      <c r="FU120">
        <f>IF(ISBLANK('Data Entry'!$ñ$120), "", 'Data Entry'!$ñ$120)</f>
      </c>
      <c r="FV120">
        <f>IF(ISBLANK('Data Entry'!$ò$120), "", 'Data Entry'!$ò$120)</f>
      </c>
      <c r="FW120">
        <f>IF(ISBLANK('Data Entry'!$ó$120), "", 'Data Entry'!$ó$120)</f>
      </c>
      <c r="FX120">
        <f>IF(ISBLANK('Data Entry'!$ô$120), "", 'Data Entry'!$ô$120)</f>
      </c>
      <c r="FY120">
        <f>IF(ISBLANK('Data Entry'!$õ$120), "", 'Data Entry'!$õ$120)</f>
      </c>
      <c r="FZ120">
        <f>IF(ISBLANK('Data Entry'!$ö$120), "", 'Data Entry'!$ö$120)</f>
      </c>
      <c r="GA120">
        <f>IF(ISBLANK('Data Entry'!$÷$120), "", 'Data Entry'!$÷$120)</f>
      </c>
      <c r="GB120">
        <f>IF(ISBLANK('Data Entry'!$ø$120), "", 'Data Entry'!$ø$120)</f>
      </c>
      <c r="GC120">
        <f>IF(ISBLANK('Data Entry'!$ù$120), "", 'Data Entry'!$ù$120)</f>
      </c>
      <c r="GD120">
        <f>IF(ISBLANK('Data Entry'!$ú$120), "", 'Data Entry'!$ú$120)</f>
      </c>
      <c r="GE120">
        <f>IF(ISBLANK('Data Entry'!$û$120), "", 'Data Entry'!$û$120)</f>
      </c>
      <c r="GF120">
        <f>IF(ISBLANK('Data Entry'!$ü$120), "", 'Data Entry'!$ü$120)</f>
      </c>
      <c r="GG120">
        <f>IF(ISBLANK('Data Entry'!$ý$120), "", 'Data Entry'!$ý$120)</f>
      </c>
      <c r="GH120">
        <f>IF(ISBLANK('Data Entry'!$þ$120), "", 'Data Entry'!$þ$120)</f>
      </c>
      <c r="GI120">
        <f>IF(ISBLANK('Data Entry'!$ÿ$120), "", 'Data Entry'!$ÿ$120)</f>
      </c>
      <c r="GJ120">
        <f>IF(ISBLANK('Data Entry'!$Ā$120), "", 'Data Entry'!$Ā$120)</f>
      </c>
      <c r="GK120">
        <f>IF(ISBLANK('Data Entry'!$ā$120), "", 'Data Entry'!$ā$120)</f>
      </c>
      <c r="GL120">
        <f>IF(ISBLANK('Data Entry'!$Ă$120), "", 'Data Entry'!$Ă$120)</f>
      </c>
      <c r="GM120">
        <f>IF(ISBLANK('Data Entry'!$ă$120), "", 'Data Entry'!$ă$120)</f>
      </c>
      <c r="GN120">
        <f>IF(ISBLANK('Data Entry'!$Ą$120), "", 'Data Entry'!$Ą$120)</f>
      </c>
      <c r="GO120">
        <f>IF(ISBLANK('Data Entry'!$ą$120), "", 'Data Entry'!$ą$120)</f>
      </c>
      <c r="GP120">
        <f>IF(ISBLANK('Data Entry'!$Ć$120), "", 'Data Entry'!$Ć$120)</f>
      </c>
      <c r="GQ120">
        <f>IF(ISBLANK('Data Entry'!$ć$120), "", 'Data Entry'!$ć$120)</f>
      </c>
      <c r="GR120">
        <f>IF(ISBLANK('Data Entry'!$Ĉ$120), "", 'Data Entry'!$Ĉ$120)</f>
      </c>
      <c r="GS120">
        <f>IF(ISBLANK('Data Entry'!$ĉ$120), "", 'Data Entry'!$ĉ$120)</f>
      </c>
      <c r="GT120">
        <f>IF(ISBLANK('Data Entry'!$Ċ$120), "", 'Data Entry'!$Ċ$120)</f>
      </c>
      <c r="GU120">
        <f>IF(ISBLANK('Data Entry'!$ċ$120), "", 'Data Entry'!$ċ$120)</f>
      </c>
      <c r="GV120">
        <f>IF(ISBLANK('Data Entry'!$Č$120), "", 'Data Entry'!$Č$120)</f>
      </c>
      <c r="GW120">
        <f>IF(ISBLANK('Data Entry'!$č$120), "", 'Data Entry'!$č$120)</f>
      </c>
      <c r="GX120">
        <f>IF(ISBLANK('Data Entry'!$Ď$120), "", 'Data Entry'!$Ď$120)</f>
      </c>
      <c r="GY120">
        <f>IF(ISBLANK('Data Entry'!$ď$120), "", 'Data Entry'!$ď$120)</f>
      </c>
      <c r="GZ120">
        <f>IF(ISBLANK('Data Entry'!$Đ$120), "", 'Data Entry'!$Đ$120)</f>
      </c>
      <c r="HA120">
        <f>IF(ISBLANK('Data Entry'!$đ$120), "", 'Data Entry'!$đ$120)</f>
      </c>
      <c r="HB120">
        <f>IF(ISBLANK('Data Entry'!$Ē$120), "", 'Data Entry'!$Ē$120)</f>
      </c>
      <c r="HC120">
        <f>IF(ISBLANK('Data Entry'!$ē$120), "", 'Data Entry'!$ē$120)</f>
      </c>
      <c r="HD120">
        <f>IF(ISBLANK('Data Entry'!$Ĕ$120), "", 'Data Entry'!$Ĕ$120)</f>
      </c>
      <c r="HE120">
        <f>IF(ISBLANK('Data Entry'!$ĕ$120), "", 'Data Entry'!$ĕ$120)</f>
      </c>
      <c r="HF120">
        <f>IF(ISBLANK('Data Entry'!$Ė$120), "", 'Data Entry'!$Ė$120)</f>
      </c>
      <c r="HG120">
        <f>IF(ISBLANK('Data Entry'!$ė$120), "", 'Data Entry'!$ė$120)</f>
      </c>
      <c r="HH120">
        <f>IF(ISBLANK('Data Entry'!$Ę$120), "", 'Data Entry'!$Ę$120)</f>
      </c>
      <c r="HI120">
        <f>IF(ISBLANK('Data Entry'!$ę$120), "", 'Data Entry'!$ę$120)</f>
      </c>
      <c r="HJ120">
        <f>IF(ISBLANK('Data Entry'!$Ě$120), "", 'Data Entry'!$Ě$120)</f>
      </c>
      <c r="HK120">
        <f>IF(ISBLANK('Data Entry'!$ě$120), "", 'Data Entry'!$ě$120)</f>
      </c>
      <c r="HL120">
        <f>IF(ISBLANK('Data Entry'!$Ĝ$120), "", 'Data Entry'!$Ĝ$120)</f>
      </c>
      <c r="HM120">
        <f>IF(ISBLANK('Data Entry'!$ĝ$120), "", 'Data Entry'!$ĝ$120)</f>
      </c>
      <c r="HN120">
        <f>IF(ISBLANK('Data Entry'!$Ğ$120), "", 'Data Entry'!$Ğ$120)</f>
      </c>
      <c r="HO120">
        <f>IF(ISBLANK('Data Entry'!$ğ$120), "", 'Data Entry'!$ğ$120)</f>
      </c>
      <c r="HP120">
        <f>IF(ISBLANK('Data Entry'!$Ġ$120), "", 'Data Entry'!$Ġ$120)</f>
      </c>
      <c r="HQ120">
        <f>IF(ISBLANK('Data Entry'!$ġ$120), "", 'Data Entry'!$ġ$120)</f>
      </c>
      <c r="HR120">
        <f>IF(ISBLANK('Data Entry'!$Ģ$120), "", 'Data Entry'!$Ģ$120)</f>
      </c>
      <c r="HS120">
        <f>IF(ISBLANK('Data Entry'!$ģ$120), "", 'Data Entry'!$ģ$120)</f>
      </c>
      <c r="HT120">
        <f>IF(ISBLANK('Data Entry'!$Ĥ$120), "", 'Data Entry'!$Ĥ$120)</f>
      </c>
      <c r="HU120">
        <f>IF(ISBLANK('Data Entry'!$ĥ$120), "", 'Data Entry'!$ĥ$120)</f>
      </c>
      <c r="HV120">
        <f>IF(ISBLANK('Data Entry'!$Ħ$120), "", 'Data Entry'!$Ħ$120)</f>
      </c>
      <c r="HW120">
        <f>IF(ISBLANK('Data Entry'!$ħ$120), "", 'Data Entry'!$ħ$120)</f>
      </c>
      <c r="HX120">
        <f>IF(ISBLANK('Data Entry'!$Ĩ$120), "", 'Data Entry'!$Ĩ$120)</f>
      </c>
      <c r="HY120">
        <f>IF(ISBLANK('Data Entry'!$ĩ$120), "", 'Data Entry'!$ĩ$120)</f>
      </c>
      <c r="HZ120">
        <f>IF(ISBLANK('Data Entry'!$Ī$120), "", 'Data Entry'!$Ī$120)</f>
      </c>
      <c r="IA120">
        <f>IF(ISBLANK('Data Entry'!$ī$120), "", 'Data Entry'!$ī$120)</f>
      </c>
      <c r="IB120">
        <f>IF(ISBLANK('Data Entry'!$Ĭ$120), "", 'Data Entry'!$Ĭ$120)</f>
      </c>
      <c r="IC120">
        <f>IF(ISBLANK('Data Entry'!$ĭ$120), "", 'Data Entry'!$ĭ$120)</f>
      </c>
      <c r="ID120">
        <f>IF(ISBLANK('Data Entry'!$Į$120), "", 'Data Entry'!$Į$120)</f>
      </c>
      <c r="IE120">
        <f>IF(ISBLANK('Data Entry'!$į$120), "", 'Data Entry'!$į$120)</f>
      </c>
      <c r="IF120">
        <f>IF(ISBLANK('Data Entry'!$İ$120), "", 'Data Entry'!$İ$120)</f>
      </c>
      <c r="IG120">
        <f>IF(ISBLANK('Data Entry'!$ı$120), "", 'Data Entry'!$ı$120)</f>
      </c>
      <c r="IH120">
        <f>IF(ISBLANK('Data Entry'!$Ĳ$120), "", 'Data Entry'!$Ĳ$120)</f>
      </c>
      <c r="II120">
        <f>IF(ISBLANK('Data Entry'!$ĳ$120), "", 'Data Entry'!$ĳ$120)</f>
      </c>
      <c r="IJ120">
        <f>IF(ISBLANK('Data Entry'!$Ĵ$120), "", 'Data Entry'!$Ĵ$120)</f>
      </c>
      <c r="IK120">
        <f>IF(ISBLANK('Data Entry'!$ĵ$120), "", 'Data Entry'!$ĵ$120)</f>
      </c>
      <c r="IL120">
        <f>IF(ISBLANK('Data Entry'!$Ķ$120), "", 'Data Entry'!$Ķ$120)</f>
      </c>
      <c r="IM120">
        <f>IF(ISBLANK('Data Entry'!$ķ$120), "", 'Data Entry'!$ķ$120)</f>
      </c>
      <c r="IN120">
        <f>IF(ISBLANK('Data Entry'!$ĸ$120), "", 'Data Entry'!$ĸ$120)</f>
      </c>
      <c r="IO120">
        <f>IF(ISBLANK('Data Entry'!$Ĺ$120), "", 'Data Entry'!$Ĺ$120)</f>
      </c>
      <c r="IP120">
        <f>IF(ISBLANK('Data Entry'!$ĺ$120), "", 'Data Entry'!$ĺ$120)</f>
      </c>
      <c r="IQ120">
        <f>IF(ISBLANK('Data Entry'!$Ļ$120), "", 'Data Entry'!$Ļ$120)</f>
      </c>
      <c r="IR120">
        <f>IF(ISBLANK('Data Entry'!$ļ$120), "", 'Data Entry'!$ļ$120)</f>
      </c>
      <c r="IS120">
        <f>IF(ISBLANK('Data Entry'!$Ľ$120), "", 'Data Entry'!$Ľ$120)</f>
      </c>
      <c r="IT120">
        <f>IF(ISBLANK('Data Entry'!$ľ$120), "", 'Data Entry'!$ľ$120)</f>
      </c>
    </row>
    <row r="121" spans="1:254" x14ac:dyDescent="0.25">
      <c r="A121">
        <f>IF(ISBLANK('Data Entry'!$A$121), "", 'Data Entry'!$A$121)</f>
      </c>
      <c r="B121">
        <f>IF(ISBLANK('Data Entry'!$B$121), "", 'Data Entry'!$B$121)</f>
      </c>
      <c r="C121">
        <f>IF(ISBLANK('Data Entry'!$C$121), "", 'Data Entry'!$C$121)</f>
      </c>
      <c r="D121">
        <f>IF(ISBLANK('Data Entry'!$D$121), "", 'Data Entry'!$D$121)</f>
      </c>
      <c r="E121">
        <f>IF(ISBLANK('Data Entry'!$E$121), "", 'Data Entry'!$E$121)</f>
      </c>
      <c r="F121">
        <f>IF(ISBLANK('Data Entry'!$F$121), "", 'Data Entry'!$F$121)</f>
      </c>
      <c r="G121">
        <f>IF(ISBLANK('Data Entry'!$G$121), "", 'Data Entry'!$G$121)</f>
      </c>
      <c r="H121">
        <f>IF(ISBLANK('Data Entry'!$H$121), "", 'Data Entry'!$H$121)</f>
      </c>
      <c r="I121">
        <f>IF(ISBLANK('Data Entry'!$I$121), "", 'Data Entry'!$I$121)</f>
      </c>
      <c r="J121">
        <f>IF(ISBLANK('Data Entry'!$J$121), "", 'Data Entry'!$J$121)</f>
      </c>
      <c r="K121">
        <f>IF(ISBLANK('Data Entry'!$K$121), "", 'Data Entry'!$K$121)</f>
      </c>
      <c r="L121">
        <f>IF(ISBLANK('Data Entry'!$L$121), "", 'Data Entry'!$L$121)</f>
      </c>
      <c r="M121">
        <f>IF(ISBLANK('Data Entry'!$M$121), "", 'Data Entry'!$M$121)</f>
      </c>
      <c r="N121">
        <f>IF(ISBLANK('Data Entry'!$N$121), "", 'Data Entry'!$N$121)</f>
      </c>
      <c r="O121">
        <f>IF(ISBLANK('Data Entry'!$O$121), "", 'Data Entry'!$O$121)</f>
      </c>
      <c r="P121">
        <f>IF(ISBLANK('Data Entry'!$P$121), "", 'Data Entry'!$P$121)</f>
      </c>
      <c r="Q121">
        <f>IF(ISBLANK('Data Entry'!$Q$121), "", 'Data Entry'!$Q$121)</f>
      </c>
      <c r="R121">
        <f>IF(ISBLANK('Data Entry'!$R$121), "", 'Data Entry'!$R$121)</f>
      </c>
      <c r="S121">
        <f>IF(ISBLANK('Data Entry'!$S$121), "", 'Data Entry'!$S$121)</f>
      </c>
      <c r="T121">
        <f>IF(ISBLANK('Data Entry'!$T$121), "", 'Data Entry'!$T$121)</f>
      </c>
      <c r="U121">
        <f>IF(ISBLANK('Data Entry'!$U$121), "", 'Data Entry'!$U$121)</f>
      </c>
      <c r="V121">
        <f>IF(ISBLANK('Data Entry'!$V$121), "", 'Data Entry'!$V$121)</f>
      </c>
      <c r="W121">
        <f>IF(ISBLANK('Data Entry'!$W$121), "", 'Data Entry'!$W$121)</f>
      </c>
      <c r="X121">
        <f>IF(ISBLANK('Data Entry'!$X$121), "", 'Data Entry'!$X$121)</f>
      </c>
      <c r="Y121">
        <f>IF(ISBLANK('Data Entry'!$Y$121), "", 'Data Entry'!$Y$121)</f>
      </c>
      <c r="Z121">
        <f>IF(ISBLANK('Data Entry'!$Z$121), "", 'Data Entry'!$Z$121)</f>
      </c>
      <c r="AA121">
        <f>IF(ISBLANK('Data Entry'!$[$121), "", 'Data Entry'!$[$121)</f>
      </c>
      <c r="AB121">
        <f>IF(ISBLANK('Data Entry'!$\$121), "", 'Data Entry'!$\$121)</f>
      </c>
      <c r="AC121">
        <f>IF(ISBLANK('Data Entry'!$]$121), "", 'Data Entry'!$]$121)</f>
      </c>
      <c r="AD121">
        <f>IF(ISBLANK('Data Entry'!$^$121), "", 'Data Entry'!$^$121)</f>
      </c>
      <c r="AE121">
        <f>IF(ISBLANK('Data Entry'!$_$121), "", 'Data Entry'!$_$121)</f>
      </c>
      <c r="AF121">
        <f>IF(ISBLANK('Data Entry'!$`$121), "", 'Data Entry'!$`$121)</f>
      </c>
      <c r="AG121">
        <f>IF(ISBLANK('Data Entry'!$a$121), "", 'Data Entry'!$a$121)</f>
      </c>
      <c r="AH121">
        <f>IF(ISBLANK('Data Entry'!$b$121), "", 'Data Entry'!$b$121)</f>
      </c>
      <c r="AI121">
        <f>IF(ISBLANK('Data Entry'!$c$121), "", 'Data Entry'!$c$121)</f>
      </c>
      <c r="AJ121">
        <f>IF(ISBLANK('Data Entry'!$d$121), "", 'Data Entry'!$d$121)</f>
      </c>
      <c r="AK121">
        <f>IF(ISBLANK('Data Entry'!$e$121), "", 'Data Entry'!$e$121)</f>
      </c>
      <c r="AL121">
        <f>IF(ISBLANK('Data Entry'!$f$121), "", 'Data Entry'!$f$121)</f>
      </c>
      <c r="AM121">
        <f>IF(ISBLANK('Data Entry'!$g$121), "", 'Data Entry'!$g$121)</f>
      </c>
      <c r="AN121">
        <f>IF(ISBLANK('Data Entry'!$h$121), "", 'Data Entry'!$h$121)</f>
      </c>
      <c r="AO121">
        <f>IF(ISBLANK('Data Entry'!$i$121), "", 'Data Entry'!$i$121)</f>
      </c>
      <c r="AP121">
        <f>IF(ISBLANK('Data Entry'!$j$121), "", 'Data Entry'!$j$121)</f>
      </c>
      <c r="AQ121">
        <f>IF(ISBLANK('Data Entry'!$k$121), "", 'Data Entry'!$k$121)</f>
      </c>
      <c r="AR121">
        <f>IF(ISBLANK('Data Entry'!$l$121), "", 'Data Entry'!$l$121)</f>
      </c>
      <c r="AS121">
        <f>IF(ISBLANK('Data Entry'!$m$121), "", 'Data Entry'!$m$121)</f>
      </c>
      <c r="AT121">
        <f>IF(ISBLANK('Data Entry'!$n$121), "", 'Data Entry'!$n$121)</f>
      </c>
      <c r="AU121">
        <f>IF(ISBLANK('Data Entry'!$o$121), "", 'Data Entry'!$o$121)</f>
      </c>
      <c r="AV121">
        <f>IF(ISBLANK('Data Entry'!$p$121), "", 'Data Entry'!$p$121)</f>
      </c>
      <c r="AW121">
        <f>IF(ISBLANK('Data Entry'!$q$121), "", 'Data Entry'!$q$121)</f>
      </c>
      <c r="AX121">
        <f>IF(ISBLANK('Data Entry'!$r$121), "", 'Data Entry'!$r$121)</f>
      </c>
      <c r="AY121">
        <f>IF(ISBLANK('Data Entry'!$s$121), "", 'Data Entry'!$s$121)</f>
      </c>
      <c r="AZ121">
        <f>IF(ISBLANK('Data Entry'!$t$121), "", 'Data Entry'!$t$121)</f>
      </c>
      <c r="BA121">
        <f>IF(ISBLANK('Data Entry'!$u$121), "", 'Data Entry'!$u$121)</f>
      </c>
      <c r="BB121">
        <f>IF(ISBLANK('Data Entry'!$v$121), "", 'Data Entry'!$v$121)</f>
      </c>
      <c r="BC121">
        <f>IF(ISBLANK('Data Entry'!$w$121), "", 'Data Entry'!$w$121)</f>
      </c>
      <c r="BD121">
        <f>IF(ISBLANK('Data Entry'!$x$121), "", 'Data Entry'!$x$121)</f>
      </c>
      <c r="BE121">
        <f>IF(ISBLANK('Data Entry'!$y$121), "", 'Data Entry'!$y$121)</f>
      </c>
      <c r="BF121">
        <f>IF(ISBLANK('Data Entry'!$z$121), "", 'Data Entry'!$z$121)</f>
      </c>
      <c r="BG121">
        <f>IF(ISBLANK('Data Entry'!${$121), "", 'Data Entry'!${$121)</f>
      </c>
      <c r="BH121">
        <f>IF(ISBLANK('Data Entry'!$|$121), "", 'Data Entry'!$|$121)</f>
      </c>
      <c r="BI121">
        <f>IF(ISBLANK('Data Entry'!$}$121), "", 'Data Entry'!$}$121)</f>
      </c>
      <c r="BJ121">
        <f>IF(ISBLANK('Data Entry'!$~$121), "", 'Data Entry'!$~$121)</f>
      </c>
      <c r="BK121">
        <f>IF(ISBLANK('Data Entry'!$$121), "", 'Data Entry'!$$121)</f>
      </c>
      <c r="BL121">
        <f>IF(ISBLANK('Data Entry'!$$121), "", 'Data Entry'!$$121)</f>
      </c>
      <c r="BM121">
        <f>IF(ISBLANK('Data Entry'!$$121), "", 'Data Entry'!$$121)</f>
      </c>
      <c r="BN121">
        <f>IF(ISBLANK('Data Entry'!$$121), "", 'Data Entry'!$$121)</f>
      </c>
      <c r="BO121">
        <f>IF(ISBLANK('Data Entry'!$$121), "", 'Data Entry'!$$121)</f>
      </c>
      <c r="BP121">
        <f>IF(ISBLANK('Data Entry'!$$121), "", 'Data Entry'!$$121)</f>
      </c>
      <c r="BQ121">
        <f>IF(ISBLANK('Data Entry'!$$121), "", 'Data Entry'!$$121)</f>
      </c>
      <c r="BR121">
        <f>IF(ISBLANK('Data Entry'!$$121), "", 'Data Entry'!$$121)</f>
      </c>
      <c r="BS121">
        <f>IF(ISBLANK('Data Entry'!$$121), "", 'Data Entry'!$$121)</f>
      </c>
      <c r="BT121">
        <f>IF(ISBLANK('Data Entry'!$$121), "", 'Data Entry'!$$121)</f>
      </c>
      <c r="BU121">
        <f>IF(ISBLANK('Data Entry'!$$121), "", 'Data Entry'!$$121)</f>
      </c>
      <c r="BV121">
        <f>IF(ISBLANK('Data Entry'!$$121), "", 'Data Entry'!$$121)</f>
      </c>
      <c r="BW121">
        <f>IF(ISBLANK('Data Entry'!$$121), "", 'Data Entry'!$$121)</f>
      </c>
      <c r="BX121">
        <f>IF(ISBLANK('Data Entry'!$$121), "", 'Data Entry'!$$121)</f>
      </c>
      <c r="BY121">
        <f>IF(ISBLANK('Data Entry'!$$121), "", 'Data Entry'!$$121)</f>
      </c>
      <c r="BZ121">
        <f>IF(ISBLANK('Data Entry'!$$121), "", 'Data Entry'!$$121)</f>
      </c>
      <c r="CA121">
        <f>IF(ISBLANK('Data Entry'!$$121), "", 'Data Entry'!$$121)</f>
      </c>
      <c r="CB121">
        <f>IF(ISBLANK('Data Entry'!$$121), "", 'Data Entry'!$$121)</f>
      </c>
      <c r="CC121">
        <f>IF(ISBLANK('Data Entry'!$$121), "", 'Data Entry'!$$121)</f>
      </c>
      <c r="CD121">
        <f>IF(ISBLANK('Data Entry'!$$121), "", 'Data Entry'!$$121)</f>
      </c>
      <c r="CE121">
        <f>IF(ISBLANK('Data Entry'!$$121), "", 'Data Entry'!$$121)</f>
      </c>
      <c r="CF121">
        <f>IF(ISBLANK('Data Entry'!$$121), "", 'Data Entry'!$$121)</f>
      </c>
      <c r="CG121">
        <f>IF(ISBLANK('Data Entry'!$$121), "", 'Data Entry'!$$121)</f>
      </c>
      <c r="CH121">
        <f>IF(ISBLANK('Data Entry'!$$121), "", 'Data Entry'!$$121)</f>
      </c>
      <c r="CI121">
        <f>IF(ISBLANK('Data Entry'!$$121), "", 'Data Entry'!$$121)</f>
      </c>
      <c r="CJ121">
        <f>IF(ISBLANK('Data Entry'!$$121), "", 'Data Entry'!$$121)</f>
      </c>
      <c r="CK121">
        <f>IF(ISBLANK('Data Entry'!$$121), "", 'Data Entry'!$$121)</f>
      </c>
      <c r="CL121">
        <f>IF(ISBLANK('Data Entry'!$$121), "", 'Data Entry'!$$121)</f>
      </c>
      <c r="CM121">
        <f>IF(ISBLANK('Data Entry'!$$121), "", 'Data Entry'!$$121)</f>
      </c>
      <c r="CN121">
        <f>IF(ISBLANK('Data Entry'!$$121), "", 'Data Entry'!$$121)</f>
      </c>
      <c r="CO121">
        <f>IF(ISBLANK('Data Entry'!$$121), "", 'Data Entry'!$$121)</f>
      </c>
      <c r="CP121">
        <f>IF(ISBLANK('Data Entry'!$$121), "", 'Data Entry'!$$121)</f>
      </c>
      <c r="CQ121">
        <f>IF(ISBLANK('Data Entry'!$$121), "", 'Data Entry'!$$121)</f>
      </c>
      <c r="CR121">
        <f>IF(ISBLANK('Data Entry'!$ $121), "", 'Data Entry'!$ $121)</f>
      </c>
      <c r="CS121">
        <f>IF(ISBLANK('Data Entry'!$¡$121), "", 'Data Entry'!$¡$121)</f>
      </c>
      <c r="CT121">
        <f>IF(ISBLANK('Data Entry'!$¢$121), "", 'Data Entry'!$¢$121)</f>
      </c>
      <c r="CU121">
        <f>IF(ISBLANK('Data Entry'!$£$121), "", 'Data Entry'!$£$121)</f>
      </c>
      <c r="CV121">
        <f>IF(ISBLANK('Data Entry'!$¤$121), "", 'Data Entry'!$¤$121)</f>
      </c>
      <c r="CW121">
        <f>IF(ISBLANK('Data Entry'!$¥$121), "", 'Data Entry'!$¥$121)</f>
      </c>
      <c r="CX121">
        <f>IF(ISBLANK('Data Entry'!$¦$121), "", 'Data Entry'!$¦$121)</f>
      </c>
      <c r="CY121">
        <f>IF(ISBLANK('Data Entry'!$§$121), "", 'Data Entry'!$§$121)</f>
      </c>
      <c r="CZ121">
        <f>IF(ISBLANK('Data Entry'!$¨$121), "", 'Data Entry'!$¨$121)</f>
      </c>
      <c r="DA121">
        <f>IF(ISBLANK('Data Entry'!$©$121), "", 'Data Entry'!$©$121)</f>
      </c>
      <c r="DB121">
        <f>IF(ISBLANK('Data Entry'!$ª$121), "", 'Data Entry'!$ª$121)</f>
      </c>
      <c r="DC121">
        <f>IF(ISBLANK('Data Entry'!$«$121), "", 'Data Entry'!$«$121)</f>
      </c>
      <c r="DD121">
        <f>IF(ISBLANK('Data Entry'!$¬$121), "", 'Data Entry'!$¬$121)</f>
      </c>
      <c r="DE121">
        <f>IF(ISBLANK('Data Entry'!$­$121), "", 'Data Entry'!$­$121)</f>
      </c>
      <c r="DF121">
        <f>IF(ISBLANK('Data Entry'!$®$121), "", 'Data Entry'!$®$121)</f>
      </c>
      <c r="DG121">
        <f>IF(ISBLANK('Data Entry'!$¯$121), "", 'Data Entry'!$¯$121)</f>
      </c>
      <c r="DH121">
        <f>IF(ISBLANK('Data Entry'!$°$121), "", 'Data Entry'!$°$121)</f>
      </c>
      <c r="DI121">
        <f>IF(ISBLANK('Data Entry'!$±$121), "", 'Data Entry'!$±$121)</f>
      </c>
      <c r="DJ121">
        <f>IF(ISBLANK('Data Entry'!$²$121), "", 'Data Entry'!$²$121)</f>
      </c>
      <c r="DK121">
        <f>IF(ISBLANK('Data Entry'!$³$121), "", 'Data Entry'!$³$121)</f>
      </c>
      <c r="DL121">
        <f>IF(ISBLANK('Data Entry'!$´$121), "", 'Data Entry'!$´$121)</f>
      </c>
      <c r="DM121">
        <f>IF(ISBLANK('Data Entry'!$µ$121), "", 'Data Entry'!$µ$121)</f>
      </c>
      <c r="DN121">
        <f>IF(ISBLANK('Data Entry'!$¶$121), "", 'Data Entry'!$¶$121)</f>
      </c>
      <c r="DO121">
        <f>IF(ISBLANK('Data Entry'!$·$121), "", 'Data Entry'!$·$121)</f>
      </c>
      <c r="DP121">
        <f>IF(ISBLANK('Data Entry'!$¸$121), "", 'Data Entry'!$¸$121)</f>
      </c>
      <c r="DQ121">
        <f>IF(ISBLANK('Data Entry'!$¹$121), "", 'Data Entry'!$¹$121)</f>
      </c>
      <c r="DR121">
        <f>IF(ISBLANK('Data Entry'!$º$121), "", 'Data Entry'!$º$121)</f>
      </c>
      <c r="DS121">
        <f>IF(ISBLANK('Data Entry'!$»$121), "", 'Data Entry'!$»$121)</f>
      </c>
      <c r="DT121">
        <f>IF(ISBLANK('Data Entry'!$¼$121), "", 'Data Entry'!$¼$121)</f>
      </c>
      <c r="DU121">
        <f>IF(ISBLANK('Data Entry'!$½$121), "", 'Data Entry'!$½$121)</f>
      </c>
      <c r="DV121">
        <f>IF(ISBLANK('Data Entry'!$¾$121), "", 'Data Entry'!$¾$121)</f>
      </c>
      <c r="DW121">
        <f>IF(ISBLANK('Data Entry'!$¿$121), "", 'Data Entry'!$¿$121)</f>
      </c>
      <c r="DX121">
        <f>IF(ISBLANK('Data Entry'!$À$121), "", 'Data Entry'!$À$121)</f>
      </c>
      <c r="DY121">
        <f>IF(ISBLANK('Data Entry'!$Á$121), "", 'Data Entry'!$Á$121)</f>
      </c>
      <c r="DZ121">
        <f>IF(ISBLANK('Data Entry'!$Â$121), "", 'Data Entry'!$Â$121)</f>
      </c>
      <c r="EA121">
        <f>IF(ISBLANK('Data Entry'!$Ã$121), "", 'Data Entry'!$Ã$121)</f>
      </c>
      <c r="EB121">
        <f>IF(ISBLANK('Data Entry'!$Ä$121), "", 'Data Entry'!$Ä$121)</f>
      </c>
      <c r="EC121">
        <f>IF(ISBLANK('Data Entry'!$Å$121), "", 'Data Entry'!$Å$121)</f>
      </c>
      <c r="ED121">
        <f>IF(ISBLANK('Data Entry'!$Æ$121), "", 'Data Entry'!$Æ$121)</f>
      </c>
      <c r="EE121">
        <f>IF(ISBLANK('Data Entry'!$Ç$121), "", 'Data Entry'!$Ç$121)</f>
      </c>
      <c r="EF121">
        <f>IF(ISBLANK('Data Entry'!$È$121), "", 'Data Entry'!$È$121)</f>
      </c>
      <c r="EG121">
        <f>IF(ISBLANK('Data Entry'!$É$121), "", 'Data Entry'!$É$121)</f>
      </c>
      <c r="EH121">
        <f>IF(ISBLANK('Data Entry'!$Ê$121), "", 'Data Entry'!$Ê$121)</f>
      </c>
      <c r="EI121">
        <f>IF(ISBLANK('Data Entry'!$Ë$121), "", 'Data Entry'!$Ë$121)</f>
      </c>
      <c r="EJ121">
        <f>IF(ISBLANK('Data Entry'!$Ì$121), "", 'Data Entry'!$Ì$121)</f>
      </c>
      <c r="EK121">
        <f>IF(ISBLANK('Data Entry'!$Í$121), "", 'Data Entry'!$Í$121)</f>
      </c>
      <c r="EL121">
        <f>IF(ISBLANK('Data Entry'!$Î$121), "", 'Data Entry'!$Î$121)</f>
      </c>
      <c r="EM121">
        <f>IF(ISBLANK('Data Entry'!$Ï$121), "", 'Data Entry'!$Ï$121)</f>
      </c>
      <c r="EN121">
        <f>IF(ISBLANK('Data Entry'!$Ð$121), "", 'Data Entry'!$Ð$121)</f>
      </c>
      <c r="EO121">
        <f>IF(ISBLANK('Data Entry'!$Ñ$121), "", 'Data Entry'!$Ñ$121)</f>
      </c>
      <c r="EP121">
        <f>IF(ISBLANK('Data Entry'!$Ò$121), "", 'Data Entry'!$Ò$121)</f>
      </c>
      <c r="EQ121">
        <f>IF(ISBLANK('Data Entry'!$Ó$121), "", 'Data Entry'!$Ó$121)</f>
      </c>
      <c r="ER121">
        <f>IF(ISBLANK('Data Entry'!$Ô$121), "", 'Data Entry'!$Ô$121)</f>
      </c>
      <c r="ES121">
        <f>IF(ISBLANK('Data Entry'!$Õ$121), "", 'Data Entry'!$Õ$121)</f>
      </c>
      <c r="ET121">
        <f>IF(ISBLANK('Data Entry'!$Ö$121), "", 'Data Entry'!$Ö$121)</f>
      </c>
      <c r="EU121">
        <f>IF(ISBLANK('Data Entry'!$×$121), "", 'Data Entry'!$×$121)</f>
      </c>
      <c r="EV121">
        <f>IF(ISBLANK('Data Entry'!$Ø$121), "", 'Data Entry'!$Ø$121)</f>
      </c>
      <c r="EW121">
        <f>IF(ISBLANK('Data Entry'!$Ù$121), "", 'Data Entry'!$Ù$121)</f>
      </c>
      <c r="EX121">
        <f>IF(ISBLANK('Data Entry'!$Ú$121), "", 'Data Entry'!$Ú$121)</f>
      </c>
      <c r="EY121">
        <f>IF(ISBLANK('Data Entry'!$Û$121), "", 'Data Entry'!$Û$121)</f>
      </c>
      <c r="EZ121">
        <f>IF(ISBLANK('Data Entry'!$Ü$121), "", 'Data Entry'!$Ü$121)</f>
      </c>
      <c r="FA121">
        <f>IF(ISBLANK('Data Entry'!$Ý$121), "", 'Data Entry'!$Ý$121)</f>
      </c>
      <c r="FB121">
        <f>IF(ISBLANK('Data Entry'!$Þ$121), "", 'Data Entry'!$Þ$121)</f>
      </c>
      <c r="FC121">
        <f>IF(ISBLANK('Data Entry'!$ß$121), "", 'Data Entry'!$ß$121)</f>
      </c>
      <c r="FD121">
        <f>IF(ISBLANK('Data Entry'!$à$121), "", 'Data Entry'!$à$121)</f>
      </c>
      <c r="FE121">
        <f>IF(ISBLANK('Data Entry'!$á$121), "", 'Data Entry'!$á$121)</f>
      </c>
      <c r="FF121">
        <f>IF(ISBLANK('Data Entry'!$â$121), "", 'Data Entry'!$â$121)</f>
      </c>
      <c r="FG121">
        <f>IF(ISBLANK('Data Entry'!$ã$121), "", 'Data Entry'!$ã$121)</f>
      </c>
      <c r="FH121">
        <f>IF(ISBLANK('Data Entry'!$ä$121), "", 'Data Entry'!$ä$121)</f>
      </c>
      <c r="FI121">
        <f>IF(ISBLANK('Data Entry'!$å$121), "", 'Data Entry'!$å$121)</f>
      </c>
      <c r="FJ121">
        <f>IF(ISBLANK('Data Entry'!$æ$121), "", 'Data Entry'!$æ$121)</f>
      </c>
      <c r="FK121">
        <f>IF(ISBLANK('Data Entry'!$ç$121), "", 'Data Entry'!$ç$121)</f>
      </c>
      <c r="FL121">
        <f>IF(ISBLANK('Data Entry'!$è$121), "", 'Data Entry'!$è$121)</f>
      </c>
      <c r="FM121">
        <f>IF(ISBLANK('Data Entry'!$é$121), "", 'Data Entry'!$é$121)</f>
      </c>
      <c r="FN121">
        <f>IF(ISBLANK('Data Entry'!$ê$121), "", 'Data Entry'!$ê$121)</f>
      </c>
      <c r="FO121">
        <f>IF(ISBLANK('Data Entry'!$ë$121), "", 'Data Entry'!$ë$121)</f>
      </c>
      <c r="FP121">
        <f>IF(ISBLANK('Data Entry'!$ì$121), "", 'Data Entry'!$ì$121)</f>
      </c>
      <c r="FQ121">
        <f>IF(ISBLANK('Data Entry'!$í$121), "", 'Data Entry'!$í$121)</f>
      </c>
      <c r="FR121">
        <f>IF(ISBLANK('Data Entry'!$î$121), "", 'Data Entry'!$î$121)</f>
      </c>
      <c r="FS121">
        <f>IF(ISBLANK('Data Entry'!$ï$121), "", 'Data Entry'!$ï$121)</f>
      </c>
      <c r="FT121">
        <f>IF(ISBLANK('Data Entry'!$ð$121), "", 'Data Entry'!$ð$121)</f>
      </c>
      <c r="FU121">
        <f>IF(ISBLANK('Data Entry'!$ñ$121), "", 'Data Entry'!$ñ$121)</f>
      </c>
      <c r="FV121">
        <f>IF(ISBLANK('Data Entry'!$ò$121), "", 'Data Entry'!$ò$121)</f>
      </c>
      <c r="FW121">
        <f>IF(ISBLANK('Data Entry'!$ó$121), "", 'Data Entry'!$ó$121)</f>
      </c>
      <c r="FX121">
        <f>IF(ISBLANK('Data Entry'!$ô$121), "", 'Data Entry'!$ô$121)</f>
      </c>
      <c r="FY121">
        <f>IF(ISBLANK('Data Entry'!$õ$121), "", 'Data Entry'!$õ$121)</f>
      </c>
      <c r="FZ121">
        <f>IF(ISBLANK('Data Entry'!$ö$121), "", 'Data Entry'!$ö$121)</f>
      </c>
      <c r="GA121">
        <f>IF(ISBLANK('Data Entry'!$÷$121), "", 'Data Entry'!$÷$121)</f>
      </c>
      <c r="GB121">
        <f>IF(ISBLANK('Data Entry'!$ø$121), "", 'Data Entry'!$ø$121)</f>
      </c>
      <c r="GC121">
        <f>IF(ISBLANK('Data Entry'!$ù$121), "", 'Data Entry'!$ù$121)</f>
      </c>
      <c r="GD121">
        <f>IF(ISBLANK('Data Entry'!$ú$121), "", 'Data Entry'!$ú$121)</f>
      </c>
      <c r="GE121">
        <f>IF(ISBLANK('Data Entry'!$û$121), "", 'Data Entry'!$û$121)</f>
      </c>
      <c r="GF121">
        <f>IF(ISBLANK('Data Entry'!$ü$121), "", 'Data Entry'!$ü$121)</f>
      </c>
      <c r="GG121">
        <f>IF(ISBLANK('Data Entry'!$ý$121), "", 'Data Entry'!$ý$121)</f>
      </c>
      <c r="GH121">
        <f>IF(ISBLANK('Data Entry'!$þ$121), "", 'Data Entry'!$þ$121)</f>
      </c>
      <c r="GI121">
        <f>IF(ISBLANK('Data Entry'!$ÿ$121), "", 'Data Entry'!$ÿ$121)</f>
      </c>
      <c r="GJ121">
        <f>IF(ISBLANK('Data Entry'!$Ā$121), "", 'Data Entry'!$Ā$121)</f>
      </c>
      <c r="GK121">
        <f>IF(ISBLANK('Data Entry'!$ā$121), "", 'Data Entry'!$ā$121)</f>
      </c>
      <c r="GL121">
        <f>IF(ISBLANK('Data Entry'!$Ă$121), "", 'Data Entry'!$Ă$121)</f>
      </c>
      <c r="GM121">
        <f>IF(ISBLANK('Data Entry'!$ă$121), "", 'Data Entry'!$ă$121)</f>
      </c>
      <c r="GN121">
        <f>IF(ISBLANK('Data Entry'!$Ą$121), "", 'Data Entry'!$Ą$121)</f>
      </c>
      <c r="GO121">
        <f>IF(ISBLANK('Data Entry'!$ą$121), "", 'Data Entry'!$ą$121)</f>
      </c>
      <c r="GP121">
        <f>IF(ISBLANK('Data Entry'!$Ć$121), "", 'Data Entry'!$Ć$121)</f>
      </c>
      <c r="GQ121">
        <f>IF(ISBLANK('Data Entry'!$ć$121), "", 'Data Entry'!$ć$121)</f>
      </c>
      <c r="GR121">
        <f>IF(ISBLANK('Data Entry'!$Ĉ$121), "", 'Data Entry'!$Ĉ$121)</f>
      </c>
      <c r="GS121">
        <f>IF(ISBLANK('Data Entry'!$ĉ$121), "", 'Data Entry'!$ĉ$121)</f>
      </c>
      <c r="GT121">
        <f>IF(ISBLANK('Data Entry'!$Ċ$121), "", 'Data Entry'!$Ċ$121)</f>
      </c>
      <c r="GU121">
        <f>IF(ISBLANK('Data Entry'!$ċ$121), "", 'Data Entry'!$ċ$121)</f>
      </c>
      <c r="GV121">
        <f>IF(ISBLANK('Data Entry'!$Č$121), "", 'Data Entry'!$Č$121)</f>
      </c>
      <c r="GW121">
        <f>IF(ISBLANK('Data Entry'!$č$121), "", 'Data Entry'!$č$121)</f>
      </c>
      <c r="GX121">
        <f>IF(ISBLANK('Data Entry'!$Ď$121), "", 'Data Entry'!$Ď$121)</f>
      </c>
      <c r="GY121">
        <f>IF(ISBLANK('Data Entry'!$ď$121), "", 'Data Entry'!$ď$121)</f>
      </c>
      <c r="GZ121">
        <f>IF(ISBLANK('Data Entry'!$Đ$121), "", 'Data Entry'!$Đ$121)</f>
      </c>
      <c r="HA121">
        <f>IF(ISBLANK('Data Entry'!$đ$121), "", 'Data Entry'!$đ$121)</f>
      </c>
      <c r="HB121">
        <f>IF(ISBLANK('Data Entry'!$Ē$121), "", 'Data Entry'!$Ē$121)</f>
      </c>
      <c r="HC121">
        <f>IF(ISBLANK('Data Entry'!$ē$121), "", 'Data Entry'!$ē$121)</f>
      </c>
      <c r="HD121">
        <f>IF(ISBLANK('Data Entry'!$Ĕ$121), "", 'Data Entry'!$Ĕ$121)</f>
      </c>
      <c r="HE121">
        <f>IF(ISBLANK('Data Entry'!$ĕ$121), "", 'Data Entry'!$ĕ$121)</f>
      </c>
      <c r="HF121">
        <f>IF(ISBLANK('Data Entry'!$Ė$121), "", 'Data Entry'!$Ė$121)</f>
      </c>
      <c r="HG121">
        <f>IF(ISBLANK('Data Entry'!$ė$121), "", 'Data Entry'!$ė$121)</f>
      </c>
      <c r="HH121">
        <f>IF(ISBLANK('Data Entry'!$Ę$121), "", 'Data Entry'!$Ę$121)</f>
      </c>
      <c r="HI121">
        <f>IF(ISBLANK('Data Entry'!$ę$121), "", 'Data Entry'!$ę$121)</f>
      </c>
      <c r="HJ121">
        <f>IF(ISBLANK('Data Entry'!$Ě$121), "", 'Data Entry'!$Ě$121)</f>
      </c>
      <c r="HK121">
        <f>IF(ISBLANK('Data Entry'!$ě$121), "", 'Data Entry'!$ě$121)</f>
      </c>
      <c r="HL121">
        <f>IF(ISBLANK('Data Entry'!$Ĝ$121), "", 'Data Entry'!$Ĝ$121)</f>
      </c>
      <c r="HM121">
        <f>IF(ISBLANK('Data Entry'!$ĝ$121), "", 'Data Entry'!$ĝ$121)</f>
      </c>
      <c r="HN121">
        <f>IF(ISBLANK('Data Entry'!$Ğ$121), "", 'Data Entry'!$Ğ$121)</f>
      </c>
      <c r="HO121">
        <f>IF(ISBLANK('Data Entry'!$ğ$121), "", 'Data Entry'!$ğ$121)</f>
      </c>
      <c r="HP121">
        <f>IF(ISBLANK('Data Entry'!$Ġ$121), "", 'Data Entry'!$Ġ$121)</f>
      </c>
      <c r="HQ121">
        <f>IF(ISBLANK('Data Entry'!$ġ$121), "", 'Data Entry'!$ġ$121)</f>
      </c>
      <c r="HR121">
        <f>IF(ISBLANK('Data Entry'!$Ģ$121), "", 'Data Entry'!$Ģ$121)</f>
      </c>
      <c r="HS121">
        <f>IF(ISBLANK('Data Entry'!$ģ$121), "", 'Data Entry'!$ģ$121)</f>
      </c>
      <c r="HT121">
        <f>IF(ISBLANK('Data Entry'!$Ĥ$121), "", 'Data Entry'!$Ĥ$121)</f>
      </c>
      <c r="HU121">
        <f>IF(ISBLANK('Data Entry'!$ĥ$121), "", 'Data Entry'!$ĥ$121)</f>
      </c>
      <c r="HV121">
        <f>IF(ISBLANK('Data Entry'!$Ħ$121), "", 'Data Entry'!$Ħ$121)</f>
      </c>
      <c r="HW121">
        <f>IF(ISBLANK('Data Entry'!$ħ$121), "", 'Data Entry'!$ħ$121)</f>
      </c>
      <c r="HX121">
        <f>IF(ISBLANK('Data Entry'!$Ĩ$121), "", 'Data Entry'!$Ĩ$121)</f>
      </c>
      <c r="HY121">
        <f>IF(ISBLANK('Data Entry'!$ĩ$121), "", 'Data Entry'!$ĩ$121)</f>
      </c>
      <c r="HZ121">
        <f>IF(ISBLANK('Data Entry'!$Ī$121), "", 'Data Entry'!$Ī$121)</f>
      </c>
      <c r="IA121">
        <f>IF(ISBLANK('Data Entry'!$ī$121), "", 'Data Entry'!$ī$121)</f>
      </c>
      <c r="IB121">
        <f>IF(ISBLANK('Data Entry'!$Ĭ$121), "", 'Data Entry'!$Ĭ$121)</f>
      </c>
      <c r="IC121">
        <f>IF(ISBLANK('Data Entry'!$ĭ$121), "", 'Data Entry'!$ĭ$121)</f>
      </c>
      <c r="ID121">
        <f>IF(ISBLANK('Data Entry'!$Į$121), "", 'Data Entry'!$Į$121)</f>
      </c>
      <c r="IE121">
        <f>IF(ISBLANK('Data Entry'!$į$121), "", 'Data Entry'!$į$121)</f>
      </c>
      <c r="IF121">
        <f>IF(ISBLANK('Data Entry'!$İ$121), "", 'Data Entry'!$İ$121)</f>
      </c>
      <c r="IG121">
        <f>IF(ISBLANK('Data Entry'!$ı$121), "", 'Data Entry'!$ı$121)</f>
      </c>
      <c r="IH121">
        <f>IF(ISBLANK('Data Entry'!$Ĳ$121), "", 'Data Entry'!$Ĳ$121)</f>
      </c>
      <c r="II121">
        <f>IF(ISBLANK('Data Entry'!$ĳ$121), "", 'Data Entry'!$ĳ$121)</f>
      </c>
      <c r="IJ121">
        <f>IF(ISBLANK('Data Entry'!$Ĵ$121), "", 'Data Entry'!$Ĵ$121)</f>
      </c>
      <c r="IK121">
        <f>IF(ISBLANK('Data Entry'!$ĵ$121), "", 'Data Entry'!$ĵ$121)</f>
      </c>
      <c r="IL121">
        <f>IF(ISBLANK('Data Entry'!$Ķ$121), "", 'Data Entry'!$Ķ$121)</f>
      </c>
      <c r="IM121">
        <f>IF(ISBLANK('Data Entry'!$ķ$121), "", 'Data Entry'!$ķ$121)</f>
      </c>
      <c r="IN121">
        <f>IF(ISBLANK('Data Entry'!$ĸ$121), "", 'Data Entry'!$ĸ$121)</f>
      </c>
      <c r="IO121">
        <f>IF(ISBLANK('Data Entry'!$Ĺ$121), "", 'Data Entry'!$Ĺ$121)</f>
      </c>
      <c r="IP121">
        <f>IF(ISBLANK('Data Entry'!$ĺ$121), "", 'Data Entry'!$ĺ$121)</f>
      </c>
      <c r="IQ121">
        <f>IF(ISBLANK('Data Entry'!$Ļ$121), "", 'Data Entry'!$Ļ$121)</f>
      </c>
      <c r="IR121">
        <f>IF(ISBLANK('Data Entry'!$ļ$121), "", 'Data Entry'!$ļ$121)</f>
      </c>
      <c r="IS121">
        <f>IF(ISBLANK('Data Entry'!$Ľ$121), "", 'Data Entry'!$Ľ$121)</f>
      </c>
      <c r="IT121">
        <f>IF(ISBLANK('Data Entry'!$ľ$121), "", 'Data Entry'!$ľ$121)</f>
      </c>
    </row>
    <row r="122" spans="1:254" x14ac:dyDescent="0.25">
      <c r="A122">
        <f>IF(ISBLANK('Data Entry'!$A$122), "", 'Data Entry'!$A$122)</f>
      </c>
      <c r="B122">
        <f>IF(ISBLANK('Data Entry'!$B$122), "", 'Data Entry'!$B$122)</f>
      </c>
      <c r="C122">
        <f>IF(ISBLANK('Data Entry'!$C$122), "", 'Data Entry'!$C$122)</f>
      </c>
      <c r="D122">
        <f>IF(ISBLANK('Data Entry'!$D$122), "", 'Data Entry'!$D$122)</f>
      </c>
      <c r="E122">
        <f>IF(ISBLANK('Data Entry'!$E$122), "", 'Data Entry'!$E$122)</f>
      </c>
      <c r="F122">
        <f>IF(ISBLANK('Data Entry'!$F$122), "", 'Data Entry'!$F$122)</f>
      </c>
      <c r="G122">
        <f>IF(ISBLANK('Data Entry'!$G$122), "", 'Data Entry'!$G$122)</f>
      </c>
      <c r="H122">
        <f>IF(ISBLANK('Data Entry'!$H$122), "", 'Data Entry'!$H$122)</f>
      </c>
      <c r="I122">
        <f>IF(ISBLANK('Data Entry'!$I$122), "", 'Data Entry'!$I$122)</f>
      </c>
      <c r="J122">
        <f>IF(ISBLANK('Data Entry'!$J$122), "", 'Data Entry'!$J$122)</f>
      </c>
      <c r="K122">
        <f>IF(ISBLANK('Data Entry'!$K$122), "", 'Data Entry'!$K$122)</f>
      </c>
      <c r="L122">
        <f>IF(ISBLANK('Data Entry'!$L$122), "", 'Data Entry'!$L$122)</f>
      </c>
      <c r="M122">
        <f>IF(ISBLANK('Data Entry'!$M$122), "", 'Data Entry'!$M$122)</f>
      </c>
      <c r="N122">
        <f>IF(ISBLANK('Data Entry'!$N$122), "", 'Data Entry'!$N$122)</f>
      </c>
      <c r="O122">
        <f>IF(ISBLANK('Data Entry'!$O$122), "", 'Data Entry'!$O$122)</f>
      </c>
      <c r="P122">
        <f>IF(ISBLANK('Data Entry'!$P$122), "", 'Data Entry'!$P$122)</f>
      </c>
      <c r="Q122">
        <f>IF(ISBLANK('Data Entry'!$Q$122), "", 'Data Entry'!$Q$122)</f>
      </c>
      <c r="R122">
        <f>IF(ISBLANK('Data Entry'!$R$122), "", 'Data Entry'!$R$122)</f>
      </c>
      <c r="S122">
        <f>IF(ISBLANK('Data Entry'!$S$122), "", 'Data Entry'!$S$122)</f>
      </c>
      <c r="T122">
        <f>IF(ISBLANK('Data Entry'!$T$122), "", 'Data Entry'!$T$122)</f>
      </c>
      <c r="U122">
        <f>IF(ISBLANK('Data Entry'!$U$122), "", 'Data Entry'!$U$122)</f>
      </c>
      <c r="V122">
        <f>IF(ISBLANK('Data Entry'!$V$122), "", 'Data Entry'!$V$122)</f>
      </c>
      <c r="W122">
        <f>IF(ISBLANK('Data Entry'!$W$122), "", 'Data Entry'!$W$122)</f>
      </c>
      <c r="X122">
        <f>IF(ISBLANK('Data Entry'!$X$122), "", 'Data Entry'!$X$122)</f>
      </c>
      <c r="Y122">
        <f>IF(ISBLANK('Data Entry'!$Y$122), "", 'Data Entry'!$Y$122)</f>
      </c>
      <c r="Z122">
        <f>IF(ISBLANK('Data Entry'!$Z$122), "", 'Data Entry'!$Z$122)</f>
      </c>
      <c r="AA122">
        <f>IF(ISBLANK('Data Entry'!$[$122), "", 'Data Entry'!$[$122)</f>
      </c>
      <c r="AB122">
        <f>IF(ISBLANK('Data Entry'!$\$122), "", 'Data Entry'!$\$122)</f>
      </c>
      <c r="AC122">
        <f>IF(ISBLANK('Data Entry'!$]$122), "", 'Data Entry'!$]$122)</f>
      </c>
      <c r="AD122">
        <f>IF(ISBLANK('Data Entry'!$^$122), "", 'Data Entry'!$^$122)</f>
      </c>
      <c r="AE122">
        <f>IF(ISBLANK('Data Entry'!$_$122), "", 'Data Entry'!$_$122)</f>
      </c>
      <c r="AF122">
        <f>IF(ISBLANK('Data Entry'!$`$122), "", 'Data Entry'!$`$122)</f>
      </c>
      <c r="AG122">
        <f>IF(ISBLANK('Data Entry'!$a$122), "", 'Data Entry'!$a$122)</f>
      </c>
      <c r="AH122">
        <f>IF(ISBLANK('Data Entry'!$b$122), "", 'Data Entry'!$b$122)</f>
      </c>
      <c r="AI122">
        <f>IF(ISBLANK('Data Entry'!$c$122), "", 'Data Entry'!$c$122)</f>
      </c>
      <c r="AJ122">
        <f>IF(ISBLANK('Data Entry'!$d$122), "", 'Data Entry'!$d$122)</f>
      </c>
      <c r="AK122">
        <f>IF(ISBLANK('Data Entry'!$e$122), "", 'Data Entry'!$e$122)</f>
      </c>
      <c r="AL122">
        <f>IF(ISBLANK('Data Entry'!$f$122), "", 'Data Entry'!$f$122)</f>
      </c>
      <c r="AM122">
        <f>IF(ISBLANK('Data Entry'!$g$122), "", 'Data Entry'!$g$122)</f>
      </c>
      <c r="AN122">
        <f>IF(ISBLANK('Data Entry'!$h$122), "", 'Data Entry'!$h$122)</f>
      </c>
      <c r="AO122">
        <f>IF(ISBLANK('Data Entry'!$i$122), "", 'Data Entry'!$i$122)</f>
      </c>
      <c r="AP122">
        <f>IF(ISBLANK('Data Entry'!$j$122), "", 'Data Entry'!$j$122)</f>
      </c>
      <c r="AQ122">
        <f>IF(ISBLANK('Data Entry'!$k$122), "", 'Data Entry'!$k$122)</f>
      </c>
      <c r="AR122">
        <f>IF(ISBLANK('Data Entry'!$l$122), "", 'Data Entry'!$l$122)</f>
      </c>
      <c r="AS122">
        <f>IF(ISBLANK('Data Entry'!$m$122), "", 'Data Entry'!$m$122)</f>
      </c>
      <c r="AT122">
        <f>IF(ISBLANK('Data Entry'!$n$122), "", 'Data Entry'!$n$122)</f>
      </c>
      <c r="AU122">
        <f>IF(ISBLANK('Data Entry'!$o$122), "", 'Data Entry'!$o$122)</f>
      </c>
      <c r="AV122">
        <f>IF(ISBLANK('Data Entry'!$p$122), "", 'Data Entry'!$p$122)</f>
      </c>
      <c r="AW122">
        <f>IF(ISBLANK('Data Entry'!$q$122), "", 'Data Entry'!$q$122)</f>
      </c>
      <c r="AX122">
        <f>IF(ISBLANK('Data Entry'!$r$122), "", 'Data Entry'!$r$122)</f>
      </c>
      <c r="AY122">
        <f>IF(ISBLANK('Data Entry'!$s$122), "", 'Data Entry'!$s$122)</f>
      </c>
      <c r="AZ122">
        <f>IF(ISBLANK('Data Entry'!$t$122), "", 'Data Entry'!$t$122)</f>
      </c>
      <c r="BA122">
        <f>IF(ISBLANK('Data Entry'!$u$122), "", 'Data Entry'!$u$122)</f>
      </c>
      <c r="BB122">
        <f>IF(ISBLANK('Data Entry'!$v$122), "", 'Data Entry'!$v$122)</f>
      </c>
      <c r="BC122">
        <f>IF(ISBLANK('Data Entry'!$w$122), "", 'Data Entry'!$w$122)</f>
      </c>
      <c r="BD122">
        <f>IF(ISBLANK('Data Entry'!$x$122), "", 'Data Entry'!$x$122)</f>
      </c>
      <c r="BE122">
        <f>IF(ISBLANK('Data Entry'!$y$122), "", 'Data Entry'!$y$122)</f>
      </c>
      <c r="BF122">
        <f>IF(ISBLANK('Data Entry'!$z$122), "", 'Data Entry'!$z$122)</f>
      </c>
      <c r="BG122">
        <f>IF(ISBLANK('Data Entry'!${$122), "", 'Data Entry'!${$122)</f>
      </c>
      <c r="BH122">
        <f>IF(ISBLANK('Data Entry'!$|$122), "", 'Data Entry'!$|$122)</f>
      </c>
      <c r="BI122">
        <f>IF(ISBLANK('Data Entry'!$}$122), "", 'Data Entry'!$}$122)</f>
      </c>
      <c r="BJ122">
        <f>IF(ISBLANK('Data Entry'!$~$122), "", 'Data Entry'!$~$122)</f>
      </c>
      <c r="BK122">
        <f>IF(ISBLANK('Data Entry'!$$122), "", 'Data Entry'!$$122)</f>
      </c>
      <c r="BL122">
        <f>IF(ISBLANK('Data Entry'!$$122), "", 'Data Entry'!$$122)</f>
      </c>
      <c r="BM122">
        <f>IF(ISBLANK('Data Entry'!$$122), "", 'Data Entry'!$$122)</f>
      </c>
      <c r="BN122">
        <f>IF(ISBLANK('Data Entry'!$$122), "", 'Data Entry'!$$122)</f>
      </c>
      <c r="BO122">
        <f>IF(ISBLANK('Data Entry'!$$122), "", 'Data Entry'!$$122)</f>
      </c>
      <c r="BP122">
        <f>IF(ISBLANK('Data Entry'!$$122), "", 'Data Entry'!$$122)</f>
      </c>
      <c r="BQ122">
        <f>IF(ISBLANK('Data Entry'!$$122), "", 'Data Entry'!$$122)</f>
      </c>
      <c r="BR122">
        <f>IF(ISBLANK('Data Entry'!$$122), "", 'Data Entry'!$$122)</f>
      </c>
      <c r="BS122">
        <f>IF(ISBLANK('Data Entry'!$$122), "", 'Data Entry'!$$122)</f>
      </c>
      <c r="BT122">
        <f>IF(ISBLANK('Data Entry'!$$122), "", 'Data Entry'!$$122)</f>
      </c>
      <c r="BU122">
        <f>IF(ISBLANK('Data Entry'!$$122), "", 'Data Entry'!$$122)</f>
      </c>
      <c r="BV122">
        <f>IF(ISBLANK('Data Entry'!$$122), "", 'Data Entry'!$$122)</f>
      </c>
      <c r="BW122">
        <f>IF(ISBLANK('Data Entry'!$$122), "", 'Data Entry'!$$122)</f>
      </c>
      <c r="BX122">
        <f>IF(ISBLANK('Data Entry'!$$122), "", 'Data Entry'!$$122)</f>
      </c>
      <c r="BY122">
        <f>IF(ISBLANK('Data Entry'!$$122), "", 'Data Entry'!$$122)</f>
      </c>
      <c r="BZ122">
        <f>IF(ISBLANK('Data Entry'!$$122), "", 'Data Entry'!$$122)</f>
      </c>
      <c r="CA122">
        <f>IF(ISBLANK('Data Entry'!$$122), "", 'Data Entry'!$$122)</f>
      </c>
      <c r="CB122">
        <f>IF(ISBLANK('Data Entry'!$$122), "", 'Data Entry'!$$122)</f>
      </c>
      <c r="CC122">
        <f>IF(ISBLANK('Data Entry'!$$122), "", 'Data Entry'!$$122)</f>
      </c>
      <c r="CD122">
        <f>IF(ISBLANK('Data Entry'!$$122), "", 'Data Entry'!$$122)</f>
      </c>
      <c r="CE122">
        <f>IF(ISBLANK('Data Entry'!$$122), "", 'Data Entry'!$$122)</f>
      </c>
      <c r="CF122">
        <f>IF(ISBLANK('Data Entry'!$$122), "", 'Data Entry'!$$122)</f>
      </c>
      <c r="CG122">
        <f>IF(ISBLANK('Data Entry'!$$122), "", 'Data Entry'!$$122)</f>
      </c>
      <c r="CH122">
        <f>IF(ISBLANK('Data Entry'!$$122), "", 'Data Entry'!$$122)</f>
      </c>
      <c r="CI122">
        <f>IF(ISBLANK('Data Entry'!$$122), "", 'Data Entry'!$$122)</f>
      </c>
      <c r="CJ122">
        <f>IF(ISBLANK('Data Entry'!$$122), "", 'Data Entry'!$$122)</f>
      </c>
      <c r="CK122">
        <f>IF(ISBLANK('Data Entry'!$$122), "", 'Data Entry'!$$122)</f>
      </c>
      <c r="CL122">
        <f>IF(ISBLANK('Data Entry'!$$122), "", 'Data Entry'!$$122)</f>
      </c>
      <c r="CM122">
        <f>IF(ISBLANK('Data Entry'!$$122), "", 'Data Entry'!$$122)</f>
      </c>
      <c r="CN122">
        <f>IF(ISBLANK('Data Entry'!$$122), "", 'Data Entry'!$$122)</f>
      </c>
      <c r="CO122">
        <f>IF(ISBLANK('Data Entry'!$$122), "", 'Data Entry'!$$122)</f>
      </c>
      <c r="CP122">
        <f>IF(ISBLANK('Data Entry'!$$122), "", 'Data Entry'!$$122)</f>
      </c>
      <c r="CQ122">
        <f>IF(ISBLANK('Data Entry'!$$122), "", 'Data Entry'!$$122)</f>
      </c>
      <c r="CR122">
        <f>IF(ISBLANK('Data Entry'!$ $122), "", 'Data Entry'!$ $122)</f>
      </c>
      <c r="CS122">
        <f>IF(ISBLANK('Data Entry'!$¡$122), "", 'Data Entry'!$¡$122)</f>
      </c>
      <c r="CT122">
        <f>IF(ISBLANK('Data Entry'!$¢$122), "", 'Data Entry'!$¢$122)</f>
      </c>
      <c r="CU122">
        <f>IF(ISBLANK('Data Entry'!$£$122), "", 'Data Entry'!$£$122)</f>
      </c>
      <c r="CV122">
        <f>IF(ISBLANK('Data Entry'!$¤$122), "", 'Data Entry'!$¤$122)</f>
      </c>
      <c r="CW122">
        <f>IF(ISBLANK('Data Entry'!$¥$122), "", 'Data Entry'!$¥$122)</f>
      </c>
      <c r="CX122">
        <f>IF(ISBLANK('Data Entry'!$¦$122), "", 'Data Entry'!$¦$122)</f>
      </c>
      <c r="CY122">
        <f>IF(ISBLANK('Data Entry'!$§$122), "", 'Data Entry'!$§$122)</f>
      </c>
      <c r="CZ122">
        <f>IF(ISBLANK('Data Entry'!$¨$122), "", 'Data Entry'!$¨$122)</f>
      </c>
      <c r="DA122">
        <f>IF(ISBLANK('Data Entry'!$©$122), "", 'Data Entry'!$©$122)</f>
      </c>
      <c r="DB122">
        <f>IF(ISBLANK('Data Entry'!$ª$122), "", 'Data Entry'!$ª$122)</f>
      </c>
      <c r="DC122">
        <f>IF(ISBLANK('Data Entry'!$«$122), "", 'Data Entry'!$«$122)</f>
      </c>
      <c r="DD122">
        <f>IF(ISBLANK('Data Entry'!$¬$122), "", 'Data Entry'!$¬$122)</f>
      </c>
      <c r="DE122">
        <f>IF(ISBLANK('Data Entry'!$­$122), "", 'Data Entry'!$­$122)</f>
      </c>
      <c r="DF122">
        <f>IF(ISBLANK('Data Entry'!$®$122), "", 'Data Entry'!$®$122)</f>
      </c>
      <c r="DG122">
        <f>IF(ISBLANK('Data Entry'!$¯$122), "", 'Data Entry'!$¯$122)</f>
      </c>
      <c r="DH122">
        <f>IF(ISBLANK('Data Entry'!$°$122), "", 'Data Entry'!$°$122)</f>
      </c>
      <c r="DI122">
        <f>IF(ISBLANK('Data Entry'!$±$122), "", 'Data Entry'!$±$122)</f>
      </c>
      <c r="DJ122">
        <f>IF(ISBLANK('Data Entry'!$²$122), "", 'Data Entry'!$²$122)</f>
      </c>
      <c r="DK122">
        <f>IF(ISBLANK('Data Entry'!$³$122), "", 'Data Entry'!$³$122)</f>
      </c>
      <c r="DL122">
        <f>IF(ISBLANK('Data Entry'!$´$122), "", 'Data Entry'!$´$122)</f>
      </c>
      <c r="DM122">
        <f>IF(ISBLANK('Data Entry'!$µ$122), "", 'Data Entry'!$µ$122)</f>
      </c>
      <c r="DN122">
        <f>IF(ISBLANK('Data Entry'!$¶$122), "", 'Data Entry'!$¶$122)</f>
      </c>
      <c r="DO122">
        <f>IF(ISBLANK('Data Entry'!$·$122), "", 'Data Entry'!$·$122)</f>
      </c>
      <c r="DP122">
        <f>IF(ISBLANK('Data Entry'!$¸$122), "", 'Data Entry'!$¸$122)</f>
      </c>
      <c r="DQ122">
        <f>IF(ISBLANK('Data Entry'!$¹$122), "", 'Data Entry'!$¹$122)</f>
      </c>
      <c r="DR122">
        <f>IF(ISBLANK('Data Entry'!$º$122), "", 'Data Entry'!$º$122)</f>
      </c>
      <c r="DS122">
        <f>IF(ISBLANK('Data Entry'!$»$122), "", 'Data Entry'!$»$122)</f>
      </c>
      <c r="DT122">
        <f>IF(ISBLANK('Data Entry'!$¼$122), "", 'Data Entry'!$¼$122)</f>
      </c>
      <c r="DU122">
        <f>IF(ISBLANK('Data Entry'!$½$122), "", 'Data Entry'!$½$122)</f>
      </c>
      <c r="DV122">
        <f>IF(ISBLANK('Data Entry'!$¾$122), "", 'Data Entry'!$¾$122)</f>
      </c>
      <c r="DW122">
        <f>IF(ISBLANK('Data Entry'!$¿$122), "", 'Data Entry'!$¿$122)</f>
      </c>
      <c r="DX122">
        <f>IF(ISBLANK('Data Entry'!$À$122), "", 'Data Entry'!$À$122)</f>
      </c>
      <c r="DY122">
        <f>IF(ISBLANK('Data Entry'!$Á$122), "", 'Data Entry'!$Á$122)</f>
      </c>
      <c r="DZ122">
        <f>IF(ISBLANK('Data Entry'!$Â$122), "", 'Data Entry'!$Â$122)</f>
      </c>
      <c r="EA122">
        <f>IF(ISBLANK('Data Entry'!$Ã$122), "", 'Data Entry'!$Ã$122)</f>
      </c>
      <c r="EB122">
        <f>IF(ISBLANK('Data Entry'!$Ä$122), "", 'Data Entry'!$Ä$122)</f>
      </c>
      <c r="EC122">
        <f>IF(ISBLANK('Data Entry'!$Å$122), "", 'Data Entry'!$Å$122)</f>
      </c>
      <c r="ED122">
        <f>IF(ISBLANK('Data Entry'!$Æ$122), "", 'Data Entry'!$Æ$122)</f>
      </c>
      <c r="EE122">
        <f>IF(ISBLANK('Data Entry'!$Ç$122), "", 'Data Entry'!$Ç$122)</f>
      </c>
      <c r="EF122">
        <f>IF(ISBLANK('Data Entry'!$È$122), "", 'Data Entry'!$È$122)</f>
      </c>
      <c r="EG122">
        <f>IF(ISBLANK('Data Entry'!$É$122), "", 'Data Entry'!$É$122)</f>
      </c>
      <c r="EH122">
        <f>IF(ISBLANK('Data Entry'!$Ê$122), "", 'Data Entry'!$Ê$122)</f>
      </c>
      <c r="EI122">
        <f>IF(ISBLANK('Data Entry'!$Ë$122), "", 'Data Entry'!$Ë$122)</f>
      </c>
      <c r="EJ122">
        <f>IF(ISBLANK('Data Entry'!$Ì$122), "", 'Data Entry'!$Ì$122)</f>
      </c>
      <c r="EK122">
        <f>IF(ISBLANK('Data Entry'!$Í$122), "", 'Data Entry'!$Í$122)</f>
      </c>
      <c r="EL122">
        <f>IF(ISBLANK('Data Entry'!$Î$122), "", 'Data Entry'!$Î$122)</f>
      </c>
      <c r="EM122">
        <f>IF(ISBLANK('Data Entry'!$Ï$122), "", 'Data Entry'!$Ï$122)</f>
      </c>
      <c r="EN122">
        <f>IF(ISBLANK('Data Entry'!$Ð$122), "", 'Data Entry'!$Ð$122)</f>
      </c>
      <c r="EO122">
        <f>IF(ISBLANK('Data Entry'!$Ñ$122), "", 'Data Entry'!$Ñ$122)</f>
      </c>
      <c r="EP122">
        <f>IF(ISBLANK('Data Entry'!$Ò$122), "", 'Data Entry'!$Ò$122)</f>
      </c>
      <c r="EQ122">
        <f>IF(ISBLANK('Data Entry'!$Ó$122), "", 'Data Entry'!$Ó$122)</f>
      </c>
      <c r="ER122">
        <f>IF(ISBLANK('Data Entry'!$Ô$122), "", 'Data Entry'!$Ô$122)</f>
      </c>
      <c r="ES122">
        <f>IF(ISBLANK('Data Entry'!$Õ$122), "", 'Data Entry'!$Õ$122)</f>
      </c>
      <c r="ET122">
        <f>IF(ISBLANK('Data Entry'!$Ö$122), "", 'Data Entry'!$Ö$122)</f>
      </c>
      <c r="EU122">
        <f>IF(ISBLANK('Data Entry'!$×$122), "", 'Data Entry'!$×$122)</f>
      </c>
      <c r="EV122">
        <f>IF(ISBLANK('Data Entry'!$Ø$122), "", 'Data Entry'!$Ø$122)</f>
      </c>
      <c r="EW122">
        <f>IF(ISBLANK('Data Entry'!$Ù$122), "", 'Data Entry'!$Ù$122)</f>
      </c>
      <c r="EX122">
        <f>IF(ISBLANK('Data Entry'!$Ú$122), "", 'Data Entry'!$Ú$122)</f>
      </c>
      <c r="EY122">
        <f>IF(ISBLANK('Data Entry'!$Û$122), "", 'Data Entry'!$Û$122)</f>
      </c>
      <c r="EZ122">
        <f>IF(ISBLANK('Data Entry'!$Ü$122), "", 'Data Entry'!$Ü$122)</f>
      </c>
      <c r="FA122">
        <f>IF(ISBLANK('Data Entry'!$Ý$122), "", 'Data Entry'!$Ý$122)</f>
      </c>
      <c r="FB122">
        <f>IF(ISBLANK('Data Entry'!$Þ$122), "", 'Data Entry'!$Þ$122)</f>
      </c>
      <c r="FC122">
        <f>IF(ISBLANK('Data Entry'!$ß$122), "", 'Data Entry'!$ß$122)</f>
      </c>
      <c r="FD122">
        <f>IF(ISBLANK('Data Entry'!$à$122), "", 'Data Entry'!$à$122)</f>
      </c>
      <c r="FE122">
        <f>IF(ISBLANK('Data Entry'!$á$122), "", 'Data Entry'!$á$122)</f>
      </c>
      <c r="FF122">
        <f>IF(ISBLANK('Data Entry'!$â$122), "", 'Data Entry'!$â$122)</f>
      </c>
      <c r="FG122">
        <f>IF(ISBLANK('Data Entry'!$ã$122), "", 'Data Entry'!$ã$122)</f>
      </c>
      <c r="FH122">
        <f>IF(ISBLANK('Data Entry'!$ä$122), "", 'Data Entry'!$ä$122)</f>
      </c>
      <c r="FI122">
        <f>IF(ISBLANK('Data Entry'!$å$122), "", 'Data Entry'!$å$122)</f>
      </c>
      <c r="FJ122">
        <f>IF(ISBLANK('Data Entry'!$æ$122), "", 'Data Entry'!$æ$122)</f>
      </c>
      <c r="FK122">
        <f>IF(ISBLANK('Data Entry'!$ç$122), "", 'Data Entry'!$ç$122)</f>
      </c>
      <c r="FL122">
        <f>IF(ISBLANK('Data Entry'!$è$122), "", 'Data Entry'!$è$122)</f>
      </c>
      <c r="FM122">
        <f>IF(ISBLANK('Data Entry'!$é$122), "", 'Data Entry'!$é$122)</f>
      </c>
      <c r="FN122">
        <f>IF(ISBLANK('Data Entry'!$ê$122), "", 'Data Entry'!$ê$122)</f>
      </c>
      <c r="FO122">
        <f>IF(ISBLANK('Data Entry'!$ë$122), "", 'Data Entry'!$ë$122)</f>
      </c>
      <c r="FP122">
        <f>IF(ISBLANK('Data Entry'!$ì$122), "", 'Data Entry'!$ì$122)</f>
      </c>
      <c r="FQ122">
        <f>IF(ISBLANK('Data Entry'!$í$122), "", 'Data Entry'!$í$122)</f>
      </c>
      <c r="FR122">
        <f>IF(ISBLANK('Data Entry'!$î$122), "", 'Data Entry'!$î$122)</f>
      </c>
      <c r="FS122">
        <f>IF(ISBLANK('Data Entry'!$ï$122), "", 'Data Entry'!$ï$122)</f>
      </c>
      <c r="FT122">
        <f>IF(ISBLANK('Data Entry'!$ð$122), "", 'Data Entry'!$ð$122)</f>
      </c>
      <c r="FU122">
        <f>IF(ISBLANK('Data Entry'!$ñ$122), "", 'Data Entry'!$ñ$122)</f>
      </c>
      <c r="FV122">
        <f>IF(ISBLANK('Data Entry'!$ò$122), "", 'Data Entry'!$ò$122)</f>
      </c>
      <c r="FW122">
        <f>IF(ISBLANK('Data Entry'!$ó$122), "", 'Data Entry'!$ó$122)</f>
      </c>
      <c r="FX122">
        <f>IF(ISBLANK('Data Entry'!$ô$122), "", 'Data Entry'!$ô$122)</f>
      </c>
      <c r="FY122">
        <f>IF(ISBLANK('Data Entry'!$õ$122), "", 'Data Entry'!$õ$122)</f>
      </c>
      <c r="FZ122">
        <f>IF(ISBLANK('Data Entry'!$ö$122), "", 'Data Entry'!$ö$122)</f>
      </c>
      <c r="GA122">
        <f>IF(ISBLANK('Data Entry'!$÷$122), "", 'Data Entry'!$÷$122)</f>
      </c>
      <c r="GB122">
        <f>IF(ISBLANK('Data Entry'!$ø$122), "", 'Data Entry'!$ø$122)</f>
      </c>
      <c r="GC122">
        <f>IF(ISBLANK('Data Entry'!$ù$122), "", 'Data Entry'!$ù$122)</f>
      </c>
      <c r="GD122">
        <f>IF(ISBLANK('Data Entry'!$ú$122), "", 'Data Entry'!$ú$122)</f>
      </c>
      <c r="GE122">
        <f>IF(ISBLANK('Data Entry'!$û$122), "", 'Data Entry'!$û$122)</f>
      </c>
      <c r="GF122">
        <f>IF(ISBLANK('Data Entry'!$ü$122), "", 'Data Entry'!$ü$122)</f>
      </c>
      <c r="GG122">
        <f>IF(ISBLANK('Data Entry'!$ý$122), "", 'Data Entry'!$ý$122)</f>
      </c>
      <c r="GH122">
        <f>IF(ISBLANK('Data Entry'!$þ$122), "", 'Data Entry'!$þ$122)</f>
      </c>
      <c r="GI122">
        <f>IF(ISBLANK('Data Entry'!$ÿ$122), "", 'Data Entry'!$ÿ$122)</f>
      </c>
      <c r="GJ122">
        <f>IF(ISBLANK('Data Entry'!$Ā$122), "", 'Data Entry'!$Ā$122)</f>
      </c>
      <c r="GK122">
        <f>IF(ISBLANK('Data Entry'!$ā$122), "", 'Data Entry'!$ā$122)</f>
      </c>
      <c r="GL122">
        <f>IF(ISBLANK('Data Entry'!$Ă$122), "", 'Data Entry'!$Ă$122)</f>
      </c>
      <c r="GM122">
        <f>IF(ISBLANK('Data Entry'!$ă$122), "", 'Data Entry'!$ă$122)</f>
      </c>
      <c r="GN122">
        <f>IF(ISBLANK('Data Entry'!$Ą$122), "", 'Data Entry'!$Ą$122)</f>
      </c>
      <c r="GO122">
        <f>IF(ISBLANK('Data Entry'!$ą$122), "", 'Data Entry'!$ą$122)</f>
      </c>
      <c r="GP122">
        <f>IF(ISBLANK('Data Entry'!$Ć$122), "", 'Data Entry'!$Ć$122)</f>
      </c>
      <c r="GQ122">
        <f>IF(ISBLANK('Data Entry'!$ć$122), "", 'Data Entry'!$ć$122)</f>
      </c>
      <c r="GR122">
        <f>IF(ISBLANK('Data Entry'!$Ĉ$122), "", 'Data Entry'!$Ĉ$122)</f>
      </c>
      <c r="GS122">
        <f>IF(ISBLANK('Data Entry'!$ĉ$122), "", 'Data Entry'!$ĉ$122)</f>
      </c>
      <c r="GT122">
        <f>IF(ISBLANK('Data Entry'!$Ċ$122), "", 'Data Entry'!$Ċ$122)</f>
      </c>
      <c r="GU122">
        <f>IF(ISBLANK('Data Entry'!$ċ$122), "", 'Data Entry'!$ċ$122)</f>
      </c>
      <c r="GV122">
        <f>IF(ISBLANK('Data Entry'!$Č$122), "", 'Data Entry'!$Č$122)</f>
      </c>
      <c r="GW122">
        <f>IF(ISBLANK('Data Entry'!$č$122), "", 'Data Entry'!$č$122)</f>
      </c>
      <c r="GX122">
        <f>IF(ISBLANK('Data Entry'!$Ď$122), "", 'Data Entry'!$Ď$122)</f>
      </c>
      <c r="GY122">
        <f>IF(ISBLANK('Data Entry'!$ď$122), "", 'Data Entry'!$ď$122)</f>
      </c>
      <c r="GZ122">
        <f>IF(ISBLANK('Data Entry'!$Đ$122), "", 'Data Entry'!$Đ$122)</f>
      </c>
      <c r="HA122">
        <f>IF(ISBLANK('Data Entry'!$đ$122), "", 'Data Entry'!$đ$122)</f>
      </c>
      <c r="HB122">
        <f>IF(ISBLANK('Data Entry'!$Ē$122), "", 'Data Entry'!$Ē$122)</f>
      </c>
      <c r="HC122">
        <f>IF(ISBLANK('Data Entry'!$ē$122), "", 'Data Entry'!$ē$122)</f>
      </c>
      <c r="HD122">
        <f>IF(ISBLANK('Data Entry'!$Ĕ$122), "", 'Data Entry'!$Ĕ$122)</f>
      </c>
      <c r="HE122">
        <f>IF(ISBLANK('Data Entry'!$ĕ$122), "", 'Data Entry'!$ĕ$122)</f>
      </c>
      <c r="HF122">
        <f>IF(ISBLANK('Data Entry'!$Ė$122), "", 'Data Entry'!$Ė$122)</f>
      </c>
      <c r="HG122">
        <f>IF(ISBLANK('Data Entry'!$ė$122), "", 'Data Entry'!$ė$122)</f>
      </c>
      <c r="HH122">
        <f>IF(ISBLANK('Data Entry'!$Ę$122), "", 'Data Entry'!$Ę$122)</f>
      </c>
      <c r="HI122">
        <f>IF(ISBLANK('Data Entry'!$ę$122), "", 'Data Entry'!$ę$122)</f>
      </c>
      <c r="HJ122">
        <f>IF(ISBLANK('Data Entry'!$Ě$122), "", 'Data Entry'!$Ě$122)</f>
      </c>
      <c r="HK122">
        <f>IF(ISBLANK('Data Entry'!$ě$122), "", 'Data Entry'!$ě$122)</f>
      </c>
      <c r="HL122">
        <f>IF(ISBLANK('Data Entry'!$Ĝ$122), "", 'Data Entry'!$Ĝ$122)</f>
      </c>
      <c r="HM122">
        <f>IF(ISBLANK('Data Entry'!$ĝ$122), "", 'Data Entry'!$ĝ$122)</f>
      </c>
      <c r="HN122">
        <f>IF(ISBLANK('Data Entry'!$Ğ$122), "", 'Data Entry'!$Ğ$122)</f>
      </c>
      <c r="HO122">
        <f>IF(ISBLANK('Data Entry'!$ğ$122), "", 'Data Entry'!$ğ$122)</f>
      </c>
      <c r="HP122">
        <f>IF(ISBLANK('Data Entry'!$Ġ$122), "", 'Data Entry'!$Ġ$122)</f>
      </c>
      <c r="HQ122">
        <f>IF(ISBLANK('Data Entry'!$ġ$122), "", 'Data Entry'!$ġ$122)</f>
      </c>
      <c r="HR122">
        <f>IF(ISBLANK('Data Entry'!$Ģ$122), "", 'Data Entry'!$Ģ$122)</f>
      </c>
      <c r="HS122">
        <f>IF(ISBLANK('Data Entry'!$ģ$122), "", 'Data Entry'!$ģ$122)</f>
      </c>
      <c r="HT122">
        <f>IF(ISBLANK('Data Entry'!$Ĥ$122), "", 'Data Entry'!$Ĥ$122)</f>
      </c>
      <c r="HU122">
        <f>IF(ISBLANK('Data Entry'!$ĥ$122), "", 'Data Entry'!$ĥ$122)</f>
      </c>
      <c r="HV122">
        <f>IF(ISBLANK('Data Entry'!$Ħ$122), "", 'Data Entry'!$Ħ$122)</f>
      </c>
      <c r="HW122">
        <f>IF(ISBLANK('Data Entry'!$ħ$122), "", 'Data Entry'!$ħ$122)</f>
      </c>
      <c r="HX122">
        <f>IF(ISBLANK('Data Entry'!$Ĩ$122), "", 'Data Entry'!$Ĩ$122)</f>
      </c>
      <c r="HY122">
        <f>IF(ISBLANK('Data Entry'!$ĩ$122), "", 'Data Entry'!$ĩ$122)</f>
      </c>
      <c r="HZ122">
        <f>IF(ISBLANK('Data Entry'!$Ī$122), "", 'Data Entry'!$Ī$122)</f>
      </c>
      <c r="IA122">
        <f>IF(ISBLANK('Data Entry'!$ī$122), "", 'Data Entry'!$ī$122)</f>
      </c>
      <c r="IB122">
        <f>IF(ISBLANK('Data Entry'!$Ĭ$122), "", 'Data Entry'!$Ĭ$122)</f>
      </c>
      <c r="IC122">
        <f>IF(ISBLANK('Data Entry'!$ĭ$122), "", 'Data Entry'!$ĭ$122)</f>
      </c>
      <c r="ID122">
        <f>IF(ISBLANK('Data Entry'!$Į$122), "", 'Data Entry'!$Į$122)</f>
      </c>
      <c r="IE122">
        <f>IF(ISBLANK('Data Entry'!$į$122), "", 'Data Entry'!$į$122)</f>
      </c>
      <c r="IF122">
        <f>IF(ISBLANK('Data Entry'!$İ$122), "", 'Data Entry'!$İ$122)</f>
      </c>
      <c r="IG122">
        <f>IF(ISBLANK('Data Entry'!$ı$122), "", 'Data Entry'!$ı$122)</f>
      </c>
      <c r="IH122">
        <f>IF(ISBLANK('Data Entry'!$Ĳ$122), "", 'Data Entry'!$Ĳ$122)</f>
      </c>
      <c r="II122">
        <f>IF(ISBLANK('Data Entry'!$ĳ$122), "", 'Data Entry'!$ĳ$122)</f>
      </c>
      <c r="IJ122">
        <f>IF(ISBLANK('Data Entry'!$Ĵ$122), "", 'Data Entry'!$Ĵ$122)</f>
      </c>
      <c r="IK122">
        <f>IF(ISBLANK('Data Entry'!$ĵ$122), "", 'Data Entry'!$ĵ$122)</f>
      </c>
      <c r="IL122">
        <f>IF(ISBLANK('Data Entry'!$Ķ$122), "", 'Data Entry'!$Ķ$122)</f>
      </c>
      <c r="IM122">
        <f>IF(ISBLANK('Data Entry'!$ķ$122), "", 'Data Entry'!$ķ$122)</f>
      </c>
      <c r="IN122">
        <f>IF(ISBLANK('Data Entry'!$ĸ$122), "", 'Data Entry'!$ĸ$122)</f>
      </c>
      <c r="IO122">
        <f>IF(ISBLANK('Data Entry'!$Ĺ$122), "", 'Data Entry'!$Ĺ$122)</f>
      </c>
      <c r="IP122">
        <f>IF(ISBLANK('Data Entry'!$ĺ$122), "", 'Data Entry'!$ĺ$122)</f>
      </c>
      <c r="IQ122">
        <f>IF(ISBLANK('Data Entry'!$Ļ$122), "", 'Data Entry'!$Ļ$122)</f>
      </c>
      <c r="IR122">
        <f>IF(ISBLANK('Data Entry'!$ļ$122), "", 'Data Entry'!$ļ$122)</f>
      </c>
      <c r="IS122">
        <f>IF(ISBLANK('Data Entry'!$Ľ$122), "", 'Data Entry'!$Ľ$122)</f>
      </c>
      <c r="IT122">
        <f>IF(ISBLANK('Data Entry'!$ľ$122), "", 'Data Entry'!$ľ$122)</f>
      </c>
    </row>
    <row r="123" spans="1:254" x14ac:dyDescent="0.25">
      <c r="A123">
        <f>IF(ISBLANK('Data Entry'!$A$123), "", 'Data Entry'!$A$123)</f>
      </c>
      <c r="B123">
        <f>IF(ISBLANK('Data Entry'!$B$123), "", 'Data Entry'!$B$123)</f>
      </c>
      <c r="C123">
        <f>IF(ISBLANK('Data Entry'!$C$123), "", 'Data Entry'!$C$123)</f>
      </c>
      <c r="D123">
        <f>IF(ISBLANK('Data Entry'!$D$123), "", 'Data Entry'!$D$123)</f>
      </c>
      <c r="E123">
        <f>IF(ISBLANK('Data Entry'!$E$123), "", 'Data Entry'!$E$123)</f>
      </c>
      <c r="F123">
        <f>IF(ISBLANK('Data Entry'!$F$123), "", 'Data Entry'!$F$123)</f>
      </c>
      <c r="G123">
        <f>IF(ISBLANK('Data Entry'!$G$123), "", 'Data Entry'!$G$123)</f>
      </c>
      <c r="H123">
        <f>IF(ISBLANK('Data Entry'!$H$123), "", 'Data Entry'!$H$123)</f>
      </c>
      <c r="I123">
        <f>IF(ISBLANK('Data Entry'!$I$123), "", 'Data Entry'!$I$123)</f>
      </c>
      <c r="J123">
        <f>IF(ISBLANK('Data Entry'!$J$123), "", 'Data Entry'!$J$123)</f>
      </c>
      <c r="K123">
        <f>IF(ISBLANK('Data Entry'!$K$123), "", 'Data Entry'!$K$123)</f>
      </c>
      <c r="L123">
        <f>IF(ISBLANK('Data Entry'!$L$123), "", 'Data Entry'!$L$123)</f>
      </c>
      <c r="M123">
        <f>IF(ISBLANK('Data Entry'!$M$123), "", 'Data Entry'!$M$123)</f>
      </c>
      <c r="N123">
        <f>IF(ISBLANK('Data Entry'!$N$123), "", 'Data Entry'!$N$123)</f>
      </c>
      <c r="O123">
        <f>IF(ISBLANK('Data Entry'!$O$123), "", 'Data Entry'!$O$123)</f>
      </c>
      <c r="P123">
        <f>IF(ISBLANK('Data Entry'!$P$123), "", 'Data Entry'!$P$123)</f>
      </c>
      <c r="Q123">
        <f>IF(ISBLANK('Data Entry'!$Q$123), "", 'Data Entry'!$Q$123)</f>
      </c>
      <c r="R123">
        <f>IF(ISBLANK('Data Entry'!$R$123), "", 'Data Entry'!$R$123)</f>
      </c>
      <c r="S123">
        <f>IF(ISBLANK('Data Entry'!$S$123), "", 'Data Entry'!$S$123)</f>
      </c>
      <c r="T123">
        <f>IF(ISBLANK('Data Entry'!$T$123), "", 'Data Entry'!$T$123)</f>
      </c>
      <c r="U123">
        <f>IF(ISBLANK('Data Entry'!$U$123), "", 'Data Entry'!$U$123)</f>
      </c>
      <c r="V123">
        <f>IF(ISBLANK('Data Entry'!$V$123), "", 'Data Entry'!$V$123)</f>
      </c>
      <c r="W123">
        <f>IF(ISBLANK('Data Entry'!$W$123), "", 'Data Entry'!$W$123)</f>
      </c>
      <c r="X123">
        <f>IF(ISBLANK('Data Entry'!$X$123), "", 'Data Entry'!$X$123)</f>
      </c>
      <c r="Y123">
        <f>IF(ISBLANK('Data Entry'!$Y$123), "", 'Data Entry'!$Y$123)</f>
      </c>
      <c r="Z123">
        <f>IF(ISBLANK('Data Entry'!$Z$123), "", 'Data Entry'!$Z$123)</f>
      </c>
      <c r="AA123">
        <f>IF(ISBLANK('Data Entry'!$[$123), "", 'Data Entry'!$[$123)</f>
      </c>
      <c r="AB123">
        <f>IF(ISBLANK('Data Entry'!$\$123), "", 'Data Entry'!$\$123)</f>
      </c>
      <c r="AC123">
        <f>IF(ISBLANK('Data Entry'!$]$123), "", 'Data Entry'!$]$123)</f>
      </c>
      <c r="AD123">
        <f>IF(ISBLANK('Data Entry'!$^$123), "", 'Data Entry'!$^$123)</f>
      </c>
      <c r="AE123">
        <f>IF(ISBLANK('Data Entry'!$_$123), "", 'Data Entry'!$_$123)</f>
      </c>
      <c r="AF123">
        <f>IF(ISBLANK('Data Entry'!$`$123), "", 'Data Entry'!$`$123)</f>
      </c>
      <c r="AG123">
        <f>IF(ISBLANK('Data Entry'!$a$123), "", 'Data Entry'!$a$123)</f>
      </c>
      <c r="AH123">
        <f>IF(ISBLANK('Data Entry'!$b$123), "", 'Data Entry'!$b$123)</f>
      </c>
      <c r="AI123">
        <f>IF(ISBLANK('Data Entry'!$c$123), "", 'Data Entry'!$c$123)</f>
      </c>
      <c r="AJ123">
        <f>IF(ISBLANK('Data Entry'!$d$123), "", 'Data Entry'!$d$123)</f>
      </c>
      <c r="AK123">
        <f>IF(ISBLANK('Data Entry'!$e$123), "", 'Data Entry'!$e$123)</f>
      </c>
      <c r="AL123">
        <f>IF(ISBLANK('Data Entry'!$f$123), "", 'Data Entry'!$f$123)</f>
      </c>
      <c r="AM123">
        <f>IF(ISBLANK('Data Entry'!$g$123), "", 'Data Entry'!$g$123)</f>
      </c>
      <c r="AN123">
        <f>IF(ISBLANK('Data Entry'!$h$123), "", 'Data Entry'!$h$123)</f>
      </c>
      <c r="AO123">
        <f>IF(ISBLANK('Data Entry'!$i$123), "", 'Data Entry'!$i$123)</f>
      </c>
      <c r="AP123">
        <f>IF(ISBLANK('Data Entry'!$j$123), "", 'Data Entry'!$j$123)</f>
      </c>
      <c r="AQ123">
        <f>IF(ISBLANK('Data Entry'!$k$123), "", 'Data Entry'!$k$123)</f>
      </c>
      <c r="AR123">
        <f>IF(ISBLANK('Data Entry'!$l$123), "", 'Data Entry'!$l$123)</f>
      </c>
      <c r="AS123">
        <f>IF(ISBLANK('Data Entry'!$m$123), "", 'Data Entry'!$m$123)</f>
      </c>
      <c r="AT123">
        <f>IF(ISBLANK('Data Entry'!$n$123), "", 'Data Entry'!$n$123)</f>
      </c>
      <c r="AU123">
        <f>IF(ISBLANK('Data Entry'!$o$123), "", 'Data Entry'!$o$123)</f>
      </c>
      <c r="AV123">
        <f>IF(ISBLANK('Data Entry'!$p$123), "", 'Data Entry'!$p$123)</f>
      </c>
      <c r="AW123">
        <f>IF(ISBLANK('Data Entry'!$q$123), "", 'Data Entry'!$q$123)</f>
      </c>
      <c r="AX123">
        <f>IF(ISBLANK('Data Entry'!$r$123), "", 'Data Entry'!$r$123)</f>
      </c>
      <c r="AY123">
        <f>IF(ISBLANK('Data Entry'!$s$123), "", 'Data Entry'!$s$123)</f>
      </c>
      <c r="AZ123">
        <f>IF(ISBLANK('Data Entry'!$t$123), "", 'Data Entry'!$t$123)</f>
      </c>
      <c r="BA123">
        <f>IF(ISBLANK('Data Entry'!$u$123), "", 'Data Entry'!$u$123)</f>
      </c>
      <c r="BB123">
        <f>IF(ISBLANK('Data Entry'!$v$123), "", 'Data Entry'!$v$123)</f>
      </c>
      <c r="BC123">
        <f>IF(ISBLANK('Data Entry'!$w$123), "", 'Data Entry'!$w$123)</f>
      </c>
      <c r="BD123">
        <f>IF(ISBLANK('Data Entry'!$x$123), "", 'Data Entry'!$x$123)</f>
      </c>
      <c r="BE123">
        <f>IF(ISBLANK('Data Entry'!$y$123), "", 'Data Entry'!$y$123)</f>
      </c>
      <c r="BF123">
        <f>IF(ISBLANK('Data Entry'!$z$123), "", 'Data Entry'!$z$123)</f>
      </c>
      <c r="BG123">
        <f>IF(ISBLANK('Data Entry'!${$123), "", 'Data Entry'!${$123)</f>
      </c>
      <c r="BH123">
        <f>IF(ISBLANK('Data Entry'!$|$123), "", 'Data Entry'!$|$123)</f>
      </c>
      <c r="BI123">
        <f>IF(ISBLANK('Data Entry'!$}$123), "", 'Data Entry'!$}$123)</f>
      </c>
      <c r="BJ123">
        <f>IF(ISBLANK('Data Entry'!$~$123), "", 'Data Entry'!$~$123)</f>
      </c>
      <c r="BK123">
        <f>IF(ISBLANK('Data Entry'!$$123), "", 'Data Entry'!$$123)</f>
      </c>
      <c r="BL123">
        <f>IF(ISBLANK('Data Entry'!$$123), "", 'Data Entry'!$$123)</f>
      </c>
      <c r="BM123">
        <f>IF(ISBLANK('Data Entry'!$$123), "", 'Data Entry'!$$123)</f>
      </c>
      <c r="BN123">
        <f>IF(ISBLANK('Data Entry'!$$123), "", 'Data Entry'!$$123)</f>
      </c>
      <c r="BO123">
        <f>IF(ISBLANK('Data Entry'!$$123), "", 'Data Entry'!$$123)</f>
      </c>
      <c r="BP123">
        <f>IF(ISBLANK('Data Entry'!$$123), "", 'Data Entry'!$$123)</f>
      </c>
      <c r="BQ123">
        <f>IF(ISBLANK('Data Entry'!$$123), "", 'Data Entry'!$$123)</f>
      </c>
      <c r="BR123">
        <f>IF(ISBLANK('Data Entry'!$$123), "", 'Data Entry'!$$123)</f>
      </c>
      <c r="BS123">
        <f>IF(ISBLANK('Data Entry'!$$123), "", 'Data Entry'!$$123)</f>
      </c>
      <c r="BT123">
        <f>IF(ISBLANK('Data Entry'!$$123), "", 'Data Entry'!$$123)</f>
      </c>
      <c r="BU123">
        <f>IF(ISBLANK('Data Entry'!$$123), "", 'Data Entry'!$$123)</f>
      </c>
      <c r="BV123">
        <f>IF(ISBLANK('Data Entry'!$$123), "", 'Data Entry'!$$123)</f>
      </c>
      <c r="BW123">
        <f>IF(ISBLANK('Data Entry'!$$123), "", 'Data Entry'!$$123)</f>
      </c>
      <c r="BX123">
        <f>IF(ISBLANK('Data Entry'!$$123), "", 'Data Entry'!$$123)</f>
      </c>
      <c r="BY123">
        <f>IF(ISBLANK('Data Entry'!$$123), "", 'Data Entry'!$$123)</f>
      </c>
      <c r="BZ123">
        <f>IF(ISBLANK('Data Entry'!$$123), "", 'Data Entry'!$$123)</f>
      </c>
      <c r="CA123">
        <f>IF(ISBLANK('Data Entry'!$$123), "", 'Data Entry'!$$123)</f>
      </c>
      <c r="CB123">
        <f>IF(ISBLANK('Data Entry'!$$123), "", 'Data Entry'!$$123)</f>
      </c>
      <c r="CC123">
        <f>IF(ISBLANK('Data Entry'!$$123), "", 'Data Entry'!$$123)</f>
      </c>
      <c r="CD123">
        <f>IF(ISBLANK('Data Entry'!$$123), "", 'Data Entry'!$$123)</f>
      </c>
      <c r="CE123">
        <f>IF(ISBLANK('Data Entry'!$$123), "", 'Data Entry'!$$123)</f>
      </c>
      <c r="CF123">
        <f>IF(ISBLANK('Data Entry'!$$123), "", 'Data Entry'!$$123)</f>
      </c>
      <c r="CG123">
        <f>IF(ISBLANK('Data Entry'!$$123), "", 'Data Entry'!$$123)</f>
      </c>
      <c r="CH123">
        <f>IF(ISBLANK('Data Entry'!$$123), "", 'Data Entry'!$$123)</f>
      </c>
      <c r="CI123">
        <f>IF(ISBLANK('Data Entry'!$$123), "", 'Data Entry'!$$123)</f>
      </c>
      <c r="CJ123">
        <f>IF(ISBLANK('Data Entry'!$$123), "", 'Data Entry'!$$123)</f>
      </c>
      <c r="CK123">
        <f>IF(ISBLANK('Data Entry'!$$123), "", 'Data Entry'!$$123)</f>
      </c>
      <c r="CL123">
        <f>IF(ISBLANK('Data Entry'!$$123), "", 'Data Entry'!$$123)</f>
      </c>
      <c r="CM123">
        <f>IF(ISBLANK('Data Entry'!$$123), "", 'Data Entry'!$$123)</f>
      </c>
      <c r="CN123">
        <f>IF(ISBLANK('Data Entry'!$$123), "", 'Data Entry'!$$123)</f>
      </c>
      <c r="CO123">
        <f>IF(ISBLANK('Data Entry'!$$123), "", 'Data Entry'!$$123)</f>
      </c>
      <c r="CP123">
        <f>IF(ISBLANK('Data Entry'!$$123), "", 'Data Entry'!$$123)</f>
      </c>
      <c r="CQ123">
        <f>IF(ISBLANK('Data Entry'!$$123), "", 'Data Entry'!$$123)</f>
      </c>
      <c r="CR123">
        <f>IF(ISBLANK('Data Entry'!$ $123), "", 'Data Entry'!$ $123)</f>
      </c>
      <c r="CS123">
        <f>IF(ISBLANK('Data Entry'!$¡$123), "", 'Data Entry'!$¡$123)</f>
      </c>
      <c r="CT123">
        <f>IF(ISBLANK('Data Entry'!$¢$123), "", 'Data Entry'!$¢$123)</f>
      </c>
      <c r="CU123">
        <f>IF(ISBLANK('Data Entry'!$£$123), "", 'Data Entry'!$£$123)</f>
      </c>
      <c r="CV123">
        <f>IF(ISBLANK('Data Entry'!$¤$123), "", 'Data Entry'!$¤$123)</f>
      </c>
      <c r="CW123">
        <f>IF(ISBLANK('Data Entry'!$¥$123), "", 'Data Entry'!$¥$123)</f>
      </c>
      <c r="CX123">
        <f>IF(ISBLANK('Data Entry'!$¦$123), "", 'Data Entry'!$¦$123)</f>
      </c>
      <c r="CY123">
        <f>IF(ISBLANK('Data Entry'!$§$123), "", 'Data Entry'!$§$123)</f>
      </c>
      <c r="CZ123">
        <f>IF(ISBLANK('Data Entry'!$¨$123), "", 'Data Entry'!$¨$123)</f>
      </c>
      <c r="DA123">
        <f>IF(ISBLANK('Data Entry'!$©$123), "", 'Data Entry'!$©$123)</f>
      </c>
      <c r="DB123">
        <f>IF(ISBLANK('Data Entry'!$ª$123), "", 'Data Entry'!$ª$123)</f>
      </c>
      <c r="DC123">
        <f>IF(ISBLANK('Data Entry'!$«$123), "", 'Data Entry'!$«$123)</f>
      </c>
      <c r="DD123">
        <f>IF(ISBLANK('Data Entry'!$¬$123), "", 'Data Entry'!$¬$123)</f>
      </c>
      <c r="DE123">
        <f>IF(ISBLANK('Data Entry'!$­$123), "", 'Data Entry'!$­$123)</f>
      </c>
      <c r="DF123">
        <f>IF(ISBLANK('Data Entry'!$®$123), "", 'Data Entry'!$®$123)</f>
      </c>
      <c r="DG123">
        <f>IF(ISBLANK('Data Entry'!$¯$123), "", 'Data Entry'!$¯$123)</f>
      </c>
      <c r="DH123">
        <f>IF(ISBLANK('Data Entry'!$°$123), "", 'Data Entry'!$°$123)</f>
      </c>
      <c r="DI123">
        <f>IF(ISBLANK('Data Entry'!$±$123), "", 'Data Entry'!$±$123)</f>
      </c>
      <c r="DJ123">
        <f>IF(ISBLANK('Data Entry'!$²$123), "", 'Data Entry'!$²$123)</f>
      </c>
      <c r="DK123">
        <f>IF(ISBLANK('Data Entry'!$³$123), "", 'Data Entry'!$³$123)</f>
      </c>
      <c r="DL123">
        <f>IF(ISBLANK('Data Entry'!$´$123), "", 'Data Entry'!$´$123)</f>
      </c>
      <c r="DM123">
        <f>IF(ISBLANK('Data Entry'!$µ$123), "", 'Data Entry'!$µ$123)</f>
      </c>
      <c r="DN123">
        <f>IF(ISBLANK('Data Entry'!$¶$123), "", 'Data Entry'!$¶$123)</f>
      </c>
      <c r="DO123">
        <f>IF(ISBLANK('Data Entry'!$·$123), "", 'Data Entry'!$·$123)</f>
      </c>
      <c r="DP123">
        <f>IF(ISBLANK('Data Entry'!$¸$123), "", 'Data Entry'!$¸$123)</f>
      </c>
      <c r="DQ123">
        <f>IF(ISBLANK('Data Entry'!$¹$123), "", 'Data Entry'!$¹$123)</f>
      </c>
      <c r="DR123">
        <f>IF(ISBLANK('Data Entry'!$º$123), "", 'Data Entry'!$º$123)</f>
      </c>
      <c r="DS123">
        <f>IF(ISBLANK('Data Entry'!$»$123), "", 'Data Entry'!$»$123)</f>
      </c>
      <c r="DT123">
        <f>IF(ISBLANK('Data Entry'!$¼$123), "", 'Data Entry'!$¼$123)</f>
      </c>
      <c r="DU123">
        <f>IF(ISBLANK('Data Entry'!$½$123), "", 'Data Entry'!$½$123)</f>
      </c>
      <c r="DV123">
        <f>IF(ISBLANK('Data Entry'!$¾$123), "", 'Data Entry'!$¾$123)</f>
      </c>
      <c r="DW123">
        <f>IF(ISBLANK('Data Entry'!$¿$123), "", 'Data Entry'!$¿$123)</f>
      </c>
      <c r="DX123">
        <f>IF(ISBLANK('Data Entry'!$À$123), "", 'Data Entry'!$À$123)</f>
      </c>
      <c r="DY123">
        <f>IF(ISBLANK('Data Entry'!$Á$123), "", 'Data Entry'!$Á$123)</f>
      </c>
      <c r="DZ123">
        <f>IF(ISBLANK('Data Entry'!$Â$123), "", 'Data Entry'!$Â$123)</f>
      </c>
      <c r="EA123">
        <f>IF(ISBLANK('Data Entry'!$Ã$123), "", 'Data Entry'!$Ã$123)</f>
      </c>
      <c r="EB123">
        <f>IF(ISBLANK('Data Entry'!$Ä$123), "", 'Data Entry'!$Ä$123)</f>
      </c>
      <c r="EC123">
        <f>IF(ISBLANK('Data Entry'!$Å$123), "", 'Data Entry'!$Å$123)</f>
      </c>
      <c r="ED123">
        <f>IF(ISBLANK('Data Entry'!$Æ$123), "", 'Data Entry'!$Æ$123)</f>
      </c>
      <c r="EE123">
        <f>IF(ISBLANK('Data Entry'!$Ç$123), "", 'Data Entry'!$Ç$123)</f>
      </c>
      <c r="EF123">
        <f>IF(ISBLANK('Data Entry'!$È$123), "", 'Data Entry'!$È$123)</f>
      </c>
      <c r="EG123">
        <f>IF(ISBLANK('Data Entry'!$É$123), "", 'Data Entry'!$É$123)</f>
      </c>
      <c r="EH123">
        <f>IF(ISBLANK('Data Entry'!$Ê$123), "", 'Data Entry'!$Ê$123)</f>
      </c>
      <c r="EI123">
        <f>IF(ISBLANK('Data Entry'!$Ë$123), "", 'Data Entry'!$Ë$123)</f>
      </c>
      <c r="EJ123">
        <f>IF(ISBLANK('Data Entry'!$Ì$123), "", 'Data Entry'!$Ì$123)</f>
      </c>
      <c r="EK123">
        <f>IF(ISBLANK('Data Entry'!$Í$123), "", 'Data Entry'!$Í$123)</f>
      </c>
      <c r="EL123">
        <f>IF(ISBLANK('Data Entry'!$Î$123), "", 'Data Entry'!$Î$123)</f>
      </c>
      <c r="EM123">
        <f>IF(ISBLANK('Data Entry'!$Ï$123), "", 'Data Entry'!$Ï$123)</f>
      </c>
      <c r="EN123">
        <f>IF(ISBLANK('Data Entry'!$Ð$123), "", 'Data Entry'!$Ð$123)</f>
      </c>
      <c r="EO123">
        <f>IF(ISBLANK('Data Entry'!$Ñ$123), "", 'Data Entry'!$Ñ$123)</f>
      </c>
      <c r="EP123">
        <f>IF(ISBLANK('Data Entry'!$Ò$123), "", 'Data Entry'!$Ò$123)</f>
      </c>
      <c r="EQ123">
        <f>IF(ISBLANK('Data Entry'!$Ó$123), "", 'Data Entry'!$Ó$123)</f>
      </c>
      <c r="ER123">
        <f>IF(ISBLANK('Data Entry'!$Ô$123), "", 'Data Entry'!$Ô$123)</f>
      </c>
      <c r="ES123">
        <f>IF(ISBLANK('Data Entry'!$Õ$123), "", 'Data Entry'!$Õ$123)</f>
      </c>
      <c r="ET123">
        <f>IF(ISBLANK('Data Entry'!$Ö$123), "", 'Data Entry'!$Ö$123)</f>
      </c>
      <c r="EU123">
        <f>IF(ISBLANK('Data Entry'!$×$123), "", 'Data Entry'!$×$123)</f>
      </c>
      <c r="EV123">
        <f>IF(ISBLANK('Data Entry'!$Ø$123), "", 'Data Entry'!$Ø$123)</f>
      </c>
      <c r="EW123">
        <f>IF(ISBLANK('Data Entry'!$Ù$123), "", 'Data Entry'!$Ù$123)</f>
      </c>
      <c r="EX123">
        <f>IF(ISBLANK('Data Entry'!$Ú$123), "", 'Data Entry'!$Ú$123)</f>
      </c>
      <c r="EY123">
        <f>IF(ISBLANK('Data Entry'!$Û$123), "", 'Data Entry'!$Û$123)</f>
      </c>
      <c r="EZ123">
        <f>IF(ISBLANK('Data Entry'!$Ü$123), "", 'Data Entry'!$Ü$123)</f>
      </c>
      <c r="FA123">
        <f>IF(ISBLANK('Data Entry'!$Ý$123), "", 'Data Entry'!$Ý$123)</f>
      </c>
      <c r="FB123">
        <f>IF(ISBLANK('Data Entry'!$Þ$123), "", 'Data Entry'!$Þ$123)</f>
      </c>
      <c r="FC123">
        <f>IF(ISBLANK('Data Entry'!$ß$123), "", 'Data Entry'!$ß$123)</f>
      </c>
      <c r="FD123">
        <f>IF(ISBLANK('Data Entry'!$à$123), "", 'Data Entry'!$à$123)</f>
      </c>
      <c r="FE123">
        <f>IF(ISBLANK('Data Entry'!$á$123), "", 'Data Entry'!$á$123)</f>
      </c>
      <c r="FF123">
        <f>IF(ISBLANK('Data Entry'!$â$123), "", 'Data Entry'!$â$123)</f>
      </c>
      <c r="FG123">
        <f>IF(ISBLANK('Data Entry'!$ã$123), "", 'Data Entry'!$ã$123)</f>
      </c>
      <c r="FH123">
        <f>IF(ISBLANK('Data Entry'!$ä$123), "", 'Data Entry'!$ä$123)</f>
      </c>
      <c r="FI123">
        <f>IF(ISBLANK('Data Entry'!$å$123), "", 'Data Entry'!$å$123)</f>
      </c>
      <c r="FJ123">
        <f>IF(ISBLANK('Data Entry'!$æ$123), "", 'Data Entry'!$æ$123)</f>
      </c>
      <c r="FK123">
        <f>IF(ISBLANK('Data Entry'!$ç$123), "", 'Data Entry'!$ç$123)</f>
      </c>
      <c r="FL123">
        <f>IF(ISBLANK('Data Entry'!$è$123), "", 'Data Entry'!$è$123)</f>
      </c>
      <c r="FM123">
        <f>IF(ISBLANK('Data Entry'!$é$123), "", 'Data Entry'!$é$123)</f>
      </c>
      <c r="FN123">
        <f>IF(ISBLANK('Data Entry'!$ê$123), "", 'Data Entry'!$ê$123)</f>
      </c>
      <c r="FO123">
        <f>IF(ISBLANK('Data Entry'!$ë$123), "", 'Data Entry'!$ë$123)</f>
      </c>
      <c r="FP123">
        <f>IF(ISBLANK('Data Entry'!$ì$123), "", 'Data Entry'!$ì$123)</f>
      </c>
      <c r="FQ123">
        <f>IF(ISBLANK('Data Entry'!$í$123), "", 'Data Entry'!$í$123)</f>
      </c>
      <c r="FR123">
        <f>IF(ISBLANK('Data Entry'!$î$123), "", 'Data Entry'!$î$123)</f>
      </c>
      <c r="FS123">
        <f>IF(ISBLANK('Data Entry'!$ï$123), "", 'Data Entry'!$ï$123)</f>
      </c>
      <c r="FT123">
        <f>IF(ISBLANK('Data Entry'!$ð$123), "", 'Data Entry'!$ð$123)</f>
      </c>
      <c r="FU123">
        <f>IF(ISBLANK('Data Entry'!$ñ$123), "", 'Data Entry'!$ñ$123)</f>
      </c>
      <c r="FV123">
        <f>IF(ISBLANK('Data Entry'!$ò$123), "", 'Data Entry'!$ò$123)</f>
      </c>
      <c r="FW123">
        <f>IF(ISBLANK('Data Entry'!$ó$123), "", 'Data Entry'!$ó$123)</f>
      </c>
      <c r="FX123">
        <f>IF(ISBLANK('Data Entry'!$ô$123), "", 'Data Entry'!$ô$123)</f>
      </c>
      <c r="FY123">
        <f>IF(ISBLANK('Data Entry'!$õ$123), "", 'Data Entry'!$õ$123)</f>
      </c>
      <c r="FZ123">
        <f>IF(ISBLANK('Data Entry'!$ö$123), "", 'Data Entry'!$ö$123)</f>
      </c>
      <c r="GA123">
        <f>IF(ISBLANK('Data Entry'!$÷$123), "", 'Data Entry'!$÷$123)</f>
      </c>
      <c r="GB123">
        <f>IF(ISBLANK('Data Entry'!$ø$123), "", 'Data Entry'!$ø$123)</f>
      </c>
      <c r="GC123">
        <f>IF(ISBLANK('Data Entry'!$ù$123), "", 'Data Entry'!$ù$123)</f>
      </c>
      <c r="GD123">
        <f>IF(ISBLANK('Data Entry'!$ú$123), "", 'Data Entry'!$ú$123)</f>
      </c>
      <c r="GE123">
        <f>IF(ISBLANK('Data Entry'!$û$123), "", 'Data Entry'!$û$123)</f>
      </c>
      <c r="GF123">
        <f>IF(ISBLANK('Data Entry'!$ü$123), "", 'Data Entry'!$ü$123)</f>
      </c>
      <c r="GG123">
        <f>IF(ISBLANK('Data Entry'!$ý$123), "", 'Data Entry'!$ý$123)</f>
      </c>
      <c r="GH123">
        <f>IF(ISBLANK('Data Entry'!$þ$123), "", 'Data Entry'!$þ$123)</f>
      </c>
      <c r="GI123">
        <f>IF(ISBLANK('Data Entry'!$ÿ$123), "", 'Data Entry'!$ÿ$123)</f>
      </c>
      <c r="GJ123">
        <f>IF(ISBLANK('Data Entry'!$Ā$123), "", 'Data Entry'!$Ā$123)</f>
      </c>
      <c r="GK123">
        <f>IF(ISBLANK('Data Entry'!$ā$123), "", 'Data Entry'!$ā$123)</f>
      </c>
      <c r="GL123">
        <f>IF(ISBLANK('Data Entry'!$Ă$123), "", 'Data Entry'!$Ă$123)</f>
      </c>
      <c r="GM123">
        <f>IF(ISBLANK('Data Entry'!$ă$123), "", 'Data Entry'!$ă$123)</f>
      </c>
      <c r="GN123">
        <f>IF(ISBLANK('Data Entry'!$Ą$123), "", 'Data Entry'!$Ą$123)</f>
      </c>
      <c r="GO123">
        <f>IF(ISBLANK('Data Entry'!$ą$123), "", 'Data Entry'!$ą$123)</f>
      </c>
      <c r="GP123">
        <f>IF(ISBLANK('Data Entry'!$Ć$123), "", 'Data Entry'!$Ć$123)</f>
      </c>
      <c r="GQ123">
        <f>IF(ISBLANK('Data Entry'!$ć$123), "", 'Data Entry'!$ć$123)</f>
      </c>
      <c r="GR123">
        <f>IF(ISBLANK('Data Entry'!$Ĉ$123), "", 'Data Entry'!$Ĉ$123)</f>
      </c>
      <c r="GS123">
        <f>IF(ISBLANK('Data Entry'!$ĉ$123), "", 'Data Entry'!$ĉ$123)</f>
      </c>
      <c r="GT123">
        <f>IF(ISBLANK('Data Entry'!$Ċ$123), "", 'Data Entry'!$Ċ$123)</f>
      </c>
      <c r="GU123">
        <f>IF(ISBLANK('Data Entry'!$ċ$123), "", 'Data Entry'!$ċ$123)</f>
      </c>
      <c r="GV123">
        <f>IF(ISBLANK('Data Entry'!$Č$123), "", 'Data Entry'!$Č$123)</f>
      </c>
      <c r="GW123">
        <f>IF(ISBLANK('Data Entry'!$č$123), "", 'Data Entry'!$č$123)</f>
      </c>
      <c r="GX123">
        <f>IF(ISBLANK('Data Entry'!$Ď$123), "", 'Data Entry'!$Ď$123)</f>
      </c>
      <c r="GY123">
        <f>IF(ISBLANK('Data Entry'!$ď$123), "", 'Data Entry'!$ď$123)</f>
      </c>
      <c r="GZ123">
        <f>IF(ISBLANK('Data Entry'!$Đ$123), "", 'Data Entry'!$Đ$123)</f>
      </c>
      <c r="HA123">
        <f>IF(ISBLANK('Data Entry'!$đ$123), "", 'Data Entry'!$đ$123)</f>
      </c>
      <c r="HB123">
        <f>IF(ISBLANK('Data Entry'!$Ē$123), "", 'Data Entry'!$Ē$123)</f>
      </c>
      <c r="HC123">
        <f>IF(ISBLANK('Data Entry'!$ē$123), "", 'Data Entry'!$ē$123)</f>
      </c>
      <c r="HD123">
        <f>IF(ISBLANK('Data Entry'!$Ĕ$123), "", 'Data Entry'!$Ĕ$123)</f>
      </c>
      <c r="HE123">
        <f>IF(ISBLANK('Data Entry'!$ĕ$123), "", 'Data Entry'!$ĕ$123)</f>
      </c>
      <c r="HF123">
        <f>IF(ISBLANK('Data Entry'!$Ė$123), "", 'Data Entry'!$Ė$123)</f>
      </c>
      <c r="HG123">
        <f>IF(ISBLANK('Data Entry'!$ė$123), "", 'Data Entry'!$ė$123)</f>
      </c>
      <c r="HH123">
        <f>IF(ISBLANK('Data Entry'!$Ę$123), "", 'Data Entry'!$Ę$123)</f>
      </c>
      <c r="HI123">
        <f>IF(ISBLANK('Data Entry'!$ę$123), "", 'Data Entry'!$ę$123)</f>
      </c>
      <c r="HJ123">
        <f>IF(ISBLANK('Data Entry'!$Ě$123), "", 'Data Entry'!$Ě$123)</f>
      </c>
      <c r="HK123">
        <f>IF(ISBLANK('Data Entry'!$ě$123), "", 'Data Entry'!$ě$123)</f>
      </c>
      <c r="HL123">
        <f>IF(ISBLANK('Data Entry'!$Ĝ$123), "", 'Data Entry'!$Ĝ$123)</f>
      </c>
      <c r="HM123">
        <f>IF(ISBLANK('Data Entry'!$ĝ$123), "", 'Data Entry'!$ĝ$123)</f>
      </c>
      <c r="HN123">
        <f>IF(ISBLANK('Data Entry'!$Ğ$123), "", 'Data Entry'!$Ğ$123)</f>
      </c>
      <c r="HO123">
        <f>IF(ISBLANK('Data Entry'!$ğ$123), "", 'Data Entry'!$ğ$123)</f>
      </c>
      <c r="HP123">
        <f>IF(ISBLANK('Data Entry'!$Ġ$123), "", 'Data Entry'!$Ġ$123)</f>
      </c>
      <c r="HQ123">
        <f>IF(ISBLANK('Data Entry'!$ġ$123), "", 'Data Entry'!$ġ$123)</f>
      </c>
      <c r="HR123">
        <f>IF(ISBLANK('Data Entry'!$Ģ$123), "", 'Data Entry'!$Ģ$123)</f>
      </c>
      <c r="HS123">
        <f>IF(ISBLANK('Data Entry'!$ģ$123), "", 'Data Entry'!$ģ$123)</f>
      </c>
      <c r="HT123">
        <f>IF(ISBLANK('Data Entry'!$Ĥ$123), "", 'Data Entry'!$Ĥ$123)</f>
      </c>
      <c r="HU123">
        <f>IF(ISBLANK('Data Entry'!$ĥ$123), "", 'Data Entry'!$ĥ$123)</f>
      </c>
      <c r="HV123">
        <f>IF(ISBLANK('Data Entry'!$Ħ$123), "", 'Data Entry'!$Ħ$123)</f>
      </c>
      <c r="HW123">
        <f>IF(ISBLANK('Data Entry'!$ħ$123), "", 'Data Entry'!$ħ$123)</f>
      </c>
      <c r="HX123">
        <f>IF(ISBLANK('Data Entry'!$Ĩ$123), "", 'Data Entry'!$Ĩ$123)</f>
      </c>
      <c r="HY123">
        <f>IF(ISBLANK('Data Entry'!$ĩ$123), "", 'Data Entry'!$ĩ$123)</f>
      </c>
      <c r="HZ123">
        <f>IF(ISBLANK('Data Entry'!$Ī$123), "", 'Data Entry'!$Ī$123)</f>
      </c>
      <c r="IA123">
        <f>IF(ISBLANK('Data Entry'!$ī$123), "", 'Data Entry'!$ī$123)</f>
      </c>
      <c r="IB123">
        <f>IF(ISBLANK('Data Entry'!$Ĭ$123), "", 'Data Entry'!$Ĭ$123)</f>
      </c>
      <c r="IC123">
        <f>IF(ISBLANK('Data Entry'!$ĭ$123), "", 'Data Entry'!$ĭ$123)</f>
      </c>
      <c r="ID123">
        <f>IF(ISBLANK('Data Entry'!$Į$123), "", 'Data Entry'!$Į$123)</f>
      </c>
      <c r="IE123">
        <f>IF(ISBLANK('Data Entry'!$į$123), "", 'Data Entry'!$į$123)</f>
      </c>
      <c r="IF123">
        <f>IF(ISBLANK('Data Entry'!$İ$123), "", 'Data Entry'!$İ$123)</f>
      </c>
      <c r="IG123">
        <f>IF(ISBLANK('Data Entry'!$ı$123), "", 'Data Entry'!$ı$123)</f>
      </c>
      <c r="IH123">
        <f>IF(ISBLANK('Data Entry'!$Ĳ$123), "", 'Data Entry'!$Ĳ$123)</f>
      </c>
      <c r="II123">
        <f>IF(ISBLANK('Data Entry'!$ĳ$123), "", 'Data Entry'!$ĳ$123)</f>
      </c>
      <c r="IJ123">
        <f>IF(ISBLANK('Data Entry'!$Ĵ$123), "", 'Data Entry'!$Ĵ$123)</f>
      </c>
      <c r="IK123">
        <f>IF(ISBLANK('Data Entry'!$ĵ$123), "", 'Data Entry'!$ĵ$123)</f>
      </c>
      <c r="IL123">
        <f>IF(ISBLANK('Data Entry'!$Ķ$123), "", 'Data Entry'!$Ķ$123)</f>
      </c>
      <c r="IM123">
        <f>IF(ISBLANK('Data Entry'!$ķ$123), "", 'Data Entry'!$ķ$123)</f>
      </c>
      <c r="IN123">
        <f>IF(ISBLANK('Data Entry'!$ĸ$123), "", 'Data Entry'!$ĸ$123)</f>
      </c>
      <c r="IO123">
        <f>IF(ISBLANK('Data Entry'!$Ĺ$123), "", 'Data Entry'!$Ĺ$123)</f>
      </c>
      <c r="IP123">
        <f>IF(ISBLANK('Data Entry'!$ĺ$123), "", 'Data Entry'!$ĺ$123)</f>
      </c>
      <c r="IQ123">
        <f>IF(ISBLANK('Data Entry'!$Ļ$123), "", 'Data Entry'!$Ļ$123)</f>
      </c>
      <c r="IR123">
        <f>IF(ISBLANK('Data Entry'!$ļ$123), "", 'Data Entry'!$ļ$123)</f>
      </c>
      <c r="IS123">
        <f>IF(ISBLANK('Data Entry'!$Ľ$123), "", 'Data Entry'!$Ľ$123)</f>
      </c>
      <c r="IT123">
        <f>IF(ISBLANK('Data Entry'!$ľ$123), "", 'Data Entry'!$ľ$123)</f>
      </c>
    </row>
    <row r="124" spans="1:254" x14ac:dyDescent="0.25">
      <c r="A124">
        <f>IF(ISBLANK('Data Entry'!$A$124), "", 'Data Entry'!$A$124)</f>
      </c>
      <c r="B124">
        <f>IF(ISBLANK('Data Entry'!$B$124), "", 'Data Entry'!$B$124)</f>
      </c>
      <c r="C124">
        <f>IF(ISBLANK('Data Entry'!$C$124), "", 'Data Entry'!$C$124)</f>
      </c>
      <c r="D124">
        <f>IF(ISBLANK('Data Entry'!$D$124), "", 'Data Entry'!$D$124)</f>
      </c>
      <c r="E124">
        <f>IF(ISBLANK('Data Entry'!$E$124), "", 'Data Entry'!$E$124)</f>
      </c>
      <c r="F124">
        <f>IF(ISBLANK('Data Entry'!$F$124), "", 'Data Entry'!$F$124)</f>
      </c>
      <c r="G124">
        <f>IF(ISBLANK('Data Entry'!$G$124), "", 'Data Entry'!$G$124)</f>
      </c>
      <c r="H124">
        <f>IF(ISBLANK('Data Entry'!$H$124), "", 'Data Entry'!$H$124)</f>
      </c>
      <c r="I124">
        <f>IF(ISBLANK('Data Entry'!$I$124), "", 'Data Entry'!$I$124)</f>
      </c>
      <c r="J124">
        <f>IF(ISBLANK('Data Entry'!$J$124), "", 'Data Entry'!$J$124)</f>
      </c>
      <c r="K124">
        <f>IF(ISBLANK('Data Entry'!$K$124), "", 'Data Entry'!$K$124)</f>
      </c>
      <c r="L124">
        <f>IF(ISBLANK('Data Entry'!$L$124), "", 'Data Entry'!$L$124)</f>
      </c>
      <c r="M124">
        <f>IF(ISBLANK('Data Entry'!$M$124), "", 'Data Entry'!$M$124)</f>
      </c>
      <c r="N124">
        <f>IF(ISBLANK('Data Entry'!$N$124), "", 'Data Entry'!$N$124)</f>
      </c>
      <c r="O124">
        <f>IF(ISBLANK('Data Entry'!$O$124), "", 'Data Entry'!$O$124)</f>
      </c>
      <c r="P124">
        <f>IF(ISBLANK('Data Entry'!$P$124), "", 'Data Entry'!$P$124)</f>
      </c>
      <c r="Q124">
        <f>IF(ISBLANK('Data Entry'!$Q$124), "", 'Data Entry'!$Q$124)</f>
      </c>
      <c r="R124">
        <f>IF(ISBLANK('Data Entry'!$R$124), "", 'Data Entry'!$R$124)</f>
      </c>
      <c r="S124">
        <f>IF(ISBLANK('Data Entry'!$S$124), "", 'Data Entry'!$S$124)</f>
      </c>
      <c r="T124">
        <f>IF(ISBLANK('Data Entry'!$T$124), "", 'Data Entry'!$T$124)</f>
      </c>
      <c r="U124">
        <f>IF(ISBLANK('Data Entry'!$U$124), "", 'Data Entry'!$U$124)</f>
      </c>
      <c r="V124">
        <f>IF(ISBLANK('Data Entry'!$V$124), "", 'Data Entry'!$V$124)</f>
      </c>
      <c r="W124">
        <f>IF(ISBLANK('Data Entry'!$W$124), "", 'Data Entry'!$W$124)</f>
      </c>
      <c r="X124">
        <f>IF(ISBLANK('Data Entry'!$X$124), "", 'Data Entry'!$X$124)</f>
      </c>
      <c r="Y124">
        <f>IF(ISBLANK('Data Entry'!$Y$124), "", 'Data Entry'!$Y$124)</f>
      </c>
      <c r="Z124">
        <f>IF(ISBLANK('Data Entry'!$Z$124), "", 'Data Entry'!$Z$124)</f>
      </c>
      <c r="AA124">
        <f>IF(ISBLANK('Data Entry'!$[$124), "", 'Data Entry'!$[$124)</f>
      </c>
      <c r="AB124">
        <f>IF(ISBLANK('Data Entry'!$\$124), "", 'Data Entry'!$\$124)</f>
      </c>
      <c r="AC124">
        <f>IF(ISBLANK('Data Entry'!$]$124), "", 'Data Entry'!$]$124)</f>
      </c>
      <c r="AD124">
        <f>IF(ISBLANK('Data Entry'!$^$124), "", 'Data Entry'!$^$124)</f>
      </c>
      <c r="AE124">
        <f>IF(ISBLANK('Data Entry'!$_$124), "", 'Data Entry'!$_$124)</f>
      </c>
      <c r="AF124">
        <f>IF(ISBLANK('Data Entry'!$`$124), "", 'Data Entry'!$`$124)</f>
      </c>
      <c r="AG124">
        <f>IF(ISBLANK('Data Entry'!$a$124), "", 'Data Entry'!$a$124)</f>
      </c>
      <c r="AH124">
        <f>IF(ISBLANK('Data Entry'!$b$124), "", 'Data Entry'!$b$124)</f>
      </c>
      <c r="AI124">
        <f>IF(ISBLANK('Data Entry'!$c$124), "", 'Data Entry'!$c$124)</f>
      </c>
      <c r="AJ124">
        <f>IF(ISBLANK('Data Entry'!$d$124), "", 'Data Entry'!$d$124)</f>
      </c>
      <c r="AK124">
        <f>IF(ISBLANK('Data Entry'!$e$124), "", 'Data Entry'!$e$124)</f>
      </c>
      <c r="AL124">
        <f>IF(ISBLANK('Data Entry'!$f$124), "", 'Data Entry'!$f$124)</f>
      </c>
      <c r="AM124">
        <f>IF(ISBLANK('Data Entry'!$g$124), "", 'Data Entry'!$g$124)</f>
      </c>
      <c r="AN124">
        <f>IF(ISBLANK('Data Entry'!$h$124), "", 'Data Entry'!$h$124)</f>
      </c>
      <c r="AO124">
        <f>IF(ISBLANK('Data Entry'!$i$124), "", 'Data Entry'!$i$124)</f>
      </c>
      <c r="AP124">
        <f>IF(ISBLANK('Data Entry'!$j$124), "", 'Data Entry'!$j$124)</f>
      </c>
      <c r="AQ124">
        <f>IF(ISBLANK('Data Entry'!$k$124), "", 'Data Entry'!$k$124)</f>
      </c>
      <c r="AR124">
        <f>IF(ISBLANK('Data Entry'!$l$124), "", 'Data Entry'!$l$124)</f>
      </c>
      <c r="AS124">
        <f>IF(ISBLANK('Data Entry'!$m$124), "", 'Data Entry'!$m$124)</f>
      </c>
      <c r="AT124">
        <f>IF(ISBLANK('Data Entry'!$n$124), "", 'Data Entry'!$n$124)</f>
      </c>
      <c r="AU124">
        <f>IF(ISBLANK('Data Entry'!$o$124), "", 'Data Entry'!$o$124)</f>
      </c>
      <c r="AV124">
        <f>IF(ISBLANK('Data Entry'!$p$124), "", 'Data Entry'!$p$124)</f>
      </c>
      <c r="AW124">
        <f>IF(ISBLANK('Data Entry'!$q$124), "", 'Data Entry'!$q$124)</f>
      </c>
      <c r="AX124">
        <f>IF(ISBLANK('Data Entry'!$r$124), "", 'Data Entry'!$r$124)</f>
      </c>
      <c r="AY124">
        <f>IF(ISBLANK('Data Entry'!$s$124), "", 'Data Entry'!$s$124)</f>
      </c>
      <c r="AZ124">
        <f>IF(ISBLANK('Data Entry'!$t$124), "", 'Data Entry'!$t$124)</f>
      </c>
      <c r="BA124">
        <f>IF(ISBLANK('Data Entry'!$u$124), "", 'Data Entry'!$u$124)</f>
      </c>
      <c r="BB124">
        <f>IF(ISBLANK('Data Entry'!$v$124), "", 'Data Entry'!$v$124)</f>
      </c>
      <c r="BC124">
        <f>IF(ISBLANK('Data Entry'!$w$124), "", 'Data Entry'!$w$124)</f>
      </c>
      <c r="BD124">
        <f>IF(ISBLANK('Data Entry'!$x$124), "", 'Data Entry'!$x$124)</f>
      </c>
      <c r="BE124">
        <f>IF(ISBLANK('Data Entry'!$y$124), "", 'Data Entry'!$y$124)</f>
      </c>
      <c r="BF124">
        <f>IF(ISBLANK('Data Entry'!$z$124), "", 'Data Entry'!$z$124)</f>
      </c>
      <c r="BG124">
        <f>IF(ISBLANK('Data Entry'!${$124), "", 'Data Entry'!${$124)</f>
      </c>
      <c r="BH124">
        <f>IF(ISBLANK('Data Entry'!$|$124), "", 'Data Entry'!$|$124)</f>
      </c>
      <c r="BI124">
        <f>IF(ISBLANK('Data Entry'!$}$124), "", 'Data Entry'!$}$124)</f>
      </c>
      <c r="BJ124">
        <f>IF(ISBLANK('Data Entry'!$~$124), "", 'Data Entry'!$~$124)</f>
      </c>
      <c r="BK124">
        <f>IF(ISBLANK('Data Entry'!$$124), "", 'Data Entry'!$$124)</f>
      </c>
      <c r="BL124">
        <f>IF(ISBLANK('Data Entry'!$$124), "", 'Data Entry'!$$124)</f>
      </c>
      <c r="BM124">
        <f>IF(ISBLANK('Data Entry'!$$124), "", 'Data Entry'!$$124)</f>
      </c>
      <c r="BN124">
        <f>IF(ISBLANK('Data Entry'!$$124), "", 'Data Entry'!$$124)</f>
      </c>
      <c r="BO124">
        <f>IF(ISBLANK('Data Entry'!$$124), "", 'Data Entry'!$$124)</f>
      </c>
      <c r="BP124">
        <f>IF(ISBLANK('Data Entry'!$$124), "", 'Data Entry'!$$124)</f>
      </c>
      <c r="BQ124">
        <f>IF(ISBLANK('Data Entry'!$$124), "", 'Data Entry'!$$124)</f>
      </c>
      <c r="BR124">
        <f>IF(ISBLANK('Data Entry'!$$124), "", 'Data Entry'!$$124)</f>
      </c>
      <c r="BS124">
        <f>IF(ISBLANK('Data Entry'!$$124), "", 'Data Entry'!$$124)</f>
      </c>
      <c r="BT124">
        <f>IF(ISBLANK('Data Entry'!$$124), "", 'Data Entry'!$$124)</f>
      </c>
      <c r="BU124">
        <f>IF(ISBLANK('Data Entry'!$$124), "", 'Data Entry'!$$124)</f>
      </c>
      <c r="BV124">
        <f>IF(ISBLANK('Data Entry'!$$124), "", 'Data Entry'!$$124)</f>
      </c>
      <c r="BW124">
        <f>IF(ISBLANK('Data Entry'!$$124), "", 'Data Entry'!$$124)</f>
      </c>
      <c r="BX124">
        <f>IF(ISBLANK('Data Entry'!$$124), "", 'Data Entry'!$$124)</f>
      </c>
      <c r="BY124">
        <f>IF(ISBLANK('Data Entry'!$$124), "", 'Data Entry'!$$124)</f>
      </c>
      <c r="BZ124">
        <f>IF(ISBLANK('Data Entry'!$$124), "", 'Data Entry'!$$124)</f>
      </c>
      <c r="CA124">
        <f>IF(ISBLANK('Data Entry'!$$124), "", 'Data Entry'!$$124)</f>
      </c>
      <c r="CB124">
        <f>IF(ISBLANK('Data Entry'!$$124), "", 'Data Entry'!$$124)</f>
      </c>
      <c r="CC124">
        <f>IF(ISBLANK('Data Entry'!$$124), "", 'Data Entry'!$$124)</f>
      </c>
      <c r="CD124">
        <f>IF(ISBLANK('Data Entry'!$$124), "", 'Data Entry'!$$124)</f>
      </c>
      <c r="CE124">
        <f>IF(ISBLANK('Data Entry'!$$124), "", 'Data Entry'!$$124)</f>
      </c>
      <c r="CF124">
        <f>IF(ISBLANK('Data Entry'!$$124), "", 'Data Entry'!$$124)</f>
      </c>
      <c r="CG124">
        <f>IF(ISBLANK('Data Entry'!$$124), "", 'Data Entry'!$$124)</f>
      </c>
      <c r="CH124">
        <f>IF(ISBLANK('Data Entry'!$$124), "", 'Data Entry'!$$124)</f>
      </c>
      <c r="CI124">
        <f>IF(ISBLANK('Data Entry'!$$124), "", 'Data Entry'!$$124)</f>
      </c>
      <c r="CJ124">
        <f>IF(ISBLANK('Data Entry'!$$124), "", 'Data Entry'!$$124)</f>
      </c>
      <c r="CK124">
        <f>IF(ISBLANK('Data Entry'!$$124), "", 'Data Entry'!$$124)</f>
      </c>
      <c r="CL124">
        <f>IF(ISBLANK('Data Entry'!$$124), "", 'Data Entry'!$$124)</f>
      </c>
      <c r="CM124">
        <f>IF(ISBLANK('Data Entry'!$$124), "", 'Data Entry'!$$124)</f>
      </c>
      <c r="CN124">
        <f>IF(ISBLANK('Data Entry'!$$124), "", 'Data Entry'!$$124)</f>
      </c>
      <c r="CO124">
        <f>IF(ISBLANK('Data Entry'!$$124), "", 'Data Entry'!$$124)</f>
      </c>
      <c r="CP124">
        <f>IF(ISBLANK('Data Entry'!$$124), "", 'Data Entry'!$$124)</f>
      </c>
      <c r="CQ124">
        <f>IF(ISBLANK('Data Entry'!$$124), "", 'Data Entry'!$$124)</f>
      </c>
      <c r="CR124">
        <f>IF(ISBLANK('Data Entry'!$ $124), "", 'Data Entry'!$ $124)</f>
      </c>
      <c r="CS124">
        <f>IF(ISBLANK('Data Entry'!$¡$124), "", 'Data Entry'!$¡$124)</f>
      </c>
      <c r="CT124">
        <f>IF(ISBLANK('Data Entry'!$¢$124), "", 'Data Entry'!$¢$124)</f>
      </c>
      <c r="CU124">
        <f>IF(ISBLANK('Data Entry'!$£$124), "", 'Data Entry'!$£$124)</f>
      </c>
      <c r="CV124">
        <f>IF(ISBLANK('Data Entry'!$¤$124), "", 'Data Entry'!$¤$124)</f>
      </c>
      <c r="CW124">
        <f>IF(ISBLANK('Data Entry'!$¥$124), "", 'Data Entry'!$¥$124)</f>
      </c>
      <c r="CX124">
        <f>IF(ISBLANK('Data Entry'!$¦$124), "", 'Data Entry'!$¦$124)</f>
      </c>
      <c r="CY124">
        <f>IF(ISBLANK('Data Entry'!$§$124), "", 'Data Entry'!$§$124)</f>
      </c>
      <c r="CZ124">
        <f>IF(ISBLANK('Data Entry'!$¨$124), "", 'Data Entry'!$¨$124)</f>
      </c>
      <c r="DA124">
        <f>IF(ISBLANK('Data Entry'!$©$124), "", 'Data Entry'!$©$124)</f>
      </c>
      <c r="DB124">
        <f>IF(ISBLANK('Data Entry'!$ª$124), "", 'Data Entry'!$ª$124)</f>
      </c>
      <c r="DC124">
        <f>IF(ISBLANK('Data Entry'!$«$124), "", 'Data Entry'!$«$124)</f>
      </c>
      <c r="DD124">
        <f>IF(ISBLANK('Data Entry'!$¬$124), "", 'Data Entry'!$¬$124)</f>
      </c>
      <c r="DE124">
        <f>IF(ISBLANK('Data Entry'!$­$124), "", 'Data Entry'!$­$124)</f>
      </c>
      <c r="DF124">
        <f>IF(ISBLANK('Data Entry'!$®$124), "", 'Data Entry'!$®$124)</f>
      </c>
      <c r="DG124">
        <f>IF(ISBLANK('Data Entry'!$¯$124), "", 'Data Entry'!$¯$124)</f>
      </c>
      <c r="DH124">
        <f>IF(ISBLANK('Data Entry'!$°$124), "", 'Data Entry'!$°$124)</f>
      </c>
      <c r="DI124">
        <f>IF(ISBLANK('Data Entry'!$±$124), "", 'Data Entry'!$±$124)</f>
      </c>
      <c r="DJ124">
        <f>IF(ISBLANK('Data Entry'!$²$124), "", 'Data Entry'!$²$124)</f>
      </c>
      <c r="DK124">
        <f>IF(ISBLANK('Data Entry'!$³$124), "", 'Data Entry'!$³$124)</f>
      </c>
      <c r="DL124">
        <f>IF(ISBLANK('Data Entry'!$´$124), "", 'Data Entry'!$´$124)</f>
      </c>
      <c r="DM124">
        <f>IF(ISBLANK('Data Entry'!$µ$124), "", 'Data Entry'!$µ$124)</f>
      </c>
      <c r="DN124">
        <f>IF(ISBLANK('Data Entry'!$¶$124), "", 'Data Entry'!$¶$124)</f>
      </c>
      <c r="DO124">
        <f>IF(ISBLANK('Data Entry'!$·$124), "", 'Data Entry'!$·$124)</f>
      </c>
      <c r="DP124">
        <f>IF(ISBLANK('Data Entry'!$¸$124), "", 'Data Entry'!$¸$124)</f>
      </c>
      <c r="DQ124">
        <f>IF(ISBLANK('Data Entry'!$¹$124), "", 'Data Entry'!$¹$124)</f>
      </c>
      <c r="DR124">
        <f>IF(ISBLANK('Data Entry'!$º$124), "", 'Data Entry'!$º$124)</f>
      </c>
      <c r="DS124">
        <f>IF(ISBLANK('Data Entry'!$»$124), "", 'Data Entry'!$»$124)</f>
      </c>
      <c r="DT124">
        <f>IF(ISBLANK('Data Entry'!$¼$124), "", 'Data Entry'!$¼$124)</f>
      </c>
      <c r="DU124">
        <f>IF(ISBLANK('Data Entry'!$½$124), "", 'Data Entry'!$½$124)</f>
      </c>
      <c r="DV124">
        <f>IF(ISBLANK('Data Entry'!$¾$124), "", 'Data Entry'!$¾$124)</f>
      </c>
      <c r="DW124">
        <f>IF(ISBLANK('Data Entry'!$¿$124), "", 'Data Entry'!$¿$124)</f>
      </c>
      <c r="DX124">
        <f>IF(ISBLANK('Data Entry'!$À$124), "", 'Data Entry'!$À$124)</f>
      </c>
      <c r="DY124">
        <f>IF(ISBLANK('Data Entry'!$Á$124), "", 'Data Entry'!$Á$124)</f>
      </c>
      <c r="DZ124">
        <f>IF(ISBLANK('Data Entry'!$Â$124), "", 'Data Entry'!$Â$124)</f>
      </c>
      <c r="EA124">
        <f>IF(ISBLANK('Data Entry'!$Ã$124), "", 'Data Entry'!$Ã$124)</f>
      </c>
      <c r="EB124">
        <f>IF(ISBLANK('Data Entry'!$Ä$124), "", 'Data Entry'!$Ä$124)</f>
      </c>
      <c r="EC124">
        <f>IF(ISBLANK('Data Entry'!$Å$124), "", 'Data Entry'!$Å$124)</f>
      </c>
      <c r="ED124">
        <f>IF(ISBLANK('Data Entry'!$Æ$124), "", 'Data Entry'!$Æ$124)</f>
      </c>
      <c r="EE124">
        <f>IF(ISBLANK('Data Entry'!$Ç$124), "", 'Data Entry'!$Ç$124)</f>
      </c>
      <c r="EF124">
        <f>IF(ISBLANK('Data Entry'!$È$124), "", 'Data Entry'!$È$124)</f>
      </c>
      <c r="EG124">
        <f>IF(ISBLANK('Data Entry'!$É$124), "", 'Data Entry'!$É$124)</f>
      </c>
      <c r="EH124">
        <f>IF(ISBLANK('Data Entry'!$Ê$124), "", 'Data Entry'!$Ê$124)</f>
      </c>
      <c r="EI124">
        <f>IF(ISBLANK('Data Entry'!$Ë$124), "", 'Data Entry'!$Ë$124)</f>
      </c>
      <c r="EJ124">
        <f>IF(ISBLANK('Data Entry'!$Ì$124), "", 'Data Entry'!$Ì$124)</f>
      </c>
      <c r="EK124">
        <f>IF(ISBLANK('Data Entry'!$Í$124), "", 'Data Entry'!$Í$124)</f>
      </c>
      <c r="EL124">
        <f>IF(ISBLANK('Data Entry'!$Î$124), "", 'Data Entry'!$Î$124)</f>
      </c>
      <c r="EM124">
        <f>IF(ISBLANK('Data Entry'!$Ï$124), "", 'Data Entry'!$Ï$124)</f>
      </c>
      <c r="EN124">
        <f>IF(ISBLANK('Data Entry'!$Ð$124), "", 'Data Entry'!$Ð$124)</f>
      </c>
      <c r="EO124">
        <f>IF(ISBLANK('Data Entry'!$Ñ$124), "", 'Data Entry'!$Ñ$124)</f>
      </c>
      <c r="EP124">
        <f>IF(ISBLANK('Data Entry'!$Ò$124), "", 'Data Entry'!$Ò$124)</f>
      </c>
      <c r="EQ124">
        <f>IF(ISBLANK('Data Entry'!$Ó$124), "", 'Data Entry'!$Ó$124)</f>
      </c>
      <c r="ER124">
        <f>IF(ISBLANK('Data Entry'!$Ô$124), "", 'Data Entry'!$Ô$124)</f>
      </c>
      <c r="ES124">
        <f>IF(ISBLANK('Data Entry'!$Õ$124), "", 'Data Entry'!$Õ$124)</f>
      </c>
      <c r="ET124">
        <f>IF(ISBLANK('Data Entry'!$Ö$124), "", 'Data Entry'!$Ö$124)</f>
      </c>
      <c r="EU124">
        <f>IF(ISBLANK('Data Entry'!$×$124), "", 'Data Entry'!$×$124)</f>
      </c>
      <c r="EV124">
        <f>IF(ISBLANK('Data Entry'!$Ø$124), "", 'Data Entry'!$Ø$124)</f>
      </c>
      <c r="EW124">
        <f>IF(ISBLANK('Data Entry'!$Ù$124), "", 'Data Entry'!$Ù$124)</f>
      </c>
      <c r="EX124">
        <f>IF(ISBLANK('Data Entry'!$Ú$124), "", 'Data Entry'!$Ú$124)</f>
      </c>
      <c r="EY124">
        <f>IF(ISBLANK('Data Entry'!$Û$124), "", 'Data Entry'!$Û$124)</f>
      </c>
      <c r="EZ124">
        <f>IF(ISBLANK('Data Entry'!$Ü$124), "", 'Data Entry'!$Ü$124)</f>
      </c>
      <c r="FA124">
        <f>IF(ISBLANK('Data Entry'!$Ý$124), "", 'Data Entry'!$Ý$124)</f>
      </c>
      <c r="FB124">
        <f>IF(ISBLANK('Data Entry'!$Þ$124), "", 'Data Entry'!$Þ$124)</f>
      </c>
      <c r="FC124">
        <f>IF(ISBLANK('Data Entry'!$ß$124), "", 'Data Entry'!$ß$124)</f>
      </c>
      <c r="FD124">
        <f>IF(ISBLANK('Data Entry'!$à$124), "", 'Data Entry'!$à$124)</f>
      </c>
      <c r="FE124">
        <f>IF(ISBLANK('Data Entry'!$á$124), "", 'Data Entry'!$á$124)</f>
      </c>
      <c r="FF124">
        <f>IF(ISBLANK('Data Entry'!$â$124), "", 'Data Entry'!$â$124)</f>
      </c>
      <c r="FG124">
        <f>IF(ISBLANK('Data Entry'!$ã$124), "", 'Data Entry'!$ã$124)</f>
      </c>
      <c r="FH124">
        <f>IF(ISBLANK('Data Entry'!$ä$124), "", 'Data Entry'!$ä$124)</f>
      </c>
      <c r="FI124">
        <f>IF(ISBLANK('Data Entry'!$å$124), "", 'Data Entry'!$å$124)</f>
      </c>
      <c r="FJ124">
        <f>IF(ISBLANK('Data Entry'!$æ$124), "", 'Data Entry'!$æ$124)</f>
      </c>
      <c r="FK124">
        <f>IF(ISBLANK('Data Entry'!$ç$124), "", 'Data Entry'!$ç$124)</f>
      </c>
      <c r="FL124">
        <f>IF(ISBLANK('Data Entry'!$è$124), "", 'Data Entry'!$è$124)</f>
      </c>
      <c r="FM124">
        <f>IF(ISBLANK('Data Entry'!$é$124), "", 'Data Entry'!$é$124)</f>
      </c>
      <c r="FN124">
        <f>IF(ISBLANK('Data Entry'!$ê$124), "", 'Data Entry'!$ê$124)</f>
      </c>
      <c r="FO124">
        <f>IF(ISBLANK('Data Entry'!$ë$124), "", 'Data Entry'!$ë$124)</f>
      </c>
      <c r="FP124">
        <f>IF(ISBLANK('Data Entry'!$ì$124), "", 'Data Entry'!$ì$124)</f>
      </c>
      <c r="FQ124">
        <f>IF(ISBLANK('Data Entry'!$í$124), "", 'Data Entry'!$í$124)</f>
      </c>
      <c r="FR124">
        <f>IF(ISBLANK('Data Entry'!$î$124), "", 'Data Entry'!$î$124)</f>
      </c>
      <c r="FS124">
        <f>IF(ISBLANK('Data Entry'!$ï$124), "", 'Data Entry'!$ï$124)</f>
      </c>
      <c r="FT124">
        <f>IF(ISBLANK('Data Entry'!$ð$124), "", 'Data Entry'!$ð$124)</f>
      </c>
      <c r="FU124">
        <f>IF(ISBLANK('Data Entry'!$ñ$124), "", 'Data Entry'!$ñ$124)</f>
      </c>
      <c r="FV124">
        <f>IF(ISBLANK('Data Entry'!$ò$124), "", 'Data Entry'!$ò$124)</f>
      </c>
      <c r="FW124">
        <f>IF(ISBLANK('Data Entry'!$ó$124), "", 'Data Entry'!$ó$124)</f>
      </c>
      <c r="FX124">
        <f>IF(ISBLANK('Data Entry'!$ô$124), "", 'Data Entry'!$ô$124)</f>
      </c>
      <c r="FY124">
        <f>IF(ISBLANK('Data Entry'!$õ$124), "", 'Data Entry'!$õ$124)</f>
      </c>
      <c r="FZ124">
        <f>IF(ISBLANK('Data Entry'!$ö$124), "", 'Data Entry'!$ö$124)</f>
      </c>
      <c r="GA124">
        <f>IF(ISBLANK('Data Entry'!$÷$124), "", 'Data Entry'!$÷$124)</f>
      </c>
      <c r="GB124">
        <f>IF(ISBLANK('Data Entry'!$ø$124), "", 'Data Entry'!$ø$124)</f>
      </c>
      <c r="GC124">
        <f>IF(ISBLANK('Data Entry'!$ù$124), "", 'Data Entry'!$ù$124)</f>
      </c>
      <c r="GD124">
        <f>IF(ISBLANK('Data Entry'!$ú$124), "", 'Data Entry'!$ú$124)</f>
      </c>
      <c r="GE124">
        <f>IF(ISBLANK('Data Entry'!$û$124), "", 'Data Entry'!$û$124)</f>
      </c>
      <c r="GF124">
        <f>IF(ISBLANK('Data Entry'!$ü$124), "", 'Data Entry'!$ü$124)</f>
      </c>
      <c r="GG124">
        <f>IF(ISBLANK('Data Entry'!$ý$124), "", 'Data Entry'!$ý$124)</f>
      </c>
      <c r="GH124">
        <f>IF(ISBLANK('Data Entry'!$þ$124), "", 'Data Entry'!$þ$124)</f>
      </c>
      <c r="GI124">
        <f>IF(ISBLANK('Data Entry'!$ÿ$124), "", 'Data Entry'!$ÿ$124)</f>
      </c>
      <c r="GJ124">
        <f>IF(ISBLANK('Data Entry'!$Ā$124), "", 'Data Entry'!$Ā$124)</f>
      </c>
      <c r="GK124">
        <f>IF(ISBLANK('Data Entry'!$ā$124), "", 'Data Entry'!$ā$124)</f>
      </c>
      <c r="GL124">
        <f>IF(ISBLANK('Data Entry'!$Ă$124), "", 'Data Entry'!$Ă$124)</f>
      </c>
      <c r="GM124">
        <f>IF(ISBLANK('Data Entry'!$ă$124), "", 'Data Entry'!$ă$124)</f>
      </c>
      <c r="GN124">
        <f>IF(ISBLANK('Data Entry'!$Ą$124), "", 'Data Entry'!$Ą$124)</f>
      </c>
      <c r="GO124">
        <f>IF(ISBLANK('Data Entry'!$ą$124), "", 'Data Entry'!$ą$124)</f>
      </c>
      <c r="GP124">
        <f>IF(ISBLANK('Data Entry'!$Ć$124), "", 'Data Entry'!$Ć$124)</f>
      </c>
      <c r="GQ124">
        <f>IF(ISBLANK('Data Entry'!$ć$124), "", 'Data Entry'!$ć$124)</f>
      </c>
      <c r="GR124">
        <f>IF(ISBLANK('Data Entry'!$Ĉ$124), "", 'Data Entry'!$Ĉ$124)</f>
      </c>
      <c r="GS124">
        <f>IF(ISBLANK('Data Entry'!$ĉ$124), "", 'Data Entry'!$ĉ$124)</f>
      </c>
      <c r="GT124">
        <f>IF(ISBLANK('Data Entry'!$Ċ$124), "", 'Data Entry'!$Ċ$124)</f>
      </c>
      <c r="GU124">
        <f>IF(ISBLANK('Data Entry'!$ċ$124), "", 'Data Entry'!$ċ$124)</f>
      </c>
      <c r="GV124">
        <f>IF(ISBLANK('Data Entry'!$Č$124), "", 'Data Entry'!$Č$124)</f>
      </c>
      <c r="GW124">
        <f>IF(ISBLANK('Data Entry'!$č$124), "", 'Data Entry'!$č$124)</f>
      </c>
      <c r="GX124">
        <f>IF(ISBLANK('Data Entry'!$Ď$124), "", 'Data Entry'!$Ď$124)</f>
      </c>
      <c r="GY124">
        <f>IF(ISBLANK('Data Entry'!$ď$124), "", 'Data Entry'!$ď$124)</f>
      </c>
      <c r="GZ124">
        <f>IF(ISBLANK('Data Entry'!$Đ$124), "", 'Data Entry'!$Đ$124)</f>
      </c>
      <c r="HA124">
        <f>IF(ISBLANK('Data Entry'!$đ$124), "", 'Data Entry'!$đ$124)</f>
      </c>
      <c r="HB124">
        <f>IF(ISBLANK('Data Entry'!$Ē$124), "", 'Data Entry'!$Ē$124)</f>
      </c>
      <c r="HC124">
        <f>IF(ISBLANK('Data Entry'!$ē$124), "", 'Data Entry'!$ē$124)</f>
      </c>
      <c r="HD124">
        <f>IF(ISBLANK('Data Entry'!$Ĕ$124), "", 'Data Entry'!$Ĕ$124)</f>
      </c>
      <c r="HE124">
        <f>IF(ISBLANK('Data Entry'!$ĕ$124), "", 'Data Entry'!$ĕ$124)</f>
      </c>
      <c r="HF124">
        <f>IF(ISBLANK('Data Entry'!$Ė$124), "", 'Data Entry'!$Ė$124)</f>
      </c>
      <c r="HG124">
        <f>IF(ISBLANK('Data Entry'!$ė$124), "", 'Data Entry'!$ė$124)</f>
      </c>
      <c r="HH124">
        <f>IF(ISBLANK('Data Entry'!$Ę$124), "", 'Data Entry'!$Ę$124)</f>
      </c>
      <c r="HI124">
        <f>IF(ISBLANK('Data Entry'!$ę$124), "", 'Data Entry'!$ę$124)</f>
      </c>
      <c r="HJ124">
        <f>IF(ISBLANK('Data Entry'!$Ě$124), "", 'Data Entry'!$Ě$124)</f>
      </c>
      <c r="HK124">
        <f>IF(ISBLANK('Data Entry'!$ě$124), "", 'Data Entry'!$ě$124)</f>
      </c>
      <c r="HL124">
        <f>IF(ISBLANK('Data Entry'!$Ĝ$124), "", 'Data Entry'!$Ĝ$124)</f>
      </c>
      <c r="HM124">
        <f>IF(ISBLANK('Data Entry'!$ĝ$124), "", 'Data Entry'!$ĝ$124)</f>
      </c>
      <c r="HN124">
        <f>IF(ISBLANK('Data Entry'!$Ğ$124), "", 'Data Entry'!$Ğ$124)</f>
      </c>
      <c r="HO124">
        <f>IF(ISBLANK('Data Entry'!$ğ$124), "", 'Data Entry'!$ğ$124)</f>
      </c>
      <c r="HP124">
        <f>IF(ISBLANK('Data Entry'!$Ġ$124), "", 'Data Entry'!$Ġ$124)</f>
      </c>
      <c r="HQ124">
        <f>IF(ISBLANK('Data Entry'!$ġ$124), "", 'Data Entry'!$ġ$124)</f>
      </c>
      <c r="HR124">
        <f>IF(ISBLANK('Data Entry'!$Ģ$124), "", 'Data Entry'!$Ģ$124)</f>
      </c>
      <c r="HS124">
        <f>IF(ISBLANK('Data Entry'!$ģ$124), "", 'Data Entry'!$ģ$124)</f>
      </c>
      <c r="HT124">
        <f>IF(ISBLANK('Data Entry'!$Ĥ$124), "", 'Data Entry'!$Ĥ$124)</f>
      </c>
      <c r="HU124">
        <f>IF(ISBLANK('Data Entry'!$ĥ$124), "", 'Data Entry'!$ĥ$124)</f>
      </c>
      <c r="HV124">
        <f>IF(ISBLANK('Data Entry'!$Ħ$124), "", 'Data Entry'!$Ħ$124)</f>
      </c>
      <c r="HW124">
        <f>IF(ISBLANK('Data Entry'!$ħ$124), "", 'Data Entry'!$ħ$124)</f>
      </c>
      <c r="HX124">
        <f>IF(ISBLANK('Data Entry'!$Ĩ$124), "", 'Data Entry'!$Ĩ$124)</f>
      </c>
      <c r="HY124">
        <f>IF(ISBLANK('Data Entry'!$ĩ$124), "", 'Data Entry'!$ĩ$124)</f>
      </c>
      <c r="HZ124">
        <f>IF(ISBLANK('Data Entry'!$Ī$124), "", 'Data Entry'!$Ī$124)</f>
      </c>
      <c r="IA124">
        <f>IF(ISBLANK('Data Entry'!$ī$124), "", 'Data Entry'!$ī$124)</f>
      </c>
      <c r="IB124">
        <f>IF(ISBLANK('Data Entry'!$Ĭ$124), "", 'Data Entry'!$Ĭ$124)</f>
      </c>
      <c r="IC124">
        <f>IF(ISBLANK('Data Entry'!$ĭ$124), "", 'Data Entry'!$ĭ$124)</f>
      </c>
      <c r="ID124">
        <f>IF(ISBLANK('Data Entry'!$Į$124), "", 'Data Entry'!$Į$124)</f>
      </c>
      <c r="IE124">
        <f>IF(ISBLANK('Data Entry'!$į$124), "", 'Data Entry'!$į$124)</f>
      </c>
      <c r="IF124">
        <f>IF(ISBLANK('Data Entry'!$İ$124), "", 'Data Entry'!$İ$124)</f>
      </c>
      <c r="IG124">
        <f>IF(ISBLANK('Data Entry'!$ı$124), "", 'Data Entry'!$ı$124)</f>
      </c>
      <c r="IH124">
        <f>IF(ISBLANK('Data Entry'!$Ĳ$124), "", 'Data Entry'!$Ĳ$124)</f>
      </c>
      <c r="II124">
        <f>IF(ISBLANK('Data Entry'!$ĳ$124), "", 'Data Entry'!$ĳ$124)</f>
      </c>
      <c r="IJ124">
        <f>IF(ISBLANK('Data Entry'!$Ĵ$124), "", 'Data Entry'!$Ĵ$124)</f>
      </c>
      <c r="IK124">
        <f>IF(ISBLANK('Data Entry'!$ĵ$124), "", 'Data Entry'!$ĵ$124)</f>
      </c>
      <c r="IL124">
        <f>IF(ISBLANK('Data Entry'!$Ķ$124), "", 'Data Entry'!$Ķ$124)</f>
      </c>
      <c r="IM124">
        <f>IF(ISBLANK('Data Entry'!$ķ$124), "", 'Data Entry'!$ķ$124)</f>
      </c>
      <c r="IN124">
        <f>IF(ISBLANK('Data Entry'!$ĸ$124), "", 'Data Entry'!$ĸ$124)</f>
      </c>
      <c r="IO124">
        <f>IF(ISBLANK('Data Entry'!$Ĺ$124), "", 'Data Entry'!$Ĺ$124)</f>
      </c>
      <c r="IP124">
        <f>IF(ISBLANK('Data Entry'!$ĺ$124), "", 'Data Entry'!$ĺ$124)</f>
      </c>
      <c r="IQ124">
        <f>IF(ISBLANK('Data Entry'!$Ļ$124), "", 'Data Entry'!$Ļ$124)</f>
      </c>
      <c r="IR124">
        <f>IF(ISBLANK('Data Entry'!$ļ$124), "", 'Data Entry'!$ļ$124)</f>
      </c>
      <c r="IS124">
        <f>IF(ISBLANK('Data Entry'!$Ľ$124), "", 'Data Entry'!$Ľ$124)</f>
      </c>
      <c r="IT124">
        <f>IF(ISBLANK('Data Entry'!$ľ$124), "", 'Data Entry'!$ľ$124)</f>
      </c>
    </row>
    <row r="125" spans="1:254" x14ac:dyDescent="0.25">
      <c r="A125">
        <f>IF(ISBLANK('Data Entry'!$A$125), "", 'Data Entry'!$A$125)</f>
      </c>
      <c r="B125">
        <f>IF(ISBLANK('Data Entry'!$B$125), "", 'Data Entry'!$B$125)</f>
      </c>
      <c r="C125">
        <f>IF(ISBLANK('Data Entry'!$C$125), "", 'Data Entry'!$C$125)</f>
      </c>
      <c r="D125">
        <f>IF(ISBLANK('Data Entry'!$D$125), "", 'Data Entry'!$D$125)</f>
      </c>
      <c r="E125">
        <f>IF(ISBLANK('Data Entry'!$E$125), "", 'Data Entry'!$E$125)</f>
      </c>
      <c r="F125">
        <f>IF(ISBLANK('Data Entry'!$F$125), "", 'Data Entry'!$F$125)</f>
      </c>
      <c r="G125">
        <f>IF(ISBLANK('Data Entry'!$G$125), "", 'Data Entry'!$G$125)</f>
      </c>
      <c r="H125">
        <f>IF(ISBLANK('Data Entry'!$H$125), "", 'Data Entry'!$H$125)</f>
      </c>
      <c r="I125">
        <f>IF(ISBLANK('Data Entry'!$I$125), "", 'Data Entry'!$I$125)</f>
      </c>
      <c r="J125">
        <f>IF(ISBLANK('Data Entry'!$J$125), "", 'Data Entry'!$J$125)</f>
      </c>
      <c r="K125">
        <f>IF(ISBLANK('Data Entry'!$K$125), "", 'Data Entry'!$K$125)</f>
      </c>
      <c r="L125">
        <f>IF(ISBLANK('Data Entry'!$L$125), "", 'Data Entry'!$L$125)</f>
      </c>
      <c r="M125">
        <f>IF(ISBLANK('Data Entry'!$M$125), "", 'Data Entry'!$M$125)</f>
      </c>
      <c r="N125">
        <f>IF(ISBLANK('Data Entry'!$N$125), "", 'Data Entry'!$N$125)</f>
      </c>
      <c r="O125">
        <f>IF(ISBLANK('Data Entry'!$O$125), "", 'Data Entry'!$O$125)</f>
      </c>
      <c r="P125">
        <f>IF(ISBLANK('Data Entry'!$P$125), "", 'Data Entry'!$P$125)</f>
      </c>
      <c r="Q125">
        <f>IF(ISBLANK('Data Entry'!$Q$125), "", 'Data Entry'!$Q$125)</f>
      </c>
      <c r="R125">
        <f>IF(ISBLANK('Data Entry'!$R$125), "", 'Data Entry'!$R$125)</f>
      </c>
      <c r="S125">
        <f>IF(ISBLANK('Data Entry'!$S$125), "", 'Data Entry'!$S$125)</f>
      </c>
      <c r="T125">
        <f>IF(ISBLANK('Data Entry'!$T$125), "", 'Data Entry'!$T$125)</f>
      </c>
      <c r="U125">
        <f>IF(ISBLANK('Data Entry'!$U$125), "", 'Data Entry'!$U$125)</f>
      </c>
      <c r="V125">
        <f>IF(ISBLANK('Data Entry'!$V$125), "", 'Data Entry'!$V$125)</f>
      </c>
      <c r="W125">
        <f>IF(ISBLANK('Data Entry'!$W$125), "", 'Data Entry'!$W$125)</f>
      </c>
      <c r="X125">
        <f>IF(ISBLANK('Data Entry'!$X$125), "", 'Data Entry'!$X$125)</f>
      </c>
      <c r="Y125">
        <f>IF(ISBLANK('Data Entry'!$Y$125), "", 'Data Entry'!$Y$125)</f>
      </c>
      <c r="Z125">
        <f>IF(ISBLANK('Data Entry'!$Z$125), "", 'Data Entry'!$Z$125)</f>
      </c>
      <c r="AA125">
        <f>IF(ISBLANK('Data Entry'!$[$125), "", 'Data Entry'!$[$125)</f>
      </c>
      <c r="AB125">
        <f>IF(ISBLANK('Data Entry'!$\$125), "", 'Data Entry'!$\$125)</f>
      </c>
      <c r="AC125">
        <f>IF(ISBLANK('Data Entry'!$]$125), "", 'Data Entry'!$]$125)</f>
      </c>
      <c r="AD125">
        <f>IF(ISBLANK('Data Entry'!$^$125), "", 'Data Entry'!$^$125)</f>
      </c>
      <c r="AE125">
        <f>IF(ISBLANK('Data Entry'!$_$125), "", 'Data Entry'!$_$125)</f>
      </c>
      <c r="AF125">
        <f>IF(ISBLANK('Data Entry'!$`$125), "", 'Data Entry'!$`$125)</f>
      </c>
      <c r="AG125">
        <f>IF(ISBLANK('Data Entry'!$a$125), "", 'Data Entry'!$a$125)</f>
      </c>
      <c r="AH125">
        <f>IF(ISBLANK('Data Entry'!$b$125), "", 'Data Entry'!$b$125)</f>
      </c>
      <c r="AI125">
        <f>IF(ISBLANK('Data Entry'!$c$125), "", 'Data Entry'!$c$125)</f>
      </c>
      <c r="AJ125">
        <f>IF(ISBLANK('Data Entry'!$d$125), "", 'Data Entry'!$d$125)</f>
      </c>
      <c r="AK125">
        <f>IF(ISBLANK('Data Entry'!$e$125), "", 'Data Entry'!$e$125)</f>
      </c>
      <c r="AL125">
        <f>IF(ISBLANK('Data Entry'!$f$125), "", 'Data Entry'!$f$125)</f>
      </c>
      <c r="AM125">
        <f>IF(ISBLANK('Data Entry'!$g$125), "", 'Data Entry'!$g$125)</f>
      </c>
      <c r="AN125">
        <f>IF(ISBLANK('Data Entry'!$h$125), "", 'Data Entry'!$h$125)</f>
      </c>
      <c r="AO125">
        <f>IF(ISBLANK('Data Entry'!$i$125), "", 'Data Entry'!$i$125)</f>
      </c>
      <c r="AP125">
        <f>IF(ISBLANK('Data Entry'!$j$125), "", 'Data Entry'!$j$125)</f>
      </c>
      <c r="AQ125">
        <f>IF(ISBLANK('Data Entry'!$k$125), "", 'Data Entry'!$k$125)</f>
      </c>
      <c r="AR125">
        <f>IF(ISBLANK('Data Entry'!$l$125), "", 'Data Entry'!$l$125)</f>
      </c>
      <c r="AS125">
        <f>IF(ISBLANK('Data Entry'!$m$125), "", 'Data Entry'!$m$125)</f>
      </c>
      <c r="AT125">
        <f>IF(ISBLANK('Data Entry'!$n$125), "", 'Data Entry'!$n$125)</f>
      </c>
      <c r="AU125">
        <f>IF(ISBLANK('Data Entry'!$o$125), "", 'Data Entry'!$o$125)</f>
      </c>
      <c r="AV125">
        <f>IF(ISBLANK('Data Entry'!$p$125), "", 'Data Entry'!$p$125)</f>
      </c>
      <c r="AW125">
        <f>IF(ISBLANK('Data Entry'!$q$125), "", 'Data Entry'!$q$125)</f>
      </c>
      <c r="AX125">
        <f>IF(ISBLANK('Data Entry'!$r$125), "", 'Data Entry'!$r$125)</f>
      </c>
      <c r="AY125">
        <f>IF(ISBLANK('Data Entry'!$s$125), "", 'Data Entry'!$s$125)</f>
      </c>
      <c r="AZ125">
        <f>IF(ISBLANK('Data Entry'!$t$125), "", 'Data Entry'!$t$125)</f>
      </c>
      <c r="BA125">
        <f>IF(ISBLANK('Data Entry'!$u$125), "", 'Data Entry'!$u$125)</f>
      </c>
      <c r="BB125">
        <f>IF(ISBLANK('Data Entry'!$v$125), "", 'Data Entry'!$v$125)</f>
      </c>
      <c r="BC125">
        <f>IF(ISBLANK('Data Entry'!$w$125), "", 'Data Entry'!$w$125)</f>
      </c>
      <c r="BD125">
        <f>IF(ISBLANK('Data Entry'!$x$125), "", 'Data Entry'!$x$125)</f>
      </c>
      <c r="BE125">
        <f>IF(ISBLANK('Data Entry'!$y$125), "", 'Data Entry'!$y$125)</f>
      </c>
      <c r="BF125">
        <f>IF(ISBLANK('Data Entry'!$z$125), "", 'Data Entry'!$z$125)</f>
      </c>
      <c r="BG125">
        <f>IF(ISBLANK('Data Entry'!${$125), "", 'Data Entry'!${$125)</f>
      </c>
      <c r="BH125">
        <f>IF(ISBLANK('Data Entry'!$|$125), "", 'Data Entry'!$|$125)</f>
      </c>
      <c r="BI125">
        <f>IF(ISBLANK('Data Entry'!$}$125), "", 'Data Entry'!$}$125)</f>
      </c>
      <c r="BJ125">
        <f>IF(ISBLANK('Data Entry'!$~$125), "", 'Data Entry'!$~$125)</f>
      </c>
      <c r="BK125">
        <f>IF(ISBLANK('Data Entry'!$$125), "", 'Data Entry'!$$125)</f>
      </c>
      <c r="BL125">
        <f>IF(ISBLANK('Data Entry'!$$125), "", 'Data Entry'!$$125)</f>
      </c>
      <c r="BM125">
        <f>IF(ISBLANK('Data Entry'!$$125), "", 'Data Entry'!$$125)</f>
      </c>
      <c r="BN125">
        <f>IF(ISBLANK('Data Entry'!$$125), "", 'Data Entry'!$$125)</f>
      </c>
      <c r="BO125">
        <f>IF(ISBLANK('Data Entry'!$$125), "", 'Data Entry'!$$125)</f>
      </c>
      <c r="BP125">
        <f>IF(ISBLANK('Data Entry'!$$125), "", 'Data Entry'!$$125)</f>
      </c>
      <c r="BQ125">
        <f>IF(ISBLANK('Data Entry'!$$125), "", 'Data Entry'!$$125)</f>
      </c>
      <c r="BR125">
        <f>IF(ISBLANK('Data Entry'!$$125), "", 'Data Entry'!$$125)</f>
      </c>
      <c r="BS125">
        <f>IF(ISBLANK('Data Entry'!$$125), "", 'Data Entry'!$$125)</f>
      </c>
      <c r="BT125">
        <f>IF(ISBLANK('Data Entry'!$$125), "", 'Data Entry'!$$125)</f>
      </c>
      <c r="BU125">
        <f>IF(ISBLANK('Data Entry'!$$125), "", 'Data Entry'!$$125)</f>
      </c>
      <c r="BV125">
        <f>IF(ISBLANK('Data Entry'!$$125), "", 'Data Entry'!$$125)</f>
      </c>
      <c r="BW125">
        <f>IF(ISBLANK('Data Entry'!$$125), "", 'Data Entry'!$$125)</f>
      </c>
      <c r="BX125">
        <f>IF(ISBLANK('Data Entry'!$$125), "", 'Data Entry'!$$125)</f>
      </c>
      <c r="BY125">
        <f>IF(ISBLANK('Data Entry'!$$125), "", 'Data Entry'!$$125)</f>
      </c>
      <c r="BZ125">
        <f>IF(ISBLANK('Data Entry'!$$125), "", 'Data Entry'!$$125)</f>
      </c>
      <c r="CA125">
        <f>IF(ISBLANK('Data Entry'!$$125), "", 'Data Entry'!$$125)</f>
      </c>
      <c r="CB125">
        <f>IF(ISBLANK('Data Entry'!$$125), "", 'Data Entry'!$$125)</f>
      </c>
      <c r="CC125">
        <f>IF(ISBLANK('Data Entry'!$$125), "", 'Data Entry'!$$125)</f>
      </c>
      <c r="CD125">
        <f>IF(ISBLANK('Data Entry'!$$125), "", 'Data Entry'!$$125)</f>
      </c>
      <c r="CE125">
        <f>IF(ISBLANK('Data Entry'!$$125), "", 'Data Entry'!$$125)</f>
      </c>
      <c r="CF125">
        <f>IF(ISBLANK('Data Entry'!$$125), "", 'Data Entry'!$$125)</f>
      </c>
      <c r="CG125">
        <f>IF(ISBLANK('Data Entry'!$$125), "", 'Data Entry'!$$125)</f>
      </c>
      <c r="CH125">
        <f>IF(ISBLANK('Data Entry'!$$125), "", 'Data Entry'!$$125)</f>
      </c>
      <c r="CI125">
        <f>IF(ISBLANK('Data Entry'!$$125), "", 'Data Entry'!$$125)</f>
      </c>
      <c r="CJ125">
        <f>IF(ISBLANK('Data Entry'!$$125), "", 'Data Entry'!$$125)</f>
      </c>
      <c r="CK125">
        <f>IF(ISBLANK('Data Entry'!$$125), "", 'Data Entry'!$$125)</f>
      </c>
      <c r="CL125">
        <f>IF(ISBLANK('Data Entry'!$$125), "", 'Data Entry'!$$125)</f>
      </c>
      <c r="CM125">
        <f>IF(ISBLANK('Data Entry'!$$125), "", 'Data Entry'!$$125)</f>
      </c>
      <c r="CN125">
        <f>IF(ISBLANK('Data Entry'!$$125), "", 'Data Entry'!$$125)</f>
      </c>
      <c r="CO125">
        <f>IF(ISBLANK('Data Entry'!$$125), "", 'Data Entry'!$$125)</f>
      </c>
      <c r="CP125">
        <f>IF(ISBLANK('Data Entry'!$$125), "", 'Data Entry'!$$125)</f>
      </c>
      <c r="CQ125">
        <f>IF(ISBLANK('Data Entry'!$$125), "", 'Data Entry'!$$125)</f>
      </c>
      <c r="CR125">
        <f>IF(ISBLANK('Data Entry'!$ $125), "", 'Data Entry'!$ $125)</f>
      </c>
      <c r="CS125">
        <f>IF(ISBLANK('Data Entry'!$¡$125), "", 'Data Entry'!$¡$125)</f>
      </c>
      <c r="CT125">
        <f>IF(ISBLANK('Data Entry'!$¢$125), "", 'Data Entry'!$¢$125)</f>
      </c>
      <c r="CU125">
        <f>IF(ISBLANK('Data Entry'!$£$125), "", 'Data Entry'!$£$125)</f>
      </c>
      <c r="CV125">
        <f>IF(ISBLANK('Data Entry'!$¤$125), "", 'Data Entry'!$¤$125)</f>
      </c>
      <c r="CW125">
        <f>IF(ISBLANK('Data Entry'!$¥$125), "", 'Data Entry'!$¥$125)</f>
      </c>
      <c r="CX125">
        <f>IF(ISBLANK('Data Entry'!$¦$125), "", 'Data Entry'!$¦$125)</f>
      </c>
      <c r="CY125">
        <f>IF(ISBLANK('Data Entry'!$§$125), "", 'Data Entry'!$§$125)</f>
      </c>
      <c r="CZ125">
        <f>IF(ISBLANK('Data Entry'!$¨$125), "", 'Data Entry'!$¨$125)</f>
      </c>
      <c r="DA125">
        <f>IF(ISBLANK('Data Entry'!$©$125), "", 'Data Entry'!$©$125)</f>
      </c>
      <c r="DB125">
        <f>IF(ISBLANK('Data Entry'!$ª$125), "", 'Data Entry'!$ª$125)</f>
      </c>
      <c r="DC125">
        <f>IF(ISBLANK('Data Entry'!$«$125), "", 'Data Entry'!$«$125)</f>
      </c>
      <c r="DD125">
        <f>IF(ISBLANK('Data Entry'!$¬$125), "", 'Data Entry'!$¬$125)</f>
      </c>
      <c r="DE125">
        <f>IF(ISBLANK('Data Entry'!$­$125), "", 'Data Entry'!$­$125)</f>
      </c>
      <c r="DF125">
        <f>IF(ISBLANK('Data Entry'!$®$125), "", 'Data Entry'!$®$125)</f>
      </c>
      <c r="DG125">
        <f>IF(ISBLANK('Data Entry'!$¯$125), "", 'Data Entry'!$¯$125)</f>
      </c>
      <c r="DH125">
        <f>IF(ISBLANK('Data Entry'!$°$125), "", 'Data Entry'!$°$125)</f>
      </c>
      <c r="DI125">
        <f>IF(ISBLANK('Data Entry'!$±$125), "", 'Data Entry'!$±$125)</f>
      </c>
      <c r="DJ125">
        <f>IF(ISBLANK('Data Entry'!$²$125), "", 'Data Entry'!$²$125)</f>
      </c>
      <c r="DK125">
        <f>IF(ISBLANK('Data Entry'!$³$125), "", 'Data Entry'!$³$125)</f>
      </c>
      <c r="DL125">
        <f>IF(ISBLANK('Data Entry'!$´$125), "", 'Data Entry'!$´$125)</f>
      </c>
      <c r="DM125">
        <f>IF(ISBLANK('Data Entry'!$µ$125), "", 'Data Entry'!$µ$125)</f>
      </c>
      <c r="DN125">
        <f>IF(ISBLANK('Data Entry'!$¶$125), "", 'Data Entry'!$¶$125)</f>
      </c>
      <c r="DO125">
        <f>IF(ISBLANK('Data Entry'!$·$125), "", 'Data Entry'!$·$125)</f>
      </c>
      <c r="DP125">
        <f>IF(ISBLANK('Data Entry'!$¸$125), "", 'Data Entry'!$¸$125)</f>
      </c>
      <c r="DQ125">
        <f>IF(ISBLANK('Data Entry'!$¹$125), "", 'Data Entry'!$¹$125)</f>
      </c>
      <c r="DR125">
        <f>IF(ISBLANK('Data Entry'!$º$125), "", 'Data Entry'!$º$125)</f>
      </c>
      <c r="DS125">
        <f>IF(ISBLANK('Data Entry'!$»$125), "", 'Data Entry'!$»$125)</f>
      </c>
      <c r="DT125">
        <f>IF(ISBLANK('Data Entry'!$¼$125), "", 'Data Entry'!$¼$125)</f>
      </c>
      <c r="DU125">
        <f>IF(ISBLANK('Data Entry'!$½$125), "", 'Data Entry'!$½$125)</f>
      </c>
      <c r="DV125">
        <f>IF(ISBLANK('Data Entry'!$¾$125), "", 'Data Entry'!$¾$125)</f>
      </c>
      <c r="DW125">
        <f>IF(ISBLANK('Data Entry'!$¿$125), "", 'Data Entry'!$¿$125)</f>
      </c>
      <c r="DX125">
        <f>IF(ISBLANK('Data Entry'!$À$125), "", 'Data Entry'!$À$125)</f>
      </c>
      <c r="DY125">
        <f>IF(ISBLANK('Data Entry'!$Á$125), "", 'Data Entry'!$Á$125)</f>
      </c>
      <c r="DZ125">
        <f>IF(ISBLANK('Data Entry'!$Â$125), "", 'Data Entry'!$Â$125)</f>
      </c>
      <c r="EA125">
        <f>IF(ISBLANK('Data Entry'!$Ã$125), "", 'Data Entry'!$Ã$125)</f>
      </c>
      <c r="EB125">
        <f>IF(ISBLANK('Data Entry'!$Ä$125), "", 'Data Entry'!$Ä$125)</f>
      </c>
      <c r="EC125">
        <f>IF(ISBLANK('Data Entry'!$Å$125), "", 'Data Entry'!$Å$125)</f>
      </c>
      <c r="ED125">
        <f>IF(ISBLANK('Data Entry'!$Æ$125), "", 'Data Entry'!$Æ$125)</f>
      </c>
      <c r="EE125">
        <f>IF(ISBLANK('Data Entry'!$Ç$125), "", 'Data Entry'!$Ç$125)</f>
      </c>
      <c r="EF125">
        <f>IF(ISBLANK('Data Entry'!$È$125), "", 'Data Entry'!$È$125)</f>
      </c>
      <c r="EG125">
        <f>IF(ISBLANK('Data Entry'!$É$125), "", 'Data Entry'!$É$125)</f>
      </c>
      <c r="EH125">
        <f>IF(ISBLANK('Data Entry'!$Ê$125), "", 'Data Entry'!$Ê$125)</f>
      </c>
      <c r="EI125">
        <f>IF(ISBLANK('Data Entry'!$Ë$125), "", 'Data Entry'!$Ë$125)</f>
      </c>
      <c r="EJ125">
        <f>IF(ISBLANK('Data Entry'!$Ì$125), "", 'Data Entry'!$Ì$125)</f>
      </c>
      <c r="EK125">
        <f>IF(ISBLANK('Data Entry'!$Í$125), "", 'Data Entry'!$Í$125)</f>
      </c>
      <c r="EL125">
        <f>IF(ISBLANK('Data Entry'!$Î$125), "", 'Data Entry'!$Î$125)</f>
      </c>
      <c r="EM125">
        <f>IF(ISBLANK('Data Entry'!$Ï$125), "", 'Data Entry'!$Ï$125)</f>
      </c>
      <c r="EN125">
        <f>IF(ISBLANK('Data Entry'!$Ð$125), "", 'Data Entry'!$Ð$125)</f>
      </c>
      <c r="EO125">
        <f>IF(ISBLANK('Data Entry'!$Ñ$125), "", 'Data Entry'!$Ñ$125)</f>
      </c>
      <c r="EP125">
        <f>IF(ISBLANK('Data Entry'!$Ò$125), "", 'Data Entry'!$Ò$125)</f>
      </c>
      <c r="EQ125">
        <f>IF(ISBLANK('Data Entry'!$Ó$125), "", 'Data Entry'!$Ó$125)</f>
      </c>
      <c r="ER125">
        <f>IF(ISBLANK('Data Entry'!$Ô$125), "", 'Data Entry'!$Ô$125)</f>
      </c>
      <c r="ES125">
        <f>IF(ISBLANK('Data Entry'!$Õ$125), "", 'Data Entry'!$Õ$125)</f>
      </c>
      <c r="ET125">
        <f>IF(ISBLANK('Data Entry'!$Ö$125), "", 'Data Entry'!$Ö$125)</f>
      </c>
      <c r="EU125">
        <f>IF(ISBLANK('Data Entry'!$×$125), "", 'Data Entry'!$×$125)</f>
      </c>
      <c r="EV125">
        <f>IF(ISBLANK('Data Entry'!$Ø$125), "", 'Data Entry'!$Ø$125)</f>
      </c>
      <c r="EW125">
        <f>IF(ISBLANK('Data Entry'!$Ù$125), "", 'Data Entry'!$Ù$125)</f>
      </c>
      <c r="EX125">
        <f>IF(ISBLANK('Data Entry'!$Ú$125), "", 'Data Entry'!$Ú$125)</f>
      </c>
      <c r="EY125">
        <f>IF(ISBLANK('Data Entry'!$Û$125), "", 'Data Entry'!$Û$125)</f>
      </c>
      <c r="EZ125">
        <f>IF(ISBLANK('Data Entry'!$Ü$125), "", 'Data Entry'!$Ü$125)</f>
      </c>
      <c r="FA125">
        <f>IF(ISBLANK('Data Entry'!$Ý$125), "", 'Data Entry'!$Ý$125)</f>
      </c>
      <c r="FB125">
        <f>IF(ISBLANK('Data Entry'!$Þ$125), "", 'Data Entry'!$Þ$125)</f>
      </c>
      <c r="FC125">
        <f>IF(ISBLANK('Data Entry'!$ß$125), "", 'Data Entry'!$ß$125)</f>
      </c>
      <c r="FD125">
        <f>IF(ISBLANK('Data Entry'!$à$125), "", 'Data Entry'!$à$125)</f>
      </c>
      <c r="FE125">
        <f>IF(ISBLANK('Data Entry'!$á$125), "", 'Data Entry'!$á$125)</f>
      </c>
      <c r="FF125">
        <f>IF(ISBLANK('Data Entry'!$â$125), "", 'Data Entry'!$â$125)</f>
      </c>
      <c r="FG125">
        <f>IF(ISBLANK('Data Entry'!$ã$125), "", 'Data Entry'!$ã$125)</f>
      </c>
      <c r="FH125">
        <f>IF(ISBLANK('Data Entry'!$ä$125), "", 'Data Entry'!$ä$125)</f>
      </c>
      <c r="FI125">
        <f>IF(ISBLANK('Data Entry'!$å$125), "", 'Data Entry'!$å$125)</f>
      </c>
      <c r="FJ125">
        <f>IF(ISBLANK('Data Entry'!$æ$125), "", 'Data Entry'!$æ$125)</f>
      </c>
      <c r="FK125">
        <f>IF(ISBLANK('Data Entry'!$ç$125), "", 'Data Entry'!$ç$125)</f>
      </c>
      <c r="FL125">
        <f>IF(ISBLANK('Data Entry'!$è$125), "", 'Data Entry'!$è$125)</f>
      </c>
      <c r="FM125">
        <f>IF(ISBLANK('Data Entry'!$é$125), "", 'Data Entry'!$é$125)</f>
      </c>
      <c r="FN125">
        <f>IF(ISBLANK('Data Entry'!$ê$125), "", 'Data Entry'!$ê$125)</f>
      </c>
      <c r="FO125">
        <f>IF(ISBLANK('Data Entry'!$ë$125), "", 'Data Entry'!$ë$125)</f>
      </c>
      <c r="FP125">
        <f>IF(ISBLANK('Data Entry'!$ì$125), "", 'Data Entry'!$ì$125)</f>
      </c>
      <c r="FQ125">
        <f>IF(ISBLANK('Data Entry'!$í$125), "", 'Data Entry'!$í$125)</f>
      </c>
      <c r="FR125">
        <f>IF(ISBLANK('Data Entry'!$î$125), "", 'Data Entry'!$î$125)</f>
      </c>
      <c r="FS125">
        <f>IF(ISBLANK('Data Entry'!$ï$125), "", 'Data Entry'!$ï$125)</f>
      </c>
      <c r="FT125">
        <f>IF(ISBLANK('Data Entry'!$ð$125), "", 'Data Entry'!$ð$125)</f>
      </c>
      <c r="FU125">
        <f>IF(ISBLANK('Data Entry'!$ñ$125), "", 'Data Entry'!$ñ$125)</f>
      </c>
      <c r="FV125">
        <f>IF(ISBLANK('Data Entry'!$ò$125), "", 'Data Entry'!$ò$125)</f>
      </c>
      <c r="FW125">
        <f>IF(ISBLANK('Data Entry'!$ó$125), "", 'Data Entry'!$ó$125)</f>
      </c>
      <c r="FX125">
        <f>IF(ISBLANK('Data Entry'!$ô$125), "", 'Data Entry'!$ô$125)</f>
      </c>
      <c r="FY125">
        <f>IF(ISBLANK('Data Entry'!$õ$125), "", 'Data Entry'!$õ$125)</f>
      </c>
      <c r="FZ125">
        <f>IF(ISBLANK('Data Entry'!$ö$125), "", 'Data Entry'!$ö$125)</f>
      </c>
      <c r="GA125">
        <f>IF(ISBLANK('Data Entry'!$÷$125), "", 'Data Entry'!$÷$125)</f>
      </c>
      <c r="GB125">
        <f>IF(ISBLANK('Data Entry'!$ø$125), "", 'Data Entry'!$ø$125)</f>
      </c>
      <c r="GC125">
        <f>IF(ISBLANK('Data Entry'!$ù$125), "", 'Data Entry'!$ù$125)</f>
      </c>
      <c r="GD125">
        <f>IF(ISBLANK('Data Entry'!$ú$125), "", 'Data Entry'!$ú$125)</f>
      </c>
      <c r="GE125">
        <f>IF(ISBLANK('Data Entry'!$û$125), "", 'Data Entry'!$û$125)</f>
      </c>
      <c r="GF125">
        <f>IF(ISBLANK('Data Entry'!$ü$125), "", 'Data Entry'!$ü$125)</f>
      </c>
      <c r="GG125">
        <f>IF(ISBLANK('Data Entry'!$ý$125), "", 'Data Entry'!$ý$125)</f>
      </c>
      <c r="GH125">
        <f>IF(ISBLANK('Data Entry'!$þ$125), "", 'Data Entry'!$þ$125)</f>
      </c>
      <c r="GI125">
        <f>IF(ISBLANK('Data Entry'!$ÿ$125), "", 'Data Entry'!$ÿ$125)</f>
      </c>
      <c r="GJ125">
        <f>IF(ISBLANK('Data Entry'!$Ā$125), "", 'Data Entry'!$Ā$125)</f>
      </c>
      <c r="GK125">
        <f>IF(ISBLANK('Data Entry'!$ā$125), "", 'Data Entry'!$ā$125)</f>
      </c>
      <c r="GL125">
        <f>IF(ISBLANK('Data Entry'!$Ă$125), "", 'Data Entry'!$Ă$125)</f>
      </c>
      <c r="GM125">
        <f>IF(ISBLANK('Data Entry'!$ă$125), "", 'Data Entry'!$ă$125)</f>
      </c>
      <c r="GN125">
        <f>IF(ISBLANK('Data Entry'!$Ą$125), "", 'Data Entry'!$Ą$125)</f>
      </c>
      <c r="GO125">
        <f>IF(ISBLANK('Data Entry'!$ą$125), "", 'Data Entry'!$ą$125)</f>
      </c>
      <c r="GP125">
        <f>IF(ISBLANK('Data Entry'!$Ć$125), "", 'Data Entry'!$Ć$125)</f>
      </c>
      <c r="GQ125">
        <f>IF(ISBLANK('Data Entry'!$ć$125), "", 'Data Entry'!$ć$125)</f>
      </c>
      <c r="GR125">
        <f>IF(ISBLANK('Data Entry'!$Ĉ$125), "", 'Data Entry'!$Ĉ$125)</f>
      </c>
      <c r="GS125">
        <f>IF(ISBLANK('Data Entry'!$ĉ$125), "", 'Data Entry'!$ĉ$125)</f>
      </c>
      <c r="GT125">
        <f>IF(ISBLANK('Data Entry'!$Ċ$125), "", 'Data Entry'!$Ċ$125)</f>
      </c>
      <c r="GU125">
        <f>IF(ISBLANK('Data Entry'!$ċ$125), "", 'Data Entry'!$ċ$125)</f>
      </c>
      <c r="GV125">
        <f>IF(ISBLANK('Data Entry'!$Č$125), "", 'Data Entry'!$Č$125)</f>
      </c>
      <c r="GW125">
        <f>IF(ISBLANK('Data Entry'!$č$125), "", 'Data Entry'!$č$125)</f>
      </c>
      <c r="GX125">
        <f>IF(ISBLANK('Data Entry'!$Ď$125), "", 'Data Entry'!$Ď$125)</f>
      </c>
      <c r="GY125">
        <f>IF(ISBLANK('Data Entry'!$ď$125), "", 'Data Entry'!$ď$125)</f>
      </c>
      <c r="GZ125">
        <f>IF(ISBLANK('Data Entry'!$Đ$125), "", 'Data Entry'!$Đ$125)</f>
      </c>
      <c r="HA125">
        <f>IF(ISBLANK('Data Entry'!$đ$125), "", 'Data Entry'!$đ$125)</f>
      </c>
      <c r="HB125">
        <f>IF(ISBLANK('Data Entry'!$Ē$125), "", 'Data Entry'!$Ē$125)</f>
      </c>
      <c r="HC125">
        <f>IF(ISBLANK('Data Entry'!$ē$125), "", 'Data Entry'!$ē$125)</f>
      </c>
      <c r="HD125">
        <f>IF(ISBLANK('Data Entry'!$Ĕ$125), "", 'Data Entry'!$Ĕ$125)</f>
      </c>
      <c r="HE125">
        <f>IF(ISBLANK('Data Entry'!$ĕ$125), "", 'Data Entry'!$ĕ$125)</f>
      </c>
      <c r="HF125">
        <f>IF(ISBLANK('Data Entry'!$Ė$125), "", 'Data Entry'!$Ė$125)</f>
      </c>
      <c r="HG125">
        <f>IF(ISBLANK('Data Entry'!$ė$125), "", 'Data Entry'!$ė$125)</f>
      </c>
      <c r="HH125">
        <f>IF(ISBLANK('Data Entry'!$Ę$125), "", 'Data Entry'!$Ę$125)</f>
      </c>
      <c r="HI125">
        <f>IF(ISBLANK('Data Entry'!$ę$125), "", 'Data Entry'!$ę$125)</f>
      </c>
      <c r="HJ125">
        <f>IF(ISBLANK('Data Entry'!$Ě$125), "", 'Data Entry'!$Ě$125)</f>
      </c>
      <c r="HK125">
        <f>IF(ISBLANK('Data Entry'!$ě$125), "", 'Data Entry'!$ě$125)</f>
      </c>
      <c r="HL125">
        <f>IF(ISBLANK('Data Entry'!$Ĝ$125), "", 'Data Entry'!$Ĝ$125)</f>
      </c>
      <c r="HM125">
        <f>IF(ISBLANK('Data Entry'!$ĝ$125), "", 'Data Entry'!$ĝ$125)</f>
      </c>
      <c r="HN125">
        <f>IF(ISBLANK('Data Entry'!$Ğ$125), "", 'Data Entry'!$Ğ$125)</f>
      </c>
      <c r="HO125">
        <f>IF(ISBLANK('Data Entry'!$ğ$125), "", 'Data Entry'!$ğ$125)</f>
      </c>
      <c r="HP125">
        <f>IF(ISBLANK('Data Entry'!$Ġ$125), "", 'Data Entry'!$Ġ$125)</f>
      </c>
      <c r="HQ125">
        <f>IF(ISBLANK('Data Entry'!$ġ$125), "", 'Data Entry'!$ġ$125)</f>
      </c>
      <c r="HR125">
        <f>IF(ISBLANK('Data Entry'!$Ģ$125), "", 'Data Entry'!$Ģ$125)</f>
      </c>
      <c r="HS125">
        <f>IF(ISBLANK('Data Entry'!$ģ$125), "", 'Data Entry'!$ģ$125)</f>
      </c>
      <c r="HT125">
        <f>IF(ISBLANK('Data Entry'!$Ĥ$125), "", 'Data Entry'!$Ĥ$125)</f>
      </c>
      <c r="HU125">
        <f>IF(ISBLANK('Data Entry'!$ĥ$125), "", 'Data Entry'!$ĥ$125)</f>
      </c>
      <c r="HV125">
        <f>IF(ISBLANK('Data Entry'!$Ħ$125), "", 'Data Entry'!$Ħ$125)</f>
      </c>
      <c r="HW125">
        <f>IF(ISBLANK('Data Entry'!$ħ$125), "", 'Data Entry'!$ħ$125)</f>
      </c>
      <c r="HX125">
        <f>IF(ISBLANK('Data Entry'!$Ĩ$125), "", 'Data Entry'!$Ĩ$125)</f>
      </c>
      <c r="HY125">
        <f>IF(ISBLANK('Data Entry'!$ĩ$125), "", 'Data Entry'!$ĩ$125)</f>
      </c>
      <c r="HZ125">
        <f>IF(ISBLANK('Data Entry'!$Ī$125), "", 'Data Entry'!$Ī$125)</f>
      </c>
      <c r="IA125">
        <f>IF(ISBLANK('Data Entry'!$ī$125), "", 'Data Entry'!$ī$125)</f>
      </c>
      <c r="IB125">
        <f>IF(ISBLANK('Data Entry'!$Ĭ$125), "", 'Data Entry'!$Ĭ$125)</f>
      </c>
      <c r="IC125">
        <f>IF(ISBLANK('Data Entry'!$ĭ$125), "", 'Data Entry'!$ĭ$125)</f>
      </c>
      <c r="ID125">
        <f>IF(ISBLANK('Data Entry'!$Į$125), "", 'Data Entry'!$Į$125)</f>
      </c>
      <c r="IE125">
        <f>IF(ISBLANK('Data Entry'!$į$125), "", 'Data Entry'!$į$125)</f>
      </c>
      <c r="IF125">
        <f>IF(ISBLANK('Data Entry'!$İ$125), "", 'Data Entry'!$İ$125)</f>
      </c>
      <c r="IG125">
        <f>IF(ISBLANK('Data Entry'!$ı$125), "", 'Data Entry'!$ı$125)</f>
      </c>
      <c r="IH125">
        <f>IF(ISBLANK('Data Entry'!$Ĳ$125), "", 'Data Entry'!$Ĳ$125)</f>
      </c>
      <c r="II125">
        <f>IF(ISBLANK('Data Entry'!$ĳ$125), "", 'Data Entry'!$ĳ$125)</f>
      </c>
      <c r="IJ125">
        <f>IF(ISBLANK('Data Entry'!$Ĵ$125), "", 'Data Entry'!$Ĵ$125)</f>
      </c>
      <c r="IK125">
        <f>IF(ISBLANK('Data Entry'!$ĵ$125), "", 'Data Entry'!$ĵ$125)</f>
      </c>
      <c r="IL125">
        <f>IF(ISBLANK('Data Entry'!$Ķ$125), "", 'Data Entry'!$Ķ$125)</f>
      </c>
      <c r="IM125">
        <f>IF(ISBLANK('Data Entry'!$ķ$125), "", 'Data Entry'!$ķ$125)</f>
      </c>
      <c r="IN125">
        <f>IF(ISBLANK('Data Entry'!$ĸ$125), "", 'Data Entry'!$ĸ$125)</f>
      </c>
      <c r="IO125">
        <f>IF(ISBLANK('Data Entry'!$Ĺ$125), "", 'Data Entry'!$Ĺ$125)</f>
      </c>
      <c r="IP125">
        <f>IF(ISBLANK('Data Entry'!$ĺ$125), "", 'Data Entry'!$ĺ$125)</f>
      </c>
      <c r="IQ125">
        <f>IF(ISBLANK('Data Entry'!$Ļ$125), "", 'Data Entry'!$Ļ$125)</f>
      </c>
      <c r="IR125">
        <f>IF(ISBLANK('Data Entry'!$ļ$125), "", 'Data Entry'!$ļ$125)</f>
      </c>
      <c r="IS125">
        <f>IF(ISBLANK('Data Entry'!$Ľ$125), "", 'Data Entry'!$Ľ$125)</f>
      </c>
      <c r="IT125">
        <f>IF(ISBLANK('Data Entry'!$ľ$125), "", 'Data Entry'!$ľ$125)</f>
      </c>
    </row>
    <row r="126" spans="1:254" x14ac:dyDescent="0.25">
      <c r="A126">
        <f>IF(ISBLANK('Data Entry'!$A$126), "", 'Data Entry'!$A$126)</f>
      </c>
      <c r="B126">
        <f>IF(ISBLANK('Data Entry'!$B$126), "", 'Data Entry'!$B$126)</f>
      </c>
      <c r="C126">
        <f>IF(ISBLANK('Data Entry'!$C$126), "", 'Data Entry'!$C$126)</f>
      </c>
      <c r="D126">
        <f>IF(ISBLANK('Data Entry'!$D$126), "", 'Data Entry'!$D$126)</f>
      </c>
      <c r="E126">
        <f>IF(ISBLANK('Data Entry'!$E$126), "", 'Data Entry'!$E$126)</f>
      </c>
      <c r="F126">
        <f>IF(ISBLANK('Data Entry'!$F$126), "", 'Data Entry'!$F$126)</f>
      </c>
      <c r="G126">
        <f>IF(ISBLANK('Data Entry'!$G$126), "", 'Data Entry'!$G$126)</f>
      </c>
      <c r="H126">
        <f>IF(ISBLANK('Data Entry'!$H$126), "", 'Data Entry'!$H$126)</f>
      </c>
      <c r="I126">
        <f>IF(ISBLANK('Data Entry'!$I$126), "", 'Data Entry'!$I$126)</f>
      </c>
      <c r="J126">
        <f>IF(ISBLANK('Data Entry'!$J$126), "", 'Data Entry'!$J$126)</f>
      </c>
      <c r="K126">
        <f>IF(ISBLANK('Data Entry'!$K$126), "", 'Data Entry'!$K$126)</f>
      </c>
      <c r="L126">
        <f>IF(ISBLANK('Data Entry'!$L$126), "", 'Data Entry'!$L$126)</f>
      </c>
      <c r="M126">
        <f>IF(ISBLANK('Data Entry'!$M$126), "", 'Data Entry'!$M$126)</f>
      </c>
      <c r="N126">
        <f>IF(ISBLANK('Data Entry'!$N$126), "", 'Data Entry'!$N$126)</f>
      </c>
      <c r="O126">
        <f>IF(ISBLANK('Data Entry'!$O$126), "", 'Data Entry'!$O$126)</f>
      </c>
      <c r="P126">
        <f>IF(ISBLANK('Data Entry'!$P$126), "", 'Data Entry'!$P$126)</f>
      </c>
      <c r="Q126">
        <f>IF(ISBLANK('Data Entry'!$Q$126), "", 'Data Entry'!$Q$126)</f>
      </c>
      <c r="R126">
        <f>IF(ISBLANK('Data Entry'!$R$126), "", 'Data Entry'!$R$126)</f>
      </c>
      <c r="S126">
        <f>IF(ISBLANK('Data Entry'!$S$126), "", 'Data Entry'!$S$126)</f>
      </c>
      <c r="T126">
        <f>IF(ISBLANK('Data Entry'!$T$126), "", 'Data Entry'!$T$126)</f>
      </c>
      <c r="U126">
        <f>IF(ISBLANK('Data Entry'!$U$126), "", 'Data Entry'!$U$126)</f>
      </c>
      <c r="V126">
        <f>IF(ISBLANK('Data Entry'!$V$126), "", 'Data Entry'!$V$126)</f>
      </c>
      <c r="W126">
        <f>IF(ISBLANK('Data Entry'!$W$126), "", 'Data Entry'!$W$126)</f>
      </c>
      <c r="X126">
        <f>IF(ISBLANK('Data Entry'!$X$126), "", 'Data Entry'!$X$126)</f>
      </c>
      <c r="Y126">
        <f>IF(ISBLANK('Data Entry'!$Y$126), "", 'Data Entry'!$Y$126)</f>
      </c>
      <c r="Z126">
        <f>IF(ISBLANK('Data Entry'!$Z$126), "", 'Data Entry'!$Z$126)</f>
      </c>
      <c r="AA126">
        <f>IF(ISBLANK('Data Entry'!$[$126), "", 'Data Entry'!$[$126)</f>
      </c>
      <c r="AB126">
        <f>IF(ISBLANK('Data Entry'!$\$126), "", 'Data Entry'!$\$126)</f>
      </c>
      <c r="AC126">
        <f>IF(ISBLANK('Data Entry'!$]$126), "", 'Data Entry'!$]$126)</f>
      </c>
      <c r="AD126">
        <f>IF(ISBLANK('Data Entry'!$^$126), "", 'Data Entry'!$^$126)</f>
      </c>
      <c r="AE126">
        <f>IF(ISBLANK('Data Entry'!$_$126), "", 'Data Entry'!$_$126)</f>
      </c>
      <c r="AF126">
        <f>IF(ISBLANK('Data Entry'!$`$126), "", 'Data Entry'!$`$126)</f>
      </c>
      <c r="AG126">
        <f>IF(ISBLANK('Data Entry'!$a$126), "", 'Data Entry'!$a$126)</f>
      </c>
      <c r="AH126">
        <f>IF(ISBLANK('Data Entry'!$b$126), "", 'Data Entry'!$b$126)</f>
      </c>
      <c r="AI126">
        <f>IF(ISBLANK('Data Entry'!$c$126), "", 'Data Entry'!$c$126)</f>
      </c>
      <c r="AJ126">
        <f>IF(ISBLANK('Data Entry'!$d$126), "", 'Data Entry'!$d$126)</f>
      </c>
      <c r="AK126">
        <f>IF(ISBLANK('Data Entry'!$e$126), "", 'Data Entry'!$e$126)</f>
      </c>
      <c r="AL126">
        <f>IF(ISBLANK('Data Entry'!$f$126), "", 'Data Entry'!$f$126)</f>
      </c>
      <c r="AM126">
        <f>IF(ISBLANK('Data Entry'!$g$126), "", 'Data Entry'!$g$126)</f>
      </c>
      <c r="AN126">
        <f>IF(ISBLANK('Data Entry'!$h$126), "", 'Data Entry'!$h$126)</f>
      </c>
      <c r="AO126">
        <f>IF(ISBLANK('Data Entry'!$i$126), "", 'Data Entry'!$i$126)</f>
      </c>
      <c r="AP126">
        <f>IF(ISBLANK('Data Entry'!$j$126), "", 'Data Entry'!$j$126)</f>
      </c>
      <c r="AQ126">
        <f>IF(ISBLANK('Data Entry'!$k$126), "", 'Data Entry'!$k$126)</f>
      </c>
      <c r="AR126">
        <f>IF(ISBLANK('Data Entry'!$l$126), "", 'Data Entry'!$l$126)</f>
      </c>
      <c r="AS126">
        <f>IF(ISBLANK('Data Entry'!$m$126), "", 'Data Entry'!$m$126)</f>
      </c>
      <c r="AT126">
        <f>IF(ISBLANK('Data Entry'!$n$126), "", 'Data Entry'!$n$126)</f>
      </c>
      <c r="AU126">
        <f>IF(ISBLANK('Data Entry'!$o$126), "", 'Data Entry'!$o$126)</f>
      </c>
      <c r="AV126">
        <f>IF(ISBLANK('Data Entry'!$p$126), "", 'Data Entry'!$p$126)</f>
      </c>
      <c r="AW126">
        <f>IF(ISBLANK('Data Entry'!$q$126), "", 'Data Entry'!$q$126)</f>
      </c>
      <c r="AX126">
        <f>IF(ISBLANK('Data Entry'!$r$126), "", 'Data Entry'!$r$126)</f>
      </c>
      <c r="AY126">
        <f>IF(ISBLANK('Data Entry'!$s$126), "", 'Data Entry'!$s$126)</f>
      </c>
      <c r="AZ126">
        <f>IF(ISBLANK('Data Entry'!$t$126), "", 'Data Entry'!$t$126)</f>
      </c>
      <c r="BA126">
        <f>IF(ISBLANK('Data Entry'!$u$126), "", 'Data Entry'!$u$126)</f>
      </c>
      <c r="BB126">
        <f>IF(ISBLANK('Data Entry'!$v$126), "", 'Data Entry'!$v$126)</f>
      </c>
      <c r="BC126">
        <f>IF(ISBLANK('Data Entry'!$w$126), "", 'Data Entry'!$w$126)</f>
      </c>
      <c r="BD126">
        <f>IF(ISBLANK('Data Entry'!$x$126), "", 'Data Entry'!$x$126)</f>
      </c>
      <c r="BE126">
        <f>IF(ISBLANK('Data Entry'!$y$126), "", 'Data Entry'!$y$126)</f>
      </c>
      <c r="BF126">
        <f>IF(ISBLANK('Data Entry'!$z$126), "", 'Data Entry'!$z$126)</f>
      </c>
      <c r="BG126">
        <f>IF(ISBLANK('Data Entry'!${$126), "", 'Data Entry'!${$126)</f>
      </c>
      <c r="BH126">
        <f>IF(ISBLANK('Data Entry'!$|$126), "", 'Data Entry'!$|$126)</f>
      </c>
      <c r="BI126">
        <f>IF(ISBLANK('Data Entry'!$}$126), "", 'Data Entry'!$}$126)</f>
      </c>
      <c r="BJ126">
        <f>IF(ISBLANK('Data Entry'!$~$126), "", 'Data Entry'!$~$126)</f>
      </c>
      <c r="BK126">
        <f>IF(ISBLANK('Data Entry'!$$126), "", 'Data Entry'!$$126)</f>
      </c>
      <c r="BL126">
        <f>IF(ISBLANK('Data Entry'!$$126), "", 'Data Entry'!$$126)</f>
      </c>
      <c r="BM126">
        <f>IF(ISBLANK('Data Entry'!$$126), "", 'Data Entry'!$$126)</f>
      </c>
      <c r="BN126">
        <f>IF(ISBLANK('Data Entry'!$$126), "", 'Data Entry'!$$126)</f>
      </c>
      <c r="BO126">
        <f>IF(ISBLANK('Data Entry'!$$126), "", 'Data Entry'!$$126)</f>
      </c>
      <c r="BP126">
        <f>IF(ISBLANK('Data Entry'!$$126), "", 'Data Entry'!$$126)</f>
      </c>
      <c r="BQ126">
        <f>IF(ISBLANK('Data Entry'!$$126), "", 'Data Entry'!$$126)</f>
      </c>
      <c r="BR126">
        <f>IF(ISBLANK('Data Entry'!$$126), "", 'Data Entry'!$$126)</f>
      </c>
      <c r="BS126">
        <f>IF(ISBLANK('Data Entry'!$$126), "", 'Data Entry'!$$126)</f>
      </c>
      <c r="BT126">
        <f>IF(ISBLANK('Data Entry'!$$126), "", 'Data Entry'!$$126)</f>
      </c>
      <c r="BU126">
        <f>IF(ISBLANK('Data Entry'!$$126), "", 'Data Entry'!$$126)</f>
      </c>
      <c r="BV126">
        <f>IF(ISBLANK('Data Entry'!$$126), "", 'Data Entry'!$$126)</f>
      </c>
      <c r="BW126">
        <f>IF(ISBLANK('Data Entry'!$$126), "", 'Data Entry'!$$126)</f>
      </c>
      <c r="BX126">
        <f>IF(ISBLANK('Data Entry'!$$126), "", 'Data Entry'!$$126)</f>
      </c>
      <c r="BY126">
        <f>IF(ISBLANK('Data Entry'!$$126), "", 'Data Entry'!$$126)</f>
      </c>
      <c r="BZ126">
        <f>IF(ISBLANK('Data Entry'!$$126), "", 'Data Entry'!$$126)</f>
      </c>
      <c r="CA126">
        <f>IF(ISBLANK('Data Entry'!$$126), "", 'Data Entry'!$$126)</f>
      </c>
      <c r="CB126">
        <f>IF(ISBLANK('Data Entry'!$$126), "", 'Data Entry'!$$126)</f>
      </c>
      <c r="CC126">
        <f>IF(ISBLANK('Data Entry'!$$126), "", 'Data Entry'!$$126)</f>
      </c>
      <c r="CD126">
        <f>IF(ISBLANK('Data Entry'!$$126), "", 'Data Entry'!$$126)</f>
      </c>
      <c r="CE126">
        <f>IF(ISBLANK('Data Entry'!$$126), "", 'Data Entry'!$$126)</f>
      </c>
      <c r="CF126">
        <f>IF(ISBLANK('Data Entry'!$$126), "", 'Data Entry'!$$126)</f>
      </c>
      <c r="CG126">
        <f>IF(ISBLANK('Data Entry'!$$126), "", 'Data Entry'!$$126)</f>
      </c>
      <c r="CH126">
        <f>IF(ISBLANK('Data Entry'!$$126), "", 'Data Entry'!$$126)</f>
      </c>
      <c r="CI126">
        <f>IF(ISBLANK('Data Entry'!$$126), "", 'Data Entry'!$$126)</f>
      </c>
      <c r="CJ126">
        <f>IF(ISBLANK('Data Entry'!$$126), "", 'Data Entry'!$$126)</f>
      </c>
      <c r="CK126">
        <f>IF(ISBLANK('Data Entry'!$$126), "", 'Data Entry'!$$126)</f>
      </c>
      <c r="CL126">
        <f>IF(ISBLANK('Data Entry'!$$126), "", 'Data Entry'!$$126)</f>
      </c>
      <c r="CM126">
        <f>IF(ISBLANK('Data Entry'!$$126), "", 'Data Entry'!$$126)</f>
      </c>
      <c r="CN126">
        <f>IF(ISBLANK('Data Entry'!$$126), "", 'Data Entry'!$$126)</f>
      </c>
      <c r="CO126">
        <f>IF(ISBLANK('Data Entry'!$$126), "", 'Data Entry'!$$126)</f>
      </c>
      <c r="CP126">
        <f>IF(ISBLANK('Data Entry'!$$126), "", 'Data Entry'!$$126)</f>
      </c>
      <c r="CQ126">
        <f>IF(ISBLANK('Data Entry'!$$126), "", 'Data Entry'!$$126)</f>
      </c>
      <c r="CR126">
        <f>IF(ISBLANK('Data Entry'!$ $126), "", 'Data Entry'!$ $126)</f>
      </c>
      <c r="CS126">
        <f>IF(ISBLANK('Data Entry'!$¡$126), "", 'Data Entry'!$¡$126)</f>
      </c>
      <c r="CT126">
        <f>IF(ISBLANK('Data Entry'!$¢$126), "", 'Data Entry'!$¢$126)</f>
      </c>
      <c r="CU126">
        <f>IF(ISBLANK('Data Entry'!$£$126), "", 'Data Entry'!$£$126)</f>
      </c>
      <c r="CV126">
        <f>IF(ISBLANK('Data Entry'!$¤$126), "", 'Data Entry'!$¤$126)</f>
      </c>
      <c r="CW126">
        <f>IF(ISBLANK('Data Entry'!$¥$126), "", 'Data Entry'!$¥$126)</f>
      </c>
      <c r="CX126">
        <f>IF(ISBLANK('Data Entry'!$¦$126), "", 'Data Entry'!$¦$126)</f>
      </c>
      <c r="CY126">
        <f>IF(ISBLANK('Data Entry'!$§$126), "", 'Data Entry'!$§$126)</f>
      </c>
      <c r="CZ126">
        <f>IF(ISBLANK('Data Entry'!$¨$126), "", 'Data Entry'!$¨$126)</f>
      </c>
      <c r="DA126">
        <f>IF(ISBLANK('Data Entry'!$©$126), "", 'Data Entry'!$©$126)</f>
      </c>
      <c r="DB126">
        <f>IF(ISBLANK('Data Entry'!$ª$126), "", 'Data Entry'!$ª$126)</f>
      </c>
      <c r="DC126">
        <f>IF(ISBLANK('Data Entry'!$«$126), "", 'Data Entry'!$«$126)</f>
      </c>
      <c r="DD126">
        <f>IF(ISBLANK('Data Entry'!$¬$126), "", 'Data Entry'!$¬$126)</f>
      </c>
      <c r="DE126">
        <f>IF(ISBLANK('Data Entry'!$­$126), "", 'Data Entry'!$­$126)</f>
      </c>
      <c r="DF126">
        <f>IF(ISBLANK('Data Entry'!$®$126), "", 'Data Entry'!$®$126)</f>
      </c>
      <c r="DG126">
        <f>IF(ISBLANK('Data Entry'!$¯$126), "", 'Data Entry'!$¯$126)</f>
      </c>
      <c r="DH126">
        <f>IF(ISBLANK('Data Entry'!$°$126), "", 'Data Entry'!$°$126)</f>
      </c>
      <c r="DI126">
        <f>IF(ISBLANK('Data Entry'!$±$126), "", 'Data Entry'!$±$126)</f>
      </c>
      <c r="DJ126">
        <f>IF(ISBLANK('Data Entry'!$²$126), "", 'Data Entry'!$²$126)</f>
      </c>
      <c r="DK126">
        <f>IF(ISBLANK('Data Entry'!$³$126), "", 'Data Entry'!$³$126)</f>
      </c>
      <c r="DL126">
        <f>IF(ISBLANK('Data Entry'!$´$126), "", 'Data Entry'!$´$126)</f>
      </c>
      <c r="DM126">
        <f>IF(ISBLANK('Data Entry'!$µ$126), "", 'Data Entry'!$µ$126)</f>
      </c>
      <c r="DN126">
        <f>IF(ISBLANK('Data Entry'!$¶$126), "", 'Data Entry'!$¶$126)</f>
      </c>
      <c r="DO126">
        <f>IF(ISBLANK('Data Entry'!$·$126), "", 'Data Entry'!$·$126)</f>
      </c>
      <c r="DP126">
        <f>IF(ISBLANK('Data Entry'!$¸$126), "", 'Data Entry'!$¸$126)</f>
      </c>
      <c r="DQ126">
        <f>IF(ISBLANK('Data Entry'!$¹$126), "", 'Data Entry'!$¹$126)</f>
      </c>
      <c r="DR126">
        <f>IF(ISBLANK('Data Entry'!$º$126), "", 'Data Entry'!$º$126)</f>
      </c>
      <c r="DS126">
        <f>IF(ISBLANK('Data Entry'!$»$126), "", 'Data Entry'!$»$126)</f>
      </c>
      <c r="DT126">
        <f>IF(ISBLANK('Data Entry'!$¼$126), "", 'Data Entry'!$¼$126)</f>
      </c>
      <c r="DU126">
        <f>IF(ISBLANK('Data Entry'!$½$126), "", 'Data Entry'!$½$126)</f>
      </c>
      <c r="DV126">
        <f>IF(ISBLANK('Data Entry'!$¾$126), "", 'Data Entry'!$¾$126)</f>
      </c>
      <c r="DW126">
        <f>IF(ISBLANK('Data Entry'!$¿$126), "", 'Data Entry'!$¿$126)</f>
      </c>
      <c r="DX126">
        <f>IF(ISBLANK('Data Entry'!$À$126), "", 'Data Entry'!$À$126)</f>
      </c>
      <c r="DY126">
        <f>IF(ISBLANK('Data Entry'!$Á$126), "", 'Data Entry'!$Á$126)</f>
      </c>
      <c r="DZ126">
        <f>IF(ISBLANK('Data Entry'!$Â$126), "", 'Data Entry'!$Â$126)</f>
      </c>
      <c r="EA126">
        <f>IF(ISBLANK('Data Entry'!$Ã$126), "", 'Data Entry'!$Ã$126)</f>
      </c>
      <c r="EB126">
        <f>IF(ISBLANK('Data Entry'!$Ä$126), "", 'Data Entry'!$Ä$126)</f>
      </c>
      <c r="EC126">
        <f>IF(ISBLANK('Data Entry'!$Å$126), "", 'Data Entry'!$Å$126)</f>
      </c>
      <c r="ED126">
        <f>IF(ISBLANK('Data Entry'!$Æ$126), "", 'Data Entry'!$Æ$126)</f>
      </c>
      <c r="EE126">
        <f>IF(ISBLANK('Data Entry'!$Ç$126), "", 'Data Entry'!$Ç$126)</f>
      </c>
      <c r="EF126">
        <f>IF(ISBLANK('Data Entry'!$È$126), "", 'Data Entry'!$È$126)</f>
      </c>
      <c r="EG126">
        <f>IF(ISBLANK('Data Entry'!$É$126), "", 'Data Entry'!$É$126)</f>
      </c>
      <c r="EH126">
        <f>IF(ISBLANK('Data Entry'!$Ê$126), "", 'Data Entry'!$Ê$126)</f>
      </c>
      <c r="EI126">
        <f>IF(ISBLANK('Data Entry'!$Ë$126), "", 'Data Entry'!$Ë$126)</f>
      </c>
      <c r="EJ126">
        <f>IF(ISBLANK('Data Entry'!$Ì$126), "", 'Data Entry'!$Ì$126)</f>
      </c>
      <c r="EK126">
        <f>IF(ISBLANK('Data Entry'!$Í$126), "", 'Data Entry'!$Í$126)</f>
      </c>
      <c r="EL126">
        <f>IF(ISBLANK('Data Entry'!$Î$126), "", 'Data Entry'!$Î$126)</f>
      </c>
      <c r="EM126">
        <f>IF(ISBLANK('Data Entry'!$Ï$126), "", 'Data Entry'!$Ï$126)</f>
      </c>
      <c r="EN126">
        <f>IF(ISBLANK('Data Entry'!$Ð$126), "", 'Data Entry'!$Ð$126)</f>
      </c>
      <c r="EO126">
        <f>IF(ISBLANK('Data Entry'!$Ñ$126), "", 'Data Entry'!$Ñ$126)</f>
      </c>
      <c r="EP126">
        <f>IF(ISBLANK('Data Entry'!$Ò$126), "", 'Data Entry'!$Ò$126)</f>
      </c>
      <c r="EQ126">
        <f>IF(ISBLANK('Data Entry'!$Ó$126), "", 'Data Entry'!$Ó$126)</f>
      </c>
      <c r="ER126">
        <f>IF(ISBLANK('Data Entry'!$Ô$126), "", 'Data Entry'!$Ô$126)</f>
      </c>
      <c r="ES126">
        <f>IF(ISBLANK('Data Entry'!$Õ$126), "", 'Data Entry'!$Õ$126)</f>
      </c>
      <c r="ET126">
        <f>IF(ISBLANK('Data Entry'!$Ö$126), "", 'Data Entry'!$Ö$126)</f>
      </c>
      <c r="EU126">
        <f>IF(ISBLANK('Data Entry'!$×$126), "", 'Data Entry'!$×$126)</f>
      </c>
      <c r="EV126">
        <f>IF(ISBLANK('Data Entry'!$Ø$126), "", 'Data Entry'!$Ø$126)</f>
      </c>
      <c r="EW126">
        <f>IF(ISBLANK('Data Entry'!$Ù$126), "", 'Data Entry'!$Ù$126)</f>
      </c>
      <c r="EX126">
        <f>IF(ISBLANK('Data Entry'!$Ú$126), "", 'Data Entry'!$Ú$126)</f>
      </c>
      <c r="EY126">
        <f>IF(ISBLANK('Data Entry'!$Û$126), "", 'Data Entry'!$Û$126)</f>
      </c>
      <c r="EZ126">
        <f>IF(ISBLANK('Data Entry'!$Ü$126), "", 'Data Entry'!$Ü$126)</f>
      </c>
      <c r="FA126">
        <f>IF(ISBLANK('Data Entry'!$Ý$126), "", 'Data Entry'!$Ý$126)</f>
      </c>
      <c r="FB126">
        <f>IF(ISBLANK('Data Entry'!$Þ$126), "", 'Data Entry'!$Þ$126)</f>
      </c>
      <c r="FC126">
        <f>IF(ISBLANK('Data Entry'!$ß$126), "", 'Data Entry'!$ß$126)</f>
      </c>
      <c r="FD126">
        <f>IF(ISBLANK('Data Entry'!$à$126), "", 'Data Entry'!$à$126)</f>
      </c>
      <c r="FE126">
        <f>IF(ISBLANK('Data Entry'!$á$126), "", 'Data Entry'!$á$126)</f>
      </c>
      <c r="FF126">
        <f>IF(ISBLANK('Data Entry'!$â$126), "", 'Data Entry'!$â$126)</f>
      </c>
      <c r="FG126">
        <f>IF(ISBLANK('Data Entry'!$ã$126), "", 'Data Entry'!$ã$126)</f>
      </c>
      <c r="FH126">
        <f>IF(ISBLANK('Data Entry'!$ä$126), "", 'Data Entry'!$ä$126)</f>
      </c>
      <c r="FI126">
        <f>IF(ISBLANK('Data Entry'!$å$126), "", 'Data Entry'!$å$126)</f>
      </c>
      <c r="FJ126">
        <f>IF(ISBLANK('Data Entry'!$æ$126), "", 'Data Entry'!$æ$126)</f>
      </c>
      <c r="FK126">
        <f>IF(ISBLANK('Data Entry'!$ç$126), "", 'Data Entry'!$ç$126)</f>
      </c>
      <c r="FL126">
        <f>IF(ISBLANK('Data Entry'!$è$126), "", 'Data Entry'!$è$126)</f>
      </c>
      <c r="FM126">
        <f>IF(ISBLANK('Data Entry'!$é$126), "", 'Data Entry'!$é$126)</f>
      </c>
      <c r="FN126">
        <f>IF(ISBLANK('Data Entry'!$ê$126), "", 'Data Entry'!$ê$126)</f>
      </c>
      <c r="FO126">
        <f>IF(ISBLANK('Data Entry'!$ë$126), "", 'Data Entry'!$ë$126)</f>
      </c>
      <c r="FP126">
        <f>IF(ISBLANK('Data Entry'!$ì$126), "", 'Data Entry'!$ì$126)</f>
      </c>
      <c r="FQ126">
        <f>IF(ISBLANK('Data Entry'!$í$126), "", 'Data Entry'!$í$126)</f>
      </c>
      <c r="FR126">
        <f>IF(ISBLANK('Data Entry'!$î$126), "", 'Data Entry'!$î$126)</f>
      </c>
      <c r="FS126">
        <f>IF(ISBLANK('Data Entry'!$ï$126), "", 'Data Entry'!$ï$126)</f>
      </c>
      <c r="FT126">
        <f>IF(ISBLANK('Data Entry'!$ð$126), "", 'Data Entry'!$ð$126)</f>
      </c>
      <c r="FU126">
        <f>IF(ISBLANK('Data Entry'!$ñ$126), "", 'Data Entry'!$ñ$126)</f>
      </c>
      <c r="FV126">
        <f>IF(ISBLANK('Data Entry'!$ò$126), "", 'Data Entry'!$ò$126)</f>
      </c>
      <c r="FW126">
        <f>IF(ISBLANK('Data Entry'!$ó$126), "", 'Data Entry'!$ó$126)</f>
      </c>
      <c r="FX126">
        <f>IF(ISBLANK('Data Entry'!$ô$126), "", 'Data Entry'!$ô$126)</f>
      </c>
      <c r="FY126">
        <f>IF(ISBLANK('Data Entry'!$õ$126), "", 'Data Entry'!$õ$126)</f>
      </c>
      <c r="FZ126">
        <f>IF(ISBLANK('Data Entry'!$ö$126), "", 'Data Entry'!$ö$126)</f>
      </c>
      <c r="GA126">
        <f>IF(ISBLANK('Data Entry'!$÷$126), "", 'Data Entry'!$÷$126)</f>
      </c>
      <c r="GB126">
        <f>IF(ISBLANK('Data Entry'!$ø$126), "", 'Data Entry'!$ø$126)</f>
      </c>
      <c r="GC126">
        <f>IF(ISBLANK('Data Entry'!$ù$126), "", 'Data Entry'!$ù$126)</f>
      </c>
      <c r="GD126">
        <f>IF(ISBLANK('Data Entry'!$ú$126), "", 'Data Entry'!$ú$126)</f>
      </c>
      <c r="GE126">
        <f>IF(ISBLANK('Data Entry'!$û$126), "", 'Data Entry'!$û$126)</f>
      </c>
      <c r="GF126">
        <f>IF(ISBLANK('Data Entry'!$ü$126), "", 'Data Entry'!$ü$126)</f>
      </c>
      <c r="GG126">
        <f>IF(ISBLANK('Data Entry'!$ý$126), "", 'Data Entry'!$ý$126)</f>
      </c>
      <c r="GH126">
        <f>IF(ISBLANK('Data Entry'!$þ$126), "", 'Data Entry'!$þ$126)</f>
      </c>
      <c r="GI126">
        <f>IF(ISBLANK('Data Entry'!$ÿ$126), "", 'Data Entry'!$ÿ$126)</f>
      </c>
      <c r="GJ126">
        <f>IF(ISBLANK('Data Entry'!$Ā$126), "", 'Data Entry'!$Ā$126)</f>
      </c>
      <c r="GK126">
        <f>IF(ISBLANK('Data Entry'!$ā$126), "", 'Data Entry'!$ā$126)</f>
      </c>
      <c r="GL126">
        <f>IF(ISBLANK('Data Entry'!$Ă$126), "", 'Data Entry'!$Ă$126)</f>
      </c>
      <c r="GM126">
        <f>IF(ISBLANK('Data Entry'!$ă$126), "", 'Data Entry'!$ă$126)</f>
      </c>
      <c r="GN126">
        <f>IF(ISBLANK('Data Entry'!$Ą$126), "", 'Data Entry'!$Ą$126)</f>
      </c>
      <c r="GO126">
        <f>IF(ISBLANK('Data Entry'!$ą$126), "", 'Data Entry'!$ą$126)</f>
      </c>
      <c r="GP126">
        <f>IF(ISBLANK('Data Entry'!$Ć$126), "", 'Data Entry'!$Ć$126)</f>
      </c>
      <c r="GQ126">
        <f>IF(ISBLANK('Data Entry'!$ć$126), "", 'Data Entry'!$ć$126)</f>
      </c>
      <c r="GR126">
        <f>IF(ISBLANK('Data Entry'!$Ĉ$126), "", 'Data Entry'!$Ĉ$126)</f>
      </c>
      <c r="GS126">
        <f>IF(ISBLANK('Data Entry'!$ĉ$126), "", 'Data Entry'!$ĉ$126)</f>
      </c>
      <c r="GT126">
        <f>IF(ISBLANK('Data Entry'!$Ċ$126), "", 'Data Entry'!$Ċ$126)</f>
      </c>
      <c r="GU126">
        <f>IF(ISBLANK('Data Entry'!$ċ$126), "", 'Data Entry'!$ċ$126)</f>
      </c>
      <c r="GV126">
        <f>IF(ISBLANK('Data Entry'!$Č$126), "", 'Data Entry'!$Č$126)</f>
      </c>
      <c r="GW126">
        <f>IF(ISBLANK('Data Entry'!$č$126), "", 'Data Entry'!$č$126)</f>
      </c>
      <c r="GX126">
        <f>IF(ISBLANK('Data Entry'!$Ď$126), "", 'Data Entry'!$Ď$126)</f>
      </c>
      <c r="GY126">
        <f>IF(ISBLANK('Data Entry'!$ď$126), "", 'Data Entry'!$ď$126)</f>
      </c>
      <c r="GZ126">
        <f>IF(ISBLANK('Data Entry'!$Đ$126), "", 'Data Entry'!$Đ$126)</f>
      </c>
      <c r="HA126">
        <f>IF(ISBLANK('Data Entry'!$đ$126), "", 'Data Entry'!$đ$126)</f>
      </c>
      <c r="HB126">
        <f>IF(ISBLANK('Data Entry'!$Ē$126), "", 'Data Entry'!$Ē$126)</f>
      </c>
      <c r="HC126">
        <f>IF(ISBLANK('Data Entry'!$ē$126), "", 'Data Entry'!$ē$126)</f>
      </c>
      <c r="HD126">
        <f>IF(ISBLANK('Data Entry'!$Ĕ$126), "", 'Data Entry'!$Ĕ$126)</f>
      </c>
      <c r="HE126">
        <f>IF(ISBLANK('Data Entry'!$ĕ$126), "", 'Data Entry'!$ĕ$126)</f>
      </c>
      <c r="HF126">
        <f>IF(ISBLANK('Data Entry'!$Ė$126), "", 'Data Entry'!$Ė$126)</f>
      </c>
      <c r="HG126">
        <f>IF(ISBLANK('Data Entry'!$ė$126), "", 'Data Entry'!$ė$126)</f>
      </c>
      <c r="HH126">
        <f>IF(ISBLANK('Data Entry'!$Ę$126), "", 'Data Entry'!$Ę$126)</f>
      </c>
      <c r="HI126">
        <f>IF(ISBLANK('Data Entry'!$ę$126), "", 'Data Entry'!$ę$126)</f>
      </c>
      <c r="HJ126">
        <f>IF(ISBLANK('Data Entry'!$Ě$126), "", 'Data Entry'!$Ě$126)</f>
      </c>
      <c r="HK126">
        <f>IF(ISBLANK('Data Entry'!$ě$126), "", 'Data Entry'!$ě$126)</f>
      </c>
      <c r="HL126">
        <f>IF(ISBLANK('Data Entry'!$Ĝ$126), "", 'Data Entry'!$Ĝ$126)</f>
      </c>
      <c r="HM126">
        <f>IF(ISBLANK('Data Entry'!$ĝ$126), "", 'Data Entry'!$ĝ$126)</f>
      </c>
      <c r="HN126">
        <f>IF(ISBLANK('Data Entry'!$Ğ$126), "", 'Data Entry'!$Ğ$126)</f>
      </c>
      <c r="HO126">
        <f>IF(ISBLANK('Data Entry'!$ğ$126), "", 'Data Entry'!$ğ$126)</f>
      </c>
      <c r="HP126">
        <f>IF(ISBLANK('Data Entry'!$Ġ$126), "", 'Data Entry'!$Ġ$126)</f>
      </c>
      <c r="HQ126">
        <f>IF(ISBLANK('Data Entry'!$ġ$126), "", 'Data Entry'!$ġ$126)</f>
      </c>
      <c r="HR126">
        <f>IF(ISBLANK('Data Entry'!$Ģ$126), "", 'Data Entry'!$Ģ$126)</f>
      </c>
      <c r="HS126">
        <f>IF(ISBLANK('Data Entry'!$ģ$126), "", 'Data Entry'!$ģ$126)</f>
      </c>
      <c r="HT126">
        <f>IF(ISBLANK('Data Entry'!$Ĥ$126), "", 'Data Entry'!$Ĥ$126)</f>
      </c>
      <c r="HU126">
        <f>IF(ISBLANK('Data Entry'!$ĥ$126), "", 'Data Entry'!$ĥ$126)</f>
      </c>
      <c r="HV126">
        <f>IF(ISBLANK('Data Entry'!$Ħ$126), "", 'Data Entry'!$Ħ$126)</f>
      </c>
      <c r="HW126">
        <f>IF(ISBLANK('Data Entry'!$ħ$126), "", 'Data Entry'!$ħ$126)</f>
      </c>
      <c r="HX126">
        <f>IF(ISBLANK('Data Entry'!$Ĩ$126), "", 'Data Entry'!$Ĩ$126)</f>
      </c>
      <c r="HY126">
        <f>IF(ISBLANK('Data Entry'!$ĩ$126), "", 'Data Entry'!$ĩ$126)</f>
      </c>
      <c r="HZ126">
        <f>IF(ISBLANK('Data Entry'!$Ī$126), "", 'Data Entry'!$Ī$126)</f>
      </c>
      <c r="IA126">
        <f>IF(ISBLANK('Data Entry'!$ī$126), "", 'Data Entry'!$ī$126)</f>
      </c>
      <c r="IB126">
        <f>IF(ISBLANK('Data Entry'!$Ĭ$126), "", 'Data Entry'!$Ĭ$126)</f>
      </c>
      <c r="IC126">
        <f>IF(ISBLANK('Data Entry'!$ĭ$126), "", 'Data Entry'!$ĭ$126)</f>
      </c>
      <c r="ID126">
        <f>IF(ISBLANK('Data Entry'!$Į$126), "", 'Data Entry'!$Į$126)</f>
      </c>
      <c r="IE126">
        <f>IF(ISBLANK('Data Entry'!$į$126), "", 'Data Entry'!$į$126)</f>
      </c>
      <c r="IF126">
        <f>IF(ISBLANK('Data Entry'!$İ$126), "", 'Data Entry'!$İ$126)</f>
      </c>
      <c r="IG126">
        <f>IF(ISBLANK('Data Entry'!$ı$126), "", 'Data Entry'!$ı$126)</f>
      </c>
      <c r="IH126">
        <f>IF(ISBLANK('Data Entry'!$Ĳ$126), "", 'Data Entry'!$Ĳ$126)</f>
      </c>
      <c r="II126">
        <f>IF(ISBLANK('Data Entry'!$ĳ$126), "", 'Data Entry'!$ĳ$126)</f>
      </c>
      <c r="IJ126">
        <f>IF(ISBLANK('Data Entry'!$Ĵ$126), "", 'Data Entry'!$Ĵ$126)</f>
      </c>
      <c r="IK126">
        <f>IF(ISBLANK('Data Entry'!$ĵ$126), "", 'Data Entry'!$ĵ$126)</f>
      </c>
      <c r="IL126">
        <f>IF(ISBLANK('Data Entry'!$Ķ$126), "", 'Data Entry'!$Ķ$126)</f>
      </c>
      <c r="IM126">
        <f>IF(ISBLANK('Data Entry'!$ķ$126), "", 'Data Entry'!$ķ$126)</f>
      </c>
      <c r="IN126">
        <f>IF(ISBLANK('Data Entry'!$ĸ$126), "", 'Data Entry'!$ĸ$126)</f>
      </c>
      <c r="IO126">
        <f>IF(ISBLANK('Data Entry'!$Ĺ$126), "", 'Data Entry'!$Ĺ$126)</f>
      </c>
      <c r="IP126">
        <f>IF(ISBLANK('Data Entry'!$ĺ$126), "", 'Data Entry'!$ĺ$126)</f>
      </c>
      <c r="IQ126">
        <f>IF(ISBLANK('Data Entry'!$Ļ$126), "", 'Data Entry'!$Ļ$126)</f>
      </c>
      <c r="IR126">
        <f>IF(ISBLANK('Data Entry'!$ļ$126), "", 'Data Entry'!$ļ$126)</f>
      </c>
      <c r="IS126">
        <f>IF(ISBLANK('Data Entry'!$Ľ$126), "", 'Data Entry'!$Ľ$126)</f>
      </c>
      <c r="IT126">
        <f>IF(ISBLANK('Data Entry'!$ľ$126), "", 'Data Entry'!$ľ$126)</f>
      </c>
    </row>
    <row r="127" spans="1:254" x14ac:dyDescent="0.25">
      <c r="A127">
        <f>IF(ISBLANK('Data Entry'!$A$127), "", 'Data Entry'!$A$127)</f>
      </c>
      <c r="B127">
        <f>IF(ISBLANK('Data Entry'!$B$127), "", 'Data Entry'!$B$127)</f>
      </c>
      <c r="C127">
        <f>IF(ISBLANK('Data Entry'!$C$127), "", 'Data Entry'!$C$127)</f>
      </c>
      <c r="D127">
        <f>IF(ISBLANK('Data Entry'!$D$127), "", 'Data Entry'!$D$127)</f>
      </c>
      <c r="E127">
        <f>IF(ISBLANK('Data Entry'!$E$127), "", 'Data Entry'!$E$127)</f>
      </c>
      <c r="F127">
        <f>IF(ISBLANK('Data Entry'!$F$127), "", 'Data Entry'!$F$127)</f>
      </c>
      <c r="G127">
        <f>IF(ISBLANK('Data Entry'!$G$127), "", 'Data Entry'!$G$127)</f>
      </c>
      <c r="H127">
        <f>IF(ISBLANK('Data Entry'!$H$127), "", 'Data Entry'!$H$127)</f>
      </c>
      <c r="I127">
        <f>IF(ISBLANK('Data Entry'!$I$127), "", 'Data Entry'!$I$127)</f>
      </c>
      <c r="J127">
        <f>IF(ISBLANK('Data Entry'!$J$127), "", 'Data Entry'!$J$127)</f>
      </c>
      <c r="K127">
        <f>IF(ISBLANK('Data Entry'!$K$127), "", 'Data Entry'!$K$127)</f>
      </c>
      <c r="L127">
        <f>IF(ISBLANK('Data Entry'!$L$127), "", 'Data Entry'!$L$127)</f>
      </c>
      <c r="M127">
        <f>IF(ISBLANK('Data Entry'!$M$127), "", 'Data Entry'!$M$127)</f>
      </c>
      <c r="N127">
        <f>IF(ISBLANK('Data Entry'!$N$127), "", 'Data Entry'!$N$127)</f>
      </c>
      <c r="O127">
        <f>IF(ISBLANK('Data Entry'!$O$127), "", 'Data Entry'!$O$127)</f>
      </c>
      <c r="P127">
        <f>IF(ISBLANK('Data Entry'!$P$127), "", 'Data Entry'!$P$127)</f>
      </c>
      <c r="Q127">
        <f>IF(ISBLANK('Data Entry'!$Q$127), "", 'Data Entry'!$Q$127)</f>
      </c>
      <c r="R127">
        <f>IF(ISBLANK('Data Entry'!$R$127), "", 'Data Entry'!$R$127)</f>
      </c>
      <c r="S127">
        <f>IF(ISBLANK('Data Entry'!$S$127), "", 'Data Entry'!$S$127)</f>
      </c>
      <c r="T127">
        <f>IF(ISBLANK('Data Entry'!$T$127), "", 'Data Entry'!$T$127)</f>
      </c>
      <c r="U127">
        <f>IF(ISBLANK('Data Entry'!$U$127), "", 'Data Entry'!$U$127)</f>
      </c>
      <c r="V127">
        <f>IF(ISBLANK('Data Entry'!$V$127), "", 'Data Entry'!$V$127)</f>
      </c>
      <c r="W127">
        <f>IF(ISBLANK('Data Entry'!$W$127), "", 'Data Entry'!$W$127)</f>
      </c>
      <c r="X127">
        <f>IF(ISBLANK('Data Entry'!$X$127), "", 'Data Entry'!$X$127)</f>
      </c>
      <c r="Y127">
        <f>IF(ISBLANK('Data Entry'!$Y$127), "", 'Data Entry'!$Y$127)</f>
      </c>
      <c r="Z127">
        <f>IF(ISBLANK('Data Entry'!$Z$127), "", 'Data Entry'!$Z$127)</f>
      </c>
      <c r="AA127">
        <f>IF(ISBLANK('Data Entry'!$[$127), "", 'Data Entry'!$[$127)</f>
      </c>
      <c r="AB127">
        <f>IF(ISBLANK('Data Entry'!$\$127), "", 'Data Entry'!$\$127)</f>
      </c>
      <c r="AC127">
        <f>IF(ISBLANK('Data Entry'!$]$127), "", 'Data Entry'!$]$127)</f>
      </c>
      <c r="AD127">
        <f>IF(ISBLANK('Data Entry'!$^$127), "", 'Data Entry'!$^$127)</f>
      </c>
      <c r="AE127">
        <f>IF(ISBLANK('Data Entry'!$_$127), "", 'Data Entry'!$_$127)</f>
      </c>
      <c r="AF127">
        <f>IF(ISBLANK('Data Entry'!$`$127), "", 'Data Entry'!$`$127)</f>
      </c>
      <c r="AG127">
        <f>IF(ISBLANK('Data Entry'!$a$127), "", 'Data Entry'!$a$127)</f>
      </c>
      <c r="AH127">
        <f>IF(ISBLANK('Data Entry'!$b$127), "", 'Data Entry'!$b$127)</f>
      </c>
      <c r="AI127">
        <f>IF(ISBLANK('Data Entry'!$c$127), "", 'Data Entry'!$c$127)</f>
      </c>
      <c r="AJ127">
        <f>IF(ISBLANK('Data Entry'!$d$127), "", 'Data Entry'!$d$127)</f>
      </c>
      <c r="AK127">
        <f>IF(ISBLANK('Data Entry'!$e$127), "", 'Data Entry'!$e$127)</f>
      </c>
      <c r="AL127">
        <f>IF(ISBLANK('Data Entry'!$f$127), "", 'Data Entry'!$f$127)</f>
      </c>
      <c r="AM127">
        <f>IF(ISBLANK('Data Entry'!$g$127), "", 'Data Entry'!$g$127)</f>
      </c>
      <c r="AN127">
        <f>IF(ISBLANK('Data Entry'!$h$127), "", 'Data Entry'!$h$127)</f>
      </c>
      <c r="AO127">
        <f>IF(ISBLANK('Data Entry'!$i$127), "", 'Data Entry'!$i$127)</f>
      </c>
      <c r="AP127">
        <f>IF(ISBLANK('Data Entry'!$j$127), "", 'Data Entry'!$j$127)</f>
      </c>
      <c r="AQ127">
        <f>IF(ISBLANK('Data Entry'!$k$127), "", 'Data Entry'!$k$127)</f>
      </c>
      <c r="AR127">
        <f>IF(ISBLANK('Data Entry'!$l$127), "", 'Data Entry'!$l$127)</f>
      </c>
      <c r="AS127">
        <f>IF(ISBLANK('Data Entry'!$m$127), "", 'Data Entry'!$m$127)</f>
      </c>
      <c r="AT127">
        <f>IF(ISBLANK('Data Entry'!$n$127), "", 'Data Entry'!$n$127)</f>
      </c>
      <c r="AU127">
        <f>IF(ISBLANK('Data Entry'!$o$127), "", 'Data Entry'!$o$127)</f>
      </c>
      <c r="AV127">
        <f>IF(ISBLANK('Data Entry'!$p$127), "", 'Data Entry'!$p$127)</f>
      </c>
      <c r="AW127">
        <f>IF(ISBLANK('Data Entry'!$q$127), "", 'Data Entry'!$q$127)</f>
      </c>
      <c r="AX127">
        <f>IF(ISBLANK('Data Entry'!$r$127), "", 'Data Entry'!$r$127)</f>
      </c>
      <c r="AY127">
        <f>IF(ISBLANK('Data Entry'!$s$127), "", 'Data Entry'!$s$127)</f>
      </c>
      <c r="AZ127">
        <f>IF(ISBLANK('Data Entry'!$t$127), "", 'Data Entry'!$t$127)</f>
      </c>
      <c r="BA127">
        <f>IF(ISBLANK('Data Entry'!$u$127), "", 'Data Entry'!$u$127)</f>
      </c>
      <c r="BB127">
        <f>IF(ISBLANK('Data Entry'!$v$127), "", 'Data Entry'!$v$127)</f>
      </c>
      <c r="BC127">
        <f>IF(ISBLANK('Data Entry'!$w$127), "", 'Data Entry'!$w$127)</f>
      </c>
      <c r="BD127">
        <f>IF(ISBLANK('Data Entry'!$x$127), "", 'Data Entry'!$x$127)</f>
      </c>
      <c r="BE127">
        <f>IF(ISBLANK('Data Entry'!$y$127), "", 'Data Entry'!$y$127)</f>
      </c>
      <c r="BF127">
        <f>IF(ISBLANK('Data Entry'!$z$127), "", 'Data Entry'!$z$127)</f>
      </c>
      <c r="BG127">
        <f>IF(ISBLANK('Data Entry'!${$127), "", 'Data Entry'!${$127)</f>
      </c>
      <c r="BH127">
        <f>IF(ISBLANK('Data Entry'!$|$127), "", 'Data Entry'!$|$127)</f>
      </c>
      <c r="BI127">
        <f>IF(ISBLANK('Data Entry'!$}$127), "", 'Data Entry'!$}$127)</f>
      </c>
      <c r="BJ127">
        <f>IF(ISBLANK('Data Entry'!$~$127), "", 'Data Entry'!$~$127)</f>
      </c>
      <c r="BK127">
        <f>IF(ISBLANK('Data Entry'!$$127), "", 'Data Entry'!$$127)</f>
      </c>
      <c r="BL127">
        <f>IF(ISBLANK('Data Entry'!$$127), "", 'Data Entry'!$$127)</f>
      </c>
      <c r="BM127">
        <f>IF(ISBLANK('Data Entry'!$$127), "", 'Data Entry'!$$127)</f>
      </c>
      <c r="BN127">
        <f>IF(ISBLANK('Data Entry'!$$127), "", 'Data Entry'!$$127)</f>
      </c>
      <c r="BO127">
        <f>IF(ISBLANK('Data Entry'!$$127), "", 'Data Entry'!$$127)</f>
      </c>
      <c r="BP127">
        <f>IF(ISBLANK('Data Entry'!$$127), "", 'Data Entry'!$$127)</f>
      </c>
      <c r="BQ127">
        <f>IF(ISBLANK('Data Entry'!$$127), "", 'Data Entry'!$$127)</f>
      </c>
      <c r="BR127">
        <f>IF(ISBLANK('Data Entry'!$$127), "", 'Data Entry'!$$127)</f>
      </c>
      <c r="BS127">
        <f>IF(ISBLANK('Data Entry'!$$127), "", 'Data Entry'!$$127)</f>
      </c>
      <c r="BT127">
        <f>IF(ISBLANK('Data Entry'!$$127), "", 'Data Entry'!$$127)</f>
      </c>
      <c r="BU127">
        <f>IF(ISBLANK('Data Entry'!$$127), "", 'Data Entry'!$$127)</f>
      </c>
      <c r="BV127">
        <f>IF(ISBLANK('Data Entry'!$$127), "", 'Data Entry'!$$127)</f>
      </c>
      <c r="BW127">
        <f>IF(ISBLANK('Data Entry'!$$127), "", 'Data Entry'!$$127)</f>
      </c>
      <c r="BX127">
        <f>IF(ISBLANK('Data Entry'!$$127), "", 'Data Entry'!$$127)</f>
      </c>
      <c r="BY127">
        <f>IF(ISBLANK('Data Entry'!$$127), "", 'Data Entry'!$$127)</f>
      </c>
      <c r="BZ127">
        <f>IF(ISBLANK('Data Entry'!$$127), "", 'Data Entry'!$$127)</f>
      </c>
      <c r="CA127">
        <f>IF(ISBLANK('Data Entry'!$$127), "", 'Data Entry'!$$127)</f>
      </c>
      <c r="CB127">
        <f>IF(ISBLANK('Data Entry'!$$127), "", 'Data Entry'!$$127)</f>
      </c>
      <c r="CC127">
        <f>IF(ISBLANK('Data Entry'!$$127), "", 'Data Entry'!$$127)</f>
      </c>
      <c r="CD127">
        <f>IF(ISBLANK('Data Entry'!$$127), "", 'Data Entry'!$$127)</f>
      </c>
      <c r="CE127">
        <f>IF(ISBLANK('Data Entry'!$$127), "", 'Data Entry'!$$127)</f>
      </c>
      <c r="CF127">
        <f>IF(ISBLANK('Data Entry'!$$127), "", 'Data Entry'!$$127)</f>
      </c>
      <c r="CG127">
        <f>IF(ISBLANK('Data Entry'!$$127), "", 'Data Entry'!$$127)</f>
      </c>
      <c r="CH127">
        <f>IF(ISBLANK('Data Entry'!$$127), "", 'Data Entry'!$$127)</f>
      </c>
      <c r="CI127">
        <f>IF(ISBLANK('Data Entry'!$$127), "", 'Data Entry'!$$127)</f>
      </c>
      <c r="CJ127">
        <f>IF(ISBLANK('Data Entry'!$$127), "", 'Data Entry'!$$127)</f>
      </c>
      <c r="CK127">
        <f>IF(ISBLANK('Data Entry'!$$127), "", 'Data Entry'!$$127)</f>
      </c>
      <c r="CL127">
        <f>IF(ISBLANK('Data Entry'!$$127), "", 'Data Entry'!$$127)</f>
      </c>
      <c r="CM127">
        <f>IF(ISBLANK('Data Entry'!$$127), "", 'Data Entry'!$$127)</f>
      </c>
      <c r="CN127">
        <f>IF(ISBLANK('Data Entry'!$$127), "", 'Data Entry'!$$127)</f>
      </c>
      <c r="CO127">
        <f>IF(ISBLANK('Data Entry'!$$127), "", 'Data Entry'!$$127)</f>
      </c>
      <c r="CP127">
        <f>IF(ISBLANK('Data Entry'!$$127), "", 'Data Entry'!$$127)</f>
      </c>
      <c r="CQ127">
        <f>IF(ISBLANK('Data Entry'!$$127), "", 'Data Entry'!$$127)</f>
      </c>
      <c r="CR127">
        <f>IF(ISBLANK('Data Entry'!$ $127), "", 'Data Entry'!$ $127)</f>
      </c>
      <c r="CS127">
        <f>IF(ISBLANK('Data Entry'!$¡$127), "", 'Data Entry'!$¡$127)</f>
      </c>
      <c r="CT127">
        <f>IF(ISBLANK('Data Entry'!$¢$127), "", 'Data Entry'!$¢$127)</f>
      </c>
      <c r="CU127">
        <f>IF(ISBLANK('Data Entry'!$£$127), "", 'Data Entry'!$£$127)</f>
      </c>
      <c r="CV127">
        <f>IF(ISBLANK('Data Entry'!$¤$127), "", 'Data Entry'!$¤$127)</f>
      </c>
      <c r="CW127">
        <f>IF(ISBLANK('Data Entry'!$¥$127), "", 'Data Entry'!$¥$127)</f>
      </c>
      <c r="CX127">
        <f>IF(ISBLANK('Data Entry'!$¦$127), "", 'Data Entry'!$¦$127)</f>
      </c>
      <c r="CY127">
        <f>IF(ISBLANK('Data Entry'!$§$127), "", 'Data Entry'!$§$127)</f>
      </c>
      <c r="CZ127">
        <f>IF(ISBLANK('Data Entry'!$¨$127), "", 'Data Entry'!$¨$127)</f>
      </c>
      <c r="DA127">
        <f>IF(ISBLANK('Data Entry'!$©$127), "", 'Data Entry'!$©$127)</f>
      </c>
      <c r="DB127">
        <f>IF(ISBLANK('Data Entry'!$ª$127), "", 'Data Entry'!$ª$127)</f>
      </c>
      <c r="DC127">
        <f>IF(ISBLANK('Data Entry'!$«$127), "", 'Data Entry'!$«$127)</f>
      </c>
      <c r="DD127">
        <f>IF(ISBLANK('Data Entry'!$¬$127), "", 'Data Entry'!$¬$127)</f>
      </c>
      <c r="DE127">
        <f>IF(ISBLANK('Data Entry'!$­$127), "", 'Data Entry'!$­$127)</f>
      </c>
      <c r="DF127">
        <f>IF(ISBLANK('Data Entry'!$®$127), "", 'Data Entry'!$®$127)</f>
      </c>
      <c r="DG127">
        <f>IF(ISBLANK('Data Entry'!$¯$127), "", 'Data Entry'!$¯$127)</f>
      </c>
      <c r="DH127">
        <f>IF(ISBLANK('Data Entry'!$°$127), "", 'Data Entry'!$°$127)</f>
      </c>
      <c r="DI127">
        <f>IF(ISBLANK('Data Entry'!$±$127), "", 'Data Entry'!$±$127)</f>
      </c>
      <c r="DJ127">
        <f>IF(ISBLANK('Data Entry'!$²$127), "", 'Data Entry'!$²$127)</f>
      </c>
      <c r="DK127">
        <f>IF(ISBLANK('Data Entry'!$³$127), "", 'Data Entry'!$³$127)</f>
      </c>
      <c r="DL127">
        <f>IF(ISBLANK('Data Entry'!$´$127), "", 'Data Entry'!$´$127)</f>
      </c>
      <c r="DM127">
        <f>IF(ISBLANK('Data Entry'!$µ$127), "", 'Data Entry'!$µ$127)</f>
      </c>
      <c r="DN127">
        <f>IF(ISBLANK('Data Entry'!$¶$127), "", 'Data Entry'!$¶$127)</f>
      </c>
      <c r="DO127">
        <f>IF(ISBLANK('Data Entry'!$·$127), "", 'Data Entry'!$·$127)</f>
      </c>
      <c r="DP127">
        <f>IF(ISBLANK('Data Entry'!$¸$127), "", 'Data Entry'!$¸$127)</f>
      </c>
      <c r="DQ127">
        <f>IF(ISBLANK('Data Entry'!$¹$127), "", 'Data Entry'!$¹$127)</f>
      </c>
      <c r="DR127">
        <f>IF(ISBLANK('Data Entry'!$º$127), "", 'Data Entry'!$º$127)</f>
      </c>
      <c r="DS127">
        <f>IF(ISBLANK('Data Entry'!$»$127), "", 'Data Entry'!$»$127)</f>
      </c>
      <c r="DT127">
        <f>IF(ISBLANK('Data Entry'!$¼$127), "", 'Data Entry'!$¼$127)</f>
      </c>
      <c r="DU127">
        <f>IF(ISBLANK('Data Entry'!$½$127), "", 'Data Entry'!$½$127)</f>
      </c>
      <c r="DV127">
        <f>IF(ISBLANK('Data Entry'!$¾$127), "", 'Data Entry'!$¾$127)</f>
      </c>
      <c r="DW127">
        <f>IF(ISBLANK('Data Entry'!$¿$127), "", 'Data Entry'!$¿$127)</f>
      </c>
      <c r="DX127">
        <f>IF(ISBLANK('Data Entry'!$À$127), "", 'Data Entry'!$À$127)</f>
      </c>
      <c r="DY127">
        <f>IF(ISBLANK('Data Entry'!$Á$127), "", 'Data Entry'!$Á$127)</f>
      </c>
      <c r="DZ127">
        <f>IF(ISBLANK('Data Entry'!$Â$127), "", 'Data Entry'!$Â$127)</f>
      </c>
      <c r="EA127">
        <f>IF(ISBLANK('Data Entry'!$Ã$127), "", 'Data Entry'!$Ã$127)</f>
      </c>
      <c r="EB127">
        <f>IF(ISBLANK('Data Entry'!$Ä$127), "", 'Data Entry'!$Ä$127)</f>
      </c>
      <c r="EC127">
        <f>IF(ISBLANK('Data Entry'!$Å$127), "", 'Data Entry'!$Å$127)</f>
      </c>
      <c r="ED127">
        <f>IF(ISBLANK('Data Entry'!$Æ$127), "", 'Data Entry'!$Æ$127)</f>
      </c>
      <c r="EE127">
        <f>IF(ISBLANK('Data Entry'!$Ç$127), "", 'Data Entry'!$Ç$127)</f>
      </c>
      <c r="EF127">
        <f>IF(ISBLANK('Data Entry'!$È$127), "", 'Data Entry'!$È$127)</f>
      </c>
      <c r="EG127">
        <f>IF(ISBLANK('Data Entry'!$É$127), "", 'Data Entry'!$É$127)</f>
      </c>
      <c r="EH127">
        <f>IF(ISBLANK('Data Entry'!$Ê$127), "", 'Data Entry'!$Ê$127)</f>
      </c>
      <c r="EI127">
        <f>IF(ISBLANK('Data Entry'!$Ë$127), "", 'Data Entry'!$Ë$127)</f>
      </c>
      <c r="EJ127">
        <f>IF(ISBLANK('Data Entry'!$Ì$127), "", 'Data Entry'!$Ì$127)</f>
      </c>
      <c r="EK127">
        <f>IF(ISBLANK('Data Entry'!$Í$127), "", 'Data Entry'!$Í$127)</f>
      </c>
      <c r="EL127">
        <f>IF(ISBLANK('Data Entry'!$Î$127), "", 'Data Entry'!$Î$127)</f>
      </c>
      <c r="EM127">
        <f>IF(ISBLANK('Data Entry'!$Ï$127), "", 'Data Entry'!$Ï$127)</f>
      </c>
      <c r="EN127">
        <f>IF(ISBLANK('Data Entry'!$Ð$127), "", 'Data Entry'!$Ð$127)</f>
      </c>
      <c r="EO127">
        <f>IF(ISBLANK('Data Entry'!$Ñ$127), "", 'Data Entry'!$Ñ$127)</f>
      </c>
      <c r="EP127">
        <f>IF(ISBLANK('Data Entry'!$Ò$127), "", 'Data Entry'!$Ò$127)</f>
      </c>
      <c r="EQ127">
        <f>IF(ISBLANK('Data Entry'!$Ó$127), "", 'Data Entry'!$Ó$127)</f>
      </c>
      <c r="ER127">
        <f>IF(ISBLANK('Data Entry'!$Ô$127), "", 'Data Entry'!$Ô$127)</f>
      </c>
      <c r="ES127">
        <f>IF(ISBLANK('Data Entry'!$Õ$127), "", 'Data Entry'!$Õ$127)</f>
      </c>
      <c r="ET127">
        <f>IF(ISBLANK('Data Entry'!$Ö$127), "", 'Data Entry'!$Ö$127)</f>
      </c>
      <c r="EU127">
        <f>IF(ISBLANK('Data Entry'!$×$127), "", 'Data Entry'!$×$127)</f>
      </c>
      <c r="EV127">
        <f>IF(ISBLANK('Data Entry'!$Ø$127), "", 'Data Entry'!$Ø$127)</f>
      </c>
      <c r="EW127">
        <f>IF(ISBLANK('Data Entry'!$Ù$127), "", 'Data Entry'!$Ù$127)</f>
      </c>
      <c r="EX127">
        <f>IF(ISBLANK('Data Entry'!$Ú$127), "", 'Data Entry'!$Ú$127)</f>
      </c>
      <c r="EY127">
        <f>IF(ISBLANK('Data Entry'!$Û$127), "", 'Data Entry'!$Û$127)</f>
      </c>
      <c r="EZ127">
        <f>IF(ISBLANK('Data Entry'!$Ü$127), "", 'Data Entry'!$Ü$127)</f>
      </c>
      <c r="FA127">
        <f>IF(ISBLANK('Data Entry'!$Ý$127), "", 'Data Entry'!$Ý$127)</f>
      </c>
      <c r="FB127">
        <f>IF(ISBLANK('Data Entry'!$Þ$127), "", 'Data Entry'!$Þ$127)</f>
      </c>
      <c r="FC127">
        <f>IF(ISBLANK('Data Entry'!$ß$127), "", 'Data Entry'!$ß$127)</f>
      </c>
      <c r="FD127">
        <f>IF(ISBLANK('Data Entry'!$à$127), "", 'Data Entry'!$à$127)</f>
      </c>
      <c r="FE127">
        <f>IF(ISBLANK('Data Entry'!$á$127), "", 'Data Entry'!$á$127)</f>
      </c>
      <c r="FF127">
        <f>IF(ISBLANK('Data Entry'!$â$127), "", 'Data Entry'!$â$127)</f>
      </c>
      <c r="FG127">
        <f>IF(ISBLANK('Data Entry'!$ã$127), "", 'Data Entry'!$ã$127)</f>
      </c>
      <c r="FH127">
        <f>IF(ISBLANK('Data Entry'!$ä$127), "", 'Data Entry'!$ä$127)</f>
      </c>
      <c r="FI127">
        <f>IF(ISBLANK('Data Entry'!$å$127), "", 'Data Entry'!$å$127)</f>
      </c>
      <c r="FJ127">
        <f>IF(ISBLANK('Data Entry'!$æ$127), "", 'Data Entry'!$æ$127)</f>
      </c>
      <c r="FK127">
        <f>IF(ISBLANK('Data Entry'!$ç$127), "", 'Data Entry'!$ç$127)</f>
      </c>
      <c r="FL127">
        <f>IF(ISBLANK('Data Entry'!$è$127), "", 'Data Entry'!$è$127)</f>
      </c>
      <c r="FM127">
        <f>IF(ISBLANK('Data Entry'!$é$127), "", 'Data Entry'!$é$127)</f>
      </c>
      <c r="FN127">
        <f>IF(ISBLANK('Data Entry'!$ê$127), "", 'Data Entry'!$ê$127)</f>
      </c>
      <c r="FO127">
        <f>IF(ISBLANK('Data Entry'!$ë$127), "", 'Data Entry'!$ë$127)</f>
      </c>
      <c r="FP127">
        <f>IF(ISBLANK('Data Entry'!$ì$127), "", 'Data Entry'!$ì$127)</f>
      </c>
      <c r="FQ127">
        <f>IF(ISBLANK('Data Entry'!$í$127), "", 'Data Entry'!$í$127)</f>
      </c>
      <c r="FR127">
        <f>IF(ISBLANK('Data Entry'!$î$127), "", 'Data Entry'!$î$127)</f>
      </c>
      <c r="FS127">
        <f>IF(ISBLANK('Data Entry'!$ï$127), "", 'Data Entry'!$ï$127)</f>
      </c>
      <c r="FT127">
        <f>IF(ISBLANK('Data Entry'!$ð$127), "", 'Data Entry'!$ð$127)</f>
      </c>
      <c r="FU127">
        <f>IF(ISBLANK('Data Entry'!$ñ$127), "", 'Data Entry'!$ñ$127)</f>
      </c>
      <c r="FV127">
        <f>IF(ISBLANK('Data Entry'!$ò$127), "", 'Data Entry'!$ò$127)</f>
      </c>
      <c r="FW127">
        <f>IF(ISBLANK('Data Entry'!$ó$127), "", 'Data Entry'!$ó$127)</f>
      </c>
      <c r="FX127">
        <f>IF(ISBLANK('Data Entry'!$ô$127), "", 'Data Entry'!$ô$127)</f>
      </c>
      <c r="FY127">
        <f>IF(ISBLANK('Data Entry'!$õ$127), "", 'Data Entry'!$õ$127)</f>
      </c>
      <c r="FZ127">
        <f>IF(ISBLANK('Data Entry'!$ö$127), "", 'Data Entry'!$ö$127)</f>
      </c>
      <c r="GA127">
        <f>IF(ISBLANK('Data Entry'!$÷$127), "", 'Data Entry'!$÷$127)</f>
      </c>
      <c r="GB127">
        <f>IF(ISBLANK('Data Entry'!$ø$127), "", 'Data Entry'!$ø$127)</f>
      </c>
      <c r="GC127">
        <f>IF(ISBLANK('Data Entry'!$ù$127), "", 'Data Entry'!$ù$127)</f>
      </c>
      <c r="GD127">
        <f>IF(ISBLANK('Data Entry'!$ú$127), "", 'Data Entry'!$ú$127)</f>
      </c>
      <c r="GE127">
        <f>IF(ISBLANK('Data Entry'!$û$127), "", 'Data Entry'!$û$127)</f>
      </c>
      <c r="GF127">
        <f>IF(ISBLANK('Data Entry'!$ü$127), "", 'Data Entry'!$ü$127)</f>
      </c>
      <c r="GG127">
        <f>IF(ISBLANK('Data Entry'!$ý$127), "", 'Data Entry'!$ý$127)</f>
      </c>
      <c r="GH127">
        <f>IF(ISBLANK('Data Entry'!$þ$127), "", 'Data Entry'!$þ$127)</f>
      </c>
      <c r="GI127">
        <f>IF(ISBLANK('Data Entry'!$ÿ$127), "", 'Data Entry'!$ÿ$127)</f>
      </c>
      <c r="GJ127">
        <f>IF(ISBLANK('Data Entry'!$Ā$127), "", 'Data Entry'!$Ā$127)</f>
      </c>
      <c r="GK127">
        <f>IF(ISBLANK('Data Entry'!$ā$127), "", 'Data Entry'!$ā$127)</f>
      </c>
      <c r="GL127">
        <f>IF(ISBLANK('Data Entry'!$Ă$127), "", 'Data Entry'!$Ă$127)</f>
      </c>
      <c r="GM127">
        <f>IF(ISBLANK('Data Entry'!$ă$127), "", 'Data Entry'!$ă$127)</f>
      </c>
      <c r="GN127">
        <f>IF(ISBLANK('Data Entry'!$Ą$127), "", 'Data Entry'!$Ą$127)</f>
      </c>
      <c r="GO127">
        <f>IF(ISBLANK('Data Entry'!$ą$127), "", 'Data Entry'!$ą$127)</f>
      </c>
      <c r="GP127">
        <f>IF(ISBLANK('Data Entry'!$Ć$127), "", 'Data Entry'!$Ć$127)</f>
      </c>
      <c r="GQ127">
        <f>IF(ISBLANK('Data Entry'!$ć$127), "", 'Data Entry'!$ć$127)</f>
      </c>
      <c r="GR127">
        <f>IF(ISBLANK('Data Entry'!$Ĉ$127), "", 'Data Entry'!$Ĉ$127)</f>
      </c>
      <c r="GS127">
        <f>IF(ISBLANK('Data Entry'!$ĉ$127), "", 'Data Entry'!$ĉ$127)</f>
      </c>
      <c r="GT127">
        <f>IF(ISBLANK('Data Entry'!$Ċ$127), "", 'Data Entry'!$Ċ$127)</f>
      </c>
      <c r="GU127">
        <f>IF(ISBLANK('Data Entry'!$ċ$127), "", 'Data Entry'!$ċ$127)</f>
      </c>
      <c r="GV127">
        <f>IF(ISBLANK('Data Entry'!$Č$127), "", 'Data Entry'!$Č$127)</f>
      </c>
      <c r="GW127">
        <f>IF(ISBLANK('Data Entry'!$č$127), "", 'Data Entry'!$č$127)</f>
      </c>
      <c r="GX127">
        <f>IF(ISBLANK('Data Entry'!$Ď$127), "", 'Data Entry'!$Ď$127)</f>
      </c>
      <c r="GY127">
        <f>IF(ISBLANK('Data Entry'!$ď$127), "", 'Data Entry'!$ď$127)</f>
      </c>
      <c r="GZ127">
        <f>IF(ISBLANK('Data Entry'!$Đ$127), "", 'Data Entry'!$Đ$127)</f>
      </c>
      <c r="HA127">
        <f>IF(ISBLANK('Data Entry'!$đ$127), "", 'Data Entry'!$đ$127)</f>
      </c>
      <c r="HB127">
        <f>IF(ISBLANK('Data Entry'!$Ē$127), "", 'Data Entry'!$Ē$127)</f>
      </c>
      <c r="HC127">
        <f>IF(ISBLANK('Data Entry'!$ē$127), "", 'Data Entry'!$ē$127)</f>
      </c>
      <c r="HD127">
        <f>IF(ISBLANK('Data Entry'!$Ĕ$127), "", 'Data Entry'!$Ĕ$127)</f>
      </c>
      <c r="HE127">
        <f>IF(ISBLANK('Data Entry'!$ĕ$127), "", 'Data Entry'!$ĕ$127)</f>
      </c>
      <c r="HF127">
        <f>IF(ISBLANK('Data Entry'!$Ė$127), "", 'Data Entry'!$Ė$127)</f>
      </c>
      <c r="HG127">
        <f>IF(ISBLANK('Data Entry'!$ė$127), "", 'Data Entry'!$ė$127)</f>
      </c>
      <c r="HH127">
        <f>IF(ISBLANK('Data Entry'!$Ę$127), "", 'Data Entry'!$Ę$127)</f>
      </c>
      <c r="HI127">
        <f>IF(ISBLANK('Data Entry'!$ę$127), "", 'Data Entry'!$ę$127)</f>
      </c>
      <c r="HJ127">
        <f>IF(ISBLANK('Data Entry'!$Ě$127), "", 'Data Entry'!$Ě$127)</f>
      </c>
      <c r="HK127">
        <f>IF(ISBLANK('Data Entry'!$ě$127), "", 'Data Entry'!$ě$127)</f>
      </c>
      <c r="HL127">
        <f>IF(ISBLANK('Data Entry'!$Ĝ$127), "", 'Data Entry'!$Ĝ$127)</f>
      </c>
      <c r="HM127">
        <f>IF(ISBLANK('Data Entry'!$ĝ$127), "", 'Data Entry'!$ĝ$127)</f>
      </c>
      <c r="HN127">
        <f>IF(ISBLANK('Data Entry'!$Ğ$127), "", 'Data Entry'!$Ğ$127)</f>
      </c>
      <c r="HO127">
        <f>IF(ISBLANK('Data Entry'!$ğ$127), "", 'Data Entry'!$ğ$127)</f>
      </c>
      <c r="HP127">
        <f>IF(ISBLANK('Data Entry'!$Ġ$127), "", 'Data Entry'!$Ġ$127)</f>
      </c>
      <c r="HQ127">
        <f>IF(ISBLANK('Data Entry'!$ġ$127), "", 'Data Entry'!$ġ$127)</f>
      </c>
      <c r="HR127">
        <f>IF(ISBLANK('Data Entry'!$Ģ$127), "", 'Data Entry'!$Ģ$127)</f>
      </c>
      <c r="HS127">
        <f>IF(ISBLANK('Data Entry'!$ģ$127), "", 'Data Entry'!$ģ$127)</f>
      </c>
      <c r="HT127">
        <f>IF(ISBLANK('Data Entry'!$Ĥ$127), "", 'Data Entry'!$Ĥ$127)</f>
      </c>
      <c r="HU127">
        <f>IF(ISBLANK('Data Entry'!$ĥ$127), "", 'Data Entry'!$ĥ$127)</f>
      </c>
      <c r="HV127">
        <f>IF(ISBLANK('Data Entry'!$Ħ$127), "", 'Data Entry'!$Ħ$127)</f>
      </c>
      <c r="HW127">
        <f>IF(ISBLANK('Data Entry'!$ħ$127), "", 'Data Entry'!$ħ$127)</f>
      </c>
      <c r="HX127">
        <f>IF(ISBLANK('Data Entry'!$Ĩ$127), "", 'Data Entry'!$Ĩ$127)</f>
      </c>
      <c r="HY127">
        <f>IF(ISBLANK('Data Entry'!$ĩ$127), "", 'Data Entry'!$ĩ$127)</f>
      </c>
      <c r="HZ127">
        <f>IF(ISBLANK('Data Entry'!$Ī$127), "", 'Data Entry'!$Ī$127)</f>
      </c>
      <c r="IA127">
        <f>IF(ISBLANK('Data Entry'!$ī$127), "", 'Data Entry'!$ī$127)</f>
      </c>
      <c r="IB127">
        <f>IF(ISBLANK('Data Entry'!$Ĭ$127), "", 'Data Entry'!$Ĭ$127)</f>
      </c>
      <c r="IC127">
        <f>IF(ISBLANK('Data Entry'!$ĭ$127), "", 'Data Entry'!$ĭ$127)</f>
      </c>
      <c r="ID127">
        <f>IF(ISBLANK('Data Entry'!$Į$127), "", 'Data Entry'!$Į$127)</f>
      </c>
      <c r="IE127">
        <f>IF(ISBLANK('Data Entry'!$į$127), "", 'Data Entry'!$į$127)</f>
      </c>
      <c r="IF127">
        <f>IF(ISBLANK('Data Entry'!$İ$127), "", 'Data Entry'!$İ$127)</f>
      </c>
      <c r="IG127">
        <f>IF(ISBLANK('Data Entry'!$ı$127), "", 'Data Entry'!$ı$127)</f>
      </c>
      <c r="IH127">
        <f>IF(ISBLANK('Data Entry'!$Ĳ$127), "", 'Data Entry'!$Ĳ$127)</f>
      </c>
      <c r="II127">
        <f>IF(ISBLANK('Data Entry'!$ĳ$127), "", 'Data Entry'!$ĳ$127)</f>
      </c>
      <c r="IJ127">
        <f>IF(ISBLANK('Data Entry'!$Ĵ$127), "", 'Data Entry'!$Ĵ$127)</f>
      </c>
      <c r="IK127">
        <f>IF(ISBLANK('Data Entry'!$ĵ$127), "", 'Data Entry'!$ĵ$127)</f>
      </c>
      <c r="IL127">
        <f>IF(ISBLANK('Data Entry'!$Ķ$127), "", 'Data Entry'!$Ķ$127)</f>
      </c>
      <c r="IM127">
        <f>IF(ISBLANK('Data Entry'!$ķ$127), "", 'Data Entry'!$ķ$127)</f>
      </c>
      <c r="IN127">
        <f>IF(ISBLANK('Data Entry'!$ĸ$127), "", 'Data Entry'!$ĸ$127)</f>
      </c>
      <c r="IO127">
        <f>IF(ISBLANK('Data Entry'!$Ĺ$127), "", 'Data Entry'!$Ĺ$127)</f>
      </c>
      <c r="IP127">
        <f>IF(ISBLANK('Data Entry'!$ĺ$127), "", 'Data Entry'!$ĺ$127)</f>
      </c>
      <c r="IQ127">
        <f>IF(ISBLANK('Data Entry'!$Ļ$127), "", 'Data Entry'!$Ļ$127)</f>
      </c>
      <c r="IR127">
        <f>IF(ISBLANK('Data Entry'!$ļ$127), "", 'Data Entry'!$ļ$127)</f>
      </c>
      <c r="IS127">
        <f>IF(ISBLANK('Data Entry'!$Ľ$127), "", 'Data Entry'!$Ľ$127)</f>
      </c>
      <c r="IT127">
        <f>IF(ISBLANK('Data Entry'!$ľ$127), "", 'Data Entry'!$ľ$127)</f>
      </c>
    </row>
    <row r="128" spans="1:254" x14ac:dyDescent="0.25">
      <c r="A128">
        <f>IF(ISBLANK('Data Entry'!$A$128), "", 'Data Entry'!$A$128)</f>
      </c>
      <c r="B128">
        <f>IF(ISBLANK('Data Entry'!$B$128), "", 'Data Entry'!$B$128)</f>
      </c>
      <c r="C128">
        <f>IF(ISBLANK('Data Entry'!$C$128), "", 'Data Entry'!$C$128)</f>
      </c>
      <c r="D128">
        <f>IF(ISBLANK('Data Entry'!$D$128), "", 'Data Entry'!$D$128)</f>
      </c>
      <c r="E128">
        <f>IF(ISBLANK('Data Entry'!$E$128), "", 'Data Entry'!$E$128)</f>
      </c>
      <c r="F128">
        <f>IF(ISBLANK('Data Entry'!$F$128), "", 'Data Entry'!$F$128)</f>
      </c>
      <c r="G128">
        <f>IF(ISBLANK('Data Entry'!$G$128), "", 'Data Entry'!$G$128)</f>
      </c>
      <c r="H128">
        <f>IF(ISBLANK('Data Entry'!$H$128), "", 'Data Entry'!$H$128)</f>
      </c>
      <c r="I128">
        <f>IF(ISBLANK('Data Entry'!$I$128), "", 'Data Entry'!$I$128)</f>
      </c>
      <c r="J128">
        <f>IF(ISBLANK('Data Entry'!$J$128), "", 'Data Entry'!$J$128)</f>
      </c>
      <c r="K128">
        <f>IF(ISBLANK('Data Entry'!$K$128), "", 'Data Entry'!$K$128)</f>
      </c>
      <c r="L128">
        <f>IF(ISBLANK('Data Entry'!$L$128), "", 'Data Entry'!$L$128)</f>
      </c>
      <c r="M128">
        <f>IF(ISBLANK('Data Entry'!$M$128), "", 'Data Entry'!$M$128)</f>
      </c>
      <c r="N128">
        <f>IF(ISBLANK('Data Entry'!$N$128), "", 'Data Entry'!$N$128)</f>
      </c>
      <c r="O128">
        <f>IF(ISBLANK('Data Entry'!$O$128), "", 'Data Entry'!$O$128)</f>
      </c>
      <c r="P128">
        <f>IF(ISBLANK('Data Entry'!$P$128), "", 'Data Entry'!$P$128)</f>
      </c>
      <c r="Q128">
        <f>IF(ISBLANK('Data Entry'!$Q$128), "", 'Data Entry'!$Q$128)</f>
      </c>
      <c r="R128">
        <f>IF(ISBLANK('Data Entry'!$R$128), "", 'Data Entry'!$R$128)</f>
      </c>
      <c r="S128">
        <f>IF(ISBLANK('Data Entry'!$S$128), "", 'Data Entry'!$S$128)</f>
      </c>
      <c r="T128">
        <f>IF(ISBLANK('Data Entry'!$T$128), "", 'Data Entry'!$T$128)</f>
      </c>
      <c r="U128">
        <f>IF(ISBLANK('Data Entry'!$U$128), "", 'Data Entry'!$U$128)</f>
      </c>
      <c r="V128">
        <f>IF(ISBLANK('Data Entry'!$V$128), "", 'Data Entry'!$V$128)</f>
      </c>
      <c r="W128">
        <f>IF(ISBLANK('Data Entry'!$W$128), "", 'Data Entry'!$W$128)</f>
      </c>
      <c r="X128">
        <f>IF(ISBLANK('Data Entry'!$X$128), "", 'Data Entry'!$X$128)</f>
      </c>
      <c r="Y128">
        <f>IF(ISBLANK('Data Entry'!$Y$128), "", 'Data Entry'!$Y$128)</f>
      </c>
      <c r="Z128">
        <f>IF(ISBLANK('Data Entry'!$Z$128), "", 'Data Entry'!$Z$128)</f>
      </c>
      <c r="AA128">
        <f>IF(ISBLANK('Data Entry'!$[$128), "", 'Data Entry'!$[$128)</f>
      </c>
      <c r="AB128">
        <f>IF(ISBLANK('Data Entry'!$\$128), "", 'Data Entry'!$\$128)</f>
      </c>
      <c r="AC128">
        <f>IF(ISBLANK('Data Entry'!$]$128), "", 'Data Entry'!$]$128)</f>
      </c>
      <c r="AD128">
        <f>IF(ISBLANK('Data Entry'!$^$128), "", 'Data Entry'!$^$128)</f>
      </c>
      <c r="AE128">
        <f>IF(ISBLANK('Data Entry'!$_$128), "", 'Data Entry'!$_$128)</f>
      </c>
      <c r="AF128">
        <f>IF(ISBLANK('Data Entry'!$`$128), "", 'Data Entry'!$`$128)</f>
      </c>
      <c r="AG128">
        <f>IF(ISBLANK('Data Entry'!$a$128), "", 'Data Entry'!$a$128)</f>
      </c>
      <c r="AH128">
        <f>IF(ISBLANK('Data Entry'!$b$128), "", 'Data Entry'!$b$128)</f>
      </c>
      <c r="AI128">
        <f>IF(ISBLANK('Data Entry'!$c$128), "", 'Data Entry'!$c$128)</f>
      </c>
      <c r="AJ128">
        <f>IF(ISBLANK('Data Entry'!$d$128), "", 'Data Entry'!$d$128)</f>
      </c>
      <c r="AK128">
        <f>IF(ISBLANK('Data Entry'!$e$128), "", 'Data Entry'!$e$128)</f>
      </c>
      <c r="AL128">
        <f>IF(ISBLANK('Data Entry'!$f$128), "", 'Data Entry'!$f$128)</f>
      </c>
      <c r="AM128">
        <f>IF(ISBLANK('Data Entry'!$g$128), "", 'Data Entry'!$g$128)</f>
      </c>
      <c r="AN128">
        <f>IF(ISBLANK('Data Entry'!$h$128), "", 'Data Entry'!$h$128)</f>
      </c>
      <c r="AO128">
        <f>IF(ISBLANK('Data Entry'!$i$128), "", 'Data Entry'!$i$128)</f>
      </c>
      <c r="AP128">
        <f>IF(ISBLANK('Data Entry'!$j$128), "", 'Data Entry'!$j$128)</f>
      </c>
      <c r="AQ128">
        <f>IF(ISBLANK('Data Entry'!$k$128), "", 'Data Entry'!$k$128)</f>
      </c>
      <c r="AR128">
        <f>IF(ISBLANK('Data Entry'!$l$128), "", 'Data Entry'!$l$128)</f>
      </c>
      <c r="AS128">
        <f>IF(ISBLANK('Data Entry'!$m$128), "", 'Data Entry'!$m$128)</f>
      </c>
      <c r="AT128">
        <f>IF(ISBLANK('Data Entry'!$n$128), "", 'Data Entry'!$n$128)</f>
      </c>
      <c r="AU128">
        <f>IF(ISBLANK('Data Entry'!$o$128), "", 'Data Entry'!$o$128)</f>
      </c>
      <c r="AV128">
        <f>IF(ISBLANK('Data Entry'!$p$128), "", 'Data Entry'!$p$128)</f>
      </c>
      <c r="AW128">
        <f>IF(ISBLANK('Data Entry'!$q$128), "", 'Data Entry'!$q$128)</f>
      </c>
      <c r="AX128">
        <f>IF(ISBLANK('Data Entry'!$r$128), "", 'Data Entry'!$r$128)</f>
      </c>
      <c r="AY128">
        <f>IF(ISBLANK('Data Entry'!$s$128), "", 'Data Entry'!$s$128)</f>
      </c>
      <c r="AZ128">
        <f>IF(ISBLANK('Data Entry'!$t$128), "", 'Data Entry'!$t$128)</f>
      </c>
      <c r="BA128">
        <f>IF(ISBLANK('Data Entry'!$u$128), "", 'Data Entry'!$u$128)</f>
      </c>
      <c r="BB128">
        <f>IF(ISBLANK('Data Entry'!$v$128), "", 'Data Entry'!$v$128)</f>
      </c>
      <c r="BC128">
        <f>IF(ISBLANK('Data Entry'!$w$128), "", 'Data Entry'!$w$128)</f>
      </c>
      <c r="BD128">
        <f>IF(ISBLANK('Data Entry'!$x$128), "", 'Data Entry'!$x$128)</f>
      </c>
      <c r="BE128">
        <f>IF(ISBLANK('Data Entry'!$y$128), "", 'Data Entry'!$y$128)</f>
      </c>
      <c r="BF128">
        <f>IF(ISBLANK('Data Entry'!$z$128), "", 'Data Entry'!$z$128)</f>
      </c>
      <c r="BG128">
        <f>IF(ISBLANK('Data Entry'!${$128), "", 'Data Entry'!${$128)</f>
      </c>
      <c r="BH128">
        <f>IF(ISBLANK('Data Entry'!$|$128), "", 'Data Entry'!$|$128)</f>
      </c>
      <c r="BI128">
        <f>IF(ISBLANK('Data Entry'!$}$128), "", 'Data Entry'!$}$128)</f>
      </c>
      <c r="BJ128">
        <f>IF(ISBLANK('Data Entry'!$~$128), "", 'Data Entry'!$~$128)</f>
      </c>
      <c r="BK128">
        <f>IF(ISBLANK('Data Entry'!$$128), "", 'Data Entry'!$$128)</f>
      </c>
      <c r="BL128">
        <f>IF(ISBLANK('Data Entry'!$$128), "", 'Data Entry'!$$128)</f>
      </c>
      <c r="BM128">
        <f>IF(ISBLANK('Data Entry'!$$128), "", 'Data Entry'!$$128)</f>
      </c>
      <c r="BN128">
        <f>IF(ISBLANK('Data Entry'!$$128), "", 'Data Entry'!$$128)</f>
      </c>
      <c r="BO128">
        <f>IF(ISBLANK('Data Entry'!$$128), "", 'Data Entry'!$$128)</f>
      </c>
      <c r="BP128">
        <f>IF(ISBLANK('Data Entry'!$$128), "", 'Data Entry'!$$128)</f>
      </c>
      <c r="BQ128">
        <f>IF(ISBLANK('Data Entry'!$$128), "", 'Data Entry'!$$128)</f>
      </c>
      <c r="BR128">
        <f>IF(ISBLANK('Data Entry'!$$128), "", 'Data Entry'!$$128)</f>
      </c>
      <c r="BS128">
        <f>IF(ISBLANK('Data Entry'!$$128), "", 'Data Entry'!$$128)</f>
      </c>
      <c r="BT128">
        <f>IF(ISBLANK('Data Entry'!$$128), "", 'Data Entry'!$$128)</f>
      </c>
      <c r="BU128">
        <f>IF(ISBLANK('Data Entry'!$$128), "", 'Data Entry'!$$128)</f>
      </c>
      <c r="BV128">
        <f>IF(ISBLANK('Data Entry'!$$128), "", 'Data Entry'!$$128)</f>
      </c>
      <c r="BW128">
        <f>IF(ISBLANK('Data Entry'!$$128), "", 'Data Entry'!$$128)</f>
      </c>
      <c r="BX128">
        <f>IF(ISBLANK('Data Entry'!$$128), "", 'Data Entry'!$$128)</f>
      </c>
      <c r="BY128">
        <f>IF(ISBLANK('Data Entry'!$$128), "", 'Data Entry'!$$128)</f>
      </c>
      <c r="BZ128">
        <f>IF(ISBLANK('Data Entry'!$$128), "", 'Data Entry'!$$128)</f>
      </c>
      <c r="CA128">
        <f>IF(ISBLANK('Data Entry'!$$128), "", 'Data Entry'!$$128)</f>
      </c>
      <c r="CB128">
        <f>IF(ISBLANK('Data Entry'!$$128), "", 'Data Entry'!$$128)</f>
      </c>
      <c r="CC128">
        <f>IF(ISBLANK('Data Entry'!$$128), "", 'Data Entry'!$$128)</f>
      </c>
      <c r="CD128">
        <f>IF(ISBLANK('Data Entry'!$$128), "", 'Data Entry'!$$128)</f>
      </c>
      <c r="CE128">
        <f>IF(ISBLANK('Data Entry'!$$128), "", 'Data Entry'!$$128)</f>
      </c>
      <c r="CF128">
        <f>IF(ISBLANK('Data Entry'!$$128), "", 'Data Entry'!$$128)</f>
      </c>
      <c r="CG128">
        <f>IF(ISBLANK('Data Entry'!$$128), "", 'Data Entry'!$$128)</f>
      </c>
      <c r="CH128">
        <f>IF(ISBLANK('Data Entry'!$$128), "", 'Data Entry'!$$128)</f>
      </c>
      <c r="CI128">
        <f>IF(ISBLANK('Data Entry'!$$128), "", 'Data Entry'!$$128)</f>
      </c>
      <c r="CJ128">
        <f>IF(ISBLANK('Data Entry'!$$128), "", 'Data Entry'!$$128)</f>
      </c>
      <c r="CK128">
        <f>IF(ISBLANK('Data Entry'!$$128), "", 'Data Entry'!$$128)</f>
      </c>
      <c r="CL128">
        <f>IF(ISBLANK('Data Entry'!$$128), "", 'Data Entry'!$$128)</f>
      </c>
      <c r="CM128">
        <f>IF(ISBLANK('Data Entry'!$$128), "", 'Data Entry'!$$128)</f>
      </c>
      <c r="CN128">
        <f>IF(ISBLANK('Data Entry'!$$128), "", 'Data Entry'!$$128)</f>
      </c>
      <c r="CO128">
        <f>IF(ISBLANK('Data Entry'!$$128), "", 'Data Entry'!$$128)</f>
      </c>
      <c r="CP128">
        <f>IF(ISBLANK('Data Entry'!$$128), "", 'Data Entry'!$$128)</f>
      </c>
      <c r="CQ128">
        <f>IF(ISBLANK('Data Entry'!$$128), "", 'Data Entry'!$$128)</f>
      </c>
      <c r="CR128">
        <f>IF(ISBLANK('Data Entry'!$ $128), "", 'Data Entry'!$ $128)</f>
      </c>
      <c r="CS128">
        <f>IF(ISBLANK('Data Entry'!$¡$128), "", 'Data Entry'!$¡$128)</f>
      </c>
      <c r="CT128">
        <f>IF(ISBLANK('Data Entry'!$¢$128), "", 'Data Entry'!$¢$128)</f>
      </c>
      <c r="CU128">
        <f>IF(ISBLANK('Data Entry'!$£$128), "", 'Data Entry'!$£$128)</f>
      </c>
      <c r="CV128">
        <f>IF(ISBLANK('Data Entry'!$¤$128), "", 'Data Entry'!$¤$128)</f>
      </c>
      <c r="CW128">
        <f>IF(ISBLANK('Data Entry'!$¥$128), "", 'Data Entry'!$¥$128)</f>
      </c>
      <c r="CX128">
        <f>IF(ISBLANK('Data Entry'!$¦$128), "", 'Data Entry'!$¦$128)</f>
      </c>
      <c r="CY128">
        <f>IF(ISBLANK('Data Entry'!$§$128), "", 'Data Entry'!$§$128)</f>
      </c>
      <c r="CZ128">
        <f>IF(ISBLANK('Data Entry'!$¨$128), "", 'Data Entry'!$¨$128)</f>
      </c>
      <c r="DA128">
        <f>IF(ISBLANK('Data Entry'!$©$128), "", 'Data Entry'!$©$128)</f>
      </c>
      <c r="DB128">
        <f>IF(ISBLANK('Data Entry'!$ª$128), "", 'Data Entry'!$ª$128)</f>
      </c>
      <c r="DC128">
        <f>IF(ISBLANK('Data Entry'!$«$128), "", 'Data Entry'!$«$128)</f>
      </c>
      <c r="DD128">
        <f>IF(ISBLANK('Data Entry'!$¬$128), "", 'Data Entry'!$¬$128)</f>
      </c>
      <c r="DE128">
        <f>IF(ISBLANK('Data Entry'!$­$128), "", 'Data Entry'!$­$128)</f>
      </c>
      <c r="DF128">
        <f>IF(ISBLANK('Data Entry'!$®$128), "", 'Data Entry'!$®$128)</f>
      </c>
      <c r="DG128">
        <f>IF(ISBLANK('Data Entry'!$¯$128), "", 'Data Entry'!$¯$128)</f>
      </c>
      <c r="DH128">
        <f>IF(ISBLANK('Data Entry'!$°$128), "", 'Data Entry'!$°$128)</f>
      </c>
      <c r="DI128">
        <f>IF(ISBLANK('Data Entry'!$±$128), "", 'Data Entry'!$±$128)</f>
      </c>
      <c r="DJ128">
        <f>IF(ISBLANK('Data Entry'!$²$128), "", 'Data Entry'!$²$128)</f>
      </c>
      <c r="DK128">
        <f>IF(ISBLANK('Data Entry'!$³$128), "", 'Data Entry'!$³$128)</f>
      </c>
      <c r="DL128">
        <f>IF(ISBLANK('Data Entry'!$´$128), "", 'Data Entry'!$´$128)</f>
      </c>
      <c r="DM128">
        <f>IF(ISBLANK('Data Entry'!$µ$128), "", 'Data Entry'!$µ$128)</f>
      </c>
      <c r="DN128">
        <f>IF(ISBLANK('Data Entry'!$¶$128), "", 'Data Entry'!$¶$128)</f>
      </c>
      <c r="DO128">
        <f>IF(ISBLANK('Data Entry'!$·$128), "", 'Data Entry'!$·$128)</f>
      </c>
      <c r="DP128">
        <f>IF(ISBLANK('Data Entry'!$¸$128), "", 'Data Entry'!$¸$128)</f>
      </c>
      <c r="DQ128">
        <f>IF(ISBLANK('Data Entry'!$¹$128), "", 'Data Entry'!$¹$128)</f>
      </c>
      <c r="DR128">
        <f>IF(ISBLANK('Data Entry'!$º$128), "", 'Data Entry'!$º$128)</f>
      </c>
      <c r="DS128">
        <f>IF(ISBLANK('Data Entry'!$»$128), "", 'Data Entry'!$»$128)</f>
      </c>
      <c r="DT128">
        <f>IF(ISBLANK('Data Entry'!$¼$128), "", 'Data Entry'!$¼$128)</f>
      </c>
      <c r="DU128">
        <f>IF(ISBLANK('Data Entry'!$½$128), "", 'Data Entry'!$½$128)</f>
      </c>
      <c r="DV128">
        <f>IF(ISBLANK('Data Entry'!$¾$128), "", 'Data Entry'!$¾$128)</f>
      </c>
      <c r="DW128">
        <f>IF(ISBLANK('Data Entry'!$¿$128), "", 'Data Entry'!$¿$128)</f>
      </c>
      <c r="DX128">
        <f>IF(ISBLANK('Data Entry'!$À$128), "", 'Data Entry'!$À$128)</f>
      </c>
      <c r="DY128">
        <f>IF(ISBLANK('Data Entry'!$Á$128), "", 'Data Entry'!$Á$128)</f>
      </c>
      <c r="DZ128">
        <f>IF(ISBLANK('Data Entry'!$Â$128), "", 'Data Entry'!$Â$128)</f>
      </c>
      <c r="EA128">
        <f>IF(ISBLANK('Data Entry'!$Ã$128), "", 'Data Entry'!$Ã$128)</f>
      </c>
      <c r="EB128">
        <f>IF(ISBLANK('Data Entry'!$Ä$128), "", 'Data Entry'!$Ä$128)</f>
      </c>
      <c r="EC128">
        <f>IF(ISBLANK('Data Entry'!$Å$128), "", 'Data Entry'!$Å$128)</f>
      </c>
      <c r="ED128">
        <f>IF(ISBLANK('Data Entry'!$Æ$128), "", 'Data Entry'!$Æ$128)</f>
      </c>
      <c r="EE128">
        <f>IF(ISBLANK('Data Entry'!$Ç$128), "", 'Data Entry'!$Ç$128)</f>
      </c>
      <c r="EF128">
        <f>IF(ISBLANK('Data Entry'!$È$128), "", 'Data Entry'!$È$128)</f>
      </c>
      <c r="EG128">
        <f>IF(ISBLANK('Data Entry'!$É$128), "", 'Data Entry'!$É$128)</f>
      </c>
      <c r="EH128">
        <f>IF(ISBLANK('Data Entry'!$Ê$128), "", 'Data Entry'!$Ê$128)</f>
      </c>
      <c r="EI128">
        <f>IF(ISBLANK('Data Entry'!$Ë$128), "", 'Data Entry'!$Ë$128)</f>
      </c>
      <c r="EJ128">
        <f>IF(ISBLANK('Data Entry'!$Ì$128), "", 'Data Entry'!$Ì$128)</f>
      </c>
      <c r="EK128">
        <f>IF(ISBLANK('Data Entry'!$Í$128), "", 'Data Entry'!$Í$128)</f>
      </c>
      <c r="EL128">
        <f>IF(ISBLANK('Data Entry'!$Î$128), "", 'Data Entry'!$Î$128)</f>
      </c>
      <c r="EM128">
        <f>IF(ISBLANK('Data Entry'!$Ï$128), "", 'Data Entry'!$Ï$128)</f>
      </c>
      <c r="EN128">
        <f>IF(ISBLANK('Data Entry'!$Ð$128), "", 'Data Entry'!$Ð$128)</f>
      </c>
      <c r="EO128">
        <f>IF(ISBLANK('Data Entry'!$Ñ$128), "", 'Data Entry'!$Ñ$128)</f>
      </c>
      <c r="EP128">
        <f>IF(ISBLANK('Data Entry'!$Ò$128), "", 'Data Entry'!$Ò$128)</f>
      </c>
      <c r="EQ128">
        <f>IF(ISBLANK('Data Entry'!$Ó$128), "", 'Data Entry'!$Ó$128)</f>
      </c>
      <c r="ER128">
        <f>IF(ISBLANK('Data Entry'!$Ô$128), "", 'Data Entry'!$Ô$128)</f>
      </c>
      <c r="ES128">
        <f>IF(ISBLANK('Data Entry'!$Õ$128), "", 'Data Entry'!$Õ$128)</f>
      </c>
      <c r="ET128">
        <f>IF(ISBLANK('Data Entry'!$Ö$128), "", 'Data Entry'!$Ö$128)</f>
      </c>
      <c r="EU128">
        <f>IF(ISBLANK('Data Entry'!$×$128), "", 'Data Entry'!$×$128)</f>
      </c>
      <c r="EV128">
        <f>IF(ISBLANK('Data Entry'!$Ø$128), "", 'Data Entry'!$Ø$128)</f>
      </c>
      <c r="EW128">
        <f>IF(ISBLANK('Data Entry'!$Ù$128), "", 'Data Entry'!$Ù$128)</f>
      </c>
      <c r="EX128">
        <f>IF(ISBLANK('Data Entry'!$Ú$128), "", 'Data Entry'!$Ú$128)</f>
      </c>
      <c r="EY128">
        <f>IF(ISBLANK('Data Entry'!$Û$128), "", 'Data Entry'!$Û$128)</f>
      </c>
      <c r="EZ128">
        <f>IF(ISBLANK('Data Entry'!$Ü$128), "", 'Data Entry'!$Ü$128)</f>
      </c>
      <c r="FA128">
        <f>IF(ISBLANK('Data Entry'!$Ý$128), "", 'Data Entry'!$Ý$128)</f>
      </c>
      <c r="FB128">
        <f>IF(ISBLANK('Data Entry'!$Þ$128), "", 'Data Entry'!$Þ$128)</f>
      </c>
      <c r="FC128">
        <f>IF(ISBLANK('Data Entry'!$ß$128), "", 'Data Entry'!$ß$128)</f>
      </c>
      <c r="FD128">
        <f>IF(ISBLANK('Data Entry'!$à$128), "", 'Data Entry'!$à$128)</f>
      </c>
      <c r="FE128">
        <f>IF(ISBLANK('Data Entry'!$á$128), "", 'Data Entry'!$á$128)</f>
      </c>
      <c r="FF128">
        <f>IF(ISBLANK('Data Entry'!$â$128), "", 'Data Entry'!$â$128)</f>
      </c>
      <c r="FG128">
        <f>IF(ISBLANK('Data Entry'!$ã$128), "", 'Data Entry'!$ã$128)</f>
      </c>
      <c r="FH128">
        <f>IF(ISBLANK('Data Entry'!$ä$128), "", 'Data Entry'!$ä$128)</f>
      </c>
      <c r="FI128">
        <f>IF(ISBLANK('Data Entry'!$å$128), "", 'Data Entry'!$å$128)</f>
      </c>
      <c r="FJ128">
        <f>IF(ISBLANK('Data Entry'!$æ$128), "", 'Data Entry'!$æ$128)</f>
      </c>
      <c r="FK128">
        <f>IF(ISBLANK('Data Entry'!$ç$128), "", 'Data Entry'!$ç$128)</f>
      </c>
      <c r="FL128">
        <f>IF(ISBLANK('Data Entry'!$è$128), "", 'Data Entry'!$è$128)</f>
      </c>
      <c r="FM128">
        <f>IF(ISBLANK('Data Entry'!$é$128), "", 'Data Entry'!$é$128)</f>
      </c>
      <c r="FN128">
        <f>IF(ISBLANK('Data Entry'!$ê$128), "", 'Data Entry'!$ê$128)</f>
      </c>
      <c r="FO128">
        <f>IF(ISBLANK('Data Entry'!$ë$128), "", 'Data Entry'!$ë$128)</f>
      </c>
      <c r="FP128">
        <f>IF(ISBLANK('Data Entry'!$ì$128), "", 'Data Entry'!$ì$128)</f>
      </c>
      <c r="FQ128">
        <f>IF(ISBLANK('Data Entry'!$í$128), "", 'Data Entry'!$í$128)</f>
      </c>
      <c r="FR128">
        <f>IF(ISBLANK('Data Entry'!$î$128), "", 'Data Entry'!$î$128)</f>
      </c>
      <c r="FS128">
        <f>IF(ISBLANK('Data Entry'!$ï$128), "", 'Data Entry'!$ï$128)</f>
      </c>
      <c r="FT128">
        <f>IF(ISBLANK('Data Entry'!$ð$128), "", 'Data Entry'!$ð$128)</f>
      </c>
      <c r="FU128">
        <f>IF(ISBLANK('Data Entry'!$ñ$128), "", 'Data Entry'!$ñ$128)</f>
      </c>
      <c r="FV128">
        <f>IF(ISBLANK('Data Entry'!$ò$128), "", 'Data Entry'!$ò$128)</f>
      </c>
      <c r="FW128">
        <f>IF(ISBLANK('Data Entry'!$ó$128), "", 'Data Entry'!$ó$128)</f>
      </c>
      <c r="FX128">
        <f>IF(ISBLANK('Data Entry'!$ô$128), "", 'Data Entry'!$ô$128)</f>
      </c>
      <c r="FY128">
        <f>IF(ISBLANK('Data Entry'!$õ$128), "", 'Data Entry'!$õ$128)</f>
      </c>
      <c r="FZ128">
        <f>IF(ISBLANK('Data Entry'!$ö$128), "", 'Data Entry'!$ö$128)</f>
      </c>
      <c r="GA128">
        <f>IF(ISBLANK('Data Entry'!$÷$128), "", 'Data Entry'!$÷$128)</f>
      </c>
      <c r="GB128">
        <f>IF(ISBLANK('Data Entry'!$ø$128), "", 'Data Entry'!$ø$128)</f>
      </c>
      <c r="GC128">
        <f>IF(ISBLANK('Data Entry'!$ù$128), "", 'Data Entry'!$ù$128)</f>
      </c>
      <c r="GD128">
        <f>IF(ISBLANK('Data Entry'!$ú$128), "", 'Data Entry'!$ú$128)</f>
      </c>
      <c r="GE128">
        <f>IF(ISBLANK('Data Entry'!$û$128), "", 'Data Entry'!$û$128)</f>
      </c>
      <c r="GF128">
        <f>IF(ISBLANK('Data Entry'!$ü$128), "", 'Data Entry'!$ü$128)</f>
      </c>
      <c r="GG128">
        <f>IF(ISBLANK('Data Entry'!$ý$128), "", 'Data Entry'!$ý$128)</f>
      </c>
      <c r="GH128">
        <f>IF(ISBLANK('Data Entry'!$þ$128), "", 'Data Entry'!$þ$128)</f>
      </c>
      <c r="GI128">
        <f>IF(ISBLANK('Data Entry'!$ÿ$128), "", 'Data Entry'!$ÿ$128)</f>
      </c>
      <c r="GJ128">
        <f>IF(ISBLANK('Data Entry'!$Ā$128), "", 'Data Entry'!$Ā$128)</f>
      </c>
      <c r="GK128">
        <f>IF(ISBLANK('Data Entry'!$ā$128), "", 'Data Entry'!$ā$128)</f>
      </c>
      <c r="GL128">
        <f>IF(ISBLANK('Data Entry'!$Ă$128), "", 'Data Entry'!$Ă$128)</f>
      </c>
      <c r="GM128">
        <f>IF(ISBLANK('Data Entry'!$ă$128), "", 'Data Entry'!$ă$128)</f>
      </c>
      <c r="GN128">
        <f>IF(ISBLANK('Data Entry'!$Ą$128), "", 'Data Entry'!$Ą$128)</f>
      </c>
      <c r="GO128">
        <f>IF(ISBLANK('Data Entry'!$ą$128), "", 'Data Entry'!$ą$128)</f>
      </c>
      <c r="GP128">
        <f>IF(ISBLANK('Data Entry'!$Ć$128), "", 'Data Entry'!$Ć$128)</f>
      </c>
      <c r="GQ128">
        <f>IF(ISBLANK('Data Entry'!$ć$128), "", 'Data Entry'!$ć$128)</f>
      </c>
      <c r="GR128">
        <f>IF(ISBLANK('Data Entry'!$Ĉ$128), "", 'Data Entry'!$Ĉ$128)</f>
      </c>
      <c r="GS128">
        <f>IF(ISBLANK('Data Entry'!$ĉ$128), "", 'Data Entry'!$ĉ$128)</f>
      </c>
      <c r="GT128">
        <f>IF(ISBLANK('Data Entry'!$Ċ$128), "", 'Data Entry'!$Ċ$128)</f>
      </c>
      <c r="GU128">
        <f>IF(ISBLANK('Data Entry'!$ċ$128), "", 'Data Entry'!$ċ$128)</f>
      </c>
      <c r="GV128">
        <f>IF(ISBLANK('Data Entry'!$Č$128), "", 'Data Entry'!$Č$128)</f>
      </c>
      <c r="GW128">
        <f>IF(ISBLANK('Data Entry'!$č$128), "", 'Data Entry'!$č$128)</f>
      </c>
      <c r="GX128">
        <f>IF(ISBLANK('Data Entry'!$Ď$128), "", 'Data Entry'!$Ď$128)</f>
      </c>
      <c r="GY128">
        <f>IF(ISBLANK('Data Entry'!$ď$128), "", 'Data Entry'!$ď$128)</f>
      </c>
      <c r="GZ128">
        <f>IF(ISBLANK('Data Entry'!$Đ$128), "", 'Data Entry'!$Đ$128)</f>
      </c>
      <c r="HA128">
        <f>IF(ISBLANK('Data Entry'!$đ$128), "", 'Data Entry'!$đ$128)</f>
      </c>
      <c r="HB128">
        <f>IF(ISBLANK('Data Entry'!$Ē$128), "", 'Data Entry'!$Ē$128)</f>
      </c>
      <c r="HC128">
        <f>IF(ISBLANK('Data Entry'!$ē$128), "", 'Data Entry'!$ē$128)</f>
      </c>
      <c r="HD128">
        <f>IF(ISBLANK('Data Entry'!$Ĕ$128), "", 'Data Entry'!$Ĕ$128)</f>
      </c>
      <c r="HE128">
        <f>IF(ISBLANK('Data Entry'!$ĕ$128), "", 'Data Entry'!$ĕ$128)</f>
      </c>
      <c r="HF128">
        <f>IF(ISBLANK('Data Entry'!$Ė$128), "", 'Data Entry'!$Ė$128)</f>
      </c>
      <c r="HG128">
        <f>IF(ISBLANK('Data Entry'!$ė$128), "", 'Data Entry'!$ė$128)</f>
      </c>
      <c r="HH128">
        <f>IF(ISBLANK('Data Entry'!$Ę$128), "", 'Data Entry'!$Ę$128)</f>
      </c>
      <c r="HI128">
        <f>IF(ISBLANK('Data Entry'!$ę$128), "", 'Data Entry'!$ę$128)</f>
      </c>
      <c r="HJ128">
        <f>IF(ISBLANK('Data Entry'!$Ě$128), "", 'Data Entry'!$Ě$128)</f>
      </c>
      <c r="HK128">
        <f>IF(ISBLANK('Data Entry'!$ě$128), "", 'Data Entry'!$ě$128)</f>
      </c>
      <c r="HL128">
        <f>IF(ISBLANK('Data Entry'!$Ĝ$128), "", 'Data Entry'!$Ĝ$128)</f>
      </c>
      <c r="HM128">
        <f>IF(ISBLANK('Data Entry'!$ĝ$128), "", 'Data Entry'!$ĝ$128)</f>
      </c>
      <c r="HN128">
        <f>IF(ISBLANK('Data Entry'!$Ğ$128), "", 'Data Entry'!$Ğ$128)</f>
      </c>
      <c r="HO128">
        <f>IF(ISBLANK('Data Entry'!$ğ$128), "", 'Data Entry'!$ğ$128)</f>
      </c>
      <c r="HP128">
        <f>IF(ISBLANK('Data Entry'!$Ġ$128), "", 'Data Entry'!$Ġ$128)</f>
      </c>
      <c r="HQ128">
        <f>IF(ISBLANK('Data Entry'!$ġ$128), "", 'Data Entry'!$ġ$128)</f>
      </c>
      <c r="HR128">
        <f>IF(ISBLANK('Data Entry'!$Ģ$128), "", 'Data Entry'!$Ģ$128)</f>
      </c>
      <c r="HS128">
        <f>IF(ISBLANK('Data Entry'!$ģ$128), "", 'Data Entry'!$ģ$128)</f>
      </c>
      <c r="HT128">
        <f>IF(ISBLANK('Data Entry'!$Ĥ$128), "", 'Data Entry'!$Ĥ$128)</f>
      </c>
      <c r="HU128">
        <f>IF(ISBLANK('Data Entry'!$ĥ$128), "", 'Data Entry'!$ĥ$128)</f>
      </c>
      <c r="HV128">
        <f>IF(ISBLANK('Data Entry'!$Ħ$128), "", 'Data Entry'!$Ħ$128)</f>
      </c>
      <c r="HW128">
        <f>IF(ISBLANK('Data Entry'!$ħ$128), "", 'Data Entry'!$ħ$128)</f>
      </c>
      <c r="HX128">
        <f>IF(ISBLANK('Data Entry'!$Ĩ$128), "", 'Data Entry'!$Ĩ$128)</f>
      </c>
      <c r="HY128">
        <f>IF(ISBLANK('Data Entry'!$ĩ$128), "", 'Data Entry'!$ĩ$128)</f>
      </c>
      <c r="HZ128">
        <f>IF(ISBLANK('Data Entry'!$Ī$128), "", 'Data Entry'!$Ī$128)</f>
      </c>
      <c r="IA128">
        <f>IF(ISBLANK('Data Entry'!$ī$128), "", 'Data Entry'!$ī$128)</f>
      </c>
      <c r="IB128">
        <f>IF(ISBLANK('Data Entry'!$Ĭ$128), "", 'Data Entry'!$Ĭ$128)</f>
      </c>
      <c r="IC128">
        <f>IF(ISBLANK('Data Entry'!$ĭ$128), "", 'Data Entry'!$ĭ$128)</f>
      </c>
      <c r="ID128">
        <f>IF(ISBLANK('Data Entry'!$Į$128), "", 'Data Entry'!$Į$128)</f>
      </c>
      <c r="IE128">
        <f>IF(ISBLANK('Data Entry'!$į$128), "", 'Data Entry'!$į$128)</f>
      </c>
      <c r="IF128">
        <f>IF(ISBLANK('Data Entry'!$İ$128), "", 'Data Entry'!$İ$128)</f>
      </c>
      <c r="IG128">
        <f>IF(ISBLANK('Data Entry'!$ı$128), "", 'Data Entry'!$ı$128)</f>
      </c>
      <c r="IH128">
        <f>IF(ISBLANK('Data Entry'!$Ĳ$128), "", 'Data Entry'!$Ĳ$128)</f>
      </c>
      <c r="II128">
        <f>IF(ISBLANK('Data Entry'!$ĳ$128), "", 'Data Entry'!$ĳ$128)</f>
      </c>
      <c r="IJ128">
        <f>IF(ISBLANK('Data Entry'!$Ĵ$128), "", 'Data Entry'!$Ĵ$128)</f>
      </c>
      <c r="IK128">
        <f>IF(ISBLANK('Data Entry'!$ĵ$128), "", 'Data Entry'!$ĵ$128)</f>
      </c>
      <c r="IL128">
        <f>IF(ISBLANK('Data Entry'!$Ķ$128), "", 'Data Entry'!$Ķ$128)</f>
      </c>
      <c r="IM128">
        <f>IF(ISBLANK('Data Entry'!$ķ$128), "", 'Data Entry'!$ķ$128)</f>
      </c>
      <c r="IN128">
        <f>IF(ISBLANK('Data Entry'!$ĸ$128), "", 'Data Entry'!$ĸ$128)</f>
      </c>
      <c r="IO128">
        <f>IF(ISBLANK('Data Entry'!$Ĺ$128), "", 'Data Entry'!$Ĺ$128)</f>
      </c>
      <c r="IP128">
        <f>IF(ISBLANK('Data Entry'!$ĺ$128), "", 'Data Entry'!$ĺ$128)</f>
      </c>
      <c r="IQ128">
        <f>IF(ISBLANK('Data Entry'!$Ļ$128), "", 'Data Entry'!$Ļ$128)</f>
      </c>
      <c r="IR128">
        <f>IF(ISBLANK('Data Entry'!$ļ$128), "", 'Data Entry'!$ļ$128)</f>
      </c>
      <c r="IS128">
        <f>IF(ISBLANK('Data Entry'!$Ľ$128), "", 'Data Entry'!$Ľ$128)</f>
      </c>
      <c r="IT128">
        <f>IF(ISBLANK('Data Entry'!$ľ$128), "", 'Data Entry'!$ľ$128)</f>
      </c>
    </row>
    <row r="129" spans="1:254" x14ac:dyDescent="0.25">
      <c r="A129">
        <f>IF(ISBLANK('Data Entry'!$A$129), "", 'Data Entry'!$A$129)</f>
      </c>
      <c r="B129">
        <f>IF(ISBLANK('Data Entry'!$B$129), "", 'Data Entry'!$B$129)</f>
      </c>
      <c r="C129">
        <f>IF(ISBLANK('Data Entry'!$C$129), "", 'Data Entry'!$C$129)</f>
      </c>
      <c r="D129">
        <f>IF(ISBLANK('Data Entry'!$D$129), "", 'Data Entry'!$D$129)</f>
      </c>
      <c r="E129">
        <f>IF(ISBLANK('Data Entry'!$E$129), "", 'Data Entry'!$E$129)</f>
      </c>
      <c r="F129">
        <f>IF(ISBLANK('Data Entry'!$F$129), "", 'Data Entry'!$F$129)</f>
      </c>
      <c r="G129">
        <f>IF(ISBLANK('Data Entry'!$G$129), "", 'Data Entry'!$G$129)</f>
      </c>
      <c r="H129">
        <f>IF(ISBLANK('Data Entry'!$H$129), "", 'Data Entry'!$H$129)</f>
      </c>
      <c r="I129">
        <f>IF(ISBLANK('Data Entry'!$I$129), "", 'Data Entry'!$I$129)</f>
      </c>
      <c r="J129">
        <f>IF(ISBLANK('Data Entry'!$J$129), "", 'Data Entry'!$J$129)</f>
      </c>
      <c r="K129">
        <f>IF(ISBLANK('Data Entry'!$K$129), "", 'Data Entry'!$K$129)</f>
      </c>
      <c r="L129">
        <f>IF(ISBLANK('Data Entry'!$L$129), "", 'Data Entry'!$L$129)</f>
      </c>
      <c r="M129">
        <f>IF(ISBLANK('Data Entry'!$M$129), "", 'Data Entry'!$M$129)</f>
      </c>
      <c r="N129">
        <f>IF(ISBLANK('Data Entry'!$N$129), "", 'Data Entry'!$N$129)</f>
      </c>
      <c r="O129">
        <f>IF(ISBLANK('Data Entry'!$O$129), "", 'Data Entry'!$O$129)</f>
      </c>
      <c r="P129">
        <f>IF(ISBLANK('Data Entry'!$P$129), "", 'Data Entry'!$P$129)</f>
      </c>
      <c r="Q129">
        <f>IF(ISBLANK('Data Entry'!$Q$129), "", 'Data Entry'!$Q$129)</f>
      </c>
      <c r="R129">
        <f>IF(ISBLANK('Data Entry'!$R$129), "", 'Data Entry'!$R$129)</f>
      </c>
      <c r="S129">
        <f>IF(ISBLANK('Data Entry'!$S$129), "", 'Data Entry'!$S$129)</f>
      </c>
      <c r="T129">
        <f>IF(ISBLANK('Data Entry'!$T$129), "", 'Data Entry'!$T$129)</f>
      </c>
      <c r="U129">
        <f>IF(ISBLANK('Data Entry'!$U$129), "", 'Data Entry'!$U$129)</f>
      </c>
      <c r="V129">
        <f>IF(ISBLANK('Data Entry'!$V$129), "", 'Data Entry'!$V$129)</f>
      </c>
      <c r="W129">
        <f>IF(ISBLANK('Data Entry'!$W$129), "", 'Data Entry'!$W$129)</f>
      </c>
      <c r="X129">
        <f>IF(ISBLANK('Data Entry'!$X$129), "", 'Data Entry'!$X$129)</f>
      </c>
      <c r="Y129">
        <f>IF(ISBLANK('Data Entry'!$Y$129), "", 'Data Entry'!$Y$129)</f>
      </c>
      <c r="Z129">
        <f>IF(ISBLANK('Data Entry'!$Z$129), "", 'Data Entry'!$Z$129)</f>
      </c>
      <c r="AA129">
        <f>IF(ISBLANK('Data Entry'!$[$129), "", 'Data Entry'!$[$129)</f>
      </c>
      <c r="AB129">
        <f>IF(ISBLANK('Data Entry'!$\$129), "", 'Data Entry'!$\$129)</f>
      </c>
      <c r="AC129">
        <f>IF(ISBLANK('Data Entry'!$]$129), "", 'Data Entry'!$]$129)</f>
      </c>
      <c r="AD129">
        <f>IF(ISBLANK('Data Entry'!$^$129), "", 'Data Entry'!$^$129)</f>
      </c>
      <c r="AE129">
        <f>IF(ISBLANK('Data Entry'!$_$129), "", 'Data Entry'!$_$129)</f>
      </c>
      <c r="AF129">
        <f>IF(ISBLANK('Data Entry'!$`$129), "", 'Data Entry'!$`$129)</f>
      </c>
      <c r="AG129">
        <f>IF(ISBLANK('Data Entry'!$a$129), "", 'Data Entry'!$a$129)</f>
      </c>
      <c r="AH129">
        <f>IF(ISBLANK('Data Entry'!$b$129), "", 'Data Entry'!$b$129)</f>
      </c>
      <c r="AI129">
        <f>IF(ISBLANK('Data Entry'!$c$129), "", 'Data Entry'!$c$129)</f>
      </c>
      <c r="AJ129">
        <f>IF(ISBLANK('Data Entry'!$d$129), "", 'Data Entry'!$d$129)</f>
      </c>
      <c r="AK129">
        <f>IF(ISBLANK('Data Entry'!$e$129), "", 'Data Entry'!$e$129)</f>
      </c>
      <c r="AL129">
        <f>IF(ISBLANK('Data Entry'!$f$129), "", 'Data Entry'!$f$129)</f>
      </c>
      <c r="AM129">
        <f>IF(ISBLANK('Data Entry'!$g$129), "", 'Data Entry'!$g$129)</f>
      </c>
      <c r="AN129">
        <f>IF(ISBLANK('Data Entry'!$h$129), "", 'Data Entry'!$h$129)</f>
      </c>
      <c r="AO129">
        <f>IF(ISBLANK('Data Entry'!$i$129), "", 'Data Entry'!$i$129)</f>
      </c>
      <c r="AP129">
        <f>IF(ISBLANK('Data Entry'!$j$129), "", 'Data Entry'!$j$129)</f>
      </c>
      <c r="AQ129">
        <f>IF(ISBLANK('Data Entry'!$k$129), "", 'Data Entry'!$k$129)</f>
      </c>
      <c r="AR129">
        <f>IF(ISBLANK('Data Entry'!$l$129), "", 'Data Entry'!$l$129)</f>
      </c>
      <c r="AS129">
        <f>IF(ISBLANK('Data Entry'!$m$129), "", 'Data Entry'!$m$129)</f>
      </c>
      <c r="AT129">
        <f>IF(ISBLANK('Data Entry'!$n$129), "", 'Data Entry'!$n$129)</f>
      </c>
      <c r="AU129">
        <f>IF(ISBLANK('Data Entry'!$o$129), "", 'Data Entry'!$o$129)</f>
      </c>
      <c r="AV129">
        <f>IF(ISBLANK('Data Entry'!$p$129), "", 'Data Entry'!$p$129)</f>
      </c>
      <c r="AW129">
        <f>IF(ISBLANK('Data Entry'!$q$129), "", 'Data Entry'!$q$129)</f>
      </c>
      <c r="AX129">
        <f>IF(ISBLANK('Data Entry'!$r$129), "", 'Data Entry'!$r$129)</f>
      </c>
      <c r="AY129">
        <f>IF(ISBLANK('Data Entry'!$s$129), "", 'Data Entry'!$s$129)</f>
      </c>
      <c r="AZ129">
        <f>IF(ISBLANK('Data Entry'!$t$129), "", 'Data Entry'!$t$129)</f>
      </c>
      <c r="BA129">
        <f>IF(ISBLANK('Data Entry'!$u$129), "", 'Data Entry'!$u$129)</f>
      </c>
      <c r="BB129">
        <f>IF(ISBLANK('Data Entry'!$v$129), "", 'Data Entry'!$v$129)</f>
      </c>
      <c r="BC129">
        <f>IF(ISBLANK('Data Entry'!$w$129), "", 'Data Entry'!$w$129)</f>
      </c>
      <c r="BD129">
        <f>IF(ISBLANK('Data Entry'!$x$129), "", 'Data Entry'!$x$129)</f>
      </c>
      <c r="BE129">
        <f>IF(ISBLANK('Data Entry'!$y$129), "", 'Data Entry'!$y$129)</f>
      </c>
      <c r="BF129">
        <f>IF(ISBLANK('Data Entry'!$z$129), "", 'Data Entry'!$z$129)</f>
      </c>
      <c r="BG129">
        <f>IF(ISBLANK('Data Entry'!${$129), "", 'Data Entry'!${$129)</f>
      </c>
      <c r="BH129">
        <f>IF(ISBLANK('Data Entry'!$|$129), "", 'Data Entry'!$|$129)</f>
      </c>
      <c r="BI129">
        <f>IF(ISBLANK('Data Entry'!$}$129), "", 'Data Entry'!$}$129)</f>
      </c>
      <c r="BJ129">
        <f>IF(ISBLANK('Data Entry'!$~$129), "", 'Data Entry'!$~$129)</f>
      </c>
      <c r="BK129">
        <f>IF(ISBLANK('Data Entry'!$$129), "", 'Data Entry'!$$129)</f>
      </c>
      <c r="BL129">
        <f>IF(ISBLANK('Data Entry'!$$129), "", 'Data Entry'!$$129)</f>
      </c>
      <c r="BM129">
        <f>IF(ISBLANK('Data Entry'!$$129), "", 'Data Entry'!$$129)</f>
      </c>
      <c r="BN129">
        <f>IF(ISBLANK('Data Entry'!$$129), "", 'Data Entry'!$$129)</f>
      </c>
      <c r="BO129">
        <f>IF(ISBLANK('Data Entry'!$$129), "", 'Data Entry'!$$129)</f>
      </c>
      <c r="BP129">
        <f>IF(ISBLANK('Data Entry'!$$129), "", 'Data Entry'!$$129)</f>
      </c>
      <c r="BQ129">
        <f>IF(ISBLANK('Data Entry'!$$129), "", 'Data Entry'!$$129)</f>
      </c>
      <c r="BR129">
        <f>IF(ISBLANK('Data Entry'!$$129), "", 'Data Entry'!$$129)</f>
      </c>
      <c r="BS129">
        <f>IF(ISBLANK('Data Entry'!$$129), "", 'Data Entry'!$$129)</f>
      </c>
      <c r="BT129">
        <f>IF(ISBLANK('Data Entry'!$$129), "", 'Data Entry'!$$129)</f>
      </c>
      <c r="BU129">
        <f>IF(ISBLANK('Data Entry'!$$129), "", 'Data Entry'!$$129)</f>
      </c>
      <c r="BV129">
        <f>IF(ISBLANK('Data Entry'!$$129), "", 'Data Entry'!$$129)</f>
      </c>
      <c r="BW129">
        <f>IF(ISBLANK('Data Entry'!$$129), "", 'Data Entry'!$$129)</f>
      </c>
      <c r="BX129">
        <f>IF(ISBLANK('Data Entry'!$$129), "", 'Data Entry'!$$129)</f>
      </c>
      <c r="BY129">
        <f>IF(ISBLANK('Data Entry'!$$129), "", 'Data Entry'!$$129)</f>
      </c>
      <c r="BZ129">
        <f>IF(ISBLANK('Data Entry'!$$129), "", 'Data Entry'!$$129)</f>
      </c>
      <c r="CA129">
        <f>IF(ISBLANK('Data Entry'!$$129), "", 'Data Entry'!$$129)</f>
      </c>
      <c r="CB129">
        <f>IF(ISBLANK('Data Entry'!$$129), "", 'Data Entry'!$$129)</f>
      </c>
      <c r="CC129">
        <f>IF(ISBLANK('Data Entry'!$$129), "", 'Data Entry'!$$129)</f>
      </c>
      <c r="CD129">
        <f>IF(ISBLANK('Data Entry'!$$129), "", 'Data Entry'!$$129)</f>
      </c>
      <c r="CE129">
        <f>IF(ISBLANK('Data Entry'!$$129), "", 'Data Entry'!$$129)</f>
      </c>
      <c r="CF129">
        <f>IF(ISBLANK('Data Entry'!$$129), "", 'Data Entry'!$$129)</f>
      </c>
      <c r="CG129">
        <f>IF(ISBLANK('Data Entry'!$$129), "", 'Data Entry'!$$129)</f>
      </c>
      <c r="CH129">
        <f>IF(ISBLANK('Data Entry'!$$129), "", 'Data Entry'!$$129)</f>
      </c>
      <c r="CI129">
        <f>IF(ISBLANK('Data Entry'!$$129), "", 'Data Entry'!$$129)</f>
      </c>
      <c r="CJ129">
        <f>IF(ISBLANK('Data Entry'!$$129), "", 'Data Entry'!$$129)</f>
      </c>
      <c r="CK129">
        <f>IF(ISBLANK('Data Entry'!$$129), "", 'Data Entry'!$$129)</f>
      </c>
      <c r="CL129">
        <f>IF(ISBLANK('Data Entry'!$$129), "", 'Data Entry'!$$129)</f>
      </c>
      <c r="CM129">
        <f>IF(ISBLANK('Data Entry'!$$129), "", 'Data Entry'!$$129)</f>
      </c>
      <c r="CN129">
        <f>IF(ISBLANK('Data Entry'!$$129), "", 'Data Entry'!$$129)</f>
      </c>
      <c r="CO129">
        <f>IF(ISBLANK('Data Entry'!$$129), "", 'Data Entry'!$$129)</f>
      </c>
      <c r="CP129">
        <f>IF(ISBLANK('Data Entry'!$$129), "", 'Data Entry'!$$129)</f>
      </c>
      <c r="CQ129">
        <f>IF(ISBLANK('Data Entry'!$$129), "", 'Data Entry'!$$129)</f>
      </c>
      <c r="CR129">
        <f>IF(ISBLANK('Data Entry'!$ $129), "", 'Data Entry'!$ $129)</f>
      </c>
      <c r="CS129">
        <f>IF(ISBLANK('Data Entry'!$¡$129), "", 'Data Entry'!$¡$129)</f>
      </c>
      <c r="CT129">
        <f>IF(ISBLANK('Data Entry'!$¢$129), "", 'Data Entry'!$¢$129)</f>
      </c>
      <c r="CU129">
        <f>IF(ISBLANK('Data Entry'!$£$129), "", 'Data Entry'!$£$129)</f>
      </c>
      <c r="CV129">
        <f>IF(ISBLANK('Data Entry'!$¤$129), "", 'Data Entry'!$¤$129)</f>
      </c>
      <c r="CW129">
        <f>IF(ISBLANK('Data Entry'!$¥$129), "", 'Data Entry'!$¥$129)</f>
      </c>
      <c r="CX129">
        <f>IF(ISBLANK('Data Entry'!$¦$129), "", 'Data Entry'!$¦$129)</f>
      </c>
      <c r="CY129">
        <f>IF(ISBLANK('Data Entry'!$§$129), "", 'Data Entry'!$§$129)</f>
      </c>
      <c r="CZ129">
        <f>IF(ISBLANK('Data Entry'!$¨$129), "", 'Data Entry'!$¨$129)</f>
      </c>
      <c r="DA129">
        <f>IF(ISBLANK('Data Entry'!$©$129), "", 'Data Entry'!$©$129)</f>
      </c>
      <c r="DB129">
        <f>IF(ISBLANK('Data Entry'!$ª$129), "", 'Data Entry'!$ª$129)</f>
      </c>
      <c r="DC129">
        <f>IF(ISBLANK('Data Entry'!$«$129), "", 'Data Entry'!$«$129)</f>
      </c>
      <c r="DD129">
        <f>IF(ISBLANK('Data Entry'!$¬$129), "", 'Data Entry'!$¬$129)</f>
      </c>
      <c r="DE129">
        <f>IF(ISBLANK('Data Entry'!$­$129), "", 'Data Entry'!$­$129)</f>
      </c>
      <c r="DF129">
        <f>IF(ISBLANK('Data Entry'!$®$129), "", 'Data Entry'!$®$129)</f>
      </c>
      <c r="DG129">
        <f>IF(ISBLANK('Data Entry'!$¯$129), "", 'Data Entry'!$¯$129)</f>
      </c>
      <c r="DH129">
        <f>IF(ISBLANK('Data Entry'!$°$129), "", 'Data Entry'!$°$129)</f>
      </c>
      <c r="DI129">
        <f>IF(ISBLANK('Data Entry'!$±$129), "", 'Data Entry'!$±$129)</f>
      </c>
      <c r="DJ129">
        <f>IF(ISBLANK('Data Entry'!$²$129), "", 'Data Entry'!$²$129)</f>
      </c>
      <c r="DK129">
        <f>IF(ISBLANK('Data Entry'!$³$129), "", 'Data Entry'!$³$129)</f>
      </c>
      <c r="DL129">
        <f>IF(ISBLANK('Data Entry'!$´$129), "", 'Data Entry'!$´$129)</f>
      </c>
      <c r="DM129">
        <f>IF(ISBLANK('Data Entry'!$µ$129), "", 'Data Entry'!$µ$129)</f>
      </c>
      <c r="DN129">
        <f>IF(ISBLANK('Data Entry'!$¶$129), "", 'Data Entry'!$¶$129)</f>
      </c>
      <c r="DO129">
        <f>IF(ISBLANK('Data Entry'!$·$129), "", 'Data Entry'!$·$129)</f>
      </c>
      <c r="DP129">
        <f>IF(ISBLANK('Data Entry'!$¸$129), "", 'Data Entry'!$¸$129)</f>
      </c>
      <c r="DQ129">
        <f>IF(ISBLANK('Data Entry'!$¹$129), "", 'Data Entry'!$¹$129)</f>
      </c>
      <c r="DR129">
        <f>IF(ISBLANK('Data Entry'!$º$129), "", 'Data Entry'!$º$129)</f>
      </c>
      <c r="DS129">
        <f>IF(ISBLANK('Data Entry'!$»$129), "", 'Data Entry'!$»$129)</f>
      </c>
      <c r="DT129">
        <f>IF(ISBLANK('Data Entry'!$¼$129), "", 'Data Entry'!$¼$129)</f>
      </c>
      <c r="DU129">
        <f>IF(ISBLANK('Data Entry'!$½$129), "", 'Data Entry'!$½$129)</f>
      </c>
      <c r="DV129">
        <f>IF(ISBLANK('Data Entry'!$¾$129), "", 'Data Entry'!$¾$129)</f>
      </c>
      <c r="DW129">
        <f>IF(ISBLANK('Data Entry'!$¿$129), "", 'Data Entry'!$¿$129)</f>
      </c>
      <c r="DX129">
        <f>IF(ISBLANK('Data Entry'!$À$129), "", 'Data Entry'!$À$129)</f>
      </c>
      <c r="DY129">
        <f>IF(ISBLANK('Data Entry'!$Á$129), "", 'Data Entry'!$Á$129)</f>
      </c>
      <c r="DZ129">
        <f>IF(ISBLANK('Data Entry'!$Â$129), "", 'Data Entry'!$Â$129)</f>
      </c>
      <c r="EA129">
        <f>IF(ISBLANK('Data Entry'!$Ã$129), "", 'Data Entry'!$Ã$129)</f>
      </c>
      <c r="EB129">
        <f>IF(ISBLANK('Data Entry'!$Ä$129), "", 'Data Entry'!$Ä$129)</f>
      </c>
      <c r="EC129">
        <f>IF(ISBLANK('Data Entry'!$Å$129), "", 'Data Entry'!$Å$129)</f>
      </c>
      <c r="ED129">
        <f>IF(ISBLANK('Data Entry'!$Æ$129), "", 'Data Entry'!$Æ$129)</f>
      </c>
      <c r="EE129">
        <f>IF(ISBLANK('Data Entry'!$Ç$129), "", 'Data Entry'!$Ç$129)</f>
      </c>
      <c r="EF129">
        <f>IF(ISBLANK('Data Entry'!$È$129), "", 'Data Entry'!$È$129)</f>
      </c>
      <c r="EG129">
        <f>IF(ISBLANK('Data Entry'!$É$129), "", 'Data Entry'!$É$129)</f>
      </c>
      <c r="EH129">
        <f>IF(ISBLANK('Data Entry'!$Ê$129), "", 'Data Entry'!$Ê$129)</f>
      </c>
      <c r="EI129">
        <f>IF(ISBLANK('Data Entry'!$Ë$129), "", 'Data Entry'!$Ë$129)</f>
      </c>
      <c r="EJ129">
        <f>IF(ISBLANK('Data Entry'!$Ì$129), "", 'Data Entry'!$Ì$129)</f>
      </c>
      <c r="EK129">
        <f>IF(ISBLANK('Data Entry'!$Í$129), "", 'Data Entry'!$Í$129)</f>
      </c>
      <c r="EL129">
        <f>IF(ISBLANK('Data Entry'!$Î$129), "", 'Data Entry'!$Î$129)</f>
      </c>
      <c r="EM129">
        <f>IF(ISBLANK('Data Entry'!$Ï$129), "", 'Data Entry'!$Ï$129)</f>
      </c>
      <c r="EN129">
        <f>IF(ISBLANK('Data Entry'!$Ð$129), "", 'Data Entry'!$Ð$129)</f>
      </c>
      <c r="EO129">
        <f>IF(ISBLANK('Data Entry'!$Ñ$129), "", 'Data Entry'!$Ñ$129)</f>
      </c>
      <c r="EP129">
        <f>IF(ISBLANK('Data Entry'!$Ò$129), "", 'Data Entry'!$Ò$129)</f>
      </c>
      <c r="EQ129">
        <f>IF(ISBLANK('Data Entry'!$Ó$129), "", 'Data Entry'!$Ó$129)</f>
      </c>
      <c r="ER129">
        <f>IF(ISBLANK('Data Entry'!$Ô$129), "", 'Data Entry'!$Ô$129)</f>
      </c>
      <c r="ES129">
        <f>IF(ISBLANK('Data Entry'!$Õ$129), "", 'Data Entry'!$Õ$129)</f>
      </c>
      <c r="ET129">
        <f>IF(ISBLANK('Data Entry'!$Ö$129), "", 'Data Entry'!$Ö$129)</f>
      </c>
      <c r="EU129">
        <f>IF(ISBLANK('Data Entry'!$×$129), "", 'Data Entry'!$×$129)</f>
      </c>
      <c r="EV129">
        <f>IF(ISBLANK('Data Entry'!$Ø$129), "", 'Data Entry'!$Ø$129)</f>
      </c>
      <c r="EW129">
        <f>IF(ISBLANK('Data Entry'!$Ù$129), "", 'Data Entry'!$Ù$129)</f>
      </c>
      <c r="EX129">
        <f>IF(ISBLANK('Data Entry'!$Ú$129), "", 'Data Entry'!$Ú$129)</f>
      </c>
      <c r="EY129">
        <f>IF(ISBLANK('Data Entry'!$Û$129), "", 'Data Entry'!$Û$129)</f>
      </c>
      <c r="EZ129">
        <f>IF(ISBLANK('Data Entry'!$Ü$129), "", 'Data Entry'!$Ü$129)</f>
      </c>
      <c r="FA129">
        <f>IF(ISBLANK('Data Entry'!$Ý$129), "", 'Data Entry'!$Ý$129)</f>
      </c>
      <c r="FB129">
        <f>IF(ISBLANK('Data Entry'!$Þ$129), "", 'Data Entry'!$Þ$129)</f>
      </c>
      <c r="FC129">
        <f>IF(ISBLANK('Data Entry'!$ß$129), "", 'Data Entry'!$ß$129)</f>
      </c>
      <c r="FD129">
        <f>IF(ISBLANK('Data Entry'!$à$129), "", 'Data Entry'!$à$129)</f>
      </c>
      <c r="FE129">
        <f>IF(ISBLANK('Data Entry'!$á$129), "", 'Data Entry'!$á$129)</f>
      </c>
      <c r="FF129">
        <f>IF(ISBLANK('Data Entry'!$â$129), "", 'Data Entry'!$â$129)</f>
      </c>
      <c r="FG129">
        <f>IF(ISBLANK('Data Entry'!$ã$129), "", 'Data Entry'!$ã$129)</f>
      </c>
      <c r="FH129">
        <f>IF(ISBLANK('Data Entry'!$ä$129), "", 'Data Entry'!$ä$129)</f>
      </c>
      <c r="FI129">
        <f>IF(ISBLANK('Data Entry'!$å$129), "", 'Data Entry'!$å$129)</f>
      </c>
      <c r="FJ129">
        <f>IF(ISBLANK('Data Entry'!$æ$129), "", 'Data Entry'!$æ$129)</f>
      </c>
      <c r="FK129">
        <f>IF(ISBLANK('Data Entry'!$ç$129), "", 'Data Entry'!$ç$129)</f>
      </c>
      <c r="FL129">
        <f>IF(ISBLANK('Data Entry'!$è$129), "", 'Data Entry'!$è$129)</f>
      </c>
      <c r="FM129">
        <f>IF(ISBLANK('Data Entry'!$é$129), "", 'Data Entry'!$é$129)</f>
      </c>
      <c r="FN129">
        <f>IF(ISBLANK('Data Entry'!$ê$129), "", 'Data Entry'!$ê$129)</f>
      </c>
      <c r="FO129">
        <f>IF(ISBLANK('Data Entry'!$ë$129), "", 'Data Entry'!$ë$129)</f>
      </c>
      <c r="FP129">
        <f>IF(ISBLANK('Data Entry'!$ì$129), "", 'Data Entry'!$ì$129)</f>
      </c>
      <c r="FQ129">
        <f>IF(ISBLANK('Data Entry'!$í$129), "", 'Data Entry'!$í$129)</f>
      </c>
      <c r="FR129">
        <f>IF(ISBLANK('Data Entry'!$î$129), "", 'Data Entry'!$î$129)</f>
      </c>
      <c r="FS129">
        <f>IF(ISBLANK('Data Entry'!$ï$129), "", 'Data Entry'!$ï$129)</f>
      </c>
      <c r="FT129">
        <f>IF(ISBLANK('Data Entry'!$ð$129), "", 'Data Entry'!$ð$129)</f>
      </c>
      <c r="FU129">
        <f>IF(ISBLANK('Data Entry'!$ñ$129), "", 'Data Entry'!$ñ$129)</f>
      </c>
      <c r="FV129">
        <f>IF(ISBLANK('Data Entry'!$ò$129), "", 'Data Entry'!$ò$129)</f>
      </c>
      <c r="FW129">
        <f>IF(ISBLANK('Data Entry'!$ó$129), "", 'Data Entry'!$ó$129)</f>
      </c>
      <c r="FX129">
        <f>IF(ISBLANK('Data Entry'!$ô$129), "", 'Data Entry'!$ô$129)</f>
      </c>
      <c r="FY129">
        <f>IF(ISBLANK('Data Entry'!$õ$129), "", 'Data Entry'!$õ$129)</f>
      </c>
      <c r="FZ129">
        <f>IF(ISBLANK('Data Entry'!$ö$129), "", 'Data Entry'!$ö$129)</f>
      </c>
      <c r="GA129">
        <f>IF(ISBLANK('Data Entry'!$÷$129), "", 'Data Entry'!$÷$129)</f>
      </c>
      <c r="GB129">
        <f>IF(ISBLANK('Data Entry'!$ø$129), "", 'Data Entry'!$ø$129)</f>
      </c>
      <c r="GC129">
        <f>IF(ISBLANK('Data Entry'!$ù$129), "", 'Data Entry'!$ù$129)</f>
      </c>
      <c r="GD129">
        <f>IF(ISBLANK('Data Entry'!$ú$129), "", 'Data Entry'!$ú$129)</f>
      </c>
      <c r="GE129">
        <f>IF(ISBLANK('Data Entry'!$û$129), "", 'Data Entry'!$û$129)</f>
      </c>
      <c r="GF129">
        <f>IF(ISBLANK('Data Entry'!$ü$129), "", 'Data Entry'!$ü$129)</f>
      </c>
      <c r="GG129">
        <f>IF(ISBLANK('Data Entry'!$ý$129), "", 'Data Entry'!$ý$129)</f>
      </c>
      <c r="GH129">
        <f>IF(ISBLANK('Data Entry'!$þ$129), "", 'Data Entry'!$þ$129)</f>
      </c>
      <c r="GI129">
        <f>IF(ISBLANK('Data Entry'!$ÿ$129), "", 'Data Entry'!$ÿ$129)</f>
      </c>
      <c r="GJ129">
        <f>IF(ISBLANK('Data Entry'!$Ā$129), "", 'Data Entry'!$Ā$129)</f>
      </c>
      <c r="GK129">
        <f>IF(ISBLANK('Data Entry'!$ā$129), "", 'Data Entry'!$ā$129)</f>
      </c>
      <c r="GL129">
        <f>IF(ISBLANK('Data Entry'!$Ă$129), "", 'Data Entry'!$Ă$129)</f>
      </c>
      <c r="GM129">
        <f>IF(ISBLANK('Data Entry'!$ă$129), "", 'Data Entry'!$ă$129)</f>
      </c>
      <c r="GN129">
        <f>IF(ISBLANK('Data Entry'!$Ą$129), "", 'Data Entry'!$Ą$129)</f>
      </c>
      <c r="GO129">
        <f>IF(ISBLANK('Data Entry'!$ą$129), "", 'Data Entry'!$ą$129)</f>
      </c>
      <c r="GP129">
        <f>IF(ISBLANK('Data Entry'!$Ć$129), "", 'Data Entry'!$Ć$129)</f>
      </c>
      <c r="GQ129">
        <f>IF(ISBLANK('Data Entry'!$ć$129), "", 'Data Entry'!$ć$129)</f>
      </c>
      <c r="GR129">
        <f>IF(ISBLANK('Data Entry'!$Ĉ$129), "", 'Data Entry'!$Ĉ$129)</f>
      </c>
      <c r="GS129">
        <f>IF(ISBLANK('Data Entry'!$ĉ$129), "", 'Data Entry'!$ĉ$129)</f>
      </c>
      <c r="GT129">
        <f>IF(ISBLANK('Data Entry'!$Ċ$129), "", 'Data Entry'!$Ċ$129)</f>
      </c>
      <c r="GU129">
        <f>IF(ISBLANK('Data Entry'!$ċ$129), "", 'Data Entry'!$ċ$129)</f>
      </c>
      <c r="GV129">
        <f>IF(ISBLANK('Data Entry'!$Č$129), "", 'Data Entry'!$Č$129)</f>
      </c>
      <c r="GW129">
        <f>IF(ISBLANK('Data Entry'!$č$129), "", 'Data Entry'!$č$129)</f>
      </c>
      <c r="GX129">
        <f>IF(ISBLANK('Data Entry'!$Ď$129), "", 'Data Entry'!$Ď$129)</f>
      </c>
      <c r="GY129">
        <f>IF(ISBLANK('Data Entry'!$ď$129), "", 'Data Entry'!$ď$129)</f>
      </c>
      <c r="GZ129">
        <f>IF(ISBLANK('Data Entry'!$Đ$129), "", 'Data Entry'!$Đ$129)</f>
      </c>
      <c r="HA129">
        <f>IF(ISBLANK('Data Entry'!$đ$129), "", 'Data Entry'!$đ$129)</f>
      </c>
      <c r="HB129">
        <f>IF(ISBLANK('Data Entry'!$Ē$129), "", 'Data Entry'!$Ē$129)</f>
      </c>
      <c r="HC129">
        <f>IF(ISBLANK('Data Entry'!$ē$129), "", 'Data Entry'!$ē$129)</f>
      </c>
      <c r="HD129">
        <f>IF(ISBLANK('Data Entry'!$Ĕ$129), "", 'Data Entry'!$Ĕ$129)</f>
      </c>
      <c r="HE129">
        <f>IF(ISBLANK('Data Entry'!$ĕ$129), "", 'Data Entry'!$ĕ$129)</f>
      </c>
      <c r="HF129">
        <f>IF(ISBLANK('Data Entry'!$Ė$129), "", 'Data Entry'!$Ė$129)</f>
      </c>
      <c r="HG129">
        <f>IF(ISBLANK('Data Entry'!$ė$129), "", 'Data Entry'!$ė$129)</f>
      </c>
      <c r="HH129">
        <f>IF(ISBLANK('Data Entry'!$Ę$129), "", 'Data Entry'!$Ę$129)</f>
      </c>
      <c r="HI129">
        <f>IF(ISBLANK('Data Entry'!$ę$129), "", 'Data Entry'!$ę$129)</f>
      </c>
      <c r="HJ129">
        <f>IF(ISBLANK('Data Entry'!$Ě$129), "", 'Data Entry'!$Ě$129)</f>
      </c>
      <c r="HK129">
        <f>IF(ISBLANK('Data Entry'!$ě$129), "", 'Data Entry'!$ě$129)</f>
      </c>
      <c r="HL129">
        <f>IF(ISBLANK('Data Entry'!$Ĝ$129), "", 'Data Entry'!$Ĝ$129)</f>
      </c>
      <c r="HM129">
        <f>IF(ISBLANK('Data Entry'!$ĝ$129), "", 'Data Entry'!$ĝ$129)</f>
      </c>
      <c r="HN129">
        <f>IF(ISBLANK('Data Entry'!$Ğ$129), "", 'Data Entry'!$Ğ$129)</f>
      </c>
      <c r="HO129">
        <f>IF(ISBLANK('Data Entry'!$ğ$129), "", 'Data Entry'!$ğ$129)</f>
      </c>
      <c r="HP129">
        <f>IF(ISBLANK('Data Entry'!$Ġ$129), "", 'Data Entry'!$Ġ$129)</f>
      </c>
      <c r="HQ129">
        <f>IF(ISBLANK('Data Entry'!$ġ$129), "", 'Data Entry'!$ġ$129)</f>
      </c>
      <c r="HR129">
        <f>IF(ISBLANK('Data Entry'!$Ģ$129), "", 'Data Entry'!$Ģ$129)</f>
      </c>
      <c r="HS129">
        <f>IF(ISBLANK('Data Entry'!$ģ$129), "", 'Data Entry'!$ģ$129)</f>
      </c>
      <c r="HT129">
        <f>IF(ISBLANK('Data Entry'!$Ĥ$129), "", 'Data Entry'!$Ĥ$129)</f>
      </c>
      <c r="HU129">
        <f>IF(ISBLANK('Data Entry'!$ĥ$129), "", 'Data Entry'!$ĥ$129)</f>
      </c>
      <c r="HV129">
        <f>IF(ISBLANK('Data Entry'!$Ħ$129), "", 'Data Entry'!$Ħ$129)</f>
      </c>
      <c r="HW129">
        <f>IF(ISBLANK('Data Entry'!$ħ$129), "", 'Data Entry'!$ħ$129)</f>
      </c>
      <c r="HX129">
        <f>IF(ISBLANK('Data Entry'!$Ĩ$129), "", 'Data Entry'!$Ĩ$129)</f>
      </c>
      <c r="HY129">
        <f>IF(ISBLANK('Data Entry'!$ĩ$129), "", 'Data Entry'!$ĩ$129)</f>
      </c>
      <c r="HZ129">
        <f>IF(ISBLANK('Data Entry'!$Ī$129), "", 'Data Entry'!$Ī$129)</f>
      </c>
      <c r="IA129">
        <f>IF(ISBLANK('Data Entry'!$ī$129), "", 'Data Entry'!$ī$129)</f>
      </c>
      <c r="IB129">
        <f>IF(ISBLANK('Data Entry'!$Ĭ$129), "", 'Data Entry'!$Ĭ$129)</f>
      </c>
      <c r="IC129">
        <f>IF(ISBLANK('Data Entry'!$ĭ$129), "", 'Data Entry'!$ĭ$129)</f>
      </c>
      <c r="ID129">
        <f>IF(ISBLANK('Data Entry'!$Į$129), "", 'Data Entry'!$Į$129)</f>
      </c>
      <c r="IE129">
        <f>IF(ISBLANK('Data Entry'!$į$129), "", 'Data Entry'!$į$129)</f>
      </c>
      <c r="IF129">
        <f>IF(ISBLANK('Data Entry'!$İ$129), "", 'Data Entry'!$İ$129)</f>
      </c>
      <c r="IG129">
        <f>IF(ISBLANK('Data Entry'!$ı$129), "", 'Data Entry'!$ı$129)</f>
      </c>
      <c r="IH129">
        <f>IF(ISBLANK('Data Entry'!$Ĳ$129), "", 'Data Entry'!$Ĳ$129)</f>
      </c>
      <c r="II129">
        <f>IF(ISBLANK('Data Entry'!$ĳ$129), "", 'Data Entry'!$ĳ$129)</f>
      </c>
      <c r="IJ129">
        <f>IF(ISBLANK('Data Entry'!$Ĵ$129), "", 'Data Entry'!$Ĵ$129)</f>
      </c>
      <c r="IK129">
        <f>IF(ISBLANK('Data Entry'!$ĵ$129), "", 'Data Entry'!$ĵ$129)</f>
      </c>
      <c r="IL129">
        <f>IF(ISBLANK('Data Entry'!$Ķ$129), "", 'Data Entry'!$Ķ$129)</f>
      </c>
      <c r="IM129">
        <f>IF(ISBLANK('Data Entry'!$ķ$129), "", 'Data Entry'!$ķ$129)</f>
      </c>
      <c r="IN129">
        <f>IF(ISBLANK('Data Entry'!$ĸ$129), "", 'Data Entry'!$ĸ$129)</f>
      </c>
      <c r="IO129">
        <f>IF(ISBLANK('Data Entry'!$Ĺ$129), "", 'Data Entry'!$Ĺ$129)</f>
      </c>
      <c r="IP129">
        <f>IF(ISBLANK('Data Entry'!$ĺ$129), "", 'Data Entry'!$ĺ$129)</f>
      </c>
      <c r="IQ129">
        <f>IF(ISBLANK('Data Entry'!$Ļ$129), "", 'Data Entry'!$Ļ$129)</f>
      </c>
      <c r="IR129">
        <f>IF(ISBLANK('Data Entry'!$ļ$129), "", 'Data Entry'!$ļ$129)</f>
      </c>
      <c r="IS129">
        <f>IF(ISBLANK('Data Entry'!$Ľ$129), "", 'Data Entry'!$Ľ$129)</f>
      </c>
      <c r="IT129">
        <f>IF(ISBLANK('Data Entry'!$ľ$129), "", 'Data Entry'!$ľ$129)</f>
      </c>
    </row>
    <row r="130" spans="1:254" x14ac:dyDescent="0.25">
      <c r="A130">
        <f>IF(ISBLANK('Data Entry'!$A$130), "", 'Data Entry'!$A$130)</f>
      </c>
      <c r="B130">
        <f>IF(ISBLANK('Data Entry'!$B$130), "", 'Data Entry'!$B$130)</f>
      </c>
      <c r="C130">
        <f>IF(ISBLANK('Data Entry'!$C$130), "", 'Data Entry'!$C$130)</f>
      </c>
      <c r="D130">
        <f>IF(ISBLANK('Data Entry'!$D$130), "", 'Data Entry'!$D$130)</f>
      </c>
      <c r="E130">
        <f>IF(ISBLANK('Data Entry'!$E$130), "", 'Data Entry'!$E$130)</f>
      </c>
      <c r="F130">
        <f>IF(ISBLANK('Data Entry'!$F$130), "", 'Data Entry'!$F$130)</f>
      </c>
      <c r="G130">
        <f>IF(ISBLANK('Data Entry'!$G$130), "", 'Data Entry'!$G$130)</f>
      </c>
      <c r="H130">
        <f>IF(ISBLANK('Data Entry'!$H$130), "", 'Data Entry'!$H$130)</f>
      </c>
      <c r="I130">
        <f>IF(ISBLANK('Data Entry'!$I$130), "", 'Data Entry'!$I$130)</f>
      </c>
      <c r="J130">
        <f>IF(ISBLANK('Data Entry'!$J$130), "", 'Data Entry'!$J$130)</f>
      </c>
      <c r="K130">
        <f>IF(ISBLANK('Data Entry'!$K$130), "", 'Data Entry'!$K$130)</f>
      </c>
      <c r="L130">
        <f>IF(ISBLANK('Data Entry'!$L$130), "", 'Data Entry'!$L$130)</f>
      </c>
      <c r="M130">
        <f>IF(ISBLANK('Data Entry'!$M$130), "", 'Data Entry'!$M$130)</f>
      </c>
      <c r="N130">
        <f>IF(ISBLANK('Data Entry'!$N$130), "", 'Data Entry'!$N$130)</f>
      </c>
      <c r="O130">
        <f>IF(ISBLANK('Data Entry'!$O$130), "", 'Data Entry'!$O$130)</f>
      </c>
      <c r="P130">
        <f>IF(ISBLANK('Data Entry'!$P$130), "", 'Data Entry'!$P$130)</f>
      </c>
      <c r="Q130">
        <f>IF(ISBLANK('Data Entry'!$Q$130), "", 'Data Entry'!$Q$130)</f>
      </c>
      <c r="R130">
        <f>IF(ISBLANK('Data Entry'!$R$130), "", 'Data Entry'!$R$130)</f>
      </c>
      <c r="S130">
        <f>IF(ISBLANK('Data Entry'!$S$130), "", 'Data Entry'!$S$130)</f>
      </c>
      <c r="T130">
        <f>IF(ISBLANK('Data Entry'!$T$130), "", 'Data Entry'!$T$130)</f>
      </c>
      <c r="U130">
        <f>IF(ISBLANK('Data Entry'!$U$130), "", 'Data Entry'!$U$130)</f>
      </c>
      <c r="V130">
        <f>IF(ISBLANK('Data Entry'!$V$130), "", 'Data Entry'!$V$130)</f>
      </c>
      <c r="W130">
        <f>IF(ISBLANK('Data Entry'!$W$130), "", 'Data Entry'!$W$130)</f>
      </c>
      <c r="X130">
        <f>IF(ISBLANK('Data Entry'!$X$130), "", 'Data Entry'!$X$130)</f>
      </c>
      <c r="Y130">
        <f>IF(ISBLANK('Data Entry'!$Y$130), "", 'Data Entry'!$Y$130)</f>
      </c>
      <c r="Z130">
        <f>IF(ISBLANK('Data Entry'!$Z$130), "", 'Data Entry'!$Z$130)</f>
      </c>
      <c r="AA130">
        <f>IF(ISBLANK('Data Entry'!$[$130), "", 'Data Entry'!$[$130)</f>
      </c>
      <c r="AB130">
        <f>IF(ISBLANK('Data Entry'!$\$130), "", 'Data Entry'!$\$130)</f>
      </c>
      <c r="AC130">
        <f>IF(ISBLANK('Data Entry'!$]$130), "", 'Data Entry'!$]$130)</f>
      </c>
      <c r="AD130">
        <f>IF(ISBLANK('Data Entry'!$^$130), "", 'Data Entry'!$^$130)</f>
      </c>
      <c r="AE130">
        <f>IF(ISBLANK('Data Entry'!$_$130), "", 'Data Entry'!$_$130)</f>
      </c>
      <c r="AF130">
        <f>IF(ISBLANK('Data Entry'!$`$130), "", 'Data Entry'!$`$130)</f>
      </c>
      <c r="AG130">
        <f>IF(ISBLANK('Data Entry'!$a$130), "", 'Data Entry'!$a$130)</f>
      </c>
      <c r="AH130">
        <f>IF(ISBLANK('Data Entry'!$b$130), "", 'Data Entry'!$b$130)</f>
      </c>
      <c r="AI130">
        <f>IF(ISBLANK('Data Entry'!$c$130), "", 'Data Entry'!$c$130)</f>
      </c>
      <c r="AJ130">
        <f>IF(ISBLANK('Data Entry'!$d$130), "", 'Data Entry'!$d$130)</f>
      </c>
      <c r="AK130">
        <f>IF(ISBLANK('Data Entry'!$e$130), "", 'Data Entry'!$e$130)</f>
      </c>
      <c r="AL130">
        <f>IF(ISBLANK('Data Entry'!$f$130), "", 'Data Entry'!$f$130)</f>
      </c>
      <c r="AM130">
        <f>IF(ISBLANK('Data Entry'!$g$130), "", 'Data Entry'!$g$130)</f>
      </c>
      <c r="AN130">
        <f>IF(ISBLANK('Data Entry'!$h$130), "", 'Data Entry'!$h$130)</f>
      </c>
      <c r="AO130">
        <f>IF(ISBLANK('Data Entry'!$i$130), "", 'Data Entry'!$i$130)</f>
      </c>
      <c r="AP130">
        <f>IF(ISBLANK('Data Entry'!$j$130), "", 'Data Entry'!$j$130)</f>
      </c>
      <c r="AQ130">
        <f>IF(ISBLANK('Data Entry'!$k$130), "", 'Data Entry'!$k$130)</f>
      </c>
      <c r="AR130">
        <f>IF(ISBLANK('Data Entry'!$l$130), "", 'Data Entry'!$l$130)</f>
      </c>
      <c r="AS130">
        <f>IF(ISBLANK('Data Entry'!$m$130), "", 'Data Entry'!$m$130)</f>
      </c>
      <c r="AT130">
        <f>IF(ISBLANK('Data Entry'!$n$130), "", 'Data Entry'!$n$130)</f>
      </c>
      <c r="AU130">
        <f>IF(ISBLANK('Data Entry'!$o$130), "", 'Data Entry'!$o$130)</f>
      </c>
      <c r="AV130">
        <f>IF(ISBLANK('Data Entry'!$p$130), "", 'Data Entry'!$p$130)</f>
      </c>
      <c r="AW130">
        <f>IF(ISBLANK('Data Entry'!$q$130), "", 'Data Entry'!$q$130)</f>
      </c>
      <c r="AX130">
        <f>IF(ISBLANK('Data Entry'!$r$130), "", 'Data Entry'!$r$130)</f>
      </c>
      <c r="AY130">
        <f>IF(ISBLANK('Data Entry'!$s$130), "", 'Data Entry'!$s$130)</f>
      </c>
      <c r="AZ130">
        <f>IF(ISBLANK('Data Entry'!$t$130), "", 'Data Entry'!$t$130)</f>
      </c>
      <c r="BA130">
        <f>IF(ISBLANK('Data Entry'!$u$130), "", 'Data Entry'!$u$130)</f>
      </c>
      <c r="BB130">
        <f>IF(ISBLANK('Data Entry'!$v$130), "", 'Data Entry'!$v$130)</f>
      </c>
      <c r="BC130">
        <f>IF(ISBLANK('Data Entry'!$w$130), "", 'Data Entry'!$w$130)</f>
      </c>
      <c r="BD130">
        <f>IF(ISBLANK('Data Entry'!$x$130), "", 'Data Entry'!$x$130)</f>
      </c>
      <c r="BE130">
        <f>IF(ISBLANK('Data Entry'!$y$130), "", 'Data Entry'!$y$130)</f>
      </c>
      <c r="BF130">
        <f>IF(ISBLANK('Data Entry'!$z$130), "", 'Data Entry'!$z$130)</f>
      </c>
      <c r="BG130">
        <f>IF(ISBLANK('Data Entry'!${$130), "", 'Data Entry'!${$130)</f>
      </c>
      <c r="BH130">
        <f>IF(ISBLANK('Data Entry'!$|$130), "", 'Data Entry'!$|$130)</f>
      </c>
      <c r="BI130">
        <f>IF(ISBLANK('Data Entry'!$}$130), "", 'Data Entry'!$}$130)</f>
      </c>
      <c r="BJ130">
        <f>IF(ISBLANK('Data Entry'!$~$130), "", 'Data Entry'!$~$130)</f>
      </c>
      <c r="BK130">
        <f>IF(ISBLANK('Data Entry'!$$130), "", 'Data Entry'!$$130)</f>
      </c>
      <c r="BL130">
        <f>IF(ISBLANK('Data Entry'!$$130), "", 'Data Entry'!$$130)</f>
      </c>
      <c r="BM130">
        <f>IF(ISBLANK('Data Entry'!$$130), "", 'Data Entry'!$$130)</f>
      </c>
      <c r="BN130">
        <f>IF(ISBLANK('Data Entry'!$$130), "", 'Data Entry'!$$130)</f>
      </c>
      <c r="BO130">
        <f>IF(ISBLANK('Data Entry'!$$130), "", 'Data Entry'!$$130)</f>
      </c>
      <c r="BP130">
        <f>IF(ISBLANK('Data Entry'!$$130), "", 'Data Entry'!$$130)</f>
      </c>
      <c r="BQ130">
        <f>IF(ISBLANK('Data Entry'!$$130), "", 'Data Entry'!$$130)</f>
      </c>
      <c r="BR130">
        <f>IF(ISBLANK('Data Entry'!$$130), "", 'Data Entry'!$$130)</f>
      </c>
      <c r="BS130">
        <f>IF(ISBLANK('Data Entry'!$$130), "", 'Data Entry'!$$130)</f>
      </c>
      <c r="BT130">
        <f>IF(ISBLANK('Data Entry'!$$130), "", 'Data Entry'!$$130)</f>
      </c>
      <c r="BU130">
        <f>IF(ISBLANK('Data Entry'!$$130), "", 'Data Entry'!$$130)</f>
      </c>
      <c r="BV130">
        <f>IF(ISBLANK('Data Entry'!$$130), "", 'Data Entry'!$$130)</f>
      </c>
      <c r="BW130">
        <f>IF(ISBLANK('Data Entry'!$$130), "", 'Data Entry'!$$130)</f>
      </c>
      <c r="BX130">
        <f>IF(ISBLANK('Data Entry'!$$130), "", 'Data Entry'!$$130)</f>
      </c>
      <c r="BY130">
        <f>IF(ISBLANK('Data Entry'!$$130), "", 'Data Entry'!$$130)</f>
      </c>
      <c r="BZ130">
        <f>IF(ISBLANK('Data Entry'!$$130), "", 'Data Entry'!$$130)</f>
      </c>
      <c r="CA130">
        <f>IF(ISBLANK('Data Entry'!$$130), "", 'Data Entry'!$$130)</f>
      </c>
      <c r="CB130">
        <f>IF(ISBLANK('Data Entry'!$$130), "", 'Data Entry'!$$130)</f>
      </c>
      <c r="CC130">
        <f>IF(ISBLANK('Data Entry'!$$130), "", 'Data Entry'!$$130)</f>
      </c>
      <c r="CD130">
        <f>IF(ISBLANK('Data Entry'!$$130), "", 'Data Entry'!$$130)</f>
      </c>
      <c r="CE130">
        <f>IF(ISBLANK('Data Entry'!$$130), "", 'Data Entry'!$$130)</f>
      </c>
      <c r="CF130">
        <f>IF(ISBLANK('Data Entry'!$$130), "", 'Data Entry'!$$130)</f>
      </c>
      <c r="CG130">
        <f>IF(ISBLANK('Data Entry'!$$130), "", 'Data Entry'!$$130)</f>
      </c>
      <c r="CH130">
        <f>IF(ISBLANK('Data Entry'!$$130), "", 'Data Entry'!$$130)</f>
      </c>
      <c r="CI130">
        <f>IF(ISBLANK('Data Entry'!$$130), "", 'Data Entry'!$$130)</f>
      </c>
      <c r="CJ130">
        <f>IF(ISBLANK('Data Entry'!$$130), "", 'Data Entry'!$$130)</f>
      </c>
      <c r="CK130">
        <f>IF(ISBLANK('Data Entry'!$$130), "", 'Data Entry'!$$130)</f>
      </c>
      <c r="CL130">
        <f>IF(ISBLANK('Data Entry'!$$130), "", 'Data Entry'!$$130)</f>
      </c>
      <c r="CM130">
        <f>IF(ISBLANK('Data Entry'!$$130), "", 'Data Entry'!$$130)</f>
      </c>
      <c r="CN130">
        <f>IF(ISBLANK('Data Entry'!$$130), "", 'Data Entry'!$$130)</f>
      </c>
      <c r="CO130">
        <f>IF(ISBLANK('Data Entry'!$$130), "", 'Data Entry'!$$130)</f>
      </c>
      <c r="CP130">
        <f>IF(ISBLANK('Data Entry'!$$130), "", 'Data Entry'!$$130)</f>
      </c>
      <c r="CQ130">
        <f>IF(ISBLANK('Data Entry'!$$130), "", 'Data Entry'!$$130)</f>
      </c>
      <c r="CR130">
        <f>IF(ISBLANK('Data Entry'!$ $130), "", 'Data Entry'!$ $130)</f>
      </c>
      <c r="CS130">
        <f>IF(ISBLANK('Data Entry'!$¡$130), "", 'Data Entry'!$¡$130)</f>
      </c>
      <c r="CT130">
        <f>IF(ISBLANK('Data Entry'!$¢$130), "", 'Data Entry'!$¢$130)</f>
      </c>
      <c r="CU130">
        <f>IF(ISBLANK('Data Entry'!$£$130), "", 'Data Entry'!$£$130)</f>
      </c>
      <c r="CV130">
        <f>IF(ISBLANK('Data Entry'!$¤$130), "", 'Data Entry'!$¤$130)</f>
      </c>
      <c r="CW130">
        <f>IF(ISBLANK('Data Entry'!$¥$130), "", 'Data Entry'!$¥$130)</f>
      </c>
      <c r="CX130">
        <f>IF(ISBLANK('Data Entry'!$¦$130), "", 'Data Entry'!$¦$130)</f>
      </c>
      <c r="CY130">
        <f>IF(ISBLANK('Data Entry'!$§$130), "", 'Data Entry'!$§$130)</f>
      </c>
      <c r="CZ130">
        <f>IF(ISBLANK('Data Entry'!$¨$130), "", 'Data Entry'!$¨$130)</f>
      </c>
      <c r="DA130">
        <f>IF(ISBLANK('Data Entry'!$©$130), "", 'Data Entry'!$©$130)</f>
      </c>
      <c r="DB130">
        <f>IF(ISBLANK('Data Entry'!$ª$130), "", 'Data Entry'!$ª$130)</f>
      </c>
      <c r="DC130">
        <f>IF(ISBLANK('Data Entry'!$«$130), "", 'Data Entry'!$«$130)</f>
      </c>
      <c r="DD130">
        <f>IF(ISBLANK('Data Entry'!$¬$130), "", 'Data Entry'!$¬$130)</f>
      </c>
      <c r="DE130">
        <f>IF(ISBLANK('Data Entry'!$­$130), "", 'Data Entry'!$­$130)</f>
      </c>
      <c r="DF130">
        <f>IF(ISBLANK('Data Entry'!$®$130), "", 'Data Entry'!$®$130)</f>
      </c>
      <c r="DG130">
        <f>IF(ISBLANK('Data Entry'!$¯$130), "", 'Data Entry'!$¯$130)</f>
      </c>
      <c r="DH130">
        <f>IF(ISBLANK('Data Entry'!$°$130), "", 'Data Entry'!$°$130)</f>
      </c>
      <c r="DI130">
        <f>IF(ISBLANK('Data Entry'!$±$130), "", 'Data Entry'!$±$130)</f>
      </c>
      <c r="DJ130">
        <f>IF(ISBLANK('Data Entry'!$²$130), "", 'Data Entry'!$²$130)</f>
      </c>
      <c r="DK130">
        <f>IF(ISBLANK('Data Entry'!$³$130), "", 'Data Entry'!$³$130)</f>
      </c>
      <c r="DL130">
        <f>IF(ISBLANK('Data Entry'!$´$130), "", 'Data Entry'!$´$130)</f>
      </c>
      <c r="DM130">
        <f>IF(ISBLANK('Data Entry'!$µ$130), "", 'Data Entry'!$µ$130)</f>
      </c>
      <c r="DN130">
        <f>IF(ISBLANK('Data Entry'!$¶$130), "", 'Data Entry'!$¶$130)</f>
      </c>
      <c r="DO130">
        <f>IF(ISBLANK('Data Entry'!$·$130), "", 'Data Entry'!$·$130)</f>
      </c>
      <c r="DP130">
        <f>IF(ISBLANK('Data Entry'!$¸$130), "", 'Data Entry'!$¸$130)</f>
      </c>
      <c r="DQ130">
        <f>IF(ISBLANK('Data Entry'!$¹$130), "", 'Data Entry'!$¹$130)</f>
      </c>
      <c r="DR130">
        <f>IF(ISBLANK('Data Entry'!$º$130), "", 'Data Entry'!$º$130)</f>
      </c>
      <c r="DS130">
        <f>IF(ISBLANK('Data Entry'!$»$130), "", 'Data Entry'!$»$130)</f>
      </c>
      <c r="DT130">
        <f>IF(ISBLANK('Data Entry'!$¼$130), "", 'Data Entry'!$¼$130)</f>
      </c>
      <c r="DU130">
        <f>IF(ISBLANK('Data Entry'!$½$130), "", 'Data Entry'!$½$130)</f>
      </c>
      <c r="DV130">
        <f>IF(ISBLANK('Data Entry'!$¾$130), "", 'Data Entry'!$¾$130)</f>
      </c>
      <c r="DW130">
        <f>IF(ISBLANK('Data Entry'!$¿$130), "", 'Data Entry'!$¿$130)</f>
      </c>
      <c r="DX130">
        <f>IF(ISBLANK('Data Entry'!$À$130), "", 'Data Entry'!$À$130)</f>
      </c>
      <c r="DY130">
        <f>IF(ISBLANK('Data Entry'!$Á$130), "", 'Data Entry'!$Á$130)</f>
      </c>
      <c r="DZ130">
        <f>IF(ISBLANK('Data Entry'!$Â$130), "", 'Data Entry'!$Â$130)</f>
      </c>
      <c r="EA130">
        <f>IF(ISBLANK('Data Entry'!$Ã$130), "", 'Data Entry'!$Ã$130)</f>
      </c>
      <c r="EB130">
        <f>IF(ISBLANK('Data Entry'!$Ä$130), "", 'Data Entry'!$Ä$130)</f>
      </c>
      <c r="EC130">
        <f>IF(ISBLANK('Data Entry'!$Å$130), "", 'Data Entry'!$Å$130)</f>
      </c>
      <c r="ED130">
        <f>IF(ISBLANK('Data Entry'!$Æ$130), "", 'Data Entry'!$Æ$130)</f>
      </c>
      <c r="EE130">
        <f>IF(ISBLANK('Data Entry'!$Ç$130), "", 'Data Entry'!$Ç$130)</f>
      </c>
      <c r="EF130">
        <f>IF(ISBLANK('Data Entry'!$È$130), "", 'Data Entry'!$È$130)</f>
      </c>
      <c r="EG130">
        <f>IF(ISBLANK('Data Entry'!$É$130), "", 'Data Entry'!$É$130)</f>
      </c>
      <c r="EH130">
        <f>IF(ISBLANK('Data Entry'!$Ê$130), "", 'Data Entry'!$Ê$130)</f>
      </c>
      <c r="EI130">
        <f>IF(ISBLANK('Data Entry'!$Ë$130), "", 'Data Entry'!$Ë$130)</f>
      </c>
      <c r="EJ130">
        <f>IF(ISBLANK('Data Entry'!$Ì$130), "", 'Data Entry'!$Ì$130)</f>
      </c>
      <c r="EK130">
        <f>IF(ISBLANK('Data Entry'!$Í$130), "", 'Data Entry'!$Í$130)</f>
      </c>
      <c r="EL130">
        <f>IF(ISBLANK('Data Entry'!$Î$130), "", 'Data Entry'!$Î$130)</f>
      </c>
      <c r="EM130">
        <f>IF(ISBLANK('Data Entry'!$Ï$130), "", 'Data Entry'!$Ï$130)</f>
      </c>
      <c r="EN130">
        <f>IF(ISBLANK('Data Entry'!$Ð$130), "", 'Data Entry'!$Ð$130)</f>
      </c>
      <c r="EO130">
        <f>IF(ISBLANK('Data Entry'!$Ñ$130), "", 'Data Entry'!$Ñ$130)</f>
      </c>
      <c r="EP130">
        <f>IF(ISBLANK('Data Entry'!$Ò$130), "", 'Data Entry'!$Ò$130)</f>
      </c>
      <c r="EQ130">
        <f>IF(ISBLANK('Data Entry'!$Ó$130), "", 'Data Entry'!$Ó$130)</f>
      </c>
      <c r="ER130">
        <f>IF(ISBLANK('Data Entry'!$Ô$130), "", 'Data Entry'!$Ô$130)</f>
      </c>
      <c r="ES130">
        <f>IF(ISBLANK('Data Entry'!$Õ$130), "", 'Data Entry'!$Õ$130)</f>
      </c>
      <c r="ET130">
        <f>IF(ISBLANK('Data Entry'!$Ö$130), "", 'Data Entry'!$Ö$130)</f>
      </c>
      <c r="EU130">
        <f>IF(ISBLANK('Data Entry'!$×$130), "", 'Data Entry'!$×$130)</f>
      </c>
      <c r="EV130">
        <f>IF(ISBLANK('Data Entry'!$Ø$130), "", 'Data Entry'!$Ø$130)</f>
      </c>
      <c r="EW130">
        <f>IF(ISBLANK('Data Entry'!$Ù$130), "", 'Data Entry'!$Ù$130)</f>
      </c>
      <c r="EX130">
        <f>IF(ISBLANK('Data Entry'!$Ú$130), "", 'Data Entry'!$Ú$130)</f>
      </c>
      <c r="EY130">
        <f>IF(ISBLANK('Data Entry'!$Û$130), "", 'Data Entry'!$Û$130)</f>
      </c>
      <c r="EZ130">
        <f>IF(ISBLANK('Data Entry'!$Ü$130), "", 'Data Entry'!$Ü$130)</f>
      </c>
      <c r="FA130">
        <f>IF(ISBLANK('Data Entry'!$Ý$130), "", 'Data Entry'!$Ý$130)</f>
      </c>
      <c r="FB130">
        <f>IF(ISBLANK('Data Entry'!$Þ$130), "", 'Data Entry'!$Þ$130)</f>
      </c>
      <c r="FC130">
        <f>IF(ISBLANK('Data Entry'!$ß$130), "", 'Data Entry'!$ß$130)</f>
      </c>
      <c r="FD130">
        <f>IF(ISBLANK('Data Entry'!$à$130), "", 'Data Entry'!$à$130)</f>
      </c>
      <c r="FE130">
        <f>IF(ISBLANK('Data Entry'!$á$130), "", 'Data Entry'!$á$130)</f>
      </c>
      <c r="FF130">
        <f>IF(ISBLANK('Data Entry'!$â$130), "", 'Data Entry'!$â$130)</f>
      </c>
      <c r="FG130">
        <f>IF(ISBLANK('Data Entry'!$ã$130), "", 'Data Entry'!$ã$130)</f>
      </c>
      <c r="FH130">
        <f>IF(ISBLANK('Data Entry'!$ä$130), "", 'Data Entry'!$ä$130)</f>
      </c>
      <c r="FI130">
        <f>IF(ISBLANK('Data Entry'!$å$130), "", 'Data Entry'!$å$130)</f>
      </c>
      <c r="FJ130">
        <f>IF(ISBLANK('Data Entry'!$æ$130), "", 'Data Entry'!$æ$130)</f>
      </c>
      <c r="FK130">
        <f>IF(ISBLANK('Data Entry'!$ç$130), "", 'Data Entry'!$ç$130)</f>
      </c>
      <c r="FL130">
        <f>IF(ISBLANK('Data Entry'!$è$130), "", 'Data Entry'!$è$130)</f>
      </c>
      <c r="FM130">
        <f>IF(ISBLANK('Data Entry'!$é$130), "", 'Data Entry'!$é$130)</f>
      </c>
      <c r="FN130">
        <f>IF(ISBLANK('Data Entry'!$ê$130), "", 'Data Entry'!$ê$130)</f>
      </c>
      <c r="FO130">
        <f>IF(ISBLANK('Data Entry'!$ë$130), "", 'Data Entry'!$ë$130)</f>
      </c>
      <c r="FP130">
        <f>IF(ISBLANK('Data Entry'!$ì$130), "", 'Data Entry'!$ì$130)</f>
      </c>
      <c r="FQ130">
        <f>IF(ISBLANK('Data Entry'!$í$130), "", 'Data Entry'!$í$130)</f>
      </c>
      <c r="FR130">
        <f>IF(ISBLANK('Data Entry'!$î$130), "", 'Data Entry'!$î$130)</f>
      </c>
      <c r="FS130">
        <f>IF(ISBLANK('Data Entry'!$ï$130), "", 'Data Entry'!$ï$130)</f>
      </c>
      <c r="FT130">
        <f>IF(ISBLANK('Data Entry'!$ð$130), "", 'Data Entry'!$ð$130)</f>
      </c>
      <c r="FU130">
        <f>IF(ISBLANK('Data Entry'!$ñ$130), "", 'Data Entry'!$ñ$130)</f>
      </c>
      <c r="FV130">
        <f>IF(ISBLANK('Data Entry'!$ò$130), "", 'Data Entry'!$ò$130)</f>
      </c>
      <c r="FW130">
        <f>IF(ISBLANK('Data Entry'!$ó$130), "", 'Data Entry'!$ó$130)</f>
      </c>
      <c r="FX130">
        <f>IF(ISBLANK('Data Entry'!$ô$130), "", 'Data Entry'!$ô$130)</f>
      </c>
      <c r="FY130">
        <f>IF(ISBLANK('Data Entry'!$õ$130), "", 'Data Entry'!$õ$130)</f>
      </c>
      <c r="FZ130">
        <f>IF(ISBLANK('Data Entry'!$ö$130), "", 'Data Entry'!$ö$130)</f>
      </c>
      <c r="GA130">
        <f>IF(ISBLANK('Data Entry'!$÷$130), "", 'Data Entry'!$÷$130)</f>
      </c>
      <c r="GB130">
        <f>IF(ISBLANK('Data Entry'!$ø$130), "", 'Data Entry'!$ø$130)</f>
      </c>
      <c r="GC130">
        <f>IF(ISBLANK('Data Entry'!$ù$130), "", 'Data Entry'!$ù$130)</f>
      </c>
      <c r="GD130">
        <f>IF(ISBLANK('Data Entry'!$ú$130), "", 'Data Entry'!$ú$130)</f>
      </c>
      <c r="GE130">
        <f>IF(ISBLANK('Data Entry'!$û$130), "", 'Data Entry'!$û$130)</f>
      </c>
      <c r="GF130">
        <f>IF(ISBLANK('Data Entry'!$ü$130), "", 'Data Entry'!$ü$130)</f>
      </c>
      <c r="GG130">
        <f>IF(ISBLANK('Data Entry'!$ý$130), "", 'Data Entry'!$ý$130)</f>
      </c>
      <c r="GH130">
        <f>IF(ISBLANK('Data Entry'!$þ$130), "", 'Data Entry'!$þ$130)</f>
      </c>
      <c r="GI130">
        <f>IF(ISBLANK('Data Entry'!$ÿ$130), "", 'Data Entry'!$ÿ$130)</f>
      </c>
      <c r="GJ130">
        <f>IF(ISBLANK('Data Entry'!$Ā$130), "", 'Data Entry'!$Ā$130)</f>
      </c>
      <c r="GK130">
        <f>IF(ISBLANK('Data Entry'!$ā$130), "", 'Data Entry'!$ā$130)</f>
      </c>
      <c r="GL130">
        <f>IF(ISBLANK('Data Entry'!$Ă$130), "", 'Data Entry'!$Ă$130)</f>
      </c>
      <c r="GM130">
        <f>IF(ISBLANK('Data Entry'!$ă$130), "", 'Data Entry'!$ă$130)</f>
      </c>
      <c r="GN130">
        <f>IF(ISBLANK('Data Entry'!$Ą$130), "", 'Data Entry'!$Ą$130)</f>
      </c>
      <c r="GO130">
        <f>IF(ISBLANK('Data Entry'!$ą$130), "", 'Data Entry'!$ą$130)</f>
      </c>
      <c r="GP130">
        <f>IF(ISBLANK('Data Entry'!$Ć$130), "", 'Data Entry'!$Ć$130)</f>
      </c>
      <c r="GQ130">
        <f>IF(ISBLANK('Data Entry'!$ć$130), "", 'Data Entry'!$ć$130)</f>
      </c>
      <c r="GR130">
        <f>IF(ISBLANK('Data Entry'!$Ĉ$130), "", 'Data Entry'!$Ĉ$130)</f>
      </c>
      <c r="GS130">
        <f>IF(ISBLANK('Data Entry'!$ĉ$130), "", 'Data Entry'!$ĉ$130)</f>
      </c>
      <c r="GT130">
        <f>IF(ISBLANK('Data Entry'!$Ċ$130), "", 'Data Entry'!$Ċ$130)</f>
      </c>
      <c r="GU130">
        <f>IF(ISBLANK('Data Entry'!$ċ$130), "", 'Data Entry'!$ċ$130)</f>
      </c>
      <c r="GV130">
        <f>IF(ISBLANK('Data Entry'!$Č$130), "", 'Data Entry'!$Č$130)</f>
      </c>
      <c r="GW130">
        <f>IF(ISBLANK('Data Entry'!$č$130), "", 'Data Entry'!$č$130)</f>
      </c>
      <c r="GX130">
        <f>IF(ISBLANK('Data Entry'!$Ď$130), "", 'Data Entry'!$Ď$130)</f>
      </c>
      <c r="GY130">
        <f>IF(ISBLANK('Data Entry'!$ď$130), "", 'Data Entry'!$ď$130)</f>
      </c>
      <c r="GZ130">
        <f>IF(ISBLANK('Data Entry'!$Đ$130), "", 'Data Entry'!$Đ$130)</f>
      </c>
      <c r="HA130">
        <f>IF(ISBLANK('Data Entry'!$đ$130), "", 'Data Entry'!$đ$130)</f>
      </c>
      <c r="HB130">
        <f>IF(ISBLANK('Data Entry'!$Ē$130), "", 'Data Entry'!$Ē$130)</f>
      </c>
      <c r="HC130">
        <f>IF(ISBLANK('Data Entry'!$ē$130), "", 'Data Entry'!$ē$130)</f>
      </c>
      <c r="HD130">
        <f>IF(ISBLANK('Data Entry'!$Ĕ$130), "", 'Data Entry'!$Ĕ$130)</f>
      </c>
      <c r="HE130">
        <f>IF(ISBLANK('Data Entry'!$ĕ$130), "", 'Data Entry'!$ĕ$130)</f>
      </c>
      <c r="HF130">
        <f>IF(ISBLANK('Data Entry'!$Ė$130), "", 'Data Entry'!$Ė$130)</f>
      </c>
      <c r="HG130">
        <f>IF(ISBLANK('Data Entry'!$ė$130), "", 'Data Entry'!$ė$130)</f>
      </c>
      <c r="HH130">
        <f>IF(ISBLANK('Data Entry'!$Ę$130), "", 'Data Entry'!$Ę$130)</f>
      </c>
      <c r="HI130">
        <f>IF(ISBLANK('Data Entry'!$ę$130), "", 'Data Entry'!$ę$130)</f>
      </c>
      <c r="HJ130">
        <f>IF(ISBLANK('Data Entry'!$Ě$130), "", 'Data Entry'!$Ě$130)</f>
      </c>
      <c r="HK130">
        <f>IF(ISBLANK('Data Entry'!$ě$130), "", 'Data Entry'!$ě$130)</f>
      </c>
      <c r="HL130">
        <f>IF(ISBLANK('Data Entry'!$Ĝ$130), "", 'Data Entry'!$Ĝ$130)</f>
      </c>
      <c r="HM130">
        <f>IF(ISBLANK('Data Entry'!$ĝ$130), "", 'Data Entry'!$ĝ$130)</f>
      </c>
      <c r="HN130">
        <f>IF(ISBLANK('Data Entry'!$Ğ$130), "", 'Data Entry'!$Ğ$130)</f>
      </c>
      <c r="HO130">
        <f>IF(ISBLANK('Data Entry'!$ğ$130), "", 'Data Entry'!$ğ$130)</f>
      </c>
      <c r="HP130">
        <f>IF(ISBLANK('Data Entry'!$Ġ$130), "", 'Data Entry'!$Ġ$130)</f>
      </c>
      <c r="HQ130">
        <f>IF(ISBLANK('Data Entry'!$ġ$130), "", 'Data Entry'!$ġ$130)</f>
      </c>
      <c r="HR130">
        <f>IF(ISBLANK('Data Entry'!$Ģ$130), "", 'Data Entry'!$Ģ$130)</f>
      </c>
      <c r="HS130">
        <f>IF(ISBLANK('Data Entry'!$ģ$130), "", 'Data Entry'!$ģ$130)</f>
      </c>
      <c r="HT130">
        <f>IF(ISBLANK('Data Entry'!$Ĥ$130), "", 'Data Entry'!$Ĥ$130)</f>
      </c>
      <c r="HU130">
        <f>IF(ISBLANK('Data Entry'!$ĥ$130), "", 'Data Entry'!$ĥ$130)</f>
      </c>
      <c r="HV130">
        <f>IF(ISBLANK('Data Entry'!$Ħ$130), "", 'Data Entry'!$Ħ$130)</f>
      </c>
      <c r="HW130">
        <f>IF(ISBLANK('Data Entry'!$ħ$130), "", 'Data Entry'!$ħ$130)</f>
      </c>
      <c r="HX130">
        <f>IF(ISBLANK('Data Entry'!$Ĩ$130), "", 'Data Entry'!$Ĩ$130)</f>
      </c>
      <c r="HY130">
        <f>IF(ISBLANK('Data Entry'!$ĩ$130), "", 'Data Entry'!$ĩ$130)</f>
      </c>
      <c r="HZ130">
        <f>IF(ISBLANK('Data Entry'!$Ī$130), "", 'Data Entry'!$Ī$130)</f>
      </c>
      <c r="IA130">
        <f>IF(ISBLANK('Data Entry'!$ī$130), "", 'Data Entry'!$ī$130)</f>
      </c>
      <c r="IB130">
        <f>IF(ISBLANK('Data Entry'!$Ĭ$130), "", 'Data Entry'!$Ĭ$130)</f>
      </c>
      <c r="IC130">
        <f>IF(ISBLANK('Data Entry'!$ĭ$130), "", 'Data Entry'!$ĭ$130)</f>
      </c>
      <c r="ID130">
        <f>IF(ISBLANK('Data Entry'!$Į$130), "", 'Data Entry'!$Į$130)</f>
      </c>
      <c r="IE130">
        <f>IF(ISBLANK('Data Entry'!$į$130), "", 'Data Entry'!$į$130)</f>
      </c>
      <c r="IF130">
        <f>IF(ISBLANK('Data Entry'!$İ$130), "", 'Data Entry'!$İ$130)</f>
      </c>
      <c r="IG130">
        <f>IF(ISBLANK('Data Entry'!$ı$130), "", 'Data Entry'!$ı$130)</f>
      </c>
      <c r="IH130">
        <f>IF(ISBLANK('Data Entry'!$Ĳ$130), "", 'Data Entry'!$Ĳ$130)</f>
      </c>
      <c r="II130">
        <f>IF(ISBLANK('Data Entry'!$ĳ$130), "", 'Data Entry'!$ĳ$130)</f>
      </c>
      <c r="IJ130">
        <f>IF(ISBLANK('Data Entry'!$Ĵ$130), "", 'Data Entry'!$Ĵ$130)</f>
      </c>
      <c r="IK130">
        <f>IF(ISBLANK('Data Entry'!$ĵ$130), "", 'Data Entry'!$ĵ$130)</f>
      </c>
      <c r="IL130">
        <f>IF(ISBLANK('Data Entry'!$Ķ$130), "", 'Data Entry'!$Ķ$130)</f>
      </c>
      <c r="IM130">
        <f>IF(ISBLANK('Data Entry'!$ķ$130), "", 'Data Entry'!$ķ$130)</f>
      </c>
      <c r="IN130">
        <f>IF(ISBLANK('Data Entry'!$ĸ$130), "", 'Data Entry'!$ĸ$130)</f>
      </c>
      <c r="IO130">
        <f>IF(ISBLANK('Data Entry'!$Ĺ$130), "", 'Data Entry'!$Ĺ$130)</f>
      </c>
      <c r="IP130">
        <f>IF(ISBLANK('Data Entry'!$ĺ$130), "", 'Data Entry'!$ĺ$130)</f>
      </c>
      <c r="IQ130">
        <f>IF(ISBLANK('Data Entry'!$Ļ$130), "", 'Data Entry'!$Ļ$130)</f>
      </c>
      <c r="IR130">
        <f>IF(ISBLANK('Data Entry'!$ļ$130), "", 'Data Entry'!$ļ$130)</f>
      </c>
      <c r="IS130">
        <f>IF(ISBLANK('Data Entry'!$Ľ$130), "", 'Data Entry'!$Ľ$130)</f>
      </c>
      <c r="IT130">
        <f>IF(ISBLANK('Data Entry'!$ľ$130), "", 'Data Entry'!$ľ$130)</f>
      </c>
    </row>
    <row r="131" spans="1:254" x14ac:dyDescent="0.25">
      <c r="A131">
        <f>IF(ISBLANK('Data Entry'!$A$131), "", 'Data Entry'!$A$131)</f>
      </c>
      <c r="B131">
        <f>IF(ISBLANK('Data Entry'!$B$131), "", 'Data Entry'!$B$131)</f>
      </c>
      <c r="C131">
        <f>IF(ISBLANK('Data Entry'!$C$131), "", 'Data Entry'!$C$131)</f>
      </c>
      <c r="D131">
        <f>IF(ISBLANK('Data Entry'!$D$131), "", 'Data Entry'!$D$131)</f>
      </c>
      <c r="E131">
        <f>IF(ISBLANK('Data Entry'!$E$131), "", 'Data Entry'!$E$131)</f>
      </c>
      <c r="F131">
        <f>IF(ISBLANK('Data Entry'!$F$131), "", 'Data Entry'!$F$131)</f>
      </c>
      <c r="G131">
        <f>IF(ISBLANK('Data Entry'!$G$131), "", 'Data Entry'!$G$131)</f>
      </c>
      <c r="H131">
        <f>IF(ISBLANK('Data Entry'!$H$131), "", 'Data Entry'!$H$131)</f>
      </c>
      <c r="I131">
        <f>IF(ISBLANK('Data Entry'!$I$131), "", 'Data Entry'!$I$131)</f>
      </c>
      <c r="J131">
        <f>IF(ISBLANK('Data Entry'!$J$131), "", 'Data Entry'!$J$131)</f>
      </c>
      <c r="K131">
        <f>IF(ISBLANK('Data Entry'!$K$131), "", 'Data Entry'!$K$131)</f>
      </c>
      <c r="L131">
        <f>IF(ISBLANK('Data Entry'!$L$131), "", 'Data Entry'!$L$131)</f>
      </c>
      <c r="M131">
        <f>IF(ISBLANK('Data Entry'!$M$131), "", 'Data Entry'!$M$131)</f>
      </c>
      <c r="N131">
        <f>IF(ISBLANK('Data Entry'!$N$131), "", 'Data Entry'!$N$131)</f>
      </c>
      <c r="O131">
        <f>IF(ISBLANK('Data Entry'!$O$131), "", 'Data Entry'!$O$131)</f>
      </c>
      <c r="P131">
        <f>IF(ISBLANK('Data Entry'!$P$131), "", 'Data Entry'!$P$131)</f>
      </c>
      <c r="Q131">
        <f>IF(ISBLANK('Data Entry'!$Q$131), "", 'Data Entry'!$Q$131)</f>
      </c>
      <c r="R131">
        <f>IF(ISBLANK('Data Entry'!$R$131), "", 'Data Entry'!$R$131)</f>
      </c>
      <c r="S131">
        <f>IF(ISBLANK('Data Entry'!$S$131), "", 'Data Entry'!$S$131)</f>
      </c>
      <c r="T131">
        <f>IF(ISBLANK('Data Entry'!$T$131), "", 'Data Entry'!$T$131)</f>
      </c>
      <c r="U131">
        <f>IF(ISBLANK('Data Entry'!$U$131), "", 'Data Entry'!$U$131)</f>
      </c>
      <c r="V131">
        <f>IF(ISBLANK('Data Entry'!$V$131), "", 'Data Entry'!$V$131)</f>
      </c>
      <c r="W131">
        <f>IF(ISBLANK('Data Entry'!$W$131), "", 'Data Entry'!$W$131)</f>
      </c>
      <c r="X131">
        <f>IF(ISBLANK('Data Entry'!$X$131), "", 'Data Entry'!$X$131)</f>
      </c>
      <c r="Y131">
        <f>IF(ISBLANK('Data Entry'!$Y$131), "", 'Data Entry'!$Y$131)</f>
      </c>
      <c r="Z131">
        <f>IF(ISBLANK('Data Entry'!$Z$131), "", 'Data Entry'!$Z$131)</f>
      </c>
      <c r="AA131">
        <f>IF(ISBLANK('Data Entry'!$[$131), "", 'Data Entry'!$[$131)</f>
      </c>
      <c r="AB131">
        <f>IF(ISBLANK('Data Entry'!$\$131), "", 'Data Entry'!$\$131)</f>
      </c>
      <c r="AC131">
        <f>IF(ISBLANK('Data Entry'!$]$131), "", 'Data Entry'!$]$131)</f>
      </c>
      <c r="AD131">
        <f>IF(ISBLANK('Data Entry'!$^$131), "", 'Data Entry'!$^$131)</f>
      </c>
      <c r="AE131">
        <f>IF(ISBLANK('Data Entry'!$_$131), "", 'Data Entry'!$_$131)</f>
      </c>
      <c r="AF131">
        <f>IF(ISBLANK('Data Entry'!$`$131), "", 'Data Entry'!$`$131)</f>
      </c>
      <c r="AG131">
        <f>IF(ISBLANK('Data Entry'!$a$131), "", 'Data Entry'!$a$131)</f>
      </c>
      <c r="AH131">
        <f>IF(ISBLANK('Data Entry'!$b$131), "", 'Data Entry'!$b$131)</f>
      </c>
      <c r="AI131">
        <f>IF(ISBLANK('Data Entry'!$c$131), "", 'Data Entry'!$c$131)</f>
      </c>
      <c r="AJ131">
        <f>IF(ISBLANK('Data Entry'!$d$131), "", 'Data Entry'!$d$131)</f>
      </c>
      <c r="AK131">
        <f>IF(ISBLANK('Data Entry'!$e$131), "", 'Data Entry'!$e$131)</f>
      </c>
      <c r="AL131">
        <f>IF(ISBLANK('Data Entry'!$f$131), "", 'Data Entry'!$f$131)</f>
      </c>
      <c r="AM131">
        <f>IF(ISBLANK('Data Entry'!$g$131), "", 'Data Entry'!$g$131)</f>
      </c>
      <c r="AN131">
        <f>IF(ISBLANK('Data Entry'!$h$131), "", 'Data Entry'!$h$131)</f>
      </c>
      <c r="AO131">
        <f>IF(ISBLANK('Data Entry'!$i$131), "", 'Data Entry'!$i$131)</f>
      </c>
      <c r="AP131">
        <f>IF(ISBLANK('Data Entry'!$j$131), "", 'Data Entry'!$j$131)</f>
      </c>
      <c r="AQ131">
        <f>IF(ISBLANK('Data Entry'!$k$131), "", 'Data Entry'!$k$131)</f>
      </c>
      <c r="AR131">
        <f>IF(ISBLANK('Data Entry'!$l$131), "", 'Data Entry'!$l$131)</f>
      </c>
      <c r="AS131">
        <f>IF(ISBLANK('Data Entry'!$m$131), "", 'Data Entry'!$m$131)</f>
      </c>
      <c r="AT131">
        <f>IF(ISBLANK('Data Entry'!$n$131), "", 'Data Entry'!$n$131)</f>
      </c>
      <c r="AU131">
        <f>IF(ISBLANK('Data Entry'!$o$131), "", 'Data Entry'!$o$131)</f>
      </c>
      <c r="AV131">
        <f>IF(ISBLANK('Data Entry'!$p$131), "", 'Data Entry'!$p$131)</f>
      </c>
      <c r="AW131">
        <f>IF(ISBLANK('Data Entry'!$q$131), "", 'Data Entry'!$q$131)</f>
      </c>
      <c r="AX131">
        <f>IF(ISBLANK('Data Entry'!$r$131), "", 'Data Entry'!$r$131)</f>
      </c>
      <c r="AY131">
        <f>IF(ISBLANK('Data Entry'!$s$131), "", 'Data Entry'!$s$131)</f>
      </c>
      <c r="AZ131">
        <f>IF(ISBLANK('Data Entry'!$t$131), "", 'Data Entry'!$t$131)</f>
      </c>
      <c r="BA131">
        <f>IF(ISBLANK('Data Entry'!$u$131), "", 'Data Entry'!$u$131)</f>
      </c>
      <c r="BB131">
        <f>IF(ISBLANK('Data Entry'!$v$131), "", 'Data Entry'!$v$131)</f>
      </c>
      <c r="BC131">
        <f>IF(ISBLANK('Data Entry'!$w$131), "", 'Data Entry'!$w$131)</f>
      </c>
      <c r="BD131">
        <f>IF(ISBLANK('Data Entry'!$x$131), "", 'Data Entry'!$x$131)</f>
      </c>
      <c r="BE131">
        <f>IF(ISBLANK('Data Entry'!$y$131), "", 'Data Entry'!$y$131)</f>
      </c>
      <c r="BF131">
        <f>IF(ISBLANK('Data Entry'!$z$131), "", 'Data Entry'!$z$131)</f>
      </c>
      <c r="BG131">
        <f>IF(ISBLANK('Data Entry'!${$131), "", 'Data Entry'!${$131)</f>
      </c>
      <c r="BH131">
        <f>IF(ISBLANK('Data Entry'!$|$131), "", 'Data Entry'!$|$131)</f>
      </c>
      <c r="BI131">
        <f>IF(ISBLANK('Data Entry'!$}$131), "", 'Data Entry'!$}$131)</f>
      </c>
      <c r="BJ131">
        <f>IF(ISBLANK('Data Entry'!$~$131), "", 'Data Entry'!$~$131)</f>
      </c>
      <c r="BK131">
        <f>IF(ISBLANK('Data Entry'!$$131), "", 'Data Entry'!$$131)</f>
      </c>
      <c r="BL131">
        <f>IF(ISBLANK('Data Entry'!$$131), "", 'Data Entry'!$$131)</f>
      </c>
      <c r="BM131">
        <f>IF(ISBLANK('Data Entry'!$$131), "", 'Data Entry'!$$131)</f>
      </c>
      <c r="BN131">
        <f>IF(ISBLANK('Data Entry'!$$131), "", 'Data Entry'!$$131)</f>
      </c>
      <c r="BO131">
        <f>IF(ISBLANK('Data Entry'!$$131), "", 'Data Entry'!$$131)</f>
      </c>
      <c r="BP131">
        <f>IF(ISBLANK('Data Entry'!$$131), "", 'Data Entry'!$$131)</f>
      </c>
      <c r="BQ131">
        <f>IF(ISBLANK('Data Entry'!$$131), "", 'Data Entry'!$$131)</f>
      </c>
      <c r="BR131">
        <f>IF(ISBLANK('Data Entry'!$$131), "", 'Data Entry'!$$131)</f>
      </c>
      <c r="BS131">
        <f>IF(ISBLANK('Data Entry'!$$131), "", 'Data Entry'!$$131)</f>
      </c>
      <c r="BT131">
        <f>IF(ISBLANK('Data Entry'!$$131), "", 'Data Entry'!$$131)</f>
      </c>
      <c r="BU131">
        <f>IF(ISBLANK('Data Entry'!$$131), "", 'Data Entry'!$$131)</f>
      </c>
      <c r="BV131">
        <f>IF(ISBLANK('Data Entry'!$$131), "", 'Data Entry'!$$131)</f>
      </c>
      <c r="BW131">
        <f>IF(ISBLANK('Data Entry'!$$131), "", 'Data Entry'!$$131)</f>
      </c>
      <c r="BX131">
        <f>IF(ISBLANK('Data Entry'!$$131), "", 'Data Entry'!$$131)</f>
      </c>
      <c r="BY131">
        <f>IF(ISBLANK('Data Entry'!$$131), "", 'Data Entry'!$$131)</f>
      </c>
      <c r="BZ131">
        <f>IF(ISBLANK('Data Entry'!$$131), "", 'Data Entry'!$$131)</f>
      </c>
      <c r="CA131">
        <f>IF(ISBLANK('Data Entry'!$$131), "", 'Data Entry'!$$131)</f>
      </c>
      <c r="CB131">
        <f>IF(ISBLANK('Data Entry'!$$131), "", 'Data Entry'!$$131)</f>
      </c>
      <c r="CC131">
        <f>IF(ISBLANK('Data Entry'!$$131), "", 'Data Entry'!$$131)</f>
      </c>
      <c r="CD131">
        <f>IF(ISBLANK('Data Entry'!$$131), "", 'Data Entry'!$$131)</f>
      </c>
      <c r="CE131">
        <f>IF(ISBLANK('Data Entry'!$$131), "", 'Data Entry'!$$131)</f>
      </c>
      <c r="CF131">
        <f>IF(ISBLANK('Data Entry'!$$131), "", 'Data Entry'!$$131)</f>
      </c>
      <c r="CG131">
        <f>IF(ISBLANK('Data Entry'!$$131), "", 'Data Entry'!$$131)</f>
      </c>
      <c r="CH131">
        <f>IF(ISBLANK('Data Entry'!$$131), "", 'Data Entry'!$$131)</f>
      </c>
      <c r="CI131">
        <f>IF(ISBLANK('Data Entry'!$$131), "", 'Data Entry'!$$131)</f>
      </c>
      <c r="CJ131">
        <f>IF(ISBLANK('Data Entry'!$$131), "", 'Data Entry'!$$131)</f>
      </c>
      <c r="CK131">
        <f>IF(ISBLANK('Data Entry'!$$131), "", 'Data Entry'!$$131)</f>
      </c>
      <c r="CL131">
        <f>IF(ISBLANK('Data Entry'!$$131), "", 'Data Entry'!$$131)</f>
      </c>
      <c r="CM131">
        <f>IF(ISBLANK('Data Entry'!$$131), "", 'Data Entry'!$$131)</f>
      </c>
      <c r="CN131">
        <f>IF(ISBLANK('Data Entry'!$$131), "", 'Data Entry'!$$131)</f>
      </c>
      <c r="CO131">
        <f>IF(ISBLANK('Data Entry'!$$131), "", 'Data Entry'!$$131)</f>
      </c>
      <c r="CP131">
        <f>IF(ISBLANK('Data Entry'!$$131), "", 'Data Entry'!$$131)</f>
      </c>
      <c r="CQ131">
        <f>IF(ISBLANK('Data Entry'!$$131), "", 'Data Entry'!$$131)</f>
      </c>
      <c r="CR131">
        <f>IF(ISBLANK('Data Entry'!$ $131), "", 'Data Entry'!$ $131)</f>
      </c>
      <c r="CS131">
        <f>IF(ISBLANK('Data Entry'!$¡$131), "", 'Data Entry'!$¡$131)</f>
      </c>
      <c r="CT131">
        <f>IF(ISBLANK('Data Entry'!$¢$131), "", 'Data Entry'!$¢$131)</f>
      </c>
      <c r="CU131">
        <f>IF(ISBLANK('Data Entry'!$£$131), "", 'Data Entry'!$£$131)</f>
      </c>
      <c r="CV131">
        <f>IF(ISBLANK('Data Entry'!$¤$131), "", 'Data Entry'!$¤$131)</f>
      </c>
      <c r="CW131">
        <f>IF(ISBLANK('Data Entry'!$¥$131), "", 'Data Entry'!$¥$131)</f>
      </c>
      <c r="CX131">
        <f>IF(ISBLANK('Data Entry'!$¦$131), "", 'Data Entry'!$¦$131)</f>
      </c>
      <c r="CY131">
        <f>IF(ISBLANK('Data Entry'!$§$131), "", 'Data Entry'!$§$131)</f>
      </c>
      <c r="CZ131">
        <f>IF(ISBLANK('Data Entry'!$¨$131), "", 'Data Entry'!$¨$131)</f>
      </c>
      <c r="DA131">
        <f>IF(ISBLANK('Data Entry'!$©$131), "", 'Data Entry'!$©$131)</f>
      </c>
      <c r="DB131">
        <f>IF(ISBLANK('Data Entry'!$ª$131), "", 'Data Entry'!$ª$131)</f>
      </c>
      <c r="DC131">
        <f>IF(ISBLANK('Data Entry'!$«$131), "", 'Data Entry'!$«$131)</f>
      </c>
      <c r="DD131">
        <f>IF(ISBLANK('Data Entry'!$¬$131), "", 'Data Entry'!$¬$131)</f>
      </c>
      <c r="DE131">
        <f>IF(ISBLANK('Data Entry'!$­$131), "", 'Data Entry'!$­$131)</f>
      </c>
      <c r="DF131">
        <f>IF(ISBLANK('Data Entry'!$®$131), "", 'Data Entry'!$®$131)</f>
      </c>
      <c r="DG131">
        <f>IF(ISBLANK('Data Entry'!$¯$131), "", 'Data Entry'!$¯$131)</f>
      </c>
      <c r="DH131">
        <f>IF(ISBLANK('Data Entry'!$°$131), "", 'Data Entry'!$°$131)</f>
      </c>
      <c r="DI131">
        <f>IF(ISBLANK('Data Entry'!$±$131), "", 'Data Entry'!$±$131)</f>
      </c>
      <c r="DJ131">
        <f>IF(ISBLANK('Data Entry'!$²$131), "", 'Data Entry'!$²$131)</f>
      </c>
      <c r="DK131">
        <f>IF(ISBLANK('Data Entry'!$³$131), "", 'Data Entry'!$³$131)</f>
      </c>
      <c r="DL131">
        <f>IF(ISBLANK('Data Entry'!$´$131), "", 'Data Entry'!$´$131)</f>
      </c>
      <c r="DM131">
        <f>IF(ISBLANK('Data Entry'!$µ$131), "", 'Data Entry'!$µ$131)</f>
      </c>
      <c r="DN131">
        <f>IF(ISBLANK('Data Entry'!$¶$131), "", 'Data Entry'!$¶$131)</f>
      </c>
      <c r="DO131">
        <f>IF(ISBLANK('Data Entry'!$·$131), "", 'Data Entry'!$·$131)</f>
      </c>
      <c r="DP131">
        <f>IF(ISBLANK('Data Entry'!$¸$131), "", 'Data Entry'!$¸$131)</f>
      </c>
      <c r="DQ131">
        <f>IF(ISBLANK('Data Entry'!$¹$131), "", 'Data Entry'!$¹$131)</f>
      </c>
      <c r="DR131">
        <f>IF(ISBLANK('Data Entry'!$º$131), "", 'Data Entry'!$º$131)</f>
      </c>
      <c r="DS131">
        <f>IF(ISBLANK('Data Entry'!$»$131), "", 'Data Entry'!$»$131)</f>
      </c>
      <c r="DT131">
        <f>IF(ISBLANK('Data Entry'!$¼$131), "", 'Data Entry'!$¼$131)</f>
      </c>
      <c r="DU131">
        <f>IF(ISBLANK('Data Entry'!$½$131), "", 'Data Entry'!$½$131)</f>
      </c>
      <c r="DV131">
        <f>IF(ISBLANK('Data Entry'!$¾$131), "", 'Data Entry'!$¾$131)</f>
      </c>
      <c r="DW131">
        <f>IF(ISBLANK('Data Entry'!$¿$131), "", 'Data Entry'!$¿$131)</f>
      </c>
      <c r="DX131">
        <f>IF(ISBLANK('Data Entry'!$À$131), "", 'Data Entry'!$À$131)</f>
      </c>
      <c r="DY131">
        <f>IF(ISBLANK('Data Entry'!$Á$131), "", 'Data Entry'!$Á$131)</f>
      </c>
      <c r="DZ131">
        <f>IF(ISBLANK('Data Entry'!$Â$131), "", 'Data Entry'!$Â$131)</f>
      </c>
      <c r="EA131">
        <f>IF(ISBLANK('Data Entry'!$Ã$131), "", 'Data Entry'!$Ã$131)</f>
      </c>
      <c r="EB131">
        <f>IF(ISBLANK('Data Entry'!$Ä$131), "", 'Data Entry'!$Ä$131)</f>
      </c>
      <c r="EC131">
        <f>IF(ISBLANK('Data Entry'!$Å$131), "", 'Data Entry'!$Å$131)</f>
      </c>
      <c r="ED131">
        <f>IF(ISBLANK('Data Entry'!$Æ$131), "", 'Data Entry'!$Æ$131)</f>
      </c>
      <c r="EE131">
        <f>IF(ISBLANK('Data Entry'!$Ç$131), "", 'Data Entry'!$Ç$131)</f>
      </c>
      <c r="EF131">
        <f>IF(ISBLANK('Data Entry'!$È$131), "", 'Data Entry'!$È$131)</f>
      </c>
      <c r="EG131">
        <f>IF(ISBLANK('Data Entry'!$É$131), "", 'Data Entry'!$É$131)</f>
      </c>
      <c r="EH131">
        <f>IF(ISBLANK('Data Entry'!$Ê$131), "", 'Data Entry'!$Ê$131)</f>
      </c>
      <c r="EI131">
        <f>IF(ISBLANK('Data Entry'!$Ë$131), "", 'Data Entry'!$Ë$131)</f>
      </c>
      <c r="EJ131">
        <f>IF(ISBLANK('Data Entry'!$Ì$131), "", 'Data Entry'!$Ì$131)</f>
      </c>
      <c r="EK131">
        <f>IF(ISBLANK('Data Entry'!$Í$131), "", 'Data Entry'!$Í$131)</f>
      </c>
      <c r="EL131">
        <f>IF(ISBLANK('Data Entry'!$Î$131), "", 'Data Entry'!$Î$131)</f>
      </c>
      <c r="EM131">
        <f>IF(ISBLANK('Data Entry'!$Ï$131), "", 'Data Entry'!$Ï$131)</f>
      </c>
      <c r="EN131">
        <f>IF(ISBLANK('Data Entry'!$Ð$131), "", 'Data Entry'!$Ð$131)</f>
      </c>
      <c r="EO131">
        <f>IF(ISBLANK('Data Entry'!$Ñ$131), "", 'Data Entry'!$Ñ$131)</f>
      </c>
      <c r="EP131">
        <f>IF(ISBLANK('Data Entry'!$Ò$131), "", 'Data Entry'!$Ò$131)</f>
      </c>
      <c r="EQ131">
        <f>IF(ISBLANK('Data Entry'!$Ó$131), "", 'Data Entry'!$Ó$131)</f>
      </c>
      <c r="ER131">
        <f>IF(ISBLANK('Data Entry'!$Ô$131), "", 'Data Entry'!$Ô$131)</f>
      </c>
      <c r="ES131">
        <f>IF(ISBLANK('Data Entry'!$Õ$131), "", 'Data Entry'!$Õ$131)</f>
      </c>
      <c r="ET131">
        <f>IF(ISBLANK('Data Entry'!$Ö$131), "", 'Data Entry'!$Ö$131)</f>
      </c>
      <c r="EU131">
        <f>IF(ISBLANK('Data Entry'!$×$131), "", 'Data Entry'!$×$131)</f>
      </c>
      <c r="EV131">
        <f>IF(ISBLANK('Data Entry'!$Ø$131), "", 'Data Entry'!$Ø$131)</f>
      </c>
      <c r="EW131">
        <f>IF(ISBLANK('Data Entry'!$Ù$131), "", 'Data Entry'!$Ù$131)</f>
      </c>
      <c r="EX131">
        <f>IF(ISBLANK('Data Entry'!$Ú$131), "", 'Data Entry'!$Ú$131)</f>
      </c>
      <c r="EY131">
        <f>IF(ISBLANK('Data Entry'!$Û$131), "", 'Data Entry'!$Û$131)</f>
      </c>
      <c r="EZ131">
        <f>IF(ISBLANK('Data Entry'!$Ü$131), "", 'Data Entry'!$Ü$131)</f>
      </c>
      <c r="FA131">
        <f>IF(ISBLANK('Data Entry'!$Ý$131), "", 'Data Entry'!$Ý$131)</f>
      </c>
      <c r="FB131">
        <f>IF(ISBLANK('Data Entry'!$Þ$131), "", 'Data Entry'!$Þ$131)</f>
      </c>
      <c r="FC131">
        <f>IF(ISBLANK('Data Entry'!$ß$131), "", 'Data Entry'!$ß$131)</f>
      </c>
      <c r="FD131">
        <f>IF(ISBLANK('Data Entry'!$à$131), "", 'Data Entry'!$à$131)</f>
      </c>
      <c r="FE131">
        <f>IF(ISBLANK('Data Entry'!$á$131), "", 'Data Entry'!$á$131)</f>
      </c>
      <c r="FF131">
        <f>IF(ISBLANK('Data Entry'!$â$131), "", 'Data Entry'!$â$131)</f>
      </c>
      <c r="FG131">
        <f>IF(ISBLANK('Data Entry'!$ã$131), "", 'Data Entry'!$ã$131)</f>
      </c>
      <c r="FH131">
        <f>IF(ISBLANK('Data Entry'!$ä$131), "", 'Data Entry'!$ä$131)</f>
      </c>
      <c r="FI131">
        <f>IF(ISBLANK('Data Entry'!$å$131), "", 'Data Entry'!$å$131)</f>
      </c>
      <c r="FJ131">
        <f>IF(ISBLANK('Data Entry'!$æ$131), "", 'Data Entry'!$æ$131)</f>
      </c>
      <c r="FK131">
        <f>IF(ISBLANK('Data Entry'!$ç$131), "", 'Data Entry'!$ç$131)</f>
      </c>
      <c r="FL131">
        <f>IF(ISBLANK('Data Entry'!$è$131), "", 'Data Entry'!$è$131)</f>
      </c>
      <c r="FM131">
        <f>IF(ISBLANK('Data Entry'!$é$131), "", 'Data Entry'!$é$131)</f>
      </c>
      <c r="FN131">
        <f>IF(ISBLANK('Data Entry'!$ê$131), "", 'Data Entry'!$ê$131)</f>
      </c>
      <c r="FO131">
        <f>IF(ISBLANK('Data Entry'!$ë$131), "", 'Data Entry'!$ë$131)</f>
      </c>
      <c r="FP131">
        <f>IF(ISBLANK('Data Entry'!$ì$131), "", 'Data Entry'!$ì$131)</f>
      </c>
      <c r="FQ131">
        <f>IF(ISBLANK('Data Entry'!$í$131), "", 'Data Entry'!$í$131)</f>
      </c>
      <c r="FR131">
        <f>IF(ISBLANK('Data Entry'!$î$131), "", 'Data Entry'!$î$131)</f>
      </c>
      <c r="FS131">
        <f>IF(ISBLANK('Data Entry'!$ï$131), "", 'Data Entry'!$ï$131)</f>
      </c>
      <c r="FT131">
        <f>IF(ISBLANK('Data Entry'!$ð$131), "", 'Data Entry'!$ð$131)</f>
      </c>
      <c r="FU131">
        <f>IF(ISBLANK('Data Entry'!$ñ$131), "", 'Data Entry'!$ñ$131)</f>
      </c>
      <c r="FV131">
        <f>IF(ISBLANK('Data Entry'!$ò$131), "", 'Data Entry'!$ò$131)</f>
      </c>
      <c r="FW131">
        <f>IF(ISBLANK('Data Entry'!$ó$131), "", 'Data Entry'!$ó$131)</f>
      </c>
      <c r="FX131">
        <f>IF(ISBLANK('Data Entry'!$ô$131), "", 'Data Entry'!$ô$131)</f>
      </c>
      <c r="FY131">
        <f>IF(ISBLANK('Data Entry'!$õ$131), "", 'Data Entry'!$õ$131)</f>
      </c>
      <c r="FZ131">
        <f>IF(ISBLANK('Data Entry'!$ö$131), "", 'Data Entry'!$ö$131)</f>
      </c>
      <c r="GA131">
        <f>IF(ISBLANK('Data Entry'!$÷$131), "", 'Data Entry'!$÷$131)</f>
      </c>
      <c r="GB131">
        <f>IF(ISBLANK('Data Entry'!$ø$131), "", 'Data Entry'!$ø$131)</f>
      </c>
      <c r="GC131">
        <f>IF(ISBLANK('Data Entry'!$ù$131), "", 'Data Entry'!$ù$131)</f>
      </c>
      <c r="GD131">
        <f>IF(ISBLANK('Data Entry'!$ú$131), "", 'Data Entry'!$ú$131)</f>
      </c>
      <c r="GE131">
        <f>IF(ISBLANK('Data Entry'!$û$131), "", 'Data Entry'!$û$131)</f>
      </c>
      <c r="GF131">
        <f>IF(ISBLANK('Data Entry'!$ü$131), "", 'Data Entry'!$ü$131)</f>
      </c>
      <c r="GG131">
        <f>IF(ISBLANK('Data Entry'!$ý$131), "", 'Data Entry'!$ý$131)</f>
      </c>
      <c r="GH131">
        <f>IF(ISBLANK('Data Entry'!$þ$131), "", 'Data Entry'!$þ$131)</f>
      </c>
      <c r="GI131">
        <f>IF(ISBLANK('Data Entry'!$ÿ$131), "", 'Data Entry'!$ÿ$131)</f>
      </c>
      <c r="GJ131">
        <f>IF(ISBLANK('Data Entry'!$Ā$131), "", 'Data Entry'!$Ā$131)</f>
      </c>
      <c r="GK131">
        <f>IF(ISBLANK('Data Entry'!$ā$131), "", 'Data Entry'!$ā$131)</f>
      </c>
      <c r="GL131">
        <f>IF(ISBLANK('Data Entry'!$Ă$131), "", 'Data Entry'!$Ă$131)</f>
      </c>
      <c r="GM131">
        <f>IF(ISBLANK('Data Entry'!$ă$131), "", 'Data Entry'!$ă$131)</f>
      </c>
      <c r="GN131">
        <f>IF(ISBLANK('Data Entry'!$Ą$131), "", 'Data Entry'!$Ą$131)</f>
      </c>
      <c r="GO131">
        <f>IF(ISBLANK('Data Entry'!$ą$131), "", 'Data Entry'!$ą$131)</f>
      </c>
      <c r="GP131">
        <f>IF(ISBLANK('Data Entry'!$Ć$131), "", 'Data Entry'!$Ć$131)</f>
      </c>
      <c r="GQ131">
        <f>IF(ISBLANK('Data Entry'!$ć$131), "", 'Data Entry'!$ć$131)</f>
      </c>
      <c r="GR131">
        <f>IF(ISBLANK('Data Entry'!$Ĉ$131), "", 'Data Entry'!$Ĉ$131)</f>
      </c>
      <c r="GS131">
        <f>IF(ISBLANK('Data Entry'!$ĉ$131), "", 'Data Entry'!$ĉ$131)</f>
      </c>
      <c r="GT131">
        <f>IF(ISBLANK('Data Entry'!$Ċ$131), "", 'Data Entry'!$Ċ$131)</f>
      </c>
      <c r="GU131">
        <f>IF(ISBLANK('Data Entry'!$ċ$131), "", 'Data Entry'!$ċ$131)</f>
      </c>
      <c r="GV131">
        <f>IF(ISBLANK('Data Entry'!$Č$131), "", 'Data Entry'!$Č$131)</f>
      </c>
      <c r="GW131">
        <f>IF(ISBLANK('Data Entry'!$č$131), "", 'Data Entry'!$č$131)</f>
      </c>
      <c r="GX131">
        <f>IF(ISBLANK('Data Entry'!$Ď$131), "", 'Data Entry'!$Ď$131)</f>
      </c>
      <c r="GY131">
        <f>IF(ISBLANK('Data Entry'!$ď$131), "", 'Data Entry'!$ď$131)</f>
      </c>
      <c r="GZ131">
        <f>IF(ISBLANK('Data Entry'!$Đ$131), "", 'Data Entry'!$Đ$131)</f>
      </c>
      <c r="HA131">
        <f>IF(ISBLANK('Data Entry'!$đ$131), "", 'Data Entry'!$đ$131)</f>
      </c>
      <c r="HB131">
        <f>IF(ISBLANK('Data Entry'!$Ē$131), "", 'Data Entry'!$Ē$131)</f>
      </c>
      <c r="HC131">
        <f>IF(ISBLANK('Data Entry'!$ē$131), "", 'Data Entry'!$ē$131)</f>
      </c>
      <c r="HD131">
        <f>IF(ISBLANK('Data Entry'!$Ĕ$131), "", 'Data Entry'!$Ĕ$131)</f>
      </c>
      <c r="HE131">
        <f>IF(ISBLANK('Data Entry'!$ĕ$131), "", 'Data Entry'!$ĕ$131)</f>
      </c>
      <c r="HF131">
        <f>IF(ISBLANK('Data Entry'!$Ė$131), "", 'Data Entry'!$Ė$131)</f>
      </c>
      <c r="HG131">
        <f>IF(ISBLANK('Data Entry'!$ė$131), "", 'Data Entry'!$ė$131)</f>
      </c>
      <c r="HH131">
        <f>IF(ISBLANK('Data Entry'!$Ę$131), "", 'Data Entry'!$Ę$131)</f>
      </c>
      <c r="HI131">
        <f>IF(ISBLANK('Data Entry'!$ę$131), "", 'Data Entry'!$ę$131)</f>
      </c>
      <c r="HJ131">
        <f>IF(ISBLANK('Data Entry'!$Ě$131), "", 'Data Entry'!$Ě$131)</f>
      </c>
      <c r="HK131">
        <f>IF(ISBLANK('Data Entry'!$ě$131), "", 'Data Entry'!$ě$131)</f>
      </c>
      <c r="HL131">
        <f>IF(ISBLANK('Data Entry'!$Ĝ$131), "", 'Data Entry'!$Ĝ$131)</f>
      </c>
      <c r="HM131">
        <f>IF(ISBLANK('Data Entry'!$ĝ$131), "", 'Data Entry'!$ĝ$131)</f>
      </c>
      <c r="HN131">
        <f>IF(ISBLANK('Data Entry'!$Ğ$131), "", 'Data Entry'!$Ğ$131)</f>
      </c>
      <c r="HO131">
        <f>IF(ISBLANK('Data Entry'!$ğ$131), "", 'Data Entry'!$ğ$131)</f>
      </c>
      <c r="HP131">
        <f>IF(ISBLANK('Data Entry'!$Ġ$131), "", 'Data Entry'!$Ġ$131)</f>
      </c>
      <c r="HQ131">
        <f>IF(ISBLANK('Data Entry'!$ġ$131), "", 'Data Entry'!$ġ$131)</f>
      </c>
      <c r="HR131">
        <f>IF(ISBLANK('Data Entry'!$Ģ$131), "", 'Data Entry'!$Ģ$131)</f>
      </c>
      <c r="HS131">
        <f>IF(ISBLANK('Data Entry'!$ģ$131), "", 'Data Entry'!$ģ$131)</f>
      </c>
      <c r="HT131">
        <f>IF(ISBLANK('Data Entry'!$Ĥ$131), "", 'Data Entry'!$Ĥ$131)</f>
      </c>
      <c r="HU131">
        <f>IF(ISBLANK('Data Entry'!$ĥ$131), "", 'Data Entry'!$ĥ$131)</f>
      </c>
      <c r="HV131">
        <f>IF(ISBLANK('Data Entry'!$Ħ$131), "", 'Data Entry'!$Ħ$131)</f>
      </c>
      <c r="HW131">
        <f>IF(ISBLANK('Data Entry'!$ħ$131), "", 'Data Entry'!$ħ$131)</f>
      </c>
      <c r="HX131">
        <f>IF(ISBLANK('Data Entry'!$Ĩ$131), "", 'Data Entry'!$Ĩ$131)</f>
      </c>
      <c r="HY131">
        <f>IF(ISBLANK('Data Entry'!$ĩ$131), "", 'Data Entry'!$ĩ$131)</f>
      </c>
      <c r="HZ131">
        <f>IF(ISBLANK('Data Entry'!$Ī$131), "", 'Data Entry'!$Ī$131)</f>
      </c>
      <c r="IA131">
        <f>IF(ISBLANK('Data Entry'!$ī$131), "", 'Data Entry'!$ī$131)</f>
      </c>
      <c r="IB131">
        <f>IF(ISBLANK('Data Entry'!$Ĭ$131), "", 'Data Entry'!$Ĭ$131)</f>
      </c>
      <c r="IC131">
        <f>IF(ISBLANK('Data Entry'!$ĭ$131), "", 'Data Entry'!$ĭ$131)</f>
      </c>
      <c r="ID131">
        <f>IF(ISBLANK('Data Entry'!$Į$131), "", 'Data Entry'!$Į$131)</f>
      </c>
      <c r="IE131">
        <f>IF(ISBLANK('Data Entry'!$į$131), "", 'Data Entry'!$į$131)</f>
      </c>
      <c r="IF131">
        <f>IF(ISBLANK('Data Entry'!$İ$131), "", 'Data Entry'!$İ$131)</f>
      </c>
      <c r="IG131">
        <f>IF(ISBLANK('Data Entry'!$ı$131), "", 'Data Entry'!$ı$131)</f>
      </c>
      <c r="IH131">
        <f>IF(ISBLANK('Data Entry'!$Ĳ$131), "", 'Data Entry'!$Ĳ$131)</f>
      </c>
      <c r="II131">
        <f>IF(ISBLANK('Data Entry'!$ĳ$131), "", 'Data Entry'!$ĳ$131)</f>
      </c>
      <c r="IJ131">
        <f>IF(ISBLANK('Data Entry'!$Ĵ$131), "", 'Data Entry'!$Ĵ$131)</f>
      </c>
      <c r="IK131">
        <f>IF(ISBLANK('Data Entry'!$ĵ$131), "", 'Data Entry'!$ĵ$131)</f>
      </c>
      <c r="IL131">
        <f>IF(ISBLANK('Data Entry'!$Ķ$131), "", 'Data Entry'!$Ķ$131)</f>
      </c>
      <c r="IM131">
        <f>IF(ISBLANK('Data Entry'!$ķ$131), "", 'Data Entry'!$ķ$131)</f>
      </c>
      <c r="IN131">
        <f>IF(ISBLANK('Data Entry'!$ĸ$131), "", 'Data Entry'!$ĸ$131)</f>
      </c>
      <c r="IO131">
        <f>IF(ISBLANK('Data Entry'!$Ĺ$131), "", 'Data Entry'!$Ĺ$131)</f>
      </c>
      <c r="IP131">
        <f>IF(ISBLANK('Data Entry'!$ĺ$131), "", 'Data Entry'!$ĺ$131)</f>
      </c>
      <c r="IQ131">
        <f>IF(ISBLANK('Data Entry'!$Ļ$131), "", 'Data Entry'!$Ļ$131)</f>
      </c>
      <c r="IR131">
        <f>IF(ISBLANK('Data Entry'!$ļ$131), "", 'Data Entry'!$ļ$131)</f>
      </c>
      <c r="IS131">
        <f>IF(ISBLANK('Data Entry'!$Ľ$131), "", 'Data Entry'!$Ľ$131)</f>
      </c>
      <c r="IT131">
        <f>IF(ISBLANK('Data Entry'!$ľ$131), "", 'Data Entry'!$ľ$131)</f>
      </c>
    </row>
    <row r="132" spans="1:254" x14ac:dyDescent="0.25">
      <c r="A132">
        <f>IF(ISBLANK('Data Entry'!$A$132), "", 'Data Entry'!$A$132)</f>
      </c>
      <c r="B132">
        <f>IF(ISBLANK('Data Entry'!$B$132), "", 'Data Entry'!$B$132)</f>
      </c>
      <c r="C132">
        <f>IF(ISBLANK('Data Entry'!$C$132), "", 'Data Entry'!$C$132)</f>
      </c>
      <c r="D132">
        <f>IF(ISBLANK('Data Entry'!$D$132), "", 'Data Entry'!$D$132)</f>
      </c>
      <c r="E132">
        <f>IF(ISBLANK('Data Entry'!$E$132), "", 'Data Entry'!$E$132)</f>
      </c>
      <c r="F132">
        <f>IF(ISBLANK('Data Entry'!$F$132), "", 'Data Entry'!$F$132)</f>
      </c>
      <c r="G132">
        <f>IF(ISBLANK('Data Entry'!$G$132), "", 'Data Entry'!$G$132)</f>
      </c>
      <c r="H132">
        <f>IF(ISBLANK('Data Entry'!$H$132), "", 'Data Entry'!$H$132)</f>
      </c>
      <c r="I132">
        <f>IF(ISBLANK('Data Entry'!$I$132), "", 'Data Entry'!$I$132)</f>
      </c>
      <c r="J132">
        <f>IF(ISBLANK('Data Entry'!$J$132), "", 'Data Entry'!$J$132)</f>
      </c>
      <c r="K132">
        <f>IF(ISBLANK('Data Entry'!$K$132), "", 'Data Entry'!$K$132)</f>
      </c>
      <c r="L132">
        <f>IF(ISBLANK('Data Entry'!$L$132), "", 'Data Entry'!$L$132)</f>
      </c>
      <c r="M132">
        <f>IF(ISBLANK('Data Entry'!$M$132), "", 'Data Entry'!$M$132)</f>
      </c>
      <c r="N132">
        <f>IF(ISBLANK('Data Entry'!$N$132), "", 'Data Entry'!$N$132)</f>
      </c>
      <c r="O132">
        <f>IF(ISBLANK('Data Entry'!$O$132), "", 'Data Entry'!$O$132)</f>
      </c>
      <c r="P132">
        <f>IF(ISBLANK('Data Entry'!$P$132), "", 'Data Entry'!$P$132)</f>
      </c>
      <c r="Q132">
        <f>IF(ISBLANK('Data Entry'!$Q$132), "", 'Data Entry'!$Q$132)</f>
      </c>
      <c r="R132">
        <f>IF(ISBLANK('Data Entry'!$R$132), "", 'Data Entry'!$R$132)</f>
      </c>
      <c r="S132">
        <f>IF(ISBLANK('Data Entry'!$S$132), "", 'Data Entry'!$S$132)</f>
      </c>
      <c r="T132">
        <f>IF(ISBLANK('Data Entry'!$T$132), "", 'Data Entry'!$T$132)</f>
      </c>
      <c r="U132">
        <f>IF(ISBLANK('Data Entry'!$U$132), "", 'Data Entry'!$U$132)</f>
      </c>
      <c r="V132">
        <f>IF(ISBLANK('Data Entry'!$V$132), "", 'Data Entry'!$V$132)</f>
      </c>
      <c r="W132">
        <f>IF(ISBLANK('Data Entry'!$W$132), "", 'Data Entry'!$W$132)</f>
      </c>
      <c r="X132">
        <f>IF(ISBLANK('Data Entry'!$X$132), "", 'Data Entry'!$X$132)</f>
      </c>
      <c r="Y132">
        <f>IF(ISBLANK('Data Entry'!$Y$132), "", 'Data Entry'!$Y$132)</f>
      </c>
      <c r="Z132">
        <f>IF(ISBLANK('Data Entry'!$Z$132), "", 'Data Entry'!$Z$132)</f>
      </c>
      <c r="AA132">
        <f>IF(ISBLANK('Data Entry'!$[$132), "", 'Data Entry'!$[$132)</f>
      </c>
      <c r="AB132">
        <f>IF(ISBLANK('Data Entry'!$\$132), "", 'Data Entry'!$\$132)</f>
      </c>
      <c r="AC132">
        <f>IF(ISBLANK('Data Entry'!$]$132), "", 'Data Entry'!$]$132)</f>
      </c>
      <c r="AD132">
        <f>IF(ISBLANK('Data Entry'!$^$132), "", 'Data Entry'!$^$132)</f>
      </c>
      <c r="AE132">
        <f>IF(ISBLANK('Data Entry'!$_$132), "", 'Data Entry'!$_$132)</f>
      </c>
      <c r="AF132">
        <f>IF(ISBLANK('Data Entry'!$`$132), "", 'Data Entry'!$`$132)</f>
      </c>
      <c r="AG132">
        <f>IF(ISBLANK('Data Entry'!$a$132), "", 'Data Entry'!$a$132)</f>
      </c>
      <c r="AH132">
        <f>IF(ISBLANK('Data Entry'!$b$132), "", 'Data Entry'!$b$132)</f>
      </c>
      <c r="AI132">
        <f>IF(ISBLANK('Data Entry'!$c$132), "", 'Data Entry'!$c$132)</f>
      </c>
      <c r="AJ132">
        <f>IF(ISBLANK('Data Entry'!$d$132), "", 'Data Entry'!$d$132)</f>
      </c>
      <c r="AK132">
        <f>IF(ISBLANK('Data Entry'!$e$132), "", 'Data Entry'!$e$132)</f>
      </c>
      <c r="AL132">
        <f>IF(ISBLANK('Data Entry'!$f$132), "", 'Data Entry'!$f$132)</f>
      </c>
      <c r="AM132">
        <f>IF(ISBLANK('Data Entry'!$g$132), "", 'Data Entry'!$g$132)</f>
      </c>
      <c r="AN132">
        <f>IF(ISBLANK('Data Entry'!$h$132), "", 'Data Entry'!$h$132)</f>
      </c>
      <c r="AO132">
        <f>IF(ISBLANK('Data Entry'!$i$132), "", 'Data Entry'!$i$132)</f>
      </c>
      <c r="AP132">
        <f>IF(ISBLANK('Data Entry'!$j$132), "", 'Data Entry'!$j$132)</f>
      </c>
      <c r="AQ132">
        <f>IF(ISBLANK('Data Entry'!$k$132), "", 'Data Entry'!$k$132)</f>
      </c>
      <c r="AR132">
        <f>IF(ISBLANK('Data Entry'!$l$132), "", 'Data Entry'!$l$132)</f>
      </c>
      <c r="AS132">
        <f>IF(ISBLANK('Data Entry'!$m$132), "", 'Data Entry'!$m$132)</f>
      </c>
      <c r="AT132">
        <f>IF(ISBLANK('Data Entry'!$n$132), "", 'Data Entry'!$n$132)</f>
      </c>
      <c r="AU132">
        <f>IF(ISBLANK('Data Entry'!$o$132), "", 'Data Entry'!$o$132)</f>
      </c>
      <c r="AV132">
        <f>IF(ISBLANK('Data Entry'!$p$132), "", 'Data Entry'!$p$132)</f>
      </c>
      <c r="AW132">
        <f>IF(ISBLANK('Data Entry'!$q$132), "", 'Data Entry'!$q$132)</f>
      </c>
      <c r="AX132">
        <f>IF(ISBLANK('Data Entry'!$r$132), "", 'Data Entry'!$r$132)</f>
      </c>
      <c r="AY132">
        <f>IF(ISBLANK('Data Entry'!$s$132), "", 'Data Entry'!$s$132)</f>
      </c>
      <c r="AZ132">
        <f>IF(ISBLANK('Data Entry'!$t$132), "", 'Data Entry'!$t$132)</f>
      </c>
      <c r="BA132">
        <f>IF(ISBLANK('Data Entry'!$u$132), "", 'Data Entry'!$u$132)</f>
      </c>
      <c r="BB132">
        <f>IF(ISBLANK('Data Entry'!$v$132), "", 'Data Entry'!$v$132)</f>
      </c>
      <c r="BC132">
        <f>IF(ISBLANK('Data Entry'!$w$132), "", 'Data Entry'!$w$132)</f>
      </c>
      <c r="BD132">
        <f>IF(ISBLANK('Data Entry'!$x$132), "", 'Data Entry'!$x$132)</f>
      </c>
      <c r="BE132">
        <f>IF(ISBLANK('Data Entry'!$y$132), "", 'Data Entry'!$y$132)</f>
      </c>
      <c r="BF132">
        <f>IF(ISBLANK('Data Entry'!$z$132), "", 'Data Entry'!$z$132)</f>
      </c>
      <c r="BG132">
        <f>IF(ISBLANK('Data Entry'!${$132), "", 'Data Entry'!${$132)</f>
      </c>
      <c r="BH132">
        <f>IF(ISBLANK('Data Entry'!$|$132), "", 'Data Entry'!$|$132)</f>
      </c>
      <c r="BI132">
        <f>IF(ISBLANK('Data Entry'!$}$132), "", 'Data Entry'!$}$132)</f>
      </c>
      <c r="BJ132">
        <f>IF(ISBLANK('Data Entry'!$~$132), "", 'Data Entry'!$~$132)</f>
      </c>
      <c r="BK132">
        <f>IF(ISBLANK('Data Entry'!$$132), "", 'Data Entry'!$$132)</f>
      </c>
      <c r="BL132">
        <f>IF(ISBLANK('Data Entry'!$$132), "", 'Data Entry'!$$132)</f>
      </c>
      <c r="BM132">
        <f>IF(ISBLANK('Data Entry'!$$132), "", 'Data Entry'!$$132)</f>
      </c>
      <c r="BN132">
        <f>IF(ISBLANK('Data Entry'!$$132), "", 'Data Entry'!$$132)</f>
      </c>
      <c r="BO132">
        <f>IF(ISBLANK('Data Entry'!$$132), "", 'Data Entry'!$$132)</f>
      </c>
      <c r="BP132">
        <f>IF(ISBLANK('Data Entry'!$$132), "", 'Data Entry'!$$132)</f>
      </c>
      <c r="BQ132">
        <f>IF(ISBLANK('Data Entry'!$$132), "", 'Data Entry'!$$132)</f>
      </c>
      <c r="BR132">
        <f>IF(ISBLANK('Data Entry'!$$132), "", 'Data Entry'!$$132)</f>
      </c>
      <c r="BS132">
        <f>IF(ISBLANK('Data Entry'!$$132), "", 'Data Entry'!$$132)</f>
      </c>
      <c r="BT132">
        <f>IF(ISBLANK('Data Entry'!$$132), "", 'Data Entry'!$$132)</f>
      </c>
      <c r="BU132">
        <f>IF(ISBLANK('Data Entry'!$$132), "", 'Data Entry'!$$132)</f>
      </c>
      <c r="BV132">
        <f>IF(ISBLANK('Data Entry'!$$132), "", 'Data Entry'!$$132)</f>
      </c>
      <c r="BW132">
        <f>IF(ISBLANK('Data Entry'!$$132), "", 'Data Entry'!$$132)</f>
      </c>
      <c r="BX132">
        <f>IF(ISBLANK('Data Entry'!$$132), "", 'Data Entry'!$$132)</f>
      </c>
      <c r="BY132">
        <f>IF(ISBLANK('Data Entry'!$$132), "", 'Data Entry'!$$132)</f>
      </c>
      <c r="BZ132">
        <f>IF(ISBLANK('Data Entry'!$$132), "", 'Data Entry'!$$132)</f>
      </c>
      <c r="CA132">
        <f>IF(ISBLANK('Data Entry'!$$132), "", 'Data Entry'!$$132)</f>
      </c>
      <c r="CB132">
        <f>IF(ISBLANK('Data Entry'!$$132), "", 'Data Entry'!$$132)</f>
      </c>
      <c r="CC132">
        <f>IF(ISBLANK('Data Entry'!$$132), "", 'Data Entry'!$$132)</f>
      </c>
      <c r="CD132">
        <f>IF(ISBLANK('Data Entry'!$$132), "", 'Data Entry'!$$132)</f>
      </c>
      <c r="CE132">
        <f>IF(ISBLANK('Data Entry'!$$132), "", 'Data Entry'!$$132)</f>
      </c>
      <c r="CF132">
        <f>IF(ISBLANK('Data Entry'!$$132), "", 'Data Entry'!$$132)</f>
      </c>
      <c r="CG132">
        <f>IF(ISBLANK('Data Entry'!$$132), "", 'Data Entry'!$$132)</f>
      </c>
      <c r="CH132">
        <f>IF(ISBLANK('Data Entry'!$$132), "", 'Data Entry'!$$132)</f>
      </c>
      <c r="CI132">
        <f>IF(ISBLANK('Data Entry'!$$132), "", 'Data Entry'!$$132)</f>
      </c>
      <c r="CJ132">
        <f>IF(ISBLANK('Data Entry'!$$132), "", 'Data Entry'!$$132)</f>
      </c>
      <c r="CK132">
        <f>IF(ISBLANK('Data Entry'!$$132), "", 'Data Entry'!$$132)</f>
      </c>
      <c r="CL132">
        <f>IF(ISBLANK('Data Entry'!$$132), "", 'Data Entry'!$$132)</f>
      </c>
      <c r="CM132">
        <f>IF(ISBLANK('Data Entry'!$$132), "", 'Data Entry'!$$132)</f>
      </c>
      <c r="CN132">
        <f>IF(ISBLANK('Data Entry'!$$132), "", 'Data Entry'!$$132)</f>
      </c>
      <c r="CO132">
        <f>IF(ISBLANK('Data Entry'!$$132), "", 'Data Entry'!$$132)</f>
      </c>
      <c r="CP132">
        <f>IF(ISBLANK('Data Entry'!$$132), "", 'Data Entry'!$$132)</f>
      </c>
      <c r="CQ132">
        <f>IF(ISBLANK('Data Entry'!$$132), "", 'Data Entry'!$$132)</f>
      </c>
      <c r="CR132">
        <f>IF(ISBLANK('Data Entry'!$ $132), "", 'Data Entry'!$ $132)</f>
      </c>
      <c r="CS132">
        <f>IF(ISBLANK('Data Entry'!$¡$132), "", 'Data Entry'!$¡$132)</f>
      </c>
      <c r="CT132">
        <f>IF(ISBLANK('Data Entry'!$¢$132), "", 'Data Entry'!$¢$132)</f>
      </c>
      <c r="CU132">
        <f>IF(ISBLANK('Data Entry'!$£$132), "", 'Data Entry'!$£$132)</f>
      </c>
      <c r="CV132">
        <f>IF(ISBLANK('Data Entry'!$¤$132), "", 'Data Entry'!$¤$132)</f>
      </c>
      <c r="CW132">
        <f>IF(ISBLANK('Data Entry'!$¥$132), "", 'Data Entry'!$¥$132)</f>
      </c>
      <c r="CX132">
        <f>IF(ISBLANK('Data Entry'!$¦$132), "", 'Data Entry'!$¦$132)</f>
      </c>
      <c r="CY132">
        <f>IF(ISBLANK('Data Entry'!$§$132), "", 'Data Entry'!$§$132)</f>
      </c>
      <c r="CZ132">
        <f>IF(ISBLANK('Data Entry'!$¨$132), "", 'Data Entry'!$¨$132)</f>
      </c>
      <c r="DA132">
        <f>IF(ISBLANK('Data Entry'!$©$132), "", 'Data Entry'!$©$132)</f>
      </c>
      <c r="DB132">
        <f>IF(ISBLANK('Data Entry'!$ª$132), "", 'Data Entry'!$ª$132)</f>
      </c>
      <c r="DC132">
        <f>IF(ISBLANK('Data Entry'!$«$132), "", 'Data Entry'!$«$132)</f>
      </c>
      <c r="DD132">
        <f>IF(ISBLANK('Data Entry'!$¬$132), "", 'Data Entry'!$¬$132)</f>
      </c>
      <c r="DE132">
        <f>IF(ISBLANK('Data Entry'!$­$132), "", 'Data Entry'!$­$132)</f>
      </c>
      <c r="DF132">
        <f>IF(ISBLANK('Data Entry'!$®$132), "", 'Data Entry'!$®$132)</f>
      </c>
      <c r="DG132">
        <f>IF(ISBLANK('Data Entry'!$¯$132), "", 'Data Entry'!$¯$132)</f>
      </c>
      <c r="DH132">
        <f>IF(ISBLANK('Data Entry'!$°$132), "", 'Data Entry'!$°$132)</f>
      </c>
      <c r="DI132">
        <f>IF(ISBLANK('Data Entry'!$±$132), "", 'Data Entry'!$±$132)</f>
      </c>
      <c r="DJ132">
        <f>IF(ISBLANK('Data Entry'!$²$132), "", 'Data Entry'!$²$132)</f>
      </c>
      <c r="DK132">
        <f>IF(ISBLANK('Data Entry'!$³$132), "", 'Data Entry'!$³$132)</f>
      </c>
      <c r="DL132">
        <f>IF(ISBLANK('Data Entry'!$´$132), "", 'Data Entry'!$´$132)</f>
      </c>
      <c r="DM132">
        <f>IF(ISBLANK('Data Entry'!$µ$132), "", 'Data Entry'!$µ$132)</f>
      </c>
      <c r="DN132">
        <f>IF(ISBLANK('Data Entry'!$¶$132), "", 'Data Entry'!$¶$132)</f>
      </c>
      <c r="DO132">
        <f>IF(ISBLANK('Data Entry'!$·$132), "", 'Data Entry'!$·$132)</f>
      </c>
      <c r="DP132">
        <f>IF(ISBLANK('Data Entry'!$¸$132), "", 'Data Entry'!$¸$132)</f>
      </c>
      <c r="DQ132">
        <f>IF(ISBLANK('Data Entry'!$¹$132), "", 'Data Entry'!$¹$132)</f>
      </c>
      <c r="DR132">
        <f>IF(ISBLANK('Data Entry'!$º$132), "", 'Data Entry'!$º$132)</f>
      </c>
      <c r="DS132">
        <f>IF(ISBLANK('Data Entry'!$»$132), "", 'Data Entry'!$»$132)</f>
      </c>
      <c r="DT132">
        <f>IF(ISBLANK('Data Entry'!$¼$132), "", 'Data Entry'!$¼$132)</f>
      </c>
      <c r="DU132">
        <f>IF(ISBLANK('Data Entry'!$½$132), "", 'Data Entry'!$½$132)</f>
      </c>
      <c r="DV132">
        <f>IF(ISBLANK('Data Entry'!$¾$132), "", 'Data Entry'!$¾$132)</f>
      </c>
      <c r="DW132">
        <f>IF(ISBLANK('Data Entry'!$¿$132), "", 'Data Entry'!$¿$132)</f>
      </c>
      <c r="DX132">
        <f>IF(ISBLANK('Data Entry'!$À$132), "", 'Data Entry'!$À$132)</f>
      </c>
      <c r="DY132">
        <f>IF(ISBLANK('Data Entry'!$Á$132), "", 'Data Entry'!$Á$132)</f>
      </c>
      <c r="DZ132">
        <f>IF(ISBLANK('Data Entry'!$Â$132), "", 'Data Entry'!$Â$132)</f>
      </c>
      <c r="EA132">
        <f>IF(ISBLANK('Data Entry'!$Ã$132), "", 'Data Entry'!$Ã$132)</f>
      </c>
      <c r="EB132">
        <f>IF(ISBLANK('Data Entry'!$Ä$132), "", 'Data Entry'!$Ä$132)</f>
      </c>
      <c r="EC132">
        <f>IF(ISBLANK('Data Entry'!$Å$132), "", 'Data Entry'!$Å$132)</f>
      </c>
      <c r="ED132">
        <f>IF(ISBLANK('Data Entry'!$Æ$132), "", 'Data Entry'!$Æ$132)</f>
      </c>
      <c r="EE132">
        <f>IF(ISBLANK('Data Entry'!$Ç$132), "", 'Data Entry'!$Ç$132)</f>
      </c>
      <c r="EF132">
        <f>IF(ISBLANK('Data Entry'!$È$132), "", 'Data Entry'!$È$132)</f>
      </c>
      <c r="EG132">
        <f>IF(ISBLANK('Data Entry'!$É$132), "", 'Data Entry'!$É$132)</f>
      </c>
      <c r="EH132">
        <f>IF(ISBLANK('Data Entry'!$Ê$132), "", 'Data Entry'!$Ê$132)</f>
      </c>
      <c r="EI132">
        <f>IF(ISBLANK('Data Entry'!$Ë$132), "", 'Data Entry'!$Ë$132)</f>
      </c>
      <c r="EJ132">
        <f>IF(ISBLANK('Data Entry'!$Ì$132), "", 'Data Entry'!$Ì$132)</f>
      </c>
      <c r="EK132">
        <f>IF(ISBLANK('Data Entry'!$Í$132), "", 'Data Entry'!$Í$132)</f>
      </c>
      <c r="EL132">
        <f>IF(ISBLANK('Data Entry'!$Î$132), "", 'Data Entry'!$Î$132)</f>
      </c>
      <c r="EM132">
        <f>IF(ISBLANK('Data Entry'!$Ï$132), "", 'Data Entry'!$Ï$132)</f>
      </c>
      <c r="EN132">
        <f>IF(ISBLANK('Data Entry'!$Ð$132), "", 'Data Entry'!$Ð$132)</f>
      </c>
      <c r="EO132">
        <f>IF(ISBLANK('Data Entry'!$Ñ$132), "", 'Data Entry'!$Ñ$132)</f>
      </c>
      <c r="EP132">
        <f>IF(ISBLANK('Data Entry'!$Ò$132), "", 'Data Entry'!$Ò$132)</f>
      </c>
      <c r="EQ132">
        <f>IF(ISBLANK('Data Entry'!$Ó$132), "", 'Data Entry'!$Ó$132)</f>
      </c>
      <c r="ER132">
        <f>IF(ISBLANK('Data Entry'!$Ô$132), "", 'Data Entry'!$Ô$132)</f>
      </c>
      <c r="ES132">
        <f>IF(ISBLANK('Data Entry'!$Õ$132), "", 'Data Entry'!$Õ$132)</f>
      </c>
      <c r="ET132">
        <f>IF(ISBLANK('Data Entry'!$Ö$132), "", 'Data Entry'!$Ö$132)</f>
      </c>
      <c r="EU132">
        <f>IF(ISBLANK('Data Entry'!$×$132), "", 'Data Entry'!$×$132)</f>
      </c>
      <c r="EV132">
        <f>IF(ISBLANK('Data Entry'!$Ø$132), "", 'Data Entry'!$Ø$132)</f>
      </c>
      <c r="EW132">
        <f>IF(ISBLANK('Data Entry'!$Ù$132), "", 'Data Entry'!$Ù$132)</f>
      </c>
      <c r="EX132">
        <f>IF(ISBLANK('Data Entry'!$Ú$132), "", 'Data Entry'!$Ú$132)</f>
      </c>
      <c r="EY132">
        <f>IF(ISBLANK('Data Entry'!$Û$132), "", 'Data Entry'!$Û$132)</f>
      </c>
      <c r="EZ132">
        <f>IF(ISBLANK('Data Entry'!$Ü$132), "", 'Data Entry'!$Ü$132)</f>
      </c>
      <c r="FA132">
        <f>IF(ISBLANK('Data Entry'!$Ý$132), "", 'Data Entry'!$Ý$132)</f>
      </c>
      <c r="FB132">
        <f>IF(ISBLANK('Data Entry'!$Þ$132), "", 'Data Entry'!$Þ$132)</f>
      </c>
      <c r="FC132">
        <f>IF(ISBLANK('Data Entry'!$ß$132), "", 'Data Entry'!$ß$132)</f>
      </c>
      <c r="FD132">
        <f>IF(ISBLANK('Data Entry'!$à$132), "", 'Data Entry'!$à$132)</f>
      </c>
      <c r="FE132">
        <f>IF(ISBLANK('Data Entry'!$á$132), "", 'Data Entry'!$á$132)</f>
      </c>
      <c r="FF132">
        <f>IF(ISBLANK('Data Entry'!$â$132), "", 'Data Entry'!$â$132)</f>
      </c>
      <c r="FG132">
        <f>IF(ISBLANK('Data Entry'!$ã$132), "", 'Data Entry'!$ã$132)</f>
      </c>
      <c r="FH132">
        <f>IF(ISBLANK('Data Entry'!$ä$132), "", 'Data Entry'!$ä$132)</f>
      </c>
      <c r="FI132">
        <f>IF(ISBLANK('Data Entry'!$å$132), "", 'Data Entry'!$å$132)</f>
      </c>
      <c r="FJ132">
        <f>IF(ISBLANK('Data Entry'!$æ$132), "", 'Data Entry'!$æ$132)</f>
      </c>
      <c r="FK132">
        <f>IF(ISBLANK('Data Entry'!$ç$132), "", 'Data Entry'!$ç$132)</f>
      </c>
      <c r="FL132">
        <f>IF(ISBLANK('Data Entry'!$è$132), "", 'Data Entry'!$è$132)</f>
      </c>
      <c r="FM132">
        <f>IF(ISBLANK('Data Entry'!$é$132), "", 'Data Entry'!$é$132)</f>
      </c>
      <c r="FN132">
        <f>IF(ISBLANK('Data Entry'!$ê$132), "", 'Data Entry'!$ê$132)</f>
      </c>
      <c r="FO132">
        <f>IF(ISBLANK('Data Entry'!$ë$132), "", 'Data Entry'!$ë$132)</f>
      </c>
      <c r="FP132">
        <f>IF(ISBLANK('Data Entry'!$ì$132), "", 'Data Entry'!$ì$132)</f>
      </c>
      <c r="FQ132">
        <f>IF(ISBLANK('Data Entry'!$í$132), "", 'Data Entry'!$í$132)</f>
      </c>
      <c r="FR132">
        <f>IF(ISBLANK('Data Entry'!$î$132), "", 'Data Entry'!$î$132)</f>
      </c>
      <c r="FS132">
        <f>IF(ISBLANK('Data Entry'!$ï$132), "", 'Data Entry'!$ï$132)</f>
      </c>
      <c r="FT132">
        <f>IF(ISBLANK('Data Entry'!$ð$132), "", 'Data Entry'!$ð$132)</f>
      </c>
      <c r="FU132">
        <f>IF(ISBLANK('Data Entry'!$ñ$132), "", 'Data Entry'!$ñ$132)</f>
      </c>
      <c r="FV132">
        <f>IF(ISBLANK('Data Entry'!$ò$132), "", 'Data Entry'!$ò$132)</f>
      </c>
      <c r="FW132">
        <f>IF(ISBLANK('Data Entry'!$ó$132), "", 'Data Entry'!$ó$132)</f>
      </c>
      <c r="FX132">
        <f>IF(ISBLANK('Data Entry'!$ô$132), "", 'Data Entry'!$ô$132)</f>
      </c>
      <c r="FY132">
        <f>IF(ISBLANK('Data Entry'!$õ$132), "", 'Data Entry'!$õ$132)</f>
      </c>
      <c r="FZ132">
        <f>IF(ISBLANK('Data Entry'!$ö$132), "", 'Data Entry'!$ö$132)</f>
      </c>
      <c r="GA132">
        <f>IF(ISBLANK('Data Entry'!$÷$132), "", 'Data Entry'!$÷$132)</f>
      </c>
      <c r="GB132">
        <f>IF(ISBLANK('Data Entry'!$ø$132), "", 'Data Entry'!$ø$132)</f>
      </c>
      <c r="GC132">
        <f>IF(ISBLANK('Data Entry'!$ù$132), "", 'Data Entry'!$ù$132)</f>
      </c>
      <c r="GD132">
        <f>IF(ISBLANK('Data Entry'!$ú$132), "", 'Data Entry'!$ú$132)</f>
      </c>
      <c r="GE132">
        <f>IF(ISBLANK('Data Entry'!$û$132), "", 'Data Entry'!$û$132)</f>
      </c>
      <c r="GF132">
        <f>IF(ISBLANK('Data Entry'!$ü$132), "", 'Data Entry'!$ü$132)</f>
      </c>
      <c r="GG132">
        <f>IF(ISBLANK('Data Entry'!$ý$132), "", 'Data Entry'!$ý$132)</f>
      </c>
      <c r="GH132">
        <f>IF(ISBLANK('Data Entry'!$þ$132), "", 'Data Entry'!$þ$132)</f>
      </c>
      <c r="GI132">
        <f>IF(ISBLANK('Data Entry'!$ÿ$132), "", 'Data Entry'!$ÿ$132)</f>
      </c>
      <c r="GJ132">
        <f>IF(ISBLANK('Data Entry'!$Ā$132), "", 'Data Entry'!$Ā$132)</f>
      </c>
      <c r="GK132">
        <f>IF(ISBLANK('Data Entry'!$ā$132), "", 'Data Entry'!$ā$132)</f>
      </c>
      <c r="GL132">
        <f>IF(ISBLANK('Data Entry'!$Ă$132), "", 'Data Entry'!$Ă$132)</f>
      </c>
      <c r="GM132">
        <f>IF(ISBLANK('Data Entry'!$ă$132), "", 'Data Entry'!$ă$132)</f>
      </c>
      <c r="GN132">
        <f>IF(ISBLANK('Data Entry'!$Ą$132), "", 'Data Entry'!$Ą$132)</f>
      </c>
      <c r="GO132">
        <f>IF(ISBLANK('Data Entry'!$ą$132), "", 'Data Entry'!$ą$132)</f>
      </c>
      <c r="GP132">
        <f>IF(ISBLANK('Data Entry'!$Ć$132), "", 'Data Entry'!$Ć$132)</f>
      </c>
      <c r="GQ132">
        <f>IF(ISBLANK('Data Entry'!$ć$132), "", 'Data Entry'!$ć$132)</f>
      </c>
      <c r="GR132">
        <f>IF(ISBLANK('Data Entry'!$Ĉ$132), "", 'Data Entry'!$Ĉ$132)</f>
      </c>
      <c r="GS132">
        <f>IF(ISBLANK('Data Entry'!$ĉ$132), "", 'Data Entry'!$ĉ$132)</f>
      </c>
      <c r="GT132">
        <f>IF(ISBLANK('Data Entry'!$Ċ$132), "", 'Data Entry'!$Ċ$132)</f>
      </c>
      <c r="GU132">
        <f>IF(ISBLANK('Data Entry'!$ċ$132), "", 'Data Entry'!$ċ$132)</f>
      </c>
      <c r="GV132">
        <f>IF(ISBLANK('Data Entry'!$Č$132), "", 'Data Entry'!$Č$132)</f>
      </c>
      <c r="GW132">
        <f>IF(ISBLANK('Data Entry'!$č$132), "", 'Data Entry'!$č$132)</f>
      </c>
      <c r="GX132">
        <f>IF(ISBLANK('Data Entry'!$Ď$132), "", 'Data Entry'!$Ď$132)</f>
      </c>
      <c r="GY132">
        <f>IF(ISBLANK('Data Entry'!$ď$132), "", 'Data Entry'!$ď$132)</f>
      </c>
      <c r="GZ132">
        <f>IF(ISBLANK('Data Entry'!$Đ$132), "", 'Data Entry'!$Đ$132)</f>
      </c>
      <c r="HA132">
        <f>IF(ISBLANK('Data Entry'!$đ$132), "", 'Data Entry'!$đ$132)</f>
      </c>
      <c r="HB132">
        <f>IF(ISBLANK('Data Entry'!$Ē$132), "", 'Data Entry'!$Ē$132)</f>
      </c>
      <c r="HC132">
        <f>IF(ISBLANK('Data Entry'!$ē$132), "", 'Data Entry'!$ē$132)</f>
      </c>
      <c r="HD132">
        <f>IF(ISBLANK('Data Entry'!$Ĕ$132), "", 'Data Entry'!$Ĕ$132)</f>
      </c>
      <c r="HE132">
        <f>IF(ISBLANK('Data Entry'!$ĕ$132), "", 'Data Entry'!$ĕ$132)</f>
      </c>
      <c r="HF132">
        <f>IF(ISBLANK('Data Entry'!$Ė$132), "", 'Data Entry'!$Ė$132)</f>
      </c>
      <c r="HG132">
        <f>IF(ISBLANK('Data Entry'!$ė$132), "", 'Data Entry'!$ė$132)</f>
      </c>
      <c r="HH132">
        <f>IF(ISBLANK('Data Entry'!$Ę$132), "", 'Data Entry'!$Ę$132)</f>
      </c>
      <c r="HI132">
        <f>IF(ISBLANK('Data Entry'!$ę$132), "", 'Data Entry'!$ę$132)</f>
      </c>
      <c r="HJ132">
        <f>IF(ISBLANK('Data Entry'!$Ě$132), "", 'Data Entry'!$Ě$132)</f>
      </c>
      <c r="HK132">
        <f>IF(ISBLANK('Data Entry'!$ě$132), "", 'Data Entry'!$ě$132)</f>
      </c>
      <c r="HL132">
        <f>IF(ISBLANK('Data Entry'!$Ĝ$132), "", 'Data Entry'!$Ĝ$132)</f>
      </c>
      <c r="HM132">
        <f>IF(ISBLANK('Data Entry'!$ĝ$132), "", 'Data Entry'!$ĝ$132)</f>
      </c>
      <c r="HN132">
        <f>IF(ISBLANK('Data Entry'!$Ğ$132), "", 'Data Entry'!$Ğ$132)</f>
      </c>
      <c r="HO132">
        <f>IF(ISBLANK('Data Entry'!$ğ$132), "", 'Data Entry'!$ğ$132)</f>
      </c>
      <c r="HP132">
        <f>IF(ISBLANK('Data Entry'!$Ġ$132), "", 'Data Entry'!$Ġ$132)</f>
      </c>
      <c r="HQ132">
        <f>IF(ISBLANK('Data Entry'!$ġ$132), "", 'Data Entry'!$ġ$132)</f>
      </c>
      <c r="HR132">
        <f>IF(ISBLANK('Data Entry'!$Ģ$132), "", 'Data Entry'!$Ģ$132)</f>
      </c>
      <c r="HS132">
        <f>IF(ISBLANK('Data Entry'!$ģ$132), "", 'Data Entry'!$ģ$132)</f>
      </c>
      <c r="HT132">
        <f>IF(ISBLANK('Data Entry'!$Ĥ$132), "", 'Data Entry'!$Ĥ$132)</f>
      </c>
      <c r="HU132">
        <f>IF(ISBLANK('Data Entry'!$ĥ$132), "", 'Data Entry'!$ĥ$132)</f>
      </c>
      <c r="HV132">
        <f>IF(ISBLANK('Data Entry'!$Ħ$132), "", 'Data Entry'!$Ħ$132)</f>
      </c>
      <c r="HW132">
        <f>IF(ISBLANK('Data Entry'!$ħ$132), "", 'Data Entry'!$ħ$132)</f>
      </c>
      <c r="HX132">
        <f>IF(ISBLANK('Data Entry'!$Ĩ$132), "", 'Data Entry'!$Ĩ$132)</f>
      </c>
      <c r="HY132">
        <f>IF(ISBLANK('Data Entry'!$ĩ$132), "", 'Data Entry'!$ĩ$132)</f>
      </c>
      <c r="HZ132">
        <f>IF(ISBLANK('Data Entry'!$Ī$132), "", 'Data Entry'!$Ī$132)</f>
      </c>
      <c r="IA132">
        <f>IF(ISBLANK('Data Entry'!$ī$132), "", 'Data Entry'!$ī$132)</f>
      </c>
      <c r="IB132">
        <f>IF(ISBLANK('Data Entry'!$Ĭ$132), "", 'Data Entry'!$Ĭ$132)</f>
      </c>
      <c r="IC132">
        <f>IF(ISBLANK('Data Entry'!$ĭ$132), "", 'Data Entry'!$ĭ$132)</f>
      </c>
      <c r="ID132">
        <f>IF(ISBLANK('Data Entry'!$Į$132), "", 'Data Entry'!$Į$132)</f>
      </c>
      <c r="IE132">
        <f>IF(ISBLANK('Data Entry'!$į$132), "", 'Data Entry'!$į$132)</f>
      </c>
      <c r="IF132">
        <f>IF(ISBLANK('Data Entry'!$İ$132), "", 'Data Entry'!$İ$132)</f>
      </c>
      <c r="IG132">
        <f>IF(ISBLANK('Data Entry'!$ı$132), "", 'Data Entry'!$ı$132)</f>
      </c>
      <c r="IH132">
        <f>IF(ISBLANK('Data Entry'!$Ĳ$132), "", 'Data Entry'!$Ĳ$132)</f>
      </c>
      <c r="II132">
        <f>IF(ISBLANK('Data Entry'!$ĳ$132), "", 'Data Entry'!$ĳ$132)</f>
      </c>
      <c r="IJ132">
        <f>IF(ISBLANK('Data Entry'!$Ĵ$132), "", 'Data Entry'!$Ĵ$132)</f>
      </c>
      <c r="IK132">
        <f>IF(ISBLANK('Data Entry'!$ĵ$132), "", 'Data Entry'!$ĵ$132)</f>
      </c>
      <c r="IL132">
        <f>IF(ISBLANK('Data Entry'!$Ķ$132), "", 'Data Entry'!$Ķ$132)</f>
      </c>
      <c r="IM132">
        <f>IF(ISBLANK('Data Entry'!$ķ$132), "", 'Data Entry'!$ķ$132)</f>
      </c>
      <c r="IN132">
        <f>IF(ISBLANK('Data Entry'!$ĸ$132), "", 'Data Entry'!$ĸ$132)</f>
      </c>
      <c r="IO132">
        <f>IF(ISBLANK('Data Entry'!$Ĺ$132), "", 'Data Entry'!$Ĺ$132)</f>
      </c>
      <c r="IP132">
        <f>IF(ISBLANK('Data Entry'!$ĺ$132), "", 'Data Entry'!$ĺ$132)</f>
      </c>
      <c r="IQ132">
        <f>IF(ISBLANK('Data Entry'!$Ļ$132), "", 'Data Entry'!$Ļ$132)</f>
      </c>
      <c r="IR132">
        <f>IF(ISBLANK('Data Entry'!$ļ$132), "", 'Data Entry'!$ļ$132)</f>
      </c>
      <c r="IS132">
        <f>IF(ISBLANK('Data Entry'!$Ľ$132), "", 'Data Entry'!$Ľ$132)</f>
      </c>
      <c r="IT132">
        <f>IF(ISBLANK('Data Entry'!$ľ$132), "", 'Data Entry'!$ľ$132)</f>
      </c>
    </row>
    <row r="133" spans="1:254" x14ac:dyDescent="0.25">
      <c r="A133">
        <f>IF(ISBLANK('Data Entry'!$A$133), "", 'Data Entry'!$A$133)</f>
      </c>
      <c r="B133">
        <f>IF(ISBLANK('Data Entry'!$B$133), "", 'Data Entry'!$B$133)</f>
      </c>
      <c r="C133">
        <f>IF(ISBLANK('Data Entry'!$C$133), "", 'Data Entry'!$C$133)</f>
      </c>
      <c r="D133">
        <f>IF(ISBLANK('Data Entry'!$D$133), "", 'Data Entry'!$D$133)</f>
      </c>
      <c r="E133">
        <f>IF(ISBLANK('Data Entry'!$E$133), "", 'Data Entry'!$E$133)</f>
      </c>
      <c r="F133">
        <f>IF(ISBLANK('Data Entry'!$F$133), "", 'Data Entry'!$F$133)</f>
      </c>
      <c r="G133">
        <f>IF(ISBLANK('Data Entry'!$G$133), "", 'Data Entry'!$G$133)</f>
      </c>
      <c r="H133">
        <f>IF(ISBLANK('Data Entry'!$H$133), "", 'Data Entry'!$H$133)</f>
      </c>
      <c r="I133">
        <f>IF(ISBLANK('Data Entry'!$I$133), "", 'Data Entry'!$I$133)</f>
      </c>
      <c r="J133">
        <f>IF(ISBLANK('Data Entry'!$J$133), "", 'Data Entry'!$J$133)</f>
      </c>
      <c r="K133">
        <f>IF(ISBLANK('Data Entry'!$K$133), "", 'Data Entry'!$K$133)</f>
      </c>
      <c r="L133">
        <f>IF(ISBLANK('Data Entry'!$L$133), "", 'Data Entry'!$L$133)</f>
      </c>
      <c r="M133">
        <f>IF(ISBLANK('Data Entry'!$M$133), "", 'Data Entry'!$M$133)</f>
      </c>
      <c r="N133">
        <f>IF(ISBLANK('Data Entry'!$N$133), "", 'Data Entry'!$N$133)</f>
      </c>
      <c r="O133">
        <f>IF(ISBLANK('Data Entry'!$O$133), "", 'Data Entry'!$O$133)</f>
      </c>
      <c r="P133">
        <f>IF(ISBLANK('Data Entry'!$P$133), "", 'Data Entry'!$P$133)</f>
      </c>
      <c r="Q133">
        <f>IF(ISBLANK('Data Entry'!$Q$133), "", 'Data Entry'!$Q$133)</f>
      </c>
      <c r="R133">
        <f>IF(ISBLANK('Data Entry'!$R$133), "", 'Data Entry'!$R$133)</f>
      </c>
      <c r="S133">
        <f>IF(ISBLANK('Data Entry'!$S$133), "", 'Data Entry'!$S$133)</f>
      </c>
      <c r="T133">
        <f>IF(ISBLANK('Data Entry'!$T$133), "", 'Data Entry'!$T$133)</f>
      </c>
      <c r="U133">
        <f>IF(ISBLANK('Data Entry'!$U$133), "", 'Data Entry'!$U$133)</f>
      </c>
      <c r="V133">
        <f>IF(ISBLANK('Data Entry'!$V$133), "", 'Data Entry'!$V$133)</f>
      </c>
      <c r="W133">
        <f>IF(ISBLANK('Data Entry'!$W$133), "", 'Data Entry'!$W$133)</f>
      </c>
      <c r="X133">
        <f>IF(ISBLANK('Data Entry'!$X$133), "", 'Data Entry'!$X$133)</f>
      </c>
      <c r="Y133">
        <f>IF(ISBLANK('Data Entry'!$Y$133), "", 'Data Entry'!$Y$133)</f>
      </c>
      <c r="Z133">
        <f>IF(ISBLANK('Data Entry'!$Z$133), "", 'Data Entry'!$Z$133)</f>
      </c>
      <c r="AA133">
        <f>IF(ISBLANK('Data Entry'!$[$133), "", 'Data Entry'!$[$133)</f>
      </c>
      <c r="AB133">
        <f>IF(ISBLANK('Data Entry'!$\$133), "", 'Data Entry'!$\$133)</f>
      </c>
      <c r="AC133">
        <f>IF(ISBLANK('Data Entry'!$]$133), "", 'Data Entry'!$]$133)</f>
      </c>
      <c r="AD133">
        <f>IF(ISBLANK('Data Entry'!$^$133), "", 'Data Entry'!$^$133)</f>
      </c>
      <c r="AE133">
        <f>IF(ISBLANK('Data Entry'!$_$133), "", 'Data Entry'!$_$133)</f>
      </c>
      <c r="AF133">
        <f>IF(ISBLANK('Data Entry'!$`$133), "", 'Data Entry'!$`$133)</f>
      </c>
      <c r="AG133">
        <f>IF(ISBLANK('Data Entry'!$a$133), "", 'Data Entry'!$a$133)</f>
      </c>
      <c r="AH133">
        <f>IF(ISBLANK('Data Entry'!$b$133), "", 'Data Entry'!$b$133)</f>
      </c>
      <c r="AI133">
        <f>IF(ISBLANK('Data Entry'!$c$133), "", 'Data Entry'!$c$133)</f>
      </c>
      <c r="AJ133">
        <f>IF(ISBLANK('Data Entry'!$d$133), "", 'Data Entry'!$d$133)</f>
      </c>
      <c r="AK133">
        <f>IF(ISBLANK('Data Entry'!$e$133), "", 'Data Entry'!$e$133)</f>
      </c>
      <c r="AL133">
        <f>IF(ISBLANK('Data Entry'!$f$133), "", 'Data Entry'!$f$133)</f>
      </c>
      <c r="AM133">
        <f>IF(ISBLANK('Data Entry'!$g$133), "", 'Data Entry'!$g$133)</f>
      </c>
      <c r="AN133">
        <f>IF(ISBLANK('Data Entry'!$h$133), "", 'Data Entry'!$h$133)</f>
      </c>
      <c r="AO133">
        <f>IF(ISBLANK('Data Entry'!$i$133), "", 'Data Entry'!$i$133)</f>
      </c>
      <c r="AP133">
        <f>IF(ISBLANK('Data Entry'!$j$133), "", 'Data Entry'!$j$133)</f>
      </c>
      <c r="AQ133">
        <f>IF(ISBLANK('Data Entry'!$k$133), "", 'Data Entry'!$k$133)</f>
      </c>
      <c r="AR133">
        <f>IF(ISBLANK('Data Entry'!$l$133), "", 'Data Entry'!$l$133)</f>
      </c>
      <c r="AS133">
        <f>IF(ISBLANK('Data Entry'!$m$133), "", 'Data Entry'!$m$133)</f>
      </c>
      <c r="AT133">
        <f>IF(ISBLANK('Data Entry'!$n$133), "", 'Data Entry'!$n$133)</f>
      </c>
      <c r="AU133">
        <f>IF(ISBLANK('Data Entry'!$o$133), "", 'Data Entry'!$o$133)</f>
      </c>
      <c r="AV133">
        <f>IF(ISBLANK('Data Entry'!$p$133), "", 'Data Entry'!$p$133)</f>
      </c>
      <c r="AW133">
        <f>IF(ISBLANK('Data Entry'!$q$133), "", 'Data Entry'!$q$133)</f>
      </c>
      <c r="AX133">
        <f>IF(ISBLANK('Data Entry'!$r$133), "", 'Data Entry'!$r$133)</f>
      </c>
      <c r="AY133">
        <f>IF(ISBLANK('Data Entry'!$s$133), "", 'Data Entry'!$s$133)</f>
      </c>
      <c r="AZ133">
        <f>IF(ISBLANK('Data Entry'!$t$133), "", 'Data Entry'!$t$133)</f>
      </c>
      <c r="BA133">
        <f>IF(ISBLANK('Data Entry'!$u$133), "", 'Data Entry'!$u$133)</f>
      </c>
      <c r="BB133">
        <f>IF(ISBLANK('Data Entry'!$v$133), "", 'Data Entry'!$v$133)</f>
      </c>
      <c r="BC133">
        <f>IF(ISBLANK('Data Entry'!$w$133), "", 'Data Entry'!$w$133)</f>
      </c>
      <c r="BD133">
        <f>IF(ISBLANK('Data Entry'!$x$133), "", 'Data Entry'!$x$133)</f>
      </c>
      <c r="BE133">
        <f>IF(ISBLANK('Data Entry'!$y$133), "", 'Data Entry'!$y$133)</f>
      </c>
      <c r="BF133">
        <f>IF(ISBLANK('Data Entry'!$z$133), "", 'Data Entry'!$z$133)</f>
      </c>
      <c r="BG133">
        <f>IF(ISBLANK('Data Entry'!${$133), "", 'Data Entry'!${$133)</f>
      </c>
      <c r="BH133">
        <f>IF(ISBLANK('Data Entry'!$|$133), "", 'Data Entry'!$|$133)</f>
      </c>
      <c r="BI133">
        <f>IF(ISBLANK('Data Entry'!$}$133), "", 'Data Entry'!$}$133)</f>
      </c>
      <c r="BJ133">
        <f>IF(ISBLANK('Data Entry'!$~$133), "", 'Data Entry'!$~$133)</f>
      </c>
      <c r="BK133">
        <f>IF(ISBLANK('Data Entry'!$$133), "", 'Data Entry'!$$133)</f>
      </c>
      <c r="BL133">
        <f>IF(ISBLANK('Data Entry'!$$133), "", 'Data Entry'!$$133)</f>
      </c>
      <c r="BM133">
        <f>IF(ISBLANK('Data Entry'!$$133), "", 'Data Entry'!$$133)</f>
      </c>
      <c r="BN133">
        <f>IF(ISBLANK('Data Entry'!$$133), "", 'Data Entry'!$$133)</f>
      </c>
      <c r="BO133">
        <f>IF(ISBLANK('Data Entry'!$$133), "", 'Data Entry'!$$133)</f>
      </c>
      <c r="BP133">
        <f>IF(ISBLANK('Data Entry'!$$133), "", 'Data Entry'!$$133)</f>
      </c>
      <c r="BQ133">
        <f>IF(ISBLANK('Data Entry'!$$133), "", 'Data Entry'!$$133)</f>
      </c>
      <c r="BR133">
        <f>IF(ISBLANK('Data Entry'!$$133), "", 'Data Entry'!$$133)</f>
      </c>
      <c r="BS133">
        <f>IF(ISBLANK('Data Entry'!$$133), "", 'Data Entry'!$$133)</f>
      </c>
      <c r="BT133">
        <f>IF(ISBLANK('Data Entry'!$$133), "", 'Data Entry'!$$133)</f>
      </c>
      <c r="BU133">
        <f>IF(ISBLANK('Data Entry'!$$133), "", 'Data Entry'!$$133)</f>
      </c>
      <c r="BV133">
        <f>IF(ISBLANK('Data Entry'!$$133), "", 'Data Entry'!$$133)</f>
      </c>
      <c r="BW133">
        <f>IF(ISBLANK('Data Entry'!$$133), "", 'Data Entry'!$$133)</f>
      </c>
      <c r="BX133">
        <f>IF(ISBLANK('Data Entry'!$$133), "", 'Data Entry'!$$133)</f>
      </c>
      <c r="BY133">
        <f>IF(ISBLANK('Data Entry'!$$133), "", 'Data Entry'!$$133)</f>
      </c>
      <c r="BZ133">
        <f>IF(ISBLANK('Data Entry'!$$133), "", 'Data Entry'!$$133)</f>
      </c>
      <c r="CA133">
        <f>IF(ISBLANK('Data Entry'!$$133), "", 'Data Entry'!$$133)</f>
      </c>
      <c r="CB133">
        <f>IF(ISBLANK('Data Entry'!$$133), "", 'Data Entry'!$$133)</f>
      </c>
      <c r="CC133">
        <f>IF(ISBLANK('Data Entry'!$$133), "", 'Data Entry'!$$133)</f>
      </c>
      <c r="CD133">
        <f>IF(ISBLANK('Data Entry'!$$133), "", 'Data Entry'!$$133)</f>
      </c>
      <c r="CE133">
        <f>IF(ISBLANK('Data Entry'!$$133), "", 'Data Entry'!$$133)</f>
      </c>
      <c r="CF133">
        <f>IF(ISBLANK('Data Entry'!$$133), "", 'Data Entry'!$$133)</f>
      </c>
      <c r="CG133">
        <f>IF(ISBLANK('Data Entry'!$$133), "", 'Data Entry'!$$133)</f>
      </c>
      <c r="CH133">
        <f>IF(ISBLANK('Data Entry'!$$133), "", 'Data Entry'!$$133)</f>
      </c>
      <c r="CI133">
        <f>IF(ISBLANK('Data Entry'!$$133), "", 'Data Entry'!$$133)</f>
      </c>
      <c r="CJ133">
        <f>IF(ISBLANK('Data Entry'!$$133), "", 'Data Entry'!$$133)</f>
      </c>
      <c r="CK133">
        <f>IF(ISBLANK('Data Entry'!$$133), "", 'Data Entry'!$$133)</f>
      </c>
      <c r="CL133">
        <f>IF(ISBLANK('Data Entry'!$$133), "", 'Data Entry'!$$133)</f>
      </c>
      <c r="CM133">
        <f>IF(ISBLANK('Data Entry'!$$133), "", 'Data Entry'!$$133)</f>
      </c>
      <c r="CN133">
        <f>IF(ISBLANK('Data Entry'!$$133), "", 'Data Entry'!$$133)</f>
      </c>
      <c r="CO133">
        <f>IF(ISBLANK('Data Entry'!$$133), "", 'Data Entry'!$$133)</f>
      </c>
      <c r="CP133">
        <f>IF(ISBLANK('Data Entry'!$$133), "", 'Data Entry'!$$133)</f>
      </c>
      <c r="CQ133">
        <f>IF(ISBLANK('Data Entry'!$$133), "", 'Data Entry'!$$133)</f>
      </c>
      <c r="CR133">
        <f>IF(ISBLANK('Data Entry'!$ $133), "", 'Data Entry'!$ $133)</f>
      </c>
      <c r="CS133">
        <f>IF(ISBLANK('Data Entry'!$¡$133), "", 'Data Entry'!$¡$133)</f>
      </c>
      <c r="CT133">
        <f>IF(ISBLANK('Data Entry'!$¢$133), "", 'Data Entry'!$¢$133)</f>
      </c>
      <c r="CU133">
        <f>IF(ISBLANK('Data Entry'!$£$133), "", 'Data Entry'!$£$133)</f>
      </c>
      <c r="CV133">
        <f>IF(ISBLANK('Data Entry'!$¤$133), "", 'Data Entry'!$¤$133)</f>
      </c>
      <c r="CW133">
        <f>IF(ISBLANK('Data Entry'!$¥$133), "", 'Data Entry'!$¥$133)</f>
      </c>
      <c r="CX133">
        <f>IF(ISBLANK('Data Entry'!$¦$133), "", 'Data Entry'!$¦$133)</f>
      </c>
      <c r="CY133">
        <f>IF(ISBLANK('Data Entry'!$§$133), "", 'Data Entry'!$§$133)</f>
      </c>
      <c r="CZ133">
        <f>IF(ISBLANK('Data Entry'!$¨$133), "", 'Data Entry'!$¨$133)</f>
      </c>
      <c r="DA133">
        <f>IF(ISBLANK('Data Entry'!$©$133), "", 'Data Entry'!$©$133)</f>
      </c>
      <c r="DB133">
        <f>IF(ISBLANK('Data Entry'!$ª$133), "", 'Data Entry'!$ª$133)</f>
      </c>
      <c r="DC133">
        <f>IF(ISBLANK('Data Entry'!$«$133), "", 'Data Entry'!$«$133)</f>
      </c>
      <c r="DD133">
        <f>IF(ISBLANK('Data Entry'!$¬$133), "", 'Data Entry'!$¬$133)</f>
      </c>
      <c r="DE133">
        <f>IF(ISBLANK('Data Entry'!$­$133), "", 'Data Entry'!$­$133)</f>
      </c>
      <c r="DF133">
        <f>IF(ISBLANK('Data Entry'!$®$133), "", 'Data Entry'!$®$133)</f>
      </c>
      <c r="DG133">
        <f>IF(ISBLANK('Data Entry'!$¯$133), "", 'Data Entry'!$¯$133)</f>
      </c>
      <c r="DH133">
        <f>IF(ISBLANK('Data Entry'!$°$133), "", 'Data Entry'!$°$133)</f>
      </c>
      <c r="DI133">
        <f>IF(ISBLANK('Data Entry'!$±$133), "", 'Data Entry'!$±$133)</f>
      </c>
      <c r="DJ133">
        <f>IF(ISBLANK('Data Entry'!$²$133), "", 'Data Entry'!$²$133)</f>
      </c>
      <c r="DK133">
        <f>IF(ISBLANK('Data Entry'!$³$133), "", 'Data Entry'!$³$133)</f>
      </c>
      <c r="DL133">
        <f>IF(ISBLANK('Data Entry'!$´$133), "", 'Data Entry'!$´$133)</f>
      </c>
      <c r="DM133">
        <f>IF(ISBLANK('Data Entry'!$µ$133), "", 'Data Entry'!$µ$133)</f>
      </c>
      <c r="DN133">
        <f>IF(ISBLANK('Data Entry'!$¶$133), "", 'Data Entry'!$¶$133)</f>
      </c>
      <c r="DO133">
        <f>IF(ISBLANK('Data Entry'!$·$133), "", 'Data Entry'!$·$133)</f>
      </c>
      <c r="DP133">
        <f>IF(ISBLANK('Data Entry'!$¸$133), "", 'Data Entry'!$¸$133)</f>
      </c>
      <c r="DQ133">
        <f>IF(ISBLANK('Data Entry'!$¹$133), "", 'Data Entry'!$¹$133)</f>
      </c>
      <c r="DR133">
        <f>IF(ISBLANK('Data Entry'!$º$133), "", 'Data Entry'!$º$133)</f>
      </c>
      <c r="DS133">
        <f>IF(ISBLANK('Data Entry'!$»$133), "", 'Data Entry'!$»$133)</f>
      </c>
      <c r="DT133">
        <f>IF(ISBLANK('Data Entry'!$¼$133), "", 'Data Entry'!$¼$133)</f>
      </c>
      <c r="DU133">
        <f>IF(ISBLANK('Data Entry'!$½$133), "", 'Data Entry'!$½$133)</f>
      </c>
      <c r="DV133">
        <f>IF(ISBLANK('Data Entry'!$¾$133), "", 'Data Entry'!$¾$133)</f>
      </c>
      <c r="DW133">
        <f>IF(ISBLANK('Data Entry'!$¿$133), "", 'Data Entry'!$¿$133)</f>
      </c>
      <c r="DX133">
        <f>IF(ISBLANK('Data Entry'!$À$133), "", 'Data Entry'!$À$133)</f>
      </c>
      <c r="DY133">
        <f>IF(ISBLANK('Data Entry'!$Á$133), "", 'Data Entry'!$Á$133)</f>
      </c>
      <c r="DZ133">
        <f>IF(ISBLANK('Data Entry'!$Â$133), "", 'Data Entry'!$Â$133)</f>
      </c>
      <c r="EA133">
        <f>IF(ISBLANK('Data Entry'!$Ã$133), "", 'Data Entry'!$Ã$133)</f>
      </c>
      <c r="EB133">
        <f>IF(ISBLANK('Data Entry'!$Ä$133), "", 'Data Entry'!$Ä$133)</f>
      </c>
      <c r="EC133">
        <f>IF(ISBLANK('Data Entry'!$Å$133), "", 'Data Entry'!$Å$133)</f>
      </c>
      <c r="ED133">
        <f>IF(ISBLANK('Data Entry'!$Æ$133), "", 'Data Entry'!$Æ$133)</f>
      </c>
      <c r="EE133">
        <f>IF(ISBLANK('Data Entry'!$Ç$133), "", 'Data Entry'!$Ç$133)</f>
      </c>
      <c r="EF133">
        <f>IF(ISBLANK('Data Entry'!$È$133), "", 'Data Entry'!$È$133)</f>
      </c>
      <c r="EG133">
        <f>IF(ISBLANK('Data Entry'!$É$133), "", 'Data Entry'!$É$133)</f>
      </c>
      <c r="EH133">
        <f>IF(ISBLANK('Data Entry'!$Ê$133), "", 'Data Entry'!$Ê$133)</f>
      </c>
      <c r="EI133">
        <f>IF(ISBLANK('Data Entry'!$Ë$133), "", 'Data Entry'!$Ë$133)</f>
      </c>
      <c r="EJ133">
        <f>IF(ISBLANK('Data Entry'!$Ì$133), "", 'Data Entry'!$Ì$133)</f>
      </c>
      <c r="EK133">
        <f>IF(ISBLANK('Data Entry'!$Í$133), "", 'Data Entry'!$Í$133)</f>
      </c>
      <c r="EL133">
        <f>IF(ISBLANK('Data Entry'!$Î$133), "", 'Data Entry'!$Î$133)</f>
      </c>
      <c r="EM133">
        <f>IF(ISBLANK('Data Entry'!$Ï$133), "", 'Data Entry'!$Ï$133)</f>
      </c>
      <c r="EN133">
        <f>IF(ISBLANK('Data Entry'!$Ð$133), "", 'Data Entry'!$Ð$133)</f>
      </c>
      <c r="EO133">
        <f>IF(ISBLANK('Data Entry'!$Ñ$133), "", 'Data Entry'!$Ñ$133)</f>
      </c>
      <c r="EP133">
        <f>IF(ISBLANK('Data Entry'!$Ò$133), "", 'Data Entry'!$Ò$133)</f>
      </c>
      <c r="EQ133">
        <f>IF(ISBLANK('Data Entry'!$Ó$133), "", 'Data Entry'!$Ó$133)</f>
      </c>
      <c r="ER133">
        <f>IF(ISBLANK('Data Entry'!$Ô$133), "", 'Data Entry'!$Ô$133)</f>
      </c>
      <c r="ES133">
        <f>IF(ISBLANK('Data Entry'!$Õ$133), "", 'Data Entry'!$Õ$133)</f>
      </c>
      <c r="ET133">
        <f>IF(ISBLANK('Data Entry'!$Ö$133), "", 'Data Entry'!$Ö$133)</f>
      </c>
      <c r="EU133">
        <f>IF(ISBLANK('Data Entry'!$×$133), "", 'Data Entry'!$×$133)</f>
      </c>
      <c r="EV133">
        <f>IF(ISBLANK('Data Entry'!$Ø$133), "", 'Data Entry'!$Ø$133)</f>
      </c>
      <c r="EW133">
        <f>IF(ISBLANK('Data Entry'!$Ù$133), "", 'Data Entry'!$Ù$133)</f>
      </c>
      <c r="EX133">
        <f>IF(ISBLANK('Data Entry'!$Ú$133), "", 'Data Entry'!$Ú$133)</f>
      </c>
      <c r="EY133">
        <f>IF(ISBLANK('Data Entry'!$Û$133), "", 'Data Entry'!$Û$133)</f>
      </c>
      <c r="EZ133">
        <f>IF(ISBLANK('Data Entry'!$Ü$133), "", 'Data Entry'!$Ü$133)</f>
      </c>
      <c r="FA133">
        <f>IF(ISBLANK('Data Entry'!$Ý$133), "", 'Data Entry'!$Ý$133)</f>
      </c>
      <c r="FB133">
        <f>IF(ISBLANK('Data Entry'!$Þ$133), "", 'Data Entry'!$Þ$133)</f>
      </c>
      <c r="FC133">
        <f>IF(ISBLANK('Data Entry'!$ß$133), "", 'Data Entry'!$ß$133)</f>
      </c>
      <c r="FD133">
        <f>IF(ISBLANK('Data Entry'!$à$133), "", 'Data Entry'!$à$133)</f>
      </c>
      <c r="FE133">
        <f>IF(ISBLANK('Data Entry'!$á$133), "", 'Data Entry'!$á$133)</f>
      </c>
      <c r="FF133">
        <f>IF(ISBLANK('Data Entry'!$â$133), "", 'Data Entry'!$â$133)</f>
      </c>
      <c r="FG133">
        <f>IF(ISBLANK('Data Entry'!$ã$133), "", 'Data Entry'!$ã$133)</f>
      </c>
      <c r="FH133">
        <f>IF(ISBLANK('Data Entry'!$ä$133), "", 'Data Entry'!$ä$133)</f>
      </c>
      <c r="FI133">
        <f>IF(ISBLANK('Data Entry'!$å$133), "", 'Data Entry'!$å$133)</f>
      </c>
      <c r="FJ133">
        <f>IF(ISBLANK('Data Entry'!$æ$133), "", 'Data Entry'!$æ$133)</f>
      </c>
      <c r="FK133">
        <f>IF(ISBLANK('Data Entry'!$ç$133), "", 'Data Entry'!$ç$133)</f>
      </c>
      <c r="FL133">
        <f>IF(ISBLANK('Data Entry'!$è$133), "", 'Data Entry'!$è$133)</f>
      </c>
      <c r="FM133">
        <f>IF(ISBLANK('Data Entry'!$é$133), "", 'Data Entry'!$é$133)</f>
      </c>
      <c r="FN133">
        <f>IF(ISBLANK('Data Entry'!$ê$133), "", 'Data Entry'!$ê$133)</f>
      </c>
      <c r="FO133">
        <f>IF(ISBLANK('Data Entry'!$ë$133), "", 'Data Entry'!$ë$133)</f>
      </c>
      <c r="FP133">
        <f>IF(ISBLANK('Data Entry'!$ì$133), "", 'Data Entry'!$ì$133)</f>
      </c>
      <c r="FQ133">
        <f>IF(ISBLANK('Data Entry'!$í$133), "", 'Data Entry'!$í$133)</f>
      </c>
      <c r="FR133">
        <f>IF(ISBLANK('Data Entry'!$î$133), "", 'Data Entry'!$î$133)</f>
      </c>
      <c r="FS133">
        <f>IF(ISBLANK('Data Entry'!$ï$133), "", 'Data Entry'!$ï$133)</f>
      </c>
      <c r="FT133">
        <f>IF(ISBLANK('Data Entry'!$ð$133), "", 'Data Entry'!$ð$133)</f>
      </c>
      <c r="FU133">
        <f>IF(ISBLANK('Data Entry'!$ñ$133), "", 'Data Entry'!$ñ$133)</f>
      </c>
      <c r="FV133">
        <f>IF(ISBLANK('Data Entry'!$ò$133), "", 'Data Entry'!$ò$133)</f>
      </c>
      <c r="FW133">
        <f>IF(ISBLANK('Data Entry'!$ó$133), "", 'Data Entry'!$ó$133)</f>
      </c>
      <c r="FX133">
        <f>IF(ISBLANK('Data Entry'!$ô$133), "", 'Data Entry'!$ô$133)</f>
      </c>
      <c r="FY133">
        <f>IF(ISBLANK('Data Entry'!$õ$133), "", 'Data Entry'!$õ$133)</f>
      </c>
      <c r="FZ133">
        <f>IF(ISBLANK('Data Entry'!$ö$133), "", 'Data Entry'!$ö$133)</f>
      </c>
      <c r="GA133">
        <f>IF(ISBLANK('Data Entry'!$÷$133), "", 'Data Entry'!$÷$133)</f>
      </c>
      <c r="GB133">
        <f>IF(ISBLANK('Data Entry'!$ø$133), "", 'Data Entry'!$ø$133)</f>
      </c>
      <c r="GC133">
        <f>IF(ISBLANK('Data Entry'!$ù$133), "", 'Data Entry'!$ù$133)</f>
      </c>
      <c r="GD133">
        <f>IF(ISBLANK('Data Entry'!$ú$133), "", 'Data Entry'!$ú$133)</f>
      </c>
      <c r="GE133">
        <f>IF(ISBLANK('Data Entry'!$û$133), "", 'Data Entry'!$û$133)</f>
      </c>
      <c r="GF133">
        <f>IF(ISBLANK('Data Entry'!$ü$133), "", 'Data Entry'!$ü$133)</f>
      </c>
      <c r="GG133">
        <f>IF(ISBLANK('Data Entry'!$ý$133), "", 'Data Entry'!$ý$133)</f>
      </c>
      <c r="GH133">
        <f>IF(ISBLANK('Data Entry'!$þ$133), "", 'Data Entry'!$þ$133)</f>
      </c>
      <c r="GI133">
        <f>IF(ISBLANK('Data Entry'!$ÿ$133), "", 'Data Entry'!$ÿ$133)</f>
      </c>
      <c r="GJ133">
        <f>IF(ISBLANK('Data Entry'!$Ā$133), "", 'Data Entry'!$Ā$133)</f>
      </c>
      <c r="GK133">
        <f>IF(ISBLANK('Data Entry'!$ā$133), "", 'Data Entry'!$ā$133)</f>
      </c>
      <c r="GL133">
        <f>IF(ISBLANK('Data Entry'!$Ă$133), "", 'Data Entry'!$Ă$133)</f>
      </c>
      <c r="GM133">
        <f>IF(ISBLANK('Data Entry'!$ă$133), "", 'Data Entry'!$ă$133)</f>
      </c>
      <c r="GN133">
        <f>IF(ISBLANK('Data Entry'!$Ą$133), "", 'Data Entry'!$Ą$133)</f>
      </c>
      <c r="GO133">
        <f>IF(ISBLANK('Data Entry'!$ą$133), "", 'Data Entry'!$ą$133)</f>
      </c>
      <c r="GP133">
        <f>IF(ISBLANK('Data Entry'!$Ć$133), "", 'Data Entry'!$Ć$133)</f>
      </c>
      <c r="GQ133">
        <f>IF(ISBLANK('Data Entry'!$ć$133), "", 'Data Entry'!$ć$133)</f>
      </c>
      <c r="GR133">
        <f>IF(ISBLANK('Data Entry'!$Ĉ$133), "", 'Data Entry'!$Ĉ$133)</f>
      </c>
      <c r="GS133">
        <f>IF(ISBLANK('Data Entry'!$ĉ$133), "", 'Data Entry'!$ĉ$133)</f>
      </c>
      <c r="GT133">
        <f>IF(ISBLANK('Data Entry'!$Ċ$133), "", 'Data Entry'!$Ċ$133)</f>
      </c>
      <c r="GU133">
        <f>IF(ISBLANK('Data Entry'!$ċ$133), "", 'Data Entry'!$ċ$133)</f>
      </c>
      <c r="GV133">
        <f>IF(ISBLANK('Data Entry'!$Č$133), "", 'Data Entry'!$Č$133)</f>
      </c>
      <c r="GW133">
        <f>IF(ISBLANK('Data Entry'!$č$133), "", 'Data Entry'!$č$133)</f>
      </c>
      <c r="GX133">
        <f>IF(ISBLANK('Data Entry'!$Ď$133), "", 'Data Entry'!$Ď$133)</f>
      </c>
      <c r="GY133">
        <f>IF(ISBLANK('Data Entry'!$ď$133), "", 'Data Entry'!$ď$133)</f>
      </c>
      <c r="GZ133">
        <f>IF(ISBLANK('Data Entry'!$Đ$133), "", 'Data Entry'!$Đ$133)</f>
      </c>
      <c r="HA133">
        <f>IF(ISBLANK('Data Entry'!$đ$133), "", 'Data Entry'!$đ$133)</f>
      </c>
      <c r="HB133">
        <f>IF(ISBLANK('Data Entry'!$Ē$133), "", 'Data Entry'!$Ē$133)</f>
      </c>
      <c r="HC133">
        <f>IF(ISBLANK('Data Entry'!$ē$133), "", 'Data Entry'!$ē$133)</f>
      </c>
      <c r="HD133">
        <f>IF(ISBLANK('Data Entry'!$Ĕ$133), "", 'Data Entry'!$Ĕ$133)</f>
      </c>
      <c r="HE133">
        <f>IF(ISBLANK('Data Entry'!$ĕ$133), "", 'Data Entry'!$ĕ$133)</f>
      </c>
      <c r="HF133">
        <f>IF(ISBLANK('Data Entry'!$Ė$133), "", 'Data Entry'!$Ė$133)</f>
      </c>
      <c r="HG133">
        <f>IF(ISBLANK('Data Entry'!$ė$133), "", 'Data Entry'!$ė$133)</f>
      </c>
      <c r="HH133">
        <f>IF(ISBLANK('Data Entry'!$Ę$133), "", 'Data Entry'!$Ę$133)</f>
      </c>
      <c r="HI133">
        <f>IF(ISBLANK('Data Entry'!$ę$133), "", 'Data Entry'!$ę$133)</f>
      </c>
      <c r="HJ133">
        <f>IF(ISBLANK('Data Entry'!$Ě$133), "", 'Data Entry'!$Ě$133)</f>
      </c>
      <c r="HK133">
        <f>IF(ISBLANK('Data Entry'!$ě$133), "", 'Data Entry'!$ě$133)</f>
      </c>
      <c r="HL133">
        <f>IF(ISBLANK('Data Entry'!$Ĝ$133), "", 'Data Entry'!$Ĝ$133)</f>
      </c>
      <c r="HM133">
        <f>IF(ISBLANK('Data Entry'!$ĝ$133), "", 'Data Entry'!$ĝ$133)</f>
      </c>
      <c r="HN133">
        <f>IF(ISBLANK('Data Entry'!$Ğ$133), "", 'Data Entry'!$Ğ$133)</f>
      </c>
      <c r="HO133">
        <f>IF(ISBLANK('Data Entry'!$ğ$133), "", 'Data Entry'!$ğ$133)</f>
      </c>
      <c r="HP133">
        <f>IF(ISBLANK('Data Entry'!$Ġ$133), "", 'Data Entry'!$Ġ$133)</f>
      </c>
      <c r="HQ133">
        <f>IF(ISBLANK('Data Entry'!$ġ$133), "", 'Data Entry'!$ġ$133)</f>
      </c>
      <c r="HR133">
        <f>IF(ISBLANK('Data Entry'!$Ģ$133), "", 'Data Entry'!$Ģ$133)</f>
      </c>
      <c r="HS133">
        <f>IF(ISBLANK('Data Entry'!$ģ$133), "", 'Data Entry'!$ģ$133)</f>
      </c>
      <c r="HT133">
        <f>IF(ISBLANK('Data Entry'!$Ĥ$133), "", 'Data Entry'!$Ĥ$133)</f>
      </c>
      <c r="HU133">
        <f>IF(ISBLANK('Data Entry'!$ĥ$133), "", 'Data Entry'!$ĥ$133)</f>
      </c>
      <c r="HV133">
        <f>IF(ISBLANK('Data Entry'!$Ħ$133), "", 'Data Entry'!$Ħ$133)</f>
      </c>
      <c r="HW133">
        <f>IF(ISBLANK('Data Entry'!$ħ$133), "", 'Data Entry'!$ħ$133)</f>
      </c>
      <c r="HX133">
        <f>IF(ISBLANK('Data Entry'!$Ĩ$133), "", 'Data Entry'!$Ĩ$133)</f>
      </c>
      <c r="HY133">
        <f>IF(ISBLANK('Data Entry'!$ĩ$133), "", 'Data Entry'!$ĩ$133)</f>
      </c>
      <c r="HZ133">
        <f>IF(ISBLANK('Data Entry'!$Ī$133), "", 'Data Entry'!$Ī$133)</f>
      </c>
      <c r="IA133">
        <f>IF(ISBLANK('Data Entry'!$ī$133), "", 'Data Entry'!$ī$133)</f>
      </c>
      <c r="IB133">
        <f>IF(ISBLANK('Data Entry'!$Ĭ$133), "", 'Data Entry'!$Ĭ$133)</f>
      </c>
      <c r="IC133">
        <f>IF(ISBLANK('Data Entry'!$ĭ$133), "", 'Data Entry'!$ĭ$133)</f>
      </c>
      <c r="ID133">
        <f>IF(ISBLANK('Data Entry'!$Į$133), "", 'Data Entry'!$Į$133)</f>
      </c>
      <c r="IE133">
        <f>IF(ISBLANK('Data Entry'!$į$133), "", 'Data Entry'!$į$133)</f>
      </c>
      <c r="IF133">
        <f>IF(ISBLANK('Data Entry'!$İ$133), "", 'Data Entry'!$İ$133)</f>
      </c>
      <c r="IG133">
        <f>IF(ISBLANK('Data Entry'!$ı$133), "", 'Data Entry'!$ı$133)</f>
      </c>
      <c r="IH133">
        <f>IF(ISBLANK('Data Entry'!$Ĳ$133), "", 'Data Entry'!$Ĳ$133)</f>
      </c>
      <c r="II133">
        <f>IF(ISBLANK('Data Entry'!$ĳ$133), "", 'Data Entry'!$ĳ$133)</f>
      </c>
      <c r="IJ133">
        <f>IF(ISBLANK('Data Entry'!$Ĵ$133), "", 'Data Entry'!$Ĵ$133)</f>
      </c>
      <c r="IK133">
        <f>IF(ISBLANK('Data Entry'!$ĵ$133), "", 'Data Entry'!$ĵ$133)</f>
      </c>
      <c r="IL133">
        <f>IF(ISBLANK('Data Entry'!$Ķ$133), "", 'Data Entry'!$Ķ$133)</f>
      </c>
      <c r="IM133">
        <f>IF(ISBLANK('Data Entry'!$ķ$133), "", 'Data Entry'!$ķ$133)</f>
      </c>
      <c r="IN133">
        <f>IF(ISBLANK('Data Entry'!$ĸ$133), "", 'Data Entry'!$ĸ$133)</f>
      </c>
      <c r="IO133">
        <f>IF(ISBLANK('Data Entry'!$Ĺ$133), "", 'Data Entry'!$Ĺ$133)</f>
      </c>
      <c r="IP133">
        <f>IF(ISBLANK('Data Entry'!$ĺ$133), "", 'Data Entry'!$ĺ$133)</f>
      </c>
      <c r="IQ133">
        <f>IF(ISBLANK('Data Entry'!$Ļ$133), "", 'Data Entry'!$Ļ$133)</f>
      </c>
      <c r="IR133">
        <f>IF(ISBLANK('Data Entry'!$ļ$133), "", 'Data Entry'!$ļ$133)</f>
      </c>
      <c r="IS133">
        <f>IF(ISBLANK('Data Entry'!$Ľ$133), "", 'Data Entry'!$Ľ$133)</f>
      </c>
      <c r="IT133">
        <f>IF(ISBLANK('Data Entry'!$ľ$133), "", 'Data Entry'!$ľ$133)</f>
      </c>
    </row>
    <row r="134" spans="1:254" x14ac:dyDescent="0.25">
      <c r="A134">
        <f>IF(ISBLANK('Data Entry'!$A$134), "", 'Data Entry'!$A$134)</f>
      </c>
      <c r="B134">
        <f>IF(ISBLANK('Data Entry'!$B$134), "", 'Data Entry'!$B$134)</f>
      </c>
      <c r="C134">
        <f>IF(ISBLANK('Data Entry'!$C$134), "", 'Data Entry'!$C$134)</f>
      </c>
      <c r="D134">
        <f>IF(ISBLANK('Data Entry'!$D$134), "", 'Data Entry'!$D$134)</f>
      </c>
      <c r="E134">
        <f>IF(ISBLANK('Data Entry'!$E$134), "", 'Data Entry'!$E$134)</f>
      </c>
      <c r="F134">
        <f>IF(ISBLANK('Data Entry'!$F$134), "", 'Data Entry'!$F$134)</f>
      </c>
      <c r="G134">
        <f>IF(ISBLANK('Data Entry'!$G$134), "", 'Data Entry'!$G$134)</f>
      </c>
      <c r="H134">
        <f>IF(ISBLANK('Data Entry'!$H$134), "", 'Data Entry'!$H$134)</f>
      </c>
      <c r="I134">
        <f>IF(ISBLANK('Data Entry'!$I$134), "", 'Data Entry'!$I$134)</f>
      </c>
      <c r="J134">
        <f>IF(ISBLANK('Data Entry'!$J$134), "", 'Data Entry'!$J$134)</f>
      </c>
      <c r="K134">
        <f>IF(ISBLANK('Data Entry'!$K$134), "", 'Data Entry'!$K$134)</f>
      </c>
      <c r="L134">
        <f>IF(ISBLANK('Data Entry'!$L$134), "", 'Data Entry'!$L$134)</f>
      </c>
      <c r="M134">
        <f>IF(ISBLANK('Data Entry'!$M$134), "", 'Data Entry'!$M$134)</f>
      </c>
      <c r="N134">
        <f>IF(ISBLANK('Data Entry'!$N$134), "", 'Data Entry'!$N$134)</f>
      </c>
      <c r="O134">
        <f>IF(ISBLANK('Data Entry'!$O$134), "", 'Data Entry'!$O$134)</f>
      </c>
      <c r="P134">
        <f>IF(ISBLANK('Data Entry'!$P$134), "", 'Data Entry'!$P$134)</f>
      </c>
      <c r="Q134">
        <f>IF(ISBLANK('Data Entry'!$Q$134), "", 'Data Entry'!$Q$134)</f>
      </c>
      <c r="R134">
        <f>IF(ISBLANK('Data Entry'!$R$134), "", 'Data Entry'!$R$134)</f>
      </c>
      <c r="S134">
        <f>IF(ISBLANK('Data Entry'!$S$134), "", 'Data Entry'!$S$134)</f>
      </c>
      <c r="T134">
        <f>IF(ISBLANK('Data Entry'!$T$134), "", 'Data Entry'!$T$134)</f>
      </c>
      <c r="U134">
        <f>IF(ISBLANK('Data Entry'!$U$134), "", 'Data Entry'!$U$134)</f>
      </c>
      <c r="V134">
        <f>IF(ISBLANK('Data Entry'!$V$134), "", 'Data Entry'!$V$134)</f>
      </c>
      <c r="W134">
        <f>IF(ISBLANK('Data Entry'!$W$134), "", 'Data Entry'!$W$134)</f>
      </c>
      <c r="X134">
        <f>IF(ISBLANK('Data Entry'!$X$134), "", 'Data Entry'!$X$134)</f>
      </c>
      <c r="Y134">
        <f>IF(ISBLANK('Data Entry'!$Y$134), "", 'Data Entry'!$Y$134)</f>
      </c>
      <c r="Z134">
        <f>IF(ISBLANK('Data Entry'!$Z$134), "", 'Data Entry'!$Z$134)</f>
      </c>
      <c r="AA134">
        <f>IF(ISBLANK('Data Entry'!$[$134), "", 'Data Entry'!$[$134)</f>
      </c>
      <c r="AB134">
        <f>IF(ISBLANK('Data Entry'!$\$134), "", 'Data Entry'!$\$134)</f>
      </c>
      <c r="AC134">
        <f>IF(ISBLANK('Data Entry'!$]$134), "", 'Data Entry'!$]$134)</f>
      </c>
      <c r="AD134">
        <f>IF(ISBLANK('Data Entry'!$^$134), "", 'Data Entry'!$^$134)</f>
      </c>
      <c r="AE134">
        <f>IF(ISBLANK('Data Entry'!$_$134), "", 'Data Entry'!$_$134)</f>
      </c>
      <c r="AF134">
        <f>IF(ISBLANK('Data Entry'!$`$134), "", 'Data Entry'!$`$134)</f>
      </c>
      <c r="AG134">
        <f>IF(ISBLANK('Data Entry'!$a$134), "", 'Data Entry'!$a$134)</f>
      </c>
      <c r="AH134">
        <f>IF(ISBLANK('Data Entry'!$b$134), "", 'Data Entry'!$b$134)</f>
      </c>
      <c r="AI134">
        <f>IF(ISBLANK('Data Entry'!$c$134), "", 'Data Entry'!$c$134)</f>
      </c>
      <c r="AJ134">
        <f>IF(ISBLANK('Data Entry'!$d$134), "", 'Data Entry'!$d$134)</f>
      </c>
      <c r="AK134">
        <f>IF(ISBLANK('Data Entry'!$e$134), "", 'Data Entry'!$e$134)</f>
      </c>
      <c r="AL134">
        <f>IF(ISBLANK('Data Entry'!$f$134), "", 'Data Entry'!$f$134)</f>
      </c>
      <c r="AM134">
        <f>IF(ISBLANK('Data Entry'!$g$134), "", 'Data Entry'!$g$134)</f>
      </c>
      <c r="AN134">
        <f>IF(ISBLANK('Data Entry'!$h$134), "", 'Data Entry'!$h$134)</f>
      </c>
      <c r="AO134">
        <f>IF(ISBLANK('Data Entry'!$i$134), "", 'Data Entry'!$i$134)</f>
      </c>
      <c r="AP134">
        <f>IF(ISBLANK('Data Entry'!$j$134), "", 'Data Entry'!$j$134)</f>
      </c>
      <c r="AQ134">
        <f>IF(ISBLANK('Data Entry'!$k$134), "", 'Data Entry'!$k$134)</f>
      </c>
      <c r="AR134">
        <f>IF(ISBLANK('Data Entry'!$l$134), "", 'Data Entry'!$l$134)</f>
      </c>
      <c r="AS134">
        <f>IF(ISBLANK('Data Entry'!$m$134), "", 'Data Entry'!$m$134)</f>
      </c>
      <c r="AT134">
        <f>IF(ISBLANK('Data Entry'!$n$134), "", 'Data Entry'!$n$134)</f>
      </c>
      <c r="AU134">
        <f>IF(ISBLANK('Data Entry'!$o$134), "", 'Data Entry'!$o$134)</f>
      </c>
      <c r="AV134">
        <f>IF(ISBLANK('Data Entry'!$p$134), "", 'Data Entry'!$p$134)</f>
      </c>
      <c r="AW134">
        <f>IF(ISBLANK('Data Entry'!$q$134), "", 'Data Entry'!$q$134)</f>
      </c>
      <c r="AX134">
        <f>IF(ISBLANK('Data Entry'!$r$134), "", 'Data Entry'!$r$134)</f>
      </c>
      <c r="AY134">
        <f>IF(ISBLANK('Data Entry'!$s$134), "", 'Data Entry'!$s$134)</f>
      </c>
      <c r="AZ134">
        <f>IF(ISBLANK('Data Entry'!$t$134), "", 'Data Entry'!$t$134)</f>
      </c>
      <c r="BA134">
        <f>IF(ISBLANK('Data Entry'!$u$134), "", 'Data Entry'!$u$134)</f>
      </c>
      <c r="BB134">
        <f>IF(ISBLANK('Data Entry'!$v$134), "", 'Data Entry'!$v$134)</f>
      </c>
      <c r="BC134">
        <f>IF(ISBLANK('Data Entry'!$w$134), "", 'Data Entry'!$w$134)</f>
      </c>
      <c r="BD134">
        <f>IF(ISBLANK('Data Entry'!$x$134), "", 'Data Entry'!$x$134)</f>
      </c>
      <c r="BE134">
        <f>IF(ISBLANK('Data Entry'!$y$134), "", 'Data Entry'!$y$134)</f>
      </c>
      <c r="BF134">
        <f>IF(ISBLANK('Data Entry'!$z$134), "", 'Data Entry'!$z$134)</f>
      </c>
      <c r="BG134">
        <f>IF(ISBLANK('Data Entry'!${$134), "", 'Data Entry'!${$134)</f>
      </c>
      <c r="BH134">
        <f>IF(ISBLANK('Data Entry'!$|$134), "", 'Data Entry'!$|$134)</f>
      </c>
      <c r="BI134">
        <f>IF(ISBLANK('Data Entry'!$}$134), "", 'Data Entry'!$}$134)</f>
      </c>
      <c r="BJ134">
        <f>IF(ISBLANK('Data Entry'!$~$134), "", 'Data Entry'!$~$134)</f>
      </c>
      <c r="BK134">
        <f>IF(ISBLANK('Data Entry'!$$134), "", 'Data Entry'!$$134)</f>
      </c>
      <c r="BL134">
        <f>IF(ISBLANK('Data Entry'!$$134), "", 'Data Entry'!$$134)</f>
      </c>
      <c r="BM134">
        <f>IF(ISBLANK('Data Entry'!$$134), "", 'Data Entry'!$$134)</f>
      </c>
      <c r="BN134">
        <f>IF(ISBLANK('Data Entry'!$$134), "", 'Data Entry'!$$134)</f>
      </c>
      <c r="BO134">
        <f>IF(ISBLANK('Data Entry'!$$134), "", 'Data Entry'!$$134)</f>
      </c>
      <c r="BP134">
        <f>IF(ISBLANK('Data Entry'!$$134), "", 'Data Entry'!$$134)</f>
      </c>
      <c r="BQ134">
        <f>IF(ISBLANK('Data Entry'!$$134), "", 'Data Entry'!$$134)</f>
      </c>
      <c r="BR134">
        <f>IF(ISBLANK('Data Entry'!$$134), "", 'Data Entry'!$$134)</f>
      </c>
      <c r="BS134">
        <f>IF(ISBLANK('Data Entry'!$$134), "", 'Data Entry'!$$134)</f>
      </c>
      <c r="BT134">
        <f>IF(ISBLANK('Data Entry'!$$134), "", 'Data Entry'!$$134)</f>
      </c>
      <c r="BU134">
        <f>IF(ISBLANK('Data Entry'!$$134), "", 'Data Entry'!$$134)</f>
      </c>
      <c r="BV134">
        <f>IF(ISBLANK('Data Entry'!$$134), "", 'Data Entry'!$$134)</f>
      </c>
      <c r="BW134">
        <f>IF(ISBLANK('Data Entry'!$$134), "", 'Data Entry'!$$134)</f>
      </c>
      <c r="BX134">
        <f>IF(ISBLANK('Data Entry'!$$134), "", 'Data Entry'!$$134)</f>
      </c>
      <c r="BY134">
        <f>IF(ISBLANK('Data Entry'!$$134), "", 'Data Entry'!$$134)</f>
      </c>
      <c r="BZ134">
        <f>IF(ISBLANK('Data Entry'!$$134), "", 'Data Entry'!$$134)</f>
      </c>
      <c r="CA134">
        <f>IF(ISBLANK('Data Entry'!$$134), "", 'Data Entry'!$$134)</f>
      </c>
      <c r="CB134">
        <f>IF(ISBLANK('Data Entry'!$$134), "", 'Data Entry'!$$134)</f>
      </c>
      <c r="CC134">
        <f>IF(ISBLANK('Data Entry'!$$134), "", 'Data Entry'!$$134)</f>
      </c>
      <c r="CD134">
        <f>IF(ISBLANK('Data Entry'!$$134), "", 'Data Entry'!$$134)</f>
      </c>
      <c r="CE134">
        <f>IF(ISBLANK('Data Entry'!$$134), "", 'Data Entry'!$$134)</f>
      </c>
      <c r="CF134">
        <f>IF(ISBLANK('Data Entry'!$$134), "", 'Data Entry'!$$134)</f>
      </c>
      <c r="CG134">
        <f>IF(ISBLANK('Data Entry'!$$134), "", 'Data Entry'!$$134)</f>
      </c>
      <c r="CH134">
        <f>IF(ISBLANK('Data Entry'!$$134), "", 'Data Entry'!$$134)</f>
      </c>
      <c r="CI134">
        <f>IF(ISBLANK('Data Entry'!$$134), "", 'Data Entry'!$$134)</f>
      </c>
      <c r="CJ134">
        <f>IF(ISBLANK('Data Entry'!$$134), "", 'Data Entry'!$$134)</f>
      </c>
      <c r="CK134">
        <f>IF(ISBLANK('Data Entry'!$$134), "", 'Data Entry'!$$134)</f>
      </c>
      <c r="CL134">
        <f>IF(ISBLANK('Data Entry'!$$134), "", 'Data Entry'!$$134)</f>
      </c>
      <c r="CM134">
        <f>IF(ISBLANK('Data Entry'!$$134), "", 'Data Entry'!$$134)</f>
      </c>
      <c r="CN134">
        <f>IF(ISBLANK('Data Entry'!$$134), "", 'Data Entry'!$$134)</f>
      </c>
      <c r="CO134">
        <f>IF(ISBLANK('Data Entry'!$$134), "", 'Data Entry'!$$134)</f>
      </c>
      <c r="CP134">
        <f>IF(ISBLANK('Data Entry'!$$134), "", 'Data Entry'!$$134)</f>
      </c>
      <c r="CQ134">
        <f>IF(ISBLANK('Data Entry'!$$134), "", 'Data Entry'!$$134)</f>
      </c>
      <c r="CR134">
        <f>IF(ISBLANK('Data Entry'!$ $134), "", 'Data Entry'!$ $134)</f>
      </c>
      <c r="CS134">
        <f>IF(ISBLANK('Data Entry'!$¡$134), "", 'Data Entry'!$¡$134)</f>
      </c>
      <c r="CT134">
        <f>IF(ISBLANK('Data Entry'!$¢$134), "", 'Data Entry'!$¢$134)</f>
      </c>
      <c r="CU134">
        <f>IF(ISBLANK('Data Entry'!$£$134), "", 'Data Entry'!$£$134)</f>
      </c>
      <c r="CV134">
        <f>IF(ISBLANK('Data Entry'!$¤$134), "", 'Data Entry'!$¤$134)</f>
      </c>
      <c r="CW134">
        <f>IF(ISBLANK('Data Entry'!$¥$134), "", 'Data Entry'!$¥$134)</f>
      </c>
      <c r="CX134">
        <f>IF(ISBLANK('Data Entry'!$¦$134), "", 'Data Entry'!$¦$134)</f>
      </c>
      <c r="CY134">
        <f>IF(ISBLANK('Data Entry'!$§$134), "", 'Data Entry'!$§$134)</f>
      </c>
      <c r="CZ134">
        <f>IF(ISBLANK('Data Entry'!$¨$134), "", 'Data Entry'!$¨$134)</f>
      </c>
      <c r="DA134">
        <f>IF(ISBLANK('Data Entry'!$©$134), "", 'Data Entry'!$©$134)</f>
      </c>
      <c r="DB134">
        <f>IF(ISBLANK('Data Entry'!$ª$134), "", 'Data Entry'!$ª$134)</f>
      </c>
      <c r="DC134">
        <f>IF(ISBLANK('Data Entry'!$«$134), "", 'Data Entry'!$«$134)</f>
      </c>
      <c r="DD134">
        <f>IF(ISBLANK('Data Entry'!$¬$134), "", 'Data Entry'!$¬$134)</f>
      </c>
      <c r="DE134">
        <f>IF(ISBLANK('Data Entry'!$­$134), "", 'Data Entry'!$­$134)</f>
      </c>
      <c r="DF134">
        <f>IF(ISBLANK('Data Entry'!$®$134), "", 'Data Entry'!$®$134)</f>
      </c>
      <c r="DG134">
        <f>IF(ISBLANK('Data Entry'!$¯$134), "", 'Data Entry'!$¯$134)</f>
      </c>
      <c r="DH134">
        <f>IF(ISBLANK('Data Entry'!$°$134), "", 'Data Entry'!$°$134)</f>
      </c>
      <c r="DI134">
        <f>IF(ISBLANK('Data Entry'!$±$134), "", 'Data Entry'!$±$134)</f>
      </c>
      <c r="DJ134">
        <f>IF(ISBLANK('Data Entry'!$²$134), "", 'Data Entry'!$²$134)</f>
      </c>
      <c r="DK134">
        <f>IF(ISBLANK('Data Entry'!$³$134), "", 'Data Entry'!$³$134)</f>
      </c>
      <c r="DL134">
        <f>IF(ISBLANK('Data Entry'!$´$134), "", 'Data Entry'!$´$134)</f>
      </c>
      <c r="DM134">
        <f>IF(ISBLANK('Data Entry'!$µ$134), "", 'Data Entry'!$µ$134)</f>
      </c>
      <c r="DN134">
        <f>IF(ISBLANK('Data Entry'!$¶$134), "", 'Data Entry'!$¶$134)</f>
      </c>
      <c r="DO134">
        <f>IF(ISBLANK('Data Entry'!$·$134), "", 'Data Entry'!$·$134)</f>
      </c>
      <c r="DP134">
        <f>IF(ISBLANK('Data Entry'!$¸$134), "", 'Data Entry'!$¸$134)</f>
      </c>
      <c r="DQ134">
        <f>IF(ISBLANK('Data Entry'!$¹$134), "", 'Data Entry'!$¹$134)</f>
      </c>
      <c r="DR134">
        <f>IF(ISBLANK('Data Entry'!$º$134), "", 'Data Entry'!$º$134)</f>
      </c>
      <c r="DS134">
        <f>IF(ISBLANK('Data Entry'!$»$134), "", 'Data Entry'!$»$134)</f>
      </c>
      <c r="DT134">
        <f>IF(ISBLANK('Data Entry'!$¼$134), "", 'Data Entry'!$¼$134)</f>
      </c>
      <c r="DU134">
        <f>IF(ISBLANK('Data Entry'!$½$134), "", 'Data Entry'!$½$134)</f>
      </c>
      <c r="DV134">
        <f>IF(ISBLANK('Data Entry'!$¾$134), "", 'Data Entry'!$¾$134)</f>
      </c>
      <c r="DW134">
        <f>IF(ISBLANK('Data Entry'!$¿$134), "", 'Data Entry'!$¿$134)</f>
      </c>
      <c r="DX134">
        <f>IF(ISBLANK('Data Entry'!$À$134), "", 'Data Entry'!$À$134)</f>
      </c>
      <c r="DY134">
        <f>IF(ISBLANK('Data Entry'!$Á$134), "", 'Data Entry'!$Á$134)</f>
      </c>
      <c r="DZ134">
        <f>IF(ISBLANK('Data Entry'!$Â$134), "", 'Data Entry'!$Â$134)</f>
      </c>
      <c r="EA134">
        <f>IF(ISBLANK('Data Entry'!$Ã$134), "", 'Data Entry'!$Ã$134)</f>
      </c>
      <c r="EB134">
        <f>IF(ISBLANK('Data Entry'!$Ä$134), "", 'Data Entry'!$Ä$134)</f>
      </c>
      <c r="EC134">
        <f>IF(ISBLANK('Data Entry'!$Å$134), "", 'Data Entry'!$Å$134)</f>
      </c>
      <c r="ED134">
        <f>IF(ISBLANK('Data Entry'!$Æ$134), "", 'Data Entry'!$Æ$134)</f>
      </c>
      <c r="EE134">
        <f>IF(ISBLANK('Data Entry'!$Ç$134), "", 'Data Entry'!$Ç$134)</f>
      </c>
      <c r="EF134">
        <f>IF(ISBLANK('Data Entry'!$È$134), "", 'Data Entry'!$È$134)</f>
      </c>
      <c r="EG134">
        <f>IF(ISBLANK('Data Entry'!$É$134), "", 'Data Entry'!$É$134)</f>
      </c>
      <c r="EH134">
        <f>IF(ISBLANK('Data Entry'!$Ê$134), "", 'Data Entry'!$Ê$134)</f>
      </c>
      <c r="EI134">
        <f>IF(ISBLANK('Data Entry'!$Ë$134), "", 'Data Entry'!$Ë$134)</f>
      </c>
      <c r="EJ134">
        <f>IF(ISBLANK('Data Entry'!$Ì$134), "", 'Data Entry'!$Ì$134)</f>
      </c>
      <c r="EK134">
        <f>IF(ISBLANK('Data Entry'!$Í$134), "", 'Data Entry'!$Í$134)</f>
      </c>
      <c r="EL134">
        <f>IF(ISBLANK('Data Entry'!$Î$134), "", 'Data Entry'!$Î$134)</f>
      </c>
      <c r="EM134">
        <f>IF(ISBLANK('Data Entry'!$Ï$134), "", 'Data Entry'!$Ï$134)</f>
      </c>
      <c r="EN134">
        <f>IF(ISBLANK('Data Entry'!$Ð$134), "", 'Data Entry'!$Ð$134)</f>
      </c>
      <c r="EO134">
        <f>IF(ISBLANK('Data Entry'!$Ñ$134), "", 'Data Entry'!$Ñ$134)</f>
      </c>
      <c r="EP134">
        <f>IF(ISBLANK('Data Entry'!$Ò$134), "", 'Data Entry'!$Ò$134)</f>
      </c>
      <c r="EQ134">
        <f>IF(ISBLANK('Data Entry'!$Ó$134), "", 'Data Entry'!$Ó$134)</f>
      </c>
      <c r="ER134">
        <f>IF(ISBLANK('Data Entry'!$Ô$134), "", 'Data Entry'!$Ô$134)</f>
      </c>
      <c r="ES134">
        <f>IF(ISBLANK('Data Entry'!$Õ$134), "", 'Data Entry'!$Õ$134)</f>
      </c>
      <c r="ET134">
        <f>IF(ISBLANK('Data Entry'!$Ö$134), "", 'Data Entry'!$Ö$134)</f>
      </c>
      <c r="EU134">
        <f>IF(ISBLANK('Data Entry'!$×$134), "", 'Data Entry'!$×$134)</f>
      </c>
      <c r="EV134">
        <f>IF(ISBLANK('Data Entry'!$Ø$134), "", 'Data Entry'!$Ø$134)</f>
      </c>
      <c r="EW134">
        <f>IF(ISBLANK('Data Entry'!$Ù$134), "", 'Data Entry'!$Ù$134)</f>
      </c>
      <c r="EX134">
        <f>IF(ISBLANK('Data Entry'!$Ú$134), "", 'Data Entry'!$Ú$134)</f>
      </c>
      <c r="EY134">
        <f>IF(ISBLANK('Data Entry'!$Û$134), "", 'Data Entry'!$Û$134)</f>
      </c>
      <c r="EZ134">
        <f>IF(ISBLANK('Data Entry'!$Ü$134), "", 'Data Entry'!$Ü$134)</f>
      </c>
      <c r="FA134">
        <f>IF(ISBLANK('Data Entry'!$Ý$134), "", 'Data Entry'!$Ý$134)</f>
      </c>
      <c r="FB134">
        <f>IF(ISBLANK('Data Entry'!$Þ$134), "", 'Data Entry'!$Þ$134)</f>
      </c>
      <c r="FC134">
        <f>IF(ISBLANK('Data Entry'!$ß$134), "", 'Data Entry'!$ß$134)</f>
      </c>
      <c r="FD134">
        <f>IF(ISBLANK('Data Entry'!$à$134), "", 'Data Entry'!$à$134)</f>
      </c>
      <c r="FE134">
        <f>IF(ISBLANK('Data Entry'!$á$134), "", 'Data Entry'!$á$134)</f>
      </c>
      <c r="FF134">
        <f>IF(ISBLANK('Data Entry'!$â$134), "", 'Data Entry'!$â$134)</f>
      </c>
      <c r="FG134">
        <f>IF(ISBLANK('Data Entry'!$ã$134), "", 'Data Entry'!$ã$134)</f>
      </c>
      <c r="FH134">
        <f>IF(ISBLANK('Data Entry'!$ä$134), "", 'Data Entry'!$ä$134)</f>
      </c>
      <c r="FI134">
        <f>IF(ISBLANK('Data Entry'!$å$134), "", 'Data Entry'!$å$134)</f>
      </c>
      <c r="FJ134">
        <f>IF(ISBLANK('Data Entry'!$æ$134), "", 'Data Entry'!$æ$134)</f>
      </c>
      <c r="FK134">
        <f>IF(ISBLANK('Data Entry'!$ç$134), "", 'Data Entry'!$ç$134)</f>
      </c>
      <c r="FL134">
        <f>IF(ISBLANK('Data Entry'!$è$134), "", 'Data Entry'!$è$134)</f>
      </c>
      <c r="FM134">
        <f>IF(ISBLANK('Data Entry'!$é$134), "", 'Data Entry'!$é$134)</f>
      </c>
      <c r="FN134">
        <f>IF(ISBLANK('Data Entry'!$ê$134), "", 'Data Entry'!$ê$134)</f>
      </c>
      <c r="FO134">
        <f>IF(ISBLANK('Data Entry'!$ë$134), "", 'Data Entry'!$ë$134)</f>
      </c>
      <c r="FP134">
        <f>IF(ISBLANK('Data Entry'!$ì$134), "", 'Data Entry'!$ì$134)</f>
      </c>
      <c r="FQ134">
        <f>IF(ISBLANK('Data Entry'!$í$134), "", 'Data Entry'!$í$134)</f>
      </c>
      <c r="FR134">
        <f>IF(ISBLANK('Data Entry'!$î$134), "", 'Data Entry'!$î$134)</f>
      </c>
      <c r="FS134">
        <f>IF(ISBLANK('Data Entry'!$ï$134), "", 'Data Entry'!$ï$134)</f>
      </c>
      <c r="FT134">
        <f>IF(ISBLANK('Data Entry'!$ð$134), "", 'Data Entry'!$ð$134)</f>
      </c>
      <c r="FU134">
        <f>IF(ISBLANK('Data Entry'!$ñ$134), "", 'Data Entry'!$ñ$134)</f>
      </c>
      <c r="FV134">
        <f>IF(ISBLANK('Data Entry'!$ò$134), "", 'Data Entry'!$ò$134)</f>
      </c>
      <c r="FW134">
        <f>IF(ISBLANK('Data Entry'!$ó$134), "", 'Data Entry'!$ó$134)</f>
      </c>
      <c r="FX134">
        <f>IF(ISBLANK('Data Entry'!$ô$134), "", 'Data Entry'!$ô$134)</f>
      </c>
      <c r="FY134">
        <f>IF(ISBLANK('Data Entry'!$õ$134), "", 'Data Entry'!$õ$134)</f>
      </c>
      <c r="FZ134">
        <f>IF(ISBLANK('Data Entry'!$ö$134), "", 'Data Entry'!$ö$134)</f>
      </c>
      <c r="GA134">
        <f>IF(ISBLANK('Data Entry'!$÷$134), "", 'Data Entry'!$÷$134)</f>
      </c>
      <c r="GB134">
        <f>IF(ISBLANK('Data Entry'!$ø$134), "", 'Data Entry'!$ø$134)</f>
      </c>
      <c r="GC134">
        <f>IF(ISBLANK('Data Entry'!$ù$134), "", 'Data Entry'!$ù$134)</f>
      </c>
      <c r="GD134">
        <f>IF(ISBLANK('Data Entry'!$ú$134), "", 'Data Entry'!$ú$134)</f>
      </c>
      <c r="GE134">
        <f>IF(ISBLANK('Data Entry'!$û$134), "", 'Data Entry'!$û$134)</f>
      </c>
      <c r="GF134">
        <f>IF(ISBLANK('Data Entry'!$ü$134), "", 'Data Entry'!$ü$134)</f>
      </c>
      <c r="GG134">
        <f>IF(ISBLANK('Data Entry'!$ý$134), "", 'Data Entry'!$ý$134)</f>
      </c>
      <c r="GH134">
        <f>IF(ISBLANK('Data Entry'!$þ$134), "", 'Data Entry'!$þ$134)</f>
      </c>
      <c r="GI134">
        <f>IF(ISBLANK('Data Entry'!$ÿ$134), "", 'Data Entry'!$ÿ$134)</f>
      </c>
      <c r="GJ134">
        <f>IF(ISBLANK('Data Entry'!$Ā$134), "", 'Data Entry'!$Ā$134)</f>
      </c>
      <c r="GK134">
        <f>IF(ISBLANK('Data Entry'!$ā$134), "", 'Data Entry'!$ā$134)</f>
      </c>
      <c r="GL134">
        <f>IF(ISBLANK('Data Entry'!$Ă$134), "", 'Data Entry'!$Ă$134)</f>
      </c>
      <c r="GM134">
        <f>IF(ISBLANK('Data Entry'!$ă$134), "", 'Data Entry'!$ă$134)</f>
      </c>
      <c r="GN134">
        <f>IF(ISBLANK('Data Entry'!$Ą$134), "", 'Data Entry'!$Ą$134)</f>
      </c>
      <c r="GO134">
        <f>IF(ISBLANK('Data Entry'!$ą$134), "", 'Data Entry'!$ą$134)</f>
      </c>
      <c r="GP134">
        <f>IF(ISBLANK('Data Entry'!$Ć$134), "", 'Data Entry'!$Ć$134)</f>
      </c>
      <c r="GQ134">
        <f>IF(ISBLANK('Data Entry'!$ć$134), "", 'Data Entry'!$ć$134)</f>
      </c>
      <c r="GR134">
        <f>IF(ISBLANK('Data Entry'!$Ĉ$134), "", 'Data Entry'!$Ĉ$134)</f>
      </c>
      <c r="GS134">
        <f>IF(ISBLANK('Data Entry'!$ĉ$134), "", 'Data Entry'!$ĉ$134)</f>
      </c>
      <c r="GT134">
        <f>IF(ISBLANK('Data Entry'!$Ċ$134), "", 'Data Entry'!$Ċ$134)</f>
      </c>
      <c r="GU134">
        <f>IF(ISBLANK('Data Entry'!$ċ$134), "", 'Data Entry'!$ċ$134)</f>
      </c>
      <c r="GV134">
        <f>IF(ISBLANK('Data Entry'!$Č$134), "", 'Data Entry'!$Č$134)</f>
      </c>
      <c r="GW134">
        <f>IF(ISBLANK('Data Entry'!$č$134), "", 'Data Entry'!$č$134)</f>
      </c>
      <c r="GX134">
        <f>IF(ISBLANK('Data Entry'!$Ď$134), "", 'Data Entry'!$Ď$134)</f>
      </c>
      <c r="GY134">
        <f>IF(ISBLANK('Data Entry'!$ď$134), "", 'Data Entry'!$ď$134)</f>
      </c>
      <c r="GZ134">
        <f>IF(ISBLANK('Data Entry'!$Đ$134), "", 'Data Entry'!$Đ$134)</f>
      </c>
      <c r="HA134">
        <f>IF(ISBLANK('Data Entry'!$đ$134), "", 'Data Entry'!$đ$134)</f>
      </c>
      <c r="HB134">
        <f>IF(ISBLANK('Data Entry'!$Ē$134), "", 'Data Entry'!$Ē$134)</f>
      </c>
      <c r="HC134">
        <f>IF(ISBLANK('Data Entry'!$ē$134), "", 'Data Entry'!$ē$134)</f>
      </c>
      <c r="HD134">
        <f>IF(ISBLANK('Data Entry'!$Ĕ$134), "", 'Data Entry'!$Ĕ$134)</f>
      </c>
      <c r="HE134">
        <f>IF(ISBLANK('Data Entry'!$ĕ$134), "", 'Data Entry'!$ĕ$134)</f>
      </c>
      <c r="HF134">
        <f>IF(ISBLANK('Data Entry'!$Ė$134), "", 'Data Entry'!$Ė$134)</f>
      </c>
      <c r="HG134">
        <f>IF(ISBLANK('Data Entry'!$ė$134), "", 'Data Entry'!$ė$134)</f>
      </c>
      <c r="HH134">
        <f>IF(ISBLANK('Data Entry'!$Ę$134), "", 'Data Entry'!$Ę$134)</f>
      </c>
      <c r="HI134">
        <f>IF(ISBLANK('Data Entry'!$ę$134), "", 'Data Entry'!$ę$134)</f>
      </c>
      <c r="HJ134">
        <f>IF(ISBLANK('Data Entry'!$Ě$134), "", 'Data Entry'!$Ě$134)</f>
      </c>
      <c r="HK134">
        <f>IF(ISBLANK('Data Entry'!$ě$134), "", 'Data Entry'!$ě$134)</f>
      </c>
      <c r="HL134">
        <f>IF(ISBLANK('Data Entry'!$Ĝ$134), "", 'Data Entry'!$Ĝ$134)</f>
      </c>
      <c r="HM134">
        <f>IF(ISBLANK('Data Entry'!$ĝ$134), "", 'Data Entry'!$ĝ$134)</f>
      </c>
      <c r="HN134">
        <f>IF(ISBLANK('Data Entry'!$Ğ$134), "", 'Data Entry'!$Ğ$134)</f>
      </c>
      <c r="HO134">
        <f>IF(ISBLANK('Data Entry'!$ğ$134), "", 'Data Entry'!$ğ$134)</f>
      </c>
      <c r="HP134">
        <f>IF(ISBLANK('Data Entry'!$Ġ$134), "", 'Data Entry'!$Ġ$134)</f>
      </c>
      <c r="HQ134">
        <f>IF(ISBLANK('Data Entry'!$ġ$134), "", 'Data Entry'!$ġ$134)</f>
      </c>
      <c r="HR134">
        <f>IF(ISBLANK('Data Entry'!$Ģ$134), "", 'Data Entry'!$Ģ$134)</f>
      </c>
      <c r="HS134">
        <f>IF(ISBLANK('Data Entry'!$ģ$134), "", 'Data Entry'!$ģ$134)</f>
      </c>
      <c r="HT134">
        <f>IF(ISBLANK('Data Entry'!$Ĥ$134), "", 'Data Entry'!$Ĥ$134)</f>
      </c>
      <c r="HU134">
        <f>IF(ISBLANK('Data Entry'!$ĥ$134), "", 'Data Entry'!$ĥ$134)</f>
      </c>
      <c r="HV134">
        <f>IF(ISBLANK('Data Entry'!$Ħ$134), "", 'Data Entry'!$Ħ$134)</f>
      </c>
      <c r="HW134">
        <f>IF(ISBLANK('Data Entry'!$ħ$134), "", 'Data Entry'!$ħ$134)</f>
      </c>
      <c r="HX134">
        <f>IF(ISBLANK('Data Entry'!$Ĩ$134), "", 'Data Entry'!$Ĩ$134)</f>
      </c>
      <c r="HY134">
        <f>IF(ISBLANK('Data Entry'!$ĩ$134), "", 'Data Entry'!$ĩ$134)</f>
      </c>
      <c r="HZ134">
        <f>IF(ISBLANK('Data Entry'!$Ī$134), "", 'Data Entry'!$Ī$134)</f>
      </c>
      <c r="IA134">
        <f>IF(ISBLANK('Data Entry'!$ī$134), "", 'Data Entry'!$ī$134)</f>
      </c>
      <c r="IB134">
        <f>IF(ISBLANK('Data Entry'!$Ĭ$134), "", 'Data Entry'!$Ĭ$134)</f>
      </c>
      <c r="IC134">
        <f>IF(ISBLANK('Data Entry'!$ĭ$134), "", 'Data Entry'!$ĭ$134)</f>
      </c>
      <c r="ID134">
        <f>IF(ISBLANK('Data Entry'!$Į$134), "", 'Data Entry'!$Į$134)</f>
      </c>
      <c r="IE134">
        <f>IF(ISBLANK('Data Entry'!$į$134), "", 'Data Entry'!$į$134)</f>
      </c>
      <c r="IF134">
        <f>IF(ISBLANK('Data Entry'!$İ$134), "", 'Data Entry'!$İ$134)</f>
      </c>
      <c r="IG134">
        <f>IF(ISBLANK('Data Entry'!$ı$134), "", 'Data Entry'!$ı$134)</f>
      </c>
      <c r="IH134">
        <f>IF(ISBLANK('Data Entry'!$Ĳ$134), "", 'Data Entry'!$Ĳ$134)</f>
      </c>
      <c r="II134">
        <f>IF(ISBLANK('Data Entry'!$ĳ$134), "", 'Data Entry'!$ĳ$134)</f>
      </c>
      <c r="IJ134">
        <f>IF(ISBLANK('Data Entry'!$Ĵ$134), "", 'Data Entry'!$Ĵ$134)</f>
      </c>
      <c r="IK134">
        <f>IF(ISBLANK('Data Entry'!$ĵ$134), "", 'Data Entry'!$ĵ$134)</f>
      </c>
      <c r="IL134">
        <f>IF(ISBLANK('Data Entry'!$Ķ$134), "", 'Data Entry'!$Ķ$134)</f>
      </c>
      <c r="IM134">
        <f>IF(ISBLANK('Data Entry'!$ķ$134), "", 'Data Entry'!$ķ$134)</f>
      </c>
      <c r="IN134">
        <f>IF(ISBLANK('Data Entry'!$ĸ$134), "", 'Data Entry'!$ĸ$134)</f>
      </c>
      <c r="IO134">
        <f>IF(ISBLANK('Data Entry'!$Ĺ$134), "", 'Data Entry'!$Ĺ$134)</f>
      </c>
      <c r="IP134">
        <f>IF(ISBLANK('Data Entry'!$ĺ$134), "", 'Data Entry'!$ĺ$134)</f>
      </c>
      <c r="IQ134">
        <f>IF(ISBLANK('Data Entry'!$Ļ$134), "", 'Data Entry'!$Ļ$134)</f>
      </c>
      <c r="IR134">
        <f>IF(ISBLANK('Data Entry'!$ļ$134), "", 'Data Entry'!$ļ$134)</f>
      </c>
      <c r="IS134">
        <f>IF(ISBLANK('Data Entry'!$Ľ$134), "", 'Data Entry'!$Ľ$134)</f>
      </c>
      <c r="IT134">
        <f>IF(ISBLANK('Data Entry'!$ľ$134), "", 'Data Entry'!$ľ$134)</f>
      </c>
    </row>
    <row r="135" spans="1:254" x14ac:dyDescent="0.25">
      <c r="A135">
        <f>IF(ISBLANK('Data Entry'!$A$135), "", 'Data Entry'!$A$135)</f>
      </c>
      <c r="B135">
        <f>IF(ISBLANK('Data Entry'!$B$135), "", 'Data Entry'!$B$135)</f>
      </c>
      <c r="C135">
        <f>IF(ISBLANK('Data Entry'!$C$135), "", 'Data Entry'!$C$135)</f>
      </c>
      <c r="D135">
        <f>IF(ISBLANK('Data Entry'!$D$135), "", 'Data Entry'!$D$135)</f>
      </c>
      <c r="E135">
        <f>IF(ISBLANK('Data Entry'!$E$135), "", 'Data Entry'!$E$135)</f>
      </c>
      <c r="F135">
        <f>IF(ISBLANK('Data Entry'!$F$135), "", 'Data Entry'!$F$135)</f>
      </c>
      <c r="G135">
        <f>IF(ISBLANK('Data Entry'!$G$135), "", 'Data Entry'!$G$135)</f>
      </c>
      <c r="H135">
        <f>IF(ISBLANK('Data Entry'!$H$135), "", 'Data Entry'!$H$135)</f>
      </c>
      <c r="I135">
        <f>IF(ISBLANK('Data Entry'!$I$135), "", 'Data Entry'!$I$135)</f>
      </c>
      <c r="J135">
        <f>IF(ISBLANK('Data Entry'!$J$135), "", 'Data Entry'!$J$135)</f>
      </c>
      <c r="K135">
        <f>IF(ISBLANK('Data Entry'!$K$135), "", 'Data Entry'!$K$135)</f>
      </c>
      <c r="L135">
        <f>IF(ISBLANK('Data Entry'!$L$135), "", 'Data Entry'!$L$135)</f>
      </c>
      <c r="M135">
        <f>IF(ISBLANK('Data Entry'!$M$135), "", 'Data Entry'!$M$135)</f>
      </c>
      <c r="N135">
        <f>IF(ISBLANK('Data Entry'!$N$135), "", 'Data Entry'!$N$135)</f>
      </c>
      <c r="O135">
        <f>IF(ISBLANK('Data Entry'!$O$135), "", 'Data Entry'!$O$135)</f>
      </c>
      <c r="P135">
        <f>IF(ISBLANK('Data Entry'!$P$135), "", 'Data Entry'!$P$135)</f>
      </c>
      <c r="Q135">
        <f>IF(ISBLANK('Data Entry'!$Q$135), "", 'Data Entry'!$Q$135)</f>
      </c>
      <c r="R135">
        <f>IF(ISBLANK('Data Entry'!$R$135), "", 'Data Entry'!$R$135)</f>
      </c>
      <c r="S135">
        <f>IF(ISBLANK('Data Entry'!$S$135), "", 'Data Entry'!$S$135)</f>
      </c>
      <c r="T135">
        <f>IF(ISBLANK('Data Entry'!$T$135), "", 'Data Entry'!$T$135)</f>
      </c>
      <c r="U135">
        <f>IF(ISBLANK('Data Entry'!$U$135), "", 'Data Entry'!$U$135)</f>
      </c>
      <c r="V135">
        <f>IF(ISBLANK('Data Entry'!$V$135), "", 'Data Entry'!$V$135)</f>
      </c>
      <c r="W135">
        <f>IF(ISBLANK('Data Entry'!$W$135), "", 'Data Entry'!$W$135)</f>
      </c>
      <c r="X135">
        <f>IF(ISBLANK('Data Entry'!$X$135), "", 'Data Entry'!$X$135)</f>
      </c>
      <c r="Y135">
        <f>IF(ISBLANK('Data Entry'!$Y$135), "", 'Data Entry'!$Y$135)</f>
      </c>
      <c r="Z135">
        <f>IF(ISBLANK('Data Entry'!$Z$135), "", 'Data Entry'!$Z$135)</f>
      </c>
      <c r="AA135">
        <f>IF(ISBLANK('Data Entry'!$[$135), "", 'Data Entry'!$[$135)</f>
      </c>
      <c r="AB135">
        <f>IF(ISBLANK('Data Entry'!$\$135), "", 'Data Entry'!$\$135)</f>
      </c>
      <c r="AC135">
        <f>IF(ISBLANK('Data Entry'!$]$135), "", 'Data Entry'!$]$135)</f>
      </c>
      <c r="AD135">
        <f>IF(ISBLANK('Data Entry'!$^$135), "", 'Data Entry'!$^$135)</f>
      </c>
      <c r="AE135">
        <f>IF(ISBLANK('Data Entry'!$_$135), "", 'Data Entry'!$_$135)</f>
      </c>
      <c r="AF135">
        <f>IF(ISBLANK('Data Entry'!$`$135), "", 'Data Entry'!$`$135)</f>
      </c>
      <c r="AG135">
        <f>IF(ISBLANK('Data Entry'!$a$135), "", 'Data Entry'!$a$135)</f>
      </c>
      <c r="AH135">
        <f>IF(ISBLANK('Data Entry'!$b$135), "", 'Data Entry'!$b$135)</f>
      </c>
      <c r="AI135">
        <f>IF(ISBLANK('Data Entry'!$c$135), "", 'Data Entry'!$c$135)</f>
      </c>
      <c r="AJ135">
        <f>IF(ISBLANK('Data Entry'!$d$135), "", 'Data Entry'!$d$135)</f>
      </c>
      <c r="AK135">
        <f>IF(ISBLANK('Data Entry'!$e$135), "", 'Data Entry'!$e$135)</f>
      </c>
      <c r="AL135">
        <f>IF(ISBLANK('Data Entry'!$f$135), "", 'Data Entry'!$f$135)</f>
      </c>
      <c r="AM135">
        <f>IF(ISBLANK('Data Entry'!$g$135), "", 'Data Entry'!$g$135)</f>
      </c>
      <c r="AN135">
        <f>IF(ISBLANK('Data Entry'!$h$135), "", 'Data Entry'!$h$135)</f>
      </c>
      <c r="AO135">
        <f>IF(ISBLANK('Data Entry'!$i$135), "", 'Data Entry'!$i$135)</f>
      </c>
      <c r="AP135">
        <f>IF(ISBLANK('Data Entry'!$j$135), "", 'Data Entry'!$j$135)</f>
      </c>
      <c r="AQ135">
        <f>IF(ISBLANK('Data Entry'!$k$135), "", 'Data Entry'!$k$135)</f>
      </c>
      <c r="AR135">
        <f>IF(ISBLANK('Data Entry'!$l$135), "", 'Data Entry'!$l$135)</f>
      </c>
      <c r="AS135">
        <f>IF(ISBLANK('Data Entry'!$m$135), "", 'Data Entry'!$m$135)</f>
      </c>
      <c r="AT135">
        <f>IF(ISBLANK('Data Entry'!$n$135), "", 'Data Entry'!$n$135)</f>
      </c>
      <c r="AU135">
        <f>IF(ISBLANK('Data Entry'!$o$135), "", 'Data Entry'!$o$135)</f>
      </c>
      <c r="AV135">
        <f>IF(ISBLANK('Data Entry'!$p$135), "", 'Data Entry'!$p$135)</f>
      </c>
      <c r="AW135">
        <f>IF(ISBLANK('Data Entry'!$q$135), "", 'Data Entry'!$q$135)</f>
      </c>
      <c r="AX135">
        <f>IF(ISBLANK('Data Entry'!$r$135), "", 'Data Entry'!$r$135)</f>
      </c>
      <c r="AY135">
        <f>IF(ISBLANK('Data Entry'!$s$135), "", 'Data Entry'!$s$135)</f>
      </c>
      <c r="AZ135">
        <f>IF(ISBLANK('Data Entry'!$t$135), "", 'Data Entry'!$t$135)</f>
      </c>
      <c r="BA135">
        <f>IF(ISBLANK('Data Entry'!$u$135), "", 'Data Entry'!$u$135)</f>
      </c>
      <c r="BB135">
        <f>IF(ISBLANK('Data Entry'!$v$135), "", 'Data Entry'!$v$135)</f>
      </c>
      <c r="BC135">
        <f>IF(ISBLANK('Data Entry'!$w$135), "", 'Data Entry'!$w$135)</f>
      </c>
      <c r="BD135">
        <f>IF(ISBLANK('Data Entry'!$x$135), "", 'Data Entry'!$x$135)</f>
      </c>
      <c r="BE135">
        <f>IF(ISBLANK('Data Entry'!$y$135), "", 'Data Entry'!$y$135)</f>
      </c>
      <c r="BF135">
        <f>IF(ISBLANK('Data Entry'!$z$135), "", 'Data Entry'!$z$135)</f>
      </c>
      <c r="BG135">
        <f>IF(ISBLANK('Data Entry'!${$135), "", 'Data Entry'!${$135)</f>
      </c>
      <c r="BH135">
        <f>IF(ISBLANK('Data Entry'!$|$135), "", 'Data Entry'!$|$135)</f>
      </c>
      <c r="BI135">
        <f>IF(ISBLANK('Data Entry'!$}$135), "", 'Data Entry'!$}$135)</f>
      </c>
      <c r="BJ135">
        <f>IF(ISBLANK('Data Entry'!$~$135), "", 'Data Entry'!$~$135)</f>
      </c>
      <c r="BK135">
        <f>IF(ISBLANK('Data Entry'!$$135), "", 'Data Entry'!$$135)</f>
      </c>
      <c r="BL135">
        <f>IF(ISBLANK('Data Entry'!$$135), "", 'Data Entry'!$$135)</f>
      </c>
      <c r="BM135">
        <f>IF(ISBLANK('Data Entry'!$$135), "", 'Data Entry'!$$135)</f>
      </c>
      <c r="BN135">
        <f>IF(ISBLANK('Data Entry'!$$135), "", 'Data Entry'!$$135)</f>
      </c>
      <c r="BO135">
        <f>IF(ISBLANK('Data Entry'!$$135), "", 'Data Entry'!$$135)</f>
      </c>
      <c r="BP135">
        <f>IF(ISBLANK('Data Entry'!$$135), "", 'Data Entry'!$$135)</f>
      </c>
      <c r="BQ135">
        <f>IF(ISBLANK('Data Entry'!$$135), "", 'Data Entry'!$$135)</f>
      </c>
      <c r="BR135">
        <f>IF(ISBLANK('Data Entry'!$$135), "", 'Data Entry'!$$135)</f>
      </c>
      <c r="BS135">
        <f>IF(ISBLANK('Data Entry'!$$135), "", 'Data Entry'!$$135)</f>
      </c>
      <c r="BT135">
        <f>IF(ISBLANK('Data Entry'!$$135), "", 'Data Entry'!$$135)</f>
      </c>
      <c r="BU135">
        <f>IF(ISBLANK('Data Entry'!$$135), "", 'Data Entry'!$$135)</f>
      </c>
      <c r="BV135">
        <f>IF(ISBLANK('Data Entry'!$$135), "", 'Data Entry'!$$135)</f>
      </c>
      <c r="BW135">
        <f>IF(ISBLANK('Data Entry'!$$135), "", 'Data Entry'!$$135)</f>
      </c>
      <c r="BX135">
        <f>IF(ISBLANK('Data Entry'!$$135), "", 'Data Entry'!$$135)</f>
      </c>
      <c r="BY135">
        <f>IF(ISBLANK('Data Entry'!$$135), "", 'Data Entry'!$$135)</f>
      </c>
      <c r="BZ135">
        <f>IF(ISBLANK('Data Entry'!$$135), "", 'Data Entry'!$$135)</f>
      </c>
      <c r="CA135">
        <f>IF(ISBLANK('Data Entry'!$$135), "", 'Data Entry'!$$135)</f>
      </c>
      <c r="CB135">
        <f>IF(ISBLANK('Data Entry'!$$135), "", 'Data Entry'!$$135)</f>
      </c>
      <c r="CC135">
        <f>IF(ISBLANK('Data Entry'!$$135), "", 'Data Entry'!$$135)</f>
      </c>
      <c r="CD135">
        <f>IF(ISBLANK('Data Entry'!$$135), "", 'Data Entry'!$$135)</f>
      </c>
      <c r="CE135">
        <f>IF(ISBLANK('Data Entry'!$$135), "", 'Data Entry'!$$135)</f>
      </c>
      <c r="CF135">
        <f>IF(ISBLANK('Data Entry'!$$135), "", 'Data Entry'!$$135)</f>
      </c>
      <c r="CG135">
        <f>IF(ISBLANK('Data Entry'!$$135), "", 'Data Entry'!$$135)</f>
      </c>
      <c r="CH135">
        <f>IF(ISBLANK('Data Entry'!$$135), "", 'Data Entry'!$$135)</f>
      </c>
      <c r="CI135">
        <f>IF(ISBLANK('Data Entry'!$$135), "", 'Data Entry'!$$135)</f>
      </c>
      <c r="CJ135">
        <f>IF(ISBLANK('Data Entry'!$$135), "", 'Data Entry'!$$135)</f>
      </c>
      <c r="CK135">
        <f>IF(ISBLANK('Data Entry'!$$135), "", 'Data Entry'!$$135)</f>
      </c>
      <c r="CL135">
        <f>IF(ISBLANK('Data Entry'!$$135), "", 'Data Entry'!$$135)</f>
      </c>
      <c r="CM135">
        <f>IF(ISBLANK('Data Entry'!$$135), "", 'Data Entry'!$$135)</f>
      </c>
      <c r="CN135">
        <f>IF(ISBLANK('Data Entry'!$$135), "", 'Data Entry'!$$135)</f>
      </c>
      <c r="CO135">
        <f>IF(ISBLANK('Data Entry'!$$135), "", 'Data Entry'!$$135)</f>
      </c>
      <c r="CP135">
        <f>IF(ISBLANK('Data Entry'!$$135), "", 'Data Entry'!$$135)</f>
      </c>
      <c r="CQ135">
        <f>IF(ISBLANK('Data Entry'!$$135), "", 'Data Entry'!$$135)</f>
      </c>
      <c r="CR135">
        <f>IF(ISBLANK('Data Entry'!$ $135), "", 'Data Entry'!$ $135)</f>
      </c>
      <c r="CS135">
        <f>IF(ISBLANK('Data Entry'!$¡$135), "", 'Data Entry'!$¡$135)</f>
      </c>
      <c r="CT135">
        <f>IF(ISBLANK('Data Entry'!$¢$135), "", 'Data Entry'!$¢$135)</f>
      </c>
      <c r="CU135">
        <f>IF(ISBLANK('Data Entry'!$£$135), "", 'Data Entry'!$£$135)</f>
      </c>
      <c r="CV135">
        <f>IF(ISBLANK('Data Entry'!$¤$135), "", 'Data Entry'!$¤$135)</f>
      </c>
      <c r="CW135">
        <f>IF(ISBLANK('Data Entry'!$¥$135), "", 'Data Entry'!$¥$135)</f>
      </c>
      <c r="CX135">
        <f>IF(ISBLANK('Data Entry'!$¦$135), "", 'Data Entry'!$¦$135)</f>
      </c>
      <c r="CY135">
        <f>IF(ISBLANK('Data Entry'!$§$135), "", 'Data Entry'!$§$135)</f>
      </c>
      <c r="CZ135">
        <f>IF(ISBLANK('Data Entry'!$¨$135), "", 'Data Entry'!$¨$135)</f>
      </c>
      <c r="DA135">
        <f>IF(ISBLANK('Data Entry'!$©$135), "", 'Data Entry'!$©$135)</f>
      </c>
      <c r="DB135">
        <f>IF(ISBLANK('Data Entry'!$ª$135), "", 'Data Entry'!$ª$135)</f>
      </c>
      <c r="DC135">
        <f>IF(ISBLANK('Data Entry'!$«$135), "", 'Data Entry'!$«$135)</f>
      </c>
      <c r="DD135">
        <f>IF(ISBLANK('Data Entry'!$¬$135), "", 'Data Entry'!$¬$135)</f>
      </c>
      <c r="DE135">
        <f>IF(ISBLANK('Data Entry'!$­$135), "", 'Data Entry'!$­$135)</f>
      </c>
      <c r="DF135">
        <f>IF(ISBLANK('Data Entry'!$®$135), "", 'Data Entry'!$®$135)</f>
      </c>
      <c r="DG135">
        <f>IF(ISBLANK('Data Entry'!$¯$135), "", 'Data Entry'!$¯$135)</f>
      </c>
      <c r="DH135">
        <f>IF(ISBLANK('Data Entry'!$°$135), "", 'Data Entry'!$°$135)</f>
      </c>
      <c r="DI135">
        <f>IF(ISBLANK('Data Entry'!$±$135), "", 'Data Entry'!$±$135)</f>
      </c>
      <c r="DJ135">
        <f>IF(ISBLANK('Data Entry'!$²$135), "", 'Data Entry'!$²$135)</f>
      </c>
      <c r="DK135">
        <f>IF(ISBLANK('Data Entry'!$³$135), "", 'Data Entry'!$³$135)</f>
      </c>
      <c r="DL135">
        <f>IF(ISBLANK('Data Entry'!$´$135), "", 'Data Entry'!$´$135)</f>
      </c>
      <c r="DM135">
        <f>IF(ISBLANK('Data Entry'!$µ$135), "", 'Data Entry'!$µ$135)</f>
      </c>
      <c r="DN135">
        <f>IF(ISBLANK('Data Entry'!$¶$135), "", 'Data Entry'!$¶$135)</f>
      </c>
      <c r="DO135">
        <f>IF(ISBLANK('Data Entry'!$·$135), "", 'Data Entry'!$·$135)</f>
      </c>
      <c r="DP135">
        <f>IF(ISBLANK('Data Entry'!$¸$135), "", 'Data Entry'!$¸$135)</f>
      </c>
      <c r="DQ135">
        <f>IF(ISBLANK('Data Entry'!$¹$135), "", 'Data Entry'!$¹$135)</f>
      </c>
      <c r="DR135">
        <f>IF(ISBLANK('Data Entry'!$º$135), "", 'Data Entry'!$º$135)</f>
      </c>
      <c r="DS135">
        <f>IF(ISBLANK('Data Entry'!$»$135), "", 'Data Entry'!$»$135)</f>
      </c>
      <c r="DT135">
        <f>IF(ISBLANK('Data Entry'!$¼$135), "", 'Data Entry'!$¼$135)</f>
      </c>
      <c r="DU135">
        <f>IF(ISBLANK('Data Entry'!$½$135), "", 'Data Entry'!$½$135)</f>
      </c>
      <c r="DV135">
        <f>IF(ISBLANK('Data Entry'!$¾$135), "", 'Data Entry'!$¾$135)</f>
      </c>
      <c r="DW135">
        <f>IF(ISBLANK('Data Entry'!$¿$135), "", 'Data Entry'!$¿$135)</f>
      </c>
      <c r="DX135">
        <f>IF(ISBLANK('Data Entry'!$À$135), "", 'Data Entry'!$À$135)</f>
      </c>
      <c r="DY135">
        <f>IF(ISBLANK('Data Entry'!$Á$135), "", 'Data Entry'!$Á$135)</f>
      </c>
      <c r="DZ135">
        <f>IF(ISBLANK('Data Entry'!$Â$135), "", 'Data Entry'!$Â$135)</f>
      </c>
      <c r="EA135">
        <f>IF(ISBLANK('Data Entry'!$Ã$135), "", 'Data Entry'!$Ã$135)</f>
      </c>
      <c r="EB135">
        <f>IF(ISBLANK('Data Entry'!$Ä$135), "", 'Data Entry'!$Ä$135)</f>
      </c>
      <c r="EC135">
        <f>IF(ISBLANK('Data Entry'!$Å$135), "", 'Data Entry'!$Å$135)</f>
      </c>
      <c r="ED135">
        <f>IF(ISBLANK('Data Entry'!$Æ$135), "", 'Data Entry'!$Æ$135)</f>
      </c>
      <c r="EE135">
        <f>IF(ISBLANK('Data Entry'!$Ç$135), "", 'Data Entry'!$Ç$135)</f>
      </c>
      <c r="EF135">
        <f>IF(ISBLANK('Data Entry'!$È$135), "", 'Data Entry'!$È$135)</f>
      </c>
      <c r="EG135">
        <f>IF(ISBLANK('Data Entry'!$É$135), "", 'Data Entry'!$É$135)</f>
      </c>
      <c r="EH135">
        <f>IF(ISBLANK('Data Entry'!$Ê$135), "", 'Data Entry'!$Ê$135)</f>
      </c>
      <c r="EI135">
        <f>IF(ISBLANK('Data Entry'!$Ë$135), "", 'Data Entry'!$Ë$135)</f>
      </c>
      <c r="EJ135">
        <f>IF(ISBLANK('Data Entry'!$Ì$135), "", 'Data Entry'!$Ì$135)</f>
      </c>
      <c r="EK135">
        <f>IF(ISBLANK('Data Entry'!$Í$135), "", 'Data Entry'!$Í$135)</f>
      </c>
      <c r="EL135">
        <f>IF(ISBLANK('Data Entry'!$Î$135), "", 'Data Entry'!$Î$135)</f>
      </c>
      <c r="EM135">
        <f>IF(ISBLANK('Data Entry'!$Ï$135), "", 'Data Entry'!$Ï$135)</f>
      </c>
      <c r="EN135">
        <f>IF(ISBLANK('Data Entry'!$Ð$135), "", 'Data Entry'!$Ð$135)</f>
      </c>
      <c r="EO135">
        <f>IF(ISBLANK('Data Entry'!$Ñ$135), "", 'Data Entry'!$Ñ$135)</f>
      </c>
      <c r="EP135">
        <f>IF(ISBLANK('Data Entry'!$Ò$135), "", 'Data Entry'!$Ò$135)</f>
      </c>
      <c r="EQ135">
        <f>IF(ISBLANK('Data Entry'!$Ó$135), "", 'Data Entry'!$Ó$135)</f>
      </c>
      <c r="ER135">
        <f>IF(ISBLANK('Data Entry'!$Ô$135), "", 'Data Entry'!$Ô$135)</f>
      </c>
      <c r="ES135">
        <f>IF(ISBLANK('Data Entry'!$Õ$135), "", 'Data Entry'!$Õ$135)</f>
      </c>
      <c r="ET135">
        <f>IF(ISBLANK('Data Entry'!$Ö$135), "", 'Data Entry'!$Ö$135)</f>
      </c>
      <c r="EU135">
        <f>IF(ISBLANK('Data Entry'!$×$135), "", 'Data Entry'!$×$135)</f>
      </c>
      <c r="EV135">
        <f>IF(ISBLANK('Data Entry'!$Ø$135), "", 'Data Entry'!$Ø$135)</f>
      </c>
      <c r="EW135">
        <f>IF(ISBLANK('Data Entry'!$Ù$135), "", 'Data Entry'!$Ù$135)</f>
      </c>
      <c r="EX135">
        <f>IF(ISBLANK('Data Entry'!$Ú$135), "", 'Data Entry'!$Ú$135)</f>
      </c>
      <c r="EY135">
        <f>IF(ISBLANK('Data Entry'!$Û$135), "", 'Data Entry'!$Û$135)</f>
      </c>
      <c r="EZ135">
        <f>IF(ISBLANK('Data Entry'!$Ü$135), "", 'Data Entry'!$Ü$135)</f>
      </c>
      <c r="FA135">
        <f>IF(ISBLANK('Data Entry'!$Ý$135), "", 'Data Entry'!$Ý$135)</f>
      </c>
      <c r="FB135">
        <f>IF(ISBLANK('Data Entry'!$Þ$135), "", 'Data Entry'!$Þ$135)</f>
      </c>
      <c r="FC135">
        <f>IF(ISBLANK('Data Entry'!$ß$135), "", 'Data Entry'!$ß$135)</f>
      </c>
      <c r="FD135">
        <f>IF(ISBLANK('Data Entry'!$à$135), "", 'Data Entry'!$à$135)</f>
      </c>
      <c r="FE135">
        <f>IF(ISBLANK('Data Entry'!$á$135), "", 'Data Entry'!$á$135)</f>
      </c>
      <c r="FF135">
        <f>IF(ISBLANK('Data Entry'!$â$135), "", 'Data Entry'!$â$135)</f>
      </c>
      <c r="FG135">
        <f>IF(ISBLANK('Data Entry'!$ã$135), "", 'Data Entry'!$ã$135)</f>
      </c>
      <c r="FH135">
        <f>IF(ISBLANK('Data Entry'!$ä$135), "", 'Data Entry'!$ä$135)</f>
      </c>
      <c r="FI135">
        <f>IF(ISBLANK('Data Entry'!$å$135), "", 'Data Entry'!$å$135)</f>
      </c>
      <c r="FJ135">
        <f>IF(ISBLANK('Data Entry'!$æ$135), "", 'Data Entry'!$æ$135)</f>
      </c>
      <c r="FK135">
        <f>IF(ISBLANK('Data Entry'!$ç$135), "", 'Data Entry'!$ç$135)</f>
      </c>
      <c r="FL135">
        <f>IF(ISBLANK('Data Entry'!$è$135), "", 'Data Entry'!$è$135)</f>
      </c>
      <c r="FM135">
        <f>IF(ISBLANK('Data Entry'!$é$135), "", 'Data Entry'!$é$135)</f>
      </c>
      <c r="FN135">
        <f>IF(ISBLANK('Data Entry'!$ê$135), "", 'Data Entry'!$ê$135)</f>
      </c>
      <c r="FO135">
        <f>IF(ISBLANK('Data Entry'!$ë$135), "", 'Data Entry'!$ë$135)</f>
      </c>
      <c r="FP135">
        <f>IF(ISBLANK('Data Entry'!$ì$135), "", 'Data Entry'!$ì$135)</f>
      </c>
      <c r="FQ135">
        <f>IF(ISBLANK('Data Entry'!$í$135), "", 'Data Entry'!$í$135)</f>
      </c>
      <c r="FR135">
        <f>IF(ISBLANK('Data Entry'!$î$135), "", 'Data Entry'!$î$135)</f>
      </c>
      <c r="FS135">
        <f>IF(ISBLANK('Data Entry'!$ï$135), "", 'Data Entry'!$ï$135)</f>
      </c>
      <c r="FT135">
        <f>IF(ISBLANK('Data Entry'!$ð$135), "", 'Data Entry'!$ð$135)</f>
      </c>
      <c r="FU135">
        <f>IF(ISBLANK('Data Entry'!$ñ$135), "", 'Data Entry'!$ñ$135)</f>
      </c>
      <c r="FV135">
        <f>IF(ISBLANK('Data Entry'!$ò$135), "", 'Data Entry'!$ò$135)</f>
      </c>
      <c r="FW135">
        <f>IF(ISBLANK('Data Entry'!$ó$135), "", 'Data Entry'!$ó$135)</f>
      </c>
      <c r="FX135">
        <f>IF(ISBLANK('Data Entry'!$ô$135), "", 'Data Entry'!$ô$135)</f>
      </c>
      <c r="FY135">
        <f>IF(ISBLANK('Data Entry'!$õ$135), "", 'Data Entry'!$õ$135)</f>
      </c>
      <c r="FZ135">
        <f>IF(ISBLANK('Data Entry'!$ö$135), "", 'Data Entry'!$ö$135)</f>
      </c>
      <c r="GA135">
        <f>IF(ISBLANK('Data Entry'!$÷$135), "", 'Data Entry'!$÷$135)</f>
      </c>
      <c r="GB135">
        <f>IF(ISBLANK('Data Entry'!$ø$135), "", 'Data Entry'!$ø$135)</f>
      </c>
      <c r="GC135">
        <f>IF(ISBLANK('Data Entry'!$ù$135), "", 'Data Entry'!$ù$135)</f>
      </c>
      <c r="GD135">
        <f>IF(ISBLANK('Data Entry'!$ú$135), "", 'Data Entry'!$ú$135)</f>
      </c>
      <c r="GE135">
        <f>IF(ISBLANK('Data Entry'!$û$135), "", 'Data Entry'!$û$135)</f>
      </c>
      <c r="GF135">
        <f>IF(ISBLANK('Data Entry'!$ü$135), "", 'Data Entry'!$ü$135)</f>
      </c>
      <c r="GG135">
        <f>IF(ISBLANK('Data Entry'!$ý$135), "", 'Data Entry'!$ý$135)</f>
      </c>
      <c r="GH135">
        <f>IF(ISBLANK('Data Entry'!$þ$135), "", 'Data Entry'!$þ$135)</f>
      </c>
      <c r="GI135">
        <f>IF(ISBLANK('Data Entry'!$ÿ$135), "", 'Data Entry'!$ÿ$135)</f>
      </c>
      <c r="GJ135">
        <f>IF(ISBLANK('Data Entry'!$Ā$135), "", 'Data Entry'!$Ā$135)</f>
      </c>
      <c r="GK135">
        <f>IF(ISBLANK('Data Entry'!$ā$135), "", 'Data Entry'!$ā$135)</f>
      </c>
      <c r="GL135">
        <f>IF(ISBLANK('Data Entry'!$Ă$135), "", 'Data Entry'!$Ă$135)</f>
      </c>
      <c r="GM135">
        <f>IF(ISBLANK('Data Entry'!$ă$135), "", 'Data Entry'!$ă$135)</f>
      </c>
      <c r="GN135">
        <f>IF(ISBLANK('Data Entry'!$Ą$135), "", 'Data Entry'!$Ą$135)</f>
      </c>
      <c r="GO135">
        <f>IF(ISBLANK('Data Entry'!$ą$135), "", 'Data Entry'!$ą$135)</f>
      </c>
      <c r="GP135">
        <f>IF(ISBLANK('Data Entry'!$Ć$135), "", 'Data Entry'!$Ć$135)</f>
      </c>
      <c r="GQ135">
        <f>IF(ISBLANK('Data Entry'!$ć$135), "", 'Data Entry'!$ć$135)</f>
      </c>
      <c r="GR135">
        <f>IF(ISBLANK('Data Entry'!$Ĉ$135), "", 'Data Entry'!$Ĉ$135)</f>
      </c>
      <c r="GS135">
        <f>IF(ISBLANK('Data Entry'!$ĉ$135), "", 'Data Entry'!$ĉ$135)</f>
      </c>
      <c r="GT135">
        <f>IF(ISBLANK('Data Entry'!$Ċ$135), "", 'Data Entry'!$Ċ$135)</f>
      </c>
      <c r="GU135">
        <f>IF(ISBLANK('Data Entry'!$ċ$135), "", 'Data Entry'!$ċ$135)</f>
      </c>
      <c r="GV135">
        <f>IF(ISBLANK('Data Entry'!$Č$135), "", 'Data Entry'!$Č$135)</f>
      </c>
      <c r="GW135">
        <f>IF(ISBLANK('Data Entry'!$č$135), "", 'Data Entry'!$č$135)</f>
      </c>
      <c r="GX135">
        <f>IF(ISBLANK('Data Entry'!$Ď$135), "", 'Data Entry'!$Ď$135)</f>
      </c>
      <c r="GY135">
        <f>IF(ISBLANK('Data Entry'!$ď$135), "", 'Data Entry'!$ď$135)</f>
      </c>
      <c r="GZ135">
        <f>IF(ISBLANK('Data Entry'!$Đ$135), "", 'Data Entry'!$Đ$135)</f>
      </c>
      <c r="HA135">
        <f>IF(ISBLANK('Data Entry'!$đ$135), "", 'Data Entry'!$đ$135)</f>
      </c>
      <c r="HB135">
        <f>IF(ISBLANK('Data Entry'!$Ē$135), "", 'Data Entry'!$Ē$135)</f>
      </c>
      <c r="HC135">
        <f>IF(ISBLANK('Data Entry'!$ē$135), "", 'Data Entry'!$ē$135)</f>
      </c>
      <c r="HD135">
        <f>IF(ISBLANK('Data Entry'!$Ĕ$135), "", 'Data Entry'!$Ĕ$135)</f>
      </c>
      <c r="HE135">
        <f>IF(ISBLANK('Data Entry'!$ĕ$135), "", 'Data Entry'!$ĕ$135)</f>
      </c>
      <c r="HF135">
        <f>IF(ISBLANK('Data Entry'!$Ė$135), "", 'Data Entry'!$Ė$135)</f>
      </c>
      <c r="HG135">
        <f>IF(ISBLANK('Data Entry'!$ė$135), "", 'Data Entry'!$ė$135)</f>
      </c>
      <c r="HH135">
        <f>IF(ISBLANK('Data Entry'!$Ę$135), "", 'Data Entry'!$Ę$135)</f>
      </c>
      <c r="HI135">
        <f>IF(ISBLANK('Data Entry'!$ę$135), "", 'Data Entry'!$ę$135)</f>
      </c>
      <c r="HJ135">
        <f>IF(ISBLANK('Data Entry'!$Ě$135), "", 'Data Entry'!$Ě$135)</f>
      </c>
      <c r="HK135">
        <f>IF(ISBLANK('Data Entry'!$ě$135), "", 'Data Entry'!$ě$135)</f>
      </c>
      <c r="HL135">
        <f>IF(ISBLANK('Data Entry'!$Ĝ$135), "", 'Data Entry'!$Ĝ$135)</f>
      </c>
      <c r="HM135">
        <f>IF(ISBLANK('Data Entry'!$ĝ$135), "", 'Data Entry'!$ĝ$135)</f>
      </c>
      <c r="HN135">
        <f>IF(ISBLANK('Data Entry'!$Ğ$135), "", 'Data Entry'!$Ğ$135)</f>
      </c>
      <c r="HO135">
        <f>IF(ISBLANK('Data Entry'!$ğ$135), "", 'Data Entry'!$ğ$135)</f>
      </c>
      <c r="HP135">
        <f>IF(ISBLANK('Data Entry'!$Ġ$135), "", 'Data Entry'!$Ġ$135)</f>
      </c>
      <c r="HQ135">
        <f>IF(ISBLANK('Data Entry'!$ġ$135), "", 'Data Entry'!$ġ$135)</f>
      </c>
      <c r="HR135">
        <f>IF(ISBLANK('Data Entry'!$Ģ$135), "", 'Data Entry'!$Ģ$135)</f>
      </c>
      <c r="HS135">
        <f>IF(ISBLANK('Data Entry'!$ģ$135), "", 'Data Entry'!$ģ$135)</f>
      </c>
      <c r="HT135">
        <f>IF(ISBLANK('Data Entry'!$Ĥ$135), "", 'Data Entry'!$Ĥ$135)</f>
      </c>
      <c r="HU135">
        <f>IF(ISBLANK('Data Entry'!$ĥ$135), "", 'Data Entry'!$ĥ$135)</f>
      </c>
      <c r="HV135">
        <f>IF(ISBLANK('Data Entry'!$Ħ$135), "", 'Data Entry'!$Ħ$135)</f>
      </c>
      <c r="HW135">
        <f>IF(ISBLANK('Data Entry'!$ħ$135), "", 'Data Entry'!$ħ$135)</f>
      </c>
      <c r="HX135">
        <f>IF(ISBLANK('Data Entry'!$Ĩ$135), "", 'Data Entry'!$Ĩ$135)</f>
      </c>
      <c r="HY135">
        <f>IF(ISBLANK('Data Entry'!$ĩ$135), "", 'Data Entry'!$ĩ$135)</f>
      </c>
      <c r="HZ135">
        <f>IF(ISBLANK('Data Entry'!$Ī$135), "", 'Data Entry'!$Ī$135)</f>
      </c>
      <c r="IA135">
        <f>IF(ISBLANK('Data Entry'!$ī$135), "", 'Data Entry'!$ī$135)</f>
      </c>
      <c r="IB135">
        <f>IF(ISBLANK('Data Entry'!$Ĭ$135), "", 'Data Entry'!$Ĭ$135)</f>
      </c>
      <c r="IC135">
        <f>IF(ISBLANK('Data Entry'!$ĭ$135), "", 'Data Entry'!$ĭ$135)</f>
      </c>
      <c r="ID135">
        <f>IF(ISBLANK('Data Entry'!$Į$135), "", 'Data Entry'!$Į$135)</f>
      </c>
      <c r="IE135">
        <f>IF(ISBLANK('Data Entry'!$į$135), "", 'Data Entry'!$į$135)</f>
      </c>
      <c r="IF135">
        <f>IF(ISBLANK('Data Entry'!$İ$135), "", 'Data Entry'!$İ$135)</f>
      </c>
      <c r="IG135">
        <f>IF(ISBLANK('Data Entry'!$ı$135), "", 'Data Entry'!$ı$135)</f>
      </c>
      <c r="IH135">
        <f>IF(ISBLANK('Data Entry'!$Ĳ$135), "", 'Data Entry'!$Ĳ$135)</f>
      </c>
      <c r="II135">
        <f>IF(ISBLANK('Data Entry'!$ĳ$135), "", 'Data Entry'!$ĳ$135)</f>
      </c>
      <c r="IJ135">
        <f>IF(ISBLANK('Data Entry'!$Ĵ$135), "", 'Data Entry'!$Ĵ$135)</f>
      </c>
      <c r="IK135">
        <f>IF(ISBLANK('Data Entry'!$ĵ$135), "", 'Data Entry'!$ĵ$135)</f>
      </c>
      <c r="IL135">
        <f>IF(ISBLANK('Data Entry'!$Ķ$135), "", 'Data Entry'!$Ķ$135)</f>
      </c>
      <c r="IM135">
        <f>IF(ISBLANK('Data Entry'!$ķ$135), "", 'Data Entry'!$ķ$135)</f>
      </c>
      <c r="IN135">
        <f>IF(ISBLANK('Data Entry'!$ĸ$135), "", 'Data Entry'!$ĸ$135)</f>
      </c>
      <c r="IO135">
        <f>IF(ISBLANK('Data Entry'!$Ĺ$135), "", 'Data Entry'!$Ĺ$135)</f>
      </c>
      <c r="IP135">
        <f>IF(ISBLANK('Data Entry'!$ĺ$135), "", 'Data Entry'!$ĺ$135)</f>
      </c>
      <c r="IQ135">
        <f>IF(ISBLANK('Data Entry'!$Ļ$135), "", 'Data Entry'!$Ļ$135)</f>
      </c>
      <c r="IR135">
        <f>IF(ISBLANK('Data Entry'!$ļ$135), "", 'Data Entry'!$ļ$135)</f>
      </c>
      <c r="IS135">
        <f>IF(ISBLANK('Data Entry'!$Ľ$135), "", 'Data Entry'!$Ľ$135)</f>
      </c>
      <c r="IT135">
        <f>IF(ISBLANK('Data Entry'!$ľ$135), "", 'Data Entry'!$ľ$135)</f>
      </c>
    </row>
    <row r="136" spans="1:254" x14ac:dyDescent="0.25">
      <c r="A136">
        <f>IF(ISBLANK('Data Entry'!$A$136), "", 'Data Entry'!$A$136)</f>
      </c>
      <c r="B136">
        <f>IF(ISBLANK('Data Entry'!$B$136), "", 'Data Entry'!$B$136)</f>
      </c>
      <c r="C136">
        <f>IF(ISBLANK('Data Entry'!$C$136), "", 'Data Entry'!$C$136)</f>
      </c>
      <c r="D136">
        <f>IF(ISBLANK('Data Entry'!$D$136), "", 'Data Entry'!$D$136)</f>
      </c>
      <c r="E136">
        <f>IF(ISBLANK('Data Entry'!$E$136), "", 'Data Entry'!$E$136)</f>
      </c>
      <c r="F136">
        <f>IF(ISBLANK('Data Entry'!$F$136), "", 'Data Entry'!$F$136)</f>
      </c>
      <c r="G136">
        <f>IF(ISBLANK('Data Entry'!$G$136), "", 'Data Entry'!$G$136)</f>
      </c>
      <c r="H136">
        <f>IF(ISBLANK('Data Entry'!$H$136), "", 'Data Entry'!$H$136)</f>
      </c>
      <c r="I136">
        <f>IF(ISBLANK('Data Entry'!$I$136), "", 'Data Entry'!$I$136)</f>
      </c>
      <c r="J136">
        <f>IF(ISBLANK('Data Entry'!$J$136), "", 'Data Entry'!$J$136)</f>
      </c>
      <c r="K136">
        <f>IF(ISBLANK('Data Entry'!$K$136), "", 'Data Entry'!$K$136)</f>
      </c>
      <c r="L136">
        <f>IF(ISBLANK('Data Entry'!$L$136), "", 'Data Entry'!$L$136)</f>
      </c>
      <c r="M136">
        <f>IF(ISBLANK('Data Entry'!$M$136), "", 'Data Entry'!$M$136)</f>
      </c>
      <c r="N136">
        <f>IF(ISBLANK('Data Entry'!$N$136), "", 'Data Entry'!$N$136)</f>
      </c>
      <c r="O136">
        <f>IF(ISBLANK('Data Entry'!$O$136), "", 'Data Entry'!$O$136)</f>
      </c>
      <c r="P136">
        <f>IF(ISBLANK('Data Entry'!$P$136), "", 'Data Entry'!$P$136)</f>
      </c>
      <c r="Q136">
        <f>IF(ISBLANK('Data Entry'!$Q$136), "", 'Data Entry'!$Q$136)</f>
      </c>
      <c r="R136">
        <f>IF(ISBLANK('Data Entry'!$R$136), "", 'Data Entry'!$R$136)</f>
      </c>
      <c r="S136">
        <f>IF(ISBLANK('Data Entry'!$S$136), "", 'Data Entry'!$S$136)</f>
      </c>
      <c r="T136">
        <f>IF(ISBLANK('Data Entry'!$T$136), "", 'Data Entry'!$T$136)</f>
      </c>
      <c r="U136">
        <f>IF(ISBLANK('Data Entry'!$U$136), "", 'Data Entry'!$U$136)</f>
      </c>
      <c r="V136">
        <f>IF(ISBLANK('Data Entry'!$V$136), "", 'Data Entry'!$V$136)</f>
      </c>
      <c r="W136">
        <f>IF(ISBLANK('Data Entry'!$W$136), "", 'Data Entry'!$W$136)</f>
      </c>
      <c r="X136">
        <f>IF(ISBLANK('Data Entry'!$X$136), "", 'Data Entry'!$X$136)</f>
      </c>
      <c r="Y136">
        <f>IF(ISBLANK('Data Entry'!$Y$136), "", 'Data Entry'!$Y$136)</f>
      </c>
      <c r="Z136">
        <f>IF(ISBLANK('Data Entry'!$Z$136), "", 'Data Entry'!$Z$136)</f>
      </c>
      <c r="AA136">
        <f>IF(ISBLANK('Data Entry'!$[$136), "", 'Data Entry'!$[$136)</f>
      </c>
      <c r="AB136">
        <f>IF(ISBLANK('Data Entry'!$\$136), "", 'Data Entry'!$\$136)</f>
      </c>
      <c r="AC136">
        <f>IF(ISBLANK('Data Entry'!$]$136), "", 'Data Entry'!$]$136)</f>
      </c>
      <c r="AD136">
        <f>IF(ISBLANK('Data Entry'!$^$136), "", 'Data Entry'!$^$136)</f>
      </c>
      <c r="AE136">
        <f>IF(ISBLANK('Data Entry'!$_$136), "", 'Data Entry'!$_$136)</f>
      </c>
      <c r="AF136">
        <f>IF(ISBLANK('Data Entry'!$`$136), "", 'Data Entry'!$`$136)</f>
      </c>
      <c r="AG136">
        <f>IF(ISBLANK('Data Entry'!$a$136), "", 'Data Entry'!$a$136)</f>
      </c>
      <c r="AH136">
        <f>IF(ISBLANK('Data Entry'!$b$136), "", 'Data Entry'!$b$136)</f>
      </c>
      <c r="AI136">
        <f>IF(ISBLANK('Data Entry'!$c$136), "", 'Data Entry'!$c$136)</f>
      </c>
      <c r="AJ136">
        <f>IF(ISBLANK('Data Entry'!$d$136), "", 'Data Entry'!$d$136)</f>
      </c>
      <c r="AK136">
        <f>IF(ISBLANK('Data Entry'!$e$136), "", 'Data Entry'!$e$136)</f>
      </c>
      <c r="AL136">
        <f>IF(ISBLANK('Data Entry'!$f$136), "", 'Data Entry'!$f$136)</f>
      </c>
      <c r="AM136">
        <f>IF(ISBLANK('Data Entry'!$g$136), "", 'Data Entry'!$g$136)</f>
      </c>
      <c r="AN136">
        <f>IF(ISBLANK('Data Entry'!$h$136), "", 'Data Entry'!$h$136)</f>
      </c>
      <c r="AO136">
        <f>IF(ISBLANK('Data Entry'!$i$136), "", 'Data Entry'!$i$136)</f>
      </c>
      <c r="AP136">
        <f>IF(ISBLANK('Data Entry'!$j$136), "", 'Data Entry'!$j$136)</f>
      </c>
      <c r="AQ136">
        <f>IF(ISBLANK('Data Entry'!$k$136), "", 'Data Entry'!$k$136)</f>
      </c>
      <c r="AR136">
        <f>IF(ISBLANK('Data Entry'!$l$136), "", 'Data Entry'!$l$136)</f>
      </c>
      <c r="AS136">
        <f>IF(ISBLANK('Data Entry'!$m$136), "", 'Data Entry'!$m$136)</f>
      </c>
      <c r="AT136">
        <f>IF(ISBLANK('Data Entry'!$n$136), "", 'Data Entry'!$n$136)</f>
      </c>
      <c r="AU136">
        <f>IF(ISBLANK('Data Entry'!$o$136), "", 'Data Entry'!$o$136)</f>
      </c>
      <c r="AV136">
        <f>IF(ISBLANK('Data Entry'!$p$136), "", 'Data Entry'!$p$136)</f>
      </c>
      <c r="AW136">
        <f>IF(ISBLANK('Data Entry'!$q$136), "", 'Data Entry'!$q$136)</f>
      </c>
      <c r="AX136">
        <f>IF(ISBLANK('Data Entry'!$r$136), "", 'Data Entry'!$r$136)</f>
      </c>
      <c r="AY136">
        <f>IF(ISBLANK('Data Entry'!$s$136), "", 'Data Entry'!$s$136)</f>
      </c>
      <c r="AZ136">
        <f>IF(ISBLANK('Data Entry'!$t$136), "", 'Data Entry'!$t$136)</f>
      </c>
      <c r="BA136">
        <f>IF(ISBLANK('Data Entry'!$u$136), "", 'Data Entry'!$u$136)</f>
      </c>
      <c r="BB136">
        <f>IF(ISBLANK('Data Entry'!$v$136), "", 'Data Entry'!$v$136)</f>
      </c>
      <c r="BC136">
        <f>IF(ISBLANK('Data Entry'!$w$136), "", 'Data Entry'!$w$136)</f>
      </c>
      <c r="BD136">
        <f>IF(ISBLANK('Data Entry'!$x$136), "", 'Data Entry'!$x$136)</f>
      </c>
      <c r="BE136">
        <f>IF(ISBLANK('Data Entry'!$y$136), "", 'Data Entry'!$y$136)</f>
      </c>
      <c r="BF136">
        <f>IF(ISBLANK('Data Entry'!$z$136), "", 'Data Entry'!$z$136)</f>
      </c>
      <c r="BG136">
        <f>IF(ISBLANK('Data Entry'!${$136), "", 'Data Entry'!${$136)</f>
      </c>
      <c r="BH136">
        <f>IF(ISBLANK('Data Entry'!$|$136), "", 'Data Entry'!$|$136)</f>
      </c>
      <c r="BI136">
        <f>IF(ISBLANK('Data Entry'!$}$136), "", 'Data Entry'!$}$136)</f>
      </c>
      <c r="BJ136">
        <f>IF(ISBLANK('Data Entry'!$~$136), "", 'Data Entry'!$~$136)</f>
      </c>
      <c r="BK136">
        <f>IF(ISBLANK('Data Entry'!$$136), "", 'Data Entry'!$$136)</f>
      </c>
      <c r="BL136">
        <f>IF(ISBLANK('Data Entry'!$$136), "", 'Data Entry'!$$136)</f>
      </c>
      <c r="BM136">
        <f>IF(ISBLANK('Data Entry'!$$136), "", 'Data Entry'!$$136)</f>
      </c>
      <c r="BN136">
        <f>IF(ISBLANK('Data Entry'!$$136), "", 'Data Entry'!$$136)</f>
      </c>
      <c r="BO136">
        <f>IF(ISBLANK('Data Entry'!$$136), "", 'Data Entry'!$$136)</f>
      </c>
      <c r="BP136">
        <f>IF(ISBLANK('Data Entry'!$$136), "", 'Data Entry'!$$136)</f>
      </c>
      <c r="BQ136">
        <f>IF(ISBLANK('Data Entry'!$$136), "", 'Data Entry'!$$136)</f>
      </c>
      <c r="BR136">
        <f>IF(ISBLANK('Data Entry'!$$136), "", 'Data Entry'!$$136)</f>
      </c>
      <c r="BS136">
        <f>IF(ISBLANK('Data Entry'!$$136), "", 'Data Entry'!$$136)</f>
      </c>
      <c r="BT136">
        <f>IF(ISBLANK('Data Entry'!$$136), "", 'Data Entry'!$$136)</f>
      </c>
      <c r="BU136">
        <f>IF(ISBLANK('Data Entry'!$$136), "", 'Data Entry'!$$136)</f>
      </c>
      <c r="BV136">
        <f>IF(ISBLANK('Data Entry'!$$136), "", 'Data Entry'!$$136)</f>
      </c>
      <c r="BW136">
        <f>IF(ISBLANK('Data Entry'!$$136), "", 'Data Entry'!$$136)</f>
      </c>
      <c r="BX136">
        <f>IF(ISBLANK('Data Entry'!$$136), "", 'Data Entry'!$$136)</f>
      </c>
      <c r="BY136">
        <f>IF(ISBLANK('Data Entry'!$$136), "", 'Data Entry'!$$136)</f>
      </c>
      <c r="BZ136">
        <f>IF(ISBLANK('Data Entry'!$$136), "", 'Data Entry'!$$136)</f>
      </c>
      <c r="CA136">
        <f>IF(ISBLANK('Data Entry'!$$136), "", 'Data Entry'!$$136)</f>
      </c>
      <c r="CB136">
        <f>IF(ISBLANK('Data Entry'!$$136), "", 'Data Entry'!$$136)</f>
      </c>
      <c r="CC136">
        <f>IF(ISBLANK('Data Entry'!$$136), "", 'Data Entry'!$$136)</f>
      </c>
      <c r="CD136">
        <f>IF(ISBLANK('Data Entry'!$$136), "", 'Data Entry'!$$136)</f>
      </c>
      <c r="CE136">
        <f>IF(ISBLANK('Data Entry'!$$136), "", 'Data Entry'!$$136)</f>
      </c>
      <c r="CF136">
        <f>IF(ISBLANK('Data Entry'!$$136), "", 'Data Entry'!$$136)</f>
      </c>
      <c r="CG136">
        <f>IF(ISBLANK('Data Entry'!$$136), "", 'Data Entry'!$$136)</f>
      </c>
      <c r="CH136">
        <f>IF(ISBLANK('Data Entry'!$$136), "", 'Data Entry'!$$136)</f>
      </c>
      <c r="CI136">
        <f>IF(ISBLANK('Data Entry'!$$136), "", 'Data Entry'!$$136)</f>
      </c>
      <c r="CJ136">
        <f>IF(ISBLANK('Data Entry'!$$136), "", 'Data Entry'!$$136)</f>
      </c>
      <c r="CK136">
        <f>IF(ISBLANK('Data Entry'!$$136), "", 'Data Entry'!$$136)</f>
      </c>
      <c r="CL136">
        <f>IF(ISBLANK('Data Entry'!$$136), "", 'Data Entry'!$$136)</f>
      </c>
      <c r="CM136">
        <f>IF(ISBLANK('Data Entry'!$$136), "", 'Data Entry'!$$136)</f>
      </c>
      <c r="CN136">
        <f>IF(ISBLANK('Data Entry'!$$136), "", 'Data Entry'!$$136)</f>
      </c>
      <c r="CO136">
        <f>IF(ISBLANK('Data Entry'!$$136), "", 'Data Entry'!$$136)</f>
      </c>
      <c r="CP136">
        <f>IF(ISBLANK('Data Entry'!$$136), "", 'Data Entry'!$$136)</f>
      </c>
      <c r="CQ136">
        <f>IF(ISBLANK('Data Entry'!$$136), "", 'Data Entry'!$$136)</f>
      </c>
      <c r="CR136">
        <f>IF(ISBLANK('Data Entry'!$ $136), "", 'Data Entry'!$ $136)</f>
      </c>
      <c r="CS136">
        <f>IF(ISBLANK('Data Entry'!$¡$136), "", 'Data Entry'!$¡$136)</f>
      </c>
      <c r="CT136">
        <f>IF(ISBLANK('Data Entry'!$¢$136), "", 'Data Entry'!$¢$136)</f>
      </c>
      <c r="CU136">
        <f>IF(ISBLANK('Data Entry'!$£$136), "", 'Data Entry'!$£$136)</f>
      </c>
      <c r="CV136">
        <f>IF(ISBLANK('Data Entry'!$¤$136), "", 'Data Entry'!$¤$136)</f>
      </c>
      <c r="CW136">
        <f>IF(ISBLANK('Data Entry'!$¥$136), "", 'Data Entry'!$¥$136)</f>
      </c>
      <c r="CX136">
        <f>IF(ISBLANK('Data Entry'!$¦$136), "", 'Data Entry'!$¦$136)</f>
      </c>
      <c r="CY136">
        <f>IF(ISBLANK('Data Entry'!$§$136), "", 'Data Entry'!$§$136)</f>
      </c>
      <c r="CZ136">
        <f>IF(ISBLANK('Data Entry'!$¨$136), "", 'Data Entry'!$¨$136)</f>
      </c>
      <c r="DA136">
        <f>IF(ISBLANK('Data Entry'!$©$136), "", 'Data Entry'!$©$136)</f>
      </c>
      <c r="DB136">
        <f>IF(ISBLANK('Data Entry'!$ª$136), "", 'Data Entry'!$ª$136)</f>
      </c>
      <c r="DC136">
        <f>IF(ISBLANK('Data Entry'!$«$136), "", 'Data Entry'!$«$136)</f>
      </c>
      <c r="DD136">
        <f>IF(ISBLANK('Data Entry'!$¬$136), "", 'Data Entry'!$¬$136)</f>
      </c>
      <c r="DE136">
        <f>IF(ISBLANK('Data Entry'!$­$136), "", 'Data Entry'!$­$136)</f>
      </c>
      <c r="DF136">
        <f>IF(ISBLANK('Data Entry'!$®$136), "", 'Data Entry'!$®$136)</f>
      </c>
      <c r="DG136">
        <f>IF(ISBLANK('Data Entry'!$¯$136), "", 'Data Entry'!$¯$136)</f>
      </c>
      <c r="DH136">
        <f>IF(ISBLANK('Data Entry'!$°$136), "", 'Data Entry'!$°$136)</f>
      </c>
      <c r="DI136">
        <f>IF(ISBLANK('Data Entry'!$±$136), "", 'Data Entry'!$±$136)</f>
      </c>
      <c r="DJ136">
        <f>IF(ISBLANK('Data Entry'!$²$136), "", 'Data Entry'!$²$136)</f>
      </c>
      <c r="DK136">
        <f>IF(ISBLANK('Data Entry'!$³$136), "", 'Data Entry'!$³$136)</f>
      </c>
      <c r="DL136">
        <f>IF(ISBLANK('Data Entry'!$´$136), "", 'Data Entry'!$´$136)</f>
      </c>
      <c r="DM136">
        <f>IF(ISBLANK('Data Entry'!$µ$136), "", 'Data Entry'!$µ$136)</f>
      </c>
      <c r="DN136">
        <f>IF(ISBLANK('Data Entry'!$¶$136), "", 'Data Entry'!$¶$136)</f>
      </c>
      <c r="DO136">
        <f>IF(ISBLANK('Data Entry'!$·$136), "", 'Data Entry'!$·$136)</f>
      </c>
      <c r="DP136">
        <f>IF(ISBLANK('Data Entry'!$¸$136), "", 'Data Entry'!$¸$136)</f>
      </c>
      <c r="DQ136">
        <f>IF(ISBLANK('Data Entry'!$¹$136), "", 'Data Entry'!$¹$136)</f>
      </c>
      <c r="DR136">
        <f>IF(ISBLANK('Data Entry'!$º$136), "", 'Data Entry'!$º$136)</f>
      </c>
      <c r="DS136">
        <f>IF(ISBLANK('Data Entry'!$»$136), "", 'Data Entry'!$»$136)</f>
      </c>
      <c r="DT136">
        <f>IF(ISBLANK('Data Entry'!$¼$136), "", 'Data Entry'!$¼$136)</f>
      </c>
      <c r="DU136">
        <f>IF(ISBLANK('Data Entry'!$½$136), "", 'Data Entry'!$½$136)</f>
      </c>
      <c r="DV136">
        <f>IF(ISBLANK('Data Entry'!$¾$136), "", 'Data Entry'!$¾$136)</f>
      </c>
      <c r="DW136">
        <f>IF(ISBLANK('Data Entry'!$¿$136), "", 'Data Entry'!$¿$136)</f>
      </c>
      <c r="DX136">
        <f>IF(ISBLANK('Data Entry'!$À$136), "", 'Data Entry'!$À$136)</f>
      </c>
      <c r="DY136">
        <f>IF(ISBLANK('Data Entry'!$Á$136), "", 'Data Entry'!$Á$136)</f>
      </c>
      <c r="DZ136">
        <f>IF(ISBLANK('Data Entry'!$Â$136), "", 'Data Entry'!$Â$136)</f>
      </c>
      <c r="EA136">
        <f>IF(ISBLANK('Data Entry'!$Ã$136), "", 'Data Entry'!$Ã$136)</f>
      </c>
      <c r="EB136">
        <f>IF(ISBLANK('Data Entry'!$Ä$136), "", 'Data Entry'!$Ä$136)</f>
      </c>
      <c r="EC136">
        <f>IF(ISBLANK('Data Entry'!$Å$136), "", 'Data Entry'!$Å$136)</f>
      </c>
      <c r="ED136">
        <f>IF(ISBLANK('Data Entry'!$Æ$136), "", 'Data Entry'!$Æ$136)</f>
      </c>
      <c r="EE136">
        <f>IF(ISBLANK('Data Entry'!$Ç$136), "", 'Data Entry'!$Ç$136)</f>
      </c>
      <c r="EF136">
        <f>IF(ISBLANK('Data Entry'!$È$136), "", 'Data Entry'!$È$136)</f>
      </c>
      <c r="EG136">
        <f>IF(ISBLANK('Data Entry'!$É$136), "", 'Data Entry'!$É$136)</f>
      </c>
      <c r="EH136">
        <f>IF(ISBLANK('Data Entry'!$Ê$136), "", 'Data Entry'!$Ê$136)</f>
      </c>
      <c r="EI136">
        <f>IF(ISBLANK('Data Entry'!$Ë$136), "", 'Data Entry'!$Ë$136)</f>
      </c>
      <c r="EJ136">
        <f>IF(ISBLANK('Data Entry'!$Ì$136), "", 'Data Entry'!$Ì$136)</f>
      </c>
      <c r="EK136">
        <f>IF(ISBLANK('Data Entry'!$Í$136), "", 'Data Entry'!$Í$136)</f>
      </c>
      <c r="EL136">
        <f>IF(ISBLANK('Data Entry'!$Î$136), "", 'Data Entry'!$Î$136)</f>
      </c>
      <c r="EM136">
        <f>IF(ISBLANK('Data Entry'!$Ï$136), "", 'Data Entry'!$Ï$136)</f>
      </c>
      <c r="EN136">
        <f>IF(ISBLANK('Data Entry'!$Ð$136), "", 'Data Entry'!$Ð$136)</f>
      </c>
      <c r="EO136">
        <f>IF(ISBLANK('Data Entry'!$Ñ$136), "", 'Data Entry'!$Ñ$136)</f>
      </c>
      <c r="EP136">
        <f>IF(ISBLANK('Data Entry'!$Ò$136), "", 'Data Entry'!$Ò$136)</f>
      </c>
      <c r="EQ136">
        <f>IF(ISBLANK('Data Entry'!$Ó$136), "", 'Data Entry'!$Ó$136)</f>
      </c>
      <c r="ER136">
        <f>IF(ISBLANK('Data Entry'!$Ô$136), "", 'Data Entry'!$Ô$136)</f>
      </c>
      <c r="ES136">
        <f>IF(ISBLANK('Data Entry'!$Õ$136), "", 'Data Entry'!$Õ$136)</f>
      </c>
      <c r="ET136">
        <f>IF(ISBLANK('Data Entry'!$Ö$136), "", 'Data Entry'!$Ö$136)</f>
      </c>
      <c r="EU136">
        <f>IF(ISBLANK('Data Entry'!$×$136), "", 'Data Entry'!$×$136)</f>
      </c>
      <c r="EV136">
        <f>IF(ISBLANK('Data Entry'!$Ø$136), "", 'Data Entry'!$Ø$136)</f>
      </c>
      <c r="EW136">
        <f>IF(ISBLANK('Data Entry'!$Ù$136), "", 'Data Entry'!$Ù$136)</f>
      </c>
      <c r="EX136">
        <f>IF(ISBLANK('Data Entry'!$Ú$136), "", 'Data Entry'!$Ú$136)</f>
      </c>
      <c r="EY136">
        <f>IF(ISBLANK('Data Entry'!$Û$136), "", 'Data Entry'!$Û$136)</f>
      </c>
      <c r="EZ136">
        <f>IF(ISBLANK('Data Entry'!$Ü$136), "", 'Data Entry'!$Ü$136)</f>
      </c>
      <c r="FA136">
        <f>IF(ISBLANK('Data Entry'!$Ý$136), "", 'Data Entry'!$Ý$136)</f>
      </c>
      <c r="FB136">
        <f>IF(ISBLANK('Data Entry'!$Þ$136), "", 'Data Entry'!$Þ$136)</f>
      </c>
      <c r="FC136">
        <f>IF(ISBLANK('Data Entry'!$ß$136), "", 'Data Entry'!$ß$136)</f>
      </c>
      <c r="FD136">
        <f>IF(ISBLANK('Data Entry'!$à$136), "", 'Data Entry'!$à$136)</f>
      </c>
      <c r="FE136">
        <f>IF(ISBLANK('Data Entry'!$á$136), "", 'Data Entry'!$á$136)</f>
      </c>
      <c r="FF136">
        <f>IF(ISBLANK('Data Entry'!$â$136), "", 'Data Entry'!$â$136)</f>
      </c>
      <c r="FG136">
        <f>IF(ISBLANK('Data Entry'!$ã$136), "", 'Data Entry'!$ã$136)</f>
      </c>
      <c r="FH136">
        <f>IF(ISBLANK('Data Entry'!$ä$136), "", 'Data Entry'!$ä$136)</f>
      </c>
      <c r="FI136">
        <f>IF(ISBLANK('Data Entry'!$å$136), "", 'Data Entry'!$å$136)</f>
      </c>
      <c r="FJ136">
        <f>IF(ISBLANK('Data Entry'!$æ$136), "", 'Data Entry'!$æ$136)</f>
      </c>
      <c r="FK136">
        <f>IF(ISBLANK('Data Entry'!$ç$136), "", 'Data Entry'!$ç$136)</f>
      </c>
      <c r="FL136">
        <f>IF(ISBLANK('Data Entry'!$è$136), "", 'Data Entry'!$è$136)</f>
      </c>
      <c r="FM136">
        <f>IF(ISBLANK('Data Entry'!$é$136), "", 'Data Entry'!$é$136)</f>
      </c>
      <c r="FN136">
        <f>IF(ISBLANK('Data Entry'!$ê$136), "", 'Data Entry'!$ê$136)</f>
      </c>
      <c r="FO136">
        <f>IF(ISBLANK('Data Entry'!$ë$136), "", 'Data Entry'!$ë$136)</f>
      </c>
      <c r="FP136">
        <f>IF(ISBLANK('Data Entry'!$ì$136), "", 'Data Entry'!$ì$136)</f>
      </c>
      <c r="FQ136">
        <f>IF(ISBLANK('Data Entry'!$í$136), "", 'Data Entry'!$í$136)</f>
      </c>
      <c r="FR136">
        <f>IF(ISBLANK('Data Entry'!$î$136), "", 'Data Entry'!$î$136)</f>
      </c>
      <c r="FS136">
        <f>IF(ISBLANK('Data Entry'!$ï$136), "", 'Data Entry'!$ï$136)</f>
      </c>
      <c r="FT136">
        <f>IF(ISBLANK('Data Entry'!$ð$136), "", 'Data Entry'!$ð$136)</f>
      </c>
      <c r="FU136">
        <f>IF(ISBLANK('Data Entry'!$ñ$136), "", 'Data Entry'!$ñ$136)</f>
      </c>
      <c r="FV136">
        <f>IF(ISBLANK('Data Entry'!$ò$136), "", 'Data Entry'!$ò$136)</f>
      </c>
      <c r="FW136">
        <f>IF(ISBLANK('Data Entry'!$ó$136), "", 'Data Entry'!$ó$136)</f>
      </c>
      <c r="FX136">
        <f>IF(ISBLANK('Data Entry'!$ô$136), "", 'Data Entry'!$ô$136)</f>
      </c>
      <c r="FY136">
        <f>IF(ISBLANK('Data Entry'!$õ$136), "", 'Data Entry'!$õ$136)</f>
      </c>
      <c r="FZ136">
        <f>IF(ISBLANK('Data Entry'!$ö$136), "", 'Data Entry'!$ö$136)</f>
      </c>
      <c r="GA136">
        <f>IF(ISBLANK('Data Entry'!$÷$136), "", 'Data Entry'!$÷$136)</f>
      </c>
      <c r="GB136">
        <f>IF(ISBLANK('Data Entry'!$ø$136), "", 'Data Entry'!$ø$136)</f>
      </c>
      <c r="GC136">
        <f>IF(ISBLANK('Data Entry'!$ù$136), "", 'Data Entry'!$ù$136)</f>
      </c>
      <c r="GD136">
        <f>IF(ISBLANK('Data Entry'!$ú$136), "", 'Data Entry'!$ú$136)</f>
      </c>
      <c r="GE136">
        <f>IF(ISBLANK('Data Entry'!$û$136), "", 'Data Entry'!$û$136)</f>
      </c>
      <c r="GF136">
        <f>IF(ISBLANK('Data Entry'!$ü$136), "", 'Data Entry'!$ü$136)</f>
      </c>
      <c r="GG136">
        <f>IF(ISBLANK('Data Entry'!$ý$136), "", 'Data Entry'!$ý$136)</f>
      </c>
      <c r="GH136">
        <f>IF(ISBLANK('Data Entry'!$þ$136), "", 'Data Entry'!$þ$136)</f>
      </c>
      <c r="GI136">
        <f>IF(ISBLANK('Data Entry'!$ÿ$136), "", 'Data Entry'!$ÿ$136)</f>
      </c>
      <c r="GJ136">
        <f>IF(ISBLANK('Data Entry'!$Ā$136), "", 'Data Entry'!$Ā$136)</f>
      </c>
      <c r="GK136">
        <f>IF(ISBLANK('Data Entry'!$ā$136), "", 'Data Entry'!$ā$136)</f>
      </c>
      <c r="GL136">
        <f>IF(ISBLANK('Data Entry'!$Ă$136), "", 'Data Entry'!$Ă$136)</f>
      </c>
      <c r="GM136">
        <f>IF(ISBLANK('Data Entry'!$ă$136), "", 'Data Entry'!$ă$136)</f>
      </c>
      <c r="GN136">
        <f>IF(ISBLANK('Data Entry'!$Ą$136), "", 'Data Entry'!$Ą$136)</f>
      </c>
      <c r="GO136">
        <f>IF(ISBLANK('Data Entry'!$ą$136), "", 'Data Entry'!$ą$136)</f>
      </c>
      <c r="GP136">
        <f>IF(ISBLANK('Data Entry'!$Ć$136), "", 'Data Entry'!$Ć$136)</f>
      </c>
      <c r="GQ136">
        <f>IF(ISBLANK('Data Entry'!$ć$136), "", 'Data Entry'!$ć$136)</f>
      </c>
      <c r="GR136">
        <f>IF(ISBLANK('Data Entry'!$Ĉ$136), "", 'Data Entry'!$Ĉ$136)</f>
      </c>
      <c r="GS136">
        <f>IF(ISBLANK('Data Entry'!$ĉ$136), "", 'Data Entry'!$ĉ$136)</f>
      </c>
      <c r="GT136">
        <f>IF(ISBLANK('Data Entry'!$Ċ$136), "", 'Data Entry'!$Ċ$136)</f>
      </c>
      <c r="GU136">
        <f>IF(ISBLANK('Data Entry'!$ċ$136), "", 'Data Entry'!$ċ$136)</f>
      </c>
      <c r="GV136">
        <f>IF(ISBLANK('Data Entry'!$Č$136), "", 'Data Entry'!$Č$136)</f>
      </c>
      <c r="GW136">
        <f>IF(ISBLANK('Data Entry'!$č$136), "", 'Data Entry'!$č$136)</f>
      </c>
      <c r="GX136">
        <f>IF(ISBLANK('Data Entry'!$Ď$136), "", 'Data Entry'!$Ď$136)</f>
      </c>
      <c r="GY136">
        <f>IF(ISBLANK('Data Entry'!$ď$136), "", 'Data Entry'!$ď$136)</f>
      </c>
      <c r="GZ136">
        <f>IF(ISBLANK('Data Entry'!$Đ$136), "", 'Data Entry'!$Đ$136)</f>
      </c>
      <c r="HA136">
        <f>IF(ISBLANK('Data Entry'!$đ$136), "", 'Data Entry'!$đ$136)</f>
      </c>
      <c r="HB136">
        <f>IF(ISBLANK('Data Entry'!$Ē$136), "", 'Data Entry'!$Ē$136)</f>
      </c>
      <c r="HC136">
        <f>IF(ISBLANK('Data Entry'!$ē$136), "", 'Data Entry'!$ē$136)</f>
      </c>
      <c r="HD136">
        <f>IF(ISBLANK('Data Entry'!$Ĕ$136), "", 'Data Entry'!$Ĕ$136)</f>
      </c>
      <c r="HE136">
        <f>IF(ISBLANK('Data Entry'!$ĕ$136), "", 'Data Entry'!$ĕ$136)</f>
      </c>
      <c r="HF136">
        <f>IF(ISBLANK('Data Entry'!$Ė$136), "", 'Data Entry'!$Ė$136)</f>
      </c>
      <c r="HG136">
        <f>IF(ISBLANK('Data Entry'!$ė$136), "", 'Data Entry'!$ė$136)</f>
      </c>
      <c r="HH136">
        <f>IF(ISBLANK('Data Entry'!$Ę$136), "", 'Data Entry'!$Ę$136)</f>
      </c>
      <c r="HI136">
        <f>IF(ISBLANK('Data Entry'!$ę$136), "", 'Data Entry'!$ę$136)</f>
      </c>
      <c r="HJ136">
        <f>IF(ISBLANK('Data Entry'!$Ě$136), "", 'Data Entry'!$Ě$136)</f>
      </c>
      <c r="HK136">
        <f>IF(ISBLANK('Data Entry'!$ě$136), "", 'Data Entry'!$ě$136)</f>
      </c>
      <c r="HL136">
        <f>IF(ISBLANK('Data Entry'!$Ĝ$136), "", 'Data Entry'!$Ĝ$136)</f>
      </c>
      <c r="HM136">
        <f>IF(ISBLANK('Data Entry'!$ĝ$136), "", 'Data Entry'!$ĝ$136)</f>
      </c>
      <c r="HN136">
        <f>IF(ISBLANK('Data Entry'!$Ğ$136), "", 'Data Entry'!$Ğ$136)</f>
      </c>
      <c r="HO136">
        <f>IF(ISBLANK('Data Entry'!$ğ$136), "", 'Data Entry'!$ğ$136)</f>
      </c>
      <c r="HP136">
        <f>IF(ISBLANK('Data Entry'!$Ġ$136), "", 'Data Entry'!$Ġ$136)</f>
      </c>
      <c r="HQ136">
        <f>IF(ISBLANK('Data Entry'!$ġ$136), "", 'Data Entry'!$ġ$136)</f>
      </c>
      <c r="HR136">
        <f>IF(ISBLANK('Data Entry'!$Ģ$136), "", 'Data Entry'!$Ģ$136)</f>
      </c>
      <c r="HS136">
        <f>IF(ISBLANK('Data Entry'!$ģ$136), "", 'Data Entry'!$ģ$136)</f>
      </c>
      <c r="HT136">
        <f>IF(ISBLANK('Data Entry'!$Ĥ$136), "", 'Data Entry'!$Ĥ$136)</f>
      </c>
      <c r="HU136">
        <f>IF(ISBLANK('Data Entry'!$ĥ$136), "", 'Data Entry'!$ĥ$136)</f>
      </c>
      <c r="HV136">
        <f>IF(ISBLANK('Data Entry'!$Ħ$136), "", 'Data Entry'!$Ħ$136)</f>
      </c>
      <c r="HW136">
        <f>IF(ISBLANK('Data Entry'!$ħ$136), "", 'Data Entry'!$ħ$136)</f>
      </c>
      <c r="HX136">
        <f>IF(ISBLANK('Data Entry'!$Ĩ$136), "", 'Data Entry'!$Ĩ$136)</f>
      </c>
      <c r="HY136">
        <f>IF(ISBLANK('Data Entry'!$ĩ$136), "", 'Data Entry'!$ĩ$136)</f>
      </c>
      <c r="HZ136">
        <f>IF(ISBLANK('Data Entry'!$Ī$136), "", 'Data Entry'!$Ī$136)</f>
      </c>
      <c r="IA136">
        <f>IF(ISBLANK('Data Entry'!$ī$136), "", 'Data Entry'!$ī$136)</f>
      </c>
      <c r="IB136">
        <f>IF(ISBLANK('Data Entry'!$Ĭ$136), "", 'Data Entry'!$Ĭ$136)</f>
      </c>
      <c r="IC136">
        <f>IF(ISBLANK('Data Entry'!$ĭ$136), "", 'Data Entry'!$ĭ$136)</f>
      </c>
      <c r="ID136">
        <f>IF(ISBLANK('Data Entry'!$Į$136), "", 'Data Entry'!$Į$136)</f>
      </c>
      <c r="IE136">
        <f>IF(ISBLANK('Data Entry'!$į$136), "", 'Data Entry'!$į$136)</f>
      </c>
      <c r="IF136">
        <f>IF(ISBLANK('Data Entry'!$İ$136), "", 'Data Entry'!$İ$136)</f>
      </c>
      <c r="IG136">
        <f>IF(ISBLANK('Data Entry'!$ı$136), "", 'Data Entry'!$ı$136)</f>
      </c>
      <c r="IH136">
        <f>IF(ISBLANK('Data Entry'!$Ĳ$136), "", 'Data Entry'!$Ĳ$136)</f>
      </c>
      <c r="II136">
        <f>IF(ISBLANK('Data Entry'!$ĳ$136), "", 'Data Entry'!$ĳ$136)</f>
      </c>
      <c r="IJ136">
        <f>IF(ISBLANK('Data Entry'!$Ĵ$136), "", 'Data Entry'!$Ĵ$136)</f>
      </c>
      <c r="IK136">
        <f>IF(ISBLANK('Data Entry'!$ĵ$136), "", 'Data Entry'!$ĵ$136)</f>
      </c>
      <c r="IL136">
        <f>IF(ISBLANK('Data Entry'!$Ķ$136), "", 'Data Entry'!$Ķ$136)</f>
      </c>
      <c r="IM136">
        <f>IF(ISBLANK('Data Entry'!$ķ$136), "", 'Data Entry'!$ķ$136)</f>
      </c>
      <c r="IN136">
        <f>IF(ISBLANK('Data Entry'!$ĸ$136), "", 'Data Entry'!$ĸ$136)</f>
      </c>
      <c r="IO136">
        <f>IF(ISBLANK('Data Entry'!$Ĺ$136), "", 'Data Entry'!$Ĺ$136)</f>
      </c>
      <c r="IP136">
        <f>IF(ISBLANK('Data Entry'!$ĺ$136), "", 'Data Entry'!$ĺ$136)</f>
      </c>
      <c r="IQ136">
        <f>IF(ISBLANK('Data Entry'!$Ļ$136), "", 'Data Entry'!$Ļ$136)</f>
      </c>
      <c r="IR136">
        <f>IF(ISBLANK('Data Entry'!$ļ$136), "", 'Data Entry'!$ļ$136)</f>
      </c>
      <c r="IS136">
        <f>IF(ISBLANK('Data Entry'!$Ľ$136), "", 'Data Entry'!$Ľ$136)</f>
      </c>
      <c r="IT136">
        <f>IF(ISBLANK('Data Entry'!$ľ$136), "", 'Data Entry'!$ľ$136)</f>
      </c>
    </row>
    <row r="137" spans="1:254" x14ac:dyDescent="0.25">
      <c r="A137">
        <f>IF(ISBLANK('Data Entry'!$A$137), "", 'Data Entry'!$A$137)</f>
      </c>
      <c r="B137">
        <f>IF(ISBLANK('Data Entry'!$B$137), "", 'Data Entry'!$B$137)</f>
      </c>
      <c r="C137">
        <f>IF(ISBLANK('Data Entry'!$C$137), "", 'Data Entry'!$C$137)</f>
      </c>
      <c r="D137">
        <f>IF(ISBLANK('Data Entry'!$D$137), "", 'Data Entry'!$D$137)</f>
      </c>
      <c r="E137">
        <f>IF(ISBLANK('Data Entry'!$E$137), "", 'Data Entry'!$E$137)</f>
      </c>
      <c r="F137">
        <f>IF(ISBLANK('Data Entry'!$F$137), "", 'Data Entry'!$F$137)</f>
      </c>
      <c r="G137">
        <f>IF(ISBLANK('Data Entry'!$G$137), "", 'Data Entry'!$G$137)</f>
      </c>
      <c r="H137">
        <f>IF(ISBLANK('Data Entry'!$H$137), "", 'Data Entry'!$H$137)</f>
      </c>
      <c r="I137">
        <f>IF(ISBLANK('Data Entry'!$I$137), "", 'Data Entry'!$I$137)</f>
      </c>
      <c r="J137">
        <f>IF(ISBLANK('Data Entry'!$J$137), "", 'Data Entry'!$J$137)</f>
      </c>
      <c r="K137">
        <f>IF(ISBLANK('Data Entry'!$K$137), "", 'Data Entry'!$K$137)</f>
      </c>
      <c r="L137">
        <f>IF(ISBLANK('Data Entry'!$L$137), "", 'Data Entry'!$L$137)</f>
      </c>
      <c r="M137">
        <f>IF(ISBLANK('Data Entry'!$M$137), "", 'Data Entry'!$M$137)</f>
      </c>
      <c r="N137">
        <f>IF(ISBLANK('Data Entry'!$N$137), "", 'Data Entry'!$N$137)</f>
      </c>
      <c r="O137">
        <f>IF(ISBLANK('Data Entry'!$O$137), "", 'Data Entry'!$O$137)</f>
      </c>
      <c r="P137">
        <f>IF(ISBLANK('Data Entry'!$P$137), "", 'Data Entry'!$P$137)</f>
      </c>
      <c r="Q137">
        <f>IF(ISBLANK('Data Entry'!$Q$137), "", 'Data Entry'!$Q$137)</f>
      </c>
      <c r="R137">
        <f>IF(ISBLANK('Data Entry'!$R$137), "", 'Data Entry'!$R$137)</f>
      </c>
      <c r="S137">
        <f>IF(ISBLANK('Data Entry'!$S$137), "", 'Data Entry'!$S$137)</f>
      </c>
      <c r="T137">
        <f>IF(ISBLANK('Data Entry'!$T$137), "", 'Data Entry'!$T$137)</f>
      </c>
      <c r="U137">
        <f>IF(ISBLANK('Data Entry'!$U$137), "", 'Data Entry'!$U$137)</f>
      </c>
      <c r="V137">
        <f>IF(ISBLANK('Data Entry'!$V$137), "", 'Data Entry'!$V$137)</f>
      </c>
      <c r="W137">
        <f>IF(ISBLANK('Data Entry'!$W$137), "", 'Data Entry'!$W$137)</f>
      </c>
      <c r="X137">
        <f>IF(ISBLANK('Data Entry'!$X$137), "", 'Data Entry'!$X$137)</f>
      </c>
      <c r="Y137">
        <f>IF(ISBLANK('Data Entry'!$Y$137), "", 'Data Entry'!$Y$137)</f>
      </c>
      <c r="Z137">
        <f>IF(ISBLANK('Data Entry'!$Z$137), "", 'Data Entry'!$Z$137)</f>
      </c>
      <c r="AA137">
        <f>IF(ISBLANK('Data Entry'!$[$137), "", 'Data Entry'!$[$137)</f>
      </c>
      <c r="AB137">
        <f>IF(ISBLANK('Data Entry'!$\$137), "", 'Data Entry'!$\$137)</f>
      </c>
      <c r="AC137">
        <f>IF(ISBLANK('Data Entry'!$]$137), "", 'Data Entry'!$]$137)</f>
      </c>
      <c r="AD137">
        <f>IF(ISBLANK('Data Entry'!$^$137), "", 'Data Entry'!$^$137)</f>
      </c>
      <c r="AE137">
        <f>IF(ISBLANK('Data Entry'!$_$137), "", 'Data Entry'!$_$137)</f>
      </c>
      <c r="AF137">
        <f>IF(ISBLANK('Data Entry'!$`$137), "", 'Data Entry'!$`$137)</f>
      </c>
      <c r="AG137">
        <f>IF(ISBLANK('Data Entry'!$a$137), "", 'Data Entry'!$a$137)</f>
      </c>
      <c r="AH137">
        <f>IF(ISBLANK('Data Entry'!$b$137), "", 'Data Entry'!$b$137)</f>
      </c>
      <c r="AI137">
        <f>IF(ISBLANK('Data Entry'!$c$137), "", 'Data Entry'!$c$137)</f>
      </c>
      <c r="AJ137">
        <f>IF(ISBLANK('Data Entry'!$d$137), "", 'Data Entry'!$d$137)</f>
      </c>
      <c r="AK137">
        <f>IF(ISBLANK('Data Entry'!$e$137), "", 'Data Entry'!$e$137)</f>
      </c>
      <c r="AL137">
        <f>IF(ISBLANK('Data Entry'!$f$137), "", 'Data Entry'!$f$137)</f>
      </c>
      <c r="AM137">
        <f>IF(ISBLANK('Data Entry'!$g$137), "", 'Data Entry'!$g$137)</f>
      </c>
      <c r="AN137">
        <f>IF(ISBLANK('Data Entry'!$h$137), "", 'Data Entry'!$h$137)</f>
      </c>
      <c r="AO137">
        <f>IF(ISBLANK('Data Entry'!$i$137), "", 'Data Entry'!$i$137)</f>
      </c>
      <c r="AP137">
        <f>IF(ISBLANK('Data Entry'!$j$137), "", 'Data Entry'!$j$137)</f>
      </c>
      <c r="AQ137">
        <f>IF(ISBLANK('Data Entry'!$k$137), "", 'Data Entry'!$k$137)</f>
      </c>
      <c r="AR137">
        <f>IF(ISBLANK('Data Entry'!$l$137), "", 'Data Entry'!$l$137)</f>
      </c>
      <c r="AS137">
        <f>IF(ISBLANK('Data Entry'!$m$137), "", 'Data Entry'!$m$137)</f>
      </c>
      <c r="AT137">
        <f>IF(ISBLANK('Data Entry'!$n$137), "", 'Data Entry'!$n$137)</f>
      </c>
      <c r="AU137">
        <f>IF(ISBLANK('Data Entry'!$o$137), "", 'Data Entry'!$o$137)</f>
      </c>
      <c r="AV137">
        <f>IF(ISBLANK('Data Entry'!$p$137), "", 'Data Entry'!$p$137)</f>
      </c>
      <c r="AW137">
        <f>IF(ISBLANK('Data Entry'!$q$137), "", 'Data Entry'!$q$137)</f>
      </c>
      <c r="AX137">
        <f>IF(ISBLANK('Data Entry'!$r$137), "", 'Data Entry'!$r$137)</f>
      </c>
      <c r="AY137">
        <f>IF(ISBLANK('Data Entry'!$s$137), "", 'Data Entry'!$s$137)</f>
      </c>
      <c r="AZ137">
        <f>IF(ISBLANK('Data Entry'!$t$137), "", 'Data Entry'!$t$137)</f>
      </c>
      <c r="BA137">
        <f>IF(ISBLANK('Data Entry'!$u$137), "", 'Data Entry'!$u$137)</f>
      </c>
      <c r="BB137">
        <f>IF(ISBLANK('Data Entry'!$v$137), "", 'Data Entry'!$v$137)</f>
      </c>
      <c r="BC137">
        <f>IF(ISBLANK('Data Entry'!$w$137), "", 'Data Entry'!$w$137)</f>
      </c>
      <c r="BD137">
        <f>IF(ISBLANK('Data Entry'!$x$137), "", 'Data Entry'!$x$137)</f>
      </c>
      <c r="BE137">
        <f>IF(ISBLANK('Data Entry'!$y$137), "", 'Data Entry'!$y$137)</f>
      </c>
      <c r="BF137">
        <f>IF(ISBLANK('Data Entry'!$z$137), "", 'Data Entry'!$z$137)</f>
      </c>
      <c r="BG137">
        <f>IF(ISBLANK('Data Entry'!${$137), "", 'Data Entry'!${$137)</f>
      </c>
      <c r="BH137">
        <f>IF(ISBLANK('Data Entry'!$|$137), "", 'Data Entry'!$|$137)</f>
      </c>
      <c r="BI137">
        <f>IF(ISBLANK('Data Entry'!$}$137), "", 'Data Entry'!$}$137)</f>
      </c>
      <c r="BJ137">
        <f>IF(ISBLANK('Data Entry'!$~$137), "", 'Data Entry'!$~$137)</f>
      </c>
      <c r="BK137">
        <f>IF(ISBLANK('Data Entry'!$$137), "", 'Data Entry'!$$137)</f>
      </c>
      <c r="BL137">
        <f>IF(ISBLANK('Data Entry'!$$137), "", 'Data Entry'!$$137)</f>
      </c>
      <c r="BM137">
        <f>IF(ISBLANK('Data Entry'!$$137), "", 'Data Entry'!$$137)</f>
      </c>
      <c r="BN137">
        <f>IF(ISBLANK('Data Entry'!$$137), "", 'Data Entry'!$$137)</f>
      </c>
      <c r="BO137">
        <f>IF(ISBLANK('Data Entry'!$$137), "", 'Data Entry'!$$137)</f>
      </c>
      <c r="BP137">
        <f>IF(ISBLANK('Data Entry'!$$137), "", 'Data Entry'!$$137)</f>
      </c>
      <c r="BQ137">
        <f>IF(ISBLANK('Data Entry'!$$137), "", 'Data Entry'!$$137)</f>
      </c>
      <c r="BR137">
        <f>IF(ISBLANK('Data Entry'!$$137), "", 'Data Entry'!$$137)</f>
      </c>
      <c r="BS137">
        <f>IF(ISBLANK('Data Entry'!$$137), "", 'Data Entry'!$$137)</f>
      </c>
      <c r="BT137">
        <f>IF(ISBLANK('Data Entry'!$$137), "", 'Data Entry'!$$137)</f>
      </c>
      <c r="BU137">
        <f>IF(ISBLANK('Data Entry'!$$137), "", 'Data Entry'!$$137)</f>
      </c>
      <c r="BV137">
        <f>IF(ISBLANK('Data Entry'!$$137), "", 'Data Entry'!$$137)</f>
      </c>
      <c r="BW137">
        <f>IF(ISBLANK('Data Entry'!$$137), "", 'Data Entry'!$$137)</f>
      </c>
      <c r="BX137">
        <f>IF(ISBLANK('Data Entry'!$$137), "", 'Data Entry'!$$137)</f>
      </c>
      <c r="BY137">
        <f>IF(ISBLANK('Data Entry'!$$137), "", 'Data Entry'!$$137)</f>
      </c>
      <c r="BZ137">
        <f>IF(ISBLANK('Data Entry'!$$137), "", 'Data Entry'!$$137)</f>
      </c>
      <c r="CA137">
        <f>IF(ISBLANK('Data Entry'!$$137), "", 'Data Entry'!$$137)</f>
      </c>
      <c r="CB137">
        <f>IF(ISBLANK('Data Entry'!$$137), "", 'Data Entry'!$$137)</f>
      </c>
      <c r="CC137">
        <f>IF(ISBLANK('Data Entry'!$$137), "", 'Data Entry'!$$137)</f>
      </c>
      <c r="CD137">
        <f>IF(ISBLANK('Data Entry'!$$137), "", 'Data Entry'!$$137)</f>
      </c>
      <c r="CE137">
        <f>IF(ISBLANK('Data Entry'!$$137), "", 'Data Entry'!$$137)</f>
      </c>
      <c r="CF137">
        <f>IF(ISBLANK('Data Entry'!$$137), "", 'Data Entry'!$$137)</f>
      </c>
      <c r="CG137">
        <f>IF(ISBLANK('Data Entry'!$$137), "", 'Data Entry'!$$137)</f>
      </c>
      <c r="CH137">
        <f>IF(ISBLANK('Data Entry'!$$137), "", 'Data Entry'!$$137)</f>
      </c>
      <c r="CI137">
        <f>IF(ISBLANK('Data Entry'!$$137), "", 'Data Entry'!$$137)</f>
      </c>
      <c r="CJ137">
        <f>IF(ISBLANK('Data Entry'!$$137), "", 'Data Entry'!$$137)</f>
      </c>
      <c r="CK137">
        <f>IF(ISBLANK('Data Entry'!$$137), "", 'Data Entry'!$$137)</f>
      </c>
      <c r="CL137">
        <f>IF(ISBLANK('Data Entry'!$$137), "", 'Data Entry'!$$137)</f>
      </c>
      <c r="CM137">
        <f>IF(ISBLANK('Data Entry'!$$137), "", 'Data Entry'!$$137)</f>
      </c>
      <c r="CN137">
        <f>IF(ISBLANK('Data Entry'!$$137), "", 'Data Entry'!$$137)</f>
      </c>
      <c r="CO137">
        <f>IF(ISBLANK('Data Entry'!$$137), "", 'Data Entry'!$$137)</f>
      </c>
      <c r="CP137">
        <f>IF(ISBLANK('Data Entry'!$$137), "", 'Data Entry'!$$137)</f>
      </c>
      <c r="CQ137">
        <f>IF(ISBLANK('Data Entry'!$$137), "", 'Data Entry'!$$137)</f>
      </c>
      <c r="CR137">
        <f>IF(ISBLANK('Data Entry'!$ $137), "", 'Data Entry'!$ $137)</f>
      </c>
      <c r="CS137">
        <f>IF(ISBLANK('Data Entry'!$¡$137), "", 'Data Entry'!$¡$137)</f>
      </c>
      <c r="CT137">
        <f>IF(ISBLANK('Data Entry'!$¢$137), "", 'Data Entry'!$¢$137)</f>
      </c>
      <c r="CU137">
        <f>IF(ISBLANK('Data Entry'!$£$137), "", 'Data Entry'!$£$137)</f>
      </c>
      <c r="CV137">
        <f>IF(ISBLANK('Data Entry'!$¤$137), "", 'Data Entry'!$¤$137)</f>
      </c>
      <c r="CW137">
        <f>IF(ISBLANK('Data Entry'!$¥$137), "", 'Data Entry'!$¥$137)</f>
      </c>
      <c r="CX137">
        <f>IF(ISBLANK('Data Entry'!$¦$137), "", 'Data Entry'!$¦$137)</f>
      </c>
      <c r="CY137">
        <f>IF(ISBLANK('Data Entry'!$§$137), "", 'Data Entry'!$§$137)</f>
      </c>
      <c r="CZ137">
        <f>IF(ISBLANK('Data Entry'!$¨$137), "", 'Data Entry'!$¨$137)</f>
      </c>
      <c r="DA137">
        <f>IF(ISBLANK('Data Entry'!$©$137), "", 'Data Entry'!$©$137)</f>
      </c>
      <c r="DB137">
        <f>IF(ISBLANK('Data Entry'!$ª$137), "", 'Data Entry'!$ª$137)</f>
      </c>
      <c r="DC137">
        <f>IF(ISBLANK('Data Entry'!$«$137), "", 'Data Entry'!$«$137)</f>
      </c>
      <c r="DD137">
        <f>IF(ISBLANK('Data Entry'!$¬$137), "", 'Data Entry'!$¬$137)</f>
      </c>
      <c r="DE137">
        <f>IF(ISBLANK('Data Entry'!$­$137), "", 'Data Entry'!$­$137)</f>
      </c>
      <c r="DF137">
        <f>IF(ISBLANK('Data Entry'!$®$137), "", 'Data Entry'!$®$137)</f>
      </c>
      <c r="DG137">
        <f>IF(ISBLANK('Data Entry'!$¯$137), "", 'Data Entry'!$¯$137)</f>
      </c>
      <c r="DH137">
        <f>IF(ISBLANK('Data Entry'!$°$137), "", 'Data Entry'!$°$137)</f>
      </c>
      <c r="DI137">
        <f>IF(ISBLANK('Data Entry'!$±$137), "", 'Data Entry'!$±$137)</f>
      </c>
      <c r="DJ137">
        <f>IF(ISBLANK('Data Entry'!$²$137), "", 'Data Entry'!$²$137)</f>
      </c>
      <c r="DK137">
        <f>IF(ISBLANK('Data Entry'!$³$137), "", 'Data Entry'!$³$137)</f>
      </c>
      <c r="DL137">
        <f>IF(ISBLANK('Data Entry'!$´$137), "", 'Data Entry'!$´$137)</f>
      </c>
      <c r="DM137">
        <f>IF(ISBLANK('Data Entry'!$µ$137), "", 'Data Entry'!$µ$137)</f>
      </c>
      <c r="DN137">
        <f>IF(ISBLANK('Data Entry'!$¶$137), "", 'Data Entry'!$¶$137)</f>
      </c>
      <c r="DO137">
        <f>IF(ISBLANK('Data Entry'!$·$137), "", 'Data Entry'!$·$137)</f>
      </c>
      <c r="DP137">
        <f>IF(ISBLANK('Data Entry'!$¸$137), "", 'Data Entry'!$¸$137)</f>
      </c>
      <c r="DQ137">
        <f>IF(ISBLANK('Data Entry'!$¹$137), "", 'Data Entry'!$¹$137)</f>
      </c>
      <c r="DR137">
        <f>IF(ISBLANK('Data Entry'!$º$137), "", 'Data Entry'!$º$137)</f>
      </c>
      <c r="DS137">
        <f>IF(ISBLANK('Data Entry'!$»$137), "", 'Data Entry'!$»$137)</f>
      </c>
      <c r="DT137">
        <f>IF(ISBLANK('Data Entry'!$¼$137), "", 'Data Entry'!$¼$137)</f>
      </c>
      <c r="DU137">
        <f>IF(ISBLANK('Data Entry'!$½$137), "", 'Data Entry'!$½$137)</f>
      </c>
      <c r="DV137">
        <f>IF(ISBLANK('Data Entry'!$¾$137), "", 'Data Entry'!$¾$137)</f>
      </c>
      <c r="DW137">
        <f>IF(ISBLANK('Data Entry'!$¿$137), "", 'Data Entry'!$¿$137)</f>
      </c>
      <c r="DX137">
        <f>IF(ISBLANK('Data Entry'!$À$137), "", 'Data Entry'!$À$137)</f>
      </c>
      <c r="DY137">
        <f>IF(ISBLANK('Data Entry'!$Á$137), "", 'Data Entry'!$Á$137)</f>
      </c>
      <c r="DZ137">
        <f>IF(ISBLANK('Data Entry'!$Â$137), "", 'Data Entry'!$Â$137)</f>
      </c>
      <c r="EA137">
        <f>IF(ISBLANK('Data Entry'!$Ã$137), "", 'Data Entry'!$Ã$137)</f>
      </c>
      <c r="EB137">
        <f>IF(ISBLANK('Data Entry'!$Ä$137), "", 'Data Entry'!$Ä$137)</f>
      </c>
      <c r="EC137">
        <f>IF(ISBLANK('Data Entry'!$Å$137), "", 'Data Entry'!$Å$137)</f>
      </c>
      <c r="ED137">
        <f>IF(ISBLANK('Data Entry'!$Æ$137), "", 'Data Entry'!$Æ$137)</f>
      </c>
      <c r="EE137">
        <f>IF(ISBLANK('Data Entry'!$Ç$137), "", 'Data Entry'!$Ç$137)</f>
      </c>
      <c r="EF137">
        <f>IF(ISBLANK('Data Entry'!$È$137), "", 'Data Entry'!$È$137)</f>
      </c>
      <c r="EG137">
        <f>IF(ISBLANK('Data Entry'!$É$137), "", 'Data Entry'!$É$137)</f>
      </c>
      <c r="EH137">
        <f>IF(ISBLANK('Data Entry'!$Ê$137), "", 'Data Entry'!$Ê$137)</f>
      </c>
      <c r="EI137">
        <f>IF(ISBLANK('Data Entry'!$Ë$137), "", 'Data Entry'!$Ë$137)</f>
      </c>
      <c r="EJ137">
        <f>IF(ISBLANK('Data Entry'!$Ì$137), "", 'Data Entry'!$Ì$137)</f>
      </c>
      <c r="EK137">
        <f>IF(ISBLANK('Data Entry'!$Í$137), "", 'Data Entry'!$Í$137)</f>
      </c>
      <c r="EL137">
        <f>IF(ISBLANK('Data Entry'!$Î$137), "", 'Data Entry'!$Î$137)</f>
      </c>
      <c r="EM137">
        <f>IF(ISBLANK('Data Entry'!$Ï$137), "", 'Data Entry'!$Ï$137)</f>
      </c>
      <c r="EN137">
        <f>IF(ISBLANK('Data Entry'!$Ð$137), "", 'Data Entry'!$Ð$137)</f>
      </c>
      <c r="EO137">
        <f>IF(ISBLANK('Data Entry'!$Ñ$137), "", 'Data Entry'!$Ñ$137)</f>
      </c>
      <c r="EP137">
        <f>IF(ISBLANK('Data Entry'!$Ò$137), "", 'Data Entry'!$Ò$137)</f>
      </c>
      <c r="EQ137">
        <f>IF(ISBLANK('Data Entry'!$Ó$137), "", 'Data Entry'!$Ó$137)</f>
      </c>
      <c r="ER137">
        <f>IF(ISBLANK('Data Entry'!$Ô$137), "", 'Data Entry'!$Ô$137)</f>
      </c>
      <c r="ES137">
        <f>IF(ISBLANK('Data Entry'!$Õ$137), "", 'Data Entry'!$Õ$137)</f>
      </c>
      <c r="ET137">
        <f>IF(ISBLANK('Data Entry'!$Ö$137), "", 'Data Entry'!$Ö$137)</f>
      </c>
      <c r="EU137">
        <f>IF(ISBLANK('Data Entry'!$×$137), "", 'Data Entry'!$×$137)</f>
      </c>
      <c r="EV137">
        <f>IF(ISBLANK('Data Entry'!$Ø$137), "", 'Data Entry'!$Ø$137)</f>
      </c>
      <c r="EW137">
        <f>IF(ISBLANK('Data Entry'!$Ù$137), "", 'Data Entry'!$Ù$137)</f>
      </c>
      <c r="EX137">
        <f>IF(ISBLANK('Data Entry'!$Ú$137), "", 'Data Entry'!$Ú$137)</f>
      </c>
      <c r="EY137">
        <f>IF(ISBLANK('Data Entry'!$Û$137), "", 'Data Entry'!$Û$137)</f>
      </c>
      <c r="EZ137">
        <f>IF(ISBLANK('Data Entry'!$Ü$137), "", 'Data Entry'!$Ü$137)</f>
      </c>
      <c r="FA137">
        <f>IF(ISBLANK('Data Entry'!$Ý$137), "", 'Data Entry'!$Ý$137)</f>
      </c>
      <c r="FB137">
        <f>IF(ISBLANK('Data Entry'!$Þ$137), "", 'Data Entry'!$Þ$137)</f>
      </c>
      <c r="FC137">
        <f>IF(ISBLANK('Data Entry'!$ß$137), "", 'Data Entry'!$ß$137)</f>
      </c>
      <c r="FD137">
        <f>IF(ISBLANK('Data Entry'!$à$137), "", 'Data Entry'!$à$137)</f>
      </c>
      <c r="FE137">
        <f>IF(ISBLANK('Data Entry'!$á$137), "", 'Data Entry'!$á$137)</f>
      </c>
      <c r="FF137">
        <f>IF(ISBLANK('Data Entry'!$â$137), "", 'Data Entry'!$â$137)</f>
      </c>
      <c r="FG137">
        <f>IF(ISBLANK('Data Entry'!$ã$137), "", 'Data Entry'!$ã$137)</f>
      </c>
      <c r="FH137">
        <f>IF(ISBLANK('Data Entry'!$ä$137), "", 'Data Entry'!$ä$137)</f>
      </c>
      <c r="FI137">
        <f>IF(ISBLANK('Data Entry'!$å$137), "", 'Data Entry'!$å$137)</f>
      </c>
      <c r="FJ137">
        <f>IF(ISBLANK('Data Entry'!$æ$137), "", 'Data Entry'!$æ$137)</f>
      </c>
      <c r="FK137">
        <f>IF(ISBLANK('Data Entry'!$ç$137), "", 'Data Entry'!$ç$137)</f>
      </c>
      <c r="FL137">
        <f>IF(ISBLANK('Data Entry'!$è$137), "", 'Data Entry'!$è$137)</f>
      </c>
      <c r="FM137">
        <f>IF(ISBLANK('Data Entry'!$é$137), "", 'Data Entry'!$é$137)</f>
      </c>
      <c r="FN137">
        <f>IF(ISBLANK('Data Entry'!$ê$137), "", 'Data Entry'!$ê$137)</f>
      </c>
      <c r="FO137">
        <f>IF(ISBLANK('Data Entry'!$ë$137), "", 'Data Entry'!$ë$137)</f>
      </c>
      <c r="FP137">
        <f>IF(ISBLANK('Data Entry'!$ì$137), "", 'Data Entry'!$ì$137)</f>
      </c>
      <c r="FQ137">
        <f>IF(ISBLANK('Data Entry'!$í$137), "", 'Data Entry'!$í$137)</f>
      </c>
      <c r="FR137">
        <f>IF(ISBLANK('Data Entry'!$î$137), "", 'Data Entry'!$î$137)</f>
      </c>
      <c r="FS137">
        <f>IF(ISBLANK('Data Entry'!$ï$137), "", 'Data Entry'!$ï$137)</f>
      </c>
      <c r="FT137">
        <f>IF(ISBLANK('Data Entry'!$ð$137), "", 'Data Entry'!$ð$137)</f>
      </c>
      <c r="FU137">
        <f>IF(ISBLANK('Data Entry'!$ñ$137), "", 'Data Entry'!$ñ$137)</f>
      </c>
      <c r="FV137">
        <f>IF(ISBLANK('Data Entry'!$ò$137), "", 'Data Entry'!$ò$137)</f>
      </c>
      <c r="FW137">
        <f>IF(ISBLANK('Data Entry'!$ó$137), "", 'Data Entry'!$ó$137)</f>
      </c>
      <c r="FX137">
        <f>IF(ISBLANK('Data Entry'!$ô$137), "", 'Data Entry'!$ô$137)</f>
      </c>
      <c r="FY137">
        <f>IF(ISBLANK('Data Entry'!$õ$137), "", 'Data Entry'!$õ$137)</f>
      </c>
      <c r="FZ137">
        <f>IF(ISBLANK('Data Entry'!$ö$137), "", 'Data Entry'!$ö$137)</f>
      </c>
      <c r="GA137">
        <f>IF(ISBLANK('Data Entry'!$÷$137), "", 'Data Entry'!$÷$137)</f>
      </c>
      <c r="GB137">
        <f>IF(ISBLANK('Data Entry'!$ø$137), "", 'Data Entry'!$ø$137)</f>
      </c>
      <c r="GC137">
        <f>IF(ISBLANK('Data Entry'!$ù$137), "", 'Data Entry'!$ù$137)</f>
      </c>
      <c r="GD137">
        <f>IF(ISBLANK('Data Entry'!$ú$137), "", 'Data Entry'!$ú$137)</f>
      </c>
      <c r="GE137">
        <f>IF(ISBLANK('Data Entry'!$û$137), "", 'Data Entry'!$û$137)</f>
      </c>
      <c r="GF137">
        <f>IF(ISBLANK('Data Entry'!$ü$137), "", 'Data Entry'!$ü$137)</f>
      </c>
      <c r="GG137">
        <f>IF(ISBLANK('Data Entry'!$ý$137), "", 'Data Entry'!$ý$137)</f>
      </c>
      <c r="GH137">
        <f>IF(ISBLANK('Data Entry'!$þ$137), "", 'Data Entry'!$þ$137)</f>
      </c>
      <c r="GI137">
        <f>IF(ISBLANK('Data Entry'!$ÿ$137), "", 'Data Entry'!$ÿ$137)</f>
      </c>
      <c r="GJ137">
        <f>IF(ISBLANK('Data Entry'!$Ā$137), "", 'Data Entry'!$Ā$137)</f>
      </c>
      <c r="GK137">
        <f>IF(ISBLANK('Data Entry'!$ā$137), "", 'Data Entry'!$ā$137)</f>
      </c>
      <c r="GL137">
        <f>IF(ISBLANK('Data Entry'!$Ă$137), "", 'Data Entry'!$Ă$137)</f>
      </c>
      <c r="GM137">
        <f>IF(ISBLANK('Data Entry'!$ă$137), "", 'Data Entry'!$ă$137)</f>
      </c>
      <c r="GN137">
        <f>IF(ISBLANK('Data Entry'!$Ą$137), "", 'Data Entry'!$Ą$137)</f>
      </c>
      <c r="GO137">
        <f>IF(ISBLANK('Data Entry'!$ą$137), "", 'Data Entry'!$ą$137)</f>
      </c>
      <c r="GP137">
        <f>IF(ISBLANK('Data Entry'!$Ć$137), "", 'Data Entry'!$Ć$137)</f>
      </c>
      <c r="GQ137">
        <f>IF(ISBLANK('Data Entry'!$ć$137), "", 'Data Entry'!$ć$137)</f>
      </c>
      <c r="GR137">
        <f>IF(ISBLANK('Data Entry'!$Ĉ$137), "", 'Data Entry'!$Ĉ$137)</f>
      </c>
      <c r="GS137">
        <f>IF(ISBLANK('Data Entry'!$ĉ$137), "", 'Data Entry'!$ĉ$137)</f>
      </c>
      <c r="GT137">
        <f>IF(ISBLANK('Data Entry'!$Ċ$137), "", 'Data Entry'!$Ċ$137)</f>
      </c>
      <c r="GU137">
        <f>IF(ISBLANK('Data Entry'!$ċ$137), "", 'Data Entry'!$ċ$137)</f>
      </c>
      <c r="GV137">
        <f>IF(ISBLANK('Data Entry'!$Č$137), "", 'Data Entry'!$Č$137)</f>
      </c>
      <c r="GW137">
        <f>IF(ISBLANK('Data Entry'!$č$137), "", 'Data Entry'!$č$137)</f>
      </c>
      <c r="GX137">
        <f>IF(ISBLANK('Data Entry'!$Ď$137), "", 'Data Entry'!$Ď$137)</f>
      </c>
      <c r="GY137">
        <f>IF(ISBLANK('Data Entry'!$ď$137), "", 'Data Entry'!$ď$137)</f>
      </c>
      <c r="GZ137">
        <f>IF(ISBLANK('Data Entry'!$Đ$137), "", 'Data Entry'!$Đ$137)</f>
      </c>
      <c r="HA137">
        <f>IF(ISBLANK('Data Entry'!$đ$137), "", 'Data Entry'!$đ$137)</f>
      </c>
      <c r="HB137">
        <f>IF(ISBLANK('Data Entry'!$Ē$137), "", 'Data Entry'!$Ē$137)</f>
      </c>
      <c r="HC137">
        <f>IF(ISBLANK('Data Entry'!$ē$137), "", 'Data Entry'!$ē$137)</f>
      </c>
      <c r="HD137">
        <f>IF(ISBLANK('Data Entry'!$Ĕ$137), "", 'Data Entry'!$Ĕ$137)</f>
      </c>
      <c r="HE137">
        <f>IF(ISBLANK('Data Entry'!$ĕ$137), "", 'Data Entry'!$ĕ$137)</f>
      </c>
      <c r="HF137">
        <f>IF(ISBLANK('Data Entry'!$Ė$137), "", 'Data Entry'!$Ė$137)</f>
      </c>
      <c r="HG137">
        <f>IF(ISBLANK('Data Entry'!$ė$137), "", 'Data Entry'!$ė$137)</f>
      </c>
      <c r="HH137">
        <f>IF(ISBLANK('Data Entry'!$Ę$137), "", 'Data Entry'!$Ę$137)</f>
      </c>
      <c r="HI137">
        <f>IF(ISBLANK('Data Entry'!$ę$137), "", 'Data Entry'!$ę$137)</f>
      </c>
      <c r="HJ137">
        <f>IF(ISBLANK('Data Entry'!$Ě$137), "", 'Data Entry'!$Ě$137)</f>
      </c>
      <c r="HK137">
        <f>IF(ISBLANK('Data Entry'!$ě$137), "", 'Data Entry'!$ě$137)</f>
      </c>
      <c r="HL137">
        <f>IF(ISBLANK('Data Entry'!$Ĝ$137), "", 'Data Entry'!$Ĝ$137)</f>
      </c>
      <c r="HM137">
        <f>IF(ISBLANK('Data Entry'!$ĝ$137), "", 'Data Entry'!$ĝ$137)</f>
      </c>
      <c r="HN137">
        <f>IF(ISBLANK('Data Entry'!$Ğ$137), "", 'Data Entry'!$Ğ$137)</f>
      </c>
      <c r="HO137">
        <f>IF(ISBLANK('Data Entry'!$ğ$137), "", 'Data Entry'!$ğ$137)</f>
      </c>
      <c r="HP137">
        <f>IF(ISBLANK('Data Entry'!$Ġ$137), "", 'Data Entry'!$Ġ$137)</f>
      </c>
      <c r="HQ137">
        <f>IF(ISBLANK('Data Entry'!$ġ$137), "", 'Data Entry'!$ġ$137)</f>
      </c>
      <c r="HR137">
        <f>IF(ISBLANK('Data Entry'!$Ģ$137), "", 'Data Entry'!$Ģ$137)</f>
      </c>
      <c r="HS137">
        <f>IF(ISBLANK('Data Entry'!$ģ$137), "", 'Data Entry'!$ģ$137)</f>
      </c>
      <c r="HT137">
        <f>IF(ISBLANK('Data Entry'!$Ĥ$137), "", 'Data Entry'!$Ĥ$137)</f>
      </c>
      <c r="HU137">
        <f>IF(ISBLANK('Data Entry'!$ĥ$137), "", 'Data Entry'!$ĥ$137)</f>
      </c>
      <c r="HV137">
        <f>IF(ISBLANK('Data Entry'!$Ħ$137), "", 'Data Entry'!$Ħ$137)</f>
      </c>
      <c r="HW137">
        <f>IF(ISBLANK('Data Entry'!$ħ$137), "", 'Data Entry'!$ħ$137)</f>
      </c>
      <c r="HX137">
        <f>IF(ISBLANK('Data Entry'!$Ĩ$137), "", 'Data Entry'!$Ĩ$137)</f>
      </c>
      <c r="HY137">
        <f>IF(ISBLANK('Data Entry'!$ĩ$137), "", 'Data Entry'!$ĩ$137)</f>
      </c>
      <c r="HZ137">
        <f>IF(ISBLANK('Data Entry'!$Ī$137), "", 'Data Entry'!$Ī$137)</f>
      </c>
      <c r="IA137">
        <f>IF(ISBLANK('Data Entry'!$ī$137), "", 'Data Entry'!$ī$137)</f>
      </c>
      <c r="IB137">
        <f>IF(ISBLANK('Data Entry'!$Ĭ$137), "", 'Data Entry'!$Ĭ$137)</f>
      </c>
      <c r="IC137">
        <f>IF(ISBLANK('Data Entry'!$ĭ$137), "", 'Data Entry'!$ĭ$137)</f>
      </c>
      <c r="ID137">
        <f>IF(ISBLANK('Data Entry'!$Į$137), "", 'Data Entry'!$Į$137)</f>
      </c>
      <c r="IE137">
        <f>IF(ISBLANK('Data Entry'!$į$137), "", 'Data Entry'!$į$137)</f>
      </c>
      <c r="IF137">
        <f>IF(ISBLANK('Data Entry'!$İ$137), "", 'Data Entry'!$İ$137)</f>
      </c>
      <c r="IG137">
        <f>IF(ISBLANK('Data Entry'!$ı$137), "", 'Data Entry'!$ı$137)</f>
      </c>
      <c r="IH137">
        <f>IF(ISBLANK('Data Entry'!$Ĳ$137), "", 'Data Entry'!$Ĳ$137)</f>
      </c>
      <c r="II137">
        <f>IF(ISBLANK('Data Entry'!$ĳ$137), "", 'Data Entry'!$ĳ$137)</f>
      </c>
      <c r="IJ137">
        <f>IF(ISBLANK('Data Entry'!$Ĵ$137), "", 'Data Entry'!$Ĵ$137)</f>
      </c>
      <c r="IK137">
        <f>IF(ISBLANK('Data Entry'!$ĵ$137), "", 'Data Entry'!$ĵ$137)</f>
      </c>
      <c r="IL137">
        <f>IF(ISBLANK('Data Entry'!$Ķ$137), "", 'Data Entry'!$Ķ$137)</f>
      </c>
      <c r="IM137">
        <f>IF(ISBLANK('Data Entry'!$ķ$137), "", 'Data Entry'!$ķ$137)</f>
      </c>
      <c r="IN137">
        <f>IF(ISBLANK('Data Entry'!$ĸ$137), "", 'Data Entry'!$ĸ$137)</f>
      </c>
      <c r="IO137">
        <f>IF(ISBLANK('Data Entry'!$Ĺ$137), "", 'Data Entry'!$Ĺ$137)</f>
      </c>
      <c r="IP137">
        <f>IF(ISBLANK('Data Entry'!$ĺ$137), "", 'Data Entry'!$ĺ$137)</f>
      </c>
      <c r="IQ137">
        <f>IF(ISBLANK('Data Entry'!$Ļ$137), "", 'Data Entry'!$Ļ$137)</f>
      </c>
      <c r="IR137">
        <f>IF(ISBLANK('Data Entry'!$ļ$137), "", 'Data Entry'!$ļ$137)</f>
      </c>
      <c r="IS137">
        <f>IF(ISBLANK('Data Entry'!$Ľ$137), "", 'Data Entry'!$Ľ$137)</f>
      </c>
      <c r="IT137">
        <f>IF(ISBLANK('Data Entry'!$ľ$137), "", 'Data Entry'!$ľ$137)</f>
      </c>
    </row>
    <row r="138" spans="1:254" x14ac:dyDescent="0.25">
      <c r="A138">
        <f>IF(ISBLANK('Data Entry'!$A$138), "", 'Data Entry'!$A$138)</f>
      </c>
      <c r="B138">
        <f>IF(ISBLANK('Data Entry'!$B$138), "", 'Data Entry'!$B$138)</f>
      </c>
      <c r="C138">
        <f>IF(ISBLANK('Data Entry'!$C$138), "", 'Data Entry'!$C$138)</f>
      </c>
      <c r="D138">
        <f>IF(ISBLANK('Data Entry'!$D$138), "", 'Data Entry'!$D$138)</f>
      </c>
      <c r="E138">
        <f>IF(ISBLANK('Data Entry'!$E$138), "", 'Data Entry'!$E$138)</f>
      </c>
      <c r="F138">
        <f>IF(ISBLANK('Data Entry'!$F$138), "", 'Data Entry'!$F$138)</f>
      </c>
      <c r="G138">
        <f>IF(ISBLANK('Data Entry'!$G$138), "", 'Data Entry'!$G$138)</f>
      </c>
      <c r="H138">
        <f>IF(ISBLANK('Data Entry'!$H$138), "", 'Data Entry'!$H$138)</f>
      </c>
      <c r="I138">
        <f>IF(ISBLANK('Data Entry'!$I$138), "", 'Data Entry'!$I$138)</f>
      </c>
      <c r="J138">
        <f>IF(ISBLANK('Data Entry'!$J$138), "", 'Data Entry'!$J$138)</f>
      </c>
      <c r="K138">
        <f>IF(ISBLANK('Data Entry'!$K$138), "", 'Data Entry'!$K$138)</f>
      </c>
      <c r="L138">
        <f>IF(ISBLANK('Data Entry'!$L$138), "", 'Data Entry'!$L$138)</f>
      </c>
      <c r="M138">
        <f>IF(ISBLANK('Data Entry'!$M$138), "", 'Data Entry'!$M$138)</f>
      </c>
      <c r="N138">
        <f>IF(ISBLANK('Data Entry'!$N$138), "", 'Data Entry'!$N$138)</f>
      </c>
      <c r="O138">
        <f>IF(ISBLANK('Data Entry'!$O$138), "", 'Data Entry'!$O$138)</f>
      </c>
      <c r="P138">
        <f>IF(ISBLANK('Data Entry'!$P$138), "", 'Data Entry'!$P$138)</f>
      </c>
      <c r="Q138">
        <f>IF(ISBLANK('Data Entry'!$Q$138), "", 'Data Entry'!$Q$138)</f>
      </c>
      <c r="R138">
        <f>IF(ISBLANK('Data Entry'!$R$138), "", 'Data Entry'!$R$138)</f>
      </c>
      <c r="S138">
        <f>IF(ISBLANK('Data Entry'!$S$138), "", 'Data Entry'!$S$138)</f>
      </c>
      <c r="T138">
        <f>IF(ISBLANK('Data Entry'!$T$138), "", 'Data Entry'!$T$138)</f>
      </c>
      <c r="U138">
        <f>IF(ISBLANK('Data Entry'!$U$138), "", 'Data Entry'!$U$138)</f>
      </c>
      <c r="V138">
        <f>IF(ISBLANK('Data Entry'!$V$138), "", 'Data Entry'!$V$138)</f>
      </c>
      <c r="W138">
        <f>IF(ISBLANK('Data Entry'!$W$138), "", 'Data Entry'!$W$138)</f>
      </c>
      <c r="X138">
        <f>IF(ISBLANK('Data Entry'!$X$138), "", 'Data Entry'!$X$138)</f>
      </c>
      <c r="Y138">
        <f>IF(ISBLANK('Data Entry'!$Y$138), "", 'Data Entry'!$Y$138)</f>
      </c>
      <c r="Z138">
        <f>IF(ISBLANK('Data Entry'!$Z$138), "", 'Data Entry'!$Z$138)</f>
      </c>
      <c r="AA138">
        <f>IF(ISBLANK('Data Entry'!$[$138), "", 'Data Entry'!$[$138)</f>
      </c>
      <c r="AB138">
        <f>IF(ISBLANK('Data Entry'!$\$138), "", 'Data Entry'!$\$138)</f>
      </c>
      <c r="AC138">
        <f>IF(ISBLANK('Data Entry'!$]$138), "", 'Data Entry'!$]$138)</f>
      </c>
      <c r="AD138">
        <f>IF(ISBLANK('Data Entry'!$^$138), "", 'Data Entry'!$^$138)</f>
      </c>
      <c r="AE138">
        <f>IF(ISBLANK('Data Entry'!$_$138), "", 'Data Entry'!$_$138)</f>
      </c>
      <c r="AF138">
        <f>IF(ISBLANK('Data Entry'!$`$138), "", 'Data Entry'!$`$138)</f>
      </c>
      <c r="AG138">
        <f>IF(ISBLANK('Data Entry'!$a$138), "", 'Data Entry'!$a$138)</f>
      </c>
      <c r="AH138">
        <f>IF(ISBLANK('Data Entry'!$b$138), "", 'Data Entry'!$b$138)</f>
      </c>
      <c r="AI138">
        <f>IF(ISBLANK('Data Entry'!$c$138), "", 'Data Entry'!$c$138)</f>
      </c>
      <c r="AJ138">
        <f>IF(ISBLANK('Data Entry'!$d$138), "", 'Data Entry'!$d$138)</f>
      </c>
      <c r="AK138">
        <f>IF(ISBLANK('Data Entry'!$e$138), "", 'Data Entry'!$e$138)</f>
      </c>
      <c r="AL138">
        <f>IF(ISBLANK('Data Entry'!$f$138), "", 'Data Entry'!$f$138)</f>
      </c>
      <c r="AM138">
        <f>IF(ISBLANK('Data Entry'!$g$138), "", 'Data Entry'!$g$138)</f>
      </c>
      <c r="AN138">
        <f>IF(ISBLANK('Data Entry'!$h$138), "", 'Data Entry'!$h$138)</f>
      </c>
      <c r="AO138">
        <f>IF(ISBLANK('Data Entry'!$i$138), "", 'Data Entry'!$i$138)</f>
      </c>
      <c r="AP138">
        <f>IF(ISBLANK('Data Entry'!$j$138), "", 'Data Entry'!$j$138)</f>
      </c>
      <c r="AQ138">
        <f>IF(ISBLANK('Data Entry'!$k$138), "", 'Data Entry'!$k$138)</f>
      </c>
      <c r="AR138">
        <f>IF(ISBLANK('Data Entry'!$l$138), "", 'Data Entry'!$l$138)</f>
      </c>
      <c r="AS138">
        <f>IF(ISBLANK('Data Entry'!$m$138), "", 'Data Entry'!$m$138)</f>
      </c>
      <c r="AT138">
        <f>IF(ISBLANK('Data Entry'!$n$138), "", 'Data Entry'!$n$138)</f>
      </c>
      <c r="AU138">
        <f>IF(ISBLANK('Data Entry'!$o$138), "", 'Data Entry'!$o$138)</f>
      </c>
      <c r="AV138">
        <f>IF(ISBLANK('Data Entry'!$p$138), "", 'Data Entry'!$p$138)</f>
      </c>
      <c r="AW138">
        <f>IF(ISBLANK('Data Entry'!$q$138), "", 'Data Entry'!$q$138)</f>
      </c>
      <c r="AX138">
        <f>IF(ISBLANK('Data Entry'!$r$138), "", 'Data Entry'!$r$138)</f>
      </c>
      <c r="AY138">
        <f>IF(ISBLANK('Data Entry'!$s$138), "", 'Data Entry'!$s$138)</f>
      </c>
      <c r="AZ138">
        <f>IF(ISBLANK('Data Entry'!$t$138), "", 'Data Entry'!$t$138)</f>
      </c>
      <c r="BA138">
        <f>IF(ISBLANK('Data Entry'!$u$138), "", 'Data Entry'!$u$138)</f>
      </c>
      <c r="BB138">
        <f>IF(ISBLANK('Data Entry'!$v$138), "", 'Data Entry'!$v$138)</f>
      </c>
      <c r="BC138">
        <f>IF(ISBLANK('Data Entry'!$w$138), "", 'Data Entry'!$w$138)</f>
      </c>
      <c r="BD138">
        <f>IF(ISBLANK('Data Entry'!$x$138), "", 'Data Entry'!$x$138)</f>
      </c>
      <c r="BE138">
        <f>IF(ISBLANK('Data Entry'!$y$138), "", 'Data Entry'!$y$138)</f>
      </c>
      <c r="BF138">
        <f>IF(ISBLANK('Data Entry'!$z$138), "", 'Data Entry'!$z$138)</f>
      </c>
      <c r="BG138">
        <f>IF(ISBLANK('Data Entry'!${$138), "", 'Data Entry'!${$138)</f>
      </c>
      <c r="BH138">
        <f>IF(ISBLANK('Data Entry'!$|$138), "", 'Data Entry'!$|$138)</f>
      </c>
      <c r="BI138">
        <f>IF(ISBLANK('Data Entry'!$}$138), "", 'Data Entry'!$}$138)</f>
      </c>
      <c r="BJ138">
        <f>IF(ISBLANK('Data Entry'!$~$138), "", 'Data Entry'!$~$138)</f>
      </c>
      <c r="BK138">
        <f>IF(ISBLANK('Data Entry'!$$138), "", 'Data Entry'!$$138)</f>
      </c>
      <c r="BL138">
        <f>IF(ISBLANK('Data Entry'!$$138), "", 'Data Entry'!$$138)</f>
      </c>
      <c r="BM138">
        <f>IF(ISBLANK('Data Entry'!$$138), "", 'Data Entry'!$$138)</f>
      </c>
      <c r="BN138">
        <f>IF(ISBLANK('Data Entry'!$$138), "", 'Data Entry'!$$138)</f>
      </c>
      <c r="BO138">
        <f>IF(ISBLANK('Data Entry'!$$138), "", 'Data Entry'!$$138)</f>
      </c>
      <c r="BP138">
        <f>IF(ISBLANK('Data Entry'!$$138), "", 'Data Entry'!$$138)</f>
      </c>
      <c r="BQ138">
        <f>IF(ISBLANK('Data Entry'!$$138), "", 'Data Entry'!$$138)</f>
      </c>
      <c r="BR138">
        <f>IF(ISBLANK('Data Entry'!$$138), "", 'Data Entry'!$$138)</f>
      </c>
      <c r="BS138">
        <f>IF(ISBLANK('Data Entry'!$$138), "", 'Data Entry'!$$138)</f>
      </c>
      <c r="BT138">
        <f>IF(ISBLANK('Data Entry'!$$138), "", 'Data Entry'!$$138)</f>
      </c>
      <c r="BU138">
        <f>IF(ISBLANK('Data Entry'!$$138), "", 'Data Entry'!$$138)</f>
      </c>
      <c r="BV138">
        <f>IF(ISBLANK('Data Entry'!$$138), "", 'Data Entry'!$$138)</f>
      </c>
      <c r="BW138">
        <f>IF(ISBLANK('Data Entry'!$$138), "", 'Data Entry'!$$138)</f>
      </c>
      <c r="BX138">
        <f>IF(ISBLANK('Data Entry'!$$138), "", 'Data Entry'!$$138)</f>
      </c>
      <c r="BY138">
        <f>IF(ISBLANK('Data Entry'!$$138), "", 'Data Entry'!$$138)</f>
      </c>
      <c r="BZ138">
        <f>IF(ISBLANK('Data Entry'!$$138), "", 'Data Entry'!$$138)</f>
      </c>
      <c r="CA138">
        <f>IF(ISBLANK('Data Entry'!$$138), "", 'Data Entry'!$$138)</f>
      </c>
      <c r="CB138">
        <f>IF(ISBLANK('Data Entry'!$$138), "", 'Data Entry'!$$138)</f>
      </c>
      <c r="CC138">
        <f>IF(ISBLANK('Data Entry'!$$138), "", 'Data Entry'!$$138)</f>
      </c>
      <c r="CD138">
        <f>IF(ISBLANK('Data Entry'!$$138), "", 'Data Entry'!$$138)</f>
      </c>
      <c r="CE138">
        <f>IF(ISBLANK('Data Entry'!$$138), "", 'Data Entry'!$$138)</f>
      </c>
      <c r="CF138">
        <f>IF(ISBLANK('Data Entry'!$$138), "", 'Data Entry'!$$138)</f>
      </c>
      <c r="CG138">
        <f>IF(ISBLANK('Data Entry'!$$138), "", 'Data Entry'!$$138)</f>
      </c>
      <c r="CH138">
        <f>IF(ISBLANK('Data Entry'!$$138), "", 'Data Entry'!$$138)</f>
      </c>
      <c r="CI138">
        <f>IF(ISBLANK('Data Entry'!$$138), "", 'Data Entry'!$$138)</f>
      </c>
      <c r="CJ138">
        <f>IF(ISBLANK('Data Entry'!$$138), "", 'Data Entry'!$$138)</f>
      </c>
      <c r="CK138">
        <f>IF(ISBLANK('Data Entry'!$$138), "", 'Data Entry'!$$138)</f>
      </c>
      <c r="CL138">
        <f>IF(ISBLANK('Data Entry'!$$138), "", 'Data Entry'!$$138)</f>
      </c>
      <c r="CM138">
        <f>IF(ISBLANK('Data Entry'!$$138), "", 'Data Entry'!$$138)</f>
      </c>
      <c r="CN138">
        <f>IF(ISBLANK('Data Entry'!$$138), "", 'Data Entry'!$$138)</f>
      </c>
      <c r="CO138">
        <f>IF(ISBLANK('Data Entry'!$$138), "", 'Data Entry'!$$138)</f>
      </c>
      <c r="CP138">
        <f>IF(ISBLANK('Data Entry'!$$138), "", 'Data Entry'!$$138)</f>
      </c>
      <c r="CQ138">
        <f>IF(ISBLANK('Data Entry'!$$138), "", 'Data Entry'!$$138)</f>
      </c>
      <c r="CR138">
        <f>IF(ISBLANK('Data Entry'!$ $138), "", 'Data Entry'!$ $138)</f>
      </c>
      <c r="CS138">
        <f>IF(ISBLANK('Data Entry'!$¡$138), "", 'Data Entry'!$¡$138)</f>
      </c>
      <c r="CT138">
        <f>IF(ISBLANK('Data Entry'!$¢$138), "", 'Data Entry'!$¢$138)</f>
      </c>
      <c r="CU138">
        <f>IF(ISBLANK('Data Entry'!$£$138), "", 'Data Entry'!$£$138)</f>
      </c>
      <c r="CV138">
        <f>IF(ISBLANK('Data Entry'!$¤$138), "", 'Data Entry'!$¤$138)</f>
      </c>
      <c r="CW138">
        <f>IF(ISBLANK('Data Entry'!$¥$138), "", 'Data Entry'!$¥$138)</f>
      </c>
      <c r="CX138">
        <f>IF(ISBLANK('Data Entry'!$¦$138), "", 'Data Entry'!$¦$138)</f>
      </c>
      <c r="CY138">
        <f>IF(ISBLANK('Data Entry'!$§$138), "", 'Data Entry'!$§$138)</f>
      </c>
      <c r="CZ138">
        <f>IF(ISBLANK('Data Entry'!$¨$138), "", 'Data Entry'!$¨$138)</f>
      </c>
      <c r="DA138">
        <f>IF(ISBLANK('Data Entry'!$©$138), "", 'Data Entry'!$©$138)</f>
      </c>
      <c r="DB138">
        <f>IF(ISBLANK('Data Entry'!$ª$138), "", 'Data Entry'!$ª$138)</f>
      </c>
      <c r="DC138">
        <f>IF(ISBLANK('Data Entry'!$«$138), "", 'Data Entry'!$«$138)</f>
      </c>
      <c r="DD138">
        <f>IF(ISBLANK('Data Entry'!$¬$138), "", 'Data Entry'!$¬$138)</f>
      </c>
      <c r="DE138">
        <f>IF(ISBLANK('Data Entry'!$­$138), "", 'Data Entry'!$­$138)</f>
      </c>
      <c r="DF138">
        <f>IF(ISBLANK('Data Entry'!$®$138), "", 'Data Entry'!$®$138)</f>
      </c>
      <c r="DG138">
        <f>IF(ISBLANK('Data Entry'!$¯$138), "", 'Data Entry'!$¯$138)</f>
      </c>
      <c r="DH138">
        <f>IF(ISBLANK('Data Entry'!$°$138), "", 'Data Entry'!$°$138)</f>
      </c>
      <c r="DI138">
        <f>IF(ISBLANK('Data Entry'!$±$138), "", 'Data Entry'!$±$138)</f>
      </c>
      <c r="DJ138">
        <f>IF(ISBLANK('Data Entry'!$²$138), "", 'Data Entry'!$²$138)</f>
      </c>
      <c r="DK138">
        <f>IF(ISBLANK('Data Entry'!$³$138), "", 'Data Entry'!$³$138)</f>
      </c>
      <c r="DL138">
        <f>IF(ISBLANK('Data Entry'!$´$138), "", 'Data Entry'!$´$138)</f>
      </c>
      <c r="DM138">
        <f>IF(ISBLANK('Data Entry'!$µ$138), "", 'Data Entry'!$µ$138)</f>
      </c>
      <c r="DN138">
        <f>IF(ISBLANK('Data Entry'!$¶$138), "", 'Data Entry'!$¶$138)</f>
      </c>
      <c r="DO138">
        <f>IF(ISBLANK('Data Entry'!$·$138), "", 'Data Entry'!$·$138)</f>
      </c>
      <c r="DP138">
        <f>IF(ISBLANK('Data Entry'!$¸$138), "", 'Data Entry'!$¸$138)</f>
      </c>
      <c r="DQ138">
        <f>IF(ISBLANK('Data Entry'!$¹$138), "", 'Data Entry'!$¹$138)</f>
      </c>
      <c r="DR138">
        <f>IF(ISBLANK('Data Entry'!$º$138), "", 'Data Entry'!$º$138)</f>
      </c>
      <c r="DS138">
        <f>IF(ISBLANK('Data Entry'!$»$138), "", 'Data Entry'!$»$138)</f>
      </c>
      <c r="DT138">
        <f>IF(ISBLANK('Data Entry'!$¼$138), "", 'Data Entry'!$¼$138)</f>
      </c>
      <c r="DU138">
        <f>IF(ISBLANK('Data Entry'!$½$138), "", 'Data Entry'!$½$138)</f>
      </c>
      <c r="DV138">
        <f>IF(ISBLANK('Data Entry'!$¾$138), "", 'Data Entry'!$¾$138)</f>
      </c>
      <c r="DW138">
        <f>IF(ISBLANK('Data Entry'!$¿$138), "", 'Data Entry'!$¿$138)</f>
      </c>
      <c r="DX138">
        <f>IF(ISBLANK('Data Entry'!$À$138), "", 'Data Entry'!$À$138)</f>
      </c>
      <c r="DY138">
        <f>IF(ISBLANK('Data Entry'!$Á$138), "", 'Data Entry'!$Á$138)</f>
      </c>
      <c r="DZ138">
        <f>IF(ISBLANK('Data Entry'!$Â$138), "", 'Data Entry'!$Â$138)</f>
      </c>
      <c r="EA138">
        <f>IF(ISBLANK('Data Entry'!$Ã$138), "", 'Data Entry'!$Ã$138)</f>
      </c>
      <c r="EB138">
        <f>IF(ISBLANK('Data Entry'!$Ä$138), "", 'Data Entry'!$Ä$138)</f>
      </c>
      <c r="EC138">
        <f>IF(ISBLANK('Data Entry'!$Å$138), "", 'Data Entry'!$Å$138)</f>
      </c>
      <c r="ED138">
        <f>IF(ISBLANK('Data Entry'!$Æ$138), "", 'Data Entry'!$Æ$138)</f>
      </c>
      <c r="EE138">
        <f>IF(ISBLANK('Data Entry'!$Ç$138), "", 'Data Entry'!$Ç$138)</f>
      </c>
      <c r="EF138">
        <f>IF(ISBLANK('Data Entry'!$È$138), "", 'Data Entry'!$È$138)</f>
      </c>
      <c r="EG138">
        <f>IF(ISBLANK('Data Entry'!$É$138), "", 'Data Entry'!$É$138)</f>
      </c>
      <c r="EH138">
        <f>IF(ISBLANK('Data Entry'!$Ê$138), "", 'Data Entry'!$Ê$138)</f>
      </c>
      <c r="EI138">
        <f>IF(ISBLANK('Data Entry'!$Ë$138), "", 'Data Entry'!$Ë$138)</f>
      </c>
      <c r="EJ138">
        <f>IF(ISBLANK('Data Entry'!$Ì$138), "", 'Data Entry'!$Ì$138)</f>
      </c>
      <c r="EK138">
        <f>IF(ISBLANK('Data Entry'!$Í$138), "", 'Data Entry'!$Í$138)</f>
      </c>
      <c r="EL138">
        <f>IF(ISBLANK('Data Entry'!$Î$138), "", 'Data Entry'!$Î$138)</f>
      </c>
      <c r="EM138">
        <f>IF(ISBLANK('Data Entry'!$Ï$138), "", 'Data Entry'!$Ï$138)</f>
      </c>
      <c r="EN138">
        <f>IF(ISBLANK('Data Entry'!$Ð$138), "", 'Data Entry'!$Ð$138)</f>
      </c>
      <c r="EO138">
        <f>IF(ISBLANK('Data Entry'!$Ñ$138), "", 'Data Entry'!$Ñ$138)</f>
      </c>
      <c r="EP138">
        <f>IF(ISBLANK('Data Entry'!$Ò$138), "", 'Data Entry'!$Ò$138)</f>
      </c>
      <c r="EQ138">
        <f>IF(ISBLANK('Data Entry'!$Ó$138), "", 'Data Entry'!$Ó$138)</f>
      </c>
      <c r="ER138">
        <f>IF(ISBLANK('Data Entry'!$Ô$138), "", 'Data Entry'!$Ô$138)</f>
      </c>
      <c r="ES138">
        <f>IF(ISBLANK('Data Entry'!$Õ$138), "", 'Data Entry'!$Õ$138)</f>
      </c>
      <c r="ET138">
        <f>IF(ISBLANK('Data Entry'!$Ö$138), "", 'Data Entry'!$Ö$138)</f>
      </c>
      <c r="EU138">
        <f>IF(ISBLANK('Data Entry'!$×$138), "", 'Data Entry'!$×$138)</f>
      </c>
      <c r="EV138">
        <f>IF(ISBLANK('Data Entry'!$Ø$138), "", 'Data Entry'!$Ø$138)</f>
      </c>
      <c r="EW138">
        <f>IF(ISBLANK('Data Entry'!$Ù$138), "", 'Data Entry'!$Ù$138)</f>
      </c>
      <c r="EX138">
        <f>IF(ISBLANK('Data Entry'!$Ú$138), "", 'Data Entry'!$Ú$138)</f>
      </c>
      <c r="EY138">
        <f>IF(ISBLANK('Data Entry'!$Û$138), "", 'Data Entry'!$Û$138)</f>
      </c>
      <c r="EZ138">
        <f>IF(ISBLANK('Data Entry'!$Ü$138), "", 'Data Entry'!$Ü$138)</f>
      </c>
      <c r="FA138">
        <f>IF(ISBLANK('Data Entry'!$Ý$138), "", 'Data Entry'!$Ý$138)</f>
      </c>
      <c r="FB138">
        <f>IF(ISBLANK('Data Entry'!$Þ$138), "", 'Data Entry'!$Þ$138)</f>
      </c>
      <c r="FC138">
        <f>IF(ISBLANK('Data Entry'!$ß$138), "", 'Data Entry'!$ß$138)</f>
      </c>
      <c r="FD138">
        <f>IF(ISBLANK('Data Entry'!$à$138), "", 'Data Entry'!$à$138)</f>
      </c>
      <c r="FE138">
        <f>IF(ISBLANK('Data Entry'!$á$138), "", 'Data Entry'!$á$138)</f>
      </c>
      <c r="FF138">
        <f>IF(ISBLANK('Data Entry'!$â$138), "", 'Data Entry'!$â$138)</f>
      </c>
      <c r="FG138">
        <f>IF(ISBLANK('Data Entry'!$ã$138), "", 'Data Entry'!$ã$138)</f>
      </c>
      <c r="FH138">
        <f>IF(ISBLANK('Data Entry'!$ä$138), "", 'Data Entry'!$ä$138)</f>
      </c>
      <c r="FI138">
        <f>IF(ISBLANK('Data Entry'!$å$138), "", 'Data Entry'!$å$138)</f>
      </c>
      <c r="FJ138">
        <f>IF(ISBLANK('Data Entry'!$æ$138), "", 'Data Entry'!$æ$138)</f>
      </c>
      <c r="FK138">
        <f>IF(ISBLANK('Data Entry'!$ç$138), "", 'Data Entry'!$ç$138)</f>
      </c>
      <c r="FL138">
        <f>IF(ISBLANK('Data Entry'!$è$138), "", 'Data Entry'!$è$138)</f>
      </c>
      <c r="FM138">
        <f>IF(ISBLANK('Data Entry'!$é$138), "", 'Data Entry'!$é$138)</f>
      </c>
      <c r="FN138">
        <f>IF(ISBLANK('Data Entry'!$ê$138), "", 'Data Entry'!$ê$138)</f>
      </c>
      <c r="FO138">
        <f>IF(ISBLANK('Data Entry'!$ë$138), "", 'Data Entry'!$ë$138)</f>
      </c>
      <c r="FP138">
        <f>IF(ISBLANK('Data Entry'!$ì$138), "", 'Data Entry'!$ì$138)</f>
      </c>
      <c r="FQ138">
        <f>IF(ISBLANK('Data Entry'!$í$138), "", 'Data Entry'!$í$138)</f>
      </c>
      <c r="FR138">
        <f>IF(ISBLANK('Data Entry'!$î$138), "", 'Data Entry'!$î$138)</f>
      </c>
      <c r="FS138">
        <f>IF(ISBLANK('Data Entry'!$ï$138), "", 'Data Entry'!$ï$138)</f>
      </c>
      <c r="FT138">
        <f>IF(ISBLANK('Data Entry'!$ð$138), "", 'Data Entry'!$ð$138)</f>
      </c>
      <c r="FU138">
        <f>IF(ISBLANK('Data Entry'!$ñ$138), "", 'Data Entry'!$ñ$138)</f>
      </c>
      <c r="FV138">
        <f>IF(ISBLANK('Data Entry'!$ò$138), "", 'Data Entry'!$ò$138)</f>
      </c>
      <c r="FW138">
        <f>IF(ISBLANK('Data Entry'!$ó$138), "", 'Data Entry'!$ó$138)</f>
      </c>
      <c r="FX138">
        <f>IF(ISBLANK('Data Entry'!$ô$138), "", 'Data Entry'!$ô$138)</f>
      </c>
      <c r="FY138">
        <f>IF(ISBLANK('Data Entry'!$õ$138), "", 'Data Entry'!$õ$138)</f>
      </c>
      <c r="FZ138">
        <f>IF(ISBLANK('Data Entry'!$ö$138), "", 'Data Entry'!$ö$138)</f>
      </c>
      <c r="GA138">
        <f>IF(ISBLANK('Data Entry'!$÷$138), "", 'Data Entry'!$÷$138)</f>
      </c>
      <c r="GB138">
        <f>IF(ISBLANK('Data Entry'!$ø$138), "", 'Data Entry'!$ø$138)</f>
      </c>
      <c r="GC138">
        <f>IF(ISBLANK('Data Entry'!$ù$138), "", 'Data Entry'!$ù$138)</f>
      </c>
      <c r="GD138">
        <f>IF(ISBLANK('Data Entry'!$ú$138), "", 'Data Entry'!$ú$138)</f>
      </c>
      <c r="GE138">
        <f>IF(ISBLANK('Data Entry'!$û$138), "", 'Data Entry'!$û$138)</f>
      </c>
      <c r="GF138">
        <f>IF(ISBLANK('Data Entry'!$ü$138), "", 'Data Entry'!$ü$138)</f>
      </c>
      <c r="GG138">
        <f>IF(ISBLANK('Data Entry'!$ý$138), "", 'Data Entry'!$ý$138)</f>
      </c>
      <c r="GH138">
        <f>IF(ISBLANK('Data Entry'!$þ$138), "", 'Data Entry'!$þ$138)</f>
      </c>
      <c r="GI138">
        <f>IF(ISBLANK('Data Entry'!$ÿ$138), "", 'Data Entry'!$ÿ$138)</f>
      </c>
      <c r="GJ138">
        <f>IF(ISBLANK('Data Entry'!$Ā$138), "", 'Data Entry'!$Ā$138)</f>
      </c>
      <c r="GK138">
        <f>IF(ISBLANK('Data Entry'!$ā$138), "", 'Data Entry'!$ā$138)</f>
      </c>
      <c r="GL138">
        <f>IF(ISBLANK('Data Entry'!$Ă$138), "", 'Data Entry'!$Ă$138)</f>
      </c>
      <c r="GM138">
        <f>IF(ISBLANK('Data Entry'!$ă$138), "", 'Data Entry'!$ă$138)</f>
      </c>
      <c r="GN138">
        <f>IF(ISBLANK('Data Entry'!$Ą$138), "", 'Data Entry'!$Ą$138)</f>
      </c>
      <c r="GO138">
        <f>IF(ISBLANK('Data Entry'!$ą$138), "", 'Data Entry'!$ą$138)</f>
      </c>
      <c r="GP138">
        <f>IF(ISBLANK('Data Entry'!$Ć$138), "", 'Data Entry'!$Ć$138)</f>
      </c>
      <c r="GQ138">
        <f>IF(ISBLANK('Data Entry'!$ć$138), "", 'Data Entry'!$ć$138)</f>
      </c>
      <c r="GR138">
        <f>IF(ISBLANK('Data Entry'!$Ĉ$138), "", 'Data Entry'!$Ĉ$138)</f>
      </c>
      <c r="GS138">
        <f>IF(ISBLANK('Data Entry'!$ĉ$138), "", 'Data Entry'!$ĉ$138)</f>
      </c>
      <c r="GT138">
        <f>IF(ISBLANK('Data Entry'!$Ċ$138), "", 'Data Entry'!$Ċ$138)</f>
      </c>
      <c r="GU138">
        <f>IF(ISBLANK('Data Entry'!$ċ$138), "", 'Data Entry'!$ċ$138)</f>
      </c>
      <c r="GV138">
        <f>IF(ISBLANK('Data Entry'!$Č$138), "", 'Data Entry'!$Č$138)</f>
      </c>
      <c r="GW138">
        <f>IF(ISBLANK('Data Entry'!$č$138), "", 'Data Entry'!$č$138)</f>
      </c>
      <c r="GX138">
        <f>IF(ISBLANK('Data Entry'!$Ď$138), "", 'Data Entry'!$Ď$138)</f>
      </c>
      <c r="GY138">
        <f>IF(ISBLANK('Data Entry'!$ď$138), "", 'Data Entry'!$ď$138)</f>
      </c>
      <c r="GZ138">
        <f>IF(ISBLANK('Data Entry'!$Đ$138), "", 'Data Entry'!$Đ$138)</f>
      </c>
      <c r="HA138">
        <f>IF(ISBLANK('Data Entry'!$đ$138), "", 'Data Entry'!$đ$138)</f>
      </c>
      <c r="HB138">
        <f>IF(ISBLANK('Data Entry'!$Ē$138), "", 'Data Entry'!$Ē$138)</f>
      </c>
      <c r="HC138">
        <f>IF(ISBLANK('Data Entry'!$ē$138), "", 'Data Entry'!$ē$138)</f>
      </c>
      <c r="HD138">
        <f>IF(ISBLANK('Data Entry'!$Ĕ$138), "", 'Data Entry'!$Ĕ$138)</f>
      </c>
      <c r="HE138">
        <f>IF(ISBLANK('Data Entry'!$ĕ$138), "", 'Data Entry'!$ĕ$138)</f>
      </c>
      <c r="HF138">
        <f>IF(ISBLANK('Data Entry'!$Ė$138), "", 'Data Entry'!$Ė$138)</f>
      </c>
      <c r="HG138">
        <f>IF(ISBLANK('Data Entry'!$ė$138), "", 'Data Entry'!$ė$138)</f>
      </c>
      <c r="HH138">
        <f>IF(ISBLANK('Data Entry'!$Ę$138), "", 'Data Entry'!$Ę$138)</f>
      </c>
      <c r="HI138">
        <f>IF(ISBLANK('Data Entry'!$ę$138), "", 'Data Entry'!$ę$138)</f>
      </c>
      <c r="HJ138">
        <f>IF(ISBLANK('Data Entry'!$Ě$138), "", 'Data Entry'!$Ě$138)</f>
      </c>
      <c r="HK138">
        <f>IF(ISBLANK('Data Entry'!$ě$138), "", 'Data Entry'!$ě$138)</f>
      </c>
      <c r="HL138">
        <f>IF(ISBLANK('Data Entry'!$Ĝ$138), "", 'Data Entry'!$Ĝ$138)</f>
      </c>
      <c r="HM138">
        <f>IF(ISBLANK('Data Entry'!$ĝ$138), "", 'Data Entry'!$ĝ$138)</f>
      </c>
      <c r="HN138">
        <f>IF(ISBLANK('Data Entry'!$Ğ$138), "", 'Data Entry'!$Ğ$138)</f>
      </c>
      <c r="HO138">
        <f>IF(ISBLANK('Data Entry'!$ğ$138), "", 'Data Entry'!$ğ$138)</f>
      </c>
      <c r="HP138">
        <f>IF(ISBLANK('Data Entry'!$Ġ$138), "", 'Data Entry'!$Ġ$138)</f>
      </c>
      <c r="HQ138">
        <f>IF(ISBLANK('Data Entry'!$ġ$138), "", 'Data Entry'!$ġ$138)</f>
      </c>
      <c r="HR138">
        <f>IF(ISBLANK('Data Entry'!$Ģ$138), "", 'Data Entry'!$Ģ$138)</f>
      </c>
      <c r="HS138">
        <f>IF(ISBLANK('Data Entry'!$ģ$138), "", 'Data Entry'!$ģ$138)</f>
      </c>
      <c r="HT138">
        <f>IF(ISBLANK('Data Entry'!$Ĥ$138), "", 'Data Entry'!$Ĥ$138)</f>
      </c>
      <c r="HU138">
        <f>IF(ISBLANK('Data Entry'!$ĥ$138), "", 'Data Entry'!$ĥ$138)</f>
      </c>
      <c r="HV138">
        <f>IF(ISBLANK('Data Entry'!$Ħ$138), "", 'Data Entry'!$Ħ$138)</f>
      </c>
      <c r="HW138">
        <f>IF(ISBLANK('Data Entry'!$ħ$138), "", 'Data Entry'!$ħ$138)</f>
      </c>
      <c r="HX138">
        <f>IF(ISBLANK('Data Entry'!$Ĩ$138), "", 'Data Entry'!$Ĩ$138)</f>
      </c>
      <c r="HY138">
        <f>IF(ISBLANK('Data Entry'!$ĩ$138), "", 'Data Entry'!$ĩ$138)</f>
      </c>
      <c r="HZ138">
        <f>IF(ISBLANK('Data Entry'!$Ī$138), "", 'Data Entry'!$Ī$138)</f>
      </c>
      <c r="IA138">
        <f>IF(ISBLANK('Data Entry'!$ī$138), "", 'Data Entry'!$ī$138)</f>
      </c>
      <c r="IB138">
        <f>IF(ISBLANK('Data Entry'!$Ĭ$138), "", 'Data Entry'!$Ĭ$138)</f>
      </c>
      <c r="IC138">
        <f>IF(ISBLANK('Data Entry'!$ĭ$138), "", 'Data Entry'!$ĭ$138)</f>
      </c>
      <c r="ID138">
        <f>IF(ISBLANK('Data Entry'!$Į$138), "", 'Data Entry'!$Į$138)</f>
      </c>
      <c r="IE138">
        <f>IF(ISBLANK('Data Entry'!$į$138), "", 'Data Entry'!$į$138)</f>
      </c>
      <c r="IF138">
        <f>IF(ISBLANK('Data Entry'!$İ$138), "", 'Data Entry'!$İ$138)</f>
      </c>
      <c r="IG138">
        <f>IF(ISBLANK('Data Entry'!$ı$138), "", 'Data Entry'!$ı$138)</f>
      </c>
      <c r="IH138">
        <f>IF(ISBLANK('Data Entry'!$Ĳ$138), "", 'Data Entry'!$Ĳ$138)</f>
      </c>
      <c r="II138">
        <f>IF(ISBLANK('Data Entry'!$ĳ$138), "", 'Data Entry'!$ĳ$138)</f>
      </c>
      <c r="IJ138">
        <f>IF(ISBLANK('Data Entry'!$Ĵ$138), "", 'Data Entry'!$Ĵ$138)</f>
      </c>
      <c r="IK138">
        <f>IF(ISBLANK('Data Entry'!$ĵ$138), "", 'Data Entry'!$ĵ$138)</f>
      </c>
      <c r="IL138">
        <f>IF(ISBLANK('Data Entry'!$Ķ$138), "", 'Data Entry'!$Ķ$138)</f>
      </c>
      <c r="IM138">
        <f>IF(ISBLANK('Data Entry'!$ķ$138), "", 'Data Entry'!$ķ$138)</f>
      </c>
      <c r="IN138">
        <f>IF(ISBLANK('Data Entry'!$ĸ$138), "", 'Data Entry'!$ĸ$138)</f>
      </c>
      <c r="IO138">
        <f>IF(ISBLANK('Data Entry'!$Ĺ$138), "", 'Data Entry'!$Ĺ$138)</f>
      </c>
      <c r="IP138">
        <f>IF(ISBLANK('Data Entry'!$ĺ$138), "", 'Data Entry'!$ĺ$138)</f>
      </c>
      <c r="IQ138">
        <f>IF(ISBLANK('Data Entry'!$Ļ$138), "", 'Data Entry'!$Ļ$138)</f>
      </c>
      <c r="IR138">
        <f>IF(ISBLANK('Data Entry'!$ļ$138), "", 'Data Entry'!$ļ$138)</f>
      </c>
      <c r="IS138">
        <f>IF(ISBLANK('Data Entry'!$Ľ$138), "", 'Data Entry'!$Ľ$138)</f>
      </c>
      <c r="IT138">
        <f>IF(ISBLANK('Data Entry'!$ľ$138), "", 'Data Entry'!$ľ$138)</f>
      </c>
    </row>
    <row r="139" spans="1:254" x14ac:dyDescent="0.25">
      <c r="A139">
        <f>IF(ISBLANK('Data Entry'!$A$139), "", 'Data Entry'!$A$139)</f>
      </c>
      <c r="B139">
        <f>IF(ISBLANK('Data Entry'!$B$139), "", 'Data Entry'!$B$139)</f>
      </c>
      <c r="C139">
        <f>IF(ISBLANK('Data Entry'!$C$139), "", 'Data Entry'!$C$139)</f>
      </c>
      <c r="D139">
        <f>IF(ISBLANK('Data Entry'!$D$139), "", 'Data Entry'!$D$139)</f>
      </c>
      <c r="E139">
        <f>IF(ISBLANK('Data Entry'!$E$139), "", 'Data Entry'!$E$139)</f>
      </c>
      <c r="F139">
        <f>IF(ISBLANK('Data Entry'!$F$139), "", 'Data Entry'!$F$139)</f>
      </c>
      <c r="G139">
        <f>IF(ISBLANK('Data Entry'!$G$139), "", 'Data Entry'!$G$139)</f>
      </c>
      <c r="H139">
        <f>IF(ISBLANK('Data Entry'!$H$139), "", 'Data Entry'!$H$139)</f>
      </c>
      <c r="I139">
        <f>IF(ISBLANK('Data Entry'!$I$139), "", 'Data Entry'!$I$139)</f>
      </c>
      <c r="J139">
        <f>IF(ISBLANK('Data Entry'!$J$139), "", 'Data Entry'!$J$139)</f>
      </c>
      <c r="K139">
        <f>IF(ISBLANK('Data Entry'!$K$139), "", 'Data Entry'!$K$139)</f>
      </c>
      <c r="L139">
        <f>IF(ISBLANK('Data Entry'!$L$139), "", 'Data Entry'!$L$139)</f>
      </c>
      <c r="M139">
        <f>IF(ISBLANK('Data Entry'!$M$139), "", 'Data Entry'!$M$139)</f>
      </c>
      <c r="N139">
        <f>IF(ISBLANK('Data Entry'!$N$139), "", 'Data Entry'!$N$139)</f>
      </c>
      <c r="O139">
        <f>IF(ISBLANK('Data Entry'!$O$139), "", 'Data Entry'!$O$139)</f>
      </c>
      <c r="P139">
        <f>IF(ISBLANK('Data Entry'!$P$139), "", 'Data Entry'!$P$139)</f>
      </c>
      <c r="Q139">
        <f>IF(ISBLANK('Data Entry'!$Q$139), "", 'Data Entry'!$Q$139)</f>
      </c>
      <c r="R139">
        <f>IF(ISBLANK('Data Entry'!$R$139), "", 'Data Entry'!$R$139)</f>
      </c>
      <c r="S139">
        <f>IF(ISBLANK('Data Entry'!$S$139), "", 'Data Entry'!$S$139)</f>
      </c>
      <c r="T139">
        <f>IF(ISBLANK('Data Entry'!$T$139), "", 'Data Entry'!$T$139)</f>
      </c>
      <c r="U139">
        <f>IF(ISBLANK('Data Entry'!$U$139), "", 'Data Entry'!$U$139)</f>
      </c>
      <c r="V139">
        <f>IF(ISBLANK('Data Entry'!$V$139), "", 'Data Entry'!$V$139)</f>
      </c>
      <c r="W139">
        <f>IF(ISBLANK('Data Entry'!$W$139), "", 'Data Entry'!$W$139)</f>
      </c>
      <c r="X139">
        <f>IF(ISBLANK('Data Entry'!$X$139), "", 'Data Entry'!$X$139)</f>
      </c>
      <c r="Y139">
        <f>IF(ISBLANK('Data Entry'!$Y$139), "", 'Data Entry'!$Y$139)</f>
      </c>
      <c r="Z139">
        <f>IF(ISBLANK('Data Entry'!$Z$139), "", 'Data Entry'!$Z$139)</f>
      </c>
      <c r="AA139">
        <f>IF(ISBLANK('Data Entry'!$[$139), "", 'Data Entry'!$[$139)</f>
      </c>
      <c r="AB139">
        <f>IF(ISBLANK('Data Entry'!$\$139), "", 'Data Entry'!$\$139)</f>
      </c>
      <c r="AC139">
        <f>IF(ISBLANK('Data Entry'!$]$139), "", 'Data Entry'!$]$139)</f>
      </c>
      <c r="AD139">
        <f>IF(ISBLANK('Data Entry'!$^$139), "", 'Data Entry'!$^$139)</f>
      </c>
      <c r="AE139">
        <f>IF(ISBLANK('Data Entry'!$_$139), "", 'Data Entry'!$_$139)</f>
      </c>
      <c r="AF139">
        <f>IF(ISBLANK('Data Entry'!$`$139), "", 'Data Entry'!$`$139)</f>
      </c>
      <c r="AG139">
        <f>IF(ISBLANK('Data Entry'!$a$139), "", 'Data Entry'!$a$139)</f>
      </c>
      <c r="AH139">
        <f>IF(ISBLANK('Data Entry'!$b$139), "", 'Data Entry'!$b$139)</f>
      </c>
      <c r="AI139">
        <f>IF(ISBLANK('Data Entry'!$c$139), "", 'Data Entry'!$c$139)</f>
      </c>
      <c r="AJ139">
        <f>IF(ISBLANK('Data Entry'!$d$139), "", 'Data Entry'!$d$139)</f>
      </c>
      <c r="AK139">
        <f>IF(ISBLANK('Data Entry'!$e$139), "", 'Data Entry'!$e$139)</f>
      </c>
      <c r="AL139">
        <f>IF(ISBLANK('Data Entry'!$f$139), "", 'Data Entry'!$f$139)</f>
      </c>
      <c r="AM139">
        <f>IF(ISBLANK('Data Entry'!$g$139), "", 'Data Entry'!$g$139)</f>
      </c>
      <c r="AN139">
        <f>IF(ISBLANK('Data Entry'!$h$139), "", 'Data Entry'!$h$139)</f>
      </c>
      <c r="AO139">
        <f>IF(ISBLANK('Data Entry'!$i$139), "", 'Data Entry'!$i$139)</f>
      </c>
      <c r="AP139">
        <f>IF(ISBLANK('Data Entry'!$j$139), "", 'Data Entry'!$j$139)</f>
      </c>
      <c r="AQ139">
        <f>IF(ISBLANK('Data Entry'!$k$139), "", 'Data Entry'!$k$139)</f>
      </c>
      <c r="AR139">
        <f>IF(ISBLANK('Data Entry'!$l$139), "", 'Data Entry'!$l$139)</f>
      </c>
      <c r="AS139">
        <f>IF(ISBLANK('Data Entry'!$m$139), "", 'Data Entry'!$m$139)</f>
      </c>
      <c r="AT139">
        <f>IF(ISBLANK('Data Entry'!$n$139), "", 'Data Entry'!$n$139)</f>
      </c>
      <c r="AU139">
        <f>IF(ISBLANK('Data Entry'!$o$139), "", 'Data Entry'!$o$139)</f>
      </c>
      <c r="AV139">
        <f>IF(ISBLANK('Data Entry'!$p$139), "", 'Data Entry'!$p$139)</f>
      </c>
      <c r="AW139">
        <f>IF(ISBLANK('Data Entry'!$q$139), "", 'Data Entry'!$q$139)</f>
      </c>
      <c r="AX139">
        <f>IF(ISBLANK('Data Entry'!$r$139), "", 'Data Entry'!$r$139)</f>
      </c>
      <c r="AY139">
        <f>IF(ISBLANK('Data Entry'!$s$139), "", 'Data Entry'!$s$139)</f>
      </c>
      <c r="AZ139">
        <f>IF(ISBLANK('Data Entry'!$t$139), "", 'Data Entry'!$t$139)</f>
      </c>
      <c r="BA139">
        <f>IF(ISBLANK('Data Entry'!$u$139), "", 'Data Entry'!$u$139)</f>
      </c>
      <c r="BB139">
        <f>IF(ISBLANK('Data Entry'!$v$139), "", 'Data Entry'!$v$139)</f>
      </c>
      <c r="BC139">
        <f>IF(ISBLANK('Data Entry'!$w$139), "", 'Data Entry'!$w$139)</f>
      </c>
      <c r="BD139">
        <f>IF(ISBLANK('Data Entry'!$x$139), "", 'Data Entry'!$x$139)</f>
      </c>
      <c r="BE139">
        <f>IF(ISBLANK('Data Entry'!$y$139), "", 'Data Entry'!$y$139)</f>
      </c>
      <c r="BF139">
        <f>IF(ISBLANK('Data Entry'!$z$139), "", 'Data Entry'!$z$139)</f>
      </c>
      <c r="BG139">
        <f>IF(ISBLANK('Data Entry'!${$139), "", 'Data Entry'!${$139)</f>
      </c>
      <c r="BH139">
        <f>IF(ISBLANK('Data Entry'!$|$139), "", 'Data Entry'!$|$139)</f>
      </c>
      <c r="BI139">
        <f>IF(ISBLANK('Data Entry'!$}$139), "", 'Data Entry'!$}$139)</f>
      </c>
      <c r="BJ139">
        <f>IF(ISBLANK('Data Entry'!$~$139), "", 'Data Entry'!$~$139)</f>
      </c>
      <c r="BK139">
        <f>IF(ISBLANK('Data Entry'!$$139), "", 'Data Entry'!$$139)</f>
      </c>
      <c r="BL139">
        <f>IF(ISBLANK('Data Entry'!$$139), "", 'Data Entry'!$$139)</f>
      </c>
      <c r="BM139">
        <f>IF(ISBLANK('Data Entry'!$$139), "", 'Data Entry'!$$139)</f>
      </c>
      <c r="BN139">
        <f>IF(ISBLANK('Data Entry'!$$139), "", 'Data Entry'!$$139)</f>
      </c>
      <c r="BO139">
        <f>IF(ISBLANK('Data Entry'!$$139), "", 'Data Entry'!$$139)</f>
      </c>
      <c r="BP139">
        <f>IF(ISBLANK('Data Entry'!$$139), "", 'Data Entry'!$$139)</f>
      </c>
      <c r="BQ139">
        <f>IF(ISBLANK('Data Entry'!$$139), "", 'Data Entry'!$$139)</f>
      </c>
      <c r="BR139">
        <f>IF(ISBLANK('Data Entry'!$$139), "", 'Data Entry'!$$139)</f>
      </c>
      <c r="BS139">
        <f>IF(ISBLANK('Data Entry'!$$139), "", 'Data Entry'!$$139)</f>
      </c>
      <c r="BT139">
        <f>IF(ISBLANK('Data Entry'!$$139), "", 'Data Entry'!$$139)</f>
      </c>
      <c r="BU139">
        <f>IF(ISBLANK('Data Entry'!$$139), "", 'Data Entry'!$$139)</f>
      </c>
      <c r="BV139">
        <f>IF(ISBLANK('Data Entry'!$$139), "", 'Data Entry'!$$139)</f>
      </c>
      <c r="BW139">
        <f>IF(ISBLANK('Data Entry'!$$139), "", 'Data Entry'!$$139)</f>
      </c>
      <c r="BX139">
        <f>IF(ISBLANK('Data Entry'!$$139), "", 'Data Entry'!$$139)</f>
      </c>
      <c r="BY139">
        <f>IF(ISBLANK('Data Entry'!$$139), "", 'Data Entry'!$$139)</f>
      </c>
      <c r="BZ139">
        <f>IF(ISBLANK('Data Entry'!$$139), "", 'Data Entry'!$$139)</f>
      </c>
      <c r="CA139">
        <f>IF(ISBLANK('Data Entry'!$$139), "", 'Data Entry'!$$139)</f>
      </c>
      <c r="CB139">
        <f>IF(ISBLANK('Data Entry'!$$139), "", 'Data Entry'!$$139)</f>
      </c>
      <c r="CC139">
        <f>IF(ISBLANK('Data Entry'!$$139), "", 'Data Entry'!$$139)</f>
      </c>
      <c r="CD139">
        <f>IF(ISBLANK('Data Entry'!$$139), "", 'Data Entry'!$$139)</f>
      </c>
      <c r="CE139">
        <f>IF(ISBLANK('Data Entry'!$$139), "", 'Data Entry'!$$139)</f>
      </c>
      <c r="CF139">
        <f>IF(ISBLANK('Data Entry'!$$139), "", 'Data Entry'!$$139)</f>
      </c>
      <c r="CG139">
        <f>IF(ISBLANK('Data Entry'!$$139), "", 'Data Entry'!$$139)</f>
      </c>
      <c r="CH139">
        <f>IF(ISBLANK('Data Entry'!$$139), "", 'Data Entry'!$$139)</f>
      </c>
      <c r="CI139">
        <f>IF(ISBLANK('Data Entry'!$$139), "", 'Data Entry'!$$139)</f>
      </c>
      <c r="CJ139">
        <f>IF(ISBLANK('Data Entry'!$$139), "", 'Data Entry'!$$139)</f>
      </c>
      <c r="CK139">
        <f>IF(ISBLANK('Data Entry'!$$139), "", 'Data Entry'!$$139)</f>
      </c>
      <c r="CL139">
        <f>IF(ISBLANK('Data Entry'!$$139), "", 'Data Entry'!$$139)</f>
      </c>
      <c r="CM139">
        <f>IF(ISBLANK('Data Entry'!$$139), "", 'Data Entry'!$$139)</f>
      </c>
      <c r="CN139">
        <f>IF(ISBLANK('Data Entry'!$$139), "", 'Data Entry'!$$139)</f>
      </c>
      <c r="CO139">
        <f>IF(ISBLANK('Data Entry'!$$139), "", 'Data Entry'!$$139)</f>
      </c>
      <c r="CP139">
        <f>IF(ISBLANK('Data Entry'!$$139), "", 'Data Entry'!$$139)</f>
      </c>
      <c r="CQ139">
        <f>IF(ISBLANK('Data Entry'!$$139), "", 'Data Entry'!$$139)</f>
      </c>
      <c r="CR139">
        <f>IF(ISBLANK('Data Entry'!$ $139), "", 'Data Entry'!$ $139)</f>
      </c>
      <c r="CS139">
        <f>IF(ISBLANK('Data Entry'!$¡$139), "", 'Data Entry'!$¡$139)</f>
      </c>
      <c r="CT139">
        <f>IF(ISBLANK('Data Entry'!$¢$139), "", 'Data Entry'!$¢$139)</f>
      </c>
      <c r="CU139">
        <f>IF(ISBLANK('Data Entry'!$£$139), "", 'Data Entry'!$£$139)</f>
      </c>
      <c r="CV139">
        <f>IF(ISBLANK('Data Entry'!$¤$139), "", 'Data Entry'!$¤$139)</f>
      </c>
      <c r="CW139">
        <f>IF(ISBLANK('Data Entry'!$¥$139), "", 'Data Entry'!$¥$139)</f>
      </c>
      <c r="CX139">
        <f>IF(ISBLANK('Data Entry'!$¦$139), "", 'Data Entry'!$¦$139)</f>
      </c>
      <c r="CY139">
        <f>IF(ISBLANK('Data Entry'!$§$139), "", 'Data Entry'!$§$139)</f>
      </c>
      <c r="CZ139">
        <f>IF(ISBLANK('Data Entry'!$¨$139), "", 'Data Entry'!$¨$139)</f>
      </c>
      <c r="DA139">
        <f>IF(ISBLANK('Data Entry'!$©$139), "", 'Data Entry'!$©$139)</f>
      </c>
      <c r="DB139">
        <f>IF(ISBLANK('Data Entry'!$ª$139), "", 'Data Entry'!$ª$139)</f>
      </c>
      <c r="DC139">
        <f>IF(ISBLANK('Data Entry'!$«$139), "", 'Data Entry'!$«$139)</f>
      </c>
      <c r="DD139">
        <f>IF(ISBLANK('Data Entry'!$¬$139), "", 'Data Entry'!$¬$139)</f>
      </c>
      <c r="DE139">
        <f>IF(ISBLANK('Data Entry'!$­$139), "", 'Data Entry'!$­$139)</f>
      </c>
      <c r="DF139">
        <f>IF(ISBLANK('Data Entry'!$®$139), "", 'Data Entry'!$®$139)</f>
      </c>
      <c r="DG139">
        <f>IF(ISBLANK('Data Entry'!$¯$139), "", 'Data Entry'!$¯$139)</f>
      </c>
      <c r="DH139">
        <f>IF(ISBLANK('Data Entry'!$°$139), "", 'Data Entry'!$°$139)</f>
      </c>
      <c r="DI139">
        <f>IF(ISBLANK('Data Entry'!$±$139), "", 'Data Entry'!$±$139)</f>
      </c>
      <c r="DJ139">
        <f>IF(ISBLANK('Data Entry'!$²$139), "", 'Data Entry'!$²$139)</f>
      </c>
      <c r="DK139">
        <f>IF(ISBLANK('Data Entry'!$³$139), "", 'Data Entry'!$³$139)</f>
      </c>
      <c r="DL139">
        <f>IF(ISBLANK('Data Entry'!$´$139), "", 'Data Entry'!$´$139)</f>
      </c>
      <c r="DM139">
        <f>IF(ISBLANK('Data Entry'!$µ$139), "", 'Data Entry'!$µ$139)</f>
      </c>
      <c r="DN139">
        <f>IF(ISBLANK('Data Entry'!$¶$139), "", 'Data Entry'!$¶$139)</f>
      </c>
      <c r="DO139">
        <f>IF(ISBLANK('Data Entry'!$·$139), "", 'Data Entry'!$·$139)</f>
      </c>
      <c r="DP139">
        <f>IF(ISBLANK('Data Entry'!$¸$139), "", 'Data Entry'!$¸$139)</f>
      </c>
      <c r="DQ139">
        <f>IF(ISBLANK('Data Entry'!$¹$139), "", 'Data Entry'!$¹$139)</f>
      </c>
      <c r="DR139">
        <f>IF(ISBLANK('Data Entry'!$º$139), "", 'Data Entry'!$º$139)</f>
      </c>
      <c r="DS139">
        <f>IF(ISBLANK('Data Entry'!$»$139), "", 'Data Entry'!$»$139)</f>
      </c>
      <c r="DT139">
        <f>IF(ISBLANK('Data Entry'!$¼$139), "", 'Data Entry'!$¼$139)</f>
      </c>
      <c r="DU139">
        <f>IF(ISBLANK('Data Entry'!$½$139), "", 'Data Entry'!$½$139)</f>
      </c>
      <c r="DV139">
        <f>IF(ISBLANK('Data Entry'!$¾$139), "", 'Data Entry'!$¾$139)</f>
      </c>
      <c r="DW139">
        <f>IF(ISBLANK('Data Entry'!$¿$139), "", 'Data Entry'!$¿$139)</f>
      </c>
      <c r="DX139">
        <f>IF(ISBLANK('Data Entry'!$À$139), "", 'Data Entry'!$À$139)</f>
      </c>
      <c r="DY139">
        <f>IF(ISBLANK('Data Entry'!$Á$139), "", 'Data Entry'!$Á$139)</f>
      </c>
      <c r="DZ139">
        <f>IF(ISBLANK('Data Entry'!$Â$139), "", 'Data Entry'!$Â$139)</f>
      </c>
      <c r="EA139">
        <f>IF(ISBLANK('Data Entry'!$Ã$139), "", 'Data Entry'!$Ã$139)</f>
      </c>
      <c r="EB139">
        <f>IF(ISBLANK('Data Entry'!$Ä$139), "", 'Data Entry'!$Ä$139)</f>
      </c>
      <c r="EC139">
        <f>IF(ISBLANK('Data Entry'!$Å$139), "", 'Data Entry'!$Å$139)</f>
      </c>
      <c r="ED139">
        <f>IF(ISBLANK('Data Entry'!$Æ$139), "", 'Data Entry'!$Æ$139)</f>
      </c>
      <c r="EE139">
        <f>IF(ISBLANK('Data Entry'!$Ç$139), "", 'Data Entry'!$Ç$139)</f>
      </c>
      <c r="EF139">
        <f>IF(ISBLANK('Data Entry'!$È$139), "", 'Data Entry'!$È$139)</f>
      </c>
      <c r="EG139">
        <f>IF(ISBLANK('Data Entry'!$É$139), "", 'Data Entry'!$É$139)</f>
      </c>
      <c r="EH139">
        <f>IF(ISBLANK('Data Entry'!$Ê$139), "", 'Data Entry'!$Ê$139)</f>
      </c>
      <c r="EI139">
        <f>IF(ISBLANK('Data Entry'!$Ë$139), "", 'Data Entry'!$Ë$139)</f>
      </c>
      <c r="EJ139">
        <f>IF(ISBLANK('Data Entry'!$Ì$139), "", 'Data Entry'!$Ì$139)</f>
      </c>
      <c r="EK139">
        <f>IF(ISBLANK('Data Entry'!$Í$139), "", 'Data Entry'!$Í$139)</f>
      </c>
      <c r="EL139">
        <f>IF(ISBLANK('Data Entry'!$Î$139), "", 'Data Entry'!$Î$139)</f>
      </c>
      <c r="EM139">
        <f>IF(ISBLANK('Data Entry'!$Ï$139), "", 'Data Entry'!$Ï$139)</f>
      </c>
      <c r="EN139">
        <f>IF(ISBLANK('Data Entry'!$Ð$139), "", 'Data Entry'!$Ð$139)</f>
      </c>
      <c r="EO139">
        <f>IF(ISBLANK('Data Entry'!$Ñ$139), "", 'Data Entry'!$Ñ$139)</f>
      </c>
      <c r="EP139">
        <f>IF(ISBLANK('Data Entry'!$Ò$139), "", 'Data Entry'!$Ò$139)</f>
      </c>
      <c r="EQ139">
        <f>IF(ISBLANK('Data Entry'!$Ó$139), "", 'Data Entry'!$Ó$139)</f>
      </c>
      <c r="ER139">
        <f>IF(ISBLANK('Data Entry'!$Ô$139), "", 'Data Entry'!$Ô$139)</f>
      </c>
      <c r="ES139">
        <f>IF(ISBLANK('Data Entry'!$Õ$139), "", 'Data Entry'!$Õ$139)</f>
      </c>
      <c r="ET139">
        <f>IF(ISBLANK('Data Entry'!$Ö$139), "", 'Data Entry'!$Ö$139)</f>
      </c>
      <c r="EU139">
        <f>IF(ISBLANK('Data Entry'!$×$139), "", 'Data Entry'!$×$139)</f>
      </c>
      <c r="EV139">
        <f>IF(ISBLANK('Data Entry'!$Ø$139), "", 'Data Entry'!$Ø$139)</f>
      </c>
      <c r="EW139">
        <f>IF(ISBLANK('Data Entry'!$Ù$139), "", 'Data Entry'!$Ù$139)</f>
      </c>
      <c r="EX139">
        <f>IF(ISBLANK('Data Entry'!$Ú$139), "", 'Data Entry'!$Ú$139)</f>
      </c>
      <c r="EY139">
        <f>IF(ISBLANK('Data Entry'!$Û$139), "", 'Data Entry'!$Û$139)</f>
      </c>
      <c r="EZ139">
        <f>IF(ISBLANK('Data Entry'!$Ü$139), "", 'Data Entry'!$Ü$139)</f>
      </c>
      <c r="FA139">
        <f>IF(ISBLANK('Data Entry'!$Ý$139), "", 'Data Entry'!$Ý$139)</f>
      </c>
      <c r="FB139">
        <f>IF(ISBLANK('Data Entry'!$Þ$139), "", 'Data Entry'!$Þ$139)</f>
      </c>
      <c r="FC139">
        <f>IF(ISBLANK('Data Entry'!$ß$139), "", 'Data Entry'!$ß$139)</f>
      </c>
      <c r="FD139">
        <f>IF(ISBLANK('Data Entry'!$à$139), "", 'Data Entry'!$à$139)</f>
      </c>
      <c r="FE139">
        <f>IF(ISBLANK('Data Entry'!$á$139), "", 'Data Entry'!$á$139)</f>
      </c>
      <c r="FF139">
        <f>IF(ISBLANK('Data Entry'!$â$139), "", 'Data Entry'!$â$139)</f>
      </c>
      <c r="FG139">
        <f>IF(ISBLANK('Data Entry'!$ã$139), "", 'Data Entry'!$ã$139)</f>
      </c>
      <c r="FH139">
        <f>IF(ISBLANK('Data Entry'!$ä$139), "", 'Data Entry'!$ä$139)</f>
      </c>
      <c r="FI139">
        <f>IF(ISBLANK('Data Entry'!$å$139), "", 'Data Entry'!$å$139)</f>
      </c>
      <c r="FJ139">
        <f>IF(ISBLANK('Data Entry'!$æ$139), "", 'Data Entry'!$æ$139)</f>
      </c>
      <c r="FK139">
        <f>IF(ISBLANK('Data Entry'!$ç$139), "", 'Data Entry'!$ç$139)</f>
      </c>
      <c r="FL139">
        <f>IF(ISBLANK('Data Entry'!$è$139), "", 'Data Entry'!$è$139)</f>
      </c>
      <c r="FM139">
        <f>IF(ISBLANK('Data Entry'!$é$139), "", 'Data Entry'!$é$139)</f>
      </c>
      <c r="FN139">
        <f>IF(ISBLANK('Data Entry'!$ê$139), "", 'Data Entry'!$ê$139)</f>
      </c>
      <c r="FO139">
        <f>IF(ISBLANK('Data Entry'!$ë$139), "", 'Data Entry'!$ë$139)</f>
      </c>
      <c r="FP139">
        <f>IF(ISBLANK('Data Entry'!$ì$139), "", 'Data Entry'!$ì$139)</f>
      </c>
      <c r="FQ139">
        <f>IF(ISBLANK('Data Entry'!$í$139), "", 'Data Entry'!$í$139)</f>
      </c>
      <c r="FR139">
        <f>IF(ISBLANK('Data Entry'!$î$139), "", 'Data Entry'!$î$139)</f>
      </c>
      <c r="FS139">
        <f>IF(ISBLANK('Data Entry'!$ï$139), "", 'Data Entry'!$ï$139)</f>
      </c>
      <c r="FT139">
        <f>IF(ISBLANK('Data Entry'!$ð$139), "", 'Data Entry'!$ð$139)</f>
      </c>
      <c r="FU139">
        <f>IF(ISBLANK('Data Entry'!$ñ$139), "", 'Data Entry'!$ñ$139)</f>
      </c>
      <c r="FV139">
        <f>IF(ISBLANK('Data Entry'!$ò$139), "", 'Data Entry'!$ò$139)</f>
      </c>
      <c r="FW139">
        <f>IF(ISBLANK('Data Entry'!$ó$139), "", 'Data Entry'!$ó$139)</f>
      </c>
      <c r="FX139">
        <f>IF(ISBLANK('Data Entry'!$ô$139), "", 'Data Entry'!$ô$139)</f>
      </c>
      <c r="FY139">
        <f>IF(ISBLANK('Data Entry'!$õ$139), "", 'Data Entry'!$õ$139)</f>
      </c>
      <c r="FZ139">
        <f>IF(ISBLANK('Data Entry'!$ö$139), "", 'Data Entry'!$ö$139)</f>
      </c>
      <c r="GA139">
        <f>IF(ISBLANK('Data Entry'!$÷$139), "", 'Data Entry'!$÷$139)</f>
      </c>
      <c r="GB139">
        <f>IF(ISBLANK('Data Entry'!$ø$139), "", 'Data Entry'!$ø$139)</f>
      </c>
      <c r="GC139">
        <f>IF(ISBLANK('Data Entry'!$ù$139), "", 'Data Entry'!$ù$139)</f>
      </c>
      <c r="GD139">
        <f>IF(ISBLANK('Data Entry'!$ú$139), "", 'Data Entry'!$ú$139)</f>
      </c>
      <c r="GE139">
        <f>IF(ISBLANK('Data Entry'!$û$139), "", 'Data Entry'!$û$139)</f>
      </c>
      <c r="GF139">
        <f>IF(ISBLANK('Data Entry'!$ü$139), "", 'Data Entry'!$ü$139)</f>
      </c>
      <c r="GG139">
        <f>IF(ISBLANK('Data Entry'!$ý$139), "", 'Data Entry'!$ý$139)</f>
      </c>
      <c r="GH139">
        <f>IF(ISBLANK('Data Entry'!$þ$139), "", 'Data Entry'!$þ$139)</f>
      </c>
      <c r="GI139">
        <f>IF(ISBLANK('Data Entry'!$ÿ$139), "", 'Data Entry'!$ÿ$139)</f>
      </c>
      <c r="GJ139">
        <f>IF(ISBLANK('Data Entry'!$Ā$139), "", 'Data Entry'!$Ā$139)</f>
      </c>
      <c r="GK139">
        <f>IF(ISBLANK('Data Entry'!$ā$139), "", 'Data Entry'!$ā$139)</f>
      </c>
      <c r="GL139">
        <f>IF(ISBLANK('Data Entry'!$Ă$139), "", 'Data Entry'!$Ă$139)</f>
      </c>
      <c r="GM139">
        <f>IF(ISBLANK('Data Entry'!$ă$139), "", 'Data Entry'!$ă$139)</f>
      </c>
      <c r="GN139">
        <f>IF(ISBLANK('Data Entry'!$Ą$139), "", 'Data Entry'!$Ą$139)</f>
      </c>
      <c r="GO139">
        <f>IF(ISBLANK('Data Entry'!$ą$139), "", 'Data Entry'!$ą$139)</f>
      </c>
      <c r="GP139">
        <f>IF(ISBLANK('Data Entry'!$Ć$139), "", 'Data Entry'!$Ć$139)</f>
      </c>
      <c r="GQ139">
        <f>IF(ISBLANK('Data Entry'!$ć$139), "", 'Data Entry'!$ć$139)</f>
      </c>
      <c r="GR139">
        <f>IF(ISBLANK('Data Entry'!$Ĉ$139), "", 'Data Entry'!$Ĉ$139)</f>
      </c>
      <c r="GS139">
        <f>IF(ISBLANK('Data Entry'!$ĉ$139), "", 'Data Entry'!$ĉ$139)</f>
      </c>
      <c r="GT139">
        <f>IF(ISBLANK('Data Entry'!$Ċ$139), "", 'Data Entry'!$Ċ$139)</f>
      </c>
      <c r="GU139">
        <f>IF(ISBLANK('Data Entry'!$ċ$139), "", 'Data Entry'!$ċ$139)</f>
      </c>
      <c r="GV139">
        <f>IF(ISBLANK('Data Entry'!$Č$139), "", 'Data Entry'!$Č$139)</f>
      </c>
      <c r="GW139">
        <f>IF(ISBLANK('Data Entry'!$č$139), "", 'Data Entry'!$č$139)</f>
      </c>
      <c r="GX139">
        <f>IF(ISBLANK('Data Entry'!$Ď$139), "", 'Data Entry'!$Ď$139)</f>
      </c>
      <c r="GY139">
        <f>IF(ISBLANK('Data Entry'!$ď$139), "", 'Data Entry'!$ď$139)</f>
      </c>
      <c r="GZ139">
        <f>IF(ISBLANK('Data Entry'!$Đ$139), "", 'Data Entry'!$Đ$139)</f>
      </c>
      <c r="HA139">
        <f>IF(ISBLANK('Data Entry'!$đ$139), "", 'Data Entry'!$đ$139)</f>
      </c>
      <c r="HB139">
        <f>IF(ISBLANK('Data Entry'!$Ē$139), "", 'Data Entry'!$Ē$139)</f>
      </c>
      <c r="HC139">
        <f>IF(ISBLANK('Data Entry'!$ē$139), "", 'Data Entry'!$ē$139)</f>
      </c>
      <c r="HD139">
        <f>IF(ISBLANK('Data Entry'!$Ĕ$139), "", 'Data Entry'!$Ĕ$139)</f>
      </c>
      <c r="HE139">
        <f>IF(ISBLANK('Data Entry'!$ĕ$139), "", 'Data Entry'!$ĕ$139)</f>
      </c>
      <c r="HF139">
        <f>IF(ISBLANK('Data Entry'!$Ė$139), "", 'Data Entry'!$Ė$139)</f>
      </c>
      <c r="HG139">
        <f>IF(ISBLANK('Data Entry'!$ė$139), "", 'Data Entry'!$ė$139)</f>
      </c>
      <c r="HH139">
        <f>IF(ISBLANK('Data Entry'!$Ę$139), "", 'Data Entry'!$Ę$139)</f>
      </c>
      <c r="HI139">
        <f>IF(ISBLANK('Data Entry'!$ę$139), "", 'Data Entry'!$ę$139)</f>
      </c>
      <c r="HJ139">
        <f>IF(ISBLANK('Data Entry'!$Ě$139), "", 'Data Entry'!$Ě$139)</f>
      </c>
      <c r="HK139">
        <f>IF(ISBLANK('Data Entry'!$ě$139), "", 'Data Entry'!$ě$139)</f>
      </c>
      <c r="HL139">
        <f>IF(ISBLANK('Data Entry'!$Ĝ$139), "", 'Data Entry'!$Ĝ$139)</f>
      </c>
      <c r="HM139">
        <f>IF(ISBLANK('Data Entry'!$ĝ$139), "", 'Data Entry'!$ĝ$139)</f>
      </c>
      <c r="HN139">
        <f>IF(ISBLANK('Data Entry'!$Ğ$139), "", 'Data Entry'!$Ğ$139)</f>
      </c>
      <c r="HO139">
        <f>IF(ISBLANK('Data Entry'!$ğ$139), "", 'Data Entry'!$ğ$139)</f>
      </c>
      <c r="HP139">
        <f>IF(ISBLANK('Data Entry'!$Ġ$139), "", 'Data Entry'!$Ġ$139)</f>
      </c>
      <c r="HQ139">
        <f>IF(ISBLANK('Data Entry'!$ġ$139), "", 'Data Entry'!$ġ$139)</f>
      </c>
      <c r="HR139">
        <f>IF(ISBLANK('Data Entry'!$Ģ$139), "", 'Data Entry'!$Ģ$139)</f>
      </c>
      <c r="HS139">
        <f>IF(ISBLANK('Data Entry'!$ģ$139), "", 'Data Entry'!$ģ$139)</f>
      </c>
      <c r="HT139">
        <f>IF(ISBLANK('Data Entry'!$Ĥ$139), "", 'Data Entry'!$Ĥ$139)</f>
      </c>
      <c r="HU139">
        <f>IF(ISBLANK('Data Entry'!$ĥ$139), "", 'Data Entry'!$ĥ$139)</f>
      </c>
      <c r="HV139">
        <f>IF(ISBLANK('Data Entry'!$Ħ$139), "", 'Data Entry'!$Ħ$139)</f>
      </c>
      <c r="HW139">
        <f>IF(ISBLANK('Data Entry'!$ħ$139), "", 'Data Entry'!$ħ$139)</f>
      </c>
      <c r="HX139">
        <f>IF(ISBLANK('Data Entry'!$Ĩ$139), "", 'Data Entry'!$Ĩ$139)</f>
      </c>
      <c r="HY139">
        <f>IF(ISBLANK('Data Entry'!$ĩ$139), "", 'Data Entry'!$ĩ$139)</f>
      </c>
      <c r="HZ139">
        <f>IF(ISBLANK('Data Entry'!$Ī$139), "", 'Data Entry'!$Ī$139)</f>
      </c>
      <c r="IA139">
        <f>IF(ISBLANK('Data Entry'!$ī$139), "", 'Data Entry'!$ī$139)</f>
      </c>
      <c r="IB139">
        <f>IF(ISBLANK('Data Entry'!$Ĭ$139), "", 'Data Entry'!$Ĭ$139)</f>
      </c>
      <c r="IC139">
        <f>IF(ISBLANK('Data Entry'!$ĭ$139), "", 'Data Entry'!$ĭ$139)</f>
      </c>
      <c r="ID139">
        <f>IF(ISBLANK('Data Entry'!$Į$139), "", 'Data Entry'!$Į$139)</f>
      </c>
      <c r="IE139">
        <f>IF(ISBLANK('Data Entry'!$į$139), "", 'Data Entry'!$į$139)</f>
      </c>
      <c r="IF139">
        <f>IF(ISBLANK('Data Entry'!$İ$139), "", 'Data Entry'!$İ$139)</f>
      </c>
      <c r="IG139">
        <f>IF(ISBLANK('Data Entry'!$ı$139), "", 'Data Entry'!$ı$139)</f>
      </c>
      <c r="IH139">
        <f>IF(ISBLANK('Data Entry'!$Ĳ$139), "", 'Data Entry'!$Ĳ$139)</f>
      </c>
      <c r="II139">
        <f>IF(ISBLANK('Data Entry'!$ĳ$139), "", 'Data Entry'!$ĳ$139)</f>
      </c>
      <c r="IJ139">
        <f>IF(ISBLANK('Data Entry'!$Ĵ$139), "", 'Data Entry'!$Ĵ$139)</f>
      </c>
      <c r="IK139">
        <f>IF(ISBLANK('Data Entry'!$ĵ$139), "", 'Data Entry'!$ĵ$139)</f>
      </c>
      <c r="IL139">
        <f>IF(ISBLANK('Data Entry'!$Ķ$139), "", 'Data Entry'!$Ķ$139)</f>
      </c>
      <c r="IM139">
        <f>IF(ISBLANK('Data Entry'!$ķ$139), "", 'Data Entry'!$ķ$139)</f>
      </c>
      <c r="IN139">
        <f>IF(ISBLANK('Data Entry'!$ĸ$139), "", 'Data Entry'!$ĸ$139)</f>
      </c>
      <c r="IO139">
        <f>IF(ISBLANK('Data Entry'!$Ĺ$139), "", 'Data Entry'!$Ĺ$139)</f>
      </c>
      <c r="IP139">
        <f>IF(ISBLANK('Data Entry'!$ĺ$139), "", 'Data Entry'!$ĺ$139)</f>
      </c>
      <c r="IQ139">
        <f>IF(ISBLANK('Data Entry'!$Ļ$139), "", 'Data Entry'!$Ļ$139)</f>
      </c>
      <c r="IR139">
        <f>IF(ISBLANK('Data Entry'!$ļ$139), "", 'Data Entry'!$ļ$139)</f>
      </c>
      <c r="IS139">
        <f>IF(ISBLANK('Data Entry'!$Ľ$139), "", 'Data Entry'!$Ľ$139)</f>
      </c>
      <c r="IT139">
        <f>IF(ISBLANK('Data Entry'!$ľ$139), "", 'Data Entry'!$ľ$139)</f>
      </c>
    </row>
    <row r="140" spans="1:254" x14ac:dyDescent="0.25">
      <c r="A140">
        <f>IF(ISBLANK('Data Entry'!$A$140), "", 'Data Entry'!$A$140)</f>
      </c>
      <c r="B140">
        <f>IF(ISBLANK('Data Entry'!$B$140), "", 'Data Entry'!$B$140)</f>
      </c>
      <c r="C140">
        <f>IF(ISBLANK('Data Entry'!$C$140), "", 'Data Entry'!$C$140)</f>
      </c>
      <c r="D140">
        <f>IF(ISBLANK('Data Entry'!$D$140), "", 'Data Entry'!$D$140)</f>
      </c>
      <c r="E140">
        <f>IF(ISBLANK('Data Entry'!$E$140), "", 'Data Entry'!$E$140)</f>
      </c>
      <c r="F140">
        <f>IF(ISBLANK('Data Entry'!$F$140), "", 'Data Entry'!$F$140)</f>
      </c>
      <c r="G140">
        <f>IF(ISBLANK('Data Entry'!$G$140), "", 'Data Entry'!$G$140)</f>
      </c>
      <c r="H140">
        <f>IF(ISBLANK('Data Entry'!$H$140), "", 'Data Entry'!$H$140)</f>
      </c>
      <c r="I140">
        <f>IF(ISBLANK('Data Entry'!$I$140), "", 'Data Entry'!$I$140)</f>
      </c>
      <c r="J140">
        <f>IF(ISBLANK('Data Entry'!$J$140), "", 'Data Entry'!$J$140)</f>
      </c>
      <c r="K140">
        <f>IF(ISBLANK('Data Entry'!$K$140), "", 'Data Entry'!$K$140)</f>
      </c>
      <c r="L140">
        <f>IF(ISBLANK('Data Entry'!$L$140), "", 'Data Entry'!$L$140)</f>
      </c>
      <c r="M140">
        <f>IF(ISBLANK('Data Entry'!$M$140), "", 'Data Entry'!$M$140)</f>
      </c>
      <c r="N140">
        <f>IF(ISBLANK('Data Entry'!$N$140), "", 'Data Entry'!$N$140)</f>
      </c>
      <c r="O140">
        <f>IF(ISBLANK('Data Entry'!$O$140), "", 'Data Entry'!$O$140)</f>
      </c>
      <c r="P140">
        <f>IF(ISBLANK('Data Entry'!$P$140), "", 'Data Entry'!$P$140)</f>
      </c>
      <c r="Q140">
        <f>IF(ISBLANK('Data Entry'!$Q$140), "", 'Data Entry'!$Q$140)</f>
      </c>
      <c r="R140">
        <f>IF(ISBLANK('Data Entry'!$R$140), "", 'Data Entry'!$R$140)</f>
      </c>
      <c r="S140">
        <f>IF(ISBLANK('Data Entry'!$S$140), "", 'Data Entry'!$S$140)</f>
      </c>
      <c r="T140">
        <f>IF(ISBLANK('Data Entry'!$T$140), "", 'Data Entry'!$T$140)</f>
      </c>
      <c r="U140">
        <f>IF(ISBLANK('Data Entry'!$U$140), "", 'Data Entry'!$U$140)</f>
      </c>
      <c r="V140">
        <f>IF(ISBLANK('Data Entry'!$V$140), "", 'Data Entry'!$V$140)</f>
      </c>
      <c r="W140">
        <f>IF(ISBLANK('Data Entry'!$W$140), "", 'Data Entry'!$W$140)</f>
      </c>
      <c r="X140">
        <f>IF(ISBLANK('Data Entry'!$X$140), "", 'Data Entry'!$X$140)</f>
      </c>
      <c r="Y140">
        <f>IF(ISBLANK('Data Entry'!$Y$140), "", 'Data Entry'!$Y$140)</f>
      </c>
      <c r="Z140">
        <f>IF(ISBLANK('Data Entry'!$Z$140), "", 'Data Entry'!$Z$140)</f>
      </c>
      <c r="AA140">
        <f>IF(ISBLANK('Data Entry'!$[$140), "", 'Data Entry'!$[$140)</f>
      </c>
      <c r="AB140">
        <f>IF(ISBLANK('Data Entry'!$\$140), "", 'Data Entry'!$\$140)</f>
      </c>
      <c r="AC140">
        <f>IF(ISBLANK('Data Entry'!$]$140), "", 'Data Entry'!$]$140)</f>
      </c>
      <c r="AD140">
        <f>IF(ISBLANK('Data Entry'!$^$140), "", 'Data Entry'!$^$140)</f>
      </c>
      <c r="AE140">
        <f>IF(ISBLANK('Data Entry'!$_$140), "", 'Data Entry'!$_$140)</f>
      </c>
      <c r="AF140">
        <f>IF(ISBLANK('Data Entry'!$`$140), "", 'Data Entry'!$`$140)</f>
      </c>
      <c r="AG140">
        <f>IF(ISBLANK('Data Entry'!$a$140), "", 'Data Entry'!$a$140)</f>
      </c>
      <c r="AH140">
        <f>IF(ISBLANK('Data Entry'!$b$140), "", 'Data Entry'!$b$140)</f>
      </c>
      <c r="AI140">
        <f>IF(ISBLANK('Data Entry'!$c$140), "", 'Data Entry'!$c$140)</f>
      </c>
      <c r="AJ140">
        <f>IF(ISBLANK('Data Entry'!$d$140), "", 'Data Entry'!$d$140)</f>
      </c>
      <c r="AK140">
        <f>IF(ISBLANK('Data Entry'!$e$140), "", 'Data Entry'!$e$140)</f>
      </c>
      <c r="AL140">
        <f>IF(ISBLANK('Data Entry'!$f$140), "", 'Data Entry'!$f$140)</f>
      </c>
      <c r="AM140">
        <f>IF(ISBLANK('Data Entry'!$g$140), "", 'Data Entry'!$g$140)</f>
      </c>
      <c r="AN140">
        <f>IF(ISBLANK('Data Entry'!$h$140), "", 'Data Entry'!$h$140)</f>
      </c>
      <c r="AO140">
        <f>IF(ISBLANK('Data Entry'!$i$140), "", 'Data Entry'!$i$140)</f>
      </c>
      <c r="AP140">
        <f>IF(ISBLANK('Data Entry'!$j$140), "", 'Data Entry'!$j$140)</f>
      </c>
      <c r="AQ140">
        <f>IF(ISBLANK('Data Entry'!$k$140), "", 'Data Entry'!$k$140)</f>
      </c>
      <c r="AR140">
        <f>IF(ISBLANK('Data Entry'!$l$140), "", 'Data Entry'!$l$140)</f>
      </c>
      <c r="AS140">
        <f>IF(ISBLANK('Data Entry'!$m$140), "", 'Data Entry'!$m$140)</f>
      </c>
      <c r="AT140">
        <f>IF(ISBLANK('Data Entry'!$n$140), "", 'Data Entry'!$n$140)</f>
      </c>
      <c r="AU140">
        <f>IF(ISBLANK('Data Entry'!$o$140), "", 'Data Entry'!$o$140)</f>
      </c>
      <c r="AV140">
        <f>IF(ISBLANK('Data Entry'!$p$140), "", 'Data Entry'!$p$140)</f>
      </c>
      <c r="AW140">
        <f>IF(ISBLANK('Data Entry'!$q$140), "", 'Data Entry'!$q$140)</f>
      </c>
      <c r="AX140">
        <f>IF(ISBLANK('Data Entry'!$r$140), "", 'Data Entry'!$r$140)</f>
      </c>
      <c r="AY140">
        <f>IF(ISBLANK('Data Entry'!$s$140), "", 'Data Entry'!$s$140)</f>
      </c>
      <c r="AZ140">
        <f>IF(ISBLANK('Data Entry'!$t$140), "", 'Data Entry'!$t$140)</f>
      </c>
      <c r="BA140">
        <f>IF(ISBLANK('Data Entry'!$u$140), "", 'Data Entry'!$u$140)</f>
      </c>
      <c r="BB140">
        <f>IF(ISBLANK('Data Entry'!$v$140), "", 'Data Entry'!$v$140)</f>
      </c>
      <c r="BC140">
        <f>IF(ISBLANK('Data Entry'!$w$140), "", 'Data Entry'!$w$140)</f>
      </c>
      <c r="BD140">
        <f>IF(ISBLANK('Data Entry'!$x$140), "", 'Data Entry'!$x$140)</f>
      </c>
      <c r="BE140">
        <f>IF(ISBLANK('Data Entry'!$y$140), "", 'Data Entry'!$y$140)</f>
      </c>
      <c r="BF140">
        <f>IF(ISBLANK('Data Entry'!$z$140), "", 'Data Entry'!$z$140)</f>
      </c>
      <c r="BG140">
        <f>IF(ISBLANK('Data Entry'!${$140), "", 'Data Entry'!${$140)</f>
      </c>
      <c r="BH140">
        <f>IF(ISBLANK('Data Entry'!$|$140), "", 'Data Entry'!$|$140)</f>
      </c>
      <c r="BI140">
        <f>IF(ISBLANK('Data Entry'!$}$140), "", 'Data Entry'!$}$140)</f>
      </c>
      <c r="BJ140">
        <f>IF(ISBLANK('Data Entry'!$~$140), "", 'Data Entry'!$~$140)</f>
      </c>
      <c r="BK140">
        <f>IF(ISBLANK('Data Entry'!$$140), "", 'Data Entry'!$$140)</f>
      </c>
      <c r="BL140">
        <f>IF(ISBLANK('Data Entry'!$$140), "", 'Data Entry'!$$140)</f>
      </c>
      <c r="BM140">
        <f>IF(ISBLANK('Data Entry'!$$140), "", 'Data Entry'!$$140)</f>
      </c>
      <c r="BN140">
        <f>IF(ISBLANK('Data Entry'!$$140), "", 'Data Entry'!$$140)</f>
      </c>
      <c r="BO140">
        <f>IF(ISBLANK('Data Entry'!$$140), "", 'Data Entry'!$$140)</f>
      </c>
      <c r="BP140">
        <f>IF(ISBLANK('Data Entry'!$$140), "", 'Data Entry'!$$140)</f>
      </c>
      <c r="BQ140">
        <f>IF(ISBLANK('Data Entry'!$$140), "", 'Data Entry'!$$140)</f>
      </c>
      <c r="BR140">
        <f>IF(ISBLANK('Data Entry'!$$140), "", 'Data Entry'!$$140)</f>
      </c>
      <c r="BS140">
        <f>IF(ISBLANK('Data Entry'!$$140), "", 'Data Entry'!$$140)</f>
      </c>
      <c r="BT140">
        <f>IF(ISBLANK('Data Entry'!$$140), "", 'Data Entry'!$$140)</f>
      </c>
      <c r="BU140">
        <f>IF(ISBLANK('Data Entry'!$$140), "", 'Data Entry'!$$140)</f>
      </c>
      <c r="BV140">
        <f>IF(ISBLANK('Data Entry'!$$140), "", 'Data Entry'!$$140)</f>
      </c>
      <c r="BW140">
        <f>IF(ISBLANK('Data Entry'!$$140), "", 'Data Entry'!$$140)</f>
      </c>
      <c r="BX140">
        <f>IF(ISBLANK('Data Entry'!$$140), "", 'Data Entry'!$$140)</f>
      </c>
      <c r="BY140">
        <f>IF(ISBLANK('Data Entry'!$$140), "", 'Data Entry'!$$140)</f>
      </c>
      <c r="BZ140">
        <f>IF(ISBLANK('Data Entry'!$$140), "", 'Data Entry'!$$140)</f>
      </c>
      <c r="CA140">
        <f>IF(ISBLANK('Data Entry'!$$140), "", 'Data Entry'!$$140)</f>
      </c>
      <c r="CB140">
        <f>IF(ISBLANK('Data Entry'!$$140), "", 'Data Entry'!$$140)</f>
      </c>
      <c r="CC140">
        <f>IF(ISBLANK('Data Entry'!$$140), "", 'Data Entry'!$$140)</f>
      </c>
      <c r="CD140">
        <f>IF(ISBLANK('Data Entry'!$$140), "", 'Data Entry'!$$140)</f>
      </c>
      <c r="CE140">
        <f>IF(ISBLANK('Data Entry'!$$140), "", 'Data Entry'!$$140)</f>
      </c>
      <c r="CF140">
        <f>IF(ISBLANK('Data Entry'!$$140), "", 'Data Entry'!$$140)</f>
      </c>
      <c r="CG140">
        <f>IF(ISBLANK('Data Entry'!$$140), "", 'Data Entry'!$$140)</f>
      </c>
      <c r="CH140">
        <f>IF(ISBLANK('Data Entry'!$$140), "", 'Data Entry'!$$140)</f>
      </c>
      <c r="CI140">
        <f>IF(ISBLANK('Data Entry'!$$140), "", 'Data Entry'!$$140)</f>
      </c>
      <c r="CJ140">
        <f>IF(ISBLANK('Data Entry'!$$140), "", 'Data Entry'!$$140)</f>
      </c>
      <c r="CK140">
        <f>IF(ISBLANK('Data Entry'!$$140), "", 'Data Entry'!$$140)</f>
      </c>
      <c r="CL140">
        <f>IF(ISBLANK('Data Entry'!$$140), "", 'Data Entry'!$$140)</f>
      </c>
      <c r="CM140">
        <f>IF(ISBLANK('Data Entry'!$$140), "", 'Data Entry'!$$140)</f>
      </c>
      <c r="CN140">
        <f>IF(ISBLANK('Data Entry'!$$140), "", 'Data Entry'!$$140)</f>
      </c>
      <c r="CO140">
        <f>IF(ISBLANK('Data Entry'!$$140), "", 'Data Entry'!$$140)</f>
      </c>
      <c r="CP140">
        <f>IF(ISBLANK('Data Entry'!$$140), "", 'Data Entry'!$$140)</f>
      </c>
      <c r="CQ140">
        <f>IF(ISBLANK('Data Entry'!$$140), "", 'Data Entry'!$$140)</f>
      </c>
      <c r="CR140">
        <f>IF(ISBLANK('Data Entry'!$ $140), "", 'Data Entry'!$ $140)</f>
      </c>
      <c r="CS140">
        <f>IF(ISBLANK('Data Entry'!$¡$140), "", 'Data Entry'!$¡$140)</f>
      </c>
      <c r="CT140">
        <f>IF(ISBLANK('Data Entry'!$¢$140), "", 'Data Entry'!$¢$140)</f>
      </c>
      <c r="CU140">
        <f>IF(ISBLANK('Data Entry'!$£$140), "", 'Data Entry'!$£$140)</f>
      </c>
      <c r="CV140">
        <f>IF(ISBLANK('Data Entry'!$¤$140), "", 'Data Entry'!$¤$140)</f>
      </c>
      <c r="CW140">
        <f>IF(ISBLANK('Data Entry'!$¥$140), "", 'Data Entry'!$¥$140)</f>
      </c>
      <c r="CX140">
        <f>IF(ISBLANK('Data Entry'!$¦$140), "", 'Data Entry'!$¦$140)</f>
      </c>
      <c r="CY140">
        <f>IF(ISBLANK('Data Entry'!$§$140), "", 'Data Entry'!$§$140)</f>
      </c>
      <c r="CZ140">
        <f>IF(ISBLANK('Data Entry'!$¨$140), "", 'Data Entry'!$¨$140)</f>
      </c>
      <c r="DA140">
        <f>IF(ISBLANK('Data Entry'!$©$140), "", 'Data Entry'!$©$140)</f>
      </c>
      <c r="DB140">
        <f>IF(ISBLANK('Data Entry'!$ª$140), "", 'Data Entry'!$ª$140)</f>
      </c>
      <c r="DC140">
        <f>IF(ISBLANK('Data Entry'!$«$140), "", 'Data Entry'!$«$140)</f>
      </c>
      <c r="DD140">
        <f>IF(ISBLANK('Data Entry'!$¬$140), "", 'Data Entry'!$¬$140)</f>
      </c>
      <c r="DE140">
        <f>IF(ISBLANK('Data Entry'!$­$140), "", 'Data Entry'!$­$140)</f>
      </c>
      <c r="DF140">
        <f>IF(ISBLANK('Data Entry'!$®$140), "", 'Data Entry'!$®$140)</f>
      </c>
      <c r="DG140">
        <f>IF(ISBLANK('Data Entry'!$¯$140), "", 'Data Entry'!$¯$140)</f>
      </c>
      <c r="DH140">
        <f>IF(ISBLANK('Data Entry'!$°$140), "", 'Data Entry'!$°$140)</f>
      </c>
      <c r="DI140">
        <f>IF(ISBLANK('Data Entry'!$±$140), "", 'Data Entry'!$±$140)</f>
      </c>
      <c r="DJ140">
        <f>IF(ISBLANK('Data Entry'!$²$140), "", 'Data Entry'!$²$140)</f>
      </c>
      <c r="DK140">
        <f>IF(ISBLANK('Data Entry'!$³$140), "", 'Data Entry'!$³$140)</f>
      </c>
      <c r="DL140">
        <f>IF(ISBLANK('Data Entry'!$´$140), "", 'Data Entry'!$´$140)</f>
      </c>
      <c r="DM140">
        <f>IF(ISBLANK('Data Entry'!$µ$140), "", 'Data Entry'!$µ$140)</f>
      </c>
      <c r="DN140">
        <f>IF(ISBLANK('Data Entry'!$¶$140), "", 'Data Entry'!$¶$140)</f>
      </c>
      <c r="DO140">
        <f>IF(ISBLANK('Data Entry'!$·$140), "", 'Data Entry'!$·$140)</f>
      </c>
      <c r="DP140">
        <f>IF(ISBLANK('Data Entry'!$¸$140), "", 'Data Entry'!$¸$140)</f>
      </c>
      <c r="DQ140">
        <f>IF(ISBLANK('Data Entry'!$¹$140), "", 'Data Entry'!$¹$140)</f>
      </c>
      <c r="DR140">
        <f>IF(ISBLANK('Data Entry'!$º$140), "", 'Data Entry'!$º$140)</f>
      </c>
      <c r="DS140">
        <f>IF(ISBLANK('Data Entry'!$»$140), "", 'Data Entry'!$»$140)</f>
      </c>
      <c r="DT140">
        <f>IF(ISBLANK('Data Entry'!$¼$140), "", 'Data Entry'!$¼$140)</f>
      </c>
      <c r="DU140">
        <f>IF(ISBLANK('Data Entry'!$½$140), "", 'Data Entry'!$½$140)</f>
      </c>
      <c r="DV140">
        <f>IF(ISBLANK('Data Entry'!$¾$140), "", 'Data Entry'!$¾$140)</f>
      </c>
      <c r="DW140">
        <f>IF(ISBLANK('Data Entry'!$¿$140), "", 'Data Entry'!$¿$140)</f>
      </c>
      <c r="DX140">
        <f>IF(ISBLANK('Data Entry'!$À$140), "", 'Data Entry'!$À$140)</f>
      </c>
      <c r="DY140">
        <f>IF(ISBLANK('Data Entry'!$Á$140), "", 'Data Entry'!$Á$140)</f>
      </c>
      <c r="DZ140">
        <f>IF(ISBLANK('Data Entry'!$Â$140), "", 'Data Entry'!$Â$140)</f>
      </c>
      <c r="EA140">
        <f>IF(ISBLANK('Data Entry'!$Ã$140), "", 'Data Entry'!$Ã$140)</f>
      </c>
      <c r="EB140">
        <f>IF(ISBLANK('Data Entry'!$Ä$140), "", 'Data Entry'!$Ä$140)</f>
      </c>
      <c r="EC140">
        <f>IF(ISBLANK('Data Entry'!$Å$140), "", 'Data Entry'!$Å$140)</f>
      </c>
      <c r="ED140">
        <f>IF(ISBLANK('Data Entry'!$Æ$140), "", 'Data Entry'!$Æ$140)</f>
      </c>
      <c r="EE140">
        <f>IF(ISBLANK('Data Entry'!$Ç$140), "", 'Data Entry'!$Ç$140)</f>
      </c>
      <c r="EF140">
        <f>IF(ISBLANK('Data Entry'!$È$140), "", 'Data Entry'!$È$140)</f>
      </c>
      <c r="EG140">
        <f>IF(ISBLANK('Data Entry'!$É$140), "", 'Data Entry'!$É$140)</f>
      </c>
      <c r="EH140">
        <f>IF(ISBLANK('Data Entry'!$Ê$140), "", 'Data Entry'!$Ê$140)</f>
      </c>
      <c r="EI140">
        <f>IF(ISBLANK('Data Entry'!$Ë$140), "", 'Data Entry'!$Ë$140)</f>
      </c>
      <c r="EJ140">
        <f>IF(ISBLANK('Data Entry'!$Ì$140), "", 'Data Entry'!$Ì$140)</f>
      </c>
      <c r="EK140">
        <f>IF(ISBLANK('Data Entry'!$Í$140), "", 'Data Entry'!$Í$140)</f>
      </c>
      <c r="EL140">
        <f>IF(ISBLANK('Data Entry'!$Î$140), "", 'Data Entry'!$Î$140)</f>
      </c>
      <c r="EM140">
        <f>IF(ISBLANK('Data Entry'!$Ï$140), "", 'Data Entry'!$Ï$140)</f>
      </c>
      <c r="EN140">
        <f>IF(ISBLANK('Data Entry'!$Ð$140), "", 'Data Entry'!$Ð$140)</f>
      </c>
      <c r="EO140">
        <f>IF(ISBLANK('Data Entry'!$Ñ$140), "", 'Data Entry'!$Ñ$140)</f>
      </c>
      <c r="EP140">
        <f>IF(ISBLANK('Data Entry'!$Ò$140), "", 'Data Entry'!$Ò$140)</f>
      </c>
      <c r="EQ140">
        <f>IF(ISBLANK('Data Entry'!$Ó$140), "", 'Data Entry'!$Ó$140)</f>
      </c>
      <c r="ER140">
        <f>IF(ISBLANK('Data Entry'!$Ô$140), "", 'Data Entry'!$Ô$140)</f>
      </c>
      <c r="ES140">
        <f>IF(ISBLANK('Data Entry'!$Õ$140), "", 'Data Entry'!$Õ$140)</f>
      </c>
      <c r="ET140">
        <f>IF(ISBLANK('Data Entry'!$Ö$140), "", 'Data Entry'!$Ö$140)</f>
      </c>
      <c r="EU140">
        <f>IF(ISBLANK('Data Entry'!$×$140), "", 'Data Entry'!$×$140)</f>
      </c>
      <c r="EV140">
        <f>IF(ISBLANK('Data Entry'!$Ø$140), "", 'Data Entry'!$Ø$140)</f>
      </c>
      <c r="EW140">
        <f>IF(ISBLANK('Data Entry'!$Ù$140), "", 'Data Entry'!$Ù$140)</f>
      </c>
      <c r="EX140">
        <f>IF(ISBLANK('Data Entry'!$Ú$140), "", 'Data Entry'!$Ú$140)</f>
      </c>
      <c r="EY140">
        <f>IF(ISBLANK('Data Entry'!$Û$140), "", 'Data Entry'!$Û$140)</f>
      </c>
      <c r="EZ140">
        <f>IF(ISBLANK('Data Entry'!$Ü$140), "", 'Data Entry'!$Ü$140)</f>
      </c>
      <c r="FA140">
        <f>IF(ISBLANK('Data Entry'!$Ý$140), "", 'Data Entry'!$Ý$140)</f>
      </c>
      <c r="FB140">
        <f>IF(ISBLANK('Data Entry'!$Þ$140), "", 'Data Entry'!$Þ$140)</f>
      </c>
      <c r="FC140">
        <f>IF(ISBLANK('Data Entry'!$ß$140), "", 'Data Entry'!$ß$140)</f>
      </c>
      <c r="FD140">
        <f>IF(ISBLANK('Data Entry'!$à$140), "", 'Data Entry'!$à$140)</f>
      </c>
      <c r="FE140">
        <f>IF(ISBLANK('Data Entry'!$á$140), "", 'Data Entry'!$á$140)</f>
      </c>
      <c r="FF140">
        <f>IF(ISBLANK('Data Entry'!$â$140), "", 'Data Entry'!$â$140)</f>
      </c>
      <c r="FG140">
        <f>IF(ISBLANK('Data Entry'!$ã$140), "", 'Data Entry'!$ã$140)</f>
      </c>
      <c r="FH140">
        <f>IF(ISBLANK('Data Entry'!$ä$140), "", 'Data Entry'!$ä$140)</f>
      </c>
      <c r="FI140">
        <f>IF(ISBLANK('Data Entry'!$å$140), "", 'Data Entry'!$å$140)</f>
      </c>
      <c r="FJ140">
        <f>IF(ISBLANK('Data Entry'!$æ$140), "", 'Data Entry'!$æ$140)</f>
      </c>
      <c r="FK140">
        <f>IF(ISBLANK('Data Entry'!$ç$140), "", 'Data Entry'!$ç$140)</f>
      </c>
      <c r="FL140">
        <f>IF(ISBLANK('Data Entry'!$è$140), "", 'Data Entry'!$è$140)</f>
      </c>
      <c r="FM140">
        <f>IF(ISBLANK('Data Entry'!$é$140), "", 'Data Entry'!$é$140)</f>
      </c>
      <c r="FN140">
        <f>IF(ISBLANK('Data Entry'!$ê$140), "", 'Data Entry'!$ê$140)</f>
      </c>
      <c r="FO140">
        <f>IF(ISBLANK('Data Entry'!$ë$140), "", 'Data Entry'!$ë$140)</f>
      </c>
      <c r="FP140">
        <f>IF(ISBLANK('Data Entry'!$ì$140), "", 'Data Entry'!$ì$140)</f>
      </c>
      <c r="FQ140">
        <f>IF(ISBLANK('Data Entry'!$í$140), "", 'Data Entry'!$í$140)</f>
      </c>
      <c r="FR140">
        <f>IF(ISBLANK('Data Entry'!$î$140), "", 'Data Entry'!$î$140)</f>
      </c>
      <c r="FS140">
        <f>IF(ISBLANK('Data Entry'!$ï$140), "", 'Data Entry'!$ï$140)</f>
      </c>
      <c r="FT140">
        <f>IF(ISBLANK('Data Entry'!$ð$140), "", 'Data Entry'!$ð$140)</f>
      </c>
      <c r="FU140">
        <f>IF(ISBLANK('Data Entry'!$ñ$140), "", 'Data Entry'!$ñ$140)</f>
      </c>
      <c r="FV140">
        <f>IF(ISBLANK('Data Entry'!$ò$140), "", 'Data Entry'!$ò$140)</f>
      </c>
      <c r="FW140">
        <f>IF(ISBLANK('Data Entry'!$ó$140), "", 'Data Entry'!$ó$140)</f>
      </c>
      <c r="FX140">
        <f>IF(ISBLANK('Data Entry'!$ô$140), "", 'Data Entry'!$ô$140)</f>
      </c>
      <c r="FY140">
        <f>IF(ISBLANK('Data Entry'!$õ$140), "", 'Data Entry'!$õ$140)</f>
      </c>
      <c r="FZ140">
        <f>IF(ISBLANK('Data Entry'!$ö$140), "", 'Data Entry'!$ö$140)</f>
      </c>
      <c r="GA140">
        <f>IF(ISBLANK('Data Entry'!$÷$140), "", 'Data Entry'!$÷$140)</f>
      </c>
      <c r="GB140">
        <f>IF(ISBLANK('Data Entry'!$ø$140), "", 'Data Entry'!$ø$140)</f>
      </c>
      <c r="GC140">
        <f>IF(ISBLANK('Data Entry'!$ù$140), "", 'Data Entry'!$ù$140)</f>
      </c>
      <c r="GD140">
        <f>IF(ISBLANK('Data Entry'!$ú$140), "", 'Data Entry'!$ú$140)</f>
      </c>
      <c r="GE140">
        <f>IF(ISBLANK('Data Entry'!$û$140), "", 'Data Entry'!$û$140)</f>
      </c>
      <c r="GF140">
        <f>IF(ISBLANK('Data Entry'!$ü$140), "", 'Data Entry'!$ü$140)</f>
      </c>
      <c r="GG140">
        <f>IF(ISBLANK('Data Entry'!$ý$140), "", 'Data Entry'!$ý$140)</f>
      </c>
      <c r="GH140">
        <f>IF(ISBLANK('Data Entry'!$þ$140), "", 'Data Entry'!$þ$140)</f>
      </c>
      <c r="GI140">
        <f>IF(ISBLANK('Data Entry'!$ÿ$140), "", 'Data Entry'!$ÿ$140)</f>
      </c>
      <c r="GJ140">
        <f>IF(ISBLANK('Data Entry'!$Ā$140), "", 'Data Entry'!$Ā$140)</f>
      </c>
      <c r="GK140">
        <f>IF(ISBLANK('Data Entry'!$ā$140), "", 'Data Entry'!$ā$140)</f>
      </c>
      <c r="GL140">
        <f>IF(ISBLANK('Data Entry'!$Ă$140), "", 'Data Entry'!$Ă$140)</f>
      </c>
      <c r="GM140">
        <f>IF(ISBLANK('Data Entry'!$ă$140), "", 'Data Entry'!$ă$140)</f>
      </c>
      <c r="GN140">
        <f>IF(ISBLANK('Data Entry'!$Ą$140), "", 'Data Entry'!$Ą$140)</f>
      </c>
      <c r="GO140">
        <f>IF(ISBLANK('Data Entry'!$ą$140), "", 'Data Entry'!$ą$140)</f>
      </c>
      <c r="GP140">
        <f>IF(ISBLANK('Data Entry'!$Ć$140), "", 'Data Entry'!$Ć$140)</f>
      </c>
      <c r="GQ140">
        <f>IF(ISBLANK('Data Entry'!$ć$140), "", 'Data Entry'!$ć$140)</f>
      </c>
      <c r="GR140">
        <f>IF(ISBLANK('Data Entry'!$Ĉ$140), "", 'Data Entry'!$Ĉ$140)</f>
      </c>
      <c r="GS140">
        <f>IF(ISBLANK('Data Entry'!$ĉ$140), "", 'Data Entry'!$ĉ$140)</f>
      </c>
      <c r="GT140">
        <f>IF(ISBLANK('Data Entry'!$Ċ$140), "", 'Data Entry'!$Ċ$140)</f>
      </c>
      <c r="GU140">
        <f>IF(ISBLANK('Data Entry'!$ċ$140), "", 'Data Entry'!$ċ$140)</f>
      </c>
      <c r="GV140">
        <f>IF(ISBLANK('Data Entry'!$Č$140), "", 'Data Entry'!$Č$140)</f>
      </c>
      <c r="GW140">
        <f>IF(ISBLANK('Data Entry'!$č$140), "", 'Data Entry'!$č$140)</f>
      </c>
      <c r="GX140">
        <f>IF(ISBLANK('Data Entry'!$Ď$140), "", 'Data Entry'!$Ď$140)</f>
      </c>
      <c r="GY140">
        <f>IF(ISBLANK('Data Entry'!$ď$140), "", 'Data Entry'!$ď$140)</f>
      </c>
      <c r="GZ140">
        <f>IF(ISBLANK('Data Entry'!$Đ$140), "", 'Data Entry'!$Đ$140)</f>
      </c>
      <c r="HA140">
        <f>IF(ISBLANK('Data Entry'!$đ$140), "", 'Data Entry'!$đ$140)</f>
      </c>
      <c r="HB140">
        <f>IF(ISBLANK('Data Entry'!$Ē$140), "", 'Data Entry'!$Ē$140)</f>
      </c>
      <c r="HC140">
        <f>IF(ISBLANK('Data Entry'!$ē$140), "", 'Data Entry'!$ē$140)</f>
      </c>
      <c r="HD140">
        <f>IF(ISBLANK('Data Entry'!$Ĕ$140), "", 'Data Entry'!$Ĕ$140)</f>
      </c>
      <c r="HE140">
        <f>IF(ISBLANK('Data Entry'!$ĕ$140), "", 'Data Entry'!$ĕ$140)</f>
      </c>
      <c r="HF140">
        <f>IF(ISBLANK('Data Entry'!$Ė$140), "", 'Data Entry'!$Ė$140)</f>
      </c>
      <c r="HG140">
        <f>IF(ISBLANK('Data Entry'!$ė$140), "", 'Data Entry'!$ė$140)</f>
      </c>
      <c r="HH140">
        <f>IF(ISBLANK('Data Entry'!$Ę$140), "", 'Data Entry'!$Ę$140)</f>
      </c>
      <c r="HI140">
        <f>IF(ISBLANK('Data Entry'!$ę$140), "", 'Data Entry'!$ę$140)</f>
      </c>
      <c r="HJ140">
        <f>IF(ISBLANK('Data Entry'!$Ě$140), "", 'Data Entry'!$Ě$140)</f>
      </c>
      <c r="HK140">
        <f>IF(ISBLANK('Data Entry'!$ě$140), "", 'Data Entry'!$ě$140)</f>
      </c>
      <c r="HL140">
        <f>IF(ISBLANK('Data Entry'!$Ĝ$140), "", 'Data Entry'!$Ĝ$140)</f>
      </c>
      <c r="HM140">
        <f>IF(ISBLANK('Data Entry'!$ĝ$140), "", 'Data Entry'!$ĝ$140)</f>
      </c>
      <c r="HN140">
        <f>IF(ISBLANK('Data Entry'!$Ğ$140), "", 'Data Entry'!$Ğ$140)</f>
      </c>
      <c r="HO140">
        <f>IF(ISBLANK('Data Entry'!$ğ$140), "", 'Data Entry'!$ğ$140)</f>
      </c>
      <c r="HP140">
        <f>IF(ISBLANK('Data Entry'!$Ġ$140), "", 'Data Entry'!$Ġ$140)</f>
      </c>
      <c r="HQ140">
        <f>IF(ISBLANK('Data Entry'!$ġ$140), "", 'Data Entry'!$ġ$140)</f>
      </c>
      <c r="HR140">
        <f>IF(ISBLANK('Data Entry'!$Ģ$140), "", 'Data Entry'!$Ģ$140)</f>
      </c>
      <c r="HS140">
        <f>IF(ISBLANK('Data Entry'!$ģ$140), "", 'Data Entry'!$ģ$140)</f>
      </c>
      <c r="HT140">
        <f>IF(ISBLANK('Data Entry'!$Ĥ$140), "", 'Data Entry'!$Ĥ$140)</f>
      </c>
      <c r="HU140">
        <f>IF(ISBLANK('Data Entry'!$ĥ$140), "", 'Data Entry'!$ĥ$140)</f>
      </c>
      <c r="HV140">
        <f>IF(ISBLANK('Data Entry'!$Ħ$140), "", 'Data Entry'!$Ħ$140)</f>
      </c>
      <c r="HW140">
        <f>IF(ISBLANK('Data Entry'!$ħ$140), "", 'Data Entry'!$ħ$140)</f>
      </c>
      <c r="HX140">
        <f>IF(ISBLANK('Data Entry'!$Ĩ$140), "", 'Data Entry'!$Ĩ$140)</f>
      </c>
      <c r="HY140">
        <f>IF(ISBLANK('Data Entry'!$ĩ$140), "", 'Data Entry'!$ĩ$140)</f>
      </c>
      <c r="HZ140">
        <f>IF(ISBLANK('Data Entry'!$Ī$140), "", 'Data Entry'!$Ī$140)</f>
      </c>
      <c r="IA140">
        <f>IF(ISBLANK('Data Entry'!$ī$140), "", 'Data Entry'!$ī$140)</f>
      </c>
      <c r="IB140">
        <f>IF(ISBLANK('Data Entry'!$Ĭ$140), "", 'Data Entry'!$Ĭ$140)</f>
      </c>
      <c r="IC140">
        <f>IF(ISBLANK('Data Entry'!$ĭ$140), "", 'Data Entry'!$ĭ$140)</f>
      </c>
      <c r="ID140">
        <f>IF(ISBLANK('Data Entry'!$Į$140), "", 'Data Entry'!$Į$140)</f>
      </c>
      <c r="IE140">
        <f>IF(ISBLANK('Data Entry'!$į$140), "", 'Data Entry'!$į$140)</f>
      </c>
      <c r="IF140">
        <f>IF(ISBLANK('Data Entry'!$İ$140), "", 'Data Entry'!$İ$140)</f>
      </c>
      <c r="IG140">
        <f>IF(ISBLANK('Data Entry'!$ı$140), "", 'Data Entry'!$ı$140)</f>
      </c>
      <c r="IH140">
        <f>IF(ISBLANK('Data Entry'!$Ĳ$140), "", 'Data Entry'!$Ĳ$140)</f>
      </c>
      <c r="II140">
        <f>IF(ISBLANK('Data Entry'!$ĳ$140), "", 'Data Entry'!$ĳ$140)</f>
      </c>
      <c r="IJ140">
        <f>IF(ISBLANK('Data Entry'!$Ĵ$140), "", 'Data Entry'!$Ĵ$140)</f>
      </c>
      <c r="IK140">
        <f>IF(ISBLANK('Data Entry'!$ĵ$140), "", 'Data Entry'!$ĵ$140)</f>
      </c>
      <c r="IL140">
        <f>IF(ISBLANK('Data Entry'!$Ķ$140), "", 'Data Entry'!$Ķ$140)</f>
      </c>
      <c r="IM140">
        <f>IF(ISBLANK('Data Entry'!$ķ$140), "", 'Data Entry'!$ķ$140)</f>
      </c>
      <c r="IN140">
        <f>IF(ISBLANK('Data Entry'!$ĸ$140), "", 'Data Entry'!$ĸ$140)</f>
      </c>
      <c r="IO140">
        <f>IF(ISBLANK('Data Entry'!$Ĺ$140), "", 'Data Entry'!$Ĺ$140)</f>
      </c>
      <c r="IP140">
        <f>IF(ISBLANK('Data Entry'!$ĺ$140), "", 'Data Entry'!$ĺ$140)</f>
      </c>
      <c r="IQ140">
        <f>IF(ISBLANK('Data Entry'!$Ļ$140), "", 'Data Entry'!$Ļ$140)</f>
      </c>
      <c r="IR140">
        <f>IF(ISBLANK('Data Entry'!$ļ$140), "", 'Data Entry'!$ļ$140)</f>
      </c>
      <c r="IS140">
        <f>IF(ISBLANK('Data Entry'!$Ľ$140), "", 'Data Entry'!$Ľ$140)</f>
      </c>
      <c r="IT140">
        <f>IF(ISBLANK('Data Entry'!$ľ$140), "", 'Data Entry'!$ľ$140)</f>
      </c>
    </row>
    <row r="141" spans="1:254" x14ac:dyDescent="0.25">
      <c r="A141">
        <f>IF(ISBLANK('Data Entry'!$A$141), "", 'Data Entry'!$A$141)</f>
      </c>
      <c r="B141">
        <f>IF(ISBLANK('Data Entry'!$B$141), "", 'Data Entry'!$B$141)</f>
      </c>
      <c r="C141">
        <f>IF(ISBLANK('Data Entry'!$C$141), "", 'Data Entry'!$C$141)</f>
      </c>
      <c r="D141">
        <f>IF(ISBLANK('Data Entry'!$D$141), "", 'Data Entry'!$D$141)</f>
      </c>
      <c r="E141">
        <f>IF(ISBLANK('Data Entry'!$E$141), "", 'Data Entry'!$E$141)</f>
      </c>
      <c r="F141">
        <f>IF(ISBLANK('Data Entry'!$F$141), "", 'Data Entry'!$F$141)</f>
      </c>
      <c r="G141">
        <f>IF(ISBLANK('Data Entry'!$G$141), "", 'Data Entry'!$G$141)</f>
      </c>
      <c r="H141">
        <f>IF(ISBLANK('Data Entry'!$H$141), "", 'Data Entry'!$H$141)</f>
      </c>
      <c r="I141">
        <f>IF(ISBLANK('Data Entry'!$I$141), "", 'Data Entry'!$I$141)</f>
      </c>
      <c r="J141">
        <f>IF(ISBLANK('Data Entry'!$J$141), "", 'Data Entry'!$J$141)</f>
      </c>
      <c r="K141">
        <f>IF(ISBLANK('Data Entry'!$K$141), "", 'Data Entry'!$K$141)</f>
      </c>
      <c r="L141">
        <f>IF(ISBLANK('Data Entry'!$L$141), "", 'Data Entry'!$L$141)</f>
      </c>
      <c r="M141">
        <f>IF(ISBLANK('Data Entry'!$M$141), "", 'Data Entry'!$M$141)</f>
      </c>
      <c r="N141">
        <f>IF(ISBLANK('Data Entry'!$N$141), "", 'Data Entry'!$N$141)</f>
      </c>
      <c r="O141">
        <f>IF(ISBLANK('Data Entry'!$O$141), "", 'Data Entry'!$O$141)</f>
      </c>
      <c r="P141">
        <f>IF(ISBLANK('Data Entry'!$P$141), "", 'Data Entry'!$P$141)</f>
      </c>
      <c r="Q141">
        <f>IF(ISBLANK('Data Entry'!$Q$141), "", 'Data Entry'!$Q$141)</f>
      </c>
      <c r="R141">
        <f>IF(ISBLANK('Data Entry'!$R$141), "", 'Data Entry'!$R$141)</f>
      </c>
      <c r="S141">
        <f>IF(ISBLANK('Data Entry'!$S$141), "", 'Data Entry'!$S$141)</f>
      </c>
      <c r="T141">
        <f>IF(ISBLANK('Data Entry'!$T$141), "", 'Data Entry'!$T$141)</f>
      </c>
      <c r="U141">
        <f>IF(ISBLANK('Data Entry'!$U$141), "", 'Data Entry'!$U$141)</f>
      </c>
      <c r="V141">
        <f>IF(ISBLANK('Data Entry'!$V$141), "", 'Data Entry'!$V$141)</f>
      </c>
      <c r="W141">
        <f>IF(ISBLANK('Data Entry'!$W$141), "", 'Data Entry'!$W$141)</f>
      </c>
      <c r="X141">
        <f>IF(ISBLANK('Data Entry'!$X$141), "", 'Data Entry'!$X$141)</f>
      </c>
      <c r="Y141">
        <f>IF(ISBLANK('Data Entry'!$Y$141), "", 'Data Entry'!$Y$141)</f>
      </c>
      <c r="Z141">
        <f>IF(ISBLANK('Data Entry'!$Z$141), "", 'Data Entry'!$Z$141)</f>
      </c>
      <c r="AA141">
        <f>IF(ISBLANK('Data Entry'!$[$141), "", 'Data Entry'!$[$141)</f>
      </c>
      <c r="AB141">
        <f>IF(ISBLANK('Data Entry'!$\$141), "", 'Data Entry'!$\$141)</f>
      </c>
      <c r="AC141">
        <f>IF(ISBLANK('Data Entry'!$]$141), "", 'Data Entry'!$]$141)</f>
      </c>
      <c r="AD141">
        <f>IF(ISBLANK('Data Entry'!$^$141), "", 'Data Entry'!$^$141)</f>
      </c>
      <c r="AE141">
        <f>IF(ISBLANK('Data Entry'!$_$141), "", 'Data Entry'!$_$141)</f>
      </c>
      <c r="AF141">
        <f>IF(ISBLANK('Data Entry'!$`$141), "", 'Data Entry'!$`$141)</f>
      </c>
      <c r="AG141">
        <f>IF(ISBLANK('Data Entry'!$a$141), "", 'Data Entry'!$a$141)</f>
      </c>
      <c r="AH141">
        <f>IF(ISBLANK('Data Entry'!$b$141), "", 'Data Entry'!$b$141)</f>
      </c>
      <c r="AI141">
        <f>IF(ISBLANK('Data Entry'!$c$141), "", 'Data Entry'!$c$141)</f>
      </c>
      <c r="AJ141">
        <f>IF(ISBLANK('Data Entry'!$d$141), "", 'Data Entry'!$d$141)</f>
      </c>
      <c r="AK141">
        <f>IF(ISBLANK('Data Entry'!$e$141), "", 'Data Entry'!$e$141)</f>
      </c>
      <c r="AL141">
        <f>IF(ISBLANK('Data Entry'!$f$141), "", 'Data Entry'!$f$141)</f>
      </c>
      <c r="AM141">
        <f>IF(ISBLANK('Data Entry'!$g$141), "", 'Data Entry'!$g$141)</f>
      </c>
      <c r="AN141">
        <f>IF(ISBLANK('Data Entry'!$h$141), "", 'Data Entry'!$h$141)</f>
      </c>
      <c r="AO141">
        <f>IF(ISBLANK('Data Entry'!$i$141), "", 'Data Entry'!$i$141)</f>
      </c>
      <c r="AP141">
        <f>IF(ISBLANK('Data Entry'!$j$141), "", 'Data Entry'!$j$141)</f>
      </c>
      <c r="AQ141">
        <f>IF(ISBLANK('Data Entry'!$k$141), "", 'Data Entry'!$k$141)</f>
      </c>
      <c r="AR141">
        <f>IF(ISBLANK('Data Entry'!$l$141), "", 'Data Entry'!$l$141)</f>
      </c>
      <c r="AS141">
        <f>IF(ISBLANK('Data Entry'!$m$141), "", 'Data Entry'!$m$141)</f>
      </c>
      <c r="AT141">
        <f>IF(ISBLANK('Data Entry'!$n$141), "", 'Data Entry'!$n$141)</f>
      </c>
      <c r="AU141">
        <f>IF(ISBLANK('Data Entry'!$o$141), "", 'Data Entry'!$o$141)</f>
      </c>
      <c r="AV141">
        <f>IF(ISBLANK('Data Entry'!$p$141), "", 'Data Entry'!$p$141)</f>
      </c>
      <c r="AW141">
        <f>IF(ISBLANK('Data Entry'!$q$141), "", 'Data Entry'!$q$141)</f>
      </c>
      <c r="AX141">
        <f>IF(ISBLANK('Data Entry'!$r$141), "", 'Data Entry'!$r$141)</f>
      </c>
      <c r="AY141">
        <f>IF(ISBLANK('Data Entry'!$s$141), "", 'Data Entry'!$s$141)</f>
      </c>
      <c r="AZ141">
        <f>IF(ISBLANK('Data Entry'!$t$141), "", 'Data Entry'!$t$141)</f>
      </c>
      <c r="BA141">
        <f>IF(ISBLANK('Data Entry'!$u$141), "", 'Data Entry'!$u$141)</f>
      </c>
      <c r="BB141">
        <f>IF(ISBLANK('Data Entry'!$v$141), "", 'Data Entry'!$v$141)</f>
      </c>
      <c r="BC141">
        <f>IF(ISBLANK('Data Entry'!$w$141), "", 'Data Entry'!$w$141)</f>
      </c>
      <c r="BD141">
        <f>IF(ISBLANK('Data Entry'!$x$141), "", 'Data Entry'!$x$141)</f>
      </c>
      <c r="BE141">
        <f>IF(ISBLANK('Data Entry'!$y$141), "", 'Data Entry'!$y$141)</f>
      </c>
      <c r="BF141">
        <f>IF(ISBLANK('Data Entry'!$z$141), "", 'Data Entry'!$z$141)</f>
      </c>
      <c r="BG141">
        <f>IF(ISBLANK('Data Entry'!${$141), "", 'Data Entry'!${$141)</f>
      </c>
      <c r="BH141">
        <f>IF(ISBLANK('Data Entry'!$|$141), "", 'Data Entry'!$|$141)</f>
      </c>
      <c r="BI141">
        <f>IF(ISBLANK('Data Entry'!$}$141), "", 'Data Entry'!$}$141)</f>
      </c>
      <c r="BJ141">
        <f>IF(ISBLANK('Data Entry'!$~$141), "", 'Data Entry'!$~$141)</f>
      </c>
      <c r="BK141">
        <f>IF(ISBLANK('Data Entry'!$$141), "", 'Data Entry'!$$141)</f>
      </c>
      <c r="BL141">
        <f>IF(ISBLANK('Data Entry'!$$141), "", 'Data Entry'!$$141)</f>
      </c>
      <c r="BM141">
        <f>IF(ISBLANK('Data Entry'!$$141), "", 'Data Entry'!$$141)</f>
      </c>
      <c r="BN141">
        <f>IF(ISBLANK('Data Entry'!$$141), "", 'Data Entry'!$$141)</f>
      </c>
      <c r="BO141">
        <f>IF(ISBLANK('Data Entry'!$$141), "", 'Data Entry'!$$141)</f>
      </c>
      <c r="BP141">
        <f>IF(ISBLANK('Data Entry'!$$141), "", 'Data Entry'!$$141)</f>
      </c>
      <c r="BQ141">
        <f>IF(ISBLANK('Data Entry'!$$141), "", 'Data Entry'!$$141)</f>
      </c>
      <c r="BR141">
        <f>IF(ISBLANK('Data Entry'!$$141), "", 'Data Entry'!$$141)</f>
      </c>
      <c r="BS141">
        <f>IF(ISBLANK('Data Entry'!$$141), "", 'Data Entry'!$$141)</f>
      </c>
      <c r="BT141">
        <f>IF(ISBLANK('Data Entry'!$$141), "", 'Data Entry'!$$141)</f>
      </c>
      <c r="BU141">
        <f>IF(ISBLANK('Data Entry'!$$141), "", 'Data Entry'!$$141)</f>
      </c>
      <c r="BV141">
        <f>IF(ISBLANK('Data Entry'!$$141), "", 'Data Entry'!$$141)</f>
      </c>
      <c r="BW141">
        <f>IF(ISBLANK('Data Entry'!$$141), "", 'Data Entry'!$$141)</f>
      </c>
      <c r="BX141">
        <f>IF(ISBLANK('Data Entry'!$$141), "", 'Data Entry'!$$141)</f>
      </c>
      <c r="BY141">
        <f>IF(ISBLANK('Data Entry'!$$141), "", 'Data Entry'!$$141)</f>
      </c>
      <c r="BZ141">
        <f>IF(ISBLANK('Data Entry'!$$141), "", 'Data Entry'!$$141)</f>
      </c>
      <c r="CA141">
        <f>IF(ISBLANK('Data Entry'!$$141), "", 'Data Entry'!$$141)</f>
      </c>
      <c r="CB141">
        <f>IF(ISBLANK('Data Entry'!$$141), "", 'Data Entry'!$$141)</f>
      </c>
      <c r="CC141">
        <f>IF(ISBLANK('Data Entry'!$$141), "", 'Data Entry'!$$141)</f>
      </c>
      <c r="CD141">
        <f>IF(ISBLANK('Data Entry'!$$141), "", 'Data Entry'!$$141)</f>
      </c>
      <c r="CE141">
        <f>IF(ISBLANK('Data Entry'!$$141), "", 'Data Entry'!$$141)</f>
      </c>
      <c r="CF141">
        <f>IF(ISBLANK('Data Entry'!$$141), "", 'Data Entry'!$$141)</f>
      </c>
      <c r="CG141">
        <f>IF(ISBLANK('Data Entry'!$$141), "", 'Data Entry'!$$141)</f>
      </c>
      <c r="CH141">
        <f>IF(ISBLANK('Data Entry'!$$141), "", 'Data Entry'!$$141)</f>
      </c>
      <c r="CI141">
        <f>IF(ISBLANK('Data Entry'!$$141), "", 'Data Entry'!$$141)</f>
      </c>
      <c r="CJ141">
        <f>IF(ISBLANK('Data Entry'!$$141), "", 'Data Entry'!$$141)</f>
      </c>
      <c r="CK141">
        <f>IF(ISBLANK('Data Entry'!$$141), "", 'Data Entry'!$$141)</f>
      </c>
      <c r="CL141">
        <f>IF(ISBLANK('Data Entry'!$$141), "", 'Data Entry'!$$141)</f>
      </c>
      <c r="CM141">
        <f>IF(ISBLANK('Data Entry'!$$141), "", 'Data Entry'!$$141)</f>
      </c>
      <c r="CN141">
        <f>IF(ISBLANK('Data Entry'!$$141), "", 'Data Entry'!$$141)</f>
      </c>
      <c r="CO141">
        <f>IF(ISBLANK('Data Entry'!$$141), "", 'Data Entry'!$$141)</f>
      </c>
      <c r="CP141">
        <f>IF(ISBLANK('Data Entry'!$$141), "", 'Data Entry'!$$141)</f>
      </c>
      <c r="CQ141">
        <f>IF(ISBLANK('Data Entry'!$$141), "", 'Data Entry'!$$141)</f>
      </c>
      <c r="CR141">
        <f>IF(ISBLANK('Data Entry'!$ $141), "", 'Data Entry'!$ $141)</f>
      </c>
      <c r="CS141">
        <f>IF(ISBLANK('Data Entry'!$¡$141), "", 'Data Entry'!$¡$141)</f>
      </c>
      <c r="CT141">
        <f>IF(ISBLANK('Data Entry'!$¢$141), "", 'Data Entry'!$¢$141)</f>
      </c>
      <c r="CU141">
        <f>IF(ISBLANK('Data Entry'!$£$141), "", 'Data Entry'!$£$141)</f>
      </c>
      <c r="CV141">
        <f>IF(ISBLANK('Data Entry'!$¤$141), "", 'Data Entry'!$¤$141)</f>
      </c>
      <c r="CW141">
        <f>IF(ISBLANK('Data Entry'!$¥$141), "", 'Data Entry'!$¥$141)</f>
      </c>
      <c r="CX141">
        <f>IF(ISBLANK('Data Entry'!$¦$141), "", 'Data Entry'!$¦$141)</f>
      </c>
      <c r="CY141">
        <f>IF(ISBLANK('Data Entry'!$§$141), "", 'Data Entry'!$§$141)</f>
      </c>
      <c r="CZ141">
        <f>IF(ISBLANK('Data Entry'!$¨$141), "", 'Data Entry'!$¨$141)</f>
      </c>
      <c r="DA141">
        <f>IF(ISBLANK('Data Entry'!$©$141), "", 'Data Entry'!$©$141)</f>
      </c>
      <c r="DB141">
        <f>IF(ISBLANK('Data Entry'!$ª$141), "", 'Data Entry'!$ª$141)</f>
      </c>
      <c r="DC141">
        <f>IF(ISBLANK('Data Entry'!$«$141), "", 'Data Entry'!$«$141)</f>
      </c>
      <c r="DD141">
        <f>IF(ISBLANK('Data Entry'!$¬$141), "", 'Data Entry'!$¬$141)</f>
      </c>
      <c r="DE141">
        <f>IF(ISBLANK('Data Entry'!$­$141), "", 'Data Entry'!$­$141)</f>
      </c>
      <c r="DF141">
        <f>IF(ISBLANK('Data Entry'!$®$141), "", 'Data Entry'!$®$141)</f>
      </c>
      <c r="DG141">
        <f>IF(ISBLANK('Data Entry'!$¯$141), "", 'Data Entry'!$¯$141)</f>
      </c>
      <c r="DH141">
        <f>IF(ISBLANK('Data Entry'!$°$141), "", 'Data Entry'!$°$141)</f>
      </c>
      <c r="DI141">
        <f>IF(ISBLANK('Data Entry'!$±$141), "", 'Data Entry'!$±$141)</f>
      </c>
      <c r="DJ141">
        <f>IF(ISBLANK('Data Entry'!$²$141), "", 'Data Entry'!$²$141)</f>
      </c>
      <c r="DK141">
        <f>IF(ISBLANK('Data Entry'!$³$141), "", 'Data Entry'!$³$141)</f>
      </c>
      <c r="DL141">
        <f>IF(ISBLANK('Data Entry'!$´$141), "", 'Data Entry'!$´$141)</f>
      </c>
      <c r="DM141">
        <f>IF(ISBLANK('Data Entry'!$µ$141), "", 'Data Entry'!$µ$141)</f>
      </c>
      <c r="DN141">
        <f>IF(ISBLANK('Data Entry'!$¶$141), "", 'Data Entry'!$¶$141)</f>
      </c>
      <c r="DO141">
        <f>IF(ISBLANK('Data Entry'!$·$141), "", 'Data Entry'!$·$141)</f>
      </c>
      <c r="DP141">
        <f>IF(ISBLANK('Data Entry'!$¸$141), "", 'Data Entry'!$¸$141)</f>
      </c>
      <c r="DQ141">
        <f>IF(ISBLANK('Data Entry'!$¹$141), "", 'Data Entry'!$¹$141)</f>
      </c>
      <c r="DR141">
        <f>IF(ISBLANK('Data Entry'!$º$141), "", 'Data Entry'!$º$141)</f>
      </c>
      <c r="DS141">
        <f>IF(ISBLANK('Data Entry'!$»$141), "", 'Data Entry'!$»$141)</f>
      </c>
      <c r="DT141">
        <f>IF(ISBLANK('Data Entry'!$¼$141), "", 'Data Entry'!$¼$141)</f>
      </c>
      <c r="DU141">
        <f>IF(ISBLANK('Data Entry'!$½$141), "", 'Data Entry'!$½$141)</f>
      </c>
      <c r="DV141">
        <f>IF(ISBLANK('Data Entry'!$¾$141), "", 'Data Entry'!$¾$141)</f>
      </c>
      <c r="DW141">
        <f>IF(ISBLANK('Data Entry'!$¿$141), "", 'Data Entry'!$¿$141)</f>
      </c>
      <c r="DX141">
        <f>IF(ISBLANK('Data Entry'!$À$141), "", 'Data Entry'!$À$141)</f>
      </c>
      <c r="DY141">
        <f>IF(ISBLANK('Data Entry'!$Á$141), "", 'Data Entry'!$Á$141)</f>
      </c>
      <c r="DZ141">
        <f>IF(ISBLANK('Data Entry'!$Â$141), "", 'Data Entry'!$Â$141)</f>
      </c>
      <c r="EA141">
        <f>IF(ISBLANK('Data Entry'!$Ã$141), "", 'Data Entry'!$Ã$141)</f>
      </c>
      <c r="EB141">
        <f>IF(ISBLANK('Data Entry'!$Ä$141), "", 'Data Entry'!$Ä$141)</f>
      </c>
      <c r="EC141">
        <f>IF(ISBLANK('Data Entry'!$Å$141), "", 'Data Entry'!$Å$141)</f>
      </c>
      <c r="ED141">
        <f>IF(ISBLANK('Data Entry'!$Æ$141), "", 'Data Entry'!$Æ$141)</f>
      </c>
      <c r="EE141">
        <f>IF(ISBLANK('Data Entry'!$Ç$141), "", 'Data Entry'!$Ç$141)</f>
      </c>
      <c r="EF141">
        <f>IF(ISBLANK('Data Entry'!$È$141), "", 'Data Entry'!$È$141)</f>
      </c>
      <c r="EG141">
        <f>IF(ISBLANK('Data Entry'!$É$141), "", 'Data Entry'!$É$141)</f>
      </c>
      <c r="EH141">
        <f>IF(ISBLANK('Data Entry'!$Ê$141), "", 'Data Entry'!$Ê$141)</f>
      </c>
      <c r="EI141">
        <f>IF(ISBLANK('Data Entry'!$Ë$141), "", 'Data Entry'!$Ë$141)</f>
      </c>
      <c r="EJ141">
        <f>IF(ISBLANK('Data Entry'!$Ì$141), "", 'Data Entry'!$Ì$141)</f>
      </c>
      <c r="EK141">
        <f>IF(ISBLANK('Data Entry'!$Í$141), "", 'Data Entry'!$Í$141)</f>
      </c>
      <c r="EL141">
        <f>IF(ISBLANK('Data Entry'!$Î$141), "", 'Data Entry'!$Î$141)</f>
      </c>
      <c r="EM141">
        <f>IF(ISBLANK('Data Entry'!$Ï$141), "", 'Data Entry'!$Ï$141)</f>
      </c>
      <c r="EN141">
        <f>IF(ISBLANK('Data Entry'!$Ð$141), "", 'Data Entry'!$Ð$141)</f>
      </c>
      <c r="EO141">
        <f>IF(ISBLANK('Data Entry'!$Ñ$141), "", 'Data Entry'!$Ñ$141)</f>
      </c>
      <c r="EP141">
        <f>IF(ISBLANK('Data Entry'!$Ò$141), "", 'Data Entry'!$Ò$141)</f>
      </c>
      <c r="EQ141">
        <f>IF(ISBLANK('Data Entry'!$Ó$141), "", 'Data Entry'!$Ó$141)</f>
      </c>
      <c r="ER141">
        <f>IF(ISBLANK('Data Entry'!$Ô$141), "", 'Data Entry'!$Ô$141)</f>
      </c>
      <c r="ES141">
        <f>IF(ISBLANK('Data Entry'!$Õ$141), "", 'Data Entry'!$Õ$141)</f>
      </c>
      <c r="ET141">
        <f>IF(ISBLANK('Data Entry'!$Ö$141), "", 'Data Entry'!$Ö$141)</f>
      </c>
      <c r="EU141">
        <f>IF(ISBLANK('Data Entry'!$×$141), "", 'Data Entry'!$×$141)</f>
      </c>
      <c r="EV141">
        <f>IF(ISBLANK('Data Entry'!$Ø$141), "", 'Data Entry'!$Ø$141)</f>
      </c>
      <c r="EW141">
        <f>IF(ISBLANK('Data Entry'!$Ù$141), "", 'Data Entry'!$Ù$141)</f>
      </c>
      <c r="EX141">
        <f>IF(ISBLANK('Data Entry'!$Ú$141), "", 'Data Entry'!$Ú$141)</f>
      </c>
      <c r="EY141">
        <f>IF(ISBLANK('Data Entry'!$Û$141), "", 'Data Entry'!$Û$141)</f>
      </c>
      <c r="EZ141">
        <f>IF(ISBLANK('Data Entry'!$Ü$141), "", 'Data Entry'!$Ü$141)</f>
      </c>
      <c r="FA141">
        <f>IF(ISBLANK('Data Entry'!$Ý$141), "", 'Data Entry'!$Ý$141)</f>
      </c>
      <c r="FB141">
        <f>IF(ISBLANK('Data Entry'!$Þ$141), "", 'Data Entry'!$Þ$141)</f>
      </c>
      <c r="FC141">
        <f>IF(ISBLANK('Data Entry'!$ß$141), "", 'Data Entry'!$ß$141)</f>
      </c>
      <c r="FD141">
        <f>IF(ISBLANK('Data Entry'!$à$141), "", 'Data Entry'!$à$141)</f>
      </c>
      <c r="FE141">
        <f>IF(ISBLANK('Data Entry'!$á$141), "", 'Data Entry'!$á$141)</f>
      </c>
      <c r="FF141">
        <f>IF(ISBLANK('Data Entry'!$â$141), "", 'Data Entry'!$â$141)</f>
      </c>
      <c r="FG141">
        <f>IF(ISBLANK('Data Entry'!$ã$141), "", 'Data Entry'!$ã$141)</f>
      </c>
      <c r="FH141">
        <f>IF(ISBLANK('Data Entry'!$ä$141), "", 'Data Entry'!$ä$141)</f>
      </c>
      <c r="FI141">
        <f>IF(ISBLANK('Data Entry'!$å$141), "", 'Data Entry'!$å$141)</f>
      </c>
      <c r="FJ141">
        <f>IF(ISBLANK('Data Entry'!$æ$141), "", 'Data Entry'!$æ$141)</f>
      </c>
      <c r="FK141">
        <f>IF(ISBLANK('Data Entry'!$ç$141), "", 'Data Entry'!$ç$141)</f>
      </c>
      <c r="FL141">
        <f>IF(ISBLANK('Data Entry'!$è$141), "", 'Data Entry'!$è$141)</f>
      </c>
      <c r="FM141">
        <f>IF(ISBLANK('Data Entry'!$é$141), "", 'Data Entry'!$é$141)</f>
      </c>
      <c r="FN141">
        <f>IF(ISBLANK('Data Entry'!$ê$141), "", 'Data Entry'!$ê$141)</f>
      </c>
      <c r="FO141">
        <f>IF(ISBLANK('Data Entry'!$ë$141), "", 'Data Entry'!$ë$141)</f>
      </c>
      <c r="FP141">
        <f>IF(ISBLANK('Data Entry'!$ì$141), "", 'Data Entry'!$ì$141)</f>
      </c>
      <c r="FQ141">
        <f>IF(ISBLANK('Data Entry'!$í$141), "", 'Data Entry'!$í$141)</f>
      </c>
      <c r="FR141">
        <f>IF(ISBLANK('Data Entry'!$î$141), "", 'Data Entry'!$î$141)</f>
      </c>
      <c r="FS141">
        <f>IF(ISBLANK('Data Entry'!$ï$141), "", 'Data Entry'!$ï$141)</f>
      </c>
      <c r="FT141">
        <f>IF(ISBLANK('Data Entry'!$ð$141), "", 'Data Entry'!$ð$141)</f>
      </c>
      <c r="FU141">
        <f>IF(ISBLANK('Data Entry'!$ñ$141), "", 'Data Entry'!$ñ$141)</f>
      </c>
      <c r="FV141">
        <f>IF(ISBLANK('Data Entry'!$ò$141), "", 'Data Entry'!$ò$141)</f>
      </c>
      <c r="FW141">
        <f>IF(ISBLANK('Data Entry'!$ó$141), "", 'Data Entry'!$ó$141)</f>
      </c>
      <c r="FX141">
        <f>IF(ISBLANK('Data Entry'!$ô$141), "", 'Data Entry'!$ô$141)</f>
      </c>
      <c r="FY141">
        <f>IF(ISBLANK('Data Entry'!$õ$141), "", 'Data Entry'!$õ$141)</f>
      </c>
      <c r="FZ141">
        <f>IF(ISBLANK('Data Entry'!$ö$141), "", 'Data Entry'!$ö$141)</f>
      </c>
      <c r="GA141">
        <f>IF(ISBLANK('Data Entry'!$÷$141), "", 'Data Entry'!$÷$141)</f>
      </c>
      <c r="GB141">
        <f>IF(ISBLANK('Data Entry'!$ø$141), "", 'Data Entry'!$ø$141)</f>
      </c>
      <c r="GC141">
        <f>IF(ISBLANK('Data Entry'!$ù$141), "", 'Data Entry'!$ù$141)</f>
      </c>
      <c r="GD141">
        <f>IF(ISBLANK('Data Entry'!$ú$141), "", 'Data Entry'!$ú$141)</f>
      </c>
      <c r="GE141">
        <f>IF(ISBLANK('Data Entry'!$û$141), "", 'Data Entry'!$û$141)</f>
      </c>
      <c r="GF141">
        <f>IF(ISBLANK('Data Entry'!$ü$141), "", 'Data Entry'!$ü$141)</f>
      </c>
      <c r="GG141">
        <f>IF(ISBLANK('Data Entry'!$ý$141), "", 'Data Entry'!$ý$141)</f>
      </c>
      <c r="GH141">
        <f>IF(ISBLANK('Data Entry'!$þ$141), "", 'Data Entry'!$þ$141)</f>
      </c>
      <c r="GI141">
        <f>IF(ISBLANK('Data Entry'!$ÿ$141), "", 'Data Entry'!$ÿ$141)</f>
      </c>
      <c r="GJ141">
        <f>IF(ISBLANK('Data Entry'!$Ā$141), "", 'Data Entry'!$Ā$141)</f>
      </c>
      <c r="GK141">
        <f>IF(ISBLANK('Data Entry'!$ā$141), "", 'Data Entry'!$ā$141)</f>
      </c>
      <c r="GL141">
        <f>IF(ISBLANK('Data Entry'!$Ă$141), "", 'Data Entry'!$Ă$141)</f>
      </c>
      <c r="GM141">
        <f>IF(ISBLANK('Data Entry'!$ă$141), "", 'Data Entry'!$ă$141)</f>
      </c>
      <c r="GN141">
        <f>IF(ISBLANK('Data Entry'!$Ą$141), "", 'Data Entry'!$Ą$141)</f>
      </c>
      <c r="GO141">
        <f>IF(ISBLANK('Data Entry'!$ą$141), "", 'Data Entry'!$ą$141)</f>
      </c>
      <c r="GP141">
        <f>IF(ISBLANK('Data Entry'!$Ć$141), "", 'Data Entry'!$Ć$141)</f>
      </c>
      <c r="GQ141">
        <f>IF(ISBLANK('Data Entry'!$ć$141), "", 'Data Entry'!$ć$141)</f>
      </c>
      <c r="GR141">
        <f>IF(ISBLANK('Data Entry'!$Ĉ$141), "", 'Data Entry'!$Ĉ$141)</f>
      </c>
      <c r="GS141">
        <f>IF(ISBLANK('Data Entry'!$ĉ$141), "", 'Data Entry'!$ĉ$141)</f>
      </c>
      <c r="GT141">
        <f>IF(ISBLANK('Data Entry'!$Ċ$141), "", 'Data Entry'!$Ċ$141)</f>
      </c>
      <c r="GU141">
        <f>IF(ISBLANK('Data Entry'!$ċ$141), "", 'Data Entry'!$ċ$141)</f>
      </c>
      <c r="GV141">
        <f>IF(ISBLANK('Data Entry'!$Č$141), "", 'Data Entry'!$Č$141)</f>
      </c>
      <c r="GW141">
        <f>IF(ISBLANK('Data Entry'!$č$141), "", 'Data Entry'!$č$141)</f>
      </c>
      <c r="GX141">
        <f>IF(ISBLANK('Data Entry'!$Ď$141), "", 'Data Entry'!$Ď$141)</f>
      </c>
      <c r="GY141">
        <f>IF(ISBLANK('Data Entry'!$ď$141), "", 'Data Entry'!$ď$141)</f>
      </c>
      <c r="GZ141">
        <f>IF(ISBLANK('Data Entry'!$Đ$141), "", 'Data Entry'!$Đ$141)</f>
      </c>
      <c r="HA141">
        <f>IF(ISBLANK('Data Entry'!$đ$141), "", 'Data Entry'!$đ$141)</f>
      </c>
      <c r="HB141">
        <f>IF(ISBLANK('Data Entry'!$Ē$141), "", 'Data Entry'!$Ē$141)</f>
      </c>
      <c r="HC141">
        <f>IF(ISBLANK('Data Entry'!$ē$141), "", 'Data Entry'!$ē$141)</f>
      </c>
      <c r="HD141">
        <f>IF(ISBLANK('Data Entry'!$Ĕ$141), "", 'Data Entry'!$Ĕ$141)</f>
      </c>
      <c r="HE141">
        <f>IF(ISBLANK('Data Entry'!$ĕ$141), "", 'Data Entry'!$ĕ$141)</f>
      </c>
      <c r="HF141">
        <f>IF(ISBLANK('Data Entry'!$Ė$141), "", 'Data Entry'!$Ė$141)</f>
      </c>
      <c r="HG141">
        <f>IF(ISBLANK('Data Entry'!$ė$141), "", 'Data Entry'!$ė$141)</f>
      </c>
      <c r="HH141">
        <f>IF(ISBLANK('Data Entry'!$Ę$141), "", 'Data Entry'!$Ę$141)</f>
      </c>
      <c r="HI141">
        <f>IF(ISBLANK('Data Entry'!$ę$141), "", 'Data Entry'!$ę$141)</f>
      </c>
      <c r="HJ141">
        <f>IF(ISBLANK('Data Entry'!$Ě$141), "", 'Data Entry'!$Ě$141)</f>
      </c>
      <c r="HK141">
        <f>IF(ISBLANK('Data Entry'!$ě$141), "", 'Data Entry'!$ě$141)</f>
      </c>
      <c r="HL141">
        <f>IF(ISBLANK('Data Entry'!$Ĝ$141), "", 'Data Entry'!$Ĝ$141)</f>
      </c>
      <c r="HM141">
        <f>IF(ISBLANK('Data Entry'!$ĝ$141), "", 'Data Entry'!$ĝ$141)</f>
      </c>
      <c r="HN141">
        <f>IF(ISBLANK('Data Entry'!$Ğ$141), "", 'Data Entry'!$Ğ$141)</f>
      </c>
      <c r="HO141">
        <f>IF(ISBLANK('Data Entry'!$ğ$141), "", 'Data Entry'!$ğ$141)</f>
      </c>
      <c r="HP141">
        <f>IF(ISBLANK('Data Entry'!$Ġ$141), "", 'Data Entry'!$Ġ$141)</f>
      </c>
      <c r="HQ141">
        <f>IF(ISBLANK('Data Entry'!$ġ$141), "", 'Data Entry'!$ġ$141)</f>
      </c>
      <c r="HR141">
        <f>IF(ISBLANK('Data Entry'!$Ģ$141), "", 'Data Entry'!$Ģ$141)</f>
      </c>
      <c r="HS141">
        <f>IF(ISBLANK('Data Entry'!$ģ$141), "", 'Data Entry'!$ģ$141)</f>
      </c>
      <c r="HT141">
        <f>IF(ISBLANK('Data Entry'!$Ĥ$141), "", 'Data Entry'!$Ĥ$141)</f>
      </c>
      <c r="HU141">
        <f>IF(ISBLANK('Data Entry'!$ĥ$141), "", 'Data Entry'!$ĥ$141)</f>
      </c>
      <c r="HV141">
        <f>IF(ISBLANK('Data Entry'!$Ħ$141), "", 'Data Entry'!$Ħ$141)</f>
      </c>
      <c r="HW141">
        <f>IF(ISBLANK('Data Entry'!$ħ$141), "", 'Data Entry'!$ħ$141)</f>
      </c>
      <c r="HX141">
        <f>IF(ISBLANK('Data Entry'!$Ĩ$141), "", 'Data Entry'!$Ĩ$141)</f>
      </c>
      <c r="HY141">
        <f>IF(ISBLANK('Data Entry'!$ĩ$141), "", 'Data Entry'!$ĩ$141)</f>
      </c>
      <c r="HZ141">
        <f>IF(ISBLANK('Data Entry'!$Ī$141), "", 'Data Entry'!$Ī$141)</f>
      </c>
      <c r="IA141">
        <f>IF(ISBLANK('Data Entry'!$ī$141), "", 'Data Entry'!$ī$141)</f>
      </c>
      <c r="IB141">
        <f>IF(ISBLANK('Data Entry'!$Ĭ$141), "", 'Data Entry'!$Ĭ$141)</f>
      </c>
      <c r="IC141">
        <f>IF(ISBLANK('Data Entry'!$ĭ$141), "", 'Data Entry'!$ĭ$141)</f>
      </c>
      <c r="ID141">
        <f>IF(ISBLANK('Data Entry'!$Į$141), "", 'Data Entry'!$Į$141)</f>
      </c>
      <c r="IE141">
        <f>IF(ISBLANK('Data Entry'!$į$141), "", 'Data Entry'!$į$141)</f>
      </c>
      <c r="IF141">
        <f>IF(ISBLANK('Data Entry'!$İ$141), "", 'Data Entry'!$İ$141)</f>
      </c>
      <c r="IG141">
        <f>IF(ISBLANK('Data Entry'!$ı$141), "", 'Data Entry'!$ı$141)</f>
      </c>
      <c r="IH141">
        <f>IF(ISBLANK('Data Entry'!$Ĳ$141), "", 'Data Entry'!$Ĳ$141)</f>
      </c>
      <c r="II141">
        <f>IF(ISBLANK('Data Entry'!$ĳ$141), "", 'Data Entry'!$ĳ$141)</f>
      </c>
      <c r="IJ141">
        <f>IF(ISBLANK('Data Entry'!$Ĵ$141), "", 'Data Entry'!$Ĵ$141)</f>
      </c>
      <c r="IK141">
        <f>IF(ISBLANK('Data Entry'!$ĵ$141), "", 'Data Entry'!$ĵ$141)</f>
      </c>
      <c r="IL141">
        <f>IF(ISBLANK('Data Entry'!$Ķ$141), "", 'Data Entry'!$Ķ$141)</f>
      </c>
      <c r="IM141">
        <f>IF(ISBLANK('Data Entry'!$ķ$141), "", 'Data Entry'!$ķ$141)</f>
      </c>
      <c r="IN141">
        <f>IF(ISBLANK('Data Entry'!$ĸ$141), "", 'Data Entry'!$ĸ$141)</f>
      </c>
      <c r="IO141">
        <f>IF(ISBLANK('Data Entry'!$Ĺ$141), "", 'Data Entry'!$Ĺ$141)</f>
      </c>
      <c r="IP141">
        <f>IF(ISBLANK('Data Entry'!$ĺ$141), "", 'Data Entry'!$ĺ$141)</f>
      </c>
      <c r="IQ141">
        <f>IF(ISBLANK('Data Entry'!$Ļ$141), "", 'Data Entry'!$Ļ$141)</f>
      </c>
      <c r="IR141">
        <f>IF(ISBLANK('Data Entry'!$ļ$141), "", 'Data Entry'!$ļ$141)</f>
      </c>
      <c r="IS141">
        <f>IF(ISBLANK('Data Entry'!$Ľ$141), "", 'Data Entry'!$Ľ$141)</f>
      </c>
      <c r="IT141">
        <f>IF(ISBLANK('Data Entry'!$ľ$141), "", 'Data Entry'!$ľ$141)</f>
      </c>
    </row>
    <row r="142" spans="1:254" x14ac:dyDescent="0.25">
      <c r="A142">
        <f>IF(ISBLANK('Data Entry'!$A$142), "", 'Data Entry'!$A$142)</f>
      </c>
      <c r="B142">
        <f>IF(ISBLANK('Data Entry'!$B$142), "", 'Data Entry'!$B$142)</f>
      </c>
      <c r="C142">
        <f>IF(ISBLANK('Data Entry'!$C$142), "", 'Data Entry'!$C$142)</f>
      </c>
      <c r="D142">
        <f>IF(ISBLANK('Data Entry'!$D$142), "", 'Data Entry'!$D$142)</f>
      </c>
      <c r="E142">
        <f>IF(ISBLANK('Data Entry'!$E$142), "", 'Data Entry'!$E$142)</f>
      </c>
      <c r="F142">
        <f>IF(ISBLANK('Data Entry'!$F$142), "", 'Data Entry'!$F$142)</f>
      </c>
      <c r="G142">
        <f>IF(ISBLANK('Data Entry'!$G$142), "", 'Data Entry'!$G$142)</f>
      </c>
      <c r="H142">
        <f>IF(ISBLANK('Data Entry'!$H$142), "", 'Data Entry'!$H$142)</f>
      </c>
      <c r="I142">
        <f>IF(ISBLANK('Data Entry'!$I$142), "", 'Data Entry'!$I$142)</f>
      </c>
      <c r="J142">
        <f>IF(ISBLANK('Data Entry'!$J$142), "", 'Data Entry'!$J$142)</f>
      </c>
      <c r="K142">
        <f>IF(ISBLANK('Data Entry'!$K$142), "", 'Data Entry'!$K$142)</f>
      </c>
      <c r="L142">
        <f>IF(ISBLANK('Data Entry'!$L$142), "", 'Data Entry'!$L$142)</f>
      </c>
      <c r="M142">
        <f>IF(ISBLANK('Data Entry'!$M$142), "", 'Data Entry'!$M$142)</f>
      </c>
      <c r="N142">
        <f>IF(ISBLANK('Data Entry'!$N$142), "", 'Data Entry'!$N$142)</f>
      </c>
      <c r="O142">
        <f>IF(ISBLANK('Data Entry'!$O$142), "", 'Data Entry'!$O$142)</f>
      </c>
      <c r="P142">
        <f>IF(ISBLANK('Data Entry'!$P$142), "", 'Data Entry'!$P$142)</f>
      </c>
      <c r="Q142">
        <f>IF(ISBLANK('Data Entry'!$Q$142), "", 'Data Entry'!$Q$142)</f>
      </c>
      <c r="R142">
        <f>IF(ISBLANK('Data Entry'!$R$142), "", 'Data Entry'!$R$142)</f>
      </c>
      <c r="S142">
        <f>IF(ISBLANK('Data Entry'!$S$142), "", 'Data Entry'!$S$142)</f>
      </c>
      <c r="T142">
        <f>IF(ISBLANK('Data Entry'!$T$142), "", 'Data Entry'!$T$142)</f>
      </c>
      <c r="U142">
        <f>IF(ISBLANK('Data Entry'!$U$142), "", 'Data Entry'!$U$142)</f>
      </c>
      <c r="V142">
        <f>IF(ISBLANK('Data Entry'!$V$142), "", 'Data Entry'!$V$142)</f>
      </c>
      <c r="W142">
        <f>IF(ISBLANK('Data Entry'!$W$142), "", 'Data Entry'!$W$142)</f>
      </c>
      <c r="X142">
        <f>IF(ISBLANK('Data Entry'!$X$142), "", 'Data Entry'!$X$142)</f>
      </c>
      <c r="Y142">
        <f>IF(ISBLANK('Data Entry'!$Y$142), "", 'Data Entry'!$Y$142)</f>
      </c>
      <c r="Z142">
        <f>IF(ISBLANK('Data Entry'!$Z$142), "", 'Data Entry'!$Z$142)</f>
      </c>
      <c r="AA142">
        <f>IF(ISBLANK('Data Entry'!$[$142), "", 'Data Entry'!$[$142)</f>
      </c>
      <c r="AB142">
        <f>IF(ISBLANK('Data Entry'!$\$142), "", 'Data Entry'!$\$142)</f>
      </c>
      <c r="AC142">
        <f>IF(ISBLANK('Data Entry'!$]$142), "", 'Data Entry'!$]$142)</f>
      </c>
      <c r="AD142">
        <f>IF(ISBLANK('Data Entry'!$^$142), "", 'Data Entry'!$^$142)</f>
      </c>
      <c r="AE142">
        <f>IF(ISBLANK('Data Entry'!$_$142), "", 'Data Entry'!$_$142)</f>
      </c>
      <c r="AF142">
        <f>IF(ISBLANK('Data Entry'!$`$142), "", 'Data Entry'!$`$142)</f>
      </c>
      <c r="AG142">
        <f>IF(ISBLANK('Data Entry'!$a$142), "", 'Data Entry'!$a$142)</f>
      </c>
      <c r="AH142">
        <f>IF(ISBLANK('Data Entry'!$b$142), "", 'Data Entry'!$b$142)</f>
      </c>
      <c r="AI142">
        <f>IF(ISBLANK('Data Entry'!$c$142), "", 'Data Entry'!$c$142)</f>
      </c>
      <c r="AJ142">
        <f>IF(ISBLANK('Data Entry'!$d$142), "", 'Data Entry'!$d$142)</f>
      </c>
      <c r="AK142">
        <f>IF(ISBLANK('Data Entry'!$e$142), "", 'Data Entry'!$e$142)</f>
      </c>
      <c r="AL142">
        <f>IF(ISBLANK('Data Entry'!$f$142), "", 'Data Entry'!$f$142)</f>
      </c>
      <c r="AM142">
        <f>IF(ISBLANK('Data Entry'!$g$142), "", 'Data Entry'!$g$142)</f>
      </c>
      <c r="AN142">
        <f>IF(ISBLANK('Data Entry'!$h$142), "", 'Data Entry'!$h$142)</f>
      </c>
      <c r="AO142">
        <f>IF(ISBLANK('Data Entry'!$i$142), "", 'Data Entry'!$i$142)</f>
      </c>
      <c r="AP142">
        <f>IF(ISBLANK('Data Entry'!$j$142), "", 'Data Entry'!$j$142)</f>
      </c>
      <c r="AQ142">
        <f>IF(ISBLANK('Data Entry'!$k$142), "", 'Data Entry'!$k$142)</f>
      </c>
      <c r="AR142">
        <f>IF(ISBLANK('Data Entry'!$l$142), "", 'Data Entry'!$l$142)</f>
      </c>
      <c r="AS142">
        <f>IF(ISBLANK('Data Entry'!$m$142), "", 'Data Entry'!$m$142)</f>
      </c>
      <c r="AT142">
        <f>IF(ISBLANK('Data Entry'!$n$142), "", 'Data Entry'!$n$142)</f>
      </c>
      <c r="AU142">
        <f>IF(ISBLANK('Data Entry'!$o$142), "", 'Data Entry'!$o$142)</f>
      </c>
      <c r="AV142">
        <f>IF(ISBLANK('Data Entry'!$p$142), "", 'Data Entry'!$p$142)</f>
      </c>
      <c r="AW142">
        <f>IF(ISBLANK('Data Entry'!$q$142), "", 'Data Entry'!$q$142)</f>
      </c>
      <c r="AX142">
        <f>IF(ISBLANK('Data Entry'!$r$142), "", 'Data Entry'!$r$142)</f>
      </c>
      <c r="AY142">
        <f>IF(ISBLANK('Data Entry'!$s$142), "", 'Data Entry'!$s$142)</f>
      </c>
      <c r="AZ142">
        <f>IF(ISBLANK('Data Entry'!$t$142), "", 'Data Entry'!$t$142)</f>
      </c>
      <c r="BA142">
        <f>IF(ISBLANK('Data Entry'!$u$142), "", 'Data Entry'!$u$142)</f>
      </c>
      <c r="BB142">
        <f>IF(ISBLANK('Data Entry'!$v$142), "", 'Data Entry'!$v$142)</f>
      </c>
      <c r="BC142">
        <f>IF(ISBLANK('Data Entry'!$w$142), "", 'Data Entry'!$w$142)</f>
      </c>
      <c r="BD142">
        <f>IF(ISBLANK('Data Entry'!$x$142), "", 'Data Entry'!$x$142)</f>
      </c>
      <c r="BE142">
        <f>IF(ISBLANK('Data Entry'!$y$142), "", 'Data Entry'!$y$142)</f>
      </c>
      <c r="BF142">
        <f>IF(ISBLANK('Data Entry'!$z$142), "", 'Data Entry'!$z$142)</f>
      </c>
      <c r="BG142">
        <f>IF(ISBLANK('Data Entry'!${$142), "", 'Data Entry'!${$142)</f>
      </c>
      <c r="BH142">
        <f>IF(ISBLANK('Data Entry'!$|$142), "", 'Data Entry'!$|$142)</f>
      </c>
      <c r="BI142">
        <f>IF(ISBLANK('Data Entry'!$}$142), "", 'Data Entry'!$}$142)</f>
      </c>
      <c r="BJ142">
        <f>IF(ISBLANK('Data Entry'!$~$142), "", 'Data Entry'!$~$142)</f>
      </c>
      <c r="BK142">
        <f>IF(ISBLANK('Data Entry'!$$142), "", 'Data Entry'!$$142)</f>
      </c>
      <c r="BL142">
        <f>IF(ISBLANK('Data Entry'!$$142), "", 'Data Entry'!$$142)</f>
      </c>
      <c r="BM142">
        <f>IF(ISBLANK('Data Entry'!$$142), "", 'Data Entry'!$$142)</f>
      </c>
      <c r="BN142">
        <f>IF(ISBLANK('Data Entry'!$$142), "", 'Data Entry'!$$142)</f>
      </c>
      <c r="BO142">
        <f>IF(ISBLANK('Data Entry'!$$142), "", 'Data Entry'!$$142)</f>
      </c>
      <c r="BP142">
        <f>IF(ISBLANK('Data Entry'!$$142), "", 'Data Entry'!$$142)</f>
      </c>
      <c r="BQ142">
        <f>IF(ISBLANK('Data Entry'!$$142), "", 'Data Entry'!$$142)</f>
      </c>
      <c r="BR142">
        <f>IF(ISBLANK('Data Entry'!$$142), "", 'Data Entry'!$$142)</f>
      </c>
      <c r="BS142">
        <f>IF(ISBLANK('Data Entry'!$$142), "", 'Data Entry'!$$142)</f>
      </c>
      <c r="BT142">
        <f>IF(ISBLANK('Data Entry'!$$142), "", 'Data Entry'!$$142)</f>
      </c>
      <c r="BU142">
        <f>IF(ISBLANK('Data Entry'!$$142), "", 'Data Entry'!$$142)</f>
      </c>
      <c r="BV142">
        <f>IF(ISBLANK('Data Entry'!$$142), "", 'Data Entry'!$$142)</f>
      </c>
      <c r="BW142">
        <f>IF(ISBLANK('Data Entry'!$$142), "", 'Data Entry'!$$142)</f>
      </c>
      <c r="BX142">
        <f>IF(ISBLANK('Data Entry'!$$142), "", 'Data Entry'!$$142)</f>
      </c>
      <c r="BY142">
        <f>IF(ISBLANK('Data Entry'!$$142), "", 'Data Entry'!$$142)</f>
      </c>
      <c r="BZ142">
        <f>IF(ISBLANK('Data Entry'!$$142), "", 'Data Entry'!$$142)</f>
      </c>
      <c r="CA142">
        <f>IF(ISBLANK('Data Entry'!$$142), "", 'Data Entry'!$$142)</f>
      </c>
      <c r="CB142">
        <f>IF(ISBLANK('Data Entry'!$$142), "", 'Data Entry'!$$142)</f>
      </c>
      <c r="CC142">
        <f>IF(ISBLANK('Data Entry'!$$142), "", 'Data Entry'!$$142)</f>
      </c>
      <c r="CD142">
        <f>IF(ISBLANK('Data Entry'!$$142), "", 'Data Entry'!$$142)</f>
      </c>
      <c r="CE142">
        <f>IF(ISBLANK('Data Entry'!$$142), "", 'Data Entry'!$$142)</f>
      </c>
      <c r="CF142">
        <f>IF(ISBLANK('Data Entry'!$$142), "", 'Data Entry'!$$142)</f>
      </c>
      <c r="CG142">
        <f>IF(ISBLANK('Data Entry'!$$142), "", 'Data Entry'!$$142)</f>
      </c>
      <c r="CH142">
        <f>IF(ISBLANK('Data Entry'!$$142), "", 'Data Entry'!$$142)</f>
      </c>
      <c r="CI142">
        <f>IF(ISBLANK('Data Entry'!$$142), "", 'Data Entry'!$$142)</f>
      </c>
      <c r="CJ142">
        <f>IF(ISBLANK('Data Entry'!$$142), "", 'Data Entry'!$$142)</f>
      </c>
      <c r="CK142">
        <f>IF(ISBLANK('Data Entry'!$$142), "", 'Data Entry'!$$142)</f>
      </c>
      <c r="CL142">
        <f>IF(ISBLANK('Data Entry'!$$142), "", 'Data Entry'!$$142)</f>
      </c>
      <c r="CM142">
        <f>IF(ISBLANK('Data Entry'!$$142), "", 'Data Entry'!$$142)</f>
      </c>
      <c r="CN142">
        <f>IF(ISBLANK('Data Entry'!$$142), "", 'Data Entry'!$$142)</f>
      </c>
      <c r="CO142">
        <f>IF(ISBLANK('Data Entry'!$$142), "", 'Data Entry'!$$142)</f>
      </c>
      <c r="CP142">
        <f>IF(ISBLANK('Data Entry'!$$142), "", 'Data Entry'!$$142)</f>
      </c>
      <c r="CQ142">
        <f>IF(ISBLANK('Data Entry'!$$142), "", 'Data Entry'!$$142)</f>
      </c>
      <c r="CR142">
        <f>IF(ISBLANK('Data Entry'!$ $142), "", 'Data Entry'!$ $142)</f>
      </c>
      <c r="CS142">
        <f>IF(ISBLANK('Data Entry'!$¡$142), "", 'Data Entry'!$¡$142)</f>
      </c>
      <c r="CT142">
        <f>IF(ISBLANK('Data Entry'!$¢$142), "", 'Data Entry'!$¢$142)</f>
      </c>
      <c r="CU142">
        <f>IF(ISBLANK('Data Entry'!$£$142), "", 'Data Entry'!$£$142)</f>
      </c>
      <c r="CV142">
        <f>IF(ISBLANK('Data Entry'!$¤$142), "", 'Data Entry'!$¤$142)</f>
      </c>
      <c r="CW142">
        <f>IF(ISBLANK('Data Entry'!$¥$142), "", 'Data Entry'!$¥$142)</f>
      </c>
      <c r="CX142">
        <f>IF(ISBLANK('Data Entry'!$¦$142), "", 'Data Entry'!$¦$142)</f>
      </c>
      <c r="CY142">
        <f>IF(ISBLANK('Data Entry'!$§$142), "", 'Data Entry'!$§$142)</f>
      </c>
      <c r="CZ142">
        <f>IF(ISBLANK('Data Entry'!$¨$142), "", 'Data Entry'!$¨$142)</f>
      </c>
      <c r="DA142">
        <f>IF(ISBLANK('Data Entry'!$©$142), "", 'Data Entry'!$©$142)</f>
      </c>
      <c r="DB142">
        <f>IF(ISBLANK('Data Entry'!$ª$142), "", 'Data Entry'!$ª$142)</f>
      </c>
      <c r="DC142">
        <f>IF(ISBLANK('Data Entry'!$«$142), "", 'Data Entry'!$«$142)</f>
      </c>
      <c r="DD142">
        <f>IF(ISBLANK('Data Entry'!$¬$142), "", 'Data Entry'!$¬$142)</f>
      </c>
      <c r="DE142">
        <f>IF(ISBLANK('Data Entry'!$­$142), "", 'Data Entry'!$­$142)</f>
      </c>
      <c r="DF142">
        <f>IF(ISBLANK('Data Entry'!$®$142), "", 'Data Entry'!$®$142)</f>
      </c>
      <c r="DG142">
        <f>IF(ISBLANK('Data Entry'!$¯$142), "", 'Data Entry'!$¯$142)</f>
      </c>
      <c r="DH142">
        <f>IF(ISBLANK('Data Entry'!$°$142), "", 'Data Entry'!$°$142)</f>
      </c>
      <c r="DI142">
        <f>IF(ISBLANK('Data Entry'!$±$142), "", 'Data Entry'!$±$142)</f>
      </c>
      <c r="DJ142">
        <f>IF(ISBLANK('Data Entry'!$²$142), "", 'Data Entry'!$²$142)</f>
      </c>
      <c r="DK142">
        <f>IF(ISBLANK('Data Entry'!$³$142), "", 'Data Entry'!$³$142)</f>
      </c>
      <c r="DL142">
        <f>IF(ISBLANK('Data Entry'!$´$142), "", 'Data Entry'!$´$142)</f>
      </c>
      <c r="DM142">
        <f>IF(ISBLANK('Data Entry'!$µ$142), "", 'Data Entry'!$µ$142)</f>
      </c>
      <c r="DN142">
        <f>IF(ISBLANK('Data Entry'!$¶$142), "", 'Data Entry'!$¶$142)</f>
      </c>
      <c r="DO142">
        <f>IF(ISBLANK('Data Entry'!$·$142), "", 'Data Entry'!$·$142)</f>
      </c>
      <c r="DP142">
        <f>IF(ISBLANK('Data Entry'!$¸$142), "", 'Data Entry'!$¸$142)</f>
      </c>
      <c r="DQ142">
        <f>IF(ISBLANK('Data Entry'!$¹$142), "", 'Data Entry'!$¹$142)</f>
      </c>
      <c r="DR142">
        <f>IF(ISBLANK('Data Entry'!$º$142), "", 'Data Entry'!$º$142)</f>
      </c>
      <c r="DS142">
        <f>IF(ISBLANK('Data Entry'!$»$142), "", 'Data Entry'!$»$142)</f>
      </c>
      <c r="DT142">
        <f>IF(ISBLANK('Data Entry'!$¼$142), "", 'Data Entry'!$¼$142)</f>
      </c>
      <c r="DU142">
        <f>IF(ISBLANK('Data Entry'!$½$142), "", 'Data Entry'!$½$142)</f>
      </c>
      <c r="DV142">
        <f>IF(ISBLANK('Data Entry'!$¾$142), "", 'Data Entry'!$¾$142)</f>
      </c>
      <c r="DW142">
        <f>IF(ISBLANK('Data Entry'!$¿$142), "", 'Data Entry'!$¿$142)</f>
      </c>
      <c r="DX142">
        <f>IF(ISBLANK('Data Entry'!$À$142), "", 'Data Entry'!$À$142)</f>
      </c>
      <c r="DY142">
        <f>IF(ISBLANK('Data Entry'!$Á$142), "", 'Data Entry'!$Á$142)</f>
      </c>
      <c r="DZ142">
        <f>IF(ISBLANK('Data Entry'!$Â$142), "", 'Data Entry'!$Â$142)</f>
      </c>
      <c r="EA142">
        <f>IF(ISBLANK('Data Entry'!$Ã$142), "", 'Data Entry'!$Ã$142)</f>
      </c>
      <c r="EB142">
        <f>IF(ISBLANK('Data Entry'!$Ä$142), "", 'Data Entry'!$Ä$142)</f>
      </c>
      <c r="EC142">
        <f>IF(ISBLANK('Data Entry'!$Å$142), "", 'Data Entry'!$Å$142)</f>
      </c>
      <c r="ED142">
        <f>IF(ISBLANK('Data Entry'!$Æ$142), "", 'Data Entry'!$Æ$142)</f>
      </c>
      <c r="EE142">
        <f>IF(ISBLANK('Data Entry'!$Ç$142), "", 'Data Entry'!$Ç$142)</f>
      </c>
      <c r="EF142">
        <f>IF(ISBLANK('Data Entry'!$È$142), "", 'Data Entry'!$È$142)</f>
      </c>
      <c r="EG142">
        <f>IF(ISBLANK('Data Entry'!$É$142), "", 'Data Entry'!$É$142)</f>
      </c>
      <c r="EH142">
        <f>IF(ISBLANK('Data Entry'!$Ê$142), "", 'Data Entry'!$Ê$142)</f>
      </c>
      <c r="EI142">
        <f>IF(ISBLANK('Data Entry'!$Ë$142), "", 'Data Entry'!$Ë$142)</f>
      </c>
      <c r="EJ142">
        <f>IF(ISBLANK('Data Entry'!$Ì$142), "", 'Data Entry'!$Ì$142)</f>
      </c>
      <c r="EK142">
        <f>IF(ISBLANK('Data Entry'!$Í$142), "", 'Data Entry'!$Í$142)</f>
      </c>
      <c r="EL142">
        <f>IF(ISBLANK('Data Entry'!$Î$142), "", 'Data Entry'!$Î$142)</f>
      </c>
      <c r="EM142">
        <f>IF(ISBLANK('Data Entry'!$Ï$142), "", 'Data Entry'!$Ï$142)</f>
      </c>
      <c r="EN142">
        <f>IF(ISBLANK('Data Entry'!$Ð$142), "", 'Data Entry'!$Ð$142)</f>
      </c>
      <c r="EO142">
        <f>IF(ISBLANK('Data Entry'!$Ñ$142), "", 'Data Entry'!$Ñ$142)</f>
      </c>
      <c r="EP142">
        <f>IF(ISBLANK('Data Entry'!$Ò$142), "", 'Data Entry'!$Ò$142)</f>
      </c>
      <c r="EQ142">
        <f>IF(ISBLANK('Data Entry'!$Ó$142), "", 'Data Entry'!$Ó$142)</f>
      </c>
      <c r="ER142">
        <f>IF(ISBLANK('Data Entry'!$Ô$142), "", 'Data Entry'!$Ô$142)</f>
      </c>
      <c r="ES142">
        <f>IF(ISBLANK('Data Entry'!$Õ$142), "", 'Data Entry'!$Õ$142)</f>
      </c>
      <c r="ET142">
        <f>IF(ISBLANK('Data Entry'!$Ö$142), "", 'Data Entry'!$Ö$142)</f>
      </c>
      <c r="EU142">
        <f>IF(ISBLANK('Data Entry'!$×$142), "", 'Data Entry'!$×$142)</f>
      </c>
      <c r="EV142">
        <f>IF(ISBLANK('Data Entry'!$Ø$142), "", 'Data Entry'!$Ø$142)</f>
      </c>
      <c r="EW142">
        <f>IF(ISBLANK('Data Entry'!$Ù$142), "", 'Data Entry'!$Ù$142)</f>
      </c>
      <c r="EX142">
        <f>IF(ISBLANK('Data Entry'!$Ú$142), "", 'Data Entry'!$Ú$142)</f>
      </c>
      <c r="EY142">
        <f>IF(ISBLANK('Data Entry'!$Û$142), "", 'Data Entry'!$Û$142)</f>
      </c>
      <c r="EZ142">
        <f>IF(ISBLANK('Data Entry'!$Ü$142), "", 'Data Entry'!$Ü$142)</f>
      </c>
      <c r="FA142">
        <f>IF(ISBLANK('Data Entry'!$Ý$142), "", 'Data Entry'!$Ý$142)</f>
      </c>
      <c r="FB142">
        <f>IF(ISBLANK('Data Entry'!$Þ$142), "", 'Data Entry'!$Þ$142)</f>
      </c>
      <c r="FC142">
        <f>IF(ISBLANK('Data Entry'!$ß$142), "", 'Data Entry'!$ß$142)</f>
      </c>
      <c r="FD142">
        <f>IF(ISBLANK('Data Entry'!$à$142), "", 'Data Entry'!$à$142)</f>
      </c>
      <c r="FE142">
        <f>IF(ISBLANK('Data Entry'!$á$142), "", 'Data Entry'!$á$142)</f>
      </c>
      <c r="FF142">
        <f>IF(ISBLANK('Data Entry'!$â$142), "", 'Data Entry'!$â$142)</f>
      </c>
      <c r="FG142">
        <f>IF(ISBLANK('Data Entry'!$ã$142), "", 'Data Entry'!$ã$142)</f>
      </c>
      <c r="FH142">
        <f>IF(ISBLANK('Data Entry'!$ä$142), "", 'Data Entry'!$ä$142)</f>
      </c>
      <c r="FI142">
        <f>IF(ISBLANK('Data Entry'!$å$142), "", 'Data Entry'!$å$142)</f>
      </c>
      <c r="FJ142">
        <f>IF(ISBLANK('Data Entry'!$æ$142), "", 'Data Entry'!$æ$142)</f>
      </c>
      <c r="FK142">
        <f>IF(ISBLANK('Data Entry'!$ç$142), "", 'Data Entry'!$ç$142)</f>
      </c>
      <c r="FL142">
        <f>IF(ISBLANK('Data Entry'!$è$142), "", 'Data Entry'!$è$142)</f>
      </c>
      <c r="FM142">
        <f>IF(ISBLANK('Data Entry'!$é$142), "", 'Data Entry'!$é$142)</f>
      </c>
      <c r="FN142">
        <f>IF(ISBLANK('Data Entry'!$ê$142), "", 'Data Entry'!$ê$142)</f>
      </c>
      <c r="FO142">
        <f>IF(ISBLANK('Data Entry'!$ë$142), "", 'Data Entry'!$ë$142)</f>
      </c>
      <c r="FP142">
        <f>IF(ISBLANK('Data Entry'!$ì$142), "", 'Data Entry'!$ì$142)</f>
      </c>
      <c r="FQ142">
        <f>IF(ISBLANK('Data Entry'!$í$142), "", 'Data Entry'!$í$142)</f>
      </c>
      <c r="FR142">
        <f>IF(ISBLANK('Data Entry'!$î$142), "", 'Data Entry'!$î$142)</f>
      </c>
      <c r="FS142">
        <f>IF(ISBLANK('Data Entry'!$ï$142), "", 'Data Entry'!$ï$142)</f>
      </c>
      <c r="FT142">
        <f>IF(ISBLANK('Data Entry'!$ð$142), "", 'Data Entry'!$ð$142)</f>
      </c>
      <c r="FU142">
        <f>IF(ISBLANK('Data Entry'!$ñ$142), "", 'Data Entry'!$ñ$142)</f>
      </c>
      <c r="FV142">
        <f>IF(ISBLANK('Data Entry'!$ò$142), "", 'Data Entry'!$ò$142)</f>
      </c>
      <c r="FW142">
        <f>IF(ISBLANK('Data Entry'!$ó$142), "", 'Data Entry'!$ó$142)</f>
      </c>
      <c r="FX142">
        <f>IF(ISBLANK('Data Entry'!$ô$142), "", 'Data Entry'!$ô$142)</f>
      </c>
      <c r="FY142">
        <f>IF(ISBLANK('Data Entry'!$õ$142), "", 'Data Entry'!$õ$142)</f>
      </c>
      <c r="FZ142">
        <f>IF(ISBLANK('Data Entry'!$ö$142), "", 'Data Entry'!$ö$142)</f>
      </c>
      <c r="GA142">
        <f>IF(ISBLANK('Data Entry'!$÷$142), "", 'Data Entry'!$÷$142)</f>
      </c>
      <c r="GB142">
        <f>IF(ISBLANK('Data Entry'!$ø$142), "", 'Data Entry'!$ø$142)</f>
      </c>
      <c r="GC142">
        <f>IF(ISBLANK('Data Entry'!$ù$142), "", 'Data Entry'!$ù$142)</f>
      </c>
      <c r="GD142">
        <f>IF(ISBLANK('Data Entry'!$ú$142), "", 'Data Entry'!$ú$142)</f>
      </c>
      <c r="GE142">
        <f>IF(ISBLANK('Data Entry'!$û$142), "", 'Data Entry'!$û$142)</f>
      </c>
      <c r="GF142">
        <f>IF(ISBLANK('Data Entry'!$ü$142), "", 'Data Entry'!$ü$142)</f>
      </c>
      <c r="GG142">
        <f>IF(ISBLANK('Data Entry'!$ý$142), "", 'Data Entry'!$ý$142)</f>
      </c>
      <c r="GH142">
        <f>IF(ISBLANK('Data Entry'!$þ$142), "", 'Data Entry'!$þ$142)</f>
      </c>
      <c r="GI142">
        <f>IF(ISBLANK('Data Entry'!$ÿ$142), "", 'Data Entry'!$ÿ$142)</f>
      </c>
      <c r="GJ142">
        <f>IF(ISBLANK('Data Entry'!$Ā$142), "", 'Data Entry'!$Ā$142)</f>
      </c>
      <c r="GK142">
        <f>IF(ISBLANK('Data Entry'!$ā$142), "", 'Data Entry'!$ā$142)</f>
      </c>
      <c r="GL142">
        <f>IF(ISBLANK('Data Entry'!$Ă$142), "", 'Data Entry'!$Ă$142)</f>
      </c>
      <c r="GM142">
        <f>IF(ISBLANK('Data Entry'!$ă$142), "", 'Data Entry'!$ă$142)</f>
      </c>
      <c r="GN142">
        <f>IF(ISBLANK('Data Entry'!$Ą$142), "", 'Data Entry'!$Ą$142)</f>
      </c>
      <c r="GO142">
        <f>IF(ISBLANK('Data Entry'!$ą$142), "", 'Data Entry'!$ą$142)</f>
      </c>
      <c r="GP142">
        <f>IF(ISBLANK('Data Entry'!$Ć$142), "", 'Data Entry'!$Ć$142)</f>
      </c>
      <c r="GQ142">
        <f>IF(ISBLANK('Data Entry'!$ć$142), "", 'Data Entry'!$ć$142)</f>
      </c>
      <c r="GR142">
        <f>IF(ISBLANK('Data Entry'!$Ĉ$142), "", 'Data Entry'!$Ĉ$142)</f>
      </c>
      <c r="GS142">
        <f>IF(ISBLANK('Data Entry'!$ĉ$142), "", 'Data Entry'!$ĉ$142)</f>
      </c>
      <c r="GT142">
        <f>IF(ISBLANK('Data Entry'!$Ċ$142), "", 'Data Entry'!$Ċ$142)</f>
      </c>
      <c r="GU142">
        <f>IF(ISBLANK('Data Entry'!$ċ$142), "", 'Data Entry'!$ċ$142)</f>
      </c>
      <c r="GV142">
        <f>IF(ISBLANK('Data Entry'!$Č$142), "", 'Data Entry'!$Č$142)</f>
      </c>
      <c r="GW142">
        <f>IF(ISBLANK('Data Entry'!$č$142), "", 'Data Entry'!$č$142)</f>
      </c>
      <c r="GX142">
        <f>IF(ISBLANK('Data Entry'!$Ď$142), "", 'Data Entry'!$Ď$142)</f>
      </c>
      <c r="GY142">
        <f>IF(ISBLANK('Data Entry'!$ď$142), "", 'Data Entry'!$ď$142)</f>
      </c>
      <c r="GZ142">
        <f>IF(ISBLANK('Data Entry'!$Đ$142), "", 'Data Entry'!$Đ$142)</f>
      </c>
      <c r="HA142">
        <f>IF(ISBLANK('Data Entry'!$đ$142), "", 'Data Entry'!$đ$142)</f>
      </c>
      <c r="HB142">
        <f>IF(ISBLANK('Data Entry'!$Ē$142), "", 'Data Entry'!$Ē$142)</f>
      </c>
      <c r="HC142">
        <f>IF(ISBLANK('Data Entry'!$ē$142), "", 'Data Entry'!$ē$142)</f>
      </c>
      <c r="HD142">
        <f>IF(ISBLANK('Data Entry'!$Ĕ$142), "", 'Data Entry'!$Ĕ$142)</f>
      </c>
      <c r="HE142">
        <f>IF(ISBLANK('Data Entry'!$ĕ$142), "", 'Data Entry'!$ĕ$142)</f>
      </c>
      <c r="HF142">
        <f>IF(ISBLANK('Data Entry'!$Ė$142), "", 'Data Entry'!$Ė$142)</f>
      </c>
      <c r="HG142">
        <f>IF(ISBLANK('Data Entry'!$ė$142), "", 'Data Entry'!$ė$142)</f>
      </c>
      <c r="HH142">
        <f>IF(ISBLANK('Data Entry'!$Ę$142), "", 'Data Entry'!$Ę$142)</f>
      </c>
      <c r="HI142">
        <f>IF(ISBLANK('Data Entry'!$ę$142), "", 'Data Entry'!$ę$142)</f>
      </c>
      <c r="HJ142">
        <f>IF(ISBLANK('Data Entry'!$Ě$142), "", 'Data Entry'!$Ě$142)</f>
      </c>
      <c r="HK142">
        <f>IF(ISBLANK('Data Entry'!$ě$142), "", 'Data Entry'!$ě$142)</f>
      </c>
      <c r="HL142">
        <f>IF(ISBLANK('Data Entry'!$Ĝ$142), "", 'Data Entry'!$Ĝ$142)</f>
      </c>
      <c r="HM142">
        <f>IF(ISBLANK('Data Entry'!$ĝ$142), "", 'Data Entry'!$ĝ$142)</f>
      </c>
      <c r="HN142">
        <f>IF(ISBLANK('Data Entry'!$Ğ$142), "", 'Data Entry'!$Ğ$142)</f>
      </c>
      <c r="HO142">
        <f>IF(ISBLANK('Data Entry'!$ğ$142), "", 'Data Entry'!$ğ$142)</f>
      </c>
      <c r="HP142">
        <f>IF(ISBLANK('Data Entry'!$Ġ$142), "", 'Data Entry'!$Ġ$142)</f>
      </c>
      <c r="HQ142">
        <f>IF(ISBLANK('Data Entry'!$ġ$142), "", 'Data Entry'!$ġ$142)</f>
      </c>
      <c r="HR142">
        <f>IF(ISBLANK('Data Entry'!$Ģ$142), "", 'Data Entry'!$Ģ$142)</f>
      </c>
      <c r="HS142">
        <f>IF(ISBLANK('Data Entry'!$ģ$142), "", 'Data Entry'!$ģ$142)</f>
      </c>
      <c r="HT142">
        <f>IF(ISBLANK('Data Entry'!$Ĥ$142), "", 'Data Entry'!$Ĥ$142)</f>
      </c>
      <c r="HU142">
        <f>IF(ISBLANK('Data Entry'!$ĥ$142), "", 'Data Entry'!$ĥ$142)</f>
      </c>
      <c r="HV142">
        <f>IF(ISBLANK('Data Entry'!$Ħ$142), "", 'Data Entry'!$Ħ$142)</f>
      </c>
      <c r="HW142">
        <f>IF(ISBLANK('Data Entry'!$ħ$142), "", 'Data Entry'!$ħ$142)</f>
      </c>
      <c r="HX142">
        <f>IF(ISBLANK('Data Entry'!$Ĩ$142), "", 'Data Entry'!$Ĩ$142)</f>
      </c>
      <c r="HY142">
        <f>IF(ISBLANK('Data Entry'!$ĩ$142), "", 'Data Entry'!$ĩ$142)</f>
      </c>
      <c r="HZ142">
        <f>IF(ISBLANK('Data Entry'!$Ī$142), "", 'Data Entry'!$Ī$142)</f>
      </c>
      <c r="IA142">
        <f>IF(ISBLANK('Data Entry'!$ī$142), "", 'Data Entry'!$ī$142)</f>
      </c>
      <c r="IB142">
        <f>IF(ISBLANK('Data Entry'!$Ĭ$142), "", 'Data Entry'!$Ĭ$142)</f>
      </c>
      <c r="IC142">
        <f>IF(ISBLANK('Data Entry'!$ĭ$142), "", 'Data Entry'!$ĭ$142)</f>
      </c>
      <c r="ID142">
        <f>IF(ISBLANK('Data Entry'!$Į$142), "", 'Data Entry'!$Į$142)</f>
      </c>
      <c r="IE142">
        <f>IF(ISBLANK('Data Entry'!$į$142), "", 'Data Entry'!$į$142)</f>
      </c>
      <c r="IF142">
        <f>IF(ISBLANK('Data Entry'!$İ$142), "", 'Data Entry'!$İ$142)</f>
      </c>
      <c r="IG142">
        <f>IF(ISBLANK('Data Entry'!$ı$142), "", 'Data Entry'!$ı$142)</f>
      </c>
      <c r="IH142">
        <f>IF(ISBLANK('Data Entry'!$Ĳ$142), "", 'Data Entry'!$Ĳ$142)</f>
      </c>
      <c r="II142">
        <f>IF(ISBLANK('Data Entry'!$ĳ$142), "", 'Data Entry'!$ĳ$142)</f>
      </c>
      <c r="IJ142">
        <f>IF(ISBLANK('Data Entry'!$Ĵ$142), "", 'Data Entry'!$Ĵ$142)</f>
      </c>
      <c r="IK142">
        <f>IF(ISBLANK('Data Entry'!$ĵ$142), "", 'Data Entry'!$ĵ$142)</f>
      </c>
      <c r="IL142">
        <f>IF(ISBLANK('Data Entry'!$Ķ$142), "", 'Data Entry'!$Ķ$142)</f>
      </c>
      <c r="IM142">
        <f>IF(ISBLANK('Data Entry'!$ķ$142), "", 'Data Entry'!$ķ$142)</f>
      </c>
      <c r="IN142">
        <f>IF(ISBLANK('Data Entry'!$ĸ$142), "", 'Data Entry'!$ĸ$142)</f>
      </c>
      <c r="IO142">
        <f>IF(ISBLANK('Data Entry'!$Ĺ$142), "", 'Data Entry'!$Ĺ$142)</f>
      </c>
      <c r="IP142">
        <f>IF(ISBLANK('Data Entry'!$ĺ$142), "", 'Data Entry'!$ĺ$142)</f>
      </c>
      <c r="IQ142">
        <f>IF(ISBLANK('Data Entry'!$Ļ$142), "", 'Data Entry'!$Ļ$142)</f>
      </c>
      <c r="IR142">
        <f>IF(ISBLANK('Data Entry'!$ļ$142), "", 'Data Entry'!$ļ$142)</f>
      </c>
      <c r="IS142">
        <f>IF(ISBLANK('Data Entry'!$Ľ$142), "", 'Data Entry'!$Ľ$142)</f>
      </c>
      <c r="IT142">
        <f>IF(ISBLANK('Data Entry'!$ľ$142), "", 'Data Entry'!$ľ$142)</f>
      </c>
    </row>
    <row r="143" spans="1:254" x14ac:dyDescent="0.25">
      <c r="A143">
        <f>IF(ISBLANK('Data Entry'!$A$143), "", 'Data Entry'!$A$143)</f>
      </c>
      <c r="B143">
        <f>IF(ISBLANK('Data Entry'!$B$143), "", 'Data Entry'!$B$143)</f>
      </c>
      <c r="C143">
        <f>IF(ISBLANK('Data Entry'!$C$143), "", 'Data Entry'!$C$143)</f>
      </c>
      <c r="D143">
        <f>IF(ISBLANK('Data Entry'!$D$143), "", 'Data Entry'!$D$143)</f>
      </c>
      <c r="E143">
        <f>IF(ISBLANK('Data Entry'!$E$143), "", 'Data Entry'!$E$143)</f>
      </c>
      <c r="F143">
        <f>IF(ISBLANK('Data Entry'!$F$143), "", 'Data Entry'!$F$143)</f>
      </c>
      <c r="G143">
        <f>IF(ISBLANK('Data Entry'!$G$143), "", 'Data Entry'!$G$143)</f>
      </c>
      <c r="H143">
        <f>IF(ISBLANK('Data Entry'!$H$143), "", 'Data Entry'!$H$143)</f>
      </c>
      <c r="I143">
        <f>IF(ISBLANK('Data Entry'!$I$143), "", 'Data Entry'!$I$143)</f>
      </c>
      <c r="J143">
        <f>IF(ISBLANK('Data Entry'!$J$143), "", 'Data Entry'!$J$143)</f>
      </c>
      <c r="K143">
        <f>IF(ISBLANK('Data Entry'!$K$143), "", 'Data Entry'!$K$143)</f>
      </c>
      <c r="L143">
        <f>IF(ISBLANK('Data Entry'!$L$143), "", 'Data Entry'!$L$143)</f>
      </c>
      <c r="M143">
        <f>IF(ISBLANK('Data Entry'!$M$143), "", 'Data Entry'!$M$143)</f>
      </c>
      <c r="N143">
        <f>IF(ISBLANK('Data Entry'!$N$143), "", 'Data Entry'!$N$143)</f>
      </c>
      <c r="O143">
        <f>IF(ISBLANK('Data Entry'!$O$143), "", 'Data Entry'!$O$143)</f>
      </c>
      <c r="P143">
        <f>IF(ISBLANK('Data Entry'!$P$143), "", 'Data Entry'!$P$143)</f>
      </c>
      <c r="Q143">
        <f>IF(ISBLANK('Data Entry'!$Q$143), "", 'Data Entry'!$Q$143)</f>
      </c>
      <c r="R143">
        <f>IF(ISBLANK('Data Entry'!$R$143), "", 'Data Entry'!$R$143)</f>
      </c>
      <c r="S143">
        <f>IF(ISBLANK('Data Entry'!$S$143), "", 'Data Entry'!$S$143)</f>
      </c>
      <c r="T143">
        <f>IF(ISBLANK('Data Entry'!$T$143), "", 'Data Entry'!$T$143)</f>
      </c>
      <c r="U143">
        <f>IF(ISBLANK('Data Entry'!$U$143), "", 'Data Entry'!$U$143)</f>
      </c>
      <c r="V143">
        <f>IF(ISBLANK('Data Entry'!$V$143), "", 'Data Entry'!$V$143)</f>
      </c>
      <c r="W143">
        <f>IF(ISBLANK('Data Entry'!$W$143), "", 'Data Entry'!$W$143)</f>
      </c>
      <c r="X143">
        <f>IF(ISBLANK('Data Entry'!$X$143), "", 'Data Entry'!$X$143)</f>
      </c>
      <c r="Y143">
        <f>IF(ISBLANK('Data Entry'!$Y$143), "", 'Data Entry'!$Y$143)</f>
      </c>
      <c r="Z143">
        <f>IF(ISBLANK('Data Entry'!$Z$143), "", 'Data Entry'!$Z$143)</f>
      </c>
      <c r="AA143">
        <f>IF(ISBLANK('Data Entry'!$[$143), "", 'Data Entry'!$[$143)</f>
      </c>
      <c r="AB143">
        <f>IF(ISBLANK('Data Entry'!$\$143), "", 'Data Entry'!$\$143)</f>
      </c>
      <c r="AC143">
        <f>IF(ISBLANK('Data Entry'!$]$143), "", 'Data Entry'!$]$143)</f>
      </c>
      <c r="AD143">
        <f>IF(ISBLANK('Data Entry'!$^$143), "", 'Data Entry'!$^$143)</f>
      </c>
      <c r="AE143">
        <f>IF(ISBLANK('Data Entry'!$_$143), "", 'Data Entry'!$_$143)</f>
      </c>
      <c r="AF143">
        <f>IF(ISBLANK('Data Entry'!$`$143), "", 'Data Entry'!$`$143)</f>
      </c>
      <c r="AG143">
        <f>IF(ISBLANK('Data Entry'!$a$143), "", 'Data Entry'!$a$143)</f>
      </c>
      <c r="AH143">
        <f>IF(ISBLANK('Data Entry'!$b$143), "", 'Data Entry'!$b$143)</f>
      </c>
      <c r="AI143">
        <f>IF(ISBLANK('Data Entry'!$c$143), "", 'Data Entry'!$c$143)</f>
      </c>
      <c r="AJ143">
        <f>IF(ISBLANK('Data Entry'!$d$143), "", 'Data Entry'!$d$143)</f>
      </c>
      <c r="AK143">
        <f>IF(ISBLANK('Data Entry'!$e$143), "", 'Data Entry'!$e$143)</f>
      </c>
      <c r="AL143">
        <f>IF(ISBLANK('Data Entry'!$f$143), "", 'Data Entry'!$f$143)</f>
      </c>
      <c r="AM143">
        <f>IF(ISBLANK('Data Entry'!$g$143), "", 'Data Entry'!$g$143)</f>
      </c>
      <c r="AN143">
        <f>IF(ISBLANK('Data Entry'!$h$143), "", 'Data Entry'!$h$143)</f>
      </c>
      <c r="AO143">
        <f>IF(ISBLANK('Data Entry'!$i$143), "", 'Data Entry'!$i$143)</f>
      </c>
      <c r="AP143">
        <f>IF(ISBLANK('Data Entry'!$j$143), "", 'Data Entry'!$j$143)</f>
      </c>
      <c r="AQ143">
        <f>IF(ISBLANK('Data Entry'!$k$143), "", 'Data Entry'!$k$143)</f>
      </c>
      <c r="AR143">
        <f>IF(ISBLANK('Data Entry'!$l$143), "", 'Data Entry'!$l$143)</f>
      </c>
      <c r="AS143">
        <f>IF(ISBLANK('Data Entry'!$m$143), "", 'Data Entry'!$m$143)</f>
      </c>
      <c r="AT143">
        <f>IF(ISBLANK('Data Entry'!$n$143), "", 'Data Entry'!$n$143)</f>
      </c>
      <c r="AU143">
        <f>IF(ISBLANK('Data Entry'!$o$143), "", 'Data Entry'!$o$143)</f>
      </c>
      <c r="AV143">
        <f>IF(ISBLANK('Data Entry'!$p$143), "", 'Data Entry'!$p$143)</f>
      </c>
      <c r="AW143">
        <f>IF(ISBLANK('Data Entry'!$q$143), "", 'Data Entry'!$q$143)</f>
      </c>
      <c r="AX143">
        <f>IF(ISBLANK('Data Entry'!$r$143), "", 'Data Entry'!$r$143)</f>
      </c>
      <c r="AY143">
        <f>IF(ISBLANK('Data Entry'!$s$143), "", 'Data Entry'!$s$143)</f>
      </c>
      <c r="AZ143">
        <f>IF(ISBLANK('Data Entry'!$t$143), "", 'Data Entry'!$t$143)</f>
      </c>
      <c r="BA143">
        <f>IF(ISBLANK('Data Entry'!$u$143), "", 'Data Entry'!$u$143)</f>
      </c>
      <c r="BB143">
        <f>IF(ISBLANK('Data Entry'!$v$143), "", 'Data Entry'!$v$143)</f>
      </c>
      <c r="BC143">
        <f>IF(ISBLANK('Data Entry'!$w$143), "", 'Data Entry'!$w$143)</f>
      </c>
      <c r="BD143">
        <f>IF(ISBLANK('Data Entry'!$x$143), "", 'Data Entry'!$x$143)</f>
      </c>
      <c r="BE143">
        <f>IF(ISBLANK('Data Entry'!$y$143), "", 'Data Entry'!$y$143)</f>
      </c>
      <c r="BF143">
        <f>IF(ISBLANK('Data Entry'!$z$143), "", 'Data Entry'!$z$143)</f>
      </c>
      <c r="BG143">
        <f>IF(ISBLANK('Data Entry'!${$143), "", 'Data Entry'!${$143)</f>
      </c>
      <c r="BH143">
        <f>IF(ISBLANK('Data Entry'!$|$143), "", 'Data Entry'!$|$143)</f>
      </c>
      <c r="BI143">
        <f>IF(ISBLANK('Data Entry'!$}$143), "", 'Data Entry'!$}$143)</f>
      </c>
      <c r="BJ143">
        <f>IF(ISBLANK('Data Entry'!$~$143), "", 'Data Entry'!$~$143)</f>
      </c>
      <c r="BK143">
        <f>IF(ISBLANK('Data Entry'!$$143), "", 'Data Entry'!$$143)</f>
      </c>
      <c r="BL143">
        <f>IF(ISBLANK('Data Entry'!$$143), "", 'Data Entry'!$$143)</f>
      </c>
      <c r="BM143">
        <f>IF(ISBLANK('Data Entry'!$$143), "", 'Data Entry'!$$143)</f>
      </c>
      <c r="BN143">
        <f>IF(ISBLANK('Data Entry'!$$143), "", 'Data Entry'!$$143)</f>
      </c>
      <c r="BO143">
        <f>IF(ISBLANK('Data Entry'!$$143), "", 'Data Entry'!$$143)</f>
      </c>
      <c r="BP143">
        <f>IF(ISBLANK('Data Entry'!$$143), "", 'Data Entry'!$$143)</f>
      </c>
      <c r="BQ143">
        <f>IF(ISBLANK('Data Entry'!$$143), "", 'Data Entry'!$$143)</f>
      </c>
      <c r="BR143">
        <f>IF(ISBLANK('Data Entry'!$$143), "", 'Data Entry'!$$143)</f>
      </c>
      <c r="BS143">
        <f>IF(ISBLANK('Data Entry'!$$143), "", 'Data Entry'!$$143)</f>
      </c>
      <c r="BT143">
        <f>IF(ISBLANK('Data Entry'!$$143), "", 'Data Entry'!$$143)</f>
      </c>
      <c r="BU143">
        <f>IF(ISBLANK('Data Entry'!$$143), "", 'Data Entry'!$$143)</f>
      </c>
      <c r="BV143">
        <f>IF(ISBLANK('Data Entry'!$$143), "", 'Data Entry'!$$143)</f>
      </c>
      <c r="BW143">
        <f>IF(ISBLANK('Data Entry'!$$143), "", 'Data Entry'!$$143)</f>
      </c>
      <c r="BX143">
        <f>IF(ISBLANK('Data Entry'!$$143), "", 'Data Entry'!$$143)</f>
      </c>
      <c r="BY143">
        <f>IF(ISBLANK('Data Entry'!$$143), "", 'Data Entry'!$$143)</f>
      </c>
      <c r="BZ143">
        <f>IF(ISBLANK('Data Entry'!$$143), "", 'Data Entry'!$$143)</f>
      </c>
      <c r="CA143">
        <f>IF(ISBLANK('Data Entry'!$$143), "", 'Data Entry'!$$143)</f>
      </c>
      <c r="CB143">
        <f>IF(ISBLANK('Data Entry'!$$143), "", 'Data Entry'!$$143)</f>
      </c>
      <c r="CC143">
        <f>IF(ISBLANK('Data Entry'!$$143), "", 'Data Entry'!$$143)</f>
      </c>
      <c r="CD143">
        <f>IF(ISBLANK('Data Entry'!$$143), "", 'Data Entry'!$$143)</f>
      </c>
      <c r="CE143">
        <f>IF(ISBLANK('Data Entry'!$$143), "", 'Data Entry'!$$143)</f>
      </c>
      <c r="CF143">
        <f>IF(ISBLANK('Data Entry'!$$143), "", 'Data Entry'!$$143)</f>
      </c>
      <c r="CG143">
        <f>IF(ISBLANK('Data Entry'!$$143), "", 'Data Entry'!$$143)</f>
      </c>
      <c r="CH143">
        <f>IF(ISBLANK('Data Entry'!$$143), "", 'Data Entry'!$$143)</f>
      </c>
      <c r="CI143">
        <f>IF(ISBLANK('Data Entry'!$$143), "", 'Data Entry'!$$143)</f>
      </c>
      <c r="CJ143">
        <f>IF(ISBLANK('Data Entry'!$$143), "", 'Data Entry'!$$143)</f>
      </c>
      <c r="CK143">
        <f>IF(ISBLANK('Data Entry'!$$143), "", 'Data Entry'!$$143)</f>
      </c>
      <c r="CL143">
        <f>IF(ISBLANK('Data Entry'!$$143), "", 'Data Entry'!$$143)</f>
      </c>
      <c r="CM143">
        <f>IF(ISBLANK('Data Entry'!$$143), "", 'Data Entry'!$$143)</f>
      </c>
      <c r="CN143">
        <f>IF(ISBLANK('Data Entry'!$$143), "", 'Data Entry'!$$143)</f>
      </c>
      <c r="CO143">
        <f>IF(ISBLANK('Data Entry'!$$143), "", 'Data Entry'!$$143)</f>
      </c>
      <c r="CP143">
        <f>IF(ISBLANK('Data Entry'!$$143), "", 'Data Entry'!$$143)</f>
      </c>
      <c r="CQ143">
        <f>IF(ISBLANK('Data Entry'!$$143), "", 'Data Entry'!$$143)</f>
      </c>
      <c r="CR143">
        <f>IF(ISBLANK('Data Entry'!$ $143), "", 'Data Entry'!$ $143)</f>
      </c>
      <c r="CS143">
        <f>IF(ISBLANK('Data Entry'!$¡$143), "", 'Data Entry'!$¡$143)</f>
      </c>
      <c r="CT143">
        <f>IF(ISBLANK('Data Entry'!$¢$143), "", 'Data Entry'!$¢$143)</f>
      </c>
      <c r="CU143">
        <f>IF(ISBLANK('Data Entry'!$£$143), "", 'Data Entry'!$£$143)</f>
      </c>
      <c r="CV143">
        <f>IF(ISBLANK('Data Entry'!$¤$143), "", 'Data Entry'!$¤$143)</f>
      </c>
      <c r="CW143">
        <f>IF(ISBLANK('Data Entry'!$¥$143), "", 'Data Entry'!$¥$143)</f>
      </c>
      <c r="CX143">
        <f>IF(ISBLANK('Data Entry'!$¦$143), "", 'Data Entry'!$¦$143)</f>
      </c>
      <c r="CY143">
        <f>IF(ISBLANK('Data Entry'!$§$143), "", 'Data Entry'!$§$143)</f>
      </c>
      <c r="CZ143">
        <f>IF(ISBLANK('Data Entry'!$¨$143), "", 'Data Entry'!$¨$143)</f>
      </c>
      <c r="DA143">
        <f>IF(ISBLANK('Data Entry'!$©$143), "", 'Data Entry'!$©$143)</f>
      </c>
      <c r="DB143">
        <f>IF(ISBLANK('Data Entry'!$ª$143), "", 'Data Entry'!$ª$143)</f>
      </c>
      <c r="DC143">
        <f>IF(ISBLANK('Data Entry'!$«$143), "", 'Data Entry'!$«$143)</f>
      </c>
      <c r="DD143">
        <f>IF(ISBLANK('Data Entry'!$¬$143), "", 'Data Entry'!$¬$143)</f>
      </c>
      <c r="DE143">
        <f>IF(ISBLANK('Data Entry'!$­$143), "", 'Data Entry'!$­$143)</f>
      </c>
      <c r="DF143">
        <f>IF(ISBLANK('Data Entry'!$®$143), "", 'Data Entry'!$®$143)</f>
      </c>
      <c r="DG143">
        <f>IF(ISBLANK('Data Entry'!$¯$143), "", 'Data Entry'!$¯$143)</f>
      </c>
      <c r="DH143">
        <f>IF(ISBLANK('Data Entry'!$°$143), "", 'Data Entry'!$°$143)</f>
      </c>
      <c r="DI143">
        <f>IF(ISBLANK('Data Entry'!$±$143), "", 'Data Entry'!$±$143)</f>
      </c>
      <c r="DJ143">
        <f>IF(ISBLANK('Data Entry'!$²$143), "", 'Data Entry'!$²$143)</f>
      </c>
      <c r="DK143">
        <f>IF(ISBLANK('Data Entry'!$³$143), "", 'Data Entry'!$³$143)</f>
      </c>
      <c r="DL143">
        <f>IF(ISBLANK('Data Entry'!$´$143), "", 'Data Entry'!$´$143)</f>
      </c>
      <c r="DM143">
        <f>IF(ISBLANK('Data Entry'!$µ$143), "", 'Data Entry'!$µ$143)</f>
      </c>
      <c r="DN143">
        <f>IF(ISBLANK('Data Entry'!$¶$143), "", 'Data Entry'!$¶$143)</f>
      </c>
      <c r="DO143">
        <f>IF(ISBLANK('Data Entry'!$·$143), "", 'Data Entry'!$·$143)</f>
      </c>
      <c r="DP143">
        <f>IF(ISBLANK('Data Entry'!$¸$143), "", 'Data Entry'!$¸$143)</f>
      </c>
      <c r="DQ143">
        <f>IF(ISBLANK('Data Entry'!$¹$143), "", 'Data Entry'!$¹$143)</f>
      </c>
      <c r="DR143">
        <f>IF(ISBLANK('Data Entry'!$º$143), "", 'Data Entry'!$º$143)</f>
      </c>
      <c r="DS143">
        <f>IF(ISBLANK('Data Entry'!$»$143), "", 'Data Entry'!$»$143)</f>
      </c>
      <c r="DT143">
        <f>IF(ISBLANK('Data Entry'!$¼$143), "", 'Data Entry'!$¼$143)</f>
      </c>
      <c r="DU143">
        <f>IF(ISBLANK('Data Entry'!$½$143), "", 'Data Entry'!$½$143)</f>
      </c>
      <c r="DV143">
        <f>IF(ISBLANK('Data Entry'!$¾$143), "", 'Data Entry'!$¾$143)</f>
      </c>
      <c r="DW143">
        <f>IF(ISBLANK('Data Entry'!$¿$143), "", 'Data Entry'!$¿$143)</f>
      </c>
      <c r="DX143">
        <f>IF(ISBLANK('Data Entry'!$À$143), "", 'Data Entry'!$À$143)</f>
      </c>
      <c r="DY143">
        <f>IF(ISBLANK('Data Entry'!$Á$143), "", 'Data Entry'!$Á$143)</f>
      </c>
      <c r="DZ143">
        <f>IF(ISBLANK('Data Entry'!$Â$143), "", 'Data Entry'!$Â$143)</f>
      </c>
      <c r="EA143">
        <f>IF(ISBLANK('Data Entry'!$Ã$143), "", 'Data Entry'!$Ã$143)</f>
      </c>
      <c r="EB143">
        <f>IF(ISBLANK('Data Entry'!$Ä$143), "", 'Data Entry'!$Ä$143)</f>
      </c>
      <c r="EC143">
        <f>IF(ISBLANK('Data Entry'!$Å$143), "", 'Data Entry'!$Å$143)</f>
      </c>
      <c r="ED143">
        <f>IF(ISBLANK('Data Entry'!$Æ$143), "", 'Data Entry'!$Æ$143)</f>
      </c>
      <c r="EE143">
        <f>IF(ISBLANK('Data Entry'!$Ç$143), "", 'Data Entry'!$Ç$143)</f>
      </c>
      <c r="EF143">
        <f>IF(ISBLANK('Data Entry'!$È$143), "", 'Data Entry'!$È$143)</f>
      </c>
      <c r="EG143">
        <f>IF(ISBLANK('Data Entry'!$É$143), "", 'Data Entry'!$É$143)</f>
      </c>
      <c r="EH143">
        <f>IF(ISBLANK('Data Entry'!$Ê$143), "", 'Data Entry'!$Ê$143)</f>
      </c>
      <c r="EI143">
        <f>IF(ISBLANK('Data Entry'!$Ë$143), "", 'Data Entry'!$Ë$143)</f>
      </c>
      <c r="EJ143">
        <f>IF(ISBLANK('Data Entry'!$Ì$143), "", 'Data Entry'!$Ì$143)</f>
      </c>
      <c r="EK143">
        <f>IF(ISBLANK('Data Entry'!$Í$143), "", 'Data Entry'!$Í$143)</f>
      </c>
      <c r="EL143">
        <f>IF(ISBLANK('Data Entry'!$Î$143), "", 'Data Entry'!$Î$143)</f>
      </c>
      <c r="EM143">
        <f>IF(ISBLANK('Data Entry'!$Ï$143), "", 'Data Entry'!$Ï$143)</f>
      </c>
      <c r="EN143">
        <f>IF(ISBLANK('Data Entry'!$Ð$143), "", 'Data Entry'!$Ð$143)</f>
      </c>
      <c r="EO143">
        <f>IF(ISBLANK('Data Entry'!$Ñ$143), "", 'Data Entry'!$Ñ$143)</f>
      </c>
      <c r="EP143">
        <f>IF(ISBLANK('Data Entry'!$Ò$143), "", 'Data Entry'!$Ò$143)</f>
      </c>
      <c r="EQ143">
        <f>IF(ISBLANK('Data Entry'!$Ó$143), "", 'Data Entry'!$Ó$143)</f>
      </c>
      <c r="ER143">
        <f>IF(ISBLANK('Data Entry'!$Ô$143), "", 'Data Entry'!$Ô$143)</f>
      </c>
      <c r="ES143">
        <f>IF(ISBLANK('Data Entry'!$Õ$143), "", 'Data Entry'!$Õ$143)</f>
      </c>
      <c r="ET143">
        <f>IF(ISBLANK('Data Entry'!$Ö$143), "", 'Data Entry'!$Ö$143)</f>
      </c>
      <c r="EU143">
        <f>IF(ISBLANK('Data Entry'!$×$143), "", 'Data Entry'!$×$143)</f>
      </c>
      <c r="EV143">
        <f>IF(ISBLANK('Data Entry'!$Ø$143), "", 'Data Entry'!$Ø$143)</f>
      </c>
      <c r="EW143">
        <f>IF(ISBLANK('Data Entry'!$Ù$143), "", 'Data Entry'!$Ù$143)</f>
      </c>
      <c r="EX143">
        <f>IF(ISBLANK('Data Entry'!$Ú$143), "", 'Data Entry'!$Ú$143)</f>
      </c>
      <c r="EY143">
        <f>IF(ISBLANK('Data Entry'!$Û$143), "", 'Data Entry'!$Û$143)</f>
      </c>
      <c r="EZ143">
        <f>IF(ISBLANK('Data Entry'!$Ü$143), "", 'Data Entry'!$Ü$143)</f>
      </c>
      <c r="FA143">
        <f>IF(ISBLANK('Data Entry'!$Ý$143), "", 'Data Entry'!$Ý$143)</f>
      </c>
      <c r="FB143">
        <f>IF(ISBLANK('Data Entry'!$Þ$143), "", 'Data Entry'!$Þ$143)</f>
      </c>
      <c r="FC143">
        <f>IF(ISBLANK('Data Entry'!$ß$143), "", 'Data Entry'!$ß$143)</f>
      </c>
      <c r="FD143">
        <f>IF(ISBLANK('Data Entry'!$à$143), "", 'Data Entry'!$à$143)</f>
      </c>
      <c r="FE143">
        <f>IF(ISBLANK('Data Entry'!$á$143), "", 'Data Entry'!$á$143)</f>
      </c>
      <c r="FF143">
        <f>IF(ISBLANK('Data Entry'!$â$143), "", 'Data Entry'!$â$143)</f>
      </c>
      <c r="FG143">
        <f>IF(ISBLANK('Data Entry'!$ã$143), "", 'Data Entry'!$ã$143)</f>
      </c>
      <c r="FH143">
        <f>IF(ISBLANK('Data Entry'!$ä$143), "", 'Data Entry'!$ä$143)</f>
      </c>
      <c r="FI143">
        <f>IF(ISBLANK('Data Entry'!$å$143), "", 'Data Entry'!$å$143)</f>
      </c>
      <c r="FJ143">
        <f>IF(ISBLANK('Data Entry'!$æ$143), "", 'Data Entry'!$æ$143)</f>
      </c>
      <c r="FK143">
        <f>IF(ISBLANK('Data Entry'!$ç$143), "", 'Data Entry'!$ç$143)</f>
      </c>
      <c r="FL143">
        <f>IF(ISBLANK('Data Entry'!$è$143), "", 'Data Entry'!$è$143)</f>
      </c>
      <c r="FM143">
        <f>IF(ISBLANK('Data Entry'!$é$143), "", 'Data Entry'!$é$143)</f>
      </c>
      <c r="FN143">
        <f>IF(ISBLANK('Data Entry'!$ê$143), "", 'Data Entry'!$ê$143)</f>
      </c>
      <c r="FO143">
        <f>IF(ISBLANK('Data Entry'!$ë$143), "", 'Data Entry'!$ë$143)</f>
      </c>
      <c r="FP143">
        <f>IF(ISBLANK('Data Entry'!$ì$143), "", 'Data Entry'!$ì$143)</f>
      </c>
      <c r="FQ143">
        <f>IF(ISBLANK('Data Entry'!$í$143), "", 'Data Entry'!$í$143)</f>
      </c>
      <c r="FR143">
        <f>IF(ISBLANK('Data Entry'!$î$143), "", 'Data Entry'!$î$143)</f>
      </c>
      <c r="FS143">
        <f>IF(ISBLANK('Data Entry'!$ï$143), "", 'Data Entry'!$ï$143)</f>
      </c>
      <c r="FT143">
        <f>IF(ISBLANK('Data Entry'!$ð$143), "", 'Data Entry'!$ð$143)</f>
      </c>
      <c r="FU143">
        <f>IF(ISBLANK('Data Entry'!$ñ$143), "", 'Data Entry'!$ñ$143)</f>
      </c>
      <c r="FV143">
        <f>IF(ISBLANK('Data Entry'!$ò$143), "", 'Data Entry'!$ò$143)</f>
      </c>
      <c r="FW143">
        <f>IF(ISBLANK('Data Entry'!$ó$143), "", 'Data Entry'!$ó$143)</f>
      </c>
      <c r="FX143">
        <f>IF(ISBLANK('Data Entry'!$ô$143), "", 'Data Entry'!$ô$143)</f>
      </c>
      <c r="FY143">
        <f>IF(ISBLANK('Data Entry'!$õ$143), "", 'Data Entry'!$õ$143)</f>
      </c>
      <c r="FZ143">
        <f>IF(ISBLANK('Data Entry'!$ö$143), "", 'Data Entry'!$ö$143)</f>
      </c>
      <c r="GA143">
        <f>IF(ISBLANK('Data Entry'!$÷$143), "", 'Data Entry'!$÷$143)</f>
      </c>
      <c r="GB143">
        <f>IF(ISBLANK('Data Entry'!$ø$143), "", 'Data Entry'!$ø$143)</f>
      </c>
      <c r="GC143">
        <f>IF(ISBLANK('Data Entry'!$ù$143), "", 'Data Entry'!$ù$143)</f>
      </c>
      <c r="GD143">
        <f>IF(ISBLANK('Data Entry'!$ú$143), "", 'Data Entry'!$ú$143)</f>
      </c>
      <c r="GE143">
        <f>IF(ISBLANK('Data Entry'!$û$143), "", 'Data Entry'!$û$143)</f>
      </c>
      <c r="GF143">
        <f>IF(ISBLANK('Data Entry'!$ü$143), "", 'Data Entry'!$ü$143)</f>
      </c>
      <c r="GG143">
        <f>IF(ISBLANK('Data Entry'!$ý$143), "", 'Data Entry'!$ý$143)</f>
      </c>
      <c r="GH143">
        <f>IF(ISBLANK('Data Entry'!$þ$143), "", 'Data Entry'!$þ$143)</f>
      </c>
      <c r="GI143">
        <f>IF(ISBLANK('Data Entry'!$ÿ$143), "", 'Data Entry'!$ÿ$143)</f>
      </c>
      <c r="GJ143">
        <f>IF(ISBLANK('Data Entry'!$Ā$143), "", 'Data Entry'!$Ā$143)</f>
      </c>
      <c r="GK143">
        <f>IF(ISBLANK('Data Entry'!$ā$143), "", 'Data Entry'!$ā$143)</f>
      </c>
      <c r="GL143">
        <f>IF(ISBLANK('Data Entry'!$Ă$143), "", 'Data Entry'!$Ă$143)</f>
      </c>
      <c r="GM143">
        <f>IF(ISBLANK('Data Entry'!$ă$143), "", 'Data Entry'!$ă$143)</f>
      </c>
      <c r="GN143">
        <f>IF(ISBLANK('Data Entry'!$Ą$143), "", 'Data Entry'!$Ą$143)</f>
      </c>
      <c r="GO143">
        <f>IF(ISBLANK('Data Entry'!$ą$143), "", 'Data Entry'!$ą$143)</f>
      </c>
      <c r="GP143">
        <f>IF(ISBLANK('Data Entry'!$Ć$143), "", 'Data Entry'!$Ć$143)</f>
      </c>
      <c r="GQ143">
        <f>IF(ISBLANK('Data Entry'!$ć$143), "", 'Data Entry'!$ć$143)</f>
      </c>
      <c r="GR143">
        <f>IF(ISBLANK('Data Entry'!$Ĉ$143), "", 'Data Entry'!$Ĉ$143)</f>
      </c>
      <c r="GS143">
        <f>IF(ISBLANK('Data Entry'!$ĉ$143), "", 'Data Entry'!$ĉ$143)</f>
      </c>
      <c r="GT143">
        <f>IF(ISBLANK('Data Entry'!$Ċ$143), "", 'Data Entry'!$Ċ$143)</f>
      </c>
      <c r="GU143">
        <f>IF(ISBLANK('Data Entry'!$ċ$143), "", 'Data Entry'!$ċ$143)</f>
      </c>
      <c r="GV143">
        <f>IF(ISBLANK('Data Entry'!$Č$143), "", 'Data Entry'!$Č$143)</f>
      </c>
      <c r="GW143">
        <f>IF(ISBLANK('Data Entry'!$č$143), "", 'Data Entry'!$č$143)</f>
      </c>
      <c r="GX143">
        <f>IF(ISBLANK('Data Entry'!$Ď$143), "", 'Data Entry'!$Ď$143)</f>
      </c>
      <c r="GY143">
        <f>IF(ISBLANK('Data Entry'!$ď$143), "", 'Data Entry'!$ď$143)</f>
      </c>
      <c r="GZ143">
        <f>IF(ISBLANK('Data Entry'!$Đ$143), "", 'Data Entry'!$Đ$143)</f>
      </c>
      <c r="HA143">
        <f>IF(ISBLANK('Data Entry'!$đ$143), "", 'Data Entry'!$đ$143)</f>
      </c>
      <c r="HB143">
        <f>IF(ISBLANK('Data Entry'!$Ē$143), "", 'Data Entry'!$Ē$143)</f>
      </c>
      <c r="HC143">
        <f>IF(ISBLANK('Data Entry'!$ē$143), "", 'Data Entry'!$ē$143)</f>
      </c>
      <c r="HD143">
        <f>IF(ISBLANK('Data Entry'!$Ĕ$143), "", 'Data Entry'!$Ĕ$143)</f>
      </c>
      <c r="HE143">
        <f>IF(ISBLANK('Data Entry'!$ĕ$143), "", 'Data Entry'!$ĕ$143)</f>
      </c>
      <c r="HF143">
        <f>IF(ISBLANK('Data Entry'!$Ė$143), "", 'Data Entry'!$Ė$143)</f>
      </c>
      <c r="HG143">
        <f>IF(ISBLANK('Data Entry'!$ė$143), "", 'Data Entry'!$ė$143)</f>
      </c>
      <c r="HH143">
        <f>IF(ISBLANK('Data Entry'!$Ę$143), "", 'Data Entry'!$Ę$143)</f>
      </c>
      <c r="HI143">
        <f>IF(ISBLANK('Data Entry'!$ę$143), "", 'Data Entry'!$ę$143)</f>
      </c>
      <c r="HJ143">
        <f>IF(ISBLANK('Data Entry'!$Ě$143), "", 'Data Entry'!$Ě$143)</f>
      </c>
      <c r="HK143">
        <f>IF(ISBLANK('Data Entry'!$ě$143), "", 'Data Entry'!$ě$143)</f>
      </c>
      <c r="HL143">
        <f>IF(ISBLANK('Data Entry'!$Ĝ$143), "", 'Data Entry'!$Ĝ$143)</f>
      </c>
      <c r="HM143">
        <f>IF(ISBLANK('Data Entry'!$ĝ$143), "", 'Data Entry'!$ĝ$143)</f>
      </c>
      <c r="HN143">
        <f>IF(ISBLANK('Data Entry'!$Ğ$143), "", 'Data Entry'!$Ğ$143)</f>
      </c>
      <c r="HO143">
        <f>IF(ISBLANK('Data Entry'!$ğ$143), "", 'Data Entry'!$ğ$143)</f>
      </c>
      <c r="HP143">
        <f>IF(ISBLANK('Data Entry'!$Ġ$143), "", 'Data Entry'!$Ġ$143)</f>
      </c>
      <c r="HQ143">
        <f>IF(ISBLANK('Data Entry'!$ġ$143), "", 'Data Entry'!$ġ$143)</f>
      </c>
      <c r="HR143">
        <f>IF(ISBLANK('Data Entry'!$Ģ$143), "", 'Data Entry'!$Ģ$143)</f>
      </c>
      <c r="HS143">
        <f>IF(ISBLANK('Data Entry'!$ģ$143), "", 'Data Entry'!$ģ$143)</f>
      </c>
      <c r="HT143">
        <f>IF(ISBLANK('Data Entry'!$Ĥ$143), "", 'Data Entry'!$Ĥ$143)</f>
      </c>
      <c r="HU143">
        <f>IF(ISBLANK('Data Entry'!$ĥ$143), "", 'Data Entry'!$ĥ$143)</f>
      </c>
      <c r="HV143">
        <f>IF(ISBLANK('Data Entry'!$Ħ$143), "", 'Data Entry'!$Ħ$143)</f>
      </c>
      <c r="HW143">
        <f>IF(ISBLANK('Data Entry'!$ħ$143), "", 'Data Entry'!$ħ$143)</f>
      </c>
      <c r="HX143">
        <f>IF(ISBLANK('Data Entry'!$Ĩ$143), "", 'Data Entry'!$Ĩ$143)</f>
      </c>
      <c r="HY143">
        <f>IF(ISBLANK('Data Entry'!$ĩ$143), "", 'Data Entry'!$ĩ$143)</f>
      </c>
      <c r="HZ143">
        <f>IF(ISBLANK('Data Entry'!$Ī$143), "", 'Data Entry'!$Ī$143)</f>
      </c>
      <c r="IA143">
        <f>IF(ISBLANK('Data Entry'!$ī$143), "", 'Data Entry'!$ī$143)</f>
      </c>
      <c r="IB143">
        <f>IF(ISBLANK('Data Entry'!$Ĭ$143), "", 'Data Entry'!$Ĭ$143)</f>
      </c>
      <c r="IC143">
        <f>IF(ISBLANK('Data Entry'!$ĭ$143), "", 'Data Entry'!$ĭ$143)</f>
      </c>
      <c r="ID143">
        <f>IF(ISBLANK('Data Entry'!$Į$143), "", 'Data Entry'!$Į$143)</f>
      </c>
      <c r="IE143">
        <f>IF(ISBLANK('Data Entry'!$į$143), "", 'Data Entry'!$į$143)</f>
      </c>
      <c r="IF143">
        <f>IF(ISBLANK('Data Entry'!$İ$143), "", 'Data Entry'!$İ$143)</f>
      </c>
      <c r="IG143">
        <f>IF(ISBLANK('Data Entry'!$ı$143), "", 'Data Entry'!$ı$143)</f>
      </c>
      <c r="IH143">
        <f>IF(ISBLANK('Data Entry'!$Ĳ$143), "", 'Data Entry'!$Ĳ$143)</f>
      </c>
      <c r="II143">
        <f>IF(ISBLANK('Data Entry'!$ĳ$143), "", 'Data Entry'!$ĳ$143)</f>
      </c>
      <c r="IJ143">
        <f>IF(ISBLANK('Data Entry'!$Ĵ$143), "", 'Data Entry'!$Ĵ$143)</f>
      </c>
      <c r="IK143">
        <f>IF(ISBLANK('Data Entry'!$ĵ$143), "", 'Data Entry'!$ĵ$143)</f>
      </c>
      <c r="IL143">
        <f>IF(ISBLANK('Data Entry'!$Ķ$143), "", 'Data Entry'!$Ķ$143)</f>
      </c>
      <c r="IM143">
        <f>IF(ISBLANK('Data Entry'!$ķ$143), "", 'Data Entry'!$ķ$143)</f>
      </c>
      <c r="IN143">
        <f>IF(ISBLANK('Data Entry'!$ĸ$143), "", 'Data Entry'!$ĸ$143)</f>
      </c>
      <c r="IO143">
        <f>IF(ISBLANK('Data Entry'!$Ĺ$143), "", 'Data Entry'!$Ĺ$143)</f>
      </c>
      <c r="IP143">
        <f>IF(ISBLANK('Data Entry'!$ĺ$143), "", 'Data Entry'!$ĺ$143)</f>
      </c>
      <c r="IQ143">
        <f>IF(ISBLANK('Data Entry'!$Ļ$143), "", 'Data Entry'!$Ļ$143)</f>
      </c>
      <c r="IR143">
        <f>IF(ISBLANK('Data Entry'!$ļ$143), "", 'Data Entry'!$ļ$143)</f>
      </c>
      <c r="IS143">
        <f>IF(ISBLANK('Data Entry'!$Ľ$143), "", 'Data Entry'!$Ľ$143)</f>
      </c>
      <c r="IT143">
        <f>IF(ISBLANK('Data Entry'!$ľ$143), "", 'Data Entry'!$ľ$143)</f>
      </c>
    </row>
    <row r="144" spans="1:254" x14ac:dyDescent="0.25">
      <c r="A144">
        <f>IF(ISBLANK('Data Entry'!$A$144), "", 'Data Entry'!$A$144)</f>
      </c>
      <c r="B144">
        <f>IF(ISBLANK('Data Entry'!$B$144), "", 'Data Entry'!$B$144)</f>
      </c>
      <c r="C144">
        <f>IF(ISBLANK('Data Entry'!$C$144), "", 'Data Entry'!$C$144)</f>
      </c>
      <c r="D144">
        <f>IF(ISBLANK('Data Entry'!$D$144), "", 'Data Entry'!$D$144)</f>
      </c>
      <c r="E144">
        <f>IF(ISBLANK('Data Entry'!$E$144), "", 'Data Entry'!$E$144)</f>
      </c>
      <c r="F144">
        <f>IF(ISBLANK('Data Entry'!$F$144), "", 'Data Entry'!$F$144)</f>
      </c>
      <c r="G144">
        <f>IF(ISBLANK('Data Entry'!$G$144), "", 'Data Entry'!$G$144)</f>
      </c>
      <c r="H144">
        <f>IF(ISBLANK('Data Entry'!$H$144), "", 'Data Entry'!$H$144)</f>
      </c>
      <c r="I144">
        <f>IF(ISBLANK('Data Entry'!$I$144), "", 'Data Entry'!$I$144)</f>
      </c>
      <c r="J144">
        <f>IF(ISBLANK('Data Entry'!$J$144), "", 'Data Entry'!$J$144)</f>
      </c>
      <c r="K144">
        <f>IF(ISBLANK('Data Entry'!$K$144), "", 'Data Entry'!$K$144)</f>
      </c>
      <c r="L144">
        <f>IF(ISBLANK('Data Entry'!$L$144), "", 'Data Entry'!$L$144)</f>
      </c>
      <c r="M144">
        <f>IF(ISBLANK('Data Entry'!$M$144), "", 'Data Entry'!$M$144)</f>
      </c>
      <c r="N144">
        <f>IF(ISBLANK('Data Entry'!$N$144), "", 'Data Entry'!$N$144)</f>
      </c>
      <c r="O144">
        <f>IF(ISBLANK('Data Entry'!$O$144), "", 'Data Entry'!$O$144)</f>
      </c>
      <c r="P144">
        <f>IF(ISBLANK('Data Entry'!$P$144), "", 'Data Entry'!$P$144)</f>
      </c>
      <c r="Q144">
        <f>IF(ISBLANK('Data Entry'!$Q$144), "", 'Data Entry'!$Q$144)</f>
      </c>
      <c r="R144">
        <f>IF(ISBLANK('Data Entry'!$R$144), "", 'Data Entry'!$R$144)</f>
      </c>
      <c r="S144">
        <f>IF(ISBLANK('Data Entry'!$S$144), "", 'Data Entry'!$S$144)</f>
      </c>
      <c r="T144">
        <f>IF(ISBLANK('Data Entry'!$T$144), "", 'Data Entry'!$T$144)</f>
      </c>
      <c r="U144">
        <f>IF(ISBLANK('Data Entry'!$U$144), "", 'Data Entry'!$U$144)</f>
      </c>
      <c r="V144">
        <f>IF(ISBLANK('Data Entry'!$V$144), "", 'Data Entry'!$V$144)</f>
      </c>
      <c r="W144">
        <f>IF(ISBLANK('Data Entry'!$W$144), "", 'Data Entry'!$W$144)</f>
      </c>
      <c r="X144">
        <f>IF(ISBLANK('Data Entry'!$X$144), "", 'Data Entry'!$X$144)</f>
      </c>
      <c r="Y144">
        <f>IF(ISBLANK('Data Entry'!$Y$144), "", 'Data Entry'!$Y$144)</f>
      </c>
      <c r="Z144">
        <f>IF(ISBLANK('Data Entry'!$Z$144), "", 'Data Entry'!$Z$144)</f>
      </c>
      <c r="AA144">
        <f>IF(ISBLANK('Data Entry'!$[$144), "", 'Data Entry'!$[$144)</f>
      </c>
      <c r="AB144">
        <f>IF(ISBLANK('Data Entry'!$\$144), "", 'Data Entry'!$\$144)</f>
      </c>
      <c r="AC144">
        <f>IF(ISBLANK('Data Entry'!$]$144), "", 'Data Entry'!$]$144)</f>
      </c>
      <c r="AD144">
        <f>IF(ISBLANK('Data Entry'!$^$144), "", 'Data Entry'!$^$144)</f>
      </c>
      <c r="AE144">
        <f>IF(ISBLANK('Data Entry'!$_$144), "", 'Data Entry'!$_$144)</f>
      </c>
      <c r="AF144">
        <f>IF(ISBLANK('Data Entry'!$`$144), "", 'Data Entry'!$`$144)</f>
      </c>
      <c r="AG144">
        <f>IF(ISBLANK('Data Entry'!$a$144), "", 'Data Entry'!$a$144)</f>
      </c>
      <c r="AH144">
        <f>IF(ISBLANK('Data Entry'!$b$144), "", 'Data Entry'!$b$144)</f>
      </c>
      <c r="AI144">
        <f>IF(ISBLANK('Data Entry'!$c$144), "", 'Data Entry'!$c$144)</f>
      </c>
      <c r="AJ144">
        <f>IF(ISBLANK('Data Entry'!$d$144), "", 'Data Entry'!$d$144)</f>
      </c>
      <c r="AK144">
        <f>IF(ISBLANK('Data Entry'!$e$144), "", 'Data Entry'!$e$144)</f>
      </c>
      <c r="AL144">
        <f>IF(ISBLANK('Data Entry'!$f$144), "", 'Data Entry'!$f$144)</f>
      </c>
      <c r="AM144">
        <f>IF(ISBLANK('Data Entry'!$g$144), "", 'Data Entry'!$g$144)</f>
      </c>
      <c r="AN144">
        <f>IF(ISBLANK('Data Entry'!$h$144), "", 'Data Entry'!$h$144)</f>
      </c>
      <c r="AO144">
        <f>IF(ISBLANK('Data Entry'!$i$144), "", 'Data Entry'!$i$144)</f>
      </c>
      <c r="AP144">
        <f>IF(ISBLANK('Data Entry'!$j$144), "", 'Data Entry'!$j$144)</f>
      </c>
      <c r="AQ144">
        <f>IF(ISBLANK('Data Entry'!$k$144), "", 'Data Entry'!$k$144)</f>
      </c>
      <c r="AR144">
        <f>IF(ISBLANK('Data Entry'!$l$144), "", 'Data Entry'!$l$144)</f>
      </c>
      <c r="AS144">
        <f>IF(ISBLANK('Data Entry'!$m$144), "", 'Data Entry'!$m$144)</f>
      </c>
      <c r="AT144">
        <f>IF(ISBLANK('Data Entry'!$n$144), "", 'Data Entry'!$n$144)</f>
      </c>
      <c r="AU144">
        <f>IF(ISBLANK('Data Entry'!$o$144), "", 'Data Entry'!$o$144)</f>
      </c>
      <c r="AV144">
        <f>IF(ISBLANK('Data Entry'!$p$144), "", 'Data Entry'!$p$144)</f>
      </c>
      <c r="AW144">
        <f>IF(ISBLANK('Data Entry'!$q$144), "", 'Data Entry'!$q$144)</f>
      </c>
      <c r="AX144">
        <f>IF(ISBLANK('Data Entry'!$r$144), "", 'Data Entry'!$r$144)</f>
      </c>
      <c r="AY144">
        <f>IF(ISBLANK('Data Entry'!$s$144), "", 'Data Entry'!$s$144)</f>
      </c>
      <c r="AZ144">
        <f>IF(ISBLANK('Data Entry'!$t$144), "", 'Data Entry'!$t$144)</f>
      </c>
      <c r="BA144">
        <f>IF(ISBLANK('Data Entry'!$u$144), "", 'Data Entry'!$u$144)</f>
      </c>
      <c r="BB144">
        <f>IF(ISBLANK('Data Entry'!$v$144), "", 'Data Entry'!$v$144)</f>
      </c>
      <c r="BC144">
        <f>IF(ISBLANK('Data Entry'!$w$144), "", 'Data Entry'!$w$144)</f>
      </c>
      <c r="BD144">
        <f>IF(ISBLANK('Data Entry'!$x$144), "", 'Data Entry'!$x$144)</f>
      </c>
      <c r="BE144">
        <f>IF(ISBLANK('Data Entry'!$y$144), "", 'Data Entry'!$y$144)</f>
      </c>
      <c r="BF144">
        <f>IF(ISBLANK('Data Entry'!$z$144), "", 'Data Entry'!$z$144)</f>
      </c>
      <c r="BG144">
        <f>IF(ISBLANK('Data Entry'!${$144), "", 'Data Entry'!${$144)</f>
      </c>
      <c r="BH144">
        <f>IF(ISBLANK('Data Entry'!$|$144), "", 'Data Entry'!$|$144)</f>
      </c>
      <c r="BI144">
        <f>IF(ISBLANK('Data Entry'!$}$144), "", 'Data Entry'!$}$144)</f>
      </c>
      <c r="BJ144">
        <f>IF(ISBLANK('Data Entry'!$~$144), "", 'Data Entry'!$~$144)</f>
      </c>
      <c r="BK144">
        <f>IF(ISBLANK('Data Entry'!$$144), "", 'Data Entry'!$$144)</f>
      </c>
      <c r="BL144">
        <f>IF(ISBLANK('Data Entry'!$$144), "", 'Data Entry'!$$144)</f>
      </c>
      <c r="BM144">
        <f>IF(ISBLANK('Data Entry'!$$144), "", 'Data Entry'!$$144)</f>
      </c>
      <c r="BN144">
        <f>IF(ISBLANK('Data Entry'!$$144), "", 'Data Entry'!$$144)</f>
      </c>
      <c r="BO144">
        <f>IF(ISBLANK('Data Entry'!$$144), "", 'Data Entry'!$$144)</f>
      </c>
      <c r="BP144">
        <f>IF(ISBLANK('Data Entry'!$$144), "", 'Data Entry'!$$144)</f>
      </c>
      <c r="BQ144">
        <f>IF(ISBLANK('Data Entry'!$$144), "", 'Data Entry'!$$144)</f>
      </c>
      <c r="BR144">
        <f>IF(ISBLANK('Data Entry'!$$144), "", 'Data Entry'!$$144)</f>
      </c>
      <c r="BS144">
        <f>IF(ISBLANK('Data Entry'!$$144), "", 'Data Entry'!$$144)</f>
      </c>
      <c r="BT144">
        <f>IF(ISBLANK('Data Entry'!$$144), "", 'Data Entry'!$$144)</f>
      </c>
      <c r="BU144">
        <f>IF(ISBLANK('Data Entry'!$$144), "", 'Data Entry'!$$144)</f>
      </c>
      <c r="BV144">
        <f>IF(ISBLANK('Data Entry'!$$144), "", 'Data Entry'!$$144)</f>
      </c>
      <c r="BW144">
        <f>IF(ISBLANK('Data Entry'!$$144), "", 'Data Entry'!$$144)</f>
      </c>
      <c r="BX144">
        <f>IF(ISBLANK('Data Entry'!$$144), "", 'Data Entry'!$$144)</f>
      </c>
      <c r="BY144">
        <f>IF(ISBLANK('Data Entry'!$$144), "", 'Data Entry'!$$144)</f>
      </c>
      <c r="BZ144">
        <f>IF(ISBLANK('Data Entry'!$$144), "", 'Data Entry'!$$144)</f>
      </c>
      <c r="CA144">
        <f>IF(ISBLANK('Data Entry'!$$144), "", 'Data Entry'!$$144)</f>
      </c>
      <c r="CB144">
        <f>IF(ISBLANK('Data Entry'!$$144), "", 'Data Entry'!$$144)</f>
      </c>
      <c r="CC144">
        <f>IF(ISBLANK('Data Entry'!$$144), "", 'Data Entry'!$$144)</f>
      </c>
      <c r="CD144">
        <f>IF(ISBLANK('Data Entry'!$$144), "", 'Data Entry'!$$144)</f>
      </c>
      <c r="CE144">
        <f>IF(ISBLANK('Data Entry'!$$144), "", 'Data Entry'!$$144)</f>
      </c>
      <c r="CF144">
        <f>IF(ISBLANK('Data Entry'!$$144), "", 'Data Entry'!$$144)</f>
      </c>
      <c r="CG144">
        <f>IF(ISBLANK('Data Entry'!$$144), "", 'Data Entry'!$$144)</f>
      </c>
      <c r="CH144">
        <f>IF(ISBLANK('Data Entry'!$$144), "", 'Data Entry'!$$144)</f>
      </c>
      <c r="CI144">
        <f>IF(ISBLANK('Data Entry'!$$144), "", 'Data Entry'!$$144)</f>
      </c>
      <c r="CJ144">
        <f>IF(ISBLANK('Data Entry'!$$144), "", 'Data Entry'!$$144)</f>
      </c>
      <c r="CK144">
        <f>IF(ISBLANK('Data Entry'!$$144), "", 'Data Entry'!$$144)</f>
      </c>
      <c r="CL144">
        <f>IF(ISBLANK('Data Entry'!$$144), "", 'Data Entry'!$$144)</f>
      </c>
      <c r="CM144">
        <f>IF(ISBLANK('Data Entry'!$$144), "", 'Data Entry'!$$144)</f>
      </c>
      <c r="CN144">
        <f>IF(ISBLANK('Data Entry'!$$144), "", 'Data Entry'!$$144)</f>
      </c>
      <c r="CO144">
        <f>IF(ISBLANK('Data Entry'!$$144), "", 'Data Entry'!$$144)</f>
      </c>
      <c r="CP144">
        <f>IF(ISBLANK('Data Entry'!$$144), "", 'Data Entry'!$$144)</f>
      </c>
      <c r="CQ144">
        <f>IF(ISBLANK('Data Entry'!$$144), "", 'Data Entry'!$$144)</f>
      </c>
      <c r="CR144">
        <f>IF(ISBLANK('Data Entry'!$ $144), "", 'Data Entry'!$ $144)</f>
      </c>
      <c r="CS144">
        <f>IF(ISBLANK('Data Entry'!$¡$144), "", 'Data Entry'!$¡$144)</f>
      </c>
      <c r="CT144">
        <f>IF(ISBLANK('Data Entry'!$¢$144), "", 'Data Entry'!$¢$144)</f>
      </c>
      <c r="CU144">
        <f>IF(ISBLANK('Data Entry'!$£$144), "", 'Data Entry'!$£$144)</f>
      </c>
      <c r="CV144">
        <f>IF(ISBLANK('Data Entry'!$¤$144), "", 'Data Entry'!$¤$144)</f>
      </c>
      <c r="CW144">
        <f>IF(ISBLANK('Data Entry'!$¥$144), "", 'Data Entry'!$¥$144)</f>
      </c>
      <c r="CX144">
        <f>IF(ISBLANK('Data Entry'!$¦$144), "", 'Data Entry'!$¦$144)</f>
      </c>
      <c r="CY144">
        <f>IF(ISBLANK('Data Entry'!$§$144), "", 'Data Entry'!$§$144)</f>
      </c>
      <c r="CZ144">
        <f>IF(ISBLANK('Data Entry'!$¨$144), "", 'Data Entry'!$¨$144)</f>
      </c>
      <c r="DA144">
        <f>IF(ISBLANK('Data Entry'!$©$144), "", 'Data Entry'!$©$144)</f>
      </c>
      <c r="DB144">
        <f>IF(ISBLANK('Data Entry'!$ª$144), "", 'Data Entry'!$ª$144)</f>
      </c>
      <c r="DC144">
        <f>IF(ISBLANK('Data Entry'!$«$144), "", 'Data Entry'!$«$144)</f>
      </c>
      <c r="DD144">
        <f>IF(ISBLANK('Data Entry'!$¬$144), "", 'Data Entry'!$¬$144)</f>
      </c>
      <c r="DE144">
        <f>IF(ISBLANK('Data Entry'!$­$144), "", 'Data Entry'!$­$144)</f>
      </c>
      <c r="DF144">
        <f>IF(ISBLANK('Data Entry'!$®$144), "", 'Data Entry'!$®$144)</f>
      </c>
      <c r="DG144">
        <f>IF(ISBLANK('Data Entry'!$¯$144), "", 'Data Entry'!$¯$144)</f>
      </c>
      <c r="DH144">
        <f>IF(ISBLANK('Data Entry'!$°$144), "", 'Data Entry'!$°$144)</f>
      </c>
      <c r="DI144">
        <f>IF(ISBLANK('Data Entry'!$±$144), "", 'Data Entry'!$±$144)</f>
      </c>
      <c r="DJ144">
        <f>IF(ISBLANK('Data Entry'!$²$144), "", 'Data Entry'!$²$144)</f>
      </c>
      <c r="DK144">
        <f>IF(ISBLANK('Data Entry'!$³$144), "", 'Data Entry'!$³$144)</f>
      </c>
      <c r="DL144">
        <f>IF(ISBLANK('Data Entry'!$´$144), "", 'Data Entry'!$´$144)</f>
      </c>
      <c r="DM144">
        <f>IF(ISBLANK('Data Entry'!$µ$144), "", 'Data Entry'!$µ$144)</f>
      </c>
      <c r="DN144">
        <f>IF(ISBLANK('Data Entry'!$¶$144), "", 'Data Entry'!$¶$144)</f>
      </c>
      <c r="DO144">
        <f>IF(ISBLANK('Data Entry'!$·$144), "", 'Data Entry'!$·$144)</f>
      </c>
      <c r="DP144">
        <f>IF(ISBLANK('Data Entry'!$¸$144), "", 'Data Entry'!$¸$144)</f>
      </c>
      <c r="DQ144">
        <f>IF(ISBLANK('Data Entry'!$¹$144), "", 'Data Entry'!$¹$144)</f>
      </c>
      <c r="DR144">
        <f>IF(ISBLANK('Data Entry'!$º$144), "", 'Data Entry'!$º$144)</f>
      </c>
      <c r="DS144">
        <f>IF(ISBLANK('Data Entry'!$»$144), "", 'Data Entry'!$»$144)</f>
      </c>
      <c r="DT144">
        <f>IF(ISBLANK('Data Entry'!$¼$144), "", 'Data Entry'!$¼$144)</f>
      </c>
      <c r="DU144">
        <f>IF(ISBLANK('Data Entry'!$½$144), "", 'Data Entry'!$½$144)</f>
      </c>
      <c r="DV144">
        <f>IF(ISBLANK('Data Entry'!$¾$144), "", 'Data Entry'!$¾$144)</f>
      </c>
      <c r="DW144">
        <f>IF(ISBLANK('Data Entry'!$¿$144), "", 'Data Entry'!$¿$144)</f>
      </c>
      <c r="DX144">
        <f>IF(ISBLANK('Data Entry'!$À$144), "", 'Data Entry'!$À$144)</f>
      </c>
      <c r="DY144">
        <f>IF(ISBLANK('Data Entry'!$Á$144), "", 'Data Entry'!$Á$144)</f>
      </c>
      <c r="DZ144">
        <f>IF(ISBLANK('Data Entry'!$Â$144), "", 'Data Entry'!$Â$144)</f>
      </c>
      <c r="EA144">
        <f>IF(ISBLANK('Data Entry'!$Ã$144), "", 'Data Entry'!$Ã$144)</f>
      </c>
      <c r="EB144">
        <f>IF(ISBLANK('Data Entry'!$Ä$144), "", 'Data Entry'!$Ä$144)</f>
      </c>
      <c r="EC144">
        <f>IF(ISBLANK('Data Entry'!$Å$144), "", 'Data Entry'!$Å$144)</f>
      </c>
      <c r="ED144">
        <f>IF(ISBLANK('Data Entry'!$Æ$144), "", 'Data Entry'!$Æ$144)</f>
      </c>
      <c r="EE144">
        <f>IF(ISBLANK('Data Entry'!$Ç$144), "", 'Data Entry'!$Ç$144)</f>
      </c>
      <c r="EF144">
        <f>IF(ISBLANK('Data Entry'!$È$144), "", 'Data Entry'!$È$144)</f>
      </c>
      <c r="EG144">
        <f>IF(ISBLANK('Data Entry'!$É$144), "", 'Data Entry'!$É$144)</f>
      </c>
      <c r="EH144">
        <f>IF(ISBLANK('Data Entry'!$Ê$144), "", 'Data Entry'!$Ê$144)</f>
      </c>
      <c r="EI144">
        <f>IF(ISBLANK('Data Entry'!$Ë$144), "", 'Data Entry'!$Ë$144)</f>
      </c>
      <c r="EJ144">
        <f>IF(ISBLANK('Data Entry'!$Ì$144), "", 'Data Entry'!$Ì$144)</f>
      </c>
      <c r="EK144">
        <f>IF(ISBLANK('Data Entry'!$Í$144), "", 'Data Entry'!$Í$144)</f>
      </c>
      <c r="EL144">
        <f>IF(ISBLANK('Data Entry'!$Î$144), "", 'Data Entry'!$Î$144)</f>
      </c>
      <c r="EM144">
        <f>IF(ISBLANK('Data Entry'!$Ï$144), "", 'Data Entry'!$Ï$144)</f>
      </c>
      <c r="EN144">
        <f>IF(ISBLANK('Data Entry'!$Ð$144), "", 'Data Entry'!$Ð$144)</f>
      </c>
      <c r="EO144">
        <f>IF(ISBLANK('Data Entry'!$Ñ$144), "", 'Data Entry'!$Ñ$144)</f>
      </c>
      <c r="EP144">
        <f>IF(ISBLANK('Data Entry'!$Ò$144), "", 'Data Entry'!$Ò$144)</f>
      </c>
      <c r="EQ144">
        <f>IF(ISBLANK('Data Entry'!$Ó$144), "", 'Data Entry'!$Ó$144)</f>
      </c>
      <c r="ER144">
        <f>IF(ISBLANK('Data Entry'!$Ô$144), "", 'Data Entry'!$Ô$144)</f>
      </c>
      <c r="ES144">
        <f>IF(ISBLANK('Data Entry'!$Õ$144), "", 'Data Entry'!$Õ$144)</f>
      </c>
      <c r="ET144">
        <f>IF(ISBLANK('Data Entry'!$Ö$144), "", 'Data Entry'!$Ö$144)</f>
      </c>
      <c r="EU144">
        <f>IF(ISBLANK('Data Entry'!$×$144), "", 'Data Entry'!$×$144)</f>
      </c>
      <c r="EV144">
        <f>IF(ISBLANK('Data Entry'!$Ø$144), "", 'Data Entry'!$Ø$144)</f>
      </c>
      <c r="EW144">
        <f>IF(ISBLANK('Data Entry'!$Ù$144), "", 'Data Entry'!$Ù$144)</f>
      </c>
      <c r="EX144">
        <f>IF(ISBLANK('Data Entry'!$Ú$144), "", 'Data Entry'!$Ú$144)</f>
      </c>
      <c r="EY144">
        <f>IF(ISBLANK('Data Entry'!$Û$144), "", 'Data Entry'!$Û$144)</f>
      </c>
      <c r="EZ144">
        <f>IF(ISBLANK('Data Entry'!$Ü$144), "", 'Data Entry'!$Ü$144)</f>
      </c>
      <c r="FA144">
        <f>IF(ISBLANK('Data Entry'!$Ý$144), "", 'Data Entry'!$Ý$144)</f>
      </c>
      <c r="FB144">
        <f>IF(ISBLANK('Data Entry'!$Þ$144), "", 'Data Entry'!$Þ$144)</f>
      </c>
      <c r="FC144">
        <f>IF(ISBLANK('Data Entry'!$ß$144), "", 'Data Entry'!$ß$144)</f>
      </c>
      <c r="FD144">
        <f>IF(ISBLANK('Data Entry'!$à$144), "", 'Data Entry'!$à$144)</f>
      </c>
      <c r="FE144">
        <f>IF(ISBLANK('Data Entry'!$á$144), "", 'Data Entry'!$á$144)</f>
      </c>
      <c r="FF144">
        <f>IF(ISBLANK('Data Entry'!$â$144), "", 'Data Entry'!$â$144)</f>
      </c>
      <c r="FG144">
        <f>IF(ISBLANK('Data Entry'!$ã$144), "", 'Data Entry'!$ã$144)</f>
      </c>
      <c r="FH144">
        <f>IF(ISBLANK('Data Entry'!$ä$144), "", 'Data Entry'!$ä$144)</f>
      </c>
      <c r="FI144">
        <f>IF(ISBLANK('Data Entry'!$å$144), "", 'Data Entry'!$å$144)</f>
      </c>
      <c r="FJ144">
        <f>IF(ISBLANK('Data Entry'!$æ$144), "", 'Data Entry'!$æ$144)</f>
      </c>
      <c r="FK144">
        <f>IF(ISBLANK('Data Entry'!$ç$144), "", 'Data Entry'!$ç$144)</f>
      </c>
      <c r="FL144">
        <f>IF(ISBLANK('Data Entry'!$è$144), "", 'Data Entry'!$è$144)</f>
      </c>
      <c r="FM144">
        <f>IF(ISBLANK('Data Entry'!$é$144), "", 'Data Entry'!$é$144)</f>
      </c>
      <c r="FN144">
        <f>IF(ISBLANK('Data Entry'!$ê$144), "", 'Data Entry'!$ê$144)</f>
      </c>
      <c r="FO144">
        <f>IF(ISBLANK('Data Entry'!$ë$144), "", 'Data Entry'!$ë$144)</f>
      </c>
      <c r="FP144">
        <f>IF(ISBLANK('Data Entry'!$ì$144), "", 'Data Entry'!$ì$144)</f>
      </c>
      <c r="FQ144">
        <f>IF(ISBLANK('Data Entry'!$í$144), "", 'Data Entry'!$í$144)</f>
      </c>
      <c r="FR144">
        <f>IF(ISBLANK('Data Entry'!$î$144), "", 'Data Entry'!$î$144)</f>
      </c>
      <c r="FS144">
        <f>IF(ISBLANK('Data Entry'!$ï$144), "", 'Data Entry'!$ï$144)</f>
      </c>
      <c r="FT144">
        <f>IF(ISBLANK('Data Entry'!$ð$144), "", 'Data Entry'!$ð$144)</f>
      </c>
      <c r="FU144">
        <f>IF(ISBLANK('Data Entry'!$ñ$144), "", 'Data Entry'!$ñ$144)</f>
      </c>
      <c r="FV144">
        <f>IF(ISBLANK('Data Entry'!$ò$144), "", 'Data Entry'!$ò$144)</f>
      </c>
      <c r="FW144">
        <f>IF(ISBLANK('Data Entry'!$ó$144), "", 'Data Entry'!$ó$144)</f>
      </c>
      <c r="FX144">
        <f>IF(ISBLANK('Data Entry'!$ô$144), "", 'Data Entry'!$ô$144)</f>
      </c>
      <c r="FY144">
        <f>IF(ISBLANK('Data Entry'!$õ$144), "", 'Data Entry'!$õ$144)</f>
      </c>
      <c r="FZ144">
        <f>IF(ISBLANK('Data Entry'!$ö$144), "", 'Data Entry'!$ö$144)</f>
      </c>
      <c r="GA144">
        <f>IF(ISBLANK('Data Entry'!$÷$144), "", 'Data Entry'!$÷$144)</f>
      </c>
      <c r="GB144">
        <f>IF(ISBLANK('Data Entry'!$ø$144), "", 'Data Entry'!$ø$144)</f>
      </c>
      <c r="GC144">
        <f>IF(ISBLANK('Data Entry'!$ù$144), "", 'Data Entry'!$ù$144)</f>
      </c>
      <c r="GD144">
        <f>IF(ISBLANK('Data Entry'!$ú$144), "", 'Data Entry'!$ú$144)</f>
      </c>
      <c r="GE144">
        <f>IF(ISBLANK('Data Entry'!$û$144), "", 'Data Entry'!$û$144)</f>
      </c>
      <c r="GF144">
        <f>IF(ISBLANK('Data Entry'!$ü$144), "", 'Data Entry'!$ü$144)</f>
      </c>
      <c r="GG144">
        <f>IF(ISBLANK('Data Entry'!$ý$144), "", 'Data Entry'!$ý$144)</f>
      </c>
      <c r="GH144">
        <f>IF(ISBLANK('Data Entry'!$þ$144), "", 'Data Entry'!$þ$144)</f>
      </c>
      <c r="GI144">
        <f>IF(ISBLANK('Data Entry'!$ÿ$144), "", 'Data Entry'!$ÿ$144)</f>
      </c>
      <c r="GJ144">
        <f>IF(ISBLANK('Data Entry'!$Ā$144), "", 'Data Entry'!$Ā$144)</f>
      </c>
      <c r="GK144">
        <f>IF(ISBLANK('Data Entry'!$ā$144), "", 'Data Entry'!$ā$144)</f>
      </c>
      <c r="GL144">
        <f>IF(ISBLANK('Data Entry'!$Ă$144), "", 'Data Entry'!$Ă$144)</f>
      </c>
      <c r="GM144">
        <f>IF(ISBLANK('Data Entry'!$ă$144), "", 'Data Entry'!$ă$144)</f>
      </c>
      <c r="GN144">
        <f>IF(ISBLANK('Data Entry'!$Ą$144), "", 'Data Entry'!$Ą$144)</f>
      </c>
      <c r="GO144">
        <f>IF(ISBLANK('Data Entry'!$ą$144), "", 'Data Entry'!$ą$144)</f>
      </c>
      <c r="GP144">
        <f>IF(ISBLANK('Data Entry'!$Ć$144), "", 'Data Entry'!$Ć$144)</f>
      </c>
      <c r="GQ144">
        <f>IF(ISBLANK('Data Entry'!$ć$144), "", 'Data Entry'!$ć$144)</f>
      </c>
      <c r="GR144">
        <f>IF(ISBLANK('Data Entry'!$Ĉ$144), "", 'Data Entry'!$Ĉ$144)</f>
      </c>
      <c r="GS144">
        <f>IF(ISBLANK('Data Entry'!$ĉ$144), "", 'Data Entry'!$ĉ$144)</f>
      </c>
      <c r="GT144">
        <f>IF(ISBLANK('Data Entry'!$Ċ$144), "", 'Data Entry'!$Ċ$144)</f>
      </c>
      <c r="GU144">
        <f>IF(ISBLANK('Data Entry'!$ċ$144), "", 'Data Entry'!$ċ$144)</f>
      </c>
      <c r="GV144">
        <f>IF(ISBLANK('Data Entry'!$Č$144), "", 'Data Entry'!$Č$144)</f>
      </c>
      <c r="GW144">
        <f>IF(ISBLANK('Data Entry'!$č$144), "", 'Data Entry'!$č$144)</f>
      </c>
      <c r="GX144">
        <f>IF(ISBLANK('Data Entry'!$Ď$144), "", 'Data Entry'!$Ď$144)</f>
      </c>
      <c r="GY144">
        <f>IF(ISBLANK('Data Entry'!$ď$144), "", 'Data Entry'!$ď$144)</f>
      </c>
      <c r="GZ144">
        <f>IF(ISBLANK('Data Entry'!$Đ$144), "", 'Data Entry'!$Đ$144)</f>
      </c>
      <c r="HA144">
        <f>IF(ISBLANK('Data Entry'!$đ$144), "", 'Data Entry'!$đ$144)</f>
      </c>
      <c r="HB144">
        <f>IF(ISBLANK('Data Entry'!$Ē$144), "", 'Data Entry'!$Ē$144)</f>
      </c>
      <c r="HC144">
        <f>IF(ISBLANK('Data Entry'!$ē$144), "", 'Data Entry'!$ē$144)</f>
      </c>
      <c r="HD144">
        <f>IF(ISBLANK('Data Entry'!$Ĕ$144), "", 'Data Entry'!$Ĕ$144)</f>
      </c>
      <c r="HE144">
        <f>IF(ISBLANK('Data Entry'!$ĕ$144), "", 'Data Entry'!$ĕ$144)</f>
      </c>
      <c r="HF144">
        <f>IF(ISBLANK('Data Entry'!$Ė$144), "", 'Data Entry'!$Ė$144)</f>
      </c>
      <c r="HG144">
        <f>IF(ISBLANK('Data Entry'!$ė$144), "", 'Data Entry'!$ė$144)</f>
      </c>
      <c r="HH144">
        <f>IF(ISBLANK('Data Entry'!$Ę$144), "", 'Data Entry'!$Ę$144)</f>
      </c>
      <c r="HI144">
        <f>IF(ISBLANK('Data Entry'!$ę$144), "", 'Data Entry'!$ę$144)</f>
      </c>
      <c r="HJ144">
        <f>IF(ISBLANK('Data Entry'!$Ě$144), "", 'Data Entry'!$Ě$144)</f>
      </c>
      <c r="HK144">
        <f>IF(ISBLANK('Data Entry'!$ě$144), "", 'Data Entry'!$ě$144)</f>
      </c>
      <c r="HL144">
        <f>IF(ISBLANK('Data Entry'!$Ĝ$144), "", 'Data Entry'!$Ĝ$144)</f>
      </c>
      <c r="HM144">
        <f>IF(ISBLANK('Data Entry'!$ĝ$144), "", 'Data Entry'!$ĝ$144)</f>
      </c>
      <c r="HN144">
        <f>IF(ISBLANK('Data Entry'!$Ğ$144), "", 'Data Entry'!$Ğ$144)</f>
      </c>
      <c r="HO144">
        <f>IF(ISBLANK('Data Entry'!$ğ$144), "", 'Data Entry'!$ğ$144)</f>
      </c>
      <c r="HP144">
        <f>IF(ISBLANK('Data Entry'!$Ġ$144), "", 'Data Entry'!$Ġ$144)</f>
      </c>
      <c r="HQ144">
        <f>IF(ISBLANK('Data Entry'!$ġ$144), "", 'Data Entry'!$ġ$144)</f>
      </c>
      <c r="HR144">
        <f>IF(ISBLANK('Data Entry'!$Ģ$144), "", 'Data Entry'!$Ģ$144)</f>
      </c>
      <c r="HS144">
        <f>IF(ISBLANK('Data Entry'!$ģ$144), "", 'Data Entry'!$ģ$144)</f>
      </c>
      <c r="HT144">
        <f>IF(ISBLANK('Data Entry'!$Ĥ$144), "", 'Data Entry'!$Ĥ$144)</f>
      </c>
      <c r="HU144">
        <f>IF(ISBLANK('Data Entry'!$ĥ$144), "", 'Data Entry'!$ĥ$144)</f>
      </c>
      <c r="HV144">
        <f>IF(ISBLANK('Data Entry'!$Ħ$144), "", 'Data Entry'!$Ħ$144)</f>
      </c>
      <c r="HW144">
        <f>IF(ISBLANK('Data Entry'!$ħ$144), "", 'Data Entry'!$ħ$144)</f>
      </c>
      <c r="HX144">
        <f>IF(ISBLANK('Data Entry'!$Ĩ$144), "", 'Data Entry'!$Ĩ$144)</f>
      </c>
      <c r="HY144">
        <f>IF(ISBLANK('Data Entry'!$ĩ$144), "", 'Data Entry'!$ĩ$144)</f>
      </c>
      <c r="HZ144">
        <f>IF(ISBLANK('Data Entry'!$Ī$144), "", 'Data Entry'!$Ī$144)</f>
      </c>
      <c r="IA144">
        <f>IF(ISBLANK('Data Entry'!$ī$144), "", 'Data Entry'!$ī$144)</f>
      </c>
      <c r="IB144">
        <f>IF(ISBLANK('Data Entry'!$Ĭ$144), "", 'Data Entry'!$Ĭ$144)</f>
      </c>
      <c r="IC144">
        <f>IF(ISBLANK('Data Entry'!$ĭ$144), "", 'Data Entry'!$ĭ$144)</f>
      </c>
      <c r="ID144">
        <f>IF(ISBLANK('Data Entry'!$Į$144), "", 'Data Entry'!$Į$144)</f>
      </c>
      <c r="IE144">
        <f>IF(ISBLANK('Data Entry'!$į$144), "", 'Data Entry'!$į$144)</f>
      </c>
      <c r="IF144">
        <f>IF(ISBLANK('Data Entry'!$İ$144), "", 'Data Entry'!$İ$144)</f>
      </c>
      <c r="IG144">
        <f>IF(ISBLANK('Data Entry'!$ı$144), "", 'Data Entry'!$ı$144)</f>
      </c>
      <c r="IH144">
        <f>IF(ISBLANK('Data Entry'!$Ĳ$144), "", 'Data Entry'!$Ĳ$144)</f>
      </c>
      <c r="II144">
        <f>IF(ISBLANK('Data Entry'!$ĳ$144), "", 'Data Entry'!$ĳ$144)</f>
      </c>
      <c r="IJ144">
        <f>IF(ISBLANK('Data Entry'!$Ĵ$144), "", 'Data Entry'!$Ĵ$144)</f>
      </c>
      <c r="IK144">
        <f>IF(ISBLANK('Data Entry'!$ĵ$144), "", 'Data Entry'!$ĵ$144)</f>
      </c>
      <c r="IL144">
        <f>IF(ISBLANK('Data Entry'!$Ķ$144), "", 'Data Entry'!$Ķ$144)</f>
      </c>
      <c r="IM144">
        <f>IF(ISBLANK('Data Entry'!$ķ$144), "", 'Data Entry'!$ķ$144)</f>
      </c>
      <c r="IN144">
        <f>IF(ISBLANK('Data Entry'!$ĸ$144), "", 'Data Entry'!$ĸ$144)</f>
      </c>
      <c r="IO144">
        <f>IF(ISBLANK('Data Entry'!$Ĺ$144), "", 'Data Entry'!$Ĺ$144)</f>
      </c>
      <c r="IP144">
        <f>IF(ISBLANK('Data Entry'!$ĺ$144), "", 'Data Entry'!$ĺ$144)</f>
      </c>
      <c r="IQ144">
        <f>IF(ISBLANK('Data Entry'!$Ļ$144), "", 'Data Entry'!$Ļ$144)</f>
      </c>
      <c r="IR144">
        <f>IF(ISBLANK('Data Entry'!$ļ$144), "", 'Data Entry'!$ļ$144)</f>
      </c>
      <c r="IS144">
        <f>IF(ISBLANK('Data Entry'!$Ľ$144), "", 'Data Entry'!$Ľ$144)</f>
      </c>
      <c r="IT144">
        <f>IF(ISBLANK('Data Entry'!$ľ$144), "", 'Data Entry'!$ľ$144)</f>
      </c>
    </row>
    <row r="145" spans="1:254" x14ac:dyDescent="0.25">
      <c r="A145">
        <f>IF(ISBLANK('Data Entry'!$A$145), "", 'Data Entry'!$A$145)</f>
      </c>
      <c r="B145">
        <f>IF(ISBLANK('Data Entry'!$B$145), "", 'Data Entry'!$B$145)</f>
      </c>
      <c r="C145">
        <f>IF(ISBLANK('Data Entry'!$C$145), "", 'Data Entry'!$C$145)</f>
      </c>
      <c r="D145">
        <f>IF(ISBLANK('Data Entry'!$D$145), "", 'Data Entry'!$D$145)</f>
      </c>
      <c r="E145">
        <f>IF(ISBLANK('Data Entry'!$E$145), "", 'Data Entry'!$E$145)</f>
      </c>
      <c r="F145">
        <f>IF(ISBLANK('Data Entry'!$F$145), "", 'Data Entry'!$F$145)</f>
      </c>
      <c r="G145">
        <f>IF(ISBLANK('Data Entry'!$G$145), "", 'Data Entry'!$G$145)</f>
      </c>
      <c r="H145">
        <f>IF(ISBLANK('Data Entry'!$H$145), "", 'Data Entry'!$H$145)</f>
      </c>
      <c r="I145">
        <f>IF(ISBLANK('Data Entry'!$I$145), "", 'Data Entry'!$I$145)</f>
      </c>
      <c r="J145">
        <f>IF(ISBLANK('Data Entry'!$J$145), "", 'Data Entry'!$J$145)</f>
      </c>
      <c r="K145">
        <f>IF(ISBLANK('Data Entry'!$K$145), "", 'Data Entry'!$K$145)</f>
      </c>
      <c r="L145">
        <f>IF(ISBLANK('Data Entry'!$L$145), "", 'Data Entry'!$L$145)</f>
      </c>
      <c r="M145">
        <f>IF(ISBLANK('Data Entry'!$M$145), "", 'Data Entry'!$M$145)</f>
      </c>
      <c r="N145">
        <f>IF(ISBLANK('Data Entry'!$N$145), "", 'Data Entry'!$N$145)</f>
      </c>
      <c r="O145">
        <f>IF(ISBLANK('Data Entry'!$O$145), "", 'Data Entry'!$O$145)</f>
      </c>
      <c r="P145">
        <f>IF(ISBLANK('Data Entry'!$P$145), "", 'Data Entry'!$P$145)</f>
      </c>
      <c r="Q145">
        <f>IF(ISBLANK('Data Entry'!$Q$145), "", 'Data Entry'!$Q$145)</f>
      </c>
      <c r="R145">
        <f>IF(ISBLANK('Data Entry'!$R$145), "", 'Data Entry'!$R$145)</f>
      </c>
      <c r="S145">
        <f>IF(ISBLANK('Data Entry'!$S$145), "", 'Data Entry'!$S$145)</f>
      </c>
      <c r="T145">
        <f>IF(ISBLANK('Data Entry'!$T$145), "", 'Data Entry'!$T$145)</f>
      </c>
      <c r="U145">
        <f>IF(ISBLANK('Data Entry'!$U$145), "", 'Data Entry'!$U$145)</f>
      </c>
      <c r="V145">
        <f>IF(ISBLANK('Data Entry'!$V$145), "", 'Data Entry'!$V$145)</f>
      </c>
      <c r="W145">
        <f>IF(ISBLANK('Data Entry'!$W$145), "", 'Data Entry'!$W$145)</f>
      </c>
      <c r="X145">
        <f>IF(ISBLANK('Data Entry'!$X$145), "", 'Data Entry'!$X$145)</f>
      </c>
      <c r="Y145">
        <f>IF(ISBLANK('Data Entry'!$Y$145), "", 'Data Entry'!$Y$145)</f>
      </c>
      <c r="Z145">
        <f>IF(ISBLANK('Data Entry'!$Z$145), "", 'Data Entry'!$Z$145)</f>
      </c>
      <c r="AA145">
        <f>IF(ISBLANK('Data Entry'!$[$145), "", 'Data Entry'!$[$145)</f>
      </c>
      <c r="AB145">
        <f>IF(ISBLANK('Data Entry'!$\$145), "", 'Data Entry'!$\$145)</f>
      </c>
      <c r="AC145">
        <f>IF(ISBLANK('Data Entry'!$]$145), "", 'Data Entry'!$]$145)</f>
      </c>
      <c r="AD145">
        <f>IF(ISBLANK('Data Entry'!$^$145), "", 'Data Entry'!$^$145)</f>
      </c>
      <c r="AE145">
        <f>IF(ISBLANK('Data Entry'!$_$145), "", 'Data Entry'!$_$145)</f>
      </c>
      <c r="AF145">
        <f>IF(ISBLANK('Data Entry'!$`$145), "", 'Data Entry'!$`$145)</f>
      </c>
      <c r="AG145">
        <f>IF(ISBLANK('Data Entry'!$a$145), "", 'Data Entry'!$a$145)</f>
      </c>
      <c r="AH145">
        <f>IF(ISBLANK('Data Entry'!$b$145), "", 'Data Entry'!$b$145)</f>
      </c>
      <c r="AI145">
        <f>IF(ISBLANK('Data Entry'!$c$145), "", 'Data Entry'!$c$145)</f>
      </c>
      <c r="AJ145">
        <f>IF(ISBLANK('Data Entry'!$d$145), "", 'Data Entry'!$d$145)</f>
      </c>
      <c r="AK145">
        <f>IF(ISBLANK('Data Entry'!$e$145), "", 'Data Entry'!$e$145)</f>
      </c>
      <c r="AL145">
        <f>IF(ISBLANK('Data Entry'!$f$145), "", 'Data Entry'!$f$145)</f>
      </c>
      <c r="AM145">
        <f>IF(ISBLANK('Data Entry'!$g$145), "", 'Data Entry'!$g$145)</f>
      </c>
      <c r="AN145">
        <f>IF(ISBLANK('Data Entry'!$h$145), "", 'Data Entry'!$h$145)</f>
      </c>
      <c r="AO145">
        <f>IF(ISBLANK('Data Entry'!$i$145), "", 'Data Entry'!$i$145)</f>
      </c>
      <c r="AP145">
        <f>IF(ISBLANK('Data Entry'!$j$145), "", 'Data Entry'!$j$145)</f>
      </c>
      <c r="AQ145">
        <f>IF(ISBLANK('Data Entry'!$k$145), "", 'Data Entry'!$k$145)</f>
      </c>
      <c r="AR145">
        <f>IF(ISBLANK('Data Entry'!$l$145), "", 'Data Entry'!$l$145)</f>
      </c>
      <c r="AS145">
        <f>IF(ISBLANK('Data Entry'!$m$145), "", 'Data Entry'!$m$145)</f>
      </c>
      <c r="AT145">
        <f>IF(ISBLANK('Data Entry'!$n$145), "", 'Data Entry'!$n$145)</f>
      </c>
      <c r="AU145">
        <f>IF(ISBLANK('Data Entry'!$o$145), "", 'Data Entry'!$o$145)</f>
      </c>
      <c r="AV145">
        <f>IF(ISBLANK('Data Entry'!$p$145), "", 'Data Entry'!$p$145)</f>
      </c>
      <c r="AW145">
        <f>IF(ISBLANK('Data Entry'!$q$145), "", 'Data Entry'!$q$145)</f>
      </c>
      <c r="AX145">
        <f>IF(ISBLANK('Data Entry'!$r$145), "", 'Data Entry'!$r$145)</f>
      </c>
      <c r="AY145">
        <f>IF(ISBLANK('Data Entry'!$s$145), "", 'Data Entry'!$s$145)</f>
      </c>
      <c r="AZ145">
        <f>IF(ISBLANK('Data Entry'!$t$145), "", 'Data Entry'!$t$145)</f>
      </c>
      <c r="BA145">
        <f>IF(ISBLANK('Data Entry'!$u$145), "", 'Data Entry'!$u$145)</f>
      </c>
      <c r="BB145">
        <f>IF(ISBLANK('Data Entry'!$v$145), "", 'Data Entry'!$v$145)</f>
      </c>
      <c r="BC145">
        <f>IF(ISBLANK('Data Entry'!$w$145), "", 'Data Entry'!$w$145)</f>
      </c>
      <c r="BD145">
        <f>IF(ISBLANK('Data Entry'!$x$145), "", 'Data Entry'!$x$145)</f>
      </c>
      <c r="BE145">
        <f>IF(ISBLANK('Data Entry'!$y$145), "", 'Data Entry'!$y$145)</f>
      </c>
      <c r="BF145">
        <f>IF(ISBLANK('Data Entry'!$z$145), "", 'Data Entry'!$z$145)</f>
      </c>
      <c r="BG145">
        <f>IF(ISBLANK('Data Entry'!${$145), "", 'Data Entry'!${$145)</f>
      </c>
      <c r="BH145">
        <f>IF(ISBLANK('Data Entry'!$|$145), "", 'Data Entry'!$|$145)</f>
      </c>
      <c r="BI145">
        <f>IF(ISBLANK('Data Entry'!$}$145), "", 'Data Entry'!$}$145)</f>
      </c>
      <c r="BJ145">
        <f>IF(ISBLANK('Data Entry'!$~$145), "", 'Data Entry'!$~$145)</f>
      </c>
      <c r="BK145">
        <f>IF(ISBLANK('Data Entry'!$$145), "", 'Data Entry'!$$145)</f>
      </c>
      <c r="BL145">
        <f>IF(ISBLANK('Data Entry'!$$145), "", 'Data Entry'!$$145)</f>
      </c>
      <c r="BM145">
        <f>IF(ISBLANK('Data Entry'!$$145), "", 'Data Entry'!$$145)</f>
      </c>
      <c r="BN145">
        <f>IF(ISBLANK('Data Entry'!$$145), "", 'Data Entry'!$$145)</f>
      </c>
      <c r="BO145">
        <f>IF(ISBLANK('Data Entry'!$$145), "", 'Data Entry'!$$145)</f>
      </c>
      <c r="BP145">
        <f>IF(ISBLANK('Data Entry'!$$145), "", 'Data Entry'!$$145)</f>
      </c>
      <c r="BQ145">
        <f>IF(ISBLANK('Data Entry'!$$145), "", 'Data Entry'!$$145)</f>
      </c>
      <c r="BR145">
        <f>IF(ISBLANK('Data Entry'!$$145), "", 'Data Entry'!$$145)</f>
      </c>
      <c r="BS145">
        <f>IF(ISBLANK('Data Entry'!$$145), "", 'Data Entry'!$$145)</f>
      </c>
      <c r="BT145">
        <f>IF(ISBLANK('Data Entry'!$$145), "", 'Data Entry'!$$145)</f>
      </c>
      <c r="BU145">
        <f>IF(ISBLANK('Data Entry'!$$145), "", 'Data Entry'!$$145)</f>
      </c>
      <c r="BV145">
        <f>IF(ISBLANK('Data Entry'!$$145), "", 'Data Entry'!$$145)</f>
      </c>
      <c r="BW145">
        <f>IF(ISBLANK('Data Entry'!$$145), "", 'Data Entry'!$$145)</f>
      </c>
      <c r="BX145">
        <f>IF(ISBLANK('Data Entry'!$$145), "", 'Data Entry'!$$145)</f>
      </c>
      <c r="BY145">
        <f>IF(ISBLANK('Data Entry'!$$145), "", 'Data Entry'!$$145)</f>
      </c>
      <c r="BZ145">
        <f>IF(ISBLANK('Data Entry'!$$145), "", 'Data Entry'!$$145)</f>
      </c>
      <c r="CA145">
        <f>IF(ISBLANK('Data Entry'!$$145), "", 'Data Entry'!$$145)</f>
      </c>
      <c r="CB145">
        <f>IF(ISBLANK('Data Entry'!$$145), "", 'Data Entry'!$$145)</f>
      </c>
      <c r="CC145">
        <f>IF(ISBLANK('Data Entry'!$$145), "", 'Data Entry'!$$145)</f>
      </c>
      <c r="CD145">
        <f>IF(ISBLANK('Data Entry'!$$145), "", 'Data Entry'!$$145)</f>
      </c>
      <c r="CE145">
        <f>IF(ISBLANK('Data Entry'!$$145), "", 'Data Entry'!$$145)</f>
      </c>
      <c r="CF145">
        <f>IF(ISBLANK('Data Entry'!$$145), "", 'Data Entry'!$$145)</f>
      </c>
      <c r="CG145">
        <f>IF(ISBLANK('Data Entry'!$$145), "", 'Data Entry'!$$145)</f>
      </c>
      <c r="CH145">
        <f>IF(ISBLANK('Data Entry'!$$145), "", 'Data Entry'!$$145)</f>
      </c>
      <c r="CI145">
        <f>IF(ISBLANK('Data Entry'!$$145), "", 'Data Entry'!$$145)</f>
      </c>
      <c r="CJ145">
        <f>IF(ISBLANK('Data Entry'!$$145), "", 'Data Entry'!$$145)</f>
      </c>
      <c r="CK145">
        <f>IF(ISBLANK('Data Entry'!$$145), "", 'Data Entry'!$$145)</f>
      </c>
      <c r="CL145">
        <f>IF(ISBLANK('Data Entry'!$$145), "", 'Data Entry'!$$145)</f>
      </c>
      <c r="CM145">
        <f>IF(ISBLANK('Data Entry'!$$145), "", 'Data Entry'!$$145)</f>
      </c>
      <c r="CN145">
        <f>IF(ISBLANK('Data Entry'!$$145), "", 'Data Entry'!$$145)</f>
      </c>
      <c r="CO145">
        <f>IF(ISBLANK('Data Entry'!$$145), "", 'Data Entry'!$$145)</f>
      </c>
      <c r="CP145">
        <f>IF(ISBLANK('Data Entry'!$$145), "", 'Data Entry'!$$145)</f>
      </c>
      <c r="CQ145">
        <f>IF(ISBLANK('Data Entry'!$$145), "", 'Data Entry'!$$145)</f>
      </c>
      <c r="CR145">
        <f>IF(ISBLANK('Data Entry'!$ $145), "", 'Data Entry'!$ $145)</f>
      </c>
      <c r="CS145">
        <f>IF(ISBLANK('Data Entry'!$¡$145), "", 'Data Entry'!$¡$145)</f>
      </c>
      <c r="CT145">
        <f>IF(ISBLANK('Data Entry'!$¢$145), "", 'Data Entry'!$¢$145)</f>
      </c>
      <c r="CU145">
        <f>IF(ISBLANK('Data Entry'!$£$145), "", 'Data Entry'!$£$145)</f>
      </c>
      <c r="CV145">
        <f>IF(ISBLANK('Data Entry'!$¤$145), "", 'Data Entry'!$¤$145)</f>
      </c>
      <c r="CW145">
        <f>IF(ISBLANK('Data Entry'!$¥$145), "", 'Data Entry'!$¥$145)</f>
      </c>
      <c r="CX145">
        <f>IF(ISBLANK('Data Entry'!$¦$145), "", 'Data Entry'!$¦$145)</f>
      </c>
      <c r="CY145">
        <f>IF(ISBLANK('Data Entry'!$§$145), "", 'Data Entry'!$§$145)</f>
      </c>
      <c r="CZ145">
        <f>IF(ISBLANK('Data Entry'!$¨$145), "", 'Data Entry'!$¨$145)</f>
      </c>
      <c r="DA145">
        <f>IF(ISBLANK('Data Entry'!$©$145), "", 'Data Entry'!$©$145)</f>
      </c>
      <c r="DB145">
        <f>IF(ISBLANK('Data Entry'!$ª$145), "", 'Data Entry'!$ª$145)</f>
      </c>
      <c r="DC145">
        <f>IF(ISBLANK('Data Entry'!$«$145), "", 'Data Entry'!$«$145)</f>
      </c>
      <c r="DD145">
        <f>IF(ISBLANK('Data Entry'!$¬$145), "", 'Data Entry'!$¬$145)</f>
      </c>
      <c r="DE145">
        <f>IF(ISBLANK('Data Entry'!$­$145), "", 'Data Entry'!$­$145)</f>
      </c>
      <c r="DF145">
        <f>IF(ISBLANK('Data Entry'!$®$145), "", 'Data Entry'!$®$145)</f>
      </c>
      <c r="DG145">
        <f>IF(ISBLANK('Data Entry'!$¯$145), "", 'Data Entry'!$¯$145)</f>
      </c>
      <c r="DH145">
        <f>IF(ISBLANK('Data Entry'!$°$145), "", 'Data Entry'!$°$145)</f>
      </c>
      <c r="DI145">
        <f>IF(ISBLANK('Data Entry'!$±$145), "", 'Data Entry'!$±$145)</f>
      </c>
      <c r="DJ145">
        <f>IF(ISBLANK('Data Entry'!$²$145), "", 'Data Entry'!$²$145)</f>
      </c>
      <c r="DK145">
        <f>IF(ISBLANK('Data Entry'!$³$145), "", 'Data Entry'!$³$145)</f>
      </c>
      <c r="DL145">
        <f>IF(ISBLANK('Data Entry'!$´$145), "", 'Data Entry'!$´$145)</f>
      </c>
      <c r="DM145">
        <f>IF(ISBLANK('Data Entry'!$µ$145), "", 'Data Entry'!$µ$145)</f>
      </c>
      <c r="DN145">
        <f>IF(ISBLANK('Data Entry'!$¶$145), "", 'Data Entry'!$¶$145)</f>
      </c>
      <c r="DO145">
        <f>IF(ISBLANK('Data Entry'!$·$145), "", 'Data Entry'!$·$145)</f>
      </c>
      <c r="DP145">
        <f>IF(ISBLANK('Data Entry'!$¸$145), "", 'Data Entry'!$¸$145)</f>
      </c>
      <c r="DQ145">
        <f>IF(ISBLANK('Data Entry'!$¹$145), "", 'Data Entry'!$¹$145)</f>
      </c>
      <c r="DR145">
        <f>IF(ISBLANK('Data Entry'!$º$145), "", 'Data Entry'!$º$145)</f>
      </c>
      <c r="DS145">
        <f>IF(ISBLANK('Data Entry'!$»$145), "", 'Data Entry'!$»$145)</f>
      </c>
      <c r="DT145">
        <f>IF(ISBLANK('Data Entry'!$¼$145), "", 'Data Entry'!$¼$145)</f>
      </c>
      <c r="DU145">
        <f>IF(ISBLANK('Data Entry'!$½$145), "", 'Data Entry'!$½$145)</f>
      </c>
      <c r="DV145">
        <f>IF(ISBLANK('Data Entry'!$¾$145), "", 'Data Entry'!$¾$145)</f>
      </c>
      <c r="DW145">
        <f>IF(ISBLANK('Data Entry'!$¿$145), "", 'Data Entry'!$¿$145)</f>
      </c>
      <c r="DX145">
        <f>IF(ISBLANK('Data Entry'!$À$145), "", 'Data Entry'!$À$145)</f>
      </c>
      <c r="DY145">
        <f>IF(ISBLANK('Data Entry'!$Á$145), "", 'Data Entry'!$Á$145)</f>
      </c>
      <c r="DZ145">
        <f>IF(ISBLANK('Data Entry'!$Â$145), "", 'Data Entry'!$Â$145)</f>
      </c>
      <c r="EA145">
        <f>IF(ISBLANK('Data Entry'!$Ã$145), "", 'Data Entry'!$Ã$145)</f>
      </c>
      <c r="EB145">
        <f>IF(ISBLANK('Data Entry'!$Ä$145), "", 'Data Entry'!$Ä$145)</f>
      </c>
      <c r="EC145">
        <f>IF(ISBLANK('Data Entry'!$Å$145), "", 'Data Entry'!$Å$145)</f>
      </c>
      <c r="ED145">
        <f>IF(ISBLANK('Data Entry'!$Æ$145), "", 'Data Entry'!$Æ$145)</f>
      </c>
      <c r="EE145">
        <f>IF(ISBLANK('Data Entry'!$Ç$145), "", 'Data Entry'!$Ç$145)</f>
      </c>
      <c r="EF145">
        <f>IF(ISBLANK('Data Entry'!$È$145), "", 'Data Entry'!$È$145)</f>
      </c>
      <c r="EG145">
        <f>IF(ISBLANK('Data Entry'!$É$145), "", 'Data Entry'!$É$145)</f>
      </c>
      <c r="EH145">
        <f>IF(ISBLANK('Data Entry'!$Ê$145), "", 'Data Entry'!$Ê$145)</f>
      </c>
      <c r="EI145">
        <f>IF(ISBLANK('Data Entry'!$Ë$145), "", 'Data Entry'!$Ë$145)</f>
      </c>
      <c r="EJ145">
        <f>IF(ISBLANK('Data Entry'!$Ì$145), "", 'Data Entry'!$Ì$145)</f>
      </c>
      <c r="EK145">
        <f>IF(ISBLANK('Data Entry'!$Í$145), "", 'Data Entry'!$Í$145)</f>
      </c>
      <c r="EL145">
        <f>IF(ISBLANK('Data Entry'!$Î$145), "", 'Data Entry'!$Î$145)</f>
      </c>
      <c r="EM145">
        <f>IF(ISBLANK('Data Entry'!$Ï$145), "", 'Data Entry'!$Ï$145)</f>
      </c>
      <c r="EN145">
        <f>IF(ISBLANK('Data Entry'!$Ð$145), "", 'Data Entry'!$Ð$145)</f>
      </c>
      <c r="EO145">
        <f>IF(ISBLANK('Data Entry'!$Ñ$145), "", 'Data Entry'!$Ñ$145)</f>
      </c>
      <c r="EP145">
        <f>IF(ISBLANK('Data Entry'!$Ò$145), "", 'Data Entry'!$Ò$145)</f>
      </c>
      <c r="EQ145">
        <f>IF(ISBLANK('Data Entry'!$Ó$145), "", 'Data Entry'!$Ó$145)</f>
      </c>
      <c r="ER145">
        <f>IF(ISBLANK('Data Entry'!$Ô$145), "", 'Data Entry'!$Ô$145)</f>
      </c>
      <c r="ES145">
        <f>IF(ISBLANK('Data Entry'!$Õ$145), "", 'Data Entry'!$Õ$145)</f>
      </c>
      <c r="ET145">
        <f>IF(ISBLANK('Data Entry'!$Ö$145), "", 'Data Entry'!$Ö$145)</f>
      </c>
      <c r="EU145">
        <f>IF(ISBLANK('Data Entry'!$×$145), "", 'Data Entry'!$×$145)</f>
      </c>
      <c r="EV145">
        <f>IF(ISBLANK('Data Entry'!$Ø$145), "", 'Data Entry'!$Ø$145)</f>
      </c>
      <c r="EW145">
        <f>IF(ISBLANK('Data Entry'!$Ù$145), "", 'Data Entry'!$Ù$145)</f>
      </c>
      <c r="EX145">
        <f>IF(ISBLANK('Data Entry'!$Ú$145), "", 'Data Entry'!$Ú$145)</f>
      </c>
      <c r="EY145">
        <f>IF(ISBLANK('Data Entry'!$Û$145), "", 'Data Entry'!$Û$145)</f>
      </c>
      <c r="EZ145">
        <f>IF(ISBLANK('Data Entry'!$Ü$145), "", 'Data Entry'!$Ü$145)</f>
      </c>
      <c r="FA145">
        <f>IF(ISBLANK('Data Entry'!$Ý$145), "", 'Data Entry'!$Ý$145)</f>
      </c>
      <c r="FB145">
        <f>IF(ISBLANK('Data Entry'!$Þ$145), "", 'Data Entry'!$Þ$145)</f>
      </c>
      <c r="FC145">
        <f>IF(ISBLANK('Data Entry'!$ß$145), "", 'Data Entry'!$ß$145)</f>
      </c>
      <c r="FD145">
        <f>IF(ISBLANK('Data Entry'!$à$145), "", 'Data Entry'!$à$145)</f>
      </c>
      <c r="FE145">
        <f>IF(ISBLANK('Data Entry'!$á$145), "", 'Data Entry'!$á$145)</f>
      </c>
      <c r="FF145">
        <f>IF(ISBLANK('Data Entry'!$â$145), "", 'Data Entry'!$â$145)</f>
      </c>
      <c r="FG145">
        <f>IF(ISBLANK('Data Entry'!$ã$145), "", 'Data Entry'!$ã$145)</f>
      </c>
      <c r="FH145">
        <f>IF(ISBLANK('Data Entry'!$ä$145), "", 'Data Entry'!$ä$145)</f>
      </c>
      <c r="FI145">
        <f>IF(ISBLANK('Data Entry'!$å$145), "", 'Data Entry'!$å$145)</f>
      </c>
      <c r="FJ145">
        <f>IF(ISBLANK('Data Entry'!$æ$145), "", 'Data Entry'!$æ$145)</f>
      </c>
      <c r="FK145">
        <f>IF(ISBLANK('Data Entry'!$ç$145), "", 'Data Entry'!$ç$145)</f>
      </c>
      <c r="FL145">
        <f>IF(ISBLANK('Data Entry'!$è$145), "", 'Data Entry'!$è$145)</f>
      </c>
      <c r="FM145">
        <f>IF(ISBLANK('Data Entry'!$é$145), "", 'Data Entry'!$é$145)</f>
      </c>
      <c r="FN145">
        <f>IF(ISBLANK('Data Entry'!$ê$145), "", 'Data Entry'!$ê$145)</f>
      </c>
      <c r="FO145">
        <f>IF(ISBLANK('Data Entry'!$ë$145), "", 'Data Entry'!$ë$145)</f>
      </c>
      <c r="FP145">
        <f>IF(ISBLANK('Data Entry'!$ì$145), "", 'Data Entry'!$ì$145)</f>
      </c>
      <c r="FQ145">
        <f>IF(ISBLANK('Data Entry'!$í$145), "", 'Data Entry'!$í$145)</f>
      </c>
      <c r="FR145">
        <f>IF(ISBLANK('Data Entry'!$î$145), "", 'Data Entry'!$î$145)</f>
      </c>
      <c r="FS145">
        <f>IF(ISBLANK('Data Entry'!$ï$145), "", 'Data Entry'!$ï$145)</f>
      </c>
      <c r="FT145">
        <f>IF(ISBLANK('Data Entry'!$ð$145), "", 'Data Entry'!$ð$145)</f>
      </c>
      <c r="FU145">
        <f>IF(ISBLANK('Data Entry'!$ñ$145), "", 'Data Entry'!$ñ$145)</f>
      </c>
      <c r="FV145">
        <f>IF(ISBLANK('Data Entry'!$ò$145), "", 'Data Entry'!$ò$145)</f>
      </c>
      <c r="FW145">
        <f>IF(ISBLANK('Data Entry'!$ó$145), "", 'Data Entry'!$ó$145)</f>
      </c>
      <c r="FX145">
        <f>IF(ISBLANK('Data Entry'!$ô$145), "", 'Data Entry'!$ô$145)</f>
      </c>
      <c r="FY145">
        <f>IF(ISBLANK('Data Entry'!$õ$145), "", 'Data Entry'!$õ$145)</f>
      </c>
      <c r="FZ145">
        <f>IF(ISBLANK('Data Entry'!$ö$145), "", 'Data Entry'!$ö$145)</f>
      </c>
      <c r="GA145">
        <f>IF(ISBLANK('Data Entry'!$÷$145), "", 'Data Entry'!$÷$145)</f>
      </c>
      <c r="GB145">
        <f>IF(ISBLANK('Data Entry'!$ø$145), "", 'Data Entry'!$ø$145)</f>
      </c>
      <c r="GC145">
        <f>IF(ISBLANK('Data Entry'!$ù$145), "", 'Data Entry'!$ù$145)</f>
      </c>
      <c r="GD145">
        <f>IF(ISBLANK('Data Entry'!$ú$145), "", 'Data Entry'!$ú$145)</f>
      </c>
      <c r="GE145">
        <f>IF(ISBLANK('Data Entry'!$û$145), "", 'Data Entry'!$û$145)</f>
      </c>
      <c r="GF145">
        <f>IF(ISBLANK('Data Entry'!$ü$145), "", 'Data Entry'!$ü$145)</f>
      </c>
      <c r="GG145">
        <f>IF(ISBLANK('Data Entry'!$ý$145), "", 'Data Entry'!$ý$145)</f>
      </c>
      <c r="GH145">
        <f>IF(ISBLANK('Data Entry'!$þ$145), "", 'Data Entry'!$þ$145)</f>
      </c>
      <c r="GI145">
        <f>IF(ISBLANK('Data Entry'!$ÿ$145), "", 'Data Entry'!$ÿ$145)</f>
      </c>
      <c r="GJ145">
        <f>IF(ISBLANK('Data Entry'!$Ā$145), "", 'Data Entry'!$Ā$145)</f>
      </c>
      <c r="GK145">
        <f>IF(ISBLANK('Data Entry'!$ā$145), "", 'Data Entry'!$ā$145)</f>
      </c>
      <c r="GL145">
        <f>IF(ISBLANK('Data Entry'!$Ă$145), "", 'Data Entry'!$Ă$145)</f>
      </c>
      <c r="GM145">
        <f>IF(ISBLANK('Data Entry'!$ă$145), "", 'Data Entry'!$ă$145)</f>
      </c>
      <c r="GN145">
        <f>IF(ISBLANK('Data Entry'!$Ą$145), "", 'Data Entry'!$Ą$145)</f>
      </c>
      <c r="GO145">
        <f>IF(ISBLANK('Data Entry'!$ą$145), "", 'Data Entry'!$ą$145)</f>
      </c>
      <c r="GP145">
        <f>IF(ISBLANK('Data Entry'!$Ć$145), "", 'Data Entry'!$Ć$145)</f>
      </c>
      <c r="GQ145">
        <f>IF(ISBLANK('Data Entry'!$ć$145), "", 'Data Entry'!$ć$145)</f>
      </c>
      <c r="GR145">
        <f>IF(ISBLANK('Data Entry'!$Ĉ$145), "", 'Data Entry'!$Ĉ$145)</f>
      </c>
      <c r="GS145">
        <f>IF(ISBLANK('Data Entry'!$ĉ$145), "", 'Data Entry'!$ĉ$145)</f>
      </c>
      <c r="GT145">
        <f>IF(ISBLANK('Data Entry'!$Ċ$145), "", 'Data Entry'!$Ċ$145)</f>
      </c>
      <c r="GU145">
        <f>IF(ISBLANK('Data Entry'!$ċ$145), "", 'Data Entry'!$ċ$145)</f>
      </c>
      <c r="GV145">
        <f>IF(ISBLANK('Data Entry'!$Č$145), "", 'Data Entry'!$Č$145)</f>
      </c>
      <c r="GW145">
        <f>IF(ISBLANK('Data Entry'!$č$145), "", 'Data Entry'!$č$145)</f>
      </c>
      <c r="GX145">
        <f>IF(ISBLANK('Data Entry'!$Ď$145), "", 'Data Entry'!$Ď$145)</f>
      </c>
      <c r="GY145">
        <f>IF(ISBLANK('Data Entry'!$ď$145), "", 'Data Entry'!$ď$145)</f>
      </c>
      <c r="GZ145">
        <f>IF(ISBLANK('Data Entry'!$Đ$145), "", 'Data Entry'!$Đ$145)</f>
      </c>
      <c r="HA145">
        <f>IF(ISBLANK('Data Entry'!$đ$145), "", 'Data Entry'!$đ$145)</f>
      </c>
      <c r="HB145">
        <f>IF(ISBLANK('Data Entry'!$Ē$145), "", 'Data Entry'!$Ē$145)</f>
      </c>
      <c r="HC145">
        <f>IF(ISBLANK('Data Entry'!$ē$145), "", 'Data Entry'!$ē$145)</f>
      </c>
      <c r="HD145">
        <f>IF(ISBLANK('Data Entry'!$Ĕ$145), "", 'Data Entry'!$Ĕ$145)</f>
      </c>
      <c r="HE145">
        <f>IF(ISBLANK('Data Entry'!$ĕ$145), "", 'Data Entry'!$ĕ$145)</f>
      </c>
      <c r="HF145">
        <f>IF(ISBLANK('Data Entry'!$Ė$145), "", 'Data Entry'!$Ė$145)</f>
      </c>
      <c r="HG145">
        <f>IF(ISBLANK('Data Entry'!$ė$145), "", 'Data Entry'!$ė$145)</f>
      </c>
      <c r="HH145">
        <f>IF(ISBLANK('Data Entry'!$Ę$145), "", 'Data Entry'!$Ę$145)</f>
      </c>
      <c r="HI145">
        <f>IF(ISBLANK('Data Entry'!$ę$145), "", 'Data Entry'!$ę$145)</f>
      </c>
      <c r="HJ145">
        <f>IF(ISBLANK('Data Entry'!$Ě$145), "", 'Data Entry'!$Ě$145)</f>
      </c>
      <c r="HK145">
        <f>IF(ISBLANK('Data Entry'!$ě$145), "", 'Data Entry'!$ě$145)</f>
      </c>
      <c r="HL145">
        <f>IF(ISBLANK('Data Entry'!$Ĝ$145), "", 'Data Entry'!$Ĝ$145)</f>
      </c>
      <c r="HM145">
        <f>IF(ISBLANK('Data Entry'!$ĝ$145), "", 'Data Entry'!$ĝ$145)</f>
      </c>
      <c r="HN145">
        <f>IF(ISBLANK('Data Entry'!$Ğ$145), "", 'Data Entry'!$Ğ$145)</f>
      </c>
      <c r="HO145">
        <f>IF(ISBLANK('Data Entry'!$ğ$145), "", 'Data Entry'!$ğ$145)</f>
      </c>
      <c r="HP145">
        <f>IF(ISBLANK('Data Entry'!$Ġ$145), "", 'Data Entry'!$Ġ$145)</f>
      </c>
      <c r="HQ145">
        <f>IF(ISBLANK('Data Entry'!$ġ$145), "", 'Data Entry'!$ġ$145)</f>
      </c>
      <c r="HR145">
        <f>IF(ISBLANK('Data Entry'!$Ģ$145), "", 'Data Entry'!$Ģ$145)</f>
      </c>
      <c r="HS145">
        <f>IF(ISBLANK('Data Entry'!$ģ$145), "", 'Data Entry'!$ģ$145)</f>
      </c>
      <c r="HT145">
        <f>IF(ISBLANK('Data Entry'!$Ĥ$145), "", 'Data Entry'!$Ĥ$145)</f>
      </c>
      <c r="HU145">
        <f>IF(ISBLANK('Data Entry'!$ĥ$145), "", 'Data Entry'!$ĥ$145)</f>
      </c>
      <c r="HV145">
        <f>IF(ISBLANK('Data Entry'!$Ħ$145), "", 'Data Entry'!$Ħ$145)</f>
      </c>
      <c r="HW145">
        <f>IF(ISBLANK('Data Entry'!$ħ$145), "", 'Data Entry'!$ħ$145)</f>
      </c>
      <c r="HX145">
        <f>IF(ISBLANK('Data Entry'!$Ĩ$145), "", 'Data Entry'!$Ĩ$145)</f>
      </c>
      <c r="HY145">
        <f>IF(ISBLANK('Data Entry'!$ĩ$145), "", 'Data Entry'!$ĩ$145)</f>
      </c>
      <c r="HZ145">
        <f>IF(ISBLANK('Data Entry'!$Ī$145), "", 'Data Entry'!$Ī$145)</f>
      </c>
      <c r="IA145">
        <f>IF(ISBLANK('Data Entry'!$ī$145), "", 'Data Entry'!$ī$145)</f>
      </c>
      <c r="IB145">
        <f>IF(ISBLANK('Data Entry'!$Ĭ$145), "", 'Data Entry'!$Ĭ$145)</f>
      </c>
      <c r="IC145">
        <f>IF(ISBLANK('Data Entry'!$ĭ$145), "", 'Data Entry'!$ĭ$145)</f>
      </c>
      <c r="ID145">
        <f>IF(ISBLANK('Data Entry'!$Į$145), "", 'Data Entry'!$Į$145)</f>
      </c>
      <c r="IE145">
        <f>IF(ISBLANK('Data Entry'!$į$145), "", 'Data Entry'!$į$145)</f>
      </c>
      <c r="IF145">
        <f>IF(ISBLANK('Data Entry'!$İ$145), "", 'Data Entry'!$İ$145)</f>
      </c>
      <c r="IG145">
        <f>IF(ISBLANK('Data Entry'!$ı$145), "", 'Data Entry'!$ı$145)</f>
      </c>
      <c r="IH145">
        <f>IF(ISBLANK('Data Entry'!$Ĳ$145), "", 'Data Entry'!$Ĳ$145)</f>
      </c>
      <c r="II145">
        <f>IF(ISBLANK('Data Entry'!$ĳ$145), "", 'Data Entry'!$ĳ$145)</f>
      </c>
      <c r="IJ145">
        <f>IF(ISBLANK('Data Entry'!$Ĵ$145), "", 'Data Entry'!$Ĵ$145)</f>
      </c>
      <c r="IK145">
        <f>IF(ISBLANK('Data Entry'!$ĵ$145), "", 'Data Entry'!$ĵ$145)</f>
      </c>
      <c r="IL145">
        <f>IF(ISBLANK('Data Entry'!$Ķ$145), "", 'Data Entry'!$Ķ$145)</f>
      </c>
      <c r="IM145">
        <f>IF(ISBLANK('Data Entry'!$ķ$145), "", 'Data Entry'!$ķ$145)</f>
      </c>
      <c r="IN145">
        <f>IF(ISBLANK('Data Entry'!$ĸ$145), "", 'Data Entry'!$ĸ$145)</f>
      </c>
      <c r="IO145">
        <f>IF(ISBLANK('Data Entry'!$Ĺ$145), "", 'Data Entry'!$Ĺ$145)</f>
      </c>
      <c r="IP145">
        <f>IF(ISBLANK('Data Entry'!$ĺ$145), "", 'Data Entry'!$ĺ$145)</f>
      </c>
      <c r="IQ145">
        <f>IF(ISBLANK('Data Entry'!$Ļ$145), "", 'Data Entry'!$Ļ$145)</f>
      </c>
      <c r="IR145">
        <f>IF(ISBLANK('Data Entry'!$ļ$145), "", 'Data Entry'!$ļ$145)</f>
      </c>
      <c r="IS145">
        <f>IF(ISBLANK('Data Entry'!$Ľ$145), "", 'Data Entry'!$Ľ$145)</f>
      </c>
      <c r="IT145">
        <f>IF(ISBLANK('Data Entry'!$ľ$145), "", 'Data Entry'!$ľ$145)</f>
      </c>
    </row>
    <row r="146" spans="1:254" x14ac:dyDescent="0.25">
      <c r="A146">
        <f>IF(ISBLANK('Data Entry'!$A$146), "", 'Data Entry'!$A$146)</f>
      </c>
      <c r="B146">
        <f>IF(ISBLANK('Data Entry'!$B$146), "", 'Data Entry'!$B$146)</f>
      </c>
      <c r="C146">
        <f>IF(ISBLANK('Data Entry'!$C$146), "", 'Data Entry'!$C$146)</f>
      </c>
      <c r="D146">
        <f>IF(ISBLANK('Data Entry'!$D$146), "", 'Data Entry'!$D$146)</f>
      </c>
      <c r="E146">
        <f>IF(ISBLANK('Data Entry'!$E$146), "", 'Data Entry'!$E$146)</f>
      </c>
      <c r="F146">
        <f>IF(ISBLANK('Data Entry'!$F$146), "", 'Data Entry'!$F$146)</f>
      </c>
      <c r="G146">
        <f>IF(ISBLANK('Data Entry'!$G$146), "", 'Data Entry'!$G$146)</f>
      </c>
      <c r="H146">
        <f>IF(ISBLANK('Data Entry'!$H$146), "", 'Data Entry'!$H$146)</f>
      </c>
      <c r="I146">
        <f>IF(ISBLANK('Data Entry'!$I$146), "", 'Data Entry'!$I$146)</f>
      </c>
      <c r="J146">
        <f>IF(ISBLANK('Data Entry'!$J$146), "", 'Data Entry'!$J$146)</f>
      </c>
      <c r="K146">
        <f>IF(ISBLANK('Data Entry'!$K$146), "", 'Data Entry'!$K$146)</f>
      </c>
      <c r="L146">
        <f>IF(ISBLANK('Data Entry'!$L$146), "", 'Data Entry'!$L$146)</f>
      </c>
      <c r="M146">
        <f>IF(ISBLANK('Data Entry'!$M$146), "", 'Data Entry'!$M$146)</f>
      </c>
      <c r="N146">
        <f>IF(ISBLANK('Data Entry'!$N$146), "", 'Data Entry'!$N$146)</f>
      </c>
      <c r="O146">
        <f>IF(ISBLANK('Data Entry'!$O$146), "", 'Data Entry'!$O$146)</f>
      </c>
      <c r="P146">
        <f>IF(ISBLANK('Data Entry'!$P$146), "", 'Data Entry'!$P$146)</f>
      </c>
      <c r="Q146">
        <f>IF(ISBLANK('Data Entry'!$Q$146), "", 'Data Entry'!$Q$146)</f>
      </c>
      <c r="R146">
        <f>IF(ISBLANK('Data Entry'!$R$146), "", 'Data Entry'!$R$146)</f>
      </c>
      <c r="S146">
        <f>IF(ISBLANK('Data Entry'!$S$146), "", 'Data Entry'!$S$146)</f>
      </c>
      <c r="T146">
        <f>IF(ISBLANK('Data Entry'!$T$146), "", 'Data Entry'!$T$146)</f>
      </c>
      <c r="U146">
        <f>IF(ISBLANK('Data Entry'!$U$146), "", 'Data Entry'!$U$146)</f>
      </c>
      <c r="V146">
        <f>IF(ISBLANK('Data Entry'!$V$146), "", 'Data Entry'!$V$146)</f>
      </c>
      <c r="W146">
        <f>IF(ISBLANK('Data Entry'!$W$146), "", 'Data Entry'!$W$146)</f>
      </c>
      <c r="X146">
        <f>IF(ISBLANK('Data Entry'!$X$146), "", 'Data Entry'!$X$146)</f>
      </c>
      <c r="Y146">
        <f>IF(ISBLANK('Data Entry'!$Y$146), "", 'Data Entry'!$Y$146)</f>
      </c>
      <c r="Z146">
        <f>IF(ISBLANK('Data Entry'!$Z$146), "", 'Data Entry'!$Z$146)</f>
      </c>
      <c r="AA146">
        <f>IF(ISBLANK('Data Entry'!$[$146), "", 'Data Entry'!$[$146)</f>
      </c>
      <c r="AB146">
        <f>IF(ISBLANK('Data Entry'!$\$146), "", 'Data Entry'!$\$146)</f>
      </c>
      <c r="AC146">
        <f>IF(ISBLANK('Data Entry'!$]$146), "", 'Data Entry'!$]$146)</f>
      </c>
      <c r="AD146">
        <f>IF(ISBLANK('Data Entry'!$^$146), "", 'Data Entry'!$^$146)</f>
      </c>
      <c r="AE146">
        <f>IF(ISBLANK('Data Entry'!$_$146), "", 'Data Entry'!$_$146)</f>
      </c>
      <c r="AF146">
        <f>IF(ISBLANK('Data Entry'!$`$146), "", 'Data Entry'!$`$146)</f>
      </c>
      <c r="AG146">
        <f>IF(ISBLANK('Data Entry'!$a$146), "", 'Data Entry'!$a$146)</f>
      </c>
      <c r="AH146">
        <f>IF(ISBLANK('Data Entry'!$b$146), "", 'Data Entry'!$b$146)</f>
      </c>
      <c r="AI146">
        <f>IF(ISBLANK('Data Entry'!$c$146), "", 'Data Entry'!$c$146)</f>
      </c>
      <c r="AJ146">
        <f>IF(ISBLANK('Data Entry'!$d$146), "", 'Data Entry'!$d$146)</f>
      </c>
      <c r="AK146">
        <f>IF(ISBLANK('Data Entry'!$e$146), "", 'Data Entry'!$e$146)</f>
      </c>
      <c r="AL146">
        <f>IF(ISBLANK('Data Entry'!$f$146), "", 'Data Entry'!$f$146)</f>
      </c>
      <c r="AM146">
        <f>IF(ISBLANK('Data Entry'!$g$146), "", 'Data Entry'!$g$146)</f>
      </c>
      <c r="AN146">
        <f>IF(ISBLANK('Data Entry'!$h$146), "", 'Data Entry'!$h$146)</f>
      </c>
      <c r="AO146">
        <f>IF(ISBLANK('Data Entry'!$i$146), "", 'Data Entry'!$i$146)</f>
      </c>
      <c r="AP146">
        <f>IF(ISBLANK('Data Entry'!$j$146), "", 'Data Entry'!$j$146)</f>
      </c>
      <c r="AQ146">
        <f>IF(ISBLANK('Data Entry'!$k$146), "", 'Data Entry'!$k$146)</f>
      </c>
      <c r="AR146">
        <f>IF(ISBLANK('Data Entry'!$l$146), "", 'Data Entry'!$l$146)</f>
      </c>
      <c r="AS146">
        <f>IF(ISBLANK('Data Entry'!$m$146), "", 'Data Entry'!$m$146)</f>
      </c>
      <c r="AT146">
        <f>IF(ISBLANK('Data Entry'!$n$146), "", 'Data Entry'!$n$146)</f>
      </c>
      <c r="AU146">
        <f>IF(ISBLANK('Data Entry'!$o$146), "", 'Data Entry'!$o$146)</f>
      </c>
      <c r="AV146">
        <f>IF(ISBLANK('Data Entry'!$p$146), "", 'Data Entry'!$p$146)</f>
      </c>
      <c r="AW146">
        <f>IF(ISBLANK('Data Entry'!$q$146), "", 'Data Entry'!$q$146)</f>
      </c>
      <c r="AX146">
        <f>IF(ISBLANK('Data Entry'!$r$146), "", 'Data Entry'!$r$146)</f>
      </c>
      <c r="AY146">
        <f>IF(ISBLANK('Data Entry'!$s$146), "", 'Data Entry'!$s$146)</f>
      </c>
      <c r="AZ146">
        <f>IF(ISBLANK('Data Entry'!$t$146), "", 'Data Entry'!$t$146)</f>
      </c>
      <c r="BA146">
        <f>IF(ISBLANK('Data Entry'!$u$146), "", 'Data Entry'!$u$146)</f>
      </c>
      <c r="BB146">
        <f>IF(ISBLANK('Data Entry'!$v$146), "", 'Data Entry'!$v$146)</f>
      </c>
      <c r="BC146">
        <f>IF(ISBLANK('Data Entry'!$w$146), "", 'Data Entry'!$w$146)</f>
      </c>
      <c r="BD146">
        <f>IF(ISBLANK('Data Entry'!$x$146), "", 'Data Entry'!$x$146)</f>
      </c>
      <c r="BE146">
        <f>IF(ISBLANK('Data Entry'!$y$146), "", 'Data Entry'!$y$146)</f>
      </c>
      <c r="BF146">
        <f>IF(ISBLANK('Data Entry'!$z$146), "", 'Data Entry'!$z$146)</f>
      </c>
      <c r="BG146">
        <f>IF(ISBLANK('Data Entry'!${$146), "", 'Data Entry'!${$146)</f>
      </c>
      <c r="BH146">
        <f>IF(ISBLANK('Data Entry'!$|$146), "", 'Data Entry'!$|$146)</f>
      </c>
      <c r="BI146">
        <f>IF(ISBLANK('Data Entry'!$}$146), "", 'Data Entry'!$}$146)</f>
      </c>
      <c r="BJ146">
        <f>IF(ISBLANK('Data Entry'!$~$146), "", 'Data Entry'!$~$146)</f>
      </c>
      <c r="BK146">
        <f>IF(ISBLANK('Data Entry'!$$146), "", 'Data Entry'!$$146)</f>
      </c>
      <c r="BL146">
        <f>IF(ISBLANK('Data Entry'!$$146), "", 'Data Entry'!$$146)</f>
      </c>
      <c r="BM146">
        <f>IF(ISBLANK('Data Entry'!$$146), "", 'Data Entry'!$$146)</f>
      </c>
      <c r="BN146">
        <f>IF(ISBLANK('Data Entry'!$$146), "", 'Data Entry'!$$146)</f>
      </c>
      <c r="BO146">
        <f>IF(ISBLANK('Data Entry'!$$146), "", 'Data Entry'!$$146)</f>
      </c>
      <c r="BP146">
        <f>IF(ISBLANK('Data Entry'!$$146), "", 'Data Entry'!$$146)</f>
      </c>
      <c r="BQ146">
        <f>IF(ISBLANK('Data Entry'!$$146), "", 'Data Entry'!$$146)</f>
      </c>
      <c r="BR146">
        <f>IF(ISBLANK('Data Entry'!$$146), "", 'Data Entry'!$$146)</f>
      </c>
      <c r="BS146">
        <f>IF(ISBLANK('Data Entry'!$$146), "", 'Data Entry'!$$146)</f>
      </c>
      <c r="BT146">
        <f>IF(ISBLANK('Data Entry'!$$146), "", 'Data Entry'!$$146)</f>
      </c>
      <c r="BU146">
        <f>IF(ISBLANK('Data Entry'!$$146), "", 'Data Entry'!$$146)</f>
      </c>
      <c r="BV146">
        <f>IF(ISBLANK('Data Entry'!$$146), "", 'Data Entry'!$$146)</f>
      </c>
      <c r="BW146">
        <f>IF(ISBLANK('Data Entry'!$$146), "", 'Data Entry'!$$146)</f>
      </c>
      <c r="BX146">
        <f>IF(ISBLANK('Data Entry'!$$146), "", 'Data Entry'!$$146)</f>
      </c>
      <c r="BY146">
        <f>IF(ISBLANK('Data Entry'!$$146), "", 'Data Entry'!$$146)</f>
      </c>
      <c r="BZ146">
        <f>IF(ISBLANK('Data Entry'!$$146), "", 'Data Entry'!$$146)</f>
      </c>
      <c r="CA146">
        <f>IF(ISBLANK('Data Entry'!$$146), "", 'Data Entry'!$$146)</f>
      </c>
      <c r="CB146">
        <f>IF(ISBLANK('Data Entry'!$$146), "", 'Data Entry'!$$146)</f>
      </c>
      <c r="CC146">
        <f>IF(ISBLANK('Data Entry'!$$146), "", 'Data Entry'!$$146)</f>
      </c>
      <c r="CD146">
        <f>IF(ISBLANK('Data Entry'!$$146), "", 'Data Entry'!$$146)</f>
      </c>
      <c r="CE146">
        <f>IF(ISBLANK('Data Entry'!$$146), "", 'Data Entry'!$$146)</f>
      </c>
      <c r="CF146">
        <f>IF(ISBLANK('Data Entry'!$$146), "", 'Data Entry'!$$146)</f>
      </c>
      <c r="CG146">
        <f>IF(ISBLANK('Data Entry'!$$146), "", 'Data Entry'!$$146)</f>
      </c>
      <c r="CH146">
        <f>IF(ISBLANK('Data Entry'!$$146), "", 'Data Entry'!$$146)</f>
      </c>
      <c r="CI146">
        <f>IF(ISBLANK('Data Entry'!$$146), "", 'Data Entry'!$$146)</f>
      </c>
      <c r="CJ146">
        <f>IF(ISBLANK('Data Entry'!$$146), "", 'Data Entry'!$$146)</f>
      </c>
      <c r="CK146">
        <f>IF(ISBLANK('Data Entry'!$$146), "", 'Data Entry'!$$146)</f>
      </c>
      <c r="CL146">
        <f>IF(ISBLANK('Data Entry'!$$146), "", 'Data Entry'!$$146)</f>
      </c>
      <c r="CM146">
        <f>IF(ISBLANK('Data Entry'!$$146), "", 'Data Entry'!$$146)</f>
      </c>
      <c r="CN146">
        <f>IF(ISBLANK('Data Entry'!$$146), "", 'Data Entry'!$$146)</f>
      </c>
      <c r="CO146">
        <f>IF(ISBLANK('Data Entry'!$$146), "", 'Data Entry'!$$146)</f>
      </c>
      <c r="CP146">
        <f>IF(ISBLANK('Data Entry'!$$146), "", 'Data Entry'!$$146)</f>
      </c>
      <c r="CQ146">
        <f>IF(ISBLANK('Data Entry'!$$146), "", 'Data Entry'!$$146)</f>
      </c>
      <c r="CR146">
        <f>IF(ISBLANK('Data Entry'!$ $146), "", 'Data Entry'!$ $146)</f>
      </c>
      <c r="CS146">
        <f>IF(ISBLANK('Data Entry'!$¡$146), "", 'Data Entry'!$¡$146)</f>
      </c>
      <c r="CT146">
        <f>IF(ISBLANK('Data Entry'!$¢$146), "", 'Data Entry'!$¢$146)</f>
      </c>
      <c r="CU146">
        <f>IF(ISBLANK('Data Entry'!$£$146), "", 'Data Entry'!$£$146)</f>
      </c>
      <c r="CV146">
        <f>IF(ISBLANK('Data Entry'!$¤$146), "", 'Data Entry'!$¤$146)</f>
      </c>
      <c r="CW146">
        <f>IF(ISBLANK('Data Entry'!$¥$146), "", 'Data Entry'!$¥$146)</f>
      </c>
      <c r="CX146">
        <f>IF(ISBLANK('Data Entry'!$¦$146), "", 'Data Entry'!$¦$146)</f>
      </c>
      <c r="CY146">
        <f>IF(ISBLANK('Data Entry'!$§$146), "", 'Data Entry'!$§$146)</f>
      </c>
      <c r="CZ146">
        <f>IF(ISBLANK('Data Entry'!$¨$146), "", 'Data Entry'!$¨$146)</f>
      </c>
      <c r="DA146">
        <f>IF(ISBLANK('Data Entry'!$©$146), "", 'Data Entry'!$©$146)</f>
      </c>
      <c r="DB146">
        <f>IF(ISBLANK('Data Entry'!$ª$146), "", 'Data Entry'!$ª$146)</f>
      </c>
      <c r="DC146">
        <f>IF(ISBLANK('Data Entry'!$«$146), "", 'Data Entry'!$«$146)</f>
      </c>
      <c r="DD146">
        <f>IF(ISBLANK('Data Entry'!$¬$146), "", 'Data Entry'!$¬$146)</f>
      </c>
      <c r="DE146">
        <f>IF(ISBLANK('Data Entry'!$­$146), "", 'Data Entry'!$­$146)</f>
      </c>
      <c r="DF146">
        <f>IF(ISBLANK('Data Entry'!$®$146), "", 'Data Entry'!$®$146)</f>
      </c>
      <c r="DG146">
        <f>IF(ISBLANK('Data Entry'!$¯$146), "", 'Data Entry'!$¯$146)</f>
      </c>
      <c r="DH146">
        <f>IF(ISBLANK('Data Entry'!$°$146), "", 'Data Entry'!$°$146)</f>
      </c>
      <c r="DI146">
        <f>IF(ISBLANK('Data Entry'!$±$146), "", 'Data Entry'!$±$146)</f>
      </c>
      <c r="DJ146">
        <f>IF(ISBLANK('Data Entry'!$²$146), "", 'Data Entry'!$²$146)</f>
      </c>
      <c r="DK146">
        <f>IF(ISBLANK('Data Entry'!$³$146), "", 'Data Entry'!$³$146)</f>
      </c>
      <c r="DL146">
        <f>IF(ISBLANK('Data Entry'!$´$146), "", 'Data Entry'!$´$146)</f>
      </c>
      <c r="DM146">
        <f>IF(ISBLANK('Data Entry'!$µ$146), "", 'Data Entry'!$µ$146)</f>
      </c>
      <c r="DN146">
        <f>IF(ISBLANK('Data Entry'!$¶$146), "", 'Data Entry'!$¶$146)</f>
      </c>
      <c r="DO146">
        <f>IF(ISBLANK('Data Entry'!$·$146), "", 'Data Entry'!$·$146)</f>
      </c>
      <c r="DP146">
        <f>IF(ISBLANK('Data Entry'!$¸$146), "", 'Data Entry'!$¸$146)</f>
      </c>
      <c r="DQ146">
        <f>IF(ISBLANK('Data Entry'!$¹$146), "", 'Data Entry'!$¹$146)</f>
      </c>
      <c r="DR146">
        <f>IF(ISBLANK('Data Entry'!$º$146), "", 'Data Entry'!$º$146)</f>
      </c>
      <c r="DS146">
        <f>IF(ISBLANK('Data Entry'!$»$146), "", 'Data Entry'!$»$146)</f>
      </c>
      <c r="DT146">
        <f>IF(ISBLANK('Data Entry'!$¼$146), "", 'Data Entry'!$¼$146)</f>
      </c>
      <c r="DU146">
        <f>IF(ISBLANK('Data Entry'!$½$146), "", 'Data Entry'!$½$146)</f>
      </c>
      <c r="DV146">
        <f>IF(ISBLANK('Data Entry'!$¾$146), "", 'Data Entry'!$¾$146)</f>
      </c>
      <c r="DW146">
        <f>IF(ISBLANK('Data Entry'!$¿$146), "", 'Data Entry'!$¿$146)</f>
      </c>
      <c r="DX146">
        <f>IF(ISBLANK('Data Entry'!$À$146), "", 'Data Entry'!$À$146)</f>
      </c>
      <c r="DY146">
        <f>IF(ISBLANK('Data Entry'!$Á$146), "", 'Data Entry'!$Á$146)</f>
      </c>
      <c r="DZ146">
        <f>IF(ISBLANK('Data Entry'!$Â$146), "", 'Data Entry'!$Â$146)</f>
      </c>
      <c r="EA146">
        <f>IF(ISBLANK('Data Entry'!$Ã$146), "", 'Data Entry'!$Ã$146)</f>
      </c>
      <c r="EB146">
        <f>IF(ISBLANK('Data Entry'!$Ä$146), "", 'Data Entry'!$Ä$146)</f>
      </c>
      <c r="EC146">
        <f>IF(ISBLANK('Data Entry'!$Å$146), "", 'Data Entry'!$Å$146)</f>
      </c>
      <c r="ED146">
        <f>IF(ISBLANK('Data Entry'!$Æ$146), "", 'Data Entry'!$Æ$146)</f>
      </c>
      <c r="EE146">
        <f>IF(ISBLANK('Data Entry'!$Ç$146), "", 'Data Entry'!$Ç$146)</f>
      </c>
      <c r="EF146">
        <f>IF(ISBLANK('Data Entry'!$È$146), "", 'Data Entry'!$È$146)</f>
      </c>
      <c r="EG146">
        <f>IF(ISBLANK('Data Entry'!$É$146), "", 'Data Entry'!$É$146)</f>
      </c>
      <c r="EH146">
        <f>IF(ISBLANK('Data Entry'!$Ê$146), "", 'Data Entry'!$Ê$146)</f>
      </c>
      <c r="EI146">
        <f>IF(ISBLANK('Data Entry'!$Ë$146), "", 'Data Entry'!$Ë$146)</f>
      </c>
      <c r="EJ146">
        <f>IF(ISBLANK('Data Entry'!$Ì$146), "", 'Data Entry'!$Ì$146)</f>
      </c>
      <c r="EK146">
        <f>IF(ISBLANK('Data Entry'!$Í$146), "", 'Data Entry'!$Í$146)</f>
      </c>
      <c r="EL146">
        <f>IF(ISBLANK('Data Entry'!$Î$146), "", 'Data Entry'!$Î$146)</f>
      </c>
      <c r="EM146">
        <f>IF(ISBLANK('Data Entry'!$Ï$146), "", 'Data Entry'!$Ï$146)</f>
      </c>
      <c r="EN146">
        <f>IF(ISBLANK('Data Entry'!$Ð$146), "", 'Data Entry'!$Ð$146)</f>
      </c>
      <c r="EO146">
        <f>IF(ISBLANK('Data Entry'!$Ñ$146), "", 'Data Entry'!$Ñ$146)</f>
      </c>
      <c r="EP146">
        <f>IF(ISBLANK('Data Entry'!$Ò$146), "", 'Data Entry'!$Ò$146)</f>
      </c>
      <c r="EQ146">
        <f>IF(ISBLANK('Data Entry'!$Ó$146), "", 'Data Entry'!$Ó$146)</f>
      </c>
      <c r="ER146">
        <f>IF(ISBLANK('Data Entry'!$Ô$146), "", 'Data Entry'!$Ô$146)</f>
      </c>
      <c r="ES146">
        <f>IF(ISBLANK('Data Entry'!$Õ$146), "", 'Data Entry'!$Õ$146)</f>
      </c>
      <c r="ET146">
        <f>IF(ISBLANK('Data Entry'!$Ö$146), "", 'Data Entry'!$Ö$146)</f>
      </c>
      <c r="EU146">
        <f>IF(ISBLANK('Data Entry'!$×$146), "", 'Data Entry'!$×$146)</f>
      </c>
      <c r="EV146">
        <f>IF(ISBLANK('Data Entry'!$Ø$146), "", 'Data Entry'!$Ø$146)</f>
      </c>
      <c r="EW146">
        <f>IF(ISBLANK('Data Entry'!$Ù$146), "", 'Data Entry'!$Ù$146)</f>
      </c>
      <c r="EX146">
        <f>IF(ISBLANK('Data Entry'!$Ú$146), "", 'Data Entry'!$Ú$146)</f>
      </c>
      <c r="EY146">
        <f>IF(ISBLANK('Data Entry'!$Û$146), "", 'Data Entry'!$Û$146)</f>
      </c>
      <c r="EZ146">
        <f>IF(ISBLANK('Data Entry'!$Ü$146), "", 'Data Entry'!$Ü$146)</f>
      </c>
      <c r="FA146">
        <f>IF(ISBLANK('Data Entry'!$Ý$146), "", 'Data Entry'!$Ý$146)</f>
      </c>
      <c r="FB146">
        <f>IF(ISBLANK('Data Entry'!$Þ$146), "", 'Data Entry'!$Þ$146)</f>
      </c>
      <c r="FC146">
        <f>IF(ISBLANK('Data Entry'!$ß$146), "", 'Data Entry'!$ß$146)</f>
      </c>
      <c r="FD146">
        <f>IF(ISBLANK('Data Entry'!$à$146), "", 'Data Entry'!$à$146)</f>
      </c>
      <c r="FE146">
        <f>IF(ISBLANK('Data Entry'!$á$146), "", 'Data Entry'!$á$146)</f>
      </c>
      <c r="FF146">
        <f>IF(ISBLANK('Data Entry'!$â$146), "", 'Data Entry'!$â$146)</f>
      </c>
      <c r="FG146">
        <f>IF(ISBLANK('Data Entry'!$ã$146), "", 'Data Entry'!$ã$146)</f>
      </c>
      <c r="FH146">
        <f>IF(ISBLANK('Data Entry'!$ä$146), "", 'Data Entry'!$ä$146)</f>
      </c>
      <c r="FI146">
        <f>IF(ISBLANK('Data Entry'!$å$146), "", 'Data Entry'!$å$146)</f>
      </c>
      <c r="FJ146">
        <f>IF(ISBLANK('Data Entry'!$æ$146), "", 'Data Entry'!$æ$146)</f>
      </c>
      <c r="FK146">
        <f>IF(ISBLANK('Data Entry'!$ç$146), "", 'Data Entry'!$ç$146)</f>
      </c>
      <c r="FL146">
        <f>IF(ISBLANK('Data Entry'!$è$146), "", 'Data Entry'!$è$146)</f>
      </c>
      <c r="FM146">
        <f>IF(ISBLANK('Data Entry'!$é$146), "", 'Data Entry'!$é$146)</f>
      </c>
      <c r="FN146">
        <f>IF(ISBLANK('Data Entry'!$ê$146), "", 'Data Entry'!$ê$146)</f>
      </c>
      <c r="FO146">
        <f>IF(ISBLANK('Data Entry'!$ë$146), "", 'Data Entry'!$ë$146)</f>
      </c>
      <c r="FP146">
        <f>IF(ISBLANK('Data Entry'!$ì$146), "", 'Data Entry'!$ì$146)</f>
      </c>
      <c r="FQ146">
        <f>IF(ISBLANK('Data Entry'!$í$146), "", 'Data Entry'!$í$146)</f>
      </c>
      <c r="FR146">
        <f>IF(ISBLANK('Data Entry'!$î$146), "", 'Data Entry'!$î$146)</f>
      </c>
      <c r="FS146">
        <f>IF(ISBLANK('Data Entry'!$ï$146), "", 'Data Entry'!$ï$146)</f>
      </c>
      <c r="FT146">
        <f>IF(ISBLANK('Data Entry'!$ð$146), "", 'Data Entry'!$ð$146)</f>
      </c>
      <c r="FU146">
        <f>IF(ISBLANK('Data Entry'!$ñ$146), "", 'Data Entry'!$ñ$146)</f>
      </c>
      <c r="FV146">
        <f>IF(ISBLANK('Data Entry'!$ò$146), "", 'Data Entry'!$ò$146)</f>
      </c>
      <c r="FW146">
        <f>IF(ISBLANK('Data Entry'!$ó$146), "", 'Data Entry'!$ó$146)</f>
      </c>
      <c r="FX146">
        <f>IF(ISBLANK('Data Entry'!$ô$146), "", 'Data Entry'!$ô$146)</f>
      </c>
      <c r="FY146">
        <f>IF(ISBLANK('Data Entry'!$õ$146), "", 'Data Entry'!$õ$146)</f>
      </c>
      <c r="FZ146">
        <f>IF(ISBLANK('Data Entry'!$ö$146), "", 'Data Entry'!$ö$146)</f>
      </c>
      <c r="GA146">
        <f>IF(ISBLANK('Data Entry'!$÷$146), "", 'Data Entry'!$÷$146)</f>
      </c>
      <c r="GB146">
        <f>IF(ISBLANK('Data Entry'!$ø$146), "", 'Data Entry'!$ø$146)</f>
      </c>
      <c r="GC146">
        <f>IF(ISBLANK('Data Entry'!$ù$146), "", 'Data Entry'!$ù$146)</f>
      </c>
      <c r="GD146">
        <f>IF(ISBLANK('Data Entry'!$ú$146), "", 'Data Entry'!$ú$146)</f>
      </c>
      <c r="GE146">
        <f>IF(ISBLANK('Data Entry'!$û$146), "", 'Data Entry'!$û$146)</f>
      </c>
      <c r="GF146">
        <f>IF(ISBLANK('Data Entry'!$ü$146), "", 'Data Entry'!$ü$146)</f>
      </c>
      <c r="GG146">
        <f>IF(ISBLANK('Data Entry'!$ý$146), "", 'Data Entry'!$ý$146)</f>
      </c>
      <c r="GH146">
        <f>IF(ISBLANK('Data Entry'!$þ$146), "", 'Data Entry'!$þ$146)</f>
      </c>
      <c r="GI146">
        <f>IF(ISBLANK('Data Entry'!$ÿ$146), "", 'Data Entry'!$ÿ$146)</f>
      </c>
      <c r="GJ146">
        <f>IF(ISBLANK('Data Entry'!$Ā$146), "", 'Data Entry'!$Ā$146)</f>
      </c>
      <c r="GK146">
        <f>IF(ISBLANK('Data Entry'!$ā$146), "", 'Data Entry'!$ā$146)</f>
      </c>
      <c r="GL146">
        <f>IF(ISBLANK('Data Entry'!$Ă$146), "", 'Data Entry'!$Ă$146)</f>
      </c>
      <c r="GM146">
        <f>IF(ISBLANK('Data Entry'!$ă$146), "", 'Data Entry'!$ă$146)</f>
      </c>
      <c r="GN146">
        <f>IF(ISBLANK('Data Entry'!$Ą$146), "", 'Data Entry'!$Ą$146)</f>
      </c>
      <c r="GO146">
        <f>IF(ISBLANK('Data Entry'!$ą$146), "", 'Data Entry'!$ą$146)</f>
      </c>
      <c r="GP146">
        <f>IF(ISBLANK('Data Entry'!$Ć$146), "", 'Data Entry'!$Ć$146)</f>
      </c>
      <c r="GQ146">
        <f>IF(ISBLANK('Data Entry'!$ć$146), "", 'Data Entry'!$ć$146)</f>
      </c>
      <c r="GR146">
        <f>IF(ISBLANK('Data Entry'!$Ĉ$146), "", 'Data Entry'!$Ĉ$146)</f>
      </c>
      <c r="GS146">
        <f>IF(ISBLANK('Data Entry'!$ĉ$146), "", 'Data Entry'!$ĉ$146)</f>
      </c>
      <c r="GT146">
        <f>IF(ISBLANK('Data Entry'!$Ċ$146), "", 'Data Entry'!$Ċ$146)</f>
      </c>
      <c r="GU146">
        <f>IF(ISBLANK('Data Entry'!$ċ$146), "", 'Data Entry'!$ċ$146)</f>
      </c>
      <c r="GV146">
        <f>IF(ISBLANK('Data Entry'!$Č$146), "", 'Data Entry'!$Č$146)</f>
      </c>
      <c r="GW146">
        <f>IF(ISBLANK('Data Entry'!$č$146), "", 'Data Entry'!$č$146)</f>
      </c>
      <c r="GX146">
        <f>IF(ISBLANK('Data Entry'!$Ď$146), "", 'Data Entry'!$Ď$146)</f>
      </c>
      <c r="GY146">
        <f>IF(ISBLANK('Data Entry'!$ď$146), "", 'Data Entry'!$ď$146)</f>
      </c>
      <c r="GZ146">
        <f>IF(ISBLANK('Data Entry'!$Đ$146), "", 'Data Entry'!$Đ$146)</f>
      </c>
      <c r="HA146">
        <f>IF(ISBLANK('Data Entry'!$đ$146), "", 'Data Entry'!$đ$146)</f>
      </c>
      <c r="HB146">
        <f>IF(ISBLANK('Data Entry'!$Ē$146), "", 'Data Entry'!$Ē$146)</f>
      </c>
      <c r="HC146">
        <f>IF(ISBLANK('Data Entry'!$ē$146), "", 'Data Entry'!$ē$146)</f>
      </c>
      <c r="HD146">
        <f>IF(ISBLANK('Data Entry'!$Ĕ$146), "", 'Data Entry'!$Ĕ$146)</f>
      </c>
      <c r="HE146">
        <f>IF(ISBLANK('Data Entry'!$ĕ$146), "", 'Data Entry'!$ĕ$146)</f>
      </c>
      <c r="HF146">
        <f>IF(ISBLANK('Data Entry'!$Ė$146), "", 'Data Entry'!$Ė$146)</f>
      </c>
      <c r="HG146">
        <f>IF(ISBLANK('Data Entry'!$ė$146), "", 'Data Entry'!$ė$146)</f>
      </c>
      <c r="HH146">
        <f>IF(ISBLANK('Data Entry'!$Ę$146), "", 'Data Entry'!$Ę$146)</f>
      </c>
      <c r="HI146">
        <f>IF(ISBLANK('Data Entry'!$ę$146), "", 'Data Entry'!$ę$146)</f>
      </c>
      <c r="HJ146">
        <f>IF(ISBLANK('Data Entry'!$Ě$146), "", 'Data Entry'!$Ě$146)</f>
      </c>
      <c r="HK146">
        <f>IF(ISBLANK('Data Entry'!$ě$146), "", 'Data Entry'!$ě$146)</f>
      </c>
      <c r="HL146">
        <f>IF(ISBLANK('Data Entry'!$Ĝ$146), "", 'Data Entry'!$Ĝ$146)</f>
      </c>
      <c r="HM146">
        <f>IF(ISBLANK('Data Entry'!$ĝ$146), "", 'Data Entry'!$ĝ$146)</f>
      </c>
      <c r="HN146">
        <f>IF(ISBLANK('Data Entry'!$Ğ$146), "", 'Data Entry'!$Ğ$146)</f>
      </c>
      <c r="HO146">
        <f>IF(ISBLANK('Data Entry'!$ğ$146), "", 'Data Entry'!$ğ$146)</f>
      </c>
      <c r="HP146">
        <f>IF(ISBLANK('Data Entry'!$Ġ$146), "", 'Data Entry'!$Ġ$146)</f>
      </c>
      <c r="HQ146">
        <f>IF(ISBLANK('Data Entry'!$ġ$146), "", 'Data Entry'!$ġ$146)</f>
      </c>
      <c r="HR146">
        <f>IF(ISBLANK('Data Entry'!$Ģ$146), "", 'Data Entry'!$Ģ$146)</f>
      </c>
      <c r="HS146">
        <f>IF(ISBLANK('Data Entry'!$ģ$146), "", 'Data Entry'!$ģ$146)</f>
      </c>
      <c r="HT146">
        <f>IF(ISBLANK('Data Entry'!$Ĥ$146), "", 'Data Entry'!$Ĥ$146)</f>
      </c>
      <c r="HU146">
        <f>IF(ISBLANK('Data Entry'!$ĥ$146), "", 'Data Entry'!$ĥ$146)</f>
      </c>
      <c r="HV146">
        <f>IF(ISBLANK('Data Entry'!$Ħ$146), "", 'Data Entry'!$Ħ$146)</f>
      </c>
      <c r="HW146">
        <f>IF(ISBLANK('Data Entry'!$ħ$146), "", 'Data Entry'!$ħ$146)</f>
      </c>
      <c r="HX146">
        <f>IF(ISBLANK('Data Entry'!$Ĩ$146), "", 'Data Entry'!$Ĩ$146)</f>
      </c>
      <c r="HY146">
        <f>IF(ISBLANK('Data Entry'!$ĩ$146), "", 'Data Entry'!$ĩ$146)</f>
      </c>
      <c r="HZ146">
        <f>IF(ISBLANK('Data Entry'!$Ī$146), "", 'Data Entry'!$Ī$146)</f>
      </c>
      <c r="IA146">
        <f>IF(ISBLANK('Data Entry'!$ī$146), "", 'Data Entry'!$ī$146)</f>
      </c>
      <c r="IB146">
        <f>IF(ISBLANK('Data Entry'!$Ĭ$146), "", 'Data Entry'!$Ĭ$146)</f>
      </c>
      <c r="IC146">
        <f>IF(ISBLANK('Data Entry'!$ĭ$146), "", 'Data Entry'!$ĭ$146)</f>
      </c>
      <c r="ID146">
        <f>IF(ISBLANK('Data Entry'!$Į$146), "", 'Data Entry'!$Į$146)</f>
      </c>
      <c r="IE146">
        <f>IF(ISBLANK('Data Entry'!$į$146), "", 'Data Entry'!$į$146)</f>
      </c>
      <c r="IF146">
        <f>IF(ISBLANK('Data Entry'!$İ$146), "", 'Data Entry'!$İ$146)</f>
      </c>
      <c r="IG146">
        <f>IF(ISBLANK('Data Entry'!$ı$146), "", 'Data Entry'!$ı$146)</f>
      </c>
      <c r="IH146">
        <f>IF(ISBLANK('Data Entry'!$Ĳ$146), "", 'Data Entry'!$Ĳ$146)</f>
      </c>
      <c r="II146">
        <f>IF(ISBLANK('Data Entry'!$ĳ$146), "", 'Data Entry'!$ĳ$146)</f>
      </c>
      <c r="IJ146">
        <f>IF(ISBLANK('Data Entry'!$Ĵ$146), "", 'Data Entry'!$Ĵ$146)</f>
      </c>
      <c r="IK146">
        <f>IF(ISBLANK('Data Entry'!$ĵ$146), "", 'Data Entry'!$ĵ$146)</f>
      </c>
      <c r="IL146">
        <f>IF(ISBLANK('Data Entry'!$Ķ$146), "", 'Data Entry'!$Ķ$146)</f>
      </c>
      <c r="IM146">
        <f>IF(ISBLANK('Data Entry'!$ķ$146), "", 'Data Entry'!$ķ$146)</f>
      </c>
      <c r="IN146">
        <f>IF(ISBLANK('Data Entry'!$ĸ$146), "", 'Data Entry'!$ĸ$146)</f>
      </c>
      <c r="IO146">
        <f>IF(ISBLANK('Data Entry'!$Ĺ$146), "", 'Data Entry'!$Ĺ$146)</f>
      </c>
      <c r="IP146">
        <f>IF(ISBLANK('Data Entry'!$ĺ$146), "", 'Data Entry'!$ĺ$146)</f>
      </c>
      <c r="IQ146">
        <f>IF(ISBLANK('Data Entry'!$Ļ$146), "", 'Data Entry'!$Ļ$146)</f>
      </c>
      <c r="IR146">
        <f>IF(ISBLANK('Data Entry'!$ļ$146), "", 'Data Entry'!$ļ$146)</f>
      </c>
      <c r="IS146">
        <f>IF(ISBLANK('Data Entry'!$Ľ$146), "", 'Data Entry'!$Ľ$146)</f>
      </c>
      <c r="IT146">
        <f>IF(ISBLANK('Data Entry'!$ľ$146), "", 'Data Entry'!$ľ$146)</f>
      </c>
    </row>
    <row r="147" spans="1:254" x14ac:dyDescent="0.25">
      <c r="A147">
        <f>IF(ISBLANK('Data Entry'!$A$147), "", 'Data Entry'!$A$147)</f>
      </c>
      <c r="B147">
        <f>IF(ISBLANK('Data Entry'!$B$147), "", 'Data Entry'!$B$147)</f>
      </c>
      <c r="C147">
        <f>IF(ISBLANK('Data Entry'!$C$147), "", 'Data Entry'!$C$147)</f>
      </c>
      <c r="D147">
        <f>IF(ISBLANK('Data Entry'!$D$147), "", 'Data Entry'!$D$147)</f>
      </c>
      <c r="E147">
        <f>IF(ISBLANK('Data Entry'!$E$147), "", 'Data Entry'!$E$147)</f>
      </c>
      <c r="F147">
        <f>IF(ISBLANK('Data Entry'!$F$147), "", 'Data Entry'!$F$147)</f>
      </c>
      <c r="G147">
        <f>IF(ISBLANK('Data Entry'!$G$147), "", 'Data Entry'!$G$147)</f>
      </c>
      <c r="H147">
        <f>IF(ISBLANK('Data Entry'!$H$147), "", 'Data Entry'!$H$147)</f>
      </c>
      <c r="I147">
        <f>IF(ISBLANK('Data Entry'!$I$147), "", 'Data Entry'!$I$147)</f>
      </c>
      <c r="J147">
        <f>IF(ISBLANK('Data Entry'!$J$147), "", 'Data Entry'!$J$147)</f>
      </c>
      <c r="K147">
        <f>IF(ISBLANK('Data Entry'!$K$147), "", 'Data Entry'!$K$147)</f>
      </c>
      <c r="L147">
        <f>IF(ISBLANK('Data Entry'!$L$147), "", 'Data Entry'!$L$147)</f>
      </c>
      <c r="M147">
        <f>IF(ISBLANK('Data Entry'!$M$147), "", 'Data Entry'!$M$147)</f>
      </c>
      <c r="N147">
        <f>IF(ISBLANK('Data Entry'!$N$147), "", 'Data Entry'!$N$147)</f>
      </c>
      <c r="O147">
        <f>IF(ISBLANK('Data Entry'!$O$147), "", 'Data Entry'!$O$147)</f>
      </c>
      <c r="P147">
        <f>IF(ISBLANK('Data Entry'!$P$147), "", 'Data Entry'!$P$147)</f>
      </c>
      <c r="Q147">
        <f>IF(ISBLANK('Data Entry'!$Q$147), "", 'Data Entry'!$Q$147)</f>
      </c>
      <c r="R147">
        <f>IF(ISBLANK('Data Entry'!$R$147), "", 'Data Entry'!$R$147)</f>
      </c>
      <c r="S147">
        <f>IF(ISBLANK('Data Entry'!$S$147), "", 'Data Entry'!$S$147)</f>
      </c>
      <c r="T147">
        <f>IF(ISBLANK('Data Entry'!$T$147), "", 'Data Entry'!$T$147)</f>
      </c>
      <c r="U147">
        <f>IF(ISBLANK('Data Entry'!$U$147), "", 'Data Entry'!$U$147)</f>
      </c>
      <c r="V147">
        <f>IF(ISBLANK('Data Entry'!$V$147), "", 'Data Entry'!$V$147)</f>
      </c>
      <c r="W147">
        <f>IF(ISBLANK('Data Entry'!$W$147), "", 'Data Entry'!$W$147)</f>
      </c>
      <c r="X147">
        <f>IF(ISBLANK('Data Entry'!$X$147), "", 'Data Entry'!$X$147)</f>
      </c>
      <c r="Y147">
        <f>IF(ISBLANK('Data Entry'!$Y$147), "", 'Data Entry'!$Y$147)</f>
      </c>
      <c r="Z147">
        <f>IF(ISBLANK('Data Entry'!$Z$147), "", 'Data Entry'!$Z$147)</f>
      </c>
      <c r="AA147">
        <f>IF(ISBLANK('Data Entry'!$[$147), "", 'Data Entry'!$[$147)</f>
      </c>
      <c r="AB147">
        <f>IF(ISBLANK('Data Entry'!$\$147), "", 'Data Entry'!$\$147)</f>
      </c>
      <c r="AC147">
        <f>IF(ISBLANK('Data Entry'!$]$147), "", 'Data Entry'!$]$147)</f>
      </c>
      <c r="AD147">
        <f>IF(ISBLANK('Data Entry'!$^$147), "", 'Data Entry'!$^$147)</f>
      </c>
      <c r="AE147">
        <f>IF(ISBLANK('Data Entry'!$_$147), "", 'Data Entry'!$_$147)</f>
      </c>
      <c r="AF147">
        <f>IF(ISBLANK('Data Entry'!$`$147), "", 'Data Entry'!$`$147)</f>
      </c>
      <c r="AG147">
        <f>IF(ISBLANK('Data Entry'!$a$147), "", 'Data Entry'!$a$147)</f>
      </c>
      <c r="AH147">
        <f>IF(ISBLANK('Data Entry'!$b$147), "", 'Data Entry'!$b$147)</f>
      </c>
      <c r="AI147">
        <f>IF(ISBLANK('Data Entry'!$c$147), "", 'Data Entry'!$c$147)</f>
      </c>
      <c r="AJ147">
        <f>IF(ISBLANK('Data Entry'!$d$147), "", 'Data Entry'!$d$147)</f>
      </c>
      <c r="AK147">
        <f>IF(ISBLANK('Data Entry'!$e$147), "", 'Data Entry'!$e$147)</f>
      </c>
      <c r="AL147">
        <f>IF(ISBLANK('Data Entry'!$f$147), "", 'Data Entry'!$f$147)</f>
      </c>
      <c r="AM147">
        <f>IF(ISBLANK('Data Entry'!$g$147), "", 'Data Entry'!$g$147)</f>
      </c>
      <c r="AN147">
        <f>IF(ISBLANK('Data Entry'!$h$147), "", 'Data Entry'!$h$147)</f>
      </c>
      <c r="AO147">
        <f>IF(ISBLANK('Data Entry'!$i$147), "", 'Data Entry'!$i$147)</f>
      </c>
      <c r="AP147">
        <f>IF(ISBLANK('Data Entry'!$j$147), "", 'Data Entry'!$j$147)</f>
      </c>
      <c r="AQ147">
        <f>IF(ISBLANK('Data Entry'!$k$147), "", 'Data Entry'!$k$147)</f>
      </c>
      <c r="AR147">
        <f>IF(ISBLANK('Data Entry'!$l$147), "", 'Data Entry'!$l$147)</f>
      </c>
      <c r="AS147">
        <f>IF(ISBLANK('Data Entry'!$m$147), "", 'Data Entry'!$m$147)</f>
      </c>
      <c r="AT147">
        <f>IF(ISBLANK('Data Entry'!$n$147), "", 'Data Entry'!$n$147)</f>
      </c>
      <c r="AU147">
        <f>IF(ISBLANK('Data Entry'!$o$147), "", 'Data Entry'!$o$147)</f>
      </c>
      <c r="AV147">
        <f>IF(ISBLANK('Data Entry'!$p$147), "", 'Data Entry'!$p$147)</f>
      </c>
      <c r="AW147">
        <f>IF(ISBLANK('Data Entry'!$q$147), "", 'Data Entry'!$q$147)</f>
      </c>
      <c r="AX147">
        <f>IF(ISBLANK('Data Entry'!$r$147), "", 'Data Entry'!$r$147)</f>
      </c>
      <c r="AY147">
        <f>IF(ISBLANK('Data Entry'!$s$147), "", 'Data Entry'!$s$147)</f>
      </c>
      <c r="AZ147">
        <f>IF(ISBLANK('Data Entry'!$t$147), "", 'Data Entry'!$t$147)</f>
      </c>
      <c r="BA147">
        <f>IF(ISBLANK('Data Entry'!$u$147), "", 'Data Entry'!$u$147)</f>
      </c>
      <c r="BB147">
        <f>IF(ISBLANK('Data Entry'!$v$147), "", 'Data Entry'!$v$147)</f>
      </c>
      <c r="BC147">
        <f>IF(ISBLANK('Data Entry'!$w$147), "", 'Data Entry'!$w$147)</f>
      </c>
      <c r="BD147">
        <f>IF(ISBLANK('Data Entry'!$x$147), "", 'Data Entry'!$x$147)</f>
      </c>
      <c r="BE147">
        <f>IF(ISBLANK('Data Entry'!$y$147), "", 'Data Entry'!$y$147)</f>
      </c>
      <c r="BF147">
        <f>IF(ISBLANK('Data Entry'!$z$147), "", 'Data Entry'!$z$147)</f>
      </c>
      <c r="BG147">
        <f>IF(ISBLANK('Data Entry'!${$147), "", 'Data Entry'!${$147)</f>
      </c>
      <c r="BH147">
        <f>IF(ISBLANK('Data Entry'!$|$147), "", 'Data Entry'!$|$147)</f>
      </c>
      <c r="BI147">
        <f>IF(ISBLANK('Data Entry'!$}$147), "", 'Data Entry'!$}$147)</f>
      </c>
      <c r="BJ147">
        <f>IF(ISBLANK('Data Entry'!$~$147), "", 'Data Entry'!$~$147)</f>
      </c>
      <c r="BK147">
        <f>IF(ISBLANK('Data Entry'!$$147), "", 'Data Entry'!$$147)</f>
      </c>
      <c r="BL147">
        <f>IF(ISBLANK('Data Entry'!$$147), "", 'Data Entry'!$$147)</f>
      </c>
      <c r="BM147">
        <f>IF(ISBLANK('Data Entry'!$$147), "", 'Data Entry'!$$147)</f>
      </c>
      <c r="BN147">
        <f>IF(ISBLANK('Data Entry'!$$147), "", 'Data Entry'!$$147)</f>
      </c>
      <c r="BO147">
        <f>IF(ISBLANK('Data Entry'!$$147), "", 'Data Entry'!$$147)</f>
      </c>
      <c r="BP147">
        <f>IF(ISBLANK('Data Entry'!$$147), "", 'Data Entry'!$$147)</f>
      </c>
      <c r="BQ147">
        <f>IF(ISBLANK('Data Entry'!$$147), "", 'Data Entry'!$$147)</f>
      </c>
      <c r="BR147">
        <f>IF(ISBLANK('Data Entry'!$$147), "", 'Data Entry'!$$147)</f>
      </c>
      <c r="BS147">
        <f>IF(ISBLANK('Data Entry'!$$147), "", 'Data Entry'!$$147)</f>
      </c>
      <c r="BT147">
        <f>IF(ISBLANK('Data Entry'!$$147), "", 'Data Entry'!$$147)</f>
      </c>
      <c r="BU147">
        <f>IF(ISBLANK('Data Entry'!$$147), "", 'Data Entry'!$$147)</f>
      </c>
      <c r="BV147">
        <f>IF(ISBLANK('Data Entry'!$$147), "", 'Data Entry'!$$147)</f>
      </c>
      <c r="BW147">
        <f>IF(ISBLANK('Data Entry'!$$147), "", 'Data Entry'!$$147)</f>
      </c>
      <c r="BX147">
        <f>IF(ISBLANK('Data Entry'!$$147), "", 'Data Entry'!$$147)</f>
      </c>
      <c r="BY147">
        <f>IF(ISBLANK('Data Entry'!$$147), "", 'Data Entry'!$$147)</f>
      </c>
      <c r="BZ147">
        <f>IF(ISBLANK('Data Entry'!$$147), "", 'Data Entry'!$$147)</f>
      </c>
      <c r="CA147">
        <f>IF(ISBLANK('Data Entry'!$$147), "", 'Data Entry'!$$147)</f>
      </c>
      <c r="CB147">
        <f>IF(ISBLANK('Data Entry'!$$147), "", 'Data Entry'!$$147)</f>
      </c>
      <c r="CC147">
        <f>IF(ISBLANK('Data Entry'!$$147), "", 'Data Entry'!$$147)</f>
      </c>
      <c r="CD147">
        <f>IF(ISBLANK('Data Entry'!$$147), "", 'Data Entry'!$$147)</f>
      </c>
      <c r="CE147">
        <f>IF(ISBLANK('Data Entry'!$$147), "", 'Data Entry'!$$147)</f>
      </c>
      <c r="CF147">
        <f>IF(ISBLANK('Data Entry'!$$147), "", 'Data Entry'!$$147)</f>
      </c>
      <c r="CG147">
        <f>IF(ISBLANK('Data Entry'!$$147), "", 'Data Entry'!$$147)</f>
      </c>
      <c r="CH147">
        <f>IF(ISBLANK('Data Entry'!$$147), "", 'Data Entry'!$$147)</f>
      </c>
      <c r="CI147">
        <f>IF(ISBLANK('Data Entry'!$$147), "", 'Data Entry'!$$147)</f>
      </c>
      <c r="CJ147">
        <f>IF(ISBLANK('Data Entry'!$$147), "", 'Data Entry'!$$147)</f>
      </c>
      <c r="CK147">
        <f>IF(ISBLANK('Data Entry'!$$147), "", 'Data Entry'!$$147)</f>
      </c>
      <c r="CL147">
        <f>IF(ISBLANK('Data Entry'!$$147), "", 'Data Entry'!$$147)</f>
      </c>
      <c r="CM147">
        <f>IF(ISBLANK('Data Entry'!$$147), "", 'Data Entry'!$$147)</f>
      </c>
      <c r="CN147">
        <f>IF(ISBLANK('Data Entry'!$$147), "", 'Data Entry'!$$147)</f>
      </c>
      <c r="CO147">
        <f>IF(ISBLANK('Data Entry'!$$147), "", 'Data Entry'!$$147)</f>
      </c>
      <c r="CP147">
        <f>IF(ISBLANK('Data Entry'!$$147), "", 'Data Entry'!$$147)</f>
      </c>
      <c r="CQ147">
        <f>IF(ISBLANK('Data Entry'!$$147), "", 'Data Entry'!$$147)</f>
      </c>
      <c r="CR147">
        <f>IF(ISBLANK('Data Entry'!$ $147), "", 'Data Entry'!$ $147)</f>
      </c>
      <c r="CS147">
        <f>IF(ISBLANK('Data Entry'!$¡$147), "", 'Data Entry'!$¡$147)</f>
      </c>
      <c r="CT147">
        <f>IF(ISBLANK('Data Entry'!$¢$147), "", 'Data Entry'!$¢$147)</f>
      </c>
      <c r="CU147">
        <f>IF(ISBLANK('Data Entry'!$£$147), "", 'Data Entry'!$£$147)</f>
      </c>
      <c r="CV147">
        <f>IF(ISBLANK('Data Entry'!$¤$147), "", 'Data Entry'!$¤$147)</f>
      </c>
      <c r="CW147">
        <f>IF(ISBLANK('Data Entry'!$¥$147), "", 'Data Entry'!$¥$147)</f>
      </c>
      <c r="CX147">
        <f>IF(ISBLANK('Data Entry'!$¦$147), "", 'Data Entry'!$¦$147)</f>
      </c>
      <c r="CY147">
        <f>IF(ISBLANK('Data Entry'!$§$147), "", 'Data Entry'!$§$147)</f>
      </c>
      <c r="CZ147">
        <f>IF(ISBLANK('Data Entry'!$¨$147), "", 'Data Entry'!$¨$147)</f>
      </c>
      <c r="DA147">
        <f>IF(ISBLANK('Data Entry'!$©$147), "", 'Data Entry'!$©$147)</f>
      </c>
      <c r="DB147">
        <f>IF(ISBLANK('Data Entry'!$ª$147), "", 'Data Entry'!$ª$147)</f>
      </c>
      <c r="DC147">
        <f>IF(ISBLANK('Data Entry'!$«$147), "", 'Data Entry'!$«$147)</f>
      </c>
      <c r="DD147">
        <f>IF(ISBLANK('Data Entry'!$¬$147), "", 'Data Entry'!$¬$147)</f>
      </c>
      <c r="DE147">
        <f>IF(ISBLANK('Data Entry'!$­$147), "", 'Data Entry'!$­$147)</f>
      </c>
      <c r="DF147">
        <f>IF(ISBLANK('Data Entry'!$®$147), "", 'Data Entry'!$®$147)</f>
      </c>
      <c r="DG147">
        <f>IF(ISBLANK('Data Entry'!$¯$147), "", 'Data Entry'!$¯$147)</f>
      </c>
      <c r="DH147">
        <f>IF(ISBLANK('Data Entry'!$°$147), "", 'Data Entry'!$°$147)</f>
      </c>
      <c r="DI147">
        <f>IF(ISBLANK('Data Entry'!$±$147), "", 'Data Entry'!$±$147)</f>
      </c>
      <c r="DJ147">
        <f>IF(ISBLANK('Data Entry'!$²$147), "", 'Data Entry'!$²$147)</f>
      </c>
      <c r="DK147">
        <f>IF(ISBLANK('Data Entry'!$³$147), "", 'Data Entry'!$³$147)</f>
      </c>
      <c r="DL147">
        <f>IF(ISBLANK('Data Entry'!$´$147), "", 'Data Entry'!$´$147)</f>
      </c>
      <c r="DM147">
        <f>IF(ISBLANK('Data Entry'!$µ$147), "", 'Data Entry'!$µ$147)</f>
      </c>
      <c r="DN147">
        <f>IF(ISBLANK('Data Entry'!$¶$147), "", 'Data Entry'!$¶$147)</f>
      </c>
      <c r="DO147">
        <f>IF(ISBLANK('Data Entry'!$·$147), "", 'Data Entry'!$·$147)</f>
      </c>
      <c r="DP147">
        <f>IF(ISBLANK('Data Entry'!$¸$147), "", 'Data Entry'!$¸$147)</f>
      </c>
      <c r="DQ147">
        <f>IF(ISBLANK('Data Entry'!$¹$147), "", 'Data Entry'!$¹$147)</f>
      </c>
      <c r="DR147">
        <f>IF(ISBLANK('Data Entry'!$º$147), "", 'Data Entry'!$º$147)</f>
      </c>
      <c r="DS147">
        <f>IF(ISBLANK('Data Entry'!$»$147), "", 'Data Entry'!$»$147)</f>
      </c>
      <c r="DT147">
        <f>IF(ISBLANK('Data Entry'!$¼$147), "", 'Data Entry'!$¼$147)</f>
      </c>
      <c r="DU147">
        <f>IF(ISBLANK('Data Entry'!$½$147), "", 'Data Entry'!$½$147)</f>
      </c>
      <c r="DV147">
        <f>IF(ISBLANK('Data Entry'!$¾$147), "", 'Data Entry'!$¾$147)</f>
      </c>
      <c r="DW147">
        <f>IF(ISBLANK('Data Entry'!$¿$147), "", 'Data Entry'!$¿$147)</f>
      </c>
      <c r="DX147">
        <f>IF(ISBLANK('Data Entry'!$À$147), "", 'Data Entry'!$À$147)</f>
      </c>
      <c r="DY147">
        <f>IF(ISBLANK('Data Entry'!$Á$147), "", 'Data Entry'!$Á$147)</f>
      </c>
      <c r="DZ147">
        <f>IF(ISBLANK('Data Entry'!$Â$147), "", 'Data Entry'!$Â$147)</f>
      </c>
      <c r="EA147">
        <f>IF(ISBLANK('Data Entry'!$Ã$147), "", 'Data Entry'!$Ã$147)</f>
      </c>
      <c r="EB147">
        <f>IF(ISBLANK('Data Entry'!$Ä$147), "", 'Data Entry'!$Ä$147)</f>
      </c>
      <c r="EC147">
        <f>IF(ISBLANK('Data Entry'!$Å$147), "", 'Data Entry'!$Å$147)</f>
      </c>
      <c r="ED147">
        <f>IF(ISBLANK('Data Entry'!$Æ$147), "", 'Data Entry'!$Æ$147)</f>
      </c>
      <c r="EE147">
        <f>IF(ISBLANK('Data Entry'!$Ç$147), "", 'Data Entry'!$Ç$147)</f>
      </c>
      <c r="EF147">
        <f>IF(ISBLANK('Data Entry'!$È$147), "", 'Data Entry'!$È$147)</f>
      </c>
      <c r="EG147">
        <f>IF(ISBLANK('Data Entry'!$É$147), "", 'Data Entry'!$É$147)</f>
      </c>
      <c r="EH147">
        <f>IF(ISBLANK('Data Entry'!$Ê$147), "", 'Data Entry'!$Ê$147)</f>
      </c>
      <c r="EI147">
        <f>IF(ISBLANK('Data Entry'!$Ë$147), "", 'Data Entry'!$Ë$147)</f>
      </c>
      <c r="EJ147">
        <f>IF(ISBLANK('Data Entry'!$Ì$147), "", 'Data Entry'!$Ì$147)</f>
      </c>
      <c r="EK147">
        <f>IF(ISBLANK('Data Entry'!$Í$147), "", 'Data Entry'!$Í$147)</f>
      </c>
      <c r="EL147">
        <f>IF(ISBLANK('Data Entry'!$Î$147), "", 'Data Entry'!$Î$147)</f>
      </c>
      <c r="EM147">
        <f>IF(ISBLANK('Data Entry'!$Ï$147), "", 'Data Entry'!$Ï$147)</f>
      </c>
      <c r="EN147">
        <f>IF(ISBLANK('Data Entry'!$Ð$147), "", 'Data Entry'!$Ð$147)</f>
      </c>
      <c r="EO147">
        <f>IF(ISBLANK('Data Entry'!$Ñ$147), "", 'Data Entry'!$Ñ$147)</f>
      </c>
      <c r="EP147">
        <f>IF(ISBLANK('Data Entry'!$Ò$147), "", 'Data Entry'!$Ò$147)</f>
      </c>
      <c r="EQ147">
        <f>IF(ISBLANK('Data Entry'!$Ó$147), "", 'Data Entry'!$Ó$147)</f>
      </c>
      <c r="ER147">
        <f>IF(ISBLANK('Data Entry'!$Ô$147), "", 'Data Entry'!$Ô$147)</f>
      </c>
      <c r="ES147">
        <f>IF(ISBLANK('Data Entry'!$Õ$147), "", 'Data Entry'!$Õ$147)</f>
      </c>
      <c r="ET147">
        <f>IF(ISBLANK('Data Entry'!$Ö$147), "", 'Data Entry'!$Ö$147)</f>
      </c>
      <c r="EU147">
        <f>IF(ISBLANK('Data Entry'!$×$147), "", 'Data Entry'!$×$147)</f>
      </c>
      <c r="EV147">
        <f>IF(ISBLANK('Data Entry'!$Ø$147), "", 'Data Entry'!$Ø$147)</f>
      </c>
      <c r="EW147">
        <f>IF(ISBLANK('Data Entry'!$Ù$147), "", 'Data Entry'!$Ù$147)</f>
      </c>
      <c r="EX147">
        <f>IF(ISBLANK('Data Entry'!$Ú$147), "", 'Data Entry'!$Ú$147)</f>
      </c>
      <c r="EY147">
        <f>IF(ISBLANK('Data Entry'!$Û$147), "", 'Data Entry'!$Û$147)</f>
      </c>
      <c r="EZ147">
        <f>IF(ISBLANK('Data Entry'!$Ü$147), "", 'Data Entry'!$Ü$147)</f>
      </c>
      <c r="FA147">
        <f>IF(ISBLANK('Data Entry'!$Ý$147), "", 'Data Entry'!$Ý$147)</f>
      </c>
      <c r="FB147">
        <f>IF(ISBLANK('Data Entry'!$Þ$147), "", 'Data Entry'!$Þ$147)</f>
      </c>
      <c r="FC147">
        <f>IF(ISBLANK('Data Entry'!$ß$147), "", 'Data Entry'!$ß$147)</f>
      </c>
      <c r="FD147">
        <f>IF(ISBLANK('Data Entry'!$à$147), "", 'Data Entry'!$à$147)</f>
      </c>
      <c r="FE147">
        <f>IF(ISBLANK('Data Entry'!$á$147), "", 'Data Entry'!$á$147)</f>
      </c>
      <c r="FF147">
        <f>IF(ISBLANK('Data Entry'!$â$147), "", 'Data Entry'!$â$147)</f>
      </c>
      <c r="FG147">
        <f>IF(ISBLANK('Data Entry'!$ã$147), "", 'Data Entry'!$ã$147)</f>
      </c>
      <c r="FH147">
        <f>IF(ISBLANK('Data Entry'!$ä$147), "", 'Data Entry'!$ä$147)</f>
      </c>
      <c r="FI147">
        <f>IF(ISBLANK('Data Entry'!$å$147), "", 'Data Entry'!$å$147)</f>
      </c>
      <c r="FJ147">
        <f>IF(ISBLANK('Data Entry'!$æ$147), "", 'Data Entry'!$æ$147)</f>
      </c>
      <c r="FK147">
        <f>IF(ISBLANK('Data Entry'!$ç$147), "", 'Data Entry'!$ç$147)</f>
      </c>
      <c r="FL147">
        <f>IF(ISBLANK('Data Entry'!$è$147), "", 'Data Entry'!$è$147)</f>
      </c>
      <c r="FM147">
        <f>IF(ISBLANK('Data Entry'!$é$147), "", 'Data Entry'!$é$147)</f>
      </c>
      <c r="FN147">
        <f>IF(ISBLANK('Data Entry'!$ê$147), "", 'Data Entry'!$ê$147)</f>
      </c>
      <c r="FO147">
        <f>IF(ISBLANK('Data Entry'!$ë$147), "", 'Data Entry'!$ë$147)</f>
      </c>
      <c r="FP147">
        <f>IF(ISBLANK('Data Entry'!$ì$147), "", 'Data Entry'!$ì$147)</f>
      </c>
      <c r="FQ147">
        <f>IF(ISBLANK('Data Entry'!$í$147), "", 'Data Entry'!$í$147)</f>
      </c>
      <c r="FR147">
        <f>IF(ISBLANK('Data Entry'!$î$147), "", 'Data Entry'!$î$147)</f>
      </c>
      <c r="FS147">
        <f>IF(ISBLANK('Data Entry'!$ï$147), "", 'Data Entry'!$ï$147)</f>
      </c>
      <c r="FT147">
        <f>IF(ISBLANK('Data Entry'!$ð$147), "", 'Data Entry'!$ð$147)</f>
      </c>
      <c r="FU147">
        <f>IF(ISBLANK('Data Entry'!$ñ$147), "", 'Data Entry'!$ñ$147)</f>
      </c>
      <c r="FV147">
        <f>IF(ISBLANK('Data Entry'!$ò$147), "", 'Data Entry'!$ò$147)</f>
      </c>
      <c r="FW147">
        <f>IF(ISBLANK('Data Entry'!$ó$147), "", 'Data Entry'!$ó$147)</f>
      </c>
      <c r="FX147">
        <f>IF(ISBLANK('Data Entry'!$ô$147), "", 'Data Entry'!$ô$147)</f>
      </c>
      <c r="FY147">
        <f>IF(ISBLANK('Data Entry'!$õ$147), "", 'Data Entry'!$õ$147)</f>
      </c>
      <c r="FZ147">
        <f>IF(ISBLANK('Data Entry'!$ö$147), "", 'Data Entry'!$ö$147)</f>
      </c>
      <c r="GA147">
        <f>IF(ISBLANK('Data Entry'!$÷$147), "", 'Data Entry'!$÷$147)</f>
      </c>
      <c r="GB147">
        <f>IF(ISBLANK('Data Entry'!$ø$147), "", 'Data Entry'!$ø$147)</f>
      </c>
      <c r="GC147">
        <f>IF(ISBLANK('Data Entry'!$ù$147), "", 'Data Entry'!$ù$147)</f>
      </c>
      <c r="GD147">
        <f>IF(ISBLANK('Data Entry'!$ú$147), "", 'Data Entry'!$ú$147)</f>
      </c>
      <c r="GE147">
        <f>IF(ISBLANK('Data Entry'!$û$147), "", 'Data Entry'!$û$147)</f>
      </c>
      <c r="GF147">
        <f>IF(ISBLANK('Data Entry'!$ü$147), "", 'Data Entry'!$ü$147)</f>
      </c>
      <c r="GG147">
        <f>IF(ISBLANK('Data Entry'!$ý$147), "", 'Data Entry'!$ý$147)</f>
      </c>
      <c r="GH147">
        <f>IF(ISBLANK('Data Entry'!$þ$147), "", 'Data Entry'!$þ$147)</f>
      </c>
      <c r="GI147">
        <f>IF(ISBLANK('Data Entry'!$ÿ$147), "", 'Data Entry'!$ÿ$147)</f>
      </c>
      <c r="GJ147">
        <f>IF(ISBLANK('Data Entry'!$Ā$147), "", 'Data Entry'!$Ā$147)</f>
      </c>
      <c r="GK147">
        <f>IF(ISBLANK('Data Entry'!$ā$147), "", 'Data Entry'!$ā$147)</f>
      </c>
      <c r="GL147">
        <f>IF(ISBLANK('Data Entry'!$Ă$147), "", 'Data Entry'!$Ă$147)</f>
      </c>
      <c r="GM147">
        <f>IF(ISBLANK('Data Entry'!$ă$147), "", 'Data Entry'!$ă$147)</f>
      </c>
      <c r="GN147">
        <f>IF(ISBLANK('Data Entry'!$Ą$147), "", 'Data Entry'!$Ą$147)</f>
      </c>
      <c r="GO147">
        <f>IF(ISBLANK('Data Entry'!$ą$147), "", 'Data Entry'!$ą$147)</f>
      </c>
      <c r="GP147">
        <f>IF(ISBLANK('Data Entry'!$Ć$147), "", 'Data Entry'!$Ć$147)</f>
      </c>
      <c r="GQ147">
        <f>IF(ISBLANK('Data Entry'!$ć$147), "", 'Data Entry'!$ć$147)</f>
      </c>
      <c r="GR147">
        <f>IF(ISBLANK('Data Entry'!$Ĉ$147), "", 'Data Entry'!$Ĉ$147)</f>
      </c>
      <c r="GS147">
        <f>IF(ISBLANK('Data Entry'!$ĉ$147), "", 'Data Entry'!$ĉ$147)</f>
      </c>
      <c r="GT147">
        <f>IF(ISBLANK('Data Entry'!$Ċ$147), "", 'Data Entry'!$Ċ$147)</f>
      </c>
      <c r="GU147">
        <f>IF(ISBLANK('Data Entry'!$ċ$147), "", 'Data Entry'!$ċ$147)</f>
      </c>
      <c r="GV147">
        <f>IF(ISBLANK('Data Entry'!$Č$147), "", 'Data Entry'!$Č$147)</f>
      </c>
      <c r="GW147">
        <f>IF(ISBLANK('Data Entry'!$č$147), "", 'Data Entry'!$č$147)</f>
      </c>
      <c r="GX147">
        <f>IF(ISBLANK('Data Entry'!$Ď$147), "", 'Data Entry'!$Ď$147)</f>
      </c>
      <c r="GY147">
        <f>IF(ISBLANK('Data Entry'!$ď$147), "", 'Data Entry'!$ď$147)</f>
      </c>
      <c r="GZ147">
        <f>IF(ISBLANK('Data Entry'!$Đ$147), "", 'Data Entry'!$Đ$147)</f>
      </c>
      <c r="HA147">
        <f>IF(ISBLANK('Data Entry'!$đ$147), "", 'Data Entry'!$đ$147)</f>
      </c>
      <c r="HB147">
        <f>IF(ISBLANK('Data Entry'!$Ē$147), "", 'Data Entry'!$Ē$147)</f>
      </c>
      <c r="HC147">
        <f>IF(ISBLANK('Data Entry'!$ē$147), "", 'Data Entry'!$ē$147)</f>
      </c>
      <c r="HD147">
        <f>IF(ISBLANK('Data Entry'!$Ĕ$147), "", 'Data Entry'!$Ĕ$147)</f>
      </c>
      <c r="HE147">
        <f>IF(ISBLANK('Data Entry'!$ĕ$147), "", 'Data Entry'!$ĕ$147)</f>
      </c>
      <c r="HF147">
        <f>IF(ISBLANK('Data Entry'!$Ė$147), "", 'Data Entry'!$Ė$147)</f>
      </c>
      <c r="HG147">
        <f>IF(ISBLANK('Data Entry'!$ė$147), "", 'Data Entry'!$ė$147)</f>
      </c>
      <c r="HH147">
        <f>IF(ISBLANK('Data Entry'!$Ę$147), "", 'Data Entry'!$Ę$147)</f>
      </c>
      <c r="HI147">
        <f>IF(ISBLANK('Data Entry'!$ę$147), "", 'Data Entry'!$ę$147)</f>
      </c>
      <c r="HJ147">
        <f>IF(ISBLANK('Data Entry'!$Ě$147), "", 'Data Entry'!$Ě$147)</f>
      </c>
      <c r="HK147">
        <f>IF(ISBLANK('Data Entry'!$ě$147), "", 'Data Entry'!$ě$147)</f>
      </c>
      <c r="HL147">
        <f>IF(ISBLANK('Data Entry'!$Ĝ$147), "", 'Data Entry'!$Ĝ$147)</f>
      </c>
      <c r="HM147">
        <f>IF(ISBLANK('Data Entry'!$ĝ$147), "", 'Data Entry'!$ĝ$147)</f>
      </c>
      <c r="HN147">
        <f>IF(ISBLANK('Data Entry'!$Ğ$147), "", 'Data Entry'!$Ğ$147)</f>
      </c>
      <c r="HO147">
        <f>IF(ISBLANK('Data Entry'!$ğ$147), "", 'Data Entry'!$ğ$147)</f>
      </c>
      <c r="HP147">
        <f>IF(ISBLANK('Data Entry'!$Ġ$147), "", 'Data Entry'!$Ġ$147)</f>
      </c>
      <c r="HQ147">
        <f>IF(ISBLANK('Data Entry'!$ġ$147), "", 'Data Entry'!$ġ$147)</f>
      </c>
      <c r="HR147">
        <f>IF(ISBLANK('Data Entry'!$Ģ$147), "", 'Data Entry'!$Ģ$147)</f>
      </c>
      <c r="HS147">
        <f>IF(ISBLANK('Data Entry'!$ģ$147), "", 'Data Entry'!$ģ$147)</f>
      </c>
      <c r="HT147">
        <f>IF(ISBLANK('Data Entry'!$Ĥ$147), "", 'Data Entry'!$Ĥ$147)</f>
      </c>
      <c r="HU147">
        <f>IF(ISBLANK('Data Entry'!$ĥ$147), "", 'Data Entry'!$ĥ$147)</f>
      </c>
      <c r="HV147">
        <f>IF(ISBLANK('Data Entry'!$Ħ$147), "", 'Data Entry'!$Ħ$147)</f>
      </c>
      <c r="HW147">
        <f>IF(ISBLANK('Data Entry'!$ħ$147), "", 'Data Entry'!$ħ$147)</f>
      </c>
      <c r="HX147">
        <f>IF(ISBLANK('Data Entry'!$Ĩ$147), "", 'Data Entry'!$Ĩ$147)</f>
      </c>
      <c r="HY147">
        <f>IF(ISBLANK('Data Entry'!$ĩ$147), "", 'Data Entry'!$ĩ$147)</f>
      </c>
      <c r="HZ147">
        <f>IF(ISBLANK('Data Entry'!$Ī$147), "", 'Data Entry'!$Ī$147)</f>
      </c>
      <c r="IA147">
        <f>IF(ISBLANK('Data Entry'!$ī$147), "", 'Data Entry'!$ī$147)</f>
      </c>
      <c r="IB147">
        <f>IF(ISBLANK('Data Entry'!$Ĭ$147), "", 'Data Entry'!$Ĭ$147)</f>
      </c>
      <c r="IC147">
        <f>IF(ISBLANK('Data Entry'!$ĭ$147), "", 'Data Entry'!$ĭ$147)</f>
      </c>
      <c r="ID147">
        <f>IF(ISBLANK('Data Entry'!$Į$147), "", 'Data Entry'!$Į$147)</f>
      </c>
      <c r="IE147">
        <f>IF(ISBLANK('Data Entry'!$į$147), "", 'Data Entry'!$į$147)</f>
      </c>
      <c r="IF147">
        <f>IF(ISBLANK('Data Entry'!$İ$147), "", 'Data Entry'!$İ$147)</f>
      </c>
      <c r="IG147">
        <f>IF(ISBLANK('Data Entry'!$ı$147), "", 'Data Entry'!$ı$147)</f>
      </c>
      <c r="IH147">
        <f>IF(ISBLANK('Data Entry'!$Ĳ$147), "", 'Data Entry'!$Ĳ$147)</f>
      </c>
      <c r="II147">
        <f>IF(ISBLANK('Data Entry'!$ĳ$147), "", 'Data Entry'!$ĳ$147)</f>
      </c>
      <c r="IJ147">
        <f>IF(ISBLANK('Data Entry'!$Ĵ$147), "", 'Data Entry'!$Ĵ$147)</f>
      </c>
      <c r="IK147">
        <f>IF(ISBLANK('Data Entry'!$ĵ$147), "", 'Data Entry'!$ĵ$147)</f>
      </c>
      <c r="IL147">
        <f>IF(ISBLANK('Data Entry'!$Ķ$147), "", 'Data Entry'!$Ķ$147)</f>
      </c>
      <c r="IM147">
        <f>IF(ISBLANK('Data Entry'!$ķ$147), "", 'Data Entry'!$ķ$147)</f>
      </c>
      <c r="IN147">
        <f>IF(ISBLANK('Data Entry'!$ĸ$147), "", 'Data Entry'!$ĸ$147)</f>
      </c>
      <c r="IO147">
        <f>IF(ISBLANK('Data Entry'!$Ĺ$147), "", 'Data Entry'!$Ĺ$147)</f>
      </c>
      <c r="IP147">
        <f>IF(ISBLANK('Data Entry'!$ĺ$147), "", 'Data Entry'!$ĺ$147)</f>
      </c>
      <c r="IQ147">
        <f>IF(ISBLANK('Data Entry'!$Ļ$147), "", 'Data Entry'!$Ļ$147)</f>
      </c>
      <c r="IR147">
        <f>IF(ISBLANK('Data Entry'!$ļ$147), "", 'Data Entry'!$ļ$147)</f>
      </c>
      <c r="IS147">
        <f>IF(ISBLANK('Data Entry'!$Ľ$147), "", 'Data Entry'!$Ľ$147)</f>
      </c>
      <c r="IT147">
        <f>IF(ISBLANK('Data Entry'!$ľ$147), "", 'Data Entry'!$ľ$147)</f>
      </c>
    </row>
    <row r="148" spans="1:254" x14ac:dyDescent="0.25">
      <c r="A148">
        <f>IF(ISBLANK('Data Entry'!$A$148), "", 'Data Entry'!$A$148)</f>
      </c>
      <c r="B148">
        <f>IF(ISBLANK('Data Entry'!$B$148), "", 'Data Entry'!$B$148)</f>
      </c>
      <c r="C148">
        <f>IF(ISBLANK('Data Entry'!$C$148), "", 'Data Entry'!$C$148)</f>
      </c>
      <c r="D148">
        <f>IF(ISBLANK('Data Entry'!$D$148), "", 'Data Entry'!$D$148)</f>
      </c>
      <c r="E148">
        <f>IF(ISBLANK('Data Entry'!$E$148), "", 'Data Entry'!$E$148)</f>
      </c>
      <c r="F148">
        <f>IF(ISBLANK('Data Entry'!$F$148), "", 'Data Entry'!$F$148)</f>
      </c>
      <c r="G148">
        <f>IF(ISBLANK('Data Entry'!$G$148), "", 'Data Entry'!$G$148)</f>
      </c>
      <c r="H148">
        <f>IF(ISBLANK('Data Entry'!$H$148), "", 'Data Entry'!$H$148)</f>
      </c>
      <c r="I148">
        <f>IF(ISBLANK('Data Entry'!$I$148), "", 'Data Entry'!$I$148)</f>
      </c>
      <c r="J148">
        <f>IF(ISBLANK('Data Entry'!$J$148), "", 'Data Entry'!$J$148)</f>
      </c>
      <c r="K148">
        <f>IF(ISBLANK('Data Entry'!$K$148), "", 'Data Entry'!$K$148)</f>
      </c>
      <c r="L148">
        <f>IF(ISBLANK('Data Entry'!$L$148), "", 'Data Entry'!$L$148)</f>
      </c>
      <c r="M148">
        <f>IF(ISBLANK('Data Entry'!$M$148), "", 'Data Entry'!$M$148)</f>
      </c>
      <c r="N148">
        <f>IF(ISBLANK('Data Entry'!$N$148), "", 'Data Entry'!$N$148)</f>
      </c>
      <c r="O148">
        <f>IF(ISBLANK('Data Entry'!$O$148), "", 'Data Entry'!$O$148)</f>
      </c>
      <c r="P148">
        <f>IF(ISBLANK('Data Entry'!$P$148), "", 'Data Entry'!$P$148)</f>
      </c>
      <c r="Q148">
        <f>IF(ISBLANK('Data Entry'!$Q$148), "", 'Data Entry'!$Q$148)</f>
      </c>
      <c r="R148">
        <f>IF(ISBLANK('Data Entry'!$R$148), "", 'Data Entry'!$R$148)</f>
      </c>
      <c r="S148">
        <f>IF(ISBLANK('Data Entry'!$S$148), "", 'Data Entry'!$S$148)</f>
      </c>
      <c r="T148">
        <f>IF(ISBLANK('Data Entry'!$T$148), "", 'Data Entry'!$T$148)</f>
      </c>
      <c r="U148">
        <f>IF(ISBLANK('Data Entry'!$U$148), "", 'Data Entry'!$U$148)</f>
      </c>
      <c r="V148">
        <f>IF(ISBLANK('Data Entry'!$V$148), "", 'Data Entry'!$V$148)</f>
      </c>
      <c r="W148">
        <f>IF(ISBLANK('Data Entry'!$W$148), "", 'Data Entry'!$W$148)</f>
      </c>
      <c r="X148">
        <f>IF(ISBLANK('Data Entry'!$X$148), "", 'Data Entry'!$X$148)</f>
      </c>
      <c r="Y148">
        <f>IF(ISBLANK('Data Entry'!$Y$148), "", 'Data Entry'!$Y$148)</f>
      </c>
      <c r="Z148">
        <f>IF(ISBLANK('Data Entry'!$Z$148), "", 'Data Entry'!$Z$148)</f>
      </c>
      <c r="AA148">
        <f>IF(ISBLANK('Data Entry'!$[$148), "", 'Data Entry'!$[$148)</f>
      </c>
      <c r="AB148">
        <f>IF(ISBLANK('Data Entry'!$\$148), "", 'Data Entry'!$\$148)</f>
      </c>
      <c r="AC148">
        <f>IF(ISBLANK('Data Entry'!$]$148), "", 'Data Entry'!$]$148)</f>
      </c>
      <c r="AD148">
        <f>IF(ISBLANK('Data Entry'!$^$148), "", 'Data Entry'!$^$148)</f>
      </c>
      <c r="AE148">
        <f>IF(ISBLANK('Data Entry'!$_$148), "", 'Data Entry'!$_$148)</f>
      </c>
      <c r="AF148">
        <f>IF(ISBLANK('Data Entry'!$`$148), "", 'Data Entry'!$`$148)</f>
      </c>
      <c r="AG148">
        <f>IF(ISBLANK('Data Entry'!$a$148), "", 'Data Entry'!$a$148)</f>
      </c>
      <c r="AH148">
        <f>IF(ISBLANK('Data Entry'!$b$148), "", 'Data Entry'!$b$148)</f>
      </c>
      <c r="AI148">
        <f>IF(ISBLANK('Data Entry'!$c$148), "", 'Data Entry'!$c$148)</f>
      </c>
      <c r="AJ148">
        <f>IF(ISBLANK('Data Entry'!$d$148), "", 'Data Entry'!$d$148)</f>
      </c>
      <c r="AK148">
        <f>IF(ISBLANK('Data Entry'!$e$148), "", 'Data Entry'!$e$148)</f>
      </c>
      <c r="AL148">
        <f>IF(ISBLANK('Data Entry'!$f$148), "", 'Data Entry'!$f$148)</f>
      </c>
      <c r="AM148">
        <f>IF(ISBLANK('Data Entry'!$g$148), "", 'Data Entry'!$g$148)</f>
      </c>
      <c r="AN148">
        <f>IF(ISBLANK('Data Entry'!$h$148), "", 'Data Entry'!$h$148)</f>
      </c>
      <c r="AO148">
        <f>IF(ISBLANK('Data Entry'!$i$148), "", 'Data Entry'!$i$148)</f>
      </c>
      <c r="AP148">
        <f>IF(ISBLANK('Data Entry'!$j$148), "", 'Data Entry'!$j$148)</f>
      </c>
      <c r="AQ148">
        <f>IF(ISBLANK('Data Entry'!$k$148), "", 'Data Entry'!$k$148)</f>
      </c>
      <c r="AR148">
        <f>IF(ISBLANK('Data Entry'!$l$148), "", 'Data Entry'!$l$148)</f>
      </c>
      <c r="AS148">
        <f>IF(ISBLANK('Data Entry'!$m$148), "", 'Data Entry'!$m$148)</f>
      </c>
      <c r="AT148">
        <f>IF(ISBLANK('Data Entry'!$n$148), "", 'Data Entry'!$n$148)</f>
      </c>
      <c r="AU148">
        <f>IF(ISBLANK('Data Entry'!$o$148), "", 'Data Entry'!$o$148)</f>
      </c>
      <c r="AV148">
        <f>IF(ISBLANK('Data Entry'!$p$148), "", 'Data Entry'!$p$148)</f>
      </c>
      <c r="AW148">
        <f>IF(ISBLANK('Data Entry'!$q$148), "", 'Data Entry'!$q$148)</f>
      </c>
      <c r="AX148">
        <f>IF(ISBLANK('Data Entry'!$r$148), "", 'Data Entry'!$r$148)</f>
      </c>
      <c r="AY148">
        <f>IF(ISBLANK('Data Entry'!$s$148), "", 'Data Entry'!$s$148)</f>
      </c>
      <c r="AZ148">
        <f>IF(ISBLANK('Data Entry'!$t$148), "", 'Data Entry'!$t$148)</f>
      </c>
      <c r="BA148">
        <f>IF(ISBLANK('Data Entry'!$u$148), "", 'Data Entry'!$u$148)</f>
      </c>
      <c r="BB148">
        <f>IF(ISBLANK('Data Entry'!$v$148), "", 'Data Entry'!$v$148)</f>
      </c>
      <c r="BC148">
        <f>IF(ISBLANK('Data Entry'!$w$148), "", 'Data Entry'!$w$148)</f>
      </c>
      <c r="BD148">
        <f>IF(ISBLANK('Data Entry'!$x$148), "", 'Data Entry'!$x$148)</f>
      </c>
      <c r="BE148">
        <f>IF(ISBLANK('Data Entry'!$y$148), "", 'Data Entry'!$y$148)</f>
      </c>
      <c r="BF148">
        <f>IF(ISBLANK('Data Entry'!$z$148), "", 'Data Entry'!$z$148)</f>
      </c>
      <c r="BG148">
        <f>IF(ISBLANK('Data Entry'!${$148), "", 'Data Entry'!${$148)</f>
      </c>
      <c r="BH148">
        <f>IF(ISBLANK('Data Entry'!$|$148), "", 'Data Entry'!$|$148)</f>
      </c>
      <c r="BI148">
        <f>IF(ISBLANK('Data Entry'!$}$148), "", 'Data Entry'!$}$148)</f>
      </c>
      <c r="BJ148">
        <f>IF(ISBLANK('Data Entry'!$~$148), "", 'Data Entry'!$~$148)</f>
      </c>
      <c r="BK148">
        <f>IF(ISBLANK('Data Entry'!$$148), "", 'Data Entry'!$$148)</f>
      </c>
      <c r="BL148">
        <f>IF(ISBLANK('Data Entry'!$$148), "", 'Data Entry'!$$148)</f>
      </c>
      <c r="BM148">
        <f>IF(ISBLANK('Data Entry'!$$148), "", 'Data Entry'!$$148)</f>
      </c>
      <c r="BN148">
        <f>IF(ISBLANK('Data Entry'!$$148), "", 'Data Entry'!$$148)</f>
      </c>
      <c r="BO148">
        <f>IF(ISBLANK('Data Entry'!$$148), "", 'Data Entry'!$$148)</f>
      </c>
      <c r="BP148">
        <f>IF(ISBLANK('Data Entry'!$$148), "", 'Data Entry'!$$148)</f>
      </c>
      <c r="BQ148">
        <f>IF(ISBLANK('Data Entry'!$$148), "", 'Data Entry'!$$148)</f>
      </c>
      <c r="BR148">
        <f>IF(ISBLANK('Data Entry'!$$148), "", 'Data Entry'!$$148)</f>
      </c>
      <c r="BS148">
        <f>IF(ISBLANK('Data Entry'!$$148), "", 'Data Entry'!$$148)</f>
      </c>
      <c r="BT148">
        <f>IF(ISBLANK('Data Entry'!$$148), "", 'Data Entry'!$$148)</f>
      </c>
      <c r="BU148">
        <f>IF(ISBLANK('Data Entry'!$$148), "", 'Data Entry'!$$148)</f>
      </c>
      <c r="BV148">
        <f>IF(ISBLANK('Data Entry'!$$148), "", 'Data Entry'!$$148)</f>
      </c>
      <c r="BW148">
        <f>IF(ISBLANK('Data Entry'!$$148), "", 'Data Entry'!$$148)</f>
      </c>
      <c r="BX148">
        <f>IF(ISBLANK('Data Entry'!$$148), "", 'Data Entry'!$$148)</f>
      </c>
      <c r="BY148">
        <f>IF(ISBLANK('Data Entry'!$$148), "", 'Data Entry'!$$148)</f>
      </c>
      <c r="BZ148">
        <f>IF(ISBLANK('Data Entry'!$$148), "", 'Data Entry'!$$148)</f>
      </c>
      <c r="CA148">
        <f>IF(ISBLANK('Data Entry'!$$148), "", 'Data Entry'!$$148)</f>
      </c>
      <c r="CB148">
        <f>IF(ISBLANK('Data Entry'!$$148), "", 'Data Entry'!$$148)</f>
      </c>
      <c r="CC148">
        <f>IF(ISBLANK('Data Entry'!$$148), "", 'Data Entry'!$$148)</f>
      </c>
      <c r="CD148">
        <f>IF(ISBLANK('Data Entry'!$$148), "", 'Data Entry'!$$148)</f>
      </c>
      <c r="CE148">
        <f>IF(ISBLANK('Data Entry'!$$148), "", 'Data Entry'!$$148)</f>
      </c>
      <c r="CF148">
        <f>IF(ISBLANK('Data Entry'!$$148), "", 'Data Entry'!$$148)</f>
      </c>
      <c r="CG148">
        <f>IF(ISBLANK('Data Entry'!$$148), "", 'Data Entry'!$$148)</f>
      </c>
      <c r="CH148">
        <f>IF(ISBLANK('Data Entry'!$$148), "", 'Data Entry'!$$148)</f>
      </c>
      <c r="CI148">
        <f>IF(ISBLANK('Data Entry'!$$148), "", 'Data Entry'!$$148)</f>
      </c>
      <c r="CJ148">
        <f>IF(ISBLANK('Data Entry'!$$148), "", 'Data Entry'!$$148)</f>
      </c>
      <c r="CK148">
        <f>IF(ISBLANK('Data Entry'!$$148), "", 'Data Entry'!$$148)</f>
      </c>
      <c r="CL148">
        <f>IF(ISBLANK('Data Entry'!$$148), "", 'Data Entry'!$$148)</f>
      </c>
      <c r="CM148">
        <f>IF(ISBLANK('Data Entry'!$$148), "", 'Data Entry'!$$148)</f>
      </c>
      <c r="CN148">
        <f>IF(ISBLANK('Data Entry'!$$148), "", 'Data Entry'!$$148)</f>
      </c>
      <c r="CO148">
        <f>IF(ISBLANK('Data Entry'!$$148), "", 'Data Entry'!$$148)</f>
      </c>
      <c r="CP148">
        <f>IF(ISBLANK('Data Entry'!$$148), "", 'Data Entry'!$$148)</f>
      </c>
      <c r="CQ148">
        <f>IF(ISBLANK('Data Entry'!$$148), "", 'Data Entry'!$$148)</f>
      </c>
      <c r="CR148">
        <f>IF(ISBLANK('Data Entry'!$ $148), "", 'Data Entry'!$ $148)</f>
      </c>
      <c r="CS148">
        <f>IF(ISBLANK('Data Entry'!$¡$148), "", 'Data Entry'!$¡$148)</f>
      </c>
      <c r="CT148">
        <f>IF(ISBLANK('Data Entry'!$¢$148), "", 'Data Entry'!$¢$148)</f>
      </c>
      <c r="CU148">
        <f>IF(ISBLANK('Data Entry'!$£$148), "", 'Data Entry'!$£$148)</f>
      </c>
      <c r="CV148">
        <f>IF(ISBLANK('Data Entry'!$¤$148), "", 'Data Entry'!$¤$148)</f>
      </c>
      <c r="CW148">
        <f>IF(ISBLANK('Data Entry'!$¥$148), "", 'Data Entry'!$¥$148)</f>
      </c>
      <c r="CX148">
        <f>IF(ISBLANK('Data Entry'!$¦$148), "", 'Data Entry'!$¦$148)</f>
      </c>
      <c r="CY148">
        <f>IF(ISBLANK('Data Entry'!$§$148), "", 'Data Entry'!$§$148)</f>
      </c>
      <c r="CZ148">
        <f>IF(ISBLANK('Data Entry'!$¨$148), "", 'Data Entry'!$¨$148)</f>
      </c>
      <c r="DA148">
        <f>IF(ISBLANK('Data Entry'!$©$148), "", 'Data Entry'!$©$148)</f>
      </c>
      <c r="DB148">
        <f>IF(ISBLANK('Data Entry'!$ª$148), "", 'Data Entry'!$ª$148)</f>
      </c>
      <c r="DC148">
        <f>IF(ISBLANK('Data Entry'!$«$148), "", 'Data Entry'!$«$148)</f>
      </c>
      <c r="DD148">
        <f>IF(ISBLANK('Data Entry'!$¬$148), "", 'Data Entry'!$¬$148)</f>
      </c>
      <c r="DE148">
        <f>IF(ISBLANK('Data Entry'!$­$148), "", 'Data Entry'!$­$148)</f>
      </c>
      <c r="DF148">
        <f>IF(ISBLANK('Data Entry'!$®$148), "", 'Data Entry'!$®$148)</f>
      </c>
      <c r="DG148">
        <f>IF(ISBLANK('Data Entry'!$¯$148), "", 'Data Entry'!$¯$148)</f>
      </c>
      <c r="DH148">
        <f>IF(ISBLANK('Data Entry'!$°$148), "", 'Data Entry'!$°$148)</f>
      </c>
      <c r="DI148">
        <f>IF(ISBLANK('Data Entry'!$±$148), "", 'Data Entry'!$±$148)</f>
      </c>
      <c r="DJ148">
        <f>IF(ISBLANK('Data Entry'!$²$148), "", 'Data Entry'!$²$148)</f>
      </c>
      <c r="DK148">
        <f>IF(ISBLANK('Data Entry'!$³$148), "", 'Data Entry'!$³$148)</f>
      </c>
      <c r="DL148">
        <f>IF(ISBLANK('Data Entry'!$´$148), "", 'Data Entry'!$´$148)</f>
      </c>
      <c r="DM148">
        <f>IF(ISBLANK('Data Entry'!$µ$148), "", 'Data Entry'!$µ$148)</f>
      </c>
      <c r="DN148">
        <f>IF(ISBLANK('Data Entry'!$¶$148), "", 'Data Entry'!$¶$148)</f>
      </c>
      <c r="DO148">
        <f>IF(ISBLANK('Data Entry'!$·$148), "", 'Data Entry'!$·$148)</f>
      </c>
      <c r="DP148">
        <f>IF(ISBLANK('Data Entry'!$¸$148), "", 'Data Entry'!$¸$148)</f>
      </c>
      <c r="DQ148">
        <f>IF(ISBLANK('Data Entry'!$¹$148), "", 'Data Entry'!$¹$148)</f>
      </c>
      <c r="DR148">
        <f>IF(ISBLANK('Data Entry'!$º$148), "", 'Data Entry'!$º$148)</f>
      </c>
      <c r="DS148">
        <f>IF(ISBLANK('Data Entry'!$»$148), "", 'Data Entry'!$»$148)</f>
      </c>
      <c r="DT148">
        <f>IF(ISBLANK('Data Entry'!$¼$148), "", 'Data Entry'!$¼$148)</f>
      </c>
      <c r="DU148">
        <f>IF(ISBLANK('Data Entry'!$½$148), "", 'Data Entry'!$½$148)</f>
      </c>
      <c r="DV148">
        <f>IF(ISBLANK('Data Entry'!$¾$148), "", 'Data Entry'!$¾$148)</f>
      </c>
      <c r="DW148">
        <f>IF(ISBLANK('Data Entry'!$¿$148), "", 'Data Entry'!$¿$148)</f>
      </c>
      <c r="DX148">
        <f>IF(ISBLANK('Data Entry'!$À$148), "", 'Data Entry'!$À$148)</f>
      </c>
      <c r="DY148">
        <f>IF(ISBLANK('Data Entry'!$Á$148), "", 'Data Entry'!$Á$148)</f>
      </c>
      <c r="DZ148">
        <f>IF(ISBLANK('Data Entry'!$Â$148), "", 'Data Entry'!$Â$148)</f>
      </c>
      <c r="EA148">
        <f>IF(ISBLANK('Data Entry'!$Ã$148), "", 'Data Entry'!$Ã$148)</f>
      </c>
      <c r="EB148">
        <f>IF(ISBLANK('Data Entry'!$Ä$148), "", 'Data Entry'!$Ä$148)</f>
      </c>
      <c r="EC148">
        <f>IF(ISBLANK('Data Entry'!$Å$148), "", 'Data Entry'!$Å$148)</f>
      </c>
      <c r="ED148">
        <f>IF(ISBLANK('Data Entry'!$Æ$148), "", 'Data Entry'!$Æ$148)</f>
      </c>
      <c r="EE148">
        <f>IF(ISBLANK('Data Entry'!$Ç$148), "", 'Data Entry'!$Ç$148)</f>
      </c>
      <c r="EF148">
        <f>IF(ISBLANK('Data Entry'!$È$148), "", 'Data Entry'!$È$148)</f>
      </c>
      <c r="EG148">
        <f>IF(ISBLANK('Data Entry'!$É$148), "", 'Data Entry'!$É$148)</f>
      </c>
      <c r="EH148">
        <f>IF(ISBLANK('Data Entry'!$Ê$148), "", 'Data Entry'!$Ê$148)</f>
      </c>
      <c r="EI148">
        <f>IF(ISBLANK('Data Entry'!$Ë$148), "", 'Data Entry'!$Ë$148)</f>
      </c>
      <c r="EJ148">
        <f>IF(ISBLANK('Data Entry'!$Ì$148), "", 'Data Entry'!$Ì$148)</f>
      </c>
      <c r="EK148">
        <f>IF(ISBLANK('Data Entry'!$Í$148), "", 'Data Entry'!$Í$148)</f>
      </c>
      <c r="EL148">
        <f>IF(ISBLANK('Data Entry'!$Î$148), "", 'Data Entry'!$Î$148)</f>
      </c>
      <c r="EM148">
        <f>IF(ISBLANK('Data Entry'!$Ï$148), "", 'Data Entry'!$Ï$148)</f>
      </c>
      <c r="EN148">
        <f>IF(ISBLANK('Data Entry'!$Ð$148), "", 'Data Entry'!$Ð$148)</f>
      </c>
      <c r="EO148">
        <f>IF(ISBLANK('Data Entry'!$Ñ$148), "", 'Data Entry'!$Ñ$148)</f>
      </c>
      <c r="EP148">
        <f>IF(ISBLANK('Data Entry'!$Ò$148), "", 'Data Entry'!$Ò$148)</f>
      </c>
      <c r="EQ148">
        <f>IF(ISBLANK('Data Entry'!$Ó$148), "", 'Data Entry'!$Ó$148)</f>
      </c>
      <c r="ER148">
        <f>IF(ISBLANK('Data Entry'!$Ô$148), "", 'Data Entry'!$Ô$148)</f>
      </c>
      <c r="ES148">
        <f>IF(ISBLANK('Data Entry'!$Õ$148), "", 'Data Entry'!$Õ$148)</f>
      </c>
      <c r="ET148">
        <f>IF(ISBLANK('Data Entry'!$Ö$148), "", 'Data Entry'!$Ö$148)</f>
      </c>
      <c r="EU148">
        <f>IF(ISBLANK('Data Entry'!$×$148), "", 'Data Entry'!$×$148)</f>
      </c>
      <c r="EV148">
        <f>IF(ISBLANK('Data Entry'!$Ø$148), "", 'Data Entry'!$Ø$148)</f>
      </c>
      <c r="EW148">
        <f>IF(ISBLANK('Data Entry'!$Ù$148), "", 'Data Entry'!$Ù$148)</f>
      </c>
      <c r="EX148">
        <f>IF(ISBLANK('Data Entry'!$Ú$148), "", 'Data Entry'!$Ú$148)</f>
      </c>
      <c r="EY148">
        <f>IF(ISBLANK('Data Entry'!$Û$148), "", 'Data Entry'!$Û$148)</f>
      </c>
      <c r="EZ148">
        <f>IF(ISBLANK('Data Entry'!$Ü$148), "", 'Data Entry'!$Ü$148)</f>
      </c>
      <c r="FA148">
        <f>IF(ISBLANK('Data Entry'!$Ý$148), "", 'Data Entry'!$Ý$148)</f>
      </c>
      <c r="FB148">
        <f>IF(ISBLANK('Data Entry'!$Þ$148), "", 'Data Entry'!$Þ$148)</f>
      </c>
      <c r="FC148">
        <f>IF(ISBLANK('Data Entry'!$ß$148), "", 'Data Entry'!$ß$148)</f>
      </c>
      <c r="FD148">
        <f>IF(ISBLANK('Data Entry'!$à$148), "", 'Data Entry'!$à$148)</f>
      </c>
      <c r="FE148">
        <f>IF(ISBLANK('Data Entry'!$á$148), "", 'Data Entry'!$á$148)</f>
      </c>
      <c r="FF148">
        <f>IF(ISBLANK('Data Entry'!$â$148), "", 'Data Entry'!$â$148)</f>
      </c>
      <c r="FG148">
        <f>IF(ISBLANK('Data Entry'!$ã$148), "", 'Data Entry'!$ã$148)</f>
      </c>
      <c r="FH148">
        <f>IF(ISBLANK('Data Entry'!$ä$148), "", 'Data Entry'!$ä$148)</f>
      </c>
      <c r="FI148">
        <f>IF(ISBLANK('Data Entry'!$å$148), "", 'Data Entry'!$å$148)</f>
      </c>
      <c r="FJ148">
        <f>IF(ISBLANK('Data Entry'!$æ$148), "", 'Data Entry'!$æ$148)</f>
      </c>
      <c r="FK148">
        <f>IF(ISBLANK('Data Entry'!$ç$148), "", 'Data Entry'!$ç$148)</f>
      </c>
      <c r="FL148">
        <f>IF(ISBLANK('Data Entry'!$è$148), "", 'Data Entry'!$è$148)</f>
      </c>
      <c r="FM148">
        <f>IF(ISBLANK('Data Entry'!$é$148), "", 'Data Entry'!$é$148)</f>
      </c>
      <c r="FN148">
        <f>IF(ISBLANK('Data Entry'!$ê$148), "", 'Data Entry'!$ê$148)</f>
      </c>
      <c r="FO148">
        <f>IF(ISBLANK('Data Entry'!$ë$148), "", 'Data Entry'!$ë$148)</f>
      </c>
      <c r="FP148">
        <f>IF(ISBLANK('Data Entry'!$ì$148), "", 'Data Entry'!$ì$148)</f>
      </c>
      <c r="FQ148">
        <f>IF(ISBLANK('Data Entry'!$í$148), "", 'Data Entry'!$í$148)</f>
      </c>
      <c r="FR148">
        <f>IF(ISBLANK('Data Entry'!$î$148), "", 'Data Entry'!$î$148)</f>
      </c>
      <c r="FS148">
        <f>IF(ISBLANK('Data Entry'!$ï$148), "", 'Data Entry'!$ï$148)</f>
      </c>
      <c r="FT148">
        <f>IF(ISBLANK('Data Entry'!$ð$148), "", 'Data Entry'!$ð$148)</f>
      </c>
      <c r="FU148">
        <f>IF(ISBLANK('Data Entry'!$ñ$148), "", 'Data Entry'!$ñ$148)</f>
      </c>
      <c r="FV148">
        <f>IF(ISBLANK('Data Entry'!$ò$148), "", 'Data Entry'!$ò$148)</f>
      </c>
      <c r="FW148">
        <f>IF(ISBLANK('Data Entry'!$ó$148), "", 'Data Entry'!$ó$148)</f>
      </c>
      <c r="FX148">
        <f>IF(ISBLANK('Data Entry'!$ô$148), "", 'Data Entry'!$ô$148)</f>
      </c>
      <c r="FY148">
        <f>IF(ISBLANK('Data Entry'!$õ$148), "", 'Data Entry'!$õ$148)</f>
      </c>
      <c r="FZ148">
        <f>IF(ISBLANK('Data Entry'!$ö$148), "", 'Data Entry'!$ö$148)</f>
      </c>
      <c r="GA148">
        <f>IF(ISBLANK('Data Entry'!$÷$148), "", 'Data Entry'!$÷$148)</f>
      </c>
      <c r="GB148">
        <f>IF(ISBLANK('Data Entry'!$ø$148), "", 'Data Entry'!$ø$148)</f>
      </c>
      <c r="GC148">
        <f>IF(ISBLANK('Data Entry'!$ù$148), "", 'Data Entry'!$ù$148)</f>
      </c>
      <c r="GD148">
        <f>IF(ISBLANK('Data Entry'!$ú$148), "", 'Data Entry'!$ú$148)</f>
      </c>
      <c r="GE148">
        <f>IF(ISBLANK('Data Entry'!$û$148), "", 'Data Entry'!$û$148)</f>
      </c>
      <c r="GF148">
        <f>IF(ISBLANK('Data Entry'!$ü$148), "", 'Data Entry'!$ü$148)</f>
      </c>
      <c r="GG148">
        <f>IF(ISBLANK('Data Entry'!$ý$148), "", 'Data Entry'!$ý$148)</f>
      </c>
      <c r="GH148">
        <f>IF(ISBLANK('Data Entry'!$þ$148), "", 'Data Entry'!$þ$148)</f>
      </c>
      <c r="GI148">
        <f>IF(ISBLANK('Data Entry'!$ÿ$148), "", 'Data Entry'!$ÿ$148)</f>
      </c>
      <c r="GJ148">
        <f>IF(ISBLANK('Data Entry'!$Ā$148), "", 'Data Entry'!$Ā$148)</f>
      </c>
      <c r="GK148">
        <f>IF(ISBLANK('Data Entry'!$ā$148), "", 'Data Entry'!$ā$148)</f>
      </c>
      <c r="GL148">
        <f>IF(ISBLANK('Data Entry'!$Ă$148), "", 'Data Entry'!$Ă$148)</f>
      </c>
      <c r="GM148">
        <f>IF(ISBLANK('Data Entry'!$ă$148), "", 'Data Entry'!$ă$148)</f>
      </c>
      <c r="GN148">
        <f>IF(ISBLANK('Data Entry'!$Ą$148), "", 'Data Entry'!$Ą$148)</f>
      </c>
      <c r="GO148">
        <f>IF(ISBLANK('Data Entry'!$ą$148), "", 'Data Entry'!$ą$148)</f>
      </c>
      <c r="GP148">
        <f>IF(ISBLANK('Data Entry'!$Ć$148), "", 'Data Entry'!$Ć$148)</f>
      </c>
      <c r="GQ148">
        <f>IF(ISBLANK('Data Entry'!$ć$148), "", 'Data Entry'!$ć$148)</f>
      </c>
      <c r="GR148">
        <f>IF(ISBLANK('Data Entry'!$Ĉ$148), "", 'Data Entry'!$Ĉ$148)</f>
      </c>
      <c r="GS148">
        <f>IF(ISBLANK('Data Entry'!$ĉ$148), "", 'Data Entry'!$ĉ$148)</f>
      </c>
      <c r="GT148">
        <f>IF(ISBLANK('Data Entry'!$Ċ$148), "", 'Data Entry'!$Ċ$148)</f>
      </c>
      <c r="GU148">
        <f>IF(ISBLANK('Data Entry'!$ċ$148), "", 'Data Entry'!$ċ$148)</f>
      </c>
      <c r="GV148">
        <f>IF(ISBLANK('Data Entry'!$Č$148), "", 'Data Entry'!$Č$148)</f>
      </c>
      <c r="GW148">
        <f>IF(ISBLANK('Data Entry'!$č$148), "", 'Data Entry'!$č$148)</f>
      </c>
      <c r="GX148">
        <f>IF(ISBLANK('Data Entry'!$Ď$148), "", 'Data Entry'!$Ď$148)</f>
      </c>
      <c r="GY148">
        <f>IF(ISBLANK('Data Entry'!$ď$148), "", 'Data Entry'!$ď$148)</f>
      </c>
      <c r="GZ148">
        <f>IF(ISBLANK('Data Entry'!$Đ$148), "", 'Data Entry'!$Đ$148)</f>
      </c>
      <c r="HA148">
        <f>IF(ISBLANK('Data Entry'!$đ$148), "", 'Data Entry'!$đ$148)</f>
      </c>
      <c r="HB148">
        <f>IF(ISBLANK('Data Entry'!$Ē$148), "", 'Data Entry'!$Ē$148)</f>
      </c>
      <c r="HC148">
        <f>IF(ISBLANK('Data Entry'!$ē$148), "", 'Data Entry'!$ē$148)</f>
      </c>
      <c r="HD148">
        <f>IF(ISBLANK('Data Entry'!$Ĕ$148), "", 'Data Entry'!$Ĕ$148)</f>
      </c>
      <c r="HE148">
        <f>IF(ISBLANK('Data Entry'!$ĕ$148), "", 'Data Entry'!$ĕ$148)</f>
      </c>
      <c r="HF148">
        <f>IF(ISBLANK('Data Entry'!$Ė$148), "", 'Data Entry'!$Ė$148)</f>
      </c>
      <c r="HG148">
        <f>IF(ISBLANK('Data Entry'!$ė$148), "", 'Data Entry'!$ė$148)</f>
      </c>
      <c r="HH148">
        <f>IF(ISBLANK('Data Entry'!$Ę$148), "", 'Data Entry'!$Ę$148)</f>
      </c>
      <c r="HI148">
        <f>IF(ISBLANK('Data Entry'!$ę$148), "", 'Data Entry'!$ę$148)</f>
      </c>
      <c r="HJ148">
        <f>IF(ISBLANK('Data Entry'!$Ě$148), "", 'Data Entry'!$Ě$148)</f>
      </c>
      <c r="HK148">
        <f>IF(ISBLANK('Data Entry'!$ě$148), "", 'Data Entry'!$ě$148)</f>
      </c>
      <c r="HL148">
        <f>IF(ISBLANK('Data Entry'!$Ĝ$148), "", 'Data Entry'!$Ĝ$148)</f>
      </c>
      <c r="HM148">
        <f>IF(ISBLANK('Data Entry'!$ĝ$148), "", 'Data Entry'!$ĝ$148)</f>
      </c>
      <c r="HN148">
        <f>IF(ISBLANK('Data Entry'!$Ğ$148), "", 'Data Entry'!$Ğ$148)</f>
      </c>
      <c r="HO148">
        <f>IF(ISBLANK('Data Entry'!$ğ$148), "", 'Data Entry'!$ğ$148)</f>
      </c>
      <c r="HP148">
        <f>IF(ISBLANK('Data Entry'!$Ġ$148), "", 'Data Entry'!$Ġ$148)</f>
      </c>
      <c r="HQ148">
        <f>IF(ISBLANK('Data Entry'!$ġ$148), "", 'Data Entry'!$ġ$148)</f>
      </c>
      <c r="HR148">
        <f>IF(ISBLANK('Data Entry'!$Ģ$148), "", 'Data Entry'!$Ģ$148)</f>
      </c>
      <c r="HS148">
        <f>IF(ISBLANK('Data Entry'!$ģ$148), "", 'Data Entry'!$ģ$148)</f>
      </c>
      <c r="HT148">
        <f>IF(ISBLANK('Data Entry'!$Ĥ$148), "", 'Data Entry'!$Ĥ$148)</f>
      </c>
      <c r="HU148">
        <f>IF(ISBLANK('Data Entry'!$ĥ$148), "", 'Data Entry'!$ĥ$148)</f>
      </c>
      <c r="HV148">
        <f>IF(ISBLANK('Data Entry'!$Ħ$148), "", 'Data Entry'!$Ħ$148)</f>
      </c>
      <c r="HW148">
        <f>IF(ISBLANK('Data Entry'!$ħ$148), "", 'Data Entry'!$ħ$148)</f>
      </c>
      <c r="HX148">
        <f>IF(ISBLANK('Data Entry'!$Ĩ$148), "", 'Data Entry'!$Ĩ$148)</f>
      </c>
      <c r="HY148">
        <f>IF(ISBLANK('Data Entry'!$ĩ$148), "", 'Data Entry'!$ĩ$148)</f>
      </c>
      <c r="HZ148">
        <f>IF(ISBLANK('Data Entry'!$Ī$148), "", 'Data Entry'!$Ī$148)</f>
      </c>
      <c r="IA148">
        <f>IF(ISBLANK('Data Entry'!$ī$148), "", 'Data Entry'!$ī$148)</f>
      </c>
      <c r="IB148">
        <f>IF(ISBLANK('Data Entry'!$Ĭ$148), "", 'Data Entry'!$Ĭ$148)</f>
      </c>
      <c r="IC148">
        <f>IF(ISBLANK('Data Entry'!$ĭ$148), "", 'Data Entry'!$ĭ$148)</f>
      </c>
      <c r="ID148">
        <f>IF(ISBLANK('Data Entry'!$Į$148), "", 'Data Entry'!$Į$148)</f>
      </c>
      <c r="IE148">
        <f>IF(ISBLANK('Data Entry'!$į$148), "", 'Data Entry'!$į$148)</f>
      </c>
      <c r="IF148">
        <f>IF(ISBLANK('Data Entry'!$İ$148), "", 'Data Entry'!$İ$148)</f>
      </c>
      <c r="IG148">
        <f>IF(ISBLANK('Data Entry'!$ı$148), "", 'Data Entry'!$ı$148)</f>
      </c>
      <c r="IH148">
        <f>IF(ISBLANK('Data Entry'!$Ĳ$148), "", 'Data Entry'!$Ĳ$148)</f>
      </c>
      <c r="II148">
        <f>IF(ISBLANK('Data Entry'!$ĳ$148), "", 'Data Entry'!$ĳ$148)</f>
      </c>
      <c r="IJ148">
        <f>IF(ISBLANK('Data Entry'!$Ĵ$148), "", 'Data Entry'!$Ĵ$148)</f>
      </c>
      <c r="IK148">
        <f>IF(ISBLANK('Data Entry'!$ĵ$148), "", 'Data Entry'!$ĵ$148)</f>
      </c>
      <c r="IL148">
        <f>IF(ISBLANK('Data Entry'!$Ķ$148), "", 'Data Entry'!$Ķ$148)</f>
      </c>
      <c r="IM148">
        <f>IF(ISBLANK('Data Entry'!$ķ$148), "", 'Data Entry'!$ķ$148)</f>
      </c>
      <c r="IN148">
        <f>IF(ISBLANK('Data Entry'!$ĸ$148), "", 'Data Entry'!$ĸ$148)</f>
      </c>
      <c r="IO148">
        <f>IF(ISBLANK('Data Entry'!$Ĺ$148), "", 'Data Entry'!$Ĺ$148)</f>
      </c>
      <c r="IP148">
        <f>IF(ISBLANK('Data Entry'!$ĺ$148), "", 'Data Entry'!$ĺ$148)</f>
      </c>
      <c r="IQ148">
        <f>IF(ISBLANK('Data Entry'!$Ļ$148), "", 'Data Entry'!$Ļ$148)</f>
      </c>
      <c r="IR148">
        <f>IF(ISBLANK('Data Entry'!$ļ$148), "", 'Data Entry'!$ļ$148)</f>
      </c>
      <c r="IS148">
        <f>IF(ISBLANK('Data Entry'!$Ľ$148), "", 'Data Entry'!$Ľ$148)</f>
      </c>
      <c r="IT148">
        <f>IF(ISBLANK('Data Entry'!$ľ$148), "", 'Data Entry'!$ľ$148)</f>
      </c>
    </row>
    <row r="149" spans="1:254" x14ac:dyDescent="0.25">
      <c r="A149">
        <f>IF(ISBLANK('Data Entry'!$A$149), "", 'Data Entry'!$A$149)</f>
      </c>
      <c r="B149">
        <f>IF(ISBLANK('Data Entry'!$B$149), "", 'Data Entry'!$B$149)</f>
      </c>
      <c r="C149">
        <f>IF(ISBLANK('Data Entry'!$C$149), "", 'Data Entry'!$C$149)</f>
      </c>
      <c r="D149">
        <f>IF(ISBLANK('Data Entry'!$D$149), "", 'Data Entry'!$D$149)</f>
      </c>
      <c r="E149">
        <f>IF(ISBLANK('Data Entry'!$E$149), "", 'Data Entry'!$E$149)</f>
      </c>
      <c r="F149">
        <f>IF(ISBLANK('Data Entry'!$F$149), "", 'Data Entry'!$F$149)</f>
      </c>
      <c r="G149">
        <f>IF(ISBLANK('Data Entry'!$G$149), "", 'Data Entry'!$G$149)</f>
      </c>
      <c r="H149">
        <f>IF(ISBLANK('Data Entry'!$H$149), "", 'Data Entry'!$H$149)</f>
      </c>
      <c r="I149">
        <f>IF(ISBLANK('Data Entry'!$I$149), "", 'Data Entry'!$I$149)</f>
      </c>
      <c r="J149">
        <f>IF(ISBLANK('Data Entry'!$J$149), "", 'Data Entry'!$J$149)</f>
      </c>
      <c r="K149">
        <f>IF(ISBLANK('Data Entry'!$K$149), "", 'Data Entry'!$K$149)</f>
      </c>
      <c r="L149">
        <f>IF(ISBLANK('Data Entry'!$L$149), "", 'Data Entry'!$L$149)</f>
      </c>
      <c r="M149">
        <f>IF(ISBLANK('Data Entry'!$M$149), "", 'Data Entry'!$M$149)</f>
      </c>
      <c r="N149">
        <f>IF(ISBLANK('Data Entry'!$N$149), "", 'Data Entry'!$N$149)</f>
      </c>
      <c r="O149">
        <f>IF(ISBLANK('Data Entry'!$O$149), "", 'Data Entry'!$O$149)</f>
      </c>
      <c r="P149">
        <f>IF(ISBLANK('Data Entry'!$P$149), "", 'Data Entry'!$P$149)</f>
      </c>
      <c r="Q149">
        <f>IF(ISBLANK('Data Entry'!$Q$149), "", 'Data Entry'!$Q$149)</f>
      </c>
      <c r="R149">
        <f>IF(ISBLANK('Data Entry'!$R$149), "", 'Data Entry'!$R$149)</f>
      </c>
      <c r="S149">
        <f>IF(ISBLANK('Data Entry'!$S$149), "", 'Data Entry'!$S$149)</f>
      </c>
      <c r="T149">
        <f>IF(ISBLANK('Data Entry'!$T$149), "", 'Data Entry'!$T$149)</f>
      </c>
      <c r="U149">
        <f>IF(ISBLANK('Data Entry'!$U$149), "", 'Data Entry'!$U$149)</f>
      </c>
      <c r="V149">
        <f>IF(ISBLANK('Data Entry'!$V$149), "", 'Data Entry'!$V$149)</f>
      </c>
      <c r="W149">
        <f>IF(ISBLANK('Data Entry'!$W$149), "", 'Data Entry'!$W$149)</f>
      </c>
      <c r="X149">
        <f>IF(ISBLANK('Data Entry'!$X$149), "", 'Data Entry'!$X$149)</f>
      </c>
      <c r="Y149">
        <f>IF(ISBLANK('Data Entry'!$Y$149), "", 'Data Entry'!$Y$149)</f>
      </c>
      <c r="Z149">
        <f>IF(ISBLANK('Data Entry'!$Z$149), "", 'Data Entry'!$Z$149)</f>
      </c>
      <c r="AA149">
        <f>IF(ISBLANK('Data Entry'!$[$149), "", 'Data Entry'!$[$149)</f>
      </c>
      <c r="AB149">
        <f>IF(ISBLANK('Data Entry'!$\$149), "", 'Data Entry'!$\$149)</f>
      </c>
      <c r="AC149">
        <f>IF(ISBLANK('Data Entry'!$]$149), "", 'Data Entry'!$]$149)</f>
      </c>
      <c r="AD149">
        <f>IF(ISBLANK('Data Entry'!$^$149), "", 'Data Entry'!$^$149)</f>
      </c>
      <c r="AE149">
        <f>IF(ISBLANK('Data Entry'!$_$149), "", 'Data Entry'!$_$149)</f>
      </c>
      <c r="AF149">
        <f>IF(ISBLANK('Data Entry'!$`$149), "", 'Data Entry'!$`$149)</f>
      </c>
      <c r="AG149">
        <f>IF(ISBLANK('Data Entry'!$a$149), "", 'Data Entry'!$a$149)</f>
      </c>
      <c r="AH149">
        <f>IF(ISBLANK('Data Entry'!$b$149), "", 'Data Entry'!$b$149)</f>
      </c>
      <c r="AI149">
        <f>IF(ISBLANK('Data Entry'!$c$149), "", 'Data Entry'!$c$149)</f>
      </c>
      <c r="AJ149">
        <f>IF(ISBLANK('Data Entry'!$d$149), "", 'Data Entry'!$d$149)</f>
      </c>
      <c r="AK149">
        <f>IF(ISBLANK('Data Entry'!$e$149), "", 'Data Entry'!$e$149)</f>
      </c>
      <c r="AL149">
        <f>IF(ISBLANK('Data Entry'!$f$149), "", 'Data Entry'!$f$149)</f>
      </c>
      <c r="AM149">
        <f>IF(ISBLANK('Data Entry'!$g$149), "", 'Data Entry'!$g$149)</f>
      </c>
      <c r="AN149">
        <f>IF(ISBLANK('Data Entry'!$h$149), "", 'Data Entry'!$h$149)</f>
      </c>
      <c r="AO149">
        <f>IF(ISBLANK('Data Entry'!$i$149), "", 'Data Entry'!$i$149)</f>
      </c>
      <c r="AP149">
        <f>IF(ISBLANK('Data Entry'!$j$149), "", 'Data Entry'!$j$149)</f>
      </c>
      <c r="AQ149">
        <f>IF(ISBLANK('Data Entry'!$k$149), "", 'Data Entry'!$k$149)</f>
      </c>
      <c r="AR149">
        <f>IF(ISBLANK('Data Entry'!$l$149), "", 'Data Entry'!$l$149)</f>
      </c>
      <c r="AS149">
        <f>IF(ISBLANK('Data Entry'!$m$149), "", 'Data Entry'!$m$149)</f>
      </c>
      <c r="AT149">
        <f>IF(ISBLANK('Data Entry'!$n$149), "", 'Data Entry'!$n$149)</f>
      </c>
      <c r="AU149">
        <f>IF(ISBLANK('Data Entry'!$o$149), "", 'Data Entry'!$o$149)</f>
      </c>
      <c r="AV149">
        <f>IF(ISBLANK('Data Entry'!$p$149), "", 'Data Entry'!$p$149)</f>
      </c>
      <c r="AW149">
        <f>IF(ISBLANK('Data Entry'!$q$149), "", 'Data Entry'!$q$149)</f>
      </c>
      <c r="AX149">
        <f>IF(ISBLANK('Data Entry'!$r$149), "", 'Data Entry'!$r$149)</f>
      </c>
      <c r="AY149">
        <f>IF(ISBLANK('Data Entry'!$s$149), "", 'Data Entry'!$s$149)</f>
      </c>
      <c r="AZ149">
        <f>IF(ISBLANK('Data Entry'!$t$149), "", 'Data Entry'!$t$149)</f>
      </c>
      <c r="BA149">
        <f>IF(ISBLANK('Data Entry'!$u$149), "", 'Data Entry'!$u$149)</f>
      </c>
      <c r="BB149">
        <f>IF(ISBLANK('Data Entry'!$v$149), "", 'Data Entry'!$v$149)</f>
      </c>
      <c r="BC149">
        <f>IF(ISBLANK('Data Entry'!$w$149), "", 'Data Entry'!$w$149)</f>
      </c>
      <c r="BD149">
        <f>IF(ISBLANK('Data Entry'!$x$149), "", 'Data Entry'!$x$149)</f>
      </c>
      <c r="BE149">
        <f>IF(ISBLANK('Data Entry'!$y$149), "", 'Data Entry'!$y$149)</f>
      </c>
      <c r="BF149">
        <f>IF(ISBLANK('Data Entry'!$z$149), "", 'Data Entry'!$z$149)</f>
      </c>
      <c r="BG149">
        <f>IF(ISBLANK('Data Entry'!${$149), "", 'Data Entry'!${$149)</f>
      </c>
      <c r="BH149">
        <f>IF(ISBLANK('Data Entry'!$|$149), "", 'Data Entry'!$|$149)</f>
      </c>
      <c r="BI149">
        <f>IF(ISBLANK('Data Entry'!$}$149), "", 'Data Entry'!$}$149)</f>
      </c>
      <c r="BJ149">
        <f>IF(ISBLANK('Data Entry'!$~$149), "", 'Data Entry'!$~$149)</f>
      </c>
      <c r="BK149">
        <f>IF(ISBLANK('Data Entry'!$$149), "", 'Data Entry'!$$149)</f>
      </c>
      <c r="BL149">
        <f>IF(ISBLANK('Data Entry'!$$149), "", 'Data Entry'!$$149)</f>
      </c>
      <c r="BM149">
        <f>IF(ISBLANK('Data Entry'!$$149), "", 'Data Entry'!$$149)</f>
      </c>
      <c r="BN149">
        <f>IF(ISBLANK('Data Entry'!$$149), "", 'Data Entry'!$$149)</f>
      </c>
      <c r="BO149">
        <f>IF(ISBLANK('Data Entry'!$$149), "", 'Data Entry'!$$149)</f>
      </c>
      <c r="BP149">
        <f>IF(ISBLANK('Data Entry'!$$149), "", 'Data Entry'!$$149)</f>
      </c>
      <c r="BQ149">
        <f>IF(ISBLANK('Data Entry'!$$149), "", 'Data Entry'!$$149)</f>
      </c>
      <c r="BR149">
        <f>IF(ISBLANK('Data Entry'!$$149), "", 'Data Entry'!$$149)</f>
      </c>
      <c r="BS149">
        <f>IF(ISBLANK('Data Entry'!$$149), "", 'Data Entry'!$$149)</f>
      </c>
      <c r="BT149">
        <f>IF(ISBLANK('Data Entry'!$$149), "", 'Data Entry'!$$149)</f>
      </c>
      <c r="BU149">
        <f>IF(ISBLANK('Data Entry'!$$149), "", 'Data Entry'!$$149)</f>
      </c>
      <c r="BV149">
        <f>IF(ISBLANK('Data Entry'!$$149), "", 'Data Entry'!$$149)</f>
      </c>
      <c r="BW149">
        <f>IF(ISBLANK('Data Entry'!$$149), "", 'Data Entry'!$$149)</f>
      </c>
      <c r="BX149">
        <f>IF(ISBLANK('Data Entry'!$$149), "", 'Data Entry'!$$149)</f>
      </c>
      <c r="BY149">
        <f>IF(ISBLANK('Data Entry'!$$149), "", 'Data Entry'!$$149)</f>
      </c>
      <c r="BZ149">
        <f>IF(ISBLANK('Data Entry'!$$149), "", 'Data Entry'!$$149)</f>
      </c>
      <c r="CA149">
        <f>IF(ISBLANK('Data Entry'!$$149), "", 'Data Entry'!$$149)</f>
      </c>
      <c r="CB149">
        <f>IF(ISBLANK('Data Entry'!$$149), "", 'Data Entry'!$$149)</f>
      </c>
      <c r="CC149">
        <f>IF(ISBLANK('Data Entry'!$$149), "", 'Data Entry'!$$149)</f>
      </c>
      <c r="CD149">
        <f>IF(ISBLANK('Data Entry'!$$149), "", 'Data Entry'!$$149)</f>
      </c>
      <c r="CE149">
        <f>IF(ISBLANK('Data Entry'!$$149), "", 'Data Entry'!$$149)</f>
      </c>
      <c r="CF149">
        <f>IF(ISBLANK('Data Entry'!$$149), "", 'Data Entry'!$$149)</f>
      </c>
      <c r="CG149">
        <f>IF(ISBLANK('Data Entry'!$$149), "", 'Data Entry'!$$149)</f>
      </c>
      <c r="CH149">
        <f>IF(ISBLANK('Data Entry'!$$149), "", 'Data Entry'!$$149)</f>
      </c>
      <c r="CI149">
        <f>IF(ISBLANK('Data Entry'!$$149), "", 'Data Entry'!$$149)</f>
      </c>
      <c r="CJ149">
        <f>IF(ISBLANK('Data Entry'!$$149), "", 'Data Entry'!$$149)</f>
      </c>
      <c r="CK149">
        <f>IF(ISBLANK('Data Entry'!$$149), "", 'Data Entry'!$$149)</f>
      </c>
      <c r="CL149">
        <f>IF(ISBLANK('Data Entry'!$$149), "", 'Data Entry'!$$149)</f>
      </c>
      <c r="CM149">
        <f>IF(ISBLANK('Data Entry'!$$149), "", 'Data Entry'!$$149)</f>
      </c>
      <c r="CN149">
        <f>IF(ISBLANK('Data Entry'!$$149), "", 'Data Entry'!$$149)</f>
      </c>
      <c r="CO149">
        <f>IF(ISBLANK('Data Entry'!$$149), "", 'Data Entry'!$$149)</f>
      </c>
      <c r="CP149">
        <f>IF(ISBLANK('Data Entry'!$$149), "", 'Data Entry'!$$149)</f>
      </c>
      <c r="CQ149">
        <f>IF(ISBLANK('Data Entry'!$$149), "", 'Data Entry'!$$149)</f>
      </c>
      <c r="CR149">
        <f>IF(ISBLANK('Data Entry'!$ $149), "", 'Data Entry'!$ $149)</f>
      </c>
      <c r="CS149">
        <f>IF(ISBLANK('Data Entry'!$¡$149), "", 'Data Entry'!$¡$149)</f>
      </c>
      <c r="CT149">
        <f>IF(ISBLANK('Data Entry'!$¢$149), "", 'Data Entry'!$¢$149)</f>
      </c>
      <c r="CU149">
        <f>IF(ISBLANK('Data Entry'!$£$149), "", 'Data Entry'!$£$149)</f>
      </c>
      <c r="CV149">
        <f>IF(ISBLANK('Data Entry'!$¤$149), "", 'Data Entry'!$¤$149)</f>
      </c>
      <c r="CW149">
        <f>IF(ISBLANK('Data Entry'!$¥$149), "", 'Data Entry'!$¥$149)</f>
      </c>
      <c r="CX149">
        <f>IF(ISBLANK('Data Entry'!$¦$149), "", 'Data Entry'!$¦$149)</f>
      </c>
      <c r="CY149">
        <f>IF(ISBLANK('Data Entry'!$§$149), "", 'Data Entry'!$§$149)</f>
      </c>
      <c r="CZ149">
        <f>IF(ISBLANK('Data Entry'!$¨$149), "", 'Data Entry'!$¨$149)</f>
      </c>
      <c r="DA149">
        <f>IF(ISBLANK('Data Entry'!$©$149), "", 'Data Entry'!$©$149)</f>
      </c>
      <c r="DB149">
        <f>IF(ISBLANK('Data Entry'!$ª$149), "", 'Data Entry'!$ª$149)</f>
      </c>
      <c r="DC149">
        <f>IF(ISBLANK('Data Entry'!$«$149), "", 'Data Entry'!$«$149)</f>
      </c>
      <c r="DD149">
        <f>IF(ISBLANK('Data Entry'!$¬$149), "", 'Data Entry'!$¬$149)</f>
      </c>
      <c r="DE149">
        <f>IF(ISBLANK('Data Entry'!$­$149), "", 'Data Entry'!$­$149)</f>
      </c>
      <c r="DF149">
        <f>IF(ISBLANK('Data Entry'!$®$149), "", 'Data Entry'!$®$149)</f>
      </c>
      <c r="DG149">
        <f>IF(ISBLANK('Data Entry'!$¯$149), "", 'Data Entry'!$¯$149)</f>
      </c>
      <c r="DH149">
        <f>IF(ISBLANK('Data Entry'!$°$149), "", 'Data Entry'!$°$149)</f>
      </c>
      <c r="DI149">
        <f>IF(ISBLANK('Data Entry'!$±$149), "", 'Data Entry'!$±$149)</f>
      </c>
      <c r="DJ149">
        <f>IF(ISBLANK('Data Entry'!$²$149), "", 'Data Entry'!$²$149)</f>
      </c>
      <c r="DK149">
        <f>IF(ISBLANK('Data Entry'!$³$149), "", 'Data Entry'!$³$149)</f>
      </c>
      <c r="DL149">
        <f>IF(ISBLANK('Data Entry'!$´$149), "", 'Data Entry'!$´$149)</f>
      </c>
      <c r="DM149">
        <f>IF(ISBLANK('Data Entry'!$µ$149), "", 'Data Entry'!$µ$149)</f>
      </c>
      <c r="DN149">
        <f>IF(ISBLANK('Data Entry'!$¶$149), "", 'Data Entry'!$¶$149)</f>
      </c>
      <c r="DO149">
        <f>IF(ISBLANK('Data Entry'!$·$149), "", 'Data Entry'!$·$149)</f>
      </c>
      <c r="DP149">
        <f>IF(ISBLANK('Data Entry'!$¸$149), "", 'Data Entry'!$¸$149)</f>
      </c>
      <c r="DQ149">
        <f>IF(ISBLANK('Data Entry'!$¹$149), "", 'Data Entry'!$¹$149)</f>
      </c>
      <c r="DR149">
        <f>IF(ISBLANK('Data Entry'!$º$149), "", 'Data Entry'!$º$149)</f>
      </c>
      <c r="DS149">
        <f>IF(ISBLANK('Data Entry'!$»$149), "", 'Data Entry'!$»$149)</f>
      </c>
      <c r="DT149">
        <f>IF(ISBLANK('Data Entry'!$¼$149), "", 'Data Entry'!$¼$149)</f>
      </c>
      <c r="DU149">
        <f>IF(ISBLANK('Data Entry'!$½$149), "", 'Data Entry'!$½$149)</f>
      </c>
      <c r="DV149">
        <f>IF(ISBLANK('Data Entry'!$¾$149), "", 'Data Entry'!$¾$149)</f>
      </c>
      <c r="DW149">
        <f>IF(ISBLANK('Data Entry'!$¿$149), "", 'Data Entry'!$¿$149)</f>
      </c>
      <c r="DX149">
        <f>IF(ISBLANK('Data Entry'!$À$149), "", 'Data Entry'!$À$149)</f>
      </c>
      <c r="DY149">
        <f>IF(ISBLANK('Data Entry'!$Á$149), "", 'Data Entry'!$Á$149)</f>
      </c>
      <c r="DZ149">
        <f>IF(ISBLANK('Data Entry'!$Â$149), "", 'Data Entry'!$Â$149)</f>
      </c>
      <c r="EA149">
        <f>IF(ISBLANK('Data Entry'!$Ã$149), "", 'Data Entry'!$Ã$149)</f>
      </c>
      <c r="EB149">
        <f>IF(ISBLANK('Data Entry'!$Ä$149), "", 'Data Entry'!$Ä$149)</f>
      </c>
      <c r="EC149">
        <f>IF(ISBLANK('Data Entry'!$Å$149), "", 'Data Entry'!$Å$149)</f>
      </c>
      <c r="ED149">
        <f>IF(ISBLANK('Data Entry'!$Æ$149), "", 'Data Entry'!$Æ$149)</f>
      </c>
      <c r="EE149">
        <f>IF(ISBLANK('Data Entry'!$Ç$149), "", 'Data Entry'!$Ç$149)</f>
      </c>
      <c r="EF149">
        <f>IF(ISBLANK('Data Entry'!$È$149), "", 'Data Entry'!$È$149)</f>
      </c>
      <c r="EG149">
        <f>IF(ISBLANK('Data Entry'!$É$149), "", 'Data Entry'!$É$149)</f>
      </c>
      <c r="EH149">
        <f>IF(ISBLANK('Data Entry'!$Ê$149), "", 'Data Entry'!$Ê$149)</f>
      </c>
      <c r="EI149">
        <f>IF(ISBLANK('Data Entry'!$Ë$149), "", 'Data Entry'!$Ë$149)</f>
      </c>
      <c r="EJ149">
        <f>IF(ISBLANK('Data Entry'!$Ì$149), "", 'Data Entry'!$Ì$149)</f>
      </c>
      <c r="EK149">
        <f>IF(ISBLANK('Data Entry'!$Í$149), "", 'Data Entry'!$Í$149)</f>
      </c>
      <c r="EL149">
        <f>IF(ISBLANK('Data Entry'!$Î$149), "", 'Data Entry'!$Î$149)</f>
      </c>
      <c r="EM149">
        <f>IF(ISBLANK('Data Entry'!$Ï$149), "", 'Data Entry'!$Ï$149)</f>
      </c>
      <c r="EN149">
        <f>IF(ISBLANK('Data Entry'!$Ð$149), "", 'Data Entry'!$Ð$149)</f>
      </c>
      <c r="EO149">
        <f>IF(ISBLANK('Data Entry'!$Ñ$149), "", 'Data Entry'!$Ñ$149)</f>
      </c>
      <c r="EP149">
        <f>IF(ISBLANK('Data Entry'!$Ò$149), "", 'Data Entry'!$Ò$149)</f>
      </c>
      <c r="EQ149">
        <f>IF(ISBLANK('Data Entry'!$Ó$149), "", 'Data Entry'!$Ó$149)</f>
      </c>
      <c r="ER149">
        <f>IF(ISBLANK('Data Entry'!$Ô$149), "", 'Data Entry'!$Ô$149)</f>
      </c>
      <c r="ES149">
        <f>IF(ISBLANK('Data Entry'!$Õ$149), "", 'Data Entry'!$Õ$149)</f>
      </c>
      <c r="ET149">
        <f>IF(ISBLANK('Data Entry'!$Ö$149), "", 'Data Entry'!$Ö$149)</f>
      </c>
      <c r="EU149">
        <f>IF(ISBLANK('Data Entry'!$×$149), "", 'Data Entry'!$×$149)</f>
      </c>
      <c r="EV149">
        <f>IF(ISBLANK('Data Entry'!$Ø$149), "", 'Data Entry'!$Ø$149)</f>
      </c>
      <c r="EW149">
        <f>IF(ISBLANK('Data Entry'!$Ù$149), "", 'Data Entry'!$Ù$149)</f>
      </c>
      <c r="EX149">
        <f>IF(ISBLANK('Data Entry'!$Ú$149), "", 'Data Entry'!$Ú$149)</f>
      </c>
      <c r="EY149">
        <f>IF(ISBLANK('Data Entry'!$Û$149), "", 'Data Entry'!$Û$149)</f>
      </c>
      <c r="EZ149">
        <f>IF(ISBLANK('Data Entry'!$Ü$149), "", 'Data Entry'!$Ü$149)</f>
      </c>
      <c r="FA149">
        <f>IF(ISBLANK('Data Entry'!$Ý$149), "", 'Data Entry'!$Ý$149)</f>
      </c>
      <c r="FB149">
        <f>IF(ISBLANK('Data Entry'!$Þ$149), "", 'Data Entry'!$Þ$149)</f>
      </c>
      <c r="FC149">
        <f>IF(ISBLANK('Data Entry'!$ß$149), "", 'Data Entry'!$ß$149)</f>
      </c>
      <c r="FD149">
        <f>IF(ISBLANK('Data Entry'!$à$149), "", 'Data Entry'!$à$149)</f>
      </c>
      <c r="FE149">
        <f>IF(ISBLANK('Data Entry'!$á$149), "", 'Data Entry'!$á$149)</f>
      </c>
      <c r="FF149">
        <f>IF(ISBLANK('Data Entry'!$â$149), "", 'Data Entry'!$â$149)</f>
      </c>
      <c r="FG149">
        <f>IF(ISBLANK('Data Entry'!$ã$149), "", 'Data Entry'!$ã$149)</f>
      </c>
      <c r="FH149">
        <f>IF(ISBLANK('Data Entry'!$ä$149), "", 'Data Entry'!$ä$149)</f>
      </c>
      <c r="FI149">
        <f>IF(ISBLANK('Data Entry'!$å$149), "", 'Data Entry'!$å$149)</f>
      </c>
      <c r="FJ149">
        <f>IF(ISBLANK('Data Entry'!$æ$149), "", 'Data Entry'!$æ$149)</f>
      </c>
      <c r="FK149">
        <f>IF(ISBLANK('Data Entry'!$ç$149), "", 'Data Entry'!$ç$149)</f>
      </c>
      <c r="FL149">
        <f>IF(ISBLANK('Data Entry'!$è$149), "", 'Data Entry'!$è$149)</f>
      </c>
      <c r="FM149">
        <f>IF(ISBLANK('Data Entry'!$é$149), "", 'Data Entry'!$é$149)</f>
      </c>
      <c r="FN149">
        <f>IF(ISBLANK('Data Entry'!$ê$149), "", 'Data Entry'!$ê$149)</f>
      </c>
      <c r="FO149">
        <f>IF(ISBLANK('Data Entry'!$ë$149), "", 'Data Entry'!$ë$149)</f>
      </c>
      <c r="FP149">
        <f>IF(ISBLANK('Data Entry'!$ì$149), "", 'Data Entry'!$ì$149)</f>
      </c>
      <c r="FQ149">
        <f>IF(ISBLANK('Data Entry'!$í$149), "", 'Data Entry'!$í$149)</f>
      </c>
      <c r="FR149">
        <f>IF(ISBLANK('Data Entry'!$î$149), "", 'Data Entry'!$î$149)</f>
      </c>
      <c r="FS149">
        <f>IF(ISBLANK('Data Entry'!$ï$149), "", 'Data Entry'!$ï$149)</f>
      </c>
      <c r="FT149">
        <f>IF(ISBLANK('Data Entry'!$ð$149), "", 'Data Entry'!$ð$149)</f>
      </c>
      <c r="FU149">
        <f>IF(ISBLANK('Data Entry'!$ñ$149), "", 'Data Entry'!$ñ$149)</f>
      </c>
      <c r="FV149">
        <f>IF(ISBLANK('Data Entry'!$ò$149), "", 'Data Entry'!$ò$149)</f>
      </c>
      <c r="FW149">
        <f>IF(ISBLANK('Data Entry'!$ó$149), "", 'Data Entry'!$ó$149)</f>
      </c>
      <c r="FX149">
        <f>IF(ISBLANK('Data Entry'!$ô$149), "", 'Data Entry'!$ô$149)</f>
      </c>
      <c r="FY149">
        <f>IF(ISBLANK('Data Entry'!$õ$149), "", 'Data Entry'!$õ$149)</f>
      </c>
      <c r="FZ149">
        <f>IF(ISBLANK('Data Entry'!$ö$149), "", 'Data Entry'!$ö$149)</f>
      </c>
      <c r="GA149">
        <f>IF(ISBLANK('Data Entry'!$÷$149), "", 'Data Entry'!$÷$149)</f>
      </c>
      <c r="GB149">
        <f>IF(ISBLANK('Data Entry'!$ø$149), "", 'Data Entry'!$ø$149)</f>
      </c>
      <c r="GC149">
        <f>IF(ISBLANK('Data Entry'!$ù$149), "", 'Data Entry'!$ù$149)</f>
      </c>
      <c r="GD149">
        <f>IF(ISBLANK('Data Entry'!$ú$149), "", 'Data Entry'!$ú$149)</f>
      </c>
      <c r="GE149">
        <f>IF(ISBLANK('Data Entry'!$û$149), "", 'Data Entry'!$û$149)</f>
      </c>
      <c r="GF149">
        <f>IF(ISBLANK('Data Entry'!$ü$149), "", 'Data Entry'!$ü$149)</f>
      </c>
      <c r="GG149">
        <f>IF(ISBLANK('Data Entry'!$ý$149), "", 'Data Entry'!$ý$149)</f>
      </c>
      <c r="GH149">
        <f>IF(ISBLANK('Data Entry'!$þ$149), "", 'Data Entry'!$þ$149)</f>
      </c>
      <c r="GI149">
        <f>IF(ISBLANK('Data Entry'!$ÿ$149), "", 'Data Entry'!$ÿ$149)</f>
      </c>
      <c r="GJ149">
        <f>IF(ISBLANK('Data Entry'!$Ā$149), "", 'Data Entry'!$Ā$149)</f>
      </c>
      <c r="GK149">
        <f>IF(ISBLANK('Data Entry'!$ā$149), "", 'Data Entry'!$ā$149)</f>
      </c>
      <c r="GL149">
        <f>IF(ISBLANK('Data Entry'!$Ă$149), "", 'Data Entry'!$Ă$149)</f>
      </c>
      <c r="GM149">
        <f>IF(ISBLANK('Data Entry'!$ă$149), "", 'Data Entry'!$ă$149)</f>
      </c>
      <c r="GN149">
        <f>IF(ISBLANK('Data Entry'!$Ą$149), "", 'Data Entry'!$Ą$149)</f>
      </c>
      <c r="GO149">
        <f>IF(ISBLANK('Data Entry'!$ą$149), "", 'Data Entry'!$ą$149)</f>
      </c>
      <c r="GP149">
        <f>IF(ISBLANK('Data Entry'!$Ć$149), "", 'Data Entry'!$Ć$149)</f>
      </c>
      <c r="GQ149">
        <f>IF(ISBLANK('Data Entry'!$ć$149), "", 'Data Entry'!$ć$149)</f>
      </c>
      <c r="GR149">
        <f>IF(ISBLANK('Data Entry'!$Ĉ$149), "", 'Data Entry'!$Ĉ$149)</f>
      </c>
      <c r="GS149">
        <f>IF(ISBLANK('Data Entry'!$ĉ$149), "", 'Data Entry'!$ĉ$149)</f>
      </c>
      <c r="GT149">
        <f>IF(ISBLANK('Data Entry'!$Ċ$149), "", 'Data Entry'!$Ċ$149)</f>
      </c>
      <c r="GU149">
        <f>IF(ISBLANK('Data Entry'!$ċ$149), "", 'Data Entry'!$ċ$149)</f>
      </c>
      <c r="GV149">
        <f>IF(ISBLANK('Data Entry'!$Č$149), "", 'Data Entry'!$Č$149)</f>
      </c>
      <c r="GW149">
        <f>IF(ISBLANK('Data Entry'!$č$149), "", 'Data Entry'!$č$149)</f>
      </c>
      <c r="GX149">
        <f>IF(ISBLANK('Data Entry'!$Ď$149), "", 'Data Entry'!$Ď$149)</f>
      </c>
      <c r="GY149">
        <f>IF(ISBLANK('Data Entry'!$ď$149), "", 'Data Entry'!$ď$149)</f>
      </c>
      <c r="GZ149">
        <f>IF(ISBLANK('Data Entry'!$Đ$149), "", 'Data Entry'!$Đ$149)</f>
      </c>
      <c r="HA149">
        <f>IF(ISBLANK('Data Entry'!$đ$149), "", 'Data Entry'!$đ$149)</f>
      </c>
      <c r="HB149">
        <f>IF(ISBLANK('Data Entry'!$Ē$149), "", 'Data Entry'!$Ē$149)</f>
      </c>
      <c r="HC149">
        <f>IF(ISBLANK('Data Entry'!$ē$149), "", 'Data Entry'!$ē$149)</f>
      </c>
      <c r="HD149">
        <f>IF(ISBLANK('Data Entry'!$Ĕ$149), "", 'Data Entry'!$Ĕ$149)</f>
      </c>
      <c r="HE149">
        <f>IF(ISBLANK('Data Entry'!$ĕ$149), "", 'Data Entry'!$ĕ$149)</f>
      </c>
      <c r="HF149">
        <f>IF(ISBLANK('Data Entry'!$Ė$149), "", 'Data Entry'!$Ė$149)</f>
      </c>
      <c r="HG149">
        <f>IF(ISBLANK('Data Entry'!$ė$149), "", 'Data Entry'!$ė$149)</f>
      </c>
      <c r="HH149">
        <f>IF(ISBLANK('Data Entry'!$Ę$149), "", 'Data Entry'!$Ę$149)</f>
      </c>
      <c r="HI149">
        <f>IF(ISBLANK('Data Entry'!$ę$149), "", 'Data Entry'!$ę$149)</f>
      </c>
      <c r="HJ149">
        <f>IF(ISBLANK('Data Entry'!$Ě$149), "", 'Data Entry'!$Ě$149)</f>
      </c>
      <c r="HK149">
        <f>IF(ISBLANK('Data Entry'!$ě$149), "", 'Data Entry'!$ě$149)</f>
      </c>
      <c r="HL149">
        <f>IF(ISBLANK('Data Entry'!$Ĝ$149), "", 'Data Entry'!$Ĝ$149)</f>
      </c>
      <c r="HM149">
        <f>IF(ISBLANK('Data Entry'!$ĝ$149), "", 'Data Entry'!$ĝ$149)</f>
      </c>
      <c r="HN149">
        <f>IF(ISBLANK('Data Entry'!$Ğ$149), "", 'Data Entry'!$Ğ$149)</f>
      </c>
      <c r="HO149">
        <f>IF(ISBLANK('Data Entry'!$ğ$149), "", 'Data Entry'!$ğ$149)</f>
      </c>
      <c r="HP149">
        <f>IF(ISBLANK('Data Entry'!$Ġ$149), "", 'Data Entry'!$Ġ$149)</f>
      </c>
      <c r="HQ149">
        <f>IF(ISBLANK('Data Entry'!$ġ$149), "", 'Data Entry'!$ġ$149)</f>
      </c>
      <c r="HR149">
        <f>IF(ISBLANK('Data Entry'!$Ģ$149), "", 'Data Entry'!$Ģ$149)</f>
      </c>
      <c r="HS149">
        <f>IF(ISBLANK('Data Entry'!$ģ$149), "", 'Data Entry'!$ģ$149)</f>
      </c>
      <c r="HT149">
        <f>IF(ISBLANK('Data Entry'!$Ĥ$149), "", 'Data Entry'!$Ĥ$149)</f>
      </c>
      <c r="HU149">
        <f>IF(ISBLANK('Data Entry'!$ĥ$149), "", 'Data Entry'!$ĥ$149)</f>
      </c>
      <c r="HV149">
        <f>IF(ISBLANK('Data Entry'!$Ħ$149), "", 'Data Entry'!$Ħ$149)</f>
      </c>
      <c r="HW149">
        <f>IF(ISBLANK('Data Entry'!$ħ$149), "", 'Data Entry'!$ħ$149)</f>
      </c>
      <c r="HX149">
        <f>IF(ISBLANK('Data Entry'!$Ĩ$149), "", 'Data Entry'!$Ĩ$149)</f>
      </c>
      <c r="HY149">
        <f>IF(ISBLANK('Data Entry'!$ĩ$149), "", 'Data Entry'!$ĩ$149)</f>
      </c>
      <c r="HZ149">
        <f>IF(ISBLANK('Data Entry'!$Ī$149), "", 'Data Entry'!$Ī$149)</f>
      </c>
      <c r="IA149">
        <f>IF(ISBLANK('Data Entry'!$ī$149), "", 'Data Entry'!$ī$149)</f>
      </c>
      <c r="IB149">
        <f>IF(ISBLANK('Data Entry'!$Ĭ$149), "", 'Data Entry'!$Ĭ$149)</f>
      </c>
      <c r="IC149">
        <f>IF(ISBLANK('Data Entry'!$ĭ$149), "", 'Data Entry'!$ĭ$149)</f>
      </c>
      <c r="ID149">
        <f>IF(ISBLANK('Data Entry'!$Į$149), "", 'Data Entry'!$Į$149)</f>
      </c>
      <c r="IE149">
        <f>IF(ISBLANK('Data Entry'!$į$149), "", 'Data Entry'!$į$149)</f>
      </c>
      <c r="IF149">
        <f>IF(ISBLANK('Data Entry'!$İ$149), "", 'Data Entry'!$İ$149)</f>
      </c>
      <c r="IG149">
        <f>IF(ISBLANK('Data Entry'!$ı$149), "", 'Data Entry'!$ı$149)</f>
      </c>
      <c r="IH149">
        <f>IF(ISBLANK('Data Entry'!$Ĳ$149), "", 'Data Entry'!$Ĳ$149)</f>
      </c>
      <c r="II149">
        <f>IF(ISBLANK('Data Entry'!$ĳ$149), "", 'Data Entry'!$ĳ$149)</f>
      </c>
      <c r="IJ149">
        <f>IF(ISBLANK('Data Entry'!$Ĵ$149), "", 'Data Entry'!$Ĵ$149)</f>
      </c>
      <c r="IK149">
        <f>IF(ISBLANK('Data Entry'!$ĵ$149), "", 'Data Entry'!$ĵ$149)</f>
      </c>
      <c r="IL149">
        <f>IF(ISBLANK('Data Entry'!$Ķ$149), "", 'Data Entry'!$Ķ$149)</f>
      </c>
      <c r="IM149">
        <f>IF(ISBLANK('Data Entry'!$ķ$149), "", 'Data Entry'!$ķ$149)</f>
      </c>
      <c r="IN149">
        <f>IF(ISBLANK('Data Entry'!$ĸ$149), "", 'Data Entry'!$ĸ$149)</f>
      </c>
      <c r="IO149">
        <f>IF(ISBLANK('Data Entry'!$Ĺ$149), "", 'Data Entry'!$Ĺ$149)</f>
      </c>
      <c r="IP149">
        <f>IF(ISBLANK('Data Entry'!$ĺ$149), "", 'Data Entry'!$ĺ$149)</f>
      </c>
      <c r="IQ149">
        <f>IF(ISBLANK('Data Entry'!$Ļ$149), "", 'Data Entry'!$Ļ$149)</f>
      </c>
      <c r="IR149">
        <f>IF(ISBLANK('Data Entry'!$ļ$149), "", 'Data Entry'!$ļ$149)</f>
      </c>
      <c r="IS149">
        <f>IF(ISBLANK('Data Entry'!$Ľ$149), "", 'Data Entry'!$Ľ$149)</f>
      </c>
      <c r="IT149">
        <f>IF(ISBLANK('Data Entry'!$ľ$149), "", 'Data Entry'!$ľ$149)</f>
      </c>
    </row>
    <row r="150" spans="1:254" x14ac:dyDescent="0.25">
      <c r="A150">
        <f>IF(ISBLANK('Data Entry'!$A$150), "", 'Data Entry'!$A$150)</f>
      </c>
      <c r="B150">
        <f>IF(ISBLANK('Data Entry'!$B$150), "", 'Data Entry'!$B$150)</f>
      </c>
      <c r="C150">
        <f>IF(ISBLANK('Data Entry'!$C$150), "", 'Data Entry'!$C$150)</f>
      </c>
      <c r="D150">
        <f>IF(ISBLANK('Data Entry'!$D$150), "", 'Data Entry'!$D$150)</f>
      </c>
      <c r="E150">
        <f>IF(ISBLANK('Data Entry'!$E$150), "", 'Data Entry'!$E$150)</f>
      </c>
      <c r="F150">
        <f>IF(ISBLANK('Data Entry'!$F$150), "", 'Data Entry'!$F$150)</f>
      </c>
      <c r="G150">
        <f>IF(ISBLANK('Data Entry'!$G$150), "", 'Data Entry'!$G$150)</f>
      </c>
      <c r="H150">
        <f>IF(ISBLANK('Data Entry'!$H$150), "", 'Data Entry'!$H$150)</f>
      </c>
      <c r="I150">
        <f>IF(ISBLANK('Data Entry'!$I$150), "", 'Data Entry'!$I$150)</f>
      </c>
      <c r="J150">
        <f>IF(ISBLANK('Data Entry'!$J$150), "", 'Data Entry'!$J$150)</f>
      </c>
      <c r="K150">
        <f>IF(ISBLANK('Data Entry'!$K$150), "", 'Data Entry'!$K$150)</f>
      </c>
      <c r="L150">
        <f>IF(ISBLANK('Data Entry'!$L$150), "", 'Data Entry'!$L$150)</f>
      </c>
      <c r="M150">
        <f>IF(ISBLANK('Data Entry'!$M$150), "", 'Data Entry'!$M$150)</f>
      </c>
      <c r="N150">
        <f>IF(ISBLANK('Data Entry'!$N$150), "", 'Data Entry'!$N$150)</f>
      </c>
      <c r="O150">
        <f>IF(ISBLANK('Data Entry'!$O$150), "", 'Data Entry'!$O$150)</f>
      </c>
      <c r="P150">
        <f>IF(ISBLANK('Data Entry'!$P$150), "", 'Data Entry'!$P$150)</f>
      </c>
      <c r="Q150">
        <f>IF(ISBLANK('Data Entry'!$Q$150), "", 'Data Entry'!$Q$150)</f>
      </c>
      <c r="R150">
        <f>IF(ISBLANK('Data Entry'!$R$150), "", 'Data Entry'!$R$150)</f>
      </c>
      <c r="S150">
        <f>IF(ISBLANK('Data Entry'!$S$150), "", 'Data Entry'!$S$150)</f>
      </c>
      <c r="T150">
        <f>IF(ISBLANK('Data Entry'!$T$150), "", 'Data Entry'!$T$150)</f>
      </c>
      <c r="U150">
        <f>IF(ISBLANK('Data Entry'!$U$150), "", 'Data Entry'!$U$150)</f>
      </c>
      <c r="V150">
        <f>IF(ISBLANK('Data Entry'!$V$150), "", 'Data Entry'!$V$150)</f>
      </c>
      <c r="W150">
        <f>IF(ISBLANK('Data Entry'!$W$150), "", 'Data Entry'!$W$150)</f>
      </c>
      <c r="X150">
        <f>IF(ISBLANK('Data Entry'!$X$150), "", 'Data Entry'!$X$150)</f>
      </c>
      <c r="Y150">
        <f>IF(ISBLANK('Data Entry'!$Y$150), "", 'Data Entry'!$Y$150)</f>
      </c>
      <c r="Z150">
        <f>IF(ISBLANK('Data Entry'!$Z$150), "", 'Data Entry'!$Z$150)</f>
      </c>
      <c r="AA150">
        <f>IF(ISBLANK('Data Entry'!$[$150), "", 'Data Entry'!$[$150)</f>
      </c>
      <c r="AB150">
        <f>IF(ISBLANK('Data Entry'!$\$150), "", 'Data Entry'!$\$150)</f>
      </c>
      <c r="AC150">
        <f>IF(ISBLANK('Data Entry'!$]$150), "", 'Data Entry'!$]$150)</f>
      </c>
      <c r="AD150">
        <f>IF(ISBLANK('Data Entry'!$^$150), "", 'Data Entry'!$^$150)</f>
      </c>
      <c r="AE150">
        <f>IF(ISBLANK('Data Entry'!$_$150), "", 'Data Entry'!$_$150)</f>
      </c>
      <c r="AF150">
        <f>IF(ISBLANK('Data Entry'!$`$150), "", 'Data Entry'!$`$150)</f>
      </c>
      <c r="AG150">
        <f>IF(ISBLANK('Data Entry'!$a$150), "", 'Data Entry'!$a$150)</f>
      </c>
      <c r="AH150">
        <f>IF(ISBLANK('Data Entry'!$b$150), "", 'Data Entry'!$b$150)</f>
      </c>
      <c r="AI150">
        <f>IF(ISBLANK('Data Entry'!$c$150), "", 'Data Entry'!$c$150)</f>
      </c>
      <c r="AJ150">
        <f>IF(ISBLANK('Data Entry'!$d$150), "", 'Data Entry'!$d$150)</f>
      </c>
      <c r="AK150">
        <f>IF(ISBLANK('Data Entry'!$e$150), "", 'Data Entry'!$e$150)</f>
      </c>
      <c r="AL150">
        <f>IF(ISBLANK('Data Entry'!$f$150), "", 'Data Entry'!$f$150)</f>
      </c>
      <c r="AM150">
        <f>IF(ISBLANK('Data Entry'!$g$150), "", 'Data Entry'!$g$150)</f>
      </c>
      <c r="AN150">
        <f>IF(ISBLANK('Data Entry'!$h$150), "", 'Data Entry'!$h$150)</f>
      </c>
      <c r="AO150">
        <f>IF(ISBLANK('Data Entry'!$i$150), "", 'Data Entry'!$i$150)</f>
      </c>
      <c r="AP150">
        <f>IF(ISBLANK('Data Entry'!$j$150), "", 'Data Entry'!$j$150)</f>
      </c>
      <c r="AQ150">
        <f>IF(ISBLANK('Data Entry'!$k$150), "", 'Data Entry'!$k$150)</f>
      </c>
      <c r="AR150">
        <f>IF(ISBLANK('Data Entry'!$l$150), "", 'Data Entry'!$l$150)</f>
      </c>
      <c r="AS150">
        <f>IF(ISBLANK('Data Entry'!$m$150), "", 'Data Entry'!$m$150)</f>
      </c>
      <c r="AT150">
        <f>IF(ISBLANK('Data Entry'!$n$150), "", 'Data Entry'!$n$150)</f>
      </c>
      <c r="AU150">
        <f>IF(ISBLANK('Data Entry'!$o$150), "", 'Data Entry'!$o$150)</f>
      </c>
      <c r="AV150">
        <f>IF(ISBLANK('Data Entry'!$p$150), "", 'Data Entry'!$p$150)</f>
      </c>
      <c r="AW150">
        <f>IF(ISBLANK('Data Entry'!$q$150), "", 'Data Entry'!$q$150)</f>
      </c>
      <c r="AX150">
        <f>IF(ISBLANK('Data Entry'!$r$150), "", 'Data Entry'!$r$150)</f>
      </c>
      <c r="AY150">
        <f>IF(ISBLANK('Data Entry'!$s$150), "", 'Data Entry'!$s$150)</f>
      </c>
      <c r="AZ150">
        <f>IF(ISBLANK('Data Entry'!$t$150), "", 'Data Entry'!$t$150)</f>
      </c>
      <c r="BA150">
        <f>IF(ISBLANK('Data Entry'!$u$150), "", 'Data Entry'!$u$150)</f>
      </c>
      <c r="BB150">
        <f>IF(ISBLANK('Data Entry'!$v$150), "", 'Data Entry'!$v$150)</f>
      </c>
      <c r="BC150">
        <f>IF(ISBLANK('Data Entry'!$w$150), "", 'Data Entry'!$w$150)</f>
      </c>
      <c r="BD150">
        <f>IF(ISBLANK('Data Entry'!$x$150), "", 'Data Entry'!$x$150)</f>
      </c>
      <c r="BE150">
        <f>IF(ISBLANK('Data Entry'!$y$150), "", 'Data Entry'!$y$150)</f>
      </c>
      <c r="BF150">
        <f>IF(ISBLANK('Data Entry'!$z$150), "", 'Data Entry'!$z$150)</f>
      </c>
      <c r="BG150">
        <f>IF(ISBLANK('Data Entry'!${$150), "", 'Data Entry'!${$150)</f>
      </c>
      <c r="BH150">
        <f>IF(ISBLANK('Data Entry'!$|$150), "", 'Data Entry'!$|$150)</f>
      </c>
      <c r="BI150">
        <f>IF(ISBLANK('Data Entry'!$}$150), "", 'Data Entry'!$}$150)</f>
      </c>
      <c r="BJ150">
        <f>IF(ISBLANK('Data Entry'!$~$150), "", 'Data Entry'!$~$150)</f>
      </c>
      <c r="BK150">
        <f>IF(ISBLANK('Data Entry'!$$150), "", 'Data Entry'!$$150)</f>
      </c>
      <c r="BL150">
        <f>IF(ISBLANK('Data Entry'!$$150), "", 'Data Entry'!$$150)</f>
      </c>
      <c r="BM150">
        <f>IF(ISBLANK('Data Entry'!$$150), "", 'Data Entry'!$$150)</f>
      </c>
      <c r="BN150">
        <f>IF(ISBLANK('Data Entry'!$$150), "", 'Data Entry'!$$150)</f>
      </c>
      <c r="BO150">
        <f>IF(ISBLANK('Data Entry'!$$150), "", 'Data Entry'!$$150)</f>
      </c>
      <c r="BP150">
        <f>IF(ISBLANK('Data Entry'!$$150), "", 'Data Entry'!$$150)</f>
      </c>
      <c r="BQ150">
        <f>IF(ISBLANK('Data Entry'!$$150), "", 'Data Entry'!$$150)</f>
      </c>
      <c r="BR150">
        <f>IF(ISBLANK('Data Entry'!$$150), "", 'Data Entry'!$$150)</f>
      </c>
      <c r="BS150">
        <f>IF(ISBLANK('Data Entry'!$$150), "", 'Data Entry'!$$150)</f>
      </c>
      <c r="BT150">
        <f>IF(ISBLANK('Data Entry'!$$150), "", 'Data Entry'!$$150)</f>
      </c>
      <c r="BU150">
        <f>IF(ISBLANK('Data Entry'!$$150), "", 'Data Entry'!$$150)</f>
      </c>
      <c r="BV150">
        <f>IF(ISBLANK('Data Entry'!$$150), "", 'Data Entry'!$$150)</f>
      </c>
      <c r="BW150">
        <f>IF(ISBLANK('Data Entry'!$$150), "", 'Data Entry'!$$150)</f>
      </c>
      <c r="BX150">
        <f>IF(ISBLANK('Data Entry'!$$150), "", 'Data Entry'!$$150)</f>
      </c>
      <c r="BY150">
        <f>IF(ISBLANK('Data Entry'!$$150), "", 'Data Entry'!$$150)</f>
      </c>
      <c r="BZ150">
        <f>IF(ISBLANK('Data Entry'!$$150), "", 'Data Entry'!$$150)</f>
      </c>
      <c r="CA150">
        <f>IF(ISBLANK('Data Entry'!$$150), "", 'Data Entry'!$$150)</f>
      </c>
      <c r="CB150">
        <f>IF(ISBLANK('Data Entry'!$$150), "", 'Data Entry'!$$150)</f>
      </c>
      <c r="CC150">
        <f>IF(ISBLANK('Data Entry'!$$150), "", 'Data Entry'!$$150)</f>
      </c>
      <c r="CD150">
        <f>IF(ISBLANK('Data Entry'!$$150), "", 'Data Entry'!$$150)</f>
      </c>
      <c r="CE150">
        <f>IF(ISBLANK('Data Entry'!$$150), "", 'Data Entry'!$$150)</f>
      </c>
      <c r="CF150">
        <f>IF(ISBLANK('Data Entry'!$$150), "", 'Data Entry'!$$150)</f>
      </c>
      <c r="CG150">
        <f>IF(ISBLANK('Data Entry'!$$150), "", 'Data Entry'!$$150)</f>
      </c>
      <c r="CH150">
        <f>IF(ISBLANK('Data Entry'!$$150), "", 'Data Entry'!$$150)</f>
      </c>
      <c r="CI150">
        <f>IF(ISBLANK('Data Entry'!$$150), "", 'Data Entry'!$$150)</f>
      </c>
      <c r="CJ150">
        <f>IF(ISBLANK('Data Entry'!$$150), "", 'Data Entry'!$$150)</f>
      </c>
      <c r="CK150">
        <f>IF(ISBLANK('Data Entry'!$$150), "", 'Data Entry'!$$150)</f>
      </c>
      <c r="CL150">
        <f>IF(ISBLANK('Data Entry'!$$150), "", 'Data Entry'!$$150)</f>
      </c>
      <c r="CM150">
        <f>IF(ISBLANK('Data Entry'!$$150), "", 'Data Entry'!$$150)</f>
      </c>
      <c r="CN150">
        <f>IF(ISBLANK('Data Entry'!$$150), "", 'Data Entry'!$$150)</f>
      </c>
      <c r="CO150">
        <f>IF(ISBLANK('Data Entry'!$$150), "", 'Data Entry'!$$150)</f>
      </c>
      <c r="CP150">
        <f>IF(ISBLANK('Data Entry'!$$150), "", 'Data Entry'!$$150)</f>
      </c>
      <c r="CQ150">
        <f>IF(ISBLANK('Data Entry'!$$150), "", 'Data Entry'!$$150)</f>
      </c>
      <c r="CR150">
        <f>IF(ISBLANK('Data Entry'!$ $150), "", 'Data Entry'!$ $150)</f>
      </c>
      <c r="CS150">
        <f>IF(ISBLANK('Data Entry'!$¡$150), "", 'Data Entry'!$¡$150)</f>
      </c>
      <c r="CT150">
        <f>IF(ISBLANK('Data Entry'!$¢$150), "", 'Data Entry'!$¢$150)</f>
      </c>
      <c r="CU150">
        <f>IF(ISBLANK('Data Entry'!$£$150), "", 'Data Entry'!$£$150)</f>
      </c>
      <c r="CV150">
        <f>IF(ISBLANK('Data Entry'!$¤$150), "", 'Data Entry'!$¤$150)</f>
      </c>
      <c r="CW150">
        <f>IF(ISBLANK('Data Entry'!$¥$150), "", 'Data Entry'!$¥$150)</f>
      </c>
      <c r="CX150">
        <f>IF(ISBLANK('Data Entry'!$¦$150), "", 'Data Entry'!$¦$150)</f>
      </c>
      <c r="CY150">
        <f>IF(ISBLANK('Data Entry'!$§$150), "", 'Data Entry'!$§$150)</f>
      </c>
      <c r="CZ150">
        <f>IF(ISBLANK('Data Entry'!$¨$150), "", 'Data Entry'!$¨$150)</f>
      </c>
      <c r="DA150">
        <f>IF(ISBLANK('Data Entry'!$©$150), "", 'Data Entry'!$©$150)</f>
      </c>
      <c r="DB150">
        <f>IF(ISBLANK('Data Entry'!$ª$150), "", 'Data Entry'!$ª$150)</f>
      </c>
      <c r="DC150">
        <f>IF(ISBLANK('Data Entry'!$«$150), "", 'Data Entry'!$«$150)</f>
      </c>
      <c r="DD150">
        <f>IF(ISBLANK('Data Entry'!$¬$150), "", 'Data Entry'!$¬$150)</f>
      </c>
      <c r="DE150">
        <f>IF(ISBLANK('Data Entry'!$­$150), "", 'Data Entry'!$­$150)</f>
      </c>
      <c r="DF150">
        <f>IF(ISBLANK('Data Entry'!$®$150), "", 'Data Entry'!$®$150)</f>
      </c>
      <c r="DG150">
        <f>IF(ISBLANK('Data Entry'!$¯$150), "", 'Data Entry'!$¯$150)</f>
      </c>
      <c r="DH150">
        <f>IF(ISBLANK('Data Entry'!$°$150), "", 'Data Entry'!$°$150)</f>
      </c>
      <c r="DI150">
        <f>IF(ISBLANK('Data Entry'!$±$150), "", 'Data Entry'!$±$150)</f>
      </c>
      <c r="DJ150">
        <f>IF(ISBLANK('Data Entry'!$²$150), "", 'Data Entry'!$²$150)</f>
      </c>
      <c r="DK150">
        <f>IF(ISBLANK('Data Entry'!$³$150), "", 'Data Entry'!$³$150)</f>
      </c>
      <c r="DL150">
        <f>IF(ISBLANK('Data Entry'!$´$150), "", 'Data Entry'!$´$150)</f>
      </c>
      <c r="DM150">
        <f>IF(ISBLANK('Data Entry'!$µ$150), "", 'Data Entry'!$µ$150)</f>
      </c>
      <c r="DN150">
        <f>IF(ISBLANK('Data Entry'!$¶$150), "", 'Data Entry'!$¶$150)</f>
      </c>
      <c r="DO150">
        <f>IF(ISBLANK('Data Entry'!$·$150), "", 'Data Entry'!$·$150)</f>
      </c>
      <c r="DP150">
        <f>IF(ISBLANK('Data Entry'!$¸$150), "", 'Data Entry'!$¸$150)</f>
      </c>
      <c r="DQ150">
        <f>IF(ISBLANK('Data Entry'!$¹$150), "", 'Data Entry'!$¹$150)</f>
      </c>
      <c r="DR150">
        <f>IF(ISBLANK('Data Entry'!$º$150), "", 'Data Entry'!$º$150)</f>
      </c>
      <c r="DS150">
        <f>IF(ISBLANK('Data Entry'!$»$150), "", 'Data Entry'!$»$150)</f>
      </c>
      <c r="DT150">
        <f>IF(ISBLANK('Data Entry'!$¼$150), "", 'Data Entry'!$¼$150)</f>
      </c>
      <c r="DU150">
        <f>IF(ISBLANK('Data Entry'!$½$150), "", 'Data Entry'!$½$150)</f>
      </c>
      <c r="DV150">
        <f>IF(ISBLANK('Data Entry'!$¾$150), "", 'Data Entry'!$¾$150)</f>
      </c>
      <c r="DW150">
        <f>IF(ISBLANK('Data Entry'!$¿$150), "", 'Data Entry'!$¿$150)</f>
      </c>
      <c r="DX150">
        <f>IF(ISBLANK('Data Entry'!$À$150), "", 'Data Entry'!$À$150)</f>
      </c>
      <c r="DY150">
        <f>IF(ISBLANK('Data Entry'!$Á$150), "", 'Data Entry'!$Á$150)</f>
      </c>
      <c r="DZ150">
        <f>IF(ISBLANK('Data Entry'!$Â$150), "", 'Data Entry'!$Â$150)</f>
      </c>
      <c r="EA150">
        <f>IF(ISBLANK('Data Entry'!$Ã$150), "", 'Data Entry'!$Ã$150)</f>
      </c>
      <c r="EB150">
        <f>IF(ISBLANK('Data Entry'!$Ä$150), "", 'Data Entry'!$Ä$150)</f>
      </c>
      <c r="EC150">
        <f>IF(ISBLANK('Data Entry'!$Å$150), "", 'Data Entry'!$Å$150)</f>
      </c>
      <c r="ED150">
        <f>IF(ISBLANK('Data Entry'!$Æ$150), "", 'Data Entry'!$Æ$150)</f>
      </c>
      <c r="EE150">
        <f>IF(ISBLANK('Data Entry'!$Ç$150), "", 'Data Entry'!$Ç$150)</f>
      </c>
      <c r="EF150">
        <f>IF(ISBLANK('Data Entry'!$È$150), "", 'Data Entry'!$È$150)</f>
      </c>
      <c r="EG150">
        <f>IF(ISBLANK('Data Entry'!$É$150), "", 'Data Entry'!$É$150)</f>
      </c>
      <c r="EH150">
        <f>IF(ISBLANK('Data Entry'!$Ê$150), "", 'Data Entry'!$Ê$150)</f>
      </c>
      <c r="EI150">
        <f>IF(ISBLANK('Data Entry'!$Ë$150), "", 'Data Entry'!$Ë$150)</f>
      </c>
      <c r="EJ150">
        <f>IF(ISBLANK('Data Entry'!$Ì$150), "", 'Data Entry'!$Ì$150)</f>
      </c>
      <c r="EK150">
        <f>IF(ISBLANK('Data Entry'!$Í$150), "", 'Data Entry'!$Í$150)</f>
      </c>
      <c r="EL150">
        <f>IF(ISBLANK('Data Entry'!$Î$150), "", 'Data Entry'!$Î$150)</f>
      </c>
      <c r="EM150">
        <f>IF(ISBLANK('Data Entry'!$Ï$150), "", 'Data Entry'!$Ï$150)</f>
      </c>
      <c r="EN150">
        <f>IF(ISBLANK('Data Entry'!$Ð$150), "", 'Data Entry'!$Ð$150)</f>
      </c>
      <c r="EO150">
        <f>IF(ISBLANK('Data Entry'!$Ñ$150), "", 'Data Entry'!$Ñ$150)</f>
      </c>
      <c r="EP150">
        <f>IF(ISBLANK('Data Entry'!$Ò$150), "", 'Data Entry'!$Ò$150)</f>
      </c>
      <c r="EQ150">
        <f>IF(ISBLANK('Data Entry'!$Ó$150), "", 'Data Entry'!$Ó$150)</f>
      </c>
      <c r="ER150">
        <f>IF(ISBLANK('Data Entry'!$Ô$150), "", 'Data Entry'!$Ô$150)</f>
      </c>
      <c r="ES150">
        <f>IF(ISBLANK('Data Entry'!$Õ$150), "", 'Data Entry'!$Õ$150)</f>
      </c>
      <c r="ET150">
        <f>IF(ISBLANK('Data Entry'!$Ö$150), "", 'Data Entry'!$Ö$150)</f>
      </c>
      <c r="EU150">
        <f>IF(ISBLANK('Data Entry'!$×$150), "", 'Data Entry'!$×$150)</f>
      </c>
      <c r="EV150">
        <f>IF(ISBLANK('Data Entry'!$Ø$150), "", 'Data Entry'!$Ø$150)</f>
      </c>
      <c r="EW150">
        <f>IF(ISBLANK('Data Entry'!$Ù$150), "", 'Data Entry'!$Ù$150)</f>
      </c>
      <c r="EX150">
        <f>IF(ISBLANK('Data Entry'!$Ú$150), "", 'Data Entry'!$Ú$150)</f>
      </c>
      <c r="EY150">
        <f>IF(ISBLANK('Data Entry'!$Û$150), "", 'Data Entry'!$Û$150)</f>
      </c>
      <c r="EZ150">
        <f>IF(ISBLANK('Data Entry'!$Ü$150), "", 'Data Entry'!$Ü$150)</f>
      </c>
      <c r="FA150">
        <f>IF(ISBLANK('Data Entry'!$Ý$150), "", 'Data Entry'!$Ý$150)</f>
      </c>
      <c r="FB150">
        <f>IF(ISBLANK('Data Entry'!$Þ$150), "", 'Data Entry'!$Þ$150)</f>
      </c>
      <c r="FC150">
        <f>IF(ISBLANK('Data Entry'!$ß$150), "", 'Data Entry'!$ß$150)</f>
      </c>
      <c r="FD150">
        <f>IF(ISBLANK('Data Entry'!$à$150), "", 'Data Entry'!$à$150)</f>
      </c>
      <c r="FE150">
        <f>IF(ISBLANK('Data Entry'!$á$150), "", 'Data Entry'!$á$150)</f>
      </c>
      <c r="FF150">
        <f>IF(ISBLANK('Data Entry'!$â$150), "", 'Data Entry'!$â$150)</f>
      </c>
      <c r="FG150">
        <f>IF(ISBLANK('Data Entry'!$ã$150), "", 'Data Entry'!$ã$150)</f>
      </c>
      <c r="FH150">
        <f>IF(ISBLANK('Data Entry'!$ä$150), "", 'Data Entry'!$ä$150)</f>
      </c>
      <c r="FI150">
        <f>IF(ISBLANK('Data Entry'!$å$150), "", 'Data Entry'!$å$150)</f>
      </c>
      <c r="FJ150">
        <f>IF(ISBLANK('Data Entry'!$æ$150), "", 'Data Entry'!$æ$150)</f>
      </c>
      <c r="FK150">
        <f>IF(ISBLANK('Data Entry'!$ç$150), "", 'Data Entry'!$ç$150)</f>
      </c>
      <c r="FL150">
        <f>IF(ISBLANK('Data Entry'!$è$150), "", 'Data Entry'!$è$150)</f>
      </c>
      <c r="FM150">
        <f>IF(ISBLANK('Data Entry'!$é$150), "", 'Data Entry'!$é$150)</f>
      </c>
      <c r="FN150">
        <f>IF(ISBLANK('Data Entry'!$ê$150), "", 'Data Entry'!$ê$150)</f>
      </c>
      <c r="FO150">
        <f>IF(ISBLANK('Data Entry'!$ë$150), "", 'Data Entry'!$ë$150)</f>
      </c>
      <c r="FP150">
        <f>IF(ISBLANK('Data Entry'!$ì$150), "", 'Data Entry'!$ì$150)</f>
      </c>
      <c r="FQ150">
        <f>IF(ISBLANK('Data Entry'!$í$150), "", 'Data Entry'!$í$150)</f>
      </c>
      <c r="FR150">
        <f>IF(ISBLANK('Data Entry'!$î$150), "", 'Data Entry'!$î$150)</f>
      </c>
      <c r="FS150">
        <f>IF(ISBLANK('Data Entry'!$ï$150), "", 'Data Entry'!$ï$150)</f>
      </c>
      <c r="FT150">
        <f>IF(ISBLANK('Data Entry'!$ð$150), "", 'Data Entry'!$ð$150)</f>
      </c>
      <c r="FU150">
        <f>IF(ISBLANK('Data Entry'!$ñ$150), "", 'Data Entry'!$ñ$150)</f>
      </c>
      <c r="FV150">
        <f>IF(ISBLANK('Data Entry'!$ò$150), "", 'Data Entry'!$ò$150)</f>
      </c>
      <c r="FW150">
        <f>IF(ISBLANK('Data Entry'!$ó$150), "", 'Data Entry'!$ó$150)</f>
      </c>
      <c r="FX150">
        <f>IF(ISBLANK('Data Entry'!$ô$150), "", 'Data Entry'!$ô$150)</f>
      </c>
      <c r="FY150">
        <f>IF(ISBLANK('Data Entry'!$õ$150), "", 'Data Entry'!$õ$150)</f>
      </c>
      <c r="FZ150">
        <f>IF(ISBLANK('Data Entry'!$ö$150), "", 'Data Entry'!$ö$150)</f>
      </c>
      <c r="GA150">
        <f>IF(ISBLANK('Data Entry'!$÷$150), "", 'Data Entry'!$÷$150)</f>
      </c>
      <c r="GB150">
        <f>IF(ISBLANK('Data Entry'!$ø$150), "", 'Data Entry'!$ø$150)</f>
      </c>
      <c r="GC150">
        <f>IF(ISBLANK('Data Entry'!$ù$150), "", 'Data Entry'!$ù$150)</f>
      </c>
      <c r="GD150">
        <f>IF(ISBLANK('Data Entry'!$ú$150), "", 'Data Entry'!$ú$150)</f>
      </c>
      <c r="GE150">
        <f>IF(ISBLANK('Data Entry'!$û$150), "", 'Data Entry'!$û$150)</f>
      </c>
      <c r="GF150">
        <f>IF(ISBLANK('Data Entry'!$ü$150), "", 'Data Entry'!$ü$150)</f>
      </c>
      <c r="GG150">
        <f>IF(ISBLANK('Data Entry'!$ý$150), "", 'Data Entry'!$ý$150)</f>
      </c>
      <c r="GH150">
        <f>IF(ISBLANK('Data Entry'!$þ$150), "", 'Data Entry'!$þ$150)</f>
      </c>
      <c r="GI150">
        <f>IF(ISBLANK('Data Entry'!$ÿ$150), "", 'Data Entry'!$ÿ$150)</f>
      </c>
      <c r="GJ150">
        <f>IF(ISBLANK('Data Entry'!$Ā$150), "", 'Data Entry'!$Ā$150)</f>
      </c>
      <c r="GK150">
        <f>IF(ISBLANK('Data Entry'!$ā$150), "", 'Data Entry'!$ā$150)</f>
      </c>
      <c r="GL150">
        <f>IF(ISBLANK('Data Entry'!$Ă$150), "", 'Data Entry'!$Ă$150)</f>
      </c>
      <c r="GM150">
        <f>IF(ISBLANK('Data Entry'!$ă$150), "", 'Data Entry'!$ă$150)</f>
      </c>
      <c r="GN150">
        <f>IF(ISBLANK('Data Entry'!$Ą$150), "", 'Data Entry'!$Ą$150)</f>
      </c>
      <c r="GO150">
        <f>IF(ISBLANK('Data Entry'!$ą$150), "", 'Data Entry'!$ą$150)</f>
      </c>
      <c r="GP150">
        <f>IF(ISBLANK('Data Entry'!$Ć$150), "", 'Data Entry'!$Ć$150)</f>
      </c>
      <c r="GQ150">
        <f>IF(ISBLANK('Data Entry'!$ć$150), "", 'Data Entry'!$ć$150)</f>
      </c>
      <c r="GR150">
        <f>IF(ISBLANK('Data Entry'!$Ĉ$150), "", 'Data Entry'!$Ĉ$150)</f>
      </c>
      <c r="GS150">
        <f>IF(ISBLANK('Data Entry'!$ĉ$150), "", 'Data Entry'!$ĉ$150)</f>
      </c>
      <c r="GT150">
        <f>IF(ISBLANK('Data Entry'!$Ċ$150), "", 'Data Entry'!$Ċ$150)</f>
      </c>
      <c r="GU150">
        <f>IF(ISBLANK('Data Entry'!$ċ$150), "", 'Data Entry'!$ċ$150)</f>
      </c>
      <c r="GV150">
        <f>IF(ISBLANK('Data Entry'!$Č$150), "", 'Data Entry'!$Č$150)</f>
      </c>
      <c r="GW150">
        <f>IF(ISBLANK('Data Entry'!$č$150), "", 'Data Entry'!$č$150)</f>
      </c>
      <c r="GX150">
        <f>IF(ISBLANK('Data Entry'!$Ď$150), "", 'Data Entry'!$Ď$150)</f>
      </c>
      <c r="GY150">
        <f>IF(ISBLANK('Data Entry'!$ď$150), "", 'Data Entry'!$ď$150)</f>
      </c>
      <c r="GZ150">
        <f>IF(ISBLANK('Data Entry'!$Đ$150), "", 'Data Entry'!$Đ$150)</f>
      </c>
      <c r="HA150">
        <f>IF(ISBLANK('Data Entry'!$đ$150), "", 'Data Entry'!$đ$150)</f>
      </c>
      <c r="HB150">
        <f>IF(ISBLANK('Data Entry'!$Ē$150), "", 'Data Entry'!$Ē$150)</f>
      </c>
      <c r="HC150">
        <f>IF(ISBLANK('Data Entry'!$ē$150), "", 'Data Entry'!$ē$150)</f>
      </c>
      <c r="HD150">
        <f>IF(ISBLANK('Data Entry'!$Ĕ$150), "", 'Data Entry'!$Ĕ$150)</f>
      </c>
      <c r="HE150">
        <f>IF(ISBLANK('Data Entry'!$ĕ$150), "", 'Data Entry'!$ĕ$150)</f>
      </c>
      <c r="HF150">
        <f>IF(ISBLANK('Data Entry'!$Ė$150), "", 'Data Entry'!$Ė$150)</f>
      </c>
      <c r="HG150">
        <f>IF(ISBLANK('Data Entry'!$ė$150), "", 'Data Entry'!$ė$150)</f>
      </c>
      <c r="HH150">
        <f>IF(ISBLANK('Data Entry'!$Ę$150), "", 'Data Entry'!$Ę$150)</f>
      </c>
      <c r="HI150">
        <f>IF(ISBLANK('Data Entry'!$ę$150), "", 'Data Entry'!$ę$150)</f>
      </c>
      <c r="HJ150">
        <f>IF(ISBLANK('Data Entry'!$Ě$150), "", 'Data Entry'!$Ě$150)</f>
      </c>
      <c r="HK150">
        <f>IF(ISBLANK('Data Entry'!$ě$150), "", 'Data Entry'!$ě$150)</f>
      </c>
      <c r="HL150">
        <f>IF(ISBLANK('Data Entry'!$Ĝ$150), "", 'Data Entry'!$Ĝ$150)</f>
      </c>
      <c r="HM150">
        <f>IF(ISBLANK('Data Entry'!$ĝ$150), "", 'Data Entry'!$ĝ$150)</f>
      </c>
      <c r="HN150">
        <f>IF(ISBLANK('Data Entry'!$Ğ$150), "", 'Data Entry'!$Ğ$150)</f>
      </c>
      <c r="HO150">
        <f>IF(ISBLANK('Data Entry'!$ğ$150), "", 'Data Entry'!$ğ$150)</f>
      </c>
      <c r="HP150">
        <f>IF(ISBLANK('Data Entry'!$Ġ$150), "", 'Data Entry'!$Ġ$150)</f>
      </c>
      <c r="HQ150">
        <f>IF(ISBLANK('Data Entry'!$ġ$150), "", 'Data Entry'!$ġ$150)</f>
      </c>
      <c r="HR150">
        <f>IF(ISBLANK('Data Entry'!$Ģ$150), "", 'Data Entry'!$Ģ$150)</f>
      </c>
      <c r="HS150">
        <f>IF(ISBLANK('Data Entry'!$ģ$150), "", 'Data Entry'!$ģ$150)</f>
      </c>
      <c r="HT150">
        <f>IF(ISBLANK('Data Entry'!$Ĥ$150), "", 'Data Entry'!$Ĥ$150)</f>
      </c>
      <c r="HU150">
        <f>IF(ISBLANK('Data Entry'!$ĥ$150), "", 'Data Entry'!$ĥ$150)</f>
      </c>
      <c r="HV150">
        <f>IF(ISBLANK('Data Entry'!$Ħ$150), "", 'Data Entry'!$Ħ$150)</f>
      </c>
      <c r="HW150">
        <f>IF(ISBLANK('Data Entry'!$ħ$150), "", 'Data Entry'!$ħ$150)</f>
      </c>
      <c r="HX150">
        <f>IF(ISBLANK('Data Entry'!$Ĩ$150), "", 'Data Entry'!$Ĩ$150)</f>
      </c>
      <c r="HY150">
        <f>IF(ISBLANK('Data Entry'!$ĩ$150), "", 'Data Entry'!$ĩ$150)</f>
      </c>
      <c r="HZ150">
        <f>IF(ISBLANK('Data Entry'!$Ī$150), "", 'Data Entry'!$Ī$150)</f>
      </c>
      <c r="IA150">
        <f>IF(ISBLANK('Data Entry'!$ī$150), "", 'Data Entry'!$ī$150)</f>
      </c>
      <c r="IB150">
        <f>IF(ISBLANK('Data Entry'!$Ĭ$150), "", 'Data Entry'!$Ĭ$150)</f>
      </c>
      <c r="IC150">
        <f>IF(ISBLANK('Data Entry'!$ĭ$150), "", 'Data Entry'!$ĭ$150)</f>
      </c>
      <c r="ID150">
        <f>IF(ISBLANK('Data Entry'!$Į$150), "", 'Data Entry'!$Į$150)</f>
      </c>
      <c r="IE150">
        <f>IF(ISBLANK('Data Entry'!$į$150), "", 'Data Entry'!$į$150)</f>
      </c>
      <c r="IF150">
        <f>IF(ISBLANK('Data Entry'!$İ$150), "", 'Data Entry'!$İ$150)</f>
      </c>
      <c r="IG150">
        <f>IF(ISBLANK('Data Entry'!$ı$150), "", 'Data Entry'!$ı$150)</f>
      </c>
      <c r="IH150">
        <f>IF(ISBLANK('Data Entry'!$Ĳ$150), "", 'Data Entry'!$Ĳ$150)</f>
      </c>
      <c r="II150">
        <f>IF(ISBLANK('Data Entry'!$ĳ$150), "", 'Data Entry'!$ĳ$150)</f>
      </c>
      <c r="IJ150">
        <f>IF(ISBLANK('Data Entry'!$Ĵ$150), "", 'Data Entry'!$Ĵ$150)</f>
      </c>
      <c r="IK150">
        <f>IF(ISBLANK('Data Entry'!$ĵ$150), "", 'Data Entry'!$ĵ$150)</f>
      </c>
      <c r="IL150">
        <f>IF(ISBLANK('Data Entry'!$Ķ$150), "", 'Data Entry'!$Ķ$150)</f>
      </c>
      <c r="IM150">
        <f>IF(ISBLANK('Data Entry'!$ķ$150), "", 'Data Entry'!$ķ$150)</f>
      </c>
      <c r="IN150">
        <f>IF(ISBLANK('Data Entry'!$ĸ$150), "", 'Data Entry'!$ĸ$150)</f>
      </c>
      <c r="IO150">
        <f>IF(ISBLANK('Data Entry'!$Ĺ$150), "", 'Data Entry'!$Ĺ$150)</f>
      </c>
      <c r="IP150">
        <f>IF(ISBLANK('Data Entry'!$ĺ$150), "", 'Data Entry'!$ĺ$150)</f>
      </c>
      <c r="IQ150">
        <f>IF(ISBLANK('Data Entry'!$Ļ$150), "", 'Data Entry'!$Ļ$150)</f>
      </c>
      <c r="IR150">
        <f>IF(ISBLANK('Data Entry'!$ļ$150), "", 'Data Entry'!$ļ$150)</f>
      </c>
      <c r="IS150">
        <f>IF(ISBLANK('Data Entry'!$Ľ$150), "", 'Data Entry'!$Ľ$150)</f>
      </c>
      <c r="IT150">
        <f>IF(ISBLANK('Data Entry'!$ľ$150), "", 'Data Entry'!$ľ$150)</f>
      </c>
    </row>
    <row r="151" spans="1:254" x14ac:dyDescent="0.25">
      <c r="A151">
        <f>IF(ISBLANK('Data Entry'!$A$151), "", 'Data Entry'!$A$151)</f>
      </c>
      <c r="B151">
        <f>IF(ISBLANK('Data Entry'!$B$151), "", 'Data Entry'!$B$151)</f>
      </c>
      <c r="C151">
        <f>IF(ISBLANK('Data Entry'!$C$151), "", 'Data Entry'!$C$151)</f>
      </c>
      <c r="D151">
        <f>IF(ISBLANK('Data Entry'!$D$151), "", 'Data Entry'!$D$151)</f>
      </c>
      <c r="E151">
        <f>IF(ISBLANK('Data Entry'!$E$151), "", 'Data Entry'!$E$151)</f>
      </c>
      <c r="F151">
        <f>IF(ISBLANK('Data Entry'!$F$151), "", 'Data Entry'!$F$151)</f>
      </c>
      <c r="G151">
        <f>IF(ISBLANK('Data Entry'!$G$151), "", 'Data Entry'!$G$151)</f>
      </c>
      <c r="H151">
        <f>IF(ISBLANK('Data Entry'!$H$151), "", 'Data Entry'!$H$151)</f>
      </c>
      <c r="I151">
        <f>IF(ISBLANK('Data Entry'!$I$151), "", 'Data Entry'!$I$151)</f>
      </c>
      <c r="J151">
        <f>IF(ISBLANK('Data Entry'!$J$151), "", 'Data Entry'!$J$151)</f>
      </c>
      <c r="K151">
        <f>IF(ISBLANK('Data Entry'!$K$151), "", 'Data Entry'!$K$151)</f>
      </c>
      <c r="L151">
        <f>IF(ISBLANK('Data Entry'!$L$151), "", 'Data Entry'!$L$151)</f>
      </c>
      <c r="M151">
        <f>IF(ISBLANK('Data Entry'!$M$151), "", 'Data Entry'!$M$151)</f>
      </c>
      <c r="N151">
        <f>IF(ISBLANK('Data Entry'!$N$151), "", 'Data Entry'!$N$151)</f>
      </c>
      <c r="O151">
        <f>IF(ISBLANK('Data Entry'!$O$151), "", 'Data Entry'!$O$151)</f>
      </c>
      <c r="P151">
        <f>IF(ISBLANK('Data Entry'!$P$151), "", 'Data Entry'!$P$151)</f>
      </c>
      <c r="Q151">
        <f>IF(ISBLANK('Data Entry'!$Q$151), "", 'Data Entry'!$Q$151)</f>
      </c>
      <c r="R151">
        <f>IF(ISBLANK('Data Entry'!$R$151), "", 'Data Entry'!$R$151)</f>
      </c>
      <c r="S151">
        <f>IF(ISBLANK('Data Entry'!$S$151), "", 'Data Entry'!$S$151)</f>
      </c>
      <c r="T151">
        <f>IF(ISBLANK('Data Entry'!$T$151), "", 'Data Entry'!$T$151)</f>
      </c>
      <c r="U151">
        <f>IF(ISBLANK('Data Entry'!$U$151), "", 'Data Entry'!$U$151)</f>
      </c>
      <c r="V151">
        <f>IF(ISBLANK('Data Entry'!$V$151), "", 'Data Entry'!$V$151)</f>
      </c>
      <c r="W151">
        <f>IF(ISBLANK('Data Entry'!$W$151), "", 'Data Entry'!$W$151)</f>
      </c>
      <c r="X151">
        <f>IF(ISBLANK('Data Entry'!$X$151), "", 'Data Entry'!$X$151)</f>
      </c>
      <c r="Y151">
        <f>IF(ISBLANK('Data Entry'!$Y$151), "", 'Data Entry'!$Y$151)</f>
      </c>
      <c r="Z151">
        <f>IF(ISBLANK('Data Entry'!$Z$151), "", 'Data Entry'!$Z$151)</f>
      </c>
      <c r="AA151">
        <f>IF(ISBLANK('Data Entry'!$[$151), "", 'Data Entry'!$[$151)</f>
      </c>
      <c r="AB151">
        <f>IF(ISBLANK('Data Entry'!$\$151), "", 'Data Entry'!$\$151)</f>
      </c>
      <c r="AC151">
        <f>IF(ISBLANK('Data Entry'!$]$151), "", 'Data Entry'!$]$151)</f>
      </c>
      <c r="AD151">
        <f>IF(ISBLANK('Data Entry'!$^$151), "", 'Data Entry'!$^$151)</f>
      </c>
      <c r="AE151">
        <f>IF(ISBLANK('Data Entry'!$_$151), "", 'Data Entry'!$_$151)</f>
      </c>
      <c r="AF151">
        <f>IF(ISBLANK('Data Entry'!$`$151), "", 'Data Entry'!$`$151)</f>
      </c>
      <c r="AG151">
        <f>IF(ISBLANK('Data Entry'!$a$151), "", 'Data Entry'!$a$151)</f>
      </c>
      <c r="AH151">
        <f>IF(ISBLANK('Data Entry'!$b$151), "", 'Data Entry'!$b$151)</f>
      </c>
      <c r="AI151">
        <f>IF(ISBLANK('Data Entry'!$c$151), "", 'Data Entry'!$c$151)</f>
      </c>
      <c r="AJ151">
        <f>IF(ISBLANK('Data Entry'!$d$151), "", 'Data Entry'!$d$151)</f>
      </c>
      <c r="AK151">
        <f>IF(ISBLANK('Data Entry'!$e$151), "", 'Data Entry'!$e$151)</f>
      </c>
      <c r="AL151">
        <f>IF(ISBLANK('Data Entry'!$f$151), "", 'Data Entry'!$f$151)</f>
      </c>
      <c r="AM151">
        <f>IF(ISBLANK('Data Entry'!$g$151), "", 'Data Entry'!$g$151)</f>
      </c>
      <c r="AN151">
        <f>IF(ISBLANK('Data Entry'!$h$151), "", 'Data Entry'!$h$151)</f>
      </c>
      <c r="AO151">
        <f>IF(ISBLANK('Data Entry'!$i$151), "", 'Data Entry'!$i$151)</f>
      </c>
      <c r="AP151">
        <f>IF(ISBLANK('Data Entry'!$j$151), "", 'Data Entry'!$j$151)</f>
      </c>
      <c r="AQ151">
        <f>IF(ISBLANK('Data Entry'!$k$151), "", 'Data Entry'!$k$151)</f>
      </c>
      <c r="AR151">
        <f>IF(ISBLANK('Data Entry'!$l$151), "", 'Data Entry'!$l$151)</f>
      </c>
      <c r="AS151">
        <f>IF(ISBLANK('Data Entry'!$m$151), "", 'Data Entry'!$m$151)</f>
      </c>
      <c r="AT151">
        <f>IF(ISBLANK('Data Entry'!$n$151), "", 'Data Entry'!$n$151)</f>
      </c>
      <c r="AU151">
        <f>IF(ISBLANK('Data Entry'!$o$151), "", 'Data Entry'!$o$151)</f>
      </c>
      <c r="AV151">
        <f>IF(ISBLANK('Data Entry'!$p$151), "", 'Data Entry'!$p$151)</f>
      </c>
      <c r="AW151">
        <f>IF(ISBLANK('Data Entry'!$q$151), "", 'Data Entry'!$q$151)</f>
      </c>
      <c r="AX151">
        <f>IF(ISBLANK('Data Entry'!$r$151), "", 'Data Entry'!$r$151)</f>
      </c>
      <c r="AY151">
        <f>IF(ISBLANK('Data Entry'!$s$151), "", 'Data Entry'!$s$151)</f>
      </c>
      <c r="AZ151">
        <f>IF(ISBLANK('Data Entry'!$t$151), "", 'Data Entry'!$t$151)</f>
      </c>
      <c r="BA151">
        <f>IF(ISBLANK('Data Entry'!$u$151), "", 'Data Entry'!$u$151)</f>
      </c>
      <c r="BB151">
        <f>IF(ISBLANK('Data Entry'!$v$151), "", 'Data Entry'!$v$151)</f>
      </c>
      <c r="BC151">
        <f>IF(ISBLANK('Data Entry'!$w$151), "", 'Data Entry'!$w$151)</f>
      </c>
      <c r="BD151">
        <f>IF(ISBLANK('Data Entry'!$x$151), "", 'Data Entry'!$x$151)</f>
      </c>
      <c r="BE151">
        <f>IF(ISBLANK('Data Entry'!$y$151), "", 'Data Entry'!$y$151)</f>
      </c>
      <c r="BF151">
        <f>IF(ISBLANK('Data Entry'!$z$151), "", 'Data Entry'!$z$151)</f>
      </c>
      <c r="BG151">
        <f>IF(ISBLANK('Data Entry'!${$151), "", 'Data Entry'!${$151)</f>
      </c>
      <c r="BH151">
        <f>IF(ISBLANK('Data Entry'!$|$151), "", 'Data Entry'!$|$151)</f>
      </c>
      <c r="BI151">
        <f>IF(ISBLANK('Data Entry'!$}$151), "", 'Data Entry'!$}$151)</f>
      </c>
      <c r="BJ151">
        <f>IF(ISBLANK('Data Entry'!$~$151), "", 'Data Entry'!$~$151)</f>
      </c>
      <c r="BK151">
        <f>IF(ISBLANK('Data Entry'!$$151), "", 'Data Entry'!$$151)</f>
      </c>
      <c r="BL151">
        <f>IF(ISBLANK('Data Entry'!$$151), "", 'Data Entry'!$$151)</f>
      </c>
      <c r="BM151">
        <f>IF(ISBLANK('Data Entry'!$$151), "", 'Data Entry'!$$151)</f>
      </c>
      <c r="BN151">
        <f>IF(ISBLANK('Data Entry'!$$151), "", 'Data Entry'!$$151)</f>
      </c>
      <c r="BO151">
        <f>IF(ISBLANK('Data Entry'!$$151), "", 'Data Entry'!$$151)</f>
      </c>
      <c r="BP151">
        <f>IF(ISBLANK('Data Entry'!$$151), "", 'Data Entry'!$$151)</f>
      </c>
      <c r="BQ151">
        <f>IF(ISBLANK('Data Entry'!$$151), "", 'Data Entry'!$$151)</f>
      </c>
      <c r="BR151">
        <f>IF(ISBLANK('Data Entry'!$$151), "", 'Data Entry'!$$151)</f>
      </c>
      <c r="BS151">
        <f>IF(ISBLANK('Data Entry'!$$151), "", 'Data Entry'!$$151)</f>
      </c>
      <c r="BT151">
        <f>IF(ISBLANK('Data Entry'!$$151), "", 'Data Entry'!$$151)</f>
      </c>
      <c r="BU151">
        <f>IF(ISBLANK('Data Entry'!$$151), "", 'Data Entry'!$$151)</f>
      </c>
      <c r="BV151">
        <f>IF(ISBLANK('Data Entry'!$$151), "", 'Data Entry'!$$151)</f>
      </c>
      <c r="BW151">
        <f>IF(ISBLANK('Data Entry'!$$151), "", 'Data Entry'!$$151)</f>
      </c>
      <c r="BX151">
        <f>IF(ISBLANK('Data Entry'!$$151), "", 'Data Entry'!$$151)</f>
      </c>
      <c r="BY151">
        <f>IF(ISBLANK('Data Entry'!$$151), "", 'Data Entry'!$$151)</f>
      </c>
      <c r="BZ151">
        <f>IF(ISBLANK('Data Entry'!$$151), "", 'Data Entry'!$$151)</f>
      </c>
      <c r="CA151">
        <f>IF(ISBLANK('Data Entry'!$$151), "", 'Data Entry'!$$151)</f>
      </c>
      <c r="CB151">
        <f>IF(ISBLANK('Data Entry'!$$151), "", 'Data Entry'!$$151)</f>
      </c>
      <c r="CC151">
        <f>IF(ISBLANK('Data Entry'!$$151), "", 'Data Entry'!$$151)</f>
      </c>
      <c r="CD151">
        <f>IF(ISBLANK('Data Entry'!$$151), "", 'Data Entry'!$$151)</f>
      </c>
      <c r="CE151">
        <f>IF(ISBLANK('Data Entry'!$$151), "", 'Data Entry'!$$151)</f>
      </c>
      <c r="CF151">
        <f>IF(ISBLANK('Data Entry'!$$151), "", 'Data Entry'!$$151)</f>
      </c>
      <c r="CG151">
        <f>IF(ISBLANK('Data Entry'!$$151), "", 'Data Entry'!$$151)</f>
      </c>
      <c r="CH151">
        <f>IF(ISBLANK('Data Entry'!$$151), "", 'Data Entry'!$$151)</f>
      </c>
      <c r="CI151">
        <f>IF(ISBLANK('Data Entry'!$$151), "", 'Data Entry'!$$151)</f>
      </c>
      <c r="CJ151">
        <f>IF(ISBLANK('Data Entry'!$$151), "", 'Data Entry'!$$151)</f>
      </c>
      <c r="CK151">
        <f>IF(ISBLANK('Data Entry'!$$151), "", 'Data Entry'!$$151)</f>
      </c>
      <c r="CL151">
        <f>IF(ISBLANK('Data Entry'!$$151), "", 'Data Entry'!$$151)</f>
      </c>
      <c r="CM151">
        <f>IF(ISBLANK('Data Entry'!$$151), "", 'Data Entry'!$$151)</f>
      </c>
      <c r="CN151">
        <f>IF(ISBLANK('Data Entry'!$$151), "", 'Data Entry'!$$151)</f>
      </c>
      <c r="CO151">
        <f>IF(ISBLANK('Data Entry'!$$151), "", 'Data Entry'!$$151)</f>
      </c>
      <c r="CP151">
        <f>IF(ISBLANK('Data Entry'!$$151), "", 'Data Entry'!$$151)</f>
      </c>
      <c r="CQ151">
        <f>IF(ISBLANK('Data Entry'!$$151), "", 'Data Entry'!$$151)</f>
      </c>
      <c r="CR151">
        <f>IF(ISBLANK('Data Entry'!$ $151), "", 'Data Entry'!$ $151)</f>
      </c>
      <c r="CS151">
        <f>IF(ISBLANK('Data Entry'!$¡$151), "", 'Data Entry'!$¡$151)</f>
      </c>
      <c r="CT151">
        <f>IF(ISBLANK('Data Entry'!$¢$151), "", 'Data Entry'!$¢$151)</f>
      </c>
      <c r="CU151">
        <f>IF(ISBLANK('Data Entry'!$£$151), "", 'Data Entry'!$£$151)</f>
      </c>
      <c r="CV151">
        <f>IF(ISBLANK('Data Entry'!$¤$151), "", 'Data Entry'!$¤$151)</f>
      </c>
      <c r="CW151">
        <f>IF(ISBLANK('Data Entry'!$¥$151), "", 'Data Entry'!$¥$151)</f>
      </c>
      <c r="CX151">
        <f>IF(ISBLANK('Data Entry'!$¦$151), "", 'Data Entry'!$¦$151)</f>
      </c>
      <c r="CY151">
        <f>IF(ISBLANK('Data Entry'!$§$151), "", 'Data Entry'!$§$151)</f>
      </c>
      <c r="CZ151">
        <f>IF(ISBLANK('Data Entry'!$¨$151), "", 'Data Entry'!$¨$151)</f>
      </c>
      <c r="DA151">
        <f>IF(ISBLANK('Data Entry'!$©$151), "", 'Data Entry'!$©$151)</f>
      </c>
      <c r="DB151">
        <f>IF(ISBLANK('Data Entry'!$ª$151), "", 'Data Entry'!$ª$151)</f>
      </c>
      <c r="DC151">
        <f>IF(ISBLANK('Data Entry'!$«$151), "", 'Data Entry'!$«$151)</f>
      </c>
      <c r="DD151">
        <f>IF(ISBLANK('Data Entry'!$¬$151), "", 'Data Entry'!$¬$151)</f>
      </c>
      <c r="DE151">
        <f>IF(ISBLANK('Data Entry'!$­$151), "", 'Data Entry'!$­$151)</f>
      </c>
      <c r="DF151">
        <f>IF(ISBLANK('Data Entry'!$®$151), "", 'Data Entry'!$®$151)</f>
      </c>
      <c r="DG151">
        <f>IF(ISBLANK('Data Entry'!$¯$151), "", 'Data Entry'!$¯$151)</f>
      </c>
      <c r="DH151">
        <f>IF(ISBLANK('Data Entry'!$°$151), "", 'Data Entry'!$°$151)</f>
      </c>
      <c r="DI151">
        <f>IF(ISBLANK('Data Entry'!$±$151), "", 'Data Entry'!$±$151)</f>
      </c>
      <c r="DJ151">
        <f>IF(ISBLANK('Data Entry'!$²$151), "", 'Data Entry'!$²$151)</f>
      </c>
      <c r="DK151">
        <f>IF(ISBLANK('Data Entry'!$³$151), "", 'Data Entry'!$³$151)</f>
      </c>
      <c r="DL151">
        <f>IF(ISBLANK('Data Entry'!$´$151), "", 'Data Entry'!$´$151)</f>
      </c>
      <c r="DM151">
        <f>IF(ISBLANK('Data Entry'!$µ$151), "", 'Data Entry'!$µ$151)</f>
      </c>
      <c r="DN151">
        <f>IF(ISBLANK('Data Entry'!$¶$151), "", 'Data Entry'!$¶$151)</f>
      </c>
      <c r="DO151">
        <f>IF(ISBLANK('Data Entry'!$·$151), "", 'Data Entry'!$·$151)</f>
      </c>
      <c r="DP151">
        <f>IF(ISBLANK('Data Entry'!$¸$151), "", 'Data Entry'!$¸$151)</f>
      </c>
      <c r="DQ151">
        <f>IF(ISBLANK('Data Entry'!$¹$151), "", 'Data Entry'!$¹$151)</f>
      </c>
      <c r="DR151">
        <f>IF(ISBLANK('Data Entry'!$º$151), "", 'Data Entry'!$º$151)</f>
      </c>
      <c r="DS151">
        <f>IF(ISBLANK('Data Entry'!$»$151), "", 'Data Entry'!$»$151)</f>
      </c>
      <c r="DT151">
        <f>IF(ISBLANK('Data Entry'!$¼$151), "", 'Data Entry'!$¼$151)</f>
      </c>
      <c r="DU151">
        <f>IF(ISBLANK('Data Entry'!$½$151), "", 'Data Entry'!$½$151)</f>
      </c>
      <c r="DV151">
        <f>IF(ISBLANK('Data Entry'!$¾$151), "", 'Data Entry'!$¾$151)</f>
      </c>
      <c r="DW151">
        <f>IF(ISBLANK('Data Entry'!$¿$151), "", 'Data Entry'!$¿$151)</f>
      </c>
      <c r="DX151">
        <f>IF(ISBLANK('Data Entry'!$À$151), "", 'Data Entry'!$À$151)</f>
      </c>
      <c r="DY151">
        <f>IF(ISBLANK('Data Entry'!$Á$151), "", 'Data Entry'!$Á$151)</f>
      </c>
      <c r="DZ151">
        <f>IF(ISBLANK('Data Entry'!$Â$151), "", 'Data Entry'!$Â$151)</f>
      </c>
      <c r="EA151">
        <f>IF(ISBLANK('Data Entry'!$Ã$151), "", 'Data Entry'!$Ã$151)</f>
      </c>
      <c r="EB151">
        <f>IF(ISBLANK('Data Entry'!$Ä$151), "", 'Data Entry'!$Ä$151)</f>
      </c>
      <c r="EC151">
        <f>IF(ISBLANK('Data Entry'!$Å$151), "", 'Data Entry'!$Å$151)</f>
      </c>
      <c r="ED151">
        <f>IF(ISBLANK('Data Entry'!$Æ$151), "", 'Data Entry'!$Æ$151)</f>
      </c>
      <c r="EE151">
        <f>IF(ISBLANK('Data Entry'!$Ç$151), "", 'Data Entry'!$Ç$151)</f>
      </c>
      <c r="EF151">
        <f>IF(ISBLANK('Data Entry'!$È$151), "", 'Data Entry'!$È$151)</f>
      </c>
      <c r="EG151">
        <f>IF(ISBLANK('Data Entry'!$É$151), "", 'Data Entry'!$É$151)</f>
      </c>
      <c r="EH151">
        <f>IF(ISBLANK('Data Entry'!$Ê$151), "", 'Data Entry'!$Ê$151)</f>
      </c>
      <c r="EI151">
        <f>IF(ISBLANK('Data Entry'!$Ë$151), "", 'Data Entry'!$Ë$151)</f>
      </c>
      <c r="EJ151">
        <f>IF(ISBLANK('Data Entry'!$Ì$151), "", 'Data Entry'!$Ì$151)</f>
      </c>
      <c r="EK151">
        <f>IF(ISBLANK('Data Entry'!$Í$151), "", 'Data Entry'!$Í$151)</f>
      </c>
      <c r="EL151">
        <f>IF(ISBLANK('Data Entry'!$Î$151), "", 'Data Entry'!$Î$151)</f>
      </c>
      <c r="EM151">
        <f>IF(ISBLANK('Data Entry'!$Ï$151), "", 'Data Entry'!$Ï$151)</f>
      </c>
      <c r="EN151">
        <f>IF(ISBLANK('Data Entry'!$Ð$151), "", 'Data Entry'!$Ð$151)</f>
      </c>
      <c r="EO151">
        <f>IF(ISBLANK('Data Entry'!$Ñ$151), "", 'Data Entry'!$Ñ$151)</f>
      </c>
      <c r="EP151">
        <f>IF(ISBLANK('Data Entry'!$Ò$151), "", 'Data Entry'!$Ò$151)</f>
      </c>
      <c r="EQ151">
        <f>IF(ISBLANK('Data Entry'!$Ó$151), "", 'Data Entry'!$Ó$151)</f>
      </c>
      <c r="ER151">
        <f>IF(ISBLANK('Data Entry'!$Ô$151), "", 'Data Entry'!$Ô$151)</f>
      </c>
      <c r="ES151">
        <f>IF(ISBLANK('Data Entry'!$Õ$151), "", 'Data Entry'!$Õ$151)</f>
      </c>
      <c r="ET151">
        <f>IF(ISBLANK('Data Entry'!$Ö$151), "", 'Data Entry'!$Ö$151)</f>
      </c>
      <c r="EU151">
        <f>IF(ISBLANK('Data Entry'!$×$151), "", 'Data Entry'!$×$151)</f>
      </c>
      <c r="EV151">
        <f>IF(ISBLANK('Data Entry'!$Ø$151), "", 'Data Entry'!$Ø$151)</f>
      </c>
      <c r="EW151">
        <f>IF(ISBLANK('Data Entry'!$Ù$151), "", 'Data Entry'!$Ù$151)</f>
      </c>
      <c r="EX151">
        <f>IF(ISBLANK('Data Entry'!$Ú$151), "", 'Data Entry'!$Ú$151)</f>
      </c>
      <c r="EY151">
        <f>IF(ISBLANK('Data Entry'!$Û$151), "", 'Data Entry'!$Û$151)</f>
      </c>
      <c r="EZ151">
        <f>IF(ISBLANK('Data Entry'!$Ü$151), "", 'Data Entry'!$Ü$151)</f>
      </c>
      <c r="FA151">
        <f>IF(ISBLANK('Data Entry'!$Ý$151), "", 'Data Entry'!$Ý$151)</f>
      </c>
      <c r="FB151">
        <f>IF(ISBLANK('Data Entry'!$Þ$151), "", 'Data Entry'!$Þ$151)</f>
      </c>
      <c r="FC151">
        <f>IF(ISBLANK('Data Entry'!$ß$151), "", 'Data Entry'!$ß$151)</f>
      </c>
      <c r="FD151">
        <f>IF(ISBLANK('Data Entry'!$à$151), "", 'Data Entry'!$à$151)</f>
      </c>
      <c r="FE151">
        <f>IF(ISBLANK('Data Entry'!$á$151), "", 'Data Entry'!$á$151)</f>
      </c>
      <c r="FF151">
        <f>IF(ISBLANK('Data Entry'!$â$151), "", 'Data Entry'!$â$151)</f>
      </c>
      <c r="FG151">
        <f>IF(ISBLANK('Data Entry'!$ã$151), "", 'Data Entry'!$ã$151)</f>
      </c>
      <c r="FH151">
        <f>IF(ISBLANK('Data Entry'!$ä$151), "", 'Data Entry'!$ä$151)</f>
      </c>
      <c r="FI151">
        <f>IF(ISBLANK('Data Entry'!$å$151), "", 'Data Entry'!$å$151)</f>
      </c>
      <c r="FJ151">
        <f>IF(ISBLANK('Data Entry'!$æ$151), "", 'Data Entry'!$æ$151)</f>
      </c>
      <c r="FK151">
        <f>IF(ISBLANK('Data Entry'!$ç$151), "", 'Data Entry'!$ç$151)</f>
      </c>
      <c r="FL151">
        <f>IF(ISBLANK('Data Entry'!$è$151), "", 'Data Entry'!$è$151)</f>
      </c>
      <c r="FM151">
        <f>IF(ISBLANK('Data Entry'!$é$151), "", 'Data Entry'!$é$151)</f>
      </c>
      <c r="FN151">
        <f>IF(ISBLANK('Data Entry'!$ê$151), "", 'Data Entry'!$ê$151)</f>
      </c>
      <c r="FO151">
        <f>IF(ISBLANK('Data Entry'!$ë$151), "", 'Data Entry'!$ë$151)</f>
      </c>
      <c r="FP151">
        <f>IF(ISBLANK('Data Entry'!$ì$151), "", 'Data Entry'!$ì$151)</f>
      </c>
      <c r="FQ151">
        <f>IF(ISBLANK('Data Entry'!$í$151), "", 'Data Entry'!$í$151)</f>
      </c>
      <c r="FR151">
        <f>IF(ISBLANK('Data Entry'!$î$151), "", 'Data Entry'!$î$151)</f>
      </c>
      <c r="FS151">
        <f>IF(ISBLANK('Data Entry'!$ï$151), "", 'Data Entry'!$ï$151)</f>
      </c>
      <c r="FT151">
        <f>IF(ISBLANK('Data Entry'!$ð$151), "", 'Data Entry'!$ð$151)</f>
      </c>
      <c r="FU151">
        <f>IF(ISBLANK('Data Entry'!$ñ$151), "", 'Data Entry'!$ñ$151)</f>
      </c>
      <c r="FV151">
        <f>IF(ISBLANK('Data Entry'!$ò$151), "", 'Data Entry'!$ò$151)</f>
      </c>
      <c r="FW151">
        <f>IF(ISBLANK('Data Entry'!$ó$151), "", 'Data Entry'!$ó$151)</f>
      </c>
      <c r="FX151">
        <f>IF(ISBLANK('Data Entry'!$ô$151), "", 'Data Entry'!$ô$151)</f>
      </c>
      <c r="FY151">
        <f>IF(ISBLANK('Data Entry'!$õ$151), "", 'Data Entry'!$õ$151)</f>
      </c>
      <c r="FZ151">
        <f>IF(ISBLANK('Data Entry'!$ö$151), "", 'Data Entry'!$ö$151)</f>
      </c>
      <c r="GA151">
        <f>IF(ISBLANK('Data Entry'!$÷$151), "", 'Data Entry'!$÷$151)</f>
      </c>
      <c r="GB151">
        <f>IF(ISBLANK('Data Entry'!$ø$151), "", 'Data Entry'!$ø$151)</f>
      </c>
      <c r="GC151">
        <f>IF(ISBLANK('Data Entry'!$ù$151), "", 'Data Entry'!$ù$151)</f>
      </c>
      <c r="GD151">
        <f>IF(ISBLANK('Data Entry'!$ú$151), "", 'Data Entry'!$ú$151)</f>
      </c>
      <c r="GE151">
        <f>IF(ISBLANK('Data Entry'!$û$151), "", 'Data Entry'!$û$151)</f>
      </c>
      <c r="GF151">
        <f>IF(ISBLANK('Data Entry'!$ü$151), "", 'Data Entry'!$ü$151)</f>
      </c>
      <c r="GG151">
        <f>IF(ISBLANK('Data Entry'!$ý$151), "", 'Data Entry'!$ý$151)</f>
      </c>
      <c r="GH151">
        <f>IF(ISBLANK('Data Entry'!$þ$151), "", 'Data Entry'!$þ$151)</f>
      </c>
      <c r="GI151">
        <f>IF(ISBLANK('Data Entry'!$ÿ$151), "", 'Data Entry'!$ÿ$151)</f>
      </c>
      <c r="GJ151">
        <f>IF(ISBLANK('Data Entry'!$Ā$151), "", 'Data Entry'!$Ā$151)</f>
      </c>
      <c r="GK151">
        <f>IF(ISBLANK('Data Entry'!$ā$151), "", 'Data Entry'!$ā$151)</f>
      </c>
      <c r="GL151">
        <f>IF(ISBLANK('Data Entry'!$Ă$151), "", 'Data Entry'!$Ă$151)</f>
      </c>
      <c r="GM151">
        <f>IF(ISBLANK('Data Entry'!$ă$151), "", 'Data Entry'!$ă$151)</f>
      </c>
      <c r="GN151">
        <f>IF(ISBLANK('Data Entry'!$Ą$151), "", 'Data Entry'!$Ą$151)</f>
      </c>
      <c r="GO151">
        <f>IF(ISBLANK('Data Entry'!$ą$151), "", 'Data Entry'!$ą$151)</f>
      </c>
      <c r="GP151">
        <f>IF(ISBLANK('Data Entry'!$Ć$151), "", 'Data Entry'!$Ć$151)</f>
      </c>
      <c r="GQ151">
        <f>IF(ISBLANK('Data Entry'!$ć$151), "", 'Data Entry'!$ć$151)</f>
      </c>
      <c r="GR151">
        <f>IF(ISBLANK('Data Entry'!$Ĉ$151), "", 'Data Entry'!$Ĉ$151)</f>
      </c>
      <c r="GS151">
        <f>IF(ISBLANK('Data Entry'!$ĉ$151), "", 'Data Entry'!$ĉ$151)</f>
      </c>
      <c r="GT151">
        <f>IF(ISBLANK('Data Entry'!$Ċ$151), "", 'Data Entry'!$Ċ$151)</f>
      </c>
      <c r="GU151">
        <f>IF(ISBLANK('Data Entry'!$ċ$151), "", 'Data Entry'!$ċ$151)</f>
      </c>
      <c r="GV151">
        <f>IF(ISBLANK('Data Entry'!$Č$151), "", 'Data Entry'!$Č$151)</f>
      </c>
      <c r="GW151">
        <f>IF(ISBLANK('Data Entry'!$č$151), "", 'Data Entry'!$č$151)</f>
      </c>
      <c r="GX151">
        <f>IF(ISBLANK('Data Entry'!$Ď$151), "", 'Data Entry'!$Ď$151)</f>
      </c>
      <c r="GY151">
        <f>IF(ISBLANK('Data Entry'!$ď$151), "", 'Data Entry'!$ď$151)</f>
      </c>
      <c r="GZ151">
        <f>IF(ISBLANK('Data Entry'!$Đ$151), "", 'Data Entry'!$Đ$151)</f>
      </c>
      <c r="HA151">
        <f>IF(ISBLANK('Data Entry'!$đ$151), "", 'Data Entry'!$đ$151)</f>
      </c>
      <c r="HB151">
        <f>IF(ISBLANK('Data Entry'!$Ē$151), "", 'Data Entry'!$Ē$151)</f>
      </c>
      <c r="HC151">
        <f>IF(ISBLANK('Data Entry'!$ē$151), "", 'Data Entry'!$ē$151)</f>
      </c>
      <c r="HD151">
        <f>IF(ISBLANK('Data Entry'!$Ĕ$151), "", 'Data Entry'!$Ĕ$151)</f>
      </c>
      <c r="HE151">
        <f>IF(ISBLANK('Data Entry'!$ĕ$151), "", 'Data Entry'!$ĕ$151)</f>
      </c>
      <c r="HF151">
        <f>IF(ISBLANK('Data Entry'!$Ė$151), "", 'Data Entry'!$Ė$151)</f>
      </c>
      <c r="HG151">
        <f>IF(ISBLANK('Data Entry'!$ė$151), "", 'Data Entry'!$ė$151)</f>
      </c>
      <c r="HH151">
        <f>IF(ISBLANK('Data Entry'!$Ę$151), "", 'Data Entry'!$Ę$151)</f>
      </c>
      <c r="HI151">
        <f>IF(ISBLANK('Data Entry'!$ę$151), "", 'Data Entry'!$ę$151)</f>
      </c>
      <c r="HJ151">
        <f>IF(ISBLANK('Data Entry'!$Ě$151), "", 'Data Entry'!$Ě$151)</f>
      </c>
      <c r="HK151">
        <f>IF(ISBLANK('Data Entry'!$ě$151), "", 'Data Entry'!$ě$151)</f>
      </c>
      <c r="HL151">
        <f>IF(ISBLANK('Data Entry'!$Ĝ$151), "", 'Data Entry'!$Ĝ$151)</f>
      </c>
      <c r="HM151">
        <f>IF(ISBLANK('Data Entry'!$ĝ$151), "", 'Data Entry'!$ĝ$151)</f>
      </c>
      <c r="HN151">
        <f>IF(ISBLANK('Data Entry'!$Ğ$151), "", 'Data Entry'!$Ğ$151)</f>
      </c>
      <c r="HO151">
        <f>IF(ISBLANK('Data Entry'!$ğ$151), "", 'Data Entry'!$ğ$151)</f>
      </c>
      <c r="HP151">
        <f>IF(ISBLANK('Data Entry'!$Ġ$151), "", 'Data Entry'!$Ġ$151)</f>
      </c>
      <c r="HQ151">
        <f>IF(ISBLANK('Data Entry'!$ġ$151), "", 'Data Entry'!$ġ$151)</f>
      </c>
      <c r="HR151">
        <f>IF(ISBLANK('Data Entry'!$Ģ$151), "", 'Data Entry'!$Ģ$151)</f>
      </c>
      <c r="HS151">
        <f>IF(ISBLANK('Data Entry'!$ģ$151), "", 'Data Entry'!$ģ$151)</f>
      </c>
      <c r="HT151">
        <f>IF(ISBLANK('Data Entry'!$Ĥ$151), "", 'Data Entry'!$Ĥ$151)</f>
      </c>
      <c r="HU151">
        <f>IF(ISBLANK('Data Entry'!$ĥ$151), "", 'Data Entry'!$ĥ$151)</f>
      </c>
      <c r="HV151">
        <f>IF(ISBLANK('Data Entry'!$Ħ$151), "", 'Data Entry'!$Ħ$151)</f>
      </c>
      <c r="HW151">
        <f>IF(ISBLANK('Data Entry'!$ħ$151), "", 'Data Entry'!$ħ$151)</f>
      </c>
      <c r="HX151">
        <f>IF(ISBLANK('Data Entry'!$Ĩ$151), "", 'Data Entry'!$Ĩ$151)</f>
      </c>
      <c r="HY151">
        <f>IF(ISBLANK('Data Entry'!$ĩ$151), "", 'Data Entry'!$ĩ$151)</f>
      </c>
      <c r="HZ151">
        <f>IF(ISBLANK('Data Entry'!$Ī$151), "", 'Data Entry'!$Ī$151)</f>
      </c>
      <c r="IA151">
        <f>IF(ISBLANK('Data Entry'!$ī$151), "", 'Data Entry'!$ī$151)</f>
      </c>
      <c r="IB151">
        <f>IF(ISBLANK('Data Entry'!$Ĭ$151), "", 'Data Entry'!$Ĭ$151)</f>
      </c>
      <c r="IC151">
        <f>IF(ISBLANK('Data Entry'!$ĭ$151), "", 'Data Entry'!$ĭ$151)</f>
      </c>
      <c r="ID151">
        <f>IF(ISBLANK('Data Entry'!$Į$151), "", 'Data Entry'!$Į$151)</f>
      </c>
      <c r="IE151">
        <f>IF(ISBLANK('Data Entry'!$į$151), "", 'Data Entry'!$į$151)</f>
      </c>
      <c r="IF151">
        <f>IF(ISBLANK('Data Entry'!$İ$151), "", 'Data Entry'!$İ$151)</f>
      </c>
      <c r="IG151">
        <f>IF(ISBLANK('Data Entry'!$ı$151), "", 'Data Entry'!$ı$151)</f>
      </c>
      <c r="IH151">
        <f>IF(ISBLANK('Data Entry'!$Ĳ$151), "", 'Data Entry'!$Ĳ$151)</f>
      </c>
      <c r="II151">
        <f>IF(ISBLANK('Data Entry'!$ĳ$151), "", 'Data Entry'!$ĳ$151)</f>
      </c>
      <c r="IJ151">
        <f>IF(ISBLANK('Data Entry'!$Ĵ$151), "", 'Data Entry'!$Ĵ$151)</f>
      </c>
      <c r="IK151">
        <f>IF(ISBLANK('Data Entry'!$ĵ$151), "", 'Data Entry'!$ĵ$151)</f>
      </c>
      <c r="IL151">
        <f>IF(ISBLANK('Data Entry'!$Ķ$151), "", 'Data Entry'!$Ķ$151)</f>
      </c>
      <c r="IM151">
        <f>IF(ISBLANK('Data Entry'!$ķ$151), "", 'Data Entry'!$ķ$151)</f>
      </c>
      <c r="IN151">
        <f>IF(ISBLANK('Data Entry'!$ĸ$151), "", 'Data Entry'!$ĸ$151)</f>
      </c>
      <c r="IO151">
        <f>IF(ISBLANK('Data Entry'!$Ĺ$151), "", 'Data Entry'!$Ĺ$151)</f>
      </c>
      <c r="IP151">
        <f>IF(ISBLANK('Data Entry'!$ĺ$151), "", 'Data Entry'!$ĺ$151)</f>
      </c>
      <c r="IQ151">
        <f>IF(ISBLANK('Data Entry'!$Ļ$151), "", 'Data Entry'!$Ļ$151)</f>
      </c>
      <c r="IR151">
        <f>IF(ISBLANK('Data Entry'!$ļ$151), "", 'Data Entry'!$ļ$151)</f>
      </c>
      <c r="IS151">
        <f>IF(ISBLANK('Data Entry'!$Ľ$151), "", 'Data Entry'!$Ľ$151)</f>
      </c>
      <c r="IT151">
        <f>IF(ISBLANK('Data Entry'!$ľ$151), "", 'Data Entry'!$ľ$151)</f>
      </c>
    </row>
    <row r="152" spans="1:254" x14ac:dyDescent="0.25">
      <c r="A152">
        <f>IF(ISBLANK('Data Entry'!$A$152), "", 'Data Entry'!$A$152)</f>
      </c>
      <c r="B152">
        <f>IF(ISBLANK('Data Entry'!$B$152), "", 'Data Entry'!$B$152)</f>
      </c>
      <c r="C152">
        <f>IF(ISBLANK('Data Entry'!$C$152), "", 'Data Entry'!$C$152)</f>
      </c>
      <c r="D152">
        <f>IF(ISBLANK('Data Entry'!$D$152), "", 'Data Entry'!$D$152)</f>
      </c>
      <c r="E152">
        <f>IF(ISBLANK('Data Entry'!$E$152), "", 'Data Entry'!$E$152)</f>
      </c>
      <c r="F152">
        <f>IF(ISBLANK('Data Entry'!$F$152), "", 'Data Entry'!$F$152)</f>
      </c>
      <c r="G152">
        <f>IF(ISBLANK('Data Entry'!$G$152), "", 'Data Entry'!$G$152)</f>
      </c>
      <c r="H152">
        <f>IF(ISBLANK('Data Entry'!$H$152), "", 'Data Entry'!$H$152)</f>
      </c>
      <c r="I152">
        <f>IF(ISBLANK('Data Entry'!$I$152), "", 'Data Entry'!$I$152)</f>
      </c>
      <c r="J152">
        <f>IF(ISBLANK('Data Entry'!$J$152), "", 'Data Entry'!$J$152)</f>
      </c>
      <c r="K152">
        <f>IF(ISBLANK('Data Entry'!$K$152), "", 'Data Entry'!$K$152)</f>
      </c>
      <c r="L152">
        <f>IF(ISBLANK('Data Entry'!$L$152), "", 'Data Entry'!$L$152)</f>
      </c>
      <c r="M152">
        <f>IF(ISBLANK('Data Entry'!$M$152), "", 'Data Entry'!$M$152)</f>
      </c>
      <c r="N152">
        <f>IF(ISBLANK('Data Entry'!$N$152), "", 'Data Entry'!$N$152)</f>
      </c>
      <c r="O152">
        <f>IF(ISBLANK('Data Entry'!$O$152), "", 'Data Entry'!$O$152)</f>
      </c>
      <c r="P152">
        <f>IF(ISBLANK('Data Entry'!$P$152), "", 'Data Entry'!$P$152)</f>
      </c>
      <c r="Q152">
        <f>IF(ISBLANK('Data Entry'!$Q$152), "", 'Data Entry'!$Q$152)</f>
      </c>
      <c r="R152">
        <f>IF(ISBLANK('Data Entry'!$R$152), "", 'Data Entry'!$R$152)</f>
      </c>
      <c r="S152">
        <f>IF(ISBLANK('Data Entry'!$S$152), "", 'Data Entry'!$S$152)</f>
      </c>
      <c r="T152">
        <f>IF(ISBLANK('Data Entry'!$T$152), "", 'Data Entry'!$T$152)</f>
      </c>
      <c r="U152">
        <f>IF(ISBLANK('Data Entry'!$U$152), "", 'Data Entry'!$U$152)</f>
      </c>
      <c r="V152">
        <f>IF(ISBLANK('Data Entry'!$V$152), "", 'Data Entry'!$V$152)</f>
      </c>
      <c r="W152">
        <f>IF(ISBLANK('Data Entry'!$W$152), "", 'Data Entry'!$W$152)</f>
      </c>
      <c r="X152">
        <f>IF(ISBLANK('Data Entry'!$X$152), "", 'Data Entry'!$X$152)</f>
      </c>
      <c r="Y152">
        <f>IF(ISBLANK('Data Entry'!$Y$152), "", 'Data Entry'!$Y$152)</f>
      </c>
      <c r="Z152">
        <f>IF(ISBLANK('Data Entry'!$Z$152), "", 'Data Entry'!$Z$152)</f>
      </c>
      <c r="AA152">
        <f>IF(ISBLANK('Data Entry'!$[$152), "", 'Data Entry'!$[$152)</f>
      </c>
      <c r="AB152">
        <f>IF(ISBLANK('Data Entry'!$\$152), "", 'Data Entry'!$\$152)</f>
      </c>
      <c r="AC152">
        <f>IF(ISBLANK('Data Entry'!$]$152), "", 'Data Entry'!$]$152)</f>
      </c>
      <c r="AD152">
        <f>IF(ISBLANK('Data Entry'!$^$152), "", 'Data Entry'!$^$152)</f>
      </c>
      <c r="AE152">
        <f>IF(ISBLANK('Data Entry'!$_$152), "", 'Data Entry'!$_$152)</f>
      </c>
      <c r="AF152">
        <f>IF(ISBLANK('Data Entry'!$`$152), "", 'Data Entry'!$`$152)</f>
      </c>
      <c r="AG152">
        <f>IF(ISBLANK('Data Entry'!$a$152), "", 'Data Entry'!$a$152)</f>
      </c>
      <c r="AH152">
        <f>IF(ISBLANK('Data Entry'!$b$152), "", 'Data Entry'!$b$152)</f>
      </c>
      <c r="AI152">
        <f>IF(ISBLANK('Data Entry'!$c$152), "", 'Data Entry'!$c$152)</f>
      </c>
      <c r="AJ152">
        <f>IF(ISBLANK('Data Entry'!$d$152), "", 'Data Entry'!$d$152)</f>
      </c>
      <c r="AK152">
        <f>IF(ISBLANK('Data Entry'!$e$152), "", 'Data Entry'!$e$152)</f>
      </c>
      <c r="AL152">
        <f>IF(ISBLANK('Data Entry'!$f$152), "", 'Data Entry'!$f$152)</f>
      </c>
      <c r="AM152">
        <f>IF(ISBLANK('Data Entry'!$g$152), "", 'Data Entry'!$g$152)</f>
      </c>
      <c r="AN152">
        <f>IF(ISBLANK('Data Entry'!$h$152), "", 'Data Entry'!$h$152)</f>
      </c>
      <c r="AO152">
        <f>IF(ISBLANK('Data Entry'!$i$152), "", 'Data Entry'!$i$152)</f>
      </c>
      <c r="AP152">
        <f>IF(ISBLANK('Data Entry'!$j$152), "", 'Data Entry'!$j$152)</f>
      </c>
      <c r="AQ152">
        <f>IF(ISBLANK('Data Entry'!$k$152), "", 'Data Entry'!$k$152)</f>
      </c>
      <c r="AR152">
        <f>IF(ISBLANK('Data Entry'!$l$152), "", 'Data Entry'!$l$152)</f>
      </c>
      <c r="AS152">
        <f>IF(ISBLANK('Data Entry'!$m$152), "", 'Data Entry'!$m$152)</f>
      </c>
      <c r="AT152">
        <f>IF(ISBLANK('Data Entry'!$n$152), "", 'Data Entry'!$n$152)</f>
      </c>
      <c r="AU152">
        <f>IF(ISBLANK('Data Entry'!$o$152), "", 'Data Entry'!$o$152)</f>
      </c>
      <c r="AV152">
        <f>IF(ISBLANK('Data Entry'!$p$152), "", 'Data Entry'!$p$152)</f>
      </c>
      <c r="AW152">
        <f>IF(ISBLANK('Data Entry'!$q$152), "", 'Data Entry'!$q$152)</f>
      </c>
      <c r="AX152">
        <f>IF(ISBLANK('Data Entry'!$r$152), "", 'Data Entry'!$r$152)</f>
      </c>
      <c r="AY152">
        <f>IF(ISBLANK('Data Entry'!$s$152), "", 'Data Entry'!$s$152)</f>
      </c>
      <c r="AZ152">
        <f>IF(ISBLANK('Data Entry'!$t$152), "", 'Data Entry'!$t$152)</f>
      </c>
      <c r="BA152">
        <f>IF(ISBLANK('Data Entry'!$u$152), "", 'Data Entry'!$u$152)</f>
      </c>
      <c r="BB152">
        <f>IF(ISBLANK('Data Entry'!$v$152), "", 'Data Entry'!$v$152)</f>
      </c>
      <c r="BC152">
        <f>IF(ISBLANK('Data Entry'!$w$152), "", 'Data Entry'!$w$152)</f>
      </c>
      <c r="BD152">
        <f>IF(ISBLANK('Data Entry'!$x$152), "", 'Data Entry'!$x$152)</f>
      </c>
      <c r="BE152">
        <f>IF(ISBLANK('Data Entry'!$y$152), "", 'Data Entry'!$y$152)</f>
      </c>
      <c r="BF152">
        <f>IF(ISBLANK('Data Entry'!$z$152), "", 'Data Entry'!$z$152)</f>
      </c>
      <c r="BG152">
        <f>IF(ISBLANK('Data Entry'!${$152), "", 'Data Entry'!${$152)</f>
      </c>
      <c r="BH152">
        <f>IF(ISBLANK('Data Entry'!$|$152), "", 'Data Entry'!$|$152)</f>
      </c>
      <c r="BI152">
        <f>IF(ISBLANK('Data Entry'!$}$152), "", 'Data Entry'!$}$152)</f>
      </c>
      <c r="BJ152">
        <f>IF(ISBLANK('Data Entry'!$~$152), "", 'Data Entry'!$~$152)</f>
      </c>
      <c r="BK152">
        <f>IF(ISBLANK('Data Entry'!$$152), "", 'Data Entry'!$$152)</f>
      </c>
      <c r="BL152">
        <f>IF(ISBLANK('Data Entry'!$$152), "", 'Data Entry'!$$152)</f>
      </c>
      <c r="BM152">
        <f>IF(ISBLANK('Data Entry'!$$152), "", 'Data Entry'!$$152)</f>
      </c>
      <c r="BN152">
        <f>IF(ISBLANK('Data Entry'!$$152), "", 'Data Entry'!$$152)</f>
      </c>
      <c r="BO152">
        <f>IF(ISBLANK('Data Entry'!$$152), "", 'Data Entry'!$$152)</f>
      </c>
      <c r="BP152">
        <f>IF(ISBLANK('Data Entry'!$$152), "", 'Data Entry'!$$152)</f>
      </c>
      <c r="BQ152">
        <f>IF(ISBLANK('Data Entry'!$$152), "", 'Data Entry'!$$152)</f>
      </c>
      <c r="BR152">
        <f>IF(ISBLANK('Data Entry'!$$152), "", 'Data Entry'!$$152)</f>
      </c>
      <c r="BS152">
        <f>IF(ISBLANK('Data Entry'!$$152), "", 'Data Entry'!$$152)</f>
      </c>
      <c r="BT152">
        <f>IF(ISBLANK('Data Entry'!$$152), "", 'Data Entry'!$$152)</f>
      </c>
      <c r="BU152">
        <f>IF(ISBLANK('Data Entry'!$$152), "", 'Data Entry'!$$152)</f>
      </c>
      <c r="BV152">
        <f>IF(ISBLANK('Data Entry'!$$152), "", 'Data Entry'!$$152)</f>
      </c>
      <c r="BW152">
        <f>IF(ISBLANK('Data Entry'!$$152), "", 'Data Entry'!$$152)</f>
      </c>
      <c r="BX152">
        <f>IF(ISBLANK('Data Entry'!$$152), "", 'Data Entry'!$$152)</f>
      </c>
      <c r="BY152">
        <f>IF(ISBLANK('Data Entry'!$$152), "", 'Data Entry'!$$152)</f>
      </c>
      <c r="BZ152">
        <f>IF(ISBLANK('Data Entry'!$$152), "", 'Data Entry'!$$152)</f>
      </c>
      <c r="CA152">
        <f>IF(ISBLANK('Data Entry'!$$152), "", 'Data Entry'!$$152)</f>
      </c>
      <c r="CB152">
        <f>IF(ISBLANK('Data Entry'!$$152), "", 'Data Entry'!$$152)</f>
      </c>
      <c r="CC152">
        <f>IF(ISBLANK('Data Entry'!$$152), "", 'Data Entry'!$$152)</f>
      </c>
      <c r="CD152">
        <f>IF(ISBLANK('Data Entry'!$$152), "", 'Data Entry'!$$152)</f>
      </c>
      <c r="CE152">
        <f>IF(ISBLANK('Data Entry'!$$152), "", 'Data Entry'!$$152)</f>
      </c>
      <c r="CF152">
        <f>IF(ISBLANK('Data Entry'!$$152), "", 'Data Entry'!$$152)</f>
      </c>
      <c r="CG152">
        <f>IF(ISBLANK('Data Entry'!$$152), "", 'Data Entry'!$$152)</f>
      </c>
      <c r="CH152">
        <f>IF(ISBLANK('Data Entry'!$$152), "", 'Data Entry'!$$152)</f>
      </c>
      <c r="CI152">
        <f>IF(ISBLANK('Data Entry'!$$152), "", 'Data Entry'!$$152)</f>
      </c>
      <c r="CJ152">
        <f>IF(ISBLANK('Data Entry'!$$152), "", 'Data Entry'!$$152)</f>
      </c>
      <c r="CK152">
        <f>IF(ISBLANK('Data Entry'!$$152), "", 'Data Entry'!$$152)</f>
      </c>
      <c r="CL152">
        <f>IF(ISBLANK('Data Entry'!$$152), "", 'Data Entry'!$$152)</f>
      </c>
      <c r="CM152">
        <f>IF(ISBLANK('Data Entry'!$$152), "", 'Data Entry'!$$152)</f>
      </c>
      <c r="CN152">
        <f>IF(ISBLANK('Data Entry'!$$152), "", 'Data Entry'!$$152)</f>
      </c>
      <c r="CO152">
        <f>IF(ISBLANK('Data Entry'!$$152), "", 'Data Entry'!$$152)</f>
      </c>
      <c r="CP152">
        <f>IF(ISBLANK('Data Entry'!$$152), "", 'Data Entry'!$$152)</f>
      </c>
      <c r="CQ152">
        <f>IF(ISBLANK('Data Entry'!$$152), "", 'Data Entry'!$$152)</f>
      </c>
      <c r="CR152">
        <f>IF(ISBLANK('Data Entry'!$ $152), "", 'Data Entry'!$ $152)</f>
      </c>
      <c r="CS152">
        <f>IF(ISBLANK('Data Entry'!$¡$152), "", 'Data Entry'!$¡$152)</f>
      </c>
      <c r="CT152">
        <f>IF(ISBLANK('Data Entry'!$¢$152), "", 'Data Entry'!$¢$152)</f>
      </c>
      <c r="CU152">
        <f>IF(ISBLANK('Data Entry'!$£$152), "", 'Data Entry'!$£$152)</f>
      </c>
      <c r="CV152">
        <f>IF(ISBLANK('Data Entry'!$¤$152), "", 'Data Entry'!$¤$152)</f>
      </c>
      <c r="CW152">
        <f>IF(ISBLANK('Data Entry'!$¥$152), "", 'Data Entry'!$¥$152)</f>
      </c>
      <c r="CX152">
        <f>IF(ISBLANK('Data Entry'!$¦$152), "", 'Data Entry'!$¦$152)</f>
      </c>
      <c r="CY152">
        <f>IF(ISBLANK('Data Entry'!$§$152), "", 'Data Entry'!$§$152)</f>
      </c>
      <c r="CZ152">
        <f>IF(ISBLANK('Data Entry'!$¨$152), "", 'Data Entry'!$¨$152)</f>
      </c>
      <c r="DA152">
        <f>IF(ISBLANK('Data Entry'!$©$152), "", 'Data Entry'!$©$152)</f>
      </c>
      <c r="DB152">
        <f>IF(ISBLANK('Data Entry'!$ª$152), "", 'Data Entry'!$ª$152)</f>
      </c>
      <c r="DC152">
        <f>IF(ISBLANK('Data Entry'!$«$152), "", 'Data Entry'!$«$152)</f>
      </c>
      <c r="DD152">
        <f>IF(ISBLANK('Data Entry'!$¬$152), "", 'Data Entry'!$¬$152)</f>
      </c>
      <c r="DE152">
        <f>IF(ISBLANK('Data Entry'!$­$152), "", 'Data Entry'!$­$152)</f>
      </c>
      <c r="DF152">
        <f>IF(ISBLANK('Data Entry'!$®$152), "", 'Data Entry'!$®$152)</f>
      </c>
      <c r="DG152">
        <f>IF(ISBLANK('Data Entry'!$¯$152), "", 'Data Entry'!$¯$152)</f>
      </c>
      <c r="DH152">
        <f>IF(ISBLANK('Data Entry'!$°$152), "", 'Data Entry'!$°$152)</f>
      </c>
      <c r="DI152">
        <f>IF(ISBLANK('Data Entry'!$±$152), "", 'Data Entry'!$±$152)</f>
      </c>
      <c r="DJ152">
        <f>IF(ISBLANK('Data Entry'!$²$152), "", 'Data Entry'!$²$152)</f>
      </c>
      <c r="DK152">
        <f>IF(ISBLANK('Data Entry'!$³$152), "", 'Data Entry'!$³$152)</f>
      </c>
      <c r="DL152">
        <f>IF(ISBLANK('Data Entry'!$´$152), "", 'Data Entry'!$´$152)</f>
      </c>
      <c r="DM152">
        <f>IF(ISBLANK('Data Entry'!$µ$152), "", 'Data Entry'!$µ$152)</f>
      </c>
      <c r="DN152">
        <f>IF(ISBLANK('Data Entry'!$¶$152), "", 'Data Entry'!$¶$152)</f>
      </c>
      <c r="DO152">
        <f>IF(ISBLANK('Data Entry'!$·$152), "", 'Data Entry'!$·$152)</f>
      </c>
      <c r="DP152">
        <f>IF(ISBLANK('Data Entry'!$¸$152), "", 'Data Entry'!$¸$152)</f>
      </c>
      <c r="DQ152">
        <f>IF(ISBLANK('Data Entry'!$¹$152), "", 'Data Entry'!$¹$152)</f>
      </c>
      <c r="DR152">
        <f>IF(ISBLANK('Data Entry'!$º$152), "", 'Data Entry'!$º$152)</f>
      </c>
      <c r="DS152">
        <f>IF(ISBLANK('Data Entry'!$»$152), "", 'Data Entry'!$»$152)</f>
      </c>
      <c r="DT152">
        <f>IF(ISBLANK('Data Entry'!$¼$152), "", 'Data Entry'!$¼$152)</f>
      </c>
      <c r="DU152">
        <f>IF(ISBLANK('Data Entry'!$½$152), "", 'Data Entry'!$½$152)</f>
      </c>
      <c r="DV152">
        <f>IF(ISBLANK('Data Entry'!$¾$152), "", 'Data Entry'!$¾$152)</f>
      </c>
      <c r="DW152">
        <f>IF(ISBLANK('Data Entry'!$¿$152), "", 'Data Entry'!$¿$152)</f>
      </c>
      <c r="DX152">
        <f>IF(ISBLANK('Data Entry'!$À$152), "", 'Data Entry'!$À$152)</f>
      </c>
      <c r="DY152">
        <f>IF(ISBLANK('Data Entry'!$Á$152), "", 'Data Entry'!$Á$152)</f>
      </c>
      <c r="DZ152">
        <f>IF(ISBLANK('Data Entry'!$Â$152), "", 'Data Entry'!$Â$152)</f>
      </c>
      <c r="EA152">
        <f>IF(ISBLANK('Data Entry'!$Ã$152), "", 'Data Entry'!$Ã$152)</f>
      </c>
      <c r="EB152">
        <f>IF(ISBLANK('Data Entry'!$Ä$152), "", 'Data Entry'!$Ä$152)</f>
      </c>
      <c r="EC152">
        <f>IF(ISBLANK('Data Entry'!$Å$152), "", 'Data Entry'!$Å$152)</f>
      </c>
      <c r="ED152">
        <f>IF(ISBLANK('Data Entry'!$Æ$152), "", 'Data Entry'!$Æ$152)</f>
      </c>
      <c r="EE152">
        <f>IF(ISBLANK('Data Entry'!$Ç$152), "", 'Data Entry'!$Ç$152)</f>
      </c>
      <c r="EF152">
        <f>IF(ISBLANK('Data Entry'!$È$152), "", 'Data Entry'!$È$152)</f>
      </c>
      <c r="EG152">
        <f>IF(ISBLANK('Data Entry'!$É$152), "", 'Data Entry'!$É$152)</f>
      </c>
      <c r="EH152">
        <f>IF(ISBLANK('Data Entry'!$Ê$152), "", 'Data Entry'!$Ê$152)</f>
      </c>
      <c r="EI152">
        <f>IF(ISBLANK('Data Entry'!$Ë$152), "", 'Data Entry'!$Ë$152)</f>
      </c>
      <c r="EJ152">
        <f>IF(ISBLANK('Data Entry'!$Ì$152), "", 'Data Entry'!$Ì$152)</f>
      </c>
      <c r="EK152">
        <f>IF(ISBLANK('Data Entry'!$Í$152), "", 'Data Entry'!$Í$152)</f>
      </c>
      <c r="EL152">
        <f>IF(ISBLANK('Data Entry'!$Î$152), "", 'Data Entry'!$Î$152)</f>
      </c>
      <c r="EM152">
        <f>IF(ISBLANK('Data Entry'!$Ï$152), "", 'Data Entry'!$Ï$152)</f>
      </c>
      <c r="EN152">
        <f>IF(ISBLANK('Data Entry'!$Ð$152), "", 'Data Entry'!$Ð$152)</f>
      </c>
      <c r="EO152">
        <f>IF(ISBLANK('Data Entry'!$Ñ$152), "", 'Data Entry'!$Ñ$152)</f>
      </c>
      <c r="EP152">
        <f>IF(ISBLANK('Data Entry'!$Ò$152), "", 'Data Entry'!$Ò$152)</f>
      </c>
      <c r="EQ152">
        <f>IF(ISBLANK('Data Entry'!$Ó$152), "", 'Data Entry'!$Ó$152)</f>
      </c>
      <c r="ER152">
        <f>IF(ISBLANK('Data Entry'!$Ô$152), "", 'Data Entry'!$Ô$152)</f>
      </c>
      <c r="ES152">
        <f>IF(ISBLANK('Data Entry'!$Õ$152), "", 'Data Entry'!$Õ$152)</f>
      </c>
      <c r="ET152">
        <f>IF(ISBLANK('Data Entry'!$Ö$152), "", 'Data Entry'!$Ö$152)</f>
      </c>
      <c r="EU152">
        <f>IF(ISBLANK('Data Entry'!$×$152), "", 'Data Entry'!$×$152)</f>
      </c>
      <c r="EV152">
        <f>IF(ISBLANK('Data Entry'!$Ø$152), "", 'Data Entry'!$Ø$152)</f>
      </c>
      <c r="EW152">
        <f>IF(ISBLANK('Data Entry'!$Ù$152), "", 'Data Entry'!$Ù$152)</f>
      </c>
      <c r="EX152">
        <f>IF(ISBLANK('Data Entry'!$Ú$152), "", 'Data Entry'!$Ú$152)</f>
      </c>
      <c r="EY152">
        <f>IF(ISBLANK('Data Entry'!$Û$152), "", 'Data Entry'!$Û$152)</f>
      </c>
      <c r="EZ152">
        <f>IF(ISBLANK('Data Entry'!$Ü$152), "", 'Data Entry'!$Ü$152)</f>
      </c>
      <c r="FA152">
        <f>IF(ISBLANK('Data Entry'!$Ý$152), "", 'Data Entry'!$Ý$152)</f>
      </c>
      <c r="FB152">
        <f>IF(ISBLANK('Data Entry'!$Þ$152), "", 'Data Entry'!$Þ$152)</f>
      </c>
      <c r="FC152">
        <f>IF(ISBLANK('Data Entry'!$ß$152), "", 'Data Entry'!$ß$152)</f>
      </c>
      <c r="FD152">
        <f>IF(ISBLANK('Data Entry'!$à$152), "", 'Data Entry'!$à$152)</f>
      </c>
      <c r="FE152">
        <f>IF(ISBLANK('Data Entry'!$á$152), "", 'Data Entry'!$á$152)</f>
      </c>
      <c r="FF152">
        <f>IF(ISBLANK('Data Entry'!$â$152), "", 'Data Entry'!$â$152)</f>
      </c>
      <c r="FG152">
        <f>IF(ISBLANK('Data Entry'!$ã$152), "", 'Data Entry'!$ã$152)</f>
      </c>
      <c r="FH152">
        <f>IF(ISBLANK('Data Entry'!$ä$152), "", 'Data Entry'!$ä$152)</f>
      </c>
      <c r="FI152">
        <f>IF(ISBLANK('Data Entry'!$å$152), "", 'Data Entry'!$å$152)</f>
      </c>
      <c r="FJ152">
        <f>IF(ISBLANK('Data Entry'!$æ$152), "", 'Data Entry'!$æ$152)</f>
      </c>
      <c r="FK152">
        <f>IF(ISBLANK('Data Entry'!$ç$152), "", 'Data Entry'!$ç$152)</f>
      </c>
      <c r="FL152">
        <f>IF(ISBLANK('Data Entry'!$è$152), "", 'Data Entry'!$è$152)</f>
      </c>
      <c r="FM152">
        <f>IF(ISBLANK('Data Entry'!$é$152), "", 'Data Entry'!$é$152)</f>
      </c>
      <c r="FN152">
        <f>IF(ISBLANK('Data Entry'!$ê$152), "", 'Data Entry'!$ê$152)</f>
      </c>
      <c r="FO152">
        <f>IF(ISBLANK('Data Entry'!$ë$152), "", 'Data Entry'!$ë$152)</f>
      </c>
      <c r="FP152">
        <f>IF(ISBLANK('Data Entry'!$ì$152), "", 'Data Entry'!$ì$152)</f>
      </c>
      <c r="FQ152">
        <f>IF(ISBLANK('Data Entry'!$í$152), "", 'Data Entry'!$í$152)</f>
      </c>
      <c r="FR152">
        <f>IF(ISBLANK('Data Entry'!$î$152), "", 'Data Entry'!$î$152)</f>
      </c>
      <c r="FS152">
        <f>IF(ISBLANK('Data Entry'!$ï$152), "", 'Data Entry'!$ï$152)</f>
      </c>
      <c r="FT152">
        <f>IF(ISBLANK('Data Entry'!$ð$152), "", 'Data Entry'!$ð$152)</f>
      </c>
      <c r="FU152">
        <f>IF(ISBLANK('Data Entry'!$ñ$152), "", 'Data Entry'!$ñ$152)</f>
      </c>
      <c r="FV152">
        <f>IF(ISBLANK('Data Entry'!$ò$152), "", 'Data Entry'!$ò$152)</f>
      </c>
      <c r="FW152">
        <f>IF(ISBLANK('Data Entry'!$ó$152), "", 'Data Entry'!$ó$152)</f>
      </c>
      <c r="FX152">
        <f>IF(ISBLANK('Data Entry'!$ô$152), "", 'Data Entry'!$ô$152)</f>
      </c>
      <c r="FY152">
        <f>IF(ISBLANK('Data Entry'!$õ$152), "", 'Data Entry'!$õ$152)</f>
      </c>
      <c r="FZ152">
        <f>IF(ISBLANK('Data Entry'!$ö$152), "", 'Data Entry'!$ö$152)</f>
      </c>
      <c r="GA152">
        <f>IF(ISBLANK('Data Entry'!$÷$152), "", 'Data Entry'!$÷$152)</f>
      </c>
      <c r="GB152">
        <f>IF(ISBLANK('Data Entry'!$ø$152), "", 'Data Entry'!$ø$152)</f>
      </c>
      <c r="GC152">
        <f>IF(ISBLANK('Data Entry'!$ù$152), "", 'Data Entry'!$ù$152)</f>
      </c>
      <c r="GD152">
        <f>IF(ISBLANK('Data Entry'!$ú$152), "", 'Data Entry'!$ú$152)</f>
      </c>
      <c r="GE152">
        <f>IF(ISBLANK('Data Entry'!$û$152), "", 'Data Entry'!$û$152)</f>
      </c>
      <c r="GF152">
        <f>IF(ISBLANK('Data Entry'!$ü$152), "", 'Data Entry'!$ü$152)</f>
      </c>
      <c r="GG152">
        <f>IF(ISBLANK('Data Entry'!$ý$152), "", 'Data Entry'!$ý$152)</f>
      </c>
      <c r="GH152">
        <f>IF(ISBLANK('Data Entry'!$þ$152), "", 'Data Entry'!$þ$152)</f>
      </c>
      <c r="GI152">
        <f>IF(ISBLANK('Data Entry'!$ÿ$152), "", 'Data Entry'!$ÿ$152)</f>
      </c>
      <c r="GJ152">
        <f>IF(ISBLANK('Data Entry'!$Ā$152), "", 'Data Entry'!$Ā$152)</f>
      </c>
      <c r="GK152">
        <f>IF(ISBLANK('Data Entry'!$ā$152), "", 'Data Entry'!$ā$152)</f>
      </c>
      <c r="GL152">
        <f>IF(ISBLANK('Data Entry'!$Ă$152), "", 'Data Entry'!$Ă$152)</f>
      </c>
      <c r="GM152">
        <f>IF(ISBLANK('Data Entry'!$ă$152), "", 'Data Entry'!$ă$152)</f>
      </c>
      <c r="GN152">
        <f>IF(ISBLANK('Data Entry'!$Ą$152), "", 'Data Entry'!$Ą$152)</f>
      </c>
      <c r="GO152">
        <f>IF(ISBLANK('Data Entry'!$ą$152), "", 'Data Entry'!$ą$152)</f>
      </c>
      <c r="GP152">
        <f>IF(ISBLANK('Data Entry'!$Ć$152), "", 'Data Entry'!$Ć$152)</f>
      </c>
      <c r="GQ152">
        <f>IF(ISBLANK('Data Entry'!$ć$152), "", 'Data Entry'!$ć$152)</f>
      </c>
      <c r="GR152">
        <f>IF(ISBLANK('Data Entry'!$Ĉ$152), "", 'Data Entry'!$Ĉ$152)</f>
      </c>
      <c r="GS152">
        <f>IF(ISBLANK('Data Entry'!$ĉ$152), "", 'Data Entry'!$ĉ$152)</f>
      </c>
      <c r="GT152">
        <f>IF(ISBLANK('Data Entry'!$Ċ$152), "", 'Data Entry'!$Ċ$152)</f>
      </c>
      <c r="GU152">
        <f>IF(ISBLANK('Data Entry'!$ċ$152), "", 'Data Entry'!$ċ$152)</f>
      </c>
      <c r="GV152">
        <f>IF(ISBLANK('Data Entry'!$Č$152), "", 'Data Entry'!$Č$152)</f>
      </c>
      <c r="GW152">
        <f>IF(ISBLANK('Data Entry'!$č$152), "", 'Data Entry'!$č$152)</f>
      </c>
      <c r="GX152">
        <f>IF(ISBLANK('Data Entry'!$Ď$152), "", 'Data Entry'!$Ď$152)</f>
      </c>
      <c r="GY152">
        <f>IF(ISBLANK('Data Entry'!$ď$152), "", 'Data Entry'!$ď$152)</f>
      </c>
      <c r="GZ152">
        <f>IF(ISBLANK('Data Entry'!$Đ$152), "", 'Data Entry'!$Đ$152)</f>
      </c>
      <c r="HA152">
        <f>IF(ISBLANK('Data Entry'!$đ$152), "", 'Data Entry'!$đ$152)</f>
      </c>
      <c r="HB152">
        <f>IF(ISBLANK('Data Entry'!$Ē$152), "", 'Data Entry'!$Ē$152)</f>
      </c>
      <c r="HC152">
        <f>IF(ISBLANK('Data Entry'!$ē$152), "", 'Data Entry'!$ē$152)</f>
      </c>
      <c r="HD152">
        <f>IF(ISBLANK('Data Entry'!$Ĕ$152), "", 'Data Entry'!$Ĕ$152)</f>
      </c>
      <c r="HE152">
        <f>IF(ISBLANK('Data Entry'!$ĕ$152), "", 'Data Entry'!$ĕ$152)</f>
      </c>
      <c r="HF152">
        <f>IF(ISBLANK('Data Entry'!$Ė$152), "", 'Data Entry'!$Ė$152)</f>
      </c>
      <c r="HG152">
        <f>IF(ISBLANK('Data Entry'!$ė$152), "", 'Data Entry'!$ė$152)</f>
      </c>
      <c r="HH152">
        <f>IF(ISBLANK('Data Entry'!$Ę$152), "", 'Data Entry'!$Ę$152)</f>
      </c>
      <c r="HI152">
        <f>IF(ISBLANK('Data Entry'!$ę$152), "", 'Data Entry'!$ę$152)</f>
      </c>
      <c r="HJ152">
        <f>IF(ISBLANK('Data Entry'!$Ě$152), "", 'Data Entry'!$Ě$152)</f>
      </c>
      <c r="HK152">
        <f>IF(ISBLANK('Data Entry'!$ě$152), "", 'Data Entry'!$ě$152)</f>
      </c>
      <c r="HL152">
        <f>IF(ISBLANK('Data Entry'!$Ĝ$152), "", 'Data Entry'!$Ĝ$152)</f>
      </c>
      <c r="HM152">
        <f>IF(ISBLANK('Data Entry'!$ĝ$152), "", 'Data Entry'!$ĝ$152)</f>
      </c>
      <c r="HN152">
        <f>IF(ISBLANK('Data Entry'!$Ğ$152), "", 'Data Entry'!$Ğ$152)</f>
      </c>
      <c r="HO152">
        <f>IF(ISBLANK('Data Entry'!$ğ$152), "", 'Data Entry'!$ğ$152)</f>
      </c>
      <c r="HP152">
        <f>IF(ISBLANK('Data Entry'!$Ġ$152), "", 'Data Entry'!$Ġ$152)</f>
      </c>
      <c r="HQ152">
        <f>IF(ISBLANK('Data Entry'!$ġ$152), "", 'Data Entry'!$ġ$152)</f>
      </c>
      <c r="HR152">
        <f>IF(ISBLANK('Data Entry'!$Ģ$152), "", 'Data Entry'!$Ģ$152)</f>
      </c>
      <c r="HS152">
        <f>IF(ISBLANK('Data Entry'!$ģ$152), "", 'Data Entry'!$ģ$152)</f>
      </c>
      <c r="HT152">
        <f>IF(ISBLANK('Data Entry'!$Ĥ$152), "", 'Data Entry'!$Ĥ$152)</f>
      </c>
      <c r="HU152">
        <f>IF(ISBLANK('Data Entry'!$ĥ$152), "", 'Data Entry'!$ĥ$152)</f>
      </c>
      <c r="HV152">
        <f>IF(ISBLANK('Data Entry'!$Ħ$152), "", 'Data Entry'!$Ħ$152)</f>
      </c>
      <c r="HW152">
        <f>IF(ISBLANK('Data Entry'!$ħ$152), "", 'Data Entry'!$ħ$152)</f>
      </c>
      <c r="HX152">
        <f>IF(ISBLANK('Data Entry'!$Ĩ$152), "", 'Data Entry'!$Ĩ$152)</f>
      </c>
      <c r="HY152">
        <f>IF(ISBLANK('Data Entry'!$ĩ$152), "", 'Data Entry'!$ĩ$152)</f>
      </c>
      <c r="HZ152">
        <f>IF(ISBLANK('Data Entry'!$Ī$152), "", 'Data Entry'!$Ī$152)</f>
      </c>
      <c r="IA152">
        <f>IF(ISBLANK('Data Entry'!$ī$152), "", 'Data Entry'!$ī$152)</f>
      </c>
      <c r="IB152">
        <f>IF(ISBLANK('Data Entry'!$Ĭ$152), "", 'Data Entry'!$Ĭ$152)</f>
      </c>
      <c r="IC152">
        <f>IF(ISBLANK('Data Entry'!$ĭ$152), "", 'Data Entry'!$ĭ$152)</f>
      </c>
      <c r="ID152">
        <f>IF(ISBLANK('Data Entry'!$Į$152), "", 'Data Entry'!$Į$152)</f>
      </c>
      <c r="IE152">
        <f>IF(ISBLANK('Data Entry'!$į$152), "", 'Data Entry'!$į$152)</f>
      </c>
      <c r="IF152">
        <f>IF(ISBLANK('Data Entry'!$İ$152), "", 'Data Entry'!$İ$152)</f>
      </c>
      <c r="IG152">
        <f>IF(ISBLANK('Data Entry'!$ı$152), "", 'Data Entry'!$ı$152)</f>
      </c>
      <c r="IH152">
        <f>IF(ISBLANK('Data Entry'!$Ĳ$152), "", 'Data Entry'!$Ĳ$152)</f>
      </c>
      <c r="II152">
        <f>IF(ISBLANK('Data Entry'!$ĳ$152), "", 'Data Entry'!$ĳ$152)</f>
      </c>
      <c r="IJ152">
        <f>IF(ISBLANK('Data Entry'!$Ĵ$152), "", 'Data Entry'!$Ĵ$152)</f>
      </c>
      <c r="IK152">
        <f>IF(ISBLANK('Data Entry'!$ĵ$152), "", 'Data Entry'!$ĵ$152)</f>
      </c>
      <c r="IL152">
        <f>IF(ISBLANK('Data Entry'!$Ķ$152), "", 'Data Entry'!$Ķ$152)</f>
      </c>
      <c r="IM152">
        <f>IF(ISBLANK('Data Entry'!$ķ$152), "", 'Data Entry'!$ķ$152)</f>
      </c>
      <c r="IN152">
        <f>IF(ISBLANK('Data Entry'!$ĸ$152), "", 'Data Entry'!$ĸ$152)</f>
      </c>
      <c r="IO152">
        <f>IF(ISBLANK('Data Entry'!$Ĺ$152), "", 'Data Entry'!$Ĺ$152)</f>
      </c>
      <c r="IP152">
        <f>IF(ISBLANK('Data Entry'!$ĺ$152), "", 'Data Entry'!$ĺ$152)</f>
      </c>
      <c r="IQ152">
        <f>IF(ISBLANK('Data Entry'!$Ļ$152), "", 'Data Entry'!$Ļ$152)</f>
      </c>
      <c r="IR152">
        <f>IF(ISBLANK('Data Entry'!$ļ$152), "", 'Data Entry'!$ļ$152)</f>
      </c>
      <c r="IS152">
        <f>IF(ISBLANK('Data Entry'!$Ľ$152), "", 'Data Entry'!$Ľ$152)</f>
      </c>
      <c r="IT152">
        <f>IF(ISBLANK('Data Entry'!$ľ$152), "", 'Data Entry'!$ľ$152)</f>
      </c>
    </row>
    <row r="153" spans="1:254" x14ac:dyDescent="0.25">
      <c r="A153">
        <f>IF(ISBLANK('Data Entry'!$A$153), "", 'Data Entry'!$A$153)</f>
      </c>
      <c r="B153">
        <f>IF(ISBLANK('Data Entry'!$B$153), "", 'Data Entry'!$B$153)</f>
      </c>
      <c r="C153">
        <f>IF(ISBLANK('Data Entry'!$C$153), "", 'Data Entry'!$C$153)</f>
      </c>
      <c r="D153">
        <f>IF(ISBLANK('Data Entry'!$D$153), "", 'Data Entry'!$D$153)</f>
      </c>
      <c r="E153">
        <f>IF(ISBLANK('Data Entry'!$E$153), "", 'Data Entry'!$E$153)</f>
      </c>
      <c r="F153">
        <f>IF(ISBLANK('Data Entry'!$F$153), "", 'Data Entry'!$F$153)</f>
      </c>
      <c r="G153">
        <f>IF(ISBLANK('Data Entry'!$G$153), "", 'Data Entry'!$G$153)</f>
      </c>
      <c r="H153">
        <f>IF(ISBLANK('Data Entry'!$H$153), "", 'Data Entry'!$H$153)</f>
      </c>
      <c r="I153">
        <f>IF(ISBLANK('Data Entry'!$I$153), "", 'Data Entry'!$I$153)</f>
      </c>
      <c r="J153">
        <f>IF(ISBLANK('Data Entry'!$J$153), "", 'Data Entry'!$J$153)</f>
      </c>
      <c r="K153">
        <f>IF(ISBLANK('Data Entry'!$K$153), "", 'Data Entry'!$K$153)</f>
      </c>
      <c r="L153">
        <f>IF(ISBLANK('Data Entry'!$L$153), "", 'Data Entry'!$L$153)</f>
      </c>
      <c r="M153">
        <f>IF(ISBLANK('Data Entry'!$M$153), "", 'Data Entry'!$M$153)</f>
      </c>
      <c r="N153">
        <f>IF(ISBLANK('Data Entry'!$N$153), "", 'Data Entry'!$N$153)</f>
      </c>
      <c r="O153">
        <f>IF(ISBLANK('Data Entry'!$O$153), "", 'Data Entry'!$O$153)</f>
      </c>
      <c r="P153">
        <f>IF(ISBLANK('Data Entry'!$P$153), "", 'Data Entry'!$P$153)</f>
      </c>
      <c r="Q153">
        <f>IF(ISBLANK('Data Entry'!$Q$153), "", 'Data Entry'!$Q$153)</f>
      </c>
      <c r="R153">
        <f>IF(ISBLANK('Data Entry'!$R$153), "", 'Data Entry'!$R$153)</f>
      </c>
      <c r="S153">
        <f>IF(ISBLANK('Data Entry'!$S$153), "", 'Data Entry'!$S$153)</f>
      </c>
      <c r="T153">
        <f>IF(ISBLANK('Data Entry'!$T$153), "", 'Data Entry'!$T$153)</f>
      </c>
      <c r="U153">
        <f>IF(ISBLANK('Data Entry'!$U$153), "", 'Data Entry'!$U$153)</f>
      </c>
      <c r="V153">
        <f>IF(ISBLANK('Data Entry'!$V$153), "", 'Data Entry'!$V$153)</f>
      </c>
      <c r="W153">
        <f>IF(ISBLANK('Data Entry'!$W$153), "", 'Data Entry'!$W$153)</f>
      </c>
      <c r="X153">
        <f>IF(ISBLANK('Data Entry'!$X$153), "", 'Data Entry'!$X$153)</f>
      </c>
      <c r="Y153">
        <f>IF(ISBLANK('Data Entry'!$Y$153), "", 'Data Entry'!$Y$153)</f>
      </c>
      <c r="Z153">
        <f>IF(ISBLANK('Data Entry'!$Z$153), "", 'Data Entry'!$Z$153)</f>
      </c>
      <c r="AA153">
        <f>IF(ISBLANK('Data Entry'!$[$153), "", 'Data Entry'!$[$153)</f>
      </c>
      <c r="AB153">
        <f>IF(ISBLANK('Data Entry'!$\$153), "", 'Data Entry'!$\$153)</f>
      </c>
      <c r="AC153">
        <f>IF(ISBLANK('Data Entry'!$]$153), "", 'Data Entry'!$]$153)</f>
      </c>
      <c r="AD153">
        <f>IF(ISBLANK('Data Entry'!$^$153), "", 'Data Entry'!$^$153)</f>
      </c>
      <c r="AE153">
        <f>IF(ISBLANK('Data Entry'!$_$153), "", 'Data Entry'!$_$153)</f>
      </c>
      <c r="AF153">
        <f>IF(ISBLANK('Data Entry'!$`$153), "", 'Data Entry'!$`$153)</f>
      </c>
      <c r="AG153">
        <f>IF(ISBLANK('Data Entry'!$a$153), "", 'Data Entry'!$a$153)</f>
      </c>
      <c r="AH153">
        <f>IF(ISBLANK('Data Entry'!$b$153), "", 'Data Entry'!$b$153)</f>
      </c>
      <c r="AI153">
        <f>IF(ISBLANK('Data Entry'!$c$153), "", 'Data Entry'!$c$153)</f>
      </c>
      <c r="AJ153">
        <f>IF(ISBLANK('Data Entry'!$d$153), "", 'Data Entry'!$d$153)</f>
      </c>
      <c r="AK153">
        <f>IF(ISBLANK('Data Entry'!$e$153), "", 'Data Entry'!$e$153)</f>
      </c>
      <c r="AL153">
        <f>IF(ISBLANK('Data Entry'!$f$153), "", 'Data Entry'!$f$153)</f>
      </c>
      <c r="AM153">
        <f>IF(ISBLANK('Data Entry'!$g$153), "", 'Data Entry'!$g$153)</f>
      </c>
      <c r="AN153">
        <f>IF(ISBLANK('Data Entry'!$h$153), "", 'Data Entry'!$h$153)</f>
      </c>
      <c r="AO153">
        <f>IF(ISBLANK('Data Entry'!$i$153), "", 'Data Entry'!$i$153)</f>
      </c>
      <c r="AP153">
        <f>IF(ISBLANK('Data Entry'!$j$153), "", 'Data Entry'!$j$153)</f>
      </c>
      <c r="AQ153">
        <f>IF(ISBLANK('Data Entry'!$k$153), "", 'Data Entry'!$k$153)</f>
      </c>
      <c r="AR153">
        <f>IF(ISBLANK('Data Entry'!$l$153), "", 'Data Entry'!$l$153)</f>
      </c>
      <c r="AS153">
        <f>IF(ISBLANK('Data Entry'!$m$153), "", 'Data Entry'!$m$153)</f>
      </c>
      <c r="AT153">
        <f>IF(ISBLANK('Data Entry'!$n$153), "", 'Data Entry'!$n$153)</f>
      </c>
      <c r="AU153">
        <f>IF(ISBLANK('Data Entry'!$o$153), "", 'Data Entry'!$o$153)</f>
      </c>
      <c r="AV153">
        <f>IF(ISBLANK('Data Entry'!$p$153), "", 'Data Entry'!$p$153)</f>
      </c>
      <c r="AW153">
        <f>IF(ISBLANK('Data Entry'!$q$153), "", 'Data Entry'!$q$153)</f>
      </c>
      <c r="AX153">
        <f>IF(ISBLANK('Data Entry'!$r$153), "", 'Data Entry'!$r$153)</f>
      </c>
      <c r="AY153">
        <f>IF(ISBLANK('Data Entry'!$s$153), "", 'Data Entry'!$s$153)</f>
      </c>
      <c r="AZ153">
        <f>IF(ISBLANK('Data Entry'!$t$153), "", 'Data Entry'!$t$153)</f>
      </c>
      <c r="BA153">
        <f>IF(ISBLANK('Data Entry'!$u$153), "", 'Data Entry'!$u$153)</f>
      </c>
      <c r="BB153">
        <f>IF(ISBLANK('Data Entry'!$v$153), "", 'Data Entry'!$v$153)</f>
      </c>
      <c r="BC153">
        <f>IF(ISBLANK('Data Entry'!$w$153), "", 'Data Entry'!$w$153)</f>
      </c>
      <c r="BD153">
        <f>IF(ISBLANK('Data Entry'!$x$153), "", 'Data Entry'!$x$153)</f>
      </c>
      <c r="BE153">
        <f>IF(ISBLANK('Data Entry'!$y$153), "", 'Data Entry'!$y$153)</f>
      </c>
      <c r="BF153">
        <f>IF(ISBLANK('Data Entry'!$z$153), "", 'Data Entry'!$z$153)</f>
      </c>
      <c r="BG153">
        <f>IF(ISBLANK('Data Entry'!${$153), "", 'Data Entry'!${$153)</f>
      </c>
      <c r="BH153">
        <f>IF(ISBLANK('Data Entry'!$|$153), "", 'Data Entry'!$|$153)</f>
      </c>
      <c r="BI153">
        <f>IF(ISBLANK('Data Entry'!$}$153), "", 'Data Entry'!$}$153)</f>
      </c>
      <c r="BJ153">
        <f>IF(ISBLANK('Data Entry'!$~$153), "", 'Data Entry'!$~$153)</f>
      </c>
      <c r="BK153">
        <f>IF(ISBLANK('Data Entry'!$$153), "", 'Data Entry'!$$153)</f>
      </c>
      <c r="BL153">
        <f>IF(ISBLANK('Data Entry'!$$153), "", 'Data Entry'!$$153)</f>
      </c>
      <c r="BM153">
        <f>IF(ISBLANK('Data Entry'!$$153), "", 'Data Entry'!$$153)</f>
      </c>
      <c r="BN153">
        <f>IF(ISBLANK('Data Entry'!$$153), "", 'Data Entry'!$$153)</f>
      </c>
      <c r="BO153">
        <f>IF(ISBLANK('Data Entry'!$$153), "", 'Data Entry'!$$153)</f>
      </c>
      <c r="BP153">
        <f>IF(ISBLANK('Data Entry'!$$153), "", 'Data Entry'!$$153)</f>
      </c>
      <c r="BQ153">
        <f>IF(ISBLANK('Data Entry'!$$153), "", 'Data Entry'!$$153)</f>
      </c>
      <c r="BR153">
        <f>IF(ISBLANK('Data Entry'!$$153), "", 'Data Entry'!$$153)</f>
      </c>
      <c r="BS153">
        <f>IF(ISBLANK('Data Entry'!$$153), "", 'Data Entry'!$$153)</f>
      </c>
      <c r="BT153">
        <f>IF(ISBLANK('Data Entry'!$$153), "", 'Data Entry'!$$153)</f>
      </c>
      <c r="BU153">
        <f>IF(ISBLANK('Data Entry'!$$153), "", 'Data Entry'!$$153)</f>
      </c>
      <c r="BV153">
        <f>IF(ISBLANK('Data Entry'!$$153), "", 'Data Entry'!$$153)</f>
      </c>
      <c r="BW153">
        <f>IF(ISBLANK('Data Entry'!$$153), "", 'Data Entry'!$$153)</f>
      </c>
      <c r="BX153">
        <f>IF(ISBLANK('Data Entry'!$$153), "", 'Data Entry'!$$153)</f>
      </c>
      <c r="BY153">
        <f>IF(ISBLANK('Data Entry'!$$153), "", 'Data Entry'!$$153)</f>
      </c>
      <c r="BZ153">
        <f>IF(ISBLANK('Data Entry'!$$153), "", 'Data Entry'!$$153)</f>
      </c>
      <c r="CA153">
        <f>IF(ISBLANK('Data Entry'!$$153), "", 'Data Entry'!$$153)</f>
      </c>
      <c r="CB153">
        <f>IF(ISBLANK('Data Entry'!$$153), "", 'Data Entry'!$$153)</f>
      </c>
      <c r="CC153">
        <f>IF(ISBLANK('Data Entry'!$$153), "", 'Data Entry'!$$153)</f>
      </c>
      <c r="CD153">
        <f>IF(ISBLANK('Data Entry'!$$153), "", 'Data Entry'!$$153)</f>
      </c>
      <c r="CE153">
        <f>IF(ISBLANK('Data Entry'!$$153), "", 'Data Entry'!$$153)</f>
      </c>
      <c r="CF153">
        <f>IF(ISBLANK('Data Entry'!$$153), "", 'Data Entry'!$$153)</f>
      </c>
      <c r="CG153">
        <f>IF(ISBLANK('Data Entry'!$$153), "", 'Data Entry'!$$153)</f>
      </c>
      <c r="CH153">
        <f>IF(ISBLANK('Data Entry'!$$153), "", 'Data Entry'!$$153)</f>
      </c>
      <c r="CI153">
        <f>IF(ISBLANK('Data Entry'!$$153), "", 'Data Entry'!$$153)</f>
      </c>
      <c r="CJ153">
        <f>IF(ISBLANK('Data Entry'!$$153), "", 'Data Entry'!$$153)</f>
      </c>
      <c r="CK153">
        <f>IF(ISBLANK('Data Entry'!$$153), "", 'Data Entry'!$$153)</f>
      </c>
      <c r="CL153">
        <f>IF(ISBLANK('Data Entry'!$$153), "", 'Data Entry'!$$153)</f>
      </c>
      <c r="CM153">
        <f>IF(ISBLANK('Data Entry'!$$153), "", 'Data Entry'!$$153)</f>
      </c>
      <c r="CN153">
        <f>IF(ISBLANK('Data Entry'!$$153), "", 'Data Entry'!$$153)</f>
      </c>
      <c r="CO153">
        <f>IF(ISBLANK('Data Entry'!$$153), "", 'Data Entry'!$$153)</f>
      </c>
      <c r="CP153">
        <f>IF(ISBLANK('Data Entry'!$$153), "", 'Data Entry'!$$153)</f>
      </c>
      <c r="CQ153">
        <f>IF(ISBLANK('Data Entry'!$$153), "", 'Data Entry'!$$153)</f>
      </c>
      <c r="CR153">
        <f>IF(ISBLANK('Data Entry'!$ $153), "", 'Data Entry'!$ $153)</f>
      </c>
      <c r="CS153">
        <f>IF(ISBLANK('Data Entry'!$¡$153), "", 'Data Entry'!$¡$153)</f>
      </c>
      <c r="CT153">
        <f>IF(ISBLANK('Data Entry'!$¢$153), "", 'Data Entry'!$¢$153)</f>
      </c>
      <c r="CU153">
        <f>IF(ISBLANK('Data Entry'!$£$153), "", 'Data Entry'!$£$153)</f>
      </c>
      <c r="CV153">
        <f>IF(ISBLANK('Data Entry'!$¤$153), "", 'Data Entry'!$¤$153)</f>
      </c>
      <c r="CW153">
        <f>IF(ISBLANK('Data Entry'!$¥$153), "", 'Data Entry'!$¥$153)</f>
      </c>
      <c r="CX153">
        <f>IF(ISBLANK('Data Entry'!$¦$153), "", 'Data Entry'!$¦$153)</f>
      </c>
      <c r="CY153">
        <f>IF(ISBLANK('Data Entry'!$§$153), "", 'Data Entry'!$§$153)</f>
      </c>
      <c r="CZ153">
        <f>IF(ISBLANK('Data Entry'!$¨$153), "", 'Data Entry'!$¨$153)</f>
      </c>
      <c r="DA153">
        <f>IF(ISBLANK('Data Entry'!$©$153), "", 'Data Entry'!$©$153)</f>
      </c>
      <c r="DB153">
        <f>IF(ISBLANK('Data Entry'!$ª$153), "", 'Data Entry'!$ª$153)</f>
      </c>
      <c r="DC153">
        <f>IF(ISBLANK('Data Entry'!$«$153), "", 'Data Entry'!$«$153)</f>
      </c>
      <c r="DD153">
        <f>IF(ISBLANK('Data Entry'!$¬$153), "", 'Data Entry'!$¬$153)</f>
      </c>
      <c r="DE153">
        <f>IF(ISBLANK('Data Entry'!$­$153), "", 'Data Entry'!$­$153)</f>
      </c>
      <c r="DF153">
        <f>IF(ISBLANK('Data Entry'!$®$153), "", 'Data Entry'!$®$153)</f>
      </c>
      <c r="DG153">
        <f>IF(ISBLANK('Data Entry'!$¯$153), "", 'Data Entry'!$¯$153)</f>
      </c>
      <c r="DH153">
        <f>IF(ISBLANK('Data Entry'!$°$153), "", 'Data Entry'!$°$153)</f>
      </c>
      <c r="DI153">
        <f>IF(ISBLANK('Data Entry'!$±$153), "", 'Data Entry'!$±$153)</f>
      </c>
      <c r="DJ153">
        <f>IF(ISBLANK('Data Entry'!$²$153), "", 'Data Entry'!$²$153)</f>
      </c>
      <c r="DK153">
        <f>IF(ISBLANK('Data Entry'!$³$153), "", 'Data Entry'!$³$153)</f>
      </c>
      <c r="DL153">
        <f>IF(ISBLANK('Data Entry'!$´$153), "", 'Data Entry'!$´$153)</f>
      </c>
      <c r="DM153">
        <f>IF(ISBLANK('Data Entry'!$µ$153), "", 'Data Entry'!$µ$153)</f>
      </c>
      <c r="DN153">
        <f>IF(ISBLANK('Data Entry'!$¶$153), "", 'Data Entry'!$¶$153)</f>
      </c>
      <c r="DO153">
        <f>IF(ISBLANK('Data Entry'!$·$153), "", 'Data Entry'!$·$153)</f>
      </c>
      <c r="DP153">
        <f>IF(ISBLANK('Data Entry'!$¸$153), "", 'Data Entry'!$¸$153)</f>
      </c>
      <c r="DQ153">
        <f>IF(ISBLANK('Data Entry'!$¹$153), "", 'Data Entry'!$¹$153)</f>
      </c>
      <c r="DR153">
        <f>IF(ISBLANK('Data Entry'!$º$153), "", 'Data Entry'!$º$153)</f>
      </c>
      <c r="DS153">
        <f>IF(ISBLANK('Data Entry'!$»$153), "", 'Data Entry'!$»$153)</f>
      </c>
      <c r="DT153">
        <f>IF(ISBLANK('Data Entry'!$¼$153), "", 'Data Entry'!$¼$153)</f>
      </c>
      <c r="DU153">
        <f>IF(ISBLANK('Data Entry'!$½$153), "", 'Data Entry'!$½$153)</f>
      </c>
      <c r="DV153">
        <f>IF(ISBLANK('Data Entry'!$¾$153), "", 'Data Entry'!$¾$153)</f>
      </c>
      <c r="DW153">
        <f>IF(ISBLANK('Data Entry'!$¿$153), "", 'Data Entry'!$¿$153)</f>
      </c>
      <c r="DX153">
        <f>IF(ISBLANK('Data Entry'!$À$153), "", 'Data Entry'!$À$153)</f>
      </c>
      <c r="DY153">
        <f>IF(ISBLANK('Data Entry'!$Á$153), "", 'Data Entry'!$Á$153)</f>
      </c>
      <c r="DZ153">
        <f>IF(ISBLANK('Data Entry'!$Â$153), "", 'Data Entry'!$Â$153)</f>
      </c>
      <c r="EA153">
        <f>IF(ISBLANK('Data Entry'!$Ã$153), "", 'Data Entry'!$Ã$153)</f>
      </c>
      <c r="EB153">
        <f>IF(ISBLANK('Data Entry'!$Ä$153), "", 'Data Entry'!$Ä$153)</f>
      </c>
      <c r="EC153">
        <f>IF(ISBLANK('Data Entry'!$Å$153), "", 'Data Entry'!$Å$153)</f>
      </c>
      <c r="ED153">
        <f>IF(ISBLANK('Data Entry'!$Æ$153), "", 'Data Entry'!$Æ$153)</f>
      </c>
      <c r="EE153">
        <f>IF(ISBLANK('Data Entry'!$Ç$153), "", 'Data Entry'!$Ç$153)</f>
      </c>
      <c r="EF153">
        <f>IF(ISBLANK('Data Entry'!$È$153), "", 'Data Entry'!$È$153)</f>
      </c>
      <c r="EG153">
        <f>IF(ISBLANK('Data Entry'!$É$153), "", 'Data Entry'!$É$153)</f>
      </c>
      <c r="EH153">
        <f>IF(ISBLANK('Data Entry'!$Ê$153), "", 'Data Entry'!$Ê$153)</f>
      </c>
      <c r="EI153">
        <f>IF(ISBLANK('Data Entry'!$Ë$153), "", 'Data Entry'!$Ë$153)</f>
      </c>
      <c r="EJ153">
        <f>IF(ISBLANK('Data Entry'!$Ì$153), "", 'Data Entry'!$Ì$153)</f>
      </c>
      <c r="EK153">
        <f>IF(ISBLANK('Data Entry'!$Í$153), "", 'Data Entry'!$Í$153)</f>
      </c>
      <c r="EL153">
        <f>IF(ISBLANK('Data Entry'!$Î$153), "", 'Data Entry'!$Î$153)</f>
      </c>
      <c r="EM153">
        <f>IF(ISBLANK('Data Entry'!$Ï$153), "", 'Data Entry'!$Ï$153)</f>
      </c>
      <c r="EN153">
        <f>IF(ISBLANK('Data Entry'!$Ð$153), "", 'Data Entry'!$Ð$153)</f>
      </c>
      <c r="EO153">
        <f>IF(ISBLANK('Data Entry'!$Ñ$153), "", 'Data Entry'!$Ñ$153)</f>
      </c>
      <c r="EP153">
        <f>IF(ISBLANK('Data Entry'!$Ò$153), "", 'Data Entry'!$Ò$153)</f>
      </c>
      <c r="EQ153">
        <f>IF(ISBLANK('Data Entry'!$Ó$153), "", 'Data Entry'!$Ó$153)</f>
      </c>
      <c r="ER153">
        <f>IF(ISBLANK('Data Entry'!$Ô$153), "", 'Data Entry'!$Ô$153)</f>
      </c>
      <c r="ES153">
        <f>IF(ISBLANK('Data Entry'!$Õ$153), "", 'Data Entry'!$Õ$153)</f>
      </c>
      <c r="ET153">
        <f>IF(ISBLANK('Data Entry'!$Ö$153), "", 'Data Entry'!$Ö$153)</f>
      </c>
      <c r="EU153">
        <f>IF(ISBLANK('Data Entry'!$×$153), "", 'Data Entry'!$×$153)</f>
      </c>
      <c r="EV153">
        <f>IF(ISBLANK('Data Entry'!$Ø$153), "", 'Data Entry'!$Ø$153)</f>
      </c>
      <c r="EW153">
        <f>IF(ISBLANK('Data Entry'!$Ù$153), "", 'Data Entry'!$Ù$153)</f>
      </c>
      <c r="EX153">
        <f>IF(ISBLANK('Data Entry'!$Ú$153), "", 'Data Entry'!$Ú$153)</f>
      </c>
      <c r="EY153">
        <f>IF(ISBLANK('Data Entry'!$Û$153), "", 'Data Entry'!$Û$153)</f>
      </c>
      <c r="EZ153">
        <f>IF(ISBLANK('Data Entry'!$Ü$153), "", 'Data Entry'!$Ü$153)</f>
      </c>
      <c r="FA153">
        <f>IF(ISBLANK('Data Entry'!$Ý$153), "", 'Data Entry'!$Ý$153)</f>
      </c>
      <c r="FB153">
        <f>IF(ISBLANK('Data Entry'!$Þ$153), "", 'Data Entry'!$Þ$153)</f>
      </c>
      <c r="FC153">
        <f>IF(ISBLANK('Data Entry'!$ß$153), "", 'Data Entry'!$ß$153)</f>
      </c>
      <c r="FD153">
        <f>IF(ISBLANK('Data Entry'!$à$153), "", 'Data Entry'!$à$153)</f>
      </c>
      <c r="FE153">
        <f>IF(ISBLANK('Data Entry'!$á$153), "", 'Data Entry'!$á$153)</f>
      </c>
      <c r="FF153">
        <f>IF(ISBLANK('Data Entry'!$â$153), "", 'Data Entry'!$â$153)</f>
      </c>
      <c r="FG153">
        <f>IF(ISBLANK('Data Entry'!$ã$153), "", 'Data Entry'!$ã$153)</f>
      </c>
      <c r="FH153">
        <f>IF(ISBLANK('Data Entry'!$ä$153), "", 'Data Entry'!$ä$153)</f>
      </c>
      <c r="FI153">
        <f>IF(ISBLANK('Data Entry'!$å$153), "", 'Data Entry'!$å$153)</f>
      </c>
      <c r="FJ153">
        <f>IF(ISBLANK('Data Entry'!$æ$153), "", 'Data Entry'!$æ$153)</f>
      </c>
      <c r="FK153">
        <f>IF(ISBLANK('Data Entry'!$ç$153), "", 'Data Entry'!$ç$153)</f>
      </c>
      <c r="FL153">
        <f>IF(ISBLANK('Data Entry'!$è$153), "", 'Data Entry'!$è$153)</f>
      </c>
      <c r="FM153">
        <f>IF(ISBLANK('Data Entry'!$é$153), "", 'Data Entry'!$é$153)</f>
      </c>
      <c r="FN153">
        <f>IF(ISBLANK('Data Entry'!$ê$153), "", 'Data Entry'!$ê$153)</f>
      </c>
      <c r="FO153">
        <f>IF(ISBLANK('Data Entry'!$ë$153), "", 'Data Entry'!$ë$153)</f>
      </c>
      <c r="FP153">
        <f>IF(ISBLANK('Data Entry'!$ì$153), "", 'Data Entry'!$ì$153)</f>
      </c>
      <c r="FQ153">
        <f>IF(ISBLANK('Data Entry'!$í$153), "", 'Data Entry'!$í$153)</f>
      </c>
      <c r="FR153">
        <f>IF(ISBLANK('Data Entry'!$î$153), "", 'Data Entry'!$î$153)</f>
      </c>
      <c r="FS153">
        <f>IF(ISBLANK('Data Entry'!$ï$153), "", 'Data Entry'!$ï$153)</f>
      </c>
      <c r="FT153">
        <f>IF(ISBLANK('Data Entry'!$ð$153), "", 'Data Entry'!$ð$153)</f>
      </c>
      <c r="FU153">
        <f>IF(ISBLANK('Data Entry'!$ñ$153), "", 'Data Entry'!$ñ$153)</f>
      </c>
      <c r="FV153">
        <f>IF(ISBLANK('Data Entry'!$ò$153), "", 'Data Entry'!$ò$153)</f>
      </c>
      <c r="FW153">
        <f>IF(ISBLANK('Data Entry'!$ó$153), "", 'Data Entry'!$ó$153)</f>
      </c>
      <c r="FX153">
        <f>IF(ISBLANK('Data Entry'!$ô$153), "", 'Data Entry'!$ô$153)</f>
      </c>
      <c r="FY153">
        <f>IF(ISBLANK('Data Entry'!$õ$153), "", 'Data Entry'!$õ$153)</f>
      </c>
      <c r="FZ153">
        <f>IF(ISBLANK('Data Entry'!$ö$153), "", 'Data Entry'!$ö$153)</f>
      </c>
      <c r="GA153">
        <f>IF(ISBLANK('Data Entry'!$÷$153), "", 'Data Entry'!$÷$153)</f>
      </c>
      <c r="GB153">
        <f>IF(ISBLANK('Data Entry'!$ø$153), "", 'Data Entry'!$ø$153)</f>
      </c>
      <c r="GC153">
        <f>IF(ISBLANK('Data Entry'!$ù$153), "", 'Data Entry'!$ù$153)</f>
      </c>
      <c r="GD153">
        <f>IF(ISBLANK('Data Entry'!$ú$153), "", 'Data Entry'!$ú$153)</f>
      </c>
      <c r="GE153">
        <f>IF(ISBLANK('Data Entry'!$û$153), "", 'Data Entry'!$û$153)</f>
      </c>
      <c r="GF153">
        <f>IF(ISBLANK('Data Entry'!$ü$153), "", 'Data Entry'!$ü$153)</f>
      </c>
      <c r="GG153">
        <f>IF(ISBLANK('Data Entry'!$ý$153), "", 'Data Entry'!$ý$153)</f>
      </c>
      <c r="GH153">
        <f>IF(ISBLANK('Data Entry'!$þ$153), "", 'Data Entry'!$þ$153)</f>
      </c>
      <c r="GI153">
        <f>IF(ISBLANK('Data Entry'!$ÿ$153), "", 'Data Entry'!$ÿ$153)</f>
      </c>
      <c r="GJ153">
        <f>IF(ISBLANK('Data Entry'!$Ā$153), "", 'Data Entry'!$Ā$153)</f>
      </c>
      <c r="GK153">
        <f>IF(ISBLANK('Data Entry'!$ā$153), "", 'Data Entry'!$ā$153)</f>
      </c>
      <c r="GL153">
        <f>IF(ISBLANK('Data Entry'!$Ă$153), "", 'Data Entry'!$Ă$153)</f>
      </c>
      <c r="GM153">
        <f>IF(ISBLANK('Data Entry'!$ă$153), "", 'Data Entry'!$ă$153)</f>
      </c>
      <c r="GN153">
        <f>IF(ISBLANK('Data Entry'!$Ą$153), "", 'Data Entry'!$Ą$153)</f>
      </c>
      <c r="GO153">
        <f>IF(ISBLANK('Data Entry'!$ą$153), "", 'Data Entry'!$ą$153)</f>
      </c>
      <c r="GP153">
        <f>IF(ISBLANK('Data Entry'!$Ć$153), "", 'Data Entry'!$Ć$153)</f>
      </c>
      <c r="GQ153">
        <f>IF(ISBLANK('Data Entry'!$ć$153), "", 'Data Entry'!$ć$153)</f>
      </c>
      <c r="GR153">
        <f>IF(ISBLANK('Data Entry'!$Ĉ$153), "", 'Data Entry'!$Ĉ$153)</f>
      </c>
      <c r="GS153">
        <f>IF(ISBLANK('Data Entry'!$ĉ$153), "", 'Data Entry'!$ĉ$153)</f>
      </c>
      <c r="GT153">
        <f>IF(ISBLANK('Data Entry'!$Ċ$153), "", 'Data Entry'!$Ċ$153)</f>
      </c>
      <c r="GU153">
        <f>IF(ISBLANK('Data Entry'!$ċ$153), "", 'Data Entry'!$ċ$153)</f>
      </c>
      <c r="GV153">
        <f>IF(ISBLANK('Data Entry'!$Č$153), "", 'Data Entry'!$Č$153)</f>
      </c>
      <c r="GW153">
        <f>IF(ISBLANK('Data Entry'!$č$153), "", 'Data Entry'!$č$153)</f>
      </c>
      <c r="GX153">
        <f>IF(ISBLANK('Data Entry'!$Ď$153), "", 'Data Entry'!$Ď$153)</f>
      </c>
      <c r="GY153">
        <f>IF(ISBLANK('Data Entry'!$ď$153), "", 'Data Entry'!$ď$153)</f>
      </c>
      <c r="GZ153">
        <f>IF(ISBLANK('Data Entry'!$Đ$153), "", 'Data Entry'!$Đ$153)</f>
      </c>
      <c r="HA153">
        <f>IF(ISBLANK('Data Entry'!$đ$153), "", 'Data Entry'!$đ$153)</f>
      </c>
      <c r="HB153">
        <f>IF(ISBLANK('Data Entry'!$Ē$153), "", 'Data Entry'!$Ē$153)</f>
      </c>
      <c r="HC153">
        <f>IF(ISBLANK('Data Entry'!$ē$153), "", 'Data Entry'!$ē$153)</f>
      </c>
      <c r="HD153">
        <f>IF(ISBLANK('Data Entry'!$Ĕ$153), "", 'Data Entry'!$Ĕ$153)</f>
      </c>
      <c r="HE153">
        <f>IF(ISBLANK('Data Entry'!$ĕ$153), "", 'Data Entry'!$ĕ$153)</f>
      </c>
      <c r="HF153">
        <f>IF(ISBLANK('Data Entry'!$Ė$153), "", 'Data Entry'!$Ė$153)</f>
      </c>
      <c r="HG153">
        <f>IF(ISBLANK('Data Entry'!$ė$153), "", 'Data Entry'!$ė$153)</f>
      </c>
      <c r="HH153">
        <f>IF(ISBLANK('Data Entry'!$Ę$153), "", 'Data Entry'!$Ę$153)</f>
      </c>
      <c r="HI153">
        <f>IF(ISBLANK('Data Entry'!$ę$153), "", 'Data Entry'!$ę$153)</f>
      </c>
      <c r="HJ153">
        <f>IF(ISBLANK('Data Entry'!$Ě$153), "", 'Data Entry'!$Ě$153)</f>
      </c>
      <c r="HK153">
        <f>IF(ISBLANK('Data Entry'!$ě$153), "", 'Data Entry'!$ě$153)</f>
      </c>
      <c r="HL153">
        <f>IF(ISBLANK('Data Entry'!$Ĝ$153), "", 'Data Entry'!$Ĝ$153)</f>
      </c>
      <c r="HM153">
        <f>IF(ISBLANK('Data Entry'!$ĝ$153), "", 'Data Entry'!$ĝ$153)</f>
      </c>
      <c r="HN153">
        <f>IF(ISBLANK('Data Entry'!$Ğ$153), "", 'Data Entry'!$Ğ$153)</f>
      </c>
      <c r="HO153">
        <f>IF(ISBLANK('Data Entry'!$ğ$153), "", 'Data Entry'!$ğ$153)</f>
      </c>
      <c r="HP153">
        <f>IF(ISBLANK('Data Entry'!$Ġ$153), "", 'Data Entry'!$Ġ$153)</f>
      </c>
      <c r="HQ153">
        <f>IF(ISBLANK('Data Entry'!$ġ$153), "", 'Data Entry'!$ġ$153)</f>
      </c>
      <c r="HR153">
        <f>IF(ISBLANK('Data Entry'!$Ģ$153), "", 'Data Entry'!$Ģ$153)</f>
      </c>
      <c r="HS153">
        <f>IF(ISBLANK('Data Entry'!$ģ$153), "", 'Data Entry'!$ģ$153)</f>
      </c>
      <c r="HT153">
        <f>IF(ISBLANK('Data Entry'!$Ĥ$153), "", 'Data Entry'!$Ĥ$153)</f>
      </c>
      <c r="HU153">
        <f>IF(ISBLANK('Data Entry'!$ĥ$153), "", 'Data Entry'!$ĥ$153)</f>
      </c>
      <c r="HV153">
        <f>IF(ISBLANK('Data Entry'!$Ħ$153), "", 'Data Entry'!$Ħ$153)</f>
      </c>
      <c r="HW153">
        <f>IF(ISBLANK('Data Entry'!$ħ$153), "", 'Data Entry'!$ħ$153)</f>
      </c>
      <c r="HX153">
        <f>IF(ISBLANK('Data Entry'!$Ĩ$153), "", 'Data Entry'!$Ĩ$153)</f>
      </c>
      <c r="HY153">
        <f>IF(ISBLANK('Data Entry'!$ĩ$153), "", 'Data Entry'!$ĩ$153)</f>
      </c>
      <c r="HZ153">
        <f>IF(ISBLANK('Data Entry'!$Ī$153), "", 'Data Entry'!$Ī$153)</f>
      </c>
      <c r="IA153">
        <f>IF(ISBLANK('Data Entry'!$ī$153), "", 'Data Entry'!$ī$153)</f>
      </c>
      <c r="IB153">
        <f>IF(ISBLANK('Data Entry'!$Ĭ$153), "", 'Data Entry'!$Ĭ$153)</f>
      </c>
      <c r="IC153">
        <f>IF(ISBLANK('Data Entry'!$ĭ$153), "", 'Data Entry'!$ĭ$153)</f>
      </c>
      <c r="ID153">
        <f>IF(ISBLANK('Data Entry'!$Į$153), "", 'Data Entry'!$Į$153)</f>
      </c>
      <c r="IE153">
        <f>IF(ISBLANK('Data Entry'!$į$153), "", 'Data Entry'!$į$153)</f>
      </c>
      <c r="IF153">
        <f>IF(ISBLANK('Data Entry'!$İ$153), "", 'Data Entry'!$İ$153)</f>
      </c>
      <c r="IG153">
        <f>IF(ISBLANK('Data Entry'!$ı$153), "", 'Data Entry'!$ı$153)</f>
      </c>
      <c r="IH153">
        <f>IF(ISBLANK('Data Entry'!$Ĳ$153), "", 'Data Entry'!$Ĳ$153)</f>
      </c>
      <c r="II153">
        <f>IF(ISBLANK('Data Entry'!$ĳ$153), "", 'Data Entry'!$ĳ$153)</f>
      </c>
      <c r="IJ153">
        <f>IF(ISBLANK('Data Entry'!$Ĵ$153), "", 'Data Entry'!$Ĵ$153)</f>
      </c>
      <c r="IK153">
        <f>IF(ISBLANK('Data Entry'!$ĵ$153), "", 'Data Entry'!$ĵ$153)</f>
      </c>
      <c r="IL153">
        <f>IF(ISBLANK('Data Entry'!$Ķ$153), "", 'Data Entry'!$Ķ$153)</f>
      </c>
      <c r="IM153">
        <f>IF(ISBLANK('Data Entry'!$ķ$153), "", 'Data Entry'!$ķ$153)</f>
      </c>
      <c r="IN153">
        <f>IF(ISBLANK('Data Entry'!$ĸ$153), "", 'Data Entry'!$ĸ$153)</f>
      </c>
      <c r="IO153">
        <f>IF(ISBLANK('Data Entry'!$Ĺ$153), "", 'Data Entry'!$Ĺ$153)</f>
      </c>
      <c r="IP153">
        <f>IF(ISBLANK('Data Entry'!$ĺ$153), "", 'Data Entry'!$ĺ$153)</f>
      </c>
      <c r="IQ153">
        <f>IF(ISBLANK('Data Entry'!$Ļ$153), "", 'Data Entry'!$Ļ$153)</f>
      </c>
      <c r="IR153">
        <f>IF(ISBLANK('Data Entry'!$ļ$153), "", 'Data Entry'!$ļ$153)</f>
      </c>
      <c r="IS153">
        <f>IF(ISBLANK('Data Entry'!$Ľ$153), "", 'Data Entry'!$Ľ$153)</f>
      </c>
      <c r="IT153">
        <f>IF(ISBLANK('Data Entry'!$ľ$153), "", 'Data Entry'!$ľ$153)</f>
      </c>
    </row>
    <row r="154" spans="1:254" x14ac:dyDescent="0.25">
      <c r="A154">
        <f>IF(ISBLANK('Data Entry'!$A$154), "", 'Data Entry'!$A$154)</f>
      </c>
      <c r="B154">
        <f>IF(ISBLANK('Data Entry'!$B$154), "", 'Data Entry'!$B$154)</f>
      </c>
      <c r="C154">
        <f>IF(ISBLANK('Data Entry'!$C$154), "", 'Data Entry'!$C$154)</f>
      </c>
      <c r="D154">
        <f>IF(ISBLANK('Data Entry'!$D$154), "", 'Data Entry'!$D$154)</f>
      </c>
      <c r="E154">
        <f>IF(ISBLANK('Data Entry'!$E$154), "", 'Data Entry'!$E$154)</f>
      </c>
      <c r="F154">
        <f>IF(ISBLANK('Data Entry'!$F$154), "", 'Data Entry'!$F$154)</f>
      </c>
      <c r="G154">
        <f>IF(ISBLANK('Data Entry'!$G$154), "", 'Data Entry'!$G$154)</f>
      </c>
      <c r="H154">
        <f>IF(ISBLANK('Data Entry'!$H$154), "", 'Data Entry'!$H$154)</f>
      </c>
      <c r="I154">
        <f>IF(ISBLANK('Data Entry'!$I$154), "", 'Data Entry'!$I$154)</f>
      </c>
      <c r="J154">
        <f>IF(ISBLANK('Data Entry'!$J$154), "", 'Data Entry'!$J$154)</f>
      </c>
      <c r="K154">
        <f>IF(ISBLANK('Data Entry'!$K$154), "", 'Data Entry'!$K$154)</f>
      </c>
      <c r="L154">
        <f>IF(ISBLANK('Data Entry'!$L$154), "", 'Data Entry'!$L$154)</f>
      </c>
      <c r="M154">
        <f>IF(ISBLANK('Data Entry'!$M$154), "", 'Data Entry'!$M$154)</f>
      </c>
      <c r="N154">
        <f>IF(ISBLANK('Data Entry'!$N$154), "", 'Data Entry'!$N$154)</f>
      </c>
      <c r="O154">
        <f>IF(ISBLANK('Data Entry'!$O$154), "", 'Data Entry'!$O$154)</f>
      </c>
      <c r="P154">
        <f>IF(ISBLANK('Data Entry'!$P$154), "", 'Data Entry'!$P$154)</f>
      </c>
      <c r="Q154">
        <f>IF(ISBLANK('Data Entry'!$Q$154), "", 'Data Entry'!$Q$154)</f>
      </c>
      <c r="R154">
        <f>IF(ISBLANK('Data Entry'!$R$154), "", 'Data Entry'!$R$154)</f>
      </c>
      <c r="S154">
        <f>IF(ISBLANK('Data Entry'!$S$154), "", 'Data Entry'!$S$154)</f>
      </c>
      <c r="T154">
        <f>IF(ISBLANK('Data Entry'!$T$154), "", 'Data Entry'!$T$154)</f>
      </c>
      <c r="U154">
        <f>IF(ISBLANK('Data Entry'!$U$154), "", 'Data Entry'!$U$154)</f>
      </c>
      <c r="V154">
        <f>IF(ISBLANK('Data Entry'!$V$154), "", 'Data Entry'!$V$154)</f>
      </c>
      <c r="W154">
        <f>IF(ISBLANK('Data Entry'!$W$154), "", 'Data Entry'!$W$154)</f>
      </c>
      <c r="X154">
        <f>IF(ISBLANK('Data Entry'!$X$154), "", 'Data Entry'!$X$154)</f>
      </c>
      <c r="Y154">
        <f>IF(ISBLANK('Data Entry'!$Y$154), "", 'Data Entry'!$Y$154)</f>
      </c>
      <c r="Z154">
        <f>IF(ISBLANK('Data Entry'!$Z$154), "", 'Data Entry'!$Z$154)</f>
      </c>
      <c r="AA154">
        <f>IF(ISBLANK('Data Entry'!$[$154), "", 'Data Entry'!$[$154)</f>
      </c>
      <c r="AB154">
        <f>IF(ISBLANK('Data Entry'!$\$154), "", 'Data Entry'!$\$154)</f>
      </c>
      <c r="AC154">
        <f>IF(ISBLANK('Data Entry'!$]$154), "", 'Data Entry'!$]$154)</f>
      </c>
      <c r="AD154">
        <f>IF(ISBLANK('Data Entry'!$^$154), "", 'Data Entry'!$^$154)</f>
      </c>
      <c r="AE154">
        <f>IF(ISBLANK('Data Entry'!$_$154), "", 'Data Entry'!$_$154)</f>
      </c>
      <c r="AF154">
        <f>IF(ISBLANK('Data Entry'!$`$154), "", 'Data Entry'!$`$154)</f>
      </c>
      <c r="AG154">
        <f>IF(ISBLANK('Data Entry'!$a$154), "", 'Data Entry'!$a$154)</f>
      </c>
      <c r="AH154">
        <f>IF(ISBLANK('Data Entry'!$b$154), "", 'Data Entry'!$b$154)</f>
      </c>
      <c r="AI154">
        <f>IF(ISBLANK('Data Entry'!$c$154), "", 'Data Entry'!$c$154)</f>
      </c>
      <c r="AJ154">
        <f>IF(ISBLANK('Data Entry'!$d$154), "", 'Data Entry'!$d$154)</f>
      </c>
      <c r="AK154">
        <f>IF(ISBLANK('Data Entry'!$e$154), "", 'Data Entry'!$e$154)</f>
      </c>
      <c r="AL154">
        <f>IF(ISBLANK('Data Entry'!$f$154), "", 'Data Entry'!$f$154)</f>
      </c>
      <c r="AM154">
        <f>IF(ISBLANK('Data Entry'!$g$154), "", 'Data Entry'!$g$154)</f>
      </c>
      <c r="AN154">
        <f>IF(ISBLANK('Data Entry'!$h$154), "", 'Data Entry'!$h$154)</f>
      </c>
      <c r="AO154">
        <f>IF(ISBLANK('Data Entry'!$i$154), "", 'Data Entry'!$i$154)</f>
      </c>
      <c r="AP154">
        <f>IF(ISBLANK('Data Entry'!$j$154), "", 'Data Entry'!$j$154)</f>
      </c>
      <c r="AQ154">
        <f>IF(ISBLANK('Data Entry'!$k$154), "", 'Data Entry'!$k$154)</f>
      </c>
      <c r="AR154">
        <f>IF(ISBLANK('Data Entry'!$l$154), "", 'Data Entry'!$l$154)</f>
      </c>
      <c r="AS154">
        <f>IF(ISBLANK('Data Entry'!$m$154), "", 'Data Entry'!$m$154)</f>
      </c>
      <c r="AT154">
        <f>IF(ISBLANK('Data Entry'!$n$154), "", 'Data Entry'!$n$154)</f>
      </c>
      <c r="AU154">
        <f>IF(ISBLANK('Data Entry'!$o$154), "", 'Data Entry'!$o$154)</f>
      </c>
      <c r="AV154">
        <f>IF(ISBLANK('Data Entry'!$p$154), "", 'Data Entry'!$p$154)</f>
      </c>
      <c r="AW154">
        <f>IF(ISBLANK('Data Entry'!$q$154), "", 'Data Entry'!$q$154)</f>
      </c>
      <c r="AX154">
        <f>IF(ISBLANK('Data Entry'!$r$154), "", 'Data Entry'!$r$154)</f>
      </c>
      <c r="AY154">
        <f>IF(ISBLANK('Data Entry'!$s$154), "", 'Data Entry'!$s$154)</f>
      </c>
      <c r="AZ154">
        <f>IF(ISBLANK('Data Entry'!$t$154), "", 'Data Entry'!$t$154)</f>
      </c>
      <c r="BA154">
        <f>IF(ISBLANK('Data Entry'!$u$154), "", 'Data Entry'!$u$154)</f>
      </c>
      <c r="BB154">
        <f>IF(ISBLANK('Data Entry'!$v$154), "", 'Data Entry'!$v$154)</f>
      </c>
      <c r="BC154">
        <f>IF(ISBLANK('Data Entry'!$w$154), "", 'Data Entry'!$w$154)</f>
      </c>
      <c r="BD154">
        <f>IF(ISBLANK('Data Entry'!$x$154), "", 'Data Entry'!$x$154)</f>
      </c>
      <c r="BE154">
        <f>IF(ISBLANK('Data Entry'!$y$154), "", 'Data Entry'!$y$154)</f>
      </c>
      <c r="BF154">
        <f>IF(ISBLANK('Data Entry'!$z$154), "", 'Data Entry'!$z$154)</f>
      </c>
      <c r="BG154">
        <f>IF(ISBLANK('Data Entry'!${$154), "", 'Data Entry'!${$154)</f>
      </c>
      <c r="BH154">
        <f>IF(ISBLANK('Data Entry'!$|$154), "", 'Data Entry'!$|$154)</f>
      </c>
      <c r="BI154">
        <f>IF(ISBLANK('Data Entry'!$}$154), "", 'Data Entry'!$}$154)</f>
      </c>
      <c r="BJ154">
        <f>IF(ISBLANK('Data Entry'!$~$154), "", 'Data Entry'!$~$154)</f>
      </c>
      <c r="BK154">
        <f>IF(ISBLANK('Data Entry'!$$154), "", 'Data Entry'!$$154)</f>
      </c>
      <c r="BL154">
        <f>IF(ISBLANK('Data Entry'!$$154), "", 'Data Entry'!$$154)</f>
      </c>
      <c r="BM154">
        <f>IF(ISBLANK('Data Entry'!$$154), "", 'Data Entry'!$$154)</f>
      </c>
      <c r="BN154">
        <f>IF(ISBLANK('Data Entry'!$$154), "", 'Data Entry'!$$154)</f>
      </c>
      <c r="BO154">
        <f>IF(ISBLANK('Data Entry'!$$154), "", 'Data Entry'!$$154)</f>
      </c>
      <c r="BP154">
        <f>IF(ISBLANK('Data Entry'!$$154), "", 'Data Entry'!$$154)</f>
      </c>
      <c r="BQ154">
        <f>IF(ISBLANK('Data Entry'!$$154), "", 'Data Entry'!$$154)</f>
      </c>
      <c r="BR154">
        <f>IF(ISBLANK('Data Entry'!$$154), "", 'Data Entry'!$$154)</f>
      </c>
      <c r="BS154">
        <f>IF(ISBLANK('Data Entry'!$$154), "", 'Data Entry'!$$154)</f>
      </c>
      <c r="BT154">
        <f>IF(ISBLANK('Data Entry'!$$154), "", 'Data Entry'!$$154)</f>
      </c>
      <c r="BU154">
        <f>IF(ISBLANK('Data Entry'!$$154), "", 'Data Entry'!$$154)</f>
      </c>
      <c r="BV154">
        <f>IF(ISBLANK('Data Entry'!$$154), "", 'Data Entry'!$$154)</f>
      </c>
      <c r="BW154">
        <f>IF(ISBLANK('Data Entry'!$$154), "", 'Data Entry'!$$154)</f>
      </c>
      <c r="BX154">
        <f>IF(ISBLANK('Data Entry'!$$154), "", 'Data Entry'!$$154)</f>
      </c>
      <c r="BY154">
        <f>IF(ISBLANK('Data Entry'!$$154), "", 'Data Entry'!$$154)</f>
      </c>
      <c r="BZ154">
        <f>IF(ISBLANK('Data Entry'!$$154), "", 'Data Entry'!$$154)</f>
      </c>
      <c r="CA154">
        <f>IF(ISBLANK('Data Entry'!$$154), "", 'Data Entry'!$$154)</f>
      </c>
      <c r="CB154">
        <f>IF(ISBLANK('Data Entry'!$$154), "", 'Data Entry'!$$154)</f>
      </c>
      <c r="CC154">
        <f>IF(ISBLANK('Data Entry'!$$154), "", 'Data Entry'!$$154)</f>
      </c>
      <c r="CD154">
        <f>IF(ISBLANK('Data Entry'!$$154), "", 'Data Entry'!$$154)</f>
      </c>
      <c r="CE154">
        <f>IF(ISBLANK('Data Entry'!$$154), "", 'Data Entry'!$$154)</f>
      </c>
      <c r="CF154">
        <f>IF(ISBLANK('Data Entry'!$$154), "", 'Data Entry'!$$154)</f>
      </c>
      <c r="CG154">
        <f>IF(ISBLANK('Data Entry'!$$154), "", 'Data Entry'!$$154)</f>
      </c>
      <c r="CH154">
        <f>IF(ISBLANK('Data Entry'!$$154), "", 'Data Entry'!$$154)</f>
      </c>
      <c r="CI154">
        <f>IF(ISBLANK('Data Entry'!$$154), "", 'Data Entry'!$$154)</f>
      </c>
      <c r="CJ154">
        <f>IF(ISBLANK('Data Entry'!$$154), "", 'Data Entry'!$$154)</f>
      </c>
      <c r="CK154">
        <f>IF(ISBLANK('Data Entry'!$$154), "", 'Data Entry'!$$154)</f>
      </c>
      <c r="CL154">
        <f>IF(ISBLANK('Data Entry'!$$154), "", 'Data Entry'!$$154)</f>
      </c>
      <c r="CM154">
        <f>IF(ISBLANK('Data Entry'!$$154), "", 'Data Entry'!$$154)</f>
      </c>
      <c r="CN154">
        <f>IF(ISBLANK('Data Entry'!$$154), "", 'Data Entry'!$$154)</f>
      </c>
      <c r="CO154">
        <f>IF(ISBLANK('Data Entry'!$$154), "", 'Data Entry'!$$154)</f>
      </c>
      <c r="CP154">
        <f>IF(ISBLANK('Data Entry'!$$154), "", 'Data Entry'!$$154)</f>
      </c>
      <c r="CQ154">
        <f>IF(ISBLANK('Data Entry'!$$154), "", 'Data Entry'!$$154)</f>
      </c>
      <c r="CR154">
        <f>IF(ISBLANK('Data Entry'!$ $154), "", 'Data Entry'!$ $154)</f>
      </c>
      <c r="CS154">
        <f>IF(ISBLANK('Data Entry'!$¡$154), "", 'Data Entry'!$¡$154)</f>
      </c>
      <c r="CT154">
        <f>IF(ISBLANK('Data Entry'!$¢$154), "", 'Data Entry'!$¢$154)</f>
      </c>
      <c r="CU154">
        <f>IF(ISBLANK('Data Entry'!$£$154), "", 'Data Entry'!$£$154)</f>
      </c>
      <c r="CV154">
        <f>IF(ISBLANK('Data Entry'!$¤$154), "", 'Data Entry'!$¤$154)</f>
      </c>
      <c r="CW154">
        <f>IF(ISBLANK('Data Entry'!$¥$154), "", 'Data Entry'!$¥$154)</f>
      </c>
      <c r="CX154">
        <f>IF(ISBLANK('Data Entry'!$¦$154), "", 'Data Entry'!$¦$154)</f>
      </c>
      <c r="CY154">
        <f>IF(ISBLANK('Data Entry'!$§$154), "", 'Data Entry'!$§$154)</f>
      </c>
      <c r="CZ154">
        <f>IF(ISBLANK('Data Entry'!$¨$154), "", 'Data Entry'!$¨$154)</f>
      </c>
      <c r="DA154">
        <f>IF(ISBLANK('Data Entry'!$©$154), "", 'Data Entry'!$©$154)</f>
      </c>
      <c r="DB154">
        <f>IF(ISBLANK('Data Entry'!$ª$154), "", 'Data Entry'!$ª$154)</f>
      </c>
      <c r="DC154">
        <f>IF(ISBLANK('Data Entry'!$«$154), "", 'Data Entry'!$«$154)</f>
      </c>
      <c r="DD154">
        <f>IF(ISBLANK('Data Entry'!$¬$154), "", 'Data Entry'!$¬$154)</f>
      </c>
      <c r="DE154">
        <f>IF(ISBLANK('Data Entry'!$­$154), "", 'Data Entry'!$­$154)</f>
      </c>
      <c r="DF154">
        <f>IF(ISBLANK('Data Entry'!$®$154), "", 'Data Entry'!$®$154)</f>
      </c>
      <c r="DG154">
        <f>IF(ISBLANK('Data Entry'!$¯$154), "", 'Data Entry'!$¯$154)</f>
      </c>
      <c r="DH154">
        <f>IF(ISBLANK('Data Entry'!$°$154), "", 'Data Entry'!$°$154)</f>
      </c>
      <c r="DI154">
        <f>IF(ISBLANK('Data Entry'!$±$154), "", 'Data Entry'!$±$154)</f>
      </c>
      <c r="DJ154">
        <f>IF(ISBLANK('Data Entry'!$²$154), "", 'Data Entry'!$²$154)</f>
      </c>
      <c r="DK154">
        <f>IF(ISBLANK('Data Entry'!$³$154), "", 'Data Entry'!$³$154)</f>
      </c>
      <c r="DL154">
        <f>IF(ISBLANK('Data Entry'!$´$154), "", 'Data Entry'!$´$154)</f>
      </c>
      <c r="DM154">
        <f>IF(ISBLANK('Data Entry'!$µ$154), "", 'Data Entry'!$µ$154)</f>
      </c>
      <c r="DN154">
        <f>IF(ISBLANK('Data Entry'!$¶$154), "", 'Data Entry'!$¶$154)</f>
      </c>
      <c r="DO154">
        <f>IF(ISBLANK('Data Entry'!$·$154), "", 'Data Entry'!$·$154)</f>
      </c>
      <c r="DP154">
        <f>IF(ISBLANK('Data Entry'!$¸$154), "", 'Data Entry'!$¸$154)</f>
      </c>
      <c r="DQ154">
        <f>IF(ISBLANK('Data Entry'!$¹$154), "", 'Data Entry'!$¹$154)</f>
      </c>
      <c r="DR154">
        <f>IF(ISBLANK('Data Entry'!$º$154), "", 'Data Entry'!$º$154)</f>
      </c>
      <c r="DS154">
        <f>IF(ISBLANK('Data Entry'!$»$154), "", 'Data Entry'!$»$154)</f>
      </c>
      <c r="DT154">
        <f>IF(ISBLANK('Data Entry'!$¼$154), "", 'Data Entry'!$¼$154)</f>
      </c>
      <c r="DU154">
        <f>IF(ISBLANK('Data Entry'!$½$154), "", 'Data Entry'!$½$154)</f>
      </c>
      <c r="DV154">
        <f>IF(ISBLANK('Data Entry'!$¾$154), "", 'Data Entry'!$¾$154)</f>
      </c>
      <c r="DW154">
        <f>IF(ISBLANK('Data Entry'!$¿$154), "", 'Data Entry'!$¿$154)</f>
      </c>
      <c r="DX154">
        <f>IF(ISBLANK('Data Entry'!$À$154), "", 'Data Entry'!$À$154)</f>
      </c>
      <c r="DY154">
        <f>IF(ISBLANK('Data Entry'!$Á$154), "", 'Data Entry'!$Á$154)</f>
      </c>
      <c r="DZ154">
        <f>IF(ISBLANK('Data Entry'!$Â$154), "", 'Data Entry'!$Â$154)</f>
      </c>
      <c r="EA154">
        <f>IF(ISBLANK('Data Entry'!$Ã$154), "", 'Data Entry'!$Ã$154)</f>
      </c>
      <c r="EB154">
        <f>IF(ISBLANK('Data Entry'!$Ä$154), "", 'Data Entry'!$Ä$154)</f>
      </c>
      <c r="EC154">
        <f>IF(ISBLANK('Data Entry'!$Å$154), "", 'Data Entry'!$Å$154)</f>
      </c>
      <c r="ED154">
        <f>IF(ISBLANK('Data Entry'!$Æ$154), "", 'Data Entry'!$Æ$154)</f>
      </c>
      <c r="EE154">
        <f>IF(ISBLANK('Data Entry'!$Ç$154), "", 'Data Entry'!$Ç$154)</f>
      </c>
      <c r="EF154">
        <f>IF(ISBLANK('Data Entry'!$È$154), "", 'Data Entry'!$È$154)</f>
      </c>
      <c r="EG154">
        <f>IF(ISBLANK('Data Entry'!$É$154), "", 'Data Entry'!$É$154)</f>
      </c>
      <c r="EH154">
        <f>IF(ISBLANK('Data Entry'!$Ê$154), "", 'Data Entry'!$Ê$154)</f>
      </c>
      <c r="EI154">
        <f>IF(ISBLANK('Data Entry'!$Ë$154), "", 'Data Entry'!$Ë$154)</f>
      </c>
      <c r="EJ154">
        <f>IF(ISBLANK('Data Entry'!$Ì$154), "", 'Data Entry'!$Ì$154)</f>
      </c>
      <c r="EK154">
        <f>IF(ISBLANK('Data Entry'!$Í$154), "", 'Data Entry'!$Í$154)</f>
      </c>
      <c r="EL154">
        <f>IF(ISBLANK('Data Entry'!$Î$154), "", 'Data Entry'!$Î$154)</f>
      </c>
      <c r="EM154">
        <f>IF(ISBLANK('Data Entry'!$Ï$154), "", 'Data Entry'!$Ï$154)</f>
      </c>
      <c r="EN154">
        <f>IF(ISBLANK('Data Entry'!$Ð$154), "", 'Data Entry'!$Ð$154)</f>
      </c>
      <c r="EO154">
        <f>IF(ISBLANK('Data Entry'!$Ñ$154), "", 'Data Entry'!$Ñ$154)</f>
      </c>
      <c r="EP154">
        <f>IF(ISBLANK('Data Entry'!$Ò$154), "", 'Data Entry'!$Ò$154)</f>
      </c>
      <c r="EQ154">
        <f>IF(ISBLANK('Data Entry'!$Ó$154), "", 'Data Entry'!$Ó$154)</f>
      </c>
      <c r="ER154">
        <f>IF(ISBLANK('Data Entry'!$Ô$154), "", 'Data Entry'!$Ô$154)</f>
      </c>
      <c r="ES154">
        <f>IF(ISBLANK('Data Entry'!$Õ$154), "", 'Data Entry'!$Õ$154)</f>
      </c>
      <c r="ET154">
        <f>IF(ISBLANK('Data Entry'!$Ö$154), "", 'Data Entry'!$Ö$154)</f>
      </c>
      <c r="EU154">
        <f>IF(ISBLANK('Data Entry'!$×$154), "", 'Data Entry'!$×$154)</f>
      </c>
      <c r="EV154">
        <f>IF(ISBLANK('Data Entry'!$Ø$154), "", 'Data Entry'!$Ø$154)</f>
      </c>
      <c r="EW154">
        <f>IF(ISBLANK('Data Entry'!$Ù$154), "", 'Data Entry'!$Ù$154)</f>
      </c>
      <c r="EX154">
        <f>IF(ISBLANK('Data Entry'!$Ú$154), "", 'Data Entry'!$Ú$154)</f>
      </c>
      <c r="EY154">
        <f>IF(ISBLANK('Data Entry'!$Û$154), "", 'Data Entry'!$Û$154)</f>
      </c>
      <c r="EZ154">
        <f>IF(ISBLANK('Data Entry'!$Ü$154), "", 'Data Entry'!$Ü$154)</f>
      </c>
      <c r="FA154">
        <f>IF(ISBLANK('Data Entry'!$Ý$154), "", 'Data Entry'!$Ý$154)</f>
      </c>
      <c r="FB154">
        <f>IF(ISBLANK('Data Entry'!$Þ$154), "", 'Data Entry'!$Þ$154)</f>
      </c>
      <c r="FC154">
        <f>IF(ISBLANK('Data Entry'!$ß$154), "", 'Data Entry'!$ß$154)</f>
      </c>
      <c r="FD154">
        <f>IF(ISBLANK('Data Entry'!$à$154), "", 'Data Entry'!$à$154)</f>
      </c>
      <c r="FE154">
        <f>IF(ISBLANK('Data Entry'!$á$154), "", 'Data Entry'!$á$154)</f>
      </c>
      <c r="FF154">
        <f>IF(ISBLANK('Data Entry'!$â$154), "", 'Data Entry'!$â$154)</f>
      </c>
      <c r="FG154">
        <f>IF(ISBLANK('Data Entry'!$ã$154), "", 'Data Entry'!$ã$154)</f>
      </c>
      <c r="FH154">
        <f>IF(ISBLANK('Data Entry'!$ä$154), "", 'Data Entry'!$ä$154)</f>
      </c>
      <c r="FI154">
        <f>IF(ISBLANK('Data Entry'!$å$154), "", 'Data Entry'!$å$154)</f>
      </c>
      <c r="FJ154">
        <f>IF(ISBLANK('Data Entry'!$æ$154), "", 'Data Entry'!$æ$154)</f>
      </c>
      <c r="FK154">
        <f>IF(ISBLANK('Data Entry'!$ç$154), "", 'Data Entry'!$ç$154)</f>
      </c>
      <c r="FL154">
        <f>IF(ISBLANK('Data Entry'!$è$154), "", 'Data Entry'!$è$154)</f>
      </c>
      <c r="FM154">
        <f>IF(ISBLANK('Data Entry'!$é$154), "", 'Data Entry'!$é$154)</f>
      </c>
      <c r="FN154">
        <f>IF(ISBLANK('Data Entry'!$ê$154), "", 'Data Entry'!$ê$154)</f>
      </c>
      <c r="FO154">
        <f>IF(ISBLANK('Data Entry'!$ë$154), "", 'Data Entry'!$ë$154)</f>
      </c>
      <c r="FP154">
        <f>IF(ISBLANK('Data Entry'!$ì$154), "", 'Data Entry'!$ì$154)</f>
      </c>
      <c r="FQ154">
        <f>IF(ISBLANK('Data Entry'!$í$154), "", 'Data Entry'!$í$154)</f>
      </c>
      <c r="FR154">
        <f>IF(ISBLANK('Data Entry'!$î$154), "", 'Data Entry'!$î$154)</f>
      </c>
      <c r="FS154">
        <f>IF(ISBLANK('Data Entry'!$ï$154), "", 'Data Entry'!$ï$154)</f>
      </c>
      <c r="FT154">
        <f>IF(ISBLANK('Data Entry'!$ð$154), "", 'Data Entry'!$ð$154)</f>
      </c>
      <c r="FU154">
        <f>IF(ISBLANK('Data Entry'!$ñ$154), "", 'Data Entry'!$ñ$154)</f>
      </c>
      <c r="FV154">
        <f>IF(ISBLANK('Data Entry'!$ò$154), "", 'Data Entry'!$ò$154)</f>
      </c>
      <c r="FW154">
        <f>IF(ISBLANK('Data Entry'!$ó$154), "", 'Data Entry'!$ó$154)</f>
      </c>
      <c r="FX154">
        <f>IF(ISBLANK('Data Entry'!$ô$154), "", 'Data Entry'!$ô$154)</f>
      </c>
      <c r="FY154">
        <f>IF(ISBLANK('Data Entry'!$õ$154), "", 'Data Entry'!$õ$154)</f>
      </c>
      <c r="FZ154">
        <f>IF(ISBLANK('Data Entry'!$ö$154), "", 'Data Entry'!$ö$154)</f>
      </c>
      <c r="GA154">
        <f>IF(ISBLANK('Data Entry'!$÷$154), "", 'Data Entry'!$÷$154)</f>
      </c>
      <c r="GB154">
        <f>IF(ISBLANK('Data Entry'!$ø$154), "", 'Data Entry'!$ø$154)</f>
      </c>
      <c r="GC154">
        <f>IF(ISBLANK('Data Entry'!$ù$154), "", 'Data Entry'!$ù$154)</f>
      </c>
      <c r="GD154">
        <f>IF(ISBLANK('Data Entry'!$ú$154), "", 'Data Entry'!$ú$154)</f>
      </c>
      <c r="GE154">
        <f>IF(ISBLANK('Data Entry'!$û$154), "", 'Data Entry'!$û$154)</f>
      </c>
      <c r="GF154">
        <f>IF(ISBLANK('Data Entry'!$ü$154), "", 'Data Entry'!$ü$154)</f>
      </c>
      <c r="GG154">
        <f>IF(ISBLANK('Data Entry'!$ý$154), "", 'Data Entry'!$ý$154)</f>
      </c>
      <c r="GH154">
        <f>IF(ISBLANK('Data Entry'!$þ$154), "", 'Data Entry'!$þ$154)</f>
      </c>
      <c r="GI154">
        <f>IF(ISBLANK('Data Entry'!$ÿ$154), "", 'Data Entry'!$ÿ$154)</f>
      </c>
      <c r="GJ154">
        <f>IF(ISBLANK('Data Entry'!$Ā$154), "", 'Data Entry'!$Ā$154)</f>
      </c>
      <c r="GK154">
        <f>IF(ISBLANK('Data Entry'!$ā$154), "", 'Data Entry'!$ā$154)</f>
      </c>
      <c r="GL154">
        <f>IF(ISBLANK('Data Entry'!$Ă$154), "", 'Data Entry'!$Ă$154)</f>
      </c>
      <c r="GM154">
        <f>IF(ISBLANK('Data Entry'!$ă$154), "", 'Data Entry'!$ă$154)</f>
      </c>
      <c r="GN154">
        <f>IF(ISBLANK('Data Entry'!$Ą$154), "", 'Data Entry'!$Ą$154)</f>
      </c>
      <c r="GO154">
        <f>IF(ISBLANK('Data Entry'!$ą$154), "", 'Data Entry'!$ą$154)</f>
      </c>
      <c r="GP154">
        <f>IF(ISBLANK('Data Entry'!$Ć$154), "", 'Data Entry'!$Ć$154)</f>
      </c>
      <c r="GQ154">
        <f>IF(ISBLANK('Data Entry'!$ć$154), "", 'Data Entry'!$ć$154)</f>
      </c>
      <c r="GR154">
        <f>IF(ISBLANK('Data Entry'!$Ĉ$154), "", 'Data Entry'!$Ĉ$154)</f>
      </c>
      <c r="GS154">
        <f>IF(ISBLANK('Data Entry'!$ĉ$154), "", 'Data Entry'!$ĉ$154)</f>
      </c>
      <c r="GT154">
        <f>IF(ISBLANK('Data Entry'!$Ċ$154), "", 'Data Entry'!$Ċ$154)</f>
      </c>
      <c r="GU154">
        <f>IF(ISBLANK('Data Entry'!$ċ$154), "", 'Data Entry'!$ċ$154)</f>
      </c>
      <c r="GV154">
        <f>IF(ISBLANK('Data Entry'!$Č$154), "", 'Data Entry'!$Č$154)</f>
      </c>
      <c r="GW154">
        <f>IF(ISBLANK('Data Entry'!$č$154), "", 'Data Entry'!$č$154)</f>
      </c>
      <c r="GX154">
        <f>IF(ISBLANK('Data Entry'!$Ď$154), "", 'Data Entry'!$Ď$154)</f>
      </c>
      <c r="GY154">
        <f>IF(ISBLANK('Data Entry'!$ď$154), "", 'Data Entry'!$ď$154)</f>
      </c>
      <c r="GZ154">
        <f>IF(ISBLANK('Data Entry'!$Đ$154), "", 'Data Entry'!$Đ$154)</f>
      </c>
      <c r="HA154">
        <f>IF(ISBLANK('Data Entry'!$đ$154), "", 'Data Entry'!$đ$154)</f>
      </c>
      <c r="HB154">
        <f>IF(ISBLANK('Data Entry'!$Ē$154), "", 'Data Entry'!$Ē$154)</f>
      </c>
      <c r="HC154">
        <f>IF(ISBLANK('Data Entry'!$ē$154), "", 'Data Entry'!$ē$154)</f>
      </c>
      <c r="HD154">
        <f>IF(ISBLANK('Data Entry'!$Ĕ$154), "", 'Data Entry'!$Ĕ$154)</f>
      </c>
      <c r="HE154">
        <f>IF(ISBLANK('Data Entry'!$ĕ$154), "", 'Data Entry'!$ĕ$154)</f>
      </c>
      <c r="HF154">
        <f>IF(ISBLANK('Data Entry'!$Ė$154), "", 'Data Entry'!$Ė$154)</f>
      </c>
      <c r="HG154">
        <f>IF(ISBLANK('Data Entry'!$ė$154), "", 'Data Entry'!$ė$154)</f>
      </c>
      <c r="HH154">
        <f>IF(ISBLANK('Data Entry'!$Ę$154), "", 'Data Entry'!$Ę$154)</f>
      </c>
      <c r="HI154">
        <f>IF(ISBLANK('Data Entry'!$ę$154), "", 'Data Entry'!$ę$154)</f>
      </c>
      <c r="HJ154">
        <f>IF(ISBLANK('Data Entry'!$Ě$154), "", 'Data Entry'!$Ě$154)</f>
      </c>
      <c r="HK154">
        <f>IF(ISBLANK('Data Entry'!$ě$154), "", 'Data Entry'!$ě$154)</f>
      </c>
      <c r="HL154">
        <f>IF(ISBLANK('Data Entry'!$Ĝ$154), "", 'Data Entry'!$Ĝ$154)</f>
      </c>
      <c r="HM154">
        <f>IF(ISBLANK('Data Entry'!$ĝ$154), "", 'Data Entry'!$ĝ$154)</f>
      </c>
      <c r="HN154">
        <f>IF(ISBLANK('Data Entry'!$Ğ$154), "", 'Data Entry'!$Ğ$154)</f>
      </c>
      <c r="HO154">
        <f>IF(ISBLANK('Data Entry'!$ğ$154), "", 'Data Entry'!$ğ$154)</f>
      </c>
      <c r="HP154">
        <f>IF(ISBLANK('Data Entry'!$Ġ$154), "", 'Data Entry'!$Ġ$154)</f>
      </c>
      <c r="HQ154">
        <f>IF(ISBLANK('Data Entry'!$ġ$154), "", 'Data Entry'!$ġ$154)</f>
      </c>
      <c r="HR154">
        <f>IF(ISBLANK('Data Entry'!$Ģ$154), "", 'Data Entry'!$Ģ$154)</f>
      </c>
      <c r="HS154">
        <f>IF(ISBLANK('Data Entry'!$ģ$154), "", 'Data Entry'!$ģ$154)</f>
      </c>
      <c r="HT154">
        <f>IF(ISBLANK('Data Entry'!$Ĥ$154), "", 'Data Entry'!$Ĥ$154)</f>
      </c>
      <c r="HU154">
        <f>IF(ISBLANK('Data Entry'!$ĥ$154), "", 'Data Entry'!$ĥ$154)</f>
      </c>
      <c r="HV154">
        <f>IF(ISBLANK('Data Entry'!$Ħ$154), "", 'Data Entry'!$Ħ$154)</f>
      </c>
      <c r="HW154">
        <f>IF(ISBLANK('Data Entry'!$ħ$154), "", 'Data Entry'!$ħ$154)</f>
      </c>
      <c r="HX154">
        <f>IF(ISBLANK('Data Entry'!$Ĩ$154), "", 'Data Entry'!$Ĩ$154)</f>
      </c>
      <c r="HY154">
        <f>IF(ISBLANK('Data Entry'!$ĩ$154), "", 'Data Entry'!$ĩ$154)</f>
      </c>
      <c r="HZ154">
        <f>IF(ISBLANK('Data Entry'!$Ī$154), "", 'Data Entry'!$Ī$154)</f>
      </c>
      <c r="IA154">
        <f>IF(ISBLANK('Data Entry'!$ī$154), "", 'Data Entry'!$ī$154)</f>
      </c>
      <c r="IB154">
        <f>IF(ISBLANK('Data Entry'!$Ĭ$154), "", 'Data Entry'!$Ĭ$154)</f>
      </c>
      <c r="IC154">
        <f>IF(ISBLANK('Data Entry'!$ĭ$154), "", 'Data Entry'!$ĭ$154)</f>
      </c>
      <c r="ID154">
        <f>IF(ISBLANK('Data Entry'!$Į$154), "", 'Data Entry'!$Į$154)</f>
      </c>
      <c r="IE154">
        <f>IF(ISBLANK('Data Entry'!$į$154), "", 'Data Entry'!$į$154)</f>
      </c>
      <c r="IF154">
        <f>IF(ISBLANK('Data Entry'!$İ$154), "", 'Data Entry'!$İ$154)</f>
      </c>
      <c r="IG154">
        <f>IF(ISBLANK('Data Entry'!$ı$154), "", 'Data Entry'!$ı$154)</f>
      </c>
      <c r="IH154">
        <f>IF(ISBLANK('Data Entry'!$Ĳ$154), "", 'Data Entry'!$Ĳ$154)</f>
      </c>
      <c r="II154">
        <f>IF(ISBLANK('Data Entry'!$ĳ$154), "", 'Data Entry'!$ĳ$154)</f>
      </c>
      <c r="IJ154">
        <f>IF(ISBLANK('Data Entry'!$Ĵ$154), "", 'Data Entry'!$Ĵ$154)</f>
      </c>
      <c r="IK154">
        <f>IF(ISBLANK('Data Entry'!$ĵ$154), "", 'Data Entry'!$ĵ$154)</f>
      </c>
      <c r="IL154">
        <f>IF(ISBLANK('Data Entry'!$Ķ$154), "", 'Data Entry'!$Ķ$154)</f>
      </c>
      <c r="IM154">
        <f>IF(ISBLANK('Data Entry'!$ķ$154), "", 'Data Entry'!$ķ$154)</f>
      </c>
      <c r="IN154">
        <f>IF(ISBLANK('Data Entry'!$ĸ$154), "", 'Data Entry'!$ĸ$154)</f>
      </c>
      <c r="IO154">
        <f>IF(ISBLANK('Data Entry'!$Ĺ$154), "", 'Data Entry'!$Ĺ$154)</f>
      </c>
      <c r="IP154">
        <f>IF(ISBLANK('Data Entry'!$ĺ$154), "", 'Data Entry'!$ĺ$154)</f>
      </c>
      <c r="IQ154">
        <f>IF(ISBLANK('Data Entry'!$Ļ$154), "", 'Data Entry'!$Ļ$154)</f>
      </c>
      <c r="IR154">
        <f>IF(ISBLANK('Data Entry'!$ļ$154), "", 'Data Entry'!$ļ$154)</f>
      </c>
      <c r="IS154">
        <f>IF(ISBLANK('Data Entry'!$Ľ$154), "", 'Data Entry'!$Ľ$154)</f>
      </c>
      <c r="IT154">
        <f>IF(ISBLANK('Data Entry'!$ľ$154), "", 'Data Entry'!$ľ$154)</f>
      </c>
    </row>
    <row r="155" spans="1:254" x14ac:dyDescent="0.25">
      <c r="A155">
        <f>IF(ISBLANK('Data Entry'!$A$155), "", 'Data Entry'!$A$155)</f>
      </c>
      <c r="B155">
        <f>IF(ISBLANK('Data Entry'!$B$155), "", 'Data Entry'!$B$155)</f>
      </c>
      <c r="C155">
        <f>IF(ISBLANK('Data Entry'!$C$155), "", 'Data Entry'!$C$155)</f>
      </c>
      <c r="D155">
        <f>IF(ISBLANK('Data Entry'!$D$155), "", 'Data Entry'!$D$155)</f>
      </c>
      <c r="E155">
        <f>IF(ISBLANK('Data Entry'!$E$155), "", 'Data Entry'!$E$155)</f>
      </c>
      <c r="F155">
        <f>IF(ISBLANK('Data Entry'!$F$155), "", 'Data Entry'!$F$155)</f>
      </c>
      <c r="G155">
        <f>IF(ISBLANK('Data Entry'!$G$155), "", 'Data Entry'!$G$155)</f>
      </c>
      <c r="H155">
        <f>IF(ISBLANK('Data Entry'!$H$155), "", 'Data Entry'!$H$155)</f>
      </c>
      <c r="I155">
        <f>IF(ISBLANK('Data Entry'!$I$155), "", 'Data Entry'!$I$155)</f>
      </c>
      <c r="J155">
        <f>IF(ISBLANK('Data Entry'!$J$155), "", 'Data Entry'!$J$155)</f>
      </c>
      <c r="K155">
        <f>IF(ISBLANK('Data Entry'!$K$155), "", 'Data Entry'!$K$155)</f>
      </c>
      <c r="L155">
        <f>IF(ISBLANK('Data Entry'!$L$155), "", 'Data Entry'!$L$155)</f>
      </c>
      <c r="M155">
        <f>IF(ISBLANK('Data Entry'!$M$155), "", 'Data Entry'!$M$155)</f>
      </c>
      <c r="N155">
        <f>IF(ISBLANK('Data Entry'!$N$155), "", 'Data Entry'!$N$155)</f>
      </c>
      <c r="O155">
        <f>IF(ISBLANK('Data Entry'!$O$155), "", 'Data Entry'!$O$155)</f>
      </c>
      <c r="P155">
        <f>IF(ISBLANK('Data Entry'!$P$155), "", 'Data Entry'!$P$155)</f>
      </c>
      <c r="Q155">
        <f>IF(ISBLANK('Data Entry'!$Q$155), "", 'Data Entry'!$Q$155)</f>
      </c>
      <c r="R155">
        <f>IF(ISBLANK('Data Entry'!$R$155), "", 'Data Entry'!$R$155)</f>
      </c>
      <c r="S155">
        <f>IF(ISBLANK('Data Entry'!$S$155), "", 'Data Entry'!$S$155)</f>
      </c>
      <c r="T155">
        <f>IF(ISBLANK('Data Entry'!$T$155), "", 'Data Entry'!$T$155)</f>
      </c>
      <c r="U155">
        <f>IF(ISBLANK('Data Entry'!$U$155), "", 'Data Entry'!$U$155)</f>
      </c>
      <c r="V155">
        <f>IF(ISBLANK('Data Entry'!$V$155), "", 'Data Entry'!$V$155)</f>
      </c>
      <c r="W155">
        <f>IF(ISBLANK('Data Entry'!$W$155), "", 'Data Entry'!$W$155)</f>
      </c>
      <c r="X155">
        <f>IF(ISBLANK('Data Entry'!$X$155), "", 'Data Entry'!$X$155)</f>
      </c>
      <c r="Y155">
        <f>IF(ISBLANK('Data Entry'!$Y$155), "", 'Data Entry'!$Y$155)</f>
      </c>
      <c r="Z155">
        <f>IF(ISBLANK('Data Entry'!$Z$155), "", 'Data Entry'!$Z$155)</f>
      </c>
      <c r="AA155">
        <f>IF(ISBLANK('Data Entry'!$[$155), "", 'Data Entry'!$[$155)</f>
      </c>
      <c r="AB155">
        <f>IF(ISBLANK('Data Entry'!$\$155), "", 'Data Entry'!$\$155)</f>
      </c>
      <c r="AC155">
        <f>IF(ISBLANK('Data Entry'!$]$155), "", 'Data Entry'!$]$155)</f>
      </c>
      <c r="AD155">
        <f>IF(ISBLANK('Data Entry'!$^$155), "", 'Data Entry'!$^$155)</f>
      </c>
      <c r="AE155">
        <f>IF(ISBLANK('Data Entry'!$_$155), "", 'Data Entry'!$_$155)</f>
      </c>
      <c r="AF155">
        <f>IF(ISBLANK('Data Entry'!$`$155), "", 'Data Entry'!$`$155)</f>
      </c>
      <c r="AG155">
        <f>IF(ISBLANK('Data Entry'!$a$155), "", 'Data Entry'!$a$155)</f>
      </c>
      <c r="AH155">
        <f>IF(ISBLANK('Data Entry'!$b$155), "", 'Data Entry'!$b$155)</f>
      </c>
      <c r="AI155">
        <f>IF(ISBLANK('Data Entry'!$c$155), "", 'Data Entry'!$c$155)</f>
      </c>
      <c r="AJ155">
        <f>IF(ISBLANK('Data Entry'!$d$155), "", 'Data Entry'!$d$155)</f>
      </c>
      <c r="AK155">
        <f>IF(ISBLANK('Data Entry'!$e$155), "", 'Data Entry'!$e$155)</f>
      </c>
      <c r="AL155">
        <f>IF(ISBLANK('Data Entry'!$f$155), "", 'Data Entry'!$f$155)</f>
      </c>
      <c r="AM155">
        <f>IF(ISBLANK('Data Entry'!$g$155), "", 'Data Entry'!$g$155)</f>
      </c>
      <c r="AN155">
        <f>IF(ISBLANK('Data Entry'!$h$155), "", 'Data Entry'!$h$155)</f>
      </c>
      <c r="AO155">
        <f>IF(ISBLANK('Data Entry'!$i$155), "", 'Data Entry'!$i$155)</f>
      </c>
      <c r="AP155">
        <f>IF(ISBLANK('Data Entry'!$j$155), "", 'Data Entry'!$j$155)</f>
      </c>
      <c r="AQ155">
        <f>IF(ISBLANK('Data Entry'!$k$155), "", 'Data Entry'!$k$155)</f>
      </c>
      <c r="AR155">
        <f>IF(ISBLANK('Data Entry'!$l$155), "", 'Data Entry'!$l$155)</f>
      </c>
      <c r="AS155">
        <f>IF(ISBLANK('Data Entry'!$m$155), "", 'Data Entry'!$m$155)</f>
      </c>
      <c r="AT155">
        <f>IF(ISBLANK('Data Entry'!$n$155), "", 'Data Entry'!$n$155)</f>
      </c>
      <c r="AU155">
        <f>IF(ISBLANK('Data Entry'!$o$155), "", 'Data Entry'!$o$155)</f>
      </c>
      <c r="AV155">
        <f>IF(ISBLANK('Data Entry'!$p$155), "", 'Data Entry'!$p$155)</f>
      </c>
      <c r="AW155">
        <f>IF(ISBLANK('Data Entry'!$q$155), "", 'Data Entry'!$q$155)</f>
      </c>
      <c r="AX155">
        <f>IF(ISBLANK('Data Entry'!$r$155), "", 'Data Entry'!$r$155)</f>
      </c>
      <c r="AY155">
        <f>IF(ISBLANK('Data Entry'!$s$155), "", 'Data Entry'!$s$155)</f>
      </c>
      <c r="AZ155">
        <f>IF(ISBLANK('Data Entry'!$t$155), "", 'Data Entry'!$t$155)</f>
      </c>
      <c r="BA155">
        <f>IF(ISBLANK('Data Entry'!$u$155), "", 'Data Entry'!$u$155)</f>
      </c>
      <c r="BB155">
        <f>IF(ISBLANK('Data Entry'!$v$155), "", 'Data Entry'!$v$155)</f>
      </c>
      <c r="BC155">
        <f>IF(ISBLANK('Data Entry'!$w$155), "", 'Data Entry'!$w$155)</f>
      </c>
      <c r="BD155">
        <f>IF(ISBLANK('Data Entry'!$x$155), "", 'Data Entry'!$x$155)</f>
      </c>
      <c r="BE155">
        <f>IF(ISBLANK('Data Entry'!$y$155), "", 'Data Entry'!$y$155)</f>
      </c>
      <c r="BF155">
        <f>IF(ISBLANK('Data Entry'!$z$155), "", 'Data Entry'!$z$155)</f>
      </c>
      <c r="BG155">
        <f>IF(ISBLANK('Data Entry'!${$155), "", 'Data Entry'!${$155)</f>
      </c>
      <c r="BH155">
        <f>IF(ISBLANK('Data Entry'!$|$155), "", 'Data Entry'!$|$155)</f>
      </c>
      <c r="BI155">
        <f>IF(ISBLANK('Data Entry'!$}$155), "", 'Data Entry'!$}$155)</f>
      </c>
      <c r="BJ155">
        <f>IF(ISBLANK('Data Entry'!$~$155), "", 'Data Entry'!$~$155)</f>
      </c>
      <c r="BK155">
        <f>IF(ISBLANK('Data Entry'!$$155), "", 'Data Entry'!$$155)</f>
      </c>
      <c r="BL155">
        <f>IF(ISBLANK('Data Entry'!$$155), "", 'Data Entry'!$$155)</f>
      </c>
      <c r="BM155">
        <f>IF(ISBLANK('Data Entry'!$$155), "", 'Data Entry'!$$155)</f>
      </c>
      <c r="BN155">
        <f>IF(ISBLANK('Data Entry'!$$155), "", 'Data Entry'!$$155)</f>
      </c>
      <c r="BO155">
        <f>IF(ISBLANK('Data Entry'!$$155), "", 'Data Entry'!$$155)</f>
      </c>
      <c r="BP155">
        <f>IF(ISBLANK('Data Entry'!$$155), "", 'Data Entry'!$$155)</f>
      </c>
      <c r="BQ155">
        <f>IF(ISBLANK('Data Entry'!$$155), "", 'Data Entry'!$$155)</f>
      </c>
      <c r="BR155">
        <f>IF(ISBLANK('Data Entry'!$$155), "", 'Data Entry'!$$155)</f>
      </c>
      <c r="BS155">
        <f>IF(ISBLANK('Data Entry'!$$155), "", 'Data Entry'!$$155)</f>
      </c>
      <c r="BT155">
        <f>IF(ISBLANK('Data Entry'!$$155), "", 'Data Entry'!$$155)</f>
      </c>
      <c r="BU155">
        <f>IF(ISBLANK('Data Entry'!$$155), "", 'Data Entry'!$$155)</f>
      </c>
      <c r="BV155">
        <f>IF(ISBLANK('Data Entry'!$$155), "", 'Data Entry'!$$155)</f>
      </c>
      <c r="BW155">
        <f>IF(ISBLANK('Data Entry'!$$155), "", 'Data Entry'!$$155)</f>
      </c>
      <c r="BX155">
        <f>IF(ISBLANK('Data Entry'!$$155), "", 'Data Entry'!$$155)</f>
      </c>
      <c r="BY155">
        <f>IF(ISBLANK('Data Entry'!$$155), "", 'Data Entry'!$$155)</f>
      </c>
      <c r="BZ155">
        <f>IF(ISBLANK('Data Entry'!$$155), "", 'Data Entry'!$$155)</f>
      </c>
      <c r="CA155">
        <f>IF(ISBLANK('Data Entry'!$$155), "", 'Data Entry'!$$155)</f>
      </c>
      <c r="CB155">
        <f>IF(ISBLANK('Data Entry'!$$155), "", 'Data Entry'!$$155)</f>
      </c>
      <c r="CC155">
        <f>IF(ISBLANK('Data Entry'!$$155), "", 'Data Entry'!$$155)</f>
      </c>
      <c r="CD155">
        <f>IF(ISBLANK('Data Entry'!$$155), "", 'Data Entry'!$$155)</f>
      </c>
      <c r="CE155">
        <f>IF(ISBLANK('Data Entry'!$$155), "", 'Data Entry'!$$155)</f>
      </c>
      <c r="CF155">
        <f>IF(ISBLANK('Data Entry'!$$155), "", 'Data Entry'!$$155)</f>
      </c>
      <c r="CG155">
        <f>IF(ISBLANK('Data Entry'!$$155), "", 'Data Entry'!$$155)</f>
      </c>
      <c r="CH155">
        <f>IF(ISBLANK('Data Entry'!$$155), "", 'Data Entry'!$$155)</f>
      </c>
      <c r="CI155">
        <f>IF(ISBLANK('Data Entry'!$$155), "", 'Data Entry'!$$155)</f>
      </c>
      <c r="CJ155">
        <f>IF(ISBLANK('Data Entry'!$$155), "", 'Data Entry'!$$155)</f>
      </c>
      <c r="CK155">
        <f>IF(ISBLANK('Data Entry'!$$155), "", 'Data Entry'!$$155)</f>
      </c>
      <c r="CL155">
        <f>IF(ISBLANK('Data Entry'!$$155), "", 'Data Entry'!$$155)</f>
      </c>
      <c r="CM155">
        <f>IF(ISBLANK('Data Entry'!$$155), "", 'Data Entry'!$$155)</f>
      </c>
      <c r="CN155">
        <f>IF(ISBLANK('Data Entry'!$$155), "", 'Data Entry'!$$155)</f>
      </c>
      <c r="CO155">
        <f>IF(ISBLANK('Data Entry'!$$155), "", 'Data Entry'!$$155)</f>
      </c>
      <c r="CP155">
        <f>IF(ISBLANK('Data Entry'!$$155), "", 'Data Entry'!$$155)</f>
      </c>
      <c r="CQ155">
        <f>IF(ISBLANK('Data Entry'!$$155), "", 'Data Entry'!$$155)</f>
      </c>
      <c r="CR155">
        <f>IF(ISBLANK('Data Entry'!$ $155), "", 'Data Entry'!$ $155)</f>
      </c>
      <c r="CS155">
        <f>IF(ISBLANK('Data Entry'!$¡$155), "", 'Data Entry'!$¡$155)</f>
      </c>
      <c r="CT155">
        <f>IF(ISBLANK('Data Entry'!$¢$155), "", 'Data Entry'!$¢$155)</f>
      </c>
      <c r="CU155">
        <f>IF(ISBLANK('Data Entry'!$£$155), "", 'Data Entry'!$£$155)</f>
      </c>
      <c r="CV155">
        <f>IF(ISBLANK('Data Entry'!$¤$155), "", 'Data Entry'!$¤$155)</f>
      </c>
      <c r="CW155">
        <f>IF(ISBLANK('Data Entry'!$¥$155), "", 'Data Entry'!$¥$155)</f>
      </c>
      <c r="CX155">
        <f>IF(ISBLANK('Data Entry'!$¦$155), "", 'Data Entry'!$¦$155)</f>
      </c>
      <c r="CY155">
        <f>IF(ISBLANK('Data Entry'!$§$155), "", 'Data Entry'!$§$155)</f>
      </c>
      <c r="CZ155">
        <f>IF(ISBLANK('Data Entry'!$¨$155), "", 'Data Entry'!$¨$155)</f>
      </c>
      <c r="DA155">
        <f>IF(ISBLANK('Data Entry'!$©$155), "", 'Data Entry'!$©$155)</f>
      </c>
      <c r="DB155">
        <f>IF(ISBLANK('Data Entry'!$ª$155), "", 'Data Entry'!$ª$155)</f>
      </c>
      <c r="DC155">
        <f>IF(ISBLANK('Data Entry'!$«$155), "", 'Data Entry'!$«$155)</f>
      </c>
      <c r="DD155">
        <f>IF(ISBLANK('Data Entry'!$¬$155), "", 'Data Entry'!$¬$155)</f>
      </c>
      <c r="DE155">
        <f>IF(ISBLANK('Data Entry'!$­$155), "", 'Data Entry'!$­$155)</f>
      </c>
      <c r="DF155">
        <f>IF(ISBLANK('Data Entry'!$®$155), "", 'Data Entry'!$®$155)</f>
      </c>
      <c r="DG155">
        <f>IF(ISBLANK('Data Entry'!$¯$155), "", 'Data Entry'!$¯$155)</f>
      </c>
      <c r="DH155">
        <f>IF(ISBLANK('Data Entry'!$°$155), "", 'Data Entry'!$°$155)</f>
      </c>
      <c r="DI155">
        <f>IF(ISBLANK('Data Entry'!$±$155), "", 'Data Entry'!$±$155)</f>
      </c>
      <c r="DJ155">
        <f>IF(ISBLANK('Data Entry'!$²$155), "", 'Data Entry'!$²$155)</f>
      </c>
      <c r="DK155">
        <f>IF(ISBLANK('Data Entry'!$³$155), "", 'Data Entry'!$³$155)</f>
      </c>
      <c r="DL155">
        <f>IF(ISBLANK('Data Entry'!$´$155), "", 'Data Entry'!$´$155)</f>
      </c>
      <c r="DM155">
        <f>IF(ISBLANK('Data Entry'!$µ$155), "", 'Data Entry'!$µ$155)</f>
      </c>
      <c r="DN155">
        <f>IF(ISBLANK('Data Entry'!$¶$155), "", 'Data Entry'!$¶$155)</f>
      </c>
      <c r="DO155">
        <f>IF(ISBLANK('Data Entry'!$·$155), "", 'Data Entry'!$·$155)</f>
      </c>
      <c r="DP155">
        <f>IF(ISBLANK('Data Entry'!$¸$155), "", 'Data Entry'!$¸$155)</f>
      </c>
      <c r="DQ155">
        <f>IF(ISBLANK('Data Entry'!$¹$155), "", 'Data Entry'!$¹$155)</f>
      </c>
      <c r="DR155">
        <f>IF(ISBLANK('Data Entry'!$º$155), "", 'Data Entry'!$º$155)</f>
      </c>
      <c r="DS155">
        <f>IF(ISBLANK('Data Entry'!$»$155), "", 'Data Entry'!$»$155)</f>
      </c>
      <c r="DT155">
        <f>IF(ISBLANK('Data Entry'!$¼$155), "", 'Data Entry'!$¼$155)</f>
      </c>
      <c r="DU155">
        <f>IF(ISBLANK('Data Entry'!$½$155), "", 'Data Entry'!$½$155)</f>
      </c>
      <c r="DV155">
        <f>IF(ISBLANK('Data Entry'!$¾$155), "", 'Data Entry'!$¾$155)</f>
      </c>
      <c r="DW155">
        <f>IF(ISBLANK('Data Entry'!$¿$155), "", 'Data Entry'!$¿$155)</f>
      </c>
      <c r="DX155">
        <f>IF(ISBLANK('Data Entry'!$À$155), "", 'Data Entry'!$À$155)</f>
      </c>
      <c r="DY155">
        <f>IF(ISBLANK('Data Entry'!$Á$155), "", 'Data Entry'!$Á$155)</f>
      </c>
      <c r="DZ155">
        <f>IF(ISBLANK('Data Entry'!$Â$155), "", 'Data Entry'!$Â$155)</f>
      </c>
      <c r="EA155">
        <f>IF(ISBLANK('Data Entry'!$Ã$155), "", 'Data Entry'!$Ã$155)</f>
      </c>
      <c r="EB155">
        <f>IF(ISBLANK('Data Entry'!$Ä$155), "", 'Data Entry'!$Ä$155)</f>
      </c>
      <c r="EC155">
        <f>IF(ISBLANK('Data Entry'!$Å$155), "", 'Data Entry'!$Å$155)</f>
      </c>
      <c r="ED155">
        <f>IF(ISBLANK('Data Entry'!$Æ$155), "", 'Data Entry'!$Æ$155)</f>
      </c>
      <c r="EE155">
        <f>IF(ISBLANK('Data Entry'!$Ç$155), "", 'Data Entry'!$Ç$155)</f>
      </c>
      <c r="EF155">
        <f>IF(ISBLANK('Data Entry'!$È$155), "", 'Data Entry'!$È$155)</f>
      </c>
      <c r="EG155">
        <f>IF(ISBLANK('Data Entry'!$É$155), "", 'Data Entry'!$É$155)</f>
      </c>
      <c r="EH155">
        <f>IF(ISBLANK('Data Entry'!$Ê$155), "", 'Data Entry'!$Ê$155)</f>
      </c>
      <c r="EI155">
        <f>IF(ISBLANK('Data Entry'!$Ë$155), "", 'Data Entry'!$Ë$155)</f>
      </c>
      <c r="EJ155">
        <f>IF(ISBLANK('Data Entry'!$Ì$155), "", 'Data Entry'!$Ì$155)</f>
      </c>
      <c r="EK155">
        <f>IF(ISBLANK('Data Entry'!$Í$155), "", 'Data Entry'!$Í$155)</f>
      </c>
      <c r="EL155">
        <f>IF(ISBLANK('Data Entry'!$Î$155), "", 'Data Entry'!$Î$155)</f>
      </c>
      <c r="EM155">
        <f>IF(ISBLANK('Data Entry'!$Ï$155), "", 'Data Entry'!$Ï$155)</f>
      </c>
      <c r="EN155">
        <f>IF(ISBLANK('Data Entry'!$Ð$155), "", 'Data Entry'!$Ð$155)</f>
      </c>
      <c r="EO155">
        <f>IF(ISBLANK('Data Entry'!$Ñ$155), "", 'Data Entry'!$Ñ$155)</f>
      </c>
      <c r="EP155">
        <f>IF(ISBLANK('Data Entry'!$Ò$155), "", 'Data Entry'!$Ò$155)</f>
      </c>
      <c r="EQ155">
        <f>IF(ISBLANK('Data Entry'!$Ó$155), "", 'Data Entry'!$Ó$155)</f>
      </c>
      <c r="ER155">
        <f>IF(ISBLANK('Data Entry'!$Ô$155), "", 'Data Entry'!$Ô$155)</f>
      </c>
      <c r="ES155">
        <f>IF(ISBLANK('Data Entry'!$Õ$155), "", 'Data Entry'!$Õ$155)</f>
      </c>
      <c r="ET155">
        <f>IF(ISBLANK('Data Entry'!$Ö$155), "", 'Data Entry'!$Ö$155)</f>
      </c>
      <c r="EU155">
        <f>IF(ISBLANK('Data Entry'!$×$155), "", 'Data Entry'!$×$155)</f>
      </c>
      <c r="EV155">
        <f>IF(ISBLANK('Data Entry'!$Ø$155), "", 'Data Entry'!$Ø$155)</f>
      </c>
      <c r="EW155">
        <f>IF(ISBLANK('Data Entry'!$Ù$155), "", 'Data Entry'!$Ù$155)</f>
      </c>
      <c r="EX155">
        <f>IF(ISBLANK('Data Entry'!$Ú$155), "", 'Data Entry'!$Ú$155)</f>
      </c>
      <c r="EY155">
        <f>IF(ISBLANK('Data Entry'!$Û$155), "", 'Data Entry'!$Û$155)</f>
      </c>
      <c r="EZ155">
        <f>IF(ISBLANK('Data Entry'!$Ü$155), "", 'Data Entry'!$Ü$155)</f>
      </c>
      <c r="FA155">
        <f>IF(ISBLANK('Data Entry'!$Ý$155), "", 'Data Entry'!$Ý$155)</f>
      </c>
      <c r="FB155">
        <f>IF(ISBLANK('Data Entry'!$Þ$155), "", 'Data Entry'!$Þ$155)</f>
      </c>
      <c r="FC155">
        <f>IF(ISBLANK('Data Entry'!$ß$155), "", 'Data Entry'!$ß$155)</f>
      </c>
      <c r="FD155">
        <f>IF(ISBLANK('Data Entry'!$à$155), "", 'Data Entry'!$à$155)</f>
      </c>
      <c r="FE155">
        <f>IF(ISBLANK('Data Entry'!$á$155), "", 'Data Entry'!$á$155)</f>
      </c>
      <c r="FF155">
        <f>IF(ISBLANK('Data Entry'!$â$155), "", 'Data Entry'!$â$155)</f>
      </c>
      <c r="FG155">
        <f>IF(ISBLANK('Data Entry'!$ã$155), "", 'Data Entry'!$ã$155)</f>
      </c>
      <c r="FH155">
        <f>IF(ISBLANK('Data Entry'!$ä$155), "", 'Data Entry'!$ä$155)</f>
      </c>
      <c r="FI155">
        <f>IF(ISBLANK('Data Entry'!$å$155), "", 'Data Entry'!$å$155)</f>
      </c>
      <c r="FJ155">
        <f>IF(ISBLANK('Data Entry'!$æ$155), "", 'Data Entry'!$æ$155)</f>
      </c>
      <c r="FK155">
        <f>IF(ISBLANK('Data Entry'!$ç$155), "", 'Data Entry'!$ç$155)</f>
      </c>
      <c r="FL155">
        <f>IF(ISBLANK('Data Entry'!$è$155), "", 'Data Entry'!$è$155)</f>
      </c>
      <c r="FM155">
        <f>IF(ISBLANK('Data Entry'!$é$155), "", 'Data Entry'!$é$155)</f>
      </c>
      <c r="FN155">
        <f>IF(ISBLANK('Data Entry'!$ê$155), "", 'Data Entry'!$ê$155)</f>
      </c>
      <c r="FO155">
        <f>IF(ISBLANK('Data Entry'!$ë$155), "", 'Data Entry'!$ë$155)</f>
      </c>
      <c r="FP155">
        <f>IF(ISBLANK('Data Entry'!$ì$155), "", 'Data Entry'!$ì$155)</f>
      </c>
      <c r="FQ155">
        <f>IF(ISBLANK('Data Entry'!$í$155), "", 'Data Entry'!$í$155)</f>
      </c>
      <c r="FR155">
        <f>IF(ISBLANK('Data Entry'!$î$155), "", 'Data Entry'!$î$155)</f>
      </c>
      <c r="FS155">
        <f>IF(ISBLANK('Data Entry'!$ï$155), "", 'Data Entry'!$ï$155)</f>
      </c>
      <c r="FT155">
        <f>IF(ISBLANK('Data Entry'!$ð$155), "", 'Data Entry'!$ð$155)</f>
      </c>
      <c r="FU155">
        <f>IF(ISBLANK('Data Entry'!$ñ$155), "", 'Data Entry'!$ñ$155)</f>
      </c>
      <c r="FV155">
        <f>IF(ISBLANK('Data Entry'!$ò$155), "", 'Data Entry'!$ò$155)</f>
      </c>
      <c r="FW155">
        <f>IF(ISBLANK('Data Entry'!$ó$155), "", 'Data Entry'!$ó$155)</f>
      </c>
      <c r="FX155">
        <f>IF(ISBLANK('Data Entry'!$ô$155), "", 'Data Entry'!$ô$155)</f>
      </c>
      <c r="FY155">
        <f>IF(ISBLANK('Data Entry'!$õ$155), "", 'Data Entry'!$õ$155)</f>
      </c>
      <c r="FZ155">
        <f>IF(ISBLANK('Data Entry'!$ö$155), "", 'Data Entry'!$ö$155)</f>
      </c>
      <c r="GA155">
        <f>IF(ISBLANK('Data Entry'!$÷$155), "", 'Data Entry'!$÷$155)</f>
      </c>
      <c r="GB155">
        <f>IF(ISBLANK('Data Entry'!$ø$155), "", 'Data Entry'!$ø$155)</f>
      </c>
      <c r="GC155">
        <f>IF(ISBLANK('Data Entry'!$ù$155), "", 'Data Entry'!$ù$155)</f>
      </c>
      <c r="GD155">
        <f>IF(ISBLANK('Data Entry'!$ú$155), "", 'Data Entry'!$ú$155)</f>
      </c>
      <c r="GE155">
        <f>IF(ISBLANK('Data Entry'!$û$155), "", 'Data Entry'!$û$155)</f>
      </c>
      <c r="GF155">
        <f>IF(ISBLANK('Data Entry'!$ü$155), "", 'Data Entry'!$ü$155)</f>
      </c>
      <c r="GG155">
        <f>IF(ISBLANK('Data Entry'!$ý$155), "", 'Data Entry'!$ý$155)</f>
      </c>
      <c r="GH155">
        <f>IF(ISBLANK('Data Entry'!$þ$155), "", 'Data Entry'!$þ$155)</f>
      </c>
      <c r="GI155">
        <f>IF(ISBLANK('Data Entry'!$ÿ$155), "", 'Data Entry'!$ÿ$155)</f>
      </c>
      <c r="GJ155">
        <f>IF(ISBLANK('Data Entry'!$Ā$155), "", 'Data Entry'!$Ā$155)</f>
      </c>
      <c r="GK155">
        <f>IF(ISBLANK('Data Entry'!$ā$155), "", 'Data Entry'!$ā$155)</f>
      </c>
      <c r="GL155">
        <f>IF(ISBLANK('Data Entry'!$Ă$155), "", 'Data Entry'!$Ă$155)</f>
      </c>
      <c r="GM155">
        <f>IF(ISBLANK('Data Entry'!$ă$155), "", 'Data Entry'!$ă$155)</f>
      </c>
      <c r="GN155">
        <f>IF(ISBLANK('Data Entry'!$Ą$155), "", 'Data Entry'!$Ą$155)</f>
      </c>
      <c r="GO155">
        <f>IF(ISBLANK('Data Entry'!$ą$155), "", 'Data Entry'!$ą$155)</f>
      </c>
      <c r="GP155">
        <f>IF(ISBLANK('Data Entry'!$Ć$155), "", 'Data Entry'!$Ć$155)</f>
      </c>
      <c r="GQ155">
        <f>IF(ISBLANK('Data Entry'!$ć$155), "", 'Data Entry'!$ć$155)</f>
      </c>
      <c r="GR155">
        <f>IF(ISBLANK('Data Entry'!$Ĉ$155), "", 'Data Entry'!$Ĉ$155)</f>
      </c>
      <c r="GS155">
        <f>IF(ISBLANK('Data Entry'!$ĉ$155), "", 'Data Entry'!$ĉ$155)</f>
      </c>
      <c r="GT155">
        <f>IF(ISBLANK('Data Entry'!$Ċ$155), "", 'Data Entry'!$Ċ$155)</f>
      </c>
      <c r="GU155">
        <f>IF(ISBLANK('Data Entry'!$ċ$155), "", 'Data Entry'!$ċ$155)</f>
      </c>
      <c r="GV155">
        <f>IF(ISBLANK('Data Entry'!$Č$155), "", 'Data Entry'!$Č$155)</f>
      </c>
      <c r="GW155">
        <f>IF(ISBLANK('Data Entry'!$č$155), "", 'Data Entry'!$č$155)</f>
      </c>
      <c r="GX155">
        <f>IF(ISBLANK('Data Entry'!$Ď$155), "", 'Data Entry'!$Ď$155)</f>
      </c>
      <c r="GY155">
        <f>IF(ISBLANK('Data Entry'!$ď$155), "", 'Data Entry'!$ď$155)</f>
      </c>
      <c r="GZ155">
        <f>IF(ISBLANK('Data Entry'!$Đ$155), "", 'Data Entry'!$Đ$155)</f>
      </c>
      <c r="HA155">
        <f>IF(ISBLANK('Data Entry'!$đ$155), "", 'Data Entry'!$đ$155)</f>
      </c>
      <c r="HB155">
        <f>IF(ISBLANK('Data Entry'!$Ē$155), "", 'Data Entry'!$Ē$155)</f>
      </c>
      <c r="HC155">
        <f>IF(ISBLANK('Data Entry'!$ē$155), "", 'Data Entry'!$ē$155)</f>
      </c>
      <c r="HD155">
        <f>IF(ISBLANK('Data Entry'!$Ĕ$155), "", 'Data Entry'!$Ĕ$155)</f>
      </c>
      <c r="HE155">
        <f>IF(ISBLANK('Data Entry'!$ĕ$155), "", 'Data Entry'!$ĕ$155)</f>
      </c>
      <c r="HF155">
        <f>IF(ISBLANK('Data Entry'!$Ė$155), "", 'Data Entry'!$Ė$155)</f>
      </c>
      <c r="HG155">
        <f>IF(ISBLANK('Data Entry'!$ė$155), "", 'Data Entry'!$ė$155)</f>
      </c>
      <c r="HH155">
        <f>IF(ISBLANK('Data Entry'!$Ę$155), "", 'Data Entry'!$Ę$155)</f>
      </c>
      <c r="HI155">
        <f>IF(ISBLANK('Data Entry'!$ę$155), "", 'Data Entry'!$ę$155)</f>
      </c>
      <c r="HJ155">
        <f>IF(ISBLANK('Data Entry'!$Ě$155), "", 'Data Entry'!$Ě$155)</f>
      </c>
      <c r="HK155">
        <f>IF(ISBLANK('Data Entry'!$ě$155), "", 'Data Entry'!$ě$155)</f>
      </c>
      <c r="HL155">
        <f>IF(ISBLANK('Data Entry'!$Ĝ$155), "", 'Data Entry'!$Ĝ$155)</f>
      </c>
      <c r="HM155">
        <f>IF(ISBLANK('Data Entry'!$ĝ$155), "", 'Data Entry'!$ĝ$155)</f>
      </c>
      <c r="HN155">
        <f>IF(ISBLANK('Data Entry'!$Ğ$155), "", 'Data Entry'!$Ğ$155)</f>
      </c>
      <c r="HO155">
        <f>IF(ISBLANK('Data Entry'!$ğ$155), "", 'Data Entry'!$ğ$155)</f>
      </c>
      <c r="HP155">
        <f>IF(ISBLANK('Data Entry'!$Ġ$155), "", 'Data Entry'!$Ġ$155)</f>
      </c>
      <c r="HQ155">
        <f>IF(ISBLANK('Data Entry'!$ġ$155), "", 'Data Entry'!$ġ$155)</f>
      </c>
      <c r="HR155">
        <f>IF(ISBLANK('Data Entry'!$Ģ$155), "", 'Data Entry'!$Ģ$155)</f>
      </c>
      <c r="HS155">
        <f>IF(ISBLANK('Data Entry'!$ģ$155), "", 'Data Entry'!$ģ$155)</f>
      </c>
      <c r="HT155">
        <f>IF(ISBLANK('Data Entry'!$Ĥ$155), "", 'Data Entry'!$Ĥ$155)</f>
      </c>
      <c r="HU155">
        <f>IF(ISBLANK('Data Entry'!$ĥ$155), "", 'Data Entry'!$ĥ$155)</f>
      </c>
      <c r="HV155">
        <f>IF(ISBLANK('Data Entry'!$Ħ$155), "", 'Data Entry'!$Ħ$155)</f>
      </c>
      <c r="HW155">
        <f>IF(ISBLANK('Data Entry'!$ħ$155), "", 'Data Entry'!$ħ$155)</f>
      </c>
      <c r="HX155">
        <f>IF(ISBLANK('Data Entry'!$Ĩ$155), "", 'Data Entry'!$Ĩ$155)</f>
      </c>
      <c r="HY155">
        <f>IF(ISBLANK('Data Entry'!$ĩ$155), "", 'Data Entry'!$ĩ$155)</f>
      </c>
      <c r="HZ155">
        <f>IF(ISBLANK('Data Entry'!$Ī$155), "", 'Data Entry'!$Ī$155)</f>
      </c>
      <c r="IA155">
        <f>IF(ISBLANK('Data Entry'!$ī$155), "", 'Data Entry'!$ī$155)</f>
      </c>
      <c r="IB155">
        <f>IF(ISBLANK('Data Entry'!$Ĭ$155), "", 'Data Entry'!$Ĭ$155)</f>
      </c>
      <c r="IC155">
        <f>IF(ISBLANK('Data Entry'!$ĭ$155), "", 'Data Entry'!$ĭ$155)</f>
      </c>
      <c r="ID155">
        <f>IF(ISBLANK('Data Entry'!$Į$155), "", 'Data Entry'!$Į$155)</f>
      </c>
      <c r="IE155">
        <f>IF(ISBLANK('Data Entry'!$į$155), "", 'Data Entry'!$į$155)</f>
      </c>
      <c r="IF155">
        <f>IF(ISBLANK('Data Entry'!$İ$155), "", 'Data Entry'!$İ$155)</f>
      </c>
      <c r="IG155">
        <f>IF(ISBLANK('Data Entry'!$ı$155), "", 'Data Entry'!$ı$155)</f>
      </c>
      <c r="IH155">
        <f>IF(ISBLANK('Data Entry'!$Ĳ$155), "", 'Data Entry'!$Ĳ$155)</f>
      </c>
      <c r="II155">
        <f>IF(ISBLANK('Data Entry'!$ĳ$155), "", 'Data Entry'!$ĳ$155)</f>
      </c>
      <c r="IJ155">
        <f>IF(ISBLANK('Data Entry'!$Ĵ$155), "", 'Data Entry'!$Ĵ$155)</f>
      </c>
      <c r="IK155">
        <f>IF(ISBLANK('Data Entry'!$ĵ$155), "", 'Data Entry'!$ĵ$155)</f>
      </c>
      <c r="IL155">
        <f>IF(ISBLANK('Data Entry'!$Ķ$155), "", 'Data Entry'!$Ķ$155)</f>
      </c>
      <c r="IM155">
        <f>IF(ISBLANK('Data Entry'!$ķ$155), "", 'Data Entry'!$ķ$155)</f>
      </c>
      <c r="IN155">
        <f>IF(ISBLANK('Data Entry'!$ĸ$155), "", 'Data Entry'!$ĸ$155)</f>
      </c>
      <c r="IO155">
        <f>IF(ISBLANK('Data Entry'!$Ĺ$155), "", 'Data Entry'!$Ĺ$155)</f>
      </c>
      <c r="IP155">
        <f>IF(ISBLANK('Data Entry'!$ĺ$155), "", 'Data Entry'!$ĺ$155)</f>
      </c>
      <c r="IQ155">
        <f>IF(ISBLANK('Data Entry'!$Ļ$155), "", 'Data Entry'!$Ļ$155)</f>
      </c>
      <c r="IR155">
        <f>IF(ISBLANK('Data Entry'!$ļ$155), "", 'Data Entry'!$ļ$155)</f>
      </c>
      <c r="IS155">
        <f>IF(ISBLANK('Data Entry'!$Ľ$155), "", 'Data Entry'!$Ľ$155)</f>
      </c>
      <c r="IT155">
        <f>IF(ISBLANK('Data Entry'!$ľ$155), "", 'Data Entry'!$ľ$155)</f>
      </c>
    </row>
    <row r="156" spans="1:254" x14ac:dyDescent="0.25">
      <c r="A156">
        <f>IF(ISBLANK('Data Entry'!$A$156), "", 'Data Entry'!$A$156)</f>
      </c>
      <c r="B156">
        <f>IF(ISBLANK('Data Entry'!$B$156), "", 'Data Entry'!$B$156)</f>
      </c>
      <c r="C156">
        <f>IF(ISBLANK('Data Entry'!$C$156), "", 'Data Entry'!$C$156)</f>
      </c>
      <c r="D156">
        <f>IF(ISBLANK('Data Entry'!$D$156), "", 'Data Entry'!$D$156)</f>
      </c>
      <c r="E156">
        <f>IF(ISBLANK('Data Entry'!$E$156), "", 'Data Entry'!$E$156)</f>
      </c>
      <c r="F156">
        <f>IF(ISBLANK('Data Entry'!$F$156), "", 'Data Entry'!$F$156)</f>
      </c>
      <c r="G156">
        <f>IF(ISBLANK('Data Entry'!$G$156), "", 'Data Entry'!$G$156)</f>
      </c>
      <c r="H156">
        <f>IF(ISBLANK('Data Entry'!$H$156), "", 'Data Entry'!$H$156)</f>
      </c>
      <c r="I156">
        <f>IF(ISBLANK('Data Entry'!$I$156), "", 'Data Entry'!$I$156)</f>
      </c>
      <c r="J156">
        <f>IF(ISBLANK('Data Entry'!$J$156), "", 'Data Entry'!$J$156)</f>
      </c>
      <c r="K156">
        <f>IF(ISBLANK('Data Entry'!$K$156), "", 'Data Entry'!$K$156)</f>
      </c>
      <c r="L156">
        <f>IF(ISBLANK('Data Entry'!$L$156), "", 'Data Entry'!$L$156)</f>
      </c>
      <c r="M156">
        <f>IF(ISBLANK('Data Entry'!$M$156), "", 'Data Entry'!$M$156)</f>
      </c>
      <c r="N156">
        <f>IF(ISBLANK('Data Entry'!$N$156), "", 'Data Entry'!$N$156)</f>
      </c>
      <c r="O156">
        <f>IF(ISBLANK('Data Entry'!$O$156), "", 'Data Entry'!$O$156)</f>
      </c>
      <c r="P156">
        <f>IF(ISBLANK('Data Entry'!$P$156), "", 'Data Entry'!$P$156)</f>
      </c>
      <c r="Q156">
        <f>IF(ISBLANK('Data Entry'!$Q$156), "", 'Data Entry'!$Q$156)</f>
      </c>
      <c r="R156">
        <f>IF(ISBLANK('Data Entry'!$R$156), "", 'Data Entry'!$R$156)</f>
      </c>
      <c r="S156">
        <f>IF(ISBLANK('Data Entry'!$S$156), "", 'Data Entry'!$S$156)</f>
      </c>
      <c r="T156">
        <f>IF(ISBLANK('Data Entry'!$T$156), "", 'Data Entry'!$T$156)</f>
      </c>
      <c r="U156">
        <f>IF(ISBLANK('Data Entry'!$U$156), "", 'Data Entry'!$U$156)</f>
      </c>
      <c r="V156">
        <f>IF(ISBLANK('Data Entry'!$V$156), "", 'Data Entry'!$V$156)</f>
      </c>
      <c r="W156">
        <f>IF(ISBLANK('Data Entry'!$W$156), "", 'Data Entry'!$W$156)</f>
      </c>
      <c r="X156">
        <f>IF(ISBLANK('Data Entry'!$X$156), "", 'Data Entry'!$X$156)</f>
      </c>
      <c r="Y156">
        <f>IF(ISBLANK('Data Entry'!$Y$156), "", 'Data Entry'!$Y$156)</f>
      </c>
      <c r="Z156">
        <f>IF(ISBLANK('Data Entry'!$Z$156), "", 'Data Entry'!$Z$156)</f>
      </c>
      <c r="AA156">
        <f>IF(ISBLANK('Data Entry'!$[$156), "", 'Data Entry'!$[$156)</f>
      </c>
      <c r="AB156">
        <f>IF(ISBLANK('Data Entry'!$\$156), "", 'Data Entry'!$\$156)</f>
      </c>
      <c r="AC156">
        <f>IF(ISBLANK('Data Entry'!$]$156), "", 'Data Entry'!$]$156)</f>
      </c>
      <c r="AD156">
        <f>IF(ISBLANK('Data Entry'!$^$156), "", 'Data Entry'!$^$156)</f>
      </c>
      <c r="AE156">
        <f>IF(ISBLANK('Data Entry'!$_$156), "", 'Data Entry'!$_$156)</f>
      </c>
      <c r="AF156">
        <f>IF(ISBLANK('Data Entry'!$`$156), "", 'Data Entry'!$`$156)</f>
      </c>
      <c r="AG156">
        <f>IF(ISBLANK('Data Entry'!$a$156), "", 'Data Entry'!$a$156)</f>
      </c>
      <c r="AH156">
        <f>IF(ISBLANK('Data Entry'!$b$156), "", 'Data Entry'!$b$156)</f>
      </c>
      <c r="AI156">
        <f>IF(ISBLANK('Data Entry'!$c$156), "", 'Data Entry'!$c$156)</f>
      </c>
      <c r="AJ156">
        <f>IF(ISBLANK('Data Entry'!$d$156), "", 'Data Entry'!$d$156)</f>
      </c>
      <c r="AK156">
        <f>IF(ISBLANK('Data Entry'!$e$156), "", 'Data Entry'!$e$156)</f>
      </c>
      <c r="AL156">
        <f>IF(ISBLANK('Data Entry'!$f$156), "", 'Data Entry'!$f$156)</f>
      </c>
      <c r="AM156">
        <f>IF(ISBLANK('Data Entry'!$g$156), "", 'Data Entry'!$g$156)</f>
      </c>
      <c r="AN156">
        <f>IF(ISBLANK('Data Entry'!$h$156), "", 'Data Entry'!$h$156)</f>
      </c>
      <c r="AO156">
        <f>IF(ISBLANK('Data Entry'!$i$156), "", 'Data Entry'!$i$156)</f>
      </c>
      <c r="AP156">
        <f>IF(ISBLANK('Data Entry'!$j$156), "", 'Data Entry'!$j$156)</f>
      </c>
      <c r="AQ156">
        <f>IF(ISBLANK('Data Entry'!$k$156), "", 'Data Entry'!$k$156)</f>
      </c>
      <c r="AR156">
        <f>IF(ISBLANK('Data Entry'!$l$156), "", 'Data Entry'!$l$156)</f>
      </c>
      <c r="AS156">
        <f>IF(ISBLANK('Data Entry'!$m$156), "", 'Data Entry'!$m$156)</f>
      </c>
      <c r="AT156">
        <f>IF(ISBLANK('Data Entry'!$n$156), "", 'Data Entry'!$n$156)</f>
      </c>
      <c r="AU156">
        <f>IF(ISBLANK('Data Entry'!$o$156), "", 'Data Entry'!$o$156)</f>
      </c>
      <c r="AV156">
        <f>IF(ISBLANK('Data Entry'!$p$156), "", 'Data Entry'!$p$156)</f>
      </c>
      <c r="AW156">
        <f>IF(ISBLANK('Data Entry'!$q$156), "", 'Data Entry'!$q$156)</f>
      </c>
      <c r="AX156">
        <f>IF(ISBLANK('Data Entry'!$r$156), "", 'Data Entry'!$r$156)</f>
      </c>
      <c r="AY156">
        <f>IF(ISBLANK('Data Entry'!$s$156), "", 'Data Entry'!$s$156)</f>
      </c>
      <c r="AZ156">
        <f>IF(ISBLANK('Data Entry'!$t$156), "", 'Data Entry'!$t$156)</f>
      </c>
      <c r="BA156">
        <f>IF(ISBLANK('Data Entry'!$u$156), "", 'Data Entry'!$u$156)</f>
      </c>
      <c r="BB156">
        <f>IF(ISBLANK('Data Entry'!$v$156), "", 'Data Entry'!$v$156)</f>
      </c>
      <c r="BC156">
        <f>IF(ISBLANK('Data Entry'!$w$156), "", 'Data Entry'!$w$156)</f>
      </c>
      <c r="BD156">
        <f>IF(ISBLANK('Data Entry'!$x$156), "", 'Data Entry'!$x$156)</f>
      </c>
      <c r="BE156">
        <f>IF(ISBLANK('Data Entry'!$y$156), "", 'Data Entry'!$y$156)</f>
      </c>
      <c r="BF156">
        <f>IF(ISBLANK('Data Entry'!$z$156), "", 'Data Entry'!$z$156)</f>
      </c>
      <c r="BG156">
        <f>IF(ISBLANK('Data Entry'!${$156), "", 'Data Entry'!${$156)</f>
      </c>
      <c r="BH156">
        <f>IF(ISBLANK('Data Entry'!$|$156), "", 'Data Entry'!$|$156)</f>
      </c>
      <c r="BI156">
        <f>IF(ISBLANK('Data Entry'!$}$156), "", 'Data Entry'!$}$156)</f>
      </c>
      <c r="BJ156">
        <f>IF(ISBLANK('Data Entry'!$~$156), "", 'Data Entry'!$~$156)</f>
      </c>
      <c r="BK156">
        <f>IF(ISBLANK('Data Entry'!$$156), "", 'Data Entry'!$$156)</f>
      </c>
      <c r="BL156">
        <f>IF(ISBLANK('Data Entry'!$$156), "", 'Data Entry'!$$156)</f>
      </c>
      <c r="BM156">
        <f>IF(ISBLANK('Data Entry'!$$156), "", 'Data Entry'!$$156)</f>
      </c>
      <c r="BN156">
        <f>IF(ISBLANK('Data Entry'!$$156), "", 'Data Entry'!$$156)</f>
      </c>
      <c r="BO156">
        <f>IF(ISBLANK('Data Entry'!$$156), "", 'Data Entry'!$$156)</f>
      </c>
      <c r="BP156">
        <f>IF(ISBLANK('Data Entry'!$$156), "", 'Data Entry'!$$156)</f>
      </c>
      <c r="BQ156">
        <f>IF(ISBLANK('Data Entry'!$$156), "", 'Data Entry'!$$156)</f>
      </c>
      <c r="BR156">
        <f>IF(ISBLANK('Data Entry'!$$156), "", 'Data Entry'!$$156)</f>
      </c>
      <c r="BS156">
        <f>IF(ISBLANK('Data Entry'!$$156), "", 'Data Entry'!$$156)</f>
      </c>
      <c r="BT156">
        <f>IF(ISBLANK('Data Entry'!$$156), "", 'Data Entry'!$$156)</f>
      </c>
      <c r="BU156">
        <f>IF(ISBLANK('Data Entry'!$$156), "", 'Data Entry'!$$156)</f>
      </c>
      <c r="BV156">
        <f>IF(ISBLANK('Data Entry'!$$156), "", 'Data Entry'!$$156)</f>
      </c>
      <c r="BW156">
        <f>IF(ISBLANK('Data Entry'!$$156), "", 'Data Entry'!$$156)</f>
      </c>
      <c r="BX156">
        <f>IF(ISBLANK('Data Entry'!$$156), "", 'Data Entry'!$$156)</f>
      </c>
      <c r="BY156">
        <f>IF(ISBLANK('Data Entry'!$$156), "", 'Data Entry'!$$156)</f>
      </c>
      <c r="BZ156">
        <f>IF(ISBLANK('Data Entry'!$$156), "", 'Data Entry'!$$156)</f>
      </c>
      <c r="CA156">
        <f>IF(ISBLANK('Data Entry'!$$156), "", 'Data Entry'!$$156)</f>
      </c>
      <c r="CB156">
        <f>IF(ISBLANK('Data Entry'!$$156), "", 'Data Entry'!$$156)</f>
      </c>
      <c r="CC156">
        <f>IF(ISBLANK('Data Entry'!$$156), "", 'Data Entry'!$$156)</f>
      </c>
      <c r="CD156">
        <f>IF(ISBLANK('Data Entry'!$$156), "", 'Data Entry'!$$156)</f>
      </c>
      <c r="CE156">
        <f>IF(ISBLANK('Data Entry'!$$156), "", 'Data Entry'!$$156)</f>
      </c>
      <c r="CF156">
        <f>IF(ISBLANK('Data Entry'!$$156), "", 'Data Entry'!$$156)</f>
      </c>
      <c r="CG156">
        <f>IF(ISBLANK('Data Entry'!$$156), "", 'Data Entry'!$$156)</f>
      </c>
      <c r="CH156">
        <f>IF(ISBLANK('Data Entry'!$$156), "", 'Data Entry'!$$156)</f>
      </c>
      <c r="CI156">
        <f>IF(ISBLANK('Data Entry'!$$156), "", 'Data Entry'!$$156)</f>
      </c>
      <c r="CJ156">
        <f>IF(ISBLANK('Data Entry'!$$156), "", 'Data Entry'!$$156)</f>
      </c>
      <c r="CK156">
        <f>IF(ISBLANK('Data Entry'!$$156), "", 'Data Entry'!$$156)</f>
      </c>
      <c r="CL156">
        <f>IF(ISBLANK('Data Entry'!$$156), "", 'Data Entry'!$$156)</f>
      </c>
      <c r="CM156">
        <f>IF(ISBLANK('Data Entry'!$$156), "", 'Data Entry'!$$156)</f>
      </c>
      <c r="CN156">
        <f>IF(ISBLANK('Data Entry'!$$156), "", 'Data Entry'!$$156)</f>
      </c>
      <c r="CO156">
        <f>IF(ISBLANK('Data Entry'!$$156), "", 'Data Entry'!$$156)</f>
      </c>
      <c r="CP156">
        <f>IF(ISBLANK('Data Entry'!$$156), "", 'Data Entry'!$$156)</f>
      </c>
      <c r="CQ156">
        <f>IF(ISBLANK('Data Entry'!$$156), "", 'Data Entry'!$$156)</f>
      </c>
      <c r="CR156">
        <f>IF(ISBLANK('Data Entry'!$ $156), "", 'Data Entry'!$ $156)</f>
      </c>
      <c r="CS156">
        <f>IF(ISBLANK('Data Entry'!$¡$156), "", 'Data Entry'!$¡$156)</f>
      </c>
      <c r="CT156">
        <f>IF(ISBLANK('Data Entry'!$¢$156), "", 'Data Entry'!$¢$156)</f>
      </c>
      <c r="CU156">
        <f>IF(ISBLANK('Data Entry'!$£$156), "", 'Data Entry'!$£$156)</f>
      </c>
      <c r="CV156">
        <f>IF(ISBLANK('Data Entry'!$¤$156), "", 'Data Entry'!$¤$156)</f>
      </c>
      <c r="CW156">
        <f>IF(ISBLANK('Data Entry'!$¥$156), "", 'Data Entry'!$¥$156)</f>
      </c>
      <c r="CX156">
        <f>IF(ISBLANK('Data Entry'!$¦$156), "", 'Data Entry'!$¦$156)</f>
      </c>
      <c r="CY156">
        <f>IF(ISBLANK('Data Entry'!$§$156), "", 'Data Entry'!$§$156)</f>
      </c>
      <c r="CZ156">
        <f>IF(ISBLANK('Data Entry'!$¨$156), "", 'Data Entry'!$¨$156)</f>
      </c>
      <c r="DA156">
        <f>IF(ISBLANK('Data Entry'!$©$156), "", 'Data Entry'!$©$156)</f>
      </c>
      <c r="DB156">
        <f>IF(ISBLANK('Data Entry'!$ª$156), "", 'Data Entry'!$ª$156)</f>
      </c>
      <c r="DC156">
        <f>IF(ISBLANK('Data Entry'!$«$156), "", 'Data Entry'!$«$156)</f>
      </c>
      <c r="DD156">
        <f>IF(ISBLANK('Data Entry'!$¬$156), "", 'Data Entry'!$¬$156)</f>
      </c>
      <c r="DE156">
        <f>IF(ISBLANK('Data Entry'!$­$156), "", 'Data Entry'!$­$156)</f>
      </c>
      <c r="DF156">
        <f>IF(ISBLANK('Data Entry'!$®$156), "", 'Data Entry'!$®$156)</f>
      </c>
      <c r="DG156">
        <f>IF(ISBLANK('Data Entry'!$¯$156), "", 'Data Entry'!$¯$156)</f>
      </c>
      <c r="DH156">
        <f>IF(ISBLANK('Data Entry'!$°$156), "", 'Data Entry'!$°$156)</f>
      </c>
      <c r="DI156">
        <f>IF(ISBLANK('Data Entry'!$±$156), "", 'Data Entry'!$±$156)</f>
      </c>
      <c r="DJ156">
        <f>IF(ISBLANK('Data Entry'!$²$156), "", 'Data Entry'!$²$156)</f>
      </c>
      <c r="DK156">
        <f>IF(ISBLANK('Data Entry'!$³$156), "", 'Data Entry'!$³$156)</f>
      </c>
      <c r="DL156">
        <f>IF(ISBLANK('Data Entry'!$´$156), "", 'Data Entry'!$´$156)</f>
      </c>
      <c r="DM156">
        <f>IF(ISBLANK('Data Entry'!$µ$156), "", 'Data Entry'!$µ$156)</f>
      </c>
      <c r="DN156">
        <f>IF(ISBLANK('Data Entry'!$¶$156), "", 'Data Entry'!$¶$156)</f>
      </c>
      <c r="DO156">
        <f>IF(ISBLANK('Data Entry'!$·$156), "", 'Data Entry'!$·$156)</f>
      </c>
      <c r="DP156">
        <f>IF(ISBLANK('Data Entry'!$¸$156), "", 'Data Entry'!$¸$156)</f>
      </c>
      <c r="DQ156">
        <f>IF(ISBLANK('Data Entry'!$¹$156), "", 'Data Entry'!$¹$156)</f>
      </c>
      <c r="DR156">
        <f>IF(ISBLANK('Data Entry'!$º$156), "", 'Data Entry'!$º$156)</f>
      </c>
      <c r="DS156">
        <f>IF(ISBLANK('Data Entry'!$»$156), "", 'Data Entry'!$»$156)</f>
      </c>
      <c r="DT156">
        <f>IF(ISBLANK('Data Entry'!$¼$156), "", 'Data Entry'!$¼$156)</f>
      </c>
      <c r="DU156">
        <f>IF(ISBLANK('Data Entry'!$½$156), "", 'Data Entry'!$½$156)</f>
      </c>
      <c r="DV156">
        <f>IF(ISBLANK('Data Entry'!$¾$156), "", 'Data Entry'!$¾$156)</f>
      </c>
      <c r="DW156">
        <f>IF(ISBLANK('Data Entry'!$¿$156), "", 'Data Entry'!$¿$156)</f>
      </c>
      <c r="DX156">
        <f>IF(ISBLANK('Data Entry'!$À$156), "", 'Data Entry'!$À$156)</f>
      </c>
      <c r="DY156">
        <f>IF(ISBLANK('Data Entry'!$Á$156), "", 'Data Entry'!$Á$156)</f>
      </c>
      <c r="DZ156">
        <f>IF(ISBLANK('Data Entry'!$Â$156), "", 'Data Entry'!$Â$156)</f>
      </c>
      <c r="EA156">
        <f>IF(ISBLANK('Data Entry'!$Ã$156), "", 'Data Entry'!$Ã$156)</f>
      </c>
      <c r="EB156">
        <f>IF(ISBLANK('Data Entry'!$Ä$156), "", 'Data Entry'!$Ä$156)</f>
      </c>
      <c r="EC156">
        <f>IF(ISBLANK('Data Entry'!$Å$156), "", 'Data Entry'!$Å$156)</f>
      </c>
      <c r="ED156">
        <f>IF(ISBLANK('Data Entry'!$Æ$156), "", 'Data Entry'!$Æ$156)</f>
      </c>
      <c r="EE156">
        <f>IF(ISBLANK('Data Entry'!$Ç$156), "", 'Data Entry'!$Ç$156)</f>
      </c>
      <c r="EF156">
        <f>IF(ISBLANK('Data Entry'!$È$156), "", 'Data Entry'!$È$156)</f>
      </c>
      <c r="EG156">
        <f>IF(ISBLANK('Data Entry'!$É$156), "", 'Data Entry'!$É$156)</f>
      </c>
      <c r="EH156">
        <f>IF(ISBLANK('Data Entry'!$Ê$156), "", 'Data Entry'!$Ê$156)</f>
      </c>
      <c r="EI156">
        <f>IF(ISBLANK('Data Entry'!$Ë$156), "", 'Data Entry'!$Ë$156)</f>
      </c>
      <c r="EJ156">
        <f>IF(ISBLANK('Data Entry'!$Ì$156), "", 'Data Entry'!$Ì$156)</f>
      </c>
      <c r="EK156">
        <f>IF(ISBLANK('Data Entry'!$Í$156), "", 'Data Entry'!$Í$156)</f>
      </c>
      <c r="EL156">
        <f>IF(ISBLANK('Data Entry'!$Î$156), "", 'Data Entry'!$Î$156)</f>
      </c>
      <c r="EM156">
        <f>IF(ISBLANK('Data Entry'!$Ï$156), "", 'Data Entry'!$Ï$156)</f>
      </c>
      <c r="EN156">
        <f>IF(ISBLANK('Data Entry'!$Ð$156), "", 'Data Entry'!$Ð$156)</f>
      </c>
      <c r="EO156">
        <f>IF(ISBLANK('Data Entry'!$Ñ$156), "", 'Data Entry'!$Ñ$156)</f>
      </c>
      <c r="EP156">
        <f>IF(ISBLANK('Data Entry'!$Ò$156), "", 'Data Entry'!$Ò$156)</f>
      </c>
      <c r="EQ156">
        <f>IF(ISBLANK('Data Entry'!$Ó$156), "", 'Data Entry'!$Ó$156)</f>
      </c>
      <c r="ER156">
        <f>IF(ISBLANK('Data Entry'!$Ô$156), "", 'Data Entry'!$Ô$156)</f>
      </c>
      <c r="ES156">
        <f>IF(ISBLANK('Data Entry'!$Õ$156), "", 'Data Entry'!$Õ$156)</f>
      </c>
      <c r="ET156">
        <f>IF(ISBLANK('Data Entry'!$Ö$156), "", 'Data Entry'!$Ö$156)</f>
      </c>
      <c r="EU156">
        <f>IF(ISBLANK('Data Entry'!$×$156), "", 'Data Entry'!$×$156)</f>
      </c>
      <c r="EV156">
        <f>IF(ISBLANK('Data Entry'!$Ø$156), "", 'Data Entry'!$Ø$156)</f>
      </c>
      <c r="EW156">
        <f>IF(ISBLANK('Data Entry'!$Ù$156), "", 'Data Entry'!$Ù$156)</f>
      </c>
      <c r="EX156">
        <f>IF(ISBLANK('Data Entry'!$Ú$156), "", 'Data Entry'!$Ú$156)</f>
      </c>
      <c r="EY156">
        <f>IF(ISBLANK('Data Entry'!$Û$156), "", 'Data Entry'!$Û$156)</f>
      </c>
      <c r="EZ156">
        <f>IF(ISBLANK('Data Entry'!$Ü$156), "", 'Data Entry'!$Ü$156)</f>
      </c>
      <c r="FA156">
        <f>IF(ISBLANK('Data Entry'!$Ý$156), "", 'Data Entry'!$Ý$156)</f>
      </c>
      <c r="FB156">
        <f>IF(ISBLANK('Data Entry'!$Þ$156), "", 'Data Entry'!$Þ$156)</f>
      </c>
      <c r="FC156">
        <f>IF(ISBLANK('Data Entry'!$ß$156), "", 'Data Entry'!$ß$156)</f>
      </c>
      <c r="FD156">
        <f>IF(ISBLANK('Data Entry'!$à$156), "", 'Data Entry'!$à$156)</f>
      </c>
      <c r="FE156">
        <f>IF(ISBLANK('Data Entry'!$á$156), "", 'Data Entry'!$á$156)</f>
      </c>
      <c r="FF156">
        <f>IF(ISBLANK('Data Entry'!$â$156), "", 'Data Entry'!$â$156)</f>
      </c>
      <c r="FG156">
        <f>IF(ISBLANK('Data Entry'!$ã$156), "", 'Data Entry'!$ã$156)</f>
      </c>
      <c r="FH156">
        <f>IF(ISBLANK('Data Entry'!$ä$156), "", 'Data Entry'!$ä$156)</f>
      </c>
      <c r="FI156">
        <f>IF(ISBLANK('Data Entry'!$å$156), "", 'Data Entry'!$å$156)</f>
      </c>
      <c r="FJ156">
        <f>IF(ISBLANK('Data Entry'!$æ$156), "", 'Data Entry'!$æ$156)</f>
      </c>
      <c r="FK156">
        <f>IF(ISBLANK('Data Entry'!$ç$156), "", 'Data Entry'!$ç$156)</f>
      </c>
      <c r="FL156">
        <f>IF(ISBLANK('Data Entry'!$è$156), "", 'Data Entry'!$è$156)</f>
      </c>
      <c r="FM156">
        <f>IF(ISBLANK('Data Entry'!$é$156), "", 'Data Entry'!$é$156)</f>
      </c>
      <c r="FN156">
        <f>IF(ISBLANK('Data Entry'!$ê$156), "", 'Data Entry'!$ê$156)</f>
      </c>
      <c r="FO156">
        <f>IF(ISBLANK('Data Entry'!$ë$156), "", 'Data Entry'!$ë$156)</f>
      </c>
      <c r="FP156">
        <f>IF(ISBLANK('Data Entry'!$ì$156), "", 'Data Entry'!$ì$156)</f>
      </c>
      <c r="FQ156">
        <f>IF(ISBLANK('Data Entry'!$í$156), "", 'Data Entry'!$í$156)</f>
      </c>
      <c r="FR156">
        <f>IF(ISBLANK('Data Entry'!$î$156), "", 'Data Entry'!$î$156)</f>
      </c>
      <c r="FS156">
        <f>IF(ISBLANK('Data Entry'!$ï$156), "", 'Data Entry'!$ï$156)</f>
      </c>
      <c r="FT156">
        <f>IF(ISBLANK('Data Entry'!$ð$156), "", 'Data Entry'!$ð$156)</f>
      </c>
      <c r="FU156">
        <f>IF(ISBLANK('Data Entry'!$ñ$156), "", 'Data Entry'!$ñ$156)</f>
      </c>
      <c r="FV156">
        <f>IF(ISBLANK('Data Entry'!$ò$156), "", 'Data Entry'!$ò$156)</f>
      </c>
      <c r="FW156">
        <f>IF(ISBLANK('Data Entry'!$ó$156), "", 'Data Entry'!$ó$156)</f>
      </c>
      <c r="FX156">
        <f>IF(ISBLANK('Data Entry'!$ô$156), "", 'Data Entry'!$ô$156)</f>
      </c>
      <c r="FY156">
        <f>IF(ISBLANK('Data Entry'!$õ$156), "", 'Data Entry'!$õ$156)</f>
      </c>
      <c r="FZ156">
        <f>IF(ISBLANK('Data Entry'!$ö$156), "", 'Data Entry'!$ö$156)</f>
      </c>
      <c r="GA156">
        <f>IF(ISBLANK('Data Entry'!$÷$156), "", 'Data Entry'!$÷$156)</f>
      </c>
      <c r="GB156">
        <f>IF(ISBLANK('Data Entry'!$ø$156), "", 'Data Entry'!$ø$156)</f>
      </c>
      <c r="GC156">
        <f>IF(ISBLANK('Data Entry'!$ù$156), "", 'Data Entry'!$ù$156)</f>
      </c>
      <c r="GD156">
        <f>IF(ISBLANK('Data Entry'!$ú$156), "", 'Data Entry'!$ú$156)</f>
      </c>
      <c r="GE156">
        <f>IF(ISBLANK('Data Entry'!$û$156), "", 'Data Entry'!$û$156)</f>
      </c>
      <c r="GF156">
        <f>IF(ISBLANK('Data Entry'!$ü$156), "", 'Data Entry'!$ü$156)</f>
      </c>
      <c r="GG156">
        <f>IF(ISBLANK('Data Entry'!$ý$156), "", 'Data Entry'!$ý$156)</f>
      </c>
      <c r="GH156">
        <f>IF(ISBLANK('Data Entry'!$þ$156), "", 'Data Entry'!$þ$156)</f>
      </c>
      <c r="GI156">
        <f>IF(ISBLANK('Data Entry'!$ÿ$156), "", 'Data Entry'!$ÿ$156)</f>
      </c>
      <c r="GJ156">
        <f>IF(ISBLANK('Data Entry'!$Ā$156), "", 'Data Entry'!$Ā$156)</f>
      </c>
      <c r="GK156">
        <f>IF(ISBLANK('Data Entry'!$ā$156), "", 'Data Entry'!$ā$156)</f>
      </c>
      <c r="GL156">
        <f>IF(ISBLANK('Data Entry'!$Ă$156), "", 'Data Entry'!$Ă$156)</f>
      </c>
      <c r="GM156">
        <f>IF(ISBLANK('Data Entry'!$ă$156), "", 'Data Entry'!$ă$156)</f>
      </c>
      <c r="GN156">
        <f>IF(ISBLANK('Data Entry'!$Ą$156), "", 'Data Entry'!$Ą$156)</f>
      </c>
      <c r="GO156">
        <f>IF(ISBLANK('Data Entry'!$ą$156), "", 'Data Entry'!$ą$156)</f>
      </c>
      <c r="GP156">
        <f>IF(ISBLANK('Data Entry'!$Ć$156), "", 'Data Entry'!$Ć$156)</f>
      </c>
      <c r="GQ156">
        <f>IF(ISBLANK('Data Entry'!$ć$156), "", 'Data Entry'!$ć$156)</f>
      </c>
      <c r="GR156">
        <f>IF(ISBLANK('Data Entry'!$Ĉ$156), "", 'Data Entry'!$Ĉ$156)</f>
      </c>
      <c r="GS156">
        <f>IF(ISBLANK('Data Entry'!$ĉ$156), "", 'Data Entry'!$ĉ$156)</f>
      </c>
      <c r="GT156">
        <f>IF(ISBLANK('Data Entry'!$Ċ$156), "", 'Data Entry'!$Ċ$156)</f>
      </c>
      <c r="GU156">
        <f>IF(ISBLANK('Data Entry'!$ċ$156), "", 'Data Entry'!$ċ$156)</f>
      </c>
      <c r="GV156">
        <f>IF(ISBLANK('Data Entry'!$Č$156), "", 'Data Entry'!$Č$156)</f>
      </c>
      <c r="GW156">
        <f>IF(ISBLANK('Data Entry'!$č$156), "", 'Data Entry'!$č$156)</f>
      </c>
      <c r="GX156">
        <f>IF(ISBLANK('Data Entry'!$Ď$156), "", 'Data Entry'!$Ď$156)</f>
      </c>
      <c r="GY156">
        <f>IF(ISBLANK('Data Entry'!$ď$156), "", 'Data Entry'!$ď$156)</f>
      </c>
      <c r="GZ156">
        <f>IF(ISBLANK('Data Entry'!$Đ$156), "", 'Data Entry'!$Đ$156)</f>
      </c>
      <c r="HA156">
        <f>IF(ISBLANK('Data Entry'!$đ$156), "", 'Data Entry'!$đ$156)</f>
      </c>
      <c r="HB156">
        <f>IF(ISBLANK('Data Entry'!$Ē$156), "", 'Data Entry'!$Ē$156)</f>
      </c>
      <c r="HC156">
        <f>IF(ISBLANK('Data Entry'!$ē$156), "", 'Data Entry'!$ē$156)</f>
      </c>
      <c r="HD156">
        <f>IF(ISBLANK('Data Entry'!$Ĕ$156), "", 'Data Entry'!$Ĕ$156)</f>
      </c>
      <c r="HE156">
        <f>IF(ISBLANK('Data Entry'!$ĕ$156), "", 'Data Entry'!$ĕ$156)</f>
      </c>
      <c r="HF156">
        <f>IF(ISBLANK('Data Entry'!$Ė$156), "", 'Data Entry'!$Ė$156)</f>
      </c>
      <c r="HG156">
        <f>IF(ISBLANK('Data Entry'!$ė$156), "", 'Data Entry'!$ė$156)</f>
      </c>
      <c r="HH156">
        <f>IF(ISBLANK('Data Entry'!$Ę$156), "", 'Data Entry'!$Ę$156)</f>
      </c>
      <c r="HI156">
        <f>IF(ISBLANK('Data Entry'!$ę$156), "", 'Data Entry'!$ę$156)</f>
      </c>
      <c r="HJ156">
        <f>IF(ISBLANK('Data Entry'!$Ě$156), "", 'Data Entry'!$Ě$156)</f>
      </c>
      <c r="HK156">
        <f>IF(ISBLANK('Data Entry'!$ě$156), "", 'Data Entry'!$ě$156)</f>
      </c>
      <c r="HL156">
        <f>IF(ISBLANK('Data Entry'!$Ĝ$156), "", 'Data Entry'!$Ĝ$156)</f>
      </c>
      <c r="HM156">
        <f>IF(ISBLANK('Data Entry'!$ĝ$156), "", 'Data Entry'!$ĝ$156)</f>
      </c>
      <c r="HN156">
        <f>IF(ISBLANK('Data Entry'!$Ğ$156), "", 'Data Entry'!$Ğ$156)</f>
      </c>
      <c r="HO156">
        <f>IF(ISBLANK('Data Entry'!$ğ$156), "", 'Data Entry'!$ğ$156)</f>
      </c>
      <c r="HP156">
        <f>IF(ISBLANK('Data Entry'!$Ġ$156), "", 'Data Entry'!$Ġ$156)</f>
      </c>
      <c r="HQ156">
        <f>IF(ISBLANK('Data Entry'!$ġ$156), "", 'Data Entry'!$ġ$156)</f>
      </c>
      <c r="HR156">
        <f>IF(ISBLANK('Data Entry'!$Ģ$156), "", 'Data Entry'!$Ģ$156)</f>
      </c>
      <c r="HS156">
        <f>IF(ISBLANK('Data Entry'!$ģ$156), "", 'Data Entry'!$ģ$156)</f>
      </c>
      <c r="HT156">
        <f>IF(ISBLANK('Data Entry'!$Ĥ$156), "", 'Data Entry'!$Ĥ$156)</f>
      </c>
      <c r="HU156">
        <f>IF(ISBLANK('Data Entry'!$ĥ$156), "", 'Data Entry'!$ĥ$156)</f>
      </c>
      <c r="HV156">
        <f>IF(ISBLANK('Data Entry'!$Ħ$156), "", 'Data Entry'!$Ħ$156)</f>
      </c>
      <c r="HW156">
        <f>IF(ISBLANK('Data Entry'!$ħ$156), "", 'Data Entry'!$ħ$156)</f>
      </c>
      <c r="HX156">
        <f>IF(ISBLANK('Data Entry'!$Ĩ$156), "", 'Data Entry'!$Ĩ$156)</f>
      </c>
      <c r="HY156">
        <f>IF(ISBLANK('Data Entry'!$ĩ$156), "", 'Data Entry'!$ĩ$156)</f>
      </c>
      <c r="HZ156">
        <f>IF(ISBLANK('Data Entry'!$Ī$156), "", 'Data Entry'!$Ī$156)</f>
      </c>
      <c r="IA156">
        <f>IF(ISBLANK('Data Entry'!$ī$156), "", 'Data Entry'!$ī$156)</f>
      </c>
      <c r="IB156">
        <f>IF(ISBLANK('Data Entry'!$Ĭ$156), "", 'Data Entry'!$Ĭ$156)</f>
      </c>
      <c r="IC156">
        <f>IF(ISBLANK('Data Entry'!$ĭ$156), "", 'Data Entry'!$ĭ$156)</f>
      </c>
      <c r="ID156">
        <f>IF(ISBLANK('Data Entry'!$Į$156), "", 'Data Entry'!$Į$156)</f>
      </c>
      <c r="IE156">
        <f>IF(ISBLANK('Data Entry'!$į$156), "", 'Data Entry'!$į$156)</f>
      </c>
      <c r="IF156">
        <f>IF(ISBLANK('Data Entry'!$İ$156), "", 'Data Entry'!$İ$156)</f>
      </c>
      <c r="IG156">
        <f>IF(ISBLANK('Data Entry'!$ı$156), "", 'Data Entry'!$ı$156)</f>
      </c>
      <c r="IH156">
        <f>IF(ISBLANK('Data Entry'!$Ĳ$156), "", 'Data Entry'!$Ĳ$156)</f>
      </c>
      <c r="II156">
        <f>IF(ISBLANK('Data Entry'!$ĳ$156), "", 'Data Entry'!$ĳ$156)</f>
      </c>
      <c r="IJ156">
        <f>IF(ISBLANK('Data Entry'!$Ĵ$156), "", 'Data Entry'!$Ĵ$156)</f>
      </c>
      <c r="IK156">
        <f>IF(ISBLANK('Data Entry'!$ĵ$156), "", 'Data Entry'!$ĵ$156)</f>
      </c>
      <c r="IL156">
        <f>IF(ISBLANK('Data Entry'!$Ķ$156), "", 'Data Entry'!$Ķ$156)</f>
      </c>
      <c r="IM156">
        <f>IF(ISBLANK('Data Entry'!$ķ$156), "", 'Data Entry'!$ķ$156)</f>
      </c>
      <c r="IN156">
        <f>IF(ISBLANK('Data Entry'!$ĸ$156), "", 'Data Entry'!$ĸ$156)</f>
      </c>
      <c r="IO156">
        <f>IF(ISBLANK('Data Entry'!$Ĺ$156), "", 'Data Entry'!$Ĺ$156)</f>
      </c>
      <c r="IP156">
        <f>IF(ISBLANK('Data Entry'!$ĺ$156), "", 'Data Entry'!$ĺ$156)</f>
      </c>
      <c r="IQ156">
        <f>IF(ISBLANK('Data Entry'!$Ļ$156), "", 'Data Entry'!$Ļ$156)</f>
      </c>
      <c r="IR156">
        <f>IF(ISBLANK('Data Entry'!$ļ$156), "", 'Data Entry'!$ļ$156)</f>
      </c>
      <c r="IS156">
        <f>IF(ISBLANK('Data Entry'!$Ľ$156), "", 'Data Entry'!$Ľ$156)</f>
      </c>
      <c r="IT156">
        <f>IF(ISBLANK('Data Entry'!$ľ$156), "", 'Data Entry'!$ľ$156)</f>
      </c>
    </row>
    <row r="157" spans="1:254" x14ac:dyDescent="0.25">
      <c r="A157">
        <f>IF(ISBLANK('Data Entry'!$A$157), "", 'Data Entry'!$A$157)</f>
      </c>
      <c r="B157">
        <f>IF(ISBLANK('Data Entry'!$B$157), "", 'Data Entry'!$B$157)</f>
      </c>
      <c r="C157">
        <f>IF(ISBLANK('Data Entry'!$C$157), "", 'Data Entry'!$C$157)</f>
      </c>
      <c r="D157">
        <f>IF(ISBLANK('Data Entry'!$D$157), "", 'Data Entry'!$D$157)</f>
      </c>
      <c r="E157">
        <f>IF(ISBLANK('Data Entry'!$E$157), "", 'Data Entry'!$E$157)</f>
      </c>
      <c r="F157">
        <f>IF(ISBLANK('Data Entry'!$F$157), "", 'Data Entry'!$F$157)</f>
      </c>
      <c r="G157">
        <f>IF(ISBLANK('Data Entry'!$G$157), "", 'Data Entry'!$G$157)</f>
      </c>
      <c r="H157">
        <f>IF(ISBLANK('Data Entry'!$H$157), "", 'Data Entry'!$H$157)</f>
      </c>
      <c r="I157">
        <f>IF(ISBLANK('Data Entry'!$I$157), "", 'Data Entry'!$I$157)</f>
      </c>
      <c r="J157">
        <f>IF(ISBLANK('Data Entry'!$J$157), "", 'Data Entry'!$J$157)</f>
      </c>
      <c r="K157">
        <f>IF(ISBLANK('Data Entry'!$K$157), "", 'Data Entry'!$K$157)</f>
      </c>
      <c r="L157">
        <f>IF(ISBLANK('Data Entry'!$L$157), "", 'Data Entry'!$L$157)</f>
      </c>
      <c r="M157">
        <f>IF(ISBLANK('Data Entry'!$M$157), "", 'Data Entry'!$M$157)</f>
      </c>
      <c r="N157">
        <f>IF(ISBLANK('Data Entry'!$N$157), "", 'Data Entry'!$N$157)</f>
      </c>
      <c r="O157">
        <f>IF(ISBLANK('Data Entry'!$O$157), "", 'Data Entry'!$O$157)</f>
      </c>
      <c r="P157">
        <f>IF(ISBLANK('Data Entry'!$P$157), "", 'Data Entry'!$P$157)</f>
      </c>
      <c r="Q157">
        <f>IF(ISBLANK('Data Entry'!$Q$157), "", 'Data Entry'!$Q$157)</f>
      </c>
      <c r="R157">
        <f>IF(ISBLANK('Data Entry'!$R$157), "", 'Data Entry'!$R$157)</f>
      </c>
      <c r="S157">
        <f>IF(ISBLANK('Data Entry'!$S$157), "", 'Data Entry'!$S$157)</f>
      </c>
      <c r="T157">
        <f>IF(ISBLANK('Data Entry'!$T$157), "", 'Data Entry'!$T$157)</f>
      </c>
      <c r="U157">
        <f>IF(ISBLANK('Data Entry'!$U$157), "", 'Data Entry'!$U$157)</f>
      </c>
      <c r="V157">
        <f>IF(ISBLANK('Data Entry'!$V$157), "", 'Data Entry'!$V$157)</f>
      </c>
      <c r="W157">
        <f>IF(ISBLANK('Data Entry'!$W$157), "", 'Data Entry'!$W$157)</f>
      </c>
      <c r="X157">
        <f>IF(ISBLANK('Data Entry'!$X$157), "", 'Data Entry'!$X$157)</f>
      </c>
      <c r="Y157">
        <f>IF(ISBLANK('Data Entry'!$Y$157), "", 'Data Entry'!$Y$157)</f>
      </c>
      <c r="Z157">
        <f>IF(ISBLANK('Data Entry'!$Z$157), "", 'Data Entry'!$Z$157)</f>
      </c>
      <c r="AA157">
        <f>IF(ISBLANK('Data Entry'!$[$157), "", 'Data Entry'!$[$157)</f>
      </c>
      <c r="AB157">
        <f>IF(ISBLANK('Data Entry'!$\$157), "", 'Data Entry'!$\$157)</f>
      </c>
      <c r="AC157">
        <f>IF(ISBLANK('Data Entry'!$]$157), "", 'Data Entry'!$]$157)</f>
      </c>
      <c r="AD157">
        <f>IF(ISBLANK('Data Entry'!$^$157), "", 'Data Entry'!$^$157)</f>
      </c>
      <c r="AE157">
        <f>IF(ISBLANK('Data Entry'!$_$157), "", 'Data Entry'!$_$157)</f>
      </c>
      <c r="AF157">
        <f>IF(ISBLANK('Data Entry'!$`$157), "", 'Data Entry'!$`$157)</f>
      </c>
      <c r="AG157">
        <f>IF(ISBLANK('Data Entry'!$a$157), "", 'Data Entry'!$a$157)</f>
      </c>
      <c r="AH157">
        <f>IF(ISBLANK('Data Entry'!$b$157), "", 'Data Entry'!$b$157)</f>
      </c>
      <c r="AI157">
        <f>IF(ISBLANK('Data Entry'!$c$157), "", 'Data Entry'!$c$157)</f>
      </c>
      <c r="AJ157">
        <f>IF(ISBLANK('Data Entry'!$d$157), "", 'Data Entry'!$d$157)</f>
      </c>
      <c r="AK157">
        <f>IF(ISBLANK('Data Entry'!$e$157), "", 'Data Entry'!$e$157)</f>
      </c>
      <c r="AL157">
        <f>IF(ISBLANK('Data Entry'!$f$157), "", 'Data Entry'!$f$157)</f>
      </c>
      <c r="AM157">
        <f>IF(ISBLANK('Data Entry'!$g$157), "", 'Data Entry'!$g$157)</f>
      </c>
      <c r="AN157">
        <f>IF(ISBLANK('Data Entry'!$h$157), "", 'Data Entry'!$h$157)</f>
      </c>
      <c r="AO157">
        <f>IF(ISBLANK('Data Entry'!$i$157), "", 'Data Entry'!$i$157)</f>
      </c>
      <c r="AP157">
        <f>IF(ISBLANK('Data Entry'!$j$157), "", 'Data Entry'!$j$157)</f>
      </c>
      <c r="AQ157">
        <f>IF(ISBLANK('Data Entry'!$k$157), "", 'Data Entry'!$k$157)</f>
      </c>
      <c r="AR157">
        <f>IF(ISBLANK('Data Entry'!$l$157), "", 'Data Entry'!$l$157)</f>
      </c>
      <c r="AS157">
        <f>IF(ISBLANK('Data Entry'!$m$157), "", 'Data Entry'!$m$157)</f>
      </c>
      <c r="AT157">
        <f>IF(ISBLANK('Data Entry'!$n$157), "", 'Data Entry'!$n$157)</f>
      </c>
      <c r="AU157">
        <f>IF(ISBLANK('Data Entry'!$o$157), "", 'Data Entry'!$o$157)</f>
      </c>
      <c r="AV157">
        <f>IF(ISBLANK('Data Entry'!$p$157), "", 'Data Entry'!$p$157)</f>
      </c>
      <c r="AW157">
        <f>IF(ISBLANK('Data Entry'!$q$157), "", 'Data Entry'!$q$157)</f>
      </c>
      <c r="AX157">
        <f>IF(ISBLANK('Data Entry'!$r$157), "", 'Data Entry'!$r$157)</f>
      </c>
      <c r="AY157">
        <f>IF(ISBLANK('Data Entry'!$s$157), "", 'Data Entry'!$s$157)</f>
      </c>
      <c r="AZ157">
        <f>IF(ISBLANK('Data Entry'!$t$157), "", 'Data Entry'!$t$157)</f>
      </c>
      <c r="BA157">
        <f>IF(ISBLANK('Data Entry'!$u$157), "", 'Data Entry'!$u$157)</f>
      </c>
      <c r="BB157">
        <f>IF(ISBLANK('Data Entry'!$v$157), "", 'Data Entry'!$v$157)</f>
      </c>
      <c r="BC157">
        <f>IF(ISBLANK('Data Entry'!$w$157), "", 'Data Entry'!$w$157)</f>
      </c>
      <c r="BD157">
        <f>IF(ISBLANK('Data Entry'!$x$157), "", 'Data Entry'!$x$157)</f>
      </c>
      <c r="BE157">
        <f>IF(ISBLANK('Data Entry'!$y$157), "", 'Data Entry'!$y$157)</f>
      </c>
      <c r="BF157">
        <f>IF(ISBLANK('Data Entry'!$z$157), "", 'Data Entry'!$z$157)</f>
      </c>
      <c r="BG157">
        <f>IF(ISBLANK('Data Entry'!${$157), "", 'Data Entry'!${$157)</f>
      </c>
      <c r="BH157">
        <f>IF(ISBLANK('Data Entry'!$|$157), "", 'Data Entry'!$|$157)</f>
      </c>
      <c r="BI157">
        <f>IF(ISBLANK('Data Entry'!$}$157), "", 'Data Entry'!$}$157)</f>
      </c>
      <c r="BJ157">
        <f>IF(ISBLANK('Data Entry'!$~$157), "", 'Data Entry'!$~$157)</f>
      </c>
      <c r="BK157">
        <f>IF(ISBLANK('Data Entry'!$$157), "", 'Data Entry'!$$157)</f>
      </c>
      <c r="BL157">
        <f>IF(ISBLANK('Data Entry'!$$157), "", 'Data Entry'!$$157)</f>
      </c>
      <c r="BM157">
        <f>IF(ISBLANK('Data Entry'!$$157), "", 'Data Entry'!$$157)</f>
      </c>
      <c r="BN157">
        <f>IF(ISBLANK('Data Entry'!$$157), "", 'Data Entry'!$$157)</f>
      </c>
      <c r="BO157">
        <f>IF(ISBLANK('Data Entry'!$$157), "", 'Data Entry'!$$157)</f>
      </c>
      <c r="BP157">
        <f>IF(ISBLANK('Data Entry'!$$157), "", 'Data Entry'!$$157)</f>
      </c>
      <c r="BQ157">
        <f>IF(ISBLANK('Data Entry'!$$157), "", 'Data Entry'!$$157)</f>
      </c>
      <c r="BR157">
        <f>IF(ISBLANK('Data Entry'!$$157), "", 'Data Entry'!$$157)</f>
      </c>
      <c r="BS157">
        <f>IF(ISBLANK('Data Entry'!$$157), "", 'Data Entry'!$$157)</f>
      </c>
      <c r="BT157">
        <f>IF(ISBLANK('Data Entry'!$$157), "", 'Data Entry'!$$157)</f>
      </c>
      <c r="BU157">
        <f>IF(ISBLANK('Data Entry'!$$157), "", 'Data Entry'!$$157)</f>
      </c>
      <c r="BV157">
        <f>IF(ISBLANK('Data Entry'!$$157), "", 'Data Entry'!$$157)</f>
      </c>
      <c r="BW157">
        <f>IF(ISBLANK('Data Entry'!$$157), "", 'Data Entry'!$$157)</f>
      </c>
      <c r="BX157">
        <f>IF(ISBLANK('Data Entry'!$$157), "", 'Data Entry'!$$157)</f>
      </c>
      <c r="BY157">
        <f>IF(ISBLANK('Data Entry'!$$157), "", 'Data Entry'!$$157)</f>
      </c>
      <c r="BZ157">
        <f>IF(ISBLANK('Data Entry'!$$157), "", 'Data Entry'!$$157)</f>
      </c>
      <c r="CA157">
        <f>IF(ISBLANK('Data Entry'!$$157), "", 'Data Entry'!$$157)</f>
      </c>
      <c r="CB157">
        <f>IF(ISBLANK('Data Entry'!$$157), "", 'Data Entry'!$$157)</f>
      </c>
      <c r="CC157">
        <f>IF(ISBLANK('Data Entry'!$$157), "", 'Data Entry'!$$157)</f>
      </c>
      <c r="CD157">
        <f>IF(ISBLANK('Data Entry'!$$157), "", 'Data Entry'!$$157)</f>
      </c>
      <c r="CE157">
        <f>IF(ISBLANK('Data Entry'!$$157), "", 'Data Entry'!$$157)</f>
      </c>
      <c r="CF157">
        <f>IF(ISBLANK('Data Entry'!$$157), "", 'Data Entry'!$$157)</f>
      </c>
      <c r="CG157">
        <f>IF(ISBLANK('Data Entry'!$$157), "", 'Data Entry'!$$157)</f>
      </c>
      <c r="CH157">
        <f>IF(ISBLANK('Data Entry'!$$157), "", 'Data Entry'!$$157)</f>
      </c>
      <c r="CI157">
        <f>IF(ISBLANK('Data Entry'!$$157), "", 'Data Entry'!$$157)</f>
      </c>
      <c r="CJ157">
        <f>IF(ISBLANK('Data Entry'!$$157), "", 'Data Entry'!$$157)</f>
      </c>
      <c r="CK157">
        <f>IF(ISBLANK('Data Entry'!$$157), "", 'Data Entry'!$$157)</f>
      </c>
      <c r="CL157">
        <f>IF(ISBLANK('Data Entry'!$$157), "", 'Data Entry'!$$157)</f>
      </c>
      <c r="CM157">
        <f>IF(ISBLANK('Data Entry'!$$157), "", 'Data Entry'!$$157)</f>
      </c>
      <c r="CN157">
        <f>IF(ISBLANK('Data Entry'!$$157), "", 'Data Entry'!$$157)</f>
      </c>
      <c r="CO157">
        <f>IF(ISBLANK('Data Entry'!$$157), "", 'Data Entry'!$$157)</f>
      </c>
      <c r="CP157">
        <f>IF(ISBLANK('Data Entry'!$$157), "", 'Data Entry'!$$157)</f>
      </c>
      <c r="CQ157">
        <f>IF(ISBLANK('Data Entry'!$$157), "", 'Data Entry'!$$157)</f>
      </c>
      <c r="CR157">
        <f>IF(ISBLANK('Data Entry'!$ $157), "", 'Data Entry'!$ $157)</f>
      </c>
      <c r="CS157">
        <f>IF(ISBLANK('Data Entry'!$¡$157), "", 'Data Entry'!$¡$157)</f>
      </c>
      <c r="CT157">
        <f>IF(ISBLANK('Data Entry'!$¢$157), "", 'Data Entry'!$¢$157)</f>
      </c>
      <c r="CU157">
        <f>IF(ISBLANK('Data Entry'!$£$157), "", 'Data Entry'!$£$157)</f>
      </c>
      <c r="CV157">
        <f>IF(ISBLANK('Data Entry'!$¤$157), "", 'Data Entry'!$¤$157)</f>
      </c>
      <c r="CW157">
        <f>IF(ISBLANK('Data Entry'!$¥$157), "", 'Data Entry'!$¥$157)</f>
      </c>
      <c r="CX157">
        <f>IF(ISBLANK('Data Entry'!$¦$157), "", 'Data Entry'!$¦$157)</f>
      </c>
      <c r="CY157">
        <f>IF(ISBLANK('Data Entry'!$§$157), "", 'Data Entry'!$§$157)</f>
      </c>
      <c r="CZ157">
        <f>IF(ISBLANK('Data Entry'!$¨$157), "", 'Data Entry'!$¨$157)</f>
      </c>
      <c r="DA157">
        <f>IF(ISBLANK('Data Entry'!$©$157), "", 'Data Entry'!$©$157)</f>
      </c>
      <c r="DB157">
        <f>IF(ISBLANK('Data Entry'!$ª$157), "", 'Data Entry'!$ª$157)</f>
      </c>
      <c r="DC157">
        <f>IF(ISBLANK('Data Entry'!$«$157), "", 'Data Entry'!$«$157)</f>
      </c>
      <c r="DD157">
        <f>IF(ISBLANK('Data Entry'!$¬$157), "", 'Data Entry'!$¬$157)</f>
      </c>
      <c r="DE157">
        <f>IF(ISBLANK('Data Entry'!$­$157), "", 'Data Entry'!$­$157)</f>
      </c>
      <c r="DF157">
        <f>IF(ISBLANK('Data Entry'!$®$157), "", 'Data Entry'!$®$157)</f>
      </c>
      <c r="DG157">
        <f>IF(ISBLANK('Data Entry'!$¯$157), "", 'Data Entry'!$¯$157)</f>
      </c>
      <c r="DH157">
        <f>IF(ISBLANK('Data Entry'!$°$157), "", 'Data Entry'!$°$157)</f>
      </c>
      <c r="DI157">
        <f>IF(ISBLANK('Data Entry'!$±$157), "", 'Data Entry'!$±$157)</f>
      </c>
      <c r="DJ157">
        <f>IF(ISBLANK('Data Entry'!$²$157), "", 'Data Entry'!$²$157)</f>
      </c>
      <c r="DK157">
        <f>IF(ISBLANK('Data Entry'!$³$157), "", 'Data Entry'!$³$157)</f>
      </c>
      <c r="DL157">
        <f>IF(ISBLANK('Data Entry'!$´$157), "", 'Data Entry'!$´$157)</f>
      </c>
      <c r="DM157">
        <f>IF(ISBLANK('Data Entry'!$µ$157), "", 'Data Entry'!$µ$157)</f>
      </c>
      <c r="DN157">
        <f>IF(ISBLANK('Data Entry'!$¶$157), "", 'Data Entry'!$¶$157)</f>
      </c>
      <c r="DO157">
        <f>IF(ISBLANK('Data Entry'!$·$157), "", 'Data Entry'!$·$157)</f>
      </c>
      <c r="DP157">
        <f>IF(ISBLANK('Data Entry'!$¸$157), "", 'Data Entry'!$¸$157)</f>
      </c>
      <c r="DQ157">
        <f>IF(ISBLANK('Data Entry'!$¹$157), "", 'Data Entry'!$¹$157)</f>
      </c>
      <c r="DR157">
        <f>IF(ISBLANK('Data Entry'!$º$157), "", 'Data Entry'!$º$157)</f>
      </c>
      <c r="DS157">
        <f>IF(ISBLANK('Data Entry'!$»$157), "", 'Data Entry'!$»$157)</f>
      </c>
      <c r="DT157">
        <f>IF(ISBLANK('Data Entry'!$¼$157), "", 'Data Entry'!$¼$157)</f>
      </c>
      <c r="DU157">
        <f>IF(ISBLANK('Data Entry'!$½$157), "", 'Data Entry'!$½$157)</f>
      </c>
      <c r="DV157">
        <f>IF(ISBLANK('Data Entry'!$¾$157), "", 'Data Entry'!$¾$157)</f>
      </c>
      <c r="DW157">
        <f>IF(ISBLANK('Data Entry'!$¿$157), "", 'Data Entry'!$¿$157)</f>
      </c>
      <c r="DX157">
        <f>IF(ISBLANK('Data Entry'!$À$157), "", 'Data Entry'!$À$157)</f>
      </c>
      <c r="DY157">
        <f>IF(ISBLANK('Data Entry'!$Á$157), "", 'Data Entry'!$Á$157)</f>
      </c>
      <c r="DZ157">
        <f>IF(ISBLANK('Data Entry'!$Â$157), "", 'Data Entry'!$Â$157)</f>
      </c>
      <c r="EA157">
        <f>IF(ISBLANK('Data Entry'!$Ã$157), "", 'Data Entry'!$Ã$157)</f>
      </c>
      <c r="EB157">
        <f>IF(ISBLANK('Data Entry'!$Ä$157), "", 'Data Entry'!$Ä$157)</f>
      </c>
      <c r="EC157">
        <f>IF(ISBLANK('Data Entry'!$Å$157), "", 'Data Entry'!$Å$157)</f>
      </c>
      <c r="ED157">
        <f>IF(ISBLANK('Data Entry'!$Æ$157), "", 'Data Entry'!$Æ$157)</f>
      </c>
      <c r="EE157">
        <f>IF(ISBLANK('Data Entry'!$Ç$157), "", 'Data Entry'!$Ç$157)</f>
      </c>
      <c r="EF157">
        <f>IF(ISBLANK('Data Entry'!$È$157), "", 'Data Entry'!$È$157)</f>
      </c>
      <c r="EG157">
        <f>IF(ISBLANK('Data Entry'!$É$157), "", 'Data Entry'!$É$157)</f>
      </c>
      <c r="EH157">
        <f>IF(ISBLANK('Data Entry'!$Ê$157), "", 'Data Entry'!$Ê$157)</f>
      </c>
      <c r="EI157">
        <f>IF(ISBLANK('Data Entry'!$Ë$157), "", 'Data Entry'!$Ë$157)</f>
      </c>
      <c r="EJ157">
        <f>IF(ISBLANK('Data Entry'!$Ì$157), "", 'Data Entry'!$Ì$157)</f>
      </c>
      <c r="EK157">
        <f>IF(ISBLANK('Data Entry'!$Í$157), "", 'Data Entry'!$Í$157)</f>
      </c>
      <c r="EL157">
        <f>IF(ISBLANK('Data Entry'!$Î$157), "", 'Data Entry'!$Î$157)</f>
      </c>
      <c r="EM157">
        <f>IF(ISBLANK('Data Entry'!$Ï$157), "", 'Data Entry'!$Ï$157)</f>
      </c>
      <c r="EN157">
        <f>IF(ISBLANK('Data Entry'!$Ð$157), "", 'Data Entry'!$Ð$157)</f>
      </c>
      <c r="EO157">
        <f>IF(ISBLANK('Data Entry'!$Ñ$157), "", 'Data Entry'!$Ñ$157)</f>
      </c>
      <c r="EP157">
        <f>IF(ISBLANK('Data Entry'!$Ò$157), "", 'Data Entry'!$Ò$157)</f>
      </c>
      <c r="EQ157">
        <f>IF(ISBLANK('Data Entry'!$Ó$157), "", 'Data Entry'!$Ó$157)</f>
      </c>
      <c r="ER157">
        <f>IF(ISBLANK('Data Entry'!$Ô$157), "", 'Data Entry'!$Ô$157)</f>
      </c>
      <c r="ES157">
        <f>IF(ISBLANK('Data Entry'!$Õ$157), "", 'Data Entry'!$Õ$157)</f>
      </c>
      <c r="ET157">
        <f>IF(ISBLANK('Data Entry'!$Ö$157), "", 'Data Entry'!$Ö$157)</f>
      </c>
      <c r="EU157">
        <f>IF(ISBLANK('Data Entry'!$×$157), "", 'Data Entry'!$×$157)</f>
      </c>
      <c r="EV157">
        <f>IF(ISBLANK('Data Entry'!$Ø$157), "", 'Data Entry'!$Ø$157)</f>
      </c>
      <c r="EW157">
        <f>IF(ISBLANK('Data Entry'!$Ù$157), "", 'Data Entry'!$Ù$157)</f>
      </c>
      <c r="EX157">
        <f>IF(ISBLANK('Data Entry'!$Ú$157), "", 'Data Entry'!$Ú$157)</f>
      </c>
      <c r="EY157">
        <f>IF(ISBLANK('Data Entry'!$Û$157), "", 'Data Entry'!$Û$157)</f>
      </c>
      <c r="EZ157">
        <f>IF(ISBLANK('Data Entry'!$Ü$157), "", 'Data Entry'!$Ü$157)</f>
      </c>
      <c r="FA157">
        <f>IF(ISBLANK('Data Entry'!$Ý$157), "", 'Data Entry'!$Ý$157)</f>
      </c>
      <c r="FB157">
        <f>IF(ISBLANK('Data Entry'!$Þ$157), "", 'Data Entry'!$Þ$157)</f>
      </c>
      <c r="FC157">
        <f>IF(ISBLANK('Data Entry'!$ß$157), "", 'Data Entry'!$ß$157)</f>
      </c>
      <c r="FD157">
        <f>IF(ISBLANK('Data Entry'!$à$157), "", 'Data Entry'!$à$157)</f>
      </c>
      <c r="FE157">
        <f>IF(ISBLANK('Data Entry'!$á$157), "", 'Data Entry'!$á$157)</f>
      </c>
      <c r="FF157">
        <f>IF(ISBLANK('Data Entry'!$â$157), "", 'Data Entry'!$â$157)</f>
      </c>
      <c r="FG157">
        <f>IF(ISBLANK('Data Entry'!$ã$157), "", 'Data Entry'!$ã$157)</f>
      </c>
      <c r="FH157">
        <f>IF(ISBLANK('Data Entry'!$ä$157), "", 'Data Entry'!$ä$157)</f>
      </c>
      <c r="FI157">
        <f>IF(ISBLANK('Data Entry'!$å$157), "", 'Data Entry'!$å$157)</f>
      </c>
      <c r="FJ157">
        <f>IF(ISBLANK('Data Entry'!$æ$157), "", 'Data Entry'!$æ$157)</f>
      </c>
      <c r="FK157">
        <f>IF(ISBLANK('Data Entry'!$ç$157), "", 'Data Entry'!$ç$157)</f>
      </c>
      <c r="FL157">
        <f>IF(ISBLANK('Data Entry'!$è$157), "", 'Data Entry'!$è$157)</f>
      </c>
      <c r="FM157">
        <f>IF(ISBLANK('Data Entry'!$é$157), "", 'Data Entry'!$é$157)</f>
      </c>
      <c r="FN157">
        <f>IF(ISBLANK('Data Entry'!$ê$157), "", 'Data Entry'!$ê$157)</f>
      </c>
      <c r="FO157">
        <f>IF(ISBLANK('Data Entry'!$ë$157), "", 'Data Entry'!$ë$157)</f>
      </c>
      <c r="FP157">
        <f>IF(ISBLANK('Data Entry'!$ì$157), "", 'Data Entry'!$ì$157)</f>
      </c>
      <c r="FQ157">
        <f>IF(ISBLANK('Data Entry'!$í$157), "", 'Data Entry'!$í$157)</f>
      </c>
      <c r="FR157">
        <f>IF(ISBLANK('Data Entry'!$î$157), "", 'Data Entry'!$î$157)</f>
      </c>
      <c r="FS157">
        <f>IF(ISBLANK('Data Entry'!$ï$157), "", 'Data Entry'!$ï$157)</f>
      </c>
      <c r="FT157">
        <f>IF(ISBLANK('Data Entry'!$ð$157), "", 'Data Entry'!$ð$157)</f>
      </c>
      <c r="FU157">
        <f>IF(ISBLANK('Data Entry'!$ñ$157), "", 'Data Entry'!$ñ$157)</f>
      </c>
      <c r="FV157">
        <f>IF(ISBLANK('Data Entry'!$ò$157), "", 'Data Entry'!$ò$157)</f>
      </c>
      <c r="FW157">
        <f>IF(ISBLANK('Data Entry'!$ó$157), "", 'Data Entry'!$ó$157)</f>
      </c>
      <c r="FX157">
        <f>IF(ISBLANK('Data Entry'!$ô$157), "", 'Data Entry'!$ô$157)</f>
      </c>
      <c r="FY157">
        <f>IF(ISBLANK('Data Entry'!$õ$157), "", 'Data Entry'!$õ$157)</f>
      </c>
      <c r="FZ157">
        <f>IF(ISBLANK('Data Entry'!$ö$157), "", 'Data Entry'!$ö$157)</f>
      </c>
      <c r="GA157">
        <f>IF(ISBLANK('Data Entry'!$÷$157), "", 'Data Entry'!$÷$157)</f>
      </c>
      <c r="GB157">
        <f>IF(ISBLANK('Data Entry'!$ø$157), "", 'Data Entry'!$ø$157)</f>
      </c>
      <c r="GC157">
        <f>IF(ISBLANK('Data Entry'!$ù$157), "", 'Data Entry'!$ù$157)</f>
      </c>
      <c r="GD157">
        <f>IF(ISBLANK('Data Entry'!$ú$157), "", 'Data Entry'!$ú$157)</f>
      </c>
      <c r="GE157">
        <f>IF(ISBLANK('Data Entry'!$û$157), "", 'Data Entry'!$û$157)</f>
      </c>
      <c r="GF157">
        <f>IF(ISBLANK('Data Entry'!$ü$157), "", 'Data Entry'!$ü$157)</f>
      </c>
      <c r="GG157">
        <f>IF(ISBLANK('Data Entry'!$ý$157), "", 'Data Entry'!$ý$157)</f>
      </c>
      <c r="GH157">
        <f>IF(ISBLANK('Data Entry'!$þ$157), "", 'Data Entry'!$þ$157)</f>
      </c>
      <c r="GI157">
        <f>IF(ISBLANK('Data Entry'!$ÿ$157), "", 'Data Entry'!$ÿ$157)</f>
      </c>
      <c r="GJ157">
        <f>IF(ISBLANK('Data Entry'!$Ā$157), "", 'Data Entry'!$Ā$157)</f>
      </c>
      <c r="GK157">
        <f>IF(ISBLANK('Data Entry'!$ā$157), "", 'Data Entry'!$ā$157)</f>
      </c>
      <c r="GL157">
        <f>IF(ISBLANK('Data Entry'!$Ă$157), "", 'Data Entry'!$Ă$157)</f>
      </c>
      <c r="GM157">
        <f>IF(ISBLANK('Data Entry'!$ă$157), "", 'Data Entry'!$ă$157)</f>
      </c>
      <c r="GN157">
        <f>IF(ISBLANK('Data Entry'!$Ą$157), "", 'Data Entry'!$Ą$157)</f>
      </c>
      <c r="GO157">
        <f>IF(ISBLANK('Data Entry'!$ą$157), "", 'Data Entry'!$ą$157)</f>
      </c>
      <c r="GP157">
        <f>IF(ISBLANK('Data Entry'!$Ć$157), "", 'Data Entry'!$Ć$157)</f>
      </c>
      <c r="GQ157">
        <f>IF(ISBLANK('Data Entry'!$ć$157), "", 'Data Entry'!$ć$157)</f>
      </c>
      <c r="GR157">
        <f>IF(ISBLANK('Data Entry'!$Ĉ$157), "", 'Data Entry'!$Ĉ$157)</f>
      </c>
      <c r="GS157">
        <f>IF(ISBLANK('Data Entry'!$ĉ$157), "", 'Data Entry'!$ĉ$157)</f>
      </c>
      <c r="GT157">
        <f>IF(ISBLANK('Data Entry'!$Ċ$157), "", 'Data Entry'!$Ċ$157)</f>
      </c>
      <c r="GU157">
        <f>IF(ISBLANK('Data Entry'!$ċ$157), "", 'Data Entry'!$ċ$157)</f>
      </c>
      <c r="GV157">
        <f>IF(ISBLANK('Data Entry'!$Č$157), "", 'Data Entry'!$Č$157)</f>
      </c>
      <c r="GW157">
        <f>IF(ISBLANK('Data Entry'!$č$157), "", 'Data Entry'!$č$157)</f>
      </c>
      <c r="GX157">
        <f>IF(ISBLANK('Data Entry'!$Ď$157), "", 'Data Entry'!$Ď$157)</f>
      </c>
      <c r="GY157">
        <f>IF(ISBLANK('Data Entry'!$ď$157), "", 'Data Entry'!$ď$157)</f>
      </c>
      <c r="GZ157">
        <f>IF(ISBLANK('Data Entry'!$Đ$157), "", 'Data Entry'!$Đ$157)</f>
      </c>
      <c r="HA157">
        <f>IF(ISBLANK('Data Entry'!$đ$157), "", 'Data Entry'!$đ$157)</f>
      </c>
      <c r="HB157">
        <f>IF(ISBLANK('Data Entry'!$Ē$157), "", 'Data Entry'!$Ē$157)</f>
      </c>
      <c r="HC157">
        <f>IF(ISBLANK('Data Entry'!$ē$157), "", 'Data Entry'!$ē$157)</f>
      </c>
      <c r="HD157">
        <f>IF(ISBLANK('Data Entry'!$Ĕ$157), "", 'Data Entry'!$Ĕ$157)</f>
      </c>
      <c r="HE157">
        <f>IF(ISBLANK('Data Entry'!$ĕ$157), "", 'Data Entry'!$ĕ$157)</f>
      </c>
      <c r="HF157">
        <f>IF(ISBLANK('Data Entry'!$Ė$157), "", 'Data Entry'!$Ė$157)</f>
      </c>
      <c r="HG157">
        <f>IF(ISBLANK('Data Entry'!$ė$157), "", 'Data Entry'!$ė$157)</f>
      </c>
      <c r="HH157">
        <f>IF(ISBLANK('Data Entry'!$Ę$157), "", 'Data Entry'!$Ę$157)</f>
      </c>
      <c r="HI157">
        <f>IF(ISBLANK('Data Entry'!$ę$157), "", 'Data Entry'!$ę$157)</f>
      </c>
      <c r="HJ157">
        <f>IF(ISBLANK('Data Entry'!$Ě$157), "", 'Data Entry'!$Ě$157)</f>
      </c>
      <c r="HK157">
        <f>IF(ISBLANK('Data Entry'!$ě$157), "", 'Data Entry'!$ě$157)</f>
      </c>
      <c r="HL157">
        <f>IF(ISBLANK('Data Entry'!$Ĝ$157), "", 'Data Entry'!$Ĝ$157)</f>
      </c>
      <c r="HM157">
        <f>IF(ISBLANK('Data Entry'!$ĝ$157), "", 'Data Entry'!$ĝ$157)</f>
      </c>
      <c r="HN157">
        <f>IF(ISBLANK('Data Entry'!$Ğ$157), "", 'Data Entry'!$Ğ$157)</f>
      </c>
      <c r="HO157">
        <f>IF(ISBLANK('Data Entry'!$ğ$157), "", 'Data Entry'!$ğ$157)</f>
      </c>
      <c r="HP157">
        <f>IF(ISBLANK('Data Entry'!$Ġ$157), "", 'Data Entry'!$Ġ$157)</f>
      </c>
      <c r="HQ157">
        <f>IF(ISBLANK('Data Entry'!$ġ$157), "", 'Data Entry'!$ġ$157)</f>
      </c>
      <c r="HR157">
        <f>IF(ISBLANK('Data Entry'!$Ģ$157), "", 'Data Entry'!$Ģ$157)</f>
      </c>
      <c r="HS157">
        <f>IF(ISBLANK('Data Entry'!$ģ$157), "", 'Data Entry'!$ģ$157)</f>
      </c>
      <c r="HT157">
        <f>IF(ISBLANK('Data Entry'!$Ĥ$157), "", 'Data Entry'!$Ĥ$157)</f>
      </c>
      <c r="HU157">
        <f>IF(ISBLANK('Data Entry'!$ĥ$157), "", 'Data Entry'!$ĥ$157)</f>
      </c>
      <c r="HV157">
        <f>IF(ISBLANK('Data Entry'!$Ħ$157), "", 'Data Entry'!$Ħ$157)</f>
      </c>
      <c r="HW157">
        <f>IF(ISBLANK('Data Entry'!$ħ$157), "", 'Data Entry'!$ħ$157)</f>
      </c>
      <c r="HX157">
        <f>IF(ISBLANK('Data Entry'!$Ĩ$157), "", 'Data Entry'!$Ĩ$157)</f>
      </c>
      <c r="HY157">
        <f>IF(ISBLANK('Data Entry'!$ĩ$157), "", 'Data Entry'!$ĩ$157)</f>
      </c>
      <c r="HZ157">
        <f>IF(ISBLANK('Data Entry'!$Ī$157), "", 'Data Entry'!$Ī$157)</f>
      </c>
      <c r="IA157">
        <f>IF(ISBLANK('Data Entry'!$ī$157), "", 'Data Entry'!$ī$157)</f>
      </c>
      <c r="IB157">
        <f>IF(ISBLANK('Data Entry'!$Ĭ$157), "", 'Data Entry'!$Ĭ$157)</f>
      </c>
      <c r="IC157">
        <f>IF(ISBLANK('Data Entry'!$ĭ$157), "", 'Data Entry'!$ĭ$157)</f>
      </c>
      <c r="ID157">
        <f>IF(ISBLANK('Data Entry'!$Į$157), "", 'Data Entry'!$Į$157)</f>
      </c>
      <c r="IE157">
        <f>IF(ISBLANK('Data Entry'!$į$157), "", 'Data Entry'!$į$157)</f>
      </c>
      <c r="IF157">
        <f>IF(ISBLANK('Data Entry'!$İ$157), "", 'Data Entry'!$İ$157)</f>
      </c>
      <c r="IG157">
        <f>IF(ISBLANK('Data Entry'!$ı$157), "", 'Data Entry'!$ı$157)</f>
      </c>
      <c r="IH157">
        <f>IF(ISBLANK('Data Entry'!$Ĳ$157), "", 'Data Entry'!$Ĳ$157)</f>
      </c>
      <c r="II157">
        <f>IF(ISBLANK('Data Entry'!$ĳ$157), "", 'Data Entry'!$ĳ$157)</f>
      </c>
      <c r="IJ157">
        <f>IF(ISBLANK('Data Entry'!$Ĵ$157), "", 'Data Entry'!$Ĵ$157)</f>
      </c>
      <c r="IK157">
        <f>IF(ISBLANK('Data Entry'!$ĵ$157), "", 'Data Entry'!$ĵ$157)</f>
      </c>
      <c r="IL157">
        <f>IF(ISBLANK('Data Entry'!$Ķ$157), "", 'Data Entry'!$Ķ$157)</f>
      </c>
      <c r="IM157">
        <f>IF(ISBLANK('Data Entry'!$ķ$157), "", 'Data Entry'!$ķ$157)</f>
      </c>
      <c r="IN157">
        <f>IF(ISBLANK('Data Entry'!$ĸ$157), "", 'Data Entry'!$ĸ$157)</f>
      </c>
      <c r="IO157">
        <f>IF(ISBLANK('Data Entry'!$Ĺ$157), "", 'Data Entry'!$Ĺ$157)</f>
      </c>
      <c r="IP157">
        <f>IF(ISBLANK('Data Entry'!$ĺ$157), "", 'Data Entry'!$ĺ$157)</f>
      </c>
      <c r="IQ157">
        <f>IF(ISBLANK('Data Entry'!$Ļ$157), "", 'Data Entry'!$Ļ$157)</f>
      </c>
      <c r="IR157">
        <f>IF(ISBLANK('Data Entry'!$ļ$157), "", 'Data Entry'!$ļ$157)</f>
      </c>
      <c r="IS157">
        <f>IF(ISBLANK('Data Entry'!$Ľ$157), "", 'Data Entry'!$Ľ$157)</f>
      </c>
      <c r="IT157">
        <f>IF(ISBLANK('Data Entry'!$ľ$157), "", 'Data Entry'!$ľ$157)</f>
      </c>
    </row>
    <row r="158" spans="1:254" x14ac:dyDescent="0.25">
      <c r="A158">
        <f>IF(ISBLANK('Data Entry'!$A$158), "", 'Data Entry'!$A$158)</f>
      </c>
      <c r="B158">
        <f>IF(ISBLANK('Data Entry'!$B$158), "", 'Data Entry'!$B$158)</f>
      </c>
      <c r="C158">
        <f>IF(ISBLANK('Data Entry'!$C$158), "", 'Data Entry'!$C$158)</f>
      </c>
      <c r="D158">
        <f>IF(ISBLANK('Data Entry'!$D$158), "", 'Data Entry'!$D$158)</f>
      </c>
      <c r="E158">
        <f>IF(ISBLANK('Data Entry'!$E$158), "", 'Data Entry'!$E$158)</f>
      </c>
      <c r="F158">
        <f>IF(ISBLANK('Data Entry'!$F$158), "", 'Data Entry'!$F$158)</f>
      </c>
      <c r="G158">
        <f>IF(ISBLANK('Data Entry'!$G$158), "", 'Data Entry'!$G$158)</f>
      </c>
      <c r="H158">
        <f>IF(ISBLANK('Data Entry'!$H$158), "", 'Data Entry'!$H$158)</f>
      </c>
      <c r="I158">
        <f>IF(ISBLANK('Data Entry'!$I$158), "", 'Data Entry'!$I$158)</f>
      </c>
      <c r="J158">
        <f>IF(ISBLANK('Data Entry'!$J$158), "", 'Data Entry'!$J$158)</f>
      </c>
      <c r="K158">
        <f>IF(ISBLANK('Data Entry'!$K$158), "", 'Data Entry'!$K$158)</f>
      </c>
      <c r="L158">
        <f>IF(ISBLANK('Data Entry'!$L$158), "", 'Data Entry'!$L$158)</f>
      </c>
      <c r="M158">
        <f>IF(ISBLANK('Data Entry'!$M$158), "", 'Data Entry'!$M$158)</f>
      </c>
      <c r="N158">
        <f>IF(ISBLANK('Data Entry'!$N$158), "", 'Data Entry'!$N$158)</f>
      </c>
      <c r="O158">
        <f>IF(ISBLANK('Data Entry'!$O$158), "", 'Data Entry'!$O$158)</f>
      </c>
      <c r="P158">
        <f>IF(ISBLANK('Data Entry'!$P$158), "", 'Data Entry'!$P$158)</f>
      </c>
      <c r="Q158">
        <f>IF(ISBLANK('Data Entry'!$Q$158), "", 'Data Entry'!$Q$158)</f>
      </c>
      <c r="R158">
        <f>IF(ISBLANK('Data Entry'!$R$158), "", 'Data Entry'!$R$158)</f>
      </c>
      <c r="S158">
        <f>IF(ISBLANK('Data Entry'!$S$158), "", 'Data Entry'!$S$158)</f>
      </c>
      <c r="T158">
        <f>IF(ISBLANK('Data Entry'!$T$158), "", 'Data Entry'!$T$158)</f>
      </c>
      <c r="U158">
        <f>IF(ISBLANK('Data Entry'!$U$158), "", 'Data Entry'!$U$158)</f>
      </c>
      <c r="V158">
        <f>IF(ISBLANK('Data Entry'!$V$158), "", 'Data Entry'!$V$158)</f>
      </c>
      <c r="W158">
        <f>IF(ISBLANK('Data Entry'!$W$158), "", 'Data Entry'!$W$158)</f>
      </c>
      <c r="X158">
        <f>IF(ISBLANK('Data Entry'!$X$158), "", 'Data Entry'!$X$158)</f>
      </c>
      <c r="Y158">
        <f>IF(ISBLANK('Data Entry'!$Y$158), "", 'Data Entry'!$Y$158)</f>
      </c>
      <c r="Z158">
        <f>IF(ISBLANK('Data Entry'!$Z$158), "", 'Data Entry'!$Z$158)</f>
      </c>
      <c r="AA158">
        <f>IF(ISBLANK('Data Entry'!$[$158), "", 'Data Entry'!$[$158)</f>
      </c>
      <c r="AB158">
        <f>IF(ISBLANK('Data Entry'!$\$158), "", 'Data Entry'!$\$158)</f>
      </c>
      <c r="AC158">
        <f>IF(ISBLANK('Data Entry'!$]$158), "", 'Data Entry'!$]$158)</f>
      </c>
      <c r="AD158">
        <f>IF(ISBLANK('Data Entry'!$^$158), "", 'Data Entry'!$^$158)</f>
      </c>
      <c r="AE158">
        <f>IF(ISBLANK('Data Entry'!$_$158), "", 'Data Entry'!$_$158)</f>
      </c>
      <c r="AF158">
        <f>IF(ISBLANK('Data Entry'!$`$158), "", 'Data Entry'!$`$158)</f>
      </c>
      <c r="AG158">
        <f>IF(ISBLANK('Data Entry'!$a$158), "", 'Data Entry'!$a$158)</f>
      </c>
      <c r="AH158">
        <f>IF(ISBLANK('Data Entry'!$b$158), "", 'Data Entry'!$b$158)</f>
      </c>
      <c r="AI158">
        <f>IF(ISBLANK('Data Entry'!$c$158), "", 'Data Entry'!$c$158)</f>
      </c>
      <c r="AJ158">
        <f>IF(ISBLANK('Data Entry'!$d$158), "", 'Data Entry'!$d$158)</f>
      </c>
      <c r="AK158">
        <f>IF(ISBLANK('Data Entry'!$e$158), "", 'Data Entry'!$e$158)</f>
      </c>
      <c r="AL158">
        <f>IF(ISBLANK('Data Entry'!$f$158), "", 'Data Entry'!$f$158)</f>
      </c>
      <c r="AM158">
        <f>IF(ISBLANK('Data Entry'!$g$158), "", 'Data Entry'!$g$158)</f>
      </c>
      <c r="AN158">
        <f>IF(ISBLANK('Data Entry'!$h$158), "", 'Data Entry'!$h$158)</f>
      </c>
      <c r="AO158">
        <f>IF(ISBLANK('Data Entry'!$i$158), "", 'Data Entry'!$i$158)</f>
      </c>
      <c r="AP158">
        <f>IF(ISBLANK('Data Entry'!$j$158), "", 'Data Entry'!$j$158)</f>
      </c>
      <c r="AQ158">
        <f>IF(ISBLANK('Data Entry'!$k$158), "", 'Data Entry'!$k$158)</f>
      </c>
      <c r="AR158">
        <f>IF(ISBLANK('Data Entry'!$l$158), "", 'Data Entry'!$l$158)</f>
      </c>
      <c r="AS158">
        <f>IF(ISBLANK('Data Entry'!$m$158), "", 'Data Entry'!$m$158)</f>
      </c>
      <c r="AT158">
        <f>IF(ISBLANK('Data Entry'!$n$158), "", 'Data Entry'!$n$158)</f>
      </c>
      <c r="AU158">
        <f>IF(ISBLANK('Data Entry'!$o$158), "", 'Data Entry'!$o$158)</f>
      </c>
      <c r="AV158">
        <f>IF(ISBLANK('Data Entry'!$p$158), "", 'Data Entry'!$p$158)</f>
      </c>
      <c r="AW158">
        <f>IF(ISBLANK('Data Entry'!$q$158), "", 'Data Entry'!$q$158)</f>
      </c>
      <c r="AX158">
        <f>IF(ISBLANK('Data Entry'!$r$158), "", 'Data Entry'!$r$158)</f>
      </c>
      <c r="AY158">
        <f>IF(ISBLANK('Data Entry'!$s$158), "", 'Data Entry'!$s$158)</f>
      </c>
      <c r="AZ158">
        <f>IF(ISBLANK('Data Entry'!$t$158), "", 'Data Entry'!$t$158)</f>
      </c>
      <c r="BA158">
        <f>IF(ISBLANK('Data Entry'!$u$158), "", 'Data Entry'!$u$158)</f>
      </c>
      <c r="BB158">
        <f>IF(ISBLANK('Data Entry'!$v$158), "", 'Data Entry'!$v$158)</f>
      </c>
      <c r="BC158">
        <f>IF(ISBLANK('Data Entry'!$w$158), "", 'Data Entry'!$w$158)</f>
      </c>
      <c r="BD158">
        <f>IF(ISBLANK('Data Entry'!$x$158), "", 'Data Entry'!$x$158)</f>
      </c>
      <c r="BE158">
        <f>IF(ISBLANK('Data Entry'!$y$158), "", 'Data Entry'!$y$158)</f>
      </c>
      <c r="BF158">
        <f>IF(ISBLANK('Data Entry'!$z$158), "", 'Data Entry'!$z$158)</f>
      </c>
      <c r="BG158">
        <f>IF(ISBLANK('Data Entry'!${$158), "", 'Data Entry'!${$158)</f>
      </c>
      <c r="BH158">
        <f>IF(ISBLANK('Data Entry'!$|$158), "", 'Data Entry'!$|$158)</f>
      </c>
      <c r="BI158">
        <f>IF(ISBLANK('Data Entry'!$}$158), "", 'Data Entry'!$}$158)</f>
      </c>
      <c r="BJ158">
        <f>IF(ISBLANK('Data Entry'!$~$158), "", 'Data Entry'!$~$158)</f>
      </c>
      <c r="BK158">
        <f>IF(ISBLANK('Data Entry'!$$158), "", 'Data Entry'!$$158)</f>
      </c>
      <c r="BL158">
        <f>IF(ISBLANK('Data Entry'!$$158), "", 'Data Entry'!$$158)</f>
      </c>
      <c r="BM158">
        <f>IF(ISBLANK('Data Entry'!$$158), "", 'Data Entry'!$$158)</f>
      </c>
      <c r="BN158">
        <f>IF(ISBLANK('Data Entry'!$$158), "", 'Data Entry'!$$158)</f>
      </c>
      <c r="BO158">
        <f>IF(ISBLANK('Data Entry'!$$158), "", 'Data Entry'!$$158)</f>
      </c>
      <c r="BP158">
        <f>IF(ISBLANK('Data Entry'!$$158), "", 'Data Entry'!$$158)</f>
      </c>
      <c r="BQ158">
        <f>IF(ISBLANK('Data Entry'!$$158), "", 'Data Entry'!$$158)</f>
      </c>
      <c r="BR158">
        <f>IF(ISBLANK('Data Entry'!$$158), "", 'Data Entry'!$$158)</f>
      </c>
      <c r="BS158">
        <f>IF(ISBLANK('Data Entry'!$$158), "", 'Data Entry'!$$158)</f>
      </c>
      <c r="BT158">
        <f>IF(ISBLANK('Data Entry'!$$158), "", 'Data Entry'!$$158)</f>
      </c>
      <c r="BU158">
        <f>IF(ISBLANK('Data Entry'!$$158), "", 'Data Entry'!$$158)</f>
      </c>
      <c r="BV158">
        <f>IF(ISBLANK('Data Entry'!$$158), "", 'Data Entry'!$$158)</f>
      </c>
      <c r="BW158">
        <f>IF(ISBLANK('Data Entry'!$$158), "", 'Data Entry'!$$158)</f>
      </c>
      <c r="BX158">
        <f>IF(ISBLANK('Data Entry'!$$158), "", 'Data Entry'!$$158)</f>
      </c>
      <c r="BY158">
        <f>IF(ISBLANK('Data Entry'!$$158), "", 'Data Entry'!$$158)</f>
      </c>
      <c r="BZ158">
        <f>IF(ISBLANK('Data Entry'!$$158), "", 'Data Entry'!$$158)</f>
      </c>
      <c r="CA158">
        <f>IF(ISBLANK('Data Entry'!$$158), "", 'Data Entry'!$$158)</f>
      </c>
      <c r="CB158">
        <f>IF(ISBLANK('Data Entry'!$$158), "", 'Data Entry'!$$158)</f>
      </c>
      <c r="CC158">
        <f>IF(ISBLANK('Data Entry'!$$158), "", 'Data Entry'!$$158)</f>
      </c>
      <c r="CD158">
        <f>IF(ISBLANK('Data Entry'!$$158), "", 'Data Entry'!$$158)</f>
      </c>
      <c r="CE158">
        <f>IF(ISBLANK('Data Entry'!$$158), "", 'Data Entry'!$$158)</f>
      </c>
      <c r="CF158">
        <f>IF(ISBLANK('Data Entry'!$$158), "", 'Data Entry'!$$158)</f>
      </c>
      <c r="CG158">
        <f>IF(ISBLANK('Data Entry'!$$158), "", 'Data Entry'!$$158)</f>
      </c>
      <c r="CH158">
        <f>IF(ISBLANK('Data Entry'!$$158), "", 'Data Entry'!$$158)</f>
      </c>
      <c r="CI158">
        <f>IF(ISBLANK('Data Entry'!$$158), "", 'Data Entry'!$$158)</f>
      </c>
      <c r="CJ158">
        <f>IF(ISBLANK('Data Entry'!$$158), "", 'Data Entry'!$$158)</f>
      </c>
      <c r="CK158">
        <f>IF(ISBLANK('Data Entry'!$$158), "", 'Data Entry'!$$158)</f>
      </c>
      <c r="CL158">
        <f>IF(ISBLANK('Data Entry'!$$158), "", 'Data Entry'!$$158)</f>
      </c>
      <c r="CM158">
        <f>IF(ISBLANK('Data Entry'!$$158), "", 'Data Entry'!$$158)</f>
      </c>
      <c r="CN158">
        <f>IF(ISBLANK('Data Entry'!$$158), "", 'Data Entry'!$$158)</f>
      </c>
      <c r="CO158">
        <f>IF(ISBLANK('Data Entry'!$$158), "", 'Data Entry'!$$158)</f>
      </c>
      <c r="CP158">
        <f>IF(ISBLANK('Data Entry'!$$158), "", 'Data Entry'!$$158)</f>
      </c>
      <c r="CQ158">
        <f>IF(ISBLANK('Data Entry'!$$158), "", 'Data Entry'!$$158)</f>
      </c>
      <c r="CR158">
        <f>IF(ISBLANK('Data Entry'!$ $158), "", 'Data Entry'!$ $158)</f>
      </c>
      <c r="CS158">
        <f>IF(ISBLANK('Data Entry'!$¡$158), "", 'Data Entry'!$¡$158)</f>
      </c>
      <c r="CT158">
        <f>IF(ISBLANK('Data Entry'!$¢$158), "", 'Data Entry'!$¢$158)</f>
      </c>
      <c r="CU158">
        <f>IF(ISBLANK('Data Entry'!$£$158), "", 'Data Entry'!$£$158)</f>
      </c>
      <c r="CV158">
        <f>IF(ISBLANK('Data Entry'!$¤$158), "", 'Data Entry'!$¤$158)</f>
      </c>
      <c r="CW158">
        <f>IF(ISBLANK('Data Entry'!$¥$158), "", 'Data Entry'!$¥$158)</f>
      </c>
      <c r="CX158">
        <f>IF(ISBLANK('Data Entry'!$¦$158), "", 'Data Entry'!$¦$158)</f>
      </c>
      <c r="CY158">
        <f>IF(ISBLANK('Data Entry'!$§$158), "", 'Data Entry'!$§$158)</f>
      </c>
      <c r="CZ158">
        <f>IF(ISBLANK('Data Entry'!$¨$158), "", 'Data Entry'!$¨$158)</f>
      </c>
      <c r="DA158">
        <f>IF(ISBLANK('Data Entry'!$©$158), "", 'Data Entry'!$©$158)</f>
      </c>
      <c r="DB158">
        <f>IF(ISBLANK('Data Entry'!$ª$158), "", 'Data Entry'!$ª$158)</f>
      </c>
      <c r="DC158">
        <f>IF(ISBLANK('Data Entry'!$«$158), "", 'Data Entry'!$«$158)</f>
      </c>
      <c r="DD158">
        <f>IF(ISBLANK('Data Entry'!$¬$158), "", 'Data Entry'!$¬$158)</f>
      </c>
      <c r="DE158">
        <f>IF(ISBLANK('Data Entry'!$­$158), "", 'Data Entry'!$­$158)</f>
      </c>
      <c r="DF158">
        <f>IF(ISBLANK('Data Entry'!$®$158), "", 'Data Entry'!$®$158)</f>
      </c>
      <c r="DG158">
        <f>IF(ISBLANK('Data Entry'!$¯$158), "", 'Data Entry'!$¯$158)</f>
      </c>
      <c r="DH158">
        <f>IF(ISBLANK('Data Entry'!$°$158), "", 'Data Entry'!$°$158)</f>
      </c>
      <c r="DI158">
        <f>IF(ISBLANK('Data Entry'!$±$158), "", 'Data Entry'!$±$158)</f>
      </c>
      <c r="DJ158">
        <f>IF(ISBLANK('Data Entry'!$²$158), "", 'Data Entry'!$²$158)</f>
      </c>
      <c r="DK158">
        <f>IF(ISBLANK('Data Entry'!$³$158), "", 'Data Entry'!$³$158)</f>
      </c>
      <c r="DL158">
        <f>IF(ISBLANK('Data Entry'!$´$158), "", 'Data Entry'!$´$158)</f>
      </c>
      <c r="DM158">
        <f>IF(ISBLANK('Data Entry'!$µ$158), "", 'Data Entry'!$µ$158)</f>
      </c>
      <c r="DN158">
        <f>IF(ISBLANK('Data Entry'!$¶$158), "", 'Data Entry'!$¶$158)</f>
      </c>
      <c r="DO158">
        <f>IF(ISBLANK('Data Entry'!$·$158), "", 'Data Entry'!$·$158)</f>
      </c>
      <c r="DP158">
        <f>IF(ISBLANK('Data Entry'!$¸$158), "", 'Data Entry'!$¸$158)</f>
      </c>
      <c r="DQ158">
        <f>IF(ISBLANK('Data Entry'!$¹$158), "", 'Data Entry'!$¹$158)</f>
      </c>
      <c r="DR158">
        <f>IF(ISBLANK('Data Entry'!$º$158), "", 'Data Entry'!$º$158)</f>
      </c>
      <c r="DS158">
        <f>IF(ISBLANK('Data Entry'!$»$158), "", 'Data Entry'!$»$158)</f>
      </c>
      <c r="DT158">
        <f>IF(ISBLANK('Data Entry'!$¼$158), "", 'Data Entry'!$¼$158)</f>
      </c>
      <c r="DU158">
        <f>IF(ISBLANK('Data Entry'!$½$158), "", 'Data Entry'!$½$158)</f>
      </c>
      <c r="DV158">
        <f>IF(ISBLANK('Data Entry'!$¾$158), "", 'Data Entry'!$¾$158)</f>
      </c>
      <c r="DW158">
        <f>IF(ISBLANK('Data Entry'!$¿$158), "", 'Data Entry'!$¿$158)</f>
      </c>
      <c r="DX158">
        <f>IF(ISBLANK('Data Entry'!$À$158), "", 'Data Entry'!$À$158)</f>
      </c>
      <c r="DY158">
        <f>IF(ISBLANK('Data Entry'!$Á$158), "", 'Data Entry'!$Á$158)</f>
      </c>
      <c r="DZ158">
        <f>IF(ISBLANK('Data Entry'!$Â$158), "", 'Data Entry'!$Â$158)</f>
      </c>
      <c r="EA158">
        <f>IF(ISBLANK('Data Entry'!$Ã$158), "", 'Data Entry'!$Ã$158)</f>
      </c>
      <c r="EB158">
        <f>IF(ISBLANK('Data Entry'!$Ä$158), "", 'Data Entry'!$Ä$158)</f>
      </c>
      <c r="EC158">
        <f>IF(ISBLANK('Data Entry'!$Å$158), "", 'Data Entry'!$Å$158)</f>
      </c>
      <c r="ED158">
        <f>IF(ISBLANK('Data Entry'!$Æ$158), "", 'Data Entry'!$Æ$158)</f>
      </c>
      <c r="EE158">
        <f>IF(ISBLANK('Data Entry'!$Ç$158), "", 'Data Entry'!$Ç$158)</f>
      </c>
      <c r="EF158">
        <f>IF(ISBLANK('Data Entry'!$È$158), "", 'Data Entry'!$È$158)</f>
      </c>
      <c r="EG158">
        <f>IF(ISBLANK('Data Entry'!$É$158), "", 'Data Entry'!$É$158)</f>
      </c>
      <c r="EH158">
        <f>IF(ISBLANK('Data Entry'!$Ê$158), "", 'Data Entry'!$Ê$158)</f>
      </c>
      <c r="EI158">
        <f>IF(ISBLANK('Data Entry'!$Ë$158), "", 'Data Entry'!$Ë$158)</f>
      </c>
      <c r="EJ158">
        <f>IF(ISBLANK('Data Entry'!$Ì$158), "", 'Data Entry'!$Ì$158)</f>
      </c>
      <c r="EK158">
        <f>IF(ISBLANK('Data Entry'!$Í$158), "", 'Data Entry'!$Í$158)</f>
      </c>
      <c r="EL158">
        <f>IF(ISBLANK('Data Entry'!$Î$158), "", 'Data Entry'!$Î$158)</f>
      </c>
      <c r="EM158">
        <f>IF(ISBLANK('Data Entry'!$Ï$158), "", 'Data Entry'!$Ï$158)</f>
      </c>
      <c r="EN158">
        <f>IF(ISBLANK('Data Entry'!$Ð$158), "", 'Data Entry'!$Ð$158)</f>
      </c>
      <c r="EO158">
        <f>IF(ISBLANK('Data Entry'!$Ñ$158), "", 'Data Entry'!$Ñ$158)</f>
      </c>
      <c r="EP158">
        <f>IF(ISBLANK('Data Entry'!$Ò$158), "", 'Data Entry'!$Ò$158)</f>
      </c>
      <c r="EQ158">
        <f>IF(ISBLANK('Data Entry'!$Ó$158), "", 'Data Entry'!$Ó$158)</f>
      </c>
      <c r="ER158">
        <f>IF(ISBLANK('Data Entry'!$Ô$158), "", 'Data Entry'!$Ô$158)</f>
      </c>
      <c r="ES158">
        <f>IF(ISBLANK('Data Entry'!$Õ$158), "", 'Data Entry'!$Õ$158)</f>
      </c>
      <c r="ET158">
        <f>IF(ISBLANK('Data Entry'!$Ö$158), "", 'Data Entry'!$Ö$158)</f>
      </c>
      <c r="EU158">
        <f>IF(ISBLANK('Data Entry'!$×$158), "", 'Data Entry'!$×$158)</f>
      </c>
      <c r="EV158">
        <f>IF(ISBLANK('Data Entry'!$Ø$158), "", 'Data Entry'!$Ø$158)</f>
      </c>
      <c r="EW158">
        <f>IF(ISBLANK('Data Entry'!$Ù$158), "", 'Data Entry'!$Ù$158)</f>
      </c>
      <c r="EX158">
        <f>IF(ISBLANK('Data Entry'!$Ú$158), "", 'Data Entry'!$Ú$158)</f>
      </c>
      <c r="EY158">
        <f>IF(ISBLANK('Data Entry'!$Û$158), "", 'Data Entry'!$Û$158)</f>
      </c>
      <c r="EZ158">
        <f>IF(ISBLANK('Data Entry'!$Ü$158), "", 'Data Entry'!$Ü$158)</f>
      </c>
      <c r="FA158">
        <f>IF(ISBLANK('Data Entry'!$Ý$158), "", 'Data Entry'!$Ý$158)</f>
      </c>
      <c r="FB158">
        <f>IF(ISBLANK('Data Entry'!$Þ$158), "", 'Data Entry'!$Þ$158)</f>
      </c>
      <c r="FC158">
        <f>IF(ISBLANK('Data Entry'!$ß$158), "", 'Data Entry'!$ß$158)</f>
      </c>
      <c r="FD158">
        <f>IF(ISBLANK('Data Entry'!$à$158), "", 'Data Entry'!$à$158)</f>
      </c>
      <c r="FE158">
        <f>IF(ISBLANK('Data Entry'!$á$158), "", 'Data Entry'!$á$158)</f>
      </c>
      <c r="FF158">
        <f>IF(ISBLANK('Data Entry'!$â$158), "", 'Data Entry'!$â$158)</f>
      </c>
      <c r="FG158">
        <f>IF(ISBLANK('Data Entry'!$ã$158), "", 'Data Entry'!$ã$158)</f>
      </c>
      <c r="FH158">
        <f>IF(ISBLANK('Data Entry'!$ä$158), "", 'Data Entry'!$ä$158)</f>
      </c>
      <c r="FI158">
        <f>IF(ISBLANK('Data Entry'!$å$158), "", 'Data Entry'!$å$158)</f>
      </c>
      <c r="FJ158">
        <f>IF(ISBLANK('Data Entry'!$æ$158), "", 'Data Entry'!$æ$158)</f>
      </c>
      <c r="FK158">
        <f>IF(ISBLANK('Data Entry'!$ç$158), "", 'Data Entry'!$ç$158)</f>
      </c>
      <c r="FL158">
        <f>IF(ISBLANK('Data Entry'!$è$158), "", 'Data Entry'!$è$158)</f>
      </c>
      <c r="FM158">
        <f>IF(ISBLANK('Data Entry'!$é$158), "", 'Data Entry'!$é$158)</f>
      </c>
      <c r="FN158">
        <f>IF(ISBLANK('Data Entry'!$ê$158), "", 'Data Entry'!$ê$158)</f>
      </c>
      <c r="FO158">
        <f>IF(ISBLANK('Data Entry'!$ë$158), "", 'Data Entry'!$ë$158)</f>
      </c>
      <c r="FP158">
        <f>IF(ISBLANK('Data Entry'!$ì$158), "", 'Data Entry'!$ì$158)</f>
      </c>
      <c r="FQ158">
        <f>IF(ISBLANK('Data Entry'!$í$158), "", 'Data Entry'!$í$158)</f>
      </c>
      <c r="FR158">
        <f>IF(ISBLANK('Data Entry'!$î$158), "", 'Data Entry'!$î$158)</f>
      </c>
      <c r="FS158">
        <f>IF(ISBLANK('Data Entry'!$ï$158), "", 'Data Entry'!$ï$158)</f>
      </c>
      <c r="FT158">
        <f>IF(ISBLANK('Data Entry'!$ð$158), "", 'Data Entry'!$ð$158)</f>
      </c>
      <c r="FU158">
        <f>IF(ISBLANK('Data Entry'!$ñ$158), "", 'Data Entry'!$ñ$158)</f>
      </c>
      <c r="FV158">
        <f>IF(ISBLANK('Data Entry'!$ò$158), "", 'Data Entry'!$ò$158)</f>
      </c>
      <c r="FW158">
        <f>IF(ISBLANK('Data Entry'!$ó$158), "", 'Data Entry'!$ó$158)</f>
      </c>
      <c r="FX158">
        <f>IF(ISBLANK('Data Entry'!$ô$158), "", 'Data Entry'!$ô$158)</f>
      </c>
      <c r="FY158">
        <f>IF(ISBLANK('Data Entry'!$õ$158), "", 'Data Entry'!$õ$158)</f>
      </c>
      <c r="FZ158">
        <f>IF(ISBLANK('Data Entry'!$ö$158), "", 'Data Entry'!$ö$158)</f>
      </c>
      <c r="GA158">
        <f>IF(ISBLANK('Data Entry'!$÷$158), "", 'Data Entry'!$÷$158)</f>
      </c>
      <c r="GB158">
        <f>IF(ISBLANK('Data Entry'!$ø$158), "", 'Data Entry'!$ø$158)</f>
      </c>
      <c r="GC158">
        <f>IF(ISBLANK('Data Entry'!$ù$158), "", 'Data Entry'!$ù$158)</f>
      </c>
      <c r="GD158">
        <f>IF(ISBLANK('Data Entry'!$ú$158), "", 'Data Entry'!$ú$158)</f>
      </c>
      <c r="GE158">
        <f>IF(ISBLANK('Data Entry'!$û$158), "", 'Data Entry'!$û$158)</f>
      </c>
      <c r="GF158">
        <f>IF(ISBLANK('Data Entry'!$ü$158), "", 'Data Entry'!$ü$158)</f>
      </c>
      <c r="GG158">
        <f>IF(ISBLANK('Data Entry'!$ý$158), "", 'Data Entry'!$ý$158)</f>
      </c>
      <c r="GH158">
        <f>IF(ISBLANK('Data Entry'!$þ$158), "", 'Data Entry'!$þ$158)</f>
      </c>
      <c r="GI158">
        <f>IF(ISBLANK('Data Entry'!$ÿ$158), "", 'Data Entry'!$ÿ$158)</f>
      </c>
      <c r="GJ158">
        <f>IF(ISBLANK('Data Entry'!$Ā$158), "", 'Data Entry'!$Ā$158)</f>
      </c>
      <c r="GK158">
        <f>IF(ISBLANK('Data Entry'!$ā$158), "", 'Data Entry'!$ā$158)</f>
      </c>
      <c r="GL158">
        <f>IF(ISBLANK('Data Entry'!$Ă$158), "", 'Data Entry'!$Ă$158)</f>
      </c>
      <c r="GM158">
        <f>IF(ISBLANK('Data Entry'!$ă$158), "", 'Data Entry'!$ă$158)</f>
      </c>
      <c r="GN158">
        <f>IF(ISBLANK('Data Entry'!$Ą$158), "", 'Data Entry'!$Ą$158)</f>
      </c>
      <c r="GO158">
        <f>IF(ISBLANK('Data Entry'!$ą$158), "", 'Data Entry'!$ą$158)</f>
      </c>
      <c r="GP158">
        <f>IF(ISBLANK('Data Entry'!$Ć$158), "", 'Data Entry'!$Ć$158)</f>
      </c>
      <c r="GQ158">
        <f>IF(ISBLANK('Data Entry'!$ć$158), "", 'Data Entry'!$ć$158)</f>
      </c>
      <c r="GR158">
        <f>IF(ISBLANK('Data Entry'!$Ĉ$158), "", 'Data Entry'!$Ĉ$158)</f>
      </c>
      <c r="GS158">
        <f>IF(ISBLANK('Data Entry'!$ĉ$158), "", 'Data Entry'!$ĉ$158)</f>
      </c>
      <c r="GT158">
        <f>IF(ISBLANK('Data Entry'!$Ċ$158), "", 'Data Entry'!$Ċ$158)</f>
      </c>
      <c r="GU158">
        <f>IF(ISBLANK('Data Entry'!$ċ$158), "", 'Data Entry'!$ċ$158)</f>
      </c>
      <c r="GV158">
        <f>IF(ISBLANK('Data Entry'!$Č$158), "", 'Data Entry'!$Č$158)</f>
      </c>
      <c r="GW158">
        <f>IF(ISBLANK('Data Entry'!$č$158), "", 'Data Entry'!$č$158)</f>
      </c>
      <c r="GX158">
        <f>IF(ISBLANK('Data Entry'!$Ď$158), "", 'Data Entry'!$Ď$158)</f>
      </c>
      <c r="GY158">
        <f>IF(ISBLANK('Data Entry'!$ď$158), "", 'Data Entry'!$ď$158)</f>
      </c>
      <c r="GZ158">
        <f>IF(ISBLANK('Data Entry'!$Đ$158), "", 'Data Entry'!$Đ$158)</f>
      </c>
      <c r="HA158">
        <f>IF(ISBLANK('Data Entry'!$đ$158), "", 'Data Entry'!$đ$158)</f>
      </c>
      <c r="HB158">
        <f>IF(ISBLANK('Data Entry'!$Ē$158), "", 'Data Entry'!$Ē$158)</f>
      </c>
      <c r="HC158">
        <f>IF(ISBLANK('Data Entry'!$ē$158), "", 'Data Entry'!$ē$158)</f>
      </c>
      <c r="HD158">
        <f>IF(ISBLANK('Data Entry'!$Ĕ$158), "", 'Data Entry'!$Ĕ$158)</f>
      </c>
      <c r="HE158">
        <f>IF(ISBLANK('Data Entry'!$ĕ$158), "", 'Data Entry'!$ĕ$158)</f>
      </c>
      <c r="HF158">
        <f>IF(ISBLANK('Data Entry'!$Ė$158), "", 'Data Entry'!$Ė$158)</f>
      </c>
      <c r="HG158">
        <f>IF(ISBLANK('Data Entry'!$ė$158), "", 'Data Entry'!$ė$158)</f>
      </c>
      <c r="HH158">
        <f>IF(ISBLANK('Data Entry'!$Ę$158), "", 'Data Entry'!$Ę$158)</f>
      </c>
      <c r="HI158">
        <f>IF(ISBLANK('Data Entry'!$ę$158), "", 'Data Entry'!$ę$158)</f>
      </c>
      <c r="HJ158">
        <f>IF(ISBLANK('Data Entry'!$Ě$158), "", 'Data Entry'!$Ě$158)</f>
      </c>
      <c r="HK158">
        <f>IF(ISBLANK('Data Entry'!$ě$158), "", 'Data Entry'!$ě$158)</f>
      </c>
      <c r="HL158">
        <f>IF(ISBLANK('Data Entry'!$Ĝ$158), "", 'Data Entry'!$Ĝ$158)</f>
      </c>
      <c r="HM158">
        <f>IF(ISBLANK('Data Entry'!$ĝ$158), "", 'Data Entry'!$ĝ$158)</f>
      </c>
      <c r="HN158">
        <f>IF(ISBLANK('Data Entry'!$Ğ$158), "", 'Data Entry'!$Ğ$158)</f>
      </c>
      <c r="HO158">
        <f>IF(ISBLANK('Data Entry'!$ğ$158), "", 'Data Entry'!$ğ$158)</f>
      </c>
      <c r="HP158">
        <f>IF(ISBLANK('Data Entry'!$Ġ$158), "", 'Data Entry'!$Ġ$158)</f>
      </c>
      <c r="HQ158">
        <f>IF(ISBLANK('Data Entry'!$ġ$158), "", 'Data Entry'!$ġ$158)</f>
      </c>
      <c r="HR158">
        <f>IF(ISBLANK('Data Entry'!$Ģ$158), "", 'Data Entry'!$Ģ$158)</f>
      </c>
      <c r="HS158">
        <f>IF(ISBLANK('Data Entry'!$ģ$158), "", 'Data Entry'!$ģ$158)</f>
      </c>
      <c r="HT158">
        <f>IF(ISBLANK('Data Entry'!$Ĥ$158), "", 'Data Entry'!$Ĥ$158)</f>
      </c>
      <c r="HU158">
        <f>IF(ISBLANK('Data Entry'!$ĥ$158), "", 'Data Entry'!$ĥ$158)</f>
      </c>
      <c r="HV158">
        <f>IF(ISBLANK('Data Entry'!$Ħ$158), "", 'Data Entry'!$Ħ$158)</f>
      </c>
      <c r="HW158">
        <f>IF(ISBLANK('Data Entry'!$ħ$158), "", 'Data Entry'!$ħ$158)</f>
      </c>
      <c r="HX158">
        <f>IF(ISBLANK('Data Entry'!$Ĩ$158), "", 'Data Entry'!$Ĩ$158)</f>
      </c>
      <c r="HY158">
        <f>IF(ISBLANK('Data Entry'!$ĩ$158), "", 'Data Entry'!$ĩ$158)</f>
      </c>
      <c r="HZ158">
        <f>IF(ISBLANK('Data Entry'!$Ī$158), "", 'Data Entry'!$Ī$158)</f>
      </c>
      <c r="IA158">
        <f>IF(ISBLANK('Data Entry'!$ī$158), "", 'Data Entry'!$ī$158)</f>
      </c>
      <c r="IB158">
        <f>IF(ISBLANK('Data Entry'!$Ĭ$158), "", 'Data Entry'!$Ĭ$158)</f>
      </c>
      <c r="IC158">
        <f>IF(ISBLANK('Data Entry'!$ĭ$158), "", 'Data Entry'!$ĭ$158)</f>
      </c>
      <c r="ID158">
        <f>IF(ISBLANK('Data Entry'!$Į$158), "", 'Data Entry'!$Į$158)</f>
      </c>
      <c r="IE158">
        <f>IF(ISBLANK('Data Entry'!$į$158), "", 'Data Entry'!$į$158)</f>
      </c>
      <c r="IF158">
        <f>IF(ISBLANK('Data Entry'!$İ$158), "", 'Data Entry'!$İ$158)</f>
      </c>
      <c r="IG158">
        <f>IF(ISBLANK('Data Entry'!$ı$158), "", 'Data Entry'!$ı$158)</f>
      </c>
      <c r="IH158">
        <f>IF(ISBLANK('Data Entry'!$Ĳ$158), "", 'Data Entry'!$Ĳ$158)</f>
      </c>
      <c r="II158">
        <f>IF(ISBLANK('Data Entry'!$ĳ$158), "", 'Data Entry'!$ĳ$158)</f>
      </c>
      <c r="IJ158">
        <f>IF(ISBLANK('Data Entry'!$Ĵ$158), "", 'Data Entry'!$Ĵ$158)</f>
      </c>
      <c r="IK158">
        <f>IF(ISBLANK('Data Entry'!$ĵ$158), "", 'Data Entry'!$ĵ$158)</f>
      </c>
      <c r="IL158">
        <f>IF(ISBLANK('Data Entry'!$Ķ$158), "", 'Data Entry'!$Ķ$158)</f>
      </c>
      <c r="IM158">
        <f>IF(ISBLANK('Data Entry'!$ķ$158), "", 'Data Entry'!$ķ$158)</f>
      </c>
      <c r="IN158">
        <f>IF(ISBLANK('Data Entry'!$ĸ$158), "", 'Data Entry'!$ĸ$158)</f>
      </c>
      <c r="IO158">
        <f>IF(ISBLANK('Data Entry'!$Ĺ$158), "", 'Data Entry'!$Ĺ$158)</f>
      </c>
      <c r="IP158">
        <f>IF(ISBLANK('Data Entry'!$ĺ$158), "", 'Data Entry'!$ĺ$158)</f>
      </c>
      <c r="IQ158">
        <f>IF(ISBLANK('Data Entry'!$Ļ$158), "", 'Data Entry'!$Ļ$158)</f>
      </c>
      <c r="IR158">
        <f>IF(ISBLANK('Data Entry'!$ļ$158), "", 'Data Entry'!$ļ$158)</f>
      </c>
      <c r="IS158">
        <f>IF(ISBLANK('Data Entry'!$Ľ$158), "", 'Data Entry'!$Ľ$158)</f>
      </c>
      <c r="IT158">
        <f>IF(ISBLANK('Data Entry'!$ľ$158), "", 'Data Entry'!$ľ$158)</f>
      </c>
    </row>
    <row r="159" spans="1:254" x14ac:dyDescent="0.25">
      <c r="A159">
        <f>IF(ISBLANK('Data Entry'!$A$159), "", 'Data Entry'!$A$159)</f>
      </c>
      <c r="B159">
        <f>IF(ISBLANK('Data Entry'!$B$159), "", 'Data Entry'!$B$159)</f>
      </c>
      <c r="C159">
        <f>IF(ISBLANK('Data Entry'!$C$159), "", 'Data Entry'!$C$159)</f>
      </c>
      <c r="D159">
        <f>IF(ISBLANK('Data Entry'!$D$159), "", 'Data Entry'!$D$159)</f>
      </c>
      <c r="E159">
        <f>IF(ISBLANK('Data Entry'!$E$159), "", 'Data Entry'!$E$159)</f>
      </c>
      <c r="F159">
        <f>IF(ISBLANK('Data Entry'!$F$159), "", 'Data Entry'!$F$159)</f>
      </c>
      <c r="G159">
        <f>IF(ISBLANK('Data Entry'!$G$159), "", 'Data Entry'!$G$159)</f>
      </c>
      <c r="H159">
        <f>IF(ISBLANK('Data Entry'!$H$159), "", 'Data Entry'!$H$159)</f>
      </c>
      <c r="I159">
        <f>IF(ISBLANK('Data Entry'!$I$159), "", 'Data Entry'!$I$159)</f>
      </c>
      <c r="J159">
        <f>IF(ISBLANK('Data Entry'!$J$159), "", 'Data Entry'!$J$159)</f>
      </c>
      <c r="K159">
        <f>IF(ISBLANK('Data Entry'!$K$159), "", 'Data Entry'!$K$159)</f>
      </c>
      <c r="L159">
        <f>IF(ISBLANK('Data Entry'!$L$159), "", 'Data Entry'!$L$159)</f>
      </c>
      <c r="M159">
        <f>IF(ISBLANK('Data Entry'!$M$159), "", 'Data Entry'!$M$159)</f>
      </c>
      <c r="N159">
        <f>IF(ISBLANK('Data Entry'!$N$159), "", 'Data Entry'!$N$159)</f>
      </c>
      <c r="O159">
        <f>IF(ISBLANK('Data Entry'!$O$159), "", 'Data Entry'!$O$159)</f>
      </c>
      <c r="P159">
        <f>IF(ISBLANK('Data Entry'!$P$159), "", 'Data Entry'!$P$159)</f>
      </c>
      <c r="Q159">
        <f>IF(ISBLANK('Data Entry'!$Q$159), "", 'Data Entry'!$Q$159)</f>
      </c>
      <c r="R159">
        <f>IF(ISBLANK('Data Entry'!$R$159), "", 'Data Entry'!$R$159)</f>
      </c>
      <c r="S159">
        <f>IF(ISBLANK('Data Entry'!$S$159), "", 'Data Entry'!$S$159)</f>
      </c>
      <c r="T159">
        <f>IF(ISBLANK('Data Entry'!$T$159), "", 'Data Entry'!$T$159)</f>
      </c>
      <c r="U159">
        <f>IF(ISBLANK('Data Entry'!$U$159), "", 'Data Entry'!$U$159)</f>
      </c>
      <c r="V159">
        <f>IF(ISBLANK('Data Entry'!$V$159), "", 'Data Entry'!$V$159)</f>
      </c>
      <c r="W159">
        <f>IF(ISBLANK('Data Entry'!$W$159), "", 'Data Entry'!$W$159)</f>
      </c>
      <c r="X159">
        <f>IF(ISBLANK('Data Entry'!$X$159), "", 'Data Entry'!$X$159)</f>
      </c>
      <c r="Y159">
        <f>IF(ISBLANK('Data Entry'!$Y$159), "", 'Data Entry'!$Y$159)</f>
      </c>
      <c r="Z159">
        <f>IF(ISBLANK('Data Entry'!$Z$159), "", 'Data Entry'!$Z$159)</f>
      </c>
      <c r="AA159">
        <f>IF(ISBLANK('Data Entry'!$[$159), "", 'Data Entry'!$[$159)</f>
      </c>
      <c r="AB159">
        <f>IF(ISBLANK('Data Entry'!$\$159), "", 'Data Entry'!$\$159)</f>
      </c>
      <c r="AC159">
        <f>IF(ISBLANK('Data Entry'!$]$159), "", 'Data Entry'!$]$159)</f>
      </c>
      <c r="AD159">
        <f>IF(ISBLANK('Data Entry'!$^$159), "", 'Data Entry'!$^$159)</f>
      </c>
      <c r="AE159">
        <f>IF(ISBLANK('Data Entry'!$_$159), "", 'Data Entry'!$_$159)</f>
      </c>
      <c r="AF159">
        <f>IF(ISBLANK('Data Entry'!$`$159), "", 'Data Entry'!$`$159)</f>
      </c>
      <c r="AG159">
        <f>IF(ISBLANK('Data Entry'!$a$159), "", 'Data Entry'!$a$159)</f>
      </c>
      <c r="AH159">
        <f>IF(ISBLANK('Data Entry'!$b$159), "", 'Data Entry'!$b$159)</f>
      </c>
      <c r="AI159">
        <f>IF(ISBLANK('Data Entry'!$c$159), "", 'Data Entry'!$c$159)</f>
      </c>
      <c r="AJ159">
        <f>IF(ISBLANK('Data Entry'!$d$159), "", 'Data Entry'!$d$159)</f>
      </c>
      <c r="AK159">
        <f>IF(ISBLANK('Data Entry'!$e$159), "", 'Data Entry'!$e$159)</f>
      </c>
      <c r="AL159">
        <f>IF(ISBLANK('Data Entry'!$f$159), "", 'Data Entry'!$f$159)</f>
      </c>
      <c r="AM159">
        <f>IF(ISBLANK('Data Entry'!$g$159), "", 'Data Entry'!$g$159)</f>
      </c>
      <c r="AN159">
        <f>IF(ISBLANK('Data Entry'!$h$159), "", 'Data Entry'!$h$159)</f>
      </c>
      <c r="AO159">
        <f>IF(ISBLANK('Data Entry'!$i$159), "", 'Data Entry'!$i$159)</f>
      </c>
      <c r="AP159">
        <f>IF(ISBLANK('Data Entry'!$j$159), "", 'Data Entry'!$j$159)</f>
      </c>
      <c r="AQ159">
        <f>IF(ISBLANK('Data Entry'!$k$159), "", 'Data Entry'!$k$159)</f>
      </c>
      <c r="AR159">
        <f>IF(ISBLANK('Data Entry'!$l$159), "", 'Data Entry'!$l$159)</f>
      </c>
      <c r="AS159">
        <f>IF(ISBLANK('Data Entry'!$m$159), "", 'Data Entry'!$m$159)</f>
      </c>
      <c r="AT159">
        <f>IF(ISBLANK('Data Entry'!$n$159), "", 'Data Entry'!$n$159)</f>
      </c>
      <c r="AU159">
        <f>IF(ISBLANK('Data Entry'!$o$159), "", 'Data Entry'!$o$159)</f>
      </c>
      <c r="AV159">
        <f>IF(ISBLANK('Data Entry'!$p$159), "", 'Data Entry'!$p$159)</f>
      </c>
      <c r="AW159">
        <f>IF(ISBLANK('Data Entry'!$q$159), "", 'Data Entry'!$q$159)</f>
      </c>
      <c r="AX159">
        <f>IF(ISBLANK('Data Entry'!$r$159), "", 'Data Entry'!$r$159)</f>
      </c>
      <c r="AY159">
        <f>IF(ISBLANK('Data Entry'!$s$159), "", 'Data Entry'!$s$159)</f>
      </c>
      <c r="AZ159">
        <f>IF(ISBLANK('Data Entry'!$t$159), "", 'Data Entry'!$t$159)</f>
      </c>
      <c r="BA159">
        <f>IF(ISBLANK('Data Entry'!$u$159), "", 'Data Entry'!$u$159)</f>
      </c>
      <c r="BB159">
        <f>IF(ISBLANK('Data Entry'!$v$159), "", 'Data Entry'!$v$159)</f>
      </c>
      <c r="BC159">
        <f>IF(ISBLANK('Data Entry'!$w$159), "", 'Data Entry'!$w$159)</f>
      </c>
      <c r="BD159">
        <f>IF(ISBLANK('Data Entry'!$x$159), "", 'Data Entry'!$x$159)</f>
      </c>
      <c r="BE159">
        <f>IF(ISBLANK('Data Entry'!$y$159), "", 'Data Entry'!$y$159)</f>
      </c>
      <c r="BF159">
        <f>IF(ISBLANK('Data Entry'!$z$159), "", 'Data Entry'!$z$159)</f>
      </c>
      <c r="BG159">
        <f>IF(ISBLANK('Data Entry'!${$159), "", 'Data Entry'!${$159)</f>
      </c>
      <c r="BH159">
        <f>IF(ISBLANK('Data Entry'!$|$159), "", 'Data Entry'!$|$159)</f>
      </c>
      <c r="BI159">
        <f>IF(ISBLANK('Data Entry'!$}$159), "", 'Data Entry'!$}$159)</f>
      </c>
      <c r="BJ159">
        <f>IF(ISBLANK('Data Entry'!$~$159), "", 'Data Entry'!$~$159)</f>
      </c>
      <c r="BK159">
        <f>IF(ISBLANK('Data Entry'!$$159), "", 'Data Entry'!$$159)</f>
      </c>
      <c r="BL159">
        <f>IF(ISBLANK('Data Entry'!$$159), "", 'Data Entry'!$$159)</f>
      </c>
      <c r="BM159">
        <f>IF(ISBLANK('Data Entry'!$$159), "", 'Data Entry'!$$159)</f>
      </c>
      <c r="BN159">
        <f>IF(ISBLANK('Data Entry'!$$159), "", 'Data Entry'!$$159)</f>
      </c>
      <c r="BO159">
        <f>IF(ISBLANK('Data Entry'!$$159), "", 'Data Entry'!$$159)</f>
      </c>
      <c r="BP159">
        <f>IF(ISBLANK('Data Entry'!$$159), "", 'Data Entry'!$$159)</f>
      </c>
      <c r="BQ159">
        <f>IF(ISBLANK('Data Entry'!$$159), "", 'Data Entry'!$$159)</f>
      </c>
      <c r="BR159">
        <f>IF(ISBLANK('Data Entry'!$$159), "", 'Data Entry'!$$159)</f>
      </c>
      <c r="BS159">
        <f>IF(ISBLANK('Data Entry'!$$159), "", 'Data Entry'!$$159)</f>
      </c>
      <c r="BT159">
        <f>IF(ISBLANK('Data Entry'!$$159), "", 'Data Entry'!$$159)</f>
      </c>
      <c r="BU159">
        <f>IF(ISBLANK('Data Entry'!$$159), "", 'Data Entry'!$$159)</f>
      </c>
      <c r="BV159">
        <f>IF(ISBLANK('Data Entry'!$$159), "", 'Data Entry'!$$159)</f>
      </c>
      <c r="BW159">
        <f>IF(ISBLANK('Data Entry'!$$159), "", 'Data Entry'!$$159)</f>
      </c>
      <c r="BX159">
        <f>IF(ISBLANK('Data Entry'!$$159), "", 'Data Entry'!$$159)</f>
      </c>
      <c r="BY159">
        <f>IF(ISBLANK('Data Entry'!$$159), "", 'Data Entry'!$$159)</f>
      </c>
      <c r="BZ159">
        <f>IF(ISBLANK('Data Entry'!$$159), "", 'Data Entry'!$$159)</f>
      </c>
      <c r="CA159">
        <f>IF(ISBLANK('Data Entry'!$$159), "", 'Data Entry'!$$159)</f>
      </c>
      <c r="CB159">
        <f>IF(ISBLANK('Data Entry'!$$159), "", 'Data Entry'!$$159)</f>
      </c>
      <c r="CC159">
        <f>IF(ISBLANK('Data Entry'!$$159), "", 'Data Entry'!$$159)</f>
      </c>
      <c r="CD159">
        <f>IF(ISBLANK('Data Entry'!$$159), "", 'Data Entry'!$$159)</f>
      </c>
      <c r="CE159">
        <f>IF(ISBLANK('Data Entry'!$$159), "", 'Data Entry'!$$159)</f>
      </c>
      <c r="CF159">
        <f>IF(ISBLANK('Data Entry'!$$159), "", 'Data Entry'!$$159)</f>
      </c>
      <c r="CG159">
        <f>IF(ISBLANK('Data Entry'!$$159), "", 'Data Entry'!$$159)</f>
      </c>
      <c r="CH159">
        <f>IF(ISBLANK('Data Entry'!$$159), "", 'Data Entry'!$$159)</f>
      </c>
      <c r="CI159">
        <f>IF(ISBLANK('Data Entry'!$$159), "", 'Data Entry'!$$159)</f>
      </c>
      <c r="CJ159">
        <f>IF(ISBLANK('Data Entry'!$$159), "", 'Data Entry'!$$159)</f>
      </c>
      <c r="CK159">
        <f>IF(ISBLANK('Data Entry'!$$159), "", 'Data Entry'!$$159)</f>
      </c>
      <c r="CL159">
        <f>IF(ISBLANK('Data Entry'!$$159), "", 'Data Entry'!$$159)</f>
      </c>
      <c r="CM159">
        <f>IF(ISBLANK('Data Entry'!$$159), "", 'Data Entry'!$$159)</f>
      </c>
      <c r="CN159">
        <f>IF(ISBLANK('Data Entry'!$$159), "", 'Data Entry'!$$159)</f>
      </c>
      <c r="CO159">
        <f>IF(ISBLANK('Data Entry'!$$159), "", 'Data Entry'!$$159)</f>
      </c>
      <c r="CP159">
        <f>IF(ISBLANK('Data Entry'!$$159), "", 'Data Entry'!$$159)</f>
      </c>
      <c r="CQ159">
        <f>IF(ISBLANK('Data Entry'!$$159), "", 'Data Entry'!$$159)</f>
      </c>
      <c r="CR159">
        <f>IF(ISBLANK('Data Entry'!$ $159), "", 'Data Entry'!$ $159)</f>
      </c>
      <c r="CS159">
        <f>IF(ISBLANK('Data Entry'!$¡$159), "", 'Data Entry'!$¡$159)</f>
      </c>
      <c r="CT159">
        <f>IF(ISBLANK('Data Entry'!$¢$159), "", 'Data Entry'!$¢$159)</f>
      </c>
      <c r="CU159">
        <f>IF(ISBLANK('Data Entry'!$£$159), "", 'Data Entry'!$£$159)</f>
      </c>
      <c r="CV159">
        <f>IF(ISBLANK('Data Entry'!$¤$159), "", 'Data Entry'!$¤$159)</f>
      </c>
      <c r="CW159">
        <f>IF(ISBLANK('Data Entry'!$¥$159), "", 'Data Entry'!$¥$159)</f>
      </c>
      <c r="CX159">
        <f>IF(ISBLANK('Data Entry'!$¦$159), "", 'Data Entry'!$¦$159)</f>
      </c>
      <c r="CY159">
        <f>IF(ISBLANK('Data Entry'!$§$159), "", 'Data Entry'!$§$159)</f>
      </c>
      <c r="CZ159">
        <f>IF(ISBLANK('Data Entry'!$¨$159), "", 'Data Entry'!$¨$159)</f>
      </c>
      <c r="DA159">
        <f>IF(ISBLANK('Data Entry'!$©$159), "", 'Data Entry'!$©$159)</f>
      </c>
      <c r="DB159">
        <f>IF(ISBLANK('Data Entry'!$ª$159), "", 'Data Entry'!$ª$159)</f>
      </c>
      <c r="DC159">
        <f>IF(ISBLANK('Data Entry'!$«$159), "", 'Data Entry'!$«$159)</f>
      </c>
      <c r="DD159">
        <f>IF(ISBLANK('Data Entry'!$¬$159), "", 'Data Entry'!$¬$159)</f>
      </c>
      <c r="DE159">
        <f>IF(ISBLANK('Data Entry'!$­$159), "", 'Data Entry'!$­$159)</f>
      </c>
      <c r="DF159">
        <f>IF(ISBLANK('Data Entry'!$®$159), "", 'Data Entry'!$®$159)</f>
      </c>
      <c r="DG159">
        <f>IF(ISBLANK('Data Entry'!$¯$159), "", 'Data Entry'!$¯$159)</f>
      </c>
      <c r="DH159">
        <f>IF(ISBLANK('Data Entry'!$°$159), "", 'Data Entry'!$°$159)</f>
      </c>
      <c r="DI159">
        <f>IF(ISBLANK('Data Entry'!$±$159), "", 'Data Entry'!$±$159)</f>
      </c>
      <c r="DJ159">
        <f>IF(ISBLANK('Data Entry'!$²$159), "", 'Data Entry'!$²$159)</f>
      </c>
      <c r="DK159">
        <f>IF(ISBLANK('Data Entry'!$³$159), "", 'Data Entry'!$³$159)</f>
      </c>
      <c r="DL159">
        <f>IF(ISBLANK('Data Entry'!$´$159), "", 'Data Entry'!$´$159)</f>
      </c>
      <c r="DM159">
        <f>IF(ISBLANK('Data Entry'!$µ$159), "", 'Data Entry'!$µ$159)</f>
      </c>
      <c r="DN159">
        <f>IF(ISBLANK('Data Entry'!$¶$159), "", 'Data Entry'!$¶$159)</f>
      </c>
      <c r="DO159">
        <f>IF(ISBLANK('Data Entry'!$·$159), "", 'Data Entry'!$·$159)</f>
      </c>
      <c r="DP159">
        <f>IF(ISBLANK('Data Entry'!$¸$159), "", 'Data Entry'!$¸$159)</f>
      </c>
      <c r="DQ159">
        <f>IF(ISBLANK('Data Entry'!$¹$159), "", 'Data Entry'!$¹$159)</f>
      </c>
      <c r="DR159">
        <f>IF(ISBLANK('Data Entry'!$º$159), "", 'Data Entry'!$º$159)</f>
      </c>
      <c r="DS159">
        <f>IF(ISBLANK('Data Entry'!$»$159), "", 'Data Entry'!$»$159)</f>
      </c>
      <c r="DT159">
        <f>IF(ISBLANK('Data Entry'!$¼$159), "", 'Data Entry'!$¼$159)</f>
      </c>
      <c r="DU159">
        <f>IF(ISBLANK('Data Entry'!$½$159), "", 'Data Entry'!$½$159)</f>
      </c>
      <c r="DV159">
        <f>IF(ISBLANK('Data Entry'!$¾$159), "", 'Data Entry'!$¾$159)</f>
      </c>
      <c r="DW159">
        <f>IF(ISBLANK('Data Entry'!$¿$159), "", 'Data Entry'!$¿$159)</f>
      </c>
      <c r="DX159">
        <f>IF(ISBLANK('Data Entry'!$À$159), "", 'Data Entry'!$À$159)</f>
      </c>
      <c r="DY159">
        <f>IF(ISBLANK('Data Entry'!$Á$159), "", 'Data Entry'!$Á$159)</f>
      </c>
      <c r="DZ159">
        <f>IF(ISBLANK('Data Entry'!$Â$159), "", 'Data Entry'!$Â$159)</f>
      </c>
      <c r="EA159">
        <f>IF(ISBLANK('Data Entry'!$Ã$159), "", 'Data Entry'!$Ã$159)</f>
      </c>
      <c r="EB159">
        <f>IF(ISBLANK('Data Entry'!$Ä$159), "", 'Data Entry'!$Ä$159)</f>
      </c>
      <c r="EC159">
        <f>IF(ISBLANK('Data Entry'!$Å$159), "", 'Data Entry'!$Å$159)</f>
      </c>
      <c r="ED159">
        <f>IF(ISBLANK('Data Entry'!$Æ$159), "", 'Data Entry'!$Æ$159)</f>
      </c>
      <c r="EE159">
        <f>IF(ISBLANK('Data Entry'!$Ç$159), "", 'Data Entry'!$Ç$159)</f>
      </c>
      <c r="EF159">
        <f>IF(ISBLANK('Data Entry'!$È$159), "", 'Data Entry'!$È$159)</f>
      </c>
      <c r="EG159">
        <f>IF(ISBLANK('Data Entry'!$É$159), "", 'Data Entry'!$É$159)</f>
      </c>
      <c r="EH159">
        <f>IF(ISBLANK('Data Entry'!$Ê$159), "", 'Data Entry'!$Ê$159)</f>
      </c>
      <c r="EI159">
        <f>IF(ISBLANK('Data Entry'!$Ë$159), "", 'Data Entry'!$Ë$159)</f>
      </c>
      <c r="EJ159">
        <f>IF(ISBLANK('Data Entry'!$Ì$159), "", 'Data Entry'!$Ì$159)</f>
      </c>
      <c r="EK159">
        <f>IF(ISBLANK('Data Entry'!$Í$159), "", 'Data Entry'!$Í$159)</f>
      </c>
      <c r="EL159">
        <f>IF(ISBLANK('Data Entry'!$Î$159), "", 'Data Entry'!$Î$159)</f>
      </c>
      <c r="EM159">
        <f>IF(ISBLANK('Data Entry'!$Ï$159), "", 'Data Entry'!$Ï$159)</f>
      </c>
      <c r="EN159">
        <f>IF(ISBLANK('Data Entry'!$Ð$159), "", 'Data Entry'!$Ð$159)</f>
      </c>
      <c r="EO159">
        <f>IF(ISBLANK('Data Entry'!$Ñ$159), "", 'Data Entry'!$Ñ$159)</f>
      </c>
      <c r="EP159">
        <f>IF(ISBLANK('Data Entry'!$Ò$159), "", 'Data Entry'!$Ò$159)</f>
      </c>
      <c r="EQ159">
        <f>IF(ISBLANK('Data Entry'!$Ó$159), "", 'Data Entry'!$Ó$159)</f>
      </c>
      <c r="ER159">
        <f>IF(ISBLANK('Data Entry'!$Ô$159), "", 'Data Entry'!$Ô$159)</f>
      </c>
      <c r="ES159">
        <f>IF(ISBLANK('Data Entry'!$Õ$159), "", 'Data Entry'!$Õ$159)</f>
      </c>
      <c r="ET159">
        <f>IF(ISBLANK('Data Entry'!$Ö$159), "", 'Data Entry'!$Ö$159)</f>
      </c>
      <c r="EU159">
        <f>IF(ISBLANK('Data Entry'!$×$159), "", 'Data Entry'!$×$159)</f>
      </c>
      <c r="EV159">
        <f>IF(ISBLANK('Data Entry'!$Ø$159), "", 'Data Entry'!$Ø$159)</f>
      </c>
      <c r="EW159">
        <f>IF(ISBLANK('Data Entry'!$Ù$159), "", 'Data Entry'!$Ù$159)</f>
      </c>
      <c r="EX159">
        <f>IF(ISBLANK('Data Entry'!$Ú$159), "", 'Data Entry'!$Ú$159)</f>
      </c>
      <c r="EY159">
        <f>IF(ISBLANK('Data Entry'!$Û$159), "", 'Data Entry'!$Û$159)</f>
      </c>
      <c r="EZ159">
        <f>IF(ISBLANK('Data Entry'!$Ü$159), "", 'Data Entry'!$Ü$159)</f>
      </c>
      <c r="FA159">
        <f>IF(ISBLANK('Data Entry'!$Ý$159), "", 'Data Entry'!$Ý$159)</f>
      </c>
      <c r="FB159">
        <f>IF(ISBLANK('Data Entry'!$Þ$159), "", 'Data Entry'!$Þ$159)</f>
      </c>
      <c r="FC159">
        <f>IF(ISBLANK('Data Entry'!$ß$159), "", 'Data Entry'!$ß$159)</f>
      </c>
      <c r="FD159">
        <f>IF(ISBLANK('Data Entry'!$à$159), "", 'Data Entry'!$à$159)</f>
      </c>
      <c r="FE159">
        <f>IF(ISBLANK('Data Entry'!$á$159), "", 'Data Entry'!$á$159)</f>
      </c>
      <c r="FF159">
        <f>IF(ISBLANK('Data Entry'!$â$159), "", 'Data Entry'!$â$159)</f>
      </c>
      <c r="FG159">
        <f>IF(ISBLANK('Data Entry'!$ã$159), "", 'Data Entry'!$ã$159)</f>
      </c>
      <c r="FH159">
        <f>IF(ISBLANK('Data Entry'!$ä$159), "", 'Data Entry'!$ä$159)</f>
      </c>
      <c r="FI159">
        <f>IF(ISBLANK('Data Entry'!$å$159), "", 'Data Entry'!$å$159)</f>
      </c>
      <c r="FJ159">
        <f>IF(ISBLANK('Data Entry'!$æ$159), "", 'Data Entry'!$æ$159)</f>
      </c>
      <c r="FK159">
        <f>IF(ISBLANK('Data Entry'!$ç$159), "", 'Data Entry'!$ç$159)</f>
      </c>
      <c r="FL159">
        <f>IF(ISBLANK('Data Entry'!$è$159), "", 'Data Entry'!$è$159)</f>
      </c>
      <c r="FM159">
        <f>IF(ISBLANK('Data Entry'!$é$159), "", 'Data Entry'!$é$159)</f>
      </c>
      <c r="FN159">
        <f>IF(ISBLANK('Data Entry'!$ê$159), "", 'Data Entry'!$ê$159)</f>
      </c>
      <c r="FO159">
        <f>IF(ISBLANK('Data Entry'!$ë$159), "", 'Data Entry'!$ë$159)</f>
      </c>
      <c r="FP159">
        <f>IF(ISBLANK('Data Entry'!$ì$159), "", 'Data Entry'!$ì$159)</f>
      </c>
      <c r="FQ159">
        <f>IF(ISBLANK('Data Entry'!$í$159), "", 'Data Entry'!$í$159)</f>
      </c>
      <c r="FR159">
        <f>IF(ISBLANK('Data Entry'!$î$159), "", 'Data Entry'!$î$159)</f>
      </c>
      <c r="FS159">
        <f>IF(ISBLANK('Data Entry'!$ï$159), "", 'Data Entry'!$ï$159)</f>
      </c>
      <c r="FT159">
        <f>IF(ISBLANK('Data Entry'!$ð$159), "", 'Data Entry'!$ð$159)</f>
      </c>
      <c r="FU159">
        <f>IF(ISBLANK('Data Entry'!$ñ$159), "", 'Data Entry'!$ñ$159)</f>
      </c>
      <c r="FV159">
        <f>IF(ISBLANK('Data Entry'!$ò$159), "", 'Data Entry'!$ò$159)</f>
      </c>
      <c r="FW159">
        <f>IF(ISBLANK('Data Entry'!$ó$159), "", 'Data Entry'!$ó$159)</f>
      </c>
      <c r="FX159">
        <f>IF(ISBLANK('Data Entry'!$ô$159), "", 'Data Entry'!$ô$159)</f>
      </c>
      <c r="FY159">
        <f>IF(ISBLANK('Data Entry'!$õ$159), "", 'Data Entry'!$õ$159)</f>
      </c>
      <c r="FZ159">
        <f>IF(ISBLANK('Data Entry'!$ö$159), "", 'Data Entry'!$ö$159)</f>
      </c>
      <c r="GA159">
        <f>IF(ISBLANK('Data Entry'!$÷$159), "", 'Data Entry'!$÷$159)</f>
      </c>
      <c r="GB159">
        <f>IF(ISBLANK('Data Entry'!$ø$159), "", 'Data Entry'!$ø$159)</f>
      </c>
      <c r="GC159">
        <f>IF(ISBLANK('Data Entry'!$ù$159), "", 'Data Entry'!$ù$159)</f>
      </c>
      <c r="GD159">
        <f>IF(ISBLANK('Data Entry'!$ú$159), "", 'Data Entry'!$ú$159)</f>
      </c>
      <c r="GE159">
        <f>IF(ISBLANK('Data Entry'!$û$159), "", 'Data Entry'!$û$159)</f>
      </c>
      <c r="GF159">
        <f>IF(ISBLANK('Data Entry'!$ü$159), "", 'Data Entry'!$ü$159)</f>
      </c>
      <c r="GG159">
        <f>IF(ISBLANK('Data Entry'!$ý$159), "", 'Data Entry'!$ý$159)</f>
      </c>
      <c r="GH159">
        <f>IF(ISBLANK('Data Entry'!$þ$159), "", 'Data Entry'!$þ$159)</f>
      </c>
      <c r="GI159">
        <f>IF(ISBLANK('Data Entry'!$ÿ$159), "", 'Data Entry'!$ÿ$159)</f>
      </c>
      <c r="GJ159">
        <f>IF(ISBLANK('Data Entry'!$Ā$159), "", 'Data Entry'!$Ā$159)</f>
      </c>
      <c r="GK159">
        <f>IF(ISBLANK('Data Entry'!$ā$159), "", 'Data Entry'!$ā$159)</f>
      </c>
      <c r="GL159">
        <f>IF(ISBLANK('Data Entry'!$Ă$159), "", 'Data Entry'!$Ă$159)</f>
      </c>
      <c r="GM159">
        <f>IF(ISBLANK('Data Entry'!$ă$159), "", 'Data Entry'!$ă$159)</f>
      </c>
      <c r="GN159">
        <f>IF(ISBLANK('Data Entry'!$Ą$159), "", 'Data Entry'!$Ą$159)</f>
      </c>
      <c r="GO159">
        <f>IF(ISBLANK('Data Entry'!$ą$159), "", 'Data Entry'!$ą$159)</f>
      </c>
      <c r="GP159">
        <f>IF(ISBLANK('Data Entry'!$Ć$159), "", 'Data Entry'!$Ć$159)</f>
      </c>
      <c r="GQ159">
        <f>IF(ISBLANK('Data Entry'!$ć$159), "", 'Data Entry'!$ć$159)</f>
      </c>
      <c r="GR159">
        <f>IF(ISBLANK('Data Entry'!$Ĉ$159), "", 'Data Entry'!$Ĉ$159)</f>
      </c>
      <c r="GS159">
        <f>IF(ISBLANK('Data Entry'!$ĉ$159), "", 'Data Entry'!$ĉ$159)</f>
      </c>
      <c r="GT159">
        <f>IF(ISBLANK('Data Entry'!$Ċ$159), "", 'Data Entry'!$Ċ$159)</f>
      </c>
      <c r="GU159">
        <f>IF(ISBLANK('Data Entry'!$ċ$159), "", 'Data Entry'!$ċ$159)</f>
      </c>
      <c r="GV159">
        <f>IF(ISBLANK('Data Entry'!$Č$159), "", 'Data Entry'!$Č$159)</f>
      </c>
      <c r="GW159">
        <f>IF(ISBLANK('Data Entry'!$č$159), "", 'Data Entry'!$č$159)</f>
      </c>
      <c r="GX159">
        <f>IF(ISBLANK('Data Entry'!$Ď$159), "", 'Data Entry'!$Ď$159)</f>
      </c>
      <c r="GY159">
        <f>IF(ISBLANK('Data Entry'!$ď$159), "", 'Data Entry'!$ď$159)</f>
      </c>
      <c r="GZ159">
        <f>IF(ISBLANK('Data Entry'!$Đ$159), "", 'Data Entry'!$Đ$159)</f>
      </c>
      <c r="HA159">
        <f>IF(ISBLANK('Data Entry'!$đ$159), "", 'Data Entry'!$đ$159)</f>
      </c>
      <c r="HB159">
        <f>IF(ISBLANK('Data Entry'!$Ē$159), "", 'Data Entry'!$Ē$159)</f>
      </c>
      <c r="HC159">
        <f>IF(ISBLANK('Data Entry'!$ē$159), "", 'Data Entry'!$ē$159)</f>
      </c>
      <c r="HD159">
        <f>IF(ISBLANK('Data Entry'!$Ĕ$159), "", 'Data Entry'!$Ĕ$159)</f>
      </c>
      <c r="HE159">
        <f>IF(ISBLANK('Data Entry'!$ĕ$159), "", 'Data Entry'!$ĕ$159)</f>
      </c>
      <c r="HF159">
        <f>IF(ISBLANK('Data Entry'!$Ė$159), "", 'Data Entry'!$Ė$159)</f>
      </c>
      <c r="HG159">
        <f>IF(ISBLANK('Data Entry'!$ė$159), "", 'Data Entry'!$ė$159)</f>
      </c>
      <c r="HH159">
        <f>IF(ISBLANK('Data Entry'!$Ę$159), "", 'Data Entry'!$Ę$159)</f>
      </c>
      <c r="HI159">
        <f>IF(ISBLANK('Data Entry'!$ę$159), "", 'Data Entry'!$ę$159)</f>
      </c>
      <c r="HJ159">
        <f>IF(ISBLANK('Data Entry'!$Ě$159), "", 'Data Entry'!$Ě$159)</f>
      </c>
      <c r="HK159">
        <f>IF(ISBLANK('Data Entry'!$ě$159), "", 'Data Entry'!$ě$159)</f>
      </c>
      <c r="HL159">
        <f>IF(ISBLANK('Data Entry'!$Ĝ$159), "", 'Data Entry'!$Ĝ$159)</f>
      </c>
      <c r="HM159">
        <f>IF(ISBLANK('Data Entry'!$ĝ$159), "", 'Data Entry'!$ĝ$159)</f>
      </c>
      <c r="HN159">
        <f>IF(ISBLANK('Data Entry'!$Ğ$159), "", 'Data Entry'!$Ğ$159)</f>
      </c>
      <c r="HO159">
        <f>IF(ISBLANK('Data Entry'!$ğ$159), "", 'Data Entry'!$ğ$159)</f>
      </c>
      <c r="HP159">
        <f>IF(ISBLANK('Data Entry'!$Ġ$159), "", 'Data Entry'!$Ġ$159)</f>
      </c>
      <c r="HQ159">
        <f>IF(ISBLANK('Data Entry'!$ġ$159), "", 'Data Entry'!$ġ$159)</f>
      </c>
      <c r="HR159">
        <f>IF(ISBLANK('Data Entry'!$Ģ$159), "", 'Data Entry'!$Ģ$159)</f>
      </c>
      <c r="HS159">
        <f>IF(ISBLANK('Data Entry'!$ģ$159), "", 'Data Entry'!$ģ$159)</f>
      </c>
      <c r="HT159">
        <f>IF(ISBLANK('Data Entry'!$Ĥ$159), "", 'Data Entry'!$Ĥ$159)</f>
      </c>
      <c r="HU159">
        <f>IF(ISBLANK('Data Entry'!$ĥ$159), "", 'Data Entry'!$ĥ$159)</f>
      </c>
      <c r="HV159">
        <f>IF(ISBLANK('Data Entry'!$Ħ$159), "", 'Data Entry'!$Ħ$159)</f>
      </c>
      <c r="HW159">
        <f>IF(ISBLANK('Data Entry'!$ħ$159), "", 'Data Entry'!$ħ$159)</f>
      </c>
      <c r="HX159">
        <f>IF(ISBLANK('Data Entry'!$Ĩ$159), "", 'Data Entry'!$Ĩ$159)</f>
      </c>
      <c r="HY159">
        <f>IF(ISBLANK('Data Entry'!$ĩ$159), "", 'Data Entry'!$ĩ$159)</f>
      </c>
      <c r="HZ159">
        <f>IF(ISBLANK('Data Entry'!$Ī$159), "", 'Data Entry'!$Ī$159)</f>
      </c>
      <c r="IA159">
        <f>IF(ISBLANK('Data Entry'!$ī$159), "", 'Data Entry'!$ī$159)</f>
      </c>
      <c r="IB159">
        <f>IF(ISBLANK('Data Entry'!$Ĭ$159), "", 'Data Entry'!$Ĭ$159)</f>
      </c>
      <c r="IC159">
        <f>IF(ISBLANK('Data Entry'!$ĭ$159), "", 'Data Entry'!$ĭ$159)</f>
      </c>
      <c r="ID159">
        <f>IF(ISBLANK('Data Entry'!$Į$159), "", 'Data Entry'!$Į$159)</f>
      </c>
      <c r="IE159">
        <f>IF(ISBLANK('Data Entry'!$į$159), "", 'Data Entry'!$į$159)</f>
      </c>
      <c r="IF159">
        <f>IF(ISBLANK('Data Entry'!$İ$159), "", 'Data Entry'!$İ$159)</f>
      </c>
      <c r="IG159">
        <f>IF(ISBLANK('Data Entry'!$ı$159), "", 'Data Entry'!$ı$159)</f>
      </c>
      <c r="IH159">
        <f>IF(ISBLANK('Data Entry'!$Ĳ$159), "", 'Data Entry'!$Ĳ$159)</f>
      </c>
      <c r="II159">
        <f>IF(ISBLANK('Data Entry'!$ĳ$159), "", 'Data Entry'!$ĳ$159)</f>
      </c>
      <c r="IJ159">
        <f>IF(ISBLANK('Data Entry'!$Ĵ$159), "", 'Data Entry'!$Ĵ$159)</f>
      </c>
      <c r="IK159">
        <f>IF(ISBLANK('Data Entry'!$ĵ$159), "", 'Data Entry'!$ĵ$159)</f>
      </c>
      <c r="IL159">
        <f>IF(ISBLANK('Data Entry'!$Ķ$159), "", 'Data Entry'!$Ķ$159)</f>
      </c>
      <c r="IM159">
        <f>IF(ISBLANK('Data Entry'!$ķ$159), "", 'Data Entry'!$ķ$159)</f>
      </c>
      <c r="IN159">
        <f>IF(ISBLANK('Data Entry'!$ĸ$159), "", 'Data Entry'!$ĸ$159)</f>
      </c>
      <c r="IO159">
        <f>IF(ISBLANK('Data Entry'!$Ĺ$159), "", 'Data Entry'!$Ĺ$159)</f>
      </c>
      <c r="IP159">
        <f>IF(ISBLANK('Data Entry'!$ĺ$159), "", 'Data Entry'!$ĺ$159)</f>
      </c>
      <c r="IQ159">
        <f>IF(ISBLANK('Data Entry'!$Ļ$159), "", 'Data Entry'!$Ļ$159)</f>
      </c>
      <c r="IR159">
        <f>IF(ISBLANK('Data Entry'!$ļ$159), "", 'Data Entry'!$ļ$159)</f>
      </c>
      <c r="IS159">
        <f>IF(ISBLANK('Data Entry'!$Ľ$159), "", 'Data Entry'!$Ľ$159)</f>
      </c>
      <c r="IT159">
        <f>IF(ISBLANK('Data Entry'!$ľ$159), "", 'Data Entry'!$ľ$159)</f>
      </c>
    </row>
    <row r="160" spans="1:254" x14ac:dyDescent="0.25">
      <c r="A160">
        <f>IF(ISBLANK('Data Entry'!$A$160), "", 'Data Entry'!$A$160)</f>
      </c>
      <c r="B160">
        <f>IF(ISBLANK('Data Entry'!$B$160), "", 'Data Entry'!$B$160)</f>
      </c>
      <c r="C160">
        <f>IF(ISBLANK('Data Entry'!$C$160), "", 'Data Entry'!$C$160)</f>
      </c>
      <c r="D160">
        <f>IF(ISBLANK('Data Entry'!$D$160), "", 'Data Entry'!$D$160)</f>
      </c>
      <c r="E160">
        <f>IF(ISBLANK('Data Entry'!$E$160), "", 'Data Entry'!$E$160)</f>
      </c>
      <c r="F160">
        <f>IF(ISBLANK('Data Entry'!$F$160), "", 'Data Entry'!$F$160)</f>
      </c>
      <c r="G160">
        <f>IF(ISBLANK('Data Entry'!$G$160), "", 'Data Entry'!$G$160)</f>
      </c>
      <c r="H160">
        <f>IF(ISBLANK('Data Entry'!$H$160), "", 'Data Entry'!$H$160)</f>
      </c>
      <c r="I160">
        <f>IF(ISBLANK('Data Entry'!$I$160), "", 'Data Entry'!$I$160)</f>
      </c>
      <c r="J160">
        <f>IF(ISBLANK('Data Entry'!$J$160), "", 'Data Entry'!$J$160)</f>
      </c>
      <c r="K160">
        <f>IF(ISBLANK('Data Entry'!$K$160), "", 'Data Entry'!$K$160)</f>
      </c>
      <c r="L160">
        <f>IF(ISBLANK('Data Entry'!$L$160), "", 'Data Entry'!$L$160)</f>
      </c>
      <c r="M160">
        <f>IF(ISBLANK('Data Entry'!$M$160), "", 'Data Entry'!$M$160)</f>
      </c>
      <c r="N160">
        <f>IF(ISBLANK('Data Entry'!$N$160), "", 'Data Entry'!$N$160)</f>
      </c>
      <c r="O160">
        <f>IF(ISBLANK('Data Entry'!$O$160), "", 'Data Entry'!$O$160)</f>
      </c>
      <c r="P160">
        <f>IF(ISBLANK('Data Entry'!$P$160), "", 'Data Entry'!$P$160)</f>
      </c>
      <c r="Q160">
        <f>IF(ISBLANK('Data Entry'!$Q$160), "", 'Data Entry'!$Q$160)</f>
      </c>
      <c r="R160">
        <f>IF(ISBLANK('Data Entry'!$R$160), "", 'Data Entry'!$R$160)</f>
      </c>
      <c r="S160">
        <f>IF(ISBLANK('Data Entry'!$S$160), "", 'Data Entry'!$S$160)</f>
      </c>
      <c r="T160">
        <f>IF(ISBLANK('Data Entry'!$T$160), "", 'Data Entry'!$T$160)</f>
      </c>
      <c r="U160">
        <f>IF(ISBLANK('Data Entry'!$U$160), "", 'Data Entry'!$U$160)</f>
      </c>
      <c r="V160">
        <f>IF(ISBLANK('Data Entry'!$V$160), "", 'Data Entry'!$V$160)</f>
      </c>
      <c r="W160">
        <f>IF(ISBLANK('Data Entry'!$W$160), "", 'Data Entry'!$W$160)</f>
      </c>
      <c r="X160">
        <f>IF(ISBLANK('Data Entry'!$X$160), "", 'Data Entry'!$X$160)</f>
      </c>
      <c r="Y160">
        <f>IF(ISBLANK('Data Entry'!$Y$160), "", 'Data Entry'!$Y$160)</f>
      </c>
      <c r="Z160">
        <f>IF(ISBLANK('Data Entry'!$Z$160), "", 'Data Entry'!$Z$160)</f>
      </c>
      <c r="AA160">
        <f>IF(ISBLANK('Data Entry'!$[$160), "", 'Data Entry'!$[$160)</f>
      </c>
      <c r="AB160">
        <f>IF(ISBLANK('Data Entry'!$\$160), "", 'Data Entry'!$\$160)</f>
      </c>
      <c r="AC160">
        <f>IF(ISBLANK('Data Entry'!$]$160), "", 'Data Entry'!$]$160)</f>
      </c>
      <c r="AD160">
        <f>IF(ISBLANK('Data Entry'!$^$160), "", 'Data Entry'!$^$160)</f>
      </c>
      <c r="AE160">
        <f>IF(ISBLANK('Data Entry'!$_$160), "", 'Data Entry'!$_$160)</f>
      </c>
      <c r="AF160">
        <f>IF(ISBLANK('Data Entry'!$`$160), "", 'Data Entry'!$`$160)</f>
      </c>
      <c r="AG160">
        <f>IF(ISBLANK('Data Entry'!$a$160), "", 'Data Entry'!$a$160)</f>
      </c>
      <c r="AH160">
        <f>IF(ISBLANK('Data Entry'!$b$160), "", 'Data Entry'!$b$160)</f>
      </c>
      <c r="AI160">
        <f>IF(ISBLANK('Data Entry'!$c$160), "", 'Data Entry'!$c$160)</f>
      </c>
      <c r="AJ160">
        <f>IF(ISBLANK('Data Entry'!$d$160), "", 'Data Entry'!$d$160)</f>
      </c>
      <c r="AK160">
        <f>IF(ISBLANK('Data Entry'!$e$160), "", 'Data Entry'!$e$160)</f>
      </c>
      <c r="AL160">
        <f>IF(ISBLANK('Data Entry'!$f$160), "", 'Data Entry'!$f$160)</f>
      </c>
      <c r="AM160">
        <f>IF(ISBLANK('Data Entry'!$g$160), "", 'Data Entry'!$g$160)</f>
      </c>
      <c r="AN160">
        <f>IF(ISBLANK('Data Entry'!$h$160), "", 'Data Entry'!$h$160)</f>
      </c>
      <c r="AO160">
        <f>IF(ISBLANK('Data Entry'!$i$160), "", 'Data Entry'!$i$160)</f>
      </c>
      <c r="AP160">
        <f>IF(ISBLANK('Data Entry'!$j$160), "", 'Data Entry'!$j$160)</f>
      </c>
      <c r="AQ160">
        <f>IF(ISBLANK('Data Entry'!$k$160), "", 'Data Entry'!$k$160)</f>
      </c>
      <c r="AR160">
        <f>IF(ISBLANK('Data Entry'!$l$160), "", 'Data Entry'!$l$160)</f>
      </c>
      <c r="AS160">
        <f>IF(ISBLANK('Data Entry'!$m$160), "", 'Data Entry'!$m$160)</f>
      </c>
      <c r="AT160">
        <f>IF(ISBLANK('Data Entry'!$n$160), "", 'Data Entry'!$n$160)</f>
      </c>
      <c r="AU160">
        <f>IF(ISBLANK('Data Entry'!$o$160), "", 'Data Entry'!$o$160)</f>
      </c>
      <c r="AV160">
        <f>IF(ISBLANK('Data Entry'!$p$160), "", 'Data Entry'!$p$160)</f>
      </c>
      <c r="AW160">
        <f>IF(ISBLANK('Data Entry'!$q$160), "", 'Data Entry'!$q$160)</f>
      </c>
      <c r="AX160">
        <f>IF(ISBLANK('Data Entry'!$r$160), "", 'Data Entry'!$r$160)</f>
      </c>
      <c r="AY160">
        <f>IF(ISBLANK('Data Entry'!$s$160), "", 'Data Entry'!$s$160)</f>
      </c>
      <c r="AZ160">
        <f>IF(ISBLANK('Data Entry'!$t$160), "", 'Data Entry'!$t$160)</f>
      </c>
      <c r="BA160">
        <f>IF(ISBLANK('Data Entry'!$u$160), "", 'Data Entry'!$u$160)</f>
      </c>
      <c r="BB160">
        <f>IF(ISBLANK('Data Entry'!$v$160), "", 'Data Entry'!$v$160)</f>
      </c>
      <c r="BC160">
        <f>IF(ISBLANK('Data Entry'!$w$160), "", 'Data Entry'!$w$160)</f>
      </c>
      <c r="BD160">
        <f>IF(ISBLANK('Data Entry'!$x$160), "", 'Data Entry'!$x$160)</f>
      </c>
      <c r="BE160">
        <f>IF(ISBLANK('Data Entry'!$y$160), "", 'Data Entry'!$y$160)</f>
      </c>
      <c r="BF160">
        <f>IF(ISBLANK('Data Entry'!$z$160), "", 'Data Entry'!$z$160)</f>
      </c>
      <c r="BG160">
        <f>IF(ISBLANK('Data Entry'!${$160), "", 'Data Entry'!${$160)</f>
      </c>
      <c r="BH160">
        <f>IF(ISBLANK('Data Entry'!$|$160), "", 'Data Entry'!$|$160)</f>
      </c>
      <c r="BI160">
        <f>IF(ISBLANK('Data Entry'!$}$160), "", 'Data Entry'!$}$160)</f>
      </c>
      <c r="BJ160">
        <f>IF(ISBLANK('Data Entry'!$~$160), "", 'Data Entry'!$~$160)</f>
      </c>
      <c r="BK160">
        <f>IF(ISBLANK('Data Entry'!$$160), "", 'Data Entry'!$$160)</f>
      </c>
      <c r="BL160">
        <f>IF(ISBLANK('Data Entry'!$$160), "", 'Data Entry'!$$160)</f>
      </c>
      <c r="BM160">
        <f>IF(ISBLANK('Data Entry'!$$160), "", 'Data Entry'!$$160)</f>
      </c>
      <c r="BN160">
        <f>IF(ISBLANK('Data Entry'!$$160), "", 'Data Entry'!$$160)</f>
      </c>
      <c r="BO160">
        <f>IF(ISBLANK('Data Entry'!$$160), "", 'Data Entry'!$$160)</f>
      </c>
      <c r="BP160">
        <f>IF(ISBLANK('Data Entry'!$$160), "", 'Data Entry'!$$160)</f>
      </c>
      <c r="BQ160">
        <f>IF(ISBLANK('Data Entry'!$$160), "", 'Data Entry'!$$160)</f>
      </c>
      <c r="BR160">
        <f>IF(ISBLANK('Data Entry'!$$160), "", 'Data Entry'!$$160)</f>
      </c>
      <c r="BS160">
        <f>IF(ISBLANK('Data Entry'!$$160), "", 'Data Entry'!$$160)</f>
      </c>
      <c r="BT160">
        <f>IF(ISBLANK('Data Entry'!$$160), "", 'Data Entry'!$$160)</f>
      </c>
      <c r="BU160">
        <f>IF(ISBLANK('Data Entry'!$$160), "", 'Data Entry'!$$160)</f>
      </c>
      <c r="BV160">
        <f>IF(ISBLANK('Data Entry'!$$160), "", 'Data Entry'!$$160)</f>
      </c>
      <c r="BW160">
        <f>IF(ISBLANK('Data Entry'!$$160), "", 'Data Entry'!$$160)</f>
      </c>
      <c r="BX160">
        <f>IF(ISBLANK('Data Entry'!$$160), "", 'Data Entry'!$$160)</f>
      </c>
      <c r="BY160">
        <f>IF(ISBLANK('Data Entry'!$$160), "", 'Data Entry'!$$160)</f>
      </c>
      <c r="BZ160">
        <f>IF(ISBLANK('Data Entry'!$$160), "", 'Data Entry'!$$160)</f>
      </c>
      <c r="CA160">
        <f>IF(ISBLANK('Data Entry'!$$160), "", 'Data Entry'!$$160)</f>
      </c>
      <c r="CB160">
        <f>IF(ISBLANK('Data Entry'!$$160), "", 'Data Entry'!$$160)</f>
      </c>
      <c r="CC160">
        <f>IF(ISBLANK('Data Entry'!$$160), "", 'Data Entry'!$$160)</f>
      </c>
      <c r="CD160">
        <f>IF(ISBLANK('Data Entry'!$$160), "", 'Data Entry'!$$160)</f>
      </c>
      <c r="CE160">
        <f>IF(ISBLANK('Data Entry'!$$160), "", 'Data Entry'!$$160)</f>
      </c>
      <c r="CF160">
        <f>IF(ISBLANK('Data Entry'!$$160), "", 'Data Entry'!$$160)</f>
      </c>
      <c r="CG160">
        <f>IF(ISBLANK('Data Entry'!$$160), "", 'Data Entry'!$$160)</f>
      </c>
      <c r="CH160">
        <f>IF(ISBLANK('Data Entry'!$$160), "", 'Data Entry'!$$160)</f>
      </c>
      <c r="CI160">
        <f>IF(ISBLANK('Data Entry'!$$160), "", 'Data Entry'!$$160)</f>
      </c>
      <c r="CJ160">
        <f>IF(ISBLANK('Data Entry'!$$160), "", 'Data Entry'!$$160)</f>
      </c>
      <c r="CK160">
        <f>IF(ISBLANK('Data Entry'!$$160), "", 'Data Entry'!$$160)</f>
      </c>
      <c r="CL160">
        <f>IF(ISBLANK('Data Entry'!$$160), "", 'Data Entry'!$$160)</f>
      </c>
      <c r="CM160">
        <f>IF(ISBLANK('Data Entry'!$$160), "", 'Data Entry'!$$160)</f>
      </c>
      <c r="CN160">
        <f>IF(ISBLANK('Data Entry'!$$160), "", 'Data Entry'!$$160)</f>
      </c>
      <c r="CO160">
        <f>IF(ISBLANK('Data Entry'!$$160), "", 'Data Entry'!$$160)</f>
      </c>
      <c r="CP160">
        <f>IF(ISBLANK('Data Entry'!$$160), "", 'Data Entry'!$$160)</f>
      </c>
      <c r="CQ160">
        <f>IF(ISBLANK('Data Entry'!$$160), "", 'Data Entry'!$$160)</f>
      </c>
      <c r="CR160">
        <f>IF(ISBLANK('Data Entry'!$ $160), "", 'Data Entry'!$ $160)</f>
      </c>
      <c r="CS160">
        <f>IF(ISBLANK('Data Entry'!$¡$160), "", 'Data Entry'!$¡$160)</f>
      </c>
      <c r="CT160">
        <f>IF(ISBLANK('Data Entry'!$¢$160), "", 'Data Entry'!$¢$160)</f>
      </c>
      <c r="CU160">
        <f>IF(ISBLANK('Data Entry'!$£$160), "", 'Data Entry'!$£$160)</f>
      </c>
      <c r="CV160">
        <f>IF(ISBLANK('Data Entry'!$¤$160), "", 'Data Entry'!$¤$160)</f>
      </c>
      <c r="CW160">
        <f>IF(ISBLANK('Data Entry'!$¥$160), "", 'Data Entry'!$¥$160)</f>
      </c>
      <c r="CX160">
        <f>IF(ISBLANK('Data Entry'!$¦$160), "", 'Data Entry'!$¦$160)</f>
      </c>
      <c r="CY160">
        <f>IF(ISBLANK('Data Entry'!$§$160), "", 'Data Entry'!$§$160)</f>
      </c>
      <c r="CZ160">
        <f>IF(ISBLANK('Data Entry'!$¨$160), "", 'Data Entry'!$¨$160)</f>
      </c>
      <c r="DA160">
        <f>IF(ISBLANK('Data Entry'!$©$160), "", 'Data Entry'!$©$160)</f>
      </c>
      <c r="DB160">
        <f>IF(ISBLANK('Data Entry'!$ª$160), "", 'Data Entry'!$ª$160)</f>
      </c>
      <c r="DC160">
        <f>IF(ISBLANK('Data Entry'!$«$160), "", 'Data Entry'!$«$160)</f>
      </c>
      <c r="DD160">
        <f>IF(ISBLANK('Data Entry'!$¬$160), "", 'Data Entry'!$¬$160)</f>
      </c>
      <c r="DE160">
        <f>IF(ISBLANK('Data Entry'!$­$160), "", 'Data Entry'!$­$160)</f>
      </c>
      <c r="DF160">
        <f>IF(ISBLANK('Data Entry'!$®$160), "", 'Data Entry'!$®$160)</f>
      </c>
      <c r="DG160">
        <f>IF(ISBLANK('Data Entry'!$¯$160), "", 'Data Entry'!$¯$160)</f>
      </c>
      <c r="DH160">
        <f>IF(ISBLANK('Data Entry'!$°$160), "", 'Data Entry'!$°$160)</f>
      </c>
      <c r="DI160">
        <f>IF(ISBLANK('Data Entry'!$±$160), "", 'Data Entry'!$±$160)</f>
      </c>
      <c r="DJ160">
        <f>IF(ISBLANK('Data Entry'!$²$160), "", 'Data Entry'!$²$160)</f>
      </c>
      <c r="DK160">
        <f>IF(ISBLANK('Data Entry'!$³$160), "", 'Data Entry'!$³$160)</f>
      </c>
      <c r="DL160">
        <f>IF(ISBLANK('Data Entry'!$´$160), "", 'Data Entry'!$´$160)</f>
      </c>
      <c r="DM160">
        <f>IF(ISBLANK('Data Entry'!$µ$160), "", 'Data Entry'!$µ$160)</f>
      </c>
      <c r="DN160">
        <f>IF(ISBLANK('Data Entry'!$¶$160), "", 'Data Entry'!$¶$160)</f>
      </c>
      <c r="DO160">
        <f>IF(ISBLANK('Data Entry'!$·$160), "", 'Data Entry'!$·$160)</f>
      </c>
      <c r="DP160">
        <f>IF(ISBLANK('Data Entry'!$¸$160), "", 'Data Entry'!$¸$160)</f>
      </c>
      <c r="DQ160">
        <f>IF(ISBLANK('Data Entry'!$¹$160), "", 'Data Entry'!$¹$160)</f>
      </c>
      <c r="DR160">
        <f>IF(ISBLANK('Data Entry'!$º$160), "", 'Data Entry'!$º$160)</f>
      </c>
      <c r="DS160">
        <f>IF(ISBLANK('Data Entry'!$»$160), "", 'Data Entry'!$»$160)</f>
      </c>
      <c r="DT160">
        <f>IF(ISBLANK('Data Entry'!$¼$160), "", 'Data Entry'!$¼$160)</f>
      </c>
      <c r="DU160">
        <f>IF(ISBLANK('Data Entry'!$½$160), "", 'Data Entry'!$½$160)</f>
      </c>
      <c r="DV160">
        <f>IF(ISBLANK('Data Entry'!$¾$160), "", 'Data Entry'!$¾$160)</f>
      </c>
      <c r="DW160">
        <f>IF(ISBLANK('Data Entry'!$¿$160), "", 'Data Entry'!$¿$160)</f>
      </c>
      <c r="DX160">
        <f>IF(ISBLANK('Data Entry'!$À$160), "", 'Data Entry'!$À$160)</f>
      </c>
      <c r="DY160">
        <f>IF(ISBLANK('Data Entry'!$Á$160), "", 'Data Entry'!$Á$160)</f>
      </c>
      <c r="DZ160">
        <f>IF(ISBLANK('Data Entry'!$Â$160), "", 'Data Entry'!$Â$160)</f>
      </c>
      <c r="EA160">
        <f>IF(ISBLANK('Data Entry'!$Ã$160), "", 'Data Entry'!$Ã$160)</f>
      </c>
      <c r="EB160">
        <f>IF(ISBLANK('Data Entry'!$Ä$160), "", 'Data Entry'!$Ä$160)</f>
      </c>
      <c r="EC160">
        <f>IF(ISBLANK('Data Entry'!$Å$160), "", 'Data Entry'!$Å$160)</f>
      </c>
      <c r="ED160">
        <f>IF(ISBLANK('Data Entry'!$Æ$160), "", 'Data Entry'!$Æ$160)</f>
      </c>
      <c r="EE160">
        <f>IF(ISBLANK('Data Entry'!$Ç$160), "", 'Data Entry'!$Ç$160)</f>
      </c>
      <c r="EF160">
        <f>IF(ISBLANK('Data Entry'!$È$160), "", 'Data Entry'!$È$160)</f>
      </c>
      <c r="EG160">
        <f>IF(ISBLANK('Data Entry'!$É$160), "", 'Data Entry'!$É$160)</f>
      </c>
      <c r="EH160">
        <f>IF(ISBLANK('Data Entry'!$Ê$160), "", 'Data Entry'!$Ê$160)</f>
      </c>
      <c r="EI160">
        <f>IF(ISBLANK('Data Entry'!$Ë$160), "", 'Data Entry'!$Ë$160)</f>
      </c>
      <c r="EJ160">
        <f>IF(ISBLANK('Data Entry'!$Ì$160), "", 'Data Entry'!$Ì$160)</f>
      </c>
      <c r="EK160">
        <f>IF(ISBLANK('Data Entry'!$Í$160), "", 'Data Entry'!$Í$160)</f>
      </c>
      <c r="EL160">
        <f>IF(ISBLANK('Data Entry'!$Î$160), "", 'Data Entry'!$Î$160)</f>
      </c>
      <c r="EM160">
        <f>IF(ISBLANK('Data Entry'!$Ï$160), "", 'Data Entry'!$Ï$160)</f>
      </c>
      <c r="EN160">
        <f>IF(ISBLANK('Data Entry'!$Ð$160), "", 'Data Entry'!$Ð$160)</f>
      </c>
      <c r="EO160">
        <f>IF(ISBLANK('Data Entry'!$Ñ$160), "", 'Data Entry'!$Ñ$160)</f>
      </c>
      <c r="EP160">
        <f>IF(ISBLANK('Data Entry'!$Ò$160), "", 'Data Entry'!$Ò$160)</f>
      </c>
      <c r="EQ160">
        <f>IF(ISBLANK('Data Entry'!$Ó$160), "", 'Data Entry'!$Ó$160)</f>
      </c>
      <c r="ER160">
        <f>IF(ISBLANK('Data Entry'!$Ô$160), "", 'Data Entry'!$Ô$160)</f>
      </c>
      <c r="ES160">
        <f>IF(ISBLANK('Data Entry'!$Õ$160), "", 'Data Entry'!$Õ$160)</f>
      </c>
      <c r="ET160">
        <f>IF(ISBLANK('Data Entry'!$Ö$160), "", 'Data Entry'!$Ö$160)</f>
      </c>
      <c r="EU160">
        <f>IF(ISBLANK('Data Entry'!$×$160), "", 'Data Entry'!$×$160)</f>
      </c>
      <c r="EV160">
        <f>IF(ISBLANK('Data Entry'!$Ø$160), "", 'Data Entry'!$Ø$160)</f>
      </c>
      <c r="EW160">
        <f>IF(ISBLANK('Data Entry'!$Ù$160), "", 'Data Entry'!$Ù$160)</f>
      </c>
      <c r="EX160">
        <f>IF(ISBLANK('Data Entry'!$Ú$160), "", 'Data Entry'!$Ú$160)</f>
      </c>
      <c r="EY160">
        <f>IF(ISBLANK('Data Entry'!$Û$160), "", 'Data Entry'!$Û$160)</f>
      </c>
      <c r="EZ160">
        <f>IF(ISBLANK('Data Entry'!$Ü$160), "", 'Data Entry'!$Ü$160)</f>
      </c>
      <c r="FA160">
        <f>IF(ISBLANK('Data Entry'!$Ý$160), "", 'Data Entry'!$Ý$160)</f>
      </c>
      <c r="FB160">
        <f>IF(ISBLANK('Data Entry'!$Þ$160), "", 'Data Entry'!$Þ$160)</f>
      </c>
      <c r="FC160">
        <f>IF(ISBLANK('Data Entry'!$ß$160), "", 'Data Entry'!$ß$160)</f>
      </c>
      <c r="FD160">
        <f>IF(ISBLANK('Data Entry'!$à$160), "", 'Data Entry'!$à$160)</f>
      </c>
      <c r="FE160">
        <f>IF(ISBLANK('Data Entry'!$á$160), "", 'Data Entry'!$á$160)</f>
      </c>
      <c r="FF160">
        <f>IF(ISBLANK('Data Entry'!$â$160), "", 'Data Entry'!$â$160)</f>
      </c>
      <c r="FG160">
        <f>IF(ISBLANK('Data Entry'!$ã$160), "", 'Data Entry'!$ã$160)</f>
      </c>
      <c r="FH160">
        <f>IF(ISBLANK('Data Entry'!$ä$160), "", 'Data Entry'!$ä$160)</f>
      </c>
      <c r="FI160">
        <f>IF(ISBLANK('Data Entry'!$å$160), "", 'Data Entry'!$å$160)</f>
      </c>
      <c r="FJ160">
        <f>IF(ISBLANK('Data Entry'!$æ$160), "", 'Data Entry'!$æ$160)</f>
      </c>
      <c r="FK160">
        <f>IF(ISBLANK('Data Entry'!$ç$160), "", 'Data Entry'!$ç$160)</f>
      </c>
      <c r="FL160">
        <f>IF(ISBLANK('Data Entry'!$è$160), "", 'Data Entry'!$è$160)</f>
      </c>
      <c r="FM160">
        <f>IF(ISBLANK('Data Entry'!$é$160), "", 'Data Entry'!$é$160)</f>
      </c>
      <c r="FN160">
        <f>IF(ISBLANK('Data Entry'!$ê$160), "", 'Data Entry'!$ê$160)</f>
      </c>
      <c r="FO160">
        <f>IF(ISBLANK('Data Entry'!$ë$160), "", 'Data Entry'!$ë$160)</f>
      </c>
      <c r="FP160">
        <f>IF(ISBLANK('Data Entry'!$ì$160), "", 'Data Entry'!$ì$160)</f>
      </c>
      <c r="FQ160">
        <f>IF(ISBLANK('Data Entry'!$í$160), "", 'Data Entry'!$í$160)</f>
      </c>
      <c r="FR160">
        <f>IF(ISBLANK('Data Entry'!$î$160), "", 'Data Entry'!$î$160)</f>
      </c>
      <c r="FS160">
        <f>IF(ISBLANK('Data Entry'!$ï$160), "", 'Data Entry'!$ï$160)</f>
      </c>
      <c r="FT160">
        <f>IF(ISBLANK('Data Entry'!$ð$160), "", 'Data Entry'!$ð$160)</f>
      </c>
      <c r="FU160">
        <f>IF(ISBLANK('Data Entry'!$ñ$160), "", 'Data Entry'!$ñ$160)</f>
      </c>
      <c r="FV160">
        <f>IF(ISBLANK('Data Entry'!$ò$160), "", 'Data Entry'!$ò$160)</f>
      </c>
      <c r="FW160">
        <f>IF(ISBLANK('Data Entry'!$ó$160), "", 'Data Entry'!$ó$160)</f>
      </c>
      <c r="FX160">
        <f>IF(ISBLANK('Data Entry'!$ô$160), "", 'Data Entry'!$ô$160)</f>
      </c>
      <c r="FY160">
        <f>IF(ISBLANK('Data Entry'!$õ$160), "", 'Data Entry'!$õ$160)</f>
      </c>
      <c r="FZ160">
        <f>IF(ISBLANK('Data Entry'!$ö$160), "", 'Data Entry'!$ö$160)</f>
      </c>
      <c r="GA160">
        <f>IF(ISBLANK('Data Entry'!$÷$160), "", 'Data Entry'!$÷$160)</f>
      </c>
      <c r="GB160">
        <f>IF(ISBLANK('Data Entry'!$ø$160), "", 'Data Entry'!$ø$160)</f>
      </c>
      <c r="GC160">
        <f>IF(ISBLANK('Data Entry'!$ù$160), "", 'Data Entry'!$ù$160)</f>
      </c>
      <c r="GD160">
        <f>IF(ISBLANK('Data Entry'!$ú$160), "", 'Data Entry'!$ú$160)</f>
      </c>
      <c r="GE160">
        <f>IF(ISBLANK('Data Entry'!$û$160), "", 'Data Entry'!$û$160)</f>
      </c>
      <c r="GF160">
        <f>IF(ISBLANK('Data Entry'!$ü$160), "", 'Data Entry'!$ü$160)</f>
      </c>
      <c r="GG160">
        <f>IF(ISBLANK('Data Entry'!$ý$160), "", 'Data Entry'!$ý$160)</f>
      </c>
      <c r="GH160">
        <f>IF(ISBLANK('Data Entry'!$þ$160), "", 'Data Entry'!$þ$160)</f>
      </c>
      <c r="GI160">
        <f>IF(ISBLANK('Data Entry'!$ÿ$160), "", 'Data Entry'!$ÿ$160)</f>
      </c>
      <c r="GJ160">
        <f>IF(ISBLANK('Data Entry'!$Ā$160), "", 'Data Entry'!$Ā$160)</f>
      </c>
      <c r="GK160">
        <f>IF(ISBLANK('Data Entry'!$ā$160), "", 'Data Entry'!$ā$160)</f>
      </c>
      <c r="GL160">
        <f>IF(ISBLANK('Data Entry'!$Ă$160), "", 'Data Entry'!$Ă$160)</f>
      </c>
      <c r="GM160">
        <f>IF(ISBLANK('Data Entry'!$ă$160), "", 'Data Entry'!$ă$160)</f>
      </c>
      <c r="GN160">
        <f>IF(ISBLANK('Data Entry'!$Ą$160), "", 'Data Entry'!$Ą$160)</f>
      </c>
      <c r="GO160">
        <f>IF(ISBLANK('Data Entry'!$ą$160), "", 'Data Entry'!$ą$160)</f>
      </c>
      <c r="GP160">
        <f>IF(ISBLANK('Data Entry'!$Ć$160), "", 'Data Entry'!$Ć$160)</f>
      </c>
      <c r="GQ160">
        <f>IF(ISBLANK('Data Entry'!$ć$160), "", 'Data Entry'!$ć$160)</f>
      </c>
      <c r="GR160">
        <f>IF(ISBLANK('Data Entry'!$Ĉ$160), "", 'Data Entry'!$Ĉ$160)</f>
      </c>
      <c r="GS160">
        <f>IF(ISBLANK('Data Entry'!$ĉ$160), "", 'Data Entry'!$ĉ$160)</f>
      </c>
      <c r="GT160">
        <f>IF(ISBLANK('Data Entry'!$Ċ$160), "", 'Data Entry'!$Ċ$160)</f>
      </c>
      <c r="GU160">
        <f>IF(ISBLANK('Data Entry'!$ċ$160), "", 'Data Entry'!$ċ$160)</f>
      </c>
      <c r="GV160">
        <f>IF(ISBLANK('Data Entry'!$Č$160), "", 'Data Entry'!$Č$160)</f>
      </c>
      <c r="GW160">
        <f>IF(ISBLANK('Data Entry'!$č$160), "", 'Data Entry'!$č$160)</f>
      </c>
      <c r="GX160">
        <f>IF(ISBLANK('Data Entry'!$Ď$160), "", 'Data Entry'!$Ď$160)</f>
      </c>
      <c r="GY160">
        <f>IF(ISBLANK('Data Entry'!$ď$160), "", 'Data Entry'!$ď$160)</f>
      </c>
      <c r="GZ160">
        <f>IF(ISBLANK('Data Entry'!$Đ$160), "", 'Data Entry'!$Đ$160)</f>
      </c>
      <c r="HA160">
        <f>IF(ISBLANK('Data Entry'!$đ$160), "", 'Data Entry'!$đ$160)</f>
      </c>
      <c r="HB160">
        <f>IF(ISBLANK('Data Entry'!$Ē$160), "", 'Data Entry'!$Ē$160)</f>
      </c>
      <c r="HC160">
        <f>IF(ISBLANK('Data Entry'!$ē$160), "", 'Data Entry'!$ē$160)</f>
      </c>
      <c r="HD160">
        <f>IF(ISBLANK('Data Entry'!$Ĕ$160), "", 'Data Entry'!$Ĕ$160)</f>
      </c>
      <c r="HE160">
        <f>IF(ISBLANK('Data Entry'!$ĕ$160), "", 'Data Entry'!$ĕ$160)</f>
      </c>
      <c r="HF160">
        <f>IF(ISBLANK('Data Entry'!$Ė$160), "", 'Data Entry'!$Ė$160)</f>
      </c>
      <c r="HG160">
        <f>IF(ISBLANK('Data Entry'!$ė$160), "", 'Data Entry'!$ė$160)</f>
      </c>
      <c r="HH160">
        <f>IF(ISBLANK('Data Entry'!$Ę$160), "", 'Data Entry'!$Ę$160)</f>
      </c>
      <c r="HI160">
        <f>IF(ISBLANK('Data Entry'!$ę$160), "", 'Data Entry'!$ę$160)</f>
      </c>
      <c r="HJ160">
        <f>IF(ISBLANK('Data Entry'!$Ě$160), "", 'Data Entry'!$Ě$160)</f>
      </c>
      <c r="HK160">
        <f>IF(ISBLANK('Data Entry'!$ě$160), "", 'Data Entry'!$ě$160)</f>
      </c>
      <c r="HL160">
        <f>IF(ISBLANK('Data Entry'!$Ĝ$160), "", 'Data Entry'!$Ĝ$160)</f>
      </c>
      <c r="HM160">
        <f>IF(ISBLANK('Data Entry'!$ĝ$160), "", 'Data Entry'!$ĝ$160)</f>
      </c>
      <c r="HN160">
        <f>IF(ISBLANK('Data Entry'!$Ğ$160), "", 'Data Entry'!$Ğ$160)</f>
      </c>
      <c r="HO160">
        <f>IF(ISBLANK('Data Entry'!$ğ$160), "", 'Data Entry'!$ğ$160)</f>
      </c>
      <c r="HP160">
        <f>IF(ISBLANK('Data Entry'!$Ġ$160), "", 'Data Entry'!$Ġ$160)</f>
      </c>
      <c r="HQ160">
        <f>IF(ISBLANK('Data Entry'!$ġ$160), "", 'Data Entry'!$ġ$160)</f>
      </c>
      <c r="HR160">
        <f>IF(ISBLANK('Data Entry'!$Ģ$160), "", 'Data Entry'!$Ģ$160)</f>
      </c>
      <c r="HS160">
        <f>IF(ISBLANK('Data Entry'!$ģ$160), "", 'Data Entry'!$ģ$160)</f>
      </c>
      <c r="HT160">
        <f>IF(ISBLANK('Data Entry'!$Ĥ$160), "", 'Data Entry'!$Ĥ$160)</f>
      </c>
      <c r="HU160">
        <f>IF(ISBLANK('Data Entry'!$ĥ$160), "", 'Data Entry'!$ĥ$160)</f>
      </c>
      <c r="HV160">
        <f>IF(ISBLANK('Data Entry'!$Ħ$160), "", 'Data Entry'!$Ħ$160)</f>
      </c>
      <c r="HW160">
        <f>IF(ISBLANK('Data Entry'!$ħ$160), "", 'Data Entry'!$ħ$160)</f>
      </c>
      <c r="HX160">
        <f>IF(ISBLANK('Data Entry'!$Ĩ$160), "", 'Data Entry'!$Ĩ$160)</f>
      </c>
      <c r="HY160">
        <f>IF(ISBLANK('Data Entry'!$ĩ$160), "", 'Data Entry'!$ĩ$160)</f>
      </c>
      <c r="HZ160">
        <f>IF(ISBLANK('Data Entry'!$Ī$160), "", 'Data Entry'!$Ī$160)</f>
      </c>
      <c r="IA160">
        <f>IF(ISBLANK('Data Entry'!$ī$160), "", 'Data Entry'!$ī$160)</f>
      </c>
      <c r="IB160">
        <f>IF(ISBLANK('Data Entry'!$Ĭ$160), "", 'Data Entry'!$Ĭ$160)</f>
      </c>
      <c r="IC160">
        <f>IF(ISBLANK('Data Entry'!$ĭ$160), "", 'Data Entry'!$ĭ$160)</f>
      </c>
      <c r="ID160">
        <f>IF(ISBLANK('Data Entry'!$Į$160), "", 'Data Entry'!$Į$160)</f>
      </c>
      <c r="IE160">
        <f>IF(ISBLANK('Data Entry'!$į$160), "", 'Data Entry'!$į$160)</f>
      </c>
      <c r="IF160">
        <f>IF(ISBLANK('Data Entry'!$İ$160), "", 'Data Entry'!$İ$160)</f>
      </c>
      <c r="IG160">
        <f>IF(ISBLANK('Data Entry'!$ı$160), "", 'Data Entry'!$ı$160)</f>
      </c>
      <c r="IH160">
        <f>IF(ISBLANK('Data Entry'!$Ĳ$160), "", 'Data Entry'!$Ĳ$160)</f>
      </c>
      <c r="II160">
        <f>IF(ISBLANK('Data Entry'!$ĳ$160), "", 'Data Entry'!$ĳ$160)</f>
      </c>
      <c r="IJ160">
        <f>IF(ISBLANK('Data Entry'!$Ĵ$160), "", 'Data Entry'!$Ĵ$160)</f>
      </c>
      <c r="IK160">
        <f>IF(ISBLANK('Data Entry'!$ĵ$160), "", 'Data Entry'!$ĵ$160)</f>
      </c>
      <c r="IL160">
        <f>IF(ISBLANK('Data Entry'!$Ķ$160), "", 'Data Entry'!$Ķ$160)</f>
      </c>
      <c r="IM160">
        <f>IF(ISBLANK('Data Entry'!$ķ$160), "", 'Data Entry'!$ķ$160)</f>
      </c>
      <c r="IN160">
        <f>IF(ISBLANK('Data Entry'!$ĸ$160), "", 'Data Entry'!$ĸ$160)</f>
      </c>
      <c r="IO160">
        <f>IF(ISBLANK('Data Entry'!$Ĺ$160), "", 'Data Entry'!$Ĺ$160)</f>
      </c>
      <c r="IP160">
        <f>IF(ISBLANK('Data Entry'!$ĺ$160), "", 'Data Entry'!$ĺ$160)</f>
      </c>
      <c r="IQ160">
        <f>IF(ISBLANK('Data Entry'!$Ļ$160), "", 'Data Entry'!$Ļ$160)</f>
      </c>
      <c r="IR160">
        <f>IF(ISBLANK('Data Entry'!$ļ$160), "", 'Data Entry'!$ļ$160)</f>
      </c>
      <c r="IS160">
        <f>IF(ISBLANK('Data Entry'!$Ľ$160), "", 'Data Entry'!$Ľ$160)</f>
      </c>
      <c r="IT160">
        <f>IF(ISBLANK('Data Entry'!$ľ$160), "", 'Data Entry'!$ľ$160)</f>
      </c>
    </row>
    <row r="161" spans="1:254" x14ac:dyDescent="0.25">
      <c r="A161">
        <f>IF(ISBLANK('Data Entry'!$A$161), "", 'Data Entry'!$A$161)</f>
      </c>
      <c r="B161">
        <f>IF(ISBLANK('Data Entry'!$B$161), "", 'Data Entry'!$B$161)</f>
      </c>
      <c r="C161">
        <f>IF(ISBLANK('Data Entry'!$C$161), "", 'Data Entry'!$C$161)</f>
      </c>
      <c r="D161">
        <f>IF(ISBLANK('Data Entry'!$D$161), "", 'Data Entry'!$D$161)</f>
      </c>
      <c r="E161">
        <f>IF(ISBLANK('Data Entry'!$E$161), "", 'Data Entry'!$E$161)</f>
      </c>
      <c r="F161">
        <f>IF(ISBLANK('Data Entry'!$F$161), "", 'Data Entry'!$F$161)</f>
      </c>
      <c r="G161">
        <f>IF(ISBLANK('Data Entry'!$G$161), "", 'Data Entry'!$G$161)</f>
      </c>
      <c r="H161">
        <f>IF(ISBLANK('Data Entry'!$H$161), "", 'Data Entry'!$H$161)</f>
      </c>
      <c r="I161">
        <f>IF(ISBLANK('Data Entry'!$I$161), "", 'Data Entry'!$I$161)</f>
      </c>
      <c r="J161">
        <f>IF(ISBLANK('Data Entry'!$J$161), "", 'Data Entry'!$J$161)</f>
      </c>
      <c r="K161">
        <f>IF(ISBLANK('Data Entry'!$K$161), "", 'Data Entry'!$K$161)</f>
      </c>
      <c r="L161">
        <f>IF(ISBLANK('Data Entry'!$L$161), "", 'Data Entry'!$L$161)</f>
      </c>
      <c r="M161">
        <f>IF(ISBLANK('Data Entry'!$M$161), "", 'Data Entry'!$M$161)</f>
      </c>
      <c r="N161">
        <f>IF(ISBLANK('Data Entry'!$N$161), "", 'Data Entry'!$N$161)</f>
      </c>
      <c r="O161">
        <f>IF(ISBLANK('Data Entry'!$O$161), "", 'Data Entry'!$O$161)</f>
      </c>
      <c r="P161">
        <f>IF(ISBLANK('Data Entry'!$P$161), "", 'Data Entry'!$P$161)</f>
      </c>
      <c r="Q161">
        <f>IF(ISBLANK('Data Entry'!$Q$161), "", 'Data Entry'!$Q$161)</f>
      </c>
      <c r="R161">
        <f>IF(ISBLANK('Data Entry'!$R$161), "", 'Data Entry'!$R$161)</f>
      </c>
      <c r="S161">
        <f>IF(ISBLANK('Data Entry'!$S$161), "", 'Data Entry'!$S$161)</f>
      </c>
      <c r="T161">
        <f>IF(ISBLANK('Data Entry'!$T$161), "", 'Data Entry'!$T$161)</f>
      </c>
      <c r="U161">
        <f>IF(ISBLANK('Data Entry'!$U$161), "", 'Data Entry'!$U$161)</f>
      </c>
      <c r="V161">
        <f>IF(ISBLANK('Data Entry'!$V$161), "", 'Data Entry'!$V$161)</f>
      </c>
      <c r="W161">
        <f>IF(ISBLANK('Data Entry'!$W$161), "", 'Data Entry'!$W$161)</f>
      </c>
      <c r="X161">
        <f>IF(ISBLANK('Data Entry'!$X$161), "", 'Data Entry'!$X$161)</f>
      </c>
      <c r="Y161">
        <f>IF(ISBLANK('Data Entry'!$Y$161), "", 'Data Entry'!$Y$161)</f>
      </c>
      <c r="Z161">
        <f>IF(ISBLANK('Data Entry'!$Z$161), "", 'Data Entry'!$Z$161)</f>
      </c>
      <c r="AA161">
        <f>IF(ISBLANK('Data Entry'!$[$161), "", 'Data Entry'!$[$161)</f>
      </c>
      <c r="AB161">
        <f>IF(ISBLANK('Data Entry'!$\$161), "", 'Data Entry'!$\$161)</f>
      </c>
      <c r="AC161">
        <f>IF(ISBLANK('Data Entry'!$]$161), "", 'Data Entry'!$]$161)</f>
      </c>
      <c r="AD161">
        <f>IF(ISBLANK('Data Entry'!$^$161), "", 'Data Entry'!$^$161)</f>
      </c>
      <c r="AE161">
        <f>IF(ISBLANK('Data Entry'!$_$161), "", 'Data Entry'!$_$161)</f>
      </c>
      <c r="AF161">
        <f>IF(ISBLANK('Data Entry'!$`$161), "", 'Data Entry'!$`$161)</f>
      </c>
      <c r="AG161">
        <f>IF(ISBLANK('Data Entry'!$a$161), "", 'Data Entry'!$a$161)</f>
      </c>
      <c r="AH161">
        <f>IF(ISBLANK('Data Entry'!$b$161), "", 'Data Entry'!$b$161)</f>
      </c>
      <c r="AI161">
        <f>IF(ISBLANK('Data Entry'!$c$161), "", 'Data Entry'!$c$161)</f>
      </c>
      <c r="AJ161">
        <f>IF(ISBLANK('Data Entry'!$d$161), "", 'Data Entry'!$d$161)</f>
      </c>
      <c r="AK161">
        <f>IF(ISBLANK('Data Entry'!$e$161), "", 'Data Entry'!$e$161)</f>
      </c>
      <c r="AL161">
        <f>IF(ISBLANK('Data Entry'!$f$161), "", 'Data Entry'!$f$161)</f>
      </c>
      <c r="AM161">
        <f>IF(ISBLANK('Data Entry'!$g$161), "", 'Data Entry'!$g$161)</f>
      </c>
      <c r="AN161">
        <f>IF(ISBLANK('Data Entry'!$h$161), "", 'Data Entry'!$h$161)</f>
      </c>
      <c r="AO161">
        <f>IF(ISBLANK('Data Entry'!$i$161), "", 'Data Entry'!$i$161)</f>
      </c>
      <c r="AP161">
        <f>IF(ISBLANK('Data Entry'!$j$161), "", 'Data Entry'!$j$161)</f>
      </c>
      <c r="AQ161">
        <f>IF(ISBLANK('Data Entry'!$k$161), "", 'Data Entry'!$k$161)</f>
      </c>
      <c r="AR161">
        <f>IF(ISBLANK('Data Entry'!$l$161), "", 'Data Entry'!$l$161)</f>
      </c>
      <c r="AS161">
        <f>IF(ISBLANK('Data Entry'!$m$161), "", 'Data Entry'!$m$161)</f>
      </c>
      <c r="AT161">
        <f>IF(ISBLANK('Data Entry'!$n$161), "", 'Data Entry'!$n$161)</f>
      </c>
      <c r="AU161">
        <f>IF(ISBLANK('Data Entry'!$o$161), "", 'Data Entry'!$o$161)</f>
      </c>
      <c r="AV161">
        <f>IF(ISBLANK('Data Entry'!$p$161), "", 'Data Entry'!$p$161)</f>
      </c>
      <c r="AW161">
        <f>IF(ISBLANK('Data Entry'!$q$161), "", 'Data Entry'!$q$161)</f>
      </c>
      <c r="AX161">
        <f>IF(ISBLANK('Data Entry'!$r$161), "", 'Data Entry'!$r$161)</f>
      </c>
      <c r="AY161">
        <f>IF(ISBLANK('Data Entry'!$s$161), "", 'Data Entry'!$s$161)</f>
      </c>
      <c r="AZ161">
        <f>IF(ISBLANK('Data Entry'!$t$161), "", 'Data Entry'!$t$161)</f>
      </c>
      <c r="BA161">
        <f>IF(ISBLANK('Data Entry'!$u$161), "", 'Data Entry'!$u$161)</f>
      </c>
      <c r="BB161">
        <f>IF(ISBLANK('Data Entry'!$v$161), "", 'Data Entry'!$v$161)</f>
      </c>
      <c r="BC161">
        <f>IF(ISBLANK('Data Entry'!$w$161), "", 'Data Entry'!$w$161)</f>
      </c>
      <c r="BD161">
        <f>IF(ISBLANK('Data Entry'!$x$161), "", 'Data Entry'!$x$161)</f>
      </c>
      <c r="BE161">
        <f>IF(ISBLANK('Data Entry'!$y$161), "", 'Data Entry'!$y$161)</f>
      </c>
      <c r="BF161">
        <f>IF(ISBLANK('Data Entry'!$z$161), "", 'Data Entry'!$z$161)</f>
      </c>
      <c r="BG161">
        <f>IF(ISBLANK('Data Entry'!${$161), "", 'Data Entry'!${$161)</f>
      </c>
      <c r="BH161">
        <f>IF(ISBLANK('Data Entry'!$|$161), "", 'Data Entry'!$|$161)</f>
      </c>
      <c r="BI161">
        <f>IF(ISBLANK('Data Entry'!$}$161), "", 'Data Entry'!$}$161)</f>
      </c>
      <c r="BJ161">
        <f>IF(ISBLANK('Data Entry'!$~$161), "", 'Data Entry'!$~$161)</f>
      </c>
      <c r="BK161">
        <f>IF(ISBLANK('Data Entry'!$$161), "", 'Data Entry'!$$161)</f>
      </c>
      <c r="BL161">
        <f>IF(ISBLANK('Data Entry'!$$161), "", 'Data Entry'!$$161)</f>
      </c>
      <c r="BM161">
        <f>IF(ISBLANK('Data Entry'!$$161), "", 'Data Entry'!$$161)</f>
      </c>
      <c r="BN161">
        <f>IF(ISBLANK('Data Entry'!$$161), "", 'Data Entry'!$$161)</f>
      </c>
      <c r="BO161">
        <f>IF(ISBLANK('Data Entry'!$$161), "", 'Data Entry'!$$161)</f>
      </c>
      <c r="BP161">
        <f>IF(ISBLANK('Data Entry'!$$161), "", 'Data Entry'!$$161)</f>
      </c>
      <c r="BQ161">
        <f>IF(ISBLANK('Data Entry'!$$161), "", 'Data Entry'!$$161)</f>
      </c>
      <c r="BR161">
        <f>IF(ISBLANK('Data Entry'!$$161), "", 'Data Entry'!$$161)</f>
      </c>
      <c r="BS161">
        <f>IF(ISBLANK('Data Entry'!$$161), "", 'Data Entry'!$$161)</f>
      </c>
      <c r="BT161">
        <f>IF(ISBLANK('Data Entry'!$$161), "", 'Data Entry'!$$161)</f>
      </c>
      <c r="BU161">
        <f>IF(ISBLANK('Data Entry'!$$161), "", 'Data Entry'!$$161)</f>
      </c>
      <c r="BV161">
        <f>IF(ISBLANK('Data Entry'!$$161), "", 'Data Entry'!$$161)</f>
      </c>
      <c r="BW161">
        <f>IF(ISBLANK('Data Entry'!$$161), "", 'Data Entry'!$$161)</f>
      </c>
      <c r="BX161">
        <f>IF(ISBLANK('Data Entry'!$$161), "", 'Data Entry'!$$161)</f>
      </c>
      <c r="BY161">
        <f>IF(ISBLANK('Data Entry'!$$161), "", 'Data Entry'!$$161)</f>
      </c>
      <c r="BZ161">
        <f>IF(ISBLANK('Data Entry'!$$161), "", 'Data Entry'!$$161)</f>
      </c>
      <c r="CA161">
        <f>IF(ISBLANK('Data Entry'!$$161), "", 'Data Entry'!$$161)</f>
      </c>
      <c r="CB161">
        <f>IF(ISBLANK('Data Entry'!$$161), "", 'Data Entry'!$$161)</f>
      </c>
      <c r="CC161">
        <f>IF(ISBLANK('Data Entry'!$$161), "", 'Data Entry'!$$161)</f>
      </c>
      <c r="CD161">
        <f>IF(ISBLANK('Data Entry'!$$161), "", 'Data Entry'!$$161)</f>
      </c>
      <c r="CE161">
        <f>IF(ISBLANK('Data Entry'!$$161), "", 'Data Entry'!$$161)</f>
      </c>
      <c r="CF161">
        <f>IF(ISBLANK('Data Entry'!$$161), "", 'Data Entry'!$$161)</f>
      </c>
      <c r="CG161">
        <f>IF(ISBLANK('Data Entry'!$$161), "", 'Data Entry'!$$161)</f>
      </c>
      <c r="CH161">
        <f>IF(ISBLANK('Data Entry'!$$161), "", 'Data Entry'!$$161)</f>
      </c>
      <c r="CI161">
        <f>IF(ISBLANK('Data Entry'!$$161), "", 'Data Entry'!$$161)</f>
      </c>
      <c r="CJ161">
        <f>IF(ISBLANK('Data Entry'!$$161), "", 'Data Entry'!$$161)</f>
      </c>
      <c r="CK161">
        <f>IF(ISBLANK('Data Entry'!$$161), "", 'Data Entry'!$$161)</f>
      </c>
      <c r="CL161">
        <f>IF(ISBLANK('Data Entry'!$$161), "", 'Data Entry'!$$161)</f>
      </c>
      <c r="CM161">
        <f>IF(ISBLANK('Data Entry'!$$161), "", 'Data Entry'!$$161)</f>
      </c>
      <c r="CN161">
        <f>IF(ISBLANK('Data Entry'!$$161), "", 'Data Entry'!$$161)</f>
      </c>
      <c r="CO161">
        <f>IF(ISBLANK('Data Entry'!$$161), "", 'Data Entry'!$$161)</f>
      </c>
      <c r="CP161">
        <f>IF(ISBLANK('Data Entry'!$$161), "", 'Data Entry'!$$161)</f>
      </c>
      <c r="CQ161">
        <f>IF(ISBLANK('Data Entry'!$$161), "", 'Data Entry'!$$161)</f>
      </c>
      <c r="CR161">
        <f>IF(ISBLANK('Data Entry'!$ $161), "", 'Data Entry'!$ $161)</f>
      </c>
      <c r="CS161">
        <f>IF(ISBLANK('Data Entry'!$¡$161), "", 'Data Entry'!$¡$161)</f>
      </c>
      <c r="CT161">
        <f>IF(ISBLANK('Data Entry'!$¢$161), "", 'Data Entry'!$¢$161)</f>
      </c>
      <c r="CU161">
        <f>IF(ISBLANK('Data Entry'!$£$161), "", 'Data Entry'!$£$161)</f>
      </c>
      <c r="CV161">
        <f>IF(ISBLANK('Data Entry'!$¤$161), "", 'Data Entry'!$¤$161)</f>
      </c>
      <c r="CW161">
        <f>IF(ISBLANK('Data Entry'!$¥$161), "", 'Data Entry'!$¥$161)</f>
      </c>
      <c r="CX161">
        <f>IF(ISBLANK('Data Entry'!$¦$161), "", 'Data Entry'!$¦$161)</f>
      </c>
      <c r="CY161">
        <f>IF(ISBLANK('Data Entry'!$§$161), "", 'Data Entry'!$§$161)</f>
      </c>
      <c r="CZ161">
        <f>IF(ISBLANK('Data Entry'!$¨$161), "", 'Data Entry'!$¨$161)</f>
      </c>
      <c r="DA161">
        <f>IF(ISBLANK('Data Entry'!$©$161), "", 'Data Entry'!$©$161)</f>
      </c>
      <c r="DB161">
        <f>IF(ISBLANK('Data Entry'!$ª$161), "", 'Data Entry'!$ª$161)</f>
      </c>
      <c r="DC161">
        <f>IF(ISBLANK('Data Entry'!$«$161), "", 'Data Entry'!$«$161)</f>
      </c>
      <c r="DD161">
        <f>IF(ISBLANK('Data Entry'!$¬$161), "", 'Data Entry'!$¬$161)</f>
      </c>
      <c r="DE161">
        <f>IF(ISBLANK('Data Entry'!$­$161), "", 'Data Entry'!$­$161)</f>
      </c>
      <c r="DF161">
        <f>IF(ISBLANK('Data Entry'!$®$161), "", 'Data Entry'!$®$161)</f>
      </c>
      <c r="DG161">
        <f>IF(ISBLANK('Data Entry'!$¯$161), "", 'Data Entry'!$¯$161)</f>
      </c>
      <c r="DH161">
        <f>IF(ISBLANK('Data Entry'!$°$161), "", 'Data Entry'!$°$161)</f>
      </c>
      <c r="DI161">
        <f>IF(ISBLANK('Data Entry'!$±$161), "", 'Data Entry'!$±$161)</f>
      </c>
      <c r="DJ161">
        <f>IF(ISBLANK('Data Entry'!$²$161), "", 'Data Entry'!$²$161)</f>
      </c>
      <c r="DK161">
        <f>IF(ISBLANK('Data Entry'!$³$161), "", 'Data Entry'!$³$161)</f>
      </c>
      <c r="DL161">
        <f>IF(ISBLANK('Data Entry'!$´$161), "", 'Data Entry'!$´$161)</f>
      </c>
      <c r="DM161">
        <f>IF(ISBLANK('Data Entry'!$µ$161), "", 'Data Entry'!$µ$161)</f>
      </c>
      <c r="DN161">
        <f>IF(ISBLANK('Data Entry'!$¶$161), "", 'Data Entry'!$¶$161)</f>
      </c>
      <c r="DO161">
        <f>IF(ISBLANK('Data Entry'!$·$161), "", 'Data Entry'!$·$161)</f>
      </c>
      <c r="DP161">
        <f>IF(ISBLANK('Data Entry'!$¸$161), "", 'Data Entry'!$¸$161)</f>
      </c>
      <c r="DQ161">
        <f>IF(ISBLANK('Data Entry'!$¹$161), "", 'Data Entry'!$¹$161)</f>
      </c>
      <c r="DR161">
        <f>IF(ISBLANK('Data Entry'!$º$161), "", 'Data Entry'!$º$161)</f>
      </c>
      <c r="DS161">
        <f>IF(ISBLANK('Data Entry'!$»$161), "", 'Data Entry'!$»$161)</f>
      </c>
      <c r="DT161">
        <f>IF(ISBLANK('Data Entry'!$¼$161), "", 'Data Entry'!$¼$161)</f>
      </c>
      <c r="DU161">
        <f>IF(ISBLANK('Data Entry'!$½$161), "", 'Data Entry'!$½$161)</f>
      </c>
      <c r="DV161">
        <f>IF(ISBLANK('Data Entry'!$¾$161), "", 'Data Entry'!$¾$161)</f>
      </c>
      <c r="DW161">
        <f>IF(ISBLANK('Data Entry'!$¿$161), "", 'Data Entry'!$¿$161)</f>
      </c>
      <c r="DX161">
        <f>IF(ISBLANK('Data Entry'!$À$161), "", 'Data Entry'!$À$161)</f>
      </c>
      <c r="DY161">
        <f>IF(ISBLANK('Data Entry'!$Á$161), "", 'Data Entry'!$Á$161)</f>
      </c>
      <c r="DZ161">
        <f>IF(ISBLANK('Data Entry'!$Â$161), "", 'Data Entry'!$Â$161)</f>
      </c>
      <c r="EA161">
        <f>IF(ISBLANK('Data Entry'!$Ã$161), "", 'Data Entry'!$Ã$161)</f>
      </c>
      <c r="EB161">
        <f>IF(ISBLANK('Data Entry'!$Ä$161), "", 'Data Entry'!$Ä$161)</f>
      </c>
      <c r="EC161">
        <f>IF(ISBLANK('Data Entry'!$Å$161), "", 'Data Entry'!$Å$161)</f>
      </c>
      <c r="ED161">
        <f>IF(ISBLANK('Data Entry'!$Æ$161), "", 'Data Entry'!$Æ$161)</f>
      </c>
      <c r="EE161">
        <f>IF(ISBLANK('Data Entry'!$Ç$161), "", 'Data Entry'!$Ç$161)</f>
      </c>
      <c r="EF161">
        <f>IF(ISBLANK('Data Entry'!$È$161), "", 'Data Entry'!$È$161)</f>
      </c>
      <c r="EG161">
        <f>IF(ISBLANK('Data Entry'!$É$161), "", 'Data Entry'!$É$161)</f>
      </c>
      <c r="EH161">
        <f>IF(ISBLANK('Data Entry'!$Ê$161), "", 'Data Entry'!$Ê$161)</f>
      </c>
      <c r="EI161">
        <f>IF(ISBLANK('Data Entry'!$Ë$161), "", 'Data Entry'!$Ë$161)</f>
      </c>
      <c r="EJ161">
        <f>IF(ISBLANK('Data Entry'!$Ì$161), "", 'Data Entry'!$Ì$161)</f>
      </c>
      <c r="EK161">
        <f>IF(ISBLANK('Data Entry'!$Í$161), "", 'Data Entry'!$Í$161)</f>
      </c>
      <c r="EL161">
        <f>IF(ISBLANK('Data Entry'!$Î$161), "", 'Data Entry'!$Î$161)</f>
      </c>
      <c r="EM161">
        <f>IF(ISBLANK('Data Entry'!$Ï$161), "", 'Data Entry'!$Ï$161)</f>
      </c>
      <c r="EN161">
        <f>IF(ISBLANK('Data Entry'!$Ð$161), "", 'Data Entry'!$Ð$161)</f>
      </c>
      <c r="EO161">
        <f>IF(ISBLANK('Data Entry'!$Ñ$161), "", 'Data Entry'!$Ñ$161)</f>
      </c>
      <c r="EP161">
        <f>IF(ISBLANK('Data Entry'!$Ò$161), "", 'Data Entry'!$Ò$161)</f>
      </c>
      <c r="EQ161">
        <f>IF(ISBLANK('Data Entry'!$Ó$161), "", 'Data Entry'!$Ó$161)</f>
      </c>
      <c r="ER161">
        <f>IF(ISBLANK('Data Entry'!$Ô$161), "", 'Data Entry'!$Ô$161)</f>
      </c>
      <c r="ES161">
        <f>IF(ISBLANK('Data Entry'!$Õ$161), "", 'Data Entry'!$Õ$161)</f>
      </c>
      <c r="ET161">
        <f>IF(ISBLANK('Data Entry'!$Ö$161), "", 'Data Entry'!$Ö$161)</f>
      </c>
      <c r="EU161">
        <f>IF(ISBLANK('Data Entry'!$×$161), "", 'Data Entry'!$×$161)</f>
      </c>
      <c r="EV161">
        <f>IF(ISBLANK('Data Entry'!$Ø$161), "", 'Data Entry'!$Ø$161)</f>
      </c>
      <c r="EW161">
        <f>IF(ISBLANK('Data Entry'!$Ù$161), "", 'Data Entry'!$Ù$161)</f>
      </c>
      <c r="EX161">
        <f>IF(ISBLANK('Data Entry'!$Ú$161), "", 'Data Entry'!$Ú$161)</f>
      </c>
      <c r="EY161">
        <f>IF(ISBLANK('Data Entry'!$Û$161), "", 'Data Entry'!$Û$161)</f>
      </c>
      <c r="EZ161">
        <f>IF(ISBLANK('Data Entry'!$Ü$161), "", 'Data Entry'!$Ü$161)</f>
      </c>
      <c r="FA161">
        <f>IF(ISBLANK('Data Entry'!$Ý$161), "", 'Data Entry'!$Ý$161)</f>
      </c>
      <c r="FB161">
        <f>IF(ISBLANK('Data Entry'!$Þ$161), "", 'Data Entry'!$Þ$161)</f>
      </c>
      <c r="FC161">
        <f>IF(ISBLANK('Data Entry'!$ß$161), "", 'Data Entry'!$ß$161)</f>
      </c>
      <c r="FD161">
        <f>IF(ISBLANK('Data Entry'!$à$161), "", 'Data Entry'!$à$161)</f>
      </c>
      <c r="FE161">
        <f>IF(ISBLANK('Data Entry'!$á$161), "", 'Data Entry'!$á$161)</f>
      </c>
      <c r="FF161">
        <f>IF(ISBLANK('Data Entry'!$â$161), "", 'Data Entry'!$â$161)</f>
      </c>
      <c r="FG161">
        <f>IF(ISBLANK('Data Entry'!$ã$161), "", 'Data Entry'!$ã$161)</f>
      </c>
      <c r="FH161">
        <f>IF(ISBLANK('Data Entry'!$ä$161), "", 'Data Entry'!$ä$161)</f>
      </c>
      <c r="FI161">
        <f>IF(ISBLANK('Data Entry'!$å$161), "", 'Data Entry'!$å$161)</f>
      </c>
      <c r="FJ161">
        <f>IF(ISBLANK('Data Entry'!$æ$161), "", 'Data Entry'!$æ$161)</f>
      </c>
      <c r="FK161">
        <f>IF(ISBLANK('Data Entry'!$ç$161), "", 'Data Entry'!$ç$161)</f>
      </c>
      <c r="FL161">
        <f>IF(ISBLANK('Data Entry'!$è$161), "", 'Data Entry'!$è$161)</f>
      </c>
      <c r="FM161">
        <f>IF(ISBLANK('Data Entry'!$é$161), "", 'Data Entry'!$é$161)</f>
      </c>
      <c r="FN161">
        <f>IF(ISBLANK('Data Entry'!$ê$161), "", 'Data Entry'!$ê$161)</f>
      </c>
      <c r="FO161">
        <f>IF(ISBLANK('Data Entry'!$ë$161), "", 'Data Entry'!$ë$161)</f>
      </c>
      <c r="FP161">
        <f>IF(ISBLANK('Data Entry'!$ì$161), "", 'Data Entry'!$ì$161)</f>
      </c>
      <c r="FQ161">
        <f>IF(ISBLANK('Data Entry'!$í$161), "", 'Data Entry'!$í$161)</f>
      </c>
      <c r="FR161">
        <f>IF(ISBLANK('Data Entry'!$î$161), "", 'Data Entry'!$î$161)</f>
      </c>
      <c r="FS161">
        <f>IF(ISBLANK('Data Entry'!$ï$161), "", 'Data Entry'!$ï$161)</f>
      </c>
      <c r="FT161">
        <f>IF(ISBLANK('Data Entry'!$ð$161), "", 'Data Entry'!$ð$161)</f>
      </c>
      <c r="FU161">
        <f>IF(ISBLANK('Data Entry'!$ñ$161), "", 'Data Entry'!$ñ$161)</f>
      </c>
      <c r="FV161">
        <f>IF(ISBLANK('Data Entry'!$ò$161), "", 'Data Entry'!$ò$161)</f>
      </c>
      <c r="FW161">
        <f>IF(ISBLANK('Data Entry'!$ó$161), "", 'Data Entry'!$ó$161)</f>
      </c>
      <c r="FX161">
        <f>IF(ISBLANK('Data Entry'!$ô$161), "", 'Data Entry'!$ô$161)</f>
      </c>
      <c r="FY161">
        <f>IF(ISBLANK('Data Entry'!$õ$161), "", 'Data Entry'!$õ$161)</f>
      </c>
      <c r="FZ161">
        <f>IF(ISBLANK('Data Entry'!$ö$161), "", 'Data Entry'!$ö$161)</f>
      </c>
      <c r="GA161">
        <f>IF(ISBLANK('Data Entry'!$÷$161), "", 'Data Entry'!$÷$161)</f>
      </c>
      <c r="GB161">
        <f>IF(ISBLANK('Data Entry'!$ø$161), "", 'Data Entry'!$ø$161)</f>
      </c>
      <c r="GC161">
        <f>IF(ISBLANK('Data Entry'!$ù$161), "", 'Data Entry'!$ù$161)</f>
      </c>
      <c r="GD161">
        <f>IF(ISBLANK('Data Entry'!$ú$161), "", 'Data Entry'!$ú$161)</f>
      </c>
      <c r="GE161">
        <f>IF(ISBLANK('Data Entry'!$û$161), "", 'Data Entry'!$û$161)</f>
      </c>
      <c r="GF161">
        <f>IF(ISBLANK('Data Entry'!$ü$161), "", 'Data Entry'!$ü$161)</f>
      </c>
      <c r="GG161">
        <f>IF(ISBLANK('Data Entry'!$ý$161), "", 'Data Entry'!$ý$161)</f>
      </c>
      <c r="GH161">
        <f>IF(ISBLANK('Data Entry'!$þ$161), "", 'Data Entry'!$þ$161)</f>
      </c>
      <c r="GI161">
        <f>IF(ISBLANK('Data Entry'!$ÿ$161), "", 'Data Entry'!$ÿ$161)</f>
      </c>
      <c r="GJ161">
        <f>IF(ISBLANK('Data Entry'!$Ā$161), "", 'Data Entry'!$Ā$161)</f>
      </c>
      <c r="GK161">
        <f>IF(ISBLANK('Data Entry'!$ā$161), "", 'Data Entry'!$ā$161)</f>
      </c>
      <c r="GL161">
        <f>IF(ISBLANK('Data Entry'!$Ă$161), "", 'Data Entry'!$Ă$161)</f>
      </c>
      <c r="GM161">
        <f>IF(ISBLANK('Data Entry'!$ă$161), "", 'Data Entry'!$ă$161)</f>
      </c>
      <c r="GN161">
        <f>IF(ISBLANK('Data Entry'!$Ą$161), "", 'Data Entry'!$Ą$161)</f>
      </c>
      <c r="GO161">
        <f>IF(ISBLANK('Data Entry'!$ą$161), "", 'Data Entry'!$ą$161)</f>
      </c>
      <c r="GP161">
        <f>IF(ISBLANK('Data Entry'!$Ć$161), "", 'Data Entry'!$Ć$161)</f>
      </c>
      <c r="GQ161">
        <f>IF(ISBLANK('Data Entry'!$ć$161), "", 'Data Entry'!$ć$161)</f>
      </c>
      <c r="GR161">
        <f>IF(ISBLANK('Data Entry'!$Ĉ$161), "", 'Data Entry'!$Ĉ$161)</f>
      </c>
      <c r="GS161">
        <f>IF(ISBLANK('Data Entry'!$ĉ$161), "", 'Data Entry'!$ĉ$161)</f>
      </c>
      <c r="GT161">
        <f>IF(ISBLANK('Data Entry'!$Ċ$161), "", 'Data Entry'!$Ċ$161)</f>
      </c>
      <c r="GU161">
        <f>IF(ISBLANK('Data Entry'!$ċ$161), "", 'Data Entry'!$ċ$161)</f>
      </c>
      <c r="GV161">
        <f>IF(ISBLANK('Data Entry'!$Č$161), "", 'Data Entry'!$Č$161)</f>
      </c>
      <c r="GW161">
        <f>IF(ISBLANK('Data Entry'!$č$161), "", 'Data Entry'!$č$161)</f>
      </c>
      <c r="GX161">
        <f>IF(ISBLANK('Data Entry'!$Ď$161), "", 'Data Entry'!$Ď$161)</f>
      </c>
      <c r="GY161">
        <f>IF(ISBLANK('Data Entry'!$ď$161), "", 'Data Entry'!$ď$161)</f>
      </c>
      <c r="GZ161">
        <f>IF(ISBLANK('Data Entry'!$Đ$161), "", 'Data Entry'!$Đ$161)</f>
      </c>
      <c r="HA161">
        <f>IF(ISBLANK('Data Entry'!$đ$161), "", 'Data Entry'!$đ$161)</f>
      </c>
      <c r="HB161">
        <f>IF(ISBLANK('Data Entry'!$Ē$161), "", 'Data Entry'!$Ē$161)</f>
      </c>
      <c r="HC161">
        <f>IF(ISBLANK('Data Entry'!$ē$161), "", 'Data Entry'!$ē$161)</f>
      </c>
      <c r="HD161">
        <f>IF(ISBLANK('Data Entry'!$Ĕ$161), "", 'Data Entry'!$Ĕ$161)</f>
      </c>
      <c r="HE161">
        <f>IF(ISBLANK('Data Entry'!$ĕ$161), "", 'Data Entry'!$ĕ$161)</f>
      </c>
      <c r="HF161">
        <f>IF(ISBLANK('Data Entry'!$Ė$161), "", 'Data Entry'!$Ė$161)</f>
      </c>
      <c r="HG161">
        <f>IF(ISBLANK('Data Entry'!$ė$161), "", 'Data Entry'!$ė$161)</f>
      </c>
      <c r="HH161">
        <f>IF(ISBLANK('Data Entry'!$Ę$161), "", 'Data Entry'!$Ę$161)</f>
      </c>
      <c r="HI161">
        <f>IF(ISBLANK('Data Entry'!$ę$161), "", 'Data Entry'!$ę$161)</f>
      </c>
      <c r="HJ161">
        <f>IF(ISBLANK('Data Entry'!$Ě$161), "", 'Data Entry'!$Ě$161)</f>
      </c>
      <c r="HK161">
        <f>IF(ISBLANK('Data Entry'!$ě$161), "", 'Data Entry'!$ě$161)</f>
      </c>
      <c r="HL161">
        <f>IF(ISBLANK('Data Entry'!$Ĝ$161), "", 'Data Entry'!$Ĝ$161)</f>
      </c>
      <c r="HM161">
        <f>IF(ISBLANK('Data Entry'!$ĝ$161), "", 'Data Entry'!$ĝ$161)</f>
      </c>
      <c r="HN161">
        <f>IF(ISBLANK('Data Entry'!$Ğ$161), "", 'Data Entry'!$Ğ$161)</f>
      </c>
      <c r="HO161">
        <f>IF(ISBLANK('Data Entry'!$ğ$161), "", 'Data Entry'!$ğ$161)</f>
      </c>
      <c r="HP161">
        <f>IF(ISBLANK('Data Entry'!$Ġ$161), "", 'Data Entry'!$Ġ$161)</f>
      </c>
      <c r="HQ161">
        <f>IF(ISBLANK('Data Entry'!$ġ$161), "", 'Data Entry'!$ġ$161)</f>
      </c>
      <c r="HR161">
        <f>IF(ISBLANK('Data Entry'!$Ģ$161), "", 'Data Entry'!$Ģ$161)</f>
      </c>
      <c r="HS161">
        <f>IF(ISBLANK('Data Entry'!$ģ$161), "", 'Data Entry'!$ģ$161)</f>
      </c>
      <c r="HT161">
        <f>IF(ISBLANK('Data Entry'!$Ĥ$161), "", 'Data Entry'!$Ĥ$161)</f>
      </c>
      <c r="HU161">
        <f>IF(ISBLANK('Data Entry'!$ĥ$161), "", 'Data Entry'!$ĥ$161)</f>
      </c>
      <c r="HV161">
        <f>IF(ISBLANK('Data Entry'!$Ħ$161), "", 'Data Entry'!$Ħ$161)</f>
      </c>
      <c r="HW161">
        <f>IF(ISBLANK('Data Entry'!$ħ$161), "", 'Data Entry'!$ħ$161)</f>
      </c>
      <c r="HX161">
        <f>IF(ISBLANK('Data Entry'!$Ĩ$161), "", 'Data Entry'!$Ĩ$161)</f>
      </c>
      <c r="HY161">
        <f>IF(ISBLANK('Data Entry'!$ĩ$161), "", 'Data Entry'!$ĩ$161)</f>
      </c>
      <c r="HZ161">
        <f>IF(ISBLANK('Data Entry'!$Ī$161), "", 'Data Entry'!$Ī$161)</f>
      </c>
      <c r="IA161">
        <f>IF(ISBLANK('Data Entry'!$ī$161), "", 'Data Entry'!$ī$161)</f>
      </c>
      <c r="IB161">
        <f>IF(ISBLANK('Data Entry'!$Ĭ$161), "", 'Data Entry'!$Ĭ$161)</f>
      </c>
      <c r="IC161">
        <f>IF(ISBLANK('Data Entry'!$ĭ$161), "", 'Data Entry'!$ĭ$161)</f>
      </c>
      <c r="ID161">
        <f>IF(ISBLANK('Data Entry'!$Į$161), "", 'Data Entry'!$Į$161)</f>
      </c>
      <c r="IE161">
        <f>IF(ISBLANK('Data Entry'!$į$161), "", 'Data Entry'!$į$161)</f>
      </c>
      <c r="IF161">
        <f>IF(ISBLANK('Data Entry'!$İ$161), "", 'Data Entry'!$İ$161)</f>
      </c>
      <c r="IG161">
        <f>IF(ISBLANK('Data Entry'!$ı$161), "", 'Data Entry'!$ı$161)</f>
      </c>
      <c r="IH161">
        <f>IF(ISBLANK('Data Entry'!$Ĳ$161), "", 'Data Entry'!$Ĳ$161)</f>
      </c>
      <c r="II161">
        <f>IF(ISBLANK('Data Entry'!$ĳ$161), "", 'Data Entry'!$ĳ$161)</f>
      </c>
      <c r="IJ161">
        <f>IF(ISBLANK('Data Entry'!$Ĵ$161), "", 'Data Entry'!$Ĵ$161)</f>
      </c>
      <c r="IK161">
        <f>IF(ISBLANK('Data Entry'!$ĵ$161), "", 'Data Entry'!$ĵ$161)</f>
      </c>
      <c r="IL161">
        <f>IF(ISBLANK('Data Entry'!$Ķ$161), "", 'Data Entry'!$Ķ$161)</f>
      </c>
      <c r="IM161">
        <f>IF(ISBLANK('Data Entry'!$ķ$161), "", 'Data Entry'!$ķ$161)</f>
      </c>
      <c r="IN161">
        <f>IF(ISBLANK('Data Entry'!$ĸ$161), "", 'Data Entry'!$ĸ$161)</f>
      </c>
      <c r="IO161">
        <f>IF(ISBLANK('Data Entry'!$Ĺ$161), "", 'Data Entry'!$Ĺ$161)</f>
      </c>
      <c r="IP161">
        <f>IF(ISBLANK('Data Entry'!$ĺ$161), "", 'Data Entry'!$ĺ$161)</f>
      </c>
      <c r="IQ161">
        <f>IF(ISBLANK('Data Entry'!$Ļ$161), "", 'Data Entry'!$Ļ$161)</f>
      </c>
      <c r="IR161">
        <f>IF(ISBLANK('Data Entry'!$ļ$161), "", 'Data Entry'!$ļ$161)</f>
      </c>
      <c r="IS161">
        <f>IF(ISBLANK('Data Entry'!$Ľ$161), "", 'Data Entry'!$Ľ$161)</f>
      </c>
      <c r="IT161">
        <f>IF(ISBLANK('Data Entry'!$ľ$161), "", 'Data Entry'!$ľ$161)</f>
      </c>
    </row>
    <row r="162" spans="1:254" x14ac:dyDescent="0.25">
      <c r="A162">
        <f>IF(ISBLANK('Data Entry'!$A$162), "", 'Data Entry'!$A$162)</f>
      </c>
      <c r="B162">
        <f>IF(ISBLANK('Data Entry'!$B$162), "", 'Data Entry'!$B$162)</f>
      </c>
      <c r="C162">
        <f>IF(ISBLANK('Data Entry'!$C$162), "", 'Data Entry'!$C$162)</f>
      </c>
      <c r="D162">
        <f>IF(ISBLANK('Data Entry'!$D$162), "", 'Data Entry'!$D$162)</f>
      </c>
      <c r="E162">
        <f>IF(ISBLANK('Data Entry'!$E$162), "", 'Data Entry'!$E$162)</f>
      </c>
      <c r="F162">
        <f>IF(ISBLANK('Data Entry'!$F$162), "", 'Data Entry'!$F$162)</f>
      </c>
      <c r="G162">
        <f>IF(ISBLANK('Data Entry'!$G$162), "", 'Data Entry'!$G$162)</f>
      </c>
      <c r="H162">
        <f>IF(ISBLANK('Data Entry'!$H$162), "", 'Data Entry'!$H$162)</f>
      </c>
      <c r="I162">
        <f>IF(ISBLANK('Data Entry'!$I$162), "", 'Data Entry'!$I$162)</f>
      </c>
      <c r="J162">
        <f>IF(ISBLANK('Data Entry'!$J$162), "", 'Data Entry'!$J$162)</f>
      </c>
      <c r="K162">
        <f>IF(ISBLANK('Data Entry'!$K$162), "", 'Data Entry'!$K$162)</f>
      </c>
      <c r="L162">
        <f>IF(ISBLANK('Data Entry'!$L$162), "", 'Data Entry'!$L$162)</f>
      </c>
      <c r="M162">
        <f>IF(ISBLANK('Data Entry'!$M$162), "", 'Data Entry'!$M$162)</f>
      </c>
      <c r="N162">
        <f>IF(ISBLANK('Data Entry'!$N$162), "", 'Data Entry'!$N$162)</f>
      </c>
      <c r="O162">
        <f>IF(ISBLANK('Data Entry'!$O$162), "", 'Data Entry'!$O$162)</f>
      </c>
      <c r="P162">
        <f>IF(ISBLANK('Data Entry'!$P$162), "", 'Data Entry'!$P$162)</f>
      </c>
      <c r="Q162">
        <f>IF(ISBLANK('Data Entry'!$Q$162), "", 'Data Entry'!$Q$162)</f>
      </c>
      <c r="R162">
        <f>IF(ISBLANK('Data Entry'!$R$162), "", 'Data Entry'!$R$162)</f>
      </c>
      <c r="S162">
        <f>IF(ISBLANK('Data Entry'!$S$162), "", 'Data Entry'!$S$162)</f>
      </c>
      <c r="T162">
        <f>IF(ISBLANK('Data Entry'!$T$162), "", 'Data Entry'!$T$162)</f>
      </c>
      <c r="U162">
        <f>IF(ISBLANK('Data Entry'!$U$162), "", 'Data Entry'!$U$162)</f>
      </c>
      <c r="V162">
        <f>IF(ISBLANK('Data Entry'!$V$162), "", 'Data Entry'!$V$162)</f>
      </c>
      <c r="W162">
        <f>IF(ISBLANK('Data Entry'!$W$162), "", 'Data Entry'!$W$162)</f>
      </c>
      <c r="X162">
        <f>IF(ISBLANK('Data Entry'!$X$162), "", 'Data Entry'!$X$162)</f>
      </c>
      <c r="Y162">
        <f>IF(ISBLANK('Data Entry'!$Y$162), "", 'Data Entry'!$Y$162)</f>
      </c>
      <c r="Z162">
        <f>IF(ISBLANK('Data Entry'!$Z$162), "", 'Data Entry'!$Z$162)</f>
      </c>
      <c r="AA162">
        <f>IF(ISBLANK('Data Entry'!$[$162), "", 'Data Entry'!$[$162)</f>
      </c>
      <c r="AB162">
        <f>IF(ISBLANK('Data Entry'!$\$162), "", 'Data Entry'!$\$162)</f>
      </c>
      <c r="AC162">
        <f>IF(ISBLANK('Data Entry'!$]$162), "", 'Data Entry'!$]$162)</f>
      </c>
      <c r="AD162">
        <f>IF(ISBLANK('Data Entry'!$^$162), "", 'Data Entry'!$^$162)</f>
      </c>
      <c r="AE162">
        <f>IF(ISBLANK('Data Entry'!$_$162), "", 'Data Entry'!$_$162)</f>
      </c>
      <c r="AF162">
        <f>IF(ISBLANK('Data Entry'!$`$162), "", 'Data Entry'!$`$162)</f>
      </c>
      <c r="AG162">
        <f>IF(ISBLANK('Data Entry'!$a$162), "", 'Data Entry'!$a$162)</f>
      </c>
      <c r="AH162">
        <f>IF(ISBLANK('Data Entry'!$b$162), "", 'Data Entry'!$b$162)</f>
      </c>
      <c r="AI162">
        <f>IF(ISBLANK('Data Entry'!$c$162), "", 'Data Entry'!$c$162)</f>
      </c>
      <c r="AJ162">
        <f>IF(ISBLANK('Data Entry'!$d$162), "", 'Data Entry'!$d$162)</f>
      </c>
      <c r="AK162">
        <f>IF(ISBLANK('Data Entry'!$e$162), "", 'Data Entry'!$e$162)</f>
      </c>
      <c r="AL162">
        <f>IF(ISBLANK('Data Entry'!$f$162), "", 'Data Entry'!$f$162)</f>
      </c>
      <c r="AM162">
        <f>IF(ISBLANK('Data Entry'!$g$162), "", 'Data Entry'!$g$162)</f>
      </c>
      <c r="AN162">
        <f>IF(ISBLANK('Data Entry'!$h$162), "", 'Data Entry'!$h$162)</f>
      </c>
      <c r="AO162">
        <f>IF(ISBLANK('Data Entry'!$i$162), "", 'Data Entry'!$i$162)</f>
      </c>
      <c r="AP162">
        <f>IF(ISBLANK('Data Entry'!$j$162), "", 'Data Entry'!$j$162)</f>
      </c>
      <c r="AQ162">
        <f>IF(ISBLANK('Data Entry'!$k$162), "", 'Data Entry'!$k$162)</f>
      </c>
      <c r="AR162">
        <f>IF(ISBLANK('Data Entry'!$l$162), "", 'Data Entry'!$l$162)</f>
      </c>
      <c r="AS162">
        <f>IF(ISBLANK('Data Entry'!$m$162), "", 'Data Entry'!$m$162)</f>
      </c>
      <c r="AT162">
        <f>IF(ISBLANK('Data Entry'!$n$162), "", 'Data Entry'!$n$162)</f>
      </c>
      <c r="AU162">
        <f>IF(ISBLANK('Data Entry'!$o$162), "", 'Data Entry'!$o$162)</f>
      </c>
      <c r="AV162">
        <f>IF(ISBLANK('Data Entry'!$p$162), "", 'Data Entry'!$p$162)</f>
      </c>
      <c r="AW162">
        <f>IF(ISBLANK('Data Entry'!$q$162), "", 'Data Entry'!$q$162)</f>
      </c>
      <c r="AX162">
        <f>IF(ISBLANK('Data Entry'!$r$162), "", 'Data Entry'!$r$162)</f>
      </c>
      <c r="AY162">
        <f>IF(ISBLANK('Data Entry'!$s$162), "", 'Data Entry'!$s$162)</f>
      </c>
      <c r="AZ162">
        <f>IF(ISBLANK('Data Entry'!$t$162), "", 'Data Entry'!$t$162)</f>
      </c>
      <c r="BA162">
        <f>IF(ISBLANK('Data Entry'!$u$162), "", 'Data Entry'!$u$162)</f>
      </c>
      <c r="BB162">
        <f>IF(ISBLANK('Data Entry'!$v$162), "", 'Data Entry'!$v$162)</f>
      </c>
      <c r="BC162">
        <f>IF(ISBLANK('Data Entry'!$w$162), "", 'Data Entry'!$w$162)</f>
      </c>
      <c r="BD162">
        <f>IF(ISBLANK('Data Entry'!$x$162), "", 'Data Entry'!$x$162)</f>
      </c>
      <c r="BE162">
        <f>IF(ISBLANK('Data Entry'!$y$162), "", 'Data Entry'!$y$162)</f>
      </c>
      <c r="BF162">
        <f>IF(ISBLANK('Data Entry'!$z$162), "", 'Data Entry'!$z$162)</f>
      </c>
      <c r="BG162">
        <f>IF(ISBLANK('Data Entry'!${$162), "", 'Data Entry'!${$162)</f>
      </c>
      <c r="BH162">
        <f>IF(ISBLANK('Data Entry'!$|$162), "", 'Data Entry'!$|$162)</f>
      </c>
      <c r="BI162">
        <f>IF(ISBLANK('Data Entry'!$}$162), "", 'Data Entry'!$}$162)</f>
      </c>
      <c r="BJ162">
        <f>IF(ISBLANK('Data Entry'!$~$162), "", 'Data Entry'!$~$162)</f>
      </c>
      <c r="BK162">
        <f>IF(ISBLANK('Data Entry'!$$162), "", 'Data Entry'!$$162)</f>
      </c>
      <c r="BL162">
        <f>IF(ISBLANK('Data Entry'!$$162), "", 'Data Entry'!$$162)</f>
      </c>
      <c r="BM162">
        <f>IF(ISBLANK('Data Entry'!$$162), "", 'Data Entry'!$$162)</f>
      </c>
      <c r="BN162">
        <f>IF(ISBLANK('Data Entry'!$$162), "", 'Data Entry'!$$162)</f>
      </c>
      <c r="BO162">
        <f>IF(ISBLANK('Data Entry'!$$162), "", 'Data Entry'!$$162)</f>
      </c>
      <c r="BP162">
        <f>IF(ISBLANK('Data Entry'!$$162), "", 'Data Entry'!$$162)</f>
      </c>
      <c r="BQ162">
        <f>IF(ISBLANK('Data Entry'!$$162), "", 'Data Entry'!$$162)</f>
      </c>
      <c r="BR162">
        <f>IF(ISBLANK('Data Entry'!$$162), "", 'Data Entry'!$$162)</f>
      </c>
      <c r="BS162">
        <f>IF(ISBLANK('Data Entry'!$$162), "", 'Data Entry'!$$162)</f>
      </c>
      <c r="BT162">
        <f>IF(ISBLANK('Data Entry'!$$162), "", 'Data Entry'!$$162)</f>
      </c>
      <c r="BU162">
        <f>IF(ISBLANK('Data Entry'!$$162), "", 'Data Entry'!$$162)</f>
      </c>
      <c r="BV162">
        <f>IF(ISBLANK('Data Entry'!$$162), "", 'Data Entry'!$$162)</f>
      </c>
      <c r="BW162">
        <f>IF(ISBLANK('Data Entry'!$$162), "", 'Data Entry'!$$162)</f>
      </c>
      <c r="BX162">
        <f>IF(ISBLANK('Data Entry'!$$162), "", 'Data Entry'!$$162)</f>
      </c>
      <c r="BY162">
        <f>IF(ISBLANK('Data Entry'!$$162), "", 'Data Entry'!$$162)</f>
      </c>
      <c r="BZ162">
        <f>IF(ISBLANK('Data Entry'!$$162), "", 'Data Entry'!$$162)</f>
      </c>
      <c r="CA162">
        <f>IF(ISBLANK('Data Entry'!$$162), "", 'Data Entry'!$$162)</f>
      </c>
      <c r="CB162">
        <f>IF(ISBLANK('Data Entry'!$$162), "", 'Data Entry'!$$162)</f>
      </c>
      <c r="CC162">
        <f>IF(ISBLANK('Data Entry'!$$162), "", 'Data Entry'!$$162)</f>
      </c>
      <c r="CD162">
        <f>IF(ISBLANK('Data Entry'!$$162), "", 'Data Entry'!$$162)</f>
      </c>
      <c r="CE162">
        <f>IF(ISBLANK('Data Entry'!$$162), "", 'Data Entry'!$$162)</f>
      </c>
      <c r="CF162">
        <f>IF(ISBLANK('Data Entry'!$$162), "", 'Data Entry'!$$162)</f>
      </c>
      <c r="CG162">
        <f>IF(ISBLANK('Data Entry'!$$162), "", 'Data Entry'!$$162)</f>
      </c>
      <c r="CH162">
        <f>IF(ISBLANK('Data Entry'!$$162), "", 'Data Entry'!$$162)</f>
      </c>
      <c r="CI162">
        <f>IF(ISBLANK('Data Entry'!$$162), "", 'Data Entry'!$$162)</f>
      </c>
      <c r="CJ162">
        <f>IF(ISBLANK('Data Entry'!$$162), "", 'Data Entry'!$$162)</f>
      </c>
      <c r="CK162">
        <f>IF(ISBLANK('Data Entry'!$$162), "", 'Data Entry'!$$162)</f>
      </c>
      <c r="CL162">
        <f>IF(ISBLANK('Data Entry'!$$162), "", 'Data Entry'!$$162)</f>
      </c>
      <c r="CM162">
        <f>IF(ISBLANK('Data Entry'!$$162), "", 'Data Entry'!$$162)</f>
      </c>
      <c r="CN162">
        <f>IF(ISBLANK('Data Entry'!$$162), "", 'Data Entry'!$$162)</f>
      </c>
      <c r="CO162">
        <f>IF(ISBLANK('Data Entry'!$$162), "", 'Data Entry'!$$162)</f>
      </c>
      <c r="CP162">
        <f>IF(ISBLANK('Data Entry'!$$162), "", 'Data Entry'!$$162)</f>
      </c>
      <c r="CQ162">
        <f>IF(ISBLANK('Data Entry'!$$162), "", 'Data Entry'!$$162)</f>
      </c>
      <c r="CR162">
        <f>IF(ISBLANK('Data Entry'!$ $162), "", 'Data Entry'!$ $162)</f>
      </c>
      <c r="CS162">
        <f>IF(ISBLANK('Data Entry'!$¡$162), "", 'Data Entry'!$¡$162)</f>
      </c>
      <c r="CT162">
        <f>IF(ISBLANK('Data Entry'!$¢$162), "", 'Data Entry'!$¢$162)</f>
      </c>
      <c r="CU162">
        <f>IF(ISBLANK('Data Entry'!$£$162), "", 'Data Entry'!$£$162)</f>
      </c>
      <c r="CV162">
        <f>IF(ISBLANK('Data Entry'!$¤$162), "", 'Data Entry'!$¤$162)</f>
      </c>
      <c r="CW162">
        <f>IF(ISBLANK('Data Entry'!$¥$162), "", 'Data Entry'!$¥$162)</f>
      </c>
      <c r="CX162">
        <f>IF(ISBLANK('Data Entry'!$¦$162), "", 'Data Entry'!$¦$162)</f>
      </c>
      <c r="CY162">
        <f>IF(ISBLANK('Data Entry'!$§$162), "", 'Data Entry'!$§$162)</f>
      </c>
      <c r="CZ162">
        <f>IF(ISBLANK('Data Entry'!$¨$162), "", 'Data Entry'!$¨$162)</f>
      </c>
      <c r="DA162">
        <f>IF(ISBLANK('Data Entry'!$©$162), "", 'Data Entry'!$©$162)</f>
      </c>
      <c r="DB162">
        <f>IF(ISBLANK('Data Entry'!$ª$162), "", 'Data Entry'!$ª$162)</f>
      </c>
      <c r="DC162">
        <f>IF(ISBLANK('Data Entry'!$«$162), "", 'Data Entry'!$«$162)</f>
      </c>
      <c r="DD162">
        <f>IF(ISBLANK('Data Entry'!$¬$162), "", 'Data Entry'!$¬$162)</f>
      </c>
      <c r="DE162">
        <f>IF(ISBLANK('Data Entry'!$­$162), "", 'Data Entry'!$­$162)</f>
      </c>
      <c r="DF162">
        <f>IF(ISBLANK('Data Entry'!$®$162), "", 'Data Entry'!$®$162)</f>
      </c>
      <c r="DG162">
        <f>IF(ISBLANK('Data Entry'!$¯$162), "", 'Data Entry'!$¯$162)</f>
      </c>
      <c r="DH162">
        <f>IF(ISBLANK('Data Entry'!$°$162), "", 'Data Entry'!$°$162)</f>
      </c>
      <c r="DI162">
        <f>IF(ISBLANK('Data Entry'!$±$162), "", 'Data Entry'!$±$162)</f>
      </c>
      <c r="DJ162">
        <f>IF(ISBLANK('Data Entry'!$²$162), "", 'Data Entry'!$²$162)</f>
      </c>
      <c r="DK162">
        <f>IF(ISBLANK('Data Entry'!$³$162), "", 'Data Entry'!$³$162)</f>
      </c>
      <c r="DL162">
        <f>IF(ISBLANK('Data Entry'!$´$162), "", 'Data Entry'!$´$162)</f>
      </c>
      <c r="DM162">
        <f>IF(ISBLANK('Data Entry'!$µ$162), "", 'Data Entry'!$µ$162)</f>
      </c>
      <c r="DN162">
        <f>IF(ISBLANK('Data Entry'!$¶$162), "", 'Data Entry'!$¶$162)</f>
      </c>
      <c r="DO162">
        <f>IF(ISBLANK('Data Entry'!$·$162), "", 'Data Entry'!$·$162)</f>
      </c>
      <c r="DP162">
        <f>IF(ISBLANK('Data Entry'!$¸$162), "", 'Data Entry'!$¸$162)</f>
      </c>
      <c r="DQ162">
        <f>IF(ISBLANK('Data Entry'!$¹$162), "", 'Data Entry'!$¹$162)</f>
      </c>
      <c r="DR162">
        <f>IF(ISBLANK('Data Entry'!$º$162), "", 'Data Entry'!$º$162)</f>
      </c>
      <c r="DS162">
        <f>IF(ISBLANK('Data Entry'!$»$162), "", 'Data Entry'!$»$162)</f>
      </c>
      <c r="DT162">
        <f>IF(ISBLANK('Data Entry'!$¼$162), "", 'Data Entry'!$¼$162)</f>
      </c>
      <c r="DU162">
        <f>IF(ISBLANK('Data Entry'!$½$162), "", 'Data Entry'!$½$162)</f>
      </c>
      <c r="DV162">
        <f>IF(ISBLANK('Data Entry'!$¾$162), "", 'Data Entry'!$¾$162)</f>
      </c>
      <c r="DW162">
        <f>IF(ISBLANK('Data Entry'!$¿$162), "", 'Data Entry'!$¿$162)</f>
      </c>
      <c r="DX162">
        <f>IF(ISBLANK('Data Entry'!$À$162), "", 'Data Entry'!$À$162)</f>
      </c>
      <c r="DY162">
        <f>IF(ISBLANK('Data Entry'!$Á$162), "", 'Data Entry'!$Á$162)</f>
      </c>
      <c r="DZ162">
        <f>IF(ISBLANK('Data Entry'!$Â$162), "", 'Data Entry'!$Â$162)</f>
      </c>
      <c r="EA162">
        <f>IF(ISBLANK('Data Entry'!$Ã$162), "", 'Data Entry'!$Ã$162)</f>
      </c>
      <c r="EB162">
        <f>IF(ISBLANK('Data Entry'!$Ä$162), "", 'Data Entry'!$Ä$162)</f>
      </c>
      <c r="EC162">
        <f>IF(ISBLANK('Data Entry'!$Å$162), "", 'Data Entry'!$Å$162)</f>
      </c>
      <c r="ED162">
        <f>IF(ISBLANK('Data Entry'!$Æ$162), "", 'Data Entry'!$Æ$162)</f>
      </c>
      <c r="EE162">
        <f>IF(ISBLANK('Data Entry'!$Ç$162), "", 'Data Entry'!$Ç$162)</f>
      </c>
      <c r="EF162">
        <f>IF(ISBLANK('Data Entry'!$È$162), "", 'Data Entry'!$È$162)</f>
      </c>
      <c r="EG162">
        <f>IF(ISBLANK('Data Entry'!$É$162), "", 'Data Entry'!$É$162)</f>
      </c>
      <c r="EH162">
        <f>IF(ISBLANK('Data Entry'!$Ê$162), "", 'Data Entry'!$Ê$162)</f>
      </c>
      <c r="EI162">
        <f>IF(ISBLANK('Data Entry'!$Ë$162), "", 'Data Entry'!$Ë$162)</f>
      </c>
      <c r="EJ162">
        <f>IF(ISBLANK('Data Entry'!$Ì$162), "", 'Data Entry'!$Ì$162)</f>
      </c>
      <c r="EK162">
        <f>IF(ISBLANK('Data Entry'!$Í$162), "", 'Data Entry'!$Í$162)</f>
      </c>
      <c r="EL162">
        <f>IF(ISBLANK('Data Entry'!$Î$162), "", 'Data Entry'!$Î$162)</f>
      </c>
      <c r="EM162">
        <f>IF(ISBLANK('Data Entry'!$Ï$162), "", 'Data Entry'!$Ï$162)</f>
      </c>
      <c r="EN162">
        <f>IF(ISBLANK('Data Entry'!$Ð$162), "", 'Data Entry'!$Ð$162)</f>
      </c>
      <c r="EO162">
        <f>IF(ISBLANK('Data Entry'!$Ñ$162), "", 'Data Entry'!$Ñ$162)</f>
      </c>
      <c r="EP162">
        <f>IF(ISBLANK('Data Entry'!$Ò$162), "", 'Data Entry'!$Ò$162)</f>
      </c>
      <c r="EQ162">
        <f>IF(ISBLANK('Data Entry'!$Ó$162), "", 'Data Entry'!$Ó$162)</f>
      </c>
      <c r="ER162">
        <f>IF(ISBLANK('Data Entry'!$Ô$162), "", 'Data Entry'!$Ô$162)</f>
      </c>
      <c r="ES162">
        <f>IF(ISBLANK('Data Entry'!$Õ$162), "", 'Data Entry'!$Õ$162)</f>
      </c>
      <c r="ET162">
        <f>IF(ISBLANK('Data Entry'!$Ö$162), "", 'Data Entry'!$Ö$162)</f>
      </c>
      <c r="EU162">
        <f>IF(ISBLANK('Data Entry'!$×$162), "", 'Data Entry'!$×$162)</f>
      </c>
      <c r="EV162">
        <f>IF(ISBLANK('Data Entry'!$Ø$162), "", 'Data Entry'!$Ø$162)</f>
      </c>
      <c r="EW162">
        <f>IF(ISBLANK('Data Entry'!$Ù$162), "", 'Data Entry'!$Ù$162)</f>
      </c>
      <c r="EX162">
        <f>IF(ISBLANK('Data Entry'!$Ú$162), "", 'Data Entry'!$Ú$162)</f>
      </c>
      <c r="EY162">
        <f>IF(ISBLANK('Data Entry'!$Û$162), "", 'Data Entry'!$Û$162)</f>
      </c>
      <c r="EZ162">
        <f>IF(ISBLANK('Data Entry'!$Ü$162), "", 'Data Entry'!$Ü$162)</f>
      </c>
      <c r="FA162">
        <f>IF(ISBLANK('Data Entry'!$Ý$162), "", 'Data Entry'!$Ý$162)</f>
      </c>
      <c r="FB162">
        <f>IF(ISBLANK('Data Entry'!$Þ$162), "", 'Data Entry'!$Þ$162)</f>
      </c>
      <c r="FC162">
        <f>IF(ISBLANK('Data Entry'!$ß$162), "", 'Data Entry'!$ß$162)</f>
      </c>
      <c r="FD162">
        <f>IF(ISBLANK('Data Entry'!$à$162), "", 'Data Entry'!$à$162)</f>
      </c>
      <c r="FE162">
        <f>IF(ISBLANK('Data Entry'!$á$162), "", 'Data Entry'!$á$162)</f>
      </c>
      <c r="FF162">
        <f>IF(ISBLANK('Data Entry'!$â$162), "", 'Data Entry'!$â$162)</f>
      </c>
      <c r="FG162">
        <f>IF(ISBLANK('Data Entry'!$ã$162), "", 'Data Entry'!$ã$162)</f>
      </c>
      <c r="FH162">
        <f>IF(ISBLANK('Data Entry'!$ä$162), "", 'Data Entry'!$ä$162)</f>
      </c>
      <c r="FI162">
        <f>IF(ISBLANK('Data Entry'!$å$162), "", 'Data Entry'!$å$162)</f>
      </c>
      <c r="FJ162">
        <f>IF(ISBLANK('Data Entry'!$æ$162), "", 'Data Entry'!$æ$162)</f>
      </c>
      <c r="FK162">
        <f>IF(ISBLANK('Data Entry'!$ç$162), "", 'Data Entry'!$ç$162)</f>
      </c>
      <c r="FL162">
        <f>IF(ISBLANK('Data Entry'!$è$162), "", 'Data Entry'!$è$162)</f>
      </c>
      <c r="FM162">
        <f>IF(ISBLANK('Data Entry'!$é$162), "", 'Data Entry'!$é$162)</f>
      </c>
      <c r="FN162">
        <f>IF(ISBLANK('Data Entry'!$ê$162), "", 'Data Entry'!$ê$162)</f>
      </c>
      <c r="FO162">
        <f>IF(ISBLANK('Data Entry'!$ë$162), "", 'Data Entry'!$ë$162)</f>
      </c>
      <c r="FP162">
        <f>IF(ISBLANK('Data Entry'!$ì$162), "", 'Data Entry'!$ì$162)</f>
      </c>
      <c r="FQ162">
        <f>IF(ISBLANK('Data Entry'!$í$162), "", 'Data Entry'!$í$162)</f>
      </c>
      <c r="FR162">
        <f>IF(ISBLANK('Data Entry'!$î$162), "", 'Data Entry'!$î$162)</f>
      </c>
      <c r="FS162">
        <f>IF(ISBLANK('Data Entry'!$ï$162), "", 'Data Entry'!$ï$162)</f>
      </c>
      <c r="FT162">
        <f>IF(ISBLANK('Data Entry'!$ð$162), "", 'Data Entry'!$ð$162)</f>
      </c>
      <c r="FU162">
        <f>IF(ISBLANK('Data Entry'!$ñ$162), "", 'Data Entry'!$ñ$162)</f>
      </c>
      <c r="FV162">
        <f>IF(ISBLANK('Data Entry'!$ò$162), "", 'Data Entry'!$ò$162)</f>
      </c>
      <c r="FW162">
        <f>IF(ISBLANK('Data Entry'!$ó$162), "", 'Data Entry'!$ó$162)</f>
      </c>
      <c r="FX162">
        <f>IF(ISBLANK('Data Entry'!$ô$162), "", 'Data Entry'!$ô$162)</f>
      </c>
      <c r="FY162">
        <f>IF(ISBLANK('Data Entry'!$õ$162), "", 'Data Entry'!$õ$162)</f>
      </c>
      <c r="FZ162">
        <f>IF(ISBLANK('Data Entry'!$ö$162), "", 'Data Entry'!$ö$162)</f>
      </c>
      <c r="GA162">
        <f>IF(ISBLANK('Data Entry'!$÷$162), "", 'Data Entry'!$÷$162)</f>
      </c>
      <c r="GB162">
        <f>IF(ISBLANK('Data Entry'!$ø$162), "", 'Data Entry'!$ø$162)</f>
      </c>
      <c r="GC162">
        <f>IF(ISBLANK('Data Entry'!$ù$162), "", 'Data Entry'!$ù$162)</f>
      </c>
      <c r="GD162">
        <f>IF(ISBLANK('Data Entry'!$ú$162), "", 'Data Entry'!$ú$162)</f>
      </c>
      <c r="GE162">
        <f>IF(ISBLANK('Data Entry'!$û$162), "", 'Data Entry'!$û$162)</f>
      </c>
      <c r="GF162">
        <f>IF(ISBLANK('Data Entry'!$ü$162), "", 'Data Entry'!$ü$162)</f>
      </c>
      <c r="GG162">
        <f>IF(ISBLANK('Data Entry'!$ý$162), "", 'Data Entry'!$ý$162)</f>
      </c>
      <c r="GH162">
        <f>IF(ISBLANK('Data Entry'!$þ$162), "", 'Data Entry'!$þ$162)</f>
      </c>
      <c r="GI162">
        <f>IF(ISBLANK('Data Entry'!$ÿ$162), "", 'Data Entry'!$ÿ$162)</f>
      </c>
      <c r="GJ162">
        <f>IF(ISBLANK('Data Entry'!$Ā$162), "", 'Data Entry'!$Ā$162)</f>
      </c>
      <c r="GK162">
        <f>IF(ISBLANK('Data Entry'!$ā$162), "", 'Data Entry'!$ā$162)</f>
      </c>
      <c r="GL162">
        <f>IF(ISBLANK('Data Entry'!$Ă$162), "", 'Data Entry'!$Ă$162)</f>
      </c>
      <c r="GM162">
        <f>IF(ISBLANK('Data Entry'!$ă$162), "", 'Data Entry'!$ă$162)</f>
      </c>
      <c r="GN162">
        <f>IF(ISBLANK('Data Entry'!$Ą$162), "", 'Data Entry'!$Ą$162)</f>
      </c>
      <c r="GO162">
        <f>IF(ISBLANK('Data Entry'!$ą$162), "", 'Data Entry'!$ą$162)</f>
      </c>
      <c r="GP162">
        <f>IF(ISBLANK('Data Entry'!$Ć$162), "", 'Data Entry'!$Ć$162)</f>
      </c>
      <c r="GQ162">
        <f>IF(ISBLANK('Data Entry'!$ć$162), "", 'Data Entry'!$ć$162)</f>
      </c>
      <c r="GR162">
        <f>IF(ISBLANK('Data Entry'!$Ĉ$162), "", 'Data Entry'!$Ĉ$162)</f>
      </c>
      <c r="GS162">
        <f>IF(ISBLANK('Data Entry'!$ĉ$162), "", 'Data Entry'!$ĉ$162)</f>
      </c>
      <c r="GT162">
        <f>IF(ISBLANK('Data Entry'!$Ċ$162), "", 'Data Entry'!$Ċ$162)</f>
      </c>
      <c r="GU162">
        <f>IF(ISBLANK('Data Entry'!$ċ$162), "", 'Data Entry'!$ċ$162)</f>
      </c>
      <c r="GV162">
        <f>IF(ISBLANK('Data Entry'!$Č$162), "", 'Data Entry'!$Č$162)</f>
      </c>
      <c r="GW162">
        <f>IF(ISBLANK('Data Entry'!$č$162), "", 'Data Entry'!$č$162)</f>
      </c>
      <c r="GX162">
        <f>IF(ISBLANK('Data Entry'!$Ď$162), "", 'Data Entry'!$Ď$162)</f>
      </c>
      <c r="GY162">
        <f>IF(ISBLANK('Data Entry'!$ď$162), "", 'Data Entry'!$ď$162)</f>
      </c>
      <c r="GZ162">
        <f>IF(ISBLANK('Data Entry'!$Đ$162), "", 'Data Entry'!$Đ$162)</f>
      </c>
      <c r="HA162">
        <f>IF(ISBLANK('Data Entry'!$đ$162), "", 'Data Entry'!$đ$162)</f>
      </c>
      <c r="HB162">
        <f>IF(ISBLANK('Data Entry'!$Ē$162), "", 'Data Entry'!$Ē$162)</f>
      </c>
      <c r="HC162">
        <f>IF(ISBLANK('Data Entry'!$ē$162), "", 'Data Entry'!$ē$162)</f>
      </c>
      <c r="HD162">
        <f>IF(ISBLANK('Data Entry'!$Ĕ$162), "", 'Data Entry'!$Ĕ$162)</f>
      </c>
      <c r="HE162">
        <f>IF(ISBLANK('Data Entry'!$ĕ$162), "", 'Data Entry'!$ĕ$162)</f>
      </c>
      <c r="HF162">
        <f>IF(ISBLANK('Data Entry'!$Ė$162), "", 'Data Entry'!$Ė$162)</f>
      </c>
      <c r="HG162">
        <f>IF(ISBLANK('Data Entry'!$ė$162), "", 'Data Entry'!$ė$162)</f>
      </c>
      <c r="HH162">
        <f>IF(ISBLANK('Data Entry'!$Ę$162), "", 'Data Entry'!$Ę$162)</f>
      </c>
      <c r="HI162">
        <f>IF(ISBLANK('Data Entry'!$ę$162), "", 'Data Entry'!$ę$162)</f>
      </c>
      <c r="HJ162">
        <f>IF(ISBLANK('Data Entry'!$Ě$162), "", 'Data Entry'!$Ě$162)</f>
      </c>
      <c r="HK162">
        <f>IF(ISBLANK('Data Entry'!$ě$162), "", 'Data Entry'!$ě$162)</f>
      </c>
      <c r="HL162">
        <f>IF(ISBLANK('Data Entry'!$Ĝ$162), "", 'Data Entry'!$Ĝ$162)</f>
      </c>
      <c r="HM162">
        <f>IF(ISBLANK('Data Entry'!$ĝ$162), "", 'Data Entry'!$ĝ$162)</f>
      </c>
      <c r="HN162">
        <f>IF(ISBLANK('Data Entry'!$Ğ$162), "", 'Data Entry'!$Ğ$162)</f>
      </c>
      <c r="HO162">
        <f>IF(ISBLANK('Data Entry'!$ğ$162), "", 'Data Entry'!$ğ$162)</f>
      </c>
      <c r="HP162">
        <f>IF(ISBLANK('Data Entry'!$Ġ$162), "", 'Data Entry'!$Ġ$162)</f>
      </c>
      <c r="HQ162">
        <f>IF(ISBLANK('Data Entry'!$ġ$162), "", 'Data Entry'!$ġ$162)</f>
      </c>
      <c r="HR162">
        <f>IF(ISBLANK('Data Entry'!$Ģ$162), "", 'Data Entry'!$Ģ$162)</f>
      </c>
      <c r="HS162">
        <f>IF(ISBLANK('Data Entry'!$ģ$162), "", 'Data Entry'!$ģ$162)</f>
      </c>
      <c r="HT162">
        <f>IF(ISBLANK('Data Entry'!$Ĥ$162), "", 'Data Entry'!$Ĥ$162)</f>
      </c>
      <c r="HU162">
        <f>IF(ISBLANK('Data Entry'!$ĥ$162), "", 'Data Entry'!$ĥ$162)</f>
      </c>
      <c r="HV162">
        <f>IF(ISBLANK('Data Entry'!$Ħ$162), "", 'Data Entry'!$Ħ$162)</f>
      </c>
      <c r="HW162">
        <f>IF(ISBLANK('Data Entry'!$ħ$162), "", 'Data Entry'!$ħ$162)</f>
      </c>
      <c r="HX162">
        <f>IF(ISBLANK('Data Entry'!$Ĩ$162), "", 'Data Entry'!$Ĩ$162)</f>
      </c>
      <c r="HY162">
        <f>IF(ISBLANK('Data Entry'!$ĩ$162), "", 'Data Entry'!$ĩ$162)</f>
      </c>
      <c r="HZ162">
        <f>IF(ISBLANK('Data Entry'!$Ī$162), "", 'Data Entry'!$Ī$162)</f>
      </c>
      <c r="IA162">
        <f>IF(ISBLANK('Data Entry'!$ī$162), "", 'Data Entry'!$ī$162)</f>
      </c>
      <c r="IB162">
        <f>IF(ISBLANK('Data Entry'!$Ĭ$162), "", 'Data Entry'!$Ĭ$162)</f>
      </c>
      <c r="IC162">
        <f>IF(ISBLANK('Data Entry'!$ĭ$162), "", 'Data Entry'!$ĭ$162)</f>
      </c>
      <c r="ID162">
        <f>IF(ISBLANK('Data Entry'!$Į$162), "", 'Data Entry'!$Į$162)</f>
      </c>
      <c r="IE162">
        <f>IF(ISBLANK('Data Entry'!$į$162), "", 'Data Entry'!$į$162)</f>
      </c>
      <c r="IF162">
        <f>IF(ISBLANK('Data Entry'!$İ$162), "", 'Data Entry'!$İ$162)</f>
      </c>
      <c r="IG162">
        <f>IF(ISBLANK('Data Entry'!$ı$162), "", 'Data Entry'!$ı$162)</f>
      </c>
      <c r="IH162">
        <f>IF(ISBLANK('Data Entry'!$Ĳ$162), "", 'Data Entry'!$Ĳ$162)</f>
      </c>
      <c r="II162">
        <f>IF(ISBLANK('Data Entry'!$ĳ$162), "", 'Data Entry'!$ĳ$162)</f>
      </c>
      <c r="IJ162">
        <f>IF(ISBLANK('Data Entry'!$Ĵ$162), "", 'Data Entry'!$Ĵ$162)</f>
      </c>
      <c r="IK162">
        <f>IF(ISBLANK('Data Entry'!$ĵ$162), "", 'Data Entry'!$ĵ$162)</f>
      </c>
      <c r="IL162">
        <f>IF(ISBLANK('Data Entry'!$Ķ$162), "", 'Data Entry'!$Ķ$162)</f>
      </c>
      <c r="IM162">
        <f>IF(ISBLANK('Data Entry'!$ķ$162), "", 'Data Entry'!$ķ$162)</f>
      </c>
      <c r="IN162">
        <f>IF(ISBLANK('Data Entry'!$ĸ$162), "", 'Data Entry'!$ĸ$162)</f>
      </c>
      <c r="IO162">
        <f>IF(ISBLANK('Data Entry'!$Ĺ$162), "", 'Data Entry'!$Ĺ$162)</f>
      </c>
      <c r="IP162">
        <f>IF(ISBLANK('Data Entry'!$ĺ$162), "", 'Data Entry'!$ĺ$162)</f>
      </c>
      <c r="IQ162">
        <f>IF(ISBLANK('Data Entry'!$Ļ$162), "", 'Data Entry'!$Ļ$162)</f>
      </c>
      <c r="IR162">
        <f>IF(ISBLANK('Data Entry'!$ļ$162), "", 'Data Entry'!$ļ$162)</f>
      </c>
      <c r="IS162">
        <f>IF(ISBLANK('Data Entry'!$Ľ$162), "", 'Data Entry'!$Ľ$162)</f>
      </c>
      <c r="IT162">
        <f>IF(ISBLANK('Data Entry'!$ľ$162), "", 'Data Entry'!$ľ$162)</f>
      </c>
    </row>
    <row r="163" spans="1:254" x14ac:dyDescent="0.25">
      <c r="A163">
        <f>IF(ISBLANK('Data Entry'!$A$163), "", 'Data Entry'!$A$163)</f>
      </c>
      <c r="B163">
        <f>IF(ISBLANK('Data Entry'!$B$163), "", 'Data Entry'!$B$163)</f>
      </c>
      <c r="C163">
        <f>IF(ISBLANK('Data Entry'!$C$163), "", 'Data Entry'!$C$163)</f>
      </c>
      <c r="D163">
        <f>IF(ISBLANK('Data Entry'!$D$163), "", 'Data Entry'!$D$163)</f>
      </c>
      <c r="E163">
        <f>IF(ISBLANK('Data Entry'!$E$163), "", 'Data Entry'!$E$163)</f>
      </c>
      <c r="F163">
        <f>IF(ISBLANK('Data Entry'!$F$163), "", 'Data Entry'!$F$163)</f>
      </c>
      <c r="G163">
        <f>IF(ISBLANK('Data Entry'!$G$163), "", 'Data Entry'!$G$163)</f>
      </c>
      <c r="H163">
        <f>IF(ISBLANK('Data Entry'!$H$163), "", 'Data Entry'!$H$163)</f>
      </c>
      <c r="I163">
        <f>IF(ISBLANK('Data Entry'!$I$163), "", 'Data Entry'!$I$163)</f>
      </c>
      <c r="J163">
        <f>IF(ISBLANK('Data Entry'!$J$163), "", 'Data Entry'!$J$163)</f>
      </c>
      <c r="K163">
        <f>IF(ISBLANK('Data Entry'!$K$163), "", 'Data Entry'!$K$163)</f>
      </c>
      <c r="L163">
        <f>IF(ISBLANK('Data Entry'!$L$163), "", 'Data Entry'!$L$163)</f>
      </c>
      <c r="M163">
        <f>IF(ISBLANK('Data Entry'!$M$163), "", 'Data Entry'!$M$163)</f>
      </c>
      <c r="N163">
        <f>IF(ISBLANK('Data Entry'!$N$163), "", 'Data Entry'!$N$163)</f>
      </c>
      <c r="O163">
        <f>IF(ISBLANK('Data Entry'!$O$163), "", 'Data Entry'!$O$163)</f>
      </c>
      <c r="P163">
        <f>IF(ISBLANK('Data Entry'!$P$163), "", 'Data Entry'!$P$163)</f>
      </c>
      <c r="Q163">
        <f>IF(ISBLANK('Data Entry'!$Q$163), "", 'Data Entry'!$Q$163)</f>
      </c>
      <c r="R163">
        <f>IF(ISBLANK('Data Entry'!$R$163), "", 'Data Entry'!$R$163)</f>
      </c>
      <c r="S163">
        <f>IF(ISBLANK('Data Entry'!$S$163), "", 'Data Entry'!$S$163)</f>
      </c>
      <c r="T163">
        <f>IF(ISBLANK('Data Entry'!$T$163), "", 'Data Entry'!$T$163)</f>
      </c>
      <c r="U163">
        <f>IF(ISBLANK('Data Entry'!$U$163), "", 'Data Entry'!$U$163)</f>
      </c>
      <c r="V163">
        <f>IF(ISBLANK('Data Entry'!$V$163), "", 'Data Entry'!$V$163)</f>
      </c>
      <c r="W163">
        <f>IF(ISBLANK('Data Entry'!$W$163), "", 'Data Entry'!$W$163)</f>
      </c>
      <c r="X163">
        <f>IF(ISBLANK('Data Entry'!$X$163), "", 'Data Entry'!$X$163)</f>
      </c>
      <c r="Y163">
        <f>IF(ISBLANK('Data Entry'!$Y$163), "", 'Data Entry'!$Y$163)</f>
      </c>
      <c r="Z163">
        <f>IF(ISBLANK('Data Entry'!$Z$163), "", 'Data Entry'!$Z$163)</f>
      </c>
      <c r="AA163">
        <f>IF(ISBLANK('Data Entry'!$[$163), "", 'Data Entry'!$[$163)</f>
      </c>
      <c r="AB163">
        <f>IF(ISBLANK('Data Entry'!$\$163), "", 'Data Entry'!$\$163)</f>
      </c>
      <c r="AC163">
        <f>IF(ISBLANK('Data Entry'!$]$163), "", 'Data Entry'!$]$163)</f>
      </c>
      <c r="AD163">
        <f>IF(ISBLANK('Data Entry'!$^$163), "", 'Data Entry'!$^$163)</f>
      </c>
      <c r="AE163">
        <f>IF(ISBLANK('Data Entry'!$_$163), "", 'Data Entry'!$_$163)</f>
      </c>
      <c r="AF163">
        <f>IF(ISBLANK('Data Entry'!$`$163), "", 'Data Entry'!$`$163)</f>
      </c>
      <c r="AG163">
        <f>IF(ISBLANK('Data Entry'!$a$163), "", 'Data Entry'!$a$163)</f>
      </c>
      <c r="AH163">
        <f>IF(ISBLANK('Data Entry'!$b$163), "", 'Data Entry'!$b$163)</f>
      </c>
      <c r="AI163">
        <f>IF(ISBLANK('Data Entry'!$c$163), "", 'Data Entry'!$c$163)</f>
      </c>
      <c r="AJ163">
        <f>IF(ISBLANK('Data Entry'!$d$163), "", 'Data Entry'!$d$163)</f>
      </c>
      <c r="AK163">
        <f>IF(ISBLANK('Data Entry'!$e$163), "", 'Data Entry'!$e$163)</f>
      </c>
      <c r="AL163">
        <f>IF(ISBLANK('Data Entry'!$f$163), "", 'Data Entry'!$f$163)</f>
      </c>
      <c r="AM163">
        <f>IF(ISBLANK('Data Entry'!$g$163), "", 'Data Entry'!$g$163)</f>
      </c>
      <c r="AN163">
        <f>IF(ISBLANK('Data Entry'!$h$163), "", 'Data Entry'!$h$163)</f>
      </c>
      <c r="AO163">
        <f>IF(ISBLANK('Data Entry'!$i$163), "", 'Data Entry'!$i$163)</f>
      </c>
      <c r="AP163">
        <f>IF(ISBLANK('Data Entry'!$j$163), "", 'Data Entry'!$j$163)</f>
      </c>
      <c r="AQ163">
        <f>IF(ISBLANK('Data Entry'!$k$163), "", 'Data Entry'!$k$163)</f>
      </c>
      <c r="AR163">
        <f>IF(ISBLANK('Data Entry'!$l$163), "", 'Data Entry'!$l$163)</f>
      </c>
      <c r="AS163">
        <f>IF(ISBLANK('Data Entry'!$m$163), "", 'Data Entry'!$m$163)</f>
      </c>
      <c r="AT163">
        <f>IF(ISBLANK('Data Entry'!$n$163), "", 'Data Entry'!$n$163)</f>
      </c>
      <c r="AU163">
        <f>IF(ISBLANK('Data Entry'!$o$163), "", 'Data Entry'!$o$163)</f>
      </c>
      <c r="AV163">
        <f>IF(ISBLANK('Data Entry'!$p$163), "", 'Data Entry'!$p$163)</f>
      </c>
      <c r="AW163">
        <f>IF(ISBLANK('Data Entry'!$q$163), "", 'Data Entry'!$q$163)</f>
      </c>
      <c r="AX163">
        <f>IF(ISBLANK('Data Entry'!$r$163), "", 'Data Entry'!$r$163)</f>
      </c>
      <c r="AY163">
        <f>IF(ISBLANK('Data Entry'!$s$163), "", 'Data Entry'!$s$163)</f>
      </c>
      <c r="AZ163">
        <f>IF(ISBLANK('Data Entry'!$t$163), "", 'Data Entry'!$t$163)</f>
      </c>
      <c r="BA163">
        <f>IF(ISBLANK('Data Entry'!$u$163), "", 'Data Entry'!$u$163)</f>
      </c>
      <c r="BB163">
        <f>IF(ISBLANK('Data Entry'!$v$163), "", 'Data Entry'!$v$163)</f>
      </c>
      <c r="BC163">
        <f>IF(ISBLANK('Data Entry'!$w$163), "", 'Data Entry'!$w$163)</f>
      </c>
      <c r="BD163">
        <f>IF(ISBLANK('Data Entry'!$x$163), "", 'Data Entry'!$x$163)</f>
      </c>
      <c r="BE163">
        <f>IF(ISBLANK('Data Entry'!$y$163), "", 'Data Entry'!$y$163)</f>
      </c>
      <c r="BF163">
        <f>IF(ISBLANK('Data Entry'!$z$163), "", 'Data Entry'!$z$163)</f>
      </c>
      <c r="BG163">
        <f>IF(ISBLANK('Data Entry'!${$163), "", 'Data Entry'!${$163)</f>
      </c>
      <c r="BH163">
        <f>IF(ISBLANK('Data Entry'!$|$163), "", 'Data Entry'!$|$163)</f>
      </c>
      <c r="BI163">
        <f>IF(ISBLANK('Data Entry'!$}$163), "", 'Data Entry'!$}$163)</f>
      </c>
      <c r="BJ163">
        <f>IF(ISBLANK('Data Entry'!$~$163), "", 'Data Entry'!$~$163)</f>
      </c>
      <c r="BK163">
        <f>IF(ISBLANK('Data Entry'!$$163), "", 'Data Entry'!$$163)</f>
      </c>
      <c r="BL163">
        <f>IF(ISBLANK('Data Entry'!$$163), "", 'Data Entry'!$$163)</f>
      </c>
      <c r="BM163">
        <f>IF(ISBLANK('Data Entry'!$$163), "", 'Data Entry'!$$163)</f>
      </c>
      <c r="BN163">
        <f>IF(ISBLANK('Data Entry'!$$163), "", 'Data Entry'!$$163)</f>
      </c>
      <c r="BO163">
        <f>IF(ISBLANK('Data Entry'!$$163), "", 'Data Entry'!$$163)</f>
      </c>
      <c r="BP163">
        <f>IF(ISBLANK('Data Entry'!$$163), "", 'Data Entry'!$$163)</f>
      </c>
      <c r="BQ163">
        <f>IF(ISBLANK('Data Entry'!$$163), "", 'Data Entry'!$$163)</f>
      </c>
      <c r="BR163">
        <f>IF(ISBLANK('Data Entry'!$$163), "", 'Data Entry'!$$163)</f>
      </c>
      <c r="BS163">
        <f>IF(ISBLANK('Data Entry'!$$163), "", 'Data Entry'!$$163)</f>
      </c>
      <c r="BT163">
        <f>IF(ISBLANK('Data Entry'!$$163), "", 'Data Entry'!$$163)</f>
      </c>
      <c r="BU163">
        <f>IF(ISBLANK('Data Entry'!$$163), "", 'Data Entry'!$$163)</f>
      </c>
      <c r="BV163">
        <f>IF(ISBLANK('Data Entry'!$$163), "", 'Data Entry'!$$163)</f>
      </c>
      <c r="BW163">
        <f>IF(ISBLANK('Data Entry'!$$163), "", 'Data Entry'!$$163)</f>
      </c>
      <c r="BX163">
        <f>IF(ISBLANK('Data Entry'!$$163), "", 'Data Entry'!$$163)</f>
      </c>
      <c r="BY163">
        <f>IF(ISBLANK('Data Entry'!$$163), "", 'Data Entry'!$$163)</f>
      </c>
      <c r="BZ163">
        <f>IF(ISBLANK('Data Entry'!$$163), "", 'Data Entry'!$$163)</f>
      </c>
      <c r="CA163">
        <f>IF(ISBLANK('Data Entry'!$$163), "", 'Data Entry'!$$163)</f>
      </c>
      <c r="CB163">
        <f>IF(ISBLANK('Data Entry'!$$163), "", 'Data Entry'!$$163)</f>
      </c>
      <c r="CC163">
        <f>IF(ISBLANK('Data Entry'!$$163), "", 'Data Entry'!$$163)</f>
      </c>
      <c r="CD163">
        <f>IF(ISBLANK('Data Entry'!$$163), "", 'Data Entry'!$$163)</f>
      </c>
      <c r="CE163">
        <f>IF(ISBLANK('Data Entry'!$$163), "", 'Data Entry'!$$163)</f>
      </c>
      <c r="CF163">
        <f>IF(ISBLANK('Data Entry'!$$163), "", 'Data Entry'!$$163)</f>
      </c>
      <c r="CG163">
        <f>IF(ISBLANK('Data Entry'!$$163), "", 'Data Entry'!$$163)</f>
      </c>
      <c r="CH163">
        <f>IF(ISBLANK('Data Entry'!$$163), "", 'Data Entry'!$$163)</f>
      </c>
      <c r="CI163">
        <f>IF(ISBLANK('Data Entry'!$$163), "", 'Data Entry'!$$163)</f>
      </c>
      <c r="CJ163">
        <f>IF(ISBLANK('Data Entry'!$$163), "", 'Data Entry'!$$163)</f>
      </c>
      <c r="CK163">
        <f>IF(ISBLANK('Data Entry'!$$163), "", 'Data Entry'!$$163)</f>
      </c>
      <c r="CL163">
        <f>IF(ISBLANK('Data Entry'!$$163), "", 'Data Entry'!$$163)</f>
      </c>
      <c r="CM163">
        <f>IF(ISBLANK('Data Entry'!$$163), "", 'Data Entry'!$$163)</f>
      </c>
      <c r="CN163">
        <f>IF(ISBLANK('Data Entry'!$$163), "", 'Data Entry'!$$163)</f>
      </c>
      <c r="CO163">
        <f>IF(ISBLANK('Data Entry'!$$163), "", 'Data Entry'!$$163)</f>
      </c>
      <c r="CP163">
        <f>IF(ISBLANK('Data Entry'!$$163), "", 'Data Entry'!$$163)</f>
      </c>
      <c r="CQ163">
        <f>IF(ISBLANK('Data Entry'!$$163), "", 'Data Entry'!$$163)</f>
      </c>
      <c r="CR163">
        <f>IF(ISBLANK('Data Entry'!$ $163), "", 'Data Entry'!$ $163)</f>
      </c>
      <c r="CS163">
        <f>IF(ISBLANK('Data Entry'!$¡$163), "", 'Data Entry'!$¡$163)</f>
      </c>
      <c r="CT163">
        <f>IF(ISBLANK('Data Entry'!$¢$163), "", 'Data Entry'!$¢$163)</f>
      </c>
      <c r="CU163">
        <f>IF(ISBLANK('Data Entry'!$£$163), "", 'Data Entry'!$£$163)</f>
      </c>
      <c r="CV163">
        <f>IF(ISBLANK('Data Entry'!$¤$163), "", 'Data Entry'!$¤$163)</f>
      </c>
      <c r="CW163">
        <f>IF(ISBLANK('Data Entry'!$¥$163), "", 'Data Entry'!$¥$163)</f>
      </c>
      <c r="CX163">
        <f>IF(ISBLANK('Data Entry'!$¦$163), "", 'Data Entry'!$¦$163)</f>
      </c>
      <c r="CY163">
        <f>IF(ISBLANK('Data Entry'!$§$163), "", 'Data Entry'!$§$163)</f>
      </c>
      <c r="CZ163">
        <f>IF(ISBLANK('Data Entry'!$¨$163), "", 'Data Entry'!$¨$163)</f>
      </c>
      <c r="DA163">
        <f>IF(ISBLANK('Data Entry'!$©$163), "", 'Data Entry'!$©$163)</f>
      </c>
      <c r="DB163">
        <f>IF(ISBLANK('Data Entry'!$ª$163), "", 'Data Entry'!$ª$163)</f>
      </c>
      <c r="DC163">
        <f>IF(ISBLANK('Data Entry'!$«$163), "", 'Data Entry'!$«$163)</f>
      </c>
      <c r="DD163">
        <f>IF(ISBLANK('Data Entry'!$¬$163), "", 'Data Entry'!$¬$163)</f>
      </c>
      <c r="DE163">
        <f>IF(ISBLANK('Data Entry'!$­$163), "", 'Data Entry'!$­$163)</f>
      </c>
      <c r="DF163">
        <f>IF(ISBLANK('Data Entry'!$®$163), "", 'Data Entry'!$®$163)</f>
      </c>
      <c r="DG163">
        <f>IF(ISBLANK('Data Entry'!$¯$163), "", 'Data Entry'!$¯$163)</f>
      </c>
      <c r="DH163">
        <f>IF(ISBLANK('Data Entry'!$°$163), "", 'Data Entry'!$°$163)</f>
      </c>
      <c r="DI163">
        <f>IF(ISBLANK('Data Entry'!$±$163), "", 'Data Entry'!$±$163)</f>
      </c>
      <c r="DJ163">
        <f>IF(ISBLANK('Data Entry'!$²$163), "", 'Data Entry'!$²$163)</f>
      </c>
      <c r="DK163">
        <f>IF(ISBLANK('Data Entry'!$³$163), "", 'Data Entry'!$³$163)</f>
      </c>
      <c r="DL163">
        <f>IF(ISBLANK('Data Entry'!$´$163), "", 'Data Entry'!$´$163)</f>
      </c>
      <c r="DM163">
        <f>IF(ISBLANK('Data Entry'!$µ$163), "", 'Data Entry'!$µ$163)</f>
      </c>
      <c r="DN163">
        <f>IF(ISBLANK('Data Entry'!$¶$163), "", 'Data Entry'!$¶$163)</f>
      </c>
      <c r="DO163">
        <f>IF(ISBLANK('Data Entry'!$·$163), "", 'Data Entry'!$·$163)</f>
      </c>
      <c r="DP163">
        <f>IF(ISBLANK('Data Entry'!$¸$163), "", 'Data Entry'!$¸$163)</f>
      </c>
      <c r="DQ163">
        <f>IF(ISBLANK('Data Entry'!$¹$163), "", 'Data Entry'!$¹$163)</f>
      </c>
      <c r="DR163">
        <f>IF(ISBLANK('Data Entry'!$º$163), "", 'Data Entry'!$º$163)</f>
      </c>
      <c r="DS163">
        <f>IF(ISBLANK('Data Entry'!$»$163), "", 'Data Entry'!$»$163)</f>
      </c>
      <c r="DT163">
        <f>IF(ISBLANK('Data Entry'!$¼$163), "", 'Data Entry'!$¼$163)</f>
      </c>
      <c r="DU163">
        <f>IF(ISBLANK('Data Entry'!$½$163), "", 'Data Entry'!$½$163)</f>
      </c>
      <c r="DV163">
        <f>IF(ISBLANK('Data Entry'!$¾$163), "", 'Data Entry'!$¾$163)</f>
      </c>
      <c r="DW163">
        <f>IF(ISBLANK('Data Entry'!$¿$163), "", 'Data Entry'!$¿$163)</f>
      </c>
      <c r="DX163">
        <f>IF(ISBLANK('Data Entry'!$À$163), "", 'Data Entry'!$À$163)</f>
      </c>
      <c r="DY163">
        <f>IF(ISBLANK('Data Entry'!$Á$163), "", 'Data Entry'!$Á$163)</f>
      </c>
      <c r="DZ163">
        <f>IF(ISBLANK('Data Entry'!$Â$163), "", 'Data Entry'!$Â$163)</f>
      </c>
      <c r="EA163">
        <f>IF(ISBLANK('Data Entry'!$Ã$163), "", 'Data Entry'!$Ã$163)</f>
      </c>
      <c r="EB163">
        <f>IF(ISBLANK('Data Entry'!$Ä$163), "", 'Data Entry'!$Ä$163)</f>
      </c>
      <c r="EC163">
        <f>IF(ISBLANK('Data Entry'!$Å$163), "", 'Data Entry'!$Å$163)</f>
      </c>
      <c r="ED163">
        <f>IF(ISBLANK('Data Entry'!$Æ$163), "", 'Data Entry'!$Æ$163)</f>
      </c>
      <c r="EE163">
        <f>IF(ISBLANK('Data Entry'!$Ç$163), "", 'Data Entry'!$Ç$163)</f>
      </c>
      <c r="EF163">
        <f>IF(ISBLANK('Data Entry'!$È$163), "", 'Data Entry'!$È$163)</f>
      </c>
      <c r="EG163">
        <f>IF(ISBLANK('Data Entry'!$É$163), "", 'Data Entry'!$É$163)</f>
      </c>
      <c r="EH163">
        <f>IF(ISBLANK('Data Entry'!$Ê$163), "", 'Data Entry'!$Ê$163)</f>
      </c>
      <c r="EI163">
        <f>IF(ISBLANK('Data Entry'!$Ë$163), "", 'Data Entry'!$Ë$163)</f>
      </c>
      <c r="EJ163">
        <f>IF(ISBLANK('Data Entry'!$Ì$163), "", 'Data Entry'!$Ì$163)</f>
      </c>
      <c r="EK163">
        <f>IF(ISBLANK('Data Entry'!$Í$163), "", 'Data Entry'!$Í$163)</f>
      </c>
      <c r="EL163">
        <f>IF(ISBLANK('Data Entry'!$Î$163), "", 'Data Entry'!$Î$163)</f>
      </c>
      <c r="EM163">
        <f>IF(ISBLANK('Data Entry'!$Ï$163), "", 'Data Entry'!$Ï$163)</f>
      </c>
      <c r="EN163">
        <f>IF(ISBLANK('Data Entry'!$Ð$163), "", 'Data Entry'!$Ð$163)</f>
      </c>
      <c r="EO163">
        <f>IF(ISBLANK('Data Entry'!$Ñ$163), "", 'Data Entry'!$Ñ$163)</f>
      </c>
      <c r="EP163">
        <f>IF(ISBLANK('Data Entry'!$Ò$163), "", 'Data Entry'!$Ò$163)</f>
      </c>
      <c r="EQ163">
        <f>IF(ISBLANK('Data Entry'!$Ó$163), "", 'Data Entry'!$Ó$163)</f>
      </c>
      <c r="ER163">
        <f>IF(ISBLANK('Data Entry'!$Ô$163), "", 'Data Entry'!$Ô$163)</f>
      </c>
      <c r="ES163">
        <f>IF(ISBLANK('Data Entry'!$Õ$163), "", 'Data Entry'!$Õ$163)</f>
      </c>
      <c r="ET163">
        <f>IF(ISBLANK('Data Entry'!$Ö$163), "", 'Data Entry'!$Ö$163)</f>
      </c>
      <c r="EU163">
        <f>IF(ISBLANK('Data Entry'!$×$163), "", 'Data Entry'!$×$163)</f>
      </c>
      <c r="EV163">
        <f>IF(ISBLANK('Data Entry'!$Ø$163), "", 'Data Entry'!$Ø$163)</f>
      </c>
      <c r="EW163">
        <f>IF(ISBLANK('Data Entry'!$Ù$163), "", 'Data Entry'!$Ù$163)</f>
      </c>
      <c r="EX163">
        <f>IF(ISBLANK('Data Entry'!$Ú$163), "", 'Data Entry'!$Ú$163)</f>
      </c>
      <c r="EY163">
        <f>IF(ISBLANK('Data Entry'!$Û$163), "", 'Data Entry'!$Û$163)</f>
      </c>
      <c r="EZ163">
        <f>IF(ISBLANK('Data Entry'!$Ü$163), "", 'Data Entry'!$Ü$163)</f>
      </c>
      <c r="FA163">
        <f>IF(ISBLANK('Data Entry'!$Ý$163), "", 'Data Entry'!$Ý$163)</f>
      </c>
      <c r="FB163">
        <f>IF(ISBLANK('Data Entry'!$Þ$163), "", 'Data Entry'!$Þ$163)</f>
      </c>
      <c r="FC163">
        <f>IF(ISBLANK('Data Entry'!$ß$163), "", 'Data Entry'!$ß$163)</f>
      </c>
      <c r="FD163">
        <f>IF(ISBLANK('Data Entry'!$à$163), "", 'Data Entry'!$à$163)</f>
      </c>
      <c r="FE163">
        <f>IF(ISBLANK('Data Entry'!$á$163), "", 'Data Entry'!$á$163)</f>
      </c>
      <c r="FF163">
        <f>IF(ISBLANK('Data Entry'!$â$163), "", 'Data Entry'!$â$163)</f>
      </c>
      <c r="FG163">
        <f>IF(ISBLANK('Data Entry'!$ã$163), "", 'Data Entry'!$ã$163)</f>
      </c>
      <c r="FH163">
        <f>IF(ISBLANK('Data Entry'!$ä$163), "", 'Data Entry'!$ä$163)</f>
      </c>
      <c r="FI163">
        <f>IF(ISBLANK('Data Entry'!$å$163), "", 'Data Entry'!$å$163)</f>
      </c>
      <c r="FJ163">
        <f>IF(ISBLANK('Data Entry'!$æ$163), "", 'Data Entry'!$æ$163)</f>
      </c>
      <c r="FK163">
        <f>IF(ISBLANK('Data Entry'!$ç$163), "", 'Data Entry'!$ç$163)</f>
      </c>
      <c r="FL163">
        <f>IF(ISBLANK('Data Entry'!$è$163), "", 'Data Entry'!$è$163)</f>
      </c>
      <c r="FM163">
        <f>IF(ISBLANK('Data Entry'!$é$163), "", 'Data Entry'!$é$163)</f>
      </c>
      <c r="FN163">
        <f>IF(ISBLANK('Data Entry'!$ê$163), "", 'Data Entry'!$ê$163)</f>
      </c>
      <c r="FO163">
        <f>IF(ISBLANK('Data Entry'!$ë$163), "", 'Data Entry'!$ë$163)</f>
      </c>
      <c r="FP163">
        <f>IF(ISBLANK('Data Entry'!$ì$163), "", 'Data Entry'!$ì$163)</f>
      </c>
      <c r="FQ163">
        <f>IF(ISBLANK('Data Entry'!$í$163), "", 'Data Entry'!$í$163)</f>
      </c>
      <c r="FR163">
        <f>IF(ISBLANK('Data Entry'!$î$163), "", 'Data Entry'!$î$163)</f>
      </c>
      <c r="FS163">
        <f>IF(ISBLANK('Data Entry'!$ï$163), "", 'Data Entry'!$ï$163)</f>
      </c>
      <c r="FT163">
        <f>IF(ISBLANK('Data Entry'!$ð$163), "", 'Data Entry'!$ð$163)</f>
      </c>
      <c r="FU163">
        <f>IF(ISBLANK('Data Entry'!$ñ$163), "", 'Data Entry'!$ñ$163)</f>
      </c>
      <c r="FV163">
        <f>IF(ISBLANK('Data Entry'!$ò$163), "", 'Data Entry'!$ò$163)</f>
      </c>
      <c r="FW163">
        <f>IF(ISBLANK('Data Entry'!$ó$163), "", 'Data Entry'!$ó$163)</f>
      </c>
      <c r="FX163">
        <f>IF(ISBLANK('Data Entry'!$ô$163), "", 'Data Entry'!$ô$163)</f>
      </c>
      <c r="FY163">
        <f>IF(ISBLANK('Data Entry'!$õ$163), "", 'Data Entry'!$õ$163)</f>
      </c>
      <c r="FZ163">
        <f>IF(ISBLANK('Data Entry'!$ö$163), "", 'Data Entry'!$ö$163)</f>
      </c>
      <c r="GA163">
        <f>IF(ISBLANK('Data Entry'!$÷$163), "", 'Data Entry'!$÷$163)</f>
      </c>
      <c r="GB163">
        <f>IF(ISBLANK('Data Entry'!$ø$163), "", 'Data Entry'!$ø$163)</f>
      </c>
      <c r="GC163">
        <f>IF(ISBLANK('Data Entry'!$ù$163), "", 'Data Entry'!$ù$163)</f>
      </c>
      <c r="GD163">
        <f>IF(ISBLANK('Data Entry'!$ú$163), "", 'Data Entry'!$ú$163)</f>
      </c>
      <c r="GE163">
        <f>IF(ISBLANK('Data Entry'!$û$163), "", 'Data Entry'!$û$163)</f>
      </c>
      <c r="GF163">
        <f>IF(ISBLANK('Data Entry'!$ü$163), "", 'Data Entry'!$ü$163)</f>
      </c>
      <c r="GG163">
        <f>IF(ISBLANK('Data Entry'!$ý$163), "", 'Data Entry'!$ý$163)</f>
      </c>
      <c r="GH163">
        <f>IF(ISBLANK('Data Entry'!$þ$163), "", 'Data Entry'!$þ$163)</f>
      </c>
      <c r="GI163">
        <f>IF(ISBLANK('Data Entry'!$ÿ$163), "", 'Data Entry'!$ÿ$163)</f>
      </c>
      <c r="GJ163">
        <f>IF(ISBLANK('Data Entry'!$Ā$163), "", 'Data Entry'!$Ā$163)</f>
      </c>
      <c r="GK163">
        <f>IF(ISBLANK('Data Entry'!$ā$163), "", 'Data Entry'!$ā$163)</f>
      </c>
      <c r="GL163">
        <f>IF(ISBLANK('Data Entry'!$Ă$163), "", 'Data Entry'!$Ă$163)</f>
      </c>
      <c r="GM163">
        <f>IF(ISBLANK('Data Entry'!$ă$163), "", 'Data Entry'!$ă$163)</f>
      </c>
      <c r="GN163">
        <f>IF(ISBLANK('Data Entry'!$Ą$163), "", 'Data Entry'!$Ą$163)</f>
      </c>
      <c r="GO163">
        <f>IF(ISBLANK('Data Entry'!$ą$163), "", 'Data Entry'!$ą$163)</f>
      </c>
      <c r="GP163">
        <f>IF(ISBLANK('Data Entry'!$Ć$163), "", 'Data Entry'!$Ć$163)</f>
      </c>
      <c r="GQ163">
        <f>IF(ISBLANK('Data Entry'!$ć$163), "", 'Data Entry'!$ć$163)</f>
      </c>
      <c r="GR163">
        <f>IF(ISBLANK('Data Entry'!$Ĉ$163), "", 'Data Entry'!$Ĉ$163)</f>
      </c>
      <c r="GS163">
        <f>IF(ISBLANK('Data Entry'!$ĉ$163), "", 'Data Entry'!$ĉ$163)</f>
      </c>
      <c r="GT163">
        <f>IF(ISBLANK('Data Entry'!$Ċ$163), "", 'Data Entry'!$Ċ$163)</f>
      </c>
      <c r="GU163">
        <f>IF(ISBLANK('Data Entry'!$ċ$163), "", 'Data Entry'!$ċ$163)</f>
      </c>
      <c r="GV163">
        <f>IF(ISBLANK('Data Entry'!$Č$163), "", 'Data Entry'!$Č$163)</f>
      </c>
      <c r="GW163">
        <f>IF(ISBLANK('Data Entry'!$č$163), "", 'Data Entry'!$č$163)</f>
      </c>
      <c r="GX163">
        <f>IF(ISBLANK('Data Entry'!$Ď$163), "", 'Data Entry'!$Ď$163)</f>
      </c>
      <c r="GY163">
        <f>IF(ISBLANK('Data Entry'!$ď$163), "", 'Data Entry'!$ď$163)</f>
      </c>
      <c r="GZ163">
        <f>IF(ISBLANK('Data Entry'!$Đ$163), "", 'Data Entry'!$Đ$163)</f>
      </c>
      <c r="HA163">
        <f>IF(ISBLANK('Data Entry'!$đ$163), "", 'Data Entry'!$đ$163)</f>
      </c>
      <c r="HB163">
        <f>IF(ISBLANK('Data Entry'!$Ē$163), "", 'Data Entry'!$Ē$163)</f>
      </c>
      <c r="HC163">
        <f>IF(ISBLANK('Data Entry'!$ē$163), "", 'Data Entry'!$ē$163)</f>
      </c>
      <c r="HD163">
        <f>IF(ISBLANK('Data Entry'!$Ĕ$163), "", 'Data Entry'!$Ĕ$163)</f>
      </c>
      <c r="HE163">
        <f>IF(ISBLANK('Data Entry'!$ĕ$163), "", 'Data Entry'!$ĕ$163)</f>
      </c>
      <c r="HF163">
        <f>IF(ISBLANK('Data Entry'!$Ė$163), "", 'Data Entry'!$Ė$163)</f>
      </c>
      <c r="HG163">
        <f>IF(ISBLANK('Data Entry'!$ė$163), "", 'Data Entry'!$ė$163)</f>
      </c>
      <c r="HH163">
        <f>IF(ISBLANK('Data Entry'!$Ę$163), "", 'Data Entry'!$Ę$163)</f>
      </c>
      <c r="HI163">
        <f>IF(ISBLANK('Data Entry'!$ę$163), "", 'Data Entry'!$ę$163)</f>
      </c>
      <c r="HJ163">
        <f>IF(ISBLANK('Data Entry'!$Ě$163), "", 'Data Entry'!$Ě$163)</f>
      </c>
      <c r="HK163">
        <f>IF(ISBLANK('Data Entry'!$ě$163), "", 'Data Entry'!$ě$163)</f>
      </c>
      <c r="HL163">
        <f>IF(ISBLANK('Data Entry'!$Ĝ$163), "", 'Data Entry'!$Ĝ$163)</f>
      </c>
      <c r="HM163">
        <f>IF(ISBLANK('Data Entry'!$ĝ$163), "", 'Data Entry'!$ĝ$163)</f>
      </c>
      <c r="HN163">
        <f>IF(ISBLANK('Data Entry'!$Ğ$163), "", 'Data Entry'!$Ğ$163)</f>
      </c>
      <c r="HO163">
        <f>IF(ISBLANK('Data Entry'!$ğ$163), "", 'Data Entry'!$ğ$163)</f>
      </c>
      <c r="HP163">
        <f>IF(ISBLANK('Data Entry'!$Ġ$163), "", 'Data Entry'!$Ġ$163)</f>
      </c>
      <c r="HQ163">
        <f>IF(ISBLANK('Data Entry'!$ġ$163), "", 'Data Entry'!$ġ$163)</f>
      </c>
      <c r="HR163">
        <f>IF(ISBLANK('Data Entry'!$Ģ$163), "", 'Data Entry'!$Ģ$163)</f>
      </c>
      <c r="HS163">
        <f>IF(ISBLANK('Data Entry'!$ģ$163), "", 'Data Entry'!$ģ$163)</f>
      </c>
      <c r="HT163">
        <f>IF(ISBLANK('Data Entry'!$Ĥ$163), "", 'Data Entry'!$Ĥ$163)</f>
      </c>
      <c r="HU163">
        <f>IF(ISBLANK('Data Entry'!$ĥ$163), "", 'Data Entry'!$ĥ$163)</f>
      </c>
      <c r="HV163">
        <f>IF(ISBLANK('Data Entry'!$Ħ$163), "", 'Data Entry'!$Ħ$163)</f>
      </c>
      <c r="HW163">
        <f>IF(ISBLANK('Data Entry'!$ħ$163), "", 'Data Entry'!$ħ$163)</f>
      </c>
      <c r="HX163">
        <f>IF(ISBLANK('Data Entry'!$Ĩ$163), "", 'Data Entry'!$Ĩ$163)</f>
      </c>
      <c r="HY163">
        <f>IF(ISBLANK('Data Entry'!$ĩ$163), "", 'Data Entry'!$ĩ$163)</f>
      </c>
      <c r="HZ163">
        <f>IF(ISBLANK('Data Entry'!$Ī$163), "", 'Data Entry'!$Ī$163)</f>
      </c>
      <c r="IA163">
        <f>IF(ISBLANK('Data Entry'!$ī$163), "", 'Data Entry'!$ī$163)</f>
      </c>
      <c r="IB163">
        <f>IF(ISBLANK('Data Entry'!$Ĭ$163), "", 'Data Entry'!$Ĭ$163)</f>
      </c>
      <c r="IC163">
        <f>IF(ISBLANK('Data Entry'!$ĭ$163), "", 'Data Entry'!$ĭ$163)</f>
      </c>
      <c r="ID163">
        <f>IF(ISBLANK('Data Entry'!$Į$163), "", 'Data Entry'!$Į$163)</f>
      </c>
      <c r="IE163">
        <f>IF(ISBLANK('Data Entry'!$į$163), "", 'Data Entry'!$į$163)</f>
      </c>
      <c r="IF163">
        <f>IF(ISBLANK('Data Entry'!$İ$163), "", 'Data Entry'!$İ$163)</f>
      </c>
      <c r="IG163">
        <f>IF(ISBLANK('Data Entry'!$ı$163), "", 'Data Entry'!$ı$163)</f>
      </c>
      <c r="IH163">
        <f>IF(ISBLANK('Data Entry'!$Ĳ$163), "", 'Data Entry'!$Ĳ$163)</f>
      </c>
      <c r="II163">
        <f>IF(ISBLANK('Data Entry'!$ĳ$163), "", 'Data Entry'!$ĳ$163)</f>
      </c>
      <c r="IJ163">
        <f>IF(ISBLANK('Data Entry'!$Ĵ$163), "", 'Data Entry'!$Ĵ$163)</f>
      </c>
      <c r="IK163">
        <f>IF(ISBLANK('Data Entry'!$ĵ$163), "", 'Data Entry'!$ĵ$163)</f>
      </c>
      <c r="IL163">
        <f>IF(ISBLANK('Data Entry'!$Ķ$163), "", 'Data Entry'!$Ķ$163)</f>
      </c>
      <c r="IM163">
        <f>IF(ISBLANK('Data Entry'!$ķ$163), "", 'Data Entry'!$ķ$163)</f>
      </c>
      <c r="IN163">
        <f>IF(ISBLANK('Data Entry'!$ĸ$163), "", 'Data Entry'!$ĸ$163)</f>
      </c>
      <c r="IO163">
        <f>IF(ISBLANK('Data Entry'!$Ĺ$163), "", 'Data Entry'!$Ĺ$163)</f>
      </c>
      <c r="IP163">
        <f>IF(ISBLANK('Data Entry'!$ĺ$163), "", 'Data Entry'!$ĺ$163)</f>
      </c>
      <c r="IQ163">
        <f>IF(ISBLANK('Data Entry'!$Ļ$163), "", 'Data Entry'!$Ļ$163)</f>
      </c>
      <c r="IR163">
        <f>IF(ISBLANK('Data Entry'!$ļ$163), "", 'Data Entry'!$ļ$163)</f>
      </c>
      <c r="IS163">
        <f>IF(ISBLANK('Data Entry'!$Ľ$163), "", 'Data Entry'!$Ľ$163)</f>
      </c>
      <c r="IT163">
        <f>IF(ISBLANK('Data Entry'!$ľ$163), "", 'Data Entry'!$ľ$163)</f>
      </c>
    </row>
    <row r="164" spans="1:254" x14ac:dyDescent="0.25">
      <c r="A164">
        <f>IF(ISBLANK('Data Entry'!$A$164), "", 'Data Entry'!$A$164)</f>
      </c>
      <c r="B164">
        <f>IF(ISBLANK('Data Entry'!$B$164), "", 'Data Entry'!$B$164)</f>
      </c>
      <c r="C164">
        <f>IF(ISBLANK('Data Entry'!$C$164), "", 'Data Entry'!$C$164)</f>
      </c>
      <c r="D164">
        <f>IF(ISBLANK('Data Entry'!$D$164), "", 'Data Entry'!$D$164)</f>
      </c>
      <c r="E164">
        <f>IF(ISBLANK('Data Entry'!$E$164), "", 'Data Entry'!$E$164)</f>
      </c>
      <c r="F164">
        <f>IF(ISBLANK('Data Entry'!$F$164), "", 'Data Entry'!$F$164)</f>
      </c>
      <c r="G164">
        <f>IF(ISBLANK('Data Entry'!$G$164), "", 'Data Entry'!$G$164)</f>
      </c>
      <c r="H164">
        <f>IF(ISBLANK('Data Entry'!$H$164), "", 'Data Entry'!$H$164)</f>
      </c>
      <c r="I164">
        <f>IF(ISBLANK('Data Entry'!$I$164), "", 'Data Entry'!$I$164)</f>
      </c>
      <c r="J164">
        <f>IF(ISBLANK('Data Entry'!$J$164), "", 'Data Entry'!$J$164)</f>
      </c>
      <c r="K164">
        <f>IF(ISBLANK('Data Entry'!$K$164), "", 'Data Entry'!$K$164)</f>
      </c>
      <c r="L164">
        <f>IF(ISBLANK('Data Entry'!$L$164), "", 'Data Entry'!$L$164)</f>
      </c>
      <c r="M164">
        <f>IF(ISBLANK('Data Entry'!$M$164), "", 'Data Entry'!$M$164)</f>
      </c>
      <c r="N164">
        <f>IF(ISBLANK('Data Entry'!$N$164), "", 'Data Entry'!$N$164)</f>
      </c>
      <c r="O164">
        <f>IF(ISBLANK('Data Entry'!$O$164), "", 'Data Entry'!$O$164)</f>
      </c>
      <c r="P164">
        <f>IF(ISBLANK('Data Entry'!$P$164), "", 'Data Entry'!$P$164)</f>
      </c>
      <c r="Q164">
        <f>IF(ISBLANK('Data Entry'!$Q$164), "", 'Data Entry'!$Q$164)</f>
      </c>
      <c r="R164">
        <f>IF(ISBLANK('Data Entry'!$R$164), "", 'Data Entry'!$R$164)</f>
      </c>
      <c r="S164">
        <f>IF(ISBLANK('Data Entry'!$S$164), "", 'Data Entry'!$S$164)</f>
      </c>
      <c r="T164">
        <f>IF(ISBLANK('Data Entry'!$T$164), "", 'Data Entry'!$T$164)</f>
      </c>
      <c r="U164">
        <f>IF(ISBLANK('Data Entry'!$U$164), "", 'Data Entry'!$U$164)</f>
      </c>
      <c r="V164">
        <f>IF(ISBLANK('Data Entry'!$V$164), "", 'Data Entry'!$V$164)</f>
      </c>
      <c r="W164">
        <f>IF(ISBLANK('Data Entry'!$W$164), "", 'Data Entry'!$W$164)</f>
      </c>
      <c r="X164">
        <f>IF(ISBLANK('Data Entry'!$X$164), "", 'Data Entry'!$X$164)</f>
      </c>
      <c r="Y164">
        <f>IF(ISBLANK('Data Entry'!$Y$164), "", 'Data Entry'!$Y$164)</f>
      </c>
      <c r="Z164">
        <f>IF(ISBLANK('Data Entry'!$Z$164), "", 'Data Entry'!$Z$164)</f>
      </c>
      <c r="AA164">
        <f>IF(ISBLANK('Data Entry'!$[$164), "", 'Data Entry'!$[$164)</f>
      </c>
      <c r="AB164">
        <f>IF(ISBLANK('Data Entry'!$\$164), "", 'Data Entry'!$\$164)</f>
      </c>
      <c r="AC164">
        <f>IF(ISBLANK('Data Entry'!$]$164), "", 'Data Entry'!$]$164)</f>
      </c>
      <c r="AD164">
        <f>IF(ISBLANK('Data Entry'!$^$164), "", 'Data Entry'!$^$164)</f>
      </c>
      <c r="AE164">
        <f>IF(ISBLANK('Data Entry'!$_$164), "", 'Data Entry'!$_$164)</f>
      </c>
      <c r="AF164">
        <f>IF(ISBLANK('Data Entry'!$`$164), "", 'Data Entry'!$`$164)</f>
      </c>
      <c r="AG164">
        <f>IF(ISBLANK('Data Entry'!$a$164), "", 'Data Entry'!$a$164)</f>
      </c>
      <c r="AH164">
        <f>IF(ISBLANK('Data Entry'!$b$164), "", 'Data Entry'!$b$164)</f>
      </c>
      <c r="AI164">
        <f>IF(ISBLANK('Data Entry'!$c$164), "", 'Data Entry'!$c$164)</f>
      </c>
      <c r="AJ164">
        <f>IF(ISBLANK('Data Entry'!$d$164), "", 'Data Entry'!$d$164)</f>
      </c>
      <c r="AK164">
        <f>IF(ISBLANK('Data Entry'!$e$164), "", 'Data Entry'!$e$164)</f>
      </c>
      <c r="AL164">
        <f>IF(ISBLANK('Data Entry'!$f$164), "", 'Data Entry'!$f$164)</f>
      </c>
      <c r="AM164">
        <f>IF(ISBLANK('Data Entry'!$g$164), "", 'Data Entry'!$g$164)</f>
      </c>
      <c r="AN164">
        <f>IF(ISBLANK('Data Entry'!$h$164), "", 'Data Entry'!$h$164)</f>
      </c>
      <c r="AO164">
        <f>IF(ISBLANK('Data Entry'!$i$164), "", 'Data Entry'!$i$164)</f>
      </c>
      <c r="AP164">
        <f>IF(ISBLANK('Data Entry'!$j$164), "", 'Data Entry'!$j$164)</f>
      </c>
      <c r="AQ164">
        <f>IF(ISBLANK('Data Entry'!$k$164), "", 'Data Entry'!$k$164)</f>
      </c>
      <c r="AR164">
        <f>IF(ISBLANK('Data Entry'!$l$164), "", 'Data Entry'!$l$164)</f>
      </c>
      <c r="AS164">
        <f>IF(ISBLANK('Data Entry'!$m$164), "", 'Data Entry'!$m$164)</f>
      </c>
      <c r="AT164">
        <f>IF(ISBLANK('Data Entry'!$n$164), "", 'Data Entry'!$n$164)</f>
      </c>
      <c r="AU164">
        <f>IF(ISBLANK('Data Entry'!$o$164), "", 'Data Entry'!$o$164)</f>
      </c>
      <c r="AV164">
        <f>IF(ISBLANK('Data Entry'!$p$164), "", 'Data Entry'!$p$164)</f>
      </c>
      <c r="AW164">
        <f>IF(ISBLANK('Data Entry'!$q$164), "", 'Data Entry'!$q$164)</f>
      </c>
      <c r="AX164">
        <f>IF(ISBLANK('Data Entry'!$r$164), "", 'Data Entry'!$r$164)</f>
      </c>
      <c r="AY164">
        <f>IF(ISBLANK('Data Entry'!$s$164), "", 'Data Entry'!$s$164)</f>
      </c>
      <c r="AZ164">
        <f>IF(ISBLANK('Data Entry'!$t$164), "", 'Data Entry'!$t$164)</f>
      </c>
      <c r="BA164">
        <f>IF(ISBLANK('Data Entry'!$u$164), "", 'Data Entry'!$u$164)</f>
      </c>
      <c r="BB164">
        <f>IF(ISBLANK('Data Entry'!$v$164), "", 'Data Entry'!$v$164)</f>
      </c>
      <c r="BC164">
        <f>IF(ISBLANK('Data Entry'!$w$164), "", 'Data Entry'!$w$164)</f>
      </c>
      <c r="BD164">
        <f>IF(ISBLANK('Data Entry'!$x$164), "", 'Data Entry'!$x$164)</f>
      </c>
      <c r="BE164">
        <f>IF(ISBLANK('Data Entry'!$y$164), "", 'Data Entry'!$y$164)</f>
      </c>
      <c r="BF164">
        <f>IF(ISBLANK('Data Entry'!$z$164), "", 'Data Entry'!$z$164)</f>
      </c>
      <c r="BG164">
        <f>IF(ISBLANK('Data Entry'!${$164), "", 'Data Entry'!${$164)</f>
      </c>
      <c r="BH164">
        <f>IF(ISBLANK('Data Entry'!$|$164), "", 'Data Entry'!$|$164)</f>
      </c>
      <c r="BI164">
        <f>IF(ISBLANK('Data Entry'!$}$164), "", 'Data Entry'!$}$164)</f>
      </c>
      <c r="BJ164">
        <f>IF(ISBLANK('Data Entry'!$~$164), "", 'Data Entry'!$~$164)</f>
      </c>
      <c r="BK164">
        <f>IF(ISBLANK('Data Entry'!$$164), "", 'Data Entry'!$$164)</f>
      </c>
      <c r="BL164">
        <f>IF(ISBLANK('Data Entry'!$$164), "", 'Data Entry'!$$164)</f>
      </c>
      <c r="BM164">
        <f>IF(ISBLANK('Data Entry'!$$164), "", 'Data Entry'!$$164)</f>
      </c>
      <c r="BN164">
        <f>IF(ISBLANK('Data Entry'!$$164), "", 'Data Entry'!$$164)</f>
      </c>
      <c r="BO164">
        <f>IF(ISBLANK('Data Entry'!$$164), "", 'Data Entry'!$$164)</f>
      </c>
      <c r="BP164">
        <f>IF(ISBLANK('Data Entry'!$$164), "", 'Data Entry'!$$164)</f>
      </c>
      <c r="BQ164">
        <f>IF(ISBLANK('Data Entry'!$$164), "", 'Data Entry'!$$164)</f>
      </c>
      <c r="BR164">
        <f>IF(ISBLANK('Data Entry'!$$164), "", 'Data Entry'!$$164)</f>
      </c>
      <c r="BS164">
        <f>IF(ISBLANK('Data Entry'!$$164), "", 'Data Entry'!$$164)</f>
      </c>
      <c r="BT164">
        <f>IF(ISBLANK('Data Entry'!$$164), "", 'Data Entry'!$$164)</f>
      </c>
      <c r="BU164">
        <f>IF(ISBLANK('Data Entry'!$$164), "", 'Data Entry'!$$164)</f>
      </c>
      <c r="BV164">
        <f>IF(ISBLANK('Data Entry'!$$164), "", 'Data Entry'!$$164)</f>
      </c>
      <c r="BW164">
        <f>IF(ISBLANK('Data Entry'!$$164), "", 'Data Entry'!$$164)</f>
      </c>
      <c r="BX164">
        <f>IF(ISBLANK('Data Entry'!$$164), "", 'Data Entry'!$$164)</f>
      </c>
      <c r="BY164">
        <f>IF(ISBLANK('Data Entry'!$$164), "", 'Data Entry'!$$164)</f>
      </c>
      <c r="BZ164">
        <f>IF(ISBLANK('Data Entry'!$$164), "", 'Data Entry'!$$164)</f>
      </c>
      <c r="CA164">
        <f>IF(ISBLANK('Data Entry'!$$164), "", 'Data Entry'!$$164)</f>
      </c>
      <c r="CB164">
        <f>IF(ISBLANK('Data Entry'!$$164), "", 'Data Entry'!$$164)</f>
      </c>
      <c r="CC164">
        <f>IF(ISBLANK('Data Entry'!$$164), "", 'Data Entry'!$$164)</f>
      </c>
      <c r="CD164">
        <f>IF(ISBLANK('Data Entry'!$$164), "", 'Data Entry'!$$164)</f>
      </c>
      <c r="CE164">
        <f>IF(ISBLANK('Data Entry'!$$164), "", 'Data Entry'!$$164)</f>
      </c>
      <c r="CF164">
        <f>IF(ISBLANK('Data Entry'!$$164), "", 'Data Entry'!$$164)</f>
      </c>
      <c r="CG164">
        <f>IF(ISBLANK('Data Entry'!$$164), "", 'Data Entry'!$$164)</f>
      </c>
      <c r="CH164">
        <f>IF(ISBLANK('Data Entry'!$$164), "", 'Data Entry'!$$164)</f>
      </c>
      <c r="CI164">
        <f>IF(ISBLANK('Data Entry'!$$164), "", 'Data Entry'!$$164)</f>
      </c>
      <c r="CJ164">
        <f>IF(ISBLANK('Data Entry'!$$164), "", 'Data Entry'!$$164)</f>
      </c>
      <c r="CK164">
        <f>IF(ISBLANK('Data Entry'!$$164), "", 'Data Entry'!$$164)</f>
      </c>
      <c r="CL164">
        <f>IF(ISBLANK('Data Entry'!$$164), "", 'Data Entry'!$$164)</f>
      </c>
      <c r="CM164">
        <f>IF(ISBLANK('Data Entry'!$$164), "", 'Data Entry'!$$164)</f>
      </c>
      <c r="CN164">
        <f>IF(ISBLANK('Data Entry'!$$164), "", 'Data Entry'!$$164)</f>
      </c>
      <c r="CO164">
        <f>IF(ISBLANK('Data Entry'!$$164), "", 'Data Entry'!$$164)</f>
      </c>
      <c r="CP164">
        <f>IF(ISBLANK('Data Entry'!$$164), "", 'Data Entry'!$$164)</f>
      </c>
      <c r="CQ164">
        <f>IF(ISBLANK('Data Entry'!$$164), "", 'Data Entry'!$$164)</f>
      </c>
      <c r="CR164">
        <f>IF(ISBLANK('Data Entry'!$ $164), "", 'Data Entry'!$ $164)</f>
      </c>
      <c r="CS164">
        <f>IF(ISBLANK('Data Entry'!$¡$164), "", 'Data Entry'!$¡$164)</f>
      </c>
      <c r="CT164">
        <f>IF(ISBLANK('Data Entry'!$¢$164), "", 'Data Entry'!$¢$164)</f>
      </c>
      <c r="CU164">
        <f>IF(ISBLANK('Data Entry'!$£$164), "", 'Data Entry'!$£$164)</f>
      </c>
      <c r="CV164">
        <f>IF(ISBLANK('Data Entry'!$¤$164), "", 'Data Entry'!$¤$164)</f>
      </c>
      <c r="CW164">
        <f>IF(ISBLANK('Data Entry'!$¥$164), "", 'Data Entry'!$¥$164)</f>
      </c>
      <c r="CX164">
        <f>IF(ISBLANK('Data Entry'!$¦$164), "", 'Data Entry'!$¦$164)</f>
      </c>
      <c r="CY164">
        <f>IF(ISBLANK('Data Entry'!$§$164), "", 'Data Entry'!$§$164)</f>
      </c>
      <c r="CZ164">
        <f>IF(ISBLANK('Data Entry'!$¨$164), "", 'Data Entry'!$¨$164)</f>
      </c>
      <c r="DA164">
        <f>IF(ISBLANK('Data Entry'!$©$164), "", 'Data Entry'!$©$164)</f>
      </c>
      <c r="DB164">
        <f>IF(ISBLANK('Data Entry'!$ª$164), "", 'Data Entry'!$ª$164)</f>
      </c>
      <c r="DC164">
        <f>IF(ISBLANK('Data Entry'!$«$164), "", 'Data Entry'!$«$164)</f>
      </c>
      <c r="DD164">
        <f>IF(ISBLANK('Data Entry'!$¬$164), "", 'Data Entry'!$¬$164)</f>
      </c>
      <c r="DE164">
        <f>IF(ISBLANK('Data Entry'!$­$164), "", 'Data Entry'!$­$164)</f>
      </c>
      <c r="DF164">
        <f>IF(ISBLANK('Data Entry'!$®$164), "", 'Data Entry'!$®$164)</f>
      </c>
      <c r="DG164">
        <f>IF(ISBLANK('Data Entry'!$¯$164), "", 'Data Entry'!$¯$164)</f>
      </c>
      <c r="DH164">
        <f>IF(ISBLANK('Data Entry'!$°$164), "", 'Data Entry'!$°$164)</f>
      </c>
      <c r="DI164">
        <f>IF(ISBLANK('Data Entry'!$±$164), "", 'Data Entry'!$±$164)</f>
      </c>
      <c r="DJ164">
        <f>IF(ISBLANK('Data Entry'!$²$164), "", 'Data Entry'!$²$164)</f>
      </c>
      <c r="DK164">
        <f>IF(ISBLANK('Data Entry'!$³$164), "", 'Data Entry'!$³$164)</f>
      </c>
      <c r="DL164">
        <f>IF(ISBLANK('Data Entry'!$´$164), "", 'Data Entry'!$´$164)</f>
      </c>
      <c r="DM164">
        <f>IF(ISBLANK('Data Entry'!$µ$164), "", 'Data Entry'!$µ$164)</f>
      </c>
      <c r="DN164">
        <f>IF(ISBLANK('Data Entry'!$¶$164), "", 'Data Entry'!$¶$164)</f>
      </c>
      <c r="DO164">
        <f>IF(ISBLANK('Data Entry'!$·$164), "", 'Data Entry'!$·$164)</f>
      </c>
      <c r="DP164">
        <f>IF(ISBLANK('Data Entry'!$¸$164), "", 'Data Entry'!$¸$164)</f>
      </c>
      <c r="DQ164">
        <f>IF(ISBLANK('Data Entry'!$¹$164), "", 'Data Entry'!$¹$164)</f>
      </c>
      <c r="DR164">
        <f>IF(ISBLANK('Data Entry'!$º$164), "", 'Data Entry'!$º$164)</f>
      </c>
      <c r="DS164">
        <f>IF(ISBLANK('Data Entry'!$»$164), "", 'Data Entry'!$»$164)</f>
      </c>
      <c r="DT164">
        <f>IF(ISBLANK('Data Entry'!$¼$164), "", 'Data Entry'!$¼$164)</f>
      </c>
      <c r="DU164">
        <f>IF(ISBLANK('Data Entry'!$½$164), "", 'Data Entry'!$½$164)</f>
      </c>
      <c r="DV164">
        <f>IF(ISBLANK('Data Entry'!$¾$164), "", 'Data Entry'!$¾$164)</f>
      </c>
      <c r="DW164">
        <f>IF(ISBLANK('Data Entry'!$¿$164), "", 'Data Entry'!$¿$164)</f>
      </c>
      <c r="DX164">
        <f>IF(ISBLANK('Data Entry'!$À$164), "", 'Data Entry'!$À$164)</f>
      </c>
      <c r="DY164">
        <f>IF(ISBLANK('Data Entry'!$Á$164), "", 'Data Entry'!$Á$164)</f>
      </c>
      <c r="DZ164">
        <f>IF(ISBLANK('Data Entry'!$Â$164), "", 'Data Entry'!$Â$164)</f>
      </c>
      <c r="EA164">
        <f>IF(ISBLANK('Data Entry'!$Ã$164), "", 'Data Entry'!$Ã$164)</f>
      </c>
      <c r="EB164">
        <f>IF(ISBLANK('Data Entry'!$Ä$164), "", 'Data Entry'!$Ä$164)</f>
      </c>
      <c r="EC164">
        <f>IF(ISBLANK('Data Entry'!$Å$164), "", 'Data Entry'!$Å$164)</f>
      </c>
      <c r="ED164">
        <f>IF(ISBLANK('Data Entry'!$Æ$164), "", 'Data Entry'!$Æ$164)</f>
      </c>
      <c r="EE164">
        <f>IF(ISBLANK('Data Entry'!$Ç$164), "", 'Data Entry'!$Ç$164)</f>
      </c>
      <c r="EF164">
        <f>IF(ISBLANK('Data Entry'!$È$164), "", 'Data Entry'!$È$164)</f>
      </c>
      <c r="EG164">
        <f>IF(ISBLANK('Data Entry'!$É$164), "", 'Data Entry'!$É$164)</f>
      </c>
      <c r="EH164">
        <f>IF(ISBLANK('Data Entry'!$Ê$164), "", 'Data Entry'!$Ê$164)</f>
      </c>
      <c r="EI164">
        <f>IF(ISBLANK('Data Entry'!$Ë$164), "", 'Data Entry'!$Ë$164)</f>
      </c>
      <c r="EJ164">
        <f>IF(ISBLANK('Data Entry'!$Ì$164), "", 'Data Entry'!$Ì$164)</f>
      </c>
      <c r="EK164">
        <f>IF(ISBLANK('Data Entry'!$Í$164), "", 'Data Entry'!$Í$164)</f>
      </c>
      <c r="EL164">
        <f>IF(ISBLANK('Data Entry'!$Î$164), "", 'Data Entry'!$Î$164)</f>
      </c>
      <c r="EM164">
        <f>IF(ISBLANK('Data Entry'!$Ï$164), "", 'Data Entry'!$Ï$164)</f>
      </c>
      <c r="EN164">
        <f>IF(ISBLANK('Data Entry'!$Ð$164), "", 'Data Entry'!$Ð$164)</f>
      </c>
      <c r="EO164">
        <f>IF(ISBLANK('Data Entry'!$Ñ$164), "", 'Data Entry'!$Ñ$164)</f>
      </c>
      <c r="EP164">
        <f>IF(ISBLANK('Data Entry'!$Ò$164), "", 'Data Entry'!$Ò$164)</f>
      </c>
      <c r="EQ164">
        <f>IF(ISBLANK('Data Entry'!$Ó$164), "", 'Data Entry'!$Ó$164)</f>
      </c>
      <c r="ER164">
        <f>IF(ISBLANK('Data Entry'!$Ô$164), "", 'Data Entry'!$Ô$164)</f>
      </c>
      <c r="ES164">
        <f>IF(ISBLANK('Data Entry'!$Õ$164), "", 'Data Entry'!$Õ$164)</f>
      </c>
      <c r="ET164">
        <f>IF(ISBLANK('Data Entry'!$Ö$164), "", 'Data Entry'!$Ö$164)</f>
      </c>
      <c r="EU164">
        <f>IF(ISBLANK('Data Entry'!$×$164), "", 'Data Entry'!$×$164)</f>
      </c>
      <c r="EV164">
        <f>IF(ISBLANK('Data Entry'!$Ø$164), "", 'Data Entry'!$Ø$164)</f>
      </c>
      <c r="EW164">
        <f>IF(ISBLANK('Data Entry'!$Ù$164), "", 'Data Entry'!$Ù$164)</f>
      </c>
      <c r="EX164">
        <f>IF(ISBLANK('Data Entry'!$Ú$164), "", 'Data Entry'!$Ú$164)</f>
      </c>
      <c r="EY164">
        <f>IF(ISBLANK('Data Entry'!$Û$164), "", 'Data Entry'!$Û$164)</f>
      </c>
      <c r="EZ164">
        <f>IF(ISBLANK('Data Entry'!$Ü$164), "", 'Data Entry'!$Ü$164)</f>
      </c>
      <c r="FA164">
        <f>IF(ISBLANK('Data Entry'!$Ý$164), "", 'Data Entry'!$Ý$164)</f>
      </c>
      <c r="FB164">
        <f>IF(ISBLANK('Data Entry'!$Þ$164), "", 'Data Entry'!$Þ$164)</f>
      </c>
      <c r="FC164">
        <f>IF(ISBLANK('Data Entry'!$ß$164), "", 'Data Entry'!$ß$164)</f>
      </c>
      <c r="FD164">
        <f>IF(ISBLANK('Data Entry'!$à$164), "", 'Data Entry'!$à$164)</f>
      </c>
      <c r="FE164">
        <f>IF(ISBLANK('Data Entry'!$á$164), "", 'Data Entry'!$á$164)</f>
      </c>
      <c r="FF164">
        <f>IF(ISBLANK('Data Entry'!$â$164), "", 'Data Entry'!$â$164)</f>
      </c>
      <c r="FG164">
        <f>IF(ISBLANK('Data Entry'!$ã$164), "", 'Data Entry'!$ã$164)</f>
      </c>
      <c r="FH164">
        <f>IF(ISBLANK('Data Entry'!$ä$164), "", 'Data Entry'!$ä$164)</f>
      </c>
      <c r="FI164">
        <f>IF(ISBLANK('Data Entry'!$å$164), "", 'Data Entry'!$å$164)</f>
      </c>
      <c r="FJ164">
        <f>IF(ISBLANK('Data Entry'!$æ$164), "", 'Data Entry'!$æ$164)</f>
      </c>
      <c r="FK164">
        <f>IF(ISBLANK('Data Entry'!$ç$164), "", 'Data Entry'!$ç$164)</f>
      </c>
      <c r="FL164">
        <f>IF(ISBLANK('Data Entry'!$è$164), "", 'Data Entry'!$è$164)</f>
      </c>
      <c r="FM164">
        <f>IF(ISBLANK('Data Entry'!$é$164), "", 'Data Entry'!$é$164)</f>
      </c>
      <c r="FN164">
        <f>IF(ISBLANK('Data Entry'!$ê$164), "", 'Data Entry'!$ê$164)</f>
      </c>
      <c r="FO164">
        <f>IF(ISBLANK('Data Entry'!$ë$164), "", 'Data Entry'!$ë$164)</f>
      </c>
      <c r="FP164">
        <f>IF(ISBLANK('Data Entry'!$ì$164), "", 'Data Entry'!$ì$164)</f>
      </c>
      <c r="FQ164">
        <f>IF(ISBLANK('Data Entry'!$í$164), "", 'Data Entry'!$í$164)</f>
      </c>
      <c r="FR164">
        <f>IF(ISBLANK('Data Entry'!$î$164), "", 'Data Entry'!$î$164)</f>
      </c>
      <c r="FS164">
        <f>IF(ISBLANK('Data Entry'!$ï$164), "", 'Data Entry'!$ï$164)</f>
      </c>
      <c r="FT164">
        <f>IF(ISBLANK('Data Entry'!$ð$164), "", 'Data Entry'!$ð$164)</f>
      </c>
      <c r="FU164">
        <f>IF(ISBLANK('Data Entry'!$ñ$164), "", 'Data Entry'!$ñ$164)</f>
      </c>
      <c r="FV164">
        <f>IF(ISBLANK('Data Entry'!$ò$164), "", 'Data Entry'!$ò$164)</f>
      </c>
      <c r="FW164">
        <f>IF(ISBLANK('Data Entry'!$ó$164), "", 'Data Entry'!$ó$164)</f>
      </c>
      <c r="FX164">
        <f>IF(ISBLANK('Data Entry'!$ô$164), "", 'Data Entry'!$ô$164)</f>
      </c>
      <c r="FY164">
        <f>IF(ISBLANK('Data Entry'!$õ$164), "", 'Data Entry'!$õ$164)</f>
      </c>
      <c r="FZ164">
        <f>IF(ISBLANK('Data Entry'!$ö$164), "", 'Data Entry'!$ö$164)</f>
      </c>
      <c r="GA164">
        <f>IF(ISBLANK('Data Entry'!$÷$164), "", 'Data Entry'!$÷$164)</f>
      </c>
      <c r="GB164">
        <f>IF(ISBLANK('Data Entry'!$ø$164), "", 'Data Entry'!$ø$164)</f>
      </c>
      <c r="GC164">
        <f>IF(ISBLANK('Data Entry'!$ù$164), "", 'Data Entry'!$ù$164)</f>
      </c>
      <c r="GD164">
        <f>IF(ISBLANK('Data Entry'!$ú$164), "", 'Data Entry'!$ú$164)</f>
      </c>
      <c r="GE164">
        <f>IF(ISBLANK('Data Entry'!$û$164), "", 'Data Entry'!$û$164)</f>
      </c>
      <c r="GF164">
        <f>IF(ISBLANK('Data Entry'!$ü$164), "", 'Data Entry'!$ü$164)</f>
      </c>
      <c r="GG164">
        <f>IF(ISBLANK('Data Entry'!$ý$164), "", 'Data Entry'!$ý$164)</f>
      </c>
      <c r="GH164">
        <f>IF(ISBLANK('Data Entry'!$þ$164), "", 'Data Entry'!$þ$164)</f>
      </c>
      <c r="GI164">
        <f>IF(ISBLANK('Data Entry'!$ÿ$164), "", 'Data Entry'!$ÿ$164)</f>
      </c>
      <c r="GJ164">
        <f>IF(ISBLANK('Data Entry'!$Ā$164), "", 'Data Entry'!$Ā$164)</f>
      </c>
      <c r="GK164">
        <f>IF(ISBLANK('Data Entry'!$ā$164), "", 'Data Entry'!$ā$164)</f>
      </c>
      <c r="GL164">
        <f>IF(ISBLANK('Data Entry'!$Ă$164), "", 'Data Entry'!$Ă$164)</f>
      </c>
      <c r="GM164">
        <f>IF(ISBLANK('Data Entry'!$ă$164), "", 'Data Entry'!$ă$164)</f>
      </c>
      <c r="GN164">
        <f>IF(ISBLANK('Data Entry'!$Ą$164), "", 'Data Entry'!$Ą$164)</f>
      </c>
      <c r="GO164">
        <f>IF(ISBLANK('Data Entry'!$ą$164), "", 'Data Entry'!$ą$164)</f>
      </c>
      <c r="GP164">
        <f>IF(ISBLANK('Data Entry'!$Ć$164), "", 'Data Entry'!$Ć$164)</f>
      </c>
      <c r="GQ164">
        <f>IF(ISBLANK('Data Entry'!$ć$164), "", 'Data Entry'!$ć$164)</f>
      </c>
      <c r="GR164">
        <f>IF(ISBLANK('Data Entry'!$Ĉ$164), "", 'Data Entry'!$Ĉ$164)</f>
      </c>
      <c r="GS164">
        <f>IF(ISBLANK('Data Entry'!$ĉ$164), "", 'Data Entry'!$ĉ$164)</f>
      </c>
      <c r="GT164">
        <f>IF(ISBLANK('Data Entry'!$Ċ$164), "", 'Data Entry'!$Ċ$164)</f>
      </c>
      <c r="GU164">
        <f>IF(ISBLANK('Data Entry'!$ċ$164), "", 'Data Entry'!$ċ$164)</f>
      </c>
      <c r="GV164">
        <f>IF(ISBLANK('Data Entry'!$Č$164), "", 'Data Entry'!$Č$164)</f>
      </c>
      <c r="GW164">
        <f>IF(ISBLANK('Data Entry'!$č$164), "", 'Data Entry'!$č$164)</f>
      </c>
      <c r="GX164">
        <f>IF(ISBLANK('Data Entry'!$Ď$164), "", 'Data Entry'!$Ď$164)</f>
      </c>
      <c r="GY164">
        <f>IF(ISBLANK('Data Entry'!$ď$164), "", 'Data Entry'!$ď$164)</f>
      </c>
      <c r="GZ164">
        <f>IF(ISBLANK('Data Entry'!$Đ$164), "", 'Data Entry'!$Đ$164)</f>
      </c>
      <c r="HA164">
        <f>IF(ISBLANK('Data Entry'!$đ$164), "", 'Data Entry'!$đ$164)</f>
      </c>
      <c r="HB164">
        <f>IF(ISBLANK('Data Entry'!$Ē$164), "", 'Data Entry'!$Ē$164)</f>
      </c>
      <c r="HC164">
        <f>IF(ISBLANK('Data Entry'!$ē$164), "", 'Data Entry'!$ē$164)</f>
      </c>
      <c r="HD164">
        <f>IF(ISBLANK('Data Entry'!$Ĕ$164), "", 'Data Entry'!$Ĕ$164)</f>
      </c>
      <c r="HE164">
        <f>IF(ISBLANK('Data Entry'!$ĕ$164), "", 'Data Entry'!$ĕ$164)</f>
      </c>
      <c r="HF164">
        <f>IF(ISBLANK('Data Entry'!$Ė$164), "", 'Data Entry'!$Ė$164)</f>
      </c>
      <c r="HG164">
        <f>IF(ISBLANK('Data Entry'!$ė$164), "", 'Data Entry'!$ė$164)</f>
      </c>
      <c r="HH164">
        <f>IF(ISBLANK('Data Entry'!$Ę$164), "", 'Data Entry'!$Ę$164)</f>
      </c>
      <c r="HI164">
        <f>IF(ISBLANK('Data Entry'!$ę$164), "", 'Data Entry'!$ę$164)</f>
      </c>
      <c r="HJ164">
        <f>IF(ISBLANK('Data Entry'!$Ě$164), "", 'Data Entry'!$Ě$164)</f>
      </c>
      <c r="HK164">
        <f>IF(ISBLANK('Data Entry'!$ě$164), "", 'Data Entry'!$ě$164)</f>
      </c>
      <c r="HL164">
        <f>IF(ISBLANK('Data Entry'!$Ĝ$164), "", 'Data Entry'!$Ĝ$164)</f>
      </c>
      <c r="HM164">
        <f>IF(ISBLANK('Data Entry'!$ĝ$164), "", 'Data Entry'!$ĝ$164)</f>
      </c>
      <c r="HN164">
        <f>IF(ISBLANK('Data Entry'!$Ğ$164), "", 'Data Entry'!$Ğ$164)</f>
      </c>
      <c r="HO164">
        <f>IF(ISBLANK('Data Entry'!$ğ$164), "", 'Data Entry'!$ğ$164)</f>
      </c>
      <c r="HP164">
        <f>IF(ISBLANK('Data Entry'!$Ġ$164), "", 'Data Entry'!$Ġ$164)</f>
      </c>
      <c r="HQ164">
        <f>IF(ISBLANK('Data Entry'!$ġ$164), "", 'Data Entry'!$ġ$164)</f>
      </c>
      <c r="HR164">
        <f>IF(ISBLANK('Data Entry'!$Ģ$164), "", 'Data Entry'!$Ģ$164)</f>
      </c>
      <c r="HS164">
        <f>IF(ISBLANK('Data Entry'!$ģ$164), "", 'Data Entry'!$ģ$164)</f>
      </c>
      <c r="HT164">
        <f>IF(ISBLANK('Data Entry'!$Ĥ$164), "", 'Data Entry'!$Ĥ$164)</f>
      </c>
      <c r="HU164">
        <f>IF(ISBLANK('Data Entry'!$ĥ$164), "", 'Data Entry'!$ĥ$164)</f>
      </c>
      <c r="HV164">
        <f>IF(ISBLANK('Data Entry'!$Ħ$164), "", 'Data Entry'!$Ħ$164)</f>
      </c>
      <c r="HW164">
        <f>IF(ISBLANK('Data Entry'!$ħ$164), "", 'Data Entry'!$ħ$164)</f>
      </c>
      <c r="HX164">
        <f>IF(ISBLANK('Data Entry'!$Ĩ$164), "", 'Data Entry'!$Ĩ$164)</f>
      </c>
      <c r="HY164">
        <f>IF(ISBLANK('Data Entry'!$ĩ$164), "", 'Data Entry'!$ĩ$164)</f>
      </c>
      <c r="HZ164">
        <f>IF(ISBLANK('Data Entry'!$Ī$164), "", 'Data Entry'!$Ī$164)</f>
      </c>
      <c r="IA164">
        <f>IF(ISBLANK('Data Entry'!$ī$164), "", 'Data Entry'!$ī$164)</f>
      </c>
      <c r="IB164">
        <f>IF(ISBLANK('Data Entry'!$Ĭ$164), "", 'Data Entry'!$Ĭ$164)</f>
      </c>
      <c r="IC164">
        <f>IF(ISBLANK('Data Entry'!$ĭ$164), "", 'Data Entry'!$ĭ$164)</f>
      </c>
      <c r="ID164">
        <f>IF(ISBLANK('Data Entry'!$Į$164), "", 'Data Entry'!$Į$164)</f>
      </c>
      <c r="IE164">
        <f>IF(ISBLANK('Data Entry'!$į$164), "", 'Data Entry'!$į$164)</f>
      </c>
      <c r="IF164">
        <f>IF(ISBLANK('Data Entry'!$İ$164), "", 'Data Entry'!$İ$164)</f>
      </c>
      <c r="IG164">
        <f>IF(ISBLANK('Data Entry'!$ı$164), "", 'Data Entry'!$ı$164)</f>
      </c>
      <c r="IH164">
        <f>IF(ISBLANK('Data Entry'!$Ĳ$164), "", 'Data Entry'!$Ĳ$164)</f>
      </c>
      <c r="II164">
        <f>IF(ISBLANK('Data Entry'!$ĳ$164), "", 'Data Entry'!$ĳ$164)</f>
      </c>
      <c r="IJ164">
        <f>IF(ISBLANK('Data Entry'!$Ĵ$164), "", 'Data Entry'!$Ĵ$164)</f>
      </c>
      <c r="IK164">
        <f>IF(ISBLANK('Data Entry'!$ĵ$164), "", 'Data Entry'!$ĵ$164)</f>
      </c>
      <c r="IL164">
        <f>IF(ISBLANK('Data Entry'!$Ķ$164), "", 'Data Entry'!$Ķ$164)</f>
      </c>
      <c r="IM164">
        <f>IF(ISBLANK('Data Entry'!$ķ$164), "", 'Data Entry'!$ķ$164)</f>
      </c>
      <c r="IN164">
        <f>IF(ISBLANK('Data Entry'!$ĸ$164), "", 'Data Entry'!$ĸ$164)</f>
      </c>
      <c r="IO164">
        <f>IF(ISBLANK('Data Entry'!$Ĺ$164), "", 'Data Entry'!$Ĺ$164)</f>
      </c>
      <c r="IP164">
        <f>IF(ISBLANK('Data Entry'!$ĺ$164), "", 'Data Entry'!$ĺ$164)</f>
      </c>
      <c r="IQ164">
        <f>IF(ISBLANK('Data Entry'!$Ļ$164), "", 'Data Entry'!$Ļ$164)</f>
      </c>
      <c r="IR164">
        <f>IF(ISBLANK('Data Entry'!$ļ$164), "", 'Data Entry'!$ļ$164)</f>
      </c>
      <c r="IS164">
        <f>IF(ISBLANK('Data Entry'!$Ľ$164), "", 'Data Entry'!$Ľ$164)</f>
      </c>
      <c r="IT164">
        <f>IF(ISBLANK('Data Entry'!$ľ$164), "", 'Data Entry'!$ľ$164)</f>
      </c>
    </row>
    <row r="165" spans="1:254" x14ac:dyDescent="0.25">
      <c r="A165">
        <f>IF(ISBLANK('Data Entry'!$A$165), "", 'Data Entry'!$A$165)</f>
      </c>
      <c r="B165">
        <f>IF(ISBLANK('Data Entry'!$B$165), "", 'Data Entry'!$B$165)</f>
      </c>
      <c r="C165">
        <f>IF(ISBLANK('Data Entry'!$C$165), "", 'Data Entry'!$C$165)</f>
      </c>
      <c r="D165">
        <f>IF(ISBLANK('Data Entry'!$D$165), "", 'Data Entry'!$D$165)</f>
      </c>
      <c r="E165">
        <f>IF(ISBLANK('Data Entry'!$E$165), "", 'Data Entry'!$E$165)</f>
      </c>
      <c r="F165">
        <f>IF(ISBLANK('Data Entry'!$F$165), "", 'Data Entry'!$F$165)</f>
      </c>
      <c r="G165">
        <f>IF(ISBLANK('Data Entry'!$G$165), "", 'Data Entry'!$G$165)</f>
      </c>
      <c r="H165">
        <f>IF(ISBLANK('Data Entry'!$H$165), "", 'Data Entry'!$H$165)</f>
      </c>
      <c r="I165">
        <f>IF(ISBLANK('Data Entry'!$I$165), "", 'Data Entry'!$I$165)</f>
      </c>
      <c r="J165">
        <f>IF(ISBLANK('Data Entry'!$J$165), "", 'Data Entry'!$J$165)</f>
      </c>
      <c r="K165">
        <f>IF(ISBLANK('Data Entry'!$K$165), "", 'Data Entry'!$K$165)</f>
      </c>
      <c r="L165">
        <f>IF(ISBLANK('Data Entry'!$L$165), "", 'Data Entry'!$L$165)</f>
      </c>
      <c r="M165">
        <f>IF(ISBLANK('Data Entry'!$M$165), "", 'Data Entry'!$M$165)</f>
      </c>
      <c r="N165">
        <f>IF(ISBLANK('Data Entry'!$N$165), "", 'Data Entry'!$N$165)</f>
      </c>
      <c r="O165">
        <f>IF(ISBLANK('Data Entry'!$O$165), "", 'Data Entry'!$O$165)</f>
      </c>
      <c r="P165">
        <f>IF(ISBLANK('Data Entry'!$P$165), "", 'Data Entry'!$P$165)</f>
      </c>
      <c r="Q165">
        <f>IF(ISBLANK('Data Entry'!$Q$165), "", 'Data Entry'!$Q$165)</f>
      </c>
      <c r="R165">
        <f>IF(ISBLANK('Data Entry'!$R$165), "", 'Data Entry'!$R$165)</f>
      </c>
      <c r="S165">
        <f>IF(ISBLANK('Data Entry'!$S$165), "", 'Data Entry'!$S$165)</f>
      </c>
      <c r="T165">
        <f>IF(ISBLANK('Data Entry'!$T$165), "", 'Data Entry'!$T$165)</f>
      </c>
      <c r="U165">
        <f>IF(ISBLANK('Data Entry'!$U$165), "", 'Data Entry'!$U$165)</f>
      </c>
      <c r="V165">
        <f>IF(ISBLANK('Data Entry'!$V$165), "", 'Data Entry'!$V$165)</f>
      </c>
      <c r="W165">
        <f>IF(ISBLANK('Data Entry'!$W$165), "", 'Data Entry'!$W$165)</f>
      </c>
      <c r="X165">
        <f>IF(ISBLANK('Data Entry'!$X$165), "", 'Data Entry'!$X$165)</f>
      </c>
      <c r="Y165">
        <f>IF(ISBLANK('Data Entry'!$Y$165), "", 'Data Entry'!$Y$165)</f>
      </c>
      <c r="Z165">
        <f>IF(ISBLANK('Data Entry'!$Z$165), "", 'Data Entry'!$Z$165)</f>
      </c>
      <c r="AA165">
        <f>IF(ISBLANK('Data Entry'!$[$165), "", 'Data Entry'!$[$165)</f>
      </c>
      <c r="AB165">
        <f>IF(ISBLANK('Data Entry'!$\$165), "", 'Data Entry'!$\$165)</f>
      </c>
      <c r="AC165">
        <f>IF(ISBLANK('Data Entry'!$]$165), "", 'Data Entry'!$]$165)</f>
      </c>
      <c r="AD165">
        <f>IF(ISBLANK('Data Entry'!$^$165), "", 'Data Entry'!$^$165)</f>
      </c>
      <c r="AE165">
        <f>IF(ISBLANK('Data Entry'!$_$165), "", 'Data Entry'!$_$165)</f>
      </c>
      <c r="AF165">
        <f>IF(ISBLANK('Data Entry'!$`$165), "", 'Data Entry'!$`$165)</f>
      </c>
      <c r="AG165">
        <f>IF(ISBLANK('Data Entry'!$a$165), "", 'Data Entry'!$a$165)</f>
      </c>
      <c r="AH165">
        <f>IF(ISBLANK('Data Entry'!$b$165), "", 'Data Entry'!$b$165)</f>
      </c>
      <c r="AI165">
        <f>IF(ISBLANK('Data Entry'!$c$165), "", 'Data Entry'!$c$165)</f>
      </c>
      <c r="AJ165">
        <f>IF(ISBLANK('Data Entry'!$d$165), "", 'Data Entry'!$d$165)</f>
      </c>
      <c r="AK165">
        <f>IF(ISBLANK('Data Entry'!$e$165), "", 'Data Entry'!$e$165)</f>
      </c>
      <c r="AL165">
        <f>IF(ISBLANK('Data Entry'!$f$165), "", 'Data Entry'!$f$165)</f>
      </c>
      <c r="AM165">
        <f>IF(ISBLANK('Data Entry'!$g$165), "", 'Data Entry'!$g$165)</f>
      </c>
      <c r="AN165">
        <f>IF(ISBLANK('Data Entry'!$h$165), "", 'Data Entry'!$h$165)</f>
      </c>
      <c r="AO165">
        <f>IF(ISBLANK('Data Entry'!$i$165), "", 'Data Entry'!$i$165)</f>
      </c>
      <c r="AP165">
        <f>IF(ISBLANK('Data Entry'!$j$165), "", 'Data Entry'!$j$165)</f>
      </c>
      <c r="AQ165">
        <f>IF(ISBLANK('Data Entry'!$k$165), "", 'Data Entry'!$k$165)</f>
      </c>
      <c r="AR165">
        <f>IF(ISBLANK('Data Entry'!$l$165), "", 'Data Entry'!$l$165)</f>
      </c>
      <c r="AS165">
        <f>IF(ISBLANK('Data Entry'!$m$165), "", 'Data Entry'!$m$165)</f>
      </c>
      <c r="AT165">
        <f>IF(ISBLANK('Data Entry'!$n$165), "", 'Data Entry'!$n$165)</f>
      </c>
      <c r="AU165">
        <f>IF(ISBLANK('Data Entry'!$o$165), "", 'Data Entry'!$o$165)</f>
      </c>
      <c r="AV165">
        <f>IF(ISBLANK('Data Entry'!$p$165), "", 'Data Entry'!$p$165)</f>
      </c>
      <c r="AW165">
        <f>IF(ISBLANK('Data Entry'!$q$165), "", 'Data Entry'!$q$165)</f>
      </c>
      <c r="AX165">
        <f>IF(ISBLANK('Data Entry'!$r$165), "", 'Data Entry'!$r$165)</f>
      </c>
      <c r="AY165">
        <f>IF(ISBLANK('Data Entry'!$s$165), "", 'Data Entry'!$s$165)</f>
      </c>
      <c r="AZ165">
        <f>IF(ISBLANK('Data Entry'!$t$165), "", 'Data Entry'!$t$165)</f>
      </c>
      <c r="BA165">
        <f>IF(ISBLANK('Data Entry'!$u$165), "", 'Data Entry'!$u$165)</f>
      </c>
      <c r="BB165">
        <f>IF(ISBLANK('Data Entry'!$v$165), "", 'Data Entry'!$v$165)</f>
      </c>
      <c r="BC165">
        <f>IF(ISBLANK('Data Entry'!$w$165), "", 'Data Entry'!$w$165)</f>
      </c>
      <c r="BD165">
        <f>IF(ISBLANK('Data Entry'!$x$165), "", 'Data Entry'!$x$165)</f>
      </c>
      <c r="BE165">
        <f>IF(ISBLANK('Data Entry'!$y$165), "", 'Data Entry'!$y$165)</f>
      </c>
      <c r="BF165">
        <f>IF(ISBLANK('Data Entry'!$z$165), "", 'Data Entry'!$z$165)</f>
      </c>
      <c r="BG165">
        <f>IF(ISBLANK('Data Entry'!${$165), "", 'Data Entry'!${$165)</f>
      </c>
      <c r="BH165">
        <f>IF(ISBLANK('Data Entry'!$|$165), "", 'Data Entry'!$|$165)</f>
      </c>
      <c r="BI165">
        <f>IF(ISBLANK('Data Entry'!$}$165), "", 'Data Entry'!$}$165)</f>
      </c>
      <c r="BJ165">
        <f>IF(ISBLANK('Data Entry'!$~$165), "", 'Data Entry'!$~$165)</f>
      </c>
      <c r="BK165">
        <f>IF(ISBLANK('Data Entry'!$$165), "", 'Data Entry'!$$165)</f>
      </c>
      <c r="BL165">
        <f>IF(ISBLANK('Data Entry'!$$165), "", 'Data Entry'!$$165)</f>
      </c>
      <c r="BM165">
        <f>IF(ISBLANK('Data Entry'!$$165), "", 'Data Entry'!$$165)</f>
      </c>
      <c r="BN165">
        <f>IF(ISBLANK('Data Entry'!$$165), "", 'Data Entry'!$$165)</f>
      </c>
      <c r="BO165">
        <f>IF(ISBLANK('Data Entry'!$$165), "", 'Data Entry'!$$165)</f>
      </c>
      <c r="BP165">
        <f>IF(ISBLANK('Data Entry'!$$165), "", 'Data Entry'!$$165)</f>
      </c>
      <c r="BQ165">
        <f>IF(ISBLANK('Data Entry'!$$165), "", 'Data Entry'!$$165)</f>
      </c>
      <c r="BR165">
        <f>IF(ISBLANK('Data Entry'!$$165), "", 'Data Entry'!$$165)</f>
      </c>
      <c r="BS165">
        <f>IF(ISBLANK('Data Entry'!$$165), "", 'Data Entry'!$$165)</f>
      </c>
      <c r="BT165">
        <f>IF(ISBLANK('Data Entry'!$$165), "", 'Data Entry'!$$165)</f>
      </c>
      <c r="BU165">
        <f>IF(ISBLANK('Data Entry'!$$165), "", 'Data Entry'!$$165)</f>
      </c>
      <c r="BV165">
        <f>IF(ISBLANK('Data Entry'!$$165), "", 'Data Entry'!$$165)</f>
      </c>
      <c r="BW165">
        <f>IF(ISBLANK('Data Entry'!$$165), "", 'Data Entry'!$$165)</f>
      </c>
      <c r="BX165">
        <f>IF(ISBLANK('Data Entry'!$$165), "", 'Data Entry'!$$165)</f>
      </c>
      <c r="BY165">
        <f>IF(ISBLANK('Data Entry'!$$165), "", 'Data Entry'!$$165)</f>
      </c>
      <c r="BZ165">
        <f>IF(ISBLANK('Data Entry'!$$165), "", 'Data Entry'!$$165)</f>
      </c>
      <c r="CA165">
        <f>IF(ISBLANK('Data Entry'!$$165), "", 'Data Entry'!$$165)</f>
      </c>
      <c r="CB165">
        <f>IF(ISBLANK('Data Entry'!$$165), "", 'Data Entry'!$$165)</f>
      </c>
      <c r="CC165">
        <f>IF(ISBLANK('Data Entry'!$$165), "", 'Data Entry'!$$165)</f>
      </c>
      <c r="CD165">
        <f>IF(ISBLANK('Data Entry'!$$165), "", 'Data Entry'!$$165)</f>
      </c>
      <c r="CE165">
        <f>IF(ISBLANK('Data Entry'!$$165), "", 'Data Entry'!$$165)</f>
      </c>
      <c r="CF165">
        <f>IF(ISBLANK('Data Entry'!$$165), "", 'Data Entry'!$$165)</f>
      </c>
      <c r="CG165">
        <f>IF(ISBLANK('Data Entry'!$$165), "", 'Data Entry'!$$165)</f>
      </c>
      <c r="CH165">
        <f>IF(ISBLANK('Data Entry'!$$165), "", 'Data Entry'!$$165)</f>
      </c>
      <c r="CI165">
        <f>IF(ISBLANK('Data Entry'!$$165), "", 'Data Entry'!$$165)</f>
      </c>
      <c r="CJ165">
        <f>IF(ISBLANK('Data Entry'!$$165), "", 'Data Entry'!$$165)</f>
      </c>
      <c r="CK165">
        <f>IF(ISBLANK('Data Entry'!$$165), "", 'Data Entry'!$$165)</f>
      </c>
      <c r="CL165">
        <f>IF(ISBLANK('Data Entry'!$$165), "", 'Data Entry'!$$165)</f>
      </c>
      <c r="CM165">
        <f>IF(ISBLANK('Data Entry'!$$165), "", 'Data Entry'!$$165)</f>
      </c>
      <c r="CN165">
        <f>IF(ISBLANK('Data Entry'!$$165), "", 'Data Entry'!$$165)</f>
      </c>
      <c r="CO165">
        <f>IF(ISBLANK('Data Entry'!$$165), "", 'Data Entry'!$$165)</f>
      </c>
      <c r="CP165">
        <f>IF(ISBLANK('Data Entry'!$$165), "", 'Data Entry'!$$165)</f>
      </c>
      <c r="CQ165">
        <f>IF(ISBLANK('Data Entry'!$$165), "", 'Data Entry'!$$165)</f>
      </c>
      <c r="CR165">
        <f>IF(ISBLANK('Data Entry'!$ $165), "", 'Data Entry'!$ $165)</f>
      </c>
      <c r="CS165">
        <f>IF(ISBLANK('Data Entry'!$¡$165), "", 'Data Entry'!$¡$165)</f>
      </c>
      <c r="CT165">
        <f>IF(ISBLANK('Data Entry'!$¢$165), "", 'Data Entry'!$¢$165)</f>
      </c>
      <c r="CU165">
        <f>IF(ISBLANK('Data Entry'!$£$165), "", 'Data Entry'!$£$165)</f>
      </c>
      <c r="CV165">
        <f>IF(ISBLANK('Data Entry'!$¤$165), "", 'Data Entry'!$¤$165)</f>
      </c>
      <c r="CW165">
        <f>IF(ISBLANK('Data Entry'!$¥$165), "", 'Data Entry'!$¥$165)</f>
      </c>
      <c r="CX165">
        <f>IF(ISBLANK('Data Entry'!$¦$165), "", 'Data Entry'!$¦$165)</f>
      </c>
      <c r="CY165">
        <f>IF(ISBLANK('Data Entry'!$§$165), "", 'Data Entry'!$§$165)</f>
      </c>
      <c r="CZ165">
        <f>IF(ISBLANK('Data Entry'!$¨$165), "", 'Data Entry'!$¨$165)</f>
      </c>
      <c r="DA165">
        <f>IF(ISBLANK('Data Entry'!$©$165), "", 'Data Entry'!$©$165)</f>
      </c>
      <c r="DB165">
        <f>IF(ISBLANK('Data Entry'!$ª$165), "", 'Data Entry'!$ª$165)</f>
      </c>
      <c r="DC165">
        <f>IF(ISBLANK('Data Entry'!$«$165), "", 'Data Entry'!$«$165)</f>
      </c>
      <c r="DD165">
        <f>IF(ISBLANK('Data Entry'!$¬$165), "", 'Data Entry'!$¬$165)</f>
      </c>
      <c r="DE165">
        <f>IF(ISBLANK('Data Entry'!$­$165), "", 'Data Entry'!$­$165)</f>
      </c>
      <c r="DF165">
        <f>IF(ISBLANK('Data Entry'!$®$165), "", 'Data Entry'!$®$165)</f>
      </c>
      <c r="DG165">
        <f>IF(ISBLANK('Data Entry'!$¯$165), "", 'Data Entry'!$¯$165)</f>
      </c>
      <c r="DH165">
        <f>IF(ISBLANK('Data Entry'!$°$165), "", 'Data Entry'!$°$165)</f>
      </c>
      <c r="DI165">
        <f>IF(ISBLANK('Data Entry'!$±$165), "", 'Data Entry'!$±$165)</f>
      </c>
      <c r="DJ165">
        <f>IF(ISBLANK('Data Entry'!$²$165), "", 'Data Entry'!$²$165)</f>
      </c>
      <c r="DK165">
        <f>IF(ISBLANK('Data Entry'!$³$165), "", 'Data Entry'!$³$165)</f>
      </c>
      <c r="DL165">
        <f>IF(ISBLANK('Data Entry'!$´$165), "", 'Data Entry'!$´$165)</f>
      </c>
      <c r="DM165">
        <f>IF(ISBLANK('Data Entry'!$µ$165), "", 'Data Entry'!$µ$165)</f>
      </c>
      <c r="DN165">
        <f>IF(ISBLANK('Data Entry'!$¶$165), "", 'Data Entry'!$¶$165)</f>
      </c>
      <c r="DO165">
        <f>IF(ISBLANK('Data Entry'!$·$165), "", 'Data Entry'!$·$165)</f>
      </c>
      <c r="DP165">
        <f>IF(ISBLANK('Data Entry'!$¸$165), "", 'Data Entry'!$¸$165)</f>
      </c>
      <c r="DQ165">
        <f>IF(ISBLANK('Data Entry'!$¹$165), "", 'Data Entry'!$¹$165)</f>
      </c>
      <c r="DR165">
        <f>IF(ISBLANK('Data Entry'!$º$165), "", 'Data Entry'!$º$165)</f>
      </c>
      <c r="DS165">
        <f>IF(ISBLANK('Data Entry'!$»$165), "", 'Data Entry'!$»$165)</f>
      </c>
      <c r="DT165">
        <f>IF(ISBLANK('Data Entry'!$¼$165), "", 'Data Entry'!$¼$165)</f>
      </c>
      <c r="DU165">
        <f>IF(ISBLANK('Data Entry'!$½$165), "", 'Data Entry'!$½$165)</f>
      </c>
      <c r="DV165">
        <f>IF(ISBLANK('Data Entry'!$¾$165), "", 'Data Entry'!$¾$165)</f>
      </c>
      <c r="DW165">
        <f>IF(ISBLANK('Data Entry'!$¿$165), "", 'Data Entry'!$¿$165)</f>
      </c>
      <c r="DX165">
        <f>IF(ISBLANK('Data Entry'!$À$165), "", 'Data Entry'!$À$165)</f>
      </c>
      <c r="DY165">
        <f>IF(ISBLANK('Data Entry'!$Á$165), "", 'Data Entry'!$Á$165)</f>
      </c>
      <c r="DZ165">
        <f>IF(ISBLANK('Data Entry'!$Â$165), "", 'Data Entry'!$Â$165)</f>
      </c>
      <c r="EA165">
        <f>IF(ISBLANK('Data Entry'!$Ã$165), "", 'Data Entry'!$Ã$165)</f>
      </c>
      <c r="EB165">
        <f>IF(ISBLANK('Data Entry'!$Ä$165), "", 'Data Entry'!$Ä$165)</f>
      </c>
      <c r="EC165">
        <f>IF(ISBLANK('Data Entry'!$Å$165), "", 'Data Entry'!$Å$165)</f>
      </c>
      <c r="ED165">
        <f>IF(ISBLANK('Data Entry'!$Æ$165), "", 'Data Entry'!$Æ$165)</f>
      </c>
      <c r="EE165">
        <f>IF(ISBLANK('Data Entry'!$Ç$165), "", 'Data Entry'!$Ç$165)</f>
      </c>
      <c r="EF165">
        <f>IF(ISBLANK('Data Entry'!$È$165), "", 'Data Entry'!$È$165)</f>
      </c>
      <c r="EG165">
        <f>IF(ISBLANK('Data Entry'!$É$165), "", 'Data Entry'!$É$165)</f>
      </c>
      <c r="EH165">
        <f>IF(ISBLANK('Data Entry'!$Ê$165), "", 'Data Entry'!$Ê$165)</f>
      </c>
      <c r="EI165">
        <f>IF(ISBLANK('Data Entry'!$Ë$165), "", 'Data Entry'!$Ë$165)</f>
      </c>
      <c r="EJ165">
        <f>IF(ISBLANK('Data Entry'!$Ì$165), "", 'Data Entry'!$Ì$165)</f>
      </c>
      <c r="EK165">
        <f>IF(ISBLANK('Data Entry'!$Í$165), "", 'Data Entry'!$Í$165)</f>
      </c>
      <c r="EL165">
        <f>IF(ISBLANK('Data Entry'!$Î$165), "", 'Data Entry'!$Î$165)</f>
      </c>
      <c r="EM165">
        <f>IF(ISBLANK('Data Entry'!$Ï$165), "", 'Data Entry'!$Ï$165)</f>
      </c>
      <c r="EN165">
        <f>IF(ISBLANK('Data Entry'!$Ð$165), "", 'Data Entry'!$Ð$165)</f>
      </c>
      <c r="EO165">
        <f>IF(ISBLANK('Data Entry'!$Ñ$165), "", 'Data Entry'!$Ñ$165)</f>
      </c>
      <c r="EP165">
        <f>IF(ISBLANK('Data Entry'!$Ò$165), "", 'Data Entry'!$Ò$165)</f>
      </c>
      <c r="EQ165">
        <f>IF(ISBLANK('Data Entry'!$Ó$165), "", 'Data Entry'!$Ó$165)</f>
      </c>
      <c r="ER165">
        <f>IF(ISBLANK('Data Entry'!$Ô$165), "", 'Data Entry'!$Ô$165)</f>
      </c>
      <c r="ES165">
        <f>IF(ISBLANK('Data Entry'!$Õ$165), "", 'Data Entry'!$Õ$165)</f>
      </c>
      <c r="ET165">
        <f>IF(ISBLANK('Data Entry'!$Ö$165), "", 'Data Entry'!$Ö$165)</f>
      </c>
      <c r="EU165">
        <f>IF(ISBLANK('Data Entry'!$×$165), "", 'Data Entry'!$×$165)</f>
      </c>
      <c r="EV165">
        <f>IF(ISBLANK('Data Entry'!$Ø$165), "", 'Data Entry'!$Ø$165)</f>
      </c>
      <c r="EW165">
        <f>IF(ISBLANK('Data Entry'!$Ù$165), "", 'Data Entry'!$Ù$165)</f>
      </c>
      <c r="EX165">
        <f>IF(ISBLANK('Data Entry'!$Ú$165), "", 'Data Entry'!$Ú$165)</f>
      </c>
      <c r="EY165">
        <f>IF(ISBLANK('Data Entry'!$Û$165), "", 'Data Entry'!$Û$165)</f>
      </c>
      <c r="EZ165">
        <f>IF(ISBLANK('Data Entry'!$Ü$165), "", 'Data Entry'!$Ü$165)</f>
      </c>
      <c r="FA165">
        <f>IF(ISBLANK('Data Entry'!$Ý$165), "", 'Data Entry'!$Ý$165)</f>
      </c>
      <c r="FB165">
        <f>IF(ISBLANK('Data Entry'!$Þ$165), "", 'Data Entry'!$Þ$165)</f>
      </c>
      <c r="FC165">
        <f>IF(ISBLANK('Data Entry'!$ß$165), "", 'Data Entry'!$ß$165)</f>
      </c>
      <c r="FD165">
        <f>IF(ISBLANK('Data Entry'!$à$165), "", 'Data Entry'!$à$165)</f>
      </c>
      <c r="FE165">
        <f>IF(ISBLANK('Data Entry'!$á$165), "", 'Data Entry'!$á$165)</f>
      </c>
      <c r="FF165">
        <f>IF(ISBLANK('Data Entry'!$â$165), "", 'Data Entry'!$â$165)</f>
      </c>
      <c r="FG165">
        <f>IF(ISBLANK('Data Entry'!$ã$165), "", 'Data Entry'!$ã$165)</f>
      </c>
      <c r="FH165">
        <f>IF(ISBLANK('Data Entry'!$ä$165), "", 'Data Entry'!$ä$165)</f>
      </c>
      <c r="FI165">
        <f>IF(ISBLANK('Data Entry'!$å$165), "", 'Data Entry'!$å$165)</f>
      </c>
      <c r="FJ165">
        <f>IF(ISBLANK('Data Entry'!$æ$165), "", 'Data Entry'!$æ$165)</f>
      </c>
      <c r="FK165">
        <f>IF(ISBLANK('Data Entry'!$ç$165), "", 'Data Entry'!$ç$165)</f>
      </c>
      <c r="FL165">
        <f>IF(ISBLANK('Data Entry'!$è$165), "", 'Data Entry'!$è$165)</f>
      </c>
      <c r="FM165">
        <f>IF(ISBLANK('Data Entry'!$é$165), "", 'Data Entry'!$é$165)</f>
      </c>
      <c r="FN165">
        <f>IF(ISBLANK('Data Entry'!$ê$165), "", 'Data Entry'!$ê$165)</f>
      </c>
      <c r="FO165">
        <f>IF(ISBLANK('Data Entry'!$ë$165), "", 'Data Entry'!$ë$165)</f>
      </c>
      <c r="FP165">
        <f>IF(ISBLANK('Data Entry'!$ì$165), "", 'Data Entry'!$ì$165)</f>
      </c>
      <c r="FQ165">
        <f>IF(ISBLANK('Data Entry'!$í$165), "", 'Data Entry'!$í$165)</f>
      </c>
      <c r="FR165">
        <f>IF(ISBLANK('Data Entry'!$î$165), "", 'Data Entry'!$î$165)</f>
      </c>
      <c r="FS165">
        <f>IF(ISBLANK('Data Entry'!$ï$165), "", 'Data Entry'!$ï$165)</f>
      </c>
      <c r="FT165">
        <f>IF(ISBLANK('Data Entry'!$ð$165), "", 'Data Entry'!$ð$165)</f>
      </c>
      <c r="FU165">
        <f>IF(ISBLANK('Data Entry'!$ñ$165), "", 'Data Entry'!$ñ$165)</f>
      </c>
      <c r="FV165">
        <f>IF(ISBLANK('Data Entry'!$ò$165), "", 'Data Entry'!$ò$165)</f>
      </c>
      <c r="FW165">
        <f>IF(ISBLANK('Data Entry'!$ó$165), "", 'Data Entry'!$ó$165)</f>
      </c>
      <c r="FX165">
        <f>IF(ISBLANK('Data Entry'!$ô$165), "", 'Data Entry'!$ô$165)</f>
      </c>
      <c r="FY165">
        <f>IF(ISBLANK('Data Entry'!$õ$165), "", 'Data Entry'!$õ$165)</f>
      </c>
      <c r="FZ165">
        <f>IF(ISBLANK('Data Entry'!$ö$165), "", 'Data Entry'!$ö$165)</f>
      </c>
      <c r="GA165">
        <f>IF(ISBLANK('Data Entry'!$÷$165), "", 'Data Entry'!$÷$165)</f>
      </c>
      <c r="GB165">
        <f>IF(ISBLANK('Data Entry'!$ø$165), "", 'Data Entry'!$ø$165)</f>
      </c>
      <c r="GC165">
        <f>IF(ISBLANK('Data Entry'!$ù$165), "", 'Data Entry'!$ù$165)</f>
      </c>
      <c r="GD165">
        <f>IF(ISBLANK('Data Entry'!$ú$165), "", 'Data Entry'!$ú$165)</f>
      </c>
      <c r="GE165">
        <f>IF(ISBLANK('Data Entry'!$û$165), "", 'Data Entry'!$û$165)</f>
      </c>
      <c r="GF165">
        <f>IF(ISBLANK('Data Entry'!$ü$165), "", 'Data Entry'!$ü$165)</f>
      </c>
      <c r="GG165">
        <f>IF(ISBLANK('Data Entry'!$ý$165), "", 'Data Entry'!$ý$165)</f>
      </c>
      <c r="GH165">
        <f>IF(ISBLANK('Data Entry'!$þ$165), "", 'Data Entry'!$þ$165)</f>
      </c>
      <c r="GI165">
        <f>IF(ISBLANK('Data Entry'!$ÿ$165), "", 'Data Entry'!$ÿ$165)</f>
      </c>
      <c r="GJ165">
        <f>IF(ISBLANK('Data Entry'!$Ā$165), "", 'Data Entry'!$Ā$165)</f>
      </c>
      <c r="GK165">
        <f>IF(ISBLANK('Data Entry'!$ā$165), "", 'Data Entry'!$ā$165)</f>
      </c>
      <c r="GL165">
        <f>IF(ISBLANK('Data Entry'!$Ă$165), "", 'Data Entry'!$Ă$165)</f>
      </c>
      <c r="GM165">
        <f>IF(ISBLANK('Data Entry'!$ă$165), "", 'Data Entry'!$ă$165)</f>
      </c>
      <c r="GN165">
        <f>IF(ISBLANK('Data Entry'!$Ą$165), "", 'Data Entry'!$Ą$165)</f>
      </c>
      <c r="GO165">
        <f>IF(ISBLANK('Data Entry'!$ą$165), "", 'Data Entry'!$ą$165)</f>
      </c>
      <c r="GP165">
        <f>IF(ISBLANK('Data Entry'!$Ć$165), "", 'Data Entry'!$Ć$165)</f>
      </c>
      <c r="GQ165">
        <f>IF(ISBLANK('Data Entry'!$ć$165), "", 'Data Entry'!$ć$165)</f>
      </c>
      <c r="GR165">
        <f>IF(ISBLANK('Data Entry'!$Ĉ$165), "", 'Data Entry'!$Ĉ$165)</f>
      </c>
      <c r="GS165">
        <f>IF(ISBLANK('Data Entry'!$ĉ$165), "", 'Data Entry'!$ĉ$165)</f>
      </c>
      <c r="GT165">
        <f>IF(ISBLANK('Data Entry'!$Ċ$165), "", 'Data Entry'!$Ċ$165)</f>
      </c>
      <c r="GU165">
        <f>IF(ISBLANK('Data Entry'!$ċ$165), "", 'Data Entry'!$ċ$165)</f>
      </c>
      <c r="GV165">
        <f>IF(ISBLANK('Data Entry'!$Č$165), "", 'Data Entry'!$Č$165)</f>
      </c>
      <c r="GW165">
        <f>IF(ISBLANK('Data Entry'!$č$165), "", 'Data Entry'!$č$165)</f>
      </c>
      <c r="GX165">
        <f>IF(ISBLANK('Data Entry'!$Ď$165), "", 'Data Entry'!$Ď$165)</f>
      </c>
      <c r="GY165">
        <f>IF(ISBLANK('Data Entry'!$ď$165), "", 'Data Entry'!$ď$165)</f>
      </c>
      <c r="GZ165">
        <f>IF(ISBLANK('Data Entry'!$Đ$165), "", 'Data Entry'!$Đ$165)</f>
      </c>
      <c r="HA165">
        <f>IF(ISBLANK('Data Entry'!$đ$165), "", 'Data Entry'!$đ$165)</f>
      </c>
      <c r="HB165">
        <f>IF(ISBLANK('Data Entry'!$Ē$165), "", 'Data Entry'!$Ē$165)</f>
      </c>
      <c r="HC165">
        <f>IF(ISBLANK('Data Entry'!$ē$165), "", 'Data Entry'!$ē$165)</f>
      </c>
      <c r="HD165">
        <f>IF(ISBLANK('Data Entry'!$Ĕ$165), "", 'Data Entry'!$Ĕ$165)</f>
      </c>
      <c r="HE165">
        <f>IF(ISBLANK('Data Entry'!$ĕ$165), "", 'Data Entry'!$ĕ$165)</f>
      </c>
      <c r="HF165">
        <f>IF(ISBLANK('Data Entry'!$Ė$165), "", 'Data Entry'!$Ė$165)</f>
      </c>
      <c r="HG165">
        <f>IF(ISBLANK('Data Entry'!$ė$165), "", 'Data Entry'!$ė$165)</f>
      </c>
      <c r="HH165">
        <f>IF(ISBLANK('Data Entry'!$Ę$165), "", 'Data Entry'!$Ę$165)</f>
      </c>
      <c r="HI165">
        <f>IF(ISBLANK('Data Entry'!$ę$165), "", 'Data Entry'!$ę$165)</f>
      </c>
      <c r="HJ165">
        <f>IF(ISBLANK('Data Entry'!$Ě$165), "", 'Data Entry'!$Ě$165)</f>
      </c>
      <c r="HK165">
        <f>IF(ISBLANK('Data Entry'!$ě$165), "", 'Data Entry'!$ě$165)</f>
      </c>
      <c r="HL165">
        <f>IF(ISBLANK('Data Entry'!$Ĝ$165), "", 'Data Entry'!$Ĝ$165)</f>
      </c>
      <c r="HM165">
        <f>IF(ISBLANK('Data Entry'!$ĝ$165), "", 'Data Entry'!$ĝ$165)</f>
      </c>
      <c r="HN165">
        <f>IF(ISBLANK('Data Entry'!$Ğ$165), "", 'Data Entry'!$Ğ$165)</f>
      </c>
      <c r="HO165">
        <f>IF(ISBLANK('Data Entry'!$ğ$165), "", 'Data Entry'!$ğ$165)</f>
      </c>
      <c r="HP165">
        <f>IF(ISBLANK('Data Entry'!$Ġ$165), "", 'Data Entry'!$Ġ$165)</f>
      </c>
      <c r="HQ165">
        <f>IF(ISBLANK('Data Entry'!$ġ$165), "", 'Data Entry'!$ġ$165)</f>
      </c>
      <c r="HR165">
        <f>IF(ISBLANK('Data Entry'!$Ģ$165), "", 'Data Entry'!$Ģ$165)</f>
      </c>
      <c r="HS165">
        <f>IF(ISBLANK('Data Entry'!$ģ$165), "", 'Data Entry'!$ģ$165)</f>
      </c>
      <c r="HT165">
        <f>IF(ISBLANK('Data Entry'!$Ĥ$165), "", 'Data Entry'!$Ĥ$165)</f>
      </c>
      <c r="HU165">
        <f>IF(ISBLANK('Data Entry'!$ĥ$165), "", 'Data Entry'!$ĥ$165)</f>
      </c>
      <c r="HV165">
        <f>IF(ISBLANK('Data Entry'!$Ħ$165), "", 'Data Entry'!$Ħ$165)</f>
      </c>
      <c r="HW165">
        <f>IF(ISBLANK('Data Entry'!$ħ$165), "", 'Data Entry'!$ħ$165)</f>
      </c>
      <c r="HX165">
        <f>IF(ISBLANK('Data Entry'!$Ĩ$165), "", 'Data Entry'!$Ĩ$165)</f>
      </c>
      <c r="HY165">
        <f>IF(ISBLANK('Data Entry'!$ĩ$165), "", 'Data Entry'!$ĩ$165)</f>
      </c>
      <c r="HZ165">
        <f>IF(ISBLANK('Data Entry'!$Ī$165), "", 'Data Entry'!$Ī$165)</f>
      </c>
      <c r="IA165">
        <f>IF(ISBLANK('Data Entry'!$ī$165), "", 'Data Entry'!$ī$165)</f>
      </c>
      <c r="IB165">
        <f>IF(ISBLANK('Data Entry'!$Ĭ$165), "", 'Data Entry'!$Ĭ$165)</f>
      </c>
      <c r="IC165">
        <f>IF(ISBLANK('Data Entry'!$ĭ$165), "", 'Data Entry'!$ĭ$165)</f>
      </c>
      <c r="ID165">
        <f>IF(ISBLANK('Data Entry'!$Į$165), "", 'Data Entry'!$Į$165)</f>
      </c>
      <c r="IE165">
        <f>IF(ISBLANK('Data Entry'!$į$165), "", 'Data Entry'!$į$165)</f>
      </c>
      <c r="IF165">
        <f>IF(ISBLANK('Data Entry'!$İ$165), "", 'Data Entry'!$İ$165)</f>
      </c>
      <c r="IG165">
        <f>IF(ISBLANK('Data Entry'!$ı$165), "", 'Data Entry'!$ı$165)</f>
      </c>
      <c r="IH165">
        <f>IF(ISBLANK('Data Entry'!$Ĳ$165), "", 'Data Entry'!$Ĳ$165)</f>
      </c>
      <c r="II165">
        <f>IF(ISBLANK('Data Entry'!$ĳ$165), "", 'Data Entry'!$ĳ$165)</f>
      </c>
      <c r="IJ165">
        <f>IF(ISBLANK('Data Entry'!$Ĵ$165), "", 'Data Entry'!$Ĵ$165)</f>
      </c>
      <c r="IK165">
        <f>IF(ISBLANK('Data Entry'!$ĵ$165), "", 'Data Entry'!$ĵ$165)</f>
      </c>
      <c r="IL165">
        <f>IF(ISBLANK('Data Entry'!$Ķ$165), "", 'Data Entry'!$Ķ$165)</f>
      </c>
      <c r="IM165">
        <f>IF(ISBLANK('Data Entry'!$ķ$165), "", 'Data Entry'!$ķ$165)</f>
      </c>
      <c r="IN165">
        <f>IF(ISBLANK('Data Entry'!$ĸ$165), "", 'Data Entry'!$ĸ$165)</f>
      </c>
      <c r="IO165">
        <f>IF(ISBLANK('Data Entry'!$Ĺ$165), "", 'Data Entry'!$Ĺ$165)</f>
      </c>
      <c r="IP165">
        <f>IF(ISBLANK('Data Entry'!$ĺ$165), "", 'Data Entry'!$ĺ$165)</f>
      </c>
      <c r="IQ165">
        <f>IF(ISBLANK('Data Entry'!$Ļ$165), "", 'Data Entry'!$Ļ$165)</f>
      </c>
      <c r="IR165">
        <f>IF(ISBLANK('Data Entry'!$ļ$165), "", 'Data Entry'!$ļ$165)</f>
      </c>
      <c r="IS165">
        <f>IF(ISBLANK('Data Entry'!$Ľ$165), "", 'Data Entry'!$Ľ$165)</f>
      </c>
      <c r="IT165">
        <f>IF(ISBLANK('Data Entry'!$ľ$165), "", 'Data Entry'!$ľ$165)</f>
      </c>
    </row>
    <row r="166" spans="1:254" x14ac:dyDescent="0.25">
      <c r="A166">
        <f>IF(ISBLANK('Data Entry'!$A$166), "", 'Data Entry'!$A$166)</f>
      </c>
      <c r="B166">
        <f>IF(ISBLANK('Data Entry'!$B$166), "", 'Data Entry'!$B$166)</f>
      </c>
      <c r="C166">
        <f>IF(ISBLANK('Data Entry'!$C$166), "", 'Data Entry'!$C$166)</f>
      </c>
      <c r="D166">
        <f>IF(ISBLANK('Data Entry'!$D$166), "", 'Data Entry'!$D$166)</f>
      </c>
      <c r="E166">
        <f>IF(ISBLANK('Data Entry'!$E$166), "", 'Data Entry'!$E$166)</f>
      </c>
      <c r="F166">
        <f>IF(ISBLANK('Data Entry'!$F$166), "", 'Data Entry'!$F$166)</f>
      </c>
      <c r="G166">
        <f>IF(ISBLANK('Data Entry'!$G$166), "", 'Data Entry'!$G$166)</f>
      </c>
      <c r="H166">
        <f>IF(ISBLANK('Data Entry'!$H$166), "", 'Data Entry'!$H$166)</f>
      </c>
      <c r="I166">
        <f>IF(ISBLANK('Data Entry'!$I$166), "", 'Data Entry'!$I$166)</f>
      </c>
      <c r="J166">
        <f>IF(ISBLANK('Data Entry'!$J$166), "", 'Data Entry'!$J$166)</f>
      </c>
      <c r="K166">
        <f>IF(ISBLANK('Data Entry'!$K$166), "", 'Data Entry'!$K$166)</f>
      </c>
      <c r="L166">
        <f>IF(ISBLANK('Data Entry'!$L$166), "", 'Data Entry'!$L$166)</f>
      </c>
      <c r="M166">
        <f>IF(ISBLANK('Data Entry'!$M$166), "", 'Data Entry'!$M$166)</f>
      </c>
      <c r="N166">
        <f>IF(ISBLANK('Data Entry'!$N$166), "", 'Data Entry'!$N$166)</f>
      </c>
      <c r="O166">
        <f>IF(ISBLANK('Data Entry'!$O$166), "", 'Data Entry'!$O$166)</f>
      </c>
      <c r="P166">
        <f>IF(ISBLANK('Data Entry'!$P$166), "", 'Data Entry'!$P$166)</f>
      </c>
      <c r="Q166">
        <f>IF(ISBLANK('Data Entry'!$Q$166), "", 'Data Entry'!$Q$166)</f>
      </c>
      <c r="R166">
        <f>IF(ISBLANK('Data Entry'!$R$166), "", 'Data Entry'!$R$166)</f>
      </c>
      <c r="S166">
        <f>IF(ISBLANK('Data Entry'!$S$166), "", 'Data Entry'!$S$166)</f>
      </c>
      <c r="T166">
        <f>IF(ISBLANK('Data Entry'!$T$166), "", 'Data Entry'!$T$166)</f>
      </c>
      <c r="U166">
        <f>IF(ISBLANK('Data Entry'!$U$166), "", 'Data Entry'!$U$166)</f>
      </c>
      <c r="V166">
        <f>IF(ISBLANK('Data Entry'!$V$166), "", 'Data Entry'!$V$166)</f>
      </c>
      <c r="W166">
        <f>IF(ISBLANK('Data Entry'!$W$166), "", 'Data Entry'!$W$166)</f>
      </c>
      <c r="X166">
        <f>IF(ISBLANK('Data Entry'!$X$166), "", 'Data Entry'!$X$166)</f>
      </c>
      <c r="Y166">
        <f>IF(ISBLANK('Data Entry'!$Y$166), "", 'Data Entry'!$Y$166)</f>
      </c>
      <c r="Z166">
        <f>IF(ISBLANK('Data Entry'!$Z$166), "", 'Data Entry'!$Z$166)</f>
      </c>
      <c r="AA166">
        <f>IF(ISBLANK('Data Entry'!$[$166), "", 'Data Entry'!$[$166)</f>
      </c>
      <c r="AB166">
        <f>IF(ISBLANK('Data Entry'!$\$166), "", 'Data Entry'!$\$166)</f>
      </c>
      <c r="AC166">
        <f>IF(ISBLANK('Data Entry'!$]$166), "", 'Data Entry'!$]$166)</f>
      </c>
      <c r="AD166">
        <f>IF(ISBLANK('Data Entry'!$^$166), "", 'Data Entry'!$^$166)</f>
      </c>
      <c r="AE166">
        <f>IF(ISBLANK('Data Entry'!$_$166), "", 'Data Entry'!$_$166)</f>
      </c>
      <c r="AF166">
        <f>IF(ISBLANK('Data Entry'!$`$166), "", 'Data Entry'!$`$166)</f>
      </c>
      <c r="AG166">
        <f>IF(ISBLANK('Data Entry'!$a$166), "", 'Data Entry'!$a$166)</f>
      </c>
      <c r="AH166">
        <f>IF(ISBLANK('Data Entry'!$b$166), "", 'Data Entry'!$b$166)</f>
      </c>
      <c r="AI166">
        <f>IF(ISBLANK('Data Entry'!$c$166), "", 'Data Entry'!$c$166)</f>
      </c>
      <c r="AJ166">
        <f>IF(ISBLANK('Data Entry'!$d$166), "", 'Data Entry'!$d$166)</f>
      </c>
      <c r="AK166">
        <f>IF(ISBLANK('Data Entry'!$e$166), "", 'Data Entry'!$e$166)</f>
      </c>
      <c r="AL166">
        <f>IF(ISBLANK('Data Entry'!$f$166), "", 'Data Entry'!$f$166)</f>
      </c>
      <c r="AM166">
        <f>IF(ISBLANK('Data Entry'!$g$166), "", 'Data Entry'!$g$166)</f>
      </c>
      <c r="AN166">
        <f>IF(ISBLANK('Data Entry'!$h$166), "", 'Data Entry'!$h$166)</f>
      </c>
      <c r="AO166">
        <f>IF(ISBLANK('Data Entry'!$i$166), "", 'Data Entry'!$i$166)</f>
      </c>
      <c r="AP166">
        <f>IF(ISBLANK('Data Entry'!$j$166), "", 'Data Entry'!$j$166)</f>
      </c>
      <c r="AQ166">
        <f>IF(ISBLANK('Data Entry'!$k$166), "", 'Data Entry'!$k$166)</f>
      </c>
      <c r="AR166">
        <f>IF(ISBLANK('Data Entry'!$l$166), "", 'Data Entry'!$l$166)</f>
      </c>
      <c r="AS166">
        <f>IF(ISBLANK('Data Entry'!$m$166), "", 'Data Entry'!$m$166)</f>
      </c>
      <c r="AT166">
        <f>IF(ISBLANK('Data Entry'!$n$166), "", 'Data Entry'!$n$166)</f>
      </c>
      <c r="AU166">
        <f>IF(ISBLANK('Data Entry'!$o$166), "", 'Data Entry'!$o$166)</f>
      </c>
      <c r="AV166">
        <f>IF(ISBLANK('Data Entry'!$p$166), "", 'Data Entry'!$p$166)</f>
      </c>
      <c r="AW166">
        <f>IF(ISBLANK('Data Entry'!$q$166), "", 'Data Entry'!$q$166)</f>
      </c>
      <c r="AX166">
        <f>IF(ISBLANK('Data Entry'!$r$166), "", 'Data Entry'!$r$166)</f>
      </c>
      <c r="AY166">
        <f>IF(ISBLANK('Data Entry'!$s$166), "", 'Data Entry'!$s$166)</f>
      </c>
      <c r="AZ166">
        <f>IF(ISBLANK('Data Entry'!$t$166), "", 'Data Entry'!$t$166)</f>
      </c>
      <c r="BA166">
        <f>IF(ISBLANK('Data Entry'!$u$166), "", 'Data Entry'!$u$166)</f>
      </c>
      <c r="BB166">
        <f>IF(ISBLANK('Data Entry'!$v$166), "", 'Data Entry'!$v$166)</f>
      </c>
      <c r="BC166">
        <f>IF(ISBLANK('Data Entry'!$w$166), "", 'Data Entry'!$w$166)</f>
      </c>
      <c r="BD166">
        <f>IF(ISBLANK('Data Entry'!$x$166), "", 'Data Entry'!$x$166)</f>
      </c>
      <c r="BE166">
        <f>IF(ISBLANK('Data Entry'!$y$166), "", 'Data Entry'!$y$166)</f>
      </c>
      <c r="BF166">
        <f>IF(ISBLANK('Data Entry'!$z$166), "", 'Data Entry'!$z$166)</f>
      </c>
      <c r="BG166">
        <f>IF(ISBLANK('Data Entry'!${$166), "", 'Data Entry'!${$166)</f>
      </c>
      <c r="BH166">
        <f>IF(ISBLANK('Data Entry'!$|$166), "", 'Data Entry'!$|$166)</f>
      </c>
      <c r="BI166">
        <f>IF(ISBLANK('Data Entry'!$}$166), "", 'Data Entry'!$}$166)</f>
      </c>
      <c r="BJ166">
        <f>IF(ISBLANK('Data Entry'!$~$166), "", 'Data Entry'!$~$166)</f>
      </c>
      <c r="BK166">
        <f>IF(ISBLANK('Data Entry'!$$166), "", 'Data Entry'!$$166)</f>
      </c>
      <c r="BL166">
        <f>IF(ISBLANK('Data Entry'!$$166), "", 'Data Entry'!$$166)</f>
      </c>
      <c r="BM166">
        <f>IF(ISBLANK('Data Entry'!$$166), "", 'Data Entry'!$$166)</f>
      </c>
      <c r="BN166">
        <f>IF(ISBLANK('Data Entry'!$$166), "", 'Data Entry'!$$166)</f>
      </c>
      <c r="BO166">
        <f>IF(ISBLANK('Data Entry'!$$166), "", 'Data Entry'!$$166)</f>
      </c>
      <c r="BP166">
        <f>IF(ISBLANK('Data Entry'!$$166), "", 'Data Entry'!$$166)</f>
      </c>
      <c r="BQ166">
        <f>IF(ISBLANK('Data Entry'!$$166), "", 'Data Entry'!$$166)</f>
      </c>
      <c r="BR166">
        <f>IF(ISBLANK('Data Entry'!$$166), "", 'Data Entry'!$$166)</f>
      </c>
      <c r="BS166">
        <f>IF(ISBLANK('Data Entry'!$$166), "", 'Data Entry'!$$166)</f>
      </c>
      <c r="BT166">
        <f>IF(ISBLANK('Data Entry'!$$166), "", 'Data Entry'!$$166)</f>
      </c>
      <c r="BU166">
        <f>IF(ISBLANK('Data Entry'!$$166), "", 'Data Entry'!$$166)</f>
      </c>
      <c r="BV166">
        <f>IF(ISBLANK('Data Entry'!$$166), "", 'Data Entry'!$$166)</f>
      </c>
      <c r="BW166">
        <f>IF(ISBLANK('Data Entry'!$$166), "", 'Data Entry'!$$166)</f>
      </c>
      <c r="BX166">
        <f>IF(ISBLANK('Data Entry'!$$166), "", 'Data Entry'!$$166)</f>
      </c>
      <c r="BY166">
        <f>IF(ISBLANK('Data Entry'!$$166), "", 'Data Entry'!$$166)</f>
      </c>
      <c r="BZ166">
        <f>IF(ISBLANK('Data Entry'!$$166), "", 'Data Entry'!$$166)</f>
      </c>
      <c r="CA166">
        <f>IF(ISBLANK('Data Entry'!$$166), "", 'Data Entry'!$$166)</f>
      </c>
      <c r="CB166">
        <f>IF(ISBLANK('Data Entry'!$$166), "", 'Data Entry'!$$166)</f>
      </c>
      <c r="CC166">
        <f>IF(ISBLANK('Data Entry'!$$166), "", 'Data Entry'!$$166)</f>
      </c>
      <c r="CD166">
        <f>IF(ISBLANK('Data Entry'!$$166), "", 'Data Entry'!$$166)</f>
      </c>
      <c r="CE166">
        <f>IF(ISBLANK('Data Entry'!$$166), "", 'Data Entry'!$$166)</f>
      </c>
      <c r="CF166">
        <f>IF(ISBLANK('Data Entry'!$$166), "", 'Data Entry'!$$166)</f>
      </c>
      <c r="CG166">
        <f>IF(ISBLANK('Data Entry'!$$166), "", 'Data Entry'!$$166)</f>
      </c>
      <c r="CH166">
        <f>IF(ISBLANK('Data Entry'!$$166), "", 'Data Entry'!$$166)</f>
      </c>
      <c r="CI166">
        <f>IF(ISBLANK('Data Entry'!$$166), "", 'Data Entry'!$$166)</f>
      </c>
      <c r="CJ166">
        <f>IF(ISBLANK('Data Entry'!$$166), "", 'Data Entry'!$$166)</f>
      </c>
      <c r="CK166">
        <f>IF(ISBLANK('Data Entry'!$$166), "", 'Data Entry'!$$166)</f>
      </c>
      <c r="CL166">
        <f>IF(ISBLANK('Data Entry'!$$166), "", 'Data Entry'!$$166)</f>
      </c>
      <c r="CM166">
        <f>IF(ISBLANK('Data Entry'!$$166), "", 'Data Entry'!$$166)</f>
      </c>
      <c r="CN166">
        <f>IF(ISBLANK('Data Entry'!$$166), "", 'Data Entry'!$$166)</f>
      </c>
      <c r="CO166">
        <f>IF(ISBLANK('Data Entry'!$$166), "", 'Data Entry'!$$166)</f>
      </c>
      <c r="CP166">
        <f>IF(ISBLANK('Data Entry'!$$166), "", 'Data Entry'!$$166)</f>
      </c>
      <c r="CQ166">
        <f>IF(ISBLANK('Data Entry'!$$166), "", 'Data Entry'!$$166)</f>
      </c>
      <c r="CR166">
        <f>IF(ISBLANK('Data Entry'!$ $166), "", 'Data Entry'!$ $166)</f>
      </c>
      <c r="CS166">
        <f>IF(ISBLANK('Data Entry'!$¡$166), "", 'Data Entry'!$¡$166)</f>
      </c>
      <c r="CT166">
        <f>IF(ISBLANK('Data Entry'!$¢$166), "", 'Data Entry'!$¢$166)</f>
      </c>
      <c r="CU166">
        <f>IF(ISBLANK('Data Entry'!$£$166), "", 'Data Entry'!$£$166)</f>
      </c>
      <c r="CV166">
        <f>IF(ISBLANK('Data Entry'!$¤$166), "", 'Data Entry'!$¤$166)</f>
      </c>
      <c r="CW166">
        <f>IF(ISBLANK('Data Entry'!$¥$166), "", 'Data Entry'!$¥$166)</f>
      </c>
      <c r="CX166">
        <f>IF(ISBLANK('Data Entry'!$¦$166), "", 'Data Entry'!$¦$166)</f>
      </c>
      <c r="CY166">
        <f>IF(ISBLANK('Data Entry'!$§$166), "", 'Data Entry'!$§$166)</f>
      </c>
      <c r="CZ166">
        <f>IF(ISBLANK('Data Entry'!$¨$166), "", 'Data Entry'!$¨$166)</f>
      </c>
      <c r="DA166">
        <f>IF(ISBLANK('Data Entry'!$©$166), "", 'Data Entry'!$©$166)</f>
      </c>
      <c r="DB166">
        <f>IF(ISBLANK('Data Entry'!$ª$166), "", 'Data Entry'!$ª$166)</f>
      </c>
      <c r="DC166">
        <f>IF(ISBLANK('Data Entry'!$«$166), "", 'Data Entry'!$«$166)</f>
      </c>
      <c r="DD166">
        <f>IF(ISBLANK('Data Entry'!$¬$166), "", 'Data Entry'!$¬$166)</f>
      </c>
      <c r="DE166">
        <f>IF(ISBLANK('Data Entry'!$­$166), "", 'Data Entry'!$­$166)</f>
      </c>
      <c r="DF166">
        <f>IF(ISBLANK('Data Entry'!$®$166), "", 'Data Entry'!$®$166)</f>
      </c>
      <c r="DG166">
        <f>IF(ISBLANK('Data Entry'!$¯$166), "", 'Data Entry'!$¯$166)</f>
      </c>
      <c r="DH166">
        <f>IF(ISBLANK('Data Entry'!$°$166), "", 'Data Entry'!$°$166)</f>
      </c>
      <c r="DI166">
        <f>IF(ISBLANK('Data Entry'!$±$166), "", 'Data Entry'!$±$166)</f>
      </c>
      <c r="DJ166">
        <f>IF(ISBLANK('Data Entry'!$²$166), "", 'Data Entry'!$²$166)</f>
      </c>
      <c r="DK166">
        <f>IF(ISBLANK('Data Entry'!$³$166), "", 'Data Entry'!$³$166)</f>
      </c>
      <c r="DL166">
        <f>IF(ISBLANK('Data Entry'!$´$166), "", 'Data Entry'!$´$166)</f>
      </c>
      <c r="DM166">
        <f>IF(ISBLANK('Data Entry'!$µ$166), "", 'Data Entry'!$µ$166)</f>
      </c>
      <c r="DN166">
        <f>IF(ISBLANK('Data Entry'!$¶$166), "", 'Data Entry'!$¶$166)</f>
      </c>
      <c r="DO166">
        <f>IF(ISBLANK('Data Entry'!$·$166), "", 'Data Entry'!$·$166)</f>
      </c>
      <c r="DP166">
        <f>IF(ISBLANK('Data Entry'!$¸$166), "", 'Data Entry'!$¸$166)</f>
      </c>
      <c r="DQ166">
        <f>IF(ISBLANK('Data Entry'!$¹$166), "", 'Data Entry'!$¹$166)</f>
      </c>
      <c r="DR166">
        <f>IF(ISBLANK('Data Entry'!$º$166), "", 'Data Entry'!$º$166)</f>
      </c>
      <c r="DS166">
        <f>IF(ISBLANK('Data Entry'!$»$166), "", 'Data Entry'!$»$166)</f>
      </c>
      <c r="DT166">
        <f>IF(ISBLANK('Data Entry'!$¼$166), "", 'Data Entry'!$¼$166)</f>
      </c>
      <c r="DU166">
        <f>IF(ISBLANK('Data Entry'!$½$166), "", 'Data Entry'!$½$166)</f>
      </c>
      <c r="DV166">
        <f>IF(ISBLANK('Data Entry'!$¾$166), "", 'Data Entry'!$¾$166)</f>
      </c>
      <c r="DW166">
        <f>IF(ISBLANK('Data Entry'!$¿$166), "", 'Data Entry'!$¿$166)</f>
      </c>
      <c r="DX166">
        <f>IF(ISBLANK('Data Entry'!$À$166), "", 'Data Entry'!$À$166)</f>
      </c>
      <c r="DY166">
        <f>IF(ISBLANK('Data Entry'!$Á$166), "", 'Data Entry'!$Á$166)</f>
      </c>
      <c r="DZ166">
        <f>IF(ISBLANK('Data Entry'!$Â$166), "", 'Data Entry'!$Â$166)</f>
      </c>
      <c r="EA166">
        <f>IF(ISBLANK('Data Entry'!$Ã$166), "", 'Data Entry'!$Ã$166)</f>
      </c>
      <c r="EB166">
        <f>IF(ISBLANK('Data Entry'!$Ä$166), "", 'Data Entry'!$Ä$166)</f>
      </c>
      <c r="EC166">
        <f>IF(ISBLANK('Data Entry'!$Å$166), "", 'Data Entry'!$Å$166)</f>
      </c>
      <c r="ED166">
        <f>IF(ISBLANK('Data Entry'!$Æ$166), "", 'Data Entry'!$Æ$166)</f>
      </c>
      <c r="EE166">
        <f>IF(ISBLANK('Data Entry'!$Ç$166), "", 'Data Entry'!$Ç$166)</f>
      </c>
      <c r="EF166">
        <f>IF(ISBLANK('Data Entry'!$È$166), "", 'Data Entry'!$È$166)</f>
      </c>
      <c r="EG166">
        <f>IF(ISBLANK('Data Entry'!$É$166), "", 'Data Entry'!$É$166)</f>
      </c>
      <c r="EH166">
        <f>IF(ISBLANK('Data Entry'!$Ê$166), "", 'Data Entry'!$Ê$166)</f>
      </c>
      <c r="EI166">
        <f>IF(ISBLANK('Data Entry'!$Ë$166), "", 'Data Entry'!$Ë$166)</f>
      </c>
      <c r="EJ166">
        <f>IF(ISBLANK('Data Entry'!$Ì$166), "", 'Data Entry'!$Ì$166)</f>
      </c>
      <c r="EK166">
        <f>IF(ISBLANK('Data Entry'!$Í$166), "", 'Data Entry'!$Í$166)</f>
      </c>
      <c r="EL166">
        <f>IF(ISBLANK('Data Entry'!$Î$166), "", 'Data Entry'!$Î$166)</f>
      </c>
      <c r="EM166">
        <f>IF(ISBLANK('Data Entry'!$Ï$166), "", 'Data Entry'!$Ï$166)</f>
      </c>
      <c r="EN166">
        <f>IF(ISBLANK('Data Entry'!$Ð$166), "", 'Data Entry'!$Ð$166)</f>
      </c>
      <c r="EO166">
        <f>IF(ISBLANK('Data Entry'!$Ñ$166), "", 'Data Entry'!$Ñ$166)</f>
      </c>
      <c r="EP166">
        <f>IF(ISBLANK('Data Entry'!$Ò$166), "", 'Data Entry'!$Ò$166)</f>
      </c>
      <c r="EQ166">
        <f>IF(ISBLANK('Data Entry'!$Ó$166), "", 'Data Entry'!$Ó$166)</f>
      </c>
      <c r="ER166">
        <f>IF(ISBLANK('Data Entry'!$Ô$166), "", 'Data Entry'!$Ô$166)</f>
      </c>
      <c r="ES166">
        <f>IF(ISBLANK('Data Entry'!$Õ$166), "", 'Data Entry'!$Õ$166)</f>
      </c>
      <c r="ET166">
        <f>IF(ISBLANK('Data Entry'!$Ö$166), "", 'Data Entry'!$Ö$166)</f>
      </c>
      <c r="EU166">
        <f>IF(ISBLANK('Data Entry'!$×$166), "", 'Data Entry'!$×$166)</f>
      </c>
      <c r="EV166">
        <f>IF(ISBLANK('Data Entry'!$Ø$166), "", 'Data Entry'!$Ø$166)</f>
      </c>
      <c r="EW166">
        <f>IF(ISBLANK('Data Entry'!$Ù$166), "", 'Data Entry'!$Ù$166)</f>
      </c>
      <c r="EX166">
        <f>IF(ISBLANK('Data Entry'!$Ú$166), "", 'Data Entry'!$Ú$166)</f>
      </c>
      <c r="EY166">
        <f>IF(ISBLANK('Data Entry'!$Û$166), "", 'Data Entry'!$Û$166)</f>
      </c>
      <c r="EZ166">
        <f>IF(ISBLANK('Data Entry'!$Ü$166), "", 'Data Entry'!$Ü$166)</f>
      </c>
      <c r="FA166">
        <f>IF(ISBLANK('Data Entry'!$Ý$166), "", 'Data Entry'!$Ý$166)</f>
      </c>
      <c r="FB166">
        <f>IF(ISBLANK('Data Entry'!$Þ$166), "", 'Data Entry'!$Þ$166)</f>
      </c>
      <c r="FC166">
        <f>IF(ISBLANK('Data Entry'!$ß$166), "", 'Data Entry'!$ß$166)</f>
      </c>
      <c r="FD166">
        <f>IF(ISBLANK('Data Entry'!$à$166), "", 'Data Entry'!$à$166)</f>
      </c>
      <c r="FE166">
        <f>IF(ISBLANK('Data Entry'!$á$166), "", 'Data Entry'!$á$166)</f>
      </c>
      <c r="FF166">
        <f>IF(ISBLANK('Data Entry'!$â$166), "", 'Data Entry'!$â$166)</f>
      </c>
      <c r="FG166">
        <f>IF(ISBLANK('Data Entry'!$ã$166), "", 'Data Entry'!$ã$166)</f>
      </c>
      <c r="FH166">
        <f>IF(ISBLANK('Data Entry'!$ä$166), "", 'Data Entry'!$ä$166)</f>
      </c>
      <c r="FI166">
        <f>IF(ISBLANK('Data Entry'!$å$166), "", 'Data Entry'!$å$166)</f>
      </c>
      <c r="FJ166">
        <f>IF(ISBLANK('Data Entry'!$æ$166), "", 'Data Entry'!$æ$166)</f>
      </c>
      <c r="FK166">
        <f>IF(ISBLANK('Data Entry'!$ç$166), "", 'Data Entry'!$ç$166)</f>
      </c>
      <c r="FL166">
        <f>IF(ISBLANK('Data Entry'!$è$166), "", 'Data Entry'!$è$166)</f>
      </c>
      <c r="FM166">
        <f>IF(ISBLANK('Data Entry'!$é$166), "", 'Data Entry'!$é$166)</f>
      </c>
      <c r="FN166">
        <f>IF(ISBLANK('Data Entry'!$ê$166), "", 'Data Entry'!$ê$166)</f>
      </c>
      <c r="FO166">
        <f>IF(ISBLANK('Data Entry'!$ë$166), "", 'Data Entry'!$ë$166)</f>
      </c>
      <c r="FP166">
        <f>IF(ISBLANK('Data Entry'!$ì$166), "", 'Data Entry'!$ì$166)</f>
      </c>
      <c r="FQ166">
        <f>IF(ISBLANK('Data Entry'!$í$166), "", 'Data Entry'!$í$166)</f>
      </c>
      <c r="FR166">
        <f>IF(ISBLANK('Data Entry'!$î$166), "", 'Data Entry'!$î$166)</f>
      </c>
      <c r="FS166">
        <f>IF(ISBLANK('Data Entry'!$ï$166), "", 'Data Entry'!$ï$166)</f>
      </c>
      <c r="FT166">
        <f>IF(ISBLANK('Data Entry'!$ð$166), "", 'Data Entry'!$ð$166)</f>
      </c>
      <c r="FU166">
        <f>IF(ISBLANK('Data Entry'!$ñ$166), "", 'Data Entry'!$ñ$166)</f>
      </c>
      <c r="FV166">
        <f>IF(ISBLANK('Data Entry'!$ò$166), "", 'Data Entry'!$ò$166)</f>
      </c>
      <c r="FW166">
        <f>IF(ISBLANK('Data Entry'!$ó$166), "", 'Data Entry'!$ó$166)</f>
      </c>
      <c r="FX166">
        <f>IF(ISBLANK('Data Entry'!$ô$166), "", 'Data Entry'!$ô$166)</f>
      </c>
      <c r="FY166">
        <f>IF(ISBLANK('Data Entry'!$õ$166), "", 'Data Entry'!$õ$166)</f>
      </c>
      <c r="FZ166">
        <f>IF(ISBLANK('Data Entry'!$ö$166), "", 'Data Entry'!$ö$166)</f>
      </c>
      <c r="GA166">
        <f>IF(ISBLANK('Data Entry'!$÷$166), "", 'Data Entry'!$÷$166)</f>
      </c>
      <c r="GB166">
        <f>IF(ISBLANK('Data Entry'!$ø$166), "", 'Data Entry'!$ø$166)</f>
      </c>
      <c r="GC166">
        <f>IF(ISBLANK('Data Entry'!$ù$166), "", 'Data Entry'!$ù$166)</f>
      </c>
      <c r="GD166">
        <f>IF(ISBLANK('Data Entry'!$ú$166), "", 'Data Entry'!$ú$166)</f>
      </c>
      <c r="GE166">
        <f>IF(ISBLANK('Data Entry'!$û$166), "", 'Data Entry'!$û$166)</f>
      </c>
      <c r="GF166">
        <f>IF(ISBLANK('Data Entry'!$ü$166), "", 'Data Entry'!$ü$166)</f>
      </c>
      <c r="GG166">
        <f>IF(ISBLANK('Data Entry'!$ý$166), "", 'Data Entry'!$ý$166)</f>
      </c>
      <c r="GH166">
        <f>IF(ISBLANK('Data Entry'!$þ$166), "", 'Data Entry'!$þ$166)</f>
      </c>
      <c r="GI166">
        <f>IF(ISBLANK('Data Entry'!$ÿ$166), "", 'Data Entry'!$ÿ$166)</f>
      </c>
      <c r="GJ166">
        <f>IF(ISBLANK('Data Entry'!$Ā$166), "", 'Data Entry'!$Ā$166)</f>
      </c>
      <c r="GK166">
        <f>IF(ISBLANK('Data Entry'!$ā$166), "", 'Data Entry'!$ā$166)</f>
      </c>
      <c r="GL166">
        <f>IF(ISBLANK('Data Entry'!$Ă$166), "", 'Data Entry'!$Ă$166)</f>
      </c>
      <c r="GM166">
        <f>IF(ISBLANK('Data Entry'!$ă$166), "", 'Data Entry'!$ă$166)</f>
      </c>
      <c r="GN166">
        <f>IF(ISBLANK('Data Entry'!$Ą$166), "", 'Data Entry'!$Ą$166)</f>
      </c>
      <c r="GO166">
        <f>IF(ISBLANK('Data Entry'!$ą$166), "", 'Data Entry'!$ą$166)</f>
      </c>
      <c r="GP166">
        <f>IF(ISBLANK('Data Entry'!$Ć$166), "", 'Data Entry'!$Ć$166)</f>
      </c>
      <c r="GQ166">
        <f>IF(ISBLANK('Data Entry'!$ć$166), "", 'Data Entry'!$ć$166)</f>
      </c>
      <c r="GR166">
        <f>IF(ISBLANK('Data Entry'!$Ĉ$166), "", 'Data Entry'!$Ĉ$166)</f>
      </c>
      <c r="GS166">
        <f>IF(ISBLANK('Data Entry'!$ĉ$166), "", 'Data Entry'!$ĉ$166)</f>
      </c>
      <c r="GT166">
        <f>IF(ISBLANK('Data Entry'!$Ċ$166), "", 'Data Entry'!$Ċ$166)</f>
      </c>
      <c r="GU166">
        <f>IF(ISBLANK('Data Entry'!$ċ$166), "", 'Data Entry'!$ċ$166)</f>
      </c>
      <c r="GV166">
        <f>IF(ISBLANK('Data Entry'!$Č$166), "", 'Data Entry'!$Č$166)</f>
      </c>
      <c r="GW166">
        <f>IF(ISBLANK('Data Entry'!$č$166), "", 'Data Entry'!$č$166)</f>
      </c>
      <c r="GX166">
        <f>IF(ISBLANK('Data Entry'!$Ď$166), "", 'Data Entry'!$Ď$166)</f>
      </c>
      <c r="GY166">
        <f>IF(ISBLANK('Data Entry'!$ď$166), "", 'Data Entry'!$ď$166)</f>
      </c>
      <c r="GZ166">
        <f>IF(ISBLANK('Data Entry'!$Đ$166), "", 'Data Entry'!$Đ$166)</f>
      </c>
      <c r="HA166">
        <f>IF(ISBLANK('Data Entry'!$đ$166), "", 'Data Entry'!$đ$166)</f>
      </c>
      <c r="HB166">
        <f>IF(ISBLANK('Data Entry'!$Ē$166), "", 'Data Entry'!$Ē$166)</f>
      </c>
      <c r="HC166">
        <f>IF(ISBLANK('Data Entry'!$ē$166), "", 'Data Entry'!$ē$166)</f>
      </c>
      <c r="HD166">
        <f>IF(ISBLANK('Data Entry'!$Ĕ$166), "", 'Data Entry'!$Ĕ$166)</f>
      </c>
      <c r="HE166">
        <f>IF(ISBLANK('Data Entry'!$ĕ$166), "", 'Data Entry'!$ĕ$166)</f>
      </c>
      <c r="HF166">
        <f>IF(ISBLANK('Data Entry'!$Ė$166), "", 'Data Entry'!$Ė$166)</f>
      </c>
      <c r="HG166">
        <f>IF(ISBLANK('Data Entry'!$ė$166), "", 'Data Entry'!$ė$166)</f>
      </c>
      <c r="HH166">
        <f>IF(ISBLANK('Data Entry'!$Ę$166), "", 'Data Entry'!$Ę$166)</f>
      </c>
      <c r="HI166">
        <f>IF(ISBLANK('Data Entry'!$ę$166), "", 'Data Entry'!$ę$166)</f>
      </c>
      <c r="HJ166">
        <f>IF(ISBLANK('Data Entry'!$Ě$166), "", 'Data Entry'!$Ě$166)</f>
      </c>
      <c r="HK166">
        <f>IF(ISBLANK('Data Entry'!$ě$166), "", 'Data Entry'!$ě$166)</f>
      </c>
      <c r="HL166">
        <f>IF(ISBLANK('Data Entry'!$Ĝ$166), "", 'Data Entry'!$Ĝ$166)</f>
      </c>
      <c r="HM166">
        <f>IF(ISBLANK('Data Entry'!$ĝ$166), "", 'Data Entry'!$ĝ$166)</f>
      </c>
      <c r="HN166">
        <f>IF(ISBLANK('Data Entry'!$Ğ$166), "", 'Data Entry'!$Ğ$166)</f>
      </c>
      <c r="HO166">
        <f>IF(ISBLANK('Data Entry'!$ğ$166), "", 'Data Entry'!$ğ$166)</f>
      </c>
      <c r="HP166">
        <f>IF(ISBLANK('Data Entry'!$Ġ$166), "", 'Data Entry'!$Ġ$166)</f>
      </c>
      <c r="HQ166">
        <f>IF(ISBLANK('Data Entry'!$ġ$166), "", 'Data Entry'!$ġ$166)</f>
      </c>
      <c r="HR166">
        <f>IF(ISBLANK('Data Entry'!$Ģ$166), "", 'Data Entry'!$Ģ$166)</f>
      </c>
      <c r="HS166">
        <f>IF(ISBLANK('Data Entry'!$ģ$166), "", 'Data Entry'!$ģ$166)</f>
      </c>
      <c r="HT166">
        <f>IF(ISBLANK('Data Entry'!$Ĥ$166), "", 'Data Entry'!$Ĥ$166)</f>
      </c>
      <c r="HU166">
        <f>IF(ISBLANK('Data Entry'!$ĥ$166), "", 'Data Entry'!$ĥ$166)</f>
      </c>
      <c r="HV166">
        <f>IF(ISBLANK('Data Entry'!$Ħ$166), "", 'Data Entry'!$Ħ$166)</f>
      </c>
      <c r="HW166">
        <f>IF(ISBLANK('Data Entry'!$ħ$166), "", 'Data Entry'!$ħ$166)</f>
      </c>
      <c r="HX166">
        <f>IF(ISBLANK('Data Entry'!$Ĩ$166), "", 'Data Entry'!$Ĩ$166)</f>
      </c>
      <c r="HY166">
        <f>IF(ISBLANK('Data Entry'!$ĩ$166), "", 'Data Entry'!$ĩ$166)</f>
      </c>
      <c r="HZ166">
        <f>IF(ISBLANK('Data Entry'!$Ī$166), "", 'Data Entry'!$Ī$166)</f>
      </c>
      <c r="IA166">
        <f>IF(ISBLANK('Data Entry'!$ī$166), "", 'Data Entry'!$ī$166)</f>
      </c>
      <c r="IB166">
        <f>IF(ISBLANK('Data Entry'!$Ĭ$166), "", 'Data Entry'!$Ĭ$166)</f>
      </c>
      <c r="IC166">
        <f>IF(ISBLANK('Data Entry'!$ĭ$166), "", 'Data Entry'!$ĭ$166)</f>
      </c>
      <c r="ID166">
        <f>IF(ISBLANK('Data Entry'!$Į$166), "", 'Data Entry'!$Į$166)</f>
      </c>
      <c r="IE166">
        <f>IF(ISBLANK('Data Entry'!$į$166), "", 'Data Entry'!$į$166)</f>
      </c>
      <c r="IF166">
        <f>IF(ISBLANK('Data Entry'!$İ$166), "", 'Data Entry'!$İ$166)</f>
      </c>
      <c r="IG166">
        <f>IF(ISBLANK('Data Entry'!$ı$166), "", 'Data Entry'!$ı$166)</f>
      </c>
      <c r="IH166">
        <f>IF(ISBLANK('Data Entry'!$Ĳ$166), "", 'Data Entry'!$Ĳ$166)</f>
      </c>
      <c r="II166">
        <f>IF(ISBLANK('Data Entry'!$ĳ$166), "", 'Data Entry'!$ĳ$166)</f>
      </c>
      <c r="IJ166">
        <f>IF(ISBLANK('Data Entry'!$Ĵ$166), "", 'Data Entry'!$Ĵ$166)</f>
      </c>
      <c r="IK166">
        <f>IF(ISBLANK('Data Entry'!$ĵ$166), "", 'Data Entry'!$ĵ$166)</f>
      </c>
      <c r="IL166">
        <f>IF(ISBLANK('Data Entry'!$Ķ$166), "", 'Data Entry'!$Ķ$166)</f>
      </c>
      <c r="IM166">
        <f>IF(ISBLANK('Data Entry'!$ķ$166), "", 'Data Entry'!$ķ$166)</f>
      </c>
      <c r="IN166">
        <f>IF(ISBLANK('Data Entry'!$ĸ$166), "", 'Data Entry'!$ĸ$166)</f>
      </c>
      <c r="IO166">
        <f>IF(ISBLANK('Data Entry'!$Ĺ$166), "", 'Data Entry'!$Ĺ$166)</f>
      </c>
      <c r="IP166">
        <f>IF(ISBLANK('Data Entry'!$ĺ$166), "", 'Data Entry'!$ĺ$166)</f>
      </c>
      <c r="IQ166">
        <f>IF(ISBLANK('Data Entry'!$Ļ$166), "", 'Data Entry'!$Ļ$166)</f>
      </c>
      <c r="IR166">
        <f>IF(ISBLANK('Data Entry'!$ļ$166), "", 'Data Entry'!$ļ$166)</f>
      </c>
      <c r="IS166">
        <f>IF(ISBLANK('Data Entry'!$Ľ$166), "", 'Data Entry'!$Ľ$166)</f>
      </c>
      <c r="IT166">
        <f>IF(ISBLANK('Data Entry'!$ľ$166), "", 'Data Entry'!$ľ$166)</f>
      </c>
    </row>
    <row r="167" spans="1:254" x14ac:dyDescent="0.25">
      <c r="A167">
        <f>IF(ISBLANK('Data Entry'!$A$167), "", 'Data Entry'!$A$167)</f>
      </c>
      <c r="B167">
        <f>IF(ISBLANK('Data Entry'!$B$167), "", 'Data Entry'!$B$167)</f>
      </c>
      <c r="C167">
        <f>IF(ISBLANK('Data Entry'!$C$167), "", 'Data Entry'!$C$167)</f>
      </c>
      <c r="D167">
        <f>IF(ISBLANK('Data Entry'!$D$167), "", 'Data Entry'!$D$167)</f>
      </c>
      <c r="E167">
        <f>IF(ISBLANK('Data Entry'!$E$167), "", 'Data Entry'!$E$167)</f>
      </c>
      <c r="F167">
        <f>IF(ISBLANK('Data Entry'!$F$167), "", 'Data Entry'!$F$167)</f>
      </c>
      <c r="G167">
        <f>IF(ISBLANK('Data Entry'!$G$167), "", 'Data Entry'!$G$167)</f>
      </c>
      <c r="H167">
        <f>IF(ISBLANK('Data Entry'!$H$167), "", 'Data Entry'!$H$167)</f>
      </c>
      <c r="I167">
        <f>IF(ISBLANK('Data Entry'!$I$167), "", 'Data Entry'!$I$167)</f>
      </c>
      <c r="J167">
        <f>IF(ISBLANK('Data Entry'!$J$167), "", 'Data Entry'!$J$167)</f>
      </c>
      <c r="K167">
        <f>IF(ISBLANK('Data Entry'!$K$167), "", 'Data Entry'!$K$167)</f>
      </c>
      <c r="L167">
        <f>IF(ISBLANK('Data Entry'!$L$167), "", 'Data Entry'!$L$167)</f>
      </c>
      <c r="M167">
        <f>IF(ISBLANK('Data Entry'!$M$167), "", 'Data Entry'!$M$167)</f>
      </c>
      <c r="N167">
        <f>IF(ISBLANK('Data Entry'!$N$167), "", 'Data Entry'!$N$167)</f>
      </c>
      <c r="O167">
        <f>IF(ISBLANK('Data Entry'!$O$167), "", 'Data Entry'!$O$167)</f>
      </c>
      <c r="P167">
        <f>IF(ISBLANK('Data Entry'!$P$167), "", 'Data Entry'!$P$167)</f>
      </c>
      <c r="Q167">
        <f>IF(ISBLANK('Data Entry'!$Q$167), "", 'Data Entry'!$Q$167)</f>
      </c>
      <c r="R167">
        <f>IF(ISBLANK('Data Entry'!$R$167), "", 'Data Entry'!$R$167)</f>
      </c>
      <c r="S167">
        <f>IF(ISBLANK('Data Entry'!$S$167), "", 'Data Entry'!$S$167)</f>
      </c>
      <c r="T167">
        <f>IF(ISBLANK('Data Entry'!$T$167), "", 'Data Entry'!$T$167)</f>
      </c>
      <c r="U167">
        <f>IF(ISBLANK('Data Entry'!$U$167), "", 'Data Entry'!$U$167)</f>
      </c>
      <c r="V167">
        <f>IF(ISBLANK('Data Entry'!$V$167), "", 'Data Entry'!$V$167)</f>
      </c>
      <c r="W167">
        <f>IF(ISBLANK('Data Entry'!$W$167), "", 'Data Entry'!$W$167)</f>
      </c>
      <c r="X167">
        <f>IF(ISBLANK('Data Entry'!$X$167), "", 'Data Entry'!$X$167)</f>
      </c>
      <c r="Y167">
        <f>IF(ISBLANK('Data Entry'!$Y$167), "", 'Data Entry'!$Y$167)</f>
      </c>
      <c r="Z167">
        <f>IF(ISBLANK('Data Entry'!$Z$167), "", 'Data Entry'!$Z$167)</f>
      </c>
      <c r="AA167">
        <f>IF(ISBLANK('Data Entry'!$[$167), "", 'Data Entry'!$[$167)</f>
      </c>
      <c r="AB167">
        <f>IF(ISBLANK('Data Entry'!$\$167), "", 'Data Entry'!$\$167)</f>
      </c>
      <c r="AC167">
        <f>IF(ISBLANK('Data Entry'!$]$167), "", 'Data Entry'!$]$167)</f>
      </c>
      <c r="AD167">
        <f>IF(ISBLANK('Data Entry'!$^$167), "", 'Data Entry'!$^$167)</f>
      </c>
      <c r="AE167">
        <f>IF(ISBLANK('Data Entry'!$_$167), "", 'Data Entry'!$_$167)</f>
      </c>
      <c r="AF167">
        <f>IF(ISBLANK('Data Entry'!$`$167), "", 'Data Entry'!$`$167)</f>
      </c>
      <c r="AG167">
        <f>IF(ISBLANK('Data Entry'!$a$167), "", 'Data Entry'!$a$167)</f>
      </c>
      <c r="AH167">
        <f>IF(ISBLANK('Data Entry'!$b$167), "", 'Data Entry'!$b$167)</f>
      </c>
      <c r="AI167">
        <f>IF(ISBLANK('Data Entry'!$c$167), "", 'Data Entry'!$c$167)</f>
      </c>
      <c r="AJ167">
        <f>IF(ISBLANK('Data Entry'!$d$167), "", 'Data Entry'!$d$167)</f>
      </c>
      <c r="AK167">
        <f>IF(ISBLANK('Data Entry'!$e$167), "", 'Data Entry'!$e$167)</f>
      </c>
      <c r="AL167">
        <f>IF(ISBLANK('Data Entry'!$f$167), "", 'Data Entry'!$f$167)</f>
      </c>
      <c r="AM167">
        <f>IF(ISBLANK('Data Entry'!$g$167), "", 'Data Entry'!$g$167)</f>
      </c>
      <c r="AN167">
        <f>IF(ISBLANK('Data Entry'!$h$167), "", 'Data Entry'!$h$167)</f>
      </c>
      <c r="AO167">
        <f>IF(ISBLANK('Data Entry'!$i$167), "", 'Data Entry'!$i$167)</f>
      </c>
      <c r="AP167">
        <f>IF(ISBLANK('Data Entry'!$j$167), "", 'Data Entry'!$j$167)</f>
      </c>
      <c r="AQ167">
        <f>IF(ISBLANK('Data Entry'!$k$167), "", 'Data Entry'!$k$167)</f>
      </c>
      <c r="AR167">
        <f>IF(ISBLANK('Data Entry'!$l$167), "", 'Data Entry'!$l$167)</f>
      </c>
      <c r="AS167">
        <f>IF(ISBLANK('Data Entry'!$m$167), "", 'Data Entry'!$m$167)</f>
      </c>
      <c r="AT167">
        <f>IF(ISBLANK('Data Entry'!$n$167), "", 'Data Entry'!$n$167)</f>
      </c>
      <c r="AU167">
        <f>IF(ISBLANK('Data Entry'!$o$167), "", 'Data Entry'!$o$167)</f>
      </c>
      <c r="AV167">
        <f>IF(ISBLANK('Data Entry'!$p$167), "", 'Data Entry'!$p$167)</f>
      </c>
      <c r="AW167">
        <f>IF(ISBLANK('Data Entry'!$q$167), "", 'Data Entry'!$q$167)</f>
      </c>
      <c r="AX167">
        <f>IF(ISBLANK('Data Entry'!$r$167), "", 'Data Entry'!$r$167)</f>
      </c>
      <c r="AY167">
        <f>IF(ISBLANK('Data Entry'!$s$167), "", 'Data Entry'!$s$167)</f>
      </c>
      <c r="AZ167">
        <f>IF(ISBLANK('Data Entry'!$t$167), "", 'Data Entry'!$t$167)</f>
      </c>
      <c r="BA167">
        <f>IF(ISBLANK('Data Entry'!$u$167), "", 'Data Entry'!$u$167)</f>
      </c>
      <c r="BB167">
        <f>IF(ISBLANK('Data Entry'!$v$167), "", 'Data Entry'!$v$167)</f>
      </c>
      <c r="BC167">
        <f>IF(ISBLANK('Data Entry'!$w$167), "", 'Data Entry'!$w$167)</f>
      </c>
      <c r="BD167">
        <f>IF(ISBLANK('Data Entry'!$x$167), "", 'Data Entry'!$x$167)</f>
      </c>
      <c r="BE167">
        <f>IF(ISBLANK('Data Entry'!$y$167), "", 'Data Entry'!$y$167)</f>
      </c>
      <c r="BF167">
        <f>IF(ISBLANK('Data Entry'!$z$167), "", 'Data Entry'!$z$167)</f>
      </c>
      <c r="BG167">
        <f>IF(ISBLANK('Data Entry'!${$167), "", 'Data Entry'!${$167)</f>
      </c>
      <c r="BH167">
        <f>IF(ISBLANK('Data Entry'!$|$167), "", 'Data Entry'!$|$167)</f>
      </c>
      <c r="BI167">
        <f>IF(ISBLANK('Data Entry'!$}$167), "", 'Data Entry'!$}$167)</f>
      </c>
      <c r="BJ167">
        <f>IF(ISBLANK('Data Entry'!$~$167), "", 'Data Entry'!$~$167)</f>
      </c>
      <c r="BK167">
        <f>IF(ISBLANK('Data Entry'!$$167), "", 'Data Entry'!$$167)</f>
      </c>
      <c r="BL167">
        <f>IF(ISBLANK('Data Entry'!$$167), "", 'Data Entry'!$$167)</f>
      </c>
      <c r="BM167">
        <f>IF(ISBLANK('Data Entry'!$$167), "", 'Data Entry'!$$167)</f>
      </c>
      <c r="BN167">
        <f>IF(ISBLANK('Data Entry'!$$167), "", 'Data Entry'!$$167)</f>
      </c>
      <c r="BO167">
        <f>IF(ISBLANK('Data Entry'!$$167), "", 'Data Entry'!$$167)</f>
      </c>
      <c r="BP167">
        <f>IF(ISBLANK('Data Entry'!$$167), "", 'Data Entry'!$$167)</f>
      </c>
      <c r="BQ167">
        <f>IF(ISBLANK('Data Entry'!$$167), "", 'Data Entry'!$$167)</f>
      </c>
      <c r="BR167">
        <f>IF(ISBLANK('Data Entry'!$$167), "", 'Data Entry'!$$167)</f>
      </c>
      <c r="BS167">
        <f>IF(ISBLANK('Data Entry'!$$167), "", 'Data Entry'!$$167)</f>
      </c>
      <c r="BT167">
        <f>IF(ISBLANK('Data Entry'!$$167), "", 'Data Entry'!$$167)</f>
      </c>
      <c r="BU167">
        <f>IF(ISBLANK('Data Entry'!$$167), "", 'Data Entry'!$$167)</f>
      </c>
      <c r="BV167">
        <f>IF(ISBLANK('Data Entry'!$$167), "", 'Data Entry'!$$167)</f>
      </c>
      <c r="BW167">
        <f>IF(ISBLANK('Data Entry'!$$167), "", 'Data Entry'!$$167)</f>
      </c>
      <c r="BX167">
        <f>IF(ISBLANK('Data Entry'!$$167), "", 'Data Entry'!$$167)</f>
      </c>
      <c r="BY167">
        <f>IF(ISBLANK('Data Entry'!$$167), "", 'Data Entry'!$$167)</f>
      </c>
      <c r="BZ167">
        <f>IF(ISBLANK('Data Entry'!$$167), "", 'Data Entry'!$$167)</f>
      </c>
      <c r="CA167">
        <f>IF(ISBLANK('Data Entry'!$$167), "", 'Data Entry'!$$167)</f>
      </c>
      <c r="CB167">
        <f>IF(ISBLANK('Data Entry'!$$167), "", 'Data Entry'!$$167)</f>
      </c>
      <c r="CC167">
        <f>IF(ISBLANK('Data Entry'!$$167), "", 'Data Entry'!$$167)</f>
      </c>
      <c r="CD167">
        <f>IF(ISBLANK('Data Entry'!$$167), "", 'Data Entry'!$$167)</f>
      </c>
      <c r="CE167">
        <f>IF(ISBLANK('Data Entry'!$$167), "", 'Data Entry'!$$167)</f>
      </c>
      <c r="CF167">
        <f>IF(ISBLANK('Data Entry'!$$167), "", 'Data Entry'!$$167)</f>
      </c>
      <c r="CG167">
        <f>IF(ISBLANK('Data Entry'!$$167), "", 'Data Entry'!$$167)</f>
      </c>
      <c r="CH167">
        <f>IF(ISBLANK('Data Entry'!$$167), "", 'Data Entry'!$$167)</f>
      </c>
      <c r="CI167">
        <f>IF(ISBLANK('Data Entry'!$$167), "", 'Data Entry'!$$167)</f>
      </c>
      <c r="CJ167">
        <f>IF(ISBLANK('Data Entry'!$$167), "", 'Data Entry'!$$167)</f>
      </c>
      <c r="CK167">
        <f>IF(ISBLANK('Data Entry'!$$167), "", 'Data Entry'!$$167)</f>
      </c>
      <c r="CL167">
        <f>IF(ISBLANK('Data Entry'!$$167), "", 'Data Entry'!$$167)</f>
      </c>
      <c r="CM167">
        <f>IF(ISBLANK('Data Entry'!$$167), "", 'Data Entry'!$$167)</f>
      </c>
      <c r="CN167">
        <f>IF(ISBLANK('Data Entry'!$$167), "", 'Data Entry'!$$167)</f>
      </c>
      <c r="CO167">
        <f>IF(ISBLANK('Data Entry'!$$167), "", 'Data Entry'!$$167)</f>
      </c>
      <c r="CP167">
        <f>IF(ISBLANK('Data Entry'!$$167), "", 'Data Entry'!$$167)</f>
      </c>
      <c r="CQ167">
        <f>IF(ISBLANK('Data Entry'!$$167), "", 'Data Entry'!$$167)</f>
      </c>
      <c r="CR167">
        <f>IF(ISBLANK('Data Entry'!$ $167), "", 'Data Entry'!$ $167)</f>
      </c>
      <c r="CS167">
        <f>IF(ISBLANK('Data Entry'!$¡$167), "", 'Data Entry'!$¡$167)</f>
      </c>
      <c r="CT167">
        <f>IF(ISBLANK('Data Entry'!$¢$167), "", 'Data Entry'!$¢$167)</f>
      </c>
      <c r="CU167">
        <f>IF(ISBLANK('Data Entry'!$£$167), "", 'Data Entry'!$£$167)</f>
      </c>
      <c r="CV167">
        <f>IF(ISBLANK('Data Entry'!$¤$167), "", 'Data Entry'!$¤$167)</f>
      </c>
      <c r="CW167">
        <f>IF(ISBLANK('Data Entry'!$¥$167), "", 'Data Entry'!$¥$167)</f>
      </c>
      <c r="CX167">
        <f>IF(ISBLANK('Data Entry'!$¦$167), "", 'Data Entry'!$¦$167)</f>
      </c>
      <c r="CY167">
        <f>IF(ISBLANK('Data Entry'!$§$167), "", 'Data Entry'!$§$167)</f>
      </c>
      <c r="CZ167">
        <f>IF(ISBLANK('Data Entry'!$¨$167), "", 'Data Entry'!$¨$167)</f>
      </c>
      <c r="DA167">
        <f>IF(ISBLANK('Data Entry'!$©$167), "", 'Data Entry'!$©$167)</f>
      </c>
      <c r="DB167">
        <f>IF(ISBLANK('Data Entry'!$ª$167), "", 'Data Entry'!$ª$167)</f>
      </c>
      <c r="DC167">
        <f>IF(ISBLANK('Data Entry'!$«$167), "", 'Data Entry'!$«$167)</f>
      </c>
      <c r="DD167">
        <f>IF(ISBLANK('Data Entry'!$¬$167), "", 'Data Entry'!$¬$167)</f>
      </c>
      <c r="DE167">
        <f>IF(ISBLANK('Data Entry'!$­$167), "", 'Data Entry'!$­$167)</f>
      </c>
      <c r="DF167">
        <f>IF(ISBLANK('Data Entry'!$®$167), "", 'Data Entry'!$®$167)</f>
      </c>
      <c r="DG167">
        <f>IF(ISBLANK('Data Entry'!$¯$167), "", 'Data Entry'!$¯$167)</f>
      </c>
      <c r="DH167">
        <f>IF(ISBLANK('Data Entry'!$°$167), "", 'Data Entry'!$°$167)</f>
      </c>
      <c r="DI167">
        <f>IF(ISBLANK('Data Entry'!$±$167), "", 'Data Entry'!$±$167)</f>
      </c>
      <c r="DJ167">
        <f>IF(ISBLANK('Data Entry'!$²$167), "", 'Data Entry'!$²$167)</f>
      </c>
      <c r="DK167">
        <f>IF(ISBLANK('Data Entry'!$³$167), "", 'Data Entry'!$³$167)</f>
      </c>
      <c r="DL167">
        <f>IF(ISBLANK('Data Entry'!$´$167), "", 'Data Entry'!$´$167)</f>
      </c>
      <c r="DM167">
        <f>IF(ISBLANK('Data Entry'!$µ$167), "", 'Data Entry'!$µ$167)</f>
      </c>
      <c r="DN167">
        <f>IF(ISBLANK('Data Entry'!$¶$167), "", 'Data Entry'!$¶$167)</f>
      </c>
      <c r="DO167">
        <f>IF(ISBLANK('Data Entry'!$·$167), "", 'Data Entry'!$·$167)</f>
      </c>
      <c r="DP167">
        <f>IF(ISBLANK('Data Entry'!$¸$167), "", 'Data Entry'!$¸$167)</f>
      </c>
      <c r="DQ167">
        <f>IF(ISBLANK('Data Entry'!$¹$167), "", 'Data Entry'!$¹$167)</f>
      </c>
      <c r="DR167">
        <f>IF(ISBLANK('Data Entry'!$º$167), "", 'Data Entry'!$º$167)</f>
      </c>
      <c r="DS167">
        <f>IF(ISBLANK('Data Entry'!$»$167), "", 'Data Entry'!$»$167)</f>
      </c>
      <c r="DT167">
        <f>IF(ISBLANK('Data Entry'!$¼$167), "", 'Data Entry'!$¼$167)</f>
      </c>
      <c r="DU167">
        <f>IF(ISBLANK('Data Entry'!$½$167), "", 'Data Entry'!$½$167)</f>
      </c>
      <c r="DV167">
        <f>IF(ISBLANK('Data Entry'!$¾$167), "", 'Data Entry'!$¾$167)</f>
      </c>
      <c r="DW167">
        <f>IF(ISBLANK('Data Entry'!$¿$167), "", 'Data Entry'!$¿$167)</f>
      </c>
      <c r="DX167">
        <f>IF(ISBLANK('Data Entry'!$À$167), "", 'Data Entry'!$À$167)</f>
      </c>
      <c r="DY167">
        <f>IF(ISBLANK('Data Entry'!$Á$167), "", 'Data Entry'!$Á$167)</f>
      </c>
      <c r="DZ167">
        <f>IF(ISBLANK('Data Entry'!$Â$167), "", 'Data Entry'!$Â$167)</f>
      </c>
      <c r="EA167">
        <f>IF(ISBLANK('Data Entry'!$Ã$167), "", 'Data Entry'!$Ã$167)</f>
      </c>
      <c r="EB167">
        <f>IF(ISBLANK('Data Entry'!$Ä$167), "", 'Data Entry'!$Ä$167)</f>
      </c>
      <c r="EC167">
        <f>IF(ISBLANK('Data Entry'!$Å$167), "", 'Data Entry'!$Å$167)</f>
      </c>
      <c r="ED167">
        <f>IF(ISBLANK('Data Entry'!$Æ$167), "", 'Data Entry'!$Æ$167)</f>
      </c>
      <c r="EE167">
        <f>IF(ISBLANK('Data Entry'!$Ç$167), "", 'Data Entry'!$Ç$167)</f>
      </c>
      <c r="EF167">
        <f>IF(ISBLANK('Data Entry'!$È$167), "", 'Data Entry'!$È$167)</f>
      </c>
      <c r="EG167">
        <f>IF(ISBLANK('Data Entry'!$É$167), "", 'Data Entry'!$É$167)</f>
      </c>
      <c r="EH167">
        <f>IF(ISBLANK('Data Entry'!$Ê$167), "", 'Data Entry'!$Ê$167)</f>
      </c>
      <c r="EI167">
        <f>IF(ISBLANK('Data Entry'!$Ë$167), "", 'Data Entry'!$Ë$167)</f>
      </c>
      <c r="EJ167">
        <f>IF(ISBLANK('Data Entry'!$Ì$167), "", 'Data Entry'!$Ì$167)</f>
      </c>
      <c r="EK167">
        <f>IF(ISBLANK('Data Entry'!$Í$167), "", 'Data Entry'!$Í$167)</f>
      </c>
      <c r="EL167">
        <f>IF(ISBLANK('Data Entry'!$Î$167), "", 'Data Entry'!$Î$167)</f>
      </c>
      <c r="EM167">
        <f>IF(ISBLANK('Data Entry'!$Ï$167), "", 'Data Entry'!$Ï$167)</f>
      </c>
      <c r="EN167">
        <f>IF(ISBLANK('Data Entry'!$Ð$167), "", 'Data Entry'!$Ð$167)</f>
      </c>
      <c r="EO167">
        <f>IF(ISBLANK('Data Entry'!$Ñ$167), "", 'Data Entry'!$Ñ$167)</f>
      </c>
      <c r="EP167">
        <f>IF(ISBLANK('Data Entry'!$Ò$167), "", 'Data Entry'!$Ò$167)</f>
      </c>
      <c r="EQ167">
        <f>IF(ISBLANK('Data Entry'!$Ó$167), "", 'Data Entry'!$Ó$167)</f>
      </c>
      <c r="ER167">
        <f>IF(ISBLANK('Data Entry'!$Ô$167), "", 'Data Entry'!$Ô$167)</f>
      </c>
      <c r="ES167">
        <f>IF(ISBLANK('Data Entry'!$Õ$167), "", 'Data Entry'!$Õ$167)</f>
      </c>
      <c r="ET167">
        <f>IF(ISBLANK('Data Entry'!$Ö$167), "", 'Data Entry'!$Ö$167)</f>
      </c>
      <c r="EU167">
        <f>IF(ISBLANK('Data Entry'!$×$167), "", 'Data Entry'!$×$167)</f>
      </c>
      <c r="EV167">
        <f>IF(ISBLANK('Data Entry'!$Ø$167), "", 'Data Entry'!$Ø$167)</f>
      </c>
      <c r="EW167">
        <f>IF(ISBLANK('Data Entry'!$Ù$167), "", 'Data Entry'!$Ù$167)</f>
      </c>
      <c r="EX167">
        <f>IF(ISBLANK('Data Entry'!$Ú$167), "", 'Data Entry'!$Ú$167)</f>
      </c>
      <c r="EY167">
        <f>IF(ISBLANK('Data Entry'!$Û$167), "", 'Data Entry'!$Û$167)</f>
      </c>
      <c r="EZ167">
        <f>IF(ISBLANK('Data Entry'!$Ü$167), "", 'Data Entry'!$Ü$167)</f>
      </c>
      <c r="FA167">
        <f>IF(ISBLANK('Data Entry'!$Ý$167), "", 'Data Entry'!$Ý$167)</f>
      </c>
      <c r="FB167">
        <f>IF(ISBLANK('Data Entry'!$Þ$167), "", 'Data Entry'!$Þ$167)</f>
      </c>
      <c r="FC167">
        <f>IF(ISBLANK('Data Entry'!$ß$167), "", 'Data Entry'!$ß$167)</f>
      </c>
      <c r="FD167">
        <f>IF(ISBLANK('Data Entry'!$à$167), "", 'Data Entry'!$à$167)</f>
      </c>
      <c r="FE167">
        <f>IF(ISBLANK('Data Entry'!$á$167), "", 'Data Entry'!$á$167)</f>
      </c>
      <c r="FF167">
        <f>IF(ISBLANK('Data Entry'!$â$167), "", 'Data Entry'!$â$167)</f>
      </c>
      <c r="FG167">
        <f>IF(ISBLANK('Data Entry'!$ã$167), "", 'Data Entry'!$ã$167)</f>
      </c>
      <c r="FH167">
        <f>IF(ISBLANK('Data Entry'!$ä$167), "", 'Data Entry'!$ä$167)</f>
      </c>
      <c r="FI167">
        <f>IF(ISBLANK('Data Entry'!$å$167), "", 'Data Entry'!$å$167)</f>
      </c>
      <c r="FJ167">
        <f>IF(ISBLANK('Data Entry'!$æ$167), "", 'Data Entry'!$æ$167)</f>
      </c>
      <c r="FK167">
        <f>IF(ISBLANK('Data Entry'!$ç$167), "", 'Data Entry'!$ç$167)</f>
      </c>
      <c r="FL167">
        <f>IF(ISBLANK('Data Entry'!$è$167), "", 'Data Entry'!$è$167)</f>
      </c>
      <c r="FM167">
        <f>IF(ISBLANK('Data Entry'!$é$167), "", 'Data Entry'!$é$167)</f>
      </c>
      <c r="FN167">
        <f>IF(ISBLANK('Data Entry'!$ê$167), "", 'Data Entry'!$ê$167)</f>
      </c>
      <c r="FO167">
        <f>IF(ISBLANK('Data Entry'!$ë$167), "", 'Data Entry'!$ë$167)</f>
      </c>
      <c r="FP167">
        <f>IF(ISBLANK('Data Entry'!$ì$167), "", 'Data Entry'!$ì$167)</f>
      </c>
      <c r="FQ167">
        <f>IF(ISBLANK('Data Entry'!$í$167), "", 'Data Entry'!$í$167)</f>
      </c>
      <c r="FR167">
        <f>IF(ISBLANK('Data Entry'!$î$167), "", 'Data Entry'!$î$167)</f>
      </c>
      <c r="FS167">
        <f>IF(ISBLANK('Data Entry'!$ï$167), "", 'Data Entry'!$ï$167)</f>
      </c>
      <c r="FT167">
        <f>IF(ISBLANK('Data Entry'!$ð$167), "", 'Data Entry'!$ð$167)</f>
      </c>
      <c r="FU167">
        <f>IF(ISBLANK('Data Entry'!$ñ$167), "", 'Data Entry'!$ñ$167)</f>
      </c>
      <c r="FV167">
        <f>IF(ISBLANK('Data Entry'!$ò$167), "", 'Data Entry'!$ò$167)</f>
      </c>
      <c r="FW167">
        <f>IF(ISBLANK('Data Entry'!$ó$167), "", 'Data Entry'!$ó$167)</f>
      </c>
      <c r="FX167">
        <f>IF(ISBLANK('Data Entry'!$ô$167), "", 'Data Entry'!$ô$167)</f>
      </c>
      <c r="FY167">
        <f>IF(ISBLANK('Data Entry'!$õ$167), "", 'Data Entry'!$õ$167)</f>
      </c>
      <c r="FZ167">
        <f>IF(ISBLANK('Data Entry'!$ö$167), "", 'Data Entry'!$ö$167)</f>
      </c>
      <c r="GA167">
        <f>IF(ISBLANK('Data Entry'!$÷$167), "", 'Data Entry'!$÷$167)</f>
      </c>
      <c r="GB167">
        <f>IF(ISBLANK('Data Entry'!$ø$167), "", 'Data Entry'!$ø$167)</f>
      </c>
      <c r="GC167">
        <f>IF(ISBLANK('Data Entry'!$ù$167), "", 'Data Entry'!$ù$167)</f>
      </c>
      <c r="GD167">
        <f>IF(ISBLANK('Data Entry'!$ú$167), "", 'Data Entry'!$ú$167)</f>
      </c>
      <c r="GE167">
        <f>IF(ISBLANK('Data Entry'!$û$167), "", 'Data Entry'!$û$167)</f>
      </c>
      <c r="GF167">
        <f>IF(ISBLANK('Data Entry'!$ü$167), "", 'Data Entry'!$ü$167)</f>
      </c>
      <c r="GG167">
        <f>IF(ISBLANK('Data Entry'!$ý$167), "", 'Data Entry'!$ý$167)</f>
      </c>
      <c r="GH167">
        <f>IF(ISBLANK('Data Entry'!$þ$167), "", 'Data Entry'!$þ$167)</f>
      </c>
      <c r="GI167">
        <f>IF(ISBLANK('Data Entry'!$ÿ$167), "", 'Data Entry'!$ÿ$167)</f>
      </c>
      <c r="GJ167">
        <f>IF(ISBLANK('Data Entry'!$Ā$167), "", 'Data Entry'!$Ā$167)</f>
      </c>
      <c r="GK167">
        <f>IF(ISBLANK('Data Entry'!$ā$167), "", 'Data Entry'!$ā$167)</f>
      </c>
      <c r="GL167">
        <f>IF(ISBLANK('Data Entry'!$Ă$167), "", 'Data Entry'!$Ă$167)</f>
      </c>
      <c r="GM167">
        <f>IF(ISBLANK('Data Entry'!$ă$167), "", 'Data Entry'!$ă$167)</f>
      </c>
      <c r="GN167">
        <f>IF(ISBLANK('Data Entry'!$Ą$167), "", 'Data Entry'!$Ą$167)</f>
      </c>
      <c r="GO167">
        <f>IF(ISBLANK('Data Entry'!$ą$167), "", 'Data Entry'!$ą$167)</f>
      </c>
      <c r="GP167">
        <f>IF(ISBLANK('Data Entry'!$Ć$167), "", 'Data Entry'!$Ć$167)</f>
      </c>
      <c r="GQ167">
        <f>IF(ISBLANK('Data Entry'!$ć$167), "", 'Data Entry'!$ć$167)</f>
      </c>
      <c r="GR167">
        <f>IF(ISBLANK('Data Entry'!$Ĉ$167), "", 'Data Entry'!$Ĉ$167)</f>
      </c>
      <c r="GS167">
        <f>IF(ISBLANK('Data Entry'!$ĉ$167), "", 'Data Entry'!$ĉ$167)</f>
      </c>
      <c r="GT167">
        <f>IF(ISBLANK('Data Entry'!$Ċ$167), "", 'Data Entry'!$Ċ$167)</f>
      </c>
      <c r="GU167">
        <f>IF(ISBLANK('Data Entry'!$ċ$167), "", 'Data Entry'!$ċ$167)</f>
      </c>
      <c r="GV167">
        <f>IF(ISBLANK('Data Entry'!$Č$167), "", 'Data Entry'!$Č$167)</f>
      </c>
      <c r="GW167">
        <f>IF(ISBLANK('Data Entry'!$č$167), "", 'Data Entry'!$č$167)</f>
      </c>
      <c r="GX167">
        <f>IF(ISBLANK('Data Entry'!$Ď$167), "", 'Data Entry'!$Ď$167)</f>
      </c>
      <c r="GY167">
        <f>IF(ISBLANK('Data Entry'!$ď$167), "", 'Data Entry'!$ď$167)</f>
      </c>
      <c r="GZ167">
        <f>IF(ISBLANK('Data Entry'!$Đ$167), "", 'Data Entry'!$Đ$167)</f>
      </c>
      <c r="HA167">
        <f>IF(ISBLANK('Data Entry'!$đ$167), "", 'Data Entry'!$đ$167)</f>
      </c>
      <c r="HB167">
        <f>IF(ISBLANK('Data Entry'!$Ē$167), "", 'Data Entry'!$Ē$167)</f>
      </c>
      <c r="HC167">
        <f>IF(ISBLANK('Data Entry'!$ē$167), "", 'Data Entry'!$ē$167)</f>
      </c>
      <c r="HD167">
        <f>IF(ISBLANK('Data Entry'!$Ĕ$167), "", 'Data Entry'!$Ĕ$167)</f>
      </c>
      <c r="HE167">
        <f>IF(ISBLANK('Data Entry'!$ĕ$167), "", 'Data Entry'!$ĕ$167)</f>
      </c>
      <c r="HF167">
        <f>IF(ISBLANK('Data Entry'!$Ė$167), "", 'Data Entry'!$Ė$167)</f>
      </c>
      <c r="HG167">
        <f>IF(ISBLANK('Data Entry'!$ė$167), "", 'Data Entry'!$ė$167)</f>
      </c>
      <c r="HH167">
        <f>IF(ISBLANK('Data Entry'!$Ę$167), "", 'Data Entry'!$Ę$167)</f>
      </c>
      <c r="HI167">
        <f>IF(ISBLANK('Data Entry'!$ę$167), "", 'Data Entry'!$ę$167)</f>
      </c>
      <c r="HJ167">
        <f>IF(ISBLANK('Data Entry'!$Ě$167), "", 'Data Entry'!$Ě$167)</f>
      </c>
      <c r="HK167">
        <f>IF(ISBLANK('Data Entry'!$ě$167), "", 'Data Entry'!$ě$167)</f>
      </c>
      <c r="HL167">
        <f>IF(ISBLANK('Data Entry'!$Ĝ$167), "", 'Data Entry'!$Ĝ$167)</f>
      </c>
      <c r="HM167">
        <f>IF(ISBLANK('Data Entry'!$ĝ$167), "", 'Data Entry'!$ĝ$167)</f>
      </c>
      <c r="HN167">
        <f>IF(ISBLANK('Data Entry'!$Ğ$167), "", 'Data Entry'!$Ğ$167)</f>
      </c>
      <c r="HO167">
        <f>IF(ISBLANK('Data Entry'!$ğ$167), "", 'Data Entry'!$ğ$167)</f>
      </c>
      <c r="HP167">
        <f>IF(ISBLANK('Data Entry'!$Ġ$167), "", 'Data Entry'!$Ġ$167)</f>
      </c>
      <c r="HQ167">
        <f>IF(ISBLANK('Data Entry'!$ġ$167), "", 'Data Entry'!$ġ$167)</f>
      </c>
      <c r="HR167">
        <f>IF(ISBLANK('Data Entry'!$Ģ$167), "", 'Data Entry'!$Ģ$167)</f>
      </c>
      <c r="HS167">
        <f>IF(ISBLANK('Data Entry'!$ģ$167), "", 'Data Entry'!$ģ$167)</f>
      </c>
      <c r="HT167">
        <f>IF(ISBLANK('Data Entry'!$Ĥ$167), "", 'Data Entry'!$Ĥ$167)</f>
      </c>
      <c r="HU167">
        <f>IF(ISBLANK('Data Entry'!$ĥ$167), "", 'Data Entry'!$ĥ$167)</f>
      </c>
      <c r="HV167">
        <f>IF(ISBLANK('Data Entry'!$Ħ$167), "", 'Data Entry'!$Ħ$167)</f>
      </c>
      <c r="HW167">
        <f>IF(ISBLANK('Data Entry'!$ħ$167), "", 'Data Entry'!$ħ$167)</f>
      </c>
      <c r="HX167">
        <f>IF(ISBLANK('Data Entry'!$Ĩ$167), "", 'Data Entry'!$Ĩ$167)</f>
      </c>
      <c r="HY167">
        <f>IF(ISBLANK('Data Entry'!$ĩ$167), "", 'Data Entry'!$ĩ$167)</f>
      </c>
      <c r="HZ167">
        <f>IF(ISBLANK('Data Entry'!$Ī$167), "", 'Data Entry'!$Ī$167)</f>
      </c>
      <c r="IA167">
        <f>IF(ISBLANK('Data Entry'!$ī$167), "", 'Data Entry'!$ī$167)</f>
      </c>
      <c r="IB167">
        <f>IF(ISBLANK('Data Entry'!$Ĭ$167), "", 'Data Entry'!$Ĭ$167)</f>
      </c>
      <c r="IC167">
        <f>IF(ISBLANK('Data Entry'!$ĭ$167), "", 'Data Entry'!$ĭ$167)</f>
      </c>
      <c r="ID167">
        <f>IF(ISBLANK('Data Entry'!$Į$167), "", 'Data Entry'!$Į$167)</f>
      </c>
      <c r="IE167">
        <f>IF(ISBLANK('Data Entry'!$į$167), "", 'Data Entry'!$į$167)</f>
      </c>
      <c r="IF167">
        <f>IF(ISBLANK('Data Entry'!$İ$167), "", 'Data Entry'!$İ$167)</f>
      </c>
      <c r="IG167">
        <f>IF(ISBLANK('Data Entry'!$ı$167), "", 'Data Entry'!$ı$167)</f>
      </c>
      <c r="IH167">
        <f>IF(ISBLANK('Data Entry'!$Ĳ$167), "", 'Data Entry'!$Ĳ$167)</f>
      </c>
      <c r="II167">
        <f>IF(ISBLANK('Data Entry'!$ĳ$167), "", 'Data Entry'!$ĳ$167)</f>
      </c>
      <c r="IJ167">
        <f>IF(ISBLANK('Data Entry'!$Ĵ$167), "", 'Data Entry'!$Ĵ$167)</f>
      </c>
      <c r="IK167">
        <f>IF(ISBLANK('Data Entry'!$ĵ$167), "", 'Data Entry'!$ĵ$167)</f>
      </c>
      <c r="IL167">
        <f>IF(ISBLANK('Data Entry'!$Ķ$167), "", 'Data Entry'!$Ķ$167)</f>
      </c>
      <c r="IM167">
        <f>IF(ISBLANK('Data Entry'!$ķ$167), "", 'Data Entry'!$ķ$167)</f>
      </c>
      <c r="IN167">
        <f>IF(ISBLANK('Data Entry'!$ĸ$167), "", 'Data Entry'!$ĸ$167)</f>
      </c>
      <c r="IO167">
        <f>IF(ISBLANK('Data Entry'!$Ĺ$167), "", 'Data Entry'!$Ĺ$167)</f>
      </c>
      <c r="IP167">
        <f>IF(ISBLANK('Data Entry'!$ĺ$167), "", 'Data Entry'!$ĺ$167)</f>
      </c>
      <c r="IQ167">
        <f>IF(ISBLANK('Data Entry'!$Ļ$167), "", 'Data Entry'!$Ļ$167)</f>
      </c>
      <c r="IR167">
        <f>IF(ISBLANK('Data Entry'!$ļ$167), "", 'Data Entry'!$ļ$167)</f>
      </c>
      <c r="IS167">
        <f>IF(ISBLANK('Data Entry'!$Ľ$167), "", 'Data Entry'!$Ľ$167)</f>
      </c>
      <c r="IT167">
        <f>IF(ISBLANK('Data Entry'!$ľ$167), "", 'Data Entry'!$ľ$167)</f>
      </c>
    </row>
    <row r="168" spans="1:254" x14ac:dyDescent="0.25">
      <c r="A168">
        <f>IF(ISBLANK('Data Entry'!$A$168), "", 'Data Entry'!$A$168)</f>
      </c>
      <c r="B168">
        <f>IF(ISBLANK('Data Entry'!$B$168), "", 'Data Entry'!$B$168)</f>
      </c>
      <c r="C168">
        <f>IF(ISBLANK('Data Entry'!$C$168), "", 'Data Entry'!$C$168)</f>
      </c>
      <c r="D168">
        <f>IF(ISBLANK('Data Entry'!$D$168), "", 'Data Entry'!$D$168)</f>
      </c>
      <c r="E168">
        <f>IF(ISBLANK('Data Entry'!$E$168), "", 'Data Entry'!$E$168)</f>
      </c>
      <c r="F168">
        <f>IF(ISBLANK('Data Entry'!$F$168), "", 'Data Entry'!$F$168)</f>
      </c>
      <c r="G168">
        <f>IF(ISBLANK('Data Entry'!$G$168), "", 'Data Entry'!$G$168)</f>
      </c>
      <c r="H168">
        <f>IF(ISBLANK('Data Entry'!$H$168), "", 'Data Entry'!$H$168)</f>
      </c>
      <c r="I168">
        <f>IF(ISBLANK('Data Entry'!$I$168), "", 'Data Entry'!$I$168)</f>
      </c>
      <c r="J168">
        <f>IF(ISBLANK('Data Entry'!$J$168), "", 'Data Entry'!$J$168)</f>
      </c>
      <c r="K168">
        <f>IF(ISBLANK('Data Entry'!$K$168), "", 'Data Entry'!$K$168)</f>
      </c>
      <c r="L168">
        <f>IF(ISBLANK('Data Entry'!$L$168), "", 'Data Entry'!$L$168)</f>
      </c>
      <c r="M168">
        <f>IF(ISBLANK('Data Entry'!$M$168), "", 'Data Entry'!$M$168)</f>
      </c>
      <c r="N168">
        <f>IF(ISBLANK('Data Entry'!$N$168), "", 'Data Entry'!$N$168)</f>
      </c>
      <c r="O168">
        <f>IF(ISBLANK('Data Entry'!$O$168), "", 'Data Entry'!$O$168)</f>
      </c>
      <c r="P168">
        <f>IF(ISBLANK('Data Entry'!$P$168), "", 'Data Entry'!$P$168)</f>
      </c>
      <c r="Q168">
        <f>IF(ISBLANK('Data Entry'!$Q$168), "", 'Data Entry'!$Q$168)</f>
      </c>
      <c r="R168">
        <f>IF(ISBLANK('Data Entry'!$R$168), "", 'Data Entry'!$R$168)</f>
      </c>
      <c r="S168">
        <f>IF(ISBLANK('Data Entry'!$S$168), "", 'Data Entry'!$S$168)</f>
      </c>
      <c r="T168">
        <f>IF(ISBLANK('Data Entry'!$T$168), "", 'Data Entry'!$T$168)</f>
      </c>
      <c r="U168">
        <f>IF(ISBLANK('Data Entry'!$U$168), "", 'Data Entry'!$U$168)</f>
      </c>
      <c r="V168">
        <f>IF(ISBLANK('Data Entry'!$V$168), "", 'Data Entry'!$V$168)</f>
      </c>
      <c r="W168">
        <f>IF(ISBLANK('Data Entry'!$W$168), "", 'Data Entry'!$W$168)</f>
      </c>
      <c r="X168">
        <f>IF(ISBLANK('Data Entry'!$X$168), "", 'Data Entry'!$X$168)</f>
      </c>
      <c r="Y168">
        <f>IF(ISBLANK('Data Entry'!$Y$168), "", 'Data Entry'!$Y$168)</f>
      </c>
      <c r="Z168">
        <f>IF(ISBLANK('Data Entry'!$Z$168), "", 'Data Entry'!$Z$168)</f>
      </c>
      <c r="AA168">
        <f>IF(ISBLANK('Data Entry'!$[$168), "", 'Data Entry'!$[$168)</f>
      </c>
      <c r="AB168">
        <f>IF(ISBLANK('Data Entry'!$\$168), "", 'Data Entry'!$\$168)</f>
      </c>
      <c r="AC168">
        <f>IF(ISBLANK('Data Entry'!$]$168), "", 'Data Entry'!$]$168)</f>
      </c>
      <c r="AD168">
        <f>IF(ISBLANK('Data Entry'!$^$168), "", 'Data Entry'!$^$168)</f>
      </c>
      <c r="AE168">
        <f>IF(ISBLANK('Data Entry'!$_$168), "", 'Data Entry'!$_$168)</f>
      </c>
      <c r="AF168">
        <f>IF(ISBLANK('Data Entry'!$`$168), "", 'Data Entry'!$`$168)</f>
      </c>
      <c r="AG168">
        <f>IF(ISBLANK('Data Entry'!$a$168), "", 'Data Entry'!$a$168)</f>
      </c>
      <c r="AH168">
        <f>IF(ISBLANK('Data Entry'!$b$168), "", 'Data Entry'!$b$168)</f>
      </c>
      <c r="AI168">
        <f>IF(ISBLANK('Data Entry'!$c$168), "", 'Data Entry'!$c$168)</f>
      </c>
      <c r="AJ168">
        <f>IF(ISBLANK('Data Entry'!$d$168), "", 'Data Entry'!$d$168)</f>
      </c>
      <c r="AK168">
        <f>IF(ISBLANK('Data Entry'!$e$168), "", 'Data Entry'!$e$168)</f>
      </c>
      <c r="AL168">
        <f>IF(ISBLANK('Data Entry'!$f$168), "", 'Data Entry'!$f$168)</f>
      </c>
      <c r="AM168">
        <f>IF(ISBLANK('Data Entry'!$g$168), "", 'Data Entry'!$g$168)</f>
      </c>
      <c r="AN168">
        <f>IF(ISBLANK('Data Entry'!$h$168), "", 'Data Entry'!$h$168)</f>
      </c>
      <c r="AO168">
        <f>IF(ISBLANK('Data Entry'!$i$168), "", 'Data Entry'!$i$168)</f>
      </c>
      <c r="AP168">
        <f>IF(ISBLANK('Data Entry'!$j$168), "", 'Data Entry'!$j$168)</f>
      </c>
      <c r="AQ168">
        <f>IF(ISBLANK('Data Entry'!$k$168), "", 'Data Entry'!$k$168)</f>
      </c>
      <c r="AR168">
        <f>IF(ISBLANK('Data Entry'!$l$168), "", 'Data Entry'!$l$168)</f>
      </c>
      <c r="AS168">
        <f>IF(ISBLANK('Data Entry'!$m$168), "", 'Data Entry'!$m$168)</f>
      </c>
      <c r="AT168">
        <f>IF(ISBLANK('Data Entry'!$n$168), "", 'Data Entry'!$n$168)</f>
      </c>
      <c r="AU168">
        <f>IF(ISBLANK('Data Entry'!$o$168), "", 'Data Entry'!$o$168)</f>
      </c>
      <c r="AV168">
        <f>IF(ISBLANK('Data Entry'!$p$168), "", 'Data Entry'!$p$168)</f>
      </c>
      <c r="AW168">
        <f>IF(ISBLANK('Data Entry'!$q$168), "", 'Data Entry'!$q$168)</f>
      </c>
      <c r="AX168">
        <f>IF(ISBLANK('Data Entry'!$r$168), "", 'Data Entry'!$r$168)</f>
      </c>
      <c r="AY168">
        <f>IF(ISBLANK('Data Entry'!$s$168), "", 'Data Entry'!$s$168)</f>
      </c>
      <c r="AZ168">
        <f>IF(ISBLANK('Data Entry'!$t$168), "", 'Data Entry'!$t$168)</f>
      </c>
      <c r="BA168">
        <f>IF(ISBLANK('Data Entry'!$u$168), "", 'Data Entry'!$u$168)</f>
      </c>
      <c r="BB168">
        <f>IF(ISBLANK('Data Entry'!$v$168), "", 'Data Entry'!$v$168)</f>
      </c>
      <c r="BC168">
        <f>IF(ISBLANK('Data Entry'!$w$168), "", 'Data Entry'!$w$168)</f>
      </c>
      <c r="BD168">
        <f>IF(ISBLANK('Data Entry'!$x$168), "", 'Data Entry'!$x$168)</f>
      </c>
      <c r="BE168">
        <f>IF(ISBLANK('Data Entry'!$y$168), "", 'Data Entry'!$y$168)</f>
      </c>
      <c r="BF168">
        <f>IF(ISBLANK('Data Entry'!$z$168), "", 'Data Entry'!$z$168)</f>
      </c>
      <c r="BG168">
        <f>IF(ISBLANK('Data Entry'!${$168), "", 'Data Entry'!${$168)</f>
      </c>
      <c r="BH168">
        <f>IF(ISBLANK('Data Entry'!$|$168), "", 'Data Entry'!$|$168)</f>
      </c>
      <c r="BI168">
        <f>IF(ISBLANK('Data Entry'!$}$168), "", 'Data Entry'!$}$168)</f>
      </c>
      <c r="BJ168">
        <f>IF(ISBLANK('Data Entry'!$~$168), "", 'Data Entry'!$~$168)</f>
      </c>
      <c r="BK168">
        <f>IF(ISBLANK('Data Entry'!$$168), "", 'Data Entry'!$$168)</f>
      </c>
      <c r="BL168">
        <f>IF(ISBLANK('Data Entry'!$$168), "", 'Data Entry'!$$168)</f>
      </c>
      <c r="BM168">
        <f>IF(ISBLANK('Data Entry'!$$168), "", 'Data Entry'!$$168)</f>
      </c>
      <c r="BN168">
        <f>IF(ISBLANK('Data Entry'!$$168), "", 'Data Entry'!$$168)</f>
      </c>
      <c r="BO168">
        <f>IF(ISBLANK('Data Entry'!$$168), "", 'Data Entry'!$$168)</f>
      </c>
      <c r="BP168">
        <f>IF(ISBLANK('Data Entry'!$$168), "", 'Data Entry'!$$168)</f>
      </c>
      <c r="BQ168">
        <f>IF(ISBLANK('Data Entry'!$$168), "", 'Data Entry'!$$168)</f>
      </c>
      <c r="BR168">
        <f>IF(ISBLANK('Data Entry'!$$168), "", 'Data Entry'!$$168)</f>
      </c>
      <c r="BS168">
        <f>IF(ISBLANK('Data Entry'!$$168), "", 'Data Entry'!$$168)</f>
      </c>
      <c r="BT168">
        <f>IF(ISBLANK('Data Entry'!$$168), "", 'Data Entry'!$$168)</f>
      </c>
      <c r="BU168">
        <f>IF(ISBLANK('Data Entry'!$$168), "", 'Data Entry'!$$168)</f>
      </c>
      <c r="BV168">
        <f>IF(ISBLANK('Data Entry'!$$168), "", 'Data Entry'!$$168)</f>
      </c>
      <c r="BW168">
        <f>IF(ISBLANK('Data Entry'!$$168), "", 'Data Entry'!$$168)</f>
      </c>
      <c r="BX168">
        <f>IF(ISBLANK('Data Entry'!$$168), "", 'Data Entry'!$$168)</f>
      </c>
      <c r="BY168">
        <f>IF(ISBLANK('Data Entry'!$$168), "", 'Data Entry'!$$168)</f>
      </c>
      <c r="BZ168">
        <f>IF(ISBLANK('Data Entry'!$$168), "", 'Data Entry'!$$168)</f>
      </c>
      <c r="CA168">
        <f>IF(ISBLANK('Data Entry'!$$168), "", 'Data Entry'!$$168)</f>
      </c>
      <c r="CB168">
        <f>IF(ISBLANK('Data Entry'!$$168), "", 'Data Entry'!$$168)</f>
      </c>
      <c r="CC168">
        <f>IF(ISBLANK('Data Entry'!$$168), "", 'Data Entry'!$$168)</f>
      </c>
      <c r="CD168">
        <f>IF(ISBLANK('Data Entry'!$$168), "", 'Data Entry'!$$168)</f>
      </c>
      <c r="CE168">
        <f>IF(ISBLANK('Data Entry'!$$168), "", 'Data Entry'!$$168)</f>
      </c>
      <c r="CF168">
        <f>IF(ISBLANK('Data Entry'!$$168), "", 'Data Entry'!$$168)</f>
      </c>
      <c r="CG168">
        <f>IF(ISBLANK('Data Entry'!$$168), "", 'Data Entry'!$$168)</f>
      </c>
      <c r="CH168">
        <f>IF(ISBLANK('Data Entry'!$$168), "", 'Data Entry'!$$168)</f>
      </c>
      <c r="CI168">
        <f>IF(ISBLANK('Data Entry'!$$168), "", 'Data Entry'!$$168)</f>
      </c>
      <c r="CJ168">
        <f>IF(ISBLANK('Data Entry'!$$168), "", 'Data Entry'!$$168)</f>
      </c>
      <c r="CK168">
        <f>IF(ISBLANK('Data Entry'!$$168), "", 'Data Entry'!$$168)</f>
      </c>
      <c r="CL168">
        <f>IF(ISBLANK('Data Entry'!$$168), "", 'Data Entry'!$$168)</f>
      </c>
      <c r="CM168">
        <f>IF(ISBLANK('Data Entry'!$$168), "", 'Data Entry'!$$168)</f>
      </c>
      <c r="CN168">
        <f>IF(ISBLANK('Data Entry'!$$168), "", 'Data Entry'!$$168)</f>
      </c>
      <c r="CO168">
        <f>IF(ISBLANK('Data Entry'!$$168), "", 'Data Entry'!$$168)</f>
      </c>
      <c r="CP168">
        <f>IF(ISBLANK('Data Entry'!$$168), "", 'Data Entry'!$$168)</f>
      </c>
      <c r="CQ168">
        <f>IF(ISBLANK('Data Entry'!$$168), "", 'Data Entry'!$$168)</f>
      </c>
      <c r="CR168">
        <f>IF(ISBLANK('Data Entry'!$ $168), "", 'Data Entry'!$ $168)</f>
      </c>
      <c r="CS168">
        <f>IF(ISBLANK('Data Entry'!$¡$168), "", 'Data Entry'!$¡$168)</f>
      </c>
      <c r="CT168">
        <f>IF(ISBLANK('Data Entry'!$¢$168), "", 'Data Entry'!$¢$168)</f>
      </c>
      <c r="CU168">
        <f>IF(ISBLANK('Data Entry'!$£$168), "", 'Data Entry'!$£$168)</f>
      </c>
      <c r="CV168">
        <f>IF(ISBLANK('Data Entry'!$¤$168), "", 'Data Entry'!$¤$168)</f>
      </c>
      <c r="CW168">
        <f>IF(ISBLANK('Data Entry'!$¥$168), "", 'Data Entry'!$¥$168)</f>
      </c>
      <c r="CX168">
        <f>IF(ISBLANK('Data Entry'!$¦$168), "", 'Data Entry'!$¦$168)</f>
      </c>
      <c r="CY168">
        <f>IF(ISBLANK('Data Entry'!$§$168), "", 'Data Entry'!$§$168)</f>
      </c>
      <c r="CZ168">
        <f>IF(ISBLANK('Data Entry'!$¨$168), "", 'Data Entry'!$¨$168)</f>
      </c>
      <c r="DA168">
        <f>IF(ISBLANK('Data Entry'!$©$168), "", 'Data Entry'!$©$168)</f>
      </c>
      <c r="DB168">
        <f>IF(ISBLANK('Data Entry'!$ª$168), "", 'Data Entry'!$ª$168)</f>
      </c>
      <c r="DC168">
        <f>IF(ISBLANK('Data Entry'!$«$168), "", 'Data Entry'!$«$168)</f>
      </c>
      <c r="DD168">
        <f>IF(ISBLANK('Data Entry'!$¬$168), "", 'Data Entry'!$¬$168)</f>
      </c>
      <c r="DE168">
        <f>IF(ISBLANK('Data Entry'!$­$168), "", 'Data Entry'!$­$168)</f>
      </c>
      <c r="DF168">
        <f>IF(ISBLANK('Data Entry'!$®$168), "", 'Data Entry'!$®$168)</f>
      </c>
      <c r="DG168">
        <f>IF(ISBLANK('Data Entry'!$¯$168), "", 'Data Entry'!$¯$168)</f>
      </c>
      <c r="DH168">
        <f>IF(ISBLANK('Data Entry'!$°$168), "", 'Data Entry'!$°$168)</f>
      </c>
      <c r="DI168">
        <f>IF(ISBLANK('Data Entry'!$±$168), "", 'Data Entry'!$±$168)</f>
      </c>
      <c r="DJ168">
        <f>IF(ISBLANK('Data Entry'!$²$168), "", 'Data Entry'!$²$168)</f>
      </c>
      <c r="DK168">
        <f>IF(ISBLANK('Data Entry'!$³$168), "", 'Data Entry'!$³$168)</f>
      </c>
      <c r="DL168">
        <f>IF(ISBLANK('Data Entry'!$´$168), "", 'Data Entry'!$´$168)</f>
      </c>
      <c r="DM168">
        <f>IF(ISBLANK('Data Entry'!$µ$168), "", 'Data Entry'!$µ$168)</f>
      </c>
      <c r="DN168">
        <f>IF(ISBLANK('Data Entry'!$¶$168), "", 'Data Entry'!$¶$168)</f>
      </c>
      <c r="DO168">
        <f>IF(ISBLANK('Data Entry'!$·$168), "", 'Data Entry'!$·$168)</f>
      </c>
      <c r="DP168">
        <f>IF(ISBLANK('Data Entry'!$¸$168), "", 'Data Entry'!$¸$168)</f>
      </c>
      <c r="DQ168">
        <f>IF(ISBLANK('Data Entry'!$¹$168), "", 'Data Entry'!$¹$168)</f>
      </c>
      <c r="DR168">
        <f>IF(ISBLANK('Data Entry'!$º$168), "", 'Data Entry'!$º$168)</f>
      </c>
      <c r="DS168">
        <f>IF(ISBLANK('Data Entry'!$»$168), "", 'Data Entry'!$»$168)</f>
      </c>
      <c r="DT168">
        <f>IF(ISBLANK('Data Entry'!$¼$168), "", 'Data Entry'!$¼$168)</f>
      </c>
      <c r="DU168">
        <f>IF(ISBLANK('Data Entry'!$½$168), "", 'Data Entry'!$½$168)</f>
      </c>
      <c r="DV168">
        <f>IF(ISBLANK('Data Entry'!$¾$168), "", 'Data Entry'!$¾$168)</f>
      </c>
      <c r="DW168">
        <f>IF(ISBLANK('Data Entry'!$¿$168), "", 'Data Entry'!$¿$168)</f>
      </c>
      <c r="DX168">
        <f>IF(ISBLANK('Data Entry'!$À$168), "", 'Data Entry'!$À$168)</f>
      </c>
      <c r="DY168">
        <f>IF(ISBLANK('Data Entry'!$Á$168), "", 'Data Entry'!$Á$168)</f>
      </c>
      <c r="DZ168">
        <f>IF(ISBLANK('Data Entry'!$Â$168), "", 'Data Entry'!$Â$168)</f>
      </c>
      <c r="EA168">
        <f>IF(ISBLANK('Data Entry'!$Ã$168), "", 'Data Entry'!$Ã$168)</f>
      </c>
      <c r="EB168">
        <f>IF(ISBLANK('Data Entry'!$Ä$168), "", 'Data Entry'!$Ä$168)</f>
      </c>
      <c r="EC168">
        <f>IF(ISBLANK('Data Entry'!$Å$168), "", 'Data Entry'!$Å$168)</f>
      </c>
      <c r="ED168">
        <f>IF(ISBLANK('Data Entry'!$Æ$168), "", 'Data Entry'!$Æ$168)</f>
      </c>
      <c r="EE168">
        <f>IF(ISBLANK('Data Entry'!$Ç$168), "", 'Data Entry'!$Ç$168)</f>
      </c>
      <c r="EF168">
        <f>IF(ISBLANK('Data Entry'!$È$168), "", 'Data Entry'!$È$168)</f>
      </c>
      <c r="EG168">
        <f>IF(ISBLANK('Data Entry'!$É$168), "", 'Data Entry'!$É$168)</f>
      </c>
      <c r="EH168">
        <f>IF(ISBLANK('Data Entry'!$Ê$168), "", 'Data Entry'!$Ê$168)</f>
      </c>
      <c r="EI168">
        <f>IF(ISBLANK('Data Entry'!$Ë$168), "", 'Data Entry'!$Ë$168)</f>
      </c>
      <c r="EJ168">
        <f>IF(ISBLANK('Data Entry'!$Ì$168), "", 'Data Entry'!$Ì$168)</f>
      </c>
      <c r="EK168">
        <f>IF(ISBLANK('Data Entry'!$Í$168), "", 'Data Entry'!$Í$168)</f>
      </c>
      <c r="EL168">
        <f>IF(ISBLANK('Data Entry'!$Î$168), "", 'Data Entry'!$Î$168)</f>
      </c>
      <c r="EM168">
        <f>IF(ISBLANK('Data Entry'!$Ï$168), "", 'Data Entry'!$Ï$168)</f>
      </c>
      <c r="EN168">
        <f>IF(ISBLANK('Data Entry'!$Ð$168), "", 'Data Entry'!$Ð$168)</f>
      </c>
      <c r="EO168">
        <f>IF(ISBLANK('Data Entry'!$Ñ$168), "", 'Data Entry'!$Ñ$168)</f>
      </c>
      <c r="EP168">
        <f>IF(ISBLANK('Data Entry'!$Ò$168), "", 'Data Entry'!$Ò$168)</f>
      </c>
      <c r="EQ168">
        <f>IF(ISBLANK('Data Entry'!$Ó$168), "", 'Data Entry'!$Ó$168)</f>
      </c>
      <c r="ER168">
        <f>IF(ISBLANK('Data Entry'!$Ô$168), "", 'Data Entry'!$Ô$168)</f>
      </c>
      <c r="ES168">
        <f>IF(ISBLANK('Data Entry'!$Õ$168), "", 'Data Entry'!$Õ$168)</f>
      </c>
      <c r="ET168">
        <f>IF(ISBLANK('Data Entry'!$Ö$168), "", 'Data Entry'!$Ö$168)</f>
      </c>
      <c r="EU168">
        <f>IF(ISBLANK('Data Entry'!$×$168), "", 'Data Entry'!$×$168)</f>
      </c>
      <c r="EV168">
        <f>IF(ISBLANK('Data Entry'!$Ø$168), "", 'Data Entry'!$Ø$168)</f>
      </c>
      <c r="EW168">
        <f>IF(ISBLANK('Data Entry'!$Ù$168), "", 'Data Entry'!$Ù$168)</f>
      </c>
      <c r="EX168">
        <f>IF(ISBLANK('Data Entry'!$Ú$168), "", 'Data Entry'!$Ú$168)</f>
      </c>
      <c r="EY168">
        <f>IF(ISBLANK('Data Entry'!$Û$168), "", 'Data Entry'!$Û$168)</f>
      </c>
      <c r="EZ168">
        <f>IF(ISBLANK('Data Entry'!$Ü$168), "", 'Data Entry'!$Ü$168)</f>
      </c>
      <c r="FA168">
        <f>IF(ISBLANK('Data Entry'!$Ý$168), "", 'Data Entry'!$Ý$168)</f>
      </c>
      <c r="FB168">
        <f>IF(ISBLANK('Data Entry'!$Þ$168), "", 'Data Entry'!$Þ$168)</f>
      </c>
      <c r="FC168">
        <f>IF(ISBLANK('Data Entry'!$ß$168), "", 'Data Entry'!$ß$168)</f>
      </c>
      <c r="FD168">
        <f>IF(ISBLANK('Data Entry'!$à$168), "", 'Data Entry'!$à$168)</f>
      </c>
      <c r="FE168">
        <f>IF(ISBLANK('Data Entry'!$á$168), "", 'Data Entry'!$á$168)</f>
      </c>
      <c r="FF168">
        <f>IF(ISBLANK('Data Entry'!$â$168), "", 'Data Entry'!$â$168)</f>
      </c>
      <c r="FG168">
        <f>IF(ISBLANK('Data Entry'!$ã$168), "", 'Data Entry'!$ã$168)</f>
      </c>
      <c r="FH168">
        <f>IF(ISBLANK('Data Entry'!$ä$168), "", 'Data Entry'!$ä$168)</f>
      </c>
      <c r="FI168">
        <f>IF(ISBLANK('Data Entry'!$å$168), "", 'Data Entry'!$å$168)</f>
      </c>
      <c r="FJ168">
        <f>IF(ISBLANK('Data Entry'!$æ$168), "", 'Data Entry'!$æ$168)</f>
      </c>
      <c r="FK168">
        <f>IF(ISBLANK('Data Entry'!$ç$168), "", 'Data Entry'!$ç$168)</f>
      </c>
      <c r="FL168">
        <f>IF(ISBLANK('Data Entry'!$è$168), "", 'Data Entry'!$è$168)</f>
      </c>
      <c r="FM168">
        <f>IF(ISBLANK('Data Entry'!$é$168), "", 'Data Entry'!$é$168)</f>
      </c>
      <c r="FN168">
        <f>IF(ISBLANK('Data Entry'!$ê$168), "", 'Data Entry'!$ê$168)</f>
      </c>
      <c r="FO168">
        <f>IF(ISBLANK('Data Entry'!$ë$168), "", 'Data Entry'!$ë$168)</f>
      </c>
      <c r="FP168">
        <f>IF(ISBLANK('Data Entry'!$ì$168), "", 'Data Entry'!$ì$168)</f>
      </c>
      <c r="FQ168">
        <f>IF(ISBLANK('Data Entry'!$í$168), "", 'Data Entry'!$í$168)</f>
      </c>
      <c r="FR168">
        <f>IF(ISBLANK('Data Entry'!$î$168), "", 'Data Entry'!$î$168)</f>
      </c>
      <c r="FS168">
        <f>IF(ISBLANK('Data Entry'!$ï$168), "", 'Data Entry'!$ï$168)</f>
      </c>
      <c r="FT168">
        <f>IF(ISBLANK('Data Entry'!$ð$168), "", 'Data Entry'!$ð$168)</f>
      </c>
      <c r="FU168">
        <f>IF(ISBLANK('Data Entry'!$ñ$168), "", 'Data Entry'!$ñ$168)</f>
      </c>
      <c r="FV168">
        <f>IF(ISBLANK('Data Entry'!$ò$168), "", 'Data Entry'!$ò$168)</f>
      </c>
      <c r="FW168">
        <f>IF(ISBLANK('Data Entry'!$ó$168), "", 'Data Entry'!$ó$168)</f>
      </c>
      <c r="FX168">
        <f>IF(ISBLANK('Data Entry'!$ô$168), "", 'Data Entry'!$ô$168)</f>
      </c>
      <c r="FY168">
        <f>IF(ISBLANK('Data Entry'!$õ$168), "", 'Data Entry'!$õ$168)</f>
      </c>
      <c r="FZ168">
        <f>IF(ISBLANK('Data Entry'!$ö$168), "", 'Data Entry'!$ö$168)</f>
      </c>
      <c r="GA168">
        <f>IF(ISBLANK('Data Entry'!$÷$168), "", 'Data Entry'!$÷$168)</f>
      </c>
      <c r="GB168">
        <f>IF(ISBLANK('Data Entry'!$ø$168), "", 'Data Entry'!$ø$168)</f>
      </c>
      <c r="GC168">
        <f>IF(ISBLANK('Data Entry'!$ù$168), "", 'Data Entry'!$ù$168)</f>
      </c>
      <c r="GD168">
        <f>IF(ISBLANK('Data Entry'!$ú$168), "", 'Data Entry'!$ú$168)</f>
      </c>
      <c r="GE168">
        <f>IF(ISBLANK('Data Entry'!$û$168), "", 'Data Entry'!$û$168)</f>
      </c>
      <c r="GF168">
        <f>IF(ISBLANK('Data Entry'!$ü$168), "", 'Data Entry'!$ü$168)</f>
      </c>
      <c r="GG168">
        <f>IF(ISBLANK('Data Entry'!$ý$168), "", 'Data Entry'!$ý$168)</f>
      </c>
      <c r="GH168">
        <f>IF(ISBLANK('Data Entry'!$þ$168), "", 'Data Entry'!$þ$168)</f>
      </c>
      <c r="GI168">
        <f>IF(ISBLANK('Data Entry'!$ÿ$168), "", 'Data Entry'!$ÿ$168)</f>
      </c>
      <c r="GJ168">
        <f>IF(ISBLANK('Data Entry'!$Ā$168), "", 'Data Entry'!$Ā$168)</f>
      </c>
      <c r="GK168">
        <f>IF(ISBLANK('Data Entry'!$ā$168), "", 'Data Entry'!$ā$168)</f>
      </c>
      <c r="GL168">
        <f>IF(ISBLANK('Data Entry'!$Ă$168), "", 'Data Entry'!$Ă$168)</f>
      </c>
      <c r="GM168">
        <f>IF(ISBLANK('Data Entry'!$ă$168), "", 'Data Entry'!$ă$168)</f>
      </c>
      <c r="GN168">
        <f>IF(ISBLANK('Data Entry'!$Ą$168), "", 'Data Entry'!$Ą$168)</f>
      </c>
      <c r="GO168">
        <f>IF(ISBLANK('Data Entry'!$ą$168), "", 'Data Entry'!$ą$168)</f>
      </c>
      <c r="GP168">
        <f>IF(ISBLANK('Data Entry'!$Ć$168), "", 'Data Entry'!$Ć$168)</f>
      </c>
      <c r="GQ168">
        <f>IF(ISBLANK('Data Entry'!$ć$168), "", 'Data Entry'!$ć$168)</f>
      </c>
      <c r="GR168">
        <f>IF(ISBLANK('Data Entry'!$Ĉ$168), "", 'Data Entry'!$Ĉ$168)</f>
      </c>
      <c r="GS168">
        <f>IF(ISBLANK('Data Entry'!$ĉ$168), "", 'Data Entry'!$ĉ$168)</f>
      </c>
      <c r="GT168">
        <f>IF(ISBLANK('Data Entry'!$Ċ$168), "", 'Data Entry'!$Ċ$168)</f>
      </c>
      <c r="GU168">
        <f>IF(ISBLANK('Data Entry'!$ċ$168), "", 'Data Entry'!$ċ$168)</f>
      </c>
      <c r="GV168">
        <f>IF(ISBLANK('Data Entry'!$Č$168), "", 'Data Entry'!$Č$168)</f>
      </c>
      <c r="GW168">
        <f>IF(ISBLANK('Data Entry'!$č$168), "", 'Data Entry'!$č$168)</f>
      </c>
      <c r="GX168">
        <f>IF(ISBLANK('Data Entry'!$Ď$168), "", 'Data Entry'!$Ď$168)</f>
      </c>
      <c r="GY168">
        <f>IF(ISBLANK('Data Entry'!$ď$168), "", 'Data Entry'!$ď$168)</f>
      </c>
      <c r="GZ168">
        <f>IF(ISBLANK('Data Entry'!$Đ$168), "", 'Data Entry'!$Đ$168)</f>
      </c>
      <c r="HA168">
        <f>IF(ISBLANK('Data Entry'!$đ$168), "", 'Data Entry'!$đ$168)</f>
      </c>
      <c r="HB168">
        <f>IF(ISBLANK('Data Entry'!$Ē$168), "", 'Data Entry'!$Ē$168)</f>
      </c>
      <c r="HC168">
        <f>IF(ISBLANK('Data Entry'!$ē$168), "", 'Data Entry'!$ē$168)</f>
      </c>
      <c r="HD168">
        <f>IF(ISBLANK('Data Entry'!$Ĕ$168), "", 'Data Entry'!$Ĕ$168)</f>
      </c>
      <c r="HE168">
        <f>IF(ISBLANK('Data Entry'!$ĕ$168), "", 'Data Entry'!$ĕ$168)</f>
      </c>
      <c r="HF168">
        <f>IF(ISBLANK('Data Entry'!$Ė$168), "", 'Data Entry'!$Ė$168)</f>
      </c>
      <c r="HG168">
        <f>IF(ISBLANK('Data Entry'!$ė$168), "", 'Data Entry'!$ė$168)</f>
      </c>
      <c r="HH168">
        <f>IF(ISBLANK('Data Entry'!$Ę$168), "", 'Data Entry'!$Ę$168)</f>
      </c>
      <c r="HI168">
        <f>IF(ISBLANK('Data Entry'!$ę$168), "", 'Data Entry'!$ę$168)</f>
      </c>
      <c r="HJ168">
        <f>IF(ISBLANK('Data Entry'!$Ě$168), "", 'Data Entry'!$Ě$168)</f>
      </c>
      <c r="HK168">
        <f>IF(ISBLANK('Data Entry'!$ě$168), "", 'Data Entry'!$ě$168)</f>
      </c>
      <c r="HL168">
        <f>IF(ISBLANK('Data Entry'!$Ĝ$168), "", 'Data Entry'!$Ĝ$168)</f>
      </c>
      <c r="HM168">
        <f>IF(ISBLANK('Data Entry'!$ĝ$168), "", 'Data Entry'!$ĝ$168)</f>
      </c>
      <c r="HN168">
        <f>IF(ISBLANK('Data Entry'!$Ğ$168), "", 'Data Entry'!$Ğ$168)</f>
      </c>
      <c r="HO168">
        <f>IF(ISBLANK('Data Entry'!$ğ$168), "", 'Data Entry'!$ğ$168)</f>
      </c>
      <c r="HP168">
        <f>IF(ISBLANK('Data Entry'!$Ġ$168), "", 'Data Entry'!$Ġ$168)</f>
      </c>
      <c r="HQ168">
        <f>IF(ISBLANK('Data Entry'!$ġ$168), "", 'Data Entry'!$ġ$168)</f>
      </c>
      <c r="HR168">
        <f>IF(ISBLANK('Data Entry'!$Ģ$168), "", 'Data Entry'!$Ģ$168)</f>
      </c>
      <c r="HS168">
        <f>IF(ISBLANK('Data Entry'!$ģ$168), "", 'Data Entry'!$ģ$168)</f>
      </c>
      <c r="HT168">
        <f>IF(ISBLANK('Data Entry'!$Ĥ$168), "", 'Data Entry'!$Ĥ$168)</f>
      </c>
      <c r="HU168">
        <f>IF(ISBLANK('Data Entry'!$ĥ$168), "", 'Data Entry'!$ĥ$168)</f>
      </c>
      <c r="HV168">
        <f>IF(ISBLANK('Data Entry'!$Ħ$168), "", 'Data Entry'!$Ħ$168)</f>
      </c>
      <c r="HW168">
        <f>IF(ISBLANK('Data Entry'!$ħ$168), "", 'Data Entry'!$ħ$168)</f>
      </c>
      <c r="HX168">
        <f>IF(ISBLANK('Data Entry'!$Ĩ$168), "", 'Data Entry'!$Ĩ$168)</f>
      </c>
      <c r="HY168">
        <f>IF(ISBLANK('Data Entry'!$ĩ$168), "", 'Data Entry'!$ĩ$168)</f>
      </c>
      <c r="HZ168">
        <f>IF(ISBLANK('Data Entry'!$Ī$168), "", 'Data Entry'!$Ī$168)</f>
      </c>
      <c r="IA168">
        <f>IF(ISBLANK('Data Entry'!$ī$168), "", 'Data Entry'!$ī$168)</f>
      </c>
      <c r="IB168">
        <f>IF(ISBLANK('Data Entry'!$Ĭ$168), "", 'Data Entry'!$Ĭ$168)</f>
      </c>
      <c r="IC168">
        <f>IF(ISBLANK('Data Entry'!$ĭ$168), "", 'Data Entry'!$ĭ$168)</f>
      </c>
      <c r="ID168">
        <f>IF(ISBLANK('Data Entry'!$Į$168), "", 'Data Entry'!$Į$168)</f>
      </c>
      <c r="IE168">
        <f>IF(ISBLANK('Data Entry'!$į$168), "", 'Data Entry'!$į$168)</f>
      </c>
      <c r="IF168">
        <f>IF(ISBLANK('Data Entry'!$İ$168), "", 'Data Entry'!$İ$168)</f>
      </c>
      <c r="IG168">
        <f>IF(ISBLANK('Data Entry'!$ı$168), "", 'Data Entry'!$ı$168)</f>
      </c>
      <c r="IH168">
        <f>IF(ISBLANK('Data Entry'!$Ĳ$168), "", 'Data Entry'!$Ĳ$168)</f>
      </c>
      <c r="II168">
        <f>IF(ISBLANK('Data Entry'!$ĳ$168), "", 'Data Entry'!$ĳ$168)</f>
      </c>
      <c r="IJ168">
        <f>IF(ISBLANK('Data Entry'!$Ĵ$168), "", 'Data Entry'!$Ĵ$168)</f>
      </c>
      <c r="IK168">
        <f>IF(ISBLANK('Data Entry'!$ĵ$168), "", 'Data Entry'!$ĵ$168)</f>
      </c>
      <c r="IL168">
        <f>IF(ISBLANK('Data Entry'!$Ķ$168), "", 'Data Entry'!$Ķ$168)</f>
      </c>
      <c r="IM168">
        <f>IF(ISBLANK('Data Entry'!$ķ$168), "", 'Data Entry'!$ķ$168)</f>
      </c>
      <c r="IN168">
        <f>IF(ISBLANK('Data Entry'!$ĸ$168), "", 'Data Entry'!$ĸ$168)</f>
      </c>
      <c r="IO168">
        <f>IF(ISBLANK('Data Entry'!$Ĺ$168), "", 'Data Entry'!$Ĺ$168)</f>
      </c>
      <c r="IP168">
        <f>IF(ISBLANK('Data Entry'!$ĺ$168), "", 'Data Entry'!$ĺ$168)</f>
      </c>
      <c r="IQ168">
        <f>IF(ISBLANK('Data Entry'!$Ļ$168), "", 'Data Entry'!$Ļ$168)</f>
      </c>
      <c r="IR168">
        <f>IF(ISBLANK('Data Entry'!$ļ$168), "", 'Data Entry'!$ļ$168)</f>
      </c>
      <c r="IS168">
        <f>IF(ISBLANK('Data Entry'!$Ľ$168), "", 'Data Entry'!$Ľ$168)</f>
      </c>
      <c r="IT168">
        <f>IF(ISBLANK('Data Entry'!$ľ$168), "", 'Data Entry'!$ľ$168)</f>
      </c>
    </row>
    <row r="169" spans="1:254" x14ac:dyDescent="0.25">
      <c r="A169">
        <f>IF(ISBLANK('Data Entry'!$A$169), "", 'Data Entry'!$A$169)</f>
      </c>
      <c r="B169">
        <f>IF(ISBLANK('Data Entry'!$B$169), "", 'Data Entry'!$B$169)</f>
      </c>
      <c r="C169">
        <f>IF(ISBLANK('Data Entry'!$C$169), "", 'Data Entry'!$C$169)</f>
      </c>
      <c r="D169">
        <f>IF(ISBLANK('Data Entry'!$D$169), "", 'Data Entry'!$D$169)</f>
      </c>
      <c r="E169">
        <f>IF(ISBLANK('Data Entry'!$E$169), "", 'Data Entry'!$E$169)</f>
      </c>
      <c r="F169">
        <f>IF(ISBLANK('Data Entry'!$F$169), "", 'Data Entry'!$F$169)</f>
      </c>
      <c r="G169">
        <f>IF(ISBLANK('Data Entry'!$G$169), "", 'Data Entry'!$G$169)</f>
      </c>
      <c r="H169">
        <f>IF(ISBLANK('Data Entry'!$H$169), "", 'Data Entry'!$H$169)</f>
      </c>
      <c r="I169">
        <f>IF(ISBLANK('Data Entry'!$I$169), "", 'Data Entry'!$I$169)</f>
      </c>
      <c r="J169">
        <f>IF(ISBLANK('Data Entry'!$J$169), "", 'Data Entry'!$J$169)</f>
      </c>
      <c r="K169">
        <f>IF(ISBLANK('Data Entry'!$K$169), "", 'Data Entry'!$K$169)</f>
      </c>
      <c r="L169">
        <f>IF(ISBLANK('Data Entry'!$L$169), "", 'Data Entry'!$L$169)</f>
      </c>
      <c r="M169">
        <f>IF(ISBLANK('Data Entry'!$M$169), "", 'Data Entry'!$M$169)</f>
      </c>
      <c r="N169">
        <f>IF(ISBLANK('Data Entry'!$N$169), "", 'Data Entry'!$N$169)</f>
      </c>
      <c r="O169">
        <f>IF(ISBLANK('Data Entry'!$O$169), "", 'Data Entry'!$O$169)</f>
      </c>
      <c r="P169">
        <f>IF(ISBLANK('Data Entry'!$P$169), "", 'Data Entry'!$P$169)</f>
      </c>
      <c r="Q169">
        <f>IF(ISBLANK('Data Entry'!$Q$169), "", 'Data Entry'!$Q$169)</f>
      </c>
      <c r="R169">
        <f>IF(ISBLANK('Data Entry'!$R$169), "", 'Data Entry'!$R$169)</f>
      </c>
      <c r="S169">
        <f>IF(ISBLANK('Data Entry'!$S$169), "", 'Data Entry'!$S$169)</f>
      </c>
      <c r="T169">
        <f>IF(ISBLANK('Data Entry'!$T$169), "", 'Data Entry'!$T$169)</f>
      </c>
      <c r="U169">
        <f>IF(ISBLANK('Data Entry'!$U$169), "", 'Data Entry'!$U$169)</f>
      </c>
      <c r="V169">
        <f>IF(ISBLANK('Data Entry'!$V$169), "", 'Data Entry'!$V$169)</f>
      </c>
      <c r="W169">
        <f>IF(ISBLANK('Data Entry'!$W$169), "", 'Data Entry'!$W$169)</f>
      </c>
      <c r="X169">
        <f>IF(ISBLANK('Data Entry'!$X$169), "", 'Data Entry'!$X$169)</f>
      </c>
      <c r="Y169">
        <f>IF(ISBLANK('Data Entry'!$Y$169), "", 'Data Entry'!$Y$169)</f>
      </c>
      <c r="Z169">
        <f>IF(ISBLANK('Data Entry'!$Z$169), "", 'Data Entry'!$Z$169)</f>
      </c>
      <c r="AA169">
        <f>IF(ISBLANK('Data Entry'!$[$169), "", 'Data Entry'!$[$169)</f>
      </c>
      <c r="AB169">
        <f>IF(ISBLANK('Data Entry'!$\$169), "", 'Data Entry'!$\$169)</f>
      </c>
      <c r="AC169">
        <f>IF(ISBLANK('Data Entry'!$]$169), "", 'Data Entry'!$]$169)</f>
      </c>
      <c r="AD169">
        <f>IF(ISBLANK('Data Entry'!$^$169), "", 'Data Entry'!$^$169)</f>
      </c>
      <c r="AE169">
        <f>IF(ISBLANK('Data Entry'!$_$169), "", 'Data Entry'!$_$169)</f>
      </c>
      <c r="AF169">
        <f>IF(ISBLANK('Data Entry'!$`$169), "", 'Data Entry'!$`$169)</f>
      </c>
      <c r="AG169">
        <f>IF(ISBLANK('Data Entry'!$a$169), "", 'Data Entry'!$a$169)</f>
      </c>
      <c r="AH169">
        <f>IF(ISBLANK('Data Entry'!$b$169), "", 'Data Entry'!$b$169)</f>
      </c>
      <c r="AI169">
        <f>IF(ISBLANK('Data Entry'!$c$169), "", 'Data Entry'!$c$169)</f>
      </c>
      <c r="AJ169">
        <f>IF(ISBLANK('Data Entry'!$d$169), "", 'Data Entry'!$d$169)</f>
      </c>
      <c r="AK169">
        <f>IF(ISBLANK('Data Entry'!$e$169), "", 'Data Entry'!$e$169)</f>
      </c>
      <c r="AL169">
        <f>IF(ISBLANK('Data Entry'!$f$169), "", 'Data Entry'!$f$169)</f>
      </c>
      <c r="AM169">
        <f>IF(ISBLANK('Data Entry'!$g$169), "", 'Data Entry'!$g$169)</f>
      </c>
      <c r="AN169">
        <f>IF(ISBLANK('Data Entry'!$h$169), "", 'Data Entry'!$h$169)</f>
      </c>
      <c r="AO169">
        <f>IF(ISBLANK('Data Entry'!$i$169), "", 'Data Entry'!$i$169)</f>
      </c>
      <c r="AP169">
        <f>IF(ISBLANK('Data Entry'!$j$169), "", 'Data Entry'!$j$169)</f>
      </c>
      <c r="AQ169">
        <f>IF(ISBLANK('Data Entry'!$k$169), "", 'Data Entry'!$k$169)</f>
      </c>
      <c r="AR169">
        <f>IF(ISBLANK('Data Entry'!$l$169), "", 'Data Entry'!$l$169)</f>
      </c>
      <c r="AS169">
        <f>IF(ISBLANK('Data Entry'!$m$169), "", 'Data Entry'!$m$169)</f>
      </c>
      <c r="AT169">
        <f>IF(ISBLANK('Data Entry'!$n$169), "", 'Data Entry'!$n$169)</f>
      </c>
      <c r="AU169">
        <f>IF(ISBLANK('Data Entry'!$o$169), "", 'Data Entry'!$o$169)</f>
      </c>
      <c r="AV169">
        <f>IF(ISBLANK('Data Entry'!$p$169), "", 'Data Entry'!$p$169)</f>
      </c>
      <c r="AW169">
        <f>IF(ISBLANK('Data Entry'!$q$169), "", 'Data Entry'!$q$169)</f>
      </c>
      <c r="AX169">
        <f>IF(ISBLANK('Data Entry'!$r$169), "", 'Data Entry'!$r$169)</f>
      </c>
      <c r="AY169">
        <f>IF(ISBLANK('Data Entry'!$s$169), "", 'Data Entry'!$s$169)</f>
      </c>
      <c r="AZ169">
        <f>IF(ISBLANK('Data Entry'!$t$169), "", 'Data Entry'!$t$169)</f>
      </c>
      <c r="BA169">
        <f>IF(ISBLANK('Data Entry'!$u$169), "", 'Data Entry'!$u$169)</f>
      </c>
      <c r="BB169">
        <f>IF(ISBLANK('Data Entry'!$v$169), "", 'Data Entry'!$v$169)</f>
      </c>
      <c r="BC169">
        <f>IF(ISBLANK('Data Entry'!$w$169), "", 'Data Entry'!$w$169)</f>
      </c>
      <c r="BD169">
        <f>IF(ISBLANK('Data Entry'!$x$169), "", 'Data Entry'!$x$169)</f>
      </c>
      <c r="BE169">
        <f>IF(ISBLANK('Data Entry'!$y$169), "", 'Data Entry'!$y$169)</f>
      </c>
      <c r="BF169">
        <f>IF(ISBLANK('Data Entry'!$z$169), "", 'Data Entry'!$z$169)</f>
      </c>
      <c r="BG169">
        <f>IF(ISBLANK('Data Entry'!${$169), "", 'Data Entry'!${$169)</f>
      </c>
      <c r="BH169">
        <f>IF(ISBLANK('Data Entry'!$|$169), "", 'Data Entry'!$|$169)</f>
      </c>
      <c r="BI169">
        <f>IF(ISBLANK('Data Entry'!$}$169), "", 'Data Entry'!$}$169)</f>
      </c>
      <c r="BJ169">
        <f>IF(ISBLANK('Data Entry'!$~$169), "", 'Data Entry'!$~$169)</f>
      </c>
      <c r="BK169">
        <f>IF(ISBLANK('Data Entry'!$$169), "", 'Data Entry'!$$169)</f>
      </c>
      <c r="BL169">
        <f>IF(ISBLANK('Data Entry'!$$169), "", 'Data Entry'!$$169)</f>
      </c>
      <c r="BM169">
        <f>IF(ISBLANK('Data Entry'!$$169), "", 'Data Entry'!$$169)</f>
      </c>
      <c r="BN169">
        <f>IF(ISBLANK('Data Entry'!$$169), "", 'Data Entry'!$$169)</f>
      </c>
      <c r="BO169">
        <f>IF(ISBLANK('Data Entry'!$$169), "", 'Data Entry'!$$169)</f>
      </c>
      <c r="BP169">
        <f>IF(ISBLANK('Data Entry'!$$169), "", 'Data Entry'!$$169)</f>
      </c>
      <c r="BQ169">
        <f>IF(ISBLANK('Data Entry'!$$169), "", 'Data Entry'!$$169)</f>
      </c>
      <c r="BR169">
        <f>IF(ISBLANK('Data Entry'!$$169), "", 'Data Entry'!$$169)</f>
      </c>
      <c r="BS169">
        <f>IF(ISBLANK('Data Entry'!$$169), "", 'Data Entry'!$$169)</f>
      </c>
      <c r="BT169">
        <f>IF(ISBLANK('Data Entry'!$$169), "", 'Data Entry'!$$169)</f>
      </c>
      <c r="BU169">
        <f>IF(ISBLANK('Data Entry'!$$169), "", 'Data Entry'!$$169)</f>
      </c>
      <c r="BV169">
        <f>IF(ISBLANK('Data Entry'!$$169), "", 'Data Entry'!$$169)</f>
      </c>
      <c r="BW169">
        <f>IF(ISBLANK('Data Entry'!$$169), "", 'Data Entry'!$$169)</f>
      </c>
      <c r="BX169">
        <f>IF(ISBLANK('Data Entry'!$$169), "", 'Data Entry'!$$169)</f>
      </c>
      <c r="BY169">
        <f>IF(ISBLANK('Data Entry'!$$169), "", 'Data Entry'!$$169)</f>
      </c>
      <c r="BZ169">
        <f>IF(ISBLANK('Data Entry'!$$169), "", 'Data Entry'!$$169)</f>
      </c>
      <c r="CA169">
        <f>IF(ISBLANK('Data Entry'!$$169), "", 'Data Entry'!$$169)</f>
      </c>
      <c r="CB169">
        <f>IF(ISBLANK('Data Entry'!$$169), "", 'Data Entry'!$$169)</f>
      </c>
      <c r="CC169">
        <f>IF(ISBLANK('Data Entry'!$$169), "", 'Data Entry'!$$169)</f>
      </c>
      <c r="CD169">
        <f>IF(ISBLANK('Data Entry'!$$169), "", 'Data Entry'!$$169)</f>
      </c>
      <c r="CE169">
        <f>IF(ISBLANK('Data Entry'!$$169), "", 'Data Entry'!$$169)</f>
      </c>
      <c r="CF169">
        <f>IF(ISBLANK('Data Entry'!$$169), "", 'Data Entry'!$$169)</f>
      </c>
      <c r="CG169">
        <f>IF(ISBLANK('Data Entry'!$$169), "", 'Data Entry'!$$169)</f>
      </c>
      <c r="CH169">
        <f>IF(ISBLANK('Data Entry'!$$169), "", 'Data Entry'!$$169)</f>
      </c>
      <c r="CI169">
        <f>IF(ISBLANK('Data Entry'!$$169), "", 'Data Entry'!$$169)</f>
      </c>
      <c r="CJ169">
        <f>IF(ISBLANK('Data Entry'!$$169), "", 'Data Entry'!$$169)</f>
      </c>
      <c r="CK169">
        <f>IF(ISBLANK('Data Entry'!$$169), "", 'Data Entry'!$$169)</f>
      </c>
      <c r="CL169">
        <f>IF(ISBLANK('Data Entry'!$$169), "", 'Data Entry'!$$169)</f>
      </c>
      <c r="CM169">
        <f>IF(ISBLANK('Data Entry'!$$169), "", 'Data Entry'!$$169)</f>
      </c>
      <c r="CN169">
        <f>IF(ISBLANK('Data Entry'!$$169), "", 'Data Entry'!$$169)</f>
      </c>
      <c r="CO169">
        <f>IF(ISBLANK('Data Entry'!$$169), "", 'Data Entry'!$$169)</f>
      </c>
      <c r="CP169">
        <f>IF(ISBLANK('Data Entry'!$$169), "", 'Data Entry'!$$169)</f>
      </c>
      <c r="CQ169">
        <f>IF(ISBLANK('Data Entry'!$$169), "", 'Data Entry'!$$169)</f>
      </c>
      <c r="CR169">
        <f>IF(ISBLANK('Data Entry'!$ $169), "", 'Data Entry'!$ $169)</f>
      </c>
      <c r="CS169">
        <f>IF(ISBLANK('Data Entry'!$¡$169), "", 'Data Entry'!$¡$169)</f>
      </c>
      <c r="CT169">
        <f>IF(ISBLANK('Data Entry'!$¢$169), "", 'Data Entry'!$¢$169)</f>
      </c>
      <c r="CU169">
        <f>IF(ISBLANK('Data Entry'!$£$169), "", 'Data Entry'!$£$169)</f>
      </c>
      <c r="CV169">
        <f>IF(ISBLANK('Data Entry'!$¤$169), "", 'Data Entry'!$¤$169)</f>
      </c>
      <c r="CW169">
        <f>IF(ISBLANK('Data Entry'!$¥$169), "", 'Data Entry'!$¥$169)</f>
      </c>
      <c r="CX169">
        <f>IF(ISBLANK('Data Entry'!$¦$169), "", 'Data Entry'!$¦$169)</f>
      </c>
      <c r="CY169">
        <f>IF(ISBLANK('Data Entry'!$§$169), "", 'Data Entry'!$§$169)</f>
      </c>
      <c r="CZ169">
        <f>IF(ISBLANK('Data Entry'!$¨$169), "", 'Data Entry'!$¨$169)</f>
      </c>
      <c r="DA169">
        <f>IF(ISBLANK('Data Entry'!$©$169), "", 'Data Entry'!$©$169)</f>
      </c>
      <c r="DB169">
        <f>IF(ISBLANK('Data Entry'!$ª$169), "", 'Data Entry'!$ª$169)</f>
      </c>
      <c r="DC169">
        <f>IF(ISBLANK('Data Entry'!$«$169), "", 'Data Entry'!$«$169)</f>
      </c>
      <c r="DD169">
        <f>IF(ISBLANK('Data Entry'!$¬$169), "", 'Data Entry'!$¬$169)</f>
      </c>
      <c r="DE169">
        <f>IF(ISBLANK('Data Entry'!$­$169), "", 'Data Entry'!$­$169)</f>
      </c>
      <c r="DF169">
        <f>IF(ISBLANK('Data Entry'!$®$169), "", 'Data Entry'!$®$169)</f>
      </c>
      <c r="DG169">
        <f>IF(ISBLANK('Data Entry'!$¯$169), "", 'Data Entry'!$¯$169)</f>
      </c>
      <c r="DH169">
        <f>IF(ISBLANK('Data Entry'!$°$169), "", 'Data Entry'!$°$169)</f>
      </c>
      <c r="DI169">
        <f>IF(ISBLANK('Data Entry'!$±$169), "", 'Data Entry'!$±$169)</f>
      </c>
      <c r="DJ169">
        <f>IF(ISBLANK('Data Entry'!$²$169), "", 'Data Entry'!$²$169)</f>
      </c>
      <c r="DK169">
        <f>IF(ISBLANK('Data Entry'!$³$169), "", 'Data Entry'!$³$169)</f>
      </c>
      <c r="DL169">
        <f>IF(ISBLANK('Data Entry'!$´$169), "", 'Data Entry'!$´$169)</f>
      </c>
      <c r="DM169">
        <f>IF(ISBLANK('Data Entry'!$µ$169), "", 'Data Entry'!$µ$169)</f>
      </c>
      <c r="DN169">
        <f>IF(ISBLANK('Data Entry'!$¶$169), "", 'Data Entry'!$¶$169)</f>
      </c>
      <c r="DO169">
        <f>IF(ISBLANK('Data Entry'!$·$169), "", 'Data Entry'!$·$169)</f>
      </c>
      <c r="DP169">
        <f>IF(ISBLANK('Data Entry'!$¸$169), "", 'Data Entry'!$¸$169)</f>
      </c>
      <c r="DQ169">
        <f>IF(ISBLANK('Data Entry'!$¹$169), "", 'Data Entry'!$¹$169)</f>
      </c>
      <c r="DR169">
        <f>IF(ISBLANK('Data Entry'!$º$169), "", 'Data Entry'!$º$169)</f>
      </c>
      <c r="DS169">
        <f>IF(ISBLANK('Data Entry'!$»$169), "", 'Data Entry'!$»$169)</f>
      </c>
      <c r="DT169">
        <f>IF(ISBLANK('Data Entry'!$¼$169), "", 'Data Entry'!$¼$169)</f>
      </c>
      <c r="DU169">
        <f>IF(ISBLANK('Data Entry'!$½$169), "", 'Data Entry'!$½$169)</f>
      </c>
      <c r="DV169">
        <f>IF(ISBLANK('Data Entry'!$¾$169), "", 'Data Entry'!$¾$169)</f>
      </c>
      <c r="DW169">
        <f>IF(ISBLANK('Data Entry'!$¿$169), "", 'Data Entry'!$¿$169)</f>
      </c>
      <c r="DX169">
        <f>IF(ISBLANK('Data Entry'!$À$169), "", 'Data Entry'!$À$169)</f>
      </c>
      <c r="DY169">
        <f>IF(ISBLANK('Data Entry'!$Á$169), "", 'Data Entry'!$Á$169)</f>
      </c>
      <c r="DZ169">
        <f>IF(ISBLANK('Data Entry'!$Â$169), "", 'Data Entry'!$Â$169)</f>
      </c>
      <c r="EA169">
        <f>IF(ISBLANK('Data Entry'!$Ã$169), "", 'Data Entry'!$Ã$169)</f>
      </c>
      <c r="EB169">
        <f>IF(ISBLANK('Data Entry'!$Ä$169), "", 'Data Entry'!$Ä$169)</f>
      </c>
      <c r="EC169">
        <f>IF(ISBLANK('Data Entry'!$Å$169), "", 'Data Entry'!$Å$169)</f>
      </c>
      <c r="ED169">
        <f>IF(ISBLANK('Data Entry'!$Æ$169), "", 'Data Entry'!$Æ$169)</f>
      </c>
      <c r="EE169">
        <f>IF(ISBLANK('Data Entry'!$Ç$169), "", 'Data Entry'!$Ç$169)</f>
      </c>
      <c r="EF169">
        <f>IF(ISBLANK('Data Entry'!$È$169), "", 'Data Entry'!$È$169)</f>
      </c>
      <c r="EG169">
        <f>IF(ISBLANK('Data Entry'!$É$169), "", 'Data Entry'!$É$169)</f>
      </c>
      <c r="EH169">
        <f>IF(ISBLANK('Data Entry'!$Ê$169), "", 'Data Entry'!$Ê$169)</f>
      </c>
      <c r="EI169">
        <f>IF(ISBLANK('Data Entry'!$Ë$169), "", 'Data Entry'!$Ë$169)</f>
      </c>
      <c r="EJ169">
        <f>IF(ISBLANK('Data Entry'!$Ì$169), "", 'Data Entry'!$Ì$169)</f>
      </c>
      <c r="EK169">
        <f>IF(ISBLANK('Data Entry'!$Í$169), "", 'Data Entry'!$Í$169)</f>
      </c>
      <c r="EL169">
        <f>IF(ISBLANK('Data Entry'!$Î$169), "", 'Data Entry'!$Î$169)</f>
      </c>
      <c r="EM169">
        <f>IF(ISBLANK('Data Entry'!$Ï$169), "", 'Data Entry'!$Ï$169)</f>
      </c>
      <c r="EN169">
        <f>IF(ISBLANK('Data Entry'!$Ð$169), "", 'Data Entry'!$Ð$169)</f>
      </c>
      <c r="EO169">
        <f>IF(ISBLANK('Data Entry'!$Ñ$169), "", 'Data Entry'!$Ñ$169)</f>
      </c>
      <c r="EP169">
        <f>IF(ISBLANK('Data Entry'!$Ò$169), "", 'Data Entry'!$Ò$169)</f>
      </c>
      <c r="EQ169">
        <f>IF(ISBLANK('Data Entry'!$Ó$169), "", 'Data Entry'!$Ó$169)</f>
      </c>
      <c r="ER169">
        <f>IF(ISBLANK('Data Entry'!$Ô$169), "", 'Data Entry'!$Ô$169)</f>
      </c>
      <c r="ES169">
        <f>IF(ISBLANK('Data Entry'!$Õ$169), "", 'Data Entry'!$Õ$169)</f>
      </c>
      <c r="ET169">
        <f>IF(ISBLANK('Data Entry'!$Ö$169), "", 'Data Entry'!$Ö$169)</f>
      </c>
      <c r="EU169">
        <f>IF(ISBLANK('Data Entry'!$×$169), "", 'Data Entry'!$×$169)</f>
      </c>
      <c r="EV169">
        <f>IF(ISBLANK('Data Entry'!$Ø$169), "", 'Data Entry'!$Ø$169)</f>
      </c>
      <c r="EW169">
        <f>IF(ISBLANK('Data Entry'!$Ù$169), "", 'Data Entry'!$Ù$169)</f>
      </c>
      <c r="EX169">
        <f>IF(ISBLANK('Data Entry'!$Ú$169), "", 'Data Entry'!$Ú$169)</f>
      </c>
      <c r="EY169">
        <f>IF(ISBLANK('Data Entry'!$Û$169), "", 'Data Entry'!$Û$169)</f>
      </c>
      <c r="EZ169">
        <f>IF(ISBLANK('Data Entry'!$Ü$169), "", 'Data Entry'!$Ü$169)</f>
      </c>
      <c r="FA169">
        <f>IF(ISBLANK('Data Entry'!$Ý$169), "", 'Data Entry'!$Ý$169)</f>
      </c>
      <c r="FB169">
        <f>IF(ISBLANK('Data Entry'!$Þ$169), "", 'Data Entry'!$Þ$169)</f>
      </c>
      <c r="FC169">
        <f>IF(ISBLANK('Data Entry'!$ß$169), "", 'Data Entry'!$ß$169)</f>
      </c>
      <c r="FD169">
        <f>IF(ISBLANK('Data Entry'!$à$169), "", 'Data Entry'!$à$169)</f>
      </c>
      <c r="FE169">
        <f>IF(ISBLANK('Data Entry'!$á$169), "", 'Data Entry'!$á$169)</f>
      </c>
      <c r="FF169">
        <f>IF(ISBLANK('Data Entry'!$â$169), "", 'Data Entry'!$â$169)</f>
      </c>
      <c r="FG169">
        <f>IF(ISBLANK('Data Entry'!$ã$169), "", 'Data Entry'!$ã$169)</f>
      </c>
      <c r="FH169">
        <f>IF(ISBLANK('Data Entry'!$ä$169), "", 'Data Entry'!$ä$169)</f>
      </c>
      <c r="FI169">
        <f>IF(ISBLANK('Data Entry'!$å$169), "", 'Data Entry'!$å$169)</f>
      </c>
      <c r="FJ169">
        <f>IF(ISBLANK('Data Entry'!$æ$169), "", 'Data Entry'!$æ$169)</f>
      </c>
      <c r="FK169">
        <f>IF(ISBLANK('Data Entry'!$ç$169), "", 'Data Entry'!$ç$169)</f>
      </c>
      <c r="FL169">
        <f>IF(ISBLANK('Data Entry'!$è$169), "", 'Data Entry'!$è$169)</f>
      </c>
      <c r="FM169">
        <f>IF(ISBLANK('Data Entry'!$é$169), "", 'Data Entry'!$é$169)</f>
      </c>
      <c r="FN169">
        <f>IF(ISBLANK('Data Entry'!$ê$169), "", 'Data Entry'!$ê$169)</f>
      </c>
      <c r="FO169">
        <f>IF(ISBLANK('Data Entry'!$ë$169), "", 'Data Entry'!$ë$169)</f>
      </c>
      <c r="FP169">
        <f>IF(ISBLANK('Data Entry'!$ì$169), "", 'Data Entry'!$ì$169)</f>
      </c>
      <c r="FQ169">
        <f>IF(ISBLANK('Data Entry'!$í$169), "", 'Data Entry'!$í$169)</f>
      </c>
      <c r="FR169">
        <f>IF(ISBLANK('Data Entry'!$î$169), "", 'Data Entry'!$î$169)</f>
      </c>
      <c r="FS169">
        <f>IF(ISBLANK('Data Entry'!$ï$169), "", 'Data Entry'!$ï$169)</f>
      </c>
      <c r="FT169">
        <f>IF(ISBLANK('Data Entry'!$ð$169), "", 'Data Entry'!$ð$169)</f>
      </c>
      <c r="FU169">
        <f>IF(ISBLANK('Data Entry'!$ñ$169), "", 'Data Entry'!$ñ$169)</f>
      </c>
      <c r="FV169">
        <f>IF(ISBLANK('Data Entry'!$ò$169), "", 'Data Entry'!$ò$169)</f>
      </c>
      <c r="FW169">
        <f>IF(ISBLANK('Data Entry'!$ó$169), "", 'Data Entry'!$ó$169)</f>
      </c>
      <c r="FX169">
        <f>IF(ISBLANK('Data Entry'!$ô$169), "", 'Data Entry'!$ô$169)</f>
      </c>
      <c r="FY169">
        <f>IF(ISBLANK('Data Entry'!$õ$169), "", 'Data Entry'!$õ$169)</f>
      </c>
      <c r="FZ169">
        <f>IF(ISBLANK('Data Entry'!$ö$169), "", 'Data Entry'!$ö$169)</f>
      </c>
      <c r="GA169">
        <f>IF(ISBLANK('Data Entry'!$÷$169), "", 'Data Entry'!$÷$169)</f>
      </c>
      <c r="GB169">
        <f>IF(ISBLANK('Data Entry'!$ø$169), "", 'Data Entry'!$ø$169)</f>
      </c>
      <c r="GC169">
        <f>IF(ISBLANK('Data Entry'!$ù$169), "", 'Data Entry'!$ù$169)</f>
      </c>
      <c r="GD169">
        <f>IF(ISBLANK('Data Entry'!$ú$169), "", 'Data Entry'!$ú$169)</f>
      </c>
      <c r="GE169">
        <f>IF(ISBLANK('Data Entry'!$û$169), "", 'Data Entry'!$û$169)</f>
      </c>
      <c r="GF169">
        <f>IF(ISBLANK('Data Entry'!$ü$169), "", 'Data Entry'!$ü$169)</f>
      </c>
      <c r="GG169">
        <f>IF(ISBLANK('Data Entry'!$ý$169), "", 'Data Entry'!$ý$169)</f>
      </c>
      <c r="GH169">
        <f>IF(ISBLANK('Data Entry'!$þ$169), "", 'Data Entry'!$þ$169)</f>
      </c>
      <c r="GI169">
        <f>IF(ISBLANK('Data Entry'!$ÿ$169), "", 'Data Entry'!$ÿ$169)</f>
      </c>
      <c r="GJ169">
        <f>IF(ISBLANK('Data Entry'!$Ā$169), "", 'Data Entry'!$Ā$169)</f>
      </c>
      <c r="GK169">
        <f>IF(ISBLANK('Data Entry'!$ā$169), "", 'Data Entry'!$ā$169)</f>
      </c>
      <c r="GL169">
        <f>IF(ISBLANK('Data Entry'!$Ă$169), "", 'Data Entry'!$Ă$169)</f>
      </c>
      <c r="GM169">
        <f>IF(ISBLANK('Data Entry'!$ă$169), "", 'Data Entry'!$ă$169)</f>
      </c>
      <c r="GN169">
        <f>IF(ISBLANK('Data Entry'!$Ą$169), "", 'Data Entry'!$Ą$169)</f>
      </c>
      <c r="GO169">
        <f>IF(ISBLANK('Data Entry'!$ą$169), "", 'Data Entry'!$ą$169)</f>
      </c>
      <c r="GP169">
        <f>IF(ISBLANK('Data Entry'!$Ć$169), "", 'Data Entry'!$Ć$169)</f>
      </c>
      <c r="GQ169">
        <f>IF(ISBLANK('Data Entry'!$ć$169), "", 'Data Entry'!$ć$169)</f>
      </c>
      <c r="GR169">
        <f>IF(ISBLANK('Data Entry'!$Ĉ$169), "", 'Data Entry'!$Ĉ$169)</f>
      </c>
      <c r="GS169">
        <f>IF(ISBLANK('Data Entry'!$ĉ$169), "", 'Data Entry'!$ĉ$169)</f>
      </c>
      <c r="GT169">
        <f>IF(ISBLANK('Data Entry'!$Ċ$169), "", 'Data Entry'!$Ċ$169)</f>
      </c>
      <c r="GU169">
        <f>IF(ISBLANK('Data Entry'!$ċ$169), "", 'Data Entry'!$ċ$169)</f>
      </c>
      <c r="GV169">
        <f>IF(ISBLANK('Data Entry'!$Č$169), "", 'Data Entry'!$Č$169)</f>
      </c>
      <c r="GW169">
        <f>IF(ISBLANK('Data Entry'!$č$169), "", 'Data Entry'!$č$169)</f>
      </c>
      <c r="GX169">
        <f>IF(ISBLANK('Data Entry'!$Ď$169), "", 'Data Entry'!$Ď$169)</f>
      </c>
      <c r="GY169">
        <f>IF(ISBLANK('Data Entry'!$ď$169), "", 'Data Entry'!$ď$169)</f>
      </c>
      <c r="GZ169">
        <f>IF(ISBLANK('Data Entry'!$Đ$169), "", 'Data Entry'!$Đ$169)</f>
      </c>
      <c r="HA169">
        <f>IF(ISBLANK('Data Entry'!$đ$169), "", 'Data Entry'!$đ$169)</f>
      </c>
      <c r="HB169">
        <f>IF(ISBLANK('Data Entry'!$Ē$169), "", 'Data Entry'!$Ē$169)</f>
      </c>
      <c r="HC169">
        <f>IF(ISBLANK('Data Entry'!$ē$169), "", 'Data Entry'!$ē$169)</f>
      </c>
      <c r="HD169">
        <f>IF(ISBLANK('Data Entry'!$Ĕ$169), "", 'Data Entry'!$Ĕ$169)</f>
      </c>
      <c r="HE169">
        <f>IF(ISBLANK('Data Entry'!$ĕ$169), "", 'Data Entry'!$ĕ$169)</f>
      </c>
      <c r="HF169">
        <f>IF(ISBLANK('Data Entry'!$Ė$169), "", 'Data Entry'!$Ė$169)</f>
      </c>
      <c r="HG169">
        <f>IF(ISBLANK('Data Entry'!$ė$169), "", 'Data Entry'!$ė$169)</f>
      </c>
      <c r="HH169">
        <f>IF(ISBLANK('Data Entry'!$Ę$169), "", 'Data Entry'!$Ę$169)</f>
      </c>
      <c r="HI169">
        <f>IF(ISBLANK('Data Entry'!$ę$169), "", 'Data Entry'!$ę$169)</f>
      </c>
      <c r="HJ169">
        <f>IF(ISBLANK('Data Entry'!$Ě$169), "", 'Data Entry'!$Ě$169)</f>
      </c>
      <c r="HK169">
        <f>IF(ISBLANK('Data Entry'!$ě$169), "", 'Data Entry'!$ě$169)</f>
      </c>
      <c r="HL169">
        <f>IF(ISBLANK('Data Entry'!$Ĝ$169), "", 'Data Entry'!$Ĝ$169)</f>
      </c>
      <c r="HM169">
        <f>IF(ISBLANK('Data Entry'!$ĝ$169), "", 'Data Entry'!$ĝ$169)</f>
      </c>
      <c r="HN169">
        <f>IF(ISBLANK('Data Entry'!$Ğ$169), "", 'Data Entry'!$Ğ$169)</f>
      </c>
      <c r="HO169">
        <f>IF(ISBLANK('Data Entry'!$ğ$169), "", 'Data Entry'!$ğ$169)</f>
      </c>
      <c r="HP169">
        <f>IF(ISBLANK('Data Entry'!$Ġ$169), "", 'Data Entry'!$Ġ$169)</f>
      </c>
      <c r="HQ169">
        <f>IF(ISBLANK('Data Entry'!$ġ$169), "", 'Data Entry'!$ġ$169)</f>
      </c>
      <c r="HR169">
        <f>IF(ISBLANK('Data Entry'!$Ģ$169), "", 'Data Entry'!$Ģ$169)</f>
      </c>
      <c r="HS169">
        <f>IF(ISBLANK('Data Entry'!$ģ$169), "", 'Data Entry'!$ģ$169)</f>
      </c>
      <c r="HT169">
        <f>IF(ISBLANK('Data Entry'!$Ĥ$169), "", 'Data Entry'!$Ĥ$169)</f>
      </c>
      <c r="HU169">
        <f>IF(ISBLANK('Data Entry'!$ĥ$169), "", 'Data Entry'!$ĥ$169)</f>
      </c>
      <c r="HV169">
        <f>IF(ISBLANK('Data Entry'!$Ħ$169), "", 'Data Entry'!$Ħ$169)</f>
      </c>
      <c r="HW169">
        <f>IF(ISBLANK('Data Entry'!$ħ$169), "", 'Data Entry'!$ħ$169)</f>
      </c>
      <c r="HX169">
        <f>IF(ISBLANK('Data Entry'!$Ĩ$169), "", 'Data Entry'!$Ĩ$169)</f>
      </c>
      <c r="HY169">
        <f>IF(ISBLANK('Data Entry'!$ĩ$169), "", 'Data Entry'!$ĩ$169)</f>
      </c>
      <c r="HZ169">
        <f>IF(ISBLANK('Data Entry'!$Ī$169), "", 'Data Entry'!$Ī$169)</f>
      </c>
      <c r="IA169">
        <f>IF(ISBLANK('Data Entry'!$ī$169), "", 'Data Entry'!$ī$169)</f>
      </c>
      <c r="IB169">
        <f>IF(ISBLANK('Data Entry'!$Ĭ$169), "", 'Data Entry'!$Ĭ$169)</f>
      </c>
      <c r="IC169">
        <f>IF(ISBLANK('Data Entry'!$ĭ$169), "", 'Data Entry'!$ĭ$169)</f>
      </c>
      <c r="ID169">
        <f>IF(ISBLANK('Data Entry'!$Į$169), "", 'Data Entry'!$Į$169)</f>
      </c>
      <c r="IE169">
        <f>IF(ISBLANK('Data Entry'!$į$169), "", 'Data Entry'!$į$169)</f>
      </c>
      <c r="IF169">
        <f>IF(ISBLANK('Data Entry'!$İ$169), "", 'Data Entry'!$İ$169)</f>
      </c>
      <c r="IG169">
        <f>IF(ISBLANK('Data Entry'!$ı$169), "", 'Data Entry'!$ı$169)</f>
      </c>
      <c r="IH169">
        <f>IF(ISBLANK('Data Entry'!$Ĳ$169), "", 'Data Entry'!$Ĳ$169)</f>
      </c>
      <c r="II169">
        <f>IF(ISBLANK('Data Entry'!$ĳ$169), "", 'Data Entry'!$ĳ$169)</f>
      </c>
      <c r="IJ169">
        <f>IF(ISBLANK('Data Entry'!$Ĵ$169), "", 'Data Entry'!$Ĵ$169)</f>
      </c>
      <c r="IK169">
        <f>IF(ISBLANK('Data Entry'!$ĵ$169), "", 'Data Entry'!$ĵ$169)</f>
      </c>
      <c r="IL169">
        <f>IF(ISBLANK('Data Entry'!$Ķ$169), "", 'Data Entry'!$Ķ$169)</f>
      </c>
      <c r="IM169">
        <f>IF(ISBLANK('Data Entry'!$ķ$169), "", 'Data Entry'!$ķ$169)</f>
      </c>
      <c r="IN169">
        <f>IF(ISBLANK('Data Entry'!$ĸ$169), "", 'Data Entry'!$ĸ$169)</f>
      </c>
      <c r="IO169">
        <f>IF(ISBLANK('Data Entry'!$Ĺ$169), "", 'Data Entry'!$Ĺ$169)</f>
      </c>
      <c r="IP169">
        <f>IF(ISBLANK('Data Entry'!$ĺ$169), "", 'Data Entry'!$ĺ$169)</f>
      </c>
      <c r="IQ169">
        <f>IF(ISBLANK('Data Entry'!$Ļ$169), "", 'Data Entry'!$Ļ$169)</f>
      </c>
      <c r="IR169">
        <f>IF(ISBLANK('Data Entry'!$ļ$169), "", 'Data Entry'!$ļ$169)</f>
      </c>
      <c r="IS169">
        <f>IF(ISBLANK('Data Entry'!$Ľ$169), "", 'Data Entry'!$Ľ$169)</f>
      </c>
      <c r="IT169">
        <f>IF(ISBLANK('Data Entry'!$ľ$169), "", 'Data Entry'!$ľ$169)</f>
      </c>
    </row>
    <row r="170" spans="1:254" x14ac:dyDescent="0.25">
      <c r="A170">
        <f>IF(ISBLANK('Data Entry'!$A$170), "", 'Data Entry'!$A$170)</f>
      </c>
      <c r="B170">
        <f>IF(ISBLANK('Data Entry'!$B$170), "", 'Data Entry'!$B$170)</f>
      </c>
      <c r="C170">
        <f>IF(ISBLANK('Data Entry'!$C$170), "", 'Data Entry'!$C$170)</f>
      </c>
      <c r="D170">
        <f>IF(ISBLANK('Data Entry'!$D$170), "", 'Data Entry'!$D$170)</f>
      </c>
      <c r="E170">
        <f>IF(ISBLANK('Data Entry'!$E$170), "", 'Data Entry'!$E$170)</f>
      </c>
      <c r="F170">
        <f>IF(ISBLANK('Data Entry'!$F$170), "", 'Data Entry'!$F$170)</f>
      </c>
      <c r="G170">
        <f>IF(ISBLANK('Data Entry'!$G$170), "", 'Data Entry'!$G$170)</f>
      </c>
      <c r="H170">
        <f>IF(ISBLANK('Data Entry'!$H$170), "", 'Data Entry'!$H$170)</f>
      </c>
      <c r="I170">
        <f>IF(ISBLANK('Data Entry'!$I$170), "", 'Data Entry'!$I$170)</f>
      </c>
      <c r="J170">
        <f>IF(ISBLANK('Data Entry'!$J$170), "", 'Data Entry'!$J$170)</f>
      </c>
      <c r="K170">
        <f>IF(ISBLANK('Data Entry'!$K$170), "", 'Data Entry'!$K$170)</f>
      </c>
      <c r="L170">
        <f>IF(ISBLANK('Data Entry'!$L$170), "", 'Data Entry'!$L$170)</f>
      </c>
      <c r="M170">
        <f>IF(ISBLANK('Data Entry'!$M$170), "", 'Data Entry'!$M$170)</f>
      </c>
      <c r="N170">
        <f>IF(ISBLANK('Data Entry'!$N$170), "", 'Data Entry'!$N$170)</f>
      </c>
      <c r="O170">
        <f>IF(ISBLANK('Data Entry'!$O$170), "", 'Data Entry'!$O$170)</f>
      </c>
      <c r="P170">
        <f>IF(ISBLANK('Data Entry'!$P$170), "", 'Data Entry'!$P$170)</f>
      </c>
      <c r="Q170">
        <f>IF(ISBLANK('Data Entry'!$Q$170), "", 'Data Entry'!$Q$170)</f>
      </c>
      <c r="R170">
        <f>IF(ISBLANK('Data Entry'!$R$170), "", 'Data Entry'!$R$170)</f>
      </c>
      <c r="S170">
        <f>IF(ISBLANK('Data Entry'!$S$170), "", 'Data Entry'!$S$170)</f>
      </c>
      <c r="T170">
        <f>IF(ISBLANK('Data Entry'!$T$170), "", 'Data Entry'!$T$170)</f>
      </c>
      <c r="U170">
        <f>IF(ISBLANK('Data Entry'!$U$170), "", 'Data Entry'!$U$170)</f>
      </c>
      <c r="V170">
        <f>IF(ISBLANK('Data Entry'!$V$170), "", 'Data Entry'!$V$170)</f>
      </c>
      <c r="W170">
        <f>IF(ISBLANK('Data Entry'!$W$170), "", 'Data Entry'!$W$170)</f>
      </c>
      <c r="X170">
        <f>IF(ISBLANK('Data Entry'!$X$170), "", 'Data Entry'!$X$170)</f>
      </c>
      <c r="Y170">
        <f>IF(ISBLANK('Data Entry'!$Y$170), "", 'Data Entry'!$Y$170)</f>
      </c>
      <c r="Z170">
        <f>IF(ISBLANK('Data Entry'!$Z$170), "", 'Data Entry'!$Z$170)</f>
      </c>
      <c r="AA170">
        <f>IF(ISBLANK('Data Entry'!$[$170), "", 'Data Entry'!$[$170)</f>
      </c>
      <c r="AB170">
        <f>IF(ISBLANK('Data Entry'!$\$170), "", 'Data Entry'!$\$170)</f>
      </c>
      <c r="AC170">
        <f>IF(ISBLANK('Data Entry'!$]$170), "", 'Data Entry'!$]$170)</f>
      </c>
      <c r="AD170">
        <f>IF(ISBLANK('Data Entry'!$^$170), "", 'Data Entry'!$^$170)</f>
      </c>
      <c r="AE170">
        <f>IF(ISBLANK('Data Entry'!$_$170), "", 'Data Entry'!$_$170)</f>
      </c>
      <c r="AF170">
        <f>IF(ISBLANK('Data Entry'!$`$170), "", 'Data Entry'!$`$170)</f>
      </c>
      <c r="AG170">
        <f>IF(ISBLANK('Data Entry'!$a$170), "", 'Data Entry'!$a$170)</f>
      </c>
      <c r="AH170">
        <f>IF(ISBLANK('Data Entry'!$b$170), "", 'Data Entry'!$b$170)</f>
      </c>
      <c r="AI170">
        <f>IF(ISBLANK('Data Entry'!$c$170), "", 'Data Entry'!$c$170)</f>
      </c>
      <c r="AJ170">
        <f>IF(ISBLANK('Data Entry'!$d$170), "", 'Data Entry'!$d$170)</f>
      </c>
      <c r="AK170">
        <f>IF(ISBLANK('Data Entry'!$e$170), "", 'Data Entry'!$e$170)</f>
      </c>
      <c r="AL170">
        <f>IF(ISBLANK('Data Entry'!$f$170), "", 'Data Entry'!$f$170)</f>
      </c>
      <c r="AM170">
        <f>IF(ISBLANK('Data Entry'!$g$170), "", 'Data Entry'!$g$170)</f>
      </c>
      <c r="AN170">
        <f>IF(ISBLANK('Data Entry'!$h$170), "", 'Data Entry'!$h$170)</f>
      </c>
      <c r="AO170">
        <f>IF(ISBLANK('Data Entry'!$i$170), "", 'Data Entry'!$i$170)</f>
      </c>
      <c r="AP170">
        <f>IF(ISBLANK('Data Entry'!$j$170), "", 'Data Entry'!$j$170)</f>
      </c>
      <c r="AQ170">
        <f>IF(ISBLANK('Data Entry'!$k$170), "", 'Data Entry'!$k$170)</f>
      </c>
      <c r="AR170">
        <f>IF(ISBLANK('Data Entry'!$l$170), "", 'Data Entry'!$l$170)</f>
      </c>
      <c r="AS170">
        <f>IF(ISBLANK('Data Entry'!$m$170), "", 'Data Entry'!$m$170)</f>
      </c>
      <c r="AT170">
        <f>IF(ISBLANK('Data Entry'!$n$170), "", 'Data Entry'!$n$170)</f>
      </c>
      <c r="AU170">
        <f>IF(ISBLANK('Data Entry'!$o$170), "", 'Data Entry'!$o$170)</f>
      </c>
      <c r="AV170">
        <f>IF(ISBLANK('Data Entry'!$p$170), "", 'Data Entry'!$p$170)</f>
      </c>
      <c r="AW170">
        <f>IF(ISBLANK('Data Entry'!$q$170), "", 'Data Entry'!$q$170)</f>
      </c>
      <c r="AX170">
        <f>IF(ISBLANK('Data Entry'!$r$170), "", 'Data Entry'!$r$170)</f>
      </c>
      <c r="AY170">
        <f>IF(ISBLANK('Data Entry'!$s$170), "", 'Data Entry'!$s$170)</f>
      </c>
      <c r="AZ170">
        <f>IF(ISBLANK('Data Entry'!$t$170), "", 'Data Entry'!$t$170)</f>
      </c>
      <c r="BA170">
        <f>IF(ISBLANK('Data Entry'!$u$170), "", 'Data Entry'!$u$170)</f>
      </c>
      <c r="BB170">
        <f>IF(ISBLANK('Data Entry'!$v$170), "", 'Data Entry'!$v$170)</f>
      </c>
      <c r="BC170">
        <f>IF(ISBLANK('Data Entry'!$w$170), "", 'Data Entry'!$w$170)</f>
      </c>
      <c r="BD170">
        <f>IF(ISBLANK('Data Entry'!$x$170), "", 'Data Entry'!$x$170)</f>
      </c>
      <c r="BE170">
        <f>IF(ISBLANK('Data Entry'!$y$170), "", 'Data Entry'!$y$170)</f>
      </c>
      <c r="BF170">
        <f>IF(ISBLANK('Data Entry'!$z$170), "", 'Data Entry'!$z$170)</f>
      </c>
      <c r="BG170">
        <f>IF(ISBLANK('Data Entry'!${$170), "", 'Data Entry'!${$170)</f>
      </c>
      <c r="BH170">
        <f>IF(ISBLANK('Data Entry'!$|$170), "", 'Data Entry'!$|$170)</f>
      </c>
      <c r="BI170">
        <f>IF(ISBLANK('Data Entry'!$}$170), "", 'Data Entry'!$}$170)</f>
      </c>
      <c r="BJ170">
        <f>IF(ISBLANK('Data Entry'!$~$170), "", 'Data Entry'!$~$170)</f>
      </c>
      <c r="BK170">
        <f>IF(ISBLANK('Data Entry'!$$170), "", 'Data Entry'!$$170)</f>
      </c>
      <c r="BL170">
        <f>IF(ISBLANK('Data Entry'!$$170), "", 'Data Entry'!$$170)</f>
      </c>
      <c r="BM170">
        <f>IF(ISBLANK('Data Entry'!$$170), "", 'Data Entry'!$$170)</f>
      </c>
      <c r="BN170">
        <f>IF(ISBLANK('Data Entry'!$$170), "", 'Data Entry'!$$170)</f>
      </c>
      <c r="BO170">
        <f>IF(ISBLANK('Data Entry'!$$170), "", 'Data Entry'!$$170)</f>
      </c>
      <c r="BP170">
        <f>IF(ISBLANK('Data Entry'!$$170), "", 'Data Entry'!$$170)</f>
      </c>
      <c r="BQ170">
        <f>IF(ISBLANK('Data Entry'!$$170), "", 'Data Entry'!$$170)</f>
      </c>
      <c r="BR170">
        <f>IF(ISBLANK('Data Entry'!$$170), "", 'Data Entry'!$$170)</f>
      </c>
      <c r="BS170">
        <f>IF(ISBLANK('Data Entry'!$$170), "", 'Data Entry'!$$170)</f>
      </c>
      <c r="BT170">
        <f>IF(ISBLANK('Data Entry'!$$170), "", 'Data Entry'!$$170)</f>
      </c>
      <c r="BU170">
        <f>IF(ISBLANK('Data Entry'!$$170), "", 'Data Entry'!$$170)</f>
      </c>
      <c r="BV170">
        <f>IF(ISBLANK('Data Entry'!$$170), "", 'Data Entry'!$$170)</f>
      </c>
      <c r="BW170">
        <f>IF(ISBLANK('Data Entry'!$$170), "", 'Data Entry'!$$170)</f>
      </c>
      <c r="BX170">
        <f>IF(ISBLANK('Data Entry'!$$170), "", 'Data Entry'!$$170)</f>
      </c>
      <c r="BY170">
        <f>IF(ISBLANK('Data Entry'!$$170), "", 'Data Entry'!$$170)</f>
      </c>
      <c r="BZ170">
        <f>IF(ISBLANK('Data Entry'!$$170), "", 'Data Entry'!$$170)</f>
      </c>
      <c r="CA170">
        <f>IF(ISBLANK('Data Entry'!$$170), "", 'Data Entry'!$$170)</f>
      </c>
      <c r="CB170">
        <f>IF(ISBLANK('Data Entry'!$$170), "", 'Data Entry'!$$170)</f>
      </c>
      <c r="CC170">
        <f>IF(ISBLANK('Data Entry'!$$170), "", 'Data Entry'!$$170)</f>
      </c>
      <c r="CD170">
        <f>IF(ISBLANK('Data Entry'!$$170), "", 'Data Entry'!$$170)</f>
      </c>
      <c r="CE170">
        <f>IF(ISBLANK('Data Entry'!$$170), "", 'Data Entry'!$$170)</f>
      </c>
      <c r="CF170">
        <f>IF(ISBLANK('Data Entry'!$$170), "", 'Data Entry'!$$170)</f>
      </c>
      <c r="CG170">
        <f>IF(ISBLANK('Data Entry'!$$170), "", 'Data Entry'!$$170)</f>
      </c>
      <c r="CH170">
        <f>IF(ISBLANK('Data Entry'!$$170), "", 'Data Entry'!$$170)</f>
      </c>
      <c r="CI170">
        <f>IF(ISBLANK('Data Entry'!$$170), "", 'Data Entry'!$$170)</f>
      </c>
      <c r="CJ170">
        <f>IF(ISBLANK('Data Entry'!$$170), "", 'Data Entry'!$$170)</f>
      </c>
      <c r="CK170">
        <f>IF(ISBLANK('Data Entry'!$$170), "", 'Data Entry'!$$170)</f>
      </c>
      <c r="CL170">
        <f>IF(ISBLANK('Data Entry'!$$170), "", 'Data Entry'!$$170)</f>
      </c>
      <c r="CM170">
        <f>IF(ISBLANK('Data Entry'!$$170), "", 'Data Entry'!$$170)</f>
      </c>
      <c r="CN170">
        <f>IF(ISBLANK('Data Entry'!$$170), "", 'Data Entry'!$$170)</f>
      </c>
      <c r="CO170">
        <f>IF(ISBLANK('Data Entry'!$$170), "", 'Data Entry'!$$170)</f>
      </c>
      <c r="CP170">
        <f>IF(ISBLANK('Data Entry'!$$170), "", 'Data Entry'!$$170)</f>
      </c>
      <c r="CQ170">
        <f>IF(ISBLANK('Data Entry'!$$170), "", 'Data Entry'!$$170)</f>
      </c>
      <c r="CR170">
        <f>IF(ISBLANK('Data Entry'!$ $170), "", 'Data Entry'!$ $170)</f>
      </c>
      <c r="CS170">
        <f>IF(ISBLANK('Data Entry'!$¡$170), "", 'Data Entry'!$¡$170)</f>
      </c>
      <c r="CT170">
        <f>IF(ISBLANK('Data Entry'!$¢$170), "", 'Data Entry'!$¢$170)</f>
      </c>
      <c r="CU170">
        <f>IF(ISBLANK('Data Entry'!$£$170), "", 'Data Entry'!$£$170)</f>
      </c>
      <c r="CV170">
        <f>IF(ISBLANK('Data Entry'!$¤$170), "", 'Data Entry'!$¤$170)</f>
      </c>
      <c r="CW170">
        <f>IF(ISBLANK('Data Entry'!$¥$170), "", 'Data Entry'!$¥$170)</f>
      </c>
      <c r="CX170">
        <f>IF(ISBLANK('Data Entry'!$¦$170), "", 'Data Entry'!$¦$170)</f>
      </c>
      <c r="CY170">
        <f>IF(ISBLANK('Data Entry'!$§$170), "", 'Data Entry'!$§$170)</f>
      </c>
      <c r="CZ170">
        <f>IF(ISBLANK('Data Entry'!$¨$170), "", 'Data Entry'!$¨$170)</f>
      </c>
      <c r="DA170">
        <f>IF(ISBLANK('Data Entry'!$©$170), "", 'Data Entry'!$©$170)</f>
      </c>
      <c r="DB170">
        <f>IF(ISBLANK('Data Entry'!$ª$170), "", 'Data Entry'!$ª$170)</f>
      </c>
      <c r="DC170">
        <f>IF(ISBLANK('Data Entry'!$«$170), "", 'Data Entry'!$«$170)</f>
      </c>
      <c r="DD170">
        <f>IF(ISBLANK('Data Entry'!$¬$170), "", 'Data Entry'!$¬$170)</f>
      </c>
      <c r="DE170">
        <f>IF(ISBLANK('Data Entry'!$­$170), "", 'Data Entry'!$­$170)</f>
      </c>
      <c r="DF170">
        <f>IF(ISBLANK('Data Entry'!$®$170), "", 'Data Entry'!$®$170)</f>
      </c>
      <c r="DG170">
        <f>IF(ISBLANK('Data Entry'!$¯$170), "", 'Data Entry'!$¯$170)</f>
      </c>
      <c r="DH170">
        <f>IF(ISBLANK('Data Entry'!$°$170), "", 'Data Entry'!$°$170)</f>
      </c>
      <c r="DI170">
        <f>IF(ISBLANK('Data Entry'!$±$170), "", 'Data Entry'!$±$170)</f>
      </c>
      <c r="DJ170">
        <f>IF(ISBLANK('Data Entry'!$²$170), "", 'Data Entry'!$²$170)</f>
      </c>
      <c r="DK170">
        <f>IF(ISBLANK('Data Entry'!$³$170), "", 'Data Entry'!$³$170)</f>
      </c>
      <c r="DL170">
        <f>IF(ISBLANK('Data Entry'!$´$170), "", 'Data Entry'!$´$170)</f>
      </c>
      <c r="DM170">
        <f>IF(ISBLANK('Data Entry'!$µ$170), "", 'Data Entry'!$µ$170)</f>
      </c>
      <c r="DN170">
        <f>IF(ISBLANK('Data Entry'!$¶$170), "", 'Data Entry'!$¶$170)</f>
      </c>
      <c r="DO170">
        <f>IF(ISBLANK('Data Entry'!$·$170), "", 'Data Entry'!$·$170)</f>
      </c>
      <c r="DP170">
        <f>IF(ISBLANK('Data Entry'!$¸$170), "", 'Data Entry'!$¸$170)</f>
      </c>
      <c r="DQ170">
        <f>IF(ISBLANK('Data Entry'!$¹$170), "", 'Data Entry'!$¹$170)</f>
      </c>
      <c r="DR170">
        <f>IF(ISBLANK('Data Entry'!$º$170), "", 'Data Entry'!$º$170)</f>
      </c>
      <c r="DS170">
        <f>IF(ISBLANK('Data Entry'!$»$170), "", 'Data Entry'!$»$170)</f>
      </c>
      <c r="DT170">
        <f>IF(ISBLANK('Data Entry'!$¼$170), "", 'Data Entry'!$¼$170)</f>
      </c>
      <c r="DU170">
        <f>IF(ISBLANK('Data Entry'!$½$170), "", 'Data Entry'!$½$170)</f>
      </c>
      <c r="DV170">
        <f>IF(ISBLANK('Data Entry'!$¾$170), "", 'Data Entry'!$¾$170)</f>
      </c>
      <c r="DW170">
        <f>IF(ISBLANK('Data Entry'!$¿$170), "", 'Data Entry'!$¿$170)</f>
      </c>
      <c r="DX170">
        <f>IF(ISBLANK('Data Entry'!$À$170), "", 'Data Entry'!$À$170)</f>
      </c>
      <c r="DY170">
        <f>IF(ISBLANK('Data Entry'!$Á$170), "", 'Data Entry'!$Á$170)</f>
      </c>
      <c r="DZ170">
        <f>IF(ISBLANK('Data Entry'!$Â$170), "", 'Data Entry'!$Â$170)</f>
      </c>
      <c r="EA170">
        <f>IF(ISBLANK('Data Entry'!$Ã$170), "", 'Data Entry'!$Ã$170)</f>
      </c>
      <c r="EB170">
        <f>IF(ISBLANK('Data Entry'!$Ä$170), "", 'Data Entry'!$Ä$170)</f>
      </c>
      <c r="EC170">
        <f>IF(ISBLANK('Data Entry'!$Å$170), "", 'Data Entry'!$Å$170)</f>
      </c>
      <c r="ED170">
        <f>IF(ISBLANK('Data Entry'!$Æ$170), "", 'Data Entry'!$Æ$170)</f>
      </c>
      <c r="EE170">
        <f>IF(ISBLANK('Data Entry'!$Ç$170), "", 'Data Entry'!$Ç$170)</f>
      </c>
      <c r="EF170">
        <f>IF(ISBLANK('Data Entry'!$È$170), "", 'Data Entry'!$È$170)</f>
      </c>
      <c r="EG170">
        <f>IF(ISBLANK('Data Entry'!$É$170), "", 'Data Entry'!$É$170)</f>
      </c>
      <c r="EH170">
        <f>IF(ISBLANK('Data Entry'!$Ê$170), "", 'Data Entry'!$Ê$170)</f>
      </c>
      <c r="EI170">
        <f>IF(ISBLANK('Data Entry'!$Ë$170), "", 'Data Entry'!$Ë$170)</f>
      </c>
      <c r="EJ170">
        <f>IF(ISBLANK('Data Entry'!$Ì$170), "", 'Data Entry'!$Ì$170)</f>
      </c>
      <c r="EK170">
        <f>IF(ISBLANK('Data Entry'!$Í$170), "", 'Data Entry'!$Í$170)</f>
      </c>
      <c r="EL170">
        <f>IF(ISBLANK('Data Entry'!$Î$170), "", 'Data Entry'!$Î$170)</f>
      </c>
      <c r="EM170">
        <f>IF(ISBLANK('Data Entry'!$Ï$170), "", 'Data Entry'!$Ï$170)</f>
      </c>
      <c r="EN170">
        <f>IF(ISBLANK('Data Entry'!$Ð$170), "", 'Data Entry'!$Ð$170)</f>
      </c>
      <c r="EO170">
        <f>IF(ISBLANK('Data Entry'!$Ñ$170), "", 'Data Entry'!$Ñ$170)</f>
      </c>
      <c r="EP170">
        <f>IF(ISBLANK('Data Entry'!$Ò$170), "", 'Data Entry'!$Ò$170)</f>
      </c>
      <c r="EQ170">
        <f>IF(ISBLANK('Data Entry'!$Ó$170), "", 'Data Entry'!$Ó$170)</f>
      </c>
      <c r="ER170">
        <f>IF(ISBLANK('Data Entry'!$Ô$170), "", 'Data Entry'!$Ô$170)</f>
      </c>
      <c r="ES170">
        <f>IF(ISBLANK('Data Entry'!$Õ$170), "", 'Data Entry'!$Õ$170)</f>
      </c>
      <c r="ET170">
        <f>IF(ISBLANK('Data Entry'!$Ö$170), "", 'Data Entry'!$Ö$170)</f>
      </c>
      <c r="EU170">
        <f>IF(ISBLANK('Data Entry'!$×$170), "", 'Data Entry'!$×$170)</f>
      </c>
      <c r="EV170">
        <f>IF(ISBLANK('Data Entry'!$Ø$170), "", 'Data Entry'!$Ø$170)</f>
      </c>
      <c r="EW170">
        <f>IF(ISBLANK('Data Entry'!$Ù$170), "", 'Data Entry'!$Ù$170)</f>
      </c>
      <c r="EX170">
        <f>IF(ISBLANK('Data Entry'!$Ú$170), "", 'Data Entry'!$Ú$170)</f>
      </c>
      <c r="EY170">
        <f>IF(ISBLANK('Data Entry'!$Û$170), "", 'Data Entry'!$Û$170)</f>
      </c>
      <c r="EZ170">
        <f>IF(ISBLANK('Data Entry'!$Ü$170), "", 'Data Entry'!$Ü$170)</f>
      </c>
      <c r="FA170">
        <f>IF(ISBLANK('Data Entry'!$Ý$170), "", 'Data Entry'!$Ý$170)</f>
      </c>
      <c r="FB170">
        <f>IF(ISBLANK('Data Entry'!$Þ$170), "", 'Data Entry'!$Þ$170)</f>
      </c>
      <c r="FC170">
        <f>IF(ISBLANK('Data Entry'!$ß$170), "", 'Data Entry'!$ß$170)</f>
      </c>
      <c r="FD170">
        <f>IF(ISBLANK('Data Entry'!$à$170), "", 'Data Entry'!$à$170)</f>
      </c>
      <c r="FE170">
        <f>IF(ISBLANK('Data Entry'!$á$170), "", 'Data Entry'!$á$170)</f>
      </c>
      <c r="FF170">
        <f>IF(ISBLANK('Data Entry'!$â$170), "", 'Data Entry'!$â$170)</f>
      </c>
      <c r="FG170">
        <f>IF(ISBLANK('Data Entry'!$ã$170), "", 'Data Entry'!$ã$170)</f>
      </c>
      <c r="FH170">
        <f>IF(ISBLANK('Data Entry'!$ä$170), "", 'Data Entry'!$ä$170)</f>
      </c>
      <c r="FI170">
        <f>IF(ISBLANK('Data Entry'!$å$170), "", 'Data Entry'!$å$170)</f>
      </c>
      <c r="FJ170">
        <f>IF(ISBLANK('Data Entry'!$æ$170), "", 'Data Entry'!$æ$170)</f>
      </c>
      <c r="FK170">
        <f>IF(ISBLANK('Data Entry'!$ç$170), "", 'Data Entry'!$ç$170)</f>
      </c>
      <c r="FL170">
        <f>IF(ISBLANK('Data Entry'!$è$170), "", 'Data Entry'!$è$170)</f>
      </c>
      <c r="FM170">
        <f>IF(ISBLANK('Data Entry'!$é$170), "", 'Data Entry'!$é$170)</f>
      </c>
      <c r="FN170">
        <f>IF(ISBLANK('Data Entry'!$ê$170), "", 'Data Entry'!$ê$170)</f>
      </c>
      <c r="FO170">
        <f>IF(ISBLANK('Data Entry'!$ë$170), "", 'Data Entry'!$ë$170)</f>
      </c>
      <c r="FP170">
        <f>IF(ISBLANK('Data Entry'!$ì$170), "", 'Data Entry'!$ì$170)</f>
      </c>
      <c r="FQ170">
        <f>IF(ISBLANK('Data Entry'!$í$170), "", 'Data Entry'!$í$170)</f>
      </c>
      <c r="FR170">
        <f>IF(ISBLANK('Data Entry'!$î$170), "", 'Data Entry'!$î$170)</f>
      </c>
      <c r="FS170">
        <f>IF(ISBLANK('Data Entry'!$ï$170), "", 'Data Entry'!$ï$170)</f>
      </c>
      <c r="FT170">
        <f>IF(ISBLANK('Data Entry'!$ð$170), "", 'Data Entry'!$ð$170)</f>
      </c>
      <c r="FU170">
        <f>IF(ISBLANK('Data Entry'!$ñ$170), "", 'Data Entry'!$ñ$170)</f>
      </c>
      <c r="FV170">
        <f>IF(ISBLANK('Data Entry'!$ò$170), "", 'Data Entry'!$ò$170)</f>
      </c>
      <c r="FW170">
        <f>IF(ISBLANK('Data Entry'!$ó$170), "", 'Data Entry'!$ó$170)</f>
      </c>
      <c r="FX170">
        <f>IF(ISBLANK('Data Entry'!$ô$170), "", 'Data Entry'!$ô$170)</f>
      </c>
      <c r="FY170">
        <f>IF(ISBLANK('Data Entry'!$õ$170), "", 'Data Entry'!$õ$170)</f>
      </c>
      <c r="FZ170">
        <f>IF(ISBLANK('Data Entry'!$ö$170), "", 'Data Entry'!$ö$170)</f>
      </c>
      <c r="GA170">
        <f>IF(ISBLANK('Data Entry'!$÷$170), "", 'Data Entry'!$÷$170)</f>
      </c>
      <c r="GB170">
        <f>IF(ISBLANK('Data Entry'!$ø$170), "", 'Data Entry'!$ø$170)</f>
      </c>
      <c r="GC170">
        <f>IF(ISBLANK('Data Entry'!$ù$170), "", 'Data Entry'!$ù$170)</f>
      </c>
      <c r="GD170">
        <f>IF(ISBLANK('Data Entry'!$ú$170), "", 'Data Entry'!$ú$170)</f>
      </c>
      <c r="GE170">
        <f>IF(ISBLANK('Data Entry'!$û$170), "", 'Data Entry'!$û$170)</f>
      </c>
      <c r="GF170">
        <f>IF(ISBLANK('Data Entry'!$ü$170), "", 'Data Entry'!$ü$170)</f>
      </c>
      <c r="GG170">
        <f>IF(ISBLANK('Data Entry'!$ý$170), "", 'Data Entry'!$ý$170)</f>
      </c>
      <c r="GH170">
        <f>IF(ISBLANK('Data Entry'!$þ$170), "", 'Data Entry'!$þ$170)</f>
      </c>
      <c r="GI170">
        <f>IF(ISBLANK('Data Entry'!$ÿ$170), "", 'Data Entry'!$ÿ$170)</f>
      </c>
      <c r="GJ170">
        <f>IF(ISBLANK('Data Entry'!$Ā$170), "", 'Data Entry'!$Ā$170)</f>
      </c>
      <c r="GK170">
        <f>IF(ISBLANK('Data Entry'!$ā$170), "", 'Data Entry'!$ā$170)</f>
      </c>
      <c r="GL170">
        <f>IF(ISBLANK('Data Entry'!$Ă$170), "", 'Data Entry'!$Ă$170)</f>
      </c>
      <c r="GM170">
        <f>IF(ISBLANK('Data Entry'!$ă$170), "", 'Data Entry'!$ă$170)</f>
      </c>
      <c r="GN170">
        <f>IF(ISBLANK('Data Entry'!$Ą$170), "", 'Data Entry'!$Ą$170)</f>
      </c>
      <c r="GO170">
        <f>IF(ISBLANK('Data Entry'!$ą$170), "", 'Data Entry'!$ą$170)</f>
      </c>
      <c r="GP170">
        <f>IF(ISBLANK('Data Entry'!$Ć$170), "", 'Data Entry'!$Ć$170)</f>
      </c>
      <c r="GQ170">
        <f>IF(ISBLANK('Data Entry'!$ć$170), "", 'Data Entry'!$ć$170)</f>
      </c>
      <c r="GR170">
        <f>IF(ISBLANK('Data Entry'!$Ĉ$170), "", 'Data Entry'!$Ĉ$170)</f>
      </c>
      <c r="GS170">
        <f>IF(ISBLANK('Data Entry'!$ĉ$170), "", 'Data Entry'!$ĉ$170)</f>
      </c>
      <c r="GT170">
        <f>IF(ISBLANK('Data Entry'!$Ċ$170), "", 'Data Entry'!$Ċ$170)</f>
      </c>
      <c r="GU170">
        <f>IF(ISBLANK('Data Entry'!$ċ$170), "", 'Data Entry'!$ċ$170)</f>
      </c>
      <c r="GV170">
        <f>IF(ISBLANK('Data Entry'!$Č$170), "", 'Data Entry'!$Č$170)</f>
      </c>
      <c r="GW170">
        <f>IF(ISBLANK('Data Entry'!$č$170), "", 'Data Entry'!$č$170)</f>
      </c>
      <c r="GX170">
        <f>IF(ISBLANK('Data Entry'!$Ď$170), "", 'Data Entry'!$Ď$170)</f>
      </c>
      <c r="GY170">
        <f>IF(ISBLANK('Data Entry'!$ď$170), "", 'Data Entry'!$ď$170)</f>
      </c>
      <c r="GZ170">
        <f>IF(ISBLANK('Data Entry'!$Đ$170), "", 'Data Entry'!$Đ$170)</f>
      </c>
      <c r="HA170">
        <f>IF(ISBLANK('Data Entry'!$đ$170), "", 'Data Entry'!$đ$170)</f>
      </c>
      <c r="HB170">
        <f>IF(ISBLANK('Data Entry'!$Ē$170), "", 'Data Entry'!$Ē$170)</f>
      </c>
      <c r="HC170">
        <f>IF(ISBLANK('Data Entry'!$ē$170), "", 'Data Entry'!$ē$170)</f>
      </c>
      <c r="HD170">
        <f>IF(ISBLANK('Data Entry'!$Ĕ$170), "", 'Data Entry'!$Ĕ$170)</f>
      </c>
      <c r="HE170">
        <f>IF(ISBLANK('Data Entry'!$ĕ$170), "", 'Data Entry'!$ĕ$170)</f>
      </c>
      <c r="HF170">
        <f>IF(ISBLANK('Data Entry'!$Ė$170), "", 'Data Entry'!$Ė$170)</f>
      </c>
      <c r="HG170">
        <f>IF(ISBLANK('Data Entry'!$ė$170), "", 'Data Entry'!$ė$170)</f>
      </c>
      <c r="HH170">
        <f>IF(ISBLANK('Data Entry'!$Ę$170), "", 'Data Entry'!$Ę$170)</f>
      </c>
      <c r="HI170">
        <f>IF(ISBLANK('Data Entry'!$ę$170), "", 'Data Entry'!$ę$170)</f>
      </c>
      <c r="HJ170">
        <f>IF(ISBLANK('Data Entry'!$Ě$170), "", 'Data Entry'!$Ě$170)</f>
      </c>
      <c r="HK170">
        <f>IF(ISBLANK('Data Entry'!$ě$170), "", 'Data Entry'!$ě$170)</f>
      </c>
      <c r="HL170">
        <f>IF(ISBLANK('Data Entry'!$Ĝ$170), "", 'Data Entry'!$Ĝ$170)</f>
      </c>
      <c r="HM170">
        <f>IF(ISBLANK('Data Entry'!$ĝ$170), "", 'Data Entry'!$ĝ$170)</f>
      </c>
      <c r="HN170">
        <f>IF(ISBLANK('Data Entry'!$Ğ$170), "", 'Data Entry'!$Ğ$170)</f>
      </c>
      <c r="HO170">
        <f>IF(ISBLANK('Data Entry'!$ğ$170), "", 'Data Entry'!$ğ$170)</f>
      </c>
      <c r="HP170">
        <f>IF(ISBLANK('Data Entry'!$Ġ$170), "", 'Data Entry'!$Ġ$170)</f>
      </c>
      <c r="HQ170">
        <f>IF(ISBLANK('Data Entry'!$ġ$170), "", 'Data Entry'!$ġ$170)</f>
      </c>
      <c r="HR170">
        <f>IF(ISBLANK('Data Entry'!$Ģ$170), "", 'Data Entry'!$Ģ$170)</f>
      </c>
      <c r="HS170">
        <f>IF(ISBLANK('Data Entry'!$ģ$170), "", 'Data Entry'!$ģ$170)</f>
      </c>
      <c r="HT170">
        <f>IF(ISBLANK('Data Entry'!$Ĥ$170), "", 'Data Entry'!$Ĥ$170)</f>
      </c>
      <c r="HU170">
        <f>IF(ISBLANK('Data Entry'!$ĥ$170), "", 'Data Entry'!$ĥ$170)</f>
      </c>
      <c r="HV170">
        <f>IF(ISBLANK('Data Entry'!$Ħ$170), "", 'Data Entry'!$Ħ$170)</f>
      </c>
      <c r="HW170">
        <f>IF(ISBLANK('Data Entry'!$ħ$170), "", 'Data Entry'!$ħ$170)</f>
      </c>
      <c r="HX170">
        <f>IF(ISBLANK('Data Entry'!$Ĩ$170), "", 'Data Entry'!$Ĩ$170)</f>
      </c>
      <c r="HY170">
        <f>IF(ISBLANK('Data Entry'!$ĩ$170), "", 'Data Entry'!$ĩ$170)</f>
      </c>
      <c r="HZ170">
        <f>IF(ISBLANK('Data Entry'!$Ī$170), "", 'Data Entry'!$Ī$170)</f>
      </c>
      <c r="IA170">
        <f>IF(ISBLANK('Data Entry'!$ī$170), "", 'Data Entry'!$ī$170)</f>
      </c>
      <c r="IB170">
        <f>IF(ISBLANK('Data Entry'!$Ĭ$170), "", 'Data Entry'!$Ĭ$170)</f>
      </c>
      <c r="IC170">
        <f>IF(ISBLANK('Data Entry'!$ĭ$170), "", 'Data Entry'!$ĭ$170)</f>
      </c>
      <c r="ID170">
        <f>IF(ISBLANK('Data Entry'!$Į$170), "", 'Data Entry'!$Į$170)</f>
      </c>
      <c r="IE170">
        <f>IF(ISBLANK('Data Entry'!$į$170), "", 'Data Entry'!$į$170)</f>
      </c>
      <c r="IF170">
        <f>IF(ISBLANK('Data Entry'!$İ$170), "", 'Data Entry'!$İ$170)</f>
      </c>
      <c r="IG170">
        <f>IF(ISBLANK('Data Entry'!$ı$170), "", 'Data Entry'!$ı$170)</f>
      </c>
      <c r="IH170">
        <f>IF(ISBLANK('Data Entry'!$Ĳ$170), "", 'Data Entry'!$Ĳ$170)</f>
      </c>
      <c r="II170">
        <f>IF(ISBLANK('Data Entry'!$ĳ$170), "", 'Data Entry'!$ĳ$170)</f>
      </c>
      <c r="IJ170">
        <f>IF(ISBLANK('Data Entry'!$Ĵ$170), "", 'Data Entry'!$Ĵ$170)</f>
      </c>
      <c r="IK170">
        <f>IF(ISBLANK('Data Entry'!$ĵ$170), "", 'Data Entry'!$ĵ$170)</f>
      </c>
      <c r="IL170">
        <f>IF(ISBLANK('Data Entry'!$Ķ$170), "", 'Data Entry'!$Ķ$170)</f>
      </c>
      <c r="IM170">
        <f>IF(ISBLANK('Data Entry'!$ķ$170), "", 'Data Entry'!$ķ$170)</f>
      </c>
      <c r="IN170">
        <f>IF(ISBLANK('Data Entry'!$ĸ$170), "", 'Data Entry'!$ĸ$170)</f>
      </c>
      <c r="IO170">
        <f>IF(ISBLANK('Data Entry'!$Ĺ$170), "", 'Data Entry'!$Ĺ$170)</f>
      </c>
      <c r="IP170">
        <f>IF(ISBLANK('Data Entry'!$ĺ$170), "", 'Data Entry'!$ĺ$170)</f>
      </c>
      <c r="IQ170">
        <f>IF(ISBLANK('Data Entry'!$Ļ$170), "", 'Data Entry'!$Ļ$170)</f>
      </c>
      <c r="IR170">
        <f>IF(ISBLANK('Data Entry'!$ļ$170), "", 'Data Entry'!$ļ$170)</f>
      </c>
      <c r="IS170">
        <f>IF(ISBLANK('Data Entry'!$Ľ$170), "", 'Data Entry'!$Ľ$170)</f>
      </c>
      <c r="IT170">
        <f>IF(ISBLANK('Data Entry'!$ľ$170), "", 'Data Entry'!$ľ$170)</f>
      </c>
    </row>
    <row r="171" spans="1:254" x14ac:dyDescent="0.25">
      <c r="A171">
        <f>IF(ISBLANK('Data Entry'!$A$171), "", 'Data Entry'!$A$171)</f>
      </c>
      <c r="B171">
        <f>IF(ISBLANK('Data Entry'!$B$171), "", 'Data Entry'!$B$171)</f>
      </c>
      <c r="C171">
        <f>IF(ISBLANK('Data Entry'!$C$171), "", 'Data Entry'!$C$171)</f>
      </c>
      <c r="D171">
        <f>IF(ISBLANK('Data Entry'!$D$171), "", 'Data Entry'!$D$171)</f>
      </c>
      <c r="E171">
        <f>IF(ISBLANK('Data Entry'!$E$171), "", 'Data Entry'!$E$171)</f>
      </c>
      <c r="F171">
        <f>IF(ISBLANK('Data Entry'!$F$171), "", 'Data Entry'!$F$171)</f>
      </c>
      <c r="G171">
        <f>IF(ISBLANK('Data Entry'!$G$171), "", 'Data Entry'!$G$171)</f>
      </c>
      <c r="H171">
        <f>IF(ISBLANK('Data Entry'!$H$171), "", 'Data Entry'!$H$171)</f>
      </c>
      <c r="I171">
        <f>IF(ISBLANK('Data Entry'!$I$171), "", 'Data Entry'!$I$171)</f>
      </c>
      <c r="J171">
        <f>IF(ISBLANK('Data Entry'!$J$171), "", 'Data Entry'!$J$171)</f>
      </c>
      <c r="K171">
        <f>IF(ISBLANK('Data Entry'!$K$171), "", 'Data Entry'!$K$171)</f>
      </c>
      <c r="L171">
        <f>IF(ISBLANK('Data Entry'!$L$171), "", 'Data Entry'!$L$171)</f>
      </c>
      <c r="M171">
        <f>IF(ISBLANK('Data Entry'!$M$171), "", 'Data Entry'!$M$171)</f>
      </c>
      <c r="N171">
        <f>IF(ISBLANK('Data Entry'!$N$171), "", 'Data Entry'!$N$171)</f>
      </c>
      <c r="O171">
        <f>IF(ISBLANK('Data Entry'!$O$171), "", 'Data Entry'!$O$171)</f>
      </c>
      <c r="P171">
        <f>IF(ISBLANK('Data Entry'!$P$171), "", 'Data Entry'!$P$171)</f>
      </c>
      <c r="Q171">
        <f>IF(ISBLANK('Data Entry'!$Q$171), "", 'Data Entry'!$Q$171)</f>
      </c>
      <c r="R171">
        <f>IF(ISBLANK('Data Entry'!$R$171), "", 'Data Entry'!$R$171)</f>
      </c>
      <c r="S171">
        <f>IF(ISBLANK('Data Entry'!$S$171), "", 'Data Entry'!$S$171)</f>
      </c>
      <c r="T171">
        <f>IF(ISBLANK('Data Entry'!$T$171), "", 'Data Entry'!$T$171)</f>
      </c>
      <c r="U171">
        <f>IF(ISBLANK('Data Entry'!$U$171), "", 'Data Entry'!$U$171)</f>
      </c>
      <c r="V171">
        <f>IF(ISBLANK('Data Entry'!$V$171), "", 'Data Entry'!$V$171)</f>
      </c>
      <c r="W171">
        <f>IF(ISBLANK('Data Entry'!$W$171), "", 'Data Entry'!$W$171)</f>
      </c>
      <c r="X171">
        <f>IF(ISBLANK('Data Entry'!$X$171), "", 'Data Entry'!$X$171)</f>
      </c>
      <c r="Y171">
        <f>IF(ISBLANK('Data Entry'!$Y$171), "", 'Data Entry'!$Y$171)</f>
      </c>
      <c r="Z171">
        <f>IF(ISBLANK('Data Entry'!$Z$171), "", 'Data Entry'!$Z$171)</f>
      </c>
      <c r="AA171">
        <f>IF(ISBLANK('Data Entry'!$[$171), "", 'Data Entry'!$[$171)</f>
      </c>
      <c r="AB171">
        <f>IF(ISBLANK('Data Entry'!$\$171), "", 'Data Entry'!$\$171)</f>
      </c>
      <c r="AC171">
        <f>IF(ISBLANK('Data Entry'!$]$171), "", 'Data Entry'!$]$171)</f>
      </c>
      <c r="AD171">
        <f>IF(ISBLANK('Data Entry'!$^$171), "", 'Data Entry'!$^$171)</f>
      </c>
      <c r="AE171">
        <f>IF(ISBLANK('Data Entry'!$_$171), "", 'Data Entry'!$_$171)</f>
      </c>
      <c r="AF171">
        <f>IF(ISBLANK('Data Entry'!$`$171), "", 'Data Entry'!$`$171)</f>
      </c>
      <c r="AG171">
        <f>IF(ISBLANK('Data Entry'!$a$171), "", 'Data Entry'!$a$171)</f>
      </c>
      <c r="AH171">
        <f>IF(ISBLANK('Data Entry'!$b$171), "", 'Data Entry'!$b$171)</f>
      </c>
      <c r="AI171">
        <f>IF(ISBLANK('Data Entry'!$c$171), "", 'Data Entry'!$c$171)</f>
      </c>
      <c r="AJ171">
        <f>IF(ISBLANK('Data Entry'!$d$171), "", 'Data Entry'!$d$171)</f>
      </c>
      <c r="AK171">
        <f>IF(ISBLANK('Data Entry'!$e$171), "", 'Data Entry'!$e$171)</f>
      </c>
      <c r="AL171">
        <f>IF(ISBLANK('Data Entry'!$f$171), "", 'Data Entry'!$f$171)</f>
      </c>
      <c r="AM171">
        <f>IF(ISBLANK('Data Entry'!$g$171), "", 'Data Entry'!$g$171)</f>
      </c>
      <c r="AN171">
        <f>IF(ISBLANK('Data Entry'!$h$171), "", 'Data Entry'!$h$171)</f>
      </c>
      <c r="AO171">
        <f>IF(ISBLANK('Data Entry'!$i$171), "", 'Data Entry'!$i$171)</f>
      </c>
      <c r="AP171">
        <f>IF(ISBLANK('Data Entry'!$j$171), "", 'Data Entry'!$j$171)</f>
      </c>
      <c r="AQ171">
        <f>IF(ISBLANK('Data Entry'!$k$171), "", 'Data Entry'!$k$171)</f>
      </c>
      <c r="AR171">
        <f>IF(ISBLANK('Data Entry'!$l$171), "", 'Data Entry'!$l$171)</f>
      </c>
      <c r="AS171">
        <f>IF(ISBLANK('Data Entry'!$m$171), "", 'Data Entry'!$m$171)</f>
      </c>
      <c r="AT171">
        <f>IF(ISBLANK('Data Entry'!$n$171), "", 'Data Entry'!$n$171)</f>
      </c>
      <c r="AU171">
        <f>IF(ISBLANK('Data Entry'!$o$171), "", 'Data Entry'!$o$171)</f>
      </c>
      <c r="AV171">
        <f>IF(ISBLANK('Data Entry'!$p$171), "", 'Data Entry'!$p$171)</f>
      </c>
      <c r="AW171">
        <f>IF(ISBLANK('Data Entry'!$q$171), "", 'Data Entry'!$q$171)</f>
      </c>
      <c r="AX171">
        <f>IF(ISBLANK('Data Entry'!$r$171), "", 'Data Entry'!$r$171)</f>
      </c>
      <c r="AY171">
        <f>IF(ISBLANK('Data Entry'!$s$171), "", 'Data Entry'!$s$171)</f>
      </c>
      <c r="AZ171">
        <f>IF(ISBLANK('Data Entry'!$t$171), "", 'Data Entry'!$t$171)</f>
      </c>
      <c r="BA171">
        <f>IF(ISBLANK('Data Entry'!$u$171), "", 'Data Entry'!$u$171)</f>
      </c>
      <c r="BB171">
        <f>IF(ISBLANK('Data Entry'!$v$171), "", 'Data Entry'!$v$171)</f>
      </c>
      <c r="BC171">
        <f>IF(ISBLANK('Data Entry'!$w$171), "", 'Data Entry'!$w$171)</f>
      </c>
      <c r="BD171">
        <f>IF(ISBLANK('Data Entry'!$x$171), "", 'Data Entry'!$x$171)</f>
      </c>
      <c r="BE171">
        <f>IF(ISBLANK('Data Entry'!$y$171), "", 'Data Entry'!$y$171)</f>
      </c>
      <c r="BF171">
        <f>IF(ISBLANK('Data Entry'!$z$171), "", 'Data Entry'!$z$171)</f>
      </c>
      <c r="BG171">
        <f>IF(ISBLANK('Data Entry'!${$171), "", 'Data Entry'!${$171)</f>
      </c>
      <c r="BH171">
        <f>IF(ISBLANK('Data Entry'!$|$171), "", 'Data Entry'!$|$171)</f>
      </c>
      <c r="BI171">
        <f>IF(ISBLANK('Data Entry'!$}$171), "", 'Data Entry'!$}$171)</f>
      </c>
      <c r="BJ171">
        <f>IF(ISBLANK('Data Entry'!$~$171), "", 'Data Entry'!$~$171)</f>
      </c>
      <c r="BK171">
        <f>IF(ISBLANK('Data Entry'!$$171), "", 'Data Entry'!$$171)</f>
      </c>
      <c r="BL171">
        <f>IF(ISBLANK('Data Entry'!$$171), "", 'Data Entry'!$$171)</f>
      </c>
      <c r="BM171">
        <f>IF(ISBLANK('Data Entry'!$$171), "", 'Data Entry'!$$171)</f>
      </c>
      <c r="BN171">
        <f>IF(ISBLANK('Data Entry'!$$171), "", 'Data Entry'!$$171)</f>
      </c>
      <c r="BO171">
        <f>IF(ISBLANK('Data Entry'!$$171), "", 'Data Entry'!$$171)</f>
      </c>
      <c r="BP171">
        <f>IF(ISBLANK('Data Entry'!$$171), "", 'Data Entry'!$$171)</f>
      </c>
      <c r="BQ171">
        <f>IF(ISBLANK('Data Entry'!$$171), "", 'Data Entry'!$$171)</f>
      </c>
      <c r="BR171">
        <f>IF(ISBLANK('Data Entry'!$$171), "", 'Data Entry'!$$171)</f>
      </c>
      <c r="BS171">
        <f>IF(ISBLANK('Data Entry'!$$171), "", 'Data Entry'!$$171)</f>
      </c>
      <c r="BT171">
        <f>IF(ISBLANK('Data Entry'!$$171), "", 'Data Entry'!$$171)</f>
      </c>
      <c r="BU171">
        <f>IF(ISBLANK('Data Entry'!$$171), "", 'Data Entry'!$$171)</f>
      </c>
      <c r="BV171">
        <f>IF(ISBLANK('Data Entry'!$$171), "", 'Data Entry'!$$171)</f>
      </c>
      <c r="BW171">
        <f>IF(ISBLANK('Data Entry'!$$171), "", 'Data Entry'!$$171)</f>
      </c>
      <c r="BX171">
        <f>IF(ISBLANK('Data Entry'!$$171), "", 'Data Entry'!$$171)</f>
      </c>
      <c r="BY171">
        <f>IF(ISBLANK('Data Entry'!$$171), "", 'Data Entry'!$$171)</f>
      </c>
      <c r="BZ171">
        <f>IF(ISBLANK('Data Entry'!$$171), "", 'Data Entry'!$$171)</f>
      </c>
      <c r="CA171">
        <f>IF(ISBLANK('Data Entry'!$$171), "", 'Data Entry'!$$171)</f>
      </c>
      <c r="CB171">
        <f>IF(ISBLANK('Data Entry'!$$171), "", 'Data Entry'!$$171)</f>
      </c>
      <c r="CC171">
        <f>IF(ISBLANK('Data Entry'!$$171), "", 'Data Entry'!$$171)</f>
      </c>
      <c r="CD171">
        <f>IF(ISBLANK('Data Entry'!$$171), "", 'Data Entry'!$$171)</f>
      </c>
      <c r="CE171">
        <f>IF(ISBLANK('Data Entry'!$$171), "", 'Data Entry'!$$171)</f>
      </c>
      <c r="CF171">
        <f>IF(ISBLANK('Data Entry'!$$171), "", 'Data Entry'!$$171)</f>
      </c>
      <c r="CG171">
        <f>IF(ISBLANK('Data Entry'!$$171), "", 'Data Entry'!$$171)</f>
      </c>
      <c r="CH171">
        <f>IF(ISBLANK('Data Entry'!$$171), "", 'Data Entry'!$$171)</f>
      </c>
      <c r="CI171">
        <f>IF(ISBLANK('Data Entry'!$$171), "", 'Data Entry'!$$171)</f>
      </c>
      <c r="CJ171">
        <f>IF(ISBLANK('Data Entry'!$$171), "", 'Data Entry'!$$171)</f>
      </c>
      <c r="CK171">
        <f>IF(ISBLANK('Data Entry'!$$171), "", 'Data Entry'!$$171)</f>
      </c>
      <c r="CL171">
        <f>IF(ISBLANK('Data Entry'!$$171), "", 'Data Entry'!$$171)</f>
      </c>
      <c r="CM171">
        <f>IF(ISBLANK('Data Entry'!$$171), "", 'Data Entry'!$$171)</f>
      </c>
      <c r="CN171">
        <f>IF(ISBLANK('Data Entry'!$$171), "", 'Data Entry'!$$171)</f>
      </c>
      <c r="CO171">
        <f>IF(ISBLANK('Data Entry'!$$171), "", 'Data Entry'!$$171)</f>
      </c>
      <c r="CP171">
        <f>IF(ISBLANK('Data Entry'!$$171), "", 'Data Entry'!$$171)</f>
      </c>
      <c r="CQ171">
        <f>IF(ISBLANK('Data Entry'!$$171), "", 'Data Entry'!$$171)</f>
      </c>
      <c r="CR171">
        <f>IF(ISBLANK('Data Entry'!$ $171), "", 'Data Entry'!$ $171)</f>
      </c>
      <c r="CS171">
        <f>IF(ISBLANK('Data Entry'!$¡$171), "", 'Data Entry'!$¡$171)</f>
      </c>
      <c r="CT171">
        <f>IF(ISBLANK('Data Entry'!$¢$171), "", 'Data Entry'!$¢$171)</f>
      </c>
      <c r="CU171">
        <f>IF(ISBLANK('Data Entry'!$£$171), "", 'Data Entry'!$£$171)</f>
      </c>
      <c r="CV171">
        <f>IF(ISBLANK('Data Entry'!$¤$171), "", 'Data Entry'!$¤$171)</f>
      </c>
      <c r="CW171">
        <f>IF(ISBLANK('Data Entry'!$¥$171), "", 'Data Entry'!$¥$171)</f>
      </c>
      <c r="CX171">
        <f>IF(ISBLANK('Data Entry'!$¦$171), "", 'Data Entry'!$¦$171)</f>
      </c>
      <c r="CY171">
        <f>IF(ISBLANK('Data Entry'!$§$171), "", 'Data Entry'!$§$171)</f>
      </c>
      <c r="CZ171">
        <f>IF(ISBLANK('Data Entry'!$¨$171), "", 'Data Entry'!$¨$171)</f>
      </c>
      <c r="DA171">
        <f>IF(ISBLANK('Data Entry'!$©$171), "", 'Data Entry'!$©$171)</f>
      </c>
      <c r="DB171">
        <f>IF(ISBLANK('Data Entry'!$ª$171), "", 'Data Entry'!$ª$171)</f>
      </c>
      <c r="DC171">
        <f>IF(ISBLANK('Data Entry'!$«$171), "", 'Data Entry'!$«$171)</f>
      </c>
      <c r="DD171">
        <f>IF(ISBLANK('Data Entry'!$¬$171), "", 'Data Entry'!$¬$171)</f>
      </c>
      <c r="DE171">
        <f>IF(ISBLANK('Data Entry'!$­$171), "", 'Data Entry'!$­$171)</f>
      </c>
      <c r="DF171">
        <f>IF(ISBLANK('Data Entry'!$®$171), "", 'Data Entry'!$®$171)</f>
      </c>
      <c r="DG171">
        <f>IF(ISBLANK('Data Entry'!$¯$171), "", 'Data Entry'!$¯$171)</f>
      </c>
      <c r="DH171">
        <f>IF(ISBLANK('Data Entry'!$°$171), "", 'Data Entry'!$°$171)</f>
      </c>
      <c r="DI171">
        <f>IF(ISBLANK('Data Entry'!$±$171), "", 'Data Entry'!$±$171)</f>
      </c>
      <c r="DJ171">
        <f>IF(ISBLANK('Data Entry'!$²$171), "", 'Data Entry'!$²$171)</f>
      </c>
      <c r="DK171">
        <f>IF(ISBLANK('Data Entry'!$³$171), "", 'Data Entry'!$³$171)</f>
      </c>
      <c r="DL171">
        <f>IF(ISBLANK('Data Entry'!$´$171), "", 'Data Entry'!$´$171)</f>
      </c>
      <c r="DM171">
        <f>IF(ISBLANK('Data Entry'!$µ$171), "", 'Data Entry'!$µ$171)</f>
      </c>
      <c r="DN171">
        <f>IF(ISBLANK('Data Entry'!$¶$171), "", 'Data Entry'!$¶$171)</f>
      </c>
      <c r="DO171">
        <f>IF(ISBLANK('Data Entry'!$·$171), "", 'Data Entry'!$·$171)</f>
      </c>
      <c r="DP171">
        <f>IF(ISBLANK('Data Entry'!$¸$171), "", 'Data Entry'!$¸$171)</f>
      </c>
      <c r="DQ171">
        <f>IF(ISBLANK('Data Entry'!$¹$171), "", 'Data Entry'!$¹$171)</f>
      </c>
      <c r="DR171">
        <f>IF(ISBLANK('Data Entry'!$º$171), "", 'Data Entry'!$º$171)</f>
      </c>
      <c r="DS171">
        <f>IF(ISBLANK('Data Entry'!$»$171), "", 'Data Entry'!$»$171)</f>
      </c>
      <c r="DT171">
        <f>IF(ISBLANK('Data Entry'!$¼$171), "", 'Data Entry'!$¼$171)</f>
      </c>
      <c r="DU171">
        <f>IF(ISBLANK('Data Entry'!$½$171), "", 'Data Entry'!$½$171)</f>
      </c>
      <c r="DV171">
        <f>IF(ISBLANK('Data Entry'!$¾$171), "", 'Data Entry'!$¾$171)</f>
      </c>
      <c r="DW171">
        <f>IF(ISBLANK('Data Entry'!$¿$171), "", 'Data Entry'!$¿$171)</f>
      </c>
      <c r="DX171">
        <f>IF(ISBLANK('Data Entry'!$À$171), "", 'Data Entry'!$À$171)</f>
      </c>
      <c r="DY171">
        <f>IF(ISBLANK('Data Entry'!$Á$171), "", 'Data Entry'!$Á$171)</f>
      </c>
      <c r="DZ171">
        <f>IF(ISBLANK('Data Entry'!$Â$171), "", 'Data Entry'!$Â$171)</f>
      </c>
      <c r="EA171">
        <f>IF(ISBLANK('Data Entry'!$Ã$171), "", 'Data Entry'!$Ã$171)</f>
      </c>
      <c r="EB171">
        <f>IF(ISBLANK('Data Entry'!$Ä$171), "", 'Data Entry'!$Ä$171)</f>
      </c>
      <c r="EC171">
        <f>IF(ISBLANK('Data Entry'!$Å$171), "", 'Data Entry'!$Å$171)</f>
      </c>
      <c r="ED171">
        <f>IF(ISBLANK('Data Entry'!$Æ$171), "", 'Data Entry'!$Æ$171)</f>
      </c>
      <c r="EE171">
        <f>IF(ISBLANK('Data Entry'!$Ç$171), "", 'Data Entry'!$Ç$171)</f>
      </c>
      <c r="EF171">
        <f>IF(ISBLANK('Data Entry'!$È$171), "", 'Data Entry'!$È$171)</f>
      </c>
      <c r="EG171">
        <f>IF(ISBLANK('Data Entry'!$É$171), "", 'Data Entry'!$É$171)</f>
      </c>
      <c r="EH171">
        <f>IF(ISBLANK('Data Entry'!$Ê$171), "", 'Data Entry'!$Ê$171)</f>
      </c>
      <c r="EI171">
        <f>IF(ISBLANK('Data Entry'!$Ë$171), "", 'Data Entry'!$Ë$171)</f>
      </c>
      <c r="EJ171">
        <f>IF(ISBLANK('Data Entry'!$Ì$171), "", 'Data Entry'!$Ì$171)</f>
      </c>
      <c r="EK171">
        <f>IF(ISBLANK('Data Entry'!$Í$171), "", 'Data Entry'!$Í$171)</f>
      </c>
      <c r="EL171">
        <f>IF(ISBLANK('Data Entry'!$Î$171), "", 'Data Entry'!$Î$171)</f>
      </c>
      <c r="EM171">
        <f>IF(ISBLANK('Data Entry'!$Ï$171), "", 'Data Entry'!$Ï$171)</f>
      </c>
      <c r="EN171">
        <f>IF(ISBLANK('Data Entry'!$Ð$171), "", 'Data Entry'!$Ð$171)</f>
      </c>
      <c r="EO171">
        <f>IF(ISBLANK('Data Entry'!$Ñ$171), "", 'Data Entry'!$Ñ$171)</f>
      </c>
      <c r="EP171">
        <f>IF(ISBLANK('Data Entry'!$Ò$171), "", 'Data Entry'!$Ò$171)</f>
      </c>
      <c r="EQ171">
        <f>IF(ISBLANK('Data Entry'!$Ó$171), "", 'Data Entry'!$Ó$171)</f>
      </c>
      <c r="ER171">
        <f>IF(ISBLANK('Data Entry'!$Ô$171), "", 'Data Entry'!$Ô$171)</f>
      </c>
      <c r="ES171">
        <f>IF(ISBLANK('Data Entry'!$Õ$171), "", 'Data Entry'!$Õ$171)</f>
      </c>
      <c r="ET171">
        <f>IF(ISBLANK('Data Entry'!$Ö$171), "", 'Data Entry'!$Ö$171)</f>
      </c>
      <c r="EU171">
        <f>IF(ISBLANK('Data Entry'!$×$171), "", 'Data Entry'!$×$171)</f>
      </c>
      <c r="EV171">
        <f>IF(ISBLANK('Data Entry'!$Ø$171), "", 'Data Entry'!$Ø$171)</f>
      </c>
      <c r="EW171">
        <f>IF(ISBLANK('Data Entry'!$Ù$171), "", 'Data Entry'!$Ù$171)</f>
      </c>
      <c r="EX171">
        <f>IF(ISBLANK('Data Entry'!$Ú$171), "", 'Data Entry'!$Ú$171)</f>
      </c>
      <c r="EY171">
        <f>IF(ISBLANK('Data Entry'!$Û$171), "", 'Data Entry'!$Û$171)</f>
      </c>
      <c r="EZ171">
        <f>IF(ISBLANK('Data Entry'!$Ü$171), "", 'Data Entry'!$Ü$171)</f>
      </c>
      <c r="FA171">
        <f>IF(ISBLANK('Data Entry'!$Ý$171), "", 'Data Entry'!$Ý$171)</f>
      </c>
      <c r="FB171">
        <f>IF(ISBLANK('Data Entry'!$Þ$171), "", 'Data Entry'!$Þ$171)</f>
      </c>
      <c r="FC171">
        <f>IF(ISBLANK('Data Entry'!$ß$171), "", 'Data Entry'!$ß$171)</f>
      </c>
      <c r="FD171">
        <f>IF(ISBLANK('Data Entry'!$à$171), "", 'Data Entry'!$à$171)</f>
      </c>
      <c r="FE171">
        <f>IF(ISBLANK('Data Entry'!$á$171), "", 'Data Entry'!$á$171)</f>
      </c>
      <c r="FF171">
        <f>IF(ISBLANK('Data Entry'!$â$171), "", 'Data Entry'!$â$171)</f>
      </c>
      <c r="FG171">
        <f>IF(ISBLANK('Data Entry'!$ã$171), "", 'Data Entry'!$ã$171)</f>
      </c>
      <c r="FH171">
        <f>IF(ISBLANK('Data Entry'!$ä$171), "", 'Data Entry'!$ä$171)</f>
      </c>
      <c r="FI171">
        <f>IF(ISBLANK('Data Entry'!$å$171), "", 'Data Entry'!$å$171)</f>
      </c>
      <c r="FJ171">
        <f>IF(ISBLANK('Data Entry'!$æ$171), "", 'Data Entry'!$æ$171)</f>
      </c>
      <c r="FK171">
        <f>IF(ISBLANK('Data Entry'!$ç$171), "", 'Data Entry'!$ç$171)</f>
      </c>
      <c r="FL171">
        <f>IF(ISBLANK('Data Entry'!$è$171), "", 'Data Entry'!$è$171)</f>
      </c>
      <c r="FM171">
        <f>IF(ISBLANK('Data Entry'!$é$171), "", 'Data Entry'!$é$171)</f>
      </c>
      <c r="FN171">
        <f>IF(ISBLANK('Data Entry'!$ê$171), "", 'Data Entry'!$ê$171)</f>
      </c>
      <c r="FO171">
        <f>IF(ISBLANK('Data Entry'!$ë$171), "", 'Data Entry'!$ë$171)</f>
      </c>
      <c r="FP171">
        <f>IF(ISBLANK('Data Entry'!$ì$171), "", 'Data Entry'!$ì$171)</f>
      </c>
      <c r="FQ171">
        <f>IF(ISBLANK('Data Entry'!$í$171), "", 'Data Entry'!$í$171)</f>
      </c>
      <c r="FR171">
        <f>IF(ISBLANK('Data Entry'!$î$171), "", 'Data Entry'!$î$171)</f>
      </c>
      <c r="FS171">
        <f>IF(ISBLANK('Data Entry'!$ï$171), "", 'Data Entry'!$ï$171)</f>
      </c>
      <c r="FT171">
        <f>IF(ISBLANK('Data Entry'!$ð$171), "", 'Data Entry'!$ð$171)</f>
      </c>
      <c r="FU171">
        <f>IF(ISBLANK('Data Entry'!$ñ$171), "", 'Data Entry'!$ñ$171)</f>
      </c>
      <c r="FV171">
        <f>IF(ISBLANK('Data Entry'!$ò$171), "", 'Data Entry'!$ò$171)</f>
      </c>
      <c r="FW171">
        <f>IF(ISBLANK('Data Entry'!$ó$171), "", 'Data Entry'!$ó$171)</f>
      </c>
      <c r="FX171">
        <f>IF(ISBLANK('Data Entry'!$ô$171), "", 'Data Entry'!$ô$171)</f>
      </c>
      <c r="FY171">
        <f>IF(ISBLANK('Data Entry'!$õ$171), "", 'Data Entry'!$õ$171)</f>
      </c>
      <c r="FZ171">
        <f>IF(ISBLANK('Data Entry'!$ö$171), "", 'Data Entry'!$ö$171)</f>
      </c>
      <c r="GA171">
        <f>IF(ISBLANK('Data Entry'!$÷$171), "", 'Data Entry'!$÷$171)</f>
      </c>
      <c r="GB171">
        <f>IF(ISBLANK('Data Entry'!$ø$171), "", 'Data Entry'!$ø$171)</f>
      </c>
      <c r="GC171">
        <f>IF(ISBLANK('Data Entry'!$ù$171), "", 'Data Entry'!$ù$171)</f>
      </c>
      <c r="GD171">
        <f>IF(ISBLANK('Data Entry'!$ú$171), "", 'Data Entry'!$ú$171)</f>
      </c>
      <c r="GE171">
        <f>IF(ISBLANK('Data Entry'!$û$171), "", 'Data Entry'!$û$171)</f>
      </c>
      <c r="GF171">
        <f>IF(ISBLANK('Data Entry'!$ü$171), "", 'Data Entry'!$ü$171)</f>
      </c>
      <c r="GG171">
        <f>IF(ISBLANK('Data Entry'!$ý$171), "", 'Data Entry'!$ý$171)</f>
      </c>
      <c r="GH171">
        <f>IF(ISBLANK('Data Entry'!$þ$171), "", 'Data Entry'!$þ$171)</f>
      </c>
      <c r="GI171">
        <f>IF(ISBLANK('Data Entry'!$ÿ$171), "", 'Data Entry'!$ÿ$171)</f>
      </c>
      <c r="GJ171">
        <f>IF(ISBLANK('Data Entry'!$Ā$171), "", 'Data Entry'!$Ā$171)</f>
      </c>
      <c r="GK171">
        <f>IF(ISBLANK('Data Entry'!$ā$171), "", 'Data Entry'!$ā$171)</f>
      </c>
      <c r="GL171">
        <f>IF(ISBLANK('Data Entry'!$Ă$171), "", 'Data Entry'!$Ă$171)</f>
      </c>
      <c r="GM171">
        <f>IF(ISBLANK('Data Entry'!$ă$171), "", 'Data Entry'!$ă$171)</f>
      </c>
      <c r="GN171">
        <f>IF(ISBLANK('Data Entry'!$Ą$171), "", 'Data Entry'!$Ą$171)</f>
      </c>
      <c r="GO171">
        <f>IF(ISBLANK('Data Entry'!$ą$171), "", 'Data Entry'!$ą$171)</f>
      </c>
      <c r="GP171">
        <f>IF(ISBLANK('Data Entry'!$Ć$171), "", 'Data Entry'!$Ć$171)</f>
      </c>
      <c r="GQ171">
        <f>IF(ISBLANK('Data Entry'!$ć$171), "", 'Data Entry'!$ć$171)</f>
      </c>
      <c r="GR171">
        <f>IF(ISBLANK('Data Entry'!$Ĉ$171), "", 'Data Entry'!$Ĉ$171)</f>
      </c>
      <c r="GS171">
        <f>IF(ISBLANK('Data Entry'!$ĉ$171), "", 'Data Entry'!$ĉ$171)</f>
      </c>
      <c r="GT171">
        <f>IF(ISBLANK('Data Entry'!$Ċ$171), "", 'Data Entry'!$Ċ$171)</f>
      </c>
      <c r="GU171">
        <f>IF(ISBLANK('Data Entry'!$ċ$171), "", 'Data Entry'!$ċ$171)</f>
      </c>
      <c r="GV171">
        <f>IF(ISBLANK('Data Entry'!$Č$171), "", 'Data Entry'!$Č$171)</f>
      </c>
      <c r="GW171">
        <f>IF(ISBLANK('Data Entry'!$č$171), "", 'Data Entry'!$č$171)</f>
      </c>
      <c r="GX171">
        <f>IF(ISBLANK('Data Entry'!$Ď$171), "", 'Data Entry'!$Ď$171)</f>
      </c>
      <c r="GY171">
        <f>IF(ISBLANK('Data Entry'!$ď$171), "", 'Data Entry'!$ď$171)</f>
      </c>
      <c r="GZ171">
        <f>IF(ISBLANK('Data Entry'!$Đ$171), "", 'Data Entry'!$Đ$171)</f>
      </c>
      <c r="HA171">
        <f>IF(ISBLANK('Data Entry'!$đ$171), "", 'Data Entry'!$đ$171)</f>
      </c>
      <c r="HB171">
        <f>IF(ISBLANK('Data Entry'!$Ē$171), "", 'Data Entry'!$Ē$171)</f>
      </c>
      <c r="HC171">
        <f>IF(ISBLANK('Data Entry'!$ē$171), "", 'Data Entry'!$ē$171)</f>
      </c>
      <c r="HD171">
        <f>IF(ISBLANK('Data Entry'!$Ĕ$171), "", 'Data Entry'!$Ĕ$171)</f>
      </c>
      <c r="HE171">
        <f>IF(ISBLANK('Data Entry'!$ĕ$171), "", 'Data Entry'!$ĕ$171)</f>
      </c>
      <c r="HF171">
        <f>IF(ISBLANK('Data Entry'!$Ė$171), "", 'Data Entry'!$Ė$171)</f>
      </c>
      <c r="HG171">
        <f>IF(ISBLANK('Data Entry'!$ė$171), "", 'Data Entry'!$ė$171)</f>
      </c>
      <c r="HH171">
        <f>IF(ISBLANK('Data Entry'!$Ę$171), "", 'Data Entry'!$Ę$171)</f>
      </c>
      <c r="HI171">
        <f>IF(ISBLANK('Data Entry'!$ę$171), "", 'Data Entry'!$ę$171)</f>
      </c>
      <c r="HJ171">
        <f>IF(ISBLANK('Data Entry'!$Ě$171), "", 'Data Entry'!$Ě$171)</f>
      </c>
      <c r="HK171">
        <f>IF(ISBLANK('Data Entry'!$ě$171), "", 'Data Entry'!$ě$171)</f>
      </c>
      <c r="HL171">
        <f>IF(ISBLANK('Data Entry'!$Ĝ$171), "", 'Data Entry'!$Ĝ$171)</f>
      </c>
      <c r="HM171">
        <f>IF(ISBLANK('Data Entry'!$ĝ$171), "", 'Data Entry'!$ĝ$171)</f>
      </c>
      <c r="HN171">
        <f>IF(ISBLANK('Data Entry'!$Ğ$171), "", 'Data Entry'!$Ğ$171)</f>
      </c>
      <c r="HO171">
        <f>IF(ISBLANK('Data Entry'!$ğ$171), "", 'Data Entry'!$ğ$171)</f>
      </c>
      <c r="HP171">
        <f>IF(ISBLANK('Data Entry'!$Ġ$171), "", 'Data Entry'!$Ġ$171)</f>
      </c>
      <c r="HQ171">
        <f>IF(ISBLANK('Data Entry'!$ġ$171), "", 'Data Entry'!$ġ$171)</f>
      </c>
      <c r="HR171">
        <f>IF(ISBLANK('Data Entry'!$Ģ$171), "", 'Data Entry'!$Ģ$171)</f>
      </c>
      <c r="HS171">
        <f>IF(ISBLANK('Data Entry'!$ģ$171), "", 'Data Entry'!$ģ$171)</f>
      </c>
      <c r="HT171">
        <f>IF(ISBLANK('Data Entry'!$Ĥ$171), "", 'Data Entry'!$Ĥ$171)</f>
      </c>
      <c r="HU171">
        <f>IF(ISBLANK('Data Entry'!$ĥ$171), "", 'Data Entry'!$ĥ$171)</f>
      </c>
      <c r="HV171">
        <f>IF(ISBLANK('Data Entry'!$Ħ$171), "", 'Data Entry'!$Ħ$171)</f>
      </c>
      <c r="HW171">
        <f>IF(ISBLANK('Data Entry'!$ħ$171), "", 'Data Entry'!$ħ$171)</f>
      </c>
      <c r="HX171">
        <f>IF(ISBLANK('Data Entry'!$Ĩ$171), "", 'Data Entry'!$Ĩ$171)</f>
      </c>
      <c r="HY171">
        <f>IF(ISBLANK('Data Entry'!$ĩ$171), "", 'Data Entry'!$ĩ$171)</f>
      </c>
      <c r="HZ171">
        <f>IF(ISBLANK('Data Entry'!$Ī$171), "", 'Data Entry'!$Ī$171)</f>
      </c>
      <c r="IA171">
        <f>IF(ISBLANK('Data Entry'!$ī$171), "", 'Data Entry'!$ī$171)</f>
      </c>
      <c r="IB171">
        <f>IF(ISBLANK('Data Entry'!$Ĭ$171), "", 'Data Entry'!$Ĭ$171)</f>
      </c>
      <c r="IC171">
        <f>IF(ISBLANK('Data Entry'!$ĭ$171), "", 'Data Entry'!$ĭ$171)</f>
      </c>
      <c r="ID171">
        <f>IF(ISBLANK('Data Entry'!$Į$171), "", 'Data Entry'!$Į$171)</f>
      </c>
      <c r="IE171">
        <f>IF(ISBLANK('Data Entry'!$į$171), "", 'Data Entry'!$į$171)</f>
      </c>
      <c r="IF171">
        <f>IF(ISBLANK('Data Entry'!$İ$171), "", 'Data Entry'!$İ$171)</f>
      </c>
      <c r="IG171">
        <f>IF(ISBLANK('Data Entry'!$ı$171), "", 'Data Entry'!$ı$171)</f>
      </c>
      <c r="IH171">
        <f>IF(ISBLANK('Data Entry'!$Ĳ$171), "", 'Data Entry'!$Ĳ$171)</f>
      </c>
      <c r="II171">
        <f>IF(ISBLANK('Data Entry'!$ĳ$171), "", 'Data Entry'!$ĳ$171)</f>
      </c>
      <c r="IJ171">
        <f>IF(ISBLANK('Data Entry'!$Ĵ$171), "", 'Data Entry'!$Ĵ$171)</f>
      </c>
      <c r="IK171">
        <f>IF(ISBLANK('Data Entry'!$ĵ$171), "", 'Data Entry'!$ĵ$171)</f>
      </c>
      <c r="IL171">
        <f>IF(ISBLANK('Data Entry'!$Ķ$171), "", 'Data Entry'!$Ķ$171)</f>
      </c>
      <c r="IM171">
        <f>IF(ISBLANK('Data Entry'!$ķ$171), "", 'Data Entry'!$ķ$171)</f>
      </c>
      <c r="IN171">
        <f>IF(ISBLANK('Data Entry'!$ĸ$171), "", 'Data Entry'!$ĸ$171)</f>
      </c>
      <c r="IO171">
        <f>IF(ISBLANK('Data Entry'!$Ĺ$171), "", 'Data Entry'!$Ĺ$171)</f>
      </c>
      <c r="IP171">
        <f>IF(ISBLANK('Data Entry'!$ĺ$171), "", 'Data Entry'!$ĺ$171)</f>
      </c>
      <c r="IQ171">
        <f>IF(ISBLANK('Data Entry'!$Ļ$171), "", 'Data Entry'!$Ļ$171)</f>
      </c>
      <c r="IR171">
        <f>IF(ISBLANK('Data Entry'!$ļ$171), "", 'Data Entry'!$ļ$171)</f>
      </c>
      <c r="IS171">
        <f>IF(ISBLANK('Data Entry'!$Ľ$171), "", 'Data Entry'!$Ľ$171)</f>
      </c>
      <c r="IT171">
        <f>IF(ISBLANK('Data Entry'!$ľ$171), "", 'Data Entry'!$ľ$171)</f>
      </c>
    </row>
    <row r="172" spans="1:254" x14ac:dyDescent="0.25">
      <c r="A172">
        <f>IF(ISBLANK('Data Entry'!$A$172), "", 'Data Entry'!$A$172)</f>
      </c>
      <c r="B172">
        <f>IF(ISBLANK('Data Entry'!$B$172), "", 'Data Entry'!$B$172)</f>
      </c>
      <c r="C172">
        <f>IF(ISBLANK('Data Entry'!$C$172), "", 'Data Entry'!$C$172)</f>
      </c>
      <c r="D172">
        <f>IF(ISBLANK('Data Entry'!$D$172), "", 'Data Entry'!$D$172)</f>
      </c>
      <c r="E172">
        <f>IF(ISBLANK('Data Entry'!$E$172), "", 'Data Entry'!$E$172)</f>
      </c>
      <c r="F172">
        <f>IF(ISBLANK('Data Entry'!$F$172), "", 'Data Entry'!$F$172)</f>
      </c>
      <c r="G172">
        <f>IF(ISBLANK('Data Entry'!$G$172), "", 'Data Entry'!$G$172)</f>
      </c>
      <c r="H172">
        <f>IF(ISBLANK('Data Entry'!$H$172), "", 'Data Entry'!$H$172)</f>
      </c>
      <c r="I172">
        <f>IF(ISBLANK('Data Entry'!$I$172), "", 'Data Entry'!$I$172)</f>
      </c>
      <c r="J172">
        <f>IF(ISBLANK('Data Entry'!$J$172), "", 'Data Entry'!$J$172)</f>
      </c>
      <c r="K172">
        <f>IF(ISBLANK('Data Entry'!$K$172), "", 'Data Entry'!$K$172)</f>
      </c>
      <c r="L172">
        <f>IF(ISBLANK('Data Entry'!$L$172), "", 'Data Entry'!$L$172)</f>
      </c>
      <c r="M172">
        <f>IF(ISBLANK('Data Entry'!$M$172), "", 'Data Entry'!$M$172)</f>
      </c>
      <c r="N172">
        <f>IF(ISBLANK('Data Entry'!$N$172), "", 'Data Entry'!$N$172)</f>
      </c>
      <c r="O172">
        <f>IF(ISBLANK('Data Entry'!$O$172), "", 'Data Entry'!$O$172)</f>
      </c>
      <c r="P172">
        <f>IF(ISBLANK('Data Entry'!$P$172), "", 'Data Entry'!$P$172)</f>
      </c>
      <c r="Q172">
        <f>IF(ISBLANK('Data Entry'!$Q$172), "", 'Data Entry'!$Q$172)</f>
      </c>
      <c r="R172">
        <f>IF(ISBLANK('Data Entry'!$R$172), "", 'Data Entry'!$R$172)</f>
      </c>
      <c r="S172">
        <f>IF(ISBLANK('Data Entry'!$S$172), "", 'Data Entry'!$S$172)</f>
      </c>
      <c r="T172">
        <f>IF(ISBLANK('Data Entry'!$T$172), "", 'Data Entry'!$T$172)</f>
      </c>
      <c r="U172">
        <f>IF(ISBLANK('Data Entry'!$U$172), "", 'Data Entry'!$U$172)</f>
      </c>
      <c r="V172">
        <f>IF(ISBLANK('Data Entry'!$V$172), "", 'Data Entry'!$V$172)</f>
      </c>
      <c r="W172">
        <f>IF(ISBLANK('Data Entry'!$W$172), "", 'Data Entry'!$W$172)</f>
      </c>
      <c r="X172">
        <f>IF(ISBLANK('Data Entry'!$X$172), "", 'Data Entry'!$X$172)</f>
      </c>
      <c r="Y172">
        <f>IF(ISBLANK('Data Entry'!$Y$172), "", 'Data Entry'!$Y$172)</f>
      </c>
      <c r="Z172">
        <f>IF(ISBLANK('Data Entry'!$Z$172), "", 'Data Entry'!$Z$172)</f>
      </c>
      <c r="AA172">
        <f>IF(ISBLANK('Data Entry'!$[$172), "", 'Data Entry'!$[$172)</f>
      </c>
      <c r="AB172">
        <f>IF(ISBLANK('Data Entry'!$\$172), "", 'Data Entry'!$\$172)</f>
      </c>
      <c r="AC172">
        <f>IF(ISBLANK('Data Entry'!$]$172), "", 'Data Entry'!$]$172)</f>
      </c>
      <c r="AD172">
        <f>IF(ISBLANK('Data Entry'!$^$172), "", 'Data Entry'!$^$172)</f>
      </c>
      <c r="AE172">
        <f>IF(ISBLANK('Data Entry'!$_$172), "", 'Data Entry'!$_$172)</f>
      </c>
      <c r="AF172">
        <f>IF(ISBLANK('Data Entry'!$`$172), "", 'Data Entry'!$`$172)</f>
      </c>
      <c r="AG172">
        <f>IF(ISBLANK('Data Entry'!$a$172), "", 'Data Entry'!$a$172)</f>
      </c>
      <c r="AH172">
        <f>IF(ISBLANK('Data Entry'!$b$172), "", 'Data Entry'!$b$172)</f>
      </c>
      <c r="AI172">
        <f>IF(ISBLANK('Data Entry'!$c$172), "", 'Data Entry'!$c$172)</f>
      </c>
      <c r="AJ172">
        <f>IF(ISBLANK('Data Entry'!$d$172), "", 'Data Entry'!$d$172)</f>
      </c>
      <c r="AK172">
        <f>IF(ISBLANK('Data Entry'!$e$172), "", 'Data Entry'!$e$172)</f>
      </c>
      <c r="AL172">
        <f>IF(ISBLANK('Data Entry'!$f$172), "", 'Data Entry'!$f$172)</f>
      </c>
      <c r="AM172">
        <f>IF(ISBLANK('Data Entry'!$g$172), "", 'Data Entry'!$g$172)</f>
      </c>
      <c r="AN172">
        <f>IF(ISBLANK('Data Entry'!$h$172), "", 'Data Entry'!$h$172)</f>
      </c>
      <c r="AO172">
        <f>IF(ISBLANK('Data Entry'!$i$172), "", 'Data Entry'!$i$172)</f>
      </c>
      <c r="AP172">
        <f>IF(ISBLANK('Data Entry'!$j$172), "", 'Data Entry'!$j$172)</f>
      </c>
      <c r="AQ172">
        <f>IF(ISBLANK('Data Entry'!$k$172), "", 'Data Entry'!$k$172)</f>
      </c>
      <c r="AR172">
        <f>IF(ISBLANK('Data Entry'!$l$172), "", 'Data Entry'!$l$172)</f>
      </c>
      <c r="AS172">
        <f>IF(ISBLANK('Data Entry'!$m$172), "", 'Data Entry'!$m$172)</f>
      </c>
      <c r="AT172">
        <f>IF(ISBLANK('Data Entry'!$n$172), "", 'Data Entry'!$n$172)</f>
      </c>
      <c r="AU172">
        <f>IF(ISBLANK('Data Entry'!$o$172), "", 'Data Entry'!$o$172)</f>
      </c>
      <c r="AV172">
        <f>IF(ISBLANK('Data Entry'!$p$172), "", 'Data Entry'!$p$172)</f>
      </c>
      <c r="AW172">
        <f>IF(ISBLANK('Data Entry'!$q$172), "", 'Data Entry'!$q$172)</f>
      </c>
      <c r="AX172">
        <f>IF(ISBLANK('Data Entry'!$r$172), "", 'Data Entry'!$r$172)</f>
      </c>
      <c r="AY172">
        <f>IF(ISBLANK('Data Entry'!$s$172), "", 'Data Entry'!$s$172)</f>
      </c>
      <c r="AZ172">
        <f>IF(ISBLANK('Data Entry'!$t$172), "", 'Data Entry'!$t$172)</f>
      </c>
      <c r="BA172">
        <f>IF(ISBLANK('Data Entry'!$u$172), "", 'Data Entry'!$u$172)</f>
      </c>
      <c r="BB172">
        <f>IF(ISBLANK('Data Entry'!$v$172), "", 'Data Entry'!$v$172)</f>
      </c>
      <c r="BC172">
        <f>IF(ISBLANK('Data Entry'!$w$172), "", 'Data Entry'!$w$172)</f>
      </c>
      <c r="BD172">
        <f>IF(ISBLANK('Data Entry'!$x$172), "", 'Data Entry'!$x$172)</f>
      </c>
      <c r="BE172">
        <f>IF(ISBLANK('Data Entry'!$y$172), "", 'Data Entry'!$y$172)</f>
      </c>
      <c r="BF172">
        <f>IF(ISBLANK('Data Entry'!$z$172), "", 'Data Entry'!$z$172)</f>
      </c>
      <c r="BG172">
        <f>IF(ISBLANK('Data Entry'!${$172), "", 'Data Entry'!${$172)</f>
      </c>
      <c r="BH172">
        <f>IF(ISBLANK('Data Entry'!$|$172), "", 'Data Entry'!$|$172)</f>
      </c>
      <c r="BI172">
        <f>IF(ISBLANK('Data Entry'!$}$172), "", 'Data Entry'!$}$172)</f>
      </c>
      <c r="BJ172">
        <f>IF(ISBLANK('Data Entry'!$~$172), "", 'Data Entry'!$~$172)</f>
      </c>
      <c r="BK172">
        <f>IF(ISBLANK('Data Entry'!$$172), "", 'Data Entry'!$$172)</f>
      </c>
      <c r="BL172">
        <f>IF(ISBLANK('Data Entry'!$$172), "", 'Data Entry'!$$172)</f>
      </c>
      <c r="BM172">
        <f>IF(ISBLANK('Data Entry'!$$172), "", 'Data Entry'!$$172)</f>
      </c>
      <c r="BN172">
        <f>IF(ISBLANK('Data Entry'!$$172), "", 'Data Entry'!$$172)</f>
      </c>
      <c r="BO172">
        <f>IF(ISBLANK('Data Entry'!$$172), "", 'Data Entry'!$$172)</f>
      </c>
      <c r="BP172">
        <f>IF(ISBLANK('Data Entry'!$$172), "", 'Data Entry'!$$172)</f>
      </c>
      <c r="BQ172">
        <f>IF(ISBLANK('Data Entry'!$$172), "", 'Data Entry'!$$172)</f>
      </c>
      <c r="BR172">
        <f>IF(ISBLANK('Data Entry'!$$172), "", 'Data Entry'!$$172)</f>
      </c>
      <c r="BS172">
        <f>IF(ISBLANK('Data Entry'!$$172), "", 'Data Entry'!$$172)</f>
      </c>
      <c r="BT172">
        <f>IF(ISBLANK('Data Entry'!$$172), "", 'Data Entry'!$$172)</f>
      </c>
      <c r="BU172">
        <f>IF(ISBLANK('Data Entry'!$$172), "", 'Data Entry'!$$172)</f>
      </c>
      <c r="BV172">
        <f>IF(ISBLANK('Data Entry'!$$172), "", 'Data Entry'!$$172)</f>
      </c>
      <c r="BW172">
        <f>IF(ISBLANK('Data Entry'!$$172), "", 'Data Entry'!$$172)</f>
      </c>
      <c r="BX172">
        <f>IF(ISBLANK('Data Entry'!$$172), "", 'Data Entry'!$$172)</f>
      </c>
      <c r="BY172">
        <f>IF(ISBLANK('Data Entry'!$$172), "", 'Data Entry'!$$172)</f>
      </c>
      <c r="BZ172">
        <f>IF(ISBLANK('Data Entry'!$$172), "", 'Data Entry'!$$172)</f>
      </c>
      <c r="CA172">
        <f>IF(ISBLANK('Data Entry'!$$172), "", 'Data Entry'!$$172)</f>
      </c>
      <c r="CB172">
        <f>IF(ISBLANK('Data Entry'!$$172), "", 'Data Entry'!$$172)</f>
      </c>
      <c r="CC172">
        <f>IF(ISBLANK('Data Entry'!$$172), "", 'Data Entry'!$$172)</f>
      </c>
      <c r="CD172">
        <f>IF(ISBLANK('Data Entry'!$$172), "", 'Data Entry'!$$172)</f>
      </c>
      <c r="CE172">
        <f>IF(ISBLANK('Data Entry'!$$172), "", 'Data Entry'!$$172)</f>
      </c>
      <c r="CF172">
        <f>IF(ISBLANK('Data Entry'!$$172), "", 'Data Entry'!$$172)</f>
      </c>
      <c r="CG172">
        <f>IF(ISBLANK('Data Entry'!$$172), "", 'Data Entry'!$$172)</f>
      </c>
      <c r="CH172">
        <f>IF(ISBLANK('Data Entry'!$$172), "", 'Data Entry'!$$172)</f>
      </c>
      <c r="CI172">
        <f>IF(ISBLANK('Data Entry'!$$172), "", 'Data Entry'!$$172)</f>
      </c>
      <c r="CJ172">
        <f>IF(ISBLANK('Data Entry'!$$172), "", 'Data Entry'!$$172)</f>
      </c>
      <c r="CK172">
        <f>IF(ISBLANK('Data Entry'!$$172), "", 'Data Entry'!$$172)</f>
      </c>
      <c r="CL172">
        <f>IF(ISBLANK('Data Entry'!$$172), "", 'Data Entry'!$$172)</f>
      </c>
      <c r="CM172">
        <f>IF(ISBLANK('Data Entry'!$$172), "", 'Data Entry'!$$172)</f>
      </c>
      <c r="CN172">
        <f>IF(ISBLANK('Data Entry'!$$172), "", 'Data Entry'!$$172)</f>
      </c>
      <c r="CO172">
        <f>IF(ISBLANK('Data Entry'!$$172), "", 'Data Entry'!$$172)</f>
      </c>
      <c r="CP172">
        <f>IF(ISBLANK('Data Entry'!$$172), "", 'Data Entry'!$$172)</f>
      </c>
      <c r="CQ172">
        <f>IF(ISBLANK('Data Entry'!$$172), "", 'Data Entry'!$$172)</f>
      </c>
      <c r="CR172">
        <f>IF(ISBLANK('Data Entry'!$ $172), "", 'Data Entry'!$ $172)</f>
      </c>
      <c r="CS172">
        <f>IF(ISBLANK('Data Entry'!$¡$172), "", 'Data Entry'!$¡$172)</f>
      </c>
      <c r="CT172">
        <f>IF(ISBLANK('Data Entry'!$¢$172), "", 'Data Entry'!$¢$172)</f>
      </c>
      <c r="CU172">
        <f>IF(ISBLANK('Data Entry'!$£$172), "", 'Data Entry'!$£$172)</f>
      </c>
      <c r="CV172">
        <f>IF(ISBLANK('Data Entry'!$¤$172), "", 'Data Entry'!$¤$172)</f>
      </c>
      <c r="CW172">
        <f>IF(ISBLANK('Data Entry'!$¥$172), "", 'Data Entry'!$¥$172)</f>
      </c>
      <c r="CX172">
        <f>IF(ISBLANK('Data Entry'!$¦$172), "", 'Data Entry'!$¦$172)</f>
      </c>
      <c r="CY172">
        <f>IF(ISBLANK('Data Entry'!$§$172), "", 'Data Entry'!$§$172)</f>
      </c>
      <c r="CZ172">
        <f>IF(ISBLANK('Data Entry'!$¨$172), "", 'Data Entry'!$¨$172)</f>
      </c>
      <c r="DA172">
        <f>IF(ISBLANK('Data Entry'!$©$172), "", 'Data Entry'!$©$172)</f>
      </c>
      <c r="DB172">
        <f>IF(ISBLANK('Data Entry'!$ª$172), "", 'Data Entry'!$ª$172)</f>
      </c>
      <c r="DC172">
        <f>IF(ISBLANK('Data Entry'!$«$172), "", 'Data Entry'!$«$172)</f>
      </c>
      <c r="DD172">
        <f>IF(ISBLANK('Data Entry'!$¬$172), "", 'Data Entry'!$¬$172)</f>
      </c>
      <c r="DE172">
        <f>IF(ISBLANK('Data Entry'!$­$172), "", 'Data Entry'!$­$172)</f>
      </c>
      <c r="DF172">
        <f>IF(ISBLANK('Data Entry'!$®$172), "", 'Data Entry'!$®$172)</f>
      </c>
      <c r="DG172">
        <f>IF(ISBLANK('Data Entry'!$¯$172), "", 'Data Entry'!$¯$172)</f>
      </c>
      <c r="DH172">
        <f>IF(ISBLANK('Data Entry'!$°$172), "", 'Data Entry'!$°$172)</f>
      </c>
      <c r="DI172">
        <f>IF(ISBLANK('Data Entry'!$±$172), "", 'Data Entry'!$±$172)</f>
      </c>
      <c r="DJ172">
        <f>IF(ISBLANK('Data Entry'!$²$172), "", 'Data Entry'!$²$172)</f>
      </c>
      <c r="DK172">
        <f>IF(ISBLANK('Data Entry'!$³$172), "", 'Data Entry'!$³$172)</f>
      </c>
      <c r="DL172">
        <f>IF(ISBLANK('Data Entry'!$´$172), "", 'Data Entry'!$´$172)</f>
      </c>
      <c r="DM172">
        <f>IF(ISBLANK('Data Entry'!$µ$172), "", 'Data Entry'!$µ$172)</f>
      </c>
      <c r="DN172">
        <f>IF(ISBLANK('Data Entry'!$¶$172), "", 'Data Entry'!$¶$172)</f>
      </c>
      <c r="DO172">
        <f>IF(ISBLANK('Data Entry'!$·$172), "", 'Data Entry'!$·$172)</f>
      </c>
      <c r="DP172">
        <f>IF(ISBLANK('Data Entry'!$¸$172), "", 'Data Entry'!$¸$172)</f>
      </c>
      <c r="DQ172">
        <f>IF(ISBLANK('Data Entry'!$¹$172), "", 'Data Entry'!$¹$172)</f>
      </c>
      <c r="DR172">
        <f>IF(ISBLANK('Data Entry'!$º$172), "", 'Data Entry'!$º$172)</f>
      </c>
      <c r="DS172">
        <f>IF(ISBLANK('Data Entry'!$»$172), "", 'Data Entry'!$»$172)</f>
      </c>
      <c r="DT172">
        <f>IF(ISBLANK('Data Entry'!$¼$172), "", 'Data Entry'!$¼$172)</f>
      </c>
      <c r="DU172">
        <f>IF(ISBLANK('Data Entry'!$½$172), "", 'Data Entry'!$½$172)</f>
      </c>
      <c r="DV172">
        <f>IF(ISBLANK('Data Entry'!$¾$172), "", 'Data Entry'!$¾$172)</f>
      </c>
      <c r="DW172">
        <f>IF(ISBLANK('Data Entry'!$¿$172), "", 'Data Entry'!$¿$172)</f>
      </c>
      <c r="DX172">
        <f>IF(ISBLANK('Data Entry'!$À$172), "", 'Data Entry'!$À$172)</f>
      </c>
      <c r="DY172">
        <f>IF(ISBLANK('Data Entry'!$Á$172), "", 'Data Entry'!$Á$172)</f>
      </c>
      <c r="DZ172">
        <f>IF(ISBLANK('Data Entry'!$Â$172), "", 'Data Entry'!$Â$172)</f>
      </c>
      <c r="EA172">
        <f>IF(ISBLANK('Data Entry'!$Ã$172), "", 'Data Entry'!$Ã$172)</f>
      </c>
      <c r="EB172">
        <f>IF(ISBLANK('Data Entry'!$Ä$172), "", 'Data Entry'!$Ä$172)</f>
      </c>
      <c r="EC172">
        <f>IF(ISBLANK('Data Entry'!$Å$172), "", 'Data Entry'!$Å$172)</f>
      </c>
      <c r="ED172">
        <f>IF(ISBLANK('Data Entry'!$Æ$172), "", 'Data Entry'!$Æ$172)</f>
      </c>
      <c r="EE172">
        <f>IF(ISBLANK('Data Entry'!$Ç$172), "", 'Data Entry'!$Ç$172)</f>
      </c>
      <c r="EF172">
        <f>IF(ISBLANK('Data Entry'!$È$172), "", 'Data Entry'!$È$172)</f>
      </c>
      <c r="EG172">
        <f>IF(ISBLANK('Data Entry'!$É$172), "", 'Data Entry'!$É$172)</f>
      </c>
      <c r="EH172">
        <f>IF(ISBLANK('Data Entry'!$Ê$172), "", 'Data Entry'!$Ê$172)</f>
      </c>
      <c r="EI172">
        <f>IF(ISBLANK('Data Entry'!$Ë$172), "", 'Data Entry'!$Ë$172)</f>
      </c>
      <c r="EJ172">
        <f>IF(ISBLANK('Data Entry'!$Ì$172), "", 'Data Entry'!$Ì$172)</f>
      </c>
      <c r="EK172">
        <f>IF(ISBLANK('Data Entry'!$Í$172), "", 'Data Entry'!$Í$172)</f>
      </c>
      <c r="EL172">
        <f>IF(ISBLANK('Data Entry'!$Î$172), "", 'Data Entry'!$Î$172)</f>
      </c>
      <c r="EM172">
        <f>IF(ISBLANK('Data Entry'!$Ï$172), "", 'Data Entry'!$Ï$172)</f>
      </c>
      <c r="EN172">
        <f>IF(ISBLANK('Data Entry'!$Ð$172), "", 'Data Entry'!$Ð$172)</f>
      </c>
      <c r="EO172">
        <f>IF(ISBLANK('Data Entry'!$Ñ$172), "", 'Data Entry'!$Ñ$172)</f>
      </c>
      <c r="EP172">
        <f>IF(ISBLANK('Data Entry'!$Ò$172), "", 'Data Entry'!$Ò$172)</f>
      </c>
      <c r="EQ172">
        <f>IF(ISBLANK('Data Entry'!$Ó$172), "", 'Data Entry'!$Ó$172)</f>
      </c>
      <c r="ER172">
        <f>IF(ISBLANK('Data Entry'!$Ô$172), "", 'Data Entry'!$Ô$172)</f>
      </c>
      <c r="ES172">
        <f>IF(ISBLANK('Data Entry'!$Õ$172), "", 'Data Entry'!$Õ$172)</f>
      </c>
      <c r="ET172">
        <f>IF(ISBLANK('Data Entry'!$Ö$172), "", 'Data Entry'!$Ö$172)</f>
      </c>
      <c r="EU172">
        <f>IF(ISBLANK('Data Entry'!$×$172), "", 'Data Entry'!$×$172)</f>
      </c>
      <c r="EV172">
        <f>IF(ISBLANK('Data Entry'!$Ø$172), "", 'Data Entry'!$Ø$172)</f>
      </c>
      <c r="EW172">
        <f>IF(ISBLANK('Data Entry'!$Ù$172), "", 'Data Entry'!$Ù$172)</f>
      </c>
      <c r="EX172">
        <f>IF(ISBLANK('Data Entry'!$Ú$172), "", 'Data Entry'!$Ú$172)</f>
      </c>
      <c r="EY172">
        <f>IF(ISBLANK('Data Entry'!$Û$172), "", 'Data Entry'!$Û$172)</f>
      </c>
      <c r="EZ172">
        <f>IF(ISBLANK('Data Entry'!$Ü$172), "", 'Data Entry'!$Ü$172)</f>
      </c>
      <c r="FA172">
        <f>IF(ISBLANK('Data Entry'!$Ý$172), "", 'Data Entry'!$Ý$172)</f>
      </c>
      <c r="FB172">
        <f>IF(ISBLANK('Data Entry'!$Þ$172), "", 'Data Entry'!$Þ$172)</f>
      </c>
      <c r="FC172">
        <f>IF(ISBLANK('Data Entry'!$ß$172), "", 'Data Entry'!$ß$172)</f>
      </c>
      <c r="FD172">
        <f>IF(ISBLANK('Data Entry'!$à$172), "", 'Data Entry'!$à$172)</f>
      </c>
      <c r="FE172">
        <f>IF(ISBLANK('Data Entry'!$á$172), "", 'Data Entry'!$á$172)</f>
      </c>
      <c r="FF172">
        <f>IF(ISBLANK('Data Entry'!$â$172), "", 'Data Entry'!$â$172)</f>
      </c>
      <c r="FG172">
        <f>IF(ISBLANK('Data Entry'!$ã$172), "", 'Data Entry'!$ã$172)</f>
      </c>
      <c r="FH172">
        <f>IF(ISBLANK('Data Entry'!$ä$172), "", 'Data Entry'!$ä$172)</f>
      </c>
      <c r="FI172">
        <f>IF(ISBLANK('Data Entry'!$å$172), "", 'Data Entry'!$å$172)</f>
      </c>
      <c r="FJ172">
        <f>IF(ISBLANK('Data Entry'!$æ$172), "", 'Data Entry'!$æ$172)</f>
      </c>
      <c r="FK172">
        <f>IF(ISBLANK('Data Entry'!$ç$172), "", 'Data Entry'!$ç$172)</f>
      </c>
      <c r="FL172">
        <f>IF(ISBLANK('Data Entry'!$è$172), "", 'Data Entry'!$è$172)</f>
      </c>
      <c r="FM172">
        <f>IF(ISBLANK('Data Entry'!$é$172), "", 'Data Entry'!$é$172)</f>
      </c>
      <c r="FN172">
        <f>IF(ISBLANK('Data Entry'!$ê$172), "", 'Data Entry'!$ê$172)</f>
      </c>
      <c r="FO172">
        <f>IF(ISBLANK('Data Entry'!$ë$172), "", 'Data Entry'!$ë$172)</f>
      </c>
      <c r="FP172">
        <f>IF(ISBLANK('Data Entry'!$ì$172), "", 'Data Entry'!$ì$172)</f>
      </c>
      <c r="FQ172">
        <f>IF(ISBLANK('Data Entry'!$í$172), "", 'Data Entry'!$í$172)</f>
      </c>
      <c r="FR172">
        <f>IF(ISBLANK('Data Entry'!$î$172), "", 'Data Entry'!$î$172)</f>
      </c>
      <c r="FS172">
        <f>IF(ISBLANK('Data Entry'!$ï$172), "", 'Data Entry'!$ï$172)</f>
      </c>
      <c r="FT172">
        <f>IF(ISBLANK('Data Entry'!$ð$172), "", 'Data Entry'!$ð$172)</f>
      </c>
      <c r="FU172">
        <f>IF(ISBLANK('Data Entry'!$ñ$172), "", 'Data Entry'!$ñ$172)</f>
      </c>
      <c r="FV172">
        <f>IF(ISBLANK('Data Entry'!$ò$172), "", 'Data Entry'!$ò$172)</f>
      </c>
      <c r="FW172">
        <f>IF(ISBLANK('Data Entry'!$ó$172), "", 'Data Entry'!$ó$172)</f>
      </c>
      <c r="FX172">
        <f>IF(ISBLANK('Data Entry'!$ô$172), "", 'Data Entry'!$ô$172)</f>
      </c>
      <c r="FY172">
        <f>IF(ISBLANK('Data Entry'!$õ$172), "", 'Data Entry'!$õ$172)</f>
      </c>
      <c r="FZ172">
        <f>IF(ISBLANK('Data Entry'!$ö$172), "", 'Data Entry'!$ö$172)</f>
      </c>
      <c r="GA172">
        <f>IF(ISBLANK('Data Entry'!$÷$172), "", 'Data Entry'!$÷$172)</f>
      </c>
      <c r="GB172">
        <f>IF(ISBLANK('Data Entry'!$ø$172), "", 'Data Entry'!$ø$172)</f>
      </c>
      <c r="GC172">
        <f>IF(ISBLANK('Data Entry'!$ù$172), "", 'Data Entry'!$ù$172)</f>
      </c>
      <c r="GD172">
        <f>IF(ISBLANK('Data Entry'!$ú$172), "", 'Data Entry'!$ú$172)</f>
      </c>
      <c r="GE172">
        <f>IF(ISBLANK('Data Entry'!$û$172), "", 'Data Entry'!$û$172)</f>
      </c>
      <c r="GF172">
        <f>IF(ISBLANK('Data Entry'!$ü$172), "", 'Data Entry'!$ü$172)</f>
      </c>
      <c r="GG172">
        <f>IF(ISBLANK('Data Entry'!$ý$172), "", 'Data Entry'!$ý$172)</f>
      </c>
      <c r="GH172">
        <f>IF(ISBLANK('Data Entry'!$þ$172), "", 'Data Entry'!$þ$172)</f>
      </c>
      <c r="GI172">
        <f>IF(ISBLANK('Data Entry'!$ÿ$172), "", 'Data Entry'!$ÿ$172)</f>
      </c>
      <c r="GJ172">
        <f>IF(ISBLANK('Data Entry'!$Ā$172), "", 'Data Entry'!$Ā$172)</f>
      </c>
      <c r="GK172">
        <f>IF(ISBLANK('Data Entry'!$ā$172), "", 'Data Entry'!$ā$172)</f>
      </c>
      <c r="GL172">
        <f>IF(ISBLANK('Data Entry'!$Ă$172), "", 'Data Entry'!$Ă$172)</f>
      </c>
      <c r="GM172">
        <f>IF(ISBLANK('Data Entry'!$ă$172), "", 'Data Entry'!$ă$172)</f>
      </c>
      <c r="GN172">
        <f>IF(ISBLANK('Data Entry'!$Ą$172), "", 'Data Entry'!$Ą$172)</f>
      </c>
      <c r="GO172">
        <f>IF(ISBLANK('Data Entry'!$ą$172), "", 'Data Entry'!$ą$172)</f>
      </c>
      <c r="GP172">
        <f>IF(ISBLANK('Data Entry'!$Ć$172), "", 'Data Entry'!$Ć$172)</f>
      </c>
      <c r="GQ172">
        <f>IF(ISBLANK('Data Entry'!$ć$172), "", 'Data Entry'!$ć$172)</f>
      </c>
      <c r="GR172">
        <f>IF(ISBLANK('Data Entry'!$Ĉ$172), "", 'Data Entry'!$Ĉ$172)</f>
      </c>
      <c r="GS172">
        <f>IF(ISBLANK('Data Entry'!$ĉ$172), "", 'Data Entry'!$ĉ$172)</f>
      </c>
      <c r="GT172">
        <f>IF(ISBLANK('Data Entry'!$Ċ$172), "", 'Data Entry'!$Ċ$172)</f>
      </c>
      <c r="GU172">
        <f>IF(ISBLANK('Data Entry'!$ċ$172), "", 'Data Entry'!$ċ$172)</f>
      </c>
      <c r="GV172">
        <f>IF(ISBLANK('Data Entry'!$Č$172), "", 'Data Entry'!$Č$172)</f>
      </c>
      <c r="GW172">
        <f>IF(ISBLANK('Data Entry'!$č$172), "", 'Data Entry'!$č$172)</f>
      </c>
      <c r="GX172">
        <f>IF(ISBLANK('Data Entry'!$Ď$172), "", 'Data Entry'!$Ď$172)</f>
      </c>
      <c r="GY172">
        <f>IF(ISBLANK('Data Entry'!$ď$172), "", 'Data Entry'!$ď$172)</f>
      </c>
      <c r="GZ172">
        <f>IF(ISBLANK('Data Entry'!$Đ$172), "", 'Data Entry'!$Đ$172)</f>
      </c>
      <c r="HA172">
        <f>IF(ISBLANK('Data Entry'!$đ$172), "", 'Data Entry'!$đ$172)</f>
      </c>
      <c r="HB172">
        <f>IF(ISBLANK('Data Entry'!$Ē$172), "", 'Data Entry'!$Ē$172)</f>
      </c>
      <c r="HC172">
        <f>IF(ISBLANK('Data Entry'!$ē$172), "", 'Data Entry'!$ē$172)</f>
      </c>
      <c r="HD172">
        <f>IF(ISBLANK('Data Entry'!$Ĕ$172), "", 'Data Entry'!$Ĕ$172)</f>
      </c>
      <c r="HE172">
        <f>IF(ISBLANK('Data Entry'!$ĕ$172), "", 'Data Entry'!$ĕ$172)</f>
      </c>
      <c r="HF172">
        <f>IF(ISBLANK('Data Entry'!$Ė$172), "", 'Data Entry'!$Ė$172)</f>
      </c>
      <c r="HG172">
        <f>IF(ISBLANK('Data Entry'!$ė$172), "", 'Data Entry'!$ė$172)</f>
      </c>
      <c r="HH172">
        <f>IF(ISBLANK('Data Entry'!$Ę$172), "", 'Data Entry'!$Ę$172)</f>
      </c>
      <c r="HI172">
        <f>IF(ISBLANK('Data Entry'!$ę$172), "", 'Data Entry'!$ę$172)</f>
      </c>
      <c r="HJ172">
        <f>IF(ISBLANK('Data Entry'!$Ě$172), "", 'Data Entry'!$Ě$172)</f>
      </c>
      <c r="HK172">
        <f>IF(ISBLANK('Data Entry'!$ě$172), "", 'Data Entry'!$ě$172)</f>
      </c>
      <c r="HL172">
        <f>IF(ISBLANK('Data Entry'!$Ĝ$172), "", 'Data Entry'!$Ĝ$172)</f>
      </c>
      <c r="HM172">
        <f>IF(ISBLANK('Data Entry'!$ĝ$172), "", 'Data Entry'!$ĝ$172)</f>
      </c>
      <c r="HN172">
        <f>IF(ISBLANK('Data Entry'!$Ğ$172), "", 'Data Entry'!$Ğ$172)</f>
      </c>
      <c r="HO172">
        <f>IF(ISBLANK('Data Entry'!$ğ$172), "", 'Data Entry'!$ğ$172)</f>
      </c>
      <c r="HP172">
        <f>IF(ISBLANK('Data Entry'!$Ġ$172), "", 'Data Entry'!$Ġ$172)</f>
      </c>
      <c r="HQ172">
        <f>IF(ISBLANK('Data Entry'!$ġ$172), "", 'Data Entry'!$ġ$172)</f>
      </c>
      <c r="HR172">
        <f>IF(ISBLANK('Data Entry'!$Ģ$172), "", 'Data Entry'!$Ģ$172)</f>
      </c>
      <c r="HS172">
        <f>IF(ISBLANK('Data Entry'!$ģ$172), "", 'Data Entry'!$ģ$172)</f>
      </c>
      <c r="HT172">
        <f>IF(ISBLANK('Data Entry'!$Ĥ$172), "", 'Data Entry'!$Ĥ$172)</f>
      </c>
      <c r="HU172">
        <f>IF(ISBLANK('Data Entry'!$ĥ$172), "", 'Data Entry'!$ĥ$172)</f>
      </c>
      <c r="HV172">
        <f>IF(ISBLANK('Data Entry'!$Ħ$172), "", 'Data Entry'!$Ħ$172)</f>
      </c>
      <c r="HW172">
        <f>IF(ISBLANK('Data Entry'!$ħ$172), "", 'Data Entry'!$ħ$172)</f>
      </c>
      <c r="HX172">
        <f>IF(ISBLANK('Data Entry'!$Ĩ$172), "", 'Data Entry'!$Ĩ$172)</f>
      </c>
      <c r="HY172">
        <f>IF(ISBLANK('Data Entry'!$ĩ$172), "", 'Data Entry'!$ĩ$172)</f>
      </c>
      <c r="HZ172">
        <f>IF(ISBLANK('Data Entry'!$Ī$172), "", 'Data Entry'!$Ī$172)</f>
      </c>
      <c r="IA172">
        <f>IF(ISBLANK('Data Entry'!$ī$172), "", 'Data Entry'!$ī$172)</f>
      </c>
      <c r="IB172">
        <f>IF(ISBLANK('Data Entry'!$Ĭ$172), "", 'Data Entry'!$Ĭ$172)</f>
      </c>
      <c r="IC172">
        <f>IF(ISBLANK('Data Entry'!$ĭ$172), "", 'Data Entry'!$ĭ$172)</f>
      </c>
      <c r="ID172">
        <f>IF(ISBLANK('Data Entry'!$Į$172), "", 'Data Entry'!$Į$172)</f>
      </c>
      <c r="IE172">
        <f>IF(ISBLANK('Data Entry'!$į$172), "", 'Data Entry'!$į$172)</f>
      </c>
      <c r="IF172">
        <f>IF(ISBLANK('Data Entry'!$İ$172), "", 'Data Entry'!$İ$172)</f>
      </c>
      <c r="IG172">
        <f>IF(ISBLANK('Data Entry'!$ı$172), "", 'Data Entry'!$ı$172)</f>
      </c>
      <c r="IH172">
        <f>IF(ISBLANK('Data Entry'!$Ĳ$172), "", 'Data Entry'!$Ĳ$172)</f>
      </c>
      <c r="II172">
        <f>IF(ISBLANK('Data Entry'!$ĳ$172), "", 'Data Entry'!$ĳ$172)</f>
      </c>
      <c r="IJ172">
        <f>IF(ISBLANK('Data Entry'!$Ĵ$172), "", 'Data Entry'!$Ĵ$172)</f>
      </c>
      <c r="IK172">
        <f>IF(ISBLANK('Data Entry'!$ĵ$172), "", 'Data Entry'!$ĵ$172)</f>
      </c>
      <c r="IL172">
        <f>IF(ISBLANK('Data Entry'!$Ķ$172), "", 'Data Entry'!$Ķ$172)</f>
      </c>
      <c r="IM172">
        <f>IF(ISBLANK('Data Entry'!$ķ$172), "", 'Data Entry'!$ķ$172)</f>
      </c>
      <c r="IN172">
        <f>IF(ISBLANK('Data Entry'!$ĸ$172), "", 'Data Entry'!$ĸ$172)</f>
      </c>
      <c r="IO172">
        <f>IF(ISBLANK('Data Entry'!$Ĺ$172), "", 'Data Entry'!$Ĺ$172)</f>
      </c>
      <c r="IP172">
        <f>IF(ISBLANK('Data Entry'!$ĺ$172), "", 'Data Entry'!$ĺ$172)</f>
      </c>
      <c r="IQ172">
        <f>IF(ISBLANK('Data Entry'!$Ļ$172), "", 'Data Entry'!$Ļ$172)</f>
      </c>
      <c r="IR172">
        <f>IF(ISBLANK('Data Entry'!$ļ$172), "", 'Data Entry'!$ļ$172)</f>
      </c>
      <c r="IS172">
        <f>IF(ISBLANK('Data Entry'!$Ľ$172), "", 'Data Entry'!$Ľ$172)</f>
      </c>
      <c r="IT172">
        <f>IF(ISBLANK('Data Entry'!$ľ$172), "", 'Data Entry'!$ľ$172)</f>
      </c>
    </row>
    <row r="173" spans="1:254" x14ac:dyDescent="0.25">
      <c r="A173">
        <f>IF(ISBLANK('Data Entry'!$A$173), "", 'Data Entry'!$A$173)</f>
      </c>
      <c r="B173">
        <f>IF(ISBLANK('Data Entry'!$B$173), "", 'Data Entry'!$B$173)</f>
      </c>
      <c r="C173">
        <f>IF(ISBLANK('Data Entry'!$C$173), "", 'Data Entry'!$C$173)</f>
      </c>
      <c r="D173">
        <f>IF(ISBLANK('Data Entry'!$D$173), "", 'Data Entry'!$D$173)</f>
      </c>
      <c r="E173">
        <f>IF(ISBLANK('Data Entry'!$E$173), "", 'Data Entry'!$E$173)</f>
      </c>
      <c r="F173">
        <f>IF(ISBLANK('Data Entry'!$F$173), "", 'Data Entry'!$F$173)</f>
      </c>
      <c r="G173">
        <f>IF(ISBLANK('Data Entry'!$G$173), "", 'Data Entry'!$G$173)</f>
      </c>
      <c r="H173">
        <f>IF(ISBLANK('Data Entry'!$H$173), "", 'Data Entry'!$H$173)</f>
      </c>
      <c r="I173">
        <f>IF(ISBLANK('Data Entry'!$I$173), "", 'Data Entry'!$I$173)</f>
      </c>
      <c r="J173">
        <f>IF(ISBLANK('Data Entry'!$J$173), "", 'Data Entry'!$J$173)</f>
      </c>
      <c r="K173">
        <f>IF(ISBLANK('Data Entry'!$K$173), "", 'Data Entry'!$K$173)</f>
      </c>
      <c r="L173">
        <f>IF(ISBLANK('Data Entry'!$L$173), "", 'Data Entry'!$L$173)</f>
      </c>
      <c r="M173">
        <f>IF(ISBLANK('Data Entry'!$M$173), "", 'Data Entry'!$M$173)</f>
      </c>
      <c r="N173">
        <f>IF(ISBLANK('Data Entry'!$N$173), "", 'Data Entry'!$N$173)</f>
      </c>
      <c r="O173">
        <f>IF(ISBLANK('Data Entry'!$O$173), "", 'Data Entry'!$O$173)</f>
      </c>
      <c r="P173">
        <f>IF(ISBLANK('Data Entry'!$P$173), "", 'Data Entry'!$P$173)</f>
      </c>
      <c r="Q173">
        <f>IF(ISBLANK('Data Entry'!$Q$173), "", 'Data Entry'!$Q$173)</f>
      </c>
      <c r="R173">
        <f>IF(ISBLANK('Data Entry'!$R$173), "", 'Data Entry'!$R$173)</f>
      </c>
      <c r="S173">
        <f>IF(ISBLANK('Data Entry'!$S$173), "", 'Data Entry'!$S$173)</f>
      </c>
      <c r="T173">
        <f>IF(ISBLANK('Data Entry'!$T$173), "", 'Data Entry'!$T$173)</f>
      </c>
      <c r="U173">
        <f>IF(ISBLANK('Data Entry'!$U$173), "", 'Data Entry'!$U$173)</f>
      </c>
      <c r="V173">
        <f>IF(ISBLANK('Data Entry'!$V$173), "", 'Data Entry'!$V$173)</f>
      </c>
      <c r="W173">
        <f>IF(ISBLANK('Data Entry'!$W$173), "", 'Data Entry'!$W$173)</f>
      </c>
      <c r="X173">
        <f>IF(ISBLANK('Data Entry'!$X$173), "", 'Data Entry'!$X$173)</f>
      </c>
      <c r="Y173">
        <f>IF(ISBLANK('Data Entry'!$Y$173), "", 'Data Entry'!$Y$173)</f>
      </c>
      <c r="Z173">
        <f>IF(ISBLANK('Data Entry'!$Z$173), "", 'Data Entry'!$Z$173)</f>
      </c>
      <c r="AA173">
        <f>IF(ISBLANK('Data Entry'!$[$173), "", 'Data Entry'!$[$173)</f>
      </c>
      <c r="AB173">
        <f>IF(ISBLANK('Data Entry'!$\$173), "", 'Data Entry'!$\$173)</f>
      </c>
      <c r="AC173">
        <f>IF(ISBLANK('Data Entry'!$]$173), "", 'Data Entry'!$]$173)</f>
      </c>
      <c r="AD173">
        <f>IF(ISBLANK('Data Entry'!$^$173), "", 'Data Entry'!$^$173)</f>
      </c>
      <c r="AE173">
        <f>IF(ISBLANK('Data Entry'!$_$173), "", 'Data Entry'!$_$173)</f>
      </c>
      <c r="AF173">
        <f>IF(ISBLANK('Data Entry'!$`$173), "", 'Data Entry'!$`$173)</f>
      </c>
      <c r="AG173">
        <f>IF(ISBLANK('Data Entry'!$a$173), "", 'Data Entry'!$a$173)</f>
      </c>
      <c r="AH173">
        <f>IF(ISBLANK('Data Entry'!$b$173), "", 'Data Entry'!$b$173)</f>
      </c>
      <c r="AI173">
        <f>IF(ISBLANK('Data Entry'!$c$173), "", 'Data Entry'!$c$173)</f>
      </c>
      <c r="AJ173">
        <f>IF(ISBLANK('Data Entry'!$d$173), "", 'Data Entry'!$d$173)</f>
      </c>
      <c r="AK173">
        <f>IF(ISBLANK('Data Entry'!$e$173), "", 'Data Entry'!$e$173)</f>
      </c>
      <c r="AL173">
        <f>IF(ISBLANK('Data Entry'!$f$173), "", 'Data Entry'!$f$173)</f>
      </c>
      <c r="AM173">
        <f>IF(ISBLANK('Data Entry'!$g$173), "", 'Data Entry'!$g$173)</f>
      </c>
      <c r="AN173">
        <f>IF(ISBLANK('Data Entry'!$h$173), "", 'Data Entry'!$h$173)</f>
      </c>
      <c r="AO173">
        <f>IF(ISBLANK('Data Entry'!$i$173), "", 'Data Entry'!$i$173)</f>
      </c>
      <c r="AP173">
        <f>IF(ISBLANK('Data Entry'!$j$173), "", 'Data Entry'!$j$173)</f>
      </c>
      <c r="AQ173">
        <f>IF(ISBLANK('Data Entry'!$k$173), "", 'Data Entry'!$k$173)</f>
      </c>
      <c r="AR173">
        <f>IF(ISBLANK('Data Entry'!$l$173), "", 'Data Entry'!$l$173)</f>
      </c>
      <c r="AS173">
        <f>IF(ISBLANK('Data Entry'!$m$173), "", 'Data Entry'!$m$173)</f>
      </c>
      <c r="AT173">
        <f>IF(ISBLANK('Data Entry'!$n$173), "", 'Data Entry'!$n$173)</f>
      </c>
      <c r="AU173">
        <f>IF(ISBLANK('Data Entry'!$o$173), "", 'Data Entry'!$o$173)</f>
      </c>
      <c r="AV173">
        <f>IF(ISBLANK('Data Entry'!$p$173), "", 'Data Entry'!$p$173)</f>
      </c>
      <c r="AW173">
        <f>IF(ISBLANK('Data Entry'!$q$173), "", 'Data Entry'!$q$173)</f>
      </c>
      <c r="AX173">
        <f>IF(ISBLANK('Data Entry'!$r$173), "", 'Data Entry'!$r$173)</f>
      </c>
      <c r="AY173">
        <f>IF(ISBLANK('Data Entry'!$s$173), "", 'Data Entry'!$s$173)</f>
      </c>
      <c r="AZ173">
        <f>IF(ISBLANK('Data Entry'!$t$173), "", 'Data Entry'!$t$173)</f>
      </c>
      <c r="BA173">
        <f>IF(ISBLANK('Data Entry'!$u$173), "", 'Data Entry'!$u$173)</f>
      </c>
      <c r="BB173">
        <f>IF(ISBLANK('Data Entry'!$v$173), "", 'Data Entry'!$v$173)</f>
      </c>
      <c r="BC173">
        <f>IF(ISBLANK('Data Entry'!$w$173), "", 'Data Entry'!$w$173)</f>
      </c>
      <c r="BD173">
        <f>IF(ISBLANK('Data Entry'!$x$173), "", 'Data Entry'!$x$173)</f>
      </c>
      <c r="BE173">
        <f>IF(ISBLANK('Data Entry'!$y$173), "", 'Data Entry'!$y$173)</f>
      </c>
      <c r="BF173">
        <f>IF(ISBLANK('Data Entry'!$z$173), "", 'Data Entry'!$z$173)</f>
      </c>
      <c r="BG173">
        <f>IF(ISBLANK('Data Entry'!${$173), "", 'Data Entry'!${$173)</f>
      </c>
      <c r="BH173">
        <f>IF(ISBLANK('Data Entry'!$|$173), "", 'Data Entry'!$|$173)</f>
      </c>
      <c r="BI173">
        <f>IF(ISBLANK('Data Entry'!$}$173), "", 'Data Entry'!$}$173)</f>
      </c>
      <c r="BJ173">
        <f>IF(ISBLANK('Data Entry'!$~$173), "", 'Data Entry'!$~$173)</f>
      </c>
      <c r="BK173">
        <f>IF(ISBLANK('Data Entry'!$$173), "", 'Data Entry'!$$173)</f>
      </c>
      <c r="BL173">
        <f>IF(ISBLANK('Data Entry'!$$173), "", 'Data Entry'!$$173)</f>
      </c>
      <c r="BM173">
        <f>IF(ISBLANK('Data Entry'!$$173), "", 'Data Entry'!$$173)</f>
      </c>
      <c r="BN173">
        <f>IF(ISBLANK('Data Entry'!$$173), "", 'Data Entry'!$$173)</f>
      </c>
      <c r="BO173">
        <f>IF(ISBLANK('Data Entry'!$$173), "", 'Data Entry'!$$173)</f>
      </c>
      <c r="BP173">
        <f>IF(ISBLANK('Data Entry'!$$173), "", 'Data Entry'!$$173)</f>
      </c>
      <c r="BQ173">
        <f>IF(ISBLANK('Data Entry'!$$173), "", 'Data Entry'!$$173)</f>
      </c>
      <c r="BR173">
        <f>IF(ISBLANK('Data Entry'!$$173), "", 'Data Entry'!$$173)</f>
      </c>
      <c r="BS173">
        <f>IF(ISBLANK('Data Entry'!$$173), "", 'Data Entry'!$$173)</f>
      </c>
      <c r="BT173">
        <f>IF(ISBLANK('Data Entry'!$$173), "", 'Data Entry'!$$173)</f>
      </c>
      <c r="BU173">
        <f>IF(ISBLANK('Data Entry'!$$173), "", 'Data Entry'!$$173)</f>
      </c>
      <c r="BV173">
        <f>IF(ISBLANK('Data Entry'!$$173), "", 'Data Entry'!$$173)</f>
      </c>
      <c r="BW173">
        <f>IF(ISBLANK('Data Entry'!$$173), "", 'Data Entry'!$$173)</f>
      </c>
      <c r="BX173">
        <f>IF(ISBLANK('Data Entry'!$$173), "", 'Data Entry'!$$173)</f>
      </c>
      <c r="BY173">
        <f>IF(ISBLANK('Data Entry'!$$173), "", 'Data Entry'!$$173)</f>
      </c>
      <c r="BZ173">
        <f>IF(ISBLANK('Data Entry'!$$173), "", 'Data Entry'!$$173)</f>
      </c>
      <c r="CA173">
        <f>IF(ISBLANK('Data Entry'!$$173), "", 'Data Entry'!$$173)</f>
      </c>
      <c r="CB173">
        <f>IF(ISBLANK('Data Entry'!$$173), "", 'Data Entry'!$$173)</f>
      </c>
      <c r="CC173">
        <f>IF(ISBLANK('Data Entry'!$$173), "", 'Data Entry'!$$173)</f>
      </c>
      <c r="CD173">
        <f>IF(ISBLANK('Data Entry'!$$173), "", 'Data Entry'!$$173)</f>
      </c>
      <c r="CE173">
        <f>IF(ISBLANK('Data Entry'!$$173), "", 'Data Entry'!$$173)</f>
      </c>
      <c r="CF173">
        <f>IF(ISBLANK('Data Entry'!$$173), "", 'Data Entry'!$$173)</f>
      </c>
      <c r="CG173">
        <f>IF(ISBLANK('Data Entry'!$$173), "", 'Data Entry'!$$173)</f>
      </c>
      <c r="CH173">
        <f>IF(ISBLANK('Data Entry'!$$173), "", 'Data Entry'!$$173)</f>
      </c>
      <c r="CI173">
        <f>IF(ISBLANK('Data Entry'!$$173), "", 'Data Entry'!$$173)</f>
      </c>
      <c r="CJ173">
        <f>IF(ISBLANK('Data Entry'!$$173), "", 'Data Entry'!$$173)</f>
      </c>
      <c r="CK173">
        <f>IF(ISBLANK('Data Entry'!$$173), "", 'Data Entry'!$$173)</f>
      </c>
      <c r="CL173">
        <f>IF(ISBLANK('Data Entry'!$$173), "", 'Data Entry'!$$173)</f>
      </c>
      <c r="CM173">
        <f>IF(ISBLANK('Data Entry'!$$173), "", 'Data Entry'!$$173)</f>
      </c>
      <c r="CN173">
        <f>IF(ISBLANK('Data Entry'!$$173), "", 'Data Entry'!$$173)</f>
      </c>
      <c r="CO173">
        <f>IF(ISBLANK('Data Entry'!$$173), "", 'Data Entry'!$$173)</f>
      </c>
      <c r="CP173">
        <f>IF(ISBLANK('Data Entry'!$$173), "", 'Data Entry'!$$173)</f>
      </c>
      <c r="CQ173">
        <f>IF(ISBLANK('Data Entry'!$$173), "", 'Data Entry'!$$173)</f>
      </c>
      <c r="CR173">
        <f>IF(ISBLANK('Data Entry'!$ $173), "", 'Data Entry'!$ $173)</f>
      </c>
      <c r="CS173">
        <f>IF(ISBLANK('Data Entry'!$¡$173), "", 'Data Entry'!$¡$173)</f>
      </c>
      <c r="CT173">
        <f>IF(ISBLANK('Data Entry'!$¢$173), "", 'Data Entry'!$¢$173)</f>
      </c>
      <c r="CU173">
        <f>IF(ISBLANK('Data Entry'!$£$173), "", 'Data Entry'!$£$173)</f>
      </c>
      <c r="CV173">
        <f>IF(ISBLANK('Data Entry'!$¤$173), "", 'Data Entry'!$¤$173)</f>
      </c>
      <c r="CW173">
        <f>IF(ISBLANK('Data Entry'!$¥$173), "", 'Data Entry'!$¥$173)</f>
      </c>
      <c r="CX173">
        <f>IF(ISBLANK('Data Entry'!$¦$173), "", 'Data Entry'!$¦$173)</f>
      </c>
      <c r="CY173">
        <f>IF(ISBLANK('Data Entry'!$§$173), "", 'Data Entry'!$§$173)</f>
      </c>
      <c r="CZ173">
        <f>IF(ISBLANK('Data Entry'!$¨$173), "", 'Data Entry'!$¨$173)</f>
      </c>
      <c r="DA173">
        <f>IF(ISBLANK('Data Entry'!$©$173), "", 'Data Entry'!$©$173)</f>
      </c>
      <c r="DB173">
        <f>IF(ISBLANK('Data Entry'!$ª$173), "", 'Data Entry'!$ª$173)</f>
      </c>
      <c r="DC173">
        <f>IF(ISBLANK('Data Entry'!$«$173), "", 'Data Entry'!$«$173)</f>
      </c>
      <c r="DD173">
        <f>IF(ISBLANK('Data Entry'!$¬$173), "", 'Data Entry'!$¬$173)</f>
      </c>
      <c r="DE173">
        <f>IF(ISBLANK('Data Entry'!$­$173), "", 'Data Entry'!$­$173)</f>
      </c>
      <c r="DF173">
        <f>IF(ISBLANK('Data Entry'!$®$173), "", 'Data Entry'!$®$173)</f>
      </c>
      <c r="DG173">
        <f>IF(ISBLANK('Data Entry'!$¯$173), "", 'Data Entry'!$¯$173)</f>
      </c>
      <c r="DH173">
        <f>IF(ISBLANK('Data Entry'!$°$173), "", 'Data Entry'!$°$173)</f>
      </c>
      <c r="DI173">
        <f>IF(ISBLANK('Data Entry'!$±$173), "", 'Data Entry'!$±$173)</f>
      </c>
      <c r="DJ173">
        <f>IF(ISBLANK('Data Entry'!$²$173), "", 'Data Entry'!$²$173)</f>
      </c>
      <c r="DK173">
        <f>IF(ISBLANK('Data Entry'!$³$173), "", 'Data Entry'!$³$173)</f>
      </c>
      <c r="DL173">
        <f>IF(ISBLANK('Data Entry'!$´$173), "", 'Data Entry'!$´$173)</f>
      </c>
      <c r="DM173">
        <f>IF(ISBLANK('Data Entry'!$µ$173), "", 'Data Entry'!$µ$173)</f>
      </c>
      <c r="DN173">
        <f>IF(ISBLANK('Data Entry'!$¶$173), "", 'Data Entry'!$¶$173)</f>
      </c>
      <c r="DO173">
        <f>IF(ISBLANK('Data Entry'!$·$173), "", 'Data Entry'!$·$173)</f>
      </c>
      <c r="DP173">
        <f>IF(ISBLANK('Data Entry'!$¸$173), "", 'Data Entry'!$¸$173)</f>
      </c>
      <c r="DQ173">
        <f>IF(ISBLANK('Data Entry'!$¹$173), "", 'Data Entry'!$¹$173)</f>
      </c>
      <c r="DR173">
        <f>IF(ISBLANK('Data Entry'!$º$173), "", 'Data Entry'!$º$173)</f>
      </c>
      <c r="DS173">
        <f>IF(ISBLANK('Data Entry'!$»$173), "", 'Data Entry'!$»$173)</f>
      </c>
      <c r="DT173">
        <f>IF(ISBLANK('Data Entry'!$¼$173), "", 'Data Entry'!$¼$173)</f>
      </c>
      <c r="DU173">
        <f>IF(ISBLANK('Data Entry'!$½$173), "", 'Data Entry'!$½$173)</f>
      </c>
      <c r="DV173">
        <f>IF(ISBLANK('Data Entry'!$¾$173), "", 'Data Entry'!$¾$173)</f>
      </c>
      <c r="DW173">
        <f>IF(ISBLANK('Data Entry'!$¿$173), "", 'Data Entry'!$¿$173)</f>
      </c>
      <c r="DX173">
        <f>IF(ISBLANK('Data Entry'!$À$173), "", 'Data Entry'!$À$173)</f>
      </c>
      <c r="DY173">
        <f>IF(ISBLANK('Data Entry'!$Á$173), "", 'Data Entry'!$Á$173)</f>
      </c>
      <c r="DZ173">
        <f>IF(ISBLANK('Data Entry'!$Â$173), "", 'Data Entry'!$Â$173)</f>
      </c>
      <c r="EA173">
        <f>IF(ISBLANK('Data Entry'!$Ã$173), "", 'Data Entry'!$Ã$173)</f>
      </c>
      <c r="EB173">
        <f>IF(ISBLANK('Data Entry'!$Ä$173), "", 'Data Entry'!$Ä$173)</f>
      </c>
      <c r="EC173">
        <f>IF(ISBLANK('Data Entry'!$Å$173), "", 'Data Entry'!$Å$173)</f>
      </c>
      <c r="ED173">
        <f>IF(ISBLANK('Data Entry'!$Æ$173), "", 'Data Entry'!$Æ$173)</f>
      </c>
      <c r="EE173">
        <f>IF(ISBLANK('Data Entry'!$Ç$173), "", 'Data Entry'!$Ç$173)</f>
      </c>
      <c r="EF173">
        <f>IF(ISBLANK('Data Entry'!$È$173), "", 'Data Entry'!$È$173)</f>
      </c>
      <c r="EG173">
        <f>IF(ISBLANK('Data Entry'!$É$173), "", 'Data Entry'!$É$173)</f>
      </c>
      <c r="EH173">
        <f>IF(ISBLANK('Data Entry'!$Ê$173), "", 'Data Entry'!$Ê$173)</f>
      </c>
      <c r="EI173">
        <f>IF(ISBLANK('Data Entry'!$Ë$173), "", 'Data Entry'!$Ë$173)</f>
      </c>
      <c r="EJ173">
        <f>IF(ISBLANK('Data Entry'!$Ì$173), "", 'Data Entry'!$Ì$173)</f>
      </c>
      <c r="EK173">
        <f>IF(ISBLANK('Data Entry'!$Í$173), "", 'Data Entry'!$Í$173)</f>
      </c>
      <c r="EL173">
        <f>IF(ISBLANK('Data Entry'!$Î$173), "", 'Data Entry'!$Î$173)</f>
      </c>
      <c r="EM173">
        <f>IF(ISBLANK('Data Entry'!$Ï$173), "", 'Data Entry'!$Ï$173)</f>
      </c>
      <c r="EN173">
        <f>IF(ISBLANK('Data Entry'!$Ð$173), "", 'Data Entry'!$Ð$173)</f>
      </c>
      <c r="EO173">
        <f>IF(ISBLANK('Data Entry'!$Ñ$173), "", 'Data Entry'!$Ñ$173)</f>
      </c>
      <c r="EP173">
        <f>IF(ISBLANK('Data Entry'!$Ò$173), "", 'Data Entry'!$Ò$173)</f>
      </c>
      <c r="EQ173">
        <f>IF(ISBLANK('Data Entry'!$Ó$173), "", 'Data Entry'!$Ó$173)</f>
      </c>
      <c r="ER173">
        <f>IF(ISBLANK('Data Entry'!$Ô$173), "", 'Data Entry'!$Ô$173)</f>
      </c>
      <c r="ES173">
        <f>IF(ISBLANK('Data Entry'!$Õ$173), "", 'Data Entry'!$Õ$173)</f>
      </c>
      <c r="ET173">
        <f>IF(ISBLANK('Data Entry'!$Ö$173), "", 'Data Entry'!$Ö$173)</f>
      </c>
      <c r="EU173">
        <f>IF(ISBLANK('Data Entry'!$×$173), "", 'Data Entry'!$×$173)</f>
      </c>
      <c r="EV173">
        <f>IF(ISBLANK('Data Entry'!$Ø$173), "", 'Data Entry'!$Ø$173)</f>
      </c>
      <c r="EW173">
        <f>IF(ISBLANK('Data Entry'!$Ù$173), "", 'Data Entry'!$Ù$173)</f>
      </c>
      <c r="EX173">
        <f>IF(ISBLANK('Data Entry'!$Ú$173), "", 'Data Entry'!$Ú$173)</f>
      </c>
      <c r="EY173">
        <f>IF(ISBLANK('Data Entry'!$Û$173), "", 'Data Entry'!$Û$173)</f>
      </c>
      <c r="EZ173">
        <f>IF(ISBLANK('Data Entry'!$Ü$173), "", 'Data Entry'!$Ü$173)</f>
      </c>
      <c r="FA173">
        <f>IF(ISBLANK('Data Entry'!$Ý$173), "", 'Data Entry'!$Ý$173)</f>
      </c>
      <c r="FB173">
        <f>IF(ISBLANK('Data Entry'!$Þ$173), "", 'Data Entry'!$Þ$173)</f>
      </c>
      <c r="FC173">
        <f>IF(ISBLANK('Data Entry'!$ß$173), "", 'Data Entry'!$ß$173)</f>
      </c>
      <c r="FD173">
        <f>IF(ISBLANK('Data Entry'!$à$173), "", 'Data Entry'!$à$173)</f>
      </c>
      <c r="FE173">
        <f>IF(ISBLANK('Data Entry'!$á$173), "", 'Data Entry'!$á$173)</f>
      </c>
      <c r="FF173">
        <f>IF(ISBLANK('Data Entry'!$â$173), "", 'Data Entry'!$â$173)</f>
      </c>
      <c r="FG173">
        <f>IF(ISBLANK('Data Entry'!$ã$173), "", 'Data Entry'!$ã$173)</f>
      </c>
      <c r="FH173">
        <f>IF(ISBLANK('Data Entry'!$ä$173), "", 'Data Entry'!$ä$173)</f>
      </c>
      <c r="FI173">
        <f>IF(ISBLANK('Data Entry'!$å$173), "", 'Data Entry'!$å$173)</f>
      </c>
      <c r="FJ173">
        <f>IF(ISBLANK('Data Entry'!$æ$173), "", 'Data Entry'!$æ$173)</f>
      </c>
      <c r="FK173">
        <f>IF(ISBLANK('Data Entry'!$ç$173), "", 'Data Entry'!$ç$173)</f>
      </c>
      <c r="FL173">
        <f>IF(ISBLANK('Data Entry'!$è$173), "", 'Data Entry'!$è$173)</f>
      </c>
      <c r="FM173">
        <f>IF(ISBLANK('Data Entry'!$é$173), "", 'Data Entry'!$é$173)</f>
      </c>
      <c r="FN173">
        <f>IF(ISBLANK('Data Entry'!$ê$173), "", 'Data Entry'!$ê$173)</f>
      </c>
      <c r="FO173">
        <f>IF(ISBLANK('Data Entry'!$ë$173), "", 'Data Entry'!$ë$173)</f>
      </c>
      <c r="FP173">
        <f>IF(ISBLANK('Data Entry'!$ì$173), "", 'Data Entry'!$ì$173)</f>
      </c>
      <c r="FQ173">
        <f>IF(ISBLANK('Data Entry'!$í$173), "", 'Data Entry'!$í$173)</f>
      </c>
      <c r="FR173">
        <f>IF(ISBLANK('Data Entry'!$î$173), "", 'Data Entry'!$î$173)</f>
      </c>
      <c r="FS173">
        <f>IF(ISBLANK('Data Entry'!$ï$173), "", 'Data Entry'!$ï$173)</f>
      </c>
      <c r="FT173">
        <f>IF(ISBLANK('Data Entry'!$ð$173), "", 'Data Entry'!$ð$173)</f>
      </c>
      <c r="FU173">
        <f>IF(ISBLANK('Data Entry'!$ñ$173), "", 'Data Entry'!$ñ$173)</f>
      </c>
      <c r="FV173">
        <f>IF(ISBLANK('Data Entry'!$ò$173), "", 'Data Entry'!$ò$173)</f>
      </c>
      <c r="FW173">
        <f>IF(ISBLANK('Data Entry'!$ó$173), "", 'Data Entry'!$ó$173)</f>
      </c>
      <c r="FX173">
        <f>IF(ISBLANK('Data Entry'!$ô$173), "", 'Data Entry'!$ô$173)</f>
      </c>
      <c r="FY173">
        <f>IF(ISBLANK('Data Entry'!$õ$173), "", 'Data Entry'!$õ$173)</f>
      </c>
      <c r="FZ173">
        <f>IF(ISBLANK('Data Entry'!$ö$173), "", 'Data Entry'!$ö$173)</f>
      </c>
      <c r="GA173">
        <f>IF(ISBLANK('Data Entry'!$÷$173), "", 'Data Entry'!$÷$173)</f>
      </c>
      <c r="GB173">
        <f>IF(ISBLANK('Data Entry'!$ø$173), "", 'Data Entry'!$ø$173)</f>
      </c>
      <c r="GC173">
        <f>IF(ISBLANK('Data Entry'!$ù$173), "", 'Data Entry'!$ù$173)</f>
      </c>
      <c r="GD173">
        <f>IF(ISBLANK('Data Entry'!$ú$173), "", 'Data Entry'!$ú$173)</f>
      </c>
      <c r="GE173">
        <f>IF(ISBLANK('Data Entry'!$û$173), "", 'Data Entry'!$û$173)</f>
      </c>
      <c r="GF173">
        <f>IF(ISBLANK('Data Entry'!$ü$173), "", 'Data Entry'!$ü$173)</f>
      </c>
      <c r="GG173">
        <f>IF(ISBLANK('Data Entry'!$ý$173), "", 'Data Entry'!$ý$173)</f>
      </c>
      <c r="GH173">
        <f>IF(ISBLANK('Data Entry'!$þ$173), "", 'Data Entry'!$þ$173)</f>
      </c>
      <c r="GI173">
        <f>IF(ISBLANK('Data Entry'!$ÿ$173), "", 'Data Entry'!$ÿ$173)</f>
      </c>
      <c r="GJ173">
        <f>IF(ISBLANK('Data Entry'!$Ā$173), "", 'Data Entry'!$Ā$173)</f>
      </c>
      <c r="GK173">
        <f>IF(ISBLANK('Data Entry'!$ā$173), "", 'Data Entry'!$ā$173)</f>
      </c>
      <c r="GL173">
        <f>IF(ISBLANK('Data Entry'!$Ă$173), "", 'Data Entry'!$Ă$173)</f>
      </c>
      <c r="GM173">
        <f>IF(ISBLANK('Data Entry'!$ă$173), "", 'Data Entry'!$ă$173)</f>
      </c>
      <c r="GN173">
        <f>IF(ISBLANK('Data Entry'!$Ą$173), "", 'Data Entry'!$Ą$173)</f>
      </c>
      <c r="GO173">
        <f>IF(ISBLANK('Data Entry'!$ą$173), "", 'Data Entry'!$ą$173)</f>
      </c>
      <c r="GP173">
        <f>IF(ISBLANK('Data Entry'!$Ć$173), "", 'Data Entry'!$Ć$173)</f>
      </c>
      <c r="GQ173">
        <f>IF(ISBLANK('Data Entry'!$ć$173), "", 'Data Entry'!$ć$173)</f>
      </c>
      <c r="GR173">
        <f>IF(ISBLANK('Data Entry'!$Ĉ$173), "", 'Data Entry'!$Ĉ$173)</f>
      </c>
      <c r="GS173">
        <f>IF(ISBLANK('Data Entry'!$ĉ$173), "", 'Data Entry'!$ĉ$173)</f>
      </c>
      <c r="GT173">
        <f>IF(ISBLANK('Data Entry'!$Ċ$173), "", 'Data Entry'!$Ċ$173)</f>
      </c>
      <c r="GU173">
        <f>IF(ISBLANK('Data Entry'!$ċ$173), "", 'Data Entry'!$ċ$173)</f>
      </c>
      <c r="GV173">
        <f>IF(ISBLANK('Data Entry'!$Č$173), "", 'Data Entry'!$Č$173)</f>
      </c>
      <c r="GW173">
        <f>IF(ISBLANK('Data Entry'!$č$173), "", 'Data Entry'!$č$173)</f>
      </c>
      <c r="GX173">
        <f>IF(ISBLANK('Data Entry'!$Ď$173), "", 'Data Entry'!$Ď$173)</f>
      </c>
      <c r="GY173">
        <f>IF(ISBLANK('Data Entry'!$ď$173), "", 'Data Entry'!$ď$173)</f>
      </c>
      <c r="GZ173">
        <f>IF(ISBLANK('Data Entry'!$Đ$173), "", 'Data Entry'!$Đ$173)</f>
      </c>
      <c r="HA173">
        <f>IF(ISBLANK('Data Entry'!$đ$173), "", 'Data Entry'!$đ$173)</f>
      </c>
      <c r="HB173">
        <f>IF(ISBLANK('Data Entry'!$Ē$173), "", 'Data Entry'!$Ē$173)</f>
      </c>
      <c r="HC173">
        <f>IF(ISBLANK('Data Entry'!$ē$173), "", 'Data Entry'!$ē$173)</f>
      </c>
      <c r="HD173">
        <f>IF(ISBLANK('Data Entry'!$Ĕ$173), "", 'Data Entry'!$Ĕ$173)</f>
      </c>
      <c r="HE173">
        <f>IF(ISBLANK('Data Entry'!$ĕ$173), "", 'Data Entry'!$ĕ$173)</f>
      </c>
      <c r="HF173">
        <f>IF(ISBLANK('Data Entry'!$Ė$173), "", 'Data Entry'!$Ė$173)</f>
      </c>
      <c r="HG173">
        <f>IF(ISBLANK('Data Entry'!$ė$173), "", 'Data Entry'!$ė$173)</f>
      </c>
      <c r="HH173">
        <f>IF(ISBLANK('Data Entry'!$Ę$173), "", 'Data Entry'!$Ę$173)</f>
      </c>
      <c r="HI173">
        <f>IF(ISBLANK('Data Entry'!$ę$173), "", 'Data Entry'!$ę$173)</f>
      </c>
      <c r="HJ173">
        <f>IF(ISBLANK('Data Entry'!$Ě$173), "", 'Data Entry'!$Ě$173)</f>
      </c>
      <c r="HK173">
        <f>IF(ISBLANK('Data Entry'!$ě$173), "", 'Data Entry'!$ě$173)</f>
      </c>
      <c r="HL173">
        <f>IF(ISBLANK('Data Entry'!$Ĝ$173), "", 'Data Entry'!$Ĝ$173)</f>
      </c>
      <c r="HM173">
        <f>IF(ISBLANK('Data Entry'!$ĝ$173), "", 'Data Entry'!$ĝ$173)</f>
      </c>
      <c r="HN173">
        <f>IF(ISBLANK('Data Entry'!$Ğ$173), "", 'Data Entry'!$Ğ$173)</f>
      </c>
      <c r="HO173">
        <f>IF(ISBLANK('Data Entry'!$ğ$173), "", 'Data Entry'!$ğ$173)</f>
      </c>
      <c r="HP173">
        <f>IF(ISBLANK('Data Entry'!$Ġ$173), "", 'Data Entry'!$Ġ$173)</f>
      </c>
      <c r="HQ173">
        <f>IF(ISBLANK('Data Entry'!$ġ$173), "", 'Data Entry'!$ġ$173)</f>
      </c>
      <c r="HR173">
        <f>IF(ISBLANK('Data Entry'!$Ģ$173), "", 'Data Entry'!$Ģ$173)</f>
      </c>
      <c r="HS173">
        <f>IF(ISBLANK('Data Entry'!$ģ$173), "", 'Data Entry'!$ģ$173)</f>
      </c>
      <c r="HT173">
        <f>IF(ISBLANK('Data Entry'!$Ĥ$173), "", 'Data Entry'!$Ĥ$173)</f>
      </c>
      <c r="HU173">
        <f>IF(ISBLANK('Data Entry'!$ĥ$173), "", 'Data Entry'!$ĥ$173)</f>
      </c>
      <c r="HV173">
        <f>IF(ISBLANK('Data Entry'!$Ħ$173), "", 'Data Entry'!$Ħ$173)</f>
      </c>
      <c r="HW173">
        <f>IF(ISBLANK('Data Entry'!$ħ$173), "", 'Data Entry'!$ħ$173)</f>
      </c>
      <c r="HX173">
        <f>IF(ISBLANK('Data Entry'!$Ĩ$173), "", 'Data Entry'!$Ĩ$173)</f>
      </c>
      <c r="HY173">
        <f>IF(ISBLANK('Data Entry'!$ĩ$173), "", 'Data Entry'!$ĩ$173)</f>
      </c>
      <c r="HZ173">
        <f>IF(ISBLANK('Data Entry'!$Ī$173), "", 'Data Entry'!$Ī$173)</f>
      </c>
      <c r="IA173">
        <f>IF(ISBLANK('Data Entry'!$ī$173), "", 'Data Entry'!$ī$173)</f>
      </c>
      <c r="IB173">
        <f>IF(ISBLANK('Data Entry'!$Ĭ$173), "", 'Data Entry'!$Ĭ$173)</f>
      </c>
      <c r="IC173">
        <f>IF(ISBLANK('Data Entry'!$ĭ$173), "", 'Data Entry'!$ĭ$173)</f>
      </c>
      <c r="ID173">
        <f>IF(ISBLANK('Data Entry'!$Į$173), "", 'Data Entry'!$Į$173)</f>
      </c>
      <c r="IE173">
        <f>IF(ISBLANK('Data Entry'!$į$173), "", 'Data Entry'!$į$173)</f>
      </c>
      <c r="IF173">
        <f>IF(ISBLANK('Data Entry'!$İ$173), "", 'Data Entry'!$İ$173)</f>
      </c>
      <c r="IG173">
        <f>IF(ISBLANK('Data Entry'!$ı$173), "", 'Data Entry'!$ı$173)</f>
      </c>
      <c r="IH173">
        <f>IF(ISBLANK('Data Entry'!$Ĳ$173), "", 'Data Entry'!$Ĳ$173)</f>
      </c>
      <c r="II173">
        <f>IF(ISBLANK('Data Entry'!$ĳ$173), "", 'Data Entry'!$ĳ$173)</f>
      </c>
      <c r="IJ173">
        <f>IF(ISBLANK('Data Entry'!$Ĵ$173), "", 'Data Entry'!$Ĵ$173)</f>
      </c>
      <c r="IK173">
        <f>IF(ISBLANK('Data Entry'!$ĵ$173), "", 'Data Entry'!$ĵ$173)</f>
      </c>
      <c r="IL173">
        <f>IF(ISBLANK('Data Entry'!$Ķ$173), "", 'Data Entry'!$Ķ$173)</f>
      </c>
      <c r="IM173">
        <f>IF(ISBLANK('Data Entry'!$ķ$173), "", 'Data Entry'!$ķ$173)</f>
      </c>
      <c r="IN173">
        <f>IF(ISBLANK('Data Entry'!$ĸ$173), "", 'Data Entry'!$ĸ$173)</f>
      </c>
      <c r="IO173">
        <f>IF(ISBLANK('Data Entry'!$Ĺ$173), "", 'Data Entry'!$Ĺ$173)</f>
      </c>
      <c r="IP173">
        <f>IF(ISBLANK('Data Entry'!$ĺ$173), "", 'Data Entry'!$ĺ$173)</f>
      </c>
      <c r="IQ173">
        <f>IF(ISBLANK('Data Entry'!$Ļ$173), "", 'Data Entry'!$Ļ$173)</f>
      </c>
      <c r="IR173">
        <f>IF(ISBLANK('Data Entry'!$ļ$173), "", 'Data Entry'!$ļ$173)</f>
      </c>
      <c r="IS173">
        <f>IF(ISBLANK('Data Entry'!$Ľ$173), "", 'Data Entry'!$Ľ$173)</f>
      </c>
      <c r="IT173">
        <f>IF(ISBLANK('Data Entry'!$ľ$173), "", 'Data Entry'!$ľ$173)</f>
      </c>
    </row>
    <row r="174" spans="1:254" x14ac:dyDescent="0.25">
      <c r="A174">
        <f>IF(ISBLANK('Data Entry'!$A$174), "", 'Data Entry'!$A$174)</f>
      </c>
      <c r="B174">
        <f>IF(ISBLANK('Data Entry'!$B$174), "", 'Data Entry'!$B$174)</f>
      </c>
      <c r="C174">
        <f>IF(ISBLANK('Data Entry'!$C$174), "", 'Data Entry'!$C$174)</f>
      </c>
      <c r="D174">
        <f>IF(ISBLANK('Data Entry'!$D$174), "", 'Data Entry'!$D$174)</f>
      </c>
      <c r="E174">
        <f>IF(ISBLANK('Data Entry'!$E$174), "", 'Data Entry'!$E$174)</f>
      </c>
      <c r="F174">
        <f>IF(ISBLANK('Data Entry'!$F$174), "", 'Data Entry'!$F$174)</f>
      </c>
      <c r="G174">
        <f>IF(ISBLANK('Data Entry'!$G$174), "", 'Data Entry'!$G$174)</f>
      </c>
      <c r="H174">
        <f>IF(ISBLANK('Data Entry'!$H$174), "", 'Data Entry'!$H$174)</f>
      </c>
      <c r="I174">
        <f>IF(ISBLANK('Data Entry'!$I$174), "", 'Data Entry'!$I$174)</f>
      </c>
      <c r="J174">
        <f>IF(ISBLANK('Data Entry'!$J$174), "", 'Data Entry'!$J$174)</f>
      </c>
      <c r="K174">
        <f>IF(ISBLANK('Data Entry'!$K$174), "", 'Data Entry'!$K$174)</f>
      </c>
      <c r="L174">
        <f>IF(ISBLANK('Data Entry'!$L$174), "", 'Data Entry'!$L$174)</f>
      </c>
      <c r="M174">
        <f>IF(ISBLANK('Data Entry'!$M$174), "", 'Data Entry'!$M$174)</f>
      </c>
      <c r="N174">
        <f>IF(ISBLANK('Data Entry'!$N$174), "", 'Data Entry'!$N$174)</f>
      </c>
      <c r="O174">
        <f>IF(ISBLANK('Data Entry'!$O$174), "", 'Data Entry'!$O$174)</f>
      </c>
      <c r="P174">
        <f>IF(ISBLANK('Data Entry'!$P$174), "", 'Data Entry'!$P$174)</f>
      </c>
      <c r="Q174">
        <f>IF(ISBLANK('Data Entry'!$Q$174), "", 'Data Entry'!$Q$174)</f>
      </c>
      <c r="R174">
        <f>IF(ISBLANK('Data Entry'!$R$174), "", 'Data Entry'!$R$174)</f>
      </c>
      <c r="S174">
        <f>IF(ISBLANK('Data Entry'!$S$174), "", 'Data Entry'!$S$174)</f>
      </c>
      <c r="T174">
        <f>IF(ISBLANK('Data Entry'!$T$174), "", 'Data Entry'!$T$174)</f>
      </c>
      <c r="U174">
        <f>IF(ISBLANK('Data Entry'!$U$174), "", 'Data Entry'!$U$174)</f>
      </c>
      <c r="V174">
        <f>IF(ISBLANK('Data Entry'!$V$174), "", 'Data Entry'!$V$174)</f>
      </c>
      <c r="W174">
        <f>IF(ISBLANK('Data Entry'!$W$174), "", 'Data Entry'!$W$174)</f>
      </c>
      <c r="X174">
        <f>IF(ISBLANK('Data Entry'!$X$174), "", 'Data Entry'!$X$174)</f>
      </c>
      <c r="Y174">
        <f>IF(ISBLANK('Data Entry'!$Y$174), "", 'Data Entry'!$Y$174)</f>
      </c>
      <c r="Z174">
        <f>IF(ISBLANK('Data Entry'!$Z$174), "", 'Data Entry'!$Z$174)</f>
      </c>
      <c r="AA174">
        <f>IF(ISBLANK('Data Entry'!$[$174), "", 'Data Entry'!$[$174)</f>
      </c>
      <c r="AB174">
        <f>IF(ISBLANK('Data Entry'!$\$174), "", 'Data Entry'!$\$174)</f>
      </c>
      <c r="AC174">
        <f>IF(ISBLANK('Data Entry'!$]$174), "", 'Data Entry'!$]$174)</f>
      </c>
      <c r="AD174">
        <f>IF(ISBLANK('Data Entry'!$^$174), "", 'Data Entry'!$^$174)</f>
      </c>
      <c r="AE174">
        <f>IF(ISBLANK('Data Entry'!$_$174), "", 'Data Entry'!$_$174)</f>
      </c>
      <c r="AF174">
        <f>IF(ISBLANK('Data Entry'!$`$174), "", 'Data Entry'!$`$174)</f>
      </c>
      <c r="AG174">
        <f>IF(ISBLANK('Data Entry'!$a$174), "", 'Data Entry'!$a$174)</f>
      </c>
      <c r="AH174">
        <f>IF(ISBLANK('Data Entry'!$b$174), "", 'Data Entry'!$b$174)</f>
      </c>
      <c r="AI174">
        <f>IF(ISBLANK('Data Entry'!$c$174), "", 'Data Entry'!$c$174)</f>
      </c>
      <c r="AJ174">
        <f>IF(ISBLANK('Data Entry'!$d$174), "", 'Data Entry'!$d$174)</f>
      </c>
      <c r="AK174">
        <f>IF(ISBLANK('Data Entry'!$e$174), "", 'Data Entry'!$e$174)</f>
      </c>
      <c r="AL174">
        <f>IF(ISBLANK('Data Entry'!$f$174), "", 'Data Entry'!$f$174)</f>
      </c>
      <c r="AM174">
        <f>IF(ISBLANK('Data Entry'!$g$174), "", 'Data Entry'!$g$174)</f>
      </c>
      <c r="AN174">
        <f>IF(ISBLANK('Data Entry'!$h$174), "", 'Data Entry'!$h$174)</f>
      </c>
      <c r="AO174">
        <f>IF(ISBLANK('Data Entry'!$i$174), "", 'Data Entry'!$i$174)</f>
      </c>
      <c r="AP174">
        <f>IF(ISBLANK('Data Entry'!$j$174), "", 'Data Entry'!$j$174)</f>
      </c>
      <c r="AQ174">
        <f>IF(ISBLANK('Data Entry'!$k$174), "", 'Data Entry'!$k$174)</f>
      </c>
      <c r="AR174">
        <f>IF(ISBLANK('Data Entry'!$l$174), "", 'Data Entry'!$l$174)</f>
      </c>
      <c r="AS174">
        <f>IF(ISBLANK('Data Entry'!$m$174), "", 'Data Entry'!$m$174)</f>
      </c>
      <c r="AT174">
        <f>IF(ISBLANK('Data Entry'!$n$174), "", 'Data Entry'!$n$174)</f>
      </c>
      <c r="AU174">
        <f>IF(ISBLANK('Data Entry'!$o$174), "", 'Data Entry'!$o$174)</f>
      </c>
      <c r="AV174">
        <f>IF(ISBLANK('Data Entry'!$p$174), "", 'Data Entry'!$p$174)</f>
      </c>
      <c r="AW174">
        <f>IF(ISBLANK('Data Entry'!$q$174), "", 'Data Entry'!$q$174)</f>
      </c>
      <c r="AX174">
        <f>IF(ISBLANK('Data Entry'!$r$174), "", 'Data Entry'!$r$174)</f>
      </c>
      <c r="AY174">
        <f>IF(ISBLANK('Data Entry'!$s$174), "", 'Data Entry'!$s$174)</f>
      </c>
      <c r="AZ174">
        <f>IF(ISBLANK('Data Entry'!$t$174), "", 'Data Entry'!$t$174)</f>
      </c>
      <c r="BA174">
        <f>IF(ISBLANK('Data Entry'!$u$174), "", 'Data Entry'!$u$174)</f>
      </c>
      <c r="BB174">
        <f>IF(ISBLANK('Data Entry'!$v$174), "", 'Data Entry'!$v$174)</f>
      </c>
      <c r="BC174">
        <f>IF(ISBLANK('Data Entry'!$w$174), "", 'Data Entry'!$w$174)</f>
      </c>
      <c r="BD174">
        <f>IF(ISBLANK('Data Entry'!$x$174), "", 'Data Entry'!$x$174)</f>
      </c>
      <c r="BE174">
        <f>IF(ISBLANK('Data Entry'!$y$174), "", 'Data Entry'!$y$174)</f>
      </c>
      <c r="BF174">
        <f>IF(ISBLANK('Data Entry'!$z$174), "", 'Data Entry'!$z$174)</f>
      </c>
      <c r="BG174">
        <f>IF(ISBLANK('Data Entry'!${$174), "", 'Data Entry'!${$174)</f>
      </c>
      <c r="BH174">
        <f>IF(ISBLANK('Data Entry'!$|$174), "", 'Data Entry'!$|$174)</f>
      </c>
      <c r="BI174">
        <f>IF(ISBLANK('Data Entry'!$}$174), "", 'Data Entry'!$}$174)</f>
      </c>
      <c r="BJ174">
        <f>IF(ISBLANK('Data Entry'!$~$174), "", 'Data Entry'!$~$174)</f>
      </c>
      <c r="BK174">
        <f>IF(ISBLANK('Data Entry'!$$174), "", 'Data Entry'!$$174)</f>
      </c>
      <c r="BL174">
        <f>IF(ISBLANK('Data Entry'!$$174), "", 'Data Entry'!$$174)</f>
      </c>
      <c r="BM174">
        <f>IF(ISBLANK('Data Entry'!$$174), "", 'Data Entry'!$$174)</f>
      </c>
      <c r="BN174">
        <f>IF(ISBLANK('Data Entry'!$$174), "", 'Data Entry'!$$174)</f>
      </c>
      <c r="BO174">
        <f>IF(ISBLANK('Data Entry'!$$174), "", 'Data Entry'!$$174)</f>
      </c>
      <c r="BP174">
        <f>IF(ISBLANK('Data Entry'!$$174), "", 'Data Entry'!$$174)</f>
      </c>
      <c r="BQ174">
        <f>IF(ISBLANK('Data Entry'!$$174), "", 'Data Entry'!$$174)</f>
      </c>
      <c r="BR174">
        <f>IF(ISBLANK('Data Entry'!$$174), "", 'Data Entry'!$$174)</f>
      </c>
      <c r="BS174">
        <f>IF(ISBLANK('Data Entry'!$$174), "", 'Data Entry'!$$174)</f>
      </c>
      <c r="BT174">
        <f>IF(ISBLANK('Data Entry'!$$174), "", 'Data Entry'!$$174)</f>
      </c>
      <c r="BU174">
        <f>IF(ISBLANK('Data Entry'!$$174), "", 'Data Entry'!$$174)</f>
      </c>
      <c r="BV174">
        <f>IF(ISBLANK('Data Entry'!$$174), "", 'Data Entry'!$$174)</f>
      </c>
      <c r="BW174">
        <f>IF(ISBLANK('Data Entry'!$$174), "", 'Data Entry'!$$174)</f>
      </c>
      <c r="BX174">
        <f>IF(ISBLANK('Data Entry'!$$174), "", 'Data Entry'!$$174)</f>
      </c>
      <c r="BY174">
        <f>IF(ISBLANK('Data Entry'!$$174), "", 'Data Entry'!$$174)</f>
      </c>
      <c r="BZ174">
        <f>IF(ISBLANK('Data Entry'!$$174), "", 'Data Entry'!$$174)</f>
      </c>
      <c r="CA174">
        <f>IF(ISBLANK('Data Entry'!$$174), "", 'Data Entry'!$$174)</f>
      </c>
      <c r="CB174">
        <f>IF(ISBLANK('Data Entry'!$$174), "", 'Data Entry'!$$174)</f>
      </c>
      <c r="CC174">
        <f>IF(ISBLANK('Data Entry'!$$174), "", 'Data Entry'!$$174)</f>
      </c>
      <c r="CD174">
        <f>IF(ISBLANK('Data Entry'!$$174), "", 'Data Entry'!$$174)</f>
      </c>
      <c r="CE174">
        <f>IF(ISBLANK('Data Entry'!$$174), "", 'Data Entry'!$$174)</f>
      </c>
      <c r="CF174">
        <f>IF(ISBLANK('Data Entry'!$$174), "", 'Data Entry'!$$174)</f>
      </c>
      <c r="CG174">
        <f>IF(ISBLANK('Data Entry'!$$174), "", 'Data Entry'!$$174)</f>
      </c>
      <c r="CH174">
        <f>IF(ISBLANK('Data Entry'!$$174), "", 'Data Entry'!$$174)</f>
      </c>
      <c r="CI174">
        <f>IF(ISBLANK('Data Entry'!$$174), "", 'Data Entry'!$$174)</f>
      </c>
      <c r="CJ174">
        <f>IF(ISBLANK('Data Entry'!$$174), "", 'Data Entry'!$$174)</f>
      </c>
      <c r="CK174">
        <f>IF(ISBLANK('Data Entry'!$$174), "", 'Data Entry'!$$174)</f>
      </c>
      <c r="CL174">
        <f>IF(ISBLANK('Data Entry'!$$174), "", 'Data Entry'!$$174)</f>
      </c>
      <c r="CM174">
        <f>IF(ISBLANK('Data Entry'!$$174), "", 'Data Entry'!$$174)</f>
      </c>
      <c r="CN174">
        <f>IF(ISBLANK('Data Entry'!$$174), "", 'Data Entry'!$$174)</f>
      </c>
      <c r="CO174">
        <f>IF(ISBLANK('Data Entry'!$$174), "", 'Data Entry'!$$174)</f>
      </c>
      <c r="CP174">
        <f>IF(ISBLANK('Data Entry'!$$174), "", 'Data Entry'!$$174)</f>
      </c>
      <c r="CQ174">
        <f>IF(ISBLANK('Data Entry'!$$174), "", 'Data Entry'!$$174)</f>
      </c>
      <c r="CR174">
        <f>IF(ISBLANK('Data Entry'!$ $174), "", 'Data Entry'!$ $174)</f>
      </c>
      <c r="CS174">
        <f>IF(ISBLANK('Data Entry'!$¡$174), "", 'Data Entry'!$¡$174)</f>
      </c>
      <c r="CT174">
        <f>IF(ISBLANK('Data Entry'!$¢$174), "", 'Data Entry'!$¢$174)</f>
      </c>
      <c r="CU174">
        <f>IF(ISBLANK('Data Entry'!$£$174), "", 'Data Entry'!$£$174)</f>
      </c>
      <c r="CV174">
        <f>IF(ISBLANK('Data Entry'!$¤$174), "", 'Data Entry'!$¤$174)</f>
      </c>
      <c r="CW174">
        <f>IF(ISBLANK('Data Entry'!$¥$174), "", 'Data Entry'!$¥$174)</f>
      </c>
      <c r="CX174">
        <f>IF(ISBLANK('Data Entry'!$¦$174), "", 'Data Entry'!$¦$174)</f>
      </c>
      <c r="CY174">
        <f>IF(ISBLANK('Data Entry'!$§$174), "", 'Data Entry'!$§$174)</f>
      </c>
      <c r="CZ174">
        <f>IF(ISBLANK('Data Entry'!$¨$174), "", 'Data Entry'!$¨$174)</f>
      </c>
      <c r="DA174">
        <f>IF(ISBLANK('Data Entry'!$©$174), "", 'Data Entry'!$©$174)</f>
      </c>
      <c r="DB174">
        <f>IF(ISBLANK('Data Entry'!$ª$174), "", 'Data Entry'!$ª$174)</f>
      </c>
      <c r="DC174">
        <f>IF(ISBLANK('Data Entry'!$«$174), "", 'Data Entry'!$«$174)</f>
      </c>
      <c r="DD174">
        <f>IF(ISBLANK('Data Entry'!$¬$174), "", 'Data Entry'!$¬$174)</f>
      </c>
      <c r="DE174">
        <f>IF(ISBLANK('Data Entry'!$­$174), "", 'Data Entry'!$­$174)</f>
      </c>
      <c r="DF174">
        <f>IF(ISBLANK('Data Entry'!$®$174), "", 'Data Entry'!$®$174)</f>
      </c>
      <c r="DG174">
        <f>IF(ISBLANK('Data Entry'!$¯$174), "", 'Data Entry'!$¯$174)</f>
      </c>
      <c r="DH174">
        <f>IF(ISBLANK('Data Entry'!$°$174), "", 'Data Entry'!$°$174)</f>
      </c>
      <c r="DI174">
        <f>IF(ISBLANK('Data Entry'!$±$174), "", 'Data Entry'!$±$174)</f>
      </c>
      <c r="DJ174">
        <f>IF(ISBLANK('Data Entry'!$²$174), "", 'Data Entry'!$²$174)</f>
      </c>
      <c r="DK174">
        <f>IF(ISBLANK('Data Entry'!$³$174), "", 'Data Entry'!$³$174)</f>
      </c>
      <c r="DL174">
        <f>IF(ISBLANK('Data Entry'!$´$174), "", 'Data Entry'!$´$174)</f>
      </c>
      <c r="DM174">
        <f>IF(ISBLANK('Data Entry'!$µ$174), "", 'Data Entry'!$µ$174)</f>
      </c>
      <c r="DN174">
        <f>IF(ISBLANK('Data Entry'!$¶$174), "", 'Data Entry'!$¶$174)</f>
      </c>
      <c r="DO174">
        <f>IF(ISBLANK('Data Entry'!$·$174), "", 'Data Entry'!$·$174)</f>
      </c>
      <c r="DP174">
        <f>IF(ISBLANK('Data Entry'!$¸$174), "", 'Data Entry'!$¸$174)</f>
      </c>
      <c r="DQ174">
        <f>IF(ISBLANK('Data Entry'!$¹$174), "", 'Data Entry'!$¹$174)</f>
      </c>
      <c r="DR174">
        <f>IF(ISBLANK('Data Entry'!$º$174), "", 'Data Entry'!$º$174)</f>
      </c>
      <c r="DS174">
        <f>IF(ISBLANK('Data Entry'!$»$174), "", 'Data Entry'!$»$174)</f>
      </c>
      <c r="DT174">
        <f>IF(ISBLANK('Data Entry'!$¼$174), "", 'Data Entry'!$¼$174)</f>
      </c>
      <c r="DU174">
        <f>IF(ISBLANK('Data Entry'!$½$174), "", 'Data Entry'!$½$174)</f>
      </c>
      <c r="DV174">
        <f>IF(ISBLANK('Data Entry'!$¾$174), "", 'Data Entry'!$¾$174)</f>
      </c>
      <c r="DW174">
        <f>IF(ISBLANK('Data Entry'!$¿$174), "", 'Data Entry'!$¿$174)</f>
      </c>
      <c r="DX174">
        <f>IF(ISBLANK('Data Entry'!$À$174), "", 'Data Entry'!$À$174)</f>
      </c>
      <c r="DY174">
        <f>IF(ISBLANK('Data Entry'!$Á$174), "", 'Data Entry'!$Á$174)</f>
      </c>
      <c r="DZ174">
        <f>IF(ISBLANK('Data Entry'!$Â$174), "", 'Data Entry'!$Â$174)</f>
      </c>
      <c r="EA174">
        <f>IF(ISBLANK('Data Entry'!$Ã$174), "", 'Data Entry'!$Ã$174)</f>
      </c>
      <c r="EB174">
        <f>IF(ISBLANK('Data Entry'!$Ä$174), "", 'Data Entry'!$Ä$174)</f>
      </c>
      <c r="EC174">
        <f>IF(ISBLANK('Data Entry'!$Å$174), "", 'Data Entry'!$Å$174)</f>
      </c>
      <c r="ED174">
        <f>IF(ISBLANK('Data Entry'!$Æ$174), "", 'Data Entry'!$Æ$174)</f>
      </c>
      <c r="EE174">
        <f>IF(ISBLANK('Data Entry'!$Ç$174), "", 'Data Entry'!$Ç$174)</f>
      </c>
      <c r="EF174">
        <f>IF(ISBLANK('Data Entry'!$È$174), "", 'Data Entry'!$È$174)</f>
      </c>
      <c r="EG174">
        <f>IF(ISBLANK('Data Entry'!$É$174), "", 'Data Entry'!$É$174)</f>
      </c>
      <c r="EH174">
        <f>IF(ISBLANK('Data Entry'!$Ê$174), "", 'Data Entry'!$Ê$174)</f>
      </c>
      <c r="EI174">
        <f>IF(ISBLANK('Data Entry'!$Ë$174), "", 'Data Entry'!$Ë$174)</f>
      </c>
      <c r="EJ174">
        <f>IF(ISBLANK('Data Entry'!$Ì$174), "", 'Data Entry'!$Ì$174)</f>
      </c>
      <c r="EK174">
        <f>IF(ISBLANK('Data Entry'!$Í$174), "", 'Data Entry'!$Í$174)</f>
      </c>
      <c r="EL174">
        <f>IF(ISBLANK('Data Entry'!$Î$174), "", 'Data Entry'!$Î$174)</f>
      </c>
      <c r="EM174">
        <f>IF(ISBLANK('Data Entry'!$Ï$174), "", 'Data Entry'!$Ï$174)</f>
      </c>
      <c r="EN174">
        <f>IF(ISBLANK('Data Entry'!$Ð$174), "", 'Data Entry'!$Ð$174)</f>
      </c>
      <c r="EO174">
        <f>IF(ISBLANK('Data Entry'!$Ñ$174), "", 'Data Entry'!$Ñ$174)</f>
      </c>
      <c r="EP174">
        <f>IF(ISBLANK('Data Entry'!$Ò$174), "", 'Data Entry'!$Ò$174)</f>
      </c>
      <c r="EQ174">
        <f>IF(ISBLANK('Data Entry'!$Ó$174), "", 'Data Entry'!$Ó$174)</f>
      </c>
      <c r="ER174">
        <f>IF(ISBLANK('Data Entry'!$Ô$174), "", 'Data Entry'!$Ô$174)</f>
      </c>
      <c r="ES174">
        <f>IF(ISBLANK('Data Entry'!$Õ$174), "", 'Data Entry'!$Õ$174)</f>
      </c>
      <c r="ET174">
        <f>IF(ISBLANK('Data Entry'!$Ö$174), "", 'Data Entry'!$Ö$174)</f>
      </c>
      <c r="EU174">
        <f>IF(ISBLANK('Data Entry'!$×$174), "", 'Data Entry'!$×$174)</f>
      </c>
      <c r="EV174">
        <f>IF(ISBLANK('Data Entry'!$Ø$174), "", 'Data Entry'!$Ø$174)</f>
      </c>
      <c r="EW174">
        <f>IF(ISBLANK('Data Entry'!$Ù$174), "", 'Data Entry'!$Ù$174)</f>
      </c>
      <c r="EX174">
        <f>IF(ISBLANK('Data Entry'!$Ú$174), "", 'Data Entry'!$Ú$174)</f>
      </c>
      <c r="EY174">
        <f>IF(ISBLANK('Data Entry'!$Û$174), "", 'Data Entry'!$Û$174)</f>
      </c>
      <c r="EZ174">
        <f>IF(ISBLANK('Data Entry'!$Ü$174), "", 'Data Entry'!$Ü$174)</f>
      </c>
      <c r="FA174">
        <f>IF(ISBLANK('Data Entry'!$Ý$174), "", 'Data Entry'!$Ý$174)</f>
      </c>
      <c r="FB174">
        <f>IF(ISBLANK('Data Entry'!$Þ$174), "", 'Data Entry'!$Þ$174)</f>
      </c>
      <c r="FC174">
        <f>IF(ISBLANK('Data Entry'!$ß$174), "", 'Data Entry'!$ß$174)</f>
      </c>
      <c r="FD174">
        <f>IF(ISBLANK('Data Entry'!$à$174), "", 'Data Entry'!$à$174)</f>
      </c>
      <c r="FE174">
        <f>IF(ISBLANK('Data Entry'!$á$174), "", 'Data Entry'!$á$174)</f>
      </c>
      <c r="FF174">
        <f>IF(ISBLANK('Data Entry'!$â$174), "", 'Data Entry'!$â$174)</f>
      </c>
      <c r="FG174">
        <f>IF(ISBLANK('Data Entry'!$ã$174), "", 'Data Entry'!$ã$174)</f>
      </c>
      <c r="FH174">
        <f>IF(ISBLANK('Data Entry'!$ä$174), "", 'Data Entry'!$ä$174)</f>
      </c>
      <c r="FI174">
        <f>IF(ISBLANK('Data Entry'!$å$174), "", 'Data Entry'!$å$174)</f>
      </c>
      <c r="FJ174">
        <f>IF(ISBLANK('Data Entry'!$æ$174), "", 'Data Entry'!$æ$174)</f>
      </c>
      <c r="FK174">
        <f>IF(ISBLANK('Data Entry'!$ç$174), "", 'Data Entry'!$ç$174)</f>
      </c>
      <c r="FL174">
        <f>IF(ISBLANK('Data Entry'!$è$174), "", 'Data Entry'!$è$174)</f>
      </c>
      <c r="FM174">
        <f>IF(ISBLANK('Data Entry'!$é$174), "", 'Data Entry'!$é$174)</f>
      </c>
      <c r="FN174">
        <f>IF(ISBLANK('Data Entry'!$ê$174), "", 'Data Entry'!$ê$174)</f>
      </c>
      <c r="FO174">
        <f>IF(ISBLANK('Data Entry'!$ë$174), "", 'Data Entry'!$ë$174)</f>
      </c>
      <c r="FP174">
        <f>IF(ISBLANK('Data Entry'!$ì$174), "", 'Data Entry'!$ì$174)</f>
      </c>
      <c r="FQ174">
        <f>IF(ISBLANK('Data Entry'!$í$174), "", 'Data Entry'!$í$174)</f>
      </c>
      <c r="FR174">
        <f>IF(ISBLANK('Data Entry'!$î$174), "", 'Data Entry'!$î$174)</f>
      </c>
      <c r="FS174">
        <f>IF(ISBLANK('Data Entry'!$ï$174), "", 'Data Entry'!$ï$174)</f>
      </c>
      <c r="FT174">
        <f>IF(ISBLANK('Data Entry'!$ð$174), "", 'Data Entry'!$ð$174)</f>
      </c>
      <c r="FU174">
        <f>IF(ISBLANK('Data Entry'!$ñ$174), "", 'Data Entry'!$ñ$174)</f>
      </c>
      <c r="FV174">
        <f>IF(ISBLANK('Data Entry'!$ò$174), "", 'Data Entry'!$ò$174)</f>
      </c>
      <c r="FW174">
        <f>IF(ISBLANK('Data Entry'!$ó$174), "", 'Data Entry'!$ó$174)</f>
      </c>
      <c r="FX174">
        <f>IF(ISBLANK('Data Entry'!$ô$174), "", 'Data Entry'!$ô$174)</f>
      </c>
      <c r="FY174">
        <f>IF(ISBLANK('Data Entry'!$õ$174), "", 'Data Entry'!$õ$174)</f>
      </c>
      <c r="FZ174">
        <f>IF(ISBLANK('Data Entry'!$ö$174), "", 'Data Entry'!$ö$174)</f>
      </c>
      <c r="GA174">
        <f>IF(ISBLANK('Data Entry'!$÷$174), "", 'Data Entry'!$÷$174)</f>
      </c>
      <c r="GB174">
        <f>IF(ISBLANK('Data Entry'!$ø$174), "", 'Data Entry'!$ø$174)</f>
      </c>
      <c r="GC174">
        <f>IF(ISBLANK('Data Entry'!$ù$174), "", 'Data Entry'!$ù$174)</f>
      </c>
      <c r="GD174">
        <f>IF(ISBLANK('Data Entry'!$ú$174), "", 'Data Entry'!$ú$174)</f>
      </c>
      <c r="GE174">
        <f>IF(ISBLANK('Data Entry'!$û$174), "", 'Data Entry'!$û$174)</f>
      </c>
      <c r="GF174">
        <f>IF(ISBLANK('Data Entry'!$ü$174), "", 'Data Entry'!$ü$174)</f>
      </c>
      <c r="GG174">
        <f>IF(ISBLANK('Data Entry'!$ý$174), "", 'Data Entry'!$ý$174)</f>
      </c>
      <c r="GH174">
        <f>IF(ISBLANK('Data Entry'!$þ$174), "", 'Data Entry'!$þ$174)</f>
      </c>
      <c r="GI174">
        <f>IF(ISBLANK('Data Entry'!$ÿ$174), "", 'Data Entry'!$ÿ$174)</f>
      </c>
      <c r="GJ174">
        <f>IF(ISBLANK('Data Entry'!$Ā$174), "", 'Data Entry'!$Ā$174)</f>
      </c>
      <c r="GK174">
        <f>IF(ISBLANK('Data Entry'!$ā$174), "", 'Data Entry'!$ā$174)</f>
      </c>
      <c r="GL174">
        <f>IF(ISBLANK('Data Entry'!$Ă$174), "", 'Data Entry'!$Ă$174)</f>
      </c>
      <c r="GM174">
        <f>IF(ISBLANK('Data Entry'!$ă$174), "", 'Data Entry'!$ă$174)</f>
      </c>
      <c r="GN174">
        <f>IF(ISBLANK('Data Entry'!$Ą$174), "", 'Data Entry'!$Ą$174)</f>
      </c>
      <c r="GO174">
        <f>IF(ISBLANK('Data Entry'!$ą$174), "", 'Data Entry'!$ą$174)</f>
      </c>
      <c r="GP174">
        <f>IF(ISBLANK('Data Entry'!$Ć$174), "", 'Data Entry'!$Ć$174)</f>
      </c>
      <c r="GQ174">
        <f>IF(ISBLANK('Data Entry'!$ć$174), "", 'Data Entry'!$ć$174)</f>
      </c>
      <c r="GR174">
        <f>IF(ISBLANK('Data Entry'!$Ĉ$174), "", 'Data Entry'!$Ĉ$174)</f>
      </c>
      <c r="GS174">
        <f>IF(ISBLANK('Data Entry'!$ĉ$174), "", 'Data Entry'!$ĉ$174)</f>
      </c>
      <c r="GT174">
        <f>IF(ISBLANK('Data Entry'!$Ċ$174), "", 'Data Entry'!$Ċ$174)</f>
      </c>
      <c r="GU174">
        <f>IF(ISBLANK('Data Entry'!$ċ$174), "", 'Data Entry'!$ċ$174)</f>
      </c>
      <c r="GV174">
        <f>IF(ISBLANK('Data Entry'!$Č$174), "", 'Data Entry'!$Č$174)</f>
      </c>
      <c r="GW174">
        <f>IF(ISBLANK('Data Entry'!$č$174), "", 'Data Entry'!$č$174)</f>
      </c>
      <c r="GX174">
        <f>IF(ISBLANK('Data Entry'!$Ď$174), "", 'Data Entry'!$Ď$174)</f>
      </c>
      <c r="GY174">
        <f>IF(ISBLANK('Data Entry'!$ď$174), "", 'Data Entry'!$ď$174)</f>
      </c>
      <c r="GZ174">
        <f>IF(ISBLANK('Data Entry'!$Đ$174), "", 'Data Entry'!$Đ$174)</f>
      </c>
      <c r="HA174">
        <f>IF(ISBLANK('Data Entry'!$đ$174), "", 'Data Entry'!$đ$174)</f>
      </c>
      <c r="HB174">
        <f>IF(ISBLANK('Data Entry'!$Ē$174), "", 'Data Entry'!$Ē$174)</f>
      </c>
      <c r="HC174">
        <f>IF(ISBLANK('Data Entry'!$ē$174), "", 'Data Entry'!$ē$174)</f>
      </c>
      <c r="HD174">
        <f>IF(ISBLANK('Data Entry'!$Ĕ$174), "", 'Data Entry'!$Ĕ$174)</f>
      </c>
      <c r="HE174">
        <f>IF(ISBLANK('Data Entry'!$ĕ$174), "", 'Data Entry'!$ĕ$174)</f>
      </c>
      <c r="HF174">
        <f>IF(ISBLANK('Data Entry'!$Ė$174), "", 'Data Entry'!$Ė$174)</f>
      </c>
      <c r="HG174">
        <f>IF(ISBLANK('Data Entry'!$ė$174), "", 'Data Entry'!$ė$174)</f>
      </c>
      <c r="HH174">
        <f>IF(ISBLANK('Data Entry'!$Ę$174), "", 'Data Entry'!$Ę$174)</f>
      </c>
      <c r="HI174">
        <f>IF(ISBLANK('Data Entry'!$ę$174), "", 'Data Entry'!$ę$174)</f>
      </c>
      <c r="HJ174">
        <f>IF(ISBLANK('Data Entry'!$Ě$174), "", 'Data Entry'!$Ě$174)</f>
      </c>
      <c r="HK174">
        <f>IF(ISBLANK('Data Entry'!$ě$174), "", 'Data Entry'!$ě$174)</f>
      </c>
      <c r="HL174">
        <f>IF(ISBLANK('Data Entry'!$Ĝ$174), "", 'Data Entry'!$Ĝ$174)</f>
      </c>
      <c r="HM174">
        <f>IF(ISBLANK('Data Entry'!$ĝ$174), "", 'Data Entry'!$ĝ$174)</f>
      </c>
      <c r="HN174">
        <f>IF(ISBLANK('Data Entry'!$Ğ$174), "", 'Data Entry'!$Ğ$174)</f>
      </c>
      <c r="HO174">
        <f>IF(ISBLANK('Data Entry'!$ğ$174), "", 'Data Entry'!$ğ$174)</f>
      </c>
      <c r="HP174">
        <f>IF(ISBLANK('Data Entry'!$Ġ$174), "", 'Data Entry'!$Ġ$174)</f>
      </c>
      <c r="HQ174">
        <f>IF(ISBLANK('Data Entry'!$ġ$174), "", 'Data Entry'!$ġ$174)</f>
      </c>
      <c r="HR174">
        <f>IF(ISBLANK('Data Entry'!$Ģ$174), "", 'Data Entry'!$Ģ$174)</f>
      </c>
      <c r="HS174">
        <f>IF(ISBLANK('Data Entry'!$ģ$174), "", 'Data Entry'!$ģ$174)</f>
      </c>
      <c r="HT174">
        <f>IF(ISBLANK('Data Entry'!$Ĥ$174), "", 'Data Entry'!$Ĥ$174)</f>
      </c>
      <c r="HU174">
        <f>IF(ISBLANK('Data Entry'!$ĥ$174), "", 'Data Entry'!$ĥ$174)</f>
      </c>
      <c r="HV174">
        <f>IF(ISBLANK('Data Entry'!$Ħ$174), "", 'Data Entry'!$Ħ$174)</f>
      </c>
      <c r="HW174">
        <f>IF(ISBLANK('Data Entry'!$ħ$174), "", 'Data Entry'!$ħ$174)</f>
      </c>
      <c r="HX174">
        <f>IF(ISBLANK('Data Entry'!$Ĩ$174), "", 'Data Entry'!$Ĩ$174)</f>
      </c>
      <c r="HY174">
        <f>IF(ISBLANK('Data Entry'!$ĩ$174), "", 'Data Entry'!$ĩ$174)</f>
      </c>
      <c r="HZ174">
        <f>IF(ISBLANK('Data Entry'!$Ī$174), "", 'Data Entry'!$Ī$174)</f>
      </c>
      <c r="IA174">
        <f>IF(ISBLANK('Data Entry'!$ī$174), "", 'Data Entry'!$ī$174)</f>
      </c>
      <c r="IB174">
        <f>IF(ISBLANK('Data Entry'!$Ĭ$174), "", 'Data Entry'!$Ĭ$174)</f>
      </c>
      <c r="IC174">
        <f>IF(ISBLANK('Data Entry'!$ĭ$174), "", 'Data Entry'!$ĭ$174)</f>
      </c>
      <c r="ID174">
        <f>IF(ISBLANK('Data Entry'!$Į$174), "", 'Data Entry'!$Į$174)</f>
      </c>
      <c r="IE174">
        <f>IF(ISBLANK('Data Entry'!$į$174), "", 'Data Entry'!$į$174)</f>
      </c>
      <c r="IF174">
        <f>IF(ISBLANK('Data Entry'!$İ$174), "", 'Data Entry'!$İ$174)</f>
      </c>
      <c r="IG174">
        <f>IF(ISBLANK('Data Entry'!$ı$174), "", 'Data Entry'!$ı$174)</f>
      </c>
      <c r="IH174">
        <f>IF(ISBLANK('Data Entry'!$Ĳ$174), "", 'Data Entry'!$Ĳ$174)</f>
      </c>
      <c r="II174">
        <f>IF(ISBLANK('Data Entry'!$ĳ$174), "", 'Data Entry'!$ĳ$174)</f>
      </c>
      <c r="IJ174">
        <f>IF(ISBLANK('Data Entry'!$Ĵ$174), "", 'Data Entry'!$Ĵ$174)</f>
      </c>
      <c r="IK174">
        <f>IF(ISBLANK('Data Entry'!$ĵ$174), "", 'Data Entry'!$ĵ$174)</f>
      </c>
      <c r="IL174">
        <f>IF(ISBLANK('Data Entry'!$Ķ$174), "", 'Data Entry'!$Ķ$174)</f>
      </c>
      <c r="IM174">
        <f>IF(ISBLANK('Data Entry'!$ķ$174), "", 'Data Entry'!$ķ$174)</f>
      </c>
      <c r="IN174">
        <f>IF(ISBLANK('Data Entry'!$ĸ$174), "", 'Data Entry'!$ĸ$174)</f>
      </c>
      <c r="IO174">
        <f>IF(ISBLANK('Data Entry'!$Ĺ$174), "", 'Data Entry'!$Ĺ$174)</f>
      </c>
      <c r="IP174">
        <f>IF(ISBLANK('Data Entry'!$ĺ$174), "", 'Data Entry'!$ĺ$174)</f>
      </c>
      <c r="IQ174">
        <f>IF(ISBLANK('Data Entry'!$Ļ$174), "", 'Data Entry'!$Ļ$174)</f>
      </c>
      <c r="IR174">
        <f>IF(ISBLANK('Data Entry'!$ļ$174), "", 'Data Entry'!$ļ$174)</f>
      </c>
      <c r="IS174">
        <f>IF(ISBLANK('Data Entry'!$Ľ$174), "", 'Data Entry'!$Ľ$174)</f>
      </c>
      <c r="IT174">
        <f>IF(ISBLANK('Data Entry'!$ľ$174), "", 'Data Entry'!$ľ$174)</f>
      </c>
    </row>
    <row r="175" spans="1:254" x14ac:dyDescent="0.25">
      <c r="A175">
        <f>IF(ISBLANK('Data Entry'!$A$175), "", 'Data Entry'!$A$175)</f>
      </c>
      <c r="B175">
        <f>IF(ISBLANK('Data Entry'!$B$175), "", 'Data Entry'!$B$175)</f>
      </c>
      <c r="C175">
        <f>IF(ISBLANK('Data Entry'!$C$175), "", 'Data Entry'!$C$175)</f>
      </c>
      <c r="D175">
        <f>IF(ISBLANK('Data Entry'!$D$175), "", 'Data Entry'!$D$175)</f>
      </c>
      <c r="E175">
        <f>IF(ISBLANK('Data Entry'!$E$175), "", 'Data Entry'!$E$175)</f>
      </c>
      <c r="F175">
        <f>IF(ISBLANK('Data Entry'!$F$175), "", 'Data Entry'!$F$175)</f>
      </c>
      <c r="G175">
        <f>IF(ISBLANK('Data Entry'!$G$175), "", 'Data Entry'!$G$175)</f>
      </c>
      <c r="H175">
        <f>IF(ISBLANK('Data Entry'!$H$175), "", 'Data Entry'!$H$175)</f>
      </c>
      <c r="I175">
        <f>IF(ISBLANK('Data Entry'!$I$175), "", 'Data Entry'!$I$175)</f>
      </c>
      <c r="J175">
        <f>IF(ISBLANK('Data Entry'!$J$175), "", 'Data Entry'!$J$175)</f>
      </c>
      <c r="K175">
        <f>IF(ISBLANK('Data Entry'!$K$175), "", 'Data Entry'!$K$175)</f>
      </c>
      <c r="L175">
        <f>IF(ISBLANK('Data Entry'!$L$175), "", 'Data Entry'!$L$175)</f>
      </c>
      <c r="M175">
        <f>IF(ISBLANK('Data Entry'!$M$175), "", 'Data Entry'!$M$175)</f>
      </c>
      <c r="N175">
        <f>IF(ISBLANK('Data Entry'!$N$175), "", 'Data Entry'!$N$175)</f>
      </c>
      <c r="O175">
        <f>IF(ISBLANK('Data Entry'!$O$175), "", 'Data Entry'!$O$175)</f>
      </c>
      <c r="P175">
        <f>IF(ISBLANK('Data Entry'!$P$175), "", 'Data Entry'!$P$175)</f>
      </c>
      <c r="Q175">
        <f>IF(ISBLANK('Data Entry'!$Q$175), "", 'Data Entry'!$Q$175)</f>
      </c>
      <c r="R175">
        <f>IF(ISBLANK('Data Entry'!$R$175), "", 'Data Entry'!$R$175)</f>
      </c>
      <c r="S175">
        <f>IF(ISBLANK('Data Entry'!$S$175), "", 'Data Entry'!$S$175)</f>
      </c>
      <c r="T175">
        <f>IF(ISBLANK('Data Entry'!$T$175), "", 'Data Entry'!$T$175)</f>
      </c>
      <c r="U175">
        <f>IF(ISBLANK('Data Entry'!$U$175), "", 'Data Entry'!$U$175)</f>
      </c>
      <c r="V175">
        <f>IF(ISBLANK('Data Entry'!$V$175), "", 'Data Entry'!$V$175)</f>
      </c>
      <c r="W175">
        <f>IF(ISBLANK('Data Entry'!$W$175), "", 'Data Entry'!$W$175)</f>
      </c>
      <c r="X175">
        <f>IF(ISBLANK('Data Entry'!$X$175), "", 'Data Entry'!$X$175)</f>
      </c>
      <c r="Y175">
        <f>IF(ISBLANK('Data Entry'!$Y$175), "", 'Data Entry'!$Y$175)</f>
      </c>
      <c r="Z175">
        <f>IF(ISBLANK('Data Entry'!$Z$175), "", 'Data Entry'!$Z$175)</f>
      </c>
      <c r="AA175">
        <f>IF(ISBLANK('Data Entry'!$[$175), "", 'Data Entry'!$[$175)</f>
      </c>
      <c r="AB175">
        <f>IF(ISBLANK('Data Entry'!$\$175), "", 'Data Entry'!$\$175)</f>
      </c>
      <c r="AC175">
        <f>IF(ISBLANK('Data Entry'!$]$175), "", 'Data Entry'!$]$175)</f>
      </c>
      <c r="AD175">
        <f>IF(ISBLANK('Data Entry'!$^$175), "", 'Data Entry'!$^$175)</f>
      </c>
      <c r="AE175">
        <f>IF(ISBLANK('Data Entry'!$_$175), "", 'Data Entry'!$_$175)</f>
      </c>
      <c r="AF175">
        <f>IF(ISBLANK('Data Entry'!$`$175), "", 'Data Entry'!$`$175)</f>
      </c>
      <c r="AG175">
        <f>IF(ISBLANK('Data Entry'!$a$175), "", 'Data Entry'!$a$175)</f>
      </c>
      <c r="AH175">
        <f>IF(ISBLANK('Data Entry'!$b$175), "", 'Data Entry'!$b$175)</f>
      </c>
      <c r="AI175">
        <f>IF(ISBLANK('Data Entry'!$c$175), "", 'Data Entry'!$c$175)</f>
      </c>
      <c r="AJ175">
        <f>IF(ISBLANK('Data Entry'!$d$175), "", 'Data Entry'!$d$175)</f>
      </c>
      <c r="AK175">
        <f>IF(ISBLANK('Data Entry'!$e$175), "", 'Data Entry'!$e$175)</f>
      </c>
      <c r="AL175">
        <f>IF(ISBLANK('Data Entry'!$f$175), "", 'Data Entry'!$f$175)</f>
      </c>
      <c r="AM175">
        <f>IF(ISBLANK('Data Entry'!$g$175), "", 'Data Entry'!$g$175)</f>
      </c>
      <c r="AN175">
        <f>IF(ISBLANK('Data Entry'!$h$175), "", 'Data Entry'!$h$175)</f>
      </c>
      <c r="AO175">
        <f>IF(ISBLANK('Data Entry'!$i$175), "", 'Data Entry'!$i$175)</f>
      </c>
      <c r="AP175">
        <f>IF(ISBLANK('Data Entry'!$j$175), "", 'Data Entry'!$j$175)</f>
      </c>
      <c r="AQ175">
        <f>IF(ISBLANK('Data Entry'!$k$175), "", 'Data Entry'!$k$175)</f>
      </c>
      <c r="AR175">
        <f>IF(ISBLANK('Data Entry'!$l$175), "", 'Data Entry'!$l$175)</f>
      </c>
      <c r="AS175">
        <f>IF(ISBLANK('Data Entry'!$m$175), "", 'Data Entry'!$m$175)</f>
      </c>
      <c r="AT175">
        <f>IF(ISBLANK('Data Entry'!$n$175), "", 'Data Entry'!$n$175)</f>
      </c>
      <c r="AU175">
        <f>IF(ISBLANK('Data Entry'!$o$175), "", 'Data Entry'!$o$175)</f>
      </c>
      <c r="AV175">
        <f>IF(ISBLANK('Data Entry'!$p$175), "", 'Data Entry'!$p$175)</f>
      </c>
      <c r="AW175">
        <f>IF(ISBLANK('Data Entry'!$q$175), "", 'Data Entry'!$q$175)</f>
      </c>
      <c r="AX175">
        <f>IF(ISBLANK('Data Entry'!$r$175), "", 'Data Entry'!$r$175)</f>
      </c>
      <c r="AY175">
        <f>IF(ISBLANK('Data Entry'!$s$175), "", 'Data Entry'!$s$175)</f>
      </c>
      <c r="AZ175">
        <f>IF(ISBLANK('Data Entry'!$t$175), "", 'Data Entry'!$t$175)</f>
      </c>
      <c r="BA175">
        <f>IF(ISBLANK('Data Entry'!$u$175), "", 'Data Entry'!$u$175)</f>
      </c>
      <c r="BB175">
        <f>IF(ISBLANK('Data Entry'!$v$175), "", 'Data Entry'!$v$175)</f>
      </c>
      <c r="BC175">
        <f>IF(ISBLANK('Data Entry'!$w$175), "", 'Data Entry'!$w$175)</f>
      </c>
      <c r="BD175">
        <f>IF(ISBLANK('Data Entry'!$x$175), "", 'Data Entry'!$x$175)</f>
      </c>
      <c r="BE175">
        <f>IF(ISBLANK('Data Entry'!$y$175), "", 'Data Entry'!$y$175)</f>
      </c>
      <c r="BF175">
        <f>IF(ISBLANK('Data Entry'!$z$175), "", 'Data Entry'!$z$175)</f>
      </c>
      <c r="BG175">
        <f>IF(ISBLANK('Data Entry'!${$175), "", 'Data Entry'!${$175)</f>
      </c>
      <c r="BH175">
        <f>IF(ISBLANK('Data Entry'!$|$175), "", 'Data Entry'!$|$175)</f>
      </c>
      <c r="BI175">
        <f>IF(ISBLANK('Data Entry'!$}$175), "", 'Data Entry'!$}$175)</f>
      </c>
      <c r="BJ175">
        <f>IF(ISBLANK('Data Entry'!$~$175), "", 'Data Entry'!$~$175)</f>
      </c>
      <c r="BK175">
        <f>IF(ISBLANK('Data Entry'!$$175), "", 'Data Entry'!$$175)</f>
      </c>
      <c r="BL175">
        <f>IF(ISBLANK('Data Entry'!$$175), "", 'Data Entry'!$$175)</f>
      </c>
      <c r="BM175">
        <f>IF(ISBLANK('Data Entry'!$$175), "", 'Data Entry'!$$175)</f>
      </c>
      <c r="BN175">
        <f>IF(ISBLANK('Data Entry'!$$175), "", 'Data Entry'!$$175)</f>
      </c>
      <c r="BO175">
        <f>IF(ISBLANK('Data Entry'!$$175), "", 'Data Entry'!$$175)</f>
      </c>
      <c r="BP175">
        <f>IF(ISBLANK('Data Entry'!$$175), "", 'Data Entry'!$$175)</f>
      </c>
      <c r="BQ175">
        <f>IF(ISBLANK('Data Entry'!$$175), "", 'Data Entry'!$$175)</f>
      </c>
      <c r="BR175">
        <f>IF(ISBLANK('Data Entry'!$$175), "", 'Data Entry'!$$175)</f>
      </c>
      <c r="BS175">
        <f>IF(ISBLANK('Data Entry'!$$175), "", 'Data Entry'!$$175)</f>
      </c>
      <c r="BT175">
        <f>IF(ISBLANK('Data Entry'!$$175), "", 'Data Entry'!$$175)</f>
      </c>
      <c r="BU175">
        <f>IF(ISBLANK('Data Entry'!$$175), "", 'Data Entry'!$$175)</f>
      </c>
      <c r="BV175">
        <f>IF(ISBLANK('Data Entry'!$$175), "", 'Data Entry'!$$175)</f>
      </c>
      <c r="BW175">
        <f>IF(ISBLANK('Data Entry'!$$175), "", 'Data Entry'!$$175)</f>
      </c>
      <c r="BX175">
        <f>IF(ISBLANK('Data Entry'!$$175), "", 'Data Entry'!$$175)</f>
      </c>
      <c r="BY175">
        <f>IF(ISBLANK('Data Entry'!$$175), "", 'Data Entry'!$$175)</f>
      </c>
      <c r="BZ175">
        <f>IF(ISBLANK('Data Entry'!$$175), "", 'Data Entry'!$$175)</f>
      </c>
      <c r="CA175">
        <f>IF(ISBLANK('Data Entry'!$$175), "", 'Data Entry'!$$175)</f>
      </c>
      <c r="CB175">
        <f>IF(ISBLANK('Data Entry'!$$175), "", 'Data Entry'!$$175)</f>
      </c>
      <c r="CC175">
        <f>IF(ISBLANK('Data Entry'!$$175), "", 'Data Entry'!$$175)</f>
      </c>
      <c r="CD175">
        <f>IF(ISBLANK('Data Entry'!$$175), "", 'Data Entry'!$$175)</f>
      </c>
      <c r="CE175">
        <f>IF(ISBLANK('Data Entry'!$$175), "", 'Data Entry'!$$175)</f>
      </c>
      <c r="CF175">
        <f>IF(ISBLANK('Data Entry'!$$175), "", 'Data Entry'!$$175)</f>
      </c>
      <c r="CG175">
        <f>IF(ISBLANK('Data Entry'!$$175), "", 'Data Entry'!$$175)</f>
      </c>
      <c r="CH175">
        <f>IF(ISBLANK('Data Entry'!$$175), "", 'Data Entry'!$$175)</f>
      </c>
      <c r="CI175">
        <f>IF(ISBLANK('Data Entry'!$$175), "", 'Data Entry'!$$175)</f>
      </c>
      <c r="CJ175">
        <f>IF(ISBLANK('Data Entry'!$$175), "", 'Data Entry'!$$175)</f>
      </c>
      <c r="CK175">
        <f>IF(ISBLANK('Data Entry'!$$175), "", 'Data Entry'!$$175)</f>
      </c>
      <c r="CL175">
        <f>IF(ISBLANK('Data Entry'!$$175), "", 'Data Entry'!$$175)</f>
      </c>
      <c r="CM175">
        <f>IF(ISBLANK('Data Entry'!$$175), "", 'Data Entry'!$$175)</f>
      </c>
      <c r="CN175">
        <f>IF(ISBLANK('Data Entry'!$$175), "", 'Data Entry'!$$175)</f>
      </c>
      <c r="CO175">
        <f>IF(ISBLANK('Data Entry'!$$175), "", 'Data Entry'!$$175)</f>
      </c>
      <c r="CP175">
        <f>IF(ISBLANK('Data Entry'!$$175), "", 'Data Entry'!$$175)</f>
      </c>
      <c r="CQ175">
        <f>IF(ISBLANK('Data Entry'!$$175), "", 'Data Entry'!$$175)</f>
      </c>
      <c r="CR175">
        <f>IF(ISBLANK('Data Entry'!$ $175), "", 'Data Entry'!$ $175)</f>
      </c>
      <c r="CS175">
        <f>IF(ISBLANK('Data Entry'!$¡$175), "", 'Data Entry'!$¡$175)</f>
      </c>
      <c r="CT175">
        <f>IF(ISBLANK('Data Entry'!$¢$175), "", 'Data Entry'!$¢$175)</f>
      </c>
      <c r="CU175">
        <f>IF(ISBLANK('Data Entry'!$£$175), "", 'Data Entry'!$£$175)</f>
      </c>
      <c r="CV175">
        <f>IF(ISBLANK('Data Entry'!$¤$175), "", 'Data Entry'!$¤$175)</f>
      </c>
      <c r="CW175">
        <f>IF(ISBLANK('Data Entry'!$¥$175), "", 'Data Entry'!$¥$175)</f>
      </c>
      <c r="CX175">
        <f>IF(ISBLANK('Data Entry'!$¦$175), "", 'Data Entry'!$¦$175)</f>
      </c>
      <c r="CY175">
        <f>IF(ISBLANK('Data Entry'!$§$175), "", 'Data Entry'!$§$175)</f>
      </c>
      <c r="CZ175">
        <f>IF(ISBLANK('Data Entry'!$¨$175), "", 'Data Entry'!$¨$175)</f>
      </c>
      <c r="DA175">
        <f>IF(ISBLANK('Data Entry'!$©$175), "", 'Data Entry'!$©$175)</f>
      </c>
      <c r="DB175">
        <f>IF(ISBLANK('Data Entry'!$ª$175), "", 'Data Entry'!$ª$175)</f>
      </c>
      <c r="DC175">
        <f>IF(ISBLANK('Data Entry'!$«$175), "", 'Data Entry'!$«$175)</f>
      </c>
      <c r="DD175">
        <f>IF(ISBLANK('Data Entry'!$¬$175), "", 'Data Entry'!$¬$175)</f>
      </c>
      <c r="DE175">
        <f>IF(ISBLANK('Data Entry'!$­$175), "", 'Data Entry'!$­$175)</f>
      </c>
      <c r="DF175">
        <f>IF(ISBLANK('Data Entry'!$®$175), "", 'Data Entry'!$®$175)</f>
      </c>
      <c r="DG175">
        <f>IF(ISBLANK('Data Entry'!$¯$175), "", 'Data Entry'!$¯$175)</f>
      </c>
      <c r="DH175">
        <f>IF(ISBLANK('Data Entry'!$°$175), "", 'Data Entry'!$°$175)</f>
      </c>
      <c r="DI175">
        <f>IF(ISBLANK('Data Entry'!$±$175), "", 'Data Entry'!$±$175)</f>
      </c>
      <c r="DJ175">
        <f>IF(ISBLANK('Data Entry'!$²$175), "", 'Data Entry'!$²$175)</f>
      </c>
      <c r="DK175">
        <f>IF(ISBLANK('Data Entry'!$³$175), "", 'Data Entry'!$³$175)</f>
      </c>
      <c r="DL175">
        <f>IF(ISBLANK('Data Entry'!$´$175), "", 'Data Entry'!$´$175)</f>
      </c>
      <c r="DM175">
        <f>IF(ISBLANK('Data Entry'!$µ$175), "", 'Data Entry'!$µ$175)</f>
      </c>
      <c r="DN175">
        <f>IF(ISBLANK('Data Entry'!$¶$175), "", 'Data Entry'!$¶$175)</f>
      </c>
      <c r="DO175">
        <f>IF(ISBLANK('Data Entry'!$·$175), "", 'Data Entry'!$·$175)</f>
      </c>
      <c r="DP175">
        <f>IF(ISBLANK('Data Entry'!$¸$175), "", 'Data Entry'!$¸$175)</f>
      </c>
      <c r="DQ175">
        <f>IF(ISBLANK('Data Entry'!$¹$175), "", 'Data Entry'!$¹$175)</f>
      </c>
      <c r="DR175">
        <f>IF(ISBLANK('Data Entry'!$º$175), "", 'Data Entry'!$º$175)</f>
      </c>
      <c r="DS175">
        <f>IF(ISBLANK('Data Entry'!$»$175), "", 'Data Entry'!$»$175)</f>
      </c>
      <c r="DT175">
        <f>IF(ISBLANK('Data Entry'!$¼$175), "", 'Data Entry'!$¼$175)</f>
      </c>
      <c r="DU175">
        <f>IF(ISBLANK('Data Entry'!$½$175), "", 'Data Entry'!$½$175)</f>
      </c>
      <c r="DV175">
        <f>IF(ISBLANK('Data Entry'!$¾$175), "", 'Data Entry'!$¾$175)</f>
      </c>
      <c r="DW175">
        <f>IF(ISBLANK('Data Entry'!$¿$175), "", 'Data Entry'!$¿$175)</f>
      </c>
      <c r="DX175">
        <f>IF(ISBLANK('Data Entry'!$À$175), "", 'Data Entry'!$À$175)</f>
      </c>
      <c r="DY175">
        <f>IF(ISBLANK('Data Entry'!$Á$175), "", 'Data Entry'!$Á$175)</f>
      </c>
      <c r="DZ175">
        <f>IF(ISBLANK('Data Entry'!$Â$175), "", 'Data Entry'!$Â$175)</f>
      </c>
      <c r="EA175">
        <f>IF(ISBLANK('Data Entry'!$Ã$175), "", 'Data Entry'!$Ã$175)</f>
      </c>
      <c r="EB175">
        <f>IF(ISBLANK('Data Entry'!$Ä$175), "", 'Data Entry'!$Ä$175)</f>
      </c>
      <c r="EC175">
        <f>IF(ISBLANK('Data Entry'!$Å$175), "", 'Data Entry'!$Å$175)</f>
      </c>
      <c r="ED175">
        <f>IF(ISBLANK('Data Entry'!$Æ$175), "", 'Data Entry'!$Æ$175)</f>
      </c>
      <c r="EE175">
        <f>IF(ISBLANK('Data Entry'!$Ç$175), "", 'Data Entry'!$Ç$175)</f>
      </c>
      <c r="EF175">
        <f>IF(ISBLANK('Data Entry'!$È$175), "", 'Data Entry'!$È$175)</f>
      </c>
      <c r="EG175">
        <f>IF(ISBLANK('Data Entry'!$É$175), "", 'Data Entry'!$É$175)</f>
      </c>
      <c r="EH175">
        <f>IF(ISBLANK('Data Entry'!$Ê$175), "", 'Data Entry'!$Ê$175)</f>
      </c>
      <c r="EI175">
        <f>IF(ISBLANK('Data Entry'!$Ë$175), "", 'Data Entry'!$Ë$175)</f>
      </c>
      <c r="EJ175">
        <f>IF(ISBLANK('Data Entry'!$Ì$175), "", 'Data Entry'!$Ì$175)</f>
      </c>
      <c r="EK175">
        <f>IF(ISBLANK('Data Entry'!$Í$175), "", 'Data Entry'!$Í$175)</f>
      </c>
      <c r="EL175">
        <f>IF(ISBLANK('Data Entry'!$Î$175), "", 'Data Entry'!$Î$175)</f>
      </c>
      <c r="EM175">
        <f>IF(ISBLANK('Data Entry'!$Ï$175), "", 'Data Entry'!$Ï$175)</f>
      </c>
      <c r="EN175">
        <f>IF(ISBLANK('Data Entry'!$Ð$175), "", 'Data Entry'!$Ð$175)</f>
      </c>
      <c r="EO175">
        <f>IF(ISBLANK('Data Entry'!$Ñ$175), "", 'Data Entry'!$Ñ$175)</f>
      </c>
      <c r="EP175">
        <f>IF(ISBLANK('Data Entry'!$Ò$175), "", 'Data Entry'!$Ò$175)</f>
      </c>
      <c r="EQ175">
        <f>IF(ISBLANK('Data Entry'!$Ó$175), "", 'Data Entry'!$Ó$175)</f>
      </c>
      <c r="ER175">
        <f>IF(ISBLANK('Data Entry'!$Ô$175), "", 'Data Entry'!$Ô$175)</f>
      </c>
      <c r="ES175">
        <f>IF(ISBLANK('Data Entry'!$Õ$175), "", 'Data Entry'!$Õ$175)</f>
      </c>
      <c r="ET175">
        <f>IF(ISBLANK('Data Entry'!$Ö$175), "", 'Data Entry'!$Ö$175)</f>
      </c>
      <c r="EU175">
        <f>IF(ISBLANK('Data Entry'!$×$175), "", 'Data Entry'!$×$175)</f>
      </c>
      <c r="EV175">
        <f>IF(ISBLANK('Data Entry'!$Ø$175), "", 'Data Entry'!$Ø$175)</f>
      </c>
      <c r="EW175">
        <f>IF(ISBLANK('Data Entry'!$Ù$175), "", 'Data Entry'!$Ù$175)</f>
      </c>
      <c r="EX175">
        <f>IF(ISBLANK('Data Entry'!$Ú$175), "", 'Data Entry'!$Ú$175)</f>
      </c>
      <c r="EY175">
        <f>IF(ISBLANK('Data Entry'!$Û$175), "", 'Data Entry'!$Û$175)</f>
      </c>
      <c r="EZ175">
        <f>IF(ISBLANK('Data Entry'!$Ü$175), "", 'Data Entry'!$Ü$175)</f>
      </c>
      <c r="FA175">
        <f>IF(ISBLANK('Data Entry'!$Ý$175), "", 'Data Entry'!$Ý$175)</f>
      </c>
      <c r="FB175">
        <f>IF(ISBLANK('Data Entry'!$Þ$175), "", 'Data Entry'!$Þ$175)</f>
      </c>
      <c r="FC175">
        <f>IF(ISBLANK('Data Entry'!$ß$175), "", 'Data Entry'!$ß$175)</f>
      </c>
      <c r="FD175">
        <f>IF(ISBLANK('Data Entry'!$à$175), "", 'Data Entry'!$à$175)</f>
      </c>
      <c r="FE175">
        <f>IF(ISBLANK('Data Entry'!$á$175), "", 'Data Entry'!$á$175)</f>
      </c>
      <c r="FF175">
        <f>IF(ISBLANK('Data Entry'!$â$175), "", 'Data Entry'!$â$175)</f>
      </c>
      <c r="FG175">
        <f>IF(ISBLANK('Data Entry'!$ã$175), "", 'Data Entry'!$ã$175)</f>
      </c>
      <c r="FH175">
        <f>IF(ISBLANK('Data Entry'!$ä$175), "", 'Data Entry'!$ä$175)</f>
      </c>
      <c r="FI175">
        <f>IF(ISBLANK('Data Entry'!$å$175), "", 'Data Entry'!$å$175)</f>
      </c>
      <c r="FJ175">
        <f>IF(ISBLANK('Data Entry'!$æ$175), "", 'Data Entry'!$æ$175)</f>
      </c>
      <c r="FK175">
        <f>IF(ISBLANK('Data Entry'!$ç$175), "", 'Data Entry'!$ç$175)</f>
      </c>
      <c r="FL175">
        <f>IF(ISBLANK('Data Entry'!$è$175), "", 'Data Entry'!$è$175)</f>
      </c>
      <c r="FM175">
        <f>IF(ISBLANK('Data Entry'!$é$175), "", 'Data Entry'!$é$175)</f>
      </c>
      <c r="FN175">
        <f>IF(ISBLANK('Data Entry'!$ê$175), "", 'Data Entry'!$ê$175)</f>
      </c>
      <c r="FO175">
        <f>IF(ISBLANK('Data Entry'!$ë$175), "", 'Data Entry'!$ë$175)</f>
      </c>
      <c r="FP175">
        <f>IF(ISBLANK('Data Entry'!$ì$175), "", 'Data Entry'!$ì$175)</f>
      </c>
      <c r="FQ175">
        <f>IF(ISBLANK('Data Entry'!$í$175), "", 'Data Entry'!$í$175)</f>
      </c>
      <c r="FR175">
        <f>IF(ISBLANK('Data Entry'!$î$175), "", 'Data Entry'!$î$175)</f>
      </c>
      <c r="FS175">
        <f>IF(ISBLANK('Data Entry'!$ï$175), "", 'Data Entry'!$ï$175)</f>
      </c>
      <c r="FT175">
        <f>IF(ISBLANK('Data Entry'!$ð$175), "", 'Data Entry'!$ð$175)</f>
      </c>
      <c r="FU175">
        <f>IF(ISBLANK('Data Entry'!$ñ$175), "", 'Data Entry'!$ñ$175)</f>
      </c>
      <c r="FV175">
        <f>IF(ISBLANK('Data Entry'!$ò$175), "", 'Data Entry'!$ò$175)</f>
      </c>
      <c r="FW175">
        <f>IF(ISBLANK('Data Entry'!$ó$175), "", 'Data Entry'!$ó$175)</f>
      </c>
      <c r="FX175">
        <f>IF(ISBLANK('Data Entry'!$ô$175), "", 'Data Entry'!$ô$175)</f>
      </c>
      <c r="FY175">
        <f>IF(ISBLANK('Data Entry'!$õ$175), "", 'Data Entry'!$õ$175)</f>
      </c>
      <c r="FZ175">
        <f>IF(ISBLANK('Data Entry'!$ö$175), "", 'Data Entry'!$ö$175)</f>
      </c>
      <c r="GA175">
        <f>IF(ISBLANK('Data Entry'!$÷$175), "", 'Data Entry'!$÷$175)</f>
      </c>
      <c r="GB175">
        <f>IF(ISBLANK('Data Entry'!$ø$175), "", 'Data Entry'!$ø$175)</f>
      </c>
      <c r="GC175">
        <f>IF(ISBLANK('Data Entry'!$ù$175), "", 'Data Entry'!$ù$175)</f>
      </c>
      <c r="GD175">
        <f>IF(ISBLANK('Data Entry'!$ú$175), "", 'Data Entry'!$ú$175)</f>
      </c>
      <c r="GE175">
        <f>IF(ISBLANK('Data Entry'!$û$175), "", 'Data Entry'!$û$175)</f>
      </c>
      <c r="GF175">
        <f>IF(ISBLANK('Data Entry'!$ü$175), "", 'Data Entry'!$ü$175)</f>
      </c>
      <c r="GG175">
        <f>IF(ISBLANK('Data Entry'!$ý$175), "", 'Data Entry'!$ý$175)</f>
      </c>
      <c r="GH175">
        <f>IF(ISBLANK('Data Entry'!$þ$175), "", 'Data Entry'!$þ$175)</f>
      </c>
      <c r="GI175">
        <f>IF(ISBLANK('Data Entry'!$ÿ$175), "", 'Data Entry'!$ÿ$175)</f>
      </c>
      <c r="GJ175">
        <f>IF(ISBLANK('Data Entry'!$Ā$175), "", 'Data Entry'!$Ā$175)</f>
      </c>
      <c r="GK175">
        <f>IF(ISBLANK('Data Entry'!$ā$175), "", 'Data Entry'!$ā$175)</f>
      </c>
      <c r="GL175">
        <f>IF(ISBLANK('Data Entry'!$Ă$175), "", 'Data Entry'!$Ă$175)</f>
      </c>
      <c r="GM175">
        <f>IF(ISBLANK('Data Entry'!$ă$175), "", 'Data Entry'!$ă$175)</f>
      </c>
      <c r="GN175">
        <f>IF(ISBLANK('Data Entry'!$Ą$175), "", 'Data Entry'!$Ą$175)</f>
      </c>
      <c r="GO175">
        <f>IF(ISBLANK('Data Entry'!$ą$175), "", 'Data Entry'!$ą$175)</f>
      </c>
      <c r="GP175">
        <f>IF(ISBLANK('Data Entry'!$Ć$175), "", 'Data Entry'!$Ć$175)</f>
      </c>
      <c r="GQ175">
        <f>IF(ISBLANK('Data Entry'!$ć$175), "", 'Data Entry'!$ć$175)</f>
      </c>
      <c r="GR175">
        <f>IF(ISBLANK('Data Entry'!$Ĉ$175), "", 'Data Entry'!$Ĉ$175)</f>
      </c>
      <c r="GS175">
        <f>IF(ISBLANK('Data Entry'!$ĉ$175), "", 'Data Entry'!$ĉ$175)</f>
      </c>
      <c r="GT175">
        <f>IF(ISBLANK('Data Entry'!$Ċ$175), "", 'Data Entry'!$Ċ$175)</f>
      </c>
      <c r="GU175">
        <f>IF(ISBLANK('Data Entry'!$ċ$175), "", 'Data Entry'!$ċ$175)</f>
      </c>
      <c r="GV175">
        <f>IF(ISBLANK('Data Entry'!$Č$175), "", 'Data Entry'!$Č$175)</f>
      </c>
      <c r="GW175">
        <f>IF(ISBLANK('Data Entry'!$č$175), "", 'Data Entry'!$č$175)</f>
      </c>
      <c r="GX175">
        <f>IF(ISBLANK('Data Entry'!$Ď$175), "", 'Data Entry'!$Ď$175)</f>
      </c>
      <c r="GY175">
        <f>IF(ISBLANK('Data Entry'!$ď$175), "", 'Data Entry'!$ď$175)</f>
      </c>
      <c r="GZ175">
        <f>IF(ISBLANK('Data Entry'!$Đ$175), "", 'Data Entry'!$Đ$175)</f>
      </c>
      <c r="HA175">
        <f>IF(ISBLANK('Data Entry'!$đ$175), "", 'Data Entry'!$đ$175)</f>
      </c>
      <c r="HB175">
        <f>IF(ISBLANK('Data Entry'!$Ē$175), "", 'Data Entry'!$Ē$175)</f>
      </c>
      <c r="HC175">
        <f>IF(ISBLANK('Data Entry'!$ē$175), "", 'Data Entry'!$ē$175)</f>
      </c>
      <c r="HD175">
        <f>IF(ISBLANK('Data Entry'!$Ĕ$175), "", 'Data Entry'!$Ĕ$175)</f>
      </c>
      <c r="HE175">
        <f>IF(ISBLANK('Data Entry'!$ĕ$175), "", 'Data Entry'!$ĕ$175)</f>
      </c>
      <c r="HF175">
        <f>IF(ISBLANK('Data Entry'!$Ė$175), "", 'Data Entry'!$Ė$175)</f>
      </c>
      <c r="HG175">
        <f>IF(ISBLANK('Data Entry'!$ė$175), "", 'Data Entry'!$ė$175)</f>
      </c>
      <c r="HH175">
        <f>IF(ISBLANK('Data Entry'!$Ę$175), "", 'Data Entry'!$Ę$175)</f>
      </c>
      <c r="HI175">
        <f>IF(ISBLANK('Data Entry'!$ę$175), "", 'Data Entry'!$ę$175)</f>
      </c>
      <c r="HJ175">
        <f>IF(ISBLANK('Data Entry'!$Ě$175), "", 'Data Entry'!$Ě$175)</f>
      </c>
      <c r="HK175">
        <f>IF(ISBLANK('Data Entry'!$ě$175), "", 'Data Entry'!$ě$175)</f>
      </c>
      <c r="HL175">
        <f>IF(ISBLANK('Data Entry'!$Ĝ$175), "", 'Data Entry'!$Ĝ$175)</f>
      </c>
      <c r="HM175">
        <f>IF(ISBLANK('Data Entry'!$ĝ$175), "", 'Data Entry'!$ĝ$175)</f>
      </c>
      <c r="HN175">
        <f>IF(ISBLANK('Data Entry'!$Ğ$175), "", 'Data Entry'!$Ğ$175)</f>
      </c>
      <c r="HO175">
        <f>IF(ISBLANK('Data Entry'!$ğ$175), "", 'Data Entry'!$ğ$175)</f>
      </c>
      <c r="HP175">
        <f>IF(ISBLANK('Data Entry'!$Ġ$175), "", 'Data Entry'!$Ġ$175)</f>
      </c>
      <c r="HQ175">
        <f>IF(ISBLANK('Data Entry'!$ġ$175), "", 'Data Entry'!$ġ$175)</f>
      </c>
      <c r="HR175">
        <f>IF(ISBLANK('Data Entry'!$Ģ$175), "", 'Data Entry'!$Ģ$175)</f>
      </c>
      <c r="HS175">
        <f>IF(ISBLANK('Data Entry'!$ģ$175), "", 'Data Entry'!$ģ$175)</f>
      </c>
      <c r="HT175">
        <f>IF(ISBLANK('Data Entry'!$Ĥ$175), "", 'Data Entry'!$Ĥ$175)</f>
      </c>
      <c r="HU175">
        <f>IF(ISBLANK('Data Entry'!$ĥ$175), "", 'Data Entry'!$ĥ$175)</f>
      </c>
      <c r="HV175">
        <f>IF(ISBLANK('Data Entry'!$Ħ$175), "", 'Data Entry'!$Ħ$175)</f>
      </c>
      <c r="HW175">
        <f>IF(ISBLANK('Data Entry'!$ħ$175), "", 'Data Entry'!$ħ$175)</f>
      </c>
      <c r="HX175">
        <f>IF(ISBLANK('Data Entry'!$Ĩ$175), "", 'Data Entry'!$Ĩ$175)</f>
      </c>
      <c r="HY175">
        <f>IF(ISBLANK('Data Entry'!$ĩ$175), "", 'Data Entry'!$ĩ$175)</f>
      </c>
      <c r="HZ175">
        <f>IF(ISBLANK('Data Entry'!$Ī$175), "", 'Data Entry'!$Ī$175)</f>
      </c>
      <c r="IA175">
        <f>IF(ISBLANK('Data Entry'!$ī$175), "", 'Data Entry'!$ī$175)</f>
      </c>
      <c r="IB175">
        <f>IF(ISBLANK('Data Entry'!$Ĭ$175), "", 'Data Entry'!$Ĭ$175)</f>
      </c>
      <c r="IC175">
        <f>IF(ISBLANK('Data Entry'!$ĭ$175), "", 'Data Entry'!$ĭ$175)</f>
      </c>
      <c r="ID175">
        <f>IF(ISBLANK('Data Entry'!$Į$175), "", 'Data Entry'!$Į$175)</f>
      </c>
      <c r="IE175">
        <f>IF(ISBLANK('Data Entry'!$į$175), "", 'Data Entry'!$į$175)</f>
      </c>
      <c r="IF175">
        <f>IF(ISBLANK('Data Entry'!$İ$175), "", 'Data Entry'!$İ$175)</f>
      </c>
      <c r="IG175">
        <f>IF(ISBLANK('Data Entry'!$ı$175), "", 'Data Entry'!$ı$175)</f>
      </c>
      <c r="IH175">
        <f>IF(ISBLANK('Data Entry'!$Ĳ$175), "", 'Data Entry'!$Ĳ$175)</f>
      </c>
      <c r="II175">
        <f>IF(ISBLANK('Data Entry'!$ĳ$175), "", 'Data Entry'!$ĳ$175)</f>
      </c>
      <c r="IJ175">
        <f>IF(ISBLANK('Data Entry'!$Ĵ$175), "", 'Data Entry'!$Ĵ$175)</f>
      </c>
      <c r="IK175">
        <f>IF(ISBLANK('Data Entry'!$ĵ$175), "", 'Data Entry'!$ĵ$175)</f>
      </c>
      <c r="IL175">
        <f>IF(ISBLANK('Data Entry'!$Ķ$175), "", 'Data Entry'!$Ķ$175)</f>
      </c>
      <c r="IM175">
        <f>IF(ISBLANK('Data Entry'!$ķ$175), "", 'Data Entry'!$ķ$175)</f>
      </c>
      <c r="IN175">
        <f>IF(ISBLANK('Data Entry'!$ĸ$175), "", 'Data Entry'!$ĸ$175)</f>
      </c>
      <c r="IO175">
        <f>IF(ISBLANK('Data Entry'!$Ĺ$175), "", 'Data Entry'!$Ĺ$175)</f>
      </c>
      <c r="IP175">
        <f>IF(ISBLANK('Data Entry'!$ĺ$175), "", 'Data Entry'!$ĺ$175)</f>
      </c>
      <c r="IQ175">
        <f>IF(ISBLANK('Data Entry'!$Ļ$175), "", 'Data Entry'!$Ļ$175)</f>
      </c>
      <c r="IR175">
        <f>IF(ISBLANK('Data Entry'!$ļ$175), "", 'Data Entry'!$ļ$175)</f>
      </c>
      <c r="IS175">
        <f>IF(ISBLANK('Data Entry'!$Ľ$175), "", 'Data Entry'!$Ľ$175)</f>
      </c>
      <c r="IT175">
        <f>IF(ISBLANK('Data Entry'!$ľ$175), "", 'Data Entry'!$ľ$175)</f>
      </c>
    </row>
    <row r="176" spans="1:254" x14ac:dyDescent="0.25">
      <c r="A176">
        <f>IF(ISBLANK('Data Entry'!$A$176), "", 'Data Entry'!$A$176)</f>
      </c>
      <c r="B176">
        <f>IF(ISBLANK('Data Entry'!$B$176), "", 'Data Entry'!$B$176)</f>
      </c>
      <c r="C176">
        <f>IF(ISBLANK('Data Entry'!$C$176), "", 'Data Entry'!$C$176)</f>
      </c>
      <c r="D176">
        <f>IF(ISBLANK('Data Entry'!$D$176), "", 'Data Entry'!$D$176)</f>
      </c>
      <c r="E176">
        <f>IF(ISBLANK('Data Entry'!$E$176), "", 'Data Entry'!$E$176)</f>
      </c>
      <c r="F176">
        <f>IF(ISBLANK('Data Entry'!$F$176), "", 'Data Entry'!$F$176)</f>
      </c>
      <c r="G176">
        <f>IF(ISBLANK('Data Entry'!$G$176), "", 'Data Entry'!$G$176)</f>
      </c>
      <c r="H176">
        <f>IF(ISBLANK('Data Entry'!$H$176), "", 'Data Entry'!$H$176)</f>
      </c>
      <c r="I176">
        <f>IF(ISBLANK('Data Entry'!$I$176), "", 'Data Entry'!$I$176)</f>
      </c>
      <c r="J176">
        <f>IF(ISBLANK('Data Entry'!$J$176), "", 'Data Entry'!$J$176)</f>
      </c>
      <c r="K176">
        <f>IF(ISBLANK('Data Entry'!$K$176), "", 'Data Entry'!$K$176)</f>
      </c>
      <c r="L176">
        <f>IF(ISBLANK('Data Entry'!$L$176), "", 'Data Entry'!$L$176)</f>
      </c>
      <c r="M176">
        <f>IF(ISBLANK('Data Entry'!$M$176), "", 'Data Entry'!$M$176)</f>
      </c>
      <c r="N176">
        <f>IF(ISBLANK('Data Entry'!$N$176), "", 'Data Entry'!$N$176)</f>
      </c>
      <c r="O176">
        <f>IF(ISBLANK('Data Entry'!$O$176), "", 'Data Entry'!$O$176)</f>
      </c>
      <c r="P176">
        <f>IF(ISBLANK('Data Entry'!$P$176), "", 'Data Entry'!$P$176)</f>
      </c>
      <c r="Q176">
        <f>IF(ISBLANK('Data Entry'!$Q$176), "", 'Data Entry'!$Q$176)</f>
      </c>
      <c r="R176">
        <f>IF(ISBLANK('Data Entry'!$R$176), "", 'Data Entry'!$R$176)</f>
      </c>
      <c r="S176">
        <f>IF(ISBLANK('Data Entry'!$S$176), "", 'Data Entry'!$S$176)</f>
      </c>
      <c r="T176">
        <f>IF(ISBLANK('Data Entry'!$T$176), "", 'Data Entry'!$T$176)</f>
      </c>
      <c r="U176">
        <f>IF(ISBLANK('Data Entry'!$U$176), "", 'Data Entry'!$U$176)</f>
      </c>
      <c r="V176">
        <f>IF(ISBLANK('Data Entry'!$V$176), "", 'Data Entry'!$V$176)</f>
      </c>
      <c r="W176">
        <f>IF(ISBLANK('Data Entry'!$W$176), "", 'Data Entry'!$W$176)</f>
      </c>
      <c r="X176">
        <f>IF(ISBLANK('Data Entry'!$X$176), "", 'Data Entry'!$X$176)</f>
      </c>
      <c r="Y176">
        <f>IF(ISBLANK('Data Entry'!$Y$176), "", 'Data Entry'!$Y$176)</f>
      </c>
      <c r="Z176">
        <f>IF(ISBLANK('Data Entry'!$Z$176), "", 'Data Entry'!$Z$176)</f>
      </c>
      <c r="AA176">
        <f>IF(ISBLANK('Data Entry'!$[$176), "", 'Data Entry'!$[$176)</f>
      </c>
      <c r="AB176">
        <f>IF(ISBLANK('Data Entry'!$\$176), "", 'Data Entry'!$\$176)</f>
      </c>
      <c r="AC176">
        <f>IF(ISBLANK('Data Entry'!$]$176), "", 'Data Entry'!$]$176)</f>
      </c>
      <c r="AD176">
        <f>IF(ISBLANK('Data Entry'!$^$176), "", 'Data Entry'!$^$176)</f>
      </c>
      <c r="AE176">
        <f>IF(ISBLANK('Data Entry'!$_$176), "", 'Data Entry'!$_$176)</f>
      </c>
      <c r="AF176">
        <f>IF(ISBLANK('Data Entry'!$`$176), "", 'Data Entry'!$`$176)</f>
      </c>
      <c r="AG176">
        <f>IF(ISBLANK('Data Entry'!$a$176), "", 'Data Entry'!$a$176)</f>
      </c>
      <c r="AH176">
        <f>IF(ISBLANK('Data Entry'!$b$176), "", 'Data Entry'!$b$176)</f>
      </c>
      <c r="AI176">
        <f>IF(ISBLANK('Data Entry'!$c$176), "", 'Data Entry'!$c$176)</f>
      </c>
      <c r="AJ176">
        <f>IF(ISBLANK('Data Entry'!$d$176), "", 'Data Entry'!$d$176)</f>
      </c>
      <c r="AK176">
        <f>IF(ISBLANK('Data Entry'!$e$176), "", 'Data Entry'!$e$176)</f>
      </c>
      <c r="AL176">
        <f>IF(ISBLANK('Data Entry'!$f$176), "", 'Data Entry'!$f$176)</f>
      </c>
      <c r="AM176">
        <f>IF(ISBLANK('Data Entry'!$g$176), "", 'Data Entry'!$g$176)</f>
      </c>
      <c r="AN176">
        <f>IF(ISBLANK('Data Entry'!$h$176), "", 'Data Entry'!$h$176)</f>
      </c>
      <c r="AO176">
        <f>IF(ISBLANK('Data Entry'!$i$176), "", 'Data Entry'!$i$176)</f>
      </c>
      <c r="AP176">
        <f>IF(ISBLANK('Data Entry'!$j$176), "", 'Data Entry'!$j$176)</f>
      </c>
      <c r="AQ176">
        <f>IF(ISBLANK('Data Entry'!$k$176), "", 'Data Entry'!$k$176)</f>
      </c>
      <c r="AR176">
        <f>IF(ISBLANK('Data Entry'!$l$176), "", 'Data Entry'!$l$176)</f>
      </c>
      <c r="AS176">
        <f>IF(ISBLANK('Data Entry'!$m$176), "", 'Data Entry'!$m$176)</f>
      </c>
      <c r="AT176">
        <f>IF(ISBLANK('Data Entry'!$n$176), "", 'Data Entry'!$n$176)</f>
      </c>
      <c r="AU176">
        <f>IF(ISBLANK('Data Entry'!$o$176), "", 'Data Entry'!$o$176)</f>
      </c>
      <c r="AV176">
        <f>IF(ISBLANK('Data Entry'!$p$176), "", 'Data Entry'!$p$176)</f>
      </c>
      <c r="AW176">
        <f>IF(ISBLANK('Data Entry'!$q$176), "", 'Data Entry'!$q$176)</f>
      </c>
      <c r="AX176">
        <f>IF(ISBLANK('Data Entry'!$r$176), "", 'Data Entry'!$r$176)</f>
      </c>
      <c r="AY176">
        <f>IF(ISBLANK('Data Entry'!$s$176), "", 'Data Entry'!$s$176)</f>
      </c>
      <c r="AZ176">
        <f>IF(ISBLANK('Data Entry'!$t$176), "", 'Data Entry'!$t$176)</f>
      </c>
      <c r="BA176">
        <f>IF(ISBLANK('Data Entry'!$u$176), "", 'Data Entry'!$u$176)</f>
      </c>
      <c r="BB176">
        <f>IF(ISBLANK('Data Entry'!$v$176), "", 'Data Entry'!$v$176)</f>
      </c>
      <c r="BC176">
        <f>IF(ISBLANK('Data Entry'!$w$176), "", 'Data Entry'!$w$176)</f>
      </c>
      <c r="BD176">
        <f>IF(ISBLANK('Data Entry'!$x$176), "", 'Data Entry'!$x$176)</f>
      </c>
      <c r="BE176">
        <f>IF(ISBLANK('Data Entry'!$y$176), "", 'Data Entry'!$y$176)</f>
      </c>
      <c r="BF176">
        <f>IF(ISBLANK('Data Entry'!$z$176), "", 'Data Entry'!$z$176)</f>
      </c>
      <c r="BG176">
        <f>IF(ISBLANK('Data Entry'!${$176), "", 'Data Entry'!${$176)</f>
      </c>
      <c r="BH176">
        <f>IF(ISBLANK('Data Entry'!$|$176), "", 'Data Entry'!$|$176)</f>
      </c>
      <c r="BI176">
        <f>IF(ISBLANK('Data Entry'!$}$176), "", 'Data Entry'!$}$176)</f>
      </c>
      <c r="BJ176">
        <f>IF(ISBLANK('Data Entry'!$~$176), "", 'Data Entry'!$~$176)</f>
      </c>
      <c r="BK176">
        <f>IF(ISBLANK('Data Entry'!$$176), "", 'Data Entry'!$$176)</f>
      </c>
      <c r="BL176">
        <f>IF(ISBLANK('Data Entry'!$$176), "", 'Data Entry'!$$176)</f>
      </c>
      <c r="BM176">
        <f>IF(ISBLANK('Data Entry'!$$176), "", 'Data Entry'!$$176)</f>
      </c>
      <c r="BN176">
        <f>IF(ISBLANK('Data Entry'!$$176), "", 'Data Entry'!$$176)</f>
      </c>
      <c r="BO176">
        <f>IF(ISBLANK('Data Entry'!$$176), "", 'Data Entry'!$$176)</f>
      </c>
      <c r="BP176">
        <f>IF(ISBLANK('Data Entry'!$$176), "", 'Data Entry'!$$176)</f>
      </c>
      <c r="BQ176">
        <f>IF(ISBLANK('Data Entry'!$$176), "", 'Data Entry'!$$176)</f>
      </c>
      <c r="BR176">
        <f>IF(ISBLANK('Data Entry'!$$176), "", 'Data Entry'!$$176)</f>
      </c>
      <c r="BS176">
        <f>IF(ISBLANK('Data Entry'!$$176), "", 'Data Entry'!$$176)</f>
      </c>
      <c r="BT176">
        <f>IF(ISBLANK('Data Entry'!$$176), "", 'Data Entry'!$$176)</f>
      </c>
      <c r="BU176">
        <f>IF(ISBLANK('Data Entry'!$$176), "", 'Data Entry'!$$176)</f>
      </c>
      <c r="BV176">
        <f>IF(ISBLANK('Data Entry'!$$176), "", 'Data Entry'!$$176)</f>
      </c>
      <c r="BW176">
        <f>IF(ISBLANK('Data Entry'!$$176), "", 'Data Entry'!$$176)</f>
      </c>
      <c r="BX176">
        <f>IF(ISBLANK('Data Entry'!$$176), "", 'Data Entry'!$$176)</f>
      </c>
      <c r="BY176">
        <f>IF(ISBLANK('Data Entry'!$$176), "", 'Data Entry'!$$176)</f>
      </c>
      <c r="BZ176">
        <f>IF(ISBLANK('Data Entry'!$$176), "", 'Data Entry'!$$176)</f>
      </c>
      <c r="CA176">
        <f>IF(ISBLANK('Data Entry'!$$176), "", 'Data Entry'!$$176)</f>
      </c>
      <c r="CB176">
        <f>IF(ISBLANK('Data Entry'!$$176), "", 'Data Entry'!$$176)</f>
      </c>
      <c r="CC176">
        <f>IF(ISBLANK('Data Entry'!$$176), "", 'Data Entry'!$$176)</f>
      </c>
      <c r="CD176">
        <f>IF(ISBLANK('Data Entry'!$$176), "", 'Data Entry'!$$176)</f>
      </c>
      <c r="CE176">
        <f>IF(ISBLANK('Data Entry'!$$176), "", 'Data Entry'!$$176)</f>
      </c>
      <c r="CF176">
        <f>IF(ISBLANK('Data Entry'!$$176), "", 'Data Entry'!$$176)</f>
      </c>
      <c r="CG176">
        <f>IF(ISBLANK('Data Entry'!$$176), "", 'Data Entry'!$$176)</f>
      </c>
      <c r="CH176">
        <f>IF(ISBLANK('Data Entry'!$$176), "", 'Data Entry'!$$176)</f>
      </c>
      <c r="CI176">
        <f>IF(ISBLANK('Data Entry'!$$176), "", 'Data Entry'!$$176)</f>
      </c>
      <c r="CJ176">
        <f>IF(ISBLANK('Data Entry'!$$176), "", 'Data Entry'!$$176)</f>
      </c>
      <c r="CK176">
        <f>IF(ISBLANK('Data Entry'!$$176), "", 'Data Entry'!$$176)</f>
      </c>
      <c r="CL176">
        <f>IF(ISBLANK('Data Entry'!$$176), "", 'Data Entry'!$$176)</f>
      </c>
      <c r="CM176">
        <f>IF(ISBLANK('Data Entry'!$$176), "", 'Data Entry'!$$176)</f>
      </c>
      <c r="CN176">
        <f>IF(ISBLANK('Data Entry'!$$176), "", 'Data Entry'!$$176)</f>
      </c>
      <c r="CO176">
        <f>IF(ISBLANK('Data Entry'!$$176), "", 'Data Entry'!$$176)</f>
      </c>
      <c r="CP176">
        <f>IF(ISBLANK('Data Entry'!$$176), "", 'Data Entry'!$$176)</f>
      </c>
      <c r="CQ176">
        <f>IF(ISBLANK('Data Entry'!$$176), "", 'Data Entry'!$$176)</f>
      </c>
      <c r="CR176">
        <f>IF(ISBLANK('Data Entry'!$ $176), "", 'Data Entry'!$ $176)</f>
      </c>
      <c r="CS176">
        <f>IF(ISBLANK('Data Entry'!$¡$176), "", 'Data Entry'!$¡$176)</f>
      </c>
      <c r="CT176">
        <f>IF(ISBLANK('Data Entry'!$¢$176), "", 'Data Entry'!$¢$176)</f>
      </c>
      <c r="CU176">
        <f>IF(ISBLANK('Data Entry'!$£$176), "", 'Data Entry'!$£$176)</f>
      </c>
      <c r="CV176">
        <f>IF(ISBLANK('Data Entry'!$¤$176), "", 'Data Entry'!$¤$176)</f>
      </c>
      <c r="CW176">
        <f>IF(ISBLANK('Data Entry'!$¥$176), "", 'Data Entry'!$¥$176)</f>
      </c>
      <c r="CX176">
        <f>IF(ISBLANK('Data Entry'!$¦$176), "", 'Data Entry'!$¦$176)</f>
      </c>
      <c r="CY176">
        <f>IF(ISBLANK('Data Entry'!$§$176), "", 'Data Entry'!$§$176)</f>
      </c>
      <c r="CZ176">
        <f>IF(ISBLANK('Data Entry'!$¨$176), "", 'Data Entry'!$¨$176)</f>
      </c>
      <c r="DA176">
        <f>IF(ISBLANK('Data Entry'!$©$176), "", 'Data Entry'!$©$176)</f>
      </c>
      <c r="DB176">
        <f>IF(ISBLANK('Data Entry'!$ª$176), "", 'Data Entry'!$ª$176)</f>
      </c>
      <c r="DC176">
        <f>IF(ISBLANK('Data Entry'!$«$176), "", 'Data Entry'!$«$176)</f>
      </c>
      <c r="DD176">
        <f>IF(ISBLANK('Data Entry'!$¬$176), "", 'Data Entry'!$¬$176)</f>
      </c>
      <c r="DE176">
        <f>IF(ISBLANK('Data Entry'!$­$176), "", 'Data Entry'!$­$176)</f>
      </c>
      <c r="DF176">
        <f>IF(ISBLANK('Data Entry'!$®$176), "", 'Data Entry'!$®$176)</f>
      </c>
      <c r="DG176">
        <f>IF(ISBLANK('Data Entry'!$¯$176), "", 'Data Entry'!$¯$176)</f>
      </c>
      <c r="DH176">
        <f>IF(ISBLANK('Data Entry'!$°$176), "", 'Data Entry'!$°$176)</f>
      </c>
      <c r="DI176">
        <f>IF(ISBLANK('Data Entry'!$±$176), "", 'Data Entry'!$±$176)</f>
      </c>
      <c r="DJ176">
        <f>IF(ISBLANK('Data Entry'!$²$176), "", 'Data Entry'!$²$176)</f>
      </c>
      <c r="DK176">
        <f>IF(ISBLANK('Data Entry'!$³$176), "", 'Data Entry'!$³$176)</f>
      </c>
      <c r="DL176">
        <f>IF(ISBLANK('Data Entry'!$´$176), "", 'Data Entry'!$´$176)</f>
      </c>
      <c r="DM176">
        <f>IF(ISBLANK('Data Entry'!$µ$176), "", 'Data Entry'!$µ$176)</f>
      </c>
      <c r="DN176">
        <f>IF(ISBLANK('Data Entry'!$¶$176), "", 'Data Entry'!$¶$176)</f>
      </c>
      <c r="DO176">
        <f>IF(ISBLANK('Data Entry'!$·$176), "", 'Data Entry'!$·$176)</f>
      </c>
      <c r="DP176">
        <f>IF(ISBLANK('Data Entry'!$¸$176), "", 'Data Entry'!$¸$176)</f>
      </c>
      <c r="DQ176">
        <f>IF(ISBLANK('Data Entry'!$¹$176), "", 'Data Entry'!$¹$176)</f>
      </c>
      <c r="DR176">
        <f>IF(ISBLANK('Data Entry'!$º$176), "", 'Data Entry'!$º$176)</f>
      </c>
      <c r="DS176">
        <f>IF(ISBLANK('Data Entry'!$»$176), "", 'Data Entry'!$»$176)</f>
      </c>
      <c r="DT176">
        <f>IF(ISBLANK('Data Entry'!$¼$176), "", 'Data Entry'!$¼$176)</f>
      </c>
      <c r="DU176">
        <f>IF(ISBLANK('Data Entry'!$½$176), "", 'Data Entry'!$½$176)</f>
      </c>
      <c r="DV176">
        <f>IF(ISBLANK('Data Entry'!$¾$176), "", 'Data Entry'!$¾$176)</f>
      </c>
      <c r="DW176">
        <f>IF(ISBLANK('Data Entry'!$¿$176), "", 'Data Entry'!$¿$176)</f>
      </c>
      <c r="DX176">
        <f>IF(ISBLANK('Data Entry'!$À$176), "", 'Data Entry'!$À$176)</f>
      </c>
      <c r="DY176">
        <f>IF(ISBLANK('Data Entry'!$Á$176), "", 'Data Entry'!$Á$176)</f>
      </c>
      <c r="DZ176">
        <f>IF(ISBLANK('Data Entry'!$Â$176), "", 'Data Entry'!$Â$176)</f>
      </c>
      <c r="EA176">
        <f>IF(ISBLANK('Data Entry'!$Ã$176), "", 'Data Entry'!$Ã$176)</f>
      </c>
      <c r="EB176">
        <f>IF(ISBLANK('Data Entry'!$Ä$176), "", 'Data Entry'!$Ä$176)</f>
      </c>
      <c r="EC176">
        <f>IF(ISBLANK('Data Entry'!$Å$176), "", 'Data Entry'!$Å$176)</f>
      </c>
      <c r="ED176">
        <f>IF(ISBLANK('Data Entry'!$Æ$176), "", 'Data Entry'!$Æ$176)</f>
      </c>
      <c r="EE176">
        <f>IF(ISBLANK('Data Entry'!$Ç$176), "", 'Data Entry'!$Ç$176)</f>
      </c>
      <c r="EF176">
        <f>IF(ISBLANK('Data Entry'!$È$176), "", 'Data Entry'!$È$176)</f>
      </c>
      <c r="EG176">
        <f>IF(ISBLANK('Data Entry'!$É$176), "", 'Data Entry'!$É$176)</f>
      </c>
      <c r="EH176">
        <f>IF(ISBLANK('Data Entry'!$Ê$176), "", 'Data Entry'!$Ê$176)</f>
      </c>
      <c r="EI176">
        <f>IF(ISBLANK('Data Entry'!$Ë$176), "", 'Data Entry'!$Ë$176)</f>
      </c>
      <c r="EJ176">
        <f>IF(ISBLANK('Data Entry'!$Ì$176), "", 'Data Entry'!$Ì$176)</f>
      </c>
      <c r="EK176">
        <f>IF(ISBLANK('Data Entry'!$Í$176), "", 'Data Entry'!$Í$176)</f>
      </c>
      <c r="EL176">
        <f>IF(ISBLANK('Data Entry'!$Î$176), "", 'Data Entry'!$Î$176)</f>
      </c>
      <c r="EM176">
        <f>IF(ISBLANK('Data Entry'!$Ï$176), "", 'Data Entry'!$Ï$176)</f>
      </c>
      <c r="EN176">
        <f>IF(ISBLANK('Data Entry'!$Ð$176), "", 'Data Entry'!$Ð$176)</f>
      </c>
      <c r="EO176">
        <f>IF(ISBLANK('Data Entry'!$Ñ$176), "", 'Data Entry'!$Ñ$176)</f>
      </c>
      <c r="EP176">
        <f>IF(ISBLANK('Data Entry'!$Ò$176), "", 'Data Entry'!$Ò$176)</f>
      </c>
      <c r="EQ176">
        <f>IF(ISBLANK('Data Entry'!$Ó$176), "", 'Data Entry'!$Ó$176)</f>
      </c>
      <c r="ER176">
        <f>IF(ISBLANK('Data Entry'!$Ô$176), "", 'Data Entry'!$Ô$176)</f>
      </c>
      <c r="ES176">
        <f>IF(ISBLANK('Data Entry'!$Õ$176), "", 'Data Entry'!$Õ$176)</f>
      </c>
      <c r="ET176">
        <f>IF(ISBLANK('Data Entry'!$Ö$176), "", 'Data Entry'!$Ö$176)</f>
      </c>
      <c r="EU176">
        <f>IF(ISBLANK('Data Entry'!$×$176), "", 'Data Entry'!$×$176)</f>
      </c>
      <c r="EV176">
        <f>IF(ISBLANK('Data Entry'!$Ø$176), "", 'Data Entry'!$Ø$176)</f>
      </c>
      <c r="EW176">
        <f>IF(ISBLANK('Data Entry'!$Ù$176), "", 'Data Entry'!$Ù$176)</f>
      </c>
      <c r="EX176">
        <f>IF(ISBLANK('Data Entry'!$Ú$176), "", 'Data Entry'!$Ú$176)</f>
      </c>
      <c r="EY176">
        <f>IF(ISBLANK('Data Entry'!$Û$176), "", 'Data Entry'!$Û$176)</f>
      </c>
      <c r="EZ176">
        <f>IF(ISBLANK('Data Entry'!$Ü$176), "", 'Data Entry'!$Ü$176)</f>
      </c>
      <c r="FA176">
        <f>IF(ISBLANK('Data Entry'!$Ý$176), "", 'Data Entry'!$Ý$176)</f>
      </c>
      <c r="FB176">
        <f>IF(ISBLANK('Data Entry'!$Þ$176), "", 'Data Entry'!$Þ$176)</f>
      </c>
      <c r="FC176">
        <f>IF(ISBLANK('Data Entry'!$ß$176), "", 'Data Entry'!$ß$176)</f>
      </c>
      <c r="FD176">
        <f>IF(ISBLANK('Data Entry'!$à$176), "", 'Data Entry'!$à$176)</f>
      </c>
      <c r="FE176">
        <f>IF(ISBLANK('Data Entry'!$á$176), "", 'Data Entry'!$á$176)</f>
      </c>
      <c r="FF176">
        <f>IF(ISBLANK('Data Entry'!$â$176), "", 'Data Entry'!$â$176)</f>
      </c>
      <c r="FG176">
        <f>IF(ISBLANK('Data Entry'!$ã$176), "", 'Data Entry'!$ã$176)</f>
      </c>
      <c r="FH176">
        <f>IF(ISBLANK('Data Entry'!$ä$176), "", 'Data Entry'!$ä$176)</f>
      </c>
      <c r="FI176">
        <f>IF(ISBLANK('Data Entry'!$å$176), "", 'Data Entry'!$å$176)</f>
      </c>
      <c r="FJ176">
        <f>IF(ISBLANK('Data Entry'!$æ$176), "", 'Data Entry'!$æ$176)</f>
      </c>
      <c r="FK176">
        <f>IF(ISBLANK('Data Entry'!$ç$176), "", 'Data Entry'!$ç$176)</f>
      </c>
      <c r="FL176">
        <f>IF(ISBLANK('Data Entry'!$è$176), "", 'Data Entry'!$è$176)</f>
      </c>
      <c r="FM176">
        <f>IF(ISBLANK('Data Entry'!$é$176), "", 'Data Entry'!$é$176)</f>
      </c>
      <c r="FN176">
        <f>IF(ISBLANK('Data Entry'!$ê$176), "", 'Data Entry'!$ê$176)</f>
      </c>
      <c r="FO176">
        <f>IF(ISBLANK('Data Entry'!$ë$176), "", 'Data Entry'!$ë$176)</f>
      </c>
      <c r="FP176">
        <f>IF(ISBLANK('Data Entry'!$ì$176), "", 'Data Entry'!$ì$176)</f>
      </c>
      <c r="FQ176">
        <f>IF(ISBLANK('Data Entry'!$í$176), "", 'Data Entry'!$í$176)</f>
      </c>
      <c r="FR176">
        <f>IF(ISBLANK('Data Entry'!$î$176), "", 'Data Entry'!$î$176)</f>
      </c>
      <c r="FS176">
        <f>IF(ISBLANK('Data Entry'!$ï$176), "", 'Data Entry'!$ï$176)</f>
      </c>
      <c r="FT176">
        <f>IF(ISBLANK('Data Entry'!$ð$176), "", 'Data Entry'!$ð$176)</f>
      </c>
      <c r="FU176">
        <f>IF(ISBLANK('Data Entry'!$ñ$176), "", 'Data Entry'!$ñ$176)</f>
      </c>
      <c r="FV176">
        <f>IF(ISBLANK('Data Entry'!$ò$176), "", 'Data Entry'!$ò$176)</f>
      </c>
      <c r="FW176">
        <f>IF(ISBLANK('Data Entry'!$ó$176), "", 'Data Entry'!$ó$176)</f>
      </c>
      <c r="FX176">
        <f>IF(ISBLANK('Data Entry'!$ô$176), "", 'Data Entry'!$ô$176)</f>
      </c>
      <c r="FY176">
        <f>IF(ISBLANK('Data Entry'!$õ$176), "", 'Data Entry'!$õ$176)</f>
      </c>
      <c r="FZ176">
        <f>IF(ISBLANK('Data Entry'!$ö$176), "", 'Data Entry'!$ö$176)</f>
      </c>
      <c r="GA176">
        <f>IF(ISBLANK('Data Entry'!$÷$176), "", 'Data Entry'!$÷$176)</f>
      </c>
      <c r="GB176">
        <f>IF(ISBLANK('Data Entry'!$ø$176), "", 'Data Entry'!$ø$176)</f>
      </c>
      <c r="GC176">
        <f>IF(ISBLANK('Data Entry'!$ù$176), "", 'Data Entry'!$ù$176)</f>
      </c>
      <c r="GD176">
        <f>IF(ISBLANK('Data Entry'!$ú$176), "", 'Data Entry'!$ú$176)</f>
      </c>
      <c r="GE176">
        <f>IF(ISBLANK('Data Entry'!$û$176), "", 'Data Entry'!$û$176)</f>
      </c>
      <c r="GF176">
        <f>IF(ISBLANK('Data Entry'!$ü$176), "", 'Data Entry'!$ü$176)</f>
      </c>
      <c r="GG176">
        <f>IF(ISBLANK('Data Entry'!$ý$176), "", 'Data Entry'!$ý$176)</f>
      </c>
      <c r="GH176">
        <f>IF(ISBLANK('Data Entry'!$þ$176), "", 'Data Entry'!$þ$176)</f>
      </c>
      <c r="GI176">
        <f>IF(ISBLANK('Data Entry'!$ÿ$176), "", 'Data Entry'!$ÿ$176)</f>
      </c>
      <c r="GJ176">
        <f>IF(ISBLANK('Data Entry'!$Ā$176), "", 'Data Entry'!$Ā$176)</f>
      </c>
      <c r="GK176">
        <f>IF(ISBLANK('Data Entry'!$ā$176), "", 'Data Entry'!$ā$176)</f>
      </c>
      <c r="GL176">
        <f>IF(ISBLANK('Data Entry'!$Ă$176), "", 'Data Entry'!$Ă$176)</f>
      </c>
      <c r="GM176">
        <f>IF(ISBLANK('Data Entry'!$ă$176), "", 'Data Entry'!$ă$176)</f>
      </c>
      <c r="GN176">
        <f>IF(ISBLANK('Data Entry'!$Ą$176), "", 'Data Entry'!$Ą$176)</f>
      </c>
      <c r="GO176">
        <f>IF(ISBLANK('Data Entry'!$ą$176), "", 'Data Entry'!$ą$176)</f>
      </c>
      <c r="GP176">
        <f>IF(ISBLANK('Data Entry'!$Ć$176), "", 'Data Entry'!$Ć$176)</f>
      </c>
      <c r="GQ176">
        <f>IF(ISBLANK('Data Entry'!$ć$176), "", 'Data Entry'!$ć$176)</f>
      </c>
      <c r="GR176">
        <f>IF(ISBLANK('Data Entry'!$Ĉ$176), "", 'Data Entry'!$Ĉ$176)</f>
      </c>
      <c r="GS176">
        <f>IF(ISBLANK('Data Entry'!$ĉ$176), "", 'Data Entry'!$ĉ$176)</f>
      </c>
      <c r="GT176">
        <f>IF(ISBLANK('Data Entry'!$Ċ$176), "", 'Data Entry'!$Ċ$176)</f>
      </c>
      <c r="GU176">
        <f>IF(ISBLANK('Data Entry'!$ċ$176), "", 'Data Entry'!$ċ$176)</f>
      </c>
      <c r="GV176">
        <f>IF(ISBLANK('Data Entry'!$Č$176), "", 'Data Entry'!$Č$176)</f>
      </c>
      <c r="GW176">
        <f>IF(ISBLANK('Data Entry'!$č$176), "", 'Data Entry'!$č$176)</f>
      </c>
      <c r="GX176">
        <f>IF(ISBLANK('Data Entry'!$Ď$176), "", 'Data Entry'!$Ď$176)</f>
      </c>
      <c r="GY176">
        <f>IF(ISBLANK('Data Entry'!$ď$176), "", 'Data Entry'!$ď$176)</f>
      </c>
      <c r="GZ176">
        <f>IF(ISBLANK('Data Entry'!$Đ$176), "", 'Data Entry'!$Đ$176)</f>
      </c>
      <c r="HA176">
        <f>IF(ISBLANK('Data Entry'!$đ$176), "", 'Data Entry'!$đ$176)</f>
      </c>
      <c r="HB176">
        <f>IF(ISBLANK('Data Entry'!$Ē$176), "", 'Data Entry'!$Ē$176)</f>
      </c>
      <c r="HC176">
        <f>IF(ISBLANK('Data Entry'!$ē$176), "", 'Data Entry'!$ē$176)</f>
      </c>
      <c r="HD176">
        <f>IF(ISBLANK('Data Entry'!$Ĕ$176), "", 'Data Entry'!$Ĕ$176)</f>
      </c>
      <c r="HE176">
        <f>IF(ISBLANK('Data Entry'!$ĕ$176), "", 'Data Entry'!$ĕ$176)</f>
      </c>
      <c r="HF176">
        <f>IF(ISBLANK('Data Entry'!$Ė$176), "", 'Data Entry'!$Ė$176)</f>
      </c>
      <c r="HG176">
        <f>IF(ISBLANK('Data Entry'!$ė$176), "", 'Data Entry'!$ė$176)</f>
      </c>
      <c r="HH176">
        <f>IF(ISBLANK('Data Entry'!$Ę$176), "", 'Data Entry'!$Ę$176)</f>
      </c>
      <c r="HI176">
        <f>IF(ISBLANK('Data Entry'!$ę$176), "", 'Data Entry'!$ę$176)</f>
      </c>
      <c r="HJ176">
        <f>IF(ISBLANK('Data Entry'!$Ě$176), "", 'Data Entry'!$Ě$176)</f>
      </c>
      <c r="HK176">
        <f>IF(ISBLANK('Data Entry'!$ě$176), "", 'Data Entry'!$ě$176)</f>
      </c>
      <c r="HL176">
        <f>IF(ISBLANK('Data Entry'!$Ĝ$176), "", 'Data Entry'!$Ĝ$176)</f>
      </c>
      <c r="HM176">
        <f>IF(ISBLANK('Data Entry'!$ĝ$176), "", 'Data Entry'!$ĝ$176)</f>
      </c>
      <c r="HN176">
        <f>IF(ISBLANK('Data Entry'!$Ğ$176), "", 'Data Entry'!$Ğ$176)</f>
      </c>
      <c r="HO176">
        <f>IF(ISBLANK('Data Entry'!$ğ$176), "", 'Data Entry'!$ğ$176)</f>
      </c>
      <c r="HP176">
        <f>IF(ISBLANK('Data Entry'!$Ġ$176), "", 'Data Entry'!$Ġ$176)</f>
      </c>
      <c r="HQ176">
        <f>IF(ISBLANK('Data Entry'!$ġ$176), "", 'Data Entry'!$ġ$176)</f>
      </c>
      <c r="HR176">
        <f>IF(ISBLANK('Data Entry'!$Ģ$176), "", 'Data Entry'!$Ģ$176)</f>
      </c>
      <c r="HS176">
        <f>IF(ISBLANK('Data Entry'!$ģ$176), "", 'Data Entry'!$ģ$176)</f>
      </c>
      <c r="HT176">
        <f>IF(ISBLANK('Data Entry'!$Ĥ$176), "", 'Data Entry'!$Ĥ$176)</f>
      </c>
      <c r="HU176">
        <f>IF(ISBLANK('Data Entry'!$ĥ$176), "", 'Data Entry'!$ĥ$176)</f>
      </c>
      <c r="HV176">
        <f>IF(ISBLANK('Data Entry'!$Ħ$176), "", 'Data Entry'!$Ħ$176)</f>
      </c>
      <c r="HW176">
        <f>IF(ISBLANK('Data Entry'!$ħ$176), "", 'Data Entry'!$ħ$176)</f>
      </c>
      <c r="HX176">
        <f>IF(ISBLANK('Data Entry'!$Ĩ$176), "", 'Data Entry'!$Ĩ$176)</f>
      </c>
      <c r="HY176">
        <f>IF(ISBLANK('Data Entry'!$ĩ$176), "", 'Data Entry'!$ĩ$176)</f>
      </c>
      <c r="HZ176">
        <f>IF(ISBLANK('Data Entry'!$Ī$176), "", 'Data Entry'!$Ī$176)</f>
      </c>
      <c r="IA176">
        <f>IF(ISBLANK('Data Entry'!$ī$176), "", 'Data Entry'!$ī$176)</f>
      </c>
      <c r="IB176">
        <f>IF(ISBLANK('Data Entry'!$Ĭ$176), "", 'Data Entry'!$Ĭ$176)</f>
      </c>
      <c r="IC176">
        <f>IF(ISBLANK('Data Entry'!$ĭ$176), "", 'Data Entry'!$ĭ$176)</f>
      </c>
      <c r="ID176">
        <f>IF(ISBLANK('Data Entry'!$Į$176), "", 'Data Entry'!$Į$176)</f>
      </c>
      <c r="IE176">
        <f>IF(ISBLANK('Data Entry'!$į$176), "", 'Data Entry'!$į$176)</f>
      </c>
      <c r="IF176">
        <f>IF(ISBLANK('Data Entry'!$İ$176), "", 'Data Entry'!$İ$176)</f>
      </c>
      <c r="IG176">
        <f>IF(ISBLANK('Data Entry'!$ı$176), "", 'Data Entry'!$ı$176)</f>
      </c>
      <c r="IH176">
        <f>IF(ISBLANK('Data Entry'!$Ĳ$176), "", 'Data Entry'!$Ĳ$176)</f>
      </c>
      <c r="II176">
        <f>IF(ISBLANK('Data Entry'!$ĳ$176), "", 'Data Entry'!$ĳ$176)</f>
      </c>
      <c r="IJ176">
        <f>IF(ISBLANK('Data Entry'!$Ĵ$176), "", 'Data Entry'!$Ĵ$176)</f>
      </c>
      <c r="IK176">
        <f>IF(ISBLANK('Data Entry'!$ĵ$176), "", 'Data Entry'!$ĵ$176)</f>
      </c>
      <c r="IL176">
        <f>IF(ISBLANK('Data Entry'!$Ķ$176), "", 'Data Entry'!$Ķ$176)</f>
      </c>
      <c r="IM176">
        <f>IF(ISBLANK('Data Entry'!$ķ$176), "", 'Data Entry'!$ķ$176)</f>
      </c>
      <c r="IN176">
        <f>IF(ISBLANK('Data Entry'!$ĸ$176), "", 'Data Entry'!$ĸ$176)</f>
      </c>
      <c r="IO176">
        <f>IF(ISBLANK('Data Entry'!$Ĺ$176), "", 'Data Entry'!$Ĺ$176)</f>
      </c>
      <c r="IP176">
        <f>IF(ISBLANK('Data Entry'!$ĺ$176), "", 'Data Entry'!$ĺ$176)</f>
      </c>
      <c r="IQ176">
        <f>IF(ISBLANK('Data Entry'!$Ļ$176), "", 'Data Entry'!$Ļ$176)</f>
      </c>
      <c r="IR176">
        <f>IF(ISBLANK('Data Entry'!$ļ$176), "", 'Data Entry'!$ļ$176)</f>
      </c>
      <c r="IS176">
        <f>IF(ISBLANK('Data Entry'!$Ľ$176), "", 'Data Entry'!$Ľ$176)</f>
      </c>
      <c r="IT176">
        <f>IF(ISBLANK('Data Entry'!$ľ$176), "", 'Data Entry'!$ľ$176)</f>
      </c>
    </row>
    <row r="177" spans="1:254" x14ac:dyDescent="0.25">
      <c r="A177">
        <f>IF(ISBLANK('Data Entry'!$A$177), "", 'Data Entry'!$A$177)</f>
      </c>
      <c r="B177">
        <f>IF(ISBLANK('Data Entry'!$B$177), "", 'Data Entry'!$B$177)</f>
      </c>
      <c r="C177">
        <f>IF(ISBLANK('Data Entry'!$C$177), "", 'Data Entry'!$C$177)</f>
      </c>
      <c r="D177">
        <f>IF(ISBLANK('Data Entry'!$D$177), "", 'Data Entry'!$D$177)</f>
      </c>
      <c r="E177">
        <f>IF(ISBLANK('Data Entry'!$E$177), "", 'Data Entry'!$E$177)</f>
      </c>
      <c r="F177">
        <f>IF(ISBLANK('Data Entry'!$F$177), "", 'Data Entry'!$F$177)</f>
      </c>
      <c r="G177">
        <f>IF(ISBLANK('Data Entry'!$G$177), "", 'Data Entry'!$G$177)</f>
      </c>
      <c r="H177">
        <f>IF(ISBLANK('Data Entry'!$H$177), "", 'Data Entry'!$H$177)</f>
      </c>
      <c r="I177">
        <f>IF(ISBLANK('Data Entry'!$I$177), "", 'Data Entry'!$I$177)</f>
      </c>
      <c r="J177">
        <f>IF(ISBLANK('Data Entry'!$J$177), "", 'Data Entry'!$J$177)</f>
      </c>
      <c r="K177">
        <f>IF(ISBLANK('Data Entry'!$K$177), "", 'Data Entry'!$K$177)</f>
      </c>
      <c r="L177">
        <f>IF(ISBLANK('Data Entry'!$L$177), "", 'Data Entry'!$L$177)</f>
      </c>
      <c r="M177">
        <f>IF(ISBLANK('Data Entry'!$M$177), "", 'Data Entry'!$M$177)</f>
      </c>
      <c r="N177">
        <f>IF(ISBLANK('Data Entry'!$N$177), "", 'Data Entry'!$N$177)</f>
      </c>
      <c r="O177">
        <f>IF(ISBLANK('Data Entry'!$O$177), "", 'Data Entry'!$O$177)</f>
      </c>
      <c r="P177">
        <f>IF(ISBLANK('Data Entry'!$P$177), "", 'Data Entry'!$P$177)</f>
      </c>
      <c r="Q177">
        <f>IF(ISBLANK('Data Entry'!$Q$177), "", 'Data Entry'!$Q$177)</f>
      </c>
      <c r="R177">
        <f>IF(ISBLANK('Data Entry'!$R$177), "", 'Data Entry'!$R$177)</f>
      </c>
      <c r="S177">
        <f>IF(ISBLANK('Data Entry'!$S$177), "", 'Data Entry'!$S$177)</f>
      </c>
      <c r="T177">
        <f>IF(ISBLANK('Data Entry'!$T$177), "", 'Data Entry'!$T$177)</f>
      </c>
      <c r="U177">
        <f>IF(ISBLANK('Data Entry'!$U$177), "", 'Data Entry'!$U$177)</f>
      </c>
      <c r="V177">
        <f>IF(ISBLANK('Data Entry'!$V$177), "", 'Data Entry'!$V$177)</f>
      </c>
      <c r="W177">
        <f>IF(ISBLANK('Data Entry'!$W$177), "", 'Data Entry'!$W$177)</f>
      </c>
      <c r="X177">
        <f>IF(ISBLANK('Data Entry'!$X$177), "", 'Data Entry'!$X$177)</f>
      </c>
      <c r="Y177">
        <f>IF(ISBLANK('Data Entry'!$Y$177), "", 'Data Entry'!$Y$177)</f>
      </c>
      <c r="Z177">
        <f>IF(ISBLANK('Data Entry'!$Z$177), "", 'Data Entry'!$Z$177)</f>
      </c>
      <c r="AA177">
        <f>IF(ISBLANK('Data Entry'!$[$177), "", 'Data Entry'!$[$177)</f>
      </c>
      <c r="AB177">
        <f>IF(ISBLANK('Data Entry'!$\$177), "", 'Data Entry'!$\$177)</f>
      </c>
      <c r="AC177">
        <f>IF(ISBLANK('Data Entry'!$]$177), "", 'Data Entry'!$]$177)</f>
      </c>
      <c r="AD177">
        <f>IF(ISBLANK('Data Entry'!$^$177), "", 'Data Entry'!$^$177)</f>
      </c>
      <c r="AE177">
        <f>IF(ISBLANK('Data Entry'!$_$177), "", 'Data Entry'!$_$177)</f>
      </c>
      <c r="AF177">
        <f>IF(ISBLANK('Data Entry'!$`$177), "", 'Data Entry'!$`$177)</f>
      </c>
      <c r="AG177">
        <f>IF(ISBLANK('Data Entry'!$a$177), "", 'Data Entry'!$a$177)</f>
      </c>
      <c r="AH177">
        <f>IF(ISBLANK('Data Entry'!$b$177), "", 'Data Entry'!$b$177)</f>
      </c>
      <c r="AI177">
        <f>IF(ISBLANK('Data Entry'!$c$177), "", 'Data Entry'!$c$177)</f>
      </c>
      <c r="AJ177">
        <f>IF(ISBLANK('Data Entry'!$d$177), "", 'Data Entry'!$d$177)</f>
      </c>
      <c r="AK177">
        <f>IF(ISBLANK('Data Entry'!$e$177), "", 'Data Entry'!$e$177)</f>
      </c>
      <c r="AL177">
        <f>IF(ISBLANK('Data Entry'!$f$177), "", 'Data Entry'!$f$177)</f>
      </c>
      <c r="AM177">
        <f>IF(ISBLANK('Data Entry'!$g$177), "", 'Data Entry'!$g$177)</f>
      </c>
      <c r="AN177">
        <f>IF(ISBLANK('Data Entry'!$h$177), "", 'Data Entry'!$h$177)</f>
      </c>
      <c r="AO177">
        <f>IF(ISBLANK('Data Entry'!$i$177), "", 'Data Entry'!$i$177)</f>
      </c>
      <c r="AP177">
        <f>IF(ISBLANK('Data Entry'!$j$177), "", 'Data Entry'!$j$177)</f>
      </c>
      <c r="AQ177">
        <f>IF(ISBLANK('Data Entry'!$k$177), "", 'Data Entry'!$k$177)</f>
      </c>
      <c r="AR177">
        <f>IF(ISBLANK('Data Entry'!$l$177), "", 'Data Entry'!$l$177)</f>
      </c>
      <c r="AS177">
        <f>IF(ISBLANK('Data Entry'!$m$177), "", 'Data Entry'!$m$177)</f>
      </c>
      <c r="AT177">
        <f>IF(ISBLANK('Data Entry'!$n$177), "", 'Data Entry'!$n$177)</f>
      </c>
      <c r="AU177">
        <f>IF(ISBLANK('Data Entry'!$o$177), "", 'Data Entry'!$o$177)</f>
      </c>
      <c r="AV177">
        <f>IF(ISBLANK('Data Entry'!$p$177), "", 'Data Entry'!$p$177)</f>
      </c>
      <c r="AW177">
        <f>IF(ISBLANK('Data Entry'!$q$177), "", 'Data Entry'!$q$177)</f>
      </c>
      <c r="AX177">
        <f>IF(ISBLANK('Data Entry'!$r$177), "", 'Data Entry'!$r$177)</f>
      </c>
      <c r="AY177">
        <f>IF(ISBLANK('Data Entry'!$s$177), "", 'Data Entry'!$s$177)</f>
      </c>
      <c r="AZ177">
        <f>IF(ISBLANK('Data Entry'!$t$177), "", 'Data Entry'!$t$177)</f>
      </c>
      <c r="BA177">
        <f>IF(ISBLANK('Data Entry'!$u$177), "", 'Data Entry'!$u$177)</f>
      </c>
      <c r="BB177">
        <f>IF(ISBLANK('Data Entry'!$v$177), "", 'Data Entry'!$v$177)</f>
      </c>
      <c r="BC177">
        <f>IF(ISBLANK('Data Entry'!$w$177), "", 'Data Entry'!$w$177)</f>
      </c>
      <c r="BD177">
        <f>IF(ISBLANK('Data Entry'!$x$177), "", 'Data Entry'!$x$177)</f>
      </c>
      <c r="BE177">
        <f>IF(ISBLANK('Data Entry'!$y$177), "", 'Data Entry'!$y$177)</f>
      </c>
      <c r="BF177">
        <f>IF(ISBLANK('Data Entry'!$z$177), "", 'Data Entry'!$z$177)</f>
      </c>
      <c r="BG177">
        <f>IF(ISBLANK('Data Entry'!${$177), "", 'Data Entry'!${$177)</f>
      </c>
      <c r="BH177">
        <f>IF(ISBLANK('Data Entry'!$|$177), "", 'Data Entry'!$|$177)</f>
      </c>
      <c r="BI177">
        <f>IF(ISBLANK('Data Entry'!$}$177), "", 'Data Entry'!$}$177)</f>
      </c>
      <c r="BJ177">
        <f>IF(ISBLANK('Data Entry'!$~$177), "", 'Data Entry'!$~$177)</f>
      </c>
      <c r="BK177">
        <f>IF(ISBLANK('Data Entry'!$$177), "", 'Data Entry'!$$177)</f>
      </c>
      <c r="BL177">
        <f>IF(ISBLANK('Data Entry'!$$177), "", 'Data Entry'!$$177)</f>
      </c>
      <c r="BM177">
        <f>IF(ISBLANK('Data Entry'!$$177), "", 'Data Entry'!$$177)</f>
      </c>
      <c r="BN177">
        <f>IF(ISBLANK('Data Entry'!$$177), "", 'Data Entry'!$$177)</f>
      </c>
      <c r="BO177">
        <f>IF(ISBLANK('Data Entry'!$$177), "", 'Data Entry'!$$177)</f>
      </c>
      <c r="BP177">
        <f>IF(ISBLANK('Data Entry'!$$177), "", 'Data Entry'!$$177)</f>
      </c>
      <c r="BQ177">
        <f>IF(ISBLANK('Data Entry'!$$177), "", 'Data Entry'!$$177)</f>
      </c>
      <c r="BR177">
        <f>IF(ISBLANK('Data Entry'!$$177), "", 'Data Entry'!$$177)</f>
      </c>
      <c r="BS177">
        <f>IF(ISBLANK('Data Entry'!$$177), "", 'Data Entry'!$$177)</f>
      </c>
      <c r="BT177">
        <f>IF(ISBLANK('Data Entry'!$$177), "", 'Data Entry'!$$177)</f>
      </c>
      <c r="BU177">
        <f>IF(ISBLANK('Data Entry'!$$177), "", 'Data Entry'!$$177)</f>
      </c>
      <c r="BV177">
        <f>IF(ISBLANK('Data Entry'!$$177), "", 'Data Entry'!$$177)</f>
      </c>
      <c r="BW177">
        <f>IF(ISBLANK('Data Entry'!$$177), "", 'Data Entry'!$$177)</f>
      </c>
      <c r="BX177">
        <f>IF(ISBLANK('Data Entry'!$$177), "", 'Data Entry'!$$177)</f>
      </c>
      <c r="BY177">
        <f>IF(ISBLANK('Data Entry'!$$177), "", 'Data Entry'!$$177)</f>
      </c>
      <c r="BZ177">
        <f>IF(ISBLANK('Data Entry'!$$177), "", 'Data Entry'!$$177)</f>
      </c>
      <c r="CA177">
        <f>IF(ISBLANK('Data Entry'!$$177), "", 'Data Entry'!$$177)</f>
      </c>
      <c r="CB177">
        <f>IF(ISBLANK('Data Entry'!$$177), "", 'Data Entry'!$$177)</f>
      </c>
      <c r="CC177">
        <f>IF(ISBLANK('Data Entry'!$$177), "", 'Data Entry'!$$177)</f>
      </c>
      <c r="CD177">
        <f>IF(ISBLANK('Data Entry'!$$177), "", 'Data Entry'!$$177)</f>
      </c>
      <c r="CE177">
        <f>IF(ISBLANK('Data Entry'!$$177), "", 'Data Entry'!$$177)</f>
      </c>
      <c r="CF177">
        <f>IF(ISBLANK('Data Entry'!$$177), "", 'Data Entry'!$$177)</f>
      </c>
      <c r="CG177">
        <f>IF(ISBLANK('Data Entry'!$$177), "", 'Data Entry'!$$177)</f>
      </c>
      <c r="CH177">
        <f>IF(ISBLANK('Data Entry'!$$177), "", 'Data Entry'!$$177)</f>
      </c>
      <c r="CI177">
        <f>IF(ISBLANK('Data Entry'!$$177), "", 'Data Entry'!$$177)</f>
      </c>
      <c r="CJ177">
        <f>IF(ISBLANK('Data Entry'!$$177), "", 'Data Entry'!$$177)</f>
      </c>
      <c r="CK177">
        <f>IF(ISBLANK('Data Entry'!$$177), "", 'Data Entry'!$$177)</f>
      </c>
      <c r="CL177">
        <f>IF(ISBLANK('Data Entry'!$$177), "", 'Data Entry'!$$177)</f>
      </c>
      <c r="CM177">
        <f>IF(ISBLANK('Data Entry'!$$177), "", 'Data Entry'!$$177)</f>
      </c>
      <c r="CN177">
        <f>IF(ISBLANK('Data Entry'!$$177), "", 'Data Entry'!$$177)</f>
      </c>
      <c r="CO177">
        <f>IF(ISBLANK('Data Entry'!$$177), "", 'Data Entry'!$$177)</f>
      </c>
      <c r="CP177">
        <f>IF(ISBLANK('Data Entry'!$$177), "", 'Data Entry'!$$177)</f>
      </c>
      <c r="CQ177">
        <f>IF(ISBLANK('Data Entry'!$$177), "", 'Data Entry'!$$177)</f>
      </c>
      <c r="CR177">
        <f>IF(ISBLANK('Data Entry'!$ $177), "", 'Data Entry'!$ $177)</f>
      </c>
      <c r="CS177">
        <f>IF(ISBLANK('Data Entry'!$¡$177), "", 'Data Entry'!$¡$177)</f>
      </c>
      <c r="CT177">
        <f>IF(ISBLANK('Data Entry'!$¢$177), "", 'Data Entry'!$¢$177)</f>
      </c>
      <c r="CU177">
        <f>IF(ISBLANK('Data Entry'!$£$177), "", 'Data Entry'!$£$177)</f>
      </c>
      <c r="CV177">
        <f>IF(ISBLANK('Data Entry'!$¤$177), "", 'Data Entry'!$¤$177)</f>
      </c>
      <c r="CW177">
        <f>IF(ISBLANK('Data Entry'!$¥$177), "", 'Data Entry'!$¥$177)</f>
      </c>
      <c r="CX177">
        <f>IF(ISBLANK('Data Entry'!$¦$177), "", 'Data Entry'!$¦$177)</f>
      </c>
      <c r="CY177">
        <f>IF(ISBLANK('Data Entry'!$§$177), "", 'Data Entry'!$§$177)</f>
      </c>
      <c r="CZ177">
        <f>IF(ISBLANK('Data Entry'!$¨$177), "", 'Data Entry'!$¨$177)</f>
      </c>
      <c r="DA177">
        <f>IF(ISBLANK('Data Entry'!$©$177), "", 'Data Entry'!$©$177)</f>
      </c>
      <c r="DB177">
        <f>IF(ISBLANK('Data Entry'!$ª$177), "", 'Data Entry'!$ª$177)</f>
      </c>
      <c r="DC177">
        <f>IF(ISBLANK('Data Entry'!$«$177), "", 'Data Entry'!$«$177)</f>
      </c>
      <c r="DD177">
        <f>IF(ISBLANK('Data Entry'!$¬$177), "", 'Data Entry'!$¬$177)</f>
      </c>
      <c r="DE177">
        <f>IF(ISBLANK('Data Entry'!$­$177), "", 'Data Entry'!$­$177)</f>
      </c>
      <c r="DF177">
        <f>IF(ISBLANK('Data Entry'!$®$177), "", 'Data Entry'!$®$177)</f>
      </c>
      <c r="DG177">
        <f>IF(ISBLANK('Data Entry'!$¯$177), "", 'Data Entry'!$¯$177)</f>
      </c>
      <c r="DH177">
        <f>IF(ISBLANK('Data Entry'!$°$177), "", 'Data Entry'!$°$177)</f>
      </c>
      <c r="DI177">
        <f>IF(ISBLANK('Data Entry'!$±$177), "", 'Data Entry'!$±$177)</f>
      </c>
      <c r="DJ177">
        <f>IF(ISBLANK('Data Entry'!$²$177), "", 'Data Entry'!$²$177)</f>
      </c>
      <c r="DK177">
        <f>IF(ISBLANK('Data Entry'!$³$177), "", 'Data Entry'!$³$177)</f>
      </c>
      <c r="DL177">
        <f>IF(ISBLANK('Data Entry'!$´$177), "", 'Data Entry'!$´$177)</f>
      </c>
      <c r="DM177">
        <f>IF(ISBLANK('Data Entry'!$µ$177), "", 'Data Entry'!$µ$177)</f>
      </c>
      <c r="DN177">
        <f>IF(ISBLANK('Data Entry'!$¶$177), "", 'Data Entry'!$¶$177)</f>
      </c>
      <c r="DO177">
        <f>IF(ISBLANK('Data Entry'!$·$177), "", 'Data Entry'!$·$177)</f>
      </c>
      <c r="DP177">
        <f>IF(ISBLANK('Data Entry'!$¸$177), "", 'Data Entry'!$¸$177)</f>
      </c>
      <c r="DQ177">
        <f>IF(ISBLANK('Data Entry'!$¹$177), "", 'Data Entry'!$¹$177)</f>
      </c>
      <c r="DR177">
        <f>IF(ISBLANK('Data Entry'!$º$177), "", 'Data Entry'!$º$177)</f>
      </c>
      <c r="DS177">
        <f>IF(ISBLANK('Data Entry'!$»$177), "", 'Data Entry'!$»$177)</f>
      </c>
      <c r="DT177">
        <f>IF(ISBLANK('Data Entry'!$¼$177), "", 'Data Entry'!$¼$177)</f>
      </c>
      <c r="DU177">
        <f>IF(ISBLANK('Data Entry'!$½$177), "", 'Data Entry'!$½$177)</f>
      </c>
      <c r="DV177">
        <f>IF(ISBLANK('Data Entry'!$¾$177), "", 'Data Entry'!$¾$177)</f>
      </c>
      <c r="DW177">
        <f>IF(ISBLANK('Data Entry'!$¿$177), "", 'Data Entry'!$¿$177)</f>
      </c>
      <c r="DX177">
        <f>IF(ISBLANK('Data Entry'!$À$177), "", 'Data Entry'!$À$177)</f>
      </c>
      <c r="DY177">
        <f>IF(ISBLANK('Data Entry'!$Á$177), "", 'Data Entry'!$Á$177)</f>
      </c>
      <c r="DZ177">
        <f>IF(ISBLANK('Data Entry'!$Â$177), "", 'Data Entry'!$Â$177)</f>
      </c>
      <c r="EA177">
        <f>IF(ISBLANK('Data Entry'!$Ã$177), "", 'Data Entry'!$Ã$177)</f>
      </c>
      <c r="EB177">
        <f>IF(ISBLANK('Data Entry'!$Ä$177), "", 'Data Entry'!$Ä$177)</f>
      </c>
      <c r="EC177">
        <f>IF(ISBLANK('Data Entry'!$Å$177), "", 'Data Entry'!$Å$177)</f>
      </c>
      <c r="ED177">
        <f>IF(ISBLANK('Data Entry'!$Æ$177), "", 'Data Entry'!$Æ$177)</f>
      </c>
      <c r="EE177">
        <f>IF(ISBLANK('Data Entry'!$Ç$177), "", 'Data Entry'!$Ç$177)</f>
      </c>
      <c r="EF177">
        <f>IF(ISBLANK('Data Entry'!$È$177), "", 'Data Entry'!$È$177)</f>
      </c>
      <c r="EG177">
        <f>IF(ISBLANK('Data Entry'!$É$177), "", 'Data Entry'!$É$177)</f>
      </c>
      <c r="EH177">
        <f>IF(ISBLANK('Data Entry'!$Ê$177), "", 'Data Entry'!$Ê$177)</f>
      </c>
      <c r="EI177">
        <f>IF(ISBLANK('Data Entry'!$Ë$177), "", 'Data Entry'!$Ë$177)</f>
      </c>
      <c r="EJ177">
        <f>IF(ISBLANK('Data Entry'!$Ì$177), "", 'Data Entry'!$Ì$177)</f>
      </c>
      <c r="EK177">
        <f>IF(ISBLANK('Data Entry'!$Í$177), "", 'Data Entry'!$Í$177)</f>
      </c>
      <c r="EL177">
        <f>IF(ISBLANK('Data Entry'!$Î$177), "", 'Data Entry'!$Î$177)</f>
      </c>
      <c r="EM177">
        <f>IF(ISBLANK('Data Entry'!$Ï$177), "", 'Data Entry'!$Ï$177)</f>
      </c>
      <c r="EN177">
        <f>IF(ISBLANK('Data Entry'!$Ð$177), "", 'Data Entry'!$Ð$177)</f>
      </c>
      <c r="EO177">
        <f>IF(ISBLANK('Data Entry'!$Ñ$177), "", 'Data Entry'!$Ñ$177)</f>
      </c>
      <c r="EP177">
        <f>IF(ISBLANK('Data Entry'!$Ò$177), "", 'Data Entry'!$Ò$177)</f>
      </c>
      <c r="EQ177">
        <f>IF(ISBLANK('Data Entry'!$Ó$177), "", 'Data Entry'!$Ó$177)</f>
      </c>
      <c r="ER177">
        <f>IF(ISBLANK('Data Entry'!$Ô$177), "", 'Data Entry'!$Ô$177)</f>
      </c>
      <c r="ES177">
        <f>IF(ISBLANK('Data Entry'!$Õ$177), "", 'Data Entry'!$Õ$177)</f>
      </c>
      <c r="ET177">
        <f>IF(ISBLANK('Data Entry'!$Ö$177), "", 'Data Entry'!$Ö$177)</f>
      </c>
      <c r="EU177">
        <f>IF(ISBLANK('Data Entry'!$×$177), "", 'Data Entry'!$×$177)</f>
      </c>
      <c r="EV177">
        <f>IF(ISBLANK('Data Entry'!$Ø$177), "", 'Data Entry'!$Ø$177)</f>
      </c>
      <c r="EW177">
        <f>IF(ISBLANK('Data Entry'!$Ù$177), "", 'Data Entry'!$Ù$177)</f>
      </c>
      <c r="EX177">
        <f>IF(ISBLANK('Data Entry'!$Ú$177), "", 'Data Entry'!$Ú$177)</f>
      </c>
      <c r="EY177">
        <f>IF(ISBLANK('Data Entry'!$Û$177), "", 'Data Entry'!$Û$177)</f>
      </c>
      <c r="EZ177">
        <f>IF(ISBLANK('Data Entry'!$Ü$177), "", 'Data Entry'!$Ü$177)</f>
      </c>
      <c r="FA177">
        <f>IF(ISBLANK('Data Entry'!$Ý$177), "", 'Data Entry'!$Ý$177)</f>
      </c>
      <c r="FB177">
        <f>IF(ISBLANK('Data Entry'!$Þ$177), "", 'Data Entry'!$Þ$177)</f>
      </c>
      <c r="FC177">
        <f>IF(ISBLANK('Data Entry'!$ß$177), "", 'Data Entry'!$ß$177)</f>
      </c>
      <c r="FD177">
        <f>IF(ISBLANK('Data Entry'!$à$177), "", 'Data Entry'!$à$177)</f>
      </c>
      <c r="FE177">
        <f>IF(ISBLANK('Data Entry'!$á$177), "", 'Data Entry'!$á$177)</f>
      </c>
      <c r="FF177">
        <f>IF(ISBLANK('Data Entry'!$â$177), "", 'Data Entry'!$â$177)</f>
      </c>
      <c r="FG177">
        <f>IF(ISBLANK('Data Entry'!$ã$177), "", 'Data Entry'!$ã$177)</f>
      </c>
      <c r="FH177">
        <f>IF(ISBLANK('Data Entry'!$ä$177), "", 'Data Entry'!$ä$177)</f>
      </c>
      <c r="FI177">
        <f>IF(ISBLANK('Data Entry'!$å$177), "", 'Data Entry'!$å$177)</f>
      </c>
      <c r="FJ177">
        <f>IF(ISBLANK('Data Entry'!$æ$177), "", 'Data Entry'!$æ$177)</f>
      </c>
      <c r="FK177">
        <f>IF(ISBLANK('Data Entry'!$ç$177), "", 'Data Entry'!$ç$177)</f>
      </c>
      <c r="FL177">
        <f>IF(ISBLANK('Data Entry'!$è$177), "", 'Data Entry'!$è$177)</f>
      </c>
      <c r="FM177">
        <f>IF(ISBLANK('Data Entry'!$é$177), "", 'Data Entry'!$é$177)</f>
      </c>
      <c r="FN177">
        <f>IF(ISBLANK('Data Entry'!$ê$177), "", 'Data Entry'!$ê$177)</f>
      </c>
      <c r="FO177">
        <f>IF(ISBLANK('Data Entry'!$ë$177), "", 'Data Entry'!$ë$177)</f>
      </c>
      <c r="FP177">
        <f>IF(ISBLANK('Data Entry'!$ì$177), "", 'Data Entry'!$ì$177)</f>
      </c>
      <c r="FQ177">
        <f>IF(ISBLANK('Data Entry'!$í$177), "", 'Data Entry'!$í$177)</f>
      </c>
      <c r="FR177">
        <f>IF(ISBLANK('Data Entry'!$î$177), "", 'Data Entry'!$î$177)</f>
      </c>
      <c r="FS177">
        <f>IF(ISBLANK('Data Entry'!$ï$177), "", 'Data Entry'!$ï$177)</f>
      </c>
      <c r="FT177">
        <f>IF(ISBLANK('Data Entry'!$ð$177), "", 'Data Entry'!$ð$177)</f>
      </c>
      <c r="FU177">
        <f>IF(ISBLANK('Data Entry'!$ñ$177), "", 'Data Entry'!$ñ$177)</f>
      </c>
      <c r="FV177">
        <f>IF(ISBLANK('Data Entry'!$ò$177), "", 'Data Entry'!$ò$177)</f>
      </c>
      <c r="FW177">
        <f>IF(ISBLANK('Data Entry'!$ó$177), "", 'Data Entry'!$ó$177)</f>
      </c>
      <c r="FX177">
        <f>IF(ISBLANK('Data Entry'!$ô$177), "", 'Data Entry'!$ô$177)</f>
      </c>
      <c r="FY177">
        <f>IF(ISBLANK('Data Entry'!$õ$177), "", 'Data Entry'!$õ$177)</f>
      </c>
      <c r="FZ177">
        <f>IF(ISBLANK('Data Entry'!$ö$177), "", 'Data Entry'!$ö$177)</f>
      </c>
      <c r="GA177">
        <f>IF(ISBLANK('Data Entry'!$÷$177), "", 'Data Entry'!$÷$177)</f>
      </c>
      <c r="GB177">
        <f>IF(ISBLANK('Data Entry'!$ø$177), "", 'Data Entry'!$ø$177)</f>
      </c>
      <c r="GC177">
        <f>IF(ISBLANK('Data Entry'!$ù$177), "", 'Data Entry'!$ù$177)</f>
      </c>
      <c r="GD177">
        <f>IF(ISBLANK('Data Entry'!$ú$177), "", 'Data Entry'!$ú$177)</f>
      </c>
      <c r="GE177">
        <f>IF(ISBLANK('Data Entry'!$û$177), "", 'Data Entry'!$û$177)</f>
      </c>
      <c r="GF177">
        <f>IF(ISBLANK('Data Entry'!$ü$177), "", 'Data Entry'!$ü$177)</f>
      </c>
      <c r="GG177">
        <f>IF(ISBLANK('Data Entry'!$ý$177), "", 'Data Entry'!$ý$177)</f>
      </c>
      <c r="GH177">
        <f>IF(ISBLANK('Data Entry'!$þ$177), "", 'Data Entry'!$þ$177)</f>
      </c>
      <c r="GI177">
        <f>IF(ISBLANK('Data Entry'!$ÿ$177), "", 'Data Entry'!$ÿ$177)</f>
      </c>
      <c r="GJ177">
        <f>IF(ISBLANK('Data Entry'!$Ā$177), "", 'Data Entry'!$Ā$177)</f>
      </c>
      <c r="GK177">
        <f>IF(ISBLANK('Data Entry'!$ā$177), "", 'Data Entry'!$ā$177)</f>
      </c>
      <c r="GL177">
        <f>IF(ISBLANK('Data Entry'!$Ă$177), "", 'Data Entry'!$Ă$177)</f>
      </c>
      <c r="GM177">
        <f>IF(ISBLANK('Data Entry'!$ă$177), "", 'Data Entry'!$ă$177)</f>
      </c>
      <c r="GN177">
        <f>IF(ISBLANK('Data Entry'!$Ą$177), "", 'Data Entry'!$Ą$177)</f>
      </c>
      <c r="GO177">
        <f>IF(ISBLANK('Data Entry'!$ą$177), "", 'Data Entry'!$ą$177)</f>
      </c>
      <c r="GP177">
        <f>IF(ISBLANK('Data Entry'!$Ć$177), "", 'Data Entry'!$Ć$177)</f>
      </c>
      <c r="GQ177">
        <f>IF(ISBLANK('Data Entry'!$ć$177), "", 'Data Entry'!$ć$177)</f>
      </c>
      <c r="GR177">
        <f>IF(ISBLANK('Data Entry'!$Ĉ$177), "", 'Data Entry'!$Ĉ$177)</f>
      </c>
      <c r="GS177">
        <f>IF(ISBLANK('Data Entry'!$ĉ$177), "", 'Data Entry'!$ĉ$177)</f>
      </c>
      <c r="GT177">
        <f>IF(ISBLANK('Data Entry'!$Ċ$177), "", 'Data Entry'!$Ċ$177)</f>
      </c>
      <c r="GU177">
        <f>IF(ISBLANK('Data Entry'!$ċ$177), "", 'Data Entry'!$ċ$177)</f>
      </c>
      <c r="GV177">
        <f>IF(ISBLANK('Data Entry'!$Č$177), "", 'Data Entry'!$Č$177)</f>
      </c>
      <c r="GW177">
        <f>IF(ISBLANK('Data Entry'!$č$177), "", 'Data Entry'!$č$177)</f>
      </c>
      <c r="GX177">
        <f>IF(ISBLANK('Data Entry'!$Ď$177), "", 'Data Entry'!$Ď$177)</f>
      </c>
      <c r="GY177">
        <f>IF(ISBLANK('Data Entry'!$ď$177), "", 'Data Entry'!$ď$177)</f>
      </c>
      <c r="GZ177">
        <f>IF(ISBLANK('Data Entry'!$Đ$177), "", 'Data Entry'!$Đ$177)</f>
      </c>
      <c r="HA177">
        <f>IF(ISBLANK('Data Entry'!$đ$177), "", 'Data Entry'!$đ$177)</f>
      </c>
      <c r="HB177">
        <f>IF(ISBLANK('Data Entry'!$Ē$177), "", 'Data Entry'!$Ē$177)</f>
      </c>
      <c r="HC177">
        <f>IF(ISBLANK('Data Entry'!$ē$177), "", 'Data Entry'!$ē$177)</f>
      </c>
      <c r="HD177">
        <f>IF(ISBLANK('Data Entry'!$Ĕ$177), "", 'Data Entry'!$Ĕ$177)</f>
      </c>
      <c r="HE177">
        <f>IF(ISBLANK('Data Entry'!$ĕ$177), "", 'Data Entry'!$ĕ$177)</f>
      </c>
      <c r="HF177">
        <f>IF(ISBLANK('Data Entry'!$Ė$177), "", 'Data Entry'!$Ė$177)</f>
      </c>
      <c r="HG177">
        <f>IF(ISBLANK('Data Entry'!$ė$177), "", 'Data Entry'!$ė$177)</f>
      </c>
      <c r="HH177">
        <f>IF(ISBLANK('Data Entry'!$Ę$177), "", 'Data Entry'!$Ę$177)</f>
      </c>
      <c r="HI177">
        <f>IF(ISBLANK('Data Entry'!$ę$177), "", 'Data Entry'!$ę$177)</f>
      </c>
      <c r="HJ177">
        <f>IF(ISBLANK('Data Entry'!$Ě$177), "", 'Data Entry'!$Ě$177)</f>
      </c>
      <c r="HK177">
        <f>IF(ISBLANK('Data Entry'!$ě$177), "", 'Data Entry'!$ě$177)</f>
      </c>
      <c r="HL177">
        <f>IF(ISBLANK('Data Entry'!$Ĝ$177), "", 'Data Entry'!$Ĝ$177)</f>
      </c>
      <c r="HM177">
        <f>IF(ISBLANK('Data Entry'!$ĝ$177), "", 'Data Entry'!$ĝ$177)</f>
      </c>
      <c r="HN177">
        <f>IF(ISBLANK('Data Entry'!$Ğ$177), "", 'Data Entry'!$Ğ$177)</f>
      </c>
      <c r="HO177">
        <f>IF(ISBLANK('Data Entry'!$ğ$177), "", 'Data Entry'!$ğ$177)</f>
      </c>
      <c r="HP177">
        <f>IF(ISBLANK('Data Entry'!$Ġ$177), "", 'Data Entry'!$Ġ$177)</f>
      </c>
      <c r="HQ177">
        <f>IF(ISBLANK('Data Entry'!$ġ$177), "", 'Data Entry'!$ġ$177)</f>
      </c>
      <c r="HR177">
        <f>IF(ISBLANK('Data Entry'!$Ģ$177), "", 'Data Entry'!$Ģ$177)</f>
      </c>
      <c r="HS177">
        <f>IF(ISBLANK('Data Entry'!$ģ$177), "", 'Data Entry'!$ģ$177)</f>
      </c>
      <c r="HT177">
        <f>IF(ISBLANK('Data Entry'!$Ĥ$177), "", 'Data Entry'!$Ĥ$177)</f>
      </c>
      <c r="HU177">
        <f>IF(ISBLANK('Data Entry'!$ĥ$177), "", 'Data Entry'!$ĥ$177)</f>
      </c>
      <c r="HV177">
        <f>IF(ISBLANK('Data Entry'!$Ħ$177), "", 'Data Entry'!$Ħ$177)</f>
      </c>
      <c r="HW177">
        <f>IF(ISBLANK('Data Entry'!$ħ$177), "", 'Data Entry'!$ħ$177)</f>
      </c>
      <c r="HX177">
        <f>IF(ISBLANK('Data Entry'!$Ĩ$177), "", 'Data Entry'!$Ĩ$177)</f>
      </c>
      <c r="HY177">
        <f>IF(ISBLANK('Data Entry'!$ĩ$177), "", 'Data Entry'!$ĩ$177)</f>
      </c>
      <c r="HZ177">
        <f>IF(ISBLANK('Data Entry'!$Ī$177), "", 'Data Entry'!$Ī$177)</f>
      </c>
      <c r="IA177">
        <f>IF(ISBLANK('Data Entry'!$ī$177), "", 'Data Entry'!$ī$177)</f>
      </c>
      <c r="IB177">
        <f>IF(ISBLANK('Data Entry'!$Ĭ$177), "", 'Data Entry'!$Ĭ$177)</f>
      </c>
      <c r="IC177">
        <f>IF(ISBLANK('Data Entry'!$ĭ$177), "", 'Data Entry'!$ĭ$177)</f>
      </c>
      <c r="ID177">
        <f>IF(ISBLANK('Data Entry'!$Į$177), "", 'Data Entry'!$Į$177)</f>
      </c>
      <c r="IE177">
        <f>IF(ISBLANK('Data Entry'!$į$177), "", 'Data Entry'!$į$177)</f>
      </c>
      <c r="IF177">
        <f>IF(ISBLANK('Data Entry'!$İ$177), "", 'Data Entry'!$İ$177)</f>
      </c>
      <c r="IG177">
        <f>IF(ISBLANK('Data Entry'!$ı$177), "", 'Data Entry'!$ı$177)</f>
      </c>
      <c r="IH177">
        <f>IF(ISBLANK('Data Entry'!$Ĳ$177), "", 'Data Entry'!$Ĳ$177)</f>
      </c>
      <c r="II177">
        <f>IF(ISBLANK('Data Entry'!$ĳ$177), "", 'Data Entry'!$ĳ$177)</f>
      </c>
      <c r="IJ177">
        <f>IF(ISBLANK('Data Entry'!$Ĵ$177), "", 'Data Entry'!$Ĵ$177)</f>
      </c>
      <c r="IK177">
        <f>IF(ISBLANK('Data Entry'!$ĵ$177), "", 'Data Entry'!$ĵ$177)</f>
      </c>
      <c r="IL177">
        <f>IF(ISBLANK('Data Entry'!$Ķ$177), "", 'Data Entry'!$Ķ$177)</f>
      </c>
      <c r="IM177">
        <f>IF(ISBLANK('Data Entry'!$ķ$177), "", 'Data Entry'!$ķ$177)</f>
      </c>
      <c r="IN177">
        <f>IF(ISBLANK('Data Entry'!$ĸ$177), "", 'Data Entry'!$ĸ$177)</f>
      </c>
      <c r="IO177">
        <f>IF(ISBLANK('Data Entry'!$Ĺ$177), "", 'Data Entry'!$Ĺ$177)</f>
      </c>
      <c r="IP177">
        <f>IF(ISBLANK('Data Entry'!$ĺ$177), "", 'Data Entry'!$ĺ$177)</f>
      </c>
      <c r="IQ177">
        <f>IF(ISBLANK('Data Entry'!$Ļ$177), "", 'Data Entry'!$Ļ$177)</f>
      </c>
      <c r="IR177">
        <f>IF(ISBLANK('Data Entry'!$ļ$177), "", 'Data Entry'!$ļ$177)</f>
      </c>
      <c r="IS177">
        <f>IF(ISBLANK('Data Entry'!$Ľ$177), "", 'Data Entry'!$Ľ$177)</f>
      </c>
      <c r="IT177">
        <f>IF(ISBLANK('Data Entry'!$ľ$177), "", 'Data Entry'!$ľ$177)</f>
      </c>
    </row>
    <row r="178" spans="1:254" x14ac:dyDescent="0.25">
      <c r="A178">
        <f>IF(ISBLANK('Data Entry'!$A$178), "", 'Data Entry'!$A$178)</f>
      </c>
      <c r="B178">
        <f>IF(ISBLANK('Data Entry'!$B$178), "", 'Data Entry'!$B$178)</f>
      </c>
      <c r="C178">
        <f>IF(ISBLANK('Data Entry'!$C$178), "", 'Data Entry'!$C$178)</f>
      </c>
      <c r="D178">
        <f>IF(ISBLANK('Data Entry'!$D$178), "", 'Data Entry'!$D$178)</f>
      </c>
      <c r="E178">
        <f>IF(ISBLANK('Data Entry'!$E$178), "", 'Data Entry'!$E$178)</f>
      </c>
      <c r="F178">
        <f>IF(ISBLANK('Data Entry'!$F$178), "", 'Data Entry'!$F$178)</f>
      </c>
      <c r="G178">
        <f>IF(ISBLANK('Data Entry'!$G$178), "", 'Data Entry'!$G$178)</f>
      </c>
      <c r="H178">
        <f>IF(ISBLANK('Data Entry'!$H$178), "", 'Data Entry'!$H$178)</f>
      </c>
      <c r="I178">
        <f>IF(ISBLANK('Data Entry'!$I$178), "", 'Data Entry'!$I$178)</f>
      </c>
      <c r="J178">
        <f>IF(ISBLANK('Data Entry'!$J$178), "", 'Data Entry'!$J$178)</f>
      </c>
      <c r="K178">
        <f>IF(ISBLANK('Data Entry'!$K$178), "", 'Data Entry'!$K$178)</f>
      </c>
      <c r="L178">
        <f>IF(ISBLANK('Data Entry'!$L$178), "", 'Data Entry'!$L$178)</f>
      </c>
      <c r="M178">
        <f>IF(ISBLANK('Data Entry'!$M$178), "", 'Data Entry'!$M$178)</f>
      </c>
      <c r="N178">
        <f>IF(ISBLANK('Data Entry'!$N$178), "", 'Data Entry'!$N$178)</f>
      </c>
      <c r="O178">
        <f>IF(ISBLANK('Data Entry'!$O$178), "", 'Data Entry'!$O$178)</f>
      </c>
      <c r="P178">
        <f>IF(ISBLANK('Data Entry'!$P$178), "", 'Data Entry'!$P$178)</f>
      </c>
      <c r="Q178">
        <f>IF(ISBLANK('Data Entry'!$Q$178), "", 'Data Entry'!$Q$178)</f>
      </c>
      <c r="R178">
        <f>IF(ISBLANK('Data Entry'!$R$178), "", 'Data Entry'!$R$178)</f>
      </c>
      <c r="S178">
        <f>IF(ISBLANK('Data Entry'!$S$178), "", 'Data Entry'!$S$178)</f>
      </c>
      <c r="T178">
        <f>IF(ISBLANK('Data Entry'!$T$178), "", 'Data Entry'!$T$178)</f>
      </c>
      <c r="U178">
        <f>IF(ISBLANK('Data Entry'!$U$178), "", 'Data Entry'!$U$178)</f>
      </c>
      <c r="V178">
        <f>IF(ISBLANK('Data Entry'!$V$178), "", 'Data Entry'!$V$178)</f>
      </c>
      <c r="W178">
        <f>IF(ISBLANK('Data Entry'!$W$178), "", 'Data Entry'!$W$178)</f>
      </c>
      <c r="X178">
        <f>IF(ISBLANK('Data Entry'!$X$178), "", 'Data Entry'!$X$178)</f>
      </c>
      <c r="Y178">
        <f>IF(ISBLANK('Data Entry'!$Y$178), "", 'Data Entry'!$Y$178)</f>
      </c>
      <c r="Z178">
        <f>IF(ISBLANK('Data Entry'!$Z$178), "", 'Data Entry'!$Z$178)</f>
      </c>
      <c r="AA178">
        <f>IF(ISBLANK('Data Entry'!$[$178), "", 'Data Entry'!$[$178)</f>
      </c>
      <c r="AB178">
        <f>IF(ISBLANK('Data Entry'!$\$178), "", 'Data Entry'!$\$178)</f>
      </c>
      <c r="AC178">
        <f>IF(ISBLANK('Data Entry'!$]$178), "", 'Data Entry'!$]$178)</f>
      </c>
      <c r="AD178">
        <f>IF(ISBLANK('Data Entry'!$^$178), "", 'Data Entry'!$^$178)</f>
      </c>
      <c r="AE178">
        <f>IF(ISBLANK('Data Entry'!$_$178), "", 'Data Entry'!$_$178)</f>
      </c>
      <c r="AF178">
        <f>IF(ISBLANK('Data Entry'!$`$178), "", 'Data Entry'!$`$178)</f>
      </c>
      <c r="AG178">
        <f>IF(ISBLANK('Data Entry'!$a$178), "", 'Data Entry'!$a$178)</f>
      </c>
      <c r="AH178">
        <f>IF(ISBLANK('Data Entry'!$b$178), "", 'Data Entry'!$b$178)</f>
      </c>
      <c r="AI178">
        <f>IF(ISBLANK('Data Entry'!$c$178), "", 'Data Entry'!$c$178)</f>
      </c>
      <c r="AJ178">
        <f>IF(ISBLANK('Data Entry'!$d$178), "", 'Data Entry'!$d$178)</f>
      </c>
      <c r="AK178">
        <f>IF(ISBLANK('Data Entry'!$e$178), "", 'Data Entry'!$e$178)</f>
      </c>
      <c r="AL178">
        <f>IF(ISBLANK('Data Entry'!$f$178), "", 'Data Entry'!$f$178)</f>
      </c>
      <c r="AM178">
        <f>IF(ISBLANK('Data Entry'!$g$178), "", 'Data Entry'!$g$178)</f>
      </c>
      <c r="AN178">
        <f>IF(ISBLANK('Data Entry'!$h$178), "", 'Data Entry'!$h$178)</f>
      </c>
      <c r="AO178">
        <f>IF(ISBLANK('Data Entry'!$i$178), "", 'Data Entry'!$i$178)</f>
      </c>
      <c r="AP178">
        <f>IF(ISBLANK('Data Entry'!$j$178), "", 'Data Entry'!$j$178)</f>
      </c>
      <c r="AQ178">
        <f>IF(ISBLANK('Data Entry'!$k$178), "", 'Data Entry'!$k$178)</f>
      </c>
      <c r="AR178">
        <f>IF(ISBLANK('Data Entry'!$l$178), "", 'Data Entry'!$l$178)</f>
      </c>
      <c r="AS178">
        <f>IF(ISBLANK('Data Entry'!$m$178), "", 'Data Entry'!$m$178)</f>
      </c>
      <c r="AT178">
        <f>IF(ISBLANK('Data Entry'!$n$178), "", 'Data Entry'!$n$178)</f>
      </c>
      <c r="AU178">
        <f>IF(ISBLANK('Data Entry'!$o$178), "", 'Data Entry'!$o$178)</f>
      </c>
      <c r="AV178">
        <f>IF(ISBLANK('Data Entry'!$p$178), "", 'Data Entry'!$p$178)</f>
      </c>
      <c r="AW178">
        <f>IF(ISBLANK('Data Entry'!$q$178), "", 'Data Entry'!$q$178)</f>
      </c>
      <c r="AX178">
        <f>IF(ISBLANK('Data Entry'!$r$178), "", 'Data Entry'!$r$178)</f>
      </c>
      <c r="AY178">
        <f>IF(ISBLANK('Data Entry'!$s$178), "", 'Data Entry'!$s$178)</f>
      </c>
      <c r="AZ178">
        <f>IF(ISBLANK('Data Entry'!$t$178), "", 'Data Entry'!$t$178)</f>
      </c>
      <c r="BA178">
        <f>IF(ISBLANK('Data Entry'!$u$178), "", 'Data Entry'!$u$178)</f>
      </c>
      <c r="BB178">
        <f>IF(ISBLANK('Data Entry'!$v$178), "", 'Data Entry'!$v$178)</f>
      </c>
      <c r="BC178">
        <f>IF(ISBLANK('Data Entry'!$w$178), "", 'Data Entry'!$w$178)</f>
      </c>
      <c r="BD178">
        <f>IF(ISBLANK('Data Entry'!$x$178), "", 'Data Entry'!$x$178)</f>
      </c>
      <c r="BE178">
        <f>IF(ISBLANK('Data Entry'!$y$178), "", 'Data Entry'!$y$178)</f>
      </c>
      <c r="BF178">
        <f>IF(ISBLANK('Data Entry'!$z$178), "", 'Data Entry'!$z$178)</f>
      </c>
      <c r="BG178">
        <f>IF(ISBLANK('Data Entry'!${$178), "", 'Data Entry'!${$178)</f>
      </c>
      <c r="BH178">
        <f>IF(ISBLANK('Data Entry'!$|$178), "", 'Data Entry'!$|$178)</f>
      </c>
      <c r="BI178">
        <f>IF(ISBLANK('Data Entry'!$}$178), "", 'Data Entry'!$}$178)</f>
      </c>
      <c r="BJ178">
        <f>IF(ISBLANK('Data Entry'!$~$178), "", 'Data Entry'!$~$178)</f>
      </c>
      <c r="BK178">
        <f>IF(ISBLANK('Data Entry'!$$178), "", 'Data Entry'!$$178)</f>
      </c>
      <c r="BL178">
        <f>IF(ISBLANK('Data Entry'!$$178), "", 'Data Entry'!$$178)</f>
      </c>
      <c r="BM178">
        <f>IF(ISBLANK('Data Entry'!$$178), "", 'Data Entry'!$$178)</f>
      </c>
      <c r="BN178">
        <f>IF(ISBLANK('Data Entry'!$$178), "", 'Data Entry'!$$178)</f>
      </c>
      <c r="BO178">
        <f>IF(ISBLANK('Data Entry'!$$178), "", 'Data Entry'!$$178)</f>
      </c>
      <c r="BP178">
        <f>IF(ISBLANK('Data Entry'!$$178), "", 'Data Entry'!$$178)</f>
      </c>
      <c r="BQ178">
        <f>IF(ISBLANK('Data Entry'!$$178), "", 'Data Entry'!$$178)</f>
      </c>
      <c r="BR178">
        <f>IF(ISBLANK('Data Entry'!$$178), "", 'Data Entry'!$$178)</f>
      </c>
      <c r="BS178">
        <f>IF(ISBLANK('Data Entry'!$$178), "", 'Data Entry'!$$178)</f>
      </c>
      <c r="BT178">
        <f>IF(ISBLANK('Data Entry'!$$178), "", 'Data Entry'!$$178)</f>
      </c>
      <c r="BU178">
        <f>IF(ISBLANK('Data Entry'!$$178), "", 'Data Entry'!$$178)</f>
      </c>
      <c r="BV178">
        <f>IF(ISBLANK('Data Entry'!$$178), "", 'Data Entry'!$$178)</f>
      </c>
      <c r="BW178">
        <f>IF(ISBLANK('Data Entry'!$$178), "", 'Data Entry'!$$178)</f>
      </c>
      <c r="BX178">
        <f>IF(ISBLANK('Data Entry'!$$178), "", 'Data Entry'!$$178)</f>
      </c>
      <c r="BY178">
        <f>IF(ISBLANK('Data Entry'!$$178), "", 'Data Entry'!$$178)</f>
      </c>
      <c r="BZ178">
        <f>IF(ISBLANK('Data Entry'!$$178), "", 'Data Entry'!$$178)</f>
      </c>
      <c r="CA178">
        <f>IF(ISBLANK('Data Entry'!$$178), "", 'Data Entry'!$$178)</f>
      </c>
      <c r="CB178">
        <f>IF(ISBLANK('Data Entry'!$$178), "", 'Data Entry'!$$178)</f>
      </c>
      <c r="CC178">
        <f>IF(ISBLANK('Data Entry'!$$178), "", 'Data Entry'!$$178)</f>
      </c>
      <c r="CD178">
        <f>IF(ISBLANK('Data Entry'!$$178), "", 'Data Entry'!$$178)</f>
      </c>
      <c r="CE178">
        <f>IF(ISBLANK('Data Entry'!$$178), "", 'Data Entry'!$$178)</f>
      </c>
      <c r="CF178">
        <f>IF(ISBLANK('Data Entry'!$$178), "", 'Data Entry'!$$178)</f>
      </c>
      <c r="CG178">
        <f>IF(ISBLANK('Data Entry'!$$178), "", 'Data Entry'!$$178)</f>
      </c>
      <c r="CH178">
        <f>IF(ISBLANK('Data Entry'!$$178), "", 'Data Entry'!$$178)</f>
      </c>
      <c r="CI178">
        <f>IF(ISBLANK('Data Entry'!$$178), "", 'Data Entry'!$$178)</f>
      </c>
      <c r="CJ178">
        <f>IF(ISBLANK('Data Entry'!$$178), "", 'Data Entry'!$$178)</f>
      </c>
      <c r="CK178">
        <f>IF(ISBLANK('Data Entry'!$$178), "", 'Data Entry'!$$178)</f>
      </c>
      <c r="CL178">
        <f>IF(ISBLANK('Data Entry'!$$178), "", 'Data Entry'!$$178)</f>
      </c>
      <c r="CM178">
        <f>IF(ISBLANK('Data Entry'!$$178), "", 'Data Entry'!$$178)</f>
      </c>
      <c r="CN178">
        <f>IF(ISBLANK('Data Entry'!$$178), "", 'Data Entry'!$$178)</f>
      </c>
      <c r="CO178">
        <f>IF(ISBLANK('Data Entry'!$$178), "", 'Data Entry'!$$178)</f>
      </c>
      <c r="CP178">
        <f>IF(ISBLANK('Data Entry'!$$178), "", 'Data Entry'!$$178)</f>
      </c>
      <c r="CQ178">
        <f>IF(ISBLANK('Data Entry'!$$178), "", 'Data Entry'!$$178)</f>
      </c>
      <c r="CR178">
        <f>IF(ISBLANK('Data Entry'!$ $178), "", 'Data Entry'!$ $178)</f>
      </c>
      <c r="CS178">
        <f>IF(ISBLANK('Data Entry'!$¡$178), "", 'Data Entry'!$¡$178)</f>
      </c>
      <c r="CT178">
        <f>IF(ISBLANK('Data Entry'!$¢$178), "", 'Data Entry'!$¢$178)</f>
      </c>
      <c r="CU178">
        <f>IF(ISBLANK('Data Entry'!$£$178), "", 'Data Entry'!$£$178)</f>
      </c>
      <c r="CV178">
        <f>IF(ISBLANK('Data Entry'!$¤$178), "", 'Data Entry'!$¤$178)</f>
      </c>
      <c r="CW178">
        <f>IF(ISBLANK('Data Entry'!$¥$178), "", 'Data Entry'!$¥$178)</f>
      </c>
      <c r="CX178">
        <f>IF(ISBLANK('Data Entry'!$¦$178), "", 'Data Entry'!$¦$178)</f>
      </c>
      <c r="CY178">
        <f>IF(ISBLANK('Data Entry'!$§$178), "", 'Data Entry'!$§$178)</f>
      </c>
      <c r="CZ178">
        <f>IF(ISBLANK('Data Entry'!$¨$178), "", 'Data Entry'!$¨$178)</f>
      </c>
      <c r="DA178">
        <f>IF(ISBLANK('Data Entry'!$©$178), "", 'Data Entry'!$©$178)</f>
      </c>
      <c r="DB178">
        <f>IF(ISBLANK('Data Entry'!$ª$178), "", 'Data Entry'!$ª$178)</f>
      </c>
      <c r="DC178">
        <f>IF(ISBLANK('Data Entry'!$«$178), "", 'Data Entry'!$«$178)</f>
      </c>
      <c r="DD178">
        <f>IF(ISBLANK('Data Entry'!$¬$178), "", 'Data Entry'!$¬$178)</f>
      </c>
      <c r="DE178">
        <f>IF(ISBLANK('Data Entry'!$­$178), "", 'Data Entry'!$­$178)</f>
      </c>
      <c r="DF178">
        <f>IF(ISBLANK('Data Entry'!$®$178), "", 'Data Entry'!$®$178)</f>
      </c>
      <c r="DG178">
        <f>IF(ISBLANK('Data Entry'!$¯$178), "", 'Data Entry'!$¯$178)</f>
      </c>
      <c r="DH178">
        <f>IF(ISBLANK('Data Entry'!$°$178), "", 'Data Entry'!$°$178)</f>
      </c>
      <c r="DI178">
        <f>IF(ISBLANK('Data Entry'!$±$178), "", 'Data Entry'!$±$178)</f>
      </c>
      <c r="DJ178">
        <f>IF(ISBLANK('Data Entry'!$²$178), "", 'Data Entry'!$²$178)</f>
      </c>
      <c r="DK178">
        <f>IF(ISBLANK('Data Entry'!$³$178), "", 'Data Entry'!$³$178)</f>
      </c>
      <c r="DL178">
        <f>IF(ISBLANK('Data Entry'!$´$178), "", 'Data Entry'!$´$178)</f>
      </c>
      <c r="DM178">
        <f>IF(ISBLANK('Data Entry'!$µ$178), "", 'Data Entry'!$µ$178)</f>
      </c>
      <c r="DN178">
        <f>IF(ISBLANK('Data Entry'!$¶$178), "", 'Data Entry'!$¶$178)</f>
      </c>
      <c r="DO178">
        <f>IF(ISBLANK('Data Entry'!$·$178), "", 'Data Entry'!$·$178)</f>
      </c>
      <c r="DP178">
        <f>IF(ISBLANK('Data Entry'!$¸$178), "", 'Data Entry'!$¸$178)</f>
      </c>
      <c r="DQ178">
        <f>IF(ISBLANK('Data Entry'!$¹$178), "", 'Data Entry'!$¹$178)</f>
      </c>
      <c r="DR178">
        <f>IF(ISBLANK('Data Entry'!$º$178), "", 'Data Entry'!$º$178)</f>
      </c>
      <c r="DS178">
        <f>IF(ISBLANK('Data Entry'!$»$178), "", 'Data Entry'!$»$178)</f>
      </c>
      <c r="DT178">
        <f>IF(ISBLANK('Data Entry'!$¼$178), "", 'Data Entry'!$¼$178)</f>
      </c>
      <c r="DU178">
        <f>IF(ISBLANK('Data Entry'!$½$178), "", 'Data Entry'!$½$178)</f>
      </c>
      <c r="DV178">
        <f>IF(ISBLANK('Data Entry'!$¾$178), "", 'Data Entry'!$¾$178)</f>
      </c>
      <c r="DW178">
        <f>IF(ISBLANK('Data Entry'!$¿$178), "", 'Data Entry'!$¿$178)</f>
      </c>
      <c r="DX178">
        <f>IF(ISBLANK('Data Entry'!$À$178), "", 'Data Entry'!$À$178)</f>
      </c>
      <c r="DY178">
        <f>IF(ISBLANK('Data Entry'!$Á$178), "", 'Data Entry'!$Á$178)</f>
      </c>
      <c r="DZ178">
        <f>IF(ISBLANK('Data Entry'!$Â$178), "", 'Data Entry'!$Â$178)</f>
      </c>
      <c r="EA178">
        <f>IF(ISBLANK('Data Entry'!$Ã$178), "", 'Data Entry'!$Ã$178)</f>
      </c>
      <c r="EB178">
        <f>IF(ISBLANK('Data Entry'!$Ä$178), "", 'Data Entry'!$Ä$178)</f>
      </c>
      <c r="EC178">
        <f>IF(ISBLANK('Data Entry'!$Å$178), "", 'Data Entry'!$Å$178)</f>
      </c>
      <c r="ED178">
        <f>IF(ISBLANK('Data Entry'!$Æ$178), "", 'Data Entry'!$Æ$178)</f>
      </c>
      <c r="EE178">
        <f>IF(ISBLANK('Data Entry'!$Ç$178), "", 'Data Entry'!$Ç$178)</f>
      </c>
      <c r="EF178">
        <f>IF(ISBLANK('Data Entry'!$È$178), "", 'Data Entry'!$È$178)</f>
      </c>
      <c r="EG178">
        <f>IF(ISBLANK('Data Entry'!$É$178), "", 'Data Entry'!$É$178)</f>
      </c>
      <c r="EH178">
        <f>IF(ISBLANK('Data Entry'!$Ê$178), "", 'Data Entry'!$Ê$178)</f>
      </c>
      <c r="EI178">
        <f>IF(ISBLANK('Data Entry'!$Ë$178), "", 'Data Entry'!$Ë$178)</f>
      </c>
      <c r="EJ178">
        <f>IF(ISBLANK('Data Entry'!$Ì$178), "", 'Data Entry'!$Ì$178)</f>
      </c>
      <c r="EK178">
        <f>IF(ISBLANK('Data Entry'!$Í$178), "", 'Data Entry'!$Í$178)</f>
      </c>
      <c r="EL178">
        <f>IF(ISBLANK('Data Entry'!$Î$178), "", 'Data Entry'!$Î$178)</f>
      </c>
      <c r="EM178">
        <f>IF(ISBLANK('Data Entry'!$Ï$178), "", 'Data Entry'!$Ï$178)</f>
      </c>
      <c r="EN178">
        <f>IF(ISBLANK('Data Entry'!$Ð$178), "", 'Data Entry'!$Ð$178)</f>
      </c>
      <c r="EO178">
        <f>IF(ISBLANK('Data Entry'!$Ñ$178), "", 'Data Entry'!$Ñ$178)</f>
      </c>
      <c r="EP178">
        <f>IF(ISBLANK('Data Entry'!$Ò$178), "", 'Data Entry'!$Ò$178)</f>
      </c>
      <c r="EQ178">
        <f>IF(ISBLANK('Data Entry'!$Ó$178), "", 'Data Entry'!$Ó$178)</f>
      </c>
      <c r="ER178">
        <f>IF(ISBLANK('Data Entry'!$Ô$178), "", 'Data Entry'!$Ô$178)</f>
      </c>
      <c r="ES178">
        <f>IF(ISBLANK('Data Entry'!$Õ$178), "", 'Data Entry'!$Õ$178)</f>
      </c>
      <c r="ET178">
        <f>IF(ISBLANK('Data Entry'!$Ö$178), "", 'Data Entry'!$Ö$178)</f>
      </c>
      <c r="EU178">
        <f>IF(ISBLANK('Data Entry'!$×$178), "", 'Data Entry'!$×$178)</f>
      </c>
      <c r="EV178">
        <f>IF(ISBLANK('Data Entry'!$Ø$178), "", 'Data Entry'!$Ø$178)</f>
      </c>
      <c r="EW178">
        <f>IF(ISBLANK('Data Entry'!$Ù$178), "", 'Data Entry'!$Ù$178)</f>
      </c>
      <c r="EX178">
        <f>IF(ISBLANK('Data Entry'!$Ú$178), "", 'Data Entry'!$Ú$178)</f>
      </c>
      <c r="EY178">
        <f>IF(ISBLANK('Data Entry'!$Û$178), "", 'Data Entry'!$Û$178)</f>
      </c>
      <c r="EZ178">
        <f>IF(ISBLANK('Data Entry'!$Ü$178), "", 'Data Entry'!$Ü$178)</f>
      </c>
      <c r="FA178">
        <f>IF(ISBLANK('Data Entry'!$Ý$178), "", 'Data Entry'!$Ý$178)</f>
      </c>
      <c r="FB178">
        <f>IF(ISBLANK('Data Entry'!$Þ$178), "", 'Data Entry'!$Þ$178)</f>
      </c>
      <c r="FC178">
        <f>IF(ISBLANK('Data Entry'!$ß$178), "", 'Data Entry'!$ß$178)</f>
      </c>
      <c r="FD178">
        <f>IF(ISBLANK('Data Entry'!$à$178), "", 'Data Entry'!$à$178)</f>
      </c>
      <c r="FE178">
        <f>IF(ISBLANK('Data Entry'!$á$178), "", 'Data Entry'!$á$178)</f>
      </c>
      <c r="FF178">
        <f>IF(ISBLANK('Data Entry'!$â$178), "", 'Data Entry'!$â$178)</f>
      </c>
      <c r="FG178">
        <f>IF(ISBLANK('Data Entry'!$ã$178), "", 'Data Entry'!$ã$178)</f>
      </c>
      <c r="FH178">
        <f>IF(ISBLANK('Data Entry'!$ä$178), "", 'Data Entry'!$ä$178)</f>
      </c>
      <c r="FI178">
        <f>IF(ISBLANK('Data Entry'!$å$178), "", 'Data Entry'!$å$178)</f>
      </c>
      <c r="FJ178">
        <f>IF(ISBLANK('Data Entry'!$æ$178), "", 'Data Entry'!$æ$178)</f>
      </c>
      <c r="FK178">
        <f>IF(ISBLANK('Data Entry'!$ç$178), "", 'Data Entry'!$ç$178)</f>
      </c>
      <c r="FL178">
        <f>IF(ISBLANK('Data Entry'!$è$178), "", 'Data Entry'!$è$178)</f>
      </c>
      <c r="FM178">
        <f>IF(ISBLANK('Data Entry'!$é$178), "", 'Data Entry'!$é$178)</f>
      </c>
      <c r="FN178">
        <f>IF(ISBLANK('Data Entry'!$ê$178), "", 'Data Entry'!$ê$178)</f>
      </c>
      <c r="FO178">
        <f>IF(ISBLANK('Data Entry'!$ë$178), "", 'Data Entry'!$ë$178)</f>
      </c>
      <c r="FP178">
        <f>IF(ISBLANK('Data Entry'!$ì$178), "", 'Data Entry'!$ì$178)</f>
      </c>
      <c r="FQ178">
        <f>IF(ISBLANK('Data Entry'!$í$178), "", 'Data Entry'!$í$178)</f>
      </c>
      <c r="FR178">
        <f>IF(ISBLANK('Data Entry'!$î$178), "", 'Data Entry'!$î$178)</f>
      </c>
      <c r="FS178">
        <f>IF(ISBLANK('Data Entry'!$ï$178), "", 'Data Entry'!$ï$178)</f>
      </c>
      <c r="FT178">
        <f>IF(ISBLANK('Data Entry'!$ð$178), "", 'Data Entry'!$ð$178)</f>
      </c>
      <c r="FU178">
        <f>IF(ISBLANK('Data Entry'!$ñ$178), "", 'Data Entry'!$ñ$178)</f>
      </c>
      <c r="FV178">
        <f>IF(ISBLANK('Data Entry'!$ò$178), "", 'Data Entry'!$ò$178)</f>
      </c>
      <c r="FW178">
        <f>IF(ISBLANK('Data Entry'!$ó$178), "", 'Data Entry'!$ó$178)</f>
      </c>
      <c r="FX178">
        <f>IF(ISBLANK('Data Entry'!$ô$178), "", 'Data Entry'!$ô$178)</f>
      </c>
      <c r="FY178">
        <f>IF(ISBLANK('Data Entry'!$õ$178), "", 'Data Entry'!$õ$178)</f>
      </c>
      <c r="FZ178">
        <f>IF(ISBLANK('Data Entry'!$ö$178), "", 'Data Entry'!$ö$178)</f>
      </c>
      <c r="GA178">
        <f>IF(ISBLANK('Data Entry'!$÷$178), "", 'Data Entry'!$÷$178)</f>
      </c>
      <c r="GB178">
        <f>IF(ISBLANK('Data Entry'!$ø$178), "", 'Data Entry'!$ø$178)</f>
      </c>
      <c r="GC178">
        <f>IF(ISBLANK('Data Entry'!$ù$178), "", 'Data Entry'!$ù$178)</f>
      </c>
      <c r="GD178">
        <f>IF(ISBLANK('Data Entry'!$ú$178), "", 'Data Entry'!$ú$178)</f>
      </c>
      <c r="GE178">
        <f>IF(ISBLANK('Data Entry'!$û$178), "", 'Data Entry'!$û$178)</f>
      </c>
      <c r="GF178">
        <f>IF(ISBLANK('Data Entry'!$ü$178), "", 'Data Entry'!$ü$178)</f>
      </c>
      <c r="GG178">
        <f>IF(ISBLANK('Data Entry'!$ý$178), "", 'Data Entry'!$ý$178)</f>
      </c>
      <c r="GH178">
        <f>IF(ISBLANK('Data Entry'!$þ$178), "", 'Data Entry'!$þ$178)</f>
      </c>
      <c r="GI178">
        <f>IF(ISBLANK('Data Entry'!$ÿ$178), "", 'Data Entry'!$ÿ$178)</f>
      </c>
      <c r="GJ178">
        <f>IF(ISBLANK('Data Entry'!$Ā$178), "", 'Data Entry'!$Ā$178)</f>
      </c>
      <c r="GK178">
        <f>IF(ISBLANK('Data Entry'!$ā$178), "", 'Data Entry'!$ā$178)</f>
      </c>
      <c r="GL178">
        <f>IF(ISBLANK('Data Entry'!$Ă$178), "", 'Data Entry'!$Ă$178)</f>
      </c>
      <c r="GM178">
        <f>IF(ISBLANK('Data Entry'!$ă$178), "", 'Data Entry'!$ă$178)</f>
      </c>
      <c r="GN178">
        <f>IF(ISBLANK('Data Entry'!$Ą$178), "", 'Data Entry'!$Ą$178)</f>
      </c>
      <c r="GO178">
        <f>IF(ISBLANK('Data Entry'!$ą$178), "", 'Data Entry'!$ą$178)</f>
      </c>
      <c r="GP178">
        <f>IF(ISBLANK('Data Entry'!$Ć$178), "", 'Data Entry'!$Ć$178)</f>
      </c>
      <c r="GQ178">
        <f>IF(ISBLANK('Data Entry'!$ć$178), "", 'Data Entry'!$ć$178)</f>
      </c>
      <c r="GR178">
        <f>IF(ISBLANK('Data Entry'!$Ĉ$178), "", 'Data Entry'!$Ĉ$178)</f>
      </c>
      <c r="GS178">
        <f>IF(ISBLANK('Data Entry'!$ĉ$178), "", 'Data Entry'!$ĉ$178)</f>
      </c>
      <c r="GT178">
        <f>IF(ISBLANK('Data Entry'!$Ċ$178), "", 'Data Entry'!$Ċ$178)</f>
      </c>
      <c r="GU178">
        <f>IF(ISBLANK('Data Entry'!$ċ$178), "", 'Data Entry'!$ċ$178)</f>
      </c>
      <c r="GV178">
        <f>IF(ISBLANK('Data Entry'!$Č$178), "", 'Data Entry'!$Č$178)</f>
      </c>
      <c r="GW178">
        <f>IF(ISBLANK('Data Entry'!$č$178), "", 'Data Entry'!$č$178)</f>
      </c>
      <c r="GX178">
        <f>IF(ISBLANK('Data Entry'!$Ď$178), "", 'Data Entry'!$Ď$178)</f>
      </c>
      <c r="GY178">
        <f>IF(ISBLANK('Data Entry'!$ď$178), "", 'Data Entry'!$ď$178)</f>
      </c>
      <c r="GZ178">
        <f>IF(ISBLANK('Data Entry'!$Đ$178), "", 'Data Entry'!$Đ$178)</f>
      </c>
      <c r="HA178">
        <f>IF(ISBLANK('Data Entry'!$đ$178), "", 'Data Entry'!$đ$178)</f>
      </c>
      <c r="HB178">
        <f>IF(ISBLANK('Data Entry'!$Ē$178), "", 'Data Entry'!$Ē$178)</f>
      </c>
      <c r="HC178">
        <f>IF(ISBLANK('Data Entry'!$ē$178), "", 'Data Entry'!$ē$178)</f>
      </c>
      <c r="HD178">
        <f>IF(ISBLANK('Data Entry'!$Ĕ$178), "", 'Data Entry'!$Ĕ$178)</f>
      </c>
      <c r="HE178">
        <f>IF(ISBLANK('Data Entry'!$ĕ$178), "", 'Data Entry'!$ĕ$178)</f>
      </c>
      <c r="HF178">
        <f>IF(ISBLANK('Data Entry'!$Ė$178), "", 'Data Entry'!$Ė$178)</f>
      </c>
      <c r="HG178">
        <f>IF(ISBLANK('Data Entry'!$ė$178), "", 'Data Entry'!$ė$178)</f>
      </c>
      <c r="HH178">
        <f>IF(ISBLANK('Data Entry'!$Ę$178), "", 'Data Entry'!$Ę$178)</f>
      </c>
      <c r="HI178">
        <f>IF(ISBLANK('Data Entry'!$ę$178), "", 'Data Entry'!$ę$178)</f>
      </c>
      <c r="HJ178">
        <f>IF(ISBLANK('Data Entry'!$Ě$178), "", 'Data Entry'!$Ě$178)</f>
      </c>
      <c r="HK178">
        <f>IF(ISBLANK('Data Entry'!$ě$178), "", 'Data Entry'!$ě$178)</f>
      </c>
      <c r="HL178">
        <f>IF(ISBLANK('Data Entry'!$Ĝ$178), "", 'Data Entry'!$Ĝ$178)</f>
      </c>
      <c r="HM178">
        <f>IF(ISBLANK('Data Entry'!$ĝ$178), "", 'Data Entry'!$ĝ$178)</f>
      </c>
      <c r="HN178">
        <f>IF(ISBLANK('Data Entry'!$Ğ$178), "", 'Data Entry'!$Ğ$178)</f>
      </c>
      <c r="HO178">
        <f>IF(ISBLANK('Data Entry'!$ğ$178), "", 'Data Entry'!$ğ$178)</f>
      </c>
      <c r="HP178">
        <f>IF(ISBLANK('Data Entry'!$Ġ$178), "", 'Data Entry'!$Ġ$178)</f>
      </c>
      <c r="HQ178">
        <f>IF(ISBLANK('Data Entry'!$ġ$178), "", 'Data Entry'!$ġ$178)</f>
      </c>
      <c r="HR178">
        <f>IF(ISBLANK('Data Entry'!$Ģ$178), "", 'Data Entry'!$Ģ$178)</f>
      </c>
      <c r="HS178">
        <f>IF(ISBLANK('Data Entry'!$ģ$178), "", 'Data Entry'!$ģ$178)</f>
      </c>
      <c r="HT178">
        <f>IF(ISBLANK('Data Entry'!$Ĥ$178), "", 'Data Entry'!$Ĥ$178)</f>
      </c>
      <c r="HU178">
        <f>IF(ISBLANK('Data Entry'!$ĥ$178), "", 'Data Entry'!$ĥ$178)</f>
      </c>
      <c r="HV178">
        <f>IF(ISBLANK('Data Entry'!$Ħ$178), "", 'Data Entry'!$Ħ$178)</f>
      </c>
      <c r="HW178">
        <f>IF(ISBLANK('Data Entry'!$ħ$178), "", 'Data Entry'!$ħ$178)</f>
      </c>
      <c r="HX178">
        <f>IF(ISBLANK('Data Entry'!$Ĩ$178), "", 'Data Entry'!$Ĩ$178)</f>
      </c>
      <c r="HY178">
        <f>IF(ISBLANK('Data Entry'!$ĩ$178), "", 'Data Entry'!$ĩ$178)</f>
      </c>
      <c r="HZ178">
        <f>IF(ISBLANK('Data Entry'!$Ī$178), "", 'Data Entry'!$Ī$178)</f>
      </c>
      <c r="IA178">
        <f>IF(ISBLANK('Data Entry'!$ī$178), "", 'Data Entry'!$ī$178)</f>
      </c>
      <c r="IB178">
        <f>IF(ISBLANK('Data Entry'!$Ĭ$178), "", 'Data Entry'!$Ĭ$178)</f>
      </c>
      <c r="IC178">
        <f>IF(ISBLANK('Data Entry'!$ĭ$178), "", 'Data Entry'!$ĭ$178)</f>
      </c>
      <c r="ID178">
        <f>IF(ISBLANK('Data Entry'!$Į$178), "", 'Data Entry'!$Į$178)</f>
      </c>
      <c r="IE178">
        <f>IF(ISBLANK('Data Entry'!$į$178), "", 'Data Entry'!$į$178)</f>
      </c>
      <c r="IF178">
        <f>IF(ISBLANK('Data Entry'!$İ$178), "", 'Data Entry'!$İ$178)</f>
      </c>
      <c r="IG178">
        <f>IF(ISBLANK('Data Entry'!$ı$178), "", 'Data Entry'!$ı$178)</f>
      </c>
      <c r="IH178">
        <f>IF(ISBLANK('Data Entry'!$Ĳ$178), "", 'Data Entry'!$Ĳ$178)</f>
      </c>
      <c r="II178">
        <f>IF(ISBLANK('Data Entry'!$ĳ$178), "", 'Data Entry'!$ĳ$178)</f>
      </c>
      <c r="IJ178">
        <f>IF(ISBLANK('Data Entry'!$Ĵ$178), "", 'Data Entry'!$Ĵ$178)</f>
      </c>
      <c r="IK178">
        <f>IF(ISBLANK('Data Entry'!$ĵ$178), "", 'Data Entry'!$ĵ$178)</f>
      </c>
      <c r="IL178">
        <f>IF(ISBLANK('Data Entry'!$Ķ$178), "", 'Data Entry'!$Ķ$178)</f>
      </c>
      <c r="IM178">
        <f>IF(ISBLANK('Data Entry'!$ķ$178), "", 'Data Entry'!$ķ$178)</f>
      </c>
      <c r="IN178">
        <f>IF(ISBLANK('Data Entry'!$ĸ$178), "", 'Data Entry'!$ĸ$178)</f>
      </c>
      <c r="IO178">
        <f>IF(ISBLANK('Data Entry'!$Ĺ$178), "", 'Data Entry'!$Ĺ$178)</f>
      </c>
      <c r="IP178">
        <f>IF(ISBLANK('Data Entry'!$ĺ$178), "", 'Data Entry'!$ĺ$178)</f>
      </c>
      <c r="IQ178">
        <f>IF(ISBLANK('Data Entry'!$Ļ$178), "", 'Data Entry'!$Ļ$178)</f>
      </c>
      <c r="IR178">
        <f>IF(ISBLANK('Data Entry'!$ļ$178), "", 'Data Entry'!$ļ$178)</f>
      </c>
      <c r="IS178">
        <f>IF(ISBLANK('Data Entry'!$Ľ$178), "", 'Data Entry'!$Ľ$178)</f>
      </c>
      <c r="IT178">
        <f>IF(ISBLANK('Data Entry'!$ľ$178), "", 'Data Entry'!$ľ$178)</f>
      </c>
    </row>
    <row r="179" spans="1:254" x14ac:dyDescent="0.25">
      <c r="A179">
        <f>IF(ISBLANK('Data Entry'!$A$179), "", 'Data Entry'!$A$179)</f>
      </c>
      <c r="B179">
        <f>IF(ISBLANK('Data Entry'!$B$179), "", 'Data Entry'!$B$179)</f>
      </c>
      <c r="C179">
        <f>IF(ISBLANK('Data Entry'!$C$179), "", 'Data Entry'!$C$179)</f>
      </c>
      <c r="D179">
        <f>IF(ISBLANK('Data Entry'!$D$179), "", 'Data Entry'!$D$179)</f>
      </c>
      <c r="E179">
        <f>IF(ISBLANK('Data Entry'!$E$179), "", 'Data Entry'!$E$179)</f>
      </c>
      <c r="F179">
        <f>IF(ISBLANK('Data Entry'!$F$179), "", 'Data Entry'!$F$179)</f>
      </c>
      <c r="G179">
        <f>IF(ISBLANK('Data Entry'!$G$179), "", 'Data Entry'!$G$179)</f>
      </c>
      <c r="H179">
        <f>IF(ISBLANK('Data Entry'!$H$179), "", 'Data Entry'!$H$179)</f>
      </c>
      <c r="I179">
        <f>IF(ISBLANK('Data Entry'!$I$179), "", 'Data Entry'!$I$179)</f>
      </c>
      <c r="J179">
        <f>IF(ISBLANK('Data Entry'!$J$179), "", 'Data Entry'!$J$179)</f>
      </c>
      <c r="K179">
        <f>IF(ISBLANK('Data Entry'!$K$179), "", 'Data Entry'!$K$179)</f>
      </c>
      <c r="L179">
        <f>IF(ISBLANK('Data Entry'!$L$179), "", 'Data Entry'!$L$179)</f>
      </c>
      <c r="M179">
        <f>IF(ISBLANK('Data Entry'!$M$179), "", 'Data Entry'!$M$179)</f>
      </c>
      <c r="N179">
        <f>IF(ISBLANK('Data Entry'!$N$179), "", 'Data Entry'!$N$179)</f>
      </c>
      <c r="O179">
        <f>IF(ISBLANK('Data Entry'!$O$179), "", 'Data Entry'!$O$179)</f>
      </c>
      <c r="P179">
        <f>IF(ISBLANK('Data Entry'!$P$179), "", 'Data Entry'!$P$179)</f>
      </c>
      <c r="Q179">
        <f>IF(ISBLANK('Data Entry'!$Q$179), "", 'Data Entry'!$Q$179)</f>
      </c>
      <c r="R179">
        <f>IF(ISBLANK('Data Entry'!$R$179), "", 'Data Entry'!$R$179)</f>
      </c>
      <c r="S179">
        <f>IF(ISBLANK('Data Entry'!$S$179), "", 'Data Entry'!$S$179)</f>
      </c>
      <c r="T179">
        <f>IF(ISBLANK('Data Entry'!$T$179), "", 'Data Entry'!$T$179)</f>
      </c>
      <c r="U179">
        <f>IF(ISBLANK('Data Entry'!$U$179), "", 'Data Entry'!$U$179)</f>
      </c>
      <c r="V179">
        <f>IF(ISBLANK('Data Entry'!$V$179), "", 'Data Entry'!$V$179)</f>
      </c>
      <c r="W179">
        <f>IF(ISBLANK('Data Entry'!$W$179), "", 'Data Entry'!$W$179)</f>
      </c>
      <c r="X179">
        <f>IF(ISBLANK('Data Entry'!$X$179), "", 'Data Entry'!$X$179)</f>
      </c>
      <c r="Y179">
        <f>IF(ISBLANK('Data Entry'!$Y$179), "", 'Data Entry'!$Y$179)</f>
      </c>
      <c r="Z179">
        <f>IF(ISBLANK('Data Entry'!$Z$179), "", 'Data Entry'!$Z$179)</f>
      </c>
      <c r="AA179">
        <f>IF(ISBLANK('Data Entry'!$[$179), "", 'Data Entry'!$[$179)</f>
      </c>
      <c r="AB179">
        <f>IF(ISBLANK('Data Entry'!$\$179), "", 'Data Entry'!$\$179)</f>
      </c>
      <c r="AC179">
        <f>IF(ISBLANK('Data Entry'!$]$179), "", 'Data Entry'!$]$179)</f>
      </c>
      <c r="AD179">
        <f>IF(ISBLANK('Data Entry'!$^$179), "", 'Data Entry'!$^$179)</f>
      </c>
      <c r="AE179">
        <f>IF(ISBLANK('Data Entry'!$_$179), "", 'Data Entry'!$_$179)</f>
      </c>
      <c r="AF179">
        <f>IF(ISBLANK('Data Entry'!$`$179), "", 'Data Entry'!$`$179)</f>
      </c>
      <c r="AG179">
        <f>IF(ISBLANK('Data Entry'!$a$179), "", 'Data Entry'!$a$179)</f>
      </c>
      <c r="AH179">
        <f>IF(ISBLANK('Data Entry'!$b$179), "", 'Data Entry'!$b$179)</f>
      </c>
      <c r="AI179">
        <f>IF(ISBLANK('Data Entry'!$c$179), "", 'Data Entry'!$c$179)</f>
      </c>
      <c r="AJ179">
        <f>IF(ISBLANK('Data Entry'!$d$179), "", 'Data Entry'!$d$179)</f>
      </c>
      <c r="AK179">
        <f>IF(ISBLANK('Data Entry'!$e$179), "", 'Data Entry'!$e$179)</f>
      </c>
      <c r="AL179">
        <f>IF(ISBLANK('Data Entry'!$f$179), "", 'Data Entry'!$f$179)</f>
      </c>
      <c r="AM179">
        <f>IF(ISBLANK('Data Entry'!$g$179), "", 'Data Entry'!$g$179)</f>
      </c>
      <c r="AN179">
        <f>IF(ISBLANK('Data Entry'!$h$179), "", 'Data Entry'!$h$179)</f>
      </c>
      <c r="AO179">
        <f>IF(ISBLANK('Data Entry'!$i$179), "", 'Data Entry'!$i$179)</f>
      </c>
      <c r="AP179">
        <f>IF(ISBLANK('Data Entry'!$j$179), "", 'Data Entry'!$j$179)</f>
      </c>
      <c r="AQ179">
        <f>IF(ISBLANK('Data Entry'!$k$179), "", 'Data Entry'!$k$179)</f>
      </c>
      <c r="AR179">
        <f>IF(ISBLANK('Data Entry'!$l$179), "", 'Data Entry'!$l$179)</f>
      </c>
      <c r="AS179">
        <f>IF(ISBLANK('Data Entry'!$m$179), "", 'Data Entry'!$m$179)</f>
      </c>
      <c r="AT179">
        <f>IF(ISBLANK('Data Entry'!$n$179), "", 'Data Entry'!$n$179)</f>
      </c>
      <c r="AU179">
        <f>IF(ISBLANK('Data Entry'!$o$179), "", 'Data Entry'!$o$179)</f>
      </c>
      <c r="AV179">
        <f>IF(ISBLANK('Data Entry'!$p$179), "", 'Data Entry'!$p$179)</f>
      </c>
      <c r="AW179">
        <f>IF(ISBLANK('Data Entry'!$q$179), "", 'Data Entry'!$q$179)</f>
      </c>
      <c r="AX179">
        <f>IF(ISBLANK('Data Entry'!$r$179), "", 'Data Entry'!$r$179)</f>
      </c>
      <c r="AY179">
        <f>IF(ISBLANK('Data Entry'!$s$179), "", 'Data Entry'!$s$179)</f>
      </c>
      <c r="AZ179">
        <f>IF(ISBLANK('Data Entry'!$t$179), "", 'Data Entry'!$t$179)</f>
      </c>
      <c r="BA179">
        <f>IF(ISBLANK('Data Entry'!$u$179), "", 'Data Entry'!$u$179)</f>
      </c>
      <c r="BB179">
        <f>IF(ISBLANK('Data Entry'!$v$179), "", 'Data Entry'!$v$179)</f>
      </c>
      <c r="BC179">
        <f>IF(ISBLANK('Data Entry'!$w$179), "", 'Data Entry'!$w$179)</f>
      </c>
      <c r="BD179">
        <f>IF(ISBLANK('Data Entry'!$x$179), "", 'Data Entry'!$x$179)</f>
      </c>
      <c r="BE179">
        <f>IF(ISBLANK('Data Entry'!$y$179), "", 'Data Entry'!$y$179)</f>
      </c>
      <c r="BF179">
        <f>IF(ISBLANK('Data Entry'!$z$179), "", 'Data Entry'!$z$179)</f>
      </c>
      <c r="BG179">
        <f>IF(ISBLANK('Data Entry'!${$179), "", 'Data Entry'!${$179)</f>
      </c>
      <c r="BH179">
        <f>IF(ISBLANK('Data Entry'!$|$179), "", 'Data Entry'!$|$179)</f>
      </c>
      <c r="BI179">
        <f>IF(ISBLANK('Data Entry'!$}$179), "", 'Data Entry'!$}$179)</f>
      </c>
      <c r="BJ179">
        <f>IF(ISBLANK('Data Entry'!$~$179), "", 'Data Entry'!$~$179)</f>
      </c>
      <c r="BK179">
        <f>IF(ISBLANK('Data Entry'!$$179), "", 'Data Entry'!$$179)</f>
      </c>
      <c r="BL179">
        <f>IF(ISBLANK('Data Entry'!$$179), "", 'Data Entry'!$$179)</f>
      </c>
      <c r="BM179">
        <f>IF(ISBLANK('Data Entry'!$$179), "", 'Data Entry'!$$179)</f>
      </c>
      <c r="BN179">
        <f>IF(ISBLANK('Data Entry'!$$179), "", 'Data Entry'!$$179)</f>
      </c>
      <c r="BO179">
        <f>IF(ISBLANK('Data Entry'!$$179), "", 'Data Entry'!$$179)</f>
      </c>
      <c r="BP179">
        <f>IF(ISBLANK('Data Entry'!$$179), "", 'Data Entry'!$$179)</f>
      </c>
      <c r="BQ179">
        <f>IF(ISBLANK('Data Entry'!$$179), "", 'Data Entry'!$$179)</f>
      </c>
      <c r="BR179">
        <f>IF(ISBLANK('Data Entry'!$$179), "", 'Data Entry'!$$179)</f>
      </c>
      <c r="BS179">
        <f>IF(ISBLANK('Data Entry'!$$179), "", 'Data Entry'!$$179)</f>
      </c>
      <c r="BT179">
        <f>IF(ISBLANK('Data Entry'!$$179), "", 'Data Entry'!$$179)</f>
      </c>
      <c r="BU179">
        <f>IF(ISBLANK('Data Entry'!$$179), "", 'Data Entry'!$$179)</f>
      </c>
      <c r="BV179">
        <f>IF(ISBLANK('Data Entry'!$$179), "", 'Data Entry'!$$179)</f>
      </c>
      <c r="BW179">
        <f>IF(ISBLANK('Data Entry'!$$179), "", 'Data Entry'!$$179)</f>
      </c>
      <c r="BX179">
        <f>IF(ISBLANK('Data Entry'!$$179), "", 'Data Entry'!$$179)</f>
      </c>
      <c r="BY179">
        <f>IF(ISBLANK('Data Entry'!$$179), "", 'Data Entry'!$$179)</f>
      </c>
      <c r="BZ179">
        <f>IF(ISBLANK('Data Entry'!$$179), "", 'Data Entry'!$$179)</f>
      </c>
      <c r="CA179">
        <f>IF(ISBLANK('Data Entry'!$$179), "", 'Data Entry'!$$179)</f>
      </c>
      <c r="CB179">
        <f>IF(ISBLANK('Data Entry'!$$179), "", 'Data Entry'!$$179)</f>
      </c>
      <c r="CC179">
        <f>IF(ISBLANK('Data Entry'!$$179), "", 'Data Entry'!$$179)</f>
      </c>
      <c r="CD179">
        <f>IF(ISBLANK('Data Entry'!$$179), "", 'Data Entry'!$$179)</f>
      </c>
      <c r="CE179">
        <f>IF(ISBLANK('Data Entry'!$$179), "", 'Data Entry'!$$179)</f>
      </c>
      <c r="CF179">
        <f>IF(ISBLANK('Data Entry'!$$179), "", 'Data Entry'!$$179)</f>
      </c>
      <c r="CG179">
        <f>IF(ISBLANK('Data Entry'!$$179), "", 'Data Entry'!$$179)</f>
      </c>
      <c r="CH179">
        <f>IF(ISBLANK('Data Entry'!$$179), "", 'Data Entry'!$$179)</f>
      </c>
      <c r="CI179">
        <f>IF(ISBLANK('Data Entry'!$$179), "", 'Data Entry'!$$179)</f>
      </c>
      <c r="CJ179">
        <f>IF(ISBLANK('Data Entry'!$$179), "", 'Data Entry'!$$179)</f>
      </c>
      <c r="CK179">
        <f>IF(ISBLANK('Data Entry'!$$179), "", 'Data Entry'!$$179)</f>
      </c>
      <c r="CL179">
        <f>IF(ISBLANK('Data Entry'!$$179), "", 'Data Entry'!$$179)</f>
      </c>
      <c r="CM179">
        <f>IF(ISBLANK('Data Entry'!$$179), "", 'Data Entry'!$$179)</f>
      </c>
      <c r="CN179">
        <f>IF(ISBLANK('Data Entry'!$$179), "", 'Data Entry'!$$179)</f>
      </c>
      <c r="CO179">
        <f>IF(ISBLANK('Data Entry'!$$179), "", 'Data Entry'!$$179)</f>
      </c>
      <c r="CP179">
        <f>IF(ISBLANK('Data Entry'!$$179), "", 'Data Entry'!$$179)</f>
      </c>
      <c r="CQ179">
        <f>IF(ISBLANK('Data Entry'!$$179), "", 'Data Entry'!$$179)</f>
      </c>
      <c r="CR179">
        <f>IF(ISBLANK('Data Entry'!$ $179), "", 'Data Entry'!$ $179)</f>
      </c>
      <c r="CS179">
        <f>IF(ISBLANK('Data Entry'!$¡$179), "", 'Data Entry'!$¡$179)</f>
      </c>
      <c r="CT179">
        <f>IF(ISBLANK('Data Entry'!$¢$179), "", 'Data Entry'!$¢$179)</f>
      </c>
      <c r="CU179">
        <f>IF(ISBLANK('Data Entry'!$£$179), "", 'Data Entry'!$£$179)</f>
      </c>
      <c r="CV179">
        <f>IF(ISBLANK('Data Entry'!$¤$179), "", 'Data Entry'!$¤$179)</f>
      </c>
      <c r="CW179">
        <f>IF(ISBLANK('Data Entry'!$¥$179), "", 'Data Entry'!$¥$179)</f>
      </c>
      <c r="CX179">
        <f>IF(ISBLANK('Data Entry'!$¦$179), "", 'Data Entry'!$¦$179)</f>
      </c>
      <c r="CY179">
        <f>IF(ISBLANK('Data Entry'!$§$179), "", 'Data Entry'!$§$179)</f>
      </c>
      <c r="CZ179">
        <f>IF(ISBLANK('Data Entry'!$¨$179), "", 'Data Entry'!$¨$179)</f>
      </c>
      <c r="DA179">
        <f>IF(ISBLANK('Data Entry'!$©$179), "", 'Data Entry'!$©$179)</f>
      </c>
      <c r="DB179">
        <f>IF(ISBLANK('Data Entry'!$ª$179), "", 'Data Entry'!$ª$179)</f>
      </c>
      <c r="DC179">
        <f>IF(ISBLANK('Data Entry'!$«$179), "", 'Data Entry'!$«$179)</f>
      </c>
      <c r="DD179">
        <f>IF(ISBLANK('Data Entry'!$¬$179), "", 'Data Entry'!$¬$179)</f>
      </c>
      <c r="DE179">
        <f>IF(ISBLANK('Data Entry'!$­$179), "", 'Data Entry'!$­$179)</f>
      </c>
      <c r="DF179">
        <f>IF(ISBLANK('Data Entry'!$®$179), "", 'Data Entry'!$®$179)</f>
      </c>
      <c r="DG179">
        <f>IF(ISBLANK('Data Entry'!$¯$179), "", 'Data Entry'!$¯$179)</f>
      </c>
      <c r="DH179">
        <f>IF(ISBLANK('Data Entry'!$°$179), "", 'Data Entry'!$°$179)</f>
      </c>
      <c r="DI179">
        <f>IF(ISBLANK('Data Entry'!$±$179), "", 'Data Entry'!$±$179)</f>
      </c>
      <c r="DJ179">
        <f>IF(ISBLANK('Data Entry'!$²$179), "", 'Data Entry'!$²$179)</f>
      </c>
      <c r="DK179">
        <f>IF(ISBLANK('Data Entry'!$³$179), "", 'Data Entry'!$³$179)</f>
      </c>
      <c r="DL179">
        <f>IF(ISBLANK('Data Entry'!$´$179), "", 'Data Entry'!$´$179)</f>
      </c>
      <c r="DM179">
        <f>IF(ISBLANK('Data Entry'!$µ$179), "", 'Data Entry'!$µ$179)</f>
      </c>
      <c r="DN179">
        <f>IF(ISBLANK('Data Entry'!$¶$179), "", 'Data Entry'!$¶$179)</f>
      </c>
      <c r="DO179">
        <f>IF(ISBLANK('Data Entry'!$·$179), "", 'Data Entry'!$·$179)</f>
      </c>
      <c r="DP179">
        <f>IF(ISBLANK('Data Entry'!$¸$179), "", 'Data Entry'!$¸$179)</f>
      </c>
      <c r="DQ179">
        <f>IF(ISBLANK('Data Entry'!$¹$179), "", 'Data Entry'!$¹$179)</f>
      </c>
      <c r="DR179">
        <f>IF(ISBLANK('Data Entry'!$º$179), "", 'Data Entry'!$º$179)</f>
      </c>
      <c r="DS179">
        <f>IF(ISBLANK('Data Entry'!$»$179), "", 'Data Entry'!$»$179)</f>
      </c>
      <c r="DT179">
        <f>IF(ISBLANK('Data Entry'!$¼$179), "", 'Data Entry'!$¼$179)</f>
      </c>
      <c r="DU179">
        <f>IF(ISBLANK('Data Entry'!$½$179), "", 'Data Entry'!$½$179)</f>
      </c>
      <c r="DV179">
        <f>IF(ISBLANK('Data Entry'!$¾$179), "", 'Data Entry'!$¾$179)</f>
      </c>
      <c r="DW179">
        <f>IF(ISBLANK('Data Entry'!$¿$179), "", 'Data Entry'!$¿$179)</f>
      </c>
      <c r="DX179">
        <f>IF(ISBLANK('Data Entry'!$À$179), "", 'Data Entry'!$À$179)</f>
      </c>
      <c r="DY179">
        <f>IF(ISBLANK('Data Entry'!$Á$179), "", 'Data Entry'!$Á$179)</f>
      </c>
      <c r="DZ179">
        <f>IF(ISBLANK('Data Entry'!$Â$179), "", 'Data Entry'!$Â$179)</f>
      </c>
      <c r="EA179">
        <f>IF(ISBLANK('Data Entry'!$Ã$179), "", 'Data Entry'!$Ã$179)</f>
      </c>
      <c r="EB179">
        <f>IF(ISBLANK('Data Entry'!$Ä$179), "", 'Data Entry'!$Ä$179)</f>
      </c>
      <c r="EC179">
        <f>IF(ISBLANK('Data Entry'!$Å$179), "", 'Data Entry'!$Å$179)</f>
      </c>
      <c r="ED179">
        <f>IF(ISBLANK('Data Entry'!$Æ$179), "", 'Data Entry'!$Æ$179)</f>
      </c>
      <c r="EE179">
        <f>IF(ISBLANK('Data Entry'!$Ç$179), "", 'Data Entry'!$Ç$179)</f>
      </c>
      <c r="EF179">
        <f>IF(ISBLANK('Data Entry'!$È$179), "", 'Data Entry'!$È$179)</f>
      </c>
      <c r="EG179">
        <f>IF(ISBLANK('Data Entry'!$É$179), "", 'Data Entry'!$É$179)</f>
      </c>
      <c r="EH179">
        <f>IF(ISBLANK('Data Entry'!$Ê$179), "", 'Data Entry'!$Ê$179)</f>
      </c>
      <c r="EI179">
        <f>IF(ISBLANK('Data Entry'!$Ë$179), "", 'Data Entry'!$Ë$179)</f>
      </c>
      <c r="EJ179">
        <f>IF(ISBLANK('Data Entry'!$Ì$179), "", 'Data Entry'!$Ì$179)</f>
      </c>
      <c r="EK179">
        <f>IF(ISBLANK('Data Entry'!$Í$179), "", 'Data Entry'!$Í$179)</f>
      </c>
      <c r="EL179">
        <f>IF(ISBLANK('Data Entry'!$Î$179), "", 'Data Entry'!$Î$179)</f>
      </c>
      <c r="EM179">
        <f>IF(ISBLANK('Data Entry'!$Ï$179), "", 'Data Entry'!$Ï$179)</f>
      </c>
      <c r="EN179">
        <f>IF(ISBLANK('Data Entry'!$Ð$179), "", 'Data Entry'!$Ð$179)</f>
      </c>
      <c r="EO179">
        <f>IF(ISBLANK('Data Entry'!$Ñ$179), "", 'Data Entry'!$Ñ$179)</f>
      </c>
      <c r="EP179">
        <f>IF(ISBLANK('Data Entry'!$Ò$179), "", 'Data Entry'!$Ò$179)</f>
      </c>
      <c r="EQ179">
        <f>IF(ISBLANK('Data Entry'!$Ó$179), "", 'Data Entry'!$Ó$179)</f>
      </c>
      <c r="ER179">
        <f>IF(ISBLANK('Data Entry'!$Ô$179), "", 'Data Entry'!$Ô$179)</f>
      </c>
      <c r="ES179">
        <f>IF(ISBLANK('Data Entry'!$Õ$179), "", 'Data Entry'!$Õ$179)</f>
      </c>
      <c r="ET179">
        <f>IF(ISBLANK('Data Entry'!$Ö$179), "", 'Data Entry'!$Ö$179)</f>
      </c>
      <c r="EU179">
        <f>IF(ISBLANK('Data Entry'!$×$179), "", 'Data Entry'!$×$179)</f>
      </c>
      <c r="EV179">
        <f>IF(ISBLANK('Data Entry'!$Ø$179), "", 'Data Entry'!$Ø$179)</f>
      </c>
      <c r="EW179">
        <f>IF(ISBLANK('Data Entry'!$Ù$179), "", 'Data Entry'!$Ù$179)</f>
      </c>
      <c r="EX179">
        <f>IF(ISBLANK('Data Entry'!$Ú$179), "", 'Data Entry'!$Ú$179)</f>
      </c>
      <c r="EY179">
        <f>IF(ISBLANK('Data Entry'!$Û$179), "", 'Data Entry'!$Û$179)</f>
      </c>
      <c r="EZ179">
        <f>IF(ISBLANK('Data Entry'!$Ü$179), "", 'Data Entry'!$Ü$179)</f>
      </c>
      <c r="FA179">
        <f>IF(ISBLANK('Data Entry'!$Ý$179), "", 'Data Entry'!$Ý$179)</f>
      </c>
      <c r="FB179">
        <f>IF(ISBLANK('Data Entry'!$Þ$179), "", 'Data Entry'!$Þ$179)</f>
      </c>
      <c r="FC179">
        <f>IF(ISBLANK('Data Entry'!$ß$179), "", 'Data Entry'!$ß$179)</f>
      </c>
      <c r="FD179">
        <f>IF(ISBLANK('Data Entry'!$à$179), "", 'Data Entry'!$à$179)</f>
      </c>
      <c r="FE179">
        <f>IF(ISBLANK('Data Entry'!$á$179), "", 'Data Entry'!$á$179)</f>
      </c>
      <c r="FF179">
        <f>IF(ISBLANK('Data Entry'!$â$179), "", 'Data Entry'!$â$179)</f>
      </c>
      <c r="FG179">
        <f>IF(ISBLANK('Data Entry'!$ã$179), "", 'Data Entry'!$ã$179)</f>
      </c>
      <c r="FH179">
        <f>IF(ISBLANK('Data Entry'!$ä$179), "", 'Data Entry'!$ä$179)</f>
      </c>
      <c r="FI179">
        <f>IF(ISBLANK('Data Entry'!$å$179), "", 'Data Entry'!$å$179)</f>
      </c>
      <c r="FJ179">
        <f>IF(ISBLANK('Data Entry'!$æ$179), "", 'Data Entry'!$æ$179)</f>
      </c>
      <c r="FK179">
        <f>IF(ISBLANK('Data Entry'!$ç$179), "", 'Data Entry'!$ç$179)</f>
      </c>
      <c r="FL179">
        <f>IF(ISBLANK('Data Entry'!$è$179), "", 'Data Entry'!$è$179)</f>
      </c>
      <c r="FM179">
        <f>IF(ISBLANK('Data Entry'!$é$179), "", 'Data Entry'!$é$179)</f>
      </c>
      <c r="FN179">
        <f>IF(ISBLANK('Data Entry'!$ê$179), "", 'Data Entry'!$ê$179)</f>
      </c>
      <c r="FO179">
        <f>IF(ISBLANK('Data Entry'!$ë$179), "", 'Data Entry'!$ë$179)</f>
      </c>
      <c r="FP179">
        <f>IF(ISBLANK('Data Entry'!$ì$179), "", 'Data Entry'!$ì$179)</f>
      </c>
      <c r="FQ179">
        <f>IF(ISBLANK('Data Entry'!$í$179), "", 'Data Entry'!$í$179)</f>
      </c>
      <c r="FR179">
        <f>IF(ISBLANK('Data Entry'!$î$179), "", 'Data Entry'!$î$179)</f>
      </c>
      <c r="FS179">
        <f>IF(ISBLANK('Data Entry'!$ï$179), "", 'Data Entry'!$ï$179)</f>
      </c>
      <c r="FT179">
        <f>IF(ISBLANK('Data Entry'!$ð$179), "", 'Data Entry'!$ð$179)</f>
      </c>
      <c r="FU179">
        <f>IF(ISBLANK('Data Entry'!$ñ$179), "", 'Data Entry'!$ñ$179)</f>
      </c>
      <c r="FV179">
        <f>IF(ISBLANK('Data Entry'!$ò$179), "", 'Data Entry'!$ò$179)</f>
      </c>
      <c r="FW179">
        <f>IF(ISBLANK('Data Entry'!$ó$179), "", 'Data Entry'!$ó$179)</f>
      </c>
      <c r="FX179">
        <f>IF(ISBLANK('Data Entry'!$ô$179), "", 'Data Entry'!$ô$179)</f>
      </c>
      <c r="FY179">
        <f>IF(ISBLANK('Data Entry'!$õ$179), "", 'Data Entry'!$õ$179)</f>
      </c>
      <c r="FZ179">
        <f>IF(ISBLANK('Data Entry'!$ö$179), "", 'Data Entry'!$ö$179)</f>
      </c>
      <c r="GA179">
        <f>IF(ISBLANK('Data Entry'!$÷$179), "", 'Data Entry'!$÷$179)</f>
      </c>
      <c r="GB179">
        <f>IF(ISBLANK('Data Entry'!$ø$179), "", 'Data Entry'!$ø$179)</f>
      </c>
      <c r="GC179">
        <f>IF(ISBLANK('Data Entry'!$ù$179), "", 'Data Entry'!$ù$179)</f>
      </c>
      <c r="GD179">
        <f>IF(ISBLANK('Data Entry'!$ú$179), "", 'Data Entry'!$ú$179)</f>
      </c>
      <c r="GE179">
        <f>IF(ISBLANK('Data Entry'!$û$179), "", 'Data Entry'!$û$179)</f>
      </c>
      <c r="GF179">
        <f>IF(ISBLANK('Data Entry'!$ü$179), "", 'Data Entry'!$ü$179)</f>
      </c>
      <c r="GG179">
        <f>IF(ISBLANK('Data Entry'!$ý$179), "", 'Data Entry'!$ý$179)</f>
      </c>
      <c r="GH179">
        <f>IF(ISBLANK('Data Entry'!$þ$179), "", 'Data Entry'!$þ$179)</f>
      </c>
      <c r="GI179">
        <f>IF(ISBLANK('Data Entry'!$ÿ$179), "", 'Data Entry'!$ÿ$179)</f>
      </c>
      <c r="GJ179">
        <f>IF(ISBLANK('Data Entry'!$Ā$179), "", 'Data Entry'!$Ā$179)</f>
      </c>
      <c r="GK179">
        <f>IF(ISBLANK('Data Entry'!$ā$179), "", 'Data Entry'!$ā$179)</f>
      </c>
      <c r="GL179">
        <f>IF(ISBLANK('Data Entry'!$Ă$179), "", 'Data Entry'!$Ă$179)</f>
      </c>
      <c r="GM179">
        <f>IF(ISBLANK('Data Entry'!$ă$179), "", 'Data Entry'!$ă$179)</f>
      </c>
      <c r="GN179">
        <f>IF(ISBLANK('Data Entry'!$Ą$179), "", 'Data Entry'!$Ą$179)</f>
      </c>
      <c r="GO179">
        <f>IF(ISBLANK('Data Entry'!$ą$179), "", 'Data Entry'!$ą$179)</f>
      </c>
      <c r="GP179">
        <f>IF(ISBLANK('Data Entry'!$Ć$179), "", 'Data Entry'!$Ć$179)</f>
      </c>
      <c r="GQ179">
        <f>IF(ISBLANK('Data Entry'!$ć$179), "", 'Data Entry'!$ć$179)</f>
      </c>
      <c r="GR179">
        <f>IF(ISBLANK('Data Entry'!$Ĉ$179), "", 'Data Entry'!$Ĉ$179)</f>
      </c>
      <c r="GS179">
        <f>IF(ISBLANK('Data Entry'!$ĉ$179), "", 'Data Entry'!$ĉ$179)</f>
      </c>
      <c r="GT179">
        <f>IF(ISBLANK('Data Entry'!$Ċ$179), "", 'Data Entry'!$Ċ$179)</f>
      </c>
      <c r="GU179">
        <f>IF(ISBLANK('Data Entry'!$ċ$179), "", 'Data Entry'!$ċ$179)</f>
      </c>
      <c r="GV179">
        <f>IF(ISBLANK('Data Entry'!$Č$179), "", 'Data Entry'!$Č$179)</f>
      </c>
      <c r="GW179">
        <f>IF(ISBLANK('Data Entry'!$č$179), "", 'Data Entry'!$č$179)</f>
      </c>
      <c r="GX179">
        <f>IF(ISBLANK('Data Entry'!$Ď$179), "", 'Data Entry'!$Ď$179)</f>
      </c>
      <c r="GY179">
        <f>IF(ISBLANK('Data Entry'!$ď$179), "", 'Data Entry'!$ď$179)</f>
      </c>
      <c r="GZ179">
        <f>IF(ISBLANK('Data Entry'!$Đ$179), "", 'Data Entry'!$Đ$179)</f>
      </c>
      <c r="HA179">
        <f>IF(ISBLANK('Data Entry'!$đ$179), "", 'Data Entry'!$đ$179)</f>
      </c>
      <c r="HB179">
        <f>IF(ISBLANK('Data Entry'!$Ē$179), "", 'Data Entry'!$Ē$179)</f>
      </c>
      <c r="HC179">
        <f>IF(ISBLANK('Data Entry'!$ē$179), "", 'Data Entry'!$ē$179)</f>
      </c>
      <c r="HD179">
        <f>IF(ISBLANK('Data Entry'!$Ĕ$179), "", 'Data Entry'!$Ĕ$179)</f>
      </c>
      <c r="HE179">
        <f>IF(ISBLANK('Data Entry'!$ĕ$179), "", 'Data Entry'!$ĕ$179)</f>
      </c>
      <c r="HF179">
        <f>IF(ISBLANK('Data Entry'!$Ė$179), "", 'Data Entry'!$Ė$179)</f>
      </c>
      <c r="HG179">
        <f>IF(ISBLANK('Data Entry'!$ė$179), "", 'Data Entry'!$ė$179)</f>
      </c>
      <c r="HH179">
        <f>IF(ISBLANK('Data Entry'!$Ę$179), "", 'Data Entry'!$Ę$179)</f>
      </c>
      <c r="HI179">
        <f>IF(ISBLANK('Data Entry'!$ę$179), "", 'Data Entry'!$ę$179)</f>
      </c>
      <c r="HJ179">
        <f>IF(ISBLANK('Data Entry'!$Ě$179), "", 'Data Entry'!$Ě$179)</f>
      </c>
      <c r="HK179">
        <f>IF(ISBLANK('Data Entry'!$ě$179), "", 'Data Entry'!$ě$179)</f>
      </c>
      <c r="HL179">
        <f>IF(ISBLANK('Data Entry'!$Ĝ$179), "", 'Data Entry'!$Ĝ$179)</f>
      </c>
      <c r="HM179">
        <f>IF(ISBLANK('Data Entry'!$ĝ$179), "", 'Data Entry'!$ĝ$179)</f>
      </c>
      <c r="HN179">
        <f>IF(ISBLANK('Data Entry'!$Ğ$179), "", 'Data Entry'!$Ğ$179)</f>
      </c>
      <c r="HO179">
        <f>IF(ISBLANK('Data Entry'!$ğ$179), "", 'Data Entry'!$ğ$179)</f>
      </c>
      <c r="HP179">
        <f>IF(ISBLANK('Data Entry'!$Ġ$179), "", 'Data Entry'!$Ġ$179)</f>
      </c>
      <c r="HQ179">
        <f>IF(ISBLANK('Data Entry'!$ġ$179), "", 'Data Entry'!$ġ$179)</f>
      </c>
      <c r="HR179">
        <f>IF(ISBLANK('Data Entry'!$Ģ$179), "", 'Data Entry'!$Ģ$179)</f>
      </c>
      <c r="HS179">
        <f>IF(ISBLANK('Data Entry'!$ģ$179), "", 'Data Entry'!$ģ$179)</f>
      </c>
      <c r="HT179">
        <f>IF(ISBLANK('Data Entry'!$Ĥ$179), "", 'Data Entry'!$Ĥ$179)</f>
      </c>
      <c r="HU179">
        <f>IF(ISBLANK('Data Entry'!$ĥ$179), "", 'Data Entry'!$ĥ$179)</f>
      </c>
      <c r="HV179">
        <f>IF(ISBLANK('Data Entry'!$Ħ$179), "", 'Data Entry'!$Ħ$179)</f>
      </c>
      <c r="HW179">
        <f>IF(ISBLANK('Data Entry'!$ħ$179), "", 'Data Entry'!$ħ$179)</f>
      </c>
      <c r="HX179">
        <f>IF(ISBLANK('Data Entry'!$Ĩ$179), "", 'Data Entry'!$Ĩ$179)</f>
      </c>
      <c r="HY179">
        <f>IF(ISBLANK('Data Entry'!$ĩ$179), "", 'Data Entry'!$ĩ$179)</f>
      </c>
      <c r="HZ179">
        <f>IF(ISBLANK('Data Entry'!$Ī$179), "", 'Data Entry'!$Ī$179)</f>
      </c>
      <c r="IA179">
        <f>IF(ISBLANK('Data Entry'!$ī$179), "", 'Data Entry'!$ī$179)</f>
      </c>
      <c r="IB179">
        <f>IF(ISBLANK('Data Entry'!$Ĭ$179), "", 'Data Entry'!$Ĭ$179)</f>
      </c>
      <c r="IC179">
        <f>IF(ISBLANK('Data Entry'!$ĭ$179), "", 'Data Entry'!$ĭ$179)</f>
      </c>
      <c r="ID179">
        <f>IF(ISBLANK('Data Entry'!$Į$179), "", 'Data Entry'!$Į$179)</f>
      </c>
      <c r="IE179">
        <f>IF(ISBLANK('Data Entry'!$į$179), "", 'Data Entry'!$į$179)</f>
      </c>
      <c r="IF179">
        <f>IF(ISBLANK('Data Entry'!$İ$179), "", 'Data Entry'!$İ$179)</f>
      </c>
      <c r="IG179">
        <f>IF(ISBLANK('Data Entry'!$ı$179), "", 'Data Entry'!$ı$179)</f>
      </c>
      <c r="IH179">
        <f>IF(ISBLANK('Data Entry'!$Ĳ$179), "", 'Data Entry'!$Ĳ$179)</f>
      </c>
      <c r="II179">
        <f>IF(ISBLANK('Data Entry'!$ĳ$179), "", 'Data Entry'!$ĳ$179)</f>
      </c>
      <c r="IJ179">
        <f>IF(ISBLANK('Data Entry'!$Ĵ$179), "", 'Data Entry'!$Ĵ$179)</f>
      </c>
      <c r="IK179">
        <f>IF(ISBLANK('Data Entry'!$ĵ$179), "", 'Data Entry'!$ĵ$179)</f>
      </c>
      <c r="IL179">
        <f>IF(ISBLANK('Data Entry'!$Ķ$179), "", 'Data Entry'!$Ķ$179)</f>
      </c>
      <c r="IM179">
        <f>IF(ISBLANK('Data Entry'!$ķ$179), "", 'Data Entry'!$ķ$179)</f>
      </c>
      <c r="IN179">
        <f>IF(ISBLANK('Data Entry'!$ĸ$179), "", 'Data Entry'!$ĸ$179)</f>
      </c>
      <c r="IO179">
        <f>IF(ISBLANK('Data Entry'!$Ĺ$179), "", 'Data Entry'!$Ĺ$179)</f>
      </c>
      <c r="IP179">
        <f>IF(ISBLANK('Data Entry'!$ĺ$179), "", 'Data Entry'!$ĺ$179)</f>
      </c>
      <c r="IQ179">
        <f>IF(ISBLANK('Data Entry'!$Ļ$179), "", 'Data Entry'!$Ļ$179)</f>
      </c>
      <c r="IR179">
        <f>IF(ISBLANK('Data Entry'!$ļ$179), "", 'Data Entry'!$ļ$179)</f>
      </c>
      <c r="IS179">
        <f>IF(ISBLANK('Data Entry'!$Ľ$179), "", 'Data Entry'!$Ľ$179)</f>
      </c>
      <c r="IT179">
        <f>IF(ISBLANK('Data Entry'!$ľ$179), "", 'Data Entry'!$ľ$179)</f>
      </c>
    </row>
    <row r="180" spans="1:254" x14ac:dyDescent="0.25">
      <c r="A180">
        <f>IF(ISBLANK('Data Entry'!$A$180), "", 'Data Entry'!$A$180)</f>
      </c>
      <c r="B180">
        <f>IF(ISBLANK('Data Entry'!$B$180), "", 'Data Entry'!$B$180)</f>
      </c>
      <c r="C180">
        <f>IF(ISBLANK('Data Entry'!$C$180), "", 'Data Entry'!$C$180)</f>
      </c>
      <c r="D180">
        <f>IF(ISBLANK('Data Entry'!$D$180), "", 'Data Entry'!$D$180)</f>
      </c>
      <c r="E180">
        <f>IF(ISBLANK('Data Entry'!$E$180), "", 'Data Entry'!$E$180)</f>
      </c>
      <c r="F180">
        <f>IF(ISBLANK('Data Entry'!$F$180), "", 'Data Entry'!$F$180)</f>
      </c>
      <c r="G180">
        <f>IF(ISBLANK('Data Entry'!$G$180), "", 'Data Entry'!$G$180)</f>
      </c>
      <c r="H180">
        <f>IF(ISBLANK('Data Entry'!$H$180), "", 'Data Entry'!$H$180)</f>
      </c>
      <c r="I180">
        <f>IF(ISBLANK('Data Entry'!$I$180), "", 'Data Entry'!$I$180)</f>
      </c>
      <c r="J180">
        <f>IF(ISBLANK('Data Entry'!$J$180), "", 'Data Entry'!$J$180)</f>
      </c>
      <c r="K180">
        <f>IF(ISBLANK('Data Entry'!$K$180), "", 'Data Entry'!$K$180)</f>
      </c>
      <c r="L180">
        <f>IF(ISBLANK('Data Entry'!$L$180), "", 'Data Entry'!$L$180)</f>
      </c>
      <c r="M180">
        <f>IF(ISBLANK('Data Entry'!$M$180), "", 'Data Entry'!$M$180)</f>
      </c>
      <c r="N180">
        <f>IF(ISBLANK('Data Entry'!$N$180), "", 'Data Entry'!$N$180)</f>
      </c>
      <c r="O180">
        <f>IF(ISBLANK('Data Entry'!$O$180), "", 'Data Entry'!$O$180)</f>
      </c>
      <c r="P180">
        <f>IF(ISBLANK('Data Entry'!$P$180), "", 'Data Entry'!$P$180)</f>
      </c>
      <c r="Q180">
        <f>IF(ISBLANK('Data Entry'!$Q$180), "", 'Data Entry'!$Q$180)</f>
      </c>
      <c r="R180">
        <f>IF(ISBLANK('Data Entry'!$R$180), "", 'Data Entry'!$R$180)</f>
      </c>
      <c r="S180">
        <f>IF(ISBLANK('Data Entry'!$S$180), "", 'Data Entry'!$S$180)</f>
      </c>
      <c r="T180">
        <f>IF(ISBLANK('Data Entry'!$T$180), "", 'Data Entry'!$T$180)</f>
      </c>
      <c r="U180">
        <f>IF(ISBLANK('Data Entry'!$U$180), "", 'Data Entry'!$U$180)</f>
      </c>
      <c r="V180">
        <f>IF(ISBLANK('Data Entry'!$V$180), "", 'Data Entry'!$V$180)</f>
      </c>
      <c r="W180">
        <f>IF(ISBLANK('Data Entry'!$W$180), "", 'Data Entry'!$W$180)</f>
      </c>
      <c r="X180">
        <f>IF(ISBLANK('Data Entry'!$X$180), "", 'Data Entry'!$X$180)</f>
      </c>
      <c r="Y180">
        <f>IF(ISBLANK('Data Entry'!$Y$180), "", 'Data Entry'!$Y$180)</f>
      </c>
      <c r="Z180">
        <f>IF(ISBLANK('Data Entry'!$Z$180), "", 'Data Entry'!$Z$180)</f>
      </c>
      <c r="AA180">
        <f>IF(ISBLANK('Data Entry'!$[$180), "", 'Data Entry'!$[$180)</f>
      </c>
      <c r="AB180">
        <f>IF(ISBLANK('Data Entry'!$\$180), "", 'Data Entry'!$\$180)</f>
      </c>
      <c r="AC180">
        <f>IF(ISBLANK('Data Entry'!$]$180), "", 'Data Entry'!$]$180)</f>
      </c>
      <c r="AD180">
        <f>IF(ISBLANK('Data Entry'!$^$180), "", 'Data Entry'!$^$180)</f>
      </c>
      <c r="AE180">
        <f>IF(ISBLANK('Data Entry'!$_$180), "", 'Data Entry'!$_$180)</f>
      </c>
      <c r="AF180">
        <f>IF(ISBLANK('Data Entry'!$`$180), "", 'Data Entry'!$`$180)</f>
      </c>
      <c r="AG180">
        <f>IF(ISBLANK('Data Entry'!$a$180), "", 'Data Entry'!$a$180)</f>
      </c>
      <c r="AH180">
        <f>IF(ISBLANK('Data Entry'!$b$180), "", 'Data Entry'!$b$180)</f>
      </c>
      <c r="AI180">
        <f>IF(ISBLANK('Data Entry'!$c$180), "", 'Data Entry'!$c$180)</f>
      </c>
      <c r="AJ180">
        <f>IF(ISBLANK('Data Entry'!$d$180), "", 'Data Entry'!$d$180)</f>
      </c>
      <c r="AK180">
        <f>IF(ISBLANK('Data Entry'!$e$180), "", 'Data Entry'!$e$180)</f>
      </c>
      <c r="AL180">
        <f>IF(ISBLANK('Data Entry'!$f$180), "", 'Data Entry'!$f$180)</f>
      </c>
      <c r="AM180">
        <f>IF(ISBLANK('Data Entry'!$g$180), "", 'Data Entry'!$g$180)</f>
      </c>
      <c r="AN180">
        <f>IF(ISBLANK('Data Entry'!$h$180), "", 'Data Entry'!$h$180)</f>
      </c>
      <c r="AO180">
        <f>IF(ISBLANK('Data Entry'!$i$180), "", 'Data Entry'!$i$180)</f>
      </c>
      <c r="AP180">
        <f>IF(ISBLANK('Data Entry'!$j$180), "", 'Data Entry'!$j$180)</f>
      </c>
      <c r="AQ180">
        <f>IF(ISBLANK('Data Entry'!$k$180), "", 'Data Entry'!$k$180)</f>
      </c>
      <c r="AR180">
        <f>IF(ISBLANK('Data Entry'!$l$180), "", 'Data Entry'!$l$180)</f>
      </c>
      <c r="AS180">
        <f>IF(ISBLANK('Data Entry'!$m$180), "", 'Data Entry'!$m$180)</f>
      </c>
      <c r="AT180">
        <f>IF(ISBLANK('Data Entry'!$n$180), "", 'Data Entry'!$n$180)</f>
      </c>
      <c r="AU180">
        <f>IF(ISBLANK('Data Entry'!$o$180), "", 'Data Entry'!$o$180)</f>
      </c>
      <c r="AV180">
        <f>IF(ISBLANK('Data Entry'!$p$180), "", 'Data Entry'!$p$180)</f>
      </c>
      <c r="AW180">
        <f>IF(ISBLANK('Data Entry'!$q$180), "", 'Data Entry'!$q$180)</f>
      </c>
      <c r="AX180">
        <f>IF(ISBLANK('Data Entry'!$r$180), "", 'Data Entry'!$r$180)</f>
      </c>
      <c r="AY180">
        <f>IF(ISBLANK('Data Entry'!$s$180), "", 'Data Entry'!$s$180)</f>
      </c>
      <c r="AZ180">
        <f>IF(ISBLANK('Data Entry'!$t$180), "", 'Data Entry'!$t$180)</f>
      </c>
      <c r="BA180">
        <f>IF(ISBLANK('Data Entry'!$u$180), "", 'Data Entry'!$u$180)</f>
      </c>
      <c r="BB180">
        <f>IF(ISBLANK('Data Entry'!$v$180), "", 'Data Entry'!$v$180)</f>
      </c>
      <c r="BC180">
        <f>IF(ISBLANK('Data Entry'!$w$180), "", 'Data Entry'!$w$180)</f>
      </c>
      <c r="BD180">
        <f>IF(ISBLANK('Data Entry'!$x$180), "", 'Data Entry'!$x$180)</f>
      </c>
      <c r="BE180">
        <f>IF(ISBLANK('Data Entry'!$y$180), "", 'Data Entry'!$y$180)</f>
      </c>
      <c r="BF180">
        <f>IF(ISBLANK('Data Entry'!$z$180), "", 'Data Entry'!$z$180)</f>
      </c>
      <c r="BG180">
        <f>IF(ISBLANK('Data Entry'!${$180), "", 'Data Entry'!${$180)</f>
      </c>
      <c r="BH180">
        <f>IF(ISBLANK('Data Entry'!$|$180), "", 'Data Entry'!$|$180)</f>
      </c>
      <c r="BI180">
        <f>IF(ISBLANK('Data Entry'!$}$180), "", 'Data Entry'!$}$180)</f>
      </c>
      <c r="BJ180">
        <f>IF(ISBLANK('Data Entry'!$~$180), "", 'Data Entry'!$~$180)</f>
      </c>
      <c r="BK180">
        <f>IF(ISBLANK('Data Entry'!$$180), "", 'Data Entry'!$$180)</f>
      </c>
      <c r="BL180">
        <f>IF(ISBLANK('Data Entry'!$$180), "", 'Data Entry'!$$180)</f>
      </c>
      <c r="BM180">
        <f>IF(ISBLANK('Data Entry'!$$180), "", 'Data Entry'!$$180)</f>
      </c>
      <c r="BN180">
        <f>IF(ISBLANK('Data Entry'!$$180), "", 'Data Entry'!$$180)</f>
      </c>
      <c r="BO180">
        <f>IF(ISBLANK('Data Entry'!$$180), "", 'Data Entry'!$$180)</f>
      </c>
      <c r="BP180">
        <f>IF(ISBLANK('Data Entry'!$$180), "", 'Data Entry'!$$180)</f>
      </c>
      <c r="BQ180">
        <f>IF(ISBLANK('Data Entry'!$$180), "", 'Data Entry'!$$180)</f>
      </c>
      <c r="BR180">
        <f>IF(ISBLANK('Data Entry'!$$180), "", 'Data Entry'!$$180)</f>
      </c>
      <c r="BS180">
        <f>IF(ISBLANK('Data Entry'!$$180), "", 'Data Entry'!$$180)</f>
      </c>
      <c r="BT180">
        <f>IF(ISBLANK('Data Entry'!$$180), "", 'Data Entry'!$$180)</f>
      </c>
      <c r="BU180">
        <f>IF(ISBLANK('Data Entry'!$$180), "", 'Data Entry'!$$180)</f>
      </c>
      <c r="BV180">
        <f>IF(ISBLANK('Data Entry'!$$180), "", 'Data Entry'!$$180)</f>
      </c>
      <c r="BW180">
        <f>IF(ISBLANK('Data Entry'!$$180), "", 'Data Entry'!$$180)</f>
      </c>
      <c r="BX180">
        <f>IF(ISBLANK('Data Entry'!$$180), "", 'Data Entry'!$$180)</f>
      </c>
      <c r="BY180">
        <f>IF(ISBLANK('Data Entry'!$$180), "", 'Data Entry'!$$180)</f>
      </c>
      <c r="BZ180">
        <f>IF(ISBLANK('Data Entry'!$$180), "", 'Data Entry'!$$180)</f>
      </c>
      <c r="CA180">
        <f>IF(ISBLANK('Data Entry'!$$180), "", 'Data Entry'!$$180)</f>
      </c>
      <c r="CB180">
        <f>IF(ISBLANK('Data Entry'!$$180), "", 'Data Entry'!$$180)</f>
      </c>
      <c r="CC180">
        <f>IF(ISBLANK('Data Entry'!$$180), "", 'Data Entry'!$$180)</f>
      </c>
      <c r="CD180">
        <f>IF(ISBLANK('Data Entry'!$$180), "", 'Data Entry'!$$180)</f>
      </c>
      <c r="CE180">
        <f>IF(ISBLANK('Data Entry'!$$180), "", 'Data Entry'!$$180)</f>
      </c>
      <c r="CF180">
        <f>IF(ISBLANK('Data Entry'!$$180), "", 'Data Entry'!$$180)</f>
      </c>
      <c r="CG180">
        <f>IF(ISBLANK('Data Entry'!$$180), "", 'Data Entry'!$$180)</f>
      </c>
      <c r="CH180">
        <f>IF(ISBLANK('Data Entry'!$$180), "", 'Data Entry'!$$180)</f>
      </c>
      <c r="CI180">
        <f>IF(ISBLANK('Data Entry'!$$180), "", 'Data Entry'!$$180)</f>
      </c>
      <c r="CJ180">
        <f>IF(ISBLANK('Data Entry'!$$180), "", 'Data Entry'!$$180)</f>
      </c>
      <c r="CK180">
        <f>IF(ISBLANK('Data Entry'!$$180), "", 'Data Entry'!$$180)</f>
      </c>
      <c r="CL180">
        <f>IF(ISBLANK('Data Entry'!$$180), "", 'Data Entry'!$$180)</f>
      </c>
      <c r="CM180">
        <f>IF(ISBLANK('Data Entry'!$$180), "", 'Data Entry'!$$180)</f>
      </c>
      <c r="CN180">
        <f>IF(ISBLANK('Data Entry'!$$180), "", 'Data Entry'!$$180)</f>
      </c>
      <c r="CO180">
        <f>IF(ISBLANK('Data Entry'!$$180), "", 'Data Entry'!$$180)</f>
      </c>
      <c r="CP180">
        <f>IF(ISBLANK('Data Entry'!$$180), "", 'Data Entry'!$$180)</f>
      </c>
      <c r="CQ180">
        <f>IF(ISBLANK('Data Entry'!$$180), "", 'Data Entry'!$$180)</f>
      </c>
      <c r="CR180">
        <f>IF(ISBLANK('Data Entry'!$ $180), "", 'Data Entry'!$ $180)</f>
      </c>
      <c r="CS180">
        <f>IF(ISBLANK('Data Entry'!$¡$180), "", 'Data Entry'!$¡$180)</f>
      </c>
      <c r="CT180">
        <f>IF(ISBLANK('Data Entry'!$¢$180), "", 'Data Entry'!$¢$180)</f>
      </c>
      <c r="CU180">
        <f>IF(ISBLANK('Data Entry'!$£$180), "", 'Data Entry'!$£$180)</f>
      </c>
      <c r="CV180">
        <f>IF(ISBLANK('Data Entry'!$¤$180), "", 'Data Entry'!$¤$180)</f>
      </c>
      <c r="CW180">
        <f>IF(ISBLANK('Data Entry'!$¥$180), "", 'Data Entry'!$¥$180)</f>
      </c>
      <c r="CX180">
        <f>IF(ISBLANK('Data Entry'!$¦$180), "", 'Data Entry'!$¦$180)</f>
      </c>
      <c r="CY180">
        <f>IF(ISBLANK('Data Entry'!$§$180), "", 'Data Entry'!$§$180)</f>
      </c>
      <c r="CZ180">
        <f>IF(ISBLANK('Data Entry'!$¨$180), "", 'Data Entry'!$¨$180)</f>
      </c>
      <c r="DA180">
        <f>IF(ISBLANK('Data Entry'!$©$180), "", 'Data Entry'!$©$180)</f>
      </c>
      <c r="DB180">
        <f>IF(ISBLANK('Data Entry'!$ª$180), "", 'Data Entry'!$ª$180)</f>
      </c>
      <c r="DC180">
        <f>IF(ISBLANK('Data Entry'!$«$180), "", 'Data Entry'!$«$180)</f>
      </c>
      <c r="DD180">
        <f>IF(ISBLANK('Data Entry'!$¬$180), "", 'Data Entry'!$¬$180)</f>
      </c>
      <c r="DE180">
        <f>IF(ISBLANK('Data Entry'!$­$180), "", 'Data Entry'!$­$180)</f>
      </c>
      <c r="DF180">
        <f>IF(ISBLANK('Data Entry'!$®$180), "", 'Data Entry'!$®$180)</f>
      </c>
      <c r="DG180">
        <f>IF(ISBLANK('Data Entry'!$¯$180), "", 'Data Entry'!$¯$180)</f>
      </c>
      <c r="DH180">
        <f>IF(ISBLANK('Data Entry'!$°$180), "", 'Data Entry'!$°$180)</f>
      </c>
      <c r="DI180">
        <f>IF(ISBLANK('Data Entry'!$±$180), "", 'Data Entry'!$±$180)</f>
      </c>
      <c r="DJ180">
        <f>IF(ISBLANK('Data Entry'!$²$180), "", 'Data Entry'!$²$180)</f>
      </c>
      <c r="DK180">
        <f>IF(ISBLANK('Data Entry'!$³$180), "", 'Data Entry'!$³$180)</f>
      </c>
      <c r="DL180">
        <f>IF(ISBLANK('Data Entry'!$´$180), "", 'Data Entry'!$´$180)</f>
      </c>
      <c r="DM180">
        <f>IF(ISBLANK('Data Entry'!$µ$180), "", 'Data Entry'!$µ$180)</f>
      </c>
      <c r="DN180">
        <f>IF(ISBLANK('Data Entry'!$¶$180), "", 'Data Entry'!$¶$180)</f>
      </c>
      <c r="DO180">
        <f>IF(ISBLANK('Data Entry'!$·$180), "", 'Data Entry'!$·$180)</f>
      </c>
      <c r="DP180">
        <f>IF(ISBLANK('Data Entry'!$¸$180), "", 'Data Entry'!$¸$180)</f>
      </c>
      <c r="DQ180">
        <f>IF(ISBLANK('Data Entry'!$¹$180), "", 'Data Entry'!$¹$180)</f>
      </c>
      <c r="DR180">
        <f>IF(ISBLANK('Data Entry'!$º$180), "", 'Data Entry'!$º$180)</f>
      </c>
      <c r="DS180">
        <f>IF(ISBLANK('Data Entry'!$»$180), "", 'Data Entry'!$»$180)</f>
      </c>
      <c r="DT180">
        <f>IF(ISBLANK('Data Entry'!$¼$180), "", 'Data Entry'!$¼$180)</f>
      </c>
      <c r="DU180">
        <f>IF(ISBLANK('Data Entry'!$½$180), "", 'Data Entry'!$½$180)</f>
      </c>
      <c r="DV180">
        <f>IF(ISBLANK('Data Entry'!$¾$180), "", 'Data Entry'!$¾$180)</f>
      </c>
      <c r="DW180">
        <f>IF(ISBLANK('Data Entry'!$¿$180), "", 'Data Entry'!$¿$180)</f>
      </c>
      <c r="DX180">
        <f>IF(ISBLANK('Data Entry'!$À$180), "", 'Data Entry'!$À$180)</f>
      </c>
      <c r="DY180">
        <f>IF(ISBLANK('Data Entry'!$Á$180), "", 'Data Entry'!$Á$180)</f>
      </c>
      <c r="DZ180">
        <f>IF(ISBLANK('Data Entry'!$Â$180), "", 'Data Entry'!$Â$180)</f>
      </c>
      <c r="EA180">
        <f>IF(ISBLANK('Data Entry'!$Ã$180), "", 'Data Entry'!$Ã$180)</f>
      </c>
      <c r="EB180">
        <f>IF(ISBLANK('Data Entry'!$Ä$180), "", 'Data Entry'!$Ä$180)</f>
      </c>
      <c r="EC180">
        <f>IF(ISBLANK('Data Entry'!$Å$180), "", 'Data Entry'!$Å$180)</f>
      </c>
      <c r="ED180">
        <f>IF(ISBLANK('Data Entry'!$Æ$180), "", 'Data Entry'!$Æ$180)</f>
      </c>
      <c r="EE180">
        <f>IF(ISBLANK('Data Entry'!$Ç$180), "", 'Data Entry'!$Ç$180)</f>
      </c>
      <c r="EF180">
        <f>IF(ISBLANK('Data Entry'!$È$180), "", 'Data Entry'!$È$180)</f>
      </c>
      <c r="EG180">
        <f>IF(ISBLANK('Data Entry'!$É$180), "", 'Data Entry'!$É$180)</f>
      </c>
      <c r="EH180">
        <f>IF(ISBLANK('Data Entry'!$Ê$180), "", 'Data Entry'!$Ê$180)</f>
      </c>
      <c r="EI180">
        <f>IF(ISBLANK('Data Entry'!$Ë$180), "", 'Data Entry'!$Ë$180)</f>
      </c>
      <c r="EJ180">
        <f>IF(ISBLANK('Data Entry'!$Ì$180), "", 'Data Entry'!$Ì$180)</f>
      </c>
      <c r="EK180">
        <f>IF(ISBLANK('Data Entry'!$Í$180), "", 'Data Entry'!$Í$180)</f>
      </c>
      <c r="EL180">
        <f>IF(ISBLANK('Data Entry'!$Î$180), "", 'Data Entry'!$Î$180)</f>
      </c>
      <c r="EM180">
        <f>IF(ISBLANK('Data Entry'!$Ï$180), "", 'Data Entry'!$Ï$180)</f>
      </c>
      <c r="EN180">
        <f>IF(ISBLANK('Data Entry'!$Ð$180), "", 'Data Entry'!$Ð$180)</f>
      </c>
      <c r="EO180">
        <f>IF(ISBLANK('Data Entry'!$Ñ$180), "", 'Data Entry'!$Ñ$180)</f>
      </c>
      <c r="EP180">
        <f>IF(ISBLANK('Data Entry'!$Ò$180), "", 'Data Entry'!$Ò$180)</f>
      </c>
      <c r="EQ180">
        <f>IF(ISBLANK('Data Entry'!$Ó$180), "", 'Data Entry'!$Ó$180)</f>
      </c>
      <c r="ER180">
        <f>IF(ISBLANK('Data Entry'!$Ô$180), "", 'Data Entry'!$Ô$180)</f>
      </c>
      <c r="ES180">
        <f>IF(ISBLANK('Data Entry'!$Õ$180), "", 'Data Entry'!$Õ$180)</f>
      </c>
      <c r="ET180">
        <f>IF(ISBLANK('Data Entry'!$Ö$180), "", 'Data Entry'!$Ö$180)</f>
      </c>
      <c r="EU180">
        <f>IF(ISBLANK('Data Entry'!$×$180), "", 'Data Entry'!$×$180)</f>
      </c>
      <c r="EV180">
        <f>IF(ISBLANK('Data Entry'!$Ø$180), "", 'Data Entry'!$Ø$180)</f>
      </c>
      <c r="EW180">
        <f>IF(ISBLANK('Data Entry'!$Ù$180), "", 'Data Entry'!$Ù$180)</f>
      </c>
      <c r="EX180">
        <f>IF(ISBLANK('Data Entry'!$Ú$180), "", 'Data Entry'!$Ú$180)</f>
      </c>
      <c r="EY180">
        <f>IF(ISBLANK('Data Entry'!$Û$180), "", 'Data Entry'!$Û$180)</f>
      </c>
      <c r="EZ180">
        <f>IF(ISBLANK('Data Entry'!$Ü$180), "", 'Data Entry'!$Ü$180)</f>
      </c>
      <c r="FA180">
        <f>IF(ISBLANK('Data Entry'!$Ý$180), "", 'Data Entry'!$Ý$180)</f>
      </c>
      <c r="FB180">
        <f>IF(ISBLANK('Data Entry'!$Þ$180), "", 'Data Entry'!$Þ$180)</f>
      </c>
      <c r="FC180">
        <f>IF(ISBLANK('Data Entry'!$ß$180), "", 'Data Entry'!$ß$180)</f>
      </c>
      <c r="FD180">
        <f>IF(ISBLANK('Data Entry'!$à$180), "", 'Data Entry'!$à$180)</f>
      </c>
      <c r="FE180">
        <f>IF(ISBLANK('Data Entry'!$á$180), "", 'Data Entry'!$á$180)</f>
      </c>
      <c r="FF180">
        <f>IF(ISBLANK('Data Entry'!$â$180), "", 'Data Entry'!$â$180)</f>
      </c>
      <c r="FG180">
        <f>IF(ISBLANK('Data Entry'!$ã$180), "", 'Data Entry'!$ã$180)</f>
      </c>
      <c r="FH180">
        <f>IF(ISBLANK('Data Entry'!$ä$180), "", 'Data Entry'!$ä$180)</f>
      </c>
      <c r="FI180">
        <f>IF(ISBLANK('Data Entry'!$å$180), "", 'Data Entry'!$å$180)</f>
      </c>
      <c r="FJ180">
        <f>IF(ISBLANK('Data Entry'!$æ$180), "", 'Data Entry'!$æ$180)</f>
      </c>
      <c r="FK180">
        <f>IF(ISBLANK('Data Entry'!$ç$180), "", 'Data Entry'!$ç$180)</f>
      </c>
      <c r="FL180">
        <f>IF(ISBLANK('Data Entry'!$è$180), "", 'Data Entry'!$è$180)</f>
      </c>
      <c r="FM180">
        <f>IF(ISBLANK('Data Entry'!$é$180), "", 'Data Entry'!$é$180)</f>
      </c>
      <c r="FN180">
        <f>IF(ISBLANK('Data Entry'!$ê$180), "", 'Data Entry'!$ê$180)</f>
      </c>
      <c r="FO180">
        <f>IF(ISBLANK('Data Entry'!$ë$180), "", 'Data Entry'!$ë$180)</f>
      </c>
      <c r="FP180">
        <f>IF(ISBLANK('Data Entry'!$ì$180), "", 'Data Entry'!$ì$180)</f>
      </c>
      <c r="FQ180">
        <f>IF(ISBLANK('Data Entry'!$í$180), "", 'Data Entry'!$í$180)</f>
      </c>
      <c r="FR180">
        <f>IF(ISBLANK('Data Entry'!$î$180), "", 'Data Entry'!$î$180)</f>
      </c>
      <c r="FS180">
        <f>IF(ISBLANK('Data Entry'!$ï$180), "", 'Data Entry'!$ï$180)</f>
      </c>
      <c r="FT180">
        <f>IF(ISBLANK('Data Entry'!$ð$180), "", 'Data Entry'!$ð$180)</f>
      </c>
      <c r="FU180">
        <f>IF(ISBLANK('Data Entry'!$ñ$180), "", 'Data Entry'!$ñ$180)</f>
      </c>
      <c r="FV180">
        <f>IF(ISBLANK('Data Entry'!$ò$180), "", 'Data Entry'!$ò$180)</f>
      </c>
      <c r="FW180">
        <f>IF(ISBLANK('Data Entry'!$ó$180), "", 'Data Entry'!$ó$180)</f>
      </c>
      <c r="FX180">
        <f>IF(ISBLANK('Data Entry'!$ô$180), "", 'Data Entry'!$ô$180)</f>
      </c>
      <c r="FY180">
        <f>IF(ISBLANK('Data Entry'!$õ$180), "", 'Data Entry'!$õ$180)</f>
      </c>
      <c r="FZ180">
        <f>IF(ISBLANK('Data Entry'!$ö$180), "", 'Data Entry'!$ö$180)</f>
      </c>
      <c r="GA180">
        <f>IF(ISBLANK('Data Entry'!$÷$180), "", 'Data Entry'!$÷$180)</f>
      </c>
      <c r="GB180">
        <f>IF(ISBLANK('Data Entry'!$ø$180), "", 'Data Entry'!$ø$180)</f>
      </c>
      <c r="GC180">
        <f>IF(ISBLANK('Data Entry'!$ù$180), "", 'Data Entry'!$ù$180)</f>
      </c>
      <c r="GD180">
        <f>IF(ISBLANK('Data Entry'!$ú$180), "", 'Data Entry'!$ú$180)</f>
      </c>
      <c r="GE180">
        <f>IF(ISBLANK('Data Entry'!$û$180), "", 'Data Entry'!$û$180)</f>
      </c>
      <c r="GF180">
        <f>IF(ISBLANK('Data Entry'!$ü$180), "", 'Data Entry'!$ü$180)</f>
      </c>
      <c r="GG180">
        <f>IF(ISBLANK('Data Entry'!$ý$180), "", 'Data Entry'!$ý$180)</f>
      </c>
      <c r="GH180">
        <f>IF(ISBLANK('Data Entry'!$þ$180), "", 'Data Entry'!$þ$180)</f>
      </c>
      <c r="GI180">
        <f>IF(ISBLANK('Data Entry'!$ÿ$180), "", 'Data Entry'!$ÿ$180)</f>
      </c>
      <c r="GJ180">
        <f>IF(ISBLANK('Data Entry'!$Ā$180), "", 'Data Entry'!$Ā$180)</f>
      </c>
      <c r="GK180">
        <f>IF(ISBLANK('Data Entry'!$ā$180), "", 'Data Entry'!$ā$180)</f>
      </c>
      <c r="GL180">
        <f>IF(ISBLANK('Data Entry'!$Ă$180), "", 'Data Entry'!$Ă$180)</f>
      </c>
      <c r="GM180">
        <f>IF(ISBLANK('Data Entry'!$ă$180), "", 'Data Entry'!$ă$180)</f>
      </c>
      <c r="GN180">
        <f>IF(ISBLANK('Data Entry'!$Ą$180), "", 'Data Entry'!$Ą$180)</f>
      </c>
      <c r="GO180">
        <f>IF(ISBLANK('Data Entry'!$ą$180), "", 'Data Entry'!$ą$180)</f>
      </c>
      <c r="GP180">
        <f>IF(ISBLANK('Data Entry'!$Ć$180), "", 'Data Entry'!$Ć$180)</f>
      </c>
      <c r="GQ180">
        <f>IF(ISBLANK('Data Entry'!$ć$180), "", 'Data Entry'!$ć$180)</f>
      </c>
      <c r="GR180">
        <f>IF(ISBLANK('Data Entry'!$Ĉ$180), "", 'Data Entry'!$Ĉ$180)</f>
      </c>
      <c r="GS180">
        <f>IF(ISBLANK('Data Entry'!$ĉ$180), "", 'Data Entry'!$ĉ$180)</f>
      </c>
      <c r="GT180">
        <f>IF(ISBLANK('Data Entry'!$Ċ$180), "", 'Data Entry'!$Ċ$180)</f>
      </c>
      <c r="GU180">
        <f>IF(ISBLANK('Data Entry'!$ċ$180), "", 'Data Entry'!$ċ$180)</f>
      </c>
      <c r="GV180">
        <f>IF(ISBLANK('Data Entry'!$Č$180), "", 'Data Entry'!$Č$180)</f>
      </c>
      <c r="GW180">
        <f>IF(ISBLANK('Data Entry'!$č$180), "", 'Data Entry'!$č$180)</f>
      </c>
      <c r="GX180">
        <f>IF(ISBLANK('Data Entry'!$Ď$180), "", 'Data Entry'!$Ď$180)</f>
      </c>
      <c r="GY180">
        <f>IF(ISBLANK('Data Entry'!$ď$180), "", 'Data Entry'!$ď$180)</f>
      </c>
      <c r="GZ180">
        <f>IF(ISBLANK('Data Entry'!$Đ$180), "", 'Data Entry'!$Đ$180)</f>
      </c>
      <c r="HA180">
        <f>IF(ISBLANK('Data Entry'!$đ$180), "", 'Data Entry'!$đ$180)</f>
      </c>
      <c r="HB180">
        <f>IF(ISBLANK('Data Entry'!$Ē$180), "", 'Data Entry'!$Ē$180)</f>
      </c>
      <c r="HC180">
        <f>IF(ISBLANK('Data Entry'!$ē$180), "", 'Data Entry'!$ē$180)</f>
      </c>
      <c r="HD180">
        <f>IF(ISBLANK('Data Entry'!$Ĕ$180), "", 'Data Entry'!$Ĕ$180)</f>
      </c>
      <c r="HE180">
        <f>IF(ISBLANK('Data Entry'!$ĕ$180), "", 'Data Entry'!$ĕ$180)</f>
      </c>
      <c r="HF180">
        <f>IF(ISBLANK('Data Entry'!$Ė$180), "", 'Data Entry'!$Ė$180)</f>
      </c>
      <c r="HG180">
        <f>IF(ISBLANK('Data Entry'!$ė$180), "", 'Data Entry'!$ė$180)</f>
      </c>
      <c r="HH180">
        <f>IF(ISBLANK('Data Entry'!$Ę$180), "", 'Data Entry'!$Ę$180)</f>
      </c>
      <c r="HI180">
        <f>IF(ISBLANK('Data Entry'!$ę$180), "", 'Data Entry'!$ę$180)</f>
      </c>
      <c r="HJ180">
        <f>IF(ISBLANK('Data Entry'!$Ě$180), "", 'Data Entry'!$Ě$180)</f>
      </c>
      <c r="HK180">
        <f>IF(ISBLANK('Data Entry'!$ě$180), "", 'Data Entry'!$ě$180)</f>
      </c>
      <c r="HL180">
        <f>IF(ISBLANK('Data Entry'!$Ĝ$180), "", 'Data Entry'!$Ĝ$180)</f>
      </c>
      <c r="HM180">
        <f>IF(ISBLANK('Data Entry'!$ĝ$180), "", 'Data Entry'!$ĝ$180)</f>
      </c>
      <c r="HN180">
        <f>IF(ISBLANK('Data Entry'!$Ğ$180), "", 'Data Entry'!$Ğ$180)</f>
      </c>
      <c r="HO180">
        <f>IF(ISBLANK('Data Entry'!$ğ$180), "", 'Data Entry'!$ğ$180)</f>
      </c>
      <c r="HP180">
        <f>IF(ISBLANK('Data Entry'!$Ġ$180), "", 'Data Entry'!$Ġ$180)</f>
      </c>
      <c r="HQ180">
        <f>IF(ISBLANK('Data Entry'!$ġ$180), "", 'Data Entry'!$ġ$180)</f>
      </c>
      <c r="HR180">
        <f>IF(ISBLANK('Data Entry'!$Ģ$180), "", 'Data Entry'!$Ģ$180)</f>
      </c>
      <c r="HS180">
        <f>IF(ISBLANK('Data Entry'!$ģ$180), "", 'Data Entry'!$ģ$180)</f>
      </c>
      <c r="HT180">
        <f>IF(ISBLANK('Data Entry'!$Ĥ$180), "", 'Data Entry'!$Ĥ$180)</f>
      </c>
      <c r="HU180">
        <f>IF(ISBLANK('Data Entry'!$ĥ$180), "", 'Data Entry'!$ĥ$180)</f>
      </c>
      <c r="HV180">
        <f>IF(ISBLANK('Data Entry'!$Ħ$180), "", 'Data Entry'!$Ħ$180)</f>
      </c>
      <c r="HW180">
        <f>IF(ISBLANK('Data Entry'!$ħ$180), "", 'Data Entry'!$ħ$180)</f>
      </c>
      <c r="HX180">
        <f>IF(ISBLANK('Data Entry'!$Ĩ$180), "", 'Data Entry'!$Ĩ$180)</f>
      </c>
      <c r="HY180">
        <f>IF(ISBLANK('Data Entry'!$ĩ$180), "", 'Data Entry'!$ĩ$180)</f>
      </c>
      <c r="HZ180">
        <f>IF(ISBLANK('Data Entry'!$Ī$180), "", 'Data Entry'!$Ī$180)</f>
      </c>
      <c r="IA180">
        <f>IF(ISBLANK('Data Entry'!$ī$180), "", 'Data Entry'!$ī$180)</f>
      </c>
      <c r="IB180">
        <f>IF(ISBLANK('Data Entry'!$Ĭ$180), "", 'Data Entry'!$Ĭ$180)</f>
      </c>
      <c r="IC180">
        <f>IF(ISBLANK('Data Entry'!$ĭ$180), "", 'Data Entry'!$ĭ$180)</f>
      </c>
      <c r="ID180">
        <f>IF(ISBLANK('Data Entry'!$Į$180), "", 'Data Entry'!$Į$180)</f>
      </c>
      <c r="IE180">
        <f>IF(ISBLANK('Data Entry'!$į$180), "", 'Data Entry'!$į$180)</f>
      </c>
      <c r="IF180">
        <f>IF(ISBLANK('Data Entry'!$İ$180), "", 'Data Entry'!$İ$180)</f>
      </c>
      <c r="IG180">
        <f>IF(ISBLANK('Data Entry'!$ı$180), "", 'Data Entry'!$ı$180)</f>
      </c>
      <c r="IH180">
        <f>IF(ISBLANK('Data Entry'!$Ĳ$180), "", 'Data Entry'!$Ĳ$180)</f>
      </c>
      <c r="II180">
        <f>IF(ISBLANK('Data Entry'!$ĳ$180), "", 'Data Entry'!$ĳ$180)</f>
      </c>
      <c r="IJ180">
        <f>IF(ISBLANK('Data Entry'!$Ĵ$180), "", 'Data Entry'!$Ĵ$180)</f>
      </c>
      <c r="IK180">
        <f>IF(ISBLANK('Data Entry'!$ĵ$180), "", 'Data Entry'!$ĵ$180)</f>
      </c>
      <c r="IL180">
        <f>IF(ISBLANK('Data Entry'!$Ķ$180), "", 'Data Entry'!$Ķ$180)</f>
      </c>
      <c r="IM180">
        <f>IF(ISBLANK('Data Entry'!$ķ$180), "", 'Data Entry'!$ķ$180)</f>
      </c>
      <c r="IN180">
        <f>IF(ISBLANK('Data Entry'!$ĸ$180), "", 'Data Entry'!$ĸ$180)</f>
      </c>
      <c r="IO180">
        <f>IF(ISBLANK('Data Entry'!$Ĺ$180), "", 'Data Entry'!$Ĺ$180)</f>
      </c>
      <c r="IP180">
        <f>IF(ISBLANK('Data Entry'!$ĺ$180), "", 'Data Entry'!$ĺ$180)</f>
      </c>
      <c r="IQ180">
        <f>IF(ISBLANK('Data Entry'!$Ļ$180), "", 'Data Entry'!$Ļ$180)</f>
      </c>
      <c r="IR180">
        <f>IF(ISBLANK('Data Entry'!$ļ$180), "", 'Data Entry'!$ļ$180)</f>
      </c>
      <c r="IS180">
        <f>IF(ISBLANK('Data Entry'!$Ľ$180), "", 'Data Entry'!$Ľ$180)</f>
      </c>
      <c r="IT180">
        <f>IF(ISBLANK('Data Entry'!$ľ$180), "", 'Data Entry'!$ľ$180)</f>
      </c>
    </row>
    <row r="181" spans="1:254" x14ac:dyDescent="0.25">
      <c r="A181">
        <f>IF(ISBLANK('Data Entry'!$A$181), "", 'Data Entry'!$A$181)</f>
      </c>
      <c r="B181">
        <f>IF(ISBLANK('Data Entry'!$B$181), "", 'Data Entry'!$B$181)</f>
      </c>
      <c r="C181">
        <f>IF(ISBLANK('Data Entry'!$C$181), "", 'Data Entry'!$C$181)</f>
      </c>
      <c r="D181">
        <f>IF(ISBLANK('Data Entry'!$D$181), "", 'Data Entry'!$D$181)</f>
      </c>
      <c r="E181">
        <f>IF(ISBLANK('Data Entry'!$E$181), "", 'Data Entry'!$E$181)</f>
      </c>
      <c r="F181">
        <f>IF(ISBLANK('Data Entry'!$F$181), "", 'Data Entry'!$F$181)</f>
      </c>
      <c r="G181">
        <f>IF(ISBLANK('Data Entry'!$G$181), "", 'Data Entry'!$G$181)</f>
      </c>
      <c r="H181">
        <f>IF(ISBLANK('Data Entry'!$H$181), "", 'Data Entry'!$H$181)</f>
      </c>
      <c r="I181">
        <f>IF(ISBLANK('Data Entry'!$I$181), "", 'Data Entry'!$I$181)</f>
      </c>
      <c r="J181">
        <f>IF(ISBLANK('Data Entry'!$J$181), "", 'Data Entry'!$J$181)</f>
      </c>
      <c r="K181">
        <f>IF(ISBLANK('Data Entry'!$K$181), "", 'Data Entry'!$K$181)</f>
      </c>
      <c r="L181">
        <f>IF(ISBLANK('Data Entry'!$L$181), "", 'Data Entry'!$L$181)</f>
      </c>
      <c r="M181">
        <f>IF(ISBLANK('Data Entry'!$M$181), "", 'Data Entry'!$M$181)</f>
      </c>
      <c r="N181">
        <f>IF(ISBLANK('Data Entry'!$N$181), "", 'Data Entry'!$N$181)</f>
      </c>
      <c r="O181">
        <f>IF(ISBLANK('Data Entry'!$O$181), "", 'Data Entry'!$O$181)</f>
      </c>
      <c r="P181">
        <f>IF(ISBLANK('Data Entry'!$P$181), "", 'Data Entry'!$P$181)</f>
      </c>
      <c r="Q181">
        <f>IF(ISBLANK('Data Entry'!$Q$181), "", 'Data Entry'!$Q$181)</f>
      </c>
      <c r="R181">
        <f>IF(ISBLANK('Data Entry'!$R$181), "", 'Data Entry'!$R$181)</f>
      </c>
      <c r="S181">
        <f>IF(ISBLANK('Data Entry'!$S$181), "", 'Data Entry'!$S$181)</f>
      </c>
      <c r="T181">
        <f>IF(ISBLANK('Data Entry'!$T$181), "", 'Data Entry'!$T$181)</f>
      </c>
      <c r="U181">
        <f>IF(ISBLANK('Data Entry'!$U$181), "", 'Data Entry'!$U$181)</f>
      </c>
      <c r="V181">
        <f>IF(ISBLANK('Data Entry'!$V$181), "", 'Data Entry'!$V$181)</f>
      </c>
      <c r="W181">
        <f>IF(ISBLANK('Data Entry'!$W$181), "", 'Data Entry'!$W$181)</f>
      </c>
      <c r="X181">
        <f>IF(ISBLANK('Data Entry'!$X$181), "", 'Data Entry'!$X$181)</f>
      </c>
      <c r="Y181">
        <f>IF(ISBLANK('Data Entry'!$Y$181), "", 'Data Entry'!$Y$181)</f>
      </c>
      <c r="Z181">
        <f>IF(ISBLANK('Data Entry'!$Z$181), "", 'Data Entry'!$Z$181)</f>
      </c>
      <c r="AA181">
        <f>IF(ISBLANK('Data Entry'!$[$181), "", 'Data Entry'!$[$181)</f>
      </c>
      <c r="AB181">
        <f>IF(ISBLANK('Data Entry'!$\$181), "", 'Data Entry'!$\$181)</f>
      </c>
      <c r="AC181">
        <f>IF(ISBLANK('Data Entry'!$]$181), "", 'Data Entry'!$]$181)</f>
      </c>
      <c r="AD181">
        <f>IF(ISBLANK('Data Entry'!$^$181), "", 'Data Entry'!$^$181)</f>
      </c>
      <c r="AE181">
        <f>IF(ISBLANK('Data Entry'!$_$181), "", 'Data Entry'!$_$181)</f>
      </c>
      <c r="AF181">
        <f>IF(ISBLANK('Data Entry'!$`$181), "", 'Data Entry'!$`$181)</f>
      </c>
      <c r="AG181">
        <f>IF(ISBLANK('Data Entry'!$a$181), "", 'Data Entry'!$a$181)</f>
      </c>
      <c r="AH181">
        <f>IF(ISBLANK('Data Entry'!$b$181), "", 'Data Entry'!$b$181)</f>
      </c>
      <c r="AI181">
        <f>IF(ISBLANK('Data Entry'!$c$181), "", 'Data Entry'!$c$181)</f>
      </c>
      <c r="AJ181">
        <f>IF(ISBLANK('Data Entry'!$d$181), "", 'Data Entry'!$d$181)</f>
      </c>
      <c r="AK181">
        <f>IF(ISBLANK('Data Entry'!$e$181), "", 'Data Entry'!$e$181)</f>
      </c>
      <c r="AL181">
        <f>IF(ISBLANK('Data Entry'!$f$181), "", 'Data Entry'!$f$181)</f>
      </c>
      <c r="AM181">
        <f>IF(ISBLANK('Data Entry'!$g$181), "", 'Data Entry'!$g$181)</f>
      </c>
      <c r="AN181">
        <f>IF(ISBLANK('Data Entry'!$h$181), "", 'Data Entry'!$h$181)</f>
      </c>
      <c r="AO181">
        <f>IF(ISBLANK('Data Entry'!$i$181), "", 'Data Entry'!$i$181)</f>
      </c>
      <c r="AP181">
        <f>IF(ISBLANK('Data Entry'!$j$181), "", 'Data Entry'!$j$181)</f>
      </c>
      <c r="AQ181">
        <f>IF(ISBLANK('Data Entry'!$k$181), "", 'Data Entry'!$k$181)</f>
      </c>
      <c r="AR181">
        <f>IF(ISBLANK('Data Entry'!$l$181), "", 'Data Entry'!$l$181)</f>
      </c>
      <c r="AS181">
        <f>IF(ISBLANK('Data Entry'!$m$181), "", 'Data Entry'!$m$181)</f>
      </c>
      <c r="AT181">
        <f>IF(ISBLANK('Data Entry'!$n$181), "", 'Data Entry'!$n$181)</f>
      </c>
      <c r="AU181">
        <f>IF(ISBLANK('Data Entry'!$o$181), "", 'Data Entry'!$o$181)</f>
      </c>
      <c r="AV181">
        <f>IF(ISBLANK('Data Entry'!$p$181), "", 'Data Entry'!$p$181)</f>
      </c>
      <c r="AW181">
        <f>IF(ISBLANK('Data Entry'!$q$181), "", 'Data Entry'!$q$181)</f>
      </c>
      <c r="AX181">
        <f>IF(ISBLANK('Data Entry'!$r$181), "", 'Data Entry'!$r$181)</f>
      </c>
      <c r="AY181">
        <f>IF(ISBLANK('Data Entry'!$s$181), "", 'Data Entry'!$s$181)</f>
      </c>
      <c r="AZ181">
        <f>IF(ISBLANK('Data Entry'!$t$181), "", 'Data Entry'!$t$181)</f>
      </c>
      <c r="BA181">
        <f>IF(ISBLANK('Data Entry'!$u$181), "", 'Data Entry'!$u$181)</f>
      </c>
      <c r="BB181">
        <f>IF(ISBLANK('Data Entry'!$v$181), "", 'Data Entry'!$v$181)</f>
      </c>
      <c r="BC181">
        <f>IF(ISBLANK('Data Entry'!$w$181), "", 'Data Entry'!$w$181)</f>
      </c>
      <c r="BD181">
        <f>IF(ISBLANK('Data Entry'!$x$181), "", 'Data Entry'!$x$181)</f>
      </c>
      <c r="BE181">
        <f>IF(ISBLANK('Data Entry'!$y$181), "", 'Data Entry'!$y$181)</f>
      </c>
      <c r="BF181">
        <f>IF(ISBLANK('Data Entry'!$z$181), "", 'Data Entry'!$z$181)</f>
      </c>
      <c r="BG181">
        <f>IF(ISBLANK('Data Entry'!${$181), "", 'Data Entry'!${$181)</f>
      </c>
      <c r="BH181">
        <f>IF(ISBLANK('Data Entry'!$|$181), "", 'Data Entry'!$|$181)</f>
      </c>
      <c r="BI181">
        <f>IF(ISBLANK('Data Entry'!$}$181), "", 'Data Entry'!$}$181)</f>
      </c>
      <c r="BJ181">
        <f>IF(ISBLANK('Data Entry'!$~$181), "", 'Data Entry'!$~$181)</f>
      </c>
      <c r="BK181">
        <f>IF(ISBLANK('Data Entry'!$$181), "", 'Data Entry'!$$181)</f>
      </c>
      <c r="BL181">
        <f>IF(ISBLANK('Data Entry'!$$181), "", 'Data Entry'!$$181)</f>
      </c>
      <c r="BM181">
        <f>IF(ISBLANK('Data Entry'!$$181), "", 'Data Entry'!$$181)</f>
      </c>
      <c r="BN181">
        <f>IF(ISBLANK('Data Entry'!$$181), "", 'Data Entry'!$$181)</f>
      </c>
      <c r="BO181">
        <f>IF(ISBLANK('Data Entry'!$$181), "", 'Data Entry'!$$181)</f>
      </c>
      <c r="BP181">
        <f>IF(ISBLANK('Data Entry'!$$181), "", 'Data Entry'!$$181)</f>
      </c>
      <c r="BQ181">
        <f>IF(ISBLANK('Data Entry'!$$181), "", 'Data Entry'!$$181)</f>
      </c>
      <c r="BR181">
        <f>IF(ISBLANK('Data Entry'!$$181), "", 'Data Entry'!$$181)</f>
      </c>
      <c r="BS181">
        <f>IF(ISBLANK('Data Entry'!$$181), "", 'Data Entry'!$$181)</f>
      </c>
      <c r="BT181">
        <f>IF(ISBLANK('Data Entry'!$$181), "", 'Data Entry'!$$181)</f>
      </c>
      <c r="BU181">
        <f>IF(ISBLANK('Data Entry'!$$181), "", 'Data Entry'!$$181)</f>
      </c>
      <c r="BV181">
        <f>IF(ISBLANK('Data Entry'!$$181), "", 'Data Entry'!$$181)</f>
      </c>
      <c r="BW181">
        <f>IF(ISBLANK('Data Entry'!$$181), "", 'Data Entry'!$$181)</f>
      </c>
      <c r="BX181">
        <f>IF(ISBLANK('Data Entry'!$$181), "", 'Data Entry'!$$181)</f>
      </c>
      <c r="BY181">
        <f>IF(ISBLANK('Data Entry'!$$181), "", 'Data Entry'!$$181)</f>
      </c>
      <c r="BZ181">
        <f>IF(ISBLANK('Data Entry'!$$181), "", 'Data Entry'!$$181)</f>
      </c>
      <c r="CA181">
        <f>IF(ISBLANK('Data Entry'!$$181), "", 'Data Entry'!$$181)</f>
      </c>
      <c r="CB181">
        <f>IF(ISBLANK('Data Entry'!$$181), "", 'Data Entry'!$$181)</f>
      </c>
      <c r="CC181">
        <f>IF(ISBLANK('Data Entry'!$$181), "", 'Data Entry'!$$181)</f>
      </c>
      <c r="CD181">
        <f>IF(ISBLANK('Data Entry'!$$181), "", 'Data Entry'!$$181)</f>
      </c>
      <c r="CE181">
        <f>IF(ISBLANK('Data Entry'!$$181), "", 'Data Entry'!$$181)</f>
      </c>
      <c r="CF181">
        <f>IF(ISBLANK('Data Entry'!$$181), "", 'Data Entry'!$$181)</f>
      </c>
      <c r="CG181">
        <f>IF(ISBLANK('Data Entry'!$$181), "", 'Data Entry'!$$181)</f>
      </c>
      <c r="CH181">
        <f>IF(ISBLANK('Data Entry'!$$181), "", 'Data Entry'!$$181)</f>
      </c>
      <c r="CI181">
        <f>IF(ISBLANK('Data Entry'!$$181), "", 'Data Entry'!$$181)</f>
      </c>
      <c r="CJ181">
        <f>IF(ISBLANK('Data Entry'!$$181), "", 'Data Entry'!$$181)</f>
      </c>
      <c r="CK181">
        <f>IF(ISBLANK('Data Entry'!$$181), "", 'Data Entry'!$$181)</f>
      </c>
      <c r="CL181">
        <f>IF(ISBLANK('Data Entry'!$$181), "", 'Data Entry'!$$181)</f>
      </c>
      <c r="CM181">
        <f>IF(ISBLANK('Data Entry'!$$181), "", 'Data Entry'!$$181)</f>
      </c>
      <c r="CN181">
        <f>IF(ISBLANK('Data Entry'!$$181), "", 'Data Entry'!$$181)</f>
      </c>
      <c r="CO181">
        <f>IF(ISBLANK('Data Entry'!$$181), "", 'Data Entry'!$$181)</f>
      </c>
      <c r="CP181">
        <f>IF(ISBLANK('Data Entry'!$$181), "", 'Data Entry'!$$181)</f>
      </c>
      <c r="CQ181">
        <f>IF(ISBLANK('Data Entry'!$$181), "", 'Data Entry'!$$181)</f>
      </c>
      <c r="CR181">
        <f>IF(ISBLANK('Data Entry'!$ $181), "", 'Data Entry'!$ $181)</f>
      </c>
      <c r="CS181">
        <f>IF(ISBLANK('Data Entry'!$¡$181), "", 'Data Entry'!$¡$181)</f>
      </c>
      <c r="CT181">
        <f>IF(ISBLANK('Data Entry'!$¢$181), "", 'Data Entry'!$¢$181)</f>
      </c>
      <c r="CU181">
        <f>IF(ISBLANK('Data Entry'!$£$181), "", 'Data Entry'!$£$181)</f>
      </c>
      <c r="CV181">
        <f>IF(ISBLANK('Data Entry'!$¤$181), "", 'Data Entry'!$¤$181)</f>
      </c>
      <c r="CW181">
        <f>IF(ISBLANK('Data Entry'!$¥$181), "", 'Data Entry'!$¥$181)</f>
      </c>
      <c r="CX181">
        <f>IF(ISBLANK('Data Entry'!$¦$181), "", 'Data Entry'!$¦$181)</f>
      </c>
      <c r="CY181">
        <f>IF(ISBLANK('Data Entry'!$§$181), "", 'Data Entry'!$§$181)</f>
      </c>
      <c r="CZ181">
        <f>IF(ISBLANK('Data Entry'!$¨$181), "", 'Data Entry'!$¨$181)</f>
      </c>
      <c r="DA181">
        <f>IF(ISBLANK('Data Entry'!$©$181), "", 'Data Entry'!$©$181)</f>
      </c>
      <c r="DB181">
        <f>IF(ISBLANK('Data Entry'!$ª$181), "", 'Data Entry'!$ª$181)</f>
      </c>
      <c r="DC181">
        <f>IF(ISBLANK('Data Entry'!$«$181), "", 'Data Entry'!$«$181)</f>
      </c>
      <c r="DD181">
        <f>IF(ISBLANK('Data Entry'!$¬$181), "", 'Data Entry'!$¬$181)</f>
      </c>
      <c r="DE181">
        <f>IF(ISBLANK('Data Entry'!$­$181), "", 'Data Entry'!$­$181)</f>
      </c>
      <c r="DF181">
        <f>IF(ISBLANK('Data Entry'!$®$181), "", 'Data Entry'!$®$181)</f>
      </c>
      <c r="DG181">
        <f>IF(ISBLANK('Data Entry'!$¯$181), "", 'Data Entry'!$¯$181)</f>
      </c>
      <c r="DH181">
        <f>IF(ISBLANK('Data Entry'!$°$181), "", 'Data Entry'!$°$181)</f>
      </c>
      <c r="DI181">
        <f>IF(ISBLANK('Data Entry'!$±$181), "", 'Data Entry'!$±$181)</f>
      </c>
      <c r="DJ181">
        <f>IF(ISBLANK('Data Entry'!$²$181), "", 'Data Entry'!$²$181)</f>
      </c>
      <c r="DK181">
        <f>IF(ISBLANK('Data Entry'!$³$181), "", 'Data Entry'!$³$181)</f>
      </c>
      <c r="DL181">
        <f>IF(ISBLANK('Data Entry'!$´$181), "", 'Data Entry'!$´$181)</f>
      </c>
      <c r="DM181">
        <f>IF(ISBLANK('Data Entry'!$µ$181), "", 'Data Entry'!$µ$181)</f>
      </c>
      <c r="DN181">
        <f>IF(ISBLANK('Data Entry'!$¶$181), "", 'Data Entry'!$¶$181)</f>
      </c>
      <c r="DO181">
        <f>IF(ISBLANK('Data Entry'!$·$181), "", 'Data Entry'!$·$181)</f>
      </c>
      <c r="DP181">
        <f>IF(ISBLANK('Data Entry'!$¸$181), "", 'Data Entry'!$¸$181)</f>
      </c>
      <c r="DQ181">
        <f>IF(ISBLANK('Data Entry'!$¹$181), "", 'Data Entry'!$¹$181)</f>
      </c>
      <c r="DR181">
        <f>IF(ISBLANK('Data Entry'!$º$181), "", 'Data Entry'!$º$181)</f>
      </c>
      <c r="DS181">
        <f>IF(ISBLANK('Data Entry'!$»$181), "", 'Data Entry'!$»$181)</f>
      </c>
      <c r="DT181">
        <f>IF(ISBLANK('Data Entry'!$¼$181), "", 'Data Entry'!$¼$181)</f>
      </c>
      <c r="DU181">
        <f>IF(ISBLANK('Data Entry'!$½$181), "", 'Data Entry'!$½$181)</f>
      </c>
      <c r="DV181">
        <f>IF(ISBLANK('Data Entry'!$¾$181), "", 'Data Entry'!$¾$181)</f>
      </c>
      <c r="DW181">
        <f>IF(ISBLANK('Data Entry'!$¿$181), "", 'Data Entry'!$¿$181)</f>
      </c>
      <c r="DX181">
        <f>IF(ISBLANK('Data Entry'!$À$181), "", 'Data Entry'!$À$181)</f>
      </c>
      <c r="DY181">
        <f>IF(ISBLANK('Data Entry'!$Á$181), "", 'Data Entry'!$Á$181)</f>
      </c>
      <c r="DZ181">
        <f>IF(ISBLANK('Data Entry'!$Â$181), "", 'Data Entry'!$Â$181)</f>
      </c>
      <c r="EA181">
        <f>IF(ISBLANK('Data Entry'!$Ã$181), "", 'Data Entry'!$Ã$181)</f>
      </c>
      <c r="EB181">
        <f>IF(ISBLANK('Data Entry'!$Ä$181), "", 'Data Entry'!$Ä$181)</f>
      </c>
      <c r="EC181">
        <f>IF(ISBLANK('Data Entry'!$Å$181), "", 'Data Entry'!$Å$181)</f>
      </c>
      <c r="ED181">
        <f>IF(ISBLANK('Data Entry'!$Æ$181), "", 'Data Entry'!$Æ$181)</f>
      </c>
      <c r="EE181">
        <f>IF(ISBLANK('Data Entry'!$Ç$181), "", 'Data Entry'!$Ç$181)</f>
      </c>
      <c r="EF181">
        <f>IF(ISBLANK('Data Entry'!$È$181), "", 'Data Entry'!$È$181)</f>
      </c>
      <c r="EG181">
        <f>IF(ISBLANK('Data Entry'!$É$181), "", 'Data Entry'!$É$181)</f>
      </c>
      <c r="EH181">
        <f>IF(ISBLANK('Data Entry'!$Ê$181), "", 'Data Entry'!$Ê$181)</f>
      </c>
      <c r="EI181">
        <f>IF(ISBLANK('Data Entry'!$Ë$181), "", 'Data Entry'!$Ë$181)</f>
      </c>
      <c r="EJ181">
        <f>IF(ISBLANK('Data Entry'!$Ì$181), "", 'Data Entry'!$Ì$181)</f>
      </c>
      <c r="EK181">
        <f>IF(ISBLANK('Data Entry'!$Í$181), "", 'Data Entry'!$Í$181)</f>
      </c>
      <c r="EL181">
        <f>IF(ISBLANK('Data Entry'!$Î$181), "", 'Data Entry'!$Î$181)</f>
      </c>
      <c r="EM181">
        <f>IF(ISBLANK('Data Entry'!$Ï$181), "", 'Data Entry'!$Ï$181)</f>
      </c>
      <c r="EN181">
        <f>IF(ISBLANK('Data Entry'!$Ð$181), "", 'Data Entry'!$Ð$181)</f>
      </c>
      <c r="EO181">
        <f>IF(ISBLANK('Data Entry'!$Ñ$181), "", 'Data Entry'!$Ñ$181)</f>
      </c>
      <c r="EP181">
        <f>IF(ISBLANK('Data Entry'!$Ò$181), "", 'Data Entry'!$Ò$181)</f>
      </c>
      <c r="EQ181">
        <f>IF(ISBLANK('Data Entry'!$Ó$181), "", 'Data Entry'!$Ó$181)</f>
      </c>
      <c r="ER181">
        <f>IF(ISBLANK('Data Entry'!$Ô$181), "", 'Data Entry'!$Ô$181)</f>
      </c>
      <c r="ES181">
        <f>IF(ISBLANK('Data Entry'!$Õ$181), "", 'Data Entry'!$Õ$181)</f>
      </c>
      <c r="ET181">
        <f>IF(ISBLANK('Data Entry'!$Ö$181), "", 'Data Entry'!$Ö$181)</f>
      </c>
      <c r="EU181">
        <f>IF(ISBLANK('Data Entry'!$×$181), "", 'Data Entry'!$×$181)</f>
      </c>
      <c r="EV181">
        <f>IF(ISBLANK('Data Entry'!$Ø$181), "", 'Data Entry'!$Ø$181)</f>
      </c>
      <c r="EW181">
        <f>IF(ISBLANK('Data Entry'!$Ù$181), "", 'Data Entry'!$Ù$181)</f>
      </c>
      <c r="EX181">
        <f>IF(ISBLANK('Data Entry'!$Ú$181), "", 'Data Entry'!$Ú$181)</f>
      </c>
      <c r="EY181">
        <f>IF(ISBLANK('Data Entry'!$Û$181), "", 'Data Entry'!$Û$181)</f>
      </c>
      <c r="EZ181">
        <f>IF(ISBLANK('Data Entry'!$Ü$181), "", 'Data Entry'!$Ü$181)</f>
      </c>
      <c r="FA181">
        <f>IF(ISBLANK('Data Entry'!$Ý$181), "", 'Data Entry'!$Ý$181)</f>
      </c>
      <c r="FB181">
        <f>IF(ISBLANK('Data Entry'!$Þ$181), "", 'Data Entry'!$Þ$181)</f>
      </c>
      <c r="FC181">
        <f>IF(ISBLANK('Data Entry'!$ß$181), "", 'Data Entry'!$ß$181)</f>
      </c>
      <c r="FD181">
        <f>IF(ISBLANK('Data Entry'!$à$181), "", 'Data Entry'!$à$181)</f>
      </c>
      <c r="FE181">
        <f>IF(ISBLANK('Data Entry'!$á$181), "", 'Data Entry'!$á$181)</f>
      </c>
      <c r="FF181">
        <f>IF(ISBLANK('Data Entry'!$â$181), "", 'Data Entry'!$â$181)</f>
      </c>
      <c r="FG181">
        <f>IF(ISBLANK('Data Entry'!$ã$181), "", 'Data Entry'!$ã$181)</f>
      </c>
      <c r="FH181">
        <f>IF(ISBLANK('Data Entry'!$ä$181), "", 'Data Entry'!$ä$181)</f>
      </c>
      <c r="FI181">
        <f>IF(ISBLANK('Data Entry'!$å$181), "", 'Data Entry'!$å$181)</f>
      </c>
      <c r="FJ181">
        <f>IF(ISBLANK('Data Entry'!$æ$181), "", 'Data Entry'!$æ$181)</f>
      </c>
      <c r="FK181">
        <f>IF(ISBLANK('Data Entry'!$ç$181), "", 'Data Entry'!$ç$181)</f>
      </c>
      <c r="FL181">
        <f>IF(ISBLANK('Data Entry'!$è$181), "", 'Data Entry'!$è$181)</f>
      </c>
      <c r="FM181">
        <f>IF(ISBLANK('Data Entry'!$é$181), "", 'Data Entry'!$é$181)</f>
      </c>
      <c r="FN181">
        <f>IF(ISBLANK('Data Entry'!$ê$181), "", 'Data Entry'!$ê$181)</f>
      </c>
      <c r="FO181">
        <f>IF(ISBLANK('Data Entry'!$ë$181), "", 'Data Entry'!$ë$181)</f>
      </c>
      <c r="FP181">
        <f>IF(ISBLANK('Data Entry'!$ì$181), "", 'Data Entry'!$ì$181)</f>
      </c>
      <c r="FQ181">
        <f>IF(ISBLANK('Data Entry'!$í$181), "", 'Data Entry'!$í$181)</f>
      </c>
      <c r="FR181">
        <f>IF(ISBLANK('Data Entry'!$î$181), "", 'Data Entry'!$î$181)</f>
      </c>
      <c r="FS181">
        <f>IF(ISBLANK('Data Entry'!$ï$181), "", 'Data Entry'!$ï$181)</f>
      </c>
      <c r="FT181">
        <f>IF(ISBLANK('Data Entry'!$ð$181), "", 'Data Entry'!$ð$181)</f>
      </c>
      <c r="FU181">
        <f>IF(ISBLANK('Data Entry'!$ñ$181), "", 'Data Entry'!$ñ$181)</f>
      </c>
      <c r="FV181">
        <f>IF(ISBLANK('Data Entry'!$ò$181), "", 'Data Entry'!$ò$181)</f>
      </c>
      <c r="FW181">
        <f>IF(ISBLANK('Data Entry'!$ó$181), "", 'Data Entry'!$ó$181)</f>
      </c>
      <c r="FX181">
        <f>IF(ISBLANK('Data Entry'!$ô$181), "", 'Data Entry'!$ô$181)</f>
      </c>
      <c r="FY181">
        <f>IF(ISBLANK('Data Entry'!$õ$181), "", 'Data Entry'!$õ$181)</f>
      </c>
      <c r="FZ181">
        <f>IF(ISBLANK('Data Entry'!$ö$181), "", 'Data Entry'!$ö$181)</f>
      </c>
      <c r="GA181">
        <f>IF(ISBLANK('Data Entry'!$÷$181), "", 'Data Entry'!$÷$181)</f>
      </c>
      <c r="GB181">
        <f>IF(ISBLANK('Data Entry'!$ø$181), "", 'Data Entry'!$ø$181)</f>
      </c>
      <c r="GC181">
        <f>IF(ISBLANK('Data Entry'!$ù$181), "", 'Data Entry'!$ù$181)</f>
      </c>
      <c r="GD181">
        <f>IF(ISBLANK('Data Entry'!$ú$181), "", 'Data Entry'!$ú$181)</f>
      </c>
      <c r="GE181">
        <f>IF(ISBLANK('Data Entry'!$û$181), "", 'Data Entry'!$û$181)</f>
      </c>
      <c r="GF181">
        <f>IF(ISBLANK('Data Entry'!$ü$181), "", 'Data Entry'!$ü$181)</f>
      </c>
      <c r="GG181">
        <f>IF(ISBLANK('Data Entry'!$ý$181), "", 'Data Entry'!$ý$181)</f>
      </c>
      <c r="GH181">
        <f>IF(ISBLANK('Data Entry'!$þ$181), "", 'Data Entry'!$þ$181)</f>
      </c>
      <c r="GI181">
        <f>IF(ISBLANK('Data Entry'!$ÿ$181), "", 'Data Entry'!$ÿ$181)</f>
      </c>
      <c r="GJ181">
        <f>IF(ISBLANK('Data Entry'!$Ā$181), "", 'Data Entry'!$Ā$181)</f>
      </c>
      <c r="GK181">
        <f>IF(ISBLANK('Data Entry'!$ā$181), "", 'Data Entry'!$ā$181)</f>
      </c>
      <c r="GL181">
        <f>IF(ISBLANK('Data Entry'!$Ă$181), "", 'Data Entry'!$Ă$181)</f>
      </c>
      <c r="GM181">
        <f>IF(ISBLANK('Data Entry'!$ă$181), "", 'Data Entry'!$ă$181)</f>
      </c>
      <c r="GN181">
        <f>IF(ISBLANK('Data Entry'!$Ą$181), "", 'Data Entry'!$Ą$181)</f>
      </c>
      <c r="GO181">
        <f>IF(ISBLANK('Data Entry'!$ą$181), "", 'Data Entry'!$ą$181)</f>
      </c>
      <c r="GP181">
        <f>IF(ISBLANK('Data Entry'!$Ć$181), "", 'Data Entry'!$Ć$181)</f>
      </c>
      <c r="GQ181">
        <f>IF(ISBLANK('Data Entry'!$ć$181), "", 'Data Entry'!$ć$181)</f>
      </c>
      <c r="GR181">
        <f>IF(ISBLANK('Data Entry'!$Ĉ$181), "", 'Data Entry'!$Ĉ$181)</f>
      </c>
      <c r="GS181">
        <f>IF(ISBLANK('Data Entry'!$ĉ$181), "", 'Data Entry'!$ĉ$181)</f>
      </c>
      <c r="GT181">
        <f>IF(ISBLANK('Data Entry'!$Ċ$181), "", 'Data Entry'!$Ċ$181)</f>
      </c>
      <c r="GU181">
        <f>IF(ISBLANK('Data Entry'!$ċ$181), "", 'Data Entry'!$ċ$181)</f>
      </c>
      <c r="GV181">
        <f>IF(ISBLANK('Data Entry'!$Č$181), "", 'Data Entry'!$Č$181)</f>
      </c>
      <c r="GW181">
        <f>IF(ISBLANK('Data Entry'!$č$181), "", 'Data Entry'!$č$181)</f>
      </c>
      <c r="GX181">
        <f>IF(ISBLANK('Data Entry'!$Ď$181), "", 'Data Entry'!$Ď$181)</f>
      </c>
      <c r="GY181">
        <f>IF(ISBLANK('Data Entry'!$ď$181), "", 'Data Entry'!$ď$181)</f>
      </c>
      <c r="GZ181">
        <f>IF(ISBLANK('Data Entry'!$Đ$181), "", 'Data Entry'!$Đ$181)</f>
      </c>
      <c r="HA181">
        <f>IF(ISBLANK('Data Entry'!$đ$181), "", 'Data Entry'!$đ$181)</f>
      </c>
      <c r="HB181">
        <f>IF(ISBLANK('Data Entry'!$Ē$181), "", 'Data Entry'!$Ē$181)</f>
      </c>
      <c r="HC181">
        <f>IF(ISBLANK('Data Entry'!$ē$181), "", 'Data Entry'!$ē$181)</f>
      </c>
      <c r="HD181">
        <f>IF(ISBLANK('Data Entry'!$Ĕ$181), "", 'Data Entry'!$Ĕ$181)</f>
      </c>
      <c r="HE181">
        <f>IF(ISBLANK('Data Entry'!$ĕ$181), "", 'Data Entry'!$ĕ$181)</f>
      </c>
      <c r="HF181">
        <f>IF(ISBLANK('Data Entry'!$Ė$181), "", 'Data Entry'!$Ė$181)</f>
      </c>
      <c r="HG181">
        <f>IF(ISBLANK('Data Entry'!$ė$181), "", 'Data Entry'!$ė$181)</f>
      </c>
      <c r="HH181">
        <f>IF(ISBLANK('Data Entry'!$Ę$181), "", 'Data Entry'!$Ę$181)</f>
      </c>
      <c r="HI181">
        <f>IF(ISBLANK('Data Entry'!$ę$181), "", 'Data Entry'!$ę$181)</f>
      </c>
      <c r="HJ181">
        <f>IF(ISBLANK('Data Entry'!$Ě$181), "", 'Data Entry'!$Ě$181)</f>
      </c>
      <c r="HK181">
        <f>IF(ISBLANK('Data Entry'!$ě$181), "", 'Data Entry'!$ě$181)</f>
      </c>
      <c r="HL181">
        <f>IF(ISBLANK('Data Entry'!$Ĝ$181), "", 'Data Entry'!$Ĝ$181)</f>
      </c>
      <c r="HM181">
        <f>IF(ISBLANK('Data Entry'!$ĝ$181), "", 'Data Entry'!$ĝ$181)</f>
      </c>
      <c r="HN181">
        <f>IF(ISBLANK('Data Entry'!$Ğ$181), "", 'Data Entry'!$Ğ$181)</f>
      </c>
      <c r="HO181">
        <f>IF(ISBLANK('Data Entry'!$ğ$181), "", 'Data Entry'!$ğ$181)</f>
      </c>
      <c r="HP181">
        <f>IF(ISBLANK('Data Entry'!$Ġ$181), "", 'Data Entry'!$Ġ$181)</f>
      </c>
      <c r="HQ181">
        <f>IF(ISBLANK('Data Entry'!$ġ$181), "", 'Data Entry'!$ġ$181)</f>
      </c>
      <c r="HR181">
        <f>IF(ISBLANK('Data Entry'!$Ģ$181), "", 'Data Entry'!$Ģ$181)</f>
      </c>
      <c r="HS181">
        <f>IF(ISBLANK('Data Entry'!$ģ$181), "", 'Data Entry'!$ģ$181)</f>
      </c>
      <c r="HT181">
        <f>IF(ISBLANK('Data Entry'!$Ĥ$181), "", 'Data Entry'!$Ĥ$181)</f>
      </c>
      <c r="HU181">
        <f>IF(ISBLANK('Data Entry'!$ĥ$181), "", 'Data Entry'!$ĥ$181)</f>
      </c>
      <c r="HV181">
        <f>IF(ISBLANK('Data Entry'!$Ħ$181), "", 'Data Entry'!$Ħ$181)</f>
      </c>
      <c r="HW181">
        <f>IF(ISBLANK('Data Entry'!$ħ$181), "", 'Data Entry'!$ħ$181)</f>
      </c>
      <c r="HX181">
        <f>IF(ISBLANK('Data Entry'!$Ĩ$181), "", 'Data Entry'!$Ĩ$181)</f>
      </c>
      <c r="HY181">
        <f>IF(ISBLANK('Data Entry'!$ĩ$181), "", 'Data Entry'!$ĩ$181)</f>
      </c>
      <c r="HZ181">
        <f>IF(ISBLANK('Data Entry'!$Ī$181), "", 'Data Entry'!$Ī$181)</f>
      </c>
      <c r="IA181">
        <f>IF(ISBLANK('Data Entry'!$ī$181), "", 'Data Entry'!$ī$181)</f>
      </c>
      <c r="IB181">
        <f>IF(ISBLANK('Data Entry'!$Ĭ$181), "", 'Data Entry'!$Ĭ$181)</f>
      </c>
      <c r="IC181">
        <f>IF(ISBLANK('Data Entry'!$ĭ$181), "", 'Data Entry'!$ĭ$181)</f>
      </c>
      <c r="ID181">
        <f>IF(ISBLANK('Data Entry'!$Į$181), "", 'Data Entry'!$Į$181)</f>
      </c>
      <c r="IE181">
        <f>IF(ISBLANK('Data Entry'!$į$181), "", 'Data Entry'!$į$181)</f>
      </c>
      <c r="IF181">
        <f>IF(ISBLANK('Data Entry'!$İ$181), "", 'Data Entry'!$İ$181)</f>
      </c>
      <c r="IG181">
        <f>IF(ISBLANK('Data Entry'!$ı$181), "", 'Data Entry'!$ı$181)</f>
      </c>
      <c r="IH181">
        <f>IF(ISBLANK('Data Entry'!$Ĳ$181), "", 'Data Entry'!$Ĳ$181)</f>
      </c>
      <c r="II181">
        <f>IF(ISBLANK('Data Entry'!$ĳ$181), "", 'Data Entry'!$ĳ$181)</f>
      </c>
      <c r="IJ181">
        <f>IF(ISBLANK('Data Entry'!$Ĵ$181), "", 'Data Entry'!$Ĵ$181)</f>
      </c>
      <c r="IK181">
        <f>IF(ISBLANK('Data Entry'!$ĵ$181), "", 'Data Entry'!$ĵ$181)</f>
      </c>
      <c r="IL181">
        <f>IF(ISBLANK('Data Entry'!$Ķ$181), "", 'Data Entry'!$Ķ$181)</f>
      </c>
      <c r="IM181">
        <f>IF(ISBLANK('Data Entry'!$ķ$181), "", 'Data Entry'!$ķ$181)</f>
      </c>
      <c r="IN181">
        <f>IF(ISBLANK('Data Entry'!$ĸ$181), "", 'Data Entry'!$ĸ$181)</f>
      </c>
      <c r="IO181">
        <f>IF(ISBLANK('Data Entry'!$Ĺ$181), "", 'Data Entry'!$Ĺ$181)</f>
      </c>
      <c r="IP181">
        <f>IF(ISBLANK('Data Entry'!$ĺ$181), "", 'Data Entry'!$ĺ$181)</f>
      </c>
      <c r="IQ181">
        <f>IF(ISBLANK('Data Entry'!$Ļ$181), "", 'Data Entry'!$Ļ$181)</f>
      </c>
      <c r="IR181">
        <f>IF(ISBLANK('Data Entry'!$ļ$181), "", 'Data Entry'!$ļ$181)</f>
      </c>
      <c r="IS181">
        <f>IF(ISBLANK('Data Entry'!$Ľ$181), "", 'Data Entry'!$Ľ$181)</f>
      </c>
      <c r="IT181">
        <f>IF(ISBLANK('Data Entry'!$ľ$181), "", 'Data Entry'!$ľ$181)</f>
      </c>
    </row>
    <row r="182" spans="1:254" x14ac:dyDescent="0.25">
      <c r="A182">
        <f>IF(ISBLANK('Data Entry'!$A$182), "", 'Data Entry'!$A$182)</f>
      </c>
      <c r="B182">
        <f>IF(ISBLANK('Data Entry'!$B$182), "", 'Data Entry'!$B$182)</f>
      </c>
      <c r="C182">
        <f>IF(ISBLANK('Data Entry'!$C$182), "", 'Data Entry'!$C$182)</f>
      </c>
      <c r="D182">
        <f>IF(ISBLANK('Data Entry'!$D$182), "", 'Data Entry'!$D$182)</f>
      </c>
      <c r="E182">
        <f>IF(ISBLANK('Data Entry'!$E$182), "", 'Data Entry'!$E$182)</f>
      </c>
      <c r="F182">
        <f>IF(ISBLANK('Data Entry'!$F$182), "", 'Data Entry'!$F$182)</f>
      </c>
      <c r="G182">
        <f>IF(ISBLANK('Data Entry'!$G$182), "", 'Data Entry'!$G$182)</f>
      </c>
      <c r="H182">
        <f>IF(ISBLANK('Data Entry'!$H$182), "", 'Data Entry'!$H$182)</f>
      </c>
      <c r="I182">
        <f>IF(ISBLANK('Data Entry'!$I$182), "", 'Data Entry'!$I$182)</f>
      </c>
      <c r="J182">
        <f>IF(ISBLANK('Data Entry'!$J$182), "", 'Data Entry'!$J$182)</f>
      </c>
      <c r="K182">
        <f>IF(ISBLANK('Data Entry'!$K$182), "", 'Data Entry'!$K$182)</f>
      </c>
      <c r="L182">
        <f>IF(ISBLANK('Data Entry'!$L$182), "", 'Data Entry'!$L$182)</f>
      </c>
      <c r="M182">
        <f>IF(ISBLANK('Data Entry'!$M$182), "", 'Data Entry'!$M$182)</f>
      </c>
      <c r="N182">
        <f>IF(ISBLANK('Data Entry'!$N$182), "", 'Data Entry'!$N$182)</f>
      </c>
      <c r="O182">
        <f>IF(ISBLANK('Data Entry'!$O$182), "", 'Data Entry'!$O$182)</f>
      </c>
      <c r="P182">
        <f>IF(ISBLANK('Data Entry'!$P$182), "", 'Data Entry'!$P$182)</f>
      </c>
      <c r="Q182">
        <f>IF(ISBLANK('Data Entry'!$Q$182), "", 'Data Entry'!$Q$182)</f>
      </c>
      <c r="R182">
        <f>IF(ISBLANK('Data Entry'!$R$182), "", 'Data Entry'!$R$182)</f>
      </c>
      <c r="S182">
        <f>IF(ISBLANK('Data Entry'!$S$182), "", 'Data Entry'!$S$182)</f>
      </c>
      <c r="T182">
        <f>IF(ISBLANK('Data Entry'!$T$182), "", 'Data Entry'!$T$182)</f>
      </c>
      <c r="U182">
        <f>IF(ISBLANK('Data Entry'!$U$182), "", 'Data Entry'!$U$182)</f>
      </c>
      <c r="V182">
        <f>IF(ISBLANK('Data Entry'!$V$182), "", 'Data Entry'!$V$182)</f>
      </c>
      <c r="W182">
        <f>IF(ISBLANK('Data Entry'!$W$182), "", 'Data Entry'!$W$182)</f>
      </c>
      <c r="X182">
        <f>IF(ISBLANK('Data Entry'!$X$182), "", 'Data Entry'!$X$182)</f>
      </c>
      <c r="Y182">
        <f>IF(ISBLANK('Data Entry'!$Y$182), "", 'Data Entry'!$Y$182)</f>
      </c>
      <c r="Z182">
        <f>IF(ISBLANK('Data Entry'!$Z$182), "", 'Data Entry'!$Z$182)</f>
      </c>
      <c r="AA182">
        <f>IF(ISBLANK('Data Entry'!$[$182), "", 'Data Entry'!$[$182)</f>
      </c>
      <c r="AB182">
        <f>IF(ISBLANK('Data Entry'!$\$182), "", 'Data Entry'!$\$182)</f>
      </c>
      <c r="AC182">
        <f>IF(ISBLANK('Data Entry'!$]$182), "", 'Data Entry'!$]$182)</f>
      </c>
      <c r="AD182">
        <f>IF(ISBLANK('Data Entry'!$^$182), "", 'Data Entry'!$^$182)</f>
      </c>
      <c r="AE182">
        <f>IF(ISBLANK('Data Entry'!$_$182), "", 'Data Entry'!$_$182)</f>
      </c>
      <c r="AF182">
        <f>IF(ISBLANK('Data Entry'!$`$182), "", 'Data Entry'!$`$182)</f>
      </c>
      <c r="AG182">
        <f>IF(ISBLANK('Data Entry'!$a$182), "", 'Data Entry'!$a$182)</f>
      </c>
      <c r="AH182">
        <f>IF(ISBLANK('Data Entry'!$b$182), "", 'Data Entry'!$b$182)</f>
      </c>
      <c r="AI182">
        <f>IF(ISBLANK('Data Entry'!$c$182), "", 'Data Entry'!$c$182)</f>
      </c>
      <c r="AJ182">
        <f>IF(ISBLANK('Data Entry'!$d$182), "", 'Data Entry'!$d$182)</f>
      </c>
      <c r="AK182">
        <f>IF(ISBLANK('Data Entry'!$e$182), "", 'Data Entry'!$e$182)</f>
      </c>
      <c r="AL182">
        <f>IF(ISBLANK('Data Entry'!$f$182), "", 'Data Entry'!$f$182)</f>
      </c>
      <c r="AM182">
        <f>IF(ISBLANK('Data Entry'!$g$182), "", 'Data Entry'!$g$182)</f>
      </c>
      <c r="AN182">
        <f>IF(ISBLANK('Data Entry'!$h$182), "", 'Data Entry'!$h$182)</f>
      </c>
      <c r="AO182">
        <f>IF(ISBLANK('Data Entry'!$i$182), "", 'Data Entry'!$i$182)</f>
      </c>
      <c r="AP182">
        <f>IF(ISBLANK('Data Entry'!$j$182), "", 'Data Entry'!$j$182)</f>
      </c>
      <c r="AQ182">
        <f>IF(ISBLANK('Data Entry'!$k$182), "", 'Data Entry'!$k$182)</f>
      </c>
      <c r="AR182">
        <f>IF(ISBLANK('Data Entry'!$l$182), "", 'Data Entry'!$l$182)</f>
      </c>
      <c r="AS182">
        <f>IF(ISBLANK('Data Entry'!$m$182), "", 'Data Entry'!$m$182)</f>
      </c>
      <c r="AT182">
        <f>IF(ISBLANK('Data Entry'!$n$182), "", 'Data Entry'!$n$182)</f>
      </c>
      <c r="AU182">
        <f>IF(ISBLANK('Data Entry'!$o$182), "", 'Data Entry'!$o$182)</f>
      </c>
      <c r="AV182">
        <f>IF(ISBLANK('Data Entry'!$p$182), "", 'Data Entry'!$p$182)</f>
      </c>
      <c r="AW182">
        <f>IF(ISBLANK('Data Entry'!$q$182), "", 'Data Entry'!$q$182)</f>
      </c>
      <c r="AX182">
        <f>IF(ISBLANK('Data Entry'!$r$182), "", 'Data Entry'!$r$182)</f>
      </c>
      <c r="AY182">
        <f>IF(ISBLANK('Data Entry'!$s$182), "", 'Data Entry'!$s$182)</f>
      </c>
      <c r="AZ182">
        <f>IF(ISBLANK('Data Entry'!$t$182), "", 'Data Entry'!$t$182)</f>
      </c>
      <c r="BA182">
        <f>IF(ISBLANK('Data Entry'!$u$182), "", 'Data Entry'!$u$182)</f>
      </c>
      <c r="BB182">
        <f>IF(ISBLANK('Data Entry'!$v$182), "", 'Data Entry'!$v$182)</f>
      </c>
      <c r="BC182">
        <f>IF(ISBLANK('Data Entry'!$w$182), "", 'Data Entry'!$w$182)</f>
      </c>
      <c r="BD182">
        <f>IF(ISBLANK('Data Entry'!$x$182), "", 'Data Entry'!$x$182)</f>
      </c>
      <c r="BE182">
        <f>IF(ISBLANK('Data Entry'!$y$182), "", 'Data Entry'!$y$182)</f>
      </c>
      <c r="BF182">
        <f>IF(ISBLANK('Data Entry'!$z$182), "", 'Data Entry'!$z$182)</f>
      </c>
      <c r="BG182">
        <f>IF(ISBLANK('Data Entry'!${$182), "", 'Data Entry'!${$182)</f>
      </c>
      <c r="BH182">
        <f>IF(ISBLANK('Data Entry'!$|$182), "", 'Data Entry'!$|$182)</f>
      </c>
      <c r="BI182">
        <f>IF(ISBLANK('Data Entry'!$}$182), "", 'Data Entry'!$}$182)</f>
      </c>
      <c r="BJ182">
        <f>IF(ISBLANK('Data Entry'!$~$182), "", 'Data Entry'!$~$182)</f>
      </c>
      <c r="BK182">
        <f>IF(ISBLANK('Data Entry'!$$182), "", 'Data Entry'!$$182)</f>
      </c>
      <c r="BL182">
        <f>IF(ISBLANK('Data Entry'!$$182), "", 'Data Entry'!$$182)</f>
      </c>
      <c r="BM182">
        <f>IF(ISBLANK('Data Entry'!$$182), "", 'Data Entry'!$$182)</f>
      </c>
      <c r="BN182">
        <f>IF(ISBLANK('Data Entry'!$$182), "", 'Data Entry'!$$182)</f>
      </c>
      <c r="BO182">
        <f>IF(ISBLANK('Data Entry'!$$182), "", 'Data Entry'!$$182)</f>
      </c>
      <c r="BP182">
        <f>IF(ISBLANK('Data Entry'!$$182), "", 'Data Entry'!$$182)</f>
      </c>
      <c r="BQ182">
        <f>IF(ISBLANK('Data Entry'!$$182), "", 'Data Entry'!$$182)</f>
      </c>
      <c r="BR182">
        <f>IF(ISBLANK('Data Entry'!$$182), "", 'Data Entry'!$$182)</f>
      </c>
      <c r="BS182">
        <f>IF(ISBLANK('Data Entry'!$$182), "", 'Data Entry'!$$182)</f>
      </c>
      <c r="BT182">
        <f>IF(ISBLANK('Data Entry'!$$182), "", 'Data Entry'!$$182)</f>
      </c>
      <c r="BU182">
        <f>IF(ISBLANK('Data Entry'!$$182), "", 'Data Entry'!$$182)</f>
      </c>
      <c r="BV182">
        <f>IF(ISBLANK('Data Entry'!$$182), "", 'Data Entry'!$$182)</f>
      </c>
      <c r="BW182">
        <f>IF(ISBLANK('Data Entry'!$$182), "", 'Data Entry'!$$182)</f>
      </c>
      <c r="BX182">
        <f>IF(ISBLANK('Data Entry'!$$182), "", 'Data Entry'!$$182)</f>
      </c>
      <c r="BY182">
        <f>IF(ISBLANK('Data Entry'!$$182), "", 'Data Entry'!$$182)</f>
      </c>
      <c r="BZ182">
        <f>IF(ISBLANK('Data Entry'!$$182), "", 'Data Entry'!$$182)</f>
      </c>
      <c r="CA182">
        <f>IF(ISBLANK('Data Entry'!$$182), "", 'Data Entry'!$$182)</f>
      </c>
      <c r="CB182">
        <f>IF(ISBLANK('Data Entry'!$$182), "", 'Data Entry'!$$182)</f>
      </c>
      <c r="CC182">
        <f>IF(ISBLANK('Data Entry'!$$182), "", 'Data Entry'!$$182)</f>
      </c>
      <c r="CD182">
        <f>IF(ISBLANK('Data Entry'!$$182), "", 'Data Entry'!$$182)</f>
      </c>
      <c r="CE182">
        <f>IF(ISBLANK('Data Entry'!$$182), "", 'Data Entry'!$$182)</f>
      </c>
      <c r="CF182">
        <f>IF(ISBLANK('Data Entry'!$$182), "", 'Data Entry'!$$182)</f>
      </c>
      <c r="CG182">
        <f>IF(ISBLANK('Data Entry'!$$182), "", 'Data Entry'!$$182)</f>
      </c>
      <c r="CH182">
        <f>IF(ISBLANK('Data Entry'!$$182), "", 'Data Entry'!$$182)</f>
      </c>
      <c r="CI182">
        <f>IF(ISBLANK('Data Entry'!$$182), "", 'Data Entry'!$$182)</f>
      </c>
      <c r="CJ182">
        <f>IF(ISBLANK('Data Entry'!$$182), "", 'Data Entry'!$$182)</f>
      </c>
      <c r="CK182">
        <f>IF(ISBLANK('Data Entry'!$$182), "", 'Data Entry'!$$182)</f>
      </c>
      <c r="CL182">
        <f>IF(ISBLANK('Data Entry'!$$182), "", 'Data Entry'!$$182)</f>
      </c>
      <c r="CM182">
        <f>IF(ISBLANK('Data Entry'!$$182), "", 'Data Entry'!$$182)</f>
      </c>
      <c r="CN182">
        <f>IF(ISBLANK('Data Entry'!$$182), "", 'Data Entry'!$$182)</f>
      </c>
      <c r="CO182">
        <f>IF(ISBLANK('Data Entry'!$$182), "", 'Data Entry'!$$182)</f>
      </c>
      <c r="CP182">
        <f>IF(ISBLANK('Data Entry'!$$182), "", 'Data Entry'!$$182)</f>
      </c>
      <c r="CQ182">
        <f>IF(ISBLANK('Data Entry'!$$182), "", 'Data Entry'!$$182)</f>
      </c>
      <c r="CR182">
        <f>IF(ISBLANK('Data Entry'!$ $182), "", 'Data Entry'!$ $182)</f>
      </c>
      <c r="CS182">
        <f>IF(ISBLANK('Data Entry'!$¡$182), "", 'Data Entry'!$¡$182)</f>
      </c>
      <c r="CT182">
        <f>IF(ISBLANK('Data Entry'!$¢$182), "", 'Data Entry'!$¢$182)</f>
      </c>
      <c r="CU182">
        <f>IF(ISBLANK('Data Entry'!$£$182), "", 'Data Entry'!$£$182)</f>
      </c>
      <c r="CV182">
        <f>IF(ISBLANK('Data Entry'!$¤$182), "", 'Data Entry'!$¤$182)</f>
      </c>
      <c r="CW182">
        <f>IF(ISBLANK('Data Entry'!$¥$182), "", 'Data Entry'!$¥$182)</f>
      </c>
      <c r="CX182">
        <f>IF(ISBLANK('Data Entry'!$¦$182), "", 'Data Entry'!$¦$182)</f>
      </c>
      <c r="CY182">
        <f>IF(ISBLANK('Data Entry'!$§$182), "", 'Data Entry'!$§$182)</f>
      </c>
      <c r="CZ182">
        <f>IF(ISBLANK('Data Entry'!$¨$182), "", 'Data Entry'!$¨$182)</f>
      </c>
      <c r="DA182">
        <f>IF(ISBLANK('Data Entry'!$©$182), "", 'Data Entry'!$©$182)</f>
      </c>
      <c r="DB182">
        <f>IF(ISBLANK('Data Entry'!$ª$182), "", 'Data Entry'!$ª$182)</f>
      </c>
      <c r="DC182">
        <f>IF(ISBLANK('Data Entry'!$«$182), "", 'Data Entry'!$«$182)</f>
      </c>
      <c r="DD182">
        <f>IF(ISBLANK('Data Entry'!$¬$182), "", 'Data Entry'!$¬$182)</f>
      </c>
      <c r="DE182">
        <f>IF(ISBLANK('Data Entry'!$­$182), "", 'Data Entry'!$­$182)</f>
      </c>
      <c r="DF182">
        <f>IF(ISBLANK('Data Entry'!$®$182), "", 'Data Entry'!$®$182)</f>
      </c>
      <c r="DG182">
        <f>IF(ISBLANK('Data Entry'!$¯$182), "", 'Data Entry'!$¯$182)</f>
      </c>
      <c r="DH182">
        <f>IF(ISBLANK('Data Entry'!$°$182), "", 'Data Entry'!$°$182)</f>
      </c>
      <c r="DI182">
        <f>IF(ISBLANK('Data Entry'!$±$182), "", 'Data Entry'!$±$182)</f>
      </c>
      <c r="DJ182">
        <f>IF(ISBLANK('Data Entry'!$²$182), "", 'Data Entry'!$²$182)</f>
      </c>
      <c r="DK182">
        <f>IF(ISBLANK('Data Entry'!$³$182), "", 'Data Entry'!$³$182)</f>
      </c>
      <c r="DL182">
        <f>IF(ISBLANK('Data Entry'!$´$182), "", 'Data Entry'!$´$182)</f>
      </c>
      <c r="DM182">
        <f>IF(ISBLANK('Data Entry'!$µ$182), "", 'Data Entry'!$µ$182)</f>
      </c>
      <c r="DN182">
        <f>IF(ISBLANK('Data Entry'!$¶$182), "", 'Data Entry'!$¶$182)</f>
      </c>
      <c r="DO182">
        <f>IF(ISBLANK('Data Entry'!$·$182), "", 'Data Entry'!$·$182)</f>
      </c>
      <c r="DP182">
        <f>IF(ISBLANK('Data Entry'!$¸$182), "", 'Data Entry'!$¸$182)</f>
      </c>
      <c r="DQ182">
        <f>IF(ISBLANK('Data Entry'!$¹$182), "", 'Data Entry'!$¹$182)</f>
      </c>
      <c r="DR182">
        <f>IF(ISBLANK('Data Entry'!$º$182), "", 'Data Entry'!$º$182)</f>
      </c>
      <c r="DS182">
        <f>IF(ISBLANK('Data Entry'!$»$182), "", 'Data Entry'!$»$182)</f>
      </c>
      <c r="DT182">
        <f>IF(ISBLANK('Data Entry'!$¼$182), "", 'Data Entry'!$¼$182)</f>
      </c>
      <c r="DU182">
        <f>IF(ISBLANK('Data Entry'!$½$182), "", 'Data Entry'!$½$182)</f>
      </c>
      <c r="DV182">
        <f>IF(ISBLANK('Data Entry'!$¾$182), "", 'Data Entry'!$¾$182)</f>
      </c>
      <c r="DW182">
        <f>IF(ISBLANK('Data Entry'!$¿$182), "", 'Data Entry'!$¿$182)</f>
      </c>
      <c r="DX182">
        <f>IF(ISBLANK('Data Entry'!$À$182), "", 'Data Entry'!$À$182)</f>
      </c>
      <c r="DY182">
        <f>IF(ISBLANK('Data Entry'!$Á$182), "", 'Data Entry'!$Á$182)</f>
      </c>
      <c r="DZ182">
        <f>IF(ISBLANK('Data Entry'!$Â$182), "", 'Data Entry'!$Â$182)</f>
      </c>
      <c r="EA182">
        <f>IF(ISBLANK('Data Entry'!$Ã$182), "", 'Data Entry'!$Ã$182)</f>
      </c>
      <c r="EB182">
        <f>IF(ISBLANK('Data Entry'!$Ä$182), "", 'Data Entry'!$Ä$182)</f>
      </c>
      <c r="EC182">
        <f>IF(ISBLANK('Data Entry'!$Å$182), "", 'Data Entry'!$Å$182)</f>
      </c>
      <c r="ED182">
        <f>IF(ISBLANK('Data Entry'!$Æ$182), "", 'Data Entry'!$Æ$182)</f>
      </c>
      <c r="EE182">
        <f>IF(ISBLANK('Data Entry'!$Ç$182), "", 'Data Entry'!$Ç$182)</f>
      </c>
      <c r="EF182">
        <f>IF(ISBLANK('Data Entry'!$È$182), "", 'Data Entry'!$È$182)</f>
      </c>
      <c r="EG182">
        <f>IF(ISBLANK('Data Entry'!$É$182), "", 'Data Entry'!$É$182)</f>
      </c>
      <c r="EH182">
        <f>IF(ISBLANK('Data Entry'!$Ê$182), "", 'Data Entry'!$Ê$182)</f>
      </c>
      <c r="EI182">
        <f>IF(ISBLANK('Data Entry'!$Ë$182), "", 'Data Entry'!$Ë$182)</f>
      </c>
      <c r="EJ182">
        <f>IF(ISBLANK('Data Entry'!$Ì$182), "", 'Data Entry'!$Ì$182)</f>
      </c>
      <c r="EK182">
        <f>IF(ISBLANK('Data Entry'!$Í$182), "", 'Data Entry'!$Í$182)</f>
      </c>
      <c r="EL182">
        <f>IF(ISBLANK('Data Entry'!$Î$182), "", 'Data Entry'!$Î$182)</f>
      </c>
      <c r="EM182">
        <f>IF(ISBLANK('Data Entry'!$Ï$182), "", 'Data Entry'!$Ï$182)</f>
      </c>
      <c r="EN182">
        <f>IF(ISBLANK('Data Entry'!$Ð$182), "", 'Data Entry'!$Ð$182)</f>
      </c>
      <c r="EO182">
        <f>IF(ISBLANK('Data Entry'!$Ñ$182), "", 'Data Entry'!$Ñ$182)</f>
      </c>
      <c r="EP182">
        <f>IF(ISBLANK('Data Entry'!$Ò$182), "", 'Data Entry'!$Ò$182)</f>
      </c>
      <c r="EQ182">
        <f>IF(ISBLANK('Data Entry'!$Ó$182), "", 'Data Entry'!$Ó$182)</f>
      </c>
      <c r="ER182">
        <f>IF(ISBLANK('Data Entry'!$Ô$182), "", 'Data Entry'!$Ô$182)</f>
      </c>
      <c r="ES182">
        <f>IF(ISBLANK('Data Entry'!$Õ$182), "", 'Data Entry'!$Õ$182)</f>
      </c>
      <c r="ET182">
        <f>IF(ISBLANK('Data Entry'!$Ö$182), "", 'Data Entry'!$Ö$182)</f>
      </c>
      <c r="EU182">
        <f>IF(ISBLANK('Data Entry'!$×$182), "", 'Data Entry'!$×$182)</f>
      </c>
      <c r="EV182">
        <f>IF(ISBLANK('Data Entry'!$Ø$182), "", 'Data Entry'!$Ø$182)</f>
      </c>
      <c r="EW182">
        <f>IF(ISBLANK('Data Entry'!$Ù$182), "", 'Data Entry'!$Ù$182)</f>
      </c>
      <c r="EX182">
        <f>IF(ISBLANK('Data Entry'!$Ú$182), "", 'Data Entry'!$Ú$182)</f>
      </c>
      <c r="EY182">
        <f>IF(ISBLANK('Data Entry'!$Û$182), "", 'Data Entry'!$Û$182)</f>
      </c>
      <c r="EZ182">
        <f>IF(ISBLANK('Data Entry'!$Ü$182), "", 'Data Entry'!$Ü$182)</f>
      </c>
      <c r="FA182">
        <f>IF(ISBLANK('Data Entry'!$Ý$182), "", 'Data Entry'!$Ý$182)</f>
      </c>
      <c r="FB182">
        <f>IF(ISBLANK('Data Entry'!$Þ$182), "", 'Data Entry'!$Þ$182)</f>
      </c>
      <c r="FC182">
        <f>IF(ISBLANK('Data Entry'!$ß$182), "", 'Data Entry'!$ß$182)</f>
      </c>
      <c r="FD182">
        <f>IF(ISBLANK('Data Entry'!$à$182), "", 'Data Entry'!$à$182)</f>
      </c>
      <c r="FE182">
        <f>IF(ISBLANK('Data Entry'!$á$182), "", 'Data Entry'!$á$182)</f>
      </c>
      <c r="FF182">
        <f>IF(ISBLANK('Data Entry'!$â$182), "", 'Data Entry'!$â$182)</f>
      </c>
      <c r="FG182">
        <f>IF(ISBLANK('Data Entry'!$ã$182), "", 'Data Entry'!$ã$182)</f>
      </c>
      <c r="FH182">
        <f>IF(ISBLANK('Data Entry'!$ä$182), "", 'Data Entry'!$ä$182)</f>
      </c>
      <c r="FI182">
        <f>IF(ISBLANK('Data Entry'!$å$182), "", 'Data Entry'!$å$182)</f>
      </c>
      <c r="FJ182">
        <f>IF(ISBLANK('Data Entry'!$æ$182), "", 'Data Entry'!$æ$182)</f>
      </c>
      <c r="FK182">
        <f>IF(ISBLANK('Data Entry'!$ç$182), "", 'Data Entry'!$ç$182)</f>
      </c>
      <c r="FL182">
        <f>IF(ISBLANK('Data Entry'!$è$182), "", 'Data Entry'!$è$182)</f>
      </c>
      <c r="FM182">
        <f>IF(ISBLANK('Data Entry'!$é$182), "", 'Data Entry'!$é$182)</f>
      </c>
      <c r="FN182">
        <f>IF(ISBLANK('Data Entry'!$ê$182), "", 'Data Entry'!$ê$182)</f>
      </c>
      <c r="FO182">
        <f>IF(ISBLANK('Data Entry'!$ë$182), "", 'Data Entry'!$ë$182)</f>
      </c>
      <c r="FP182">
        <f>IF(ISBLANK('Data Entry'!$ì$182), "", 'Data Entry'!$ì$182)</f>
      </c>
      <c r="FQ182">
        <f>IF(ISBLANK('Data Entry'!$í$182), "", 'Data Entry'!$í$182)</f>
      </c>
      <c r="FR182">
        <f>IF(ISBLANK('Data Entry'!$î$182), "", 'Data Entry'!$î$182)</f>
      </c>
      <c r="FS182">
        <f>IF(ISBLANK('Data Entry'!$ï$182), "", 'Data Entry'!$ï$182)</f>
      </c>
      <c r="FT182">
        <f>IF(ISBLANK('Data Entry'!$ð$182), "", 'Data Entry'!$ð$182)</f>
      </c>
      <c r="FU182">
        <f>IF(ISBLANK('Data Entry'!$ñ$182), "", 'Data Entry'!$ñ$182)</f>
      </c>
      <c r="FV182">
        <f>IF(ISBLANK('Data Entry'!$ò$182), "", 'Data Entry'!$ò$182)</f>
      </c>
      <c r="FW182">
        <f>IF(ISBLANK('Data Entry'!$ó$182), "", 'Data Entry'!$ó$182)</f>
      </c>
      <c r="FX182">
        <f>IF(ISBLANK('Data Entry'!$ô$182), "", 'Data Entry'!$ô$182)</f>
      </c>
      <c r="FY182">
        <f>IF(ISBLANK('Data Entry'!$õ$182), "", 'Data Entry'!$õ$182)</f>
      </c>
      <c r="FZ182">
        <f>IF(ISBLANK('Data Entry'!$ö$182), "", 'Data Entry'!$ö$182)</f>
      </c>
      <c r="GA182">
        <f>IF(ISBLANK('Data Entry'!$÷$182), "", 'Data Entry'!$÷$182)</f>
      </c>
      <c r="GB182">
        <f>IF(ISBLANK('Data Entry'!$ø$182), "", 'Data Entry'!$ø$182)</f>
      </c>
      <c r="GC182">
        <f>IF(ISBLANK('Data Entry'!$ù$182), "", 'Data Entry'!$ù$182)</f>
      </c>
      <c r="GD182">
        <f>IF(ISBLANK('Data Entry'!$ú$182), "", 'Data Entry'!$ú$182)</f>
      </c>
      <c r="GE182">
        <f>IF(ISBLANK('Data Entry'!$û$182), "", 'Data Entry'!$û$182)</f>
      </c>
      <c r="GF182">
        <f>IF(ISBLANK('Data Entry'!$ü$182), "", 'Data Entry'!$ü$182)</f>
      </c>
      <c r="GG182">
        <f>IF(ISBLANK('Data Entry'!$ý$182), "", 'Data Entry'!$ý$182)</f>
      </c>
      <c r="GH182">
        <f>IF(ISBLANK('Data Entry'!$þ$182), "", 'Data Entry'!$þ$182)</f>
      </c>
      <c r="GI182">
        <f>IF(ISBLANK('Data Entry'!$ÿ$182), "", 'Data Entry'!$ÿ$182)</f>
      </c>
      <c r="GJ182">
        <f>IF(ISBLANK('Data Entry'!$Ā$182), "", 'Data Entry'!$Ā$182)</f>
      </c>
      <c r="GK182">
        <f>IF(ISBLANK('Data Entry'!$ā$182), "", 'Data Entry'!$ā$182)</f>
      </c>
      <c r="GL182">
        <f>IF(ISBLANK('Data Entry'!$Ă$182), "", 'Data Entry'!$Ă$182)</f>
      </c>
      <c r="GM182">
        <f>IF(ISBLANK('Data Entry'!$ă$182), "", 'Data Entry'!$ă$182)</f>
      </c>
      <c r="GN182">
        <f>IF(ISBLANK('Data Entry'!$Ą$182), "", 'Data Entry'!$Ą$182)</f>
      </c>
      <c r="GO182">
        <f>IF(ISBLANK('Data Entry'!$ą$182), "", 'Data Entry'!$ą$182)</f>
      </c>
      <c r="GP182">
        <f>IF(ISBLANK('Data Entry'!$Ć$182), "", 'Data Entry'!$Ć$182)</f>
      </c>
      <c r="GQ182">
        <f>IF(ISBLANK('Data Entry'!$ć$182), "", 'Data Entry'!$ć$182)</f>
      </c>
      <c r="GR182">
        <f>IF(ISBLANK('Data Entry'!$Ĉ$182), "", 'Data Entry'!$Ĉ$182)</f>
      </c>
      <c r="GS182">
        <f>IF(ISBLANK('Data Entry'!$ĉ$182), "", 'Data Entry'!$ĉ$182)</f>
      </c>
      <c r="GT182">
        <f>IF(ISBLANK('Data Entry'!$Ċ$182), "", 'Data Entry'!$Ċ$182)</f>
      </c>
      <c r="GU182">
        <f>IF(ISBLANK('Data Entry'!$ċ$182), "", 'Data Entry'!$ċ$182)</f>
      </c>
      <c r="GV182">
        <f>IF(ISBLANK('Data Entry'!$Č$182), "", 'Data Entry'!$Č$182)</f>
      </c>
      <c r="GW182">
        <f>IF(ISBLANK('Data Entry'!$č$182), "", 'Data Entry'!$č$182)</f>
      </c>
      <c r="GX182">
        <f>IF(ISBLANK('Data Entry'!$Ď$182), "", 'Data Entry'!$Ď$182)</f>
      </c>
      <c r="GY182">
        <f>IF(ISBLANK('Data Entry'!$ď$182), "", 'Data Entry'!$ď$182)</f>
      </c>
      <c r="GZ182">
        <f>IF(ISBLANK('Data Entry'!$Đ$182), "", 'Data Entry'!$Đ$182)</f>
      </c>
      <c r="HA182">
        <f>IF(ISBLANK('Data Entry'!$đ$182), "", 'Data Entry'!$đ$182)</f>
      </c>
      <c r="HB182">
        <f>IF(ISBLANK('Data Entry'!$Ē$182), "", 'Data Entry'!$Ē$182)</f>
      </c>
      <c r="HC182">
        <f>IF(ISBLANK('Data Entry'!$ē$182), "", 'Data Entry'!$ē$182)</f>
      </c>
      <c r="HD182">
        <f>IF(ISBLANK('Data Entry'!$Ĕ$182), "", 'Data Entry'!$Ĕ$182)</f>
      </c>
      <c r="HE182">
        <f>IF(ISBLANK('Data Entry'!$ĕ$182), "", 'Data Entry'!$ĕ$182)</f>
      </c>
      <c r="HF182">
        <f>IF(ISBLANK('Data Entry'!$Ė$182), "", 'Data Entry'!$Ė$182)</f>
      </c>
      <c r="HG182">
        <f>IF(ISBLANK('Data Entry'!$ė$182), "", 'Data Entry'!$ė$182)</f>
      </c>
      <c r="HH182">
        <f>IF(ISBLANK('Data Entry'!$Ę$182), "", 'Data Entry'!$Ę$182)</f>
      </c>
      <c r="HI182">
        <f>IF(ISBLANK('Data Entry'!$ę$182), "", 'Data Entry'!$ę$182)</f>
      </c>
      <c r="HJ182">
        <f>IF(ISBLANK('Data Entry'!$Ě$182), "", 'Data Entry'!$Ě$182)</f>
      </c>
      <c r="HK182">
        <f>IF(ISBLANK('Data Entry'!$ě$182), "", 'Data Entry'!$ě$182)</f>
      </c>
      <c r="HL182">
        <f>IF(ISBLANK('Data Entry'!$Ĝ$182), "", 'Data Entry'!$Ĝ$182)</f>
      </c>
      <c r="HM182">
        <f>IF(ISBLANK('Data Entry'!$ĝ$182), "", 'Data Entry'!$ĝ$182)</f>
      </c>
      <c r="HN182">
        <f>IF(ISBLANK('Data Entry'!$Ğ$182), "", 'Data Entry'!$Ğ$182)</f>
      </c>
      <c r="HO182">
        <f>IF(ISBLANK('Data Entry'!$ğ$182), "", 'Data Entry'!$ğ$182)</f>
      </c>
      <c r="HP182">
        <f>IF(ISBLANK('Data Entry'!$Ġ$182), "", 'Data Entry'!$Ġ$182)</f>
      </c>
      <c r="HQ182">
        <f>IF(ISBLANK('Data Entry'!$ġ$182), "", 'Data Entry'!$ġ$182)</f>
      </c>
      <c r="HR182">
        <f>IF(ISBLANK('Data Entry'!$Ģ$182), "", 'Data Entry'!$Ģ$182)</f>
      </c>
      <c r="HS182">
        <f>IF(ISBLANK('Data Entry'!$ģ$182), "", 'Data Entry'!$ģ$182)</f>
      </c>
      <c r="HT182">
        <f>IF(ISBLANK('Data Entry'!$Ĥ$182), "", 'Data Entry'!$Ĥ$182)</f>
      </c>
      <c r="HU182">
        <f>IF(ISBLANK('Data Entry'!$ĥ$182), "", 'Data Entry'!$ĥ$182)</f>
      </c>
      <c r="HV182">
        <f>IF(ISBLANK('Data Entry'!$Ħ$182), "", 'Data Entry'!$Ħ$182)</f>
      </c>
      <c r="HW182">
        <f>IF(ISBLANK('Data Entry'!$ħ$182), "", 'Data Entry'!$ħ$182)</f>
      </c>
      <c r="HX182">
        <f>IF(ISBLANK('Data Entry'!$Ĩ$182), "", 'Data Entry'!$Ĩ$182)</f>
      </c>
      <c r="HY182">
        <f>IF(ISBLANK('Data Entry'!$ĩ$182), "", 'Data Entry'!$ĩ$182)</f>
      </c>
      <c r="HZ182">
        <f>IF(ISBLANK('Data Entry'!$Ī$182), "", 'Data Entry'!$Ī$182)</f>
      </c>
      <c r="IA182">
        <f>IF(ISBLANK('Data Entry'!$ī$182), "", 'Data Entry'!$ī$182)</f>
      </c>
      <c r="IB182">
        <f>IF(ISBLANK('Data Entry'!$Ĭ$182), "", 'Data Entry'!$Ĭ$182)</f>
      </c>
      <c r="IC182">
        <f>IF(ISBLANK('Data Entry'!$ĭ$182), "", 'Data Entry'!$ĭ$182)</f>
      </c>
      <c r="ID182">
        <f>IF(ISBLANK('Data Entry'!$Į$182), "", 'Data Entry'!$Į$182)</f>
      </c>
      <c r="IE182">
        <f>IF(ISBLANK('Data Entry'!$į$182), "", 'Data Entry'!$į$182)</f>
      </c>
      <c r="IF182">
        <f>IF(ISBLANK('Data Entry'!$İ$182), "", 'Data Entry'!$İ$182)</f>
      </c>
      <c r="IG182">
        <f>IF(ISBLANK('Data Entry'!$ı$182), "", 'Data Entry'!$ı$182)</f>
      </c>
      <c r="IH182">
        <f>IF(ISBLANK('Data Entry'!$Ĳ$182), "", 'Data Entry'!$Ĳ$182)</f>
      </c>
      <c r="II182">
        <f>IF(ISBLANK('Data Entry'!$ĳ$182), "", 'Data Entry'!$ĳ$182)</f>
      </c>
      <c r="IJ182">
        <f>IF(ISBLANK('Data Entry'!$Ĵ$182), "", 'Data Entry'!$Ĵ$182)</f>
      </c>
      <c r="IK182">
        <f>IF(ISBLANK('Data Entry'!$ĵ$182), "", 'Data Entry'!$ĵ$182)</f>
      </c>
      <c r="IL182">
        <f>IF(ISBLANK('Data Entry'!$Ķ$182), "", 'Data Entry'!$Ķ$182)</f>
      </c>
      <c r="IM182">
        <f>IF(ISBLANK('Data Entry'!$ķ$182), "", 'Data Entry'!$ķ$182)</f>
      </c>
      <c r="IN182">
        <f>IF(ISBLANK('Data Entry'!$ĸ$182), "", 'Data Entry'!$ĸ$182)</f>
      </c>
      <c r="IO182">
        <f>IF(ISBLANK('Data Entry'!$Ĺ$182), "", 'Data Entry'!$Ĺ$182)</f>
      </c>
      <c r="IP182">
        <f>IF(ISBLANK('Data Entry'!$ĺ$182), "", 'Data Entry'!$ĺ$182)</f>
      </c>
      <c r="IQ182">
        <f>IF(ISBLANK('Data Entry'!$Ļ$182), "", 'Data Entry'!$Ļ$182)</f>
      </c>
      <c r="IR182">
        <f>IF(ISBLANK('Data Entry'!$ļ$182), "", 'Data Entry'!$ļ$182)</f>
      </c>
      <c r="IS182">
        <f>IF(ISBLANK('Data Entry'!$Ľ$182), "", 'Data Entry'!$Ľ$182)</f>
      </c>
      <c r="IT182">
        <f>IF(ISBLANK('Data Entry'!$ľ$182), "", 'Data Entry'!$ľ$182)</f>
      </c>
    </row>
    <row r="183" spans="1:254" x14ac:dyDescent="0.25">
      <c r="A183">
        <f>IF(ISBLANK('Data Entry'!$A$183), "", 'Data Entry'!$A$183)</f>
      </c>
      <c r="B183">
        <f>IF(ISBLANK('Data Entry'!$B$183), "", 'Data Entry'!$B$183)</f>
      </c>
      <c r="C183">
        <f>IF(ISBLANK('Data Entry'!$C$183), "", 'Data Entry'!$C$183)</f>
      </c>
      <c r="D183">
        <f>IF(ISBLANK('Data Entry'!$D$183), "", 'Data Entry'!$D$183)</f>
      </c>
      <c r="E183">
        <f>IF(ISBLANK('Data Entry'!$E$183), "", 'Data Entry'!$E$183)</f>
      </c>
      <c r="F183">
        <f>IF(ISBLANK('Data Entry'!$F$183), "", 'Data Entry'!$F$183)</f>
      </c>
      <c r="G183">
        <f>IF(ISBLANK('Data Entry'!$G$183), "", 'Data Entry'!$G$183)</f>
      </c>
      <c r="H183">
        <f>IF(ISBLANK('Data Entry'!$H$183), "", 'Data Entry'!$H$183)</f>
      </c>
      <c r="I183">
        <f>IF(ISBLANK('Data Entry'!$I$183), "", 'Data Entry'!$I$183)</f>
      </c>
      <c r="J183">
        <f>IF(ISBLANK('Data Entry'!$J$183), "", 'Data Entry'!$J$183)</f>
      </c>
      <c r="K183">
        <f>IF(ISBLANK('Data Entry'!$K$183), "", 'Data Entry'!$K$183)</f>
      </c>
      <c r="L183">
        <f>IF(ISBLANK('Data Entry'!$L$183), "", 'Data Entry'!$L$183)</f>
      </c>
      <c r="M183">
        <f>IF(ISBLANK('Data Entry'!$M$183), "", 'Data Entry'!$M$183)</f>
      </c>
      <c r="N183">
        <f>IF(ISBLANK('Data Entry'!$N$183), "", 'Data Entry'!$N$183)</f>
      </c>
      <c r="O183">
        <f>IF(ISBLANK('Data Entry'!$O$183), "", 'Data Entry'!$O$183)</f>
      </c>
      <c r="P183">
        <f>IF(ISBLANK('Data Entry'!$P$183), "", 'Data Entry'!$P$183)</f>
      </c>
      <c r="Q183">
        <f>IF(ISBLANK('Data Entry'!$Q$183), "", 'Data Entry'!$Q$183)</f>
      </c>
      <c r="R183">
        <f>IF(ISBLANK('Data Entry'!$R$183), "", 'Data Entry'!$R$183)</f>
      </c>
      <c r="S183">
        <f>IF(ISBLANK('Data Entry'!$S$183), "", 'Data Entry'!$S$183)</f>
      </c>
      <c r="T183">
        <f>IF(ISBLANK('Data Entry'!$T$183), "", 'Data Entry'!$T$183)</f>
      </c>
      <c r="U183">
        <f>IF(ISBLANK('Data Entry'!$U$183), "", 'Data Entry'!$U$183)</f>
      </c>
      <c r="V183">
        <f>IF(ISBLANK('Data Entry'!$V$183), "", 'Data Entry'!$V$183)</f>
      </c>
      <c r="W183">
        <f>IF(ISBLANK('Data Entry'!$W$183), "", 'Data Entry'!$W$183)</f>
      </c>
      <c r="X183">
        <f>IF(ISBLANK('Data Entry'!$X$183), "", 'Data Entry'!$X$183)</f>
      </c>
      <c r="Y183">
        <f>IF(ISBLANK('Data Entry'!$Y$183), "", 'Data Entry'!$Y$183)</f>
      </c>
      <c r="Z183">
        <f>IF(ISBLANK('Data Entry'!$Z$183), "", 'Data Entry'!$Z$183)</f>
      </c>
      <c r="AA183">
        <f>IF(ISBLANK('Data Entry'!$[$183), "", 'Data Entry'!$[$183)</f>
      </c>
      <c r="AB183">
        <f>IF(ISBLANK('Data Entry'!$\$183), "", 'Data Entry'!$\$183)</f>
      </c>
      <c r="AC183">
        <f>IF(ISBLANK('Data Entry'!$]$183), "", 'Data Entry'!$]$183)</f>
      </c>
      <c r="AD183">
        <f>IF(ISBLANK('Data Entry'!$^$183), "", 'Data Entry'!$^$183)</f>
      </c>
      <c r="AE183">
        <f>IF(ISBLANK('Data Entry'!$_$183), "", 'Data Entry'!$_$183)</f>
      </c>
      <c r="AF183">
        <f>IF(ISBLANK('Data Entry'!$`$183), "", 'Data Entry'!$`$183)</f>
      </c>
      <c r="AG183">
        <f>IF(ISBLANK('Data Entry'!$a$183), "", 'Data Entry'!$a$183)</f>
      </c>
      <c r="AH183">
        <f>IF(ISBLANK('Data Entry'!$b$183), "", 'Data Entry'!$b$183)</f>
      </c>
      <c r="AI183">
        <f>IF(ISBLANK('Data Entry'!$c$183), "", 'Data Entry'!$c$183)</f>
      </c>
      <c r="AJ183">
        <f>IF(ISBLANK('Data Entry'!$d$183), "", 'Data Entry'!$d$183)</f>
      </c>
      <c r="AK183">
        <f>IF(ISBLANK('Data Entry'!$e$183), "", 'Data Entry'!$e$183)</f>
      </c>
      <c r="AL183">
        <f>IF(ISBLANK('Data Entry'!$f$183), "", 'Data Entry'!$f$183)</f>
      </c>
      <c r="AM183">
        <f>IF(ISBLANK('Data Entry'!$g$183), "", 'Data Entry'!$g$183)</f>
      </c>
      <c r="AN183">
        <f>IF(ISBLANK('Data Entry'!$h$183), "", 'Data Entry'!$h$183)</f>
      </c>
      <c r="AO183">
        <f>IF(ISBLANK('Data Entry'!$i$183), "", 'Data Entry'!$i$183)</f>
      </c>
      <c r="AP183">
        <f>IF(ISBLANK('Data Entry'!$j$183), "", 'Data Entry'!$j$183)</f>
      </c>
      <c r="AQ183">
        <f>IF(ISBLANK('Data Entry'!$k$183), "", 'Data Entry'!$k$183)</f>
      </c>
      <c r="AR183">
        <f>IF(ISBLANK('Data Entry'!$l$183), "", 'Data Entry'!$l$183)</f>
      </c>
      <c r="AS183">
        <f>IF(ISBLANK('Data Entry'!$m$183), "", 'Data Entry'!$m$183)</f>
      </c>
      <c r="AT183">
        <f>IF(ISBLANK('Data Entry'!$n$183), "", 'Data Entry'!$n$183)</f>
      </c>
      <c r="AU183">
        <f>IF(ISBLANK('Data Entry'!$o$183), "", 'Data Entry'!$o$183)</f>
      </c>
      <c r="AV183">
        <f>IF(ISBLANK('Data Entry'!$p$183), "", 'Data Entry'!$p$183)</f>
      </c>
      <c r="AW183">
        <f>IF(ISBLANK('Data Entry'!$q$183), "", 'Data Entry'!$q$183)</f>
      </c>
      <c r="AX183">
        <f>IF(ISBLANK('Data Entry'!$r$183), "", 'Data Entry'!$r$183)</f>
      </c>
      <c r="AY183">
        <f>IF(ISBLANK('Data Entry'!$s$183), "", 'Data Entry'!$s$183)</f>
      </c>
      <c r="AZ183">
        <f>IF(ISBLANK('Data Entry'!$t$183), "", 'Data Entry'!$t$183)</f>
      </c>
      <c r="BA183">
        <f>IF(ISBLANK('Data Entry'!$u$183), "", 'Data Entry'!$u$183)</f>
      </c>
      <c r="BB183">
        <f>IF(ISBLANK('Data Entry'!$v$183), "", 'Data Entry'!$v$183)</f>
      </c>
      <c r="BC183">
        <f>IF(ISBLANK('Data Entry'!$w$183), "", 'Data Entry'!$w$183)</f>
      </c>
      <c r="BD183">
        <f>IF(ISBLANK('Data Entry'!$x$183), "", 'Data Entry'!$x$183)</f>
      </c>
      <c r="BE183">
        <f>IF(ISBLANK('Data Entry'!$y$183), "", 'Data Entry'!$y$183)</f>
      </c>
      <c r="BF183">
        <f>IF(ISBLANK('Data Entry'!$z$183), "", 'Data Entry'!$z$183)</f>
      </c>
      <c r="BG183">
        <f>IF(ISBLANK('Data Entry'!${$183), "", 'Data Entry'!${$183)</f>
      </c>
      <c r="BH183">
        <f>IF(ISBLANK('Data Entry'!$|$183), "", 'Data Entry'!$|$183)</f>
      </c>
      <c r="BI183">
        <f>IF(ISBLANK('Data Entry'!$}$183), "", 'Data Entry'!$}$183)</f>
      </c>
      <c r="BJ183">
        <f>IF(ISBLANK('Data Entry'!$~$183), "", 'Data Entry'!$~$183)</f>
      </c>
      <c r="BK183">
        <f>IF(ISBLANK('Data Entry'!$$183), "", 'Data Entry'!$$183)</f>
      </c>
      <c r="BL183">
        <f>IF(ISBLANK('Data Entry'!$$183), "", 'Data Entry'!$$183)</f>
      </c>
      <c r="BM183">
        <f>IF(ISBLANK('Data Entry'!$$183), "", 'Data Entry'!$$183)</f>
      </c>
      <c r="BN183">
        <f>IF(ISBLANK('Data Entry'!$$183), "", 'Data Entry'!$$183)</f>
      </c>
      <c r="BO183">
        <f>IF(ISBLANK('Data Entry'!$$183), "", 'Data Entry'!$$183)</f>
      </c>
      <c r="BP183">
        <f>IF(ISBLANK('Data Entry'!$$183), "", 'Data Entry'!$$183)</f>
      </c>
      <c r="BQ183">
        <f>IF(ISBLANK('Data Entry'!$$183), "", 'Data Entry'!$$183)</f>
      </c>
      <c r="BR183">
        <f>IF(ISBLANK('Data Entry'!$$183), "", 'Data Entry'!$$183)</f>
      </c>
      <c r="BS183">
        <f>IF(ISBLANK('Data Entry'!$$183), "", 'Data Entry'!$$183)</f>
      </c>
      <c r="BT183">
        <f>IF(ISBLANK('Data Entry'!$$183), "", 'Data Entry'!$$183)</f>
      </c>
      <c r="BU183">
        <f>IF(ISBLANK('Data Entry'!$$183), "", 'Data Entry'!$$183)</f>
      </c>
      <c r="BV183">
        <f>IF(ISBLANK('Data Entry'!$$183), "", 'Data Entry'!$$183)</f>
      </c>
      <c r="BW183">
        <f>IF(ISBLANK('Data Entry'!$$183), "", 'Data Entry'!$$183)</f>
      </c>
      <c r="BX183">
        <f>IF(ISBLANK('Data Entry'!$$183), "", 'Data Entry'!$$183)</f>
      </c>
      <c r="BY183">
        <f>IF(ISBLANK('Data Entry'!$$183), "", 'Data Entry'!$$183)</f>
      </c>
      <c r="BZ183">
        <f>IF(ISBLANK('Data Entry'!$$183), "", 'Data Entry'!$$183)</f>
      </c>
      <c r="CA183">
        <f>IF(ISBLANK('Data Entry'!$$183), "", 'Data Entry'!$$183)</f>
      </c>
      <c r="CB183">
        <f>IF(ISBLANK('Data Entry'!$$183), "", 'Data Entry'!$$183)</f>
      </c>
      <c r="CC183">
        <f>IF(ISBLANK('Data Entry'!$$183), "", 'Data Entry'!$$183)</f>
      </c>
      <c r="CD183">
        <f>IF(ISBLANK('Data Entry'!$$183), "", 'Data Entry'!$$183)</f>
      </c>
      <c r="CE183">
        <f>IF(ISBLANK('Data Entry'!$$183), "", 'Data Entry'!$$183)</f>
      </c>
      <c r="CF183">
        <f>IF(ISBLANK('Data Entry'!$$183), "", 'Data Entry'!$$183)</f>
      </c>
      <c r="CG183">
        <f>IF(ISBLANK('Data Entry'!$$183), "", 'Data Entry'!$$183)</f>
      </c>
      <c r="CH183">
        <f>IF(ISBLANK('Data Entry'!$$183), "", 'Data Entry'!$$183)</f>
      </c>
      <c r="CI183">
        <f>IF(ISBLANK('Data Entry'!$$183), "", 'Data Entry'!$$183)</f>
      </c>
      <c r="CJ183">
        <f>IF(ISBLANK('Data Entry'!$$183), "", 'Data Entry'!$$183)</f>
      </c>
      <c r="CK183">
        <f>IF(ISBLANK('Data Entry'!$$183), "", 'Data Entry'!$$183)</f>
      </c>
      <c r="CL183">
        <f>IF(ISBLANK('Data Entry'!$$183), "", 'Data Entry'!$$183)</f>
      </c>
      <c r="CM183">
        <f>IF(ISBLANK('Data Entry'!$$183), "", 'Data Entry'!$$183)</f>
      </c>
      <c r="CN183">
        <f>IF(ISBLANK('Data Entry'!$$183), "", 'Data Entry'!$$183)</f>
      </c>
      <c r="CO183">
        <f>IF(ISBLANK('Data Entry'!$$183), "", 'Data Entry'!$$183)</f>
      </c>
      <c r="CP183">
        <f>IF(ISBLANK('Data Entry'!$$183), "", 'Data Entry'!$$183)</f>
      </c>
      <c r="CQ183">
        <f>IF(ISBLANK('Data Entry'!$$183), "", 'Data Entry'!$$183)</f>
      </c>
      <c r="CR183">
        <f>IF(ISBLANK('Data Entry'!$ $183), "", 'Data Entry'!$ $183)</f>
      </c>
      <c r="CS183">
        <f>IF(ISBLANK('Data Entry'!$¡$183), "", 'Data Entry'!$¡$183)</f>
      </c>
      <c r="CT183">
        <f>IF(ISBLANK('Data Entry'!$¢$183), "", 'Data Entry'!$¢$183)</f>
      </c>
      <c r="CU183">
        <f>IF(ISBLANK('Data Entry'!$£$183), "", 'Data Entry'!$£$183)</f>
      </c>
      <c r="CV183">
        <f>IF(ISBLANK('Data Entry'!$¤$183), "", 'Data Entry'!$¤$183)</f>
      </c>
      <c r="CW183">
        <f>IF(ISBLANK('Data Entry'!$¥$183), "", 'Data Entry'!$¥$183)</f>
      </c>
      <c r="CX183">
        <f>IF(ISBLANK('Data Entry'!$¦$183), "", 'Data Entry'!$¦$183)</f>
      </c>
      <c r="CY183">
        <f>IF(ISBLANK('Data Entry'!$§$183), "", 'Data Entry'!$§$183)</f>
      </c>
      <c r="CZ183">
        <f>IF(ISBLANK('Data Entry'!$¨$183), "", 'Data Entry'!$¨$183)</f>
      </c>
      <c r="DA183">
        <f>IF(ISBLANK('Data Entry'!$©$183), "", 'Data Entry'!$©$183)</f>
      </c>
      <c r="DB183">
        <f>IF(ISBLANK('Data Entry'!$ª$183), "", 'Data Entry'!$ª$183)</f>
      </c>
      <c r="DC183">
        <f>IF(ISBLANK('Data Entry'!$«$183), "", 'Data Entry'!$«$183)</f>
      </c>
      <c r="DD183">
        <f>IF(ISBLANK('Data Entry'!$¬$183), "", 'Data Entry'!$¬$183)</f>
      </c>
      <c r="DE183">
        <f>IF(ISBLANK('Data Entry'!$­$183), "", 'Data Entry'!$­$183)</f>
      </c>
      <c r="DF183">
        <f>IF(ISBLANK('Data Entry'!$®$183), "", 'Data Entry'!$®$183)</f>
      </c>
      <c r="DG183">
        <f>IF(ISBLANK('Data Entry'!$¯$183), "", 'Data Entry'!$¯$183)</f>
      </c>
      <c r="DH183">
        <f>IF(ISBLANK('Data Entry'!$°$183), "", 'Data Entry'!$°$183)</f>
      </c>
      <c r="DI183">
        <f>IF(ISBLANK('Data Entry'!$±$183), "", 'Data Entry'!$±$183)</f>
      </c>
      <c r="DJ183">
        <f>IF(ISBLANK('Data Entry'!$²$183), "", 'Data Entry'!$²$183)</f>
      </c>
      <c r="DK183">
        <f>IF(ISBLANK('Data Entry'!$³$183), "", 'Data Entry'!$³$183)</f>
      </c>
      <c r="DL183">
        <f>IF(ISBLANK('Data Entry'!$´$183), "", 'Data Entry'!$´$183)</f>
      </c>
      <c r="DM183">
        <f>IF(ISBLANK('Data Entry'!$µ$183), "", 'Data Entry'!$µ$183)</f>
      </c>
      <c r="DN183">
        <f>IF(ISBLANK('Data Entry'!$¶$183), "", 'Data Entry'!$¶$183)</f>
      </c>
      <c r="DO183">
        <f>IF(ISBLANK('Data Entry'!$·$183), "", 'Data Entry'!$·$183)</f>
      </c>
      <c r="DP183">
        <f>IF(ISBLANK('Data Entry'!$¸$183), "", 'Data Entry'!$¸$183)</f>
      </c>
      <c r="DQ183">
        <f>IF(ISBLANK('Data Entry'!$¹$183), "", 'Data Entry'!$¹$183)</f>
      </c>
      <c r="DR183">
        <f>IF(ISBLANK('Data Entry'!$º$183), "", 'Data Entry'!$º$183)</f>
      </c>
      <c r="DS183">
        <f>IF(ISBLANK('Data Entry'!$»$183), "", 'Data Entry'!$»$183)</f>
      </c>
      <c r="DT183">
        <f>IF(ISBLANK('Data Entry'!$¼$183), "", 'Data Entry'!$¼$183)</f>
      </c>
      <c r="DU183">
        <f>IF(ISBLANK('Data Entry'!$½$183), "", 'Data Entry'!$½$183)</f>
      </c>
      <c r="DV183">
        <f>IF(ISBLANK('Data Entry'!$¾$183), "", 'Data Entry'!$¾$183)</f>
      </c>
      <c r="DW183">
        <f>IF(ISBLANK('Data Entry'!$¿$183), "", 'Data Entry'!$¿$183)</f>
      </c>
      <c r="DX183">
        <f>IF(ISBLANK('Data Entry'!$À$183), "", 'Data Entry'!$À$183)</f>
      </c>
      <c r="DY183">
        <f>IF(ISBLANK('Data Entry'!$Á$183), "", 'Data Entry'!$Á$183)</f>
      </c>
      <c r="DZ183">
        <f>IF(ISBLANK('Data Entry'!$Â$183), "", 'Data Entry'!$Â$183)</f>
      </c>
      <c r="EA183">
        <f>IF(ISBLANK('Data Entry'!$Ã$183), "", 'Data Entry'!$Ã$183)</f>
      </c>
      <c r="EB183">
        <f>IF(ISBLANK('Data Entry'!$Ä$183), "", 'Data Entry'!$Ä$183)</f>
      </c>
      <c r="EC183">
        <f>IF(ISBLANK('Data Entry'!$Å$183), "", 'Data Entry'!$Å$183)</f>
      </c>
      <c r="ED183">
        <f>IF(ISBLANK('Data Entry'!$Æ$183), "", 'Data Entry'!$Æ$183)</f>
      </c>
      <c r="EE183">
        <f>IF(ISBLANK('Data Entry'!$Ç$183), "", 'Data Entry'!$Ç$183)</f>
      </c>
      <c r="EF183">
        <f>IF(ISBLANK('Data Entry'!$È$183), "", 'Data Entry'!$È$183)</f>
      </c>
      <c r="EG183">
        <f>IF(ISBLANK('Data Entry'!$É$183), "", 'Data Entry'!$É$183)</f>
      </c>
      <c r="EH183">
        <f>IF(ISBLANK('Data Entry'!$Ê$183), "", 'Data Entry'!$Ê$183)</f>
      </c>
      <c r="EI183">
        <f>IF(ISBLANK('Data Entry'!$Ë$183), "", 'Data Entry'!$Ë$183)</f>
      </c>
      <c r="EJ183">
        <f>IF(ISBLANK('Data Entry'!$Ì$183), "", 'Data Entry'!$Ì$183)</f>
      </c>
      <c r="EK183">
        <f>IF(ISBLANK('Data Entry'!$Í$183), "", 'Data Entry'!$Í$183)</f>
      </c>
      <c r="EL183">
        <f>IF(ISBLANK('Data Entry'!$Î$183), "", 'Data Entry'!$Î$183)</f>
      </c>
      <c r="EM183">
        <f>IF(ISBLANK('Data Entry'!$Ï$183), "", 'Data Entry'!$Ï$183)</f>
      </c>
      <c r="EN183">
        <f>IF(ISBLANK('Data Entry'!$Ð$183), "", 'Data Entry'!$Ð$183)</f>
      </c>
      <c r="EO183">
        <f>IF(ISBLANK('Data Entry'!$Ñ$183), "", 'Data Entry'!$Ñ$183)</f>
      </c>
      <c r="EP183">
        <f>IF(ISBLANK('Data Entry'!$Ò$183), "", 'Data Entry'!$Ò$183)</f>
      </c>
      <c r="EQ183">
        <f>IF(ISBLANK('Data Entry'!$Ó$183), "", 'Data Entry'!$Ó$183)</f>
      </c>
      <c r="ER183">
        <f>IF(ISBLANK('Data Entry'!$Ô$183), "", 'Data Entry'!$Ô$183)</f>
      </c>
      <c r="ES183">
        <f>IF(ISBLANK('Data Entry'!$Õ$183), "", 'Data Entry'!$Õ$183)</f>
      </c>
      <c r="ET183">
        <f>IF(ISBLANK('Data Entry'!$Ö$183), "", 'Data Entry'!$Ö$183)</f>
      </c>
      <c r="EU183">
        <f>IF(ISBLANK('Data Entry'!$×$183), "", 'Data Entry'!$×$183)</f>
      </c>
      <c r="EV183">
        <f>IF(ISBLANK('Data Entry'!$Ø$183), "", 'Data Entry'!$Ø$183)</f>
      </c>
      <c r="EW183">
        <f>IF(ISBLANK('Data Entry'!$Ù$183), "", 'Data Entry'!$Ù$183)</f>
      </c>
      <c r="EX183">
        <f>IF(ISBLANK('Data Entry'!$Ú$183), "", 'Data Entry'!$Ú$183)</f>
      </c>
      <c r="EY183">
        <f>IF(ISBLANK('Data Entry'!$Û$183), "", 'Data Entry'!$Û$183)</f>
      </c>
      <c r="EZ183">
        <f>IF(ISBLANK('Data Entry'!$Ü$183), "", 'Data Entry'!$Ü$183)</f>
      </c>
      <c r="FA183">
        <f>IF(ISBLANK('Data Entry'!$Ý$183), "", 'Data Entry'!$Ý$183)</f>
      </c>
      <c r="FB183">
        <f>IF(ISBLANK('Data Entry'!$Þ$183), "", 'Data Entry'!$Þ$183)</f>
      </c>
      <c r="FC183">
        <f>IF(ISBLANK('Data Entry'!$ß$183), "", 'Data Entry'!$ß$183)</f>
      </c>
      <c r="FD183">
        <f>IF(ISBLANK('Data Entry'!$à$183), "", 'Data Entry'!$à$183)</f>
      </c>
      <c r="FE183">
        <f>IF(ISBLANK('Data Entry'!$á$183), "", 'Data Entry'!$á$183)</f>
      </c>
      <c r="FF183">
        <f>IF(ISBLANK('Data Entry'!$â$183), "", 'Data Entry'!$â$183)</f>
      </c>
      <c r="FG183">
        <f>IF(ISBLANK('Data Entry'!$ã$183), "", 'Data Entry'!$ã$183)</f>
      </c>
      <c r="FH183">
        <f>IF(ISBLANK('Data Entry'!$ä$183), "", 'Data Entry'!$ä$183)</f>
      </c>
      <c r="FI183">
        <f>IF(ISBLANK('Data Entry'!$å$183), "", 'Data Entry'!$å$183)</f>
      </c>
      <c r="FJ183">
        <f>IF(ISBLANK('Data Entry'!$æ$183), "", 'Data Entry'!$æ$183)</f>
      </c>
      <c r="FK183">
        <f>IF(ISBLANK('Data Entry'!$ç$183), "", 'Data Entry'!$ç$183)</f>
      </c>
      <c r="FL183">
        <f>IF(ISBLANK('Data Entry'!$è$183), "", 'Data Entry'!$è$183)</f>
      </c>
      <c r="FM183">
        <f>IF(ISBLANK('Data Entry'!$é$183), "", 'Data Entry'!$é$183)</f>
      </c>
      <c r="FN183">
        <f>IF(ISBLANK('Data Entry'!$ê$183), "", 'Data Entry'!$ê$183)</f>
      </c>
      <c r="FO183">
        <f>IF(ISBLANK('Data Entry'!$ë$183), "", 'Data Entry'!$ë$183)</f>
      </c>
      <c r="FP183">
        <f>IF(ISBLANK('Data Entry'!$ì$183), "", 'Data Entry'!$ì$183)</f>
      </c>
      <c r="FQ183">
        <f>IF(ISBLANK('Data Entry'!$í$183), "", 'Data Entry'!$í$183)</f>
      </c>
      <c r="FR183">
        <f>IF(ISBLANK('Data Entry'!$î$183), "", 'Data Entry'!$î$183)</f>
      </c>
      <c r="FS183">
        <f>IF(ISBLANK('Data Entry'!$ï$183), "", 'Data Entry'!$ï$183)</f>
      </c>
      <c r="FT183">
        <f>IF(ISBLANK('Data Entry'!$ð$183), "", 'Data Entry'!$ð$183)</f>
      </c>
      <c r="FU183">
        <f>IF(ISBLANK('Data Entry'!$ñ$183), "", 'Data Entry'!$ñ$183)</f>
      </c>
      <c r="FV183">
        <f>IF(ISBLANK('Data Entry'!$ò$183), "", 'Data Entry'!$ò$183)</f>
      </c>
      <c r="FW183">
        <f>IF(ISBLANK('Data Entry'!$ó$183), "", 'Data Entry'!$ó$183)</f>
      </c>
      <c r="FX183">
        <f>IF(ISBLANK('Data Entry'!$ô$183), "", 'Data Entry'!$ô$183)</f>
      </c>
      <c r="FY183">
        <f>IF(ISBLANK('Data Entry'!$õ$183), "", 'Data Entry'!$õ$183)</f>
      </c>
      <c r="FZ183">
        <f>IF(ISBLANK('Data Entry'!$ö$183), "", 'Data Entry'!$ö$183)</f>
      </c>
      <c r="GA183">
        <f>IF(ISBLANK('Data Entry'!$÷$183), "", 'Data Entry'!$÷$183)</f>
      </c>
      <c r="GB183">
        <f>IF(ISBLANK('Data Entry'!$ø$183), "", 'Data Entry'!$ø$183)</f>
      </c>
      <c r="GC183">
        <f>IF(ISBLANK('Data Entry'!$ù$183), "", 'Data Entry'!$ù$183)</f>
      </c>
      <c r="GD183">
        <f>IF(ISBLANK('Data Entry'!$ú$183), "", 'Data Entry'!$ú$183)</f>
      </c>
      <c r="GE183">
        <f>IF(ISBLANK('Data Entry'!$û$183), "", 'Data Entry'!$û$183)</f>
      </c>
      <c r="GF183">
        <f>IF(ISBLANK('Data Entry'!$ü$183), "", 'Data Entry'!$ü$183)</f>
      </c>
      <c r="GG183">
        <f>IF(ISBLANK('Data Entry'!$ý$183), "", 'Data Entry'!$ý$183)</f>
      </c>
      <c r="GH183">
        <f>IF(ISBLANK('Data Entry'!$þ$183), "", 'Data Entry'!$þ$183)</f>
      </c>
      <c r="GI183">
        <f>IF(ISBLANK('Data Entry'!$ÿ$183), "", 'Data Entry'!$ÿ$183)</f>
      </c>
      <c r="GJ183">
        <f>IF(ISBLANK('Data Entry'!$Ā$183), "", 'Data Entry'!$Ā$183)</f>
      </c>
      <c r="GK183">
        <f>IF(ISBLANK('Data Entry'!$ā$183), "", 'Data Entry'!$ā$183)</f>
      </c>
      <c r="GL183">
        <f>IF(ISBLANK('Data Entry'!$Ă$183), "", 'Data Entry'!$Ă$183)</f>
      </c>
      <c r="GM183">
        <f>IF(ISBLANK('Data Entry'!$ă$183), "", 'Data Entry'!$ă$183)</f>
      </c>
      <c r="GN183">
        <f>IF(ISBLANK('Data Entry'!$Ą$183), "", 'Data Entry'!$Ą$183)</f>
      </c>
      <c r="GO183">
        <f>IF(ISBLANK('Data Entry'!$ą$183), "", 'Data Entry'!$ą$183)</f>
      </c>
      <c r="GP183">
        <f>IF(ISBLANK('Data Entry'!$Ć$183), "", 'Data Entry'!$Ć$183)</f>
      </c>
      <c r="GQ183">
        <f>IF(ISBLANK('Data Entry'!$ć$183), "", 'Data Entry'!$ć$183)</f>
      </c>
      <c r="GR183">
        <f>IF(ISBLANK('Data Entry'!$Ĉ$183), "", 'Data Entry'!$Ĉ$183)</f>
      </c>
      <c r="GS183">
        <f>IF(ISBLANK('Data Entry'!$ĉ$183), "", 'Data Entry'!$ĉ$183)</f>
      </c>
      <c r="GT183">
        <f>IF(ISBLANK('Data Entry'!$Ċ$183), "", 'Data Entry'!$Ċ$183)</f>
      </c>
      <c r="GU183">
        <f>IF(ISBLANK('Data Entry'!$ċ$183), "", 'Data Entry'!$ċ$183)</f>
      </c>
      <c r="GV183">
        <f>IF(ISBLANK('Data Entry'!$Č$183), "", 'Data Entry'!$Č$183)</f>
      </c>
      <c r="GW183">
        <f>IF(ISBLANK('Data Entry'!$č$183), "", 'Data Entry'!$č$183)</f>
      </c>
      <c r="GX183">
        <f>IF(ISBLANK('Data Entry'!$Ď$183), "", 'Data Entry'!$Ď$183)</f>
      </c>
      <c r="GY183">
        <f>IF(ISBLANK('Data Entry'!$ď$183), "", 'Data Entry'!$ď$183)</f>
      </c>
      <c r="GZ183">
        <f>IF(ISBLANK('Data Entry'!$Đ$183), "", 'Data Entry'!$Đ$183)</f>
      </c>
      <c r="HA183">
        <f>IF(ISBLANK('Data Entry'!$đ$183), "", 'Data Entry'!$đ$183)</f>
      </c>
      <c r="HB183">
        <f>IF(ISBLANK('Data Entry'!$Ē$183), "", 'Data Entry'!$Ē$183)</f>
      </c>
      <c r="HC183">
        <f>IF(ISBLANK('Data Entry'!$ē$183), "", 'Data Entry'!$ē$183)</f>
      </c>
      <c r="HD183">
        <f>IF(ISBLANK('Data Entry'!$Ĕ$183), "", 'Data Entry'!$Ĕ$183)</f>
      </c>
      <c r="HE183">
        <f>IF(ISBLANK('Data Entry'!$ĕ$183), "", 'Data Entry'!$ĕ$183)</f>
      </c>
      <c r="HF183">
        <f>IF(ISBLANK('Data Entry'!$Ė$183), "", 'Data Entry'!$Ė$183)</f>
      </c>
      <c r="HG183">
        <f>IF(ISBLANK('Data Entry'!$ė$183), "", 'Data Entry'!$ė$183)</f>
      </c>
      <c r="HH183">
        <f>IF(ISBLANK('Data Entry'!$Ę$183), "", 'Data Entry'!$Ę$183)</f>
      </c>
      <c r="HI183">
        <f>IF(ISBLANK('Data Entry'!$ę$183), "", 'Data Entry'!$ę$183)</f>
      </c>
      <c r="HJ183">
        <f>IF(ISBLANK('Data Entry'!$Ě$183), "", 'Data Entry'!$Ě$183)</f>
      </c>
      <c r="HK183">
        <f>IF(ISBLANK('Data Entry'!$ě$183), "", 'Data Entry'!$ě$183)</f>
      </c>
      <c r="HL183">
        <f>IF(ISBLANK('Data Entry'!$Ĝ$183), "", 'Data Entry'!$Ĝ$183)</f>
      </c>
      <c r="HM183">
        <f>IF(ISBLANK('Data Entry'!$ĝ$183), "", 'Data Entry'!$ĝ$183)</f>
      </c>
      <c r="HN183">
        <f>IF(ISBLANK('Data Entry'!$Ğ$183), "", 'Data Entry'!$Ğ$183)</f>
      </c>
      <c r="HO183">
        <f>IF(ISBLANK('Data Entry'!$ğ$183), "", 'Data Entry'!$ğ$183)</f>
      </c>
      <c r="HP183">
        <f>IF(ISBLANK('Data Entry'!$Ġ$183), "", 'Data Entry'!$Ġ$183)</f>
      </c>
      <c r="HQ183">
        <f>IF(ISBLANK('Data Entry'!$ġ$183), "", 'Data Entry'!$ġ$183)</f>
      </c>
      <c r="HR183">
        <f>IF(ISBLANK('Data Entry'!$Ģ$183), "", 'Data Entry'!$Ģ$183)</f>
      </c>
      <c r="HS183">
        <f>IF(ISBLANK('Data Entry'!$ģ$183), "", 'Data Entry'!$ģ$183)</f>
      </c>
      <c r="HT183">
        <f>IF(ISBLANK('Data Entry'!$Ĥ$183), "", 'Data Entry'!$Ĥ$183)</f>
      </c>
      <c r="HU183">
        <f>IF(ISBLANK('Data Entry'!$ĥ$183), "", 'Data Entry'!$ĥ$183)</f>
      </c>
      <c r="HV183">
        <f>IF(ISBLANK('Data Entry'!$Ħ$183), "", 'Data Entry'!$Ħ$183)</f>
      </c>
      <c r="HW183">
        <f>IF(ISBLANK('Data Entry'!$ħ$183), "", 'Data Entry'!$ħ$183)</f>
      </c>
      <c r="HX183">
        <f>IF(ISBLANK('Data Entry'!$Ĩ$183), "", 'Data Entry'!$Ĩ$183)</f>
      </c>
      <c r="HY183">
        <f>IF(ISBLANK('Data Entry'!$ĩ$183), "", 'Data Entry'!$ĩ$183)</f>
      </c>
      <c r="HZ183">
        <f>IF(ISBLANK('Data Entry'!$Ī$183), "", 'Data Entry'!$Ī$183)</f>
      </c>
      <c r="IA183">
        <f>IF(ISBLANK('Data Entry'!$ī$183), "", 'Data Entry'!$ī$183)</f>
      </c>
      <c r="IB183">
        <f>IF(ISBLANK('Data Entry'!$Ĭ$183), "", 'Data Entry'!$Ĭ$183)</f>
      </c>
      <c r="IC183">
        <f>IF(ISBLANK('Data Entry'!$ĭ$183), "", 'Data Entry'!$ĭ$183)</f>
      </c>
      <c r="ID183">
        <f>IF(ISBLANK('Data Entry'!$Į$183), "", 'Data Entry'!$Į$183)</f>
      </c>
      <c r="IE183">
        <f>IF(ISBLANK('Data Entry'!$į$183), "", 'Data Entry'!$į$183)</f>
      </c>
      <c r="IF183">
        <f>IF(ISBLANK('Data Entry'!$İ$183), "", 'Data Entry'!$İ$183)</f>
      </c>
      <c r="IG183">
        <f>IF(ISBLANK('Data Entry'!$ı$183), "", 'Data Entry'!$ı$183)</f>
      </c>
      <c r="IH183">
        <f>IF(ISBLANK('Data Entry'!$Ĳ$183), "", 'Data Entry'!$Ĳ$183)</f>
      </c>
      <c r="II183">
        <f>IF(ISBLANK('Data Entry'!$ĳ$183), "", 'Data Entry'!$ĳ$183)</f>
      </c>
      <c r="IJ183">
        <f>IF(ISBLANK('Data Entry'!$Ĵ$183), "", 'Data Entry'!$Ĵ$183)</f>
      </c>
      <c r="IK183">
        <f>IF(ISBLANK('Data Entry'!$ĵ$183), "", 'Data Entry'!$ĵ$183)</f>
      </c>
      <c r="IL183">
        <f>IF(ISBLANK('Data Entry'!$Ķ$183), "", 'Data Entry'!$Ķ$183)</f>
      </c>
      <c r="IM183">
        <f>IF(ISBLANK('Data Entry'!$ķ$183), "", 'Data Entry'!$ķ$183)</f>
      </c>
      <c r="IN183">
        <f>IF(ISBLANK('Data Entry'!$ĸ$183), "", 'Data Entry'!$ĸ$183)</f>
      </c>
      <c r="IO183">
        <f>IF(ISBLANK('Data Entry'!$Ĺ$183), "", 'Data Entry'!$Ĺ$183)</f>
      </c>
      <c r="IP183">
        <f>IF(ISBLANK('Data Entry'!$ĺ$183), "", 'Data Entry'!$ĺ$183)</f>
      </c>
      <c r="IQ183">
        <f>IF(ISBLANK('Data Entry'!$Ļ$183), "", 'Data Entry'!$Ļ$183)</f>
      </c>
      <c r="IR183">
        <f>IF(ISBLANK('Data Entry'!$ļ$183), "", 'Data Entry'!$ļ$183)</f>
      </c>
      <c r="IS183">
        <f>IF(ISBLANK('Data Entry'!$Ľ$183), "", 'Data Entry'!$Ľ$183)</f>
      </c>
      <c r="IT183">
        <f>IF(ISBLANK('Data Entry'!$ľ$183), "", 'Data Entry'!$ľ$183)</f>
      </c>
    </row>
    <row r="184" spans="1:254" x14ac:dyDescent="0.25">
      <c r="A184">
        <f>IF(ISBLANK('Data Entry'!$A$184), "", 'Data Entry'!$A$184)</f>
      </c>
      <c r="B184">
        <f>IF(ISBLANK('Data Entry'!$B$184), "", 'Data Entry'!$B$184)</f>
      </c>
      <c r="C184">
        <f>IF(ISBLANK('Data Entry'!$C$184), "", 'Data Entry'!$C$184)</f>
      </c>
      <c r="D184">
        <f>IF(ISBLANK('Data Entry'!$D$184), "", 'Data Entry'!$D$184)</f>
      </c>
      <c r="E184">
        <f>IF(ISBLANK('Data Entry'!$E$184), "", 'Data Entry'!$E$184)</f>
      </c>
      <c r="F184">
        <f>IF(ISBLANK('Data Entry'!$F$184), "", 'Data Entry'!$F$184)</f>
      </c>
      <c r="G184">
        <f>IF(ISBLANK('Data Entry'!$G$184), "", 'Data Entry'!$G$184)</f>
      </c>
      <c r="H184">
        <f>IF(ISBLANK('Data Entry'!$H$184), "", 'Data Entry'!$H$184)</f>
      </c>
      <c r="I184">
        <f>IF(ISBLANK('Data Entry'!$I$184), "", 'Data Entry'!$I$184)</f>
      </c>
      <c r="J184">
        <f>IF(ISBLANK('Data Entry'!$J$184), "", 'Data Entry'!$J$184)</f>
      </c>
      <c r="K184">
        <f>IF(ISBLANK('Data Entry'!$K$184), "", 'Data Entry'!$K$184)</f>
      </c>
      <c r="L184">
        <f>IF(ISBLANK('Data Entry'!$L$184), "", 'Data Entry'!$L$184)</f>
      </c>
      <c r="M184">
        <f>IF(ISBLANK('Data Entry'!$M$184), "", 'Data Entry'!$M$184)</f>
      </c>
      <c r="N184">
        <f>IF(ISBLANK('Data Entry'!$N$184), "", 'Data Entry'!$N$184)</f>
      </c>
      <c r="O184">
        <f>IF(ISBLANK('Data Entry'!$O$184), "", 'Data Entry'!$O$184)</f>
      </c>
      <c r="P184">
        <f>IF(ISBLANK('Data Entry'!$P$184), "", 'Data Entry'!$P$184)</f>
      </c>
      <c r="Q184">
        <f>IF(ISBLANK('Data Entry'!$Q$184), "", 'Data Entry'!$Q$184)</f>
      </c>
      <c r="R184">
        <f>IF(ISBLANK('Data Entry'!$R$184), "", 'Data Entry'!$R$184)</f>
      </c>
      <c r="S184">
        <f>IF(ISBLANK('Data Entry'!$S$184), "", 'Data Entry'!$S$184)</f>
      </c>
      <c r="T184">
        <f>IF(ISBLANK('Data Entry'!$T$184), "", 'Data Entry'!$T$184)</f>
      </c>
      <c r="U184">
        <f>IF(ISBLANK('Data Entry'!$U$184), "", 'Data Entry'!$U$184)</f>
      </c>
      <c r="V184">
        <f>IF(ISBLANK('Data Entry'!$V$184), "", 'Data Entry'!$V$184)</f>
      </c>
      <c r="W184">
        <f>IF(ISBLANK('Data Entry'!$W$184), "", 'Data Entry'!$W$184)</f>
      </c>
      <c r="X184">
        <f>IF(ISBLANK('Data Entry'!$X$184), "", 'Data Entry'!$X$184)</f>
      </c>
      <c r="Y184">
        <f>IF(ISBLANK('Data Entry'!$Y$184), "", 'Data Entry'!$Y$184)</f>
      </c>
      <c r="Z184">
        <f>IF(ISBLANK('Data Entry'!$Z$184), "", 'Data Entry'!$Z$184)</f>
      </c>
      <c r="AA184">
        <f>IF(ISBLANK('Data Entry'!$[$184), "", 'Data Entry'!$[$184)</f>
      </c>
      <c r="AB184">
        <f>IF(ISBLANK('Data Entry'!$\$184), "", 'Data Entry'!$\$184)</f>
      </c>
      <c r="AC184">
        <f>IF(ISBLANK('Data Entry'!$]$184), "", 'Data Entry'!$]$184)</f>
      </c>
      <c r="AD184">
        <f>IF(ISBLANK('Data Entry'!$^$184), "", 'Data Entry'!$^$184)</f>
      </c>
      <c r="AE184">
        <f>IF(ISBLANK('Data Entry'!$_$184), "", 'Data Entry'!$_$184)</f>
      </c>
      <c r="AF184">
        <f>IF(ISBLANK('Data Entry'!$`$184), "", 'Data Entry'!$`$184)</f>
      </c>
      <c r="AG184">
        <f>IF(ISBLANK('Data Entry'!$a$184), "", 'Data Entry'!$a$184)</f>
      </c>
      <c r="AH184">
        <f>IF(ISBLANK('Data Entry'!$b$184), "", 'Data Entry'!$b$184)</f>
      </c>
      <c r="AI184">
        <f>IF(ISBLANK('Data Entry'!$c$184), "", 'Data Entry'!$c$184)</f>
      </c>
      <c r="AJ184">
        <f>IF(ISBLANK('Data Entry'!$d$184), "", 'Data Entry'!$d$184)</f>
      </c>
      <c r="AK184">
        <f>IF(ISBLANK('Data Entry'!$e$184), "", 'Data Entry'!$e$184)</f>
      </c>
      <c r="AL184">
        <f>IF(ISBLANK('Data Entry'!$f$184), "", 'Data Entry'!$f$184)</f>
      </c>
      <c r="AM184">
        <f>IF(ISBLANK('Data Entry'!$g$184), "", 'Data Entry'!$g$184)</f>
      </c>
      <c r="AN184">
        <f>IF(ISBLANK('Data Entry'!$h$184), "", 'Data Entry'!$h$184)</f>
      </c>
      <c r="AO184">
        <f>IF(ISBLANK('Data Entry'!$i$184), "", 'Data Entry'!$i$184)</f>
      </c>
      <c r="AP184">
        <f>IF(ISBLANK('Data Entry'!$j$184), "", 'Data Entry'!$j$184)</f>
      </c>
      <c r="AQ184">
        <f>IF(ISBLANK('Data Entry'!$k$184), "", 'Data Entry'!$k$184)</f>
      </c>
      <c r="AR184">
        <f>IF(ISBLANK('Data Entry'!$l$184), "", 'Data Entry'!$l$184)</f>
      </c>
      <c r="AS184">
        <f>IF(ISBLANK('Data Entry'!$m$184), "", 'Data Entry'!$m$184)</f>
      </c>
      <c r="AT184">
        <f>IF(ISBLANK('Data Entry'!$n$184), "", 'Data Entry'!$n$184)</f>
      </c>
      <c r="AU184">
        <f>IF(ISBLANK('Data Entry'!$o$184), "", 'Data Entry'!$o$184)</f>
      </c>
      <c r="AV184">
        <f>IF(ISBLANK('Data Entry'!$p$184), "", 'Data Entry'!$p$184)</f>
      </c>
      <c r="AW184">
        <f>IF(ISBLANK('Data Entry'!$q$184), "", 'Data Entry'!$q$184)</f>
      </c>
      <c r="AX184">
        <f>IF(ISBLANK('Data Entry'!$r$184), "", 'Data Entry'!$r$184)</f>
      </c>
      <c r="AY184">
        <f>IF(ISBLANK('Data Entry'!$s$184), "", 'Data Entry'!$s$184)</f>
      </c>
      <c r="AZ184">
        <f>IF(ISBLANK('Data Entry'!$t$184), "", 'Data Entry'!$t$184)</f>
      </c>
      <c r="BA184">
        <f>IF(ISBLANK('Data Entry'!$u$184), "", 'Data Entry'!$u$184)</f>
      </c>
      <c r="BB184">
        <f>IF(ISBLANK('Data Entry'!$v$184), "", 'Data Entry'!$v$184)</f>
      </c>
      <c r="BC184">
        <f>IF(ISBLANK('Data Entry'!$w$184), "", 'Data Entry'!$w$184)</f>
      </c>
      <c r="BD184">
        <f>IF(ISBLANK('Data Entry'!$x$184), "", 'Data Entry'!$x$184)</f>
      </c>
      <c r="BE184">
        <f>IF(ISBLANK('Data Entry'!$y$184), "", 'Data Entry'!$y$184)</f>
      </c>
      <c r="BF184">
        <f>IF(ISBLANK('Data Entry'!$z$184), "", 'Data Entry'!$z$184)</f>
      </c>
      <c r="BG184">
        <f>IF(ISBLANK('Data Entry'!${$184), "", 'Data Entry'!${$184)</f>
      </c>
      <c r="BH184">
        <f>IF(ISBLANK('Data Entry'!$|$184), "", 'Data Entry'!$|$184)</f>
      </c>
      <c r="BI184">
        <f>IF(ISBLANK('Data Entry'!$}$184), "", 'Data Entry'!$}$184)</f>
      </c>
      <c r="BJ184">
        <f>IF(ISBLANK('Data Entry'!$~$184), "", 'Data Entry'!$~$184)</f>
      </c>
      <c r="BK184">
        <f>IF(ISBLANK('Data Entry'!$$184), "", 'Data Entry'!$$184)</f>
      </c>
      <c r="BL184">
        <f>IF(ISBLANK('Data Entry'!$$184), "", 'Data Entry'!$$184)</f>
      </c>
      <c r="BM184">
        <f>IF(ISBLANK('Data Entry'!$$184), "", 'Data Entry'!$$184)</f>
      </c>
      <c r="BN184">
        <f>IF(ISBLANK('Data Entry'!$$184), "", 'Data Entry'!$$184)</f>
      </c>
      <c r="BO184">
        <f>IF(ISBLANK('Data Entry'!$$184), "", 'Data Entry'!$$184)</f>
      </c>
      <c r="BP184">
        <f>IF(ISBLANK('Data Entry'!$$184), "", 'Data Entry'!$$184)</f>
      </c>
      <c r="BQ184">
        <f>IF(ISBLANK('Data Entry'!$$184), "", 'Data Entry'!$$184)</f>
      </c>
      <c r="BR184">
        <f>IF(ISBLANK('Data Entry'!$$184), "", 'Data Entry'!$$184)</f>
      </c>
      <c r="BS184">
        <f>IF(ISBLANK('Data Entry'!$$184), "", 'Data Entry'!$$184)</f>
      </c>
      <c r="BT184">
        <f>IF(ISBLANK('Data Entry'!$$184), "", 'Data Entry'!$$184)</f>
      </c>
      <c r="BU184">
        <f>IF(ISBLANK('Data Entry'!$$184), "", 'Data Entry'!$$184)</f>
      </c>
      <c r="BV184">
        <f>IF(ISBLANK('Data Entry'!$$184), "", 'Data Entry'!$$184)</f>
      </c>
      <c r="BW184">
        <f>IF(ISBLANK('Data Entry'!$$184), "", 'Data Entry'!$$184)</f>
      </c>
      <c r="BX184">
        <f>IF(ISBLANK('Data Entry'!$$184), "", 'Data Entry'!$$184)</f>
      </c>
      <c r="BY184">
        <f>IF(ISBLANK('Data Entry'!$$184), "", 'Data Entry'!$$184)</f>
      </c>
      <c r="BZ184">
        <f>IF(ISBLANK('Data Entry'!$$184), "", 'Data Entry'!$$184)</f>
      </c>
      <c r="CA184">
        <f>IF(ISBLANK('Data Entry'!$$184), "", 'Data Entry'!$$184)</f>
      </c>
      <c r="CB184">
        <f>IF(ISBLANK('Data Entry'!$$184), "", 'Data Entry'!$$184)</f>
      </c>
      <c r="CC184">
        <f>IF(ISBLANK('Data Entry'!$$184), "", 'Data Entry'!$$184)</f>
      </c>
      <c r="CD184">
        <f>IF(ISBLANK('Data Entry'!$$184), "", 'Data Entry'!$$184)</f>
      </c>
      <c r="CE184">
        <f>IF(ISBLANK('Data Entry'!$$184), "", 'Data Entry'!$$184)</f>
      </c>
      <c r="CF184">
        <f>IF(ISBLANK('Data Entry'!$$184), "", 'Data Entry'!$$184)</f>
      </c>
      <c r="CG184">
        <f>IF(ISBLANK('Data Entry'!$$184), "", 'Data Entry'!$$184)</f>
      </c>
      <c r="CH184">
        <f>IF(ISBLANK('Data Entry'!$$184), "", 'Data Entry'!$$184)</f>
      </c>
      <c r="CI184">
        <f>IF(ISBLANK('Data Entry'!$$184), "", 'Data Entry'!$$184)</f>
      </c>
      <c r="CJ184">
        <f>IF(ISBLANK('Data Entry'!$$184), "", 'Data Entry'!$$184)</f>
      </c>
      <c r="CK184">
        <f>IF(ISBLANK('Data Entry'!$$184), "", 'Data Entry'!$$184)</f>
      </c>
      <c r="CL184">
        <f>IF(ISBLANK('Data Entry'!$$184), "", 'Data Entry'!$$184)</f>
      </c>
      <c r="CM184">
        <f>IF(ISBLANK('Data Entry'!$$184), "", 'Data Entry'!$$184)</f>
      </c>
      <c r="CN184">
        <f>IF(ISBLANK('Data Entry'!$$184), "", 'Data Entry'!$$184)</f>
      </c>
      <c r="CO184">
        <f>IF(ISBLANK('Data Entry'!$$184), "", 'Data Entry'!$$184)</f>
      </c>
      <c r="CP184">
        <f>IF(ISBLANK('Data Entry'!$$184), "", 'Data Entry'!$$184)</f>
      </c>
      <c r="CQ184">
        <f>IF(ISBLANK('Data Entry'!$$184), "", 'Data Entry'!$$184)</f>
      </c>
      <c r="CR184">
        <f>IF(ISBLANK('Data Entry'!$ $184), "", 'Data Entry'!$ $184)</f>
      </c>
      <c r="CS184">
        <f>IF(ISBLANK('Data Entry'!$¡$184), "", 'Data Entry'!$¡$184)</f>
      </c>
      <c r="CT184">
        <f>IF(ISBLANK('Data Entry'!$¢$184), "", 'Data Entry'!$¢$184)</f>
      </c>
      <c r="CU184">
        <f>IF(ISBLANK('Data Entry'!$£$184), "", 'Data Entry'!$£$184)</f>
      </c>
      <c r="CV184">
        <f>IF(ISBLANK('Data Entry'!$¤$184), "", 'Data Entry'!$¤$184)</f>
      </c>
      <c r="CW184">
        <f>IF(ISBLANK('Data Entry'!$¥$184), "", 'Data Entry'!$¥$184)</f>
      </c>
      <c r="CX184">
        <f>IF(ISBLANK('Data Entry'!$¦$184), "", 'Data Entry'!$¦$184)</f>
      </c>
      <c r="CY184">
        <f>IF(ISBLANK('Data Entry'!$§$184), "", 'Data Entry'!$§$184)</f>
      </c>
      <c r="CZ184">
        <f>IF(ISBLANK('Data Entry'!$¨$184), "", 'Data Entry'!$¨$184)</f>
      </c>
      <c r="DA184">
        <f>IF(ISBLANK('Data Entry'!$©$184), "", 'Data Entry'!$©$184)</f>
      </c>
      <c r="DB184">
        <f>IF(ISBLANK('Data Entry'!$ª$184), "", 'Data Entry'!$ª$184)</f>
      </c>
      <c r="DC184">
        <f>IF(ISBLANK('Data Entry'!$«$184), "", 'Data Entry'!$«$184)</f>
      </c>
      <c r="DD184">
        <f>IF(ISBLANK('Data Entry'!$¬$184), "", 'Data Entry'!$¬$184)</f>
      </c>
      <c r="DE184">
        <f>IF(ISBLANK('Data Entry'!$­$184), "", 'Data Entry'!$­$184)</f>
      </c>
      <c r="DF184">
        <f>IF(ISBLANK('Data Entry'!$®$184), "", 'Data Entry'!$®$184)</f>
      </c>
      <c r="DG184">
        <f>IF(ISBLANK('Data Entry'!$¯$184), "", 'Data Entry'!$¯$184)</f>
      </c>
      <c r="DH184">
        <f>IF(ISBLANK('Data Entry'!$°$184), "", 'Data Entry'!$°$184)</f>
      </c>
      <c r="DI184">
        <f>IF(ISBLANK('Data Entry'!$±$184), "", 'Data Entry'!$±$184)</f>
      </c>
      <c r="DJ184">
        <f>IF(ISBLANK('Data Entry'!$²$184), "", 'Data Entry'!$²$184)</f>
      </c>
      <c r="DK184">
        <f>IF(ISBLANK('Data Entry'!$³$184), "", 'Data Entry'!$³$184)</f>
      </c>
      <c r="DL184">
        <f>IF(ISBLANK('Data Entry'!$´$184), "", 'Data Entry'!$´$184)</f>
      </c>
      <c r="DM184">
        <f>IF(ISBLANK('Data Entry'!$µ$184), "", 'Data Entry'!$µ$184)</f>
      </c>
      <c r="DN184">
        <f>IF(ISBLANK('Data Entry'!$¶$184), "", 'Data Entry'!$¶$184)</f>
      </c>
      <c r="DO184">
        <f>IF(ISBLANK('Data Entry'!$·$184), "", 'Data Entry'!$·$184)</f>
      </c>
      <c r="DP184">
        <f>IF(ISBLANK('Data Entry'!$¸$184), "", 'Data Entry'!$¸$184)</f>
      </c>
      <c r="DQ184">
        <f>IF(ISBLANK('Data Entry'!$¹$184), "", 'Data Entry'!$¹$184)</f>
      </c>
      <c r="DR184">
        <f>IF(ISBLANK('Data Entry'!$º$184), "", 'Data Entry'!$º$184)</f>
      </c>
      <c r="DS184">
        <f>IF(ISBLANK('Data Entry'!$»$184), "", 'Data Entry'!$»$184)</f>
      </c>
      <c r="DT184">
        <f>IF(ISBLANK('Data Entry'!$¼$184), "", 'Data Entry'!$¼$184)</f>
      </c>
      <c r="DU184">
        <f>IF(ISBLANK('Data Entry'!$½$184), "", 'Data Entry'!$½$184)</f>
      </c>
      <c r="DV184">
        <f>IF(ISBLANK('Data Entry'!$¾$184), "", 'Data Entry'!$¾$184)</f>
      </c>
      <c r="DW184">
        <f>IF(ISBLANK('Data Entry'!$¿$184), "", 'Data Entry'!$¿$184)</f>
      </c>
      <c r="DX184">
        <f>IF(ISBLANK('Data Entry'!$À$184), "", 'Data Entry'!$À$184)</f>
      </c>
      <c r="DY184">
        <f>IF(ISBLANK('Data Entry'!$Á$184), "", 'Data Entry'!$Á$184)</f>
      </c>
      <c r="DZ184">
        <f>IF(ISBLANK('Data Entry'!$Â$184), "", 'Data Entry'!$Â$184)</f>
      </c>
      <c r="EA184">
        <f>IF(ISBLANK('Data Entry'!$Ã$184), "", 'Data Entry'!$Ã$184)</f>
      </c>
      <c r="EB184">
        <f>IF(ISBLANK('Data Entry'!$Ä$184), "", 'Data Entry'!$Ä$184)</f>
      </c>
      <c r="EC184">
        <f>IF(ISBLANK('Data Entry'!$Å$184), "", 'Data Entry'!$Å$184)</f>
      </c>
      <c r="ED184">
        <f>IF(ISBLANK('Data Entry'!$Æ$184), "", 'Data Entry'!$Æ$184)</f>
      </c>
      <c r="EE184">
        <f>IF(ISBLANK('Data Entry'!$Ç$184), "", 'Data Entry'!$Ç$184)</f>
      </c>
      <c r="EF184">
        <f>IF(ISBLANK('Data Entry'!$È$184), "", 'Data Entry'!$È$184)</f>
      </c>
      <c r="EG184">
        <f>IF(ISBLANK('Data Entry'!$É$184), "", 'Data Entry'!$É$184)</f>
      </c>
      <c r="EH184">
        <f>IF(ISBLANK('Data Entry'!$Ê$184), "", 'Data Entry'!$Ê$184)</f>
      </c>
      <c r="EI184">
        <f>IF(ISBLANK('Data Entry'!$Ë$184), "", 'Data Entry'!$Ë$184)</f>
      </c>
      <c r="EJ184">
        <f>IF(ISBLANK('Data Entry'!$Ì$184), "", 'Data Entry'!$Ì$184)</f>
      </c>
      <c r="EK184">
        <f>IF(ISBLANK('Data Entry'!$Í$184), "", 'Data Entry'!$Í$184)</f>
      </c>
      <c r="EL184">
        <f>IF(ISBLANK('Data Entry'!$Î$184), "", 'Data Entry'!$Î$184)</f>
      </c>
      <c r="EM184">
        <f>IF(ISBLANK('Data Entry'!$Ï$184), "", 'Data Entry'!$Ï$184)</f>
      </c>
      <c r="EN184">
        <f>IF(ISBLANK('Data Entry'!$Ð$184), "", 'Data Entry'!$Ð$184)</f>
      </c>
      <c r="EO184">
        <f>IF(ISBLANK('Data Entry'!$Ñ$184), "", 'Data Entry'!$Ñ$184)</f>
      </c>
      <c r="EP184">
        <f>IF(ISBLANK('Data Entry'!$Ò$184), "", 'Data Entry'!$Ò$184)</f>
      </c>
      <c r="EQ184">
        <f>IF(ISBLANK('Data Entry'!$Ó$184), "", 'Data Entry'!$Ó$184)</f>
      </c>
      <c r="ER184">
        <f>IF(ISBLANK('Data Entry'!$Ô$184), "", 'Data Entry'!$Ô$184)</f>
      </c>
      <c r="ES184">
        <f>IF(ISBLANK('Data Entry'!$Õ$184), "", 'Data Entry'!$Õ$184)</f>
      </c>
      <c r="ET184">
        <f>IF(ISBLANK('Data Entry'!$Ö$184), "", 'Data Entry'!$Ö$184)</f>
      </c>
      <c r="EU184">
        <f>IF(ISBLANK('Data Entry'!$×$184), "", 'Data Entry'!$×$184)</f>
      </c>
      <c r="EV184">
        <f>IF(ISBLANK('Data Entry'!$Ø$184), "", 'Data Entry'!$Ø$184)</f>
      </c>
      <c r="EW184">
        <f>IF(ISBLANK('Data Entry'!$Ù$184), "", 'Data Entry'!$Ù$184)</f>
      </c>
      <c r="EX184">
        <f>IF(ISBLANK('Data Entry'!$Ú$184), "", 'Data Entry'!$Ú$184)</f>
      </c>
      <c r="EY184">
        <f>IF(ISBLANK('Data Entry'!$Û$184), "", 'Data Entry'!$Û$184)</f>
      </c>
      <c r="EZ184">
        <f>IF(ISBLANK('Data Entry'!$Ü$184), "", 'Data Entry'!$Ü$184)</f>
      </c>
      <c r="FA184">
        <f>IF(ISBLANK('Data Entry'!$Ý$184), "", 'Data Entry'!$Ý$184)</f>
      </c>
      <c r="FB184">
        <f>IF(ISBLANK('Data Entry'!$Þ$184), "", 'Data Entry'!$Þ$184)</f>
      </c>
      <c r="FC184">
        <f>IF(ISBLANK('Data Entry'!$ß$184), "", 'Data Entry'!$ß$184)</f>
      </c>
      <c r="FD184">
        <f>IF(ISBLANK('Data Entry'!$à$184), "", 'Data Entry'!$à$184)</f>
      </c>
      <c r="FE184">
        <f>IF(ISBLANK('Data Entry'!$á$184), "", 'Data Entry'!$á$184)</f>
      </c>
      <c r="FF184">
        <f>IF(ISBLANK('Data Entry'!$â$184), "", 'Data Entry'!$â$184)</f>
      </c>
      <c r="FG184">
        <f>IF(ISBLANK('Data Entry'!$ã$184), "", 'Data Entry'!$ã$184)</f>
      </c>
      <c r="FH184">
        <f>IF(ISBLANK('Data Entry'!$ä$184), "", 'Data Entry'!$ä$184)</f>
      </c>
      <c r="FI184">
        <f>IF(ISBLANK('Data Entry'!$å$184), "", 'Data Entry'!$å$184)</f>
      </c>
      <c r="FJ184">
        <f>IF(ISBLANK('Data Entry'!$æ$184), "", 'Data Entry'!$æ$184)</f>
      </c>
      <c r="FK184">
        <f>IF(ISBLANK('Data Entry'!$ç$184), "", 'Data Entry'!$ç$184)</f>
      </c>
      <c r="FL184">
        <f>IF(ISBLANK('Data Entry'!$è$184), "", 'Data Entry'!$è$184)</f>
      </c>
      <c r="FM184">
        <f>IF(ISBLANK('Data Entry'!$é$184), "", 'Data Entry'!$é$184)</f>
      </c>
      <c r="FN184">
        <f>IF(ISBLANK('Data Entry'!$ê$184), "", 'Data Entry'!$ê$184)</f>
      </c>
      <c r="FO184">
        <f>IF(ISBLANK('Data Entry'!$ë$184), "", 'Data Entry'!$ë$184)</f>
      </c>
      <c r="FP184">
        <f>IF(ISBLANK('Data Entry'!$ì$184), "", 'Data Entry'!$ì$184)</f>
      </c>
      <c r="FQ184">
        <f>IF(ISBLANK('Data Entry'!$í$184), "", 'Data Entry'!$í$184)</f>
      </c>
      <c r="FR184">
        <f>IF(ISBLANK('Data Entry'!$î$184), "", 'Data Entry'!$î$184)</f>
      </c>
      <c r="FS184">
        <f>IF(ISBLANK('Data Entry'!$ï$184), "", 'Data Entry'!$ï$184)</f>
      </c>
      <c r="FT184">
        <f>IF(ISBLANK('Data Entry'!$ð$184), "", 'Data Entry'!$ð$184)</f>
      </c>
      <c r="FU184">
        <f>IF(ISBLANK('Data Entry'!$ñ$184), "", 'Data Entry'!$ñ$184)</f>
      </c>
      <c r="FV184">
        <f>IF(ISBLANK('Data Entry'!$ò$184), "", 'Data Entry'!$ò$184)</f>
      </c>
      <c r="FW184">
        <f>IF(ISBLANK('Data Entry'!$ó$184), "", 'Data Entry'!$ó$184)</f>
      </c>
      <c r="FX184">
        <f>IF(ISBLANK('Data Entry'!$ô$184), "", 'Data Entry'!$ô$184)</f>
      </c>
      <c r="FY184">
        <f>IF(ISBLANK('Data Entry'!$õ$184), "", 'Data Entry'!$õ$184)</f>
      </c>
      <c r="FZ184">
        <f>IF(ISBLANK('Data Entry'!$ö$184), "", 'Data Entry'!$ö$184)</f>
      </c>
      <c r="GA184">
        <f>IF(ISBLANK('Data Entry'!$÷$184), "", 'Data Entry'!$÷$184)</f>
      </c>
      <c r="GB184">
        <f>IF(ISBLANK('Data Entry'!$ø$184), "", 'Data Entry'!$ø$184)</f>
      </c>
      <c r="GC184">
        <f>IF(ISBLANK('Data Entry'!$ù$184), "", 'Data Entry'!$ù$184)</f>
      </c>
      <c r="GD184">
        <f>IF(ISBLANK('Data Entry'!$ú$184), "", 'Data Entry'!$ú$184)</f>
      </c>
      <c r="GE184">
        <f>IF(ISBLANK('Data Entry'!$û$184), "", 'Data Entry'!$û$184)</f>
      </c>
      <c r="GF184">
        <f>IF(ISBLANK('Data Entry'!$ü$184), "", 'Data Entry'!$ü$184)</f>
      </c>
      <c r="GG184">
        <f>IF(ISBLANK('Data Entry'!$ý$184), "", 'Data Entry'!$ý$184)</f>
      </c>
      <c r="GH184">
        <f>IF(ISBLANK('Data Entry'!$þ$184), "", 'Data Entry'!$þ$184)</f>
      </c>
      <c r="GI184">
        <f>IF(ISBLANK('Data Entry'!$ÿ$184), "", 'Data Entry'!$ÿ$184)</f>
      </c>
      <c r="GJ184">
        <f>IF(ISBLANK('Data Entry'!$Ā$184), "", 'Data Entry'!$Ā$184)</f>
      </c>
      <c r="GK184">
        <f>IF(ISBLANK('Data Entry'!$ā$184), "", 'Data Entry'!$ā$184)</f>
      </c>
      <c r="GL184">
        <f>IF(ISBLANK('Data Entry'!$Ă$184), "", 'Data Entry'!$Ă$184)</f>
      </c>
      <c r="GM184">
        <f>IF(ISBLANK('Data Entry'!$ă$184), "", 'Data Entry'!$ă$184)</f>
      </c>
      <c r="GN184">
        <f>IF(ISBLANK('Data Entry'!$Ą$184), "", 'Data Entry'!$Ą$184)</f>
      </c>
      <c r="GO184">
        <f>IF(ISBLANK('Data Entry'!$ą$184), "", 'Data Entry'!$ą$184)</f>
      </c>
      <c r="GP184">
        <f>IF(ISBLANK('Data Entry'!$Ć$184), "", 'Data Entry'!$Ć$184)</f>
      </c>
      <c r="GQ184">
        <f>IF(ISBLANK('Data Entry'!$ć$184), "", 'Data Entry'!$ć$184)</f>
      </c>
      <c r="GR184">
        <f>IF(ISBLANK('Data Entry'!$Ĉ$184), "", 'Data Entry'!$Ĉ$184)</f>
      </c>
      <c r="GS184">
        <f>IF(ISBLANK('Data Entry'!$ĉ$184), "", 'Data Entry'!$ĉ$184)</f>
      </c>
      <c r="GT184">
        <f>IF(ISBLANK('Data Entry'!$Ċ$184), "", 'Data Entry'!$Ċ$184)</f>
      </c>
      <c r="GU184">
        <f>IF(ISBLANK('Data Entry'!$ċ$184), "", 'Data Entry'!$ċ$184)</f>
      </c>
      <c r="GV184">
        <f>IF(ISBLANK('Data Entry'!$Č$184), "", 'Data Entry'!$Č$184)</f>
      </c>
      <c r="GW184">
        <f>IF(ISBLANK('Data Entry'!$č$184), "", 'Data Entry'!$č$184)</f>
      </c>
      <c r="GX184">
        <f>IF(ISBLANK('Data Entry'!$Ď$184), "", 'Data Entry'!$Ď$184)</f>
      </c>
      <c r="GY184">
        <f>IF(ISBLANK('Data Entry'!$ď$184), "", 'Data Entry'!$ď$184)</f>
      </c>
      <c r="GZ184">
        <f>IF(ISBLANK('Data Entry'!$Đ$184), "", 'Data Entry'!$Đ$184)</f>
      </c>
      <c r="HA184">
        <f>IF(ISBLANK('Data Entry'!$đ$184), "", 'Data Entry'!$đ$184)</f>
      </c>
      <c r="HB184">
        <f>IF(ISBLANK('Data Entry'!$Ē$184), "", 'Data Entry'!$Ē$184)</f>
      </c>
      <c r="HC184">
        <f>IF(ISBLANK('Data Entry'!$ē$184), "", 'Data Entry'!$ē$184)</f>
      </c>
      <c r="HD184">
        <f>IF(ISBLANK('Data Entry'!$Ĕ$184), "", 'Data Entry'!$Ĕ$184)</f>
      </c>
      <c r="HE184">
        <f>IF(ISBLANK('Data Entry'!$ĕ$184), "", 'Data Entry'!$ĕ$184)</f>
      </c>
      <c r="HF184">
        <f>IF(ISBLANK('Data Entry'!$Ė$184), "", 'Data Entry'!$Ė$184)</f>
      </c>
      <c r="HG184">
        <f>IF(ISBLANK('Data Entry'!$ė$184), "", 'Data Entry'!$ė$184)</f>
      </c>
      <c r="HH184">
        <f>IF(ISBLANK('Data Entry'!$Ę$184), "", 'Data Entry'!$Ę$184)</f>
      </c>
      <c r="HI184">
        <f>IF(ISBLANK('Data Entry'!$ę$184), "", 'Data Entry'!$ę$184)</f>
      </c>
      <c r="HJ184">
        <f>IF(ISBLANK('Data Entry'!$Ě$184), "", 'Data Entry'!$Ě$184)</f>
      </c>
      <c r="HK184">
        <f>IF(ISBLANK('Data Entry'!$ě$184), "", 'Data Entry'!$ě$184)</f>
      </c>
      <c r="HL184">
        <f>IF(ISBLANK('Data Entry'!$Ĝ$184), "", 'Data Entry'!$Ĝ$184)</f>
      </c>
      <c r="HM184">
        <f>IF(ISBLANK('Data Entry'!$ĝ$184), "", 'Data Entry'!$ĝ$184)</f>
      </c>
      <c r="HN184">
        <f>IF(ISBLANK('Data Entry'!$Ğ$184), "", 'Data Entry'!$Ğ$184)</f>
      </c>
      <c r="HO184">
        <f>IF(ISBLANK('Data Entry'!$ğ$184), "", 'Data Entry'!$ğ$184)</f>
      </c>
      <c r="HP184">
        <f>IF(ISBLANK('Data Entry'!$Ġ$184), "", 'Data Entry'!$Ġ$184)</f>
      </c>
      <c r="HQ184">
        <f>IF(ISBLANK('Data Entry'!$ġ$184), "", 'Data Entry'!$ġ$184)</f>
      </c>
      <c r="HR184">
        <f>IF(ISBLANK('Data Entry'!$Ģ$184), "", 'Data Entry'!$Ģ$184)</f>
      </c>
      <c r="HS184">
        <f>IF(ISBLANK('Data Entry'!$ģ$184), "", 'Data Entry'!$ģ$184)</f>
      </c>
      <c r="HT184">
        <f>IF(ISBLANK('Data Entry'!$Ĥ$184), "", 'Data Entry'!$Ĥ$184)</f>
      </c>
      <c r="HU184">
        <f>IF(ISBLANK('Data Entry'!$ĥ$184), "", 'Data Entry'!$ĥ$184)</f>
      </c>
      <c r="HV184">
        <f>IF(ISBLANK('Data Entry'!$Ħ$184), "", 'Data Entry'!$Ħ$184)</f>
      </c>
      <c r="HW184">
        <f>IF(ISBLANK('Data Entry'!$ħ$184), "", 'Data Entry'!$ħ$184)</f>
      </c>
      <c r="HX184">
        <f>IF(ISBLANK('Data Entry'!$Ĩ$184), "", 'Data Entry'!$Ĩ$184)</f>
      </c>
      <c r="HY184">
        <f>IF(ISBLANK('Data Entry'!$ĩ$184), "", 'Data Entry'!$ĩ$184)</f>
      </c>
      <c r="HZ184">
        <f>IF(ISBLANK('Data Entry'!$Ī$184), "", 'Data Entry'!$Ī$184)</f>
      </c>
      <c r="IA184">
        <f>IF(ISBLANK('Data Entry'!$ī$184), "", 'Data Entry'!$ī$184)</f>
      </c>
      <c r="IB184">
        <f>IF(ISBLANK('Data Entry'!$Ĭ$184), "", 'Data Entry'!$Ĭ$184)</f>
      </c>
      <c r="IC184">
        <f>IF(ISBLANK('Data Entry'!$ĭ$184), "", 'Data Entry'!$ĭ$184)</f>
      </c>
      <c r="ID184">
        <f>IF(ISBLANK('Data Entry'!$Į$184), "", 'Data Entry'!$Į$184)</f>
      </c>
      <c r="IE184">
        <f>IF(ISBLANK('Data Entry'!$į$184), "", 'Data Entry'!$į$184)</f>
      </c>
      <c r="IF184">
        <f>IF(ISBLANK('Data Entry'!$İ$184), "", 'Data Entry'!$İ$184)</f>
      </c>
      <c r="IG184">
        <f>IF(ISBLANK('Data Entry'!$ı$184), "", 'Data Entry'!$ı$184)</f>
      </c>
      <c r="IH184">
        <f>IF(ISBLANK('Data Entry'!$Ĳ$184), "", 'Data Entry'!$Ĳ$184)</f>
      </c>
      <c r="II184">
        <f>IF(ISBLANK('Data Entry'!$ĳ$184), "", 'Data Entry'!$ĳ$184)</f>
      </c>
      <c r="IJ184">
        <f>IF(ISBLANK('Data Entry'!$Ĵ$184), "", 'Data Entry'!$Ĵ$184)</f>
      </c>
      <c r="IK184">
        <f>IF(ISBLANK('Data Entry'!$ĵ$184), "", 'Data Entry'!$ĵ$184)</f>
      </c>
      <c r="IL184">
        <f>IF(ISBLANK('Data Entry'!$Ķ$184), "", 'Data Entry'!$Ķ$184)</f>
      </c>
      <c r="IM184">
        <f>IF(ISBLANK('Data Entry'!$ķ$184), "", 'Data Entry'!$ķ$184)</f>
      </c>
      <c r="IN184">
        <f>IF(ISBLANK('Data Entry'!$ĸ$184), "", 'Data Entry'!$ĸ$184)</f>
      </c>
      <c r="IO184">
        <f>IF(ISBLANK('Data Entry'!$Ĺ$184), "", 'Data Entry'!$Ĺ$184)</f>
      </c>
      <c r="IP184">
        <f>IF(ISBLANK('Data Entry'!$ĺ$184), "", 'Data Entry'!$ĺ$184)</f>
      </c>
      <c r="IQ184">
        <f>IF(ISBLANK('Data Entry'!$Ļ$184), "", 'Data Entry'!$Ļ$184)</f>
      </c>
      <c r="IR184">
        <f>IF(ISBLANK('Data Entry'!$ļ$184), "", 'Data Entry'!$ļ$184)</f>
      </c>
      <c r="IS184">
        <f>IF(ISBLANK('Data Entry'!$Ľ$184), "", 'Data Entry'!$Ľ$184)</f>
      </c>
      <c r="IT184">
        <f>IF(ISBLANK('Data Entry'!$ľ$184), "", 'Data Entry'!$ľ$184)</f>
      </c>
    </row>
    <row r="185" spans="1:254" x14ac:dyDescent="0.25">
      <c r="A185">
        <f>IF(ISBLANK('Data Entry'!$A$185), "", 'Data Entry'!$A$185)</f>
      </c>
      <c r="B185">
        <f>IF(ISBLANK('Data Entry'!$B$185), "", 'Data Entry'!$B$185)</f>
      </c>
      <c r="C185">
        <f>IF(ISBLANK('Data Entry'!$C$185), "", 'Data Entry'!$C$185)</f>
      </c>
      <c r="D185">
        <f>IF(ISBLANK('Data Entry'!$D$185), "", 'Data Entry'!$D$185)</f>
      </c>
      <c r="E185">
        <f>IF(ISBLANK('Data Entry'!$E$185), "", 'Data Entry'!$E$185)</f>
      </c>
      <c r="F185">
        <f>IF(ISBLANK('Data Entry'!$F$185), "", 'Data Entry'!$F$185)</f>
      </c>
      <c r="G185">
        <f>IF(ISBLANK('Data Entry'!$G$185), "", 'Data Entry'!$G$185)</f>
      </c>
      <c r="H185">
        <f>IF(ISBLANK('Data Entry'!$H$185), "", 'Data Entry'!$H$185)</f>
      </c>
      <c r="I185">
        <f>IF(ISBLANK('Data Entry'!$I$185), "", 'Data Entry'!$I$185)</f>
      </c>
      <c r="J185">
        <f>IF(ISBLANK('Data Entry'!$J$185), "", 'Data Entry'!$J$185)</f>
      </c>
      <c r="K185">
        <f>IF(ISBLANK('Data Entry'!$K$185), "", 'Data Entry'!$K$185)</f>
      </c>
      <c r="L185">
        <f>IF(ISBLANK('Data Entry'!$L$185), "", 'Data Entry'!$L$185)</f>
      </c>
      <c r="M185">
        <f>IF(ISBLANK('Data Entry'!$M$185), "", 'Data Entry'!$M$185)</f>
      </c>
      <c r="N185">
        <f>IF(ISBLANK('Data Entry'!$N$185), "", 'Data Entry'!$N$185)</f>
      </c>
      <c r="O185">
        <f>IF(ISBLANK('Data Entry'!$O$185), "", 'Data Entry'!$O$185)</f>
      </c>
      <c r="P185">
        <f>IF(ISBLANK('Data Entry'!$P$185), "", 'Data Entry'!$P$185)</f>
      </c>
      <c r="Q185">
        <f>IF(ISBLANK('Data Entry'!$Q$185), "", 'Data Entry'!$Q$185)</f>
      </c>
      <c r="R185">
        <f>IF(ISBLANK('Data Entry'!$R$185), "", 'Data Entry'!$R$185)</f>
      </c>
      <c r="S185">
        <f>IF(ISBLANK('Data Entry'!$S$185), "", 'Data Entry'!$S$185)</f>
      </c>
      <c r="T185">
        <f>IF(ISBLANK('Data Entry'!$T$185), "", 'Data Entry'!$T$185)</f>
      </c>
      <c r="U185">
        <f>IF(ISBLANK('Data Entry'!$U$185), "", 'Data Entry'!$U$185)</f>
      </c>
      <c r="V185">
        <f>IF(ISBLANK('Data Entry'!$V$185), "", 'Data Entry'!$V$185)</f>
      </c>
      <c r="W185">
        <f>IF(ISBLANK('Data Entry'!$W$185), "", 'Data Entry'!$W$185)</f>
      </c>
      <c r="X185">
        <f>IF(ISBLANK('Data Entry'!$X$185), "", 'Data Entry'!$X$185)</f>
      </c>
      <c r="Y185">
        <f>IF(ISBLANK('Data Entry'!$Y$185), "", 'Data Entry'!$Y$185)</f>
      </c>
      <c r="Z185">
        <f>IF(ISBLANK('Data Entry'!$Z$185), "", 'Data Entry'!$Z$185)</f>
      </c>
      <c r="AA185">
        <f>IF(ISBLANK('Data Entry'!$[$185), "", 'Data Entry'!$[$185)</f>
      </c>
      <c r="AB185">
        <f>IF(ISBLANK('Data Entry'!$\$185), "", 'Data Entry'!$\$185)</f>
      </c>
      <c r="AC185">
        <f>IF(ISBLANK('Data Entry'!$]$185), "", 'Data Entry'!$]$185)</f>
      </c>
      <c r="AD185">
        <f>IF(ISBLANK('Data Entry'!$^$185), "", 'Data Entry'!$^$185)</f>
      </c>
      <c r="AE185">
        <f>IF(ISBLANK('Data Entry'!$_$185), "", 'Data Entry'!$_$185)</f>
      </c>
      <c r="AF185">
        <f>IF(ISBLANK('Data Entry'!$`$185), "", 'Data Entry'!$`$185)</f>
      </c>
      <c r="AG185">
        <f>IF(ISBLANK('Data Entry'!$a$185), "", 'Data Entry'!$a$185)</f>
      </c>
      <c r="AH185">
        <f>IF(ISBLANK('Data Entry'!$b$185), "", 'Data Entry'!$b$185)</f>
      </c>
      <c r="AI185">
        <f>IF(ISBLANK('Data Entry'!$c$185), "", 'Data Entry'!$c$185)</f>
      </c>
      <c r="AJ185">
        <f>IF(ISBLANK('Data Entry'!$d$185), "", 'Data Entry'!$d$185)</f>
      </c>
      <c r="AK185">
        <f>IF(ISBLANK('Data Entry'!$e$185), "", 'Data Entry'!$e$185)</f>
      </c>
      <c r="AL185">
        <f>IF(ISBLANK('Data Entry'!$f$185), "", 'Data Entry'!$f$185)</f>
      </c>
      <c r="AM185">
        <f>IF(ISBLANK('Data Entry'!$g$185), "", 'Data Entry'!$g$185)</f>
      </c>
      <c r="AN185">
        <f>IF(ISBLANK('Data Entry'!$h$185), "", 'Data Entry'!$h$185)</f>
      </c>
      <c r="AO185">
        <f>IF(ISBLANK('Data Entry'!$i$185), "", 'Data Entry'!$i$185)</f>
      </c>
      <c r="AP185">
        <f>IF(ISBLANK('Data Entry'!$j$185), "", 'Data Entry'!$j$185)</f>
      </c>
      <c r="AQ185">
        <f>IF(ISBLANK('Data Entry'!$k$185), "", 'Data Entry'!$k$185)</f>
      </c>
      <c r="AR185">
        <f>IF(ISBLANK('Data Entry'!$l$185), "", 'Data Entry'!$l$185)</f>
      </c>
      <c r="AS185">
        <f>IF(ISBLANK('Data Entry'!$m$185), "", 'Data Entry'!$m$185)</f>
      </c>
      <c r="AT185">
        <f>IF(ISBLANK('Data Entry'!$n$185), "", 'Data Entry'!$n$185)</f>
      </c>
      <c r="AU185">
        <f>IF(ISBLANK('Data Entry'!$o$185), "", 'Data Entry'!$o$185)</f>
      </c>
      <c r="AV185">
        <f>IF(ISBLANK('Data Entry'!$p$185), "", 'Data Entry'!$p$185)</f>
      </c>
      <c r="AW185">
        <f>IF(ISBLANK('Data Entry'!$q$185), "", 'Data Entry'!$q$185)</f>
      </c>
      <c r="AX185">
        <f>IF(ISBLANK('Data Entry'!$r$185), "", 'Data Entry'!$r$185)</f>
      </c>
      <c r="AY185">
        <f>IF(ISBLANK('Data Entry'!$s$185), "", 'Data Entry'!$s$185)</f>
      </c>
      <c r="AZ185">
        <f>IF(ISBLANK('Data Entry'!$t$185), "", 'Data Entry'!$t$185)</f>
      </c>
      <c r="BA185">
        <f>IF(ISBLANK('Data Entry'!$u$185), "", 'Data Entry'!$u$185)</f>
      </c>
      <c r="BB185">
        <f>IF(ISBLANK('Data Entry'!$v$185), "", 'Data Entry'!$v$185)</f>
      </c>
      <c r="BC185">
        <f>IF(ISBLANK('Data Entry'!$w$185), "", 'Data Entry'!$w$185)</f>
      </c>
      <c r="BD185">
        <f>IF(ISBLANK('Data Entry'!$x$185), "", 'Data Entry'!$x$185)</f>
      </c>
      <c r="BE185">
        <f>IF(ISBLANK('Data Entry'!$y$185), "", 'Data Entry'!$y$185)</f>
      </c>
      <c r="BF185">
        <f>IF(ISBLANK('Data Entry'!$z$185), "", 'Data Entry'!$z$185)</f>
      </c>
      <c r="BG185">
        <f>IF(ISBLANK('Data Entry'!${$185), "", 'Data Entry'!${$185)</f>
      </c>
      <c r="BH185">
        <f>IF(ISBLANK('Data Entry'!$|$185), "", 'Data Entry'!$|$185)</f>
      </c>
      <c r="BI185">
        <f>IF(ISBLANK('Data Entry'!$}$185), "", 'Data Entry'!$}$185)</f>
      </c>
      <c r="BJ185">
        <f>IF(ISBLANK('Data Entry'!$~$185), "", 'Data Entry'!$~$185)</f>
      </c>
      <c r="BK185">
        <f>IF(ISBLANK('Data Entry'!$$185), "", 'Data Entry'!$$185)</f>
      </c>
      <c r="BL185">
        <f>IF(ISBLANK('Data Entry'!$$185), "", 'Data Entry'!$$185)</f>
      </c>
      <c r="BM185">
        <f>IF(ISBLANK('Data Entry'!$$185), "", 'Data Entry'!$$185)</f>
      </c>
      <c r="BN185">
        <f>IF(ISBLANK('Data Entry'!$$185), "", 'Data Entry'!$$185)</f>
      </c>
      <c r="BO185">
        <f>IF(ISBLANK('Data Entry'!$$185), "", 'Data Entry'!$$185)</f>
      </c>
      <c r="BP185">
        <f>IF(ISBLANK('Data Entry'!$$185), "", 'Data Entry'!$$185)</f>
      </c>
      <c r="BQ185">
        <f>IF(ISBLANK('Data Entry'!$$185), "", 'Data Entry'!$$185)</f>
      </c>
      <c r="BR185">
        <f>IF(ISBLANK('Data Entry'!$$185), "", 'Data Entry'!$$185)</f>
      </c>
      <c r="BS185">
        <f>IF(ISBLANK('Data Entry'!$$185), "", 'Data Entry'!$$185)</f>
      </c>
      <c r="BT185">
        <f>IF(ISBLANK('Data Entry'!$$185), "", 'Data Entry'!$$185)</f>
      </c>
      <c r="BU185">
        <f>IF(ISBLANK('Data Entry'!$$185), "", 'Data Entry'!$$185)</f>
      </c>
      <c r="BV185">
        <f>IF(ISBLANK('Data Entry'!$$185), "", 'Data Entry'!$$185)</f>
      </c>
      <c r="BW185">
        <f>IF(ISBLANK('Data Entry'!$$185), "", 'Data Entry'!$$185)</f>
      </c>
      <c r="BX185">
        <f>IF(ISBLANK('Data Entry'!$$185), "", 'Data Entry'!$$185)</f>
      </c>
      <c r="BY185">
        <f>IF(ISBLANK('Data Entry'!$$185), "", 'Data Entry'!$$185)</f>
      </c>
      <c r="BZ185">
        <f>IF(ISBLANK('Data Entry'!$$185), "", 'Data Entry'!$$185)</f>
      </c>
      <c r="CA185">
        <f>IF(ISBLANK('Data Entry'!$$185), "", 'Data Entry'!$$185)</f>
      </c>
      <c r="CB185">
        <f>IF(ISBLANK('Data Entry'!$$185), "", 'Data Entry'!$$185)</f>
      </c>
      <c r="CC185">
        <f>IF(ISBLANK('Data Entry'!$$185), "", 'Data Entry'!$$185)</f>
      </c>
      <c r="CD185">
        <f>IF(ISBLANK('Data Entry'!$$185), "", 'Data Entry'!$$185)</f>
      </c>
      <c r="CE185">
        <f>IF(ISBLANK('Data Entry'!$$185), "", 'Data Entry'!$$185)</f>
      </c>
      <c r="CF185">
        <f>IF(ISBLANK('Data Entry'!$$185), "", 'Data Entry'!$$185)</f>
      </c>
      <c r="CG185">
        <f>IF(ISBLANK('Data Entry'!$$185), "", 'Data Entry'!$$185)</f>
      </c>
      <c r="CH185">
        <f>IF(ISBLANK('Data Entry'!$$185), "", 'Data Entry'!$$185)</f>
      </c>
      <c r="CI185">
        <f>IF(ISBLANK('Data Entry'!$$185), "", 'Data Entry'!$$185)</f>
      </c>
      <c r="CJ185">
        <f>IF(ISBLANK('Data Entry'!$$185), "", 'Data Entry'!$$185)</f>
      </c>
      <c r="CK185">
        <f>IF(ISBLANK('Data Entry'!$$185), "", 'Data Entry'!$$185)</f>
      </c>
      <c r="CL185">
        <f>IF(ISBLANK('Data Entry'!$$185), "", 'Data Entry'!$$185)</f>
      </c>
      <c r="CM185">
        <f>IF(ISBLANK('Data Entry'!$$185), "", 'Data Entry'!$$185)</f>
      </c>
      <c r="CN185">
        <f>IF(ISBLANK('Data Entry'!$$185), "", 'Data Entry'!$$185)</f>
      </c>
      <c r="CO185">
        <f>IF(ISBLANK('Data Entry'!$$185), "", 'Data Entry'!$$185)</f>
      </c>
      <c r="CP185">
        <f>IF(ISBLANK('Data Entry'!$$185), "", 'Data Entry'!$$185)</f>
      </c>
      <c r="CQ185">
        <f>IF(ISBLANK('Data Entry'!$$185), "", 'Data Entry'!$$185)</f>
      </c>
      <c r="CR185">
        <f>IF(ISBLANK('Data Entry'!$ $185), "", 'Data Entry'!$ $185)</f>
      </c>
      <c r="CS185">
        <f>IF(ISBLANK('Data Entry'!$¡$185), "", 'Data Entry'!$¡$185)</f>
      </c>
      <c r="CT185">
        <f>IF(ISBLANK('Data Entry'!$¢$185), "", 'Data Entry'!$¢$185)</f>
      </c>
      <c r="CU185">
        <f>IF(ISBLANK('Data Entry'!$£$185), "", 'Data Entry'!$£$185)</f>
      </c>
      <c r="CV185">
        <f>IF(ISBLANK('Data Entry'!$¤$185), "", 'Data Entry'!$¤$185)</f>
      </c>
      <c r="CW185">
        <f>IF(ISBLANK('Data Entry'!$¥$185), "", 'Data Entry'!$¥$185)</f>
      </c>
      <c r="CX185">
        <f>IF(ISBLANK('Data Entry'!$¦$185), "", 'Data Entry'!$¦$185)</f>
      </c>
      <c r="CY185">
        <f>IF(ISBLANK('Data Entry'!$§$185), "", 'Data Entry'!$§$185)</f>
      </c>
      <c r="CZ185">
        <f>IF(ISBLANK('Data Entry'!$¨$185), "", 'Data Entry'!$¨$185)</f>
      </c>
      <c r="DA185">
        <f>IF(ISBLANK('Data Entry'!$©$185), "", 'Data Entry'!$©$185)</f>
      </c>
      <c r="DB185">
        <f>IF(ISBLANK('Data Entry'!$ª$185), "", 'Data Entry'!$ª$185)</f>
      </c>
      <c r="DC185">
        <f>IF(ISBLANK('Data Entry'!$«$185), "", 'Data Entry'!$«$185)</f>
      </c>
      <c r="DD185">
        <f>IF(ISBLANK('Data Entry'!$¬$185), "", 'Data Entry'!$¬$185)</f>
      </c>
      <c r="DE185">
        <f>IF(ISBLANK('Data Entry'!$­$185), "", 'Data Entry'!$­$185)</f>
      </c>
      <c r="DF185">
        <f>IF(ISBLANK('Data Entry'!$®$185), "", 'Data Entry'!$®$185)</f>
      </c>
      <c r="DG185">
        <f>IF(ISBLANK('Data Entry'!$¯$185), "", 'Data Entry'!$¯$185)</f>
      </c>
      <c r="DH185">
        <f>IF(ISBLANK('Data Entry'!$°$185), "", 'Data Entry'!$°$185)</f>
      </c>
      <c r="DI185">
        <f>IF(ISBLANK('Data Entry'!$±$185), "", 'Data Entry'!$±$185)</f>
      </c>
      <c r="DJ185">
        <f>IF(ISBLANK('Data Entry'!$²$185), "", 'Data Entry'!$²$185)</f>
      </c>
      <c r="DK185">
        <f>IF(ISBLANK('Data Entry'!$³$185), "", 'Data Entry'!$³$185)</f>
      </c>
      <c r="DL185">
        <f>IF(ISBLANK('Data Entry'!$´$185), "", 'Data Entry'!$´$185)</f>
      </c>
      <c r="DM185">
        <f>IF(ISBLANK('Data Entry'!$µ$185), "", 'Data Entry'!$µ$185)</f>
      </c>
      <c r="DN185">
        <f>IF(ISBLANK('Data Entry'!$¶$185), "", 'Data Entry'!$¶$185)</f>
      </c>
      <c r="DO185">
        <f>IF(ISBLANK('Data Entry'!$·$185), "", 'Data Entry'!$·$185)</f>
      </c>
      <c r="DP185">
        <f>IF(ISBLANK('Data Entry'!$¸$185), "", 'Data Entry'!$¸$185)</f>
      </c>
      <c r="DQ185">
        <f>IF(ISBLANK('Data Entry'!$¹$185), "", 'Data Entry'!$¹$185)</f>
      </c>
      <c r="DR185">
        <f>IF(ISBLANK('Data Entry'!$º$185), "", 'Data Entry'!$º$185)</f>
      </c>
      <c r="DS185">
        <f>IF(ISBLANK('Data Entry'!$»$185), "", 'Data Entry'!$»$185)</f>
      </c>
      <c r="DT185">
        <f>IF(ISBLANK('Data Entry'!$¼$185), "", 'Data Entry'!$¼$185)</f>
      </c>
      <c r="DU185">
        <f>IF(ISBLANK('Data Entry'!$½$185), "", 'Data Entry'!$½$185)</f>
      </c>
      <c r="DV185">
        <f>IF(ISBLANK('Data Entry'!$¾$185), "", 'Data Entry'!$¾$185)</f>
      </c>
      <c r="DW185">
        <f>IF(ISBLANK('Data Entry'!$¿$185), "", 'Data Entry'!$¿$185)</f>
      </c>
      <c r="DX185">
        <f>IF(ISBLANK('Data Entry'!$À$185), "", 'Data Entry'!$À$185)</f>
      </c>
      <c r="DY185">
        <f>IF(ISBLANK('Data Entry'!$Á$185), "", 'Data Entry'!$Á$185)</f>
      </c>
      <c r="DZ185">
        <f>IF(ISBLANK('Data Entry'!$Â$185), "", 'Data Entry'!$Â$185)</f>
      </c>
      <c r="EA185">
        <f>IF(ISBLANK('Data Entry'!$Ã$185), "", 'Data Entry'!$Ã$185)</f>
      </c>
      <c r="EB185">
        <f>IF(ISBLANK('Data Entry'!$Ä$185), "", 'Data Entry'!$Ä$185)</f>
      </c>
      <c r="EC185">
        <f>IF(ISBLANK('Data Entry'!$Å$185), "", 'Data Entry'!$Å$185)</f>
      </c>
      <c r="ED185">
        <f>IF(ISBLANK('Data Entry'!$Æ$185), "", 'Data Entry'!$Æ$185)</f>
      </c>
      <c r="EE185">
        <f>IF(ISBLANK('Data Entry'!$Ç$185), "", 'Data Entry'!$Ç$185)</f>
      </c>
      <c r="EF185">
        <f>IF(ISBLANK('Data Entry'!$È$185), "", 'Data Entry'!$È$185)</f>
      </c>
      <c r="EG185">
        <f>IF(ISBLANK('Data Entry'!$É$185), "", 'Data Entry'!$É$185)</f>
      </c>
      <c r="EH185">
        <f>IF(ISBLANK('Data Entry'!$Ê$185), "", 'Data Entry'!$Ê$185)</f>
      </c>
      <c r="EI185">
        <f>IF(ISBLANK('Data Entry'!$Ë$185), "", 'Data Entry'!$Ë$185)</f>
      </c>
      <c r="EJ185">
        <f>IF(ISBLANK('Data Entry'!$Ì$185), "", 'Data Entry'!$Ì$185)</f>
      </c>
      <c r="EK185">
        <f>IF(ISBLANK('Data Entry'!$Í$185), "", 'Data Entry'!$Í$185)</f>
      </c>
      <c r="EL185">
        <f>IF(ISBLANK('Data Entry'!$Î$185), "", 'Data Entry'!$Î$185)</f>
      </c>
      <c r="EM185">
        <f>IF(ISBLANK('Data Entry'!$Ï$185), "", 'Data Entry'!$Ï$185)</f>
      </c>
      <c r="EN185">
        <f>IF(ISBLANK('Data Entry'!$Ð$185), "", 'Data Entry'!$Ð$185)</f>
      </c>
      <c r="EO185">
        <f>IF(ISBLANK('Data Entry'!$Ñ$185), "", 'Data Entry'!$Ñ$185)</f>
      </c>
      <c r="EP185">
        <f>IF(ISBLANK('Data Entry'!$Ò$185), "", 'Data Entry'!$Ò$185)</f>
      </c>
      <c r="EQ185">
        <f>IF(ISBLANK('Data Entry'!$Ó$185), "", 'Data Entry'!$Ó$185)</f>
      </c>
      <c r="ER185">
        <f>IF(ISBLANK('Data Entry'!$Ô$185), "", 'Data Entry'!$Ô$185)</f>
      </c>
      <c r="ES185">
        <f>IF(ISBLANK('Data Entry'!$Õ$185), "", 'Data Entry'!$Õ$185)</f>
      </c>
      <c r="ET185">
        <f>IF(ISBLANK('Data Entry'!$Ö$185), "", 'Data Entry'!$Ö$185)</f>
      </c>
      <c r="EU185">
        <f>IF(ISBLANK('Data Entry'!$×$185), "", 'Data Entry'!$×$185)</f>
      </c>
      <c r="EV185">
        <f>IF(ISBLANK('Data Entry'!$Ø$185), "", 'Data Entry'!$Ø$185)</f>
      </c>
      <c r="EW185">
        <f>IF(ISBLANK('Data Entry'!$Ù$185), "", 'Data Entry'!$Ù$185)</f>
      </c>
      <c r="EX185">
        <f>IF(ISBLANK('Data Entry'!$Ú$185), "", 'Data Entry'!$Ú$185)</f>
      </c>
      <c r="EY185">
        <f>IF(ISBLANK('Data Entry'!$Û$185), "", 'Data Entry'!$Û$185)</f>
      </c>
      <c r="EZ185">
        <f>IF(ISBLANK('Data Entry'!$Ü$185), "", 'Data Entry'!$Ü$185)</f>
      </c>
      <c r="FA185">
        <f>IF(ISBLANK('Data Entry'!$Ý$185), "", 'Data Entry'!$Ý$185)</f>
      </c>
      <c r="FB185">
        <f>IF(ISBLANK('Data Entry'!$Þ$185), "", 'Data Entry'!$Þ$185)</f>
      </c>
      <c r="FC185">
        <f>IF(ISBLANK('Data Entry'!$ß$185), "", 'Data Entry'!$ß$185)</f>
      </c>
      <c r="FD185">
        <f>IF(ISBLANK('Data Entry'!$à$185), "", 'Data Entry'!$à$185)</f>
      </c>
      <c r="FE185">
        <f>IF(ISBLANK('Data Entry'!$á$185), "", 'Data Entry'!$á$185)</f>
      </c>
      <c r="FF185">
        <f>IF(ISBLANK('Data Entry'!$â$185), "", 'Data Entry'!$â$185)</f>
      </c>
      <c r="FG185">
        <f>IF(ISBLANK('Data Entry'!$ã$185), "", 'Data Entry'!$ã$185)</f>
      </c>
      <c r="FH185">
        <f>IF(ISBLANK('Data Entry'!$ä$185), "", 'Data Entry'!$ä$185)</f>
      </c>
      <c r="FI185">
        <f>IF(ISBLANK('Data Entry'!$å$185), "", 'Data Entry'!$å$185)</f>
      </c>
      <c r="FJ185">
        <f>IF(ISBLANK('Data Entry'!$æ$185), "", 'Data Entry'!$æ$185)</f>
      </c>
      <c r="FK185">
        <f>IF(ISBLANK('Data Entry'!$ç$185), "", 'Data Entry'!$ç$185)</f>
      </c>
      <c r="FL185">
        <f>IF(ISBLANK('Data Entry'!$è$185), "", 'Data Entry'!$è$185)</f>
      </c>
      <c r="FM185">
        <f>IF(ISBLANK('Data Entry'!$é$185), "", 'Data Entry'!$é$185)</f>
      </c>
      <c r="FN185">
        <f>IF(ISBLANK('Data Entry'!$ê$185), "", 'Data Entry'!$ê$185)</f>
      </c>
      <c r="FO185">
        <f>IF(ISBLANK('Data Entry'!$ë$185), "", 'Data Entry'!$ë$185)</f>
      </c>
      <c r="FP185">
        <f>IF(ISBLANK('Data Entry'!$ì$185), "", 'Data Entry'!$ì$185)</f>
      </c>
      <c r="FQ185">
        <f>IF(ISBLANK('Data Entry'!$í$185), "", 'Data Entry'!$í$185)</f>
      </c>
      <c r="FR185">
        <f>IF(ISBLANK('Data Entry'!$î$185), "", 'Data Entry'!$î$185)</f>
      </c>
      <c r="FS185">
        <f>IF(ISBLANK('Data Entry'!$ï$185), "", 'Data Entry'!$ï$185)</f>
      </c>
      <c r="FT185">
        <f>IF(ISBLANK('Data Entry'!$ð$185), "", 'Data Entry'!$ð$185)</f>
      </c>
      <c r="FU185">
        <f>IF(ISBLANK('Data Entry'!$ñ$185), "", 'Data Entry'!$ñ$185)</f>
      </c>
      <c r="FV185">
        <f>IF(ISBLANK('Data Entry'!$ò$185), "", 'Data Entry'!$ò$185)</f>
      </c>
      <c r="FW185">
        <f>IF(ISBLANK('Data Entry'!$ó$185), "", 'Data Entry'!$ó$185)</f>
      </c>
      <c r="FX185">
        <f>IF(ISBLANK('Data Entry'!$ô$185), "", 'Data Entry'!$ô$185)</f>
      </c>
      <c r="FY185">
        <f>IF(ISBLANK('Data Entry'!$õ$185), "", 'Data Entry'!$õ$185)</f>
      </c>
      <c r="FZ185">
        <f>IF(ISBLANK('Data Entry'!$ö$185), "", 'Data Entry'!$ö$185)</f>
      </c>
      <c r="GA185">
        <f>IF(ISBLANK('Data Entry'!$÷$185), "", 'Data Entry'!$÷$185)</f>
      </c>
      <c r="GB185">
        <f>IF(ISBLANK('Data Entry'!$ø$185), "", 'Data Entry'!$ø$185)</f>
      </c>
      <c r="GC185">
        <f>IF(ISBLANK('Data Entry'!$ù$185), "", 'Data Entry'!$ù$185)</f>
      </c>
      <c r="GD185">
        <f>IF(ISBLANK('Data Entry'!$ú$185), "", 'Data Entry'!$ú$185)</f>
      </c>
      <c r="GE185">
        <f>IF(ISBLANK('Data Entry'!$û$185), "", 'Data Entry'!$û$185)</f>
      </c>
      <c r="GF185">
        <f>IF(ISBLANK('Data Entry'!$ü$185), "", 'Data Entry'!$ü$185)</f>
      </c>
      <c r="GG185">
        <f>IF(ISBLANK('Data Entry'!$ý$185), "", 'Data Entry'!$ý$185)</f>
      </c>
      <c r="GH185">
        <f>IF(ISBLANK('Data Entry'!$þ$185), "", 'Data Entry'!$þ$185)</f>
      </c>
      <c r="GI185">
        <f>IF(ISBLANK('Data Entry'!$ÿ$185), "", 'Data Entry'!$ÿ$185)</f>
      </c>
      <c r="GJ185">
        <f>IF(ISBLANK('Data Entry'!$Ā$185), "", 'Data Entry'!$Ā$185)</f>
      </c>
      <c r="GK185">
        <f>IF(ISBLANK('Data Entry'!$ā$185), "", 'Data Entry'!$ā$185)</f>
      </c>
      <c r="GL185">
        <f>IF(ISBLANK('Data Entry'!$Ă$185), "", 'Data Entry'!$Ă$185)</f>
      </c>
      <c r="GM185">
        <f>IF(ISBLANK('Data Entry'!$ă$185), "", 'Data Entry'!$ă$185)</f>
      </c>
      <c r="GN185">
        <f>IF(ISBLANK('Data Entry'!$Ą$185), "", 'Data Entry'!$Ą$185)</f>
      </c>
      <c r="GO185">
        <f>IF(ISBLANK('Data Entry'!$ą$185), "", 'Data Entry'!$ą$185)</f>
      </c>
      <c r="GP185">
        <f>IF(ISBLANK('Data Entry'!$Ć$185), "", 'Data Entry'!$Ć$185)</f>
      </c>
      <c r="GQ185">
        <f>IF(ISBLANK('Data Entry'!$ć$185), "", 'Data Entry'!$ć$185)</f>
      </c>
      <c r="GR185">
        <f>IF(ISBLANK('Data Entry'!$Ĉ$185), "", 'Data Entry'!$Ĉ$185)</f>
      </c>
      <c r="GS185">
        <f>IF(ISBLANK('Data Entry'!$ĉ$185), "", 'Data Entry'!$ĉ$185)</f>
      </c>
      <c r="GT185">
        <f>IF(ISBLANK('Data Entry'!$Ċ$185), "", 'Data Entry'!$Ċ$185)</f>
      </c>
      <c r="GU185">
        <f>IF(ISBLANK('Data Entry'!$ċ$185), "", 'Data Entry'!$ċ$185)</f>
      </c>
      <c r="GV185">
        <f>IF(ISBLANK('Data Entry'!$Č$185), "", 'Data Entry'!$Č$185)</f>
      </c>
      <c r="GW185">
        <f>IF(ISBLANK('Data Entry'!$č$185), "", 'Data Entry'!$č$185)</f>
      </c>
      <c r="GX185">
        <f>IF(ISBLANK('Data Entry'!$Ď$185), "", 'Data Entry'!$Ď$185)</f>
      </c>
      <c r="GY185">
        <f>IF(ISBLANK('Data Entry'!$ď$185), "", 'Data Entry'!$ď$185)</f>
      </c>
      <c r="GZ185">
        <f>IF(ISBLANK('Data Entry'!$Đ$185), "", 'Data Entry'!$Đ$185)</f>
      </c>
      <c r="HA185">
        <f>IF(ISBLANK('Data Entry'!$đ$185), "", 'Data Entry'!$đ$185)</f>
      </c>
      <c r="HB185">
        <f>IF(ISBLANK('Data Entry'!$Ē$185), "", 'Data Entry'!$Ē$185)</f>
      </c>
      <c r="HC185">
        <f>IF(ISBLANK('Data Entry'!$ē$185), "", 'Data Entry'!$ē$185)</f>
      </c>
      <c r="HD185">
        <f>IF(ISBLANK('Data Entry'!$Ĕ$185), "", 'Data Entry'!$Ĕ$185)</f>
      </c>
      <c r="HE185">
        <f>IF(ISBLANK('Data Entry'!$ĕ$185), "", 'Data Entry'!$ĕ$185)</f>
      </c>
      <c r="HF185">
        <f>IF(ISBLANK('Data Entry'!$Ė$185), "", 'Data Entry'!$Ė$185)</f>
      </c>
      <c r="HG185">
        <f>IF(ISBLANK('Data Entry'!$ė$185), "", 'Data Entry'!$ė$185)</f>
      </c>
      <c r="HH185">
        <f>IF(ISBLANK('Data Entry'!$Ę$185), "", 'Data Entry'!$Ę$185)</f>
      </c>
      <c r="HI185">
        <f>IF(ISBLANK('Data Entry'!$ę$185), "", 'Data Entry'!$ę$185)</f>
      </c>
      <c r="HJ185">
        <f>IF(ISBLANK('Data Entry'!$Ě$185), "", 'Data Entry'!$Ě$185)</f>
      </c>
      <c r="HK185">
        <f>IF(ISBLANK('Data Entry'!$ě$185), "", 'Data Entry'!$ě$185)</f>
      </c>
      <c r="HL185">
        <f>IF(ISBLANK('Data Entry'!$Ĝ$185), "", 'Data Entry'!$Ĝ$185)</f>
      </c>
      <c r="HM185">
        <f>IF(ISBLANK('Data Entry'!$ĝ$185), "", 'Data Entry'!$ĝ$185)</f>
      </c>
      <c r="HN185">
        <f>IF(ISBLANK('Data Entry'!$Ğ$185), "", 'Data Entry'!$Ğ$185)</f>
      </c>
      <c r="HO185">
        <f>IF(ISBLANK('Data Entry'!$ğ$185), "", 'Data Entry'!$ğ$185)</f>
      </c>
      <c r="HP185">
        <f>IF(ISBLANK('Data Entry'!$Ġ$185), "", 'Data Entry'!$Ġ$185)</f>
      </c>
      <c r="HQ185">
        <f>IF(ISBLANK('Data Entry'!$ġ$185), "", 'Data Entry'!$ġ$185)</f>
      </c>
      <c r="HR185">
        <f>IF(ISBLANK('Data Entry'!$Ģ$185), "", 'Data Entry'!$Ģ$185)</f>
      </c>
      <c r="HS185">
        <f>IF(ISBLANK('Data Entry'!$ģ$185), "", 'Data Entry'!$ģ$185)</f>
      </c>
      <c r="HT185">
        <f>IF(ISBLANK('Data Entry'!$Ĥ$185), "", 'Data Entry'!$Ĥ$185)</f>
      </c>
      <c r="HU185">
        <f>IF(ISBLANK('Data Entry'!$ĥ$185), "", 'Data Entry'!$ĥ$185)</f>
      </c>
      <c r="HV185">
        <f>IF(ISBLANK('Data Entry'!$Ħ$185), "", 'Data Entry'!$Ħ$185)</f>
      </c>
      <c r="HW185">
        <f>IF(ISBLANK('Data Entry'!$ħ$185), "", 'Data Entry'!$ħ$185)</f>
      </c>
      <c r="HX185">
        <f>IF(ISBLANK('Data Entry'!$Ĩ$185), "", 'Data Entry'!$Ĩ$185)</f>
      </c>
      <c r="HY185">
        <f>IF(ISBLANK('Data Entry'!$ĩ$185), "", 'Data Entry'!$ĩ$185)</f>
      </c>
      <c r="HZ185">
        <f>IF(ISBLANK('Data Entry'!$Ī$185), "", 'Data Entry'!$Ī$185)</f>
      </c>
      <c r="IA185">
        <f>IF(ISBLANK('Data Entry'!$ī$185), "", 'Data Entry'!$ī$185)</f>
      </c>
      <c r="IB185">
        <f>IF(ISBLANK('Data Entry'!$Ĭ$185), "", 'Data Entry'!$Ĭ$185)</f>
      </c>
      <c r="IC185">
        <f>IF(ISBLANK('Data Entry'!$ĭ$185), "", 'Data Entry'!$ĭ$185)</f>
      </c>
      <c r="ID185">
        <f>IF(ISBLANK('Data Entry'!$Į$185), "", 'Data Entry'!$Į$185)</f>
      </c>
      <c r="IE185">
        <f>IF(ISBLANK('Data Entry'!$į$185), "", 'Data Entry'!$į$185)</f>
      </c>
      <c r="IF185">
        <f>IF(ISBLANK('Data Entry'!$İ$185), "", 'Data Entry'!$İ$185)</f>
      </c>
      <c r="IG185">
        <f>IF(ISBLANK('Data Entry'!$ı$185), "", 'Data Entry'!$ı$185)</f>
      </c>
      <c r="IH185">
        <f>IF(ISBLANK('Data Entry'!$Ĳ$185), "", 'Data Entry'!$Ĳ$185)</f>
      </c>
      <c r="II185">
        <f>IF(ISBLANK('Data Entry'!$ĳ$185), "", 'Data Entry'!$ĳ$185)</f>
      </c>
      <c r="IJ185">
        <f>IF(ISBLANK('Data Entry'!$Ĵ$185), "", 'Data Entry'!$Ĵ$185)</f>
      </c>
      <c r="IK185">
        <f>IF(ISBLANK('Data Entry'!$ĵ$185), "", 'Data Entry'!$ĵ$185)</f>
      </c>
      <c r="IL185">
        <f>IF(ISBLANK('Data Entry'!$Ķ$185), "", 'Data Entry'!$Ķ$185)</f>
      </c>
      <c r="IM185">
        <f>IF(ISBLANK('Data Entry'!$ķ$185), "", 'Data Entry'!$ķ$185)</f>
      </c>
      <c r="IN185">
        <f>IF(ISBLANK('Data Entry'!$ĸ$185), "", 'Data Entry'!$ĸ$185)</f>
      </c>
      <c r="IO185">
        <f>IF(ISBLANK('Data Entry'!$Ĺ$185), "", 'Data Entry'!$Ĺ$185)</f>
      </c>
      <c r="IP185">
        <f>IF(ISBLANK('Data Entry'!$ĺ$185), "", 'Data Entry'!$ĺ$185)</f>
      </c>
      <c r="IQ185">
        <f>IF(ISBLANK('Data Entry'!$Ļ$185), "", 'Data Entry'!$Ļ$185)</f>
      </c>
      <c r="IR185">
        <f>IF(ISBLANK('Data Entry'!$ļ$185), "", 'Data Entry'!$ļ$185)</f>
      </c>
      <c r="IS185">
        <f>IF(ISBLANK('Data Entry'!$Ľ$185), "", 'Data Entry'!$Ľ$185)</f>
      </c>
      <c r="IT185">
        <f>IF(ISBLANK('Data Entry'!$ľ$185), "", 'Data Entry'!$ľ$185)</f>
      </c>
    </row>
    <row r="186" spans="1:254" x14ac:dyDescent="0.25">
      <c r="A186">
        <f>IF(ISBLANK('Data Entry'!$A$186), "", 'Data Entry'!$A$186)</f>
      </c>
      <c r="B186">
        <f>IF(ISBLANK('Data Entry'!$B$186), "", 'Data Entry'!$B$186)</f>
      </c>
      <c r="C186">
        <f>IF(ISBLANK('Data Entry'!$C$186), "", 'Data Entry'!$C$186)</f>
      </c>
      <c r="D186">
        <f>IF(ISBLANK('Data Entry'!$D$186), "", 'Data Entry'!$D$186)</f>
      </c>
      <c r="E186">
        <f>IF(ISBLANK('Data Entry'!$E$186), "", 'Data Entry'!$E$186)</f>
      </c>
      <c r="F186">
        <f>IF(ISBLANK('Data Entry'!$F$186), "", 'Data Entry'!$F$186)</f>
      </c>
      <c r="G186">
        <f>IF(ISBLANK('Data Entry'!$G$186), "", 'Data Entry'!$G$186)</f>
      </c>
      <c r="H186">
        <f>IF(ISBLANK('Data Entry'!$H$186), "", 'Data Entry'!$H$186)</f>
      </c>
      <c r="I186">
        <f>IF(ISBLANK('Data Entry'!$I$186), "", 'Data Entry'!$I$186)</f>
      </c>
      <c r="J186">
        <f>IF(ISBLANK('Data Entry'!$J$186), "", 'Data Entry'!$J$186)</f>
      </c>
      <c r="K186">
        <f>IF(ISBLANK('Data Entry'!$K$186), "", 'Data Entry'!$K$186)</f>
      </c>
      <c r="L186">
        <f>IF(ISBLANK('Data Entry'!$L$186), "", 'Data Entry'!$L$186)</f>
      </c>
      <c r="M186">
        <f>IF(ISBLANK('Data Entry'!$M$186), "", 'Data Entry'!$M$186)</f>
      </c>
      <c r="N186">
        <f>IF(ISBLANK('Data Entry'!$N$186), "", 'Data Entry'!$N$186)</f>
      </c>
      <c r="O186">
        <f>IF(ISBLANK('Data Entry'!$O$186), "", 'Data Entry'!$O$186)</f>
      </c>
      <c r="P186">
        <f>IF(ISBLANK('Data Entry'!$P$186), "", 'Data Entry'!$P$186)</f>
      </c>
      <c r="Q186">
        <f>IF(ISBLANK('Data Entry'!$Q$186), "", 'Data Entry'!$Q$186)</f>
      </c>
      <c r="R186">
        <f>IF(ISBLANK('Data Entry'!$R$186), "", 'Data Entry'!$R$186)</f>
      </c>
      <c r="S186">
        <f>IF(ISBLANK('Data Entry'!$S$186), "", 'Data Entry'!$S$186)</f>
      </c>
      <c r="T186">
        <f>IF(ISBLANK('Data Entry'!$T$186), "", 'Data Entry'!$T$186)</f>
      </c>
      <c r="U186">
        <f>IF(ISBLANK('Data Entry'!$U$186), "", 'Data Entry'!$U$186)</f>
      </c>
      <c r="V186">
        <f>IF(ISBLANK('Data Entry'!$V$186), "", 'Data Entry'!$V$186)</f>
      </c>
      <c r="W186">
        <f>IF(ISBLANK('Data Entry'!$W$186), "", 'Data Entry'!$W$186)</f>
      </c>
      <c r="X186">
        <f>IF(ISBLANK('Data Entry'!$X$186), "", 'Data Entry'!$X$186)</f>
      </c>
      <c r="Y186">
        <f>IF(ISBLANK('Data Entry'!$Y$186), "", 'Data Entry'!$Y$186)</f>
      </c>
      <c r="Z186">
        <f>IF(ISBLANK('Data Entry'!$Z$186), "", 'Data Entry'!$Z$186)</f>
      </c>
      <c r="AA186">
        <f>IF(ISBLANK('Data Entry'!$[$186), "", 'Data Entry'!$[$186)</f>
      </c>
      <c r="AB186">
        <f>IF(ISBLANK('Data Entry'!$\$186), "", 'Data Entry'!$\$186)</f>
      </c>
      <c r="AC186">
        <f>IF(ISBLANK('Data Entry'!$]$186), "", 'Data Entry'!$]$186)</f>
      </c>
      <c r="AD186">
        <f>IF(ISBLANK('Data Entry'!$^$186), "", 'Data Entry'!$^$186)</f>
      </c>
      <c r="AE186">
        <f>IF(ISBLANK('Data Entry'!$_$186), "", 'Data Entry'!$_$186)</f>
      </c>
      <c r="AF186">
        <f>IF(ISBLANK('Data Entry'!$`$186), "", 'Data Entry'!$`$186)</f>
      </c>
      <c r="AG186">
        <f>IF(ISBLANK('Data Entry'!$a$186), "", 'Data Entry'!$a$186)</f>
      </c>
      <c r="AH186">
        <f>IF(ISBLANK('Data Entry'!$b$186), "", 'Data Entry'!$b$186)</f>
      </c>
      <c r="AI186">
        <f>IF(ISBLANK('Data Entry'!$c$186), "", 'Data Entry'!$c$186)</f>
      </c>
      <c r="AJ186">
        <f>IF(ISBLANK('Data Entry'!$d$186), "", 'Data Entry'!$d$186)</f>
      </c>
      <c r="AK186">
        <f>IF(ISBLANK('Data Entry'!$e$186), "", 'Data Entry'!$e$186)</f>
      </c>
      <c r="AL186">
        <f>IF(ISBLANK('Data Entry'!$f$186), "", 'Data Entry'!$f$186)</f>
      </c>
      <c r="AM186">
        <f>IF(ISBLANK('Data Entry'!$g$186), "", 'Data Entry'!$g$186)</f>
      </c>
      <c r="AN186">
        <f>IF(ISBLANK('Data Entry'!$h$186), "", 'Data Entry'!$h$186)</f>
      </c>
      <c r="AO186">
        <f>IF(ISBLANK('Data Entry'!$i$186), "", 'Data Entry'!$i$186)</f>
      </c>
      <c r="AP186">
        <f>IF(ISBLANK('Data Entry'!$j$186), "", 'Data Entry'!$j$186)</f>
      </c>
      <c r="AQ186">
        <f>IF(ISBLANK('Data Entry'!$k$186), "", 'Data Entry'!$k$186)</f>
      </c>
      <c r="AR186">
        <f>IF(ISBLANK('Data Entry'!$l$186), "", 'Data Entry'!$l$186)</f>
      </c>
      <c r="AS186">
        <f>IF(ISBLANK('Data Entry'!$m$186), "", 'Data Entry'!$m$186)</f>
      </c>
      <c r="AT186">
        <f>IF(ISBLANK('Data Entry'!$n$186), "", 'Data Entry'!$n$186)</f>
      </c>
      <c r="AU186">
        <f>IF(ISBLANK('Data Entry'!$o$186), "", 'Data Entry'!$o$186)</f>
      </c>
      <c r="AV186">
        <f>IF(ISBLANK('Data Entry'!$p$186), "", 'Data Entry'!$p$186)</f>
      </c>
      <c r="AW186">
        <f>IF(ISBLANK('Data Entry'!$q$186), "", 'Data Entry'!$q$186)</f>
      </c>
      <c r="AX186">
        <f>IF(ISBLANK('Data Entry'!$r$186), "", 'Data Entry'!$r$186)</f>
      </c>
      <c r="AY186">
        <f>IF(ISBLANK('Data Entry'!$s$186), "", 'Data Entry'!$s$186)</f>
      </c>
      <c r="AZ186">
        <f>IF(ISBLANK('Data Entry'!$t$186), "", 'Data Entry'!$t$186)</f>
      </c>
      <c r="BA186">
        <f>IF(ISBLANK('Data Entry'!$u$186), "", 'Data Entry'!$u$186)</f>
      </c>
      <c r="BB186">
        <f>IF(ISBLANK('Data Entry'!$v$186), "", 'Data Entry'!$v$186)</f>
      </c>
      <c r="BC186">
        <f>IF(ISBLANK('Data Entry'!$w$186), "", 'Data Entry'!$w$186)</f>
      </c>
      <c r="BD186">
        <f>IF(ISBLANK('Data Entry'!$x$186), "", 'Data Entry'!$x$186)</f>
      </c>
      <c r="BE186">
        <f>IF(ISBLANK('Data Entry'!$y$186), "", 'Data Entry'!$y$186)</f>
      </c>
      <c r="BF186">
        <f>IF(ISBLANK('Data Entry'!$z$186), "", 'Data Entry'!$z$186)</f>
      </c>
      <c r="BG186">
        <f>IF(ISBLANK('Data Entry'!${$186), "", 'Data Entry'!${$186)</f>
      </c>
      <c r="BH186">
        <f>IF(ISBLANK('Data Entry'!$|$186), "", 'Data Entry'!$|$186)</f>
      </c>
      <c r="BI186">
        <f>IF(ISBLANK('Data Entry'!$}$186), "", 'Data Entry'!$}$186)</f>
      </c>
      <c r="BJ186">
        <f>IF(ISBLANK('Data Entry'!$~$186), "", 'Data Entry'!$~$186)</f>
      </c>
      <c r="BK186">
        <f>IF(ISBLANK('Data Entry'!$$186), "", 'Data Entry'!$$186)</f>
      </c>
      <c r="BL186">
        <f>IF(ISBLANK('Data Entry'!$$186), "", 'Data Entry'!$$186)</f>
      </c>
      <c r="BM186">
        <f>IF(ISBLANK('Data Entry'!$$186), "", 'Data Entry'!$$186)</f>
      </c>
      <c r="BN186">
        <f>IF(ISBLANK('Data Entry'!$$186), "", 'Data Entry'!$$186)</f>
      </c>
      <c r="BO186">
        <f>IF(ISBLANK('Data Entry'!$$186), "", 'Data Entry'!$$186)</f>
      </c>
      <c r="BP186">
        <f>IF(ISBLANK('Data Entry'!$$186), "", 'Data Entry'!$$186)</f>
      </c>
      <c r="BQ186">
        <f>IF(ISBLANK('Data Entry'!$$186), "", 'Data Entry'!$$186)</f>
      </c>
      <c r="BR186">
        <f>IF(ISBLANK('Data Entry'!$$186), "", 'Data Entry'!$$186)</f>
      </c>
      <c r="BS186">
        <f>IF(ISBLANK('Data Entry'!$$186), "", 'Data Entry'!$$186)</f>
      </c>
      <c r="BT186">
        <f>IF(ISBLANK('Data Entry'!$$186), "", 'Data Entry'!$$186)</f>
      </c>
      <c r="BU186">
        <f>IF(ISBLANK('Data Entry'!$$186), "", 'Data Entry'!$$186)</f>
      </c>
      <c r="BV186">
        <f>IF(ISBLANK('Data Entry'!$$186), "", 'Data Entry'!$$186)</f>
      </c>
      <c r="BW186">
        <f>IF(ISBLANK('Data Entry'!$$186), "", 'Data Entry'!$$186)</f>
      </c>
      <c r="BX186">
        <f>IF(ISBLANK('Data Entry'!$$186), "", 'Data Entry'!$$186)</f>
      </c>
      <c r="BY186">
        <f>IF(ISBLANK('Data Entry'!$$186), "", 'Data Entry'!$$186)</f>
      </c>
      <c r="BZ186">
        <f>IF(ISBLANK('Data Entry'!$$186), "", 'Data Entry'!$$186)</f>
      </c>
      <c r="CA186">
        <f>IF(ISBLANK('Data Entry'!$$186), "", 'Data Entry'!$$186)</f>
      </c>
      <c r="CB186">
        <f>IF(ISBLANK('Data Entry'!$$186), "", 'Data Entry'!$$186)</f>
      </c>
      <c r="CC186">
        <f>IF(ISBLANK('Data Entry'!$$186), "", 'Data Entry'!$$186)</f>
      </c>
      <c r="CD186">
        <f>IF(ISBLANK('Data Entry'!$$186), "", 'Data Entry'!$$186)</f>
      </c>
      <c r="CE186">
        <f>IF(ISBLANK('Data Entry'!$$186), "", 'Data Entry'!$$186)</f>
      </c>
      <c r="CF186">
        <f>IF(ISBLANK('Data Entry'!$$186), "", 'Data Entry'!$$186)</f>
      </c>
      <c r="CG186">
        <f>IF(ISBLANK('Data Entry'!$$186), "", 'Data Entry'!$$186)</f>
      </c>
      <c r="CH186">
        <f>IF(ISBLANK('Data Entry'!$$186), "", 'Data Entry'!$$186)</f>
      </c>
      <c r="CI186">
        <f>IF(ISBLANK('Data Entry'!$$186), "", 'Data Entry'!$$186)</f>
      </c>
      <c r="CJ186">
        <f>IF(ISBLANK('Data Entry'!$$186), "", 'Data Entry'!$$186)</f>
      </c>
      <c r="CK186">
        <f>IF(ISBLANK('Data Entry'!$$186), "", 'Data Entry'!$$186)</f>
      </c>
      <c r="CL186">
        <f>IF(ISBLANK('Data Entry'!$$186), "", 'Data Entry'!$$186)</f>
      </c>
      <c r="CM186">
        <f>IF(ISBLANK('Data Entry'!$$186), "", 'Data Entry'!$$186)</f>
      </c>
      <c r="CN186">
        <f>IF(ISBLANK('Data Entry'!$$186), "", 'Data Entry'!$$186)</f>
      </c>
      <c r="CO186">
        <f>IF(ISBLANK('Data Entry'!$$186), "", 'Data Entry'!$$186)</f>
      </c>
      <c r="CP186">
        <f>IF(ISBLANK('Data Entry'!$$186), "", 'Data Entry'!$$186)</f>
      </c>
      <c r="CQ186">
        <f>IF(ISBLANK('Data Entry'!$$186), "", 'Data Entry'!$$186)</f>
      </c>
      <c r="CR186">
        <f>IF(ISBLANK('Data Entry'!$ $186), "", 'Data Entry'!$ $186)</f>
      </c>
      <c r="CS186">
        <f>IF(ISBLANK('Data Entry'!$¡$186), "", 'Data Entry'!$¡$186)</f>
      </c>
      <c r="CT186">
        <f>IF(ISBLANK('Data Entry'!$¢$186), "", 'Data Entry'!$¢$186)</f>
      </c>
      <c r="CU186">
        <f>IF(ISBLANK('Data Entry'!$£$186), "", 'Data Entry'!$£$186)</f>
      </c>
      <c r="CV186">
        <f>IF(ISBLANK('Data Entry'!$¤$186), "", 'Data Entry'!$¤$186)</f>
      </c>
      <c r="CW186">
        <f>IF(ISBLANK('Data Entry'!$¥$186), "", 'Data Entry'!$¥$186)</f>
      </c>
      <c r="CX186">
        <f>IF(ISBLANK('Data Entry'!$¦$186), "", 'Data Entry'!$¦$186)</f>
      </c>
      <c r="CY186">
        <f>IF(ISBLANK('Data Entry'!$§$186), "", 'Data Entry'!$§$186)</f>
      </c>
      <c r="CZ186">
        <f>IF(ISBLANK('Data Entry'!$¨$186), "", 'Data Entry'!$¨$186)</f>
      </c>
      <c r="DA186">
        <f>IF(ISBLANK('Data Entry'!$©$186), "", 'Data Entry'!$©$186)</f>
      </c>
      <c r="DB186">
        <f>IF(ISBLANK('Data Entry'!$ª$186), "", 'Data Entry'!$ª$186)</f>
      </c>
      <c r="DC186">
        <f>IF(ISBLANK('Data Entry'!$«$186), "", 'Data Entry'!$«$186)</f>
      </c>
      <c r="DD186">
        <f>IF(ISBLANK('Data Entry'!$¬$186), "", 'Data Entry'!$¬$186)</f>
      </c>
      <c r="DE186">
        <f>IF(ISBLANK('Data Entry'!$­$186), "", 'Data Entry'!$­$186)</f>
      </c>
      <c r="DF186">
        <f>IF(ISBLANK('Data Entry'!$®$186), "", 'Data Entry'!$®$186)</f>
      </c>
      <c r="DG186">
        <f>IF(ISBLANK('Data Entry'!$¯$186), "", 'Data Entry'!$¯$186)</f>
      </c>
      <c r="DH186">
        <f>IF(ISBLANK('Data Entry'!$°$186), "", 'Data Entry'!$°$186)</f>
      </c>
      <c r="DI186">
        <f>IF(ISBLANK('Data Entry'!$±$186), "", 'Data Entry'!$±$186)</f>
      </c>
      <c r="DJ186">
        <f>IF(ISBLANK('Data Entry'!$²$186), "", 'Data Entry'!$²$186)</f>
      </c>
      <c r="DK186">
        <f>IF(ISBLANK('Data Entry'!$³$186), "", 'Data Entry'!$³$186)</f>
      </c>
      <c r="DL186">
        <f>IF(ISBLANK('Data Entry'!$´$186), "", 'Data Entry'!$´$186)</f>
      </c>
      <c r="DM186">
        <f>IF(ISBLANK('Data Entry'!$µ$186), "", 'Data Entry'!$µ$186)</f>
      </c>
      <c r="DN186">
        <f>IF(ISBLANK('Data Entry'!$¶$186), "", 'Data Entry'!$¶$186)</f>
      </c>
      <c r="DO186">
        <f>IF(ISBLANK('Data Entry'!$·$186), "", 'Data Entry'!$·$186)</f>
      </c>
      <c r="DP186">
        <f>IF(ISBLANK('Data Entry'!$¸$186), "", 'Data Entry'!$¸$186)</f>
      </c>
      <c r="DQ186">
        <f>IF(ISBLANK('Data Entry'!$¹$186), "", 'Data Entry'!$¹$186)</f>
      </c>
      <c r="DR186">
        <f>IF(ISBLANK('Data Entry'!$º$186), "", 'Data Entry'!$º$186)</f>
      </c>
      <c r="DS186">
        <f>IF(ISBLANK('Data Entry'!$»$186), "", 'Data Entry'!$»$186)</f>
      </c>
      <c r="DT186">
        <f>IF(ISBLANK('Data Entry'!$¼$186), "", 'Data Entry'!$¼$186)</f>
      </c>
      <c r="DU186">
        <f>IF(ISBLANK('Data Entry'!$½$186), "", 'Data Entry'!$½$186)</f>
      </c>
      <c r="DV186">
        <f>IF(ISBLANK('Data Entry'!$¾$186), "", 'Data Entry'!$¾$186)</f>
      </c>
      <c r="DW186">
        <f>IF(ISBLANK('Data Entry'!$¿$186), "", 'Data Entry'!$¿$186)</f>
      </c>
      <c r="DX186">
        <f>IF(ISBLANK('Data Entry'!$À$186), "", 'Data Entry'!$À$186)</f>
      </c>
      <c r="DY186">
        <f>IF(ISBLANK('Data Entry'!$Á$186), "", 'Data Entry'!$Á$186)</f>
      </c>
      <c r="DZ186">
        <f>IF(ISBLANK('Data Entry'!$Â$186), "", 'Data Entry'!$Â$186)</f>
      </c>
      <c r="EA186">
        <f>IF(ISBLANK('Data Entry'!$Ã$186), "", 'Data Entry'!$Ã$186)</f>
      </c>
      <c r="EB186">
        <f>IF(ISBLANK('Data Entry'!$Ä$186), "", 'Data Entry'!$Ä$186)</f>
      </c>
      <c r="EC186">
        <f>IF(ISBLANK('Data Entry'!$Å$186), "", 'Data Entry'!$Å$186)</f>
      </c>
      <c r="ED186">
        <f>IF(ISBLANK('Data Entry'!$Æ$186), "", 'Data Entry'!$Æ$186)</f>
      </c>
      <c r="EE186">
        <f>IF(ISBLANK('Data Entry'!$Ç$186), "", 'Data Entry'!$Ç$186)</f>
      </c>
      <c r="EF186">
        <f>IF(ISBLANK('Data Entry'!$È$186), "", 'Data Entry'!$È$186)</f>
      </c>
      <c r="EG186">
        <f>IF(ISBLANK('Data Entry'!$É$186), "", 'Data Entry'!$É$186)</f>
      </c>
      <c r="EH186">
        <f>IF(ISBLANK('Data Entry'!$Ê$186), "", 'Data Entry'!$Ê$186)</f>
      </c>
      <c r="EI186">
        <f>IF(ISBLANK('Data Entry'!$Ë$186), "", 'Data Entry'!$Ë$186)</f>
      </c>
      <c r="EJ186">
        <f>IF(ISBLANK('Data Entry'!$Ì$186), "", 'Data Entry'!$Ì$186)</f>
      </c>
      <c r="EK186">
        <f>IF(ISBLANK('Data Entry'!$Í$186), "", 'Data Entry'!$Í$186)</f>
      </c>
      <c r="EL186">
        <f>IF(ISBLANK('Data Entry'!$Î$186), "", 'Data Entry'!$Î$186)</f>
      </c>
      <c r="EM186">
        <f>IF(ISBLANK('Data Entry'!$Ï$186), "", 'Data Entry'!$Ï$186)</f>
      </c>
      <c r="EN186">
        <f>IF(ISBLANK('Data Entry'!$Ð$186), "", 'Data Entry'!$Ð$186)</f>
      </c>
      <c r="EO186">
        <f>IF(ISBLANK('Data Entry'!$Ñ$186), "", 'Data Entry'!$Ñ$186)</f>
      </c>
      <c r="EP186">
        <f>IF(ISBLANK('Data Entry'!$Ò$186), "", 'Data Entry'!$Ò$186)</f>
      </c>
      <c r="EQ186">
        <f>IF(ISBLANK('Data Entry'!$Ó$186), "", 'Data Entry'!$Ó$186)</f>
      </c>
      <c r="ER186">
        <f>IF(ISBLANK('Data Entry'!$Ô$186), "", 'Data Entry'!$Ô$186)</f>
      </c>
      <c r="ES186">
        <f>IF(ISBLANK('Data Entry'!$Õ$186), "", 'Data Entry'!$Õ$186)</f>
      </c>
      <c r="ET186">
        <f>IF(ISBLANK('Data Entry'!$Ö$186), "", 'Data Entry'!$Ö$186)</f>
      </c>
      <c r="EU186">
        <f>IF(ISBLANK('Data Entry'!$×$186), "", 'Data Entry'!$×$186)</f>
      </c>
      <c r="EV186">
        <f>IF(ISBLANK('Data Entry'!$Ø$186), "", 'Data Entry'!$Ø$186)</f>
      </c>
      <c r="EW186">
        <f>IF(ISBLANK('Data Entry'!$Ù$186), "", 'Data Entry'!$Ù$186)</f>
      </c>
      <c r="EX186">
        <f>IF(ISBLANK('Data Entry'!$Ú$186), "", 'Data Entry'!$Ú$186)</f>
      </c>
      <c r="EY186">
        <f>IF(ISBLANK('Data Entry'!$Û$186), "", 'Data Entry'!$Û$186)</f>
      </c>
      <c r="EZ186">
        <f>IF(ISBLANK('Data Entry'!$Ü$186), "", 'Data Entry'!$Ü$186)</f>
      </c>
      <c r="FA186">
        <f>IF(ISBLANK('Data Entry'!$Ý$186), "", 'Data Entry'!$Ý$186)</f>
      </c>
      <c r="FB186">
        <f>IF(ISBLANK('Data Entry'!$Þ$186), "", 'Data Entry'!$Þ$186)</f>
      </c>
      <c r="FC186">
        <f>IF(ISBLANK('Data Entry'!$ß$186), "", 'Data Entry'!$ß$186)</f>
      </c>
      <c r="FD186">
        <f>IF(ISBLANK('Data Entry'!$à$186), "", 'Data Entry'!$à$186)</f>
      </c>
      <c r="FE186">
        <f>IF(ISBLANK('Data Entry'!$á$186), "", 'Data Entry'!$á$186)</f>
      </c>
      <c r="FF186">
        <f>IF(ISBLANK('Data Entry'!$â$186), "", 'Data Entry'!$â$186)</f>
      </c>
      <c r="FG186">
        <f>IF(ISBLANK('Data Entry'!$ã$186), "", 'Data Entry'!$ã$186)</f>
      </c>
      <c r="FH186">
        <f>IF(ISBLANK('Data Entry'!$ä$186), "", 'Data Entry'!$ä$186)</f>
      </c>
      <c r="FI186">
        <f>IF(ISBLANK('Data Entry'!$å$186), "", 'Data Entry'!$å$186)</f>
      </c>
      <c r="FJ186">
        <f>IF(ISBLANK('Data Entry'!$æ$186), "", 'Data Entry'!$æ$186)</f>
      </c>
      <c r="FK186">
        <f>IF(ISBLANK('Data Entry'!$ç$186), "", 'Data Entry'!$ç$186)</f>
      </c>
      <c r="FL186">
        <f>IF(ISBLANK('Data Entry'!$è$186), "", 'Data Entry'!$è$186)</f>
      </c>
      <c r="FM186">
        <f>IF(ISBLANK('Data Entry'!$é$186), "", 'Data Entry'!$é$186)</f>
      </c>
      <c r="FN186">
        <f>IF(ISBLANK('Data Entry'!$ê$186), "", 'Data Entry'!$ê$186)</f>
      </c>
      <c r="FO186">
        <f>IF(ISBLANK('Data Entry'!$ë$186), "", 'Data Entry'!$ë$186)</f>
      </c>
      <c r="FP186">
        <f>IF(ISBLANK('Data Entry'!$ì$186), "", 'Data Entry'!$ì$186)</f>
      </c>
      <c r="FQ186">
        <f>IF(ISBLANK('Data Entry'!$í$186), "", 'Data Entry'!$í$186)</f>
      </c>
      <c r="FR186">
        <f>IF(ISBLANK('Data Entry'!$î$186), "", 'Data Entry'!$î$186)</f>
      </c>
      <c r="FS186">
        <f>IF(ISBLANK('Data Entry'!$ï$186), "", 'Data Entry'!$ï$186)</f>
      </c>
      <c r="FT186">
        <f>IF(ISBLANK('Data Entry'!$ð$186), "", 'Data Entry'!$ð$186)</f>
      </c>
      <c r="FU186">
        <f>IF(ISBLANK('Data Entry'!$ñ$186), "", 'Data Entry'!$ñ$186)</f>
      </c>
      <c r="FV186">
        <f>IF(ISBLANK('Data Entry'!$ò$186), "", 'Data Entry'!$ò$186)</f>
      </c>
      <c r="FW186">
        <f>IF(ISBLANK('Data Entry'!$ó$186), "", 'Data Entry'!$ó$186)</f>
      </c>
      <c r="FX186">
        <f>IF(ISBLANK('Data Entry'!$ô$186), "", 'Data Entry'!$ô$186)</f>
      </c>
      <c r="FY186">
        <f>IF(ISBLANK('Data Entry'!$õ$186), "", 'Data Entry'!$õ$186)</f>
      </c>
      <c r="FZ186">
        <f>IF(ISBLANK('Data Entry'!$ö$186), "", 'Data Entry'!$ö$186)</f>
      </c>
      <c r="GA186">
        <f>IF(ISBLANK('Data Entry'!$÷$186), "", 'Data Entry'!$÷$186)</f>
      </c>
      <c r="GB186">
        <f>IF(ISBLANK('Data Entry'!$ø$186), "", 'Data Entry'!$ø$186)</f>
      </c>
      <c r="GC186">
        <f>IF(ISBLANK('Data Entry'!$ù$186), "", 'Data Entry'!$ù$186)</f>
      </c>
      <c r="GD186">
        <f>IF(ISBLANK('Data Entry'!$ú$186), "", 'Data Entry'!$ú$186)</f>
      </c>
      <c r="GE186">
        <f>IF(ISBLANK('Data Entry'!$û$186), "", 'Data Entry'!$û$186)</f>
      </c>
      <c r="GF186">
        <f>IF(ISBLANK('Data Entry'!$ü$186), "", 'Data Entry'!$ü$186)</f>
      </c>
      <c r="GG186">
        <f>IF(ISBLANK('Data Entry'!$ý$186), "", 'Data Entry'!$ý$186)</f>
      </c>
      <c r="GH186">
        <f>IF(ISBLANK('Data Entry'!$þ$186), "", 'Data Entry'!$þ$186)</f>
      </c>
      <c r="GI186">
        <f>IF(ISBLANK('Data Entry'!$ÿ$186), "", 'Data Entry'!$ÿ$186)</f>
      </c>
      <c r="GJ186">
        <f>IF(ISBLANK('Data Entry'!$Ā$186), "", 'Data Entry'!$Ā$186)</f>
      </c>
      <c r="GK186">
        <f>IF(ISBLANK('Data Entry'!$ā$186), "", 'Data Entry'!$ā$186)</f>
      </c>
      <c r="GL186">
        <f>IF(ISBLANK('Data Entry'!$Ă$186), "", 'Data Entry'!$Ă$186)</f>
      </c>
      <c r="GM186">
        <f>IF(ISBLANK('Data Entry'!$ă$186), "", 'Data Entry'!$ă$186)</f>
      </c>
      <c r="GN186">
        <f>IF(ISBLANK('Data Entry'!$Ą$186), "", 'Data Entry'!$Ą$186)</f>
      </c>
      <c r="GO186">
        <f>IF(ISBLANK('Data Entry'!$ą$186), "", 'Data Entry'!$ą$186)</f>
      </c>
      <c r="GP186">
        <f>IF(ISBLANK('Data Entry'!$Ć$186), "", 'Data Entry'!$Ć$186)</f>
      </c>
      <c r="GQ186">
        <f>IF(ISBLANK('Data Entry'!$ć$186), "", 'Data Entry'!$ć$186)</f>
      </c>
      <c r="GR186">
        <f>IF(ISBLANK('Data Entry'!$Ĉ$186), "", 'Data Entry'!$Ĉ$186)</f>
      </c>
      <c r="GS186">
        <f>IF(ISBLANK('Data Entry'!$ĉ$186), "", 'Data Entry'!$ĉ$186)</f>
      </c>
      <c r="GT186">
        <f>IF(ISBLANK('Data Entry'!$Ċ$186), "", 'Data Entry'!$Ċ$186)</f>
      </c>
      <c r="GU186">
        <f>IF(ISBLANK('Data Entry'!$ċ$186), "", 'Data Entry'!$ċ$186)</f>
      </c>
      <c r="GV186">
        <f>IF(ISBLANK('Data Entry'!$Č$186), "", 'Data Entry'!$Č$186)</f>
      </c>
      <c r="GW186">
        <f>IF(ISBLANK('Data Entry'!$č$186), "", 'Data Entry'!$č$186)</f>
      </c>
      <c r="GX186">
        <f>IF(ISBLANK('Data Entry'!$Ď$186), "", 'Data Entry'!$Ď$186)</f>
      </c>
      <c r="GY186">
        <f>IF(ISBLANK('Data Entry'!$ď$186), "", 'Data Entry'!$ď$186)</f>
      </c>
      <c r="GZ186">
        <f>IF(ISBLANK('Data Entry'!$Đ$186), "", 'Data Entry'!$Đ$186)</f>
      </c>
      <c r="HA186">
        <f>IF(ISBLANK('Data Entry'!$đ$186), "", 'Data Entry'!$đ$186)</f>
      </c>
      <c r="HB186">
        <f>IF(ISBLANK('Data Entry'!$Ē$186), "", 'Data Entry'!$Ē$186)</f>
      </c>
      <c r="HC186">
        <f>IF(ISBLANK('Data Entry'!$ē$186), "", 'Data Entry'!$ē$186)</f>
      </c>
      <c r="HD186">
        <f>IF(ISBLANK('Data Entry'!$Ĕ$186), "", 'Data Entry'!$Ĕ$186)</f>
      </c>
      <c r="HE186">
        <f>IF(ISBLANK('Data Entry'!$ĕ$186), "", 'Data Entry'!$ĕ$186)</f>
      </c>
      <c r="HF186">
        <f>IF(ISBLANK('Data Entry'!$Ė$186), "", 'Data Entry'!$Ė$186)</f>
      </c>
      <c r="HG186">
        <f>IF(ISBLANK('Data Entry'!$ė$186), "", 'Data Entry'!$ė$186)</f>
      </c>
      <c r="HH186">
        <f>IF(ISBLANK('Data Entry'!$Ę$186), "", 'Data Entry'!$Ę$186)</f>
      </c>
      <c r="HI186">
        <f>IF(ISBLANK('Data Entry'!$ę$186), "", 'Data Entry'!$ę$186)</f>
      </c>
      <c r="HJ186">
        <f>IF(ISBLANK('Data Entry'!$Ě$186), "", 'Data Entry'!$Ě$186)</f>
      </c>
      <c r="HK186">
        <f>IF(ISBLANK('Data Entry'!$ě$186), "", 'Data Entry'!$ě$186)</f>
      </c>
      <c r="HL186">
        <f>IF(ISBLANK('Data Entry'!$Ĝ$186), "", 'Data Entry'!$Ĝ$186)</f>
      </c>
      <c r="HM186">
        <f>IF(ISBLANK('Data Entry'!$ĝ$186), "", 'Data Entry'!$ĝ$186)</f>
      </c>
      <c r="HN186">
        <f>IF(ISBLANK('Data Entry'!$Ğ$186), "", 'Data Entry'!$Ğ$186)</f>
      </c>
      <c r="HO186">
        <f>IF(ISBLANK('Data Entry'!$ğ$186), "", 'Data Entry'!$ğ$186)</f>
      </c>
      <c r="HP186">
        <f>IF(ISBLANK('Data Entry'!$Ġ$186), "", 'Data Entry'!$Ġ$186)</f>
      </c>
      <c r="HQ186">
        <f>IF(ISBLANK('Data Entry'!$ġ$186), "", 'Data Entry'!$ġ$186)</f>
      </c>
      <c r="HR186">
        <f>IF(ISBLANK('Data Entry'!$Ģ$186), "", 'Data Entry'!$Ģ$186)</f>
      </c>
      <c r="HS186">
        <f>IF(ISBLANK('Data Entry'!$ģ$186), "", 'Data Entry'!$ģ$186)</f>
      </c>
      <c r="HT186">
        <f>IF(ISBLANK('Data Entry'!$Ĥ$186), "", 'Data Entry'!$Ĥ$186)</f>
      </c>
      <c r="HU186">
        <f>IF(ISBLANK('Data Entry'!$ĥ$186), "", 'Data Entry'!$ĥ$186)</f>
      </c>
      <c r="HV186">
        <f>IF(ISBLANK('Data Entry'!$Ħ$186), "", 'Data Entry'!$Ħ$186)</f>
      </c>
      <c r="HW186">
        <f>IF(ISBLANK('Data Entry'!$ħ$186), "", 'Data Entry'!$ħ$186)</f>
      </c>
      <c r="HX186">
        <f>IF(ISBLANK('Data Entry'!$Ĩ$186), "", 'Data Entry'!$Ĩ$186)</f>
      </c>
      <c r="HY186">
        <f>IF(ISBLANK('Data Entry'!$ĩ$186), "", 'Data Entry'!$ĩ$186)</f>
      </c>
      <c r="HZ186">
        <f>IF(ISBLANK('Data Entry'!$Ī$186), "", 'Data Entry'!$Ī$186)</f>
      </c>
      <c r="IA186">
        <f>IF(ISBLANK('Data Entry'!$ī$186), "", 'Data Entry'!$ī$186)</f>
      </c>
      <c r="IB186">
        <f>IF(ISBLANK('Data Entry'!$Ĭ$186), "", 'Data Entry'!$Ĭ$186)</f>
      </c>
      <c r="IC186">
        <f>IF(ISBLANK('Data Entry'!$ĭ$186), "", 'Data Entry'!$ĭ$186)</f>
      </c>
      <c r="ID186">
        <f>IF(ISBLANK('Data Entry'!$Į$186), "", 'Data Entry'!$Į$186)</f>
      </c>
      <c r="IE186">
        <f>IF(ISBLANK('Data Entry'!$į$186), "", 'Data Entry'!$į$186)</f>
      </c>
      <c r="IF186">
        <f>IF(ISBLANK('Data Entry'!$İ$186), "", 'Data Entry'!$İ$186)</f>
      </c>
      <c r="IG186">
        <f>IF(ISBLANK('Data Entry'!$ı$186), "", 'Data Entry'!$ı$186)</f>
      </c>
      <c r="IH186">
        <f>IF(ISBLANK('Data Entry'!$Ĳ$186), "", 'Data Entry'!$Ĳ$186)</f>
      </c>
      <c r="II186">
        <f>IF(ISBLANK('Data Entry'!$ĳ$186), "", 'Data Entry'!$ĳ$186)</f>
      </c>
      <c r="IJ186">
        <f>IF(ISBLANK('Data Entry'!$Ĵ$186), "", 'Data Entry'!$Ĵ$186)</f>
      </c>
      <c r="IK186">
        <f>IF(ISBLANK('Data Entry'!$ĵ$186), "", 'Data Entry'!$ĵ$186)</f>
      </c>
      <c r="IL186">
        <f>IF(ISBLANK('Data Entry'!$Ķ$186), "", 'Data Entry'!$Ķ$186)</f>
      </c>
      <c r="IM186">
        <f>IF(ISBLANK('Data Entry'!$ķ$186), "", 'Data Entry'!$ķ$186)</f>
      </c>
      <c r="IN186">
        <f>IF(ISBLANK('Data Entry'!$ĸ$186), "", 'Data Entry'!$ĸ$186)</f>
      </c>
      <c r="IO186">
        <f>IF(ISBLANK('Data Entry'!$Ĺ$186), "", 'Data Entry'!$Ĺ$186)</f>
      </c>
      <c r="IP186">
        <f>IF(ISBLANK('Data Entry'!$ĺ$186), "", 'Data Entry'!$ĺ$186)</f>
      </c>
      <c r="IQ186">
        <f>IF(ISBLANK('Data Entry'!$Ļ$186), "", 'Data Entry'!$Ļ$186)</f>
      </c>
      <c r="IR186">
        <f>IF(ISBLANK('Data Entry'!$ļ$186), "", 'Data Entry'!$ļ$186)</f>
      </c>
      <c r="IS186">
        <f>IF(ISBLANK('Data Entry'!$Ľ$186), "", 'Data Entry'!$Ľ$186)</f>
      </c>
      <c r="IT186">
        <f>IF(ISBLANK('Data Entry'!$ľ$186), "", 'Data Entry'!$ľ$186)</f>
      </c>
    </row>
    <row r="187" spans="1:254" x14ac:dyDescent="0.25">
      <c r="A187">
        <f>IF(ISBLANK('Data Entry'!$A$187), "", 'Data Entry'!$A$187)</f>
      </c>
      <c r="B187">
        <f>IF(ISBLANK('Data Entry'!$B$187), "", 'Data Entry'!$B$187)</f>
      </c>
      <c r="C187">
        <f>IF(ISBLANK('Data Entry'!$C$187), "", 'Data Entry'!$C$187)</f>
      </c>
      <c r="D187">
        <f>IF(ISBLANK('Data Entry'!$D$187), "", 'Data Entry'!$D$187)</f>
      </c>
      <c r="E187">
        <f>IF(ISBLANK('Data Entry'!$E$187), "", 'Data Entry'!$E$187)</f>
      </c>
      <c r="F187">
        <f>IF(ISBLANK('Data Entry'!$F$187), "", 'Data Entry'!$F$187)</f>
      </c>
      <c r="G187">
        <f>IF(ISBLANK('Data Entry'!$G$187), "", 'Data Entry'!$G$187)</f>
      </c>
      <c r="H187">
        <f>IF(ISBLANK('Data Entry'!$H$187), "", 'Data Entry'!$H$187)</f>
      </c>
      <c r="I187">
        <f>IF(ISBLANK('Data Entry'!$I$187), "", 'Data Entry'!$I$187)</f>
      </c>
      <c r="J187">
        <f>IF(ISBLANK('Data Entry'!$J$187), "", 'Data Entry'!$J$187)</f>
      </c>
      <c r="K187">
        <f>IF(ISBLANK('Data Entry'!$K$187), "", 'Data Entry'!$K$187)</f>
      </c>
      <c r="L187">
        <f>IF(ISBLANK('Data Entry'!$L$187), "", 'Data Entry'!$L$187)</f>
      </c>
      <c r="M187">
        <f>IF(ISBLANK('Data Entry'!$M$187), "", 'Data Entry'!$M$187)</f>
      </c>
      <c r="N187">
        <f>IF(ISBLANK('Data Entry'!$N$187), "", 'Data Entry'!$N$187)</f>
      </c>
      <c r="O187">
        <f>IF(ISBLANK('Data Entry'!$O$187), "", 'Data Entry'!$O$187)</f>
      </c>
      <c r="P187">
        <f>IF(ISBLANK('Data Entry'!$P$187), "", 'Data Entry'!$P$187)</f>
      </c>
      <c r="Q187">
        <f>IF(ISBLANK('Data Entry'!$Q$187), "", 'Data Entry'!$Q$187)</f>
      </c>
      <c r="R187">
        <f>IF(ISBLANK('Data Entry'!$R$187), "", 'Data Entry'!$R$187)</f>
      </c>
      <c r="S187">
        <f>IF(ISBLANK('Data Entry'!$S$187), "", 'Data Entry'!$S$187)</f>
      </c>
      <c r="T187">
        <f>IF(ISBLANK('Data Entry'!$T$187), "", 'Data Entry'!$T$187)</f>
      </c>
      <c r="U187">
        <f>IF(ISBLANK('Data Entry'!$U$187), "", 'Data Entry'!$U$187)</f>
      </c>
      <c r="V187">
        <f>IF(ISBLANK('Data Entry'!$V$187), "", 'Data Entry'!$V$187)</f>
      </c>
      <c r="W187">
        <f>IF(ISBLANK('Data Entry'!$W$187), "", 'Data Entry'!$W$187)</f>
      </c>
      <c r="X187">
        <f>IF(ISBLANK('Data Entry'!$X$187), "", 'Data Entry'!$X$187)</f>
      </c>
      <c r="Y187">
        <f>IF(ISBLANK('Data Entry'!$Y$187), "", 'Data Entry'!$Y$187)</f>
      </c>
      <c r="Z187">
        <f>IF(ISBLANK('Data Entry'!$Z$187), "", 'Data Entry'!$Z$187)</f>
      </c>
      <c r="AA187">
        <f>IF(ISBLANK('Data Entry'!$[$187), "", 'Data Entry'!$[$187)</f>
      </c>
      <c r="AB187">
        <f>IF(ISBLANK('Data Entry'!$\$187), "", 'Data Entry'!$\$187)</f>
      </c>
      <c r="AC187">
        <f>IF(ISBLANK('Data Entry'!$]$187), "", 'Data Entry'!$]$187)</f>
      </c>
      <c r="AD187">
        <f>IF(ISBLANK('Data Entry'!$^$187), "", 'Data Entry'!$^$187)</f>
      </c>
      <c r="AE187">
        <f>IF(ISBLANK('Data Entry'!$_$187), "", 'Data Entry'!$_$187)</f>
      </c>
      <c r="AF187">
        <f>IF(ISBLANK('Data Entry'!$`$187), "", 'Data Entry'!$`$187)</f>
      </c>
      <c r="AG187">
        <f>IF(ISBLANK('Data Entry'!$a$187), "", 'Data Entry'!$a$187)</f>
      </c>
      <c r="AH187">
        <f>IF(ISBLANK('Data Entry'!$b$187), "", 'Data Entry'!$b$187)</f>
      </c>
      <c r="AI187">
        <f>IF(ISBLANK('Data Entry'!$c$187), "", 'Data Entry'!$c$187)</f>
      </c>
      <c r="AJ187">
        <f>IF(ISBLANK('Data Entry'!$d$187), "", 'Data Entry'!$d$187)</f>
      </c>
      <c r="AK187">
        <f>IF(ISBLANK('Data Entry'!$e$187), "", 'Data Entry'!$e$187)</f>
      </c>
      <c r="AL187">
        <f>IF(ISBLANK('Data Entry'!$f$187), "", 'Data Entry'!$f$187)</f>
      </c>
      <c r="AM187">
        <f>IF(ISBLANK('Data Entry'!$g$187), "", 'Data Entry'!$g$187)</f>
      </c>
      <c r="AN187">
        <f>IF(ISBLANK('Data Entry'!$h$187), "", 'Data Entry'!$h$187)</f>
      </c>
      <c r="AO187">
        <f>IF(ISBLANK('Data Entry'!$i$187), "", 'Data Entry'!$i$187)</f>
      </c>
      <c r="AP187">
        <f>IF(ISBLANK('Data Entry'!$j$187), "", 'Data Entry'!$j$187)</f>
      </c>
      <c r="AQ187">
        <f>IF(ISBLANK('Data Entry'!$k$187), "", 'Data Entry'!$k$187)</f>
      </c>
      <c r="AR187">
        <f>IF(ISBLANK('Data Entry'!$l$187), "", 'Data Entry'!$l$187)</f>
      </c>
      <c r="AS187">
        <f>IF(ISBLANK('Data Entry'!$m$187), "", 'Data Entry'!$m$187)</f>
      </c>
      <c r="AT187">
        <f>IF(ISBLANK('Data Entry'!$n$187), "", 'Data Entry'!$n$187)</f>
      </c>
      <c r="AU187">
        <f>IF(ISBLANK('Data Entry'!$o$187), "", 'Data Entry'!$o$187)</f>
      </c>
      <c r="AV187">
        <f>IF(ISBLANK('Data Entry'!$p$187), "", 'Data Entry'!$p$187)</f>
      </c>
      <c r="AW187">
        <f>IF(ISBLANK('Data Entry'!$q$187), "", 'Data Entry'!$q$187)</f>
      </c>
      <c r="AX187">
        <f>IF(ISBLANK('Data Entry'!$r$187), "", 'Data Entry'!$r$187)</f>
      </c>
      <c r="AY187">
        <f>IF(ISBLANK('Data Entry'!$s$187), "", 'Data Entry'!$s$187)</f>
      </c>
      <c r="AZ187">
        <f>IF(ISBLANK('Data Entry'!$t$187), "", 'Data Entry'!$t$187)</f>
      </c>
      <c r="BA187">
        <f>IF(ISBLANK('Data Entry'!$u$187), "", 'Data Entry'!$u$187)</f>
      </c>
      <c r="BB187">
        <f>IF(ISBLANK('Data Entry'!$v$187), "", 'Data Entry'!$v$187)</f>
      </c>
      <c r="BC187">
        <f>IF(ISBLANK('Data Entry'!$w$187), "", 'Data Entry'!$w$187)</f>
      </c>
      <c r="BD187">
        <f>IF(ISBLANK('Data Entry'!$x$187), "", 'Data Entry'!$x$187)</f>
      </c>
      <c r="BE187">
        <f>IF(ISBLANK('Data Entry'!$y$187), "", 'Data Entry'!$y$187)</f>
      </c>
      <c r="BF187">
        <f>IF(ISBLANK('Data Entry'!$z$187), "", 'Data Entry'!$z$187)</f>
      </c>
      <c r="BG187">
        <f>IF(ISBLANK('Data Entry'!${$187), "", 'Data Entry'!${$187)</f>
      </c>
      <c r="BH187">
        <f>IF(ISBLANK('Data Entry'!$|$187), "", 'Data Entry'!$|$187)</f>
      </c>
      <c r="BI187">
        <f>IF(ISBLANK('Data Entry'!$}$187), "", 'Data Entry'!$}$187)</f>
      </c>
      <c r="BJ187">
        <f>IF(ISBLANK('Data Entry'!$~$187), "", 'Data Entry'!$~$187)</f>
      </c>
      <c r="BK187">
        <f>IF(ISBLANK('Data Entry'!$$187), "", 'Data Entry'!$$187)</f>
      </c>
      <c r="BL187">
        <f>IF(ISBLANK('Data Entry'!$$187), "", 'Data Entry'!$$187)</f>
      </c>
      <c r="BM187">
        <f>IF(ISBLANK('Data Entry'!$$187), "", 'Data Entry'!$$187)</f>
      </c>
      <c r="BN187">
        <f>IF(ISBLANK('Data Entry'!$$187), "", 'Data Entry'!$$187)</f>
      </c>
      <c r="BO187">
        <f>IF(ISBLANK('Data Entry'!$$187), "", 'Data Entry'!$$187)</f>
      </c>
      <c r="BP187">
        <f>IF(ISBLANK('Data Entry'!$$187), "", 'Data Entry'!$$187)</f>
      </c>
      <c r="BQ187">
        <f>IF(ISBLANK('Data Entry'!$$187), "", 'Data Entry'!$$187)</f>
      </c>
      <c r="BR187">
        <f>IF(ISBLANK('Data Entry'!$$187), "", 'Data Entry'!$$187)</f>
      </c>
      <c r="BS187">
        <f>IF(ISBLANK('Data Entry'!$$187), "", 'Data Entry'!$$187)</f>
      </c>
      <c r="BT187">
        <f>IF(ISBLANK('Data Entry'!$$187), "", 'Data Entry'!$$187)</f>
      </c>
      <c r="BU187">
        <f>IF(ISBLANK('Data Entry'!$$187), "", 'Data Entry'!$$187)</f>
      </c>
      <c r="BV187">
        <f>IF(ISBLANK('Data Entry'!$$187), "", 'Data Entry'!$$187)</f>
      </c>
      <c r="BW187">
        <f>IF(ISBLANK('Data Entry'!$$187), "", 'Data Entry'!$$187)</f>
      </c>
      <c r="BX187">
        <f>IF(ISBLANK('Data Entry'!$$187), "", 'Data Entry'!$$187)</f>
      </c>
      <c r="BY187">
        <f>IF(ISBLANK('Data Entry'!$$187), "", 'Data Entry'!$$187)</f>
      </c>
      <c r="BZ187">
        <f>IF(ISBLANK('Data Entry'!$$187), "", 'Data Entry'!$$187)</f>
      </c>
      <c r="CA187">
        <f>IF(ISBLANK('Data Entry'!$$187), "", 'Data Entry'!$$187)</f>
      </c>
      <c r="CB187">
        <f>IF(ISBLANK('Data Entry'!$$187), "", 'Data Entry'!$$187)</f>
      </c>
      <c r="CC187">
        <f>IF(ISBLANK('Data Entry'!$$187), "", 'Data Entry'!$$187)</f>
      </c>
      <c r="CD187">
        <f>IF(ISBLANK('Data Entry'!$$187), "", 'Data Entry'!$$187)</f>
      </c>
      <c r="CE187">
        <f>IF(ISBLANK('Data Entry'!$$187), "", 'Data Entry'!$$187)</f>
      </c>
      <c r="CF187">
        <f>IF(ISBLANK('Data Entry'!$$187), "", 'Data Entry'!$$187)</f>
      </c>
      <c r="CG187">
        <f>IF(ISBLANK('Data Entry'!$$187), "", 'Data Entry'!$$187)</f>
      </c>
      <c r="CH187">
        <f>IF(ISBLANK('Data Entry'!$$187), "", 'Data Entry'!$$187)</f>
      </c>
      <c r="CI187">
        <f>IF(ISBLANK('Data Entry'!$$187), "", 'Data Entry'!$$187)</f>
      </c>
      <c r="CJ187">
        <f>IF(ISBLANK('Data Entry'!$$187), "", 'Data Entry'!$$187)</f>
      </c>
      <c r="CK187">
        <f>IF(ISBLANK('Data Entry'!$$187), "", 'Data Entry'!$$187)</f>
      </c>
      <c r="CL187">
        <f>IF(ISBLANK('Data Entry'!$$187), "", 'Data Entry'!$$187)</f>
      </c>
      <c r="CM187">
        <f>IF(ISBLANK('Data Entry'!$$187), "", 'Data Entry'!$$187)</f>
      </c>
      <c r="CN187">
        <f>IF(ISBLANK('Data Entry'!$$187), "", 'Data Entry'!$$187)</f>
      </c>
      <c r="CO187">
        <f>IF(ISBLANK('Data Entry'!$$187), "", 'Data Entry'!$$187)</f>
      </c>
      <c r="CP187">
        <f>IF(ISBLANK('Data Entry'!$$187), "", 'Data Entry'!$$187)</f>
      </c>
      <c r="CQ187">
        <f>IF(ISBLANK('Data Entry'!$$187), "", 'Data Entry'!$$187)</f>
      </c>
      <c r="CR187">
        <f>IF(ISBLANK('Data Entry'!$ $187), "", 'Data Entry'!$ $187)</f>
      </c>
      <c r="CS187">
        <f>IF(ISBLANK('Data Entry'!$¡$187), "", 'Data Entry'!$¡$187)</f>
      </c>
      <c r="CT187">
        <f>IF(ISBLANK('Data Entry'!$¢$187), "", 'Data Entry'!$¢$187)</f>
      </c>
      <c r="CU187">
        <f>IF(ISBLANK('Data Entry'!$£$187), "", 'Data Entry'!$£$187)</f>
      </c>
      <c r="CV187">
        <f>IF(ISBLANK('Data Entry'!$¤$187), "", 'Data Entry'!$¤$187)</f>
      </c>
      <c r="CW187">
        <f>IF(ISBLANK('Data Entry'!$¥$187), "", 'Data Entry'!$¥$187)</f>
      </c>
      <c r="CX187">
        <f>IF(ISBLANK('Data Entry'!$¦$187), "", 'Data Entry'!$¦$187)</f>
      </c>
      <c r="CY187">
        <f>IF(ISBLANK('Data Entry'!$§$187), "", 'Data Entry'!$§$187)</f>
      </c>
      <c r="CZ187">
        <f>IF(ISBLANK('Data Entry'!$¨$187), "", 'Data Entry'!$¨$187)</f>
      </c>
      <c r="DA187">
        <f>IF(ISBLANK('Data Entry'!$©$187), "", 'Data Entry'!$©$187)</f>
      </c>
      <c r="DB187">
        <f>IF(ISBLANK('Data Entry'!$ª$187), "", 'Data Entry'!$ª$187)</f>
      </c>
      <c r="DC187">
        <f>IF(ISBLANK('Data Entry'!$«$187), "", 'Data Entry'!$«$187)</f>
      </c>
      <c r="DD187">
        <f>IF(ISBLANK('Data Entry'!$¬$187), "", 'Data Entry'!$¬$187)</f>
      </c>
      <c r="DE187">
        <f>IF(ISBLANK('Data Entry'!$­$187), "", 'Data Entry'!$­$187)</f>
      </c>
      <c r="DF187">
        <f>IF(ISBLANK('Data Entry'!$®$187), "", 'Data Entry'!$®$187)</f>
      </c>
      <c r="DG187">
        <f>IF(ISBLANK('Data Entry'!$¯$187), "", 'Data Entry'!$¯$187)</f>
      </c>
      <c r="DH187">
        <f>IF(ISBLANK('Data Entry'!$°$187), "", 'Data Entry'!$°$187)</f>
      </c>
      <c r="DI187">
        <f>IF(ISBLANK('Data Entry'!$±$187), "", 'Data Entry'!$±$187)</f>
      </c>
      <c r="DJ187">
        <f>IF(ISBLANK('Data Entry'!$²$187), "", 'Data Entry'!$²$187)</f>
      </c>
      <c r="DK187">
        <f>IF(ISBLANK('Data Entry'!$³$187), "", 'Data Entry'!$³$187)</f>
      </c>
      <c r="DL187">
        <f>IF(ISBLANK('Data Entry'!$´$187), "", 'Data Entry'!$´$187)</f>
      </c>
      <c r="DM187">
        <f>IF(ISBLANK('Data Entry'!$µ$187), "", 'Data Entry'!$µ$187)</f>
      </c>
      <c r="DN187">
        <f>IF(ISBLANK('Data Entry'!$¶$187), "", 'Data Entry'!$¶$187)</f>
      </c>
      <c r="DO187">
        <f>IF(ISBLANK('Data Entry'!$·$187), "", 'Data Entry'!$·$187)</f>
      </c>
      <c r="DP187">
        <f>IF(ISBLANK('Data Entry'!$¸$187), "", 'Data Entry'!$¸$187)</f>
      </c>
      <c r="DQ187">
        <f>IF(ISBLANK('Data Entry'!$¹$187), "", 'Data Entry'!$¹$187)</f>
      </c>
      <c r="DR187">
        <f>IF(ISBLANK('Data Entry'!$º$187), "", 'Data Entry'!$º$187)</f>
      </c>
      <c r="DS187">
        <f>IF(ISBLANK('Data Entry'!$»$187), "", 'Data Entry'!$»$187)</f>
      </c>
      <c r="DT187">
        <f>IF(ISBLANK('Data Entry'!$¼$187), "", 'Data Entry'!$¼$187)</f>
      </c>
      <c r="DU187">
        <f>IF(ISBLANK('Data Entry'!$½$187), "", 'Data Entry'!$½$187)</f>
      </c>
      <c r="DV187">
        <f>IF(ISBLANK('Data Entry'!$¾$187), "", 'Data Entry'!$¾$187)</f>
      </c>
      <c r="DW187">
        <f>IF(ISBLANK('Data Entry'!$¿$187), "", 'Data Entry'!$¿$187)</f>
      </c>
      <c r="DX187">
        <f>IF(ISBLANK('Data Entry'!$À$187), "", 'Data Entry'!$À$187)</f>
      </c>
      <c r="DY187">
        <f>IF(ISBLANK('Data Entry'!$Á$187), "", 'Data Entry'!$Á$187)</f>
      </c>
      <c r="DZ187">
        <f>IF(ISBLANK('Data Entry'!$Â$187), "", 'Data Entry'!$Â$187)</f>
      </c>
      <c r="EA187">
        <f>IF(ISBLANK('Data Entry'!$Ã$187), "", 'Data Entry'!$Ã$187)</f>
      </c>
      <c r="EB187">
        <f>IF(ISBLANK('Data Entry'!$Ä$187), "", 'Data Entry'!$Ä$187)</f>
      </c>
      <c r="EC187">
        <f>IF(ISBLANK('Data Entry'!$Å$187), "", 'Data Entry'!$Å$187)</f>
      </c>
      <c r="ED187">
        <f>IF(ISBLANK('Data Entry'!$Æ$187), "", 'Data Entry'!$Æ$187)</f>
      </c>
      <c r="EE187">
        <f>IF(ISBLANK('Data Entry'!$Ç$187), "", 'Data Entry'!$Ç$187)</f>
      </c>
      <c r="EF187">
        <f>IF(ISBLANK('Data Entry'!$È$187), "", 'Data Entry'!$È$187)</f>
      </c>
      <c r="EG187">
        <f>IF(ISBLANK('Data Entry'!$É$187), "", 'Data Entry'!$É$187)</f>
      </c>
      <c r="EH187">
        <f>IF(ISBLANK('Data Entry'!$Ê$187), "", 'Data Entry'!$Ê$187)</f>
      </c>
      <c r="EI187">
        <f>IF(ISBLANK('Data Entry'!$Ë$187), "", 'Data Entry'!$Ë$187)</f>
      </c>
      <c r="EJ187">
        <f>IF(ISBLANK('Data Entry'!$Ì$187), "", 'Data Entry'!$Ì$187)</f>
      </c>
      <c r="EK187">
        <f>IF(ISBLANK('Data Entry'!$Í$187), "", 'Data Entry'!$Í$187)</f>
      </c>
      <c r="EL187">
        <f>IF(ISBLANK('Data Entry'!$Î$187), "", 'Data Entry'!$Î$187)</f>
      </c>
      <c r="EM187">
        <f>IF(ISBLANK('Data Entry'!$Ï$187), "", 'Data Entry'!$Ï$187)</f>
      </c>
      <c r="EN187">
        <f>IF(ISBLANK('Data Entry'!$Ð$187), "", 'Data Entry'!$Ð$187)</f>
      </c>
      <c r="EO187">
        <f>IF(ISBLANK('Data Entry'!$Ñ$187), "", 'Data Entry'!$Ñ$187)</f>
      </c>
      <c r="EP187">
        <f>IF(ISBLANK('Data Entry'!$Ò$187), "", 'Data Entry'!$Ò$187)</f>
      </c>
      <c r="EQ187">
        <f>IF(ISBLANK('Data Entry'!$Ó$187), "", 'Data Entry'!$Ó$187)</f>
      </c>
      <c r="ER187">
        <f>IF(ISBLANK('Data Entry'!$Ô$187), "", 'Data Entry'!$Ô$187)</f>
      </c>
      <c r="ES187">
        <f>IF(ISBLANK('Data Entry'!$Õ$187), "", 'Data Entry'!$Õ$187)</f>
      </c>
      <c r="ET187">
        <f>IF(ISBLANK('Data Entry'!$Ö$187), "", 'Data Entry'!$Ö$187)</f>
      </c>
      <c r="EU187">
        <f>IF(ISBLANK('Data Entry'!$×$187), "", 'Data Entry'!$×$187)</f>
      </c>
      <c r="EV187">
        <f>IF(ISBLANK('Data Entry'!$Ø$187), "", 'Data Entry'!$Ø$187)</f>
      </c>
      <c r="EW187">
        <f>IF(ISBLANK('Data Entry'!$Ù$187), "", 'Data Entry'!$Ù$187)</f>
      </c>
      <c r="EX187">
        <f>IF(ISBLANK('Data Entry'!$Ú$187), "", 'Data Entry'!$Ú$187)</f>
      </c>
      <c r="EY187">
        <f>IF(ISBLANK('Data Entry'!$Û$187), "", 'Data Entry'!$Û$187)</f>
      </c>
      <c r="EZ187">
        <f>IF(ISBLANK('Data Entry'!$Ü$187), "", 'Data Entry'!$Ü$187)</f>
      </c>
      <c r="FA187">
        <f>IF(ISBLANK('Data Entry'!$Ý$187), "", 'Data Entry'!$Ý$187)</f>
      </c>
      <c r="FB187">
        <f>IF(ISBLANK('Data Entry'!$Þ$187), "", 'Data Entry'!$Þ$187)</f>
      </c>
      <c r="FC187">
        <f>IF(ISBLANK('Data Entry'!$ß$187), "", 'Data Entry'!$ß$187)</f>
      </c>
      <c r="FD187">
        <f>IF(ISBLANK('Data Entry'!$à$187), "", 'Data Entry'!$à$187)</f>
      </c>
      <c r="FE187">
        <f>IF(ISBLANK('Data Entry'!$á$187), "", 'Data Entry'!$á$187)</f>
      </c>
      <c r="FF187">
        <f>IF(ISBLANK('Data Entry'!$â$187), "", 'Data Entry'!$â$187)</f>
      </c>
      <c r="FG187">
        <f>IF(ISBLANK('Data Entry'!$ã$187), "", 'Data Entry'!$ã$187)</f>
      </c>
      <c r="FH187">
        <f>IF(ISBLANK('Data Entry'!$ä$187), "", 'Data Entry'!$ä$187)</f>
      </c>
      <c r="FI187">
        <f>IF(ISBLANK('Data Entry'!$å$187), "", 'Data Entry'!$å$187)</f>
      </c>
      <c r="FJ187">
        <f>IF(ISBLANK('Data Entry'!$æ$187), "", 'Data Entry'!$æ$187)</f>
      </c>
      <c r="FK187">
        <f>IF(ISBLANK('Data Entry'!$ç$187), "", 'Data Entry'!$ç$187)</f>
      </c>
      <c r="FL187">
        <f>IF(ISBLANK('Data Entry'!$è$187), "", 'Data Entry'!$è$187)</f>
      </c>
      <c r="FM187">
        <f>IF(ISBLANK('Data Entry'!$é$187), "", 'Data Entry'!$é$187)</f>
      </c>
      <c r="FN187">
        <f>IF(ISBLANK('Data Entry'!$ê$187), "", 'Data Entry'!$ê$187)</f>
      </c>
      <c r="FO187">
        <f>IF(ISBLANK('Data Entry'!$ë$187), "", 'Data Entry'!$ë$187)</f>
      </c>
      <c r="FP187">
        <f>IF(ISBLANK('Data Entry'!$ì$187), "", 'Data Entry'!$ì$187)</f>
      </c>
      <c r="FQ187">
        <f>IF(ISBLANK('Data Entry'!$í$187), "", 'Data Entry'!$í$187)</f>
      </c>
      <c r="FR187">
        <f>IF(ISBLANK('Data Entry'!$î$187), "", 'Data Entry'!$î$187)</f>
      </c>
      <c r="FS187">
        <f>IF(ISBLANK('Data Entry'!$ï$187), "", 'Data Entry'!$ï$187)</f>
      </c>
      <c r="FT187">
        <f>IF(ISBLANK('Data Entry'!$ð$187), "", 'Data Entry'!$ð$187)</f>
      </c>
      <c r="FU187">
        <f>IF(ISBLANK('Data Entry'!$ñ$187), "", 'Data Entry'!$ñ$187)</f>
      </c>
      <c r="FV187">
        <f>IF(ISBLANK('Data Entry'!$ò$187), "", 'Data Entry'!$ò$187)</f>
      </c>
      <c r="FW187">
        <f>IF(ISBLANK('Data Entry'!$ó$187), "", 'Data Entry'!$ó$187)</f>
      </c>
      <c r="FX187">
        <f>IF(ISBLANK('Data Entry'!$ô$187), "", 'Data Entry'!$ô$187)</f>
      </c>
      <c r="FY187">
        <f>IF(ISBLANK('Data Entry'!$õ$187), "", 'Data Entry'!$õ$187)</f>
      </c>
      <c r="FZ187">
        <f>IF(ISBLANK('Data Entry'!$ö$187), "", 'Data Entry'!$ö$187)</f>
      </c>
      <c r="GA187">
        <f>IF(ISBLANK('Data Entry'!$÷$187), "", 'Data Entry'!$÷$187)</f>
      </c>
      <c r="GB187">
        <f>IF(ISBLANK('Data Entry'!$ø$187), "", 'Data Entry'!$ø$187)</f>
      </c>
      <c r="GC187">
        <f>IF(ISBLANK('Data Entry'!$ù$187), "", 'Data Entry'!$ù$187)</f>
      </c>
      <c r="GD187">
        <f>IF(ISBLANK('Data Entry'!$ú$187), "", 'Data Entry'!$ú$187)</f>
      </c>
      <c r="GE187">
        <f>IF(ISBLANK('Data Entry'!$û$187), "", 'Data Entry'!$û$187)</f>
      </c>
      <c r="GF187">
        <f>IF(ISBLANK('Data Entry'!$ü$187), "", 'Data Entry'!$ü$187)</f>
      </c>
      <c r="GG187">
        <f>IF(ISBLANK('Data Entry'!$ý$187), "", 'Data Entry'!$ý$187)</f>
      </c>
      <c r="GH187">
        <f>IF(ISBLANK('Data Entry'!$þ$187), "", 'Data Entry'!$þ$187)</f>
      </c>
      <c r="GI187">
        <f>IF(ISBLANK('Data Entry'!$ÿ$187), "", 'Data Entry'!$ÿ$187)</f>
      </c>
      <c r="GJ187">
        <f>IF(ISBLANK('Data Entry'!$Ā$187), "", 'Data Entry'!$Ā$187)</f>
      </c>
      <c r="GK187">
        <f>IF(ISBLANK('Data Entry'!$ā$187), "", 'Data Entry'!$ā$187)</f>
      </c>
      <c r="GL187">
        <f>IF(ISBLANK('Data Entry'!$Ă$187), "", 'Data Entry'!$Ă$187)</f>
      </c>
      <c r="GM187">
        <f>IF(ISBLANK('Data Entry'!$ă$187), "", 'Data Entry'!$ă$187)</f>
      </c>
      <c r="GN187">
        <f>IF(ISBLANK('Data Entry'!$Ą$187), "", 'Data Entry'!$Ą$187)</f>
      </c>
      <c r="GO187">
        <f>IF(ISBLANK('Data Entry'!$ą$187), "", 'Data Entry'!$ą$187)</f>
      </c>
      <c r="GP187">
        <f>IF(ISBLANK('Data Entry'!$Ć$187), "", 'Data Entry'!$Ć$187)</f>
      </c>
      <c r="GQ187">
        <f>IF(ISBLANK('Data Entry'!$ć$187), "", 'Data Entry'!$ć$187)</f>
      </c>
      <c r="GR187">
        <f>IF(ISBLANK('Data Entry'!$Ĉ$187), "", 'Data Entry'!$Ĉ$187)</f>
      </c>
      <c r="GS187">
        <f>IF(ISBLANK('Data Entry'!$ĉ$187), "", 'Data Entry'!$ĉ$187)</f>
      </c>
      <c r="GT187">
        <f>IF(ISBLANK('Data Entry'!$Ċ$187), "", 'Data Entry'!$Ċ$187)</f>
      </c>
      <c r="GU187">
        <f>IF(ISBLANK('Data Entry'!$ċ$187), "", 'Data Entry'!$ċ$187)</f>
      </c>
      <c r="GV187">
        <f>IF(ISBLANK('Data Entry'!$Č$187), "", 'Data Entry'!$Č$187)</f>
      </c>
      <c r="GW187">
        <f>IF(ISBLANK('Data Entry'!$č$187), "", 'Data Entry'!$č$187)</f>
      </c>
      <c r="GX187">
        <f>IF(ISBLANK('Data Entry'!$Ď$187), "", 'Data Entry'!$Ď$187)</f>
      </c>
      <c r="GY187">
        <f>IF(ISBLANK('Data Entry'!$ď$187), "", 'Data Entry'!$ď$187)</f>
      </c>
      <c r="GZ187">
        <f>IF(ISBLANK('Data Entry'!$Đ$187), "", 'Data Entry'!$Đ$187)</f>
      </c>
      <c r="HA187">
        <f>IF(ISBLANK('Data Entry'!$đ$187), "", 'Data Entry'!$đ$187)</f>
      </c>
      <c r="HB187">
        <f>IF(ISBLANK('Data Entry'!$Ē$187), "", 'Data Entry'!$Ē$187)</f>
      </c>
      <c r="HC187">
        <f>IF(ISBLANK('Data Entry'!$ē$187), "", 'Data Entry'!$ē$187)</f>
      </c>
      <c r="HD187">
        <f>IF(ISBLANK('Data Entry'!$Ĕ$187), "", 'Data Entry'!$Ĕ$187)</f>
      </c>
      <c r="HE187">
        <f>IF(ISBLANK('Data Entry'!$ĕ$187), "", 'Data Entry'!$ĕ$187)</f>
      </c>
      <c r="HF187">
        <f>IF(ISBLANK('Data Entry'!$Ė$187), "", 'Data Entry'!$Ė$187)</f>
      </c>
      <c r="HG187">
        <f>IF(ISBLANK('Data Entry'!$ė$187), "", 'Data Entry'!$ė$187)</f>
      </c>
      <c r="HH187">
        <f>IF(ISBLANK('Data Entry'!$Ę$187), "", 'Data Entry'!$Ę$187)</f>
      </c>
      <c r="HI187">
        <f>IF(ISBLANK('Data Entry'!$ę$187), "", 'Data Entry'!$ę$187)</f>
      </c>
      <c r="HJ187">
        <f>IF(ISBLANK('Data Entry'!$Ě$187), "", 'Data Entry'!$Ě$187)</f>
      </c>
      <c r="HK187">
        <f>IF(ISBLANK('Data Entry'!$ě$187), "", 'Data Entry'!$ě$187)</f>
      </c>
      <c r="HL187">
        <f>IF(ISBLANK('Data Entry'!$Ĝ$187), "", 'Data Entry'!$Ĝ$187)</f>
      </c>
      <c r="HM187">
        <f>IF(ISBLANK('Data Entry'!$ĝ$187), "", 'Data Entry'!$ĝ$187)</f>
      </c>
      <c r="HN187">
        <f>IF(ISBLANK('Data Entry'!$Ğ$187), "", 'Data Entry'!$Ğ$187)</f>
      </c>
      <c r="HO187">
        <f>IF(ISBLANK('Data Entry'!$ğ$187), "", 'Data Entry'!$ğ$187)</f>
      </c>
      <c r="HP187">
        <f>IF(ISBLANK('Data Entry'!$Ġ$187), "", 'Data Entry'!$Ġ$187)</f>
      </c>
      <c r="HQ187">
        <f>IF(ISBLANK('Data Entry'!$ġ$187), "", 'Data Entry'!$ġ$187)</f>
      </c>
      <c r="HR187">
        <f>IF(ISBLANK('Data Entry'!$Ģ$187), "", 'Data Entry'!$Ģ$187)</f>
      </c>
      <c r="HS187">
        <f>IF(ISBLANK('Data Entry'!$ģ$187), "", 'Data Entry'!$ģ$187)</f>
      </c>
      <c r="HT187">
        <f>IF(ISBLANK('Data Entry'!$Ĥ$187), "", 'Data Entry'!$Ĥ$187)</f>
      </c>
      <c r="HU187">
        <f>IF(ISBLANK('Data Entry'!$ĥ$187), "", 'Data Entry'!$ĥ$187)</f>
      </c>
      <c r="HV187">
        <f>IF(ISBLANK('Data Entry'!$Ħ$187), "", 'Data Entry'!$Ħ$187)</f>
      </c>
      <c r="HW187">
        <f>IF(ISBLANK('Data Entry'!$ħ$187), "", 'Data Entry'!$ħ$187)</f>
      </c>
      <c r="HX187">
        <f>IF(ISBLANK('Data Entry'!$Ĩ$187), "", 'Data Entry'!$Ĩ$187)</f>
      </c>
      <c r="HY187">
        <f>IF(ISBLANK('Data Entry'!$ĩ$187), "", 'Data Entry'!$ĩ$187)</f>
      </c>
      <c r="HZ187">
        <f>IF(ISBLANK('Data Entry'!$Ī$187), "", 'Data Entry'!$Ī$187)</f>
      </c>
      <c r="IA187">
        <f>IF(ISBLANK('Data Entry'!$ī$187), "", 'Data Entry'!$ī$187)</f>
      </c>
      <c r="IB187">
        <f>IF(ISBLANK('Data Entry'!$Ĭ$187), "", 'Data Entry'!$Ĭ$187)</f>
      </c>
      <c r="IC187">
        <f>IF(ISBLANK('Data Entry'!$ĭ$187), "", 'Data Entry'!$ĭ$187)</f>
      </c>
      <c r="ID187">
        <f>IF(ISBLANK('Data Entry'!$Į$187), "", 'Data Entry'!$Į$187)</f>
      </c>
      <c r="IE187">
        <f>IF(ISBLANK('Data Entry'!$į$187), "", 'Data Entry'!$į$187)</f>
      </c>
      <c r="IF187">
        <f>IF(ISBLANK('Data Entry'!$İ$187), "", 'Data Entry'!$İ$187)</f>
      </c>
      <c r="IG187">
        <f>IF(ISBLANK('Data Entry'!$ı$187), "", 'Data Entry'!$ı$187)</f>
      </c>
      <c r="IH187">
        <f>IF(ISBLANK('Data Entry'!$Ĳ$187), "", 'Data Entry'!$Ĳ$187)</f>
      </c>
      <c r="II187">
        <f>IF(ISBLANK('Data Entry'!$ĳ$187), "", 'Data Entry'!$ĳ$187)</f>
      </c>
      <c r="IJ187">
        <f>IF(ISBLANK('Data Entry'!$Ĵ$187), "", 'Data Entry'!$Ĵ$187)</f>
      </c>
      <c r="IK187">
        <f>IF(ISBLANK('Data Entry'!$ĵ$187), "", 'Data Entry'!$ĵ$187)</f>
      </c>
      <c r="IL187">
        <f>IF(ISBLANK('Data Entry'!$Ķ$187), "", 'Data Entry'!$Ķ$187)</f>
      </c>
      <c r="IM187">
        <f>IF(ISBLANK('Data Entry'!$ķ$187), "", 'Data Entry'!$ķ$187)</f>
      </c>
      <c r="IN187">
        <f>IF(ISBLANK('Data Entry'!$ĸ$187), "", 'Data Entry'!$ĸ$187)</f>
      </c>
      <c r="IO187">
        <f>IF(ISBLANK('Data Entry'!$Ĺ$187), "", 'Data Entry'!$Ĺ$187)</f>
      </c>
      <c r="IP187">
        <f>IF(ISBLANK('Data Entry'!$ĺ$187), "", 'Data Entry'!$ĺ$187)</f>
      </c>
      <c r="IQ187">
        <f>IF(ISBLANK('Data Entry'!$Ļ$187), "", 'Data Entry'!$Ļ$187)</f>
      </c>
      <c r="IR187">
        <f>IF(ISBLANK('Data Entry'!$ļ$187), "", 'Data Entry'!$ļ$187)</f>
      </c>
      <c r="IS187">
        <f>IF(ISBLANK('Data Entry'!$Ľ$187), "", 'Data Entry'!$Ľ$187)</f>
      </c>
      <c r="IT187">
        <f>IF(ISBLANK('Data Entry'!$ľ$187), "", 'Data Entry'!$ľ$187)</f>
      </c>
    </row>
    <row r="188" spans="1:254" x14ac:dyDescent="0.25">
      <c r="A188">
        <f>IF(ISBLANK('Data Entry'!$A$188), "", 'Data Entry'!$A$188)</f>
      </c>
      <c r="B188">
        <f>IF(ISBLANK('Data Entry'!$B$188), "", 'Data Entry'!$B$188)</f>
      </c>
      <c r="C188">
        <f>IF(ISBLANK('Data Entry'!$C$188), "", 'Data Entry'!$C$188)</f>
      </c>
      <c r="D188">
        <f>IF(ISBLANK('Data Entry'!$D$188), "", 'Data Entry'!$D$188)</f>
      </c>
      <c r="E188">
        <f>IF(ISBLANK('Data Entry'!$E$188), "", 'Data Entry'!$E$188)</f>
      </c>
      <c r="F188">
        <f>IF(ISBLANK('Data Entry'!$F$188), "", 'Data Entry'!$F$188)</f>
      </c>
      <c r="G188">
        <f>IF(ISBLANK('Data Entry'!$G$188), "", 'Data Entry'!$G$188)</f>
      </c>
      <c r="H188">
        <f>IF(ISBLANK('Data Entry'!$H$188), "", 'Data Entry'!$H$188)</f>
      </c>
      <c r="I188">
        <f>IF(ISBLANK('Data Entry'!$I$188), "", 'Data Entry'!$I$188)</f>
      </c>
      <c r="J188">
        <f>IF(ISBLANK('Data Entry'!$J$188), "", 'Data Entry'!$J$188)</f>
      </c>
      <c r="K188">
        <f>IF(ISBLANK('Data Entry'!$K$188), "", 'Data Entry'!$K$188)</f>
      </c>
      <c r="L188">
        <f>IF(ISBLANK('Data Entry'!$L$188), "", 'Data Entry'!$L$188)</f>
      </c>
      <c r="M188">
        <f>IF(ISBLANK('Data Entry'!$M$188), "", 'Data Entry'!$M$188)</f>
      </c>
      <c r="N188">
        <f>IF(ISBLANK('Data Entry'!$N$188), "", 'Data Entry'!$N$188)</f>
      </c>
      <c r="O188">
        <f>IF(ISBLANK('Data Entry'!$O$188), "", 'Data Entry'!$O$188)</f>
      </c>
      <c r="P188">
        <f>IF(ISBLANK('Data Entry'!$P$188), "", 'Data Entry'!$P$188)</f>
      </c>
      <c r="Q188">
        <f>IF(ISBLANK('Data Entry'!$Q$188), "", 'Data Entry'!$Q$188)</f>
      </c>
      <c r="R188">
        <f>IF(ISBLANK('Data Entry'!$R$188), "", 'Data Entry'!$R$188)</f>
      </c>
      <c r="S188">
        <f>IF(ISBLANK('Data Entry'!$S$188), "", 'Data Entry'!$S$188)</f>
      </c>
      <c r="T188">
        <f>IF(ISBLANK('Data Entry'!$T$188), "", 'Data Entry'!$T$188)</f>
      </c>
      <c r="U188">
        <f>IF(ISBLANK('Data Entry'!$U$188), "", 'Data Entry'!$U$188)</f>
      </c>
      <c r="V188">
        <f>IF(ISBLANK('Data Entry'!$V$188), "", 'Data Entry'!$V$188)</f>
      </c>
      <c r="W188">
        <f>IF(ISBLANK('Data Entry'!$W$188), "", 'Data Entry'!$W$188)</f>
      </c>
      <c r="X188">
        <f>IF(ISBLANK('Data Entry'!$X$188), "", 'Data Entry'!$X$188)</f>
      </c>
      <c r="Y188">
        <f>IF(ISBLANK('Data Entry'!$Y$188), "", 'Data Entry'!$Y$188)</f>
      </c>
      <c r="Z188">
        <f>IF(ISBLANK('Data Entry'!$Z$188), "", 'Data Entry'!$Z$188)</f>
      </c>
      <c r="AA188">
        <f>IF(ISBLANK('Data Entry'!$[$188), "", 'Data Entry'!$[$188)</f>
      </c>
      <c r="AB188">
        <f>IF(ISBLANK('Data Entry'!$\$188), "", 'Data Entry'!$\$188)</f>
      </c>
      <c r="AC188">
        <f>IF(ISBLANK('Data Entry'!$]$188), "", 'Data Entry'!$]$188)</f>
      </c>
      <c r="AD188">
        <f>IF(ISBLANK('Data Entry'!$^$188), "", 'Data Entry'!$^$188)</f>
      </c>
      <c r="AE188">
        <f>IF(ISBLANK('Data Entry'!$_$188), "", 'Data Entry'!$_$188)</f>
      </c>
      <c r="AF188">
        <f>IF(ISBLANK('Data Entry'!$`$188), "", 'Data Entry'!$`$188)</f>
      </c>
      <c r="AG188">
        <f>IF(ISBLANK('Data Entry'!$a$188), "", 'Data Entry'!$a$188)</f>
      </c>
      <c r="AH188">
        <f>IF(ISBLANK('Data Entry'!$b$188), "", 'Data Entry'!$b$188)</f>
      </c>
      <c r="AI188">
        <f>IF(ISBLANK('Data Entry'!$c$188), "", 'Data Entry'!$c$188)</f>
      </c>
      <c r="AJ188">
        <f>IF(ISBLANK('Data Entry'!$d$188), "", 'Data Entry'!$d$188)</f>
      </c>
      <c r="AK188">
        <f>IF(ISBLANK('Data Entry'!$e$188), "", 'Data Entry'!$e$188)</f>
      </c>
      <c r="AL188">
        <f>IF(ISBLANK('Data Entry'!$f$188), "", 'Data Entry'!$f$188)</f>
      </c>
      <c r="AM188">
        <f>IF(ISBLANK('Data Entry'!$g$188), "", 'Data Entry'!$g$188)</f>
      </c>
      <c r="AN188">
        <f>IF(ISBLANK('Data Entry'!$h$188), "", 'Data Entry'!$h$188)</f>
      </c>
      <c r="AO188">
        <f>IF(ISBLANK('Data Entry'!$i$188), "", 'Data Entry'!$i$188)</f>
      </c>
      <c r="AP188">
        <f>IF(ISBLANK('Data Entry'!$j$188), "", 'Data Entry'!$j$188)</f>
      </c>
      <c r="AQ188">
        <f>IF(ISBLANK('Data Entry'!$k$188), "", 'Data Entry'!$k$188)</f>
      </c>
      <c r="AR188">
        <f>IF(ISBLANK('Data Entry'!$l$188), "", 'Data Entry'!$l$188)</f>
      </c>
      <c r="AS188">
        <f>IF(ISBLANK('Data Entry'!$m$188), "", 'Data Entry'!$m$188)</f>
      </c>
      <c r="AT188">
        <f>IF(ISBLANK('Data Entry'!$n$188), "", 'Data Entry'!$n$188)</f>
      </c>
      <c r="AU188">
        <f>IF(ISBLANK('Data Entry'!$o$188), "", 'Data Entry'!$o$188)</f>
      </c>
      <c r="AV188">
        <f>IF(ISBLANK('Data Entry'!$p$188), "", 'Data Entry'!$p$188)</f>
      </c>
      <c r="AW188">
        <f>IF(ISBLANK('Data Entry'!$q$188), "", 'Data Entry'!$q$188)</f>
      </c>
      <c r="AX188">
        <f>IF(ISBLANK('Data Entry'!$r$188), "", 'Data Entry'!$r$188)</f>
      </c>
      <c r="AY188">
        <f>IF(ISBLANK('Data Entry'!$s$188), "", 'Data Entry'!$s$188)</f>
      </c>
      <c r="AZ188">
        <f>IF(ISBLANK('Data Entry'!$t$188), "", 'Data Entry'!$t$188)</f>
      </c>
      <c r="BA188">
        <f>IF(ISBLANK('Data Entry'!$u$188), "", 'Data Entry'!$u$188)</f>
      </c>
      <c r="BB188">
        <f>IF(ISBLANK('Data Entry'!$v$188), "", 'Data Entry'!$v$188)</f>
      </c>
      <c r="BC188">
        <f>IF(ISBLANK('Data Entry'!$w$188), "", 'Data Entry'!$w$188)</f>
      </c>
      <c r="BD188">
        <f>IF(ISBLANK('Data Entry'!$x$188), "", 'Data Entry'!$x$188)</f>
      </c>
      <c r="BE188">
        <f>IF(ISBLANK('Data Entry'!$y$188), "", 'Data Entry'!$y$188)</f>
      </c>
      <c r="BF188">
        <f>IF(ISBLANK('Data Entry'!$z$188), "", 'Data Entry'!$z$188)</f>
      </c>
      <c r="BG188">
        <f>IF(ISBLANK('Data Entry'!${$188), "", 'Data Entry'!${$188)</f>
      </c>
      <c r="BH188">
        <f>IF(ISBLANK('Data Entry'!$|$188), "", 'Data Entry'!$|$188)</f>
      </c>
      <c r="BI188">
        <f>IF(ISBLANK('Data Entry'!$}$188), "", 'Data Entry'!$}$188)</f>
      </c>
      <c r="BJ188">
        <f>IF(ISBLANK('Data Entry'!$~$188), "", 'Data Entry'!$~$188)</f>
      </c>
      <c r="BK188">
        <f>IF(ISBLANK('Data Entry'!$$188), "", 'Data Entry'!$$188)</f>
      </c>
      <c r="BL188">
        <f>IF(ISBLANK('Data Entry'!$$188), "", 'Data Entry'!$$188)</f>
      </c>
      <c r="BM188">
        <f>IF(ISBLANK('Data Entry'!$$188), "", 'Data Entry'!$$188)</f>
      </c>
      <c r="BN188">
        <f>IF(ISBLANK('Data Entry'!$$188), "", 'Data Entry'!$$188)</f>
      </c>
      <c r="BO188">
        <f>IF(ISBLANK('Data Entry'!$$188), "", 'Data Entry'!$$188)</f>
      </c>
      <c r="BP188">
        <f>IF(ISBLANK('Data Entry'!$$188), "", 'Data Entry'!$$188)</f>
      </c>
      <c r="BQ188">
        <f>IF(ISBLANK('Data Entry'!$$188), "", 'Data Entry'!$$188)</f>
      </c>
      <c r="BR188">
        <f>IF(ISBLANK('Data Entry'!$$188), "", 'Data Entry'!$$188)</f>
      </c>
      <c r="BS188">
        <f>IF(ISBLANK('Data Entry'!$$188), "", 'Data Entry'!$$188)</f>
      </c>
      <c r="BT188">
        <f>IF(ISBLANK('Data Entry'!$$188), "", 'Data Entry'!$$188)</f>
      </c>
      <c r="BU188">
        <f>IF(ISBLANK('Data Entry'!$$188), "", 'Data Entry'!$$188)</f>
      </c>
      <c r="BV188">
        <f>IF(ISBLANK('Data Entry'!$$188), "", 'Data Entry'!$$188)</f>
      </c>
      <c r="BW188">
        <f>IF(ISBLANK('Data Entry'!$$188), "", 'Data Entry'!$$188)</f>
      </c>
      <c r="BX188">
        <f>IF(ISBLANK('Data Entry'!$$188), "", 'Data Entry'!$$188)</f>
      </c>
      <c r="BY188">
        <f>IF(ISBLANK('Data Entry'!$$188), "", 'Data Entry'!$$188)</f>
      </c>
      <c r="BZ188">
        <f>IF(ISBLANK('Data Entry'!$$188), "", 'Data Entry'!$$188)</f>
      </c>
      <c r="CA188">
        <f>IF(ISBLANK('Data Entry'!$$188), "", 'Data Entry'!$$188)</f>
      </c>
      <c r="CB188">
        <f>IF(ISBLANK('Data Entry'!$$188), "", 'Data Entry'!$$188)</f>
      </c>
      <c r="CC188">
        <f>IF(ISBLANK('Data Entry'!$$188), "", 'Data Entry'!$$188)</f>
      </c>
      <c r="CD188">
        <f>IF(ISBLANK('Data Entry'!$$188), "", 'Data Entry'!$$188)</f>
      </c>
      <c r="CE188">
        <f>IF(ISBLANK('Data Entry'!$$188), "", 'Data Entry'!$$188)</f>
      </c>
      <c r="CF188">
        <f>IF(ISBLANK('Data Entry'!$$188), "", 'Data Entry'!$$188)</f>
      </c>
      <c r="CG188">
        <f>IF(ISBLANK('Data Entry'!$$188), "", 'Data Entry'!$$188)</f>
      </c>
      <c r="CH188">
        <f>IF(ISBLANK('Data Entry'!$$188), "", 'Data Entry'!$$188)</f>
      </c>
      <c r="CI188">
        <f>IF(ISBLANK('Data Entry'!$$188), "", 'Data Entry'!$$188)</f>
      </c>
      <c r="CJ188">
        <f>IF(ISBLANK('Data Entry'!$$188), "", 'Data Entry'!$$188)</f>
      </c>
      <c r="CK188">
        <f>IF(ISBLANK('Data Entry'!$$188), "", 'Data Entry'!$$188)</f>
      </c>
      <c r="CL188">
        <f>IF(ISBLANK('Data Entry'!$$188), "", 'Data Entry'!$$188)</f>
      </c>
      <c r="CM188">
        <f>IF(ISBLANK('Data Entry'!$$188), "", 'Data Entry'!$$188)</f>
      </c>
      <c r="CN188">
        <f>IF(ISBLANK('Data Entry'!$$188), "", 'Data Entry'!$$188)</f>
      </c>
      <c r="CO188">
        <f>IF(ISBLANK('Data Entry'!$$188), "", 'Data Entry'!$$188)</f>
      </c>
      <c r="CP188">
        <f>IF(ISBLANK('Data Entry'!$$188), "", 'Data Entry'!$$188)</f>
      </c>
      <c r="CQ188">
        <f>IF(ISBLANK('Data Entry'!$$188), "", 'Data Entry'!$$188)</f>
      </c>
      <c r="CR188">
        <f>IF(ISBLANK('Data Entry'!$ $188), "", 'Data Entry'!$ $188)</f>
      </c>
      <c r="CS188">
        <f>IF(ISBLANK('Data Entry'!$¡$188), "", 'Data Entry'!$¡$188)</f>
      </c>
      <c r="CT188">
        <f>IF(ISBLANK('Data Entry'!$¢$188), "", 'Data Entry'!$¢$188)</f>
      </c>
      <c r="CU188">
        <f>IF(ISBLANK('Data Entry'!$£$188), "", 'Data Entry'!$£$188)</f>
      </c>
      <c r="CV188">
        <f>IF(ISBLANK('Data Entry'!$¤$188), "", 'Data Entry'!$¤$188)</f>
      </c>
      <c r="CW188">
        <f>IF(ISBLANK('Data Entry'!$¥$188), "", 'Data Entry'!$¥$188)</f>
      </c>
      <c r="CX188">
        <f>IF(ISBLANK('Data Entry'!$¦$188), "", 'Data Entry'!$¦$188)</f>
      </c>
      <c r="CY188">
        <f>IF(ISBLANK('Data Entry'!$§$188), "", 'Data Entry'!$§$188)</f>
      </c>
      <c r="CZ188">
        <f>IF(ISBLANK('Data Entry'!$¨$188), "", 'Data Entry'!$¨$188)</f>
      </c>
      <c r="DA188">
        <f>IF(ISBLANK('Data Entry'!$©$188), "", 'Data Entry'!$©$188)</f>
      </c>
      <c r="DB188">
        <f>IF(ISBLANK('Data Entry'!$ª$188), "", 'Data Entry'!$ª$188)</f>
      </c>
      <c r="DC188">
        <f>IF(ISBLANK('Data Entry'!$«$188), "", 'Data Entry'!$«$188)</f>
      </c>
      <c r="DD188">
        <f>IF(ISBLANK('Data Entry'!$¬$188), "", 'Data Entry'!$¬$188)</f>
      </c>
      <c r="DE188">
        <f>IF(ISBLANK('Data Entry'!$­$188), "", 'Data Entry'!$­$188)</f>
      </c>
      <c r="DF188">
        <f>IF(ISBLANK('Data Entry'!$®$188), "", 'Data Entry'!$®$188)</f>
      </c>
      <c r="DG188">
        <f>IF(ISBLANK('Data Entry'!$¯$188), "", 'Data Entry'!$¯$188)</f>
      </c>
      <c r="DH188">
        <f>IF(ISBLANK('Data Entry'!$°$188), "", 'Data Entry'!$°$188)</f>
      </c>
      <c r="DI188">
        <f>IF(ISBLANK('Data Entry'!$±$188), "", 'Data Entry'!$±$188)</f>
      </c>
      <c r="DJ188">
        <f>IF(ISBLANK('Data Entry'!$²$188), "", 'Data Entry'!$²$188)</f>
      </c>
      <c r="DK188">
        <f>IF(ISBLANK('Data Entry'!$³$188), "", 'Data Entry'!$³$188)</f>
      </c>
      <c r="DL188">
        <f>IF(ISBLANK('Data Entry'!$´$188), "", 'Data Entry'!$´$188)</f>
      </c>
      <c r="DM188">
        <f>IF(ISBLANK('Data Entry'!$µ$188), "", 'Data Entry'!$µ$188)</f>
      </c>
      <c r="DN188">
        <f>IF(ISBLANK('Data Entry'!$¶$188), "", 'Data Entry'!$¶$188)</f>
      </c>
      <c r="DO188">
        <f>IF(ISBLANK('Data Entry'!$·$188), "", 'Data Entry'!$·$188)</f>
      </c>
      <c r="DP188">
        <f>IF(ISBLANK('Data Entry'!$¸$188), "", 'Data Entry'!$¸$188)</f>
      </c>
      <c r="DQ188">
        <f>IF(ISBLANK('Data Entry'!$¹$188), "", 'Data Entry'!$¹$188)</f>
      </c>
      <c r="DR188">
        <f>IF(ISBLANK('Data Entry'!$º$188), "", 'Data Entry'!$º$188)</f>
      </c>
      <c r="DS188">
        <f>IF(ISBLANK('Data Entry'!$»$188), "", 'Data Entry'!$»$188)</f>
      </c>
      <c r="DT188">
        <f>IF(ISBLANK('Data Entry'!$¼$188), "", 'Data Entry'!$¼$188)</f>
      </c>
      <c r="DU188">
        <f>IF(ISBLANK('Data Entry'!$½$188), "", 'Data Entry'!$½$188)</f>
      </c>
      <c r="DV188">
        <f>IF(ISBLANK('Data Entry'!$¾$188), "", 'Data Entry'!$¾$188)</f>
      </c>
      <c r="DW188">
        <f>IF(ISBLANK('Data Entry'!$¿$188), "", 'Data Entry'!$¿$188)</f>
      </c>
      <c r="DX188">
        <f>IF(ISBLANK('Data Entry'!$À$188), "", 'Data Entry'!$À$188)</f>
      </c>
      <c r="DY188">
        <f>IF(ISBLANK('Data Entry'!$Á$188), "", 'Data Entry'!$Á$188)</f>
      </c>
      <c r="DZ188">
        <f>IF(ISBLANK('Data Entry'!$Â$188), "", 'Data Entry'!$Â$188)</f>
      </c>
      <c r="EA188">
        <f>IF(ISBLANK('Data Entry'!$Ã$188), "", 'Data Entry'!$Ã$188)</f>
      </c>
      <c r="EB188">
        <f>IF(ISBLANK('Data Entry'!$Ä$188), "", 'Data Entry'!$Ä$188)</f>
      </c>
      <c r="EC188">
        <f>IF(ISBLANK('Data Entry'!$Å$188), "", 'Data Entry'!$Å$188)</f>
      </c>
      <c r="ED188">
        <f>IF(ISBLANK('Data Entry'!$Æ$188), "", 'Data Entry'!$Æ$188)</f>
      </c>
      <c r="EE188">
        <f>IF(ISBLANK('Data Entry'!$Ç$188), "", 'Data Entry'!$Ç$188)</f>
      </c>
      <c r="EF188">
        <f>IF(ISBLANK('Data Entry'!$È$188), "", 'Data Entry'!$È$188)</f>
      </c>
      <c r="EG188">
        <f>IF(ISBLANK('Data Entry'!$É$188), "", 'Data Entry'!$É$188)</f>
      </c>
      <c r="EH188">
        <f>IF(ISBLANK('Data Entry'!$Ê$188), "", 'Data Entry'!$Ê$188)</f>
      </c>
      <c r="EI188">
        <f>IF(ISBLANK('Data Entry'!$Ë$188), "", 'Data Entry'!$Ë$188)</f>
      </c>
      <c r="EJ188">
        <f>IF(ISBLANK('Data Entry'!$Ì$188), "", 'Data Entry'!$Ì$188)</f>
      </c>
      <c r="EK188">
        <f>IF(ISBLANK('Data Entry'!$Í$188), "", 'Data Entry'!$Í$188)</f>
      </c>
      <c r="EL188">
        <f>IF(ISBLANK('Data Entry'!$Î$188), "", 'Data Entry'!$Î$188)</f>
      </c>
      <c r="EM188">
        <f>IF(ISBLANK('Data Entry'!$Ï$188), "", 'Data Entry'!$Ï$188)</f>
      </c>
      <c r="EN188">
        <f>IF(ISBLANK('Data Entry'!$Ð$188), "", 'Data Entry'!$Ð$188)</f>
      </c>
      <c r="EO188">
        <f>IF(ISBLANK('Data Entry'!$Ñ$188), "", 'Data Entry'!$Ñ$188)</f>
      </c>
      <c r="EP188">
        <f>IF(ISBLANK('Data Entry'!$Ò$188), "", 'Data Entry'!$Ò$188)</f>
      </c>
      <c r="EQ188">
        <f>IF(ISBLANK('Data Entry'!$Ó$188), "", 'Data Entry'!$Ó$188)</f>
      </c>
      <c r="ER188">
        <f>IF(ISBLANK('Data Entry'!$Ô$188), "", 'Data Entry'!$Ô$188)</f>
      </c>
      <c r="ES188">
        <f>IF(ISBLANK('Data Entry'!$Õ$188), "", 'Data Entry'!$Õ$188)</f>
      </c>
      <c r="ET188">
        <f>IF(ISBLANK('Data Entry'!$Ö$188), "", 'Data Entry'!$Ö$188)</f>
      </c>
      <c r="EU188">
        <f>IF(ISBLANK('Data Entry'!$×$188), "", 'Data Entry'!$×$188)</f>
      </c>
      <c r="EV188">
        <f>IF(ISBLANK('Data Entry'!$Ø$188), "", 'Data Entry'!$Ø$188)</f>
      </c>
      <c r="EW188">
        <f>IF(ISBLANK('Data Entry'!$Ù$188), "", 'Data Entry'!$Ù$188)</f>
      </c>
      <c r="EX188">
        <f>IF(ISBLANK('Data Entry'!$Ú$188), "", 'Data Entry'!$Ú$188)</f>
      </c>
      <c r="EY188">
        <f>IF(ISBLANK('Data Entry'!$Û$188), "", 'Data Entry'!$Û$188)</f>
      </c>
      <c r="EZ188">
        <f>IF(ISBLANK('Data Entry'!$Ü$188), "", 'Data Entry'!$Ü$188)</f>
      </c>
      <c r="FA188">
        <f>IF(ISBLANK('Data Entry'!$Ý$188), "", 'Data Entry'!$Ý$188)</f>
      </c>
      <c r="FB188">
        <f>IF(ISBLANK('Data Entry'!$Þ$188), "", 'Data Entry'!$Þ$188)</f>
      </c>
      <c r="FC188">
        <f>IF(ISBLANK('Data Entry'!$ß$188), "", 'Data Entry'!$ß$188)</f>
      </c>
      <c r="FD188">
        <f>IF(ISBLANK('Data Entry'!$à$188), "", 'Data Entry'!$à$188)</f>
      </c>
      <c r="FE188">
        <f>IF(ISBLANK('Data Entry'!$á$188), "", 'Data Entry'!$á$188)</f>
      </c>
      <c r="FF188">
        <f>IF(ISBLANK('Data Entry'!$â$188), "", 'Data Entry'!$â$188)</f>
      </c>
      <c r="FG188">
        <f>IF(ISBLANK('Data Entry'!$ã$188), "", 'Data Entry'!$ã$188)</f>
      </c>
      <c r="FH188">
        <f>IF(ISBLANK('Data Entry'!$ä$188), "", 'Data Entry'!$ä$188)</f>
      </c>
      <c r="FI188">
        <f>IF(ISBLANK('Data Entry'!$å$188), "", 'Data Entry'!$å$188)</f>
      </c>
      <c r="FJ188">
        <f>IF(ISBLANK('Data Entry'!$æ$188), "", 'Data Entry'!$æ$188)</f>
      </c>
      <c r="FK188">
        <f>IF(ISBLANK('Data Entry'!$ç$188), "", 'Data Entry'!$ç$188)</f>
      </c>
      <c r="FL188">
        <f>IF(ISBLANK('Data Entry'!$è$188), "", 'Data Entry'!$è$188)</f>
      </c>
      <c r="FM188">
        <f>IF(ISBLANK('Data Entry'!$é$188), "", 'Data Entry'!$é$188)</f>
      </c>
      <c r="FN188">
        <f>IF(ISBLANK('Data Entry'!$ê$188), "", 'Data Entry'!$ê$188)</f>
      </c>
      <c r="FO188">
        <f>IF(ISBLANK('Data Entry'!$ë$188), "", 'Data Entry'!$ë$188)</f>
      </c>
      <c r="FP188">
        <f>IF(ISBLANK('Data Entry'!$ì$188), "", 'Data Entry'!$ì$188)</f>
      </c>
      <c r="FQ188">
        <f>IF(ISBLANK('Data Entry'!$í$188), "", 'Data Entry'!$í$188)</f>
      </c>
      <c r="FR188">
        <f>IF(ISBLANK('Data Entry'!$î$188), "", 'Data Entry'!$î$188)</f>
      </c>
      <c r="FS188">
        <f>IF(ISBLANK('Data Entry'!$ï$188), "", 'Data Entry'!$ï$188)</f>
      </c>
      <c r="FT188">
        <f>IF(ISBLANK('Data Entry'!$ð$188), "", 'Data Entry'!$ð$188)</f>
      </c>
      <c r="FU188">
        <f>IF(ISBLANK('Data Entry'!$ñ$188), "", 'Data Entry'!$ñ$188)</f>
      </c>
      <c r="FV188">
        <f>IF(ISBLANK('Data Entry'!$ò$188), "", 'Data Entry'!$ò$188)</f>
      </c>
      <c r="FW188">
        <f>IF(ISBLANK('Data Entry'!$ó$188), "", 'Data Entry'!$ó$188)</f>
      </c>
      <c r="FX188">
        <f>IF(ISBLANK('Data Entry'!$ô$188), "", 'Data Entry'!$ô$188)</f>
      </c>
      <c r="FY188">
        <f>IF(ISBLANK('Data Entry'!$õ$188), "", 'Data Entry'!$õ$188)</f>
      </c>
      <c r="FZ188">
        <f>IF(ISBLANK('Data Entry'!$ö$188), "", 'Data Entry'!$ö$188)</f>
      </c>
      <c r="GA188">
        <f>IF(ISBLANK('Data Entry'!$÷$188), "", 'Data Entry'!$÷$188)</f>
      </c>
      <c r="GB188">
        <f>IF(ISBLANK('Data Entry'!$ø$188), "", 'Data Entry'!$ø$188)</f>
      </c>
      <c r="GC188">
        <f>IF(ISBLANK('Data Entry'!$ù$188), "", 'Data Entry'!$ù$188)</f>
      </c>
      <c r="GD188">
        <f>IF(ISBLANK('Data Entry'!$ú$188), "", 'Data Entry'!$ú$188)</f>
      </c>
      <c r="GE188">
        <f>IF(ISBLANK('Data Entry'!$û$188), "", 'Data Entry'!$û$188)</f>
      </c>
      <c r="GF188">
        <f>IF(ISBLANK('Data Entry'!$ü$188), "", 'Data Entry'!$ü$188)</f>
      </c>
      <c r="GG188">
        <f>IF(ISBLANK('Data Entry'!$ý$188), "", 'Data Entry'!$ý$188)</f>
      </c>
      <c r="GH188">
        <f>IF(ISBLANK('Data Entry'!$þ$188), "", 'Data Entry'!$þ$188)</f>
      </c>
      <c r="GI188">
        <f>IF(ISBLANK('Data Entry'!$ÿ$188), "", 'Data Entry'!$ÿ$188)</f>
      </c>
      <c r="GJ188">
        <f>IF(ISBLANK('Data Entry'!$Ā$188), "", 'Data Entry'!$Ā$188)</f>
      </c>
      <c r="GK188">
        <f>IF(ISBLANK('Data Entry'!$ā$188), "", 'Data Entry'!$ā$188)</f>
      </c>
      <c r="GL188">
        <f>IF(ISBLANK('Data Entry'!$Ă$188), "", 'Data Entry'!$Ă$188)</f>
      </c>
      <c r="GM188">
        <f>IF(ISBLANK('Data Entry'!$ă$188), "", 'Data Entry'!$ă$188)</f>
      </c>
      <c r="GN188">
        <f>IF(ISBLANK('Data Entry'!$Ą$188), "", 'Data Entry'!$Ą$188)</f>
      </c>
      <c r="GO188">
        <f>IF(ISBLANK('Data Entry'!$ą$188), "", 'Data Entry'!$ą$188)</f>
      </c>
      <c r="GP188">
        <f>IF(ISBLANK('Data Entry'!$Ć$188), "", 'Data Entry'!$Ć$188)</f>
      </c>
      <c r="GQ188">
        <f>IF(ISBLANK('Data Entry'!$ć$188), "", 'Data Entry'!$ć$188)</f>
      </c>
      <c r="GR188">
        <f>IF(ISBLANK('Data Entry'!$Ĉ$188), "", 'Data Entry'!$Ĉ$188)</f>
      </c>
      <c r="GS188">
        <f>IF(ISBLANK('Data Entry'!$ĉ$188), "", 'Data Entry'!$ĉ$188)</f>
      </c>
      <c r="GT188">
        <f>IF(ISBLANK('Data Entry'!$Ċ$188), "", 'Data Entry'!$Ċ$188)</f>
      </c>
      <c r="GU188">
        <f>IF(ISBLANK('Data Entry'!$ċ$188), "", 'Data Entry'!$ċ$188)</f>
      </c>
      <c r="GV188">
        <f>IF(ISBLANK('Data Entry'!$Č$188), "", 'Data Entry'!$Č$188)</f>
      </c>
      <c r="GW188">
        <f>IF(ISBLANK('Data Entry'!$č$188), "", 'Data Entry'!$č$188)</f>
      </c>
      <c r="GX188">
        <f>IF(ISBLANK('Data Entry'!$Ď$188), "", 'Data Entry'!$Ď$188)</f>
      </c>
      <c r="GY188">
        <f>IF(ISBLANK('Data Entry'!$ď$188), "", 'Data Entry'!$ď$188)</f>
      </c>
      <c r="GZ188">
        <f>IF(ISBLANK('Data Entry'!$Đ$188), "", 'Data Entry'!$Đ$188)</f>
      </c>
      <c r="HA188">
        <f>IF(ISBLANK('Data Entry'!$đ$188), "", 'Data Entry'!$đ$188)</f>
      </c>
      <c r="HB188">
        <f>IF(ISBLANK('Data Entry'!$Ē$188), "", 'Data Entry'!$Ē$188)</f>
      </c>
      <c r="HC188">
        <f>IF(ISBLANK('Data Entry'!$ē$188), "", 'Data Entry'!$ē$188)</f>
      </c>
      <c r="HD188">
        <f>IF(ISBLANK('Data Entry'!$Ĕ$188), "", 'Data Entry'!$Ĕ$188)</f>
      </c>
      <c r="HE188">
        <f>IF(ISBLANK('Data Entry'!$ĕ$188), "", 'Data Entry'!$ĕ$188)</f>
      </c>
      <c r="HF188">
        <f>IF(ISBLANK('Data Entry'!$Ė$188), "", 'Data Entry'!$Ė$188)</f>
      </c>
      <c r="HG188">
        <f>IF(ISBLANK('Data Entry'!$ė$188), "", 'Data Entry'!$ė$188)</f>
      </c>
      <c r="HH188">
        <f>IF(ISBLANK('Data Entry'!$Ę$188), "", 'Data Entry'!$Ę$188)</f>
      </c>
      <c r="HI188">
        <f>IF(ISBLANK('Data Entry'!$ę$188), "", 'Data Entry'!$ę$188)</f>
      </c>
      <c r="HJ188">
        <f>IF(ISBLANK('Data Entry'!$Ě$188), "", 'Data Entry'!$Ě$188)</f>
      </c>
      <c r="HK188">
        <f>IF(ISBLANK('Data Entry'!$ě$188), "", 'Data Entry'!$ě$188)</f>
      </c>
      <c r="HL188">
        <f>IF(ISBLANK('Data Entry'!$Ĝ$188), "", 'Data Entry'!$Ĝ$188)</f>
      </c>
      <c r="HM188">
        <f>IF(ISBLANK('Data Entry'!$ĝ$188), "", 'Data Entry'!$ĝ$188)</f>
      </c>
      <c r="HN188">
        <f>IF(ISBLANK('Data Entry'!$Ğ$188), "", 'Data Entry'!$Ğ$188)</f>
      </c>
      <c r="HO188">
        <f>IF(ISBLANK('Data Entry'!$ğ$188), "", 'Data Entry'!$ğ$188)</f>
      </c>
      <c r="HP188">
        <f>IF(ISBLANK('Data Entry'!$Ġ$188), "", 'Data Entry'!$Ġ$188)</f>
      </c>
      <c r="HQ188">
        <f>IF(ISBLANK('Data Entry'!$ġ$188), "", 'Data Entry'!$ġ$188)</f>
      </c>
      <c r="HR188">
        <f>IF(ISBLANK('Data Entry'!$Ģ$188), "", 'Data Entry'!$Ģ$188)</f>
      </c>
      <c r="HS188">
        <f>IF(ISBLANK('Data Entry'!$ģ$188), "", 'Data Entry'!$ģ$188)</f>
      </c>
      <c r="HT188">
        <f>IF(ISBLANK('Data Entry'!$Ĥ$188), "", 'Data Entry'!$Ĥ$188)</f>
      </c>
      <c r="HU188">
        <f>IF(ISBLANK('Data Entry'!$ĥ$188), "", 'Data Entry'!$ĥ$188)</f>
      </c>
      <c r="HV188">
        <f>IF(ISBLANK('Data Entry'!$Ħ$188), "", 'Data Entry'!$Ħ$188)</f>
      </c>
      <c r="HW188">
        <f>IF(ISBLANK('Data Entry'!$ħ$188), "", 'Data Entry'!$ħ$188)</f>
      </c>
      <c r="HX188">
        <f>IF(ISBLANK('Data Entry'!$Ĩ$188), "", 'Data Entry'!$Ĩ$188)</f>
      </c>
      <c r="HY188">
        <f>IF(ISBLANK('Data Entry'!$ĩ$188), "", 'Data Entry'!$ĩ$188)</f>
      </c>
      <c r="HZ188">
        <f>IF(ISBLANK('Data Entry'!$Ī$188), "", 'Data Entry'!$Ī$188)</f>
      </c>
      <c r="IA188">
        <f>IF(ISBLANK('Data Entry'!$ī$188), "", 'Data Entry'!$ī$188)</f>
      </c>
      <c r="IB188">
        <f>IF(ISBLANK('Data Entry'!$Ĭ$188), "", 'Data Entry'!$Ĭ$188)</f>
      </c>
      <c r="IC188">
        <f>IF(ISBLANK('Data Entry'!$ĭ$188), "", 'Data Entry'!$ĭ$188)</f>
      </c>
      <c r="ID188">
        <f>IF(ISBLANK('Data Entry'!$Į$188), "", 'Data Entry'!$Į$188)</f>
      </c>
      <c r="IE188">
        <f>IF(ISBLANK('Data Entry'!$į$188), "", 'Data Entry'!$į$188)</f>
      </c>
      <c r="IF188">
        <f>IF(ISBLANK('Data Entry'!$İ$188), "", 'Data Entry'!$İ$188)</f>
      </c>
      <c r="IG188">
        <f>IF(ISBLANK('Data Entry'!$ı$188), "", 'Data Entry'!$ı$188)</f>
      </c>
      <c r="IH188">
        <f>IF(ISBLANK('Data Entry'!$Ĳ$188), "", 'Data Entry'!$Ĳ$188)</f>
      </c>
      <c r="II188">
        <f>IF(ISBLANK('Data Entry'!$ĳ$188), "", 'Data Entry'!$ĳ$188)</f>
      </c>
      <c r="IJ188">
        <f>IF(ISBLANK('Data Entry'!$Ĵ$188), "", 'Data Entry'!$Ĵ$188)</f>
      </c>
      <c r="IK188">
        <f>IF(ISBLANK('Data Entry'!$ĵ$188), "", 'Data Entry'!$ĵ$188)</f>
      </c>
      <c r="IL188">
        <f>IF(ISBLANK('Data Entry'!$Ķ$188), "", 'Data Entry'!$Ķ$188)</f>
      </c>
      <c r="IM188">
        <f>IF(ISBLANK('Data Entry'!$ķ$188), "", 'Data Entry'!$ķ$188)</f>
      </c>
      <c r="IN188">
        <f>IF(ISBLANK('Data Entry'!$ĸ$188), "", 'Data Entry'!$ĸ$188)</f>
      </c>
      <c r="IO188">
        <f>IF(ISBLANK('Data Entry'!$Ĺ$188), "", 'Data Entry'!$Ĺ$188)</f>
      </c>
      <c r="IP188">
        <f>IF(ISBLANK('Data Entry'!$ĺ$188), "", 'Data Entry'!$ĺ$188)</f>
      </c>
      <c r="IQ188">
        <f>IF(ISBLANK('Data Entry'!$Ļ$188), "", 'Data Entry'!$Ļ$188)</f>
      </c>
      <c r="IR188">
        <f>IF(ISBLANK('Data Entry'!$ļ$188), "", 'Data Entry'!$ļ$188)</f>
      </c>
      <c r="IS188">
        <f>IF(ISBLANK('Data Entry'!$Ľ$188), "", 'Data Entry'!$Ľ$188)</f>
      </c>
      <c r="IT188">
        <f>IF(ISBLANK('Data Entry'!$ľ$188), "", 'Data Entry'!$ľ$188)</f>
      </c>
    </row>
    <row r="189" spans="1:254" x14ac:dyDescent="0.25">
      <c r="A189">
        <f>IF(ISBLANK('Data Entry'!$A$189), "", 'Data Entry'!$A$189)</f>
      </c>
      <c r="B189">
        <f>IF(ISBLANK('Data Entry'!$B$189), "", 'Data Entry'!$B$189)</f>
      </c>
      <c r="C189">
        <f>IF(ISBLANK('Data Entry'!$C$189), "", 'Data Entry'!$C$189)</f>
      </c>
      <c r="D189">
        <f>IF(ISBLANK('Data Entry'!$D$189), "", 'Data Entry'!$D$189)</f>
      </c>
      <c r="E189">
        <f>IF(ISBLANK('Data Entry'!$E$189), "", 'Data Entry'!$E$189)</f>
      </c>
      <c r="F189">
        <f>IF(ISBLANK('Data Entry'!$F$189), "", 'Data Entry'!$F$189)</f>
      </c>
      <c r="G189">
        <f>IF(ISBLANK('Data Entry'!$G$189), "", 'Data Entry'!$G$189)</f>
      </c>
      <c r="H189">
        <f>IF(ISBLANK('Data Entry'!$H$189), "", 'Data Entry'!$H$189)</f>
      </c>
      <c r="I189">
        <f>IF(ISBLANK('Data Entry'!$I$189), "", 'Data Entry'!$I$189)</f>
      </c>
      <c r="J189">
        <f>IF(ISBLANK('Data Entry'!$J$189), "", 'Data Entry'!$J$189)</f>
      </c>
      <c r="K189">
        <f>IF(ISBLANK('Data Entry'!$K$189), "", 'Data Entry'!$K$189)</f>
      </c>
      <c r="L189">
        <f>IF(ISBLANK('Data Entry'!$L$189), "", 'Data Entry'!$L$189)</f>
      </c>
      <c r="M189">
        <f>IF(ISBLANK('Data Entry'!$M$189), "", 'Data Entry'!$M$189)</f>
      </c>
      <c r="N189">
        <f>IF(ISBLANK('Data Entry'!$N$189), "", 'Data Entry'!$N$189)</f>
      </c>
      <c r="O189">
        <f>IF(ISBLANK('Data Entry'!$O$189), "", 'Data Entry'!$O$189)</f>
      </c>
      <c r="P189">
        <f>IF(ISBLANK('Data Entry'!$P$189), "", 'Data Entry'!$P$189)</f>
      </c>
      <c r="Q189">
        <f>IF(ISBLANK('Data Entry'!$Q$189), "", 'Data Entry'!$Q$189)</f>
      </c>
      <c r="R189">
        <f>IF(ISBLANK('Data Entry'!$R$189), "", 'Data Entry'!$R$189)</f>
      </c>
      <c r="S189">
        <f>IF(ISBLANK('Data Entry'!$S$189), "", 'Data Entry'!$S$189)</f>
      </c>
      <c r="T189">
        <f>IF(ISBLANK('Data Entry'!$T$189), "", 'Data Entry'!$T$189)</f>
      </c>
      <c r="U189">
        <f>IF(ISBLANK('Data Entry'!$U$189), "", 'Data Entry'!$U$189)</f>
      </c>
      <c r="V189">
        <f>IF(ISBLANK('Data Entry'!$V$189), "", 'Data Entry'!$V$189)</f>
      </c>
      <c r="W189">
        <f>IF(ISBLANK('Data Entry'!$W$189), "", 'Data Entry'!$W$189)</f>
      </c>
      <c r="X189">
        <f>IF(ISBLANK('Data Entry'!$X$189), "", 'Data Entry'!$X$189)</f>
      </c>
      <c r="Y189">
        <f>IF(ISBLANK('Data Entry'!$Y$189), "", 'Data Entry'!$Y$189)</f>
      </c>
      <c r="Z189">
        <f>IF(ISBLANK('Data Entry'!$Z$189), "", 'Data Entry'!$Z$189)</f>
      </c>
      <c r="AA189">
        <f>IF(ISBLANK('Data Entry'!$[$189), "", 'Data Entry'!$[$189)</f>
      </c>
      <c r="AB189">
        <f>IF(ISBLANK('Data Entry'!$\$189), "", 'Data Entry'!$\$189)</f>
      </c>
      <c r="AC189">
        <f>IF(ISBLANK('Data Entry'!$]$189), "", 'Data Entry'!$]$189)</f>
      </c>
      <c r="AD189">
        <f>IF(ISBLANK('Data Entry'!$^$189), "", 'Data Entry'!$^$189)</f>
      </c>
      <c r="AE189">
        <f>IF(ISBLANK('Data Entry'!$_$189), "", 'Data Entry'!$_$189)</f>
      </c>
      <c r="AF189">
        <f>IF(ISBLANK('Data Entry'!$`$189), "", 'Data Entry'!$`$189)</f>
      </c>
      <c r="AG189">
        <f>IF(ISBLANK('Data Entry'!$a$189), "", 'Data Entry'!$a$189)</f>
      </c>
      <c r="AH189">
        <f>IF(ISBLANK('Data Entry'!$b$189), "", 'Data Entry'!$b$189)</f>
      </c>
      <c r="AI189">
        <f>IF(ISBLANK('Data Entry'!$c$189), "", 'Data Entry'!$c$189)</f>
      </c>
      <c r="AJ189">
        <f>IF(ISBLANK('Data Entry'!$d$189), "", 'Data Entry'!$d$189)</f>
      </c>
      <c r="AK189">
        <f>IF(ISBLANK('Data Entry'!$e$189), "", 'Data Entry'!$e$189)</f>
      </c>
      <c r="AL189">
        <f>IF(ISBLANK('Data Entry'!$f$189), "", 'Data Entry'!$f$189)</f>
      </c>
      <c r="AM189">
        <f>IF(ISBLANK('Data Entry'!$g$189), "", 'Data Entry'!$g$189)</f>
      </c>
      <c r="AN189">
        <f>IF(ISBLANK('Data Entry'!$h$189), "", 'Data Entry'!$h$189)</f>
      </c>
      <c r="AO189">
        <f>IF(ISBLANK('Data Entry'!$i$189), "", 'Data Entry'!$i$189)</f>
      </c>
      <c r="AP189">
        <f>IF(ISBLANK('Data Entry'!$j$189), "", 'Data Entry'!$j$189)</f>
      </c>
      <c r="AQ189">
        <f>IF(ISBLANK('Data Entry'!$k$189), "", 'Data Entry'!$k$189)</f>
      </c>
      <c r="AR189">
        <f>IF(ISBLANK('Data Entry'!$l$189), "", 'Data Entry'!$l$189)</f>
      </c>
      <c r="AS189">
        <f>IF(ISBLANK('Data Entry'!$m$189), "", 'Data Entry'!$m$189)</f>
      </c>
      <c r="AT189">
        <f>IF(ISBLANK('Data Entry'!$n$189), "", 'Data Entry'!$n$189)</f>
      </c>
      <c r="AU189">
        <f>IF(ISBLANK('Data Entry'!$o$189), "", 'Data Entry'!$o$189)</f>
      </c>
      <c r="AV189">
        <f>IF(ISBLANK('Data Entry'!$p$189), "", 'Data Entry'!$p$189)</f>
      </c>
      <c r="AW189">
        <f>IF(ISBLANK('Data Entry'!$q$189), "", 'Data Entry'!$q$189)</f>
      </c>
      <c r="AX189">
        <f>IF(ISBLANK('Data Entry'!$r$189), "", 'Data Entry'!$r$189)</f>
      </c>
      <c r="AY189">
        <f>IF(ISBLANK('Data Entry'!$s$189), "", 'Data Entry'!$s$189)</f>
      </c>
      <c r="AZ189">
        <f>IF(ISBLANK('Data Entry'!$t$189), "", 'Data Entry'!$t$189)</f>
      </c>
      <c r="BA189">
        <f>IF(ISBLANK('Data Entry'!$u$189), "", 'Data Entry'!$u$189)</f>
      </c>
      <c r="BB189">
        <f>IF(ISBLANK('Data Entry'!$v$189), "", 'Data Entry'!$v$189)</f>
      </c>
      <c r="BC189">
        <f>IF(ISBLANK('Data Entry'!$w$189), "", 'Data Entry'!$w$189)</f>
      </c>
      <c r="BD189">
        <f>IF(ISBLANK('Data Entry'!$x$189), "", 'Data Entry'!$x$189)</f>
      </c>
      <c r="BE189">
        <f>IF(ISBLANK('Data Entry'!$y$189), "", 'Data Entry'!$y$189)</f>
      </c>
      <c r="BF189">
        <f>IF(ISBLANK('Data Entry'!$z$189), "", 'Data Entry'!$z$189)</f>
      </c>
      <c r="BG189">
        <f>IF(ISBLANK('Data Entry'!${$189), "", 'Data Entry'!${$189)</f>
      </c>
      <c r="BH189">
        <f>IF(ISBLANK('Data Entry'!$|$189), "", 'Data Entry'!$|$189)</f>
      </c>
      <c r="BI189">
        <f>IF(ISBLANK('Data Entry'!$}$189), "", 'Data Entry'!$}$189)</f>
      </c>
      <c r="BJ189">
        <f>IF(ISBLANK('Data Entry'!$~$189), "", 'Data Entry'!$~$189)</f>
      </c>
      <c r="BK189">
        <f>IF(ISBLANK('Data Entry'!$$189), "", 'Data Entry'!$$189)</f>
      </c>
      <c r="BL189">
        <f>IF(ISBLANK('Data Entry'!$$189), "", 'Data Entry'!$$189)</f>
      </c>
      <c r="BM189">
        <f>IF(ISBLANK('Data Entry'!$$189), "", 'Data Entry'!$$189)</f>
      </c>
      <c r="BN189">
        <f>IF(ISBLANK('Data Entry'!$$189), "", 'Data Entry'!$$189)</f>
      </c>
      <c r="BO189">
        <f>IF(ISBLANK('Data Entry'!$$189), "", 'Data Entry'!$$189)</f>
      </c>
      <c r="BP189">
        <f>IF(ISBLANK('Data Entry'!$$189), "", 'Data Entry'!$$189)</f>
      </c>
      <c r="BQ189">
        <f>IF(ISBLANK('Data Entry'!$$189), "", 'Data Entry'!$$189)</f>
      </c>
      <c r="BR189">
        <f>IF(ISBLANK('Data Entry'!$$189), "", 'Data Entry'!$$189)</f>
      </c>
      <c r="BS189">
        <f>IF(ISBLANK('Data Entry'!$$189), "", 'Data Entry'!$$189)</f>
      </c>
      <c r="BT189">
        <f>IF(ISBLANK('Data Entry'!$$189), "", 'Data Entry'!$$189)</f>
      </c>
      <c r="BU189">
        <f>IF(ISBLANK('Data Entry'!$$189), "", 'Data Entry'!$$189)</f>
      </c>
      <c r="BV189">
        <f>IF(ISBLANK('Data Entry'!$$189), "", 'Data Entry'!$$189)</f>
      </c>
      <c r="BW189">
        <f>IF(ISBLANK('Data Entry'!$$189), "", 'Data Entry'!$$189)</f>
      </c>
      <c r="BX189">
        <f>IF(ISBLANK('Data Entry'!$$189), "", 'Data Entry'!$$189)</f>
      </c>
      <c r="BY189">
        <f>IF(ISBLANK('Data Entry'!$$189), "", 'Data Entry'!$$189)</f>
      </c>
      <c r="BZ189">
        <f>IF(ISBLANK('Data Entry'!$$189), "", 'Data Entry'!$$189)</f>
      </c>
      <c r="CA189">
        <f>IF(ISBLANK('Data Entry'!$$189), "", 'Data Entry'!$$189)</f>
      </c>
      <c r="CB189">
        <f>IF(ISBLANK('Data Entry'!$$189), "", 'Data Entry'!$$189)</f>
      </c>
      <c r="CC189">
        <f>IF(ISBLANK('Data Entry'!$$189), "", 'Data Entry'!$$189)</f>
      </c>
      <c r="CD189">
        <f>IF(ISBLANK('Data Entry'!$$189), "", 'Data Entry'!$$189)</f>
      </c>
      <c r="CE189">
        <f>IF(ISBLANK('Data Entry'!$$189), "", 'Data Entry'!$$189)</f>
      </c>
      <c r="CF189">
        <f>IF(ISBLANK('Data Entry'!$$189), "", 'Data Entry'!$$189)</f>
      </c>
      <c r="CG189">
        <f>IF(ISBLANK('Data Entry'!$$189), "", 'Data Entry'!$$189)</f>
      </c>
      <c r="CH189">
        <f>IF(ISBLANK('Data Entry'!$$189), "", 'Data Entry'!$$189)</f>
      </c>
      <c r="CI189">
        <f>IF(ISBLANK('Data Entry'!$$189), "", 'Data Entry'!$$189)</f>
      </c>
      <c r="CJ189">
        <f>IF(ISBLANK('Data Entry'!$$189), "", 'Data Entry'!$$189)</f>
      </c>
      <c r="CK189">
        <f>IF(ISBLANK('Data Entry'!$$189), "", 'Data Entry'!$$189)</f>
      </c>
      <c r="CL189">
        <f>IF(ISBLANK('Data Entry'!$$189), "", 'Data Entry'!$$189)</f>
      </c>
      <c r="CM189">
        <f>IF(ISBLANK('Data Entry'!$$189), "", 'Data Entry'!$$189)</f>
      </c>
      <c r="CN189">
        <f>IF(ISBLANK('Data Entry'!$$189), "", 'Data Entry'!$$189)</f>
      </c>
      <c r="CO189">
        <f>IF(ISBLANK('Data Entry'!$$189), "", 'Data Entry'!$$189)</f>
      </c>
      <c r="CP189">
        <f>IF(ISBLANK('Data Entry'!$$189), "", 'Data Entry'!$$189)</f>
      </c>
      <c r="CQ189">
        <f>IF(ISBLANK('Data Entry'!$$189), "", 'Data Entry'!$$189)</f>
      </c>
      <c r="CR189">
        <f>IF(ISBLANK('Data Entry'!$ $189), "", 'Data Entry'!$ $189)</f>
      </c>
      <c r="CS189">
        <f>IF(ISBLANK('Data Entry'!$¡$189), "", 'Data Entry'!$¡$189)</f>
      </c>
      <c r="CT189">
        <f>IF(ISBLANK('Data Entry'!$¢$189), "", 'Data Entry'!$¢$189)</f>
      </c>
      <c r="CU189">
        <f>IF(ISBLANK('Data Entry'!$£$189), "", 'Data Entry'!$£$189)</f>
      </c>
      <c r="CV189">
        <f>IF(ISBLANK('Data Entry'!$¤$189), "", 'Data Entry'!$¤$189)</f>
      </c>
      <c r="CW189">
        <f>IF(ISBLANK('Data Entry'!$¥$189), "", 'Data Entry'!$¥$189)</f>
      </c>
      <c r="CX189">
        <f>IF(ISBLANK('Data Entry'!$¦$189), "", 'Data Entry'!$¦$189)</f>
      </c>
      <c r="CY189">
        <f>IF(ISBLANK('Data Entry'!$§$189), "", 'Data Entry'!$§$189)</f>
      </c>
      <c r="CZ189">
        <f>IF(ISBLANK('Data Entry'!$¨$189), "", 'Data Entry'!$¨$189)</f>
      </c>
      <c r="DA189">
        <f>IF(ISBLANK('Data Entry'!$©$189), "", 'Data Entry'!$©$189)</f>
      </c>
      <c r="DB189">
        <f>IF(ISBLANK('Data Entry'!$ª$189), "", 'Data Entry'!$ª$189)</f>
      </c>
      <c r="DC189">
        <f>IF(ISBLANK('Data Entry'!$«$189), "", 'Data Entry'!$«$189)</f>
      </c>
      <c r="DD189">
        <f>IF(ISBLANK('Data Entry'!$¬$189), "", 'Data Entry'!$¬$189)</f>
      </c>
      <c r="DE189">
        <f>IF(ISBLANK('Data Entry'!$­$189), "", 'Data Entry'!$­$189)</f>
      </c>
      <c r="DF189">
        <f>IF(ISBLANK('Data Entry'!$®$189), "", 'Data Entry'!$®$189)</f>
      </c>
      <c r="DG189">
        <f>IF(ISBLANK('Data Entry'!$¯$189), "", 'Data Entry'!$¯$189)</f>
      </c>
      <c r="DH189">
        <f>IF(ISBLANK('Data Entry'!$°$189), "", 'Data Entry'!$°$189)</f>
      </c>
      <c r="DI189">
        <f>IF(ISBLANK('Data Entry'!$±$189), "", 'Data Entry'!$±$189)</f>
      </c>
      <c r="DJ189">
        <f>IF(ISBLANK('Data Entry'!$²$189), "", 'Data Entry'!$²$189)</f>
      </c>
      <c r="DK189">
        <f>IF(ISBLANK('Data Entry'!$³$189), "", 'Data Entry'!$³$189)</f>
      </c>
      <c r="DL189">
        <f>IF(ISBLANK('Data Entry'!$´$189), "", 'Data Entry'!$´$189)</f>
      </c>
      <c r="DM189">
        <f>IF(ISBLANK('Data Entry'!$µ$189), "", 'Data Entry'!$µ$189)</f>
      </c>
      <c r="DN189">
        <f>IF(ISBLANK('Data Entry'!$¶$189), "", 'Data Entry'!$¶$189)</f>
      </c>
      <c r="DO189">
        <f>IF(ISBLANK('Data Entry'!$·$189), "", 'Data Entry'!$·$189)</f>
      </c>
      <c r="DP189">
        <f>IF(ISBLANK('Data Entry'!$¸$189), "", 'Data Entry'!$¸$189)</f>
      </c>
      <c r="DQ189">
        <f>IF(ISBLANK('Data Entry'!$¹$189), "", 'Data Entry'!$¹$189)</f>
      </c>
      <c r="DR189">
        <f>IF(ISBLANK('Data Entry'!$º$189), "", 'Data Entry'!$º$189)</f>
      </c>
      <c r="DS189">
        <f>IF(ISBLANK('Data Entry'!$»$189), "", 'Data Entry'!$»$189)</f>
      </c>
      <c r="DT189">
        <f>IF(ISBLANK('Data Entry'!$¼$189), "", 'Data Entry'!$¼$189)</f>
      </c>
      <c r="DU189">
        <f>IF(ISBLANK('Data Entry'!$½$189), "", 'Data Entry'!$½$189)</f>
      </c>
      <c r="DV189">
        <f>IF(ISBLANK('Data Entry'!$¾$189), "", 'Data Entry'!$¾$189)</f>
      </c>
      <c r="DW189">
        <f>IF(ISBLANK('Data Entry'!$¿$189), "", 'Data Entry'!$¿$189)</f>
      </c>
      <c r="DX189">
        <f>IF(ISBLANK('Data Entry'!$À$189), "", 'Data Entry'!$À$189)</f>
      </c>
      <c r="DY189">
        <f>IF(ISBLANK('Data Entry'!$Á$189), "", 'Data Entry'!$Á$189)</f>
      </c>
      <c r="DZ189">
        <f>IF(ISBLANK('Data Entry'!$Â$189), "", 'Data Entry'!$Â$189)</f>
      </c>
      <c r="EA189">
        <f>IF(ISBLANK('Data Entry'!$Ã$189), "", 'Data Entry'!$Ã$189)</f>
      </c>
      <c r="EB189">
        <f>IF(ISBLANK('Data Entry'!$Ä$189), "", 'Data Entry'!$Ä$189)</f>
      </c>
      <c r="EC189">
        <f>IF(ISBLANK('Data Entry'!$Å$189), "", 'Data Entry'!$Å$189)</f>
      </c>
      <c r="ED189">
        <f>IF(ISBLANK('Data Entry'!$Æ$189), "", 'Data Entry'!$Æ$189)</f>
      </c>
      <c r="EE189">
        <f>IF(ISBLANK('Data Entry'!$Ç$189), "", 'Data Entry'!$Ç$189)</f>
      </c>
      <c r="EF189">
        <f>IF(ISBLANK('Data Entry'!$È$189), "", 'Data Entry'!$È$189)</f>
      </c>
      <c r="EG189">
        <f>IF(ISBLANK('Data Entry'!$É$189), "", 'Data Entry'!$É$189)</f>
      </c>
      <c r="EH189">
        <f>IF(ISBLANK('Data Entry'!$Ê$189), "", 'Data Entry'!$Ê$189)</f>
      </c>
      <c r="EI189">
        <f>IF(ISBLANK('Data Entry'!$Ë$189), "", 'Data Entry'!$Ë$189)</f>
      </c>
      <c r="EJ189">
        <f>IF(ISBLANK('Data Entry'!$Ì$189), "", 'Data Entry'!$Ì$189)</f>
      </c>
      <c r="EK189">
        <f>IF(ISBLANK('Data Entry'!$Í$189), "", 'Data Entry'!$Í$189)</f>
      </c>
      <c r="EL189">
        <f>IF(ISBLANK('Data Entry'!$Î$189), "", 'Data Entry'!$Î$189)</f>
      </c>
      <c r="EM189">
        <f>IF(ISBLANK('Data Entry'!$Ï$189), "", 'Data Entry'!$Ï$189)</f>
      </c>
      <c r="EN189">
        <f>IF(ISBLANK('Data Entry'!$Ð$189), "", 'Data Entry'!$Ð$189)</f>
      </c>
      <c r="EO189">
        <f>IF(ISBLANK('Data Entry'!$Ñ$189), "", 'Data Entry'!$Ñ$189)</f>
      </c>
      <c r="EP189">
        <f>IF(ISBLANK('Data Entry'!$Ò$189), "", 'Data Entry'!$Ò$189)</f>
      </c>
      <c r="EQ189">
        <f>IF(ISBLANK('Data Entry'!$Ó$189), "", 'Data Entry'!$Ó$189)</f>
      </c>
      <c r="ER189">
        <f>IF(ISBLANK('Data Entry'!$Ô$189), "", 'Data Entry'!$Ô$189)</f>
      </c>
      <c r="ES189">
        <f>IF(ISBLANK('Data Entry'!$Õ$189), "", 'Data Entry'!$Õ$189)</f>
      </c>
      <c r="ET189">
        <f>IF(ISBLANK('Data Entry'!$Ö$189), "", 'Data Entry'!$Ö$189)</f>
      </c>
      <c r="EU189">
        <f>IF(ISBLANK('Data Entry'!$×$189), "", 'Data Entry'!$×$189)</f>
      </c>
      <c r="EV189">
        <f>IF(ISBLANK('Data Entry'!$Ø$189), "", 'Data Entry'!$Ø$189)</f>
      </c>
      <c r="EW189">
        <f>IF(ISBLANK('Data Entry'!$Ù$189), "", 'Data Entry'!$Ù$189)</f>
      </c>
      <c r="EX189">
        <f>IF(ISBLANK('Data Entry'!$Ú$189), "", 'Data Entry'!$Ú$189)</f>
      </c>
      <c r="EY189">
        <f>IF(ISBLANK('Data Entry'!$Û$189), "", 'Data Entry'!$Û$189)</f>
      </c>
      <c r="EZ189">
        <f>IF(ISBLANK('Data Entry'!$Ü$189), "", 'Data Entry'!$Ü$189)</f>
      </c>
      <c r="FA189">
        <f>IF(ISBLANK('Data Entry'!$Ý$189), "", 'Data Entry'!$Ý$189)</f>
      </c>
      <c r="FB189">
        <f>IF(ISBLANK('Data Entry'!$Þ$189), "", 'Data Entry'!$Þ$189)</f>
      </c>
      <c r="FC189">
        <f>IF(ISBLANK('Data Entry'!$ß$189), "", 'Data Entry'!$ß$189)</f>
      </c>
      <c r="FD189">
        <f>IF(ISBLANK('Data Entry'!$à$189), "", 'Data Entry'!$à$189)</f>
      </c>
      <c r="FE189">
        <f>IF(ISBLANK('Data Entry'!$á$189), "", 'Data Entry'!$á$189)</f>
      </c>
      <c r="FF189">
        <f>IF(ISBLANK('Data Entry'!$â$189), "", 'Data Entry'!$â$189)</f>
      </c>
      <c r="FG189">
        <f>IF(ISBLANK('Data Entry'!$ã$189), "", 'Data Entry'!$ã$189)</f>
      </c>
      <c r="FH189">
        <f>IF(ISBLANK('Data Entry'!$ä$189), "", 'Data Entry'!$ä$189)</f>
      </c>
      <c r="FI189">
        <f>IF(ISBLANK('Data Entry'!$å$189), "", 'Data Entry'!$å$189)</f>
      </c>
      <c r="FJ189">
        <f>IF(ISBLANK('Data Entry'!$æ$189), "", 'Data Entry'!$æ$189)</f>
      </c>
      <c r="FK189">
        <f>IF(ISBLANK('Data Entry'!$ç$189), "", 'Data Entry'!$ç$189)</f>
      </c>
      <c r="FL189">
        <f>IF(ISBLANK('Data Entry'!$è$189), "", 'Data Entry'!$è$189)</f>
      </c>
      <c r="FM189">
        <f>IF(ISBLANK('Data Entry'!$é$189), "", 'Data Entry'!$é$189)</f>
      </c>
      <c r="FN189">
        <f>IF(ISBLANK('Data Entry'!$ê$189), "", 'Data Entry'!$ê$189)</f>
      </c>
      <c r="FO189">
        <f>IF(ISBLANK('Data Entry'!$ë$189), "", 'Data Entry'!$ë$189)</f>
      </c>
      <c r="FP189">
        <f>IF(ISBLANK('Data Entry'!$ì$189), "", 'Data Entry'!$ì$189)</f>
      </c>
      <c r="FQ189">
        <f>IF(ISBLANK('Data Entry'!$í$189), "", 'Data Entry'!$í$189)</f>
      </c>
      <c r="FR189">
        <f>IF(ISBLANK('Data Entry'!$î$189), "", 'Data Entry'!$î$189)</f>
      </c>
      <c r="FS189">
        <f>IF(ISBLANK('Data Entry'!$ï$189), "", 'Data Entry'!$ï$189)</f>
      </c>
      <c r="FT189">
        <f>IF(ISBLANK('Data Entry'!$ð$189), "", 'Data Entry'!$ð$189)</f>
      </c>
      <c r="FU189">
        <f>IF(ISBLANK('Data Entry'!$ñ$189), "", 'Data Entry'!$ñ$189)</f>
      </c>
      <c r="FV189">
        <f>IF(ISBLANK('Data Entry'!$ò$189), "", 'Data Entry'!$ò$189)</f>
      </c>
      <c r="FW189">
        <f>IF(ISBLANK('Data Entry'!$ó$189), "", 'Data Entry'!$ó$189)</f>
      </c>
      <c r="FX189">
        <f>IF(ISBLANK('Data Entry'!$ô$189), "", 'Data Entry'!$ô$189)</f>
      </c>
      <c r="FY189">
        <f>IF(ISBLANK('Data Entry'!$õ$189), "", 'Data Entry'!$õ$189)</f>
      </c>
      <c r="FZ189">
        <f>IF(ISBLANK('Data Entry'!$ö$189), "", 'Data Entry'!$ö$189)</f>
      </c>
      <c r="GA189">
        <f>IF(ISBLANK('Data Entry'!$÷$189), "", 'Data Entry'!$÷$189)</f>
      </c>
      <c r="GB189">
        <f>IF(ISBLANK('Data Entry'!$ø$189), "", 'Data Entry'!$ø$189)</f>
      </c>
      <c r="GC189">
        <f>IF(ISBLANK('Data Entry'!$ù$189), "", 'Data Entry'!$ù$189)</f>
      </c>
      <c r="GD189">
        <f>IF(ISBLANK('Data Entry'!$ú$189), "", 'Data Entry'!$ú$189)</f>
      </c>
      <c r="GE189">
        <f>IF(ISBLANK('Data Entry'!$û$189), "", 'Data Entry'!$û$189)</f>
      </c>
      <c r="GF189">
        <f>IF(ISBLANK('Data Entry'!$ü$189), "", 'Data Entry'!$ü$189)</f>
      </c>
      <c r="GG189">
        <f>IF(ISBLANK('Data Entry'!$ý$189), "", 'Data Entry'!$ý$189)</f>
      </c>
      <c r="GH189">
        <f>IF(ISBLANK('Data Entry'!$þ$189), "", 'Data Entry'!$þ$189)</f>
      </c>
      <c r="GI189">
        <f>IF(ISBLANK('Data Entry'!$ÿ$189), "", 'Data Entry'!$ÿ$189)</f>
      </c>
      <c r="GJ189">
        <f>IF(ISBLANK('Data Entry'!$Ā$189), "", 'Data Entry'!$Ā$189)</f>
      </c>
      <c r="GK189">
        <f>IF(ISBLANK('Data Entry'!$ā$189), "", 'Data Entry'!$ā$189)</f>
      </c>
      <c r="GL189">
        <f>IF(ISBLANK('Data Entry'!$Ă$189), "", 'Data Entry'!$Ă$189)</f>
      </c>
      <c r="GM189">
        <f>IF(ISBLANK('Data Entry'!$ă$189), "", 'Data Entry'!$ă$189)</f>
      </c>
      <c r="GN189">
        <f>IF(ISBLANK('Data Entry'!$Ą$189), "", 'Data Entry'!$Ą$189)</f>
      </c>
      <c r="GO189">
        <f>IF(ISBLANK('Data Entry'!$ą$189), "", 'Data Entry'!$ą$189)</f>
      </c>
      <c r="GP189">
        <f>IF(ISBLANK('Data Entry'!$Ć$189), "", 'Data Entry'!$Ć$189)</f>
      </c>
      <c r="GQ189">
        <f>IF(ISBLANK('Data Entry'!$ć$189), "", 'Data Entry'!$ć$189)</f>
      </c>
      <c r="GR189">
        <f>IF(ISBLANK('Data Entry'!$Ĉ$189), "", 'Data Entry'!$Ĉ$189)</f>
      </c>
      <c r="GS189">
        <f>IF(ISBLANK('Data Entry'!$ĉ$189), "", 'Data Entry'!$ĉ$189)</f>
      </c>
      <c r="GT189">
        <f>IF(ISBLANK('Data Entry'!$Ċ$189), "", 'Data Entry'!$Ċ$189)</f>
      </c>
      <c r="GU189">
        <f>IF(ISBLANK('Data Entry'!$ċ$189), "", 'Data Entry'!$ċ$189)</f>
      </c>
      <c r="GV189">
        <f>IF(ISBLANK('Data Entry'!$Č$189), "", 'Data Entry'!$Č$189)</f>
      </c>
      <c r="GW189">
        <f>IF(ISBLANK('Data Entry'!$č$189), "", 'Data Entry'!$č$189)</f>
      </c>
      <c r="GX189">
        <f>IF(ISBLANK('Data Entry'!$Ď$189), "", 'Data Entry'!$Ď$189)</f>
      </c>
      <c r="GY189">
        <f>IF(ISBLANK('Data Entry'!$ď$189), "", 'Data Entry'!$ď$189)</f>
      </c>
      <c r="GZ189">
        <f>IF(ISBLANK('Data Entry'!$Đ$189), "", 'Data Entry'!$Đ$189)</f>
      </c>
      <c r="HA189">
        <f>IF(ISBLANK('Data Entry'!$đ$189), "", 'Data Entry'!$đ$189)</f>
      </c>
      <c r="HB189">
        <f>IF(ISBLANK('Data Entry'!$Ē$189), "", 'Data Entry'!$Ē$189)</f>
      </c>
      <c r="HC189">
        <f>IF(ISBLANK('Data Entry'!$ē$189), "", 'Data Entry'!$ē$189)</f>
      </c>
      <c r="HD189">
        <f>IF(ISBLANK('Data Entry'!$Ĕ$189), "", 'Data Entry'!$Ĕ$189)</f>
      </c>
      <c r="HE189">
        <f>IF(ISBLANK('Data Entry'!$ĕ$189), "", 'Data Entry'!$ĕ$189)</f>
      </c>
      <c r="HF189">
        <f>IF(ISBLANK('Data Entry'!$Ė$189), "", 'Data Entry'!$Ė$189)</f>
      </c>
      <c r="HG189">
        <f>IF(ISBLANK('Data Entry'!$ė$189), "", 'Data Entry'!$ė$189)</f>
      </c>
      <c r="HH189">
        <f>IF(ISBLANK('Data Entry'!$Ę$189), "", 'Data Entry'!$Ę$189)</f>
      </c>
      <c r="HI189">
        <f>IF(ISBLANK('Data Entry'!$ę$189), "", 'Data Entry'!$ę$189)</f>
      </c>
      <c r="HJ189">
        <f>IF(ISBLANK('Data Entry'!$Ě$189), "", 'Data Entry'!$Ě$189)</f>
      </c>
      <c r="HK189">
        <f>IF(ISBLANK('Data Entry'!$ě$189), "", 'Data Entry'!$ě$189)</f>
      </c>
      <c r="HL189">
        <f>IF(ISBLANK('Data Entry'!$Ĝ$189), "", 'Data Entry'!$Ĝ$189)</f>
      </c>
      <c r="HM189">
        <f>IF(ISBLANK('Data Entry'!$ĝ$189), "", 'Data Entry'!$ĝ$189)</f>
      </c>
      <c r="HN189">
        <f>IF(ISBLANK('Data Entry'!$Ğ$189), "", 'Data Entry'!$Ğ$189)</f>
      </c>
      <c r="HO189">
        <f>IF(ISBLANK('Data Entry'!$ğ$189), "", 'Data Entry'!$ğ$189)</f>
      </c>
      <c r="HP189">
        <f>IF(ISBLANK('Data Entry'!$Ġ$189), "", 'Data Entry'!$Ġ$189)</f>
      </c>
      <c r="HQ189">
        <f>IF(ISBLANK('Data Entry'!$ġ$189), "", 'Data Entry'!$ġ$189)</f>
      </c>
      <c r="HR189">
        <f>IF(ISBLANK('Data Entry'!$Ģ$189), "", 'Data Entry'!$Ģ$189)</f>
      </c>
      <c r="HS189">
        <f>IF(ISBLANK('Data Entry'!$ģ$189), "", 'Data Entry'!$ģ$189)</f>
      </c>
      <c r="HT189">
        <f>IF(ISBLANK('Data Entry'!$Ĥ$189), "", 'Data Entry'!$Ĥ$189)</f>
      </c>
      <c r="HU189">
        <f>IF(ISBLANK('Data Entry'!$ĥ$189), "", 'Data Entry'!$ĥ$189)</f>
      </c>
      <c r="HV189">
        <f>IF(ISBLANK('Data Entry'!$Ħ$189), "", 'Data Entry'!$Ħ$189)</f>
      </c>
      <c r="HW189">
        <f>IF(ISBLANK('Data Entry'!$ħ$189), "", 'Data Entry'!$ħ$189)</f>
      </c>
      <c r="HX189">
        <f>IF(ISBLANK('Data Entry'!$Ĩ$189), "", 'Data Entry'!$Ĩ$189)</f>
      </c>
      <c r="HY189">
        <f>IF(ISBLANK('Data Entry'!$ĩ$189), "", 'Data Entry'!$ĩ$189)</f>
      </c>
      <c r="HZ189">
        <f>IF(ISBLANK('Data Entry'!$Ī$189), "", 'Data Entry'!$Ī$189)</f>
      </c>
      <c r="IA189">
        <f>IF(ISBLANK('Data Entry'!$ī$189), "", 'Data Entry'!$ī$189)</f>
      </c>
      <c r="IB189">
        <f>IF(ISBLANK('Data Entry'!$Ĭ$189), "", 'Data Entry'!$Ĭ$189)</f>
      </c>
      <c r="IC189">
        <f>IF(ISBLANK('Data Entry'!$ĭ$189), "", 'Data Entry'!$ĭ$189)</f>
      </c>
      <c r="ID189">
        <f>IF(ISBLANK('Data Entry'!$Į$189), "", 'Data Entry'!$Į$189)</f>
      </c>
      <c r="IE189">
        <f>IF(ISBLANK('Data Entry'!$į$189), "", 'Data Entry'!$į$189)</f>
      </c>
      <c r="IF189">
        <f>IF(ISBLANK('Data Entry'!$İ$189), "", 'Data Entry'!$İ$189)</f>
      </c>
      <c r="IG189">
        <f>IF(ISBLANK('Data Entry'!$ı$189), "", 'Data Entry'!$ı$189)</f>
      </c>
      <c r="IH189">
        <f>IF(ISBLANK('Data Entry'!$Ĳ$189), "", 'Data Entry'!$Ĳ$189)</f>
      </c>
      <c r="II189">
        <f>IF(ISBLANK('Data Entry'!$ĳ$189), "", 'Data Entry'!$ĳ$189)</f>
      </c>
      <c r="IJ189">
        <f>IF(ISBLANK('Data Entry'!$Ĵ$189), "", 'Data Entry'!$Ĵ$189)</f>
      </c>
      <c r="IK189">
        <f>IF(ISBLANK('Data Entry'!$ĵ$189), "", 'Data Entry'!$ĵ$189)</f>
      </c>
      <c r="IL189">
        <f>IF(ISBLANK('Data Entry'!$Ķ$189), "", 'Data Entry'!$Ķ$189)</f>
      </c>
      <c r="IM189">
        <f>IF(ISBLANK('Data Entry'!$ķ$189), "", 'Data Entry'!$ķ$189)</f>
      </c>
      <c r="IN189">
        <f>IF(ISBLANK('Data Entry'!$ĸ$189), "", 'Data Entry'!$ĸ$189)</f>
      </c>
      <c r="IO189">
        <f>IF(ISBLANK('Data Entry'!$Ĺ$189), "", 'Data Entry'!$Ĺ$189)</f>
      </c>
      <c r="IP189">
        <f>IF(ISBLANK('Data Entry'!$ĺ$189), "", 'Data Entry'!$ĺ$189)</f>
      </c>
      <c r="IQ189">
        <f>IF(ISBLANK('Data Entry'!$Ļ$189), "", 'Data Entry'!$Ļ$189)</f>
      </c>
      <c r="IR189">
        <f>IF(ISBLANK('Data Entry'!$ļ$189), "", 'Data Entry'!$ļ$189)</f>
      </c>
      <c r="IS189">
        <f>IF(ISBLANK('Data Entry'!$Ľ$189), "", 'Data Entry'!$Ľ$189)</f>
      </c>
      <c r="IT189">
        <f>IF(ISBLANK('Data Entry'!$ľ$189), "", 'Data Entry'!$ľ$189)</f>
      </c>
    </row>
    <row r="190" spans="1:254" x14ac:dyDescent="0.25">
      <c r="A190">
        <f>IF(ISBLANK('Data Entry'!$A$190), "", 'Data Entry'!$A$190)</f>
      </c>
      <c r="B190">
        <f>IF(ISBLANK('Data Entry'!$B$190), "", 'Data Entry'!$B$190)</f>
      </c>
      <c r="C190">
        <f>IF(ISBLANK('Data Entry'!$C$190), "", 'Data Entry'!$C$190)</f>
      </c>
      <c r="D190">
        <f>IF(ISBLANK('Data Entry'!$D$190), "", 'Data Entry'!$D$190)</f>
      </c>
      <c r="E190">
        <f>IF(ISBLANK('Data Entry'!$E$190), "", 'Data Entry'!$E$190)</f>
      </c>
      <c r="F190">
        <f>IF(ISBLANK('Data Entry'!$F$190), "", 'Data Entry'!$F$190)</f>
      </c>
      <c r="G190">
        <f>IF(ISBLANK('Data Entry'!$G$190), "", 'Data Entry'!$G$190)</f>
      </c>
      <c r="H190">
        <f>IF(ISBLANK('Data Entry'!$H$190), "", 'Data Entry'!$H$190)</f>
      </c>
      <c r="I190">
        <f>IF(ISBLANK('Data Entry'!$I$190), "", 'Data Entry'!$I$190)</f>
      </c>
      <c r="J190">
        <f>IF(ISBLANK('Data Entry'!$J$190), "", 'Data Entry'!$J$190)</f>
      </c>
      <c r="K190">
        <f>IF(ISBLANK('Data Entry'!$K$190), "", 'Data Entry'!$K$190)</f>
      </c>
      <c r="L190">
        <f>IF(ISBLANK('Data Entry'!$L$190), "", 'Data Entry'!$L$190)</f>
      </c>
      <c r="M190">
        <f>IF(ISBLANK('Data Entry'!$M$190), "", 'Data Entry'!$M$190)</f>
      </c>
      <c r="N190">
        <f>IF(ISBLANK('Data Entry'!$N$190), "", 'Data Entry'!$N$190)</f>
      </c>
      <c r="O190">
        <f>IF(ISBLANK('Data Entry'!$O$190), "", 'Data Entry'!$O$190)</f>
      </c>
      <c r="P190">
        <f>IF(ISBLANK('Data Entry'!$P$190), "", 'Data Entry'!$P$190)</f>
      </c>
      <c r="Q190">
        <f>IF(ISBLANK('Data Entry'!$Q$190), "", 'Data Entry'!$Q$190)</f>
      </c>
      <c r="R190">
        <f>IF(ISBLANK('Data Entry'!$R$190), "", 'Data Entry'!$R$190)</f>
      </c>
      <c r="S190">
        <f>IF(ISBLANK('Data Entry'!$S$190), "", 'Data Entry'!$S$190)</f>
      </c>
      <c r="T190">
        <f>IF(ISBLANK('Data Entry'!$T$190), "", 'Data Entry'!$T$190)</f>
      </c>
      <c r="U190">
        <f>IF(ISBLANK('Data Entry'!$U$190), "", 'Data Entry'!$U$190)</f>
      </c>
      <c r="V190">
        <f>IF(ISBLANK('Data Entry'!$V$190), "", 'Data Entry'!$V$190)</f>
      </c>
      <c r="W190">
        <f>IF(ISBLANK('Data Entry'!$W$190), "", 'Data Entry'!$W$190)</f>
      </c>
      <c r="X190">
        <f>IF(ISBLANK('Data Entry'!$X$190), "", 'Data Entry'!$X$190)</f>
      </c>
      <c r="Y190">
        <f>IF(ISBLANK('Data Entry'!$Y$190), "", 'Data Entry'!$Y$190)</f>
      </c>
      <c r="Z190">
        <f>IF(ISBLANK('Data Entry'!$Z$190), "", 'Data Entry'!$Z$190)</f>
      </c>
      <c r="AA190">
        <f>IF(ISBLANK('Data Entry'!$[$190), "", 'Data Entry'!$[$190)</f>
      </c>
      <c r="AB190">
        <f>IF(ISBLANK('Data Entry'!$\$190), "", 'Data Entry'!$\$190)</f>
      </c>
      <c r="AC190">
        <f>IF(ISBLANK('Data Entry'!$]$190), "", 'Data Entry'!$]$190)</f>
      </c>
      <c r="AD190">
        <f>IF(ISBLANK('Data Entry'!$^$190), "", 'Data Entry'!$^$190)</f>
      </c>
      <c r="AE190">
        <f>IF(ISBLANK('Data Entry'!$_$190), "", 'Data Entry'!$_$190)</f>
      </c>
      <c r="AF190">
        <f>IF(ISBLANK('Data Entry'!$`$190), "", 'Data Entry'!$`$190)</f>
      </c>
      <c r="AG190">
        <f>IF(ISBLANK('Data Entry'!$a$190), "", 'Data Entry'!$a$190)</f>
      </c>
      <c r="AH190">
        <f>IF(ISBLANK('Data Entry'!$b$190), "", 'Data Entry'!$b$190)</f>
      </c>
      <c r="AI190">
        <f>IF(ISBLANK('Data Entry'!$c$190), "", 'Data Entry'!$c$190)</f>
      </c>
      <c r="AJ190">
        <f>IF(ISBLANK('Data Entry'!$d$190), "", 'Data Entry'!$d$190)</f>
      </c>
      <c r="AK190">
        <f>IF(ISBLANK('Data Entry'!$e$190), "", 'Data Entry'!$e$190)</f>
      </c>
      <c r="AL190">
        <f>IF(ISBLANK('Data Entry'!$f$190), "", 'Data Entry'!$f$190)</f>
      </c>
      <c r="AM190">
        <f>IF(ISBLANK('Data Entry'!$g$190), "", 'Data Entry'!$g$190)</f>
      </c>
      <c r="AN190">
        <f>IF(ISBLANK('Data Entry'!$h$190), "", 'Data Entry'!$h$190)</f>
      </c>
      <c r="AO190">
        <f>IF(ISBLANK('Data Entry'!$i$190), "", 'Data Entry'!$i$190)</f>
      </c>
      <c r="AP190">
        <f>IF(ISBLANK('Data Entry'!$j$190), "", 'Data Entry'!$j$190)</f>
      </c>
      <c r="AQ190">
        <f>IF(ISBLANK('Data Entry'!$k$190), "", 'Data Entry'!$k$190)</f>
      </c>
      <c r="AR190">
        <f>IF(ISBLANK('Data Entry'!$l$190), "", 'Data Entry'!$l$190)</f>
      </c>
      <c r="AS190">
        <f>IF(ISBLANK('Data Entry'!$m$190), "", 'Data Entry'!$m$190)</f>
      </c>
      <c r="AT190">
        <f>IF(ISBLANK('Data Entry'!$n$190), "", 'Data Entry'!$n$190)</f>
      </c>
      <c r="AU190">
        <f>IF(ISBLANK('Data Entry'!$o$190), "", 'Data Entry'!$o$190)</f>
      </c>
      <c r="AV190">
        <f>IF(ISBLANK('Data Entry'!$p$190), "", 'Data Entry'!$p$190)</f>
      </c>
      <c r="AW190">
        <f>IF(ISBLANK('Data Entry'!$q$190), "", 'Data Entry'!$q$190)</f>
      </c>
      <c r="AX190">
        <f>IF(ISBLANK('Data Entry'!$r$190), "", 'Data Entry'!$r$190)</f>
      </c>
      <c r="AY190">
        <f>IF(ISBLANK('Data Entry'!$s$190), "", 'Data Entry'!$s$190)</f>
      </c>
      <c r="AZ190">
        <f>IF(ISBLANK('Data Entry'!$t$190), "", 'Data Entry'!$t$190)</f>
      </c>
      <c r="BA190">
        <f>IF(ISBLANK('Data Entry'!$u$190), "", 'Data Entry'!$u$190)</f>
      </c>
      <c r="BB190">
        <f>IF(ISBLANK('Data Entry'!$v$190), "", 'Data Entry'!$v$190)</f>
      </c>
      <c r="BC190">
        <f>IF(ISBLANK('Data Entry'!$w$190), "", 'Data Entry'!$w$190)</f>
      </c>
      <c r="BD190">
        <f>IF(ISBLANK('Data Entry'!$x$190), "", 'Data Entry'!$x$190)</f>
      </c>
      <c r="BE190">
        <f>IF(ISBLANK('Data Entry'!$y$190), "", 'Data Entry'!$y$190)</f>
      </c>
      <c r="BF190">
        <f>IF(ISBLANK('Data Entry'!$z$190), "", 'Data Entry'!$z$190)</f>
      </c>
      <c r="BG190">
        <f>IF(ISBLANK('Data Entry'!${$190), "", 'Data Entry'!${$190)</f>
      </c>
      <c r="BH190">
        <f>IF(ISBLANK('Data Entry'!$|$190), "", 'Data Entry'!$|$190)</f>
      </c>
      <c r="BI190">
        <f>IF(ISBLANK('Data Entry'!$}$190), "", 'Data Entry'!$}$190)</f>
      </c>
      <c r="BJ190">
        <f>IF(ISBLANK('Data Entry'!$~$190), "", 'Data Entry'!$~$190)</f>
      </c>
      <c r="BK190">
        <f>IF(ISBLANK('Data Entry'!$$190), "", 'Data Entry'!$$190)</f>
      </c>
      <c r="BL190">
        <f>IF(ISBLANK('Data Entry'!$$190), "", 'Data Entry'!$$190)</f>
      </c>
      <c r="BM190">
        <f>IF(ISBLANK('Data Entry'!$$190), "", 'Data Entry'!$$190)</f>
      </c>
      <c r="BN190">
        <f>IF(ISBLANK('Data Entry'!$$190), "", 'Data Entry'!$$190)</f>
      </c>
      <c r="BO190">
        <f>IF(ISBLANK('Data Entry'!$$190), "", 'Data Entry'!$$190)</f>
      </c>
      <c r="BP190">
        <f>IF(ISBLANK('Data Entry'!$$190), "", 'Data Entry'!$$190)</f>
      </c>
      <c r="BQ190">
        <f>IF(ISBLANK('Data Entry'!$$190), "", 'Data Entry'!$$190)</f>
      </c>
      <c r="BR190">
        <f>IF(ISBLANK('Data Entry'!$$190), "", 'Data Entry'!$$190)</f>
      </c>
      <c r="BS190">
        <f>IF(ISBLANK('Data Entry'!$$190), "", 'Data Entry'!$$190)</f>
      </c>
      <c r="BT190">
        <f>IF(ISBLANK('Data Entry'!$$190), "", 'Data Entry'!$$190)</f>
      </c>
      <c r="BU190">
        <f>IF(ISBLANK('Data Entry'!$$190), "", 'Data Entry'!$$190)</f>
      </c>
      <c r="BV190">
        <f>IF(ISBLANK('Data Entry'!$$190), "", 'Data Entry'!$$190)</f>
      </c>
      <c r="BW190">
        <f>IF(ISBLANK('Data Entry'!$$190), "", 'Data Entry'!$$190)</f>
      </c>
      <c r="BX190">
        <f>IF(ISBLANK('Data Entry'!$$190), "", 'Data Entry'!$$190)</f>
      </c>
      <c r="BY190">
        <f>IF(ISBLANK('Data Entry'!$$190), "", 'Data Entry'!$$190)</f>
      </c>
      <c r="BZ190">
        <f>IF(ISBLANK('Data Entry'!$$190), "", 'Data Entry'!$$190)</f>
      </c>
      <c r="CA190">
        <f>IF(ISBLANK('Data Entry'!$$190), "", 'Data Entry'!$$190)</f>
      </c>
      <c r="CB190">
        <f>IF(ISBLANK('Data Entry'!$$190), "", 'Data Entry'!$$190)</f>
      </c>
      <c r="CC190">
        <f>IF(ISBLANK('Data Entry'!$$190), "", 'Data Entry'!$$190)</f>
      </c>
      <c r="CD190">
        <f>IF(ISBLANK('Data Entry'!$$190), "", 'Data Entry'!$$190)</f>
      </c>
      <c r="CE190">
        <f>IF(ISBLANK('Data Entry'!$$190), "", 'Data Entry'!$$190)</f>
      </c>
      <c r="CF190">
        <f>IF(ISBLANK('Data Entry'!$$190), "", 'Data Entry'!$$190)</f>
      </c>
      <c r="CG190">
        <f>IF(ISBLANK('Data Entry'!$$190), "", 'Data Entry'!$$190)</f>
      </c>
      <c r="CH190">
        <f>IF(ISBLANK('Data Entry'!$$190), "", 'Data Entry'!$$190)</f>
      </c>
      <c r="CI190">
        <f>IF(ISBLANK('Data Entry'!$$190), "", 'Data Entry'!$$190)</f>
      </c>
      <c r="CJ190">
        <f>IF(ISBLANK('Data Entry'!$$190), "", 'Data Entry'!$$190)</f>
      </c>
      <c r="CK190">
        <f>IF(ISBLANK('Data Entry'!$$190), "", 'Data Entry'!$$190)</f>
      </c>
      <c r="CL190">
        <f>IF(ISBLANK('Data Entry'!$$190), "", 'Data Entry'!$$190)</f>
      </c>
      <c r="CM190">
        <f>IF(ISBLANK('Data Entry'!$$190), "", 'Data Entry'!$$190)</f>
      </c>
      <c r="CN190">
        <f>IF(ISBLANK('Data Entry'!$$190), "", 'Data Entry'!$$190)</f>
      </c>
      <c r="CO190">
        <f>IF(ISBLANK('Data Entry'!$$190), "", 'Data Entry'!$$190)</f>
      </c>
      <c r="CP190">
        <f>IF(ISBLANK('Data Entry'!$$190), "", 'Data Entry'!$$190)</f>
      </c>
      <c r="CQ190">
        <f>IF(ISBLANK('Data Entry'!$$190), "", 'Data Entry'!$$190)</f>
      </c>
      <c r="CR190">
        <f>IF(ISBLANK('Data Entry'!$ $190), "", 'Data Entry'!$ $190)</f>
      </c>
      <c r="CS190">
        <f>IF(ISBLANK('Data Entry'!$¡$190), "", 'Data Entry'!$¡$190)</f>
      </c>
      <c r="CT190">
        <f>IF(ISBLANK('Data Entry'!$¢$190), "", 'Data Entry'!$¢$190)</f>
      </c>
      <c r="CU190">
        <f>IF(ISBLANK('Data Entry'!$£$190), "", 'Data Entry'!$£$190)</f>
      </c>
      <c r="CV190">
        <f>IF(ISBLANK('Data Entry'!$¤$190), "", 'Data Entry'!$¤$190)</f>
      </c>
      <c r="CW190">
        <f>IF(ISBLANK('Data Entry'!$¥$190), "", 'Data Entry'!$¥$190)</f>
      </c>
      <c r="CX190">
        <f>IF(ISBLANK('Data Entry'!$¦$190), "", 'Data Entry'!$¦$190)</f>
      </c>
      <c r="CY190">
        <f>IF(ISBLANK('Data Entry'!$§$190), "", 'Data Entry'!$§$190)</f>
      </c>
      <c r="CZ190">
        <f>IF(ISBLANK('Data Entry'!$¨$190), "", 'Data Entry'!$¨$190)</f>
      </c>
      <c r="DA190">
        <f>IF(ISBLANK('Data Entry'!$©$190), "", 'Data Entry'!$©$190)</f>
      </c>
      <c r="DB190">
        <f>IF(ISBLANK('Data Entry'!$ª$190), "", 'Data Entry'!$ª$190)</f>
      </c>
      <c r="DC190">
        <f>IF(ISBLANK('Data Entry'!$«$190), "", 'Data Entry'!$«$190)</f>
      </c>
      <c r="DD190">
        <f>IF(ISBLANK('Data Entry'!$¬$190), "", 'Data Entry'!$¬$190)</f>
      </c>
      <c r="DE190">
        <f>IF(ISBLANK('Data Entry'!$­$190), "", 'Data Entry'!$­$190)</f>
      </c>
      <c r="DF190">
        <f>IF(ISBLANK('Data Entry'!$®$190), "", 'Data Entry'!$®$190)</f>
      </c>
      <c r="DG190">
        <f>IF(ISBLANK('Data Entry'!$¯$190), "", 'Data Entry'!$¯$190)</f>
      </c>
      <c r="DH190">
        <f>IF(ISBLANK('Data Entry'!$°$190), "", 'Data Entry'!$°$190)</f>
      </c>
      <c r="DI190">
        <f>IF(ISBLANK('Data Entry'!$±$190), "", 'Data Entry'!$±$190)</f>
      </c>
      <c r="DJ190">
        <f>IF(ISBLANK('Data Entry'!$²$190), "", 'Data Entry'!$²$190)</f>
      </c>
      <c r="DK190">
        <f>IF(ISBLANK('Data Entry'!$³$190), "", 'Data Entry'!$³$190)</f>
      </c>
      <c r="DL190">
        <f>IF(ISBLANK('Data Entry'!$´$190), "", 'Data Entry'!$´$190)</f>
      </c>
      <c r="DM190">
        <f>IF(ISBLANK('Data Entry'!$µ$190), "", 'Data Entry'!$µ$190)</f>
      </c>
      <c r="DN190">
        <f>IF(ISBLANK('Data Entry'!$¶$190), "", 'Data Entry'!$¶$190)</f>
      </c>
      <c r="DO190">
        <f>IF(ISBLANK('Data Entry'!$·$190), "", 'Data Entry'!$·$190)</f>
      </c>
      <c r="DP190">
        <f>IF(ISBLANK('Data Entry'!$¸$190), "", 'Data Entry'!$¸$190)</f>
      </c>
      <c r="DQ190">
        <f>IF(ISBLANK('Data Entry'!$¹$190), "", 'Data Entry'!$¹$190)</f>
      </c>
      <c r="DR190">
        <f>IF(ISBLANK('Data Entry'!$º$190), "", 'Data Entry'!$º$190)</f>
      </c>
      <c r="DS190">
        <f>IF(ISBLANK('Data Entry'!$»$190), "", 'Data Entry'!$»$190)</f>
      </c>
      <c r="DT190">
        <f>IF(ISBLANK('Data Entry'!$¼$190), "", 'Data Entry'!$¼$190)</f>
      </c>
      <c r="DU190">
        <f>IF(ISBLANK('Data Entry'!$½$190), "", 'Data Entry'!$½$190)</f>
      </c>
      <c r="DV190">
        <f>IF(ISBLANK('Data Entry'!$¾$190), "", 'Data Entry'!$¾$190)</f>
      </c>
      <c r="DW190">
        <f>IF(ISBLANK('Data Entry'!$¿$190), "", 'Data Entry'!$¿$190)</f>
      </c>
      <c r="DX190">
        <f>IF(ISBLANK('Data Entry'!$À$190), "", 'Data Entry'!$À$190)</f>
      </c>
      <c r="DY190">
        <f>IF(ISBLANK('Data Entry'!$Á$190), "", 'Data Entry'!$Á$190)</f>
      </c>
      <c r="DZ190">
        <f>IF(ISBLANK('Data Entry'!$Â$190), "", 'Data Entry'!$Â$190)</f>
      </c>
      <c r="EA190">
        <f>IF(ISBLANK('Data Entry'!$Ã$190), "", 'Data Entry'!$Ã$190)</f>
      </c>
      <c r="EB190">
        <f>IF(ISBLANK('Data Entry'!$Ä$190), "", 'Data Entry'!$Ä$190)</f>
      </c>
      <c r="EC190">
        <f>IF(ISBLANK('Data Entry'!$Å$190), "", 'Data Entry'!$Å$190)</f>
      </c>
      <c r="ED190">
        <f>IF(ISBLANK('Data Entry'!$Æ$190), "", 'Data Entry'!$Æ$190)</f>
      </c>
      <c r="EE190">
        <f>IF(ISBLANK('Data Entry'!$Ç$190), "", 'Data Entry'!$Ç$190)</f>
      </c>
      <c r="EF190">
        <f>IF(ISBLANK('Data Entry'!$È$190), "", 'Data Entry'!$È$190)</f>
      </c>
      <c r="EG190">
        <f>IF(ISBLANK('Data Entry'!$É$190), "", 'Data Entry'!$É$190)</f>
      </c>
      <c r="EH190">
        <f>IF(ISBLANK('Data Entry'!$Ê$190), "", 'Data Entry'!$Ê$190)</f>
      </c>
      <c r="EI190">
        <f>IF(ISBLANK('Data Entry'!$Ë$190), "", 'Data Entry'!$Ë$190)</f>
      </c>
      <c r="EJ190">
        <f>IF(ISBLANK('Data Entry'!$Ì$190), "", 'Data Entry'!$Ì$190)</f>
      </c>
      <c r="EK190">
        <f>IF(ISBLANK('Data Entry'!$Í$190), "", 'Data Entry'!$Í$190)</f>
      </c>
      <c r="EL190">
        <f>IF(ISBLANK('Data Entry'!$Î$190), "", 'Data Entry'!$Î$190)</f>
      </c>
      <c r="EM190">
        <f>IF(ISBLANK('Data Entry'!$Ï$190), "", 'Data Entry'!$Ï$190)</f>
      </c>
      <c r="EN190">
        <f>IF(ISBLANK('Data Entry'!$Ð$190), "", 'Data Entry'!$Ð$190)</f>
      </c>
      <c r="EO190">
        <f>IF(ISBLANK('Data Entry'!$Ñ$190), "", 'Data Entry'!$Ñ$190)</f>
      </c>
      <c r="EP190">
        <f>IF(ISBLANK('Data Entry'!$Ò$190), "", 'Data Entry'!$Ò$190)</f>
      </c>
      <c r="EQ190">
        <f>IF(ISBLANK('Data Entry'!$Ó$190), "", 'Data Entry'!$Ó$190)</f>
      </c>
      <c r="ER190">
        <f>IF(ISBLANK('Data Entry'!$Ô$190), "", 'Data Entry'!$Ô$190)</f>
      </c>
      <c r="ES190">
        <f>IF(ISBLANK('Data Entry'!$Õ$190), "", 'Data Entry'!$Õ$190)</f>
      </c>
      <c r="ET190">
        <f>IF(ISBLANK('Data Entry'!$Ö$190), "", 'Data Entry'!$Ö$190)</f>
      </c>
      <c r="EU190">
        <f>IF(ISBLANK('Data Entry'!$×$190), "", 'Data Entry'!$×$190)</f>
      </c>
      <c r="EV190">
        <f>IF(ISBLANK('Data Entry'!$Ø$190), "", 'Data Entry'!$Ø$190)</f>
      </c>
      <c r="EW190">
        <f>IF(ISBLANK('Data Entry'!$Ù$190), "", 'Data Entry'!$Ù$190)</f>
      </c>
      <c r="EX190">
        <f>IF(ISBLANK('Data Entry'!$Ú$190), "", 'Data Entry'!$Ú$190)</f>
      </c>
      <c r="EY190">
        <f>IF(ISBLANK('Data Entry'!$Û$190), "", 'Data Entry'!$Û$190)</f>
      </c>
      <c r="EZ190">
        <f>IF(ISBLANK('Data Entry'!$Ü$190), "", 'Data Entry'!$Ü$190)</f>
      </c>
      <c r="FA190">
        <f>IF(ISBLANK('Data Entry'!$Ý$190), "", 'Data Entry'!$Ý$190)</f>
      </c>
      <c r="FB190">
        <f>IF(ISBLANK('Data Entry'!$Þ$190), "", 'Data Entry'!$Þ$190)</f>
      </c>
      <c r="FC190">
        <f>IF(ISBLANK('Data Entry'!$ß$190), "", 'Data Entry'!$ß$190)</f>
      </c>
      <c r="FD190">
        <f>IF(ISBLANK('Data Entry'!$à$190), "", 'Data Entry'!$à$190)</f>
      </c>
      <c r="FE190">
        <f>IF(ISBLANK('Data Entry'!$á$190), "", 'Data Entry'!$á$190)</f>
      </c>
      <c r="FF190">
        <f>IF(ISBLANK('Data Entry'!$â$190), "", 'Data Entry'!$â$190)</f>
      </c>
      <c r="FG190">
        <f>IF(ISBLANK('Data Entry'!$ã$190), "", 'Data Entry'!$ã$190)</f>
      </c>
      <c r="FH190">
        <f>IF(ISBLANK('Data Entry'!$ä$190), "", 'Data Entry'!$ä$190)</f>
      </c>
      <c r="FI190">
        <f>IF(ISBLANK('Data Entry'!$å$190), "", 'Data Entry'!$å$190)</f>
      </c>
      <c r="FJ190">
        <f>IF(ISBLANK('Data Entry'!$æ$190), "", 'Data Entry'!$æ$190)</f>
      </c>
      <c r="FK190">
        <f>IF(ISBLANK('Data Entry'!$ç$190), "", 'Data Entry'!$ç$190)</f>
      </c>
      <c r="FL190">
        <f>IF(ISBLANK('Data Entry'!$è$190), "", 'Data Entry'!$è$190)</f>
      </c>
      <c r="FM190">
        <f>IF(ISBLANK('Data Entry'!$é$190), "", 'Data Entry'!$é$190)</f>
      </c>
      <c r="FN190">
        <f>IF(ISBLANK('Data Entry'!$ê$190), "", 'Data Entry'!$ê$190)</f>
      </c>
      <c r="FO190">
        <f>IF(ISBLANK('Data Entry'!$ë$190), "", 'Data Entry'!$ë$190)</f>
      </c>
      <c r="FP190">
        <f>IF(ISBLANK('Data Entry'!$ì$190), "", 'Data Entry'!$ì$190)</f>
      </c>
      <c r="FQ190">
        <f>IF(ISBLANK('Data Entry'!$í$190), "", 'Data Entry'!$í$190)</f>
      </c>
      <c r="FR190">
        <f>IF(ISBLANK('Data Entry'!$î$190), "", 'Data Entry'!$î$190)</f>
      </c>
      <c r="FS190">
        <f>IF(ISBLANK('Data Entry'!$ï$190), "", 'Data Entry'!$ï$190)</f>
      </c>
      <c r="FT190">
        <f>IF(ISBLANK('Data Entry'!$ð$190), "", 'Data Entry'!$ð$190)</f>
      </c>
      <c r="FU190">
        <f>IF(ISBLANK('Data Entry'!$ñ$190), "", 'Data Entry'!$ñ$190)</f>
      </c>
      <c r="FV190">
        <f>IF(ISBLANK('Data Entry'!$ò$190), "", 'Data Entry'!$ò$190)</f>
      </c>
      <c r="FW190">
        <f>IF(ISBLANK('Data Entry'!$ó$190), "", 'Data Entry'!$ó$190)</f>
      </c>
      <c r="FX190">
        <f>IF(ISBLANK('Data Entry'!$ô$190), "", 'Data Entry'!$ô$190)</f>
      </c>
      <c r="FY190">
        <f>IF(ISBLANK('Data Entry'!$õ$190), "", 'Data Entry'!$õ$190)</f>
      </c>
      <c r="FZ190">
        <f>IF(ISBLANK('Data Entry'!$ö$190), "", 'Data Entry'!$ö$190)</f>
      </c>
      <c r="GA190">
        <f>IF(ISBLANK('Data Entry'!$÷$190), "", 'Data Entry'!$÷$190)</f>
      </c>
      <c r="GB190">
        <f>IF(ISBLANK('Data Entry'!$ø$190), "", 'Data Entry'!$ø$190)</f>
      </c>
      <c r="GC190">
        <f>IF(ISBLANK('Data Entry'!$ù$190), "", 'Data Entry'!$ù$190)</f>
      </c>
      <c r="GD190">
        <f>IF(ISBLANK('Data Entry'!$ú$190), "", 'Data Entry'!$ú$190)</f>
      </c>
      <c r="GE190">
        <f>IF(ISBLANK('Data Entry'!$û$190), "", 'Data Entry'!$û$190)</f>
      </c>
      <c r="GF190">
        <f>IF(ISBLANK('Data Entry'!$ü$190), "", 'Data Entry'!$ü$190)</f>
      </c>
      <c r="GG190">
        <f>IF(ISBLANK('Data Entry'!$ý$190), "", 'Data Entry'!$ý$190)</f>
      </c>
      <c r="GH190">
        <f>IF(ISBLANK('Data Entry'!$þ$190), "", 'Data Entry'!$þ$190)</f>
      </c>
      <c r="GI190">
        <f>IF(ISBLANK('Data Entry'!$ÿ$190), "", 'Data Entry'!$ÿ$190)</f>
      </c>
      <c r="GJ190">
        <f>IF(ISBLANK('Data Entry'!$Ā$190), "", 'Data Entry'!$Ā$190)</f>
      </c>
      <c r="GK190">
        <f>IF(ISBLANK('Data Entry'!$ā$190), "", 'Data Entry'!$ā$190)</f>
      </c>
      <c r="GL190">
        <f>IF(ISBLANK('Data Entry'!$Ă$190), "", 'Data Entry'!$Ă$190)</f>
      </c>
      <c r="GM190">
        <f>IF(ISBLANK('Data Entry'!$ă$190), "", 'Data Entry'!$ă$190)</f>
      </c>
      <c r="GN190">
        <f>IF(ISBLANK('Data Entry'!$Ą$190), "", 'Data Entry'!$Ą$190)</f>
      </c>
      <c r="GO190">
        <f>IF(ISBLANK('Data Entry'!$ą$190), "", 'Data Entry'!$ą$190)</f>
      </c>
      <c r="GP190">
        <f>IF(ISBLANK('Data Entry'!$Ć$190), "", 'Data Entry'!$Ć$190)</f>
      </c>
      <c r="GQ190">
        <f>IF(ISBLANK('Data Entry'!$ć$190), "", 'Data Entry'!$ć$190)</f>
      </c>
      <c r="GR190">
        <f>IF(ISBLANK('Data Entry'!$Ĉ$190), "", 'Data Entry'!$Ĉ$190)</f>
      </c>
      <c r="GS190">
        <f>IF(ISBLANK('Data Entry'!$ĉ$190), "", 'Data Entry'!$ĉ$190)</f>
      </c>
      <c r="GT190">
        <f>IF(ISBLANK('Data Entry'!$Ċ$190), "", 'Data Entry'!$Ċ$190)</f>
      </c>
      <c r="GU190">
        <f>IF(ISBLANK('Data Entry'!$ċ$190), "", 'Data Entry'!$ċ$190)</f>
      </c>
      <c r="GV190">
        <f>IF(ISBLANK('Data Entry'!$Č$190), "", 'Data Entry'!$Č$190)</f>
      </c>
      <c r="GW190">
        <f>IF(ISBLANK('Data Entry'!$č$190), "", 'Data Entry'!$č$190)</f>
      </c>
      <c r="GX190">
        <f>IF(ISBLANK('Data Entry'!$Ď$190), "", 'Data Entry'!$Ď$190)</f>
      </c>
      <c r="GY190">
        <f>IF(ISBLANK('Data Entry'!$ď$190), "", 'Data Entry'!$ď$190)</f>
      </c>
      <c r="GZ190">
        <f>IF(ISBLANK('Data Entry'!$Đ$190), "", 'Data Entry'!$Đ$190)</f>
      </c>
      <c r="HA190">
        <f>IF(ISBLANK('Data Entry'!$đ$190), "", 'Data Entry'!$đ$190)</f>
      </c>
      <c r="HB190">
        <f>IF(ISBLANK('Data Entry'!$Ē$190), "", 'Data Entry'!$Ē$190)</f>
      </c>
      <c r="HC190">
        <f>IF(ISBLANK('Data Entry'!$ē$190), "", 'Data Entry'!$ē$190)</f>
      </c>
      <c r="HD190">
        <f>IF(ISBLANK('Data Entry'!$Ĕ$190), "", 'Data Entry'!$Ĕ$190)</f>
      </c>
      <c r="HE190">
        <f>IF(ISBLANK('Data Entry'!$ĕ$190), "", 'Data Entry'!$ĕ$190)</f>
      </c>
      <c r="HF190">
        <f>IF(ISBLANK('Data Entry'!$Ė$190), "", 'Data Entry'!$Ė$190)</f>
      </c>
      <c r="HG190">
        <f>IF(ISBLANK('Data Entry'!$ė$190), "", 'Data Entry'!$ė$190)</f>
      </c>
      <c r="HH190">
        <f>IF(ISBLANK('Data Entry'!$Ę$190), "", 'Data Entry'!$Ę$190)</f>
      </c>
      <c r="HI190">
        <f>IF(ISBLANK('Data Entry'!$ę$190), "", 'Data Entry'!$ę$190)</f>
      </c>
      <c r="HJ190">
        <f>IF(ISBLANK('Data Entry'!$Ě$190), "", 'Data Entry'!$Ě$190)</f>
      </c>
      <c r="HK190">
        <f>IF(ISBLANK('Data Entry'!$ě$190), "", 'Data Entry'!$ě$190)</f>
      </c>
      <c r="HL190">
        <f>IF(ISBLANK('Data Entry'!$Ĝ$190), "", 'Data Entry'!$Ĝ$190)</f>
      </c>
      <c r="HM190">
        <f>IF(ISBLANK('Data Entry'!$ĝ$190), "", 'Data Entry'!$ĝ$190)</f>
      </c>
      <c r="HN190">
        <f>IF(ISBLANK('Data Entry'!$Ğ$190), "", 'Data Entry'!$Ğ$190)</f>
      </c>
      <c r="HO190">
        <f>IF(ISBLANK('Data Entry'!$ğ$190), "", 'Data Entry'!$ğ$190)</f>
      </c>
      <c r="HP190">
        <f>IF(ISBLANK('Data Entry'!$Ġ$190), "", 'Data Entry'!$Ġ$190)</f>
      </c>
      <c r="HQ190">
        <f>IF(ISBLANK('Data Entry'!$ġ$190), "", 'Data Entry'!$ġ$190)</f>
      </c>
      <c r="HR190">
        <f>IF(ISBLANK('Data Entry'!$Ģ$190), "", 'Data Entry'!$Ģ$190)</f>
      </c>
      <c r="HS190">
        <f>IF(ISBLANK('Data Entry'!$ģ$190), "", 'Data Entry'!$ģ$190)</f>
      </c>
      <c r="HT190">
        <f>IF(ISBLANK('Data Entry'!$Ĥ$190), "", 'Data Entry'!$Ĥ$190)</f>
      </c>
      <c r="HU190">
        <f>IF(ISBLANK('Data Entry'!$ĥ$190), "", 'Data Entry'!$ĥ$190)</f>
      </c>
      <c r="HV190">
        <f>IF(ISBLANK('Data Entry'!$Ħ$190), "", 'Data Entry'!$Ħ$190)</f>
      </c>
      <c r="HW190">
        <f>IF(ISBLANK('Data Entry'!$ħ$190), "", 'Data Entry'!$ħ$190)</f>
      </c>
      <c r="HX190">
        <f>IF(ISBLANK('Data Entry'!$Ĩ$190), "", 'Data Entry'!$Ĩ$190)</f>
      </c>
      <c r="HY190">
        <f>IF(ISBLANK('Data Entry'!$ĩ$190), "", 'Data Entry'!$ĩ$190)</f>
      </c>
      <c r="HZ190">
        <f>IF(ISBLANK('Data Entry'!$Ī$190), "", 'Data Entry'!$Ī$190)</f>
      </c>
      <c r="IA190">
        <f>IF(ISBLANK('Data Entry'!$ī$190), "", 'Data Entry'!$ī$190)</f>
      </c>
      <c r="IB190">
        <f>IF(ISBLANK('Data Entry'!$Ĭ$190), "", 'Data Entry'!$Ĭ$190)</f>
      </c>
      <c r="IC190">
        <f>IF(ISBLANK('Data Entry'!$ĭ$190), "", 'Data Entry'!$ĭ$190)</f>
      </c>
      <c r="ID190">
        <f>IF(ISBLANK('Data Entry'!$Į$190), "", 'Data Entry'!$Į$190)</f>
      </c>
      <c r="IE190">
        <f>IF(ISBLANK('Data Entry'!$į$190), "", 'Data Entry'!$į$190)</f>
      </c>
      <c r="IF190">
        <f>IF(ISBLANK('Data Entry'!$İ$190), "", 'Data Entry'!$İ$190)</f>
      </c>
      <c r="IG190">
        <f>IF(ISBLANK('Data Entry'!$ı$190), "", 'Data Entry'!$ı$190)</f>
      </c>
      <c r="IH190">
        <f>IF(ISBLANK('Data Entry'!$Ĳ$190), "", 'Data Entry'!$Ĳ$190)</f>
      </c>
      <c r="II190">
        <f>IF(ISBLANK('Data Entry'!$ĳ$190), "", 'Data Entry'!$ĳ$190)</f>
      </c>
      <c r="IJ190">
        <f>IF(ISBLANK('Data Entry'!$Ĵ$190), "", 'Data Entry'!$Ĵ$190)</f>
      </c>
      <c r="IK190">
        <f>IF(ISBLANK('Data Entry'!$ĵ$190), "", 'Data Entry'!$ĵ$190)</f>
      </c>
      <c r="IL190">
        <f>IF(ISBLANK('Data Entry'!$Ķ$190), "", 'Data Entry'!$Ķ$190)</f>
      </c>
      <c r="IM190">
        <f>IF(ISBLANK('Data Entry'!$ķ$190), "", 'Data Entry'!$ķ$190)</f>
      </c>
      <c r="IN190">
        <f>IF(ISBLANK('Data Entry'!$ĸ$190), "", 'Data Entry'!$ĸ$190)</f>
      </c>
      <c r="IO190">
        <f>IF(ISBLANK('Data Entry'!$Ĺ$190), "", 'Data Entry'!$Ĺ$190)</f>
      </c>
      <c r="IP190">
        <f>IF(ISBLANK('Data Entry'!$ĺ$190), "", 'Data Entry'!$ĺ$190)</f>
      </c>
      <c r="IQ190">
        <f>IF(ISBLANK('Data Entry'!$Ļ$190), "", 'Data Entry'!$Ļ$190)</f>
      </c>
      <c r="IR190">
        <f>IF(ISBLANK('Data Entry'!$ļ$190), "", 'Data Entry'!$ļ$190)</f>
      </c>
      <c r="IS190">
        <f>IF(ISBLANK('Data Entry'!$Ľ$190), "", 'Data Entry'!$Ľ$190)</f>
      </c>
      <c r="IT190">
        <f>IF(ISBLANK('Data Entry'!$ľ$190), "", 'Data Entry'!$ľ$190)</f>
      </c>
    </row>
    <row r="191" spans="1:254" x14ac:dyDescent="0.25">
      <c r="A191">
        <f>IF(ISBLANK('Data Entry'!$A$191), "", 'Data Entry'!$A$191)</f>
      </c>
      <c r="B191">
        <f>IF(ISBLANK('Data Entry'!$B$191), "", 'Data Entry'!$B$191)</f>
      </c>
      <c r="C191">
        <f>IF(ISBLANK('Data Entry'!$C$191), "", 'Data Entry'!$C$191)</f>
      </c>
      <c r="D191">
        <f>IF(ISBLANK('Data Entry'!$D$191), "", 'Data Entry'!$D$191)</f>
      </c>
      <c r="E191">
        <f>IF(ISBLANK('Data Entry'!$E$191), "", 'Data Entry'!$E$191)</f>
      </c>
      <c r="F191">
        <f>IF(ISBLANK('Data Entry'!$F$191), "", 'Data Entry'!$F$191)</f>
      </c>
      <c r="G191">
        <f>IF(ISBLANK('Data Entry'!$G$191), "", 'Data Entry'!$G$191)</f>
      </c>
      <c r="H191">
        <f>IF(ISBLANK('Data Entry'!$H$191), "", 'Data Entry'!$H$191)</f>
      </c>
      <c r="I191">
        <f>IF(ISBLANK('Data Entry'!$I$191), "", 'Data Entry'!$I$191)</f>
      </c>
      <c r="J191">
        <f>IF(ISBLANK('Data Entry'!$J$191), "", 'Data Entry'!$J$191)</f>
      </c>
      <c r="K191">
        <f>IF(ISBLANK('Data Entry'!$K$191), "", 'Data Entry'!$K$191)</f>
      </c>
      <c r="L191">
        <f>IF(ISBLANK('Data Entry'!$L$191), "", 'Data Entry'!$L$191)</f>
      </c>
      <c r="M191">
        <f>IF(ISBLANK('Data Entry'!$M$191), "", 'Data Entry'!$M$191)</f>
      </c>
      <c r="N191">
        <f>IF(ISBLANK('Data Entry'!$N$191), "", 'Data Entry'!$N$191)</f>
      </c>
      <c r="O191">
        <f>IF(ISBLANK('Data Entry'!$O$191), "", 'Data Entry'!$O$191)</f>
      </c>
      <c r="P191">
        <f>IF(ISBLANK('Data Entry'!$P$191), "", 'Data Entry'!$P$191)</f>
      </c>
      <c r="Q191">
        <f>IF(ISBLANK('Data Entry'!$Q$191), "", 'Data Entry'!$Q$191)</f>
      </c>
      <c r="R191">
        <f>IF(ISBLANK('Data Entry'!$R$191), "", 'Data Entry'!$R$191)</f>
      </c>
      <c r="S191">
        <f>IF(ISBLANK('Data Entry'!$S$191), "", 'Data Entry'!$S$191)</f>
      </c>
      <c r="T191">
        <f>IF(ISBLANK('Data Entry'!$T$191), "", 'Data Entry'!$T$191)</f>
      </c>
      <c r="U191">
        <f>IF(ISBLANK('Data Entry'!$U$191), "", 'Data Entry'!$U$191)</f>
      </c>
      <c r="V191">
        <f>IF(ISBLANK('Data Entry'!$V$191), "", 'Data Entry'!$V$191)</f>
      </c>
      <c r="W191">
        <f>IF(ISBLANK('Data Entry'!$W$191), "", 'Data Entry'!$W$191)</f>
      </c>
      <c r="X191">
        <f>IF(ISBLANK('Data Entry'!$X$191), "", 'Data Entry'!$X$191)</f>
      </c>
      <c r="Y191">
        <f>IF(ISBLANK('Data Entry'!$Y$191), "", 'Data Entry'!$Y$191)</f>
      </c>
      <c r="Z191">
        <f>IF(ISBLANK('Data Entry'!$Z$191), "", 'Data Entry'!$Z$191)</f>
      </c>
      <c r="AA191">
        <f>IF(ISBLANK('Data Entry'!$[$191), "", 'Data Entry'!$[$191)</f>
      </c>
      <c r="AB191">
        <f>IF(ISBLANK('Data Entry'!$\$191), "", 'Data Entry'!$\$191)</f>
      </c>
      <c r="AC191">
        <f>IF(ISBLANK('Data Entry'!$]$191), "", 'Data Entry'!$]$191)</f>
      </c>
      <c r="AD191">
        <f>IF(ISBLANK('Data Entry'!$^$191), "", 'Data Entry'!$^$191)</f>
      </c>
      <c r="AE191">
        <f>IF(ISBLANK('Data Entry'!$_$191), "", 'Data Entry'!$_$191)</f>
      </c>
      <c r="AF191">
        <f>IF(ISBLANK('Data Entry'!$`$191), "", 'Data Entry'!$`$191)</f>
      </c>
      <c r="AG191">
        <f>IF(ISBLANK('Data Entry'!$a$191), "", 'Data Entry'!$a$191)</f>
      </c>
      <c r="AH191">
        <f>IF(ISBLANK('Data Entry'!$b$191), "", 'Data Entry'!$b$191)</f>
      </c>
      <c r="AI191">
        <f>IF(ISBLANK('Data Entry'!$c$191), "", 'Data Entry'!$c$191)</f>
      </c>
      <c r="AJ191">
        <f>IF(ISBLANK('Data Entry'!$d$191), "", 'Data Entry'!$d$191)</f>
      </c>
      <c r="AK191">
        <f>IF(ISBLANK('Data Entry'!$e$191), "", 'Data Entry'!$e$191)</f>
      </c>
      <c r="AL191">
        <f>IF(ISBLANK('Data Entry'!$f$191), "", 'Data Entry'!$f$191)</f>
      </c>
      <c r="AM191">
        <f>IF(ISBLANK('Data Entry'!$g$191), "", 'Data Entry'!$g$191)</f>
      </c>
      <c r="AN191">
        <f>IF(ISBLANK('Data Entry'!$h$191), "", 'Data Entry'!$h$191)</f>
      </c>
      <c r="AO191">
        <f>IF(ISBLANK('Data Entry'!$i$191), "", 'Data Entry'!$i$191)</f>
      </c>
      <c r="AP191">
        <f>IF(ISBLANK('Data Entry'!$j$191), "", 'Data Entry'!$j$191)</f>
      </c>
      <c r="AQ191">
        <f>IF(ISBLANK('Data Entry'!$k$191), "", 'Data Entry'!$k$191)</f>
      </c>
      <c r="AR191">
        <f>IF(ISBLANK('Data Entry'!$l$191), "", 'Data Entry'!$l$191)</f>
      </c>
      <c r="AS191">
        <f>IF(ISBLANK('Data Entry'!$m$191), "", 'Data Entry'!$m$191)</f>
      </c>
      <c r="AT191">
        <f>IF(ISBLANK('Data Entry'!$n$191), "", 'Data Entry'!$n$191)</f>
      </c>
      <c r="AU191">
        <f>IF(ISBLANK('Data Entry'!$o$191), "", 'Data Entry'!$o$191)</f>
      </c>
      <c r="AV191">
        <f>IF(ISBLANK('Data Entry'!$p$191), "", 'Data Entry'!$p$191)</f>
      </c>
      <c r="AW191">
        <f>IF(ISBLANK('Data Entry'!$q$191), "", 'Data Entry'!$q$191)</f>
      </c>
      <c r="AX191">
        <f>IF(ISBLANK('Data Entry'!$r$191), "", 'Data Entry'!$r$191)</f>
      </c>
      <c r="AY191">
        <f>IF(ISBLANK('Data Entry'!$s$191), "", 'Data Entry'!$s$191)</f>
      </c>
      <c r="AZ191">
        <f>IF(ISBLANK('Data Entry'!$t$191), "", 'Data Entry'!$t$191)</f>
      </c>
      <c r="BA191">
        <f>IF(ISBLANK('Data Entry'!$u$191), "", 'Data Entry'!$u$191)</f>
      </c>
      <c r="BB191">
        <f>IF(ISBLANK('Data Entry'!$v$191), "", 'Data Entry'!$v$191)</f>
      </c>
      <c r="BC191">
        <f>IF(ISBLANK('Data Entry'!$w$191), "", 'Data Entry'!$w$191)</f>
      </c>
      <c r="BD191">
        <f>IF(ISBLANK('Data Entry'!$x$191), "", 'Data Entry'!$x$191)</f>
      </c>
      <c r="BE191">
        <f>IF(ISBLANK('Data Entry'!$y$191), "", 'Data Entry'!$y$191)</f>
      </c>
      <c r="BF191">
        <f>IF(ISBLANK('Data Entry'!$z$191), "", 'Data Entry'!$z$191)</f>
      </c>
      <c r="BG191">
        <f>IF(ISBLANK('Data Entry'!${$191), "", 'Data Entry'!${$191)</f>
      </c>
      <c r="BH191">
        <f>IF(ISBLANK('Data Entry'!$|$191), "", 'Data Entry'!$|$191)</f>
      </c>
      <c r="BI191">
        <f>IF(ISBLANK('Data Entry'!$}$191), "", 'Data Entry'!$}$191)</f>
      </c>
      <c r="BJ191">
        <f>IF(ISBLANK('Data Entry'!$~$191), "", 'Data Entry'!$~$191)</f>
      </c>
      <c r="BK191">
        <f>IF(ISBLANK('Data Entry'!$$191), "", 'Data Entry'!$$191)</f>
      </c>
      <c r="BL191">
        <f>IF(ISBLANK('Data Entry'!$$191), "", 'Data Entry'!$$191)</f>
      </c>
      <c r="BM191">
        <f>IF(ISBLANK('Data Entry'!$$191), "", 'Data Entry'!$$191)</f>
      </c>
      <c r="BN191">
        <f>IF(ISBLANK('Data Entry'!$$191), "", 'Data Entry'!$$191)</f>
      </c>
      <c r="BO191">
        <f>IF(ISBLANK('Data Entry'!$$191), "", 'Data Entry'!$$191)</f>
      </c>
      <c r="BP191">
        <f>IF(ISBLANK('Data Entry'!$$191), "", 'Data Entry'!$$191)</f>
      </c>
      <c r="BQ191">
        <f>IF(ISBLANK('Data Entry'!$$191), "", 'Data Entry'!$$191)</f>
      </c>
      <c r="BR191">
        <f>IF(ISBLANK('Data Entry'!$$191), "", 'Data Entry'!$$191)</f>
      </c>
      <c r="BS191">
        <f>IF(ISBLANK('Data Entry'!$$191), "", 'Data Entry'!$$191)</f>
      </c>
      <c r="BT191">
        <f>IF(ISBLANK('Data Entry'!$$191), "", 'Data Entry'!$$191)</f>
      </c>
      <c r="BU191">
        <f>IF(ISBLANK('Data Entry'!$$191), "", 'Data Entry'!$$191)</f>
      </c>
      <c r="BV191">
        <f>IF(ISBLANK('Data Entry'!$$191), "", 'Data Entry'!$$191)</f>
      </c>
      <c r="BW191">
        <f>IF(ISBLANK('Data Entry'!$$191), "", 'Data Entry'!$$191)</f>
      </c>
      <c r="BX191">
        <f>IF(ISBLANK('Data Entry'!$$191), "", 'Data Entry'!$$191)</f>
      </c>
      <c r="BY191">
        <f>IF(ISBLANK('Data Entry'!$$191), "", 'Data Entry'!$$191)</f>
      </c>
      <c r="BZ191">
        <f>IF(ISBLANK('Data Entry'!$$191), "", 'Data Entry'!$$191)</f>
      </c>
      <c r="CA191">
        <f>IF(ISBLANK('Data Entry'!$$191), "", 'Data Entry'!$$191)</f>
      </c>
      <c r="CB191">
        <f>IF(ISBLANK('Data Entry'!$$191), "", 'Data Entry'!$$191)</f>
      </c>
      <c r="CC191">
        <f>IF(ISBLANK('Data Entry'!$$191), "", 'Data Entry'!$$191)</f>
      </c>
      <c r="CD191">
        <f>IF(ISBLANK('Data Entry'!$$191), "", 'Data Entry'!$$191)</f>
      </c>
      <c r="CE191">
        <f>IF(ISBLANK('Data Entry'!$$191), "", 'Data Entry'!$$191)</f>
      </c>
      <c r="CF191">
        <f>IF(ISBLANK('Data Entry'!$$191), "", 'Data Entry'!$$191)</f>
      </c>
      <c r="CG191">
        <f>IF(ISBLANK('Data Entry'!$$191), "", 'Data Entry'!$$191)</f>
      </c>
      <c r="CH191">
        <f>IF(ISBLANK('Data Entry'!$$191), "", 'Data Entry'!$$191)</f>
      </c>
      <c r="CI191">
        <f>IF(ISBLANK('Data Entry'!$$191), "", 'Data Entry'!$$191)</f>
      </c>
      <c r="CJ191">
        <f>IF(ISBLANK('Data Entry'!$$191), "", 'Data Entry'!$$191)</f>
      </c>
      <c r="CK191">
        <f>IF(ISBLANK('Data Entry'!$$191), "", 'Data Entry'!$$191)</f>
      </c>
      <c r="CL191">
        <f>IF(ISBLANK('Data Entry'!$$191), "", 'Data Entry'!$$191)</f>
      </c>
      <c r="CM191">
        <f>IF(ISBLANK('Data Entry'!$$191), "", 'Data Entry'!$$191)</f>
      </c>
      <c r="CN191">
        <f>IF(ISBLANK('Data Entry'!$$191), "", 'Data Entry'!$$191)</f>
      </c>
      <c r="CO191">
        <f>IF(ISBLANK('Data Entry'!$$191), "", 'Data Entry'!$$191)</f>
      </c>
      <c r="CP191">
        <f>IF(ISBLANK('Data Entry'!$$191), "", 'Data Entry'!$$191)</f>
      </c>
      <c r="CQ191">
        <f>IF(ISBLANK('Data Entry'!$$191), "", 'Data Entry'!$$191)</f>
      </c>
      <c r="CR191">
        <f>IF(ISBLANK('Data Entry'!$ $191), "", 'Data Entry'!$ $191)</f>
      </c>
      <c r="CS191">
        <f>IF(ISBLANK('Data Entry'!$¡$191), "", 'Data Entry'!$¡$191)</f>
      </c>
      <c r="CT191">
        <f>IF(ISBLANK('Data Entry'!$¢$191), "", 'Data Entry'!$¢$191)</f>
      </c>
      <c r="CU191">
        <f>IF(ISBLANK('Data Entry'!$£$191), "", 'Data Entry'!$£$191)</f>
      </c>
      <c r="CV191">
        <f>IF(ISBLANK('Data Entry'!$¤$191), "", 'Data Entry'!$¤$191)</f>
      </c>
      <c r="CW191">
        <f>IF(ISBLANK('Data Entry'!$¥$191), "", 'Data Entry'!$¥$191)</f>
      </c>
      <c r="CX191">
        <f>IF(ISBLANK('Data Entry'!$¦$191), "", 'Data Entry'!$¦$191)</f>
      </c>
      <c r="CY191">
        <f>IF(ISBLANK('Data Entry'!$§$191), "", 'Data Entry'!$§$191)</f>
      </c>
      <c r="CZ191">
        <f>IF(ISBLANK('Data Entry'!$¨$191), "", 'Data Entry'!$¨$191)</f>
      </c>
      <c r="DA191">
        <f>IF(ISBLANK('Data Entry'!$©$191), "", 'Data Entry'!$©$191)</f>
      </c>
      <c r="DB191">
        <f>IF(ISBLANK('Data Entry'!$ª$191), "", 'Data Entry'!$ª$191)</f>
      </c>
      <c r="DC191">
        <f>IF(ISBLANK('Data Entry'!$«$191), "", 'Data Entry'!$«$191)</f>
      </c>
      <c r="DD191">
        <f>IF(ISBLANK('Data Entry'!$¬$191), "", 'Data Entry'!$¬$191)</f>
      </c>
      <c r="DE191">
        <f>IF(ISBLANK('Data Entry'!$­$191), "", 'Data Entry'!$­$191)</f>
      </c>
      <c r="DF191">
        <f>IF(ISBLANK('Data Entry'!$®$191), "", 'Data Entry'!$®$191)</f>
      </c>
      <c r="DG191">
        <f>IF(ISBLANK('Data Entry'!$¯$191), "", 'Data Entry'!$¯$191)</f>
      </c>
      <c r="DH191">
        <f>IF(ISBLANK('Data Entry'!$°$191), "", 'Data Entry'!$°$191)</f>
      </c>
      <c r="DI191">
        <f>IF(ISBLANK('Data Entry'!$±$191), "", 'Data Entry'!$±$191)</f>
      </c>
      <c r="DJ191">
        <f>IF(ISBLANK('Data Entry'!$²$191), "", 'Data Entry'!$²$191)</f>
      </c>
      <c r="DK191">
        <f>IF(ISBLANK('Data Entry'!$³$191), "", 'Data Entry'!$³$191)</f>
      </c>
      <c r="DL191">
        <f>IF(ISBLANK('Data Entry'!$´$191), "", 'Data Entry'!$´$191)</f>
      </c>
      <c r="DM191">
        <f>IF(ISBLANK('Data Entry'!$µ$191), "", 'Data Entry'!$µ$191)</f>
      </c>
      <c r="DN191">
        <f>IF(ISBLANK('Data Entry'!$¶$191), "", 'Data Entry'!$¶$191)</f>
      </c>
      <c r="DO191">
        <f>IF(ISBLANK('Data Entry'!$·$191), "", 'Data Entry'!$·$191)</f>
      </c>
      <c r="DP191">
        <f>IF(ISBLANK('Data Entry'!$¸$191), "", 'Data Entry'!$¸$191)</f>
      </c>
      <c r="DQ191">
        <f>IF(ISBLANK('Data Entry'!$¹$191), "", 'Data Entry'!$¹$191)</f>
      </c>
      <c r="DR191">
        <f>IF(ISBLANK('Data Entry'!$º$191), "", 'Data Entry'!$º$191)</f>
      </c>
      <c r="DS191">
        <f>IF(ISBLANK('Data Entry'!$»$191), "", 'Data Entry'!$»$191)</f>
      </c>
      <c r="DT191">
        <f>IF(ISBLANK('Data Entry'!$¼$191), "", 'Data Entry'!$¼$191)</f>
      </c>
      <c r="DU191">
        <f>IF(ISBLANK('Data Entry'!$½$191), "", 'Data Entry'!$½$191)</f>
      </c>
      <c r="DV191">
        <f>IF(ISBLANK('Data Entry'!$¾$191), "", 'Data Entry'!$¾$191)</f>
      </c>
      <c r="DW191">
        <f>IF(ISBLANK('Data Entry'!$¿$191), "", 'Data Entry'!$¿$191)</f>
      </c>
      <c r="DX191">
        <f>IF(ISBLANK('Data Entry'!$À$191), "", 'Data Entry'!$À$191)</f>
      </c>
      <c r="DY191">
        <f>IF(ISBLANK('Data Entry'!$Á$191), "", 'Data Entry'!$Á$191)</f>
      </c>
      <c r="DZ191">
        <f>IF(ISBLANK('Data Entry'!$Â$191), "", 'Data Entry'!$Â$191)</f>
      </c>
      <c r="EA191">
        <f>IF(ISBLANK('Data Entry'!$Ã$191), "", 'Data Entry'!$Ã$191)</f>
      </c>
      <c r="EB191">
        <f>IF(ISBLANK('Data Entry'!$Ä$191), "", 'Data Entry'!$Ä$191)</f>
      </c>
      <c r="EC191">
        <f>IF(ISBLANK('Data Entry'!$Å$191), "", 'Data Entry'!$Å$191)</f>
      </c>
      <c r="ED191">
        <f>IF(ISBLANK('Data Entry'!$Æ$191), "", 'Data Entry'!$Æ$191)</f>
      </c>
      <c r="EE191">
        <f>IF(ISBLANK('Data Entry'!$Ç$191), "", 'Data Entry'!$Ç$191)</f>
      </c>
      <c r="EF191">
        <f>IF(ISBLANK('Data Entry'!$È$191), "", 'Data Entry'!$È$191)</f>
      </c>
      <c r="EG191">
        <f>IF(ISBLANK('Data Entry'!$É$191), "", 'Data Entry'!$É$191)</f>
      </c>
      <c r="EH191">
        <f>IF(ISBLANK('Data Entry'!$Ê$191), "", 'Data Entry'!$Ê$191)</f>
      </c>
      <c r="EI191">
        <f>IF(ISBLANK('Data Entry'!$Ë$191), "", 'Data Entry'!$Ë$191)</f>
      </c>
      <c r="EJ191">
        <f>IF(ISBLANK('Data Entry'!$Ì$191), "", 'Data Entry'!$Ì$191)</f>
      </c>
      <c r="EK191">
        <f>IF(ISBLANK('Data Entry'!$Í$191), "", 'Data Entry'!$Í$191)</f>
      </c>
      <c r="EL191">
        <f>IF(ISBLANK('Data Entry'!$Î$191), "", 'Data Entry'!$Î$191)</f>
      </c>
      <c r="EM191">
        <f>IF(ISBLANK('Data Entry'!$Ï$191), "", 'Data Entry'!$Ï$191)</f>
      </c>
      <c r="EN191">
        <f>IF(ISBLANK('Data Entry'!$Ð$191), "", 'Data Entry'!$Ð$191)</f>
      </c>
      <c r="EO191">
        <f>IF(ISBLANK('Data Entry'!$Ñ$191), "", 'Data Entry'!$Ñ$191)</f>
      </c>
      <c r="EP191">
        <f>IF(ISBLANK('Data Entry'!$Ò$191), "", 'Data Entry'!$Ò$191)</f>
      </c>
      <c r="EQ191">
        <f>IF(ISBLANK('Data Entry'!$Ó$191), "", 'Data Entry'!$Ó$191)</f>
      </c>
      <c r="ER191">
        <f>IF(ISBLANK('Data Entry'!$Ô$191), "", 'Data Entry'!$Ô$191)</f>
      </c>
      <c r="ES191">
        <f>IF(ISBLANK('Data Entry'!$Õ$191), "", 'Data Entry'!$Õ$191)</f>
      </c>
      <c r="ET191">
        <f>IF(ISBLANK('Data Entry'!$Ö$191), "", 'Data Entry'!$Ö$191)</f>
      </c>
      <c r="EU191">
        <f>IF(ISBLANK('Data Entry'!$×$191), "", 'Data Entry'!$×$191)</f>
      </c>
      <c r="EV191">
        <f>IF(ISBLANK('Data Entry'!$Ø$191), "", 'Data Entry'!$Ø$191)</f>
      </c>
      <c r="EW191">
        <f>IF(ISBLANK('Data Entry'!$Ù$191), "", 'Data Entry'!$Ù$191)</f>
      </c>
      <c r="EX191">
        <f>IF(ISBLANK('Data Entry'!$Ú$191), "", 'Data Entry'!$Ú$191)</f>
      </c>
      <c r="EY191">
        <f>IF(ISBLANK('Data Entry'!$Û$191), "", 'Data Entry'!$Û$191)</f>
      </c>
      <c r="EZ191">
        <f>IF(ISBLANK('Data Entry'!$Ü$191), "", 'Data Entry'!$Ü$191)</f>
      </c>
      <c r="FA191">
        <f>IF(ISBLANK('Data Entry'!$Ý$191), "", 'Data Entry'!$Ý$191)</f>
      </c>
      <c r="FB191">
        <f>IF(ISBLANK('Data Entry'!$Þ$191), "", 'Data Entry'!$Þ$191)</f>
      </c>
      <c r="FC191">
        <f>IF(ISBLANK('Data Entry'!$ß$191), "", 'Data Entry'!$ß$191)</f>
      </c>
      <c r="FD191">
        <f>IF(ISBLANK('Data Entry'!$à$191), "", 'Data Entry'!$à$191)</f>
      </c>
      <c r="FE191">
        <f>IF(ISBLANK('Data Entry'!$á$191), "", 'Data Entry'!$á$191)</f>
      </c>
      <c r="FF191">
        <f>IF(ISBLANK('Data Entry'!$â$191), "", 'Data Entry'!$â$191)</f>
      </c>
      <c r="FG191">
        <f>IF(ISBLANK('Data Entry'!$ã$191), "", 'Data Entry'!$ã$191)</f>
      </c>
      <c r="FH191">
        <f>IF(ISBLANK('Data Entry'!$ä$191), "", 'Data Entry'!$ä$191)</f>
      </c>
      <c r="FI191">
        <f>IF(ISBLANK('Data Entry'!$å$191), "", 'Data Entry'!$å$191)</f>
      </c>
      <c r="FJ191">
        <f>IF(ISBLANK('Data Entry'!$æ$191), "", 'Data Entry'!$æ$191)</f>
      </c>
      <c r="FK191">
        <f>IF(ISBLANK('Data Entry'!$ç$191), "", 'Data Entry'!$ç$191)</f>
      </c>
      <c r="FL191">
        <f>IF(ISBLANK('Data Entry'!$è$191), "", 'Data Entry'!$è$191)</f>
      </c>
      <c r="FM191">
        <f>IF(ISBLANK('Data Entry'!$é$191), "", 'Data Entry'!$é$191)</f>
      </c>
      <c r="FN191">
        <f>IF(ISBLANK('Data Entry'!$ê$191), "", 'Data Entry'!$ê$191)</f>
      </c>
      <c r="FO191">
        <f>IF(ISBLANK('Data Entry'!$ë$191), "", 'Data Entry'!$ë$191)</f>
      </c>
      <c r="FP191">
        <f>IF(ISBLANK('Data Entry'!$ì$191), "", 'Data Entry'!$ì$191)</f>
      </c>
      <c r="FQ191">
        <f>IF(ISBLANK('Data Entry'!$í$191), "", 'Data Entry'!$í$191)</f>
      </c>
      <c r="FR191">
        <f>IF(ISBLANK('Data Entry'!$î$191), "", 'Data Entry'!$î$191)</f>
      </c>
      <c r="FS191">
        <f>IF(ISBLANK('Data Entry'!$ï$191), "", 'Data Entry'!$ï$191)</f>
      </c>
      <c r="FT191">
        <f>IF(ISBLANK('Data Entry'!$ð$191), "", 'Data Entry'!$ð$191)</f>
      </c>
      <c r="FU191">
        <f>IF(ISBLANK('Data Entry'!$ñ$191), "", 'Data Entry'!$ñ$191)</f>
      </c>
      <c r="FV191">
        <f>IF(ISBLANK('Data Entry'!$ò$191), "", 'Data Entry'!$ò$191)</f>
      </c>
      <c r="FW191">
        <f>IF(ISBLANK('Data Entry'!$ó$191), "", 'Data Entry'!$ó$191)</f>
      </c>
      <c r="FX191">
        <f>IF(ISBLANK('Data Entry'!$ô$191), "", 'Data Entry'!$ô$191)</f>
      </c>
      <c r="FY191">
        <f>IF(ISBLANK('Data Entry'!$õ$191), "", 'Data Entry'!$õ$191)</f>
      </c>
      <c r="FZ191">
        <f>IF(ISBLANK('Data Entry'!$ö$191), "", 'Data Entry'!$ö$191)</f>
      </c>
      <c r="GA191">
        <f>IF(ISBLANK('Data Entry'!$÷$191), "", 'Data Entry'!$÷$191)</f>
      </c>
      <c r="GB191">
        <f>IF(ISBLANK('Data Entry'!$ø$191), "", 'Data Entry'!$ø$191)</f>
      </c>
      <c r="GC191">
        <f>IF(ISBLANK('Data Entry'!$ù$191), "", 'Data Entry'!$ù$191)</f>
      </c>
      <c r="GD191">
        <f>IF(ISBLANK('Data Entry'!$ú$191), "", 'Data Entry'!$ú$191)</f>
      </c>
      <c r="GE191">
        <f>IF(ISBLANK('Data Entry'!$û$191), "", 'Data Entry'!$û$191)</f>
      </c>
      <c r="GF191">
        <f>IF(ISBLANK('Data Entry'!$ü$191), "", 'Data Entry'!$ü$191)</f>
      </c>
      <c r="GG191">
        <f>IF(ISBLANK('Data Entry'!$ý$191), "", 'Data Entry'!$ý$191)</f>
      </c>
      <c r="GH191">
        <f>IF(ISBLANK('Data Entry'!$þ$191), "", 'Data Entry'!$þ$191)</f>
      </c>
      <c r="GI191">
        <f>IF(ISBLANK('Data Entry'!$ÿ$191), "", 'Data Entry'!$ÿ$191)</f>
      </c>
      <c r="GJ191">
        <f>IF(ISBLANK('Data Entry'!$Ā$191), "", 'Data Entry'!$Ā$191)</f>
      </c>
      <c r="GK191">
        <f>IF(ISBLANK('Data Entry'!$ā$191), "", 'Data Entry'!$ā$191)</f>
      </c>
      <c r="GL191">
        <f>IF(ISBLANK('Data Entry'!$Ă$191), "", 'Data Entry'!$Ă$191)</f>
      </c>
      <c r="GM191">
        <f>IF(ISBLANK('Data Entry'!$ă$191), "", 'Data Entry'!$ă$191)</f>
      </c>
      <c r="GN191">
        <f>IF(ISBLANK('Data Entry'!$Ą$191), "", 'Data Entry'!$Ą$191)</f>
      </c>
      <c r="GO191">
        <f>IF(ISBLANK('Data Entry'!$ą$191), "", 'Data Entry'!$ą$191)</f>
      </c>
      <c r="GP191">
        <f>IF(ISBLANK('Data Entry'!$Ć$191), "", 'Data Entry'!$Ć$191)</f>
      </c>
      <c r="GQ191">
        <f>IF(ISBLANK('Data Entry'!$ć$191), "", 'Data Entry'!$ć$191)</f>
      </c>
      <c r="GR191">
        <f>IF(ISBLANK('Data Entry'!$Ĉ$191), "", 'Data Entry'!$Ĉ$191)</f>
      </c>
      <c r="GS191">
        <f>IF(ISBLANK('Data Entry'!$ĉ$191), "", 'Data Entry'!$ĉ$191)</f>
      </c>
      <c r="GT191">
        <f>IF(ISBLANK('Data Entry'!$Ċ$191), "", 'Data Entry'!$Ċ$191)</f>
      </c>
      <c r="GU191">
        <f>IF(ISBLANK('Data Entry'!$ċ$191), "", 'Data Entry'!$ċ$191)</f>
      </c>
      <c r="GV191">
        <f>IF(ISBLANK('Data Entry'!$Č$191), "", 'Data Entry'!$Č$191)</f>
      </c>
      <c r="GW191">
        <f>IF(ISBLANK('Data Entry'!$č$191), "", 'Data Entry'!$č$191)</f>
      </c>
      <c r="GX191">
        <f>IF(ISBLANK('Data Entry'!$Ď$191), "", 'Data Entry'!$Ď$191)</f>
      </c>
      <c r="GY191">
        <f>IF(ISBLANK('Data Entry'!$ď$191), "", 'Data Entry'!$ď$191)</f>
      </c>
      <c r="GZ191">
        <f>IF(ISBLANK('Data Entry'!$Đ$191), "", 'Data Entry'!$Đ$191)</f>
      </c>
      <c r="HA191">
        <f>IF(ISBLANK('Data Entry'!$đ$191), "", 'Data Entry'!$đ$191)</f>
      </c>
      <c r="HB191">
        <f>IF(ISBLANK('Data Entry'!$Ē$191), "", 'Data Entry'!$Ē$191)</f>
      </c>
      <c r="HC191">
        <f>IF(ISBLANK('Data Entry'!$ē$191), "", 'Data Entry'!$ē$191)</f>
      </c>
      <c r="HD191">
        <f>IF(ISBLANK('Data Entry'!$Ĕ$191), "", 'Data Entry'!$Ĕ$191)</f>
      </c>
      <c r="HE191">
        <f>IF(ISBLANK('Data Entry'!$ĕ$191), "", 'Data Entry'!$ĕ$191)</f>
      </c>
      <c r="HF191">
        <f>IF(ISBLANK('Data Entry'!$Ė$191), "", 'Data Entry'!$Ė$191)</f>
      </c>
      <c r="HG191">
        <f>IF(ISBLANK('Data Entry'!$ė$191), "", 'Data Entry'!$ė$191)</f>
      </c>
      <c r="HH191">
        <f>IF(ISBLANK('Data Entry'!$Ę$191), "", 'Data Entry'!$Ę$191)</f>
      </c>
      <c r="HI191">
        <f>IF(ISBLANK('Data Entry'!$ę$191), "", 'Data Entry'!$ę$191)</f>
      </c>
      <c r="HJ191">
        <f>IF(ISBLANK('Data Entry'!$Ě$191), "", 'Data Entry'!$Ě$191)</f>
      </c>
      <c r="HK191">
        <f>IF(ISBLANK('Data Entry'!$ě$191), "", 'Data Entry'!$ě$191)</f>
      </c>
      <c r="HL191">
        <f>IF(ISBLANK('Data Entry'!$Ĝ$191), "", 'Data Entry'!$Ĝ$191)</f>
      </c>
      <c r="HM191">
        <f>IF(ISBLANK('Data Entry'!$ĝ$191), "", 'Data Entry'!$ĝ$191)</f>
      </c>
      <c r="HN191">
        <f>IF(ISBLANK('Data Entry'!$Ğ$191), "", 'Data Entry'!$Ğ$191)</f>
      </c>
      <c r="HO191">
        <f>IF(ISBLANK('Data Entry'!$ğ$191), "", 'Data Entry'!$ğ$191)</f>
      </c>
      <c r="HP191">
        <f>IF(ISBLANK('Data Entry'!$Ġ$191), "", 'Data Entry'!$Ġ$191)</f>
      </c>
      <c r="HQ191">
        <f>IF(ISBLANK('Data Entry'!$ġ$191), "", 'Data Entry'!$ġ$191)</f>
      </c>
      <c r="HR191">
        <f>IF(ISBLANK('Data Entry'!$Ģ$191), "", 'Data Entry'!$Ģ$191)</f>
      </c>
      <c r="HS191">
        <f>IF(ISBLANK('Data Entry'!$ģ$191), "", 'Data Entry'!$ģ$191)</f>
      </c>
      <c r="HT191">
        <f>IF(ISBLANK('Data Entry'!$Ĥ$191), "", 'Data Entry'!$Ĥ$191)</f>
      </c>
      <c r="HU191">
        <f>IF(ISBLANK('Data Entry'!$ĥ$191), "", 'Data Entry'!$ĥ$191)</f>
      </c>
      <c r="HV191">
        <f>IF(ISBLANK('Data Entry'!$Ħ$191), "", 'Data Entry'!$Ħ$191)</f>
      </c>
      <c r="HW191">
        <f>IF(ISBLANK('Data Entry'!$ħ$191), "", 'Data Entry'!$ħ$191)</f>
      </c>
      <c r="HX191">
        <f>IF(ISBLANK('Data Entry'!$Ĩ$191), "", 'Data Entry'!$Ĩ$191)</f>
      </c>
      <c r="HY191">
        <f>IF(ISBLANK('Data Entry'!$ĩ$191), "", 'Data Entry'!$ĩ$191)</f>
      </c>
      <c r="HZ191">
        <f>IF(ISBLANK('Data Entry'!$Ī$191), "", 'Data Entry'!$Ī$191)</f>
      </c>
      <c r="IA191">
        <f>IF(ISBLANK('Data Entry'!$ī$191), "", 'Data Entry'!$ī$191)</f>
      </c>
      <c r="IB191">
        <f>IF(ISBLANK('Data Entry'!$Ĭ$191), "", 'Data Entry'!$Ĭ$191)</f>
      </c>
      <c r="IC191">
        <f>IF(ISBLANK('Data Entry'!$ĭ$191), "", 'Data Entry'!$ĭ$191)</f>
      </c>
      <c r="ID191">
        <f>IF(ISBLANK('Data Entry'!$Į$191), "", 'Data Entry'!$Į$191)</f>
      </c>
      <c r="IE191">
        <f>IF(ISBLANK('Data Entry'!$į$191), "", 'Data Entry'!$į$191)</f>
      </c>
      <c r="IF191">
        <f>IF(ISBLANK('Data Entry'!$İ$191), "", 'Data Entry'!$İ$191)</f>
      </c>
      <c r="IG191">
        <f>IF(ISBLANK('Data Entry'!$ı$191), "", 'Data Entry'!$ı$191)</f>
      </c>
      <c r="IH191">
        <f>IF(ISBLANK('Data Entry'!$Ĳ$191), "", 'Data Entry'!$Ĳ$191)</f>
      </c>
      <c r="II191">
        <f>IF(ISBLANK('Data Entry'!$ĳ$191), "", 'Data Entry'!$ĳ$191)</f>
      </c>
      <c r="IJ191">
        <f>IF(ISBLANK('Data Entry'!$Ĵ$191), "", 'Data Entry'!$Ĵ$191)</f>
      </c>
      <c r="IK191">
        <f>IF(ISBLANK('Data Entry'!$ĵ$191), "", 'Data Entry'!$ĵ$191)</f>
      </c>
      <c r="IL191">
        <f>IF(ISBLANK('Data Entry'!$Ķ$191), "", 'Data Entry'!$Ķ$191)</f>
      </c>
      <c r="IM191">
        <f>IF(ISBLANK('Data Entry'!$ķ$191), "", 'Data Entry'!$ķ$191)</f>
      </c>
      <c r="IN191">
        <f>IF(ISBLANK('Data Entry'!$ĸ$191), "", 'Data Entry'!$ĸ$191)</f>
      </c>
      <c r="IO191">
        <f>IF(ISBLANK('Data Entry'!$Ĺ$191), "", 'Data Entry'!$Ĺ$191)</f>
      </c>
      <c r="IP191">
        <f>IF(ISBLANK('Data Entry'!$ĺ$191), "", 'Data Entry'!$ĺ$191)</f>
      </c>
      <c r="IQ191">
        <f>IF(ISBLANK('Data Entry'!$Ļ$191), "", 'Data Entry'!$Ļ$191)</f>
      </c>
      <c r="IR191">
        <f>IF(ISBLANK('Data Entry'!$ļ$191), "", 'Data Entry'!$ļ$191)</f>
      </c>
      <c r="IS191">
        <f>IF(ISBLANK('Data Entry'!$Ľ$191), "", 'Data Entry'!$Ľ$191)</f>
      </c>
      <c r="IT191">
        <f>IF(ISBLANK('Data Entry'!$ľ$191), "", 'Data Entry'!$ľ$191)</f>
      </c>
    </row>
    <row r="192" spans="1:254" x14ac:dyDescent="0.25">
      <c r="A192">
        <f>IF(ISBLANK('Data Entry'!$A$192), "", 'Data Entry'!$A$192)</f>
      </c>
      <c r="B192">
        <f>IF(ISBLANK('Data Entry'!$B$192), "", 'Data Entry'!$B$192)</f>
      </c>
      <c r="C192">
        <f>IF(ISBLANK('Data Entry'!$C$192), "", 'Data Entry'!$C$192)</f>
      </c>
      <c r="D192">
        <f>IF(ISBLANK('Data Entry'!$D$192), "", 'Data Entry'!$D$192)</f>
      </c>
      <c r="E192">
        <f>IF(ISBLANK('Data Entry'!$E$192), "", 'Data Entry'!$E$192)</f>
      </c>
      <c r="F192">
        <f>IF(ISBLANK('Data Entry'!$F$192), "", 'Data Entry'!$F$192)</f>
      </c>
      <c r="G192">
        <f>IF(ISBLANK('Data Entry'!$G$192), "", 'Data Entry'!$G$192)</f>
      </c>
      <c r="H192">
        <f>IF(ISBLANK('Data Entry'!$H$192), "", 'Data Entry'!$H$192)</f>
      </c>
      <c r="I192">
        <f>IF(ISBLANK('Data Entry'!$I$192), "", 'Data Entry'!$I$192)</f>
      </c>
      <c r="J192">
        <f>IF(ISBLANK('Data Entry'!$J$192), "", 'Data Entry'!$J$192)</f>
      </c>
      <c r="K192">
        <f>IF(ISBLANK('Data Entry'!$K$192), "", 'Data Entry'!$K$192)</f>
      </c>
      <c r="L192">
        <f>IF(ISBLANK('Data Entry'!$L$192), "", 'Data Entry'!$L$192)</f>
      </c>
      <c r="M192">
        <f>IF(ISBLANK('Data Entry'!$M$192), "", 'Data Entry'!$M$192)</f>
      </c>
      <c r="N192">
        <f>IF(ISBLANK('Data Entry'!$N$192), "", 'Data Entry'!$N$192)</f>
      </c>
      <c r="O192">
        <f>IF(ISBLANK('Data Entry'!$O$192), "", 'Data Entry'!$O$192)</f>
      </c>
      <c r="P192">
        <f>IF(ISBLANK('Data Entry'!$P$192), "", 'Data Entry'!$P$192)</f>
      </c>
      <c r="Q192">
        <f>IF(ISBLANK('Data Entry'!$Q$192), "", 'Data Entry'!$Q$192)</f>
      </c>
      <c r="R192">
        <f>IF(ISBLANK('Data Entry'!$R$192), "", 'Data Entry'!$R$192)</f>
      </c>
      <c r="S192">
        <f>IF(ISBLANK('Data Entry'!$S$192), "", 'Data Entry'!$S$192)</f>
      </c>
      <c r="T192">
        <f>IF(ISBLANK('Data Entry'!$T$192), "", 'Data Entry'!$T$192)</f>
      </c>
      <c r="U192">
        <f>IF(ISBLANK('Data Entry'!$U$192), "", 'Data Entry'!$U$192)</f>
      </c>
      <c r="V192">
        <f>IF(ISBLANK('Data Entry'!$V$192), "", 'Data Entry'!$V$192)</f>
      </c>
      <c r="W192">
        <f>IF(ISBLANK('Data Entry'!$W$192), "", 'Data Entry'!$W$192)</f>
      </c>
      <c r="X192">
        <f>IF(ISBLANK('Data Entry'!$X$192), "", 'Data Entry'!$X$192)</f>
      </c>
      <c r="Y192">
        <f>IF(ISBLANK('Data Entry'!$Y$192), "", 'Data Entry'!$Y$192)</f>
      </c>
      <c r="Z192">
        <f>IF(ISBLANK('Data Entry'!$Z$192), "", 'Data Entry'!$Z$192)</f>
      </c>
      <c r="AA192">
        <f>IF(ISBLANK('Data Entry'!$[$192), "", 'Data Entry'!$[$192)</f>
      </c>
      <c r="AB192">
        <f>IF(ISBLANK('Data Entry'!$\$192), "", 'Data Entry'!$\$192)</f>
      </c>
      <c r="AC192">
        <f>IF(ISBLANK('Data Entry'!$]$192), "", 'Data Entry'!$]$192)</f>
      </c>
      <c r="AD192">
        <f>IF(ISBLANK('Data Entry'!$^$192), "", 'Data Entry'!$^$192)</f>
      </c>
      <c r="AE192">
        <f>IF(ISBLANK('Data Entry'!$_$192), "", 'Data Entry'!$_$192)</f>
      </c>
      <c r="AF192">
        <f>IF(ISBLANK('Data Entry'!$`$192), "", 'Data Entry'!$`$192)</f>
      </c>
      <c r="AG192">
        <f>IF(ISBLANK('Data Entry'!$a$192), "", 'Data Entry'!$a$192)</f>
      </c>
      <c r="AH192">
        <f>IF(ISBLANK('Data Entry'!$b$192), "", 'Data Entry'!$b$192)</f>
      </c>
      <c r="AI192">
        <f>IF(ISBLANK('Data Entry'!$c$192), "", 'Data Entry'!$c$192)</f>
      </c>
      <c r="AJ192">
        <f>IF(ISBLANK('Data Entry'!$d$192), "", 'Data Entry'!$d$192)</f>
      </c>
      <c r="AK192">
        <f>IF(ISBLANK('Data Entry'!$e$192), "", 'Data Entry'!$e$192)</f>
      </c>
      <c r="AL192">
        <f>IF(ISBLANK('Data Entry'!$f$192), "", 'Data Entry'!$f$192)</f>
      </c>
      <c r="AM192">
        <f>IF(ISBLANK('Data Entry'!$g$192), "", 'Data Entry'!$g$192)</f>
      </c>
      <c r="AN192">
        <f>IF(ISBLANK('Data Entry'!$h$192), "", 'Data Entry'!$h$192)</f>
      </c>
      <c r="AO192">
        <f>IF(ISBLANK('Data Entry'!$i$192), "", 'Data Entry'!$i$192)</f>
      </c>
      <c r="AP192">
        <f>IF(ISBLANK('Data Entry'!$j$192), "", 'Data Entry'!$j$192)</f>
      </c>
      <c r="AQ192">
        <f>IF(ISBLANK('Data Entry'!$k$192), "", 'Data Entry'!$k$192)</f>
      </c>
      <c r="AR192">
        <f>IF(ISBLANK('Data Entry'!$l$192), "", 'Data Entry'!$l$192)</f>
      </c>
      <c r="AS192">
        <f>IF(ISBLANK('Data Entry'!$m$192), "", 'Data Entry'!$m$192)</f>
      </c>
      <c r="AT192">
        <f>IF(ISBLANK('Data Entry'!$n$192), "", 'Data Entry'!$n$192)</f>
      </c>
      <c r="AU192">
        <f>IF(ISBLANK('Data Entry'!$o$192), "", 'Data Entry'!$o$192)</f>
      </c>
      <c r="AV192">
        <f>IF(ISBLANK('Data Entry'!$p$192), "", 'Data Entry'!$p$192)</f>
      </c>
      <c r="AW192">
        <f>IF(ISBLANK('Data Entry'!$q$192), "", 'Data Entry'!$q$192)</f>
      </c>
      <c r="AX192">
        <f>IF(ISBLANK('Data Entry'!$r$192), "", 'Data Entry'!$r$192)</f>
      </c>
      <c r="AY192">
        <f>IF(ISBLANK('Data Entry'!$s$192), "", 'Data Entry'!$s$192)</f>
      </c>
      <c r="AZ192">
        <f>IF(ISBLANK('Data Entry'!$t$192), "", 'Data Entry'!$t$192)</f>
      </c>
      <c r="BA192">
        <f>IF(ISBLANK('Data Entry'!$u$192), "", 'Data Entry'!$u$192)</f>
      </c>
      <c r="BB192">
        <f>IF(ISBLANK('Data Entry'!$v$192), "", 'Data Entry'!$v$192)</f>
      </c>
      <c r="BC192">
        <f>IF(ISBLANK('Data Entry'!$w$192), "", 'Data Entry'!$w$192)</f>
      </c>
      <c r="BD192">
        <f>IF(ISBLANK('Data Entry'!$x$192), "", 'Data Entry'!$x$192)</f>
      </c>
      <c r="BE192">
        <f>IF(ISBLANK('Data Entry'!$y$192), "", 'Data Entry'!$y$192)</f>
      </c>
      <c r="BF192">
        <f>IF(ISBLANK('Data Entry'!$z$192), "", 'Data Entry'!$z$192)</f>
      </c>
      <c r="BG192">
        <f>IF(ISBLANK('Data Entry'!${$192), "", 'Data Entry'!${$192)</f>
      </c>
      <c r="BH192">
        <f>IF(ISBLANK('Data Entry'!$|$192), "", 'Data Entry'!$|$192)</f>
      </c>
      <c r="BI192">
        <f>IF(ISBLANK('Data Entry'!$}$192), "", 'Data Entry'!$}$192)</f>
      </c>
      <c r="BJ192">
        <f>IF(ISBLANK('Data Entry'!$~$192), "", 'Data Entry'!$~$192)</f>
      </c>
      <c r="BK192">
        <f>IF(ISBLANK('Data Entry'!$$192), "", 'Data Entry'!$$192)</f>
      </c>
      <c r="BL192">
        <f>IF(ISBLANK('Data Entry'!$$192), "", 'Data Entry'!$$192)</f>
      </c>
      <c r="BM192">
        <f>IF(ISBLANK('Data Entry'!$$192), "", 'Data Entry'!$$192)</f>
      </c>
      <c r="BN192">
        <f>IF(ISBLANK('Data Entry'!$$192), "", 'Data Entry'!$$192)</f>
      </c>
      <c r="BO192">
        <f>IF(ISBLANK('Data Entry'!$$192), "", 'Data Entry'!$$192)</f>
      </c>
      <c r="BP192">
        <f>IF(ISBLANK('Data Entry'!$$192), "", 'Data Entry'!$$192)</f>
      </c>
      <c r="BQ192">
        <f>IF(ISBLANK('Data Entry'!$$192), "", 'Data Entry'!$$192)</f>
      </c>
      <c r="BR192">
        <f>IF(ISBLANK('Data Entry'!$$192), "", 'Data Entry'!$$192)</f>
      </c>
      <c r="BS192">
        <f>IF(ISBLANK('Data Entry'!$$192), "", 'Data Entry'!$$192)</f>
      </c>
      <c r="BT192">
        <f>IF(ISBLANK('Data Entry'!$$192), "", 'Data Entry'!$$192)</f>
      </c>
      <c r="BU192">
        <f>IF(ISBLANK('Data Entry'!$$192), "", 'Data Entry'!$$192)</f>
      </c>
      <c r="BV192">
        <f>IF(ISBLANK('Data Entry'!$$192), "", 'Data Entry'!$$192)</f>
      </c>
      <c r="BW192">
        <f>IF(ISBLANK('Data Entry'!$$192), "", 'Data Entry'!$$192)</f>
      </c>
      <c r="BX192">
        <f>IF(ISBLANK('Data Entry'!$$192), "", 'Data Entry'!$$192)</f>
      </c>
      <c r="BY192">
        <f>IF(ISBLANK('Data Entry'!$$192), "", 'Data Entry'!$$192)</f>
      </c>
      <c r="BZ192">
        <f>IF(ISBLANK('Data Entry'!$$192), "", 'Data Entry'!$$192)</f>
      </c>
      <c r="CA192">
        <f>IF(ISBLANK('Data Entry'!$$192), "", 'Data Entry'!$$192)</f>
      </c>
      <c r="CB192">
        <f>IF(ISBLANK('Data Entry'!$$192), "", 'Data Entry'!$$192)</f>
      </c>
      <c r="CC192">
        <f>IF(ISBLANK('Data Entry'!$$192), "", 'Data Entry'!$$192)</f>
      </c>
      <c r="CD192">
        <f>IF(ISBLANK('Data Entry'!$$192), "", 'Data Entry'!$$192)</f>
      </c>
      <c r="CE192">
        <f>IF(ISBLANK('Data Entry'!$$192), "", 'Data Entry'!$$192)</f>
      </c>
      <c r="CF192">
        <f>IF(ISBLANK('Data Entry'!$$192), "", 'Data Entry'!$$192)</f>
      </c>
      <c r="CG192">
        <f>IF(ISBLANK('Data Entry'!$$192), "", 'Data Entry'!$$192)</f>
      </c>
      <c r="CH192">
        <f>IF(ISBLANK('Data Entry'!$$192), "", 'Data Entry'!$$192)</f>
      </c>
      <c r="CI192">
        <f>IF(ISBLANK('Data Entry'!$$192), "", 'Data Entry'!$$192)</f>
      </c>
      <c r="CJ192">
        <f>IF(ISBLANK('Data Entry'!$$192), "", 'Data Entry'!$$192)</f>
      </c>
      <c r="CK192">
        <f>IF(ISBLANK('Data Entry'!$$192), "", 'Data Entry'!$$192)</f>
      </c>
      <c r="CL192">
        <f>IF(ISBLANK('Data Entry'!$$192), "", 'Data Entry'!$$192)</f>
      </c>
      <c r="CM192">
        <f>IF(ISBLANK('Data Entry'!$$192), "", 'Data Entry'!$$192)</f>
      </c>
      <c r="CN192">
        <f>IF(ISBLANK('Data Entry'!$$192), "", 'Data Entry'!$$192)</f>
      </c>
      <c r="CO192">
        <f>IF(ISBLANK('Data Entry'!$$192), "", 'Data Entry'!$$192)</f>
      </c>
      <c r="CP192">
        <f>IF(ISBLANK('Data Entry'!$$192), "", 'Data Entry'!$$192)</f>
      </c>
      <c r="CQ192">
        <f>IF(ISBLANK('Data Entry'!$$192), "", 'Data Entry'!$$192)</f>
      </c>
      <c r="CR192">
        <f>IF(ISBLANK('Data Entry'!$ $192), "", 'Data Entry'!$ $192)</f>
      </c>
      <c r="CS192">
        <f>IF(ISBLANK('Data Entry'!$¡$192), "", 'Data Entry'!$¡$192)</f>
      </c>
      <c r="CT192">
        <f>IF(ISBLANK('Data Entry'!$¢$192), "", 'Data Entry'!$¢$192)</f>
      </c>
      <c r="CU192">
        <f>IF(ISBLANK('Data Entry'!$£$192), "", 'Data Entry'!$£$192)</f>
      </c>
      <c r="CV192">
        <f>IF(ISBLANK('Data Entry'!$¤$192), "", 'Data Entry'!$¤$192)</f>
      </c>
      <c r="CW192">
        <f>IF(ISBLANK('Data Entry'!$¥$192), "", 'Data Entry'!$¥$192)</f>
      </c>
      <c r="CX192">
        <f>IF(ISBLANK('Data Entry'!$¦$192), "", 'Data Entry'!$¦$192)</f>
      </c>
      <c r="CY192">
        <f>IF(ISBLANK('Data Entry'!$§$192), "", 'Data Entry'!$§$192)</f>
      </c>
      <c r="CZ192">
        <f>IF(ISBLANK('Data Entry'!$¨$192), "", 'Data Entry'!$¨$192)</f>
      </c>
      <c r="DA192">
        <f>IF(ISBLANK('Data Entry'!$©$192), "", 'Data Entry'!$©$192)</f>
      </c>
      <c r="DB192">
        <f>IF(ISBLANK('Data Entry'!$ª$192), "", 'Data Entry'!$ª$192)</f>
      </c>
      <c r="DC192">
        <f>IF(ISBLANK('Data Entry'!$«$192), "", 'Data Entry'!$«$192)</f>
      </c>
      <c r="DD192">
        <f>IF(ISBLANK('Data Entry'!$¬$192), "", 'Data Entry'!$¬$192)</f>
      </c>
      <c r="DE192">
        <f>IF(ISBLANK('Data Entry'!$­$192), "", 'Data Entry'!$­$192)</f>
      </c>
      <c r="DF192">
        <f>IF(ISBLANK('Data Entry'!$®$192), "", 'Data Entry'!$®$192)</f>
      </c>
      <c r="DG192">
        <f>IF(ISBLANK('Data Entry'!$¯$192), "", 'Data Entry'!$¯$192)</f>
      </c>
      <c r="DH192">
        <f>IF(ISBLANK('Data Entry'!$°$192), "", 'Data Entry'!$°$192)</f>
      </c>
      <c r="DI192">
        <f>IF(ISBLANK('Data Entry'!$±$192), "", 'Data Entry'!$±$192)</f>
      </c>
      <c r="DJ192">
        <f>IF(ISBLANK('Data Entry'!$²$192), "", 'Data Entry'!$²$192)</f>
      </c>
      <c r="DK192">
        <f>IF(ISBLANK('Data Entry'!$³$192), "", 'Data Entry'!$³$192)</f>
      </c>
      <c r="DL192">
        <f>IF(ISBLANK('Data Entry'!$´$192), "", 'Data Entry'!$´$192)</f>
      </c>
      <c r="DM192">
        <f>IF(ISBLANK('Data Entry'!$µ$192), "", 'Data Entry'!$µ$192)</f>
      </c>
      <c r="DN192">
        <f>IF(ISBLANK('Data Entry'!$¶$192), "", 'Data Entry'!$¶$192)</f>
      </c>
      <c r="DO192">
        <f>IF(ISBLANK('Data Entry'!$·$192), "", 'Data Entry'!$·$192)</f>
      </c>
      <c r="DP192">
        <f>IF(ISBLANK('Data Entry'!$¸$192), "", 'Data Entry'!$¸$192)</f>
      </c>
      <c r="DQ192">
        <f>IF(ISBLANK('Data Entry'!$¹$192), "", 'Data Entry'!$¹$192)</f>
      </c>
      <c r="DR192">
        <f>IF(ISBLANK('Data Entry'!$º$192), "", 'Data Entry'!$º$192)</f>
      </c>
      <c r="DS192">
        <f>IF(ISBLANK('Data Entry'!$»$192), "", 'Data Entry'!$»$192)</f>
      </c>
      <c r="DT192">
        <f>IF(ISBLANK('Data Entry'!$¼$192), "", 'Data Entry'!$¼$192)</f>
      </c>
      <c r="DU192">
        <f>IF(ISBLANK('Data Entry'!$½$192), "", 'Data Entry'!$½$192)</f>
      </c>
      <c r="DV192">
        <f>IF(ISBLANK('Data Entry'!$¾$192), "", 'Data Entry'!$¾$192)</f>
      </c>
      <c r="DW192">
        <f>IF(ISBLANK('Data Entry'!$¿$192), "", 'Data Entry'!$¿$192)</f>
      </c>
      <c r="DX192">
        <f>IF(ISBLANK('Data Entry'!$À$192), "", 'Data Entry'!$À$192)</f>
      </c>
      <c r="DY192">
        <f>IF(ISBLANK('Data Entry'!$Á$192), "", 'Data Entry'!$Á$192)</f>
      </c>
      <c r="DZ192">
        <f>IF(ISBLANK('Data Entry'!$Â$192), "", 'Data Entry'!$Â$192)</f>
      </c>
      <c r="EA192">
        <f>IF(ISBLANK('Data Entry'!$Ã$192), "", 'Data Entry'!$Ã$192)</f>
      </c>
      <c r="EB192">
        <f>IF(ISBLANK('Data Entry'!$Ä$192), "", 'Data Entry'!$Ä$192)</f>
      </c>
      <c r="EC192">
        <f>IF(ISBLANK('Data Entry'!$Å$192), "", 'Data Entry'!$Å$192)</f>
      </c>
      <c r="ED192">
        <f>IF(ISBLANK('Data Entry'!$Æ$192), "", 'Data Entry'!$Æ$192)</f>
      </c>
      <c r="EE192">
        <f>IF(ISBLANK('Data Entry'!$Ç$192), "", 'Data Entry'!$Ç$192)</f>
      </c>
      <c r="EF192">
        <f>IF(ISBLANK('Data Entry'!$È$192), "", 'Data Entry'!$È$192)</f>
      </c>
      <c r="EG192">
        <f>IF(ISBLANK('Data Entry'!$É$192), "", 'Data Entry'!$É$192)</f>
      </c>
      <c r="EH192">
        <f>IF(ISBLANK('Data Entry'!$Ê$192), "", 'Data Entry'!$Ê$192)</f>
      </c>
      <c r="EI192">
        <f>IF(ISBLANK('Data Entry'!$Ë$192), "", 'Data Entry'!$Ë$192)</f>
      </c>
      <c r="EJ192">
        <f>IF(ISBLANK('Data Entry'!$Ì$192), "", 'Data Entry'!$Ì$192)</f>
      </c>
      <c r="EK192">
        <f>IF(ISBLANK('Data Entry'!$Í$192), "", 'Data Entry'!$Í$192)</f>
      </c>
      <c r="EL192">
        <f>IF(ISBLANK('Data Entry'!$Î$192), "", 'Data Entry'!$Î$192)</f>
      </c>
      <c r="EM192">
        <f>IF(ISBLANK('Data Entry'!$Ï$192), "", 'Data Entry'!$Ï$192)</f>
      </c>
      <c r="EN192">
        <f>IF(ISBLANK('Data Entry'!$Ð$192), "", 'Data Entry'!$Ð$192)</f>
      </c>
      <c r="EO192">
        <f>IF(ISBLANK('Data Entry'!$Ñ$192), "", 'Data Entry'!$Ñ$192)</f>
      </c>
      <c r="EP192">
        <f>IF(ISBLANK('Data Entry'!$Ò$192), "", 'Data Entry'!$Ò$192)</f>
      </c>
      <c r="EQ192">
        <f>IF(ISBLANK('Data Entry'!$Ó$192), "", 'Data Entry'!$Ó$192)</f>
      </c>
      <c r="ER192">
        <f>IF(ISBLANK('Data Entry'!$Ô$192), "", 'Data Entry'!$Ô$192)</f>
      </c>
      <c r="ES192">
        <f>IF(ISBLANK('Data Entry'!$Õ$192), "", 'Data Entry'!$Õ$192)</f>
      </c>
      <c r="ET192">
        <f>IF(ISBLANK('Data Entry'!$Ö$192), "", 'Data Entry'!$Ö$192)</f>
      </c>
      <c r="EU192">
        <f>IF(ISBLANK('Data Entry'!$×$192), "", 'Data Entry'!$×$192)</f>
      </c>
      <c r="EV192">
        <f>IF(ISBLANK('Data Entry'!$Ø$192), "", 'Data Entry'!$Ø$192)</f>
      </c>
      <c r="EW192">
        <f>IF(ISBLANK('Data Entry'!$Ù$192), "", 'Data Entry'!$Ù$192)</f>
      </c>
      <c r="EX192">
        <f>IF(ISBLANK('Data Entry'!$Ú$192), "", 'Data Entry'!$Ú$192)</f>
      </c>
      <c r="EY192">
        <f>IF(ISBLANK('Data Entry'!$Û$192), "", 'Data Entry'!$Û$192)</f>
      </c>
      <c r="EZ192">
        <f>IF(ISBLANK('Data Entry'!$Ü$192), "", 'Data Entry'!$Ü$192)</f>
      </c>
      <c r="FA192">
        <f>IF(ISBLANK('Data Entry'!$Ý$192), "", 'Data Entry'!$Ý$192)</f>
      </c>
      <c r="FB192">
        <f>IF(ISBLANK('Data Entry'!$Þ$192), "", 'Data Entry'!$Þ$192)</f>
      </c>
      <c r="FC192">
        <f>IF(ISBLANK('Data Entry'!$ß$192), "", 'Data Entry'!$ß$192)</f>
      </c>
      <c r="FD192">
        <f>IF(ISBLANK('Data Entry'!$à$192), "", 'Data Entry'!$à$192)</f>
      </c>
      <c r="FE192">
        <f>IF(ISBLANK('Data Entry'!$á$192), "", 'Data Entry'!$á$192)</f>
      </c>
      <c r="FF192">
        <f>IF(ISBLANK('Data Entry'!$â$192), "", 'Data Entry'!$â$192)</f>
      </c>
      <c r="FG192">
        <f>IF(ISBLANK('Data Entry'!$ã$192), "", 'Data Entry'!$ã$192)</f>
      </c>
      <c r="FH192">
        <f>IF(ISBLANK('Data Entry'!$ä$192), "", 'Data Entry'!$ä$192)</f>
      </c>
      <c r="FI192">
        <f>IF(ISBLANK('Data Entry'!$å$192), "", 'Data Entry'!$å$192)</f>
      </c>
      <c r="FJ192">
        <f>IF(ISBLANK('Data Entry'!$æ$192), "", 'Data Entry'!$æ$192)</f>
      </c>
      <c r="FK192">
        <f>IF(ISBLANK('Data Entry'!$ç$192), "", 'Data Entry'!$ç$192)</f>
      </c>
      <c r="FL192">
        <f>IF(ISBLANK('Data Entry'!$è$192), "", 'Data Entry'!$è$192)</f>
      </c>
      <c r="FM192">
        <f>IF(ISBLANK('Data Entry'!$é$192), "", 'Data Entry'!$é$192)</f>
      </c>
      <c r="FN192">
        <f>IF(ISBLANK('Data Entry'!$ê$192), "", 'Data Entry'!$ê$192)</f>
      </c>
      <c r="FO192">
        <f>IF(ISBLANK('Data Entry'!$ë$192), "", 'Data Entry'!$ë$192)</f>
      </c>
      <c r="FP192">
        <f>IF(ISBLANK('Data Entry'!$ì$192), "", 'Data Entry'!$ì$192)</f>
      </c>
      <c r="FQ192">
        <f>IF(ISBLANK('Data Entry'!$í$192), "", 'Data Entry'!$í$192)</f>
      </c>
      <c r="FR192">
        <f>IF(ISBLANK('Data Entry'!$î$192), "", 'Data Entry'!$î$192)</f>
      </c>
      <c r="FS192">
        <f>IF(ISBLANK('Data Entry'!$ï$192), "", 'Data Entry'!$ï$192)</f>
      </c>
      <c r="FT192">
        <f>IF(ISBLANK('Data Entry'!$ð$192), "", 'Data Entry'!$ð$192)</f>
      </c>
      <c r="FU192">
        <f>IF(ISBLANK('Data Entry'!$ñ$192), "", 'Data Entry'!$ñ$192)</f>
      </c>
      <c r="FV192">
        <f>IF(ISBLANK('Data Entry'!$ò$192), "", 'Data Entry'!$ò$192)</f>
      </c>
      <c r="FW192">
        <f>IF(ISBLANK('Data Entry'!$ó$192), "", 'Data Entry'!$ó$192)</f>
      </c>
      <c r="FX192">
        <f>IF(ISBLANK('Data Entry'!$ô$192), "", 'Data Entry'!$ô$192)</f>
      </c>
      <c r="FY192">
        <f>IF(ISBLANK('Data Entry'!$õ$192), "", 'Data Entry'!$õ$192)</f>
      </c>
      <c r="FZ192">
        <f>IF(ISBLANK('Data Entry'!$ö$192), "", 'Data Entry'!$ö$192)</f>
      </c>
      <c r="GA192">
        <f>IF(ISBLANK('Data Entry'!$÷$192), "", 'Data Entry'!$÷$192)</f>
      </c>
      <c r="GB192">
        <f>IF(ISBLANK('Data Entry'!$ø$192), "", 'Data Entry'!$ø$192)</f>
      </c>
      <c r="GC192">
        <f>IF(ISBLANK('Data Entry'!$ù$192), "", 'Data Entry'!$ù$192)</f>
      </c>
      <c r="GD192">
        <f>IF(ISBLANK('Data Entry'!$ú$192), "", 'Data Entry'!$ú$192)</f>
      </c>
      <c r="GE192">
        <f>IF(ISBLANK('Data Entry'!$û$192), "", 'Data Entry'!$û$192)</f>
      </c>
      <c r="GF192">
        <f>IF(ISBLANK('Data Entry'!$ü$192), "", 'Data Entry'!$ü$192)</f>
      </c>
      <c r="GG192">
        <f>IF(ISBLANK('Data Entry'!$ý$192), "", 'Data Entry'!$ý$192)</f>
      </c>
      <c r="GH192">
        <f>IF(ISBLANK('Data Entry'!$þ$192), "", 'Data Entry'!$þ$192)</f>
      </c>
      <c r="GI192">
        <f>IF(ISBLANK('Data Entry'!$ÿ$192), "", 'Data Entry'!$ÿ$192)</f>
      </c>
      <c r="GJ192">
        <f>IF(ISBLANK('Data Entry'!$Ā$192), "", 'Data Entry'!$Ā$192)</f>
      </c>
      <c r="GK192">
        <f>IF(ISBLANK('Data Entry'!$ā$192), "", 'Data Entry'!$ā$192)</f>
      </c>
      <c r="GL192">
        <f>IF(ISBLANK('Data Entry'!$Ă$192), "", 'Data Entry'!$Ă$192)</f>
      </c>
      <c r="GM192">
        <f>IF(ISBLANK('Data Entry'!$ă$192), "", 'Data Entry'!$ă$192)</f>
      </c>
      <c r="GN192">
        <f>IF(ISBLANK('Data Entry'!$Ą$192), "", 'Data Entry'!$Ą$192)</f>
      </c>
      <c r="GO192">
        <f>IF(ISBLANK('Data Entry'!$ą$192), "", 'Data Entry'!$ą$192)</f>
      </c>
      <c r="GP192">
        <f>IF(ISBLANK('Data Entry'!$Ć$192), "", 'Data Entry'!$Ć$192)</f>
      </c>
      <c r="GQ192">
        <f>IF(ISBLANK('Data Entry'!$ć$192), "", 'Data Entry'!$ć$192)</f>
      </c>
      <c r="GR192">
        <f>IF(ISBLANK('Data Entry'!$Ĉ$192), "", 'Data Entry'!$Ĉ$192)</f>
      </c>
      <c r="GS192">
        <f>IF(ISBLANK('Data Entry'!$ĉ$192), "", 'Data Entry'!$ĉ$192)</f>
      </c>
      <c r="GT192">
        <f>IF(ISBLANK('Data Entry'!$Ċ$192), "", 'Data Entry'!$Ċ$192)</f>
      </c>
      <c r="GU192">
        <f>IF(ISBLANK('Data Entry'!$ċ$192), "", 'Data Entry'!$ċ$192)</f>
      </c>
      <c r="GV192">
        <f>IF(ISBLANK('Data Entry'!$Č$192), "", 'Data Entry'!$Č$192)</f>
      </c>
      <c r="GW192">
        <f>IF(ISBLANK('Data Entry'!$č$192), "", 'Data Entry'!$č$192)</f>
      </c>
      <c r="GX192">
        <f>IF(ISBLANK('Data Entry'!$Ď$192), "", 'Data Entry'!$Ď$192)</f>
      </c>
      <c r="GY192">
        <f>IF(ISBLANK('Data Entry'!$ď$192), "", 'Data Entry'!$ď$192)</f>
      </c>
      <c r="GZ192">
        <f>IF(ISBLANK('Data Entry'!$Đ$192), "", 'Data Entry'!$Đ$192)</f>
      </c>
      <c r="HA192">
        <f>IF(ISBLANK('Data Entry'!$đ$192), "", 'Data Entry'!$đ$192)</f>
      </c>
      <c r="HB192">
        <f>IF(ISBLANK('Data Entry'!$Ē$192), "", 'Data Entry'!$Ē$192)</f>
      </c>
      <c r="HC192">
        <f>IF(ISBLANK('Data Entry'!$ē$192), "", 'Data Entry'!$ē$192)</f>
      </c>
      <c r="HD192">
        <f>IF(ISBLANK('Data Entry'!$Ĕ$192), "", 'Data Entry'!$Ĕ$192)</f>
      </c>
      <c r="HE192">
        <f>IF(ISBLANK('Data Entry'!$ĕ$192), "", 'Data Entry'!$ĕ$192)</f>
      </c>
      <c r="HF192">
        <f>IF(ISBLANK('Data Entry'!$Ė$192), "", 'Data Entry'!$Ė$192)</f>
      </c>
      <c r="HG192">
        <f>IF(ISBLANK('Data Entry'!$ė$192), "", 'Data Entry'!$ė$192)</f>
      </c>
      <c r="HH192">
        <f>IF(ISBLANK('Data Entry'!$Ę$192), "", 'Data Entry'!$Ę$192)</f>
      </c>
      <c r="HI192">
        <f>IF(ISBLANK('Data Entry'!$ę$192), "", 'Data Entry'!$ę$192)</f>
      </c>
      <c r="HJ192">
        <f>IF(ISBLANK('Data Entry'!$Ě$192), "", 'Data Entry'!$Ě$192)</f>
      </c>
      <c r="HK192">
        <f>IF(ISBLANK('Data Entry'!$ě$192), "", 'Data Entry'!$ě$192)</f>
      </c>
      <c r="HL192">
        <f>IF(ISBLANK('Data Entry'!$Ĝ$192), "", 'Data Entry'!$Ĝ$192)</f>
      </c>
      <c r="HM192">
        <f>IF(ISBLANK('Data Entry'!$ĝ$192), "", 'Data Entry'!$ĝ$192)</f>
      </c>
      <c r="HN192">
        <f>IF(ISBLANK('Data Entry'!$Ğ$192), "", 'Data Entry'!$Ğ$192)</f>
      </c>
      <c r="HO192">
        <f>IF(ISBLANK('Data Entry'!$ğ$192), "", 'Data Entry'!$ğ$192)</f>
      </c>
      <c r="HP192">
        <f>IF(ISBLANK('Data Entry'!$Ġ$192), "", 'Data Entry'!$Ġ$192)</f>
      </c>
      <c r="HQ192">
        <f>IF(ISBLANK('Data Entry'!$ġ$192), "", 'Data Entry'!$ġ$192)</f>
      </c>
      <c r="HR192">
        <f>IF(ISBLANK('Data Entry'!$Ģ$192), "", 'Data Entry'!$Ģ$192)</f>
      </c>
      <c r="HS192">
        <f>IF(ISBLANK('Data Entry'!$ģ$192), "", 'Data Entry'!$ģ$192)</f>
      </c>
      <c r="HT192">
        <f>IF(ISBLANK('Data Entry'!$Ĥ$192), "", 'Data Entry'!$Ĥ$192)</f>
      </c>
      <c r="HU192">
        <f>IF(ISBLANK('Data Entry'!$ĥ$192), "", 'Data Entry'!$ĥ$192)</f>
      </c>
      <c r="HV192">
        <f>IF(ISBLANK('Data Entry'!$Ħ$192), "", 'Data Entry'!$Ħ$192)</f>
      </c>
      <c r="HW192">
        <f>IF(ISBLANK('Data Entry'!$ħ$192), "", 'Data Entry'!$ħ$192)</f>
      </c>
      <c r="HX192">
        <f>IF(ISBLANK('Data Entry'!$Ĩ$192), "", 'Data Entry'!$Ĩ$192)</f>
      </c>
      <c r="HY192">
        <f>IF(ISBLANK('Data Entry'!$ĩ$192), "", 'Data Entry'!$ĩ$192)</f>
      </c>
      <c r="HZ192">
        <f>IF(ISBLANK('Data Entry'!$Ī$192), "", 'Data Entry'!$Ī$192)</f>
      </c>
      <c r="IA192">
        <f>IF(ISBLANK('Data Entry'!$ī$192), "", 'Data Entry'!$ī$192)</f>
      </c>
      <c r="IB192">
        <f>IF(ISBLANK('Data Entry'!$Ĭ$192), "", 'Data Entry'!$Ĭ$192)</f>
      </c>
      <c r="IC192">
        <f>IF(ISBLANK('Data Entry'!$ĭ$192), "", 'Data Entry'!$ĭ$192)</f>
      </c>
      <c r="ID192">
        <f>IF(ISBLANK('Data Entry'!$Į$192), "", 'Data Entry'!$Į$192)</f>
      </c>
      <c r="IE192">
        <f>IF(ISBLANK('Data Entry'!$į$192), "", 'Data Entry'!$į$192)</f>
      </c>
      <c r="IF192">
        <f>IF(ISBLANK('Data Entry'!$İ$192), "", 'Data Entry'!$İ$192)</f>
      </c>
      <c r="IG192">
        <f>IF(ISBLANK('Data Entry'!$ı$192), "", 'Data Entry'!$ı$192)</f>
      </c>
      <c r="IH192">
        <f>IF(ISBLANK('Data Entry'!$Ĳ$192), "", 'Data Entry'!$Ĳ$192)</f>
      </c>
      <c r="II192">
        <f>IF(ISBLANK('Data Entry'!$ĳ$192), "", 'Data Entry'!$ĳ$192)</f>
      </c>
      <c r="IJ192">
        <f>IF(ISBLANK('Data Entry'!$Ĵ$192), "", 'Data Entry'!$Ĵ$192)</f>
      </c>
      <c r="IK192">
        <f>IF(ISBLANK('Data Entry'!$ĵ$192), "", 'Data Entry'!$ĵ$192)</f>
      </c>
      <c r="IL192">
        <f>IF(ISBLANK('Data Entry'!$Ķ$192), "", 'Data Entry'!$Ķ$192)</f>
      </c>
      <c r="IM192">
        <f>IF(ISBLANK('Data Entry'!$ķ$192), "", 'Data Entry'!$ķ$192)</f>
      </c>
      <c r="IN192">
        <f>IF(ISBLANK('Data Entry'!$ĸ$192), "", 'Data Entry'!$ĸ$192)</f>
      </c>
      <c r="IO192">
        <f>IF(ISBLANK('Data Entry'!$Ĺ$192), "", 'Data Entry'!$Ĺ$192)</f>
      </c>
      <c r="IP192">
        <f>IF(ISBLANK('Data Entry'!$ĺ$192), "", 'Data Entry'!$ĺ$192)</f>
      </c>
      <c r="IQ192">
        <f>IF(ISBLANK('Data Entry'!$Ļ$192), "", 'Data Entry'!$Ļ$192)</f>
      </c>
      <c r="IR192">
        <f>IF(ISBLANK('Data Entry'!$ļ$192), "", 'Data Entry'!$ļ$192)</f>
      </c>
      <c r="IS192">
        <f>IF(ISBLANK('Data Entry'!$Ľ$192), "", 'Data Entry'!$Ľ$192)</f>
      </c>
      <c r="IT192">
        <f>IF(ISBLANK('Data Entry'!$ľ$192), "", 'Data Entry'!$ľ$192)</f>
      </c>
    </row>
    <row r="193" spans="1:254" x14ac:dyDescent="0.25">
      <c r="A193">
        <f>IF(ISBLANK('Data Entry'!$A$193), "", 'Data Entry'!$A$193)</f>
      </c>
      <c r="B193">
        <f>IF(ISBLANK('Data Entry'!$B$193), "", 'Data Entry'!$B$193)</f>
      </c>
      <c r="C193">
        <f>IF(ISBLANK('Data Entry'!$C$193), "", 'Data Entry'!$C$193)</f>
      </c>
      <c r="D193">
        <f>IF(ISBLANK('Data Entry'!$D$193), "", 'Data Entry'!$D$193)</f>
      </c>
      <c r="E193">
        <f>IF(ISBLANK('Data Entry'!$E$193), "", 'Data Entry'!$E$193)</f>
      </c>
      <c r="F193">
        <f>IF(ISBLANK('Data Entry'!$F$193), "", 'Data Entry'!$F$193)</f>
      </c>
      <c r="G193">
        <f>IF(ISBLANK('Data Entry'!$G$193), "", 'Data Entry'!$G$193)</f>
      </c>
      <c r="H193">
        <f>IF(ISBLANK('Data Entry'!$H$193), "", 'Data Entry'!$H$193)</f>
      </c>
      <c r="I193">
        <f>IF(ISBLANK('Data Entry'!$I$193), "", 'Data Entry'!$I$193)</f>
      </c>
      <c r="J193">
        <f>IF(ISBLANK('Data Entry'!$J$193), "", 'Data Entry'!$J$193)</f>
      </c>
      <c r="K193">
        <f>IF(ISBLANK('Data Entry'!$K$193), "", 'Data Entry'!$K$193)</f>
      </c>
      <c r="L193">
        <f>IF(ISBLANK('Data Entry'!$L$193), "", 'Data Entry'!$L$193)</f>
      </c>
      <c r="M193">
        <f>IF(ISBLANK('Data Entry'!$M$193), "", 'Data Entry'!$M$193)</f>
      </c>
      <c r="N193">
        <f>IF(ISBLANK('Data Entry'!$N$193), "", 'Data Entry'!$N$193)</f>
      </c>
      <c r="O193">
        <f>IF(ISBLANK('Data Entry'!$O$193), "", 'Data Entry'!$O$193)</f>
      </c>
      <c r="P193">
        <f>IF(ISBLANK('Data Entry'!$P$193), "", 'Data Entry'!$P$193)</f>
      </c>
      <c r="Q193">
        <f>IF(ISBLANK('Data Entry'!$Q$193), "", 'Data Entry'!$Q$193)</f>
      </c>
      <c r="R193">
        <f>IF(ISBLANK('Data Entry'!$R$193), "", 'Data Entry'!$R$193)</f>
      </c>
      <c r="S193">
        <f>IF(ISBLANK('Data Entry'!$S$193), "", 'Data Entry'!$S$193)</f>
      </c>
      <c r="T193">
        <f>IF(ISBLANK('Data Entry'!$T$193), "", 'Data Entry'!$T$193)</f>
      </c>
      <c r="U193">
        <f>IF(ISBLANK('Data Entry'!$U$193), "", 'Data Entry'!$U$193)</f>
      </c>
      <c r="V193">
        <f>IF(ISBLANK('Data Entry'!$V$193), "", 'Data Entry'!$V$193)</f>
      </c>
      <c r="W193">
        <f>IF(ISBLANK('Data Entry'!$W$193), "", 'Data Entry'!$W$193)</f>
      </c>
      <c r="X193">
        <f>IF(ISBLANK('Data Entry'!$X$193), "", 'Data Entry'!$X$193)</f>
      </c>
      <c r="Y193">
        <f>IF(ISBLANK('Data Entry'!$Y$193), "", 'Data Entry'!$Y$193)</f>
      </c>
      <c r="Z193">
        <f>IF(ISBLANK('Data Entry'!$Z$193), "", 'Data Entry'!$Z$193)</f>
      </c>
      <c r="AA193">
        <f>IF(ISBLANK('Data Entry'!$[$193), "", 'Data Entry'!$[$193)</f>
      </c>
      <c r="AB193">
        <f>IF(ISBLANK('Data Entry'!$\$193), "", 'Data Entry'!$\$193)</f>
      </c>
      <c r="AC193">
        <f>IF(ISBLANK('Data Entry'!$]$193), "", 'Data Entry'!$]$193)</f>
      </c>
      <c r="AD193">
        <f>IF(ISBLANK('Data Entry'!$^$193), "", 'Data Entry'!$^$193)</f>
      </c>
      <c r="AE193">
        <f>IF(ISBLANK('Data Entry'!$_$193), "", 'Data Entry'!$_$193)</f>
      </c>
      <c r="AF193">
        <f>IF(ISBLANK('Data Entry'!$`$193), "", 'Data Entry'!$`$193)</f>
      </c>
      <c r="AG193">
        <f>IF(ISBLANK('Data Entry'!$a$193), "", 'Data Entry'!$a$193)</f>
      </c>
      <c r="AH193">
        <f>IF(ISBLANK('Data Entry'!$b$193), "", 'Data Entry'!$b$193)</f>
      </c>
      <c r="AI193">
        <f>IF(ISBLANK('Data Entry'!$c$193), "", 'Data Entry'!$c$193)</f>
      </c>
      <c r="AJ193">
        <f>IF(ISBLANK('Data Entry'!$d$193), "", 'Data Entry'!$d$193)</f>
      </c>
      <c r="AK193">
        <f>IF(ISBLANK('Data Entry'!$e$193), "", 'Data Entry'!$e$193)</f>
      </c>
      <c r="AL193">
        <f>IF(ISBLANK('Data Entry'!$f$193), "", 'Data Entry'!$f$193)</f>
      </c>
      <c r="AM193">
        <f>IF(ISBLANK('Data Entry'!$g$193), "", 'Data Entry'!$g$193)</f>
      </c>
      <c r="AN193">
        <f>IF(ISBLANK('Data Entry'!$h$193), "", 'Data Entry'!$h$193)</f>
      </c>
      <c r="AO193">
        <f>IF(ISBLANK('Data Entry'!$i$193), "", 'Data Entry'!$i$193)</f>
      </c>
      <c r="AP193">
        <f>IF(ISBLANK('Data Entry'!$j$193), "", 'Data Entry'!$j$193)</f>
      </c>
      <c r="AQ193">
        <f>IF(ISBLANK('Data Entry'!$k$193), "", 'Data Entry'!$k$193)</f>
      </c>
      <c r="AR193">
        <f>IF(ISBLANK('Data Entry'!$l$193), "", 'Data Entry'!$l$193)</f>
      </c>
      <c r="AS193">
        <f>IF(ISBLANK('Data Entry'!$m$193), "", 'Data Entry'!$m$193)</f>
      </c>
      <c r="AT193">
        <f>IF(ISBLANK('Data Entry'!$n$193), "", 'Data Entry'!$n$193)</f>
      </c>
      <c r="AU193">
        <f>IF(ISBLANK('Data Entry'!$o$193), "", 'Data Entry'!$o$193)</f>
      </c>
      <c r="AV193">
        <f>IF(ISBLANK('Data Entry'!$p$193), "", 'Data Entry'!$p$193)</f>
      </c>
      <c r="AW193">
        <f>IF(ISBLANK('Data Entry'!$q$193), "", 'Data Entry'!$q$193)</f>
      </c>
      <c r="AX193">
        <f>IF(ISBLANK('Data Entry'!$r$193), "", 'Data Entry'!$r$193)</f>
      </c>
      <c r="AY193">
        <f>IF(ISBLANK('Data Entry'!$s$193), "", 'Data Entry'!$s$193)</f>
      </c>
      <c r="AZ193">
        <f>IF(ISBLANK('Data Entry'!$t$193), "", 'Data Entry'!$t$193)</f>
      </c>
      <c r="BA193">
        <f>IF(ISBLANK('Data Entry'!$u$193), "", 'Data Entry'!$u$193)</f>
      </c>
      <c r="BB193">
        <f>IF(ISBLANK('Data Entry'!$v$193), "", 'Data Entry'!$v$193)</f>
      </c>
      <c r="BC193">
        <f>IF(ISBLANK('Data Entry'!$w$193), "", 'Data Entry'!$w$193)</f>
      </c>
      <c r="BD193">
        <f>IF(ISBLANK('Data Entry'!$x$193), "", 'Data Entry'!$x$193)</f>
      </c>
      <c r="BE193">
        <f>IF(ISBLANK('Data Entry'!$y$193), "", 'Data Entry'!$y$193)</f>
      </c>
      <c r="BF193">
        <f>IF(ISBLANK('Data Entry'!$z$193), "", 'Data Entry'!$z$193)</f>
      </c>
      <c r="BG193">
        <f>IF(ISBLANK('Data Entry'!${$193), "", 'Data Entry'!${$193)</f>
      </c>
      <c r="BH193">
        <f>IF(ISBLANK('Data Entry'!$|$193), "", 'Data Entry'!$|$193)</f>
      </c>
      <c r="BI193">
        <f>IF(ISBLANK('Data Entry'!$}$193), "", 'Data Entry'!$}$193)</f>
      </c>
      <c r="BJ193">
        <f>IF(ISBLANK('Data Entry'!$~$193), "", 'Data Entry'!$~$193)</f>
      </c>
      <c r="BK193">
        <f>IF(ISBLANK('Data Entry'!$$193), "", 'Data Entry'!$$193)</f>
      </c>
      <c r="BL193">
        <f>IF(ISBLANK('Data Entry'!$$193), "", 'Data Entry'!$$193)</f>
      </c>
      <c r="BM193">
        <f>IF(ISBLANK('Data Entry'!$$193), "", 'Data Entry'!$$193)</f>
      </c>
      <c r="BN193">
        <f>IF(ISBLANK('Data Entry'!$$193), "", 'Data Entry'!$$193)</f>
      </c>
      <c r="BO193">
        <f>IF(ISBLANK('Data Entry'!$$193), "", 'Data Entry'!$$193)</f>
      </c>
      <c r="BP193">
        <f>IF(ISBLANK('Data Entry'!$$193), "", 'Data Entry'!$$193)</f>
      </c>
      <c r="BQ193">
        <f>IF(ISBLANK('Data Entry'!$$193), "", 'Data Entry'!$$193)</f>
      </c>
      <c r="BR193">
        <f>IF(ISBLANK('Data Entry'!$$193), "", 'Data Entry'!$$193)</f>
      </c>
      <c r="BS193">
        <f>IF(ISBLANK('Data Entry'!$$193), "", 'Data Entry'!$$193)</f>
      </c>
      <c r="BT193">
        <f>IF(ISBLANK('Data Entry'!$$193), "", 'Data Entry'!$$193)</f>
      </c>
      <c r="BU193">
        <f>IF(ISBLANK('Data Entry'!$$193), "", 'Data Entry'!$$193)</f>
      </c>
      <c r="BV193">
        <f>IF(ISBLANK('Data Entry'!$$193), "", 'Data Entry'!$$193)</f>
      </c>
      <c r="BW193">
        <f>IF(ISBLANK('Data Entry'!$$193), "", 'Data Entry'!$$193)</f>
      </c>
      <c r="BX193">
        <f>IF(ISBLANK('Data Entry'!$$193), "", 'Data Entry'!$$193)</f>
      </c>
      <c r="BY193">
        <f>IF(ISBLANK('Data Entry'!$$193), "", 'Data Entry'!$$193)</f>
      </c>
      <c r="BZ193">
        <f>IF(ISBLANK('Data Entry'!$$193), "", 'Data Entry'!$$193)</f>
      </c>
      <c r="CA193">
        <f>IF(ISBLANK('Data Entry'!$$193), "", 'Data Entry'!$$193)</f>
      </c>
      <c r="CB193">
        <f>IF(ISBLANK('Data Entry'!$$193), "", 'Data Entry'!$$193)</f>
      </c>
      <c r="CC193">
        <f>IF(ISBLANK('Data Entry'!$$193), "", 'Data Entry'!$$193)</f>
      </c>
      <c r="CD193">
        <f>IF(ISBLANK('Data Entry'!$$193), "", 'Data Entry'!$$193)</f>
      </c>
      <c r="CE193">
        <f>IF(ISBLANK('Data Entry'!$$193), "", 'Data Entry'!$$193)</f>
      </c>
      <c r="CF193">
        <f>IF(ISBLANK('Data Entry'!$$193), "", 'Data Entry'!$$193)</f>
      </c>
      <c r="CG193">
        <f>IF(ISBLANK('Data Entry'!$$193), "", 'Data Entry'!$$193)</f>
      </c>
      <c r="CH193">
        <f>IF(ISBLANK('Data Entry'!$$193), "", 'Data Entry'!$$193)</f>
      </c>
      <c r="CI193">
        <f>IF(ISBLANK('Data Entry'!$$193), "", 'Data Entry'!$$193)</f>
      </c>
      <c r="CJ193">
        <f>IF(ISBLANK('Data Entry'!$$193), "", 'Data Entry'!$$193)</f>
      </c>
      <c r="CK193">
        <f>IF(ISBLANK('Data Entry'!$$193), "", 'Data Entry'!$$193)</f>
      </c>
      <c r="CL193">
        <f>IF(ISBLANK('Data Entry'!$$193), "", 'Data Entry'!$$193)</f>
      </c>
      <c r="CM193">
        <f>IF(ISBLANK('Data Entry'!$$193), "", 'Data Entry'!$$193)</f>
      </c>
      <c r="CN193">
        <f>IF(ISBLANK('Data Entry'!$$193), "", 'Data Entry'!$$193)</f>
      </c>
      <c r="CO193">
        <f>IF(ISBLANK('Data Entry'!$$193), "", 'Data Entry'!$$193)</f>
      </c>
      <c r="CP193">
        <f>IF(ISBLANK('Data Entry'!$$193), "", 'Data Entry'!$$193)</f>
      </c>
      <c r="CQ193">
        <f>IF(ISBLANK('Data Entry'!$$193), "", 'Data Entry'!$$193)</f>
      </c>
      <c r="CR193">
        <f>IF(ISBLANK('Data Entry'!$ $193), "", 'Data Entry'!$ $193)</f>
      </c>
      <c r="CS193">
        <f>IF(ISBLANK('Data Entry'!$¡$193), "", 'Data Entry'!$¡$193)</f>
      </c>
      <c r="CT193">
        <f>IF(ISBLANK('Data Entry'!$¢$193), "", 'Data Entry'!$¢$193)</f>
      </c>
      <c r="CU193">
        <f>IF(ISBLANK('Data Entry'!$£$193), "", 'Data Entry'!$£$193)</f>
      </c>
      <c r="CV193">
        <f>IF(ISBLANK('Data Entry'!$¤$193), "", 'Data Entry'!$¤$193)</f>
      </c>
      <c r="CW193">
        <f>IF(ISBLANK('Data Entry'!$¥$193), "", 'Data Entry'!$¥$193)</f>
      </c>
      <c r="CX193">
        <f>IF(ISBLANK('Data Entry'!$¦$193), "", 'Data Entry'!$¦$193)</f>
      </c>
      <c r="CY193">
        <f>IF(ISBLANK('Data Entry'!$§$193), "", 'Data Entry'!$§$193)</f>
      </c>
      <c r="CZ193">
        <f>IF(ISBLANK('Data Entry'!$¨$193), "", 'Data Entry'!$¨$193)</f>
      </c>
      <c r="DA193">
        <f>IF(ISBLANK('Data Entry'!$©$193), "", 'Data Entry'!$©$193)</f>
      </c>
      <c r="DB193">
        <f>IF(ISBLANK('Data Entry'!$ª$193), "", 'Data Entry'!$ª$193)</f>
      </c>
      <c r="DC193">
        <f>IF(ISBLANK('Data Entry'!$«$193), "", 'Data Entry'!$«$193)</f>
      </c>
      <c r="DD193">
        <f>IF(ISBLANK('Data Entry'!$¬$193), "", 'Data Entry'!$¬$193)</f>
      </c>
      <c r="DE193">
        <f>IF(ISBLANK('Data Entry'!$­$193), "", 'Data Entry'!$­$193)</f>
      </c>
      <c r="DF193">
        <f>IF(ISBLANK('Data Entry'!$®$193), "", 'Data Entry'!$®$193)</f>
      </c>
      <c r="DG193">
        <f>IF(ISBLANK('Data Entry'!$¯$193), "", 'Data Entry'!$¯$193)</f>
      </c>
      <c r="DH193">
        <f>IF(ISBLANK('Data Entry'!$°$193), "", 'Data Entry'!$°$193)</f>
      </c>
      <c r="DI193">
        <f>IF(ISBLANK('Data Entry'!$±$193), "", 'Data Entry'!$±$193)</f>
      </c>
      <c r="DJ193">
        <f>IF(ISBLANK('Data Entry'!$²$193), "", 'Data Entry'!$²$193)</f>
      </c>
      <c r="DK193">
        <f>IF(ISBLANK('Data Entry'!$³$193), "", 'Data Entry'!$³$193)</f>
      </c>
      <c r="DL193">
        <f>IF(ISBLANK('Data Entry'!$´$193), "", 'Data Entry'!$´$193)</f>
      </c>
      <c r="DM193">
        <f>IF(ISBLANK('Data Entry'!$µ$193), "", 'Data Entry'!$µ$193)</f>
      </c>
      <c r="DN193">
        <f>IF(ISBLANK('Data Entry'!$¶$193), "", 'Data Entry'!$¶$193)</f>
      </c>
      <c r="DO193">
        <f>IF(ISBLANK('Data Entry'!$·$193), "", 'Data Entry'!$·$193)</f>
      </c>
      <c r="DP193">
        <f>IF(ISBLANK('Data Entry'!$¸$193), "", 'Data Entry'!$¸$193)</f>
      </c>
      <c r="DQ193">
        <f>IF(ISBLANK('Data Entry'!$¹$193), "", 'Data Entry'!$¹$193)</f>
      </c>
      <c r="DR193">
        <f>IF(ISBLANK('Data Entry'!$º$193), "", 'Data Entry'!$º$193)</f>
      </c>
      <c r="DS193">
        <f>IF(ISBLANK('Data Entry'!$»$193), "", 'Data Entry'!$»$193)</f>
      </c>
      <c r="DT193">
        <f>IF(ISBLANK('Data Entry'!$¼$193), "", 'Data Entry'!$¼$193)</f>
      </c>
      <c r="DU193">
        <f>IF(ISBLANK('Data Entry'!$½$193), "", 'Data Entry'!$½$193)</f>
      </c>
      <c r="DV193">
        <f>IF(ISBLANK('Data Entry'!$¾$193), "", 'Data Entry'!$¾$193)</f>
      </c>
      <c r="DW193">
        <f>IF(ISBLANK('Data Entry'!$¿$193), "", 'Data Entry'!$¿$193)</f>
      </c>
      <c r="DX193">
        <f>IF(ISBLANK('Data Entry'!$À$193), "", 'Data Entry'!$À$193)</f>
      </c>
      <c r="DY193">
        <f>IF(ISBLANK('Data Entry'!$Á$193), "", 'Data Entry'!$Á$193)</f>
      </c>
      <c r="DZ193">
        <f>IF(ISBLANK('Data Entry'!$Â$193), "", 'Data Entry'!$Â$193)</f>
      </c>
      <c r="EA193">
        <f>IF(ISBLANK('Data Entry'!$Ã$193), "", 'Data Entry'!$Ã$193)</f>
      </c>
      <c r="EB193">
        <f>IF(ISBLANK('Data Entry'!$Ä$193), "", 'Data Entry'!$Ä$193)</f>
      </c>
      <c r="EC193">
        <f>IF(ISBLANK('Data Entry'!$Å$193), "", 'Data Entry'!$Å$193)</f>
      </c>
      <c r="ED193">
        <f>IF(ISBLANK('Data Entry'!$Æ$193), "", 'Data Entry'!$Æ$193)</f>
      </c>
      <c r="EE193">
        <f>IF(ISBLANK('Data Entry'!$Ç$193), "", 'Data Entry'!$Ç$193)</f>
      </c>
      <c r="EF193">
        <f>IF(ISBLANK('Data Entry'!$È$193), "", 'Data Entry'!$È$193)</f>
      </c>
      <c r="EG193">
        <f>IF(ISBLANK('Data Entry'!$É$193), "", 'Data Entry'!$É$193)</f>
      </c>
      <c r="EH193">
        <f>IF(ISBLANK('Data Entry'!$Ê$193), "", 'Data Entry'!$Ê$193)</f>
      </c>
      <c r="EI193">
        <f>IF(ISBLANK('Data Entry'!$Ë$193), "", 'Data Entry'!$Ë$193)</f>
      </c>
      <c r="EJ193">
        <f>IF(ISBLANK('Data Entry'!$Ì$193), "", 'Data Entry'!$Ì$193)</f>
      </c>
      <c r="EK193">
        <f>IF(ISBLANK('Data Entry'!$Í$193), "", 'Data Entry'!$Í$193)</f>
      </c>
      <c r="EL193">
        <f>IF(ISBLANK('Data Entry'!$Î$193), "", 'Data Entry'!$Î$193)</f>
      </c>
      <c r="EM193">
        <f>IF(ISBLANK('Data Entry'!$Ï$193), "", 'Data Entry'!$Ï$193)</f>
      </c>
      <c r="EN193">
        <f>IF(ISBLANK('Data Entry'!$Ð$193), "", 'Data Entry'!$Ð$193)</f>
      </c>
      <c r="EO193">
        <f>IF(ISBLANK('Data Entry'!$Ñ$193), "", 'Data Entry'!$Ñ$193)</f>
      </c>
      <c r="EP193">
        <f>IF(ISBLANK('Data Entry'!$Ò$193), "", 'Data Entry'!$Ò$193)</f>
      </c>
      <c r="EQ193">
        <f>IF(ISBLANK('Data Entry'!$Ó$193), "", 'Data Entry'!$Ó$193)</f>
      </c>
      <c r="ER193">
        <f>IF(ISBLANK('Data Entry'!$Ô$193), "", 'Data Entry'!$Ô$193)</f>
      </c>
      <c r="ES193">
        <f>IF(ISBLANK('Data Entry'!$Õ$193), "", 'Data Entry'!$Õ$193)</f>
      </c>
      <c r="ET193">
        <f>IF(ISBLANK('Data Entry'!$Ö$193), "", 'Data Entry'!$Ö$193)</f>
      </c>
      <c r="EU193">
        <f>IF(ISBLANK('Data Entry'!$×$193), "", 'Data Entry'!$×$193)</f>
      </c>
      <c r="EV193">
        <f>IF(ISBLANK('Data Entry'!$Ø$193), "", 'Data Entry'!$Ø$193)</f>
      </c>
      <c r="EW193">
        <f>IF(ISBLANK('Data Entry'!$Ù$193), "", 'Data Entry'!$Ù$193)</f>
      </c>
      <c r="EX193">
        <f>IF(ISBLANK('Data Entry'!$Ú$193), "", 'Data Entry'!$Ú$193)</f>
      </c>
      <c r="EY193">
        <f>IF(ISBLANK('Data Entry'!$Û$193), "", 'Data Entry'!$Û$193)</f>
      </c>
      <c r="EZ193">
        <f>IF(ISBLANK('Data Entry'!$Ü$193), "", 'Data Entry'!$Ü$193)</f>
      </c>
      <c r="FA193">
        <f>IF(ISBLANK('Data Entry'!$Ý$193), "", 'Data Entry'!$Ý$193)</f>
      </c>
      <c r="FB193">
        <f>IF(ISBLANK('Data Entry'!$Þ$193), "", 'Data Entry'!$Þ$193)</f>
      </c>
      <c r="FC193">
        <f>IF(ISBLANK('Data Entry'!$ß$193), "", 'Data Entry'!$ß$193)</f>
      </c>
      <c r="FD193">
        <f>IF(ISBLANK('Data Entry'!$à$193), "", 'Data Entry'!$à$193)</f>
      </c>
      <c r="FE193">
        <f>IF(ISBLANK('Data Entry'!$á$193), "", 'Data Entry'!$á$193)</f>
      </c>
      <c r="FF193">
        <f>IF(ISBLANK('Data Entry'!$â$193), "", 'Data Entry'!$â$193)</f>
      </c>
      <c r="FG193">
        <f>IF(ISBLANK('Data Entry'!$ã$193), "", 'Data Entry'!$ã$193)</f>
      </c>
      <c r="FH193">
        <f>IF(ISBLANK('Data Entry'!$ä$193), "", 'Data Entry'!$ä$193)</f>
      </c>
      <c r="FI193">
        <f>IF(ISBLANK('Data Entry'!$å$193), "", 'Data Entry'!$å$193)</f>
      </c>
      <c r="FJ193">
        <f>IF(ISBLANK('Data Entry'!$æ$193), "", 'Data Entry'!$æ$193)</f>
      </c>
      <c r="FK193">
        <f>IF(ISBLANK('Data Entry'!$ç$193), "", 'Data Entry'!$ç$193)</f>
      </c>
      <c r="FL193">
        <f>IF(ISBLANK('Data Entry'!$è$193), "", 'Data Entry'!$è$193)</f>
      </c>
      <c r="FM193">
        <f>IF(ISBLANK('Data Entry'!$é$193), "", 'Data Entry'!$é$193)</f>
      </c>
      <c r="FN193">
        <f>IF(ISBLANK('Data Entry'!$ê$193), "", 'Data Entry'!$ê$193)</f>
      </c>
      <c r="FO193">
        <f>IF(ISBLANK('Data Entry'!$ë$193), "", 'Data Entry'!$ë$193)</f>
      </c>
      <c r="FP193">
        <f>IF(ISBLANK('Data Entry'!$ì$193), "", 'Data Entry'!$ì$193)</f>
      </c>
      <c r="FQ193">
        <f>IF(ISBLANK('Data Entry'!$í$193), "", 'Data Entry'!$í$193)</f>
      </c>
      <c r="FR193">
        <f>IF(ISBLANK('Data Entry'!$î$193), "", 'Data Entry'!$î$193)</f>
      </c>
      <c r="FS193">
        <f>IF(ISBLANK('Data Entry'!$ï$193), "", 'Data Entry'!$ï$193)</f>
      </c>
      <c r="FT193">
        <f>IF(ISBLANK('Data Entry'!$ð$193), "", 'Data Entry'!$ð$193)</f>
      </c>
      <c r="FU193">
        <f>IF(ISBLANK('Data Entry'!$ñ$193), "", 'Data Entry'!$ñ$193)</f>
      </c>
      <c r="FV193">
        <f>IF(ISBLANK('Data Entry'!$ò$193), "", 'Data Entry'!$ò$193)</f>
      </c>
      <c r="FW193">
        <f>IF(ISBLANK('Data Entry'!$ó$193), "", 'Data Entry'!$ó$193)</f>
      </c>
      <c r="FX193">
        <f>IF(ISBLANK('Data Entry'!$ô$193), "", 'Data Entry'!$ô$193)</f>
      </c>
      <c r="FY193">
        <f>IF(ISBLANK('Data Entry'!$õ$193), "", 'Data Entry'!$õ$193)</f>
      </c>
      <c r="FZ193">
        <f>IF(ISBLANK('Data Entry'!$ö$193), "", 'Data Entry'!$ö$193)</f>
      </c>
      <c r="GA193">
        <f>IF(ISBLANK('Data Entry'!$÷$193), "", 'Data Entry'!$÷$193)</f>
      </c>
      <c r="GB193">
        <f>IF(ISBLANK('Data Entry'!$ø$193), "", 'Data Entry'!$ø$193)</f>
      </c>
      <c r="GC193">
        <f>IF(ISBLANK('Data Entry'!$ù$193), "", 'Data Entry'!$ù$193)</f>
      </c>
      <c r="GD193">
        <f>IF(ISBLANK('Data Entry'!$ú$193), "", 'Data Entry'!$ú$193)</f>
      </c>
      <c r="GE193">
        <f>IF(ISBLANK('Data Entry'!$û$193), "", 'Data Entry'!$û$193)</f>
      </c>
      <c r="GF193">
        <f>IF(ISBLANK('Data Entry'!$ü$193), "", 'Data Entry'!$ü$193)</f>
      </c>
      <c r="GG193">
        <f>IF(ISBLANK('Data Entry'!$ý$193), "", 'Data Entry'!$ý$193)</f>
      </c>
      <c r="GH193">
        <f>IF(ISBLANK('Data Entry'!$þ$193), "", 'Data Entry'!$þ$193)</f>
      </c>
      <c r="GI193">
        <f>IF(ISBLANK('Data Entry'!$ÿ$193), "", 'Data Entry'!$ÿ$193)</f>
      </c>
      <c r="GJ193">
        <f>IF(ISBLANK('Data Entry'!$Ā$193), "", 'Data Entry'!$Ā$193)</f>
      </c>
      <c r="GK193">
        <f>IF(ISBLANK('Data Entry'!$ā$193), "", 'Data Entry'!$ā$193)</f>
      </c>
      <c r="GL193">
        <f>IF(ISBLANK('Data Entry'!$Ă$193), "", 'Data Entry'!$Ă$193)</f>
      </c>
      <c r="GM193">
        <f>IF(ISBLANK('Data Entry'!$ă$193), "", 'Data Entry'!$ă$193)</f>
      </c>
      <c r="GN193">
        <f>IF(ISBLANK('Data Entry'!$Ą$193), "", 'Data Entry'!$Ą$193)</f>
      </c>
      <c r="GO193">
        <f>IF(ISBLANK('Data Entry'!$ą$193), "", 'Data Entry'!$ą$193)</f>
      </c>
      <c r="GP193">
        <f>IF(ISBLANK('Data Entry'!$Ć$193), "", 'Data Entry'!$Ć$193)</f>
      </c>
      <c r="GQ193">
        <f>IF(ISBLANK('Data Entry'!$ć$193), "", 'Data Entry'!$ć$193)</f>
      </c>
      <c r="GR193">
        <f>IF(ISBLANK('Data Entry'!$Ĉ$193), "", 'Data Entry'!$Ĉ$193)</f>
      </c>
      <c r="GS193">
        <f>IF(ISBLANK('Data Entry'!$ĉ$193), "", 'Data Entry'!$ĉ$193)</f>
      </c>
      <c r="GT193">
        <f>IF(ISBLANK('Data Entry'!$Ċ$193), "", 'Data Entry'!$Ċ$193)</f>
      </c>
      <c r="GU193">
        <f>IF(ISBLANK('Data Entry'!$ċ$193), "", 'Data Entry'!$ċ$193)</f>
      </c>
      <c r="GV193">
        <f>IF(ISBLANK('Data Entry'!$Č$193), "", 'Data Entry'!$Č$193)</f>
      </c>
      <c r="GW193">
        <f>IF(ISBLANK('Data Entry'!$č$193), "", 'Data Entry'!$č$193)</f>
      </c>
      <c r="GX193">
        <f>IF(ISBLANK('Data Entry'!$Ď$193), "", 'Data Entry'!$Ď$193)</f>
      </c>
      <c r="GY193">
        <f>IF(ISBLANK('Data Entry'!$ď$193), "", 'Data Entry'!$ď$193)</f>
      </c>
      <c r="GZ193">
        <f>IF(ISBLANK('Data Entry'!$Đ$193), "", 'Data Entry'!$Đ$193)</f>
      </c>
      <c r="HA193">
        <f>IF(ISBLANK('Data Entry'!$đ$193), "", 'Data Entry'!$đ$193)</f>
      </c>
      <c r="HB193">
        <f>IF(ISBLANK('Data Entry'!$Ē$193), "", 'Data Entry'!$Ē$193)</f>
      </c>
      <c r="HC193">
        <f>IF(ISBLANK('Data Entry'!$ē$193), "", 'Data Entry'!$ē$193)</f>
      </c>
      <c r="HD193">
        <f>IF(ISBLANK('Data Entry'!$Ĕ$193), "", 'Data Entry'!$Ĕ$193)</f>
      </c>
      <c r="HE193">
        <f>IF(ISBLANK('Data Entry'!$ĕ$193), "", 'Data Entry'!$ĕ$193)</f>
      </c>
      <c r="HF193">
        <f>IF(ISBLANK('Data Entry'!$Ė$193), "", 'Data Entry'!$Ė$193)</f>
      </c>
      <c r="HG193">
        <f>IF(ISBLANK('Data Entry'!$ė$193), "", 'Data Entry'!$ė$193)</f>
      </c>
      <c r="HH193">
        <f>IF(ISBLANK('Data Entry'!$Ę$193), "", 'Data Entry'!$Ę$193)</f>
      </c>
      <c r="HI193">
        <f>IF(ISBLANK('Data Entry'!$ę$193), "", 'Data Entry'!$ę$193)</f>
      </c>
      <c r="HJ193">
        <f>IF(ISBLANK('Data Entry'!$Ě$193), "", 'Data Entry'!$Ě$193)</f>
      </c>
      <c r="HK193">
        <f>IF(ISBLANK('Data Entry'!$ě$193), "", 'Data Entry'!$ě$193)</f>
      </c>
      <c r="HL193">
        <f>IF(ISBLANK('Data Entry'!$Ĝ$193), "", 'Data Entry'!$Ĝ$193)</f>
      </c>
      <c r="HM193">
        <f>IF(ISBLANK('Data Entry'!$ĝ$193), "", 'Data Entry'!$ĝ$193)</f>
      </c>
      <c r="HN193">
        <f>IF(ISBLANK('Data Entry'!$Ğ$193), "", 'Data Entry'!$Ğ$193)</f>
      </c>
      <c r="HO193">
        <f>IF(ISBLANK('Data Entry'!$ğ$193), "", 'Data Entry'!$ğ$193)</f>
      </c>
      <c r="HP193">
        <f>IF(ISBLANK('Data Entry'!$Ġ$193), "", 'Data Entry'!$Ġ$193)</f>
      </c>
      <c r="HQ193">
        <f>IF(ISBLANK('Data Entry'!$ġ$193), "", 'Data Entry'!$ġ$193)</f>
      </c>
      <c r="HR193">
        <f>IF(ISBLANK('Data Entry'!$Ģ$193), "", 'Data Entry'!$Ģ$193)</f>
      </c>
      <c r="HS193">
        <f>IF(ISBLANK('Data Entry'!$ģ$193), "", 'Data Entry'!$ģ$193)</f>
      </c>
      <c r="HT193">
        <f>IF(ISBLANK('Data Entry'!$Ĥ$193), "", 'Data Entry'!$Ĥ$193)</f>
      </c>
      <c r="HU193">
        <f>IF(ISBLANK('Data Entry'!$ĥ$193), "", 'Data Entry'!$ĥ$193)</f>
      </c>
      <c r="HV193">
        <f>IF(ISBLANK('Data Entry'!$Ħ$193), "", 'Data Entry'!$Ħ$193)</f>
      </c>
      <c r="HW193">
        <f>IF(ISBLANK('Data Entry'!$ħ$193), "", 'Data Entry'!$ħ$193)</f>
      </c>
      <c r="HX193">
        <f>IF(ISBLANK('Data Entry'!$Ĩ$193), "", 'Data Entry'!$Ĩ$193)</f>
      </c>
      <c r="HY193">
        <f>IF(ISBLANK('Data Entry'!$ĩ$193), "", 'Data Entry'!$ĩ$193)</f>
      </c>
      <c r="HZ193">
        <f>IF(ISBLANK('Data Entry'!$Ī$193), "", 'Data Entry'!$Ī$193)</f>
      </c>
      <c r="IA193">
        <f>IF(ISBLANK('Data Entry'!$ī$193), "", 'Data Entry'!$ī$193)</f>
      </c>
      <c r="IB193">
        <f>IF(ISBLANK('Data Entry'!$Ĭ$193), "", 'Data Entry'!$Ĭ$193)</f>
      </c>
      <c r="IC193">
        <f>IF(ISBLANK('Data Entry'!$ĭ$193), "", 'Data Entry'!$ĭ$193)</f>
      </c>
      <c r="ID193">
        <f>IF(ISBLANK('Data Entry'!$Į$193), "", 'Data Entry'!$Į$193)</f>
      </c>
      <c r="IE193">
        <f>IF(ISBLANK('Data Entry'!$į$193), "", 'Data Entry'!$į$193)</f>
      </c>
      <c r="IF193">
        <f>IF(ISBLANK('Data Entry'!$İ$193), "", 'Data Entry'!$İ$193)</f>
      </c>
      <c r="IG193">
        <f>IF(ISBLANK('Data Entry'!$ı$193), "", 'Data Entry'!$ı$193)</f>
      </c>
      <c r="IH193">
        <f>IF(ISBLANK('Data Entry'!$Ĳ$193), "", 'Data Entry'!$Ĳ$193)</f>
      </c>
      <c r="II193">
        <f>IF(ISBLANK('Data Entry'!$ĳ$193), "", 'Data Entry'!$ĳ$193)</f>
      </c>
      <c r="IJ193">
        <f>IF(ISBLANK('Data Entry'!$Ĵ$193), "", 'Data Entry'!$Ĵ$193)</f>
      </c>
      <c r="IK193">
        <f>IF(ISBLANK('Data Entry'!$ĵ$193), "", 'Data Entry'!$ĵ$193)</f>
      </c>
      <c r="IL193">
        <f>IF(ISBLANK('Data Entry'!$Ķ$193), "", 'Data Entry'!$Ķ$193)</f>
      </c>
      <c r="IM193">
        <f>IF(ISBLANK('Data Entry'!$ķ$193), "", 'Data Entry'!$ķ$193)</f>
      </c>
      <c r="IN193">
        <f>IF(ISBLANK('Data Entry'!$ĸ$193), "", 'Data Entry'!$ĸ$193)</f>
      </c>
      <c r="IO193">
        <f>IF(ISBLANK('Data Entry'!$Ĺ$193), "", 'Data Entry'!$Ĺ$193)</f>
      </c>
      <c r="IP193">
        <f>IF(ISBLANK('Data Entry'!$ĺ$193), "", 'Data Entry'!$ĺ$193)</f>
      </c>
      <c r="IQ193">
        <f>IF(ISBLANK('Data Entry'!$Ļ$193), "", 'Data Entry'!$Ļ$193)</f>
      </c>
      <c r="IR193">
        <f>IF(ISBLANK('Data Entry'!$ļ$193), "", 'Data Entry'!$ļ$193)</f>
      </c>
      <c r="IS193">
        <f>IF(ISBLANK('Data Entry'!$Ľ$193), "", 'Data Entry'!$Ľ$193)</f>
      </c>
      <c r="IT193">
        <f>IF(ISBLANK('Data Entry'!$ľ$193), "", 'Data Entry'!$ľ$193)</f>
      </c>
    </row>
    <row r="194" spans="1:254" x14ac:dyDescent="0.25">
      <c r="A194">
        <f>IF(ISBLANK('Data Entry'!$A$194), "", 'Data Entry'!$A$194)</f>
      </c>
      <c r="B194">
        <f>IF(ISBLANK('Data Entry'!$B$194), "", 'Data Entry'!$B$194)</f>
      </c>
      <c r="C194">
        <f>IF(ISBLANK('Data Entry'!$C$194), "", 'Data Entry'!$C$194)</f>
      </c>
      <c r="D194">
        <f>IF(ISBLANK('Data Entry'!$D$194), "", 'Data Entry'!$D$194)</f>
      </c>
      <c r="E194">
        <f>IF(ISBLANK('Data Entry'!$E$194), "", 'Data Entry'!$E$194)</f>
      </c>
      <c r="F194">
        <f>IF(ISBLANK('Data Entry'!$F$194), "", 'Data Entry'!$F$194)</f>
      </c>
      <c r="G194">
        <f>IF(ISBLANK('Data Entry'!$G$194), "", 'Data Entry'!$G$194)</f>
      </c>
      <c r="H194">
        <f>IF(ISBLANK('Data Entry'!$H$194), "", 'Data Entry'!$H$194)</f>
      </c>
      <c r="I194">
        <f>IF(ISBLANK('Data Entry'!$I$194), "", 'Data Entry'!$I$194)</f>
      </c>
      <c r="J194">
        <f>IF(ISBLANK('Data Entry'!$J$194), "", 'Data Entry'!$J$194)</f>
      </c>
      <c r="K194">
        <f>IF(ISBLANK('Data Entry'!$K$194), "", 'Data Entry'!$K$194)</f>
      </c>
      <c r="L194">
        <f>IF(ISBLANK('Data Entry'!$L$194), "", 'Data Entry'!$L$194)</f>
      </c>
      <c r="M194">
        <f>IF(ISBLANK('Data Entry'!$M$194), "", 'Data Entry'!$M$194)</f>
      </c>
      <c r="N194">
        <f>IF(ISBLANK('Data Entry'!$N$194), "", 'Data Entry'!$N$194)</f>
      </c>
      <c r="O194">
        <f>IF(ISBLANK('Data Entry'!$O$194), "", 'Data Entry'!$O$194)</f>
      </c>
      <c r="P194">
        <f>IF(ISBLANK('Data Entry'!$P$194), "", 'Data Entry'!$P$194)</f>
      </c>
      <c r="Q194">
        <f>IF(ISBLANK('Data Entry'!$Q$194), "", 'Data Entry'!$Q$194)</f>
      </c>
      <c r="R194">
        <f>IF(ISBLANK('Data Entry'!$R$194), "", 'Data Entry'!$R$194)</f>
      </c>
      <c r="S194">
        <f>IF(ISBLANK('Data Entry'!$S$194), "", 'Data Entry'!$S$194)</f>
      </c>
      <c r="T194">
        <f>IF(ISBLANK('Data Entry'!$T$194), "", 'Data Entry'!$T$194)</f>
      </c>
      <c r="U194">
        <f>IF(ISBLANK('Data Entry'!$U$194), "", 'Data Entry'!$U$194)</f>
      </c>
      <c r="V194">
        <f>IF(ISBLANK('Data Entry'!$V$194), "", 'Data Entry'!$V$194)</f>
      </c>
      <c r="W194">
        <f>IF(ISBLANK('Data Entry'!$W$194), "", 'Data Entry'!$W$194)</f>
      </c>
      <c r="X194">
        <f>IF(ISBLANK('Data Entry'!$X$194), "", 'Data Entry'!$X$194)</f>
      </c>
      <c r="Y194">
        <f>IF(ISBLANK('Data Entry'!$Y$194), "", 'Data Entry'!$Y$194)</f>
      </c>
      <c r="Z194">
        <f>IF(ISBLANK('Data Entry'!$Z$194), "", 'Data Entry'!$Z$194)</f>
      </c>
      <c r="AA194">
        <f>IF(ISBLANK('Data Entry'!$[$194), "", 'Data Entry'!$[$194)</f>
      </c>
      <c r="AB194">
        <f>IF(ISBLANK('Data Entry'!$\$194), "", 'Data Entry'!$\$194)</f>
      </c>
      <c r="AC194">
        <f>IF(ISBLANK('Data Entry'!$]$194), "", 'Data Entry'!$]$194)</f>
      </c>
      <c r="AD194">
        <f>IF(ISBLANK('Data Entry'!$^$194), "", 'Data Entry'!$^$194)</f>
      </c>
      <c r="AE194">
        <f>IF(ISBLANK('Data Entry'!$_$194), "", 'Data Entry'!$_$194)</f>
      </c>
      <c r="AF194">
        <f>IF(ISBLANK('Data Entry'!$`$194), "", 'Data Entry'!$`$194)</f>
      </c>
      <c r="AG194">
        <f>IF(ISBLANK('Data Entry'!$a$194), "", 'Data Entry'!$a$194)</f>
      </c>
      <c r="AH194">
        <f>IF(ISBLANK('Data Entry'!$b$194), "", 'Data Entry'!$b$194)</f>
      </c>
      <c r="AI194">
        <f>IF(ISBLANK('Data Entry'!$c$194), "", 'Data Entry'!$c$194)</f>
      </c>
      <c r="AJ194">
        <f>IF(ISBLANK('Data Entry'!$d$194), "", 'Data Entry'!$d$194)</f>
      </c>
      <c r="AK194">
        <f>IF(ISBLANK('Data Entry'!$e$194), "", 'Data Entry'!$e$194)</f>
      </c>
      <c r="AL194">
        <f>IF(ISBLANK('Data Entry'!$f$194), "", 'Data Entry'!$f$194)</f>
      </c>
      <c r="AM194">
        <f>IF(ISBLANK('Data Entry'!$g$194), "", 'Data Entry'!$g$194)</f>
      </c>
      <c r="AN194">
        <f>IF(ISBLANK('Data Entry'!$h$194), "", 'Data Entry'!$h$194)</f>
      </c>
      <c r="AO194">
        <f>IF(ISBLANK('Data Entry'!$i$194), "", 'Data Entry'!$i$194)</f>
      </c>
      <c r="AP194">
        <f>IF(ISBLANK('Data Entry'!$j$194), "", 'Data Entry'!$j$194)</f>
      </c>
      <c r="AQ194">
        <f>IF(ISBLANK('Data Entry'!$k$194), "", 'Data Entry'!$k$194)</f>
      </c>
      <c r="AR194">
        <f>IF(ISBLANK('Data Entry'!$l$194), "", 'Data Entry'!$l$194)</f>
      </c>
      <c r="AS194">
        <f>IF(ISBLANK('Data Entry'!$m$194), "", 'Data Entry'!$m$194)</f>
      </c>
      <c r="AT194">
        <f>IF(ISBLANK('Data Entry'!$n$194), "", 'Data Entry'!$n$194)</f>
      </c>
      <c r="AU194">
        <f>IF(ISBLANK('Data Entry'!$o$194), "", 'Data Entry'!$o$194)</f>
      </c>
      <c r="AV194">
        <f>IF(ISBLANK('Data Entry'!$p$194), "", 'Data Entry'!$p$194)</f>
      </c>
      <c r="AW194">
        <f>IF(ISBLANK('Data Entry'!$q$194), "", 'Data Entry'!$q$194)</f>
      </c>
      <c r="AX194">
        <f>IF(ISBLANK('Data Entry'!$r$194), "", 'Data Entry'!$r$194)</f>
      </c>
      <c r="AY194">
        <f>IF(ISBLANK('Data Entry'!$s$194), "", 'Data Entry'!$s$194)</f>
      </c>
      <c r="AZ194">
        <f>IF(ISBLANK('Data Entry'!$t$194), "", 'Data Entry'!$t$194)</f>
      </c>
      <c r="BA194">
        <f>IF(ISBLANK('Data Entry'!$u$194), "", 'Data Entry'!$u$194)</f>
      </c>
      <c r="BB194">
        <f>IF(ISBLANK('Data Entry'!$v$194), "", 'Data Entry'!$v$194)</f>
      </c>
      <c r="BC194">
        <f>IF(ISBLANK('Data Entry'!$w$194), "", 'Data Entry'!$w$194)</f>
      </c>
      <c r="BD194">
        <f>IF(ISBLANK('Data Entry'!$x$194), "", 'Data Entry'!$x$194)</f>
      </c>
      <c r="BE194">
        <f>IF(ISBLANK('Data Entry'!$y$194), "", 'Data Entry'!$y$194)</f>
      </c>
      <c r="BF194">
        <f>IF(ISBLANK('Data Entry'!$z$194), "", 'Data Entry'!$z$194)</f>
      </c>
      <c r="BG194">
        <f>IF(ISBLANK('Data Entry'!${$194), "", 'Data Entry'!${$194)</f>
      </c>
      <c r="BH194">
        <f>IF(ISBLANK('Data Entry'!$|$194), "", 'Data Entry'!$|$194)</f>
      </c>
      <c r="BI194">
        <f>IF(ISBLANK('Data Entry'!$}$194), "", 'Data Entry'!$}$194)</f>
      </c>
      <c r="BJ194">
        <f>IF(ISBLANK('Data Entry'!$~$194), "", 'Data Entry'!$~$194)</f>
      </c>
      <c r="BK194">
        <f>IF(ISBLANK('Data Entry'!$$194), "", 'Data Entry'!$$194)</f>
      </c>
      <c r="BL194">
        <f>IF(ISBLANK('Data Entry'!$$194), "", 'Data Entry'!$$194)</f>
      </c>
      <c r="BM194">
        <f>IF(ISBLANK('Data Entry'!$$194), "", 'Data Entry'!$$194)</f>
      </c>
      <c r="BN194">
        <f>IF(ISBLANK('Data Entry'!$$194), "", 'Data Entry'!$$194)</f>
      </c>
      <c r="BO194">
        <f>IF(ISBLANK('Data Entry'!$$194), "", 'Data Entry'!$$194)</f>
      </c>
      <c r="BP194">
        <f>IF(ISBLANK('Data Entry'!$$194), "", 'Data Entry'!$$194)</f>
      </c>
      <c r="BQ194">
        <f>IF(ISBLANK('Data Entry'!$$194), "", 'Data Entry'!$$194)</f>
      </c>
      <c r="BR194">
        <f>IF(ISBLANK('Data Entry'!$$194), "", 'Data Entry'!$$194)</f>
      </c>
      <c r="BS194">
        <f>IF(ISBLANK('Data Entry'!$$194), "", 'Data Entry'!$$194)</f>
      </c>
      <c r="BT194">
        <f>IF(ISBLANK('Data Entry'!$$194), "", 'Data Entry'!$$194)</f>
      </c>
      <c r="BU194">
        <f>IF(ISBLANK('Data Entry'!$$194), "", 'Data Entry'!$$194)</f>
      </c>
      <c r="BV194">
        <f>IF(ISBLANK('Data Entry'!$$194), "", 'Data Entry'!$$194)</f>
      </c>
      <c r="BW194">
        <f>IF(ISBLANK('Data Entry'!$$194), "", 'Data Entry'!$$194)</f>
      </c>
      <c r="BX194">
        <f>IF(ISBLANK('Data Entry'!$$194), "", 'Data Entry'!$$194)</f>
      </c>
      <c r="BY194">
        <f>IF(ISBLANK('Data Entry'!$$194), "", 'Data Entry'!$$194)</f>
      </c>
      <c r="BZ194">
        <f>IF(ISBLANK('Data Entry'!$$194), "", 'Data Entry'!$$194)</f>
      </c>
      <c r="CA194">
        <f>IF(ISBLANK('Data Entry'!$$194), "", 'Data Entry'!$$194)</f>
      </c>
      <c r="CB194">
        <f>IF(ISBLANK('Data Entry'!$$194), "", 'Data Entry'!$$194)</f>
      </c>
      <c r="CC194">
        <f>IF(ISBLANK('Data Entry'!$$194), "", 'Data Entry'!$$194)</f>
      </c>
      <c r="CD194">
        <f>IF(ISBLANK('Data Entry'!$$194), "", 'Data Entry'!$$194)</f>
      </c>
      <c r="CE194">
        <f>IF(ISBLANK('Data Entry'!$$194), "", 'Data Entry'!$$194)</f>
      </c>
      <c r="CF194">
        <f>IF(ISBLANK('Data Entry'!$$194), "", 'Data Entry'!$$194)</f>
      </c>
      <c r="CG194">
        <f>IF(ISBLANK('Data Entry'!$$194), "", 'Data Entry'!$$194)</f>
      </c>
      <c r="CH194">
        <f>IF(ISBLANK('Data Entry'!$$194), "", 'Data Entry'!$$194)</f>
      </c>
      <c r="CI194">
        <f>IF(ISBLANK('Data Entry'!$$194), "", 'Data Entry'!$$194)</f>
      </c>
      <c r="CJ194">
        <f>IF(ISBLANK('Data Entry'!$$194), "", 'Data Entry'!$$194)</f>
      </c>
      <c r="CK194">
        <f>IF(ISBLANK('Data Entry'!$$194), "", 'Data Entry'!$$194)</f>
      </c>
      <c r="CL194">
        <f>IF(ISBLANK('Data Entry'!$$194), "", 'Data Entry'!$$194)</f>
      </c>
      <c r="CM194">
        <f>IF(ISBLANK('Data Entry'!$$194), "", 'Data Entry'!$$194)</f>
      </c>
      <c r="CN194">
        <f>IF(ISBLANK('Data Entry'!$$194), "", 'Data Entry'!$$194)</f>
      </c>
      <c r="CO194">
        <f>IF(ISBLANK('Data Entry'!$$194), "", 'Data Entry'!$$194)</f>
      </c>
      <c r="CP194">
        <f>IF(ISBLANK('Data Entry'!$$194), "", 'Data Entry'!$$194)</f>
      </c>
      <c r="CQ194">
        <f>IF(ISBLANK('Data Entry'!$$194), "", 'Data Entry'!$$194)</f>
      </c>
      <c r="CR194">
        <f>IF(ISBLANK('Data Entry'!$ $194), "", 'Data Entry'!$ $194)</f>
      </c>
      <c r="CS194">
        <f>IF(ISBLANK('Data Entry'!$¡$194), "", 'Data Entry'!$¡$194)</f>
      </c>
      <c r="CT194">
        <f>IF(ISBLANK('Data Entry'!$¢$194), "", 'Data Entry'!$¢$194)</f>
      </c>
      <c r="CU194">
        <f>IF(ISBLANK('Data Entry'!$£$194), "", 'Data Entry'!$£$194)</f>
      </c>
      <c r="CV194">
        <f>IF(ISBLANK('Data Entry'!$¤$194), "", 'Data Entry'!$¤$194)</f>
      </c>
      <c r="CW194">
        <f>IF(ISBLANK('Data Entry'!$¥$194), "", 'Data Entry'!$¥$194)</f>
      </c>
      <c r="CX194">
        <f>IF(ISBLANK('Data Entry'!$¦$194), "", 'Data Entry'!$¦$194)</f>
      </c>
      <c r="CY194">
        <f>IF(ISBLANK('Data Entry'!$§$194), "", 'Data Entry'!$§$194)</f>
      </c>
      <c r="CZ194">
        <f>IF(ISBLANK('Data Entry'!$¨$194), "", 'Data Entry'!$¨$194)</f>
      </c>
      <c r="DA194">
        <f>IF(ISBLANK('Data Entry'!$©$194), "", 'Data Entry'!$©$194)</f>
      </c>
      <c r="DB194">
        <f>IF(ISBLANK('Data Entry'!$ª$194), "", 'Data Entry'!$ª$194)</f>
      </c>
      <c r="DC194">
        <f>IF(ISBLANK('Data Entry'!$«$194), "", 'Data Entry'!$«$194)</f>
      </c>
      <c r="DD194">
        <f>IF(ISBLANK('Data Entry'!$¬$194), "", 'Data Entry'!$¬$194)</f>
      </c>
      <c r="DE194">
        <f>IF(ISBLANK('Data Entry'!$­$194), "", 'Data Entry'!$­$194)</f>
      </c>
      <c r="DF194">
        <f>IF(ISBLANK('Data Entry'!$®$194), "", 'Data Entry'!$®$194)</f>
      </c>
      <c r="DG194">
        <f>IF(ISBLANK('Data Entry'!$¯$194), "", 'Data Entry'!$¯$194)</f>
      </c>
      <c r="DH194">
        <f>IF(ISBLANK('Data Entry'!$°$194), "", 'Data Entry'!$°$194)</f>
      </c>
      <c r="DI194">
        <f>IF(ISBLANK('Data Entry'!$±$194), "", 'Data Entry'!$±$194)</f>
      </c>
      <c r="DJ194">
        <f>IF(ISBLANK('Data Entry'!$²$194), "", 'Data Entry'!$²$194)</f>
      </c>
      <c r="DK194">
        <f>IF(ISBLANK('Data Entry'!$³$194), "", 'Data Entry'!$³$194)</f>
      </c>
      <c r="DL194">
        <f>IF(ISBLANK('Data Entry'!$´$194), "", 'Data Entry'!$´$194)</f>
      </c>
      <c r="DM194">
        <f>IF(ISBLANK('Data Entry'!$µ$194), "", 'Data Entry'!$µ$194)</f>
      </c>
      <c r="DN194">
        <f>IF(ISBLANK('Data Entry'!$¶$194), "", 'Data Entry'!$¶$194)</f>
      </c>
      <c r="DO194">
        <f>IF(ISBLANK('Data Entry'!$·$194), "", 'Data Entry'!$·$194)</f>
      </c>
      <c r="DP194">
        <f>IF(ISBLANK('Data Entry'!$¸$194), "", 'Data Entry'!$¸$194)</f>
      </c>
      <c r="DQ194">
        <f>IF(ISBLANK('Data Entry'!$¹$194), "", 'Data Entry'!$¹$194)</f>
      </c>
      <c r="DR194">
        <f>IF(ISBLANK('Data Entry'!$º$194), "", 'Data Entry'!$º$194)</f>
      </c>
      <c r="DS194">
        <f>IF(ISBLANK('Data Entry'!$»$194), "", 'Data Entry'!$»$194)</f>
      </c>
      <c r="DT194">
        <f>IF(ISBLANK('Data Entry'!$¼$194), "", 'Data Entry'!$¼$194)</f>
      </c>
      <c r="DU194">
        <f>IF(ISBLANK('Data Entry'!$½$194), "", 'Data Entry'!$½$194)</f>
      </c>
      <c r="DV194">
        <f>IF(ISBLANK('Data Entry'!$¾$194), "", 'Data Entry'!$¾$194)</f>
      </c>
      <c r="DW194">
        <f>IF(ISBLANK('Data Entry'!$¿$194), "", 'Data Entry'!$¿$194)</f>
      </c>
      <c r="DX194">
        <f>IF(ISBLANK('Data Entry'!$À$194), "", 'Data Entry'!$À$194)</f>
      </c>
      <c r="DY194">
        <f>IF(ISBLANK('Data Entry'!$Á$194), "", 'Data Entry'!$Á$194)</f>
      </c>
      <c r="DZ194">
        <f>IF(ISBLANK('Data Entry'!$Â$194), "", 'Data Entry'!$Â$194)</f>
      </c>
      <c r="EA194">
        <f>IF(ISBLANK('Data Entry'!$Ã$194), "", 'Data Entry'!$Ã$194)</f>
      </c>
      <c r="EB194">
        <f>IF(ISBLANK('Data Entry'!$Ä$194), "", 'Data Entry'!$Ä$194)</f>
      </c>
      <c r="EC194">
        <f>IF(ISBLANK('Data Entry'!$Å$194), "", 'Data Entry'!$Å$194)</f>
      </c>
      <c r="ED194">
        <f>IF(ISBLANK('Data Entry'!$Æ$194), "", 'Data Entry'!$Æ$194)</f>
      </c>
      <c r="EE194">
        <f>IF(ISBLANK('Data Entry'!$Ç$194), "", 'Data Entry'!$Ç$194)</f>
      </c>
      <c r="EF194">
        <f>IF(ISBLANK('Data Entry'!$È$194), "", 'Data Entry'!$È$194)</f>
      </c>
      <c r="EG194">
        <f>IF(ISBLANK('Data Entry'!$É$194), "", 'Data Entry'!$É$194)</f>
      </c>
      <c r="EH194">
        <f>IF(ISBLANK('Data Entry'!$Ê$194), "", 'Data Entry'!$Ê$194)</f>
      </c>
      <c r="EI194">
        <f>IF(ISBLANK('Data Entry'!$Ë$194), "", 'Data Entry'!$Ë$194)</f>
      </c>
      <c r="EJ194">
        <f>IF(ISBLANK('Data Entry'!$Ì$194), "", 'Data Entry'!$Ì$194)</f>
      </c>
      <c r="EK194">
        <f>IF(ISBLANK('Data Entry'!$Í$194), "", 'Data Entry'!$Í$194)</f>
      </c>
      <c r="EL194">
        <f>IF(ISBLANK('Data Entry'!$Î$194), "", 'Data Entry'!$Î$194)</f>
      </c>
      <c r="EM194">
        <f>IF(ISBLANK('Data Entry'!$Ï$194), "", 'Data Entry'!$Ï$194)</f>
      </c>
      <c r="EN194">
        <f>IF(ISBLANK('Data Entry'!$Ð$194), "", 'Data Entry'!$Ð$194)</f>
      </c>
      <c r="EO194">
        <f>IF(ISBLANK('Data Entry'!$Ñ$194), "", 'Data Entry'!$Ñ$194)</f>
      </c>
      <c r="EP194">
        <f>IF(ISBLANK('Data Entry'!$Ò$194), "", 'Data Entry'!$Ò$194)</f>
      </c>
      <c r="EQ194">
        <f>IF(ISBLANK('Data Entry'!$Ó$194), "", 'Data Entry'!$Ó$194)</f>
      </c>
      <c r="ER194">
        <f>IF(ISBLANK('Data Entry'!$Ô$194), "", 'Data Entry'!$Ô$194)</f>
      </c>
      <c r="ES194">
        <f>IF(ISBLANK('Data Entry'!$Õ$194), "", 'Data Entry'!$Õ$194)</f>
      </c>
      <c r="ET194">
        <f>IF(ISBLANK('Data Entry'!$Ö$194), "", 'Data Entry'!$Ö$194)</f>
      </c>
      <c r="EU194">
        <f>IF(ISBLANK('Data Entry'!$×$194), "", 'Data Entry'!$×$194)</f>
      </c>
      <c r="EV194">
        <f>IF(ISBLANK('Data Entry'!$Ø$194), "", 'Data Entry'!$Ø$194)</f>
      </c>
      <c r="EW194">
        <f>IF(ISBLANK('Data Entry'!$Ù$194), "", 'Data Entry'!$Ù$194)</f>
      </c>
      <c r="EX194">
        <f>IF(ISBLANK('Data Entry'!$Ú$194), "", 'Data Entry'!$Ú$194)</f>
      </c>
      <c r="EY194">
        <f>IF(ISBLANK('Data Entry'!$Û$194), "", 'Data Entry'!$Û$194)</f>
      </c>
      <c r="EZ194">
        <f>IF(ISBLANK('Data Entry'!$Ü$194), "", 'Data Entry'!$Ü$194)</f>
      </c>
      <c r="FA194">
        <f>IF(ISBLANK('Data Entry'!$Ý$194), "", 'Data Entry'!$Ý$194)</f>
      </c>
      <c r="FB194">
        <f>IF(ISBLANK('Data Entry'!$Þ$194), "", 'Data Entry'!$Þ$194)</f>
      </c>
      <c r="FC194">
        <f>IF(ISBLANK('Data Entry'!$ß$194), "", 'Data Entry'!$ß$194)</f>
      </c>
      <c r="FD194">
        <f>IF(ISBLANK('Data Entry'!$à$194), "", 'Data Entry'!$à$194)</f>
      </c>
      <c r="FE194">
        <f>IF(ISBLANK('Data Entry'!$á$194), "", 'Data Entry'!$á$194)</f>
      </c>
      <c r="FF194">
        <f>IF(ISBLANK('Data Entry'!$â$194), "", 'Data Entry'!$â$194)</f>
      </c>
      <c r="FG194">
        <f>IF(ISBLANK('Data Entry'!$ã$194), "", 'Data Entry'!$ã$194)</f>
      </c>
      <c r="FH194">
        <f>IF(ISBLANK('Data Entry'!$ä$194), "", 'Data Entry'!$ä$194)</f>
      </c>
      <c r="FI194">
        <f>IF(ISBLANK('Data Entry'!$å$194), "", 'Data Entry'!$å$194)</f>
      </c>
      <c r="FJ194">
        <f>IF(ISBLANK('Data Entry'!$æ$194), "", 'Data Entry'!$æ$194)</f>
      </c>
      <c r="FK194">
        <f>IF(ISBLANK('Data Entry'!$ç$194), "", 'Data Entry'!$ç$194)</f>
      </c>
      <c r="FL194">
        <f>IF(ISBLANK('Data Entry'!$è$194), "", 'Data Entry'!$è$194)</f>
      </c>
      <c r="FM194">
        <f>IF(ISBLANK('Data Entry'!$é$194), "", 'Data Entry'!$é$194)</f>
      </c>
      <c r="FN194">
        <f>IF(ISBLANK('Data Entry'!$ê$194), "", 'Data Entry'!$ê$194)</f>
      </c>
      <c r="FO194">
        <f>IF(ISBLANK('Data Entry'!$ë$194), "", 'Data Entry'!$ë$194)</f>
      </c>
      <c r="FP194">
        <f>IF(ISBLANK('Data Entry'!$ì$194), "", 'Data Entry'!$ì$194)</f>
      </c>
      <c r="FQ194">
        <f>IF(ISBLANK('Data Entry'!$í$194), "", 'Data Entry'!$í$194)</f>
      </c>
      <c r="FR194">
        <f>IF(ISBLANK('Data Entry'!$î$194), "", 'Data Entry'!$î$194)</f>
      </c>
      <c r="FS194">
        <f>IF(ISBLANK('Data Entry'!$ï$194), "", 'Data Entry'!$ï$194)</f>
      </c>
      <c r="FT194">
        <f>IF(ISBLANK('Data Entry'!$ð$194), "", 'Data Entry'!$ð$194)</f>
      </c>
      <c r="FU194">
        <f>IF(ISBLANK('Data Entry'!$ñ$194), "", 'Data Entry'!$ñ$194)</f>
      </c>
      <c r="FV194">
        <f>IF(ISBLANK('Data Entry'!$ò$194), "", 'Data Entry'!$ò$194)</f>
      </c>
      <c r="FW194">
        <f>IF(ISBLANK('Data Entry'!$ó$194), "", 'Data Entry'!$ó$194)</f>
      </c>
      <c r="FX194">
        <f>IF(ISBLANK('Data Entry'!$ô$194), "", 'Data Entry'!$ô$194)</f>
      </c>
      <c r="FY194">
        <f>IF(ISBLANK('Data Entry'!$õ$194), "", 'Data Entry'!$õ$194)</f>
      </c>
      <c r="FZ194">
        <f>IF(ISBLANK('Data Entry'!$ö$194), "", 'Data Entry'!$ö$194)</f>
      </c>
      <c r="GA194">
        <f>IF(ISBLANK('Data Entry'!$÷$194), "", 'Data Entry'!$÷$194)</f>
      </c>
      <c r="GB194">
        <f>IF(ISBLANK('Data Entry'!$ø$194), "", 'Data Entry'!$ø$194)</f>
      </c>
      <c r="GC194">
        <f>IF(ISBLANK('Data Entry'!$ù$194), "", 'Data Entry'!$ù$194)</f>
      </c>
      <c r="GD194">
        <f>IF(ISBLANK('Data Entry'!$ú$194), "", 'Data Entry'!$ú$194)</f>
      </c>
      <c r="GE194">
        <f>IF(ISBLANK('Data Entry'!$û$194), "", 'Data Entry'!$û$194)</f>
      </c>
      <c r="GF194">
        <f>IF(ISBLANK('Data Entry'!$ü$194), "", 'Data Entry'!$ü$194)</f>
      </c>
      <c r="GG194">
        <f>IF(ISBLANK('Data Entry'!$ý$194), "", 'Data Entry'!$ý$194)</f>
      </c>
      <c r="GH194">
        <f>IF(ISBLANK('Data Entry'!$þ$194), "", 'Data Entry'!$þ$194)</f>
      </c>
      <c r="GI194">
        <f>IF(ISBLANK('Data Entry'!$ÿ$194), "", 'Data Entry'!$ÿ$194)</f>
      </c>
      <c r="GJ194">
        <f>IF(ISBLANK('Data Entry'!$Ā$194), "", 'Data Entry'!$Ā$194)</f>
      </c>
      <c r="GK194">
        <f>IF(ISBLANK('Data Entry'!$ā$194), "", 'Data Entry'!$ā$194)</f>
      </c>
      <c r="GL194">
        <f>IF(ISBLANK('Data Entry'!$Ă$194), "", 'Data Entry'!$Ă$194)</f>
      </c>
      <c r="GM194">
        <f>IF(ISBLANK('Data Entry'!$ă$194), "", 'Data Entry'!$ă$194)</f>
      </c>
      <c r="GN194">
        <f>IF(ISBLANK('Data Entry'!$Ą$194), "", 'Data Entry'!$Ą$194)</f>
      </c>
      <c r="GO194">
        <f>IF(ISBLANK('Data Entry'!$ą$194), "", 'Data Entry'!$ą$194)</f>
      </c>
      <c r="GP194">
        <f>IF(ISBLANK('Data Entry'!$Ć$194), "", 'Data Entry'!$Ć$194)</f>
      </c>
      <c r="GQ194">
        <f>IF(ISBLANK('Data Entry'!$ć$194), "", 'Data Entry'!$ć$194)</f>
      </c>
      <c r="GR194">
        <f>IF(ISBLANK('Data Entry'!$Ĉ$194), "", 'Data Entry'!$Ĉ$194)</f>
      </c>
      <c r="GS194">
        <f>IF(ISBLANK('Data Entry'!$ĉ$194), "", 'Data Entry'!$ĉ$194)</f>
      </c>
      <c r="GT194">
        <f>IF(ISBLANK('Data Entry'!$Ċ$194), "", 'Data Entry'!$Ċ$194)</f>
      </c>
      <c r="GU194">
        <f>IF(ISBLANK('Data Entry'!$ċ$194), "", 'Data Entry'!$ċ$194)</f>
      </c>
      <c r="GV194">
        <f>IF(ISBLANK('Data Entry'!$Č$194), "", 'Data Entry'!$Č$194)</f>
      </c>
      <c r="GW194">
        <f>IF(ISBLANK('Data Entry'!$č$194), "", 'Data Entry'!$č$194)</f>
      </c>
      <c r="GX194">
        <f>IF(ISBLANK('Data Entry'!$Ď$194), "", 'Data Entry'!$Ď$194)</f>
      </c>
      <c r="GY194">
        <f>IF(ISBLANK('Data Entry'!$ď$194), "", 'Data Entry'!$ď$194)</f>
      </c>
      <c r="GZ194">
        <f>IF(ISBLANK('Data Entry'!$Đ$194), "", 'Data Entry'!$Đ$194)</f>
      </c>
      <c r="HA194">
        <f>IF(ISBLANK('Data Entry'!$đ$194), "", 'Data Entry'!$đ$194)</f>
      </c>
      <c r="HB194">
        <f>IF(ISBLANK('Data Entry'!$Ē$194), "", 'Data Entry'!$Ē$194)</f>
      </c>
      <c r="HC194">
        <f>IF(ISBLANK('Data Entry'!$ē$194), "", 'Data Entry'!$ē$194)</f>
      </c>
      <c r="HD194">
        <f>IF(ISBLANK('Data Entry'!$Ĕ$194), "", 'Data Entry'!$Ĕ$194)</f>
      </c>
      <c r="HE194">
        <f>IF(ISBLANK('Data Entry'!$ĕ$194), "", 'Data Entry'!$ĕ$194)</f>
      </c>
      <c r="HF194">
        <f>IF(ISBLANK('Data Entry'!$Ė$194), "", 'Data Entry'!$Ė$194)</f>
      </c>
      <c r="HG194">
        <f>IF(ISBLANK('Data Entry'!$ė$194), "", 'Data Entry'!$ė$194)</f>
      </c>
      <c r="HH194">
        <f>IF(ISBLANK('Data Entry'!$Ę$194), "", 'Data Entry'!$Ę$194)</f>
      </c>
      <c r="HI194">
        <f>IF(ISBLANK('Data Entry'!$ę$194), "", 'Data Entry'!$ę$194)</f>
      </c>
      <c r="HJ194">
        <f>IF(ISBLANK('Data Entry'!$Ě$194), "", 'Data Entry'!$Ě$194)</f>
      </c>
      <c r="HK194">
        <f>IF(ISBLANK('Data Entry'!$ě$194), "", 'Data Entry'!$ě$194)</f>
      </c>
      <c r="HL194">
        <f>IF(ISBLANK('Data Entry'!$Ĝ$194), "", 'Data Entry'!$Ĝ$194)</f>
      </c>
      <c r="HM194">
        <f>IF(ISBLANK('Data Entry'!$ĝ$194), "", 'Data Entry'!$ĝ$194)</f>
      </c>
      <c r="HN194">
        <f>IF(ISBLANK('Data Entry'!$Ğ$194), "", 'Data Entry'!$Ğ$194)</f>
      </c>
      <c r="HO194">
        <f>IF(ISBLANK('Data Entry'!$ğ$194), "", 'Data Entry'!$ğ$194)</f>
      </c>
      <c r="HP194">
        <f>IF(ISBLANK('Data Entry'!$Ġ$194), "", 'Data Entry'!$Ġ$194)</f>
      </c>
      <c r="HQ194">
        <f>IF(ISBLANK('Data Entry'!$ġ$194), "", 'Data Entry'!$ġ$194)</f>
      </c>
      <c r="HR194">
        <f>IF(ISBLANK('Data Entry'!$Ģ$194), "", 'Data Entry'!$Ģ$194)</f>
      </c>
      <c r="HS194">
        <f>IF(ISBLANK('Data Entry'!$ģ$194), "", 'Data Entry'!$ģ$194)</f>
      </c>
      <c r="HT194">
        <f>IF(ISBLANK('Data Entry'!$Ĥ$194), "", 'Data Entry'!$Ĥ$194)</f>
      </c>
      <c r="HU194">
        <f>IF(ISBLANK('Data Entry'!$ĥ$194), "", 'Data Entry'!$ĥ$194)</f>
      </c>
      <c r="HV194">
        <f>IF(ISBLANK('Data Entry'!$Ħ$194), "", 'Data Entry'!$Ħ$194)</f>
      </c>
      <c r="HW194">
        <f>IF(ISBLANK('Data Entry'!$ħ$194), "", 'Data Entry'!$ħ$194)</f>
      </c>
      <c r="HX194">
        <f>IF(ISBLANK('Data Entry'!$Ĩ$194), "", 'Data Entry'!$Ĩ$194)</f>
      </c>
      <c r="HY194">
        <f>IF(ISBLANK('Data Entry'!$ĩ$194), "", 'Data Entry'!$ĩ$194)</f>
      </c>
      <c r="HZ194">
        <f>IF(ISBLANK('Data Entry'!$Ī$194), "", 'Data Entry'!$Ī$194)</f>
      </c>
      <c r="IA194">
        <f>IF(ISBLANK('Data Entry'!$ī$194), "", 'Data Entry'!$ī$194)</f>
      </c>
      <c r="IB194">
        <f>IF(ISBLANK('Data Entry'!$Ĭ$194), "", 'Data Entry'!$Ĭ$194)</f>
      </c>
      <c r="IC194">
        <f>IF(ISBLANK('Data Entry'!$ĭ$194), "", 'Data Entry'!$ĭ$194)</f>
      </c>
      <c r="ID194">
        <f>IF(ISBLANK('Data Entry'!$Į$194), "", 'Data Entry'!$Į$194)</f>
      </c>
      <c r="IE194">
        <f>IF(ISBLANK('Data Entry'!$į$194), "", 'Data Entry'!$į$194)</f>
      </c>
      <c r="IF194">
        <f>IF(ISBLANK('Data Entry'!$İ$194), "", 'Data Entry'!$İ$194)</f>
      </c>
      <c r="IG194">
        <f>IF(ISBLANK('Data Entry'!$ı$194), "", 'Data Entry'!$ı$194)</f>
      </c>
      <c r="IH194">
        <f>IF(ISBLANK('Data Entry'!$Ĳ$194), "", 'Data Entry'!$Ĳ$194)</f>
      </c>
      <c r="II194">
        <f>IF(ISBLANK('Data Entry'!$ĳ$194), "", 'Data Entry'!$ĳ$194)</f>
      </c>
      <c r="IJ194">
        <f>IF(ISBLANK('Data Entry'!$Ĵ$194), "", 'Data Entry'!$Ĵ$194)</f>
      </c>
      <c r="IK194">
        <f>IF(ISBLANK('Data Entry'!$ĵ$194), "", 'Data Entry'!$ĵ$194)</f>
      </c>
      <c r="IL194">
        <f>IF(ISBLANK('Data Entry'!$Ķ$194), "", 'Data Entry'!$Ķ$194)</f>
      </c>
      <c r="IM194">
        <f>IF(ISBLANK('Data Entry'!$ķ$194), "", 'Data Entry'!$ķ$194)</f>
      </c>
      <c r="IN194">
        <f>IF(ISBLANK('Data Entry'!$ĸ$194), "", 'Data Entry'!$ĸ$194)</f>
      </c>
      <c r="IO194">
        <f>IF(ISBLANK('Data Entry'!$Ĺ$194), "", 'Data Entry'!$Ĺ$194)</f>
      </c>
      <c r="IP194">
        <f>IF(ISBLANK('Data Entry'!$ĺ$194), "", 'Data Entry'!$ĺ$194)</f>
      </c>
      <c r="IQ194">
        <f>IF(ISBLANK('Data Entry'!$Ļ$194), "", 'Data Entry'!$Ļ$194)</f>
      </c>
      <c r="IR194">
        <f>IF(ISBLANK('Data Entry'!$ļ$194), "", 'Data Entry'!$ļ$194)</f>
      </c>
      <c r="IS194">
        <f>IF(ISBLANK('Data Entry'!$Ľ$194), "", 'Data Entry'!$Ľ$194)</f>
      </c>
      <c r="IT194">
        <f>IF(ISBLANK('Data Entry'!$ľ$194), "", 'Data Entry'!$ľ$194)</f>
      </c>
    </row>
    <row r="195" spans="1:254" x14ac:dyDescent="0.25">
      <c r="A195">
        <f>IF(ISBLANK('Data Entry'!$A$195), "", 'Data Entry'!$A$195)</f>
      </c>
      <c r="B195">
        <f>IF(ISBLANK('Data Entry'!$B$195), "", 'Data Entry'!$B$195)</f>
      </c>
      <c r="C195">
        <f>IF(ISBLANK('Data Entry'!$C$195), "", 'Data Entry'!$C$195)</f>
      </c>
      <c r="D195">
        <f>IF(ISBLANK('Data Entry'!$D$195), "", 'Data Entry'!$D$195)</f>
      </c>
      <c r="E195">
        <f>IF(ISBLANK('Data Entry'!$E$195), "", 'Data Entry'!$E$195)</f>
      </c>
      <c r="F195">
        <f>IF(ISBLANK('Data Entry'!$F$195), "", 'Data Entry'!$F$195)</f>
      </c>
      <c r="G195">
        <f>IF(ISBLANK('Data Entry'!$G$195), "", 'Data Entry'!$G$195)</f>
      </c>
      <c r="H195">
        <f>IF(ISBLANK('Data Entry'!$H$195), "", 'Data Entry'!$H$195)</f>
      </c>
      <c r="I195">
        <f>IF(ISBLANK('Data Entry'!$I$195), "", 'Data Entry'!$I$195)</f>
      </c>
      <c r="J195">
        <f>IF(ISBLANK('Data Entry'!$J$195), "", 'Data Entry'!$J$195)</f>
      </c>
      <c r="K195">
        <f>IF(ISBLANK('Data Entry'!$K$195), "", 'Data Entry'!$K$195)</f>
      </c>
      <c r="L195">
        <f>IF(ISBLANK('Data Entry'!$L$195), "", 'Data Entry'!$L$195)</f>
      </c>
      <c r="M195">
        <f>IF(ISBLANK('Data Entry'!$M$195), "", 'Data Entry'!$M$195)</f>
      </c>
      <c r="N195">
        <f>IF(ISBLANK('Data Entry'!$N$195), "", 'Data Entry'!$N$195)</f>
      </c>
      <c r="O195">
        <f>IF(ISBLANK('Data Entry'!$O$195), "", 'Data Entry'!$O$195)</f>
      </c>
      <c r="P195">
        <f>IF(ISBLANK('Data Entry'!$P$195), "", 'Data Entry'!$P$195)</f>
      </c>
      <c r="Q195">
        <f>IF(ISBLANK('Data Entry'!$Q$195), "", 'Data Entry'!$Q$195)</f>
      </c>
      <c r="R195">
        <f>IF(ISBLANK('Data Entry'!$R$195), "", 'Data Entry'!$R$195)</f>
      </c>
      <c r="S195">
        <f>IF(ISBLANK('Data Entry'!$S$195), "", 'Data Entry'!$S$195)</f>
      </c>
      <c r="T195">
        <f>IF(ISBLANK('Data Entry'!$T$195), "", 'Data Entry'!$T$195)</f>
      </c>
      <c r="U195">
        <f>IF(ISBLANK('Data Entry'!$U$195), "", 'Data Entry'!$U$195)</f>
      </c>
      <c r="V195">
        <f>IF(ISBLANK('Data Entry'!$V$195), "", 'Data Entry'!$V$195)</f>
      </c>
      <c r="W195">
        <f>IF(ISBLANK('Data Entry'!$W$195), "", 'Data Entry'!$W$195)</f>
      </c>
      <c r="X195">
        <f>IF(ISBLANK('Data Entry'!$X$195), "", 'Data Entry'!$X$195)</f>
      </c>
      <c r="Y195">
        <f>IF(ISBLANK('Data Entry'!$Y$195), "", 'Data Entry'!$Y$195)</f>
      </c>
      <c r="Z195">
        <f>IF(ISBLANK('Data Entry'!$Z$195), "", 'Data Entry'!$Z$195)</f>
      </c>
      <c r="AA195">
        <f>IF(ISBLANK('Data Entry'!$[$195), "", 'Data Entry'!$[$195)</f>
      </c>
      <c r="AB195">
        <f>IF(ISBLANK('Data Entry'!$\$195), "", 'Data Entry'!$\$195)</f>
      </c>
      <c r="AC195">
        <f>IF(ISBLANK('Data Entry'!$]$195), "", 'Data Entry'!$]$195)</f>
      </c>
      <c r="AD195">
        <f>IF(ISBLANK('Data Entry'!$^$195), "", 'Data Entry'!$^$195)</f>
      </c>
      <c r="AE195">
        <f>IF(ISBLANK('Data Entry'!$_$195), "", 'Data Entry'!$_$195)</f>
      </c>
      <c r="AF195">
        <f>IF(ISBLANK('Data Entry'!$`$195), "", 'Data Entry'!$`$195)</f>
      </c>
      <c r="AG195">
        <f>IF(ISBLANK('Data Entry'!$a$195), "", 'Data Entry'!$a$195)</f>
      </c>
      <c r="AH195">
        <f>IF(ISBLANK('Data Entry'!$b$195), "", 'Data Entry'!$b$195)</f>
      </c>
      <c r="AI195">
        <f>IF(ISBLANK('Data Entry'!$c$195), "", 'Data Entry'!$c$195)</f>
      </c>
      <c r="AJ195">
        <f>IF(ISBLANK('Data Entry'!$d$195), "", 'Data Entry'!$d$195)</f>
      </c>
      <c r="AK195">
        <f>IF(ISBLANK('Data Entry'!$e$195), "", 'Data Entry'!$e$195)</f>
      </c>
      <c r="AL195">
        <f>IF(ISBLANK('Data Entry'!$f$195), "", 'Data Entry'!$f$195)</f>
      </c>
      <c r="AM195">
        <f>IF(ISBLANK('Data Entry'!$g$195), "", 'Data Entry'!$g$195)</f>
      </c>
      <c r="AN195">
        <f>IF(ISBLANK('Data Entry'!$h$195), "", 'Data Entry'!$h$195)</f>
      </c>
      <c r="AO195">
        <f>IF(ISBLANK('Data Entry'!$i$195), "", 'Data Entry'!$i$195)</f>
      </c>
      <c r="AP195">
        <f>IF(ISBLANK('Data Entry'!$j$195), "", 'Data Entry'!$j$195)</f>
      </c>
      <c r="AQ195">
        <f>IF(ISBLANK('Data Entry'!$k$195), "", 'Data Entry'!$k$195)</f>
      </c>
      <c r="AR195">
        <f>IF(ISBLANK('Data Entry'!$l$195), "", 'Data Entry'!$l$195)</f>
      </c>
      <c r="AS195">
        <f>IF(ISBLANK('Data Entry'!$m$195), "", 'Data Entry'!$m$195)</f>
      </c>
      <c r="AT195">
        <f>IF(ISBLANK('Data Entry'!$n$195), "", 'Data Entry'!$n$195)</f>
      </c>
      <c r="AU195">
        <f>IF(ISBLANK('Data Entry'!$o$195), "", 'Data Entry'!$o$195)</f>
      </c>
      <c r="AV195">
        <f>IF(ISBLANK('Data Entry'!$p$195), "", 'Data Entry'!$p$195)</f>
      </c>
      <c r="AW195">
        <f>IF(ISBLANK('Data Entry'!$q$195), "", 'Data Entry'!$q$195)</f>
      </c>
      <c r="AX195">
        <f>IF(ISBLANK('Data Entry'!$r$195), "", 'Data Entry'!$r$195)</f>
      </c>
      <c r="AY195">
        <f>IF(ISBLANK('Data Entry'!$s$195), "", 'Data Entry'!$s$195)</f>
      </c>
      <c r="AZ195">
        <f>IF(ISBLANK('Data Entry'!$t$195), "", 'Data Entry'!$t$195)</f>
      </c>
      <c r="BA195">
        <f>IF(ISBLANK('Data Entry'!$u$195), "", 'Data Entry'!$u$195)</f>
      </c>
      <c r="BB195">
        <f>IF(ISBLANK('Data Entry'!$v$195), "", 'Data Entry'!$v$195)</f>
      </c>
      <c r="BC195">
        <f>IF(ISBLANK('Data Entry'!$w$195), "", 'Data Entry'!$w$195)</f>
      </c>
      <c r="BD195">
        <f>IF(ISBLANK('Data Entry'!$x$195), "", 'Data Entry'!$x$195)</f>
      </c>
      <c r="BE195">
        <f>IF(ISBLANK('Data Entry'!$y$195), "", 'Data Entry'!$y$195)</f>
      </c>
      <c r="BF195">
        <f>IF(ISBLANK('Data Entry'!$z$195), "", 'Data Entry'!$z$195)</f>
      </c>
      <c r="BG195">
        <f>IF(ISBLANK('Data Entry'!${$195), "", 'Data Entry'!${$195)</f>
      </c>
      <c r="BH195">
        <f>IF(ISBLANK('Data Entry'!$|$195), "", 'Data Entry'!$|$195)</f>
      </c>
      <c r="BI195">
        <f>IF(ISBLANK('Data Entry'!$}$195), "", 'Data Entry'!$}$195)</f>
      </c>
      <c r="BJ195">
        <f>IF(ISBLANK('Data Entry'!$~$195), "", 'Data Entry'!$~$195)</f>
      </c>
      <c r="BK195">
        <f>IF(ISBLANK('Data Entry'!$$195), "", 'Data Entry'!$$195)</f>
      </c>
      <c r="BL195">
        <f>IF(ISBLANK('Data Entry'!$$195), "", 'Data Entry'!$$195)</f>
      </c>
      <c r="BM195">
        <f>IF(ISBLANK('Data Entry'!$$195), "", 'Data Entry'!$$195)</f>
      </c>
      <c r="BN195">
        <f>IF(ISBLANK('Data Entry'!$$195), "", 'Data Entry'!$$195)</f>
      </c>
      <c r="BO195">
        <f>IF(ISBLANK('Data Entry'!$$195), "", 'Data Entry'!$$195)</f>
      </c>
      <c r="BP195">
        <f>IF(ISBLANK('Data Entry'!$$195), "", 'Data Entry'!$$195)</f>
      </c>
      <c r="BQ195">
        <f>IF(ISBLANK('Data Entry'!$$195), "", 'Data Entry'!$$195)</f>
      </c>
      <c r="BR195">
        <f>IF(ISBLANK('Data Entry'!$$195), "", 'Data Entry'!$$195)</f>
      </c>
      <c r="BS195">
        <f>IF(ISBLANK('Data Entry'!$$195), "", 'Data Entry'!$$195)</f>
      </c>
      <c r="BT195">
        <f>IF(ISBLANK('Data Entry'!$$195), "", 'Data Entry'!$$195)</f>
      </c>
      <c r="BU195">
        <f>IF(ISBLANK('Data Entry'!$$195), "", 'Data Entry'!$$195)</f>
      </c>
      <c r="BV195">
        <f>IF(ISBLANK('Data Entry'!$$195), "", 'Data Entry'!$$195)</f>
      </c>
      <c r="BW195">
        <f>IF(ISBLANK('Data Entry'!$$195), "", 'Data Entry'!$$195)</f>
      </c>
      <c r="BX195">
        <f>IF(ISBLANK('Data Entry'!$$195), "", 'Data Entry'!$$195)</f>
      </c>
      <c r="BY195">
        <f>IF(ISBLANK('Data Entry'!$$195), "", 'Data Entry'!$$195)</f>
      </c>
      <c r="BZ195">
        <f>IF(ISBLANK('Data Entry'!$$195), "", 'Data Entry'!$$195)</f>
      </c>
      <c r="CA195">
        <f>IF(ISBLANK('Data Entry'!$$195), "", 'Data Entry'!$$195)</f>
      </c>
      <c r="CB195">
        <f>IF(ISBLANK('Data Entry'!$$195), "", 'Data Entry'!$$195)</f>
      </c>
      <c r="CC195">
        <f>IF(ISBLANK('Data Entry'!$$195), "", 'Data Entry'!$$195)</f>
      </c>
      <c r="CD195">
        <f>IF(ISBLANK('Data Entry'!$$195), "", 'Data Entry'!$$195)</f>
      </c>
      <c r="CE195">
        <f>IF(ISBLANK('Data Entry'!$$195), "", 'Data Entry'!$$195)</f>
      </c>
      <c r="CF195">
        <f>IF(ISBLANK('Data Entry'!$$195), "", 'Data Entry'!$$195)</f>
      </c>
      <c r="CG195">
        <f>IF(ISBLANK('Data Entry'!$$195), "", 'Data Entry'!$$195)</f>
      </c>
      <c r="CH195">
        <f>IF(ISBLANK('Data Entry'!$$195), "", 'Data Entry'!$$195)</f>
      </c>
      <c r="CI195">
        <f>IF(ISBLANK('Data Entry'!$$195), "", 'Data Entry'!$$195)</f>
      </c>
      <c r="CJ195">
        <f>IF(ISBLANK('Data Entry'!$$195), "", 'Data Entry'!$$195)</f>
      </c>
      <c r="CK195">
        <f>IF(ISBLANK('Data Entry'!$$195), "", 'Data Entry'!$$195)</f>
      </c>
      <c r="CL195">
        <f>IF(ISBLANK('Data Entry'!$$195), "", 'Data Entry'!$$195)</f>
      </c>
      <c r="CM195">
        <f>IF(ISBLANK('Data Entry'!$$195), "", 'Data Entry'!$$195)</f>
      </c>
      <c r="CN195">
        <f>IF(ISBLANK('Data Entry'!$$195), "", 'Data Entry'!$$195)</f>
      </c>
      <c r="CO195">
        <f>IF(ISBLANK('Data Entry'!$$195), "", 'Data Entry'!$$195)</f>
      </c>
      <c r="CP195">
        <f>IF(ISBLANK('Data Entry'!$$195), "", 'Data Entry'!$$195)</f>
      </c>
      <c r="CQ195">
        <f>IF(ISBLANK('Data Entry'!$$195), "", 'Data Entry'!$$195)</f>
      </c>
      <c r="CR195">
        <f>IF(ISBLANK('Data Entry'!$ $195), "", 'Data Entry'!$ $195)</f>
      </c>
      <c r="CS195">
        <f>IF(ISBLANK('Data Entry'!$¡$195), "", 'Data Entry'!$¡$195)</f>
      </c>
      <c r="CT195">
        <f>IF(ISBLANK('Data Entry'!$¢$195), "", 'Data Entry'!$¢$195)</f>
      </c>
      <c r="CU195">
        <f>IF(ISBLANK('Data Entry'!$£$195), "", 'Data Entry'!$£$195)</f>
      </c>
      <c r="CV195">
        <f>IF(ISBLANK('Data Entry'!$¤$195), "", 'Data Entry'!$¤$195)</f>
      </c>
      <c r="CW195">
        <f>IF(ISBLANK('Data Entry'!$¥$195), "", 'Data Entry'!$¥$195)</f>
      </c>
      <c r="CX195">
        <f>IF(ISBLANK('Data Entry'!$¦$195), "", 'Data Entry'!$¦$195)</f>
      </c>
      <c r="CY195">
        <f>IF(ISBLANK('Data Entry'!$§$195), "", 'Data Entry'!$§$195)</f>
      </c>
      <c r="CZ195">
        <f>IF(ISBLANK('Data Entry'!$¨$195), "", 'Data Entry'!$¨$195)</f>
      </c>
      <c r="DA195">
        <f>IF(ISBLANK('Data Entry'!$©$195), "", 'Data Entry'!$©$195)</f>
      </c>
      <c r="DB195">
        <f>IF(ISBLANK('Data Entry'!$ª$195), "", 'Data Entry'!$ª$195)</f>
      </c>
      <c r="DC195">
        <f>IF(ISBLANK('Data Entry'!$«$195), "", 'Data Entry'!$«$195)</f>
      </c>
      <c r="DD195">
        <f>IF(ISBLANK('Data Entry'!$¬$195), "", 'Data Entry'!$¬$195)</f>
      </c>
      <c r="DE195">
        <f>IF(ISBLANK('Data Entry'!$­$195), "", 'Data Entry'!$­$195)</f>
      </c>
      <c r="DF195">
        <f>IF(ISBLANK('Data Entry'!$®$195), "", 'Data Entry'!$®$195)</f>
      </c>
      <c r="DG195">
        <f>IF(ISBLANK('Data Entry'!$¯$195), "", 'Data Entry'!$¯$195)</f>
      </c>
      <c r="DH195">
        <f>IF(ISBLANK('Data Entry'!$°$195), "", 'Data Entry'!$°$195)</f>
      </c>
      <c r="DI195">
        <f>IF(ISBLANK('Data Entry'!$±$195), "", 'Data Entry'!$±$195)</f>
      </c>
      <c r="DJ195">
        <f>IF(ISBLANK('Data Entry'!$²$195), "", 'Data Entry'!$²$195)</f>
      </c>
      <c r="DK195">
        <f>IF(ISBLANK('Data Entry'!$³$195), "", 'Data Entry'!$³$195)</f>
      </c>
      <c r="DL195">
        <f>IF(ISBLANK('Data Entry'!$´$195), "", 'Data Entry'!$´$195)</f>
      </c>
      <c r="DM195">
        <f>IF(ISBLANK('Data Entry'!$µ$195), "", 'Data Entry'!$µ$195)</f>
      </c>
      <c r="DN195">
        <f>IF(ISBLANK('Data Entry'!$¶$195), "", 'Data Entry'!$¶$195)</f>
      </c>
      <c r="DO195">
        <f>IF(ISBLANK('Data Entry'!$·$195), "", 'Data Entry'!$·$195)</f>
      </c>
      <c r="DP195">
        <f>IF(ISBLANK('Data Entry'!$¸$195), "", 'Data Entry'!$¸$195)</f>
      </c>
      <c r="DQ195">
        <f>IF(ISBLANK('Data Entry'!$¹$195), "", 'Data Entry'!$¹$195)</f>
      </c>
      <c r="DR195">
        <f>IF(ISBLANK('Data Entry'!$º$195), "", 'Data Entry'!$º$195)</f>
      </c>
      <c r="DS195">
        <f>IF(ISBLANK('Data Entry'!$»$195), "", 'Data Entry'!$»$195)</f>
      </c>
      <c r="DT195">
        <f>IF(ISBLANK('Data Entry'!$¼$195), "", 'Data Entry'!$¼$195)</f>
      </c>
      <c r="DU195">
        <f>IF(ISBLANK('Data Entry'!$½$195), "", 'Data Entry'!$½$195)</f>
      </c>
      <c r="DV195">
        <f>IF(ISBLANK('Data Entry'!$¾$195), "", 'Data Entry'!$¾$195)</f>
      </c>
      <c r="DW195">
        <f>IF(ISBLANK('Data Entry'!$¿$195), "", 'Data Entry'!$¿$195)</f>
      </c>
      <c r="DX195">
        <f>IF(ISBLANK('Data Entry'!$À$195), "", 'Data Entry'!$À$195)</f>
      </c>
      <c r="DY195">
        <f>IF(ISBLANK('Data Entry'!$Á$195), "", 'Data Entry'!$Á$195)</f>
      </c>
      <c r="DZ195">
        <f>IF(ISBLANK('Data Entry'!$Â$195), "", 'Data Entry'!$Â$195)</f>
      </c>
      <c r="EA195">
        <f>IF(ISBLANK('Data Entry'!$Ã$195), "", 'Data Entry'!$Ã$195)</f>
      </c>
      <c r="EB195">
        <f>IF(ISBLANK('Data Entry'!$Ä$195), "", 'Data Entry'!$Ä$195)</f>
      </c>
      <c r="EC195">
        <f>IF(ISBLANK('Data Entry'!$Å$195), "", 'Data Entry'!$Å$195)</f>
      </c>
      <c r="ED195">
        <f>IF(ISBLANK('Data Entry'!$Æ$195), "", 'Data Entry'!$Æ$195)</f>
      </c>
      <c r="EE195">
        <f>IF(ISBLANK('Data Entry'!$Ç$195), "", 'Data Entry'!$Ç$195)</f>
      </c>
      <c r="EF195">
        <f>IF(ISBLANK('Data Entry'!$È$195), "", 'Data Entry'!$È$195)</f>
      </c>
      <c r="EG195">
        <f>IF(ISBLANK('Data Entry'!$É$195), "", 'Data Entry'!$É$195)</f>
      </c>
      <c r="EH195">
        <f>IF(ISBLANK('Data Entry'!$Ê$195), "", 'Data Entry'!$Ê$195)</f>
      </c>
      <c r="EI195">
        <f>IF(ISBLANK('Data Entry'!$Ë$195), "", 'Data Entry'!$Ë$195)</f>
      </c>
      <c r="EJ195">
        <f>IF(ISBLANK('Data Entry'!$Ì$195), "", 'Data Entry'!$Ì$195)</f>
      </c>
      <c r="EK195">
        <f>IF(ISBLANK('Data Entry'!$Í$195), "", 'Data Entry'!$Í$195)</f>
      </c>
      <c r="EL195">
        <f>IF(ISBLANK('Data Entry'!$Î$195), "", 'Data Entry'!$Î$195)</f>
      </c>
      <c r="EM195">
        <f>IF(ISBLANK('Data Entry'!$Ï$195), "", 'Data Entry'!$Ï$195)</f>
      </c>
      <c r="EN195">
        <f>IF(ISBLANK('Data Entry'!$Ð$195), "", 'Data Entry'!$Ð$195)</f>
      </c>
      <c r="EO195">
        <f>IF(ISBLANK('Data Entry'!$Ñ$195), "", 'Data Entry'!$Ñ$195)</f>
      </c>
      <c r="EP195">
        <f>IF(ISBLANK('Data Entry'!$Ò$195), "", 'Data Entry'!$Ò$195)</f>
      </c>
      <c r="EQ195">
        <f>IF(ISBLANK('Data Entry'!$Ó$195), "", 'Data Entry'!$Ó$195)</f>
      </c>
      <c r="ER195">
        <f>IF(ISBLANK('Data Entry'!$Ô$195), "", 'Data Entry'!$Ô$195)</f>
      </c>
      <c r="ES195">
        <f>IF(ISBLANK('Data Entry'!$Õ$195), "", 'Data Entry'!$Õ$195)</f>
      </c>
      <c r="ET195">
        <f>IF(ISBLANK('Data Entry'!$Ö$195), "", 'Data Entry'!$Ö$195)</f>
      </c>
      <c r="EU195">
        <f>IF(ISBLANK('Data Entry'!$×$195), "", 'Data Entry'!$×$195)</f>
      </c>
      <c r="EV195">
        <f>IF(ISBLANK('Data Entry'!$Ø$195), "", 'Data Entry'!$Ø$195)</f>
      </c>
      <c r="EW195">
        <f>IF(ISBLANK('Data Entry'!$Ù$195), "", 'Data Entry'!$Ù$195)</f>
      </c>
      <c r="EX195">
        <f>IF(ISBLANK('Data Entry'!$Ú$195), "", 'Data Entry'!$Ú$195)</f>
      </c>
      <c r="EY195">
        <f>IF(ISBLANK('Data Entry'!$Û$195), "", 'Data Entry'!$Û$195)</f>
      </c>
      <c r="EZ195">
        <f>IF(ISBLANK('Data Entry'!$Ü$195), "", 'Data Entry'!$Ü$195)</f>
      </c>
      <c r="FA195">
        <f>IF(ISBLANK('Data Entry'!$Ý$195), "", 'Data Entry'!$Ý$195)</f>
      </c>
      <c r="FB195">
        <f>IF(ISBLANK('Data Entry'!$Þ$195), "", 'Data Entry'!$Þ$195)</f>
      </c>
      <c r="FC195">
        <f>IF(ISBLANK('Data Entry'!$ß$195), "", 'Data Entry'!$ß$195)</f>
      </c>
      <c r="FD195">
        <f>IF(ISBLANK('Data Entry'!$à$195), "", 'Data Entry'!$à$195)</f>
      </c>
      <c r="FE195">
        <f>IF(ISBLANK('Data Entry'!$á$195), "", 'Data Entry'!$á$195)</f>
      </c>
      <c r="FF195">
        <f>IF(ISBLANK('Data Entry'!$â$195), "", 'Data Entry'!$â$195)</f>
      </c>
      <c r="FG195">
        <f>IF(ISBLANK('Data Entry'!$ã$195), "", 'Data Entry'!$ã$195)</f>
      </c>
      <c r="FH195">
        <f>IF(ISBLANK('Data Entry'!$ä$195), "", 'Data Entry'!$ä$195)</f>
      </c>
      <c r="FI195">
        <f>IF(ISBLANK('Data Entry'!$å$195), "", 'Data Entry'!$å$195)</f>
      </c>
      <c r="FJ195">
        <f>IF(ISBLANK('Data Entry'!$æ$195), "", 'Data Entry'!$æ$195)</f>
      </c>
      <c r="FK195">
        <f>IF(ISBLANK('Data Entry'!$ç$195), "", 'Data Entry'!$ç$195)</f>
      </c>
      <c r="FL195">
        <f>IF(ISBLANK('Data Entry'!$è$195), "", 'Data Entry'!$è$195)</f>
      </c>
      <c r="FM195">
        <f>IF(ISBLANK('Data Entry'!$é$195), "", 'Data Entry'!$é$195)</f>
      </c>
      <c r="FN195">
        <f>IF(ISBLANK('Data Entry'!$ê$195), "", 'Data Entry'!$ê$195)</f>
      </c>
      <c r="FO195">
        <f>IF(ISBLANK('Data Entry'!$ë$195), "", 'Data Entry'!$ë$195)</f>
      </c>
      <c r="FP195">
        <f>IF(ISBLANK('Data Entry'!$ì$195), "", 'Data Entry'!$ì$195)</f>
      </c>
      <c r="FQ195">
        <f>IF(ISBLANK('Data Entry'!$í$195), "", 'Data Entry'!$í$195)</f>
      </c>
      <c r="FR195">
        <f>IF(ISBLANK('Data Entry'!$î$195), "", 'Data Entry'!$î$195)</f>
      </c>
      <c r="FS195">
        <f>IF(ISBLANK('Data Entry'!$ï$195), "", 'Data Entry'!$ï$195)</f>
      </c>
      <c r="FT195">
        <f>IF(ISBLANK('Data Entry'!$ð$195), "", 'Data Entry'!$ð$195)</f>
      </c>
      <c r="FU195">
        <f>IF(ISBLANK('Data Entry'!$ñ$195), "", 'Data Entry'!$ñ$195)</f>
      </c>
      <c r="FV195">
        <f>IF(ISBLANK('Data Entry'!$ò$195), "", 'Data Entry'!$ò$195)</f>
      </c>
      <c r="FW195">
        <f>IF(ISBLANK('Data Entry'!$ó$195), "", 'Data Entry'!$ó$195)</f>
      </c>
      <c r="FX195">
        <f>IF(ISBLANK('Data Entry'!$ô$195), "", 'Data Entry'!$ô$195)</f>
      </c>
      <c r="FY195">
        <f>IF(ISBLANK('Data Entry'!$õ$195), "", 'Data Entry'!$õ$195)</f>
      </c>
      <c r="FZ195">
        <f>IF(ISBLANK('Data Entry'!$ö$195), "", 'Data Entry'!$ö$195)</f>
      </c>
      <c r="GA195">
        <f>IF(ISBLANK('Data Entry'!$÷$195), "", 'Data Entry'!$÷$195)</f>
      </c>
      <c r="GB195">
        <f>IF(ISBLANK('Data Entry'!$ø$195), "", 'Data Entry'!$ø$195)</f>
      </c>
      <c r="GC195">
        <f>IF(ISBLANK('Data Entry'!$ù$195), "", 'Data Entry'!$ù$195)</f>
      </c>
      <c r="GD195">
        <f>IF(ISBLANK('Data Entry'!$ú$195), "", 'Data Entry'!$ú$195)</f>
      </c>
      <c r="GE195">
        <f>IF(ISBLANK('Data Entry'!$û$195), "", 'Data Entry'!$û$195)</f>
      </c>
      <c r="GF195">
        <f>IF(ISBLANK('Data Entry'!$ü$195), "", 'Data Entry'!$ü$195)</f>
      </c>
      <c r="GG195">
        <f>IF(ISBLANK('Data Entry'!$ý$195), "", 'Data Entry'!$ý$195)</f>
      </c>
      <c r="GH195">
        <f>IF(ISBLANK('Data Entry'!$þ$195), "", 'Data Entry'!$þ$195)</f>
      </c>
      <c r="GI195">
        <f>IF(ISBLANK('Data Entry'!$ÿ$195), "", 'Data Entry'!$ÿ$195)</f>
      </c>
      <c r="GJ195">
        <f>IF(ISBLANK('Data Entry'!$Ā$195), "", 'Data Entry'!$Ā$195)</f>
      </c>
      <c r="GK195">
        <f>IF(ISBLANK('Data Entry'!$ā$195), "", 'Data Entry'!$ā$195)</f>
      </c>
      <c r="GL195">
        <f>IF(ISBLANK('Data Entry'!$Ă$195), "", 'Data Entry'!$Ă$195)</f>
      </c>
      <c r="GM195">
        <f>IF(ISBLANK('Data Entry'!$ă$195), "", 'Data Entry'!$ă$195)</f>
      </c>
      <c r="GN195">
        <f>IF(ISBLANK('Data Entry'!$Ą$195), "", 'Data Entry'!$Ą$195)</f>
      </c>
      <c r="GO195">
        <f>IF(ISBLANK('Data Entry'!$ą$195), "", 'Data Entry'!$ą$195)</f>
      </c>
      <c r="GP195">
        <f>IF(ISBLANK('Data Entry'!$Ć$195), "", 'Data Entry'!$Ć$195)</f>
      </c>
      <c r="GQ195">
        <f>IF(ISBLANK('Data Entry'!$ć$195), "", 'Data Entry'!$ć$195)</f>
      </c>
      <c r="GR195">
        <f>IF(ISBLANK('Data Entry'!$Ĉ$195), "", 'Data Entry'!$Ĉ$195)</f>
      </c>
      <c r="GS195">
        <f>IF(ISBLANK('Data Entry'!$ĉ$195), "", 'Data Entry'!$ĉ$195)</f>
      </c>
      <c r="GT195">
        <f>IF(ISBLANK('Data Entry'!$Ċ$195), "", 'Data Entry'!$Ċ$195)</f>
      </c>
      <c r="GU195">
        <f>IF(ISBLANK('Data Entry'!$ċ$195), "", 'Data Entry'!$ċ$195)</f>
      </c>
      <c r="GV195">
        <f>IF(ISBLANK('Data Entry'!$Č$195), "", 'Data Entry'!$Č$195)</f>
      </c>
      <c r="GW195">
        <f>IF(ISBLANK('Data Entry'!$č$195), "", 'Data Entry'!$č$195)</f>
      </c>
      <c r="GX195">
        <f>IF(ISBLANK('Data Entry'!$Ď$195), "", 'Data Entry'!$Ď$195)</f>
      </c>
      <c r="GY195">
        <f>IF(ISBLANK('Data Entry'!$ď$195), "", 'Data Entry'!$ď$195)</f>
      </c>
      <c r="GZ195">
        <f>IF(ISBLANK('Data Entry'!$Đ$195), "", 'Data Entry'!$Đ$195)</f>
      </c>
      <c r="HA195">
        <f>IF(ISBLANK('Data Entry'!$đ$195), "", 'Data Entry'!$đ$195)</f>
      </c>
      <c r="HB195">
        <f>IF(ISBLANK('Data Entry'!$Ē$195), "", 'Data Entry'!$Ē$195)</f>
      </c>
      <c r="HC195">
        <f>IF(ISBLANK('Data Entry'!$ē$195), "", 'Data Entry'!$ē$195)</f>
      </c>
      <c r="HD195">
        <f>IF(ISBLANK('Data Entry'!$Ĕ$195), "", 'Data Entry'!$Ĕ$195)</f>
      </c>
      <c r="HE195">
        <f>IF(ISBLANK('Data Entry'!$ĕ$195), "", 'Data Entry'!$ĕ$195)</f>
      </c>
      <c r="HF195">
        <f>IF(ISBLANK('Data Entry'!$Ė$195), "", 'Data Entry'!$Ė$195)</f>
      </c>
      <c r="HG195">
        <f>IF(ISBLANK('Data Entry'!$ė$195), "", 'Data Entry'!$ė$195)</f>
      </c>
      <c r="HH195">
        <f>IF(ISBLANK('Data Entry'!$Ę$195), "", 'Data Entry'!$Ę$195)</f>
      </c>
      <c r="HI195">
        <f>IF(ISBLANK('Data Entry'!$ę$195), "", 'Data Entry'!$ę$195)</f>
      </c>
      <c r="HJ195">
        <f>IF(ISBLANK('Data Entry'!$Ě$195), "", 'Data Entry'!$Ě$195)</f>
      </c>
      <c r="HK195">
        <f>IF(ISBLANK('Data Entry'!$ě$195), "", 'Data Entry'!$ě$195)</f>
      </c>
      <c r="HL195">
        <f>IF(ISBLANK('Data Entry'!$Ĝ$195), "", 'Data Entry'!$Ĝ$195)</f>
      </c>
      <c r="HM195">
        <f>IF(ISBLANK('Data Entry'!$ĝ$195), "", 'Data Entry'!$ĝ$195)</f>
      </c>
      <c r="HN195">
        <f>IF(ISBLANK('Data Entry'!$Ğ$195), "", 'Data Entry'!$Ğ$195)</f>
      </c>
      <c r="HO195">
        <f>IF(ISBLANK('Data Entry'!$ğ$195), "", 'Data Entry'!$ğ$195)</f>
      </c>
      <c r="HP195">
        <f>IF(ISBLANK('Data Entry'!$Ġ$195), "", 'Data Entry'!$Ġ$195)</f>
      </c>
      <c r="HQ195">
        <f>IF(ISBLANK('Data Entry'!$ġ$195), "", 'Data Entry'!$ġ$195)</f>
      </c>
      <c r="HR195">
        <f>IF(ISBLANK('Data Entry'!$Ģ$195), "", 'Data Entry'!$Ģ$195)</f>
      </c>
      <c r="HS195">
        <f>IF(ISBLANK('Data Entry'!$ģ$195), "", 'Data Entry'!$ģ$195)</f>
      </c>
      <c r="HT195">
        <f>IF(ISBLANK('Data Entry'!$Ĥ$195), "", 'Data Entry'!$Ĥ$195)</f>
      </c>
      <c r="HU195">
        <f>IF(ISBLANK('Data Entry'!$ĥ$195), "", 'Data Entry'!$ĥ$195)</f>
      </c>
      <c r="HV195">
        <f>IF(ISBLANK('Data Entry'!$Ħ$195), "", 'Data Entry'!$Ħ$195)</f>
      </c>
      <c r="HW195">
        <f>IF(ISBLANK('Data Entry'!$ħ$195), "", 'Data Entry'!$ħ$195)</f>
      </c>
      <c r="HX195">
        <f>IF(ISBLANK('Data Entry'!$Ĩ$195), "", 'Data Entry'!$Ĩ$195)</f>
      </c>
      <c r="HY195">
        <f>IF(ISBLANK('Data Entry'!$ĩ$195), "", 'Data Entry'!$ĩ$195)</f>
      </c>
      <c r="HZ195">
        <f>IF(ISBLANK('Data Entry'!$Ī$195), "", 'Data Entry'!$Ī$195)</f>
      </c>
      <c r="IA195">
        <f>IF(ISBLANK('Data Entry'!$ī$195), "", 'Data Entry'!$ī$195)</f>
      </c>
      <c r="IB195">
        <f>IF(ISBLANK('Data Entry'!$Ĭ$195), "", 'Data Entry'!$Ĭ$195)</f>
      </c>
      <c r="IC195">
        <f>IF(ISBLANK('Data Entry'!$ĭ$195), "", 'Data Entry'!$ĭ$195)</f>
      </c>
      <c r="ID195">
        <f>IF(ISBLANK('Data Entry'!$Į$195), "", 'Data Entry'!$Į$195)</f>
      </c>
      <c r="IE195">
        <f>IF(ISBLANK('Data Entry'!$į$195), "", 'Data Entry'!$į$195)</f>
      </c>
      <c r="IF195">
        <f>IF(ISBLANK('Data Entry'!$İ$195), "", 'Data Entry'!$İ$195)</f>
      </c>
      <c r="IG195">
        <f>IF(ISBLANK('Data Entry'!$ı$195), "", 'Data Entry'!$ı$195)</f>
      </c>
      <c r="IH195">
        <f>IF(ISBLANK('Data Entry'!$Ĳ$195), "", 'Data Entry'!$Ĳ$195)</f>
      </c>
      <c r="II195">
        <f>IF(ISBLANK('Data Entry'!$ĳ$195), "", 'Data Entry'!$ĳ$195)</f>
      </c>
      <c r="IJ195">
        <f>IF(ISBLANK('Data Entry'!$Ĵ$195), "", 'Data Entry'!$Ĵ$195)</f>
      </c>
      <c r="IK195">
        <f>IF(ISBLANK('Data Entry'!$ĵ$195), "", 'Data Entry'!$ĵ$195)</f>
      </c>
      <c r="IL195">
        <f>IF(ISBLANK('Data Entry'!$Ķ$195), "", 'Data Entry'!$Ķ$195)</f>
      </c>
      <c r="IM195">
        <f>IF(ISBLANK('Data Entry'!$ķ$195), "", 'Data Entry'!$ķ$195)</f>
      </c>
      <c r="IN195">
        <f>IF(ISBLANK('Data Entry'!$ĸ$195), "", 'Data Entry'!$ĸ$195)</f>
      </c>
      <c r="IO195">
        <f>IF(ISBLANK('Data Entry'!$Ĺ$195), "", 'Data Entry'!$Ĺ$195)</f>
      </c>
      <c r="IP195">
        <f>IF(ISBLANK('Data Entry'!$ĺ$195), "", 'Data Entry'!$ĺ$195)</f>
      </c>
      <c r="IQ195">
        <f>IF(ISBLANK('Data Entry'!$Ļ$195), "", 'Data Entry'!$Ļ$195)</f>
      </c>
      <c r="IR195">
        <f>IF(ISBLANK('Data Entry'!$ļ$195), "", 'Data Entry'!$ļ$195)</f>
      </c>
      <c r="IS195">
        <f>IF(ISBLANK('Data Entry'!$Ľ$195), "", 'Data Entry'!$Ľ$195)</f>
      </c>
      <c r="IT195">
        <f>IF(ISBLANK('Data Entry'!$ľ$195), "", 'Data Entry'!$ľ$195)</f>
      </c>
    </row>
    <row r="196" spans="1:254" x14ac:dyDescent="0.25">
      <c r="A196">
        <f>IF(ISBLANK('Data Entry'!$A$196), "", 'Data Entry'!$A$196)</f>
      </c>
      <c r="B196">
        <f>IF(ISBLANK('Data Entry'!$B$196), "", 'Data Entry'!$B$196)</f>
      </c>
      <c r="C196">
        <f>IF(ISBLANK('Data Entry'!$C$196), "", 'Data Entry'!$C$196)</f>
      </c>
      <c r="D196">
        <f>IF(ISBLANK('Data Entry'!$D$196), "", 'Data Entry'!$D$196)</f>
      </c>
      <c r="E196">
        <f>IF(ISBLANK('Data Entry'!$E$196), "", 'Data Entry'!$E$196)</f>
      </c>
      <c r="F196">
        <f>IF(ISBLANK('Data Entry'!$F$196), "", 'Data Entry'!$F$196)</f>
      </c>
      <c r="G196">
        <f>IF(ISBLANK('Data Entry'!$G$196), "", 'Data Entry'!$G$196)</f>
      </c>
      <c r="H196">
        <f>IF(ISBLANK('Data Entry'!$H$196), "", 'Data Entry'!$H$196)</f>
      </c>
      <c r="I196">
        <f>IF(ISBLANK('Data Entry'!$I$196), "", 'Data Entry'!$I$196)</f>
      </c>
      <c r="J196">
        <f>IF(ISBLANK('Data Entry'!$J$196), "", 'Data Entry'!$J$196)</f>
      </c>
      <c r="K196">
        <f>IF(ISBLANK('Data Entry'!$K$196), "", 'Data Entry'!$K$196)</f>
      </c>
      <c r="L196">
        <f>IF(ISBLANK('Data Entry'!$L$196), "", 'Data Entry'!$L$196)</f>
      </c>
      <c r="M196">
        <f>IF(ISBLANK('Data Entry'!$M$196), "", 'Data Entry'!$M$196)</f>
      </c>
      <c r="N196">
        <f>IF(ISBLANK('Data Entry'!$N$196), "", 'Data Entry'!$N$196)</f>
      </c>
      <c r="O196">
        <f>IF(ISBLANK('Data Entry'!$O$196), "", 'Data Entry'!$O$196)</f>
      </c>
      <c r="P196">
        <f>IF(ISBLANK('Data Entry'!$P$196), "", 'Data Entry'!$P$196)</f>
      </c>
      <c r="Q196">
        <f>IF(ISBLANK('Data Entry'!$Q$196), "", 'Data Entry'!$Q$196)</f>
      </c>
      <c r="R196">
        <f>IF(ISBLANK('Data Entry'!$R$196), "", 'Data Entry'!$R$196)</f>
      </c>
      <c r="S196">
        <f>IF(ISBLANK('Data Entry'!$S$196), "", 'Data Entry'!$S$196)</f>
      </c>
      <c r="T196">
        <f>IF(ISBLANK('Data Entry'!$T$196), "", 'Data Entry'!$T$196)</f>
      </c>
      <c r="U196">
        <f>IF(ISBLANK('Data Entry'!$U$196), "", 'Data Entry'!$U$196)</f>
      </c>
      <c r="V196">
        <f>IF(ISBLANK('Data Entry'!$V$196), "", 'Data Entry'!$V$196)</f>
      </c>
      <c r="W196">
        <f>IF(ISBLANK('Data Entry'!$W$196), "", 'Data Entry'!$W$196)</f>
      </c>
      <c r="X196">
        <f>IF(ISBLANK('Data Entry'!$X$196), "", 'Data Entry'!$X$196)</f>
      </c>
      <c r="Y196">
        <f>IF(ISBLANK('Data Entry'!$Y$196), "", 'Data Entry'!$Y$196)</f>
      </c>
      <c r="Z196">
        <f>IF(ISBLANK('Data Entry'!$Z$196), "", 'Data Entry'!$Z$196)</f>
      </c>
      <c r="AA196">
        <f>IF(ISBLANK('Data Entry'!$[$196), "", 'Data Entry'!$[$196)</f>
      </c>
      <c r="AB196">
        <f>IF(ISBLANK('Data Entry'!$\$196), "", 'Data Entry'!$\$196)</f>
      </c>
      <c r="AC196">
        <f>IF(ISBLANK('Data Entry'!$]$196), "", 'Data Entry'!$]$196)</f>
      </c>
      <c r="AD196">
        <f>IF(ISBLANK('Data Entry'!$^$196), "", 'Data Entry'!$^$196)</f>
      </c>
      <c r="AE196">
        <f>IF(ISBLANK('Data Entry'!$_$196), "", 'Data Entry'!$_$196)</f>
      </c>
      <c r="AF196">
        <f>IF(ISBLANK('Data Entry'!$`$196), "", 'Data Entry'!$`$196)</f>
      </c>
      <c r="AG196">
        <f>IF(ISBLANK('Data Entry'!$a$196), "", 'Data Entry'!$a$196)</f>
      </c>
      <c r="AH196">
        <f>IF(ISBLANK('Data Entry'!$b$196), "", 'Data Entry'!$b$196)</f>
      </c>
      <c r="AI196">
        <f>IF(ISBLANK('Data Entry'!$c$196), "", 'Data Entry'!$c$196)</f>
      </c>
      <c r="AJ196">
        <f>IF(ISBLANK('Data Entry'!$d$196), "", 'Data Entry'!$d$196)</f>
      </c>
      <c r="AK196">
        <f>IF(ISBLANK('Data Entry'!$e$196), "", 'Data Entry'!$e$196)</f>
      </c>
      <c r="AL196">
        <f>IF(ISBLANK('Data Entry'!$f$196), "", 'Data Entry'!$f$196)</f>
      </c>
      <c r="AM196">
        <f>IF(ISBLANK('Data Entry'!$g$196), "", 'Data Entry'!$g$196)</f>
      </c>
      <c r="AN196">
        <f>IF(ISBLANK('Data Entry'!$h$196), "", 'Data Entry'!$h$196)</f>
      </c>
      <c r="AO196">
        <f>IF(ISBLANK('Data Entry'!$i$196), "", 'Data Entry'!$i$196)</f>
      </c>
      <c r="AP196">
        <f>IF(ISBLANK('Data Entry'!$j$196), "", 'Data Entry'!$j$196)</f>
      </c>
      <c r="AQ196">
        <f>IF(ISBLANK('Data Entry'!$k$196), "", 'Data Entry'!$k$196)</f>
      </c>
      <c r="AR196">
        <f>IF(ISBLANK('Data Entry'!$l$196), "", 'Data Entry'!$l$196)</f>
      </c>
      <c r="AS196">
        <f>IF(ISBLANK('Data Entry'!$m$196), "", 'Data Entry'!$m$196)</f>
      </c>
      <c r="AT196">
        <f>IF(ISBLANK('Data Entry'!$n$196), "", 'Data Entry'!$n$196)</f>
      </c>
      <c r="AU196">
        <f>IF(ISBLANK('Data Entry'!$o$196), "", 'Data Entry'!$o$196)</f>
      </c>
      <c r="AV196">
        <f>IF(ISBLANK('Data Entry'!$p$196), "", 'Data Entry'!$p$196)</f>
      </c>
      <c r="AW196">
        <f>IF(ISBLANK('Data Entry'!$q$196), "", 'Data Entry'!$q$196)</f>
      </c>
      <c r="AX196">
        <f>IF(ISBLANK('Data Entry'!$r$196), "", 'Data Entry'!$r$196)</f>
      </c>
      <c r="AY196">
        <f>IF(ISBLANK('Data Entry'!$s$196), "", 'Data Entry'!$s$196)</f>
      </c>
      <c r="AZ196">
        <f>IF(ISBLANK('Data Entry'!$t$196), "", 'Data Entry'!$t$196)</f>
      </c>
      <c r="BA196">
        <f>IF(ISBLANK('Data Entry'!$u$196), "", 'Data Entry'!$u$196)</f>
      </c>
      <c r="BB196">
        <f>IF(ISBLANK('Data Entry'!$v$196), "", 'Data Entry'!$v$196)</f>
      </c>
      <c r="BC196">
        <f>IF(ISBLANK('Data Entry'!$w$196), "", 'Data Entry'!$w$196)</f>
      </c>
      <c r="BD196">
        <f>IF(ISBLANK('Data Entry'!$x$196), "", 'Data Entry'!$x$196)</f>
      </c>
      <c r="BE196">
        <f>IF(ISBLANK('Data Entry'!$y$196), "", 'Data Entry'!$y$196)</f>
      </c>
      <c r="BF196">
        <f>IF(ISBLANK('Data Entry'!$z$196), "", 'Data Entry'!$z$196)</f>
      </c>
      <c r="BG196">
        <f>IF(ISBLANK('Data Entry'!${$196), "", 'Data Entry'!${$196)</f>
      </c>
      <c r="BH196">
        <f>IF(ISBLANK('Data Entry'!$|$196), "", 'Data Entry'!$|$196)</f>
      </c>
      <c r="BI196">
        <f>IF(ISBLANK('Data Entry'!$}$196), "", 'Data Entry'!$}$196)</f>
      </c>
      <c r="BJ196">
        <f>IF(ISBLANK('Data Entry'!$~$196), "", 'Data Entry'!$~$196)</f>
      </c>
      <c r="BK196">
        <f>IF(ISBLANK('Data Entry'!$$196), "", 'Data Entry'!$$196)</f>
      </c>
      <c r="BL196">
        <f>IF(ISBLANK('Data Entry'!$$196), "", 'Data Entry'!$$196)</f>
      </c>
      <c r="BM196">
        <f>IF(ISBLANK('Data Entry'!$$196), "", 'Data Entry'!$$196)</f>
      </c>
      <c r="BN196">
        <f>IF(ISBLANK('Data Entry'!$$196), "", 'Data Entry'!$$196)</f>
      </c>
      <c r="BO196">
        <f>IF(ISBLANK('Data Entry'!$$196), "", 'Data Entry'!$$196)</f>
      </c>
      <c r="BP196">
        <f>IF(ISBLANK('Data Entry'!$$196), "", 'Data Entry'!$$196)</f>
      </c>
      <c r="BQ196">
        <f>IF(ISBLANK('Data Entry'!$$196), "", 'Data Entry'!$$196)</f>
      </c>
      <c r="BR196">
        <f>IF(ISBLANK('Data Entry'!$$196), "", 'Data Entry'!$$196)</f>
      </c>
      <c r="BS196">
        <f>IF(ISBLANK('Data Entry'!$$196), "", 'Data Entry'!$$196)</f>
      </c>
      <c r="BT196">
        <f>IF(ISBLANK('Data Entry'!$$196), "", 'Data Entry'!$$196)</f>
      </c>
      <c r="BU196">
        <f>IF(ISBLANK('Data Entry'!$$196), "", 'Data Entry'!$$196)</f>
      </c>
      <c r="BV196">
        <f>IF(ISBLANK('Data Entry'!$$196), "", 'Data Entry'!$$196)</f>
      </c>
      <c r="BW196">
        <f>IF(ISBLANK('Data Entry'!$$196), "", 'Data Entry'!$$196)</f>
      </c>
      <c r="BX196">
        <f>IF(ISBLANK('Data Entry'!$$196), "", 'Data Entry'!$$196)</f>
      </c>
      <c r="BY196">
        <f>IF(ISBLANK('Data Entry'!$$196), "", 'Data Entry'!$$196)</f>
      </c>
      <c r="BZ196">
        <f>IF(ISBLANK('Data Entry'!$$196), "", 'Data Entry'!$$196)</f>
      </c>
      <c r="CA196">
        <f>IF(ISBLANK('Data Entry'!$$196), "", 'Data Entry'!$$196)</f>
      </c>
      <c r="CB196">
        <f>IF(ISBLANK('Data Entry'!$$196), "", 'Data Entry'!$$196)</f>
      </c>
      <c r="CC196">
        <f>IF(ISBLANK('Data Entry'!$$196), "", 'Data Entry'!$$196)</f>
      </c>
      <c r="CD196">
        <f>IF(ISBLANK('Data Entry'!$$196), "", 'Data Entry'!$$196)</f>
      </c>
      <c r="CE196">
        <f>IF(ISBLANK('Data Entry'!$$196), "", 'Data Entry'!$$196)</f>
      </c>
      <c r="CF196">
        <f>IF(ISBLANK('Data Entry'!$$196), "", 'Data Entry'!$$196)</f>
      </c>
      <c r="CG196">
        <f>IF(ISBLANK('Data Entry'!$$196), "", 'Data Entry'!$$196)</f>
      </c>
      <c r="CH196">
        <f>IF(ISBLANK('Data Entry'!$$196), "", 'Data Entry'!$$196)</f>
      </c>
      <c r="CI196">
        <f>IF(ISBLANK('Data Entry'!$$196), "", 'Data Entry'!$$196)</f>
      </c>
      <c r="CJ196">
        <f>IF(ISBLANK('Data Entry'!$$196), "", 'Data Entry'!$$196)</f>
      </c>
      <c r="CK196">
        <f>IF(ISBLANK('Data Entry'!$$196), "", 'Data Entry'!$$196)</f>
      </c>
      <c r="CL196">
        <f>IF(ISBLANK('Data Entry'!$$196), "", 'Data Entry'!$$196)</f>
      </c>
      <c r="CM196">
        <f>IF(ISBLANK('Data Entry'!$$196), "", 'Data Entry'!$$196)</f>
      </c>
      <c r="CN196">
        <f>IF(ISBLANK('Data Entry'!$$196), "", 'Data Entry'!$$196)</f>
      </c>
      <c r="CO196">
        <f>IF(ISBLANK('Data Entry'!$$196), "", 'Data Entry'!$$196)</f>
      </c>
      <c r="CP196">
        <f>IF(ISBLANK('Data Entry'!$$196), "", 'Data Entry'!$$196)</f>
      </c>
      <c r="CQ196">
        <f>IF(ISBLANK('Data Entry'!$$196), "", 'Data Entry'!$$196)</f>
      </c>
      <c r="CR196">
        <f>IF(ISBLANK('Data Entry'!$ $196), "", 'Data Entry'!$ $196)</f>
      </c>
      <c r="CS196">
        <f>IF(ISBLANK('Data Entry'!$¡$196), "", 'Data Entry'!$¡$196)</f>
      </c>
      <c r="CT196">
        <f>IF(ISBLANK('Data Entry'!$¢$196), "", 'Data Entry'!$¢$196)</f>
      </c>
      <c r="CU196">
        <f>IF(ISBLANK('Data Entry'!$£$196), "", 'Data Entry'!$£$196)</f>
      </c>
      <c r="CV196">
        <f>IF(ISBLANK('Data Entry'!$¤$196), "", 'Data Entry'!$¤$196)</f>
      </c>
      <c r="CW196">
        <f>IF(ISBLANK('Data Entry'!$¥$196), "", 'Data Entry'!$¥$196)</f>
      </c>
      <c r="CX196">
        <f>IF(ISBLANK('Data Entry'!$¦$196), "", 'Data Entry'!$¦$196)</f>
      </c>
      <c r="CY196">
        <f>IF(ISBLANK('Data Entry'!$§$196), "", 'Data Entry'!$§$196)</f>
      </c>
      <c r="CZ196">
        <f>IF(ISBLANK('Data Entry'!$¨$196), "", 'Data Entry'!$¨$196)</f>
      </c>
      <c r="DA196">
        <f>IF(ISBLANK('Data Entry'!$©$196), "", 'Data Entry'!$©$196)</f>
      </c>
      <c r="DB196">
        <f>IF(ISBLANK('Data Entry'!$ª$196), "", 'Data Entry'!$ª$196)</f>
      </c>
      <c r="DC196">
        <f>IF(ISBLANK('Data Entry'!$«$196), "", 'Data Entry'!$«$196)</f>
      </c>
      <c r="DD196">
        <f>IF(ISBLANK('Data Entry'!$¬$196), "", 'Data Entry'!$¬$196)</f>
      </c>
      <c r="DE196">
        <f>IF(ISBLANK('Data Entry'!$­$196), "", 'Data Entry'!$­$196)</f>
      </c>
      <c r="DF196">
        <f>IF(ISBLANK('Data Entry'!$®$196), "", 'Data Entry'!$®$196)</f>
      </c>
      <c r="DG196">
        <f>IF(ISBLANK('Data Entry'!$¯$196), "", 'Data Entry'!$¯$196)</f>
      </c>
      <c r="DH196">
        <f>IF(ISBLANK('Data Entry'!$°$196), "", 'Data Entry'!$°$196)</f>
      </c>
      <c r="DI196">
        <f>IF(ISBLANK('Data Entry'!$±$196), "", 'Data Entry'!$±$196)</f>
      </c>
      <c r="DJ196">
        <f>IF(ISBLANK('Data Entry'!$²$196), "", 'Data Entry'!$²$196)</f>
      </c>
      <c r="DK196">
        <f>IF(ISBLANK('Data Entry'!$³$196), "", 'Data Entry'!$³$196)</f>
      </c>
      <c r="DL196">
        <f>IF(ISBLANK('Data Entry'!$´$196), "", 'Data Entry'!$´$196)</f>
      </c>
      <c r="DM196">
        <f>IF(ISBLANK('Data Entry'!$µ$196), "", 'Data Entry'!$µ$196)</f>
      </c>
      <c r="DN196">
        <f>IF(ISBLANK('Data Entry'!$¶$196), "", 'Data Entry'!$¶$196)</f>
      </c>
      <c r="DO196">
        <f>IF(ISBLANK('Data Entry'!$·$196), "", 'Data Entry'!$·$196)</f>
      </c>
      <c r="DP196">
        <f>IF(ISBLANK('Data Entry'!$¸$196), "", 'Data Entry'!$¸$196)</f>
      </c>
      <c r="DQ196">
        <f>IF(ISBLANK('Data Entry'!$¹$196), "", 'Data Entry'!$¹$196)</f>
      </c>
      <c r="DR196">
        <f>IF(ISBLANK('Data Entry'!$º$196), "", 'Data Entry'!$º$196)</f>
      </c>
      <c r="DS196">
        <f>IF(ISBLANK('Data Entry'!$»$196), "", 'Data Entry'!$»$196)</f>
      </c>
      <c r="DT196">
        <f>IF(ISBLANK('Data Entry'!$¼$196), "", 'Data Entry'!$¼$196)</f>
      </c>
      <c r="DU196">
        <f>IF(ISBLANK('Data Entry'!$½$196), "", 'Data Entry'!$½$196)</f>
      </c>
      <c r="DV196">
        <f>IF(ISBLANK('Data Entry'!$¾$196), "", 'Data Entry'!$¾$196)</f>
      </c>
      <c r="DW196">
        <f>IF(ISBLANK('Data Entry'!$¿$196), "", 'Data Entry'!$¿$196)</f>
      </c>
      <c r="DX196">
        <f>IF(ISBLANK('Data Entry'!$À$196), "", 'Data Entry'!$À$196)</f>
      </c>
      <c r="DY196">
        <f>IF(ISBLANK('Data Entry'!$Á$196), "", 'Data Entry'!$Á$196)</f>
      </c>
      <c r="DZ196">
        <f>IF(ISBLANK('Data Entry'!$Â$196), "", 'Data Entry'!$Â$196)</f>
      </c>
      <c r="EA196">
        <f>IF(ISBLANK('Data Entry'!$Ã$196), "", 'Data Entry'!$Ã$196)</f>
      </c>
      <c r="EB196">
        <f>IF(ISBLANK('Data Entry'!$Ä$196), "", 'Data Entry'!$Ä$196)</f>
      </c>
      <c r="EC196">
        <f>IF(ISBLANK('Data Entry'!$Å$196), "", 'Data Entry'!$Å$196)</f>
      </c>
      <c r="ED196">
        <f>IF(ISBLANK('Data Entry'!$Æ$196), "", 'Data Entry'!$Æ$196)</f>
      </c>
      <c r="EE196">
        <f>IF(ISBLANK('Data Entry'!$Ç$196), "", 'Data Entry'!$Ç$196)</f>
      </c>
      <c r="EF196">
        <f>IF(ISBLANK('Data Entry'!$È$196), "", 'Data Entry'!$È$196)</f>
      </c>
      <c r="EG196">
        <f>IF(ISBLANK('Data Entry'!$É$196), "", 'Data Entry'!$É$196)</f>
      </c>
      <c r="EH196">
        <f>IF(ISBLANK('Data Entry'!$Ê$196), "", 'Data Entry'!$Ê$196)</f>
      </c>
      <c r="EI196">
        <f>IF(ISBLANK('Data Entry'!$Ë$196), "", 'Data Entry'!$Ë$196)</f>
      </c>
      <c r="EJ196">
        <f>IF(ISBLANK('Data Entry'!$Ì$196), "", 'Data Entry'!$Ì$196)</f>
      </c>
      <c r="EK196">
        <f>IF(ISBLANK('Data Entry'!$Í$196), "", 'Data Entry'!$Í$196)</f>
      </c>
      <c r="EL196">
        <f>IF(ISBLANK('Data Entry'!$Î$196), "", 'Data Entry'!$Î$196)</f>
      </c>
      <c r="EM196">
        <f>IF(ISBLANK('Data Entry'!$Ï$196), "", 'Data Entry'!$Ï$196)</f>
      </c>
      <c r="EN196">
        <f>IF(ISBLANK('Data Entry'!$Ð$196), "", 'Data Entry'!$Ð$196)</f>
      </c>
      <c r="EO196">
        <f>IF(ISBLANK('Data Entry'!$Ñ$196), "", 'Data Entry'!$Ñ$196)</f>
      </c>
      <c r="EP196">
        <f>IF(ISBLANK('Data Entry'!$Ò$196), "", 'Data Entry'!$Ò$196)</f>
      </c>
      <c r="EQ196">
        <f>IF(ISBLANK('Data Entry'!$Ó$196), "", 'Data Entry'!$Ó$196)</f>
      </c>
      <c r="ER196">
        <f>IF(ISBLANK('Data Entry'!$Ô$196), "", 'Data Entry'!$Ô$196)</f>
      </c>
      <c r="ES196">
        <f>IF(ISBLANK('Data Entry'!$Õ$196), "", 'Data Entry'!$Õ$196)</f>
      </c>
      <c r="ET196">
        <f>IF(ISBLANK('Data Entry'!$Ö$196), "", 'Data Entry'!$Ö$196)</f>
      </c>
      <c r="EU196">
        <f>IF(ISBLANK('Data Entry'!$×$196), "", 'Data Entry'!$×$196)</f>
      </c>
      <c r="EV196">
        <f>IF(ISBLANK('Data Entry'!$Ø$196), "", 'Data Entry'!$Ø$196)</f>
      </c>
      <c r="EW196">
        <f>IF(ISBLANK('Data Entry'!$Ù$196), "", 'Data Entry'!$Ù$196)</f>
      </c>
      <c r="EX196">
        <f>IF(ISBLANK('Data Entry'!$Ú$196), "", 'Data Entry'!$Ú$196)</f>
      </c>
      <c r="EY196">
        <f>IF(ISBLANK('Data Entry'!$Û$196), "", 'Data Entry'!$Û$196)</f>
      </c>
      <c r="EZ196">
        <f>IF(ISBLANK('Data Entry'!$Ü$196), "", 'Data Entry'!$Ü$196)</f>
      </c>
      <c r="FA196">
        <f>IF(ISBLANK('Data Entry'!$Ý$196), "", 'Data Entry'!$Ý$196)</f>
      </c>
      <c r="FB196">
        <f>IF(ISBLANK('Data Entry'!$Þ$196), "", 'Data Entry'!$Þ$196)</f>
      </c>
      <c r="FC196">
        <f>IF(ISBLANK('Data Entry'!$ß$196), "", 'Data Entry'!$ß$196)</f>
      </c>
      <c r="FD196">
        <f>IF(ISBLANK('Data Entry'!$à$196), "", 'Data Entry'!$à$196)</f>
      </c>
      <c r="FE196">
        <f>IF(ISBLANK('Data Entry'!$á$196), "", 'Data Entry'!$á$196)</f>
      </c>
      <c r="FF196">
        <f>IF(ISBLANK('Data Entry'!$â$196), "", 'Data Entry'!$â$196)</f>
      </c>
      <c r="FG196">
        <f>IF(ISBLANK('Data Entry'!$ã$196), "", 'Data Entry'!$ã$196)</f>
      </c>
      <c r="FH196">
        <f>IF(ISBLANK('Data Entry'!$ä$196), "", 'Data Entry'!$ä$196)</f>
      </c>
      <c r="FI196">
        <f>IF(ISBLANK('Data Entry'!$å$196), "", 'Data Entry'!$å$196)</f>
      </c>
      <c r="FJ196">
        <f>IF(ISBLANK('Data Entry'!$æ$196), "", 'Data Entry'!$æ$196)</f>
      </c>
      <c r="FK196">
        <f>IF(ISBLANK('Data Entry'!$ç$196), "", 'Data Entry'!$ç$196)</f>
      </c>
      <c r="FL196">
        <f>IF(ISBLANK('Data Entry'!$è$196), "", 'Data Entry'!$è$196)</f>
      </c>
      <c r="FM196">
        <f>IF(ISBLANK('Data Entry'!$é$196), "", 'Data Entry'!$é$196)</f>
      </c>
      <c r="FN196">
        <f>IF(ISBLANK('Data Entry'!$ê$196), "", 'Data Entry'!$ê$196)</f>
      </c>
      <c r="FO196">
        <f>IF(ISBLANK('Data Entry'!$ë$196), "", 'Data Entry'!$ë$196)</f>
      </c>
      <c r="FP196">
        <f>IF(ISBLANK('Data Entry'!$ì$196), "", 'Data Entry'!$ì$196)</f>
      </c>
      <c r="FQ196">
        <f>IF(ISBLANK('Data Entry'!$í$196), "", 'Data Entry'!$í$196)</f>
      </c>
      <c r="FR196">
        <f>IF(ISBLANK('Data Entry'!$î$196), "", 'Data Entry'!$î$196)</f>
      </c>
      <c r="FS196">
        <f>IF(ISBLANK('Data Entry'!$ï$196), "", 'Data Entry'!$ï$196)</f>
      </c>
      <c r="FT196">
        <f>IF(ISBLANK('Data Entry'!$ð$196), "", 'Data Entry'!$ð$196)</f>
      </c>
      <c r="FU196">
        <f>IF(ISBLANK('Data Entry'!$ñ$196), "", 'Data Entry'!$ñ$196)</f>
      </c>
      <c r="FV196">
        <f>IF(ISBLANK('Data Entry'!$ò$196), "", 'Data Entry'!$ò$196)</f>
      </c>
      <c r="FW196">
        <f>IF(ISBLANK('Data Entry'!$ó$196), "", 'Data Entry'!$ó$196)</f>
      </c>
      <c r="FX196">
        <f>IF(ISBLANK('Data Entry'!$ô$196), "", 'Data Entry'!$ô$196)</f>
      </c>
      <c r="FY196">
        <f>IF(ISBLANK('Data Entry'!$õ$196), "", 'Data Entry'!$õ$196)</f>
      </c>
      <c r="FZ196">
        <f>IF(ISBLANK('Data Entry'!$ö$196), "", 'Data Entry'!$ö$196)</f>
      </c>
      <c r="GA196">
        <f>IF(ISBLANK('Data Entry'!$÷$196), "", 'Data Entry'!$÷$196)</f>
      </c>
      <c r="GB196">
        <f>IF(ISBLANK('Data Entry'!$ø$196), "", 'Data Entry'!$ø$196)</f>
      </c>
      <c r="GC196">
        <f>IF(ISBLANK('Data Entry'!$ù$196), "", 'Data Entry'!$ù$196)</f>
      </c>
      <c r="GD196">
        <f>IF(ISBLANK('Data Entry'!$ú$196), "", 'Data Entry'!$ú$196)</f>
      </c>
      <c r="GE196">
        <f>IF(ISBLANK('Data Entry'!$û$196), "", 'Data Entry'!$û$196)</f>
      </c>
      <c r="GF196">
        <f>IF(ISBLANK('Data Entry'!$ü$196), "", 'Data Entry'!$ü$196)</f>
      </c>
      <c r="GG196">
        <f>IF(ISBLANK('Data Entry'!$ý$196), "", 'Data Entry'!$ý$196)</f>
      </c>
      <c r="GH196">
        <f>IF(ISBLANK('Data Entry'!$þ$196), "", 'Data Entry'!$þ$196)</f>
      </c>
      <c r="GI196">
        <f>IF(ISBLANK('Data Entry'!$ÿ$196), "", 'Data Entry'!$ÿ$196)</f>
      </c>
      <c r="GJ196">
        <f>IF(ISBLANK('Data Entry'!$Ā$196), "", 'Data Entry'!$Ā$196)</f>
      </c>
      <c r="GK196">
        <f>IF(ISBLANK('Data Entry'!$ā$196), "", 'Data Entry'!$ā$196)</f>
      </c>
      <c r="GL196">
        <f>IF(ISBLANK('Data Entry'!$Ă$196), "", 'Data Entry'!$Ă$196)</f>
      </c>
      <c r="GM196">
        <f>IF(ISBLANK('Data Entry'!$ă$196), "", 'Data Entry'!$ă$196)</f>
      </c>
      <c r="GN196">
        <f>IF(ISBLANK('Data Entry'!$Ą$196), "", 'Data Entry'!$Ą$196)</f>
      </c>
      <c r="GO196">
        <f>IF(ISBLANK('Data Entry'!$ą$196), "", 'Data Entry'!$ą$196)</f>
      </c>
      <c r="GP196">
        <f>IF(ISBLANK('Data Entry'!$Ć$196), "", 'Data Entry'!$Ć$196)</f>
      </c>
      <c r="GQ196">
        <f>IF(ISBLANK('Data Entry'!$ć$196), "", 'Data Entry'!$ć$196)</f>
      </c>
      <c r="GR196">
        <f>IF(ISBLANK('Data Entry'!$Ĉ$196), "", 'Data Entry'!$Ĉ$196)</f>
      </c>
      <c r="GS196">
        <f>IF(ISBLANK('Data Entry'!$ĉ$196), "", 'Data Entry'!$ĉ$196)</f>
      </c>
      <c r="GT196">
        <f>IF(ISBLANK('Data Entry'!$Ċ$196), "", 'Data Entry'!$Ċ$196)</f>
      </c>
      <c r="GU196">
        <f>IF(ISBLANK('Data Entry'!$ċ$196), "", 'Data Entry'!$ċ$196)</f>
      </c>
      <c r="GV196">
        <f>IF(ISBLANK('Data Entry'!$Č$196), "", 'Data Entry'!$Č$196)</f>
      </c>
      <c r="GW196">
        <f>IF(ISBLANK('Data Entry'!$č$196), "", 'Data Entry'!$č$196)</f>
      </c>
      <c r="GX196">
        <f>IF(ISBLANK('Data Entry'!$Ď$196), "", 'Data Entry'!$Ď$196)</f>
      </c>
      <c r="GY196">
        <f>IF(ISBLANK('Data Entry'!$ď$196), "", 'Data Entry'!$ď$196)</f>
      </c>
      <c r="GZ196">
        <f>IF(ISBLANK('Data Entry'!$Đ$196), "", 'Data Entry'!$Đ$196)</f>
      </c>
      <c r="HA196">
        <f>IF(ISBLANK('Data Entry'!$đ$196), "", 'Data Entry'!$đ$196)</f>
      </c>
      <c r="HB196">
        <f>IF(ISBLANK('Data Entry'!$Ē$196), "", 'Data Entry'!$Ē$196)</f>
      </c>
      <c r="HC196">
        <f>IF(ISBLANK('Data Entry'!$ē$196), "", 'Data Entry'!$ē$196)</f>
      </c>
      <c r="HD196">
        <f>IF(ISBLANK('Data Entry'!$Ĕ$196), "", 'Data Entry'!$Ĕ$196)</f>
      </c>
      <c r="HE196">
        <f>IF(ISBLANK('Data Entry'!$ĕ$196), "", 'Data Entry'!$ĕ$196)</f>
      </c>
      <c r="HF196">
        <f>IF(ISBLANK('Data Entry'!$Ė$196), "", 'Data Entry'!$Ė$196)</f>
      </c>
      <c r="HG196">
        <f>IF(ISBLANK('Data Entry'!$ė$196), "", 'Data Entry'!$ė$196)</f>
      </c>
      <c r="HH196">
        <f>IF(ISBLANK('Data Entry'!$Ę$196), "", 'Data Entry'!$Ę$196)</f>
      </c>
      <c r="HI196">
        <f>IF(ISBLANK('Data Entry'!$ę$196), "", 'Data Entry'!$ę$196)</f>
      </c>
      <c r="HJ196">
        <f>IF(ISBLANK('Data Entry'!$Ě$196), "", 'Data Entry'!$Ě$196)</f>
      </c>
      <c r="HK196">
        <f>IF(ISBLANK('Data Entry'!$ě$196), "", 'Data Entry'!$ě$196)</f>
      </c>
      <c r="HL196">
        <f>IF(ISBLANK('Data Entry'!$Ĝ$196), "", 'Data Entry'!$Ĝ$196)</f>
      </c>
      <c r="HM196">
        <f>IF(ISBLANK('Data Entry'!$ĝ$196), "", 'Data Entry'!$ĝ$196)</f>
      </c>
      <c r="HN196">
        <f>IF(ISBLANK('Data Entry'!$Ğ$196), "", 'Data Entry'!$Ğ$196)</f>
      </c>
      <c r="HO196">
        <f>IF(ISBLANK('Data Entry'!$ğ$196), "", 'Data Entry'!$ğ$196)</f>
      </c>
      <c r="HP196">
        <f>IF(ISBLANK('Data Entry'!$Ġ$196), "", 'Data Entry'!$Ġ$196)</f>
      </c>
      <c r="HQ196">
        <f>IF(ISBLANK('Data Entry'!$ġ$196), "", 'Data Entry'!$ġ$196)</f>
      </c>
      <c r="HR196">
        <f>IF(ISBLANK('Data Entry'!$Ģ$196), "", 'Data Entry'!$Ģ$196)</f>
      </c>
      <c r="HS196">
        <f>IF(ISBLANK('Data Entry'!$ģ$196), "", 'Data Entry'!$ģ$196)</f>
      </c>
      <c r="HT196">
        <f>IF(ISBLANK('Data Entry'!$Ĥ$196), "", 'Data Entry'!$Ĥ$196)</f>
      </c>
      <c r="HU196">
        <f>IF(ISBLANK('Data Entry'!$ĥ$196), "", 'Data Entry'!$ĥ$196)</f>
      </c>
      <c r="HV196">
        <f>IF(ISBLANK('Data Entry'!$Ħ$196), "", 'Data Entry'!$Ħ$196)</f>
      </c>
      <c r="HW196">
        <f>IF(ISBLANK('Data Entry'!$ħ$196), "", 'Data Entry'!$ħ$196)</f>
      </c>
      <c r="HX196">
        <f>IF(ISBLANK('Data Entry'!$Ĩ$196), "", 'Data Entry'!$Ĩ$196)</f>
      </c>
      <c r="HY196">
        <f>IF(ISBLANK('Data Entry'!$ĩ$196), "", 'Data Entry'!$ĩ$196)</f>
      </c>
      <c r="HZ196">
        <f>IF(ISBLANK('Data Entry'!$Ī$196), "", 'Data Entry'!$Ī$196)</f>
      </c>
      <c r="IA196">
        <f>IF(ISBLANK('Data Entry'!$ī$196), "", 'Data Entry'!$ī$196)</f>
      </c>
      <c r="IB196">
        <f>IF(ISBLANK('Data Entry'!$Ĭ$196), "", 'Data Entry'!$Ĭ$196)</f>
      </c>
      <c r="IC196">
        <f>IF(ISBLANK('Data Entry'!$ĭ$196), "", 'Data Entry'!$ĭ$196)</f>
      </c>
      <c r="ID196">
        <f>IF(ISBLANK('Data Entry'!$Į$196), "", 'Data Entry'!$Į$196)</f>
      </c>
      <c r="IE196">
        <f>IF(ISBLANK('Data Entry'!$į$196), "", 'Data Entry'!$į$196)</f>
      </c>
      <c r="IF196">
        <f>IF(ISBLANK('Data Entry'!$İ$196), "", 'Data Entry'!$İ$196)</f>
      </c>
      <c r="IG196">
        <f>IF(ISBLANK('Data Entry'!$ı$196), "", 'Data Entry'!$ı$196)</f>
      </c>
      <c r="IH196">
        <f>IF(ISBLANK('Data Entry'!$Ĳ$196), "", 'Data Entry'!$Ĳ$196)</f>
      </c>
      <c r="II196">
        <f>IF(ISBLANK('Data Entry'!$ĳ$196), "", 'Data Entry'!$ĳ$196)</f>
      </c>
      <c r="IJ196">
        <f>IF(ISBLANK('Data Entry'!$Ĵ$196), "", 'Data Entry'!$Ĵ$196)</f>
      </c>
      <c r="IK196">
        <f>IF(ISBLANK('Data Entry'!$ĵ$196), "", 'Data Entry'!$ĵ$196)</f>
      </c>
      <c r="IL196">
        <f>IF(ISBLANK('Data Entry'!$Ķ$196), "", 'Data Entry'!$Ķ$196)</f>
      </c>
      <c r="IM196">
        <f>IF(ISBLANK('Data Entry'!$ķ$196), "", 'Data Entry'!$ķ$196)</f>
      </c>
      <c r="IN196">
        <f>IF(ISBLANK('Data Entry'!$ĸ$196), "", 'Data Entry'!$ĸ$196)</f>
      </c>
      <c r="IO196">
        <f>IF(ISBLANK('Data Entry'!$Ĺ$196), "", 'Data Entry'!$Ĺ$196)</f>
      </c>
      <c r="IP196">
        <f>IF(ISBLANK('Data Entry'!$ĺ$196), "", 'Data Entry'!$ĺ$196)</f>
      </c>
      <c r="IQ196">
        <f>IF(ISBLANK('Data Entry'!$Ļ$196), "", 'Data Entry'!$Ļ$196)</f>
      </c>
      <c r="IR196">
        <f>IF(ISBLANK('Data Entry'!$ļ$196), "", 'Data Entry'!$ļ$196)</f>
      </c>
      <c r="IS196">
        <f>IF(ISBLANK('Data Entry'!$Ľ$196), "", 'Data Entry'!$Ľ$196)</f>
      </c>
      <c r="IT196">
        <f>IF(ISBLANK('Data Entry'!$ľ$196), "", 'Data Entry'!$ľ$196)</f>
      </c>
    </row>
    <row r="197" spans="1:254" x14ac:dyDescent="0.25">
      <c r="A197">
        <f>IF(ISBLANK('Data Entry'!$A$197), "", 'Data Entry'!$A$197)</f>
      </c>
      <c r="B197">
        <f>IF(ISBLANK('Data Entry'!$B$197), "", 'Data Entry'!$B$197)</f>
      </c>
      <c r="C197">
        <f>IF(ISBLANK('Data Entry'!$C$197), "", 'Data Entry'!$C$197)</f>
      </c>
      <c r="D197">
        <f>IF(ISBLANK('Data Entry'!$D$197), "", 'Data Entry'!$D$197)</f>
      </c>
      <c r="E197">
        <f>IF(ISBLANK('Data Entry'!$E$197), "", 'Data Entry'!$E$197)</f>
      </c>
      <c r="F197">
        <f>IF(ISBLANK('Data Entry'!$F$197), "", 'Data Entry'!$F$197)</f>
      </c>
      <c r="G197">
        <f>IF(ISBLANK('Data Entry'!$G$197), "", 'Data Entry'!$G$197)</f>
      </c>
      <c r="H197">
        <f>IF(ISBLANK('Data Entry'!$H$197), "", 'Data Entry'!$H$197)</f>
      </c>
      <c r="I197">
        <f>IF(ISBLANK('Data Entry'!$I$197), "", 'Data Entry'!$I$197)</f>
      </c>
      <c r="J197">
        <f>IF(ISBLANK('Data Entry'!$J$197), "", 'Data Entry'!$J$197)</f>
      </c>
      <c r="K197">
        <f>IF(ISBLANK('Data Entry'!$K$197), "", 'Data Entry'!$K$197)</f>
      </c>
      <c r="L197">
        <f>IF(ISBLANK('Data Entry'!$L$197), "", 'Data Entry'!$L$197)</f>
      </c>
      <c r="M197">
        <f>IF(ISBLANK('Data Entry'!$M$197), "", 'Data Entry'!$M$197)</f>
      </c>
      <c r="N197">
        <f>IF(ISBLANK('Data Entry'!$N$197), "", 'Data Entry'!$N$197)</f>
      </c>
      <c r="O197">
        <f>IF(ISBLANK('Data Entry'!$O$197), "", 'Data Entry'!$O$197)</f>
      </c>
      <c r="P197">
        <f>IF(ISBLANK('Data Entry'!$P$197), "", 'Data Entry'!$P$197)</f>
      </c>
      <c r="Q197">
        <f>IF(ISBLANK('Data Entry'!$Q$197), "", 'Data Entry'!$Q$197)</f>
      </c>
      <c r="R197">
        <f>IF(ISBLANK('Data Entry'!$R$197), "", 'Data Entry'!$R$197)</f>
      </c>
      <c r="S197">
        <f>IF(ISBLANK('Data Entry'!$S$197), "", 'Data Entry'!$S$197)</f>
      </c>
      <c r="T197">
        <f>IF(ISBLANK('Data Entry'!$T$197), "", 'Data Entry'!$T$197)</f>
      </c>
      <c r="U197">
        <f>IF(ISBLANK('Data Entry'!$U$197), "", 'Data Entry'!$U$197)</f>
      </c>
      <c r="V197">
        <f>IF(ISBLANK('Data Entry'!$V$197), "", 'Data Entry'!$V$197)</f>
      </c>
      <c r="W197">
        <f>IF(ISBLANK('Data Entry'!$W$197), "", 'Data Entry'!$W$197)</f>
      </c>
      <c r="X197">
        <f>IF(ISBLANK('Data Entry'!$X$197), "", 'Data Entry'!$X$197)</f>
      </c>
      <c r="Y197">
        <f>IF(ISBLANK('Data Entry'!$Y$197), "", 'Data Entry'!$Y$197)</f>
      </c>
      <c r="Z197">
        <f>IF(ISBLANK('Data Entry'!$Z$197), "", 'Data Entry'!$Z$197)</f>
      </c>
      <c r="AA197">
        <f>IF(ISBLANK('Data Entry'!$[$197), "", 'Data Entry'!$[$197)</f>
      </c>
      <c r="AB197">
        <f>IF(ISBLANK('Data Entry'!$\$197), "", 'Data Entry'!$\$197)</f>
      </c>
      <c r="AC197">
        <f>IF(ISBLANK('Data Entry'!$]$197), "", 'Data Entry'!$]$197)</f>
      </c>
      <c r="AD197">
        <f>IF(ISBLANK('Data Entry'!$^$197), "", 'Data Entry'!$^$197)</f>
      </c>
      <c r="AE197">
        <f>IF(ISBLANK('Data Entry'!$_$197), "", 'Data Entry'!$_$197)</f>
      </c>
      <c r="AF197">
        <f>IF(ISBLANK('Data Entry'!$`$197), "", 'Data Entry'!$`$197)</f>
      </c>
      <c r="AG197">
        <f>IF(ISBLANK('Data Entry'!$a$197), "", 'Data Entry'!$a$197)</f>
      </c>
      <c r="AH197">
        <f>IF(ISBLANK('Data Entry'!$b$197), "", 'Data Entry'!$b$197)</f>
      </c>
      <c r="AI197">
        <f>IF(ISBLANK('Data Entry'!$c$197), "", 'Data Entry'!$c$197)</f>
      </c>
      <c r="AJ197">
        <f>IF(ISBLANK('Data Entry'!$d$197), "", 'Data Entry'!$d$197)</f>
      </c>
      <c r="AK197">
        <f>IF(ISBLANK('Data Entry'!$e$197), "", 'Data Entry'!$e$197)</f>
      </c>
      <c r="AL197">
        <f>IF(ISBLANK('Data Entry'!$f$197), "", 'Data Entry'!$f$197)</f>
      </c>
      <c r="AM197">
        <f>IF(ISBLANK('Data Entry'!$g$197), "", 'Data Entry'!$g$197)</f>
      </c>
      <c r="AN197">
        <f>IF(ISBLANK('Data Entry'!$h$197), "", 'Data Entry'!$h$197)</f>
      </c>
      <c r="AO197">
        <f>IF(ISBLANK('Data Entry'!$i$197), "", 'Data Entry'!$i$197)</f>
      </c>
      <c r="AP197">
        <f>IF(ISBLANK('Data Entry'!$j$197), "", 'Data Entry'!$j$197)</f>
      </c>
      <c r="AQ197">
        <f>IF(ISBLANK('Data Entry'!$k$197), "", 'Data Entry'!$k$197)</f>
      </c>
      <c r="AR197">
        <f>IF(ISBLANK('Data Entry'!$l$197), "", 'Data Entry'!$l$197)</f>
      </c>
      <c r="AS197">
        <f>IF(ISBLANK('Data Entry'!$m$197), "", 'Data Entry'!$m$197)</f>
      </c>
      <c r="AT197">
        <f>IF(ISBLANK('Data Entry'!$n$197), "", 'Data Entry'!$n$197)</f>
      </c>
      <c r="AU197">
        <f>IF(ISBLANK('Data Entry'!$o$197), "", 'Data Entry'!$o$197)</f>
      </c>
      <c r="AV197">
        <f>IF(ISBLANK('Data Entry'!$p$197), "", 'Data Entry'!$p$197)</f>
      </c>
      <c r="AW197">
        <f>IF(ISBLANK('Data Entry'!$q$197), "", 'Data Entry'!$q$197)</f>
      </c>
      <c r="AX197">
        <f>IF(ISBLANK('Data Entry'!$r$197), "", 'Data Entry'!$r$197)</f>
      </c>
      <c r="AY197">
        <f>IF(ISBLANK('Data Entry'!$s$197), "", 'Data Entry'!$s$197)</f>
      </c>
      <c r="AZ197">
        <f>IF(ISBLANK('Data Entry'!$t$197), "", 'Data Entry'!$t$197)</f>
      </c>
      <c r="BA197">
        <f>IF(ISBLANK('Data Entry'!$u$197), "", 'Data Entry'!$u$197)</f>
      </c>
      <c r="BB197">
        <f>IF(ISBLANK('Data Entry'!$v$197), "", 'Data Entry'!$v$197)</f>
      </c>
      <c r="BC197">
        <f>IF(ISBLANK('Data Entry'!$w$197), "", 'Data Entry'!$w$197)</f>
      </c>
      <c r="BD197">
        <f>IF(ISBLANK('Data Entry'!$x$197), "", 'Data Entry'!$x$197)</f>
      </c>
      <c r="BE197">
        <f>IF(ISBLANK('Data Entry'!$y$197), "", 'Data Entry'!$y$197)</f>
      </c>
      <c r="BF197">
        <f>IF(ISBLANK('Data Entry'!$z$197), "", 'Data Entry'!$z$197)</f>
      </c>
      <c r="BG197">
        <f>IF(ISBLANK('Data Entry'!${$197), "", 'Data Entry'!${$197)</f>
      </c>
      <c r="BH197">
        <f>IF(ISBLANK('Data Entry'!$|$197), "", 'Data Entry'!$|$197)</f>
      </c>
      <c r="BI197">
        <f>IF(ISBLANK('Data Entry'!$}$197), "", 'Data Entry'!$}$197)</f>
      </c>
      <c r="BJ197">
        <f>IF(ISBLANK('Data Entry'!$~$197), "", 'Data Entry'!$~$197)</f>
      </c>
      <c r="BK197">
        <f>IF(ISBLANK('Data Entry'!$$197), "", 'Data Entry'!$$197)</f>
      </c>
      <c r="BL197">
        <f>IF(ISBLANK('Data Entry'!$$197), "", 'Data Entry'!$$197)</f>
      </c>
      <c r="BM197">
        <f>IF(ISBLANK('Data Entry'!$$197), "", 'Data Entry'!$$197)</f>
      </c>
      <c r="BN197">
        <f>IF(ISBLANK('Data Entry'!$$197), "", 'Data Entry'!$$197)</f>
      </c>
      <c r="BO197">
        <f>IF(ISBLANK('Data Entry'!$$197), "", 'Data Entry'!$$197)</f>
      </c>
      <c r="BP197">
        <f>IF(ISBLANK('Data Entry'!$$197), "", 'Data Entry'!$$197)</f>
      </c>
      <c r="BQ197">
        <f>IF(ISBLANK('Data Entry'!$$197), "", 'Data Entry'!$$197)</f>
      </c>
      <c r="BR197">
        <f>IF(ISBLANK('Data Entry'!$$197), "", 'Data Entry'!$$197)</f>
      </c>
      <c r="BS197">
        <f>IF(ISBLANK('Data Entry'!$$197), "", 'Data Entry'!$$197)</f>
      </c>
      <c r="BT197">
        <f>IF(ISBLANK('Data Entry'!$$197), "", 'Data Entry'!$$197)</f>
      </c>
      <c r="BU197">
        <f>IF(ISBLANK('Data Entry'!$$197), "", 'Data Entry'!$$197)</f>
      </c>
      <c r="BV197">
        <f>IF(ISBLANK('Data Entry'!$$197), "", 'Data Entry'!$$197)</f>
      </c>
      <c r="BW197">
        <f>IF(ISBLANK('Data Entry'!$$197), "", 'Data Entry'!$$197)</f>
      </c>
      <c r="BX197">
        <f>IF(ISBLANK('Data Entry'!$$197), "", 'Data Entry'!$$197)</f>
      </c>
      <c r="BY197">
        <f>IF(ISBLANK('Data Entry'!$$197), "", 'Data Entry'!$$197)</f>
      </c>
      <c r="BZ197">
        <f>IF(ISBLANK('Data Entry'!$$197), "", 'Data Entry'!$$197)</f>
      </c>
      <c r="CA197">
        <f>IF(ISBLANK('Data Entry'!$$197), "", 'Data Entry'!$$197)</f>
      </c>
      <c r="CB197">
        <f>IF(ISBLANK('Data Entry'!$$197), "", 'Data Entry'!$$197)</f>
      </c>
      <c r="CC197">
        <f>IF(ISBLANK('Data Entry'!$$197), "", 'Data Entry'!$$197)</f>
      </c>
      <c r="CD197">
        <f>IF(ISBLANK('Data Entry'!$$197), "", 'Data Entry'!$$197)</f>
      </c>
      <c r="CE197">
        <f>IF(ISBLANK('Data Entry'!$$197), "", 'Data Entry'!$$197)</f>
      </c>
      <c r="CF197">
        <f>IF(ISBLANK('Data Entry'!$$197), "", 'Data Entry'!$$197)</f>
      </c>
      <c r="CG197">
        <f>IF(ISBLANK('Data Entry'!$$197), "", 'Data Entry'!$$197)</f>
      </c>
      <c r="CH197">
        <f>IF(ISBLANK('Data Entry'!$$197), "", 'Data Entry'!$$197)</f>
      </c>
      <c r="CI197">
        <f>IF(ISBLANK('Data Entry'!$$197), "", 'Data Entry'!$$197)</f>
      </c>
      <c r="CJ197">
        <f>IF(ISBLANK('Data Entry'!$$197), "", 'Data Entry'!$$197)</f>
      </c>
      <c r="CK197">
        <f>IF(ISBLANK('Data Entry'!$$197), "", 'Data Entry'!$$197)</f>
      </c>
      <c r="CL197">
        <f>IF(ISBLANK('Data Entry'!$$197), "", 'Data Entry'!$$197)</f>
      </c>
      <c r="CM197">
        <f>IF(ISBLANK('Data Entry'!$$197), "", 'Data Entry'!$$197)</f>
      </c>
      <c r="CN197">
        <f>IF(ISBLANK('Data Entry'!$$197), "", 'Data Entry'!$$197)</f>
      </c>
      <c r="CO197">
        <f>IF(ISBLANK('Data Entry'!$$197), "", 'Data Entry'!$$197)</f>
      </c>
      <c r="CP197">
        <f>IF(ISBLANK('Data Entry'!$$197), "", 'Data Entry'!$$197)</f>
      </c>
      <c r="CQ197">
        <f>IF(ISBLANK('Data Entry'!$$197), "", 'Data Entry'!$$197)</f>
      </c>
      <c r="CR197">
        <f>IF(ISBLANK('Data Entry'!$ $197), "", 'Data Entry'!$ $197)</f>
      </c>
      <c r="CS197">
        <f>IF(ISBLANK('Data Entry'!$¡$197), "", 'Data Entry'!$¡$197)</f>
      </c>
      <c r="CT197">
        <f>IF(ISBLANK('Data Entry'!$¢$197), "", 'Data Entry'!$¢$197)</f>
      </c>
      <c r="CU197">
        <f>IF(ISBLANK('Data Entry'!$£$197), "", 'Data Entry'!$£$197)</f>
      </c>
      <c r="CV197">
        <f>IF(ISBLANK('Data Entry'!$¤$197), "", 'Data Entry'!$¤$197)</f>
      </c>
      <c r="CW197">
        <f>IF(ISBLANK('Data Entry'!$¥$197), "", 'Data Entry'!$¥$197)</f>
      </c>
      <c r="CX197">
        <f>IF(ISBLANK('Data Entry'!$¦$197), "", 'Data Entry'!$¦$197)</f>
      </c>
      <c r="CY197">
        <f>IF(ISBLANK('Data Entry'!$§$197), "", 'Data Entry'!$§$197)</f>
      </c>
      <c r="CZ197">
        <f>IF(ISBLANK('Data Entry'!$¨$197), "", 'Data Entry'!$¨$197)</f>
      </c>
      <c r="DA197">
        <f>IF(ISBLANK('Data Entry'!$©$197), "", 'Data Entry'!$©$197)</f>
      </c>
      <c r="DB197">
        <f>IF(ISBLANK('Data Entry'!$ª$197), "", 'Data Entry'!$ª$197)</f>
      </c>
      <c r="DC197">
        <f>IF(ISBLANK('Data Entry'!$«$197), "", 'Data Entry'!$«$197)</f>
      </c>
      <c r="DD197">
        <f>IF(ISBLANK('Data Entry'!$¬$197), "", 'Data Entry'!$¬$197)</f>
      </c>
      <c r="DE197">
        <f>IF(ISBLANK('Data Entry'!$­$197), "", 'Data Entry'!$­$197)</f>
      </c>
      <c r="DF197">
        <f>IF(ISBLANK('Data Entry'!$®$197), "", 'Data Entry'!$®$197)</f>
      </c>
      <c r="DG197">
        <f>IF(ISBLANK('Data Entry'!$¯$197), "", 'Data Entry'!$¯$197)</f>
      </c>
      <c r="DH197">
        <f>IF(ISBLANK('Data Entry'!$°$197), "", 'Data Entry'!$°$197)</f>
      </c>
      <c r="DI197">
        <f>IF(ISBLANK('Data Entry'!$±$197), "", 'Data Entry'!$±$197)</f>
      </c>
      <c r="DJ197">
        <f>IF(ISBLANK('Data Entry'!$²$197), "", 'Data Entry'!$²$197)</f>
      </c>
      <c r="DK197">
        <f>IF(ISBLANK('Data Entry'!$³$197), "", 'Data Entry'!$³$197)</f>
      </c>
      <c r="DL197">
        <f>IF(ISBLANK('Data Entry'!$´$197), "", 'Data Entry'!$´$197)</f>
      </c>
      <c r="DM197">
        <f>IF(ISBLANK('Data Entry'!$µ$197), "", 'Data Entry'!$µ$197)</f>
      </c>
      <c r="DN197">
        <f>IF(ISBLANK('Data Entry'!$¶$197), "", 'Data Entry'!$¶$197)</f>
      </c>
      <c r="DO197">
        <f>IF(ISBLANK('Data Entry'!$·$197), "", 'Data Entry'!$·$197)</f>
      </c>
      <c r="DP197">
        <f>IF(ISBLANK('Data Entry'!$¸$197), "", 'Data Entry'!$¸$197)</f>
      </c>
      <c r="DQ197">
        <f>IF(ISBLANK('Data Entry'!$¹$197), "", 'Data Entry'!$¹$197)</f>
      </c>
      <c r="DR197">
        <f>IF(ISBLANK('Data Entry'!$º$197), "", 'Data Entry'!$º$197)</f>
      </c>
      <c r="DS197">
        <f>IF(ISBLANK('Data Entry'!$»$197), "", 'Data Entry'!$»$197)</f>
      </c>
      <c r="DT197">
        <f>IF(ISBLANK('Data Entry'!$¼$197), "", 'Data Entry'!$¼$197)</f>
      </c>
      <c r="DU197">
        <f>IF(ISBLANK('Data Entry'!$½$197), "", 'Data Entry'!$½$197)</f>
      </c>
      <c r="DV197">
        <f>IF(ISBLANK('Data Entry'!$¾$197), "", 'Data Entry'!$¾$197)</f>
      </c>
      <c r="DW197">
        <f>IF(ISBLANK('Data Entry'!$¿$197), "", 'Data Entry'!$¿$197)</f>
      </c>
      <c r="DX197">
        <f>IF(ISBLANK('Data Entry'!$À$197), "", 'Data Entry'!$À$197)</f>
      </c>
      <c r="DY197">
        <f>IF(ISBLANK('Data Entry'!$Á$197), "", 'Data Entry'!$Á$197)</f>
      </c>
      <c r="DZ197">
        <f>IF(ISBLANK('Data Entry'!$Â$197), "", 'Data Entry'!$Â$197)</f>
      </c>
      <c r="EA197">
        <f>IF(ISBLANK('Data Entry'!$Ã$197), "", 'Data Entry'!$Ã$197)</f>
      </c>
      <c r="EB197">
        <f>IF(ISBLANK('Data Entry'!$Ä$197), "", 'Data Entry'!$Ä$197)</f>
      </c>
      <c r="EC197">
        <f>IF(ISBLANK('Data Entry'!$Å$197), "", 'Data Entry'!$Å$197)</f>
      </c>
      <c r="ED197">
        <f>IF(ISBLANK('Data Entry'!$Æ$197), "", 'Data Entry'!$Æ$197)</f>
      </c>
      <c r="EE197">
        <f>IF(ISBLANK('Data Entry'!$Ç$197), "", 'Data Entry'!$Ç$197)</f>
      </c>
      <c r="EF197">
        <f>IF(ISBLANK('Data Entry'!$È$197), "", 'Data Entry'!$È$197)</f>
      </c>
      <c r="EG197">
        <f>IF(ISBLANK('Data Entry'!$É$197), "", 'Data Entry'!$É$197)</f>
      </c>
      <c r="EH197">
        <f>IF(ISBLANK('Data Entry'!$Ê$197), "", 'Data Entry'!$Ê$197)</f>
      </c>
      <c r="EI197">
        <f>IF(ISBLANK('Data Entry'!$Ë$197), "", 'Data Entry'!$Ë$197)</f>
      </c>
      <c r="EJ197">
        <f>IF(ISBLANK('Data Entry'!$Ì$197), "", 'Data Entry'!$Ì$197)</f>
      </c>
      <c r="EK197">
        <f>IF(ISBLANK('Data Entry'!$Í$197), "", 'Data Entry'!$Í$197)</f>
      </c>
      <c r="EL197">
        <f>IF(ISBLANK('Data Entry'!$Î$197), "", 'Data Entry'!$Î$197)</f>
      </c>
      <c r="EM197">
        <f>IF(ISBLANK('Data Entry'!$Ï$197), "", 'Data Entry'!$Ï$197)</f>
      </c>
      <c r="EN197">
        <f>IF(ISBLANK('Data Entry'!$Ð$197), "", 'Data Entry'!$Ð$197)</f>
      </c>
      <c r="EO197">
        <f>IF(ISBLANK('Data Entry'!$Ñ$197), "", 'Data Entry'!$Ñ$197)</f>
      </c>
      <c r="EP197">
        <f>IF(ISBLANK('Data Entry'!$Ò$197), "", 'Data Entry'!$Ò$197)</f>
      </c>
      <c r="EQ197">
        <f>IF(ISBLANK('Data Entry'!$Ó$197), "", 'Data Entry'!$Ó$197)</f>
      </c>
      <c r="ER197">
        <f>IF(ISBLANK('Data Entry'!$Ô$197), "", 'Data Entry'!$Ô$197)</f>
      </c>
      <c r="ES197">
        <f>IF(ISBLANK('Data Entry'!$Õ$197), "", 'Data Entry'!$Õ$197)</f>
      </c>
      <c r="ET197">
        <f>IF(ISBLANK('Data Entry'!$Ö$197), "", 'Data Entry'!$Ö$197)</f>
      </c>
      <c r="EU197">
        <f>IF(ISBLANK('Data Entry'!$×$197), "", 'Data Entry'!$×$197)</f>
      </c>
      <c r="EV197">
        <f>IF(ISBLANK('Data Entry'!$Ø$197), "", 'Data Entry'!$Ø$197)</f>
      </c>
      <c r="EW197">
        <f>IF(ISBLANK('Data Entry'!$Ù$197), "", 'Data Entry'!$Ù$197)</f>
      </c>
      <c r="EX197">
        <f>IF(ISBLANK('Data Entry'!$Ú$197), "", 'Data Entry'!$Ú$197)</f>
      </c>
      <c r="EY197">
        <f>IF(ISBLANK('Data Entry'!$Û$197), "", 'Data Entry'!$Û$197)</f>
      </c>
      <c r="EZ197">
        <f>IF(ISBLANK('Data Entry'!$Ü$197), "", 'Data Entry'!$Ü$197)</f>
      </c>
      <c r="FA197">
        <f>IF(ISBLANK('Data Entry'!$Ý$197), "", 'Data Entry'!$Ý$197)</f>
      </c>
      <c r="FB197">
        <f>IF(ISBLANK('Data Entry'!$Þ$197), "", 'Data Entry'!$Þ$197)</f>
      </c>
      <c r="FC197">
        <f>IF(ISBLANK('Data Entry'!$ß$197), "", 'Data Entry'!$ß$197)</f>
      </c>
      <c r="FD197">
        <f>IF(ISBLANK('Data Entry'!$à$197), "", 'Data Entry'!$à$197)</f>
      </c>
      <c r="FE197">
        <f>IF(ISBLANK('Data Entry'!$á$197), "", 'Data Entry'!$á$197)</f>
      </c>
      <c r="FF197">
        <f>IF(ISBLANK('Data Entry'!$â$197), "", 'Data Entry'!$â$197)</f>
      </c>
      <c r="FG197">
        <f>IF(ISBLANK('Data Entry'!$ã$197), "", 'Data Entry'!$ã$197)</f>
      </c>
      <c r="FH197">
        <f>IF(ISBLANK('Data Entry'!$ä$197), "", 'Data Entry'!$ä$197)</f>
      </c>
      <c r="FI197">
        <f>IF(ISBLANK('Data Entry'!$å$197), "", 'Data Entry'!$å$197)</f>
      </c>
      <c r="FJ197">
        <f>IF(ISBLANK('Data Entry'!$æ$197), "", 'Data Entry'!$æ$197)</f>
      </c>
      <c r="FK197">
        <f>IF(ISBLANK('Data Entry'!$ç$197), "", 'Data Entry'!$ç$197)</f>
      </c>
      <c r="FL197">
        <f>IF(ISBLANK('Data Entry'!$è$197), "", 'Data Entry'!$è$197)</f>
      </c>
      <c r="FM197">
        <f>IF(ISBLANK('Data Entry'!$é$197), "", 'Data Entry'!$é$197)</f>
      </c>
      <c r="FN197">
        <f>IF(ISBLANK('Data Entry'!$ê$197), "", 'Data Entry'!$ê$197)</f>
      </c>
      <c r="FO197">
        <f>IF(ISBLANK('Data Entry'!$ë$197), "", 'Data Entry'!$ë$197)</f>
      </c>
      <c r="FP197">
        <f>IF(ISBLANK('Data Entry'!$ì$197), "", 'Data Entry'!$ì$197)</f>
      </c>
      <c r="FQ197">
        <f>IF(ISBLANK('Data Entry'!$í$197), "", 'Data Entry'!$í$197)</f>
      </c>
      <c r="FR197">
        <f>IF(ISBLANK('Data Entry'!$î$197), "", 'Data Entry'!$î$197)</f>
      </c>
      <c r="FS197">
        <f>IF(ISBLANK('Data Entry'!$ï$197), "", 'Data Entry'!$ï$197)</f>
      </c>
      <c r="FT197">
        <f>IF(ISBLANK('Data Entry'!$ð$197), "", 'Data Entry'!$ð$197)</f>
      </c>
      <c r="FU197">
        <f>IF(ISBLANK('Data Entry'!$ñ$197), "", 'Data Entry'!$ñ$197)</f>
      </c>
      <c r="FV197">
        <f>IF(ISBLANK('Data Entry'!$ò$197), "", 'Data Entry'!$ò$197)</f>
      </c>
      <c r="FW197">
        <f>IF(ISBLANK('Data Entry'!$ó$197), "", 'Data Entry'!$ó$197)</f>
      </c>
      <c r="FX197">
        <f>IF(ISBLANK('Data Entry'!$ô$197), "", 'Data Entry'!$ô$197)</f>
      </c>
      <c r="FY197">
        <f>IF(ISBLANK('Data Entry'!$õ$197), "", 'Data Entry'!$õ$197)</f>
      </c>
      <c r="FZ197">
        <f>IF(ISBLANK('Data Entry'!$ö$197), "", 'Data Entry'!$ö$197)</f>
      </c>
      <c r="GA197">
        <f>IF(ISBLANK('Data Entry'!$÷$197), "", 'Data Entry'!$÷$197)</f>
      </c>
      <c r="GB197">
        <f>IF(ISBLANK('Data Entry'!$ø$197), "", 'Data Entry'!$ø$197)</f>
      </c>
      <c r="GC197">
        <f>IF(ISBLANK('Data Entry'!$ù$197), "", 'Data Entry'!$ù$197)</f>
      </c>
      <c r="GD197">
        <f>IF(ISBLANK('Data Entry'!$ú$197), "", 'Data Entry'!$ú$197)</f>
      </c>
      <c r="GE197">
        <f>IF(ISBLANK('Data Entry'!$û$197), "", 'Data Entry'!$û$197)</f>
      </c>
      <c r="GF197">
        <f>IF(ISBLANK('Data Entry'!$ü$197), "", 'Data Entry'!$ü$197)</f>
      </c>
      <c r="GG197">
        <f>IF(ISBLANK('Data Entry'!$ý$197), "", 'Data Entry'!$ý$197)</f>
      </c>
      <c r="GH197">
        <f>IF(ISBLANK('Data Entry'!$þ$197), "", 'Data Entry'!$þ$197)</f>
      </c>
      <c r="GI197">
        <f>IF(ISBLANK('Data Entry'!$ÿ$197), "", 'Data Entry'!$ÿ$197)</f>
      </c>
      <c r="GJ197">
        <f>IF(ISBLANK('Data Entry'!$Ā$197), "", 'Data Entry'!$Ā$197)</f>
      </c>
      <c r="GK197">
        <f>IF(ISBLANK('Data Entry'!$ā$197), "", 'Data Entry'!$ā$197)</f>
      </c>
      <c r="GL197">
        <f>IF(ISBLANK('Data Entry'!$Ă$197), "", 'Data Entry'!$Ă$197)</f>
      </c>
      <c r="GM197">
        <f>IF(ISBLANK('Data Entry'!$ă$197), "", 'Data Entry'!$ă$197)</f>
      </c>
      <c r="GN197">
        <f>IF(ISBLANK('Data Entry'!$Ą$197), "", 'Data Entry'!$Ą$197)</f>
      </c>
      <c r="GO197">
        <f>IF(ISBLANK('Data Entry'!$ą$197), "", 'Data Entry'!$ą$197)</f>
      </c>
      <c r="GP197">
        <f>IF(ISBLANK('Data Entry'!$Ć$197), "", 'Data Entry'!$Ć$197)</f>
      </c>
      <c r="GQ197">
        <f>IF(ISBLANK('Data Entry'!$ć$197), "", 'Data Entry'!$ć$197)</f>
      </c>
      <c r="GR197">
        <f>IF(ISBLANK('Data Entry'!$Ĉ$197), "", 'Data Entry'!$Ĉ$197)</f>
      </c>
      <c r="GS197">
        <f>IF(ISBLANK('Data Entry'!$ĉ$197), "", 'Data Entry'!$ĉ$197)</f>
      </c>
      <c r="GT197">
        <f>IF(ISBLANK('Data Entry'!$Ċ$197), "", 'Data Entry'!$Ċ$197)</f>
      </c>
      <c r="GU197">
        <f>IF(ISBLANK('Data Entry'!$ċ$197), "", 'Data Entry'!$ċ$197)</f>
      </c>
      <c r="GV197">
        <f>IF(ISBLANK('Data Entry'!$Č$197), "", 'Data Entry'!$Č$197)</f>
      </c>
      <c r="GW197">
        <f>IF(ISBLANK('Data Entry'!$č$197), "", 'Data Entry'!$č$197)</f>
      </c>
      <c r="GX197">
        <f>IF(ISBLANK('Data Entry'!$Ď$197), "", 'Data Entry'!$Ď$197)</f>
      </c>
      <c r="GY197">
        <f>IF(ISBLANK('Data Entry'!$ď$197), "", 'Data Entry'!$ď$197)</f>
      </c>
      <c r="GZ197">
        <f>IF(ISBLANK('Data Entry'!$Đ$197), "", 'Data Entry'!$Đ$197)</f>
      </c>
      <c r="HA197">
        <f>IF(ISBLANK('Data Entry'!$đ$197), "", 'Data Entry'!$đ$197)</f>
      </c>
      <c r="HB197">
        <f>IF(ISBLANK('Data Entry'!$Ē$197), "", 'Data Entry'!$Ē$197)</f>
      </c>
      <c r="HC197">
        <f>IF(ISBLANK('Data Entry'!$ē$197), "", 'Data Entry'!$ē$197)</f>
      </c>
      <c r="HD197">
        <f>IF(ISBLANK('Data Entry'!$Ĕ$197), "", 'Data Entry'!$Ĕ$197)</f>
      </c>
      <c r="HE197">
        <f>IF(ISBLANK('Data Entry'!$ĕ$197), "", 'Data Entry'!$ĕ$197)</f>
      </c>
      <c r="HF197">
        <f>IF(ISBLANK('Data Entry'!$Ė$197), "", 'Data Entry'!$Ė$197)</f>
      </c>
      <c r="HG197">
        <f>IF(ISBLANK('Data Entry'!$ė$197), "", 'Data Entry'!$ė$197)</f>
      </c>
      <c r="HH197">
        <f>IF(ISBLANK('Data Entry'!$Ę$197), "", 'Data Entry'!$Ę$197)</f>
      </c>
      <c r="HI197">
        <f>IF(ISBLANK('Data Entry'!$ę$197), "", 'Data Entry'!$ę$197)</f>
      </c>
      <c r="HJ197">
        <f>IF(ISBLANK('Data Entry'!$Ě$197), "", 'Data Entry'!$Ě$197)</f>
      </c>
      <c r="HK197">
        <f>IF(ISBLANK('Data Entry'!$ě$197), "", 'Data Entry'!$ě$197)</f>
      </c>
      <c r="HL197">
        <f>IF(ISBLANK('Data Entry'!$Ĝ$197), "", 'Data Entry'!$Ĝ$197)</f>
      </c>
      <c r="HM197">
        <f>IF(ISBLANK('Data Entry'!$ĝ$197), "", 'Data Entry'!$ĝ$197)</f>
      </c>
      <c r="HN197">
        <f>IF(ISBLANK('Data Entry'!$Ğ$197), "", 'Data Entry'!$Ğ$197)</f>
      </c>
      <c r="HO197">
        <f>IF(ISBLANK('Data Entry'!$ğ$197), "", 'Data Entry'!$ğ$197)</f>
      </c>
      <c r="HP197">
        <f>IF(ISBLANK('Data Entry'!$Ġ$197), "", 'Data Entry'!$Ġ$197)</f>
      </c>
      <c r="HQ197">
        <f>IF(ISBLANK('Data Entry'!$ġ$197), "", 'Data Entry'!$ġ$197)</f>
      </c>
      <c r="HR197">
        <f>IF(ISBLANK('Data Entry'!$Ģ$197), "", 'Data Entry'!$Ģ$197)</f>
      </c>
      <c r="HS197">
        <f>IF(ISBLANK('Data Entry'!$ģ$197), "", 'Data Entry'!$ģ$197)</f>
      </c>
      <c r="HT197">
        <f>IF(ISBLANK('Data Entry'!$Ĥ$197), "", 'Data Entry'!$Ĥ$197)</f>
      </c>
      <c r="HU197">
        <f>IF(ISBLANK('Data Entry'!$ĥ$197), "", 'Data Entry'!$ĥ$197)</f>
      </c>
      <c r="HV197">
        <f>IF(ISBLANK('Data Entry'!$Ħ$197), "", 'Data Entry'!$Ħ$197)</f>
      </c>
      <c r="HW197">
        <f>IF(ISBLANK('Data Entry'!$ħ$197), "", 'Data Entry'!$ħ$197)</f>
      </c>
      <c r="HX197">
        <f>IF(ISBLANK('Data Entry'!$Ĩ$197), "", 'Data Entry'!$Ĩ$197)</f>
      </c>
      <c r="HY197">
        <f>IF(ISBLANK('Data Entry'!$ĩ$197), "", 'Data Entry'!$ĩ$197)</f>
      </c>
      <c r="HZ197">
        <f>IF(ISBLANK('Data Entry'!$Ī$197), "", 'Data Entry'!$Ī$197)</f>
      </c>
      <c r="IA197">
        <f>IF(ISBLANK('Data Entry'!$ī$197), "", 'Data Entry'!$ī$197)</f>
      </c>
      <c r="IB197">
        <f>IF(ISBLANK('Data Entry'!$Ĭ$197), "", 'Data Entry'!$Ĭ$197)</f>
      </c>
      <c r="IC197">
        <f>IF(ISBLANK('Data Entry'!$ĭ$197), "", 'Data Entry'!$ĭ$197)</f>
      </c>
      <c r="ID197">
        <f>IF(ISBLANK('Data Entry'!$Į$197), "", 'Data Entry'!$Į$197)</f>
      </c>
      <c r="IE197">
        <f>IF(ISBLANK('Data Entry'!$į$197), "", 'Data Entry'!$į$197)</f>
      </c>
      <c r="IF197">
        <f>IF(ISBLANK('Data Entry'!$İ$197), "", 'Data Entry'!$İ$197)</f>
      </c>
      <c r="IG197">
        <f>IF(ISBLANK('Data Entry'!$ı$197), "", 'Data Entry'!$ı$197)</f>
      </c>
      <c r="IH197">
        <f>IF(ISBLANK('Data Entry'!$Ĳ$197), "", 'Data Entry'!$Ĳ$197)</f>
      </c>
      <c r="II197">
        <f>IF(ISBLANK('Data Entry'!$ĳ$197), "", 'Data Entry'!$ĳ$197)</f>
      </c>
      <c r="IJ197">
        <f>IF(ISBLANK('Data Entry'!$Ĵ$197), "", 'Data Entry'!$Ĵ$197)</f>
      </c>
      <c r="IK197">
        <f>IF(ISBLANK('Data Entry'!$ĵ$197), "", 'Data Entry'!$ĵ$197)</f>
      </c>
      <c r="IL197">
        <f>IF(ISBLANK('Data Entry'!$Ķ$197), "", 'Data Entry'!$Ķ$197)</f>
      </c>
      <c r="IM197">
        <f>IF(ISBLANK('Data Entry'!$ķ$197), "", 'Data Entry'!$ķ$197)</f>
      </c>
      <c r="IN197">
        <f>IF(ISBLANK('Data Entry'!$ĸ$197), "", 'Data Entry'!$ĸ$197)</f>
      </c>
      <c r="IO197">
        <f>IF(ISBLANK('Data Entry'!$Ĺ$197), "", 'Data Entry'!$Ĺ$197)</f>
      </c>
      <c r="IP197">
        <f>IF(ISBLANK('Data Entry'!$ĺ$197), "", 'Data Entry'!$ĺ$197)</f>
      </c>
      <c r="IQ197">
        <f>IF(ISBLANK('Data Entry'!$Ļ$197), "", 'Data Entry'!$Ļ$197)</f>
      </c>
      <c r="IR197">
        <f>IF(ISBLANK('Data Entry'!$ļ$197), "", 'Data Entry'!$ļ$197)</f>
      </c>
      <c r="IS197">
        <f>IF(ISBLANK('Data Entry'!$Ľ$197), "", 'Data Entry'!$Ľ$197)</f>
      </c>
      <c r="IT197">
        <f>IF(ISBLANK('Data Entry'!$ľ$197), "", 'Data Entry'!$ľ$197)</f>
      </c>
    </row>
    <row r="198" spans="1:254" x14ac:dyDescent="0.25">
      <c r="A198">
        <f>IF(ISBLANK('Data Entry'!$A$198), "", 'Data Entry'!$A$198)</f>
      </c>
      <c r="B198">
        <f>IF(ISBLANK('Data Entry'!$B$198), "", 'Data Entry'!$B$198)</f>
      </c>
      <c r="C198">
        <f>IF(ISBLANK('Data Entry'!$C$198), "", 'Data Entry'!$C$198)</f>
      </c>
      <c r="D198">
        <f>IF(ISBLANK('Data Entry'!$D$198), "", 'Data Entry'!$D$198)</f>
      </c>
      <c r="E198">
        <f>IF(ISBLANK('Data Entry'!$E$198), "", 'Data Entry'!$E$198)</f>
      </c>
      <c r="F198">
        <f>IF(ISBLANK('Data Entry'!$F$198), "", 'Data Entry'!$F$198)</f>
      </c>
      <c r="G198">
        <f>IF(ISBLANK('Data Entry'!$G$198), "", 'Data Entry'!$G$198)</f>
      </c>
      <c r="H198">
        <f>IF(ISBLANK('Data Entry'!$H$198), "", 'Data Entry'!$H$198)</f>
      </c>
      <c r="I198">
        <f>IF(ISBLANK('Data Entry'!$I$198), "", 'Data Entry'!$I$198)</f>
      </c>
      <c r="J198">
        <f>IF(ISBLANK('Data Entry'!$J$198), "", 'Data Entry'!$J$198)</f>
      </c>
      <c r="K198">
        <f>IF(ISBLANK('Data Entry'!$K$198), "", 'Data Entry'!$K$198)</f>
      </c>
      <c r="L198">
        <f>IF(ISBLANK('Data Entry'!$L$198), "", 'Data Entry'!$L$198)</f>
      </c>
      <c r="M198">
        <f>IF(ISBLANK('Data Entry'!$M$198), "", 'Data Entry'!$M$198)</f>
      </c>
      <c r="N198">
        <f>IF(ISBLANK('Data Entry'!$N$198), "", 'Data Entry'!$N$198)</f>
      </c>
      <c r="O198">
        <f>IF(ISBLANK('Data Entry'!$O$198), "", 'Data Entry'!$O$198)</f>
      </c>
      <c r="P198">
        <f>IF(ISBLANK('Data Entry'!$P$198), "", 'Data Entry'!$P$198)</f>
      </c>
      <c r="Q198">
        <f>IF(ISBLANK('Data Entry'!$Q$198), "", 'Data Entry'!$Q$198)</f>
      </c>
      <c r="R198">
        <f>IF(ISBLANK('Data Entry'!$R$198), "", 'Data Entry'!$R$198)</f>
      </c>
      <c r="S198">
        <f>IF(ISBLANK('Data Entry'!$S$198), "", 'Data Entry'!$S$198)</f>
      </c>
      <c r="T198">
        <f>IF(ISBLANK('Data Entry'!$T$198), "", 'Data Entry'!$T$198)</f>
      </c>
      <c r="U198">
        <f>IF(ISBLANK('Data Entry'!$U$198), "", 'Data Entry'!$U$198)</f>
      </c>
      <c r="V198">
        <f>IF(ISBLANK('Data Entry'!$V$198), "", 'Data Entry'!$V$198)</f>
      </c>
      <c r="W198">
        <f>IF(ISBLANK('Data Entry'!$W$198), "", 'Data Entry'!$W$198)</f>
      </c>
      <c r="X198">
        <f>IF(ISBLANK('Data Entry'!$X$198), "", 'Data Entry'!$X$198)</f>
      </c>
      <c r="Y198">
        <f>IF(ISBLANK('Data Entry'!$Y$198), "", 'Data Entry'!$Y$198)</f>
      </c>
      <c r="Z198">
        <f>IF(ISBLANK('Data Entry'!$Z$198), "", 'Data Entry'!$Z$198)</f>
      </c>
      <c r="AA198">
        <f>IF(ISBLANK('Data Entry'!$[$198), "", 'Data Entry'!$[$198)</f>
      </c>
      <c r="AB198">
        <f>IF(ISBLANK('Data Entry'!$\$198), "", 'Data Entry'!$\$198)</f>
      </c>
      <c r="AC198">
        <f>IF(ISBLANK('Data Entry'!$]$198), "", 'Data Entry'!$]$198)</f>
      </c>
      <c r="AD198">
        <f>IF(ISBLANK('Data Entry'!$^$198), "", 'Data Entry'!$^$198)</f>
      </c>
      <c r="AE198">
        <f>IF(ISBLANK('Data Entry'!$_$198), "", 'Data Entry'!$_$198)</f>
      </c>
      <c r="AF198">
        <f>IF(ISBLANK('Data Entry'!$`$198), "", 'Data Entry'!$`$198)</f>
      </c>
      <c r="AG198">
        <f>IF(ISBLANK('Data Entry'!$a$198), "", 'Data Entry'!$a$198)</f>
      </c>
      <c r="AH198">
        <f>IF(ISBLANK('Data Entry'!$b$198), "", 'Data Entry'!$b$198)</f>
      </c>
      <c r="AI198">
        <f>IF(ISBLANK('Data Entry'!$c$198), "", 'Data Entry'!$c$198)</f>
      </c>
      <c r="AJ198">
        <f>IF(ISBLANK('Data Entry'!$d$198), "", 'Data Entry'!$d$198)</f>
      </c>
      <c r="AK198">
        <f>IF(ISBLANK('Data Entry'!$e$198), "", 'Data Entry'!$e$198)</f>
      </c>
      <c r="AL198">
        <f>IF(ISBLANK('Data Entry'!$f$198), "", 'Data Entry'!$f$198)</f>
      </c>
      <c r="AM198">
        <f>IF(ISBLANK('Data Entry'!$g$198), "", 'Data Entry'!$g$198)</f>
      </c>
      <c r="AN198">
        <f>IF(ISBLANK('Data Entry'!$h$198), "", 'Data Entry'!$h$198)</f>
      </c>
      <c r="AO198">
        <f>IF(ISBLANK('Data Entry'!$i$198), "", 'Data Entry'!$i$198)</f>
      </c>
      <c r="AP198">
        <f>IF(ISBLANK('Data Entry'!$j$198), "", 'Data Entry'!$j$198)</f>
      </c>
      <c r="AQ198">
        <f>IF(ISBLANK('Data Entry'!$k$198), "", 'Data Entry'!$k$198)</f>
      </c>
      <c r="AR198">
        <f>IF(ISBLANK('Data Entry'!$l$198), "", 'Data Entry'!$l$198)</f>
      </c>
      <c r="AS198">
        <f>IF(ISBLANK('Data Entry'!$m$198), "", 'Data Entry'!$m$198)</f>
      </c>
      <c r="AT198">
        <f>IF(ISBLANK('Data Entry'!$n$198), "", 'Data Entry'!$n$198)</f>
      </c>
      <c r="AU198">
        <f>IF(ISBLANK('Data Entry'!$o$198), "", 'Data Entry'!$o$198)</f>
      </c>
      <c r="AV198">
        <f>IF(ISBLANK('Data Entry'!$p$198), "", 'Data Entry'!$p$198)</f>
      </c>
      <c r="AW198">
        <f>IF(ISBLANK('Data Entry'!$q$198), "", 'Data Entry'!$q$198)</f>
      </c>
      <c r="AX198">
        <f>IF(ISBLANK('Data Entry'!$r$198), "", 'Data Entry'!$r$198)</f>
      </c>
      <c r="AY198">
        <f>IF(ISBLANK('Data Entry'!$s$198), "", 'Data Entry'!$s$198)</f>
      </c>
      <c r="AZ198">
        <f>IF(ISBLANK('Data Entry'!$t$198), "", 'Data Entry'!$t$198)</f>
      </c>
      <c r="BA198">
        <f>IF(ISBLANK('Data Entry'!$u$198), "", 'Data Entry'!$u$198)</f>
      </c>
      <c r="BB198">
        <f>IF(ISBLANK('Data Entry'!$v$198), "", 'Data Entry'!$v$198)</f>
      </c>
      <c r="BC198">
        <f>IF(ISBLANK('Data Entry'!$w$198), "", 'Data Entry'!$w$198)</f>
      </c>
      <c r="BD198">
        <f>IF(ISBLANK('Data Entry'!$x$198), "", 'Data Entry'!$x$198)</f>
      </c>
      <c r="BE198">
        <f>IF(ISBLANK('Data Entry'!$y$198), "", 'Data Entry'!$y$198)</f>
      </c>
      <c r="BF198">
        <f>IF(ISBLANK('Data Entry'!$z$198), "", 'Data Entry'!$z$198)</f>
      </c>
      <c r="BG198">
        <f>IF(ISBLANK('Data Entry'!${$198), "", 'Data Entry'!${$198)</f>
      </c>
      <c r="BH198">
        <f>IF(ISBLANK('Data Entry'!$|$198), "", 'Data Entry'!$|$198)</f>
      </c>
      <c r="BI198">
        <f>IF(ISBLANK('Data Entry'!$}$198), "", 'Data Entry'!$}$198)</f>
      </c>
      <c r="BJ198">
        <f>IF(ISBLANK('Data Entry'!$~$198), "", 'Data Entry'!$~$198)</f>
      </c>
      <c r="BK198">
        <f>IF(ISBLANK('Data Entry'!$$198), "", 'Data Entry'!$$198)</f>
      </c>
      <c r="BL198">
        <f>IF(ISBLANK('Data Entry'!$$198), "", 'Data Entry'!$$198)</f>
      </c>
      <c r="BM198">
        <f>IF(ISBLANK('Data Entry'!$$198), "", 'Data Entry'!$$198)</f>
      </c>
      <c r="BN198">
        <f>IF(ISBLANK('Data Entry'!$$198), "", 'Data Entry'!$$198)</f>
      </c>
      <c r="BO198">
        <f>IF(ISBLANK('Data Entry'!$$198), "", 'Data Entry'!$$198)</f>
      </c>
      <c r="BP198">
        <f>IF(ISBLANK('Data Entry'!$$198), "", 'Data Entry'!$$198)</f>
      </c>
      <c r="BQ198">
        <f>IF(ISBLANK('Data Entry'!$$198), "", 'Data Entry'!$$198)</f>
      </c>
      <c r="BR198">
        <f>IF(ISBLANK('Data Entry'!$$198), "", 'Data Entry'!$$198)</f>
      </c>
      <c r="BS198">
        <f>IF(ISBLANK('Data Entry'!$$198), "", 'Data Entry'!$$198)</f>
      </c>
      <c r="BT198">
        <f>IF(ISBLANK('Data Entry'!$$198), "", 'Data Entry'!$$198)</f>
      </c>
      <c r="BU198">
        <f>IF(ISBLANK('Data Entry'!$$198), "", 'Data Entry'!$$198)</f>
      </c>
      <c r="BV198">
        <f>IF(ISBLANK('Data Entry'!$$198), "", 'Data Entry'!$$198)</f>
      </c>
      <c r="BW198">
        <f>IF(ISBLANK('Data Entry'!$$198), "", 'Data Entry'!$$198)</f>
      </c>
      <c r="BX198">
        <f>IF(ISBLANK('Data Entry'!$$198), "", 'Data Entry'!$$198)</f>
      </c>
      <c r="BY198">
        <f>IF(ISBLANK('Data Entry'!$$198), "", 'Data Entry'!$$198)</f>
      </c>
      <c r="BZ198">
        <f>IF(ISBLANK('Data Entry'!$$198), "", 'Data Entry'!$$198)</f>
      </c>
      <c r="CA198">
        <f>IF(ISBLANK('Data Entry'!$$198), "", 'Data Entry'!$$198)</f>
      </c>
      <c r="CB198">
        <f>IF(ISBLANK('Data Entry'!$$198), "", 'Data Entry'!$$198)</f>
      </c>
      <c r="CC198">
        <f>IF(ISBLANK('Data Entry'!$$198), "", 'Data Entry'!$$198)</f>
      </c>
      <c r="CD198">
        <f>IF(ISBLANK('Data Entry'!$$198), "", 'Data Entry'!$$198)</f>
      </c>
      <c r="CE198">
        <f>IF(ISBLANK('Data Entry'!$$198), "", 'Data Entry'!$$198)</f>
      </c>
      <c r="CF198">
        <f>IF(ISBLANK('Data Entry'!$$198), "", 'Data Entry'!$$198)</f>
      </c>
      <c r="CG198">
        <f>IF(ISBLANK('Data Entry'!$$198), "", 'Data Entry'!$$198)</f>
      </c>
      <c r="CH198">
        <f>IF(ISBLANK('Data Entry'!$$198), "", 'Data Entry'!$$198)</f>
      </c>
      <c r="CI198">
        <f>IF(ISBLANK('Data Entry'!$$198), "", 'Data Entry'!$$198)</f>
      </c>
      <c r="CJ198">
        <f>IF(ISBLANK('Data Entry'!$$198), "", 'Data Entry'!$$198)</f>
      </c>
      <c r="CK198">
        <f>IF(ISBLANK('Data Entry'!$$198), "", 'Data Entry'!$$198)</f>
      </c>
      <c r="CL198">
        <f>IF(ISBLANK('Data Entry'!$$198), "", 'Data Entry'!$$198)</f>
      </c>
      <c r="CM198">
        <f>IF(ISBLANK('Data Entry'!$$198), "", 'Data Entry'!$$198)</f>
      </c>
      <c r="CN198">
        <f>IF(ISBLANK('Data Entry'!$$198), "", 'Data Entry'!$$198)</f>
      </c>
      <c r="CO198">
        <f>IF(ISBLANK('Data Entry'!$$198), "", 'Data Entry'!$$198)</f>
      </c>
      <c r="CP198">
        <f>IF(ISBLANK('Data Entry'!$$198), "", 'Data Entry'!$$198)</f>
      </c>
      <c r="CQ198">
        <f>IF(ISBLANK('Data Entry'!$$198), "", 'Data Entry'!$$198)</f>
      </c>
      <c r="CR198">
        <f>IF(ISBLANK('Data Entry'!$ $198), "", 'Data Entry'!$ $198)</f>
      </c>
      <c r="CS198">
        <f>IF(ISBLANK('Data Entry'!$¡$198), "", 'Data Entry'!$¡$198)</f>
      </c>
      <c r="CT198">
        <f>IF(ISBLANK('Data Entry'!$¢$198), "", 'Data Entry'!$¢$198)</f>
      </c>
      <c r="CU198">
        <f>IF(ISBLANK('Data Entry'!$£$198), "", 'Data Entry'!$£$198)</f>
      </c>
      <c r="CV198">
        <f>IF(ISBLANK('Data Entry'!$¤$198), "", 'Data Entry'!$¤$198)</f>
      </c>
      <c r="CW198">
        <f>IF(ISBLANK('Data Entry'!$¥$198), "", 'Data Entry'!$¥$198)</f>
      </c>
      <c r="CX198">
        <f>IF(ISBLANK('Data Entry'!$¦$198), "", 'Data Entry'!$¦$198)</f>
      </c>
      <c r="CY198">
        <f>IF(ISBLANK('Data Entry'!$§$198), "", 'Data Entry'!$§$198)</f>
      </c>
      <c r="CZ198">
        <f>IF(ISBLANK('Data Entry'!$¨$198), "", 'Data Entry'!$¨$198)</f>
      </c>
      <c r="DA198">
        <f>IF(ISBLANK('Data Entry'!$©$198), "", 'Data Entry'!$©$198)</f>
      </c>
      <c r="DB198">
        <f>IF(ISBLANK('Data Entry'!$ª$198), "", 'Data Entry'!$ª$198)</f>
      </c>
      <c r="DC198">
        <f>IF(ISBLANK('Data Entry'!$«$198), "", 'Data Entry'!$«$198)</f>
      </c>
      <c r="DD198">
        <f>IF(ISBLANK('Data Entry'!$¬$198), "", 'Data Entry'!$¬$198)</f>
      </c>
      <c r="DE198">
        <f>IF(ISBLANK('Data Entry'!$­$198), "", 'Data Entry'!$­$198)</f>
      </c>
      <c r="DF198">
        <f>IF(ISBLANK('Data Entry'!$®$198), "", 'Data Entry'!$®$198)</f>
      </c>
      <c r="DG198">
        <f>IF(ISBLANK('Data Entry'!$¯$198), "", 'Data Entry'!$¯$198)</f>
      </c>
      <c r="DH198">
        <f>IF(ISBLANK('Data Entry'!$°$198), "", 'Data Entry'!$°$198)</f>
      </c>
      <c r="DI198">
        <f>IF(ISBLANK('Data Entry'!$±$198), "", 'Data Entry'!$±$198)</f>
      </c>
      <c r="DJ198">
        <f>IF(ISBLANK('Data Entry'!$²$198), "", 'Data Entry'!$²$198)</f>
      </c>
      <c r="DK198">
        <f>IF(ISBLANK('Data Entry'!$³$198), "", 'Data Entry'!$³$198)</f>
      </c>
      <c r="DL198">
        <f>IF(ISBLANK('Data Entry'!$´$198), "", 'Data Entry'!$´$198)</f>
      </c>
      <c r="DM198">
        <f>IF(ISBLANK('Data Entry'!$µ$198), "", 'Data Entry'!$µ$198)</f>
      </c>
      <c r="DN198">
        <f>IF(ISBLANK('Data Entry'!$¶$198), "", 'Data Entry'!$¶$198)</f>
      </c>
      <c r="DO198">
        <f>IF(ISBLANK('Data Entry'!$·$198), "", 'Data Entry'!$·$198)</f>
      </c>
      <c r="DP198">
        <f>IF(ISBLANK('Data Entry'!$¸$198), "", 'Data Entry'!$¸$198)</f>
      </c>
      <c r="DQ198">
        <f>IF(ISBLANK('Data Entry'!$¹$198), "", 'Data Entry'!$¹$198)</f>
      </c>
      <c r="DR198">
        <f>IF(ISBLANK('Data Entry'!$º$198), "", 'Data Entry'!$º$198)</f>
      </c>
      <c r="DS198">
        <f>IF(ISBLANK('Data Entry'!$»$198), "", 'Data Entry'!$»$198)</f>
      </c>
      <c r="DT198">
        <f>IF(ISBLANK('Data Entry'!$¼$198), "", 'Data Entry'!$¼$198)</f>
      </c>
      <c r="DU198">
        <f>IF(ISBLANK('Data Entry'!$½$198), "", 'Data Entry'!$½$198)</f>
      </c>
      <c r="DV198">
        <f>IF(ISBLANK('Data Entry'!$¾$198), "", 'Data Entry'!$¾$198)</f>
      </c>
      <c r="DW198">
        <f>IF(ISBLANK('Data Entry'!$¿$198), "", 'Data Entry'!$¿$198)</f>
      </c>
      <c r="DX198">
        <f>IF(ISBLANK('Data Entry'!$À$198), "", 'Data Entry'!$À$198)</f>
      </c>
      <c r="DY198">
        <f>IF(ISBLANK('Data Entry'!$Á$198), "", 'Data Entry'!$Á$198)</f>
      </c>
      <c r="DZ198">
        <f>IF(ISBLANK('Data Entry'!$Â$198), "", 'Data Entry'!$Â$198)</f>
      </c>
      <c r="EA198">
        <f>IF(ISBLANK('Data Entry'!$Ã$198), "", 'Data Entry'!$Ã$198)</f>
      </c>
      <c r="EB198">
        <f>IF(ISBLANK('Data Entry'!$Ä$198), "", 'Data Entry'!$Ä$198)</f>
      </c>
      <c r="EC198">
        <f>IF(ISBLANK('Data Entry'!$Å$198), "", 'Data Entry'!$Å$198)</f>
      </c>
      <c r="ED198">
        <f>IF(ISBLANK('Data Entry'!$Æ$198), "", 'Data Entry'!$Æ$198)</f>
      </c>
      <c r="EE198">
        <f>IF(ISBLANK('Data Entry'!$Ç$198), "", 'Data Entry'!$Ç$198)</f>
      </c>
      <c r="EF198">
        <f>IF(ISBLANK('Data Entry'!$È$198), "", 'Data Entry'!$È$198)</f>
      </c>
      <c r="EG198">
        <f>IF(ISBLANK('Data Entry'!$É$198), "", 'Data Entry'!$É$198)</f>
      </c>
      <c r="EH198">
        <f>IF(ISBLANK('Data Entry'!$Ê$198), "", 'Data Entry'!$Ê$198)</f>
      </c>
      <c r="EI198">
        <f>IF(ISBLANK('Data Entry'!$Ë$198), "", 'Data Entry'!$Ë$198)</f>
      </c>
      <c r="EJ198">
        <f>IF(ISBLANK('Data Entry'!$Ì$198), "", 'Data Entry'!$Ì$198)</f>
      </c>
      <c r="EK198">
        <f>IF(ISBLANK('Data Entry'!$Í$198), "", 'Data Entry'!$Í$198)</f>
      </c>
      <c r="EL198">
        <f>IF(ISBLANK('Data Entry'!$Î$198), "", 'Data Entry'!$Î$198)</f>
      </c>
      <c r="EM198">
        <f>IF(ISBLANK('Data Entry'!$Ï$198), "", 'Data Entry'!$Ï$198)</f>
      </c>
      <c r="EN198">
        <f>IF(ISBLANK('Data Entry'!$Ð$198), "", 'Data Entry'!$Ð$198)</f>
      </c>
      <c r="EO198">
        <f>IF(ISBLANK('Data Entry'!$Ñ$198), "", 'Data Entry'!$Ñ$198)</f>
      </c>
      <c r="EP198">
        <f>IF(ISBLANK('Data Entry'!$Ò$198), "", 'Data Entry'!$Ò$198)</f>
      </c>
      <c r="EQ198">
        <f>IF(ISBLANK('Data Entry'!$Ó$198), "", 'Data Entry'!$Ó$198)</f>
      </c>
      <c r="ER198">
        <f>IF(ISBLANK('Data Entry'!$Ô$198), "", 'Data Entry'!$Ô$198)</f>
      </c>
      <c r="ES198">
        <f>IF(ISBLANK('Data Entry'!$Õ$198), "", 'Data Entry'!$Õ$198)</f>
      </c>
      <c r="ET198">
        <f>IF(ISBLANK('Data Entry'!$Ö$198), "", 'Data Entry'!$Ö$198)</f>
      </c>
      <c r="EU198">
        <f>IF(ISBLANK('Data Entry'!$×$198), "", 'Data Entry'!$×$198)</f>
      </c>
      <c r="EV198">
        <f>IF(ISBLANK('Data Entry'!$Ø$198), "", 'Data Entry'!$Ø$198)</f>
      </c>
      <c r="EW198">
        <f>IF(ISBLANK('Data Entry'!$Ù$198), "", 'Data Entry'!$Ù$198)</f>
      </c>
      <c r="EX198">
        <f>IF(ISBLANK('Data Entry'!$Ú$198), "", 'Data Entry'!$Ú$198)</f>
      </c>
      <c r="EY198">
        <f>IF(ISBLANK('Data Entry'!$Û$198), "", 'Data Entry'!$Û$198)</f>
      </c>
      <c r="EZ198">
        <f>IF(ISBLANK('Data Entry'!$Ü$198), "", 'Data Entry'!$Ü$198)</f>
      </c>
      <c r="FA198">
        <f>IF(ISBLANK('Data Entry'!$Ý$198), "", 'Data Entry'!$Ý$198)</f>
      </c>
      <c r="FB198">
        <f>IF(ISBLANK('Data Entry'!$Þ$198), "", 'Data Entry'!$Þ$198)</f>
      </c>
      <c r="FC198">
        <f>IF(ISBLANK('Data Entry'!$ß$198), "", 'Data Entry'!$ß$198)</f>
      </c>
      <c r="FD198">
        <f>IF(ISBLANK('Data Entry'!$à$198), "", 'Data Entry'!$à$198)</f>
      </c>
      <c r="FE198">
        <f>IF(ISBLANK('Data Entry'!$á$198), "", 'Data Entry'!$á$198)</f>
      </c>
      <c r="FF198">
        <f>IF(ISBLANK('Data Entry'!$â$198), "", 'Data Entry'!$â$198)</f>
      </c>
      <c r="FG198">
        <f>IF(ISBLANK('Data Entry'!$ã$198), "", 'Data Entry'!$ã$198)</f>
      </c>
      <c r="FH198">
        <f>IF(ISBLANK('Data Entry'!$ä$198), "", 'Data Entry'!$ä$198)</f>
      </c>
      <c r="FI198">
        <f>IF(ISBLANK('Data Entry'!$å$198), "", 'Data Entry'!$å$198)</f>
      </c>
      <c r="FJ198">
        <f>IF(ISBLANK('Data Entry'!$æ$198), "", 'Data Entry'!$æ$198)</f>
      </c>
      <c r="FK198">
        <f>IF(ISBLANK('Data Entry'!$ç$198), "", 'Data Entry'!$ç$198)</f>
      </c>
      <c r="FL198">
        <f>IF(ISBLANK('Data Entry'!$è$198), "", 'Data Entry'!$è$198)</f>
      </c>
      <c r="FM198">
        <f>IF(ISBLANK('Data Entry'!$é$198), "", 'Data Entry'!$é$198)</f>
      </c>
      <c r="FN198">
        <f>IF(ISBLANK('Data Entry'!$ê$198), "", 'Data Entry'!$ê$198)</f>
      </c>
      <c r="FO198">
        <f>IF(ISBLANK('Data Entry'!$ë$198), "", 'Data Entry'!$ë$198)</f>
      </c>
      <c r="FP198">
        <f>IF(ISBLANK('Data Entry'!$ì$198), "", 'Data Entry'!$ì$198)</f>
      </c>
      <c r="FQ198">
        <f>IF(ISBLANK('Data Entry'!$í$198), "", 'Data Entry'!$í$198)</f>
      </c>
      <c r="FR198">
        <f>IF(ISBLANK('Data Entry'!$î$198), "", 'Data Entry'!$î$198)</f>
      </c>
      <c r="FS198">
        <f>IF(ISBLANK('Data Entry'!$ï$198), "", 'Data Entry'!$ï$198)</f>
      </c>
      <c r="FT198">
        <f>IF(ISBLANK('Data Entry'!$ð$198), "", 'Data Entry'!$ð$198)</f>
      </c>
      <c r="FU198">
        <f>IF(ISBLANK('Data Entry'!$ñ$198), "", 'Data Entry'!$ñ$198)</f>
      </c>
      <c r="FV198">
        <f>IF(ISBLANK('Data Entry'!$ò$198), "", 'Data Entry'!$ò$198)</f>
      </c>
      <c r="FW198">
        <f>IF(ISBLANK('Data Entry'!$ó$198), "", 'Data Entry'!$ó$198)</f>
      </c>
      <c r="FX198">
        <f>IF(ISBLANK('Data Entry'!$ô$198), "", 'Data Entry'!$ô$198)</f>
      </c>
      <c r="FY198">
        <f>IF(ISBLANK('Data Entry'!$õ$198), "", 'Data Entry'!$õ$198)</f>
      </c>
      <c r="FZ198">
        <f>IF(ISBLANK('Data Entry'!$ö$198), "", 'Data Entry'!$ö$198)</f>
      </c>
      <c r="GA198">
        <f>IF(ISBLANK('Data Entry'!$÷$198), "", 'Data Entry'!$÷$198)</f>
      </c>
      <c r="GB198">
        <f>IF(ISBLANK('Data Entry'!$ø$198), "", 'Data Entry'!$ø$198)</f>
      </c>
      <c r="GC198">
        <f>IF(ISBLANK('Data Entry'!$ù$198), "", 'Data Entry'!$ù$198)</f>
      </c>
      <c r="GD198">
        <f>IF(ISBLANK('Data Entry'!$ú$198), "", 'Data Entry'!$ú$198)</f>
      </c>
      <c r="GE198">
        <f>IF(ISBLANK('Data Entry'!$û$198), "", 'Data Entry'!$û$198)</f>
      </c>
      <c r="GF198">
        <f>IF(ISBLANK('Data Entry'!$ü$198), "", 'Data Entry'!$ü$198)</f>
      </c>
      <c r="GG198">
        <f>IF(ISBLANK('Data Entry'!$ý$198), "", 'Data Entry'!$ý$198)</f>
      </c>
      <c r="GH198">
        <f>IF(ISBLANK('Data Entry'!$þ$198), "", 'Data Entry'!$þ$198)</f>
      </c>
      <c r="GI198">
        <f>IF(ISBLANK('Data Entry'!$ÿ$198), "", 'Data Entry'!$ÿ$198)</f>
      </c>
      <c r="GJ198">
        <f>IF(ISBLANK('Data Entry'!$Ā$198), "", 'Data Entry'!$Ā$198)</f>
      </c>
      <c r="GK198">
        <f>IF(ISBLANK('Data Entry'!$ā$198), "", 'Data Entry'!$ā$198)</f>
      </c>
      <c r="GL198">
        <f>IF(ISBLANK('Data Entry'!$Ă$198), "", 'Data Entry'!$Ă$198)</f>
      </c>
      <c r="GM198">
        <f>IF(ISBLANK('Data Entry'!$ă$198), "", 'Data Entry'!$ă$198)</f>
      </c>
      <c r="GN198">
        <f>IF(ISBLANK('Data Entry'!$Ą$198), "", 'Data Entry'!$Ą$198)</f>
      </c>
      <c r="GO198">
        <f>IF(ISBLANK('Data Entry'!$ą$198), "", 'Data Entry'!$ą$198)</f>
      </c>
      <c r="GP198">
        <f>IF(ISBLANK('Data Entry'!$Ć$198), "", 'Data Entry'!$Ć$198)</f>
      </c>
      <c r="GQ198">
        <f>IF(ISBLANK('Data Entry'!$ć$198), "", 'Data Entry'!$ć$198)</f>
      </c>
      <c r="GR198">
        <f>IF(ISBLANK('Data Entry'!$Ĉ$198), "", 'Data Entry'!$Ĉ$198)</f>
      </c>
      <c r="GS198">
        <f>IF(ISBLANK('Data Entry'!$ĉ$198), "", 'Data Entry'!$ĉ$198)</f>
      </c>
      <c r="GT198">
        <f>IF(ISBLANK('Data Entry'!$Ċ$198), "", 'Data Entry'!$Ċ$198)</f>
      </c>
      <c r="GU198">
        <f>IF(ISBLANK('Data Entry'!$ċ$198), "", 'Data Entry'!$ċ$198)</f>
      </c>
      <c r="GV198">
        <f>IF(ISBLANK('Data Entry'!$Č$198), "", 'Data Entry'!$Č$198)</f>
      </c>
      <c r="GW198">
        <f>IF(ISBLANK('Data Entry'!$č$198), "", 'Data Entry'!$č$198)</f>
      </c>
      <c r="GX198">
        <f>IF(ISBLANK('Data Entry'!$Ď$198), "", 'Data Entry'!$Ď$198)</f>
      </c>
      <c r="GY198">
        <f>IF(ISBLANK('Data Entry'!$ď$198), "", 'Data Entry'!$ď$198)</f>
      </c>
      <c r="GZ198">
        <f>IF(ISBLANK('Data Entry'!$Đ$198), "", 'Data Entry'!$Đ$198)</f>
      </c>
      <c r="HA198">
        <f>IF(ISBLANK('Data Entry'!$đ$198), "", 'Data Entry'!$đ$198)</f>
      </c>
      <c r="HB198">
        <f>IF(ISBLANK('Data Entry'!$Ē$198), "", 'Data Entry'!$Ē$198)</f>
      </c>
      <c r="HC198">
        <f>IF(ISBLANK('Data Entry'!$ē$198), "", 'Data Entry'!$ē$198)</f>
      </c>
      <c r="HD198">
        <f>IF(ISBLANK('Data Entry'!$Ĕ$198), "", 'Data Entry'!$Ĕ$198)</f>
      </c>
      <c r="HE198">
        <f>IF(ISBLANK('Data Entry'!$ĕ$198), "", 'Data Entry'!$ĕ$198)</f>
      </c>
      <c r="HF198">
        <f>IF(ISBLANK('Data Entry'!$Ė$198), "", 'Data Entry'!$Ė$198)</f>
      </c>
      <c r="HG198">
        <f>IF(ISBLANK('Data Entry'!$ė$198), "", 'Data Entry'!$ė$198)</f>
      </c>
      <c r="HH198">
        <f>IF(ISBLANK('Data Entry'!$Ę$198), "", 'Data Entry'!$Ę$198)</f>
      </c>
      <c r="HI198">
        <f>IF(ISBLANK('Data Entry'!$ę$198), "", 'Data Entry'!$ę$198)</f>
      </c>
      <c r="HJ198">
        <f>IF(ISBLANK('Data Entry'!$Ě$198), "", 'Data Entry'!$Ě$198)</f>
      </c>
      <c r="HK198">
        <f>IF(ISBLANK('Data Entry'!$ě$198), "", 'Data Entry'!$ě$198)</f>
      </c>
      <c r="HL198">
        <f>IF(ISBLANK('Data Entry'!$Ĝ$198), "", 'Data Entry'!$Ĝ$198)</f>
      </c>
      <c r="HM198">
        <f>IF(ISBLANK('Data Entry'!$ĝ$198), "", 'Data Entry'!$ĝ$198)</f>
      </c>
      <c r="HN198">
        <f>IF(ISBLANK('Data Entry'!$Ğ$198), "", 'Data Entry'!$Ğ$198)</f>
      </c>
      <c r="HO198">
        <f>IF(ISBLANK('Data Entry'!$ğ$198), "", 'Data Entry'!$ğ$198)</f>
      </c>
      <c r="HP198">
        <f>IF(ISBLANK('Data Entry'!$Ġ$198), "", 'Data Entry'!$Ġ$198)</f>
      </c>
      <c r="HQ198">
        <f>IF(ISBLANK('Data Entry'!$ġ$198), "", 'Data Entry'!$ġ$198)</f>
      </c>
      <c r="HR198">
        <f>IF(ISBLANK('Data Entry'!$Ģ$198), "", 'Data Entry'!$Ģ$198)</f>
      </c>
      <c r="HS198">
        <f>IF(ISBLANK('Data Entry'!$ģ$198), "", 'Data Entry'!$ģ$198)</f>
      </c>
      <c r="HT198">
        <f>IF(ISBLANK('Data Entry'!$Ĥ$198), "", 'Data Entry'!$Ĥ$198)</f>
      </c>
      <c r="HU198">
        <f>IF(ISBLANK('Data Entry'!$ĥ$198), "", 'Data Entry'!$ĥ$198)</f>
      </c>
      <c r="HV198">
        <f>IF(ISBLANK('Data Entry'!$Ħ$198), "", 'Data Entry'!$Ħ$198)</f>
      </c>
      <c r="HW198">
        <f>IF(ISBLANK('Data Entry'!$ħ$198), "", 'Data Entry'!$ħ$198)</f>
      </c>
      <c r="HX198">
        <f>IF(ISBLANK('Data Entry'!$Ĩ$198), "", 'Data Entry'!$Ĩ$198)</f>
      </c>
      <c r="HY198">
        <f>IF(ISBLANK('Data Entry'!$ĩ$198), "", 'Data Entry'!$ĩ$198)</f>
      </c>
      <c r="HZ198">
        <f>IF(ISBLANK('Data Entry'!$Ī$198), "", 'Data Entry'!$Ī$198)</f>
      </c>
      <c r="IA198">
        <f>IF(ISBLANK('Data Entry'!$ī$198), "", 'Data Entry'!$ī$198)</f>
      </c>
      <c r="IB198">
        <f>IF(ISBLANK('Data Entry'!$Ĭ$198), "", 'Data Entry'!$Ĭ$198)</f>
      </c>
      <c r="IC198">
        <f>IF(ISBLANK('Data Entry'!$ĭ$198), "", 'Data Entry'!$ĭ$198)</f>
      </c>
      <c r="ID198">
        <f>IF(ISBLANK('Data Entry'!$Į$198), "", 'Data Entry'!$Į$198)</f>
      </c>
      <c r="IE198">
        <f>IF(ISBLANK('Data Entry'!$į$198), "", 'Data Entry'!$į$198)</f>
      </c>
      <c r="IF198">
        <f>IF(ISBLANK('Data Entry'!$İ$198), "", 'Data Entry'!$İ$198)</f>
      </c>
      <c r="IG198">
        <f>IF(ISBLANK('Data Entry'!$ı$198), "", 'Data Entry'!$ı$198)</f>
      </c>
      <c r="IH198">
        <f>IF(ISBLANK('Data Entry'!$Ĳ$198), "", 'Data Entry'!$Ĳ$198)</f>
      </c>
      <c r="II198">
        <f>IF(ISBLANK('Data Entry'!$ĳ$198), "", 'Data Entry'!$ĳ$198)</f>
      </c>
      <c r="IJ198">
        <f>IF(ISBLANK('Data Entry'!$Ĵ$198), "", 'Data Entry'!$Ĵ$198)</f>
      </c>
      <c r="IK198">
        <f>IF(ISBLANK('Data Entry'!$ĵ$198), "", 'Data Entry'!$ĵ$198)</f>
      </c>
      <c r="IL198">
        <f>IF(ISBLANK('Data Entry'!$Ķ$198), "", 'Data Entry'!$Ķ$198)</f>
      </c>
      <c r="IM198">
        <f>IF(ISBLANK('Data Entry'!$ķ$198), "", 'Data Entry'!$ķ$198)</f>
      </c>
      <c r="IN198">
        <f>IF(ISBLANK('Data Entry'!$ĸ$198), "", 'Data Entry'!$ĸ$198)</f>
      </c>
      <c r="IO198">
        <f>IF(ISBLANK('Data Entry'!$Ĺ$198), "", 'Data Entry'!$Ĺ$198)</f>
      </c>
      <c r="IP198">
        <f>IF(ISBLANK('Data Entry'!$ĺ$198), "", 'Data Entry'!$ĺ$198)</f>
      </c>
      <c r="IQ198">
        <f>IF(ISBLANK('Data Entry'!$Ļ$198), "", 'Data Entry'!$Ļ$198)</f>
      </c>
      <c r="IR198">
        <f>IF(ISBLANK('Data Entry'!$ļ$198), "", 'Data Entry'!$ļ$198)</f>
      </c>
      <c r="IS198">
        <f>IF(ISBLANK('Data Entry'!$Ľ$198), "", 'Data Entry'!$Ľ$198)</f>
      </c>
      <c r="IT198">
        <f>IF(ISBLANK('Data Entry'!$ľ$198), "", 'Data Entry'!$ľ$198)</f>
      </c>
    </row>
    <row r="199" spans="1:254" x14ac:dyDescent="0.25">
      <c r="A199">
        <f>IF(ISBLANK('Data Entry'!$A$199), "", 'Data Entry'!$A$199)</f>
      </c>
      <c r="B199">
        <f>IF(ISBLANK('Data Entry'!$B$199), "", 'Data Entry'!$B$199)</f>
      </c>
      <c r="C199">
        <f>IF(ISBLANK('Data Entry'!$C$199), "", 'Data Entry'!$C$199)</f>
      </c>
      <c r="D199">
        <f>IF(ISBLANK('Data Entry'!$D$199), "", 'Data Entry'!$D$199)</f>
      </c>
      <c r="E199">
        <f>IF(ISBLANK('Data Entry'!$E$199), "", 'Data Entry'!$E$199)</f>
      </c>
      <c r="F199">
        <f>IF(ISBLANK('Data Entry'!$F$199), "", 'Data Entry'!$F$199)</f>
      </c>
      <c r="G199">
        <f>IF(ISBLANK('Data Entry'!$G$199), "", 'Data Entry'!$G$199)</f>
      </c>
      <c r="H199">
        <f>IF(ISBLANK('Data Entry'!$H$199), "", 'Data Entry'!$H$199)</f>
      </c>
      <c r="I199">
        <f>IF(ISBLANK('Data Entry'!$I$199), "", 'Data Entry'!$I$199)</f>
      </c>
      <c r="J199">
        <f>IF(ISBLANK('Data Entry'!$J$199), "", 'Data Entry'!$J$199)</f>
      </c>
      <c r="K199">
        <f>IF(ISBLANK('Data Entry'!$K$199), "", 'Data Entry'!$K$199)</f>
      </c>
      <c r="L199">
        <f>IF(ISBLANK('Data Entry'!$L$199), "", 'Data Entry'!$L$199)</f>
      </c>
      <c r="M199">
        <f>IF(ISBLANK('Data Entry'!$M$199), "", 'Data Entry'!$M$199)</f>
      </c>
      <c r="N199">
        <f>IF(ISBLANK('Data Entry'!$N$199), "", 'Data Entry'!$N$199)</f>
      </c>
      <c r="O199">
        <f>IF(ISBLANK('Data Entry'!$O$199), "", 'Data Entry'!$O$199)</f>
      </c>
      <c r="P199">
        <f>IF(ISBLANK('Data Entry'!$P$199), "", 'Data Entry'!$P$199)</f>
      </c>
      <c r="Q199">
        <f>IF(ISBLANK('Data Entry'!$Q$199), "", 'Data Entry'!$Q$199)</f>
      </c>
      <c r="R199">
        <f>IF(ISBLANK('Data Entry'!$R$199), "", 'Data Entry'!$R$199)</f>
      </c>
      <c r="S199">
        <f>IF(ISBLANK('Data Entry'!$S$199), "", 'Data Entry'!$S$199)</f>
      </c>
      <c r="T199">
        <f>IF(ISBLANK('Data Entry'!$T$199), "", 'Data Entry'!$T$199)</f>
      </c>
      <c r="U199">
        <f>IF(ISBLANK('Data Entry'!$U$199), "", 'Data Entry'!$U$199)</f>
      </c>
      <c r="V199">
        <f>IF(ISBLANK('Data Entry'!$V$199), "", 'Data Entry'!$V$199)</f>
      </c>
      <c r="W199">
        <f>IF(ISBLANK('Data Entry'!$W$199), "", 'Data Entry'!$W$199)</f>
      </c>
      <c r="X199">
        <f>IF(ISBLANK('Data Entry'!$X$199), "", 'Data Entry'!$X$199)</f>
      </c>
      <c r="Y199">
        <f>IF(ISBLANK('Data Entry'!$Y$199), "", 'Data Entry'!$Y$199)</f>
      </c>
      <c r="Z199">
        <f>IF(ISBLANK('Data Entry'!$Z$199), "", 'Data Entry'!$Z$199)</f>
      </c>
      <c r="AA199">
        <f>IF(ISBLANK('Data Entry'!$[$199), "", 'Data Entry'!$[$199)</f>
      </c>
      <c r="AB199">
        <f>IF(ISBLANK('Data Entry'!$\$199), "", 'Data Entry'!$\$199)</f>
      </c>
      <c r="AC199">
        <f>IF(ISBLANK('Data Entry'!$]$199), "", 'Data Entry'!$]$199)</f>
      </c>
      <c r="AD199">
        <f>IF(ISBLANK('Data Entry'!$^$199), "", 'Data Entry'!$^$199)</f>
      </c>
      <c r="AE199">
        <f>IF(ISBLANK('Data Entry'!$_$199), "", 'Data Entry'!$_$199)</f>
      </c>
      <c r="AF199">
        <f>IF(ISBLANK('Data Entry'!$`$199), "", 'Data Entry'!$`$199)</f>
      </c>
      <c r="AG199">
        <f>IF(ISBLANK('Data Entry'!$a$199), "", 'Data Entry'!$a$199)</f>
      </c>
      <c r="AH199">
        <f>IF(ISBLANK('Data Entry'!$b$199), "", 'Data Entry'!$b$199)</f>
      </c>
      <c r="AI199">
        <f>IF(ISBLANK('Data Entry'!$c$199), "", 'Data Entry'!$c$199)</f>
      </c>
      <c r="AJ199">
        <f>IF(ISBLANK('Data Entry'!$d$199), "", 'Data Entry'!$d$199)</f>
      </c>
      <c r="AK199">
        <f>IF(ISBLANK('Data Entry'!$e$199), "", 'Data Entry'!$e$199)</f>
      </c>
      <c r="AL199">
        <f>IF(ISBLANK('Data Entry'!$f$199), "", 'Data Entry'!$f$199)</f>
      </c>
      <c r="AM199">
        <f>IF(ISBLANK('Data Entry'!$g$199), "", 'Data Entry'!$g$199)</f>
      </c>
      <c r="AN199">
        <f>IF(ISBLANK('Data Entry'!$h$199), "", 'Data Entry'!$h$199)</f>
      </c>
      <c r="AO199">
        <f>IF(ISBLANK('Data Entry'!$i$199), "", 'Data Entry'!$i$199)</f>
      </c>
      <c r="AP199">
        <f>IF(ISBLANK('Data Entry'!$j$199), "", 'Data Entry'!$j$199)</f>
      </c>
      <c r="AQ199">
        <f>IF(ISBLANK('Data Entry'!$k$199), "", 'Data Entry'!$k$199)</f>
      </c>
      <c r="AR199">
        <f>IF(ISBLANK('Data Entry'!$l$199), "", 'Data Entry'!$l$199)</f>
      </c>
      <c r="AS199">
        <f>IF(ISBLANK('Data Entry'!$m$199), "", 'Data Entry'!$m$199)</f>
      </c>
      <c r="AT199">
        <f>IF(ISBLANK('Data Entry'!$n$199), "", 'Data Entry'!$n$199)</f>
      </c>
      <c r="AU199">
        <f>IF(ISBLANK('Data Entry'!$o$199), "", 'Data Entry'!$o$199)</f>
      </c>
      <c r="AV199">
        <f>IF(ISBLANK('Data Entry'!$p$199), "", 'Data Entry'!$p$199)</f>
      </c>
      <c r="AW199">
        <f>IF(ISBLANK('Data Entry'!$q$199), "", 'Data Entry'!$q$199)</f>
      </c>
      <c r="AX199">
        <f>IF(ISBLANK('Data Entry'!$r$199), "", 'Data Entry'!$r$199)</f>
      </c>
      <c r="AY199">
        <f>IF(ISBLANK('Data Entry'!$s$199), "", 'Data Entry'!$s$199)</f>
      </c>
      <c r="AZ199">
        <f>IF(ISBLANK('Data Entry'!$t$199), "", 'Data Entry'!$t$199)</f>
      </c>
      <c r="BA199">
        <f>IF(ISBLANK('Data Entry'!$u$199), "", 'Data Entry'!$u$199)</f>
      </c>
      <c r="BB199">
        <f>IF(ISBLANK('Data Entry'!$v$199), "", 'Data Entry'!$v$199)</f>
      </c>
      <c r="BC199">
        <f>IF(ISBLANK('Data Entry'!$w$199), "", 'Data Entry'!$w$199)</f>
      </c>
      <c r="BD199">
        <f>IF(ISBLANK('Data Entry'!$x$199), "", 'Data Entry'!$x$199)</f>
      </c>
      <c r="BE199">
        <f>IF(ISBLANK('Data Entry'!$y$199), "", 'Data Entry'!$y$199)</f>
      </c>
      <c r="BF199">
        <f>IF(ISBLANK('Data Entry'!$z$199), "", 'Data Entry'!$z$199)</f>
      </c>
      <c r="BG199">
        <f>IF(ISBLANK('Data Entry'!${$199), "", 'Data Entry'!${$199)</f>
      </c>
      <c r="BH199">
        <f>IF(ISBLANK('Data Entry'!$|$199), "", 'Data Entry'!$|$199)</f>
      </c>
      <c r="BI199">
        <f>IF(ISBLANK('Data Entry'!$}$199), "", 'Data Entry'!$}$199)</f>
      </c>
      <c r="BJ199">
        <f>IF(ISBLANK('Data Entry'!$~$199), "", 'Data Entry'!$~$199)</f>
      </c>
      <c r="BK199">
        <f>IF(ISBLANK('Data Entry'!$$199), "", 'Data Entry'!$$199)</f>
      </c>
      <c r="BL199">
        <f>IF(ISBLANK('Data Entry'!$$199), "", 'Data Entry'!$$199)</f>
      </c>
      <c r="BM199">
        <f>IF(ISBLANK('Data Entry'!$$199), "", 'Data Entry'!$$199)</f>
      </c>
      <c r="BN199">
        <f>IF(ISBLANK('Data Entry'!$$199), "", 'Data Entry'!$$199)</f>
      </c>
      <c r="BO199">
        <f>IF(ISBLANK('Data Entry'!$$199), "", 'Data Entry'!$$199)</f>
      </c>
      <c r="BP199">
        <f>IF(ISBLANK('Data Entry'!$$199), "", 'Data Entry'!$$199)</f>
      </c>
      <c r="BQ199">
        <f>IF(ISBLANK('Data Entry'!$$199), "", 'Data Entry'!$$199)</f>
      </c>
      <c r="BR199">
        <f>IF(ISBLANK('Data Entry'!$$199), "", 'Data Entry'!$$199)</f>
      </c>
      <c r="BS199">
        <f>IF(ISBLANK('Data Entry'!$$199), "", 'Data Entry'!$$199)</f>
      </c>
      <c r="BT199">
        <f>IF(ISBLANK('Data Entry'!$$199), "", 'Data Entry'!$$199)</f>
      </c>
      <c r="BU199">
        <f>IF(ISBLANK('Data Entry'!$$199), "", 'Data Entry'!$$199)</f>
      </c>
      <c r="BV199">
        <f>IF(ISBLANK('Data Entry'!$$199), "", 'Data Entry'!$$199)</f>
      </c>
      <c r="BW199">
        <f>IF(ISBLANK('Data Entry'!$$199), "", 'Data Entry'!$$199)</f>
      </c>
      <c r="BX199">
        <f>IF(ISBLANK('Data Entry'!$$199), "", 'Data Entry'!$$199)</f>
      </c>
      <c r="BY199">
        <f>IF(ISBLANK('Data Entry'!$$199), "", 'Data Entry'!$$199)</f>
      </c>
      <c r="BZ199">
        <f>IF(ISBLANK('Data Entry'!$$199), "", 'Data Entry'!$$199)</f>
      </c>
      <c r="CA199">
        <f>IF(ISBLANK('Data Entry'!$$199), "", 'Data Entry'!$$199)</f>
      </c>
      <c r="CB199">
        <f>IF(ISBLANK('Data Entry'!$$199), "", 'Data Entry'!$$199)</f>
      </c>
      <c r="CC199">
        <f>IF(ISBLANK('Data Entry'!$$199), "", 'Data Entry'!$$199)</f>
      </c>
      <c r="CD199">
        <f>IF(ISBLANK('Data Entry'!$$199), "", 'Data Entry'!$$199)</f>
      </c>
      <c r="CE199">
        <f>IF(ISBLANK('Data Entry'!$$199), "", 'Data Entry'!$$199)</f>
      </c>
      <c r="CF199">
        <f>IF(ISBLANK('Data Entry'!$$199), "", 'Data Entry'!$$199)</f>
      </c>
      <c r="CG199">
        <f>IF(ISBLANK('Data Entry'!$$199), "", 'Data Entry'!$$199)</f>
      </c>
      <c r="CH199">
        <f>IF(ISBLANK('Data Entry'!$$199), "", 'Data Entry'!$$199)</f>
      </c>
      <c r="CI199">
        <f>IF(ISBLANK('Data Entry'!$$199), "", 'Data Entry'!$$199)</f>
      </c>
      <c r="CJ199">
        <f>IF(ISBLANK('Data Entry'!$$199), "", 'Data Entry'!$$199)</f>
      </c>
      <c r="CK199">
        <f>IF(ISBLANK('Data Entry'!$$199), "", 'Data Entry'!$$199)</f>
      </c>
      <c r="CL199">
        <f>IF(ISBLANK('Data Entry'!$$199), "", 'Data Entry'!$$199)</f>
      </c>
      <c r="CM199">
        <f>IF(ISBLANK('Data Entry'!$$199), "", 'Data Entry'!$$199)</f>
      </c>
      <c r="CN199">
        <f>IF(ISBLANK('Data Entry'!$$199), "", 'Data Entry'!$$199)</f>
      </c>
      <c r="CO199">
        <f>IF(ISBLANK('Data Entry'!$$199), "", 'Data Entry'!$$199)</f>
      </c>
      <c r="CP199">
        <f>IF(ISBLANK('Data Entry'!$$199), "", 'Data Entry'!$$199)</f>
      </c>
      <c r="CQ199">
        <f>IF(ISBLANK('Data Entry'!$$199), "", 'Data Entry'!$$199)</f>
      </c>
      <c r="CR199">
        <f>IF(ISBLANK('Data Entry'!$ $199), "", 'Data Entry'!$ $199)</f>
      </c>
      <c r="CS199">
        <f>IF(ISBLANK('Data Entry'!$¡$199), "", 'Data Entry'!$¡$199)</f>
      </c>
      <c r="CT199">
        <f>IF(ISBLANK('Data Entry'!$¢$199), "", 'Data Entry'!$¢$199)</f>
      </c>
      <c r="CU199">
        <f>IF(ISBLANK('Data Entry'!$£$199), "", 'Data Entry'!$£$199)</f>
      </c>
      <c r="CV199">
        <f>IF(ISBLANK('Data Entry'!$¤$199), "", 'Data Entry'!$¤$199)</f>
      </c>
      <c r="CW199">
        <f>IF(ISBLANK('Data Entry'!$¥$199), "", 'Data Entry'!$¥$199)</f>
      </c>
      <c r="CX199">
        <f>IF(ISBLANK('Data Entry'!$¦$199), "", 'Data Entry'!$¦$199)</f>
      </c>
      <c r="CY199">
        <f>IF(ISBLANK('Data Entry'!$§$199), "", 'Data Entry'!$§$199)</f>
      </c>
      <c r="CZ199">
        <f>IF(ISBLANK('Data Entry'!$¨$199), "", 'Data Entry'!$¨$199)</f>
      </c>
      <c r="DA199">
        <f>IF(ISBLANK('Data Entry'!$©$199), "", 'Data Entry'!$©$199)</f>
      </c>
      <c r="DB199">
        <f>IF(ISBLANK('Data Entry'!$ª$199), "", 'Data Entry'!$ª$199)</f>
      </c>
      <c r="DC199">
        <f>IF(ISBLANK('Data Entry'!$«$199), "", 'Data Entry'!$«$199)</f>
      </c>
      <c r="DD199">
        <f>IF(ISBLANK('Data Entry'!$¬$199), "", 'Data Entry'!$¬$199)</f>
      </c>
      <c r="DE199">
        <f>IF(ISBLANK('Data Entry'!$­$199), "", 'Data Entry'!$­$199)</f>
      </c>
      <c r="DF199">
        <f>IF(ISBLANK('Data Entry'!$®$199), "", 'Data Entry'!$®$199)</f>
      </c>
      <c r="DG199">
        <f>IF(ISBLANK('Data Entry'!$¯$199), "", 'Data Entry'!$¯$199)</f>
      </c>
      <c r="DH199">
        <f>IF(ISBLANK('Data Entry'!$°$199), "", 'Data Entry'!$°$199)</f>
      </c>
      <c r="DI199">
        <f>IF(ISBLANK('Data Entry'!$±$199), "", 'Data Entry'!$±$199)</f>
      </c>
      <c r="DJ199">
        <f>IF(ISBLANK('Data Entry'!$²$199), "", 'Data Entry'!$²$199)</f>
      </c>
      <c r="DK199">
        <f>IF(ISBLANK('Data Entry'!$³$199), "", 'Data Entry'!$³$199)</f>
      </c>
      <c r="DL199">
        <f>IF(ISBLANK('Data Entry'!$´$199), "", 'Data Entry'!$´$199)</f>
      </c>
      <c r="DM199">
        <f>IF(ISBLANK('Data Entry'!$µ$199), "", 'Data Entry'!$µ$199)</f>
      </c>
      <c r="DN199">
        <f>IF(ISBLANK('Data Entry'!$¶$199), "", 'Data Entry'!$¶$199)</f>
      </c>
      <c r="DO199">
        <f>IF(ISBLANK('Data Entry'!$·$199), "", 'Data Entry'!$·$199)</f>
      </c>
      <c r="DP199">
        <f>IF(ISBLANK('Data Entry'!$¸$199), "", 'Data Entry'!$¸$199)</f>
      </c>
      <c r="DQ199">
        <f>IF(ISBLANK('Data Entry'!$¹$199), "", 'Data Entry'!$¹$199)</f>
      </c>
      <c r="DR199">
        <f>IF(ISBLANK('Data Entry'!$º$199), "", 'Data Entry'!$º$199)</f>
      </c>
      <c r="DS199">
        <f>IF(ISBLANK('Data Entry'!$»$199), "", 'Data Entry'!$»$199)</f>
      </c>
      <c r="DT199">
        <f>IF(ISBLANK('Data Entry'!$¼$199), "", 'Data Entry'!$¼$199)</f>
      </c>
      <c r="DU199">
        <f>IF(ISBLANK('Data Entry'!$½$199), "", 'Data Entry'!$½$199)</f>
      </c>
      <c r="DV199">
        <f>IF(ISBLANK('Data Entry'!$¾$199), "", 'Data Entry'!$¾$199)</f>
      </c>
      <c r="DW199">
        <f>IF(ISBLANK('Data Entry'!$¿$199), "", 'Data Entry'!$¿$199)</f>
      </c>
      <c r="DX199">
        <f>IF(ISBLANK('Data Entry'!$À$199), "", 'Data Entry'!$À$199)</f>
      </c>
      <c r="DY199">
        <f>IF(ISBLANK('Data Entry'!$Á$199), "", 'Data Entry'!$Á$199)</f>
      </c>
      <c r="DZ199">
        <f>IF(ISBLANK('Data Entry'!$Â$199), "", 'Data Entry'!$Â$199)</f>
      </c>
      <c r="EA199">
        <f>IF(ISBLANK('Data Entry'!$Ã$199), "", 'Data Entry'!$Ã$199)</f>
      </c>
      <c r="EB199">
        <f>IF(ISBLANK('Data Entry'!$Ä$199), "", 'Data Entry'!$Ä$199)</f>
      </c>
      <c r="EC199">
        <f>IF(ISBLANK('Data Entry'!$Å$199), "", 'Data Entry'!$Å$199)</f>
      </c>
      <c r="ED199">
        <f>IF(ISBLANK('Data Entry'!$Æ$199), "", 'Data Entry'!$Æ$199)</f>
      </c>
      <c r="EE199">
        <f>IF(ISBLANK('Data Entry'!$Ç$199), "", 'Data Entry'!$Ç$199)</f>
      </c>
      <c r="EF199">
        <f>IF(ISBLANK('Data Entry'!$È$199), "", 'Data Entry'!$È$199)</f>
      </c>
      <c r="EG199">
        <f>IF(ISBLANK('Data Entry'!$É$199), "", 'Data Entry'!$É$199)</f>
      </c>
      <c r="EH199">
        <f>IF(ISBLANK('Data Entry'!$Ê$199), "", 'Data Entry'!$Ê$199)</f>
      </c>
      <c r="EI199">
        <f>IF(ISBLANK('Data Entry'!$Ë$199), "", 'Data Entry'!$Ë$199)</f>
      </c>
      <c r="EJ199">
        <f>IF(ISBLANK('Data Entry'!$Ì$199), "", 'Data Entry'!$Ì$199)</f>
      </c>
      <c r="EK199">
        <f>IF(ISBLANK('Data Entry'!$Í$199), "", 'Data Entry'!$Í$199)</f>
      </c>
      <c r="EL199">
        <f>IF(ISBLANK('Data Entry'!$Î$199), "", 'Data Entry'!$Î$199)</f>
      </c>
      <c r="EM199">
        <f>IF(ISBLANK('Data Entry'!$Ï$199), "", 'Data Entry'!$Ï$199)</f>
      </c>
      <c r="EN199">
        <f>IF(ISBLANK('Data Entry'!$Ð$199), "", 'Data Entry'!$Ð$199)</f>
      </c>
      <c r="EO199">
        <f>IF(ISBLANK('Data Entry'!$Ñ$199), "", 'Data Entry'!$Ñ$199)</f>
      </c>
      <c r="EP199">
        <f>IF(ISBLANK('Data Entry'!$Ò$199), "", 'Data Entry'!$Ò$199)</f>
      </c>
      <c r="EQ199">
        <f>IF(ISBLANK('Data Entry'!$Ó$199), "", 'Data Entry'!$Ó$199)</f>
      </c>
      <c r="ER199">
        <f>IF(ISBLANK('Data Entry'!$Ô$199), "", 'Data Entry'!$Ô$199)</f>
      </c>
      <c r="ES199">
        <f>IF(ISBLANK('Data Entry'!$Õ$199), "", 'Data Entry'!$Õ$199)</f>
      </c>
      <c r="ET199">
        <f>IF(ISBLANK('Data Entry'!$Ö$199), "", 'Data Entry'!$Ö$199)</f>
      </c>
      <c r="EU199">
        <f>IF(ISBLANK('Data Entry'!$×$199), "", 'Data Entry'!$×$199)</f>
      </c>
      <c r="EV199">
        <f>IF(ISBLANK('Data Entry'!$Ø$199), "", 'Data Entry'!$Ø$199)</f>
      </c>
      <c r="EW199">
        <f>IF(ISBLANK('Data Entry'!$Ù$199), "", 'Data Entry'!$Ù$199)</f>
      </c>
      <c r="EX199">
        <f>IF(ISBLANK('Data Entry'!$Ú$199), "", 'Data Entry'!$Ú$199)</f>
      </c>
      <c r="EY199">
        <f>IF(ISBLANK('Data Entry'!$Û$199), "", 'Data Entry'!$Û$199)</f>
      </c>
      <c r="EZ199">
        <f>IF(ISBLANK('Data Entry'!$Ü$199), "", 'Data Entry'!$Ü$199)</f>
      </c>
      <c r="FA199">
        <f>IF(ISBLANK('Data Entry'!$Ý$199), "", 'Data Entry'!$Ý$199)</f>
      </c>
      <c r="FB199">
        <f>IF(ISBLANK('Data Entry'!$Þ$199), "", 'Data Entry'!$Þ$199)</f>
      </c>
      <c r="FC199">
        <f>IF(ISBLANK('Data Entry'!$ß$199), "", 'Data Entry'!$ß$199)</f>
      </c>
      <c r="FD199">
        <f>IF(ISBLANK('Data Entry'!$à$199), "", 'Data Entry'!$à$199)</f>
      </c>
      <c r="FE199">
        <f>IF(ISBLANK('Data Entry'!$á$199), "", 'Data Entry'!$á$199)</f>
      </c>
      <c r="FF199">
        <f>IF(ISBLANK('Data Entry'!$â$199), "", 'Data Entry'!$â$199)</f>
      </c>
      <c r="FG199">
        <f>IF(ISBLANK('Data Entry'!$ã$199), "", 'Data Entry'!$ã$199)</f>
      </c>
      <c r="FH199">
        <f>IF(ISBLANK('Data Entry'!$ä$199), "", 'Data Entry'!$ä$199)</f>
      </c>
      <c r="FI199">
        <f>IF(ISBLANK('Data Entry'!$å$199), "", 'Data Entry'!$å$199)</f>
      </c>
      <c r="FJ199">
        <f>IF(ISBLANK('Data Entry'!$æ$199), "", 'Data Entry'!$æ$199)</f>
      </c>
      <c r="FK199">
        <f>IF(ISBLANK('Data Entry'!$ç$199), "", 'Data Entry'!$ç$199)</f>
      </c>
      <c r="FL199">
        <f>IF(ISBLANK('Data Entry'!$è$199), "", 'Data Entry'!$è$199)</f>
      </c>
      <c r="FM199">
        <f>IF(ISBLANK('Data Entry'!$é$199), "", 'Data Entry'!$é$199)</f>
      </c>
      <c r="FN199">
        <f>IF(ISBLANK('Data Entry'!$ê$199), "", 'Data Entry'!$ê$199)</f>
      </c>
      <c r="FO199">
        <f>IF(ISBLANK('Data Entry'!$ë$199), "", 'Data Entry'!$ë$199)</f>
      </c>
      <c r="FP199">
        <f>IF(ISBLANK('Data Entry'!$ì$199), "", 'Data Entry'!$ì$199)</f>
      </c>
      <c r="FQ199">
        <f>IF(ISBLANK('Data Entry'!$í$199), "", 'Data Entry'!$í$199)</f>
      </c>
      <c r="FR199">
        <f>IF(ISBLANK('Data Entry'!$î$199), "", 'Data Entry'!$î$199)</f>
      </c>
      <c r="FS199">
        <f>IF(ISBLANK('Data Entry'!$ï$199), "", 'Data Entry'!$ï$199)</f>
      </c>
      <c r="FT199">
        <f>IF(ISBLANK('Data Entry'!$ð$199), "", 'Data Entry'!$ð$199)</f>
      </c>
      <c r="FU199">
        <f>IF(ISBLANK('Data Entry'!$ñ$199), "", 'Data Entry'!$ñ$199)</f>
      </c>
      <c r="FV199">
        <f>IF(ISBLANK('Data Entry'!$ò$199), "", 'Data Entry'!$ò$199)</f>
      </c>
      <c r="FW199">
        <f>IF(ISBLANK('Data Entry'!$ó$199), "", 'Data Entry'!$ó$199)</f>
      </c>
      <c r="FX199">
        <f>IF(ISBLANK('Data Entry'!$ô$199), "", 'Data Entry'!$ô$199)</f>
      </c>
      <c r="FY199">
        <f>IF(ISBLANK('Data Entry'!$õ$199), "", 'Data Entry'!$õ$199)</f>
      </c>
      <c r="FZ199">
        <f>IF(ISBLANK('Data Entry'!$ö$199), "", 'Data Entry'!$ö$199)</f>
      </c>
      <c r="GA199">
        <f>IF(ISBLANK('Data Entry'!$÷$199), "", 'Data Entry'!$÷$199)</f>
      </c>
      <c r="GB199">
        <f>IF(ISBLANK('Data Entry'!$ø$199), "", 'Data Entry'!$ø$199)</f>
      </c>
      <c r="GC199">
        <f>IF(ISBLANK('Data Entry'!$ù$199), "", 'Data Entry'!$ù$199)</f>
      </c>
      <c r="GD199">
        <f>IF(ISBLANK('Data Entry'!$ú$199), "", 'Data Entry'!$ú$199)</f>
      </c>
      <c r="GE199">
        <f>IF(ISBLANK('Data Entry'!$û$199), "", 'Data Entry'!$û$199)</f>
      </c>
      <c r="GF199">
        <f>IF(ISBLANK('Data Entry'!$ü$199), "", 'Data Entry'!$ü$199)</f>
      </c>
      <c r="GG199">
        <f>IF(ISBLANK('Data Entry'!$ý$199), "", 'Data Entry'!$ý$199)</f>
      </c>
      <c r="GH199">
        <f>IF(ISBLANK('Data Entry'!$þ$199), "", 'Data Entry'!$þ$199)</f>
      </c>
      <c r="GI199">
        <f>IF(ISBLANK('Data Entry'!$ÿ$199), "", 'Data Entry'!$ÿ$199)</f>
      </c>
      <c r="GJ199">
        <f>IF(ISBLANK('Data Entry'!$Ā$199), "", 'Data Entry'!$Ā$199)</f>
      </c>
      <c r="GK199">
        <f>IF(ISBLANK('Data Entry'!$ā$199), "", 'Data Entry'!$ā$199)</f>
      </c>
      <c r="GL199">
        <f>IF(ISBLANK('Data Entry'!$Ă$199), "", 'Data Entry'!$Ă$199)</f>
      </c>
      <c r="GM199">
        <f>IF(ISBLANK('Data Entry'!$ă$199), "", 'Data Entry'!$ă$199)</f>
      </c>
      <c r="GN199">
        <f>IF(ISBLANK('Data Entry'!$Ą$199), "", 'Data Entry'!$Ą$199)</f>
      </c>
      <c r="GO199">
        <f>IF(ISBLANK('Data Entry'!$ą$199), "", 'Data Entry'!$ą$199)</f>
      </c>
      <c r="GP199">
        <f>IF(ISBLANK('Data Entry'!$Ć$199), "", 'Data Entry'!$Ć$199)</f>
      </c>
      <c r="GQ199">
        <f>IF(ISBLANK('Data Entry'!$ć$199), "", 'Data Entry'!$ć$199)</f>
      </c>
      <c r="GR199">
        <f>IF(ISBLANK('Data Entry'!$Ĉ$199), "", 'Data Entry'!$Ĉ$199)</f>
      </c>
      <c r="GS199">
        <f>IF(ISBLANK('Data Entry'!$ĉ$199), "", 'Data Entry'!$ĉ$199)</f>
      </c>
      <c r="GT199">
        <f>IF(ISBLANK('Data Entry'!$Ċ$199), "", 'Data Entry'!$Ċ$199)</f>
      </c>
      <c r="GU199">
        <f>IF(ISBLANK('Data Entry'!$ċ$199), "", 'Data Entry'!$ċ$199)</f>
      </c>
      <c r="GV199">
        <f>IF(ISBLANK('Data Entry'!$Č$199), "", 'Data Entry'!$Č$199)</f>
      </c>
      <c r="GW199">
        <f>IF(ISBLANK('Data Entry'!$č$199), "", 'Data Entry'!$č$199)</f>
      </c>
      <c r="GX199">
        <f>IF(ISBLANK('Data Entry'!$Ď$199), "", 'Data Entry'!$Ď$199)</f>
      </c>
      <c r="GY199">
        <f>IF(ISBLANK('Data Entry'!$ď$199), "", 'Data Entry'!$ď$199)</f>
      </c>
      <c r="GZ199">
        <f>IF(ISBLANK('Data Entry'!$Đ$199), "", 'Data Entry'!$Đ$199)</f>
      </c>
      <c r="HA199">
        <f>IF(ISBLANK('Data Entry'!$đ$199), "", 'Data Entry'!$đ$199)</f>
      </c>
      <c r="HB199">
        <f>IF(ISBLANK('Data Entry'!$Ē$199), "", 'Data Entry'!$Ē$199)</f>
      </c>
      <c r="HC199">
        <f>IF(ISBLANK('Data Entry'!$ē$199), "", 'Data Entry'!$ē$199)</f>
      </c>
      <c r="HD199">
        <f>IF(ISBLANK('Data Entry'!$Ĕ$199), "", 'Data Entry'!$Ĕ$199)</f>
      </c>
      <c r="HE199">
        <f>IF(ISBLANK('Data Entry'!$ĕ$199), "", 'Data Entry'!$ĕ$199)</f>
      </c>
      <c r="HF199">
        <f>IF(ISBLANK('Data Entry'!$Ė$199), "", 'Data Entry'!$Ė$199)</f>
      </c>
      <c r="HG199">
        <f>IF(ISBLANK('Data Entry'!$ė$199), "", 'Data Entry'!$ė$199)</f>
      </c>
      <c r="HH199">
        <f>IF(ISBLANK('Data Entry'!$Ę$199), "", 'Data Entry'!$Ę$199)</f>
      </c>
      <c r="HI199">
        <f>IF(ISBLANK('Data Entry'!$ę$199), "", 'Data Entry'!$ę$199)</f>
      </c>
      <c r="HJ199">
        <f>IF(ISBLANK('Data Entry'!$Ě$199), "", 'Data Entry'!$Ě$199)</f>
      </c>
      <c r="HK199">
        <f>IF(ISBLANK('Data Entry'!$ě$199), "", 'Data Entry'!$ě$199)</f>
      </c>
      <c r="HL199">
        <f>IF(ISBLANK('Data Entry'!$Ĝ$199), "", 'Data Entry'!$Ĝ$199)</f>
      </c>
      <c r="HM199">
        <f>IF(ISBLANK('Data Entry'!$ĝ$199), "", 'Data Entry'!$ĝ$199)</f>
      </c>
      <c r="HN199">
        <f>IF(ISBLANK('Data Entry'!$Ğ$199), "", 'Data Entry'!$Ğ$199)</f>
      </c>
      <c r="HO199">
        <f>IF(ISBLANK('Data Entry'!$ğ$199), "", 'Data Entry'!$ğ$199)</f>
      </c>
      <c r="HP199">
        <f>IF(ISBLANK('Data Entry'!$Ġ$199), "", 'Data Entry'!$Ġ$199)</f>
      </c>
      <c r="HQ199">
        <f>IF(ISBLANK('Data Entry'!$ġ$199), "", 'Data Entry'!$ġ$199)</f>
      </c>
      <c r="HR199">
        <f>IF(ISBLANK('Data Entry'!$Ģ$199), "", 'Data Entry'!$Ģ$199)</f>
      </c>
      <c r="HS199">
        <f>IF(ISBLANK('Data Entry'!$ģ$199), "", 'Data Entry'!$ģ$199)</f>
      </c>
      <c r="HT199">
        <f>IF(ISBLANK('Data Entry'!$Ĥ$199), "", 'Data Entry'!$Ĥ$199)</f>
      </c>
      <c r="HU199">
        <f>IF(ISBLANK('Data Entry'!$ĥ$199), "", 'Data Entry'!$ĥ$199)</f>
      </c>
      <c r="HV199">
        <f>IF(ISBLANK('Data Entry'!$Ħ$199), "", 'Data Entry'!$Ħ$199)</f>
      </c>
      <c r="HW199">
        <f>IF(ISBLANK('Data Entry'!$ħ$199), "", 'Data Entry'!$ħ$199)</f>
      </c>
      <c r="HX199">
        <f>IF(ISBLANK('Data Entry'!$Ĩ$199), "", 'Data Entry'!$Ĩ$199)</f>
      </c>
      <c r="HY199">
        <f>IF(ISBLANK('Data Entry'!$ĩ$199), "", 'Data Entry'!$ĩ$199)</f>
      </c>
      <c r="HZ199">
        <f>IF(ISBLANK('Data Entry'!$Ī$199), "", 'Data Entry'!$Ī$199)</f>
      </c>
      <c r="IA199">
        <f>IF(ISBLANK('Data Entry'!$ī$199), "", 'Data Entry'!$ī$199)</f>
      </c>
      <c r="IB199">
        <f>IF(ISBLANK('Data Entry'!$Ĭ$199), "", 'Data Entry'!$Ĭ$199)</f>
      </c>
      <c r="IC199">
        <f>IF(ISBLANK('Data Entry'!$ĭ$199), "", 'Data Entry'!$ĭ$199)</f>
      </c>
      <c r="ID199">
        <f>IF(ISBLANK('Data Entry'!$Į$199), "", 'Data Entry'!$Į$199)</f>
      </c>
      <c r="IE199">
        <f>IF(ISBLANK('Data Entry'!$į$199), "", 'Data Entry'!$į$199)</f>
      </c>
      <c r="IF199">
        <f>IF(ISBLANK('Data Entry'!$İ$199), "", 'Data Entry'!$İ$199)</f>
      </c>
      <c r="IG199">
        <f>IF(ISBLANK('Data Entry'!$ı$199), "", 'Data Entry'!$ı$199)</f>
      </c>
      <c r="IH199">
        <f>IF(ISBLANK('Data Entry'!$Ĳ$199), "", 'Data Entry'!$Ĳ$199)</f>
      </c>
      <c r="II199">
        <f>IF(ISBLANK('Data Entry'!$ĳ$199), "", 'Data Entry'!$ĳ$199)</f>
      </c>
      <c r="IJ199">
        <f>IF(ISBLANK('Data Entry'!$Ĵ$199), "", 'Data Entry'!$Ĵ$199)</f>
      </c>
      <c r="IK199">
        <f>IF(ISBLANK('Data Entry'!$ĵ$199), "", 'Data Entry'!$ĵ$199)</f>
      </c>
      <c r="IL199">
        <f>IF(ISBLANK('Data Entry'!$Ķ$199), "", 'Data Entry'!$Ķ$199)</f>
      </c>
      <c r="IM199">
        <f>IF(ISBLANK('Data Entry'!$ķ$199), "", 'Data Entry'!$ķ$199)</f>
      </c>
      <c r="IN199">
        <f>IF(ISBLANK('Data Entry'!$ĸ$199), "", 'Data Entry'!$ĸ$199)</f>
      </c>
      <c r="IO199">
        <f>IF(ISBLANK('Data Entry'!$Ĺ$199), "", 'Data Entry'!$Ĺ$199)</f>
      </c>
      <c r="IP199">
        <f>IF(ISBLANK('Data Entry'!$ĺ$199), "", 'Data Entry'!$ĺ$199)</f>
      </c>
      <c r="IQ199">
        <f>IF(ISBLANK('Data Entry'!$Ļ$199), "", 'Data Entry'!$Ļ$199)</f>
      </c>
      <c r="IR199">
        <f>IF(ISBLANK('Data Entry'!$ļ$199), "", 'Data Entry'!$ļ$199)</f>
      </c>
      <c r="IS199">
        <f>IF(ISBLANK('Data Entry'!$Ľ$199), "", 'Data Entry'!$Ľ$199)</f>
      </c>
      <c r="IT199">
        <f>IF(ISBLANK('Data Entry'!$ľ$199), "", 'Data Entry'!$ľ$199)</f>
      </c>
    </row>
    <row r="200" spans="1:254" x14ac:dyDescent="0.25">
      <c r="A200">
        <f>IF(ISBLANK('Data Entry'!$A$200), "", 'Data Entry'!$A$200)</f>
      </c>
      <c r="B200">
        <f>IF(ISBLANK('Data Entry'!$B$200), "", 'Data Entry'!$B$200)</f>
      </c>
      <c r="C200">
        <f>IF(ISBLANK('Data Entry'!$C$200), "", 'Data Entry'!$C$200)</f>
      </c>
      <c r="D200">
        <f>IF(ISBLANK('Data Entry'!$D$200), "", 'Data Entry'!$D$200)</f>
      </c>
      <c r="E200">
        <f>IF(ISBLANK('Data Entry'!$E$200), "", 'Data Entry'!$E$200)</f>
      </c>
      <c r="F200">
        <f>IF(ISBLANK('Data Entry'!$F$200), "", 'Data Entry'!$F$200)</f>
      </c>
      <c r="G200">
        <f>IF(ISBLANK('Data Entry'!$G$200), "", 'Data Entry'!$G$200)</f>
      </c>
      <c r="H200">
        <f>IF(ISBLANK('Data Entry'!$H$200), "", 'Data Entry'!$H$200)</f>
      </c>
      <c r="I200">
        <f>IF(ISBLANK('Data Entry'!$I$200), "", 'Data Entry'!$I$200)</f>
      </c>
      <c r="J200">
        <f>IF(ISBLANK('Data Entry'!$J$200), "", 'Data Entry'!$J$200)</f>
      </c>
      <c r="K200">
        <f>IF(ISBLANK('Data Entry'!$K$200), "", 'Data Entry'!$K$200)</f>
      </c>
      <c r="L200">
        <f>IF(ISBLANK('Data Entry'!$L$200), "", 'Data Entry'!$L$200)</f>
      </c>
      <c r="M200">
        <f>IF(ISBLANK('Data Entry'!$M$200), "", 'Data Entry'!$M$200)</f>
      </c>
      <c r="N200">
        <f>IF(ISBLANK('Data Entry'!$N$200), "", 'Data Entry'!$N$200)</f>
      </c>
      <c r="O200">
        <f>IF(ISBLANK('Data Entry'!$O$200), "", 'Data Entry'!$O$200)</f>
      </c>
      <c r="P200">
        <f>IF(ISBLANK('Data Entry'!$P$200), "", 'Data Entry'!$P$200)</f>
      </c>
      <c r="Q200">
        <f>IF(ISBLANK('Data Entry'!$Q$200), "", 'Data Entry'!$Q$200)</f>
      </c>
      <c r="R200">
        <f>IF(ISBLANK('Data Entry'!$R$200), "", 'Data Entry'!$R$200)</f>
      </c>
      <c r="S200">
        <f>IF(ISBLANK('Data Entry'!$S$200), "", 'Data Entry'!$S$200)</f>
      </c>
      <c r="T200">
        <f>IF(ISBLANK('Data Entry'!$T$200), "", 'Data Entry'!$T$200)</f>
      </c>
      <c r="U200">
        <f>IF(ISBLANK('Data Entry'!$U$200), "", 'Data Entry'!$U$200)</f>
      </c>
      <c r="V200">
        <f>IF(ISBLANK('Data Entry'!$V$200), "", 'Data Entry'!$V$200)</f>
      </c>
      <c r="W200">
        <f>IF(ISBLANK('Data Entry'!$W$200), "", 'Data Entry'!$W$200)</f>
      </c>
      <c r="X200">
        <f>IF(ISBLANK('Data Entry'!$X$200), "", 'Data Entry'!$X$200)</f>
      </c>
      <c r="Y200">
        <f>IF(ISBLANK('Data Entry'!$Y$200), "", 'Data Entry'!$Y$200)</f>
      </c>
      <c r="Z200">
        <f>IF(ISBLANK('Data Entry'!$Z$200), "", 'Data Entry'!$Z$200)</f>
      </c>
      <c r="AA200">
        <f>IF(ISBLANK('Data Entry'!$[$200), "", 'Data Entry'!$[$200)</f>
      </c>
      <c r="AB200">
        <f>IF(ISBLANK('Data Entry'!$\$200), "", 'Data Entry'!$\$200)</f>
      </c>
      <c r="AC200">
        <f>IF(ISBLANK('Data Entry'!$]$200), "", 'Data Entry'!$]$200)</f>
      </c>
      <c r="AD200">
        <f>IF(ISBLANK('Data Entry'!$^$200), "", 'Data Entry'!$^$200)</f>
      </c>
      <c r="AE200">
        <f>IF(ISBLANK('Data Entry'!$_$200), "", 'Data Entry'!$_$200)</f>
      </c>
      <c r="AF200">
        <f>IF(ISBLANK('Data Entry'!$`$200), "", 'Data Entry'!$`$200)</f>
      </c>
      <c r="AG200">
        <f>IF(ISBLANK('Data Entry'!$a$200), "", 'Data Entry'!$a$200)</f>
      </c>
      <c r="AH200">
        <f>IF(ISBLANK('Data Entry'!$b$200), "", 'Data Entry'!$b$200)</f>
      </c>
      <c r="AI200">
        <f>IF(ISBLANK('Data Entry'!$c$200), "", 'Data Entry'!$c$200)</f>
      </c>
      <c r="AJ200">
        <f>IF(ISBLANK('Data Entry'!$d$200), "", 'Data Entry'!$d$200)</f>
      </c>
      <c r="AK200">
        <f>IF(ISBLANK('Data Entry'!$e$200), "", 'Data Entry'!$e$200)</f>
      </c>
      <c r="AL200">
        <f>IF(ISBLANK('Data Entry'!$f$200), "", 'Data Entry'!$f$200)</f>
      </c>
      <c r="AM200">
        <f>IF(ISBLANK('Data Entry'!$g$200), "", 'Data Entry'!$g$200)</f>
      </c>
      <c r="AN200">
        <f>IF(ISBLANK('Data Entry'!$h$200), "", 'Data Entry'!$h$200)</f>
      </c>
      <c r="AO200">
        <f>IF(ISBLANK('Data Entry'!$i$200), "", 'Data Entry'!$i$200)</f>
      </c>
      <c r="AP200">
        <f>IF(ISBLANK('Data Entry'!$j$200), "", 'Data Entry'!$j$200)</f>
      </c>
      <c r="AQ200">
        <f>IF(ISBLANK('Data Entry'!$k$200), "", 'Data Entry'!$k$200)</f>
      </c>
      <c r="AR200">
        <f>IF(ISBLANK('Data Entry'!$l$200), "", 'Data Entry'!$l$200)</f>
      </c>
      <c r="AS200">
        <f>IF(ISBLANK('Data Entry'!$m$200), "", 'Data Entry'!$m$200)</f>
      </c>
      <c r="AT200">
        <f>IF(ISBLANK('Data Entry'!$n$200), "", 'Data Entry'!$n$200)</f>
      </c>
      <c r="AU200">
        <f>IF(ISBLANK('Data Entry'!$o$200), "", 'Data Entry'!$o$200)</f>
      </c>
      <c r="AV200">
        <f>IF(ISBLANK('Data Entry'!$p$200), "", 'Data Entry'!$p$200)</f>
      </c>
      <c r="AW200">
        <f>IF(ISBLANK('Data Entry'!$q$200), "", 'Data Entry'!$q$200)</f>
      </c>
      <c r="AX200">
        <f>IF(ISBLANK('Data Entry'!$r$200), "", 'Data Entry'!$r$200)</f>
      </c>
      <c r="AY200">
        <f>IF(ISBLANK('Data Entry'!$s$200), "", 'Data Entry'!$s$200)</f>
      </c>
      <c r="AZ200">
        <f>IF(ISBLANK('Data Entry'!$t$200), "", 'Data Entry'!$t$200)</f>
      </c>
      <c r="BA200">
        <f>IF(ISBLANK('Data Entry'!$u$200), "", 'Data Entry'!$u$200)</f>
      </c>
      <c r="BB200">
        <f>IF(ISBLANK('Data Entry'!$v$200), "", 'Data Entry'!$v$200)</f>
      </c>
      <c r="BC200">
        <f>IF(ISBLANK('Data Entry'!$w$200), "", 'Data Entry'!$w$200)</f>
      </c>
      <c r="BD200">
        <f>IF(ISBLANK('Data Entry'!$x$200), "", 'Data Entry'!$x$200)</f>
      </c>
      <c r="BE200">
        <f>IF(ISBLANK('Data Entry'!$y$200), "", 'Data Entry'!$y$200)</f>
      </c>
      <c r="BF200">
        <f>IF(ISBLANK('Data Entry'!$z$200), "", 'Data Entry'!$z$200)</f>
      </c>
      <c r="BG200">
        <f>IF(ISBLANK('Data Entry'!${$200), "", 'Data Entry'!${$200)</f>
      </c>
      <c r="BH200">
        <f>IF(ISBLANK('Data Entry'!$|$200), "", 'Data Entry'!$|$200)</f>
      </c>
      <c r="BI200">
        <f>IF(ISBLANK('Data Entry'!$}$200), "", 'Data Entry'!$}$200)</f>
      </c>
      <c r="BJ200">
        <f>IF(ISBLANK('Data Entry'!$~$200), "", 'Data Entry'!$~$200)</f>
      </c>
      <c r="BK200">
        <f>IF(ISBLANK('Data Entry'!$$200), "", 'Data Entry'!$$200)</f>
      </c>
      <c r="BL200">
        <f>IF(ISBLANK('Data Entry'!$$200), "", 'Data Entry'!$$200)</f>
      </c>
      <c r="BM200">
        <f>IF(ISBLANK('Data Entry'!$$200), "", 'Data Entry'!$$200)</f>
      </c>
      <c r="BN200">
        <f>IF(ISBLANK('Data Entry'!$$200), "", 'Data Entry'!$$200)</f>
      </c>
      <c r="BO200">
        <f>IF(ISBLANK('Data Entry'!$$200), "", 'Data Entry'!$$200)</f>
      </c>
      <c r="BP200">
        <f>IF(ISBLANK('Data Entry'!$$200), "", 'Data Entry'!$$200)</f>
      </c>
      <c r="BQ200">
        <f>IF(ISBLANK('Data Entry'!$$200), "", 'Data Entry'!$$200)</f>
      </c>
      <c r="BR200">
        <f>IF(ISBLANK('Data Entry'!$$200), "", 'Data Entry'!$$200)</f>
      </c>
      <c r="BS200">
        <f>IF(ISBLANK('Data Entry'!$$200), "", 'Data Entry'!$$200)</f>
      </c>
      <c r="BT200">
        <f>IF(ISBLANK('Data Entry'!$$200), "", 'Data Entry'!$$200)</f>
      </c>
      <c r="BU200">
        <f>IF(ISBLANK('Data Entry'!$$200), "", 'Data Entry'!$$200)</f>
      </c>
      <c r="BV200">
        <f>IF(ISBLANK('Data Entry'!$$200), "", 'Data Entry'!$$200)</f>
      </c>
      <c r="BW200">
        <f>IF(ISBLANK('Data Entry'!$$200), "", 'Data Entry'!$$200)</f>
      </c>
      <c r="BX200">
        <f>IF(ISBLANK('Data Entry'!$$200), "", 'Data Entry'!$$200)</f>
      </c>
      <c r="BY200">
        <f>IF(ISBLANK('Data Entry'!$$200), "", 'Data Entry'!$$200)</f>
      </c>
      <c r="BZ200">
        <f>IF(ISBLANK('Data Entry'!$$200), "", 'Data Entry'!$$200)</f>
      </c>
      <c r="CA200">
        <f>IF(ISBLANK('Data Entry'!$$200), "", 'Data Entry'!$$200)</f>
      </c>
      <c r="CB200">
        <f>IF(ISBLANK('Data Entry'!$$200), "", 'Data Entry'!$$200)</f>
      </c>
      <c r="CC200">
        <f>IF(ISBLANK('Data Entry'!$$200), "", 'Data Entry'!$$200)</f>
      </c>
      <c r="CD200">
        <f>IF(ISBLANK('Data Entry'!$$200), "", 'Data Entry'!$$200)</f>
      </c>
      <c r="CE200">
        <f>IF(ISBLANK('Data Entry'!$$200), "", 'Data Entry'!$$200)</f>
      </c>
      <c r="CF200">
        <f>IF(ISBLANK('Data Entry'!$$200), "", 'Data Entry'!$$200)</f>
      </c>
      <c r="CG200">
        <f>IF(ISBLANK('Data Entry'!$$200), "", 'Data Entry'!$$200)</f>
      </c>
      <c r="CH200">
        <f>IF(ISBLANK('Data Entry'!$$200), "", 'Data Entry'!$$200)</f>
      </c>
      <c r="CI200">
        <f>IF(ISBLANK('Data Entry'!$$200), "", 'Data Entry'!$$200)</f>
      </c>
      <c r="CJ200">
        <f>IF(ISBLANK('Data Entry'!$$200), "", 'Data Entry'!$$200)</f>
      </c>
      <c r="CK200">
        <f>IF(ISBLANK('Data Entry'!$$200), "", 'Data Entry'!$$200)</f>
      </c>
      <c r="CL200">
        <f>IF(ISBLANK('Data Entry'!$$200), "", 'Data Entry'!$$200)</f>
      </c>
      <c r="CM200">
        <f>IF(ISBLANK('Data Entry'!$$200), "", 'Data Entry'!$$200)</f>
      </c>
      <c r="CN200">
        <f>IF(ISBLANK('Data Entry'!$$200), "", 'Data Entry'!$$200)</f>
      </c>
      <c r="CO200">
        <f>IF(ISBLANK('Data Entry'!$$200), "", 'Data Entry'!$$200)</f>
      </c>
      <c r="CP200">
        <f>IF(ISBLANK('Data Entry'!$$200), "", 'Data Entry'!$$200)</f>
      </c>
      <c r="CQ200">
        <f>IF(ISBLANK('Data Entry'!$$200), "", 'Data Entry'!$$200)</f>
      </c>
      <c r="CR200">
        <f>IF(ISBLANK('Data Entry'!$ $200), "", 'Data Entry'!$ $200)</f>
      </c>
      <c r="CS200">
        <f>IF(ISBLANK('Data Entry'!$¡$200), "", 'Data Entry'!$¡$200)</f>
      </c>
      <c r="CT200">
        <f>IF(ISBLANK('Data Entry'!$¢$200), "", 'Data Entry'!$¢$200)</f>
      </c>
      <c r="CU200">
        <f>IF(ISBLANK('Data Entry'!$£$200), "", 'Data Entry'!$£$200)</f>
      </c>
      <c r="CV200">
        <f>IF(ISBLANK('Data Entry'!$¤$200), "", 'Data Entry'!$¤$200)</f>
      </c>
      <c r="CW200">
        <f>IF(ISBLANK('Data Entry'!$¥$200), "", 'Data Entry'!$¥$200)</f>
      </c>
      <c r="CX200">
        <f>IF(ISBLANK('Data Entry'!$¦$200), "", 'Data Entry'!$¦$200)</f>
      </c>
      <c r="CY200">
        <f>IF(ISBLANK('Data Entry'!$§$200), "", 'Data Entry'!$§$200)</f>
      </c>
      <c r="CZ200">
        <f>IF(ISBLANK('Data Entry'!$¨$200), "", 'Data Entry'!$¨$200)</f>
      </c>
      <c r="DA200">
        <f>IF(ISBLANK('Data Entry'!$©$200), "", 'Data Entry'!$©$200)</f>
      </c>
      <c r="DB200">
        <f>IF(ISBLANK('Data Entry'!$ª$200), "", 'Data Entry'!$ª$200)</f>
      </c>
      <c r="DC200">
        <f>IF(ISBLANK('Data Entry'!$«$200), "", 'Data Entry'!$«$200)</f>
      </c>
      <c r="DD200">
        <f>IF(ISBLANK('Data Entry'!$¬$200), "", 'Data Entry'!$¬$200)</f>
      </c>
      <c r="DE200">
        <f>IF(ISBLANK('Data Entry'!$­$200), "", 'Data Entry'!$­$200)</f>
      </c>
      <c r="DF200">
        <f>IF(ISBLANK('Data Entry'!$®$200), "", 'Data Entry'!$®$200)</f>
      </c>
      <c r="DG200">
        <f>IF(ISBLANK('Data Entry'!$¯$200), "", 'Data Entry'!$¯$200)</f>
      </c>
      <c r="DH200">
        <f>IF(ISBLANK('Data Entry'!$°$200), "", 'Data Entry'!$°$200)</f>
      </c>
      <c r="DI200">
        <f>IF(ISBLANK('Data Entry'!$±$200), "", 'Data Entry'!$±$200)</f>
      </c>
      <c r="DJ200">
        <f>IF(ISBLANK('Data Entry'!$²$200), "", 'Data Entry'!$²$200)</f>
      </c>
      <c r="DK200">
        <f>IF(ISBLANK('Data Entry'!$³$200), "", 'Data Entry'!$³$200)</f>
      </c>
      <c r="DL200">
        <f>IF(ISBLANK('Data Entry'!$´$200), "", 'Data Entry'!$´$200)</f>
      </c>
      <c r="DM200">
        <f>IF(ISBLANK('Data Entry'!$µ$200), "", 'Data Entry'!$µ$200)</f>
      </c>
      <c r="DN200">
        <f>IF(ISBLANK('Data Entry'!$¶$200), "", 'Data Entry'!$¶$200)</f>
      </c>
      <c r="DO200">
        <f>IF(ISBLANK('Data Entry'!$·$200), "", 'Data Entry'!$·$200)</f>
      </c>
      <c r="DP200">
        <f>IF(ISBLANK('Data Entry'!$¸$200), "", 'Data Entry'!$¸$200)</f>
      </c>
      <c r="DQ200">
        <f>IF(ISBLANK('Data Entry'!$¹$200), "", 'Data Entry'!$¹$200)</f>
      </c>
      <c r="DR200">
        <f>IF(ISBLANK('Data Entry'!$º$200), "", 'Data Entry'!$º$200)</f>
      </c>
      <c r="DS200">
        <f>IF(ISBLANK('Data Entry'!$»$200), "", 'Data Entry'!$»$200)</f>
      </c>
      <c r="DT200">
        <f>IF(ISBLANK('Data Entry'!$¼$200), "", 'Data Entry'!$¼$200)</f>
      </c>
      <c r="DU200">
        <f>IF(ISBLANK('Data Entry'!$½$200), "", 'Data Entry'!$½$200)</f>
      </c>
      <c r="DV200">
        <f>IF(ISBLANK('Data Entry'!$¾$200), "", 'Data Entry'!$¾$200)</f>
      </c>
      <c r="DW200">
        <f>IF(ISBLANK('Data Entry'!$¿$200), "", 'Data Entry'!$¿$200)</f>
      </c>
      <c r="DX200">
        <f>IF(ISBLANK('Data Entry'!$À$200), "", 'Data Entry'!$À$200)</f>
      </c>
      <c r="DY200">
        <f>IF(ISBLANK('Data Entry'!$Á$200), "", 'Data Entry'!$Á$200)</f>
      </c>
      <c r="DZ200">
        <f>IF(ISBLANK('Data Entry'!$Â$200), "", 'Data Entry'!$Â$200)</f>
      </c>
      <c r="EA200">
        <f>IF(ISBLANK('Data Entry'!$Ã$200), "", 'Data Entry'!$Ã$200)</f>
      </c>
      <c r="EB200">
        <f>IF(ISBLANK('Data Entry'!$Ä$200), "", 'Data Entry'!$Ä$200)</f>
      </c>
      <c r="EC200">
        <f>IF(ISBLANK('Data Entry'!$Å$200), "", 'Data Entry'!$Å$200)</f>
      </c>
      <c r="ED200">
        <f>IF(ISBLANK('Data Entry'!$Æ$200), "", 'Data Entry'!$Æ$200)</f>
      </c>
      <c r="EE200">
        <f>IF(ISBLANK('Data Entry'!$Ç$200), "", 'Data Entry'!$Ç$200)</f>
      </c>
      <c r="EF200">
        <f>IF(ISBLANK('Data Entry'!$È$200), "", 'Data Entry'!$È$200)</f>
      </c>
      <c r="EG200">
        <f>IF(ISBLANK('Data Entry'!$É$200), "", 'Data Entry'!$É$200)</f>
      </c>
      <c r="EH200">
        <f>IF(ISBLANK('Data Entry'!$Ê$200), "", 'Data Entry'!$Ê$200)</f>
      </c>
      <c r="EI200">
        <f>IF(ISBLANK('Data Entry'!$Ë$200), "", 'Data Entry'!$Ë$200)</f>
      </c>
      <c r="EJ200">
        <f>IF(ISBLANK('Data Entry'!$Ì$200), "", 'Data Entry'!$Ì$200)</f>
      </c>
      <c r="EK200">
        <f>IF(ISBLANK('Data Entry'!$Í$200), "", 'Data Entry'!$Í$200)</f>
      </c>
      <c r="EL200">
        <f>IF(ISBLANK('Data Entry'!$Î$200), "", 'Data Entry'!$Î$200)</f>
      </c>
      <c r="EM200">
        <f>IF(ISBLANK('Data Entry'!$Ï$200), "", 'Data Entry'!$Ï$200)</f>
      </c>
      <c r="EN200">
        <f>IF(ISBLANK('Data Entry'!$Ð$200), "", 'Data Entry'!$Ð$200)</f>
      </c>
      <c r="EO200">
        <f>IF(ISBLANK('Data Entry'!$Ñ$200), "", 'Data Entry'!$Ñ$200)</f>
      </c>
      <c r="EP200">
        <f>IF(ISBLANK('Data Entry'!$Ò$200), "", 'Data Entry'!$Ò$200)</f>
      </c>
      <c r="EQ200">
        <f>IF(ISBLANK('Data Entry'!$Ó$200), "", 'Data Entry'!$Ó$200)</f>
      </c>
      <c r="ER200">
        <f>IF(ISBLANK('Data Entry'!$Ô$200), "", 'Data Entry'!$Ô$200)</f>
      </c>
      <c r="ES200">
        <f>IF(ISBLANK('Data Entry'!$Õ$200), "", 'Data Entry'!$Õ$200)</f>
      </c>
      <c r="ET200">
        <f>IF(ISBLANK('Data Entry'!$Ö$200), "", 'Data Entry'!$Ö$200)</f>
      </c>
      <c r="EU200">
        <f>IF(ISBLANK('Data Entry'!$×$200), "", 'Data Entry'!$×$200)</f>
      </c>
      <c r="EV200">
        <f>IF(ISBLANK('Data Entry'!$Ø$200), "", 'Data Entry'!$Ø$200)</f>
      </c>
      <c r="EW200">
        <f>IF(ISBLANK('Data Entry'!$Ù$200), "", 'Data Entry'!$Ù$200)</f>
      </c>
      <c r="EX200">
        <f>IF(ISBLANK('Data Entry'!$Ú$200), "", 'Data Entry'!$Ú$200)</f>
      </c>
      <c r="EY200">
        <f>IF(ISBLANK('Data Entry'!$Û$200), "", 'Data Entry'!$Û$200)</f>
      </c>
      <c r="EZ200">
        <f>IF(ISBLANK('Data Entry'!$Ü$200), "", 'Data Entry'!$Ü$200)</f>
      </c>
      <c r="FA200">
        <f>IF(ISBLANK('Data Entry'!$Ý$200), "", 'Data Entry'!$Ý$200)</f>
      </c>
      <c r="FB200">
        <f>IF(ISBLANK('Data Entry'!$Þ$200), "", 'Data Entry'!$Þ$200)</f>
      </c>
      <c r="FC200">
        <f>IF(ISBLANK('Data Entry'!$ß$200), "", 'Data Entry'!$ß$200)</f>
      </c>
      <c r="FD200">
        <f>IF(ISBLANK('Data Entry'!$à$200), "", 'Data Entry'!$à$200)</f>
      </c>
      <c r="FE200">
        <f>IF(ISBLANK('Data Entry'!$á$200), "", 'Data Entry'!$á$200)</f>
      </c>
      <c r="FF200">
        <f>IF(ISBLANK('Data Entry'!$â$200), "", 'Data Entry'!$â$200)</f>
      </c>
      <c r="FG200">
        <f>IF(ISBLANK('Data Entry'!$ã$200), "", 'Data Entry'!$ã$200)</f>
      </c>
      <c r="FH200">
        <f>IF(ISBLANK('Data Entry'!$ä$200), "", 'Data Entry'!$ä$200)</f>
      </c>
      <c r="FI200">
        <f>IF(ISBLANK('Data Entry'!$å$200), "", 'Data Entry'!$å$200)</f>
      </c>
      <c r="FJ200">
        <f>IF(ISBLANK('Data Entry'!$æ$200), "", 'Data Entry'!$æ$200)</f>
      </c>
      <c r="FK200">
        <f>IF(ISBLANK('Data Entry'!$ç$200), "", 'Data Entry'!$ç$200)</f>
      </c>
      <c r="FL200">
        <f>IF(ISBLANK('Data Entry'!$è$200), "", 'Data Entry'!$è$200)</f>
      </c>
      <c r="FM200">
        <f>IF(ISBLANK('Data Entry'!$é$200), "", 'Data Entry'!$é$200)</f>
      </c>
      <c r="FN200">
        <f>IF(ISBLANK('Data Entry'!$ê$200), "", 'Data Entry'!$ê$200)</f>
      </c>
      <c r="FO200">
        <f>IF(ISBLANK('Data Entry'!$ë$200), "", 'Data Entry'!$ë$200)</f>
      </c>
      <c r="FP200">
        <f>IF(ISBLANK('Data Entry'!$ì$200), "", 'Data Entry'!$ì$200)</f>
      </c>
      <c r="FQ200">
        <f>IF(ISBLANK('Data Entry'!$í$200), "", 'Data Entry'!$í$200)</f>
      </c>
      <c r="FR200">
        <f>IF(ISBLANK('Data Entry'!$î$200), "", 'Data Entry'!$î$200)</f>
      </c>
      <c r="FS200">
        <f>IF(ISBLANK('Data Entry'!$ï$200), "", 'Data Entry'!$ï$200)</f>
      </c>
      <c r="FT200">
        <f>IF(ISBLANK('Data Entry'!$ð$200), "", 'Data Entry'!$ð$200)</f>
      </c>
      <c r="FU200">
        <f>IF(ISBLANK('Data Entry'!$ñ$200), "", 'Data Entry'!$ñ$200)</f>
      </c>
      <c r="FV200">
        <f>IF(ISBLANK('Data Entry'!$ò$200), "", 'Data Entry'!$ò$200)</f>
      </c>
      <c r="FW200">
        <f>IF(ISBLANK('Data Entry'!$ó$200), "", 'Data Entry'!$ó$200)</f>
      </c>
      <c r="FX200">
        <f>IF(ISBLANK('Data Entry'!$ô$200), "", 'Data Entry'!$ô$200)</f>
      </c>
      <c r="FY200">
        <f>IF(ISBLANK('Data Entry'!$õ$200), "", 'Data Entry'!$õ$200)</f>
      </c>
      <c r="FZ200">
        <f>IF(ISBLANK('Data Entry'!$ö$200), "", 'Data Entry'!$ö$200)</f>
      </c>
      <c r="GA200">
        <f>IF(ISBLANK('Data Entry'!$÷$200), "", 'Data Entry'!$÷$200)</f>
      </c>
      <c r="GB200">
        <f>IF(ISBLANK('Data Entry'!$ø$200), "", 'Data Entry'!$ø$200)</f>
      </c>
      <c r="GC200">
        <f>IF(ISBLANK('Data Entry'!$ù$200), "", 'Data Entry'!$ù$200)</f>
      </c>
      <c r="GD200">
        <f>IF(ISBLANK('Data Entry'!$ú$200), "", 'Data Entry'!$ú$200)</f>
      </c>
      <c r="GE200">
        <f>IF(ISBLANK('Data Entry'!$û$200), "", 'Data Entry'!$û$200)</f>
      </c>
      <c r="GF200">
        <f>IF(ISBLANK('Data Entry'!$ü$200), "", 'Data Entry'!$ü$200)</f>
      </c>
      <c r="GG200">
        <f>IF(ISBLANK('Data Entry'!$ý$200), "", 'Data Entry'!$ý$200)</f>
      </c>
      <c r="GH200">
        <f>IF(ISBLANK('Data Entry'!$þ$200), "", 'Data Entry'!$þ$200)</f>
      </c>
      <c r="GI200">
        <f>IF(ISBLANK('Data Entry'!$ÿ$200), "", 'Data Entry'!$ÿ$200)</f>
      </c>
      <c r="GJ200">
        <f>IF(ISBLANK('Data Entry'!$Ā$200), "", 'Data Entry'!$Ā$200)</f>
      </c>
      <c r="GK200">
        <f>IF(ISBLANK('Data Entry'!$ā$200), "", 'Data Entry'!$ā$200)</f>
      </c>
      <c r="GL200">
        <f>IF(ISBLANK('Data Entry'!$Ă$200), "", 'Data Entry'!$Ă$200)</f>
      </c>
      <c r="GM200">
        <f>IF(ISBLANK('Data Entry'!$ă$200), "", 'Data Entry'!$ă$200)</f>
      </c>
      <c r="GN200">
        <f>IF(ISBLANK('Data Entry'!$Ą$200), "", 'Data Entry'!$Ą$200)</f>
      </c>
      <c r="GO200">
        <f>IF(ISBLANK('Data Entry'!$ą$200), "", 'Data Entry'!$ą$200)</f>
      </c>
      <c r="GP200">
        <f>IF(ISBLANK('Data Entry'!$Ć$200), "", 'Data Entry'!$Ć$200)</f>
      </c>
      <c r="GQ200">
        <f>IF(ISBLANK('Data Entry'!$ć$200), "", 'Data Entry'!$ć$200)</f>
      </c>
      <c r="GR200">
        <f>IF(ISBLANK('Data Entry'!$Ĉ$200), "", 'Data Entry'!$Ĉ$200)</f>
      </c>
      <c r="GS200">
        <f>IF(ISBLANK('Data Entry'!$ĉ$200), "", 'Data Entry'!$ĉ$200)</f>
      </c>
      <c r="GT200">
        <f>IF(ISBLANK('Data Entry'!$Ċ$200), "", 'Data Entry'!$Ċ$200)</f>
      </c>
      <c r="GU200">
        <f>IF(ISBLANK('Data Entry'!$ċ$200), "", 'Data Entry'!$ċ$200)</f>
      </c>
      <c r="GV200">
        <f>IF(ISBLANK('Data Entry'!$Č$200), "", 'Data Entry'!$Č$200)</f>
      </c>
      <c r="GW200">
        <f>IF(ISBLANK('Data Entry'!$č$200), "", 'Data Entry'!$č$200)</f>
      </c>
      <c r="GX200">
        <f>IF(ISBLANK('Data Entry'!$Ď$200), "", 'Data Entry'!$Ď$200)</f>
      </c>
      <c r="GY200">
        <f>IF(ISBLANK('Data Entry'!$ď$200), "", 'Data Entry'!$ď$200)</f>
      </c>
      <c r="GZ200">
        <f>IF(ISBLANK('Data Entry'!$Đ$200), "", 'Data Entry'!$Đ$200)</f>
      </c>
      <c r="HA200">
        <f>IF(ISBLANK('Data Entry'!$đ$200), "", 'Data Entry'!$đ$200)</f>
      </c>
      <c r="HB200">
        <f>IF(ISBLANK('Data Entry'!$Ē$200), "", 'Data Entry'!$Ē$200)</f>
      </c>
      <c r="HC200">
        <f>IF(ISBLANK('Data Entry'!$ē$200), "", 'Data Entry'!$ē$200)</f>
      </c>
      <c r="HD200">
        <f>IF(ISBLANK('Data Entry'!$Ĕ$200), "", 'Data Entry'!$Ĕ$200)</f>
      </c>
      <c r="HE200">
        <f>IF(ISBLANK('Data Entry'!$ĕ$200), "", 'Data Entry'!$ĕ$200)</f>
      </c>
      <c r="HF200">
        <f>IF(ISBLANK('Data Entry'!$Ė$200), "", 'Data Entry'!$Ė$200)</f>
      </c>
      <c r="HG200">
        <f>IF(ISBLANK('Data Entry'!$ė$200), "", 'Data Entry'!$ė$200)</f>
      </c>
      <c r="HH200">
        <f>IF(ISBLANK('Data Entry'!$Ę$200), "", 'Data Entry'!$Ę$200)</f>
      </c>
      <c r="HI200">
        <f>IF(ISBLANK('Data Entry'!$ę$200), "", 'Data Entry'!$ę$200)</f>
      </c>
      <c r="HJ200">
        <f>IF(ISBLANK('Data Entry'!$Ě$200), "", 'Data Entry'!$Ě$200)</f>
      </c>
      <c r="HK200">
        <f>IF(ISBLANK('Data Entry'!$ě$200), "", 'Data Entry'!$ě$200)</f>
      </c>
      <c r="HL200">
        <f>IF(ISBLANK('Data Entry'!$Ĝ$200), "", 'Data Entry'!$Ĝ$200)</f>
      </c>
      <c r="HM200">
        <f>IF(ISBLANK('Data Entry'!$ĝ$200), "", 'Data Entry'!$ĝ$200)</f>
      </c>
      <c r="HN200">
        <f>IF(ISBLANK('Data Entry'!$Ğ$200), "", 'Data Entry'!$Ğ$200)</f>
      </c>
      <c r="HO200">
        <f>IF(ISBLANK('Data Entry'!$ğ$200), "", 'Data Entry'!$ğ$200)</f>
      </c>
      <c r="HP200">
        <f>IF(ISBLANK('Data Entry'!$Ġ$200), "", 'Data Entry'!$Ġ$200)</f>
      </c>
      <c r="HQ200">
        <f>IF(ISBLANK('Data Entry'!$ġ$200), "", 'Data Entry'!$ġ$200)</f>
      </c>
      <c r="HR200">
        <f>IF(ISBLANK('Data Entry'!$Ģ$200), "", 'Data Entry'!$Ģ$200)</f>
      </c>
      <c r="HS200">
        <f>IF(ISBLANK('Data Entry'!$ģ$200), "", 'Data Entry'!$ģ$200)</f>
      </c>
      <c r="HT200">
        <f>IF(ISBLANK('Data Entry'!$Ĥ$200), "", 'Data Entry'!$Ĥ$200)</f>
      </c>
      <c r="HU200">
        <f>IF(ISBLANK('Data Entry'!$ĥ$200), "", 'Data Entry'!$ĥ$200)</f>
      </c>
      <c r="HV200">
        <f>IF(ISBLANK('Data Entry'!$Ħ$200), "", 'Data Entry'!$Ħ$200)</f>
      </c>
      <c r="HW200">
        <f>IF(ISBLANK('Data Entry'!$ħ$200), "", 'Data Entry'!$ħ$200)</f>
      </c>
      <c r="HX200">
        <f>IF(ISBLANK('Data Entry'!$Ĩ$200), "", 'Data Entry'!$Ĩ$200)</f>
      </c>
      <c r="HY200">
        <f>IF(ISBLANK('Data Entry'!$ĩ$200), "", 'Data Entry'!$ĩ$200)</f>
      </c>
      <c r="HZ200">
        <f>IF(ISBLANK('Data Entry'!$Ī$200), "", 'Data Entry'!$Ī$200)</f>
      </c>
      <c r="IA200">
        <f>IF(ISBLANK('Data Entry'!$ī$200), "", 'Data Entry'!$ī$200)</f>
      </c>
      <c r="IB200">
        <f>IF(ISBLANK('Data Entry'!$Ĭ$200), "", 'Data Entry'!$Ĭ$200)</f>
      </c>
      <c r="IC200">
        <f>IF(ISBLANK('Data Entry'!$ĭ$200), "", 'Data Entry'!$ĭ$200)</f>
      </c>
      <c r="ID200">
        <f>IF(ISBLANK('Data Entry'!$Į$200), "", 'Data Entry'!$Į$200)</f>
      </c>
      <c r="IE200">
        <f>IF(ISBLANK('Data Entry'!$į$200), "", 'Data Entry'!$į$200)</f>
      </c>
      <c r="IF200">
        <f>IF(ISBLANK('Data Entry'!$İ$200), "", 'Data Entry'!$İ$200)</f>
      </c>
      <c r="IG200">
        <f>IF(ISBLANK('Data Entry'!$ı$200), "", 'Data Entry'!$ı$200)</f>
      </c>
      <c r="IH200">
        <f>IF(ISBLANK('Data Entry'!$Ĳ$200), "", 'Data Entry'!$Ĳ$200)</f>
      </c>
      <c r="II200">
        <f>IF(ISBLANK('Data Entry'!$ĳ$200), "", 'Data Entry'!$ĳ$200)</f>
      </c>
      <c r="IJ200">
        <f>IF(ISBLANK('Data Entry'!$Ĵ$200), "", 'Data Entry'!$Ĵ$200)</f>
      </c>
      <c r="IK200">
        <f>IF(ISBLANK('Data Entry'!$ĵ$200), "", 'Data Entry'!$ĵ$200)</f>
      </c>
      <c r="IL200">
        <f>IF(ISBLANK('Data Entry'!$Ķ$200), "", 'Data Entry'!$Ķ$200)</f>
      </c>
      <c r="IM200">
        <f>IF(ISBLANK('Data Entry'!$ķ$200), "", 'Data Entry'!$ķ$200)</f>
      </c>
      <c r="IN200">
        <f>IF(ISBLANK('Data Entry'!$ĸ$200), "", 'Data Entry'!$ĸ$200)</f>
      </c>
      <c r="IO200">
        <f>IF(ISBLANK('Data Entry'!$Ĺ$200), "", 'Data Entry'!$Ĺ$200)</f>
      </c>
      <c r="IP200">
        <f>IF(ISBLANK('Data Entry'!$ĺ$200), "", 'Data Entry'!$ĺ$200)</f>
      </c>
      <c r="IQ200">
        <f>IF(ISBLANK('Data Entry'!$Ļ$200), "", 'Data Entry'!$Ļ$200)</f>
      </c>
      <c r="IR200">
        <f>IF(ISBLANK('Data Entry'!$ļ$200), "", 'Data Entry'!$ļ$200)</f>
      </c>
      <c r="IS200">
        <f>IF(ISBLANK('Data Entry'!$Ľ$200), "", 'Data Entry'!$Ľ$200)</f>
      </c>
      <c r="IT200">
        <f>IF(ISBLANK('Data Entry'!$ľ$200), "", 'Data Entry'!$ľ$200)</f>
      </c>
    </row>
    <row r="201" spans="1:254" x14ac:dyDescent="0.25">
      <c r="A201">
        <f>IF(ISBLANK('Data Entry'!$A$201), "", 'Data Entry'!$A$201)</f>
      </c>
      <c r="B201">
        <f>IF(ISBLANK('Data Entry'!$B$201), "", 'Data Entry'!$B$201)</f>
      </c>
      <c r="C201">
        <f>IF(ISBLANK('Data Entry'!$C$201), "", 'Data Entry'!$C$201)</f>
      </c>
      <c r="D201">
        <f>IF(ISBLANK('Data Entry'!$D$201), "", 'Data Entry'!$D$201)</f>
      </c>
      <c r="E201">
        <f>IF(ISBLANK('Data Entry'!$E$201), "", 'Data Entry'!$E$201)</f>
      </c>
      <c r="F201">
        <f>IF(ISBLANK('Data Entry'!$F$201), "", 'Data Entry'!$F$201)</f>
      </c>
      <c r="G201">
        <f>IF(ISBLANK('Data Entry'!$G$201), "", 'Data Entry'!$G$201)</f>
      </c>
      <c r="H201">
        <f>IF(ISBLANK('Data Entry'!$H$201), "", 'Data Entry'!$H$201)</f>
      </c>
      <c r="I201">
        <f>IF(ISBLANK('Data Entry'!$I$201), "", 'Data Entry'!$I$201)</f>
      </c>
      <c r="J201">
        <f>IF(ISBLANK('Data Entry'!$J$201), "", 'Data Entry'!$J$201)</f>
      </c>
      <c r="K201">
        <f>IF(ISBLANK('Data Entry'!$K$201), "", 'Data Entry'!$K$201)</f>
      </c>
      <c r="L201">
        <f>IF(ISBLANK('Data Entry'!$L$201), "", 'Data Entry'!$L$201)</f>
      </c>
      <c r="M201">
        <f>IF(ISBLANK('Data Entry'!$M$201), "", 'Data Entry'!$M$201)</f>
      </c>
      <c r="N201">
        <f>IF(ISBLANK('Data Entry'!$N$201), "", 'Data Entry'!$N$201)</f>
      </c>
      <c r="O201">
        <f>IF(ISBLANK('Data Entry'!$O$201), "", 'Data Entry'!$O$201)</f>
      </c>
      <c r="P201">
        <f>IF(ISBLANK('Data Entry'!$P$201), "", 'Data Entry'!$P$201)</f>
      </c>
      <c r="Q201">
        <f>IF(ISBLANK('Data Entry'!$Q$201), "", 'Data Entry'!$Q$201)</f>
      </c>
      <c r="R201">
        <f>IF(ISBLANK('Data Entry'!$R$201), "", 'Data Entry'!$R$201)</f>
      </c>
      <c r="S201">
        <f>IF(ISBLANK('Data Entry'!$S$201), "", 'Data Entry'!$S$201)</f>
      </c>
      <c r="T201">
        <f>IF(ISBLANK('Data Entry'!$T$201), "", 'Data Entry'!$T$201)</f>
      </c>
      <c r="U201">
        <f>IF(ISBLANK('Data Entry'!$U$201), "", 'Data Entry'!$U$201)</f>
      </c>
      <c r="V201">
        <f>IF(ISBLANK('Data Entry'!$V$201), "", 'Data Entry'!$V$201)</f>
      </c>
      <c r="W201">
        <f>IF(ISBLANK('Data Entry'!$W$201), "", 'Data Entry'!$W$201)</f>
      </c>
      <c r="X201">
        <f>IF(ISBLANK('Data Entry'!$X$201), "", 'Data Entry'!$X$201)</f>
      </c>
      <c r="Y201">
        <f>IF(ISBLANK('Data Entry'!$Y$201), "", 'Data Entry'!$Y$201)</f>
      </c>
      <c r="Z201">
        <f>IF(ISBLANK('Data Entry'!$Z$201), "", 'Data Entry'!$Z$201)</f>
      </c>
      <c r="AA201">
        <f>IF(ISBLANK('Data Entry'!$[$201), "", 'Data Entry'!$[$201)</f>
      </c>
      <c r="AB201">
        <f>IF(ISBLANK('Data Entry'!$\$201), "", 'Data Entry'!$\$201)</f>
      </c>
      <c r="AC201">
        <f>IF(ISBLANK('Data Entry'!$]$201), "", 'Data Entry'!$]$201)</f>
      </c>
      <c r="AD201">
        <f>IF(ISBLANK('Data Entry'!$^$201), "", 'Data Entry'!$^$201)</f>
      </c>
      <c r="AE201">
        <f>IF(ISBLANK('Data Entry'!$_$201), "", 'Data Entry'!$_$201)</f>
      </c>
      <c r="AF201">
        <f>IF(ISBLANK('Data Entry'!$`$201), "", 'Data Entry'!$`$201)</f>
      </c>
      <c r="AG201">
        <f>IF(ISBLANK('Data Entry'!$a$201), "", 'Data Entry'!$a$201)</f>
      </c>
      <c r="AH201">
        <f>IF(ISBLANK('Data Entry'!$b$201), "", 'Data Entry'!$b$201)</f>
      </c>
      <c r="AI201">
        <f>IF(ISBLANK('Data Entry'!$c$201), "", 'Data Entry'!$c$201)</f>
      </c>
      <c r="AJ201">
        <f>IF(ISBLANK('Data Entry'!$d$201), "", 'Data Entry'!$d$201)</f>
      </c>
      <c r="AK201">
        <f>IF(ISBLANK('Data Entry'!$e$201), "", 'Data Entry'!$e$201)</f>
      </c>
      <c r="AL201">
        <f>IF(ISBLANK('Data Entry'!$f$201), "", 'Data Entry'!$f$201)</f>
      </c>
      <c r="AM201">
        <f>IF(ISBLANK('Data Entry'!$g$201), "", 'Data Entry'!$g$201)</f>
      </c>
      <c r="AN201">
        <f>IF(ISBLANK('Data Entry'!$h$201), "", 'Data Entry'!$h$201)</f>
      </c>
      <c r="AO201">
        <f>IF(ISBLANK('Data Entry'!$i$201), "", 'Data Entry'!$i$201)</f>
      </c>
      <c r="AP201">
        <f>IF(ISBLANK('Data Entry'!$j$201), "", 'Data Entry'!$j$201)</f>
      </c>
      <c r="AQ201">
        <f>IF(ISBLANK('Data Entry'!$k$201), "", 'Data Entry'!$k$201)</f>
      </c>
      <c r="AR201">
        <f>IF(ISBLANK('Data Entry'!$l$201), "", 'Data Entry'!$l$201)</f>
      </c>
      <c r="AS201">
        <f>IF(ISBLANK('Data Entry'!$m$201), "", 'Data Entry'!$m$201)</f>
      </c>
      <c r="AT201">
        <f>IF(ISBLANK('Data Entry'!$n$201), "", 'Data Entry'!$n$201)</f>
      </c>
      <c r="AU201">
        <f>IF(ISBLANK('Data Entry'!$o$201), "", 'Data Entry'!$o$201)</f>
      </c>
      <c r="AV201">
        <f>IF(ISBLANK('Data Entry'!$p$201), "", 'Data Entry'!$p$201)</f>
      </c>
      <c r="AW201">
        <f>IF(ISBLANK('Data Entry'!$q$201), "", 'Data Entry'!$q$201)</f>
      </c>
      <c r="AX201">
        <f>IF(ISBLANK('Data Entry'!$r$201), "", 'Data Entry'!$r$201)</f>
      </c>
      <c r="AY201">
        <f>IF(ISBLANK('Data Entry'!$s$201), "", 'Data Entry'!$s$201)</f>
      </c>
      <c r="AZ201">
        <f>IF(ISBLANK('Data Entry'!$t$201), "", 'Data Entry'!$t$201)</f>
      </c>
      <c r="BA201">
        <f>IF(ISBLANK('Data Entry'!$u$201), "", 'Data Entry'!$u$201)</f>
      </c>
      <c r="BB201">
        <f>IF(ISBLANK('Data Entry'!$v$201), "", 'Data Entry'!$v$201)</f>
      </c>
      <c r="BC201">
        <f>IF(ISBLANK('Data Entry'!$w$201), "", 'Data Entry'!$w$201)</f>
      </c>
      <c r="BD201">
        <f>IF(ISBLANK('Data Entry'!$x$201), "", 'Data Entry'!$x$201)</f>
      </c>
      <c r="BE201">
        <f>IF(ISBLANK('Data Entry'!$y$201), "", 'Data Entry'!$y$201)</f>
      </c>
      <c r="BF201">
        <f>IF(ISBLANK('Data Entry'!$z$201), "", 'Data Entry'!$z$201)</f>
      </c>
      <c r="BG201">
        <f>IF(ISBLANK('Data Entry'!${$201), "", 'Data Entry'!${$201)</f>
      </c>
      <c r="BH201">
        <f>IF(ISBLANK('Data Entry'!$|$201), "", 'Data Entry'!$|$201)</f>
      </c>
      <c r="BI201">
        <f>IF(ISBLANK('Data Entry'!$}$201), "", 'Data Entry'!$}$201)</f>
      </c>
      <c r="BJ201">
        <f>IF(ISBLANK('Data Entry'!$~$201), "", 'Data Entry'!$~$201)</f>
      </c>
      <c r="BK201">
        <f>IF(ISBLANK('Data Entry'!$$201), "", 'Data Entry'!$$201)</f>
      </c>
      <c r="BL201">
        <f>IF(ISBLANK('Data Entry'!$$201), "", 'Data Entry'!$$201)</f>
      </c>
      <c r="BM201">
        <f>IF(ISBLANK('Data Entry'!$$201), "", 'Data Entry'!$$201)</f>
      </c>
      <c r="BN201">
        <f>IF(ISBLANK('Data Entry'!$$201), "", 'Data Entry'!$$201)</f>
      </c>
      <c r="BO201">
        <f>IF(ISBLANK('Data Entry'!$$201), "", 'Data Entry'!$$201)</f>
      </c>
      <c r="BP201">
        <f>IF(ISBLANK('Data Entry'!$$201), "", 'Data Entry'!$$201)</f>
      </c>
      <c r="BQ201">
        <f>IF(ISBLANK('Data Entry'!$$201), "", 'Data Entry'!$$201)</f>
      </c>
      <c r="BR201">
        <f>IF(ISBLANK('Data Entry'!$$201), "", 'Data Entry'!$$201)</f>
      </c>
      <c r="BS201">
        <f>IF(ISBLANK('Data Entry'!$$201), "", 'Data Entry'!$$201)</f>
      </c>
      <c r="BT201">
        <f>IF(ISBLANK('Data Entry'!$$201), "", 'Data Entry'!$$201)</f>
      </c>
      <c r="BU201">
        <f>IF(ISBLANK('Data Entry'!$$201), "", 'Data Entry'!$$201)</f>
      </c>
      <c r="BV201">
        <f>IF(ISBLANK('Data Entry'!$$201), "", 'Data Entry'!$$201)</f>
      </c>
      <c r="BW201">
        <f>IF(ISBLANK('Data Entry'!$$201), "", 'Data Entry'!$$201)</f>
      </c>
      <c r="BX201">
        <f>IF(ISBLANK('Data Entry'!$$201), "", 'Data Entry'!$$201)</f>
      </c>
      <c r="BY201">
        <f>IF(ISBLANK('Data Entry'!$$201), "", 'Data Entry'!$$201)</f>
      </c>
      <c r="BZ201">
        <f>IF(ISBLANK('Data Entry'!$$201), "", 'Data Entry'!$$201)</f>
      </c>
      <c r="CA201">
        <f>IF(ISBLANK('Data Entry'!$$201), "", 'Data Entry'!$$201)</f>
      </c>
      <c r="CB201">
        <f>IF(ISBLANK('Data Entry'!$$201), "", 'Data Entry'!$$201)</f>
      </c>
      <c r="CC201">
        <f>IF(ISBLANK('Data Entry'!$$201), "", 'Data Entry'!$$201)</f>
      </c>
      <c r="CD201">
        <f>IF(ISBLANK('Data Entry'!$$201), "", 'Data Entry'!$$201)</f>
      </c>
      <c r="CE201">
        <f>IF(ISBLANK('Data Entry'!$$201), "", 'Data Entry'!$$201)</f>
      </c>
      <c r="CF201">
        <f>IF(ISBLANK('Data Entry'!$$201), "", 'Data Entry'!$$201)</f>
      </c>
      <c r="CG201">
        <f>IF(ISBLANK('Data Entry'!$$201), "", 'Data Entry'!$$201)</f>
      </c>
      <c r="CH201">
        <f>IF(ISBLANK('Data Entry'!$$201), "", 'Data Entry'!$$201)</f>
      </c>
      <c r="CI201">
        <f>IF(ISBLANK('Data Entry'!$$201), "", 'Data Entry'!$$201)</f>
      </c>
      <c r="CJ201">
        <f>IF(ISBLANK('Data Entry'!$$201), "", 'Data Entry'!$$201)</f>
      </c>
      <c r="CK201">
        <f>IF(ISBLANK('Data Entry'!$$201), "", 'Data Entry'!$$201)</f>
      </c>
      <c r="CL201">
        <f>IF(ISBLANK('Data Entry'!$$201), "", 'Data Entry'!$$201)</f>
      </c>
      <c r="CM201">
        <f>IF(ISBLANK('Data Entry'!$$201), "", 'Data Entry'!$$201)</f>
      </c>
      <c r="CN201">
        <f>IF(ISBLANK('Data Entry'!$$201), "", 'Data Entry'!$$201)</f>
      </c>
      <c r="CO201">
        <f>IF(ISBLANK('Data Entry'!$$201), "", 'Data Entry'!$$201)</f>
      </c>
      <c r="CP201">
        <f>IF(ISBLANK('Data Entry'!$$201), "", 'Data Entry'!$$201)</f>
      </c>
      <c r="CQ201">
        <f>IF(ISBLANK('Data Entry'!$$201), "", 'Data Entry'!$$201)</f>
      </c>
      <c r="CR201">
        <f>IF(ISBLANK('Data Entry'!$ $201), "", 'Data Entry'!$ $201)</f>
      </c>
      <c r="CS201">
        <f>IF(ISBLANK('Data Entry'!$¡$201), "", 'Data Entry'!$¡$201)</f>
      </c>
      <c r="CT201">
        <f>IF(ISBLANK('Data Entry'!$¢$201), "", 'Data Entry'!$¢$201)</f>
      </c>
      <c r="CU201">
        <f>IF(ISBLANK('Data Entry'!$£$201), "", 'Data Entry'!$£$201)</f>
      </c>
      <c r="CV201">
        <f>IF(ISBLANK('Data Entry'!$¤$201), "", 'Data Entry'!$¤$201)</f>
      </c>
      <c r="CW201">
        <f>IF(ISBLANK('Data Entry'!$¥$201), "", 'Data Entry'!$¥$201)</f>
      </c>
      <c r="CX201">
        <f>IF(ISBLANK('Data Entry'!$¦$201), "", 'Data Entry'!$¦$201)</f>
      </c>
      <c r="CY201">
        <f>IF(ISBLANK('Data Entry'!$§$201), "", 'Data Entry'!$§$201)</f>
      </c>
      <c r="CZ201">
        <f>IF(ISBLANK('Data Entry'!$¨$201), "", 'Data Entry'!$¨$201)</f>
      </c>
      <c r="DA201">
        <f>IF(ISBLANK('Data Entry'!$©$201), "", 'Data Entry'!$©$201)</f>
      </c>
      <c r="DB201">
        <f>IF(ISBLANK('Data Entry'!$ª$201), "", 'Data Entry'!$ª$201)</f>
      </c>
      <c r="DC201">
        <f>IF(ISBLANK('Data Entry'!$«$201), "", 'Data Entry'!$«$201)</f>
      </c>
      <c r="DD201">
        <f>IF(ISBLANK('Data Entry'!$¬$201), "", 'Data Entry'!$¬$201)</f>
      </c>
      <c r="DE201">
        <f>IF(ISBLANK('Data Entry'!$­$201), "", 'Data Entry'!$­$201)</f>
      </c>
      <c r="DF201">
        <f>IF(ISBLANK('Data Entry'!$®$201), "", 'Data Entry'!$®$201)</f>
      </c>
      <c r="DG201">
        <f>IF(ISBLANK('Data Entry'!$¯$201), "", 'Data Entry'!$¯$201)</f>
      </c>
      <c r="DH201">
        <f>IF(ISBLANK('Data Entry'!$°$201), "", 'Data Entry'!$°$201)</f>
      </c>
      <c r="DI201">
        <f>IF(ISBLANK('Data Entry'!$±$201), "", 'Data Entry'!$±$201)</f>
      </c>
      <c r="DJ201">
        <f>IF(ISBLANK('Data Entry'!$²$201), "", 'Data Entry'!$²$201)</f>
      </c>
      <c r="DK201">
        <f>IF(ISBLANK('Data Entry'!$³$201), "", 'Data Entry'!$³$201)</f>
      </c>
      <c r="DL201">
        <f>IF(ISBLANK('Data Entry'!$´$201), "", 'Data Entry'!$´$201)</f>
      </c>
      <c r="DM201">
        <f>IF(ISBLANK('Data Entry'!$µ$201), "", 'Data Entry'!$µ$201)</f>
      </c>
      <c r="DN201">
        <f>IF(ISBLANK('Data Entry'!$¶$201), "", 'Data Entry'!$¶$201)</f>
      </c>
      <c r="DO201">
        <f>IF(ISBLANK('Data Entry'!$·$201), "", 'Data Entry'!$·$201)</f>
      </c>
      <c r="DP201">
        <f>IF(ISBLANK('Data Entry'!$¸$201), "", 'Data Entry'!$¸$201)</f>
      </c>
      <c r="DQ201">
        <f>IF(ISBLANK('Data Entry'!$¹$201), "", 'Data Entry'!$¹$201)</f>
      </c>
      <c r="DR201">
        <f>IF(ISBLANK('Data Entry'!$º$201), "", 'Data Entry'!$º$201)</f>
      </c>
      <c r="DS201">
        <f>IF(ISBLANK('Data Entry'!$»$201), "", 'Data Entry'!$»$201)</f>
      </c>
      <c r="DT201">
        <f>IF(ISBLANK('Data Entry'!$¼$201), "", 'Data Entry'!$¼$201)</f>
      </c>
      <c r="DU201">
        <f>IF(ISBLANK('Data Entry'!$½$201), "", 'Data Entry'!$½$201)</f>
      </c>
      <c r="DV201">
        <f>IF(ISBLANK('Data Entry'!$¾$201), "", 'Data Entry'!$¾$201)</f>
      </c>
      <c r="DW201">
        <f>IF(ISBLANK('Data Entry'!$¿$201), "", 'Data Entry'!$¿$201)</f>
      </c>
      <c r="DX201">
        <f>IF(ISBLANK('Data Entry'!$À$201), "", 'Data Entry'!$À$201)</f>
      </c>
      <c r="DY201">
        <f>IF(ISBLANK('Data Entry'!$Á$201), "", 'Data Entry'!$Á$201)</f>
      </c>
      <c r="DZ201">
        <f>IF(ISBLANK('Data Entry'!$Â$201), "", 'Data Entry'!$Â$201)</f>
      </c>
      <c r="EA201">
        <f>IF(ISBLANK('Data Entry'!$Ã$201), "", 'Data Entry'!$Ã$201)</f>
      </c>
      <c r="EB201">
        <f>IF(ISBLANK('Data Entry'!$Ä$201), "", 'Data Entry'!$Ä$201)</f>
      </c>
      <c r="EC201">
        <f>IF(ISBLANK('Data Entry'!$Å$201), "", 'Data Entry'!$Å$201)</f>
      </c>
      <c r="ED201">
        <f>IF(ISBLANK('Data Entry'!$Æ$201), "", 'Data Entry'!$Æ$201)</f>
      </c>
      <c r="EE201">
        <f>IF(ISBLANK('Data Entry'!$Ç$201), "", 'Data Entry'!$Ç$201)</f>
      </c>
      <c r="EF201">
        <f>IF(ISBLANK('Data Entry'!$È$201), "", 'Data Entry'!$È$201)</f>
      </c>
      <c r="EG201">
        <f>IF(ISBLANK('Data Entry'!$É$201), "", 'Data Entry'!$É$201)</f>
      </c>
      <c r="EH201">
        <f>IF(ISBLANK('Data Entry'!$Ê$201), "", 'Data Entry'!$Ê$201)</f>
      </c>
      <c r="EI201">
        <f>IF(ISBLANK('Data Entry'!$Ë$201), "", 'Data Entry'!$Ë$201)</f>
      </c>
      <c r="EJ201">
        <f>IF(ISBLANK('Data Entry'!$Ì$201), "", 'Data Entry'!$Ì$201)</f>
      </c>
      <c r="EK201">
        <f>IF(ISBLANK('Data Entry'!$Í$201), "", 'Data Entry'!$Í$201)</f>
      </c>
      <c r="EL201">
        <f>IF(ISBLANK('Data Entry'!$Î$201), "", 'Data Entry'!$Î$201)</f>
      </c>
      <c r="EM201">
        <f>IF(ISBLANK('Data Entry'!$Ï$201), "", 'Data Entry'!$Ï$201)</f>
      </c>
      <c r="EN201">
        <f>IF(ISBLANK('Data Entry'!$Ð$201), "", 'Data Entry'!$Ð$201)</f>
      </c>
      <c r="EO201">
        <f>IF(ISBLANK('Data Entry'!$Ñ$201), "", 'Data Entry'!$Ñ$201)</f>
      </c>
      <c r="EP201">
        <f>IF(ISBLANK('Data Entry'!$Ò$201), "", 'Data Entry'!$Ò$201)</f>
      </c>
      <c r="EQ201">
        <f>IF(ISBLANK('Data Entry'!$Ó$201), "", 'Data Entry'!$Ó$201)</f>
      </c>
      <c r="ER201">
        <f>IF(ISBLANK('Data Entry'!$Ô$201), "", 'Data Entry'!$Ô$201)</f>
      </c>
      <c r="ES201">
        <f>IF(ISBLANK('Data Entry'!$Õ$201), "", 'Data Entry'!$Õ$201)</f>
      </c>
      <c r="ET201">
        <f>IF(ISBLANK('Data Entry'!$Ö$201), "", 'Data Entry'!$Ö$201)</f>
      </c>
      <c r="EU201">
        <f>IF(ISBLANK('Data Entry'!$×$201), "", 'Data Entry'!$×$201)</f>
      </c>
      <c r="EV201">
        <f>IF(ISBLANK('Data Entry'!$Ø$201), "", 'Data Entry'!$Ø$201)</f>
      </c>
      <c r="EW201">
        <f>IF(ISBLANK('Data Entry'!$Ù$201), "", 'Data Entry'!$Ù$201)</f>
      </c>
      <c r="EX201">
        <f>IF(ISBLANK('Data Entry'!$Ú$201), "", 'Data Entry'!$Ú$201)</f>
      </c>
      <c r="EY201">
        <f>IF(ISBLANK('Data Entry'!$Û$201), "", 'Data Entry'!$Û$201)</f>
      </c>
      <c r="EZ201">
        <f>IF(ISBLANK('Data Entry'!$Ü$201), "", 'Data Entry'!$Ü$201)</f>
      </c>
      <c r="FA201">
        <f>IF(ISBLANK('Data Entry'!$Ý$201), "", 'Data Entry'!$Ý$201)</f>
      </c>
      <c r="FB201">
        <f>IF(ISBLANK('Data Entry'!$Þ$201), "", 'Data Entry'!$Þ$201)</f>
      </c>
      <c r="FC201">
        <f>IF(ISBLANK('Data Entry'!$ß$201), "", 'Data Entry'!$ß$201)</f>
      </c>
      <c r="FD201">
        <f>IF(ISBLANK('Data Entry'!$à$201), "", 'Data Entry'!$à$201)</f>
      </c>
      <c r="FE201">
        <f>IF(ISBLANK('Data Entry'!$á$201), "", 'Data Entry'!$á$201)</f>
      </c>
      <c r="FF201">
        <f>IF(ISBLANK('Data Entry'!$â$201), "", 'Data Entry'!$â$201)</f>
      </c>
      <c r="FG201">
        <f>IF(ISBLANK('Data Entry'!$ã$201), "", 'Data Entry'!$ã$201)</f>
      </c>
      <c r="FH201">
        <f>IF(ISBLANK('Data Entry'!$ä$201), "", 'Data Entry'!$ä$201)</f>
      </c>
      <c r="FI201">
        <f>IF(ISBLANK('Data Entry'!$å$201), "", 'Data Entry'!$å$201)</f>
      </c>
      <c r="FJ201">
        <f>IF(ISBLANK('Data Entry'!$æ$201), "", 'Data Entry'!$æ$201)</f>
      </c>
      <c r="FK201">
        <f>IF(ISBLANK('Data Entry'!$ç$201), "", 'Data Entry'!$ç$201)</f>
      </c>
      <c r="FL201">
        <f>IF(ISBLANK('Data Entry'!$è$201), "", 'Data Entry'!$è$201)</f>
      </c>
      <c r="FM201">
        <f>IF(ISBLANK('Data Entry'!$é$201), "", 'Data Entry'!$é$201)</f>
      </c>
      <c r="FN201">
        <f>IF(ISBLANK('Data Entry'!$ê$201), "", 'Data Entry'!$ê$201)</f>
      </c>
      <c r="FO201">
        <f>IF(ISBLANK('Data Entry'!$ë$201), "", 'Data Entry'!$ë$201)</f>
      </c>
      <c r="FP201">
        <f>IF(ISBLANK('Data Entry'!$ì$201), "", 'Data Entry'!$ì$201)</f>
      </c>
      <c r="FQ201">
        <f>IF(ISBLANK('Data Entry'!$í$201), "", 'Data Entry'!$í$201)</f>
      </c>
      <c r="FR201">
        <f>IF(ISBLANK('Data Entry'!$î$201), "", 'Data Entry'!$î$201)</f>
      </c>
      <c r="FS201">
        <f>IF(ISBLANK('Data Entry'!$ï$201), "", 'Data Entry'!$ï$201)</f>
      </c>
      <c r="FT201">
        <f>IF(ISBLANK('Data Entry'!$ð$201), "", 'Data Entry'!$ð$201)</f>
      </c>
      <c r="FU201">
        <f>IF(ISBLANK('Data Entry'!$ñ$201), "", 'Data Entry'!$ñ$201)</f>
      </c>
      <c r="FV201">
        <f>IF(ISBLANK('Data Entry'!$ò$201), "", 'Data Entry'!$ò$201)</f>
      </c>
      <c r="FW201">
        <f>IF(ISBLANK('Data Entry'!$ó$201), "", 'Data Entry'!$ó$201)</f>
      </c>
      <c r="FX201">
        <f>IF(ISBLANK('Data Entry'!$ô$201), "", 'Data Entry'!$ô$201)</f>
      </c>
      <c r="FY201">
        <f>IF(ISBLANK('Data Entry'!$õ$201), "", 'Data Entry'!$õ$201)</f>
      </c>
      <c r="FZ201">
        <f>IF(ISBLANK('Data Entry'!$ö$201), "", 'Data Entry'!$ö$201)</f>
      </c>
      <c r="GA201">
        <f>IF(ISBLANK('Data Entry'!$÷$201), "", 'Data Entry'!$÷$201)</f>
      </c>
      <c r="GB201">
        <f>IF(ISBLANK('Data Entry'!$ø$201), "", 'Data Entry'!$ø$201)</f>
      </c>
      <c r="GC201">
        <f>IF(ISBLANK('Data Entry'!$ù$201), "", 'Data Entry'!$ù$201)</f>
      </c>
      <c r="GD201">
        <f>IF(ISBLANK('Data Entry'!$ú$201), "", 'Data Entry'!$ú$201)</f>
      </c>
      <c r="GE201">
        <f>IF(ISBLANK('Data Entry'!$û$201), "", 'Data Entry'!$û$201)</f>
      </c>
      <c r="GF201">
        <f>IF(ISBLANK('Data Entry'!$ü$201), "", 'Data Entry'!$ü$201)</f>
      </c>
      <c r="GG201">
        <f>IF(ISBLANK('Data Entry'!$ý$201), "", 'Data Entry'!$ý$201)</f>
      </c>
      <c r="GH201">
        <f>IF(ISBLANK('Data Entry'!$þ$201), "", 'Data Entry'!$þ$201)</f>
      </c>
      <c r="GI201">
        <f>IF(ISBLANK('Data Entry'!$ÿ$201), "", 'Data Entry'!$ÿ$201)</f>
      </c>
      <c r="GJ201">
        <f>IF(ISBLANK('Data Entry'!$Ā$201), "", 'Data Entry'!$Ā$201)</f>
      </c>
      <c r="GK201">
        <f>IF(ISBLANK('Data Entry'!$ā$201), "", 'Data Entry'!$ā$201)</f>
      </c>
      <c r="GL201">
        <f>IF(ISBLANK('Data Entry'!$Ă$201), "", 'Data Entry'!$Ă$201)</f>
      </c>
      <c r="GM201">
        <f>IF(ISBLANK('Data Entry'!$ă$201), "", 'Data Entry'!$ă$201)</f>
      </c>
      <c r="GN201">
        <f>IF(ISBLANK('Data Entry'!$Ą$201), "", 'Data Entry'!$Ą$201)</f>
      </c>
      <c r="GO201">
        <f>IF(ISBLANK('Data Entry'!$ą$201), "", 'Data Entry'!$ą$201)</f>
      </c>
      <c r="GP201">
        <f>IF(ISBLANK('Data Entry'!$Ć$201), "", 'Data Entry'!$Ć$201)</f>
      </c>
      <c r="GQ201">
        <f>IF(ISBLANK('Data Entry'!$ć$201), "", 'Data Entry'!$ć$201)</f>
      </c>
      <c r="GR201">
        <f>IF(ISBLANK('Data Entry'!$Ĉ$201), "", 'Data Entry'!$Ĉ$201)</f>
      </c>
      <c r="GS201">
        <f>IF(ISBLANK('Data Entry'!$ĉ$201), "", 'Data Entry'!$ĉ$201)</f>
      </c>
      <c r="GT201">
        <f>IF(ISBLANK('Data Entry'!$Ċ$201), "", 'Data Entry'!$Ċ$201)</f>
      </c>
      <c r="GU201">
        <f>IF(ISBLANK('Data Entry'!$ċ$201), "", 'Data Entry'!$ċ$201)</f>
      </c>
      <c r="GV201">
        <f>IF(ISBLANK('Data Entry'!$Č$201), "", 'Data Entry'!$Č$201)</f>
      </c>
      <c r="GW201">
        <f>IF(ISBLANK('Data Entry'!$č$201), "", 'Data Entry'!$č$201)</f>
      </c>
      <c r="GX201">
        <f>IF(ISBLANK('Data Entry'!$Ď$201), "", 'Data Entry'!$Ď$201)</f>
      </c>
      <c r="GY201">
        <f>IF(ISBLANK('Data Entry'!$ď$201), "", 'Data Entry'!$ď$201)</f>
      </c>
      <c r="GZ201">
        <f>IF(ISBLANK('Data Entry'!$Đ$201), "", 'Data Entry'!$Đ$201)</f>
      </c>
      <c r="HA201">
        <f>IF(ISBLANK('Data Entry'!$đ$201), "", 'Data Entry'!$đ$201)</f>
      </c>
      <c r="HB201">
        <f>IF(ISBLANK('Data Entry'!$Ē$201), "", 'Data Entry'!$Ē$201)</f>
      </c>
      <c r="HC201">
        <f>IF(ISBLANK('Data Entry'!$ē$201), "", 'Data Entry'!$ē$201)</f>
      </c>
      <c r="HD201">
        <f>IF(ISBLANK('Data Entry'!$Ĕ$201), "", 'Data Entry'!$Ĕ$201)</f>
      </c>
      <c r="HE201">
        <f>IF(ISBLANK('Data Entry'!$ĕ$201), "", 'Data Entry'!$ĕ$201)</f>
      </c>
      <c r="HF201">
        <f>IF(ISBLANK('Data Entry'!$Ė$201), "", 'Data Entry'!$Ė$201)</f>
      </c>
      <c r="HG201">
        <f>IF(ISBLANK('Data Entry'!$ė$201), "", 'Data Entry'!$ė$201)</f>
      </c>
      <c r="HH201">
        <f>IF(ISBLANK('Data Entry'!$Ę$201), "", 'Data Entry'!$Ę$201)</f>
      </c>
      <c r="HI201">
        <f>IF(ISBLANK('Data Entry'!$ę$201), "", 'Data Entry'!$ę$201)</f>
      </c>
      <c r="HJ201">
        <f>IF(ISBLANK('Data Entry'!$Ě$201), "", 'Data Entry'!$Ě$201)</f>
      </c>
      <c r="HK201">
        <f>IF(ISBLANK('Data Entry'!$ě$201), "", 'Data Entry'!$ě$201)</f>
      </c>
      <c r="HL201">
        <f>IF(ISBLANK('Data Entry'!$Ĝ$201), "", 'Data Entry'!$Ĝ$201)</f>
      </c>
      <c r="HM201">
        <f>IF(ISBLANK('Data Entry'!$ĝ$201), "", 'Data Entry'!$ĝ$201)</f>
      </c>
      <c r="HN201">
        <f>IF(ISBLANK('Data Entry'!$Ğ$201), "", 'Data Entry'!$Ğ$201)</f>
      </c>
      <c r="HO201">
        <f>IF(ISBLANK('Data Entry'!$ğ$201), "", 'Data Entry'!$ğ$201)</f>
      </c>
      <c r="HP201">
        <f>IF(ISBLANK('Data Entry'!$Ġ$201), "", 'Data Entry'!$Ġ$201)</f>
      </c>
      <c r="HQ201">
        <f>IF(ISBLANK('Data Entry'!$ġ$201), "", 'Data Entry'!$ġ$201)</f>
      </c>
      <c r="HR201">
        <f>IF(ISBLANK('Data Entry'!$Ģ$201), "", 'Data Entry'!$Ģ$201)</f>
      </c>
      <c r="HS201">
        <f>IF(ISBLANK('Data Entry'!$ģ$201), "", 'Data Entry'!$ģ$201)</f>
      </c>
      <c r="HT201">
        <f>IF(ISBLANK('Data Entry'!$Ĥ$201), "", 'Data Entry'!$Ĥ$201)</f>
      </c>
      <c r="HU201">
        <f>IF(ISBLANK('Data Entry'!$ĥ$201), "", 'Data Entry'!$ĥ$201)</f>
      </c>
      <c r="HV201">
        <f>IF(ISBLANK('Data Entry'!$Ħ$201), "", 'Data Entry'!$Ħ$201)</f>
      </c>
      <c r="HW201">
        <f>IF(ISBLANK('Data Entry'!$ħ$201), "", 'Data Entry'!$ħ$201)</f>
      </c>
      <c r="HX201">
        <f>IF(ISBLANK('Data Entry'!$Ĩ$201), "", 'Data Entry'!$Ĩ$201)</f>
      </c>
      <c r="HY201">
        <f>IF(ISBLANK('Data Entry'!$ĩ$201), "", 'Data Entry'!$ĩ$201)</f>
      </c>
      <c r="HZ201">
        <f>IF(ISBLANK('Data Entry'!$Ī$201), "", 'Data Entry'!$Ī$201)</f>
      </c>
      <c r="IA201">
        <f>IF(ISBLANK('Data Entry'!$ī$201), "", 'Data Entry'!$ī$201)</f>
      </c>
      <c r="IB201">
        <f>IF(ISBLANK('Data Entry'!$Ĭ$201), "", 'Data Entry'!$Ĭ$201)</f>
      </c>
      <c r="IC201">
        <f>IF(ISBLANK('Data Entry'!$ĭ$201), "", 'Data Entry'!$ĭ$201)</f>
      </c>
      <c r="ID201">
        <f>IF(ISBLANK('Data Entry'!$Į$201), "", 'Data Entry'!$Į$201)</f>
      </c>
      <c r="IE201">
        <f>IF(ISBLANK('Data Entry'!$į$201), "", 'Data Entry'!$į$201)</f>
      </c>
      <c r="IF201">
        <f>IF(ISBLANK('Data Entry'!$İ$201), "", 'Data Entry'!$İ$201)</f>
      </c>
      <c r="IG201">
        <f>IF(ISBLANK('Data Entry'!$ı$201), "", 'Data Entry'!$ı$201)</f>
      </c>
      <c r="IH201">
        <f>IF(ISBLANK('Data Entry'!$Ĳ$201), "", 'Data Entry'!$Ĳ$201)</f>
      </c>
      <c r="II201">
        <f>IF(ISBLANK('Data Entry'!$ĳ$201), "", 'Data Entry'!$ĳ$201)</f>
      </c>
      <c r="IJ201">
        <f>IF(ISBLANK('Data Entry'!$Ĵ$201), "", 'Data Entry'!$Ĵ$201)</f>
      </c>
      <c r="IK201">
        <f>IF(ISBLANK('Data Entry'!$ĵ$201), "", 'Data Entry'!$ĵ$201)</f>
      </c>
      <c r="IL201">
        <f>IF(ISBLANK('Data Entry'!$Ķ$201), "", 'Data Entry'!$Ķ$201)</f>
      </c>
      <c r="IM201">
        <f>IF(ISBLANK('Data Entry'!$ķ$201), "", 'Data Entry'!$ķ$201)</f>
      </c>
      <c r="IN201">
        <f>IF(ISBLANK('Data Entry'!$ĸ$201), "", 'Data Entry'!$ĸ$201)</f>
      </c>
      <c r="IO201">
        <f>IF(ISBLANK('Data Entry'!$Ĺ$201), "", 'Data Entry'!$Ĺ$201)</f>
      </c>
      <c r="IP201">
        <f>IF(ISBLANK('Data Entry'!$ĺ$201), "", 'Data Entry'!$ĺ$201)</f>
      </c>
      <c r="IQ201">
        <f>IF(ISBLANK('Data Entry'!$Ļ$201), "", 'Data Entry'!$Ļ$201)</f>
      </c>
      <c r="IR201">
        <f>IF(ISBLANK('Data Entry'!$ļ$201), "", 'Data Entry'!$ļ$201)</f>
      </c>
      <c r="IS201">
        <f>IF(ISBLANK('Data Entry'!$Ľ$201), "", 'Data Entry'!$Ľ$201)</f>
      </c>
      <c r="IT201">
        <f>IF(ISBLANK('Data Entry'!$ľ$201), "", 'Data Entry'!$ľ$201)</f>
      </c>
    </row>
    <row r="202" spans="1:254" x14ac:dyDescent="0.25">
      <c r="A202">
        <f>IF(ISBLANK('Data Entry'!$A$202), "", 'Data Entry'!$A$202)</f>
      </c>
      <c r="B202">
        <f>IF(ISBLANK('Data Entry'!$B$202), "", 'Data Entry'!$B$202)</f>
      </c>
      <c r="C202">
        <f>IF(ISBLANK('Data Entry'!$C$202), "", 'Data Entry'!$C$202)</f>
      </c>
      <c r="D202">
        <f>IF(ISBLANK('Data Entry'!$D$202), "", 'Data Entry'!$D$202)</f>
      </c>
      <c r="E202">
        <f>IF(ISBLANK('Data Entry'!$E$202), "", 'Data Entry'!$E$202)</f>
      </c>
      <c r="F202">
        <f>IF(ISBLANK('Data Entry'!$F$202), "", 'Data Entry'!$F$202)</f>
      </c>
      <c r="G202">
        <f>IF(ISBLANK('Data Entry'!$G$202), "", 'Data Entry'!$G$202)</f>
      </c>
      <c r="H202">
        <f>IF(ISBLANK('Data Entry'!$H$202), "", 'Data Entry'!$H$202)</f>
      </c>
      <c r="I202">
        <f>IF(ISBLANK('Data Entry'!$I$202), "", 'Data Entry'!$I$202)</f>
      </c>
      <c r="J202">
        <f>IF(ISBLANK('Data Entry'!$J$202), "", 'Data Entry'!$J$202)</f>
      </c>
      <c r="K202">
        <f>IF(ISBLANK('Data Entry'!$K$202), "", 'Data Entry'!$K$202)</f>
      </c>
      <c r="L202">
        <f>IF(ISBLANK('Data Entry'!$L$202), "", 'Data Entry'!$L$202)</f>
      </c>
      <c r="M202">
        <f>IF(ISBLANK('Data Entry'!$M$202), "", 'Data Entry'!$M$202)</f>
      </c>
      <c r="N202">
        <f>IF(ISBLANK('Data Entry'!$N$202), "", 'Data Entry'!$N$202)</f>
      </c>
      <c r="O202">
        <f>IF(ISBLANK('Data Entry'!$O$202), "", 'Data Entry'!$O$202)</f>
      </c>
      <c r="P202">
        <f>IF(ISBLANK('Data Entry'!$P$202), "", 'Data Entry'!$P$202)</f>
      </c>
      <c r="Q202">
        <f>IF(ISBLANK('Data Entry'!$Q$202), "", 'Data Entry'!$Q$202)</f>
      </c>
      <c r="R202">
        <f>IF(ISBLANK('Data Entry'!$R$202), "", 'Data Entry'!$R$202)</f>
      </c>
      <c r="S202">
        <f>IF(ISBLANK('Data Entry'!$S$202), "", 'Data Entry'!$S$202)</f>
      </c>
      <c r="T202">
        <f>IF(ISBLANK('Data Entry'!$T$202), "", 'Data Entry'!$T$202)</f>
      </c>
      <c r="U202">
        <f>IF(ISBLANK('Data Entry'!$U$202), "", 'Data Entry'!$U$202)</f>
      </c>
      <c r="V202">
        <f>IF(ISBLANK('Data Entry'!$V$202), "", 'Data Entry'!$V$202)</f>
      </c>
      <c r="W202">
        <f>IF(ISBLANK('Data Entry'!$W$202), "", 'Data Entry'!$W$202)</f>
      </c>
      <c r="X202">
        <f>IF(ISBLANK('Data Entry'!$X$202), "", 'Data Entry'!$X$202)</f>
      </c>
      <c r="Y202">
        <f>IF(ISBLANK('Data Entry'!$Y$202), "", 'Data Entry'!$Y$202)</f>
      </c>
      <c r="Z202">
        <f>IF(ISBLANK('Data Entry'!$Z$202), "", 'Data Entry'!$Z$202)</f>
      </c>
      <c r="AA202">
        <f>IF(ISBLANK('Data Entry'!$[$202), "", 'Data Entry'!$[$202)</f>
      </c>
      <c r="AB202">
        <f>IF(ISBLANK('Data Entry'!$\$202), "", 'Data Entry'!$\$202)</f>
      </c>
      <c r="AC202">
        <f>IF(ISBLANK('Data Entry'!$]$202), "", 'Data Entry'!$]$202)</f>
      </c>
      <c r="AD202">
        <f>IF(ISBLANK('Data Entry'!$^$202), "", 'Data Entry'!$^$202)</f>
      </c>
      <c r="AE202">
        <f>IF(ISBLANK('Data Entry'!$_$202), "", 'Data Entry'!$_$202)</f>
      </c>
      <c r="AF202">
        <f>IF(ISBLANK('Data Entry'!$`$202), "", 'Data Entry'!$`$202)</f>
      </c>
      <c r="AG202">
        <f>IF(ISBLANK('Data Entry'!$a$202), "", 'Data Entry'!$a$202)</f>
      </c>
      <c r="AH202">
        <f>IF(ISBLANK('Data Entry'!$b$202), "", 'Data Entry'!$b$202)</f>
      </c>
      <c r="AI202">
        <f>IF(ISBLANK('Data Entry'!$c$202), "", 'Data Entry'!$c$202)</f>
      </c>
      <c r="AJ202">
        <f>IF(ISBLANK('Data Entry'!$d$202), "", 'Data Entry'!$d$202)</f>
      </c>
      <c r="AK202">
        <f>IF(ISBLANK('Data Entry'!$e$202), "", 'Data Entry'!$e$202)</f>
      </c>
      <c r="AL202">
        <f>IF(ISBLANK('Data Entry'!$f$202), "", 'Data Entry'!$f$202)</f>
      </c>
      <c r="AM202">
        <f>IF(ISBLANK('Data Entry'!$g$202), "", 'Data Entry'!$g$202)</f>
      </c>
      <c r="AN202">
        <f>IF(ISBLANK('Data Entry'!$h$202), "", 'Data Entry'!$h$202)</f>
      </c>
      <c r="AO202">
        <f>IF(ISBLANK('Data Entry'!$i$202), "", 'Data Entry'!$i$202)</f>
      </c>
      <c r="AP202">
        <f>IF(ISBLANK('Data Entry'!$j$202), "", 'Data Entry'!$j$202)</f>
      </c>
      <c r="AQ202">
        <f>IF(ISBLANK('Data Entry'!$k$202), "", 'Data Entry'!$k$202)</f>
      </c>
      <c r="AR202">
        <f>IF(ISBLANK('Data Entry'!$l$202), "", 'Data Entry'!$l$202)</f>
      </c>
      <c r="AS202">
        <f>IF(ISBLANK('Data Entry'!$m$202), "", 'Data Entry'!$m$202)</f>
      </c>
      <c r="AT202">
        <f>IF(ISBLANK('Data Entry'!$n$202), "", 'Data Entry'!$n$202)</f>
      </c>
      <c r="AU202">
        <f>IF(ISBLANK('Data Entry'!$o$202), "", 'Data Entry'!$o$202)</f>
      </c>
      <c r="AV202">
        <f>IF(ISBLANK('Data Entry'!$p$202), "", 'Data Entry'!$p$202)</f>
      </c>
      <c r="AW202">
        <f>IF(ISBLANK('Data Entry'!$q$202), "", 'Data Entry'!$q$202)</f>
      </c>
      <c r="AX202">
        <f>IF(ISBLANK('Data Entry'!$r$202), "", 'Data Entry'!$r$202)</f>
      </c>
      <c r="AY202">
        <f>IF(ISBLANK('Data Entry'!$s$202), "", 'Data Entry'!$s$202)</f>
      </c>
      <c r="AZ202">
        <f>IF(ISBLANK('Data Entry'!$t$202), "", 'Data Entry'!$t$202)</f>
      </c>
      <c r="BA202">
        <f>IF(ISBLANK('Data Entry'!$u$202), "", 'Data Entry'!$u$202)</f>
      </c>
      <c r="BB202">
        <f>IF(ISBLANK('Data Entry'!$v$202), "", 'Data Entry'!$v$202)</f>
      </c>
      <c r="BC202">
        <f>IF(ISBLANK('Data Entry'!$w$202), "", 'Data Entry'!$w$202)</f>
      </c>
      <c r="BD202">
        <f>IF(ISBLANK('Data Entry'!$x$202), "", 'Data Entry'!$x$202)</f>
      </c>
      <c r="BE202">
        <f>IF(ISBLANK('Data Entry'!$y$202), "", 'Data Entry'!$y$202)</f>
      </c>
      <c r="BF202">
        <f>IF(ISBLANK('Data Entry'!$z$202), "", 'Data Entry'!$z$202)</f>
      </c>
      <c r="BG202">
        <f>IF(ISBLANK('Data Entry'!${$202), "", 'Data Entry'!${$202)</f>
      </c>
      <c r="BH202">
        <f>IF(ISBLANK('Data Entry'!$|$202), "", 'Data Entry'!$|$202)</f>
      </c>
      <c r="BI202">
        <f>IF(ISBLANK('Data Entry'!$}$202), "", 'Data Entry'!$}$202)</f>
      </c>
      <c r="BJ202">
        <f>IF(ISBLANK('Data Entry'!$~$202), "", 'Data Entry'!$~$202)</f>
      </c>
      <c r="BK202">
        <f>IF(ISBLANK('Data Entry'!$$202), "", 'Data Entry'!$$202)</f>
      </c>
      <c r="BL202">
        <f>IF(ISBLANK('Data Entry'!$$202), "", 'Data Entry'!$$202)</f>
      </c>
      <c r="BM202">
        <f>IF(ISBLANK('Data Entry'!$$202), "", 'Data Entry'!$$202)</f>
      </c>
      <c r="BN202">
        <f>IF(ISBLANK('Data Entry'!$$202), "", 'Data Entry'!$$202)</f>
      </c>
      <c r="BO202">
        <f>IF(ISBLANK('Data Entry'!$$202), "", 'Data Entry'!$$202)</f>
      </c>
      <c r="BP202">
        <f>IF(ISBLANK('Data Entry'!$$202), "", 'Data Entry'!$$202)</f>
      </c>
      <c r="BQ202">
        <f>IF(ISBLANK('Data Entry'!$$202), "", 'Data Entry'!$$202)</f>
      </c>
      <c r="BR202">
        <f>IF(ISBLANK('Data Entry'!$$202), "", 'Data Entry'!$$202)</f>
      </c>
      <c r="BS202">
        <f>IF(ISBLANK('Data Entry'!$$202), "", 'Data Entry'!$$202)</f>
      </c>
      <c r="BT202">
        <f>IF(ISBLANK('Data Entry'!$$202), "", 'Data Entry'!$$202)</f>
      </c>
      <c r="BU202">
        <f>IF(ISBLANK('Data Entry'!$$202), "", 'Data Entry'!$$202)</f>
      </c>
      <c r="BV202">
        <f>IF(ISBLANK('Data Entry'!$$202), "", 'Data Entry'!$$202)</f>
      </c>
      <c r="BW202">
        <f>IF(ISBLANK('Data Entry'!$$202), "", 'Data Entry'!$$202)</f>
      </c>
      <c r="BX202">
        <f>IF(ISBLANK('Data Entry'!$$202), "", 'Data Entry'!$$202)</f>
      </c>
      <c r="BY202">
        <f>IF(ISBLANK('Data Entry'!$$202), "", 'Data Entry'!$$202)</f>
      </c>
      <c r="BZ202">
        <f>IF(ISBLANK('Data Entry'!$$202), "", 'Data Entry'!$$202)</f>
      </c>
      <c r="CA202">
        <f>IF(ISBLANK('Data Entry'!$$202), "", 'Data Entry'!$$202)</f>
      </c>
      <c r="CB202">
        <f>IF(ISBLANK('Data Entry'!$$202), "", 'Data Entry'!$$202)</f>
      </c>
      <c r="CC202">
        <f>IF(ISBLANK('Data Entry'!$$202), "", 'Data Entry'!$$202)</f>
      </c>
      <c r="CD202">
        <f>IF(ISBLANK('Data Entry'!$$202), "", 'Data Entry'!$$202)</f>
      </c>
      <c r="CE202">
        <f>IF(ISBLANK('Data Entry'!$$202), "", 'Data Entry'!$$202)</f>
      </c>
      <c r="CF202">
        <f>IF(ISBLANK('Data Entry'!$$202), "", 'Data Entry'!$$202)</f>
      </c>
      <c r="CG202">
        <f>IF(ISBLANK('Data Entry'!$$202), "", 'Data Entry'!$$202)</f>
      </c>
      <c r="CH202">
        <f>IF(ISBLANK('Data Entry'!$$202), "", 'Data Entry'!$$202)</f>
      </c>
      <c r="CI202">
        <f>IF(ISBLANK('Data Entry'!$$202), "", 'Data Entry'!$$202)</f>
      </c>
      <c r="CJ202">
        <f>IF(ISBLANK('Data Entry'!$$202), "", 'Data Entry'!$$202)</f>
      </c>
      <c r="CK202">
        <f>IF(ISBLANK('Data Entry'!$$202), "", 'Data Entry'!$$202)</f>
      </c>
      <c r="CL202">
        <f>IF(ISBLANK('Data Entry'!$$202), "", 'Data Entry'!$$202)</f>
      </c>
      <c r="CM202">
        <f>IF(ISBLANK('Data Entry'!$$202), "", 'Data Entry'!$$202)</f>
      </c>
      <c r="CN202">
        <f>IF(ISBLANK('Data Entry'!$$202), "", 'Data Entry'!$$202)</f>
      </c>
      <c r="CO202">
        <f>IF(ISBLANK('Data Entry'!$$202), "", 'Data Entry'!$$202)</f>
      </c>
      <c r="CP202">
        <f>IF(ISBLANK('Data Entry'!$$202), "", 'Data Entry'!$$202)</f>
      </c>
      <c r="CQ202">
        <f>IF(ISBLANK('Data Entry'!$$202), "", 'Data Entry'!$$202)</f>
      </c>
      <c r="CR202">
        <f>IF(ISBLANK('Data Entry'!$ $202), "", 'Data Entry'!$ $202)</f>
      </c>
      <c r="CS202">
        <f>IF(ISBLANK('Data Entry'!$¡$202), "", 'Data Entry'!$¡$202)</f>
      </c>
      <c r="CT202">
        <f>IF(ISBLANK('Data Entry'!$¢$202), "", 'Data Entry'!$¢$202)</f>
      </c>
      <c r="CU202">
        <f>IF(ISBLANK('Data Entry'!$£$202), "", 'Data Entry'!$£$202)</f>
      </c>
      <c r="CV202">
        <f>IF(ISBLANK('Data Entry'!$¤$202), "", 'Data Entry'!$¤$202)</f>
      </c>
      <c r="CW202">
        <f>IF(ISBLANK('Data Entry'!$¥$202), "", 'Data Entry'!$¥$202)</f>
      </c>
      <c r="CX202">
        <f>IF(ISBLANK('Data Entry'!$¦$202), "", 'Data Entry'!$¦$202)</f>
      </c>
      <c r="CY202">
        <f>IF(ISBLANK('Data Entry'!$§$202), "", 'Data Entry'!$§$202)</f>
      </c>
      <c r="CZ202">
        <f>IF(ISBLANK('Data Entry'!$¨$202), "", 'Data Entry'!$¨$202)</f>
      </c>
      <c r="DA202">
        <f>IF(ISBLANK('Data Entry'!$©$202), "", 'Data Entry'!$©$202)</f>
      </c>
      <c r="DB202">
        <f>IF(ISBLANK('Data Entry'!$ª$202), "", 'Data Entry'!$ª$202)</f>
      </c>
      <c r="DC202">
        <f>IF(ISBLANK('Data Entry'!$«$202), "", 'Data Entry'!$«$202)</f>
      </c>
      <c r="DD202">
        <f>IF(ISBLANK('Data Entry'!$¬$202), "", 'Data Entry'!$¬$202)</f>
      </c>
      <c r="DE202">
        <f>IF(ISBLANK('Data Entry'!$­$202), "", 'Data Entry'!$­$202)</f>
      </c>
      <c r="DF202">
        <f>IF(ISBLANK('Data Entry'!$®$202), "", 'Data Entry'!$®$202)</f>
      </c>
      <c r="DG202">
        <f>IF(ISBLANK('Data Entry'!$¯$202), "", 'Data Entry'!$¯$202)</f>
      </c>
      <c r="DH202">
        <f>IF(ISBLANK('Data Entry'!$°$202), "", 'Data Entry'!$°$202)</f>
      </c>
      <c r="DI202">
        <f>IF(ISBLANK('Data Entry'!$±$202), "", 'Data Entry'!$±$202)</f>
      </c>
      <c r="DJ202">
        <f>IF(ISBLANK('Data Entry'!$²$202), "", 'Data Entry'!$²$202)</f>
      </c>
      <c r="DK202">
        <f>IF(ISBLANK('Data Entry'!$³$202), "", 'Data Entry'!$³$202)</f>
      </c>
      <c r="DL202">
        <f>IF(ISBLANK('Data Entry'!$´$202), "", 'Data Entry'!$´$202)</f>
      </c>
      <c r="DM202">
        <f>IF(ISBLANK('Data Entry'!$µ$202), "", 'Data Entry'!$µ$202)</f>
      </c>
      <c r="DN202">
        <f>IF(ISBLANK('Data Entry'!$¶$202), "", 'Data Entry'!$¶$202)</f>
      </c>
      <c r="DO202">
        <f>IF(ISBLANK('Data Entry'!$·$202), "", 'Data Entry'!$·$202)</f>
      </c>
      <c r="DP202">
        <f>IF(ISBLANK('Data Entry'!$¸$202), "", 'Data Entry'!$¸$202)</f>
      </c>
      <c r="DQ202">
        <f>IF(ISBLANK('Data Entry'!$¹$202), "", 'Data Entry'!$¹$202)</f>
      </c>
      <c r="DR202">
        <f>IF(ISBLANK('Data Entry'!$º$202), "", 'Data Entry'!$º$202)</f>
      </c>
      <c r="DS202">
        <f>IF(ISBLANK('Data Entry'!$»$202), "", 'Data Entry'!$»$202)</f>
      </c>
      <c r="DT202">
        <f>IF(ISBLANK('Data Entry'!$¼$202), "", 'Data Entry'!$¼$202)</f>
      </c>
      <c r="DU202">
        <f>IF(ISBLANK('Data Entry'!$½$202), "", 'Data Entry'!$½$202)</f>
      </c>
      <c r="DV202">
        <f>IF(ISBLANK('Data Entry'!$¾$202), "", 'Data Entry'!$¾$202)</f>
      </c>
      <c r="DW202">
        <f>IF(ISBLANK('Data Entry'!$¿$202), "", 'Data Entry'!$¿$202)</f>
      </c>
      <c r="DX202">
        <f>IF(ISBLANK('Data Entry'!$À$202), "", 'Data Entry'!$À$202)</f>
      </c>
      <c r="DY202">
        <f>IF(ISBLANK('Data Entry'!$Á$202), "", 'Data Entry'!$Á$202)</f>
      </c>
      <c r="DZ202">
        <f>IF(ISBLANK('Data Entry'!$Â$202), "", 'Data Entry'!$Â$202)</f>
      </c>
      <c r="EA202">
        <f>IF(ISBLANK('Data Entry'!$Ã$202), "", 'Data Entry'!$Ã$202)</f>
      </c>
      <c r="EB202">
        <f>IF(ISBLANK('Data Entry'!$Ä$202), "", 'Data Entry'!$Ä$202)</f>
      </c>
      <c r="EC202">
        <f>IF(ISBLANK('Data Entry'!$Å$202), "", 'Data Entry'!$Å$202)</f>
      </c>
      <c r="ED202">
        <f>IF(ISBLANK('Data Entry'!$Æ$202), "", 'Data Entry'!$Æ$202)</f>
      </c>
      <c r="EE202">
        <f>IF(ISBLANK('Data Entry'!$Ç$202), "", 'Data Entry'!$Ç$202)</f>
      </c>
      <c r="EF202">
        <f>IF(ISBLANK('Data Entry'!$È$202), "", 'Data Entry'!$È$202)</f>
      </c>
      <c r="EG202">
        <f>IF(ISBLANK('Data Entry'!$É$202), "", 'Data Entry'!$É$202)</f>
      </c>
      <c r="EH202">
        <f>IF(ISBLANK('Data Entry'!$Ê$202), "", 'Data Entry'!$Ê$202)</f>
      </c>
      <c r="EI202">
        <f>IF(ISBLANK('Data Entry'!$Ë$202), "", 'Data Entry'!$Ë$202)</f>
      </c>
      <c r="EJ202">
        <f>IF(ISBLANK('Data Entry'!$Ì$202), "", 'Data Entry'!$Ì$202)</f>
      </c>
      <c r="EK202">
        <f>IF(ISBLANK('Data Entry'!$Í$202), "", 'Data Entry'!$Í$202)</f>
      </c>
      <c r="EL202">
        <f>IF(ISBLANK('Data Entry'!$Î$202), "", 'Data Entry'!$Î$202)</f>
      </c>
      <c r="EM202">
        <f>IF(ISBLANK('Data Entry'!$Ï$202), "", 'Data Entry'!$Ï$202)</f>
      </c>
      <c r="EN202">
        <f>IF(ISBLANK('Data Entry'!$Ð$202), "", 'Data Entry'!$Ð$202)</f>
      </c>
      <c r="EO202">
        <f>IF(ISBLANK('Data Entry'!$Ñ$202), "", 'Data Entry'!$Ñ$202)</f>
      </c>
      <c r="EP202">
        <f>IF(ISBLANK('Data Entry'!$Ò$202), "", 'Data Entry'!$Ò$202)</f>
      </c>
      <c r="EQ202">
        <f>IF(ISBLANK('Data Entry'!$Ó$202), "", 'Data Entry'!$Ó$202)</f>
      </c>
      <c r="ER202">
        <f>IF(ISBLANK('Data Entry'!$Ô$202), "", 'Data Entry'!$Ô$202)</f>
      </c>
      <c r="ES202">
        <f>IF(ISBLANK('Data Entry'!$Õ$202), "", 'Data Entry'!$Õ$202)</f>
      </c>
      <c r="ET202">
        <f>IF(ISBLANK('Data Entry'!$Ö$202), "", 'Data Entry'!$Ö$202)</f>
      </c>
      <c r="EU202">
        <f>IF(ISBLANK('Data Entry'!$×$202), "", 'Data Entry'!$×$202)</f>
      </c>
      <c r="EV202">
        <f>IF(ISBLANK('Data Entry'!$Ø$202), "", 'Data Entry'!$Ø$202)</f>
      </c>
      <c r="EW202">
        <f>IF(ISBLANK('Data Entry'!$Ù$202), "", 'Data Entry'!$Ù$202)</f>
      </c>
      <c r="EX202">
        <f>IF(ISBLANK('Data Entry'!$Ú$202), "", 'Data Entry'!$Ú$202)</f>
      </c>
      <c r="EY202">
        <f>IF(ISBLANK('Data Entry'!$Û$202), "", 'Data Entry'!$Û$202)</f>
      </c>
      <c r="EZ202">
        <f>IF(ISBLANK('Data Entry'!$Ü$202), "", 'Data Entry'!$Ü$202)</f>
      </c>
      <c r="FA202">
        <f>IF(ISBLANK('Data Entry'!$Ý$202), "", 'Data Entry'!$Ý$202)</f>
      </c>
      <c r="FB202">
        <f>IF(ISBLANK('Data Entry'!$Þ$202), "", 'Data Entry'!$Þ$202)</f>
      </c>
      <c r="FC202">
        <f>IF(ISBLANK('Data Entry'!$ß$202), "", 'Data Entry'!$ß$202)</f>
      </c>
      <c r="FD202">
        <f>IF(ISBLANK('Data Entry'!$à$202), "", 'Data Entry'!$à$202)</f>
      </c>
      <c r="FE202">
        <f>IF(ISBLANK('Data Entry'!$á$202), "", 'Data Entry'!$á$202)</f>
      </c>
      <c r="FF202">
        <f>IF(ISBLANK('Data Entry'!$â$202), "", 'Data Entry'!$â$202)</f>
      </c>
      <c r="FG202">
        <f>IF(ISBLANK('Data Entry'!$ã$202), "", 'Data Entry'!$ã$202)</f>
      </c>
      <c r="FH202">
        <f>IF(ISBLANK('Data Entry'!$ä$202), "", 'Data Entry'!$ä$202)</f>
      </c>
      <c r="FI202">
        <f>IF(ISBLANK('Data Entry'!$å$202), "", 'Data Entry'!$å$202)</f>
      </c>
      <c r="FJ202">
        <f>IF(ISBLANK('Data Entry'!$æ$202), "", 'Data Entry'!$æ$202)</f>
      </c>
      <c r="FK202">
        <f>IF(ISBLANK('Data Entry'!$ç$202), "", 'Data Entry'!$ç$202)</f>
      </c>
      <c r="FL202">
        <f>IF(ISBLANK('Data Entry'!$è$202), "", 'Data Entry'!$è$202)</f>
      </c>
      <c r="FM202">
        <f>IF(ISBLANK('Data Entry'!$é$202), "", 'Data Entry'!$é$202)</f>
      </c>
      <c r="FN202">
        <f>IF(ISBLANK('Data Entry'!$ê$202), "", 'Data Entry'!$ê$202)</f>
      </c>
      <c r="FO202">
        <f>IF(ISBLANK('Data Entry'!$ë$202), "", 'Data Entry'!$ë$202)</f>
      </c>
      <c r="FP202">
        <f>IF(ISBLANK('Data Entry'!$ì$202), "", 'Data Entry'!$ì$202)</f>
      </c>
      <c r="FQ202">
        <f>IF(ISBLANK('Data Entry'!$í$202), "", 'Data Entry'!$í$202)</f>
      </c>
      <c r="FR202">
        <f>IF(ISBLANK('Data Entry'!$î$202), "", 'Data Entry'!$î$202)</f>
      </c>
      <c r="FS202">
        <f>IF(ISBLANK('Data Entry'!$ï$202), "", 'Data Entry'!$ï$202)</f>
      </c>
      <c r="FT202">
        <f>IF(ISBLANK('Data Entry'!$ð$202), "", 'Data Entry'!$ð$202)</f>
      </c>
      <c r="FU202">
        <f>IF(ISBLANK('Data Entry'!$ñ$202), "", 'Data Entry'!$ñ$202)</f>
      </c>
      <c r="FV202">
        <f>IF(ISBLANK('Data Entry'!$ò$202), "", 'Data Entry'!$ò$202)</f>
      </c>
      <c r="FW202">
        <f>IF(ISBLANK('Data Entry'!$ó$202), "", 'Data Entry'!$ó$202)</f>
      </c>
      <c r="FX202">
        <f>IF(ISBLANK('Data Entry'!$ô$202), "", 'Data Entry'!$ô$202)</f>
      </c>
      <c r="FY202">
        <f>IF(ISBLANK('Data Entry'!$õ$202), "", 'Data Entry'!$õ$202)</f>
      </c>
      <c r="FZ202">
        <f>IF(ISBLANK('Data Entry'!$ö$202), "", 'Data Entry'!$ö$202)</f>
      </c>
      <c r="GA202">
        <f>IF(ISBLANK('Data Entry'!$÷$202), "", 'Data Entry'!$÷$202)</f>
      </c>
      <c r="GB202">
        <f>IF(ISBLANK('Data Entry'!$ø$202), "", 'Data Entry'!$ø$202)</f>
      </c>
      <c r="GC202">
        <f>IF(ISBLANK('Data Entry'!$ù$202), "", 'Data Entry'!$ù$202)</f>
      </c>
      <c r="GD202">
        <f>IF(ISBLANK('Data Entry'!$ú$202), "", 'Data Entry'!$ú$202)</f>
      </c>
      <c r="GE202">
        <f>IF(ISBLANK('Data Entry'!$û$202), "", 'Data Entry'!$û$202)</f>
      </c>
      <c r="GF202">
        <f>IF(ISBLANK('Data Entry'!$ü$202), "", 'Data Entry'!$ü$202)</f>
      </c>
      <c r="GG202">
        <f>IF(ISBLANK('Data Entry'!$ý$202), "", 'Data Entry'!$ý$202)</f>
      </c>
      <c r="GH202">
        <f>IF(ISBLANK('Data Entry'!$þ$202), "", 'Data Entry'!$þ$202)</f>
      </c>
      <c r="GI202">
        <f>IF(ISBLANK('Data Entry'!$ÿ$202), "", 'Data Entry'!$ÿ$202)</f>
      </c>
      <c r="GJ202">
        <f>IF(ISBLANK('Data Entry'!$Ā$202), "", 'Data Entry'!$Ā$202)</f>
      </c>
      <c r="GK202">
        <f>IF(ISBLANK('Data Entry'!$ā$202), "", 'Data Entry'!$ā$202)</f>
      </c>
      <c r="GL202">
        <f>IF(ISBLANK('Data Entry'!$Ă$202), "", 'Data Entry'!$Ă$202)</f>
      </c>
      <c r="GM202">
        <f>IF(ISBLANK('Data Entry'!$ă$202), "", 'Data Entry'!$ă$202)</f>
      </c>
      <c r="GN202">
        <f>IF(ISBLANK('Data Entry'!$Ą$202), "", 'Data Entry'!$Ą$202)</f>
      </c>
      <c r="GO202">
        <f>IF(ISBLANK('Data Entry'!$ą$202), "", 'Data Entry'!$ą$202)</f>
      </c>
      <c r="GP202">
        <f>IF(ISBLANK('Data Entry'!$Ć$202), "", 'Data Entry'!$Ć$202)</f>
      </c>
      <c r="GQ202">
        <f>IF(ISBLANK('Data Entry'!$ć$202), "", 'Data Entry'!$ć$202)</f>
      </c>
      <c r="GR202">
        <f>IF(ISBLANK('Data Entry'!$Ĉ$202), "", 'Data Entry'!$Ĉ$202)</f>
      </c>
      <c r="GS202">
        <f>IF(ISBLANK('Data Entry'!$ĉ$202), "", 'Data Entry'!$ĉ$202)</f>
      </c>
      <c r="GT202">
        <f>IF(ISBLANK('Data Entry'!$Ċ$202), "", 'Data Entry'!$Ċ$202)</f>
      </c>
      <c r="GU202">
        <f>IF(ISBLANK('Data Entry'!$ċ$202), "", 'Data Entry'!$ċ$202)</f>
      </c>
      <c r="GV202">
        <f>IF(ISBLANK('Data Entry'!$Č$202), "", 'Data Entry'!$Č$202)</f>
      </c>
      <c r="GW202">
        <f>IF(ISBLANK('Data Entry'!$č$202), "", 'Data Entry'!$č$202)</f>
      </c>
      <c r="GX202">
        <f>IF(ISBLANK('Data Entry'!$Ď$202), "", 'Data Entry'!$Ď$202)</f>
      </c>
      <c r="GY202">
        <f>IF(ISBLANK('Data Entry'!$ď$202), "", 'Data Entry'!$ď$202)</f>
      </c>
      <c r="GZ202">
        <f>IF(ISBLANK('Data Entry'!$Đ$202), "", 'Data Entry'!$Đ$202)</f>
      </c>
      <c r="HA202">
        <f>IF(ISBLANK('Data Entry'!$đ$202), "", 'Data Entry'!$đ$202)</f>
      </c>
      <c r="HB202">
        <f>IF(ISBLANK('Data Entry'!$Ē$202), "", 'Data Entry'!$Ē$202)</f>
      </c>
      <c r="HC202">
        <f>IF(ISBLANK('Data Entry'!$ē$202), "", 'Data Entry'!$ē$202)</f>
      </c>
      <c r="HD202">
        <f>IF(ISBLANK('Data Entry'!$Ĕ$202), "", 'Data Entry'!$Ĕ$202)</f>
      </c>
      <c r="HE202">
        <f>IF(ISBLANK('Data Entry'!$ĕ$202), "", 'Data Entry'!$ĕ$202)</f>
      </c>
      <c r="HF202">
        <f>IF(ISBLANK('Data Entry'!$Ė$202), "", 'Data Entry'!$Ė$202)</f>
      </c>
      <c r="HG202">
        <f>IF(ISBLANK('Data Entry'!$ė$202), "", 'Data Entry'!$ė$202)</f>
      </c>
      <c r="HH202">
        <f>IF(ISBLANK('Data Entry'!$Ę$202), "", 'Data Entry'!$Ę$202)</f>
      </c>
      <c r="HI202">
        <f>IF(ISBLANK('Data Entry'!$ę$202), "", 'Data Entry'!$ę$202)</f>
      </c>
      <c r="HJ202">
        <f>IF(ISBLANK('Data Entry'!$Ě$202), "", 'Data Entry'!$Ě$202)</f>
      </c>
      <c r="HK202">
        <f>IF(ISBLANK('Data Entry'!$ě$202), "", 'Data Entry'!$ě$202)</f>
      </c>
      <c r="HL202">
        <f>IF(ISBLANK('Data Entry'!$Ĝ$202), "", 'Data Entry'!$Ĝ$202)</f>
      </c>
      <c r="HM202">
        <f>IF(ISBLANK('Data Entry'!$ĝ$202), "", 'Data Entry'!$ĝ$202)</f>
      </c>
      <c r="HN202">
        <f>IF(ISBLANK('Data Entry'!$Ğ$202), "", 'Data Entry'!$Ğ$202)</f>
      </c>
      <c r="HO202">
        <f>IF(ISBLANK('Data Entry'!$ğ$202), "", 'Data Entry'!$ğ$202)</f>
      </c>
      <c r="HP202">
        <f>IF(ISBLANK('Data Entry'!$Ġ$202), "", 'Data Entry'!$Ġ$202)</f>
      </c>
      <c r="HQ202">
        <f>IF(ISBLANK('Data Entry'!$ġ$202), "", 'Data Entry'!$ġ$202)</f>
      </c>
      <c r="HR202">
        <f>IF(ISBLANK('Data Entry'!$Ģ$202), "", 'Data Entry'!$Ģ$202)</f>
      </c>
      <c r="HS202">
        <f>IF(ISBLANK('Data Entry'!$ģ$202), "", 'Data Entry'!$ģ$202)</f>
      </c>
      <c r="HT202">
        <f>IF(ISBLANK('Data Entry'!$Ĥ$202), "", 'Data Entry'!$Ĥ$202)</f>
      </c>
      <c r="HU202">
        <f>IF(ISBLANK('Data Entry'!$ĥ$202), "", 'Data Entry'!$ĥ$202)</f>
      </c>
      <c r="HV202">
        <f>IF(ISBLANK('Data Entry'!$Ħ$202), "", 'Data Entry'!$Ħ$202)</f>
      </c>
      <c r="HW202">
        <f>IF(ISBLANK('Data Entry'!$ħ$202), "", 'Data Entry'!$ħ$202)</f>
      </c>
      <c r="HX202">
        <f>IF(ISBLANK('Data Entry'!$Ĩ$202), "", 'Data Entry'!$Ĩ$202)</f>
      </c>
      <c r="HY202">
        <f>IF(ISBLANK('Data Entry'!$ĩ$202), "", 'Data Entry'!$ĩ$202)</f>
      </c>
      <c r="HZ202">
        <f>IF(ISBLANK('Data Entry'!$Ī$202), "", 'Data Entry'!$Ī$202)</f>
      </c>
      <c r="IA202">
        <f>IF(ISBLANK('Data Entry'!$ī$202), "", 'Data Entry'!$ī$202)</f>
      </c>
      <c r="IB202">
        <f>IF(ISBLANK('Data Entry'!$Ĭ$202), "", 'Data Entry'!$Ĭ$202)</f>
      </c>
      <c r="IC202">
        <f>IF(ISBLANK('Data Entry'!$ĭ$202), "", 'Data Entry'!$ĭ$202)</f>
      </c>
      <c r="ID202">
        <f>IF(ISBLANK('Data Entry'!$Į$202), "", 'Data Entry'!$Į$202)</f>
      </c>
      <c r="IE202">
        <f>IF(ISBLANK('Data Entry'!$į$202), "", 'Data Entry'!$į$202)</f>
      </c>
      <c r="IF202">
        <f>IF(ISBLANK('Data Entry'!$İ$202), "", 'Data Entry'!$İ$202)</f>
      </c>
      <c r="IG202">
        <f>IF(ISBLANK('Data Entry'!$ı$202), "", 'Data Entry'!$ı$202)</f>
      </c>
      <c r="IH202">
        <f>IF(ISBLANK('Data Entry'!$Ĳ$202), "", 'Data Entry'!$Ĳ$202)</f>
      </c>
      <c r="II202">
        <f>IF(ISBLANK('Data Entry'!$ĳ$202), "", 'Data Entry'!$ĳ$202)</f>
      </c>
      <c r="IJ202">
        <f>IF(ISBLANK('Data Entry'!$Ĵ$202), "", 'Data Entry'!$Ĵ$202)</f>
      </c>
      <c r="IK202">
        <f>IF(ISBLANK('Data Entry'!$ĵ$202), "", 'Data Entry'!$ĵ$202)</f>
      </c>
      <c r="IL202">
        <f>IF(ISBLANK('Data Entry'!$Ķ$202), "", 'Data Entry'!$Ķ$202)</f>
      </c>
      <c r="IM202">
        <f>IF(ISBLANK('Data Entry'!$ķ$202), "", 'Data Entry'!$ķ$202)</f>
      </c>
      <c r="IN202">
        <f>IF(ISBLANK('Data Entry'!$ĸ$202), "", 'Data Entry'!$ĸ$202)</f>
      </c>
      <c r="IO202">
        <f>IF(ISBLANK('Data Entry'!$Ĺ$202), "", 'Data Entry'!$Ĺ$202)</f>
      </c>
      <c r="IP202">
        <f>IF(ISBLANK('Data Entry'!$ĺ$202), "", 'Data Entry'!$ĺ$202)</f>
      </c>
      <c r="IQ202">
        <f>IF(ISBLANK('Data Entry'!$Ļ$202), "", 'Data Entry'!$Ļ$202)</f>
      </c>
      <c r="IR202">
        <f>IF(ISBLANK('Data Entry'!$ļ$202), "", 'Data Entry'!$ļ$202)</f>
      </c>
      <c r="IS202">
        <f>IF(ISBLANK('Data Entry'!$Ľ$202), "", 'Data Entry'!$Ľ$202)</f>
      </c>
      <c r="IT202">
        <f>IF(ISBLANK('Data Entry'!$ľ$202), "", 'Data Entry'!$ľ$202)</f>
      </c>
    </row>
    <row r="203" spans="1:254" x14ac:dyDescent="0.25">
      <c r="A203">
        <f>IF(ISBLANK('Data Entry'!$A$203), "", 'Data Entry'!$A$203)</f>
      </c>
      <c r="B203">
        <f>IF(ISBLANK('Data Entry'!$B$203), "", 'Data Entry'!$B$203)</f>
      </c>
      <c r="C203">
        <f>IF(ISBLANK('Data Entry'!$C$203), "", 'Data Entry'!$C$203)</f>
      </c>
      <c r="D203">
        <f>IF(ISBLANK('Data Entry'!$D$203), "", 'Data Entry'!$D$203)</f>
      </c>
      <c r="E203">
        <f>IF(ISBLANK('Data Entry'!$E$203), "", 'Data Entry'!$E$203)</f>
      </c>
      <c r="F203">
        <f>IF(ISBLANK('Data Entry'!$F$203), "", 'Data Entry'!$F$203)</f>
      </c>
      <c r="G203">
        <f>IF(ISBLANK('Data Entry'!$G$203), "", 'Data Entry'!$G$203)</f>
      </c>
      <c r="H203">
        <f>IF(ISBLANK('Data Entry'!$H$203), "", 'Data Entry'!$H$203)</f>
      </c>
      <c r="I203">
        <f>IF(ISBLANK('Data Entry'!$I$203), "", 'Data Entry'!$I$203)</f>
      </c>
      <c r="J203">
        <f>IF(ISBLANK('Data Entry'!$J$203), "", 'Data Entry'!$J$203)</f>
      </c>
      <c r="K203">
        <f>IF(ISBLANK('Data Entry'!$K$203), "", 'Data Entry'!$K$203)</f>
      </c>
      <c r="L203">
        <f>IF(ISBLANK('Data Entry'!$L$203), "", 'Data Entry'!$L$203)</f>
      </c>
      <c r="M203">
        <f>IF(ISBLANK('Data Entry'!$M$203), "", 'Data Entry'!$M$203)</f>
      </c>
      <c r="N203">
        <f>IF(ISBLANK('Data Entry'!$N$203), "", 'Data Entry'!$N$203)</f>
      </c>
      <c r="O203">
        <f>IF(ISBLANK('Data Entry'!$O$203), "", 'Data Entry'!$O$203)</f>
      </c>
      <c r="P203">
        <f>IF(ISBLANK('Data Entry'!$P$203), "", 'Data Entry'!$P$203)</f>
      </c>
      <c r="Q203">
        <f>IF(ISBLANK('Data Entry'!$Q$203), "", 'Data Entry'!$Q$203)</f>
      </c>
      <c r="R203">
        <f>IF(ISBLANK('Data Entry'!$R$203), "", 'Data Entry'!$R$203)</f>
      </c>
      <c r="S203">
        <f>IF(ISBLANK('Data Entry'!$S$203), "", 'Data Entry'!$S$203)</f>
      </c>
      <c r="T203">
        <f>IF(ISBLANK('Data Entry'!$T$203), "", 'Data Entry'!$T$203)</f>
      </c>
      <c r="U203">
        <f>IF(ISBLANK('Data Entry'!$U$203), "", 'Data Entry'!$U$203)</f>
      </c>
      <c r="V203">
        <f>IF(ISBLANK('Data Entry'!$V$203), "", 'Data Entry'!$V$203)</f>
      </c>
      <c r="W203">
        <f>IF(ISBLANK('Data Entry'!$W$203), "", 'Data Entry'!$W$203)</f>
      </c>
      <c r="X203">
        <f>IF(ISBLANK('Data Entry'!$X$203), "", 'Data Entry'!$X$203)</f>
      </c>
      <c r="Y203">
        <f>IF(ISBLANK('Data Entry'!$Y$203), "", 'Data Entry'!$Y$203)</f>
      </c>
      <c r="Z203">
        <f>IF(ISBLANK('Data Entry'!$Z$203), "", 'Data Entry'!$Z$203)</f>
      </c>
      <c r="AA203">
        <f>IF(ISBLANK('Data Entry'!$[$203), "", 'Data Entry'!$[$203)</f>
      </c>
      <c r="AB203">
        <f>IF(ISBLANK('Data Entry'!$\$203), "", 'Data Entry'!$\$203)</f>
      </c>
      <c r="AC203">
        <f>IF(ISBLANK('Data Entry'!$]$203), "", 'Data Entry'!$]$203)</f>
      </c>
      <c r="AD203">
        <f>IF(ISBLANK('Data Entry'!$^$203), "", 'Data Entry'!$^$203)</f>
      </c>
      <c r="AE203">
        <f>IF(ISBLANK('Data Entry'!$_$203), "", 'Data Entry'!$_$203)</f>
      </c>
      <c r="AF203">
        <f>IF(ISBLANK('Data Entry'!$`$203), "", 'Data Entry'!$`$203)</f>
      </c>
      <c r="AG203">
        <f>IF(ISBLANK('Data Entry'!$a$203), "", 'Data Entry'!$a$203)</f>
      </c>
      <c r="AH203">
        <f>IF(ISBLANK('Data Entry'!$b$203), "", 'Data Entry'!$b$203)</f>
      </c>
      <c r="AI203">
        <f>IF(ISBLANK('Data Entry'!$c$203), "", 'Data Entry'!$c$203)</f>
      </c>
      <c r="AJ203">
        <f>IF(ISBLANK('Data Entry'!$d$203), "", 'Data Entry'!$d$203)</f>
      </c>
      <c r="AK203">
        <f>IF(ISBLANK('Data Entry'!$e$203), "", 'Data Entry'!$e$203)</f>
      </c>
      <c r="AL203">
        <f>IF(ISBLANK('Data Entry'!$f$203), "", 'Data Entry'!$f$203)</f>
      </c>
      <c r="AM203">
        <f>IF(ISBLANK('Data Entry'!$g$203), "", 'Data Entry'!$g$203)</f>
      </c>
      <c r="AN203">
        <f>IF(ISBLANK('Data Entry'!$h$203), "", 'Data Entry'!$h$203)</f>
      </c>
      <c r="AO203">
        <f>IF(ISBLANK('Data Entry'!$i$203), "", 'Data Entry'!$i$203)</f>
      </c>
      <c r="AP203">
        <f>IF(ISBLANK('Data Entry'!$j$203), "", 'Data Entry'!$j$203)</f>
      </c>
      <c r="AQ203">
        <f>IF(ISBLANK('Data Entry'!$k$203), "", 'Data Entry'!$k$203)</f>
      </c>
      <c r="AR203">
        <f>IF(ISBLANK('Data Entry'!$l$203), "", 'Data Entry'!$l$203)</f>
      </c>
      <c r="AS203">
        <f>IF(ISBLANK('Data Entry'!$m$203), "", 'Data Entry'!$m$203)</f>
      </c>
      <c r="AT203">
        <f>IF(ISBLANK('Data Entry'!$n$203), "", 'Data Entry'!$n$203)</f>
      </c>
      <c r="AU203">
        <f>IF(ISBLANK('Data Entry'!$o$203), "", 'Data Entry'!$o$203)</f>
      </c>
      <c r="AV203">
        <f>IF(ISBLANK('Data Entry'!$p$203), "", 'Data Entry'!$p$203)</f>
      </c>
      <c r="AW203">
        <f>IF(ISBLANK('Data Entry'!$q$203), "", 'Data Entry'!$q$203)</f>
      </c>
      <c r="AX203">
        <f>IF(ISBLANK('Data Entry'!$r$203), "", 'Data Entry'!$r$203)</f>
      </c>
      <c r="AY203">
        <f>IF(ISBLANK('Data Entry'!$s$203), "", 'Data Entry'!$s$203)</f>
      </c>
      <c r="AZ203">
        <f>IF(ISBLANK('Data Entry'!$t$203), "", 'Data Entry'!$t$203)</f>
      </c>
      <c r="BA203">
        <f>IF(ISBLANK('Data Entry'!$u$203), "", 'Data Entry'!$u$203)</f>
      </c>
      <c r="BB203">
        <f>IF(ISBLANK('Data Entry'!$v$203), "", 'Data Entry'!$v$203)</f>
      </c>
      <c r="BC203">
        <f>IF(ISBLANK('Data Entry'!$w$203), "", 'Data Entry'!$w$203)</f>
      </c>
      <c r="BD203">
        <f>IF(ISBLANK('Data Entry'!$x$203), "", 'Data Entry'!$x$203)</f>
      </c>
      <c r="BE203">
        <f>IF(ISBLANK('Data Entry'!$y$203), "", 'Data Entry'!$y$203)</f>
      </c>
      <c r="BF203">
        <f>IF(ISBLANK('Data Entry'!$z$203), "", 'Data Entry'!$z$203)</f>
      </c>
      <c r="BG203">
        <f>IF(ISBLANK('Data Entry'!${$203), "", 'Data Entry'!${$203)</f>
      </c>
      <c r="BH203">
        <f>IF(ISBLANK('Data Entry'!$|$203), "", 'Data Entry'!$|$203)</f>
      </c>
      <c r="BI203">
        <f>IF(ISBLANK('Data Entry'!$}$203), "", 'Data Entry'!$}$203)</f>
      </c>
      <c r="BJ203">
        <f>IF(ISBLANK('Data Entry'!$~$203), "", 'Data Entry'!$~$203)</f>
      </c>
      <c r="BK203">
        <f>IF(ISBLANK('Data Entry'!$$203), "", 'Data Entry'!$$203)</f>
      </c>
      <c r="BL203">
        <f>IF(ISBLANK('Data Entry'!$$203), "", 'Data Entry'!$$203)</f>
      </c>
      <c r="BM203">
        <f>IF(ISBLANK('Data Entry'!$$203), "", 'Data Entry'!$$203)</f>
      </c>
      <c r="BN203">
        <f>IF(ISBLANK('Data Entry'!$$203), "", 'Data Entry'!$$203)</f>
      </c>
      <c r="BO203">
        <f>IF(ISBLANK('Data Entry'!$$203), "", 'Data Entry'!$$203)</f>
      </c>
      <c r="BP203">
        <f>IF(ISBLANK('Data Entry'!$$203), "", 'Data Entry'!$$203)</f>
      </c>
      <c r="BQ203">
        <f>IF(ISBLANK('Data Entry'!$$203), "", 'Data Entry'!$$203)</f>
      </c>
      <c r="BR203">
        <f>IF(ISBLANK('Data Entry'!$$203), "", 'Data Entry'!$$203)</f>
      </c>
      <c r="BS203">
        <f>IF(ISBLANK('Data Entry'!$$203), "", 'Data Entry'!$$203)</f>
      </c>
      <c r="BT203">
        <f>IF(ISBLANK('Data Entry'!$$203), "", 'Data Entry'!$$203)</f>
      </c>
      <c r="BU203">
        <f>IF(ISBLANK('Data Entry'!$$203), "", 'Data Entry'!$$203)</f>
      </c>
      <c r="BV203">
        <f>IF(ISBLANK('Data Entry'!$$203), "", 'Data Entry'!$$203)</f>
      </c>
      <c r="BW203">
        <f>IF(ISBLANK('Data Entry'!$$203), "", 'Data Entry'!$$203)</f>
      </c>
      <c r="BX203">
        <f>IF(ISBLANK('Data Entry'!$$203), "", 'Data Entry'!$$203)</f>
      </c>
      <c r="BY203">
        <f>IF(ISBLANK('Data Entry'!$$203), "", 'Data Entry'!$$203)</f>
      </c>
      <c r="BZ203">
        <f>IF(ISBLANK('Data Entry'!$$203), "", 'Data Entry'!$$203)</f>
      </c>
      <c r="CA203">
        <f>IF(ISBLANK('Data Entry'!$$203), "", 'Data Entry'!$$203)</f>
      </c>
      <c r="CB203">
        <f>IF(ISBLANK('Data Entry'!$$203), "", 'Data Entry'!$$203)</f>
      </c>
      <c r="CC203">
        <f>IF(ISBLANK('Data Entry'!$$203), "", 'Data Entry'!$$203)</f>
      </c>
      <c r="CD203">
        <f>IF(ISBLANK('Data Entry'!$$203), "", 'Data Entry'!$$203)</f>
      </c>
      <c r="CE203">
        <f>IF(ISBLANK('Data Entry'!$$203), "", 'Data Entry'!$$203)</f>
      </c>
      <c r="CF203">
        <f>IF(ISBLANK('Data Entry'!$$203), "", 'Data Entry'!$$203)</f>
      </c>
      <c r="CG203">
        <f>IF(ISBLANK('Data Entry'!$$203), "", 'Data Entry'!$$203)</f>
      </c>
      <c r="CH203">
        <f>IF(ISBLANK('Data Entry'!$$203), "", 'Data Entry'!$$203)</f>
      </c>
      <c r="CI203">
        <f>IF(ISBLANK('Data Entry'!$$203), "", 'Data Entry'!$$203)</f>
      </c>
      <c r="CJ203">
        <f>IF(ISBLANK('Data Entry'!$$203), "", 'Data Entry'!$$203)</f>
      </c>
      <c r="CK203">
        <f>IF(ISBLANK('Data Entry'!$$203), "", 'Data Entry'!$$203)</f>
      </c>
      <c r="CL203">
        <f>IF(ISBLANK('Data Entry'!$$203), "", 'Data Entry'!$$203)</f>
      </c>
      <c r="CM203">
        <f>IF(ISBLANK('Data Entry'!$$203), "", 'Data Entry'!$$203)</f>
      </c>
      <c r="CN203">
        <f>IF(ISBLANK('Data Entry'!$$203), "", 'Data Entry'!$$203)</f>
      </c>
      <c r="CO203">
        <f>IF(ISBLANK('Data Entry'!$$203), "", 'Data Entry'!$$203)</f>
      </c>
      <c r="CP203">
        <f>IF(ISBLANK('Data Entry'!$$203), "", 'Data Entry'!$$203)</f>
      </c>
      <c r="CQ203">
        <f>IF(ISBLANK('Data Entry'!$$203), "", 'Data Entry'!$$203)</f>
      </c>
      <c r="CR203">
        <f>IF(ISBLANK('Data Entry'!$ $203), "", 'Data Entry'!$ $203)</f>
      </c>
      <c r="CS203">
        <f>IF(ISBLANK('Data Entry'!$¡$203), "", 'Data Entry'!$¡$203)</f>
      </c>
      <c r="CT203">
        <f>IF(ISBLANK('Data Entry'!$¢$203), "", 'Data Entry'!$¢$203)</f>
      </c>
      <c r="CU203">
        <f>IF(ISBLANK('Data Entry'!$£$203), "", 'Data Entry'!$£$203)</f>
      </c>
      <c r="CV203">
        <f>IF(ISBLANK('Data Entry'!$¤$203), "", 'Data Entry'!$¤$203)</f>
      </c>
      <c r="CW203">
        <f>IF(ISBLANK('Data Entry'!$¥$203), "", 'Data Entry'!$¥$203)</f>
      </c>
      <c r="CX203">
        <f>IF(ISBLANK('Data Entry'!$¦$203), "", 'Data Entry'!$¦$203)</f>
      </c>
      <c r="CY203">
        <f>IF(ISBLANK('Data Entry'!$§$203), "", 'Data Entry'!$§$203)</f>
      </c>
      <c r="CZ203">
        <f>IF(ISBLANK('Data Entry'!$¨$203), "", 'Data Entry'!$¨$203)</f>
      </c>
      <c r="DA203">
        <f>IF(ISBLANK('Data Entry'!$©$203), "", 'Data Entry'!$©$203)</f>
      </c>
      <c r="DB203">
        <f>IF(ISBLANK('Data Entry'!$ª$203), "", 'Data Entry'!$ª$203)</f>
      </c>
      <c r="DC203">
        <f>IF(ISBLANK('Data Entry'!$«$203), "", 'Data Entry'!$«$203)</f>
      </c>
      <c r="DD203">
        <f>IF(ISBLANK('Data Entry'!$¬$203), "", 'Data Entry'!$¬$203)</f>
      </c>
      <c r="DE203">
        <f>IF(ISBLANK('Data Entry'!$­$203), "", 'Data Entry'!$­$203)</f>
      </c>
      <c r="DF203">
        <f>IF(ISBLANK('Data Entry'!$®$203), "", 'Data Entry'!$®$203)</f>
      </c>
      <c r="DG203">
        <f>IF(ISBLANK('Data Entry'!$¯$203), "", 'Data Entry'!$¯$203)</f>
      </c>
      <c r="DH203">
        <f>IF(ISBLANK('Data Entry'!$°$203), "", 'Data Entry'!$°$203)</f>
      </c>
      <c r="DI203">
        <f>IF(ISBLANK('Data Entry'!$±$203), "", 'Data Entry'!$±$203)</f>
      </c>
      <c r="DJ203">
        <f>IF(ISBLANK('Data Entry'!$²$203), "", 'Data Entry'!$²$203)</f>
      </c>
      <c r="DK203">
        <f>IF(ISBLANK('Data Entry'!$³$203), "", 'Data Entry'!$³$203)</f>
      </c>
      <c r="DL203">
        <f>IF(ISBLANK('Data Entry'!$´$203), "", 'Data Entry'!$´$203)</f>
      </c>
      <c r="DM203">
        <f>IF(ISBLANK('Data Entry'!$µ$203), "", 'Data Entry'!$µ$203)</f>
      </c>
      <c r="DN203">
        <f>IF(ISBLANK('Data Entry'!$¶$203), "", 'Data Entry'!$¶$203)</f>
      </c>
      <c r="DO203">
        <f>IF(ISBLANK('Data Entry'!$·$203), "", 'Data Entry'!$·$203)</f>
      </c>
      <c r="DP203">
        <f>IF(ISBLANK('Data Entry'!$¸$203), "", 'Data Entry'!$¸$203)</f>
      </c>
      <c r="DQ203">
        <f>IF(ISBLANK('Data Entry'!$¹$203), "", 'Data Entry'!$¹$203)</f>
      </c>
      <c r="DR203">
        <f>IF(ISBLANK('Data Entry'!$º$203), "", 'Data Entry'!$º$203)</f>
      </c>
      <c r="DS203">
        <f>IF(ISBLANK('Data Entry'!$»$203), "", 'Data Entry'!$»$203)</f>
      </c>
      <c r="DT203">
        <f>IF(ISBLANK('Data Entry'!$¼$203), "", 'Data Entry'!$¼$203)</f>
      </c>
      <c r="DU203">
        <f>IF(ISBLANK('Data Entry'!$½$203), "", 'Data Entry'!$½$203)</f>
      </c>
      <c r="DV203">
        <f>IF(ISBLANK('Data Entry'!$¾$203), "", 'Data Entry'!$¾$203)</f>
      </c>
      <c r="DW203">
        <f>IF(ISBLANK('Data Entry'!$¿$203), "", 'Data Entry'!$¿$203)</f>
      </c>
      <c r="DX203">
        <f>IF(ISBLANK('Data Entry'!$À$203), "", 'Data Entry'!$À$203)</f>
      </c>
      <c r="DY203">
        <f>IF(ISBLANK('Data Entry'!$Á$203), "", 'Data Entry'!$Á$203)</f>
      </c>
      <c r="DZ203">
        <f>IF(ISBLANK('Data Entry'!$Â$203), "", 'Data Entry'!$Â$203)</f>
      </c>
      <c r="EA203">
        <f>IF(ISBLANK('Data Entry'!$Ã$203), "", 'Data Entry'!$Ã$203)</f>
      </c>
      <c r="EB203">
        <f>IF(ISBLANK('Data Entry'!$Ä$203), "", 'Data Entry'!$Ä$203)</f>
      </c>
      <c r="EC203">
        <f>IF(ISBLANK('Data Entry'!$Å$203), "", 'Data Entry'!$Å$203)</f>
      </c>
      <c r="ED203">
        <f>IF(ISBLANK('Data Entry'!$Æ$203), "", 'Data Entry'!$Æ$203)</f>
      </c>
      <c r="EE203">
        <f>IF(ISBLANK('Data Entry'!$Ç$203), "", 'Data Entry'!$Ç$203)</f>
      </c>
      <c r="EF203">
        <f>IF(ISBLANK('Data Entry'!$È$203), "", 'Data Entry'!$È$203)</f>
      </c>
      <c r="EG203">
        <f>IF(ISBLANK('Data Entry'!$É$203), "", 'Data Entry'!$É$203)</f>
      </c>
      <c r="EH203">
        <f>IF(ISBLANK('Data Entry'!$Ê$203), "", 'Data Entry'!$Ê$203)</f>
      </c>
      <c r="EI203">
        <f>IF(ISBLANK('Data Entry'!$Ë$203), "", 'Data Entry'!$Ë$203)</f>
      </c>
      <c r="EJ203">
        <f>IF(ISBLANK('Data Entry'!$Ì$203), "", 'Data Entry'!$Ì$203)</f>
      </c>
      <c r="EK203">
        <f>IF(ISBLANK('Data Entry'!$Í$203), "", 'Data Entry'!$Í$203)</f>
      </c>
      <c r="EL203">
        <f>IF(ISBLANK('Data Entry'!$Î$203), "", 'Data Entry'!$Î$203)</f>
      </c>
      <c r="EM203">
        <f>IF(ISBLANK('Data Entry'!$Ï$203), "", 'Data Entry'!$Ï$203)</f>
      </c>
      <c r="EN203">
        <f>IF(ISBLANK('Data Entry'!$Ð$203), "", 'Data Entry'!$Ð$203)</f>
      </c>
      <c r="EO203">
        <f>IF(ISBLANK('Data Entry'!$Ñ$203), "", 'Data Entry'!$Ñ$203)</f>
      </c>
      <c r="EP203">
        <f>IF(ISBLANK('Data Entry'!$Ò$203), "", 'Data Entry'!$Ò$203)</f>
      </c>
      <c r="EQ203">
        <f>IF(ISBLANK('Data Entry'!$Ó$203), "", 'Data Entry'!$Ó$203)</f>
      </c>
      <c r="ER203">
        <f>IF(ISBLANK('Data Entry'!$Ô$203), "", 'Data Entry'!$Ô$203)</f>
      </c>
      <c r="ES203">
        <f>IF(ISBLANK('Data Entry'!$Õ$203), "", 'Data Entry'!$Õ$203)</f>
      </c>
      <c r="ET203">
        <f>IF(ISBLANK('Data Entry'!$Ö$203), "", 'Data Entry'!$Ö$203)</f>
      </c>
      <c r="EU203">
        <f>IF(ISBLANK('Data Entry'!$×$203), "", 'Data Entry'!$×$203)</f>
      </c>
      <c r="EV203">
        <f>IF(ISBLANK('Data Entry'!$Ø$203), "", 'Data Entry'!$Ø$203)</f>
      </c>
      <c r="EW203">
        <f>IF(ISBLANK('Data Entry'!$Ù$203), "", 'Data Entry'!$Ù$203)</f>
      </c>
      <c r="EX203">
        <f>IF(ISBLANK('Data Entry'!$Ú$203), "", 'Data Entry'!$Ú$203)</f>
      </c>
      <c r="EY203">
        <f>IF(ISBLANK('Data Entry'!$Û$203), "", 'Data Entry'!$Û$203)</f>
      </c>
      <c r="EZ203">
        <f>IF(ISBLANK('Data Entry'!$Ü$203), "", 'Data Entry'!$Ü$203)</f>
      </c>
      <c r="FA203">
        <f>IF(ISBLANK('Data Entry'!$Ý$203), "", 'Data Entry'!$Ý$203)</f>
      </c>
      <c r="FB203">
        <f>IF(ISBLANK('Data Entry'!$Þ$203), "", 'Data Entry'!$Þ$203)</f>
      </c>
      <c r="FC203">
        <f>IF(ISBLANK('Data Entry'!$ß$203), "", 'Data Entry'!$ß$203)</f>
      </c>
      <c r="FD203">
        <f>IF(ISBLANK('Data Entry'!$à$203), "", 'Data Entry'!$à$203)</f>
      </c>
      <c r="FE203">
        <f>IF(ISBLANK('Data Entry'!$á$203), "", 'Data Entry'!$á$203)</f>
      </c>
      <c r="FF203">
        <f>IF(ISBLANK('Data Entry'!$â$203), "", 'Data Entry'!$â$203)</f>
      </c>
      <c r="FG203">
        <f>IF(ISBLANK('Data Entry'!$ã$203), "", 'Data Entry'!$ã$203)</f>
      </c>
      <c r="FH203">
        <f>IF(ISBLANK('Data Entry'!$ä$203), "", 'Data Entry'!$ä$203)</f>
      </c>
      <c r="FI203">
        <f>IF(ISBLANK('Data Entry'!$å$203), "", 'Data Entry'!$å$203)</f>
      </c>
      <c r="FJ203">
        <f>IF(ISBLANK('Data Entry'!$æ$203), "", 'Data Entry'!$æ$203)</f>
      </c>
      <c r="FK203">
        <f>IF(ISBLANK('Data Entry'!$ç$203), "", 'Data Entry'!$ç$203)</f>
      </c>
      <c r="FL203">
        <f>IF(ISBLANK('Data Entry'!$è$203), "", 'Data Entry'!$è$203)</f>
      </c>
      <c r="FM203">
        <f>IF(ISBLANK('Data Entry'!$é$203), "", 'Data Entry'!$é$203)</f>
      </c>
      <c r="FN203">
        <f>IF(ISBLANK('Data Entry'!$ê$203), "", 'Data Entry'!$ê$203)</f>
      </c>
      <c r="FO203">
        <f>IF(ISBLANK('Data Entry'!$ë$203), "", 'Data Entry'!$ë$203)</f>
      </c>
      <c r="FP203">
        <f>IF(ISBLANK('Data Entry'!$ì$203), "", 'Data Entry'!$ì$203)</f>
      </c>
      <c r="FQ203">
        <f>IF(ISBLANK('Data Entry'!$í$203), "", 'Data Entry'!$í$203)</f>
      </c>
      <c r="FR203">
        <f>IF(ISBLANK('Data Entry'!$î$203), "", 'Data Entry'!$î$203)</f>
      </c>
      <c r="FS203">
        <f>IF(ISBLANK('Data Entry'!$ï$203), "", 'Data Entry'!$ï$203)</f>
      </c>
      <c r="FT203">
        <f>IF(ISBLANK('Data Entry'!$ð$203), "", 'Data Entry'!$ð$203)</f>
      </c>
      <c r="FU203">
        <f>IF(ISBLANK('Data Entry'!$ñ$203), "", 'Data Entry'!$ñ$203)</f>
      </c>
      <c r="FV203">
        <f>IF(ISBLANK('Data Entry'!$ò$203), "", 'Data Entry'!$ò$203)</f>
      </c>
      <c r="FW203">
        <f>IF(ISBLANK('Data Entry'!$ó$203), "", 'Data Entry'!$ó$203)</f>
      </c>
      <c r="FX203">
        <f>IF(ISBLANK('Data Entry'!$ô$203), "", 'Data Entry'!$ô$203)</f>
      </c>
      <c r="FY203">
        <f>IF(ISBLANK('Data Entry'!$õ$203), "", 'Data Entry'!$õ$203)</f>
      </c>
      <c r="FZ203">
        <f>IF(ISBLANK('Data Entry'!$ö$203), "", 'Data Entry'!$ö$203)</f>
      </c>
      <c r="GA203">
        <f>IF(ISBLANK('Data Entry'!$÷$203), "", 'Data Entry'!$÷$203)</f>
      </c>
      <c r="GB203">
        <f>IF(ISBLANK('Data Entry'!$ø$203), "", 'Data Entry'!$ø$203)</f>
      </c>
      <c r="GC203">
        <f>IF(ISBLANK('Data Entry'!$ù$203), "", 'Data Entry'!$ù$203)</f>
      </c>
      <c r="GD203">
        <f>IF(ISBLANK('Data Entry'!$ú$203), "", 'Data Entry'!$ú$203)</f>
      </c>
      <c r="GE203">
        <f>IF(ISBLANK('Data Entry'!$û$203), "", 'Data Entry'!$û$203)</f>
      </c>
      <c r="GF203">
        <f>IF(ISBLANK('Data Entry'!$ü$203), "", 'Data Entry'!$ü$203)</f>
      </c>
      <c r="GG203">
        <f>IF(ISBLANK('Data Entry'!$ý$203), "", 'Data Entry'!$ý$203)</f>
      </c>
      <c r="GH203">
        <f>IF(ISBLANK('Data Entry'!$þ$203), "", 'Data Entry'!$þ$203)</f>
      </c>
      <c r="GI203">
        <f>IF(ISBLANK('Data Entry'!$ÿ$203), "", 'Data Entry'!$ÿ$203)</f>
      </c>
      <c r="GJ203">
        <f>IF(ISBLANK('Data Entry'!$Ā$203), "", 'Data Entry'!$Ā$203)</f>
      </c>
      <c r="GK203">
        <f>IF(ISBLANK('Data Entry'!$ā$203), "", 'Data Entry'!$ā$203)</f>
      </c>
      <c r="GL203">
        <f>IF(ISBLANK('Data Entry'!$Ă$203), "", 'Data Entry'!$Ă$203)</f>
      </c>
      <c r="GM203">
        <f>IF(ISBLANK('Data Entry'!$ă$203), "", 'Data Entry'!$ă$203)</f>
      </c>
      <c r="GN203">
        <f>IF(ISBLANK('Data Entry'!$Ą$203), "", 'Data Entry'!$Ą$203)</f>
      </c>
      <c r="GO203">
        <f>IF(ISBLANK('Data Entry'!$ą$203), "", 'Data Entry'!$ą$203)</f>
      </c>
      <c r="GP203">
        <f>IF(ISBLANK('Data Entry'!$Ć$203), "", 'Data Entry'!$Ć$203)</f>
      </c>
      <c r="GQ203">
        <f>IF(ISBLANK('Data Entry'!$ć$203), "", 'Data Entry'!$ć$203)</f>
      </c>
      <c r="GR203">
        <f>IF(ISBLANK('Data Entry'!$Ĉ$203), "", 'Data Entry'!$Ĉ$203)</f>
      </c>
      <c r="GS203">
        <f>IF(ISBLANK('Data Entry'!$ĉ$203), "", 'Data Entry'!$ĉ$203)</f>
      </c>
      <c r="GT203">
        <f>IF(ISBLANK('Data Entry'!$Ċ$203), "", 'Data Entry'!$Ċ$203)</f>
      </c>
      <c r="GU203">
        <f>IF(ISBLANK('Data Entry'!$ċ$203), "", 'Data Entry'!$ċ$203)</f>
      </c>
      <c r="GV203">
        <f>IF(ISBLANK('Data Entry'!$Č$203), "", 'Data Entry'!$Č$203)</f>
      </c>
      <c r="GW203">
        <f>IF(ISBLANK('Data Entry'!$č$203), "", 'Data Entry'!$č$203)</f>
      </c>
      <c r="GX203">
        <f>IF(ISBLANK('Data Entry'!$Ď$203), "", 'Data Entry'!$Ď$203)</f>
      </c>
      <c r="GY203">
        <f>IF(ISBLANK('Data Entry'!$ď$203), "", 'Data Entry'!$ď$203)</f>
      </c>
      <c r="GZ203">
        <f>IF(ISBLANK('Data Entry'!$Đ$203), "", 'Data Entry'!$Đ$203)</f>
      </c>
      <c r="HA203">
        <f>IF(ISBLANK('Data Entry'!$đ$203), "", 'Data Entry'!$đ$203)</f>
      </c>
      <c r="HB203">
        <f>IF(ISBLANK('Data Entry'!$Ē$203), "", 'Data Entry'!$Ē$203)</f>
      </c>
      <c r="HC203">
        <f>IF(ISBLANK('Data Entry'!$ē$203), "", 'Data Entry'!$ē$203)</f>
      </c>
      <c r="HD203">
        <f>IF(ISBLANK('Data Entry'!$Ĕ$203), "", 'Data Entry'!$Ĕ$203)</f>
      </c>
      <c r="HE203">
        <f>IF(ISBLANK('Data Entry'!$ĕ$203), "", 'Data Entry'!$ĕ$203)</f>
      </c>
      <c r="HF203">
        <f>IF(ISBLANK('Data Entry'!$Ė$203), "", 'Data Entry'!$Ė$203)</f>
      </c>
      <c r="HG203">
        <f>IF(ISBLANK('Data Entry'!$ė$203), "", 'Data Entry'!$ė$203)</f>
      </c>
      <c r="HH203">
        <f>IF(ISBLANK('Data Entry'!$Ę$203), "", 'Data Entry'!$Ę$203)</f>
      </c>
      <c r="HI203">
        <f>IF(ISBLANK('Data Entry'!$ę$203), "", 'Data Entry'!$ę$203)</f>
      </c>
      <c r="HJ203">
        <f>IF(ISBLANK('Data Entry'!$Ě$203), "", 'Data Entry'!$Ě$203)</f>
      </c>
      <c r="HK203">
        <f>IF(ISBLANK('Data Entry'!$ě$203), "", 'Data Entry'!$ě$203)</f>
      </c>
      <c r="HL203">
        <f>IF(ISBLANK('Data Entry'!$Ĝ$203), "", 'Data Entry'!$Ĝ$203)</f>
      </c>
      <c r="HM203">
        <f>IF(ISBLANK('Data Entry'!$ĝ$203), "", 'Data Entry'!$ĝ$203)</f>
      </c>
      <c r="HN203">
        <f>IF(ISBLANK('Data Entry'!$Ğ$203), "", 'Data Entry'!$Ğ$203)</f>
      </c>
      <c r="HO203">
        <f>IF(ISBLANK('Data Entry'!$ğ$203), "", 'Data Entry'!$ğ$203)</f>
      </c>
      <c r="HP203">
        <f>IF(ISBLANK('Data Entry'!$Ġ$203), "", 'Data Entry'!$Ġ$203)</f>
      </c>
      <c r="HQ203">
        <f>IF(ISBLANK('Data Entry'!$ġ$203), "", 'Data Entry'!$ġ$203)</f>
      </c>
      <c r="HR203">
        <f>IF(ISBLANK('Data Entry'!$Ģ$203), "", 'Data Entry'!$Ģ$203)</f>
      </c>
      <c r="HS203">
        <f>IF(ISBLANK('Data Entry'!$ģ$203), "", 'Data Entry'!$ģ$203)</f>
      </c>
      <c r="HT203">
        <f>IF(ISBLANK('Data Entry'!$Ĥ$203), "", 'Data Entry'!$Ĥ$203)</f>
      </c>
      <c r="HU203">
        <f>IF(ISBLANK('Data Entry'!$ĥ$203), "", 'Data Entry'!$ĥ$203)</f>
      </c>
      <c r="HV203">
        <f>IF(ISBLANK('Data Entry'!$Ħ$203), "", 'Data Entry'!$Ħ$203)</f>
      </c>
      <c r="HW203">
        <f>IF(ISBLANK('Data Entry'!$ħ$203), "", 'Data Entry'!$ħ$203)</f>
      </c>
      <c r="HX203">
        <f>IF(ISBLANK('Data Entry'!$Ĩ$203), "", 'Data Entry'!$Ĩ$203)</f>
      </c>
      <c r="HY203">
        <f>IF(ISBLANK('Data Entry'!$ĩ$203), "", 'Data Entry'!$ĩ$203)</f>
      </c>
      <c r="HZ203">
        <f>IF(ISBLANK('Data Entry'!$Ī$203), "", 'Data Entry'!$Ī$203)</f>
      </c>
      <c r="IA203">
        <f>IF(ISBLANK('Data Entry'!$ī$203), "", 'Data Entry'!$ī$203)</f>
      </c>
      <c r="IB203">
        <f>IF(ISBLANK('Data Entry'!$Ĭ$203), "", 'Data Entry'!$Ĭ$203)</f>
      </c>
      <c r="IC203">
        <f>IF(ISBLANK('Data Entry'!$ĭ$203), "", 'Data Entry'!$ĭ$203)</f>
      </c>
      <c r="ID203">
        <f>IF(ISBLANK('Data Entry'!$Į$203), "", 'Data Entry'!$Į$203)</f>
      </c>
      <c r="IE203">
        <f>IF(ISBLANK('Data Entry'!$į$203), "", 'Data Entry'!$į$203)</f>
      </c>
      <c r="IF203">
        <f>IF(ISBLANK('Data Entry'!$İ$203), "", 'Data Entry'!$İ$203)</f>
      </c>
      <c r="IG203">
        <f>IF(ISBLANK('Data Entry'!$ı$203), "", 'Data Entry'!$ı$203)</f>
      </c>
      <c r="IH203">
        <f>IF(ISBLANK('Data Entry'!$Ĳ$203), "", 'Data Entry'!$Ĳ$203)</f>
      </c>
      <c r="II203">
        <f>IF(ISBLANK('Data Entry'!$ĳ$203), "", 'Data Entry'!$ĳ$203)</f>
      </c>
      <c r="IJ203">
        <f>IF(ISBLANK('Data Entry'!$Ĵ$203), "", 'Data Entry'!$Ĵ$203)</f>
      </c>
      <c r="IK203">
        <f>IF(ISBLANK('Data Entry'!$ĵ$203), "", 'Data Entry'!$ĵ$203)</f>
      </c>
      <c r="IL203">
        <f>IF(ISBLANK('Data Entry'!$Ķ$203), "", 'Data Entry'!$Ķ$203)</f>
      </c>
      <c r="IM203">
        <f>IF(ISBLANK('Data Entry'!$ķ$203), "", 'Data Entry'!$ķ$203)</f>
      </c>
      <c r="IN203">
        <f>IF(ISBLANK('Data Entry'!$ĸ$203), "", 'Data Entry'!$ĸ$203)</f>
      </c>
      <c r="IO203">
        <f>IF(ISBLANK('Data Entry'!$Ĺ$203), "", 'Data Entry'!$Ĺ$203)</f>
      </c>
      <c r="IP203">
        <f>IF(ISBLANK('Data Entry'!$ĺ$203), "", 'Data Entry'!$ĺ$203)</f>
      </c>
      <c r="IQ203">
        <f>IF(ISBLANK('Data Entry'!$Ļ$203), "", 'Data Entry'!$Ļ$203)</f>
      </c>
      <c r="IR203">
        <f>IF(ISBLANK('Data Entry'!$ļ$203), "", 'Data Entry'!$ļ$203)</f>
      </c>
      <c r="IS203">
        <f>IF(ISBLANK('Data Entry'!$Ľ$203), "", 'Data Entry'!$Ľ$203)</f>
      </c>
      <c r="IT203">
        <f>IF(ISBLANK('Data Entry'!$ľ$203), "", 'Data Entry'!$ľ$203)</f>
      </c>
    </row>
    <row r="204" spans="1:254" x14ac:dyDescent="0.25">
      <c r="A204">
        <f>IF(ISBLANK('Data Entry'!$A$204), "", 'Data Entry'!$A$204)</f>
      </c>
      <c r="B204">
        <f>IF(ISBLANK('Data Entry'!$B$204), "", 'Data Entry'!$B$204)</f>
      </c>
      <c r="C204">
        <f>IF(ISBLANK('Data Entry'!$C$204), "", 'Data Entry'!$C$204)</f>
      </c>
      <c r="D204">
        <f>IF(ISBLANK('Data Entry'!$D$204), "", 'Data Entry'!$D$204)</f>
      </c>
      <c r="E204">
        <f>IF(ISBLANK('Data Entry'!$E$204), "", 'Data Entry'!$E$204)</f>
      </c>
      <c r="F204">
        <f>IF(ISBLANK('Data Entry'!$F$204), "", 'Data Entry'!$F$204)</f>
      </c>
      <c r="G204">
        <f>IF(ISBLANK('Data Entry'!$G$204), "", 'Data Entry'!$G$204)</f>
      </c>
      <c r="H204">
        <f>IF(ISBLANK('Data Entry'!$H$204), "", 'Data Entry'!$H$204)</f>
      </c>
      <c r="I204">
        <f>IF(ISBLANK('Data Entry'!$I$204), "", 'Data Entry'!$I$204)</f>
      </c>
      <c r="J204">
        <f>IF(ISBLANK('Data Entry'!$J$204), "", 'Data Entry'!$J$204)</f>
      </c>
      <c r="K204">
        <f>IF(ISBLANK('Data Entry'!$K$204), "", 'Data Entry'!$K$204)</f>
      </c>
      <c r="L204">
        <f>IF(ISBLANK('Data Entry'!$L$204), "", 'Data Entry'!$L$204)</f>
      </c>
      <c r="M204">
        <f>IF(ISBLANK('Data Entry'!$M$204), "", 'Data Entry'!$M$204)</f>
      </c>
      <c r="N204">
        <f>IF(ISBLANK('Data Entry'!$N$204), "", 'Data Entry'!$N$204)</f>
      </c>
      <c r="O204">
        <f>IF(ISBLANK('Data Entry'!$O$204), "", 'Data Entry'!$O$204)</f>
      </c>
      <c r="P204">
        <f>IF(ISBLANK('Data Entry'!$P$204), "", 'Data Entry'!$P$204)</f>
      </c>
      <c r="Q204">
        <f>IF(ISBLANK('Data Entry'!$Q$204), "", 'Data Entry'!$Q$204)</f>
      </c>
      <c r="R204">
        <f>IF(ISBLANK('Data Entry'!$R$204), "", 'Data Entry'!$R$204)</f>
      </c>
      <c r="S204">
        <f>IF(ISBLANK('Data Entry'!$S$204), "", 'Data Entry'!$S$204)</f>
      </c>
      <c r="T204">
        <f>IF(ISBLANK('Data Entry'!$T$204), "", 'Data Entry'!$T$204)</f>
      </c>
      <c r="U204">
        <f>IF(ISBLANK('Data Entry'!$U$204), "", 'Data Entry'!$U$204)</f>
      </c>
      <c r="V204">
        <f>IF(ISBLANK('Data Entry'!$V$204), "", 'Data Entry'!$V$204)</f>
      </c>
      <c r="W204">
        <f>IF(ISBLANK('Data Entry'!$W$204), "", 'Data Entry'!$W$204)</f>
      </c>
      <c r="X204">
        <f>IF(ISBLANK('Data Entry'!$X$204), "", 'Data Entry'!$X$204)</f>
      </c>
      <c r="Y204">
        <f>IF(ISBLANK('Data Entry'!$Y$204), "", 'Data Entry'!$Y$204)</f>
      </c>
      <c r="Z204">
        <f>IF(ISBLANK('Data Entry'!$Z$204), "", 'Data Entry'!$Z$204)</f>
      </c>
      <c r="AA204">
        <f>IF(ISBLANK('Data Entry'!$[$204), "", 'Data Entry'!$[$204)</f>
      </c>
      <c r="AB204">
        <f>IF(ISBLANK('Data Entry'!$\$204), "", 'Data Entry'!$\$204)</f>
      </c>
      <c r="AC204">
        <f>IF(ISBLANK('Data Entry'!$]$204), "", 'Data Entry'!$]$204)</f>
      </c>
      <c r="AD204">
        <f>IF(ISBLANK('Data Entry'!$^$204), "", 'Data Entry'!$^$204)</f>
      </c>
      <c r="AE204">
        <f>IF(ISBLANK('Data Entry'!$_$204), "", 'Data Entry'!$_$204)</f>
      </c>
      <c r="AF204">
        <f>IF(ISBLANK('Data Entry'!$`$204), "", 'Data Entry'!$`$204)</f>
      </c>
      <c r="AG204">
        <f>IF(ISBLANK('Data Entry'!$a$204), "", 'Data Entry'!$a$204)</f>
      </c>
      <c r="AH204">
        <f>IF(ISBLANK('Data Entry'!$b$204), "", 'Data Entry'!$b$204)</f>
      </c>
      <c r="AI204">
        <f>IF(ISBLANK('Data Entry'!$c$204), "", 'Data Entry'!$c$204)</f>
      </c>
      <c r="AJ204">
        <f>IF(ISBLANK('Data Entry'!$d$204), "", 'Data Entry'!$d$204)</f>
      </c>
      <c r="AK204">
        <f>IF(ISBLANK('Data Entry'!$e$204), "", 'Data Entry'!$e$204)</f>
      </c>
      <c r="AL204">
        <f>IF(ISBLANK('Data Entry'!$f$204), "", 'Data Entry'!$f$204)</f>
      </c>
      <c r="AM204">
        <f>IF(ISBLANK('Data Entry'!$g$204), "", 'Data Entry'!$g$204)</f>
      </c>
      <c r="AN204">
        <f>IF(ISBLANK('Data Entry'!$h$204), "", 'Data Entry'!$h$204)</f>
      </c>
      <c r="AO204">
        <f>IF(ISBLANK('Data Entry'!$i$204), "", 'Data Entry'!$i$204)</f>
      </c>
      <c r="AP204">
        <f>IF(ISBLANK('Data Entry'!$j$204), "", 'Data Entry'!$j$204)</f>
      </c>
      <c r="AQ204">
        <f>IF(ISBLANK('Data Entry'!$k$204), "", 'Data Entry'!$k$204)</f>
      </c>
      <c r="AR204">
        <f>IF(ISBLANK('Data Entry'!$l$204), "", 'Data Entry'!$l$204)</f>
      </c>
      <c r="AS204">
        <f>IF(ISBLANK('Data Entry'!$m$204), "", 'Data Entry'!$m$204)</f>
      </c>
      <c r="AT204">
        <f>IF(ISBLANK('Data Entry'!$n$204), "", 'Data Entry'!$n$204)</f>
      </c>
      <c r="AU204">
        <f>IF(ISBLANK('Data Entry'!$o$204), "", 'Data Entry'!$o$204)</f>
      </c>
      <c r="AV204">
        <f>IF(ISBLANK('Data Entry'!$p$204), "", 'Data Entry'!$p$204)</f>
      </c>
      <c r="AW204">
        <f>IF(ISBLANK('Data Entry'!$q$204), "", 'Data Entry'!$q$204)</f>
      </c>
      <c r="AX204">
        <f>IF(ISBLANK('Data Entry'!$r$204), "", 'Data Entry'!$r$204)</f>
      </c>
      <c r="AY204">
        <f>IF(ISBLANK('Data Entry'!$s$204), "", 'Data Entry'!$s$204)</f>
      </c>
      <c r="AZ204">
        <f>IF(ISBLANK('Data Entry'!$t$204), "", 'Data Entry'!$t$204)</f>
      </c>
      <c r="BA204">
        <f>IF(ISBLANK('Data Entry'!$u$204), "", 'Data Entry'!$u$204)</f>
      </c>
      <c r="BB204">
        <f>IF(ISBLANK('Data Entry'!$v$204), "", 'Data Entry'!$v$204)</f>
      </c>
      <c r="BC204">
        <f>IF(ISBLANK('Data Entry'!$w$204), "", 'Data Entry'!$w$204)</f>
      </c>
      <c r="BD204">
        <f>IF(ISBLANK('Data Entry'!$x$204), "", 'Data Entry'!$x$204)</f>
      </c>
      <c r="BE204">
        <f>IF(ISBLANK('Data Entry'!$y$204), "", 'Data Entry'!$y$204)</f>
      </c>
      <c r="BF204">
        <f>IF(ISBLANK('Data Entry'!$z$204), "", 'Data Entry'!$z$204)</f>
      </c>
      <c r="BG204">
        <f>IF(ISBLANK('Data Entry'!${$204), "", 'Data Entry'!${$204)</f>
      </c>
      <c r="BH204">
        <f>IF(ISBLANK('Data Entry'!$|$204), "", 'Data Entry'!$|$204)</f>
      </c>
      <c r="BI204">
        <f>IF(ISBLANK('Data Entry'!$}$204), "", 'Data Entry'!$}$204)</f>
      </c>
      <c r="BJ204">
        <f>IF(ISBLANK('Data Entry'!$~$204), "", 'Data Entry'!$~$204)</f>
      </c>
      <c r="BK204">
        <f>IF(ISBLANK('Data Entry'!$$204), "", 'Data Entry'!$$204)</f>
      </c>
      <c r="BL204">
        <f>IF(ISBLANK('Data Entry'!$$204), "", 'Data Entry'!$$204)</f>
      </c>
      <c r="BM204">
        <f>IF(ISBLANK('Data Entry'!$$204), "", 'Data Entry'!$$204)</f>
      </c>
      <c r="BN204">
        <f>IF(ISBLANK('Data Entry'!$$204), "", 'Data Entry'!$$204)</f>
      </c>
      <c r="BO204">
        <f>IF(ISBLANK('Data Entry'!$$204), "", 'Data Entry'!$$204)</f>
      </c>
      <c r="BP204">
        <f>IF(ISBLANK('Data Entry'!$$204), "", 'Data Entry'!$$204)</f>
      </c>
      <c r="BQ204">
        <f>IF(ISBLANK('Data Entry'!$$204), "", 'Data Entry'!$$204)</f>
      </c>
      <c r="BR204">
        <f>IF(ISBLANK('Data Entry'!$$204), "", 'Data Entry'!$$204)</f>
      </c>
      <c r="BS204">
        <f>IF(ISBLANK('Data Entry'!$$204), "", 'Data Entry'!$$204)</f>
      </c>
      <c r="BT204">
        <f>IF(ISBLANK('Data Entry'!$$204), "", 'Data Entry'!$$204)</f>
      </c>
      <c r="BU204">
        <f>IF(ISBLANK('Data Entry'!$$204), "", 'Data Entry'!$$204)</f>
      </c>
      <c r="BV204">
        <f>IF(ISBLANK('Data Entry'!$$204), "", 'Data Entry'!$$204)</f>
      </c>
      <c r="BW204">
        <f>IF(ISBLANK('Data Entry'!$$204), "", 'Data Entry'!$$204)</f>
      </c>
      <c r="BX204">
        <f>IF(ISBLANK('Data Entry'!$$204), "", 'Data Entry'!$$204)</f>
      </c>
      <c r="BY204">
        <f>IF(ISBLANK('Data Entry'!$$204), "", 'Data Entry'!$$204)</f>
      </c>
      <c r="BZ204">
        <f>IF(ISBLANK('Data Entry'!$$204), "", 'Data Entry'!$$204)</f>
      </c>
      <c r="CA204">
        <f>IF(ISBLANK('Data Entry'!$$204), "", 'Data Entry'!$$204)</f>
      </c>
      <c r="CB204">
        <f>IF(ISBLANK('Data Entry'!$$204), "", 'Data Entry'!$$204)</f>
      </c>
      <c r="CC204">
        <f>IF(ISBLANK('Data Entry'!$$204), "", 'Data Entry'!$$204)</f>
      </c>
      <c r="CD204">
        <f>IF(ISBLANK('Data Entry'!$$204), "", 'Data Entry'!$$204)</f>
      </c>
      <c r="CE204">
        <f>IF(ISBLANK('Data Entry'!$$204), "", 'Data Entry'!$$204)</f>
      </c>
      <c r="CF204">
        <f>IF(ISBLANK('Data Entry'!$$204), "", 'Data Entry'!$$204)</f>
      </c>
      <c r="CG204">
        <f>IF(ISBLANK('Data Entry'!$$204), "", 'Data Entry'!$$204)</f>
      </c>
      <c r="CH204">
        <f>IF(ISBLANK('Data Entry'!$$204), "", 'Data Entry'!$$204)</f>
      </c>
      <c r="CI204">
        <f>IF(ISBLANK('Data Entry'!$$204), "", 'Data Entry'!$$204)</f>
      </c>
      <c r="CJ204">
        <f>IF(ISBLANK('Data Entry'!$$204), "", 'Data Entry'!$$204)</f>
      </c>
      <c r="CK204">
        <f>IF(ISBLANK('Data Entry'!$$204), "", 'Data Entry'!$$204)</f>
      </c>
      <c r="CL204">
        <f>IF(ISBLANK('Data Entry'!$$204), "", 'Data Entry'!$$204)</f>
      </c>
      <c r="CM204">
        <f>IF(ISBLANK('Data Entry'!$$204), "", 'Data Entry'!$$204)</f>
      </c>
      <c r="CN204">
        <f>IF(ISBLANK('Data Entry'!$$204), "", 'Data Entry'!$$204)</f>
      </c>
      <c r="CO204">
        <f>IF(ISBLANK('Data Entry'!$$204), "", 'Data Entry'!$$204)</f>
      </c>
      <c r="CP204">
        <f>IF(ISBLANK('Data Entry'!$$204), "", 'Data Entry'!$$204)</f>
      </c>
      <c r="CQ204">
        <f>IF(ISBLANK('Data Entry'!$$204), "", 'Data Entry'!$$204)</f>
      </c>
      <c r="CR204">
        <f>IF(ISBLANK('Data Entry'!$ $204), "", 'Data Entry'!$ $204)</f>
      </c>
      <c r="CS204">
        <f>IF(ISBLANK('Data Entry'!$¡$204), "", 'Data Entry'!$¡$204)</f>
      </c>
      <c r="CT204">
        <f>IF(ISBLANK('Data Entry'!$¢$204), "", 'Data Entry'!$¢$204)</f>
      </c>
      <c r="CU204">
        <f>IF(ISBLANK('Data Entry'!$£$204), "", 'Data Entry'!$£$204)</f>
      </c>
      <c r="CV204">
        <f>IF(ISBLANK('Data Entry'!$¤$204), "", 'Data Entry'!$¤$204)</f>
      </c>
      <c r="CW204">
        <f>IF(ISBLANK('Data Entry'!$¥$204), "", 'Data Entry'!$¥$204)</f>
      </c>
      <c r="CX204">
        <f>IF(ISBLANK('Data Entry'!$¦$204), "", 'Data Entry'!$¦$204)</f>
      </c>
      <c r="CY204">
        <f>IF(ISBLANK('Data Entry'!$§$204), "", 'Data Entry'!$§$204)</f>
      </c>
      <c r="CZ204">
        <f>IF(ISBLANK('Data Entry'!$¨$204), "", 'Data Entry'!$¨$204)</f>
      </c>
      <c r="DA204">
        <f>IF(ISBLANK('Data Entry'!$©$204), "", 'Data Entry'!$©$204)</f>
      </c>
      <c r="DB204">
        <f>IF(ISBLANK('Data Entry'!$ª$204), "", 'Data Entry'!$ª$204)</f>
      </c>
      <c r="DC204">
        <f>IF(ISBLANK('Data Entry'!$«$204), "", 'Data Entry'!$«$204)</f>
      </c>
      <c r="DD204">
        <f>IF(ISBLANK('Data Entry'!$¬$204), "", 'Data Entry'!$¬$204)</f>
      </c>
      <c r="DE204">
        <f>IF(ISBLANK('Data Entry'!$­$204), "", 'Data Entry'!$­$204)</f>
      </c>
      <c r="DF204">
        <f>IF(ISBLANK('Data Entry'!$®$204), "", 'Data Entry'!$®$204)</f>
      </c>
      <c r="DG204">
        <f>IF(ISBLANK('Data Entry'!$¯$204), "", 'Data Entry'!$¯$204)</f>
      </c>
      <c r="DH204">
        <f>IF(ISBLANK('Data Entry'!$°$204), "", 'Data Entry'!$°$204)</f>
      </c>
      <c r="DI204">
        <f>IF(ISBLANK('Data Entry'!$±$204), "", 'Data Entry'!$±$204)</f>
      </c>
      <c r="DJ204">
        <f>IF(ISBLANK('Data Entry'!$²$204), "", 'Data Entry'!$²$204)</f>
      </c>
      <c r="DK204">
        <f>IF(ISBLANK('Data Entry'!$³$204), "", 'Data Entry'!$³$204)</f>
      </c>
      <c r="DL204">
        <f>IF(ISBLANK('Data Entry'!$´$204), "", 'Data Entry'!$´$204)</f>
      </c>
      <c r="DM204">
        <f>IF(ISBLANK('Data Entry'!$µ$204), "", 'Data Entry'!$µ$204)</f>
      </c>
      <c r="DN204">
        <f>IF(ISBLANK('Data Entry'!$¶$204), "", 'Data Entry'!$¶$204)</f>
      </c>
      <c r="DO204">
        <f>IF(ISBLANK('Data Entry'!$·$204), "", 'Data Entry'!$·$204)</f>
      </c>
      <c r="DP204">
        <f>IF(ISBLANK('Data Entry'!$¸$204), "", 'Data Entry'!$¸$204)</f>
      </c>
      <c r="DQ204">
        <f>IF(ISBLANK('Data Entry'!$¹$204), "", 'Data Entry'!$¹$204)</f>
      </c>
      <c r="DR204">
        <f>IF(ISBLANK('Data Entry'!$º$204), "", 'Data Entry'!$º$204)</f>
      </c>
      <c r="DS204">
        <f>IF(ISBLANK('Data Entry'!$»$204), "", 'Data Entry'!$»$204)</f>
      </c>
      <c r="DT204">
        <f>IF(ISBLANK('Data Entry'!$¼$204), "", 'Data Entry'!$¼$204)</f>
      </c>
      <c r="DU204">
        <f>IF(ISBLANK('Data Entry'!$½$204), "", 'Data Entry'!$½$204)</f>
      </c>
      <c r="DV204">
        <f>IF(ISBLANK('Data Entry'!$¾$204), "", 'Data Entry'!$¾$204)</f>
      </c>
      <c r="DW204">
        <f>IF(ISBLANK('Data Entry'!$¿$204), "", 'Data Entry'!$¿$204)</f>
      </c>
      <c r="DX204">
        <f>IF(ISBLANK('Data Entry'!$À$204), "", 'Data Entry'!$À$204)</f>
      </c>
      <c r="DY204">
        <f>IF(ISBLANK('Data Entry'!$Á$204), "", 'Data Entry'!$Á$204)</f>
      </c>
      <c r="DZ204">
        <f>IF(ISBLANK('Data Entry'!$Â$204), "", 'Data Entry'!$Â$204)</f>
      </c>
      <c r="EA204">
        <f>IF(ISBLANK('Data Entry'!$Ã$204), "", 'Data Entry'!$Ã$204)</f>
      </c>
      <c r="EB204">
        <f>IF(ISBLANK('Data Entry'!$Ä$204), "", 'Data Entry'!$Ä$204)</f>
      </c>
      <c r="EC204">
        <f>IF(ISBLANK('Data Entry'!$Å$204), "", 'Data Entry'!$Å$204)</f>
      </c>
      <c r="ED204">
        <f>IF(ISBLANK('Data Entry'!$Æ$204), "", 'Data Entry'!$Æ$204)</f>
      </c>
      <c r="EE204">
        <f>IF(ISBLANK('Data Entry'!$Ç$204), "", 'Data Entry'!$Ç$204)</f>
      </c>
      <c r="EF204">
        <f>IF(ISBLANK('Data Entry'!$È$204), "", 'Data Entry'!$È$204)</f>
      </c>
      <c r="EG204">
        <f>IF(ISBLANK('Data Entry'!$É$204), "", 'Data Entry'!$É$204)</f>
      </c>
      <c r="EH204">
        <f>IF(ISBLANK('Data Entry'!$Ê$204), "", 'Data Entry'!$Ê$204)</f>
      </c>
      <c r="EI204">
        <f>IF(ISBLANK('Data Entry'!$Ë$204), "", 'Data Entry'!$Ë$204)</f>
      </c>
      <c r="EJ204">
        <f>IF(ISBLANK('Data Entry'!$Ì$204), "", 'Data Entry'!$Ì$204)</f>
      </c>
      <c r="EK204">
        <f>IF(ISBLANK('Data Entry'!$Í$204), "", 'Data Entry'!$Í$204)</f>
      </c>
      <c r="EL204">
        <f>IF(ISBLANK('Data Entry'!$Î$204), "", 'Data Entry'!$Î$204)</f>
      </c>
      <c r="EM204">
        <f>IF(ISBLANK('Data Entry'!$Ï$204), "", 'Data Entry'!$Ï$204)</f>
      </c>
      <c r="EN204">
        <f>IF(ISBLANK('Data Entry'!$Ð$204), "", 'Data Entry'!$Ð$204)</f>
      </c>
      <c r="EO204">
        <f>IF(ISBLANK('Data Entry'!$Ñ$204), "", 'Data Entry'!$Ñ$204)</f>
      </c>
      <c r="EP204">
        <f>IF(ISBLANK('Data Entry'!$Ò$204), "", 'Data Entry'!$Ò$204)</f>
      </c>
      <c r="EQ204">
        <f>IF(ISBLANK('Data Entry'!$Ó$204), "", 'Data Entry'!$Ó$204)</f>
      </c>
      <c r="ER204">
        <f>IF(ISBLANK('Data Entry'!$Ô$204), "", 'Data Entry'!$Ô$204)</f>
      </c>
      <c r="ES204">
        <f>IF(ISBLANK('Data Entry'!$Õ$204), "", 'Data Entry'!$Õ$204)</f>
      </c>
      <c r="ET204">
        <f>IF(ISBLANK('Data Entry'!$Ö$204), "", 'Data Entry'!$Ö$204)</f>
      </c>
      <c r="EU204">
        <f>IF(ISBLANK('Data Entry'!$×$204), "", 'Data Entry'!$×$204)</f>
      </c>
      <c r="EV204">
        <f>IF(ISBLANK('Data Entry'!$Ø$204), "", 'Data Entry'!$Ø$204)</f>
      </c>
      <c r="EW204">
        <f>IF(ISBLANK('Data Entry'!$Ù$204), "", 'Data Entry'!$Ù$204)</f>
      </c>
      <c r="EX204">
        <f>IF(ISBLANK('Data Entry'!$Ú$204), "", 'Data Entry'!$Ú$204)</f>
      </c>
      <c r="EY204">
        <f>IF(ISBLANK('Data Entry'!$Û$204), "", 'Data Entry'!$Û$204)</f>
      </c>
      <c r="EZ204">
        <f>IF(ISBLANK('Data Entry'!$Ü$204), "", 'Data Entry'!$Ü$204)</f>
      </c>
      <c r="FA204">
        <f>IF(ISBLANK('Data Entry'!$Ý$204), "", 'Data Entry'!$Ý$204)</f>
      </c>
      <c r="FB204">
        <f>IF(ISBLANK('Data Entry'!$Þ$204), "", 'Data Entry'!$Þ$204)</f>
      </c>
      <c r="FC204">
        <f>IF(ISBLANK('Data Entry'!$ß$204), "", 'Data Entry'!$ß$204)</f>
      </c>
      <c r="FD204">
        <f>IF(ISBLANK('Data Entry'!$à$204), "", 'Data Entry'!$à$204)</f>
      </c>
      <c r="FE204">
        <f>IF(ISBLANK('Data Entry'!$á$204), "", 'Data Entry'!$á$204)</f>
      </c>
      <c r="FF204">
        <f>IF(ISBLANK('Data Entry'!$â$204), "", 'Data Entry'!$â$204)</f>
      </c>
      <c r="FG204">
        <f>IF(ISBLANK('Data Entry'!$ã$204), "", 'Data Entry'!$ã$204)</f>
      </c>
      <c r="FH204">
        <f>IF(ISBLANK('Data Entry'!$ä$204), "", 'Data Entry'!$ä$204)</f>
      </c>
      <c r="FI204">
        <f>IF(ISBLANK('Data Entry'!$å$204), "", 'Data Entry'!$å$204)</f>
      </c>
      <c r="FJ204">
        <f>IF(ISBLANK('Data Entry'!$æ$204), "", 'Data Entry'!$æ$204)</f>
      </c>
      <c r="FK204">
        <f>IF(ISBLANK('Data Entry'!$ç$204), "", 'Data Entry'!$ç$204)</f>
      </c>
      <c r="FL204">
        <f>IF(ISBLANK('Data Entry'!$è$204), "", 'Data Entry'!$è$204)</f>
      </c>
      <c r="FM204">
        <f>IF(ISBLANK('Data Entry'!$é$204), "", 'Data Entry'!$é$204)</f>
      </c>
      <c r="FN204">
        <f>IF(ISBLANK('Data Entry'!$ê$204), "", 'Data Entry'!$ê$204)</f>
      </c>
      <c r="FO204">
        <f>IF(ISBLANK('Data Entry'!$ë$204), "", 'Data Entry'!$ë$204)</f>
      </c>
      <c r="FP204">
        <f>IF(ISBLANK('Data Entry'!$ì$204), "", 'Data Entry'!$ì$204)</f>
      </c>
      <c r="FQ204">
        <f>IF(ISBLANK('Data Entry'!$í$204), "", 'Data Entry'!$í$204)</f>
      </c>
      <c r="FR204">
        <f>IF(ISBLANK('Data Entry'!$î$204), "", 'Data Entry'!$î$204)</f>
      </c>
      <c r="FS204">
        <f>IF(ISBLANK('Data Entry'!$ï$204), "", 'Data Entry'!$ï$204)</f>
      </c>
      <c r="FT204">
        <f>IF(ISBLANK('Data Entry'!$ð$204), "", 'Data Entry'!$ð$204)</f>
      </c>
      <c r="FU204">
        <f>IF(ISBLANK('Data Entry'!$ñ$204), "", 'Data Entry'!$ñ$204)</f>
      </c>
      <c r="FV204">
        <f>IF(ISBLANK('Data Entry'!$ò$204), "", 'Data Entry'!$ò$204)</f>
      </c>
      <c r="FW204">
        <f>IF(ISBLANK('Data Entry'!$ó$204), "", 'Data Entry'!$ó$204)</f>
      </c>
      <c r="FX204">
        <f>IF(ISBLANK('Data Entry'!$ô$204), "", 'Data Entry'!$ô$204)</f>
      </c>
      <c r="FY204">
        <f>IF(ISBLANK('Data Entry'!$õ$204), "", 'Data Entry'!$õ$204)</f>
      </c>
      <c r="FZ204">
        <f>IF(ISBLANK('Data Entry'!$ö$204), "", 'Data Entry'!$ö$204)</f>
      </c>
      <c r="GA204">
        <f>IF(ISBLANK('Data Entry'!$÷$204), "", 'Data Entry'!$÷$204)</f>
      </c>
      <c r="GB204">
        <f>IF(ISBLANK('Data Entry'!$ø$204), "", 'Data Entry'!$ø$204)</f>
      </c>
      <c r="GC204">
        <f>IF(ISBLANK('Data Entry'!$ù$204), "", 'Data Entry'!$ù$204)</f>
      </c>
      <c r="GD204">
        <f>IF(ISBLANK('Data Entry'!$ú$204), "", 'Data Entry'!$ú$204)</f>
      </c>
      <c r="GE204">
        <f>IF(ISBLANK('Data Entry'!$û$204), "", 'Data Entry'!$û$204)</f>
      </c>
      <c r="GF204">
        <f>IF(ISBLANK('Data Entry'!$ü$204), "", 'Data Entry'!$ü$204)</f>
      </c>
      <c r="GG204">
        <f>IF(ISBLANK('Data Entry'!$ý$204), "", 'Data Entry'!$ý$204)</f>
      </c>
      <c r="GH204">
        <f>IF(ISBLANK('Data Entry'!$þ$204), "", 'Data Entry'!$þ$204)</f>
      </c>
      <c r="GI204">
        <f>IF(ISBLANK('Data Entry'!$ÿ$204), "", 'Data Entry'!$ÿ$204)</f>
      </c>
      <c r="GJ204">
        <f>IF(ISBLANK('Data Entry'!$Ā$204), "", 'Data Entry'!$Ā$204)</f>
      </c>
      <c r="GK204">
        <f>IF(ISBLANK('Data Entry'!$ā$204), "", 'Data Entry'!$ā$204)</f>
      </c>
      <c r="GL204">
        <f>IF(ISBLANK('Data Entry'!$Ă$204), "", 'Data Entry'!$Ă$204)</f>
      </c>
      <c r="GM204">
        <f>IF(ISBLANK('Data Entry'!$ă$204), "", 'Data Entry'!$ă$204)</f>
      </c>
      <c r="GN204">
        <f>IF(ISBLANK('Data Entry'!$Ą$204), "", 'Data Entry'!$Ą$204)</f>
      </c>
      <c r="GO204">
        <f>IF(ISBLANK('Data Entry'!$ą$204), "", 'Data Entry'!$ą$204)</f>
      </c>
      <c r="GP204">
        <f>IF(ISBLANK('Data Entry'!$Ć$204), "", 'Data Entry'!$Ć$204)</f>
      </c>
      <c r="GQ204">
        <f>IF(ISBLANK('Data Entry'!$ć$204), "", 'Data Entry'!$ć$204)</f>
      </c>
      <c r="GR204">
        <f>IF(ISBLANK('Data Entry'!$Ĉ$204), "", 'Data Entry'!$Ĉ$204)</f>
      </c>
      <c r="GS204">
        <f>IF(ISBLANK('Data Entry'!$ĉ$204), "", 'Data Entry'!$ĉ$204)</f>
      </c>
      <c r="GT204">
        <f>IF(ISBLANK('Data Entry'!$Ċ$204), "", 'Data Entry'!$Ċ$204)</f>
      </c>
      <c r="GU204">
        <f>IF(ISBLANK('Data Entry'!$ċ$204), "", 'Data Entry'!$ċ$204)</f>
      </c>
      <c r="GV204">
        <f>IF(ISBLANK('Data Entry'!$Č$204), "", 'Data Entry'!$Č$204)</f>
      </c>
      <c r="GW204">
        <f>IF(ISBLANK('Data Entry'!$č$204), "", 'Data Entry'!$č$204)</f>
      </c>
      <c r="GX204">
        <f>IF(ISBLANK('Data Entry'!$Ď$204), "", 'Data Entry'!$Ď$204)</f>
      </c>
      <c r="GY204">
        <f>IF(ISBLANK('Data Entry'!$ď$204), "", 'Data Entry'!$ď$204)</f>
      </c>
      <c r="GZ204">
        <f>IF(ISBLANK('Data Entry'!$Đ$204), "", 'Data Entry'!$Đ$204)</f>
      </c>
      <c r="HA204">
        <f>IF(ISBLANK('Data Entry'!$đ$204), "", 'Data Entry'!$đ$204)</f>
      </c>
      <c r="HB204">
        <f>IF(ISBLANK('Data Entry'!$Ē$204), "", 'Data Entry'!$Ē$204)</f>
      </c>
      <c r="HC204">
        <f>IF(ISBLANK('Data Entry'!$ē$204), "", 'Data Entry'!$ē$204)</f>
      </c>
      <c r="HD204">
        <f>IF(ISBLANK('Data Entry'!$Ĕ$204), "", 'Data Entry'!$Ĕ$204)</f>
      </c>
      <c r="HE204">
        <f>IF(ISBLANK('Data Entry'!$ĕ$204), "", 'Data Entry'!$ĕ$204)</f>
      </c>
      <c r="HF204">
        <f>IF(ISBLANK('Data Entry'!$Ė$204), "", 'Data Entry'!$Ė$204)</f>
      </c>
      <c r="HG204">
        <f>IF(ISBLANK('Data Entry'!$ė$204), "", 'Data Entry'!$ė$204)</f>
      </c>
      <c r="HH204">
        <f>IF(ISBLANK('Data Entry'!$Ę$204), "", 'Data Entry'!$Ę$204)</f>
      </c>
      <c r="HI204">
        <f>IF(ISBLANK('Data Entry'!$ę$204), "", 'Data Entry'!$ę$204)</f>
      </c>
      <c r="HJ204">
        <f>IF(ISBLANK('Data Entry'!$Ě$204), "", 'Data Entry'!$Ě$204)</f>
      </c>
      <c r="HK204">
        <f>IF(ISBLANK('Data Entry'!$ě$204), "", 'Data Entry'!$ě$204)</f>
      </c>
      <c r="HL204">
        <f>IF(ISBLANK('Data Entry'!$Ĝ$204), "", 'Data Entry'!$Ĝ$204)</f>
      </c>
      <c r="HM204">
        <f>IF(ISBLANK('Data Entry'!$ĝ$204), "", 'Data Entry'!$ĝ$204)</f>
      </c>
      <c r="HN204">
        <f>IF(ISBLANK('Data Entry'!$Ğ$204), "", 'Data Entry'!$Ğ$204)</f>
      </c>
      <c r="HO204">
        <f>IF(ISBLANK('Data Entry'!$ğ$204), "", 'Data Entry'!$ğ$204)</f>
      </c>
      <c r="HP204">
        <f>IF(ISBLANK('Data Entry'!$Ġ$204), "", 'Data Entry'!$Ġ$204)</f>
      </c>
      <c r="HQ204">
        <f>IF(ISBLANK('Data Entry'!$ġ$204), "", 'Data Entry'!$ġ$204)</f>
      </c>
      <c r="HR204">
        <f>IF(ISBLANK('Data Entry'!$Ģ$204), "", 'Data Entry'!$Ģ$204)</f>
      </c>
      <c r="HS204">
        <f>IF(ISBLANK('Data Entry'!$ģ$204), "", 'Data Entry'!$ģ$204)</f>
      </c>
      <c r="HT204">
        <f>IF(ISBLANK('Data Entry'!$Ĥ$204), "", 'Data Entry'!$Ĥ$204)</f>
      </c>
      <c r="HU204">
        <f>IF(ISBLANK('Data Entry'!$ĥ$204), "", 'Data Entry'!$ĥ$204)</f>
      </c>
      <c r="HV204">
        <f>IF(ISBLANK('Data Entry'!$Ħ$204), "", 'Data Entry'!$Ħ$204)</f>
      </c>
      <c r="HW204">
        <f>IF(ISBLANK('Data Entry'!$ħ$204), "", 'Data Entry'!$ħ$204)</f>
      </c>
      <c r="HX204">
        <f>IF(ISBLANK('Data Entry'!$Ĩ$204), "", 'Data Entry'!$Ĩ$204)</f>
      </c>
      <c r="HY204">
        <f>IF(ISBLANK('Data Entry'!$ĩ$204), "", 'Data Entry'!$ĩ$204)</f>
      </c>
      <c r="HZ204">
        <f>IF(ISBLANK('Data Entry'!$Ī$204), "", 'Data Entry'!$Ī$204)</f>
      </c>
      <c r="IA204">
        <f>IF(ISBLANK('Data Entry'!$ī$204), "", 'Data Entry'!$ī$204)</f>
      </c>
      <c r="IB204">
        <f>IF(ISBLANK('Data Entry'!$Ĭ$204), "", 'Data Entry'!$Ĭ$204)</f>
      </c>
      <c r="IC204">
        <f>IF(ISBLANK('Data Entry'!$ĭ$204), "", 'Data Entry'!$ĭ$204)</f>
      </c>
      <c r="ID204">
        <f>IF(ISBLANK('Data Entry'!$Į$204), "", 'Data Entry'!$Į$204)</f>
      </c>
      <c r="IE204">
        <f>IF(ISBLANK('Data Entry'!$į$204), "", 'Data Entry'!$į$204)</f>
      </c>
      <c r="IF204">
        <f>IF(ISBLANK('Data Entry'!$İ$204), "", 'Data Entry'!$İ$204)</f>
      </c>
      <c r="IG204">
        <f>IF(ISBLANK('Data Entry'!$ı$204), "", 'Data Entry'!$ı$204)</f>
      </c>
      <c r="IH204">
        <f>IF(ISBLANK('Data Entry'!$Ĳ$204), "", 'Data Entry'!$Ĳ$204)</f>
      </c>
      <c r="II204">
        <f>IF(ISBLANK('Data Entry'!$ĳ$204), "", 'Data Entry'!$ĳ$204)</f>
      </c>
      <c r="IJ204">
        <f>IF(ISBLANK('Data Entry'!$Ĵ$204), "", 'Data Entry'!$Ĵ$204)</f>
      </c>
      <c r="IK204">
        <f>IF(ISBLANK('Data Entry'!$ĵ$204), "", 'Data Entry'!$ĵ$204)</f>
      </c>
      <c r="IL204">
        <f>IF(ISBLANK('Data Entry'!$Ķ$204), "", 'Data Entry'!$Ķ$204)</f>
      </c>
      <c r="IM204">
        <f>IF(ISBLANK('Data Entry'!$ķ$204), "", 'Data Entry'!$ķ$204)</f>
      </c>
      <c r="IN204">
        <f>IF(ISBLANK('Data Entry'!$ĸ$204), "", 'Data Entry'!$ĸ$204)</f>
      </c>
      <c r="IO204">
        <f>IF(ISBLANK('Data Entry'!$Ĺ$204), "", 'Data Entry'!$Ĺ$204)</f>
      </c>
      <c r="IP204">
        <f>IF(ISBLANK('Data Entry'!$ĺ$204), "", 'Data Entry'!$ĺ$204)</f>
      </c>
      <c r="IQ204">
        <f>IF(ISBLANK('Data Entry'!$Ļ$204), "", 'Data Entry'!$Ļ$204)</f>
      </c>
      <c r="IR204">
        <f>IF(ISBLANK('Data Entry'!$ļ$204), "", 'Data Entry'!$ļ$204)</f>
      </c>
      <c r="IS204">
        <f>IF(ISBLANK('Data Entry'!$Ľ$204), "", 'Data Entry'!$Ľ$204)</f>
      </c>
      <c r="IT204">
        <f>IF(ISBLANK('Data Entry'!$ľ$204), "", 'Data Entry'!$ľ$204)</f>
      </c>
    </row>
    <row r="205" spans="1:254" x14ac:dyDescent="0.25">
      <c r="A205">
        <f>IF(ISBLANK('Data Entry'!$A$205), "", 'Data Entry'!$A$205)</f>
      </c>
      <c r="B205">
        <f>IF(ISBLANK('Data Entry'!$B$205), "", 'Data Entry'!$B$205)</f>
      </c>
      <c r="C205">
        <f>IF(ISBLANK('Data Entry'!$C$205), "", 'Data Entry'!$C$205)</f>
      </c>
      <c r="D205">
        <f>IF(ISBLANK('Data Entry'!$D$205), "", 'Data Entry'!$D$205)</f>
      </c>
      <c r="E205">
        <f>IF(ISBLANK('Data Entry'!$E$205), "", 'Data Entry'!$E$205)</f>
      </c>
      <c r="F205">
        <f>IF(ISBLANK('Data Entry'!$F$205), "", 'Data Entry'!$F$205)</f>
      </c>
      <c r="G205">
        <f>IF(ISBLANK('Data Entry'!$G$205), "", 'Data Entry'!$G$205)</f>
      </c>
      <c r="H205">
        <f>IF(ISBLANK('Data Entry'!$H$205), "", 'Data Entry'!$H$205)</f>
      </c>
      <c r="I205">
        <f>IF(ISBLANK('Data Entry'!$I$205), "", 'Data Entry'!$I$205)</f>
      </c>
      <c r="J205">
        <f>IF(ISBLANK('Data Entry'!$J$205), "", 'Data Entry'!$J$205)</f>
      </c>
      <c r="K205">
        <f>IF(ISBLANK('Data Entry'!$K$205), "", 'Data Entry'!$K$205)</f>
      </c>
      <c r="L205">
        <f>IF(ISBLANK('Data Entry'!$L$205), "", 'Data Entry'!$L$205)</f>
      </c>
      <c r="M205">
        <f>IF(ISBLANK('Data Entry'!$M$205), "", 'Data Entry'!$M$205)</f>
      </c>
      <c r="N205">
        <f>IF(ISBLANK('Data Entry'!$N$205), "", 'Data Entry'!$N$205)</f>
      </c>
      <c r="O205">
        <f>IF(ISBLANK('Data Entry'!$O$205), "", 'Data Entry'!$O$205)</f>
      </c>
      <c r="P205">
        <f>IF(ISBLANK('Data Entry'!$P$205), "", 'Data Entry'!$P$205)</f>
      </c>
      <c r="Q205">
        <f>IF(ISBLANK('Data Entry'!$Q$205), "", 'Data Entry'!$Q$205)</f>
      </c>
      <c r="R205">
        <f>IF(ISBLANK('Data Entry'!$R$205), "", 'Data Entry'!$R$205)</f>
      </c>
      <c r="S205">
        <f>IF(ISBLANK('Data Entry'!$S$205), "", 'Data Entry'!$S$205)</f>
      </c>
      <c r="T205">
        <f>IF(ISBLANK('Data Entry'!$T$205), "", 'Data Entry'!$T$205)</f>
      </c>
      <c r="U205">
        <f>IF(ISBLANK('Data Entry'!$U$205), "", 'Data Entry'!$U$205)</f>
      </c>
      <c r="V205">
        <f>IF(ISBLANK('Data Entry'!$V$205), "", 'Data Entry'!$V$205)</f>
      </c>
      <c r="W205">
        <f>IF(ISBLANK('Data Entry'!$W$205), "", 'Data Entry'!$W$205)</f>
      </c>
      <c r="X205">
        <f>IF(ISBLANK('Data Entry'!$X$205), "", 'Data Entry'!$X$205)</f>
      </c>
      <c r="Y205">
        <f>IF(ISBLANK('Data Entry'!$Y$205), "", 'Data Entry'!$Y$205)</f>
      </c>
      <c r="Z205">
        <f>IF(ISBLANK('Data Entry'!$Z$205), "", 'Data Entry'!$Z$205)</f>
      </c>
      <c r="AA205">
        <f>IF(ISBLANK('Data Entry'!$[$205), "", 'Data Entry'!$[$205)</f>
      </c>
      <c r="AB205">
        <f>IF(ISBLANK('Data Entry'!$\$205), "", 'Data Entry'!$\$205)</f>
      </c>
      <c r="AC205">
        <f>IF(ISBLANK('Data Entry'!$]$205), "", 'Data Entry'!$]$205)</f>
      </c>
      <c r="AD205">
        <f>IF(ISBLANK('Data Entry'!$^$205), "", 'Data Entry'!$^$205)</f>
      </c>
      <c r="AE205">
        <f>IF(ISBLANK('Data Entry'!$_$205), "", 'Data Entry'!$_$205)</f>
      </c>
      <c r="AF205">
        <f>IF(ISBLANK('Data Entry'!$`$205), "", 'Data Entry'!$`$205)</f>
      </c>
      <c r="AG205">
        <f>IF(ISBLANK('Data Entry'!$a$205), "", 'Data Entry'!$a$205)</f>
      </c>
      <c r="AH205">
        <f>IF(ISBLANK('Data Entry'!$b$205), "", 'Data Entry'!$b$205)</f>
      </c>
      <c r="AI205">
        <f>IF(ISBLANK('Data Entry'!$c$205), "", 'Data Entry'!$c$205)</f>
      </c>
      <c r="AJ205">
        <f>IF(ISBLANK('Data Entry'!$d$205), "", 'Data Entry'!$d$205)</f>
      </c>
      <c r="AK205">
        <f>IF(ISBLANK('Data Entry'!$e$205), "", 'Data Entry'!$e$205)</f>
      </c>
      <c r="AL205">
        <f>IF(ISBLANK('Data Entry'!$f$205), "", 'Data Entry'!$f$205)</f>
      </c>
      <c r="AM205">
        <f>IF(ISBLANK('Data Entry'!$g$205), "", 'Data Entry'!$g$205)</f>
      </c>
      <c r="AN205">
        <f>IF(ISBLANK('Data Entry'!$h$205), "", 'Data Entry'!$h$205)</f>
      </c>
      <c r="AO205">
        <f>IF(ISBLANK('Data Entry'!$i$205), "", 'Data Entry'!$i$205)</f>
      </c>
      <c r="AP205">
        <f>IF(ISBLANK('Data Entry'!$j$205), "", 'Data Entry'!$j$205)</f>
      </c>
      <c r="AQ205">
        <f>IF(ISBLANK('Data Entry'!$k$205), "", 'Data Entry'!$k$205)</f>
      </c>
      <c r="AR205">
        <f>IF(ISBLANK('Data Entry'!$l$205), "", 'Data Entry'!$l$205)</f>
      </c>
      <c r="AS205">
        <f>IF(ISBLANK('Data Entry'!$m$205), "", 'Data Entry'!$m$205)</f>
      </c>
      <c r="AT205">
        <f>IF(ISBLANK('Data Entry'!$n$205), "", 'Data Entry'!$n$205)</f>
      </c>
      <c r="AU205">
        <f>IF(ISBLANK('Data Entry'!$o$205), "", 'Data Entry'!$o$205)</f>
      </c>
      <c r="AV205">
        <f>IF(ISBLANK('Data Entry'!$p$205), "", 'Data Entry'!$p$205)</f>
      </c>
      <c r="AW205">
        <f>IF(ISBLANK('Data Entry'!$q$205), "", 'Data Entry'!$q$205)</f>
      </c>
      <c r="AX205">
        <f>IF(ISBLANK('Data Entry'!$r$205), "", 'Data Entry'!$r$205)</f>
      </c>
      <c r="AY205">
        <f>IF(ISBLANK('Data Entry'!$s$205), "", 'Data Entry'!$s$205)</f>
      </c>
      <c r="AZ205">
        <f>IF(ISBLANK('Data Entry'!$t$205), "", 'Data Entry'!$t$205)</f>
      </c>
      <c r="BA205">
        <f>IF(ISBLANK('Data Entry'!$u$205), "", 'Data Entry'!$u$205)</f>
      </c>
      <c r="BB205">
        <f>IF(ISBLANK('Data Entry'!$v$205), "", 'Data Entry'!$v$205)</f>
      </c>
      <c r="BC205">
        <f>IF(ISBLANK('Data Entry'!$w$205), "", 'Data Entry'!$w$205)</f>
      </c>
      <c r="BD205">
        <f>IF(ISBLANK('Data Entry'!$x$205), "", 'Data Entry'!$x$205)</f>
      </c>
      <c r="BE205">
        <f>IF(ISBLANK('Data Entry'!$y$205), "", 'Data Entry'!$y$205)</f>
      </c>
      <c r="BF205">
        <f>IF(ISBLANK('Data Entry'!$z$205), "", 'Data Entry'!$z$205)</f>
      </c>
      <c r="BG205">
        <f>IF(ISBLANK('Data Entry'!${$205), "", 'Data Entry'!${$205)</f>
      </c>
      <c r="BH205">
        <f>IF(ISBLANK('Data Entry'!$|$205), "", 'Data Entry'!$|$205)</f>
      </c>
      <c r="BI205">
        <f>IF(ISBLANK('Data Entry'!$}$205), "", 'Data Entry'!$}$205)</f>
      </c>
      <c r="BJ205">
        <f>IF(ISBLANK('Data Entry'!$~$205), "", 'Data Entry'!$~$205)</f>
      </c>
      <c r="BK205">
        <f>IF(ISBLANK('Data Entry'!$$205), "", 'Data Entry'!$$205)</f>
      </c>
      <c r="BL205">
        <f>IF(ISBLANK('Data Entry'!$$205), "", 'Data Entry'!$$205)</f>
      </c>
      <c r="BM205">
        <f>IF(ISBLANK('Data Entry'!$$205), "", 'Data Entry'!$$205)</f>
      </c>
      <c r="BN205">
        <f>IF(ISBLANK('Data Entry'!$$205), "", 'Data Entry'!$$205)</f>
      </c>
      <c r="BO205">
        <f>IF(ISBLANK('Data Entry'!$$205), "", 'Data Entry'!$$205)</f>
      </c>
      <c r="BP205">
        <f>IF(ISBLANK('Data Entry'!$$205), "", 'Data Entry'!$$205)</f>
      </c>
      <c r="BQ205">
        <f>IF(ISBLANK('Data Entry'!$$205), "", 'Data Entry'!$$205)</f>
      </c>
      <c r="BR205">
        <f>IF(ISBLANK('Data Entry'!$$205), "", 'Data Entry'!$$205)</f>
      </c>
      <c r="BS205">
        <f>IF(ISBLANK('Data Entry'!$$205), "", 'Data Entry'!$$205)</f>
      </c>
      <c r="BT205">
        <f>IF(ISBLANK('Data Entry'!$$205), "", 'Data Entry'!$$205)</f>
      </c>
      <c r="BU205">
        <f>IF(ISBLANK('Data Entry'!$$205), "", 'Data Entry'!$$205)</f>
      </c>
      <c r="BV205">
        <f>IF(ISBLANK('Data Entry'!$$205), "", 'Data Entry'!$$205)</f>
      </c>
      <c r="BW205">
        <f>IF(ISBLANK('Data Entry'!$$205), "", 'Data Entry'!$$205)</f>
      </c>
      <c r="BX205">
        <f>IF(ISBLANK('Data Entry'!$$205), "", 'Data Entry'!$$205)</f>
      </c>
      <c r="BY205">
        <f>IF(ISBLANK('Data Entry'!$$205), "", 'Data Entry'!$$205)</f>
      </c>
      <c r="BZ205">
        <f>IF(ISBLANK('Data Entry'!$$205), "", 'Data Entry'!$$205)</f>
      </c>
      <c r="CA205">
        <f>IF(ISBLANK('Data Entry'!$$205), "", 'Data Entry'!$$205)</f>
      </c>
      <c r="CB205">
        <f>IF(ISBLANK('Data Entry'!$$205), "", 'Data Entry'!$$205)</f>
      </c>
      <c r="CC205">
        <f>IF(ISBLANK('Data Entry'!$$205), "", 'Data Entry'!$$205)</f>
      </c>
      <c r="CD205">
        <f>IF(ISBLANK('Data Entry'!$$205), "", 'Data Entry'!$$205)</f>
      </c>
      <c r="CE205">
        <f>IF(ISBLANK('Data Entry'!$$205), "", 'Data Entry'!$$205)</f>
      </c>
      <c r="CF205">
        <f>IF(ISBLANK('Data Entry'!$$205), "", 'Data Entry'!$$205)</f>
      </c>
      <c r="CG205">
        <f>IF(ISBLANK('Data Entry'!$$205), "", 'Data Entry'!$$205)</f>
      </c>
      <c r="CH205">
        <f>IF(ISBLANK('Data Entry'!$$205), "", 'Data Entry'!$$205)</f>
      </c>
      <c r="CI205">
        <f>IF(ISBLANK('Data Entry'!$$205), "", 'Data Entry'!$$205)</f>
      </c>
      <c r="CJ205">
        <f>IF(ISBLANK('Data Entry'!$$205), "", 'Data Entry'!$$205)</f>
      </c>
      <c r="CK205">
        <f>IF(ISBLANK('Data Entry'!$$205), "", 'Data Entry'!$$205)</f>
      </c>
      <c r="CL205">
        <f>IF(ISBLANK('Data Entry'!$$205), "", 'Data Entry'!$$205)</f>
      </c>
      <c r="CM205">
        <f>IF(ISBLANK('Data Entry'!$$205), "", 'Data Entry'!$$205)</f>
      </c>
      <c r="CN205">
        <f>IF(ISBLANK('Data Entry'!$$205), "", 'Data Entry'!$$205)</f>
      </c>
      <c r="CO205">
        <f>IF(ISBLANK('Data Entry'!$$205), "", 'Data Entry'!$$205)</f>
      </c>
      <c r="CP205">
        <f>IF(ISBLANK('Data Entry'!$$205), "", 'Data Entry'!$$205)</f>
      </c>
      <c r="CQ205">
        <f>IF(ISBLANK('Data Entry'!$$205), "", 'Data Entry'!$$205)</f>
      </c>
      <c r="CR205">
        <f>IF(ISBLANK('Data Entry'!$ $205), "", 'Data Entry'!$ $205)</f>
      </c>
      <c r="CS205">
        <f>IF(ISBLANK('Data Entry'!$¡$205), "", 'Data Entry'!$¡$205)</f>
      </c>
      <c r="CT205">
        <f>IF(ISBLANK('Data Entry'!$¢$205), "", 'Data Entry'!$¢$205)</f>
      </c>
      <c r="CU205">
        <f>IF(ISBLANK('Data Entry'!$£$205), "", 'Data Entry'!$£$205)</f>
      </c>
      <c r="CV205">
        <f>IF(ISBLANK('Data Entry'!$¤$205), "", 'Data Entry'!$¤$205)</f>
      </c>
      <c r="CW205">
        <f>IF(ISBLANK('Data Entry'!$¥$205), "", 'Data Entry'!$¥$205)</f>
      </c>
      <c r="CX205">
        <f>IF(ISBLANK('Data Entry'!$¦$205), "", 'Data Entry'!$¦$205)</f>
      </c>
      <c r="CY205">
        <f>IF(ISBLANK('Data Entry'!$§$205), "", 'Data Entry'!$§$205)</f>
      </c>
      <c r="CZ205">
        <f>IF(ISBLANK('Data Entry'!$¨$205), "", 'Data Entry'!$¨$205)</f>
      </c>
      <c r="DA205">
        <f>IF(ISBLANK('Data Entry'!$©$205), "", 'Data Entry'!$©$205)</f>
      </c>
      <c r="DB205">
        <f>IF(ISBLANK('Data Entry'!$ª$205), "", 'Data Entry'!$ª$205)</f>
      </c>
      <c r="DC205">
        <f>IF(ISBLANK('Data Entry'!$«$205), "", 'Data Entry'!$«$205)</f>
      </c>
      <c r="DD205">
        <f>IF(ISBLANK('Data Entry'!$¬$205), "", 'Data Entry'!$¬$205)</f>
      </c>
      <c r="DE205">
        <f>IF(ISBLANK('Data Entry'!$­$205), "", 'Data Entry'!$­$205)</f>
      </c>
      <c r="DF205">
        <f>IF(ISBLANK('Data Entry'!$®$205), "", 'Data Entry'!$®$205)</f>
      </c>
      <c r="DG205">
        <f>IF(ISBLANK('Data Entry'!$¯$205), "", 'Data Entry'!$¯$205)</f>
      </c>
      <c r="DH205">
        <f>IF(ISBLANK('Data Entry'!$°$205), "", 'Data Entry'!$°$205)</f>
      </c>
      <c r="DI205">
        <f>IF(ISBLANK('Data Entry'!$±$205), "", 'Data Entry'!$±$205)</f>
      </c>
      <c r="DJ205">
        <f>IF(ISBLANK('Data Entry'!$²$205), "", 'Data Entry'!$²$205)</f>
      </c>
      <c r="DK205">
        <f>IF(ISBLANK('Data Entry'!$³$205), "", 'Data Entry'!$³$205)</f>
      </c>
      <c r="DL205">
        <f>IF(ISBLANK('Data Entry'!$´$205), "", 'Data Entry'!$´$205)</f>
      </c>
      <c r="DM205">
        <f>IF(ISBLANK('Data Entry'!$µ$205), "", 'Data Entry'!$µ$205)</f>
      </c>
      <c r="DN205">
        <f>IF(ISBLANK('Data Entry'!$¶$205), "", 'Data Entry'!$¶$205)</f>
      </c>
      <c r="DO205">
        <f>IF(ISBLANK('Data Entry'!$·$205), "", 'Data Entry'!$·$205)</f>
      </c>
      <c r="DP205">
        <f>IF(ISBLANK('Data Entry'!$¸$205), "", 'Data Entry'!$¸$205)</f>
      </c>
      <c r="DQ205">
        <f>IF(ISBLANK('Data Entry'!$¹$205), "", 'Data Entry'!$¹$205)</f>
      </c>
      <c r="DR205">
        <f>IF(ISBLANK('Data Entry'!$º$205), "", 'Data Entry'!$º$205)</f>
      </c>
      <c r="DS205">
        <f>IF(ISBLANK('Data Entry'!$»$205), "", 'Data Entry'!$»$205)</f>
      </c>
      <c r="DT205">
        <f>IF(ISBLANK('Data Entry'!$¼$205), "", 'Data Entry'!$¼$205)</f>
      </c>
      <c r="DU205">
        <f>IF(ISBLANK('Data Entry'!$½$205), "", 'Data Entry'!$½$205)</f>
      </c>
      <c r="DV205">
        <f>IF(ISBLANK('Data Entry'!$¾$205), "", 'Data Entry'!$¾$205)</f>
      </c>
      <c r="DW205">
        <f>IF(ISBLANK('Data Entry'!$¿$205), "", 'Data Entry'!$¿$205)</f>
      </c>
      <c r="DX205">
        <f>IF(ISBLANK('Data Entry'!$À$205), "", 'Data Entry'!$À$205)</f>
      </c>
      <c r="DY205">
        <f>IF(ISBLANK('Data Entry'!$Á$205), "", 'Data Entry'!$Á$205)</f>
      </c>
      <c r="DZ205">
        <f>IF(ISBLANK('Data Entry'!$Â$205), "", 'Data Entry'!$Â$205)</f>
      </c>
      <c r="EA205">
        <f>IF(ISBLANK('Data Entry'!$Ã$205), "", 'Data Entry'!$Ã$205)</f>
      </c>
      <c r="EB205">
        <f>IF(ISBLANK('Data Entry'!$Ä$205), "", 'Data Entry'!$Ä$205)</f>
      </c>
      <c r="EC205">
        <f>IF(ISBLANK('Data Entry'!$Å$205), "", 'Data Entry'!$Å$205)</f>
      </c>
      <c r="ED205">
        <f>IF(ISBLANK('Data Entry'!$Æ$205), "", 'Data Entry'!$Æ$205)</f>
      </c>
      <c r="EE205">
        <f>IF(ISBLANK('Data Entry'!$Ç$205), "", 'Data Entry'!$Ç$205)</f>
      </c>
      <c r="EF205">
        <f>IF(ISBLANK('Data Entry'!$È$205), "", 'Data Entry'!$È$205)</f>
      </c>
      <c r="EG205">
        <f>IF(ISBLANK('Data Entry'!$É$205), "", 'Data Entry'!$É$205)</f>
      </c>
      <c r="EH205">
        <f>IF(ISBLANK('Data Entry'!$Ê$205), "", 'Data Entry'!$Ê$205)</f>
      </c>
      <c r="EI205">
        <f>IF(ISBLANK('Data Entry'!$Ë$205), "", 'Data Entry'!$Ë$205)</f>
      </c>
      <c r="EJ205">
        <f>IF(ISBLANK('Data Entry'!$Ì$205), "", 'Data Entry'!$Ì$205)</f>
      </c>
      <c r="EK205">
        <f>IF(ISBLANK('Data Entry'!$Í$205), "", 'Data Entry'!$Í$205)</f>
      </c>
      <c r="EL205">
        <f>IF(ISBLANK('Data Entry'!$Î$205), "", 'Data Entry'!$Î$205)</f>
      </c>
      <c r="EM205">
        <f>IF(ISBLANK('Data Entry'!$Ï$205), "", 'Data Entry'!$Ï$205)</f>
      </c>
      <c r="EN205">
        <f>IF(ISBLANK('Data Entry'!$Ð$205), "", 'Data Entry'!$Ð$205)</f>
      </c>
      <c r="EO205">
        <f>IF(ISBLANK('Data Entry'!$Ñ$205), "", 'Data Entry'!$Ñ$205)</f>
      </c>
      <c r="EP205">
        <f>IF(ISBLANK('Data Entry'!$Ò$205), "", 'Data Entry'!$Ò$205)</f>
      </c>
      <c r="EQ205">
        <f>IF(ISBLANK('Data Entry'!$Ó$205), "", 'Data Entry'!$Ó$205)</f>
      </c>
      <c r="ER205">
        <f>IF(ISBLANK('Data Entry'!$Ô$205), "", 'Data Entry'!$Ô$205)</f>
      </c>
      <c r="ES205">
        <f>IF(ISBLANK('Data Entry'!$Õ$205), "", 'Data Entry'!$Õ$205)</f>
      </c>
      <c r="ET205">
        <f>IF(ISBLANK('Data Entry'!$Ö$205), "", 'Data Entry'!$Ö$205)</f>
      </c>
      <c r="EU205">
        <f>IF(ISBLANK('Data Entry'!$×$205), "", 'Data Entry'!$×$205)</f>
      </c>
      <c r="EV205">
        <f>IF(ISBLANK('Data Entry'!$Ø$205), "", 'Data Entry'!$Ø$205)</f>
      </c>
      <c r="EW205">
        <f>IF(ISBLANK('Data Entry'!$Ù$205), "", 'Data Entry'!$Ù$205)</f>
      </c>
      <c r="EX205">
        <f>IF(ISBLANK('Data Entry'!$Ú$205), "", 'Data Entry'!$Ú$205)</f>
      </c>
      <c r="EY205">
        <f>IF(ISBLANK('Data Entry'!$Û$205), "", 'Data Entry'!$Û$205)</f>
      </c>
      <c r="EZ205">
        <f>IF(ISBLANK('Data Entry'!$Ü$205), "", 'Data Entry'!$Ü$205)</f>
      </c>
      <c r="FA205">
        <f>IF(ISBLANK('Data Entry'!$Ý$205), "", 'Data Entry'!$Ý$205)</f>
      </c>
      <c r="FB205">
        <f>IF(ISBLANK('Data Entry'!$Þ$205), "", 'Data Entry'!$Þ$205)</f>
      </c>
      <c r="FC205">
        <f>IF(ISBLANK('Data Entry'!$ß$205), "", 'Data Entry'!$ß$205)</f>
      </c>
      <c r="FD205">
        <f>IF(ISBLANK('Data Entry'!$à$205), "", 'Data Entry'!$à$205)</f>
      </c>
      <c r="FE205">
        <f>IF(ISBLANK('Data Entry'!$á$205), "", 'Data Entry'!$á$205)</f>
      </c>
      <c r="FF205">
        <f>IF(ISBLANK('Data Entry'!$â$205), "", 'Data Entry'!$â$205)</f>
      </c>
      <c r="FG205">
        <f>IF(ISBLANK('Data Entry'!$ã$205), "", 'Data Entry'!$ã$205)</f>
      </c>
      <c r="FH205">
        <f>IF(ISBLANK('Data Entry'!$ä$205), "", 'Data Entry'!$ä$205)</f>
      </c>
      <c r="FI205">
        <f>IF(ISBLANK('Data Entry'!$å$205), "", 'Data Entry'!$å$205)</f>
      </c>
      <c r="FJ205">
        <f>IF(ISBLANK('Data Entry'!$æ$205), "", 'Data Entry'!$æ$205)</f>
      </c>
      <c r="FK205">
        <f>IF(ISBLANK('Data Entry'!$ç$205), "", 'Data Entry'!$ç$205)</f>
      </c>
      <c r="FL205">
        <f>IF(ISBLANK('Data Entry'!$è$205), "", 'Data Entry'!$è$205)</f>
      </c>
      <c r="FM205">
        <f>IF(ISBLANK('Data Entry'!$é$205), "", 'Data Entry'!$é$205)</f>
      </c>
      <c r="FN205">
        <f>IF(ISBLANK('Data Entry'!$ê$205), "", 'Data Entry'!$ê$205)</f>
      </c>
      <c r="FO205">
        <f>IF(ISBLANK('Data Entry'!$ë$205), "", 'Data Entry'!$ë$205)</f>
      </c>
      <c r="FP205">
        <f>IF(ISBLANK('Data Entry'!$ì$205), "", 'Data Entry'!$ì$205)</f>
      </c>
      <c r="FQ205">
        <f>IF(ISBLANK('Data Entry'!$í$205), "", 'Data Entry'!$í$205)</f>
      </c>
      <c r="FR205">
        <f>IF(ISBLANK('Data Entry'!$î$205), "", 'Data Entry'!$î$205)</f>
      </c>
      <c r="FS205">
        <f>IF(ISBLANK('Data Entry'!$ï$205), "", 'Data Entry'!$ï$205)</f>
      </c>
      <c r="FT205">
        <f>IF(ISBLANK('Data Entry'!$ð$205), "", 'Data Entry'!$ð$205)</f>
      </c>
      <c r="FU205">
        <f>IF(ISBLANK('Data Entry'!$ñ$205), "", 'Data Entry'!$ñ$205)</f>
      </c>
      <c r="FV205">
        <f>IF(ISBLANK('Data Entry'!$ò$205), "", 'Data Entry'!$ò$205)</f>
      </c>
      <c r="FW205">
        <f>IF(ISBLANK('Data Entry'!$ó$205), "", 'Data Entry'!$ó$205)</f>
      </c>
      <c r="FX205">
        <f>IF(ISBLANK('Data Entry'!$ô$205), "", 'Data Entry'!$ô$205)</f>
      </c>
      <c r="FY205">
        <f>IF(ISBLANK('Data Entry'!$õ$205), "", 'Data Entry'!$õ$205)</f>
      </c>
      <c r="FZ205">
        <f>IF(ISBLANK('Data Entry'!$ö$205), "", 'Data Entry'!$ö$205)</f>
      </c>
      <c r="GA205">
        <f>IF(ISBLANK('Data Entry'!$÷$205), "", 'Data Entry'!$÷$205)</f>
      </c>
      <c r="GB205">
        <f>IF(ISBLANK('Data Entry'!$ø$205), "", 'Data Entry'!$ø$205)</f>
      </c>
      <c r="GC205">
        <f>IF(ISBLANK('Data Entry'!$ù$205), "", 'Data Entry'!$ù$205)</f>
      </c>
      <c r="GD205">
        <f>IF(ISBLANK('Data Entry'!$ú$205), "", 'Data Entry'!$ú$205)</f>
      </c>
      <c r="GE205">
        <f>IF(ISBLANK('Data Entry'!$û$205), "", 'Data Entry'!$û$205)</f>
      </c>
      <c r="GF205">
        <f>IF(ISBLANK('Data Entry'!$ü$205), "", 'Data Entry'!$ü$205)</f>
      </c>
      <c r="GG205">
        <f>IF(ISBLANK('Data Entry'!$ý$205), "", 'Data Entry'!$ý$205)</f>
      </c>
      <c r="GH205">
        <f>IF(ISBLANK('Data Entry'!$þ$205), "", 'Data Entry'!$þ$205)</f>
      </c>
      <c r="GI205">
        <f>IF(ISBLANK('Data Entry'!$ÿ$205), "", 'Data Entry'!$ÿ$205)</f>
      </c>
      <c r="GJ205">
        <f>IF(ISBLANK('Data Entry'!$Ā$205), "", 'Data Entry'!$Ā$205)</f>
      </c>
      <c r="GK205">
        <f>IF(ISBLANK('Data Entry'!$ā$205), "", 'Data Entry'!$ā$205)</f>
      </c>
      <c r="GL205">
        <f>IF(ISBLANK('Data Entry'!$Ă$205), "", 'Data Entry'!$Ă$205)</f>
      </c>
      <c r="GM205">
        <f>IF(ISBLANK('Data Entry'!$ă$205), "", 'Data Entry'!$ă$205)</f>
      </c>
      <c r="GN205">
        <f>IF(ISBLANK('Data Entry'!$Ą$205), "", 'Data Entry'!$Ą$205)</f>
      </c>
      <c r="GO205">
        <f>IF(ISBLANK('Data Entry'!$ą$205), "", 'Data Entry'!$ą$205)</f>
      </c>
      <c r="GP205">
        <f>IF(ISBLANK('Data Entry'!$Ć$205), "", 'Data Entry'!$Ć$205)</f>
      </c>
      <c r="GQ205">
        <f>IF(ISBLANK('Data Entry'!$ć$205), "", 'Data Entry'!$ć$205)</f>
      </c>
      <c r="GR205">
        <f>IF(ISBLANK('Data Entry'!$Ĉ$205), "", 'Data Entry'!$Ĉ$205)</f>
      </c>
      <c r="GS205">
        <f>IF(ISBLANK('Data Entry'!$ĉ$205), "", 'Data Entry'!$ĉ$205)</f>
      </c>
      <c r="GT205">
        <f>IF(ISBLANK('Data Entry'!$Ċ$205), "", 'Data Entry'!$Ċ$205)</f>
      </c>
      <c r="GU205">
        <f>IF(ISBLANK('Data Entry'!$ċ$205), "", 'Data Entry'!$ċ$205)</f>
      </c>
      <c r="GV205">
        <f>IF(ISBLANK('Data Entry'!$Č$205), "", 'Data Entry'!$Č$205)</f>
      </c>
      <c r="GW205">
        <f>IF(ISBLANK('Data Entry'!$č$205), "", 'Data Entry'!$č$205)</f>
      </c>
      <c r="GX205">
        <f>IF(ISBLANK('Data Entry'!$Ď$205), "", 'Data Entry'!$Ď$205)</f>
      </c>
      <c r="GY205">
        <f>IF(ISBLANK('Data Entry'!$ď$205), "", 'Data Entry'!$ď$205)</f>
      </c>
      <c r="GZ205">
        <f>IF(ISBLANK('Data Entry'!$Đ$205), "", 'Data Entry'!$Đ$205)</f>
      </c>
      <c r="HA205">
        <f>IF(ISBLANK('Data Entry'!$đ$205), "", 'Data Entry'!$đ$205)</f>
      </c>
      <c r="HB205">
        <f>IF(ISBLANK('Data Entry'!$Ē$205), "", 'Data Entry'!$Ē$205)</f>
      </c>
      <c r="HC205">
        <f>IF(ISBLANK('Data Entry'!$ē$205), "", 'Data Entry'!$ē$205)</f>
      </c>
      <c r="HD205">
        <f>IF(ISBLANK('Data Entry'!$Ĕ$205), "", 'Data Entry'!$Ĕ$205)</f>
      </c>
      <c r="HE205">
        <f>IF(ISBLANK('Data Entry'!$ĕ$205), "", 'Data Entry'!$ĕ$205)</f>
      </c>
      <c r="HF205">
        <f>IF(ISBLANK('Data Entry'!$Ė$205), "", 'Data Entry'!$Ė$205)</f>
      </c>
      <c r="HG205">
        <f>IF(ISBLANK('Data Entry'!$ė$205), "", 'Data Entry'!$ė$205)</f>
      </c>
      <c r="HH205">
        <f>IF(ISBLANK('Data Entry'!$Ę$205), "", 'Data Entry'!$Ę$205)</f>
      </c>
      <c r="HI205">
        <f>IF(ISBLANK('Data Entry'!$ę$205), "", 'Data Entry'!$ę$205)</f>
      </c>
      <c r="HJ205">
        <f>IF(ISBLANK('Data Entry'!$Ě$205), "", 'Data Entry'!$Ě$205)</f>
      </c>
      <c r="HK205">
        <f>IF(ISBLANK('Data Entry'!$ě$205), "", 'Data Entry'!$ě$205)</f>
      </c>
      <c r="HL205">
        <f>IF(ISBLANK('Data Entry'!$Ĝ$205), "", 'Data Entry'!$Ĝ$205)</f>
      </c>
      <c r="HM205">
        <f>IF(ISBLANK('Data Entry'!$ĝ$205), "", 'Data Entry'!$ĝ$205)</f>
      </c>
      <c r="HN205">
        <f>IF(ISBLANK('Data Entry'!$Ğ$205), "", 'Data Entry'!$Ğ$205)</f>
      </c>
      <c r="HO205">
        <f>IF(ISBLANK('Data Entry'!$ğ$205), "", 'Data Entry'!$ğ$205)</f>
      </c>
      <c r="HP205">
        <f>IF(ISBLANK('Data Entry'!$Ġ$205), "", 'Data Entry'!$Ġ$205)</f>
      </c>
      <c r="HQ205">
        <f>IF(ISBLANK('Data Entry'!$ġ$205), "", 'Data Entry'!$ġ$205)</f>
      </c>
      <c r="HR205">
        <f>IF(ISBLANK('Data Entry'!$Ģ$205), "", 'Data Entry'!$Ģ$205)</f>
      </c>
      <c r="HS205">
        <f>IF(ISBLANK('Data Entry'!$ģ$205), "", 'Data Entry'!$ģ$205)</f>
      </c>
      <c r="HT205">
        <f>IF(ISBLANK('Data Entry'!$Ĥ$205), "", 'Data Entry'!$Ĥ$205)</f>
      </c>
      <c r="HU205">
        <f>IF(ISBLANK('Data Entry'!$ĥ$205), "", 'Data Entry'!$ĥ$205)</f>
      </c>
      <c r="HV205">
        <f>IF(ISBLANK('Data Entry'!$Ħ$205), "", 'Data Entry'!$Ħ$205)</f>
      </c>
      <c r="HW205">
        <f>IF(ISBLANK('Data Entry'!$ħ$205), "", 'Data Entry'!$ħ$205)</f>
      </c>
      <c r="HX205">
        <f>IF(ISBLANK('Data Entry'!$Ĩ$205), "", 'Data Entry'!$Ĩ$205)</f>
      </c>
      <c r="HY205">
        <f>IF(ISBLANK('Data Entry'!$ĩ$205), "", 'Data Entry'!$ĩ$205)</f>
      </c>
      <c r="HZ205">
        <f>IF(ISBLANK('Data Entry'!$Ī$205), "", 'Data Entry'!$Ī$205)</f>
      </c>
      <c r="IA205">
        <f>IF(ISBLANK('Data Entry'!$ī$205), "", 'Data Entry'!$ī$205)</f>
      </c>
      <c r="IB205">
        <f>IF(ISBLANK('Data Entry'!$Ĭ$205), "", 'Data Entry'!$Ĭ$205)</f>
      </c>
      <c r="IC205">
        <f>IF(ISBLANK('Data Entry'!$ĭ$205), "", 'Data Entry'!$ĭ$205)</f>
      </c>
      <c r="ID205">
        <f>IF(ISBLANK('Data Entry'!$Į$205), "", 'Data Entry'!$Į$205)</f>
      </c>
      <c r="IE205">
        <f>IF(ISBLANK('Data Entry'!$į$205), "", 'Data Entry'!$į$205)</f>
      </c>
      <c r="IF205">
        <f>IF(ISBLANK('Data Entry'!$İ$205), "", 'Data Entry'!$İ$205)</f>
      </c>
      <c r="IG205">
        <f>IF(ISBLANK('Data Entry'!$ı$205), "", 'Data Entry'!$ı$205)</f>
      </c>
      <c r="IH205">
        <f>IF(ISBLANK('Data Entry'!$Ĳ$205), "", 'Data Entry'!$Ĳ$205)</f>
      </c>
      <c r="II205">
        <f>IF(ISBLANK('Data Entry'!$ĳ$205), "", 'Data Entry'!$ĳ$205)</f>
      </c>
      <c r="IJ205">
        <f>IF(ISBLANK('Data Entry'!$Ĵ$205), "", 'Data Entry'!$Ĵ$205)</f>
      </c>
      <c r="IK205">
        <f>IF(ISBLANK('Data Entry'!$ĵ$205), "", 'Data Entry'!$ĵ$205)</f>
      </c>
      <c r="IL205">
        <f>IF(ISBLANK('Data Entry'!$Ķ$205), "", 'Data Entry'!$Ķ$205)</f>
      </c>
      <c r="IM205">
        <f>IF(ISBLANK('Data Entry'!$ķ$205), "", 'Data Entry'!$ķ$205)</f>
      </c>
      <c r="IN205">
        <f>IF(ISBLANK('Data Entry'!$ĸ$205), "", 'Data Entry'!$ĸ$205)</f>
      </c>
      <c r="IO205">
        <f>IF(ISBLANK('Data Entry'!$Ĺ$205), "", 'Data Entry'!$Ĺ$205)</f>
      </c>
      <c r="IP205">
        <f>IF(ISBLANK('Data Entry'!$ĺ$205), "", 'Data Entry'!$ĺ$205)</f>
      </c>
      <c r="IQ205">
        <f>IF(ISBLANK('Data Entry'!$Ļ$205), "", 'Data Entry'!$Ļ$205)</f>
      </c>
      <c r="IR205">
        <f>IF(ISBLANK('Data Entry'!$ļ$205), "", 'Data Entry'!$ļ$205)</f>
      </c>
      <c r="IS205">
        <f>IF(ISBLANK('Data Entry'!$Ľ$205), "", 'Data Entry'!$Ľ$205)</f>
      </c>
      <c r="IT205">
        <f>IF(ISBLANK('Data Entry'!$ľ$205), "", 'Data Entry'!$ľ$205)</f>
      </c>
    </row>
    <row r="206" spans="1:254" x14ac:dyDescent="0.25">
      <c r="A206">
        <f>IF(ISBLANK('Data Entry'!$A$206), "", 'Data Entry'!$A$206)</f>
      </c>
      <c r="B206">
        <f>IF(ISBLANK('Data Entry'!$B$206), "", 'Data Entry'!$B$206)</f>
      </c>
      <c r="C206">
        <f>IF(ISBLANK('Data Entry'!$C$206), "", 'Data Entry'!$C$206)</f>
      </c>
      <c r="D206">
        <f>IF(ISBLANK('Data Entry'!$D$206), "", 'Data Entry'!$D$206)</f>
      </c>
      <c r="E206">
        <f>IF(ISBLANK('Data Entry'!$E$206), "", 'Data Entry'!$E$206)</f>
      </c>
      <c r="F206">
        <f>IF(ISBLANK('Data Entry'!$F$206), "", 'Data Entry'!$F$206)</f>
      </c>
      <c r="G206">
        <f>IF(ISBLANK('Data Entry'!$G$206), "", 'Data Entry'!$G$206)</f>
      </c>
      <c r="H206">
        <f>IF(ISBLANK('Data Entry'!$H$206), "", 'Data Entry'!$H$206)</f>
      </c>
      <c r="I206">
        <f>IF(ISBLANK('Data Entry'!$I$206), "", 'Data Entry'!$I$206)</f>
      </c>
      <c r="J206">
        <f>IF(ISBLANK('Data Entry'!$J$206), "", 'Data Entry'!$J$206)</f>
      </c>
      <c r="K206">
        <f>IF(ISBLANK('Data Entry'!$K$206), "", 'Data Entry'!$K$206)</f>
      </c>
      <c r="L206">
        <f>IF(ISBLANK('Data Entry'!$L$206), "", 'Data Entry'!$L$206)</f>
      </c>
      <c r="M206">
        <f>IF(ISBLANK('Data Entry'!$M$206), "", 'Data Entry'!$M$206)</f>
      </c>
      <c r="N206">
        <f>IF(ISBLANK('Data Entry'!$N$206), "", 'Data Entry'!$N$206)</f>
      </c>
      <c r="O206">
        <f>IF(ISBLANK('Data Entry'!$O$206), "", 'Data Entry'!$O$206)</f>
      </c>
      <c r="P206">
        <f>IF(ISBLANK('Data Entry'!$P$206), "", 'Data Entry'!$P$206)</f>
      </c>
      <c r="Q206">
        <f>IF(ISBLANK('Data Entry'!$Q$206), "", 'Data Entry'!$Q$206)</f>
      </c>
      <c r="R206">
        <f>IF(ISBLANK('Data Entry'!$R$206), "", 'Data Entry'!$R$206)</f>
      </c>
      <c r="S206">
        <f>IF(ISBLANK('Data Entry'!$S$206), "", 'Data Entry'!$S$206)</f>
      </c>
      <c r="T206">
        <f>IF(ISBLANK('Data Entry'!$T$206), "", 'Data Entry'!$T$206)</f>
      </c>
      <c r="U206">
        <f>IF(ISBLANK('Data Entry'!$U$206), "", 'Data Entry'!$U$206)</f>
      </c>
      <c r="V206">
        <f>IF(ISBLANK('Data Entry'!$V$206), "", 'Data Entry'!$V$206)</f>
      </c>
      <c r="W206">
        <f>IF(ISBLANK('Data Entry'!$W$206), "", 'Data Entry'!$W$206)</f>
      </c>
      <c r="X206">
        <f>IF(ISBLANK('Data Entry'!$X$206), "", 'Data Entry'!$X$206)</f>
      </c>
      <c r="Y206">
        <f>IF(ISBLANK('Data Entry'!$Y$206), "", 'Data Entry'!$Y$206)</f>
      </c>
      <c r="Z206">
        <f>IF(ISBLANK('Data Entry'!$Z$206), "", 'Data Entry'!$Z$206)</f>
      </c>
      <c r="AA206">
        <f>IF(ISBLANK('Data Entry'!$[$206), "", 'Data Entry'!$[$206)</f>
      </c>
      <c r="AB206">
        <f>IF(ISBLANK('Data Entry'!$\$206), "", 'Data Entry'!$\$206)</f>
      </c>
      <c r="AC206">
        <f>IF(ISBLANK('Data Entry'!$]$206), "", 'Data Entry'!$]$206)</f>
      </c>
      <c r="AD206">
        <f>IF(ISBLANK('Data Entry'!$^$206), "", 'Data Entry'!$^$206)</f>
      </c>
      <c r="AE206">
        <f>IF(ISBLANK('Data Entry'!$_$206), "", 'Data Entry'!$_$206)</f>
      </c>
      <c r="AF206">
        <f>IF(ISBLANK('Data Entry'!$`$206), "", 'Data Entry'!$`$206)</f>
      </c>
      <c r="AG206">
        <f>IF(ISBLANK('Data Entry'!$a$206), "", 'Data Entry'!$a$206)</f>
      </c>
      <c r="AH206">
        <f>IF(ISBLANK('Data Entry'!$b$206), "", 'Data Entry'!$b$206)</f>
      </c>
      <c r="AI206">
        <f>IF(ISBLANK('Data Entry'!$c$206), "", 'Data Entry'!$c$206)</f>
      </c>
      <c r="AJ206">
        <f>IF(ISBLANK('Data Entry'!$d$206), "", 'Data Entry'!$d$206)</f>
      </c>
      <c r="AK206">
        <f>IF(ISBLANK('Data Entry'!$e$206), "", 'Data Entry'!$e$206)</f>
      </c>
      <c r="AL206">
        <f>IF(ISBLANK('Data Entry'!$f$206), "", 'Data Entry'!$f$206)</f>
      </c>
      <c r="AM206">
        <f>IF(ISBLANK('Data Entry'!$g$206), "", 'Data Entry'!$g$206)</f>
      </c>
      <c r="AN206">
        <f>IF(ISBLANK('Data Entry'!$h$206), "", 'Data Entry'!$h$206)</f>
      </c>
      <c r="AO206">
        <f>IF(ISBLANK('Data Entry'!$i$206), "", 'Data Entry'!$i$206)</f>
      </c>
      <c r="AP206">
        <f>IF(ISBLANK('Data Entry'!$j$206), "", 'Data Entry'!$j$206)</f>
      </c>
      <c r="AQ206">
        <f>IF(ISBLANK('Data Entry'!$k$206), "", 'Data Entry'!$k$206)</f>
      </c>
      <c r="AR206">
        <f>IF(ISBLANK('Data Entry'!$l$206), "", 'Data Entry'!$l$206)</f>
      </c>
      <c r="AS206">
        <f>IF(ISBLANK('Data Entry'!$m$206), "", 'Data Entry'!$m$206)</f>
      </c>
      <c r="AT206">
        <f>IF(ISBLANK('Data Entry'!$n$206), "", 'Data Entry'!$n$206)</f>
      </c>
      <c r="AU206">
        <f>IF(ISBLANK('Data Entry'!$o$206), "", 'Data Entry'!$o$206)</f>
      </c>
      <c r="AV206">
        <f>IF(ISBLANK('Data Entry'!$p$206), "", 'Data Entry'!$p$206)</f>
      </c>
      <c r="AW206">
        <f>IF(ISBLANK('Data Entry'!$q$206), "", 'Data Entry'!$q$206)</f>
      </c>
      <c r="AX206">
        <f>IF(ISBLANK('Data Entry'!$r$206), "", 'Data Entry'!$r$206)</f>
      </c>
      <c r="AY206">
        <f>IF(ISBLANK('Data Entry'!$s$206), "", 'Data Entry'!$s$206)</f>
      </c>
      <c r="AZ206">
        <f>IF(ISBLANK('Data Entry'!$t$206), "", 'Data Entry'!$t$206)</f>
      </c>
      <c r="BA206">
        <f>IF(ISBLANK('Data Entry'!$u$206), "", 'Data Entry'!$u$206)</f>
      </c>
      <c r="BB206">
        <f>IF(ISBLANK('Data Entry'!$v$206), "", 'Data Entry'!$v$206)</f>
      </c>
      <c r="BC206">
        <f>IF(ISBLANK('Data Entry'!$w$206), "", 'Data Entry'!$w$206)</f>
      </c>
      <c r="BD206">
        <f>IF(ISBLANK('Data Entry'!$x$206), "", 'Data Entry'!$x$206)</f>
      </c>
      <c r="BE206">
        <f>IF(ISBLANK('Data Entry'!$y$206), "", 'Data Entry'!$y$206)</f>
      </c>
      <c r="BF206">
        <f>IF(ISBLANK('Data Entry'!$z$206), "", 'Data Entry'!$z$206)</f>
      </c>
      <c r="BG206">
        <f>IF(ISBLANK('Data Entry'!${$206), "", 'Data Entry'!${$206)</f>
      </c>
      <c r="BH206">
        <f>IF(ISBLANK('Data Entry'!$|$206), "", 'Data Entry'!$|$206)</f>
      </c>
      <c r="BI206">
        <f>IF(ISBLANK('Data Entry'!$}$206), "", 'Data Entry'!$}$206)</f>
      </c>
      <c r="BJ206">
        <f>IF(ISBLANK('Data Entry'!$~$206), "", 'Data Entry'!$~$206)</f>
      </c>
      <c r="BK206">
        <f>IF(ISBLANK('Data Entry'!$$206), "", 'Data Entry'!$$206)</f>
      </c>
      <c r="BL206">
        <f>IF(ISBLANK('Data Entry'!$$206), "", 'Data Entry'!$$206)</f>
      </c>
      <c r="BM206">
        <f>IF(ISBLANK('Data Entry'!$$206), "", 'Data Entry'!$$206)</f>
      </c>
      <c r="BN206">
        <f>IF(ISBLANK('Data Entry'!$$206), "", 'Data Entry'!$$206)</f>
      </c>
      <c r="BO206">
        <f>IF(ISBLANK('Data Entry'!$$206), "", 'Data Entry'!$$206)</f>
      </c>
      <c r="BP206">
        <f>IF(ISBLANK('Data Entry'!$$206), "", 'Data Entry'!$$206)</f>
      </c>
      <c r="BQ206">
        <f>IF(ISBLANK('Data Entry'!$$206), "", 'Data Entry'!$$206)</f>
      </c>
      <c r="BR206">
        <f>IF(ISBLANK('Data Entry'!$$206), "", 'Data Entry'!$$206)</f>
      </c>
      <c r="BS206">
        <f>IF(ISBLANK('Data Entry'!$$206), "", 'Data Entry'!$$206)</f>
      </c>
      <c r="BT206">
        <f>IF(ISBLANK('Data Entry'!$$206), "", 'Data Entry'!$$206)</f>
      </c>
      <c r="BU206">
        <f>IF(ISBLANK('Data Entry'!$$206), "", 'Data Entry'!$$206)</f>
      </c>
      <c r="BV206">
        <f>IF(ISBLANK('Data Entry'!$$206), "", 'Data Entry'!$$206)</f>
      </c>
      <c r="BW206">
        <f>IF(ISBLANK('Data Entry'!$$206), "", 'Data Entry'!$$206)</f>
      </c>
      <c r="BX206">
        <f>IF(ISBLANK('Data Entry'!$$206), "", 'Data Entry'!$$206)</f>
      </c>
      <c r="BY206">
        <f>IF(ISBLANK('Data Entry'!$$206), "", 'Data Entry'!$$206)</f>
      </c>
      <c r="BZ206">
        <f>IF(ISBLANK('Data Entry'!$$206), "", 'Data Entry'!$$206)</f>
      </c>
      <c r="CA206">
        <f>IF(ISBLANK('Data Entry'!$$206), "", 'Data Entry'!$$206)</f>
      </c>
      <c r="CB206">
        <f>IF(ISBLANK('Data Entry'!$$206), "", 'Data Entry'!$$206)</f>
      </c>
      <c r="CC206">
        <f>IF(ISBLANK('Data Entry'!$$206), "", 'Data Entry'!$$206)</f>
      </c>
      <c r="CD206">
        <f>IF(ISBLANK('Data Entry'!$$206), "", 'Data Entry'!$$206)</f>
      </c>
      <c r="CE206">
        <f>IF(ISBLANK('Data Entry'!$$206), "", 'Data Entry'!$$206)</f>
      </c>
      <c r="CF206">
        <f>IF(ISBLANK('Data Entry'!$$206), "", 'Data Entry'!$$206)</f>
      </c>
      <c r="CG206">
        <f>IF(ISBLANK('Data Entry'!$$206), "", 'Data Entry'!$$206)</f>
      </c>
      <c r="CH206">
        <f>IF(ISBLANK('Data Entry'!$$206), "", 'Data Entry'!$$206)</f>
      </c>
      <c r="CI206">
        <f>IF(ISBLANK('Data Entry'!$$206), "", 'Data Entry'!$$206)</f>
      </c>
      <c r="CJ206">
        <f>IF(ISBLANK('Data Entry'!$$206), "", 'Data Entry'!$$206)</f>
      </c>
      <c r="CK206">
        <f>IF(ISBLANK('Data Entry'!$$206), "", 'Data Entry'!$$206)</f>
      </c>
      <c r="CL206">
        <f>IF(ISBLANK('Data Entry'!$$206), "", 'Data Entry'!$$206)</f>
      </c>
      <c r="CM206">
        <f>IF(ISBLANK('Data Entry'!$$206), "", 'Data Entry'!$$206)</f>
      </c>
      <c r="CN206">
        <f>IF(ISBLANK('Data Entry'!$$206), "", 'Data Entry'!$$206)</f>
      </c>
      <c r="CO206">
        <f>IF(ISBLANK('Data Entry'!$$206), "", 'Data Entry'!$$206)</f>
      </c>
      <c r="CP206">
        <f>IF(ISBLANK('Data Entry'!$$206), "", 'Data Entry'!$$206)</f>
      </c>
      <c r="CQ206">
        <f>IF(ISBLANK('Data Entry'!$$206), "", 'Data Entry'!$$206)</f>
      </c>
      <c r="CR206">
        <f>IF(ISBLANK('Data Entry'!$ $206), "", 'Data Entry'!$ $206)</f>
      </c>
      <c r="CS206">
        <f>IF(ISBLANK('Data Entry'!$¡$206), "", 'Data Entry'!$¡$206)</f>
      </c>
      <c r="CT206">
        <f>IF(ISBLANK('Data Entry'!$¢$206), "", 'Data Entry'!$¢$206)</f>
      </c>
      <c r="CU206">
        <f>IF(ISBLANK('Data Entry'!$£$206), "", 'Data Entry'!$£$206)</f>
      </c>
      <c r="CV206">
        <f>IF(ISBLANK('Data Entry'!$¤$206), "", 'Data Entry'!$¤$206)</f>
      </c>
      <c r="CW206">
        <f>IF(ISBLANK('Data Entry'!$¥$206), "", 'Data Entry'!$¥$206)</f>
      </c>
      <c r="CX206">
        <f>IF(ISBLANK('Data Entry'!$¦$206), "", 'Data Entry'!$¦$206)</f>
      </c>
      <c r="CY206">
        <f>IF(ISBLANK('Data Entry'!$§$206), "", 'Data Entry'!$§$206)</f>
      </c>
      <c r="CZ206">
        <f>IF(ISBLANK('Data Entry'!$¨$206), "", 'Data Entry'!$¨$206)</f>
      </c>
      <c r="DA206">
        <f>IF(ISBLANK('Data Entry'!$©$206), "", 'Data Entry'!$©$206)</f>
      </c>
      <c r="DB206">
        <f>IF(ISBLANK('Data Entry'!$ª$206), "", 'Data Entry'!$ª$206)</f>
      </c>
      <c r="DC206">
        <f>IF(ISBLANK('Data Entry'!$«$206), "", 'Data Entry'!$«$206)</f>
      </c>
      <c r="DD206">
        <f>IF(ISBLANK('Data Entry'!$¬$206), "", 'Data Entry'!$¬$206)</f>
      </c>
      <c r="DE206">
        <f>IF(ISBLANK('Data Entry'!$­$206), "", 'Data Entry'!$­$206)</f>
      </c>
      <c r="DF206">
        <f>IF(ISBLANK('Data Entry'!$®$206), "", 'Data Entry'!$®$206)</f>
      </c>
      <c r="DG206">
        <f>IF(ISBLANK('Data Entry'!$¯$206), "", 'Data Entry'!$¯$206)</f>
      </c>
      <c r="DH206">
        <f>IF(ISBLANK('Data Entry'!$°$206), "", 'Data Entry'!$°$206)</f>
      </c>
      <c r="DI206">
        <f>IF(ISBLANK('Data Entry'!$±$206), "", 'Data Entry'!$±$206)</f>
      </c>
      <c r="DJ206">
        <f>IF(ISBLANK('Data Entry'!$²$206), "", 'Data Entry'!$²$206)</f>
      </c>
      <c r="DK206">
        <f>IF(ISBLANK('Data Entry'!$³$206), "", 'Data Entry'!$³$206)</f>
      </c>
      <c r="DL206">
        <f>IF(ISBLANK('Data Entry'!$´$206), "", 'Data Entry'!$´$206)</f>
      </c>
      <c r="DM206">
        <f>IF(ISBLANK('Data Entry'!$µ$206), "", 'Data Entry'!$µ$206)</f>
      </c>
      <c r="DN206">
        <f>IF(ISBLANK('Data Entry'!$¶$206), "", 'Data Entry'!$¶$206)</f>
      </c>
      <c r="DO206">
        <f>IF(ISBLANK('Data Entry'!$·$206), "", 'Data Entry'!$·$206)</f>
      </c>
      <c r="DP206">
        <f>IF(ISBLANK('Data Entry'!$¸$206), "", 'Data Entry'!$¸$206)</f>
      </c>
      <c r="DQ206">
        <f>IF(ISBLANK('Data Entry'!$¹$206), "", 'Data Entry'!$¹$206)</f>
      </c>
      <c r="DR206">
        <f>IF(ISBLANK('Data Entry'!$º$206), "", 'Data Entry'!$º$206)</f>
      </c>
      <c r="DS206">
        <f>IF(ISBLANK('Data Entry'!$»$206), "", 'Data Entry'!$»$206)</f>
      </c>
      <c r="DT206">
        <f>IF(ISBLANK('Data Entry'!$¼$206), "", 'Data Entry'!$¼$206)</f>
      </c>
      <c r="DU206">
        <f>IF(ISBLANK('Data Entry'!$½$206), "", 'Data Entry'!$½$206)</f>
      </c>
      <c r="DV206">
        <f>IF(ISBLANK('Data Entry'!$¾$206), "", 'Data Entry'!$¾$206)</f>
      </c>
      <c r="DW206">
        <f>IF(ISBLANK('Data Entry'!$¿$206), "", 'Data Entry'!$¿$206)</f>
      </c>
      <c r="DX206">
        <f>IF(ISBLANK('Data Entry'!$À$206), "", 'Data Entry'!$À$206)</f>
      </c>
      <c r="DY206">
        <f>IF(ISBLANK('Data Entry'!$Á$206), "", 'Data Entry'!$Á$206)</f>
      </c>
      <c r="DZ206">
        <f>IF(ISBLANK('Data Entry'!$Â$206), "", 'Data Entry'!$Â$206)</f>
      </c>
      <c r="EA206">
        <f>IF(ISBLANK('Data Entry'!$Ã$206), "", 'Data Entry'!$Ã$206)</f>
      </c>
      <c r="EB206">
        <f>IF(ISBLANK('Data Entry'!$Ä$206), "", 'Data Entry'!$Ä$206)</f>
      </c>
      <c r="EC206">
        <f>IF(ISBLANK('Data Entry'!$Å$206), "", 'Data Entry'!$Å$206)</f>
      </c>
      <c r="ED206">
        <f>IF(ISBLANK('Data Entry'!$Æ$206), "", 'Data Entry'!$Æ$206)</f>
      </c>
      <c r="EE206">
        <f>IF(ISBLANK('Data Entry'!$Ç$206), "", 'Data Entry'!$Ç$206)</f>
      </c>
      <c r="EF206">
        <f>IF(ISBLANK('Data Entry'!$È$206), "", 'Data Entry'!$È$206)</f>
      </c>
      <c r="EG206">
        <f>IF(ISBLANK('Data Entry'!$É$206), "", 'Data Entry'!$É$206)</f>
      </c>
      <c r="EH206">
        <f>IF(ISBLANK('Data Entry'!$Ê$206), "", 'Data Entry'!$Ê$206)</f>
      </c>
      <c r="EI206">
        <f>IF(ISBLANK('Data Entry'!$Ë$206), "", 'Data Entry'!$Ë$206)</f>
      </c>
      <c r="EJ206">
        <f>IF(ISBLANK('Data Entry'!$Ì$206), "", 'Data Entry'!$Ì$206)</f>
      </c>
      <c r="EK206">
        <f>IF(ISBLANK('Data Entry'!$Í$206), "", 'Data Entry'!$Í$206)</f>
      </c>
      <c r="EL206">
        <f>IF(ISBLANK('Data Entry'!$Î$206), "", 'Data Entry'!$Î$206)</f>
      </c>
      <c r="EM206">
        <f>IF(ISBLANK('Data Entry'!$Ï$206), "", 'Data Entry'!$Ï$206)</f>
      </c>
      <c r="EN206">
        <f>IF(ISBLANK('Data Entry'!$Ð$206), "", 'Data Entry'!$Ð$206)</f>
      </c>
      <c r="EO206">
        <f>IF(ISBLANK('Data Entry'!$Ñ$206), "", 'Data Entry'!$Ñ$206)</f>
      </c>
      <c r="EP206">
        <f>IF(ISBLANK('Data Entry'!$Ò$206), "", 'Data Entry'!$Ò$206)</f>
      </c>
      <c r="EQ206">
        <f>IF(ISBLANK('Data Entry'!$Ó$206), "", 'Data Entry'!$Ó$206)</f>
      </c>
      <c r="ER206">
        <f>IF(ISBLANK('Data Entry'!$Ô$206), "", 'Data Entry'!$Ô$206)</f>
      </c>
      <c r="ES206">
        <f>IF(ISBLANK('Data Entry'!$Õ$206), "", 'Data Entry'!$Õ$206)</f>
      </c>
      <c r="ET206">
        <f>IF(ISBLANK('Data Entry'!$Ö$206), "", 'Data Entry'!$Ö$206)</f>
      </c>
      <c r="EU206">
        <f>IF(ISBLANK('Data Entry'!$×$206), "", 'Data Entry'!$×$206)</f>
      </c>
      <c r="EV206">
        <f>IF(ISBLANK('Data Entry'!$Ø$206), "", 'Data Entry'!$Ø$206)</f>
      </c>
      <c r="EW206">
        <f>IF(ISBLANK('Data Entry'!$Ù$206), "", 'Data Entry'!$Ù$206)</f>
      </c>
      <c r="EX206">
        <f>IF(ISBLANK('Data Entry'!$Ú$206), "", 'Data Entry'!$Ú$206)</f>
      </c>
      <c r="EY206">
        <f>IF(ISBLANK('Data Entry'!$Û$206), "", 'Data Entry'!$Û$206)</f>
      </c>
      <c r="EZ206">
        <f>IF(ISBLANK('Data Entry'!$Ü$206), "", 'Data Entry'!$Ü$206)</f>
      </c>
      <c r="FA206">
        <f>IF(ISBLANK('Data Entry'!$Ý$206), "", 'Data Entry'!$Ý$206)</f>
      </c>
      <c r="FB206">
        <f>IF(ISBLANK('Data Entry'!$Þ$206), "", 'Data Entry'!$Þ$206)</f>
      </c>
      <c r="FC206">
        <f>IF(ISBLANK('Data Entry'!$ß$206), "", 'Data Entry'!$ß$206)</f>
      </c>
      <c r="FD206">
        <f>IF(ISBLANK('Data Entry'!$à$206), "", 'Data Entry'!$à$206)</f>
      </c>
      <c r="FE206">
        <f>IF(ISBLANK('Data Entry'!$á$206), "", 'Data Entry'!$á$206)</f>
      </c>
      <c r="FF206">
        <f>IF(ISBLANK('Data Entry'!$â$206), "", 'Data Entry'!$â$206)</f>
      </c>
      <c r="FG206">
        <f>IF(ISBLANK('Data Entry'!$ã$206), "", 'Data Entry'!$ã$206)</f>
      </c>
      <c r="FH206">
        <f>IF(ISBLANK('Data Entry'!$ä$206), "", 'Data Entry'!$ä$206)</f>
      </c>
      <c r="FI206">
        <f>IF(ISBLANK('Data Entry'!$å$206), "", 'Data Entry'!$å$206)</f>
      </c>
      <c r="FJ206">
        <f>IF(ISBLANK('Data Entry'!$æ$206), "", 'Data Entry'!$æ$206)</f>
      </c>
      <c r="FK206">
        <f>IF(ISBLANK('Data Entry'!$ç$206), "", 'Data Entry'!$ç$206)</f>
      </c>
      <c r="FL206">
        <f>IF(ISBLANK('Data Entry'!$è$206), "", 'Data Entry'!$è$206)</f>
      </c>
      <c r="FM206">
        <f>IF(ISBLANK('Data Entry'!$é$206), "", 'Data Entry'!$é$206)</f>
      </c>
      <c r="FN206">
        <f>IF(ISBLANK('Data Entry'!$ê$206), "", 'Data Entry'!$ê$206)</f>
      </c>
      <c r="FO206">
        <f>IF(ISBLANK('Data Entry'!$ë$206), "", 'Data Entry'!$ë$206)</f>
      </c>
      <c r="FP206">
        <f>IF(ISBLANK('Data Entry'!$ì$206), "", 'Data Entry'!$ì$206)</f>
      </c>
      <c r="FQ206">
        <f>IF(ISBLANK('Data Entry'!$í$206), "", 'Data Entry'!$í$206)</f>
      </c>
      <c r="FR206">
        <f>IF(ISBLANK('Data Entry'!$î$206), "", 'Data Entry'!$î$206)</f>
      </c>
      <c r="FS206">
        <f>IF(ISBLANK('Data Entry'!$ï$206), "", 'Data Entry'!$ï$206)</f>
      </c>
      <c r="FT206">
        <f>IF(ISBLANK('Data Entry'!$ð$206), "", 'Data Entry'!$ð$206)</f>
      </c>
      <c r="FU206">
        <f>IF(ISBLANK('Data Entry'!$ñ$206), "", 'Data Entry'!$ñ$206)</f>
      </c>
      <c r="FV206">
        <f>IF(ISBLANK('Data Entry'!$ò$206), "", 'Data Entry'!$ò$206)</f>
      </c>
      <c r="FW206">
        <f>IF(ISBLANK('Data Entry'!$ó$206), "", 'Data Entry'!$ó$206)</f>
      </c>
      <c r="FX206">
        <f>IF(ISBLANK('Data Entry'!$ô$206), "", 'Data Entry'!$ô$206)</f>
      </c>
      <c r="FY206">
        <f>IF(ISBLANK('Data Entry'!$õ$206), "", 'Data Entry'!$õ$206)</f>
      </c>
      <c r="FZ206">
        <f>IF(ISBLANK('Data Entry'!$ö$206), "", 'Data Entry'!$ö$206)</f>
      </c>
      <c r="GA206">
        <f>IF(ISBLANK('Data Entry'!$÷$206), "", 'Data Entry'!$÷$206)</f>
      </c>
      <c r="GB206">
        <f>IF(ISBLANK('Data Entry'!$ø$206), "", 'Data Entry'!$ø$206)</f>
      </c>
      <c r="GC206">
        <f>IF(ISBLANK('Data Entry'!$ù$206), "", 'Data Entry'!$ù$206)</f>
      </c>
      <c r="GD206">
        <f>IF(ISBLANK('Data Entry'!$ú$206), "", 'Data Entry'!$ú$206)</f>
      </c>
      <c r="GE206">
        <f>IF(ISBLANK('Data Entry'!$û$206), "", 'Data Entry'!$û$206)</f>
      </c>
      <c r="GF206">
        <f>IF(ISBLANK('Data Entry'!$ü$206), "", 'Data Entry'!$ü$206)</f>
      </c>
      <c r="GG206">
        <f>IF(ISBLANK('Data Entry'!$ý$206), "", 'Data Entry'!$ý$206)</f>
      </c>
      <c r="GH206">
        <f>IF(ISBLANK('Data Entry'!$þ$206), "", 'Data Entry'!$þ$206)</f>
      </c>
      <c r="GI206">
        <f>IF(ISBLANK('Data Entry'!$ÿ$206), "", 'Data Entry'!$ÿ$206)</f>
      </c>
      <c r="GJ206">
        <f>IF(ISBLANK('Data Entry'!$Ā$206), "", 'Data Entry'!$Ā$206)</f>
      </c>
      <c r="GK206">
        <f>IF(ISBLANK('Data Entry'!$ā$206), "", 'Data Entry'!$ā$206)</f>
      </c>
      <c r="GL206">
        <f>IF(ISBLANK('Data Entry'!$Ă$206), "", 'Data Entry'!$Ă$206)</f>
      </c>
      <c r="GM206">
        <f>IF(ISBLANK('Data Entry'!$ă$206), "", 'Data Entry'!$ă$206)</f>
      </c>
      <c r="GN206">
        <f>IF(ISBLANK('Data Entry'!$Ą$206), "", 'Data Entry'!$Ą$206)</f>
      </c>
      <c r="GO206">
        <f>IF(ISBLANK('Data Entry'!$ą$206), "", 'Data Entry'!$ą$206)</f>
      </c>
      <c r="GP206">
        <f>IF(ISBLANK('Data Entry'!$Ć$206), "", 'Data Entry'!$Ć$206)</f>
      </c>
      <c r="GQ206">
        <f>IF(ISBLANK('Data Entry'!$ć$206), "", 'Data Entry'!$ć$206)</f>
      </c>
      <c r="GR206">
        <f>IF(ISBLANK('Data Entry'!$Ĉ$206), "", 'Data Entry'!$Ĉ$206)</f>
      </c>
      <c r="GS206">
        <f>IF(ISBLANK('Data Entry'!$ĉ$206), "", 'Data Entry'!$ĉ$206)</f>
      </c>
      <c r="GT206">
        <f>IF(ISBLANK('Data Entry'!$Ċ$206), "", 'Data Entry'!$Ċ$206)</f>
      </c>
      <c r="GU206">
        <f>IF(ISBLANK('Data Entry'!$ċ$206), "", 'Data Entry'!$ċ$206)</f>
      </c>
      <c r="GV206">
        <f>IF(ISBLANK('Data Entry'!$Č$206), "", 'Data Entry'!$Č$206)</f>
      </c>
      <c r="GW206">
        <f>IF(ISBLANK('Data Entry'!$č$206), "", 'Data Entry'!$č$206)</f>
      </c>
      <c r="GX206">
        <f>IF(ISBLANK('Data Entry'!$Ď$206), "", 'Data Entry'!$Ď$206)</f>
      </c>
      <c r="GY206">
        <f>IF(ISBLANK('Data Entry'!$ď$206), "", 'Data Entry'!$ď$206)</f>
      </c>
      <c r="GZ206">
        <f>IF(ISBLANK('Data Entry'!$Đ$206), "", 'Data Entry'!$Đ$206)</f>
      </c>
      <c r="HA206">
        <f>IF(ISBLANK('Data Entry'!$đ$206), "", 'Data Entry'!$đ$206)</f>
      </c>
      <c r="HB206">
        <f>IF(ISBLANK('Data Entry'!$Ē$206), "", 'Data Entry'!$Ē$206)</f>
      </c>
      <c r="HC206">
        <f>IF(ISBLANK('Data Entry'!$ē$206), "", 'Data Entry'!$ē$206)</f>
      </c>
      <c r="HD206">
        <f>IF(ISBLANK('Data Entry'!$Ĕ$206), "", 'Data Entry'!$Ĕ$206)</f>
      </c>
      <c r="HE206">
        <f>IF(ISBLANK('Data Entry'!$ĕ$206), "", 'Data Entry'!$ĕ$206)</f>
      </c>
      <c r="HF206">
        <f>IF(ISBLANK('Data Entry'!$Ė$206), "", 'Data Entry'!$Ė$206)</f>
      </c>
      <c r="HG206">
        <f>IF(ISBLANK('Data Entry'!$ė$206), "", 'Data Entry'!$ė$206)</f>
      </c>
      <c r="HH206">
        <f>IF(ISBLANK('Data Entry'!$Ę$206), "", 'Data Entry'!$Ę$206)</f>
      </c>
      <c r="HI206">
        <f>IF(ISBLANK('Data Entry'!$ę$206), "", 'Data Entry'!$ę$206)</f>
      </c>
      <c r="HJ206">
        <f>IF(ISBLANK('Data Entry'!$Ě$206), "", 'Data Entry'!$Ě$206)</f>
      </c>
      <c r="HK206">
        <f>IF(ISBLANK('Data Entry'!$ě$206), "", 'Data Entry'!$ě$206)</f>
      </c>
      <c r="HL206">
        <f>IF(ISBLANK('Data Entry'!$Ĝ$206), "", 'Data Entry'!$Ĝ$206)</f>
      </c>
      <c r="HM206">
        <f>IF(ISBLANK('Data Entry'!$ĝ$206), "", 'Data Entry'!$ĝ$206)</f>
      </c>
      <c r="HN206">
        <f>IF(ISBLANK('Data Entry'!$Ğ$206), "", 'Data Entry'!$Ğ$206)</f>
      </c>
      <c r="HO206">
        <f>IF(ISBLANK('Data Entry'!$ğ$206), "", 'Data Entry'!$ğ$206)</f>
      </c>
      <c r="HP206">
        <f>IF(ISBLANK('Data Entry'!$Ġ$206), "", 'Data Entry'!$Ġ$206)</f>
      </c>
      <c r="HQ206">
        <f>IF(ISBLANK('Data Entry'!$ġ$206), "", 'Data Entry'!$ġ$206)</f>
      </c>
      <c r="HR206">
        <f>IF(ISBLANK('Data Entry'!$Ģ$206), "", 'Data Entry'!$Ģ$206)</f>
      </c>
      <c r="HS206">
        <f>IF(ISBLANK('Data Entry'!$ģ$206), "", 'Data Entry'!$ģ$206)</f>
      </c>
      <c r="HT206">
        <f>IF(ISBLANK('Data Entry'!$Ĥ$206), "", 'Data Entry'!$Ĥ$206)</f>
      </c>
      <c r="HU206">
        <f>IF(ISBLANK('Data Entry'!$ĥ$206), "", 'Data Entry'!$ĥ$206)</f>
      </c>
      <c r="HV206">
        <f>IF(ISBLANK('Data Entry'!$Ħ$206), "", 'Data Entry'!$Ħ$206)</f>
      </c>
      <c r="HW206">
        <f>IF(ISBLANK('Data Entry'!$ħ$206), "", 'Data Entry'!$ħ$206)</f>
      </c>
      <c r="HX206">
        <f>IF(ISBLANK('Data Entry'!$Ĩ$206), "", 'Data Entry'!$Ĩ$206)</f>
      </c>
      <c r="HY206">
        <f>IF(ISBLANK('Data Entry'!$ĩ$206), "", 'Data Entry'!$ĩ$206)</f>
      </c>
      <c r="HZ206">
        <f>IF(ISBLANK('Data Entry'!$Ī$206), "", 'Data Entry'!$Ī$206)</f>
      </c>
      <c r="IA206">
        <f>IF(ISBLANK('Data Entry'!$ī$206), "", 'Data Entry'!$ī$206)</f>
      </c>
      <c r="IB206">
        <f>IF(ISBLANK('Data Entry'!$Ĭ$206), "", 'Data Entry'!$Ĭ$206)</f>
      </c>
      <c r="IC206">
        <f>IF(ISBLANK('Data Entry'!$ĭ$206), "", 'Data Entry'!$ĭ$206)</f>
      </c>
      <c r="ID206">
        <f>IF(ISBLANK('Data Entry'!$Į$206), "", 'Data Entry'!$Į$206)</f>
      </c>
      <c r="IE206">
        <f>IF(ISBLANK('Data Entry'!$į$206), "", 'Data Entry'!$į$206)</f>
      </c>
      <c r="IF206">
        <f>IF(ISBLANK('Data Entry'!$İ$206), "", 'Data Entry'!$İ$206)</f>
      </c>
      <c r="IG206">
        <f>IF(ISBLANK('Data Entry'!$ı$206), "", 'Data Entry'!$ı$206)</f>
      </c>
      <c r="IH206">
        <f>IF(ISBLANK('Data Entry'!$Ĳ$206), "", 'Data Entry'!$Ĳ$206)</f>
      </c>
      <c r="II206">
        <f>IF(ISBLANK('Data Entry'!$ĳ$206), "", 'Data Entry'!$ĳ$206)</f>
      </c>
      <c r="IJ206">
        <f>IF(ISBLANK('Data Entry'!$Ĵ$206), "", 'Data Entry'!$Ĵ$206)</f>
      </c>
      <c r="IK206">
        <f>IF(ISBLANK('Data Entry'!$ĵ$206), "", 'Data Entry'!$ĵ$206)</f>
      </c>
      <c r="IL206">
        <f>IF(ISBLANK('Data Entry'!$Ķ$206), "", 'Data Entry'!$Ķ$206)</f>
      </c>
      <c r="IM206">
        <f>IF(ISBLANK('Data Entry'!$ķ$206), "", 'Data Entry'!$ķ$206)</f>
      </c>
      <c r="IN206">
        <f>IF(ISBLANK('Data Entry'!$ĸ$206), "", 'Data Entry'!$ĸ$206)</f>
      </c>
      <c r="IO206">
        <f>IF(ISBLANK('Data Entry'!$Ĺ$206), "", 'Data Entry'!$Ĺ$206)</f>
      </c>
      <c r="IP206">
        <f>IF(ISBLANK('Data Entry'!$ĺ$206), "", 'Data Entry'!$ĺ$206)</f>
      </c>
      <c r="IQ206">
        <f>IF(ISBLANK('Data Entry'!$Ļ$206), "", 'Data Entry'!$Ļ$206)</f>
      </c>
      <c r="IR206">
        <f>IF(ISBLANK('Data Entry'!$ļ$206), "", 'Data Entry'!$ļ$206)</f>
      </c>
      <c r="IS206">
        <f>IF(ISBLANK('Data Entry'!$Ľ$206), "", 'Data Entry'!$Ľ$206)</f>
      </c>
      <c r="IT206">
        <f>IF(ISBLANK('Data Entry'!$ľ$206), "", 'Data Entry'!$ľ$206)</f>
      </c>
    </row>
    <row r="207" spans="1:254" x14ac:dyDescent="0.25">
      <c r="A207">
        <f>IF(ISBLANK('Data Entry'!$A$207), "", 'Data Entry'!$A$207)</f>
      </c>
      <c r="B207">
        <f>IF(ISBLANK('Data Entry'!$B$207), "", 'Data Entry'!$B$207)</f>
      </c>
      <c r="C207">
        <f>IF(ISBLANK('Data Entry'!$C$207), "", 'Data Entry'!$C$207)</f>
      </c>
      <c r="D207">
        <f>IF(ISBLANK('Data Entry'!$D$207), "", 'Data Entry'!$D$207)</f>
      </c>
      <c r="E207">
        <f>IF(ISBLANK('Data Entry'!$E$207), "", 'Data Entry'!$E$207)</f>
      </c>
      <c r="F207">
        <f>IF(ISBLANK('Data Entry'!$F$207), "", 'Data Entry'!$F$207)</f>
      </c>
      <c r="G207">
        <f>IF(ISBLANK('Data Entry'!$G$207), "", 'Data Entry'!$G$207)</f>
      </c>
      <c r="H207">
        <f>IF(ISBLANK('Data Entry'!$H$207), "", 'Data Entry'!$H$207)</f>
      </c>
      <c r="I207">
        <f>IF(ISBLANK('Data Entry'!$I$207), "", 'Data Entry'!$I$207)</f>
      </c>
      <c r="J207">
        <f>IF(ISBLANK('Data Entry'!$J$207), "", 'Data Entry'!$J$207)</f>
      </c>
      <c r="K207">
        <f>IF(ISBLANK('Data Entry'!$K$207), "", 'Data Entry'!$K$207)</f>
      </c>
      <c r="L207">
        <f>IF(ISBLANK('Data Entry'!$L$207), "", 'Data Entry'!$L$207)</f>
      </c>
      <c r="M207">
        <f>IF(ISBLANK('Data Entry'!$M$207), "", 'Data Entry'!$M$207)</f>
      </c>
      <c r="N207">
        <f>IF(ISBLANK('Data Entry'!$N$207), "", 'Data Entry'!$N$207)</f>
      </c>
      <c r="O207">
        <f>IF(ISBLANK('Data Entry'!$O$207), "", 'Data Entry'!$O$207)</f>
      </c>
      <c r="P207">
        <f>IF(ISBLANK('Data Entry'!$P$207), "", 'Data Entry'!$P$207)</f>
      </c>
      <c r="Q207">
        <f>IF(ISBLANK('Data Entry'!$Q$207), "", 'Data Entry'!$Q$207)</f>
      </c>
      <c r="R207">
        <f>IF(ISBLANK('Data Entry'!$R$207), "", 'Data Entry'!$R$207)</f>
      </c>
      <c r="S207">
        <f>IF(ISBLANK('Data Entry'!$S$207), "", 'Data Entry'!$S$207)</f>
      </c>
      <c r="T207">
        <f>IF(ISBLANK('Data Entry'!$T$207), "", 'Data Entry'!$T$207)</f>
      </c>
      <c r="U207">
        <f>IF(ISBLANK('Data Entry'!$U$207), "", 'Data Entry'!$U$207)</f>
      </c>
      <c r="V207">
        <f>IF(ISBLANK('Data Entry'!$V$207), "", 'Data Entry'!$V$207)</f>
      </c>
      <c r="W207">
        <f>IF(ISBLANK('Data Entry'!$W$207), "", 'Data Entry'!$W$207)</f>
      </c>
      <c r="X207">
        <f>IF(ISBLANK('Data Entry'!$X$207), "", 'Data Entry'!$X$207)</f>
      </c>
      <c r="Y207">
        <f>IF(ISBLANK('Data Entry'!$Y$207), "", 'Data Entry'!$Y$207)</f>
      </c>
      <c r="Z207">
        <f>IF(ISBLANK('Data Entry'!$Z$207), "", 'Data Entry'!$Z$207)</f>
      </c>
      <c r="AA207">
        <f>IF(ISBLANK('Data Entry'!$[$207), "", 'Data Entry'!$[$207)</f>
      </c>
      <c r="AB207">
        <f>IF(ISBLANK('Data Entry'!$\$207), "", 'Data Entry'!$\$207)</f>
      </c>
      <c r="AC207">
        <f>IF(ISBLANK('Data Entry'!$]$207), "", 'Data Entry'!$]$207)</f>
      </c>
      <c r="AD207">
        <f>IF(ISBLANK('Data Entry'!$^$207), "", 'Data Entry'!$^$207)</f>
      </c>
      <c r="AE207">
        <f>IF(ISBLANK('Data Entry'!$_$207), "", 'Data Entry'!$_$207)</f>
      </c>
      <c r="AF207">
        <f>IF(ISBLANK('Data Entry'!$`$207), "", 'Data Entry'!$`$207)</f>
      </c>
      <c r="AG207">
        <f>IF(ISBLANK('Data Entry'!$a$207), "", 'Data Entry'!$a$207)</f>
      </c>
      <c r="AH207">
        <f>IF(ISBLANK('Data Entry'!$b$207), "", 'Data Entry'!$b$207)</f>
      </c>
      <c r="AI207">
        <f>IF(ISBLANK('Data Entry'!$c$207), "", 'Data Entry'!$c$207)</f>
      </c>
      <c r="AJ207">
        <f>IF(ISBLANK('Data Entry'!$d$207), "", 'Data Entry'!$d$207)</f>
      </c>
      <c r="AK207">
        <f>IF(ISBLANK('Data Entry'!$e$207), "", 'Data Entry'!$e$207)</f>
      </c>
      <c r="AL207">
        <f>IF(ISBLANK('Data Entry'!$f$207), "", 'Data Entry'!$f$207)</f>
      </c>
      <c r="AM207">
        <f>IF(ISBLANK('Data Entry'!$g$207), "", 'Data Entry'!$g$207)</f>
      </c>
      <c r="AN207">
        <f>IF(ISBLANK('Data Entry'!$h$207), "", 'Data Entry'!$h$207)</f>
      </c>
      <c r="AO207">
        <f>IF(ISBLANK('Data Entry'!$i$207), "", 'Data Entry'!$i$207)</f>
      </c>
      <c r="AP207">
        <f>IF(ISBLANK('Data Entry'!$j$207), "", 'Data Entry'!$j$207)</f>
      </c>
      <c r="AQ207">
        <f>IF(ISBLANK('Data Entry'!$k$207), "", 'Data Entry'!$k$207)</f>
      </c>
      <c r="AR207">
        <f>IF(ISBLANK('Data Entry'!$l$207), "", 'Data Entry'!$l$207)</f>
      </c>
      <c r="AS207">
        <f>IF(ISBLANK('Data Entry'!$m$207), "", 'Data Entry'!$m$207)</f>
      </c>
      <c r="AT207">
        <f>IF(ISBLANK('Data Entry'!$n$207), "", 'Data Entry'!$n$207)</f>
      </c>
      <c r="AU207">
        <f>IF(ISBLANK('Data Entry'!$o$207), "", 'Data Entry'!$o$207)</f>
      </c>
      <c r="AV207">
        <f>IF(ISBLANK('Data Entry'!$p$207), "", 'Data Entry'!$p$207)</f>
      </c>
      <c r="AW207">
        <f>IF(ISBLANK('Data Entry'!$q$207), "", 'Data Entry'!$q$207)</f>
      </c>
      <c r="AX207">
        <f>IF(ISBLANK('Data Entry'!$r$207), "", 'Data Entry'!$r$207)</f>
      </c>
      <c r="AY207">
        <f>IF(ISBLANK('Data Entry'!$s$207), "", 'Data Entry'!$s$207)</f>
      </c>
      <c r="AZ207">
        <f>IF(ISBLANK('Data Entry'!$t$207), "", 'Data Entry'!$t$207)</f>
      </c>
      <c r="BA207">
        <f>IF(ISBLANK('Data Entry'!$u$207), "", 'Data Entry'!$u$207)</f>
      </c>
      <c r="BB207">
        <f>IF(ISBLANK('Data Entry'!$v$207), "", 'Data Entry'!$v$207)</f>
      </c>
      <c r="BC207">
        <f>IF(ISBLANK('Data Entry'!$w$207), "", 'Data Entry'!$w$207)</f>
      </c>
      <c r="BD207">
        <f>IF(ISBLANK('Data Entry'!$x$207), "", 'Data Entry'!$x$207)</f>
      </c>
      <c r="BE207">
        <f>IF(ISBLANK('Data Entry'!$y$207), "", 'Data Entry'!$y$207)</f>
      </c>
      <c r="BF207">
        <f>IF(ISBLANK('Data Entry'!$z$207), "", 'Data Entry'!$z$207)</f>
      </c>
      <c r="BG207">
        <f>IF(ISBLANK('Data Entry'!${$207), "", 'Data Entry'!${$207)</f>
      </c>
      <c r="BH207">
        <f>IF(ISBLANK('Data Entry'!$|$207), "", 'Data Entry'!$|$207)</f>
      </c>
      <c r="BI207">
        <f>IF(ISBLANK('Data Entry'!$}$207), "", 'Data Entry'!$}$207)</f>
      </c>
      <c r="BJ207">
        <f>IF(ISBLANK('Data Entry'!$~$207), "", 'Data Entry'!$~$207)</f>
      </c>
      <c r="BK207">
        <f>IF(ISBLANK('Data Entry'!$$207), "", 'Data Entry'!$$207)</f>
      </c>
      <c r="BL207">
        <f>IF(ISBLANK('Data Entry'!$$207), "", 'Data Entry'!$$207)</f>
      </c>
      <c r="BM207">
        <f>IF(ISBLANK('Data Entry'!$$207), "", 'Data Entry'!$$207)</f>
      </c>
      <c r="BN207">
        <f>IF(ISBLANK('Data Entry'!$$207), "", 'Data Entry'!$$207)</f>
      </c>
      <c r="BO207">
        <f>IF(ISBLANK('Data Entry'!$$207), "", 'Data Entry'!$$207)</f>
      </c>
      <c r="BP207">
        <f>IF(ISBLANK('Data Entry'!$$207), "", 'Data Entry'!$$207)</f>
      </c>
      <c r="BQ207">
        <f>IF(ISBLANK('Data Entry'!$$207), "", 'Data Entry'!$$207)</f>
      </c>
      <c r="BR207">
        <f>IF(ISBLANK('Data Entry'!$$207), "", 'Data Entry'!$$207)</f>
      </c>
      <c r="BS207">
        <f>IF(ISBLANK('Data Entry'!$$207), "", 'Data Entry'!$$207)</f>
      </c>
      <c r="BT207">
        <f>IF(ISBLANK('Data Entry'!$$207), "", 'Data Entry'!$$207)</f>
      </c>
      <c r="BU207">
        <f>IF(ISBLANK('Data Entry'!$$207), "", 'Data Entry'!$$207)</f>
      </c>
      <c r="BV207">
        <f>IF(ISBLANK('Data Entry'!$$207), "", 'Data Entry'!$$207)</f>
      </c>
      <c r="BW207">
        <f>IF(ISBLANK('Data Entry'!$$207), "", 'Data Entry'!$$207)</f>
      </c>
      <c r="BX207">
        <f>IF(ISBLANK('Data Entry'!$$207), "", 'Data Entry'!$$207)</f>
      </c>
      <c r="BY207">
        <f>IF(ISBLANK('Data Entry'!$$207), "", 'Data Entry'!$$207)</f>
      </c>
      <c r="BZ207">
        <f>IF(ISBLANK('Data Entry'!$$207), "", 'Data Entry'!$$207)</f>
      </c>
      <c r="CA207">
        <f>IF(ISBLANK('Data Entry'!$$207), "", 'Data Entry'!$$207)</f>
      </c>
      <c r="CB207">
        <f>IF(ISBLANK('Data Entry'!$$207), "", 'Data Entry'!$$207)</f>
      </c>
      <c r="CC207">
        <f>IF(ISBLANK('Data Entry'!$$207), "", 'Data Entry'!$$207)</f>
      </c>
      <c r="CD207">
        <f>IF(ISBLANK('Data Entry'!$$207), "", 'Data Entry'!$$207)</f>
      </c>
      <c r="CE207">
        <f>IF(ISBLANK('Data Entry'!$$207), "", 'Data Entry'!$$207)</f>
      </c>
      <c r="CF207">
        <f>IF(ISBLANK('Data Entry'!$$207), "", 'Data Entry'!$$207)</f>
      </c>
      <c r="CG207">
        <f>IF(ISBLANK('Data Entry'!$$207), "", 'Data Entry'!$$207)</f>
      </c>
      <c r="CH207">
        <f>IF(ISBLANK('Data Entry'!$$207), "", 'Data Entry'!$$207)</f>
      </c>
      <c r="CI207">
        <f>IF(ISBLANK('Data Entry'!$$207), "", 'Data Entry'!$$207)</f>
      </c>
      <c r="CJ207">
        <f>IF(ISBLANK('Data Entry'!$$207), "", 'Data Entry'!$$207)</f>
      </c>
      <c r="CK207">
        <f>IF(ISBLANK('Data Entry'!$$207), "", 'Data Entry'!$$207)</f>
      </c>
      <c r="CL207">
        <f>IF(ISBLANK('Data Entry'!$$207), "", 'Data Entry'!$$207)</f>
      </c>
      <c r="CM207">
        <f>IF(ISBLANK('Data Entry'!$$207), "", 'Data Entry'!$$207)</f>
      </c>
      <c r="CN207">
        <f>IF(ISBLANK('Data Entry'!$$207), "", 'Data Entry'!$$207)</f>
      </c>
      <c r="CO207">
        <f>IF(ISBLANK('Data Entry'!$$207), "", 'Data Entry'!$$207)</f>
      </c>
      <c r="CP207">
        <f>IF(ISBLANK('Data Entry'!$$207), "", 'Data Entry'!$$207)</f>
      </c>
      <c r="CQ207">
        <f>IF(ISBLANK('Data Entry'!$$207), "", 'Data Entry'!$$207)</f>
      </c>
      <c r="CR207">
        <f>IF(ISBLANK('Data Entry'!$ $207), "", 'Data Entry'!$ $207)</f>
      </c>
      <c r="CS207">
        <f>IF(ISBLANK('Data Entry'!$¡$207), "", 'Data Entry'!$¡$207)</f>
      </c>
      <c r="CT207">
        <f>IF(ISBLANK('Data Entry'!$¢$207), "", 'Data Entry'!$¢$207)</f>
      </c>
      <c r="CU207">
        <f>IF(ISBLANK('Data Entry'!$£$207), "", 'Data Entry'!$£$207)</f>
      </c>
      <c r="CV207">
        <f>IF(ISBLANK('Data Entry'!$¤$207), "", 'Data Entry'!$¤$207)</f>
      </c>
      <c r="CW207">
        <f>IF(ISBLANK('Data Entry'!$¥$207), "", 'Data Entry'!$¥$207)</f>
      </c>
      <c r="CX207">
        <f>IF(ISBLANK('Data Entry'!$¦$207), "", 'Data Entry'!$¦$207)</f>
      </c>
      <c r="CY207">
        <f>IF(ISBLANK('Data Entry'!$§$207), "", 'Data Entry'!$§$207)</f>
      </c>
      <c r="CZ207">
        <f>IF(ISBLANK('Data Entry'!$¨$207), "", 'Data Entry'!$¨$207)</f>
      </c>
      <c r="DA207">
        <f>IF(ISBLANK('Data Entry'!$©$207), "", 'Data Entry'!$©$207)</f>
      </c>
      <c r="DB207">
        <f>IF(ISBLANK('Data Entry'!$ª$207), "", 'Data Entry'!$ª$207)</f>
      </c>
      <c r="DC207">
        <f>IF(ISBLANK('Data Entry'!$«$207), "", 'Data Entry'!$«$207)</f>
      </c>
      <c r="DD207">
        <f>IF(ISBLANK('Data Entry'!$¬$207), "", 'Data Entry'!$¬$207)</f>
      </c>
      <c r="DE207">
        <f>IF(ISBLANK('Data Entry'!$­$207), "", 'Data Entry'!$­$207)</f>
      </c>
      <c r="DF207">
        <f>IF(ISBLANK('Data Entry'!$®$207), "", 'Data Entry'!$®$207)</f>
      </c>
      <c r="DG207">
        <f>IF(ISBLANK('Data Entry'!$¯$207), "", 'Data Entry'!$¯$207)</f>
      </c>
      <c r="DH207">
        <f>IF(ISBLANK('Data Entry'!$°$207), "", 'Data Entry'!$°$207)</f>
      </c>
      <c r="DI207">
        <f>IF(ISBLANK('Data Entry'!$±$207), "", 'Data Entry'!$±$207)</f>
      </c>
      <c r="DJ207">
        <f>IF(ISBLANK('Data Entry'!$²$207), "", 'Data Entry'!$²$207)</f>
      </c>
      <c r="DK207">
        <f>IF(ISBLANK('Data Entry'!$³$207), "", 'Data Entry'!$³$207)</f>
      </c>
      <c r="DL207">
        <f>IF(ISBLANK('Data Entry'!$´$207), "", 'Data Entry'!$´$207)</f>
      </c>
      <c r="DM207">
        <f>IF(ISBLANK('Data Entry'!$µ$207), "", 'Data Entry'!$µ$207)</f>
      </c>
      <c r="DN207">
        <f>IF(ISBLANK('Data Entry'!$¶$207), "", 'Data Entry'!$¶$207)</f>
      </c>
      <c r="DO207">
        <f>IF(ISBLANK('Data Entry'!$·$207), "", 'Data Entry'!$·$207)</f>
      </c>
      <c r="DP207">
        <f>IF(ISBLANK('Data Entry'!$¸$207), "", 'Data Entry'!$¸$207)</f>
      </c>
      <c r="DQ207">
        <f>IF(ISBLANK('Data Entry'!$¹$207), "", 'Data Entry'!$¹$207)</f>
      </c>
      <c r="DR207">
        <f>IF(ISBLANK('Data Entry'!$º$207), "", 'Data Entry'!$º$207)</f>
      </c>
      <c r="DS207">
        <f>IF(ISBLANK('Data Entry'!$»$207), "", 'Data Entry'!$»$207)</f>
      </c>
      <c r="DT207">
        <f>IF(ISBLANK('Data Entry'!$¼$207), "", 'Data Entry'!$¼$207)</f>
      </c>
      <c r="DU207">
        <f>IF(ISBLANK('Data Entry'!$½$207), "", 'Data Entry'!$½$207)</f>
      </c>
      <c r="DV207">
        <f>IF(ISBLANK('Data Entry'!$¾$207), "", 'Data Entry'!$¾$207)</f>
      </c>
      <c r="DW207">
        <f>IF(ISBLANK('Data Entry'!$¿$207), "", 'Data Entry'!$¿$207)</f>
      </c>
      <c r="DX207">
        <f>IF(ISBLANK('Data Entry'!$À$207), "", 'Data Entry'!$À$207)</f>
      </c>
      <c r="DY207">
        <f>IF(ISBLANK('Data Entry'!$Á$207), "", 'Data Entry'!$Á$207)</f>
      </c>
      <c r="DZ207">
        <f>IF(ISBLANK('Data Entry'!$Â$207), "", 'Data Entry'!$Â$207)</f>
      </c>
      <c r="EA207">
        <f>IF(ISBLANK('Data Entry'!$Ã$207), "", 'Data Entry'!$Ã$207)</f>
      </c>
      <c r="EB207">
        <f>IF(ISBLANK('Data Entry'!$Ä$207), "", 'Data Entry'!$Ä$207)</f>
      </c>
      <c r="EC207">
        <f>IF(ISBLANK('Data Entry'!$Å$207), "", 'Data Entry'!$Å$207)</f>
      </c>
      <c r="ED207">
        <f>IF(ISBLANK('Data Entry'!$Æ$207), "", 'Data Entry'!$Æ$207)</f>
      </c>
      <c r="EE207">
        <f>IF(ISBLANK('Data Entry'!$Ç$207), "", 'Data Entry'!$Ç$207)</f>
      </c>
      <c r="EF207">
        <f>IF(ISBLANK('Data Entry'!$È$207), "", 'Data Entry'!$È$207)</f>
      </c>
      <c r="EG207">
        <f>IF(ISBLANK('Data Entry'!$É$207), "", 'Data Entry'!$É$207)</f>
      </c>
      <c r="EH207">
        <f>IF(ISBLANK('Data Entry'!$Ê$207), "", 'Data Entry'!$Ê$207)</f>
      </c>
      <c r="EI207">
        <f>IF(ISBLANK('Data Entry'!$Ë$207), "", 'Data Entry'!$Ë$207)</f>
      </c>
      <c r="EJ207">
        <f>IF(ISBLANK('Data Entry'!$Ì$207), "", 'Data Entry'!$Ì$207)</f>
      </c>
      <c r="EK207">
        <f>IF(ISBLANK('Data Entry'!$Í$207), "", 'Data Entry'!$Í$207)</f>
      </c>
      <c r="EL207">
        <f>IF(ISBLANK('Data Entry'!$Î$207), "", 'Data Entry'!$Î$207)</f>
      </c>
      <c r="EM207">
        <f>IF(ISBLANK('Data Entry'!$Ï$207), "", 'Data Entry'!$Ï$207)</f>
      </c>
      <c r="EN207">
        <f>IF(ISBLANK('Data Entry'!$Ð$207), "", 'Data Entry'!$Ð$207)</f>
      </c>
      <c r="EO207">
        <f>IF(ISBLANK('Data Entry'!$Ñ$207), "", 'Data Entry'!$Ñ$207)</f>
      </c>
      <c r="EP207">
        <f>IF(ISBLANK('Data Entry'!$Ò$207), "", 'Data Entry'!$Ò$207)</f>
      </c>
      <c r="EQ207">
        <f>IF(ISBLANK('Data Entry'!$Ó$207), "", 'Data Entry'!$Ó$207)</f>
      </c>
      <c r="ER207">
        <f>IF(ISBLANK('Data Entry'!$Ô$207), "", 'Data Entry'!$Ô$207)</f>
      </c>
      <c r="ES207">
        <f>IF(ISBLANK('Data Entry'!$Õ$207), "", 'Data Entry'!$Õ$207)</f>
      </c>
      <c r="ET207">
        <f>IF(ISBLANK('Data Entry'!$Ö$207), "", 'Data Entry'!$Ö$207)</f>
      </c>
      <c r="EU207">
        <f>IF(ISBLANK('Data Entry'!$×$207), "", 'Data Entry'!$×$207)</f>
      </c>
      <c r="EV207">
        <f>IF(ISBLANK('Data Entry'!$Ø$207), "", 'Data Entry'!$Ø$207)</f>
      </c>
      <c r="EW207">
        <f>IF(ISBLANK('Data Entry'!$Ù$207), "", 'Data Entry'!$Ù$207)</f>
      </c>
      <c r="EX207">
        <f>IF(ISBLANK('Data Entry'!$Ú$207), "", 'Data Entry'!$Ú$207)</f>
      </c>
      <c r="EY207">
        <f>IF(ISBLANK('Data Entry'!$Û$207), "", 'Data Entry'!$Û$207)</f>
      </c>
      <c r="EZ207">
        <f>IF(ISBLANK('Data Entry'!$Ü$207), "", 'Data Entry'!$Ü$207)</f>
      </c>
      <c r="FA207">
        <f>IF(ISBLANK('Data Entry'!$Ý$207), "", 'Data Entry'!$Ý$207)</f>
      </c>
      <c r="FB207">
        <f>IF(ISBLANK('Data Entry'!$Þ$207), "", 'Data Entry'!$Þ$207)</f>
      </c>
      <c r="FC207">
        <f>IF(ISBLANK('Data Entry'!$ß$207), "", 'Data Entry'!$ß$207)</f>
      </c>
      <c r="FD207">
        <f>IF(ISBLANK('Data Entry'!$à$207), "", 'Data Entry'!$à$207)</f>
      </c>
      <c r="FE207">
        <f>IF(ISBLANK('Data Entry'!$á$207), "", 'Data Entry'!$á$207)</f>
      </c>
      <c r="FF207">
        <f>IF(ISBLANK('Data Entry'!$â$207), "", 'Data Entry'!$â$207)</f>
      </c>
      <c r="FG207">
        <f>IF(ISBLANK('Data Entry'!$ã$207), "", 'Data Entry'!$ã$207)</f>
      </c>
      <c r="FH207">
        <f>IF(ISBLANK('Data Entry'!$ä$207), "", 'Data Entry'!$ä$207)</f>
      </c>
      <c r="FI207">
        <f>IF(ISBLANK('Data Entry'!$å$207), "", 'Data Entry'!$å$207)</f>
      </c>
      <c r="FJ207">
        <f>IF(ISBLANK('Data Entry'!$æ$207), "", 'Data Entry'!$æ$207)</f>
      </c>
      <c r="FK207">
        <f>IF(ISBLANK('Data Entry'!$ç$207), "", 'Data Entry'!$ç$207)</f>
      </c>
      <c r="FL207">
        <f>IF(ISBLANK('Data Entry'!$è$207), "", 'Data Entry'!$è$207)</f>
      </c>
      <c r="FM207">
        <f>IF(ISBLANK('Data Entry'!$é$207), "", 'Data Entry'!$é$207)</f>
      </c>
      <c r="FN207">
        <f>IF(ISBLANK('Data Entry'!$ê$207), "", 'Data Entry'!$ê$207)</f>
      </c>
      <c r="FO207">
        <f>IF(ISBLANK('Data Entry'!$ë$207), "", 'Data Entry'!$ë$207)</f>
      </c>
      <c r="FP207">
        <f>IF(ISBLANK('Data Entry'!$ì$207), "", 'Data Entry'!$ì$207)</f>
      </c>
      <c r="FQ207">
        <f>IF(ISBLANK('Data Entry'!$í$207), "", 'Data Entry'!$í$207)</f>
      </c>
      <c r="FR207">
        <f>IF(ISBLANK('Data Entry'!$î$207), "", 'Data Entry'!$î$207)</f>
      </c>
      <c r="FS207">
        <f>IF(ISBLANK('Data Entry'!$ï$207), "", 'Data Entry'!$ï$207)</f>
      </c>
      <c r="FT207">
        <f>IF(ISBLANK('Data Entry'!$ð$207), "", 'Data Entry'!$ð$207)</f>
      </c>
      <c r="FU207">
        <f>IF(ISBLANK('Data Entry'!$ñ$207), "", 'Data Entry'!$ñ$207)</f>
      </c>
      <c r="FV207">
        <f>IF(ISBLANK('Data Entry'!$ò$207), "", 'Data Entry'!$ò$207)</f>
      </c>
      <c r="FW207">
        <f>IF(ISBLANK('Data Entry'!$ó$207), "", 'Data Entry'!$ó$207)</f>
      </c>
      <c r="FX207">
        <f>IF(ISBLANK('Data Entry'!$ô$207), "", 'Data Entry'!$ô$207)</f>
      </c>
      <c r="FY207">
        <f>IF(ISBLANK('Data Entry'!$õ$207), "", 'Data Entry'!$õ$207)</f>
      </c>
      <c r="FZ207">
        <f>IF(ISBLANK('Data Entry'!$ö$207), "", 'Data Entry'!$ö$207)</f>
      </c>
      <c r="GA207">
        <f>IF(ISBLANK('Data Entry'!$÷$207), "", 'Data Entry'!$÷$207)</f>
      </c>
      <c r="GB207">
        <f>IF(ISBLANK('Data Entry'!$ø$207), "", 'Data Entry'!$ø$207)</f>
      </c>
      <c r="GC207">
        <f>IF(ISBLANK('Data Entry'!$ù$207), "", 'Data Entry'!$ù$207)</f>
      </c>
      <c r="GD207">
        <f>IF(ISBLANK('Data Entry'!$ú$207), "", 'Data Entry'!$ú$207)</f>
      </c>
      <c r="GE207">
        <f>IF(ISBLANK('Data Entry'!$û$207), "", 'Data Entry'!$û$207)</f>
      </c>
      <c r="GF207">
        <f>IF(ISBLANK('Data Entry'!$ü$207), "", 'Data Entry'!$ü$207)</f>
      </c>
      <c r="GG207">
        <f>IF(ISBLANK('Data Entry'!$ý$207), "", 'Data Entry'!$ý$207)</f>
      </c>
      <c r="GH207">
        <f>IF(ISBLANK('Data Entry'!$þ$207), "", 'Data Entry'!$þ$207)</f>
      </c>
      <c r="GI207">
        <f>IF(ISBLANK('Data Entry'!$ÿ$207), "", 'Data Entry'!$ÿ$207)</f>
      </c>
      <c r="GJ207">
        <f>IF(ISBLANK('Data Entry'!$Ā$207), "", 'Data Entry'!$Ā$207)</f>
      </c>
      <c r="GK207">
        <f>IF(ISBLANK('Data Entry'!$ā$207), "", 'Data Entry'!$ā$207)</f>
      </c>
      <c r="GL207">
        <f>IF(ISBLANK('Data Entry'!$Ă$207), "", 'Data Entry'!$Ă$207)</f>
      </c>
      <c r="GM207">
        <f>IF(ISBLANK('Data Entry'!$ă$207), "", 'Data Entry'!$ă$207)</f>
      </c>
      <c r="GN207">
        <f>IF(ISBLANK('Data Entry'!$Ą$207), "", 'Data Entry'!$Ą$207)</f>
      </c>
      <c r="GO207">
        <f>IF(ISBLANK('Data Entry'!$ą$207), "", 'Data Entry'!$ą$207)</f>
      </c>
      <c r="GP207">
        <f>IF(ISBLANK('Data Entry'!$Ć$207), "", 'Data Entry'!$Ć$207)</f>
      </c>
      <c r="GQ207">
        <f>IF(ISBLANK('Data Entry'!$ć$207), "", 'Data Entry'!$ć$207)</f>
      </c>
      <c r="GR207">
        <f>IF(ISBLANK('Data Entry'!$Ĉ$207), "", 'Data Entry'!$Ĉ$207)</f>
      </c>
      <c r="GS207">
        <f>IF(ISBLANK('Data Entry'!$ĉ$207), "", 'Data Entry'!$ĉ$207)</f>
      </c>
      <c r="GT207">
        <f>IF(ISBLANK('Data Entry'!$Ċ$207), "", 'Data Entry'!$Ċ$207)</f>
      </c>
      <c r="GU207">
        <f>IF(ISBLANK('Data Entry'!$ċ$207), "", 'Data Entry'!$ċ$207)</f>
      </c>
      <c r="GV207">
        <f>IF(ISBLANK('Data Entry'!$Č$207), "", 'Data Entry'!$Č$207)</f>
      </c>
      <c r="GW207">
        <f>IF(ISBLANK('Data Entry'!$č$207), "", 'Data Entry'!$č$207)</f>
      </c>
      <c r="GX207">
        <f>IF(ISBLANK('Data Entry'!$Ď$207), "", 'Data Entry'!$Ď$207)</f>
      </c>
      <c r="GY207">
        <f>IF(ISBLANK('Data Entry'!$ď$207), "", 'Data Entry'!$ď$207)</f>
      </c>
      <c r="GZ207">
        <f>IF(ISBLANK('Data Entry'!$Đ$207), "", 'Data Entry'!$Đ$207)</f>
      </c>
      <c r="HA207">
        <f>IF(ISBLANK('Data Entry'!$đ$207), "", 'Data Entry'!$đ$207)</f>
      </c>
      <c r="HB207">
        <f>IF(ISBLANK('Data Entry'!$Ē$207), "", 'Data Entry'!$Ē$207)</f>
      </c>
      <c r="HC207">
        <f>IF(ISBLANK('Data Entry'!$ē$207), "", 'Data Entry'!$ē$207)</f>
      </c>
      <c r="HD207">
        <f>IF(ISBLANK('Data Entry'!$Ĕ$207), "", 'Data Entry'!$Ĕ$207)</f>
      </c>
      <c r="HE207">
        <f>IF(ISBLANK('Data Entry'!$ĕ$207), "", 'Data Entry'!$ĕ$207)</f>
      </c>
      <c r="HF207">
        <f>IF(ISBLANK('Data Entry'!$Ė$207), "", 'Data Entry'!$Ė$207)</f>
      </c>
      <c r="HG207">
        <f>IF(ISBLANK('Data Entry'!$ė$207), "", 'Data Entry'!$ė$207)</f>
      </c>
      <c r="HH207">
        <f>IF(ISBLANK('Data Entry'!$Ę$207), "", 'Data Entry'!$Ę$207)</f>
      </c>
      <c r="HI207">
        <f>IF(ISBLANK('Data Entry'!$ę$207), "", 'Data Entry'!$ę$207)</f>
      </c>
      <c r="HJ207">
        <f>IF(ISBLANK('Data Entry'!$Ě$207), "", 'Data Entry'!$Ě$207)</f>
      </c>
      <c r="HK207">
        <f>IF(ISBLANK('Data Entry'!$ě$207), "", 'Data Entry'!$ě$207)</f>
      </c>
      <c r="HL207">
        <f>IF(ISBLANK('Data Entry'!$Ĝ$207), "", 'Data Entry'!$Ĝ$207)</f>
      </c>
      <c r="HM207">
        <f>IF(ISBLANK('Data Entry'!$ĝ$207), "", 'Data Entry'!$ĝ$207)</f>
      </c>
      <c r="HN207">
        <f>IF(ISBLANK('Data Entry'!$Ğ$207), "", 'Data Entry'!$Ğ$207)</f>
      </c>
      <c r="HO207">
        <f>IF(ISBLANK('Data Entry'!$ğ$207), "", 'Data Entry'!$ğ$207)</f>
      </c>
      <c r="HP207">
        <f>IF(ISBLANK('Data Entry'!$Ġ$207), "", 'Data Entry'!$Ġ$207)</f>
      </c>
      <c r="HQ207">
        <f>IF(ISBLANK('Data Entry'!$ġ$207), "", 'Data Entry'!$ġ$207)</f>
      </c>
      <c r="HR207">
        <f>IF(ISBLANK('Data Entry'!$Ģ$207), "", 'Data Entry'!$Ģ$207)</f>
      </c>
      <c r="HS207">
        <f>IF(ISBLANK('Data Entry'!$ģ$207), "", 'Data Entry'!$ģ$207)</f>
      </c>
      <c r="HT207">
        <f>IF(ISBLANK('Data Entry'!$Ĥ$207), "", 'Data Entry'!$Ĥ$207)</f>
      </c>
      <c r="HU207">
        <f>IF(ISBLANK('Data Entry'!$ĥ$207), "", 'Data Entry'!$ĥ$207)</f>
      </c>
      <c r="HV207">
        <f>IF(ISBLANK('Data Entry'!$Ħ$207), "", 'Data Entry'!$Ħ$207)</f>
      </c>
      <c r="HW207">
        <f>IF(ISBLANK('Data Entry'!$ħ$207), "", 'Data Entry'!$ħ$207)</f>
      </c>
      <c r="HX207">
        <f>IF(ISBLANK('Data Entry'!$Ĩ$207), "", 'Data Entry'!$Ĩ$207)</f>
      </c>
      <c r="HY207">
        <f>IF(ISBLANK('Data Entry'!$ĩ$207), "", 'Data Entry'!$ĩ$207)</f>
      </c>
      <c r="HZ207">
        <f>IF(ISBLANK('Data Entry'!$Ī$207), "", 'Data Entry'!$Ī$207)</f>
      </c>
      <c r="IA207">
        <f>IF(ISBLANK('Data Entry'!$ī$207), "", 'Data Entry'!$ī$207)</f>
      </c>
      <c r="IB207">
        <f>IF(ISBLANK('Data Entry'!$Ĭ$207), "", 'Data Entry'!$Ĭ$207)</f>
      </c>
      <c r="IC207">
        <f>IF(ISBLANK('Data Entry'!$ĭ$207), "", 'Data Entry'!$ĭ$207)</f>
      </c>
      <c r="ID207">
        <f>IF(ISBLANK('Data Entry'!$Į$207), "", 'Data Entry'!$Į$207)</f>
      </c>
      <c r="IE207">
        <f>IF(ISBLANK('Data Entry'!$į$207), "", 'Data Entry'!$į$207)</f>
      </c>
      <c r="IF207">
        <f>IF(ISBLANK('Data Entry'!$İ$207), "", 'Data Entry'!$İ$207)</f>
      </c>
      <c r="IG207">
        <f>IF(ISBLANK('Data Entry'!$ı$207), "", 'Data Entry'!$ı$207)</f>
      </c>
      <c r="IH207">
        <f>IF(ISBLANK('Data Entry'!$Ĳ$207), "", 'Data Entry'!$Ĳ$207)</f>
      </c>
      <c r="II207">
        <f>IF(ISBLANK('Data Entry'!$ĳ$207), "", 'Data Entry'!$ĳ$207)</f>
      </c>
      <c r="IJ207">
        <f>IF(ISBLANK('Data Entry'!$Ĵ$207), "", 'Data Entry'!$Ĵ$207)</f>
      </c>
      <c r="IK207">
        <f>IF(ISBLANK('Data Entry'!$ĵ$207), "", 'Data Entry'!$ĵ$207)</f>
      </c>
      <c r="IL207">
        <f>IF(ISBLANK('Data Entry'!$Ķ$207), "", 'Data Entry'!$Ķ$207)</f>
      </c>
      <c r="IM207">
        <f>IF(ISBLANK('Data Entry'!$ķ$207), "", 'Data Entry'!$ķ$207)</f>
      </c>
      <c r="IN207">
        <f>IF(ISBLANK('Data Entry'!$ĸ$207), "", 'Data Entry'!$ĸ$207)</f>
      </c>
      <c r="IO207">
        <f>IF(ISBLANK('Data Entry'!$Ĺ$207), "", 'Data Entry'!$Ĺ$207)</f>
      </c>
      <c r="IP207">
        <f>IF(ISBLANK('Data Entry'!$ĺ$207), "", 'Data Entry'!$ĺ$207)</f>
      </c>
      <c r="IQ207">
        <f>IF(ISBLANK('Data Entry'!$Ļ$207), "", 'Data Entry'!$Ļ$207)</f>
      </c>
      <c r="IR207">
        <f>IF(ISBLANK('Data Entry'!$ļ$207), "", 'Data Entry'!$ļ$207)</f>
      </c>
      <c r="IS207">
        <f>IF(ISBLANK('Data Entry'!$Ľ$207), "", 'Data Entry'!$Ľ$207)</f>
      </c>
      <c r="IT207">
        <f>IF(ISBLANK('Data Entry'!$ľ$207), "", 'Data Entry'!$ľ$207)</f>
      </c>
    </row>
    <row r="208" spans="1:254" x14ac:dyDescent="0.25">
      <c r="A208">
        <f>IF(ISBLANK('Data Entry'!$A$208), "", 'Data Entry'!$A$208)</f>
      </c>
      <c r="B208">
        <f>IF(ISBLANK('Data Entry'!$B$208), "", 'Data Entry'!$B$208)</f>
      </c>
      <c r="C208">
        <f>IF(ISBLANK('Data Entry'!$C$208), "", 'Data Entry'!$C$208)</f>
      </c>
      <c r="D208">
        <f>IF(ISBLANK('Data Entry'!$D$208), "", 'Data Entry'!$D$208)</f>
      </c>
      <c r="E208">
        <f>IF(ISBLANK('Data Entry'!$E$208), "", 'Data Entry'!$E$208)</f>
      </c>
      <c r="F208">
        <f>IF(ISBLANK('Data Entry'!$F$208), "", 'Data Entry'!$F$208)</f>
      </c>
      <c r="G208">
        <f>IF(ISBLANK('Data Entry'!$G$208), "", 'Data Entry'!$G$208)</f>
      </c>
      <c r="H208">
        <f>IF(ISBLANK('Data Entry'!$H$208), "", 'Data Entry'!$H$208)</f>
      </c>
      <c r="I208">
        <f>IF(ISBLANK('Data Entry'!$I$208), "", 'Data Entry'!$I$208)</f>
      </c>
      <c r="J208">
        <f>IF(ISBLANK('Data Entry'!$J$208), "", 'Data Entry'!$J$208)</f>
      </c>
      <c r="K208">
        <f>IF(ISBLANK('Data Entry'!$K$208), "", 'Data Entry'!$K$208)</f>
      </c>
      <c r="L208">
        <f>IF(ISBLANK('Data Entry'!$L$208), "", 'Data Entry'!$L$208)</f>
      </c>
      <c r="M208">
        <f>IF(ISBLANK('Data Entry'!$M$208), "", 'Data Entry'!$M$208)</f>
      </c>
      <c r="N208">
        <f>IF(ISBLANK('Data Entry'!$N$208), "", 'Data Entry'!$N$208)</f>
      </c>
      <c r="O208">
        <f>IF(ISBLANK('Data Entry'!$O$208), "", 'Data Entry'!$O$208)</f>
      </c>
      <c r="P208">
        <f>IF(ISBLANK('Data Entry'!$P$208), "", 'Data Entry'!$P$208)</f>
      </c>
      <c r="Q208">
        <f>IF(ISBLANK('Data Entry'!$Q$208), "", 'Data Entry'!$Q$208)</f>
      </c>
      <c r="R208">
        <f>IF(ISBLANK('Data Entry'!$R$208), "", 'Data Entry'!$R$208)</f>
      </c>
      <c r="S208">
        <f>IF(ISBLANK('Data Entry'!$S$208), "", 'Data Entry'!$S$208)</f>
      </c>
      <c r="T208">
        <f>IF(ISBLANK('Data Entry'!$T$208), "", 'Data Entry'!$T$208)</f>
      </c>
      <c r="U208">
        <f>IF(ISBLANK('Data Entry'!$U$208), "", 'Data Entry'!$U$208)</f>
      </c>
      <c r="V208">
        <f>IF(ISBLANK('Data Entry'!$V$208), "", 'Data Entry'!$V$208)</f>
      </c>
      <c r="W208">
        <f>IF(ISBLANK('Data Entry'!$W$208), "", 'Data Entry'!$W$208)</f>
      </c>
      <c r="X208">
        <f>IF(ISBLANK('Data Entry'!$X$208), "", 'Data Entry'!$X$208)</f>
      </c>
      <c r="Y208">
        <f>IF(ISBLANK('Data Entry'!$Y$208), "", 'Data Entry'!$Y$208)</f>
      </c>
      <c r="Z208">
        <f>IF(ISBLANK('Data Entry'!$Z$208), "", 'Data Entry'!$Z$208)</f>
      </c>
      <c r="AA208">
        <f>IF(ISBLANK('Data Entry'!$[$208), "", 'Data Entry'!$[$208)</f>
      </c>
      <c r="AB208">
        <f>IF(ISBLANK('Data Entry'!$\$208), "", 'Data Entry'!$\$208)</f>
      </c>
      <c r="AC208">
        <f>IF(ISBLANK('Data Entry'!$]$208), "", 'Data Entry'!$]$208)</f>
      </c>
      <c r="AD208">
        <f>IF(ISBLANK('Data Entry'!$^$208), "", 'Data Entry'!$^$208)</f>
      </c>
      <c r="AE208">
        <f>IF(ISBLANK('Data Entry'!$_$208), "", 'Data Entry'!$_$208)</f>
      </c>
      <c r="AF208">
        <f>IF(ISBLANK('Data Entry'!$`$208), "", 'Data Entry'!$`$208)</f>
      </c>
      <c r="AG208">
        <f>IF(ISBLANK('Data Entry'!$a$208), "", 'Data Entry'!$a$208)</f>
      </c>
      <c r="AH208">
        <f>IF(ISBLANK('Data Entry'!$b$208), "", 'Data Entry'!$b$208)</f>
      </c>
      <c r="AI208">
        <f>IF(ISBLANK('Data Entry'!$c$208), "", 'Data Entry'!$c$208)</f>
      </c>
      <c r="AJ208">
        <f>IF(ISBLANK('Data Entry'!$d$208), "", 'Data Entry'!$d$208)</f>
      </c>
      <c r="AK208">
        <f>IF(ISBLANK('Data Entry'!$e$208), "", 'Data Entry'!$e$208)</f>
      </c>
      <c r="AL208">
        <f>IF(ISBLANK('Data Entry'!$f$208), "", 'Data Entry'!$f$208)</f>
      </c>
      <c r="AM208">
        <f>IF(ISBLANK('Data Entry'!$g$208), "", 'Data Entry'!$g$208)</f>
      </c>
      <c r="AN208">
        <f>IF(ISBLANK('Data Entry'!$h$208), "", 'Data Entry'!$h$208)</f>
      </c>
      <c r="AO208">
        <f>IF(ISBLANK('Data Entry'!$i$208), "", 'Data Entry'!$i$208)</f>
      </c>
      <c r="AP208">
        <f>IF(ISBLANK('Data Entry'!$j$208), "", 'Data Entry'!$j$208)</f>
      </c>
      <c r="AQ208">
        <f>IF(ISBLANK('Data Entry'!$k$208), "", 'Data Entry'!$k$208)</f>
      </c>
      <c r="AR208">
        <f>IF(ISBLANK('Data Entry'!$l$208), "", 'Data Entry'!$l$208)</f>
      </c>
      <c r="AS208">
        <f>IF(ISBLANK('Data Entry'!$m$208), "", 'Data Entry'!$m$208)</f>
      </c>
      <c r="AT208">
        <f>IF(ISBLANK('Data Entry'!$n$208), "", 'Data Entry'!$n$208)</f>
      </c>
      <c r="AU208">
        <f>IF(ISBLANK('Data Entry'!$o$208), "", 'Data Entry'!$o$208)</f>
      </c>
      <c r="AV208">
        <f>IF(ISBLANK('Data Entry'!$p$208), "", 'Data Entry'!$p$208)</f>
      </c>
      <c r="AW208">
        <f>IF(ISBLANK('Data Entry'!$q$208), "", 'Data Entry'!$q$208)</f>
      </c>
      <c r="AX208">
        <f>IF(ISBLANK('Data Entry'!$r$208), "", 'Data Entry'!$r$208)</f>
      </c>
      <c r="AY208">
        <f>IF(ISBLANK('Data Entry'!$s$208), "", 'Data Entry'!$s$208)</f>
      </c>
      <c r="AZ208">
        <f>IF(ISBLANK('Data Entry'!$t$208), "", 'Data Entry'!$t$208)</f>
      </c>
      <c r="BA208">
        <f>IF(ISBLANK('Data Entry'!$u$208), "", 'Data Entry'!$u$208)</f>
      </c>
      <c r="BB208">
        <f>IF(ISBLANK('Data Entry'!$v$208), "", 'Data Entry'!$v$208)</f>
      </c>
      <c r="BC208">
        <f>IF(ISBLANK('Data Entry'!$w$208), "", 'Data Entry'!$w$208)</f>
      </c>
      <c r="BD208">
        <f>IF(ISBLANK('Data Entry'!$x$208), "", 'Data Entry'!$x$208)</f>
      </c>
      <c r="BE208">
        <f>IF(ISBLANK('Data Entry'!$y$208), "", 'Data Entry'!$y$208)</f>
      </c>
      <c r="BF208">
        <f>IF(ISBLANK('Data Entry'!$z$208), "", 'Data Entry'!$z$208)</f>
      </c>
      <c r="BG208">
        <f>IF(ISBLANK('Data Entry'!${$208), "", 'Data Entry'!${$208)</f>
      </c>
      <c r="BH208">
        <f>IF(ISBLANK('Data Entry'!$|$208), "", 'Data Entry'!$|$208)</f>
      </c>
      <c r="BI208">
        <f>IF(ISBLANK('Data Entry'!$}$208), "", 'Data Entry'!$}$208)</f>
      </c>
      <c r="BJ208">
        <f>IF(ISBLANK('Data Entry'!$~$208), "", 'Data Entry'!$~$208)</f>
      </c>
      <c r="BK208">
        <f>IF(ISBLANK('Data Entry'!$$208), "", 'Data Entry'!$$208)</f>
      </c>
      <c r="BL208">
        <f>IF(ISBLANK('Data Entry'!$$208), "", 'Data Entry'!$$208)</f>
      </c>
      <c r="BM208">
        <f>IF(ISBLANK('Data Entry'!$$208), "", 'Data Entry'!$$208)</f>
      </c>
      <c r="BN208">
        <f>IF(ISBLANK('Data Entry'!$$208), "", 'Data Entry'!$$208)</f>
      </c>
      <c r="BO208">
        <f>IF(ISBLANK('Data Entry'!$$208), "", 'Data Entry'!$$208)</f>
      </c>
      <c r="BP208">
        <f>IF(ISBLANK('Data Entry'!$$208), "", 'Data Entry'!$$208)</f>
      </c>
      <c r="BQ208">
        <f>IF(ISBLANK('Data Entry'!$$208), "", 'Data Entry'!$$208)</f>
      </c>
      <c r="BR208">
        <f>IF(ISBLANK('Data Entry'!$$208), "", 'Data Entry'!$$208)</f>
      </c>
      <c r="BS208">
        <f>IF(ISBLANK('Data Entry'!$$208), "", 'Data Entry'!$$208)</f>
      </c>
      <c r="BT208">
        <f>IF(ISBLANK('Data Entry'!$$208), "", 'Data Entry'!$$208)</f>
      </c>
      <c r="BU208">
        <f>IF(ISBLANK('Data Entry'!$$208), "", 'Data Entry'!$$208)</f>
      </c>
      <c r="BV208">
        <f>IF(ISBLANK('Data Entry'!$$208), "", 'Data Entry'!$$208)</f>
      </c>
      <c r="BW208">
        <f>IF(ISBLANK('Data Entry'!$$208), "", 'Data Entry'!$$208)</f>
      </c>
      <c r="BX208">
        <f>IF(ISBLANK('Data Entry'!$$208), "", 'Data Entry'!$$208)</f>
      </c>
      <c r="BY208">
        <f>IF(ISBLANK('Data Entry'!$$208), "", 'Data Entry'!$$208)</f>
      </c>
      <c r="BZ208">
        <f>IF(ISBLANK('Data Entry'!$$208), "", 'Data Entry'!$$208)</f>
      </c>
      <c r="CA208">
        <f>IF(ISBLANK('Data Entry'!$$208), "", 'Data Entry'!$$208)</f>
      </c>
      <c r="CB208">
        <f>IF(ISBLANK('Data Entry'!$$208), "", 'Data Entry'!$$208)</f>
      </c>
      <c r="CC208">
        <f>IF(ISBLANK('Data Entry'!$$208), "", 'Data Entry'!$$208)</f>
      </c>
      <c r="CD208">
        <f>IF(ISBLANK('Data Entry'!$$208), "", 'Data Entry'!$$208)</f>
      </c>
      <c r="CE208">
        <f>IF(ISBLANK('Data Entry'!$$208), "", 'Data Entry'!$$208)</f>
      </c>
      <c r="CF208">
        <f>IF(ISBLANK('Data Entry'!$$208), "", 'Data Entry'!$$208)</f>
      </c>
      <c r="CG208">
        <f>IF(ISBLANK('Data Entry'!$$208), "", 'Data Entry'!$$208)</f>
      </c>
      <c r="CH208">
        <f>IF(ISBLANK('Data Entry'!$$208), "", 'Data Entry'!$$208)</f>
      </c>
      <c r="CI208">
        <f>IF(ISBLANK('Data Entry'!$$208), "", 'Data Entry'!$$208)</f>
      </c>
      <c r="CJ208">
        <f>IF(ISBLANK('Data Entry'!$$208), "", 'Data Entry'!$$208)</f>
      </c>
      <c r="CK208">
        <f>IF(ISBLANK('Data Entry'!$$208), "", 'Data Entry'!$$208)</f>
      </c>
      <c r="CL208">
        <f>IF(ISBLANK('Data Entry'!$$208), "", 'Data Entry'!$$208)</f>
      </c>
      <c r="CM208">
        <f>IF(ISBLANK('Data Entry'!$$208), "", 'Data Entry'!$$208)</f>
      </c>
      <c r="CN208">
        <f>IF(ISBLANK('Data Entry'!$$208), "", 'Data Entry'!$$208)</f>
      </c>
      <c r="CO208">
        <f>IF(ISBLANK('Data Entry'!$$208), "", 'Data Entry'!$$208)</f>
      </c>
      <c r="CP208">
        <f>IF(ISBLANK('Data Entry'!$$208), "", 'Data Entry'!$$208)</f>
      </c>
      <c r="CQ208">
        <f>IF(ISBLANK('Data Entry'!$$208), "", 'Data Entry'!$$208)</f>
      </c>
      <c r="CR208">
        <f>IF(ISBLANK('Data Entry'!$ $208), "", 'Data Entry'!$ $208)</f>
      </c>
      <c r="CS208">
        <f>IF(ISBLANK('Data Entry'!$¡$208), "", 'Data Entry'!$¡$208)</f>
      </c>
      <c r="CT208">
        <f>IF(ISBLANK('Data Entry'!$¢$208), "", 'Data Entry'!$¢$208)</f>
      </c>
      <c r="CU208">
        <f>IF(ISBLANK('Data Entry'!$£$208), "", 'Data Entry'!$£$208)</f>
      </c>
      <c r="CV208">
        <f>IF(ISBLANK('Data Entry'!$¤$208), "", 'Data Entry'!$¤$208)</f>
      </c>
      <c r="CW208">
        <f>IF(ISBLANK('Data Entry'!$¥$208), "", 'Data Entry'!$¥$208)</f>
      </c>
      <c r="CX208">
        <f>IF(ISBLANK('Data Entry'!$¦$208), "", 'Data Entry'!$¦$208)</f>
      </c>
      <c r="CY208">
        <f>IF(ISBLANK('Data Entry'!$§$208), "", 'Data Entry'!$§$208)</f>
      </c>
      <c r="CZ208">
        <f>IF(ISBLANK('Data Entry'!$¨$208), "", 'Data Entry'!$¨$208)</f>
      </c>
      <c r="DA208">
        <f>IF(ISBLANK('Data Entry'!$©$208), "", 'Data Entry'!$©$208)</f>
      </c>
      <c r="DB208">
        <f>IF(ISBLANK('Data Entry'!$ª$208), "", 'Data Entry'!$ª$208)</f>
      </c>
      <c r="DC208">
        <f>IF(ISBLANK('Data Entry'!$«$208), "", 'Data Entry'!$«$208)</f>
      </c>
      <c r="DD208">
        <f>IF(ISBLANK('Data Entry'!$¬$208), "", 'Data Entry'!$¬$208)</f>
      </c>
      <c r="DE208">
        <f>IF(ISBLANK('Data Entry'!$­$208), "", 'Data Entry'!$­$208)</f>
      </c>
      <c r="DF208">
        <f>IF(ISBLANK('Data Entry'!$®$208), "", 'Data Entry'!$®$208)</f>
      </c>
      <c r="DG208">
        <f>IF(ISBLANK('Data Entry'!$¯$208), "", 'Data Entry'!$¯$208)</f>
      </c>
      <c r="DH208">
        <f>IF(ISBLANK('Data Entry'!$°$208), "", 'Data Entry'!$°$208)</f>
      </c>
      <c r="DI208">
        <f>IF(ISBLANK('Data Entry'!$±$208), "", 'Data Entry'!$±$208)</f>
      </c>
      <c r="DJ208">
        <f>IF(ISBLANK('Data Entry'!$²$208), "", 'Data Entry'!$²$208)</f>
      </c>
      <c r="DK208">
        <f>IF(ISBLANK('Data Entry'!$³$208), "", 'Data Entry'!$³$208)</f>
      </c>
      <c r="DL208">
        <f>IF(ISBLANK('Data Entry'!$´$208), "", 'Data Entry'!$´$208)</f>
      </c>
      <c r="DM208">
        <f>IF(ISBLANK('Data Entry'!$µ$208), "", 'Data Entry'!$µ$208)</f>
      </c>
      <c r="DN208">
        <f>IF(ISBLANK('Data Entry'!$¶$208), "", 'Data Entry'!$¶$208)</f>
      </c>
      <c r="DO208">
        <f>IF(ISBLANK('Data Entry'!$·$208), "", 'Data Entry'!$·$208)</f>
      </c>
      <c r="DP208">
        <f>IF(ISBLANK('Data Entry'!$¸$208), "", 'Data Entry'!$¸$208)</f>
      </c>
      <c r="DQ208">
        <f>IF(ISBLANK('Data Entry'!$¹$208), "", 'Data Entry'!$¹$208)</f>
      </c>
      <c r="DR208">
        <f>IF(ISBLANK('Data Entry'!$º$208), "", 'Data Entry'!$º$208)</f>
      </c>
      <c r="DS208">
        <f>IF(ISBLANK('Data Entry'!$»$208), "", 'Data Entry'!$»$208)</f>
      </c>
      <c r="DT208">
        <f>IF(ISBLANK('Data Entry'!$¼$208), "", 'Data Entry'!$¼$208)</f>
      </c>
      <c r="DU208">
        <f>IF(ISBLANK('Data Entry'!$½$208), "", 'Data Entry'!$½$208)</f>
      </c>
      <c r="DV208">
        <f>IF(ISBLANK('Data Entry'!$¾$208), "", 'Data Entry'!$¾$208)</f>
      </c>
      <c r="DW208">
        <f>IF(ISBLANK('Data Entry'!$¿$208), "", 'Data Entry'!$¿$208)</f>
      </c>
      <c r="DX208">
        <f>IF(ISBLANK('Data Entry'!$À$208), "", 'Data Entry'!$À$208)</f>
      </c>
      <c r="DY208">
        <f>IF(ISBLANK('Data Entry'!$Á$208), "", 'Data Entry'!$Á$208)</f>
      </c>
      <c r="DZ208">
        <f>IF(ISBLANK('Data Entry'!$Â$208), "", 'Data Entry'!$Â$208)</f>
      </c>
      <c r="EA208">
        <f>IF(ISBLANK('Data Entry'!$Ã$208), "", 'Data Entry'!$Ã$208)</f>
      </c>
      <c r="EB208">
        <f>IF(ISBLANK('Data Entry'!$Ä$208), "", 'Data Entry'!$Ä$208)</f>
      </c>
      <c r="EC208">
        <f>IF(ISBLANK('Data Entry'!$Å$208), "", 'Data Entry'!$Å$208)</f>
      </c>
      <c r="ED208">
        <f>IF(ISBLANK('Data Entry'!$Æ$208), "", 'Data Entry'!$Æ$208)</f>
      </c>
      <c r="EE208">
        <f>IF(ISBLANK('Data Entry'!$Ç$208), "", 'Data Entry'!$Ç$208)</f>
      </c>
      <c r="EF208">
        <f>IF(ISBLANK('Data Entry'!$È$208), "", 'Data Entry'!$È$208)</f>
      </c>
      <c r="EG208">
        <f>IF(ISBLANK('Data Entry'!$É$208), "", 'Data Entry'!$É$208)</f>
      </c>
      <c r="EH208">
        <f>IF(ISBLANK('Data Entry'!$Ê$208), "", 'Data Entry'!$Ê$208)</f>
      </c>
      <c r="EI208">
        <f>IF(ISBLANK('Data Entry'!$Ë$208), "", 'Data Entry'!$Ë$208)</f>
      </c>
      <c r="EJ208">
        <f>IF(ISBLANK('Data Entry'!$Ì$208), "", 'Data Entry'!$Ì$208)</f>
      </c>
      <c r="EK208">
        <f>IF(ISBLANK('Data Entry'!$Í$208), "", 'Data Entry'!$Í$208)</f>
      </c>
      <c r="EL208">
        <f>IF(ISBLANK('Data Entry'!$Î$208), "", 'Data Entry'!$Î$208)</f>
      </c>
      <c r="EM208">
        <f>IF(ISBLANK('Data Entry'!$Ï$208), "", 'Data Entry'!$Ï$208)</f>
      </c>
      <c r="EN208">
        <f>IF(ISBLANK('Data Entry'!$Ð$208), "", 'Data Entry'!$Ð$208)</f>
      </c>
      <c r="EO208">
        <f>IF(ISBLANK('Data Entry'!$Ñ$208), "", 'Data Entry'!$Ñ$208)</f>
      </c>
      <c r="EP208">
        <f>IF(ISBLANK('Data Entry'!$Ò$208), "", 'Data Entry'!$Ò$208)</f>
      </c>
      <c r="EQ208">
        <f>IF(ISBLANK('Data Entry'!$Ó$208), "", 'Data Entry'!$Ó$208)</f>
      </c>
      <c r="ER208">
        <f>IF(ISBLANK('Data Entry'!$Ô$208), "", 'Data Entry'!$Ô$208)</f>
      </c>
      <c r="ES208">
        <f>IF(ISBLANK('Data Entry'!$Õ$208), "", 'Data Entry'!$Õ$208)</f>
      </c>
      <c r="ET208">
        <f>IF(ISBLANK('Data Entry'!$Ö$208), "", 'Data Entry'!$Ö$208)</f>
      </c>
      <c r="EU208">
        <f>IF(ISBLANK('Data Entry'!$×$208), "", 'Data Entry'!$×$208)</f>
      </c>
      <c r="EV208">
        <f>IF(ISBLANK('Data Entry'!$Ø$208), "", 'Data Entry'!$Ø$208)</f>
      </c>
      <c r="EW208">
        <f>IF(ISBLANK('Data Entry'!$Ù$208), "", 'Data Entry'!$Ù$208)</f>
      </c>
      <c r="EX208">
        <f>IF(ISBLANK('Data Entry'!$Ú$208), "", 'Data Entry'!$Ú$208)</f>
      </c>
      <c r="EY208">
        <f>IF(ISBLANK('Data Entry'!$Û$208), "", 'Data Entry'!$Û$208)</f>
      </c>
      <c r="EZ208">
        <f>IF(ISBLANK('Data Entry'!$Ü$208), "", 'Data Entry'!$Ü$208)</f>
      </c>
      <c r="FA208">
        <f>IF(ISBLANK('Data Entry'!$Ý$208), "", 'Data Entry'!$Ý$208)</f>
      </c>
      <c r="FB208">
        <f>IF(ISBLANK('Data Entry'!$Þ$208), "", 'Data Entry'!$Þ$208)</f>
      </c>
      <c r="FC208">
        <f>IF(ISBLANK('Data Entry'!$ß$208), "", 'Data Entry'!$ß$208)</f>
      </c>
      <c r="FD208">
        <f>IF(ISBLANK('Data Entry'!$à$208), "", 'Data Entry'!$à$208)</f>
      </c>
      <c r="FE208">
        <f>IF(ISBLANK('Data Entry'!$á$208), "", 'Data Entry'!$á$208)</f>
      </c>
      <c r="FF208">
        <f>IF(ISBLANK('Data Entry'!$â$208), "", 'Data Entry'!$â$208)</f>
      </c>
      <c r="FG208">
        <f>IF(ISBLANK('Data Entry'!$ã$208), "", 'Data Entry'!$ã$208)</f>
      </c>
      <c r="FH208">
        <f>IF(ISBLANK('Data Entry'!$ä$208), "", 'Data Entry'!$ä$208)</f>
      </c>
      <c r="FI208">
        <f>IF(ISBLANK('Data Entry'!$å$208), "", 'Data Entry'!$å$208)</f>
      </c>
      <c r="FJ208">
        <f>IF(ISBLANK('Data Entry'!$æ$208), "", 'Data Entry'!$æ$208)</f>
      </c>
      <c r="FK208">
        <f>IF(ISBLANK('Data Entry'!$ç$208), "", 'Data Entry'!$ç$208)</f>
      </c>
      <c r="FL208">
        <f>IF(ISBLANK('Data Entry'!$è$208), "", 'Data Entry'!$è$208)</f>
      </c>
      <c r="FM208">
        <f>IF(ISBLANK('Data Entry'!$é$208), "", 'Data Entry'!$é$208)</f>
      </c>
      <c r="FN208">
        <f>IF(ISBLANK('Data Entry'!$ê$208), "", 'Data Entry'!$ê$208)</f>
      </c>
      <c r="FO208">
        <f>IF(ISBLANK('Data Entry'!$ë$208), "", 'Data Entry'!$ë$208)</f>
      </c>
      <c r="FP208">
        <f>IF(ISBLANK('Data Entry'!$ì$208), "", 'Data Entry'!$ì$208)</f>
      </c>
      <c r="FQ208">
        <f>IF(ISBLANK('Data Entry'!$í$208), "", 'Data Entry'!$í$208)</f>
      </c>
      <c r="FR208">
        <f>IF(ISBLANK('Data Entry'!$î$208), "", 'Data Entry'!$î$208)</f>
      </c>
      <c r="FS208">
        <f>IF(ISBLANK('Data Entry'!$ï$208), "", 'Data Entry'!$ï$208)</f>
      </c>
      <c r="FT208">
        <f>IF(ISBLANK('Data Entry'!$ð$208), "", 'Data Entry'!$ð$208)</f>
      </c>
      <c r="FU208">
        <f>IF(ISBLANK('Data Entry'!$ñ$208), "", 'Data Entry'!$ñ$208)</f>
      </c>
      <c r="FV208">
        <f>IF(ISBLANK('Data Entry'!$ò$208), "", 'Data Entry'!$ò$208)</f>
      </c>
      <c r="FW208">
        <f>IF(ISBLANK('Data Entry'!$ó$208), "", 'Data Entry'!$ó$208)</f>
      </c>
      <c r="FX208">
        <f>IF(ISBLANK('Data Entry'!$ô$208), "", 'Data Entry'!$ô$208)</f>
      </c>
      <c r="FY208">
        <f>IF(ISBLANK('Data Entry'!$õ$208), "", 'Data Entry'!$õ$208)</f>
      </c>
      <c r="FZ208">
        <f>IF(ISBLANK('Data Entry'!$ö$208), "", 'Data Entry'!$ö$208)</f>
      </c>
      <c r="GA208">
        <f>IF(ISBLANK('Data Entry'!$÷$208), "", 'Data Entry'!$÷$208)</f>
      </c>
      <c r="GB208">
        <f>IF(ISBLANK('Data Entry'!$ø$208), "", 'Data Entry'!$ø$208)</f>
      </c>
      <c r="GC208">
        <f>IF(ISBLANK('Data Entry'!$ù$208), "", 'Data Entry'!$ù$208)</f>
      </c>
      <c r="GD208">
        <f>IF(ISBLANK('Data Entry'!$ú$208), "", 'Data Entry'!$ú$208)</f>
      </c>
      <c r="GE208">
        <f>IF(ISBLANK('Data Entry'!$û$208), "", 'Data Entry'!$û$208)</f>
      </c>
      <c r="GF208">
        <f>IF(ISBLANK('Data Entry'!$ü$208), "", 'Data Entry'!$ü$208)</f>
      </c>
      <c r="GG208">
        <f>IF(ISBLANK('Data Entry'!$ý$208), "", 'Data Entry'!$ý$208)</f>
      </c>
      <c r="GH208">
        <f>IF(ISBLANK('Data Entry'!$þ$208), "", 'Data Entry'!$þ$208)</f>
      </c>
      <c r="GI208">
        <f>IF(ISBLANK('Data Entry'!$ÿ$208), "", 'Data Entry'!$ÿ$208)</f>
      </c>
      <c r="GJ208">
        <f>IF(ISBLANK('Data Entry'!$Ā$208), "", 'Data Entry'!$Ā$208)</f>
      </c>
      <c r="GK208">
        <f>IF(ISBLANK('Data Entry'!$ā$208), "", 'Data Entry'!$ā$208)</f>
      </c>
      <c r="GL208">
        <f>IF(ISBLANK('Data Entry'!$Ă$208), "", 'Data Entry'!$Ă$208)</f>
      </c>
      <c r="GM208">
        <f>IF(ISBLANK('Data Entry'!$ă$208), "", 'Data Entry'!$ă$208)</f>
      </c>
      <c r="GN208">
        <f>IF(ISBLANK('Data Entry'!$Ą$208), "", 'Data Entry'!$Ą$208)</f>
      </c>
      <c r="GO208">
        <f>IF(ISBLANK('Data Entry'!$ą$208), "", 'Data Entry'!$ą$208)</f>
      </c>
      <c r="GP208">
        <f>IF(ISBLANK('Data Entry'!$Ć$208), "", 'Data Entry'!$Ć$208)</f>
      </c>
      <c r="GQ208">
        <f>IF(ISBLANK('Data Entry'!$ć$208), "", 'Data Entry'!$ć$208)</f>
      </c>
      <c r="GR208">
        <f>IF(ISBLANK('Data Entry'!$Ĉ$208), "", 'Data Entry'!$Ĉ$208)</f>
      </c>
      <c r="GS208">
        <f>IF(ISBLANK('Data Entry'!$ĉ$208), "", 'Data Entry'!$ĉ$208)</f>
      </c>
      <c r="GT208">
        <f>IF(ISBLANK('Data Entry'!$Ċ$208), "", 'Data Entry'!$Ċ$208)</f>
      </c>
      <c r="GU208">
        <f>IF(ISBLANK('Data Entry'!$ċ$208), "", 'Data Entry'!$ċ$208)</f>
      </c>
      <c r="GV208">
        <f>IF(ISBLANK('Data Entry'!$Č$208), "", 'Data Entry'!$Č$208)</f>
      </c>
      <c r="GW208">
        <f>IF(ISBLANK('Data Entry'!$č$208), "", 'Data Entry'!$č$208)</f>
      </c>
      <c r="GX208">
        <f>IF(ISBLANK('Data Entry'!$Ď$208), "", 'Data Entry'!$Ď$208)</f>
      </c>
      <c r="GY208">
        <f>IF(ISBLANK('Data Entry'!$ď$208), "", 'Data Entry'!$ď$208)</f>
      </c>
      <c r="GZ208">
        <f>IF(ISBLANK('Data Entry'!$Đ$208), "", 'Data Entry'!$Đ$208)</f>
      </c>
      <c r="HA208">
        <f>IF(ISBLANK('Data Entry'!$đ$208), "", 'Data Entry'!$đ$208)</f>
      </c>
      <c r="HB208">
        <f>IF(ISBLANK('Data Entry'!$Ē$208), "", 'Data Entry'!$Ē$208)</f>
      </c>
      <c r="HC208">
        <f>IF(ISBLANK('Data Entry'!$ē$208), "", 'Data Entry'!$ē$208)</f>
      </c>
      <c r="HD208">
        <f>IF(ISBLANK('Data Entry'!$Ĕ$208), "", 'Data Entry'!$Ĕ$208)</f>
      </c>
      <c r="HE208">
        <f>IF(ISBLANK('Data Entry'!$ĕ$208), "", 'Data Entry'!$ĕ$208)</f>
      </c>
      <c r="HF208">
        <f>IF(ISBLANK('Data Entry'!$Ė$208), "", 'Data Entry'!$Ė$208)</f>
      </c>
      <c r="HG208">
        <f>IF(ISBLANK('Data Entry'!$ė$208), "", 'Data Entry'!$ė$208)</f>
      </c>
      <c r="HH208">
        <f>IF(ISBLANK('Data Entry'!$Ę$208), "", 'Data Entry'!$Ę$208)</f>
      </c>
      <c r="HI208">
        <f>IF(ISBLANK('Data Entry'!$ę$208), "", 'Data Entry'!$ę$208)</f>
      </c>
      <c r="HJ208">
        <f>IF(ISBLANK('Data Entry'!$Ě$208), "", 'Data Entry'!$Ě$208)</f>
      </c>
      <c r="HK208">
        <f>IF(ISBLANK('Data Entry'!$ě$208), "", 'Data Entry'!$ě$208)</f>
      </c>
      <c r="HL208">
        <f>IF(ISBLANK('Data Entry'!$Ĝ$208), "", 'Data Entry'!$Ĝ$208)</f>
      </c>
      <c r="HM208">
        <f>IF(ISBLANK('Data Entry'!$ĝ$208), "", 'Data Entry'!$ĝ$208)</f>
      </c>
      <c r="HN208">
        <f>IF(ISBLANK('Data Entry'!$Ğ$208), "", 'Data Entry'!$Ğ$208)</f>
      </c>
      <c r="HO208">
        <f>IF(ISBLANK('Data Entry'!$ğ$208), "", 'Data Entry'!$ğ$208)</f>
      </c>
      <c r="HP208">
        <f>IF(ISBLANK('Data Entry'!$Ġ$208), "", 'Data Entry'!$Ġ$208)</f>
      </c>
      <c r="HQ208">
        <f>IF(ISBLANK('Data Entry'!$ġ$208), "", 'Data Entry'!$ġ$208)</f>
      </c>
      <c r="HR208">
        <f>IF(ISBLANK('Data Entry'!$Ģ$208), "", 'Data Entry'!$Ģ$208)</f>
      </c>
      <c r="HS208">
        <f>IF(ISBLANK('Data Entry'!$ģ$208), "", 'Data Entry'!$ģ$208)</f>
      </c>
      <c r="HT208">
        <f>IF(ISBLANK('Data Entry'!$Ĥ$208), "", 'Data Entry'!$Ĥ$208)</f>
      </c>
      <c r="HU208">
        <f>IF(ISBLANK('Data Entry'!$ĥ$208), "", 'Data Entry'!$ĥ$208)</f>
      </c>
      <c r="HV208">
        <f>IF(ISBLANK('Data Entry'!$Ħ$208), "", 'Data Entry'!$Ħ$208)</f>
      </c>
      <c r="HW208">
        <f>IF(ISBLANK('Data Entry'!$ħ$208), "", 'Data Entry'!$ħ$208)</f>
      </c>
      <c r="HX208">
        <f>IF(ISBLANK('Data Entry'!$Ĩ$208), "", 'Data Entry'!$Ĩ$208)</f>
      </c>
      <c r="HY208">
        <f>IF(ISBLANK('Data Entry'!$ĩ$208), "", 'Data Entry'!$ĩ$208)</f>
      </c>
      <c r="HZ208">
        <f>IF(ISBLANK('Data Entry'!$Ī$208), "", 'Data Entry'!$Ī$208)</f>
      </c>
      <c r="IA208">
        <f>IF(ISBLANK('Data Entry'!$ī$208), "", 'Data Entry'!$ī$208)</f>
      </c>
      <c r="IB208">
        <f>IF(ISBLANK('Data Entry'!$Ĭ$208), "", 'Data Entry'!$Ĭ$208)</f>
      </c>
      <c r="IC208">
        <f>IF(ISBLANK('Data Entry'!$ĭ$208), "", 'Data Entry'!$ĭ$208)</f>
      </c>
      <c r="ID208">
        <f>IF(ISBLANK('Data Entry'!$Į$208), "", 'Data Entry'!$Į$208)</f>
      </c>
      <c r="IE208">
        <f>IF(ISBLANK('Data Entry'!$į$208), "", 'Data Entry'!$į$208)</f>
      </c>
      <c r="IF208">
        <f>IF(ISBLANK('Data Entry'!$İ$208), "", 'Data Entry'!$İ$208)</f>
      </c>
      <c r="IG208">
        <f>IF(ISBLANK('Data Entry'!$ı$208), "", 'Data Entry'!$ı$208)</f>
      </c>
      <c r="IH208">
        <f>IF(ISBLANK('Data Entry'!$Ĳ$208), "", 'Data Entry'!$Ĳ$208)</f>
      </c>
      <c r="II208">
        <f>IF(ISBLANK('Data Entry'!$ĳ$208), "", 'Data Entry'!$ĳ$208)</f>
      </c>
      <c r="IJ208">
        <f>IF(ISBLANK('Data Entry'!$Ĵ$208), "", 'Data Entry'!$Ĵ$208)</f>
      </c>
      <c r="IK208">
        <f>IF(ISBLANK('Data Entry'!$ĵ$208), "", 'Data Entry'!$ĵ$208)</f>
      </c>
      <c r="IL208">
        <f>IF(ISBLANK('Data Entry'!$Ķ$208), "", 'Data Entry'!$Ķ$208)</f>
      </c>
      <c r="IM208">
        <f>IF(ISBLANK('Data Entry'!$ķ$208), "", 'Data Entry'!$ķ$208)</f>
      </c>
      <c r="IN208">
        <f>IF(ISBLANK('Data Entry'!$ĸ$208), "", 'Data Entry'!$ĸ$208)</f>
      </c>
      <c r="IO208">
        <f>IF(ISBLANK('Data Entry'!$Ĺ$208), "", 'Data Entry'!$Ĺ$208)</f>
      </c>
      <c r="IP208">
        <f>IF(ISBLANK('Data Entry'!$ĺ$208), "", 'Data Entry'!$ĺ$208)</f>
      </c>
      <c r="IQ208">
        <f>IF(ISBLANK('Data Entry'!$Ļ$208), "", 'Data Entry'!$Ļ$208)</f>
      </c>
      <c r="IR208">
        <f>IF(ISBLANK('Data Entry'!$ļ$208), "", 'Data Entry'!$ļ$208)</f>
      </c>
      <c r="IS208">
        <f>IF(ISBLANK('Data Entry'!$Ľ$208), "", 'Data Entry'!$Ľ$208)</f>
      </c>
      <c r="IT208">
        <f>IF(ISBLANK('Data Entry'!$ľ$208), "", 'Data Entry'!$ľ$208)</f>
      </c>
    </row>
    <row r="209" spans="1:254" x14ac:dyDescent="0.25">
      <c r="A209">
        <f>IF(ISBLANK('Data Entry'!$A$209), "", 'Data Entry'!$A$209)</f>
      </c>
      <c r="B209">
        <f>IF(ISBLANK('Data Entry'!$B$209), "", 'Data Entry'!$B$209)</f>
      </c>
      <c r="C209">
        <f>IF(ISBLANK('Data Entry'!$C$209), "", 'Data Entry'!$C$209)</f>
      </c>
      <c r="D209">
        <f>IF(ISBLANK('Data Entry'!$D$209), "", 'Data Entry'!$D$209)</f>
      </c>
      <c r="E209">
        <f>IF(ISBLANK('Data Entry'!$E$209), "", 'Data Entry'!$E$209)</f>
      </c>
      <c r="F209">
        <f>IF(ISBLANK('Data Entry'!$F$209), "", 'Data Entry'!$F$209)</f>
      </c>
      <c r="G209">
        <f>IF(ISBLANK('Data Entry'!$G$209), "", 'Data Entry'!$G$209)</f>
      </c>
      <c r="H209">
        <f>IF(ISBLANK('Data Entry'!$H$209), "", 'Data Entry'!$H$209)</f>
      </c>
      <c r="I209">
        <f>IF(ISBLANK('Data Entry'!$I$209), "", 'Data Entry'!$I$209)</f>
      </c>
      <c r="J209">
        <f>IF(ISBLANK('Data Entry'!$J$209), "", 'Data Entry'!$J$209)</f>
      </c>
      <c r="K209">
        <f>IF(ISBLANK('Data Entry'!$K$209), "", 'Data Entry'!$K$209)</f>
      </c>
      <c r="L209">
        <f>IF(ISBLANK('Data Entry'!$L$209), "", 'Data Entry'!$L$209)</f>
      </c>
      <c r="M209">
        <f>IF(ISBLANK('Data Entry'!$M$209), "", 'Data Entry'!$M$209)</f>
      </c>
      <c r="N209">
        <f>IF(ISBLANK('Data Entry'!$N$209), "", 'Data Entry'!$N$209)</f>
      </c>
      <c r="O209">
        <f>IF(ISBLANK('Data Entry'!$O$209), "", 'Data Entry'!$O$209)</f>
      </c>
      <c r="P209">
        <f>IF(ISBLANK('Data Entry'!$P$209), "", 'Data Entry'!$P$209)</f>
      </c>
      <c r="Q209">
        <f>IF(ISBLANK('Data Entry'!$Q$209), "", 'Data Entry'!$Q$209)</f>
      </c>
      <c r="R209">
        <f>IF(ISBLANK('Data Entry'!$R$209), "", 'Data Entry'!$R$209)</f>
      </c>
      <c r="S209">
        <f>IF(ISBLANK('Data Entry'!$S$209), "", 'Data Entry'!$S$209)</f>
      </c>
      <c r="T209">
        <f>IF(ISBLANK('Data Entry'!$T$209), "", 'Data Entry'!$T$209)</f>
      </c>
      <c r="U209">
        <f>IF(ISBLANK('Data Entry'!$U$209), "", 'Data Entry'!$U$209)</f>
      </c>
      <c r="V209">
        <f>IF(ISBLANK('Data Entry'!$V$209), "", 'Data Entry'!$V$209)</f>
      </c>
      <c r="W209">
        <f>IF(ISBLANK('Data Entry'!$W$209), "", 'Data Entry'!$W$209)</f>
      </c>
      <c r="X209">
        <f>IF(ISBLANK('Data Entry'!$X$209), "", 'Data Entry'!$X$209)</f>
      </c>
      <c r="Y209">
        <f>IF(ISBLANK('Data Entry'!$Y$209), "", 'Data Entry'!$Y$209)</f>
      </c>
      <c r="Z209">
        <f>IF(ISBLANK('Data Entry'!$Z$209), "", 'Data Entry'!$Z$209)</f>
      </c>
      <c r="AA209">
        <f>IF(ISBLANK('Data Entry'!$[$209), "", 'Data Entry'!$[$209)</f>
      </c>
      <c r="AB209">
        <f>IF(ISBLANK('Data Entry'!$\$209), "", 'Data Entry'!$\$209)</f>
      </c>
      <c r="AC209">
        <f>IF(ISBLANK('Data Entry'!$]$209), "", 'Data Entry'!$]$209)</f>
      </c>
      <c r="AD209">
        <f>IF(ISBLANK('Data Entry'!$^$209), "", 'Data Entry'!$^$209)</f>
      </c>
      <c r="AE209">
        <f>IF(ISBLANK('Data Entry'!$_$209), "", 'Data Entry'!$_$209)</f>
      </c>
      <c r="AF209">
        <f>IF(ISBLANK('Data Entry'!$`$209), "", 'Data Entry'!$`$209)</f>
      </c>
      <c r="AG209">
        <f>IF(ISBLANK('Data Entry'!$a$209), "", 'Data Entry'!$a$209)</f>
      </c>
      <c r="AH209">
        <f>IF(ISBLANK('Data Entry'!$b$209), "", 'Data Entry'!$b$209)</f>
      </c>
      <c r="AI209">
        <f>IF(ISBLANK('Data Entry'!$c$209), "", 'Data Entry'!$c$209)</f>
      </c>
      <c r="AJ209">
        <f>IF(ISBLANK('Data Entry'!$d$209), "", 'Data Entry'!$d$209)</f>
      </c>
      <c r="AK209">
        <f>IF(ISBLANK('Data Entry'!$e$209), "", 'Data Entry'!$e$209)</f>
      </c>
      <c r="AL209">
        <f>IF(ISBLANK('Data Entry'!$f$209), "", 'Data Entry'!$f$209)</f>
      </c>
      <c r="AM209">
        <f>IF(ISBLANK('Data Entry'!$g$209), "", 'Data Entry'!$g$209)</f>
      </c>
      <c r="AN209">
        <f>IF(ISBLANK('Data Entry'!$h$209), "", 'Data Entry'!$h$209)</f>
      </c>
      <c r="AO209">
        <f>IF(ISBLANK('Data Entry'!$i$209), "", 'Data Entry'!$i$209)</f>
      </c>
      <c r="AP209">
        <f>IF(ISBLANK('Data Entry'!$j$209), "", 'Data Entry'!$j$209)</f>
      </c>
      <c r="AQ209">
        <f>IF(ISBLANK('Data Entry'!$k$209), "", 'Data Entry'!$k$209)</f>
      </c>
      <c r="AR209">
        <f>IF(ISBLANK('Data Entry'!$l$209), "", 'Data Entry'!$l$209)</f>
      </c>
      <c r="AS209">
        <f>IF(ISBLANK('Data Entry'!$m$209), "", 'Data Entry'!$m$209)</f>
      </c>
      <c r="AT209">
        <f>IF(ISBLANK('Data Entry'!$n$209), "", 'Data Entry'!$n$209)</f>
      </c>
      <c r="AU209">
        <f>IF(ISBLANK('Data Entry'!$o$209), "", 'Data Entry'!$o$209)</f>
      </c>
      <c r="AV209">
        <f>IF(ISBLANK('Data Entry'!$p$209), "", 'Data Entry'!$p$209)</f>
      </c>
      <c r="AW209">
        <f>IF(ISBLANK('Data Entry'!$q$209), "", 'Data Entry'!$q$209)</f>
      </c>
      <c r="AX209">
        <f>IF(ISBLANK('Data Entry'!$r$209), "", 'Data Entry'!$r$209)</f>
      </c>
      <c r="AY209">
        <f>IF(ISBLANK('Data Entry'!$s$209), "", 'Data Entry'!$s$209)</f>
      </c>
      <c r="AZ209">
        <f>IF(ISBLANK('Data Entry'!$t$209), "", 'Data Entry'!$t$209)</f>
      </c>
      <c r="BA209">
        <f>IF(ISBLANK('Data Entry'!$u$209), "", 'Data Entry'!$u$209)</f>
      </c>
      <c r="BB209">
        <f>IF(ISBLANK('Data Entry'!$v$209), "", 'Data Entry'!$v$209)</f>
      </c>
      <c r="BC209">
        <f>IF(ISBLANK('Data Entry'!$w$209), "", 'Data Entry'!$w$209)</f>
      </c>
      <c r="BD209">
        <f>IF(ISBLANK('Data Entry'!$x$209), "", 'Data Entry'!$x$209)</f>
      </c>
      <c r="BE209">
        <f>IF(ISBLANK('Data Entry'!$y$209), "", 'Data Entry'!$y$209)</f>
      </c>
      <c r="BF209">
        <f>IF(ISBLANK('Data Entry'!$z$209), "", 'Data Entry'!$z$209)</f>
      </c>
      <c r="BG209">
        <f>IF(ISBLANK('Data Entry'!${$209), "", 'Data Entry'!${$209)</f>
      </c>
      <c r="BH209">
        <f>IF(ISBLANK('Data Entry'!$|$209), "", 'Data Entry'!$|$209)</f>
      </c>
      <c r="BI209">
        <f>IF(ISBLANK('Data Entry'!$}$209), "", 'Data Entry'!$}$209)</f>
      </c>
      <c r="BJ209">
        <f>IF(ISBLANK('Data Entry'!$~$209), "", 'Data Entry'!$~$209)</f>
      </c>
      <c r="BK209">
        <f>IF(ISBLANK('Data Entry'!$$209), "", 'Data Entry'!$$209)</f>
      </c>
      <c r="BL209">
        <f>IF(ISBLANK('Data Entry'!$$209), "", 'Data Entry'!$$209)</f>
      </c>
      <c r="BM209">
        <f>IF(ISBLANK('Data Entry'!$$209), "", 'Data Entry'!$$209)</f>
      </c>
      <c r="BN209">
        <f>IF(ISBLANK('Data Entry'!$$209), "", 'Data Entry'!$$209)</f>
      </c>
      <c r="BO209">
        <f>IF(ISBLANK('Data Entry'!$$209), "", 'Data Entry'!$$209)</f>
      </c>
      <c r="BP209">
        <f>IF(ISBLANK('Data Entry'!$$209), "", 'Data Entry'!$$209)</f>
      </c>
      <c r="BQ209">
        <f>IF(ISBLANK('Data Entry'!$$209), "", 'Data Entry'!$$209)</f>
      </c>
      <c r="BR209">
        <f>IF(ISBLANK('Data Entry'!$$209), "", 'Data Entry'!$$209)</f>
      </c>
      <c r="BS209">
        <f>IF(ISBLANK('Data Entry'!$$209), "", 'Data Entry'!$$209)</f>
      </c>
      <c r="BT209">
        <f>IF(ISBLANK('Data Entry'!$$209), "", 'Data Entry'!$$209)</f>
      </c>
      <c r="BU209">
        <f>IF(ISBLANK('Data Entry'!$$209), "", 'Data Entry'!$$209)</f>
      </c>
      <c r="BV209">
        <f>IF(ISBLANK('Data Entry'!$$209), "", 'Data Entry'!$$209)</f>
      </c>
      <c r="BW209">
        <f>IF(ISBLANK('Data Entry'!$$209), "", 'Data Entry'!$$209)</f>
      </c>
      <c r="BX209">
        <f>IF(ISBLANK('Data Entry'!$$209), "", 'Data Entry'!$$209)</f>
      </c>
      <c r="BY209">
        <f>IF(ISBLANK('Data Entry'!$$209), "", 'Data Entry'!$$209)</f>
      </c>
      <c r="BZ209">
        <f>IF(ISBLANK('Data Entry'!$$209), "", 'Data Entry'!$$209)</f>
      </c>
      <c r="CA209">
        <f>IF(ISBLANK('Data Entry'!$$209), "", 'Data Entry'!$$209)</f>
      </c>
      <c r="CB209">
        <f>IF(ISBLANK('Data Entry'!$$209), "", 'Data Entry'!$$209)</f>
      </c>
      <c r="CC209">
        <f>IF(ISBLANK('Data Entry'!$$209), "", 'Data Entry'!$$209)</f>
      </c>
      <c r="CD209">
        <f>IF(ISBLANK('Data Entry'!$$209), "", 'Data Entry'!$$209)</f>
      </c>
      <c r="CE209">
        <f>IF(ISBLANK('Data Entry'!$$209), "", 'Data Entry'!$$209)</f>
      </c>
      <c r="CF209">
        <f>IF(ISBLANK('Data Entry'!$$209), "", 'Data Entry'!$$209)</f>
      </c>
      <c r="CG209">
        <f>IF(ISBLANK('Data Entry'!$$209), "", 'Data Entry'!$$209)</f>
      </c>
      <c r="CH209">
        <f>IF(ISBLANK('Data Entry'!$$209), "", 'Data Entry'!$$209)</f>
      </c>
      <c r="CI209">
        <f>IF(ISBLANK('Data Entry'!$$209), "", 'Data Entry'!$$209)</f>
      </c>
      <c r="CJ209">
        <f>IF(ISBLANK('Data Entry'!$$209), "", 'Data Entry'!$$209)</f>
      </c>
      <c r="CK209">
        <f>IF(ISBLANK('Data Entry'!$$209), "", 'Data Entry'!$$209)</f>
      </c>
      <c r="CL209">
        <f>IF(ISBLANK('Data Entry'!$$209), "", 'Data Entry'!$$209)</f>
      </c>
      <c r="CM209">
        <f>IF(ISBLANK('Data Entry'!$$209), "", 'Data Entry'!$$209)</f>
      </c>
      <c r="CN209">
        <f>IF(ISBLANK('Data Entry'!$$209), "", 'Data Entry'!$$209)</f>
      </c>
      <c r="CO209">
        <f>IF(ISBLANK('Data Entry'!$$209), "", 'Data Entry'!$$209)</f>
      </c>
      <c r="CP209">
        <f>IF(ISBLANK('Data Entry'!$$209), "", 'Data Entry'!$$209)</f>
      </c>
      <c r="CQ209">
        <f>IF(ISBLANK('Data Entry'!$$209), "", 'Data Entry'!$$209)</f>
      </c>
      <c r="CR209">
        <f>IF(ISBLANK('Data Entry'!$ $209), "", 'Data Entry'!$ $209)</f>
      </c>
      <c r="CS209">
        <f>IF(ISBLANK('Data Entry'!$¡$209), "", 'Data Entry'!$¡$209)</f>
      </c>
      <c r="CT209">
        <f>IF(ISBLANK('Data Entry'!$¢$209), "", 'Data Entry'!$¢$209)</f>
      </c>
      <c r="CU209">
        <f>IF(ISBLANK('Data Entry'!$£$209), "", 'Data Entry'!$£$209)</f>
      </c>
      <c r="CV209">
        <f>IF(ISBLANK('Data Entry'!$¤$209), "", 'Data Entry'!$¤$209)</f>
      </c>
      <c r="CW209">
        <f>IF(ISBLANK('Data Entry'!$¥$209), "", 'Data Entry'!$¥$209)</f>
      </c>
      <c r="CX209">
        <f>IF(ISBLANK('Data Entry'!$¦$209), "", 'Data Entry'!$¦$209)</f>
      </c>
      <c r="CY209">
        <f>IF(ISBLANK('Data Entry'!$§$209), "", 'Data Entry'!$§$209)</f>
      </c>
      <c r="CZ209">
        <f>IF(ISBLANK('Data Entry'!$¨$209), "", 'Data Entry'!$¨$209)</f>
      </c>
      <c r="DA209">
        <f>IF(ISBLANK('Data Entry'!$©$209), "", 'Data Entry'!$©$209)</f>
      </c>
      <c r="DB209">
        <f>IF(ISBLANK('Data Entry'!$ª$209), "", 'Data Entry'!$ª$209)</f>
      </c>
      <c r="DC209">
        <f>IF(ISBLANK('Data Entry'!$«$209), "", 'Data Entry'!$«$209)</f>
      </c>
      <c r="DD209">
        <f>IF(ISBLANK('Data Entry'!$¬$209), "", 'Data Entry'!$¬$209)</f>
      </c>
      <c r="DE209">
        <f>IF(ISBLANK('Data Entry'!$­$209), "", 'Data Entry'!$­$209)</f>
      </c>
      <c r="DF209">
        <f>IF(ISBLANK('Data Entry'!$®$209), "", 'Data Entry'!$®$209)</f>
      </c>
      <c r="DG209">
        <f>IF(ISBLANK('Data Entry'!$¯$209), "", 'Data Entry'!$¯$209)</f>
      </c>
      <c r="DH209">
        <f>IF(ISBLANK('Data Entry'!$°$209), "", 'Data Entry'!$°$209)</f>
      </c>
      <c r="DI209">
        <f>IF(ISBLANK('Data Entry'!$±$209), "", 'Data Entry'!$±$209)</f>
      </c>
      <c r="DJ209">
        <f>IF(ISBLANK('Data Entry'!$²$209), "", 'Data Entry'!$²$209)</f>
      </c>
      <c r="DK209">
        <f>IF(ISBLANK('Data Entry'!$³$209), "", 'Data Entry'!$³$209)</f>
      </c>
      <c r="DL209">
        <f>IF(ISBLANK('Data Entry'!$´$209), "", 'Data Entry'!$´$209)</f>
      </c>
      <c r="DM209">
        <f>IF(ISBLANK('Data Entry'!$µ$209), "", 'Data Entry'!$µ$209)</f>
      </c>
      <c r="DN209">
        <f>IF(ISBLANK('Data Entry'!$¶$209), "", 'Data Entry'!$¶$209)</f>
      </c>
      <c r="DO209">
        <f>IF(ISBLANK('Data Entry'!$·$209), "", 'Data Entry'!$·$209)</f>
      </c>
      <c r="DP209">
        <f>IF(ISBLANK('Data Entry'!$¸$209), "", 'Data Entry'!$¸$209)</f>
      </c>
      <c r="DQ209">
        <f>IF(ISBLANK('Data Entry'!$¹$209), "", 'Data Entry'!$¹$209)</f>
      </c>
      <c r="DR209">
        <f>IF(ISBLANK('Data Entry'!$º$209), "", 'Data Entry'!$º$209)</f>
      </c>
      <c r="DS209">
        <f>IF(ISBLANK('Data Entry'!$»$209), "", 'Data Entry'!$»$209)</f>
      </c>
      <c r="DT209">
        <f>IF(ISBLANK('Data Entry'!$¼$209), "", 'Data Entry'!$¼$209)</f>
      </c>
      <c r="DU209">
        <f>IF(ISBLANK('Data Entry'!$½$209), "", 'Data Entry'!$½$209)</f>
      </c>
      <c r="DV209">
        <f>IF(ISBLANK('Data Entry'!$¾$209), "", 'Data Entry'!$¾$209)</f>
      </c>
      <c r="DW209">
        <f>IF(ISBLANK('Data Entry'!$¿$209), "", 'Data Entry'!$¿$209)</f>
      </c>
      <c r="DX209">
        <f>IF(ISBLANK('Data Entry'!$À$209), "", 'Data Entry'!$À$209)</f>
      </c>
      <c r="DY209">
        <f>IF(ISBLANK('Data Entry'!$Á$209), "", 'Data Entry'!$Á$209)</f>
      </c>
      <c r="DZ209">
        <f>IF(ISBLANK('Data Entry'!$Â$209), "", 'Data Entry'!$Â$209)</f>
      </c>
      <c r="EA209">
        <f>IF(ISBLANK('Data Entry'!$Ã$209), "", 'Data Entry'!$Ã$209)</f>
      </c>
      <c r="EB209">
        <f>IF(ISBLANK('Data Entry'!$Ä$209), "", 'Data Entry'!$Ä$209)</f>
      </c>
      <c r="EC209">
        <f>IF(ISBLANK('Data Entry'!$Å$209), "", 'Data Entry'!$Å$209)</f>
      </c>
      <c r="ED209">
        <f>IF(ISBLANK('Data Entry'!$Æ$209), "", 'Data Entry'!$Æ$209)</f>
      </c>
      <c r="EE209">
        <f>IF(ISBLANK('Data Entry'!$Ç$209), "", 'Data Entry'!$Ç$209)</f>
      </c>
      <c r="EF209">
        <f>IF(ISBLANK('Data Entry'!$È$209), "", 'Data Entry'!$È$209)</f>
      </c>
      <c r="EG209">
        <f>IF(ISBLANK('Data Entry'!$É$209), "", 'Data Entry'!$É$209)</f>
      </c>
      <c r="EH209">
        <f>IF(ISBLANK('Data Entry'!$Ê$209), "", 'Data Entry'!$Ê$209)</f>
      </c>
      <c r="EI209">
        <f>IF(ISBLANK('Data Entry'!$Ë$209), "", 'Data Entry'!$Ë$209)</f>
      </c>
      <c r="EJ209">
        <f>IF(ISBLANK('Data Entry'!$Ì$209), "", 'Data Entry'!$Ì$209)</f>
      </c>
      <c r="EK209">
        <f>IF(ISBLANK('Data Entry'!$Í$209), "", 'Data Entry'!$Í$209)</f>
      </c>
      <c r="EL209">
        <f>IF(ISBLANK('Data Entry'!$Î$209), "", 'Data Entry'!$Î$209)</f>
      </c>
      <c r="EM209">
        <f>IF(ISBLANK('Data Entry'!$Ï$209), "", 'Data Entry'!$Ï$209)</f>
      </c>
      <c r="EN209">
        <f>IF(ISBLANK('Data Entry'!$Ð$209), "", 'Data Entry'!$Ð$209)</f>
      </c>
      <c r="EO209">
        <f>IF(ISBLANK('Data Entry'!$Ñ$209), "", 'Data Entry'!$Ñ$209)</f>
      </c>
      <c r="EP209">
        <f>IF(ISBLANK('Data Entry'!$Ò$209), "", 'Data Entry'!$Ò$209)</f>
      </c>
      <c r="EQ209">
        <f>IF(ISBLANK('Data Entry'!$Ó$209), "", 'Data Entry'!$Ó$209)</f>
      </c>
      <c r="ER209">
        <f>IF(ISBLANK('Data Entry'!$Ô$209), "", 'Data Entry'!$Ô$209)</f>
      </c>
      <c r="ES209">
        <f>IF(ISBLANK('Data Entry'!$Õ$209), "", 'Data Entry'!$Õ$209)</f>
      </c>
      <c r="ET209">
        <f>IF(ISBLANK('Data Entry'!$Ö$209), "", 'Data Entry'!$Ö$209)</f>
      </c>
      <c r="EU209">
        <f>IF(ISBLANK('Data Entry'!$×$209), "", 'Data Entry'!$×$209)</f>
      </c>
      <c r="EV209">
        <f>IF(ISBLANK('Data Entry'!$Ø$209), "", 'Data Entry'!$Ø$209)</f>
      </c>
      <c r="EW209">
        <f>IF(ISBLANK('Data Entry'!$Ù$209), "", 'Data Entry'!$Ù$209)</f>
      </c>
      <c r="EX209">
        <f>IF(ISBLANK('Data Entry'!$Ú$209), "", 'Data Entry'!$Ú$209)</f>
      </c>
      <c r="EY209">
        <f>IF(ISBLANK('Data Entry'!$Û$209), "", 'Data Entry'!$Û$209)</f>
      </c>
      <c r="EZ209">
        <f>IF(ISBLANK('Data Entry'!$Ü$209), "", 'Data Entry'!$Ü$209)</f>
      </c>
      <c r="FA209">
        <f>IF(ISBLANK('Data Entry'!$Ý$209), "", 'Data Entry'!$Ý$209)</f>
      </c>
      <c r="FB209">
        <f>IF(ISBLANK('Data Entry'!$Þ$209), "", 'Data Entry'!$Þ$209)</f>
      </c>
      <c r="FC209">
        <f>IF(ISBLANK('Data Entry'!$ß$209), "", 'Data Entry'!$ß$209)</f>
      </c>
      <c r="FD209">
        <f>IF(ISBLANK('Data Entry'!$à$209), "", 'Data Entry'!$à$209)</f>
      </c>
      <c r="FE209">
        <f>IF(ISBLANK('Data Entry'!$á$209), "", 'Data Entry'!$á$209)</f>
      </c>
      <c r="FF209">
        <f>IF(ISBLANK('Data Entry'!$â$209), "", 'Data Entry'!$â$209)</f>
      </c>
      <c r="FG209">
        <f>IF(ISBLANK('Data Entry'!$ã$209), "", 'Data Entry'!$ã$209)</f>
      </c>
      <c r="FH209">
        <f>IF(ISBLANK('Data Entry'!$ä$209), "", 'Data Entry'!$ä$209)</f>
      </c>
      <c r="FI209">
        <f>IF(ISBLANK('Data Entry'!$å$209), "", 'Data Entry'!$å$209)</f>
      </c>
      <c r="FJ209">
        <f>IF(ISBLANK('Data Entry'!$æ$209), "", 'Data Entry'!$æ$209)</f>
      </c>
      <c r="FK209">
        <f>IF(ISBLANK('Data Entry'!$ç$209), "", 'Data Entry'!$ç$209)</f>
      </c>
      <c r="FL209">
        <f>IF(ISBLANK('Data Entry'!$è$209), "", 'Data Entry'!$è$209)</f>
      </c>
      <c r="FM209">
        <f>IF(ISBLANK('Data Entry'!$é$209), "", 'Data Entry'!$é$209)</f>
      </c>
      <c r="FN209">
        <f>IF(ISBLANK('Data Entry'!$ê$209), "", 'Data Entry'!$ê$209)</f>
      </c>
      <c r="FO209">
        <f>IF(ISBLANK('Data Entry'!$ë$209), "", 'Data Entry'!$ë$209)</f>
      </c>
      <c r="FP209">
        <f>IF(ISBLANK('Data Entry'!$ì$209), "", 'Data Entry'!$ì$209)</f>
      </c>
      <c r="FQ209">
        <f>IF(ISBLANK('Data Entry'!$í$209), "", 'Data Entry'!$í$209)</f>
      </c>
      <c r="FR209">
        <f>IF(ISBLANK('Data Entry'!$î$209), "", 'Data Entry'!$î$209)</f>
      </c>
      <c r="FS209">
        <f>IF(ISBLANK('Data Entry'!$ï$209), "", 'Data Entry'!$ï$209)</f>
      </c>
      <c r="FT209">
        <f>IF(ISBLANK('Data Entry'!$ð$209), "", 'Data Entry'!$ð$209)</f>
      </c>
      <c r="FU209">
        <f>IF(ISBLANK('Data Entry'!$ñ$209), "", 'Data Entry'!$ñ$209)</f>
      </c>
      <c r="FV209">
        <f>IF(ISBLANK('Data Entry'!$ò$209), "", 'Data Entry'!$ò$209)</f>
      </c>
      <c r="FW209">
        <f>IF(ISBLANK('Data Entry'!$ó$209), "", 'Data Entry'!$ó$209)</f>
      </c>
      <c r="FX209">
        <f>IF(ISBLANK('Data Entry'!$ô$209), "", 'Data Entry'!$ô$209)</f>
      </c>
      <c r="FY209">
        <f>IF(ISBLANK('Data Entry'!$õ$209), "", 'Data Entry'!$õ$209)</f>
      </c>
      <c r="FZ209">
        <f>IF(ISBLANK('Data Entry'!$ö$209), "", 'Data Entry'!$ö$209)</f>
      </c>
      <c r="GA209">
        <f>IF(ISBLANK('Data Entry'!$÷$209), "", 'Data Entry'!$÷$209)</f>
      </c>
      <c r="GB209">
        <f>IF(ISBLANK('Data Entry'!$ø$209), "", 'Data Entry'!$ø$209)</f>
      </c>
      <c r="GC209">
        <f>IF(ISBLANK('Data Entry'!$ù$209), "", 'Data Entry'!$ù$209)</f>
      </c>
      <c r="GD209">
        <f>IF(ISBLANK('Data Entry'!$ú$209), "", 'Data Entry'!$ú$209)</f>
      </c>
      <c r="GE209">
        <f>IF(ISBLANK('Data Entry'!$û$209), "", 'Data Entry'!$û$209)</f>
      </c>
      <c r="GF209">
        <f>IF(ISBLANK('Data Entry'!$ü$209), "", 'Data Entry'!$ü$209)</f>
      </c>
      <c r="GG209">
        <f>IF(ISBLANK('Data Entry'!$ý$209), "", 'Data Entry'!$ý$209)</f>
      </c>
      <c r="GH209">
        <f>IF(ISBLANK('Data Entry'!$þ$209), "", 'Data Entry'!$þ$209)</f>
      </c>
      <c r="GI209">
        <f>IF(ISBLANK('Data Entry'!$ÿ$209), "", 'Data Entry'!$ÿ$209)</f>
      </c>
      <c r="GJ209">
        <f>IF(ISBLANK('Data Entry'!$Ā$209), "", 'Data Entry'!$Ā$209)</f>
      </c>
      <c r="GK209">
        <f>IF(ISBLANK('Data Entry'!$ā$209), "", 'Data Entry'!$ā$209)</f>
      </c>
      <c r="GL209">
        <f>IF(ISBLANK('Data Entry'!$Ă$209), "", 'Data Entry'!$Ă$209)</f>
      </c>
      <c r="GM209">
        <f>IF(ISBLANK('Data Entry'!$ă$209), "", 'Data Entry'!$ă$209)</f>
      </c>
      <c r="GN209">
        <f>IF(ISBLANK('Data Entry'!$Ą$209), "", 'Data Entry'!$Ą$209)</f>
      </c>
      <c r="GO209">
        <f>IF(ISBLANK('Data Entry'!$ą$209), "", 'Data Entry'!$ą$209)</f>
      </c>
      <c r="GP209">
        <f>IF(ISBLANK('Data Entry'!$Ć$209), "", 'Data Entry'!$Ć$209)</f>
      </c>
      <c r="GQ209">
        <f>IF(ISBLANK('Data Entry'!$ć$209), "", 'Data Entry'!$ć$209)</f>
      </c>
      <c r="GR209">
        <f>IF(ISBLANK('Data Entry'!$Ĉ$209), "", 'Data Entry'!$Ĉ$209)</f>
      </c>
      <c r="GS209">
        <f>IF(ISBLANK('Data Entry'!$ĉ$209), "", 'Data Entry'!$ĉ$209)</f>
      </c>
      <c r="GT209">
        <f>IF(ISBLANK('Data Entry'!$Ċ$209), "", 'Data Entry'!$Ċ$209)</f>
      </c>
      <c r="GU209">
        <f>IF(ISBLANK('Data Entry'!$ċ$209), "", 'Data Entry'!$ċ$209)</f>
      </c>
      <c r="GV209">
        <f>IF(ISBLANK('Data Entry'!$Č$209), "", 'Data Entry'!$Č$209)</f>
      </c>
      <c r="GW209">
        <f>IF(ISBLANK('Data Entry'!$č$209), "", 'Data Entry'!$č$209)</f>
      </c>
      <c r="GX209">
        <f>IF(ISBLANK('Data Entry'!$Ď$209), "", 'Data Entry'!$Ď$209)</f>
      </c>
      <c r="GY209">
        <f>IF(ISBLANK('Data Entry'!$ď$209), "", 'Data Entry'!$ď$209)</f>
      </c>
      <c r="GZ209">
        <f>IF(ISBLANK('Data Entry'!$Đ$209), "", 'Data Entry'!$Đ$209)</f>
      </c>
      <c r="HA209">
        <f>IF(ISBLANK('Data Entry'!$đ$209), "", 'Data Entry'!$đ$209)</f>
      </c>
      <c r="HB209">
        <f>IF(ISBLANK('Data Entry'!$Ē$209), "", 'Data Entry'!$Ē$209)</f>
      </c>
      <c r="HC209">
        <f>IF(ISBLANK('Data Entry'!$ē$209), "", 'Data Entry'!$ē$209)</f>
      </c>
      <c r="HD209">
        <f>IF(ISBLANK('Data Entry'!$Ĕ$209), "", 'Data Entry'!$Ĕ$209)</f>
      </c>
      <c r="HE209">
        <f>IF(ISBLANK('Data Entry'!$ĕ$209), "", 'Data Entry'!$ĕ$209)</f>
      </c>
      <c r="HF209">
        <f>IF(ISBLANK('Data Entry'!$Ė$209), "", 'Data Entry'!$Ė$209)</f>
      </c>
      <c r="HG209">
        <f>IF(ISBLANK('Data Entry'!$ė$209), "", 'Data Entry'!$ė$209)</f>
      </c>
      <c r="HH209">
        <f>IF(ISBLANK('Data Entry'!$Ę$209), "", 'Data Entry'!$Ę$209)</f>
      </c>
      <c r="HI209">
        <f>IF(ISBLANK('Data Entry'!$ę$209), "", 'Data Entry'!$ę$209)</f>
      </c>
      <c r="HJ209">
        <f>IF(ISBLANK('Data Entry'!$Ě$209), "", 'Data Entry'!$Ě$209)</f>
      </c>
      <c r="HK209">
        <f>IF(ISBLANK('Data Entry'!$ě$209), "", 'Data Entry'!$ě$209)</f>
      </c>
      <c r="HL209">
        <f>IF(ISBLANK('Data Entry'!$Ĝ$209), "", 'Data Entry'!$Ĝ$209)</f>
      </c>
      <c r="HM209">
        <f>IF(ISBLANK('Data Entry'!$ĝ$209), "", 'Data Entry'!$ĝ$209)</f>
      </c>
      <c r="HN209">
        <f>IF(ISBLANK('Data Entry'!$Ğ$209), "", 'Data Entry'!$Ğ$209)</f>
      </c>
      <c r="HO209">
        <f>IF(ISBLANK('Data Entry'!$ğ$209), "", 'Data Entry'!$ğ$209)</f>
      </c>
      <c r="HP209">
        <f>IF(ISBLANK('Data Entry'!$Ġ$209), "", 'Data Entry'!$Ġ$209)</f>
      </c>
      <c r="HQ209">
        <f>IF(ISBLANK('Data Entry'!$ġ$209), "", 'Data Entry'!$ġ$209)</f>
      </c>
      <c r="HR209">
        <f>IF(ISBLANK('Data Entry'!$Ģ$209), "", 'Data Entry'!$Ģ$209)</f>
      </c>
      <c r="HS209">
        <f>IF(ISBLANK('Data Entry'!$ģ$209), "", 'Data Entry'!$ģ$209)</f>
      </c>
      <c r="HT209">
        <f>IF(ISBLANK('Data Entry'!$Ĥ$209), "", 'Data Entry'!$Ĥ$209)</f>
      </c>
      <c r="HU209">
        <f>IF(ISBLANK('Data Entry'!$ĥ$209), "", 'Data Entry'!$ĥ$209)</f>
      </c>
      <c r="HV209">
        <f>IF(ISBLANK('Data Entry'!$Ħ$209), "", 'Data Entry'!$Ħ$209)</f>
      </c>
      <c r="HW209">
        <f>IF(ISBLANK('Data Entry'!$ħ$209), "", 'Data Entry'!$ħ$209)</f>
      </c>
      <c r="HX209">
        <f>IF(ISBLANK('Data Entry'!$Ĩ$209), "", 'Data Entry'!$Ĩ$209)</f>
      </c>
      <c r="HY209">
        <f>IF(ISBLANK('Data Entry'!$ĩ$209), "", 'Data Entry'!$ĩ$209)</f>
      </c>
      <c r="HZ209">
        <f>IF(ISBLANK('Data Entry'!$Ī$209), "", 'Data Entry'!$Ī$209)</f>
      </c>
      <c r="IA209">
        <f>IF(ISBLANK('Data Entry'!$ī$209), "", 'Data Entry'!$ī$209)</f>
      </c>
      <c r="IB209">
        <f>IF(ISBLANK('Data Entry'!$Ĭ$209), "", 'Data Entry'!$Ĭ$209)</f>
      </c>
      <c r="IC209">
        <f>IF(ISBLANK('Data Entry'!$ĭ$209), "", 'Data Entry'!$ĭ$209)</f>
      </c>
      <c r="ID209">
        <f>IF(ISBLANK('Data Entry'!$Į$209), "", 'Data Entry'!$Į$209)</f>
      </c>
      <c r="IE209">
        <f>IF(ISBLANK('Data Entry'!$į$209), "", 'Data Entry'!$į$209)</f>
      </c>
      <c r="IF209">
        <f>IF(ISBLANK('Data Entry'!$İ$209), "", 'Data Entry'!$İ$209)</f>
      </c>
      <c r="IG209">
        <f>IF(ISBLANK('Data Entry'!$ı$209), "", 'Data Entry'!$ı$209)</f>
      </c>
      <c r="IH209">
        <f>IF(ISBLANK('Data Entry'!$Ĳ$209), "", 'Data Entry'!$Ĳ$209)</f>
      </c>
      <c r="II209">
        <f>IF(ISBLANK('Data Entry'!$ĳ$209), "", 'Data Entry'!$ĳ$209)</f>
      </c>
      <c r="IJ209">
        <f>IF(ISBLANK('Data Entry'!$Ĵ$209), "", 'Data Entry'!$Ĵ$209)</f>
      </c>
      <c r="IK209">
        <f>IF(ISBLANK('Data Entry'!$ĵ$209), "", 'Data Entry'!$ĵ$209)</f>
      </c>
      <c r="IL209">
        <f>IF(ISBLANK('Data Entry'!$Ķ$209), "", 'Data Entry'!$Ķ$209)</f>
      </c>
      <c r="IM209">
        <f>IF(ISBLANK('Data Entry'!$ķ$209), "", 'Data Entry'!$ķ$209)</f>
      </c>
      <c r="IN209">
        <f>IF(ISBLANK('Data Entry'!$ĸ$209), "", 'Data Entry'!$ĸ$209)</f>
      </c>
      <c r="IO209">
        <f>IF(ISBLANK('Data Entry'!$Ĺ$209), "", 'Data Entry'!$Ĺ$209)</f>
      </c>
      <c r="IP209">
        <f>IF(ISBLANK('Data Entry'!$ĺ$209), "", 'Data Entry'!$ĺ$209)</f>
      </c>
      <c r="IQ209">
        <f>IF(ISBLANK('Data Entry'!$Ļ$209), "", 'Data Entry'!$Ļ$209)</f>
      </c>
      <c r="IR209">
        <f>IF(ISBLANK('Data Entry'!$ļ$209), "", 'Data Entry'!$ļ$209)</f>
      </c>
      <c r="IS209">
        <f>IF(ISBLANK('Data Entry'!$Ľ$209), "", 'Data Entry'!$Ľ$209)</f>
      </c>
      <c r="IT209">
        <f>IF(ISBLANK('Data Entry'!$ľ$209), "", 'Data Entry'!$ľ$209)</f>
      </c>
    </row>
    <row r="210" spans="1:254" x14ac:dyDescent="0.25">
      <c r="A210">
        <f>IF(ISBLANK('Data Entry'!$A$210), "", 'Data Entry'!$A$210)</f>
      </c>
      <c r="B210">
        <f>IF(ISBLANK('Data Entry'!$B$210), "", 'Data Entry'!$B$210)</f>
      </c>
      <c r="C210">
        <f>IF(ISBLANK('Data Entry'!$C$210), "", 'Data Entry'!$C$210)</f>
      </c>
      <c r="D210">
        <f>IF(ISBLANK('Data Entry'!$D$210), "", 'Data Entry'!$D$210)</f>
      </c>
      <c r="E210">
        <f>IF(ISBLANK('Data Entry'!$E$210), "", 'Data Entry'!$E$210)</f>
      </c>
      <c r="F210">
        <f>IF(ISBLANK('Data Entry'!$F$210), "", 'Data Entry'!$F$210)</f>
      </c>
      <c r="G210">
        <f>IF(ISBLANK('Data Entry'!$G$210), "", 'Data Entry'!$G$210)</f>
      </c>
      <c r="H210">
        <f>IF(ISBLANK('Data Entry'!$H$210), "", 'Data Entry'!$H$210)</f>
      </c>
      <c r="I210">
        <f>IF(ISBLANK('Data Entry'!$I$210), "", 'Data Entry'!$I$210)</f>
      </c>
      <c r="J210">
        <f>IF(ISBLANK('Data Entry'!$J$210), "", 'Data Entry'!$J$210)</f>
      </c>
      <c r="K210">
        <f>IF(ISBLANK('Data Entry'!$K$210), "", 'Data Entry'!$K$210)</f>
      </c>
      <c r="L210">
        <f>IF(ISBLANK('Data Entry'!$L$210), "", 'Data Entry'!$L$210)</f>
      </c>
      <c r="M210">
        <f>IF(ISBLANK('Data Entry'!$M$210), "", 'Data Entry'!$M$210)</f>
      </c>
      <c r="N210">
        <f>IF(ISBLANK('Data Entry'!$N$210), "", 'Data Entry'!$N$210)</f>
      </c>
      <c r="O210">
        <f>IF(ISBLANK('Data Entry'!$O$210), "", 'Data Entry'!$O$210)</f>
      </c>
      <c r="P210">
        <f>IF(ISBLANK('Data Entry'!$P$210), "", 'Data Entry'!$P$210)</f>
      </c>
      <c r="Q210">
        <f>IF(ISBLANK('Data Entry'!$Q$210), "", 'Data Entry'!$Q$210)</f>
      </c>
      <c r="R210">
        <f>IF(ISBLANK('Data Entry'!$R$210), "", 'Data Entry'!$R$210)</f>
      </c>
      <c r="S210">
        <f>IF(ISBLANK('Data Entry'!$S$210), "", 'Data Entry'!$S$210)</f>
      </c>
      <c r="T210">
        <f>IF(ISBLANK('Data Entry'!$T$210), "", 'Data Entry'!$T$210)</f>
      </c>
      <c r="U210">
        <f>IF(ISBLANK('Data Entry'!$U$210), "", 'Data Entry'!$U$210)</f>
      </c>
      <c r="V210">
        <f>IF(ISBLANK('Data Entry'!$V$210), "", 'Data Entry'!$V$210)</f>
      </c>
      <c r="W210">
        <f>IF(ISBLANK('Data Entry'!$W$210), "", 'Data Entry'!$W$210)</f>
      </c>
      <c r="X210">
        <f>IF(ISBLANK('Data Entry'!$X$210), "", 'Data Entry'!$X$210)</f>
      </c>
      <c r="Y210">
        <f>IF(ISBLANK('Data Entry'!$Y$210), "", 'Data Entry'!$Y$210)</f>
      </c>
      <c r="Z210">
        <f>IF(ISBLANK('Data Entry'!$Z$210), "", 'Data Entry'!$Z$210)</f>
      </c>
      <c r="AA210">
        <f>IF(ISBLANK('Data Entry'!$[$210), "", 'Data Entry'!$[$210)</f>
      </c>
      <c r="AB210">
        <f>IF(ISBLANK('Data Entry'!$\$210), "", 'Data Entry'!$\$210)</f>
      </c>
      <c r="AC210">
        <f>IF(ISBLANK('Data Entry'!$]$210), "", 'Data Entry'!$]$210)</f>
      </c>
      <c r="AD210">
        <f>IF(ISBLANK('Data Entry'!$^$210), "", 'Data Entry'!$^$210)</f>
      </c>
      <c r="AE210">
        <f>IF(ISBLANK('Data Entry'!$_$210), "", 'Data Entry'!$_$210)</f>
      </c>
      <c r="AF210">
        <f>IF(ISBLANK('Data Entry'!$`$210), "", 'Data Entry'!$`$210)</f>
      </c>
      <c r="AG210">
        <f>IF(ISBLANK('Data Entry'!$a$210), "", 'Data Entry'!$a$210)</f>
      </c>
      <c r="AH210">
        <f>IF(ISBLANK('Data Entry'!$b$210), "", 'Data Entry'!$b$210)</f>
      </c>
      <c r="AI210">
        <f>IF(ISBLANK('Data Entry'!$c$210), "", 'Data Entry'!$c$210)</f>
      </c>
      <c r="AJ210">
        <f>IF(ISBLANK('Data Entry'!$d$210), "", 'Data Entry'!$d$210)</f>
      </c>
      <c r="AK210">
        <f>IF(ISBLANK('Data Entry'!$e$210), "", 'Data Entry'!$e$210)</f>
      </c>
      <c r="AL210">
        <f>IF(ISBLANK('Data Entry'!$f$210), "", 'Data Entry'!$f$210)</f>
      </c>
      <c r="AM210">
        <f>IF(ISBLANK('Data Entry'!$g$210), "", 'Data Entry'!$g$210)</f>
      </c>
      <c r="AN210">
        <f>IF(ISBLANK('Data Entry'!$h$210), "", 'Data Entry'!$h$210)</f>
      </c>
      <c r="AO210">
        <f>IF(ISBLANK('Data Entry'!$i$210), "", 'Data Entry'!$i$210)</f>
      </c>
      <c r="AP210">
        <f>IF(ISBLANK('Data Entry'!$j$210), "", 'Data Entry'!$j$210)</f>
      </c>
      <c r="AQ210">
        <f>IF(ISBLANK('Data Entry'!$k$210), "", 'Data Entry'!$k$210)</f>
      </c>
      <c r="AR210">
        <f>IF(ISBLANK('Data Entry'!$l$210), "", 'Data Entry'!$l$210)</f>
      </c>
      <c r="AS210">
        <f>IF(ISBLANK('Data Entry'!$m$210), "", 'Data Entry'!$m$210)</f>
      </c>
      <c r="AT210">
        <f>IF(ISBLANK('Data Entry'!$n$210), "", 'Data Entry'!$n$210)</f>
      </c>
      <c r="AU210">
        <f>IF(ISBLANK('Data Entry'!$o$210), "", 'Data Entry'!$o$210)</f>
      </c>
      <c r="AV210">
        <f>IF(ISBLANK('Data Entry'!$p$210), "", 'Data Entry'!$p$210)</f>
      </c>
      <c r="AW210">
        <f>IF(ISBLANK('Data Entry'!$q$210), "", 'Data Entry'!$q$210)</f>
      </c>
      <c r="AX210">
        <f>IF(ISBLANK('Data Entry'!$r$210), "", 'Data Entry'!$r$210)</f>
      </c>
      <c r="AY210">
        <f>IF(ISBLANK('Data Entry'!$s$210), "", 'Data Entry'!$s$210)</f>
      </c>
      <c r="AZ210">
        <f>IF(ISBLANK('Data Entry'!$t$210), "", 'Data Entry'!$t$210)</f>
      </c>
      <c r="BA210">
        <f>IF(ISBLANK('Data Entry'!$u$210), "", 'Data Entry'!$u$210)</f>
      </c>
      <c r="BB210">
        <f>IF(ISBLANK('Data Entry'!$v$210), "", 'Data Entry'!$v$210)</f>
      </c>
      <c r="BC210">
        <f>IF(ISBLANK('Data Entry'!$w$210), "", 'Data Entry'!$w$210)</f>
      </c>
      <c r="BD210">
        <f>IF(ISBLANK('Data Entry'!$x$210), "", 'Data Entry'!$x$210)</f>
      </c>
      <c r="BE210">
        <f>IF(ISBLANK('Data Entry'!$y$210), "", 'Data Entry'!$y$210)</f>
      </c>
      <c r="BF210">
        <f>IF(ISBLANK('Data Entry'!$z$210), "", 'Data Entry'!$z$210)</f>
      </c>
      <c r="BG210">
        <f>IF(ISBLANK('Data Entry'!${$210), "", 'Data Entry'!${$210)</f>
      </c>
      <c r="BH210">
        <f>IF(ISBLANK('Data Entry'!$|$210), "", 'Data Entry'!$|$210)</f>
      </c>
      <c r="BI210">
        <f>IF(ISBLANK('Data Entry'!$}$210), "", 'Data Entry'!$}$210)</f>
      </c>
      <c r="BJ210">
        <f>IF(ISBLANK('Data Entry'!$~$210), "", 'Data Entry'!$~$210)</f>
      </c>
      <c r="BK210">
        <f>IF(ISBLANK('Data Entry'!$$210), "", 'Data Entry'!$$210)</f>
      </c>
      <c r="BL210">
        <f>IF(ISBLANK('Data Entry'!$$210), "", 'Data Entry'!$$210)</f>
      </c>
      <c r="BM210">
        <f>IF(ISBLANK('Data Entry'!$$210), "", 'Data Entry'!$$210)</f>
      </c>
      <c r="BN210">
        <f>IF(ISBLANK('Data Entry'!$$210), "", 'Data Entry'!$$210)</f>
      </c>
      <c r="BO210">
        <f>IF(ISBLANK('Data Entry'!$$210), "", 'Data Entry'!$$210)</f>
      </c>
      <c r="BP210">
        <f>IF(ISBLANK('Data Entry'!$$210), "", 'Data Entry'!$$210)</f>
      </c>
      <c r="BQ210">
        <f>IF(ISBLANK('Data Entry'!$$210), "", 'Data Entry'!$$210)</f>
      </c>
      <c r="BR210">
        <f>IF(ISBLANK('Data Entry'!$$210), "", 'Data Entry'!$$210)</f>
      </c>
      <c r="BS210">
        <f>IF(ISBLANK('Data Entry'!$$210), "", 'Data Entry'!$$210)</f>
      </c>
      <c r="BT210">
        <f>IF(ISBLANK('Data Entry'!$$210), "", 'Data Entry'!$$210)</f>
      </c>
      <c r="BU210">
        <f>IF(ISBLANK('Data Entry'!$$210), "", 'Data Entry'!$$210)</f>
      </c>
      <c r="BV210">
        <f>IF(ISBLANK('Data Entry'!$$210), "", 'Data Entry'!$$210)</f>
      </c>
      <c r="BW210">
        <f>IF(ISBLANK('Data Entry'!$$210), "", 'Data Entry'!$$210)</f>
      </c>
      <c r="BX210">
        <f>IF(ISBLANK('Data Entry'!$$210), "", 'Data Entry'!$$210)</f>
      </c>
      <c r="BY210">
        <f>IF(ISBLANK('Data Entry'!$$210), "", 'Data Entry'!$$210)</f>
      </c>
      <c r="BZ210">
        <f>IF(ISBLANK('Data Entry'!$$210), "", 'Data Entry'!$$210)</f>
      </c>
      <c r="CA210">
        <f>IF(ISBLANK('Data Entry'!$$210), "", 'Data Entry'!$$210)</f>
      </c>
      <c r="CB210">
        <f>IF(ISBLANK('Data Entry'!$$210), "", 'Data Entry'!$$210)</f>
      </c>
      <c r="CC210">
        <f>IF(ISBLANK('Data Entry'!$$210), "", 'Data Entry'!$$210)</f>
      </c>
      <c r="CD210">
        <f>IF(ISBLANK('Data Entry'!$$210), "", 'Data Entry'!$$210)</f>
      </c>
      <c r="CE210">
        <f>IF(ISBLANK('Data Entry'!$$210), "", 'Data Entry'!$$210)</f>
      </c>
      <c r="CF210">
        <f>IF(ISBLANK('Data Entry'!$$210), "", 'Data Entry'!$$210)</f>
      </c>
      <c r="CG210">
        <f>IF(ISBLANK('Data Entry'!$$210), "", 'Data Entry'!$$210)</f>
      </c>
      <c r="CH210">
        <f>IF(ISBLANK('Data Entry'!$$210), "", 'Data Entry'!$$210)</f>
      </c>
      <c r="CI210">
        <f>IF(ISBLANK('Data Entry'!$$210), "", 'Data Entry'!$$210)</f>
      </c>
      <c r="CJ210">
        <f>IF(ISBLANK('Data Entry'!$$210), "", 'Data Entry'!$$210)</f>
      </c>
      <c r="CK210">
        <f>IF(ISBLANK('Data Entry'!$$210), "", 'Data Entry'!$$210)</f>
      </c>
      <c r="CL210">
        <f>IF(ISBLANK('Data Entry'!$$210), "", 'Data Entry'!$$210)</f>
      </c>
      <c r="CM210">
        <f>IF(ISBLANK('Data Entry'!$$210), "", 'Data Entry'!$$210)</f>
      </c>
      <c r="CN210">
        <f>IF(ISBLANK('Data Entry'!$$210), "", 'Data Entry'!$$210)</f>
      </c>
      <c r="CO210">
        <f>IF(ISBLANK('Data Entry'!$$210), "", 'Data Entry'!$$210)</f>
      </c>
      <c r="CP210">
        <f>IF(ISBLANK('Data Entry'!$$210), "", 'Data Entry'!$$210)</f>
      </c>
      <c r="CQ210">
        <f>IF(ISBLANK('Data Entry'!$$210), "", 'Data Entry'!$$210)</f>
      </c>
      <c r="CR210">
        <f>IF(ISBLANK('Data Entry'!$ $210), "", 'Data Entry'!$ $210)</f>
      </c>
      <c r="CS210">
        <f>IF(ISBLANK('Data Entry'!$¡$210), "", 'Data Entry'!$¡$210)</f>
      </c>
      <c r="CT210">
        <f>IF(ISBLANK('Data Entry'!$¢$210), "", 'Data Entry'!$¢$210)</f>
      </c>
      <c r="CU210">
        <f>IF(ISBLANK('Data Entry'!$£$210), "", 'Data Entry'!$£$210)</f>
      </c>
      <c r="CV210">
        <f>IF(ISBLANK('Data Entry'!$¤$210), "", 'Data Entry'!$¤$210)</f>
      </c>
      <c r="CW210">
        <f>IF(ISBLANK('Data Entry'!$¥$210), "", 'Data Entry'!$¥$210)</f>
      </c>
      <c r="CX210">
        <f>IF(ISBLANK('Data Entry'!$¦$210), "", 'Data Entry'!$¦$210)</f>
      </c>
      <c r="CY210">
        <f>IF(ISBLANK('Data Entry'!$§$210), "", 'Data Entry'!$§$210)</f>
      </c>
      <c r="CZ210">
        <f>IF(ISBLANK('Data Entry'!$¨$210), "", 'Data Entry'!$¨$210)</f>
      </c>
      <c r="DA210">
        <f>IF(ISBLANK('Data Entry'!$©$210), "", 'Data Entry'!$©$210)</f>
      </c>
      <c r="DB210">
        <f>IF(ISBLANK('Data Entry'!$ª$210), "", 'Data Entry'!$ª$210)</f>
      </c>
      <c r="DC210">
        <f>IF(ISBLANK('Data Entry'!$«$210), "", 'Data Entry'!$«$210)</f>
      </c>
      <c r="DD210">
        <f>IF(ISBLANK('Data Entry'!$¬$210), "", 'Data Entry'!$¬$210)</f>
      </c>
      <c r="DE210">
        <f>IF(ISBLANK('Data Entry'!$­$210), "", 'Data Entry'!$­$210)</f>
      </c>
      <c r="DF210">
        <f>IF(ISBLANK('Data Entry'!$®$210), "", 'Data Entry'!$®$210)</f>
      </c>
      <c r="DG210">
        <f>IF(ISBLANK('Data Entry'!$¯$210), "", 'Data Entry'!$¯$210)</f>
      </c>
      <c r="DH210">
        <f>IF(ISBLANK('Data Entry'!$°$210), "", 'Data Entry'!$°$210)</f>
      </c>
      <c r="DI210">
        <f>IF(ISBLANK('Data Entry'!$±$210), "", 'Data Entry'!$±$210)</f>
      </c>
      <c r="DJ210">
        <f>IF(ISBLANK('Data Entry'!$²$210), "", 'Data Entry'!$²$210)</f>
      </c>
      <c r="DK210">
        <f>IF(ISBLANK('Data Entry'!$³$210), "", 'Data Entry'!$³$210)</f>
      </c>
      <c r="DL210">
        <f>IF(ISBLANK('Data Entry'!$´$210), "", 'Data Entry'!$´$210)</f>
      </c>
      <c r="DM210">
        <f>IF(ISBLANK('Data Entry'!$µ$210), "", 'Data Entry'!$µ$210)</f>
      </c>
      <c r="DN210">
        <f>IF(ISBLANK('Data Entry'!$¶$210), "", 'Data Entry'!$¶$210)</f>
      </c>
      <c r="DO210">
        <f>IF(ISBLANK('Data Entry'!$·$210), "", 'Data Entry'!$·$210)</f>
      </c>
      <c r="DP210">
        <f>IF(ISBLANK('Data Entry'!$¸$210), "", 'Data Entry'!$¸$210)</f>
      </c>
      <c r="DQ210">
        <f>IF(ISBLANK('Data Entry'!$¹$210), "", 'Data Entry'!$¹$210)</f>
      </c>
      <c r="DR210">
        <f>IF(ISBLANK('Data Entry'!$º$210), "", 'Data Entry'!$º$210)</f>
      </c>
      <c r="DS210">
        <f>IF(ISBLANK('Data Entry'!$»$210), "", 'Data Entry'!$»$210)</f>
      </c>
      <c r="DT210">
        <f>IF(ISBLANK('Data Entry'!$¼$210), "", 'Data Entry'!$¼$210)</f>
      </c>
      <c r="DU210">
        <f>IF(ISBLANK('Data Entry'!$½$210), "", 'Data Entry'!$½$210)</f>
      </c>
      <c r="DV210">
        <f>IF(ISBLANK('Data Entry'!$¾$210), "", 'Data Entry'!$¾$210)</f>
      </c>
      <c r="DW210">
        <f>IF(ISBLANK('Data Entry'!$¿$210), "", 'Data Entry'!$¿$210)</f>
      </c>
      <c r="DX210">
        <f>IF(ISBLANK('Data Entry'!$À$210), "", 'Data Entry'!$À$210)</f>
      </c>
      <c r="DY210">
        <f>IF(ISBLANK('Data Entry'!$Á$210), "", 'Data Entry'!$Á$210)</f>
      </c>
      <c r="DZ210">
        <f>IF(ISBLANK('Data Entry'!$Â$210), "", 'Data Entry'!$Â$210)</f>
      </c>
      <c r="EA210">
        <f>IF(ISBLANK('Data Entry'!$Ã$210), "", 'Data Entry'!$Ã$210)</f>
      </c>
      <c r="EB210">
        <f>IF(ISBLANK('Data Entry'!$Ä$210), "", 'Data Entry'!$Ä$210)</f>
      </c>
      <c r="EC210">
        <f>IF(ISBLANK('Data Entry'!$Å$210), "", 'Data Entry'!$Å$210)</f>
      </c>
      <c r="ED210">
        <f>IF(ISBLANK('Data Entry'!$Æ$210), "", 'Data Entry'!$Æ$210)</f>
      </c>
      <c r="EE210">
        <f>IF(ISBLANK('Data Entry'!$Ç$210), "", 'Data Entry'!$Ç$210)</f>
      </c>
      <c r="EF210">
        <f>IF(ISBLANK('Data Entry'!$È$210), "", 'Data Entry'!$È$210)</f>
      </c>
      <c r="EG210">
        <f>IF(ISBLANK('Data Entry'!$É$210), "", 'Data Entry'!$É$210)</f>
      </c>
      <c r="EH210">
        <f>IF(ISBLANK('Data Entry'!$Ê$210), "", 'Data Entry'!$Ê$210)</f>
      </c>
      <c r="EI210">
        <f>IF(ISBLANK('Data Entry'!$Ë$210), "", 'Data Entry'!$Ë$210)</f>
      </c>
      <c r="EJ210">
        <f>IF(ISBLANK('Data Entry'!$Ì$210), "", 'Data Entry'!$Ì$210)</f>
      </c>
      <c r="EK210">
        <f>IF(ISBLANK('Data Entry'!$Í$210), "", 'Data Entry'!$Í$210)</f>
      </c>
      <c r="EL210">
        <f>IF(ISBLANK('Data Entry'!$Î$210), "", 'Data Entry'!$Î$210)</f>
      </c>
      <c r="EM210">
        <f>IF(ISBLANK('Data Entry'!$Ï$210), "", 'Data Entry'!$Ï$210)</f>
      </c>
      <c r="EN210">
        <f>IF(ISBLANK('Data Entry'!$Ð$210), "", 'Data Entry'!$Ð$210)</f>
      </c>
      <c r="EO210">
        <f>IF(ISBLANK('Data Entry'!$Ñ$210), "", 'Data Entry'!$Ñ$210)</f>
      </c>
      <c r="EP210">
        <f>IF(ISBLANK('Data Entry'!$Ò$210), "", 'Data Entry'!$Ò$210)</f>
      </c>
      <c r="EQ210">
        <f>IF(ISBLANK('Data Entry'!$Ó$210), "", 'Data Entry'!$Ó$210)</f>
      </c>
      <c r="ER210">
        <f>IF(ISBLANK('Data Entry'!$Ô$210), "", 'Data Entry'!$Ô$210)</f>
      </c>
      <c r="ES210">
        <f>IF(ISBLANK('Data Entry'!$Õ$210), "", 'Data Entry'!$Õ$210)</f>
      </c>
      <c r="ET210">
        <f>IF(ISBLANK('Data Entry'!$Ö$210), "", 'Data Entry'!$Ö$210)</f>
      </c>
      <c r="EU210">
        <f>IF(ISBLANK('Data Entry'!$×$210), "", 'Data Entry'!$×$210)</f>
      </c>
      <c r="EV210">
        <f>IF(ISBLANK('Data Entry'!$Ø$210), "", 'Data Entry'!$Ø$210)</f>
      </c>
      <c r="EW210">
        <f>IF(ISBLANK('Data Entry'!$Ù$210), "", 'Data Entry'!$Ù$210)</f>
      </c>
      <c r="EX210">
        <f>IF(ISBLANK('Data Entry'!$Ú$210), "", 'Data Entry'!$Ú$210)</f>
      </c>
      <c r="EY210">
        <f>IF(ISBLANK('Data Entry'!$Û$210), "", 'Data Entry'!$Û$210)</f>
      </c>
      <c r="EZ210">
        <f>IF(ISBLANK('Data Entry'!$Ü$210), "", 'Data Entry'!$Ü$210)</f>
      </c>
      <c r="FA210">
        <f>IF(ISBLANK('Data Entry'!$Ý$210), "", 'Data Entry'!$Ý$210)</f>
      </c>
      <c r="FB210">
        <f>IF(ISBLANK('Data Entry'!$Þ$210), "", 'Data Entry'!$Þ$210)</f>
      </c>
      <c r="FC210">
        <f>IF(ISBLANK('Data Entry'!$ß$210), "", 'Data Entry'!$ß$210)</f>
      </c>
      <c r="FD210">
        <f>IF(ISBLANK('Data Entry'!$à$210), "", 'Data Entry'!$à$210)</f>
      </c>
      <c r="FE210">
        <f>IF(ISBLANK('Data Entry'!$á$210), "", 'Data Entry'!$á$210)</f>
      </c>
      <c r="FF210">
        <f>IF(ISBLANK('Data Entry'!$â$210), "", 'Data Entry'!$â$210)</f>
      </c>
      <c r="FG210">
        <f>IF(ISBLANK('Data Entry'!$ã$210), "", 'Data Entry'!$ã$210)</f>
      </c>
      <c r="FH210">
        <f>IF(ISBLANK('Data Entry'!$ä$210), "", 'Data Entry'!$ä$210)</f>
      </c>
      <c r="FI210">
        <f>IF(ISBLANK('Data Entry'!$å$210), "", 'Data Entry'!$å$210)</f>
      </c>
      <c r="FJ210">
        <f>IF(ISBLANK('Data Entry'!$æ$210), "", 'Data Entry'!$æ$210)</f>
      </c>
      <c r="FK210">
        <f>IF(ISBLANK('Data Entry'!$ç$210), "", 'Data Entry'!$ç$210)</f>
      </c>
      <c r="FL210">
        <f>IF(ISBLANK('Data Entry'!$è$210), "", 'Data Entry'!$è$210)</f>
      </c>
      <c r="FM210">
        <f>IF(ISBLANK('Data Entry'!$é$210), "", 'Data Entry'!$é$210)</f>
      </c>
      <c r="FN210">
        <f>IF(ISBLANK('Data Entry'!$ê$210), "", 'Data Entry'!$ê$210)</f>
      </c>
      <c r="FO210">
        <f>IF(ISBLANK('Data Entry'!$ë$210), "", 'Data Entry'!$ë$210)</f>
      </c>
      <c r="FP210">
        <f>IF(ISBLANK('Data Entry'!$ì$210), "", 'Data Entry'!$ì$210)</f>
      </c>
      <c r="FQ210">
        <f>IF(ISBLANK('Data Entry'!$í$210), "", 'Data Entry'!$í$210)</f>
      </c>
      <c r="FR210">
        <f>IF(ISBLANK('Data Entry'!$î$210), "", 'Data Entry'!$î$210)</f>
      </c>
      <c r="FS210">
        <f>IF(ISBLANK('Data Entry'!$ï$210), "", 'Data Entry'!$ï$210)</f>
      </c>
      <c r="FT210">
        <f>IF(ISBLANK('Data Entry'!$ð$210), "", 'Data Entry'!$ð$210)</f>
      </c>
      <c r="FU210">
        <f>IF(ISBLANK('Data Entry'!$ñ$210), "", 'Data Entry'!$ñ$210)</f>
      </c>
      <c r="FV210">
        <f>IF(ISBLANK('Data Entry'!$ò$210), "", 'Data Entry'!$ò$210)</f>
      </c>
      <c r="FW210">
        <f>IF(ISBLANK('Data Entry'!$ó$210), "", 'Data Entry'!$ó$210)</f>
      </c>
      <c r="FX210">
        <f>IF(ISBLANK('Data Entry'!$ô$210), "", 'Data Entry'!$ô$210)</f>
      </c>
      <c r="FY210">
        <f>IF(ISBLANK('Data Entry'!$õ$210), "", 'Data Entry'!$õ$210)</f>
      </c>
      <c r="FZ210">
        <f>IF(ISBLANK('Data Entry'!$ö$210), "", 'Data Entry'!$ö$210)</f>
      </c>
      <c r="GA210">
        <f>IF(ISBLANK('Data Entry'!$÷$210), "", 'Data Entry'!$÷$210)</f>
      </c>
      <c r="GB210">
        <f>IF(ISBLANK('Data Entry'!$ø$210), "", 'Data Entry'!$ø$210)</f>
      </c>
      <c r="GC210">
        <f>IF(ISBLANK('Data Entry'!$ù$210), "", 'Data Entry'!$ù$210)</f>
      </c>
      <c r="GD210">
        <f>IF(ISBLANK('Data Entry'!$ú$210), "", 'Data Entry'!$ú$210)</f>
      </c>
      <c r="GE210">
        <f>IF(ISBLANK('Data Entry'!$û$210), "", 'Data Entry'!$û$210)</f>
      </c>
      <c r="GF210">
        <f>IF(ISBLANK('Data Entry'!$ü$210), "", 'Data Entry'!$ü$210)</f>
      </c>
      <c r="GG210">
        <f>IF(ISBLANK('Data Entry'!$ý$210), "", 'Data Entry'!$ý$210)</f>
      </c>
      <c r="GH210">
        <f>IF(ISBLANK('Data Entry'!$þ$210), "", 'Data Entry'!$þ$210)</f>
      </c>
      <c r="GI210">
        <f>IF(ISBLANK('Data Entry'!$ÿ$210), "", 'Data Entry'!$ÿ$210)</f>
      </c>
      <c r="GJ210">
        <f>IF(ISBLANK('Data Entry'!$Ā$210), "", 'Data Entry'!$Ā$210)</f>
      </c>
      <c r="GK210">
        <f>IF(ISBLANK('Data Entry'!$ā$210), "", 'Data Entry'!$ā$210)</f>
      </c>
      <c r="GL210">
        <f>IF(ISBLANK('Data Entry'!$Ă$210), "", 'Data Entry'!$Ă$210)</f>
      </c>
      <c r="GM210">
        <f>IF(ISBLANK('Data Entry'!$ă$210), "", 'Data Entry'!$ă$210)</f>
      </c>
      <c r="GN210">
        <f>IF(ISBLANK('Data Entry'!$Ą$210), "", 'Data Entry'!$Ą$210)</f>
      </c>
      <c r="GO210">
        <f>IF(ISBLANK('Data Entry'!$ą$210), "", 'Data Entry'!$ą$210)</f>
      </c>
      <c r="GP210">
        <f>IF(ISBLANK('Data Entry'!$Ć$210), "", 'Data Entry'!$Ć$210)</f>
      </c>
      <c r="GQ210">
        <f>IF(ISBLANK('Data Entry'!$ć$210), "", 'Data Entry'!$ć$210)</f>
      </c>
      <c r="GR210">
        <f>IF(ISBLANK('Data Entry'!$Ĉ$210), "", 'Data Entry'!$Ĉ$210)</f>
      </c>
      <c r="GS210">
        <f>IF(ISBLANK('Data Entry'!$ĉ$210), "", 'Data Entry'!$ĉ$210)</f>
      </c>
      <c r="GT210">
        <f>IF(ISBLANK('Data Entry'!$Ċ$210), "", 'Data Entry'!$Ċ$210)</f>
      </c>
      <c r="GU210">
        <f>IF(ISBLANK('Data Entry'!$ċ$210), "", 'Data Entry'!$ċ$210)</f>
      </c>
      <c r="GV210">
        <f>IF(ISBLANK('Data Entry'!$Č$210), "", 'Data Entry'!$Č$210)</f>
      </c>
      <c r="GW210">
        <f>IF(ISBLANK('Data Entry'!$č$210), "", 'Data Entry'!$č$210)</f>
      </c>
      <c r="GX210">
        <f>IF(ISBLANK('Data Entry'!$Ď$210), "", 'Data Entry'!$Ď$210)</f>
      </c>
      <c r="GY210">
        <f>IF(ISBLANK('Data Entry'!$ď$210), "", 'Data Entry'!$ď$210)</f>
      </c>
      <c r="GZ210">
        <f>IF(ISBLANK('Data Entry'!$Đ$210), "", 'Data Entry'!$Đ$210)</f>
      </c>
      <c r="HA210">
        <f>IF(ISBLANK('Data Entry'!$đ$210), "", 'Data Entry'!$đ$210)</f>
      </c>
      <c r="HB210">
        <f>IF(ISBLANK('Data Entry'!$Ē$210), "", 'Data Entry'!$Ē$210)</f>
      </c>
      <c r="HC210">
        <f>IF(ISBLANK('Data Entry'!$ē$210), "", 'Data Entry'!$ē$210)</f>
      </c>
      <c r="HD210">
        <f>IF(ISBLANK('Data Entry'!$Ĕ$210), "", 'Data Entry'!$Ĕ$210)</f>
      </c>
      <c r="HE210">
        <f>IF(ISBLANK('Data Entry'!$ĕ$210), "", 'Data Entry'!$ĕ$210)</f>
      </c>
      <c r="HF210">
        <f>IF(ISBLANK('Data Entry'!$Ė$210), "", 'Data Entry'!$Ė$210)</f>
      </c>
      <c r="HG210">
        <f>IF(ISBLANK('Data Entry'!$ė$210), "", 'Data Entry'!$ė$210)</f>
      </c>
      <c r="HH210">
        <f>IF(ISBLANK('Data Entry'!$Ę$210), "", 'Data Entry'!$Ę$210)</f>
      </c>
      <c r="HI210">
        <f>IF(ISBLANK('Data Entry'!$ę$210), "", 'Data Entry'!$ę$210)</f>
      </c>
      <c r="HJ210">
        <f>IF(ISBLANK('Data Entry'!$Ě$210), "", 'Data Entry'!$Ě$210)</f>
      </c>
      <c r="HK210">
        <f>IF(ISBLANK('Data Entry'!$ě$210), "", 'Data Entry'!$ě$210)</f>
      </c>
      <c r="HL210">
        <f>IF(ISBLANK('Data Entry'!$Ĝ$210), "", 'Data Entry'!$Ĝ$210)</f>
      </c>
      <c r="HM210">
        <f>IF(ISBLANK('Data Entry'!$ĝ$210), "", 'Data Entry'!$ĝ$210)</f>
      </c>
      <c r="HN210">
        <f>IF(ISBLANK('Data Entry'!$Ğ$210), "", 'Data Entry'!$Ğ$210)</f>
      </c>
      <c r="HO210">
        <f>IF(ISBLANK('Data Entry'!$ğ$210), "", 'Data Entry'!$ğ$210)</f>
      </c>
      <c r="HP210">
        <f>IF(ISBLANK('Data Entry'!$Ġ$210), "", 'Data Entry'!$Ġ$210)</f>
      </c>
      <c r="HQ210">
        <f>IF(ISBLANK('Data Entry'!$ġ$210), "", 'Data Entry'!$ġ$210)</f>
      </c>
      <c r="HR210">
        <f>IF(ISBLANK('Data Entry'!$Ģ$210), "", 'Data Entry'!$Ģ$210)</f>
      </c>
      <c r="HS210">
        <f>IF(ISBLANK('Data Entry'!$ģ$210), "", 'Data Entry'!$ģ$210)</f>
      </c>
      <c r="HT210">
        <f>IF(ISBLANK('Data Entry'!$Ĥ$210), "", 'Data Entry'!$Ĥ$210)</f>
      </c>
      <c r="HU210">
        <f>IF(ISBLANK('Data Entry'!$ĥ$210), "", 'Data Entry'!$ĥ$210)</f>
      </c>
      <c r="HV210">
        <f>IF(ISBLANK('Data Entry'!$Ħ$210), "", 'Data Entry'!$Ħ$210)</f>
      </c>
      <c r="HW210">
        <f>IF(ISBLANK('Data Entry'!$ħ$210), "", 'Data Entry'!$ħ$210)</f>
      </c>
      <c r="HX210">
        <f>IF(ISBLANK('Data Entry'!$Ĩ$210), "", 'Data Entry'!$Ĩ$210)</f>
      </c>
      <c r="HY210">
        <f>IF(ISBLANK('Data Entry'!$ĩ$210), "", 'Data Entry'!$ĩ$210)</f>
      </c>
      <c r="HZ210">
        <f>IF(ISBLANK('Data Entry'!$Ī$210), "", 'Data Entry'!$Ī$210)</f>
      </c>
      <c r="IA210">
        <f>IF(ISBLANK('Data Entry'!$ī$210), "", 'Data Entry'!$ī$210)</f>
      </c>
      <c r="IB210">
        <f>IF(ISBLANK('Data Entry'!$Ĭ$210), "", 'Data Entry'!$Ĭ$210)</f>
      </c>
      <c r="IC210">
        <f>IF(ISBLANK('Data Entry'!$ĭ$210), "", 'Data Entry'!$ĭ$210)</f>
      </c>
      <c r="ID210">
        <f>IF(ISBLANK('Data Entry'!$Į$210), "", 'Data Entry'!$Į$210)</f>
      </c>
      <c r="IE210">
        <f>IF(ISBLANK('Data Entry'!$į$210), "", 'Data Entry'!$į$210)</f>
      </c>
      <c r="IF210">
        <f>IF(ISBLANK('Data Entry'!$İ$210), "", 'Data Entry'!$İ$210)</f>
      </c>
      <c r="IG210">
        <f>IF(ISBLANK('Data Entry'!$ı$210), "", 'Data Entry'!$ı$210)</f>
      </c>
      <c r="IH210">
        <f>IF(ISBLANK('Data Entry'!$Ĳ$210), "", 'Data Entry'!$Ĳ$210)</f>
      </c>
      <c r="II210">
        <f>IF(ISBLANK('Data Entry'!$ĳ$210), "", 'Data Entry'!$ĳ$210)</f>
      </c>
      <c r="IJ210">
        <f>IF(ISBLANK('Data Entry'!$Ĵ$210), "", 'Data Entry'!$Ĵ$210)</f>
      </c>
      <c r="IK210">
        <f>IF(ISBLANK('Data Entry'!$ĵ$210), "", 'Data Entry'!$ĵ$210)</f>
      </c>
      <c r="IL210">
        <f>IF(ISBLANK('Data Entry'!$Ķ$210), "", 'Data Entry'!$Ķ$210)</f>
      </c>
      <c r="IM210">
        <f>IF(ISBLANK('Data Entry'!$ķ$210), "", 'Data Entry'!$ķ$210)</f>
      </c>
      <c r="IN210">
        <f>IF(ISBLANK('Data Entry'!$ĸ$210), "", 'Data Entry'!$ĸ$210)</f>
      </c>
      <c r="IO210">
        <f>IF(ISBLANK('Data Entry'!$Ĺ$210), "", 'Data Entry'!$Ĺ$210)</f>
      </c>
      <c r="IP210">
        <f>IF(ISBLANK('Data Entry'!$ĺ$210), "", 'Data Entry'!$ĺ$210)</f>
      </c>
      <c r="IQ210">
        <f>IF(ISBLANK('Data Entry'!$Ļ$210), "", 'Data Entry'!$Ļ$210)</f>
      </c>
      <c r="IR210">
        <f>IF(ISBLANK('Data Entry'!$ļ$210), "", 'Data Entry'!$ļ$210)</f>
      </c>
      <c r="IS210">
        <f>IF(ISBLANK('Data Entry'!$Ľ$210), "", 'Data Entry'!$Ľ$210)</f>
      </c>
      <c r="IT210">
        <f>IF(ISBLANK('Data Entry'!$ľ$210), "", 'Data Entry'!$ľ$210)</f>
      </c>
    </row>
    <row r="211" spans="1:254" x14ac:dyDescent="0.25">
      <c r="A211">
        <f>IF(ISBLANK('Data Entry'!$A$211), "", 'Data Entry'!$A$211)</f>
      </c>
      <c r="B211">
        <f>IF(ISBLANK('Data Entry'!$B$211), "", 'Data Entry'!$B$211)</f>
      </c>
      <c r="C211">
        <f>IF(ISBLANK('Data Entry'!$C$211), "", 'Data Entry'!$C$211)</f>
      </c>
      <c r="D211">
        <f>IF(ISBLANK('Data Entry'!$D$211), "", 'Data Entry'!$D$211)</f>
      </c>
      <c r="E211">
        <f>IF(ISBLANK('Data Entry'!$E$211), "", 'Data Entry'!$E$211)</f>
      </c>
      <c r="F211">
        <f>IF(ISBLANK('Data Entry'!$F$211), "", 'Data Entry'!$F$211)</f>
      </c>
      <c r="G211">
        <f>IF(ISBLANK('Data Entry'!$G$211), "", 'Data Entry'!$G$211)</f>
      </c>
      <c r="H211">
        <f>IF(ISBLANK('Data Entry'!$H$211), "", 'Data Entry'!$H$211)</f>
      </c>
      <c r="I211">
        <f>IF(ISBLANK('Data Entry'!$I$211), "", 'Data Entry'!$I$211)</f>
      </c>
      <c r="J211">
        <f>IF(ISBLANK('Data Entry'!$J$211), "", 'Data Entry'!$J$211)</f>
      </c>
      <c r="K211">
        <f>IF(ISBLANK('Data Entry'!$K$211), "", 'Data Entry'!$K$211)</f>
      </c>
      <c r="L211">
        <f>IF(ISBLANK('Data Entry'!$L$211), "", 'Data Entry'!$L$211)</f>
      </c>
      <c r="M211">
        <f>IF(ISBLANK('Data Entry'!$M$211), "", 'Data Entry'!$M$211)</f>
      </c>
      <c r="N211">
        <f>IF(ISBLANK('Data Entry'!$N$211), "", 'Data Entry'!$N$211)</f>
      </c>
      <c r="O211">
        <f>IF(ISBLANK('Data Entry'!$O$211), "", 'Data Entry'!$O$211)</f>
      </c>
      <c r="P211">
        <f>IF(ISBLANK('Data Entry'!$P$211), "", 'Data Entry'!$P$211)</f>
      </c>
      <c r="Q211">
        <f>IF(ISBLANK('Data Entry'!$Q$211), "", 'Data Entry'!$Q$211)</f>
      </c>
      <c r="R211">
        <f>IF(ISBLANK('Data Entry'!$R$211), "", 'Data Entry'!$R$211)</f>
      </c>
      <c r="S211">
        <f>IF(ISBLANK('Data Entry'!$S$211), "", 'Data Entry'!$S$211)</f>
      </c>
      <c r="T211">
        <f>IF(ISBLANK('Data Entry'!$T$211), "", 'Data Entry'!$T$211)</f>
      </c>
      <c r="U211">
        <f>IF(ISBLANK('Data Entry'!$U$211), "", 'Data Entry'!$U$211)</f>
      </c>
      <c r="V211">
        <f>IF(ISBLANK('Data Entry'!$V$211), "", 'Data Entry'!$V$211)</f>
      </c>
      <c r="W211">
        <f>IF(ISBLANK('Data Entry'!$W$211), "", 'Data Entry'!$W$211)</f>
      </c>
      <c r="X211">
        <f>IF(ISBLANK('Data Entry'!$X$211), "", 'Data Entry'!$X$211)</f>
      </c>
      <c r="Y211">
        <f>IF(ISBLANK('Data Entry'!$Y$211), "", 'Data Entry'!$Y$211)</f>
      </c>
      <c r="Z211">
        <f>IF(ISBLANK('Data Entry'!$Z$211), "", 'Data Entry'!$Z$211)</f>
      </c>
      <c r="AA211">
        <f>IF(ISBLANK('Data Entry'!$[$211), "", 'Data Entry'!$[$211)</f>
      </c>
      <c r="AB211">
        <f>IF(ISBLANK('Data Entry'!$\$211), "", 'Data Entry'!$\$211)</f>
      </c>
      <c r="AC211">
        <f>IF(ISBLANK('Data Entry'!$]$211), "", 'Data Entry'!$]$211)</f>
      </c>
      <c r="AD211">
        <f>IF(ISBLANK('Data Entry'!$^$211), "", 'Data Entry'!$^$211)</f>
      </c>
      <c r="AE211">
        <f>IF(ISBLANK('Data Entry'!$_$211), "", 'Data Entry'!$_$211)</f>
      </c>
      <c r="AF211">
        <f>IF(ISBLANK('Data Entry'!$`$211), "", 'Data Entry'!$`$211)</f>
      </c>
      <c r="AG211">
        <f>IF(ISBLANK('Data Entry'!$a$211), "", 'Data Entry'!$a$211)</f>
      </c>
      <c r="AH211">
        <f>IF(ISBLANK('Data Entry'!$b$211), "", 'Data Entry'!$b$211)</f>
      </c>
      <c r="AI211">
        <f>IF(ISBLANK('Data Entry'!$c$211), "", 'Data Entry'!$c$211)</f>
      </c>
      <c r="AJ211">
        <f>IF(ISBLANK('Data Entry'!$d$211), "", 'Data Entry'!$d$211)</f>
      </c>
      <c r="AK211">
        <f>IF(ISBLANK('Data Entry'!$e$211), "", 'Data Entry'!$e$211)</f>
      </c>
      <c r="AL211">
        <f>IF(ISBLANK('Data Entry'!$f$211), "", 'Data Entry'!$f$211)</f>
      </c>
      <c r="AM211">
        <f>IF(ISBLANK('Data Entry'!$g$211), "", 'Data Entry'!$g$211)</f>
      </c>
      <c r="AN211">
        <f>IF(ISBLANK('Data Entry'!$h$211), "", 'Data Entry'!$h$211)</f>
      </c>
      <c r="AO211">
        <f>IF(ISBLANK('Data Entry'!$i$211), "", 'Data Entry'!$i$211)</f>
      </c>
      <c r="AP211">
        <f>IF(ISBLANK('Data Entry'!$j$211), "", 'Data Entry'!$j$211)</f>
      </c>
      <c r="AQ211">
        <f>IF(ISBLANK('Data Entry'!$k$211), "", 'Data Entry'!$k$211)</f>
      </c>
      <c r="AR211">
        <f>IF(ISBLANK('Data Entry'!$l$211), "", 'Data Entry'!$l$211)</f>
      </c>
      <c r="AS211">
        <f>IF(ISBLANK('Data Entry'!$m$211), "", 'Data Entry'!$m$211)</f>
      </c>
      <c r="AT211">
        <f>IF(ISBLANK('Data Entry'!$n$211), "", 'Data Entry'!$n$211)</f>
      </c>
      <c r="AU211">
        <f>IF(ISBLANK('Data Entry'!$o$211), "", 'Data Entry'!$o$211)</f>
      </c>
      <c r="AV211">
        <f>IF(ISBLANK('Data Entry'!$p$211), "", 'Data Entry'!$p$211)</f>
      </c>
      <c r="AW211">
        <f>IF(ISBLANK('Data Entry'!$q$211), "", 'Data Entry'!$q$211)</f>
      </c>
      <c r="AX211">
        <f>IF(ISBLANK('Data Entry'!$r$211), "", 'Data Entry'!$r$211)</f>
      </c>
      <c r="AY211">
        <f>IF(ISBLANK('Data Entry'!$s$211), "", 'Data Entry'!$s$211)</f>
      </c>
      <c r="AZ211">
        <f>IF(ISBLANK('Data Entry'!$t$211), "", 'Data Entry'!$t$211)</f>
      </c>
      <c r="BA211">
        <f>IF(ISBLANK('Data Entry'!$u$211), "", 'Data Entry'!$u$211)</f>
      </c>
      <c r="BB211">
        <f>IF(ISBLANK('Data Entry'!$v$211), "", 'Data Entry'!$v$211)</f>
      </c>
      <c r="BC211">
        <f>IF(ISBLANK('Data Entry'!$w$211), "", 'Data Entry'!$w$211)</f>
      </c>
      <c r="BD211">
        <f>IF(ISBLANK('Data Entry'!$x$211), "", 'Data Entry'!$x$211)</f>
      </c>
      <c r="BE211">
        <f>IF(ISBLANK('Data Entry'!$y$211), "", 'Data Entry'!$y$211)</f>
      </c>
      <c r="BF211">
        <f>IF(ISBLANK('Data Entry'!$z$211), "", 'Data Entry'!$z$211)</f>
      </c>
      <c r="BG211">
        <f>IF(ISBLANK('Data Entry'!${$211), "", 'Data Entry'!${$211)</f>
      </c>
      <c r="BH211">
        <f>IF(ISBLANK('Data Entry'!$|$211), "", 'Data Entry'!$|$211)</f>
      </c>
      <c r="BI211">
        <f>IF(ISBLANK('Data Entry'!$}$211), "", 'Data Entry'!$}$211)</f>
      </c>
      <c r="BJ211">
        <f>IF(ISBLANK('Data Entry'!$~$211), "", 'Data Entry'!$~$211)</f>
      </c>
      <c r="BK211">
        <f>IF(ISBLANK('Data Entry'!$$211), "", 'Data Entry'!$$211)</f>
      </c>
      <c r="BL211">
        <f>IF(ISBLANK('Data Entry'!$$211), "", 'Data Entry'!$$211)</f>
      </c>
      <c r="BM211">
        <f>IF(ISBLANK('Data Entry'!$$211), "", 'Data Entry'!$$211)</f>
      </c>
      <c r="BN211">
        <f>IF(ISBLANK('Data Entry'!$$211), "", 'Data Entry'!$$211)</f>
      </c>
      <c r="BO211">
        <f>IF(ISBLANK('Data Entry'!$$211), "", 'Data Entry'!$$211)</f>
      </c>
      <c r="BP211">
        <f>IF(ISBLANK('Data Entry'!$$211), "", 'Data Entry'!$$211)</f>
      </c>
      <c r="BQ211">
        <f>IF(ISBLANK('Data Entry'!$$211), "", 'Data Entry'!$$211)</f>
      </c>
      <c r="BR211">
        <f>IF(ISBLANK('Data Entry'!$$211), "", 'Data Entry'!$$211)</f>
      </c>
      <c r="BS211">
        <f>IF(ISBLANK('Data Entry'!$$211), "", 'Data Entry'!$$211)</f>
      </c>
      <c r="BT211">
        <f>IF(ISBLANK('Data Entry'!$$211), "", 'Data Entry'!$$211)</f>
      </c>
      <c r="BU211">
        <f>IF(ISBLANK('Data Entry'!$$211), "", 'Data Entry'!$$211)</f>
      </c>
      <c r="BV211">
        <f>IF(ISBLANK('Data Entry'!$$211), "", 'Data Entry'!$$211)</f>
      </c>
      <c r="BW211">
        <f>IF(ISBLANK('Data Entry'!$$211), "", 'Data Entry'!$$211)</f>
      </c>
      <c r="BX211">
        <f>IF(ISBLANK('Data Entry'!$$211), "", 'Data Entry'!$$211)</f>
      </c>
      <c r="BY211">
        <f>IF(ISBLANK('Data Entry'!$$211), "", 'Data Entry'!$$211)</f>
      </c>
      <c r="BZ211">
        <f>IF(ISBLANK('Data Entry'!$$211), "", 'Data Entry'!$$211)</f>
      </c>
      <c r="CA211">
        <f>IF(ISBLANK('Data Entry'!$$211), "", 'Data Entry'!$$211)</f>
      </c>
      <c r="CB211">
        <f>IF(ISBLANK('Data Entry'!$$211), "", 'Data Entry'!$$211)</f>
      </c>
      <c r="CC211">
        <f>IF(ISBLANK('Data Entry'!$$211), "", 'Data Entry'!$$211)</f>
      </c>
      <c r="CD211">
        <f>IF(ISBLANK('Data Entry'!$$211), "", 'Data Entry'!$$211)</f>
      </c>
      <c r="CE211">
        <f>IF(ISBLANK('Data Entry'!$$211), "", 'Data Entry'!$$211)</f>
      </c>
      <c r="CF211">
        <f>IF(ISBLANK('Data Entry'!$$211), "", 'Data Entry'!$$211)</f>
      </c>
      <c r="CG211">
        <f>IF(ISBLANK('Data Entry'!$$211), "", 'Data Entry'!$$211)</f>
      </c>
      <c r="CH211">
        <f>IF(ISBLANK('Data Entry'!$$211), "", 'Data Entry'!$$211)</f>
      </c>
      <c r="CI211">
        <f>IF(ISBLANK('Data Entry'!$$211), "", 'Data Entry'!$$211)</f>
      </c>
      <c r="CJ211">
        <f>IF(ISBLANK('Data Entry'!$$211), "", 'Data Entry'!$$211)</f>
      </c>
      <c r="CK211">
        <f>IF(ISBLANK('Data Entry'!$$211), "", 'Data Entry'!$$211)</f>
      </c>
      <c r="CL211">
        <f>IF(ISBLANK('Data Entry'!$$211), "", 'Data Entry'!$$211)</f>
      </c>
      <c r="CM211">
        <f>IF(ISBLANK('Data Entry'!$$211), "", 'Data Entry'!$$211)</f>
      </c>
      <c r="CN211">
        <f>IF(ISBLANK('Data Entry'!$$211), "", 'Data Entry'!$$211)</f>
      </c>
      <c r="CO211">
        <f>IF(ISBLANK('Data Entry'!$$211), "", 'Data Entry'!$$211)</f>
      </c>
      <c r="CP211">
        <f>IF(ISBLANK('Data Entry'!$$211), "", 'Data Entry'!$$211)</f>
      </c>
      <c r="CQ211">
        <f>IF(ISBLANK('Data Entry'!$$211), "", 'Data Entry'!$$211)</f>
      </c>
      <c r="CR211">
        <f>IF(ISBLANK('Data Entry'!$ $211), "", 'Data Entry'!$ $211)</f>
      </c>
      <c r="CS211">
        <f>IF(ISBLANK('Data Entry'!$¡$211), "", 'Data Entry'!$¡$211)</f>
      </c>
      <c r="CT211">
        <f>IF(ISBLANK('Data Entry'!$¢$211), "", 'Data Entry'!$¢$211)</f>
      </c>
      <c r="CU211">
        <f>IF(ISBLANK('Data Entry'!$£$211), "", 'Data Entry'!$£$211)</f>
      </c>
      <c r="CV211">
        <f>IF(ISBLANK('Data Entry'!$¤$211), "", 'Data Entry'!$¤$211)</f>
      </c>
      <c r="CW211">
        <f>IF(ISBLANK('Data Entry'!$¥$211), "", 'Data Entry'!$¥$211)</f>
      </c>
      <c r="CX211">
        <f>IF(ISBLANK('Data Entry'!$¦$211), "", 'Data Entry'!$¦$211)</f>
      </c>
      <c r="CY211">
        <f>IF(ISBLANK('Data Entry'!$§$211), "", 'Data Entry'!$§$211)</f>
      </c>
      <c r="CZ211">
        <f>IF(ISBLANK('Data Entry'!$¨$211), "", 'Data Entry'!$¨$211)</f>
      </c>
      <c r="DA211">
        <f>IF(ISBLANK('Data Entry'!$©$211), "", 'Data Entry'!$©$211)</f>
      </c>
      <c r="DB211">
        <f>IF(ISBLANK('Data Entry'!$ª$211), "", 'Data Entry'!$ª$211)</f>
      </c>
      <c r="DC211">
        <f>IF(ISBLANK('Data Entry'!$«$211), "", 'Data Entry'!$«$211)</f>
      </c>
      <c r="DD211">
        <f>IF(ISBLANK('Data Entry'!$¬$211), "", 'Data Entry'!$¬$211)</f>
      </c>
      <c r="DE211">
        <f>IF(ISBLANK('Data Entry'!$­$211), "", 'Data Entry'!$­$211)</f>
      </c>
      <c r="DF211">
        <f>IF(ISBLANK('Data Entry'!$®$211), "", 'Data Entry'!$®$211)</f>
      </c>
      <c r="DG211">
        <f>IF(ISBLANK('Data Entry'!$¯$211), "", 'Data Entry'!$¯$211)</f>
      </c>
      <c r="DH211">
        <f>IF(ISBLANK('Data Entry'!$°$211), "", 'Data Entry'!$°$211)</f>
      </c>
      <c r="DI211">
        <f>IF(ISBLANK('Data Entry'!$±$211), "", 'Data Entry'!$±$211)</f>
      </c>
      <c r="DJ211">
        <f>IF(ISBLANK('Data Entry'!$²$211), "", 'Data Entry'!$²$211)</f>
      </c>
      <c r="DK211">
        <f>IF(ISBLANK('Data Entry'!$³$211), "", 'Data Entry'!$³$211)</f>
      </c>
      <c r="DL211">
        <f>IF(ISBLANK('Data Entry'!$´$211), "", 'Data Entry'!$´$211)</f>
      </c>
      <c r="DM211">
        <f>IF(ISBLANK('Data Entry'!$µ$211), "", 'Data Entry'!$µ$211)</f>
      </c>
      <c r="DN211">
        <f>IF(ISBLANK('Data Entry'!$¶$211), "", 'Data Entry'!$¶$211)</f>
      </c>
      <c r="DO211">
        <f>IF(ISBLANK('Data Entry'!$·$211), "", 'Data Entry'!$·$211)</f>
      </c>
      <c r="DP211">
        <f>IF(ISBLANK('Data Entry'!$¸$211), "", 'Data Entry'!$¸$211)</f>
      </c>
      <c r="DQ211">
        <f>IF(ISBLANK('Data Entry'!$¹$211), "", 'Data Entry'!$¹$211)</f>
      </c>
      <c r="DR211">
        <f>IF(ISBLANK('Data Entry'!$º$211), "", 'Data Entry'!$º$211)</f>
      </c>
      <c r="DS211">
        <f>IF(ISBLANK('Data Entry'!$»$211), "", 'Data Entry'!$»$211)</f>
      </c>
      <c r="DT211">
        <f>IF(ISBLANK('Data Entry'!$¼$211), "", 'Data Entry'!$¼$211)</f>
      </c>
      <c r="DU211">
        <f>IF(ISBLANK('Data Entry'!$½$211), "", 'Data Entry'!$½$211)</f>
      </c>
      <c r="DV211">
        <f>IF(ISBLANK('Data Entry'!$¾$211), "", 'Data Entry'!$¾$211)</f>
      </c>
      <c r="DW211">
        <f>IF(ISBLANK('Data Entry'!$¿$211), "", 'Data Entry'!$¿$211)</f>
      </c>
      <c r="DX211">
        <f>IF(ISBLANK('Data Entry'!$À$211), "", 'Data Entry'!$À$211)</f>
      </c>
      <c r="DY211">
        <f>IF(ISBLANK('Data Entry'!$Á$211), "", 'Data Entry'!$Á$211)</f>
      </c>
      <c r="DZ211">
        <f>IF(ISBLANK('Data Entry'!$Â$211), "", 'Data Entry'!$Â$211)</f>
      </c>
      <c r="EA211">
        <f>IF(ISBLANK('Data Entry'!$Ã$211), "", 'Data Entry'!$Ã$211)</f>
      </c>
      <c r="EB211">
        <f>IF(ISBLANK('Data Entry'!$Ä$211), "", 'Data Entry'!$Ä$211)</f>
      </c>
      <c r="EC211">
        <f>IF(ISBLANK('Data Entry'!$Å$211), "", 'Data Entry'!$Å$211)</f>
      </c>
      <c r="ED211">
        <f>IF(ISBLANK('Data Entry'!$Æ$211), "", 'Data Entry'!$Æ$211)</f>
      </c>
      <c r="EE211">
        <f>IF(ISBLANK('Data Entry'!$Ç$211), "", 'Data Entry'!$Ç$211)</f>
      </c>
      <c r="EF211">
        <f>IF(ISBLANK('Data Entry'!$È$211), "", 'Data Entry'!$È$211)</f>
      </c>
      <c r="EG211">
        <f>IF(ISBLANK('Data Entry'!$É$211), "", 'Data Entry'!$É$211)</f>
      </c>
      <c r="EH211">
        <f>IF(ISBLANK('Data Entry'!$Ê$211), "", 'Data Entry'!$Ê$211)</f>
      </c>
      <c r="EI211">
        <f>IF(ISBLANK('Data Entry'!$Ë$211), "", 'Data Entry'!$Ë$211)</f>
      </c>
      <c r="EJ211">
        <f>IF(ISBLANK('Data Entry'!$Ì$211), "", 'Data Entry'!$Ì$211)</f>
      </c>
      <c r="EK211">
        <f>IF(ISBLANK('Data Entry'!$Í$211), "", 'Data Entry'!$Í$211)</f>
      </c>
      <c r="EL211">
        <f>IF(ISBLANK('Data Entry'!$Î$211), "", 'Data Entry'!$Î$211)</f>
      </c>
      <c r="EM211">
        <f>IF(ISBLANK('Data Entry'!$Ï$211), "", 'Data Entry'!$Ï$211)</f>
      </c>
      <c r="EN211">
        <f>IF(ISBLANK('Data Entry'!$Ð$211), "", 'Data Entry'!$Ð$211)</f>
      </c>
      <c r="EO211">
        <f>IF(ISBLANK('Data Entry'!$Ñ$211), "", 'Data Entry'!$Ñ$211)</f>
      </c>
      <c r="EP211">
        <f>IF(ISBLANK('Data Entry'!$Ò$211), "", 'Data Entry'!$Ò$211)</f>
      </c>
      <c r="EQ211">
        <f>IF(ISBLANK('Data Entry'!$Ó$211), "", 'Data Entry'!$Ó$211)</f>
      </c>
      <c r="ER211">
        <f>IF(ISBLANK('Data Entry'!$Ô$211), "", 'Data Entry'!$Ô$211)</f>
      </c>
      <c r="ES211">
        <f>IF(ISBLANK('Data Entry'!$Õ$211), "", 'Data Entry'!$Õ$211)</f>
      </c>
      <c r="ET211">
        <f>IF(ISBLANK('Data Entry'!$Ö$211), "", 'Data Entry'!$Ö$211)</f>
      </c>
      <c r="EU211">
        <f>IF(ISBLANK('Data Entry'!$×$211), "", 'Data Entry'!$×$211)</f>
      </c>
      <c r="EV211">
        <f>IF(ISBLANK('Data Entry'!$Ø$211), "", 'Data Entry'!$Ø$211)</f>
      </c>
      <c r="EW211">
        <f>IF(ISBLANK('Data Entry'!$Ù$211), "", 'Data Entry'!$Ù$211)</f>
      </c>
      <c r="EX211">
        <f>IF(ISBLANK('Data Entry'!$Ú$211), "", 'Data Entry'!$Ú$211)</f>
      </c>
      <c r="EY211">
        <f>IF(ISBLANK('Data Entry'!$Û$211), "", 'Data Entry'!$Û$211)</f>
      </c>
      <c r="EZ211">
        <f>IF(ISBLANK('Data Entry'!$Ü$211), "", 'Data Entry'!$Ü$211)</f>
      </c>
      <c r="FA211">
        <f>IF(ISBLANK('Data Entry'!$Ý$211), "", 'Data Entry'!$Ý$211)</f>
      </c>
      <c r="FB211">
        <f>IF(ISBLANK('Data Entry'!$Þ$211), "", 'Data Entry'!$Þ$211)</f>
      </c>
      <c r="FC211">
        <f>IF(ISBLANK('Data Entry'!$ß$211), "", 'Data Entry'!$ß$211)</f>
      </c>
      <c r="FD211">
        <f>IF(ISBLANK('Data Entry'!$à$211), "", 'Data Entry'!$à$211)</f>
      </c>
      <c r="FE211">
        <f>IF(ISBLANK('Data Entry'!$á$211), "", 'Data Entry'!$á$211)</f>
      </c>
      <c r="FF211">
        <f>IF(ISBLANK('Data Entry'!$â$211), "", 'Data Entry'!$â$211)</f>
      </c>
      <c r="FG211">
        <f>IF(ISBLANK('Data Entry'!$ã$211), "", 'Data Entry'!$ã$211)</f>
      </c>
      <c r="FH211">
        <f>IF(ISBLANK('Data Entry'!$ä$211), "", 'Data Entry'!$ä$211)</f>
      </c>
      <c r="FI211">
        <f>IF(ISBLANK('Data Entry'!$å$211), "", 'Data Entry'!$å$211)</f>
      </c>
      <c r="FJ211">
        <f>IF(ISBLANK('Data Entry'!$æ$211), "", 'Data Entry'!$æ$211)</f>
      </c>
      <c r="FK211">
        <f>IF(ISBLANK('Data Entry'!$ç$211), "", 'Data Entry'!$ç$211)</f>
      </c>
      <c r="FL211">
        <f>IF(ISBLANK('Data Entry'!$è$211), "", 'Data Entry'!$è$211)</f>
      </c>
      <c r="FM211">
        <f>IF(ISBLANK('Data Entry'!$é$211), "", 'Data Entry'!$é$211)</f>
      </c>
      <c r="FN211">
        <f>IF(ISBLANK('Data Entry'!$ê$211), "", 'Data Entry'!$ê$211)</f>
      </c>
      <c r="FO211">
        <f>IF(ISBLANK('Data Entry'!$ë$211), "", 'Data Entry'!$ë$211)</f>
      </c>
      <c r="FP211">
        <f>IF(ISBLANK('Data Entry'!$ì$211), "", 'Data Entry'!$ì$211)</f>
      </c>
      <c r="FQ211">
        <f>IF(ISBLANK('Data Entry'!$í$211), "", 'Data Entry'!$í$211)</f>
      </c>
      <c r="FR211">
        <f>IF(ISBLANK('Data Entry'!$î$211), "", 'Data Entry'!$î$211)</f>
      </c>
      <c r="FS211">
        <f>IF(ISBLANK('Data Entry'!$ï$211), "", 'Data Entry'!$ï$211)</f>
      </c>
      <c r="FT211">
        <f>IF(ISBLANK('Data Entry'!$ð$211), "", 'Data Entry'!$ð$211)</f>
      </c>
      <c r="FU211">
        <f>IF(ISBLANK('Data Entry'!$ñ$211), "", 'Data Entry'!$ñ$211)</f>
      </c>
      <c r="FV211">
        <f>IF(ISBLANK('Data Entry'!$ò$211), "", 'Data Entry'!$ò$211)</f>
      </c>
      <c r="FW211">
        <f>IF(ISBLANK('Data Entry'!$ó$211), "", 'Data Entry'!$ó$211)</f>
      </c>
      <c r="FX211">
        <f>IF(ISBLANK('Data Entry'!$ô$211), "", 'Data Entry'!$ô$211)</f>
      </c>
      <c r="FY211">
        <f>IF(ISBLANK('Data Entry'!$õ$211), "", 'Data Entry'!$õ$211)</f>
      </c>
      <c r="FZ211">
        <f>IF(ISBLANK('Data Entry'!$ö$211), "", 'Data Entry'!$ö$211)</f>
      </c>
      <c r="GA211">
        <f>IF(ISBLANK('Data Entry'!$÷$211), "", 'Data Entry'!$÷$211)</f>
      </c>
      <c r="GB211">
        <f>IF(ISBLANK('Data Entry'!$ø$211), "", 'Data Entry'!$ø$211)</f>
      </c>
      <c r="GC211">
        <f>IF(ISBLANK('Data Entry'!$ù$211), "", 'Data Entry'!$ù$211)</f>
      </c>
      <c r="GD211">
        <f>IF(ISBLANK('Data Entry'!$ú$211), "", 'Data Entry'!$ú$211)</f>
      </c>
      <c r="GE211">
        <f>IF(ISBLANK('Data Entry'!$û$211), "", 'Data Entry'!$û$211)</f>
      </c>
      <c r="GF211">
        <f>IF(ISBLANK('Data Entry'!$ü$211), "", 'Data Entry'!$ü$211)</f>
      </c>
      <c r="GG211">
        <f>IF(ISBLANK('Data Entry'!$ý$211), "", 'Data Entry'!$ý$211)</f>
      </c>
      <c r="GH211">
        <f>IF(ISBLANK('Data Entry'!$þ$211), "", 'Data Entry'!$þ$211)</f>
      </c>
      <c r="GI211">
        <f>IF(ISBLANK('Data Entry'!$ÿ$211), "", 'Data Entry'!$ÿ$211)</f>
      </c>
      <c r="GJ211">
        <f>IF(ISBLANK('Data Entry'!$Ā$211), "", 'Data Entry'!$Ā$211)</f>
      </c>
      <c r="GK211">
        <f>IF(ISBLANK('Data Entry'!$ā$211), "", 'Data Entry'!$ā$211)</f>
      </c>
      <c r="GL211">
        <f>IF(ISBLANK('Data Entry'!$Ă$211), "", 'Data Entry'!$Ă$211)</f>
      </c>
      <c r="GM211">
        <f>IF(ISBLANK('Data Entry'!$ă$211), "", 'Data Entry'!$ă$211)</f>
      </c>
      <c r="GN211">
        <f>IF(ISBLANK('Data Entry'!$Ą$211), "", 'Data Entry'!$Ą$211)</f>
      </c>
      <c r="GO211">
        <f>IF(ISBLANK('Data Entry'!$ą$211), "", 'Data Entry'!$ą$211)</f>
      </c>
      <c r="GP211">
        <f>IF(ISBLANK('Data Entry'!$Ć$211), "", 'Data Entry'!$Ć$211)</f>
      </c>
      <c r="GQ211">
        <f>IF(ISBLANK('Data Entry'!$ć$211), "", 'Data Entry'!$ć$211)</f>
      </c>
      <c r="GR211">
        <f>IF(ISBLANK('Data Entry'!$Ĉ$211), "", 'Data Entry'!$Ĉ$211)</f>
      </c>
      <c r="GS211">
        <f>IF(ISBLANK('Data Entry'!$ĉ$211), "", 'Data Entry'!$ĉ$211)</f>
      </c>
      <c r="GT211">
        <f>IF(ISBLANK('Data Entry'!$Ċ$211), "", 'Data Entry'!$Ċ$211)</f>
      </c>
      <c r="GU211">
        <f>IF(ISBLANK('Data Entry'!$ċ$211), "", 'Data Entry'!$ċ$211)</f>
      </c>
      <c r="GV211">
        <f>IF(ISBLANK('Data Entry'!$Č$211), "", 'Data Entry'!$Č$211)</f>
      </c>
      <c r="GW211">
        <f>IF(ISBLANK('Data Entry'!$č$211), "", 'Data Entry'!$č$211)</f>
      </c>
      <c r="GX211">
        <f>IF(ISBLANK('Data Entry'!$Ď$211), "", 'Data Entry'!$Ď$211)</f>
      </c>
      <c r="GY211">
        <f>IF(ISBLANK('Data Entry'!$ď$211), "", 'Data Entry'!$ď$211)</f>
      </c>
      <c r="GZ211">
        <f>IF(ISBLANK('Data Entry'!$Đ$211), "", 'Data Entry'!$Đ$211)</f>
      </c>
      <c r="HA211">
        <f>IF(ISBLANK('Data Entry'!$đ$211), "", 'Data Entry'!$đ$211)</f>
      </c>
      <c r="HB211">
        <f>IF(ISBLANK('Data Entry'!$Ē$211), "", 'Data Entry'!$Ē$211)</f>
      </c>
      <c r="HC211">
        <f>IF(ISBLANK('Data Entry'!$ē$211), "", 'Data Entry'!$ē$211)</f>
      </c>
      <c r="HD211">
        <f>IF(ISBLANK('Data Entry'!$Ĕ$211), "", 'Data Entry'!$Ĕ$211)</f>
      </c>
      <c r="HE211">
        <f>IF(ISBLANK('Data Entry'!$ĕ$211), "", 'Data Entry'!$ĕ$211)</f>
      </c>
      <c r="HF211">
        <f>IF(ISBLANK('Data Entry'!$Ė$211), "", 'Data Entry'!$Ė$211)</f>
      </c>
      <c r="HG211">
        <f>IF(ISBLANK('Data Entry'!$ė$211), "", 'Data Entry'!$ė$211)</f>
      </c>
      <c r="HH211">
        <f>IF(ISBLANK('Data Entry'!$Ę$211), "", 'Data Entry'!$Ę$211)</f>
      </c>
      <c r="HI211">
        <f>IF(ISBLANK('Data Entry'!$ę$211), "", 'Data Entry'!$ę$211)</f>
      </c>
      <c r="HJ211">
        <f>IF(ISBLANK('Data Entry'!$Ě$211), "", 'Data Entry'!$Ě$211)</f>
      </c>
      <c r="HK211">
        <f>IF(ISBLANK('Data Entry'!$ě$211), "", 'Data Entry'!$ě$211)</f>
      </c>
      <c r="HL211">
        <f>IF(ISBLANK('Data Entry'!$Ĝ$211), "", 'Data Entry'!$Ĝ$211)</f>
      </c>
      <c r="HM211">
        <f>IF(ISBLANK('Data Entry'!$ĝ$211), "", 'Data Entry'!$ĝ$211)</f>
      </c>
      <c r="HN211">
        <f>IF(ISBLANK('Data Entry'!$Ğ$211), "", 'Data Entry'!$Ğ$211)</f>
      </c>
      <c r="HO211">
        <f>IF(ISBLANK('Data Entry'!$ğ$211), "", 'Data Entry'!$ğ$211)</f>
      </c>
      <c r="HP211">
        <f>IF(ISBLANK('Data Entry'!$Ġ$211), "", 'Data Entry'!$Ġ$211)</f>
      </c>
      <c r="HQ211">
        <f>IF(ISBLANK('Data Entry'!$ġ$211), "", 'Data Entry'!$ġ$211)</f>
      </c>
      <c r="HR211">
        <f>IF(ISBLANK('Data Entry'!$Ģ$211), "", 'Data Entry'!$Ģ$211)</f>
      </c>
      <c r="HS211">
        <f>IF(ISBLANK('Data Entry'!$ģ$211), "", 'Data Entry'!$ģ$211)</f>
      </c>
      <c r="HT211">
        <f>IF(ISBLANK('Data Entry'!$Ĥ$211), "", 'Data Entry'!$Ĥ$211)</f>
      </c>
      <c r="HU211">
        <f>IF(ISBLANK('Data Entry'!$ĥ$211), "", 'Data Entry'!$ĥ$211)</f>
      </c>
      <c r="HV211">
        <f>IF(ISBLANK('Data Entry'!$Ħ$211), "", 'Data Entry'!$Ħ$211)</f>
      </c>
      <c r="HW211">
        <f>IF(ISBLANK('Data Entry'!$ħ$211), "", 'Data Entry'!$ħ$211)</f>
      </c>
      <c r="HX211">
        <f>IF(ISBLANK('Data Entry'!$Ĩ$211), "", 'Data Entry'!$Ĩ$211)</f>
      </c>
      <c r="HY211">
        <f>IF(ISBLANK('Data Entry'!$ĩ$211), "", 'Data Entry'!$ĩ$211)</f>
      </c>
      <c r="HZ211">
        <f>IF(ISBLANK('Data Entry'!$Ī$211), "", 'Data Entry'!$Ī$211)</f>
      </c>
      <c r="IA211">
        <f>IF(ISBLANK('Data Entry'!$ī$211), "", 'Data Entry'!$ī$211)</f>
      </c>
      <c r="IB211">
        <f>IF(ISBLANK('Data Entry'!$Ĭ$211), "", 'Data Entry'!$Ĭ$211)</f>
      </c>
      <c r="IC211">
        <f>IF(ISBLANK('Data Entry'!$ĭ$211), "", 'Data Entry'!$ĭ$211)</f>
      </c>
      <c r="ID211">
        <f>IF(ISBLANK('Data Entry'!$Į$211), "", 'Data Entry'!$Į$211)</f>
      </c>
      <c r="IE211">
        <f>IF(ISBLANK('Data Entry'!$į$211), "", 'Data Entry'!$į$211)</f>
      </c>
      <c r="IF211">
        <f>IF(ISBLANK('Data Entry'!$İ$211), "", 'Data Entry'!$İ$211)</f>
      </c>
      <c r="IG211">
        <f>IF(ISBLANK('Data Entry'!$ı$211), "", 'Data Entry'!$ı$211)</f>
      </c>
      <c r="IH211">
        <f>IF(ISBLANK('Data Entry'!$Ĳ$211), "", 'Data Entry'!$Ĳ$211)</f>
      </c>
      <c r="II211">
        <f>IF(ISBLANK('Data Entry'!$ĳ$211), "", 'Data Entry'!$ĳ$211)</f>
      </c>
      <c r="IJ211">
        <f>IF(ISBLANK('Data Entry'!$Ĵ$211), "", 'Data Entry'!$Ĵ$211)</f>
      </c>
      <c r="IK211">
        <f>IF(ISBLANK('Data Entry'!$ĵ$211), "", 'Data Entry'!$ĵ$211)</f>
      </c>
      <c r="IL211">
        <f>IF(ISBLANK('Data Entry'!$Ķ$211), "", 'Data Entry'!$Ķ$211)</f>
      </c>
      <c r="IM211">
        <f>IF(ISBLANK('Data Entry'!$ķ$211), "", 'Data Entry'!$ķ$211)</f>
      </c>
      <c r="IN211">
        <f>IF(ISBLANK('Data Entry'!$ĸ$211), "", 'Data Entry'!$ĸ$211)</f>
      </c>
      <c r="IO211">
        <f>IF(ISBLANK('Data Entry'!$Ĺ$211), "", 'Data Entry'!$Ĺ$211)</f>
      </c>
      <c r="IP211">
        <f>IF(ISBLANK('Data Entry'!$ĺ$211), "", 'Data Entry'!$ĺ$211)</f>
      </c>
      <c r="IQ211">
        <f>IF(ISBLANK('Data Entry'!$Ļ$211), "", 'Data Entry'!$Ļ$211)</f>
      </c>
      <c r="IR211">
        <f>IF(ISBLANK('Data Entry'!$ļ$211), "", 'Data Entry'!$ļ$211)</f>
      </c>
      <c r="IS211">
        <f>IF(ISBLANK('Data Entry'!$Ľ$211), "", 'Data Entry'!$Ľ$211)</f>
      </c>
      <c r="IT211">
        <f>IF(ISBLANK('Data Entry'!$ľ$211), "", 'Data Entry'!$ľ$211)</f>
      </c>
    </row>
    <row r="212" spans="1:254" x14ac:dyDescent="0.25">
      <c r="A212">
        <f>IF(ISBLANK('Data Entry'!$A$212), "", 'Data Entry'!$A$212)</f>
      </c>
      <c r="B212">
        <f>IF(ISBLANK('Data Entry'!$B$212), "", 'Data Entry'!$B$212)</f>
      </c>
      <c r="C212">
        <f>IF(ISBLANK('Data Entry'!$C$212), "", 'Data Entry'!$C$212)</f>
      </c>
      <c r="D212">
        <f>IF(ISBLANK('Data Entry'!$D$212), "", 'Data Entry'!$D$212)</f>
      </c>
      <c r="E212">
        <f>IF(ISBLANK('Data Entry'!$E$212), "", 'Data Entry'!$E$212)</f>
      </c>
      <c r="F212">
        <f>IF(ISBLANK('Data Entry'!$F$212), "", 'Data Entry'!$F$212)</f>
      </c>
      <c r="G212">
        <f>IF(ISBLANK('Data Entry'!$G$212), "", 'Data Entry'!$G$212)</f>
      </c>
      <c r="H212">
        <f>IF(ISBLANK('Data Entry'!$H$212), "", 'Data Entry'!$H$212)</f>
      </c>
      <c r="I212">
        <f>IF(ISBLANK('Data Entry'!$I$212), "", 'Data Entry'!$I$212)</f>
      </c>
      <c r="J212">
        <f>IF(ISBLANK('Data Entry'!$J$212), "", 'Data Entry'!$J$212)</f>
      </c>
      <c r="K212">
        <f>IF(ISBLANK('Data Entry'!$K$212), "", 'Data Entry'!$K$212)</f>
      </c>
      <c r="L212">
        <f>IF(ISBLANK('Data Entry'!$L$212), "", 'Data Entry'!$L$212)</f>
      </c>
      <c r="M212">
        <f>IF(ISBLANK('Data Entry'!$M$212), "", 'Data Entry'!$M$212)</f>
      </c>
      <c r="N212">
        <f>IF(ISBLANK('Data Entry'!$N$212), "", 'Data Entry'!$N$212)</f>
      </c>
      <c r="O212">
        <f>IF(ISBLANK('Data Entry'!$O$212), "", 'Data Entry'!$O$212)</f>
      </c>
      <c r="P212">
        <f>IF(ISBLANK('Data Entry'!$P$212), "", 'Data Entry'!$P$212)</f>
      </c>
      <c r="Q212">
        <f>IF(ISBLANK('Data Entry'!$Q$212), "", 'Data Entry'!$Q$212)</f>
      </c>
      <c r="R212">
        <f>IF(ISBLANK('Data Entry'!$R$212), "", 'Data Entry'!$R$212)</f>
      </c>
      <c r="S212">
        <f>IF(ISBLANK('Data Entry'!$S$212), "", 'Data Entry'!$S$212)</f>
      </c>
      <c r="T212">
        <f>IF(ISBLANK('Data Entry'!$T$212), "", 'Data Entry'!$T$212)</f>
      </c>
      <c r="U212">
        <f>IF(ISBLANK('Data Entry'!$U$212), "", 'Data Entry'!$U$212)</f>
      </c>
      <c r="V212">
        <f>IF(ISBLANK('Data Entry'!$V$212), "", 'Data Entry'!$V$212)</f>
      </c>
      <c r="W212">
        <f>IF(ISBLANK('Data Entry'!$W$212), "", 'Data Entry'!$W$212)</f>
      </c>
      <c r="X212">
        <f>IF(ISBLANK('Data Entry'!$X$212), "", 'Data Entry'!$X$212)</f>
      </c>
      <c r="Y212">
        <f>IF(ISBLANK('Data Entry'!$Y$212), "", 'Data Entry'!$Y$212)</f>
      </c>
      <c r="Z212">
        <f>IF(ISBLANK('Data Entry'!$Z$212), "", 'Data Entry'!$Z$212)</f>
      </c>
      <c r="AA212">
        <f>IF(ISBLANK('Data Entry'!$[$212), "", 'Data Entry'!$[$212)</f>
      </c>
      <c r="AB212">
        <f>IF(ISBLANK('Data Entry'!$\$212), "", 'Data Entry'!$\$212)</f>
      </c>
      <c r="AC212">
        <f>IF(ISBLANK('Data Entry'!$]$212), "", 'Data Entry'!$]$212)</f>
      </c>
      <c r="AD212">
        <f>IF(ISBLANK('Data Entry'!$^$212), "", 'Data Entry'!$^$212)</f>
      </c>
      <c r="AE212">
        <f>IF(ISBLANK('Data Entry'!$_$212), "", 'Data Entry'!$_$212)</f>
      </c>
      <c r="AF212">
        <f>IF(ISBLANK('Data Entry'!$`$212), "", 'Data Entry'!$`$212)</f>
      </c>
      <c r="AG212">
        <f>IF(ISBLANK('Data Entry'!$a$212), "", 'Data Entry'!$a$212)</f>
      </c>
      <c r="AH212">
        <f>IF(ISBLANK('Data Entry'!$b$212), "", 'Data Entry'!$b$212)</f>
      </c>
      <c r="AI212">
        <f>IF(ISBLANK('Data Entry'!$c$212), "", 'Data Entry'!$c$212)</f>
      </c>
      <c r="AJ212">
        <f>IF(ISBLANK('Data Entry'!$d$212), "", 'Data Entry'!$d$212)</f>
      </c>
      <c r="AK212">
        <f>IF(ISBLANK('Data Entry'!$e$212), "", 'Data Entry'!$e$212)</f>
      </c>
      <c r="AL212">
        <f>IF(ISBLANK('Data Entry'!$f$212), "", 'Data Entry'!$f$212)</f>
      </c>
      <c r="AM212">
        <f>IF(ISBLANK('Data Entry'!$g$212), "", 'Data Entry'!$g$212)</f>
      </c>
      <c r="AN212">
        <f>IF(ISBLANK('Data Entry'!$h$212), "", 'Data Entry'!$h$212)</f>
      </c>
      <c r="AO212">
        <f>IF(ISBLANK('Data Entry'!$i$212), "", 'Data Entry'!$i$212)</f>
      </c>
      <c r="AP212">
        <f>IF(ISBLANK('Data Entry'!$j$212), "", 'Data Entry'!$j$212)</f>
      </c>
      <c r="AQ212">
        <f>IF(ISBLANK('Data Entry'!$k$212), "", 'Data Entry'!$k$212)</f>
      </c>
      <c r="AR212">
        <f>IF(ISBLANK('Data Entry'!$l$212), "", 'Data Entry'!$l$212)</f>
      </c>
      <c r="AS212">
        <f>IF(ISBLANK('Data Entry'!$m$212), "", 'Data Entry'!$m$212)</f>
      </c>
      <c r="AT212">
        <f>IF(ISBLANK('Data Entry'!$n$212), "", 'Data Entry'!$n$212)</f>
      </c>
      <c r="AU212">
        <f>IF(ISBLANK('Data Entry'!$o$212), "", 'Data Entry'!$o$212)</f>
      </c>
      <c r="AV212">
        <f>IF(ISBLANK('Data Entry'!$p$212), "", 'Data Entry'!$p$212)</f>
      </c>
      <c r="AW212">
        <f>IF(ISBLANK('Data Entry'!$q$212), "", 'Data Entry'!$q$212)</f>
      </c>
      <c r="AX212">
        <f>IF(ISBLANK('Data Entry'!$r$212), "", 'Data Entry'!$r$212)</f>
      </c>
      <c r="AY212">
        <f>IF(ISBLANK('Data Entry'!$s$212), "", 'Data Entry'!$s$212)</f>
      </c>
      <c r="AZ212">
        <f>IF(ISBLANK('Data Entry'!$t$212), "", 'Data Entry'!$t$212)</f>
      </c>
      <c r="BA212">
        <f>IF(ISBLANK('Data Entry'!$u$212), "", 'Data Entry'!$u$212)</f>
      </c>
      <c r="BB212">
        <f>IF(ISBLANK('Data Entry'!$v$212), "", 'Data Entry'!$v$212)</f>
      </c>
      <c r="BC212">
        <f>IF(ISBLANK('Data Entry'!$w$212), "", 'Data Entry'!$w$212)</f>
      </c>
      <c r="BD212">
        <f>IF(ISBLANK('Data Entry'!$x$212), "", 'Data Entry'!$x$212)</f>
      </c>
      <c r="BE212">
        <f>IF(ISBLANK('Data Entry'!$y$212), "", 'Data Entry'!$y$212)</f>
      </c>
      <c r="BF212">
        <f>IF(ISBLANK('Data Entry'!$z$212), "", 'Data Entry'!$z$212)</f>
      </c>
      <c r="BG212">
        <f>IF(ISBLANK('Data Entry'!${$212), "", 'Data Entry'!${$212)</f>
      </c>
      <c r="BH212">
        <f>IF(ISBLANK('Data Entry'!$|$212), "", 'Data Entry'!$|$212)</f>
      </c>
      <c r="BI212">
        <f>IF(ISBLANK('Data Entry'!$}$212), "", 'Data Entry'!$}$212)</f>
      </c>
      <c r="BJ212">
        <f>IF(ISBLANK('Data Entry'!$~$212), "", 'Data Entry'!$~$212)</f>
      </c>
      <c r="BK212">
        <f>IF(ISBLANK('Data Entry'!$$212), "", 'Data Entry'!$$212)</f>
      </c>
      <c r="BL212">
        <f>IF(ISBLANK('Data Entry'!$$212), "", 'Data Entry'!$$212)</f>
      </c>
      <c r="BM212">
        <f>IF(ISBLANK('Data Entry'!$$212), "", 'Data Entry'!$$212)</f>
      </c>
      <c r="BN212">
        <f>IF(ISBLANK('Data Entry'!$$212), "", 'Data Entry'!$$212)</f>
      </c>
      <c r="BO212">
        <f>IF(ISBLANK('Data Entry'!$$212), "", 'Data Entry'!$$212)</f>
      </c>
      <c r="BP212">
        <f>IF(ISBLANK('Data Entry'!$$212), "", 'Data Entry'!$$212)</f>
      </c>
      <c r="BQ212">
        <f>IF(ISBLANK('Data Entry'!$$212), "", 'Data Entry'!$$212)</f>
      </c>
      <c r="BR212">
        <f>IF(ISBLANK('Data Entry'!$$212), "", 'Data Entry'!$$212)</f>
      </c>
      <c r="BS212">
        <f>IF(ISBLANK('Data Entry'!$$212), "", 'Data Entry'!$$212)</f>
      </c>
      <c r="BT212">
        <f>IF(ISBLANK('Data Entry'!$$212), "", 'Data Entry'!$$212)</f>
      </c>
      <c r="BU212">
        <f>IF(ISBLANK('Data Entry'!$$212), "", 'Data Entry'!$$212)</f>
      </c>
      <c r="BV212">
        <f>IF(ISBLANK('Data Entry'!$$212), "", 'Data Entry'!$$212)</f>
      </c>
      <c r="BW212">
        <f>IF(ISBLANK('Data Entry'!$$212), "", 'Data Entry'!$$212)</f>
      </c>
      <c r="BX212">
        <f>IF(ISBLANK('Data Entry'!$$212), "", 'Data Entry'!$$212)</f>
      </c>
      <c r="BY212">
        <f>IF(ISBLANK('Data Entry'!$$212), "", 'Data Entry'!$$212)</f>
      </c>
      <c r="BZ212">
        <f>IF(ISBLANK('Data Entry'!$$212), "", 'Data Entry'!$$212)</f>
      </c>
      <c r="CA212">
        <f>IF(ISBLANK('Data Entry'!$$212), "", 'Data Entry'!$$212)</f>
      </c>
      <c r="CB212">
        <f>IF(ISBLANK('Data Entry'!$$212), "", 'Data Entry'!$$212)</f>
      </c>
      <c r="CC212">
        <f>IF(ISBLANK('Data Entry'!$$212), "", 'Data Entry'!$$212)</f>
      </c>
      <c r="CD212">
        <f>IF(ISBLANK('Data Entry'!$$212), "", 'Data Entry'!$$212)</f>
      </c>
      <c r="CE212">
        <f>IF(ISBLANK('Data Entry'!$$212), "", 'Data Entry'!$$212)</f>
      </c>
      <c r="CF212">
        <f>IF(ISBLANK('Data Entry'!$$212), "", 'Data Entry'!$$212)</f>
      </c>
      <c r="CG212">
        <f>IF(ISBLANK('Data Entry'!$$212), "", 'Data Entry'!$$212)</f>
      </c>
      <c r="CH212">
        <f>IF(ISBLANK('Data Entry'!$$212), "", 'Data Entry'!$$212)</f>
      </c>
      <c r="CI212">
        <f>IF(ISBLANK('Data Entry'!$$212), "", 'Data Entry'!$$212)</f>
      </c>
      <c r="CJ212">
        <f>IF(ISBLANK('Data Entry'!$$212), "", 'Data Entry'!$$212)</f>
      </c>
      <c r="CK212">
        <f>IF(ISBLANK('Data Entry'!$$212), "", 'Data Entry'!$$212)</f>
      </c>
      <c r="CL212">
        <f>IF(ISBLANK('Data Entry'!$$212), "", 'Data Entry'!$$212)</f>
      </c>
      <c r="CM212">
        <f>IF(ISBLANK('Data Entry'!$$212), "", 'Data Entry'!$$212)</f>
      </c>
      <c r="CN212">
        <f>IF(ISBLANK('Data Entry'!$$212), "", 'Data Entry'!$$212)</f>
      </c>
      <c r="CO212">
        <f>IF(ISBLANK('Data Entry'!$$212), "", 'Data Entry'!$$212)</f>
      </c>
      <c r="CP212">
        <f>IF(ISBLANK('Data Entry'!$$212), "", 'Data Entry'!$$212)</f>
      </c>
      <c r="CQ212">
        <f>IF(ISBLANK('Data Entry'!$$212), "", 'Data Entry'!$$212)</f>
      </c>
      <c r="CR212">
        <f>IF(ISBLANK('Data Entry'!$ $212), "", 'Data Entry'!$ $212)</f>
      </c>
      <c r="CS212">
        <f>IF(ISBLANK('Data Entry'!$¡$212), "", 'Data Entry'!$¡$212)</f>
      </c>
      <c r="CT212">
        <f>IF(ISBLANK('Data Entry'!$¢$212), "", 'Data Entry'!$¢$212)</f>
      </c>
      <c r="CU212">
        <f>IF(ISBLANK('Data Entry'!$£$212), "", 'Data Entry'!$£$212)</f>
      </c>
      <c r="CV212">
        <f>IF(ISBLANK('Data Entry'!$¤$212), "", 'Data Entry'!$¤$212)</f>
      </c>
      <c r="CW212">
        <f>IF(ISBLANK('Data Entry'!$¥$212), "", 'Data Entry'!$¥$212)</f>
      </c>
      <c r="CX212">
        <f>IF(ISBLANK('Data Entry'!$¦$212), "", 'Data Entry'!$¦$212)</f>
      </c>
      <c r="CY212">
        <f>IF(ISBLANK('Data Entry'!$§$212), "", 'Data Entry'!$§$212)</f>
      </c>
      <c r="CZ212">
        <f>IF(ISBLANK('Data Entry'!$¨$212), "", 'Data Entry'!$¨$212)</f>
      </c>
      <c r="DA212">
        <f>IF(ISBLANK('Data Entry'!$©$212), "", 'Data Entry'!$©$212)</f>
      </c>
      <c r="DB212">
        <f>IF(ISBLANK('Data Entry'!$ª$212), "", 'Data Entry'!$ª$212)</f>
      </c>
      <c r="DC212">
        <f>IF(ISBLANK('Data Entry'!$«$212), "", 'Data Entry'!$«$212)</f>
      </c>
      <c r="DD212">
        <f>IF(ISBLANK('Data Entry'!$¬$212), "", 'Data Entry'!$¬$212)</f>
      </c>
      <c r="DE212">
        <f>IF(ISBLANK('Data Entry'!$­$212), "", 'Data Entry'!$­$212)</f>
      </c>
      <c r="DF212">
        <f>IF(ISBLANK('Data Entry'!$®$212), "", 'Data Entry'!$®$212)</f>
      </c>
      <c r="DG212">
        <f>IF(ISBLANK('Data Entry'!$¯$212), "", 'Data Entry'!$¯$212)</f>
      </c>
      <c r="DH212">
        <f>IF(ISBLANK('Data Entry'!$°$212), "", 'Data Entry'!$°$212)</f>
      </c>
      <c r="DI212">
        <f>IF(ISBLANK('Data Entry'!$±$212), "", 'Data Entry'!$±$212)</f>
      </c>
      <c r="DJ212">
        <f>IF(ISBLANK('Data Entry'!$²$212), "", 'Data Entry'!$²$212)</f>
      </c>
      <c r="DK212">
        <f>IF(ISBLANK('Data Entry'!$³$212), "", 'Data Entry'!$³$212)</f>
      </c>
      <c r="DL212">
        <f>IF(ISBLANK('Data Entry'!$´$212), "", 'Data Entry'!$´$212)</f>
      </c>
      <c r="DM212">
        <f>IF(ISBLANK('Data Entry'!$µ$212), "", 'Data Entry'!$µ$212)</f>
      </c>
      <c r="DN212">
        <f>IF(ISBLANK('Data Entry'!$¶$212), "", 'Data Entry'!$¶$212)</f>
      </c>
      <c r="DO212">
        <f>IF(ISBLANK('Data Entry'!$·$212), "", 'Data Entry'!$·$212)</f>
      </c>
      <c r="DP212">
        <f>IF(ISBLANK('Data Entry'!$¸$212), "", 'Data Entry'!$¸$212)</f>
      </c>
      <c r="DQ212">
        <f>IF(ISBLANK('Data Entry'!$¹$212), "", 'Data Entry'!$¹$212)</f>
      </c>
      <c r="DR212">
        <f>IF(ISBLANK('Data Entry'!$º$212), "", 'Data Entry'!$º$212)</f>
      </c>
      <c r="DS212">
        <f>IF(ISBLANK('Data Entry'!$»$212), "", 'Data Entry'!$»$212)</f>
      </c>
      <c r="DT212">
        <f>IF(ISBLANK('Data Entry'!$¼$212), "", 'Data Entry'!$¼$212)</f>
      </c>
      <c r="DU212">
        <f>IF(ISBLANK('Data Entry'!$½$212), "", 'Data Entry'!$½$212)</f>
      </c>
      <c r="DV212">
        <f>IF(ISBLANK('Data Entry'!$¾$212), "", 'Data Entry'!$¾$212)</f>
      </c>
      <c r="DW212">
        <f>IF(ISBLANK('Data Entry'!$¿$212), "", 'Data Entry'!$¿$212)</f>
      </c>
      <c r="DX212">
        <f>IF(ISBLANK('Data Entry'!$À$212), "", 'Data Entry'!$À$212)</f>
      </c>
      <c r="DY212">
        <f>IF(ISBLANK('Data Entry'!$Á$212), "", 'Data Entry'!$Á$212)</f>
      </c>
      <c r="DZ212">
        <f>IF(ISBLANK('Data Entry'!$Â$212), "", 'Data Entry'!$Â$212)</f>
      </c>
      <c r="EA212">
        <f>IF(ISBLANK('Data Entry'!$Ã$212), "", 'Data Entry'!$Ã$212)</f>
      </c>
      <c r="EB212">
        <f>IF(ISBLANK('Data Entry'!$Ä$212), "", 'Data Entry'!$Ä$212)</f>
      </c>
      <c r="EC212">
        <f>IF(ISBLANK('Data Entry'!$Å$212), "", 'Data Entry'!$Å$212)</f>
      </c>
      <c r="ED212">
        <f>IF(ISBLANK('Data Entry'!$Æ$212), "", 'Data Entry'!$Æ$212)</f>
      </c>
      <c r="EE212">
        <f>IF(ISBLANK('Data Entry'!$Ç$212), "", 'Data Entry'!$Ç$212)</f>
      </c>
      <c r="EF212">
        <f>IF(ISBLANK('Data Entry'!$È$212), "", 'Data Entry'!$È$212)</f>
      </c>
      <c r="EG212">
        <f>IF(ISBLANK('Data Entry'!$É$212), "", 'Data Entry'!$É$212)</f>
      </c>
      <c r="EH212">
        <f>IF(ISBLANK('Data Entry'!$Ê$212), "", 'Data Entry'!$Ê$212)</f>
      </c>
      <c r="EI212">
        <f>IF(ISBLANK('Data Entry'!$Ë$212), "", 'Data Entry'!$Ë$212)</f>
      </c>
      <c r="EJ212">
        <f>IF(ISBLANK('Data Entry'!$Ì$212), "", 'Data Entry'!$Ì$212)</f>
      </c>
      <c r="EK212">
        <f>IF(ISBLANK('Data Entry'!$Í$212), "", 'Data Entry'!$Í$212)</f>
      </c>
      <c r="EL212">
        <f>IF(ISBLANK('Data Entry'!$Î$212), "", 'Data Entry'!$Î$212)</f>
      </c>
      <c r="EM212">
        <f>IF(ISBLANK('Data Entry'!$Ï$212), "", 'Data Entry'!$Ï$212)</f>
      </c>
      <c r="EN212">
        <f>IF(ISBLANK('Data Entry'!$Ð$212), "", 'Data Entry'!$Ð$212)</f>
      </c>
      <c r="EO212">
        <f>IF(ISBLANK('Data Entry'!$Ñ$212), "", 'Data Entry'!$Ñ$212)</f>
      </c>
      <c r="EP212">
        <f>IF(ISBLANK('Data Entry'!$Ò$212), "", 'Data Entry'!$Ò$212)</f>
      </c>
      <c r="EQ212">
        <f>IF(ISBLANK('Data Entry'!$Ó$212), "", 'Data Entry'!$Ó$212)</f>
      </c>
      <c r="ER212">
        <f>IF(ISBLANK('Data Entry'!$Ô$212), "", 'Data Entry'!$Ô$212)</f>
      </c>
      <c r="ES212">
        <f>IF(ISBLANK('Data Entry'!$Õ$212), "", 'Data Entry'!$Õ$212)</f>
      </c>
      <c r="ET212">
        <f>IF(ISBLANK('Data Entry'!$Ö$212), "", 'Data Entry'!$Ö$212)</f>
      </c>
      <c r="EU212">
        <f>IF(ISBLANK('Data Entry'!$×$212), "", 'Data Entry'!$×$212)</f>
      </c>
      <c r="EV212">
        <f>IF(ISBLANK('Data Entry'!$Ø$212), "", 'Data Entry'!$Ø$212)</f>
      </c>
      <c r="EW212">
        <f>IF(ISBLANK('Data Entry'!$Ù$212), "", 'Data Entry'!$Ù$212)</f>
      </c>
      <c r="EX212">
        <f>IF(ISBLANK('Data Entry'!$Ú$212), "", 'Data Entry'!$Ú$212)</f>
      </c>
      <c r="EY212">
        <f>IF(ISBLANK('Data Entry'!$Û$212), "", 'Data Entry'!$Û$212)</f>
      </c>
      <c r="EZ212">
        <f>IF(ISBLANK('Data Entry'!$Ü$212), "", 'Data Entry'!$Ü$212)</f>
      </c>
      <c r="FA212">
        <f>IF(ISBLANK('Data Entry'!$Ý$212), "", 'Data Entry'!$Ý$212)</f>
      </c>
      <c r="FB212">
        <f>IF(ISBLANK('Data Entry'!$Þ$212), "", 'Data Entry'!$Þ$212)</f>
      </c>
      <c r="FC212">
        <f>IF(ISBLANK('Data Entry'!$ß$212), "", 'Data Entry'!$ß$212)</f>
      </c>
      <c r="FD212">
        <f>IF(ISBLANK('Data Entry'!$à$212), "", 'Data Entry'!$à$212)</f>
      </c>
      <c r="FE212">
        <f>IF(ISBLANK('Data Entry'!$á$212), "", 'Data Entry'!$á$212)</f>
      </c>
      <c r="FF212">
        <f>IF(ISBLANK('Data Entry'!$â$212), "", 'Data Entry'!$â$212)</f>
      </c>
      <c r="FG212">
        <f>IF(ISBLANK('Data Entry'!$ã$212), "", 'Data Entry'!$ã$212)</f>
      </c>
      <c r="FH212">
        <f>IF(ISBLANK('Data Entry'!$ä$212), "", 'Data Entry'!$ä$212)</f>
      </c>
      <c r="FI212">
        <f>IF(ISBLANK('Data Entry'!$å$212), "", 'Data Entry'!$å$212)</f>
      </c>
      <c r="FJ212">
        <f>IF(ISBLANK('Data Entry'!$æ$212), "", 'Data Entry'!$æ$212)</f>
      </c>
      <c r="FK212">
        <f>IF(ISBLANK('Data Entry'!$ç$212), "", 'Data Entry'!$ç$212)</f>
      </c>
      <c r="FL212">
        <f>IF(ISBLANK('Data Entry'!$è$212), "", 'Data Entry'!$è$212)</f>
      </c>
      <c r="FM212">
        <f>IF(ISBLANK('Data Entry'!$é$212), "", 'Data Entry'!$é$212)</f>
      </c>
      <c r="FN212">
        <f>IF(ISBLANK('Data Entry'!$ê$212), "", 'Data Entry'!$ê$212)</f>
      </c>
      <c r="FO212">
        <f>IF(ISBLANK('Data Entry'!$ë$212), "", 'Data Entry'!$ë$212)</f>
      </c>
      <c r="FP212">
        <f>IF(ISBLANK('Data Entry'!$ì$212), "", 'Data Entry'!$ì$212)</f>
      </c>
      <c r="FQ212">
        <f>IF(ISBLANK('Data Entry'!$í$212), "", 'Data Entry'!$í$212)</f>
      </c>
      <c r="FR212">
        <f>IF(ISBLANK('Data Entry'!$î$212), "", 'Data Entry'!$î$212)</f>
      </c>
      <c r="FS212">
        <f>IF(ISBLANK('Data Entry'!$ï$212), "", 'Data Entry'!$ï$212)</f>
      </c>
      <c r="FT212">
        <f>IF(ISBLANK('Data Entry'!$ð$212), "", 'Data Entry'!$ð$212)</f>
      </c>
      <c r="FU212">
        <f>IF(ISBLANK('Data Entry'!$ñ$212), "", 'Data Entry'!$ñ$212)</f>
      </c>
      <c r="FV212">
        <f>IF(ISBLANK('Data Entry'!$ò$212), "", 'Data Entry'!$ò$212)</f>
      </c>
      <c r="FW212">
        <f>IF(ISBLANK('Data Entry'!$ó$212), "", 'Data Entry'!$ó$212)</f>
      </c>
      <c r="FX212">
        <f>IF(ISBLANK('Data Entry'!$ô$212), "", 'Data Entry'!$ô$212)</f>
      </c>
      <c r="FY212">
        <f>IF(ISBLANK('Data Entry'!$õ$212), "", 'Data Entry'!$õ$212)</f>
      </c>
      <c r="FZ212">
        <f>IF(ISBLANK('Data Entry'!$ö$212), "", 'Data Entry'!$ö$212)</f>
      </c>
      <c r="GA212">
        <f>IF(ISBLANK('Data Entry'!$÷$212), "", 'Data Entry'!$÷$212)</f>
      </c>
      <c r="GB212">
        <f>IF(ISBLANK('Data Entry'!$ø$212), "", 'Data Entry'!$ø$212)</f>
      </c>
      <c r="GC212">
        <f>IF(ISBLANK('Data Entry'!$ù$212), "", 'Data Entry'!$ù$212)</f>
      </c>
      <c r="GD212">
        <f>IF(ISBLANK('Data Entry'!$ú$212), "", 'Data Entry'!$ú$212)</f>
      </c>
      <c r="GE212">
        <f>IF(ISBLANK('Data Entry'!$û$212), "", 'Data Entry'!$û$212)</f>
      </c>
      <c r="GF212">
        <f>IF(ISBLANK('Data Entry'!$ü$212), "", 'Data Entry'!$ü$212)</f>
      </c>
      <c r="GG212">
        <f>IF(ISBLANK('Data Entry'!$ý$212), "", 'Data Entry'!$ý$212)</f>
      </c>
      <c r="GH212">
        <f>IF(ISBLANK('Data Entry'!$þ$212), "", 'Data Entry'!$þ$212)</f>
      </c>
      <c r="GI212">
        <f>IF(ISBLANK('Data Entry'!$ÿ$212), "", 'Data Entry'!$ÿ$212)</f>
      </c>
      <c r="GJ212">
        <f>IF(ISBLANK('Data Entry'!$Ā$212), "", 'Data Entry'!$Ā$212)</f>
      </c>
      <c r="GK212">
        <f>IF(ISBLANK('Data Entry'!$ā$212), "", 'Data Entry'!$ā$212)</f>
      </c>
      <c r="GL212">
        <f>IF(ISBLANK('Data Entry'!$Ă$212), "", 'Data Entry'!$Ă$212)</f>
      </c>
      <c r="GM212">
        <f>IF(ISBLANK('Data Entry'!$ă$212), "", 'Data Entry'!$ă$212)</f>
      </c>
      <c r="GN212">
        <f>IF(ISBLANK('Data Entry'!$Ą$212), "", 'Data Entry'!$Ą$212)</f>
      </c>
      <c r="GO212">
        <f>IF(ISBLANK('Data Entry'!$ą$212), "", 'Data Entry'!$ą$212)</f>
      </c>
      <c r="GP212">
        <f>IF(ISBLANK('Data Entry'!$Ć$212), "", 'Data Entry'!$Ć$212)</f>
      </c>
      <c r="GQ212">
        <f>IF(ISBLANK('Data Entry'!$ć$212), "", 'Data Entry'!$ć$212)</f>
      </c>
      <c r="GR212">
        <f>IF(ISBLANK('Data Entry'!$Ĉ$212), "", 'Data Entry'!$Ĉ$212)</f>
      </c>
      <c r="GS212">
        <f>IF(ISBLANK('Data Entry'!$ĉ$212), "", 'Data Entry'!$ĉ$212)</f>
      </c>
      <c r="GT212">
        <f>IF(ISBLANK('Data Entry'!$Ċ$212), "", 'Data Entry'!$Ċ$212)</f>
      </c>
      <c r="GU212">
        <f>IF(ISBLANK('Data Entry'!$ċ$212), "", 'Data Entry'!$ċ$212)</f>
      </c>
      <c r="GV212">
        <f>IF(ISBLANK('Data Entry'!$Č$212), "", 'Data Entry'!$Č$212)</f>
      </c>
      <c r="GW212">
        <f>IF(ISBLANK('Data Entry'!$č$212), "", 'Data Entry'!$č$212)</f>
      </c>
      <c r="GX212">
        <f>IF(ISBLANK('Data Entry'!$Ď$212), "", 'Data Entry'!$Ď$212)</f>
      </c>
      <c r="GY212">
        <f>IF(ISBLANK('Data Entry'!$ď$212), "", 'Data Entry'!$ď$212)</f>
      </c>
      <c r="GZ212">
        <f>IF(ISBLANK('Data Entry'!$Đ$212), "", 'Data Entry'!$Đ$212)</f>
      </c>
      <c r="HA212">
        <f>IF(ISBLANK('Data Entry'!$đ$212), "", 'Data Entry'!$đ$212)</f>
      </c>
      <c r="HB212">
        <f>IF(ISBLANK('Data Entry'!$Ē$212), "", 'Data Entry'!$Ē$212)</f>
      </c>
      <c r="HC212">
        <f>IF(ISBLANK('Data Entry'!$ē$212), "", 'Data Entry'!$ē$212)</f>
      </c>
      <c r="HD212">
        <f>IF(ISBLANK('Data Entry'!$Ĕ$212), "", 'Data Entry'!$Ĕ$212)</f>
      </c>
      <c r="HE212">
        <f>IF(ISBLANK('Data Entry'!$ĕ$212), "", 'Data Entry'!$ĕ$212)</f>
      </c>
      <c r="HF212">
        <f>IF(ISBLANK('Data Entry'!$Ė$212), "", 'Data Entry'!$Ė$212)</f>
      </c>
      <c r="HG212">
        <f>IF(ISBLANK('Data Entry'!$ė$212), "", 'Data Entry'!$ė$212)</f>
      </c>
      <c r="HH212">
        <f>IF(ISBLANK('Data Entry'!$Ę$212), "", 'Data Entry'!$Ę$212)</f>
      </c>
      <c r="HI212">
        <f>IF(ISBLANK('Data Entry'!$ę$212), "", 'Data Entry'!$ę$212)</f>
      </c>
      <c r="HJ212">
        <f>IF(ISBLANK('Data Entry'!$Ě$212), "", 'Data Entry'!$Ě$212)</f>
      </c>
      <c r="HK212">
        <f>IF(ISBLANK('Data Entry'!$ě$212), "", 'Data Entry'!$ě$212)</f>
      </c>
      <c r="HL212">
        <f>IF(ISBLANK('Data Entry'!$Ĝ$212), "", 'Data Entry'!$Ĝ$212)</f>
      </c>
      <c r="HM212">
        <f>IF(ISBLANK('Data Entry'!$ĝ$212), "", 'Data Entry'!$ĝ$212)</f>
      </c>
      <c r="HN212">
        <f>IF(ISBLANK('Data Entry'!$Ğ$212), "", 'Data Entry'!$Ğ$212)</f>
      </c>
      <c r="HO212">
        <f>IF(ISBLANK('Data Entry'!$ğ$212), "", 'Data Entry'!$ğ$212)</f>
      </c>
      <c r="HP212">
        <f>IF(ISBLANK('Data Entry'!$Ġ$212), "", 'Data Entry'!$Ġ$212)</f>
      </c>
      <c r="HQ212">
        <f>IF(ISBLANK('Data Entry'!$ġ$212), "", 'Data Entry'!$ġ$212)</f>
      </c>
      <c r="HR212">
        <f>IF(ISBLANK('Data Entry'!$Ģ$212), "", 'Data Entry'!$Ģ$212)</f>
      </c>
      <c r="HS212">
        <f>IF(ISBLANK('Data Entry'!$ģ$212), "", 'Data Entry'!$ģ$212)</f>
      </c>
      <c r="HT212">
        <f>IF(ISBLANK('Data Entry'!$Ĥ$212), "", 'Data Entry'!$Ĥ$212)</f>
      </c>
      <c r="HU212">
        <f>IF(ISBLANK('Data Entry'!$ĥ$212), "", 'Data Entry'!$ĥ$212)</f>
      </c>
      <c r="HV212">
        <f>IF(ISBLANK('Data Entry'!$Ħ$212), "", 'Data Entry'!$Ħ$212)</f>
      </c>
      <c r="HW212">
        <f>IF(ISBLANK('Data Entry'!$ħ$212), "", 'Data Entry'!$ħ$212)</f>
      </c>
      <c r="HX212">
        <f>IF(ISBLANK('Data Entry'!$Ĩ$212), "", 'Data Entry'!$Ĩ$212)</f>
      </c>
      <c r="HY212">
        <f>IF(ISBLANK('Data Entry'!$ĩ$212), "", 'Data Entry'!$ĩ$212)</f>
      </c>
      <c r="HZ212">
        <f>IF(ISBLANK('Data Entry'!$Ī$212), "", 'Data Entry'!$Ī$212)</f>
      </c>
      <c r="IA212">
        <f>IF(ISBLANK('Data Entry'!$ī$212), "", 'Data Entry'!$ī$212)</f>
      </c>
      <c r="IB212">
        <f>IF(ISBLANK('Data Entry'!$Ĭ$212), "", 'Data Entry'!$Ĭ$212)</f>
      </c>
      <c r="IC212">
        <f>IF(ISBLANK('Data Entry'!$ĭ$212), "", 'Data Entry'!$ĭ$212)</f>
      </c>
      <c r="ID212">
        <f>IF(ISBLANK('Data Entry'!$Į$212), "", 'Data Entry'!$Į$212)</f>
      </c>
      <c r="IE212">
        <f>IF(ISBLANK('Data Entry'!$į$212), "", 'Data Entry'!$į$212)</f>
      </c>
      <c r="IF212">
        <f>IF(ISBLANK('Data Entry'!$İ$212), "", 'Data Entry'!$İ$212)</f>
      </c>
      <c r="IG212">
        <f>IF(ISBLANK('Data Entry'!$ı$212), "", 'Data Entry'!$ı$212)</f>
      </c>
      <c r="IH212">
        <f>IF(ISBLANK('Data Entry'!$Ĳ$212), "", 'Data Entry'!$Ĳ$212)</f>
      </c>
      <c r="II212">
        <f>IF(ISBLANK('Data Entry'!$ĳ$212), "", 'Data Entry'!$ĳ$212)</f>
      </c>
      <c r="IJ212">
        <f>IF(ISBLANK('Data Entry'!$Ĵ$212), "", 'Data Entry'!$Ĵ$212)</f>
      </c>
      <c r="IK212">
        <f>IF(ISBLANK('Data Entry'!$ĵ$212), "", 'Data Entry'!$ĵ$212)</f>
      </c>
      <c r="IL212">
        <f>IF(ISBLANK('Data Entry'!$Ķ$212), "", 'Data Entry'!$Ķ$212)</f>
      </c>
      <c r="IM212">
        <f>IF(ISBLANK('Data Entry'!$ķ$212), "", 'Data Entry'!$ķ$212)</f>
      </c>
      <c r="IN212">
        <f>IF(ISBLANK('Data Entry'!$ĸ$212), "", 'Data Entry'!$ĸ$212)</f>
      </c>
      <c r="IO212">
        <f>IF(ISBLANK('Data Entry'!$Ĺ$212), "", 'Data Entry'!$Ĺ$212)</f>
      </c>
      <c r="IP212">
        <f>IF(ISBLANK('Data Entry'!$ĺ$212), "", 'Data Entry'!$ĺ$212)</f>
      </c>
      <c r="IQ212">
        <f>IF(ISBLANK('Data Entry'!$Ļ$212), "", 'Data Entry'!$Ļ$212)</f>
      </c>
      <c r="IR212">
        <f>IF(ISBLANK('Data Entry'!$ļ$212), "", 'Data Entry'!$ļ$212)</f>
      </c>
      <c r="IS212">
        <f>IF(ISBLANK('Data Entry'!$Ľ$212), "", 'Data Entry'!$Ľ$212)</f>
      </c>
      <c r="IT212">
        <f>IF(ISBLANK('Data Entry'!$ľ$212), "", 'Data Entry'!$ľ$212)</f>
      </c>
    </row>
    <row r="213" spans="1:254" x14ac:dyDescent="0.25">
      <c r="A213">
        <f>IF(ISBLANK('Data Entry'!$A$213), "", 'Data Entry'!$A$213)</f>
      </c>
      <c r="B213">
        <f>IF(ISBLANK('Data Entry'!$B$213), "", 'Data Entry'!$B$213)</f>
      </c>
      <c r="C213">
        <f>IF(ISBLANK('Data Entry'!$C$213), "", 'Data Entry'!$C$213)</f>
      </c>
      <c r="D213">
        <f>IF(ISBLANK('Data Entry'!$D$213), "", 'Data Entry'!$D$213)</f>
      </c>
      <c r="E213">
        <f>IF(ISBLANK('Data Entry'!$E$213), "", 'Data Entry'!$E$213)</f>
      </c>
      <c r="F213">
        <f>IF(ISBLANK('Data Entry'!$F$213), "", 'Data Entry'!$F$213)</f>
      </c>
      <c r="G213">
        <f>IF(ISBLANK('Data Entry'!$G$213), "", 'Data Entry'!$G$213)</f>
      </c>
      <c r="H213">
        <f>IF(ISBLANK('Data Entry'!$H$213), "", 'Data Entry'!$H$213)</f>
      </c>
      <c r="I213">
        <f>IF(ISBLANK('Data Entry'!$I$213), "", 'Data Entry'!$I$213)</f>
      </c>
      <c r="J213">
        <f>IF(ISBLANK('Data Entry'!$J$213), "", 'Data Entry'!$J$213)</f>
      </c>
      <c r="K213">
        <f>IF(ISBLANK('Data Entry'!$K$213), "", 'Data Entry'!$K$213)</f>
      </c>
      <c r="L213">
        <f>IF(ISBLANK('Data Entry'!$L$213), "", 'Data Entry'!$L$213)</f>
      </c>
      <c r="M213">
        <f>IF(ISBLANK('Data Entry'!$M$213), "", 'Data Entry'!$M$213)</f>
      </c>
      <c r="N213">
        <f>IF(ISBLANK('Data Entry'!$N$213), "", 'Data Entry'!$N$213)</f>
      </c>
      <c r="O213">
        <f>IF(ISBLANK('Data Entry'!$O$213), "", 'Data Entry'!$O$213)</f>
      </c>
      <c r="P213">
        <f>IF(ISBLANK('Data Entry'!$P$213), "", 'Data Entry'!$P$213)</f>
      </c>
      <c r="Q213">
        <f>IF(ISBLANK('Data Entry'!$Q$213), "", 'Data Entry'!$Q$213)</f>
      </c>
      <c r="R213">
        <f>IF(ISBLANK('Data Entry'!$R$213), "", 'Data Entry'!$R$213)</f>
      </c>
      <c r="S213">
        <f>IF(ISBLANK('Data Entry'!$S$213), "", 'Data Entry'!$S$213)</f>
      </c>
      <c r="T213">
        <f>IF(ISBLANK('Data Entry'!$T$213), "", 'Data Entry'!$T$213)</f>
      </c>
      <c r="U213">
        <f>IF(ISBLANK('Data Entry'!$U$213), "", 'Data Entry'!$U$213)</f>
      </c>
      <c r="V213">
        <f>IF(ISBLANK('Data Entry'!$V$213), "", 'Data Entry'!$V$213)</f>
      </c>
      <c r="W213">
        <f>IF(ISBLANK('Data Entry'!$W$213), "", 'Data Entry'!$W$213)</f>
      </c>
      <c r="X213">
        <f>IF(ISBLANK('Data Entry'!$X$213), "", 'Data Entry'!$X$213)</f>
      </c>
      <c r="Y213">
        <f>IF(ISBLANK('Data Entry'!$Y$213), "", 'Data Entry'!$Y$213)</f>
      </c>
      <c r="Z213">
        <f>IF(ISBLANK('Data Entry'!$Z$213), "", 'Data Entry'!$Z$213)</f>
      </c>
      <c r="AA213">
        <f>IF(ISBLANK('Data Entry'!$[$213), "", 'Data Entry'!$[$213)</f>
      </c>
      <c r="AB213">
        <f>IF(ISBLANK('Data Entry'!$\$213), "", 'Data Entry'!$\$213)</f>
      </c>
      <c r="AC213">
        <f>IF(ISBLANK('Data Entry'!$]$213), "", 'Data Entry'!$]$213)</f>
      </c>
      <c r="AD213">
        <f>IF(ISBLANK('Data Entry'!$^$213), "", 'Data Entry'!$^$213)</f>
      </c>
      <c r="AE213">
        <f>IF(ISBLANK('Data Entry'!$_$213), "", 'Data Entry'!$_$213)</f>
      </c>
      <c r="AF213">
        <f>IF(ISBLANK('Data Entry'!$`$213), "", 'Data Entry'!$`$213)</f>
      </c>
      <c r="AG213">
        <f>IF(ISBLANK('Data Entry'!$a$213), "", 'Data Entry'!$a$213)</f>
      </c>
      <c r="AH213">
        <f>IF(ISBLANK('Data Entry'!$b$213), "", 'Data Entry'!$b$213)</f>
      </c>
      <c r="AI213">
        <f>IF(ISBLANK('Data Entry'!$c$213), "", 'Data Entry'!$c$213)</f>
      </c>
      <c r="AJ213">
        <f>IF(ISBLANK('Data Entry'!$d$213), "", 'Data Entry'!$d$213)</f>
      </c>
      <c r="AK213">
        <f>IF(ISBLANK('Data Entry'!$e$213), "", 'Data Entry'!$e$213)</f>
      </c>
      <c r="AL213">
        <f>IF(ISBLANK('Data Entry'!$f$213), "", 'Data Entry'!$f$213)</f>
      </c>
      <c r="AM213">
        <f>IF(ISBLANK('Data Entry'!$g$213), "", 'Data Entry'!$g$213)</f>
      </c>
      <c r="AN213">
        <f>IF(ISBLANK('Data Entry'!$h$213), "", 'Data Entry'!$h$213)</f>
      </c>
      <c r="AO213">
        <f>IF(ISBLANK('Data Entry'!$i$213), "", 'Data Entry'!$i$213)</f>
      </c>
      <c r="AP213">
        <f>IF(ISBLANK('Data Entry'!$j$213), "", 'Data Entry'!$j$213)</f>
      </c>
      <c r="AQ213">
        <f>IF(ISBLANK('Data Entry'!$k$213), "", 'Data Entry'!$k$213)</f>
      </c>
      <c r="AR213">
        <f>IF(ISBLANK('Data Entry'!$l$213), "", 'Data Entry'!$l$213)</f>
      </c>
      <c r="AS213">
        <f>IF(ISBLANK('Data Entry'!$m$213), "", 'Data Entry'!$m$213)</f>
      </c>
      <c r="AT213">
        <f>IF(ISBLANK('Data Entry'!$n$213), "", 'Data Entry'!$n$213)</f>
      </c>
      <c r="AU213">
        <f>IF(ISBLANK('Data Entry'!$o$213), "", 'Data Entry'!$o$213)</f>
      </c>
      <c r="AV213">
        <f>IF(ISBLANK('Data Entry'!$p$213), "", 'Data Entry'!$p$213)</f>
      </c>
      <c r="AW213">
        <f>IF(ISBLANK('Data Entry'!$q$213), "", 'Data Entry'!$q$213)</f>
      </c>
      <c r="AX213">
        <f>IF(ISBLANK('Data Entry'!$r$213), "", 'Data Entry'!$r$213)</f>
      </c>
      <c r="AY213">
        <f>IF(ISBLANK('Data Entry'!$s$213), "", 'Data Entry'!$s$213)</f>
      </c>
      <c r="AZ213">
        <f>IF(ISBLANK('Data Entry'!$t$213), "", 'Data Entry'!$t$213)</f>
      </c>
      <c r="BA213">
        <f>IF(ISBLANK('Data Entry'!$u$213), "", 'Data Entry'!$u$213)</f>
      </c>
      <c r="BB213">
        <f>IF(ISBLANK('Data Entry'!$v$213), "", 'Data Entry'!$v$213)</f>
      </c>
      <c r="BC213">
        <f>IF(ISBLANK('Data Entry'!$w$213), "", 'Data Entry'!$w$213)</f>
      </c>
      <c r="BD213">
        <f>IF(ISBLANK('Data Entry'!$x$213), "", 'Data Entry'!$x$213)</f>
      </c>
      <c r="BE213">
        <f>IF(ISBLANK('Data Entry'!$y$213), "", 'Data Entry'!$y$213)</f>
      </c>
      <c r="BF213">
        <f>IF(ISBLANK('Data Entry'!$z$213), "", 'Data Entry'!$z$213)</f>
      </c>
      <c r="BG213">
        <f>IF(ISBLANK('Data Entry'!${$213), "", 'Data Entry'!${$213)</f>
      </c>
      <c r="BH213">
        <f>IF(ISBLANK('Data Entry'!$|$213), "", 'Data Entry'!$|$213)</f>
      </c>
      <c r="BI213">
        <f>IF(ISBLANK('Data Entry'!$}$213), "", 'Data Entry'!$}$213)</f>
      </c>
      <c r="BJ213">
        <f>IF(ISBLANK('Data Entry'!$~$213), "", 'Data Entry'!$~$213)</f>
      </c>
      <c r="BK213">
        <f>IF(ISBLANK('Data Entry'!$$213), "", 'Data Entry'!$$213)</f>
      </c>
      <c r="BL213">
        <f>IF(ISBLANK('Data Entry'!$$213), "", 'Data Entry'!$$213)</f>
      </c>
      <c r="BM213">
        <f>IF(ISBLANK('Data Entry'!$$213), "", 'Data Entry'!$$213)</f>
      </c>
      <c r="BN213">
        <f>IF(ISBLANK('Data Entry'!$$213), "", 'Data Entry'!$$213)</f>
      </c>
      <c r="BO213">
        <f>IF(ISBLANK('Data Entry'!$$213), "", 'Data Entry'!$$213)</f>
      </c>
      <c r="BP213">
        <f>IF(ISBLANK('Data Entry'!$$213), "", 'Data Entry'!$$213)</f>
      </c>
      <c r="BQ213">
        <f>IF(ISBLANK('Data Entry'!$$213), "", 'Data Entry'!$$213)</f>
      </c>
      <c r="BR213">
        <f>IF(ISBLANK('Data Entry'!$$213), "", 'Data Entry'!$$213)</f>
      </c>
      <c r="BS213">
        <f>IF(ISBLANK('Data Entry'!$$213), "", 'Data Entry'!$$213)</f>
      </c>
      <c r="BT213">
        <f>IF(ISBLANK('Data Entry'!$$213), "", 'Data Entry'!$$213)</f>
      </c>
      <c r="BU213">
        <f>IF(ISBLANK('Data Entry'!$$213), "", 'Data Entry'!$$213)</f>
      </c>
      <c r="BV213">
        <f>IF(ISBLANK('Data Entry'!$$213), "", 'Data Entry'!$$213)</f>
      </c>
      <c r="BW213">
        <f>IF(ISBLANK('Data Entry'!$$213), "", 'Data Entry'!$$213)</f>
      </c>
      <c r="BX213">
        <f>IF(ISBLANK('Data Entry'!$$213), "", 'Data Entry'!$$213)</f>
      </c>
      <c r="BY213">
        <f>IF(ISBLANK('Data Entry'!$$213), "", 'Data Entry'!$$213)</f>
      </c>
      <c r="BZ213">
        <f>IF(ISBLANK('Data Entry'!$$213), "", 'Data Entry'!$$213)</f>
      </c>
      <c r="CA213">
        <f>IF(ISBLANK('Data Entry'!$$213), "", 'Data Entry'!$$213)</f>
      </c>
      <c r="CB213">
        <f>IF(ISBLANK('Data Entry'!$$213), "", 'Data Entry'!$$213)</f>
      </c>
      <c r="CC213">
        <f>IF(ISBLANK('Data Entry'!$$213), "", 'Data Entry'!$$213)</f>
      </c>
      <c r="CD213">
        <f>IF(ISBLANK('Data Entry'!$$213), "", 'Data Entry'!$$213)</f>
      </c>
      <c r="CE213">
        <f>IF(ISBLANK('Data Entry'!$$213), "", 'Data Entry'!$$213)</f>
      </c>
      <c r="CF213">
        <f>IF(ISBLANK('Data Entry'!$$213), "", 'Data Entry'!$$213)</f>
      </c>
      <c r="CG213">
        <f>IF(ISBLANK('Data Entry'!$$213), "", 'Data Entry'!$$213)</f>
      </c>
      <c r="CH213">
        <f>IF(ISBLANK('Data Entry'!$$213), "", 'Data Entry'!$$213)</f>
      </c>
      <c r="CI213">
        <f>IF(ISBLANK('Data Entry'!$$213), "", 'Data Entry'!$$213)</f>
      </c>
      <c r="CJ213">
        <f>IF(ISBLANK('Data Entry'!$$213), "", 'Data Entry'!$$213)</f>
      </c>
      <c r="CK213">
        <f>IF(ISBLANK('Data Entry'!$$213), "", 'Data Entry'!$$213)</f>
      </c>
      <c r="CL213">
        <f>IF(ISBLANK('Data Entry'!$$213), "", 'Data Entry'!$$213)</f>
      </c>
      <c r="CM213">
        <f>IF(ISBLANK('Data Entry'!$$213), "", 'Data Entry'!$$213)</f>
      </c>
      <c r="CN213">
        <f>IF(ISBLANK('Data Entry'!$$213), "", 'Data Entry'!$$213)</f>
      </c>
      <c r="CO213">
        <f>IF(ISBLANK('Data Entry'!$$213), "", 'Data Entry'!$$213)</f>
      </c>
      <c r="CP213">
        <f>IF(ISBLANK('Data Entry'!$$213), "", 'Data Entry'!$$213)</f>
      </c>
      <c r="CQ213">
        <f>IF(ISBLANK('Data Entry'!$$213), "", 'Data Entry'!$$213)</f>
      </c>
      <c r="CR213">
        <f>IF(ISBLANK('Data Entry'!$ $213), "", 'Data Entry'!$ $213)</f>
      </c>
      <c r="CS213">
        <f>IF(ISBLANK('Data Entry'!$¡$213), "", 'Data Entry'!$¡$213)</f>
      </c>
      <c r="CT213">
        <f>IF(ISBLANK('Data Entry'!$¢$213), "", 'Data Entry'!$¢$213)</f>
      </c>
      <c r="CU213">
        <f>IF(ISBLANK('Data Entry'!$£$213), "", 'Data Entry'!$£$213)</f>
      </c>
      <c r="CV213">
        <f>IF(ISBLANK('Data Entry'!$¤$213), "", 'Data Entry'!$¤$213)</f>
      </c>
      <c r="CW213">
        <f>IF(ISBLANK('Data Entry'!$¥$213), "", 'Data Entry'!$¥$213)</f>
      </c>
      <c r="CX213">
        <f>IF(ISBLANK('Data Entry'!$¦$213), "", 'Data Entry'!$¦$213)</f>
      </c>
      <c r="CY213">
        <f>IF(ISBLANK('Data Entry'!$§$213), "", 'Data Entry'!$§$213)</f>
      </c>
      <c r="CZ213">
        <f>IF(ISBLANK('Data Entry'!$¨$213), "", 'Data Entry'!$¨$213)</f>
      </c>
      <c r="DA213">
        <f>IF(ISBLANK('Data Entry'!$©$213), "", 'Data Entry'!$©$213)</f>
      </c>
      <c r="DB213">
        <f>IF(ISBLANK('Data Entry'!$ª$213), "", 'Data Entry'!$ª$213)</f>
      </c>
      <c r="DC213">
        <f>IF(ISBLANK('Data Entry'!$«$213), "", 'Data Entry'!$«$213)</f>
      </c>
      <c r="DD213">
        <f>IF(ISBLANK('Data Entry'!$¬$213), "", 'Data Entry'!$¬$213)</f>
      </c>
      <c r="DE213">
        <f>IF(ISBLANK('Data Entry'!$­$213), "", 'Data Entry'!$­$213)</f>
      </c>
      <c r="DF213">
        <f>IF(ISBLANK('Data Entry'!$®$213), "", 'Data Entry'!$®$213)</f>
      </c>
      <c r="DG213">
        <f>IF(ISBLANK('Data Entry'!$¯$213), "", 'Data Entry'!$¯$213)</f>
      </c>
      <c r="DH213">
        <f>IF(ISBLANK('Data Entry'!$°$213), "", 'Data Entry'!$°$213)</f>
      </c>
      <c r="DI213">
        <f>IF(ISBLANK('Data Entry'!$±$213), "", 'Data Entry'!$±$213)</f>
      </c>
      <c r="DJ213">
        <f>IF(ISBLANK('Data Entry'!$²$213), "", 'Data Entry'!$²$213)</f>
      </c>
      <c r="DK213">
        <f>IF(ISBLANK('Data Entry'!$³$213), "", 'Data Entry'!$³$213)</f>
      </c>
      <c r="DL213">
        <f>IF(ISBLANK('Data Entry'!$´$213), "", 'Data Entry'!$´$213)</f>
      </c>
      <c r="DM213">
        <f>IF(ISBLANK('Data Entry'!$µ$213), "", 'Data Entry'!$µ$213)</f>
      </c>
      <c r="DN213">
        <f>IF(ISBLANK('Data Entry'!$¶$213), "", 'Data Entry'!$¶$213)</f>
      </c>
      <c r="DO213">
        <f>IF(ISBLANK('Data Entry'!$·$213), "", 'Data Entry'!$·$213)</f>
      </c>
      <c r="DP213">
        <f>IF(ISBLANK('Data Entry'!$¸$213), "", 'Data Entry'!$¸$213)</f>
      </c>
      <c r="DQ213">
        <f>IF(ISBLANK('Data Entry'!$¹$213), "", 'Data Entry'!$¹$213)</f>
      </c>
      <c r="DR213">
        <f>IF(ISBLANK('Data Entry'!$º$213), "", 'Data Entry'!$º$213)</f>
      </c>
      <c r="DS213">
        <f>IF(ISBLANK('Data Entry'!$»$213), "", 'Data Entry'!$»$213)</f>
      </c>
      <c r="DT213">
        <f>IF(ISBLANK('Data Entry'!$¼$213), "", 'Data Entry'!$¼$213)</f>
      </c>
      <c r="DU213">
        <f>IF(ISBLANK('Data Entry'!$½$213), "", 'Data Entry'!$½$213)</f>
      </c>
      <c r="DV213">
        <f>IF(ISBLANK('Data Entry'!$¾$213), "", 'Data Entry'!$¾$213)</f>
      </c>
      <c r="DW213">
        <f>IF(ISBLANK('Data Entry'!$¿$213), "", 'Data Entry'!$¿$213)</f>
      </c>
      <c r="DX213">
        <f>IF(ISBLANK('Data Entry'!$À$213), "", 'Data Entry'!$À$213)</f>
      </c>
      <c r="DY213">
        <f>IF(ISBLANK('Data Entry'!$Á$213), "", 'Data Entry'!$Á$213)</f>
      </c>
      <c r="DZ213">
        <f>IF(ISBLANK('Data Entry'!$Â$213), "", 'Data Entry'!$Â$213)</f>
      </c>
      <c r="EA213">
        <f>IF(ISBLANK('Data Entry'!$Ã$213), "", 'Data Entry'!$Ã$213)</f>
      </c>
      <c r="EB213">
        <f>IF(ISBLANK('Data Entry'!$Ä$213), "", 'Data Entry'!$Ä$213)</f>
      </c>
      <c r="EC213">
        <f>IF(ISBLANK('Data Entry'!$Å$213), "", 'Data Entry'!$Å$213)</f>
      </c>
      <c r="ED213">
        <f>IF(ISBLANK('Data Entry'!$Æ$213), "", 'Data Entry'!$Æ$213)</f>
      </c>
      <c r="EE213">
        <f>IF(ISBLANK('Data Entry'!$Ç$213), "", 'Data Entry'!$Ç$213)</f>
      </c>
      <c r="EF213">
        <f>IF(ISBLANK('Data Entry'!$È$213), "", 'Data Entry'!$È$213)</f>
      </c>
      <c r="EG213">
        <f>IF(ISBLANK('Data Entry'!$É$213), "", 'Data Entry'!$É$213)</f>
      </c>
      <c r="EH213">
        <f>IF(ISBLANK('Data Entry'!$Ê$213), "", 'Data Entry'!$Ê$213)</f>
      </c>
      <c r="EI213">
        <f>IF(ISBLANK('Data Entry'!$Ë$213), "", 'Data Entry'!$Ë$213)</f>
      </c>
      <c r="EJ213">
        <f>IF(ISBLANK('Data Entry'!$Ì$213), "", 'Data Entry'!$Ì$213)</f>
      </c>
      <c r="EK213">
        <f>IF(ISBLANK('Data Entry'!$Í$213), "", 'Data Entry'!$Í$213)</f>
      </c>
      <c r="EL213">
        <f>IF(ISBLANK('Data Entry'!$Î$213), "", 'Data Entry'!$Î$213)</f>
      </c>
      <c r="EM213">
        <f>IF(ISBLANK('Data Entry'!$Ï$213), "", 'Data Entry'!$Ï$213)</f>
      </c>
      <c r="EN213">
        <f>IF(ISBLANK('Data Entry'!$Ð$213), "", 'Data Entry'!$Ð$213)</f>
      </c>
      <c r="EO213">
        <f>IF(ISBLANK('Data Entry'!$Ñ$213), "", 'Data Entry'!$Ñ$213)</f>
      </c>
      <c r="EP213">
        <f>IF(ISBLANK('Data Entry'!$Ò$213), "", 'Data Entry'!$Ò$213)</f>
      </c>
      <c r="EQ213">
        <f>IF(ISBLANK('Data Entry'!$Ó$213), "", 'Data Entry'!$Ó$213)</f>
      </c>
      <c r="ER213">
        <f>IF(ISBLANK('Data Entry'!$Ô$213), "", 'Data Entry'!$Ô$213)</f>
      </c>
      <c r="ES213">
        <f>IF(ISBLANK('Data Entry'!$Õ$213), "", 'Data Entry'!$Õ$213)</f>
      </c>
      <c r="ET213">
        <f>IF(ISBLANK('Data Entry'!$Ö$213), "", 'Data Entry'!$Ö$213)</f>
      </c>
      <c r="EU213">
        <f>IF(ISBLANK('Data Entry'!$×$213), "", 'Data Entry'!$×$213)</f>
      </c>
      <c r="EV213">
        <f>IF(ISBLANK('Data Entry'!$Ø$213), "", 'Data Entry'!$Ø$213)</f>
      </c>
      <c r="EW213">
        <f>IF(ISBLANK('Data Entry'!$Ù$213), "", 'Data Entry'!$Ù$213)</f>
      </c>
      <c r="EX213">
        <f>IF(ISBLANK('Data Entry'!$Ú$213), "", 'Data Entry'!$Ú$213)</f>
      </c>
      <c r="EY213">
        <f>IF(ISBLANK('Data Entry'!$Û$213), "", 'Data Entry'!$Û$213)</f>
      </c>
      <c r="EZ213">
        <f>IF(ISBLANK('Data Entry'!$Ü$213), "", 'Data Entry'!$Ü$213)</f>
      </c>
      <c r="FA213">
        <f>IF(ISBLANK('Data Entry'!$Ý$213), "", 'Data Entry'!$Ý$213)</f>
      </c>
      <c r="FB213">
        <f>IF(ISBLANK('Data Entry'!$Þ$213), "", 'Data Entry'!$Þ$213)</f>
      </c>
      <c r="FC213">
        <f>IF(ISBLANK('Data Entry'!$ß$213), "", 'Data Entry'!$ß$213)</f>
      </c>
      <c r="FD213">
        <f>IF(ISBLANK('Data Entry'!$à$213), "", 'Data Entry'!$à$213)</f>
      </c>
      <c r="FE213">
        <f>IF(ISBLANK('Data Entry'!$á$213), "", 'Data Entry'!$á$213)</f>
      </c>
      <c r="FF213">
        <f>IF(ISBLANK('Data Entry'!$â$213), "", 'Data Entry'!$â$213)</f>
      </c>
      <c r="FG213">
        <f>IF(ISBLANK('Data Entry'!$ã$213), "", 'Data Entry'!$ã$213)</f>
      </c>
      <c r="FH213">
        <f>IF(ISBLANK('Data Entry'!$ä$213), "", 'Data Entry'!$ä$213)</f>
      </c>
      <c r="FI213">
        <f>IF(ISBLANK('Data Entry'!$å$213), "", 'Data Entry'!$å$213)</f>
      </c>
      <c r="FJ213">
        <f>IF(ISBLANK('Data Entry'!$æ$213), "", 'Data Entry'!$æ$213)</f>
      </c>
      <c r="FK213">
        <f>IF(ISBLANK('Data Entry'!$ç$213), "", 'Data Entry'!$ç$213)</f>
      </c>
      <c r="FL213">
        <f>IF(ISBLANK('Data Entry'!$è$213), "", 'Data Entry'!$è$213)</f>
      </c>
      <c r="FM213">
        <f>IF(ISBLANK('Data Entry'!$é$213), "", 'Data Entry'!$é$213)</f>
      </c>
      <c r="FN213">
        <f>IF(ISBLANK('Data Entry'!$ê$213), "", 'Data Entry'!$ê$213)</f>
      </c>
      <c r="FO213">
        <f>IF(ISBLANK('Data Entry'!$ë$213), "", 'Data Entry'!$ë$213)</f>
      </c>
      <c r="FP213">
        <f>IF(ISBLANK('Data Entry'!$ì$213), "", 'Data Entry'!$ì$213)</f>
      </c>
      <c r="FQ213">
        <f>IF(ISBLANK('Data Entry'!$í$213), "", 'Data Entry'!$í$213)</f>
      </c>
      <c r="FR213">
        <f>IF(ISBLANK('Data Entry'!$î$213), "", 'Data Entry'!$î$213)</f>
      </c>
      <c r="FS213">
        <f>IF(ISBLANK('Data Entry'!$ï$213), "", 'Data Entry'!$ï$213)</f>
      </c>
      <c r="FT213">
        <f>IF(ISBLANK('Data Entry'!$ð$213), "", 'Data Entry'!$ð$213)</f>
      </c>
      <c r="FU213">
        <f>IF(ISBLANK('Data Entry'!$ñ$213), "", 'Data Entry'!$ñ$213)</f>
      </c>
      <c r="FV213">
        <f>IF(ISBLANK('Data Entry'!$ò$213), "", 'Data Entry'!$ò$213)</f>
      </c>
      <c r="FW213">
        <f>IF(ISBLANK('Data Entry'!$ó$213), "", 'Data Entry'!$ó$213)</f>
      </c>
      <c r="FX213">
        <f>IF(ISBLANK('Data Entry'!$ô$213), "", 'Data Entry'!$ô$213)</f>
      </c>
      <c r="FY213">
        <f>IF(ISBLANK('Data Entry'!$õ$213), "", 'Data Entry'!$õ$213)</f>
      </c>
      <c r="FZ213">
        <f>IF(ISBLANK('Data Entry'!$ö$213), "", 'Data Entry'!$ö$213)</f>
      </c>
      <c r="GA213">
        <f>IF(ISBLANK('Data Entry'!$÷$213), "", 'Data Entry'!$÷$213)</f>
      </c>
      <c r="GB213">
        <f>IF(ISBLANK('Data Entry'!$ø$213), "", 'Data Entry'!$ø$213)</f>
      </c>
      <c r="GC213">
        <f>IF(ISBLANK('Data Entry'!$ù$213), "", 'Data Entry'!$ù$213)</f>
      </c>
      <c r="GD213">
        <f>IF(ISBLANK('Data Entry'!$ú$213), "", 'Data Entry'!$ú$213)</f>
      </c>
      <c r="GE213">
        <f>IF(ISBLANK('Data Entry'!$û$213), "", 'Data Entry'!$û$213)</f>
      </c>
      <c r="GF213">
        <f>IF(ISBLANK('Data Entry'!$ü$213), "", 'Data Entry'!$ü$213)</f>
      </c>
      <c r="GG213">
        <f>IF(ISBLANK('Data Entry'!$ý$213), "", 'Data Entry'!$ý$213)</f>
      </c>
      <c r="GH213">
        <f>IF(ISBLANK('Data Entry'!$þ$213), "", 'Data Entry'!$þ$213)</f>
      </c>
      <c r="GI213">
        <f>IF(ISBLANK('Data Entry'!$ÿ$213), "", 'Data Entry'!$ÿ$213)</f>
      </c>
      <c r="GJ213">
        <f>IF(ISBLANK('Data Entry'!$Ā$213), "", 'Data Entry'!$Ā$213)</f>
      </c>
      <c r="GK213">
        <f>IF(ISBLANK('Data Entry'!$ā$213), "", 'Data Entry'!$ā$213)</f>
      </c>
      <c r="GL213">
        <f>IF(ISBLANK('Data Entry'!$Ă$213), "", 'Data Entry'!$Ă$213)</f>
      </c>
      <c r="GM213">
        <f>IF(ISBLANK('Data Entry'!$ă$213), "", 'Data Entry'!$ă$213)</f>
      </c>
      <c r="GN213">
        <f>IF(ISBLANK('Data Entry'!$Ą$213), "", 'Data Entry'!$Ą$213)</f>
      </c>
      <c r="GO213">
        <f>IF(ISBLANK('Data Entry'!$ą$213), "", 'Data Entry'!$ą$213)</f>
      </c>
      <c r="GP213">
        <f>IF(ISBLANK('Data Entry'!$Ć$213), "", 'Data Entry'!$Ć$213)</f>
      </c>
      <c r="GQ213">
        <f>IF(ISBLANK('Data Entry'!$ć$213), "", 'Data Entry'!$ć$213)</f>
      </c>
      <c r="GR213">
        <f>IF(ISBLANK('Data Entry'!$Ĉ$213), "", 'Data Entry'!$Ĉ$213)</f>
      </c>
      <c r="GS213">
        <f>IF(ISBLANK('Data Entry'!$ĉ$213), "", 'Data Entry'!$ĉ$213)</f>
      </c>
      <c r="GT213">
        <f>IF(ISBLANK('Data Entry'!$Ċ$213), "", 'Data Entry'!$Ċ$213)</f>
      </c>
      <c r="GU213">
        <f>IF(ISBLANK('Data Entry'!$ċ$213), "", 'Data Entry'!$ċ$213)</f>
      </c>
      <c r="GV213">
        <f>IF(ISBLANK('Data Entry'!$Č$213), "", 'Data Entry'!$Č$213)</f>
      </c>
      <c r="GW213">
        <f>IF(ISBLANK('Data Entry'!$č$213), "", 'Data Entry'!$č$213)</f>
      </c>
      <c r="GX213">
        <f>IF(ISBLANK('Data Entry'!$Ď$213), "", 'Data Entry'!$Ď$213)</f>
      </c>
      <c r="GY213">
        <f>IF(ISBLANK('Data Entry'!$ď$213), "", 'Data Entry'!$ď$213)</f>
      </c>
      <c r="GZ213">
        <f>IF(ISBLANK('Data Entry'!$Đ$213), "", 'Data Entry'!$Đ$213)</f>
      </c>
      <c r="HA213">
        <f>IF(ISBLANK('Data Entry'!$đ$213), "", 'Data Entry'!$đ$213)</f>
      </c>
      <c r="HB213">
        <f>IF(ISBLANK('Data Entry'!$Ē$213), "", 'Data Entry'!$Ē$213)</f>
      </c>
      <c r="HC213">
        <f>IF(ISBLANK('Data Entry'!$ē$213), "", 'Data Entry'!$ē$213)</f>
      </c>
      <c r="HD213">
        <f>IF(ISBLANK('Data Entry'!$Ĕ$213), "", 'Data Entry'!$Ĕ$213)</f>
      </c>
      <c r="HE213">
        <f>IF(ISBLANK('Data Entry'!$ĕ$213), "", 'Data Entry'!$ĕ$213)</f>
      </c>
      <c r="HF213">
        <f>IF(ISBLANK('Data Entry'!$Ė$213), "", 'Data Entry'!$Ė$213)</f>
      </c>
      <c r="HG213">
        <f>IF(ISBLANK('Data Entry'!$ė$213), "", 'Data Entry'!$ė$213)</f>
      </c>
      <c r="HH213">
        <f>IF(ISBLANK('Data Entry'!$Ę$213), "", 'Data Entry'!$Ę$213)</f>
      </c>
      <c r="HI213">
        <f>IF(ISBLANK('Data Entry'!$ę$213), "", 'Data Entry'!$ę$213)</f>
      </c>
      <c r="HJ213">
        <f>IF(ISBLANK('Data Entry'!$Ě$213), "", 'Data Entry'!$Ě$213)</f>
      </c>
      <c r="HK213">
        <f>IF(ISBLANK('Data Entry'!$ě$213), "", 'Data Entry'!$ě$213)</f>
      </c>
      <c r="HL213">
        <f>IF(ISBLANK('Data Entry'!$Ĝ$213), "", 'Data Entry'!$Ĝ$213)</f>
      </c>
      <c r="HM213">
        <f>IF(ISBLANK('Data Entry'!$ĝ$213), "", 'Data Entry'!$ĝ$213)</f>
      </c>
      <c r="HN213">
        <f>IF(ISBLANK('Data Entry'!$Ğ$213), "", 'Data Entry'!$Ğ$213)</f>
      </c>
      <c r="HO213">
        <f>IF(ISBLANK('Data Entry'!$ğ$213), "", 'Data Entry'!$ğ$213)</f>
      </c>
      <c r="HP213">
        <f>IF(ISBLANK('Data Entry'!$Ġ$213), "", 'Data Entry'!$Ġ$213)</f>
      </c>
      <c r="HQ213">
        <f>IF(ISBLANK('Data Entry'!$ġ$213), "", 'Data Entry'!$ġ$213)</f>
      </c>
      <c r="HR213">
        <f>IF(ISBLANK('Data Entry'!$Ģ$213), "", 'Data Entry'!$Ģ$213)</f>
      </c>
      <c r="HS213">
        <f>IF(ISBLANK('Data Entry'!$ģ$213), "", 'Data Entry'!$ģ$213)</f>
      </c>
      <c r="HT213">
        <f>IF(ISBLANK('Data Entry'!$Ĥ$213), "", 'Data Entry'!$Ĥ$213)</f>
      </c>
      <c r="HU213">
        <f>IF(ISBLANK('Data Entry'!$ĥ$213), "", 'Data Entry'!$ĥ$213)</f>
      </c>
      <c r="HV213">
        <f>IF(ISBLANK('Data Entry'!$Ħ$213), "", 'Data Entry'!$Ħ$213)</f>
      </c>
      <c r="HW213">
        <f>IF(ISBLANK('Data Entry'!$ħ$213), "", 'Data Entry'!$ħ$213)</f>
      </c>
      <c r="HX213">
        <f>IF(ISBLANK('Data Entry'!$Ĩ$213), "", 'Data Entry'!$Ĩ$213)</f>
      </c>
      <c r="HY213">
        <f>IF(ISBLANK('Data Entry'!$ĩ$213), "", 'Data Entry'!$ĩ$213)</f>
      </c>
      <c r="HZ213">
        <f>IF(ISBLANK('Data Entry'!$Ī$213), "", 'Data Entry'!$Ī$213)</f>
      </c>
      <c r="IA213">
        <f>IF(ISBLANK('Data Entry'!$ī$213), "", 'Data Entry'!$ī$213)</f>
      </c>
      <c r="IB213">
        <f>IF(ISBLANK('Data Entry'!$Ĭ$213), "", 'Data Entry'!$Ĭ$213)</f>
      </c>
      <c r="IC213">
        <f>IF(ISBLANK('Data Entry'!$ĭ$213), "", 'Data Entry'!$ĭ$213)</f>
      </c>
      <c r="ID213">
        <f>IF(ISBLANK('Data Entry'!$Į$213), "", 'Data Entry'!$Į$213)</f>
      </c>
      <c r="IE213">
        <f>IF(ISBLANK('Data Entry'!$į$213), "", 'Data Entry'!$į$213)</f>
      </c>
      <c r="IF213">
        <f>IF(ISBLANK('Data Entry'!$İ$213), "", 'Data Entry'!$İ$213)</f>
      </c>
      <c r="IG213">
        <f>IF(ISBLANK('Data Entry'!$ı$213), "", 'Data Entry'!$ı$213)</f>
      </c>
      <c r="IH213">
        <f>IF(ISBLANK('Data Entry'!$Ĳ$213), "", 'Data Entry'!$Ĳ$213)</f>
      </c>
      <c r="II213">
        <f>IF(ISBLANK('Data Entry'!$ĳ$213), "", 'Data Entry'!$ĳ$213)</f>
      </c>
      <c r="IJ213">
        <f>IF(ISBLANK('Data Entry'!$Ĵ$213), "", 'Data Entry'!$Ĵ$213)</f>
      </c>
      <c r="IK213">
        <f>IF(ISBLANK('Data Entry'!$ĵ$213), "", 'Data Entry'!$ĵ$213)</f>
      </c>
      <c r="IL213">
        <f>IF(ISBLANK('Data Entry'!$Ķ$213), "", 'Data Entry'!$Ķ$213)</f>
      </c>
      <c r="IM213">
        <f>IF(ISBLANK('Data Entry'!$ķ$213), "", 'Data Entry'!$ķ$213)</f>
      </c>
      <c r="IN213">
        <f>IF(ISBLANK('Data Entry'!$ĸ$213), "", 'Data Entry'!$ĸ$213)</f>
      </c>
      <c r="IO213">
        <f>IF(ISBLANK('Data Entry'!$Ĺ$213), "", 'Data Entry'!$Ĺ$213)</f>
      </c>
      <c r="IP213">
        <f>IF(ISBLANK('Data Entry'!$ĺ$213), "", 'Data Entry'!$ĺ$213)</f>
      </c>
      <c r="IQ213">
        <f>IF(ISBLANK('Data Entry'!$Ļ$213), "", 'Data Entry'!$Ļ$213)</f>
      </c>
      <c r="IR213">
        <f>IF(ISBLANK('Data Entry'!$ļ$213), "", 'Data Entry'!$ļ$213)</f>
      </c>
      <c r="IS213">
        <f>IF(ISBLANK('Data Entry'!$Ľ$213), "", 'Data Entry'!$Ľ$213)</f>
      </c>
      <c r="IT213">
        <f>IF(ISBLANK('Data Entry'!$ľ$213), "", 'Data Entry'!$ľ$213)</f>
      </c>
    </row>
    <row r="214" spans="1:254" x14ac:dyDescent="0.25">
      <c r="A214">
        <f>IF(ISBLANK('Data Entry'!$A$214), "", 'Data Entry'!$A$214)</f>
      </c>
      <c r="B214">
        <f>IF(ISBLANK('Data Entry'!$B$214), "", 'Data Entry'!$B$214)</f>
      </c>
      <c r="C214">
        <f>IF(ISBLANK('Data Entry'!$C$214), "", 'Data Entry'!$C$214)</f>
      </c>
      <c r="D214">
        <f>IF(ISBLANK('Data Entry'!$D$214), "", 'Data Entry'!$D$214)</f>
      </c>
      <c r="E214">
        <f>IF(ISBLANK('Data Entry'!$E$214), "", 'Data Entry'!$E$214)</f>
      </c>
      <c r="F214">
        <f>IF(ISBLANK('Data Entry'!$F$214), "", 'Data Entry'!$F$214)</f>
      </c>
      <c r="G214">
        <f>IF(ISBLANK('Data Entry'!$G$214), "", 'Data Entry'!$G$214)</f>
      </c>
      <c r="H214">
        <f>IF(ISBLANK('Data Entry'!$H$214), "", 'Data Entry'!$H$214)</f>
      </c>
      <c r="I214">
        <f>IF(ISBLANK('Data Entry'!$I$214), "", 'Data Entry'!$I$214)</f>
      </c>
      <c r="J214">
        <f>IF(ISBLANK('Data Entry'!$J$214), "", 'Data Entry'!$J$214)</f>
      </c>
      <c r="K214">
        <f>IF(ISBLANK('Data Entry'!$K$214), "", 'Data Entry'!$K$214)</f>
      </c>
      <c r="L214">
        <f>IF(ISBLANK('Data Entry'!$L$214), "", 'Data Entry'!$L$214)</f>
      </c>
      <c r="M214">
        <f>IF(ISBLANK('Data Entry'!$M$214), "", 'Data Entry'!$M$214)</f>
      </c>
      <c r="N214">
        <f>IF(ISBLANK('Data Entry'!$N$214), "", 'Data Entry'!$N$214)</f>
      </c>
      <c r="O214">
        <f>IF(ISBLANK('Data Entry'!$O$214), "", 'Data Entry'!$O$214)</f>
      </c>
      <c r="P214">
        <f>IF(ISBLANK('Data Entry'!$P$214), "", 'Data Entry'!$P$214)</f>
      </c>
      <c r="Q214">
        <f>IF(ISBLANK('Data Entry'!$Q$214), "", 'Data Entry'!$Q$214)</f>
      </c>
      <c r="R214">
        <f>IF(ISBLANK('Data Entry'!$R$214), "", 'Data Entry'!$R$214)</f>
      </c>
      <c r="S214">
        <f>IF(ISBLANK('Data Entry'!$S$214), "", 'Data Entry'!$S$214)</f>
      </c>
      <c r="T214">
        <f>IF(ISBLANK('Data Entry'!$T$214), "", 'Data Entry'!$T$214)</f>
      </c>
      <c r="U214">
        <f>IF(ISBLANK('Data Entry'!$U$214), "", 'Data Entry'!$U$214)</f>
      </c>
      <c r="V214">
        <f>IF(ISBLANK('Data Entry'!$V$214), "", 'Data Entry'!$V$214)</f>
      </c>
      <c r="W214">
        <f>IF(ISBLANK('Data Entry'!$W$214), "", 'Data Entry'!$W$214)</f>
      </c>
      <c r="X214">
        <f>IF(ISBLANK('Data Entry'!$X$214), "", 'Data Entry'!$X$214)</f>
      </c>
      <c r="Y214">
        <f>IF(ISBLANK('Data Entry'!$Y$214), "", 'Data Entry'!$Y$214)</f>
      </c>
      <c r="Z214">
        <f>IF(ISBLANK('Data Entry'!$Z$214), "", 'Data Entry'!$Z$214)</f>
      </c>
      <c r="AA214">
        <f>IF(ISBLANK('Data Entry'!$[$214), "", 'Data Entry'!$[$214)</f>
      </c>
      <c r="AB214">
        <f>IF(ISBLANK('Data Entry'!$\$214), "", 'Data Entry'!$\$214)</f>
      </c>
      <c r="AC214">
        <f>IF(ISBLANK('Data Entry'!$]$214), "", 'Data Entry'!$]$214)</f>
      </c>
      <c r="AD214">
        <f>IF(ISBLANK('Data Entry'!$^$214), "", 'Data Entry'!$^$214)</f>
      </c>
      <c r="AE214">
        <f>IF(ISBLANK('Data Entry'!$_$214), "", 'Data Entry'!$_$214)</f>
      </c>
      <c r="AF214">
        <f>IF(ISBLANK('Data Entry'!$`$214), "", 'Data Entry'!$`$214)</f>
      </c>
      <c r="AG214">
        <f>IF(ISBLANK('Data Entry'!$a$214), "", 'Data Entry'!$a$214)</f>
      </c>
      <c r="AH214">
        <f>IF(ISBLANK('Data Entry'!$b$214), "", 'Data Entry'!$b$214)</f>
      </c>
      <c r="AI214">
        <f>IF(ISBLANK('Data Entry'!$c$214), "", 'Data Entry'!$c$214)</f>
      </c>
      <c r="AJ214">
        <f>IF(ISBLANK('Data Entry'!$d$214), "", 'Data Entry'!$d$214)</f>
      </c>
      <c r="AK214">
        <f>IF(ISBLANK('Data Entry'!$e$214), "", 'Data Entry'!$e$214)</f>
      </c>
      <c r="AL214">
        <f>IF(ISBLANK('Data Entry'!$f$214), "", 'Data Entry'!$f$214)</f>
      </c>
      <c r="AM214">
        <f>IF(ISBLANK('Data Entry'!$g$214), "", 'Data Entry'!$g$214)</f>
      </c>
      <c r="AN214">
        <f>IF(ISBLANK('Data Entry'!$h$214), "", 'Data Entry'!$h$214)</f>
      </c>
      <c r="AO214">
        <f>IF(ISBLANK('Data Entry'!$i$214), "", 'Data Entry'!$i$214)</f>
      </c>
      <c r="AP214">
        <f>IF(ISBLANK('Data Entry'!$j$214), "", 'Data Entry'!$j$214)</f>
      </c>
      <c r="AQ214">
        <f>IF(ISBLANK('Data Entry'!$k$214), "", 'Data Entry'!$k$214)</f>
      </c>
      <c r="AR214">
        <f>IF(ISBLANK('Data Entry'!$l$214), "", 'Data Entry'!$l$214)</f>
      </c>
      <c r="AS214">
        <f>IF(ISBLANK('Data Entry'!$m$214), "", 'Data Entry'!$m$214)</f>
      </c>
      <c r="AT214">
        <f>IF(ISBLANK('Data Entry'!$n$214), "", 'Data Entry'!$n$214)</f>
      </c>
      <c r="AU214">
        <f>IF(ISBLANK('Data Entry'!$o$214), "", 'Data Entry'!$o$214)</f>
      </c>
      <c r="AV214">
        <f>IF(ISBLANK('Data Entry'!$p$214), "", 'Data Entry'!$p$214)</f>
      </c>
      <c r="AW214">
        <f>IF(ISBLANK('Data Entry'!$q$214), "", 'Data Entry'!$q$214)</f>
      </c>
      <c r="AX214">
        <f>IF(ISBLANK('Data Entry'!$r$214), "", 'Data Entry'!$r$214)</f>
      </c>
      <c r="AY214">
        <f>IF(ISBLANK('Data Entry'!$s$214), "", 'Data Entry'!$s$214)</f>
      </c>
      <c r="AZ214">
        <f>IF(ISBLANK('Data Entry'!$t$214), "", 'Data Entry'!$t$214)</f>
      </c>
      <c r="BA214">
        <f>IF(ISBLANK('Data Entry'!$u$214), "", 'Data Entry'!$u$214)</f>
      </c>
      <c r="BB214">
        <f>IF(ISBLANK('Data Entry'!$v$214), "", 'Data Entry'!$v$214)</f>
      </c>
      <c r="BC214">
        <f>IF(ISBLANK('Data Entry'!$w$214), "", 'Data Entry'!$w$214)</f>
      </c>
      <c r="BD214">
        <f>IF(ISBLANK('Data Entry'!$x$214), "", 'Data Entry'!$x$214)</f>
      </c>
      <c r="BE214">
        <f>IF(ISBLANK('Data Entry'!$y$214), "", 'Data Entry'!$y$214)</f>
      </c>
      <c r="BF214">
        <f>IF(ISBLANK('Data Entry'!$z$214), "", 'Data Entry'!$z$214)</f>
      </c>
      <c r="BG214">
        <f>IF(ISBLANK('Data Entry'!${$214), "", 'Data Entry'!${$214)</f>
      </c>
      <c r="BH214">
        <f>IF(ISBLANK('Data Entry'!$|$214), "", 'Data Entry'!$|$214)</f>
      </c>
      <c r="BI214">
        <f>IF(ISBLANK('Data Entry'!$}$214), "", 'Data Entry'!$}$214)</f>
      </c>
      <c r="BJ214">
        <f>IF(ISBLANK('Data Entry'!$~$214), "", 'Data Entry'!$~$214)</f>
      </c>
      <c r="BK214">
        <f>IF(ISBLANK('Data Entry'!$$214), "", 'Data Entry'!$$214)</f>
      </c>
      <c r="BL214">
        <f>IF(ISBLANK('Data Entry'!$$214), "", 'Data Entry'!$$214)</f>
      </c>
      <c r="BM214">
        <f>IF(ISBLANK('Data Entry'!$$214), "", 'Data Entry'!$$214)</f>
      </c>
      <c r="BN214">
        <f>IF(ISBLANK('Data Entry'!$$214), "", 'Data Entry'!$$214)</f>
      </c>
      <c r="BO214">
        <f>IF(ISBLANK('Data Entry'!$$214), "", 'Data Entry'!$$214)</f>
      </c>
      <c r="BP214">
        <f>IF(ISBLANK('Data Entry'!$$214), "", 'Data Entry'!$$214)</f>
      </c>
      <c r="BQ214">
        <f>IF(ISBLANK('Data Entry'!$$214), "", 'Data Entry'!$$214)</f>
      </c>
      <c r="BR214">
        <f>IF(ISBLANK('Data Entry'!$$214), "", 'Data Entry'!$$214)</f>
      </c>
      <c r="BS214">
        <f>IF(ISBLANK('Data Entry'!$$214), "", 'Data Entry'!$$214)</f>
      </c>
      <c r="BT214">
        <f>IF(ISBLANK('Data Entry'!$$214), "", 'Data Entry'!$$214)</f>
      </c>
      <c r="BU214">
        <f>IF(ISBLANK('Data Entry'!$$214), "", 'Data Entry'!$$214)</f>
      </c>
      <c r="BV214">
        <f>IF(ISBLANK('Data Entry'!$$214), "", 'Data Entry'!$$214)</f>
      </c>
      <c r="BW214">
        <f>IF(ISBLANK('Data Entry'!$$214), "", 'Data Entry'!$$214)</f>
      </c>
      <c r="BX214">
        <f>IF(ISBLANK('Data Entry'!$$214), "", 'Data Entry'!$$214)</f>
      </c>
      <c r="BY214">
        <f>IF(ISBLANK('Data Entry'!$$214), "", 'Data Entry'!$$214)</f>
      </c>
      <c r="BZ214">
        <f>IF(ISBLANK('Data Entry'!$$214), "", 'Data Entry'!$$214)</f>
      </c>
      <c r="CA214">
        <f>IF(ISBLANK('Data Entry'!$$214), "", 'Data Entry'!$$214)</f>
      </c>
      <c r="CB214">
        <f>IF(ISBLANK('Data Entry'!$$214), "", 'Data Entry'!$$214)</f>
      </c>
      <c r="CC214">
        <f>IF(ISBLANK('Data Entry'!$$214), "", 'Data Entry'!$$214)</f>
      </c>
      <c r="CD214">
        <f>IF(ISBLANK('Data Entry'!$$214), "", 'Data Entry'!$$214)</f>
      </c>
      <c r="CE214">
        <f>IF(ISBLANK('Data Entry'!$$214), "", 'Data Entry'!$$214)</f>
      </c>
      <c r="CF214">
        <f>IF(ISBLANK('Data Entry'!$$214), "", 'Data Entry'!$$214)</f>
      </c>
      <c r="CG214">
        <f>IF(ISBLANK('Data Entry'!$$214), "", 'Data Entry'!$$214)</f>
      </c>
      <c r="CH214">
        <f>IF(ISBLANK('Data Entry'!$$214), "", 'Data Entry'!$$214)</f>
      </c>
      <c r="CI214">
        <f>IF(ISBLANK('Data Entry'!$$214), "", 'Data Entry'!$$214)</f>
      </c>
      <c r="CJ214">
        <f>IF(ISBLANK('Data Entry'!$$214), "", 'Data Entry'!$$214)</f>
      </c>
      <c r="CK214">
        <f>IF(ISBLANK('Data Entry'!$$214), "", 'Data Entry'!$$214)</f>
      </c>
      <c r="CL214">
        <f>IF(ISBLANK('Data Entry'!$$214), "", 'Data Entry'!$$214)</f>
      </c>
      <c r="CM214">
        <f>IF(ISBLANK('Data Entry'!$$214), "", 'Data Entry'!$$214)</f>
      </c>
      <c r="CN214">
        <f>IF(ISBLANK('Data Entry'!$$214), "", 'Data Entry'!$$214)</f>
      </c>
      <c r="CO214">
        <f>IF(ISBLANK('Data Entry'!$$214), "", 'Data Entry'!$$214)</f>
      </c>
      <c r="CP214">
        <f>IF(ISBLANK('Data Entry'!$$214), "", 'Data Entry'!$$214)</f>
      </c>
      <c r="CQ214">
        <f>IF(ISBLANK('Data Entry'!$$214), "", 'Data Entry'!$$214)</f>
      </c>
      <c r="CR214">
        <f>IF(ISBLANK('Data Entry'!$ $214), "", 'Data Entry'!$ $214)</f>
      </c>
      <c r="CS214">
        <f>IF(ISBLANK('Data Entry'!$¡$214), "", 'Data Entry'!$¡$214)</f>
      </c>
      <c r="CT214">
        <f>IF(ISBLANK('Data Entry'!$¢$214), "", 'Data Entry'!$¢$214)</f>
      </c>
      <c r="CU214">
        <f>IF(ISBLANK('Data Entry'!$£$214), "", 'Data Entry'!$£$214)</f>
      </c>
      <c r="CV214">
        <f>IF(ISBLANK('Data Entry'!$¤$214), "", 'Data Entry'!$¤$214)</f>
      </c>
      <c r="CW214">
        <f>IF(ISBLANK('Data Entry'!$¥$214), "", 'Data Entry'!$¥$214)</f>
      </c>
      <c r="CX214">
        <f>IF(ISBLANK('Data Entry'!$¦$214), "", 'Data Entry'!$¦$214)</f>
      </c>
      <c r="CY214">
        <f>IF(ISBLANK('Data Entry'!$§$214), "", 'Data Entry'!$§$214)</f>
      </c>
      <c r="CZ214">
        <f>IF(ISBLANK('Data Entry'!$¨$214), "", 'Data Entry'!$¨$214)</f>
      </c>
      <c r="DA214">
        <f>IF(ISBLANK('Data Entry'!$©$214), "", 'Data Entry'!$©$214)</f>
      </c>
      <c r="DB214">
        <f>IF(ISBLANK('Data Entry'!$ª$214), "", 'Data Entry'!$ª$214)</f>
      </c>
      <c r="DC214">
        <f>IF(ISBLANK('Data Entry'!$«$214), "", 'Data Entry'!$«$214)</f>
      </c>
      <c r="DD214">
        <f>IF(ISBLANK('Data Entry'!$¬$214), "", 'Data Entry'!$¬$214)</f>
      </c>
      <c r="DE214">
        <f>IF(ISBLANK('Data Entry'!$­$214), "", 'Data Entry'!$­$214)</f>
      </c>
      <c r="DF214">
        <f>IF(ISBLANK('Data Entry'!$®$214), "", 'Data Entry'!$®$214)</f>
      </c>
      <c r="DG214">
        <f>IF(ISBLANK('Data Entry'!$¯$214), "", 'Data Entry'!$¯$214)</f>
      </c>
      <c r="DH214">
        <f>IF(ISBLANK('Data Entry'!$°$214), "", 'Data Entry'!$°$214)</f>
      </c>
      <c r="DI214">
        <f>IF(ISBLANK('Data Entry'!$±$214), "", 'Data Entry'!$±$214)</f>
      </c>
      <c r="DJ214">
        <f>IF(ISBLANK('Data Entry'!$²$214), "", 'Data Entry'!$²$214)</f>
      </c>
      <c r="DK214">
        <f>IF(ISBLANK('Data Entry'!$³$214), "", 'Data Entry'!$³$214)</f>
      </c>
      <c r="DL214">
        <f>IF(ISBLANK('Data Entry'!$´$214), "", 'Data Entry'!$´$214)</f>
      </c>
      <c r="DM214">
        <f>IF(ISBLANK('Data Entry'!$µ$214), "", 'Data Entry'!$µ$214)</f>
      </c>
      <c r="DN214">
        <f>IF(ISBLANK('Data Entry'!$¶$214), "", 'Data Entry'!$¶$214)</f>
      </c>
      <c r="DO214">
        <f>IF(ISBLANK('Data Entry'!$·$214), "", 'Data Entry'!$·$214)</f>
      </c>
      <c r="DP214">
        <f>IF(ISBLANK('Data Entry'!$¸$214), "", 'Data Entry'!$¸$214)</f>
      </c>
      <c r="DQ214">
        <f>IF(ISBLANK('Data Entry'!$¹$214), "", 'Data Entry'!$¹$214)</f>
      </c>
      <c r="DR214">
        <f>IF(ISBLANK('Data Entry'!$º$214), "", 'Data Entry'!$º$214)</f>
      </c>
      <c r="DS214">
        <f>IF(ISBLANK('Data Entry'!$»$214), "", 'Data Entry'!$»$214)</f>
      </c>
      <c r="DT214">
        <f>IF(ISBLANK('Data Entry'!$¼$214), "", 'Data Entry'!$¼$214)</f>
      </c>
      <c r="DU214">
        <f>IF(ISBLANK('Data Entry'!$½$214), "", 'Data Entry'!$½$214)</f>
      </c>
      <c r="DV214">
        <f>IF(ISBLANK('Data Entry'!$¾$214), "", 'Data Entry'!$¾$214)</f>
      </c>
      <c r="DW214">
        <f>IF(ISBLANK('Data Entry'!$¿$214), "", 'Data Entry'!$¿$214)</f>
      </c>
      <c r="DX214">
        <f>IF(ISBLANK('Data Entry'!$À$214), "", 'Data Entry'!$À$214)</f>
      </c>
      <c r="DY214">
        <f>IF(ISBLANK('Data Entry'!$Á$214), "", 'Data Entry'!$Á$214)</f>
      </c>
      <c r="DZ214">
        <f>IF(ISBLANK('Data Entry'!$Â$214), "", 'Data Entry'!$Â$214)</f>
      </c>
      <c r="EA214">
        <f>IF(ISBLANK('Data Entry'!$Ã$214), "", 'Data Entry'!$Ã$214)</f>
      </c>
      <c r="EB214">
        <f>IF(ISBLANK('Data Entry'!$Ä$214), "", 'Data Entry'!$Ä$214)</f>
      </c>
      <c r="EC214">
        <f>IF(ISBLANK('Data Entry'!$Å$214), "", 'Data Entry'!$Å$214)</f>
      </c>
      <c r="ED214">
        <f>IF(ISBLANK('Data Entry'!$Æ$214), "", 'Data Entry'!$Æ$214)</f>
      </c>
      <c r="EE214">
        <f>IF(ISBLANK('Data Entry'!$Ç$214), "", 'Data Entry'!$Ç$214)</f>
      </c>
      <c r="EF214">
        <f>IF(ISBLANK('Data Entry'!$È$214), "", 'Data Entry'!$È$214)</f>
      </c>
      <c r="EG214">
        <f>IF(ISBLANK('Data Entry'!$É$214), "", 'Data Entry'!$É$214)</f>
      </c>
      <c r="EH214">
        <f>IF(ISBLANK('Data Entry'!$Ê$214), "", 'Data Entry'!$Ê$214)</f>
      </c>
      <c r="EI214">
        <f>IF(ISBLANK('Data Entry'!$Ë$214), "", 'Data Entry'!$Ë$214)</f>
      </c>
      <c r="EJ214">
        <f>IF(ISBLANK('Data Entry'!$Ì$214), "", 'Data Entry'!$Ì$214)</f>
      </c>
      <c r="EK214">
        <f>IF(ISBLANK('Data Entry'!$Í$214), "", 'Data Entry'!$Í$214)</f>
      </c>
      <c r="EL214">
        <f>IF(ISBLANK('Data Entry'!$Î$214), "", 'Data Entry'!$Î$214)</f>
      </c>
      <c r="EM214">
        <f>IF(ISBLANK('Data Entry'!$Ï$214), "", 'Data Entry'!$Ï$214)</f>
      </c>
      <c r="EN214">
        <f>IF(ISBLANK('Data Entry'!$Ð$214), "", 'Data Entry'!$Ð$214)</f>
      </c>
      <c r="EO214">
        <f>IF(ISBLANK('Data Entry'!$Ñ$214), "", 'Data Entry'!$Ñ$214)</f>
      </c>
      <c r="EP214">
        <f>IF(ISBLANK('Data Entry'!$Ò$214), "", 'Data Entry'!$Ò$214)</f>
      </c>
      <c r="EQ214">
        <f>IF(ISBLANK('Data Entry'!$Ó$214), "", 'Data Entry'!$Ó$214)</f>
      </c>
      <c r="ER214">
        <f>IF(ISBLANK('Data Entry'!$Ô$214), "", 'Data Entry'!$Ô$214)</f>
      </c>
      <c r="ES214">
        <f>IF(ISBLANK('Data Entry'!$Õ$214), "", 'Data Entry'!$Õ$214)</f>
      </c>
      <c r="ET214">
        <f>IF(ISBLANK('Data Entry'!$Ö$214), "", 'Data Entry'!$Ö$214)</f>
      </c>
      <c r="EU214">
        <f>IF(ISBLANK('Data Entry'!$×$214), "", 'Data Entry'!$×$214)</f>
      </c>
      <c r="EV214">
        <f>IF(ISBLANK('Data Entry'!$Ø$214), "", 'Data Entry'!$Ø$214)</f>
      </c>
      <c r="EW214">
        <f>IF(ISBLANK('Data Entry'!$Ù$214), "", 'Data Entry'!$Ù$214)</f>
      </c>
      <c r="EX214">
        <f>IF(ISBLANK('Data Entry'!$Ú$214), "", 'Data Entry'!$Ú$214)</f>
      </c>
      <c r="EY214">
        <f>IF(ISBLANK('Data Entry'!$Û$214), "", 'Data Entry'!$Û$214)</f>
      </c>
      <c r="EZ214">
        <f>IF(ISBLANK('Data Entry'!$Ü$214), "", 'Data Entry'!$Ü$214)</f>
      </c>
      <c r="FA214">
        <f>IF(ISBLANK('Data Entry'!$Ý$214), "", 'Data Entry'!$Ý$214)</f>
      </c>
      <c r="FB214">
        <f>IF(ISBLANK('Data Entry'!$Þ$214), "", 'Data Entry'!$Þ$214)</f>
      </c>
      <c r="FC214">
        <f>IF(ISBLANK('Data Entry'!$ß$214), "", 'Data Entry'!$ß$214)</f>
      </c>
      <c r="FD214">
        <f>IF(ISBLANK('Data Entry'!$à$214), "", 'Data Entry'!$à$214)</f>
      </c>
      <c r="FE214">
        <f>IF(ISBLANK('Data Entry'!$á$214), "", 'Data Entry'!$á$214)</f>
      </c>
      <c r="FF214">
        <f>IF(ISBLANK('Data Entry'!$â$214), "", 'Data Entry'!$â$214)</f>
      </c>
      <c r="FG214">
        <f>IF(ISBLANK('Data Entry'!$ã$214), "", 'Data Entry'!$ã$214)</f>
      </c>
      <c r="FH214">
        <f>IF(ISBLANK('Data Entry'!$ä$214), "", 'Data Entry'!$ä$214)</f>
      </c>
      <c r="FI214">
        <f>IF(ISBLANK('Data Entry'!$å$214), "", 'Data Entry'!$å$214)</f>
      </c>
      <c r="FJ214">
        <f>IF(ISBLANK('Data Entry'!$æ$214), "", 'Data Entry'!$æ$214)</f>
      </c>
      <c r="FK214">
        <f>IF(ISBLANK('Data Entry'!$ç$214), "", 'Data Entry'!$ç$214)</f>
      </c>
      <c r="FL214">
        <f>IF(ISBLANK('Data Entry'!$è$214), "", 'Data Entry'!$è$214)</f>
      </c>
      <c r="FM214">
        <f>IF(ISBLANK('Data Entry'!$é$214), "", 'Data Entry'!$é$214)</f>
      </c>
      <c r="FN214">
        <f>IF(ISBLANK('Data Entry'!$ê$214), "", 'Data Entry'!$ê$214)</f>
      </c>
      <c r="FO214">
        <f>IF(ISBLANK('Data Entry'!$ë$214), "", 'Data Entry'!$ë$214)</f>
      </c>
      <c r="FP214">
        <f>IF(ISBLANK('Data Entry'!$ì$214), "", 'Data Entry'!$ì$214)</f>
      </c>
      <c r="FQ214">
        <f>IF(ISBLANK('Data Entry'!$í$214), "", 'Data Entry'!$í$214)</f>
      </c>
      <c r="FR214">
        <f>IF(ISBLANK('Data Entry'!$î$214), "", 'Data Entry'!$î$214)</f>
      </c>
      <c r="FS214">
        <f>IF(ISBLANK('Data Entry'!$ï$214), "", 'Data Entry'!$ï$214)</f>
      </c>
      <c r="FT214">
        <f>IF(ISBLANK('Data Entry'!$ð$214), "", 'Data Entry'!$ð$214)</f>
      </c>
      <c r="FU214">
        <f>IF(ISBLANK('Data Entry'!$ñ$214), "", 'Data Entry'!$ñ$214)</f>
      </c>
      <c r="FV214">
        <f>IF(ISBLANK('Data Entry'!$ò$214), "", 'Data Entry'!$ò$214)</f>
      </c>
      <c r="FW214">
        <f>IF(ISBLANK('Data Entry'!$ó$214), "", 'Data Entry'!$ó$214)</f>
      </c>
      <c r="FX214">
        <f>IF(ISBLANK('Data Entry'!$ô$214), "", 'Data Entry'!$ô$214)</f>
      </c>
      <c r="FY214">
        <f>IF(ISBLANK('Data Entry'!$õ$214), "", 'Data Entry'!$õ$214)</f>
      </c>
      <c r="FZ214">
        <f>IF(ISBLANK('Data Entry'!$ö$214), "", 'Data Entry'!$ö$214)</f>
      </c>
      <c r="GA214">
        <f>IF(ISBLANK('Data Entry'!$÷$214), "", 'Data Entry'!$÷$214)</f>
      </c>
      <c r="GB214">
        <f>IF(ISBLANK('Data Entry'!$ø$214), "", 'Data Entry'!$ø$214)</f>
      </c>
      <c r="GC214">
        <f>IF(ISBLANK('Data Entry'!$ù$214), "", 'Data Entry'!$ù$214)</f>
      </c>
      <c r="GD214">
        <f>IF(ISBLANK('Data Entry'!$ú$214), "", 'Data Entry'!$ú$214)</f>
      </c>
      <c r="GE214">
        <f>IF(ISBLANK('Data Entry'!$û$214), "", 'Data Entry'!$û$214)</f>
      </c>
      <c r="GF214">
        <f>IF(ISBLANK('Data Entry'!$ü$214), "", 'Data Entry'!$ü$214)</f>
      </c>
      <c r="GG214">
        <f>IF(ISBLANK('Data Entry'!$ý$214), "", 'Data Entry'!$ý$214)</f>
      </c>
      <c r="GH214">
        <f>IF(ISBLANK('Data Entry'!$þ$214), "", 'Data Entry'!$þ$214)</f>
      </c>
      <c r="GI214">
        <f>IF(ISBLANK('Data Entry'!$ÿ$214), "", 'Data Entry'!$ÿ$214)</f>
      </c>
      <c r="GJ214">
        <f>IF(ISBLANK('Data Entry'!$Ā$214), "", 'Data Entry'!$Ā$214)</f>
      </c>
      <c r="GK214">
        <f>IF(ISBLANK('Data Entry'!$ā$214), "", 'Data Entry'!$ā$214)</f>
      </c>
      <c r="GL214">
        <f>IF(ISBLANK('Data Entry'!$Ă$214), "", 'Data Entry'!$Ă$214)</f>
      </c>
      <c r="GM214">
        <f>IF(ISBLANK('Data Entry'!$ă$214), "", 'Data Entry'!$ă$214)</f>
      </c>
      <c r="GN214">
        <f>IF(ISBLANK('Data Entry'!$Ą$214), "", 'Data Entry'!$Ą$214)</f>
      </c>
      <c r="GO214">
        <f>IF(ISBLANK('Data Entry'!$ą$214), "", 'Data Entry'!$ą$214)</f>
      </c>
      <c r="GP214">
        <f>IF(ISBLANK('Data Entry'!$Ć$214), "", 'Data Entry'!$Ć$214)</f>
      </c>
      <c r="GQ214">
        <f>IF(ISBLANK('Data Entry'!$ć$214), "", 'Data Entry'!$ć$214)</f>
      </c>
      <c r="GR214">
        <f>IF(ISBLANK('Data Entry'!$Ĉ$214), "", 'Data Entry'!$Ĉ$214)</f>
      </c>
      <c r="GS214">
        <f>IF(ISBLANK('Data Entry'!$ĉ$214), "", 'Data Entry'!$ĉ$214)</f>
      </c>
      <c r="GT214">
        <f>IF(ISBLANK('Data Entry'!$Ċ$214), "", 'Data Entry'!$Ċ$214)</f>
      </c>
      <c r="GU214">
        <f>IF(ISBLANK('Data Entry'!$ċ$214), "", 'Data Entry'!$ċ$214)</f>
      </c>
      <c r="GV214">
        <f>IF(ISBLANK('Data Entry'!$Č$214), "", 'Data Entry'!$Č$214)</f>
      </c>
      <c r="GW214">
        <f>IF(ISBLANK('Data Entry'!$č$214), "", 'Data Entry'!$č$214)</f>
      </c>
      <c r="GX214">
        <f>IF(ISBLANK('Data Entry'!$Ď$214), "", 'Data Entry'!$Ď$214)</f>
      </c>
      <c r="GY214">
        <f>IF(ISBLANK('Data Entry'!$ď$214), "", 'Data Entry'!$ď$214)</f>
      </c>
      <c r="GZ214">
        <f>IF(ISBLANK('Data Entry'!$Đ$214), "", 'Data Entry'!$Đ$214)</f>
      </c>
      <c r="HA214">
        <f>IF(ISBLANK('Data Entry'!$đ$214), "", 'Data Entry'!$đ$214)</f>
      </c>
      <c r="HB214">
        <f>IF(ISBLANK('Data Entry'!$Ē$214), "", 'Data Entry'!$Ē$214)</f>
      </c>
      <c r="HC214">
        <f>IF(ISBLANK('Data Entry'!$ē$214), "", 'Data Entry'!$ē$214)</f>
      </c>
      <c r="HD214">
        <f>IF(ISBLANK('Data Entry'!$Ĕ$214), "", 'Data Entry'!$Ĕ$214)</f>
      </c>
      <c r="HE214">
        <f>IF(ISBLANK('Data Entry'!$ĕ$214), "", 'Data Entry'!$ĕ$214)</f>
      </c>
      <c r="HF214">
        <f>IF(ISBLANK('Data Entry'!$Ė$214), "", 'Data Entry'!$Ė$214)</f>
      </c>
      <c r="HG214">
        <f>IF(ISBLANK('Data Entry'!$ė$214), "", 'Data Entry'!$ė$214)</f>
      </c>
      <c r="HH214">
        <f>IF(ISBLANK('Data Entry'!$Ę$214), "", 'Data Entry'!$Ę$214)</f>
      </c>
      <c r="HI214">
        <f>IF(ISBLANK('Data Entry'!$ę$214), "", 'Data Entry'!$ę$214)</f>
      </c>
      <c r="HJ214">
        <f>IF(ISBLANK('Data Entry'!$Ě$214), "", 'Data Entry'!$Ě$214)</f>
      </c>
      <c r="HK214">
        <f>IF(ISBLANK('Data Entry'!$ě$214), "", 'Data Entry'!$ě$214)</f>
      </c>
      <c r="HL214">
        <f>IF(ISBLANK('Data Entry'!$Ĝ$214), "", 'Data Entry'!$Ĝ$214)</f>
      </c>
      <c r="HM214">
        <f>IF(ISBLANK('Data Entry'!$ĝ$214), "", 'Data Entry'!$ĝ$214)</f>
      </c>
      <c r="HN214">
        <f>IF(ISBLANK('Data Entry'!$Ğ$214), "", 'Data Entry'!$Ğ$214)</f>
      </c>
      <c r="HO214">
        <f>IF(ISBLANK('Data Entry'!$ğ$214), "", 'Data Entry'!$ğ$214)</f>
      </c>
      <c r="HP214">
        <f>IF(ISBLANK('Data Entry'!$Ġ$214), "", 'Data Entry'!$Ġ$214)</f>
      </c>
      <c r="HQ214">
        <f>IF(ISBLANK('Data Entry'!$ġ$214), "", 'Data Entry'!$ġ$214)</f>
      </c>
      <c r="HR214">
        <f>IF(ISBLANK('Data Entry'!$Ģ$214), "", 'Data Entry'!$Ģ$214)</f>
      </c>
      <c r="HS214">
        <f>IF(ISBLANK('Data Entry'!$ģ$214), "", 'Data Entry'!$ģ$214)</f>
      </c>
      <c r="HT214">
        <f>IF(ISBLANK('Data Entry'!$Ĥ$214), "", 'Data Entry'!$Ĥ$214)</f>
      </c>
      <c r="HU214">
        <f>IF(ISBLANK('Data Entry'!$ĥ$214), "", 'Data Entry'!$ĥ$214)</f>
      </c>
      <c r="HV214">
        <f>IF(ISBLANK('Data Entry'!$Ħ$214), "", 'Data Entry'!$Ħ$214)</f>
      </c>
      <c r="HW214">
        <f>IF(ISBLANK('Data Entry'!$ħ$214), "", 'Data Entry'!$ħ$214)</f>
      </c>
      <c r="HX214">
        <f>IF(ISBLANK('Data Entry'!$Ĩ$214), "", 'Data Entry'!$Ĩ$214)</f>
      </c>
      <c r="HY214">
        <f>IF(ISBLANK('Data Entry'!$ĩ$214), "", 'Data Entry'!$ĩ$214)</f>
      </c>
      <c r="HZ214">
        <f>IF(ISBLANK('Data Entry'!$Ī$214), "", 'Data Entry'!$Ī$214)</f>
      </c>
      <c r="IA214">
        <f>IF(ISBLANK('Data Entry'!$ī$214), "", 'Data Entry'!$ī$214)</f>
      </c>
      <c r="IB214">
        <f>IF(ISBLANK('Data Entry'!$Ĭ$214), "", 'Data Entry'!$Ĭ$214)</f>
      </c>
      <c r="IC214">
        <f>IF(ISBLANK('Data Entry'!$ĭ$214), "", 'Data Entry'!$ĭ$214)</f>
      </c>
      <c r="ID214">
        <f>IF(ISBLANK('Data Entry'!$Į$214), "", 'Data Entry'!$Į$214)</f>
      </c>
      <c r="IE214">
        <f>IF(ISBLANK('Data Entry'!$į$214), "", 'Data Entry'!$į$214)</f>
      </c>
      <c r="IF214">
        <f>IF(ISBLANK('Data Entry'!$İ$214), "", 'Data Entry'!$İ$214)</f>
      </c>
      <c r="IG214">
        <f>IF(ISBLANK('Data Entry'!$ı$214), "", 'Data Entry'!$ı$214)</f>
      </c>
      <c r="IH214">
        <f>IF(ISBLANK('Data Entry'!$Ĳ$214), "", 'Data Entry'!$Ĳ$214)</f>
      </c>
      <c r="II214">
        <f>IF(ISBLANK('Data Entry'!$ĳ$214), "", 'Data Entry'!$ĳ$214)</f>
      </c>
      <c r="IJ214">
        <f>IF(ISBLANK('Data Entry'!$Ĵ$214), "", 'Data Entry'!$Ĵ$214)</f>
      </c>
      <c r="IK214">
        <f>IF(ISBLANK('Data Entry'!$ĵ$214), "", 'Data Entry'!$ĵ$214)</f>
      </c>
      <c r="IL214">
        <f>IF(ISBLANK('Data Entry'!$Ķ$214), "", 'Data Entry'!$Ķ$214)</f>
      </c>
      <c r="IM214">
        <f>IF(ISBLANK('Data Entry'!$ķ$214), "", 'Data Entry'!$ķ$214)</f>
      </c>
      <c r="IN214">
        <f>IF(ISBLANK('Data Entry'!$ĸ$214), "", 'Data Entry'!$ĸ$214)</f>
      </c>
      <c r="IO214">
        <f>IF(ISBLANK('Data Entry'!$Ĺ$214), "", 'Data Entry'!$Ĺ$214)</f>
      </c>
      <c r="IP214">
        <f>IF(ISBLANK('Data Entry'!$ĺ$214), "", 'Data Entry'!$ĺ$214)</f>
      </c>
      <c r="IQ214">
        <f>IF(ISBLANK('Data Entry'!$Ļ$214), "", 'Data Entry'!$Ļ$214)</f>
      </c>
      <c r="IR214">
        <f>IF(ISBLANK('Data Entry'!$ļ$214), "", 'Data Entry'!$ļ$214)</f>
      </c>
      <c r="IS214">
        <f>IF(ISBLANK('Data Entry'!$Ľ$214), "", 'Data Entry'!$Ľ$214)</f>
      </c>
      <c r="IT214">
        <f>IF(ISBLANK('Data Entry'!$ľ$214), "", 'Data Entry'!$ľ$214)</f>
      </c>
    </row>
    <row r="215" spans="1:254" x14ac:dyDescent="0.25">
      <c r="A215">
        <f>IF(ISBLANK('Data Entry'!$A$215), "", 'Data Entry'!$A$215)</f>
      </c>
      <c r="B215">
        <f>IF(ISBLANK('Data Entry'!$B$215), "", 'Data Entry'!$B$215)</f>
      </c>
      <c r="C215">
        <f>IF(ISBLANK('Data Entry'!$C$215), "", 'Data Entry'!$C$215)</f>
      </c>
      <c r="D215">
        <f>IF(ISBLANK('Data Entry'!$D$215), "", 'Data Entry'!$D$215)</f>
      </c>
      <c r="E215">
        <f>IF(ISBLANK('Data Entry'!$E$215), "", 'Data Entry'!$E$215)</f>
      </c>
      <c r="F215">
        <f>IF(ISBLANK('Data Entry'!$F$215), "", 'Data Entry'!$F$215)</f>
      </c>
      <c r="G215">
        <f>IF(ISBLANK('Data Entry'!$G$215), "", 'Data Entry'!$G$215)</f>
      </c>
      <c r="H215">
        <f>IF(ISBLANK('Data Entry'!$H$215), "", 'Data Entry'!$H$215)</f>
      </c>
      <c r="I215">
        <f>IF(ISBLANK('Data Entry'!$I$215), "", 'Data Entry'!$I$215)</f>
      </c>
      <c r="J215">
        <f>IF(ISBLANK('Data Entry'!$J$215), "", 'Data Entry'!$J$215)</f>
      </c>
      <c r="K215">
        <f>IF(ISBLANK('Data Entry'!$K$215), "", 'Data Entry'!$K$215)</f>
      </c>
      <c r="L215">
        <f>IF(ISBLANK('Data Entry'!$L$215), "", 'Data Entry'!$L$215)</f>
      </c>
      <c r="M215">
        <f>IF(ISBLANK('Data Entry'!$M$215), "", 'Data Entry'!$M$215)</f>
      </c>
      <c r="N215">
        <f>IF(ISBLANK('Data Entry'!$N$215), "", 'Data Entry'!$N$215)</f>
      </c>
      <c r="O215">
        <f>IF(ISBLANK('Data Entry'!$O$215), "", 'Data Entry'!$O$215)</f>
      </c>
      <c r="P215">
        <f>IF(ISBLANK('Data Entry'!$P$215), "", 'Data Entry'!$P$215)</f>
      </c>
      <c r="Q215">
        <f>IF(ISBLANK('Data Entry'!$Q$215), "", 'Data Entry'!$Q$215)</f>
      </c>
      <c r="R215">
        <f>IF(ISBLANK('Data Entry'!$R$215), "", 'Data Entry'!$R$215)</f>
      </c>
      <c r="S215">
        <f>IF(ISBLANK('Data Entry'!$S$215), "", 'Data Entry'!$S$215)</f>
      </c>
      <c r="T215">
        <f>IF(ISBLANK('Data Entry'!$T$215), "", 'Data Entry'!$T$215)</f>
      </c>
      <c r="U215">
        <f>IF(ISBLANK('Data Entry'!$U$215), "", 'Data Entry'!$U$215)</f>
      </c>
      <c r="V215">
        <f>IF(ISBLANK('Data Entry'!$V$215), "", 'Data Entry'!$V$215)</f>
      </c>
      <c r="W215">
        <f>IF(ISBLANK('Data Entry'!$W$215), "", 'Data Entry'!$W$215)</f>
      </c>
      <c r="X215">
        <f>IF(ISBLANK('Data Entry'!$X$215), "", 'Data Entry'!$X$215)</f>
      </c>
      <c r="Y215">
        <f>IF(ISBLANK('Data Entry'!$Y$215), "", 'Data Entry'!$Y$215)</f>
      </c>
      <c r="Z215">
        <f>IF(ISBLANK('Data Entry'!$Z$215), "", 'Data Entry'!$Z$215)</f>
      </c>
      <c r="AA215">
        <f>IF(ISBLANK('Data Entry'!$[$215), "", 'Data Entry'!$[$215)</f>
      </c>
      <c r="AB215">
        <f>IF(ISBLANK('Data Entry'!$\$215), "", 'Data Entry'!$\$215)</f>
      </c>
      <c r="AC215">
        <f>IF(ISBLANK('Data Entry'!$]$215), "", 'Data Entry'!$]$215)</f>
      </c>
      <c r="AD215">
        <f>IF(ISBLANK('Data Entry'!$^$215), "", 'Data Entry'!$^$215)</f>
      </c>
      <c r="AE215">
        <f>IF(ISBLANK('Data Entry'!$_$215), "", 'Data Entry'!$_$215)</f>
      </c>
      <c r="AF215">
        <f>IF(ISBLANK('Data Entry'!$`$215), "", 'Data Entry'!$`$215)</f>
      </c>
      <c r="AG215">
        <f>IF(ISBLANK('Data Entry'!$a$215), "", 'Data Entry'!$a$215)</f>
      </c>
      <c r="AH215">
        <f>IF(ISBLANK('Data Entry'!$b$215), "", 'Data Entry'!$b$215)</f>
      </c>
      <c r="AI215">
        <f>IF(ISBLANK('Data Entry'!$c$215), "", 'Data Entry'!$c$215)</f>
      </c>
      <c r="AJ215">
        <f>IF(ISBLANK('Data Entry'!$d$215), "", 'Data Entry'!$d$215)</f>
      </c>
      <c r="AK215">
        <f>IF(ISBLANK('Data Entry'!$e$215), "", 'Data Entry'!$e$215)</f>
      </c>
      <c r="AL215">
        <f>IF(ISBLANK('Data Entry'!$f$215), "", 'Data Entry'!$f$215)</f>
      </c>
      <c r="AM215">
        <f>IF(ISBLANK('Data Entry'!$g$215), "", 'Data Entry'!$g$215)</f>
      </c>
      <c r="AN215">
        <f>IF(ISBLANK('Data Entry'!$h$215), "", 'Data Entry'!$h$215)</f>
      </c>
      <c r="AO215">
        <f>IF(ISBLANK('Data Entry'!$i$215), "", 'Data Entry'!$i$215)</f>
      </c>
      <c r="AP215">
        <f>IF(ISBLANK('Data Entry'!$j$215), "", 'Data Entry'!$j$215)</f>
      </c>
      <c r="AQ215">
        <f>IF(ISBLANK('Data Entry'!$k$215), "", 'Data Entry'!$k$215)</f>
      </c>
      <c r="AR215">
        <f>IF(ISBLANK('Data Entry'!$l$215), "", 'Data Entry'!$l$215)</f>
      </c>
      <c r="AS215">
        <f>IF(ISBLANK('Data Entry'!$m$215), "", 'Data Entry'!$m$215)</f>
      </c>
      <c r="AT215">
        <f>IF(ISBLANK('Data Entry'!$n$215), "", 'Data Entry'!$n$215)</f>
      </c>
      <c r="AU215">
        <f>IF(ISBLANK('Data Entry'!$o$215), "", 'Data Entry'!$o$215)</f>
      </c>
      <c r="AV215">
        <f>IF(ISBLANK('Data Entry'!$p$215), "", 'Data Entry'!$p$215)</f>
      </c>
      <c r="AW215">
        <f>IF(ISBLANK('Data Entry'!$q$215), "", 'Data Entry'!$q$215)</f>
      </c>
      <c r="AX215">
        <f>IF(ISBLANK('Data Entry'!$r$215), "", 'Data Entry'!$r$215)</f>
      </c>
      <c r="AY215">
        <f>IF(ISBLANK('Data Entry'!$s$215), "", 'Data Entry'!$s$215)</f>
      </c>
      <c r="AZ215">
        <f>IF(ISBLANK('Data Entry'!$t$215), "", 'Data Entry'!$t$215)</f>
      </c>
      <c r="BA215">
        <f>IF(ISBLANK('Data Entry'!$u$215), "", 'Data Entry'!$u$215)</f>
      </c>
      <c r="BB215">
        <f>IF(ISBLANK('Data Entry'!$v$215), "", 'Data Entry'!$v$215)</f>
      </c>
      <c r="BC215">
        <f>IF(ISBLANK('Data Entry'!$w$215), "", 'Data Entry'!$w$215)</f>
      </c>
      <c r="BD215">
        <f>IF(ISBLANK('Data Entry'!$x$215), "", 'Data Entry'!$x$215)</f>
      </c>
      <c r="BE215">
        <f>IF(ISBLANK('Data Entry'!$y$215), "", 'Data Entry'!$y$215)</f>
      </c>
      <c r="BF215">
        <f>IF(ISBLANK('Data Entry'!$z$215), "", 'Data Entry'!$z$215)</f>
      </c>
      <c r="BG215">
        <f>IF(ISBLANK('Data Entry'!${$215), "", 'Data Entry'!${$215)</f>
      </c>
      <c r="BH215">
        <f>IF(ISBLANK('Data Entry'!$|$215), "", 'Data Entry'!$|$215)</f>
      </c>
      <c r="BI215">
        <f>IF(ISBLANK('Data Entry'!$}$215), "", 'Data Entry'!$}$215)</f>
      </c>
      <c r="BJ215">
        <f>IF(ISBLANK('Data Entry'!$~$215), "", 'Data Entry'!$~$215)</f>
      </c>
      <c r="BK215">
        <f>IF(ISBLANK('Data Entry'!$$215), "", 'Data Entry'!$$215)</f>
      </c>
      <c r="BL215">
        <f>IF(ISBLANK('Data Entry'!$$215), "", 'Data Entry'!$$215)</f>
      </c>
      <c r="BM215">
        <f>IF(ISBLANK('Data Entry'!$$215), "", 'Data Entry'!$$215)</f>
      </c>
      <c r="BN215">
        <f>IF(ISBLANK('Data Entry'!$$215), "", 'Data Entry'!$$215)</f>
      </c>
      <c r="BO215">
        <f>IF(ISBLANK('Data Entry'!$$215), "", 'Data Entry'!$$215)</f>
      </c>
      <c r="BP215">
        <f>IF(ISBLANK('Data Entry'!$$215), "", 'Data Entry'!$$215)</f>
      </c>
      <c r="BQ215">
        <f>IF(ISBLANK('Data Entry'!$$215), "", 'Data Entry'!$$215)</f>
      </c>
      <c r="BR215">
        <f>IF(ISBLANK('Data Entry'!$$215), "", 'Data Entry'!$$215)</f>
      </c>
      <c r="BS215">
        <f>IF(ISBLANK('Data Entry'!$$215), "", 'Data Entry'!$$215)</f>
      </c>
      <c r="BT215">
        <f>IF(ISBLANK('Data Entry'!$$215), "", 'Data Entry'!$$215)</f>
      </c>
      <c r="BU215">
        <f>IF(ISBLANK('Data Entry'!$$215), "", 'Data Entry'!$$215)</f>
      </c>
      <c r="BV215">
        <f>IF(ISBLANK('Data Entry'!$$215), "", 'Data Entry'!$$215)</f>
      </c>
      <c r="BW215">
        <f>IF(ISBLANK('Data Entry'!$$215), "", 'Data Entry'!$$215)</f>
      </c>
      <c r="BX215">
        <f>IF(ISBLANK('Data Entry'!$$215), "", 'Data Entry'!$$215)</f>
      </c>
      <c r="BY215">
        <f>IF(ISBLANK('Data Entry'!$$215), "", 'Data Entry'!$$215)</f>
      </c>
      <c r="BZ215">
        <f>IF(ISBLANK('Data Entry'!$$215), "", 'Data Entry'!$$215)</f>
      </c>
      <c r="CA215">
        <f>IF(ISBLANK('Data Entry'!$$215), "", 'Data Entry'!$$215)</f>
      </c>
      <c r="CB215">
        <f>IF(ISBLANK('Data Entry'!$$215), "", 'Data Entry'!$$215)</f>
      </c>
      <c r="CC215">
        <f>IF(ISBLANK('Data Entry'!$$215), "", 'Data Entry'!$$215)</f>
      </c>
      <c r="CD215">
        <f>IF(ISBLANK('Data Entry'!$$215), "", 'Data Entry'!$$215)</f>
      </c>
      <c r="CE215">
        <f>IF(ISBLANK('Data Entry'!$$215), "", 'Data Entry'!$$215)</f>
      </c>
      <c r="CF215">
        <f>IF(ISBLANK('Data Entry'!$$215), "", 'Data Entry'!$$215)</f>
      </c>
      <c r="CG215">
        <f>IF(ISBLANK('Data Entry'!$$215), "", 'Data Entry'!$$215)</f>
      </c>
      <c r="CH215">
        <f>IF(ISBLANK('Data Entry'!$$215), "", 'Data Entry'!$$215)</f>
      </c>
      <c r="CI215">
        <f>IF(ISBLANK('Data Entry'!$$215), "", 'Data Entry'!$$215)</f>
      </c>
      <c r="CJ215">
        <f>IF(ISBLANK('Data Entry'!$$215), "", 'Data Entry'!$$215)</f>
      </c>
      <c r="CK215">
        <f>IF(ISBLANK('Data Entry'!$$215), "", 'Data Entry'!$$215)</f>
      </c>
      <c r="CL215">
        <f>IF(ISBLANK('Data Entry'!$$215), "", 'Data Entry'!$$215)</f>
      </c>
      <c r="CM215">
        <f>IF(ISBLANK('Data Entry'!$$215), "", 'Data Entry'!$$215)</f>
      </c>
      <c r="CN215">
        <f>IF(ISBLANK('Data Entry'!$$215), "", 'Data Entry'!$$215)</f>
      </c>
      <c r="CO215">
        <f>IF(ISBLANK('Data Entry'!$$215), "", 'Data Entry'!$$215)</f>
      </c>
      <c r="CP215">
        <f>IF(ISBLANK('Data Entry'!$$215), "", 'Data Entry'!$$215)</f>
      </c>
      <c r="CQ215">
        <f>IF(ISBLANK('Data Entry'!$$215), "", 'Data Entry'!$$215)</f>
      </c>
      <c r="CR215">
        <f>IF(ISBLANK('Data Entry'!$ $215), "", 'Data Entry'!$ $215)</f>
      </c>
      <c r="CS215">
        <f>IF(ISBLANK('Data Entry'!$¡$215), "", 'Data Entry'!$¡$215)</f>
      </c>
      <c r="CT215">
        <f>IF(ISBLANK('Data Entry'!$¢$215), "", 'Data Entry'!$¢$215)</f>
      </c>
      <c r="CU215">
        <f>IF(ISBLANK('Data Entry'!$£$215), "", 'Data Entry'!$£$215)</f>
      </c>
      <c r="CV215">
        <f>IF(ISBLANK('Data Entry'!$¤$215), "", 'Data Entry'!$¤$215)</f>
      </c>
      <c r="CW215">
        <f>IF(ISBLANK('Data Entry'!$¥$215), "", 'Data Entry'!$¥$215)</f>
      </c>
      <c r="CX215">
        <f>IF(ISBLANK('Data Entry'!$¦$215), "", 'Data Entry'!$¦$215)</f>
      </c>
      <c r="CY215">
        <f>IF(ISBLANK('Data Entry'!$§$215), "", 'Data Entry'!$§$215)</f>
      </c>
      <c r="CZ215">
        <f>IF(ISBLANK('Data Entry'!$¨$215), "", 'Data Entry'!$¨$215)</f>
      </c>
      <c r="DA215">
        <f>IF(ISBLANK('Data Entry'!$©$215), "", 'Data Entry'!$©$215)</f>
      </c>
      <c r="DB215">
        <f>IF(ISBLANK('Data Entry'!$ª$215), "", 'Data Entry'!$ª$215)</f>
      </c>
      <c r="DC215">
        <f>IF(ISBLANK('Data Entry'!$«$215), "", 'Data Entry'!$«$215)</f>
      </c>
      <c r="DD215">
        <f>IF(ISBLANK('Data Entry'!$¬$215), "", 'Data Entry'!$¬$215)</f>
      </c>
      <c r="DE215">
        <f>IF(ISBLANK('Data Entry'!$­$215), "", 'Data Entry'!$­$215)</f>
      </c>
      <c r="DF215">
        <f>IF(ISBLANK('Data Entry'!$®$215), "", 'Data Entry'!$®$215)</f>
      </c>
      <c r="DG215">
        <f>IF(ISBLANK('Data Entry'!$¯$215), "", 'Data Entry'!$¯$215)</f>
      </c>
      <c r="DH215">
        <f>IF(ISBLANK('Data Entry'!$°$215), "", 'Data Entry'!$°$215)</f>
      </c>
      <c r="DI215">
        <f>IF(ISBLANK('Data Entry'!$±$215), "", 'Data Entry'!$±$215)</f>
      </c>
      <c r="DJ215">
        <f>IF(ISBLANK('Data Entry'!$²$215), "", 'Data Entry'!$²$215)</f>
      </c>
      <c r="DK215">
        <f>IF(ISBLANK('Data Entry'!$³$215), "", 'Data Entry'!$³$215)</f>
      </c>
      <c r="DL215">
        <f>IF(ISBLANK('Data Entry'!$´$215), "", 'Data Entry'!$´$215)</f>
      </c>
      <c r="DM215">
        <f>IF(ISBLANK('Data Entry'!$µ$215), "", 'Data Entry'!$µ$215)</f>
      </c>
      <c r="DN215">
        <f>IF(ISBLANK('Data Entry'!$¶$215), "", 'Data Entry'!$¶$215)</f>
      </c>
      <c r="DO215">
        <f>IF(ISBLANK('Data Entry'!$·$215), "", 'Data Entry'!$·$215)</f>
      </c>
      <c r="DP215">
        <f>IF(ISBLANK('Data Entry'!$¸$215), "", 'Data Entry'!$¸$215)</f>
      </c>
      <c r="DQ215">
        <f>IF(ISBLANK('Data Entry'!$¹$215), "", 'Data Entry'!$¹$215)</f>
      </c>
      <c r="DR215">
        <f>IF(ISBLANK('Data Entry'!$º$215), "", 'Data Entry'!$º$215)</f>
      </c>
      <c r="DS215">
        <f>IF(ISBLANK('Data Entry'!$»$215), "", 'Data Entry'!$»$215)</f>
      </c>
      <c r="DT215">
        <f>IF(ISBLANK('Data Entry'!$¼$215), "", 'Data Entry'!$¼$215)</f>
      </c>
      <c r="DU215">
        <f>IF(ISBLANK('Data Entry'!$½$215), "", 'Data Entry'!$½$215)</f>
      </c>
      <c r="DV215">
        <f>IF(ISBLANK('Data Entry'!$¾$215), "", 'Data Entry'!$¾$215)</f>
      </c>
      <c r="DW215">
        <f>IF(ISBLANK('Data Entry'!$¿$215), "", 'Data Entry'!$¿$215)</f>
      </c>
      <c r="DX215">
        <f>IF(ISBLANK('Data Entry'!$À$215), "", 'Data Entry'!$À$215)</f>
      </c>
      <c r="DY215">
        <f>IF(ISBLANK('Data Entry'!$Á$215), "", 'Data Entry'!$Á$215)</f>
      </c>
      <c r="DZ215">
        <f>IF(ISBLANK('Data Entry'!$Â$215), "", 'Data Entry'!$Â$215)</f>
      </c>
      <c r="EA215">
        <f>IF(ISBLANK('Data Entry'!$Ã$215), "", 'Data Entry'!$Ã$215)</f>
      </c>
      <c r="EB215">
        <f>IF(ISBLANK('Data Entry'!$Ä$215), "", 'Data Entry'!$Ä$215)</f>
      </c>
      <c r="EC215">
        <f>IF(ISBLANK('Data Entry'!$Å$215), "", 'Data Entry'!$Å$215)</f>
      </c>
      <c r="ED215">
        <f>IF(ISBLANK('Data Entry'!$Æ$215), "", 'Data Entry'!$Æ$215)</f>
      </c>
      <c r="EE215">
        <f>IF(ISBLANK('Data Entry'!$Ç$215), "", 'Data Entry'!$Ç$215)</f>
      </c>
      <c r="EF215">
        <f>IF(ISBLANK('Data Entry'!$È$215), "", 'Data Entry'!$È$215)</f>
      </c>
      <c r="EG215">
        <f>IF(ISBLANK('Data Entry'!$É$215), "", 'Data Entry'!$É$215)</f>
      </c>
      <c r="EH215">
        <f>IF(ISBLANK('Data Entry'!$Ê$215), "", 'Data Entry'!$Ê$215)</f>
      </c>
      <c r="EI215">
        <f>IF(ISBLANK('Data Entry'!$Ë$215), "", 'Data Entry'!$Ë$215)</f>
      </c>
      <c r="EJ215">
        <f>IF(ISBLANK('Data Entry'!$Ì$215), "", 'Data Entry'!$Ì$215)</f>
      </c>
      <c r="EK215">
        <f>IF(ISBLANK('Data Entry'!$Í$215), "", 'Data Entry'!$Í$215)</f>
      </c>
      <c r="EL215">
        <f>IF(ISBLANK('Data Entry'!$Î$215), "", 'Data Entry'!$Î$215)</f>
      </c>
      <c r="EM215">
        <f>IF(ISBLANK('Data Entry'!$Ï$215), "", 'Data Entry'!$Ï$215)</f>
      </c>
      <c r="EN215">
        <f>IF(ISBLANK('Data Entry'!$Ð$215), "", 'Data Entry'!$Ð$215)</f>
      </c>
      <c r="EO215">
        <f>IF(ISBLANK('Data Entry'!$Ñ$215), "", 'Data Entry'!$Ñ$215)</f>
      </c>
      <c r="EP215">
        <f>IF(ISBLANK('Data Entry'!$Ò$215), "", 'Data Entry'!$Ò$215)</f>
      </c>
      <c r="EQ215">
        <f>IF(ISBLANK('Data Entry'!$Ó$215), "", 'Data Entry'!$Ó$215)</f>
      </c>
      <c r="ER215">
        <f>IF(ISBLANK('Data Entry'!$Ô$215), "", 'Data Entry'!$Ô$215)</f>
      </c>
      <c r="ES215">
        <f>IF(ISBLANK('Data Entry'!$Õ$215), "", 'Data Entry'!$Õ$215)</f>
      </c>
      <c r="ET215">
        <f>IF(ISBLANK('Data Entry'!$Ö$215), "", 'Data Entry'!$Ö$215)</f>
      </c>
      <c r="EU215">
        <f>IF(ISBLANK('Data Entry'!$×$215), "", 'Data Entry'!$×$215)</f>
      </c>
      <c r="EV215">
        <f>IF(ISBLANK('Data Entry'!$Ø$215), "", 'Data Entry'!$Ø$215)</f>
      </c>
      <c r="EW215">
        <f>IF(ISBLANK('Data Entry'!$Ù$215), "", 'Data Entry'!$Ù$215)</f>
      </c>
      <c r="EX215">
        <f>IF(ISBLANK('Data Entry'!$Ú$215), "", 'Data Entry'!$Ú$215)</f>
      </c>
      <c r="EY215">
        <f>IF(ISBLANK('Data Entry'!$Û$215), "", 'Data Entry'!$Û$215)</f>
      </c>
      <c r="EZ215">
        <f>IF(ISBLANK('Data Entry'!$Ü$215), "", 'Data Entry'!$Ü$215)</f>
      </c>
      <c r="FA215">
        <f>IF(ISBLANK('Data Entry'!$Ý$215), "", 'Data Entry'!$Ý$215)</f>
      </c>
      <c r="FB215">
        <f>IF(ISBLANK('Data Entry'!$Þ$215), "", 'Data Entry'!$Þ$215)</f>
      </c>
      <c r="FC215">
        <f>IF(ISBLANK('Data Entry'!$ß$215), "", 'Data Entry'!$ß$215)</f>
      </c>
      <c r="FD215">
        <f>IF(ISBLANK('Data Entry'!$à$215), "", 'Data Entry'!$à$215)</f>
      </c>
      <c r="FE215">
        <f>IF(ISBLANK('Data Entry'!$á$215), "", 'Data Entry'!$á$215)</f>
      </c>
      <c r="FF215">
        <f>IF(ISBLANK('Data Entry'!$â$215), "", 'Data Entry'!$â$215)</f>
      </c>
      <c r="FG215">
        <f>IF(ISBLANK('Data Entry'!$ã$215), "", 'Data Entry'!$ã$215)</f>
      </c>
      <c r="FH215">
        <f>IF(ISBLANK('Data Entry'!$ä$215), "", 'Data Entry'!$ä$215)</f>
      </c>
      <c r="FI215">
        <f>IF(ISBLANK('Data Entry'!$å$215), "", 'Data Entry'!$å$215)</f>
      </c>
      <c r="FJ215">
        <f>IF(ISBLANK('Data Entry'!$æ$215), "", 'Data Entry'!$æ$215)</f>
      </c>
      <c r="FK215">
        <f>IF(ISBLANK('Data Entry'!$ç$215), "", 'Data Entry'!$ç$215)</f>
      </c>
      <c r="FL215">
        <f>IF(ISBLANK('Data Entry'!$è$215), "", 'Data Entry'!$è$215)</f>
      </c>
      <c r="FM215">
        <f>IF(ISBLANK('Data Entry'!$é$215), "", 'Data Entry'!$é$215)</f>
      </c>
      <c r="FN215">
        <f>IF(ISBLANK('Data Entry'!$ê$215), "", 'Data Entry'!$ê$215)</f>
      </c>
      <c r="FO215">
        <f>IF(ISBLANK('Data Entry'!$ë$215), "", 'Data Entry'!$ë$215)</f>
      </c>
      <c r="FP215">
        <f>IF(ISBLANK('Data Entry'!$ì$215), "", 'Data Entry'!$ì$215)</f>
      </c>
      <c r="FQ215">
        <f>IF(ISBLANK('Data Entry'!$í$215), "", 'Data Entry'!$í$215)</f>
      </c>
      <c r="FR215">
        <f>IF(ISBLANK('Data Entry'!$î$215), "", 'Data Entry'!$î$215)</f>
      </c>
      <c r="FS215">
        <f>IF(ISBLANK('Data Entry'!$ï$215), "", 'Data Entry'!$ï$215)</f>
      </c>
      <c r="FT215">
        <f>IF(ISBLANK('Data Entry'!$ð$215), "", 'Data Entry'!$ð$215)</f>
      </c>
      <c r="FU215">
        <f>IF(ISBLANK('Data Entry'!$ñ$215), "", 'Data Entry'!$ñ$215)</f>
      </c>
      <c r="FV215">
        <f>IF(ISBLANK('Data Entry'!$ò$215), "", 'Data Entry'!$ò$215)</f>
      </c>
      <c r="FW215">
        <f>IF(ISBLANK('Data Entry'!$ó$215), "", 'Data Entry'!$ó$215)</f>
      </c>
      <c r="FX215">
        <f>IF(ISBLANK('Data Entry'!$ô$215), "", 'Data Entry'!$ô$215)</f>
      </c>
      <c r="FY215">
        <f>IF(ISBLANK('Data Entry'!$õ$215), "", 'Data Entry'!$õ$215)</f>
      </c>
      <c r="FZ215">
        <f>IF(ISBLANK('Data Entry'!$ö$215), "", 'Data Entry'!$ö$215)</f>
      </c>
      <c r="GA215">
        <f>IF(ISBLANK('Data Entry'!$÷$215), "", 'Data Entry'!$÷$215)</f>
      </c>
      <c r="GB215">
        <f>IF(ISBLANK('Data Entry'!$ø$215), "", 'Data Entry'!$ø$215)</f>
      </c>
      <c r="GC215">
        <f>IF(ISBLANK('Data Entry'!$ù$215), "", 'Data Entry'!$ù$215)</f>
      </c>
      <c r="GD215">
        <f>IF(ISBLANK('Data Entry'!$ú$215), "", 'Data Entry'!$ú$215)</f>
      </c>
      <c r="GE215">
        <f>IF(ISBLANK('Data Entry'!$û$215), "", 'Data Entry'!$û$215)</f>
      </c>
      <c r="GF215">
        <f>IF(ISBLANK('Data Entry'!$ü$215), "", 'Data Entry'!$ü$215)</f>
      </c>
      <c r="GG215">
        <f>IF(ISBLANK('Data Entry'!$ý$215), "", 'Data Entry'!$ý$215)</f>
      </c>
      <c r="GH215">
        <f>IF(ISBLANK('Data Entry'!$þ$215), "", 'Data Entry'!$þ$215)</f>
      </c>
      <c r="GI215">
        <f>IF(ISBLANK('Data Entry'!$ÿ$215), "", 'Data Entry'!$ÿ$215)</f>
      </c>
      <c r="GJ215">
        <f>IF(ISBLANK('Data Entry'!$Ā$215), "", 'Data Entry'!$Ā$215)</f>
      </c>
      <c r="GK215">
        <f>IF(ISBLANK('Data Entry'!$ā$215), "", 'Data Entry'!$ā$215)</f>
      </c>
      <c r="GL215">
        <f>IF(ISBLANK('Data Entry'!$Ă$215), "", 'Data Entry'!$Ă$215)</f>
      </c>
      <c r="GM215">
        <f>IF(ISBLANK('Data Entry'!$ă$215), "", 'Data Entry'!$ă$215)</f>
      </c>
      <c r="GN215">
        <f>IF(ISBLANK('Data Entry'!$Ą$215), "", 'Data Entry'!$Ą$215)</f>
      </c>
      <c r="GO215">
        <f>IF(ISBLANK('Data Entry'!$ą$215), "", 'Data Entry'!$ą$215)</f>
      </c>
      <c r="GP215">
        <f>IF(ISBLANK('Data Entry'!$Ć$215), "", 'Data Entry'!$Ć$215)</f>
      </c>
      <c r="GQ215">
        <f>IF(ISBLANK('Data Entry'!$ć$215), "", 'Data Entry'!$ć$215)</f>
      </c>
      <c r="GR215">
        <f>IF(ISBLANK('Data Entry'!$Ĉ$215), "", 'Data Entry'!$Ĉ$215)</f>
      </c>
      <c r="GS215">
        <f>IF(ISBLANK('Data Entry'!$ĉ$215), "", 'Data Entry'!$ĉ$215)</f>
      </c>
      <c r="GT215">
        <f>IF(ISBLANK('Data Entry'!$Ċ$215), "", 'Data Entry'!$Ċ$215)</f>
      </c>
      <c r="GU215">
        <f>IF(ISBLANK('Data Entry'!$ċ$215), "", 'Data Entry'!$ċ$215)</f>
      </c>
      <c r="GV215">
        <f>IF(ISBLANK('Data Entry'!$Č$215), "", 'Data Entry'!$Č$215)</f>
      </c>
      <c r="GW215">
        <f>IF(ISBLANK('Data Entry'!$č$215), "", 'Data Entry'!$č$215)</f>
      </c>
      <c r="GX215">
        <f>IF(ISBLANK('Data Entry'!$Ď$215), "", 'Data Entry'!$Ď$215)</f>
      </c>
      <c r="GY215">
        <f>IF(ISBLANK('Data Entry'!$ď$215), "", 'Data Entry'!$ď$215)</f>
      </c>
      <c r="GZ215">
        <f>IF(ISBLANK('Data Entry'!$Đ$215), "", 'Data Entry'!$Đ$215)</f>
      </c>
      <c r="HA215">
        <f>IF(ISBLANK('Data Entry'!$đ$215), "", 'Data Entry'!$đ$215)</f>
      </c>
      <c r="HB215">
        <f>IF(ISBLANK('Data Entry'!$Ē$215), "", 'Data Entry'!$Ē$215)</f>
      </c>
      <c r="HC215">
        <f>IF(ISBLANK('Data Entry'!$ē$215), "", 'Data Entry'!$ē$215)</f>
      </c>
      <c r="HD215">
        <f>IF(ISBLANK('Data Entry'!$Ĕ$215), "", 'Data Entry'!$Ĕ$215)</f>
      </c>
      <c r="HE215">
        <f>IF(ISBLANK('Data Entry'!$ĕ$215), "", 'Data Entry'!$ĕ$215)</f>
      </c>
      <c r="HF215">
        <f>IF(ISBLANK('Data Entry'!$Ė$215), "", 'Data Entry'!$Ė$215)</f>
      </c>
      <c r="HG215">
        <f>IF(ISBLANK('Data Entry'!$ė$215), "", 'Data Entry'!$ė$215)</f>
      </c>
      <c r="HH215">
        <f>IF(ISBLANK('Data Entry'!$Ę$215), "", 'Data Entry'!$Ę$215)</f>
      </c>
      <c r="HI215">
        <f>IF(ISBLANK('Data Entry'!$ę$215), "", 'Data Entry'!$ę$215)</f>
      </c>
      <c r="HJ215">
        <f>IF(ISBLANK('Data Entry'!$Ě$215), "", 'Data Entry'!$Ě$215)</f>
      </c>
      <c r="HK215">
        <f>IF(ISBLANK('Data Entry'!$ě$215), "", 'Data Entry'!$ě$215)</f>
      </c>
      <c r="HL215">
        <f>IF(ISBLANK('Data Entry'!$Ĝ$215), "", 'Data Entry'!$Ĝ$215)</f>
      </c>
      <c r="HM215">
        <f>IF(ISBLANK('Data Entry'!$ĝ$215), "", 'Data Entry'!$ĝ$215)</f>
      </c>
      <c r="HN215">
        <f>IF(ISBLANK('Data Entry'!$Ğ$215), "", 'Data Entry'!$Ğ$215)</f>
      </c>
      <c r="HO215">
        <f>IF(ISBLANK('Data Entry'!$ğ$215), "", 'Data Entry'!$ğ$215)</f>
      </c>
      <c r="HP215">
        <f>IF(ISBLANK('Data Entry'!$Ġ$215), "", 'Data Entry'!$Ġ$215)</f>
      </c>
      <c r="HQ215">
        <f>IF(ISBLANK('Data Entry'!$ġ$215), "", 'Data Entry'!$ġ$215)</f>
      </c>
      <c r="HR215">
        <f>IF(ISBLANK('Data Entry'!$Ģ$215), "", 'Data Entry'!$Ģ$215)</f>
      </c>
      <c r="HS215">
        <f>IF(ISBLANK('Data Entry'!$ģ$215), "", 'Data Entry'!$ģ$215)</f>
      </c>
      <c r="HT215">
        <f>IF(ISBLANK('Data Entry'!$Ĥ$215), "", 'Data Entry'!$Ĥ$215)</f>
      </c>
      <c r="HU215">
        <f>IF(ISBLANK('Data Entry'!$ĥ$215), "", 'Data Entry'!$ĥ$215)</f>
      </c>
      <c r="HV215">
        <f>IF(ISBLANK('Data Entry'!$Ħ$215), "", 'Data Entry'!$Ħ$215)</f>
      </c>
      <c r="HW215">
        <f>IF(ISBLANK('Data Entry'!$ħ$215), "", 'Data Entry'!$ħ$215)</f>
      </c>
      <c r="HX215">
        <f>IF(ISBLANK('Data Entry'!$Ĩ$215), "", 'Data Entry'!$Ĩ$215)</f>
      </c>
      <c r="HY215">
        <f>IF(ISBLANK('Data Entry'!$ĩ$215), "", 'Data Entry'!$ĩ$215)</f>
      </c>
      <c r="HZ215">
        <f>IF(ISBLANK('Data Entry'!$Ī$215), "", 'Data Entry'!$Ī$215)</f>
      </c>
      <c r="IA215">
        <f>IF(ISBLANK('Data Entry'!$ī$215), "", 'Data Entry'!$ī$215)</f>
      </c>
      <c r="IB215">
        <f>IF(ISBLANK('Data Entry'!$Ĭ$215), "", 'Data Entry'!$Ĭ$215)</f>
      </c>
      <c r="IC215">
        <f>IF(ISBLANK('Data Entry'!$ĭ$215), "", 'Data Entry'!$ĭ$215)</f>
      </c>
      <c r="ID215">
        <f>IF(ISBLANK('Data Entry'!$Į$215), "", 'Data Entry'!$Į$215)</f>
      </c>
      <c r="IE215">
        <f>IF(ISBLANK('Data Entry'!$į$215), "", 'Data Entry'!$į$215)</f>
      </c>
      <c r="IF215">
        <f>IF(ISBLANK('Data Entry'!$İ$215), "", 'Data Entry'!$İ$215)</f>
      </c>
      <c r="IG215">
        <f>IF(ISBLANK('Data Entry'!$ı$215), "", 'Data Entry'!$ı$215)</f>
      </c>
      <c r="IH215">
        <f>IF(ISBLANK('Data Entry'!$Ĳ$215), "", 'Data Entry'!$Ĳ$215)</f>
      </c>
      <c r="II215">
        <f>IF(ISBLANK('Data Entry'!$ĳ$215), "", 'Data Entry'!$ĳ$215)</f>
      </c>
      <c r="IJ215">
        <f>IF(ISBLANK('Data Entry'!$Ĵ$215), "", 'Data Entry'!$Ĵ$215)</f>
      </c>
      <c r="IK215">
        <f>IF(ISBLANK('Data Entry'!$ĵ$215), "", 'Data Entry'!$ĵ$215)</f>
      </c>
      <c r="IL215">
        <f>IF(ISBLANK('Data Entry'!$Ķ$215), "", 'Data Entry'!$Ķ$215)</f>
      </c>
      <c r="IM215">
        <f>IF(ISBLANK('Data Entry'!$ķ$215), "", 'Data Entry'!$ķ$215)</f>
      </c>
      <c r="IN215">
        <f>IF(ISBLANK('Data Entry'!$ĸ$215), "", 'Data Entry'!$ĸ$215)</f>
      </c>
      <c r="IO215">
        <f>IF(ISBLANK('Data Entry'!$Ĺ$215), "", 'Data Entry'!$Ĺ$215)</f>
      </c>
      <c r="IP215">
        <f>IF(ISBLANK('Data Entry'!$ĺ$215), "", 'Data Entry'!$ĺ$215)</f>
      </c>
      <c r="IQ215">
        <f>IF(ISBLANK('Data Entry'!$Ļ$215), "", 'Data Entry'!$Ļ$215)</f>
      </c>
      <c r="IR215">
        <f>IF(ISBLANK('Data Entry'!$ļ$215), "", 'Data Entry'!$ļ$215)</f>
      </c>
      <c r="IS215">
        <f>IF(ISBLANK('Data Entry'!$Ľ$215), "", 'Data Entry'!$Ľ$215)</f>
      </c>
      <c r="IT215">
        <f>IF(ISBLANK('Data Entry'!$ľ$215), "", 'Data Entry'!$ľ$215)</f>
      </c>
    </row>
    <row r="216" spans="1:254" x14ac:dyDescent="0.25">
      <c r="A216">
        <f>IF(ISBLANK('Data Entry'!$A$216), "", 'Data Entry'!$A$216)</f>
      </c>
      <c r="B216">
        <f>IF(ISBLANK('Data Entry'!$B$216), "", 'Data Entry'!$B$216)</f>
      </c>
      <c r="C216">
        <f>IF(ISBLANK('Data Entry'!$C$216), "", 'Data Entry'!$C$216)</f>
      </c>
      <c r="D216">
        <f>IF(ISBLANK('Data Entry'!$D$216), "", 'Data Entry'!$D$216)</f>
      </c>
      <c r="E216">
        <f>IF(ISBLANK('Data Entry'!$E$216), "", 'Data Entry'!$E$216)</f>
      </c>
      <c r="F216">
        <f>IF(ISBLANK('Data Entry'!$F$216), "", 'Data Entry'!$F$216)</f>
      </c>
      <c r="G216">
        <f>IF(ISBLANK('Data Entry'!$G$216), "", 'Data Entry'!$G$216)</f>
      </c>
      <c r="H216">
        <f>IF(ISBLANK('Data Entry'!$H$216), "", 'Data Entry'!$H$216)</f>
      </c>
      <c r="I216">
        <f>IF(ISBLANK('Data Entry'!$I$216), "", 'Data Entry'!$I$216)</f>
      </c>
      <c r="J216">
        <f>IF(ISBLANK('Data Entry'!$J$216), "", 'Data Entry'!$J$216)</f>
      </c>
      <c r="K216">
        <f>IF(ISBLANK('Data Entry'!$K$216), "", 'Data Entry'!$K$216)</f>
      </c>
      <c r="L216">
        <f>IF(ISBLANK('Data Entry'!$L$216), "", 'Data Entry'!$L$216)</f>
      </c>
      <c r="M216">
        <f>IF(ISBLANK('Data Entry'!$M$216), "", 'Data Entry'!$M$216)</f>
      </c>
      <c r="N216">
        <f>IF(ISBLANK('Data Entry'!$N$216), "", 'Data Entry'!$N$216)</f>
      </c>
      <c r="O216">
        <f>IF(ISBLANK('Data Entry'!$O$216), "", 'Data Entry'!$O$216)</f>
      </c>
      <c r="P216">
        <f>IF(ISBLANK('Data Entry'!$P$216), "", 'Data Entry'!$P$216)</f>
      </c>
      <c r="Q216">
        <f>IF(ISBLANK('Data Entry'!$Q$216), "", 'Data Entry'!$Q$216)</f>
      </c>
      <c r="R216">
        <f>IF(ISBLANK('Data Entry'!$R$216), "", 'Data Entry'!$R$216)</f>
      </c>
      <c r="S216">
        <f>IF(ISBLANK('Data Entry'!$S$216), "", 'Data Entry'!$S$216)</f>
      </c>
      <c r="T216">
        <f>IF(ISBLANK('Data Entry'!$T$216), "", 'Data Entry'!$T$216)</f>
      </c>
      <c r="U216">
        <f>IF(ISBLANK('Data Entry'!$U$216), "", 'Data Entry'!$U$216)</f>
      </c>
      <c r="V216">
        <f>IF(ISBLANK('Data Entry'!$V$216), "", 'Data Entry'!$V$216)</f>
      </c>
      <c r="W216">
        <f>IF(ISBLANK('Data Entry'!$W$216), "", 'Data Entry'!$W$216)</f>
      </c>
      <c r="X216">
        <f>IF(ISBLANK('Data Entry'!$X$216), "", 'Data Entry'!$X$216)</f>
      </c>
      <c r="Y216">
        <f>IF(ISBLANK('Data Entry'!$Y$216), "", 'Data Entry'!$Y$216)</f>
      </c>
      <c r="Z216">
        <f>IF(ISBLANK('Data Entry'!$Z$216), "", 'Data Entry'!$Z$216)</f>
      </c>
      <c r="AA216">
        <f>IF(ISBLANK('Data Entry'!$[$216), "", 'Data Entry'!$[$216)</f>
      </c>
      <c r="AB216">
        <f>IF(ISBLANK('Data Entry'!$\$216), "", 'Data Entry'!$\$216)</f>
      </c>
      <c r="AC216">
        <f>IF(ISBLANK('Data Entry'!$]$216), "", 'Data Entry'!$]$216)</f>
      </c>
      <c r="AD216">
        <f>IF(ISBLANK('Data Entry'!$^$216), "", 'Data Entry'!$^$216)</f>
      </c>
      <c r="AE216">
        <f>IF(ISBLANK('Data Entry'!$_$216), "", 'Data Entry'!$_$216)</f>
      </c>
      <c r="AF216">
        <f>IF(ISBLANK('Data Entry'!$`$216), "", 'Data Entry'!$`$216)</f>
      </c>
      <c r="AG216">
        <f>IF(ISBLANK('Data Entry'!$a$216), "", 'Data Entry'!$a$216)</f>
      </c>
      <c r="AH216">
        <f>IF(ISBLANK('Data Entry'!$b$216), "", 'Data Entry'!$b$216)</f>
      </c>
      <c r="AI216">
        <f>IF(ISBLANK('Data Entry'!$c$216), "", 'Data Entry'!$c$216)</f>
      </c>
      <c r="AJ216">
        <f>IF(ISBLANK('Data Entry'!$d$216), "", 'Data Entry'!$d$216)</f>
      </c>
      <c r="AK216">
        <f>IF(ISBLANK('Data Entry'!$e$216), "", 'Data Entry'!$e$216)</f>
      </c>
      <c r="AL216">
        <f>IF(ISBLANK('Data Entry'!$f$216), "", 'Data Entry'!$f$216)</f>
      </c>
      <c r="AM216">
        <f>IF(ISBLANK('Data Entry'!$g$216), "", 'Data Entry'!$g$216)</f>
      </c>
      <c r="AN216">
        <f>IF(ISBLANK('Data Entry'!$h$216), "", 'Data Entry'!$h$216)</f>
      </c>
      <c r="AO216">
        <f>IF(ISBLANK('Data Entry'!$i$216), "", 'Data Entry'!$i$216)</f>
      </c>
      <c r="AP216">
        <f>IF(ISBLANK('Data Entry'!$j$216), "", 'Data Entry'!$j$216)</f>
      </c>
      <c r="AQ216">
        <f>IF(ISBLANK('Data Entry'!$k$216), "", 'Data Entry'!$k$216)</f>
      </c>
      <c r="AR216">
        <f>IF(ISBLANK('Data Entry'!$l$216), "", 'Data Entry'!$l$216)</f>
      </c>
      <c r="AS216">
        <f>IF(ISBLANK('Data Entry'!$m$216), "", 'Data Entry'!$m$216)</f>
      </c>
      <c r="AT216">
        <f>IF(ISBLANK('Data Entry'!$n$216), "", 'Data Entry'!$n$216)</f>
      </c>
      <c r="AU216">
        <f>IF(ISBLANK('Data Entry'!$o$216), "", 'Data Entry'!$o$216)</f>
      </c>
      <c r="AV216">
        <f>IF(ISBLANK('Data Entry'!$p$216), "", 'Data Entry'!$p$216)</f>
      </c>
      <c r="AW216">
        <f>IF(ISBLANK('Data Entry'!$q$216), "", 'Data Entry'!$q$216)</f>
      </c>
      <c r="AX216">
        <f>IF(ISBLANK('Data Entry'!$r$216), "", 'Data Entry'!$r$216)</f>
      </c>
      <c r="AY216">
        <f>IF(ISBLANK('Data Entry'!$s$216), "", 'Data Entry'!$s$216)</f>
      </c>
      <c r="AZ216">
        <f>IF(ISBLANK('Data Entry'!$t$216), "", 'Data Entry'!$t$216)</f>
      </c>
      <c r="BA216">
        <f>IF(ISBLANK('Data Entry'!$u$216), "", 'Data Entry'!$u$216)</f>
      </c>
      <c r="BB216">
        <f>IF(ISBLANK('Data Entry'!$v$216), "", 'Data Entry'!$v$216)</f>
      </c>
      <c r="BC216">
        <f>IF(ISBLANK('Data Entry'!$w$216), "", 'Data Entry'!$w$216)</f>
      </c>
      <c r="BD216">
        <f>IF(ISBLANK('Data Entry'!$x$216), "", 'Data Entry'!$x$216)</f>
      </c>
      <c r="BE216">
        <f>IF(ISBLANK('Data Entry'!$y$216), "", 'Data Entry'!$y$216)</f>
      </c>
      <c r="BF216">
        <f>IF(ISBLANK('Data Entry'!$z$216), "", 'Data Entry'!$z$216)</f>
      </c>
      <c r="BG216">
        <f>IF(ISBLANK('Data Entry'!${$216), "", 'Data Entry'!${$216)</f>
      </c>
      <c r="BH216">
        <f>IF(ISBLANK('Data Entry'!$|$216), "", 'Data Entry'!$|$216)</f>
      </c>
      <c r="BI216">
        <f>IF(ISBLANK('Data Entry'!$}$216), "", 'Data Entry'!$}$216)</f>
      </c>
      <c r="BJ216">
        <f>IF(ISBLANK('Data Entry'!$~$216), "", 'Data Entry'!$~$216)</f>
      </c>
      <c r="BK216">
        <f>IF(ISBLANK('Data Entry'!$$216), "", 'Data Entry'!$$216)</f>
      </c>
      <c r="BL216">
        <f>IF(ISBLANK('Data Entry'!$$216), "", 'Data Entry'!$$216)</f>
      </c>
      <c r="BM216">
        <f>IF(ISBLANK('Data Entry'!$$216), "", 'Data Entry'!$$216)</f>
      </c>
      <c r="BN216">
        <f>IF(ISBLANK('Data Entry'!$$216), "", 'Data Entry'!$$216)</f>
      </c>
      <c r="BO216">
        <f>IF(ISBLANK('Data Entry'!$$216), "", 'Data Entry'!$$216)</f>
      </c>
      <c r="BP216">
        <f>IF(ISBLANK('Data Entry'!$$216), "", 'Data Entry'!$$216)</f>
      </c>
      <c r="BQ216">
        <f>IF(ISBLANK('Data Entry'!$$216), "", 'Data Entry'!$$216)</f>
      </c>
      <c r="BR216">
        <f>IF(ISBLANK('Data Entry'!$$216), "", 'Data Entry'!$$216)</f>
      </c>
      <c r="BS216">
        <f>IF(ISBLANK('Data Entry'!$$216), "", 'Data Entry'!$$216)</f>
      </c>
      <c r="BT216">
        <f>IF(ISBLANK('Data Entry'!$$216), "", 'Data Entry'!$$216)</f>
      </c>
      <c r="BU216">
        <f>IF(ISBLANK('Data Entry'!$$216), "", 'Data Entry'!$$216)</f>
      </c>
      <c r="BV216">
        <f>IF(ISBLANK('Data Entry'!$$216), "", 'Data Entry'!$$216)</f>
      </c>
      <c r="BW216">
        <f>IF(ISBLANK('Data Entry'!$$216), "", 'Data Entry'!$$216)</f>
      </c>
      <c r="BX216">
        <f>IF(ISBLANK('Data Entry'!$$216), "", 'Data Entry'!$$216)</f>
      </c>
      <c r="BY216">
        <f>IF(ISBLANK('Data Entry'!$$216), "", 'Data Entry'!$$216)</f>
      </c>
      <c r="BZ216">
        <f>IF(ISBLANK('Data Entry'!$$216), "", 'Data Entry'!$$216)</f>
      </c>
      <c r="CA216">
        <f>IF(ISBLANK('Data Entry'!$$216), "", 'Data Entry'!$$216)</f>
      </c>
      <c r="CB216">
        <f>IF(ISBLANK('Data Entry'!$$216), "", 'Data Entry'!$$216)</f>
      </c>
      <c r="CC216">
        <f>IF(ISBLANK('Data Entry'!$$216), "", 'Data Entry'!$$216)</f>
      </c>
      <c r="CD216">
        <f>IF(ISBLANK('Data Entry'!$$216), "", 'Data Entry'!$$216)</f>
      </c>
      <c r="CE216">
        <f>IF(ISBLANK('Data Entry'!$$216), "", 'Data Entry'!$$216)</f>
      </c>
      <c r="CF216">
        <f>IF(ISBLANK('Data Entry'!$$216), "", 'Data Entry'!$$216)</f>
      </c>
      <c r="CG216">
        <f>IF(ISBLANK('Data Entry'!$$216), "", 'Data Entry'!$$216)</f>
      </c>
      <c r="CH216">
        <f>IF(ISBLANK('Data Entry'!$$216), "", 'Data Entry'!$$216)</f>
      </c>
      <c r="CI216">
        <f>IF(ISBLANK('Data Entry'!$$216), "", 'Data Entry'!$$216)</f>
      </c>
      <c r="CJ216">
        <f>IF(ISBLANK('Data Entry'!$$216), "", 'Data Entry'!$$216)</f>
      </c>
      <c r="CK216">
        <f>IF(ISBLANK('Data Entry'!$$216), "", 'Data Entry'!$$216)</f>
      </c>
      <c r="CL216">
        <f>IF(ISBLANK('Data Entry'!$$216), "", 'Data Entry'!$$216)</f>
      </c>
      <c r="CM216">
        <f>IF(ISBLANK('Data Entry'!$$216), "", 'Data Entry'!$$216)</f>
      </c>
      <c r="CN216">
        <f>IF(ISBLANK('Data Entry'!$$216), "", 'Data Entry'!$$216)</f>
      </c>
      <c r="CO216">
        <f>IF(ISBLANK('Data Entry'!$$216), "", 'Data Entry'!$$216)</f>
      </c>
      <c r="CP216">
        <f>IF(ISBLANK('Data Entry'!$$216), "", 'Data Entry'!$$216)</f>
      </c>
      <c r="CQ216">
        <f>IF(ISBLANK('Data Entry'!$$216), "", 'Data Entry'!$$216)</f>
      </c>
      <c r="CR216">
        <f>IF(ISBLANK('Data Entry'!$ $216), "", 'Data Entry'!$ $216)</f>
      </c>
      <c r="CS216">
        <f>IF(ISBLANK('Data Entry'!$¡$216), "", 'Data Entry'!$¡$216)</f>
      </c>
      <c r="CT216">
        <f>IF(ISBLANK('Data Entry'!$¢$216), "", 'Data Entry'!$¢$216)</f>
      </c>
      <c r="CU216">
        <f>IF(ISBLANK('Data Entry'!$£$216), "", 'Data Entry'!$£$216)</f>
      </c>
      <c r="CV216">
        <f>IF(ISBLANK('Data Entry'!$¤$216), "", 'Data Entry'!$¤$216)</f>
      </c>
      <c r="CW216">
        <f>IF(ISBLANK('Data Entry'!$¥$216), "", 'Data Entry'!$¥$216)</f>
      </c>
      <c r="CX216">
        <f>IF(ISBLANK('Data Entry'!$¦$216), "", 'Data Entry'!$¦$216)</f>
      </c>
      <c r="CY216">
        <f>IF(ISBLANK('Data Entry'!$§$216), "", 'Data Entry'!$§$216)</f>
      </c>
      <c r="CZ216">
        <f>IF(ISBLANK('Data Entry'!$¨$216), "", 'Data Entry'!$¨$216)</f>
      </c>
      <c r="DA216">
        <f>IF(ISBLANK('Data Entry'!$©$216), "", 'Data Entry'!$©$216)</f>
      </c>
      <c r="DB216">
        <f>IF(ISBLANK('Data Entry'!$ª$216), "", 'Data Entry'!$ª$216)</f>
      </c>
      <c r="DC216">
        <f>IF(ISBLANK('Data Entry'!$«$216), "", 'Data Entry'!$«$216)</f>
      </c>
      <c r="DD216">
        <f>IF(ISBLANK('Data Entry'!$¬$216), "", 'Data Entry'!$¬$216)</f>
      </c>
      <c r="DE216">
        <f>IF(ISBLANK('Data Entry'!$­$216), "", 'Data Entry'!$­$216)</f>
      </c>
      <c r="DF216">
        <f>IF(ISBLANK('Data Entry'!$®$216), "", 'Data Entry'!$®$216)</f>
      </c>
      <c r="DG216">
        <f>IF(ISBLANK('Data Entry'!$¯$216), "", 'Data Entry'!$¯$216)</f>
      </c>
      <c r="DH216">
        <f>IF(ISBLANK('Data Entry'!$°$216), "", 'Data Entry'!$°$216)</f>
      </c>
      <c r="DI216">
        <f>IF(ISBLANK('Data Entry'!$±$216), "", 'Data Entry'!$±$216)</f>
      </c>
      <c r="DJ216">
        <f>IF(ISBLANK('Data Entry'!$²$216), "", 'Data Entry'!$²$216)</f>
      </c>
      <c r="DK216">
        <f>IF(ISBLANK('Data Entry'!$³$216), "", 'Data Entry'!$³$216)</f>
      </c>
      <c r="DL216">
        <f>IF(ISBLANK('Data Entry'!$´$216), "", 'Data Entry'!$´$216)</f>
      </c>
      <c r="DM216">
        <f>IF(ISBLANK('Data Entry'!$µ$216), "", 'Data Entry'!$µ$216)</f>
      </c>
      <c r="DN216">
        <f>IF(ISBLANK('Data Entry'!$¶$216), "", 'Data Entry'!$¶$216)</f>
      </c>
      <c r="DO216">
        <f>IF(ISBLANK('Data Entry'!$·$216), "", 'Data Entry'!$·$216)</f>
      </c>
      <c r="DP216">
        <f>IF(ISBLANK('Data Entry'!$¸$216), "", 'Data Entry'!$¸$216)</f>
      </c>
      <c r="DQ216">
        <f>IF(ISBLANK('Data Entry'!$¹$216), "", 'Data Entry'!$¹$216)</f>
      </c>
      <c r="DR216">
        <f>IF(ISBLANK('Data Entry'!$º$216), "", 'Data Entry'!$º$216)</f>
      </c>
      <c r="DS216">
        <f>IF(ISBLANK('Data Entry'!$»$216), "", 'Data Entry'!$»$216)</f>
      </c>
      <c r="DT216">
        <f>IF(ISBLANK('Data Entry'!$¼$216), "", 'Data Entry'!$¼$216)</f>
      </c>
      <c r="DU216">
        <f>IF(ISBLANK('Data Entry'!$½$216), "", 'Data Entry'!$½$216)</f>
      </c>
      <c r="DV216">
        <f>IF(ISBLANK('Data Entry'!$¾$216), "", 'Data Entry'!$¾$216)</f>
      </c>
      <c r="DW216">
        <f>IF(ISBLANK('Data Entry'!$¿$216), "", 'Data Entry'!$¿$216)</f>
      </c>
      <c r="DX216">
        <f>IF(ISBLANK('Data Entry'!$À$216), "", 'Data Entry'!$À$216)</f>
      </c>
      <c r="DY216">
        <f>IF(ISBLANK('Data Entry'!$Á$216), "", 'Data Entry'!$Á$216)</f>
      </c>
      <c r="DZ216">
        <f>IF(ISBLANK('Data Entry'!$Â$216), "", 'Data Entry'!$Â$216)</f>
      </c>
      <c r="EA216">
        <f>IF(ISBLANK('Data Entry'!$Ã$216), "", 'Data Entry'!$Ã$216)</f>
      </c>
      <c r="EB216">
        <f>IF(ISBLANK('Data Entry'!$Ä$216), "", 'Data Entry'!$Ä$216)</f>
      </c>
      <c r="EC216">
        <f>IF(ISBLANK('Data Entry'!$Å$216), "", 'Data Entry'!$Å$216)</f>
      </c>
      <c r="ED216">
        <f>IF(ISBLANK('Data Entry'!$Æ$216), "", 'Data Entry'!$Æ$216)</f>
      </c>
      <c r="EE216">
        <f>IF(ISBLANK('Data Entry'!$Ç$216), "", 'Data Entry'!$Ç$216)</f>
      </c>
      <c r="EF216">
        <f>IF(ISBLANK('Data Entry'!$È$216), "", 'Data Entry'!$È$216)</f>
      </c>
      <c r="EG216">
        <f>IF(ISBLANK('Data Entry'!$É$216), "", 'Data Entry'!$É$216)</f>
      </c>
      <c r="EH216">
        <f>IF(ISBLANK('Data Entry'!$Ê$216), "", 'Data Entry'!$Ê$216)</f>
      </c>
      <c r="EI216">
        <f>IF(ISBLANK('Data Entry'!$Ë$216), "", 'Data Entry'!$Ë$216)</f>
      </c>
      <c r="EJ216">
        <f>IF(ISBLANK('Data Entry'!$Ì$216), "", 'Data Entry'!$Ì$216)</f>
      </c>
      <c r="EK216">
        <f>IF(ISBLANK('Data Entry'!$Í$216), "", 'Data Entry'!$Í$216)</f>
      </c>
      <c r="EL216">
        <f>IF(ISBLANK('Data Entry'!$Î$216), "", 'Data Entry'!$Î$216)</f>
      </c>
      <c r="EM216">
        <f>IF(ISBLANK('Data Entry'!$Ï$216), "", 'Data Entry'!$Ï$216)</f>
      </c>
      <c r="EN216">
        <f>IF(ISBLANK('Data Entry'!$Ð$216), "", 'Data Entry'!$Ð$216)</f>
      </c>
      <c r="EO216">
        <f>IF(ISBLANK('Data Entry'!$Ñ$216), "", 'Data Entry'!$Ñ$216)</f>
      </c>
      <c r="EP216">
        <f>IF(ISBLANK('Data Entry'!$Ò$216), "", 'Data Entry'!$Ò$216)</f>
      </c>
      <c r="EQ216">
        <f>IF(ISBLANK('Data Entry'!$Ó$216), "", 'Data Entry'!$Ó$216)</f>
      </c>
      <c r="ER216">
        <f>IF(ISBLANK('Data Entry'!$Ô$216), "", 'Data Entry'!$Ô$216)</f>
      </c>
      <c r="ES216">
        <f>IF(ISBLANK('Data Entry'!$Õ$216), "", 'Data Entry'!$Õ$216)</f>
      </c>
      <c r="ET216">
        <f>IF(ISBLANK('Data Entry'!$Ö$216), "", 'Data Entry'!$Ö$216)</f>
      </c>
      <c r="EU216">
        <f>IF(ISBLANK('Data Entry'!$×$216), "", 'Data Entry'!$×$216)</f>
      </c>
      <c r="EV216">
        <f>IF(ISBLANK('Data Entry'!$Ø$216), "", 'Data Entry'!$Ø$216)</f>
      </c>
      <c r="EW216">
        <f>IF(ISBLANK('Data Entry'!$Ù$216), "", 'Data Entry'!$Ù$216)</f>
      </c>
      <c r="EX216">
        <f>IF(ISBLANK('Data Entry'!$Ú$216), "", 'Data Entry'!$Ú$216)</f>
      </c>
      <c r="EY216">
        <f>IF(ISBLANK('Data Entry'!$Û$216), "", 'Data Entry'!$Û$216)</f>
      </c>
      <c r="EZ216">
        <f>IF(ISBLANK('Data Entry'!$Ü$216), "", 'Data Entry'!$Ü$216)</f>
      </c>
      <c r="FA216">
        <f>IF(ISBLANK('Data Entry'!$Ý$216), "", 'Data Entry'!$Ý$216)</f>
      </c>
      <c r="FB216">
        <f>IF(ISBLANK('Data Entry'!$Þ$216), "", 'Data Entry'!$Þ$216)</f>
      </c>
      <c r="FC216">
        <f>IF(ISBLANK('Data Entry'!$ß$216), "", 'Data Entry'!$ß$216)</f>
      </c>
      <c r="FD216">
        <f>IF(ISBLANK('Data Entry'!$à$216), "", 'Data Entry'!$à$216)</f>
      </c>
      <c r="FE216">
        <f>IF(ISBLANK('Data Entry'!$á$216), "", 'Data Entry'!$á$216)</f>
      </c>
      <c r="FF216">
        <f>IF(ISBLANK('Data Entry'!$â$216), "", 'Data Entry'!$â$216)</f>
      </c>
      <c r="FG216">
        <f>IF(ISBLANK('Data Entry'!$ã$216), "", 'Data Entry'!$ã$216)</f>
      </c>
      <c r="FH216">
        <f>IF(ISBLANK('Data Entry'!$ä$216), "", 'Data Entry'!$ä$216)</f>
      </c>
      <c r="FI216">
        <f>IF(ISBLANK('Data Entry'!$å$216), "", 'Data Entry'!$å$216)</f>
      </c>
      <c r="FJ216">
        <f>IF(ISBLANK('Data Entry'!$æ$216), "", 'Data Entry'!$æ$216)</f>
      </c>
      <c r="FK216">
        <f>IF(ISBLANK('Data Entry'!$ç$216), "", 'Data Entry'!$ç$216)</f>
      </c>
      <c r="FL216">
        <f>IF(ISBLANK('Data Entry'!$è$216), "", 'Data Entry'!$è$216)</f>
      </c>
      <c r="FM216">
        <f>IF(ISBLANK('Data Entry'!$é$216), "", 'Data Entry'!$é$216)</f>
      </c>
      <c r="FN216">
        <f>IF(ISBLANK('Data Entry'!$ê$216), "", 'Data Entry'!$ê$216)</f>
      </c>
      <c r="FO216">
        <f>IF(ISBLANK('Data Entry'!$ë$216), "", 'Data Entry'!$ë$216)</f>
      </c>
      <c r="FP216">
        <f>IF(ISBLANK('Data Entry'!$ì$216), "", 'Data Entry'!$ì$216)</f>
      </c>
      <c r="FQ216">
        <f>IF(ISBLANK('Data Entry'!$í$216), "", 'Data Entry'!$í$216)</f>
      </c>
      <c r="FR216">
        <f>IF(ISBLANK('Data Entry'!$î$216), "", 'Data Entry'!$î$216)</f>
      </c>
      <c r="FS216">
        <f>IF(ISBLANK('Data Entry'!$ï$216), "", 'Data Entry'!$ï$216)</f>
      </c>
      <c r="FT216">
        <f>IF(ISBLANK('Data Entry'!$ð$216), "", 'Data Entry'!$ð$216)</f>
      </c>
      <c r="FU216">
        <f>IF(ISBLANK('Data Entry'!$ñ$216), "", 'Data Entry'!$ñ$216)</f>
      </c>
      <c r="FV216">
        <f>IF(ISBLANK('Data Entry'!$ò$216), "", 'Data Entry'!$ò$216)</f>
      </c>
      <c r="FW216">
        <f>IF(ISBLANK('Data Entry'!$ó$216), "", 'Data Entry'!$ó$216)</f>
      </c>
      <c r="FX216">
        <f>IF(ISBLANK('Data Entry'!$ô$216), "", 'Data Entry'!$ô$216)</f>
      </c>
      <c r="FY216">
        <f>IF(ISBLANK('Data Entry'!$õ$216), "", 'Data Entry'!$õ$216)</f>
      </c>
      <c r="FZ216">
        <f>IF(ISBLANK('Data Entry'!$ö$216), "", 'Data Entry'!$ö$216)</f>
      </c>
      <c r="GA216">
        <f>IF(ISBLANK('Data Entry'!$÷$216), "", 'Data Entry'!$÷$216)</f>
      </c>
      <c r="GB216">
        <f>IF(ISBLANK('Data Entry'!$ø$216), "", 'Data Entry'!$ø$216)</f>
      </c>
      <c r="GC216">
        <f>IF(ISBLANK('Data Entry'!$ù$216), "", 'Data Entry'!$ù$216)</f>
      </c>
      <c r="GD216">
        <f>IF(ISBLANK('Data Entry'!$ú$216), "", 'Data Entry'!$ú$216)</f>
      </c>
      <c r="GE216">
        <f>IF(ISBLANK('Data Entry'!$û$216), "", 'Data Entry'!$û$216)</f>
      </c>
      <c r="GF216">
        <f>IF(ISBLANK('Data Entry'!$ü$216), "", 'Data Entry'!$ü$216)</f>
      </c>
      <c r="GG216">
        <f>IF(ISBLANK('Data Entry'!$ý$216), "", 'Data Entry'!$ý$216)</f>
      </c>
      <c r="GH216">
        <f>IF(ISBLANK('Data Entry'!$þ$216), "", 'Data Entry'!$þ$216)</f>
      </c>
      <c r="GI216">
        <f>IF(ISBLANK('Data Entry'!$ÿ$216), "", 'Data Entry'!$ÿ$216)</f>
      </c>
      <c r="GJ216">
        <f>IF(ISBLANK('Data Entry'!$Ā$216), "", 'Data Entry'!$Ā$216)</f>
      </c>
      <c r="GK216">
        <f>IF(ISBLANK('Data Entry'!$ā$216), "", 'Data Entry'!$ā$216)</f>
      </c>
      <c r="GL216">
        <f>IF(ISBLANK('Data Entry'!$Ă$216), "", 'Data Entry'!$Ă$216)</f>
      </c>
      <c r="GM216">
        <f>IF(ISBLANK('Data Entry'!$ă$216), "", 'Data Entry'!$ă$216)</f>
      </c>
      <c r="GN216">
        <f>IF(ISBLANK('Data Entry'!$Ą$216), "", 'Data Entry'!$Ą$216)</f>
      </c>
      <c r="GO216">
        <f>IF(ISBLANK('Data Entry'!$ą$216), "", 'Data Entry'!$ą$216)</f>
      </c>
      <c r="GP216">
        <f>IF(ISBLANK('Data Entry'!$Ć$216), "", 'Data Entry'!$Ć$216)</f>
      </c>
      <c r="GQ216">
        <f>IF(ISBLANK('Data Entry'!$ć$216), "", 'Data Entry'!$ć$216)</f>
      </c>
      <c r="GR216">
        <f>IF(ISBLANK('Data Entry'!$Ĉ$216), "", 'Data Entry'!$Ĉ$216)</f>
      </c>
      <c r="GS216">
        <f>IF(ISBLANK('Data Entry'!$ĉ$216), "", 'Data Entry'!$ĉ$216)</f>
      </c>
      <c r="GT216">
        <f>IF(ISBLANK('Data Entry'!$Ċ$216), "", 'Data Entry'!$Ċ$216)</f>
      </c>
      <c r="GU216">
        <f>IF(ISBLANK('Data Entry'!$ċ$216), "", 'Data Entry'!$ċ$216)</f>
      </c>
      <c r="GV216">
        <f>IF(ISBLANK('Data Entry'!$Č$216), "", 'Data Entry'!$Č$216)</f>
      </c>
      <c r="GW216">
        <f>IF(ISBLANK('Data Entry'!$č$216), "", 'Data Entry'!$č$216)</f>
      </c>
      <c r="GX216">
        <f>IF(ISBLANK('Data Entry'!$Ď$216), "", 'Data Entry'!$Ď$216)</f>
      </c>
      <c r="GY216">
        <f>IF(ISBLANK('Data Entry'!$ď$216), "", 'Data Entry'!$ď$216)</f>
      </c>
      <c r="GZ216">
        <f>IF(ISBLANK('Data Entry'!$Đ$216), "", 'Data Entry'!$Đ$216)</f>
      </c>
      <c r="HA216">
        <f>IF(ISBLANK('Data Entry'!$đ$216), "", 'Data Entry'!$đ$216)</f>
      </c>
      <c r="HB216">
        <f>IF(ISBLANK('Data Entry'!$Ē$216), "", 'Data Entry'!$Ē$216)</f>
      </c>
      <c r="HC216">
        <f>IF(ISBLANK('Data Entry'!$ē$216), "", 'Data Entry'!$ē$216)</f>
      </c>
      <c r="HD216">
        <f>IF(ISBLANK('Data Entry'!$Ĕ$216), "", 'Data Entry'!$Ĕ$216)</f>
      </c>
      <c r="HE216">
        <f>IF(ISBLANK('Data Entry'!$ĕ$216), "", 'Data Entry'!$ĕ$216)</f>
      </c>
      <c r="HF216">
        <f>IF(ISBLANK('Data Entry'!$Ė$216), "", 'Data Entry'!$Ė$216)</f>
      </c>
      <c r="HG216">
        <f>IF(ISBLANK('Data Entry'!$ė$216), "", 'Data Entry'!$ė$216)</f>
      </c>
      <c r="HH216">
        <f>IF(ISBLANK('Data Entry'!$Ę$216), "", 'Data Entry'!$Ę$216)</f>
      </c>
      <c r="HI216">
        <f>IF(ISBLANK('Data Entry'!$ę$216), "", 'Data Entry'!$ę$216)</f>
      </c>
      <c r="HJ216">
        <f>IF(ISBLANK('Data Entry'!$Ě$216), "", 'Data Entry'!$Ě$216)</f>
      </c>
      <c r="HK216">
        <f>IF(ISBLANK('Data Entry'!$ě$216), "", 'Data Entry'!$ě$216)</f>
      </c>
      <c r="HL216">
        <f>IF(ISBLANK('Data Entry'!$Ĝ$216), "", 'Data Entry'!$Ĝ$216)</f>
      </c>
      <c r="HM216">
        <f>IF(ISBLANK('Data Entry'!$ĝ$216), "", 'Data Entry'!$ĝ$216)</f>
      </c>
      <c r="HN216">
        <f>IF(ISBLANK('Data Entry'!$Ğ$216), "", 'Data Entry'!$Ğ$216)</f>
      </c>
      <c r="HO216">
        <f>IF(ISBLANK('Data Entry'!$ğ$216), "", 'Data Entry'!$ğ$216)</f>
      </c>
      <c r="HP216">
        <f>IF(ISBLANK('Data Entry'!$Ġ$216), "", 'Data Entry'!$Ġ$216)</f>
      </c>
      <c r="HQ216">
        <f>IF(ISBLANK('Data Entry'!$ġ$216), "", 'Data Entry'!$ġ$216)</f>
      </c>
      <c r="HR216">
        <f>IF(ISBLANK('Data Entry'!$Ģ$216), "", 'Data Entry'!$Ģ$216)</f>
      </c>
      <c r="HS216">
        <f>IF(ISBLANK('Data Entry'!$ģ$216), "", 'Data Entry'!$ģ$216)</f>
      </c>
      <c r="HT216">
        <f>IF(ISBLANK('Data Entry'!$Ĥ$216), "", 'Data Entry'!$Ĥ$216)</f>
      </c>
      <c r="HU216">
        <f>IF(ISBLANK('Data Entry'!$ĥ$216), "", 'Data Entry'!$ĥ$216)</f>
      </c>
      <c r="HV216">
        <f>IF(ISBLANK('Data Entry'!$Ħ$216), "", 'Data Entry'!$Ħ$216)</f>
      </c>
      <c r="HW216">
        <f>IF(ISBLANK('Data Entry'!$ħ$216), "", 'Data Entry'!$ħ$216)</f>
      </c>
      <c r="HX216">
        <f>IF(ISBLANK('Data Entry'!$Ĩ$216), "", 'Data Entry'!$Ĩ$216)</f>
      </c>
      <c r="HY216">
        <f>IF(ISBLANK('Data Entry'!$ĩ$216), "", 'Data Entry'!$ĩ$216)</f>
      </c>
      <c r="HZ216">
        <f>IF(ISBLANK('Data Entry'!$Ī$216), "", 'Data Entry'!$Ī$216)</f>
      </c>
      <c r="IA216">
        <f>IF(ISBLANK('Data Entry'!$ī$216), "", 'Data Entry'!$ī$216)</f>
      </c>
      <c r="IB216">
        <f>IF(ISBLANK('Data Entry'!$Ĭ$216), "", 'Data Entry'!$Ĭ$216)</f>
      </c>
      <c r="IC216">
        <f>IF(ISBLANK('Data Entry'!$ĭ$216), "", 'Data Entry'!$ĭ$216)</f>
      </c>
      <c r="ID216">
        <f>IF(ISBLANK('Data Entry'!$Į$216), "", 'Data Entry'!$Į$216)</f>
      </c>
      <c r="IE216">
        <f>IF(ISBLANK('Data Entry'!$į$216), "", 'Data Entry'!$į$216)</f>
      </c>
      <c r="IF216">
        <f>IF(ISBLANK('Data Entry'!$İ$216), "", 'Data Entry'!$İ$216)</f>
      </c>
      <c r="IG216">
        <f>IF(ISBLANK('Data Entry'!$ı$216), "", 'Data Entry'!$ı$216)</f>
      </c>
      <c r="IH216">
        <f>IF(ISBLANK('Data Entry'!$Ĳ$216), "", 'Data Entry'!$Ĳ$216)</f>
      </c>
      <c r="II216">
        <f>IF(ISBLANK('Data Entry'!$ĳ$216), "", 'Data Entry'!$ĳ$216)</f>
      </c>
      <c r="IJ216">
        <f>IF(ISBLANK('Data Entry'!$Ĵ$216), "", 'Data Entry'!$Ĵ$216)</f>
      </c>
      <c r="IK216">
        <f>IF(ISBLANK('Data Entry'!$ĵ$216), "", 'Data Entry'!$ĵ$216)</f>
      </c>
      <c r="IL216">
        <f>IF(ISBLANK('Data Entry'!$Ķ$216), "", 'Data Entry'!$Ķ$216)</f>
      </c>
      <c r="IM216">
        <f>IF(ISBLANK('Data Entry'!$ķ$216), "", 'Data Entry'!$ķ$216)</f>
      </c>
      <c r="IN216">
        <f>IF(ISBLANK('Data Entry'!$ĸ$216), "", 'Data Entry'!$ĸ$216)</f>
      </c>
      <c r="IO216">
        <f>IF(ISBLANK('Data Entry'!$Ĺ$216), "", 'Data Entry'!$Ĺ$216)</f>
      </c>
      <c r="IP216">
        <f>IF(ISBLANK('Data Entry'!$ĺ$216), "", 'Data Entry'!$ĺ$216)</f>
      </c>
      <c r="IQ216">
        <f>IF(ISBLANK('Data Entry'!$Ļ$216), "", 'Data Entry'!$Ļ$216)</f>
      </c>
      <c r="IR216">
        <f>IF(ISBLANK('Data Entry'!$ļ$216), "", 'Data Entry'!$ļ$216)</f>
      </c>
      <c r="IS216">
        <f>IF(ISBLANK('Data Entry'!$Ľ$216), "", 'Data Entry'!$Ľ$216)</f>
      </c>
      <c r="IT216">
        <f>IF(ISBLANK('Data Entry'!$ľ$216), "", 'Data Entry'!$ľ$216)</f>
      </c>
    </row>
    <row r="217" spans="1:254" x14ac:dyDescent="0.25">
      <c r="A217">
        <f>IF(ISBLANK('Data Entry'!$A$217), "", 'Data Entry'!$A$217)</f>
      </c>
      <c r="B217">
        <f>IF(ISBLANK('Data Entry'!$B$217), "", 'Data Entry'!$B$217)</f>
      </c>
      <c r="C217">
        <f>IF(ISBLANK('Data Entry'!$C$217), "", 'Data Entry'!$C$217)</f>
      </c>
      <c r="D217">
        <f>IF(ISBLANK('Data Entry'!$D$217), "", 'Data Entry'!$D$217)</f>
      </c>
      <c r="E217">
        <f>IF(ISBLANK('Data Entry'!$E$217), "", 'Data Entry'!$E$217)</f>
      </c>
      <c r="F217">
        <f>IF(ISBLANK('Data Entry'!$F$217), "", 'Data Entry'!$F$217)</f>
      </c>
      <c r="G217">
        <f>IF(ISBLANK('Data Entry'!$G$217), "", 'Data Entry'!$G$217)</f>
      </c>
      <c r="H217">
        <f>IF(ISBLANK('Data Entry'!$H$217), "", 'Data Entry'!$H$217)</f>
      </c>
      <c r="I217">
        <f>IF(ISBLANK('Data Entry'!$I$217), "", 'Data Entry'!$I$217)</f>
      </c>
      <c r="J217">
        <f>IF(ISBLANK('Data Entry'!$J$217), "", 'Data Entry'!$J$217)</f>
      </c>
      <c r="K217">
        <f>IF(ISBLANK('Data Entry'!$K$217), "", 'Data Entry'!$K$217)</f>
      </c>
      <c r="L217">
        <f>IF(ISBLANK('Data Entry'!$L$217), "", 'Data Entry'!$L$217)</f>
      </c>
      <c r="M217">
        <f>IF(ISBLANK('Data Entry'!$M$217), "", 'Data Entry'!$M$217)</f>
      </c>
      <c r="N217">
        <f>IF(ISBLANK('Data Entry'!$N$217), "", 'Data Entry'!$N$217)</f>
      </c>
      <c r="O217">
        <f>IF(ISBLANK('Data Entry'!$O$217), "", 'Data Entry'!$O$217)</f>
      </c>
      <c r="P217">
        <f>IF(ISBLANK('Data Entry'!$P$217), "", 'Data Entry'!$P$217)</f>
      </c>
      <c r="Q217">
        <f>IF(ISBLANK('Data Entry'!$Q$217), "", 'Data Entry'!$Q$217)</f>
      </c>
      <c r="R217">
        <f>IF(ISBLANK('Data Entry'!$R$217), "", 'Data Entry'!$R$217)</f>
      </c>
      <c r="S217">
        <f>IF(ISBLANK('Data Entry'!$S$217), "", 'Data Entry'!$S$217)</f>
      </c>
      <c r="T217">
        <f>IF(ISBLANK('Data Entry'!$T$217), "", 'Data Entry'!$T$217)</f>
      </c>
      <c r="U217">
        <f>IF(ISBLANK('Data Entry'!$U$217), "", 'Data Entry'!$U$217)</f>
      </c>
      <c r="V217">
        <f>IF(ISBLANK('Data Entry'!$V$217), "", 'Data Entry'!$V$217)</f>
      </c>
      <c r="W217">
        <f>IF(ISBLANK('Data Entry'!$W$217), "", 'Data Entry'!$W$217)</f>
      </c>
      <c r="X217">
        <f>IF(ISBLANK('Data Entry'!$X$217), "", 'Data Entry'!$X$217)</f>
      </c>
      <c r="Y217">
        <f>IF(ISBLANK('Data Entry'!$Y$217), "", 'Data Entry'!$Y$217)</f>
      </c>
      <c r="Z217">
        <f>IF(ISBLANK('Data Entry'!$Z$217), "", 'Data Entry'!$Z$217)</f>
      </c>
      <c r="AA217">
        <f>IF(ISBLANK('Data Entry'!$[$217), "", 'Data Entry'!$[$217)</f>
      </c>
      <c r="AB217">
        <f>IF(ISBLANK('Data Entry'!$\$217), "", 'Data Entry'!$\$217)</f>
      </c>
      <c r="AC217">
        <f>IF(ISBLANK('Data Entry'!$]$217), "", 'Data Entry'!$]$217)</f>
      </c>
      <c r="AD217">
        <f>IF(ISBLANK('Data Entry'!$^$217), "", 'Data Entry'!$^$217)</f>
      </c>
      <c r="AE217">
        <f>IF(ISBLANK('Data Entry'!$_$217), "", 'Data Entry'!$_$217)</f>
      </c>
      <c r="AF217">
        <f>IF(ISBLANK('Data Entry'!$`$217), "", 'Data Entry'!$`$217)</f>
      </c>
      <c r="AG217">
        <f>IF(ISBLANK('Data Entry'!$a$217), "", 'Data Entry'!$a$217)</f>
      </c>
      <c r="AH217">
        <f>IF(ISBLANK('Data Entry'!$b$217), "", 'Data Entry'!$b$217)</f>
      </c>
      <c r="AI217">
        <f>IF(ISBLANK('Data Entry'!$c$217), "", 'Data Entry'!$c$217)</f>
      </c>
      <c r="AJ217">
        <f>IF(ISBLANK('Data Entry'!$d$217), "", 'Data Entry'!$d$217)</f>
      </c>
      <c r="AK217">
        <f>IF(ISBLANK('Data Entry'!$e$217), "", 'Data Entry'!$e$217)</f>
      </c>
      <c r="AL217">
        <f>IF(ISBLANK('Data Entry'!$f$217), "", 'Data Entry'!$f$217)</f>
      </c>
      <c r="AM217">
        <f>IF(ISBLANK('Data Entry'!$g$217), "", 'Data Entry'!$g$217)</f>
      </c>
      <c r="AN217">
        <f>IF(ISBLANK('Data Entry'!$h$217), "", 'Data Entry'!$h$217)</f>
      </c>
      <c r="AO217">
        <f>IF(ISBLANK('Data Entry'!$i$217), "", 'Data Entry'!$i$217)</f>
      </c>
      <c r="AP217">
        <f>IF(ISBLANK('Data Entry'!$j$217), "", 'Data Entry'!$j$217)</f>
      </c>
      <c r="AQ217">
        <f>IF(ISBLANK('Data Entry'!$k$217), "", 'Data Entry'!$k$217)</f>
      </c>
      <c r="AR217">
        <f>IF(ISBLANK('Data Entry'!$l$217), "", 'Data Entry'!$l$217)</f>
      </c>
      <c r="AS217">
        <f>IF(ISBLANK('Data Entry'!$m$217), "", 'Data Entry'!$m$217)</f>
      </c>
      <c r="AT217">
        <f>IF(ISBLANK('Data Entry'!$n$217), "", 'Data Entry'!$n$217)</f>
      </c>
      <c r="AU217">
        <f>IF(ISBLANK('Data Entry'!$o$217), "", 'Data Entry'!$o$217)</f>
      </c>
      <c r="AV217">
        <f>IF(ISBLANK('Data Entry'!$p$217), "", 'Data Entry'!$p$217)</f>
      </c>
      <c r="AW217">
        <f>IF(ISBLANK('Data Entry'!$q$217), "", 'Data Entry'!$q$217)</f>
      </c>
      <c r="AX217">
        <f>IF(ISBLANK('Data Entry'!$r$217), "", 'Data Entry'!$r$217)</f>
      </c>
      <c r="AY217">
        <f>IF(ISBLANK('Data Entry'!$s$217), "", 'Data Entry'!$s$217)</f>
      </c>
      <c r="AZ217">
        <f>IF(ISBLANK('Data Entry'!$t$217), "", 'Data Entry'!$t$217)</f>
      </c>
      <c r="BA217">
        <f>IF(ISBLANK('Data Entry'!$u$217), "", 'Data Entry'!$u$217)</f>
      </c>
      <c r="BB217">
        <f>IF(ISBLANK('Data Entry'!$v$217), "", 'Data Entry'!$v$217)</f>
      </c>
      <c r="BC217">
        <f>IF(ISBLANK('Data Entry'!$w$217), "", 'Data Entry'!$w$217)</f>
      </c>
      <c r="BD217">
        <f>IF(ISBLANK('Data Entry'!$x$217), "", 'Data Entry'!$x$217)</f>
      </c>
      <c r="BE217">
        <f>IF(ISBLANK('Data Entry'!$y$217), "", 'Data Entry'!$y$217)</f>
      </c>
      <c r="BF217">
        <f>IF(ISBLANK('Data Entry'!$z$217), "", 'Data Entry'!$z$217)</f>
      </c>
      <c r="BG217">
        <f>IF(ISBLANK('Data Entry'!${$217), "", 'Data Entry'!${$217)</f>
      </c>
      <c r="BH217">
        <f>IF(ISBLANK('Data Entry'!$|$217), "", 'Data Entry'!$|$217)</f>
      </c>
      <c r="BI217">
        <f>IF(ISBLANK('Data Entry'!$}$217), "", 'Data Entry'!$}$217)</f>
      </c>
      <c r="BJ217">
        <f>IF(ISBLANK('Data Entry'!$~$217), "", 'Data Entry'!$~$217)</f>
      </c>
      <c r="BK217">
        <f>IF(ISBLANK('Data Entry'!$$217), "", 'Data Entry'!$$217)</f>
      </c>
      <c r="BL217">
        <f>IF(ISBLANK('Data Entry'!$$217), "", 'Data Entry'!$$217)</f>
      </c>
      <c r="BM217">
        <f>IF(ISBLANK('Data Entry'!$$217), "", 'Data Entry'!$$217)</f>
      </c>
      <c r="BN217">
        <f>IF(ISBLANK('Data Entry'!$$217), "", 'Data Entry'!$$217)</f>
      </c>
      <c r="BO217">
        <f>IF(ISBLANK('Data Entry'!$$217), "", 'Data Entry'!$$217)</f>
      </c>
      <c r="BP217">
        <f>IF(ISBLANK('Data Entry'!$$217), "", 'Data Entry'!$$217)</f>
      </c>
      <c r="BQ217">
        <f>IF(ISBLANK('Data Entry'!$$217), "", 'Data Entry'!$$217)</f>
      </c>
      <c r="BR217">
        <f>IF(ISBLANK('Data Entry'!$$217), "", 'Data Entry'!$$217)</f>
      </c>
      <c r="BS217">
        <f>IF(ISBLANK('Data Entry'!$$217), "", 'Data Entry'!$$217)</f>
      </c>
      <c r="BT217">
        <f>IF(ISBLANK('Data Entry'!$$217), "", 'Data Entry'!$$217)</f>
      </c>
      <c r="BU217">
        <f>IF(ISBLANK('Data Entry'!$$217), "", 'Data Entry'!$$217)</f>
      </c>
      <c r="BV217">
        <f>IF(ISBLANK('Data Entry'!$$217), "", 'Data Entry'!$$217)</f>
      </c>
      <c r="BW217">
        <f>IF(ISBLANK('Data Entry'!$$217), "", 'Data Entry'!$$217)</f>
      </c>
      <c r="BX217">
        <f>IF(ISBLANK('Data Entry'!$$217), "", 'Data Entry'!$$217)</f>
      </c>
      <c r="BY217">
        <f>IF(ISBLANK('Data Entry'!$$217), "", 'Data Entry'!$$217)</f>
      </c>
      <c r="BZ217">
        <f>IF(ISBLANK('Data Entry'!$$217), "", 'Data Entry'!$$217)</f>
      </c>
      <c r="CA217">
        <f>IF(ISBLANK('Data Entry'!$$217), "", 'Data Entry'!$$217)</f>
      </c>
      <c r="CB217">
        <f>IF(ISBLANK('Data Entry'!$$217), "", 'Data Entry'!$$217)</f>
      </c>
      <c r="CC217">
        <f>IF(ISBLANK('Data Entry'!$$217), "", 'Data Entry'!$$217)</f>
      </c>
      <c r="CD217">
        <f>IF(ISBLANK('Data Entry'!$$217), "", 'Data Entry'!$$217)</f>
      </c>
      <c r="CE217">
        <f>IF(ISBLANK('Data Entry'!$$217), "", 'Data Entry'!$$217)</f>
      </c>
      <c r="CF217">
        <f>IF(ISBLANK('Data Entry'!$$217), "", 'Data Entry'!$$217)</f>
      </c>
      <c r="CG217">
        <f>IF(ISBLANK('Data Entry'!$$217), "", 'Data Entry'!$$217)</f>
      </c>
      <c r="CH217">
        <f>IF(ISBLANK('Data Entry'!$$217), "", 'Data Entry'!$$217)</f>
      </c>
      <c r="CI217">
        <f>IF(ISBLANK('Data Entry'!$$217), "", 'Data Entry'!$$217)</f>
      </c>
      <c r="CJ217">
        <f>IF(ISBLANK('Data Entry'!$$217), "", 'Data Entry'!$$217)</f>
      </c>
      <c r="CK217">
        <f>IF(ISBLANK('Data Entry'!$$217), "", 'Data Entry'!$$217)</f>
      </c>
      <c r="CL217">
        <f>IF(ISBLANK('Data Entry'!$$217), "", 'Data Entry'!$$217)</f>
      </c>
      <c r="CM217">
        <f>IF(ISBLANK('Data Entry'!$$217), "", 'Data Entry'!$$217)</f>
      </c>
      <c r="CN217">
        <f>IF(ISBLANK('Data Entry'!$$217), "", 'Data Entry'!$$217)</f>
      </c>
      <c r="CO217">
        <f>IF(ISBLANK('Data Entry'!$$217), "", 'Data Entry'!$$217)</f>
      </c>
      <c r="CP217">
        <f>IF(ISBLANK('Data Entry'!$$217), "", 'Data Entry'!$$217)</f>
      </c>
      <c r="CQ217">
        <f>IF(ISBLANK('Data Entry'!$$217), "", 'Data Entry'!$$217)</f>
      </c>
      <c r="CR217">
        <f>IF(ISBLANK('Data Entry'!$ $217), "", 'Data Entry'!$ $217)</f>
      </c>
      <c r="CS217">
        <f>IF(ISBLANK('Data Entry'!$¡$217), "", 'Data Entry'!$¡$217)</f>
      </c>
      <c r="CT217">
        <f>IF(ISBLANK('Data Entry'!$¢$217), "", 'Data Entry'!$¢$217)</f>
      </c>
      <c r="CU217">
        <f>IF(ISBLANK('Data Entry'!$£$217), "", 'Data Entry'!$£$217)</f>
      </c>
      <c r="CV217">
        <f>IF(ISBLANK('Data Entry'!$¤$217), "", 'Data Entry'!$¤$217)</f>
      </c>
      <c r="CW217">
        <f>IF(ISBLANK('Data Entry'!$¥$217), "", 'Data Entry'!$¥$217)</f>
      </c>
      <c r="CX217">
        <f>IF(ISBLANK('Data Entry'!$¦$217), "", 'Data Entry'!$¦$217)</f>
      </c>
      <c r="CY217">
        <f>IF(ISBLANK('Data Entry'!$§$217), "", 'Data Entry'!$§$217)</f>
      </c>
      <c r="CZ217">
        <f>IF(ISBLANK('Data Entry'!$¨$217), "", 'Data Entry'!$¨$217)</f>
      </c>
      <c r="DA217">
        <f>IF(ISBLANK('Data Entry'!$©$217), "", 'Data Entry'!$©$217)</f>
      </c>
      <c r="DB217">
        <f>IF(ISBLANK('Data Entry'!$ª$217), "", 'Data Entry'!$ª$217)</f>
      </c>
      <c r="DC217">
        <f>IF(ISBLANK('Data Entry'!$«$217), "", 'Data Entry'!$«$217)</f>
      </c>
      <c r="DD217">
        <f>IF(ISBLANK('Data Entry'!$¬$217), "", 'Data Entry'!$¬$217)</f>
      </c>
      <c r="DE217">
        <f>IF(ISBLANK('Data Entry'!$­$217), "", 'Data Entry'!$­$217)</f>
      </c>
      <c r="DF217">
        <f>IF(ISBLANK('Data Entry'!$®$217), "", 'Data Entry'!$®$217)</f>
      </c>
      <c r="DG217">
        <f>IF(ISBLANK('Data Entry'!$¯$217), "", 'Data Entry'!$¯$217)</f>
      </c>
      <c r="DH217">
        <f>IF(ISBLANK('Data Entry'!$°$217), "", 'Data Entry'!$°$217)</f>
      </c>
      <c r="DI217">
        <f>IF(ISBLANK('Data Entry'!$±$217), "", 'Data Entry'!$±$217)</f>
      </c>
      <c r="DJ217">
        <f>IF(ISBLANK('Data Entry'!$²$217), "", 'Data Entry'!$²$217)</f>
      </c>
      <c r="DK217">
        <f>IF(ISBLANK('Data Entry'!$³$217), "", 'Data Entry'!$³$217)</f>
      </c>
      <c r="DL217">
        <f>IF(ISBLANK('Data Entry'!$´$217), "", 'Data Entry'!$´$217)</f>
      </c>
      <c r="DM217">
        <f>IF(ISBLANK('Data Entry'!$µ$217), "", 'Data Entry'!$µ$217)</f>
      </c>
      <c r="DN217">
        <f>IF(ISBLANK('Data Entry'!$¶$217), "", 'Data Entry'!$¶$217)</f>
      </c>
      <c r="DO217">
        <f>IF(ISBLANK('Data Entry'!$·$217), "", 'Data Entry'!$·$217)</f>
      </c>
      <c r="DP217">
        <f>IF(ISBLANK('Data Entry'!$¸$217), "", 'Data Entry'!$¸$217)</f>
      </c>
      <c r="DQ217">
        <f>IF(ISBLANK('Data Entry'!$¹$217), "", 'Data Entry'!$¹$217)</f>
      </c>
      <c r="DR217">
        <f>IF(ISBLANK('Data Entry'!$º$217), "", 'Data Entry'!$º$217)</f>
      </c>
      <c r="DS217">
        <f>IF(ISBLANK('Data Entry'!$»$217), "", 'Data Entry'!$»$217)</f>
      </c>
      <c r="DT217">
        <f>IF(ISBLANK('Data Entry'!$¼$217), "", 'Data Entry'!$¼$217)</f>
      </c>
      <c r="DU217">
        <f>IF(ISBLANK('Data Entry'!$½$217), "", 'Data Entry'!$½$217)</f>
      </c>
      <c r="DV217">
        <f>IF(ISBLANK('Data Entry'!$¾$217), "", 'Data Entry'!$¾$217)</f>
      </c>
      <c r="DW217">
        <f>IF(ISBLANK('Data Entry'!$¿$217), "", 'Data Entry'!$¿$217)</f>
      </c>
      <c r="DX217">
        <f>IF(ISBLANK('Data Entry'!$À$217), "", 'Data Entry'!$À$217)</f>
      </c>
      <c r="DY217">
        <f>IF(ISBLANK('Data Entry'!$Á$217), "", 'Data Entry'!$Á$217)</f>
      </c>
      <c r="DZ217">
        <f>IF(ISBLANK('Data Entry'!$Â$217), "", 'Data Entry'!$Â$217)</f>
      </c>
      <c r="EA217">
        <f>IF(ISBLANK('Data Entry'!$Ã$217), "", 'Data Entry'!$Ã$217)</f>
      </c>
      <c r="EB217">
        <f>IF(ISBLANK('Data Entry'!$Ä$217), "", 'Data Entry'!$Ä$217)</f>
      </c>
      <c r="EC217">
        <f>IF(ISBLANK('Data Entry'!$Å$217), "", 'Data Entry'!$Å$217)</f>
      </c>
      <c r="ED217">
        <f>IF(ISBLANK('Data Entry'!$Æ$217), "", 'Data Entry'!$Æ$217)</f>
      </c>
      <c r="EE217">
        <f>IF(ISBLANK('Data Entry'!$Ç$217), "", 'Data Entry'!$Ç$217)</f>
      </c>
      <c r="EF217">
        <f>IF(ISBLANK('Data Entry'!$È$217), "", 'Data Entry'!$È$217)</f>
      </c>
      <c r="EG217">
        <f>IF(ISBLANK('Data Entry'!$É$217), "", 'Data Entry'!$É$217)</f>
      </c>
      <c r="EH217">
        <f>IF(ISBLANK('Data Entry'!$Ê$217), "", 'Data Entry'!$Ê$217)</f>
      </c>
      <c r="EI217">
        <f>IF(ISBLANK('Data Entry'!$Ë$217), "", 'Data Entry'!$Ë$217)</f>
      </c>
      <c r="EJ217">
        <f>IF(ISBLANK('Data Entry'!$Ì$217), "", 'Data Entry'!$Ì$217)</f>
      </c>
      <c r="EK217">
        <f>IF(ISBLANK('Data Entry'!$Í$217), "", 'Data Entry'!$Í$217)</f>
      </c>
      <c r="EL217">
        <f>IF(ISBLANK('Data Entry'!$Î$217), "", 'Data Entry'!$Î$217)</f>
      </c>
      <c r="EM217">
        <f>IF(ISBLANK('Data Entry'!$Ï$217), "", 'Data Entry'!$Ï$217)</f>
      </c>
      <c r="EN217">
        <f>IF(ISBLANK('Data Entry'!$Ð$217), "", 'Data Entry'!$Ð$217)</f>
      </c>
      <c r="EO217">
        <f>IF(ISBLANK('Data Entry'!$Ñ$217), "", 'Data Entry'!$Ñ$217)</f>
      </c>
      <c r="EP217">
        <f>IF(ISBLANK('Data Entry'!$Ò$217), "", 'Data Entry'!$Ò$217)</f>
      </c>
      <c r="EQ217">
        <f>IF(ISBLANK('Data Entry'!$Ó$217), "", 'Data Entry'!$Ó$217)</f>
      </c>
      <c r="ER217">
        <f>IF(ISBLANK('Data Entry'!$Ô$217), "", 'Data Entry'!$Ô$217)</f>
      </c>
      <c r="ES217">
        <f>IF(ISBLANK('Data Entry'!$Õ$217), "", 'Data Entry'!$Õ$217)</f>
      </c>
      <c r="ET217">
        <f>IF(ISBLANK('Data Entry'!$Ö$217), "", 'Data Entry'!$Ö$217)</f>
      </c>
      <c r="EU217">
        <f>IF(ISBLANK('Data Entry'!$×$217), "", 'Data Entry'!$×$217)</f>
      </c>
      <c r="EV217">
        <f>IF(ISBLANK('Data Entry'!$Ø$217), "", 'Data Entry'!$Ø$217)</f>
      </c>
      <c r="EW217">
        <f>IF(ISBLANK('Data Entry'!$Ù$217), "", 'Data Entry'!$Ù$217)</f>
      </c>
      <c r="EX217">
        <f>IF(ISBLANK('Data Entry'!$Ú$217), "", 'Data Entry'!$Ú$217)</f>
      </c>
      <c r="EY217">
        <f>IF(ISBLANK('Data Entry'!$Û$217), "", 'Data Entry'!$Û$217)</f>
      </c>
      <c r="EZ217">
        <f>IF(ISBLANK('Data Entry'!$Ü$217), "", 'Data Entry'!$Ü$217)</f>
      </c>
      <c r="FA217">
        <f>IF(ISBLANK('Data Entry'!$Ý$217), "", 'Data Entry'!$Ý$217)</f>
      </c>
      <c r="FB217">
        <f>IF(ISBLANK('Data Entry'!$Þ$217), "", 'Data Entry'!$Þ$217)</f>
      </c>
      <c r="FC217">
        <f>IF(ISBLANK('Data Entry'!$ß$217), "", 'Data Entry'!$ß$217)</f>
      </c>
      <c r="FD217">
        <f>IF(ISBLANK('Data Entry'!$à$217), "", 'Data Entry'!$à$217)</f>
      </c>
      <c r="FE217">
        <f>IF(ISBLANK('Data Entry'!$á$217), "", 'Data Entry'!$á$217)</f>
      </c>
      <c r="FF217">
        <f>IF(ISBLANK('Data Entry'!$â$217), "", 'Data Entry'!$â$217)</f>
      </c>
      <c r="FG217">
        <f>IF(ISBLANK('Data Entry'!$ã$217), "", 'Data Entry'!$ã$217)</f>
      </c>
      <c r="FH217">
        <f>IF(ISBLANK('Data Entry'!$ä$217), "", 'Data Entry'!$ä$217)</f>
      </c>
      <c r="FI217">
        <f>IF(ISBLANK('Data Entry'!$å$217), "", 'Data Entry'!$å$217)</f>
      </c>
      <c r="FJ217">
        <f>IF(ISBLANK('Data Entry'!$æ$217), "", 'Data Entry'!$æ$217)</f>
      </c>
      <c r="FK217">
        <f>IF(ISBLANK('Data Entry'!$ç$217), "", 'Data Entry'!$ç$217)</f>
      </c>
      <c r="FL217">
        <f>IF(ISBLANK('Data Entry'!$è$217), "", 'Data Entry'!$è$217)</f>
      </c>
      <c r="FM217">
        <f>IF(ISBLANK('Data Entry'!$é$217), "", 'Data Entry'!$é$217)</f>
      </c>
      <c r="FN217">
        <f>IF(ISBLANK('Data Entry'!$ê$217), "", 'Data Entry'!$ê$217)</f>
      </c>
      <c r="FO217">
        <f>IF(ISBLANK('Data Entry'!$ë$217), "", 'Data Entry'!$ë$217)</f>
      </c>
      <c r="FP217">
        <f>IF(ISBLANK('Data Entry'!$ì$217), "", 'Data Entry'!$ì$217)</f>
      </c>
      <c r="FQ217">
        <f>IF(ISBLANK('Data Entry'!$í$217), "", 'Data Entry'!$í$217)</f>
      </c>
      <c r="FR217">
        <f>IF(ISBLANK('Data Entry'!$î$217), "", 'Data Entry'!$î$217)</f>
      </c>
      <c r="FS217">
        <f>IF(ISBLANK('Data Entry'!$ï$217), "", 'Data Entry'!$ï$217)</f>
      </c>
      <c r="FT217">
        <f>IF(ISBLANK('Data Entry'!$ð$217), "", 'Data Entry'!$ð$217)</f>
      </c>
      <c r="FU217">
        <f>IF(ISBLANK('Data Entry'!$ñ$217), "", 'Data Entry'!$ñ$217)</f>
      </c>
      <c r="FV217">
        <f>IF(ISBLANK('Data Entry'!$ò$217), "", 'Data Entry'!$ò$217)</f>
      </c>
      <c r="FW217">
        <f>IF(ISBLANK('Data Entry'!$ó$217), "", 'Data Entry'!$ó$217)</f>
      </c>
      <c r="FX217">
        <f>IF(ISBLANK('Data Entry'!$ô$217), "", 'Data Entry'!$ô$217)</f>
      </c>
      <c r="FY217">
        <f>IF(ISBLANK('Data Entry'!$õ$217), "", 'Data Entry'!$õ$217)</f>
      </c>
      <c r="FZ217">
        <f>IF(ISBLANK('Data Entry'!$ö$217), "", 'Data Entry'!$ö$217)</f>
      </c>
      <c r="GA217">
        <f>IF(ISBLANK('Data Entry'!$÷$217), "", 'Data Entry'!$÷$217)</f>
      </c>
      <c r="GB217">
        <f>IF(ISBLANK('Data Entry'!$ø$217), "", 'Data Entry'!$ø$217)</f>
      </c>
      <c r="GC217">
        <f>IF(ISBLANK('Data Entry'!$ù$217), "", 'Data Entry'!$ù$217)</f>
      </c>
      <c r="GD217">
        <f>IF(ISBLANK('Data Entry'!$ú$217), "", 'Data Entry'!$ú$217)</f>
      </c>
      <c r="GE217">
        <f>IF(ISBLANK('Data Entry'!$û$217), "", 'Data Entry'!$û$217)</f>
      </c>
      <c r="GF217">
        <f>IF(ISBLANK('Data Entry'!$ü$217), "", 'Data Entry'!$ü$217)</f>
      </c>
      <c r="GG217">
        <f>IF(ISBLANK('Data Entry'!$ý$217), "", 'Data Entry'!$ý$217)</f>
      </c>
      <c r="GH217">
        <f>IF(ISBLANK('Data Entry'!$þ$217), "", 'Data Entry'!$þ$217)</f>
      </c>
      <c r="GI217">
        <f>IF(ISBLANK('Data Entry'!$ÿ$217), "", 'Data Entry'!$ÿ$217)</f>
      </c>
      <c r="GJ217">
        <f>IF(ISBLANK('Data Entry'!$Ā$217), "", 'Data Entry'!$Ā$217)</f>
      </c>
      <c r="GK217">
        <f>IF(ISBLANK('Data Entry'!$ā$217), "", 'Data Entry'!$ā$217)</f>
      </c>
      <c r="GL217">
        <f>IF(ISBLANK('Data Entry'!$Ă$217), "", 'Data Entry'!$Ă$217)</f>
      </c>
      <c r="GM217">
        <f>IF(ISBLANK('Data Entry'!$ă$217), "", 'Data Entry'!$ă$217)</f>
      </c>
      <c r="GN217">
        <f>IF(ISBLANK('Data Entry'!$Ą$217), "", 'Data Entry'!$Ą$217)</f>
      </c>
      <c r="GO217">
        <f>IF(ISBLANK('Data Entry'!$ą$217), "", 'Data Entry'!$ą$217)</f>
      </c>
      <c r="GP217">
        <f>IF(ISBLANK('Data Entry'!$Ć$217), "", 'Data Entry'!$Ć$217)</f>
      </c>
      <c r="GQ217">
        <f>IF(ISBLANK('Data Entry'!$ć$217), "", 'Data Entry'!$ć$217)</f>
      </c>
      <c r="GR217">
        <f>IF(ISBLANK('Data Entry'!$Ĉ$217), "", 'Data Entry'!$Ĉ$217)</f>
      </c>
      <c r="GS217">
        <f>IF(ISBLANK('Data Entry'!$ĉ$217), "", 'Data Entry'!$ĉ$217)</f>
      </c>
      <c r="GT217">
        <f>IF(ISBLANK('Data Entry'!$Ċ$217), "", 'Data Entry'!$Ċ$217)</f>
      </c>
      <c r="GU217">
        <f>IF(ISBLANK('Data Entry'!$ċ$217), "", 'Data Entry'!$ċ$217)</f>
      </c>
      <c r="GV217">
        <f>IF(ISBLANK('Data Entry'!$Č$217), "", 'Data Entry'!$Č$217)</f>
      </c>
      <c r="GW217">
        <f>IF(ISBLANK('Data Entry'!$č$217), "", 'Data Entry'!$č$217)</f>
      </c>
      <c r="GX217">
        <f>IF(ISBLANK('Data Entry'!$Ď$217), "", 'Data Entry'!$Ď$217)</f>
      </c>
      <c r="GY217">
        <f>IF(ISBLANK('Data Entry'!$ď$217), "", 'Data Entry'!$ď$217)</f>
      </c>
      <c r="GZ217">
        <f>IF(ISBLANK('Data Entry'!$Đ$217), "", 'Data Entry'!$Đ$217)</f>
      </c>
      <c r="HA217">
        <f>IF(ISBLANK('Data Entry'!$đ$217), "", 'Data Entry'!$đ$217)</f>
      </c>
      <c r="HB217">
        <f>IF(ISBLANK('Data Entry'!$Ē$217), "", 'Data Entry'!$Ē$217)</f>
      </c>
      <c r="HC217">
        <f>IF(ISBLANK('Data Entry'!$ē$217), "", 'Data Entry'!$ē$217)</f>
      </c>
      <c r="HD217">
        <f>IF(ISBLANK('Data Entry'!$Ĕ$217), "", 'Data Entry'!$Ĕ$217)</f>
      </c>
      <c r="HE217">
        <f>IF(ISBLANK('Data Entry'!$ĕ$217), "", 'Data Entry'!$ĕ$217)</f>
      </c>
      <c r="HF217">
        <f>IF(ISBLANK('Data Entry'!$Ė$217), "", 'Data Entry'!$Ė$217)</f>
      </c>
      <c r="HG217">
        <f>IF(ISBLANK('Data Entry'!$ė$217), "", 'Data Entry'!$ė$217)</f>
      </c>
      <c r="HH217">
        <f>IF(ISBLANK('Data Entry'!$Ę$217), "", 'Data Entry'!$Ę$217)</f>
      </c>
      <c r="HI217">
        <f>IF(ISBLANK('Data Entry'!$ę$217), "", 'Data Entry'!$ę$217)</f>
      </c>
      <c r="HJ217">
        <f>IF(ISBLANK('Data Entry'!$Ě$217), "", 'Data Entry'!$Ě$217)</f>
      </c>
      <c r="HK217">
        <f>IF(ISBLANK('Data Entry'!$ě$217), "", 'Data Entry'!$ě$217)</f>
      </c>
      <c r="HL217">
        <f>IF(ISBLANK('Data Entry'!$Ĝ$217), "", 'Data Entry'!$Ĝ$217)</f>
      </c>
      <c r="HM217">
        <f>IF(ISBLANK('Data Entry'!$ĝ$217), "", 'Data Entry'!$ĝ$217)</f>
      </c>
      <c r="HN217">
        <f>IF(ISBLANK('Data Entry'!$Ğ$217), "", 'Data Entry'!$Ğ$217)</f>
      </c>
      <c r="HO217">
        <f>IF(ISBLANK('Data Entry'!$ğ$217), "", 'Data Entry'!$ğ$217)</f>
      </c>
      <c r="HP217">
        <f>IF(ISBLANK('Data Entry'!$Ġ$217), "", 'Data Entry'!$Ġ$217)</f>
      </c>
      <c r="HQ217">
        <f>IF(ISBLANK('Data Entry'!$ġ$217), "", 'Data Entry'!$ġ$217)</f>
      </c>
      <c r="HR217">
        <f>IF(ISBLANK('Data Entry'!$Ģ$217), "", 'Data Entry'!$Ģ$217)</f>
      </c>
      <c r="HS217">
        <f>IF(ISBLANK('Data Entry'!$ģ$217), "", 'Data Entry'!$ģ$217)</f>
      </c>
      <c r="HT217">
        <f>IF(ISBLANK('Data Entry'!$Ĥ$217), "", 'Data Entry'!$Ĥ$217)</f>
      </c>
      <c r="HU217">
        <f>IF(ISBLANK('Data Entry'!$ĥ$217), "", 'Data Entry'!$ĥ$217)</f>
      </c>
      <c r="HV217">
        <f>IF(ISBLANK('Data Entry'!$Ħ$217), "", 'Data Entry'!$Ħ$217)</f>
      </c>
      <c r="HW217">
        <f>IF(ISBLANK('Data Entry'!$ħ$217), "", 'Data Entry'!$ħ$217)</f>
      </c>
      <c r="HX217">
        <f>IF(ISBLANK('Data Entry'!$Ĩ$217), "", 'Data Entry'!$Ĩ$217)</f>
      </c>
      <c r="HY217">
        <f>IF(ISBLANK('Data Entry'!$ĩ$217), "", 'Data Entry'!$ĩ$217)</f>
      </c>
      <c r="HZ217">
        <f>IF(ISBLANK('Data Entry'!$Ī$217), "", 'Data Entry'!$Ī$217)</f>
      </c>
      <c r="IA217">
        <f>IF(ISBLANK('Data Entry'!$ī$217), "", 'Data Entry'!$ī$217)</f>
      </c>
      <c r="IB217">
        <f>IF(ISBLANK('Data Entry'!$Ĭ$217), "", 'Data Entry'!$Ĭ$217)</f>
      </c>
      <c r="IC217">
        <f>IF(ISBLANK('Data Entry'!$ĭ$217), "", 'Data Entry'!$ĭ$217)</f>
      </c>
      <c r="ID217">
        <f>IF(ISBLANK('Data Entry'!$Į$217), "", 'Data Entry'!$Į$217)</f>
      </c>
      <c r="IE217">
        <f>IF(ISBLANK('Data Entry'!$į$217), "", 'Data Entry'!$į$217)</f>
      </c>
      <c r="IF217">
        <f>IF(ISBLANK('Data Entry'!$İ$217), "", 'Data Entry'!$İ$217)</f>
      </c>
      <c r="IG217">
        <f>IF(ISBLANK('Data Entry'!$ı$217), "", 'Data Entry'!$ı$217)</f>
      </c>
      <c r="IH217">
        <f>IF(ISBLANK('Data Entry'!$Ĳ$217), "", 'Data Entry'!$Ĳ$217)</f>
      </c>
      <c r="II217">
        <f>IF(ISBLANK('Data Entry'!$ĳ$217), "", 'Data Entry'!$ĳ$217)</f>
      </c>
      <c r="IJ217">
        <f>IF(ISBLANK('Data Entry'!$Ĵ$217), "", 'Data Entry'!$Ĵ$217)</f>
      </c>
      <c r="IK217">
        <f>IF(ISBLANK('Data Entry'!$ĵ$217), "", 'Data Entry'!$ĵ$217)</f>
      </c>
      <c r="IL217">
        <f>IF(ISBLANK('Data Entry'!$Ķ$217), "", 'Data Entry'!$Ķ$217)</f>
      </c>
      <c r="IM217">
        <f>IF(ISBLANK('Data Entry'!$ķ$217), "", 'Data Entry'!$ķ$217)</f>
      </c>
      <c r="IN217">
        <f>IF(ISBLANK('Data Entry'!$ĸ$217), "", 'Data Entry'!$ĸ$217)</f>
      </c>
      <c r="IO217">
        <f>IF(ISBLANK('Data Entry'!$Ĺ$217), "", 'Data Entry'!$Ĺ$217)</f>
      </c>
      <c r="IP217">
        <f>IF(ISBLANK('Data Entry'!$ĺ$217), "", 'Data Entry'!$ĺ$217)</f>
      </c>
      <c r="IQ217">
        <f>IF(ISBLANK('Data Entry'!$Ļ$217), "", 'Data Entry'!$Ļ$217)</f>
      </c>
      <c r="IR217">
        <f>IF(ISBLANK('Data Entry'!$ļ$217), "", 'Data Entry'!$ļ$217)</f>
      </c>
      <c r="IS217">
        <f>IF(ISBLANK('Data Entry'!$Ľ$217), "", 'Data Entry'!$Ľ$217)</f>
      </c>
      <c r="IT217">
        <f>IF(ISBLANK('Data Entry'!$ľ$217), "", 'Data Entry'!$ľ$217)</f>
      </c>
    </row>
    <row r="218" spans="1:254" x14ac:dyDescent="0.25">
      <c r="A218">
        <f>IF(ISBLANK('Data Entry'!$A$218), "", 'Data Entry'!$A$218)</f>
      </c>
      <c r="B218">
        <f>IF(ISBLANK('Data Entry'!$B$218), "", 'Data Entry'!$B$218)</f>
      </c>
      <c r="C218">
        <f>IF(ISBLANK('Data Entry'!$C$218), "", 'Data Entry'!$C$218)</f>
      </c>
      <c r="D218">
        <f>IF(ISBLANK('Data Entry'!$D$218), "", 'Data Entry'!$D$218)</f>
      </c>
      <c r="E218">
        <f>IF(ISBLANK('Data Entry'!$E$218), "", 'Data Entry'!$E$218)</f>
      </c>
      <c r="F218">
        <f>IF(ISBLANK('Data Entry'!$F$218), "", 'Data Entry'!$F$218)</f>
      </c>
      <c r="G218">
        <f>IF(ISBLANK('Data Entry'!$G$218), "", 'Data Entry'!$G$218)</f>
      </c>
      <c r="H218">
        <f>IF(ISBLANK('Data Entry'!$H$218), "", 'Data Entry'!$H$218)</f>
      </c>
      <c r="I218">
        <f>IF(ISBLANK('Data Entry'!$I$218), "", 'Data Entry'!$I$218)</f>
      </c>
      <c r="J218">
        <f>IF(ISBLANK('Data Entry'!$J$218), "", 'Data Entry'!$J$218)</f>
      </c>
      <c r="K218">
        <f>IF(ISBLANK('Data Entry'!$K$218), "", 'Data Entry'!$K$218)</f>
      </c>
      <c r="L218">
        <f>IF(ISBLANK('Data Entry'!$L$218), "", 'Data Entry'!$L$218)</f>
      </c>
      <c r="M218">
        <f>IF(ISBLANK('Data Entry'!$M$218), "", 'Data Entry'!$M$218)</f>
      </c>
      <c r="N218">
        <f>IF(ISBLANK('Data Entry'!$N$218), "", 'Data Entry'!$N$218)</f>
      </c>
      <c r="O218">
        <f>IF(ISBLANK('Data Entry'!$O$218), "", 'Data Entry'!$O$218)</f>
      </c>
      <c r="P218">
        <f>IF(ISBLANK('Data Entry'!$P$218), "", 'Data Entry'!$P$218)</f>
      </c>
      <c r="Q218">
        <f>IF(ISBLANK('Data Entry'!$Q$218), "", 'Data Entry'!$Q$218)</f>
      </c>
      <c r="R218">
        <f>IF(ISBLANK('Data Entry'!$R$218), "", 'Data Entry'!$R$218)</f>
      </c>
      <c r="S218">
        <f>IF(ISBLANK('Data Entry'!$S$218), "", 'Data Entry'!$S$218)</f>
      </c>
      <c r="T218">
        <f>IF(ISBLANK('Data Entry'!$T$218), "", 'Data Entry'!$T$218)</f>
      </c>
      <c r="U218">
        <f>IF(ISBLANK('Data Entry'!$U$218), "", 'Data Entry'!$U$218)</f>
      </c>
      <c r="V218">
        <f>IF(ISBLANK('Data Entry'!$V$218), "", 'Data Entry'!$V$218)</f>
      </c>
      <c r="W218">
        <f>IF(ISBLANK('Data Entry'!$W$218), "", 'Data Entry'!$W$218)</f>
      </c>
      <c r="X218">
        <f>IF(ISBLANK('Data Entry'!$X$218), "", 'Data Entry'!$X$218)</f>
      </c>
      <c r="Y218">
        <f>IF(ISBLANK('Data Entry'!$Y$218), "", 'Data Entry'!$Y$218)</f>
      </c>
      <c r="Z218">
        <f>IF(ISBLANK('Data Entry'!$Z$218), "", 'Data Entry'!$Z$218)</f>
      </c>
      <c r="AA218">
        <f>IF(ISBLANK('Data Entry'!$[$218), "", 'Data Entry'!$[$218)</f>
      </c>
      <c r="AB218">
        <f>IF(ISBLANK('Data Entry'!$\$218), "", 'Data Entry'!$\$218)</f>
      </c>
      <c r="AC218">
        <f>IF(ISBLANK('Data Entry'!$]$218), "", 'Data Entry'!$]$218)</f>
      </c>
      <c r="AD218">
        <f>IF(ISBLANK('Data Entry'!$^$218), "", 'Data Entry'!$^$218)</f>
      </c>
      <c r="AE218">
        <f>IF(ISBLANK('Data Entry'!$_$218), "", 'Data Entry'!$_$218)</f>
      </c>
      <c r="AF218">
        <f>IF(ISBLANK('Data Entry'!$`$218), "", 'Data Entry'!$`$218)</f>
      </c>
      <c r="AG218">
        <f>IF(ISBLANK('Data Entry'!$a$218), "", 'Data Entry'!$a$218)</f>
      </c>
      <c r="AH218">
        <f>IF(ISBLANK('Data Entry'!$b$218), "", 'Data Entry'!$b$218)</f>
      </c>
      <c r="AI218">
        <f>IF(ISBLANK('Data Entry'!$c$218), "", 'Data Entry'!$c$218)</f>
      </c>
      <c r="AJ218">
        <f>IF(ISBLANK('Data Entry'!$d$218), "", 'Data Entry'!$d$218)</f>
      </c>
      <c r="AK218">
        <f>IF(ISBLANK('Data Entry'!$e$218), "", 'Data Entry'!$e$218)</f>
      </c>
      <c r="AL218">
        <f>IF(ISBLANK('Data Entry'!$f$218), "", 'Data Entry'!$f$218)</f>
      </c>
      <c r="AM218">
        <f>IF(ISBLANK('Data Entry'!$g$218), "", 'Data Entry'!$g$218)</f>
      </c>
      <c r="AN218">
        <f>IF(ISBLANK('Data Entry'!$h$218), "", 'Data Entry'!$h$218)</f>
      </c>
      <c r="AO218">
        <f>IF(ISBLANK('Data Entry'!$i$218), "", 'Data Entry'!$i$218)</f>
      </c>
      <c r="AP218">
        <f>IF(ISBLANK('Data Entry'!$j$218), "", 'Data Entry'!$j$218)</f>
      </c>
      <c r="AQ218">
        <f>IF(ISBLANK('Data Entry'!$k$218), "", 'Data Entry'!$k$218)</f>
      </c>
      <c r="AR218">
        <f>IF(ISBLANK('Data Entry'!$l$218), "", 'Data Entry'!$l$218)</f>
      </c>
      <c r="AS218">
        <f>IF(ISBLANK('Data Entry'!$m$218), "", 'Data Entry'!$m$218)</f>
      </c>
      <c r="AT218">
        <f>IF(ISBLANK('Data Entry'!$n$218), "", 'Data Entry'!$n$218)</f>
      </c>
      <c r="AU218">
        <f>IF(ISBLANK('Data Entry'!$o$218), "", 'Data Entry'!$o$218)</f>
      </c>
      <c r="AV218">
        <f>IF(ISBLANK('Data Entry'!$p$218), "", 'Data Entry'!$p$218)</f>
      </c>
      <c r="AW218">
        <f>IF(ISBLANK('Data Entry'!$q$218), "", 'Data Entry'!$q$218)</f>
      </c>
      <c r="AX218">
        <f>IF(ISBLANK('Data Entry'!$r$218), "", 'Data Entry'!$r$218)</f>
      </c>
      <c r="AY218">
        <f>IF(ISBLANK('Data Entry'!$s$218), "", 'Data Entry'!$s$218)</f>
      </c>
      <c r="AZ218">
        <f>IF(ISBLANK('Data Entry'!$t$218), "", 'Data Entry'!$t$218)</f>
      </c>
      <c r="BA218">
        <f>IF(ISBLANK('Data Entry'!$u$218), "", 'Data Entry'!$u$218)</f>
      </c>
      <c r="BB218">
        <f>IF(ISBLANK('Data Entry'!$v$218), "", 'Data Entry'!$v$218)</f>
      </c>
      <c r="BC218">
        <f>IF(ISBLANK('Data Entry'!$w$218), "", 'Data Entry'!$w$218)</f>
      </c>
      <c r="BD218">
        <f>IF(ISBLANK('Data Entry'!$x$218), "", 'Data Entry'!$x$218)</f>
      </c>
      <c r="BE218">
        <f>IF(ISBLANK('Data Entry'!$y$218), "", 'Data Entry'!$y$218)</f>
      </c>
      <c r="BF218">
        <f>IF(ISBLANK('Data Entry'!$z$218), "", 'Data Entry'!$z$218)</f>
      </c>
      <c r="BG218">
        <f>IF(ISBLANK('Data Entry'!${$218), "", 'Data Entry'!${$218)</f>
      </c>
      <c r="BH218">
        <f>IF(ISBLANK('Data Entry'!$|$218), "", 'Data Entry'!$|$218)</f>
      </c>
      <c r="BI218">
        <f>IF(ISBLANK('Data Entry'!$}$218), "", 'Data Entry'!$}$218)</f>
      </c>
      <c r="BJ218">
        <f>IF(ISBLANK('Data Entry'!$~$218), "", 'Data Entry'!$~$218)</f>
      </c>
      <c r="BK218">
        <f>IF(ISBLANK('Data Entry'!$$218), "", 'Data Entry'!$$218)</f>
      </c>
      <c r="BL218">
        <f>IF(ISBLANK('Data Entry'!$$218), "", 'Data Entry'!$$218)</f>
      </c>
      <c r="BM218">
        <f>IF(ISBLANK('Data Entry'!$$218), "", 'Data Entry'!$$218)</f>
      </c>
      <c r="BN218">
        <f>IF(ISBLANK('Data Entry'!$$218), "", 'Data Entry'!$$218)</f>
      </c>
      <c r="BO218">
        <f>IF(ISBLANK('Data Entry'!$$218), "", 'Data Entry'!$$218)</f>
      </c>
      <c r="BP218">
        <f>IF(ISBLANK('Data Entry'!$$218), "", 'Data Entry'!$$218)</f>
      </c>
      <c r="BQ218">
        <f>IF(ISBLANK('Data Entry'!$$218), "", 'Data Entry'!$$218)</f>
      </c>
      <c r="BR218">
        <f>IF(ISBLANK('Data Entry'!$$218), "", 'Data Entry'!$$218)</f>
      </c>
      <c r="BS218">
        <f>IF(ISBLANK('Data Entry'!$$218), "", 'Data Entry'!$$218)</f>
      </c>
      <c r="BT218">
        <f>IF(ISBLANK('Data Entry'!$$218), "", 'Data Entry'!$$218)</f>
      </c>
      <c r="BU218">
        <f>IF(ISBLANK('Data Entry'!$$218), "", 'Data Entry'!$$218)</f>
      </c>
      <c r="BV218">
        <f>IF(ISBLANK('Data Entry'!$$218), "", 'Data Entry'!$$218)</f>
      </c>
      <c r="BW218">
        <f>IF(ISBLANK('Data Entry'!$$218), "", 'Data Entry'!$$218)</f>
      </c>
      <c r="BX218">
        <f>IF(ISBLANK('Data Entry'!$$218), "", 'Data Entry'!$$218)</f>
      </c>
      <c r="BY218">
        <f>IF(ISBLANK('Data Entry'!$$218), "", 'Data Entry'!$$218)</f>
      </c>
      <c r="BZ218">
        <f>IF(ISBLANK('Data Entry'!$$218), "", 'Data Entry'!$$218)</f>
      </c>
      <c r="CA218">
        <f>IF(ISBLANK('Data Entry'!$$218), "", 'Data Entry'!$$218)</f>
      </c>
      <c r="CB218">
        <f>IF(ISBLANK('Data Entry'!$$218), "", 'Data Entry'!$$218)</f>
      </c>
      <c r="CC218">
        <f>IF(ISBLANK('Data Entry'!$$218), "", 'Data Entry'!$$218)</f>
      </c>
      <c r="CD218">
        <f>IF(ISBLANK('Data Entry'!$$218), "", 'Data Entry'!$$218)</f>
      </c>
      <c r="CE218">
        <f>IF(ISBLANK('Data Entry'!$$218), "", 'Data Entry'!$$218)</f>
      </c>
      <c r="CF218">
        <f>IF(ISBLANK('Data Entry'!$$218), "", 'Data Entry'!$$218)</f>
      </c>
      <c r="CG218">
        <f>IF(ISBLANK('Data Entry'!$$218), "", 'Data Entry'!$$218)</f>
      </c>
      <c r="CH218">
        <f>IF(ISBLANK('Data Entry'!$$218), "", 'Data Entry'!$$218)</f>
      </c>
      <c r="CI218">
        <f>IF(ISBLANK('Data Entry'!$$218), "", 'Data Entry'!$$218)</f>
      </c>
      <c r="CJ218">
        <f>IF(ISBLANK('Data Entry'!$$218), "", 'Data Entry'!$$218)</f>
      </c>
      <c r="CK218">
        <f>IF(ISBLANK('Data Entry'!$$218), "", 'Data Entry'!$$218)</f>
      </c>
      <c r="CL218">
        <f>IF(ISBLANK('Data Entry'!$$218), "", 'Data Entry'!$$218)</f>
      </c>
      <c r="CM218">
        <f>IF(ISBLANK('Data Entry'!$$218), "", 'Data Entry'!$$218)</f>
      </c>
      <c r="CN218">
        <f>IF(ISBLANK('Data Entry'!$$218), "", 'Data Entry'!$$218)</f>
      </c>
      <c r="CO218">
        <f>IF(ISBLANK('Data Entry'!$$218), "", 'Data Entry'!$$218)</f>
      </c>
      <c r="CP218">
        <f>IF(ISBLANK('Data Entry'!$$218), "", 'Data Entry'!$$218)</f>
      </c>
      <c r="CQ218">
        <f>IF(ISBLANK('Data Entry'!$$218), "", 'Data Entry'!$$218)</f>
      </c>
      <c r="CR218">
        <f>IF(ISBLANK('Data Entry'!$ $218), "", 'Data Entry'!$ $218)</f>
      </c>
      <c r="CS218">
        <f>IF(ISBLANK('Data Entry'!$¡$218), "", 'Data Entry'!$¡$218)</f>
      </c>
      <c r="CT218">
        <f>IF(ISBLANK('Data Entry'!$¢$218), "", 'Data Entry'!$¢$218)</f>
      </c>
      <c r="CU218">
        <f>IF(ISBLANK('Data Entry'!$£$218), "", 'Data Entry'!$£$218)</f>
      </c>
      <c r="CV218">
        <f>IF(ISBLANK('Data Entry'!$¤$218), "", 'Data Entry'!$¤$218)</f>
      </c>
      <c r="CW218">
        <f>IF(ISBLANK('Data Entry'!$¥$218), "", 'Data Entry'!$¥$218)</f>
      </c>
      <c r="CX218">
        <f>IF(ISBLANK('Data Entry'!$¦$218), "", 'Data Entry'!$¦$218)</f>
      </c>
      <c r="CY218">
        <f>IF(ISBLANK('Data Entry'!$§$218), "", 'Data Entry'!$§$218)</f>
      </c>
      <c r="CZ218">
        <f>IF(ISBLANK('Data Entry'!$¨$218), "", 'Data Entry'!$¨$218)</f>
      </c>
      <c r="DA218">
        <f>IF(ISBLANK('Data Entry'!$©$218), "", 'Data Entry'!$©$218)</f>
      </c>
      <c r="DB218">
        <f>IF(ISBLANK('Data Entry'!$ª$218), "", 'Data Entry'!$ª$218)</f>
      </c>
      <c r="DC218">
        <f>IF(ISBLANK('Data Entry'!$«$218), "", 'Data Entry'!$«$218)</f>
      </c>
      <c r="DD218">
        <f>IF(ISBLANK('Data Entry'!$¬$218), "", 'Data Entry'!$¬$218)</f>
      </c>
      <c r="DE218">
        <f>IF(ISBLANK('Data Entry'!$­$218), "", 'Data Entry'!$­$218)</f>
      </c>
      <c r="DF218">
        <f>IF(ISBLANK('Data Entry'!$®$218), "", 'Data Entry'!$®$218)</f>
      </c>
      <c r="DG218">
        <f>IF(ISBLANK('Data Entry'!$¯$218), "", 'Data Entry'!$¯$218)</f>
      </c>
      <c r="DH218">
        <f>IF(ISBLANK('Data Entry'!$°$218), "", 'Data Entry'!$°$218)</f>
      </c>
      <c r="DI218">
        <f>IF(ISBLANK('Data Entry'!$±$218), "", 'Data Entry'!$±$218)</f>
      </c>
      <c r="DJ218">
        <f>IF(ISBLANK('Data Entry'!$²$218), "", 'Data Entry'!$²$218)</f>
      </c>
      <c r="DK218">
        <f>IF(ISBLANK('Data Entry'!$³$218), "", 'Data Entry'!$³$218)</f>
      </c>
      <c r="DL218">
        <f>IF(ISBLANK('Data Entry'!$´$218), "", 'Data Entry'!$´$218)</f>
      </c>
      <c r="DM218">
        <f>IF(ISBLANK('Data Entry'!$µ$218), "", 'Data Entry'!$µ$218)</f>
      </c>
      <c r="DN218">
        <f>IF(ISBLANK('Data Entry'!$¶$218), "", 'Data Entry'!$¶$218)</f>
      </c>
      <c r="DO218">
        <f>IF(ISBLANK('Data Entry'!$·$218), "", 'Data Entry'!$·$218)</f>
      </c>
      <c r="DP218">
        <f>IF(ISBLANK('Data Entry'!$¸$218), "", 'Data Entry'!$¸$218)</f>
      </c>
      <c r="DQ218">
        <f>IF(ISBLANK('Data Entry'!$¹$218), "", 'Data Entry'!$¹$218)</f>
      </c>
      <c r="DR218">
        <f>IF(ISBLANK('Data Entry'!$º$218), "", 'Data Entry'!$º$218)</f>
      </c>
      <c r="DS218">
        <f>IF(ISBLANK('Data Entry'!$»$218), "", 'Data Entry'!$»$218)</f>
      </c>
      <c r="DT218">
        <f>IF(ISBLANK('Data Entry'!$¼$218), "", 'Data Entry'!$¼$218)</f>
      </c>
      <c r="DU218">
        <f>IF(ISBLANK('Data Entry'!$½$218), "", 'Data Entry'!$½$218)</f>
      </c>
      <c r="DV218">
        <f>IF(ISBLANK('Data Entry'!$¾$218), "", 'Data Entry'!$¾$218)</f>
      </c>
      <c r="DW218">
        <f>IF(ISBLANK('Data Entry'!$¿$218), "", 'Data Entry'!$¿$218)</f>
      </c>
      <c r="DX218">
        <f>IF(ISBLANK('Data Entry'!$À$218), "", 'Data Entry'!$À$218)</f>
      </c>
      <c r="DY218">
        <f>IF(ISBLANK('Data Entry'!$Á$218), "", 'Data Entry'!$Á$218)</f>
      </c>
      <c r="DZ218">
        <f>IF(ISBLANK('Data Entry'!$Â$218), "", 'Data Entry'!$Â$218)</f>
      </c>
      <c r="EA218">
        <f>IF(ISBLANK('Data Entry'!$Ã$218), "", 'Data Entry'!$Ã$218)</f>
      </c>
      <c r="EB218">
        <f>IF(ISBLANK('Data Entry'!$Ä$218), "", 'Data Entry'!$Ä$218)</f>
      </c>
      <c r="EC218">
        <f>IF(ISBLANK('Data Entry'!$Å$218), "", 'Data Entry'!$Å$218)</f>
      </c>
      <c r="ED218">
        <f>IF(ISBLANK('Data Entry'!$Æ$218), "", 'Data Entry'!$Æ$218)</f>
      </c>
      <c r="EE218">
        <f>IF(ISBLANK('Data Entry'!$Ç$218), "", 'Data Entry'!$Ç$218)</f>
      </c>
      <c r="EF218">
        <f>IF(ISBLANK('Data Entry'!$È$218), "", 'Data Entry'!$È$218)</f>
      </c>
      <c r="EG218">
        <f>IF(ISBLANK('Data Entry'!$É$218), "", 'Data Entry'!$É$218)</f>
      </c>
      <c r="EH218">
        <f>IF(ISBLANK('Data Entry'!$Ê$218), "", 'Data Entry'!$Ê$218)</f>
      </c>
      <c r="EI218">
        <f>IF(ISBLANK('Data Entry'!$Ë$218), "", 'Data Entry'!$Ë$218)</f>
      </c>
      <c r="EJ218">
        <f>IF(ISBLANK('Data Entry'!$Ì$218), "", 'Data Entry'!$Ì$218)</f>
      </c>
      <c r="EK218">
        <f>IF(ISBLANK('Data Entry'!$Í$218), "", 'Data Entry'!$Í$218)</f>
      </c>
      <c r="EL218">
        <f>IF(ISBLANK('Data Entry'!$Î$218), "", 'Data Entry'!$Î$218)</f>
      </c>
      <c r="EM218">
        <f>IF(ISBLANK('Data Entry'!$Ï$218), "", 'Data Entry'!$Ï$218)</f>
      </c>
      <c r="EN218">
        <f>IF(ISBLANK('Data Entry'!$Ð$218), "", 'Data Entry'!$Ð$218)</f>
      </c>
      <c r="EO218">
        <f>IF(ISBLANK('Data Entry'!$Ñ$218), "", 'Data Entry'!$Ñ$218)</f>
      </c>
      <c r="EP218">
        <f>IF(ISBLANK('Data Entry'!$Ò$218), "", 'Data Entry'!$Ò$218)</f>
      </c>
      <c r="EQ218">
        <f>IF(ISBLANK('Data Entry'!$Ó$218), "", 'Data Entry'!$Ó$218)</f>
      </c>
      <c r="ER218">
        <f>IF(ISBLANK('Data Entry'!$Ô$218), "", 'Data Entry'!$Ô$218)</f>
      </c>
      <c r="ES218">
        <f>IF(ISBLANK('Data Entry'!$Õ$218), "", 'Data Entry'!$Õ$218)</f>
      </c>
      <c r="ET218">
        <f>IF(ISBLANK('Data Entry'!$Ö$218), "", 'Data Entry'!$Ö$218)</f>
      </c>
      <c r="EU218">
        <f>IF(ISBLANK('Data Entry'!$×$218), "", 'Data Entry'!$×$218)</f>
      </c>
      <c r="EV218">
        <f>IF(ISBLANK('Data Entry'!$Ø$218), "", 'Data Entry'!$Ø$218)</f>
      </c>
      <c r="EW218">
        <f>IF(ISBLANK('Data Entry'!$Ù$218), "", 'Data Entry'!$Ù$218)</f>
      </c>
      <c r="EX218">
        <f>IF(ISBLANK('Data Entry'!$Ú$218), "", 'Data Entry'!$Ú$218)</f>
      </c>
      <c r="EY218">
        <f>IF(ISBLANK('Data Entry'!$Û$218), "", 'Data Entry'!$Û$218)</f>
      </c>
      <c r="EZ218">
        <f>IF(ISBLANK('Data Entry'!$Ü$218), "", 'Data Entry'!$Ü$218)</f>
      </c>
      <c r="FA218">
        <f>IF(ISBLANK('Data Entry'!$Ý$218), "", 'Data Entry'!$Ý$218)</f>
      </c>
      <c r="FB218">
        <f>IF(ISBLANK('Data Entry'!$Þ$218), "", 'Data Entry'!$Þ$218)</f>
      </c>
      <c r="FC218">
        <f>IF(ISBLANK('Data Entry'!$ß$218), "", 'Data Entry'!$ß$218)</f>
      </c>
      <c r="FD218">
        <f>IF(ISBLANK('Data Entry'!$à$218), "", 'Data Entry'!$à$218)</f>
      </c>
      <c r="FE218">
        <f>IF(ISBLANK('Data Entry'!$á$218), "", 'Data Entry'!$á$218)</f>
      </c>
      <c r="FF218">
        <f>IF(ISBLANK('Data Entry'!$â$218), "", 'Data Entry'!$â$218)</f>
      </c>
      <c r="FG218">
        <f>IF(ISBLANK('Data Entry'!$ã$218), "", 'Data Entry'!$ã$218)</f>
      </c>
      <c r="FH218">
        <f>IF(ISBLANK('Data Entry'!$ä$218), "", 'Data Entry'!$ä$218)</f>
      </c>
      <c r="FI218">
        <f>IF(ISBLANK('Data Entry'!$å$218), "", 'Data Entry'!$å$218)</f>
      </c>
      <c r="FJ218">
        <f>IF(ISBLANK('Data Entry'!$æ$218), "", 'Data Entry'!$æ$218)</f>
      </c>
      <c r="FK218">
        <f>IF(ISBLANK('Data Entry'!$ç$218), "", 'Data Entry'!$ç$218)</f>
      </c>
      <c r="FL218">
        <f>IF(ISBLANK('Data Entry'!$è$218), "", 'Data Entry'!$è$218)</f>
      </c>
      <c r="FM218">
        <f>IF(ISBLANK('Data Entry'!$é$218), "", 'Data Entry'!$é$218)</f>
      </c>
      <c r="FN218">
        <f>IF(ISBLANK('Data Entry'!$ê$218), "", 'Data Entry'!$ê$218)</f>
      </c>
      <c r="FO218">
        <f>IF(ISBLANK('Data Entry'!$ë$218), "", 'Data Entry'!$ë$218)</f>
      </c>
      <c r="FP218">
        <f>IF(ISBLANK('Data Entry'!$ì$218), "", 'Data Entry'!$ì$218)</f>
      </c>
      <c r="FQ218">
        <f>IF(ISBLANK('Data Entry'!$í$218), "", 'Data Entry'!$í$218)</f>
      </c>
      <c r="FR218">
        <f>IF(ISBLANK('Data Entry'!$î$218), "", 'Data Entry'!$î$218)</f>
      </c>
      <c r="FS218">
        <f>IF(ISBLANK('Data Entry'!$ï$218), "", 'Data Entry'!$ï$218)</f>
      </c>
      <c r="FT218">
        <f>IF(ISBLANK('Data Entry'!$ð$218), "", 'Data Entry'!$ð$218)</f>
      </c>
      <c r="FU218">
        <f>IF(ISBLANK('Data Entry'!$ñ$218), "", 'Data Entry'!$ñ$218)</f>
      </c>
      <c r="FV218">
        <f>IF(ISBLANK('Data Entry'!$ò$218), "", 'Data Entry'!$ò$218)</f>
      </c>
      <c r="FW218">
        <f>IF(ISBLANK('Data Entry'!$ó$218), "", 'Data Entry'!$ó$218)</f>
      </c>
      <c r="FX218">
        <f>IF(ISBLANK('Data Entry'!$ô$218), "", 'Data Entry'!$ô$218)</f>
      </c>
      <c r="FY218">
        <f>IF(ISBLANK('Data Entry'!$õ$218), "", 'Data Entry'!$õ$218)</f>
      </c>
      <c r="FZ218">
        <f>IF(ISBLANK('Data Entry'!$ö$218), "", 'Data Entry'!$ö$218)</f>
      </c>
      <c r="GA218">
        <f>IF(ISBLANK('Data Entry'!$÷$218), "", 'Data Entry'!$÷$218)</f>
      </c>
      <c r="GB218">
        <f>IF(ISBLANK('Data Entry'!$ø$218), "", 'Data Entry'!$ø$218)</f>
      </c>
      <c r="GC218">
        <f>IF(ISBLANK('Data Entry'!$ù$218), "", 'Data Entry'!$ù$218)</f>
      </c>
      <c r="GD218">
        <f>IF(ISBLANK('Data Entry'!$ú$218), "", 'Data Entry'!$ú$218)</f>
      </c>
      <c r="GE218">
        <f>IF(ISBLANK('Data Entry'!$û$218), "", 'Data Entry'!$û$218)</f>
      </c>
      <c r="GF218">
        <f>IF(ISBLANK('Data Entry'!$ü$218), "", 'Data Entry'!$ü$218)</f>
      </c>
      <c r="GG218">
        <f>IF(ISBLANK('Data Entry'!$ý$218), "", 'Data Entry'!$ý$218)</f>
      </c>
      <c r="GH218">
        <f>IF(ISBLANK('Data Entry'!$þ$218), "", 'Data Entry'!$þ$218)</f>
      </c>
      <c r="GI218">
        <f>IF(ISBLANK('Data Entry'!$ÿ$218), "", 'Data Entry'!$ÿ$218)</f>
      </c>
      <c r="GJ218">
        <f>IF(ISBLANK('Data Entry'!$Ā$218), "", 'Data Entry'!$Ā$218)</f>
      </c>
      <c r="GK218">
        <f>IF(ISBLANK('Data Entry'!$ā$218), "", 'Data Entry'!$ā$218)</f>
      </c>
      <c r="GL218">
        <f>IF(ISBLANK('Data Entry'!$Ă$218), "", 'Data Entry'!$Ă$218)</f>
      </c>
      <c r="GM218">
        <f>IF(ISBLANK('Data Entry'!$ă$218), "", 'Data Entry'!$ă$218)</f>
      </c>
      <c r="GN218">
        <f>IF(ISBLANK('Data Entry'!$Ą$218), "", 'Data Entry'!$Ą$218)</f>
      </c>
      <c r="GO218">
        <f>IF(ISBLANK('Data Entry'!$ą$218), "", 'Data Entry'!$ą$218)</f>
      </c>
      <c r="GP218">
        <f>IF(ISBLANK('Data Entry'!$Ć$218), "", 'Data Entry'!$Ć$218)</f>
      </c>
      <c r="GQ218">
        <f>IF(ISBLANK('Data Entry'!$ć$218), "", 'Data Entry'!$ć$218)</f>
      </c>
      <c r="GR218">
        <f>IF(ISBLANK('Data Entry'!$Ĉ$218), "", 'Data Entry'!$Ĉ$218)</f>
      </c>
      <c r="GS218">
        <f>IF(ISBLANK('Data Entry'!$ĉ$218), "", 'Data Entry'!$ĉ$218)</f>
      </c>
      <c r="GT218">
        <f>IF(ISBLANK('Data Entry'!$Ċ$218), "", 'Data Entry'!$Ċ$218)</f>
      </c>
      <c r="GU218">
        <f>IF(ISBLANK('Data Entry'!$ċ$218), "", 'Data Entry'!$ċ$218)</f>
      </c>
      <c r="GV218">
        <f>IF(ISBLANK('Data Entry'!$Č$218), "", 'Data Entry'!$Č$218)</f>
      </c>
      <c r="GW218">
        <f>IF(ISBLANK('Data Entry'!$č$218), "", 'Data Entry'!$č$218)</f>
      </c>
      <c r="GX218">
        <f>IF(ISBLANK('Data Entry'!$Ď$218), "", 'Data Entry'!$Ď$218)</f>
      </c>
      <c r="GY218">
        <f>IF(ISBLANK('Data Entry'!$ď$218), "", 'Data Entry'!$ď$218)</f>
      </c>
      <c r="GZ218">
        <f>IF(ISBLANK('Data Entry'!$Đ$218), "", 'Data Entry'!$Đ$218)</f>
      </c>
      <c r="HA218">
        <f>IF(ISBLANK('Data Entry'!$đ$218), "", 'Data Entry'!$đ$218)</f>
      </c>
      <c r="HB218">
        <f>IF(ISBLANK('Data Entry'!$Ē$218), "", 'Data Entry'!$Ē$218)</f>
      </c>
      <c r="HC218">
        <f>IF(ISBLANK('Data Entry'!$ē$218), "", 'Data Entry'!$ē$218)</f>
      </c>
      <c r="HD218">
        <f>IF(ISBLANK('Data Entry'!$Ĕ$218), "", 'Data Entry'!$Ĕ$218)</f>
      </c>
      <c r="HE218">
        <f>IF(ISBLANK('Data Entry'!$ĕ$218), "", 'Data Entry'!$ĕ$218)</f>
      </c>
      <c r="HF218">
        <f>IF(ISBLANK('Data Entry'!$Ė$218), "", 'Data Entry'!$Ė$218)</f>
      </c>
      <c r="HG218">
        <f>IF(ISBLANK('Data Entry'!$ė$218), "", 'Data Entry'!$ė$218)</f>
      </c>
      <c r="HH218">
        <f>IF(ISBLANK('Data Entry'!$Ę$218), "", 'Data Entry'!$Ę$218)</f>
      </c>
      <c r="HI218">
        <f>IF(ISBLANK('Data Entry'!$ę$218), "", 'Data Entry'!$ę$218)</f>
      </c>
      <c r="HJ218">
        <f>IF(ISBLANK('Data Entry'!$Ě$218), "", 'Data Entry'!$Ě$218)</f>
      </c>
      <c r="HK218">
        <f>IF(ISBLANK('Data Entry'!$ě$218), "", 'Data Entry'!$ě$218)</f>
      </c>
      <c r="HL218">
        <f>IF(ISBLANK('Data Entry'!$Ĝ$218), "", 'Data Entry'!$Ĝ$218)</f>
      </c>
      <c r="HM218">
        <f>IF(ISBLANK('Data Entry'!$ĝ$218), "", 'Data Entry'!$ĝ$218)</f>
      </c>
      <c r="HN218">
        <f>IF(ISBLANK('Data Entry'!$Ğ$218), "", 'Data Entry'!$Ğ$218)</f>
      </c>
      <c r="HO218">
        <f>IF(ISBLANK('Data Entry'!$ğ$218), "", 'Data Entry'!$ğ$218)</f>
      </c>
      <c r="HP218">
        <f>IF(ISBLANK('Data Entry'!$Ġ$218), "", 'Data Entry'!$Ġ$218)</f>
      </c>
      <c r="HQ218">
        <f>IF(ISBLANK('Data Entry'!$ġ$218), "", 'Data Entry'!$ġ$218)</f>
      </c>
      <c r="HR218">
        <f>IF(ISBLANK('Data Entry'!$Ģ$218), "", 'Data Entry'!$Ģ$218)</f>
      </c>
      <c r="HS218">
        <f>IF(ISBLANK('Data Entry'!$ģ$218), "", 'Data Entry'!$ģ$218)</f>
      </c>
      <c r="HT218">
        <f>IF(ISBLANK('Data Entry'!$Ĥ$218), "", 'Data Entry'!$Ĥ$218)</f>
      </c>
      <c r="HU218">
        <f>IF(ISBLANK('Data Entry'!$ĥ$218), "", 'Data Entry'!$ĥ$218)</f>
      </c>
      <c r="HV218">
        <f>IF(ISBLANK('Data Entry'!$Ħ$218), "", 'Data Entry'!$Ħ$218)</f>
      </c>
      <c r="HW218">
        <f>IF(ISBLANK('Data Entry'!$ħ$218), "", 'Data Entry'!$ħ$218)</f>
      </c>
      <c r="HX218">
        <f>IF(ISBLANK('Data Entry'!$Ĩ$218), "", 'Data Entry'!$Ĩ$218)</f>
      </c>
      <c r="HY218">
        <f>IF(ISBLANK('Data Entry'!$ĩ$218), "", 'Data Entry'!$ĩ$218)</f>
      </c>
      <c r="HZ218">
        <f>IF(ISBLANK('Data Entry'!$Ī$218), "", 'Data Entry'!$Ī$218)</f>
      </c>
      <c r="IA218">
        <f>IF(ISBLANK('Data Entry'!$ī$218), "", 'Data Entry'!$ī$218)</f>
      </c>
      <c r="IB218">
        <f>IF(ISBLANK('Data Entry'!$Ĭ$218), "", 'Data Entry'!$Ĭ$218)</f>
      </c>
      <c r="IC218">
        <f>IF(ISBLANK('Data Entry'!$ĭ$218), "", 'Data Entry'!$ĭ$218)</f>
      </c>
      <c r="ID218">
        <f>IF(ISBLANK('Data Entry'!$Į$218), "", 'Data Entry'!$Į$218)</f>
      </c>
      <c r="IE218">
        <f>IF(ISBLANK('Data Entry'!$į$218), "", 'Data Entry'!$į$218)</f>
      </c>
      <c r="IF218">
        <f>IF(ISBLANK('Data Entry'!$İ$218), "", 'Data Entry'!$İ$218)</f>
      </c>
      <c r="IG218">
        <f>IF(ISBLANK('Data Entry'!$ı$218), "", 'Data Entry'!$ı$218)</f>
      </c>
      <c r="IH218">
        <f>IF(ISBLANK('Data Entry'!$Ĳ$218), "", 'Data Entry'!$Ĳ$218)</f>
      </c>
      <c r="II218">
        <f>IF(ISBLANK('Data Entry'!$ĳ$218), "", 'Data Entry'!$ĳ$218)</f>
      </c>
      <c r="IJ218">
        <f>IF(ISBLANK('Data Entry'!$Ĵ$218), "", 'Data Entry'!$Ĵ$218)</f>
      </c>
      <c r="IK218">
        <f>IF(ISBLANK('Data Entry'!$ĵ$218), "", 'Data Entry'!$ĵ$218)</f>
      </c>
      <c r="IL218">
        <f>IF(ISBLANK('Data Entry'!$Ķ$218), "", 'Data Entry'!$Ķ$218)</f>
      </c>
      <c r="IM218">
        <f>IF(ISBLANK('Data Entry'!$ķ$218), "", 'Data Entry'!$ķ$218)</f>
      </c>
      <c r="IN218">
        <f>IF(ISBLANK('Data Entry'!$ĸ$218), "", 'Data Entry'!$ĸ$218)</f>
      </c>
      <c r="IO218">
        <f>IF(ISBLANK('Data Entry'!$Ĺ$218), "", 'Data Entry'!$Ĺ$218)</f>
      </c>
      <c r="IP218">
        <f>IF(ISBLANK('Data Entry'!$ĺ$218), "", 'Data Entry'!$ĺ$218)</f>
      </c>
      <c r="IQ218">
        <f>IF(ISBLANK('Data Entry'!$Ļ$218), "", 'Data Entry'!$Ļ$218)</f>
      </c>
      <c r="IR218">
        <f>IF(ISBLANK('Data Entry'!$ļ$218), "", 'Data Entry'!$ļ$218)</f>
      </c>
      <c r="IS218">
        <f>IF(ISBLANK('Data Entry'!$Ľ$218), "", 'Data Entry'!$Ľ$218)</f>
      </c>
      <c r="IT218">
        <f>IF(ISBLANK('Data Entry'!$ľ$218), "", 'Data Entry'!$ľ$218)</f>
      </c>
    </row>
    <row r="219" spans="1:254" x14ac:dyDescent="0.25">
      <c r="A219">
        <f>IF(ISBLANK('Data Entry'!$A$219), "", 'Data Entry'!$A$219)</f>
      </c>
      <c r="B219">
        <f>IF(ISBLANK('Data Entry'!$B$219), "", 'Data Entry'!$B$219)</f>
      </c>
      <c r="C219">
        <f>IF(ISBLANK('Data Entry'!$C$219), "", 'Data Entry'!$C$219)</f>
      </c>
      <c r="D219">
        <f>IF(ISBLANK('Data Entry'!$D$219), "", 'Data Entry'!$D$219)</f>
      </c>
      <c r="E219">
        <f>IF(ISBLANK('Data Entry'!$E$219), "", 'Data Entry'!$E$219)</f>
      </c>
      <c r="F219">
        <f>IF(ISBLANK('Data Entry'!$F$219), "", 'Data Entry'!$F$219)</f>
      </c>
      <c r="G219">
        <f>IF(ISBLANK('Data Entry'!$G$219), "", 'Data Entry'!$G$219)</f>
      </c>
      <c r="H219">
        <f>IF(ISBLANK('Data Entry'!$H$219), "", 'Data Entry'!$H$219)</f>
      </c>
      <c r="I219">
        <f>IF(ISBLANK('Data Entry'!$I$219), "", 'Data Entry'!$I$219)</f>
      </c>
      <c r="J219">
        <f>IF(ISBLANK('Data Entry'!$J$219), "", 'Data Entry'!$J$219)</f>
      </c>
      <c r="K219">
        <f>IF(ISBLANK('Data Entry'!$K$219), "", 'Data Entry'!$K$219)</f>
      </c>
      <c r="L219">
        <f>IF(ISBLANK('Data Entry'!$L$219), "", 'Data Entry'!$L$219)</f>
      </c>
      <c r="M219">
        <f>IF(ISBLANK('Data Entry'!$M$219), "", 'Data Entry'!$M$219)</f>
      </c>
      <c r="N219">
        <f>IF(ISBLANK('Data Entry'!$N$219), "", 'Data Entry'!$N$219)</f>
      </c>
      <c r="O219">
        <f>IF(ISBLANK('Data Entry'!$O$219), "", 'Data Entry'!$O$219)</f>
      </c>
      <c r="P219">
        <f>IF(ISBLANK('Data Entry'!$P$219), "", 'Data Entry'!$P$219)</f>
      </c>
      <c r="Q219">
        <f>IF(ISBLANK('Data Entry'!$Q$219), "", 'Data Entry'!$Q$219)</f>
      </c>
      <c r="R219">
        <f>IF(ISBLANK('Data Entry'!$R$219), "", 'Data Entry'!$R$219)</f>
      </c>
      <c r="S219">
        <f>IF(ISBLANK('Data Entry'!$S$219), "", 'Data Entry'!$S$219)</f>
      </c>
      <c r="T219">
        <f>IF(ISBLANK('Data Entry'!$T$219), "", 'Data Entry'!$T$219)</f>
      </c>
      <c r="U219">
        <f>IF(ISBLANK('Data Entry'!$U$219), "", 'Data Entry'!$U$219)</f>
      </c>
      <c r="V219">
        <f>IF(ISBLANK('Data Entry'!$V$219), "", 'Data Entry'!$V$219)</f>
      </c>
      <c r="W219">
        <f>IF(ISBLANK('Data Entry'!$W$219), "", 'Data Entry'!$W$219)</f>
      </c>
      <c r="X219">
        <f>IF(ISBLANK('Data Entry'!$X$219), "", 'Data Entry'!$X$219)</f>
      </c>
      <c r="Y219">
        <f>IF(ISBLANK('Data Entry'!$Y$219), "", 'Data Entry'!$Y$219)</f>
      </c>
      <c r="Z219">
        <f>IF(ISBLANK('Data Entry'!$Z$219), "", 'Data Entry'!$Z$219)</f>
      </c>
      <c r="AA219">
        <f>IF(ISBLANK('Data Entry'!$[$219), "", 'Data Entry'!$[$219)</f>
      </c>
      <c r="AB219">
        <f>IF(ISBLANK('Data Entry'!$\$219), "", 'Data Entry'!$\$219)</f>
      </c>
      <c r="AC219">
        <f>IF(ISBLANK('Data Entry'!$]$219), "", 'Data Entry'!$]$219)</f>
      </c>
      <c r="AD219">
        <f>IF(ISBLANK('Data Entry'!$^$219), "", 'Data Entry'!$^$219)</f>
      </c>
      <c r="AE219">
        <f>IF(ISBLANK('Data Entry'!$_$219), "", 'Data Entry'!$_$219)</f>
      </c>
      <c r="AF219">
        <f>IF(ISBLANK('Data Entry'!$`$219), "", 'Data Entry'!$`$219)</f>
      </c>
      <c r="AG219">
        <f>IF(ISBLANK('Data Entry'!$a$219), "", 'Data Entry'!$a$219)</f>
      </c>
      <c r="AH219">
        <f>IF(ISBLANK('Data Entry'!$b$219), "", 'Data Entry'!$b$219)</f>
      </c>
      <c r="AI219">
        <f>IF(ISBLANK('Data Entry'!$c$219), "", 'Data Entry'!$c$219)</f>
      </c>
      <c r="AJ219">
        <f>IF(ISBLANK('Data Entry'!$d$219), "", 'Data Entry'!$d$219)</f>
      </c>
      <c r="AK219">
        <f>IF(ISBLANK('Data Entry'!$e$219), "", 'Data Entry'!$e$219)</f>
      </c>
      <c r="AL219">
        <f>IF(ISBLANK('Data Entry'!$f$219), "", 'Data Entry'!$f$219)</f>
      </c>
      <c r="AM219">
        <f>IF(ISBLANK('Data Entry'!$g$219), "", 'Data Entry'!$g$219)</f>
      </c>
      <c r="AN219">
        <f>IF(ISBLANK('Data Entry'!$h$219), "", 'Data Entry'!$h$219)</f>
      </c>
      <c r="AO219">
        <f>IF(ISBLANK('Data Entry'!$i$219), "", 'Data Entry'!$i$219)</f>
      </c>
      <c r="AP219">
        <f>IF(ISBLANK('Data Entry'!$j$219), "", 'Data Entry'!$j$219)</f>
      </c>
      <c r="AQ219">
        <f>IF(ISBLANK('Data Entry'!$k$219), "", 'Data Entry'!$k$219)</f>
      </c>
      <c r="AR219">
        <f>IF(ISBLANK('Data Entry'!$l$219), "", 'Data Entry'!$l$219)</f>
      </c>
      <c r="AS219">
        <f>IF(ISBLANK('Data Entry'!$m$219), "", 'Data Entry'!$m$219)</f>
      </c>
      <c r="AT219">
        <f>IF(ISBLANK('Data Entry'!$n$219), "", 'Data Entry'!$n$219)</f>
      </c>
      <c r="AU219">
        <f>IF(ISBLANK('Data Entry'!$o$219), "", 'Data Entry'!$o$219)</f>
      </c>
      <c r="AV219">
        <f>IF(ISBLANK('Data Entry'!$p$219), "", 'Data Entry'!$p$219)</f>
      </c>
      <c r="AW219">
        <f>IF(ISBLANK('Data Entry'!$q$219), "", 'Data Entry'!$q$219)</f>
      </c>
      <c r="AX219">
        <f>IF(ISBLANK('Data Entry'!$r$219), "", 'Data Entry'!$r$219)</f>
      </c>
      <c r="AY219">
        <f>IF(ISBLANK('Data Entry'!$s$219), "", 'Data Entry'!$s$219)</f>
      </c>
      <c r="AZ219">
        <f>IF(ISBLANK('Data Entry'!$t$219), "", 'Data Entry'!$t$219)</f>
      </c>
      <c r="BA219">
        <f>IF(ISBLANK('Data Entry'!$u$219), "", 'Data Entry'!$u$219)</f>
      </c>
      <c r="BB219">
        <f>IF(ISBLANK('Data Entry'!$v$219), "", 'Data Entry'!$v$219)</f>
      </c>
      <c r="BC219">
        <f>IF(ISBLANK('Data Entry'!$w$219), "", 'Data Entry'!$w$219)</f>
      </c>
      <c r="BD219">
        <f>IF(ISBLANK('Data Entry'!$x$219), "", 'Data Entry'!$x$219)</f>
      </c>
      <c r="BE219">
        <f>IF(ISBLANK('Data Entry'!$y$219), "", 'Data Entry'!$y$219)</f>
      </c>
      <c r="BF219">
        <f>IF(ISBLANK('Data Entry'!$z$219), "", 'Data Entry'!$z$219)</f>
      </c>
      <c r="BG219">
        <f>IF(ISBLANK('Data Entry'!${$219), "", 'Data Entry'!${$219)</f>
      </c>
      <c r="BH219">
        <f>IF(ISBLANK('Data Entry'!$|$219), "", 'Data Entry'!$|$219)</f>
      </c>
      <c r="BI219">
        <f>IF(ISBLANK('Data Entry'!$}$219), "", 'Data Entry'!$}$219)</f>
      </c>
      <c r="BJ219">
        <f>IF(ISBLANK('Data Entry'!$~$219), "", 'Data Entry'!$~$219)</f>
      </c>
      <c r="BK219">
        <f>IF(ISBLANK('Data Entry'!$$219), "", 'Data Entry'!$$219)</f>
      </c>
      <c r="BL219">
        <f>IF(ISBLANK('Data Entry'!$$219), "", 'Data Entry'!$$219)</f>
      </c>
      <c r="BM219">
        <f>IF(ISBLANK('Data Entry'!$$219), "", 'Data Entry'!$$219)</f>
      </c>
      <c r="BN219">
        <f>IF(ISBLANK('Data Entry'!$$219), "", 'Data Entry'!$$219)</f>
      </c>
      <c r="BO219">
        <f>IF(ISBLANK('Data Entry'!$$219), "", 'Data Entry'!$$219)</f>
      </c>
      <c r="BP219">
        <f>IF(ISBLANK('Data Entry'!$$219), "", 'Data Entry'!$$219)</f>
      </c>
      <c r="BQ219">
        <f>IF(ISBLANK('Data Entry'!$$219), "", 'Data Entry'!$$219)</f>
      </c>
      <c r="BR219">
        <f>IF(ISBLANK('Data Entry'!$$219), "", 'Data Entry'!$$219)</f>
      </c>
      <c r="BS219">
        <f>IF(ISBLANK('Data Entry'!$$219), "", 'Data Entry'!$$219)</f>
      </c>
      <c r="BT219">
        <f>IF(ISBLANK('Data Entry'!$$219), "", 'Data Entry'!$$219)</f>
      </c>
      <c r="BU219">
        <f>IF(ISBLANK('Data Entry'!$$219), "", 'Data Entry'!$$219)</f>
      </c>
      <c r="BV219">
        <f>IF(ISBLANK('Data Entry'!$$219), "", 'Data Entry'!$$219)</f>
      </c>
      <c r="BW219">
        <f>IF(ISBLANK('Data Entry'!$$219), "", 'Data Entry'!$$219)</f>
      </c>
      <c r="BX219">
        <f>IF(ISBLANK('Data Entry'!$$219), "", 'Data Entry'!$$219)</f>
      </c>
      <c r="BY219">
        <f>IF(ISBLANK('Data Entry'!$$219), "", 'Data Entry'!$$219)</f>
      </c>
      <c r="BZ219">
        <f>IF(ISBLANK('Data Entry'!$$219), "", 'Data Entry'!$$219)</f>
      </c>
      <c r="CA219">
        <f>IF(ISBLANK('Data Entry'!$$219), "", 'Data Entry'!$$219)</f>
      </c>
      <c r="CB219">
        <f>IF(ISBLANK('Data Entry'!$$219), "", 'Data Entry'!$$219)</f>
      </c>
      <c r="CC219">
        <f>IF(ISBLANK('Data Entry'!$$219), "", 'Data Entry'!$$219)</f>
      </c>
      <c r="CD219">
        <f>IF(ISBLANK('Data Entry'!$$219), "", 'Data Entry'!$$219)</f>
      </c>
      <c r="CE219">
        <f>IF(ISBLANK('Data Entry'!$$219), "", 'Data Entry'!$$219)</f>
      </c>
      <c r="CF219">
        <f>IF(ISBLANK('Data Entry'!$$219), "", 'Data Entry'!$$219)</f>
      </c>
      <c r="CG219">
        <f>IF(ISBLANK('Data Entry'!$$219), "", 'Data Entry'!$$219)</f>
      </c>
      <c r="CH219">
        <f>IF(ISBLANK('Data Entry'!$$219), "", 'Data Entry'!$$219)</f>
      </c>
      <c r="CI219">
        <f>IF(ISBLANK('Data Entry'!$$219), "", 'Data Entry'!$$219)</f>
      </c>
      <c r="CJ219">
        <f>IF(ISBLANK('Data Entry'!$$219), "", 'Data Entry'!$$219)</f>
      </c>
      <c r="CK219">
        <f>IF(ISBLANK('Data Entry'!$$219), "", 'Data Entry'!$$219)</f>
      </c>
      <c r="CL219">
        <f>IF(ISBLANK('Data Entry'!$$219), "", 'Data Entry'!$$219)</f>
      </c>
      <c r="CM219">
        <f>IF(ISBLANK('Data Entry'!$$219), "", 'Data Entry'!$$219)</f>
      </c>
      <c r="CN219">
        <f>IF(ISBLANK('Data Entry'!$$219), "", 'Data Entry'!$$219)</f>
      </c>
      <c r="CO219">
        <f>IF(ISBLANK('Data Entry'!$$219), "", 'Data Entry'!$$219)</f>
      </c>
      <c r="CP219">
        <f>IF(ISBLANK('Data Entry'!$$219), "", 'Data Entry'!$$219)</f>
      </c>
      <c r="CQ219">
        <f>IF(ISBLANK('Data Entry'!$$219), "", 'Data Entry'!$$219)</f>
      </c>
      <c r="CR219">
        <f>IF(ISBLANK('Data Entry'!$ $219), "", 'Data Entry'!$ $219)</f>
      </c>
      <c r="CS219">
        <f>IF(ISBLANK('Data Entry'!$¡$219), "", 'Data Entry'!$¡$219)</f>
      </c>
      <c r="CT219">
        <f>IF(ISBLANK('Data Entry'!$¢$219), "", 'Data Entry'!$¢$219)</f>
      </c>
      <c r="CU219">
        <f>IF(ISBLANK('Data Entry'!$£$219), "", 'Data Entry'!$£$219)</f>
      </c>
      <c r="CV219">
        <f>IF(ISBLANK('Data Entry'!$¤$219), "", 'Data Entry'!$¤$219)</f>
      </c>
      <c r="CW219">
        <f>IF(ISBLANK('Data Entry'!$¥$219), "", 'Data Entry'!$¥$219)</f>
      </c>
      <c r="CX219">
        <f>IF(ISBLANK('Data Entry'!$¦$219), "", 'Data Entry'!$¦$219)</f>
      </c>
      <c r="CY219">
        <f>IF(ISBLANK('Data Entry'!$§$219), "", 'Data Entry'!$§$219)</f>
      </c>
      <c r="CZ219">
        <f>IF(ISBLANK('Data Entry'!$¨$219), "", 'Data Entry'!$¨$219)</f>
      </c>
      <c r="DA219">
        <f>IF(ISBLANK('Data Entry'!$©$219), "", 'Data Entry'!$©$219)</f>
      </c>
      <c r="DB219">
        <f>IF(ISBLANK('Data Entry'!$ª$219), "", 'Data Entry'!$ª$219)</f>
      </c>
      <c r="DC219">
        <f>IF(ISBLANK('Data Entry'!$«$219), "", 'Data Entry'!$«$219)</f>
      </c>
      <c r="DD219">
        <f>IF(ISBLANK('Data Entry'!$¬$219), "", 'Data Entry'!$¬$219)</f>
      </c>
      <c r="DE219">
        <f>IF(ISBLANK('Data Entry'!$­$219), "", 'Data Entry'!$­$219)</f>
      </c>
      <c r="DF219">
        <f>IF(ISBLANK('Data Entry'!$®$219), "", 'Data Entry'!$®$219)</f>
      </c>
      <c r="DG219">
        <f>IF(ISBLANK('Data Entry'!$¯$219), "", 'Data Entry'!$¯$219)</f>
      </c>
      <c r="DH219">
        <f>IF(ISBLANK('Data Entry'!$°$219), "", 'Data Entry'!$°$219)</f>
      </c>
      <c r="DI219">
        <f>IF(ISBLANK('Data Entry'!$±$219), "", 'Data Entry'!$±$219)</f>
      </c>
      <c r="DJ219">
        <f>IF(ISBLANK('Data Entry'!$²$219), "", 'Data Entry'!$²$219)</f>
      </c>
      <c r="DK219">
        <f>IF(ISBLANK('Data Entry'!$³$219), "", 'Data Entry'!$³$219)</f>
      </c>
      <c r="DL219">
        <f>IF(ISBLANK('Data Entry'!$´$219), "", 'Data Entry'!$´$219)</f>
      </c>
      <c r="DM219">
        <f>IF(ISBLANK('Data Entry'!$µ$219), "", 'Data Entry'!$µ$219)</f>
      </c>
      <c r="DN219">
        <f>IF(ISBLANK('Data Entry'!$¶$219), "", 'Data Entry'!$¶$219)</f>
      </c>
      <c r="DO219">
        <f>IF(ISBLANK('Data Entry'!$·$219), "", 'Data Entry'!$·$219)</f>
      </c>
      <c r="DP219">
        <f>IF(ISBLANK('Data Entry'!$¸$219), "", 'Data Entry'!$¸$219)</f>
      </c>
      <c r="DQ219">
        <f>IF(ISBLANK('Data Entry'!$¹$219), "", 'Data Entry'!$¹$219)</f>
      </c>
      <c r="DR219">
        <f>IF(ISBLANK('Data Entry'!$º$219), "", 'Data Entry'!$º$219)</f>
      </c>
      <c r="DS219">
        <f>IF(ISBLANK('Data Entry'!$»$219), "", 'Data Entry'!$»$219)</f>
      </c>
      <c r="DT219">
        <f>IF(ISBLANK('Data Entry'!$¼$219), "", 'Data Entry'!$¼$219)</f>
      </c>
      <c r="DU219">
        <f>IF(ISBLANK('Data Entry'!$½$219), "", 'Data Entry'!$½$219)</f>
      </c>
      <c r="DV219">
        <f>IF(ISBLANK('Data Entry'!$¾$219), "", 'Data Entry'!$¾$219)</f>
      </c>
      <c r="DW219">
        <f>IF(ISBLANK('Data Entry'!$¿$219), "", 'Data Entry'!$¿$219)</f>
      </c>
      <c r="DX219">
        <f>IF(ISBLANK('Data Entry'!$À$219), "", 'Data Entry'!$À$219)</f>
      </c>
      <c r="DY219">
        <f>IF(ISBLANK('Data Entry'!$Á$219), "", 'Data Entry'!$Á$219)</f>
      </c>
      <c r="DZ219">
        <f>IF(ISBLANK('Data Entry'!$Â$219), "", 'Data Entry'!$Â$219)</f>
      </c>
      <c r="EA219">
        <f>IF(ISBLANK('Data Entry'!$Ã$219), "", 'Data Entry'!$Ã$219)</f>
      </c>
      <c r="EB219">
        <f>IF(ISBLANK('Data Entry'!$Ä$219), "", 'Data Entry'!$Ä$219)</f>
      </c>
      <c r="EC219">
        <f>IF(ISBLANK('Data Entry'!$Å$219), "", 'Data Entry'!$Å$219)</f>
      </c>
      <c r="ED219">
        <f>IF(ISBLANK('Data Entry'!$Æ$219), "", 'Data Entry'!$Æ$219)</f>
      </c>
      <c r="EE219">
        <f>IF(ISBLANK('Data Entry'!$Ç$219), "", 'Data Entry'!$Ç$219)</f>
      </c>
      <c r="EF219">
        <f>IF(ISBLANK('Data Entry'!$È$219), "", 'Data Entry'!$È$219)</f>
      </c>
      <c r="EG219">
        <f>IF(ISBLANK('Data Entry'!$É$219), "", 'Data Entry'!$É$219)</f>
      </c>
      <c r="EH219">
        <f>IF(ISBLANK('Data Entry'!$Ê$219), "", 'Data Entry'!$Ê$219)</f>
      </c>
      <c r="EI219">
        <f>IF(ISBLANK('Data Entry'!$Ë$219), "", 'Data Entry'!$Ë$219)</f>
      </c>
      <c r="EJ219">
        <f>IF(ISBLANK('Data Entry'!$Ì$219), "", 'Data Entry'!$Ì$219)</f>
      </c>
      <c r="EK219">
        <f>IF(ISBLANK('Data Entry'!$Í$219), "", 'Data Entry'!$Í$219)</f>
      </c>
      <c r="EL219">
        <f>IF(ISBLANK('Data Entry'!$Î$219), "", 'Data Entry'!$Î$219)</f>
      </c>
      <c r="EM219">
        <f>IF(ISBLANK('Data Entry'!$Ï$219), "", 'Data Entry'!$Ï$219)</f>
      </c>
      <c r="EN219">
        <f>IF(ISBLANK('Data Entry'!$Ð$219), "", 'Data Entry'!$Ð$219)</f>
      </c>
      <c r="EO219">
        <f>IF(ISBLANK('Data Entry'!$Ñ$219), "", 'Data Entry'!$Ñ$219)</f>
      </c>
      <c r="EP219">
        <f>IF(ISBLANK('Data Entry'!$Ò$219), "", 'Data Entry'!$Ò$219)</f>
      </c>
      <c r="EQ219">
        <f>IF(ISBLANK('Data Entry'!$Ó$219), "", 'Data Entry'!$Ó$219)</f>
      </c>
      <c r="ER219">
        <f>IF(ISBLANK('Data Entry'!$Ô$219), "", 'Data Entry'!$Ô$219)</f>
      </c>
      <c r="ES219">
        <f>IF(ISBLANK('Data Entry'!$Õ$219), "", 'Data Entry'!$Õ$219)</f>
      </c>
      <c r="ET219">
        <f>IF(ISBLANK('Data Entry'!$Ö$219), "", 'Data Entry'!$Ö$219)</f>
      </c>
      <c r="EU219">
        <f>IF(ISBLANK('Data Entry'!$×$219), "", 'Data Entry'!$×$219)</f>
      </c>
      <c r="EV219">
        <f>IF(ISBLANK('Data Entry'!$Ø$219), "", 'Data Entry'!$Ø$219)</f>
      </c>
      <c r="EW219">
        <f>IF(ISBLANK('Data Entry'!$Ù$219), "", 'Data Entry'!$Ù$219)</f>
      </c>
      <c r="EX219">
        <f>IF(ISBLANK('Data Entry'!$Ú$219), "", 'Data Entry'!$Ú$219)</f>
      </c>
      <c r="EY219">
        <f>IF(ISBLANK('Data Entry'!$Û$219), "", 'Data Entry'!$Û$219)</f>
      </c>
      <c r="EZ219">
        <f>IF(ISBLANK('Data Entry'!$Ü$219), "", 'Data Entry'!$Ü$219)</f>
      </c>
      <c r="FA219">
        <f>IF(ISBLANK('Data Entry'!$Ý$219), "", 'Data Entry'!$Ý$219)</f>
      </c>
      <c r="FB219">
        <f>IF(ISBLANK('Data Entry'!$Þ$219), "", 'Data Entry'!$Þ$219)</f>
      </c>
      <c r="FC219">
        <f>IF(ISBLANK('Data Entry'!$ß$219), "", 'Data Entry'!$ß$219)</f>
      </c>
      <c r="FD219">
        <f>IF(ISBLANK('Data Entry'!$à$219), "", 'Data Entry'!$à$219)</f>
      </c>
      <c r="FE219">
        <f>IF(ISBLANK('Data Entry'!$á$219), "", 'Data Entry'!$á$219)</f>
      </c>
      <c r="FF219">
        <f>IF(ISBLANK('Data Entry'!$â$219), "", 'Data Entry'!$â$219)</f>
      </c>
      <c r="FG219">
        <f>IF(ISBLANK('Data Entry'!$ã$219), "", 'Data Entry'!$ã$219)</f>
      </c>
      <c r="FH219">
        <f>IF(ISBLANK('Data Entry'!$ä$219), "", 'Data Entry'!$ä$219)</f>
      </c>
      <c r="FI219">
        <f>IF(ISBLANK('Data Entry'!$å$219), "", 'Data Entry'!$å$219)</f>
      </c>
      <c r="FJ219">
        <f>IF(ISBLANK('Data Entry'!$æ$219), "", 'Data Entry'!$æ$219)</f>
      </c>
      <c r="FK219">
        <f>IF(ISBLANK('Data Entry'!$ç$219), "", 'Data Entry'!$ç$219)</f>
      </c>
      <c r="FL219">
        <f>IF(ISBLANK('Data Entry'!$è$219), "", 'Data Entry'!$è$219)</f>
      </c>
      <c r="FM219">
        <f>IF(ISBLANK('Data Entry'!$é$219), "", 'Data Entry'!$é$219)</f>
      </c>
      <c r="FN219">
        <f>IF(ISBLANK('Data Entry'!$ê$219), "", 'Data Entry'!$ê$219)</f>
      </c>
      <c r="FO219">
        <f>IF(ISBLANK('Data Entry'!$ë$219), "", 'Data Entry'!$ë$219)</f>
      </c>
      <c r="FP219">
        <f>IF(ISBLANK('Data Entry'!$ì$219), "", 'Data Entry'!$ì$219)</f>
      </c>
      <c r="FQ219">
        <f>IF(ISBLANK('Data Entry'!$í$219), "", 'Data Entry'!$í$219)</f>
      </c>
      <c r="FR219">
        <f>IF(ISBLANK('Data Entry'!$î$219), "", 'Data Entry'!$î$219)</f>
      </c>
      <c r="FS219">
        <f>IF(ISBLANK('Data Entry'!$ï$219), "", 'Data Entry'!$ï$219)</f>
      </c>
      <c r="FT219">
        <f>IF(ISBLANK('Data Entry'!$ð$219), "", 'Data Entry'!$ð$219)</f>
      </c>
      <c r="FU219">
        <f>IF(ISBLANK('Data Entry'!$ñ$219), "", 'Data Entry'!$ñ$219)</f>
      </c>
      <c r="FV219">
        <f>IF(ISBLANK('Data Entry'!$ò$219), "", 'Data Entry'!$ò$219)</f>
      </c>
      <c r="FW219">
        <f>IF(ISBLANK('Data Entry'!$ó$219), "", 'Data Entry'!$ó$219)</f>
      </c>
      <c r="FX219">
        <f>IF(ISBLANK('Data Entry'!$ô$219), "", 'Data Entry'!$ô$219)</f>
      </c>
      <c r="FY219">
        <f>IF(ISBLANK('Data Entry'!$õ$219), "", 'Data Entry'!$õ$219)</f>
      </c>
      <c r="FZ219">
        <f>IF(ISBLANK('Data Entry'!$ö$219), "", 'Data Entry'!$ö$219)</f>
      </c>
      <c r="GA219">
        <f>IF(ISBLANK('Data Entry'!$÷$219), "", 'Data Entry'!$÷$219)</f>
      </c>
      <c r="GB219">
        <f>IF(ISBLANK('Data Entry'!$ø$219), "", 'Data Entry'!$ø$219)</f>
      </c>
      <c r="GC219">
        <f>IF(ISBLANK('Data Entry'!$ù$219), "", 'Data Entry'!$ù$219)</f>
      </c>
      <c r="GD219">
        <f>IF(ISBLANK('Data Entry'!$ú$219), "", 'Data Entry'!$ú$219)</f>
      </c>
      <c r="GE219">
        <f>IF(ISBLANK('Data Entry'!$û$219), "", 'Data Entry'!$û$219)</f>
      </c>
      <c r="GF219">
        <f>IF(ISBLANK('Data Entry'!$ü$219), "", 'Data Entry'!$ü$219)</f>
      </c>
      <c r="GG219">
        <f>IF(ISBLANK('Data Entry'!$ý$219), "", 'Data Entry'!$ý$219)</f>
      </c>
      <c r="GH219">
        <f>IF(ISBLANK('Data Entry'!$þ$219), "", 'Data Entry'!$þ$219)</f>
      </c>
      <c r="GI219">
        <f>IF(ISBLANK('Data Entry'!$ÿ$219), "", 'Data Entry'!$ÿ$219)</f>
      </c>
      <c r="GJ219">
        <f>IF(ISBLANK('Data Entry'!$Ā$219), "", 'Data Entry'!$Ā$219)</f>
      </c>
      <c r="GK219">
        <f>IF(ISBLANK('Data Entry'!$ā$219), "", 'Data Entry'!$ā$219)</f>
      </c>
      <c r="GL219">
        <f>IF(ISBLANK('Data Entry'!$Ă$219), "", 'Data Entry'!$Ă$219)</f>
      </c>
      <c r="GM219">
        <f>IF(ISBLANK('Data Entry'!$ă$219), "", 'Data Entry'!$ă$219)</f>
      </c>
      <c r="GN219">
        <f>IF(ISBLANK('Data Entry'!$Ą$219), "", 'Data Entry'!$Ą$219)</f>
      </c>
      <c r="GO219">
        <f>IF(ISBLANK('Data Entry'!$ą$219), "", 'Data Entry'!$ą$219)</f>
      </c>
      <c r="GP219">
        <f>IF(ISBLANK('Data Entry'!$Ć$219), "", 'Data Entry'!$Ć$219)</f>
      </c>
      <c r="GQ219">
        <f>IF(ISBLANK('Data Entry'!$ć$219), "", 'Data Entry'!$ć$219)</f>
      </c>
      <c r="GR219">
        <f>IF(ISBLANK('Data Entry'!$Ĉ$219), "", 'Data Entry'!$Ĉ$219)</f>
      </c>
      <c r="GS219">
        <f>IF(ISBLANK('Data Entry'!$ĉ$219), "", 'Data Entry'!$ĉ$219)</f>
      </c>
      <c r="GT219">
        <f>IF(ISBLANK('Data Entry'!$Ċ$219), "", 'Data Entry'!$Ċ$219)</f>
      </c>
      <c r="GU219">
        <f>IF(ISBLANK('Data Entry'!$ċ$219), "", 'Data Entry'!$ċ$219)</f>
      </c>
      <c r="GV219">
        <f>IF(ISBLANK('Data Entry'!$Č$219), "", 'Data Entry'!$Č$219)</f>
      </c>
      <c r="GW219">
        <f>IF(ISBLANK('Data Entry'!$č$219), "", 'Data Entry'!$č$219)</f>
      </c>
      <c r="GX219">
        <f>IF(ISBLANK('Data Entry'!$Ď$219), "", 'Data Entry'!$Ď$219)</f>
      </c>
      <c r="GY219">
        <f>IF(ISBLANK('Data Entry'!$ď$219), "", 'Data Entry'!$ď$219)</f>
      </c>
      <c r="GZ219">
        <f>IF(ISBLANK('Data Entry'!$Đ$219), "", 'Data Entry'!$Đ$219)</f>
      </c>
      <c r="HA219">
        <f>IF(ISBLANK('Data Entry'!$đ$219), "", 'Data Entry'!$đ$219)</f>
      </c>
      <c r="HB219">
        <f>IF(ISBLANK('Data Entry'!$Ē$219), "", 'Data Entry'!$Ē$219)</f>
      </c>
      <c r="HC219">
        <f>IF(ISBLANK('Data Entry'!$ē$219), "", 'Data Entry'!$ē$219)</f>
      </c>
      <c r="HD219">
        <f>IF(ISBLANK('Data Entry'!$Ĕ$219), "", 'Data Entry'!$Ĕ$219)</f>
      </c>
      <c r="HE219">
        <f>IF(ISBLANK('Data Entry'!$ĕ$219), "", 'Data Entry'!$ĕ$219)</f>
      </c>
      <c r="HF219">
        <f>IF(ISBLANK('Data Entry'!$Ė$219), "", 'Data Entry'!$Ė$219)</f>
      </c>
      <c r="HG219">
        <f>IF(ISBLANK('Data Entry'!$ė$219), "", 'Data Entry'!$ė$219)</f>
      </c>
      <c r="HH219">
        <f>IF(ISBLANK('Data Entry'!$Ę$219), "", 'Data Entry'!$Ę$219)</f>
      </c>
      <c r="HI219">
        <f>IF(ISBLANK('Data Entry'!$ę$219), "", 'Data Entry'!$ę$219)</f>
      </c>
      <c r="HJ219">
        <f>IF(ISBLANK('Data Entry'!$Ě$219), "", 'Data Entry'!$Ě$219)</f>
      </c>
      <c r="HK219">
        <f>IF(ISBLANK('Data Entry'!$ě$219), "", 'Data Entry'!$ě$219)</f>
      </c>
      <c r="HL219">
        <f>IF(ISBLANK('Data Entry'!$Ĝ$219), "", 'Data Entry'!$Ĝ$219)</f>
      </c>
      <c r="HM219">
        <f>IF(ISBLANK('Data Entry'!$ĝ$219), "", 'Data Entry'!$ĝ$219)</f>
      </c>
      <c r="HN219">
        <f>IF(ISBLANK('Data Entry'!$Ğ$219), "", 'Data Entry'!$Ğ$219)</f>
      </c>
      <c r="HO219">
        <f>IF(ISBLANK('Data Entry'!$ğ$219), "", 'Data Entry'!$ğ$219)</f>
      </c>
      <c r="HP219">
        <f>IF(ISBLANK('Data Entry'!$Ġ$219), "", 'Data Entry'!$Ġ$219)</f>
      </c>
      <c r="HQ219">
        <f>IF(ISBLANK('Data Entry'!$ġ$219), "", 'Data Entry'!$ġ$219)</f>
      </c>
      <c r="HR219">
        <f>IF(ISBLANK('Data Entry'!$Ģ$219), "", 'Data Entry'!$Ģ$219)</f>
      </c>
      <c r="HS219">
        <f>IF(ISBLANK('Data Entry'!$ģ$219), "", 'Data Entry'!$ģ$219)</f>
      </c>
      <c r="HT219">
        <f>IF(ISBLANK('Data Entry'!$Ĥ$219), "", 'Data Entry'!$Ĥ$219)</f>
      </c>
      <c r="HU219">
        <f>IF(ISBLANK('Data Entry'!$ĥ$219), "", 'Data Entry'!$ĥ$219)</f>
      </c>
      <c r="HV219">
        <f>IF(ISBLANK('Data Entry'!$Ħ$219), "", 'Data Entry'!$Ħ$219)</f>
      </c>
      <c r="HW219">
        <f>IF(ISBLANK('Data Entry'!$ħ$219), "", 'Data Entry'!$ħ$219)</f>
      </c>
      <c r="HX219">
        <f>IF(ISBLANK('Data Entry'!$Ĩ$219), "", 'Data Entry'!$Ĩ$219)</f>
      </c>
      <c r="HY219">
        <f>IF(ISBLANK('Data Entry'!$ĩ$219), "", 'Data Entry'!$ĩ$219)</f>
      </c>
      <c r="HZ219">
        <f>IF(ISBLANK('Data Entry'!$Ī$219), "", 'Data Entry'!$Ī$219)</f>
      </c>
      <c r="IA219">
        <f>IF(ISBLANK('Data Entry'!$ī$219), "", 'Data Entry'!$ī$219)</f>
      </c>
      <c r="IB219">
        <f>IF(ISBLANK('Data Entry'!$Ĭ$219), "", 'Data Entry'!$Ĭ$219)</f>
      </c>
      <c r="IC219">
        <f>IF(ISBLANK('Data Entry'!$ĭ$219), "", 'Data Entry'!$ĭ$219)</f>
      </c>
      <c r="ID219">
        <f>IF(ISBLANK('Data Entry'!$Į$219), "", 'Data Entry'!$Į$219)</f>
      </c>
      <c r="IE219">
        <f>IF(ISBLANK('Data Entry'!$į$219), "", 'Data Entry'!$į$219)</f>
      </c>
      <c r="IF219">
        <f>IF(ISBLANK('Data Entry'!$İ$219), "", 'Data Entry'!$İ$219)</f>
      </c>
      <c r="IG219">
        <f>IF(ISBLANK('Data Entry'!$ı$219), "", 'Data Entry'!$ı$219)</f>
      </c>
      <c r="IH219">
        <f>IF(ISBLANK('Data Entry'!$Ĳ$219), "", 'Data Entry'!$Ĳ$219)</f>
      </c>
      <c r="II219">
        <f>IF(ISBLANK('Data Entry'!$ĳ$219), "", 'Data Entry'!$ĳ$219)</f>
      </c>
      <c r="IJ219">
        <f>IF(ISBLANK('Data Entry'!$Ĵ$219), "", 'Data Entry'!$Ĵ$219)</f>
      </c>
      <c r="IK219">
        <f>IF(ISBLANK('Data Entry'!$ĵ$219), "", 'Data Entry'!$ĵ$219)</f>
      </c>
      <c r="IL219">
        <f>IF(ISBLANK('Data Entry'!$Ķ$219), "", 'Data Entry'!$Ķ$219)</f>
      </c>
      <c r="IM219">
        <f>IF(ISBLANK('Data Entry'!$ķ$219), "", 'Data Entry'!$ķ$219)</f>
      </c>
      <c r="IN219">
        <f>IF(ISBLANK('Data Entry'!$ĸ$219), "", 'Data Entry'!$ĸ$219)</f>
      </c>
      <c r="IO219">
        <f>IF(ISBLANK('Data Entry'!$Ĺ$219), "", 'Data Entry'!$Ĺ$219)</f>
      </c>
      <c r="IP219">
        <f>IF(ISBLANK('Data Entry'!$ĺ$219), "", 'Data Entry'!$ĺ$219)</f>
      </c>
      <c r="IQ219">
        <f>IF(ISBLANK('Data Entry'!$Ļ$219), "", 'Data Entry'!$Ļ$219)</f>
      </c>
      <c r="IR219">
        <f>IF(ISBLANK('Data Entry'!$ļ$219), "", 'Data Entry'!$ļ$219)</f>
      </c>
      <c r="IS219">
        <f>IF(ISBLANK('Data Entry'!$Ľ$219), "", 'Data Entry'!$Ľ$219)</f>
      </c>
      <c r="IT219">
        <f>IF(ISBLANK('Data Entry'!$ľ$219), "", 'Data Entry'!$ľ$219)</f>
      </c>
    </row>
    <row r="220" spans="1:254" x14ac:dyDescent="0.25">
      <c r="A220">
        <f>IF(ISBLANK('Data Entry'!$A$220), "", 'Data Entry'!$A$220)</f>
      </c>
      <c r="B220">
        <f>IF(ISBLANK('Data Entry'!$B$220), "", 'Data Entry'!$B$220)</f>
      </c>
      <c r="C220">
        <f>IF(ISBLANK('Data Entry'!$C$220), "", 'Data Entry'!$C$220)</f>
      </c>
      <c r="D220">
        <f>IF(ISBLANK('Data Entry'!$D$220), "", 'Data Entry'!$D$220)</f>
      </c>
      <c r="E220">
        <f>IF(ISBLANK('Data Entry'!$E$220), "", 'Data Entry'!$E$220)</f>
      </c>
      <c r="F220">
        <f>IF(ISBLANK('Data Entry'!$F$220), "", 'Data Entry'!$F$220)</f>
      </c>
      <c r="G220">
        <f>IF(ISBLANK('Data Entry'!$G$220), "", 'Data Entry'!$G$220)</f>
      </c>
      <c r="H220">
        <f>IF(ISBLANK('Data Entry'!$H$220), "", 'Data Entry'!$H$220)</f>
      </c>
      <c r="I220">
        <f>IF(ISBLANK('Data Entry'!$I$220), "", 'Data Entry'!$I$220)</f>
      </c>
      <c r="J220">
        <f>IF(ISBLANK('Data Entry'!$J$220), "", 'Data Entry'!$J$220)</f>
      </c>
      <c r="K220">
        <f>IF(ISBLANK('Data Entry'!$K$220), "", 'Data Entry'!$K$220)</f>
      </c>
      <c r="L220">
        <f>IF(ISBLANK('Data Entry'!$L$220), "", 'Data Entry'!$L$220)</f>
      </c>
      <c r="M220">
        <f>IF(ISBLANK('Data Entry'!$M$220), "", 'Data Entry'!$M$220)</f>
      </c>
      <c r="N220">
        <f>IF(ISBLANK('Data Entry'!$N$220), "", 'Data Entry'!$N$220)</f>
      </c>
      <c r="O220">
        <f>IF(ISBLANK('Data Entry'!$O$220), "", 'Data Entry'!$O$220)</f>
      </c>
      <c r="P220">
        <f>IF(ISBLANK('Data Entry'!$P$220), "", 'Data Entry'!$P$220)</f>
      </c>
      <c r="Q220">
        <f>IF(ISBLANK('Data Entry'!$Q$220), "", 'Data Entry'!$Q$220)</f>
      </c>
      <c r="R220">
        <f>IF(ISBLANK('Data Entry'!$R$220), "", 'Data Entry'!$R$220)</f>
      </c>
      <c r="S220">
        <f>IF(ISBLANK('Data Entry'!$S$220), "", 'Data Entry'!$S$220)</f>
      </c>
      <c r="T220">
        <f>IF(ISBLANK('Data Entry'!$T$220), "", 'Data Entry'!$T$220)</f>
      </c>
      <c r="U220">
        <f>IF(ISBLANK('Data Entry'!$U$220), "", 'Data Entry'!$U$220)</f>
      </c>
      <c r="V220">
        <f>IF(ISBLANK('Data Entry'!$V$220), "", 'Data Entry'!$V$220)</f>
      </c>
      <c r="W220">
        <f>IF(ISBLANK('Data Entry'!$W$220), "", 'Data Entry'!$W$220)</f>
      </c>
      <c r="X220">
        <f>IF(ISBLANK('Data Entry'!$X$220), "", 'Data Entry'!$X$220)</f>
      </c>
      <c r="Y220">
        <f>IF(ISBLANK('Data Entry'!$Y$220), "", 'Data Entry'!$Y$220)</f>
      </c>
      <c r="Z220">
        <f>IF(ISBLANK('Data Entry'!$Z$220), "", 'Data Entry'!$Z$220)</f>
      </c>
      <c r="AA220">
        <f>IF(ISBLANK('Data Entry'!$[$220), "", 'Data Entry'!$[$220)</f>
      </c>
      <c r="AB220">
        <f>IF(ISBLANK('Data Entry'!$\$220), "", 'Data Entry'!$\$220)</f>
      </c>
      <c r="AC220">
        <f>IF(ISBLANK('Data Entry'!$]$220), "", 'Data Entry'!$]$220)</f>
      </c>
      <c r="AD220">
        <f>IF(ISBLANK('Data Entry'!$^$220), "", 'Data Entry'!$^$220)</f>
      </c>
      <c r="AE220">
        <f>IF(ISBLANK('Data Entry'!$_$220), "", 'Data Entry'!$_$220)</f>
      </c>
      <c r="AF220">
        <f>IF(ISBLANK('Data Entry'!$`$220), "", 'Data Entry'!$`$220)</f>
      </c>
      <c r="AG220">
        <f>IF(ISBLANK('Data Entry'!$a$220), "", 'Data Entry'!$a$220)</f>
      </c>
      <c r="AH220">
        <f>IF(ISBLANK('Data Entry'!$b$220), "", 'Data Entry'!$b$220)</f>
      </c>
      <c r="AI220">
        <f>IF(ISBLANK('Data Entry'!$c$220), "", 'Data Entry'!$c$220)</f>
      </c>
      <c r="AJ220">
        <f>IF(ISBLANK('Data Entry'!$d$220), "", 'Data Entry'!$d$220)</f>
      </c>
      <c r="AK220">
        <f>IF(ISBLANK('Data Entry'!$e$220), "", 'Data Entry'!$e$220)</f>
      </c>
      <c r="AL220">
        <f>IF(ISBLANK('Data Entry'!$f$220), "", 'Data Entry'!$f$220)</f>
      </c>
      <c r="AM220">
        <f>IF(ISBLANK('Data Entry'!$g$220), "", 'Data Entry'!$g$220)</f>
      </c>
      <c r="AN220">
        <f>IF(ISBLANK('Data Entry'!$h$220), "", 'Data Entry'!$h$220)</f>
      </c>
      <c r="AO220">
        <f>IF(ISBLANK('Data Entry'!$i$220), "", 'Data Entry'!$i$220)</f>
      </c>
      <c r="AP220">
        <f>IF(ISBLANK('Data Entry'!$j$220), "", 'Data Entry'!$j$220)</f>
      </c>
      <c r="AQ220">
        <f>IF(ISBLANK('Data Entry'!$k$220), "", 'Data Entry'!$k$220)</f>
      </c>
      <c r="AR220">
        <f>IF(ISBLANK('Data Entry'!$l$220), "", 'Data Entry'!$l$220)</f>
      </c>
      <c r="AS220">
        <f>IF(ISBLANK('Data Entry'!$m$220), "", 'Data Entry'!$m$220)</f>
      </c>
      <c r="AT220">
        <f>IF(ISBLANK('Data Entry'!$n$220), "", 'Data Entry'!$n$220)</f>
      </c>
      <c r="AU220">
        <f>IF(ISBLANK('Data Entry'!$o$220), "", 'Data Entry'!$o$220)</f>
      </c>
      <c r="AV220">
        <f>IF(ISBLANK('Data Entry'!$p$220), "", 'Data Entry'!$p$220)</f>
      </c>
      <c r="AW220">
        <f>IF(ISBLANK('Data Entry'!$q$220), "", 'Data Entry'!$q$220)</f>
      </c>
      <c r="AX220">
        <f>IF(ISBLANK('Data Entry'!$r$220), "", 'Data Entry'!$r$220)</f>
      </c>
      <c r="AY220">
        <f>IF(ISBLANK('Data Entry'!$s$220), "", 'Data Entry'!$s$220)</f>
      </c>
      <c r="AZ220">
        <f>IF(ISBLANK('Data Entry'!$t$220), "", 'Data Entry'!$t$220)</f>
      </c>
      <c r="BA220">
        <f>IF(ISBLANK('Data Entry'!$u$220), "", 'Data Entry'!$u$220)</f>
      </c>
      <c r="BB220">
        <f>IF(ISBLANK('Data Entry'!$v$220), "", 'Data Entry'!$v$220)</f>
      </c>
      <c r="BC220">
        <f>IF(ISBLANK('Data Entry'!$w$220), "", 'Data Entry'!$w$220)</f>
      </c>
      <c r="BD220">
        <f>IF(ISBLANK('Data Entry'!$x$220), "", 'Data Entry'!$x$220)</f>
      </c>
      <c r="BE220">
        <f>IF(ISBLANK('Data Entry'!$y$220), "", 'Data Entry'!$y$220)</f>
      </c>
      <c r="BF220">
        <f>IF(ISBLANK('Data Entry'!$z$220), "", 'Data Entry'!$z$220)</f>
      </c>
      <c r="BG220">
        <f>IF(ISBLANK('Data Entry'!${$220), "", 'Data Entry'!${$220)</f>
      </c>
      <c r="BH220">
        <f>IF(ISBLANK('Data Entry'!$|$220), "", 'Data Entry'!$|$220)</f>
      </c>
      <c r="BI220">
        <f>IF(ISBLANK('Data Entry'!$}$220), "", 'Data Entry'!$}$220)</f>
      </c>
      <c r="BJ220">
        <f>IF(ISBLANK('Data Entry'!$~$220), "", 'Data Entry'!$~$220)</f>
      </c>
      <c r="BK220">
        <f>IF(ISBLANK('Data Entry'!$$220), "", 'Data Entry'!$$220)</f>
      </c>
      <c r="BL220">
        <f>IF(ISBLANK('Data Entry'!$$220), "", 'Data Entry'!$$220)</f>
      </c>
      <c r="BM220">
        <f>IF(ISBLANK('Data Entry'!$$220), "", 'Data Entry'!$$220)</f>
      </c>
      <c r="BN220">
        <f>IF(ISBLANK('Data Entry'!$$220), "", 'Data Entry'!$$220)</f>
      </c>
      <c r="BO220">
        <f>IF(ISBLANK('Data Entry'!$$220), "", 'Data Entry'!$$220)</f>
      </c>
      <c r="BP220">
        <f>IF(ISBLANK('Data Entry'!$$220), "", 'Data Entry'!$$220)</f>
      </c>
      <c r="BQ220">
        <f>IF(ISBLANK('Data Entry'!$$220), "", 'Data Entry'!$$220)</f>
      </c>
      <c r="BR220">
        <f>IF(ISBLANK('Data Entry'!$$220), "", 'Data Entry'!$$220)</f>
      </c>
      <c r="BS220">
        <f>IF(ISBLANK('Data Entry'!$$220), "", 'Data Entry'!$$220)</f>
      </c>
      <c r="BT220">
        <f>IF(ISBLANK('Data Entry'!$$220), "", 'Data Entry'!$$220)</f>
      </c>
      <c r="BU220">
        <f>IF(ISBLANK('Data Entry'!$$220), "", 'Data Entry'!$$220)</f>
      </c>
      <c r="BV220">
        <f>IF(ISBLANK('Data Entry'!$$220), "", 'Data Entry'!$$220)</f>
      </c>
      <c r="BW220">
        <f>IF(ISBLANK('Data Entry'!$$220), "", 'Data Entry'!$$220)</f>
      </c>
      <c r="BX220">
        <f>IF(ISBLANK('Data Entry'!$$220), "", 'Data Entry'!$$220)</f>
      </c>
      <c r="BY220">
        <f>IF(ISBLANK('Data Entry'!$$220), "", 'Data Entry'!$$220)</f>
      </c>
      <c r="BZ220">
        <f>IF(ISBLANK('Data Entry'!$$220), "", 'Data Entry'!$$220)</f>
      </c>
      <c r="CA220">
        <f>IF(ISBLANK('Data Entry'!$$220), "", 'Data Entry'!$$220)</f>
      </c>
      <c r="CB220">
        <f>IF(ISBLANK('Data Entry'!$$220), "", 'Data Entry'!$$220)</f>
      </c>
      <c r="CC220">
        <f>IF(ISBLANK('Data Entry'!$$220), "", 'Data Entry'!$$220)</f>
      </c>
      <c r="CD220">
        <f>IF(ISBLANK('Data Entry'!$$220), "", 'Data Entry'!$$220)</f>
      </c>
      <c r="CE220">
        <f>IF(ISBLANK('Data Entry'!$$220), "", 'Data Entry'!$$220)</f>
      </c>
      <c r="CF220">
        <f>IF(ISBLANK('Data Entry'!$$220), "", 'Data Entry'!$$220)</f>
      </c>
      <c r="CG220">
        <f>IF(ISBLANK('Data Entry'!$$220), "", 'Data Entry'!$$220)</f>
      </c>
      <c r="CH220">
        <f>IF(ISBLANK('Data Entry'!$$220), "", 'Data Entry'!$$220)</f>
      </c>
      <c r="CI220">
        <f>IF(ISBLANK('Data Entry'!$$220), "", 'Data Entry'!$$220)</f>
      </c>
      <c r="CJ220">
        <f>IF(ISBLANK('Data Entry'!$$220), "", 'Data Entry'!$$220)</f>
      </c>
      <c r="CK220">
        <f>IF(ISBLANK('Data Entry'!$$220), "", 'Data Entry'!$$220)</f>
      </c>
      <c r="CL220">
        <f>IF(ISBLANK('Data Entry'!$$220), "", 'Data Entry'!$$220)</f>
      </c>
      <c r="CM220">
        <f>IF(ISBLANK('Data Entry'!$$220), "", 'Data Entry'!$$220)</f>
      </c>
      <c r="CN220">
        <f>IF(ISBLANK('Data Entry'!$$220), "", 'Data Entry'!$$220)</f>
      </c>
      <c r="CO220">
        <f>IF(ISBLANK('Data Entry'!$$220), "", 'Data Entry'!$$220)</f>
      </c>
      <c r="CP220">
        <f>IF(ISBLANK('Data Entry'!$$220), "", 'Data Entry'!$$220)</f>
      </c>
      <c r="CQ220">
        <f>IF(ISBLANK('Data Entry'!$$220), "", 'Data Entry'!$$220)</f>
      </c>
      <c r="CR220">
        <f>IF(ISBLANK('Data Entry'!$ $220), "", 'Data Entry'!$ $220)</f>
      </c>
      <c r="CS220">
        <f>IF(ISBLANK('Data Entry'!$¡$220), "", 'Data Entry'!$¡$220)</f>
      </c>
      <c r="CT220">
        <f>IF(ISBLANK('Data Entry'!$¢$220), "", 'Data Entry'!$¢$220)</f>
      </c>
      <c r="CU220">
        <f>IF(ISBLANK('Data Entry'!$£$220), "", 'Data Entry'!$£$220)</f>
      </c>
      <c r="CV220">
        <f>IF(ISBLANK('Data Entry'!$¤$220), "", 'Data Entry'!$¤$220)</f>
      </c>
      <c r="CW220">
        <f>IF(ISBLANK('Data Entry'!$¥$220), "", 'Data Entry'!$¥$220)</f>
      </c>
      <c r="CX220">
        <f>IF(ISBLANK('Data Entry'!$¦$220), "", 'Data Entry'!$¦$220)</f>
      </c>
      <c r="CY220">
        <f>IF(ISBLANK('Data Entry'!$§$220), "", 'Data Entry'!$§$220)</f>
      </c>
      <c r="CZ220">
        <f>IF(ISBLANK('Data Entry'!$¨$220), "", 'Data Entry'!$¨$220)</f>
      </c>
      <c r="DA220">
        <f>IF(ISBLANK('Data Entry'!$©$220), "", 'Data Entry'!$©$220)</f>
      </c>
      <c r="DB220">
        <f>IF(ISBLANK('Data Entry'!$ª$220), "", 'Data Entry'!$ª$220)</f>
      </c>
      <c r="DC220">
        <f>IF(ISBLANK('Data Entry'!$«$220), "", 'Data Entry'!$«$220)</f>
      </c>
      <c r="DD220">
        <f>IF(ISBLANK('Data Entry'!$¬$220), "", 'Data Entry'!$¬$220)</f>
      </c>
      <c r="DE220">
        <f>IF(ISBLANK('Data Entry'!$­$220), "", 'Data Entry'!$­$220)</f>
      </c>
      <c r="DF220">
        <f>IF(ISBLANK('Data Entry'!$®$220), "", 'Data Entry'!$®$220)</f>
      </c>
      <c r="DG220">
        <f>IF(ISBLANK('Data Entry'!$¯$220), "", 'Data Entry'!$¯$220)</f>
      </c>
      <c r="DH220">
        <f>IF(ISBLANK('Data Entry'!$°$220), "", 'Data Entry'!$°$220)</f>
      </c>
      <c r="DI220">
        <f>IF(ISBLANK('Data Entry'!$±$220), "", 'Data Entry'!$±$220)</f>
      </c>
      <c r="DJ220">
        <f>IF(ISBLANK('Data Entry'!$²$220), "", 'Data Entry'!$²$220)</f>
      </c>
      <c r="DK220">
        <f>IF(ISBLANK('Data Entry'!$³$220), "", 'Data Entry'!$³$220)</f>
      </c>
      <c r="DL220">
        <f>IF(ISBLANK('Data Entry'!$´$220), "", 'Data Entry'!$´$220)</f>
      </c>
      <c r="DM220">
        <f>IF(ISBLANK('Data Entry'!$µ$220), "", 'Data Entry'!$µ$220)</f>
      </c>
      <c r="DN220">
        <f>IF(ISBLANK('Data Entry'!$¶$220), "", 'Data Entry'!$¶$220)</f>
      </c>
      <c r="DO220">
        <f>IF(ISBLANK('Data Entry'!$·$220), "", 'Data Entry'!$·$220)</f>
      </c>
      <c r="DP220">
        <f>IF(ISBLANK('Data Entry'!$¸$220), "", 'Data Entry'!$¸$220)</f>
      </c>
      <c r="DQ220">
        <f>IF(ISBLANK('Data Entry'!$¹$220), "", 'Data Entry'!$¹$220)</f>
      </c>
      <c r="DR220">
        <f>IF(ISBLANK('Data Entry'!$º$220), "", 'Data Entry'!$º$220)</f>
      </c>
      <c r="DS220">
        <f>IF(ISBLANK('Data Entry'!$»$220), "", 'Data Entry'!$»$220)</f>
      </c>
      <c r="DT220">
        <f>IF(ISBLANK('Data Entry'!$¼$220), "", 'Data Entry'!$¼$220)</f>
      </c>
      <c r="DU220">
        <f>IF(ISBLANK('Data Entry'!$½$220), "", 'Data Entry'!$½$220)</f>
      </c>
      <c r="DV220">
        <f>IF(ISBLANK('Data Entry'!$¾$220), "", 'Data Entry'!$¾$220)</f>
      </c>
      <c r="DW220">
        <f>IF(ISBLANK('Data Entry'!$¿$220), "", 'Data Entry'!$¿$220)</f>
      </c>
      <c r="DX220">
        <f>IF(ISBLANK('Data Entry'!$À$220), "", 'Data Entry'!$À$220)</f>
      </c>
      <c r="DY220">
        <f>IF(ISBLANK('Data Entry'!$Á$220), "", 'Data Entry'!$Á$220)</f>
      </c>
      <c r="DZ220">
        <f>IF(ISBLANK('Data Entry'!$Â$220), "", 'Data Entry'!$Â$220)</f>
      </c>
      <c r="EA220">
        <f>IF(ISBLANK('Data Entry'!$Ã$220), "", 'Data Entry'!$Ã$220)</f>
      </c>
      <c r="EB220">
        <f>IF(ISBLANK('Data Entry'!$Ä$220), "", 'Data Entry'!$Ä$220)</f>
      </c>
      <c r="EC220">
        <f>IF(ISBLANK('Data Entry'!$Å$220), "", 'Data Entry'!$Å$220)</f>
      </c>
      <c r="ED220">
        <f>IF(ISBLANK('Data Entry'!$Æ$220), "", 'Data Entry'!$Æ$220)</f>
      </c>
      <c r="EE220">
        <f>IF(ISBLANK('Data Entry'!$Ç$220), "", 'Data Entry'!$Ç$220)</f>
      </c>
      <c r="EF220">
        <f>IF(ISBLANK('Data Entry'!$È$220), "", 'Data Entry'!$È$220)</f>
      </c>
      <c r="EG220">
        <f>IF(ISBLANK('Data Entry'!$É$220), "", 'Data Entry'!$É$220)</f>
      </c>
      <c r="EH220">
        <f>IF(ISBLANK('Data Entry'!$Ê$220), "", 'Data Entry'!$Ê$220)</f>
      </c>
      <c r="EI220">
        <f>IF(ISBLANK('Data Entry'!$Ë$220), "", 'Data Entry'!$Ë$220)</f>
      </c>
      <c r="EJ220">
        <f>IF(ISBLANK('Data Entry'!$Ì$220), "", 'Data Entry'!$Ì$220)</f>
      </c>
      <c r="EK220">
        <f>IF(ISBLANK('Data Entry'!$Í$220), "", 'Data Entry'!$Í$220)</f>
      </c>
      <c r="EL220">
        <f>IF(ISBLANK('Data Entry'!$Î$220), "", 'Data Entry'!$Î$220)</f>
      </c>
      <c r="EM220">
        <f>IF(ISBLANK('Data Entry'!$Ï$220), "", 'Data Entry'!$Ï$220)</f>
      </c>
      <c r="EN220">
        <f>IF(ISBLANK('Data Entry'!$Ð$220), "", 'Data Entry'!$Ð$220)</f>
      </c>
      <c r="EO220">
        <f>IF(ISBLANK('Data Entry'!$Ñ$220), "", 'Data Entry'!$Ñ$220)</f>
      </c>
      <c r="EP220">
        <f>IF(ISBLANK('Data Entry'!$Ò$220), "", 'Data Entry'!$Ò$220)</f>
      </c>
      <c r="EQ220">
        <f>IF(ISBLANK('Data Entry'!$Ó$220), "", 'Data Entry'!$Ó$220)</f>
      </c>
      <c r="ER220">
        <f>IF(ISBLANK('Data Entry'!$Ô$220), "", 'Data Entry'!$Ô$220)</f>
      </c>
      <c r="ES220">
        <f>IF(ISBLANK('Data Entry'!$Õ$220), "", 'Data Entry'!$Õ$220)</f>
      </c>
      <c r="ET220">
        <f>IF(ISBLANK('Data Entry'!$Ö$220), "", 'Data Entry'!$Ö$220)</f>
      </c>
      <c r="EU220">
        <f>IF(ISBLANK('Data Entry'!$×$220), "", 'Data Entry'!$×$220)</f>
      </c>
      <c r="EV220">
        <f>IF(ISBLANK('Data Entry'!$Ø$220), "", 'Data Entry'!$Ø$220)</f>
      </c>
      <c r="EW220">
        <f>IF(ISBLANK('Data Entry'!$Ù$220), "", 'Data Entry'!$Ù$220)</f>
      </c>
      <c r="EX220">
        <f>IF(ISBLANK('Data Entry'!$Ú$220), "", 'Data Entry'!$Ú$220)</f>
      </c>
      <c r="EY220">
        <f>IF(ISBLANK('Data Entry'!$Û$220), "", 'Data Entry'!$Û$220)</f>
      </c>
      <c r="EZ220">
        <f>IF(ISBLANK('Data Entry'!$Ü$220), "", 'Data Entry'!$Ü$220)</f>
      </c>
      <c r="FA220">
        <f>IF(ISBLANK('Data Entry'!$Ý$220), "", 'Data Entry'!$Ý$220)</f>
      </c>
      <c r="FB220">
        <f>IF(ISBLANK('Data Entry'!$Þ$220), "", 'Data Entry'!$Þ$220)</f>
      </c>
      <c r="FC220">
        <f>IF(ISBLANK('Data Entry'!$ß$220), "", 'Data Entry'!$ß$220)</f>
      </c>
      <c r="FD220">
        <f>IF(ISBLANK('Data Entry'!$à$220), "", 'Data Entry'!$à$220)</f>
      </c>
      <c r="FE220">
        <f>IF(ISBLANK('Data Entry'!$á$220), "", 'Data Entry'!$á$220)</f>
      </c>
      <c r="FF220">
        <f>IF(ISBLANK('Data Entry'!$â$220), "", 'Data Entry'!$â$220)</f>
      </c>
      <c r="FG220">
        <f>IF(ISBLANK('Data Entry'!$ã$220), "", 'Data Entry'!$ã$220)</f>
      </c>
      <c r="FH220">
        <f>IF(ISBLANK('Data Entry'!$ä$220), "", 'Data Entry'!$ä$220)</f>
      </c>
      <c r="FI220">
        <f>IF(ISBLANK('Data Entry'!$å$220), "", 'Data Entry'!$å$220)</f>
      </c>
      <c r="FJ220">
        <f>IF(ISBLANK('Data Entry'!$æ$220), "", 'Data Entry'!$æ$220)</f>
      </c>
      <c r="FK220">
        <f>IF(ISBLANK('Data Entry'!$ç$220), "", 'Data Entry'!$ç$220)</f>
      </c>
      <c r="FL220">
        <f>IF(ISBLANK('Data Entry'!$è$220), "", 'Data Entry'!$è$220)</f>
      </c>
      <c r="FM220">
        <f>IF(ISBLANK('Data Entry'!$é$220), "", 'Data Entry'!$é$220)</f>
      </c>
      <c r="FN220">
        <f>IF(ISBLANK('Data Entry'!$ê$220), "", 'Data Entry'!$ê$220)</f>
      </c>
      <c r="FO220">
        <f>IF(ISBLANK('Data Entry'!$ë$220), "", 'Data Entry'!$ë$220)</f>
      </c>
      <c r="FP220">
        <f>IF(ISBLANK('Data Entry'!$ì$220), "", 'Data Entry'!$ì$220)</f>
      </c>
      <c r="FQ220">
        <f>IF(ISBLANK('Data Entry'!$í$220), "", 'Data Entry'!$í$220)</f>
      </c>
      <c r="FR220">
        <f>IF(ISBLANK('Data Entry'!$î$220), "", 'Data Entry'!$î$220)</f>
      </c>
      <c r="FS220">
        <f>IF(ISBLANK('Data Entry'!$ï$220), "", 'Data Entry'!$ï$220)</f>
      </c>
      <c r="FT220">
        <f>IF(ISBLANK('Data Entry'!$ð$220), "", 'Data Entry'!$ð$220)</f>
      </c>
      <c r="FU220">
        <f>IF(ISBLANK('Data Entry'!$ñ$220), "", 'Data Entry'!$ñ$220)</f>
      </c>
      <c r="FV220">
        <f>IF(ISBLANK('Data Entry'!$ò$220), "", 'Data Entry'!$ò$220)</f>
      </c>
      <c r="FW220">
        <f>IF(ISBLANK('Data Entry'!$ó$220), "", 'Data Entry'!$ó$220)</f>
      </c>
      <c r="FX220">
        <f>IF(ISBLANK('Data Entry'!$ô$220), "", 'Data Entry'!$ô$220)</f>
      </c>
      <c r="FY220">
        <f>IF(ISBLANK('Data Entry'!$õ$220), "", 'Data Entry'!$õ$220)</f>
      </c>
      <c r="FZ220">
        <f>IF(ISBLANK('Data Entry'!$ö$220), "", 'Data Entry'!$ö$220)</f>
      </c>
      <c r="GA220">
        <f>IF(ISBLANK('Data Entry'!$÷$220), "", 'Data Entry'!$÷$220)</f>
      </c>
      <c r="GB220">
        <f>IF(ISBLANK('Data Entry'!$ø$220), "", 'Data Entry'!$ø$220)</f>
      </c>
      <c r="GC220">
        <f>IF(ISBLANK('Data Entry'!$ù$220), "", 'Data Entry'!$ù$220)</f>
      </c>
      <c r="GD220">
        <f>IF(ISBLANK('Data Entry'!$ú$220), "", 'Data Entry'!$ú$220)</f>
      </c>
      <c r="GE220">
        <f>IF(ISBLANK('Data Entry'!$û$220), "", 'Data Entry'!$û$220)</f>
      </c>
      <c r="GF220">
        <f>IF(ISBLANK('Data Entry'!$ü$220), "", 'Data Entry'!$ü$220)</f>
      </c>
      <c r="GG220">
        <f>IF(ISBLANK('Data Entry'!$ý$220), "", 'Data Entry'!$ý$220)</f>
      </c>
      <c r="GH220">
        <f>IF(ISBLANK('Data Entry'!$þ$220), "", 'Data Entry'!$þ$220)</f>
      </c>
      <c r="GI220">
        <f>IF(ISBLANK('Data Entry'!$ÿ$220), "", 'Data Entry'!$ÿ$220)</f>
      </c>
      <c r="GJ220">
        <f>IF(ISBLANK('Data Entry'!$Ā$220), "", 'Data Entry'!$Ā$220)</f>
      </c>
      <c r="GK220">
        <f>IF(ISBLANK('Data Entry'!$ā$220), "", 'Data Entry'!$ā$220)</f>
      </c>
      <c r="GL220">
        <f>IF(ISBLANK('Data Entry'!$Ă$220), "", 'Data Entry'!$Ă$220)</f>
      </c>
      <c r="GM220">
        <f>IF(ISBLANK('Data Entry'!$ă$220), "", 'Data Entry'!$ă$220)</f>
      </c>
      <c r="GN220">
        <f>IF(ISBLANK('Data Entry'!$Ą$220), "", 'Data Entry'!$Ą$220)</f>
      </c>
      <c r="GO220">
        <f>IF(ISBLANK('Data Entry'!$ą$220), "", 'Data Entry'!$ą$220)</f>
      </c>
      <c r="GP220">
        <f>IF(ISBLANK('Data Entry'!$Ć$220), "", 'Data Entry'!$Ć$220)</f>
      </c>
      <c r="GQ220">
        <f>IF(ISBLANK('Data Entry'!$ć$220), "", 'Data Entry'!$ć$220)</f>
      </c>
      <c r="GR220">
        <f>IF(ISBLANK('Data Entry'!$Ĉ$220), "", 'Data Entry'!$Ĉ$220)</f>
      </c>
      <c r="GS220">
        <f>IF(ISBLANK('Data Entry'!$ĉ$220), "", 'Data Entry'!$ĉ$220)</f>
      </c>
      <c r="GT220">
        <f>IF(ISBLANK('Data Entry'!$Ċ$220), "", 'Data Entry'!$Ċ$220)</f>
      </c>
      <c r="GU220">
        <f>IF(ISBLANK('Data Entry'!$ċ$220), "", 'Data Entry'!$ċ$220)</f>
      </c>
      <c r="GV220">
        <f>IF(ISBLANK('Data Entry'!$Č$220), "", 'Data Entry'!$Č$220)</f>
      </c>
      <c r="GW220">
        <f>IF(ISBLANK('Data Entry'!$č$220), "", 'Data Entry'!$č$220)</f>
      </c>
      <c r="GX220">
        <f>IF(ISBLANK('Data Entry'!$Ď$220), "", 'Data Entry'!$Ď$220)</f>
      </c>
      <c r="GY220">
        <f>IF(ISBLANK('Data Entry'!$ď$220), "", 'Data Entry'!$ď$220)</f>
      </c>
      <c r="GZ220">
        <f>IF(ISBLANK('Data Entry'!$Đ$220), "", 'Data Entry'!$Đ$220)</f>
      </c>
      <c r="HA220">
        <f>IF(ISBLANK('Data Entry'!$đ$220), "", 'Data Entry'!$đ$220)</f>
      </c>
      <c r="HB220">
        <f>IF(ISBLANK('Data Entry'!$Ē$220), "", 'Data Entry'!$Ē$220)</f>
      </c>
      <c r="HC220">
        <f>IF(ISBLANK('Data Entry'!$ē$220), "", 'Data Entry'!$ē$220)</f>
      </c>
      <c r="HD220">
        <f>IF(ISBLANK('Data Entry'!$Ĕ$220), "", 'Data Entry'!$Ĕ$220)</f>
      </c>
      <c r="HE220">
        <f>IF(ISBLANK('Data Entry'!$ĕ$220), "", 'Data Entry'!$ĕ$220)</f>
      </c>
      <c r="HF220">
        <f>IF(ISBLANK('Data Entry'!$Ė$220), "", 'Data Entry'!$Ė$220)</f>
      </c>
      <c r="HG220">
        <f>IF(ISBLANK('Data Entry'!$ė$220), "", 'Data Entry'!$ė$220)</f>
      </c>
      <c r="HH220">
        <f>IF(ISBLANK('Data Entry'!$Ę$220), "", 'Data Entry'!$Ę$220)</f>
      </c>
      <c r="HI220">
        <f>IF(ISBLANK('Data Entry'!$ę$220), "", 'Data Entry'!$ę$220)</f>
      </c>
      <c r="HJ220">
        <f>IF(ISBLANK('Data Entry'!$Ě$220), "", 'Data Entry'!$Ě$220)</f>
      </c>
      <c r="HK220">
        <f>IF(ISBLANK('Data Entry'!$ě$220), "", 'Data Entry'!$ě$220)</f>
      </c>
      <c r="HL220">
        <f>IF(ISBLANK('Data Entry'!$Ĝ$220), "", 'Data Entry'!$Ĝ$220)</f>
      </c>
      <c r="HM220">
        <f>IF(ISBLANK('Data Entry'!$ĝ$220), "", 'Data Entry'!$ĝ$220)</f>
      </c>
      <c r="HN220">
        <f>IF(ISBLANK('Data Entry'!$Ğ$220), "", 'Data Entry'!$Ğ$220)</f>
      </c>
      <c r="HO220">
        <f>IF(ISBLANK('Data Entry'!$ğ$220), "", 'Data Entry'!$ğ$220)</f>
      </c>
      <c r="HP220">
        <f>IF(ISBLANK('Data Entry'!$Ġ$220), "", 'Data Entry'!$Ġ$220)</f>
      </c>
      <c r="HQ220">
        <f>IF(ISBLANK('Data Entry'!$ġ$220), "", 'Data Entry'!$ġ$220)</f>
      </c>
      <c r="HR220">
        <f>IF(ISBLANK('Data Entry'!$Ģ$220), "", 'Data Entry'!$Ģ$220)</f>
      </c>
      <c r="HS220">
        <f>IF(ISBLANK('Data Entry'!$ģ$220), "", 'Data Entry'!$ģ$220)</f>
      </c>
      <c r="HT220">
        <f>IF(ISBLANK('Data Entry'!$Ĥ$220), "", 'Data Entry'!$Ĥ$220)</f>
      </c>
      <c r="HU220">
        <f>IF(ISBLANK('Data Entry'!$ĥ$220), "", 'Data Entry'!$ĥ$220)</f>
      </c>
      <c r="HV220">
        <f>IF(ISBLANK('Data Entry'!$Ħ$220), "", 'Data Entry'!$Ħ$220)</f>
      </c>
      <c r="HW220">
        <f>IF(ISBLANK('Data Entry'!$ħ$220), "", 'Data Entry'!$ħ$220)</f>
      </c>
      <c r="HX220">
        <f>IF(ISBLANK('Data Entry'!$Ĩ$220), "", 'Data Entry'!$Ĩ$220)</f>
      </c>
      <c r="HY220">
        <f>IF(ISBLANK('Data Entry'!$ĩ$220), "", 'Data Entry'!$ĩ$220)</f>
      </c>
      <c r="HZ220">
        <f>IF(ISBLANK('Data Entry'!$Ī$220), "", 'Data Entry'!$Ī$220)</f>
      </c>
      <c r="IA220">
        <f>IF(ISBLANK('Data Entry'!$ī$220), "", 'Data Entry'!$ī$220)</f>
      </c>
      <c r="IB220">
        <f>IF(ISBLANK('Data Entry'!$Ĭ$220), "", 'Data Entry'!$Ĭ$220)</f>
      </c>
      <c r="IC220">
        <f>IF(ISBLANK('Data Entry'!$ĭ$220), "", 'Data Entry'!$ĭ$220)</f>
      </c>
      <c r="ID220">
        <f>IF(ISBLANK('Data Entry'!$Į$220), "", 'Data Entry'!$Į$220)</f>
      </c>
      <c r="IE220">
        <f>IF(ISBLANK('Data Entry'!$į$220), "", 'Data Entry'!$į$220)</f>
      </c>
      <c r="IF220">
        <f>IF(ISBLANK('Data Entry'!$İ$220), "", 'Data Entry'!$İ$220)</f>
      </c>
      <c r="IG220">
        <f>IF(ISBLANK('Data Entry'!$ı$220), "", 'Data Entry'!$ı$220)</f>
      </c>
      <c r="IH220">
        <f>IF(ISBLANK('Data Entry'!$Ĳ$220), "", 'Data Entry'!$Ĳ$220)</f>
      </c>
      <c r="II220">
        <f>IF(ISBLANK('Data Entry'!$ĳ$220), "", 'Data Entry'!$ĳ$220)</f>
      </c>
      <c r="IJ220">
        <f>IF(ISBLANK('Data Entry'!$Ĵ$220), "", 'Data Entry'!$Ĵ$220)</f>
      </c>
      <c r="IK220">
        <f>IF(ISBLANK('Data Entry'!$ĵ$220), "", 'Data Entry'!$ĵ$220)</f>
      </c>
      <c r="IL220">
        <f>IF(ISBLANK('Data Entry'!$Ķ$220), "", 'Data Entry'!$Ķ$220)</f>
      </c>
      <c r="IM220">
        <f>IF(ISBLANK('Data Entry'!$ķ$220), "", 'Data Entry'!$ķ$220)</f>
      </c>
      <c r="IN220">
        <f>IF(ISBLANK('Data Entry'!$ĸ$220), "", 'Data Entry'!$ĸ$220)</f>
      </c>
      <c r="IO220">
        <f>IF(ISBLANK('Data Entry'!$Ĺ$220), "", 'Data Entry'!$Ĺ$220)</f>
      </c>
      <c r="IP220">
        <f>IF(ISBLANK('Data Entry'!$ĺ$220), "", 'Data Entry'!$ĺ$220)</f>
      </c>
      <c r="IQ220">
        <f>IF(ISBLANK('Data Entry'!$Ļ$220), "", 'Data Entry'!$Ļ$220)</f>
      </c>
      <c r="IR220">
        <f>IF(ISBLANK('Data Entry'!$ļ$220), "", 'Data Entry'!$ļ$220)</f>
      </c>
      <c r="IS220">
        <f>IF(ISBLANK('Data Entry'!$Ľ$220), "", 'Data Entry'!$Ľ$220)</f>
      </c>
      <c r="IT220">
        <f>IF(ISBLANK('Data Entry'!$ľ$220), "", 'Data Entry'!$ľ$220)</f>
      </c>
    </row>
    <row r="221" spans="1:254" x14ac:dyDescent="0.25">
      <c r="A221">
        <f>IF(ISBLANK('Data Entry'!$A$221), "", 'Data Entry'!$A$221)</f>
      </c>
      <c r="B221">
        <f>IF(ISBLANK('Data Entry'!$B$221), "", 'Data Entry'!$B$221)</f>
      </c>
      <c r="C221">
        <f>IF(ISBLANK('Data Entry'!$C$221), "", 'Data Entry'!$C$221)</f>
      </c>
      <c r="D221">
        <f>IF(ISBLANK('Data Entry'!$D$221), "", 'Data Entry'!$D$221)</f>
      </c>
      <c r="E221">
        <f>IF(ISBLANK('Data Entry'!$E$221), "", 'Data Entry'!$E$221)</f>
      </c>
      <c r="F221">
        <f>IF(ISBLANK('Data Entry'!$F$221), "", 'Data Entry'!$F$221)</f>
      </c>
      <c r="G221">
        <f>IF(ISBLANK('Data Entry'!$G$221), "", 'Data Entry'!$G$221)</f>
      </c>
      <c r="H221">
        <f>IF(ISBLANK('Data Entry'!$H$221), "", 'Data Entry'!$H$221)</f>
      </c>
      <c r="I221">
        <f>IF(ISBLANK('Data Entry'!$I$221), "", 'Data Entry'!$I$221)</f>
      </c>
      <c r="J221">
        <f>IF(ISBLANK('Data Entry'!$J$221), "", 'Data Entry'!$J$221)</f>
      </c>
      <c r="K221">
        <f>IF(ISBLANK('Data Entry'!$K$221), "", 'Data Entry'!$K$221)</f>
      </c>
      <c r="L221">
        <f>IF(ISBLANK('Data Entry'!$L$221), "", 'Data Entry'!$L$221)</f>
      </c>
      <c r="M221">
        <f>IF(ISBLANK('Data Entry'!$M$221), "", 'Data Entry'!$M$221)</f>
      </c>
      <c r="N221">
        <f>IF(ISBLANK('Data Entry'!$N$221), "", 'Data Entry'!$N$221)</f>
      </c>
      <c r="O221">
        <f>IF(ISBLANK('Data Entry'!$O$221), "", 'Data Entry'!$O$221)</f>
      </c>
      <c r="P221">
        <f>IF(ISBLANK('Data Entry'!$P$221), "", 'Data Entry'!$P$221)</f>
      </c>
      <c r="Q221">
        <f>IF(ISBLANK('Data Entry'!$Q$221), "", 'Data Entry'!$Q$221)</f>
      </c>
      <c r="R221">
        <f>IF(ISBLANK('Data Entry'!$R$221), "", 'Data Entry'!$R$221)</f>
      </c>
      <c r="S221">
        <f>IF(ISBLANK('Data Entry'!$S$221), "", 'Data Entry'!$S$221)</f>
      </c>
      <c r="T221">
        <f>IF(ISBLANK('Data Entry'!$T$221), "", 'Data Entry'!$T$221)</f>
      </c>
      <c r="U221">
        <f>IF(ISBLANK('Data Entry'!$U$221), "", 'Data Entry'!$U$221)</f>
      </c>
      <c r="V221">
        <f>IF(ISBLANK('Data Entry'!$V$221), "", 'Data Entry'!$V$221)</f>
      </c>
      <c r="W221">
        <f>IF(ISBLANK('Data Entry'!$W$221), "", 'Data Entry'!$W$221)</f>
      </c>
      <c r="X221">
        <f>IF(ISBLANK('Data Entry'!$X$221), "", 'Data Entry'!$X$221)</f>
      </c>
      <c r="Y221">
        <f>IF(ISBLANK('Data Entry'!$Y$221), "", 'Data Entry'!$Y$221)</f>
      </c>
      <c r="Z221">
        <f>IF(ISBLANK('Data Entry'!$Z$221), "", 'Data Entry'!$Z$221)</f>
      </c>
      <c r="AA221">
        <f>IF(ISBLANK('Data Entry'!$[$221), "", 'Data Entry'!$[$221)</f>
      </c>
      <c r="AB221">
        <f>IF(ISBLANK('Data Entry'!$\$221), "", 'Data Entry'!$\$221)</f>
      </c>
      <c r="AC221">
        <f>IF(ISBLANK('Data Entry'!$]$221), "", 'Data Entry'!$]$221)</f>
      </c>
      <c r="AD221">
        <f>IF(ISBLANK('Data Entry'!$^$221), "", 'Data Entry'!$^$221)</f>
      </c>
      <c r="AE221">
        <f>IF(ISBLANK('Data Entry'!$_$221), "", 'Data Entry'!$_$221)</f>
      </c>
      <c r="AF221">
        <f>IF(ISBLANK('Data Entry'!$`$221), "", 'Data Entry'!$`$221)</f>
      </c>
      <c r="AG221">
        <f>IF(ISBLANK('Data Entry'!$a$221), "", 'Data Entry'!$a$221)</f>
      </c>
      <c r="AH221">
        <f>IF(ISBLANK('Data Entry'!$b$221), "", 'Data Entry'!$b$221)</f>
      </c>
      <c r="AI221">
        <f>IF(ISBLANK('Data Entry'!$c$221), "", 'Data Entry'!$c$221)</f>
      </c>
      <c r="AJ221">
        <f>IF(ISBLANK('Data Entry'!$d$221), "", 'Data Entry'!$d$221)</f>
      </c>
      <c r="AK221">
        <f>IF(ISBLANK('Data Entry'!$e$221), "", 'Data Entry'!$e$221)</f>
      </c>
      <c r="AL221">
        <f>IF(ISBLANK('Data Entry'!$f$221), "", 'Data Entry'!$f$221)</f>
      </c>
      <c r="AM221">
        <f>IF(ISBLANK('Data Entry'!$g$221), "", 'Data Entry'!$g$221)</f>
      </c>
      <c r="AN221">
        <f>IF(ISBLANK('Data Entry'!$h$221), "", 'Data Entry'!$h$221)</f>
      </c>
      <c r="AO221">
        <f>IF(ISBLANK('Data Entry'!$i$221), "", 'Data Entry'!$i$221)</f>
      </c>
      <c r="AP221">
        <f>IF(ISBLANK('Data Entry'!$j$221), "", 'Data Entry'!$j$221)</f>
      </c>
      <c r="AQ221">
        <f>IF(ISBLANK('Data Entry'!$k$221), "", 'Data Entry'!$k$221)</f>
      </c>
      <c r="AR221">
        <f>IF(ISBLANK('Data Entry'!$l$221), "", 'Data Entry'!$l$221)</f>
      </c>
      <c r="AS221">
        <f>IF(ISBLANK('Data Entry'!$m$221), "", 'Data Entry'!$m$221)</f>
      </c>
      <c r="AT221">
        <f>IF(ISBLANK('Data Entry'!$n$221), "", 'Data Entry'!$n$221)</f>
      </c>
      <c r="AU221">
        <f>IF(ISBLANK('Data Entry'!$o$221), "", 'Data Entry'!$o$221)</f>
      </c>
      <c r="AV221">
        <f>IF(ISBLANK('Data Entry'!$p$221), "", 'Data Entry'!$p$221)</f>
      </c>
      <c r="AW221">
        <f>IF(ISBLANK('Data Entry'!$q$221), "", 'Data Entry'!$q$221)</f>
      </c>
      <c r="AX221">
        <f>IF(ISBLANK('Data Entry'!$r$221), "", 'Data Entry'!$r$221)</f>
      </c>
      <c r="AY221">
        <f>IF(ISBLANK('Data Entry'!$s$221), "", 'Data Entry'!$s$221)</f>
      </c>
      <c r="AZ221">
        <f>IF(ISBLANK('Data Entry'!$t$221), "", 'Data Entry'!$t$221)</f>
      </c>
      <c r="BA221">
        <f>IF(ISBLANK('Data Entry'!$u$221), "", 'Data Entry'!$u$221)</f>
      </c>
      <c r="BB221">
        <f>IF(ISBLANK('Data Entry'!$v$221), "", 'Data Entry'!$v$221)</f>
      </c>
      <c r="BC221">
        <f>IF(ISBLANK('Data Entry'!$w$221), "", 'Data Entry'!$w$221)</f>
      </c>
      <c r="BD221">
        <f>IF(ISBLANK('Data Entry'!$x$221), "", 'Data Entry'!$x$221)</f>
      </c>
      <c r="BE221">
        <f>IF(ISBLANK('Data Entry'!$y$221), "", 'Data Entry'!$y$221)</f>
      </c>
      <c r="BF221">
        <f>IF(ISBLANK('Data Entry'!$z$221), "", 'Data Entry'!$z$221)</f>
      </c>
      <c r="BG221">
        <f>IF(ISBLANK('Data Entry'!${$221), "", 'Data Entry'!${$221)</f>
      </c>
      <c r="BH221">
        <f>IF(ISBLANK('Data Entry'!$|$221), "", 'Data Entry'!$|$221)</f>
      </c>
      <c r="BI221">
        <f>IF(ISBLANK('Data Entry'!$}$221), "", 'Data Entry'!$}$221)</f>
      </c>
      <c r="BJ221">
        <f>IF(ISBLANK('Data Entry'!$~$221), "", 'Data Entry'!$~$221)</f>
      </c>
      <c r="BK221">
        <f>IF(ISBLANK('Data Entry'!$$221), "", 'Data Entry'!$$221)</f>
      </c>
      <c r="BL221">
        <f>IF(ISBLANK('Data Entry'!$$221), "", 'Data Entry'!$$221)</f>
      </c>
      <c r="BM221">
        <f>IF(ISBLANK('Data Entry'!$$221), "", 'Data Entry'!$$221)</f>
      </c>
      <c r="BN221">
        <f>IF(ISBLANK('Data Entry'!$$221), "", 'Data Entry'!$$221)</f>
      </c>
      <c r="BO221">
        <f>IF(ISBLANK('Data Entry'!$$221), "", 'Data Entry'!$$221)</f>
      </c>
      <c r="BP221">
        <f>IF(ISBLANK('Data Entry'!$$221), "", 'Data Entry'!$$221)</f>
      </c>
      <c r="BQ221">
        <f>IF(ISBLANK('Data Entry'!$$221), "", 'Data Entry'!$$221)</f>
      </c>
      <c r="BR221">
        <f>IF(ISBLANK('Data Entry'!$$221), "", 'Data Entry'!$$221)</f>
      </c>
      <c r="BS221">
        <f>IF(ISBLANK('Data Entry'!$$221), "", 'Data Entry'!$$221)</f>
      </c>
      <c r="BT221">
        <f>IF(ISBLANK('Data Entry'!$$221), "", 'Data Entry'!$$221)</f>
      </c>
      <c r="BU221">
        <f>IF(ISBLANK('Data Entry'!$$221), "", 'Data Entry'!$$221)</f>
      </c>
      <c r="BV221">
        <f>IF(ISBLANK('Data Entry'!$$221), "", 'Data Entry'!$$221)</f>
      </c>
      <c r="BW221">
        <f>IF(ISBLANK('Data Entry'!$$221), "", 'Data Entry'!$$221)</f>
      </c>
      <c r="BX221">
        <f>IF(ISBLANK('Data Entry'!$$221), "", 'Data Entry'!$$221)</f>
      </c>
      <c r="BY221">
        <f>IF(ISBLANK('Data Entry'!$$221), "", 'Data Entry'!$$221)</f>
      </c>
      <c r="BZ221">
        <f>IF(ISBLANK('Data Entry'!$$221), "", 'Data Entry'!$$221)</f>
      </c>
      <c r="CA221">
        <f>IF(ISBLANK('Data Entry'!$$221), "", 'Data Entry'!$$221)</f>
      </c>
      <c r="CB221">
        <f>IF(ISBLANK('Data Entry'!$$221), "", 'Data Entry'!$$221)</f>
      </c>
      <c r="CC221">
        <f>IF(ISBLANK('Data Entry'!$$221), "", 'Data Entry'!$$221)</f>
      </c>
      <c r="CD221">
        <f>IF(ISBLANK('Data Entry'!$$221), "", 'Data Entry'!$$221)</f>
      </c>
      <c r="CE221">
        <f>IF(ISBLANK('Data Entry'!$$221), "", 'Data Entry'!$$221)</f>
      </c>
      <c r="CF221">
        <f>IF(ISBLANK('Data Entry'!$$221), "", 'Data Entry'!$$221)</f>
      </c>
      <c r="CG221">
        <f>IF(ISBLANK('Data Entry'!$$221), "", 'Data Entry'!$$221)</f>
      </c>
      <c r="CH221">
        <f>IF(ISBLANK('Data Entry'!$$221), "", 'Data Entry'!$$221)</f>
      </c>
      <c r="CI221">
        <f>IF(ISBLANK('Data Entry'!$$221), "", 'Data Entry'!$$221)</f>
      </c>
      <c r="CJ221">
        <f>IF(ISBLANK('Data Entry'!$$221), "", 'Data Entry'!$$221)</f>
      </c>
      <c r="CK221">
        <f>IF(ISBLANK('Data Entry'!$$221), "", 'Data Entry'!$$221)</f>
      </c>
      <c r="CL221">
        <f>IF(ISBLANK('Data Entry'!$$221), "", 'Data Entry'!$$221)</f>
      </c>
      <c r="CM221">
        <f>IF(ISBLANK('Data Entry'!$$221), "", 'Data Entry'!$$221)</f>
      </c>
      <c r="CN221">
        <f>IF(ISBLANK('Data Entry'!$$221), "", 'Data Entry'!$$221)</f>
      </c>
      <c r="CO221">
        <f>IF(ISBLANK('Data Entry'!$$221), "", 'Data Entry'!$$221)</f>
      </c>
      <c r="CP221">
        <f>IF(ISBLANK('Data Entry'!$$221), "", 'Data Entry'!$$221)</f>
      </c>
      <c r="CQ221">
        <f>IF(ISBLANK('Data Entry'!$$221), "", 'Data Entry'!$$221)</f>
      </c>
      <c r="CR221">
        <f>IF(ISBLANK('Data Entry'!$ $221), "", 'Data Entry'!$ $221)</f>
      </c>
      <c r="CS221">
        <f>IF(ISBLANK('Data Entry'!$¡$221), "", 'Data Entry'!$¡$221)</f>
      </c>
      <c r="CT221">
        <f>IF(ISBLANK('Data Entry'!$¢$221), "", 'Data Entry'!$¢$221)</f>
      </c>
      <c r="CU221">
        <f>IF(ISBLANK('Data Entry'!$£$221), "", 'Data Entry'!$£$221)</f>
      </c>
      <c r="CV221">
        <f>IF(ISBLANK('Data Entry'!$¤$221), "", 'Data Entry'!$¤$221)</f>
      </c>
      <c r="CW221">
        <f>IF(ISBLANK('Data Entry'!$¥$221), "", 'Data Entry'!$¥$221)</f>
      </c>
      <c r="CX221">
        <f>IF(ISBLANK('Data Entry'!$¦$221), "", 'Data Entry'!$¦$221)</f>
      </c>
      <c r="CY221">
        <f>IF(ISBLANK('Data Entry'!$§$221), "", 'Data Entry'!$§$221)</f>
      </c>
      <c r="CZ221">
        <f>IF(ISBLANK('Data Entry'!$¨$221), "", 'Data Entry'!$¨$221)</f>
      </c>
      <c r="DA221">
        <f>IF(ISBLANK('Data Entry'!$©$221), "", 'Data Entry'!$©$221)</f>
      </c>
      <c r="DB221">
        <f>IF(ISBLANK('Data Entry'!$ª$221), "", 'Data Entry'!$ª$221)</f>
      </c>
      <c r="DC221">
        <f>IF(ISBLANK('Data Entry'!$«$221), "", 'Data Entry'!$«$221)</f>
      </c>
      <c r="DD221">
        <f>IF(ISBLANK('Data Entry'!$¬$221), "", 'Data Entry'!$¬$221)</f>
      </c>
      <c r="DE221">
        <f>IF(ISBLANK('Data Entry'!$­$221), "", 'Data Entry'!$­$221)</f>
      </c>
      <c r="DF221">
        <f>IF(ISBLANK('Data Entry'!$®$221), "", 'Data Entry'!$®$221)</f>
      </c>
      <c r="DG221">
        <f>IF(ISBLANK('Data Entry'!$¯$221), "", 'Data Entry'!$¯$221)</f>
      </c>
      <c r="DH221">
        <f>IF(ISBLANK('Data Entry'!$°$221), "", 'Data Entry'!$°$221)</f>
      </c>
      <c r="DI221">
        <f>IF(ISBLANK('Data Entry'!$±$221), "", 'Data Entry'!$±$221)</f>
      </c>
      <c r="DJ221">
        <f>IF(ISBLANK('Data Entry'!$²$221), "", 'Data Entry'!$²$221)</f>
      </c>
      <c r="DK221">
        <f>IF(ISBLANK('Data Entry'!$³$221), "", 'Data Entry'!$³$221)</f>
      </c>
      <c r="DL221">
        <f>IF(ISBLANK('Data Entry'!$´$221), "", 'Data Entry'!$´$221)</f>
      </c>
      <c r="DM221">
        <f>IF(ISBLANK('Data Entry'!$µ$221), "", 'Data Entry'!$µ$221)</f>
      </c>
      <c r="DN221">
        <f>IF(ISBLANK('Data Entry'!$¶$221), "", 'Data Entry'!$¶$221)</f>
      </c>
      <c r="DO221">
        <f>IF(ISBLANK('Data Entry'!$·$221), "", 'Data Entry'!$·$221)</f>
      </c>
      <c r="DP221">
        <f>IF(ISBLANK('Data Entry'!$¸$221), "", 'Data Entry'!$¸$221)</f>
      </c>
      <c r="DQ221">
        <f>IF(ISBLANK('Data Entry'!$¹$221), "", 'Data Entry'!$¹$221)</f>
      </c>
      <c r="DR221">
        <f>IF(ISBLANK('Data Entry'!$º$221), "", 'Data Entry'!$º$221)</f>
      </c>
      <c r="DS221">
        <f>IF(ISBLANK('Data Entry'!$»$221), "", 'Data Entry'!$»$221)</f>
      </c>
      <c r="DT221">
        <f>IF(ISBLANK('Data Entry'!$¼$221), "", 'Data Entry'!$¼$221)</f>
      </c>
      <c r="DU221">
        <f>IF(ISBLANK('Data Entry'!$½$221), "", 'Data Entry'!$½$221)</f>
      </c>
      <c r="DV221">
        <f>IF(ISBLANK('Data Entry'!$¾$221), "", 'Data Entry'!$¾$221)</f>
      </c>
      <c r="DW221">
        <f>IF(ISBLANK('Data Entry'!$¿$221), "", 'Data Entry'!$¿$221)</f>
      </c>
      <c r="DX221">
        <f>IF(ISBLANK('Data Entry'!$À$221), "", 'Data Entry'!$À$221)</f>
      </c>
      <c r="DY221">
        <f>IF(ISBLANK('Data Entry'!$Á$221), "", 'Data Entry'!$Á$221)</f>
      </c>
      <c r="DZ221">
        <f>IF(ISBLANK('Data Entry'!$Â$221), "", 'Data Entry'!$Â$221)</f>
      </c>
      <c r="EA221">
        <f>IF(ISBLANK('Data Entry'!$Ã$221), "", 'Data Entry'!$Ã$221)</f>
      </c>
      <c r="EB221">
        <f>IF(ISBLANK('Data Entry'!$Ä$221), "", 'Data Entry'!$Ä$221)</f>
      </c>
      <c r="EC221">
        <f>IF(ISBLANK('Data Entry'!$Å$221), "", 'Data Entry'!$Å$221)</f>
      </c>
      <c r="ED221">
        <f>IF(ISBLANK('Data Entry'!$Æ$221), "", 'Data Entry'!$Æ$221)</f>
      </c>
      <c r="EE221">
        <f>IF(ISBLANK('Data Entry'!$Ç$221), "", 'Data Entry'!$Ç$221)</f>
      </c>
      <c r="EF221">
        <f>IF(ISBLANK('Data Entry'!$È$221), "", 'Data Entry'!$È$221)</f>
      </c>
      <c r="EG221">
        <f>IF(ISBLANK('Data Entry'!$É$221), "", 'Data Entry'!$É$221)</f>
      </c>
      <c r="EH221">
        <f>IF(ISBLANK('Data Entry'!$Ê$221), "", 'Data Entry'!$Ê$221)</f>
      </c>
      <c r="EI221">
        <f>IF(ISBLANK('Data Entry'!$Ë$221), "", 'Data Entry'!$Ë$221)</f>
      </c>
      <c r="EJ221">
        <f>IF(ISBLANK('Data Entry'!$Ì$221), "", 'Data Entry'!$Ì$221)</f>
      </c>
      <c r="EK221">
        <f>IF(ISBLANK('Data Entry'!$Í$221), "", 'Data Entry'!$Í$221)</f>
      </c>
      <c r="EL221">
        <f>IF(ISBLANK('Data Entry'!$Î$221), "", 'Data Entry'!$Î$221)</f>
      </c>
      <c r="EM221">
        <f>IF(ISBLANK('Data Entry'!$Ï$221), "", 'Data Entry'!$Ï$221)</f>
      </c>
      <c r="EN221">
        <f>IF(ISBLANK('Data Entry'!$Ð$221), "", 'Data Entry'!$Ð$221)</f>
      </c>
      <c r="EO221">
        <f>IF(ISBLANK('Data Entry'!$Ñ$221), "", 'Data Entry'!$Ñ$221)</f>
      </c>
      <c r="EP221">
        <f>IF(ISBLANK('Data Entry'!$Ò$221), "", 'Data Entry'!$Ò$221)</f>
      </c>
      <c r="EQ221">
        <f>IF(ISBLANK('Data Entry'!$Ó$221), "", 'Data Entry'!$Ó$221)</f>
      </c>
      <c r="ER221">
        <f>IF(ISBLANK('Data Entry'!$Ô$221), "", 'Data Entry'!$Ô$221)</f>
      </c>
      <c r="ES221">
        <f>IF(ISBLANK('Data Entry'!$Õ$221), "", 'Data Entry'!$Õ$221)</f>
      </c>
      <c r="ET221">
        <f>IF(ISBLANK('Data Entry'!$Ö$221), "", 'Data Entry'!$Ö$221)</f>
      </c>
      <c r="EU221">
        <f>IF(ISBLANK('Data Entry'!$×$221), "", 'Data Entry'!$×$221)</f>
      </c>
      <c r="EV221">
        <f>IF(ISBLANK('Data Entry'!$Ø$221), "", 'Data Entry'!$Ø$221)</f>
      </c>
      <c r="EW221">
        <f>IF(ISBLANK('Data Entry'!$Ù$221), "", 'Data Entry'!$Ù$221)</f>
      </c>
      <c r="EX221">
        <f>IF(ISBLANK('Data Entry'!$Ú$221), "", 'Data Entry'!$Ú$221)</f>
      </c>
      <c r="EY221">
        <f>IF(ISBLANK('Data Entry'!$Û$221), "", 'Data Entry'!$Û$221)</f>
      </c>
      <c r="EZ221">
        <f>IF(ISBLANK('Data Entry'!$Ü$221), "", 'Data Entry'!$Ü$221)</f>
      </c>
      <c r="FA221">
        <f>IF(ISBLANK('Data Entry'!$Ý$221), "", 'Data Entry'!$Ý$221)</f>
      </c>
      <c r="FB221">
        <f>IF(ISBLANK('Data Entry'!$Þ$221), "", 'Data Entry'!$Þ$221)</f>
      </c>
      <c r="FC221">
        <f>IF(ISBLANK('Data Entry'!$ß$221), "", 'Data Entry'!$ß$221)</f>
      </c>
      <c r="FD221">
        <f>IF(ISBLANK('Data Entry'!$à$221), "", 'Data Entry'!$à$221)</f>
      </c>
      <c r="FE221">
        <f>IF(ISBLANK('Data Entry'!$á$221), "", 'Data Entry'!$á$221)</f>
      </c>
      <c r="FF221">
        <f>IF(ISBLANK('Data Entry'!$â$221), "", 'Data Entry'!$â$221)</f>
      </c>
      <c r="FG221">
        <f>IF(ISBLANK('Data Entry'!$ã$221), "", 'Data Entry'!$ã$221)</f>
      </c>
      <c r="FH221">
        <f>IF(ISBLANK('Data Entry'!$ä$221), "", 'Data Entry'!$ä$221)</f>
      </c>
      <c r="FI221">
        <f>IF(ISBLANK('Data Entry'!$å$221), "", 'Data Entry'!$å$221)</f>
      </c>
      <c r="FJ221">
        <f>IF(ISBLANK('Data Entry'!$æ$221), "", 'Data Entry'!$æ$221)</f>
      </c>
      <c r="FK221">
        <f>IF(ISBLANK('Data Entry'!$ç$221), "", 'Data Entry'!$ç$221)</f>
      </c>
      <c r="FL221">
        <f>IF(ISBLANK('Data Entry'!$è$221), "", 'Data Entry'!$è$221)</f>
      </c>
      <c r="FM221">
        <f>IF(ISBLANK('Data Entry'!$é$221), "", 'Data Entry'!$é$221)</f>
      </c>
      <c r="FN221">
        <f>IF(ISBLANK('Data Entry'!$ê$221), "", 'Data Entry'!$ê$221)</f>
      </c>
      <c r="FO221">
        <f>IF(ISBLANK('Data Entry'!$ë$221), "", 'Data Entry'!$ë$221)</f>
      </c>
      <c r="FP221">
        <f>IF(ISBLANK('Data Entry'!$ì$221), "", 'Data Entry'!$ì$221)</f>
      </c>
      <c r="FQ221">
        <f>IF(ISBLANK('Data Entry'!$í$221), "", 'Data Entry'!$í$221)</f>
      </c>
      <c r="FR221">
        <f>IF(ISBLANK('Data Entry'!$î$221), "", 'Data Entry'!$î$221)</f>
      </c>
      <c r="FS221">
        <f>IF(ISBLANK('Data Entry'!$ï$221), "", 'Data Entry'!$ï$221)</f>
      </c>
      <c r="FT221">
        <f>IF(ISBLANK('Data Entry'!$ð$221), "", 'Data Entry'!$ð$221)</f>
      </c>
      <c r="FU221">
        <f>IF(ISBLANK('Data Entry'!$ñ$221), "", 'Data Entry'!$ñ$221)</f>
      </c>
      <c r="FV221">
        <f>IF(ISBLANK('Data Entry'!$ò$221), "", 'Data Entry'!$ò$221)</f>
      </c>
      <c r="FW221">
        <f>IF(ISBLANK('Data Entry'!$ó$221), "", 'Data Entry'!$ó$221)</f>
      </c>
      <c r="FX221">
        <f>IF(ISBLANK('Data Entry'!$ô$221), "", 'Data Entry'!$ô$221)</f>
      </c>
      <c r="FY221">
        <f>IF(ISBLANK('Data Entry'!$õ$221), "", 'Data Entry'!$õ$221)</f>
      </c>
      <c r="FZ221">
        <f>IF(ISBLANK('Data Entry'!$ö$221), "", 'Data Entry'!$ö$221)</f>
      </c>
      <c r="GA221">
        <f>IF(ISBLANK('Data Entry'!$÷$221), "", 'Data Entry'!$÷$221)</f>
      </c>
      <c r="GB221">
        <f>IF(ISBLANK('Data Entry'!$ø$221), "", 'Data Entry'!$ø$221)</f>
      </c>
      <c r="GC221">
        <f>IF(ISBLANK('Data Entry'!$ù$221), "", 'Data Entry'!$ù$221)</f>
      </c>
      <c r="GD221">
        <f>IF(ISBLANK('Data Entry'!$ú$221), "", 'Data Entry'!$ú$221)</f>
      </c>
      <c r="GE221">
        <f>IF(ISBLANK('Data Entry'!$û$221), "", 'Data Entry'!$û$221)</f>
      </c>
      <c r="GF221">
        <f>IF(ISBLANK('Data Entry'!$ü$221), "", 'Data Entry'!$ü$221)</f>
      </c>
      <c r="GG221">
        <f>IF(ISBLANK('Data Entry'!$ý$221), "", 'Data Entry'!$ý$221)</f>
      </c>
      <c r="GH221">
        <f>IF(ISBLANK('Data Entry'!$þ$221), "", 'Data Entry'!$þ$221)</f>
      </c>
      <c r="GI221">
        <f>IF(ISBLANK('Data Entry'!$ÿ$221), "", 'Data Entry'!$ÿ$221)</f>
      </c>
      <c r="GJ221">
        <f>IF(ISBLANK('Data Entry'!$Ā$221), "", 'Data Entry'!$Ā$221)</f>
      </c>
      <c r="GK221">
        <f>IF(ISBLANK('Data Entry'!$ā$221), "", 'Data Entry'!$ā$221)</f>
      </c>
      <c r="GL221">
        <f>IF(ISBLANK('Data Entry'!$Ă$221), "", 'Data Entry'!$Ă$221)</f>
      </c>
      <c r="GM221">
        <f>IF(ISBLANK('Data Entry'!$ă$221), "", 'Data Entry'!$ă$221)</f>
      </c>
      <c r="GN221">
        <f>IF(ISBLANK('Data Entry'!$Ą$221), "", 'Data Entry'!$Ą$221)</f>
      </c>
      <c r="GO221">
        <f>IF(ISBLANK('Data Entry'!$ą$221), "", 'Data Entry'!$ą$221)</f>
      </c>
      <c r="GP221">
        <f>IF(ISBLANK('Data Entry'!$Ć$221), "", 'Data Entry'!$Ć$221)</f>
      </c>
      <c r="GQ221">
        <f>IF(ISBLANK('Data Entry'!$ć$221), "", 'Data Entry'!$ć$221)</f>
      </c>
      <c r="GR221">
        <f>IF(ISBLANK('Data Entry'!$Ĉ$221), "", 'Data Entry'!$Ĉ$221)</f>
      </c>
      <c r="GS221">
        <f>IF(ISBLANK('Data Entry'!$ĉ$221), "", 'Data Entry'!$ĉ$221)</f>
      </c>
      <c r="GT221">
        <f>IF(ISBLANK('Data Entry'!$Ċ$221), "", 'Data Entry'!$Ċ$221)</f>
      </c>
      <c r="GU221">
        <f>IF(ISBLANK('Data Entry'!$ċ$221), "", 'Data Entry'!$ċ$221)</f>
      </c>
      <c r="GV221">
        <f>IF(ISBLANK('Data Entry'!$Č$221), "", 'Data Entry'!$Č$221)</f>
      </c>
      <c r="GW221">
        <f>IF(ISBLANK('Data Entry'!$č$221), "", 'Data Entry'!$č$221)</f>
      </c>
      <c r="GX221">
        <f>IF(ISBLANK('Data Entry'!$Ď$221), "", 'Data Entry'!$Ď$221)</f>
      </c>
      <c r="GY221">
        <f>IF(ISBLANK('Data Entry'!$ď$221), "", 'Data Entry'!$ď$221)</f>
      </c>
      <c r="GZ221">
        <f>IF(ISBLANK('Data Entry'!$Đ$221), "", 'Data Entry'!$Đ$221)</f>
      </c>
      <c r="HA221">
        <f>IF(ISBLANK('Data Entry'!$đ$221), "", 'Data Entry'!$đ$221)</f>
      </c>
      <c r="HB221">
        <f>IF(ISBLANK('Data Entry'!$Ē$221), "", 'Data Entry'!$Ē$221)</f>
      </c>
      <c r="HC221">
        <f>IF(ISBLANK('Data Entry'!$ē$221), "", 'Data Entry'!$ē$221)</f>
      </c>
      <c r="HD221">
        <f>IF(ISBLANK('Data Entry'!$Ĕ$221), "", 'Data Entry'!$Ĕ$221)</f>
      </c>
      <c r="HE221">
        <f>IF(ISBLANK('Data Entry'!$ĕ$221), "", 'Data Entry'!$ĕ$221)</f>
      </c>
      <c r="HF221">
        <f>IF(ISBLANK('Data Entry'!$Ė$221), "", 'Data Entry'!$Ė$221)</f>
      </c>
      <c r="HG221">
        <f>IF(ISBLANK('Data Entry'!$ė$221), "", 'Data Entry'!$ė$221)</f>
      </c>
      <c r="HH221">
        <f>IF(ISBLANK('Data Entry'!$Ę$221), "", 'Data Entry'!$Ę$221)</f>
      </c>
      <c r="HI221">
        <f>IF(ISBLANK('Data Entry'!$ę$221), "", 'Data Entry'!$ę$221)</f>
      </c>
      <c r="HJ221">
        <f>IF(ISBLANK('Data Entry'!$Ě$221), "", 'Data Entry'!$Ě$221)</f>
      </c>
      <c r="HK221">
        <f>IF(ISBLANK('Data Entry'!$ě$221), "", 'Data Entry'!$ě$221)</f>
      </c>
      <c r="HL221">
        <f>IF(ISBLANK('Data Entry'!$Ĝ$221), "", 'Data Entry'!$Ĝ$221)</f>
      </c>
      <c r="HM221">
        <f>IF(ISBLANK('Data Entry'!$ĝ$221), "", 'Data Entry'!$ĝ$221)</f>
      </c>
      <c r="HN221">
        <f>IF(ISBLANK('Data Entry'!$Ğ$221), "", 'Data Entry'!$Ğ$221)</f>
      </c>
      <c r="HO221">
        <f>IF(ISBLANK('Data Entry'!$ğ$221), "", 'Data Entry'!$ğ$221)</f>
      </c>
      <c r="HP221">
        <f>IF(ISBLANK('Data Entry'!$Ġ$221), "", 'Data Entry'!$Ġ$221)</f>
      </c>
      <c r="HQ221">
        <f>IF(ISBLANK('Data Entry'!$ġ$221), "", 'Data Entry'!$ġ$221)</f>
      </c>
      <c r="HR221">
        <f>IF(ISBLANK('Data Entry'!$Ģ$221), "", 'Data Entry'!$Ģ$221)</f>
      </c>
      <c r="HS221">
        <f>IF(ISBLANK('Data Entry'!$ģ$221), "", 'Data Entry'!$ģ$221)</f>
      </c>
      <c r="HT221">
        <f>IF(ISBLANK('Data Entry'!$Ĥ$221), "", 'Data Entry'!$Ĥ$221)</f>
      </c>
      <c r="HU221">
        <f>IF(ISBLANK('Data Entry'!$ĥ$221), "", 'Data Entry'!$ĥ$221)</f>
      </c>
      <c r="HV221">
        <f>IF(ISBLANK('Data Entry'!$Ħ$221), "", 'Data Entry'!$Ħ$221)</f>
      </c>
      <c r="HW221">
        <f>IF(ISBLANK('Data Entry'!$ħ$221), "", 'Data Entry'!$ħ$221)</f>
      </c>
      <c r="HX221">
        <f>IF(ISBLANK('Data Entry'!$Ĩ$221), "", 'Data Entry'!$Ĩ$221)</f>
      </c>
      <c r="HY221">
        <f>IF(ISBLANK('Data Entry'!$ĩ$221), "", 'Data Entry'!$ĩ$221)</f>
      </c>
      <c r="HZ221">
        <f>IF(ISBLANK('Data Entry'!$Ī$221), "", 'Data Entry'!$Ī$221)</f>
      </c>
      <c r="IA221">
        <f>IF(ISBLANK('Data Entry'!$ī$221), "", 'Data Entry'!$ī$221)</f>
      </c>
      <c r="IB221">
        <f>IF(ISBLANK('Data Entry'!$Ĭ$221), "", 'Data Entry'!$Ĭ$221)</f>
      </c>
      <c r="IC221">
        <f>IF(ISBLANK('Data Entry'!$ĭ$221), "", 'Data Entry'!$ĭ$221)</f>
      </c>
      <c r="ID221">
        <f>IF(ISBLANK('Data Entry'!$Į$221), "", 'Data Entry'!$Į$221)</f>
      </c>
      <c r="IE221">
        <f>IF(ISBLANK('Data Entry'!$į$221), "", 'Data Entry'!$į$221)</f>
      </c>
      <c r="IF221">
        <f>IF(ISBLANK('Data Entry'!$İ$221), "", 'Data Entry'!$İ$221)</f>
      </c>
      <c r="IG221">
        <f>IF(ISBLANK('Data Entry'!$ı$221), "", 'Data Entry'!$ı$221)</f>
      </c>
      <c r="IH221">
        <f>IF(ISBLANK('Data Entry'!$Ĳ$221), "", 'Data Entry'!$Ĳ$221)</f>
      </c>
      <c r="II221">
        <f>IF(ISBLANK('Data Entry'!$ĳ$221), "", 'Data Entry'!$ĳ$221)</f>
      </c>
      <c r="IJ221">
        <f>IF(ISBLANK('Data Entry'!$Ĵ$221), "", 'Data Entry'!$Ĵ$221)</f>
      </c>
      <c r="IK221">
        <f>IF(ISBLANK('Data Entry'!$ĵ$221), "", 'Data Entry'!$ĵ$221)</f>
      </c>
      <c r="IL221">
        <f>IF(ISBLANK('Data Entry'!$Ķ$221), "", 'Data Entry'!$Ķ$221)</f>
      </c>
      <c r="IM221">
        <f>IF(ISBLANK('Data Entry'!$ķ$221), "", 'Data Entry'!$ķ$221)</f>
      </c>
      <c r="IN221">
        <f>IF(ISBLANK('Data Entry'!$ĸ$221), "", 'Data Entry'!$ĸ$221)</f>
      </c>
      <c r="IO221">
        <f>IF(ISBLANK('Data Entry'!$Ĺ$221), "", 'Data Entry'!$Ĺ$221)</f>
      </c>
      <c r="IP221">
        <f>IF(ISBLANK('Data Entry'!$ĺ$221), "", 'Data Entry'!$ĺ$221)</f>
      </c>
      <c r="IQ221">
        <f>IF(ISBLANK('Data Entry'!$Ļ$221), "", 'Data Entry'!$Ļ$221)</f>
      </c>
      <c r="IR221">
        <f>IF(ISBLANK('Data Entry'!$ļ$221), "", 'Data Entry'!$ļ$221)</f>
      </c>
      <c r="IS221">
        <f>IF(ISBLANK('Data Entry'!$Ľ$221), "", 'Data Entry'!$Ľ$221)</f>
      </c>
      <c r="IT221">
        <f>IF(ISBLANK('Data Entry'!$ľ$221), "", 'Data Entry'!$ľ$221)</f>
      </c>
    </row>
    <row r="222" spans="1:254" x14ac:dyDescent="0.25">
      <c r="A222">
        <f>IF(ISBLANK('Data Entry'!$A$222), "", 'Data Entry'!$A$222)</f>
      </c>
      <c r="B222">
        <f>IF(ISBLANK('Data Entry'!$B$222), "", 'Data Entry'!$B$222)</f>
      </c>
      <c r="C222">
        <f>IF(ISBLANK('Data Entry'!$C$222), "", 'Data Entry'!$C$222)</f>
      </c>
      <c r="D222">
        <f>IF(ISBLANK('Data Entry'!$D$222), "", 'Data Entry'!$D$222)</f>
      </c>
      <c r="E222">
        <f>IF(ISBLANK('Data Entry'!$E$222), "", 'Data Entry'!$E$222)</f>
      </c>
      <c r="F222">
        <f>IF(ISBLANK('Data Entry'!$F$222), "", 'Data Entry'!$F$222)</f>
      </c>
      <c r="G222">
        <f>IF(ISBLANK('Data Entry'!$G$222), "", 'Data Entry'!$G$222)</f>
      </c>
      <c r="H222">
        <f>IF(ISBLANK('Data Entry'!$H$222), "", 'Data Entry'!$H$222)</f>
      </c>
      <c r="I222">
        <f>IF(ISBLANK('Data Entry'!$I$222), "", 'Data Entry'!$I$222)</f>
      </c>
      <c r="J222">
        <f>IF(ISBLANK('Data Entry'!$J$222), "", 'Data Entry'!$J$222)</f>
      </c>
      <c r="K222">
        <f>IF(ISBLANK('Data Entry'!$K$222), "", 'Data Entry'!$K$222)</f>
      </c>
      <c r="L222">
        <f>IF(ISBLANK('Data Entry'!$L$222), "", 'Data Entry'!$L$222)</f>
      </c>
      <c r="M222">
        <f>IF(ISBLANK('Data Entry'!$M$222), "", 'Data Entry'!$M$222)</f>
      </c>
      <c r="N222">
        <f>IF(ISBLANK('Data Entry'!$N$222), "", 'Data Entry'!$N$222)</f>
      </c>
      <c r="O222">
        <f>IF(ISBLANK('Data Entry'!$O$222), "", 'Data Entry'!$O$222)</f>
      </c>
      <c r="P222">
        <f>IF(ISBLANK('Data Entry'!$P$222), "", 'Data Entry'!$P$222)</f>
      </c>
      <c r="Q222">
        <f>IF(ISBLANK('Data Entry'!$Q$222), "", 'Data Entry'!$Q$222)</f>
      </c>
      <c r="R222">
        <f>IF(ISBLANK('Data Entry'!$R$222), "", 'Data Entry'!$R$222)</f>
      </c>
      <c r="S222">
        <f>IF(ISBLANK('Data Entry'!$S$222), "", 'Data Entry'!$S$222)</f>
      </c>
      <c r="T222">
        <f>IF(ISBLANK('Data Entry'!$T$222), "", 'Data Entry'!$T$222)</f>
      </c>
      <c r="U222">
        <f>IF(ISBLANK('Data Entry'!$U$222), "", 'Data Entry'!$U$222)</f>
      </c>
      <c r="V222">
        <f>IF(ISBLANK('Data Entry'!$V$222), "", 'Data Entry'!$V$222)</f>
      </c>
      <c r="W222">
        <f>IF(ISBLANK('Data Entry'!$W$222), "", 'Data Entry'!$W$222)</f>
      </c>
      <c r="X222">
        <f>IF(ISBLANK('Data Entry'!$X$222), "", 'Data Entry'!$X$222)</f>
      </c>
      <c r="Y222">
        <f>IF(ISBLANK('Data Entry'!$Y$222), "", 'Data Entry'!$Y$222)</f>
      </c>
      <c r="Z222">
        <f>IF(ISBLANK('Data Entry'!$Z$222), "", 'Data Entry'!$Z$222)</f>
      </c>
      <c r="AA222">
        <f>IF(ISBLANK('Data Entry'!$[$222), "", 'Data Entry'!$[$222)</f>
      </c>
      <c r="AB222">
        <f>IF(ISBLANK('Data Entry'!$\$222), "", 'Data Entry'!$\$222)</f>
      </c>
      <c r="AC222">
        <f>IF(ISBLANK('Data Entry'!$]$222), "", 'Data Entry'!$]$222)</f>
      </c>
      <c r="AD222">
        <f>IF(ISBLANK('Data Entry'!$^$222), "", 'Data Entry'!$^$222)</f>
      </c>
      <c r="AE222">
        <f>IF(ISBLANK('Data Entry'!$_$222), "", 'Data Entry'!$_$222)</f>
      </c>
      <c r="AF222">
        <f>IF(ISBLANK('Data Entry'!$`$222), "", 'Data Entry'!$`$222)</f>
      </c>
      <c r="AG222">
        <f>IF(ISBLANK('Data Entry'!$a$222), "", 'Data Entry'!$a$222)</f>
      </c>
      <c r="AH222">
        <f>IF(ISBLANK('Data Entry'!$b$222), "", 'Data Entry'!$b$222)</f>
      </c>
      <c r="AI222">
        <f>IF(ISBLANK('Data Entry'!$c$222), "", 'Data Entry'!$c$222)</f>
      </c>
      <c r="AJ222">
        <f>IF(ISBLANK('Data Entry'!$d$222), "", 'Data Entry'!$d$222)</f>
      </c>
      <c r="AK222">
        <f>IF(ISBLANK('Data Entry'!$e$222), "", 'Data Entry'!$e$222)</f>
      </c>
      <c r="AL222">
        <f>IF(ISBLANK('Data Entry'!$f$222), "", 'Data Entry'!$f$222)</f>
      </c>
      <c r="AM222">
        <f>IF(ISBLANK('Data Entry'!$g$222), "", 'Data Entry'!$g$222)</f>
      </c>
      <c r="AN222">
        <f>IF(ISBLANK('Data Entry'!$h$222), "", 'Data Entry'!$h$222)</f>
      </c>
      <c r="AO222">
        <f>IF(ISBLANK('Data Entry'!$i$222), "", 'Data Entry'!$i$222)</f>
      </c>
      <c r="AP222">
        <f>IF(ISBLANK('Data Entry'!$j$222), "", 'Data Entry'!$j$222)</f>
      </c>
      <c r="AQ222">
        <f>IF(ISBLANK('Data Entry'!$k$222), "", 'Data Entry'!$k$222)</f>
      </c>
      <c r="AR222">
        <f>IF(ISBLANK('Data Entry'!$l$222), "", 'Data Entry'!$l$222)</f>
      </c>
      <c r="AS222">
        <f>IF(ISBLANK('Data Entry'!$m$222), "", 'Data Entry'!$m$222)</f>
      </c>
      <c r="AT222">
        <f>IF(ISBLANK('Data Entry'!$n$222), "", 'Data Entry'!$n$222)</f>
      </c>
      <c r="AU222">
        <f>IF(ISBLANK('Data Entry'!$o$222), "", 'Data Entry'!$o$222)</f>
      </c>
      <c r="AV222">
        <f>IF(ISBLANK('Data Entry'!$p$222), "", 'Data Entry'!$p$222)</f>
      </c>
      <c r="AW222">
        <f>IF(ISBLANK('Data Entry'!$q$222), "", 'Data Entry'!$q$222)</f>
      </c>
      <c r="AX222">
        <f>IF(ISBLANK('Data Entry'!$r$222), "", 'Data Entry'!$r$222)</f>
      </c>
      <c r="AY222">
        <f>IF(ISBLANK('Data Entry'!$s$222), "", 'Data Entry'!$s$222)</f>
      </c>
      <c r="AZ222">
        <f>IF(ISBLANK('Data Entry'!$t$222), "", 'Data Entry'!$t$222)</f>
      </c>
      <c r="BA222">
        <f>IF(ISBLANK('Data Entry'!$u$222), "", 'Data Entry'!$u$222)</f>
      </c>
      <c r="BB222">
        <f>IF(ISBLANK('Data Entry'!$v$222), "", 'Data Entry'!$v$222)</f>
      </c>
      <c r="BC222">
        <f>IF(ISBLANK('Data Entry'!$w$222), "", 'Data Entry'!$w$222)</f>
      </c>
      <c r="BD222">
        <f>IF(ISBLANK('Data Entry'!$x$222), "", 'Data Entry'!$x$222)</f>
      </c>
      <c r="BE222">
        <f>IF(ISBLANK('Data Entry'!$y$222), "", 'Data Entry'!$y$222)</f>
      </c>
      <c r="BF222">
        <f>IF(ISBLANK('Data Entry'!$z$222), "", 'Data Entry'!$z$222)</f>
      </c>
      <c r="BG222">
        <f>IF(ISBLANK('Data Entry'!${$222), "", 'Data Entry'!${$222)</f>
      </c>
      <c r="BH222">
        <f>IF(ISBLANK('Data Entry'!$|$222), "", 'Data Entry'!$|$222)</f>
      </c>
      <c r="BI222">
        <f>IF(ISBLANK('Data Entry'!$}$222), "", 'Data Entry'!$}$222)</f>
      </c>
      <c r="BJ222">
        <f>IF(ISBLANK('Data Entry'!$~$222), "", 'Data Entry'!$~$222)</f>
      </c>
      <c r="BK222">
        <f>IF(ISBLANK('Data Entry'!$$222), "", 'Data Entry'!$$222)</f>
      </c>
      <c r="BL222">
        <f>IF(ISBLANK('Data Entry'!$$222), "", 'Data Entry'!$$222)</f>
      </c>
      <c r="BM222">
        <f>IF(ISBLANK('Data Entry'!$$222), "", 'Data Entry'!$$222)</f>
      </c>
      <c r="BN222">
        <f>IF(ISBLANK('Data Entry'!$$222), "", 'Data Entry'!$$222)</f>
      </c>
      <c r="BO222">
        <f>IF(ISBLANK('Data Entry'!$$222), "", 'Data Entry'!$$222)</f>
      </c>
      <c r="BP222">
        <f>IF(ISBLANK('Data Entry'!$$222), "", 'Data Entry'!$$222)</f>
      </c>
      <c r="BQ222">
        <f>IF(ISBLANK('Data Entry'!$$222), "", 'Data Entry'!$$222)</f>
      </c>
      <c r="BR222">
        <f>IF(ISBLANK('Data Entry'!$$222), "", 'Data Entry'!$$222)</f>
      </c>
      <c r="BS222">
        <f>IF(ISBLANK('Data Entry'!$$222), "", 'Data Entry'!$$222)</f>
      </c>
      <c r="BT222">
        <f>IF(ISBLANK('Data Entry'!$$222), "", 'Data Entry'!$$222)</f>
      </c>
      <c r="BU222">
        <f>IF(ISBLANK('Data Entry'!$$222), "", 'Data Entry'!$$222)</f>
      </c>
      <c r="BV222">
        <f>IF(ISBLANK('Data Entry'!$$222), "", 'Data Entry'!$$222)</f>
      </c>
      <c r="BW222">
        <f>IF(ISBLANK('Data Entry'!$$222), "", 'Data Entry'!$$222)</f>
      </c>
      <c r="BX222">
        <f>IF(ISBLANK('Data Entry'!$$222), "", 'Data Entry'!$$222)</f>
      </c>
      <c r="BY222">
        <f>IF(ISBLANK('Data Entry'!$$222), "", 'Data Entry'!$$222)</f>
      </c>
      <c r="BZ222">
        <f>IF(ISBLANK('Data Entry'!$$222), "", 'Data Entry'!$$222)</f>
      </c>
      <c r="CA222">
        <f>IF(ISBLANK('Data Entry'!$$222), "", 'Data Entry'!$$222)</f>
      </c>
      <c r="CB222">
        <f>IF(ISBLANK('Data Entry'!$$222), "", 'Data Entry'!$$222)</f>
      </c>
      <c r="CC222">
        <f>IF(ISBLANK('Data Entry'!$$222), "", 'Data Entry'!$$222)</f>
      </c>
      <c r="CD222">
        <f>IF(ISBLANK('Data Entry'!$$222), "", 'Data Entry'!$$222)</f>
      </c>
      <c r="CE222">
        <f>IF(ISBLANK('Data Entry'!$$222), "", 'Data Entry'!$$222)</f>
      </c>
      <c r="CF222">
        <f>IF(ISBLANK('Data Entry'!$$222), "", 'Data Entry'!$$222)</f>
      </c>
      <c r="CG222">
        <f>IF(ISBLANK('Data Entry'!$$222), "", 'Data Entry'!$$222)</f>
      </c>
      <c r="CH222">
        <f>IF(ISBLANK('Data Entry'!$$222), "", 'Data Entry'!$$222)</f>
      </c>
      <c r="CI222">
        <f>IF(ISBLANK('Data Entry'!$$222), "", 'Data Entry'!$$222)</f>
      </c>
      <c r="CJ222">
        <f>IF(ISBLANK('Data Entry'!$$222), "", 'Data Entry'!$$222)</f>
      </c>
      <c r="CK222">
        <f>IF(ISBLANK('Data Entry'!$$222), "", 'Data Entry'!$$222)</f>
      </c>
      <c r="CL222">
        <f>IF(ISBLANK('Data Entry'!$$222), "", 'Data Entry'!$$222)</f>
      </c>
      <c r="CM222">
        <f>IF(ISBLANK('Data Entry'!$$222), "", 'Data Entry'!$$222)</f>
      </c>
      <c r="CN222">
        <f>IF(ISBLANK('Data Entry'!$$222), "", 'Data Entry'!$$222)</f>
      </c>
      <c r="CO222">
        <f>IF(ISBLANK('Data Entry'!$$222), "", 'Data Entry'!$$222)</f>
      </c>
      <c r="CP222">
        <f>IF(ISBLANK('Data Entry'!$$222), "", 'Data Entry'!$$222)</f>
      </c>
      <c r="CQ222">
        <f>IF(ISBLANK('Data Entry'!$$222), "", 'Data Entry'!$$222)</f>
      </c>
      <c r="CR222">
        <f>IF(ISBLANK('Data Entry'!$ $222), "", 'Data Entry'!$ $222)</f>
      </c>
      <c r="CS222">
        <f>IF(ISBLANK('Data Entry'!$¡$222), "", 'Data Entry'!$¡$222)</f>
      </c>
      <c r="CT222">
        <f>IF(ISBLANK('Data Entry'!$¢$222), "", 'Data Entry'!$¢$222)</f>
      </c>
      <c r="CU222">
        <f>IF(ISBLANK('Data Entry'!$£$222), "", 'Data Entry'!$£$222)</f>
      </c>
      <c r="CV222">
        <f>IF(ISBLANK('Data Entry'!$¤$222), "", 'Data Entry'!$¤$222)</f>
      </c>
      <c r="CW222">
        <f>IF(ISBLANK('Data Entry'!$¥$222), "", 'Data Entry'!$¥$222)</f>
      </c>
      <c r="CX222">
        <f>IF(ISBLANK('Data Entry'!$¦$222), "", 'Data Entry'!$¦$222)</f>
      </c>
      <c r="CY222">
        <f>IF(ISBLANK('Data Entry'!$§$222), "", 'Data Entry'!$§$222)</f>
      </c>
      <c r="CZ222">
        <f>IF(ISBLANK('Data Entry'!$¨$222), "", 'Data Entry'!$¨$222)</f>
      </c>
      <c r="DA222">
        <f>IF(ISBLANK('Data Entry'!$©$222), "", 'Data Entry'!$©$222)</f>
      </c>
      <c r="DB222">
        <f>IF(ISBLANK('Data Entry'!$ª$222), "", 'Data Entry'!$ª$222)</f>
      </c>
      <c r="DC222">
        <f>IF(ISBLANK('Data Entry'!$«$222), "", 'Data Entry'!$«$222)</f>
      </c>
      <c r="DD222">
        <f>IF(ISBLANK('Data Entry'!$¬$222), "", 'Data Entry'!$¬$222)</f>
      </c>
      <c r="DE222">
        <f>IF(ISBLANK('Data Entry'!$­$222), "", 'Data Entry'!$­$222)</f>
      </c>
      <c r="DF222">
        <f>IF(ISBLANK('Data Entry'!$®$222), "", 'Data Entry'!$®$222)</f>
      </c>
      <c r="DG222">
        <f>IF(ISBLANK('Data Entry'!$¯$222), "", 'Data Entry'!$¯$222)</f>
      </c>
      <c r="DH222">
        <f>IF(ISBLANK('Data Entry'!$°$222), "", 'Data Entry'!$°$222)</f>
      </c>
      <c r="DI222">
        <f>IF(ISBLANK('Data Entry'!$±$222), "", 'Data Entry'!$±$222)</f>
      </c>
      <c r="DJ222">
        <f>IF(ISBLANK('Data Entry'!$²$222), "", 'Data Entry'!$²$222)</f>
      </c>
      <c r="DK222">
        <f>IF(ISBLANK('Data Entry'!$³$222), "", 'Data Entry'!$³$222)</f>
      </c>
      <c r="DL222">
        <f>IF(ISBLANK('Data Entry'!$´$222), "", 'Data Entry'!$´$222)</f>
      </c>
      <c r="DM222">
        <f>IF(ISBLANK('Data Entry'!$µ$222), "", 'Data Entry'!$µ$222)</f>
      </c>
      <c r="DN222">
        <f>IF(ISBLANK('Data Entry'!$¶$222), "", 'Data Entry'!$¶$222)</f>
      </c>
      <c r="DO222">
        <f>IF(ISBLANK('Data Entry'!$·$222), "", 'Data Entry'!$·$222)</f>
      </c>
      <c r="DP222">
        <f>IF(ISBLANK('Data Entry'!$¸$222), "", 'Data Entry'!$¸$222)</f>
      </c>
      <c r="DQ222">
        <f>IF(ISBLANK('Data Entry'!$¹$222), "", 'Data Entry'!$¹$222)</f>
      </c>
      <c r="DR222">
        <f>IF(ISBLANK('Data Entry'!$º$222), "", 'Data Entry'!$º$222)</f>
      </c>
      <c r="DS222">
        <f>IF(ISBLANK('Data Entry'!$»$222), "", 'Data Entry'!$»$222)</f>
      </c>
      <c r="DT222">
        <f>IF(ISBLANK('Data Entry'!$¼$222), "", 'Data Entry'!$¼$222)</f>
      </c>
      <c r="DU222">
        <f>IF(ISBLANK('Data Entry'!$½$222), "", 'Data Entry'!$½$222)</f>
      </c>
      <c r="DV222">
        <f>IF(ISBLANK('Data Entry'!$¾$222), "", 'Data Entry'!$¾$222)</f>
      </c>
      <c r="DW222">
        <f>IF(ISBLANK('Data Entry'!$¿$222), "", 'Data Entry'!$¿$222)</f>
      </c>
      <c r="DX222">
        <f>IF(ISBLANK('Data Entry'!$À$222), "", 'Data Entry'!$À$222)</f>
      </c>
      <c r="DY222">
        <f>IF(ISBLANK('Data Entry'!$Á$222), "", 'Data Entry'!$Á$222)</f>
      </c>
      <c r="DZ222">
        <f>IF(ISBLANK('Data Entry'!$Â$222), "", 'Data Entry'!$Â$222)</f>
      </c>
      <c r="EA222">
        <f>IF(ISBLANK('Data Entry'!$Ã$222), "", 'Data Entry'!$Ã$222)</f>
      </c>
      <c r="EB222">
        <f>IF(ISBLANK('Data Entry'!$Ä$222), "", 'Data Entry'!$Ä$222)</f>
      </c>
      <c r="EC222">
        <f>IF(ISBLANK('Data Entry'!$Å$222), "", 'Data Entry'!$Å$222)</f>
      </c>
      <c r="ED222">
        <f>IF(ISBLANK('Data Entry'!$Æ$222), "", 'Data Entry'!$Æ$222)</f>
      </c>
      <c r="EE222">
        <f>IF(ISBLANK('Data Entry'!$Ç$222), "", 'Data Entry'!$Ç$222)</f>
      </c>
      <c r="EF222">
        <f>IF(ISBLANK('Data Entry'!$È$222), "", 'Data Entry'!$È$222)</f>
      </c>
      <c r="EG222">
        <f>IF(ISBLANK('Data Entry'!$É$222), "", 'Data Entry'!$É$222)</f>
      </c>
      <c r="EH222">
        <f>IF(ISBLANK('Data Entry'!$Ê$222), "", 'Data Entry'!$Ê$222)</f>
      </c>
      <c r="EI222">
        <f>IF(ISBLANK('Data Entry'!$Ë$222), "", 'Data Entry'!$Ë$222)</f>
      </c>
      <c r="EJ222">
        <f>IF(ISBLANK('Data Entry'!$Ì$222), "", 'Data Entry'!$Ì$222)</f>
      </c>
      <c r="EK222">
        <f>IF(ISBLANK('Data Entry'!$Í$222), "", 'Data Entry'!$Í$222)</f>
      </c>
      <c r="EL222">
        <f>IF(ISBLANK('Data Entry'!$Î$222), "", 'Data Entry'!$Î$222)</f>
      </c>
      <c r="EM222">
        <f>IF(ISBLANK('Data Entry'!$Ï$222), "", 'Data Entry'!$Ï$222)</f>
      </c>
      <c r="EN222">
        <f>IF(ISBLANK('Data Entry'!$Ð$222), "", 'Data Entry'!$Ð$222)</f>
      </c>
      <c r="EO222">
        <f>IF(ISBLANK('Data Entry'!$Ñ$222), "", 'Data Entry'!$Ñ$222)</f>
      </c>
      <c r="EP222">
        <f>IF(ISBLANK('Data Entry'!$Ò$222), "", 'Data Entry'!$Ò$222)</f>
      </c>
      <c r="EQ222">
        <f>IF(ISBLANK('Data Entry'!$Ó$222), "", 'Data Entry'!$Ó$222)</f>
      </c>
      <c r="ER222">
        <f>IF(ISBLANK('Data Entry'!$Ô$222), "", 'Data Entry'!$Ô$222)</f>
      </c>
      <c r="ES222">
        <f>IF(ISBLANK('Data Entry'!$Õ$222), "", 'Data Entry'!$Õ$222)</f>
      </c>
      <c r="ET222">
        <f>IF(ISBLANK('Data Entry'!$Ö$222), "", 'Data Entry'!$Ö$222)</f>
      </c>
      <c r="EU222">
        <f>IF(ISBLANK('Data Entry'!$×$222), "", 'Data Entry'!$×$222)</f>
      </c>
      <c r="EV222">
        <f>IF(ISBLANK('Data Entry'!$Ø$222), "", 'Data Entry'!$Ø$222)</f>
      </c>
      <c r="EW222">
        <f>IF(ISBLANK('Data Entry'!$Ù$222), "", 'Data Entry'!$Ù$222)</f>
      </c>
      <c r="EX222">
        <f>IF(ISBLANK('Data Entry'!$Ú$222), "", 'Data Entry'!$Ú$222)</f>
      </c>
      <c r="EY222">
        <f>IF(ISBLANK('Data Entry'!$Û$222), "", 'Data Entry'!$Û$222)</f>
      </c>
      <c r="EZ222">
        <f>IF(ISBLANK('Data Entry'!$Ü$222), "", 'Data Entry'!$Ü$222)</f>
      </c>
      <c r="FA222">
        <f>IF(ISBLANK('Data Entry'!$Ý$222), "", 'Data Entry'!$Ý$222)</f>
      </c>
      <c r="FB222">
        <f>IF(ISBLANK('Data Entry'!$Þ$222), "", 'Data Entry'!$Þ$222)</f>
      </c>
      <c r="FC222">
        <f>IF(ISBLANK('Data Entry'!$ß$222), "", 'Data Entry'!$ß$222)</f>
      </c>
      <c r="FD222">
        <f>IF(ISBLANK('Data Entry'!$à$222), "", 'Data Entry'!$à$222)</f>
      </c>
      <c r="FE222">
        <f>IF(ISBLANK('Data Entry'!$á$222), "", 'Data Entry'!$á$222)</f>
      </c>
      <c r="FF222">
        <f>IF(ISBLANK('Data Entry'!$â$222), "", 'Data Entry'!$â$222)</f>
      </c>
      <c r="FG222">
        <f>IF(ISBLANK('Data Entry'!$ã$222), "", 'Data Entry'!$ã$222)</f>
      </c>
      <c r="FH222">
        <f>IF(ISBLANK('Data Entry'!$ä$222), "", 'Data Entry'!$ä$222)</f>
      </c>
      <c r="FI222">
        <f>IF(ISBLANK('Data Entry'!$å$222), "", 'Data Entry'!$å$222)</f>
      </c>
      <c r="FJ222">
        <f>IF(ISBLANK('Data Entry'!$æ$222), "", 'Data Entry'!$æ$222)</f>
      </c>
      <c r="FK222">
        <f>IF(ISBLANK('Data Entry'!$ç$222), "", 'Data Entry'!$ç$222)</f>
      </c>
      <c r="FL222">
        <f>IF(ISBLANK('Data Entry'!$è$222), "", 'Data Entry'!$è$222)</f>
      </c>
      <c r="FM222">
        <f>IF(ISBLANK('Data Entry'!$é$222), "", 'Data Entry'!$é$222)</f>
      </c>
      <c r="FN222">
        <f>IF(ISBLANK('Data Entry'!$ê$222), "", 'Data Entry'!$ê$222)</f>
      </c>
      <c r="FO222">
        <f>IF(ISBLANK('Data Entry'!$ë$222), "", 'Data Entry'!$ë$222)</f>
      </c>
      <c r="FP222">
        <f>IF(ISBLANK('Data Entry'!$ì$222), "", 'Data Entry'!$ì$222)</f>
      </c>
      <c r="FQ222">
        <f>IF(ISBLANK('Data Entry'!$í$222), "", 'Data Entry'!$í$222)</f>
      </c>
      <c r="FR222">
        <f>IF(ISBLANK('Data Entry'!$î$222), "", 'Data Entry'!$î$222)</f>
      </c>
      <c r="FS222">
        <f>IF(ISBLANK('Data Entry'!$ï$222), "", 'Data Entry'!$ï$222)</f>
      </c>
      <c r="FT222">
        <f>IF(ISBLANK('Data Entry'!$ð$222), "", 'Data Entry'!$ð$222)</f>
      </c>
      <c r="FU222">
        <f>IF(ISBLANK('Data Entry'!$ñ$222), "", 'Data Entry'!$ñ$222)</f>
      </c>
      <c r="FV222">
        <f>IF(ISBLANK('Data Entry'!$ò$222), "", 'Data Entry'!$ò$222)</f>
      </c>
      <c r="FW222">
        <f>IF(ISBLANK('Data Entry'!$ó$222), "", 'Data Entry'!$ó$222)</f>
      </c>
      <c r="FX222">
        <f>IF(ISBLANK('Data Entry'!$ô$222), "", 'Data Entry'!$ô$222)</f>
      </c>
      <c r="FY222">
        <f>IF(ISBLANK('Data Entry'!$õ$222), "", 'Data Entry'!$õ$222)</f>
      </c>
      <c r="FZ222">
        <f>IF(ISBLANK('Data Entry'!$ö$222), "", 'Data Entry'!$ö$222)</f>
      </c>
      <c r="GA222">
        <f>IF(ISBLANK('Data Entry'!$÷$222), "", 'Data Entry'!$÷$222)</f>
      </c>
      <c r="GB222">
        <f>IF(ISBLANK('Data Entry'!$ø$222), "", 'Data Entry'!$ø$222)</f>
      </c>
      <c r="GC222">
        <f>IF(ISBLANK('Data Entry'!$ù$222), "", 'Data Entry'!$ù$222)</f>
      </c>
      <c r="GD222">
        <f>IF(ISBLANK('Data Entry'!$ú$222), "", 'Data Entry'!$ú$222)</f>
      </c>
      <c r="GE222">
        <f>IF(ISBLANK('Data Entry'!$û$222), "", 'Data Entry'!$û$222)</f>
      </c>
      <c r="GF222">
        <f>IF(ISBLANK('Data Entry'!$ü$222), "", 'Data Entry'!$ü$222)</f>
      </c>
      <c r="GG222">
        <f>IF(ISBLANK('Data Entry'!$ý$222), "", 'Data Entry'!$ý$222)</f>
      </c>
      <c r="GH222">
        <f>IF(ISBLANK('Data Entry'!$þ$222), "", 'Data Entry'!$þ$222)</f>
      </c>
      <c r="GI222">
        <f>IF(ISBLANK('Data Entry'!$ÿ$222), "", 'Data Entry'!$ÿ$222)</f>
      </c>
      <c r="GJ222">
        <f>IF(ISBLANK('Data Entry'!$Ā$222), "", 'Data Entry'!$Ā$222)</f>
      </c>
      <c r="GK222">
        <f>IF(ISBLANK('Data Entry'!$ā$222), "", 'Data Entry'!$ā$222)</f>
      </c>
      <c r="GL222">
        <f>IF(ISBLANK('Data Entry'!$Ă$222), "", 'Data Entry'!$Ă$222)</f>
      </c>
      <c r="GM222">
        <f>IF(ISBLANK('Data Entry'!$ă$222), "", 'Data Entry'!$ă$222)</f>
      </c>
      <c r="GN222">
        <f>IF(ISBLANK('Data Entry'!$Ą$222), "", 'Data Entry'!$Ą$222)</f>
      </c>
      <c r="GO222">
        <f>IF(ISBLANK('Data Entry'!$ą$222), "", 'Data Entry'!$ą$222)</f>
      </c>
      <c r="GP222">
        <f>IF(ISBLANK('Data Entry'!$Ć$222), "", 'Data Entry'!$Ć$222)</f>
      </c>
      <c r="GQ222">
        <f>IF(ISBLANK('Data Entry'!$ć$222), "", 'Data Entry'!$ć$222)</f>
      </c>
      <c r="GR222">
        <f>IF(ISBLANK('Data Entry'!$Ĉ$222), "", 'Data Entry'!$Ĉ$222)</f>
      </c>
      <c r="GS222">
        <f>IF(ISBLANK('Data Entry'!$ĉ$222), "", 'Data Entry'!$ĉ$222)</f>
      </c>
      <c r="GT222">
        <f>IF(ISBLANK('Data Entry'!$Ċ$222), "", 'Data Entry'!$Ċ$222)</f>
      </c>
      <c r="GU222">
        <f>IF(ISBLANK('Data Entry'!$ċ$222), "", 'Data Entry'!$ċ$222)</f>
      </c>
      <c r="GV222">
        <f>IF(ISBLANK('Data Entry'!$Č$222), "", 'Data Entry'!$Č$222)</f>
      </c>
      <c r="GW222">
        <f>IF(ISBLANK('Data Entry'!$č$222), "", 'Data Entry'!$č$222)</f>
      </c>
      <c r="GX222">
        <f>IF(ISBLANK('Data Entry'!$Ď$222), "", 'Data Entry'!$Ď$222)</f>
      </c>
      <c r="GY222">
        <f>IF(ISBLANK('Data Entry'!$ď$222), "", 'Data Entry'!$ď$222)</f>
      </c>
      <c r="GZ222">
        <f>IF(ISBLANK('Data Entry'!$Đ$222), "", 'Data Entry'!$Đ$222)</f>
      </c>
      <c r="HA222">
        <f>IF(ISBLANK('Data Entry'!$đ$222), "", 'Data Entry'!$đ$222)</f>
      </c>
      <c r="HB222">
        <f>IF(ISBLANK('Data Entry'!$Ē$222), "", 'Data Entry'!$Ē$222)</f>
      </c>
      <c r="HC222">
        <f>IF(ISBLANK('Data Entry'!$ē$222), "", 'Data Entry'!$ē$222)</f>
      </c>
      <c r="HD222">
        <f>IF(ISBLANK('Data Entry'!$Ĕ$222), "", 'Data Entry'!$Ĕ$222)</f>
      </c>
      <c r="HE222">
        <f>IF(ISBLANK('Data Entry'!$ĕ$222), "", 'Data Entry'!$ĕ$222)</f>
      </c>
      <c r="HF222">
        <f>IF(ISBLANK('Data Entry'!$Ė$222), "", 'Data Entry'!$Ė$222)</f>
      </c>
      <c r="HG222">
        <f>IF(ISBLANK('Data Entry'!$ė$222), "", 'Data Entry'!$ė$222)</f>
      </c>
      <c r="HH222">
        <f>IF(ISBLANK('Data Entry'!$Ę$222), "", 'Data Entry'!$Ę$222)</f>
      </c>
      <c r="HI222">
        <f>IF(ISBLANK('Data Entry'!$ę$222), "", 'Data Entry'!$ę$222)</f>
      </c>
      <c r="HJ222">
        <f>IF(ISBLANK('Data Entry'!$Ě$222), "", 'Data Entry'!$Ě$222)</f>
      </c>
      <c r="HK222">
        <f>IF(ISBLANK('Data Entry'!$ě$222), "", 'Data Entry'!$ě$222)</f>
      </c>
      <c r="HL222">
        <f>IF(ISBLANK('Data Entry'!$Ĝ$222), "", 'Data Entry'!$Ĝ$222)</f>
      </c>
      <c r="HM222">
        <f>IF(ISBLANK('Data Entry'!$ĝ$222), "", 'Data Entry'!$ĝ$222)</f>
      </c>
      <c r="HN222">
        <f>IF(ISBLANK('Data Entry'!$Ğ$222), "", 'Data Entry'!$Ğ$222)</f>
      </c>
      <c r="HO222">
        <f>IF(ISBLANK('Data Entry'!$ğ$222), "", 'Data Entry'!$ğ$222)</f>
      </c>
      <c r="HP222">
        <f>IF(ISBLANK('Data Entry'!$Ġ$222), "", 'Data Entry'!$Ġ$222)</f>
      </c>
      <c r="HQ222">
        <f>IF(ISBLANK('Data Entry'!$ġ$222), "", 'Data Entry'!$ġ$222)</f>
      </c>
      <c r="HR222">
        <f>IF(ISBLANK('Data Entry'!$Ģ$222), "", 'Data Entry'!$Ģ$222)</f>
      </c>
      <c r="HS222">
        <f>IF(ISBLANK('Data Entry'!$ģ$222), "", 'Data Entry'!$ģ$222)</f>
      </c>
      <c r="HT222">
        <f>IF(ISBLANK('Data Entry'!$Ĥ$222), "", 'Data Entry'!$Ĥ$222)</f>
      </c>
      <c r="HU222">
        <f>IF(ISBLANK('Data Entry'!$ĥ$222), "", 'Data Entry'!$ĥ$222)</f>
      </c>
      <c r="HV222">
        <f>IF(ISBLANK('Data Entry'!$Ħ$222), "", 'Data Entry'!$Ħ$222)</f>
      </c>
      <c r="HW222">
        <f>IF(ISBLANK('Data Entry'!$ħ$222), "", 'Data Entry'!$ħ$222)</f>
      </c>
      <c r="HX222">
        <f>IF(ISBLANK('Data Entry'!$Ĩ$222), "", 'Data Entry'!$Ĩ$222)</f>
      </c>
      <c r="HY222">
        <f>IF(ISBLANK('Data Entry'!$ĩ$222), "", 'Data Entry'!$ĩ$222)</f>
      </c>
      <c r="HZ222">
        <f>IF(ISBLANK('Data Entry'!$Ī$222), "", 'Data Entry'!$Ī$222)</f>
      </c>
      <c r="IA222">
        <f>IF(ISBLANK('Data Entry'!$ī$222), "", 'Data Entry'!$ī$222)</f>
      </c>
      <c r="IB222">
        <f>IF(ISBLANK('Data Entry'!$Ĭ$222), "", 'Data Entry'!$Ĭ$222)</f>
      </c>
      <c r="IC222">
        <f>IF(ISBLANK('Data Entry'!$ĭ$222), "", 'Data Entry'!$ĭ$222)</f>
      </c>
      <c r="ID222">
        <f>IF(ISBLANK('Data Entry'!$Į$222), "", 'Data Entry'!$Į$222)</f>
      </c>
      <c r="IE222">
        <f>IF(ISBLANK('Data Entry'!$į$222), "", 'Data Entry'!$į$222)</f>
      </c>
      <c r="IF222">
        <f>IF(ISBLANK('Data Entry'!$İ$222), "", 'Data Entry'!$İ$222)</f>
      </c>
      <c r="IG222">
        <f>IF(ISBLANK('Data Entry'!$ı$222), "", 'Data Entry'!$ı$222)</f>
      </c>
      <c r="IH222">
        <f>IF(ISBLANK('Data Entry'!$Ĳ$222), "", 'Data Entry'!$Ĳ$222)</f>
      </c>
      <c r="II222">
        <f>IF(ISBLANK('Data Entry'!$ĳ$222), "", 'Data Entry'!$ĳ$222)</f>
      </c>
      <c r="IJ222">
        <f>IF(ISBLANK('Data Entry'!$Ĵ$222), "", 'Data Entry'!$Ĵ$222)</f>
      </c>
      <c r="IK222">
        <f>IF(ISBLANK('Data Entry'!$ĵ$222), "", 'Data Entry'!$ĵ$222)</f>
      </c>
      <c r="IL222">
        <f>IF(ISBLANK('Data Entry'!$Ķ$222), "", 'Data Entry'!$Ķ$222)</f>
      </c>
      <c r="IM222">
        <f>IF(ISBLANK('Data Entry'!$ķ$222), "", 'Data Entry'!$ķ$222)</f>
      </c>
      <c r="IN222">
        <f>IF(ISBLANK('Data Entry'!$ĸ$222), "", 'Data Entry'!$ĸ$222)</f>
      </c>
      <c r="IO222">
        <f>IF(ISBLANK('Data Entry'!$Ĺ$222), "", 'Data Entry'!$Ĺ$222)</f>
      </c>
      <c r="IP222">
        <f>IF(ISBLANK('Data Entry'!$ĺ$222), "", 'Data Entry'!$ĺ$222)</f>
      </c>
      <c r="IQ222">
        <f>IF(ISBLANK('Data Entry'!$Ļ$222), "", 'Data Entry'!$Ļ$222)</f>
      </c>
      <c r="IR222">
        <f>IF(ISBLANK('Data Entry'!$ļ$222), "", 'Data Entry'!$ļ$222)</f>
      </c>
      <c r="IS222">
        <f>IF(ISBLANK('Data Entry'!$Ľ$222), "", 'Data Entry'!$Ľ$222)</f>
      </c>
      <c r="IT222">
        <f>IF(ISBLANK('Data Entry'!$ľ$222), "", 'Data Entry'!$ľ$222)</f>
      </c>
    </row>
    <row r="223" spans="1:254" x14ac:dyDescent="0.25">
      <c r="A223">
        <f>IF(ISBLANK('Data Entry'!$A$223), "", 'Data Entry'!$A$223)</f>
      </c>
      <c r="B223">
        <f>IF(ISBLANK('Data Entry'!$B$223), "", 'Data Entry'!$B$223)</f>
      </c>
      <c r="C223">
        <f>IF(ISBLANK('Data Entry'!$C$223), "", 'Data Entry'!$C$223)</f>
      </c>
      <c r="D223">
        <f>IF(ISBLANK('Data Entry'!$D$223), "", 'Data Entry'!$D$223)</f>
      </c>
      <c r="E223">
        <f>IF(ISBLANK('Data Entry'!$E$223), "", 'Data Entry'!$E$223)</f>
      </c>
      <c r="F223">
        <f>IF(ISBLANK('Data Entry'!$F$223), "", 'Data Entry'!$F$223)</f>
      </c>
      <c r="G223">
        <f>IF(ISBLANK('Data Entry'!$G$223), "", 'Data Entry'!$G$223)</f>
      </c>
      <c r="H223">
        <f>IF(ISBLANK('Data Entry'!$H$223), "", 'Data Entry'!$H$223)</f>
      </c>
      <c r="I223">
        <f>IF(ISBLANK('Data Entry'!$I$223), "", 'Data Entry'!$I$223)</f>
      </c>
      <c r="J223">
        <f>IF(ISBLANK('Data Entry'!$J$223), "", 'Data Entry'!$J$223)</f>
      </c>
      <c r="K223">
        <f>IF(ISBLANK('Data Entry'!$K$223), "", 'Data Entry'!$K$223)</f>
      </c>
      <c r="L223">
        <f>IF(ISBLANK('Data Entry'!$L$223), "", 'Data Entry'!$L$223)</f>
      </c>
      <c r="M223">
        <f>IF(ISBLANK('Data Entry'!$M$223), "", 'Data Entry'!$M$223)</f>
      </c>
      <c r="N223">
        <f>IF(ISBLANK('Data Entry'!$N$223), "", 'Data Entry'!$N$223)</f>
      </c>
      <c r="O223">
        <f>IF(ISBLANK('Data Entry'!$O$223), "", 'Data Entry'!$O$223)</f>
      </c>
      <c r="P223">
        <f>IF(ISBLANK('Data Entry'!$P$223), "", 'Data Entry'!$P$223)</f>
      </c>
      <c r="Q223">
        <f>IF(ISBLANK('Data Entry'!$Q$223), "", 'Data Entry'!$Q$223)</f>
      </c>
      <c r="R223">
        <f>IF(ISBLANK('Data Entry'!$R$223), "", 'Data Entry'!$R$223)</f>
      </c>
      <c r="S223">
        <f>IF(ISBLANK('Data Entry'!$S$223), "", 'Data Entry'!$S$223)</f>
      </c>
      <c r="T223">
        <f>IF(ISBLANK('Data Entry'!$T$223), "", 'Data Entry'!$T$223)</f>
      </c>
      <c r="U223">
        <f>IF(ISBLANK('Data Entry'!$U$223), "", 'Data Entry'!$U$223)</f>
      </c>
      <c r="V223">
        <f>IF(ISBLANK('Data Entry'!$V$223), "", 'Data Entry'!$V$223)</f>
      </c>
      <c r="W223">
        <f>IF(ISBLANK('Data Entry'!$W$223), "", 'Data Entry'!$W$223)</f>
      </c>
      <c r="X223">
        <f>IF(ISBLANK('Data Entry'!$X$223), "", 'Data Entry'!$X$223)</f>
      </c>
      <c r="Y223">
        <f>IF(ISBLANK('Data Entry'!$Y$223), "", 'Data Entry'!$Y$223)</f>
      </c>
      <c r="Z223">
        <f>IF(ISBLANK('Data Entry'!$Z$223), "", 'Data Entry'!$Z$223)</f>
      </c>
      <c r="AA223">
        <f>IF(ISBLANK('Data Entry'!$[$223), "", 'Data Entry'!$[$223)</f>
      </c>
      <c r="AB223">
        <f>IF(ISBLANK('Data Entry'!$\$223), "", 'Data Entry'!$\$223)</f>
      </c>
      <c r="AC223">
        <f>IF(ISBLANK('Data Entry'!$]$223), "", 'Data Entry'!$]$223)</f>
      </c>
      <c r="AD223">
        <f>IF(ISBLANK('Data Entry'!$^$223), "", 'Data Entry'!$^$223)</f>
      </c>
      <c r="AE223">
        <f>IF(ISBLANK('Data Entry'!$_$223), "", 'Data Entry'!$_$223)</f>
      </c>
      <c r="AF223">
        <f>IF(ISBLANK('Data Entry'!$`$223), "", 'Data Entry'!$`$223)</f>
      </c>
      <c r="AG223">
        <f>IF(ISBLANK('Data Entry'!$a$223), "", 'Data Entry'!$a$223)</f>
      </c>
      <c r="AH223">
        <f>IF(ISBLANK('Data Entry'!$b$223), "", 'Data Entry'!$b$223)</f>
      </c>
      <c r="AI223">
        <f>IF(ISBLANK('Data Entry'!$c$223), "", 'Data Entry'!$c$223)</f>
      </c>
      <c r="AJ223">
        <f>IF(ISBLANK('Data Entry'!$d$223), "", 'Data Entry'!$d$223)</f>
      </c>
      <c r="AK223">
        <f>IF(ISBLANK('Data Entry'!$e$223), "", 'Data Entry'!$e$223)</f>
      </c>
      <c r="AL223">
        <f>IF(ISBLANK('Data Entry'!$f$223), "", 'Data Entry'!$f$223)</f>
      </c>
      <c r="AM223">
        <f>IF(ISBLANK('Data Entry'!$g$223), "", 'Data Entry'!$g$223)</f>
      </c>
      <c r="AN223">
        <f>IF(ISBLANK('Data Entry'!$h$223), "", 'Data Entry'!$h$223)</f>
      </c>
      <c r="AO223">
        <f>IF(ISBLANK('Data Entry'!$i$223), "", 'Data Entry'!$i$223)</f>
      </c>
      <c r="AP223">
        <f>IF(ISBLANK('Data Entry'!$j$223), "", 'Data Entry'!$j$223)</f>
      </c>
      <c r="AQ223">
        <f>IF(ISBLANK('Data Entry'!$k$223), "", 'Data Entry'!$k$223)</f>
      </c>
      <c r="AR223">
        <f>IF(ISBLANK('Data Entry'!$l$223), "", 'Data Entry'!$l$223)</f>
      </c>
      <c r="AS223">
        <f>IF(ISBLANK('Data Entry'!$m$223), "", 'Data Entry'!$m$223)</f>
      </c>
      <c r="AT223">
        <f>IF(ISBLANK('Data Entry'!$n$223), "", 'Data Entry'!$n$223)</f>
      </c>
      <c r="AU223">
        <f>IF(ISBLANK('Data Entry'!$o$223), "", 'Data Entry'!$o$223)</f>
      </c>
      <c r="AV223">
        <f>IF(ISBLANK('Data Entry'!$p$223), "", 'Data Entry'!$p$223)</f>
      </c>
      <c r="AW223">
        <f>IF(ISBLANK('Data Entry'!$q$223), "", 'Data Entry'!$q$223)</f>
      </c>
      <c r="AX223">
        <f>IF(ISBLANK('Data Entry'!$r$223), "", 'Data Entry'!$r$223)</f>
      </c>
      <c r="AY223">
        <f>IF(ISBLANK('Data Entry'!$s$223), "", 'Data Entry'!$s$223)</f>
      </c>
      <c r="AZ223">
        <f>IF(ISBLANK('Data Entry'!$t$223), "", 'Data Entry'!$t$223)</f>
      </c>
      <c r="BA223">
        <f>IF(ISBLANK('Data Entry'!$u$223), "", 'Data Entry'!$u$223)</f>
      </c>
      <c r="BB223">
        <f>IF(ISBLANK('Data Entry'!$v$223), "", 'Data Entry'!$v$223)</f>
      </c>
      <c r="BC223">
        <f>IF(ISBLANK('Data Entry'!$w$223), "", 'Data Entry'!$w$223)</f>
      </c>
      <c r="BD223">
        <f>IF(ISBLANK('Data Entry'!$x$223), "", 'Data Entry'!$x$223)</f>
      </c>
      <c r="BE223">
        <f>IF(ISBLANK('Data Entry'!$y$223), "", 'Data Entry'!$y$223)</f>
      </c>
      <c r="BF223">
        <f>IF(ISBLANK('Data Entry'!$z$223), "", 'Data Entry'!$z$223)</f>
      </c>
      <c r="BG223">
        <f>IF(ISBLANK('Data Entry'!${$223), "", 'Data Entry'!${$223)</f>
      </c>
      <c r="BH223">
        <f>IF(ISBLANK('Data Entry'!$|$223), "", 'Data Entry'!$|$223)</f>
      </c>
      <c r="BI223">
        <f>IF(ISBLANK('Data Entry'!$}$223), "", 'Data Entry'!$}$223)</f>
      </c>
      <c r="BJ223">
        <f>IF(ISBLANK('Data Entry'!$~$223), "", 'Data Entry'!$~$223)</f>
      </c>
      <c r="BK223">
        <f>IF(ISBLANK('Data Entry'!$$223), "", 'Data Entry'!$$223)</f>
      </c>
      <c r="BL223">
        <f>IF(ISBLANK('Data Entry'!$$223), "", 'Data Entry'!$$223)</f>
      </c>
      <c r="BM223">
        <f>IF(ISBLANK('Data Entry'!$$223), "", 'Data Entry'!$$223)</f>
      </c>
      <c r="BN223">
        <f>IF(ISBLANK('Data Entry'!$$223), "", 'Data Entry'!$$223)</f>
      </c>
      <c r="BO223">
        <f>IF(ISBLANK('Data Entry'!$$223), "", 'Data Entry'!$$223)</f>
      </c>
      <c r="BP223">
        <f>IF(ISBLANK('Data Entry'!$$223), "", 'Data Entry'!$$223)</f>
      </c>
      <c r="BQ223">
        <f>IF(ISBLANK('Data Entry'!$$223), "", 'Data Entry'!$$223)</f>
      </c>
      <c r="BR223">
        <f>IF(ISBLANK('Data Entry'!$$223), "", 'Data Entry'!$$223)</f>
      </c>
      <c r="BS223">
        <f>IF(ISBLANK('Data Entry'!$$223), "", 'Data Entry'!$$223)</f>
      </c>
      <c r="BT223">
        <f>IF(ISBLANK('Data Entry'!$$223), "", 'Data Entry'!$$223)</f>
      </c>
      <c r="BU223">
        <f>IF(ISBLANK('Data Entry'!$$223), "", 'Data Entry'!$$223)</f>
      </c>
      <c r="BV223">
        <f>IF(ISBLANK('Data Entry'!$$223), "", 'Data Entry'!$$223)</f>
      </c>
      <c r="BW223">
        <f>IF(ISBLANK('Data Entry'!$$223), "", 'Data Entry'!$$223)</f>
      </c>
      <c r="BX223">
        <f>IF(ISBLANK('Data Entry'!$$223), "", 'Data Entry'!$$223)</f>
      </c>
      <c r="BY223">
        <f>IF(ISBLANK('Data Entry'!$$223), "", 'Data Entry'!$$223)</f>
      </c>
      <c r="BZ223">
        <f>IF(ISBLANK('Data Entry'!$$223), "", 'Data Entry'!$$223)</f>
      </c>
      <c r="CA223">
        <f>IF(ISBLANK('Data Entry'!$$223), "", 'Data Entry'!$$223)</f>
      </c>
      <c r="CB223">
        <f>IF(ISBLANK('Data Entry'!$$223), "", 'Data Entry'!$$223)</f>
      </c>
      <c r="CC223">
        <f>IF(ISBLANK('Data Entry'!$$223), "", 'Data Entry'!$$223)</f>
      </c>
      <c r="CD223">
        <f>IF(ISBLANK('Data Entry'!$$223), "", 'Data Entry'!$$223)</f>
      </c>
      <c r="CE223">
        <f>IF(ISBLANK('Data Entry'!$$223), "", 'Data Entry'!$$223)</f>
      </c>
      <c r="CF223">
        <f>IF(ISBLANK('Data Entry'!$$223), "", 'Data Entry'!$$223)</f>
      </c>
      <c r="CG223">
        <f>IF(ISBLANK('Data Entry'!$$223), "", 'Data Entry'!$$223)</f>
      </c>
      <c r="CH223">
        <f>IF(ISBLANK('Data Entry'!$$223), "", 'Data Entry'!$$223)</f>
      </c>
      <c r="CI223">
        <f>IF(ISBLANK('Data Entry'!$$223), "", 'Data Entry'!$$223)</f>
      </c>
      <c r="CJ223">
        <f>IF(ISBLANK('Data Entry'!$$223), "", 'Data Entry'!$$223)</f>
      </c>
      <c r="CK223">
        <f>IF(ISBLANK('Data Entry'!$$223), "", 'Data Entry'!$$223)</f>
      </c>
      <c r="CL223">
        <f>IF(ISBLANK('Data Entry'!$$223), "", 'Data Entry'!$$223)</f>
      </c>
      <c r="CM223">
        <f>IF(ISBLANK('Data Entry'!$$223), "", 'Data Entry'!$$223)</f>
      </c>
      <c r="CN223">
        <f>IF(ISBLANK('Data Entry'!$$223), "", 'Data Entry'!$$223)</f>
      </c>
      <c r="CO223">
        <f>IF(ISBLANK('Data Entry'!$$223), "", 'Data Entry'!$$223)</f>
      </c>
      <c r="CP223">
        <f>IF(ISBLANK('Data Entry'!$$223), "", 'Data Entry'!$$223)</f>
      </c>
      <c r="CQ223">
        <f>IF(ISBLANK('Data Entry'!$$223), "", 'Data Entry'!$$223)</f>
      </c>
      <c r="CR223">
        <f>IF(ISBLANK('Data Entry'!$ $223), "", 'Data Entry'!$ $223)</f>
      </c>
      <c r="CS223">
        <f>IF(ISBLANK('Data Entry'!$¡$223), "", 'Data Entry'!$¡$223)</f>
      </c>
      <c r="CT223">
        <f>IF(ISBLANK('Data Entry'!$¢$223), "", 'Data Entry'!$¢$223)</f>
      </c>
      <c r="CU223">
        <f>IF(ISBLANK('Data Entry'!$£$223), "", 'Data Entry'!$£$223)</f>
      </c>
      <c r="CV223">
        <f>IF(ISBLANK('Data Entry'!$¤$223), "", 'Data Entry'!$¤$223)</f>
      </c>
      <c r="CW223">
        <f>IF(ISBLANK('Data Entry'!$¥$223), "", 'Data Entry'!$¥$223)</f>
      </c>
      <c r="CX223">
        <f>IF(ISBLANK('Data Entry'!$¦$223), "", 'Data Entry'!$¦$223)</f>
      </c>
      <c r="CY223">
        <f>IF(ISBLANK('Data Entry'!$§$223), "", 'Data Entry'!$§$223)</f>
      </c>
      <c r="CZ223">
        <f>IF(ISBLANK('Data Entry'!$¨$223), "", 'Data Entry'!$¨$223)</f>
      </c>
      <c r="DA223">
        <f>IF(ISBLANK('Data Entry'!$©$223), "", 'Data Entry'!$©$223)</f>
      </c>
      <c r="DB223">
        <f>IF(ISBLANK('Data Entry'!$ª$223), "", 'Data Entry'!$ª$223)</f>
      </c>
      <c r="DC223">
        <f>IF(ISBLANK('Data Entry'!$«$223), "", 'Data Entry'!$«$223)</f>
      </c>
      <c r="DD223">
        <f>IF(ISBLANK('Data Entry'!$¬$223), "", 'Data Entry'!$¬$223)</f>
      </c>
      <c r="DE223">
        <f>IF(ISBLANK('Data Entry'!$­$223), "", 'Data Entry'!$­$223)</f>
      </c>
      <c r="DF223">
        <f>IF(ISBLANK('Data Entry'!$®$223), "", 'Data Entry'!$®$223)</f>
      </c>
      <c r="DG223">
        <f>IF(ISBLANK('Data Entry'!$¯$223), "", 'Data Entry'!$¯$223)</f>
      </c>
      <c r="DH223">
        <f>IF(ISBLANK('Data Entry'!$°$223), "", 'Data Entry'!$°$223)</f>
      </c>
      <c r="DI223">
        <f>IF(ISBLANK('Data Entry'!$±$223), "", 'Data Entry'!$±$223)</f>
      </c>
      <c r="DJ223">
        <f>IF(ISBLANK('Data Entry'!$²$223), "", 'Data Entry'!$²$223)</f>
      </c>
      <c r="DK223">
        <f>IF(ISBLANK('Data Entry'!$³$223), "", 'Data Entry'!$³$223)</f>
      </c>
      <c r="DL223">
        <f>IF(ISBLANK('Data Entry'!$´$223), "", 'Data Entry'!$´$223)</f>
      </c>
      <c r="DM223">
        <f>IF(ISBLANK('Data Entry'!$µ$223), "", 'Data Entry'!$µ$223)</f>
      </c>
      <c r="DN223">
        <f>IF(ISBLANK('Data Entry'!$¶$223), "", 'Data Entry'!$¶$223)</f>
      </c>
      <c r="DO223">
        <f>IF(ISBLANK('Data Entry'!$·$223), "", 'Data Entry'!$·$223)</f>
      </c>
      <c r="DP223">
        <f>IF(ISBLANK('Data Entry'!$¸$223), "", 'Data Entry'!$¸$223)</f>
      </c>
      <c r="DQ223">
        <f>IF(ISBLANK('Data Entry'!$¹$223), "", 'Data Entry'!$¹$223)</f>
      </c>
      <c r="DR223">
        <f>IF(ISBLANK('Data Entry'!$º$223), "", 'Data Entry'!$º$223)</f>
      </c>
      <c r="DS223">
        <f>IF(ISBLANK('Data Entry'!$»$223), "", 'Data Entry'!$»$223)</f>
      </c>
      <c r="DT223">
        <f>IF(ISBLANK('Data Entry'!$¼$223), "", 'Data Entry'!$¼$223)</f>
      </c>
      <c r="DU223">
        <f>IF(ISBLANK('Data Entry'!$½$223), "", 'Data Entry'!$½$223)</f>
      </c>
      <c r="DV223">
        <f>IF(ISBLANK('Data Entry'!$¾$223), "", 'Data Entry'!$¾$223)</f>
      </c>
      <c r="DW223">
        <f>IF(ISBLANK('Data Entry'!$¿$223), "", 'Data Entry'!$¿$223)</f>
      </c>
      <c r="DX223">
        <f>IF(ISBLANK('Data Entry'!$À$223), "", 'Data Entry'!$À$223)</f>
      </c>
      <c r="DY223">
        <f>IF(ISBLANK('Data Entry'!$Á$223), "", 'Data Entry'!$Á$223)</f>
      </c>
      <c r="DZ223">
        <f>IF(ISBLANK('Data Entry'!$Â$223), "", 'Data Entry'!$Â$223)</f>
      </c>
      <c r="EA223">
        <f>IF(ISBLANK('Data Entry'!$Ã$223), "", 'Data Entry'!$Ã$223)</f>
      </c>
      <c r="EB223">
        <f>IF(ISBLANK('Data Entry'!$Ä$223), "", 'Data Entry'!$Ä$223)</f>
      </c>
      <c r="EC223">
        <f>IF(ISBLANK('Data Entry'!$Å$223), "", 'Data Entry'!$Å$223)</f>
      </c>
      <c r="ED223">
        <f>IF(ISBLANK('Data Entry'!$Æ$223), "", 'Data Entry'!$Æ$223)</f>
      </c>
      <c r="EE223">
        <f>IF(ISBLANK('Data Entry'!$Ç$223), "", 'Data Entry'!$Ç$223)</f>
      </c>
      <c r="EF223">
        <f>IF(ISBLANK('Data Entry'!$È$223), "", 'Data Entry'!$È$223)</f>
      </c>
      <c r="EG223">
        <f>IF(ISBLANK('Data Entry'!$É$223), "", 'Data Entry'!$É$223)</f>
      </c>
      <c r="EH223">
        <f>IF(ISBLANK('Data Entry'!$Ê$223), "", 'Data Entry'!$Ê$223)</f>
      </c>
      <c r="EI223">
        <f>IF(ISBLANK('Data Entry'!$Ë$223), "", 'Data Entry'!$Ë$223)</f>
      </c>
      <c r="EJ223">
        <f>IF(ISBLANK('Data Entry'!$Ì$223), "", 'Data Entry'!$Ì$223)</f>
      </c>
      <c r="EK223">
        <f>IF(ISBLANK('Data Entry'!$Í$223), "", 'Data Entry'!$Í$223)</f>
      </c>
      <c r="EL223">
        <f>IF(ISBLANK('Data Entry'!$Î$223), "", 'Data Entry'!$Î$223)</f>
      </c>
      <c r="EM223">
        <f>IF(ISBLANK('Data Entry'!$Ï$223), "", 'Data Entry'!$Ï$223)</f>
      </c>
      <c r="EN223">
        <f>IF(ISBLANK('Data Entry'!$Ð$223), "", 'Data Entry'!$Ð$223)</f>
      </c>
      <c r="EO223">
        <f>IF(ISBLANK('Data Entry'!$Ñ$223), "", 'Data Entry'!$Ñ$223)</f>
      </c>
      <c r="EP223">
        <f>IF(ISBLANK('Data Entry'!$Ò$223), "", 'Data Entry'!$Ò$223)</f>
      </c>
      <c r="EQ223">
        <f>IF(ISBLANK('Data Entry'!$Ó$223), "", 'Data Entry'!$Ó$223)</f>
      </c>
      <c r="ER223">
        <f>IF(ISBLANK('Data Entry'!$Ô$223), "", 'Data Entry'!$Ô$223)</f>
      </c>
      <c r="ES223">
        <f>IF(ISBLANK('Data Entry'!$Õ$223), "", 'Data Entry'!$Õ$223)</f>
      </c>
      <c r="ET223">
        <f>IF(ISBLANK('Data Entry'!$Ö$223), "", 'Data Entry'!$Ö$223)</f>
      </c>
      <c r="EU223">
        <f>IF(ISBLANK('Data Entry'!$×$223), "", 'Data Entry'!$×$223)</f>
      </c>
      <c r="EV223">
        <f>IF(ISBLANK('Data Entry'!$Ø$223), "", 'Data Entry'!$Ø$223)</f>
      </c>
      <c r="EW223">
        <f>IF(ISBLANK('Data Entry'!$Ù$223), "", 'Data Entry'!$Ù$223)</f>
      </c>
      <c r="EX223">
        <f>IF(ISBLANK('Data Entry'!$Ú$223), "", 'Data Entry'!$Ú$223)</f>
      </c>
      <c r="EY223">
        <f>IF(ISBLANK('Data Entry'!$Û$223), "", 'Data Entry'!$Û$223)</f>
      </c>
      <c r="EZ223">
        <f>IF(ISBLANK('Data Entry'!$Ü$223), "", 'Data Entry'!$Ü$223)</f>
      </c>
      <c r="FA223">
        <f>IF(ISBLANK('Data Entry'!$Ý$223), "", 'Data Entry'!$Ý$223)</f>
      </c>
      <c r="FB223">
        <f>IF(ISBLANK('Data Entry'!$Þ$223), "", 'Data Entry'!$Þ$223)</f>
      </c>
      <c r="FC223">
        <f>IF(ISBLANK('Data Entry'!$ß$223), "", 'Data Entry'!$ß$223)</f>
      </c>
      <c r="FD223">
        <f>IF(ISBLANK('Data Entry'!$à$223), "", 'Data Entry'!$à$223)</f>
      </c>
      <c r="FE223">
        <f>IF(ISBLANK('Data Entry'!$á$223), "", 'Data Entry'!$á$223)</f>
      </c>
      <c r="FF223">
        <f>IF(ISBLANK('Data Entry'!$â$223), "", 'Data Entry'!$â$223)</f>
      </c>
      <c r="FG223">
        <f>IF(ISBLANK('Data Entry'!$ã$223), "", 'Data Entry'!$ã$223)</f>
      </c>
      <c r="FH223">
        <f>IF(ISBLANK('Data Entry'!$ä$223), "", 'Data Entry'!$ä$223)</f>
      </c>
      <c r="FI223">
        <f>IF(ISBLANK('Data Entry'!$å$223), "", 'Data Entry'!$å$223)</f>
      </c>
      <c r="FJ223">
        <f>IF(ISBLANK('Data Entry'!$æ$223), "", 'Data Entry'!$æ$223)</f>
      </c>
      <c r="FK223">
        <f>IF(ISBLANK('Data Entry'!$ç$223), "", 'Data Entry'!$ç$223)</f>
      </c>
      <c r="FL223">
        <f>IF(ISBLANK('Data Entry'!$è$223), "", 'Data Entry'!$è$223)</f>
      </c>
      <c r="FM223">
        <f>IF(ISBLANK('Data Entry'!$é$223), "", 'Data Entry'!$é$223)</f>
      </c>
      <c r="FN223">
        <f>IF(ISBLANK('Data Entry'!$ê$223), "", 'Data Entry'!$ê$223)</f>
      </c>
      <c r="FO223">
        <f>IF(ISBLANK('Data Entry'!$ë$223), "", 'Data Entry'!$ë$223)</f>
      </c>
      <c r="FP223">
        <f>IF(ISBLANK('Data Entry'!$ì$223), "", 'Data Entry'!$ì$223)</f>
      </c>
      <c r="FQ223">
        <f>IF(ISBLANK('Data Entry'!$í$223), "", 'Data Entry'!$í$223)</f>
      </c>
      <c r="FR223">
        <f>IF(ISBLANK('Data Entry'!$î$223), "", 'Data Entry'!$î$223)</f>
      </c>
      <c r="FS223">
        <f>IF(ISBLANK('Data Entry'!$ï$223), "", 'Data Entry'!$ï$223)</f>
      </c>
      <c r="FT223">
        <f>IF(ISBLANK('Data Entry'!$ð$223), "", 'Data Entry'!$ð$223)</f>
      </c>
      <c r="FU223">
        <f>IF(ISBLANK('Data Entry'!$ñ$223), "", 'Data Entry'!$ñ$223)</f>
      </c>
      <c r="FV223">
        <f>IF(ISBLANK('Data Entry'!$ò$223), "", 'Data Entry'!$ò$223)</f>
      </c>
      <c r="FW223">
        <f>IF(ISBLANK('Data Entry'!$ó$223), "", 'Data Entry'!$ó$223)</f>
      </c>
      <c r="FX223">
        <f>IF(ISBLANK('Data Entry'!$ô$223), "", 'Data Entry'!$ô$223)</f>
      </c>
      <c r="FY223">
        <f>IF(ISBLANK('Data Entry'!$õ$223), "", 'Data Entry'!$õ$223)</f>
      </c>
      <c r="FZ223">
        <f>IF(ISBLANK('Data Entry'!$ö$223), "", 'Data Entry'!$ö$223)</f>
      </c>
      <c r="GA223">
        <f>IF(ISBLANK('Data Entry'!$÷$223), "", 'Data Entry'!$÷$223)</f>
      </c>
      <c r="GB223">
        <f>IF(ISBLANK('Data Entry'!$ø$223), "", 'Data Entry'!$ø$223)</f>
      </c>
      <c r="GC223">
        <f>IF(ISBLANK('Data Entry'!$ù$223), "", 'Data Entry'!$ù$223)</f>
      </c>
      <c r="GD223">
        <f>IF(ISBLANK('Data Entry'!$ú$223), "", 'Data Entry'!$ú$223)</f>
      </c>
      <c r="GE223">
        <f>IF(ISBLANK('Data Entry'!$û$223), "", 'Data Entry'!$û$223)</f>
      </c>
      <c r="GF223">
        <f>IF(ISBLANK('Data Entry'!$ü$223), "", 'Data Entry'!$ü$223)</f>
      </c>
      <c r="GG223">
        <f>IF(ISBLANK('Data Entry'!$ý$223), "", 'Data Entry'!$ý$223)</f>
      </c>
      <c r="GH223">
        <f>IF(ISBLANK('Data Entry'!$þ$223), "", 'Data Entry'!$þ$223)</f>
      </c>
      <c r="GI223">
        <f>IF(ISBLANK('Data Entry'!$ÿ$223), "", 'Data Entry'!$ÿ$223)</f>
      </c>
      <c r="GJ223">
        <f>IF(ISBLANK('Data Entry'!$Ā$223), "", 'Data Entry'!$Ā$223)</f>
      </c>
      <c r="GK223">
        <f>IF(ISBLANK('Data Entry'!$ā$223), "", 'Data Entry'!$ā$223)</f>
      </c>
      <c r="GL223">
        <f>IF(ISBLANK('Data Entry'!$Ă$223), "", 'Data Entry'!$Ă$223)</f>
      </c>
      <c r="GM223">
        <f>IF(ISBLANK('Data Entry'!$ă$223), "", 'Data Entry'!$ă$223)</f>
      </c>
      <c r="GN223">
        <f>IF(ISBLANK('Data Entry'!$Ą$223), "", 'Data Entry'!$Ą$223)</f>
      </c>
      <c r="GO223">
        <f>IF(ISBLANK('Data Entry'!$ą$223), "", 'Data Entry'!$ą$223)</f>
      </c>
      <c r="GP223">
        <f>IF(ISBLANK('Data Entry'!$Ć$223), "", 'Data Entry'!$Ć$223)</f>
      </c>
      <c r="GQ223">
        <f>IF(ISBLANK('Data Entry'!$ć$223), "", 'Data Entry'!$ć$223)</f>
      </c>
      <c r="GR223">
        <f>IF(ISBLANK('Data Entry'!$Ĉ$223), "", 'Data Entry'!$Ĉ$223)</f>
      </c>
      <c r="GS223">
        <f>IF(ISBLANK('Data Entry'!$ĉ$223), "", 'Data Entry'!$ĉ$223)</f>
      </c>
      <c r="GT223">
        <f>IF(ISBLANK('Data Entry'!$Ċ$223), "", 'Data Entry'!$Ċ$223)</f>
      </c>
      <c r="GU223">
        <f>IF(ISBLANK('Data Entry'!$ċ$223), "", 'Data Entry'!$ċ$223)</f>
      </c>
      <c r="GV223">
        <f>IF(ISBLANK('Data Entry'!$Č$223), "", 'Data Entry'!$Č$223)</f>
      </c>
      <c r="GW223">
        <f>IF(ISBLANK('Data Entry'!$č$223), "", 'Data Entry'!$č$223)</f>
      </c>
      <c r="GX223">
        <f>IF(ISBLANK('Data Entry'!$Ď$223), "", 'Data Entry'!$Ď$223)</f>
      </c>
      <c r="GY223">
        <f>IF(ISBLANK('Data Entry'!$ď$223), "", 'Data Entry'!$ď$223)</f>
      </c>
      <c r="GZ223">
        <f>IF(ISBLANK('Data Entry'!$Đ$223), "", 'Data Entry'!$Đ$223)</f>
      </c>
      <c r="HA223">
        <f>IF(ISBLANK('Data Entry'!$đ$223), "", 'Data Entry'!$đ$223)</f>
      </c>
      <c r="HB223">
        <f>IF(ISBLANK('Data Entry'!$Ē$223), "", 'Data Entry'!$Ē$223)</f>
      </c>
      <c r="HC223">
        <f>IF(ISBLANK('Data Entry'!$ē$223), "", 'Data Entry'!$ē$223)</f>
      </c>
      <c r="HD223">
        <f>IF(ISBLANK('Data Entry'!$Ĕ$223), "", 'Data Entry'!$Ĕ$223)</f>
      </c>
      <c r="HE223">
        <f>IF(ISBLANK('Data Entry'!$ĕ$223), "", 'Data Entry'!$ĕ$223)</f>
      </c>
      <c r="HF223">
        <f>IF(ISBLANK('Data Entry'!$Ė$223), "", 'Data Entry'!$Ė$223)</f>
      </c>
      <c r="HG223">
        <f>IF(ISBLANK('Data Entry'!$ė$223), "", 'Data Entry'!$ė$223)</f>
      </c>
      <c r="HH223">
        <f>IF(ISBLANK('Data Entry'!$Ę$223), "", 'Data Entry'!$Ę$223)</f>
      </c>
      <c r="HI223">
        <f>IF(ISBLANK('Data Entry'!$ę$223), "", 'Data Entry'!$ę$223)</f>
      </c>
      <c r="HJ223">
        <f>IF(ISBLANK('Data Entry'!$Ě$223), "", 'Data Entry'!$Ě$223)</f>
      </c>
      <c r="HK223">
        <f>IF(ISBLANK('Data Entry'!$ě$223), "", 'Data Entry'!$ě$223)</f>
      </c>
      <c r="HL223">
        <f>IF(ISBLANK('Data Entry'!$Ĝ$223), "", 'Data Entry'!$Ĝ$223)</f>
      </c>
      <c r="HM223">
        <f>IF(ISBLANK('Data Entry'!$ĝ$223), "", 'Data Entry'!$ĝ$223)</f>
      </c>
      <c r="HN223">
        <f>IF(ISBLANK('Data Entry'!$Ğ$223), "", 'Data Entry'!$Ğ$223)</f>
      </c>
      <c r="HO223">
        <f>IF(ISBLANK('Data Entry'!$ğ$223), "", 'Data Entry'!$ğ$223)</f>
      </c>
      <c r="HP223">
        <f>IF(ISBLANK('Data Entry'!$Ġ$223), "", 'Data Entry'!$Ġ$223)</f>
      </c>
      <c r="HQ223">
        <f>IF(ISBLANK('Data Entry'!$ġ$223), "", 'Data Entry'!$ġ$223)</f>
      </c>
      <c r="HR223">
        <f>IF(ISBLANK('Data Entry'!$Ģ$223), "", 'Data Entry'!$Ģ$223)</f>
      </c>
      <c r="HS223">
        <f>IF(ISBLANK('Data Entry'!$ģ$223), "", 'Data Entry'!$ģ$223)</f>
      </c>
      <c r="HT223">
        <f>IF(ISBLANK('Data Entry'!$Ĥ$223), "", 'Data Entry'!$Ĥ$223)</f>
      </c>
      <c r="HU223">
        <f>IF(ISBLANK('Data Entry'!$ĥ$223), "", 'Data Entry'!$ĥ$223)</f>
      </c>
      <c r="HV223">
        <f>IF(ISBLANK('Data Entry'!$Ħ$223), "", 'Data Entry'!$Ħ$223)</f>
      </c>
      <c r="HW223">
        <f>IF(ISBLANK('Data Entry'!$ħ$223), "", 'Data Entry'!$ħ$223)</f>
      </c>
      <c r="HX223">
        <f>IF(ISBLANK('Data Entry'!$Ĩ$223), "", 'Data Entry'!$Ĩ$223)</f>
      </c>
      <c r="HY223">
        <f>IF(ISBLANK('Data Entry'!$ĩ$223), "", 'Data Entry'!$ĩ$223)</f>
      </c>
      <c r="HZ223">
        <f>IF(ISBLANK('Data Entry'!$Ī$223), "", 'Data Entry'!$Ī$223)</f>
      </c>
      <c r="IA223">
        <f>IF(ISBLANK('Data Entry'!$ī$223), "", 'Data Entry'!$ī$223)</f>
      </c>
      <c r="IB223">
        <f>IF(ISBLANK('Data Entry'!$Ĭ$223), "", 'Data Entry'!$Ĭ$223)</f>
      </c>
      <c r="IC223">
        <f>IF(ISBLANK('Data Entry'!$ĭ$223), "", 'Data Entry'!$ĭ$223)</f>
      </c>
      <c r="ID223">
        <f>IF(ISBLANK('Data Entry'!$Į$223), "", 'Data Entry'!$Į$223)</f>
      </c>
      <c r="IE223">
        <f>IF(ISBLANK('Data Entry'!$į$223), "", 'Data Entry'!$į$223)</f>
      </c>
      <c r="IF223">
        <f>IF(ISBLANK('Data Entry'!$İ$223), "", 'Data Entry'!$İ$223)</f>
      </c>
      <c r="IG223">
        <f>IF(ISBLANK('Data Entry'!$ı$223), "", 'Data Entry'!$ı$223)</f>
      </c>
      <c r="IH223">
        <f>IF(ISBLANK('Data Entry'!$Ĳ$223), "", 'Data Entry'!$Ĳ$223)</f>
      </c>
      <c r="II223">
        <f>IF(ISBLANK('Data Entry'!$ĳ$223), "", 'Data Entry'!$ĳ$223)</f>
      </c>
      <c r="IJ223">
        <f>IF(ISBLANK('Data Entry'!$Ĵ$223), "", 'Data Entry'!$Ĵ$223)</f>
      </c>
      <c r="IK223">
        <f>IF(ISBLANK('Data Entry'!$ĵ$223), "", 'Data Entry'!$ĵ$223)</f>
      </c>
      <c r="IL223">
        <f>IF(ISBLANK('Data Entry'!$Ķ$223), "", 'Data Entry'!$Ķ$223)</f>
      </c>
      <c r="IM223">
        <f>IF(ISBLANK('Data Entry'!$ķ$223), "", 'Data Entry'!$ķ$223)</f>
      </c>
      <c r="IN223">
        <f>IF(ISBLANK('Data Entry'!$ĸ$223), "", 'Data Entry'!$ĸ$223)</f>
      </c>
      <c r="IO223">
        <f>IF(ISBLANK('Data Entry'!$Ĺ$223), "", 'Data Entry'!$Ĺ$223)</f>
      </c>
      <c r="IP223">
        <f>IF(ISBLANK('Data Entry'!$ĺ$223), "", 'Data Entry'!$ĺ$223)</f>
      </c>
      <c r="IQ223">
        <f>IF(ISBLANK('Data Entry'!$Ļ$223), "", 'Data Entry'!$Ļ$223)</f>
      </c>
      <c r="IR223">
        <f>IF(ISBLANK('Data Entry'!$ļ$223), "", 'Data Entry'!$ļ$223)</f>
      </c>
      <c r="IS223">
        <f>IF(ISBLANK('Data Entry'!$Ľ$223), "", 'Data Entry'!$Ľ$223)</f>
      </c>
      <c r="IT223">
        <f>IF(ISBLANK('Data Entry'!$ľ$223), "", 'Data Entry'!$ľ$223)</f>
      </c>
    </row>
    <row r="224" spans="1:254" x14ac:dyDescent="0.25">
      <c r="A224">
        <f>IF(ISBLANK('Data Entry'!$A$224), "", 'Data Entry'!$A$224)</f>
      </c>
      <c r="B224">
        <f>IF(ISBLANK('Data Entry'!$B$224), "", 'Data Entry'!$B$224)</f>
      </c>
      <c r="C224">
        <f>IF(ISBLANK('Data Entry'!$C$224), "", 'Data Entry'!$C$224)</f>
      </c>
      <c r="D224">
        <f>IF(ISBLANK('Data Entry'!$D$224), "", 'Data Entry'!$D$224)</f>
      </c>
      <c r="E224">
        <f>IF(ISBLANK('Data Entry'!$E$224), "", 'Data Entry'!$E$224)</f>
      </c>
      <c r="F224">
        <f>IF(ISBLANK('Data Entry'!$F$224), "", 'Data Entry'!$F$224)</f>
      </c>
      <c r="G224">
        <f>IF(ISBLANK('Data Entry'!$G$224), "", 'Data Entry'!$G$224)</f>
      </c>
      <c r="H224">
        <f>IF(ISBLANK('Data Entry'!$H$224), "", 'Data Entry'!$H$224)</f>
      </c>
      <c r="I224">
        <f>IF(ISBLANK('Data Entry'!$I$224), "", 'Data Entry'!$I$224)</f>
      </c>
      <c r="J224">
        <f>IF(ISBLANK('Data Entry'!$J$224), "", 'Data Entry'!$J$224)</f>
      </c>
      <c r="K224">
        <f>IF(ISBLANK('Data Entry'!$K$224), "", 'Data Entry'!$K$224)</f>
      </c>
      <c r="L224">
        <f>IF(ISBLANK('Data Entry'!$L$224), "", 'Data Entry'!$L$224)</f>
      </c>
      <c r="M224">
        <f>IF(ISBLANK('Data Entry'!$M$224), "", 'Data Entry'!$M$224)</f>
      </c>
      <c r="N224">
        <f>IF(ISBLANK('Data Entry'!$N$224), "", 'Data Entry'!$N$224)</f>
      </c>
      <c r="O224">
        <f>IF(ISBLANK('Data Entry'!$O$224), "", 'Data Entry'!$O$224)</f>
      </c>
      <c r="P224">
        <f>IF(ISBLANK('Data Entry'!$P$224), "", 'Data Entry'!$P$224)</f>
      </c>
      <c r="Q224">
        <f>IF(ISBLANK('Data Entry'!$Q$224), "", 'Data Entry'!$Q$224)</f>
      </c>
      <c r="R224">
        <f>IF(ISBLANK('Data Entry'!$R$224), "", 'Data Entry'!$R$224)</f>
      </c>
      <c r="S224">
        <f>IF(ISBLANK('Data Entry'!$S$224), "", 'Data Entry'!$S$224)</f>
      </c>
      <c r="T224">
        <f>IF(ISBLANK('Data Entry'!$T$224), "", 'Data Entry'!$T$224)</f>
      </c>
      <c r="U224">
        <f>IF(ISBLANK('Data Entry'!$U$224), "", 'Data Entry'!$U$224)</f>
      </c>
      <c r="V224">
        <f>IF(ISBLANK('Data Entry'!$V$224), "", 'Data Entry'!$V$224)</f>
      </c>
      <c r="W224">
        <f>IF(ISBLANK('Data Entry'!$W$224), "", 'Data Entry'!$W$224)</f>
      </c>
      <c r="X224">
        <f>IF(ISBLANK('Data Entry'!$X$224), "", 'Data Entry'!$X$224)</f>
      </c>
      <c r="Y224">
        <f>IF(ISBLANK('Data Entry'!$Y$224), "", 'Data Entry'!$Y$224)</f>
      </c>
      <c r="Z224">
        <f>IF(ISBLANK('Data Entry'!$Z$224), "", 'Data Entry'!$Z$224)</f>
      </c>
      <c r="AA224">
        <f>IF(ISBLANK('Data Entry'!$[$224), "", 'Data Entry'!$[$224)</f>
      </c>
      <c r="AB224">
        <f>IF(ISBLANK('Data Entry'!$\$224), "", 'Data Entry'!$\$224)</f>
      </c>
      <c r="AC224">
        <f>IF(ISBLANK('Data Entry'!$]$224), "", 'Data Entry'!$]$224)</f>
      </c>
      <c r="AD224">
        <f>IF(ISBLANK('Data Entry'!$^$224), "", 'Data Entry'!$^$224)</f>
      </c>
      <c r="AE224">
        <f>IF(ISBLANK('Data Entry'!$_$224), "", 'Data Entry'!$_$224)</f>
      </c>
      <c r="AF224">
        <f>IF(ISBLANK('Data Entry'!$`$224), "", 'Data Entry'!$`$224)</f>
      </c>
      <c r="AG224">
        <f>IF(ISBLANK('Data Entry'!$a$224), "", 'Data Entry'!$a$224)</f>
      </c>
      <c r="AH224">
        <f>IF(ISBLANK('Data Entry'!$b$224), "", 'Data Entry'!$b$224)</f>
      </c>
      <c r="AI224">
        <f>IF(ISBLANK('Data Entry'!$c$224), "", 'Data Entry'!$c$224)</f>
      </c>
      <c r="AJ224">
        <f>IF(ISBLANK('Data Entry'!$d$224), "", 'Data Entry'!$d$224)</f>
      </c>
      <c r="AK224">
        <f>IF(ISBLANK('Data Entry'!$e$224), "", 'Data Entry'!$e$224)</f>
      </c>
      <c r="AL224">
        <f>IF(ISBLANK('Data Entry'!$f$224), "", 'Data Entry'!$f$224)</f>
      </c>
      <c r="AM224">
        <f>IF(ISBLANK('Data Entry'!$g$224), "", 'Data Entry'!$g$224)</f>
      </c>
      <c r="AN224">
        <f>IF(ISBLANK('Data Entry'!$h$224), "", 'Data Entry'!$h$224)</f>
      </c>
      <c r="AO224">
        <f>IF(ISBLANK('Data Entry'!$i$224), "", 'Data Entry'!$i$224)</f>
      </c>
      <c r="AP224">
        <f>IF(ISBLANK('Data Entry'!$j$224), "", 'Data Entry'!$j$224)</f>
      </c>
      <c r="AQ224">
        <f>IF(ISBLANK('Data Entry'!$k$224), "", 'Data Entry'!$k$224)</f>
      </c>
      <c r="AR224">
        <f>IF(ISBLANK('Data Entry'!$l$224), "", 'Data Entry'!$l$224)</f>
      </c>
      <c r="AS224">
        <f>IF(ISBLANK('Data Entry'!$m$224), "", 'Data Entry'!$m$224)</f>
      </c>
      <c r="AT224">
        <f>IF(ISBLANK('Data Entry'!$n$224), "", 'Data Entry'!$n$224)</f>
      </c>
      <c r="AU224">
        <f>IF(ISBLANK('Data Entry'!$o$224), "", 'Data Entry'!$o$224)</f>
      </c>
      <c r="AV224">
        <f>IF(ISBLANK('Data Entry'!$p$224), "", 'Data Entry'!$p$224)</f>
      </c>
      <c r="AW224">
        <f>IF(ISBLANK('Data Entry'!$q$224), "", 'Data Entry'!$q$224)</f>
      </c>
      <c r="AX224">
        <f>IF(ISBLANK('Data Entry'!$r$224), "", 'Data Entry'!$r$224)</f>
      </c>
      <c r="AY224">
        <f>IF(ISBLANK('Data Entry'!$s$224), "", 'Data Entry'!$s$224)</f>
      </c>
      <c r="AZ224">
        <f>IF(ISBLANK('Data Entry'!$t$224), "", 'Data Entry'!$t$224)</f>
      </c>
      <c r="BA224">
        <f>IF(ISBLANK('Data Entry'!$u$224), "", 'Data Entry'!$u$224)</f>
      </c>
      <c r="BB224">
        <f>IF(ISBLANK('Data Entry'!$v$224), "", 'Data Entry'!$v$224)</f>
      </c>
      <c r="BC224">
        <f>IF(ISBLANK('Data Entry'!$w$224), "", 'Data Entry'!$w$224)</f>
      </c>
      <c r="BD224">
        <f>IF(ISBLANK('Data Entry'!$x$224), "", 'Data Entry'!$x$224)</f>
      </c>
      <c r="BE224">
        <f>IF(ISBLANK('Data Entry'!$y$224), "", 'Data Entry'!$y$224)</f>
      </c>
      <c r="BF224">
        <f>IF(ISBLANK('Data Entry'!$z$224), "", 'Data Entry'!$z$224)</f>
      </c>
      <c r="BG224">
        <f>IF(ISBLANK('Data Entry'!${$224), "", 'Data Entry'!${$224)</f>
      </c>
      <c r="BH224">
        <f>IF(ISBLANK('Data Entry'!$|$224), "", 'Data Entry'!$|$224)</f>
      </c>
      <c r="BI224">
        <f>IF(ISBLANK('Data Entry'!$}$224), "", 'Data Entry'!$}$224)</f>
      </c>
      <c r="BJ224">
        <f>IF(ISBLANK('Data Entry'!$~$224), "", 'Data Entry'!$~$224)</f>
      </c>
      <c r="BK224">
        <f>IF(ISBLANK('Data Entry'!$$224), "", 'Data Entry'!$$224)</f>
      </c>
      <c r="BL224">
        <f>IF(ISBLANK('Data Entry'!$$224), "", 'Data Entry'!$$224)</f>
      </c>
      <c r="BM224">
        <f>IF(ISBLANK('Data Entry'!$$224), "", 'Data Entry'!$$224)</f>
      </c>
      <c r="BN224">
        <f>IF(ISBLANK('Data Entry'!$$224), "", 'Data Entry'!$$224)</f>
      </c>
      <c r="BO224">
        <f>IF(ISBLANK('Data Entry'!$$224), "", 'Data Entry'!$$224)</f>
      </c>
      <c r="BP224">
        <f>IF(ISBLANK('Data Entry'!$$224), "", 'Data Entry'!$$224)</f>
      </c>
      <c r="BQ224">
        <f>IF(ISBLANK('Data Entry'!$$224), "", 'Data Entry'!$$224)</f>
      </c>
      <c r="BR224">
        <f>IF(ISBLANK('Data Entry'!$$224), "", 'Data Entry'!$$224)</f>
      </c>
      <c r="BS224">
        <f>IF(ISBLANK('Data Entry'!$$224), "", 'Data Entry'!$$224)</f>
      </c>
      <c r="BT224">
        <f>IF(ISBLANK('Data Entry'!$$224), "", 'Data Entry'!$$224)</f>
      </c>
      <c r="BU224">
        <f>IF(ISBLANK('Data Entry'!$$224), "", 'Data Entry'!$$224)</f>
      </c>
      <c r="BV224">
        <f>IF(ISBLANK('Data Entry'!$$224), "", 'Data Entry'!$$224)</f>
      </c>
      <c r="BW224">
        <f>IF(ISBLANK('Data Entry'!$$224), "", 'Data Entry'!$$224)</f>
      </c>
      <c r="BX224">
        <f>IF(ISBLANK('Data Entry'!$$224), "", 'Data Entry'!$$224)</f>
      </c>
      <c r="BY224">
        <f>IF(ISBLANK('Data Entry'!$$224), "", 'Data Entry'!$$224)</f>
      </c>
      <c r="BZ224">
        <f>IF(ISBLANK('Data Entry'!$$224), "", 'Data Entry'!$$224)</f>
      </c>
      <c r="CA224">
        <f>IF(ISBLANK('Data Entry'!$$224), "", 'Data Entry'!$$224)</f>
      </c>
      <c r="CB224">
        <f>IF(ISBLANK('Data Entry'!$$224), "", 'Data Entry'!$$224)</f>
      </c>
      <c r="CC224">
        <f>IF(ISBLANK('Data Entry'!$$224), "", 'Data Entry'!$$224)</f>
      </c>
      <c r="CD224">
        <f>IF(ISBLANK('Data Entry'!$$224), "", 'Data Entry'!$$224)</f>
      </c>
      <c r="CE224">
        <f>IF(ISBLANK('Data Entry'!$$224), "", 'Data Entry'!$$224)</f>
      </c>
      <c r="CF224">
        <f>IF(ISBLANK('Data Entry'!$$224), "", 'Data Entry'!$$224)</f>
      </c>
      <c r="CG224">
        <f>IF(ISBLANK('Data Entry'!$$224), "", 'Data Entry'!$$224)</f>
      </c>
      <c r="CH224">
        <f>IF(ISBLANK('Data Entry'!$$224), "", 'Data Entry'!$$224)</f>
      </c>
      <c r="CI224">
        <f>IF(ISBLANK('Data Entry'!$$224), "", 'Data Entry'!$$224)</f>
      </c>
      <c r="CJ224">
        <f>IF(ISBLANK('Data Entry'!$$224), "", 'Data Entry'!$$224)</f>
      </c>
      <c r="CK224">
        <f>IF(ISBLANK('Data Entry'!$$224), "", 'Data Entry'!$$224)</f>
      </c>
      <c r="CL224">
        <f>IF(ISBLANK('Data Entry'!$$224), "", 'Data Entry'!$$224)</f>
      </c>
      <c r="CM224">
        <f>IF(ISBLANK('Data Entry'!$$224), "", 'Data Entry'!$$224)</f>
      </c>
      <c r="CN224">
        <f>IF(ISBLANK('Data Entry'!$$224), "", 'Data Entry'!$$224)</f>
      </c>
      <c r="CO224">
        <f>IF(ISBLANK('Data Entry'!$$224), "", 'Data Entry'!$$224)</f>
      </c>
      <c r="CP224">
        <f>IF(ISBLANK('Data Entry'!$$224), "", 'Data Entry'!$$224)</f>
      </c>
      <c r="CQ224">
        <f>IF(ISBLANK('Data Entry'!$$224), "", 'Data Entry'!$$224)</f>
      </c>
      <c r="CR224">
        <f>IF(ISBLANK('Data Entry'!$ $224), "", 'Data Entry'!$ $224)</f>
      </c>
      <c r="CS224">
        <f>IF(ISBLANK('Data Entry'!$¡$224), "", 'Data Entry'!$¡$224)</f>
      </c>
      <c r="CT224">
        <f>IF(ISBLANK('Data Entry'!$¢$224), "", 'Data Entry'!$¢$224)</f>
      </c>
      <c r="CU224">
        <f>IF(ISBLANK('Data Entry'!$£$224), "", 'Data Entry'!$£$224)</f>
      </c>
      <c r="CV224">
        <f>IF(ISBLANK('Data Entry'!$¤$224), "", 'Data Entry'!$¤$224)</f>
      </c>
      <c r="CW224">
        <f>IF(ISBLANK('Data Entry'!$¥$224), "", 'Data Entry'!$¥$224)</f>
      </c>
      <c r="CX224">
        <f>IF(ISBLANK('Data Entry'!$¦$224), "", 'Data Entry'!$¦$224)</f>
      </c>
      <c r="CY224">
        <f>IF(ISBLANK('Data Entry'!$§$224), "", 'Data Entry'!$§$224)</f>
      </c>
      <c r="CZ224">
        <f>IF(ISBLANK('Data Entry'!$¨$224), "", 'Data Entry'!$¨$224)</f>
      </c>
      <c r="DA224">
        <f>IF(ISBLANK('Data Entry'!$©$224), "", 'Data Entry'!$©$224)</f>
      </c>
      <c r="DB224">
        <f>IF(ISBLANK('Data Entry'!$ª$224), "", 'Data Entry'!$ª$224)</f>
      </c>
      <c r="DC224">
        <f>IF(ISBLANK('Data Entry'!$«$224), "", 'Data Entry'!$«$224)</f>
      </c>
      <c r="DD224">
        <f>IF(ISBLANK('Data Entry'!$¬$224), "", 'Data Entry'!$¬$224)</f>
      </c>
      <c r="DE224">
        <f>IF(ISBLANK('Data Entry'!$­$224), "", 'Data Entry'!$­$224)</f>
      </c>
      <c r="DF224">
        <f>IF(ISBLANK('Data Entry'!$®$224), "", 'Data Entry'!$®$224)</f>
      </c>
      <c r="DG224">
        <f>IF(ISBLANK('Data Entry'!$¯$224), "", 'Data Entry'!$¯$224)</f>
      </c>
      <c r="DH224">
        <f>IF(ISBLANK('Data Entry'!$°$224), "", 'Data Entry'!$°$224)</f>
      </c>
      <c r="DI224">
        <f>IF(ISBLANK('Data Entry'!$±$224), "", 'Data Entry'!$±$224)</f>
      </c>
      <c r="DJ224">
        <f>IF(ISBLANK('Data Entry'!$²$224), "", 'Data Entry'!$²$224)</f>
      </c>
      <c r="DK224">
        <f>IF(ISBLANK('Data Entry'!$³$224), "", 'Data Entry'!$³$224)</f>
      </c>
      <c r="DL224">
        <f>IF(ISBLANK('Data Entry'!$´$224), "", 'Data Entry'!$´$224)</f>
      </c>
      <c r="DM224">
        <f>IF(ISBLANK('Data Entry'!$µ$224), "", 'Data Entry'!$µ$224)</f>
      </c>
      <c r="DN224">
        <f>IF(ISBLANK('Data Entry'!$¶$224), "", 'Data Entry'!$¶$224)</f>
      </c>
      <c r="DO224">
        <f>IF(ISBLANK('Data Entry'!$·$224), "", 'Data Entry'!$·$224)</f>
      </c>
      <c r="DP224">
        <f>IF(ISBLANK('Data Entry'!$¸$224), "", 'Data Entry'!$¸$224)</f>
      </c>
      <c r="DQ224">
        <f>IF(ISBLANK('Data Entry'!$¹$224), "", 'Data Entry'!$¹$224)</f>
      </c>
      <c r="DR224">
        <f>IF(ISBLANK('Data Entry'!$º$224), "", 'Data Entry'!$º$224)</f>
      </c>
      <c r="DS224">
        <f>IF(ISBLANK('Data Entry'!$»$224), "", 'Data Entry'!$»$224)</f>
      </c>
      <c r="DT224">
        <f>IF(ISBLANK('Data Entry'!$¼$224), "", 'Data Entry'!$¼$224)</f>
      </c>
      <c r="DU224">
        <f>IF(ISBLANK('Data Entry'!$½$224), "", 'Data Entry'!$½$224)</f>
      </c>
      <c r="DV224">
        <f>IF(ISBLANK('Data Entry'!$¾$224), "", 'Data Entry'!$¾$224)</f>
      </c>
      <c r="DW224">
        <f>IF(ISBLANK('Data Entry'!$¿$224), "", 'Data Entry'!$¿$224)</f>
      </c>
      <c r="DX224">
        <f>IF(ISBLANK('Data Entry'!$À$224), "", 'Data Entry'!$À$224)</f>
      </c>
      <c r="DY224">
        <f>IF(ISBLANK('Data Entry'!$Á$224), "", 'Data Entry'!$Á$224)</f>
      </c>
      <c r="DZ224">
        <f>IF(ISBLANK('Data Entry'!$Â$224), "", 'Data Entry'!$Â$224)</f>
      </c>
      <c r="EA224">
        <f>IF(ISBLANK('Data Entry'!$Ã$224), "", 'Data Entry'!$Ã$224)</f>
      </c>
      <c r="EB224">
        <f>IF(ISBLANK('Data Entry'!$Ä$224), "", 'Data Entry'!$Ä$224)</f>
      </c>
      <c r="EC224">
        <f>IF(ISBLANK('Data Entry'!$Å$224), "", 'Data Entry'!$Å$224)</f>
      </c>
      <c r="ED224">
        <f>IF(ISBLANK('Data Entry'!$Æ$224), "", 'Data Entry'!$Æ$224)</f>
      </c>
      <c r="EE224">
        <f>IF(ISBLANK('Data Entry'!$Ç$224), "", 'Data Entry'!$Ç$224)</f>
      </c>
      <c r="EF224">
        <f>IF(ISBLANK('Data Entry'!$È$224), "", 'Data Entry'!$È$224)</f>
      </c>
      <c r="EG224">
        <f>IF(ISBLANK('Data Entry'!$É$224), "", 'Data Entry'!$É$224)</f>
      </c>
      <c r="EH224">
        <f>IF(ISBLANK('Data Entry'!$Ê$224), "", 'Data Entry'!$Ê$224)</f>
      </c>
      <c r="EI224">
        <f>IF(ISBLANK('Data Entry'!$Ë$224), "", 'Data Entry'!$Ë$224)</f>
      </c>
      <c r="EJ224">
        <f>IF(ISBLANK('Data Entry'!$Ì$224), "", 'Data Entry'!$Ì$224)</f>
      </c>
      <c r="EK224">
        <f>IF(ISBLANK('Data Entry'!$Í$224), "", 'Data Entry'!$Í$224)</f>
      </c>
      <c r="EL224">
        <f>IF(ISBLANK('Data Entry'!$Î$224), "", 'Data Entry'!$Î$224)</f>
      </c>
      <c r="EM224">
        <f>IF(ISBLANK('Data Entry'!$Ï$224), "", 'Data Entry'!$Ï$224)</f>
      </c>
      <c r="EN224">
        <f>IF(ISBLANK('Data Entry'!$Ð$224), "", 'Data Entry'!$Ð$224)</f>
      </c>
      <c r="EO224">
        <f>IF(ISBLANK('Data Entry'!$Ñ$224), "", 'Data Entry'!$Ñ$224)</f>
      </c>
      <c r="EP224">
        <f>IF(ISBLANK('Data Entry'!$Ò$224), "", 'Data Entry'!$Ò$224)</f>
      </c>
      <c r="EQ224">
        <f>IF(ISBLANK('Data Entry'!$Ó$224), "", 'Data Entry'!$Ó$224)</f>
      </c>
      <c r="ER224">
        <f>IF(ISBLANK('Data Entry'!$Ô$224), "", 'Data Entry'!$Ô$224)</f>
      </c>
      <c r="ES224">
        <f>IF(ISBLANK('Data Entry'!$Õ$224), "", 'Data Entry'!$Õ$224)</f>
      </c>
      <c r="ET224">
        <f>IF(ISBLANK('Data Entry'!$Ö$224), "", 'Data Entry'!$Ö$224)</f>
      </c>
      <c r="EU224">
        <f>IF(ISBLANK('Data Entry'!$×$224), "", 'Data Entry'!$×$224)</f>
      </c>
      <c r="EV224">
        <f>IF(ISBLANK('Data Entry'!$Ø$224), "", 'Data Entry'!$Ø$224)</f>
      </c>
      <c r="EW224">
        <f>IF(ISBLANK('Data Entry'!$Ù$224), "", 'Data Entry'!$Ù$224)</f>
      </c>
      <c r="EX224">
        <f>IF(ISBLANK('Data Entry'!$Ú$224), "", 'Data Entry'!$Ú$224)</f>
      </c>
      <c r="EY224">
        <f>IF(ISBLANK('Data Entry'!$Û$224), "", 'Data Entry'!$Û$224)</f>
      </c>
      <c r="EZ224">
        <f>IF(ISBLANK('Data Entry'!$Ü$224), "", 'Data Entry'!$Ü$224)</f>
      </c>
      <c r="FA224">
        <f>IF(ISBLANK('Data Entry'!$Ý$224), "", 'Data Entry'!$Ý$224)</f>
      </c>
      <c r="FB224">
        <f>IF(ISBLANK('Data Entry'!$Þ$224), "", 'Data Entry'!$Þ$224)</f>
      </c>
      <c r="FC224">
        <f>IF(ISBLANK('Data Entry'!$ß$224), "", 'Data Entry'!$ß$224)</f>
      </c>
      <c r="FD224">
        <f>IF(ISBLANK('Data Entry'!$à$224), "", 'Data Entry'!$à$224)</f>
      </c>
      <c r="FE224">
        <f>IF(ISBLANK('Data Entry'!$á$224), "", 'Data Entry'!$á$224)</f>
      </c>
      <c r="FF224">
        <f>IF(ISBLANK('Data Entry'!$â$224), "", 'Data Entry'!$â$224)</f>
      </c>
      <c r="FG224">
        <f>IF(ISBLANK('Data Entry'!$ã$224), "", 'Data Entry'!$ã$224)</f>
      </c>
      <c r="FH224">
        <f>IF(ISBLANK('Data Entry'!$ä$224), "", 'Data Entry'!$ä$224)</f>
      </c>
      <c r="FI224">
        <f>IF(ISBLANK('Data Entry'!$å$224), "", 'Data Entry'!$å$224)</f>
      </c>
      <c r="FJ224">
        <f>IF(ISBLANK('Data Entry'!$æ$224), "", 'Data Entry'!$æ$224)</f>
      </c>
      <c r="FK224">
        <f>IF(ISBLANK('Data Entry'!$ç$224), "", 'Data Entry'!$ç$224)</f>
      </c>
      <c r="FL224">
        <f>IF(ISBLANK('Data Entry'!$è$224), "", 'Data Entry'!$è$224)</f>
      </c>
      <c r="FM224">
        <f>IF(ISBLANK('Data Entry'!$é$224), "", 'Data Entry'!$é$224)</f>
      </c>
      <c r="FN224">
        <f>IF(ISBLANK('Data Entry'!$ê$224), "", 'Data Entry'!$ê$224)</f>
      </c>
      <c r="FO224">
        <f>IF(ISBLANK('Data Entry'!$ë$224), "", 'Data Entry'!$ë$224)</f>
      </c>
      <c r="FP224">
        <f>IF(ISBLANK('Data Entry'!$ì$224), "", 'Data Entry'!$ì$224)</f>
      </c>
      <c r="FQ224">
        <f>IF(ISBLANK('Data Entry'!$í$224), "", 'Data Entry'!$í$224)</f>
      </c>
      <c r="FR224">
        <f>IF(ISBLANK('Data Entry'!$î$224), "", 'Data Entry'!$î$224)</f>
      </c>
      <c r="FS224">
        <f>IF(ISBLANK('Data Entry'!$ï$224), "", 'Data Entry'!$ï$224)</f>
      </c>
      <c r="FT224">
        <f>IF(ISBLANK('Data Entry'!$ð$224), "", 'Data Entry'!$ð$224)</f>
      </c>
      <c r="FU224">
        <f>IF(ISBLANK('Data Entry'!$ñ$224), "", 'Data Entry'!$ñ$224)</f>
      </c>
      <c r="FV224">
        <f>IF(ISBLANK('Data Entry'!$ò$224), "", 'Data Entry'!$ò$224)</f>
      </c>
      <c r="FW224">
        <f>IF(ISBLANK('Data Entry'!$ó$224), "", 'Data Entry'!$ó$224)</f>
      </c>
      <c r="FX224">
        <f>IF(ISBLANK('Data Entry'!$ô$224), "", 'Data Entry'!$ô$224)</f>
      </c>
      <c r="FY224">
        <f>IF(ISBLANK('Data Entry'!$õ$224), "", 'Data Entry'!$õ$224)</f>
      </c>
      <c r="FZ224">
        <f>IF(ISBLANK('Data Entry'!$ö$224), "", 'Data Entry'!$ö$224)</f>
      </c>
      <c r="GA224">
        <f>IF(ISBLANK('Data Entry'!$÷$224), "", 'Data Entry'!$÷$224)</f>
      </c>
      <c r="GB224">
        <f>IF(ISBLANK('Data Entry'!$ø$224), "", 'Data Entry'!$ø$224)</f>
      </c>
      <c r="GC224">
        <f>IF(ISBLANK('Data Entry'!$ù$224), "", 'Data Entry'!$ù$224)</f>
      </c>
      <c r="GD224">
        <f>IF(ISBLANK('Data Entry'!$ú$224), "", 'Data Entry'!$ú$224)</f>
      </c>
      <c r="GE224">
        <f>IF(ISBLANK('Data Entry'!$û$224), "", 'Data Entry'!$û$224)</f>
      </c>
      <c r="GF224">
        <f>IF(ISBLANK('Data Entry'!$ü$224), "", 'Data Entry'!$ü$224)</f>
      </c>
      <c r="GG224">
        <f>IF(ISBLANK('Data Entry'!$ý$224), "", 'Data Entry'!$ý$224)</f>
      </c>
      <c r="GH224">
        <f>IF(ISBLANK('Data Entry'!$þ$224), "", 'Data Entry'!$þ$224)</f>
      </c>
      <c r="GI224">
        <f>IF(ISBLANK('Data Entry'!$ÿ$224), "", 'Data Entry'!$ÿ$224)</f>
      </c>
      <c r="GJ224">
        <f>IF(ISBLANK('Data Entry'!$Ā$224), "", 'Data Entry'!$Ā$224)</f>
      </c>
      <c r="GK224">
        <f>IF(ISBLANK('Data Entry'!$ā$224), "", 'Data Entry'!$ā$224)</f>
      </c>
      <c r="GL224">
        <f>IF(ISBLANK('Data Entry'!$Ă$224), "", 'Data Entry'!$Ă$224)</f>
      </c>
      <c r="GM224">
        <f>IF(ISBLANK('Data Entry'!$ă$224), "", 'Data Entry'!$ă$224)</f>
      </c>
      <c r="GN224">
        <f>IF(ISBLANK('Data Entry'!$Ą$224), "", 'Data Entry'!$Ą$224)</f>
      </c>
      <c r="GO224">
        <f>IF(ISBLANK('Data Entry'!$ą$224), "", 'Data Entry'!$ą$224)</f>
      </c>
      <c r="GP224">
        <f>IF(ISBLANK('Data Entry'!$Ć$224), "", 'Data Entry'!$Ć$224)</f>
      </c>
      <c r="GQ224">
        <f>IF(ISBLANK('Data Entry'!$ć$224), "", 'Data Entry'!$ć$224)</f>
      </c>
      <c r="GR224">
        <f>IF(ISBLANK('Data Entry'!$Ĉ$224), "", 'Data Entry'!$Ĉ$224)</f>
      </c>
      <c r="GS224">
        <f>IF(ISBLANK('Data Entry'!$ĉ$224), "", 'Data Entry'!$ĉ$224)</f>
      </c>
      <c r="GT224">
        <f>IF(ISBLANK('Data Entry'!$Ċ$224), "", 'Data Entry'!$Ċ$224)</f>
      </c>
      <c r="GU224">
        <f>IF(ISBLANK('Data Entry'!$ċ$224), "", 'Data Entry'!$ċ$224)</f>
      </c>
      <c r="GV224">
        <f>IF(ISBLANK('Data Entry'!$Č$224), "", 'Data Entry'!$Č$224)</f>
      </c>
      <c r="GW224">
        <f>IF(ISBLANK('Data Entry'!$č$224), "", 'Data Entry'!$č$224)</f>
      </c>
      <c r="GX224">
        <f>IF(ISBLANK('Data Entry'!$Ď$224), "", 'Data Entry'!$Ď$224)</f>
      </c>
      <c r="GY224">
        <f>IF(ISBLANK('Data Entry'!$ď$224), "", 'Data Entry'!$ď$224)</f>
      </c>
      <c r="GZ224">
        <f>IF(ISBLANK('Data Entry'!$Đ$224), "", 'Data Entry'!$Đ$224)</f>
      </c>
      <c r="HA224">
        <f>IF(ISBLANK('Data Entry'!$đ$224), "", 'Data Entry'!$đ$224)</f>
      </c>
      <c r="HB224">
        <f>IF(ISBLANK('Data Entry'!$Ē$224), "", 'Data Entry'!$Ē$224)</f>
      </c>
      <c r="HC224">
        <f>IF(ISBLANK('Data Entry'!$ē$224), "", 'Data Entry'!$ē$224)</f>
      </c>
      <c r="HD224">
        <f>IF(ISBLANK('Data Entry'!$Ĕ$224), "", 'Data Entry'!$Ĕ$224)</f>
      </c>
      <c r="HE224">
        <f>IF(ISBLANK('Data Entry'!$ĕ$224), "", 'Data Entry'!$ĕ$224)</f>
      </c>
      <c r="HF224">
        <f>IF(ISBLANK('Data Entry'!$Ė$224), "", 'Data Entry'!$Ė$224)</f>
      </c>
      <c r="HG224">
        <f>IF(ISBLANK('Data Entry'!$ė$224), "", 'Data Entry'!$ė$224)</f>
      </c>
      <c r="HH224">
        <f>IF(ISBLANK('Data Entry'!$Ę$224), "", 'Data Entry'!$Ę$224)</f>
      </c>
      <c r="HI224">
        <f>IF(ISBLANK('Data Entry'!$ę$224), "", 'Data Entry'!$ę$224)</f>
      </c>
      <c r="HJ224">
        <f>IF(ISBLANK('Data Entry'!$Ě$224), "", 'Data Entry'!$Ě$224)</f>
      </c>
      <c r="HK224">
        <f>IF(ISBLANK('Data Entry'!$ě$224), "", 'Data Entry'!$ě$224)</f>
      </c>
      <c r="HL224">
        <f>IF(ISBLANK('Data Entry'!$Ĝ$224), "", 'Data Entry'!$Ĝ$224)</f>
      </c>
      <c r="HM224">
        <f>IF(ISBLANK('Data Entry'!$ĝ$224), "", 'Data Entry'!$ĝ$224)</f>
      </c>
      <c r="HN224">
        <f>IF(ISBLANK('Data Entry'!$Ğ$224), "", 'Data Entry'!$Ğ$224)</f>
      </c>
      <c r="HO224">
        <f>IF(ISBLANK('Data Entry'!$ğ$224), "", 'Data Entry'!$ğ$224)</f>
      </c>
      <c r="HP224">
        <f>IF(ISBLANK('Data Entry'!$Ġ$224), "", 'Data Entry'!$Ġ$224)</f>
      </c>
      <c r="HQ224">
        <f>IF(ISBLANK('Data Entry'!$ġ$224), "", 'Data Entry'!$ġ$224)</f>
      </c>
      <c r="HR224">
        <f>IF(ISBLANK('Data Entry'!$Ģ$224), "", 'Data Entry'!$Ģ$224)</f>
      </c>
      <c r="HS224">
        <f>IF(ISBLANK('Data Entry'!$ģ$224), "", 'Data Entry'!$ģ$224)</f>
      </c>
      <c r="HT224">
        <f>IF(ISBLANK('Data Entry'!$Ĥ$224), "", 'Data Entry'!$Ĥ$224)</f>
      </c>
      <c r="HU224">
        <f>IF(ISBLANK('Data Entry'!$ĥ$224), "", 'Data Entry'!$ĥ$224)</f>
      </c>
      <c r="HV224">
        <f>IF(ISBLANK('Data Entry'!$Ħ$224), "", 'Data Entry'!$Ħ$224)</f>
      </c>
      <c r="HW224">
        <f>IF(ISBLANK('Data Entry'!$ħ$224), "", 'Data Entry'!$ħ$224)</f>
      </c>
      <c r="HX224">
        <f>IF(ISBLANK('Data Entry'!$Ĩ$224), "", 'Data Entry'!$Ĩ$224)</f>
      </c>
      <c r="HY224">
        <f>IF(ISBLANK('Data Entry'!$ĩ$224), "", 'Data Entry'!$ĩ$224)</f>
      </c>
      <c r="HZ224">
        <f>IF(ISBLANK('Data Entry'!$Ī$224), "", 'Data Entry'!$Ī$224)</f>
      </c>
      <c r="IA224">
        <f>IF(ISBLANK('Data Entry'!$ī$224), "", 'Data Entry'!$ī$224)</f>
      </c>
      <c r="IB224">
        <f>IF(ISBLANK('Data Entry'!$Ĭ$224), "", 'Data Entry'!$Ĭ$224)</f>
      </c>
      <c r="IC224">
        <f>IF(ISBLANK('Data Entry'!$ĭ$224), "", 'Data Entry'!$ĭ$224)</f>
      </c>
      <c r="ID224">
        <f>IF(ISBLANK('Data Entry'!$Į$224), "", 'Data Entry'!$Į$224)</f>
      </c>
      <c r="IE224">
        <f>IF(ISBLANK('Data Entry'!$į$224), "", 'Data Entry'!$į$224)</f>
      </c>
      <c r="IF224">
        <f>IF(ISBLANK('Data Entry'!$İ$224), "", 'Data Entry'!$İ$224)</f>
      </c>
      <c r="IG224">
        <f>IF(ISBLANK('Data Entry'!$ı$224), "", 'Data Entry'!$ı$224)</f>
      </c>
      <c r="IH224">
        <f>IF(ISBLANK('Data Entry'!$Ĳ$224), "", 'Data Entry'!$Ĳ$224)</f>
      </c>
      <c r="II224">
        <f>IF(ISBLANK('Data Entry'!$ĳ$224), "", 'Data Entry'!$ĳ$224)</f>
      </c>
      <c r="IJ224">
        <f>IF(ISBLANK('Data Entry'!$Ĵ$224), "", 'Data Entry'!$Ĵ$224)</f>
      </c>
      <c r="IK224">
        <f>IF(ISBLANK('Data Entry'!$ĵ$224), "", 'Data Entry'!$ĵ$224)</f>
      </c>
      <c r="IL224">
        <f>IF(ISBLANK('Data Entry'!$Ķ$224), "", 'Data Entry'!$Ķ$224)</f>
      </c>
      <c r="IM224">
        <f>IF(ISBLANK('Data Entry'!$ķ$224), "", 'Data Entry'!$ķ$224)</f>
      </c>
      <c r="IN224">
        <f>IF(ISBLANK('Data Entry'!$ĸ$224), "", 'Data Entry'!$ĸ$224)</f>
      </c>
      <c r="IO224">
        <f>IF(ISBLANK('Data Entry'!$Ĺ$224), "", 'Data Entry'!$Ĺ$224)</f>
      </c>
      <c r="IP224">
        <f>IF(ISBLANK('Data Entry'!$ĺ$224), "", 'Data Entry'!$ĺ$224)</f>
      </c>
      <c r="IQ224">
        <f>IF(ISBLANK('Data Entry'!$Ļ$224), "", 'Data Entry'!$Ļ$224)</f>
      </c>
      <c r="IR224">
        <f>IF(ISBLANK('Data Entry'!$ļ$224), "", 'Data Entry'!$ļ$224)</f>
      </c>
      <c r="IS224">
        <f>IF(ISBLANK('Data Entry'!$Ľ$224), "", 'Data Entry'!$Ľ$224)</f>
      </c>
      <c r="IT224">
        <f>IF(ISBLANK('Data Entry'!$ľ$224), "", 'Data Entry'!$ľ$224)</f>
      </c>
    </row>
    <row r="225" spans="1:254" x14ac:dyDescent="0.25">
      <c r="A225">
        <f>IF(ISBLANK('Data Entry'!$A$225), "", 'Data Entry'!$A$225)</f>
      </c>
      <c r="B225">
        <f>IF(ISBLANK('Data Entry'!$B$225), "", 'Data Entry'!$B$225)</f>
      </c>
      <c r="C225">
        <f>IF(ISBLANK('Data Entry'!$C$225), "", 'Data Entry'!$C$225)</f>
      </c>
      <c r="D225">
        <f>IF(ISBLANK('Data Entry'!$D$225), "", 'Data Entry'!$D$225)</f>
      </c>
      <c r="E225">
        <f>IF(ISBLANK('Data Entry'!$E$225), "", 'Data Entry'!$E$225)</f>
      </c>
      <c r="F225">
        <f>IF(ISBLANK('Data Entry'!$F$225), "", 'Data Entry'!$F$225)</f>
      </c>
      <c r="G225">
        <f>IF(ISBLANK('Data Entry'!$G$225), "", 'Data Entry'!$G$225)</f>
      </c>
      <c r="H225">
        <f>IF(ISBLANK('Data Entry'!$H$225), "", 'Data Entry'!$H$225)</f>
      </c>
      <c r="I225">
        <f>IF(ISBLANK('Data Entry'!$I$225), "", 'Data Entry'!$I$225)</f>
      </c>
      <c r="J225">
        <f>IF(ISBLANK('Data Entry'!$J$225), "", 'Data Entry'!$J$225)</f>
      </c>
      <c r="K225">
        <f>IF(ISBLANK('Data Entry'!$K$225), "", 'Data Entry'!$K$225)</f>
      </c>
      <c r="L225">
        <f>IF(ISBLANK('Data Entry'!$L$225), "", 'Data Entry'!$L$225)</f>
      </c>
      <c r="M225">
        <f>IF(ISBLANK('Data Entry'!$M$225), "", 'Data Entry'!$M$225)</f>
      </c>
      <c r="N225">
        <f>IF(ISBLANK('Data Entry'!$N$225), "", 'Data Entry'!$N$225)</f>
      </c>
      <c r="O225">
        <f>IF(ISBLANK('Data Entry'!$O$225), "", 'Data Entry'!$O$225)</f>
      </c>
      <c r="P225">
        <f>IF(ISBLANK('Data Entry'!$P$225), "", 'Data Entry'!$P$225)</f>
      </c>
      <c r="Q225">
        <f>IF(ISBLANK('Data Entry'!$Q$225), "", 'Data Entry'!$Q$225)</f>
      </c>
      <c r="R225">
        <f>IF(ISBLANK('Data Entry'!$R$225), "", 'Data Entry'!$R$225)</f>
      </c>
      <c r="S225">
        <f>IF(ISBLANK('Data Entry'!$S$225), "", 'Data Entry'!$S$225)</f>
      </c>
      <c r="T225">
        <f>IF(ISBLANK('Data Entry'!$T$225), "", 'Data Entry'!$T$225)</f>
      </c>
      <c r="U225">
        <f>IF(ISBLANK('Data Entry'!$U$225), "", 'Data Entry'!$U$225)</f>
      </c>
      <c r="V225">
        <f>IF(ISBLANK('Data Entry'!$V$225), "", 'Data Entry'!$V$225)</f>
      </c>
      <c r="W225">
        <f>IF(ISBLANK('Data Entry'!$W$225), "", 'Data Entry'!$W$225)</f>
      </c>
      <c r="X225">
        <f>IF(ISBLANK('Data Entry'!$X$225), "", 'Data Entry'!$X$225)</f>
      </c>
      <c r="Y225">
        <f>IF(ISBLANK('Data Entry'!$Y$225), "", 'Data Entry'!$Y$225)</f>
      </c>
      <c r="Z225">
        <f>IF(ISBLANK('Data Entry'!$Z$225), "", 'Data Entry'!$Z$225)</f>
      </c>
      <c r="AA225">
        <f>IF(ISBLANK('Data Entry'!$[$225), "", 'Data Entry'!$[$225)</f>
      </c>
      <c r="AB225">
        <f>IF(ISBLANK('Data Entry'!$\$225), "", 'Data Entry'!$\$225)</f>
      </c>
      <c r="AC225">
        <f>IF(ISBLANK('Data Entry'!$]$225), "", 'Data Entry'!$]$225)</f>
      </c>
      <c r="AD225">
        <f>IF(ISBLANK('Data Entry'!$^$225), "", 'Data Entry'!$^$225)</f>
      </c>
      <c r="AE225">
        <f>IF(ISBLANK('Data Entry'!$_$225), "", 'Data Entry'!$_$225)</f>
      </c>
      <c r="AF225">
        <f>IF(ISBLANK('Data Entry'!$`$225), "", 'Data Entry'!$`$225)</f>
      </c>
      <c r="AG225">
        <f>IF(ISBLANK('Data Entry'!$a$225), "", 'Data Entry'!$a$225)</f>
      </c>
      <c r="AH225">
        <f>IF(ISBLANK('Data Entry'!$b$225), "", 'Data Entry'!$b$225)</f>
      </c>
      <c r="AI225">
        <f>IF(ISBLANK('Data Entry'!$c$225), "", 'Data Entry'!$c$225)</f>
      </c>
      <c r="AJ225">
        <f>IF(ISBLANK('Data Entry'!$d$225), "", 'Data Entry'!$d$225)</f>
      </c>
      <c r="AK225">
        <f>IF(ISBLANK('Data Entry'!$e$225), "", 'Data Entry'!$e$225)</f>
      </c>
      <c r="AL225">
        <f>IF(ISBLANK('Data Entry'!$f$225), "", 'Data Entry'!$f$225)</f>
      </c>
      <c r="AM225">
        <f>IF(ISBLANK('Data Entry'!$g$225), "", 'Data Entry'!$g$225)</f>
      </c>
      <c r="AN225">
        <f>IF(ISBLANK('Data Entry'!$h$225), "", 'Data Entry'!$h$225)</f>
      </c>
      <c r="AO225">
        <f>IF(ISBLANK('Data Entry'!$i$225), "", 'Data Entry'!$i$225)</f>
      </c>
      <c r="AP225">
        <f>IF(ISBLANK('Data Entry'!$j$225), "", 'Data Entry'!$j$225)</f>
      </c>
      <c r="AQ225">
        <f>IF(ISBLANK('Data Entry'!$k$225), "", 'Data Entry'!$k$225)</f>
      </c>
      <c r="AR225">
        <f>IF(ISBLANK('Data Entry'!$l$225), "", 'Data Entry'!$l$225)</f>
      </c>
      <c r="AS225">
        <f>IF(ISBLANK('Data Entry'!$m$225), "", 'Data Entry'!$m$225)</f>
      </c>
      <c r="AT225">
        <f>IF(ISBLANK('Data Entry'!$n$225), "", 'Data Entry'!$n$225)</f>
      </c>
      <c r="AU225">
        <f>IF(ISBLANK('Data Entry'!$o$225), "", 'Data Entry'!$o$225)</f>
      </c>
      <c r="AV225">
        <f>IF(ISBLANK('Data Entry'!$p$225), "", 'Data Entry'!$p$225)</f>
      </c>
      <c r="AW225">
        <f>IF(ISBLANK('Data Entry'!$q$225), "", 'Data Entry'!$q$225)</f>
      </c>
      <c r="AX225">
        <f>IF(ISBLANK('Data Entry'!$r$225), "", 'Data Entry'!$r$225)</f>
      </c>
      <c r="AY225">
        <f>IF(ISBLANK('Data Entry'!$s$225), "", 'Data Entry'!$s$225)</f>
      </c>
      <c r="AZ225">
        <f>IF(ISBLANK('Data Entry'!$t$225), "", 'Data Entry'!$t$225)</f>
      </c>
      <c r="BA225">
        <f>IF(ISBLANK('Data Entry'!$u$225), "", 'Data Entry'!$u$225)</f>
      </c>
      <c r="BB225">
        <f>IF(ISBLANK('Data Entry'!$v$225), "", 'Data Entry'!$v$225)</f>
      </c>
      <c r="BC225">
        <f>IF(ISBLANK('Data Entry'!$w$225), "", 'Data Entry'!$w$225)</f>
      </c>
      <c r="BD225">
        <f>IF(ISBLANK('Data Entry'!$x$225), "", 'Data Entry'!$x$225)</f>
      </c>
      <c r="BE225">
        <f>IF(ISBLANK('Data Entry'!$y$225), "", 'Data Entry'!$y$225)</f>
      </c>
      <c r="BF225">
        <f>IF(ISBLANK('Data Entry'!$z$225), "", 'Data Entry'!$z$225)</f>
      </c>
      <c r="BG225">
        <f>IF(ISBLANK('Data Entry'!${$225), "", 'Data Entry'!${$225)</f>
      </c>
      <c r="BH225">
        <f>IF(ISBLANK('Data Entry'!$|$225), "", 'Data Entry'!$|$225)</f>
      </c>
      <c r="BI225">
        <f>IF(ISBLANK('Data Entry'!$}$225), "", 'Data Entry'!$}$225)</f>
      </c>
      <c r="BJ225">
        <f>IF(ISBLANK('Data Entry'!$~$225), "", 'Data Entry'!$~$225)</f>
      </c>
      <c r="BK225">
        <f>IF(ISBLANK('Data Entry'!$$225), "", 'Data Entry'!$$225)</f>
      </c>
      <c r="BL225">
        <f>IF(ISBLANK('Data Entry'!$$225), "", 'Data Entry'!$$225)</f>
      </c>
      <c r="BM225">
        <f>IF(ISBLANK('Data Entry'!$$225), "", 'Data Entry'!$$225)</f>
      </c>
      <c r="BN225">
        <f>IF(ISBLANK('Data Entry'!$$225), "", 'Data Entry'!$$225)</f>
      </c>
      <c r="BO225">
        <f>IF(ISBLANK('Data Entry'!$$225), "", 'Data Entry'!$$225)</f>
      </c>
      <c r="BP225">
        <f>IF(ISBLANK('Data Entry'!$$225), "", 'Data Entry'!$$225)</f>
      </c>
      <c r="BQ225">
        <f>IF(ISBLANK('Data Entry'!$$225), "", 'Data Entry'!$$225)</f>
      </c>
      <c r="BR225">
        <f>IF(ISBLANK('Data Entry'!$$225), "", 'Data Entry'!$$225)</f>
      </c>
      <c r="BS225">
        <f>IF(ISBLANK('Data Entry'!$$225), "", 'Data Entry'!$$225)</f>
      </c>
      <c r="BT225">
        <f>IF(ISBLANK('Data Entry'!$$225), "", 'Data Entry'!$$225)</f>
      </c>
      <c r="BU225">
        <f>IF(ISBLANK('Data Entry'!$$225), "", 'Data Entry'!$$225)</f>
      </c>
      <c r="BV225">
        <f>IF(ISBLANK('Data Entry'!$$225), "", 'Data Entry'!$$225)</f>
      </c>
      <c r="BW225">
        <f>IF(ISBLANK('Data Entry'!$$225), "", 'Data Entry'!$$225)</f>
      </c>
      <c r="BX225">
        <f>IF(ISBLANK('Data Entry'!$$225), "", 'Data Entry'!$$225)</f>
      </c>
      <c r="BY225">
        <f>IF(ISBLANK('Data Entry'!$$225), "", 'Data Entry'!$$225)</f>
      </c>
      <c r="BZ225">
        <f>IF(ISBLANK('Data Entry'!$$225), "", 'Data Entry'!$$225)</f>
      </c>
      <c r="CA225">
        <f>IF(ISBLANK('Data Entry'!$$225), "", 'Data Entry'!$$225)</f>
      </c>
      <c r="CB225">
        <f>IF(ISBLANK('Data Entry'!$$225), "", 'Data Entry'!$$225)</f>
      </c>
      <c r="CC225">
        <f>IF(ISBLANK('Data Entry'!$$225), "", 'Data Entry'!$$225)</f>
      </c>
      <c r="CD225">
        <f>IF(ISBLANK('Data Entry'!$$225), "", 'Data Entry'!$$225)</f>
      </c>
      <c r="CE225">
        <f>IF(ISBLANK('Data Entry'!$$225), "", 'Data Entry'!$$225)</f>
      </c>
      <c r="CF225">
        <f>IF(ISBLANK('Data Entry'!$$225), "", 'Data Entry'!$$225)</f>
      </c>
      <c r="CG225">
        <f>IF(ISBLANK('Data Entry'!$$225), "", 'Data Entry'!$$225)</f>
      </c>
      <c r="CH225">
        <f>IF(ISBLANK('Data Entry'!$$225), "", 'Data Entry'!$$225)</f>
      </c>
      <c r="CI225">
        <f>IF(ISBLANK('Data Entry'!$$225), "", 'Data Entry'!$$225)</f>
      </c>
      <c r="CJ225">
        <f>IF(ISBLANK('Data Entry'!$$225), "", 'Data Entry'!$$225)</f>
      </c>
      <c r="CK225">
        <f>IF(ISBLANK('Data Entry'!$$225), "", 'Data Entry'!$$225)</f>
      </c>
      <c r="CL225">
        <f>IF(ISBLANK('Data Entry'!$$225), "", 'Data Entry'!$$225)</f>
      </c>
      <c r="CM225">
        <f>IF(ISBLANK('Data Entry'!$$225), "", 'Data Entry'!$$225)</f>
      </c>
      <c r="CN225">
        <f>IF(ISBLANK('Data Entry'!$$225), "", 'Data Entry'!$$225)</f>
      </c>
      <c r="CO225">
        <f>IF(ISBLANK('Data Entry'!$$225), "", 'Data Entry'!$$225)</f>
      </c>
      <c r="CP225">
        <f>IF(ISBLANK('Data Entry'!$$225), "", 'Data Entry'!$$225)</f>
      </c>
      <c r="CQ225">
        <f>IF(ISBLANK('Data Entry'!$$225), "", 'Data Entry'!$$225)</f>
      </c>
      <c r="CR225">
        <f>IF(ISBLANK('Data Entry'!$ $225), "", 'Data Entry'!$ $225)</f>
      </c>
      <c r="CS225">
        <f>IF(ISBLANK('Data Entry'!$¡$225), "", 'Data Entry'!$¡$225)</f>
      </c>
      <c r="CT225">
        <f>IF(ISBLANK('Data Entry'!$¢$225), "", 'Data Entry'!$¢$225)</f>
      </c>
      <c r="CU225">
        <f>IF(ISBLANK('Data Entry'!$£$225), "", 'Data Entry'!$£$225)</f>
      </c>
      <c r="CV225">
        <f>IF(ISBLANK('Data Entry'!$¤$225), "", 'Data Entry'!$¤$225)</f>
      </c>
      <c r="CW225">
        <f>IF(ISBLANK('Data Entry'!$¥$225), "", 'Data Entry'!$¥$225)</f>
      </c>
      <c r="CX225">
        <f>IF(ISBLANK('Data Entry'!$¦$225), "", 'Data Entry'!$¦$225)</f>
      </c>
      <c r="CY225">
        <f>IF(ISBLANK('Data Entry'!$§$225), "", 'Data Entry'!$§$225)</f>
      </c>
      <c r="CZ225">
        <f>IF(ISBLANK('Data Entry'!$¨$225), "", 'Data Entry'!$¨$225)</f>
      </c>
      <c r="DA225">
        <f>IF(ISBLANK('Data Entry'!$©$225), "", 'Data Entry'!$©$225)</f>
      </c>
      <c r="DB225">
        <f>IF(ISBLANK('Data Entry'!$ª$225), "", 'Data Entry'!$ª$225)</f>
      </c>
      <c r="DC225">
        <f>IF(ISBLANK('Data Entry'!$«$225), "", 'Data Entry'!$«$225)</f>
      </c>
      <c r="DD225">
        <f>IF(ISBLANK('Data Entry'!$¬$225), "", 'Data Entry'!$¬$225)</f>
      </c>
      <c r="DE225">
        <f>IF(ISBLANK('Data Entry'!$­$225), "", 'Data Entry'!$­$225)</f>
      </c>
      <c r="DF225">
        <f>IF(ISBLANK('Data Entry'!$®$225), "", 'Data Entry'!$®$225)</f>
      </c>
      <c r="DG225">
        <f>IF(ISBLANK('Data Entry'!$¯$225), "", 'Data Entry'!$¯$225)</f>
      </c>
      <c r="DH225">
        <f>IF(ISBLANK('Data Entry'!$°$225), "", 'Data Entry'!$°$225)</f>
      </c>
      <c r="DI225">
        <f>IF(ISBLANK('Data Entry'!$±$225), "", 'Data Entry'!$±$225)</f>
      </c>
      <c r="DJ225">
        <f>IF(ISBLANK('Data Entry'!$²$225), "", 'Data Entry'!$²$225)</f>
      </c>
      <c r="DK225">
        <f>IF(ISBLANK('Data Entry'!$³$225), "", 'Data Entry'!$³$225)</f>
      </c>
      <c r="DL225">
        <f>IF(ISBLANK('Data Entry'!$´$225), "", 'Data Entry'!$´$225)</f>
      </c>
      <c r="DM225">
        <f>IF(ISBLANK('Data Entry'!$µ$225), "", 'Data Entry'!$µ$225)</f>
      </c>
      <c r="DN225">
        <f>IF(ISBLANK('Data Entry'!$¶$225), "", 'Data Entry'!$¶$225)</f>
      </c>
      <c r="DO225">
        <f>IF(ISBLANK('Data Entry'!$·$225), "", 'Data Entry'!$·$225)</f>
      </c>
      <c r="DP225">
        <f>IF(ISBLANK('Data Entry'!$¸$225), "", 'Data Entry'!$¸$225)</f>
      </c>
      <c r="DQ225">
        <f>IF(ISBLANK('Data Entry'!$¹$225), "", 'Data Entry'!$¹$225)</f>
      </c>
      <c r="DR225">
        <f>IF(ISBLANK('Data Entry'!$º$225), "", 'Data Entry'!$º$225)</f>
      </c>
      <c r="DS225">
        <f>IF(ISBLANK('Data Entry'!$»$225), "", 'Data Entry'!$»$225)</f>
      </c>
      <c r="DT225">
        <f>IF(ISBLANK('Data Entry'!$¼$225), "", 'Data Entry'!$¼$225)</f>
      </c>
      <c r="DU225">
        <f>IF(ISBLANK('Data Entry'!$½$225), "", 'Data Entry'!$½$225)</f>
      </c>
      <c r="DV225">
        <f>IF(ISBLANK('Data Entry'!$¾$225), "", 'Data Entry'!$¾$225)</f>
      </c>
      <c r="DW225">
        <f>IF(ISBLANK('Data Entry'!$¿$225), "", 'Data Entry'!$¿$225)</f>
      </c>
      <c r="DX225">
        <f>IF(ISBLANK('Data Entry'!$À$225), "", 'Data Entry'!$À$225)</f>
      </c>
      <c r="DY225">
        <f>IF(ISBLANK('Data Entry'!$Á$225), "", 'Data Entry'!$Á$225)</f>
      </c>
      <c r="DZ225">
        <f>IF(ISBLANK('Data Entry'!$Â$225), "", 'Data Entry'!$Â$225)</f>
      </c>
      <c r="EA225">
        <f>IF(ISBLANK('Data Entry'!$Ã$225), "", 'Data Entry'!$Ã$225)</f>
      </c>
      <c r="EB225">
        <f>IF(ISBLANK('Data Entry'!$Ä$225), "", 'Data Entry'!$Ä$225)</f>
      </c>
      <c r="EC225">
        <f>IF(ISBLANK('Data Entry'!$Å$225), "", 'Data Entry'!$Å$225)</f>
      </c>
      <c r="ED225">
        <f>IF(ISBLANK('Data Entry'!$Æ$225), "", 'Data Entry'!$Æ$225)</f>
      </c>
      <c r="EE225">
        <f>IF(ISBLANK('Data Entry'!$Ç$225), "", 'Data Entry'!$Ç$225)</f>
      </c>
      <c r="EF225">
        <f>IF(ISBLANK('Data Entry'!$È$225), "", 'Data Entry'!$È$225)</f>
      </c>
      <c r="EG225">
        <f>IF(ISBLANK('Data Entry'!$É$225), "", 'Data Entry'!$É$225)</f>
      </c>
      <c r="EH225">
        <f>IF(ISBLANK('Data Entry'!$Ê$225), "", 'Data Entry'!$Ê$225)</f>
      </c>
      <c r="EI225">
        <f>IF(ISBLANK('Data Entry'!$Ë$225), "", 'Data Entry'!$Ë$225)</f>
      </c>
      <c r="EJ225">
        <f>IF(ISBLANK('Data Entry'!$Ì$225), "", 'Data Entry'!$Ì$225)</f>
      </c>
      <c r="EK225">
        <f>IF(ISBLANK('Data Entry'!$Í$225), "", 'Data Entry'!$Í$225)</f>
      </c>
      <c r="EL225">
        <f>IF(ISBLANK('Data Entry'!$Î$225), "", 'Data Entry'!$Î$225)</f>
      </c>
      <c r="EM225">
        <f>IF(ISBLANK('Data Entry'!$Ï$225), "", 'Data Entry'!$Ï$225)</f>
      </c>
      <c r="EN225">
        <f>IF(ISBLANK('Data Entry'!$Ð$225), "", 'Data Entry'!$Ð$225)</f>
      </c>
      <c r="EO225">
        <f>IF(ISBLANK('Data Entry'!$Ñ$225), "", 'Data Entry'!$Ñ$225)</f>
      </c>
      <c r="EP225">
        <f>IF(ISBLANK('Data Entry'!$Ò$225), "", 'Data Entry'!$Ò$225)</f>
      </c>
      <c r="EQ225">
        <f>IF(ISBLANK('Data Entry'!$Ó$225), "", 'Data Entry'!$Ó$225)</f>
      </c>
      <c r="ER225">
        <f>IF(ISBLANK('Data Entry'!$Ô$225), "", 'Data Entry'!$Ô$225)</f>
      </c>
      <c r="ES225">
        <f>IF(ISBLANK('Data Entry'!$Õ$225), "", 'Data Entry'!$Õ$225)</f>
      </c>
      <c r="ET225">
        <f>IF(ISBLANK('Data Entry'!$Ö$225), "", 'Data Entry'!$Ö$225)</f>
      </c>
      <c r="EU225">
        <f>IF(ISBLANK('Data Entry'!$×$225), "", 'Data Entry'!$×$225)</f>
      </c>
      <c r="EV225">
        <f>IF(ISBLANK('Data Entry'!$Ø$225), "", 'Data Entry'!$Ø$225)</f>
      </c>
      <c r="EW225">
        <f>IF(ISBLANK('Data Entry'!$Ù$225), "", 'Data Entry'!$Ù$225)</f>
      </c>
      <c r="EX225">
        <f>IF(ISBLANK('Data Entry'!$Ú$225), "", 'Data Entry'!$Ú$225)</f>
      </c>
      <c r="EY225">
        <f>IF(ISBLANK('Data Entry'!$Û$225), "", 'Data Entry'!$Û$225)</f>
      </c>
      <c r="EZ225">
        <f>IF(ISBLANK('Data Entry'!$Ü$225), "", 'Data Entry'!$Ü$225)</f>
      </c>
      <c r="FA225">
        <f>IF(ISBLANK('Data Entry'!$Ý$225), "", 'Data Entry'!$Ý$225)</f>
      </c>
      <c r="FB225">
        <f>IF(ISBLANK('Data Entry'!$Þ$225), "", 'Data Entry'!$Þ$225)</f>
      </c>
      <c r="FC225">
        <f>IF(ISBLANK('Data Entry'!$ß$225), "", 'Data Entry'!$ß$225)</f>
      </c>
      <c r="FD225">
        <f>IF(ISBLANK('Data Entry'!$à$225), "", 'Data Entry'!$à$225)</f>
      </c>
      <c r="FE225">
        <f>IF(ISBLANK('Data Entry'!$á$225), "", 'Data Entry'!$á$225)</f>
      </c>
      <c r="FF225">
        <f>IF(ISBLANK('Data Entry'!$â$225), "", 'Data Entry'!$â$225)</f>
      </c>
      <c r="FG225">
        <f>IF(ISBLANK('Data Entry'!$ã$225), "", 'Data Entry'!$ã$225)</f>
      </c>
      <c r="FH225">
        <f>IF(ISBLANK('Data Entry'!$ä$225), "", 'Data Entry'!$ä$225)</f>
      </c>
      <c r="FI225">
        <f>IF(ISBLANK('Data Entry'!$å$225), "", 'Data Entry'!$å$225)</f>
      </c>
      <c r="FJ225">
        <f>IF(ISBLANK('Data Entry'!$æ$225), "", 'Data Entry'!$æ$225)</f>
      </c>
      <c r="FK225">
        <f>IF(ISBLANK('Data Entry'!$ç$225), "", 'Data Entry'!$ç$225)</f>
      </c>
      <c r="FL225">
        <f>IF(ISBLANK('Data Entry'!$è$225), "", 'Data Entry'!$è$225)</f>
      </c>
      <c r="FM225">
        <f>IF(ISBLANK('Data Entry'!$é$225), "", 'Data Entry'!$é$225)</f>
      </c>
      <c r="FN225">
        <f>IF(ISBLANK('Data Entry'!$ê$225), "", 'Data Entry'!$ê$225)</f>
      </c>
      <c r="FO225">
        <f>IF(ISBLANK('Data Entry'!$ë$225), "", 'Data Entry'!$ë$225)</f>
      </c>
      <c r="FP225">
        <f>IF(ISBLANK('Data Entry'!$ì$225), "", 'Data Entry'!$ì$225)</f>
      </c>
      <c r="FQ225">
        <f>IF(ISBLANK('Data Entry'!$í$225), "", 'Data Entry'!$í$225)</f>
      </c>
      <c r="FR225">
        <f>IF(ISBLANK('Data Entry'!$î$225), "", 'Data Entry'!$î$225)</f>
      </c>
      <c r="FS225">
        <f>IF(ISBLANK('Data Entry'!$ï$225), "", 'Data Entry'!$ï$225)</f>
      </c>
      <c r="FT225">
        <f>IF(ISBLANK('Data Entry'!$ð$225), "", 'Data Entry'!$ð$225)</f>
      </c>
      <c r="FU225">
        <f>IF(ISBLANK('Data Entry'!$ñ$225), "", 'Data Entry'!$ñ$225)</f>
      </c>
      <c r="FV225">
        <f>IF(ISBLANK('Data Entry'!$ò$225), "", 'Data Entry'!$ò$225)</f>
      </c>
      <c r="FW225">
        <f>IF(ISBLANK('Data Entry'!$ó$225), "", 'Data Entry'!$ó$225)</f>
      </c>
      <c r="FX225">
        <f>IF(ISBLANK('Data Entry'!$ô$225), "", 'Data Entry'!$ô$225)</f>
      </c>
      <c r="FY225">
        <f>IF(ISBLANK('Data Entry'!$õ$225), "", 'Data Entry'!$õ$225)</f>
      </c>
      <c r="FZ225">
        <f>IF(ISBLANK('Data Entry'!$ö$225), "", 'Data Entry'!$ö$225)</f>
      </c>
      <c r="GA225">
        <f>IF(ISBLANK('Data Entry'!$÷$225), "", 'Data Entry'!$÷$225)</f>
      </c>
      <c r="GB225">
        <f>IF(ISBLANK('Data Entry'!$ø$225), "", 'Data Entry'!$ø$225)</f>
      </c>
      <c r="GC225">
        <f>IF(ISBLANK('Data Entry'!$ù$225), "", 'Data Entry'!$ù$225)</f>
      </c>
      <c r="GD225">
        <f>IF(ISBLANK('Data Entry'!$ú$225), "", 'Data Entry'!$ú$225)</f>
      </c>
      <c r="GE225">
        <f>IF(ISBLANK('Data Entry'!$û$225), "", 'Data Entry'!$û$225)</f>
      </c>
      <c r="GF225">
        <f>IF(ISBLANK('Data Entry'!$ü$225), "", 'Data Entry'!$ü$225)</f>
      </c>
      <c r="GG225">
        <f>IF(ISBLANK('Data Entry'!$ý$225), "", 'Data Entry'!$ý$225)</f>
      </c>
      <c r="GH225">
        <f>IF(ISBLANK('Data Entry'!$þ$225), "", 'Data Entry'!$þ$225)</f>
      </c>
      <c r="GI225">
        <f>IF(ISBLANK('Data Entry'!$ÿ$225), "", 'Data Entry'!$ÿ$225)</f>
      </c>
      <c r="GJ225">
        <f>IF(ISBLANK('Data Entry'!$Ā$225), "", 'Data Entry'!$Ā$225)</f>
      </c>
      <c r="GK225">
        <f>IF(ISBLANK('Data Entry'!$ā$225), "", 'Data Entry'!$ā$225)</f>
      </c>
      <c r="GL225">
        <f>IF(ISBLANK('Data Entry'!$Ă$225), "", 'Data Entry'!$Ă$225)</f>
      </c>
      <c r="GM225">
        <f>IF(ISBLANK('Data Entry'!$ă$225), "", 'Data Entry'!$ă$225)</f>
      </c>
      <c r="GN225">
        <f>IF(ISBLANK('Data Entry'!$Ą$225), "", 'Data Entry'!$Ą$225)</f>
      </c>
      <c r="GO225">
        <f>IF(ISBLANK('Data Entry'!$ą$225), "", 'Data Entry'!$ą$225)</f>
      </c>
      <c r="GP225">
        <f>IF(ISBLANK('Data Entry'!$Ć$225), "", 'Data Entry'!$Ć$225)</f>
      </c>
      <c r="GQ225">
        <f>IF(ISBLANK('Data Entry'!$ć$225), "", 'Data Entry'!$ć$225)</f>
      </c>
      <c r="GR225">
        <f>IF(ISBLANK('Data Entry'!$Ĉ$225), "", 'Data Entry'!$Ĉ$225)</f>
      </c>
      <c r="GS225">
        <f>IF(ISBLANK('Data Entry'!$ĉ$225), "", 'Data Entry'!$ĉ$225)</f>
      </c>
      <c r="GT225">
        <f>IF(ISBLANK('Data Entry'!$Ċ$225), "", 'Data Entry'!$Ċ$225)</f>
      </c>
      <c r="GU225">
        <f>IF(ISBLANK('Data Entry'!$ċ$225), "", 'Data Entry'!$ċ$225)</f>
      </c>
      <c r="GV225">
        <f>IF(ISBLANK('Data Entry'!$Č$225), "", 'Data Entry'!$Č$225)</f>
      </c>
      <c r="GW225">
        <f>IF(ISBLANK('Data Entry'!$č$225), "", 'Data Entry'!$č$225)</f>
      </c>
      <c r="GX225">
        <f>IF(ISBLANK('Data Entry'!$Ď$225), "", 'Data Entry'!$Ď$225)</f>
      </c>
      <c r="GY225">
        <f>IF(ISBLANK('Data Entry'!$ď$225), "", 'Data Entry'!$ď$225)</f>
      </c>
      <c r="GZ225">
        <f>IF(ISBLANK('Data Entry'!$Đ$225), "", 'Data Entry'!$Đ$225)</f>
      </c>
      <c r="HA225">
        <f>IF(ISBLANK('Data Entry'!$đ$225), "", 'Data Entry'!$đ$225)</f>
      </c>
      <c r="HB225">
        <f>IF(ISBLANK('Data Entry'!$Ē$225), "", 'Data Entry'!$Ē$225)</f>
      </c>
      <c r="HC225">
        <f>IF(ISBLANK('Data Entry'!$ē$225), "", 'Data Entry'!$ē$225)</f>
      </c>
      <c r="HD225">
        <f>IF(ISBLANK('Data Entry'!$Ĕ$225), "", 'Data Entry'!$Ĕ$225)</f>
      </c>
      <c r="HE225">
        <f>IF(ISBLANK('Data Entry'!$ĕ$225), "", 'Data Entry'!$ĕ$225)</f>
      </c>
      <c r="HF225">
        <f>IF(ISBLANK('Data Entry'!$Ė$225), "", 'Data Entry'!$Ė$225)</f>
      </c>
      <c r="HG225">
        <f>IF(ISBLANK('Data Entry'!$ė$225), "", 'Data Entry'!$ė$225)</f>
      </c>
      <c r="HH225">
        <f>IF(ISBLANK('Data Entry'!$Ę$225), "", 'Data Entry'!$Ę$225)</f>
      </c>
      <c r="HI225">
        <f>IF(ISBLANK('Data Entry'!$ę$225), "", 'Data Entry'!$ę$225)</f>
      </c>
      <c r="HJ225">
        <f>IF(ISBLANK('Data Entry'!$Ě$225), "", 'Data Entry'!$Ě$225)</f>
      </c>
      <c r="HK225">
        <f>IF(ISBLANK('Data Entry'!$ě$225), "", 'Data Entry'!$ě$225)</f>
      </c>
      <c r="HL225">
        <f>IF(ISBLANK('Data Entry'!$Ĝ$225), "", 'Data Entry'!$Ĝ$225)</f>
      </c>
      <c r="HM225">
        <f>IF(ISBLANK('Data Entry'!$ĝ$225), "", 'Data Entry'!$ĝ$225)</f>
      </c>
      <c r="HN225">
        <f>IF(ISBLANK('Data Entry'!$Ğ$225), "", 'Data Entry'!$Ğ$225)</f>
      </c>
      <c r="HO225">
        <f>IF(ISBLANK('Data Entry'!$ğ$225), "", 'Data Entry'!$ğ$225)</f>
      </c>
      <c r="HP225">
        <f>IF(ISBLANK('Data Entry'!$Ġ$225), "", 'Data Entry'!$Ġ$225)</f>
      </c>
      <c r="HQ225">
        <f>IF(ISBLANK('Data Entry'!$ġ$225), "", 'Data Entry'!$ġ$225)</f>
      </c>
      <c r="HR225">
        <f>IF(ISBLANK('Data Entry'!$Ģ$225), "", 'Data Entry'!$Ģ$225)</f>
      </c>
      <c r="HS225">
        <f>IF(ISBLANK('Data Entry'!$ģ$225), "", 'Data Entry'!$ģ$225)</f>
      </c>
      <c r="HT225">
        <f>IF(ISBLANK('Data Entry'!$Ĥ$225), "", 'Data Entry'!$Ĥ$225)</f>
      </c>
      <c r="HU225">
        <f>IF(ISBLANK('Data Entry'!$ĥ$225), "", 'Data Entry'!$ĥ$225)</f>
      </c>
      <c r="HV225">
        <f>IF(ISBLANK('Data Entry'!$Ħ$225), "", 'Data Entry'!$Ħ$225)</f>
      </c>
      <c r="HW225">
        <f>IF(ISBLANK('Data Entry'!$ħ$225), "", 'Data Entry'!$ħ$225)</f>
      </c>
      <c r="HX225">
        <f>IF(ISBLANK('Data Entry'!$Ĩ$225), "", 'Data Entry'!$Ĩ$225)</f>
      </c>
      <c r="HY225">
        <f>IF(ISBLANK('Data Entry'!$ĩ$225), "", 'Data Entry'!$ĩ$225)</f>
      </c>
      <c r="HZ225">
        <f>IF(ISBLANK('Data Entry'!$Ī$225), "", 'Data Entry'!$Ī$225)</f>
      </c>
      <c r="IA225">
        <f>IF(ISBLANK('Data Entry'!$ī$225), "", 'Data Entry'!$ī$225)</f>
      </c>
      <c r="IB225">
        <f>IF(ISBLANK('Data Entry'!$Ĭ$225), "", 'Data Entry'!$Ĭ$225)</f>
      </c>
      <c r="IC225">
        <f>IF(ISBLANK('Data Entry'!$ĭ$225), "", 'Data Entry'!$ĭ$225)</f>
      </c>
      <c r="ID225">
        <f>IF(ISBLANK('Data Entry'!$Į$225), "", 'Data Entry'!$Į$225)</f>
      </c>
      <c r="IE225">
        <f>IF(ISBLANK('Data Entry'!$į$225), "", 'Data Entry'!$į$225)</f>
      </c>
      <c r="IF225">
        <f>IF(ISBLANK('Data Entry'!$İ$225), "", 'Data Entry'!$İ$225)</f>
      </c>
      <c r="IG225">
        <f>IF(ISBLANK('Data Entry'!$ı$225), "", 'Data Entry'!$ı$225)</f>
      </c>
      <c r="IH225">
        <f>IF(ISBLANK('Data Entry'!$Ĳ$225), "", 'Data Entry'!$Ĳ$225)</f>
      </c>
      <c r="II225">
        <f>IF(ISBLANK('Data Entry'!$ĳ$225), "", 'Data Entry'!$ĳ$225)</f>
      </c>
      <c r="IJ225">
        <f>IF(ISBLANK('Data Entry'!$Ĵ$225), "", 'Data Entry'!$Ĵ$225)</f>
      </c>
      <c r="IK225">
        <f>IF(ISBLANK('Data Entry'!$ĵ$225), "", 'Data Entry'!$ĵ$225)</f>
      </c>
      <c r="IL225">
        <f>IF(ISBLANK('Data Entry'!$Ķ$225), "", 'Data Entry'!$Ķ$225)</f>
      </c>
      <c r="IM225">
        <f>IF(ISBLANK('Data Entry'!$ķ$225), "", 'Data Entry'!$ķ$225)</f>
      </c>
      <c r="IN225">
        <f>IF(ISBLANK('Data Entry'!$ĸ$225), "", 'Data Entry'!$ĸ$225)</f>
      </c>
      <c r="IO225">
        <f>IF(ISBLANK('Data Entry'!$Ĺ$225), "", 'Data Entry'!$Ĺ$225)</f>
      </c>
      <c r="IP225">
        <f>IF(ISBLANK('Data Entry'!$ĺ$225), "", 'Data Entry'!$ĺ$225)</f>
      </c>
      <c r="IQ225">
        <f>IF(ISBLANK('Data Entry'!$Ļ$225), "", 'Data Entry'!$Ļ$225)</f>
      </c>
      <c r="IR225">
        <f>IF(ISBLANK('Data Entry'!$ļ$225), "", 'Data Entry'!$ļ$225)</f>
      </c>
      <c r="IS225">
        <f>IF(ISBLANK('Data Entry'!$Ľ$225), "", 'Data Entry'!$Ľ$225)</f>
      </c>
      <c r="IT225">
        <f>IF(ISBLANK('Data Entry'!$ľ$225), "", 'Data Entry'!$ľ$225)</f>
      </c>
    </row>
    <row r="226" spans="1:254" x14ac:dyDescent="0.25">
      <c r="A226">
        <f>IF(ISBLANK('Data Entry'!$A$226), "", 'Data Entry'!$A$226)</f>
      </c>
      <c r="B226">
        <f>IF(ISBLANK('Data Entry'!$B$226), "", 'Data Entry'!$B$226)</f>
      </c>
      <c r="C226">
        <f>IF(ISBLANK('Data Entry'!$C$226), "", 'Data Entry'!$C$226)</f>
      </c>
      <c r="D226">
        <f>IF(ISBLANK('Data Entry'!$D$226), "", 'Data Entry'!$D$226)</f>
      </c>
      <c r="E226">
        <f>IF(ISBLANK('Data Entry'!$E$226), "", 'Data Entry'!$E$226)</f>
      </c>
      <c r="F226">
        <f>IF(ISBLANK('Data Entry'!$F$226), "", 'Data Entry'!$F$226)</f>
      </c>
      <c r="G226">
        <f>IF(ISBLANK('Data Entry'!$G$226), "", 'Data Entry'!$G$226)</f>
      </c>
      <c r="H226">
        <f>IF(ISBLANK('Data Entry'!$H$226), "", 'Data Entry'!$H$226)</f>
      </c>
      <c r="I226">
        <f>IF(ISBLANK('Data Entry'!$I$226), "", 'Data Entry'!$I$226)</f>
      </c>
      <c r="J226">
        <f>IF(ISBLANK('Data Entry'!$J$226), "", 'Data Entry'!$J$226)</f>
      </c>
      <c r="K226">
        <f>IF(ISBLANK('Data Entry'!$K$226), "", 'Data Entry'!$K$226)</f>
      </c>
      <c r="L226">
        <f>IF(ISBLANK('Data Entry'!$L$226), "", 'Data Entry'!$L$226)</f>
      </c>
      <c r="M226">
        <f>IF(ISBLANK('Data Entry'!$M$226), "", 'Data Entry'!$M$226)</f>
      </c>
      <c r="N226">
        <f>IF(ISBLANK('Data Entry'!$N$226), "", 'Data Entry'!$N$226)</f>
      </c>
      <c r="O226">
        <f>IF(ISBLANK('Data Entry'!$O$226), "", 'Data Entry'!$O$226)</f>
      </c>
      <c r="P226">
        <f>IF(ISBLANK('Data Entry'!$P$226), "", 'Data Entry'!$P$226)</f>
      </c>
      <c r="Q226">
        <f>IF(ISBLANK('Data Entry'!$Q$226), "", 'Data Entry'!$Q$226)</f>
      </c>
      <c r="R226">
        <f>IF(ISBLANK('Data Entry'!$R$226), "", 'Data Entry'!$R$226)</f>
      </c>
      <c r="S226">
        <f>IF(ISBLANK('Data Entry'!$S$226), "", 'Data Entry'!$S$226)</f>
      </c>
      <c r="T226">
        <f>IF(ISBLANK('Data Entry'!$T$226), "", 'Data Entry'!$T$226)</f>
      </c>
      <c r="U226">
        <f>IF(ISBLANK('Data Entry'!$U$226), "", 'Data Entry'!$U$226)</f>
      </c>
      <c r="V226">
        <f>IF(ISBLANK('Data Entry'!$V$226), "", 'Data Entry'!$V$226)</f>
      </c>
      <c r="W226">
        <f>IF(ISBLANK('Data Entry'!$W$226), "", 'Data Entry'!$W$226)</f>
      </c>
      <c r="X226">
        <f>IF(ISBLANK('Data Entry'!$X$226), "", 'Data Entry'!$X$226)</f>
      </c>
      <c r="Y226">
        <f>IF(ISBLANK('Data Entry'!$Y$226), "", 'Data Entry'!$Y$226)</f>
      </c>
      <c r="Z226">
        <f>IF(ISBLANK('Data Entry'!$Z$226), "", 'Data Entry'!$Z$226)</f>
      </c>
      <c r="AA226">
        <f>IF(ISBLANK('Data Entry'!$[$226), "", 'Data Entry'!$[$226)</f>
      </c>
      <c r="AB226">
        <f>IF(ISBLANK('Data Entry'!$\$226), "", 'Data Entry'!$\$226)</f>
      </c>
      <c r="AC226">
        <f>IF(ISBLANK('Data Entry'!$]$226), "", 'Data Entry'!$]$226)</f>
      </c>
      <c r="AD226">
        <f>IF(ISBLANK('Data Entry'!$^$226), "", 'Data Entry'!$^$226)</f>
      </c>
      <c r="AE226">
        <f>IF(ISBLANK('Data Entry'!$_$226), "", 'Data Entry'!$_$226)</f>
      </c>
      <c r="AF226">
        <f>IF(ISBLANK('Data Entry'!$`$226), "", 'Data Entry'!$`$226)</f>
      </c>
      <c r="AG226">
        <f>IF(ISBLANK('Data Entry'!$a$226), "", 'Data Entry'!$a$226)</f>
      </c>
      <c r="AH226">
        <f>IF(ISBLANK('Data Entry'!$b$226), "", 'Data Entry'!$b$226)</f>
      </c>
      <c r="AI226">
        <f>IF(ISBLANK('Data Entry'!$c$226), "", 'Data Entry'!$c$226)</f>
      </c>
      <c r="AJ226">
        <f>IF(ISBLANK('Data Entry'!$d$226), "", 'Data Entry'!$d$226)</f>
      </c>
      <c r="AK226">
        <f>IF(ISBLANK('Data Entry'!$e$226), "", 'Data Entry'!$e$226)</f>
      </c>
      <c r="AL226">
        <f>IF(ISBLANK('Data Entry'!$f$226), "", 'Data Entry'!$f$226)</f>
      </c>
      <c r="AM226">
        <f>IF(ISBLANK('Data Entry'!$g$226), "", 'Data Entry'!$g$226)</f>
      </c>
      <c r="AN226">
        <f>IF(ISBLANK('Data Entry'!$h$226), "", 'Data Entry'!$h$226)</f>
      </c>
      <c r="AO226">
        <f>IF(ISBLANK('Data Entry'!$i$226), "", 'Data Entry'!$i$226)</f>
      </c>
      <c r="AP226">
        <f>IF(ISBLANK('Data Entry'!$j$226), "", 'Data Entry'!$j$226)</f>
      </c>
      <c r="AQ226">
        <f>IF(ISBLANK('Data Entry'!$k$226), "", 'Data Entry'!$k$226)</f>
      </c>
      <c r="AR226">
        <f>IF(ISBLANK('Data Entry'!$l$226), "", 'Data Entry'!$l$226)</f>
      </c>
      <c r="AS226">
        <f>IF(ISBLANK('Data Entry'!$m$226), "", 'Data Entry'!$m$226)</f>
      </c>
      <c r="AT226">
        <f>IF(ISBLANK('Data Entry'!$n$226), "", 'Data Entry'!$n$226)</f>
      </c>
      <c r="AU226">
        <f>IF(ISBLANK('Data Entry'!$o$226), "", 'Data Entry'!$o$226)</f>
      </c>
      <c r="AV226">
        <f>IF(ISBLANK('Data Entry'!$p$226), "", 'Data Entry'!$p$226)</f>
      </c>
      <c r="AW226">
        <f>IF(ISBLANK('Data Entry'!$q$226), "", 'Data Entry'!$q$226)</f>
      </c>
      <c r="AX226">
        <f>IF(ISBLANK('Data Entry'!$r$226), "", 'Data Entry'!$r$226)</f>
      </c>
      <c r="AY226">
        <f>IF(ISBLANK('Data Entry'!$s$226), "", 'Data Entry'!$s$226)</f>
      </c>
      <c r="AZ226">
        <f>IF(ISBLANK('Data Entry'!$t$226), "", 'Data Entry'!$t$226)</f>
      </c>
      <c r="BA226">
        <f>IF(ISBLANK('Data Entry'!$u$226), "", 'Data Entry'!$u$226)</f>
      </c>
      <c r="BB226">
        <f>IF(ISBLANK('Data Entry'!$v$226), "", 'Data Entry'!$v$226)</f>
      </c>
      <c r="BC226">
        <f>IF(ISBLANK('Data Entry'!$w$226), "", 'Data Entry'!$w$226)</f>
      </c>
      <c r="BD226">
        <f>IF(ISBLANK('Data Entry'!$x$226), "", 'Data Entry'!$x$226)</f>
      </c>
      <c r="BE226">
        <f>IF(ISBLANK('Data Entry'!$y$226), "", 'Data Entry'!$y$226)</f>
      </c>
      <c r="BF226">
        <f>IF(ISBLANK('Data Entry'!$z$226), "", 'Data Entry'!$z$226)</f>
      </c>
      <c r="BG226">
        <f>IF(ISBLANK('Data Entry'!${$226), "", 'Data Entry'!${$226)</f>
      </c>
      <c r="BH226">
        <f>IF(ISBLANK('Data Entry'!$|$226), "", 'Data Entry'!$|$226)</f>
      </c>
      <c r="BI226">
        <f>IF(ISBLANK('Data Entry'!$}$226), "", 'Data Entry'!$}$226)</f>
      </c>
      <c r="BJ226">
        <f>IF(ISBLANK('Data Entry'!$~$226), "", 'Data Entry'!$~$226)</f>
      </c>
      <c r="BK226">
        <f>IF(ISBLANK('Data Entry'!$$226), "", 'Data Entry'!$$226)</f>
      </c>
      <c r="BL226">
        <f>IF(ISBLANK('Data Entry'!$$226), "", 'Data Entry'!$$226)</f>
      </c>
      <c r="BM226">
        <f>IF(ISBLANK('Data Entry'!$$226), "", 'Data Entry'!$$226)</f>
      </c>
      <c r="BN226">
        <f>IF(ISBLANK('Data Entry'!$$226), "", 'Data Entry'!$$226)</f>
      </c>
      <c r="BO226">
        <f>IF(ISBLANK('Data Entry'!$$226), "", 'Data Entry'!$$226)</f>
      </c>
      <c r="BP226">
        <f>IF(ISBLANK('Data Entry'!$$226), "", 'Data Entry'!$$226)</f>
      </c>
      <c r="BQ226">
        <f>IF(ISBLANK('Data Entry'!$$226), "", 'Data Entry'!$$226)</f>
      </c>
      <c r="BR226">
        <f>IF(ISBLANK('Data Entry'!$$226), "", 'Data Entry'!$$226)</f>
      </c>
      <c r="BS226">
        <f>IF(ISBLANK('Data Entry'!$$226), "", 'Data Entry'!$$226)</f>
      </c>
      <c r="BT226">
        <f>IF(ISBLANK('Data Entry'!$$226), "", 'Data Entry'!$$226)</f>
      </c>
      <c r="BU226">
        <f>IF(ISBLANK('Data Entry'!$$226), "", 'Data Entry'!$$226)</f>
      </c>
      <c r="BV226">
        <f>IF(ISBLANK('Data Entry'!$$226), "", 'Data Entry'!$$226)</f>
      </c>
      <c r="BW226">
        <f>IF(ISBLANK('Data Entry'!$$226), "", 'Data Entry'!$$226)</f>
      </c>
      <c r="BX226">
        <f>IF(ISBLANK('Data Entry'!$$226), "", 'Data Entry'!$$226)</f>
      </c>
      <c r="BY226">
        <f>IF(ISBLANK('Data Entry'!$$226), "", 'Data Entry'!$$226)</f>
      </c>
      <c r="BZ226">
        <f>IF(ISBLANK('Data Entry'!$$226), "", 'Data Entry'!$$226)</f>
      </c>
      <c r="CA226">
        <f>IF(ISBLANK('Data Entry'!$$226), "", 'Data Entry'!$$226)</f>
      </c>
      <c r="CB226">
        <f>IF(ISBLANK('Data Entry'!$$226), "", 'Data Entry'!$$226)</f>
      </c>
      <c r="CC226">
        <f>IF(ISBLANK('Data Entry'!$$226), "", 'Data Entry'!$$226)</f>
      </c>
      <c r="CD226">
        <f>IF(ISBLANK('Data Entry'!$$226), "", 'Data Entry'!$$226)</f>
      </c>
      <c r="CE226">
        <f>IF(ISBLANK('Data Entry'!$$226), "", 'Data Entry'!$$226)</f>
      </c>
      <c r="CF226">
        <f>IF(ISBLANK('Data Entry'!$$226), "", 'Data Entry'!$$226)</f>
      </c>
      <c r="CG226">
        <f>IF(ISBLANK('Data Entry'!$$226), "", 'Data Entry'!$$226)</f>
      </c>
      <c r="CH226">
        <f>IF(ISBLANK('Data Entry'!$$226), "", 'Data Entry'!$$226)</f>
      </c>
      <c r="CI226">
        <f>IF(ISBLANK('Data Entry'!$$226), "", 'Data Entry'!$$226)</f>
      </c>
      <c r="CJ226">
        <f>IF(ISBLANK('Data Entry'!$$226), "", 'Data Entry'!$$226)</f>
      </c>
      <c r="CK226">
        <f>IF(ISBLANK('Data Entry'!$$226), "", 'Data Entry'!$$226)</f>
      </c>
      <c r="CL226">
        <f>IF(ISBLANK('Data Entry'!$$226), "", 'Data Entry'!$$226)</f>
      </c>
      <c r="CM226">
        <f>IF(ISBLANK('Data Entry'!$$226), "", 'Data Entry'!$$226)</f>
      </c>
      <c r="CN226">
        <f>IF(ISBLANK('Data Entry'!$$226), "", 'Data Entry'!$$226)</f>
      </c>
      <c r="CO226">
        <f>IF(ISBLANK('Data Entry'!$$226), "", 'Data Entry'!$$226)</f>
      </c>
      <c r="CP226">
        <f>IF(ISBLANK('Data Entry'!$$226), "", 'Data Entry'!$$226)</f>
      </c>
      <c r="CQ226">
        <f>IF(ISBLANK('Data Entry'!$$226), "", 'Data Entry'!$$226)</f>
      </c>
      <c r="CR226">
        <f>IF(ISBLANK('Data Entry'!$ $226), "", 'Data Entry'!$ $226)</f>
      </c>
      <c r="CS226">
        <f>IF(ISBLANK('Data Entry'!$¡$226), "", 'Data Entry'!$¡$226)</f>
      </c>
      <c r="CT226">
        <f>IF(ISBLANK('Data Entry'!$¢$226), "", 'Data Entry'!$¢$226)</f>
      </c>
      <c r="CU226">
        <f>IF(ISBLANK('Data Entry'!$£$226), "", 'Data Entry'!$£$226)</f>
      </c>
      <c r="CV226">
        <f>IF(ISBLANK('Data Entry'!$¤$226), "", 'Data Entry'!$¤$226)</f>
      </c>
      <c r="CW226">
        <f>IF(ISBLANK('Data Entry'!$¥$226), "", 'Data Entry'!$¥$226)</f>
      </c>
      <c r="CX226">
        <f>IF(ISBLANK('Data Entry'!$¦$226), "", 'Data Entry'!$¦$226)</f>
      </c>
      <c r="CY226">
        <f>IF(ISBLANK('Data Entry'!$§$226), "", 'Data Entry'!$§$226)</f>
      </c>
      <c r="CZ226">
        <f>IF(ISBLANK('Data Entry'!$¨$226), "", 'Data Entry'!$¨$226)</f>
      </c>
      <c r="DA226">
        <f>IF(ISBLANK('Data Entry'!$©$226), "", 'Data Entry'!$©$226)</f>
      </c>
      <c r="DB226">
        <f>IF(ISBLANK('Data Entry'!$ª$226), "", 'Data Entry'!$ª$226)</f>
      </c>
      <c r="DC226">
        <f>IF(ISBLANK('Data Entry'!$«$226), "", 'Data Entry'!$«$226)</f>
      </c>
      <c r="DD226">
        <f>IF(ISBLANK('Data Entry'!$¬$226), "", 'Data Entry'!$¬$226)</f>
      </c>
      <c r="DE226">
        <f>IF(ISBLANK('Data Entry'!$­$226), "", 'Data Entry'!$­$226)</f>
      </c>
      <c r="DF226">
        <f>IF(ISBLANK('Data Entry'!$®$226), "", 'Data Entry'!$®$226)</f>
      </c>
      <c r="DG226">
        <f>IF(ISBLANK('Data Entry'!$¯$226), "", 'Data Entry'!$¯$226)</f>
      </c>
      <c r="DH226">
        <f>IF(ISBLANK('Data Entry'!$°$226), "", 'Data Entry'!$°$226)</f>
      </c>
      <c r="DI226">
        <f>IF(ISBLANK('Data Entry'!$±$226), "", 'Data Entry'!$±$226)</f>
      </c>
      <c r="DJ226">
        <f>IF(ISBLANK('Data Entry'!$²$226), "", 'Data Entry'!$²$226)</f>
      </c>
      <c r="DK226">
        <f>IF(ISBLANK('Data Entry'!$³$226), "", 'Data Entry'!$³$226)</f>
      </c>
      <c r="DL226">
        <f>IF(ISBLANK('Data Entry'!$´$226), "", 'Data Entry'!$´$226)</f>
      </c>
      <c r="DM226">
        <f>IF(ISBLANK('Data Entry'!$µ$226), "", 'Data Entry'!$µ$226)</f>
      </c>
      <c r="DN226">
        <f>IF(ISBLANK('Data Entry'!$¶$226), "", 'Data Entry'!$¶$226)</f>
      </c>
      <c r="DO226">
        <f>IF(ISBLANK('Data Entry'!$·$226), "", 'Data Entry'!$·$226)</f>
      </c>
      <c r="DP226">
        <f>IF(ISBLANK('Data Entry'!$¸$226), "", 'Data Entry'!$¸$226)</f>
      </c>
      <c r="DQ226">
        <f>IF(ISBLANK('Data Entry'!$¹$226), "", 'Data Entry'!$¹$226)</f>
      </c>
      <c r="DR226">
        <f>IF(ISBLANK('Data Entry'!$º$226), "", 'Data Entry'!$º$226)</f>
      </c>
      <c r="DS226">
        <f>IF(ISBLANK('Data Entry'!$»$226), "", 'Data Entry'!$»$226)</f>
      </c>
      <c r="DT226">
        <f>IF(ISBLANK('Data Entry'!$¼$226), "", 'Data Entry'!$¼$226)</f>
      </c>
      <c r="DU226">
        <f>IF(ISBLANK('Data Entry'!$½$226), "", 'Data Entry'!$½$226)</f>
      </c>
      <c r="DV226">
        <f>IF(ISBLANK('Data Entry'!$¾$226), "", 'Data Entry'!$¾$226)</f>
      </c>
      <c r="DW226">
        <f>IF(ISBLANK('Data Entry'!$¿$226), "", 'Data Entry'!$¿$226)</f>
      </c>
      <c r="DX226">
        <f>IF(ISBLANK('Data Entry'!$À$226), "", 'Data Entry'!$À$226)</f>
      </c>
      <c r="DY226">
        <f>IF(ISBLANK('Data Entry'!$Á$226), "", 'Data Entry'!$Á$226)</f>
      </c>
      <c r="DZ226">
        <f>IF(ISBLANK('Data Entry'!$Â$226), "", 'Data Entry'!$Â$226)</f>
      </c>
      <c r="EA226">
        <f>IF(ISBLANK('Data Entry'!$Ã$226), "", 'Data Entry'!$Ã$226)</f>
      </c>
      <c r="EB226">
        <f>IF(ISBLANK('Data Entry'!$Ä$226), "", 'Data Entry'!$Ä$226)</f>
      </c>
      <c r="EC226">
        <f>IF(ISBLANK('Data Entry'!$Å$226), "", 'Data Entry'!$Å$226)</f>
      </c>
      <c r="ED226">
        <f>IF(ISBLANK('Data Entry'!$Æ$226), "", 'Data Entry'!$Æ$226)</f>
      </c>
      <c r="EE226">
        <f>IF(ISBLANK('Data Entry'!$Ç$226), "", 'Data Entry'!$Ç$226)</f>
      </c>
      <c r="EF226">
        <f>IF(ISBLANK('Data Entry'!$È$226), "", 'Data Entry'!$È$226)</f>
      </c>
      <c r="EG226">
        <f>IF(ISBLANK('Data Entry'!$É$226), "", 'Data Entry'!$É$226)</f>
      </c>
      <c r="EH226">
        <f>IF(ISBLANK('Data Entry'!$Ê$226), "", 'Data Entry'!$Ê$226)</f>
      </c>
      <c r="EI226">
        <f>IF(ISBLANK('Data Entry'!$Ë$226), "", 'Data Entry'!$Ë$226)</f>
      </c>
      <c r="EJ226">
        <f>IF(ISBLANK('Data Entry'!$Ì$226), "", 'Data Entry'!$Ì$226)</f>
      </c>
      <c r="EK226">
        <f>IF(ISBLANK('Data Entry'!$Í$226), "", 'Data Entry'!$Í$226)</f>
      </c>
      <c r="EL226">
        <f>IF(ISBLANK('Data Entry'!$Î$226), "", 'Data Entry'!$Î$226)</f>
      </c>
      <c r="EM226">
        <f>IF(ISBLANK('Data Entry'!$Ï$226), "", 'Data Entry'!$Ï$226)</f>
      </c>
      <c r="EN226">
        <f>IF(ISBLANK('Data Entry'!$Ð$226), "", 'Data Entry'!$Ð$226)</f>
      </c>
      <c r="EO226">
        <f>IF(ISBLANK('Data Entry'!$Ñ$226), "", 'Data Entry'!$Ñ$226)</f>
      </c>
      <c r="EP226">
        <f>IF(ISBLANK('Data Entry'!$Ò$226), "", 'Data Entry'!$Ò$226)</f>
      </c>
      <c r="EQ226">
        <f>IF(ISBLANK('Data Entry'!$Ó$226), "", 'Data Entry'!$Ó$226)</f>
      </c>
      <c r="ER226">
        <f>IF(ISBLANK('Data Entry'!$Ô$226), "", 'Data Entry'!$Ô$226)</f>
      </c>
      <c r="ES226">
        <f>IF(ISBLANK('Data Entry'!$Õ$226), "", 'Data Entry'!$Õ$226)</f>
      </c>
      <c r="ET226">
        <f>IF(ISBLANK('Data Entry'!$Ö$226), "", 'Data Entry'!$Ö$226)</f>
      </c>
      <c r="EU226">
        <f>IF(ISBLANK('Data Entry'!$×$226), "", 'Data Entry'!$×$226)</f>
      </c>
      <c r="EV226">
        <f>IF(ISBLANK('Data Entry'!$Ø$226), "", 'Data Entry'!$Ø$226)</f>
      </c>
      <c r="EW226">
        <f>IF(ISBLANK('Data Entry'!$Ù$226), "", 'Data Entry'!$Ù$226)</f>
      </c>
      <c r="EX226">
        <f>IF(ISBLANK('Data Entry'!$Ú$226), "", 'Data Entry'!$Ú$226)</f>
      </c>
      <c r="EY226">
        <f>IF(ISBLANK('Data Entry'!$Û$226), "", 'Data Entry'!$Û$226)</f>
      </c>
      <c r="EZ226">
        <f>IF(ISBLANK('Data Entry'!$Ü$226), "", 'Data Entry'!$Ü$226)</f>
      </c>
      <c r="FA226">
        <f>IF(ISBLANK('Data Entry'!$Ý$226), "", 'Data Entry'!$Ý$226)</f>
      </c>
      <c r="FB226">
        <f>IF(ISBLANK('Data Entry'!$Þ$226), "", 'Data Entry'!$Þ$226)</f>
      </c>
      <c r="FC226">
        <f>IF(ISBLANK('Data Entry'!$ß$226), "", 'Data Entry'!$ß$226)</f>
      </c>
      <c r="FD226">
        <f>IF(ISBLANK('Data Entry'!$à$226), "", 'Data Entry'!$à$226)</f>
      </c>
      <c r="FE226">
        <f>IF(ISBLANK('Data Entry'!$á$226), "", 'Data Entry'!$á$226)</f>
      </c>
      <c r="FF226">
        <f>IF(ISBLANK('Data Entry'!$â$226), "", 'Data Entry'!$â$226)</f>
      </c>
      <c r="FG226">
        <f>IF(ISBLANK('Data Entry'!$ã$226), "", 'Data Entry'!$ã$226)</f>
      </c>
      <c r="FH226">
        <f>IF(ISBLANK('Data Entry'!$ä$226), "", 'Data Entry'!$ä$226)</f>
      </c>
      <c r="FI226">
        <f>IF(ISBLANK('Data Entry'!$å$226), "", 'Data Entry'!$å$226)</f>
      </c>
      <c r="FJ226">
        <f>IF(ISBLANK('Data Entry'!$æ$226), "", 'Data Entry'!$æ$226)</f>
      </c>
      <c r="FK226">
        <f>IF(ISBLANK('Data Entry'!$ç$226), "", 'Data Entry'!$ç$226)</f>
      </c>
      <c r="FL226">
        <f>IF(ISBLANK('Data Entry'!$è$226), "", 'Data Entry'!$è$226)</f>
      </c>
      <c r="FM226">
        <f>IF(ISBLANK('Data Entry'!$é$226), "", 'Data Entry'!$é$226)</f>
      </c>
      <c r="FN226">
        <f>IF(ISBLANK('Data Entry'!$ê$226), "", 'Data Entry'!$ê$226)</f>
      </c>
      <c r="FO226">
        <f>IF(ISBLANK('Data Entry'!$ë$226), "", 'Data Entry'!$ë$226)</f>
      </c>
      <c r="FP226">
        <f>IF(ISBLANK('Data Entry'!$ì$226), "", 'Data Entry'!$ì$226)</f>
      </c>
      <c r="FQ226">
        <f>IF(ISBLANK('Data Entry'!$í$226), "", 'Data Entry'!$í$226)</f>
      </c>
      <c r="FR226">
        <f>IF(ISBLANK('Data Entry'!$î$226), "", 'Data Entry'!$î$226)</f>
      </c>
      <c r="FS226">
        <f>IF(ISBLANK('Data Entry'!$ï$226), "", 'Data Entry'!$ï$226)</f>
      </c>
      <c r="FT226">
        <f>IF(ISBLANK('Data Entry'!$ð$226), "", 'Data Entry'!$ð$226)</f>
      </c>
      <c r="FU226">
        <f>IF(ISBLANK('Data Entry'!$ñ$226), "", 'Data Entry'!$ñ$226)</f>
      </c>
      <c r="FV226">
        <f>IF(ISBLANK('Data Entry'!$ò$226), "", 'Data Entry'!$ò$226)</f>
      </c>
      <c r="FW226">
        <f>IF(ISBLANK('Data Entry'!$ó$226), "", 'Data Entry'!$ó$226)</f>
      </c>
      <c r="FX226">
        <f>IF(ISBLANK('Data Entry'!$ô$226), "", 'Data Entry'!$ô$226)</f>
      </c>
      <c r="FY226">
        <f>IF(ISBLANK('Data Entry'!$õ$226), "", 'Data Entry'!$õ$226)</f>
      </c>
      <c r="FZ226">
        <f>IF(ISBLANK('Data Entry'!$ö$226), "", 'Data Entry'!$ö$226)</f>
      </c>
      <c r="GA226">
        <f>IF(ISBLANK('Data Entry'!$÷$226), "", 'Data Entry'!$÷$226)</f>
      </c>
      <c r="GB226">
        <f>IF(ISBLANK('Data Entry'!$ø$226), "", 'Data Entry'!$ø$226)</f>
      </c>
      <c r="GC226">
        <f>IF(ISBLANK('Data Entry'!$ù$226), "", 'Data Entry'!$ù$226)</f>
      </c>
      <c r="GD226">
        <f>IF(ISBLANK('Data Entry'!$ú$226), "", 'Data Entry'!$ú$226)</f>
      </c>
      <c r="GE226">
        <f>IF(ISBLANK('Data Entry'!$û$226), "", 'Data Entry'!$û$226)</f>
      </c>
      <c r="GF226">
        <f>IF(ISBLANK('Data Entry'!$ü$226), "", 'Data Entry'!$ü$226)</f>
      </c>
      <c r="GG226">
        <f>IF(ISBLANK('Data Entry'!$ý$226), "", 'Data Entry'!$ý$226)</f>
      </c>
      <c r="GH226">
        <f>IF(ISBLANK('Data Entry'!$þ$226), "", 'Data Entry'!$þ$226)</f>
      </c>
      <c r="GI226">
        <f>IF(ISBLANK('Data Entry'!$ÿ$226), "", 'Data Entry'!$ÿ$226)</f>
      </c>
      <c r="GJ226">
        <f>IF(ISBLANK('Data Entry'!$Ā$226), "", 'Data Entry'!$Ā$226)</f>
      </c>
      <c r="GK226">
        <f>IF(ISBLANK('Data Entry'!$ā$226), "", 'Data Entry'!$ā$226)</f>
      </c>
      <c r="GL226">
        <f>IF(ISBLANK('Data Entry'!$Ă$226), "", 'Data Entry'!$Ă$226)</f>
      </c>
      <c r="GM226">
        <f>IF(ISBLANK('Data Entry'!$ă$226), "", 'Data Entry'!$ă$226)</f>
      </c>
      <c r="GN226">
        <f>IF(ISBLANK('Data Entry'!$Ą$226), "", 'Data Entry'!$Ą$226)</f>
      </c>
      <c r="GO226">
        <f>IF(ISBLANK('Data Entry'!$ą$226), "", 'Data Entry'!$ą$226)</f>
      </c>
      <c r="GP226">
        <f>IF(ISBLANK('Data Entry'!$Ć$226), "", 'Data Entry'!$Ć$226)</f>
      </c>
      <c r="GQ226">
        <f>IF(ISBLANK('Data Entry'!$ć$226), "", 'Data Entry'!$ć$226)</f>
      </c>
      <c r="GR226">
        <f>IF(ISBLANK('Data Entry'!$Ĉ$226), "", 'Data Entry'!$Ĉ$226)</f>
      </c>
      <c r="GS226">
        <f>IF(ISBLANK('Data Entry'!$ĉ$226), "", 'Data Entry'!$ĉ$226)</f>
      </c>
      <c r="GT226">
        <f>IF(ISBLANK('Data Entry'!$Ċ$226), "", 'Data Entry'!$Ċ$226)</f>
      </c>
      <c r="GU226">
        <f>IF(ISBLANK('Data Entry'!$ċ$226), "", 'Data Entry'!$ċ$226)</f>
      </c>
      <c r="GV226">
        <f>IF(ISBLANK('Data Entry'!$Č$226), "", 'Data Entry'!$Č$226)</f>
      </c>
      <c r="GW226">
        <f>IF(ISBLANK('Data Entry'!$č$226), "", 'Data Entry'!$č$226)</f>
      </c>
      <c r="GX226">
        <f>IF(ISBLANK('Data Entry'!$Ď$226), "", 'Data Entry'!$Ď$226)</f>
      </c>
      <c r="GY226">
        <f>IF(ISBLANK('Data Entry'!$ď$226), "", 'Data Entry'!$ď$226)</f>
      </c>
      <c r="GZ226">
        <f>IF(ISBLANK('Data Entry'!$Đ$226), "", 'Data Entry'!$Đ$226)</f>
      </c>
      <c r="HA226">
        <f>IF(ISBLANK('Data Entry'!$đ$226), "", 'Data Entry'!$đ$226)</f>
      </c>
      <c r="HB226">
        <f>IF(ISBLANK('Data Entry'!$Ē$226), "", 'Data Entry'!$Ē$226)</f>
      </c>
      <c r="HC226">
        <f>IF(ISBLANK('Data Entry'!$ē$226), "", 'Data Entry'!$ē$226)</f>
      </c>
      <c r="HD226">
        <f>IF(ISBLANK('Data Entry'!$Ĕ$226), "", 'Data Entry'!$Ĕ$226)</f>
      </c>
      <c r="HE226">
        <f>IF(ISBLANK('Data Entry'!$ĕ$226), "", 'Data Entry'!$ĕ$226)</f>
      </c>
      <c r="HF226">
        <f>IF(ISBLANK('Data Entry'!$Ė$226), "", 'Data Entry'!$Ė$226)</f>
      </c>
      <c r="HG226">
        <f>IF(ISBLANK('Data Entry'!$ė$226), "", 'Data Entry'!$ė$226)</f>
      </c>
      <c r="HH226">
        <f>IF(ISBLANK('Data Entry'!$Ę$226), "", 'Data Entry'!$Ę$226)</f>
      </c>
      <c r="HI226">
        <f>IF(ISBLANK('Data Entry'!$ę$226), "", 'Data Entry'!$ę$226)</f>
      </c>
      <c r="HJ226">
        <f>IF(ISBLANK('Data Entry'!$Ě$226), "", 'Data Entry'!$Ě$226)</f>
      </c>
      <c r="HK226">
        <f>IF(ISBLANK('Data Entry'!$ě$226), "", 'Data Entry'!$ě$226)</f>
      </c>
      <c r="HL226">
        <f>IF(ISBLANK('Data Entry'!$Ĝ$226), "", 'Data Entry'!$Ĝ$226)</f>
      </c>
      <c r="HM226">
        <f>IF(ISBLANK('Data Entry'!$ĝ$226), "", 'Data Entry'!$ĝ$226)</f>
      </c>
      <c r="HN226">
        <f>IF(ISBLANK('Data Entry'!$Ğ$226), "", 'Data Entry'!$Ğ$226)</f>
      </c>
      <c r="HO226">
        <f>IF(ISBLANK('Data Entry'!$ğ$226), "", 'Data Entry'!$ğ$226)</f>
      </c>
      <c r="HP226">
        <f>IF(ISBLANK('Data Entry'!$Ġ$226), "", 'Data Entry'!$Ġ$226)</f>
      </c>
      <c r="HQ226">
        <f>IF(ISBLANK('Data Entry'!$ġ$226), "", 'Data Entry'!$ġ$226)</f>
      </c>
      <c r="HR226">
        <f>IF(ISBLANK('Data Entry'!$Ģ$226), "", 'Data Entry'!$Ģ$226)</f>
      </c>
      <c r="HS226">
        <f>IF(ISBLANK('Data Entry'!$ģ$226), "", 'Data Entry'!$ģ$226)</f>
      </c>
      <c r="HT226">
        <f>IF(ISBLANK('Data Entry'!$Ĥ$226), "", 'Data Entry'!$Ĥ$226)</f>
      </c>
      <c r="HU226">
        <f>IF(ISBLANK('Data Entry'!$ĥ$226), "", 'Data Entry'!$ĥ$226)</f>
      </c>
      <c r="HV226">
        <f>IF(ISBLANK('Data Entry'!$Ħ$226), "", 'Data Entry'!$Ħ$226)</f>
      </c>
      <c r="HW226">
        <f>IF(ISBLANK('Data Entry'!$ħ$226), "", 'Data Entry'!$ħ$226)</f>
      </c>
      <c r="HX226">
        <f>IF(ISBLANK('Data Entry'!$Ĩ$226), "", 'Data Entry'!$Ĩ$226)</f>
      </c>
      <c r="HY226">
        <f>IF(ISBLANK('Data Entry'!$ĩ$226), "", 'Data Entry'!$ĩ$226)</f>
      </c>
      <c r="HZ226">
        <f>IF(ISBLANK('Data Entry'!$Ī$226), "", 'Data Entry'!$Ī$226)</f>
      </c>
      <c r="IA226">
        <f>IF(ISBLANK('Data Entry'!$ī$226), "", 'Data Entry'!$ī$226)</f>
      </c>
      <c r="IB226">
        <f>IF(ISBLANK('Data Entry'!$Ĭ$226), "", 'Data Entry'!$Ĭ$226)</f>
      </c>
      <c r="IC226">
        <f>IF(ISBLANK('Data Entry'!$ĭ$226), "", 'Data Entry'!$ĭ$226)</f>
      </c>
      <c r="ID226">
        <f>IF(ISBLANK('Data Entry'!$Į$226), "", 'Data Entry'!$Į$226)</f>
      </c>
      <c r="IE226">
        <f>IF(ISBLANK('Data Entry'!$į$226), "", 'Data Entry'!$į$226)</f>
      </c>
      <c r="IF226">
        <f>IF(ISBLANK('Data Entry'!$İ$226), "", 'Data Entry'!$İ$226)</f>
      </c>
      <c r="IG226">
        <f>IF(ISBLANK('Data Entry'!$ı$226), "", 'Data Entry'!$ı$226)</f>
      </c>
      <c r="IH226">
        <f>IF(ISBLANK('Data Entry'!$Ĳ$226), "", 'Data Entry'!$Ĳ$226)</f>
      </c>
      <c r="II226">
        <f>IF(ISBLANK('Data Entry'!$ĳ$226), "", 'Data Entry'!$ĳ$226)</f>
      </c>
      <c r="IJ226">
        <f>IF(ISBLANK('Data Entry'!$Ĵ$226), "", 'Data Entry'!$Ĵ$226)</f>
      </c>
      <c r="IK226">
        <f>IF(ISBLANK('Data Entry'!$ĵ$226), "", 'Data Entry'!$ĵ$226)</f>
      </c>
      <c r="IL226">
        <f>IF(ISBLANK('Data Entry'!$Ķ$226), "", 'Data Entry'!$Ķ$226)</f>
      </c>
      <c r="IM226">
        <f>IF(ISBLANK('Data Entry'!$ķ$226), "", 'Data Entry'!$ķ$226)</f>
      </c>
      <c r="IN226">
        <f>IF(ISBLANK('Data Entry'!$ĸ$226), "", 'Data Entry'!$ĸ$226)</f>
      </c>
      <c r="IO226">
        <f>IF(ISBLANK('Data Entry'!$Ĺ$226), "", 'Data Entry'!$Ĺ$226)</f>
      </c>
      <c r="IP226">
        <f>IF(ISBLANK('Data Entry'!$ĺ$226), "", 'Data Entry'!$ĺ$226)</f>
      </c>
      <c r="IQ226">
        <f>IF(ISBLANK('Data Entry'!$Ļ$226), "", 'Data Entry'!$Ļ$226)</f>
      </c>
      <c r="IR226">
        <f>IF(ISBLANK('Data Entry'!$ļ$226), "", 'Data Entry'!$ļ$226)</f>
      </c>
      <c r="IS226">
        <f>IF(ISBLANK('Data Entry'!$Ľ$226), "", 'Data Entry'!$Ľ$226)</f>
      </c>
      <c r="IT226">
        <f>IF(ISBLANK('Data Entry'!$ľ$226), "", 'Data Entry'!$ľ$226)</f>
      </c>
    </row>
    <row r="227" spans="1:254" x14ac:dyDescent="0.25">
      <c r="A227">
        <f>IF(ISBLANK('Data Entry'!$A$227), "", 'Data Entry'!$A$227)</f>
      </c>
      <c r="B227">
        <f>IF(ISBLANK('Data Entry'!$B$227), "", 'Data Entry'!$B$227)</f>
      </c>
      <c r="C227">
        <f>IF(ISBLANK('Data Entry'!$C$227), "", 'Data Entry'!$C$227)</f>
      </c>
      <c r="D227">
        <f>IF(ISBLANK('Data Entry'!$D$227), "", 'Data Entry'!$D$227)</f>
      </c>
      <c r="E227">
        <f>IF(ISBLANK('Data Entry'!$E$227), "", 'Data Entry'!$E$227)</f>
      </c>
      <c r="F227">
        <f>IF(ISBLANK('Data Entry'!$F$227), "", 'Data Entry'!$F$227)</f>
      </c>
      <c r="G227">
        <f>IF(ISBLANK('Data Entry'!$G$227), "", 'Data Entry'!$G$227)</f>
      </c>
      <c r="H227">
        <f>IF(ISBLANK('Data Entry'!$H$227), "", 'Data Entry'!$H$227)</f>
      </c>
      <c r="I227">
        <f>IF(ISBLANK('Data Entry'!$I$227), "", 'Data Entry'!$I$227)</f>
      </c>
      <c r="J227">
        <f>IF(ISBLANK('Data Entry'!$J$227), "", 'Data Entry'!$J$227)</f>
      </c>
      <c r="K227">
        <f>IF(ISBLANK('Data Entry'!$K$227), "", 'Data Entry'!$K$227)</f>
      </c>
      <c r="L227">
        <f>IF(ISBLANK('Data Entry'!$L$227), "", 'Data Entry'!$L$227)</f>
      </c>
      <c r="M227">
        <f>IF(ISBLANK('Data Entry'!$M$227), "", 'Data Entry'!$M$227)</f>
      </c>
      <c r="N227">
        <f>IF(ISBLANK('Data Entry'!$N$227), "", 'Data Entry'!$N$227)</f>
      </c>
      <c r="O227">
        <f>IF(ISBLANK('Data Entry'!$O$227), "", 'Data Entry'!$O$227)</f>
      </c>
      <c r="P227">
        <f>IF(ISBLANK('Data Entry'!$P$227), "", 'Data Entry'!$P$227)</f>
      </c>
      <c r="Q227">
        <f>IF(ISBLANK('Data Entry'!$Q$227), "", 'Data Entry'!$Q$227)</f>
      </c>
      <c r="R227">
        <f>IF(ISBLANK('Data Entry'!$R$227), "", 'Data Entry'!$R$227)</f>
      </c>
      <c r="S227">
        <f>IF(ISBLANK('Data Entry'!$S$227), "", 'Data Entry'!$S$227)</f>
      </c>
      <c r="T227">
        <f>IF(ISBLANK('Data Entry'!$T$227), "", 'Data Entry'!$T$227)</f>
      </c>
      <c r="U227">
        <f>IF(ISBLANK('Data Entry'!$U$227), "", 'Data Entry'!$U$227)</f>
      </c>
      <c r="V227">
        <f>IF(ISBLANK('Data Entry'!$V$227), "", 'Data Entry'!$V$227)</f>
      </c>
      <c r="W227">
        <f>IF(ISBLANK('Data Entry'!$W$227), "", 'Data Entry'!$W$227)</f>
      </c>
      <c r="X227">
        <f>IF(ISBLANK('Data Entry'!$X$227), "", 'Data Entry'!$X$227)</f>
      </c>
      <c r="Y227">
        <f>IF(ISBLANK('Data Entry'!$Y$227), "", 'Data Entry'!$Y$227)</f>
      </c>
      <c r="Z227">
        <f>IF(ISBLANK('Data Entry'!$Z$227), "", 'Data Entry'!$Z$227)</f>
      </c>
      <c r="AA227">
        <f>IF(ISBLANK('Data Entry'!$[$227), "", 'Data Entry'!$[$227)</f>
      </c>
      <c r="AB227">
        <f>IF(ISBLANK('Data Entry'!$\$227), "", 'Data Entry'!$\$227)</f>
      </c>
      <c r="AC227">
        <f>IF(ISBLANK('Data Entry'!$]$227), "", 'Data Entry'!$]$227)</f>
      </c>
      <c r="AD227">
        <f>IF(ISBLANK('Data Entry'!$^$227), "", 'Data Entry'!$^$227)</f>
      </c>
      <c r="AE227">
        <f>IF(ISBLANK('Data Entry'!$_$227), "", 'Data Entry'!$_$227)</f>
      </c>
      <c r="AF227">
        <f>IF(ISBLANK('Data Entry'!$`$227), "", 'Data Entry'!$`$227)</f>
      </c>
      <c r="AG227">
        <f>IF(ISBLANK('Data Entry'!$a$227), "", 'Data Entry'!$a$227)</f>
      </c>
      <c r="AH227">
        <f>IF(ISBLANK('Data Entry'!$b$227), "", 'Data Entry'!$b$227)</f>
      </c>
      <c r="AI227">
        <f>IF(ISBLANK('Data Entry'!$c$227), "", 'Data Entry'!$c$227)</f>
      </c>
      <c r="AJ227">
        <f>IF(ISBLANK('Data Entry'!$d$227), "", 'Data Entry'!$d$227)</f>
      </c>
      <c r="AK227">
        <f>IF(ISBLANK('Data Entry'!$e$227), "", 'Data Entry'!$e$227)</f>
      </c>
      <c r="AL227">
        <f>IF(ISBLANK('Data Entry'!$f$227), "", 'Data Entry'!$f$227)</f>
      </c>
      <c r="AM227">
        <f>IF(ISBLANK('Data Entry'!$g$227), "", 'Data Entry'!$g$227)</f>
      </c>
      <c r="AN227">
        <f>IF(ISBLANK('Data Entry'!$h$227), "", 'Data Entry'!$h$227)</f>
      </c>
      <c r="AO227">
        <f>IF(ISBLANK('Data Entry'!$i$227), "", 'Data Entry'!$i$227)</f>
      </c>
      <c r="AP227">
        <f>IF(ISBLANK('Data Entry'!$j$227), "", 'Data Entry'!$j$227)</f>
      </c>
      <c r="AQ227">
        <f>IF(ISBLANK('Data Entry'!$k$227), "", 'Data Entry'!$k$227)</f>
      </c>
      <c r="AR227">
        <f>IF(ISBLANK('Data Entry'!$l$227), "", 'Data Entry'!$l$227)</f>
      </c>
      <c r="AS227">
        <f>IF(ISBLANK('Data Entry'!$m$227), "", 'Data Entry'!$m$227)</f>
      </c>
      <c r="AT227">
        <f>IF(ISBLANK('Data Entry'!$n$227), "", 'Data Entry'!$n$227)</f>
      </c>
      <c r="AU227">
        <f>IF(ISBLANK('Data Entry'!$o$227), "", 'Data Entry'!$o$227)</f>
      </c>
      <c r="AV227">
        <f>IF(ISBLANK('Data Entry'!$p$227), "", 'Data Entry'!$p$227)</f>
      </c>
      <c r="AW227">
        <f>IF(ISBLANK('Data Entry'!$q$227), "", 'Data Entry'!$q$227)</f>
      </c>
      <c r="AX227">
        <f>IF(ISBLANK('Data Entry'!$r$227), "", 'Data Entry'!$r$227)</f>
      </c>
      <c r="AY227">
        <f>IF(ISBLANK('Data Entry'!$s$227), "", 'Data Entry'!$s$227)</f>
      </c>
      <c r="AZ227">
        <f>IF(ISBLANK('Data Entry'!$t$227), "", 'Data Entry'!$t$227)</f>
      </c>
      <c r="BA227">
        <f>IF(ISBLANK('Data Entry'!$u$227), "", 'Data Entry'!$u$227)</f>
      </c>
      <c r="BB227">
        <f>IF(ISBLANK('Data Entry'!$v$227), "", 'Data Entry'!$v$227)</f>
      </c>
      <c r="BC227">
        <f>IF(ISBLANK('Data Entry'!$w$227), "", 'Data Entry'!$w$227)</f>
      </c>
      <c r="BD227">
        <f>IF(ISBLANK('Data Entry'!$x$227), "", 'Data Entry'!$x$227)</f>
      </c>
      <c r="BE227">
        <f>IF(ISBLANK('Data Entry'!$y$227), "", 'Data Entry'!$y$227)</f>
      </c>
      <c r="BF227">
        <f>IF(ISBLANK('Data Entry'!$z$227), "", 'Data Entry'!$z$227)</f>
      </c>
      <c r="BG227">
        <f>IF(ISBLANK('Data Entry'!${$227), "", 'Data Entry'!${$227)</f>
      </c>
      <c r="BH227">
        <f>IF(ISBLANK('Data Entry'!$|$227), "", 'Data Entry'!$|$227)</f>
      </c>
      <c r="BI227">
        <f>IF(ISBLANK('Data Entry'!$}$227), "", 'Data Entry'!$}$227)</f>
      </c>
      <c r="BJ227">
        <f>IF(ISBLANK('Data Entry'!$~$227), "", 'Data Entry'!$~$227)</f>
      </c>
      <c r="BK227">
        <f>IF(ISBLANK('Data Entry'!$$227), "", 'Data Entry'!$$227)</f>
      </c>
      <c r="BL227">
        <f>IF(ISBLANK('Data Entry'!$$227), "", 'Data Entry'!$$227)</f>
      </c>
      <c r="BM227">
        <f>IF(ISBLANK('Data Entry'!$$227), "", 'Data Entry'!$$227)</f>
      </c>
      <c r="BN227">
        <f>IF(ISBLANK('Data Entry'!$$227), "", 'Data Entry'!$$227)</f>
      </c>
      <c r="BO227">
        <f>IF(ISBLANK('Data Entry'!$$227), "", 'Data Entry'!$$227)</f>
      </c>
      <c r="BP227">
        <f>IF(ISBLANK('Data Entry'!$$227), "", 'Data Entry'!$$227)</f>
      </c>
      <c r="BQ227">
        <f>IF(ISBLANK('Data Entry'!$$227), "", 'Data Entry'!$$227)</f>
      </c>
      <c r="BR227">
        <f>IF(ISBLANK('Data Entry'!$$227), "", 'Data Entry'!$$227)</f>
      </c>
      <c r="BS227">
        <f>IF(ISBLANK('Data Entry'!$$227), "", 'Data Entry'!$$227)</f>
      </c>
      <c r="BT227">
        <f>IF(ISBLANK('Data Entry'!$$227), "", 'Data Entry'!$$227)</f>
      </c>
      <c r="BU227">
        <f>IF(ISBLANK('Data Entry'!$$227), "", 'Data Entry'!$$227)</f>
      </c>
      <c r="BV227">
        <f>IF(ISBLANK('Data Entry'!$$227), "", 'Data Entry'!$$227)</f>
      </c>
      <c r="BW227">
        <f>IF(ISBLANK('Data Entry'!$$227), "", 'Data Entry'!$$227)</f>
      </c>
      <c r="BX227">
        <f>IF(ISBLANK('Data Entry'!$$227), "", 'Data Entry'!$$227)</f>
      </c>
      <c r="BY227">
        <f>IF(ISBLANK('Data Entry'!$$227), "", 'Data Entry'!$$227)</f>
      </c>
      <c r="BZ227">
        <f>IF(ISBLANK('Data Entry'!$$227), "", 'Data Entry'!$$227)</f>
      </c>
      <c r="CA227">
        <f>IF(ISBLANK('Data Entry'!$$227), "", 'Data Entry'!$$227)</f>
      </c>
      <c r="CB227">
        <f>IF(ISBLANK('Data Entry'!$$227), "", 'Data Entry'!$$227)</f>
      </c>
      <c r="CC227">
        <f>IF(ISBLANK('Data Entry'!$$227), "", 'Data Entry'!$$227)</f>
      </c>
      <c r="CD227">
        <f>IF(ISBLANK('Data Entry'!$$227), "", 'Data Entry'!$$227)</f>
      </c>
      <c r="CE227">
        <f>IF(ISBLANK('Data Entry'!$$227), "", 'Data Entry'!$$227)</f>
      </c>
      <c r="CF227">
        <f>IF(ISBLANK('Data Entry'!$$227), "", 'Data Entry'!$$227)</f>
      </c>
      <c r="CG227">
        <f>IF(ISBLANK('Data Entry'!$$227), "", 'Data Entry'!$$227)</f>
      </c>
      <c r="CH227">
        <f>IF(ISBLANK('Data Entry'!$$227), "", 'Data Entry'!$$227)</f>
      </c>
      <c r="CI227">
        <f>IF(ISBLANK('Data Entry'!$$227), "", 'Data Entry'!$$227)</f>
      </c>
      <c r="CJ227">
        <f>IF(ISBLANK('Data Entry'!$$227), "", 'Data Entry'!$$227)</f>
      </c>
      <c r="CK227">
        <f>IF(ISBLANK('Data Entry'!$$227), "", 'Data Entry'!$$227)</f>
      </c>
      <c r="CL227">
        <f>IF(ISBLANK('Data Entry'!$$227), "", 'Data Entry'!$$227)</f>
      </c>
      <c r="CM227">
        <f>IF(ISBLANK('Data Entry'!$$227), "", 'Data Entry'!$$227)</f>
      </c>
      <c r="CN227">
        <f>IF(ISBLANK('Data Entry'!$$227), "", 'Data Entry'!$$227)</f>
      </c>
      <c r="CO227">
        <f>IF(ISBLANK('Data Entry'!$$227), "", 'Data Entry'!$$227)</f>
      </c>
      <c r="CP227">
        <f>IF(ISBLANK('Data Entry'!$$227), "", 'Data Entry'!$$227)</f>
      </c>
      <c r="CQ227">
        <f>IF(ISBLANK('Data Entry'!$$227), "", 'Data Entry'!$$227)</f>
      </c>
      <c r="CR227">
        <f>IF(ISBLANK('Data Entry'!$ $227), "", 'Data Entry'!$ $227)</f>
      </c>
      <c r="CS227">
        <f>IF(ISBLANK('Data Entry'!$¡$227), "", 'Data Entry'!$¡$227)</f>
      </c>
      <c r="CT227">
        <f>IF(ISBLANK('Data Entry'!$¢$227), "", 'Data Entry'!$¢$227)</f>
      </c>
      <c r="CU227">
        <f>IF(ISBLANK('Data Entry'!$£$227), "", 'Data Entry'!$£$227)</f>
      </c>
      <c r="CV227">
        <f>IF(ISBLANK('Data Entry'!$¤$227), "", 'Data Entry'!$¤$227)</f>
      </c>
      <c r="CW227">
        <f>IF(ISBLANK('Data Entry'!$¥$227), "", 'Data Entry'!$¥$227)</f>
      </c>
      <c r="CX227">
        <f>IF(ISBLANK('Data Entry'!$¦$227), "", 'Data Entry'!$¦$227)</f>
      </c>
      <c r="CY227">
        <f>IF(ISBLANK('Data Entry'!$§$227), "", 'Data Entry'!$§$227)</f>
      </c>
      <c r="CZ227">
        <f>IF(ISBLANK('Data Entry'!$¨$227), "", 'Data Entry'!$¨$227)</f>
      </c>
      <c r="DA227">
        <f>IF(ISBLANK('Data Entry'!$©$227), "", 'Data Entry'!$©$227)</f>
      </c>
      <c r="DB227">
        <f>IF(ISBLANK('Data Entry'!$ª$227), "", 'Data Entry'!$ª$227)</f>
      </c>
      <c r="DC227">
        <f>IF(ISBLANK('Data Entry'!$«$227), "", 'Data Entry'!$«$227)</f>
      </c>
      <c r="DD227">
        <f>IF(ISBLANK('Data Entry'!$¬$227), "", 'Data Entry'!$¬$227)</f>
      </c>
      <c r="DE227">
        <f>IF(ISBLANK('Data Entry'!$­$227), "", 'Data Entry'!$­$227)</f>
      </c>
      <c r="DF227">
        <f>IF(ISBLANK('Data Entry'!$®$227), "", 'Data Entry'!$®$227)</f>
      </c>
      <c r="DG227">
        <f>IF(ISBLANK('Data Entry'!$¯$227), "", 'Data Entry'!$¯$227)</f>
      </c>
      <c r="DH227">
        <f>IF(ISBLANK('Data Entry'!$°$227), "", 'Data Entry'!$°$227)</f>
      </c>
      <c r="DI227">
        <f>IF(ISBLANK('Data Entry'!$±$227), "", 'Data Entry'!$±$227)</f>
      </c>
      <c r="DJ227">
        <f>IF(ISBLANK('Data Entry'!$²$227), "", 'Data Entry'!$²$227)</f>
      </c>
      <c r="DK227">
        <f>IF(ISBLANK('Data Entry'!$³$227), "", 'Data Entry'!$³$227)</f>
      </c>
      <c r="DL227">
        <f>IF(ISBLANK('Data Entry'!$´$227), "", 'Data Entry'!$´$227)</f>
      </c>
      <c r="DM227">
        <f>IF(ISBLANK('Data Entry'!$µ$227), "", 'Data Entry'!$µ$227)</f>
      </c>
      <c r="DN227">
        <f>IF(ISBLANK('Data Entry'!$¶$227), "", 'Data Entry'!$¶$227)</f>
      </c>
      <c r="DO227">
        <f>IF(ISBLANK('Data Entry'!$·$227), "", 'Data Entry'!$·$227)</f>
      </c>
      <c r="DP227">
        <f>IF(ISBLANK('Data Entry'!$¸$227), "", 'Data Entry'!$¸$227)</f>
      </c>
      <c r="DQ227">
        <f>IF(ISBLANK('Data Entry'!$¹$227), "", 'Data Entry'!$¹$227)</f>
      </c>
      <c r="DR227">
        <f>IF(ISBLANK('Data Entry'!$º$227), "", 'Data Entry'!$º$227)</f>
      </c>
      <c r="DS227">
        <f>IF(ISBLANK('Data Entry'!$»$227), "", 'Data Entry'!$»$227)</f>
      </c>
      <c r="DT227">
        <f>IF(ISBLANK('Data Entry'!$¼$227), "", 'Data Entry'!$¼$227)</f>
      </c>
      <c r="DU227">
        <f>IF(ISBLANK('Data Entry'!$½$227), "", 'Data Entry'!$½$227)</f>
      </c>
      <c r="DV227">
        <f>IF(ISBLANK('Data Entry'!$¾$227), "", 'Data Entry'!$¾$227)</f>
      </c>
      <c r="DW227">
        <f>IF(ISBLANK('Data Entry'!$¿$227), "", 'Data Entry'!$¿$227)</f>
      </c>
      <c r="DX227">
        <f>IF(ISBLANK('Data Entry'!$À$227), "", 'Data Entry'!$À$227)</f>
      </c>
      <c r="DY227">
        <f>IF(ISBLANK('Data Entry'!$Á$227), "", 'Data Entry'!$Á$227)</f>
      </c>
      <c r="DZ227">
        <f>IF(ISBLANK('Data Entry'!$Â$227), "", 'Data Entry'!$Â$227)</f>
      </c>
      <c r="EA227">
        <f>IF(ISBLANK('Data Entry'!$Ã$227), "", 'Data Entry'!$Ã$227)</f>
      </c>
      <c r="EB227">
        <f>IF(ISBLANK('Data Entry'!$Ä$227), "", 'Data Entry'!$Ä$227)</f>
      </c>
      <c r="EC227">
        <f>IF(ISBLANK('Data Entry'!$Å$227), "", 'Data Entry'!$Å$227)</f>
      </c>
      <c r="ED227">
        <f>IF(ISBLANK('Data Entry'!$Æ$227), "", 'Data Entry'!$Æ$227)</f>
      </c>
      <c r="EE227">
        <f>IF(ISBLANK('Data Entry'!$Ç$227), "", 'Data Entry'!$Ç$227)</f>
      </c>
      <c r="EF227">
        <f>IF(ISBLANK('Data Entry'!$È$227), "", 'Data Entry'!$È$227)</f>
      </c>
      <c r="EG227">
        <f>IF(ISBLANK('Data Entry'!$É$227), "", 'Data Entry'!$É$227)</f>
      </c>
      <c r="EH227">
        <f>IF(ISBLANK('Data Entry'!$Ê$227), "", 'Data Entry'!$Ê$227)</f>
      </c>
      <c r="EI227">
        <f>IF(ISBLANK('Data Entry'!$Ë$227), "", 'Data Entry'!$Ë$227)</f>
      </c>
      <c r="EJ227">
        <f>IF(ISBLANK('Data Entry'!$Ì$227), "", 'Data Entry'!$Ì$227)</f>
      </c>
      <c r="EK227">
        <f>IF(ISBLANK('Data Entry'!$Í$227), "", 'Data Entry'!$Í$227)</f>
      </c>
      <c r="EL227">
        <f>IF(ISBLANK('Data Entry'!$Î$227), "", 'Data Entry'!$Î$227)</f>
      </c>
      <c r="EM227">
        <f>IF(ISBLANK('Data Entry'!$Ï$227), "", 'Data Entry'!$Ï$227)</f>
      </c>
      <c r="EN227">
        <f>IF(ISBLANK('Data Entry'!$Ð$227), "", 'Data Entry'!$Ð$227)</f>
      </c>
      <c r="EO227">
        <f>IF(ISBLANK('Data Entry'!$Ñ$227), "", 'Data Entry'!$Ñ$227)</f>
      </c>
      <c r="EP227">
        <f>IF(ISBLANK('Data Entry'!$Ò$227), "", 'Data Entry'!$Ò$227)</f>
      </c>
      <c r="EQ227">
        <f>IF(ISBLANK('Data Entry'!$Ó$227), "", 'Data Entry'!$Ó$227)</f>
      </c>
      <c r="ER227">
        <f>IF(ISBLANK('Data Entry'!$Ô$227), "", 'Data Entry'!$Ô$227)</f>
      </c>
      <c r="ES227">
        <f>IF(ISBLANK('Data Entry'!$Õ$227), "", 'Data Entry'!$Õ$227)</f>
      </c>
      <c r="ET227">
        <f>IF(ISBLANK('Data Entry'!$Ö$227), "", 'Data Entry'!$Ö$227)</f>
      </c>
      <c r="EU227">
        <f>IF(ISBLANK('Data Entry'!$×$227), "", 'Data Entry'!$×$227)</f>
      </c>
      <c r="EV227">
        <f>IF(ISBLANK('Data Entry'!$Ø$227), "", 'Data Entry'!$Ø$227)</f>
      </c>
      <c r="EW227">
        <f>IF(ISBLANK('Data Entry'!$Ù$227), "", 'Data Entry'!$Ù$227)</f>
      </c>
      <c r="EX227">
        <f>IF(ISBLANK('Data Entry'!$Ú$227), "", 'Data Entry'!$Ú$227)</f>
      </c>
      <c r="EY227">
        <f>IF(ISBLANK('Data Entry'!$Û$227), "", 'Data Entry'!$Û$227)</f>
      </c>
      <c r="EZ227">
        <f>IF(ISBLANK('Data Entry'!$Ü$227), "", 'Data Entry'!$Ü$227)</f>
      </c>
      <c r="FA227">
        <f>IF(ISBLANK('Data Entry'!$Ý$227), "", 'Data Entry'!$Ý$227)</f>
      </c>
      <c r="FB227">
        <f>IF(ISBLANK('Data Entry'!$Þ$227), "", 'Data Entry'!$Þ$227)</f>
      </c>
      <c r="FC227">
        <f>IF(ISBLANK('Data Entry'!$ß$227), "", 'Data Entry'!$ß$227)</f>
      </c>
      <c r="FD227">
        <f>IF(ISBLANK('Data Entry'!$à$227), "", 'Data Entry'!$à$227)</f>
      </c>
      <c r="FE227">
        <f>IF(ISBLANK('Data Entry'!$á$227), "", 'Data Entry'!$á$227)</f>
      </c>
      <c r="FF227">
        <f>IF(ISBLANK('Data Entry'!$â$227), "", 'Data Entry'!$â$227)</f>
      </c>
      <c r="FG227">
        <f>IF(ISBLANK('Data Entry'!$ã$227), "", 'Data Entry'!$ã$227)</f>
      </c>
      <c r="FH227">
        <f>IF(ISBLANK('Data Entry'!$ä$227), "", 'Data Entry'!$ä$227)</f>
      </c>
      <c r="FI227">
        <f>IF(ISBLANK('Data Entry'!$å$227), "", 'Data Entry'!$å$227)</f>
      </c>
      <c r="FJ227">
        <f>IF(ISBLANK('Data Entry'!$æ$227), "", 'Data Entry'!$æ$227)</f>
      </c>
      <c r="FK227">
        <f>IF(ISBLANK('Data Entry'!$ç$227), "", 'Data Entry'!$ç$227)</f>
      </c>
      <c r="FL227">
        <f>IF(ISBLANK('Data Entry'!$è$227), "", 'Data Entry'!$è$227)</f>
      </c>
      <c r="FM227">
        <f>IF(ISBLANK('Data Entry'!$é$227), "", 'Data Entry'!$é$227)</f>
      </c>
      <c r="FN227">
        <f>IF(ISBLANK('Data Entry'!$ê$227), "", 'Data Entry'!$ê$227)</f>
      </c>
      <c r="FO227">
        <f>IF(ISBLANK('Data Entry'!$ë$227), "", 'Data Entry'!$ë$227)</f>
      </c>
      <c r="FP227">
        <f>IF(ISBLANK('Data Entry'!$ì$227), "", 'Data Entry'!$ì$227)</f>
      </c>
      <c r="FQ227">
        <f>IF(ISBLANK('Data Entry'!$í$227), "", 'Data Entry'!$í$227)</f>
      </c>
      <c r="FR227">
        <f>IF(ISBLANK('Data Entry'!$î$227), "", 'Data Entry'!$î$227)</f>
      </c>
      <c r="FS227">
        <f>IF(ISBLANK('Data Entry'!$ï$227), "", 'Data Entry'!$ï$227)</f>
      </c>
      <c r="FT227">
        <f>IF(ISBLANK('Data Entry'!$ð$227), "", 'Data Entry'!$ð$227)</f>
      </c>
      <c r="FU227">
        <f>IF(ISBLANK('Data Entry'!$ñ$227), "", 'Data Entry'!$ñ$227)</f>
      </c>
      <c r="FV227">
        <f>IF(ISBLANK('Data Entry'!$ò$227), "", 'Data Entry'!$ò$227)</f>
      </c>
      <c r="FW227">
        <f>IF(ISBLANK('Data Entry'!$ó$227), "", 'Data Entry'!$ó$227)</f>
      </c>
      <c r="FX227">
        <f>IF(ISBLANK('Data Entry'!$ô$227), "", 'Data Entry'!$ô$227)</f>
      </c>
      <c r="FY227">
        <f>IF(ISBLANK('Data Entry'!$õ$227), "", 'Data Entry'!$õ$227)</f>
      </c>
      <c r="FZ227">
        <f>IF(ISBLANK('Data Entry'!$ö$227), "", 'Data Entry'!$ö$227)</f>
      </c>
      <c r="GA227">
        <f>IF(ISBLANK('Data Entry'!$÷$227), "", 'Data Entry'!$÷$227)</f>
      </c>
      <c r="GB227">
        <f>IF(ISBLANK('Data Entry'!$ø$227), "", 'Data Entry'!$ø$227)</f>
      </c>
      <c r="GC227">
        <f>IF(ISBLANK('Data Entry'!$ù$227), "", 'Data Entry'!$ù$227)</f>
      </c>
      <c r="GD227">
        <f>IF(ISBLANK('Data Entry'!$ú$227), "", 'Data Entry'!$ú$227)</f>
      </c>
      <c r="GE227">
        <f>IF(ISBLANK('Data Entry'!$û$227), "", 'Data Entry'!$û$227)</f>
      </c>
      <c r="GF227">
        <f>IF(ISBLANK('Data Entry'!$ü$227), "", 'Data Entry'!$ü$227)</f>
      </c>
      <c r="GG227">
        <f>IF(ISBLANK('Data Entry'!$ý$227), "", 'Data Entry'!$ý$227)</f>
      </c>
      <c r="GH227">
        <f>IF(ISBLANK('Data Entry'!$þ$227), "", 'Data Entry'!$þ$227)</f>
      </c>
      <c r="GI227">
        <f>IF(ISBLANK('Data Entry'!$ÿ$227), "", 'Data Entry'!$ÿ$227)</f>
      </c>
      <c r="GJ227">
        <f>IF(ISBLANK('Data Entry'!$Ā$227), "", 'Data Entry'!$Ā$227)</f>
      </c>
      <c r="GK227">
        <f>IF(ISBLANK('Data Entry'!$ā$227), "", 'Data Entry'!$ā$227)</f>
      </c>
      <c r="GL227">
        <f>IF(ISBLANK('Data Entry'!$Ă$227), "", 'Data Entry'!$Ă$227)</f>
      </c>
      <c r="GM227">
        <f>IF(ISBLANK('Data Entry'!$ă$227), "", 'Data Entry'!$ă$227)</f>
      </c>
      <c r="GN227">
        <f>IF(ISBLANK('Data Entry'!$Ą$227), "", 'Data Entry'!$Ą$227)</f>
      </c>
      <c r="GO227">
        <f>IF(ISBLANK('Data Entry'!$ą$227), "", 'Data Entry'!$ą$227)</f>
      </c>
      <c r="GP227">
        <f>IF(ISBLANK('Data Entry'!$Ć$227), "", 'Data Entry'!$Ć$227)</f>
      </c>
      <c r="GQ227">
        <f>IF(ISBLANK('Data Entry'!$ć$227), "", 'Data Entry'!$ć$227)</f>
      </c>
      <c r="GR227">
        <f>IF(ISBLANK('Data Entry'!$Ĉ$227), "", 'Data Entry'!$Ĉ$227)</f>
      </c>
      <c r="GS227">
        <f>IF(ISBLANK('Data Entry'!$ĉ$227), "", 'Data Entry'!$ĉ$227)</f>
      </c>
      <c r="GT227">
        <f>IF(ISBLANK('Data Entry'!$Ċ$227), "", 'Data Entry'!$Ċ$227)</f>
      </c>
      <c r="GU227">
        <f>IF(ISBLANK('Data Entry'!$ċ$227), "", 'Data Entry'!$ċ$227)</f>
      </c>
      <c r="GV227">
        <f>IF(ISBLANK('Data Entry'!$Č$227), "", 'Data Entry'!$Č$227)</f>
      </c>
      <c r="GW227">
        <f>IF(ISBLANK('Data Entry'!$č$227), "", 'Data Entry'!$č$227)</f>
      </c>
      <c r="GX227">
        <f>IF(ISBLANK('Data Entry'!$Ď$227), "", 'Data Entry'!$Ď$227)</f>
      </c>
      <c r="GY227">
        <f>IF(ISBLANK('Data Entry'!$ď$227), "", 'Data Entry'!$ď$227)</f>
      </c>
      <c r="GZ227">
        <f>IF(ISBLANK('Data Entry'!$Đ$227), "", 'Data Entry'!$Đ$227)</f>
      </c>
      <c r="HA227">
        <f>IF(ISBLANK('Data Entry'!$đ$227), "", 'Data Entry'!$đ$227)</f>
      </c>
      <c r="HB227">
        <f>IF(ISBLANK('Data Entry'!$Ē$227), "", 'Data Entry'!$Ē$227)</f>
      </c>
      <c r="HC227">
        <f>IF(ISBLANK('Data Entry'!$ē$227), "", 'Data Entry'!$ē$227)</f>
      </c>
      <c r="HD227">
        <f>IF(ISBLANK('Data Entry'!$Ĕ$227), "", 'Data Entry'!$Ĕ$227)</f>
      </c>
      <c r="HE227">
        <f>IF(ISBLANK('Data Entry'!$ĕ$227), "", 'Data Entry'!$ĕ$227)</f>
      </c>
      <c r="HF227">
        <f>IF(ISBLANK('Data Entry'!$Ė$227), "", 'Data Entry'!$Ė$227)</f>
      </c>
      <c r="HG227">
        <f>IF(ISBLANK('Data Entry'!$ė$227), "", 'Data Entry'!$ė$227)</f>
      </c>
      <c r="HH227">
        <f>IF(ISBLANK('Data Entry'!$Ę$227), "", 'Data Entry'!$Ę$227)</f>
      </c>
      <c r="HI227">
        <f>IF(ISBLANK('Data Entry'!$ę$227), "", 'Data Entry'!$ę$227)</f>
      </c>
      <c r="HJ227">
        <f>IF(ISBLANK('Data Entry'!$Ě$227), "", 'Data Entry'!$Ě$227)</f>
      </c>
      <c r="HK227">
        <f>IF(ISBLANK('Data Entry'!$ě$227), "", 'Data Entry'!$ě$227)</f>
      </c>
      <c r="HL227">
        <f>IF(ISBLANK('Data Entry'!$Ĝ$227), "", 'Data Entry'!$Ĝ$227)</f>
      </c>
      <c r="HM227">
        <f>IF(ISBLANK('Data Entry'!$ĝ$227), "", 'Data Entry'!$ĝ$227)</f>
      </c>
      <c r="HN227">
        <f>IF(ISBLANK('Data Entry'!$Ğ$227), "", 'Data Entry'!$Ğ$227)</f>
      </c>
      <c r="HO227">
        <f>IF(ISBLANK('Data Entry'!$ğ$227), "", 'Data Entry'!$ğ$227)</f>
      </c>
      <c r="HP227">
        <f>IF(ISBLANK('Data Entry'!$Ġ$227), "", 'Data Entry'!$Ġ$227)</f>
      </c>
      <c r="HQ227">
        <f>IF(ISBLANK('Data Entry'!$ġ$227), "", 'Data Entry'!$ġ$227)</f>
      </c>
      <c r="HR227">
        <f>IF(ISBLANK('Data Entry'!$Ģ$227), "", 'Data Entry'!$Ģ$227)</f>
      </c>
      <c r="HS227">
        <f>IF(ISBLANK('Data Entry'!$ģ$227), "", 'Data Entry'!$ģ$227)</f>
      </c>
      <c r="HT227">
        <f>IF(ISBLANK('Data Entry'!$Ĥ$227), "", 'Data Entry'!$Ĥ$227)</f>
      </c>
      <c r="HU227">
        <f>IF(ISBLANK('Data Entry'!$ĥ$227), "", 'Data Entry'!$ĥ$227)</f>
      </c>
      <c r="HV227">
        <f>IF(ISBLANK('Data Entry'!$Ħ$227), "", 'Data Entry'!$Ħ$227)</f>
      </c>
      <c r="HW227">
        <f>IF(ISBLANK('Data Entry'!$ħ$227), "", 'Data Entry'!$ħ$227)</f>
      </c>
      <c r="HX227">
        <f>IF(ISBLANK('Data Entry'!$Ĩ$227), "", 'Data Entry'!$Ĩ$227)</f>
      </c>
      <c r="HY227">
        <f>IF(ISBLANK('Data Entry'!$ĩ$227), "", 'Data Entry'!$ĩ$227)</f>
      </c>
      <c r="HZ227">
        <f>IF(ISBLANK('Data Entry'!$Ī$227), "", 'Data Entry'!$Ī$227)</f>
      </c>
      <c r="IA227">
        <f>IF(ISBLANK('Data Entry'!$ī$227), "", 'Data Entry'!$ī$227)</f>
      </c>
      <c r="IB227">
        <f>IF(ISBLANK('Data Entry'!$Ĭ$227), "", 'Data Entry'!$Ĭ$227)</f>
      </c>
      <c r="IC227">
        <f>IF(ISBLANK('Data Entry'!$ĭ$227), "", 'Data Entry'!$ĭ$227)</f>
      </c>
      <c r="ID227">
        <f>IF(ISBLANK('Data Entry'!$Į$227), "", 'Data Entry'!$Į$227)</f>
      </c>
      <c r="IE227">
        <f>IF(ISBLANK('Data Entry'!$į$227), "", 'Data Entry'!$į$227)</f>
      </c>
      <c r="IF227">
        <f>IF(ISBLANK('Data Entry'!$İ$227), "", 'Data Entry'!$İ$227)</f>
      </c>
      <c r="IG227">
        <f>IF(ISBLANK('Data Entry'!$ı$227), "", 'Data Entry'!$ı$227)</f>
      </c>
      <c r="IH227">
        <f>IF(ISBLANK('Data Entry'!$Ĳ$227), "", 'Data Entry'!$Ĳ$227)</f>
      </c>
      <c r="II227">
        <f>IF(ISBLANK('Data Entry'!$ĳ$227), "", 'Data Entry'!$ĳ$227)</f>
      </c>
      <c r="IJ227">
        <f>IF(ISBLANK('Data Entry'!$Ĵ$227), "", 'Data Entry'!$Ĵ$227)</f>
      </c>
      <c r="IK227">
        <f>IF(ISBLANK('Data Entry'!$ĵ$227), "", 'Data Entry'!$ĵ$227)</f>
      </c>
      <c r="IL227">
        <f>IF(ISBLANK('Data Entry'!$Ķ$227), "", 'Data Entry'!$Ķ$227)</f>
      </c>
      <c r="IM227">
        <f>IF(ISBLANK('Data Entry'!$ķ$227), "", 'Data Entry'!$ķ$227)</f>
      </c>
      <c r="IN227">
        <f>IF(ISBLANK('Data Entry'!$ĸ$227), "", 'Data Entry'!$ĸ$227)</f>
      </c>
      <c r="IO227">
        <f>IF(ISBLANK('Data Entry'!$Ĺ$227), "", 'Data Entry'!$Ĺ$227)</f>
      </c>
      <c r="IP227">
        <f>IF(ISBLANK('Data Entry'!$ĺ$227), "", 'Data Entry'!$ĺ$227)</f>
      </c>
      <c r="IQ227">
        <f>IF(ISBLANK('Data Entry'!$Ļ$227), "", 'Data Entry'!$Ļ$227)</f>
      </c>
      <c r="IR227">
        <f>IF(ISBLANK('Data Entry'!$ļ$227), "", 'Data Entry'!$ļ$227)</f>
      </c>
      <c r="IS227">
        <f>IF(ISBLANK('Data Entry'!$Ľ$227), "", 'Data Entry'!$Ľ$227)</f>
      </c>
      <c r="IT227">
        <f>IF(ISBLANK('Data Entry'!$ľ$227), "", 'Data Entry'!$ľ$227)</f>
      </c>
    </row>
    <row r="228" spans="1:254" x14ac:dyDescent="0.25">
      <c r="A228">
        <f>IF(ISBLANK('Data Entry'!$A$228), "", 'Data Entry'!$A$228)</f>
      </c>
      <c r="B228">
        <f>IF(ISBLANK('Data Entry'!$B$228), "", 'Data Entry'!$B$228)</f>
      </c>
      <c r="C228">
        <f>IF(ISBLANK('Data Entry'!$C$228), "", 'Data Entry'!$C$228)</f>
      </c>
      <c r="D228">
        <f>IF(ISBLANK('Data Entry'!$D$228), "", 'Data Entry'!$D$228)</f>
      </c>
      <c r="E228">
        <f>IF(ISBLANK('Data Entry'!$E$228), "", 'Data Entry'!$E$228)</f>
      </c>
      <c r="F228">
        <f>IF(ISBLANK('Data Entry'!$F$228), "", 'Data Entry'!$F$228)</f>
      </c>
      <c r="G228">
        <f>IF(ISBLANK('Data Entry'!$G$228), "", 'Data Entry'!$G$228)</f>
      </c>
      <c r="H228">
        <f>IF(ISBLANK('Data Entry'!$H$228), "", 'Data Entry'!$H$228)</f>
      </c>
      <c r="I228">
        <f>IF(ISBLANK('Data Entry'!$I$228), "", 'Data Entry'!$I$228)</f>
      </c>
      <c r="J228">
        <f>IF(ISBLANK('Data Entry'!$J$228), "", 'Data Entry'!$J$228)</f>
      </c>
      <c r="K228">
        <f>IF(ISBLANK('Data Entry'!$K$228), "", 'Data Entry'!$K$228)</f>
      </c>
      <c r="L228">
        <f>IF(ISBLANK('Data Entry'!$L$228), "", 'Data Entry'!$L$228)</f>
      </c>
      <c r="M228">
        <f>IF(ISBLANK('Data Entry'!$M$228), "", 'Data Entry'!$M$228)</f>
      </c>
      <c r="N228">
        <f>IF(ISBLANK('Data Entry'!$N$228), "", 'Data Entry'!$N$228)</f>
      </c>
      <c r="O228">
        <f>IF(ISBLANK('Data Entry'!$O$228), "", 'Data Entry'!$O$228)</f>
      </c>
      <c r="P228">
        <f>IF(ISBLANK('Data Entry'!$P$228), "", 'Data Entry'!$P$228)</f>
      </c>
      <c r="Q228">
        <f>IF(ISBLANK('Data Entry'!$Q$228), "", 'Data Entry'!$Q$228)</f>
      </c>
      <c r="R228">
        <f>IF(ISBLANK('Data Entry'!$R$228), "", 'Data Entry'!$R$228)</f>
      </c>
      <c r="S228">
        <f>IF(ISBLANK('Data Entry'!$S$228), "", 'Data Entry'!$S$228)</f>
      </c>
      <c r="T228">
        <f>IF(ISBLANK('Data Entry'!$T$228), "", 'Data Entry'!$T$228)</f>
      </c>
      <c r="U228">
        <f>IF(ISBLANK('Data Entry'!$U$228), "", 'Data Entry'!$U$228)</f>
      </c>
      <c r="V228">
        <f>IF(ISBLANK('Data Entry'!$V$228), "", 'Data Entry'!$V$228)</f>
      </c>
      <c r="W228">
        <f>IF(ISBLANK('Data Entry'!$W$228), "", 'Data Entry'!$W$228)</f>
      </c>
      <c r="X228">
        <f>IF(ISBLANK('Data Entry'!$X$228), "", 'Data Entry'!$X$228)</f>
      </c>
      <c r="Y228">
        <f>IF(ISBLANK('Data Entry'!$Y$228), "", 'Data Entry'!$Y$228)</f>
      </c>
      <c r="Z228">
        <f>IF(ISBLANK('Data Entry'!$Z$228), "", 'Data Entry'!$Z$228)</f>
      </c>
      <c r="AA228">
        <f>IF(ISBLANK('Data Entry'!$[$228), "", 'Data Entry'!$[$228)</f>
      </c>
      <c r="AB228">
        <f>IF(ISBLANK('Data Entry'!$\$228), "", 'Data Entry'!$\$228)</f>
      </c>
      <c r="AC228">
        <f>IF(ISBLANK('Data Entry'!$]$228), "", 'Data Entry'!$]$228)</f>
      </c>
      <c r="AD228">
        <f>IF(ISBLANK('Data Entry'!$^$228), "", 'Data Entry'!$^$228)</f>
      </c>
      <c r="AE228">
        <f>IF(ISBLANK('Data Entry'!$_$228), "", 'Data Entry'!$_$228)</f>
      </c>
      <c r="AF228">
        <f>IF(ISBLANK('Data Entry'!$`$228), "", 'Data Entry'!$`$228)</f>
      </c>
      <c r="AG228">
        <f>IF(ISBLANK('Data Entry'!$a$228), "", 'Data Entry'!$a$228)</f>
      </c>
      <c r="AH228">
        <f>IF(ISBLANK('Data Entry'!$b$228), "", 'Data Entry'!$b$228)</f>
      </c>
      <c r="AI228">
        <f>IF(ISBLANK('Data Entry'!$c$228), "", 'Data Entry'!$c$228)</f>
      </c>
      <c r="AJ228">
        <f>IF(ISBLANK('Data Entry'!$d$228), "", 'Data Entry'!$d$228)</f>
      </c>
      <c r="AK228">
        <f>IF(ISBLANK('Data Entry'!$e$228), "", 'Data Entry'!$e$228)</f>
      </c>
      <c r="AL228">
        <f>IF(ISBLANK('Data Entry'!$f$228), "", 'Data Entry'!$f$228)</f>
      </c>
      <c r="AM228">
        <f>IF(ISBLANK('Data Entry'!$g$228), "", 'Data Entry'!$g$228)</f>
      </c>
      <c r="AN228">
        <f>IF(ISBLANK('Data Entry'!$h$228), "", 'Data Entry'!$h$228)</f>
      </c>
      <c r="AO228">
        <f>IF(ISBLANK('Data Entry'!$i$228), "", 'Data Entry'!$i$228)</f>
      </c>
      <c r="AP228">
        <f>IF(ISBLANK('Data Entry'!$j$228), "", 'Data Entry'!$j$228)</f>
      </c>
      <c r="AQ228">
        <f>IF(ISBLANK('Data Entry'!$k$228), "", 'Data Entry'!$k$228)</f>
      </c>
      <c r="AR228">
        <f>IF(ISBLANK('Data Entry'!$l$228), "", 'Data Entry'!$l$228)</f>
      </c>
      <c r="AS228">
        <f>IF(ISBLANK('Data Entry'!$m$228), "", 'Data Entry'!$m$228)</f>
      </c>
      <c r="AT228">
        <f>IF(ISBLANK('Data Entry'!$n$228), "", 'Data Entry'!$n$228)</f>
      </c>
      <c r="AU228">
        <f>IF(ISBLANK('Data Entry'!$o$228), "", 'Data Entry'!$o$228)</f>
      </c>
      <c r="AV228">
        <f>IF(ISBLANK('Data Entry'!$p$228), "", 'Data Entry'!$p$228)</f>
      </c>
      <c r="AW228">
        <f>IF(ISBLANK('Data Entry'!$q$228), "", 'Data Entry'!$q$228)</f>
      </c>
      <c r="AX228">
        <f>IF(ISBLANK('Data Entry'!$r$228), "", 'Data Entry'!$r$228)</f>
      </c>
      <c r="AY228">
        <f>IF(ISBLANK('Data Entry'!$s$228), "", 'Data Entry'!$s$228)</f>
      </c>
      <c r="AZ228">
        <f>IF(ISBLANK('Data Entry'!$t$228), "", 'Data Entry'!$t$228)</f>
      </c>
      <c r="BA228">
        <f>IF(ISBLANK('Data Entry'!$u$228), "", 'Data Entry'!$u$228)</f>
      </c>
      <c r="BB228">
        <f>IF(ISBLANK('Data Entry'!$v$228), "", 'Data Entry'!$v$228)</f>
      </c>
      <c r="BC228">
        <f>IF(ISBLANK('Data Entry'!$w$228), "", 'Data Entry'!$w$228)</f>
      </c>
      <c r="BD228">
        <f>IF(ISBLANK('Data Entry'!$x$228), "", 'Data Entry'!$x$228)</f>
      </c>
      <c r="BE228">
        <f>IF(ISBLANK('Data Entry'!$y$228), "", 'Data Entry'!$y$228)</f>
      </c>
      <c r="BF228">
        <f>IF(ISBLANK('Data Entry'!$z$228), "", 'Data Entry'!$z$228)</f>
      </c>
      <c r="BG228">
        <f>IF(ISBLANK('Data Entry'!${$228), "", 'Data Entry'!${$228)</f>
      </c>
      <c r="BH228">
        <f>IF(ISBLANK('Data Entry'!$|$228), "", 'Data Entry'!$|$228)</f>
      </c>
      <c r="BI228">
        <f>IF(ISBLANK('Data Entry'!$}$228), "", 'Data Entry'!$}$228)</f>
      </c>
      <c r="BJ228">
        <f>IF(ISBLANK('Data Entry'!$~$228), "", 'Data Entry'!$~$228)</f>
      </c>
      <c r="BK228">
        <f>IF(ISBLANK('Data Entry'!$$228), "", 'Data Entry'!$$228)</f>
      </c>
      <c r="BL228">
        <f>IF(ISBLANK('Data Entry'!$$228), "", 'Data Entry'!$$228)</f>
      </c>
      <c r="BM228">
        <f>IF(ISBLANK('Data Entry'!$$228), "", 'Data Entry'!$$228)</f>
      </c>
      <c r="BN228">
        <f>IF(ISBLANK('Data Entry'!$$228), "", 'Data Entry'!$$228)</f>
      </c>
      <c r="BO228">
        <f>IF(ISBLANK('Data Entry'!$$228), "", 'Data Entry'!$$228)</f>
      </c>
      <c r="BP228">
        <f>IF(ISBLANK('Data Entry'!$$228), "", 'Data Entry'!$$228)</f>
      </c>
      <c r="BQ228">
        <f>IF(ISBLANK('Data Entry'!$$228), "", 'Data Entry'!$$228)</f>
      </c>
      <c r="BR228">
        <f>IF(ISBLANK('Data Entry'!$$228), "", 'Data Entry'!$$228)</f>
      </c>
      <c r="BS228">
        <f>IF(ISBLANK('Data Entry'!$$228), "", 'Data Entry'!$$228)</f>
      </c>
      <c r="BT228">
        <f>IF(ISBLANK('Data Entry'!$$228), "", 'Data Entry'!$$228)</f>
      </c>
      <c r="BU228">
        <f>IF(ISBLANK('Data Entry'!$$228), "", 'Data Entry'!$$228)</f>
      </c>
      <c r="BV228">
        <f>IF(ISBLANK('Data Entry'!$$228), "", 'Data Entry'!$$228)</f>
      </c>
      <c r="BW228">
        <f>IF(ISBLANK('Data Entry'!$$228), "", 'Data Entry'!$$228)</f>
      </c>
      <c r="BX228">
        <f>IF(ISBLANK('Data Entry'!$$228), "", 'Data Entry'!$$228)</f>
      </c>
      <c r="BY228">
        <f>IF(ISBLANK('Data Entry'!$$228), "", 'Data Entry'!$$228)</f>
      </c>
      <c r="BZ228">
        <f>IF(ISBLANK('Data Entry'!$$228), "", 'Data Entry'!$$228)</f>
      </c>
      <c r="CA228">
        <f>IF(ISBLANK('Data Entry'!$$228), "", 'Data Entry'!$$228)</f>
      </c>
      <c r="CB228">
        <f>IF(ISBLANK('Data Entry'!$$228), "", 'Data Entry'!$$228)</f>
      </c>
      <c r="CC228">
        <f>IF(ISBLANK('Data Entry'!$$228), "", 'Data Entry'!$$228)</f>
      </c>
      <c r="CD228">
        <f>IF(ISBLANK('Data Entry'!$$228), "", 'Data Entry'!$$228)</f>
      </c>
      <c r="CE228">
        <f>IF(ISBLANK('Data Entry'!$$228), "", 'Data Entry'!$$228)</f>
      </c>
      <c r="CF228">
        <f>IF(ISBLANK('Data Entry'!$$228), "", 'Data Entry'!$$228)</f>
      </c>
      <c r="CG228">
        <f>IF(ISBLANK('Data Entry'!$$228), "", 'Data Entry'!$$228)</f>
      </c>
      <c r="CH228">
        <f>IF(ISBLANK('Data Entry'!$$228), "", 'Data Entry'!$$228)</f>
      </c>
      <c r="CI228">
        <f>IF(ISBLANK('Data Entry'!$$228), "", 'Data Entry'!$$228)</f>
      </c>
      <c r="CJ228">
        <f>IF(ISBLANK('Data Entry'!$$228), "", 'Data Entry'!$$228)</f>
      </c>
      <c r="CK228">
        <f>IF(ISBLANK('Data Entry'!$$228), "", 'Data Entry'!$$228)</f>
      </c>
      <c r="CL228">
        <f>IF(ISBLANK('Data Entry'!$$228), "", 'Data Entry'!$$228)</f>
      </c>
      <c r="CM228">
        <f>IF(ISBLANK('Data Entry'!$$228), "", 'Data Entry'!$$228)</f>
      </c>
      <c r="CN228">
        <f>IF(ISBLANK('Data Entry'!$$228), "", 'Data Entry'!$$228)</f>
      </c>
      <c r="CO228">
        <f>IF(ISBLANK('Data Entry'!$$228), "", 'Data Entry'!$$228)</f>
      </c>
      <c r="CP228">
        <f>IF(ISBLANK('Data Entry'!$$228), "", 'Data Entry'!$$228)</f>
      </c>
      <c r="CQ228">
        <f>IF(ISBLANK('Data Entry'!$$228), "", 'Data Entry'!$$228)</f>
      </c>
      <c r="CR228">
        <f>IF(ISBLANK('Data Entry'!$ $228), "", 'Data Entry'!$ $228)</f>
      </c>
      <c r="CS228">
        <f>IF(ISBLANK('Data Entry'!$¡$228), "", 'Data Entry'!$¡$228)</f>
      </c>
      <c r="CT228">
        <f>IF(ISBLANK('Data Entry'!$¢$228), "", 'Data Entry'!$¢$228)</f>
      </c>
      <c r="CU228">
        <f>IF(ISBLANK('Data Entry'!$£$228), "", 'Data Entry'!$£$228)</f>
      </c>
      <c r="CV228">
        <f>IF(ISBLANK('Data Entry'!$¤$228), "", 'Data Entry'!$¤$228)</f>
      </c>
      <c r="CW228">
        <f>IF(ISBLANK('Data Entry'!$¥$228), "", 'Data Entry'!$¥$228)</f>
      </c>
      <c r="CX228">
        <f>IF(ISBLANK('Data Entry'!$¦$228), "", 'Data Entry'!$¦$228)</f>
      </c>
      <c r="CY228">
        <f>IF(ISBLANK('Data Entry'!$§$228), "", 'Data Entry'!$§$228)</f>
      </c>
      <c r="CZ228">
        <f>IF(ISBLANK('Data Entry'!$¨$228), "", 'Data Entry'!$¨$228)</f>
      </c>
      <c r="DA228">
        <f>IF(ISBLANK('Data Entry'!$©$228), "", 'Data Entry'!$©$228)</f>
      </c>
      <c r="DB228">
        <f>IF(ISBLANK('Data Entry'!$ª$228), "", 'Data Entry'!$ª$228)</f>
      </c>
      <c r="DC228">
        <f>IF(ISBLANK('Data Entry'!$«$228), "", 'Data Entry'!$«$228)</f>
      </c>
      <c r="DD228">
        <f>IF(ISBLANK('Data Entry'!$¬$228), "", 'Data Entry'!$¬$228)</f>
      </c>
      <c r="DE228">
        <f>IF(ISBLANK('Data Entry'!$­$228), "", 'Data Entry'!$­$228)</f>
      </c>
      <c r="DF228">
        <f>IF(ISBLANK('Data Entry'!$®$228), "", 'Data Entry'!$®$228)</f>
      </c>
      <c r="DG228">
        <f>IF(ISBLANK('Data Entry'!$¯$228), "", 'Data Entry'!$¯$228)</f>
      </c>
      <c r="DH228">
        <f>IF(ISBLANK('Data Entry'!$°$228), "", 'Data Entry'!$°$228)</f>
      </c>
      <c r="DI228">
        <f>IF(ISBLANK('Data Entry'!$±$228), "", 'Data Entry'!$±$228)</f>
      </c>
      <c r="DJ228">
        <f>IF(ISBLANK('Data Entry'!$²$228), "", 'Data Entry'!$²$228)</f>
      </c>
      <c r="DK228">
        <f>IF(ISBLANK('Data Entry'!$³$228), "", 'Data Entry'!$³$228)</f>
      </c>
      <c r="DL228">
        <f>IF(ISBLANK('Data Entry'!$´$228), "", 'Data Entry'!$´$228)</f>
      </c>
      <c r="DM228">
        <f>IF(ISBLANK('Data Entry'!$µ$228), "", 'Data Entry'!$µ$228)</f>
      </c>
      <c r="DN228">
        <f>IF(ISBLANK('Data Entry'!$¶$228), "", 'Data Entry'!$¶$228)</f>
      </c>
      <c r="DO228">
        <f>IF(ISBLANK('Data Entry'!$·$228), "", 'Data Entry'!$·$228)</f>
      </c>
      <c r="DP228">
        <f>IF(ISBLANK('Data Entry'!$¸$228), "", 'Data Entry'!$¸$228)</f>
      </c>
      <c r="DQ228">
        <f>IF(ISBLANK('Data Entry'!$¹$228), "", 'Data Entry'!$¹$228)</f>
      </c>
      <c r="DR228">
        <f>IF(ISBLANK('Data Entry'!$º$228), "", 'Data Entry'!$º$228)</f>
      </c>
      <c r="DS228">
        <f>IF(ISBLANK('Data Entry'!$»$228), "", 'Data Entry'!$»$228)</f>
      </c>
      <c r="DT228">
        <f>IF(ISBLANK('Data Entry'!$¼$228), "", 'Data Entry'!$¼$228)</f>
      </c>
      <c r="DU228">
        <f>IF(ISBLANK('Data Entry'!$½$228), "", 'Data Entry'!$½$228)</f>
      </c>
      <c r="DV228">
        <f>IF(ISBLANK('Data Entry'!$¾$228), "", 'Data Entry'!$¾$228)</f>
      </c>
      <c r="DW228">
        <f>IF(ISBLANK('Data Entry'!$¿$228), "", 'Data Entry'!$¿$228)</f>
      </c>
      <c r="DX228">
        <f>IF(ISBLANK('Data Entry'!$À$228), "", 'Data Entry'!$À$228)</f>
      </c>
      <c r="DY228">
        <f>IF(ISBLANK('Data Entry'!$Á$228), "", 'Data Entry'!$Á$228)</f>
      </c>
      <c r="DZ228">
        <f>IF(ISBLANK('Data Entry'!$Â$228), "", 'Data Entry'!$Â$228)</f>
      </c>
      <c r="EA228">
        <f>IF(ISBLANK('Data Entry'!$Ã$228), "", 'Data Entry'!$Ã$228)</f>
      </c>
      <c r="EB228">
        <f>IF(ISBLANK('Data Entry'!$Ä$228), "", 'Data Entry'!$Ä$228)</f>
      </c>
      <c r="EC228">
        <f>IF(ISBLANK('Data Entry'!$Å$228), "", 'Data Entry'!$Å$228)</f>
      </c>
      <c r="ED228">
        <f>IF(ISBLANK('Data Entry'!$Æ$228), "", 'Data Entry'!$Æ$228)</f>
      </c>
      <c r="EE228">
        <f>IF(ISBLANK('Data Entry'!$Ç$228), "", 'Data Entry'!$Ç$228)</f>
      </c>
      <c r="EF228">
        <f>IF(ISBLANK('Data Entry'!$È$228), "", 'Data Entry'!$È$228)</f>
      </c>
      <c r="EG228">
        <f>IF(ISBLANK('Data Entry'!$É$228), "", 'Data Entry'!$É$228)</f>
      </c>
      <c r="EH228">
        <f>IF(ISBLANK('Data Entry'!$Ê$228), "", 'Data Entry'!$Ê$228)</f>
      </c>
      <c r="EI228">
        <f>IF(ISBLANK('Data Entry'!$Ë$228), "", 'Data Entry'!$Ë$228)</f>
      </c>
      <c r="EJ228">
        <f>IF(ISBLANK('Data Entry'!$Ì$228), "", 'Data Entry'!$Ì$228)</f>
      </c>
      <c r="EK228">
        <f>IF(ISBLANK('Data Entry'!$Í$228), "", 'Data Entry'!$Í$228)</f>
      </c>
      <c r="EL228">
        <f>IF(ISBLANK('Data Entry'!$Î$228), "", 'Data Entry'!$Î$228)</f>
      </c>
      <c r="EM228">
        <f>IF(ISBLANK('Data Entry'!$Ï$228), "", 'Data Entry'!$Ï$228)</f>
      </c>
      <c r="EN228">
        <f>IF(ISBLANK('Data Entry'!$Ð$228), "", 'Data Entry'!$Ð$228)</f>
      </c>
      <c r="EO228">
        <f>IF(ISBLANK('Data Entry'!$Ñ$228), "", 'Data Entry'!$Ñ$228)</f>
      </c>
      <c r="EP228">
        <f>IF(ISBLANK('Data Entry'!$Ò$228), "", 'Data Entry'!$Ò$228)</f>
      </c>
      <c r="EQ228">
        <f>IF(ISBLANK('Data Entry'!$Ó$228), "", 'Data Entry'!$Ó$228)</f>
      </c>
      <c r="ER228">
        <f>IF(ISBLANK('Data Entry'!$Ô$228), "", 'Data Entry'!$Ô$228)</f>
      </c>
      <c r="ES228">
        <f>IF(ISBLANK('Data Entry'!$Õ$228), "", 'Data Entry'!$Õ$228)</f>
      </c>
      <c r="ET228">
        <f>IF(ISBLANK('Data Entry'!$Ö$228), "", 'Data Entry'!$Ö$228)</f>
      </c>
      <c r="EU228">
        <f>IF(ISBLANK('Data Entry'!$×$228), "", 'Data Entry'!$×$228)</f>
      </c>
      <c r="EV228">
        <f>IF(ISBLANK('Data Entry'!$Ø$228), "", 'Data Entry'!$Ø$228)</f>
      </c>
      <c r="EW228">
        <f>IF(ISBLANK('Data Entry'!$Ù$228), "", 'Data Entry'!$Ù$228)</f>
      </c>
      <c r="EX228">
        <f>IF(ISBLANK('Data Entry'!$Ú$228), "", 'Data Entry'!$Ú$228)</f>
      </c>
      <c r="EY228">
        <f>IF(ISBLANK('Data Entry'!$Û$228), "", 'Data Entry'!$Û$228)</f>
      </c>
      <c r="EZ228">
        <f>IF(ISBLANK('Data Entry'!$Ü$228), "", 'Data Entry'!$Ü$228)</f>
      </c>
      <c r="FA228">
        <f>IF(ISBLANK('Data Entry'!$Ý$228), "", 'Data Entry'!$Ý$228)</f>
      </c>
      <c r="FB228">
        <f>IF(ISBLANK('Data Entry'!$Þ$228), "", 'Data Entry'!$Þ$228)</f>
      </c>
      <c r="FC228">
        <f>IF(ISBLANK('Data Entry'!$ß$228), "", 'Data Entry'!$ß$228)</f>
      </c>
      <c r="FD228">
        <f>IF(ISBLANK('Data Entry'!$à$228), "", 'Data Entry'!$à$228)</f>
      </c>
      <c r="FE228">
        <f>IF(ISBLANK('Data Entry'!$á$228), "", 'Data Entry'!$á$228)</f>
      </c>
      <c r="FF228">
        <f>IF(ISBLANK('Data Entry'!$â$228), "", 'Data Entry'!$â$228)</f>
      </c>
      <c r="FG228">
        <f>IF(ISBLANK('Data Entry'!$ã$228), "", 'Data Entry'!$ã$228)</f>
      </c>
      <c r="FH228">
        <f>IF(ISBLANK('Data Entry'!$ä$228), "", 'Data Entry'!$ä$228)</f>
      </c>
      <c r="FI228">
        <f>IF(ISBLANK('Data Entry'!$å$228), "", 'Data Entry'!$å$228)</f>
      </c>
      <c r="FJ228">
        <f>IF(ISBLANK('Data Entry'!$æ$228), "", 'Data Entry'!$æ$228)</f>
      </c>
      <c r="FK228">
        <f>IF(ISBLANK('Data Entry'!$ç$228), "", 'Data Entry'!$ç$228)</f>
      </c>
      <c r="FL228">
        <f>IF(ISBLANK('Data Entry'!$è$228), "", 'Data Entry'!$è$228)</f>
      </c>
      <c r="FM228">
        <f>IF(ISBLANK('Data Entry'!$é$228), "", 'Data Entry'!$é$228)</f>
      </c>
      <c r="FN228">
        <f>IF(ISBLANK('Data Entry'!$ê$228), "", 'Data Entry'!$ê$228)</f>
      </c>
      <c r="FO228">
        <f>IF(ISBLANK('Data Entry'!$ë$228), "", 'Data Entry'!$ë$228)</f>
      </c>
      <c r="FP228">
        <f>IF(ISBLANK('Data Entry'!$ì$228), "", 'Data Entry'!$ì$228)</f>
      </c>
      <c r="FQ228">
        <f>IF(ISBLANK('Data Entry'!$í$228), "", 'Data Entry'!$í$228)</f>
      </c>
      <c r="FR228">
        <f>IF(ISBLANK('Data Entry'!$î$228), "", 'Data Entry'!$î$228)</f>
      </c>
      <c r="FS228">
        <f>IF(ISBLANK('Data Entry'!$ï$228), "", 'Data Entry'!$ï$228)</f>
      </c>
      <c r="FT228">
        <f>IF(ISBLANK('Data Entry'!$ð$228), "", 'Data Entry'!$ð$228)</f>
      </c>
      <c r="FU228">
        <f>IF(ISBLANK('Data Entry'!$ñ$228), "", 'Data Entry'!$ñ$228)</f>
      </c>
      <c r="FV228">
        <f>IF(ISBLANK('Data Entry'!$ò$228), "", 'Data Entry'!$ò$228)</f>
      </c>
      <c r="FW228">
        <f>IF(ISBLANK('Data Entry'!$ó$228), "", 'Data Entry'!$ó$228)</f>
      </c>
      <c r="FX228">
        <f>IF(ISBLANK('Data Entry'!$ô$228), "", 'Data Entry'!$ô$228)</f>
      </c>
      <c r="FY228">
        <f>IF(ISBLANK('Data Entry'!$õ$228), "", 'Data Entry'!$õ$228)</f>
      </c>
      <c r="FZ228">
        <f>IF(ISBLANK('Data Entry'!$ö$228), "", 'Data Entry'!$ö$228)</f>
      </c>
      <c r="GA228">
        <f>IF(ISBLANK('Data Entry'!$÷$228), "", 'Data Entry'!$÷$228)</f>
      </c>
      <c r="GB228">
        <f>IF(ISBLANK('Data Entry'!$ø$228), "", 'Data Entry'!$ø$228)</f>
      </c>
      <c r="GC228">
        <f>IF(ISBLANK('Data Entry'!$ù$228), "", 'Data Entry'!$ù$228)</f>
      </c>
      <c r="GD228">
        <f>IF(ISBLANK('Data Entry'!$ú$228), "", 'Data Entry'!$ú$228)</f>
      </c>
      <c r="GE228">
        <f>IF(ISBLANK('Data Entry'!$û$228), "", 'Data Entry'!$û$228)</f>
      </c>
      <c r="GF228">
        <f>IF(ISBLANK('Data Entry'!$ü$228), "", 'Data Entry'!$ü$228)</f>
      </c>
      <c r="GG228">
        <f>IF(ISBLANK('Data Entry'!$ý$228), "", 'Data Entry'!$ý$228)</f>
      </c>
      <c r="GH228">
        <f>IF(ISBLANK('Data Entry'!$þ$228), "", 'Data Entry'!$þ$228)</f>
      </c>
      <c r="GI228">
        <f>IF(ISBLANK('Data Entry'!$ÿ$228), "", 'Data Entry'!$ÿ$228)</f>
      </c>
      <c r="GJ228">
        <f>IF(ISBLANK('Data Entry'!$Ā$228), "", 'Data Entry'!$Ā$228)</f>
      </c>
      <c r="GK228">
        <f>IF(ISBLANK('Data Entry'!$ā$228), "", 'Data Entry'!$ā$228)</f>
      </c>
      <c r="GL228">
        <f>IF(ISBLANK('Data Entry'!$Ă$228), "", 'Data Entry'!$Ă$228)</f>
      </c>
      <c r="GM228">
        <f>IF(ISBLANK('Data Entry'!$ă$228), "", 'Data Entry'!$ă$228)</f>
      </c>
      <c r="GN228">
        <f>IF(ISBLANK('Data Entry'!$Ą$228), "", 'Data Entry'!$Ą$228)</f>
      </c>
      <c r="GO228">
        <f>IF(ISBLANK('Data Entry'!$ą$228), "", 'Data Entry'!$ą$228)</f>
      </c>
      <c r="GP228">
        <f>IF(ISBLANK('Data Entry'!$Ć$228), "", 'Data Entry'!$Ć$228)</f>
      </c>
      <c r="GQ228">
        <f>IF(ISBLANK('Data Entry'!$ć$228), "", 'Data Entry'!$ć$228)</f>
      </c>
      <c r="GR228">
        <f>IF(ISBLANK('Data Entry'!$Ĉ$228), "", 'Data Entry'!$Ĉ$228)</f>
      </c>
      <c r="GS228">
        <f>IF(ISBLANK('Data Entry'!$ĉ$228), "", 'Data Entry'!$ĉ$228)</f>
      </c>
      <c r="GT228">
        <f>IF(ISBLANK('Data Entry'!$Ċ$228), "", 'Data Entry'!$Ċ$228)</f>
      </c>
      <c r="GU228">
        <f>IF(ISBLANK('Data Entry'!$ċ$228), "", 'Data Entry'!$ċ$228)</f>
      </c>
      <c r="GV228">
        <f>IF(ISBLANK('Data Entry'!$Č$228), "", 'Data Entry'!$Č$228)</f>
      </c>
      <c r="GW228">
        <f>IF(ISBLANK('Data Entry'!$č$228), "", 'Data Entry'!$č$228)</f>
      </c>
      <c r="GX228">
        <f>IF(ISBLANK('Data Entry'!$Ď$228), "", 'Data Entry'!$Ď$228)</f>
      </c>
      <c r="GY228">
        <f>IF(ISBLANK('Data Entry'!$ď$228), "", 'Data Entry'!$ď$228)</f>
      </c>
      <c r="GZ228">
        <f>IF(ISBLANK('Data Entry'!$Đ$228), "", 'Data Entry'!$Đ$228)</f>
      </c>
      <c r="HA228">
        <f>IF(ISBLANK('Data Entry'!$đ$228), "", 'Data Entry'!$đ$228)</f>
      </c>
      <c r="HB228">
        <f>IF(ISBLANK('Data Entry'!$Ē$228), "", 'Data Entry'!$Ē$228)</f>
      </c>
      <c r="HC228">
        <f>IF(ISBLANK('Data Entry'!$ē$228), "", 'Data Entry'!$ē$228)</f>
      </c>
      <c r="HD228">
        <f>IF(ISBLANK('Data Entry'!$Ĕ$228), "", 'Data Entry'!$Ĕ$228)</f>
      </c>
      <c r="HE228">
        <f>IF(ISBLANK('Data Entry'!$ĕ$228), "", 'Data Entry'!$ĕ$228)</f>
      </c>
      <c r="HF228">
        <f>IF(ISBLANK('Data Entry'!$Ė$228), "", 'Data Entry'!$Ė$228)</f>
      </c>
      <c r="HG228">
        <f>IF(ISBLANK('Data Entry'!$ė$228), "", 'Data Entry'!$ė$228)</f>
      </c>
      <c r="HH228">
        <f>IF(ISBLANK('Data Entry'!$Ę$228), "", 'Data Entry'!$Ę$228)</f>
      </c>
      <c r="HI228">
        <f>IF(ISBLANK('Data Entry'!$ę$228), "", 'Data Entry'!$ę$228)</f>
      </c>
      <c r="HJ228">
        <f>IF(ISBLANK('Data Entry'!$Ě$228), "", 'Data Entry'!$Ě$228)</f>
      </c>
      <c r="HK228">
        <f>IF(ISBLANK('Data Entry'!$ě$228), "", 'Data Entry'!$ě$228)</f>
      </c>
      <c r="HL228">
        <f>IF(ISBLANK('Data Entry'!$Ĝ$228), "", 'Data Entry'!$Ĝ$228)</f>
      </c>
      <c r="HM228">
        <f>IF(ISBLANK('Data Entry'!$ĝ$228), "", 'Data Entry'!$ĝ$228)</f>
      </c>
      <c r="HN228">
        <f>IF(ISBLANK('Data Entry'!$Ğ$228), "", 'Data Entry'!$Ğ$228)</f>
      </c>
      <c r="HO228">
        <f>IF(ISBLANK('Data Entry'!$ğ$228), "", 'Data Entry'!$ğ$228)</f>
      </c>
      <c r="HP228">
        <f>IF(ISBLANK('Data Entry'!$Ġ$228), "", 'Data Entry'!$Ġ$228)</f>
      </c>
      <c r="HQ228">
        <f>IF(ISBLANK('Data Entry'!$ġ$228), "", 'Data Entry'!$ġ$228)</f>
      </c>
      <c r="HR228">
        <f>IF(ISBLANK('Data Entry'!$Ģ$228), "", 'Data Entry'!$Ģ$228)</f>
      </c>
      <c r="HS228">
        <f>IF(ISBLANK('Data Entry'!$ģ$228), "", 'Data Entry'!$ģ$228)</f>
      </c>
      <c r="HT228">
        <f>IF(ISBLANK('Data Entry'!$Ĥ$228), "", 'Data Entry'!$Ĥ$228)</f>
      </c>
      <c r="HU228">
        <f>IF(ISBLANK('Data Entry'!$ĥ$228), "", 'Data Entry'!$ĥ$228)</f>
      </c>
      <c r="HV228">
        <f>IF(ISBLANK('Data Entry'!$Ħ$228), "", 'Data Entry'!$Ħ$228)</f>
      </c>
      <c r="HW228">
        <f>IF(ISBLANK('Data Entry'!$ħ$228), "", 'Data Entry'!$ħ$228)</f>
      </c>
      <c r="HX228">
        <f>IF(ISBLANK('Data Entry'!$Ĩ$228), "", 'Data Entry'!$Ĩ$228)</f>
      </c>
      <c r="HY228">
        <f>IF(ISBLANK('Data Entry'!$ĩ$228), "", 'Data Entry'!$ĩ$228)</f>
      </c>
      <c r="HZ228">
        <f>IF(ISBLANK('Data Entry'!$Ī$228), "", 'Data Entry'!$Ī$228)</f>
      </c>
      <c r="IA228">
        <f>IF(ISBLANK('Data Entry'!$ī$228), "", 'Data Entry'!$ī$228)</f>
      </c>
      <c r="IB228">
        <f>IF(ISBLANK('Data Entry'!$Ĭ$228), "", 'Data Entry'!$Ĭ$228)</f>
      </c>
      <c r="IC228">
        <f>IF(ISBLANK('Data Entry'!$ĭ$228), "", 'Data Entry'!$ĭ$228)</f>
      </c>
      <c r="ID228">
        <f>IF(ISBLANK('Data Entry'!$Į$228), "", 'Data Entry'!$Į$228)</f>
      </c>
      <c r="IE228">
        <f>IF(ISBLANK('Data Entry'!$į$228), "", 'Data Entry'!$į$228)</f>
      </c>
      <c r="IF228">
        <f>IF(ISBLANK('Data Entry'!$İ$228), "", 'Data Entry'!$İ$228)</f>
      </c>
      <c r="IG228">
        <f>IF(ISBLANK('Data Entry'!$ı$228), "", 'Data Entry'!$ı$228)</f>
      </c>
      <c r="IH228">
        <f>IF(ISBLANK('Data Entry'!$Ĳ$228), "", 'Data Entry'!$Ĳ$228)</f>
      </c>
      <c r="II228">
        <f>IF(ISBLANK('Data Entry'!$ĳ$228), "", 'Data Entry'!$ĳ$228)</f>
      </c>
      <c r="IJ228">
        <f>IF(ISBLANK('Data Entry'!$Ĵ$228), "", 'Data Entry'!$Ĵ$228)</f>
      </c>
      <c r="IK228">
        <f>IF(ISBLANK('Data Entry'!$ĵ$228), "", 'Data Entry'!$ĵ$228)</f>
      </c>
      <c r="IL228">
        <f>IF(ISBLANK('Data Entry'!$Ķ$228), "", 'Data Entry'!$Ķ$228)</f>
      </c>
      <c r="IM228">
        <f>IF(ISBLANK('Data Entry'!$ķ$228), "", 'Data Entry'!$ķ$228)</f>
      </c>
      <c r="IN228">
        <f>IF(ISBLANK('Data Entry'!$ĸ$228), "", 'Data Entry'!$ĸ$228)</f>
      </c>
      <c r="IO228">
        <f>IF(ISBLANK('Data Entry'!$Ĺ$228), "", 'Data Entry'!$Ĺ$228)</f>
      </c>
      <c r="IP228">
        <f>IF(ISBLANK('Data Entry'!$ĺ$228), "", 'Data Entry'!$ĺ$228)</f>
      </c>
      <c r="IQ228">
        <f>IF(ISBLANK('Data Entry'!$Ļ$228), "", 'Data Entry'!$Ļ$228)</f>
      </c>
      <c r="IR228">
        <f>IF(ISBLANK('Data Entry'!$ļ$228), "", 'Data Entry'!$ļ$228)</f>
      </c>
      <c r="IS228">
        <f>IF(ISBLANK('Data Entry'!$Ľ$228), "", 'Data Entry'!$Ľ$228)</f>
      </c>
      <c r="IT228">
        <f>IF(ISBLANK('Data Entry'!$ľ$228), "", 'Data Entry'!$ľ$228)</f>
      </c>
    </row>
    <row r="229" spans="1:254" x14ac:dyDescent="0.25">
      <c r="A229">
        <f>IF(ISBLANK('Data Entry'!$A$229), "", 'Data Entry'!$A$229)</f>
      </c>
      <c r="B229">
        <f>IF(ISBLANK('Data Entry'!$B$229), "", 'Data Entry'!$B$229)</f>
      </c>
      <c r="C229">
        <f>IF(ISBLANK('Data Entry'!$C$229), "", 'Data Entry'!$C$229)</f>
      </c>
      <c r="D229">
        <f>IF(ISBLANK('Data Entry'!$D$229), "", 'Data Entry'!$D$229)</f>
      </c>
      <c r="E229">
        <f>IF(ISBLANK('Data Entry'!$E$229), "", 'Data Entry'!$E$229)</f>
      </c>
      <c r="F229">
        <f>IF(ISBLANK('Data Entry'!$F$229), "", 'Data Entry'!$F$229)</f>
      </c>
      <c r="G229">
        <f>IF(ISBLANK('Data Entry'!$G$229), "", 'Data Entry'!$G$229)</f>
      </c>
      <c r="H229">
        <f>IF(ISBLANK('Data Entry'!$H$229), "", 'Data Entry'!$H$229)</f>
      </c>
      <c r="I229">
        <f>IF(ISBLANK('Data Entry'!$I$229), "", 'Data Entry'!$I$229)</f>
      </c>
      <c r="J229">
        <f>IF(ISBLANK('Data Entry'!$J$229), "", 'Data Entry'!$J$229)</f>
      </c>
      <c r="K229">
        <f>IF(ISBLANK('Data Entry'!$K$229), "", 'Data Entry'!$K$229)</f>
      </c>
      <c r="L229">
        <f>IF(ISBLANK('Data Entry'!$L$229), "", 'Data Entry'!$L$229)</f>
      </c>
      <c r="M229">
        <f>IF(ISBLANK('Data Entry'!$M$229), "", 'Data Entry'!$M$229)</f>
      </c>
      <c r="N229">
        <f>IF(ISBLANK('Data Entry'!$N$229), "", 'Data Entry'!$N$229)</f>
      </c>
      <c r="O229">
        <f>IF(ISBLANK('Data Entry'!$O$229), "", 'Data Entry'!$O$229)</f>
      </c>
      <c r="P229">
        <f>IF(ISBLANK('Data Entry'!$P$229), "", 'Data Entry'!$P$229)</f>
      </c>
      <c r="Q229">
        <f>IF(ISBLANK('Data Entry'!$Q$229), "", 'Data Entry'!$Q$229)</f>
      </c>
      <c r="R229">
        <f>IF(ISBLANK('Data Entry'!$R$229), "", 'Data Entry'!$R$229)</f>
      </c>
      <c r="S229">
        <f>IF(ISBLANK('Data Entry'!$S$229), "", 'Data Entry'!$S$229)</f>
      </c>
      <c r="T229">
        <f>IF(ISBLANK('Data Entry'!$T$229), "", 'Data Entry'!$T$229)</f>
      </c>
      <c r="U229">
        <f>IF(ISBLANK('Data Entry'!$U$229), "", 'Data Entry'!$U$229)</f>
      </c>
      <c r="V229">
        <f>IF(ISBLANK('Data Entry'!$V$229), "", 'Data Entry'!$V$229)</f>
      </c>
      <c r="W229">
        <f>IF(ISBLANK('Data Entry'!$W$229), "", 'Data Entry'!$W$229)</f>
      </c>
      <c r="X229">
        <f>IF(ISBLANK('Data Entry'!$X$229), "", 'Data Entry'!$X$229)</f>
      </c>
      <c r="Y229">
        <f>IF(ISBLANK('Data Entry'!$Y$229), "", 'Data Entry'!$Y$229)</f>
      </c>
      <c r="Z229">
        <f>IF(ISBLANK('Data Entry'!$Z$229), "", 'Data Entry'!$Z$229)</f>
      </c>
      <c r="AA229">
        <f>IF(ISBLANK('Data Entry'!$[$229), "", 'Data Entry'!$[$229)</f>
      </c>
      <c r="AB229">
        <f>IF(ISBLANK('Data Entry'!$\$229), "", 'Data Entry'!$\$229)</f>
      </c>
      <c r="AC229">
        <f>IF(ISBLANK('Data Entry'!$]$229), "", 'Data Entry'!$]$229)</f>
      </c>
      <c r="AD229">
        <f>IF(ISBLANK('Data Entry'!$^$229), "", 'Data Entry'!$^$229)</f>
      </c>
      <c r="AE229">
        <f>IF(ISBLANK('Data Entry'!$_$229), "", 'Data Entry'!$_$229)</f>
      </c>
      <c r="AF229">
        <f>IF(ISBLANK('Data Entry'!$`$229), "", 'Data Entry'!$`$229)</f>
      </c>
      <c r="AG229">
        <f>IF(ISBLANK('Data Entry'!$a$229), "", 'Data Entry'!$a$229)</f>
      </c>
      <c r="AH229">
        <f>IF(ISBLANK('Data Entry'!$b$229), "", 'Data Entry'!$b$229)</f>
      </c>
      <c r="AI229">
        <f>IF(ISBLANK('Data Entry'!$c$229), "", 'Data Entry'!$c$229)</f>
      </c>
      <c r="AJ229">
        <f>IF(ISBLANK('Data Entry'!$d$229), "", 'Data Entry'!$d$229)</f>
      </c>
      <c r="AK229">
        <f>IF(ISBLANK('Data Entry'!$e$229), "", 'Data Entry'!$e$229)</f>
      </c>
      <c r="AL229">
        <f>IF(ISBLANK('Data Entry'!$f$229), "", 'Data Entry'!$f$229)</f>
      </c>
      <c r="AM229">
        <f>IF(ISBLANK('Data Entry'!$g$229), "", 'Data Entry'!$g$229)</f>
      </c>
      <c r="AN229">
        <f>IF(ISBLANK('Data Entry'!$h$229), "", 'Data Entry'!$h$229)</f>
      </c>
      <c r="AO229">
        <f>IF(ISBLANK('Data Entry'!$i$229), "", 'Data Entry'!$i$229)</f>
      </c>
      <c r="AP229">
        <f>IF(ISBLANK('Data Entry'!$j$229), "", 'Data Entry'!$j$229)</f>
      </c>
      <c r="AQ229">
        <f>IF(ISBLANK('Data Entry'!$k$229), "", 'Data Entry'!$k$229)</f>
      </c>
      <c r="AR229">
        <f>IF(ISBLANK('Data Entry'!$l$229), "", 'Data Entry'!$l$229)</f>
      </c>
      <c r="AS229">
        <f>IF(ISBLANK('Data Entry'!$m$229), "", 'Data Entry'!$m$229)</f>
      </c>
      <c r="AT229">
        <f>IF(ISBLANK('Data Entry'!$n$229), "", 'Data Entry'!$n$229)</f>
      </c>
      <c r="AU229">
        <f>IF(ISBLANK('Data Entry'!$o$229), "", 'Data Entry'!$o$229)</f>
      </c>
      <c r="AV229">
        <f>IF(ISBLANK('Data Entry'!$p$229), "", 'Data Entry'!$p$229)</f>
      </c>
      <c r="AW229">
        <f>IF(ISBLANK('Data Entry'!$q$229), "", 'Data Entry'!$q$229)</f>
      </c>
      <c r="AX229">
        <f>IF(ISBLANK('Data Entry'!$r$229), "", 'Data Entry'!$r$229)</f>
      </c>
      <c r="AY229">
        <f>IF(ISBLANK('Data Entry'!$s$229), "", 'Data Entry'!$s$229)</f>
      </c>
      <c r="AZ229">
        <f>IF(ISBLANK('Data Entry'!$t$229), "", 'Data Entry'!$t$229)</f>
      </c>
      <c r="BA229">
        <f>IF(ISBLANK('Data Entry'!$u$229), "", 'Data Entry'!$u$229)</f>
      </c>
      <c r="BB229">
        <f>IF(ISBLANK('Data Entry'!$v$229), "", 'Data Entry'!$v$229)</f>
      </c>
      <c r="BC229">
        <f>IF(ISBLANK('Data Entry'!$w$229), "", 'Data Entry'!$w$229)</f>
      </c>
      <c r="BD229">
        <f>IF(ISBLANK('Data Entry'!$x$229), "", 'Data Entry'!$x$229)</f>
      </c>
      <c r="BE229">
        <f>IF(ISBLANK('Data Entry'!$y$229), "", 'Data Entry'!$y$229)</f>
      </c>
      <c r="BF229">
        <f>IF(ISBLANK('Data Entry'!$z$229), "", 'Data Entry'!$z$229)</f>
      </c>
      <c r="BG229">
        <f>IF(ISBLANK('Data Entry'!${$229), "", 'Data Entry'!${$229)</f>
      </c>
      <c r="BH229">
        <f>IF(ISBLANK('Data Entry'!$|$229), "", 'Data Entry'!$|$229)</f>
      </c>
      <c r="BI229">
        <f>IF(ISBLANK('Data Entry'!$}$229), "", 'Data Entry'!$}$229)</f>
      </c>
      <c r="BJ229">
        <f>IF(ISBLANK('Data Entry'!$~$229), "", 'Data Entry'!$~$229)</f>
      </c>
      <c r="BK229">
        <f>IF(ISBLANK('Data Entry'!$$229), "", 'Data Entry'!$$229)</f>
      </c>
      <c r="BL229">
        <f>IF(ISBLANK('Data Entry'!$$229), "", 'Data Entry'!$$229)</f>
      </c>
      <c r="BM229">
        <f>IF(ISBLANK('Data Entry'!$$229), "", 'Data Entry'!$$229)</f>
      </c>
      <c r="BN229">
        <f>IF(ISBLANK('Data Entry'!$$229), "", 'Data Entry'!$$229)</f>
      </c>
      <c r="BO229">
        <f>IF(ISBLANK('Data Entry'!$$229), "", 'Data Entry'!$$229)</f>
      </c>
      <c r="BP229">
        <f>IF(ISBLANK('Data Entry'!$$229), "", 'Data Entry'!$$229)</f>
      </c>
      <c r="BQ229">
        <f>IF(ISBLANK('Data Entry'!$$229), "", 'Data Entry'!$$229)</f>
      </c>
      <c r="BR229">
        <f>IF(ISBLANK('Data Entry'!$$229), "", 'Data Entry'!$$229)</f>
      </c>
      <c r="BS229">
        <f>IF(ISBLANK('Data Entry'!$$229), "", 'Data Entry'!$$229)</f>
      </c>
      <c r="BT229">
        <f>IF(ISBLANK('Data Entry'!$$229), "", 'Data Entry'!$$229)</f>
      </c>
      <c r="BU229">
        <f>IF(ISBLANK('Data Entry'!$$229), "", 'Data Entry'!$$229)</f>
      </c>
      <c r="BV229">
        <f>IF(ISBLANK('Data Entry'!$$229), "", 'Data Entry'!$$229)</f>
      </c>
      <c r="BW229">
        <f>IF(ISBLANK('Data Entry'!$$229), "", 'Data Entry'!$$229)</f>
      </c>
      <c r="BX229">
        <f>IF(ISBLANK('Data Entry'!$$229), "", 'Data Entry'!$$229)</f>
      </c>
      <c r="BY229">
        <f>IF(ISBLANK('Data Entry'!$$229), "", 'Data Entry'!$$229)</f>
      </c>
      <c r="BZ229">
        <f>IF(ISBLANK('Data Entry'!$$229), "", 'Data Entry'!$$229)</f>
      </c>
      <c r="CA229">
        <f>IF(ISBLANK('Data Entry'!$$229), "", 'Data Entry'!$$229)</f>
      </c>
      <c r="CB229">
        <f>IF(ISBLANK('Data Entry'!$$229), "", 'Data Entry'!$$229)</f>
      </c>
      <c r="CC229">
        <f>IF(ISBLANK('Data Entry'!$$229), "", 'Data Entry'!$$229)</f>
      </c>
      <c r="CD229">
        <f>IF(ISBLANK('Data Entry'!$$229), "", 'Data Entry'!$$229)</f>
      </c>
      <c r="CE229">
        <f>IF(ISBLANK('Data Entry'!$$229), "", 'Data Entry'!$$229)</f>
      </c>
      <c r="CF229">
        <f>IF(ISBLANK('Data Entry'!$$229), "", 'Data Entry'!$$229)</f>
      </c>
      <c r="CG229">
        <f>IF(ISBLANK('Data Entry'!$$229), "", 'Data Entry'!$$229)</f>
      </c>
      <c r="CH229">
        <f>IF(ISBLANK('Data Entry'!$$229), "", 'Data Entry'!$$229)</f>
      </c>
      <c r="CI229">
        <f>IF(ISBLANK('Data Entry'!$$229), "", 'Data Entry'!$$229)</f>
      </c>
      <c r="CJ229">
        <f>IF(ISBLANK('Data Entry'!$$229), "", 'Data Entry'!$$229)</f>
      </c>
      <c r="CK229">
        <f>IF(ISBLANK('Data Entry'!$$229), "", 'Data Entry'!$$229)</f>
      </c>
      <c r="CL229">
        <f>IF(ISBLANK('Data Entry'!$$229), "", 'Data Entry'!$$229)</f>
      </c>
      <c r="CM229">
        <f>IF(ISBLANK('Data Entry'!$$229), "", 'Data Entry'!$$229)</f>
      </c>
      <c r="CN229">
        <f>IF(ISBLANK('Data Entry'!$$229), "", 'Data Entry'!$$229)</f>
      </c>
      <c r="CO229">
        <f>IF(ISBLANK('Data Entry'!$$229), "", 'Data Entry'!$$229)</f>
      </c>
      <c r="CP229">
        <f>IF(ISBLANK('Data Entry'!$$229), "", 'Data Entry'!$$229)</f>
      </c>
      <c r="CQ229">
        <f>IF(ISBLANK('Data Entry'!$$229), "", 'Data Entry'!$$229)</f>
      </c>
      <c r="CR229">
        <f>IF(ISBLANK('Data Entry'!$ $229), "", 'Data Entry'!$ $229)</f>
      </c>
      <c r="CS229">
        <f>IF(ISBLANK('Data Entry'!$¡$229), "", 'Data Entry'!$¡$229)</f>
      </c>
      <c r="CT229">
        <f>IF(ISBLANK('Data Entry'!$¢$229), "", 'Data Entry'!$¢$229)</f>
      </c>
      <c r="CU229">
        <f>IF(ISBLANK('Data Entry'!$£$229), "", 'Data Entry'!$£$229)</f>
      </c>
      <c r="CV229">
        <f>IF(ISBLANK('Data Entry'!$¤$229), "", 'Data Entry'!$¤$229)</f>
      </c>
      <c r="CW229">
        <f>IF(ISBLANK('Data Entry'!$¥$229), "", 'Data Entry'!$¥$229)</f>
      </c>
      <c r="CX229">
        <f>IF(ISBLANK('Data Entry'!$¦$229), "", 'Data Entry'!$¦$229)</f>
      </c>
      <c r="CY229">
        <f>IF(ISBLANK('Data Entry'!$§$229), "", 'Data Entry'!$§$229)</f>
      </c>
      <c r="CZ229">
        <f>IF(ISBLANK('Data Entry'!$¨$229), "", 'Data Entry'!$¨$229)</f>
      </c>
      <c r="DA229">
        <f>IF(ISBLANK('Data Entry'!$©$229), "", 'Data Entry'!$©$229)</f>
      </c>
      <c r="DB229">
        <f>IF(ISBLANK('Data Entry'!$ª$229), "", 'Data Entry'!$ª$229)</f>
      </c>
      <c r="DC229">
        <f>IF(ISBLANK('Data Entry'!$«$229), "", 'Data Entry'!$«$229)</f>
      </c>
      <c r="DD229">
        <f>IF(ISBLANK('Data Entry'!$¬$229), "", 'Data Entry'!$¬$229)</f>
      </c>
      <c r="DE229">
        <f>IF(ISBLANK('Data Entry'!$­$229), "", 'Data Entry'!$­$229)</f>
      </c>
      <c r="DF229">
        <f>IF(ISBLANK('Data Entry'!$®$229), "", 'Data Entry'!$®$229)</f>
      </c>
      <c r="DG229">
        <f>IF(ISBLANK('Data Entry'!$¯$229), "", 'Data Entry'!$¯$229)</f>
      </c>
      <c r="DH229">
        <f>IF(ISBLANK('Data Entry'!$°$229), "", 'Data Entry'!$°$229)</f>
      </c>
      <c r="DI229">
        <f>IF(ISBLANK('Data Entry'!$±$229), "", 'Data Entry'!$±$229)</f>
      </c>
      <c r="DJ229">
        <f>IF(ISBLANK('Data Entry'!$²$229), "", 'Data Entry'!$²$229)</f>
      </c>
      <c r="DK229">
        <f>IF(ISBLANK('Data Entry'!$³$229), "", 'Data Entry'!$³$229)</f>
      </c>
      <c r="DL229">
        <f>IF(ISBLANK('Data Entry'!$´$229), "", 'Data Entry'!$´$229)</f>
      </c>
      <c r="DM229">
        <f>IF(ISBLANK('Data Entry'!$µ$229), "", 'Data Entry'!$µ$229)</f>
      </c>
      <c r="DN229">
        <f>IF(ISBLANK('Data Entry'!$¶$229), "", 'Data Entry'!$¶$229)</f>
      </c>
      <c r="DO229">
        <f>IF(ISBLANK('Data Entry'!$·$229), "", 'Data Entry'!$·$229)</f>
      </c>
      <c r="DP229">
        <f>IF(ISBLANK('Data Entry'!$¸$229), "", 'Data Entry'!$¸$229)</f>
      </c>
      <c r="DQ229">
        <f>IF(ISBLANK('Data Entry'!$¹$229), "", 'Data Entry'!$¹$229)</f>
      </c>
      <c r="DR229">
        <f>IF(ISBLANK('Data Entry'!$º$229), "", 'Data Entry'!$º$229)</f>
      </c>
      <c r="DS229">
        <f>IF(ISBLANK('Data Entry'!$»$229), "", 'Data Entry'!$»$229)</f>
      </c>
      <c r="DT229">
        <f>IF(ISBLANK('Data Entry'!$¼$229), "", 'Data Entry'!$¼$229)</f>
      </c>
      <c r="DU229">
        <f>IF(ISBLANK('Data Entry'!$½$229), "", 'Data Entry'!$½$229)</f>
      </c>
      <c r="DV229">
        <f>IF(ISBLANK('Data Entry'!$¾$229), "", 'Data Entry'!$¾$229)</f>
      </c>
      <c r="DW229">
        <f>IF(ISBLANK('Data Entry'!$¿$229), "", 'Data Entry'!$¿$229)</f>
      </c>
      <c r="DX229">
        <f>IF(ISBLANK('Data Entry'!$À$229), "", 'Data Entry'!$À$229)</f>
      </c>
      <c r="DY229">
        <f>IF(ISBLANK('Data Entry'!$Á$229), "", 'Data Entry'!$Á$229)</f>
      </c>
      <c r="DZ229">
        <f>IF(ISBLANK('Data Entry'!$Â$229), "", 'Data Entry'!$Â$229)</f>
      </c>
      <c r="EA229">
        <f>IF(ISBLANK('Data Entry'!$Ã$229), "", 'Data Entry'!$Ã$229)</f>
      </c>
      <c r="EB229">
        <f>IF(ISBLANK('Data Entry'!$Ä$229), "", 'Data Entry'!$Ä$229)</f>
      </c>
      <c r="EC229">
        <f>IF(ISBLANK('Data Entry'!$Å$229), "", 'Data Entry'!$Å$229)</f>
      </c>
      <c r="ED229">
        <f>IF(ISBLANK('Data Entry'!$Æ$229), "", 'Data Entry'!$Æ$229)</f>
      </c>
      <c r="EE229">
        <f>IF(ISBLANK('Data Entry'!$Ç$229), "", 'Data Entry'!$Ç$229)</f>
      </c>
      <c r="EF229">
        <f>IF(ISBLANK('Data Entry'!$È$229), "", 'Data Entry'!$È$229)</f>
      </c>
      <c r="EG229">
        <f>IF(ISBLANK('Data Entry'!$É$229), "", 'Data Entry'!$É$229)</f>
      </c>
      <c r="EH229">
        <f>IF(ISBLANK('Data Entry'!$Ê$229), "", 'Data Entry'!$Ê$229)</f>
      </c>
      <c r="EI229">
        <f>IF(ISBLANK('Data Entry'!$Ë$229), "", 'Data Entry'!$Ë$229)</f>
      </c>
      <c r="EJ229">
        <f>IF(ISBLANK('Data Entry'!$Ì$229), "", 'Data Entry'!$Ì$229)</f>
      </c>
      <c r="EK229">
        <f>IF(ISBLANK('Data Entry'!$Í$229), "", 'Data Entry'!$Í$229)</f>
      </c>
      <c r="EL229">
        <f>IF(ISBLANK('Data Entry'!$Î$229), "", 'Data Entry'!$Î$229)</f>
      </c>
      <c r="EM229">
        <f>IF(ISBLANK('Data Entry'!$Ï$229), "", 'Data Entry'!$Ï$229)</f>
      </c>
      <c r="EN229">
        <f>IF(ISBLANK('Data Entry'!$Ð$229), "", 'Data Entry'!$Ð$229)</f>
      </c>
      <c r="EO229">
        <f>IF(ISBLANK('Data Entry'!$Ñ$229), "", 'Data Entry'!$Ñ$229)</f>
      </c>
      <c r="EP229">
        <f>IF(ISBLANK('Data Entry'!$Ò$229), "", 'Data Entry'!$Ò$229)</f>
      </c>
      <c r="EQ229">
        <f>IF(ISBLANK('Data Entry'!$Ó$229), "", 'Data Entry'!$Ó$229)</f>
      </c>
      <c r="ER229">
        <f>IF(ISBLANK('Data Entry'!$Ô$229), "", 'Data Entry'!$Ô$229)</f>
      </c>
      <c r="ES229">
        <f>IF(ISBLANK('Data Entry'!$Õ$229), "", 'Data Entry'!$Õ$229)</f>
      </c>
      <c r="ET229">
        <f>IF(ISBLANK('Data Entry'!$Ö$229), "", 'Data Entry'!$Ö$229)</f>
      </c>
      <c r="EU229">
        <f>IF(ISBLANK('Data Entry'!$×$229), "", 'Data Entry'!$×$229)</f>
      </c>
      <c r="EV229">
        <f>IF(ISBLANK('Data Entry'!$Ø$229), "", 'Data Entry'!$Ø$229)</f>
      </c>
      <c r="EW229">
        <f>IF(ISBLANK('Data Entry'!$Ù$229), "", 'Data Entry'!$Ù$229)</f>
      </c>
      <c r="EX229">
        <f>IF(ISBLANK('Data Entry'!$Ú$229), "", 'Data Entry'!$Ú$229)</f>
      </c>
      <c r="EY229">
        <f>IF(ISBLANK('Data Entry'!$Û$229), "", 'Data Entry'!$Û$229)</f>
      </c>
      <c r="EZ229">
        <f>IF(ISBLANK('Data Entry'!$Ü$229), "", 'Data Entry'!$Ü$229)</f>
      </c>
      <c r="FA229">
        <f>IF(ISBLANK('Data Entry'!$Ý$229), "", 'Data Entry'!$Ý$229)</f>
      </c>
      <c r="FB229">
        <f>IF(ISBLANK('Data Entry'!$Þ$229), "", 'Data Entry'!$Þ$229)</f>
      </c>
      <c r="FC229">
        <f>IF(ISBLANK('Data Entry'!$ß$229), "", 'Data Entry'!$ß$229)</f>
      </c>
      <c r="FD229">
        <f>IF(ISBLANK('Data Entry'!$à$229), "", 'Data Entry'!$à$229)</f>
      </c>
      <c r="FE229">
        <f>IF(ISBLANK('Data Entry'!$á$229), "", 'Data Entry'!$á$229)</f>
      </c>
      <c r="FF229">
        <f>IF(ISBLANK('Data Entry'!$â$229), "", 'Data Entry'!$â$229)</f>
      </c>
      <c r="FG229">
        <f>IF(ISBLANK('Data Entry'!$ã$229), "", 'Data Entry'!$ã$229)</f>
      </c>
      <c r="FH229">
        <f>IF(ISBLANK('Data Entry'!$ä$229), "", 'Data Entry'!$ä$229)</f>
      </c>
      <c r="FI229">
        <f>IF(ISBLANK('Data Entry'!$å$229), "", 'Data Entry'!$å$229)</f>
      </c>
      <c r="FJ229">
        <f>IF(ISBLANK('Data Entry'!$æ$229), "", 'Data Entry'!$æ$229)</f>
      </c>
      <c r="FK229">
        <f>IF(ISBLANK('Data Entry'!$ç$229), "", 'Data Entry'!$ç$229)</f>
      </c>
      <c r="FL229">
        <f>IF(ISBLANK('Data Entry'!$è$229), "", 'Data Entry'!$è$229)</f>
      </c>
      <c r="FM229">
        <f>IF(ISBLANK('Data Entry'!$é$229), "", 'Data Entry'!$é$229)</f>
      </c>
      <c r="FN229">
        <f>IF(ISBLANK('Data Entry'!$ê$229), "", 'Data Entry'!$ê$229)</f>
      </c>
      <c r="FO229">
        <f>IF(ISBLANK('Data Entry'!$ë$229), "", 'Data Entry'!$ë$229)</f>
      </c>
      <c r="FP229">
        <f>IF(ISBLANK('Data Entry'!$ì$229), "", 'Data Entry'!$ì$229)</f>
      </c>
      <c r="FQ229">
        <f>IF(ISBLANK('Data Entry'!$í$229), "", 'Data Entry'!$í$229)</f>
      </c>
      <c r="FR229">
        <f>IF(ISBLANK('Data Entry'!$î$229), "", 'Data Entry'!$î$229)</f>
      </c>
      <c r="FS229">
        <f>IF(ISBLANK('Data Entry'!$ï$229), "", 'Data Entry'!$ï$229)</f>
      </c>
      <c r="FT229">
        <f>IF(ISBLANK('Data Entry'!$ð$229), "", 'Data Entry'!$ð$229)</f>
      </c>
      <c r="FU229">
        <f>IF(ISBLANK('Data Entry'!$ñ$229), "", 'Data Entry'!$ñ$229)</f>
      </c>
      <c r="FV229">
        <f>IF(ISBLANK('Data Entry'!$ò$229), "", 'Data Entry'!$ò$229)</f>
      </c>
      <c r="FW229">
        <f>IF(ISBLANK('Data Entry'!$ó$229), "", 'Data Entry'!$ó$229)</f>
      </c>
      <c r="FX229">
        <f>IF(ISBLANK('Data Entry'!$ô$229), "", 'Data Entry'!$ô$229)</f>
      </c>
      <c r="FY229">
        <f>IF(ISBLANK('Data Entry'!$õ$229), "", 'Data Entry'!$õ$229)</f>
      </c>
      <c r="FZ229">
        <f>IF(ISBLANK('Data Entry'!$ö$229), "", 'Data Entry'!$ö$229)</f>
      </c>
      <c r="GA229">
        <f>IF(ISBLANK('Data Entry'!$÷$229), "", 'Data Entry'!$÷$229)</f>
      </c>
      <c r="GB229">
        <f>IF(ISBLANK('Data Entry'!$ø$229), "", 'Data Entry'!$ø$229)</f>
      </c>
      <c r="GC229">
        <f>IF(ISBLANK('Data Entry'!$ù$229), "", 'Data Entry'!$ù$229)</f>
      </c>
      <c r="GD229">
        <f>IF(ISBLANK('Data Entry'!$ú$229), "", 'Data Entry'!$ú$229)</f>
      </c>
      <c r="GE229">
        <f>IF(ISBLANK('Data Entry'!$û$229), "", 'Data Entry'!$û$229)</f>
      </c>
      <c r="GF229">
        <f>IF(ISBLANK('Data Entry'!$ü$229), "", 'Data Entry'!$ü$229)</f>
      </c>
      <c r="GG229">
        <f>IF(ISBLANK('Data Entry'!$ý$229), "", 'Data Entry'!$ý$229)</f>
      </c>
      <c r="GH229">
        <f>IF(ISBLANK('Data Entry'!$þ$229), "", 'Data Entry'!$þ$229)</f>
      </c>
      <c r="GI229">
        <f>IF(ISBLANK('Data Entry'!$ÿ$229), "", 'Data Entry'!$ÿ$229)</f>
      </c>
      <c r="GJ229">
        <f>IF(ISBLANK('Data Entry'!$Ā$229), "", 'Data Entry'!$Ā$229)</f>
      </c>
      <c r="GK229">
        <f>IF(ISBLANK('Data Entry'!$ā$229), "", 'Data Entry'!$ā$229)</f>
      </c>
      <c r="GL229">
        <f>IF(ISBLANK('Data Entry'!$Ă$229), "", 'Data Entry'!$Ă$229)</f>
      </c>
      <c r="GM229">
        <f>IF(ISBLANK('Data Entry'!$ă$229), "", 'Data Entry'!$ă$229)</f>
      </c>
      <c r="GN229">
        <f>IF(ISBLANK('Data Entry'!$Ą$229), "", 'Data Entry'!$Ą$229)</f>
      </c>
      <c r="GO229">
        <f>IF(ISBLANK('Data Entry'!$ą$229), "", 'Data Entry'!$ą$229)</f>
      </c>
      <c r="GP229">
        <f>IF(ISBLANK('Data Entry'!$Ć$229), "", 'Data Entry'!$Ć$229)</f>
      </c>
      <c r="GQ229">
        <f>IF(ISBLANK('Data Entry'!$ć$229), "", 'Data Entry'!$ć$229)</f>
      </c>
      <c r="GR229">
        <f>IF(ISBLANK('Data Entry'!$Ĉ$229), "", 'Data Entry'!$Ĉ$229)</f>
      </c>
      <c r="GS229">
        <f>IF(ISBLANK('Data Entry'!$ĉ$229), "", 'Data Entry'!$ĉ$229)</f>
      </c>
      <c r="GT229">
        <f>IF(ISBLANK('Data Entry'!$Ċ$229), "", 'Data Entry'!$Ċ$229)</f>
      </c>
      <c r="GU229">
        <f>IF(ISBLANK('Data Entry'!$ċ$229), "", 'Data Entry'!$ċ$229)</f>
      </c>
      <c r="GV229">
        <f>IF(ISBLANK('Data Entry'!$Č$229), "", 'Data Entry'!$Č$229)</f>
      </c>
      <c r="GW229">
        <f>IF(ISBLANK('Data Entry'!$č$229), "", 'Data Entry'!$č$229)</f>
      </c>
      <c r="GX229">
        <f>IF(ISBLANK('Data Entry'!$Ď$229), "", 'Data Entry'!$Ď$229)</f>
      </c>
      <c r="GY229">
        <f>IF(ISBLANK('Data Entry'!$ď$229), "", 'Data Entry'!$ď$229)</f>
      </c>
      <c r="GZ229">
        <f>IF(ISBLANK('Data Entry'!$Đ$229), "", 'Data Entry'!$Đ$229)</f>
      </c>
      <c r="HA229">
        <f>IF(ISBLANK('Data Entry'!$đ$229), "", 'Data Entry'!$đ$229)</f>
      </c>
      <c r="HB229">
        <f>IF(ISBLANK('Data Entry'!$Ē$229), "", 'Data Entry'!$Ē$229)</f>
      </c>
      <c r="HC229">
        <f>IF(ISBLANK('Data Entry'!$ē$229), "", 'Data Entry'!$ē$229)</f>
      </c>
      <c r="HD229">
        <f>IF(ISBLANK('Data Entry'!$Ĕ$229), "", 'Data Entry'!$Ĕ$229)</f>
      </c>
      <c r="HE229">
        <f>IF(ISBLANK('Data Entry'!$ĕ$229), "", 'Data Entry'!$ĕ$229)</f>
      </c>
      <c r="HF229">
        <f>IF(ISBLANK('Data Entry'!$Ė$229), "", 'Data Entry'!$Ė$229)</f>
      </c>
      <c r="HG229">
        <f>IF(ISBLANK('Data Entry'!$ė$229), "", 'Data Entry'!$ė$229)</f>
      </c>
      <c r="HH229">
        <f>IF(ISBLANK('Data Entry'!$Ę$229), "", 'Data Entry'!$Ę$229)</f>
      </c>
      <c r="HI229">
        <f>IF(ISBLANK('Data Entry'!$ę$229), "", 'Data Entry'!$ę$229)</f>
      </c>
      <c r="HJ229">
        <f>IF(ISBLANK('Data Entry'!$Ě$229), "", 'Data Entry'!$Ě$229)</f>
      </c>
      <c r="HK229">
        <f>IF(ISBLANK('Data Entry'!$ě$229), "", 'Data Entry'!$ě$229)</f>
      </c>
      <c r="HL229">
        <f>IF(ISBLANK('Data Entry'!$Ĝ$229), "", 'Data Entry'!$Ĝ$229)</f>
      </c>
      <c r="HM229">
        <f>IF(ISBLANK('Data Entry'!$ĝ$229), "", 'Data Entry'!$ĝ$229)</f>
      </c>
      <c r="HN229">
        <f>IF(ISBLANK('Data Entry'!$Ğ$229), "", 'Data Entry'!$Ğ$229)</f>
      </c>
      <c r="HO229">
        <f>IF(ISBLANK('Data Entry'!$ğ$229), "", 'Data Entry'!$ğ$229)</f>
      </c>
      <c r="HP229">
        <f>IF(ISBLANK('Data Entry'!$Ġ$229), "", 'Data Entry'!$Ġ$229)</f>
      </c>
      <c r="HQ229">
        <f>IF(ISBLANK('Data Entry'!$ġ$229), "", 'Data Entry'!$ġ$229)</f>
      </c>
      <c r="HR229">
        <f>IF(ISBLANK('Data Entry'!$Ģ$229), "", 'Data Entry'!$Ģ$229)</f>
      </c>
      <c r="HS229">
        <f>IF(ISBLANK('Data Entry'!$ģ$229), "", 'Data Entry'!$ģ$229)</f>
      </c>
      <c r="HT229">
        <f>IF(ISBLANK('Data Entry'!$Ĥ$229), "", 'Data Entry'!$Ĥ$229)</f>
      </c>
      <c r="HU229">
        <f>IF(ISBLANK('Data Entry'!$ĥ$229), "", 'Data Entry'!$ĥ$229)</f>
      </c>
      <c r="HV229">
        <f>IF(ISBLANK('Data Entry'!$Ħ$229), "", 'Data Entry'!$Ħ$229)</f>
      </c>
      <c r="HW229">
        <f>IF(ISBLANK('Data Entry'!$ħ$229), "", 'Data Entry'!$ħ$229)</f>
      </c>
      <c r="HX229">
        <f>IF(ISBLANK('Data Entry'!$Ĩ$229), "", 'Data Entry'!$Ĩ$229)</f>
      </c>
      <c r="HY229">
        <f>IF(ISBLANK('Data Entry'!$ĩ$229), "", 'Data Entry'!$ĩ$229)</f>
      </c>
      <c r="HZ229">
        <f>IF(ISBLANK('Data Entry'!$Ī$229), "", 'Data Entry'!$Ī$229)</f>
      </c>
      <c r="IA229">
        <f>IF(ISBLANK('Data Entry'!$ī$229), "", 'Data Entry'!$ī$229)</f>
      </c>
      <c r="IB229">
        <f>IF(ISBLANK('Data Entry'!$Ĭ$229), "", 'Data Entry'!$Ĭ$229)</f>
      </c>
      <c r="IC229">
        <f>IF(ISBLANK('Data Entry'!$ĭ$229), "", 'Data Entry'!$ĭ$229)</f>
      </c>
      <c r="ID229">
        <f>IF(ISBLANK('Data Entry'!$Į$229), "", 'Data Entry'!$Į$229)</f>
      </c>
      <c r="IE229">
        <f>IF(ISBLANK('Data Entry'!$į$229), "", 'Data Entry'!$į$229)</f>
      </c>
      <c r="IF229">
        <f>IF(ISBLANK('Data Entry'!$İ$229), "", 'Data Entry'!$İ$229)</f>
      </c>
      <c r="IG229">
        <f>IF(ISBLANK('Data Entry'!$ı$229), "", 'Data Entry'!$ı$229)</f>
      </c>
      <c r="IH229">
        <f>IF(ISBLANK('Data Entry'!$Ĳ$229), "", 'Data Entry'!$Ĳ$229)</f>
      </c>
      <c r="II229">
        <f>IF(ISBLANK('Data Entry'!$ĳ$229), "", 'Data Entry'!$ĳ$229)</f>
      </c>
      <c r="IJ229">
        <f>IF(ISBLANK('Data Entry'!$Ĵ$229), "", 'Data Entry'!$Ĵ$229)</f>
      </c>
      <c r="IK229">
        <f>IF(ISBLANK('Data Entry'!$ĵ$229), "", 'Data Entry'!$ĵ$229)</f>
      </c>
      <c r="IL229">
        <f>IF(ISBLANK('Data Entry'!$Ķ$229), "", 'Data Entry'!$Ķ$229)</f>
      </c>
      <c r="IM229">
        <f>IF(ISBLANK('Data Entry'!$ķ$229), "", 'Data Entry'!$ķ$229)</f>
      </c>
      <c r="IN229">
        <f>IF(ISBLANK('Data Entry'!$ĸ$229), "", 'Data Entry'!$ĸ$229)</f>
      </c>
      <c r="IO229">
        <f>IF(ISBLANK('Data Entry'!$Ĺ$229), "", 'Data Entry'!$Ĺ$229)</f>
      </c>
      <c r="IP229">
        <f>IF(ISBLANK('Data Entry'!$ĺ$229), "", 'Data Entry'!$ĺ$229)</f>
      </c>
      <c r="IQ229">
        <f>IF(ISBLANK('Data Entry'!$Ļ$229), "", 'Data Entry'!$Ļ$229)</f>
      </c>
      <c r="IR229">
        <f>IF(ISBLANK('Data Entry'!$ļ$229), "", 'Data Entry'!$ļ$229)</f>
      </c>
      <c r="IS229">
        <f>IF(ISBLANK('Data Entry'!$Ľ$229), "", 'Data Entry'!$Ľ$229)</f>
      </c>
      <c r="IT229">
        <f>IF(ISBLANK('Data Entry'!$ľ$229), "", 'Data Entry'!$ľ$229)</f>
      </c>
    </row>
    <row r="230" spans="1:254" x14ac:dyDescent="0.25">
      <c r="A230">
        <f>IF(ISBLANK('Data Entry'!$A$230), "", 'Data Entry'!$A$230)</f>
      </c>
      <c r="B230">
        <f>IF(ISBLANK('Data Entry'!$B$230), "", 'Data Entry'!$B$230)</f>
      </c>
      <c r="C230">
        <f>IF(ISBLANK('Data Entry'!$C$230), "", 'Data Entry'!$C$230)</f>
      </c>
      <c r="D230">
        <f>IF(ISBLANK('Data Entry'!$D$230), "", 'Data Entry'!$D$230)</f>
      </c>
      <c r="E230">
        <f>IF(ISBLANK('Data Entry'!$E$230), "", 'Data Entry'!$E$230)</f>
      </c>
      <c r="F230">
        <f>IF(ISBLANK('Data Entry'!$F$230), "", 'Data Entry'!$F$230)</f>
      </c>
      <c r="G230">
        <f>IF(ISBLANK('Data Entry'!$G$230), "", 'Data Entry'!$G$230)</f>
      </c>
      <c r="H230">
        <f>IF(ISBLANK('Data Entry'!$H$230), "", 'Data Entry'!$H$230)</f>
      </c>
      <c r="I230">
        <f>IF(ISBLANK('Data Entry'!$I$230), "", 'Data Entry'!$I$230)</f>
      </c>
      <c r="J230">
        <f>IF(ISBLANK('Data Entry'!$J$230), "", 'Data Entry'!$J$230)</f>
      </c>
      <c r="K230">
        <f>IF(ISBLANK('Data Entry'!$K$230), "", 'Data Entry'!$K$230)</f>
      </c>
      <c r="L230">
        <f>IF(ISBLANK('Data Entry'!$L$230), "", 'Data Entry'!$L$230)</f>
      </c>
      <c r="M230">
        <f>IF(ISBLANK('Data Entry'!$M$230), "", 'Data Entry'!$M$230)</f>
      </c>
      <c r="N230">
        <f>IF(ISBLANK('Data Entry'!$N$230), "", 'Data Entry'!$N$230)</f>
      </c>
      <c r="O230">
        <f>IF(ISBLANK('Data Entry'!$O$230), "", 'Data Entry'!$O$230)</f>
      </c>
      <c r="P230">
        <f>IF(ISBLANK('Data Entry'!$P$230), "", 'Data Entry'!$P$230)</f>
      </c>
      <c r="Q230">
        <f>IF(ISBLANK('Data Entry'!$Q$230), "", 'Data Entry'!$Q$230)</f>
      </c>
      <c r="R230">
        <f>IF(ISBLANK('Data Entry'!$R$230), "", 'Data Entry'!$R$230)</f>
      </c>
      <c r="S230">
        <f>IF(ISBLANK('Data Entry'!$S$230), "", 'Data Entry'!$S$230)</f>
      </c>
      <c r="T230">
        <f>IF(ISBLANK('Data Entry'!$T$230), "", 'Data Entry'!$T$230)</f>
      </c>
      <c r="U230">
        <f>IF(ISBLANK('Data Entry'!$U$230), "", 'Data Entry'!$U$230)</f>
      </c>
      <c r="V230">
        <f>IF(ISBLANK('Data Entry'!$V$230), "", 'Data Entry'!$V$230)</f>
      </c>
      <c r="W230">
        <f>IF(ISBLANK('Data Entry'!$W$230), "", 'Data Entry'!$W$230)</f>
      </c>
      <c r="X230">
        <f>IF(ISBLANK('Data Entry'!$X$230), "", 'Data Entry'!$X$230)</f>
      </c>
      <c r="Y230">
        <f>IF(ISBLANK('Data Entry'!$Y$230), "", 'Data Entry'!$Y$230)</f>
      </c>
      <c r="Z230">
        <f>IF(ISBLANK('Data Entry'!$Z$230), "", 'Data Entry'!$Z$230)</f>
      </c>
      <c r="AA230">
        <f>IF(ISBLANK('Data Entry'!$[$230), "", 'Data Entry'!$[$230)</f>
      </c>
      <c r="AB230">
        <f>IF(ISBLANK('Data Entry'!$\$230), "", 'Data Entry'!$\$230)</f>
      </c>
      <c r="AC230">
        <f>IF(ISBLANK('Data Entry'!$]$230), "", 'Data Entry'!$]$230)</f>
      </c>
      <c r="AD230">
        <f>IF(ISBLANK('Data Entry'!$^$230), "", 'Data Entry'!$^$230)</f>
      </c>
      <c r="AE230">
        <f>IF(ISBLANK('Data Entry'!$_$230), "", 'Data Entry'!$_$230)</f>
      </c>
      <c r="AF230">
        <f>IF(ISBLANK('Data Entry'!$`$230), "", 'Data Entry'!$`$230)</f>
      </c>
      <c r="AG230">
        <f>IF(ISBLANK('Data Entry'!$a$230), "", 'Data Entry'!$a$230)</f>
      </c>
      <c r="AH230">
        <f>IF(ISBLANK('Data Entry'!$b$230), "", 'Data Entry'!$b$230)</f>
      </c>
      <c r="AI230">
        <f>IF(ISBLANK('Data Entry'!$c$230), "", 'Data Entry'!$c$230)</f>
      </c>
      <c r="AJ230">
        <f>IF(ISBLANK('Data Entry'!$d$230), "", 'Data Entry'!$d$230)</f>
      </c>
      <c r="AK230">
        <f>IF(ISBLANK('Data Entry'!$e$230), "", 'Data Entry'!$e$230)</f>
      </c>
      <c r="AL230">
        <f>IF(ISBLANK('Data Entry'!$f$230), "", 'Data Entry'!$f$230)</f>
      </c>
      <c r="AM230">
        <f>IF(ISBLANK('Data Entry'!$g$230), "", 'Data Entry'!$g$230)</f>
      </c>
      <c r="AN230">
        <f>IF(ISBLANK('Data Entry'!$h$230), "", 'Data Entry'!$h$230)</f>
      </c>
      <c r="AO230">
        <f>IF(ISBLANK('Data Entry'!$i$230), "", 'Data Entry'!$i$230)</f>
      </c>
      <c r="AP230">
        <f>IF(ISBLANK('Data Entry'!$j$230), "", 'Data Entry'!$j$230)</f>
      </c>
      <c r="AQ230">
        <f>IF(ISBLANK('Data Entry'!$k$230), "", 'Data Entry'!$k$230)</f>
      </c>
      <c r="AR230">
        <f>IF(ISBLANK('Data Entry'!$l$230), "", 'Data Entry'!$l$230)</f>
      </c>
      <c r="AS230">
        <f>IF(ISBLANK('Data Entry'!$m$230), "", 'Data Entry'!$m$230)</f>
      </c>
      <c r="AT230">
        <f>IF(ISBLANK('Data Entry'!$n$230), "", 'Data Entry'!$n$230)</f>
      </c>
      <c r="AU230">
        <f>IF(ISBLANK('Data Entry'!$o$230), "", 'Data Entry'!$o$230)</f>
      </c>
      <c r="AV230">
        <f>IF(ISBLANK('Data Entry'!$p$230), "", 'Data Entry'!$p$230)</f>
      </c>
      <c r="AW230">
        <f>IF(ISBLANK('Data Entry'!$q$230), "", 'Data Entry'!$q$230)</f>
      </c>
      <c r="AX230">
        <f>IF(ISBLANK('Data Entry'!$r$230), "", 'Data Entry'!$r$230)</f>
      </c>
      <c r="AY230">
        <f>IF(ISBLANK('Data Entry'!$s$230), "", 'Data Entry'!$s$230)</f>
      </c>
      <c r="AZ230">
        <f>IF(ISBLANK('Data Entry'!$t$230), "", 'Data Entry'!$t$230)</f>
      </c>
      <c r="BA230">
        <f>IF(ISBLANK('Data Entry'!$u$230), "", 'Data Entry'!$u$230)</f>
      </c>
      <c r="BB230">
        <f>IF(ISBLANK('Data Entry'!$v$230), "", 'Data Entry'!$v$230)</f>
      </c>
      <c r="BC230">
        <f>IF(ISBLANK('Data Entry'!$w$230), "", 'Data Entry'!$w$230)</f>
      </c>
      <c r="BD230">
        <f>IF(ISBLANK('Data Entry'!$x$230), "", 'Data Entry'!$x$230)</f>
      </c>
      <c r="BE230">
        <f>IF(ISBLANK('Data Entry'!$y$230), "", 'Data Entry'!$y$230)</f>
      </c>
      <c r="BF230">
        <f>IF(ISBLANK('Data Entry'!$z$230), "", 'Data Entry'!$z$230)</f>
      </c>
      <c r="BG230">
        <f>IF(ISBLANK('Data Entry'!${$230), "", 'Data Entry'!${$230)</f>
      </c>
      <c r="BH230">
        <f>IF(ISBLANK('Data Entry'!$|$230), "", 'Data Entry'!$|$230)</f>
      </c>
      <c r="BI230">
        <f>IF(ISBLANK('Data Entry'!$}$230), "", 'Data Entry'!$}$230)</f>
      </c>
      <c r="BJ230">
        <f>IF(ISBLANK('Data Entry'!$~$230), "", 'Data Entry'!$~$230)</f>
      </c>
      <c r="BK230">
        <f>IF(ISBLANK('Data Entry'!$$230), "", 'Data Entry'!$$230)</f>
      </c>
      <c r="BL230">
        <f>IF(ISBLANK('Data Entry'!$$230), "", 'Data Entry'!$$230)</f>
      </c>
      <c r="BM230">
        <f>IF(ISBLANK('Data Entry'!$$230), "", 'Data Entry'!$$230)</f>
      </c>
      <c r="BN230">
        <f>IF(ISBLANK('Data Entry'!$$230), "", 'Data Entry'!$$230)</f>
      </c>
      <c r="BO230">
        <f>IF(ISBLANK('Data Entry'!$$230), "", 'Data Entry'!$$230)</f>
      </c>
      <c r="BP230">
        <f>IF(ISBLANK('Data Entry'!$$230), "", 'Data Entry'!$$230)</f>
      </c>
      <c r="BQ230">
        <f>IF(ISBLANK('Data Entry'!$$230), "", 'Data Entry'!$$230)</f>
      </c>
      <c r="BR230">
        <f>IF(ISBLANK('Data Entry'!$$230), "", 'Data Entry'!$$230)</f>
      </c>
      <c r="BS230">
        <f>IF(ISBLANK('Data Entry'!$$230), "", 'Data Entry'!$$230)</f>
      </c>
      <c r="BT230">
        <f>IF(ISBLANK('Data Entry'!$$230), "", 'Data Entry'!$$230)</f>
      </c>
      <c r="BU230">
        <f>IF(ISBLANK('Data Entry'!$$230), "", 'Data Entry'!$$230)</f>
      </c>
      <c r="BV230">
        <f>IF(ISBLANK('Data Entry'!$$230), "", 'Data Entry'!$$230)</f>
      </c>
      <c r="BW230">
        <f>IF(ISBLANK('Data Entry'!$$230), "", 'Data Entry'!$$230)</f>
      </c>
      <c r="BX230">
        <f>IF(ISBLANK('Data Entry'!$$230), "", 'Data Entry'!$$230)</f>
      </c>
      <c r="BY230">
        <f>IF(ISBLANK('Data Entry'!$$230), "", 'Data Entry'!$$230)</f>
      </c>
      <c r="BZ230">
        <f>IF(ISBLANK('Data Entry'!$$230), "", 'Data Entry'!$$230)</f>
      </c>
      <c r="CA230">
        <f>IF(ISBLANK('Data Entry'!$$230), "", 'Data Entry'!$$230)</f>
      </c>
      <c r="CB230">
        <f>IF(ISBLANK('Data Entry'!$$230), "", 'Data Entry'!$$230)</f>
      </c>
      <c r="CC230">
        <f>IF(ISBLANK('Data Entry'!$$230), "", 'Data Entry'!$$230)</f>
      </c>
      <c r="CD230">
        <f>IF(ISBLANK('Data Entry'!$$230), "", 'Data Entry'!$$230)</f>
      </c>
      <c r="CE230">
        <f>IF(ISBLANK('Data Entry'!$$230), "", 'Data Entry'!$$230)</f>
      </c>
      <c r="CF230">
        <f>IF(ISBLANK('Data Entry'!$$230), "", 'Data Entry'!$$230)</f>
      </c>
      <c r="CG230">
        <f>IF(ISBLANK('Data Entry'!$$230), "", 'Data Entry'!$$230)</f>
      </c>
      <c r="CH230">
        <f>IF(ISBLANK('Data Entry'!$$230), "", 'Data Entry'!$$230)</f>
      </c>
      <c r="CI230">
        <f>IF(ISBLANK('Data Entry'!$$230), "", 'Data Entry'!$$230)</f>
      </c>
      <c r="CJ230">
        <f>IF(ISBLANK('Data Entry'!$$230), "", 'Data Entry'!$$230)</f>
      </c>
      <c r="CK230">
        <f>IF(ISBLANK('Data Entry'!$$230), "", 'Data Entry'!$$230)</f>
      </c>
      <c r="CL230">
        <f>IF(ISBLANK('Data Entry'!$$230), "", 'Data Entry'!$$230)</f>
      </c>
      <c r="CM230">
        <f>IF(ISBLANK('Data Entry'!$$230), "", 'Data Entry'!$$230)</f>
      </c>
      <c r="CN230">
        <f>IF(ISBLANK('Data Entry'!$$230), "", 'Data Entry'!$$230)</f>
      </c>
      <c r="CO230">
        <f>IF(ISBLANK('Data Entry'!$$230), "", 'Data Entry'!$$230)</f>
      </c>
      <c r="CP230">
        <f>IF(ISBLANK('Data Entry'!$$230), "", 'Data Entry'!$$230)</f>
      </c>
      <c r="CQ230">
        <f>IF(ISBLANK('Data Entry'!$$230), "", 'Data Entry'!$$230)</f>
      </c>
      <c r="CR230">
        <f>IF(ISBLANK('Data Entry'!$ $230), "", 'Data Entry'!$ $230)</f>
      </c>
      <c r="CS230">
        <f>IF(ISBLANK('Data Entry'!$¡$230), "", 'Data Entry'!$¡$230)</f>
      </c>
      <c r="CT230">
        <f>IF(ISBLANK('Data Entry'!$¢$230), "", 'Data Entry'!$¢$230)</f>
      </c>
      <c r="CU230">
        <f>IF(ISBLANK('Data Entry'!$£$230), "", 'Data Entry'!$£$230)</f>
      </c>
      <c r="CV230">
        <f>IF(ISBLANK('Data Entry'!$¤$230), "", 'Data Entry'!$¤$230)</f>
      </c>
      <c r="CW230">
        <f>IF(ISBLANK('Data Entry'!$¥$230), "", 'Data Entry'!$¥$230)</f>
      </c>
      <c r="CX230">
        <f>IF(ISBLANK('Data Entry'!$¦$230), "", 'Data Entry'!$¦$230)</f>
      </c>
      <c r="CY230">
        <f>IF(ISBLANK('Data Entry'!$§$230), "", 'Data Entry'!$§$230)</f>
      </c>
      <c r="CZ230">
        <f>IF(ISBLANK('Data Entry'!$¨$230), "", 'Data Entry'!$¨$230)</f>
      </c>
      <c r="DA230">
        <f>IF(ISBLANK('Data Entry'!$©$230), "", 'Data Entry'!$©$230)</f>
      </c>
      <c r="DB230">
        <f>IF(ISBLANK('Data Entry'!$ª$230), "", 'Data Entry'!$ª$230)</f>
      </c>
      <c r="DC230">
        <f>IF(ISBLANK('Data Entry'!$«$230), "", 'Data Entry'!$«$230)</f>
      </c>
      <c r="DD230">
        <f>IF(ISBLANK('Data Entry'!$¬$230), "", 'Data Entry'!$¬$230)</f>
      </c>
      <c r="DE230">
        <f>IF(ISBLANK('Data Entry'!$­$230), "", 'Data Entry'!$­$230)</f>
      </c>
      <c r="DF230">
        <f>IF(ISBLANK('Data Entry'!$®$230), "", 'Data Entry'!$®$230)</f>
      </c>
      <c r="DG230">
        <f>IF(ISBLANK('Data Entry'!$¯$230), "", 'Data Entry'!$¯$230)</f>
      </c>
      <c r="DH230">
        <f>IF(ISBLANK('Data Entry'!$°$230), "", 'Data Entry'!$°$230)</f>
      </c>
      <c r="DI230">
        <f>IF(ISBLANK('Data Entry'!$±$230), "", 'Data Entry'!$±$230)</f>
      </c>
      <c r="DJ230">
        <f>IF(ISBLANK('Data Entry'!$²$230), "", 'Data Entry'!$²$230)</f>
      </c>
      <c r="DK230">
        <f>IF(ISBLANK('Data Entry'!$³$230), "", 'Data Entry'!$³$230)</f>
      </c>
      <c r="DL230">
        <f>IF(ISBLANK('Data Entry'!$´$230), "", 'Data Entry'!$´$230)</f>
      </c>
      <c r="DM230">
        <f>IF(ISBLANK('Data Entry'!$µ$230), "", 'Data Entry'!$µ$230)</f>
      </c>
      <c r="DN230">
        <f>IF(ISBLANK('Data Entry'!$¶$230), "", 'Data Entry'!$¶$230)</f>
      </c>
      <c r="DO230">
        <f>IF(ISBLANK('Data Entry'!$·$230), "", 'Data Entry'!$·$230)</f>
      </c>
      <c r="DP230">
        <f>IF(ISBLANK('Data Entry'!$¸$230), "", 'Data Entry'!$¸$230)</f>
      </c>
      <c r="DQ230">
        <f>IF(ISBLANK('Data Entry'!$¹$230), "", 'Data Entry'!$¹$230)</f>
      </c>
      <c r="DR230">
        <f>IF(ISBLANK('Data Entry'!$º$230), "", 'Data Entry'!$º$230)</f>
      </c>
      <c r="DS230">
        <f>IF(ISBLANK('Data Entry'!$»$230), "", 'Data Entry'!$»$230)</f>
      </c>
      <c r="DT230">
        <f>IF(ISBLANK('Data Entry'!$¼$230), "", 'Data Entry'!$¼$230)</f>
      </c>
      <c r="DU230">
        <f>IF(ISBLANK('Data Entry'!$½$230), "", 'Data Entry'!$½$230)</f>
      </c>
      <c r="DV230">
        <f>IF(ISBLANK('Data Entry'!$¾$230), "", 'Data Entry'!$¾$230)</f>
      </c>
      <c r="DW230">
        <f>IF(ISBLANK('Data Entry'!$¿$230), "", 'Data Entry'!$¿$230)</f>
      </c>
      <c r="DX230">
        <f>IF(ISBLANK('Data Entry'!$À$230), "", 'Data Entry'!$À$230)</f>
      </c>
      <c r="DY230">
        <f>IF(ISBLANK('Data Entry'!$Á$230), "", 'Data Entry'!$Á$230)</f>
      </c>
      <c r="DZ230">
        <f>IF(ISBLANK('Data Entry'!$Â$230), "", 'Data Entry'!$Â$230)</f>
      </c>
      <c r="EA230">
        <f>IF(ISBLANK('Data Entry'!$Ã$230), "", 'Data Entry'!$Ã$230)</f>
      </c>
      <c r="EB230">
        <f>IF(ISBLANK('Data Entry'!$Ä$230), "", 'Data Entry'!$Ä$230)</f>
      </c>
      <c r="EC230">
        <f>IF(ISBLANK('Data Entry'!$Å$230), "", 'Data Entry'!$Å$230)</f>
      </c>
      <c r="ED230">
        <f>IF(ISBLANK('Data Entry'!$Æ$230), "", 'Data Entry'!$Æ$230)</f>
      </c>
      <c r="EE230">
        <f>IF(ISBLANK('Data Entry'!$Ç$230), "", 'Data Entry'!$Ç$230)</f>
      </c>
      <c r="EF230">
        <f>IF(ISBLANK('Data Entry'!$È$230), "", 'Data Entry'!$È$230)</f>
      </c>
      <c r="EG230">
        <f>IF(ISBLANK('Data Entry'!$É$230), "", 'Data Entry'!$É$230)</f>
      </c>
      <c r="EH230">
        <f>IF(ISBLANK('Data Entry'!$Ê$230), "", 'Data Entry'!$Ê$230)</f>
      </c>
      <c r="EI230">
        <f>IF(ISBLANK('Data Entry'!$Ë$230), "", 'Data Entry'!$Ë$230)</f>
      </c>
      <c r="EJ230">
        <f>IF(ISBLANK('Data Entry'!$Ì$230), "", 'Data Entry'!$Ì$230)</f>
      </c>
      <c r="EK230">
        <f>IF(ISBLANK('Data Entry'!$Í$230), "", 'Data Entry'!$Í$230)</f>
      </c>
      <c r="EL230">
        <f>IF(ISBLANK('Data Entry'!$Î$230), "", 'Data Entry'!$Î$230)</f>
      </c>
      <c r="EM230">
        <f>IF(ISBLANK('Data Entry'!$Ï$230), "", 'Data Entry'!$Ï$230)</f>
      </c>
      <c r="EN230">
        <f>IF(ISBLANK('Data Entry'!$Ð$230), "", 'Data Entry'!$Ð$230)</f>
      </c>
      <c r="EO230">
        <f>IF(ISBLANK('Data Entry'!$Ñ$230), "", 'Data Entry'!$Ñ$230)</f>
      </c>
      <c r="EP230">
        <f>IF(ISBLANK('Data Entry'!$Ò$230), "", 'Data Entry'!$Ò$230)</f>
      </c>
      <c r="EQ230">
        <f>IF(ISBLANK('Data Entry'!$Ó$230), "", 'Data Entry'!$Ó$230)</f>
      </c>
      <c r="ER230">
        <f>IF(ISBLANK('Data Entry'!$Ô$230), "", 'Data Entry'!$Ô$230)</f>
      </c>
      <c r="ES230">
        <f>IF(ISBLANK('Data Entry'!$Õ$230), "", 'Data Entry'!$Õ$230)</f>
      </c>
      <c r="ET230">
        <f>IF(ISBLANK('Data Entry'!$Ö$230), "", 'Data Entry'!$Ö$230)</f>
      </c>
      <c r="EU230">
        <f>IF(ISBLANK('Data Entry'!$×$230), "", 'Data Entry'!$×$230)</f>
      </c>
      <c r="EV230">
        <f>IF(ISBLANK('Data Entry'!$Ø$230), "", 'Data Entry'!$Ø$230)</f>
      </c>
      <c r="EW230">
        <f>IF(ISBLANK('Data Entry'!$Ù$230), "", 'Data Entry'!$Ù$230)</f>
      </c>
      <c r="EX230">
        <f>IF(ISBLANK('Data Entry'!$Ú$230), "", 'Data Entry'!$Ú$230)</f>
      </c>
      <c r="EY230">
        <f>IF(ISBLANK('Data Entry'!$Û$230), "", 'Data Entry'!$Û$230)</f>
      </c>
      <c r="EZ230">
        <f>IF(ISBLANK('Data Entry'!$Ü$230), "", 'Data Entry'!$Ü$230)</f>
      </c>
      <c r="FA230">
        <f>IF(ISBLANK('Data Entry'!$Ý$230), "", 'Data Entry'!$Ý$230)</f>
      </c>
      <c r="FB230">
        <f>IF(ISBLANK('Data Entry'!$Þ$230), "", 'Data Entry'!$Þ$230)</f>
      </c>
      <c r="FC230">
        <f>IF(ISBLANK('Data Entry'!$ß$230), "", 'Data Entry'!$ß$230)</f>
      </c>
      <c r="FD230">
        <f>IF(ISBLANK('Data Entry'!$à$230), "", 'Data Entry'!$à$230)</f>
      </c>
      <c r="FE230">
        <f>IF(ISBLANK('Data Entry'!$á$230), "", 'Data Entry'!$á$230)</f>
      </c>
      <c r="FF230">
        <f>IF(ISBLANK('Data Entry'!$â$230), "", 'Data Entry'!$â$230)</f>
      </c>
      <c r="FG230">
        <f>IF(ISBLANK('Data Entry'!$ã$230), "", 'Data Entry'!$ã$230)</f>
      </c>
      <c r="FH230">
        <f>IF(ISBLANK('Data Entry'!$ä$230), "", 'Data Entry'!$ä$230)</f>
      </c>
      <c r="FI230">
        <f>IF(ISBLANK('Data Entry'!$å$230), "", 'Data Entry'!$å$230)</f>
      </c>
      <c r="FJ230">
        <f>IF(ISBLANK('Data Entry'!$æ$230), "", 'Data Entry'!$æ$230)</f>
      </c>
      <c r="FK230">
        <f>IF(ISBLANK('Data Entry'!$ç$230), "", 'Data Entry'!$ç$230)</f>
      </c>
      <c r="FL230">
        <f>IF(ISBLANK('Data Entry'!$è$230), "", 'Data Entry'!$è$230)</f>
      </c>
      <c r="FM230">
        <f>IF(ISBLANK('Data Entry'!$é$230), "", 'Data Entry'!$é$230)</f>
      </c>
      <c r="FN230">
        <f>IF(ISBLANK('Data Entry'!$ê$230), "", 'Data Entry'!$ê$230)</f>
      </c>
      <c r="FO230">
        <f>IF(ISBLANK('Data Entry'!$ë$230), "", 'Data Entry'!$ë$230)</f>
      </c>
      <c r="FP230">
        <f>IF(ISBLANK('Data Entry'!$ì$230), "", 'Data Entry'!$ì$230)</f>
      </c>
      <c r="FQ230">
        <f>IF(ISBLANK('Data Entry'!$í$230), "", 'Data Entry'!$í$230)</f>
      </c>
      <c r="FR230">
        <f>IF(ISBLANK('Data Entry'!$î$230), "", 'Data Entry'!$î$230)</f>
      </c>
      <c r="FS230">
        <f>IF(ISBLANK('Data Entry'!$ï$230), "", 'Data Entry'!$ï$230)</f>
      </c>
      <c r="FT230">
        <f>IF(ISBLANK('Data Entry'!$ð$230), "", 'Data Entry'!$ð$230)</f>
      </c>
      <c r="FU230">
        <f>IF(ISBLANK('Data Entry'!$ñ$230), "", 'Data Entry'!$ñ$230)</f>
      </c>
      <c r="FV230">
        <f>IF(ISBLANK('Data Entry'!$ò$230), "", 'Data Entry'!$ò$230)</f>
      </c>
      <c r="FW230">
        <f>IF(ISBLANK('Data Entry'!$ó$230), "", 'Data Entry'!$ó$230)</f>
      </c>
      <c r="FX230">
        <f>IF(ISBLANK('Data Entry'!$ô$230), "", 'Data Entry'!$ô$230)</f>
      </c>
      <c r="FY230">
        <f>IF(ISBLANK('Data Entry'!$õ$230), "", 'Data Entry'!$õ$230)</f>
      </c>
      <c r="FZ230">
        <f>IF(ISBLANK('Data Entry'!$ö$230), "", 'Data Entry'!$ö$230)</f>
      </c>
      <c r="GA230">
        <f>IF(ISBLANK('Data Entry'!$÷$230), "", 'Data Entry'!$÷$230)</f>
      </c>
      <c r="GB230">
        <f>IF(ISBLANK('Data Entry'!$ø$230), "", 'Data Entry'!$ø$230)</f>
      </c>
      <c r="GC230">
        <f>IF(ISBLANK('Data Entry'!$ù$230), "", 'Data Entry'!$ù$230)</f>
      </c>
      <c r="GD230">
        <f>IF(ISBLANK('Data Entry'!$ú$230), "", 'Data Entry'!$ú$230)</f>
      </c>
      <c r="GE230">
        <f>IF(ISBLANK('Data Entry'!$û$230), "", 'Data Entry'!$û$230)</f>
      </c>
      <c r="GF230">
        <f>IF(ISBLANK('Data Entry'!$ü$230), "", 'Data Entry'!$ü$230)</f>
      </c>
      <c r="GG230">
        <f>IF(ISBLANK('Data Entry'!$ý$230), "", 'Data Entry'!$ý$230)</f>
      </c>
      <c r="GH230">
        <f>IF(ISBLANK('Data Entry'!$þ$230), "", 'Data Entry'!$þ$230)</f>
      </c>
      <c r="GI230">
        <f>IF(ISBLANK('Data Entry'!$ÿ$230), "", 'Data Entry'!$ÿ$230)</f>
      </c>
      <c r="GJ230">
        <f>IF(ISBLANK('Data Entry'!$Ā$230), "", 'Data Entry'!$Ā$230)</f>
      </c>
      <c r="GK230">
        <f>IF(ISBLANK('Data Entry'!$ā$230), "", 'Data Entry'!$ā$230)</f>
      </c>
      <c r="GL230">
        <f>IF(ISBLANK('Data Entry'!$Ă$230), "", 'Data Entry'!$Ă$230)</f>
      </c>
      <c r="GM230">
        <f>IF(ISBLANK('Data Entry'!$ă$230), "", 'Data Entry'!$ă$230)</f>
      </c>
      <c r="GN230">
        <f>IF(ISBLANK('Data Entry'!$Ą$230), "", 'Data Entry'!$Ą$230)</f>
      </c>
      <c r="GO230">
        <f>IF(ISBLANK('Data Entry'!$ą$230), "", 'Data Entry'!$ą$230)</f>
      </c>
      <c r="GP230">
        <f>IF(ISBLANK('Data Entry'!$Ć$230), "", 'Data Entry'!$Ć$230)</f>
      </c>
      <c r="GQ230">
        <f>IF(ISBLANK('Data Entry'!$ć$230), "", 'Data Entry'!$ć$230)</f>
      </c>
      <c r="GR230">
        <f>IF(ISBLANK('Data Entry'!$Ĉ$230), "", 'Data Entry'!$Ĉ$230)</f>
      </c>
      <c r="GS230">
        <f>IF(ISBLANK('Data Entry'!$ĉ$230), "", 'Data Entry'!$ĉ$230)</f>
      </c>
      <c r="GT230">
        <f>IF(ISBLANK('Data Entry'!$Ċ$230), "", 'Data Entry'!$Ċ$230)</f>
      </c>
      <c r="GU230">
        <f>IF(ISBLANK('Data Entry'!$ċ$230), "", 'Data Entry'!$ċ$230)</f>
      </c>
      <c r="GV230">
        <f>IF(ISBLANK('Data Entry'!$Č$230), "", 'Data Entry'!$Č$230)</f>
      </c>
      <c r="GW230">
        <f>IF(ISBLANK('Data Entry'!$č$230), "", 'Data Entry'!$č$230)</f>
      </c>
      <c r="GX230">
        <f>IF(ISBLANK('Data Entry'!$Ď$230), "", 'Data Entry'!$Ď$230)</f>
      </c>
      <c r="GY230">
        <f>IF(ISBLANK('Data Entry'!$ď$230), "", 'Data Entry'!$ď$230)</f>
      </c>
      <c r="GZ230">
        <f>IF(ISBLANK('Data Entry'!$Đ$230), "", 'Data Entry'!$Đ$230)</f>
      </c>
      <c r="HA230">
        <f>IF(ISBLANK('Data Entry'!$đ$230), "", 'Data Entry'!$đ$230)</f>
      </c>
      <c r="HB230">
        <f>IF(ISBLANK('Data Entry'!$Ē$230), "", 'Data Entry'!$Ē$230)</f>
      </c>
      <c r="HC230">
        <f>IF(ISBLANK('Data Entry'!$ē$230), "", 'Data Entry'!$ē$230)</f>
      </c>
      <c r="HD230">
        <f>IF(ISBLANK('Data Entry'!$Ĕ$230), "", 'Data Entry'!$Ĕ$230)</f>
      </c>
      <c r="HE230">
        <f>IF(ISBLANK('Data Entry'!$ĕ$230), "", 'Data Entry'!$ĕ$230)</f>
      </c>
      <c r="HF230">
        <f>IF(ISBLANK('Data Entry'!$Ė$230), "", 'Data Entry'!$Ė$230)</f>
      </c>
      <c r="HG230">
        <f>IF(ISBLANK('Data Entry'!$ė$230), "", 'Data Entry'!$ė$230)</f>
      </c>
      <c r="HH230">
        <f>IF(ISBLANK('Data Entry'!$Ę$230), "", 'Data Entry'!$Ę$230)</f>
      </c>
      <c r="HI230">
        <f>IF(ISBLANK('Data Entry'!$ę$230), "", 'Data Entry'!$ę$230)</f>
      </c>
      <c r="HJ230">
        <f>IF(ISBLANK('Data Entry'!$Ě$230), "", 'Data Entry'!$Ě$230)</f>
      </c>
      <c r="HK230">
        <f>IF(ISBLANK('Data Entry'!$ě$230), "", 'Data Entry'!$ě$230)</f>
      </c>
      <c r="HL230">
        <f>IF(ISBLANK('Data Entry'!$Ĝ$230), "", 'Data Entry'!$Ĝ$230)</f>
      </c>
      <c r="HM230">
        <f>IF(ISBLANK('Data Entry'!$ĝ$230), "", 'Data Entry'!$ĝ$230)</f>
      </c>
      <c r="HN230">
        <f>IF(ISBLANK('Data Entry'!$Ğ$230), "", 'Data Entry'!$Ğ$230)</f>
      </c>
      <c r="HO230">
        <f>IF(ISBLANK('Data Entry'!$ğ$230), "", 'Data Entry'!$ğ$230)</f>
      </c>
      <c r="HP230">
        <f>IF(ISBLANK('Data Entry'!$Ġ$230), "", 'Data Entry'!$Ġ$230)</f>
      </c>
      <c r="HQ230">
        <f>IF(ISBLANK('Data Entry'!$ġ$230), "", 'Data Entry'!$ġ$230)</f>
      </c>
      <c r="HR230">
        <f>IF(ISBLANK('Data Entry'!$Ģ$230), "", 'Data Entry'!$Ģ$230)</f>
      </c>
      <c r="HS230">
        <f>IF(ISBLANK('Data Entry'!$ģ$230), "", 'Data Entry'!$ģ$230)</f>
      </c>
      <c r="HT230">
        <f>IF(ISBLANK('Data Entry'!$Ĥ$230), "", 'Data Entry'!$Ĥ$230)</f>
      </c>
      <c r="HU230">
        <f>IF(ISBLANK('Data Entry'!$ĥ$230), "", 'Data Entry'!$ĥ$230)</f>
      </c>
      <c r="HV230">
        <f>IF(ISBLANK('Data Entry'!$Ħ$230), "", 'Data Entry'!$Ħ$230)</f>
      </c>
      <c r="HW230">
        <f>IF(ISBLANK('Data Entry'!$ħ$230), "", 'Data Entry'!$ħ$230)</f>
      </c>
      <c r="HX230">
        <f>IF(ISBLANK('Data Entry'!$Ĩ$230), "", 'Data Entry'!$Ĩ$230)</f>
      </c>
      <c r="HY230">
        <f>IF(ISBLANK('Data Entry'!$ĩ$230), "", 'Data Entry'!$ĩ$230)</f>
      </c>
      <c r="HZ230">
        <f>IF(ISBLANK('Data Entry'!$Ī$230), "", 'Data Entry'!$Ī$230)</f>
      </c>
      <c r="IA230">
        <f>IF(ISBLANK('Data Entry'!$ī$230), "", 'Data Entry'!$ī$230)</f>
      </c>
      <c r="IB230">
        <f>IF(ISBLANK('Data Entry'!$Ĭ$230), "", 'Data Entry'!$Ĭ$230)</f>
      </c>
      <c r="IC230">
        <f>IF(ISBLANK('Data Entry'!$ĭ$230), "", 'Data Entry'!$ĭ$230)</f>
      </c>
      <c r="ID230">
        <f>IF(ISBLANK('Data Entry'!$Į$230), "", 'Data Entry'!$Į$230)</f>
      </c>
      <c r="IE230">
        <f>IF(ISBLANK('Data Entry'!$į$230), "", 'Data Entry'!$į$230)</f>
      </c>
      <c r="IF230">
        <f>IF(ISBLANK('Data Entry'!$İ$230), "", 'Data Entry'!$İ$230)</f>
      </c>
      <c r="IG230">
        <f>IF(ISBLANK('Data Entry'!$ı$230), "", 'Data Entry'!$ı$230)</f>
      </c>
      <c r="IH230">
        <f>IF(ISBLANK('Data Entry'!$Ĳ$230), "", 'Data Entry'!$Ĳ$230)</f>
      </c>
      <c r="II230">
        <f>IF(ISBLANK('Data Entry'!$ĳ$230), "", 'Data Entry'!$ĳ$230)</f>
      </c>
      <c r="IJ230">
        <f>IF(ISBLANK('Data Entry'!$Ĵ$230), "", 'Data Entry'!$Ĵ$230)</f>
      </c>
      <c r="IK230">
        <f>IF(ISBLANK('Data Entry'!$ĵ$230), "", 'Data Entry'!$ĵ$230)</f>
      </c>
      <c r="IL230">
        <f>IF(ISBLANK('Data Entry'!$Ķ$230), "", 'Data Entry'!$Ķ$230)</f>
      </c>
      <c r="IM230">
        <f>IF(ISBLANK('Data Entry'!$ķ$230), "", 'Data Entry'!$ķ$230)</f>
      </c>
      <c r="IN230">
        <f>IF(ISBLANK('Data Entry'!$ĸ$230), "", 'Data Entry'!$ĸ$230)</f>
      </c>
      <c r="IO230">
        <f>IF(ISBLANK('Data Entry'!$Ĺ$230), "", 'Data Entry'!$Ĺ$230)</f>
      </c>
      <c r="IP230">
        <f>IF(ISBLANK('Data Entry'!$ĺ$230), "", 'Data Entry'!$ĺ$230)</f>
      </c>
      <c r="IQ230">
        <f>IF(ISBLANK('Data Entry'!$Ļ$230), "", 'Data Entry'!$Ļ$230)</f>
      </c>
      <c r="IR230">
        <f>IF(ISBLANK('Data Entry'!$ļ$230), "", 'Data Entry'!$ļ$230)</f>
      </c>
      <c r="IS230">
        <f>IF(ISBLANK('Data Entry'!$Ľ$230), "", 'Data Entry'!$Ľ$230)</f>
      </c>
      <c r="IT230">
        <f>IF(ISBLANK('Data Entry'!$ľ$230), "", 'Data Entry'!$ľ$230)</f>
      </c>
    </row>
    <row r="231" spans="1:254" x14ac:dyDescent="0.25">
      <c r="A231">
        <f>IF(ISBLANK('Data Entry'!$A$231), "", 'Data Entry'!$A$231)</f>
      </c>
      <c r="B231">
        <f>IF(ISBLANK('Data Entry'!$B$231), "", 'Data Entry'!$B$231)</f>
      </c>
      <c r="C231">
        <f>IF(ISBLANK('Data Entry'!$C$231), "", 'Data Entry'!$C$231)</f>
      </c>
      <c r="D231">
        <f>IF(ISBLANK('Data Entry'!$D$231), "", 'Data Entry'!$D$231)</f>
      </c>
      <c r="E231">
        <f>IF(ISBLANK('Data Entry'!$E$231), "", 'Data Entry'!$E$231)</f>
      </c>
      <c r="F231">
        <f>IF(ISBLANK('Data Entry'!$F$231), "", 'Data Entry'!$F$231)</f>
      </c>
      <c r="G231">
        <f>IF(ISBLANK('Data Entry'!$G$231), "", 'Data Entry'!$G$231)</f>
      </c>
      <c r="H231">
        <f>IF(ISBLANK('Data Entry'!$H$231), "", 'Data Entry'!$H$231)</f>
      </c>
      <c r="I231">
        <f>IF(ISBLANK('Data Entry'!$I$231), "", 'Data Entry'!$I$231)</f>
      </c>
      <c r="J231">
        <f>IF(ISBLANK('Data Entry'!$J$231), "", 'Data Entry'!$J$231)</f>
      </c>
      <c r="K231">
        <f>IF(ISBLANK('Data Entry'!$K$231), "", 'Data Entry'!$K$231)</f>
      </c>
      <c r="L231">
        <f>IF(ISBLANK('Data Entry'!$L$231), "", 'Data Entry'!$L$231)</f>
      </c>
      <c r="M231">
        <f>IF(ISBLANK('Data Entry'!$M$231), "", 'Data Entry'!$M$231)</f>
      </c>
      <c r="N231">
        <f>IF(ISBLANK('Data Entry'!$N$231), "", 'Data Entry'!$N$231)</f>
      </c>
      <c r="O231">
        <f>IF(ISBLANK('Data Entry'!$O$231), "", 'Data Entry'!$O$231)</f>
      </c>
      <c r="P231">
        <f>IF(ISBLANK('Data Entry'!$P$231), "", 'Data Entry'!$P$231)</f>
      </c>
      <c r="Q231">
        <f>IF(ISBLANK('Data Entry'!$Q$231), "", 'Data Entry'!$Q$231)</f>
      </c>
      <c r="R231">
        <f>IF(ISBLANK('Data Entry'!$R$231), "", 'Data Entry'!$R$231)</f>
      </c>
      <c r="S231">
        <f>IF(ISBLANK('Data Entry'!$S$231), "", 'Data Entry'!$S$231)</f>
      </c>
      <c r="T231">
        <f>IF(ISBLANK('Data Entry'!$T$231), "", 'Data Entry'!$T$231)</f>
      </c>
      <c r="U231">
        <f>IF(ISBLANK('Data Entry'!$U$231), "", 'Data Entry'!$U$231)</f>
      </c>
      <c r="V231">
        <f>IF(ISBLANK('Data Entry'!$V$231), "", 'Data Entry'!$V$231)</f>
      </c>
      <c r="W231">
        <f>IF(ISBLANK('Data Entry'!$W$231), "", 'Data Entry'!$W$231)</f>
      </c>
      <c r="X231">
        <f>IF(ISBLANK('Data Entry'!$X$231), "", 'Data Entry'!$X$231)</f>
      </c>
      <c r="Y231">
        <f>IF(ISBLANK('Data Entry'!$Y$231), "", 'Data Entry'!$Y$231)</f>
      </c>
      <c r="Z231">
        <f>IF(ISBLANK('Data Entry'!$Z$231), "", 'Data Entry'!$Z$231)</f>
      </c>
      <c r="AA231">
        <f>IF(ISBLANK('Data Entry'!$[$231), "", 'Data Entry'!$[$231)</f>
      </c>
      <c r="AB231">
        <f>IF(ISBLANK('Data Entry'!$\$231), "", 'Data Entry'!$\$231)</f>
      </c>
      <c r="AC231">
        <f>IF(ISBLANK('Data Entry'!$]$231), "", 'Data Entry'!$]$231)</f>
      </c>
      <c r="AD231">
        <f>IF(ISBLANK('Data Entry'!$^$231), "", 'Data Entry'!$^$231)</f>
      </c>
      <c r="AE231">
        <f>IF(ISBLANK('Data Entry'!$_$231), "", 'Data Entry'!$_$231)</f>
      </c>
      <c r="AF231">
        <f>IF(ISBLANK('Data Entry'!$`$231), "", 'Data Entry'!$`$231)</f>
      </c>
      <c r="AG231">
        <f>IF(ISBLANK('Data Entry'!$a$231), "", 'Data Entry'!$a$231)</f>
      </c>
      <c r="AH231">
        <f>IF(ISBLANK('Data Entry'!$b$231), "", 'Data Entry'!$b$231)</f>
      </c>
      <c r="AI231">
        <f>IF(ISBLANK('Data Entry'!$c$231), "", 'Data Entry'!$c$231)</f>
      </c>
      <c r="AJ231">
        <f>IF(ISBLANK('Data Entry'!$d$231), "", 'Data Entry'!$d$231)</f>
      </c>
      <c r="AK231">
        <f>IF(ISBLANK('Data Entry'!$e$231), "", 'Data Entry'!$e$231)</f>
      </c>
      <c r="AL231">
        <f>IF(ISBLANK('Data Entry'!$f$231), "", 'Data Entry'!$f$231)</f>
      </c>
      <c r="AM231">
        <f>IF(ISBLANK('Data Entry'!$g$231), "", 'Data Entry'!$g$231)</f>
      </c>
      <c r="AN231">
        <f>IF(ISBLANK('Data Entry'!$h$231), "", 'Data Entry'!$h$231)</f>
      </c>
      <c r="AO231">
        <f>IF(ISBLANK('Data Entry'!$i$231), "", 'Data Entry'!$i$231)</f>
      </c>
      <c r="AP231">
        <f>IF(ISBLANK('Data Entry'!$j$231), "", 'Data Entry'!$j$231)</f>
      </c>
      <c r="AQ231">
        <f>IF(ISBLANK('Data Entry'!$k$231), "", 'Data Entry'!$k$231)</f>
      </c>
      <c r="AR231">
        <f>IF(ISBLANK('Data Entry'!$l$231), "", 'Data Entry'!$l$231)</f>
      </c>
      <c r="AS231">
        <f>IF(ISBLANK('Data Entry'!$m$231), "", 'Data Entry'!$m$231)</f>
      </c>
      <c r="AT231">
        <f>IF(ISBLANK('Data Entry'!$n$231), "", 'Data Entry'!$n$231)</f>
      </c>
      <c r="AU231">
        <f>IF(ISBLANK('Data Entry'!$o$231), "", 'Data Entry'!$o$231)</f>
      </c>
      <c r="AV231">
        <f>IF(ISBLANK('Data Entry'!$p$231), "", 'Data Entry'!$p$231)</f>
      </c>
      <c r="AW231">
        <f>IF(ISBLANK('Data Entry'!$q$231), "", 'Data Entry'!$q$231)</f>
      </c>
      <c r="AX231">
        <f>IF(ISBLANK('Data Entry'!$r$231), "", 'Data Entry'!$r$231)</f>
      </c>
      <c r="AY231">
        <f>IF(ISBLANK('Data Entry'!$s$231), "", 'Data Entry'!$s$231)</f>
      </c>
      <c r="AZ231">
        <f>IF(ISBLANK('Data Entry'!$t$231), "", 'Data Entry'!$t$231)</f>
      </c>
      <c r="BA231">
        <f>IF(ISBLANK('Data Entry'!$u$231), "", 'Data Entry'!$u$231)</f>
      </c>
      <c r="BB231">
        <f>IF(ISBLANK('Data Entry'!$v$231), "", 'Data Entry'!$v$231)</f>
      </c>
      <c r="BC231">
        <f>IF(ISBLANK('Data Entry'!$w$231), "", 'Data Entry'!$w$231)</f>
      </c>
      <c r="BD231">
        <f>IF(ISBLANK('Data Entry'!$x$231), "", 'Data Entry'!$x$231)</f>
      </c>
      <c r="BE231">
        <f>IF(ISBLANK('Data Entry'!$y$231), "", 'Data Entry'!$y$231)</f>
      </c>
      <c r="BF231">
        <f>IF(ISBLANK('Data Entry'!$z$231), "", 'Data Entry'!$z$231)</f>
      </c>
      <c r="BG231">
        <f>IF(ISBLANK('Data Entry'!${$231), "", 'Data Entry'!${$231)</f>
      </c>
      <c r="BH231">
        <f>IF(ISBLANK('Data Entry'!$|$231), "", 'Data Entry'!$|$231)</f>
      </c>
      <c r="BI231">
        <f>IF(ISBLANK('Data Entry'!$}$231), "", 'Data Entry'!$}$231)</f>
      </c>
      <c r="BJ231">
        <f>IF(ISBLANK('Data Entry'!$~$231), "", 'Data Entry'!$~$231)</f>
      </c>
      <c r="BK231">
        <f>IF(ISBLANK('Data Entry'!$$231), "", 'Data Entry'!$$231)</f>
      </c>
      <c r="BL231">
        <f>IF(ISBLANK('Data Entry'!$$231), "", 'Data Entry'!$$231)</f>
      </c>
      <c r="BM231">
        <f>IF(ISBLANK('Data Entry'!$$231), "", 'Data Entry'!$$231)</f>
      </c>
      <c r="BN231">
        <f>IF(ISBLANK('Data Entry'!$$231), "", 'Data Entry'!$$231)</f>
      </c>
      <c r="BO231">
        <f>IF(ISBLANK('Data Entry'!$$231), "", 'Data Entry'!$$231)</f>
      </c>
      <c r="BP231">
        <f>IF(ISBLANK('Data Entry'!$$231), "", 'Data Entry'!$$231)</f>
      </c>
      <c r="BQ231">
        <f>IF(ISBLANK('Data Entry'!$$231), "", 'Data Entry'!$$231)</f>
      </c>
      <c r="BR231">
        <f>IF(ISBLANK('Data Entry'!$$231), "", 'Data Entry'!$$231)</f>
      </c>
      <c r="BS231">
        <f>IF(ISBLANK('Data Entry'!$$231), "", 'Data Entry'!$$231)</f>
      </c>
      <c r="BT231">
        <f>IF(ISBLANK('Data Entry'!$$231), "", 'Data Entry'!$$231)</f>
      </c>
      <c r="BU231">
        <f>IF(ISBLANK('Data Entry'!$$231), "", 'Data Entry'!$$231)</f>
      </c>
      <c r="BV231">
        <f>IF(ISBLANK('Data Entry'!$$231), "", 'Data Entry'!$$231)</f>
      </c>
      <c r="BW231">
        <f>IF(ISBLANK('Data Entry'!$$231), "", 'Data Entry'!$$231)</f>
      </c>
      <c r="BX231">
        <f>IF(ISBLANK('Data Entry'!$$231), "", 'Data Entry'!$$231)</f>
      </c>
      <c r="BY231">
        <f>IF(ISBLANK('Data Entry'!$$231), "", 'Data Entry'!$$231)</f>
      </c>
      <c r="BZ231">
        <f>IF(ISBLANK('Data Entry'!$$231), "", 'Data Entry'!$$231)</f>
      </c>
      <c r="CA231">
        <f>IF(ISBLANK('Data Entry'!$$231), "", 'Data Entry'!$$231)</f>
      </c>
      <c r="CB231">
        <f>IF(ISBLANK('Data Entry'!$$231), "", 'Data Entry'!$$231)</f>
      </c>
      <c r="CC231">
        <f>IF(ISBLANK('Data Entry'!$$231), "", 'Data Entry'!$$231)</f>
      </c>
      <c r="CD231">
        <f>IF(ISBLANK('Data Entry'!$$231), "", 'Data Entry'!$$231)</f>
      </c>
      <c r="CE231">
        <f>IF(ISBLANK('Data Entry'!$$231), "", 'Data Entry'!$$231)</f>
      </c>
      <c r="CF231">
        <f>IF(ISBLANK('Data Entry'!$$231), "", 'Data Entry'!$$231)</f>
      </c>
      <c r="CG231">
        <f>IF(ISBLANK('Data Entry'!$$231), "", 'Data Entry'!$$231)</f>
      </c>
      <c r="CH231">
        <f>IF(ISBLANK('Data Entry'!$$231), "", 'Data Entry'!$$231)</f>
      </c>
      <c r="CI231">
        <f>IF(ISBLANK('Data Entry'!$$231), "", 'Data Entry'!$$231)</f>
      </c>
      <c r="CJ231">
        <f>IF(ISBLANK('Data Entry'!$$231), "", 'Data Entry'!$$231)</f>
      </c>
      <c r="CK231">
        <f>IF(ISBLANK('Data Entry'!$$231), "", 'Data Entry'!$$231)</f>
      </c>
      <c r="CL231">
        <f>IF(ISBLANK('Data Entry'!$$231), "", 'Data Entry'!$$231)</f>
      </c>
      <c r="CM231">
        <f>IF(ISBLANK('Data Entry'!$$231), "", 'Data Entry'!$$231)</f>
      </c>
      <c r="CN231">
        <f>IF(ISBLANK('Data Entry'!$$231), "", 'Data Entry'!$$231)</f>
      </c>
      <c r="CO231">
        <f>IF(ISBLANK('Data Entry'!$$231), "", 'Data Entry'!$$231)</f>
      </c>
      <c r="CP231">
        <f>IF(ISBLANK('Data Entry'!$$231), "", 'Data Entry'!$$231)</f>
      </c>
      <c r="CQ231">
        <f>IF(ISBLANK('Data Entry'!$$231), "", 'Data Entry'!$$231)</f>
      </c>
      <c r="CR231">
        <f>IF(ISBLANK('Data Entry'!$ $231), "", 'Data Entry'!$ $231)</f>
      </c>
      <c r="CS231">
        <f>IF(ISBLANK('Data Entry'!$¡$231), "", 'Data Entry'!$¡$231)</f>
      </c>
      <c r="CT231">
        <f>IF(ISBLANK('Data Entry'!$¢$231), "", 'Data Entry'!$¢$231)</f>
      </c>
      <c r="CU231">
        <f>IF(ISBLANK('Data Entry'!$£$231), "", 'Data Entry'!$£$231)</f>
      </c>
      <c r="CV231">
        <f>IF(ISBLANK('Data Entry'!$¤$231), "", 'Data Entry'!$¤$231)</f>
      </c>
      <c r="CW231">
        <f>IF(ISBLANK('Data Entry'!$¥$231), "", 'Data Entry'!$¥$231)</f>
      </c>
      <c r="CX231">
        <f>IF(ISBLANK('Data Entry'!$¦$231), "", 'Data Entry'!$¦$231)</f>
      </c>
      <c r="CY231">
        <f>IF(ISBLANK('Data Entry'!$§$231), "", 'Data Entry'!$§$231)</f>
      </c>
      <c r="CZ231">
        <f>IF(ISBLANK('Data Entry'!$¨$231), "", 'Data Entry'!$¨$231)</f>
      </c>
      <c r="DA231">
        <f>IF(ISBLANK('Data Entry'!$©$231), "", 'Data Entry'!$©$231)</f>
      </c>
      <c r="DB231">
        <f>IF(ISBLANK('Data Entry'!$ª$231), "", 'Data Entry'!$ª$231)</f>
      </c>
      <c r="DC231">
        <f>IF(ISBLANK('Data Entry'!$«$231), "", 'Data Entry'!$«$231)</f>
      </c>
      <c r="DD231">
        <f>IF(ISBLANK('Data Entry'!$¬$231), "", 'Data Entry'!$¬$231)</f>
      </c>
      <c r="DE231">
        <f>IF(ISBLANK('Data Entry'!$­$231), "", 'Data Entry'!$­$231)</f>
      </c>
      <c r="DF231">
        <f>IF(ISBLANK('Data Entry'!$®$231), "", 'Data Entry'!$®$231)</f>
      </c>
      <c r="DG231">
        <f>IF(ISBLANK('Data Entry'!$¯$231), "", 'Data Entry'!$¯$231)</f>
      </c>
      <c r="DH231">
        <f>IF(ISBLANK('Data Entry'!$°$231), "", 'Data Entry'!$°$231)</f>
      </c>
      <c r="DI231">
        <f>IF(ISBLANK('Data Entry'!$±$231), "", 'Data Entry'!$±$231)</f>
      </c>
      <c r="DJ231">
        <f>IF(ISBLANK('Data Entry'!$²$231), "", 'Data Entry'!$²$231)</f>
      </c>
      <c r="DK231">
        <f>IF(ISBLANK('Data Entry'!$³$231), "", 'Data Entry'!$³$231)</f>
      </c>
      <c r="DL231">
        <f>IF(ISBLANK('Data Entry'!$´$231), "", 'Data Entry'!$´$231)</f>
      </c>
      <c r="DM231">
        <f>IF(ISBLANK('Data Entry'!$µ$231), "", 'Data Entry'!$µ$231)</f>
      </c>
      <c r="DN231">
        <f>IF(ISBLANK('Data Entry'!$¶$231), "", 'Data Entry'!$¶$231)</f>
      </c>
      <c r="DO231">
        <f>IF(ISBLANK('Data Entry'!$·$231), "", 'Data Entry'!$·$231)</f>
      </c>
      <c r="DP231">
        <f>IF(ISBLANK('Data Entry'!$¸$231), "", 'Data Entry'!$¸$231)</f>
      </c>
      <c r="DQ231">
        <f>IF(ISBLANK('Data Entry'!$¹$231), "", 'Data Entry'!$¹$231)</f>
      </c>
      <c r="DR231">
        <f>IF(ISBLANK('Data Entry'!$º$231), "", 'Data Entry'!$º$231)</f>
      </c>
      <c r="DS231">
        <f>IF(ISBLANK('Data Entry'!$»$231), "", 'Data Entry'!$»$231)</f>
      </c>
      <c r="DT231">
        <f>IF(ISBLANK('Data Entry'!$¼$231), "", 'Data Entry'!$¼$231)</f>
      </c>
      <c r="DU231">
        <f>IF(ISBLANK('Data Entry'!$½$231), "", 'Data Entry'!$½$231)</f>
      </c>
      <c r="DV231">
        <f>IF(ISBLANK('Data Entry'!$¾$231), "", 'Data Entry'!$¾$231)</f>
      </c>
      <c r="DW231">
        <f>IF(ISBLANK('Data Entry'!$¿$231), "", 'Data Entry'!$¿$231)</f>
      </c>
      <c r="DX231">
        <f>IF(ISBLANK('Data Entry'!$À$231), "", 'Data Entry'!$À$231)</f>
      </c>
      <c r="DY231">
        <f>IF(ISBLANK('Data Entry'!$Á$231), "", 'Data Entry'!$Á$231)</f>
      </c>
      <c r="DZ231">
        <f>IF(ISBLANK('Data Entry'!$Â$231), "", 'Data Entry'!$Â$231)</f>
      </c>
      <c r="EA231">
        <f>IF(ISBLANK('Data Entry'!$Ã$231), "", 'Data Entry'!$Ã$231)</f>
      </c>
      <c r="EB231">
        <f>IF(ISBLANK('Data Entry'!$Ä$231), "", 'Data Entry'!$Ä$231)</f>
      </c>
      <c r="EC231">
        <f>IF(ISBLANK('Data Entry'!$Å$231), "", 'Data Entry'!$Å$231)</f>
      </c>
      <c r="ED231">
        <f>IF(ISBLANK('Data Entry'!$Æ$231), "", 'Data Entry'!$Æ$231)</f>
      </c>
      <c r="EE231">
        <f>IF(ISBLANK('Data Entry'!$Ç$231), "", 'Data Entry'!$Ç$231)</f>
      </c>
      <c r="EF231">
        <f>IF(ISBLANK('Data Entry'!$È$231), "", 'Data Entry'!$È$231)</f>
      </c>
      <c r="EG231">
        <f>IF(ISBLANK('Data Entry'!$É$231), "", 'Data Entry'!$É$231)</f>
      </c>
      <c r="EH231">
        <f>IF(ISBLANK('Data Entry'!$Ê$231), "", 'Data Entry'!$Ê$231)</f>
      </c>
      <c r="EI231">
        <f>IF(ISBLANK('Data Entry'!$Ë$231), "", 'Data Entry'!$Ë$231)</f>
      </c>
      <c r="EJ231">
        <f>IF(ISBLANK('Data Entry'!$Ì$231), "", 'Data Entry'!$Ì$231)</f>
      </c>
      <c r="EK231">
        <f>IF(ISBLANK('Data Entry'!$Í$231), "", 'Data Entry'!$Í$231)</f>
      </c>
      <c r="EL231">
        <f>IF(ISBLANK('Data Entry'!$Î$231), "", 'Data Entry'!$Î$231)</f>
      </c>
      <c r="EM231">
        <f>IF(ISBLANK('Data Entry'!$Ï$231), "", 'Data Entry'!$Ï$231)</f>
      </c>
      <c r="EN231">
        <f>IF(ISBLANK('Data Entry'!$Ð$231), "", 'Data Entry'!$Ð$231)</f>
      </c>
      <c r="EO231">
        <f>IF(ISBLANK('Data Entry'!$Ñ$231), "", 'Data Entry'!$Ñ$231)</f>
      </c>
      <c r="EP231">
        <f>IF(ISBLANK('Data Entry'!$Ò$231), "", 'Data Entry'!$Ò$231)</f>
      </c>
      <c r="EQ231">
        <f>IF(ISBLANK('Data Entry'!$Ó$231), "", 'Data Entry'!$Ó$231)</f>
      </c>
      <c r="ER231">
        <f>IF(ISBLANK('Data Entry'!$Ô$231), "", 'Data Entry'!$Ô$231)</f>
      </c>
      <c r="ES231">
        <f>IF(ISBLANK('Data Entry'!$Õ$231), "", 'Data Entry'!$Õ$231)</f>
      </c>
      <c r="ET231">
        <f>IF(ISBLANK('Data Entry'!$Ö$231), "", 'Data Entry'!$Ö$231)</f>
      </c>
      <c r="EU231">
        <f>IF(ISBLANK('Data Entry'!$×$231), "", 'Data Entry'!$×$231)</f>
      </c>
      <c r="EV231">
        <f>IF(ISBLANK('Data Entry'!$Ø$231), "", 'Data Entry'!$Ø$231)</f>
      </c>
      <c r="EW231">
        <f>IF(ISBLANK('Data Entry'!$Ù$231), "", 'Data Entry'!$Ù$231)</f>
      </c>
      <c r="EX231">
        <f>IF(ISBLANK('Data Entry'!$Ú$231), "", 'Data Entry'!$Ú$231)</f>
      </c>
      <c r="EY231">
        <f>IF(ISBLANK('Data Entry'!$Û$231), "", 'Data Entry'!$Û$231)</f>
      </c>
      <c r="EZ231">
        <f>IF(ISBLANK('Data Entry'!$Ü$231), "", 'Data Entry'!$Ü$231)</f>
      </c>
      <c r="FA231">
        <f>IF(ISBLANK('Data Entry'!$Ý$231), "", 'Data Entry'!$Ý$231)</f>
      </c>
      <c r="FB231">
        <f>IF(ISBLANK('Data Entry'!$Þ$231), "", 'Data Entry'!$Þ$231)</f>
      </c>
      <c r="FC231">
        <f>IF(ISBLANK('Data Entry'!$ß$231), "", 'Data Entry'!$ß$231)</f>
      </c>
      <c r="FD231">
        <f>IF(ISBLANK('Data Entry'!$à$231), "", 'Data Entry'!$à$231)</f>
      </c>
      <c r="FE231">
        <f>IF(ISBLANK('Data Entry'!$á$231), "", 'Data Entry'!$á$231)</f>
      </c>
      <c r="FF231">
        <f>IF(ISBLANK('Data Entry'!$â$231), "", 'Data Entry'!$â$231)</f>
      </c>
      <c r="FG231">
        <f>IF(ISBLANK('Data Entry'!$ã$231), "", 'Data Entry'!$ã$231)</f>
      </c>
      <c r="FH231">
        <f>IF(ISBLANK('Data Entry'!$ä$231), "", 'Data Entry'!$ä$231)</f>
      </c>
      <c r="FI231">
        <f>IF(ISBLANK('Data Entry'!$å$231), "", 'Data Entry'!$å$231)</f>
      </c>
      <c r="FJ231">
        <f>IF(ISBLANK('Data Entry'!$æ$231), "", 'Data Entry'!$æ$231)</f>
      </c>
      <c r="FK231">
        <f>IF(ISBLANK('Data Entry'!$ç$231), "", 'Data Entry'!$ç$231)</f>
      </c>
      <c r="FL231">
        <f>IF(ISBLANK('Data Entry'!$è$231), "", 'Data Entry'!$è$231)</f>
      </c>
      <c r="FM231">
        <f>IF(ISBLANK('Data Entry'!$é$231), "", 'Data Entry'!$é$231)</f>
      </c>
      <c r="FN231">
        <f>IF(ISBLANK('Data Entry'!$ê$231), "", 'Data Entry'!$ê$231)</f>
      </c>
      <c r="FO231">
        <f>IF(ISBLANK('Data Entry'!$ë$231), "", 'Data Entry'!$ë$231)</f>
      </c>
      <c r="FP231">
        <f>IF(ISBLANK('Data Entry'!$ì$231), "", 'Data Entry'!$ì$231)</f>
      </c>
      <c r="FQ231">
        <f>IF(ISBLANK('Data Entry'!$í$231), "", 'Data Entry'!$í$231)</f>
      </c>
      <c r="FR231">
        <f>IF(ISBLANK('Data Entry'!$î$231), "", 'Data Entry'!$î$231)</f>
      </c>
      <c r="FS231">
        <f>IF(ISBLANK('Data Entry'!$ï$231), "", 'Data Entry'!$ï$231)</f>
      </c>
      <c r="FT231">
        <f>IF(ISBLANK('Data Entry'!$ð$231), "", 'Data Entry'!$ð$231)</f>
      </c>
      <c r="FU231">
        <f>IF(ISBLANK('Data Entry'!$ñ$231), "", 'Data Entry'!$ñ$231)</f>
      </c>
      <c r="FV231">
        <f>IF(ISBLANK('Data Entry'!$ò$231), "", 'Data Entry'!$ò$231)</f>
      </c>
      <c r="FW231">
        <f>IF(ISBLANK('Data Entry'!$ó$231), "", 'Data Entry'!$ó$231)</f>
      </c>
      <c r="FX231">
        <f>IF(ISBLANK('Data Entry'!$ô$231), "", 'Data Entry'!$ô$231)</f>
      </c>
      <c r="FY231">
        <f>IF(ISBLANK('Data Entry'!$õ$231), "", 'Data Entry'!$õ$231)</f>
      </c>
      <c r="FZ231">
        <f>IF(ISBLANK('Data Entry'!$ö$231), "", 'Data Entry'!$ö$231)</f>
      </c>
      <c r="GA231">
        <f>IF(ISBLANK('Data Entry'!$÷$231), "", 'Data Entry'!$÷$231)</f>
      </c>
      <c r="GB231">
        <f>IF(ISBLANK('Data Entry'!$ø$231), "", 'Data Entry'!$ø$231)</f>
      </c>
      <c r="GC231">
        <f>IF(ISBLANK('Data Entry'!$ù$231), "", 'Data Entry'!$ù$231)</f>
      </c>
      <c r="GD231">
        <f>IF(ISBLANK('Data Entry'!$ú$231), "", 'Data Entry'!$ú$231)</f>
      </c>
      <c r="GE231">
        <f>IF(ISBLANK('Data Entry'!$û$231), "", 'Data Entry'!$û$231)</f>
      </c>
      <c r="GF231">
        <f>IF(ISBLANK('Data Entry'!$ü$231), "", 'Data Entry'!$ü$231)</f>
      </c>
      <c r="GG231">
        <f>IF(ISBLANK('Data Entry'!$ý$231), "", 'Data Entry'!$ý$231)</f>
      </c>
      <c r="GH231">
        <f>IF(ISBLANK('Data Entry'!$þ$231), "", 'Data Entry'!$þ$231)</f>
      </c>
      <c r="GI231">
        <f>IF(ISBLANK('Data Entry'!$ÿ$231), "", 'Data Entry'!$ÿ$231)</f>
      </c>
      <c r="GJ231">
        <f>IF(ISBLANK('Data Entry'!$Ā$231), "", 'Data Entry'!$Ā$231)</f>
      </c>
      <c r="GK231">
        <f>IF(ISBLANK('Data Entry'!$ā$231), "", 'Data Entry'!$ā$231)</f>
      </c>
      <c r="GL231">
        <f>IF(ISBLANK('Data Entry'!$Ă$231), "", 'Data Entry'!$Ă$231)</f>
      </c>
      <c r="GM231">
        <f>IF(ISBLANK('Data Entry'!$ă$231), "", 'Data Entry'!$ă$231)</f>
      </c>
      <c r="GN231">
        <f>IF(ISBLANK('Data Entry'!$Ą$231), "", 'Data Entry'!$Ą$231)</f>
      </c>
      <c r="GO231">
        <f>IF(ISBLANK('Data Entry'!$ą$231), "", 'Data Entry'!$ą$231)</f>
      </c>
      <c r="GP231">
        <f>IF(ISBLANK('Data Entry'!$Ć$231), "", 'Data Entry'!$Ć$231)</f>
      </c>
      <c r="GQ231">
        <f>IF(ISBLANK('Data Entry'!$ć$231), "", 'Data Entry'!$ć$231)</f>
      </c>
      <c r="GR231">
        <f>IF(ISBLANK('Data Entry'!$Ĉ$231), "", 'Data Entry'!$Ĉ$231)</f>
      </c>
      <c r="GS231">
        <f>IF(ISBLANK('Data Entry'!$ĉ$231), "", 'Data Entry'!$ĉ$231)</f>
      </c>
      <c r="GT231">
        <f>IF(ISBLANK('Data Entry'!$Ċ$231), "", 'Data Entry'!$Ċ$231)</f>
      </c>
      <c r="GU231">
        <f>IF(ISBLANK('Data Entry'!$ċ$231), "", 'Data Entry'!$ċ$231)</f>
      </c>
      <c r="GV231">
        <f>IF(ISBLANK('Data Entry'!$Č$231), "", 'Data Entry'!$Č$231)</f>
      </c>
      <c r="GW231">
        <f>IF(ISBLANK('Data Entry'!$č$231), "", 'Data Entry'!$č$231)</f>
      </c>
      <c r="GX231">
        <f>IF(ISBLANK('Data Entry'!$Ď$231), "", 'Data Entry'!$Ď$231)</f>
      </c>
      <c r="GY231">
        <f>IF(ISBLANK('Data Entry'!$ď$231), "", 'Data Entry'!$ď$231)</f>
      </c>
      <c r="GZ231">
        <f>IF(ISBLANK('Data Entry'!$Đ$231), "", 'Data Entry'!$Đ$231)</f>
      </c>
      <c r="HA231">
        <f>IF(ISBLANK('Data Entry'!$đ$231), "", 'Data Entry'!$đ$231)</f>
      </c>
      <c r="HB231">
        <f>IF(ISBLANK('Data Entry'!$Ē$231), "", 'Data Entry'!$Ē$231)</f>
      </c>
      <c r="HC231">
        <f>IF(ISBLANK('Data Entry'!$ē$231), "", 'Data Entry'!$ē$231)</f>
      </c>
      <c r="HD231">
        <f>IF(ISBLANK('Data Entry'!$Ĕ$231), "", 'Data Entry'!$Ĕ$231)</f>
      </c>
      <c r="HE231">
        <f>IF(ISBLANK('Data Entry'!$ĕ$231), "", 'Data Entry'!$ĕ$231)</f>
      </c>
      <c r="HF231">
        <f>IF(ISBLANK('Data Entry'!$Ė$231), "", 'Data Entry'!$Ė$231)</f>
      </c>
      <c r="HG231">
        <f>IF(ISBLANK('Data Entry'!$ė$231), "", 'Data Entry'!$ė$231)</f>
      </c>
      <c r="HH231">
        <f>IF(ISBLANK('Data Entry'!$Ę$231), "", 'Data Entry'!$Ę$231)</f>
      </c>
      <c r="HI231">
        <f>IF(ISBLANK('Data Entry'!$ę$231), "", 'Data Entry'!$ę$231)</f>
      </c>
      <c r="HJ231">
        <f>IF(ISBLANK('Data Entry'!$Ě$231), "", 'Data Entry'!$Ě$231)</f>
      </c>
      <c r="HK231">
        <f>IF(ISBLANK('Data Entry'!$ě$231), "", 'Data Entry'!$ě$231)</f>
      </c>
      <c r="HL231">
        <f>IF(ISBLANK('Data Entry'!$Ĝ$231), "", 'Data Entry'!$Ĝ$231)</f>
      </c>
      <c r="HM231">
        <f>IF(ISBLANK('Data Entry'!$ĝ$231), "", 'Data Entry'!$ĝ$231)</f>
      </c>
      <c r="HN231">
        <f>IF(ISBLANK('Data Entry'!$Ğ$231), "", 'Data Entry'!$Ğ$231)</f>
      </c>
      <c r="HO231">
        <f>IF(ISBLANK('Data Entry'!$ğ$231), "", 'Data Entry'!$ğ$231)</f>
      </c>
      <c r="HP231">
        <f>IF(ISBLANK('Data Entry'!$Ġ$231), "", 'Data Entry'!$Ġ$231)</f>
      </c>
      <c r="HQ231">
        <f>IF(ISBLANK('Data Entry'!$ġ$231), "", 'Data Entry'!$ġ$231)</f>
      </c>
      <c r="HR231">
        <f>IF(ISBLANK('Data Entry'!$Ģ$231), "", 'Data Entry'!$Ģ$231)</f>
      </c>
      <c r="HS231">
        <f>IF(ISBLANK('Data Entry'!$ģ$231), "", 'Data Entry'!$ģ$231)</f>
      </c>
      <c r="HT231">
        <f>IF(ISBLANK('Data Entry'!$Ĥ$231), "", 'Data Entry'!$Ĥ$231)</f>
      </c>
      <c r="HU231">
        <f>IF(ISBLANK('Data Entry'!$ĥ$231), "", 'Data Entry'!$ĥ$231)</f>
      </c>
      <c r="HV231">
        <f>IF(ISBLANK('Data Entry'!$Ħ$231), "", 'Data Entry'!$Ħ$231)</f>
      </c>
      <c r="HW231">
        <f>IF(ISBLANK('Data Entry'!$ħ$231), "", 'Data Entry'!$ħ$231)</f>
      </c>
      <c r="HX231">
        <f>IF(ISBLANK('Data Entry'!$Ĩ$231), "", 'Data Entry'!$Ĩ$231)</f>
      </c>
      <c r="HY231">
        <f>IF(ISBLANK('Data Entry'!$ĩ$231), "", 'Data Entry'!$ĩ$231)</f>
      </c>
      <c r="HZ231">
        <f>IF(ISBLANK('Data Entry'!$Ī$231), "", 'Data Entry'!$Ī$231)</f>
      </c>
      <c r="IA231">
        <f>IF(ISBLANK('Data Entry'!$ī$231), "", 'Data Entry'!$ī$231)</f>
      </c>
      <c r="IB231">
        <f>IF(ISBLANK('Data Entry'!$Ĭ$231), "", 'Data Entry'!$Ĭ$231)</f>
      </c>
      <c r="IC231">
        <f>IF(ISBLANK('Data Entry'!$ĭ$231), "", 'Data Entry'!$ĭ$231)</f>
      </c>
      <c r="ID231">
        <f>IF(ISBLANK('Data Entry'!$Į$231), "", 'Data Entry'!$Į$231)</f>
      </c>
      <c r="IE231">
        <f>IF(ISBLANK('Data Entry'!$į$231), "", 'Data Entry'!$į$231)</f>
      </c>
      <c r="IF231">
        <f>IF(ISBLANK('Data Entry'!$İ$231), "", 'Data Entry'!$İ$231)</f>
      </c>
      <c r="IG231">
        <f>IF(ISBLANK('Data Entry'!$ı$231), "", 'Data Entry'!$ı$231)</f>
      </c>
      <c r="IH231">
        <f>IF(ISBLANK('Data Entry'!$Ĳ$231), "", 'Data Entry'!$Ĳ$231)</f>
      </c>
      <c r="II231">
        <f>IF(ISBLANK('Data Entry'!$ĳ$231), "", 'Data Entry'!$ĳ$231)</f>
      </c>
      <c r="IJ231">
        <f>IF(ISBLANK('Data Entry'!$Ĵ$231), "", 'Data Entry'!$Ĵ$231)</f>
      </c>
      <c r="IK231">
        <f>IF(ISBLANK('Data Entry'!$ĵ$231), "", 'Data Entry'!$ĵ$231)</f>
      </c>
      <c r="IL231">
        <f>IF(ISBLANK('Data Entry'!$Ķ$231), "", 'Data Entry'!$Ķ$231)</f>
      </c>
      <c r="IM231">
        <f>IF(ISBLANK('Data Entry'!$ķ$231), "", 'Data Entry'!$ķ$231)</f>
      </c>
      <c r="IN231">
        <f>IF(ISBLANK('Data Entry'!$ĸ$231), "", 'Data Entry'!$ĸ$231)</f>
      </c>
      <c r="IO231">
        <f>IF(ISBLANK('Data Entry'!$Ĺ$231), "", 'Data Entry'!$Ĺ$231)</f>
      </c>
      <c r="IP231">
        <f>IF(ISBLANK('Data Entry'!$ĺ$231), "", 'Data Entry'!$ĺ$231)</f>
      </c>
      <c r="IQ231">
        <f>IF(ISBLANK('Data Entry'!$Ļ$231), "", 'Data Entry'!$Ļ$231)</f>
      </c>
      <c r="IR231">
        <f>IF(ISBLANK('Data Entry'!$ļ$231), "", 'Data Entry'!$ļ$231)</f>
      </c>
      <c r="IS231">
        <f>IF(ISBLANK('Data Entry'!$Ľ$231), "", 'Data Entry'!$Ľ$231)</f>
      </c>
      <c r="IT231">
        <f>IF(ISBLANK('Data Entry'!$ľ$231), "", 'Data Entry'!$ľ$231)</f>
      </c>
    </row>
    <row r="232" spans="1:254" x14ac:dyDescent="0.25">
      <c r="A232">
        <f>IF(ISBLANK('Data Entry'!$A$232), "", 'Data Entry'!$A$232)</f>
      </c>
      <c r="B232">
        <f>IF(ISBLANK('Data Entry'!$B$232), "", 'Data Entry'!$B$232)</f>
      </c>
      <c r="C232">
        <f>IF(ISBLANK('Data Entry'!$C$232), "", 'Data Entry'!$C$232)</f>
      </c>
      <c r="D232">
        <f>IF(ISBLANK('Data Entry'!$D$232), "", 'Data Entry'!$D$232)</f>
      </c>
      <c r="E232">
        <f>IF(ISBLANK('Data Entry'!$E$232), "", 'Data Entry'!$E$232)</f>
      </c>
      <c r="F232">
        <f>IF(ISBLANK('Data Entry'!$F$232), "", 'Data Entry'!$F$232)</f>
      </c>
      <c r="G232">
        <f>IF(ISBLANK('Data Entry'!$G$232), "", 'Data Entry'!$G$232)</f>
      </c>
      <c r="H232">
        <f>IF(ISBLANK('Data Entry'!$H$232), "", 'Data Entry'!$H$232)</f>
      </c>
      <c r="I232">
        <f>IF(ISBLANK('Data Entry'!$I$232), "", 'Data Entry'!$I$232)</f>
      </c>
      <c r="J232">
        <f>IF(ISBLANK('Data Entry'!$J$232), "", 'Data Entry'!$J$232)</f>
      </c>
      <c r="K232">
        <f>IF(ISBLANK('Data Entry'!$K$232), "", 'Data Entry'!$K$232)</f>
      </c>
      <c r="L232">
        <f>IF(ISBLANK('Data Entry'!$L$232), "", 'Data Entry'!$L$232)</f>
      </c>
      <c r="M232">
        <f>IF(ISBLANK('Data Entry'!$M$232), "", 'Data Entry'!$M$232)</f>
      </c>
      <c r="N232">
        <f>IF(ISBLANK('Data Entry'!$N$232), "", 'Data Entry'!$N$232)</f>
      </c>
      <c r="O232">
        <f>IF(ISBLANK('Data Entry'!$O$232), "", 'Data Entry'!$O$232)</f>
      </c>
      <c r="P232">
        <f>IF(ISBLANK('Data Entry'!$P$232), "", 'Data Entry'!$P$232)</f>
      </c>
      <c r="Q232">
        <f>IF(ISBLANK('Data Entry'!$Q$232), "", 'Data Entry'!$Q$232)</f>
      </c>
      <c r="R232">
        <f>IF(ISBLANK('Data Entry'!$R$232), "", 'Data Entry'!$R$232)</f>
      </c>
      <c r="S232">
        <f>IF(ISBLANK('Data Entry'!$S$232), "", 'Data Entry'!$S$232)</f>
      </c>
      <c r="T232">
        <f>IF(ISBLANK('Data Entry'!$T$232), "", 'Data Entry'!$T$232)</f>
      </c>
      <c r="U232">
        <f>IF(ISBLANK('Data Entry'!$U$232), "", 'Data Entry'!$U$232)</f>
      </c>
      <c r="V232">
        <f>IF(ISBLANK('Data Entry'!$V$232), "", 'Data Entry'!$V$232)</f>
      </c>
      <c r="W232">
        <f>IF(ISBLANK('Data Entry'!$W$232), "", 'Data Entry'!$W$232)</f>
      </c>
      <c r="X232">
        <f>IF(ISBLANK('Data Entry'!$X$232), "", 'Data Entry'!$X$232)</f>
      </c>
      <c r="Y232">
        <f>IF(ISBLANK('Data Entry'!$Y$232), "", 'Data Entry'!$Y$232)</f>
      </c>
      <c r="Z232">
        <f>IF(ISBLANK('Data Entry'!$Z$232), "", 'Data Entry'!$Z$232)</f>
      </c>
      <c r="AA232">
        <f>IF(ISBLANK('Data Entry'!$[$232), "", 'Data Entry'!$[$232)</f>
      </c>
      <c r="AB232">
        <f>IF(ISBLANK('Data Entry'!$\$232), "", 'Data Entry'!$\$232)</f>
      </c>
      <c r="AC232">
        <f>IF(ISBLANK('Data Entry'!$]$232), "", 'Data Entry'!$]$232)</f>
      </c>
      <c r="AD232">
        <f>IF(ISBLANK('Data Entry'!$^$232), "", 'Data Entry'!$^$232)</f>
      </c>
      <c r="AE232">
        <f>IF(ISBLANK('Data Entry'!$_$232), "", 'Data Entry'!$_$232)</f>
      </c>
      <c r="AF232">
        <f>IF(ISBLANK('Data Entry'!$`$232), "", 'Data Entry'!$`$232)</f>
      </c>
      <c r="AG232">
        <f>IF(ISBLANK('Data Entry'!$a$232), "", 'Data Entry'!$a$232)</f>
      </c>
      <c r="AH232">
        <f>IF(ISBLANK('Data Entry'!$b$232), "", 'Data Entry'!$b$232)</f>
      </c>
      <c r="AI232">
        <f>IF(ISBLANK('Data Entry'!$c$232), "", 'Data Entry'!$c$232)</f>
      </c>
      <c r="AJ232">
        <f>IF(ISBLANK('Data Entry'!$d$232), "", 'Data Entry'!$d$232)</f>
      </c>
      <c r="AK232">
        <f>IF(ISBLANK('Data Entry'!$e$232), "", 'Data Entry'!$e$232)</f>
      </c>
      <c r="AL232">
        <f>IF(ISBLANK('Data Entry'!$f$232), "", 'Data Entry'!$f$232)</f>
      </c>
      <c r="AM232">
        <f>IF(ISBLANK('Data Entry'!$g$232), "", 'Data Entry'!$g$232)</f>
      </c>
      <c r="AN232">
        <f>IF(ISBLANK('Data Entry'!$h$232), "", 'Data Entry'!$h$232)</f>
      </c>
      <c r="AO232">
        <f>IF(ISBLANK('Data Entry'!$i$232), "", 'Data Entry'!$i$232)</f>
      </c>
      <c r="AP232">
        <f>IF(ISBLANK('Data Entry'!$j$232), "", 'Data Entry'!$j$232)</f>
      </c>
      <c r="AQ232">
        <f>IF(ISBLANK('Data Entry'!$k$232), "", 'Data Entry'!$k$232)</f>
      </c>
      <c r="AR232">
        <f>IF(ISBLANK('Data Entry'!$l$232), "", 'Data Entry'!$l$232)</f>
      </c>
      <c r="AS232">
        <f>IF(ISBLANK('Data Entry'!$m$232), "", 'Data Entry'!$m$232)</f>
      </c>
      <c r="AT232">
        <f>IF(ISBLANK('Data Entry'!$n$232), "", 'Data Entry'!$n$232)</f>
      </c>
      <c r="AU232">
        <f>IF(ISBLANK('Data Entry'!$o$232), "", 'Data Entry'!$o$232)</f>
      </c>
      <c r="AV232">
        <f>IF(ISBLANK('Data Entry'!$p$232), "", 'Data Entry'!$p$232)</f>
      </c>
      <c r="AW232">
        <f>IF(ISBLANK('Data Entry'!$q$232), "", 'Data Entry'!$q$232)</f>
      </c>
      <c r="AX232">
        <f>IF(ISBLANK('Data Entry'!$r$232), "", 'Data Entry'!$r$232)</f>
      </c>
      <c r="AY232">
        <f>IF(ISBLANK('Data Entry'!$s$232), "", 'Data Entry'!$s$232)</f>
      </c>
      <c r="AZ232">
        <f>IF(ISBLANK('Data Entry'!$t$232), "", 'Data Entry'!$t$232)</f>
      </c>
      <c r="BA232">
        <f>IF(ISBLANK('Data Entry'!$u$232), "", 'Data Entry'!$u$232)</f>
      </c>
      <c r="BB232">
        <f>IF(ISBLANK('Data Entry'!$v$232), "", 'Data Entry'!$v$232)</f>
      </c>
      <c r="BC232">
        <f>IF(ISBLANK('Data Entry'!$w$232), "", 'Data Entry'!$w$232)</f>
      </c>
      <c r="BD232">
        <f>IF(ISBLANK('Data Entry'!$x$232), "", 'Data Entry'!$x$232)</f>
      </c>
      <c r="BE232">
        <f>IF(ISBLANK('Data Entry'!$y$232), "", 'Data Entry'!$y$232)</f>
      </c>
      <c r="BF232">
        <f>IF(ISBLANK('Data Entry'!$z$232), "", 'Data Entry'!$z$232)</f>
      </c>
      <c r="BG232">
        <f>IF(ISBLANK('Data Entry'!${$232), "", 'Data Entry'!${$232)</f>
      </c>
      <c r="BH232">
        <f>IF(ISBLANK('Data Entry'!$|$232), "", 'Data Entry'!$|$232)</f>
      </c>
      <c r="BI232">
        <f>IF(ISBLANK('Data Entry'!$}$232), "", 'Data Entry'!$}$232)</f>
      </c>
      <c r="BJ232">
        <f>IF(ISBLANK('Data Entry'!$~$232), "", 'Data Entry'!$~$232)</f>
      </c>
      <c r="BK232">
        <f>IF(ISBLANK('Data Entry'!$$232), "", 'Data Entry'!$$232)</f>
      </c>
      <c r="BL232">
        <f>IF(ISBLANK('Data Entry'!$$232), "", 'Data Entry'!$$232)</f>
      </c>
      <c r="BM232">
        <f>IF(ISBLANK('Data Entry'!$$232), "", 'Data Entry'!$$232)</f>
      </c>
      <c r="BN232">
        <f>IF(ISBLANK('Data Entry'!$$232), "", 'Data Entry'!$$232)</f>
      </c>
      <c r="BO232">
        <f>IF(ISBLANK('Data Entry'!$$232), "", 'Data Entry'!$$232)</f>
      </c>
      <c r="BP232">
        <f>IF(ISBLANK('Data Entry'!$$232), "", 'Data Entry'!$$232)</f>
      </c>
      <c r="BQ232">
        <f>IF(ISBLANK('Data Entry'!$$232), "", 'Data Entry'!$$232)</f>
      </c>
      <c r="BR232">
        <f>IF(ISBLANK('Data Entry'!$$232), "", 'Data Entry'!$$232)</f>
      </c>
      <c r="BS232">
        <f>IF(ISBLANK('Data Entry'!$$232), "", 'Data Entry'!$$232)</f>
      </c>
      <c r="BT232">
        <f>IF(ISBLANK('Data Entry'!$$232), "", 'Data Entry'!$$232)</f>
      </c>
      <c r="BU232">
        <f>IF(ISBLANK('Data Entry'!$$232), "", 'Data Entry'!$$232)</f>
      </c>
      <c r="BV232">
        <f>IF(ISBLANK('Data Entry'!$$232), "", 'Data Entry'!$$232)</f>
      </c>
      <c r="BW232">
        <f>IF(ISBLANK('Data Entry'!$$232), "", 'Data Entry'!$$232)</f>
      </c>
      <c r="BX232">
        <f>IF(ISBLANK('Data Entry'!$$232), "", 'Data Entry'!$$232)</f>
      </c>
      <c r="BY232">
        <f>IF(ISBLANK('Data Entry'!$$232), "", 'Data Entry'!$$232)</f>
      </c>
      <c r="BZ232">
        <f>IF(ISBLANK('Data Entry'!$$232), "", 'Data Entry'!$$232)</f>
      </c>
      <c r="CA232">
        <f>IF(ISBLANK('Data Entry'!$$232), "", 'Data Entry'!$$232)</f>
      </c>
      <c r="CB232">
        <f>IF(ISBLANK('Data Entry'!$$232), "", 'Data Entry'!$$232)</f>
      </c>
      <c r="CC232">
        <f>IF(ISBLANK('Data Entry'!$$232), "", 'Data Entry'!$$232)</f>
      </c>
      <c r="CD232">
        <f>IF(ISBLANK('Data Entry'!$$232), "", 'Data Entry'!$$232)</f>
      </c>
      <c r="CE232">
        <f>IF(ISBLANK('Data Entry'!$$232), "", 'Data Entry'!$$232)</f>
      </c>
      <c r="CF232">
        <f>IF(ISBLANK('Data Entry'!$$232), "", 'Data Entry'!$$232)</f>
      </c>
      <c r="CG232">
        <f>IF(ISBLANK('Data Entry'!$$232), "", 'Data Entry'!$$232)</f>
      </c>
      <c r="CH232">
        <f>IF(ISBLANK('Data Entry'!$$232), "", 'Data Entry'!$$232)</f>
      </c>
      <c r="CI232">
        <f>IF(ISBLANK('Data Entry'!$$232), "", 'Data Entry'!$$232)</f>
      </c>
      <c r="CJ232">
        <f>IF(ISBLANK('Data Entry'!$$232), "", 'Data Entry'!$$232)</f>
      </c>
      <c r="CK232">
        <f>IF(ISBLANK('Data Entry'!$$232), "", 'Data Entry'!$$232)</f>
      </c>
      <c r="CL232">
        <f>IF(ISBLANK('Data Entry'!$$232), "", 'Data Entry'!$$232)</f>
      </c>
      <c r="CM232">
        <f>IF(ISBLANK('Data Entry'!$$232), "", 'Data Entry'!$$232)</f>
      </c>
      <c r="CN232">
        <f>IF(ISBLANK('Data Entry'!$$232), "", 'Data Entry'!$$232)</f>
      </c>
      <c r="CO232">
        <f>IF(ISBLANK('Data Entry'!$$232), "", 'Data Entry'!$$232)</f>
      </c>
      <c r="CP232">
        <f>IF(ISBLANK('Data Entry'!$$232), "", 'Data Entry'!$$232)</f>
      </c>
      <c r="CQ232">
        <f>IF(ISBLANK('Data Entry'!$$232), "", 'Data Entry'!$$232)</f>
      </c>
      <c r="CR232">
        <f>IF(ISBLANK('Data Entry'!$ $232), "", 'Data Entry'!$ $232)</f>
      </c>
      <c r="CS232">
        <f>IF(ISBLANK('Data Entry'!$¡$232), "", 'Data Entry'!$¡$232)</f>
      </c>
      <c r="CT232">
        <f>IF(ISBLANK('Data Entry'!$¢$232), "", 'Data Entry'!$¢$232)</f>
      </c>
      <c r="CU232">
        <f>IF(ISBLANK('Data Entry'!$£$232), "", 'Data Entry'!$£$232)</f>
      </c>
      <c r="CV232">
        <f>IF(ISBLANK('Data Entry'!$¤$232), "", 'Data Entry'!$¤$232)</f>
      </c>
      <c r="CW232">
        <f>IF(ISBLANK('Data Entry'!$¥$232), "", 'Data Entry'!$¥$232)</f>
      </c>
      <c r="CX232">
        <f>IF(ISBLANK('Data Entry'!$¦$232), "", 'Data Entry'!$¦$232)</f>
      </c>
      <c r="CY232">
        <f>IF(ISBLANK('Data Entry'!$§$232), "", 'Data Entry'!$§$232)</f>
      </c>
      <c r="CZ232">
        <f>IF(ISBLANK('Data Entry'!$¨$232), "", 'Data Entry'!$¨$232)</f>
      </c>
      <c r="DA232">
        <f>IF(ISBLANK('Data Entry'!$©$232), "", 'Data Entry'!$©$232)</f>
      </c>
      <c r="DB232">
        <f>IF(ISBLANK('Data Entry'!$ª$232), "", 'Data Entry'!$ª$232)</f>
      </c>
      <c r="DC232">
        <f>IF(ISBLANK('Data Entry'!$«$232), "", 'Data Entry'!$«$232)</f>
      </c>
      <c r="DD232">
        <f>IF(ISBLANK('Data Entry'!$¬$232), "", 'Data Entry'!$¬$232)</f>
      </c>
      <c r="DE232">
        <f>IF(ISBLANK('Data Entry'!$­$232), "", 'Data Entry'!$­$232)</f>
      </c>
      <c r="DF232">
        <f>IF(ISBLANK('Data Entry'!$®$232), "", 'Data Entry'!$®$232)</f>
      </c>
      <c r="DG232">
        <f>IF(ISBLANK('Data Entry'!$¯$232), "", 'Data Entry'!$¯$232)</f>
      </c>
      <c r="DH232">
        <f>IF(ISBLANK('Data Entry'!$°$232), "", 'Data Entry'!$°$232)</f>
      </c>
      <c r="DI232">
        <f>IF(ISBLANK('Data Entry'!$±$232), "", 'Data Entry'!$±$232)</f>
      </c>
      <c r="DJ232">
        <f>IF(ISBLANK('Data Entry'!$²$232), "", 'Data Entry'!$²$232)</f>
      </c>
      <c r="DK232">
        <f>IF(ISBLANK('Data Entry'!$³$232), "", 'Data Entry'!$³$232)</f>
      </c>
      <c r="DL232">
        <f>IF(ISBLANK('Data Entry'!$´$232), "", 'Data Entry'!$´$232)</f>
      </c>
      <c r="DM232">
        <f>IF(ISBLANK('Data Entry'!$µ$232), "", 'Data Entry'!$µ$232)</f>
      </c>
      <c r="DN232">
        <f>IF(ISBLANK('Data Entry'!$¶$232), "", 'Data Entry'!$¶$232)</f>
      </c>
      <c r="DO232">
        <f>IF(ISBLANK('Data Entry'!$·$232), "", 'Data Entry'!$·$232)</f>
      </c>
      <c r="DP232">
        <f>IF(ISBLANK('Data Entry'!$¸$232), "", 'Data Entry'!$¸$232)</f>
      </c>
      <c r="DQ232">
        <f>IF(ISBLANK('Data Entry'!$¹$232), "", 'Data Entry'!$¹$232)</f>
      </c>
      <c r="DR232">
        <f>IF(ISBLANK('Data Entry'!$º$232), "", 'Data Entry'!$º$232)</f>
      </c>
      <c r="DS232">
        <f>IF(ISBLANK('Data Entry'!$»$232), "", 'Data Entry'!$»$232)</f>
      </c>
      <c r="DT232">
        <f>IF(ISBLANK('Data Entry'!$¼$232), "", 'Data Entry'!$¼$232)</f>
      </c>
      <c r="DU232">
        <f>IF(ISBLANK('Data Entry'!$½$232), "", 'Data Entry'!$½$232)</f>
      </c>
      <c r="DV232">
        <f>IF(ISBLANK('Data Entry'!$¾$232), "", 'Data Entry'!$¾$232)</f>
      </c>
      <c r="DW232">
        <f>IF(ISBLANK('Data Entry'!$¿$232), "", 'Data Entry'!$¿$232)</f>
      </c>
      <c r="DX232">
        <f>IF(ISBLANK('Data Entry'!$À$232), "", 'Data Entry'!$À$232)</f>
      </c>
      <c r="DY232">
        <f>IF(ISBLANK('Data Entry'!$Á$232), "", 'Data Entry'!$Á$232)</f>
      </c>
      <c r="DZ232">
        <f>IF(ISBLANK('Data Entry'!$Â$232), "", 'Data Entry'!$Â$232)</f>
      </c>
      <c r="EA232">
        <f>IF(ISBLANK('Data Entry'!$Ã$232), "", 'Data Entry'!$Ã$232)</f>
      </c>
      <c r="EB232">
        <f>IF(ISBLANK('Data Entry'!$Ä$232), "", 'Data Entry'!$Ä$232)</f>
      </c>
      <c r="EC232">
        <f>IF(ISBLANK('Data Entry'!$Å$232), "", 'Data Entry'!$Å$232)</f>
      </c>
      <c r="ED232">
        <f>IF(ISBLANK('Data Entry'!$Æ$232), "", 'Data Entry'!$Æ$232)</f>
      </c>
      <c r="EE232">
        <f>IF(ISBLANK('Data Entry'!$Ç$232), "", 'Data Entry'!$Ç$232)</f>
      </c>
      <c r="EF232">
        <f>IF(ISBLANK('Data Entry'!$È$232), "", 'Data Entry'!$È$232)</f>
      </c>
      <c r="EG232">
        <f>IF(ISBLANK('Data Entry'!$É$232), "", 'Data Entry'!$É$232)</f>
      </c>
      <c r="EH232">
        <f>IF(ISBLANK('Data Entry'!$Ê$232), "", 'Data Entry'!$Ê$232)</f>
      </c>
      <c r="EI232">
        <f>IF(ISBLANK('Data Entry'!$Ë$232), "", 'Data Entry'!$Ë$232)</f>
      </c>
      <c r="EJ232">
        <f>IF(ISBLANK('Data Entry'!$Ì$232), "", 'Data Entry'!$Ì$232)</f>
      </c>
      <c r="EK232">
        <f>IF(ISBLANK('Data Entry'!$Í$232), "", 'Data Entry'!$Í$232)</f>
      </c>
      <c r="EL232">
        <f>IF(ISBLANK('Data Entry'!$Î$232), "", 'Data Entry'!$Î$232)</f>
      </c>
      <c r="EM232">
        <f>IF(ISBLANK('Data Entry'!$Ï$232), "", 'Data Entry'!$Ï$232)</f>
      </c>
      <c r="EN232">
        <f>IF(ISBLANK('Data Entry'!$Ð$232), "", 'Data Entry'!$Ð$232)</f>
      </c>
      <c r="EO232">
        <f>IF(ISBLANK('Data Entry'!$Ñ$232), "", 'Data Entry'!$Ñ$232)</f>
      </c>
      <c r="EP232">
        <f>IF(ISBLANK('Data Entry'!$Ò$232), "", 'Data Entry'!$Ò$232)</f>
      </c>
      <c r="EQ232">
        <f>IF(ISBLANK('Data Entry'!$Ó$232), "", 'Data Entry'!$Ó$232)</f>
      </c>
      <c r="ER232">
        <f>IF(ISBLANK('Data Entry'!$Ô$232), "", 'Data Entry'!$Ô$232)</f>
      </c>
      <c r="ES232">
        <f>IF(ISBLANK('Data Entry'!$Õ$232), "", 'Data Entry'!$Õ$232)</f>
      </c>
      <c r="ET232">
        <f>IF(ISBLANK('Data Entry'!$Ö$232), "", 'Data Entry'!$Ö$232)</f>
      </c>
      <c r="EU232">
        <f>IF(ISBLANK('Data Entry'!$×$232), "", 'Data Entry'!$×$232)</f>
      </c>
      <c r="EV232">
        <f>IF(ISBLANK('Data Entry'!$Ø$232), "", 'Data Entry'!$Ø$232)</f>
      </c>
      <c r="EW232">
        <f>IF(ISBLANK('Data Entry'!$Ù$232), "", 'Data Entry'!$Ù$232)</f>
      </c>
      <c r="EX232">
        <f>IF(ISBLANK('Data Entry'!$Ú$232), "", 'Data Entry'!$Ú$232)</f>
      </c>
      <c r="EY232">
        <f>IF(ISBLANK('Data Entry'!$Û$232), "", 'Data Entry'!$Û$232)</f>
      </c>
      <c r="EZ232">
        <f>IF(ISBLANK('Data Entry'!$Ü$232), "", 'Data Entry'!$Ü$232)</f>
      </c>
      <c r="FA232">
        <f>IF(ISBLANK('Data Entry'!$Ý$232), "", 'Data Entry'!$Ý$232)</f>
      </c>
      <c r="FB232">
        <f>IF(ISBLANK('Data Entry'!$Þ$232), "", 'Data Entry'!$Þ$232)</f>
      </c>
      <c r="FC232">
        <f>IF(ISBLANK('Data Entry'!$ß$232), "", 'Data Entry'!$ß$232)</f>
      </c>
      <c r="FD232">
        <f>IF(ISBLANK('Data Entry'!$à$232), "", 'Data Entry'!$à$232)</f>
      </c>
      <c r="FE232">
        <f>IF(ISBLANK('Data Entry'!$á$232), "", 'Data Entry'!$á$232)</f>
      </c>
      <c r="FF232">
        <f>IF(ISBLANK('Data Entry'!$â$232), "", 'Data Entry'!$â$232)</f>
      </c>
      <c r="FG232">
        <f>IF(ISBLANK('Data Entry'!$ã$232), "", 'Data Entry'!$ã$232)</f>
      </c>
      <c r="FH232">
        <f>IF(ISBLANK('Data Entry'!$ä$232), "", 'Data Entry'!$ä$232)</f>
      </c>
      <c r="FI232">
        <f>IF(ISBLANK('Data Entry'!$å$232), "", 'Data Entry'!$å$232)</f>
      </c>
      <c r="FJ232">
        <f>IF(ISBLANK('Data Entry'!$æ$232), "", 'Data Entry'!$æ$232)</f>
      </c>
      <c r="FK232">
        <f>IF(ISBLANK('Data Entry'!$ç$232), "", 'Data Entry'!$ç$232)</f>
      </c>
      <c r="FL232">
        <f>IF(ISBLANK('Data Entry'!$è$232), "", 'Data Entry'!$è$232)</f>
      </c>
      <c r="FM232">
        <f>IF(ISBLANK('Data Entry'!$é$232), "", 'Data Entry'!$é$232)</f>
      </c>
      <c r="FN232">
        <f>IF(ISBLANK('Data Entry'!$ê$232), "", 'Data Entry'!$ê$232)</f>
      </c>
      <c r="FO232">
        <f>IF(ISBLANK('Data Entry'!$ë$232), "", 'Data Entry'!$ë$232)</f>
      </c>
      <c r="FP232">
        <f>IF(ISBLANK('Data Entry'!$ì$232), "", 'Data Entry'!$ì$232)</f>
      </c>
      <c r="FQ232">
        <f>IF(ISBLANK('Data Entry'!$í$232), "", 'Data Entry'!$í$232)</f>
      </c>
      <c r="FR232">
        <f>IF(ISBLANK('Data Entry'!$î$232), "", 'Data Entry'!$î$232)</f>
      </c>
      <c r="FS232">
        <f>IF(ISBLANK('Data Entry'!$ï$232), "", 'Data Entry'!$ï$232)</f>
      </c>
      <c r="FT232">
        <f>IF(ISBLANK('Data Entry'!$ð$232), "", 'Data Entry'!$ð$232)</f>
      </c>
      <c r="FU232">
        <f>IF(ISBLANK('Data Entry'!$ñ$232), "", 'Data Entry'!$ñ$232)</f>
      </c>
      <c r="FV232">
        <f>IF(ISBLANK('Data Entry'!$ò$232), "", 'Data Entry'!$ò$232)</f>
      </c>
      <c r="FW232">
        <f>IF(ISBLANK('Data Entry'!$ó$232), "", 'Data Entry'!$ó$232)</f>
      </c>
      <c r="FX232">
        <f>IF(ISBLANK('Data Entry'!$ô$232), "", 'Data Entry'!$ô$232)</f>
      </c>
      <c r="FY232">
        <f>IF(ISBLANK('Data Entry'!$õ$232), "", 'Data Entry'!$õ$232)</f>
      </c>
      <c r="FZ232">
        <f>IF(ISBLANK('Data Entry'!$ö$232), "", 'Data Entry'!$ö$232)</f>
      </c>
      <c r="GA232">
        <f>IF(ISBLANK('Data Entry'!$÷$232), "", 'Data Entry'!$÷$232)</f>
      </c>
      <c r="GB232">
        <f>IF(ISBLANK('Data Entry'!$ø$232), "", 'Data Entry'!$ø$232)</f>
      </c>
      <c r="GC232">
        <f>IF(ISBLANK('Data Entry'!$ù$232), "", 'Data Entry'!$ù$232)</f>
      </c>
      <c r="GD232">
        <f>IF(ISBLANK('Data Entry'!$ú$232), "", 'Data Entry'!$ú$232)</f>
      </c>
      <c r="GE232">
        <f>IF(ISBLANK('Data Entry'!$û$232), "", 'Data Entry'!$û$232)</f>
      </c>
      <c r="GF232">
        <f>IF(ISBLANK('Data Entry'!$ü$232), "", 'Data Entry'!$ü$232)</f>
      </c>
      <c r="GG232">
        <f>IF(ISBLANK('Data Entry'!$ý$232), "", 'Data Entry'!$ý$232)</f>
      </c>
      <c r="GH232">
        <f>IF(ISBLANK('Data Entry'!$þ$232), "", 'Data Entry'!$þ$232)</f>
      </c>
      <c r="GI232">
        <f>IF(ISBLANK('Data Entry'!$ÿ$232), "", 'Data Entry'!$ÿ$232)</f>
      </c>
      <c r="GJ232">
        <f>IF(ISBLANK('Data Entry'!$Ā$232), "", 'Data Entry'!$Ā$232)</f>
      </c>
      <c r="GK232">
        <f>IF(ISBLANK('Data Entry'!$ā$232), "", 'Data Entry'!$ā$232)</f>
      </c>
      <c r="GL232">
        <f>IF(ISBLANK('Data Entry'!$Ă$232), "", 'Data Entry'!$Ă$232)</f>
      </c>
      <c r="GM232">
        <f>IF(ISBLANK('Data Entry'!$ă$232), "", 'Data Entry'!$ă$232)</f>
      </c>
      <c r="GN232">
        <f>IF(ISBLANK('Data Entry'!$Ą$232), "", 'Data Entry'!$Ą$232)</f>
      </c>
      <c r="GO232">
        <f>IF(ISBLANK('Data Entry'!$ą$232), "", 'Data Entry'!$ą$232)</f>
      </c>
      <c r="GP232">
        <f>IF(ISBLANK('Data Entry'!$Ć$232), "", 'Data Entry'!$Ć$232)</f>
      </c>
      <c r="GQ232">
        <f>IF(ISBLANK('Data Entry'!$ć$232), "", 'Data Entry'!$ć$232)</f>
      </c>
      <c r="GR232">
        <f>IF(ISBLANK('Data Entry'!$Ĉ$232), "", 'Data Entry'!$Ĉ$232)</f>
      </c>
      <c r="GS232">
        <f>IF(ISBLANK('Data Entry'!$ĉ$232), "", 'Data Entry'!$ĉ$232)</f>
      </c>
      <c r="GT232">
        <f>IF(ISBLANK('Data Entry'!$Ċ$232), "", 'Data Entry'!$Ċ$232)</f>
      </c>
      <c r="GU232">
        <f>IF(ISBLANK('Data Entry'!$ċ$232), "", 'Data Entry'!$ċ$232)</f>
      </c>
      <c r="GV232">
        <f>IF(ISBLANK('Data Entry'!$Č$232), "", 'Data Entry'!$Č$232)</f>
      </c>
      <c r="GW232">
        <f>IF(ISBLANK('Data Entry'!$č$232), "", 'Data Entry'!$č$232)</f>
      </c>
      <c r="GX232">
        <f>IF(ISBLANK('Data Entry'!$Ď$232), "", 'Data Entry'!$Ď$232)</f>
      </c>
      <c r="GY232">
        <f>IF(ISBLANK('Data Entry'!$ď$232), "", 'Data Entry'!$ď$232)</f>
      </c>
      <c r="GZ232">
        <f>IF(ISBLANK('Data Entry'!$Đ$232), "", 'Data Entry'!$Đ$232)</f>
      </c>
      <c r="HA232">
        <f>IF(ISBLANK('Data Entry'!$đ$232), "", 'Data Entry'!$đ$232)</f>
      </c>
      <c r="HB232">
        <f>IF(ISBLANK('Data Entry'!$Ē$232), "", 'Data Entry'!$Ē$232)</f>
      </c>
      <c r="HC232">
        <f>IF(ISBLANK('Data Entry'!$ē$232), "", 'Data Entry'!$ē$232)</f>
      </c>
      <c r="HD232">
        <f>IF(ISBLANK('Data Entry'!$Ĕ$232), "", 'Data Entry'!$Ĕ$232)</f>
      </c>
      <c r="HE232">
        <f>IF(ISBLANK('Data Entry'!$ĕ$232), "", 'Data Entry'!$ĕ$232)</f>
      </c>
      <c r="HF232">
        <f>IF(ISBLANK('Data Entry'!$Ė$232), "", 'Data Entry'!$Ė$232)</f>
      </c>
      <c r="HG232">
        <f>IF(ISBLANK('Data Entry'!$ė$232), "", 'Data Entry'!$ė$232)</f>
      </c>
      <c r="HH232">
        <f>IF(ISBLANK('Data Entry'!$Ę$232), "", 'Data Entry'!$Ę$232)</f>
      </c>
      <c r="HI232">
        <f>IF(ISBLANK('Data Entry'!$ę$232), "", 'Data Entry'!$ę$232)</f>
      </c>
      <c r="HJ232">
        <f>IF(ISBLANK('Data Entry'!$Ě$232), "", 'Data Entry'!$Ě$232)</f>
      </c>
      <c r="HK232">
        <f>IF(ISBLANK('Data Entry'!$ě$232), "", 'Data Entry'!$ě$232)</f>
      </c>
      <c r="HL232">
        <f>IF(ISBLANK('Data Entry'!$Ĝ$232), "", 'Data Entry'!$Ĝ$232)</f>
      </c>
      <c r="HM232">
        <f>IF(ISBLANK('Data Entry'!$ĝ$232), "", 'Data Entry'!$ĝ$232)</f>
      </c>
      <c r="HN232">
        <f>IF(ISBLANK('Data Entry'!$Ğ$232), "", 'Data Entry'!$Ğ$232)</f>
      </c>
      <c r="HO232">
        <f>IF(ISBLANK('Data Entry'!$ğ$232), "", 'Data Entry'!$ğ$232)</f>
      </c>
      <c r="HP232">
        <f>IF(ISBLANK('Data Entry'!$Ġ$232), "", 'Data Entry'!$Ġ$232)</f>
      </c>
      <c r="HQ232">
        <f>IF(ISBLANK('Data Entry'!$ġ$232), "", 'Data Entry'!$ġ$232)</f>
      </c>
      <c r="HR232">
        <f>IF(ISBLANK('Data Entry'!$Ģ$232), "", 'Data Entry'!$Ģ$232)</f>
      </c>
      <c r="HS232">
        <f>IF(ISBLANK('Data Entry'!$ģ$232), "", 'Data Entry'!$ģ$232)</f>
      </c>
      <c r="HT232">
        <f>IF(ISBLANK('Data Entry'!$Ĥ$232), "", 'Data Entry'!$Ĥ$232)</f>
      </c>
      <c r="HU232">
        <f>IF(ISBLANK('Data Entry'!$ĥ$232), "", 'Data Entry'!$ĥ$232)</f>
      </c>
      <c r="HV232">
        <f>IF(ISBLANK('Data Entry'!$Ħ$232), "", 'Data Entry'!$Ħ$232)</f>
      </c>
      <c r="HW232">
        <f>IF(ISBLANK('Data Entry'!$ħ$232), "", 'Data Entry'!$ħ$232)</f>
      </c>
      <c r="HX232">
        <f>IF(ISBLANK('Data Entry'!$Ĩ$232), "", 'Data Entry'!$Ĩ$232)</f>
      </c>
      <c r="HY232">
        <f>IF(ISBLANK('Data Entry'!$ĩ$232), "", 'Data Entry'!$ĩ$232)</f>
      </c>
      <c r="HZ232">
        <f>IF(ISBLANK('Data Entry'!$Ī$232), "", 'Data Entry'!$Ī$232)</f>
      </c>
      <c r="IA232">
        <f>IF(ISBLANK('Data Entry'!$ī$232), "", 'Data Entry'!$ī$232)</f>
      </c>
      <c r="IB232">
        <f>IF(ISBLANK('Data Entry'!$Ĭ$232), "", 'Data Entry'!$Ĭ$232)</f>
      </c>
      <c r="IC232">
        <f>IF(ISBLANK('Data Entry'!$ĭ$232), "", 'Data Entry'!$ĭ$232)</f>
      </c>
      <c r="ID232">
        <f>IF(ISBLANK('Data Entry'!$Į$232), "", 'Data Entry'!$Į$232)</f>
      </c>
      <c r="IE232">
        <f>IF(ISBLANK('Data Entry'!$į$232), "", 'Data Entry'!$į$232)</f>
      </c>
      <c r="IF232">
        <f>IF(ISBLANK('Data Entry'!$İ$232), "", 'Data Entry'!$İ$232)</f>
      </c>
      <c r="IG232">
        <f>IF(ISBLANK('Data Entry'!$ı$232), "", 'Data Entry'!$ı$232)</f>
      </c>
      <c r="IH232">
        <f>IF(ISBLANK('Data Entry'!$Ĳ$232), "", 'Data Entry'!$Ĳ$232)</f>
      </c>
      <c r="II232">
        <f>IF(ISBLANK('Data Entry'!$ĳ$232), "", 'Data Entry'!$ĳ$232)</f>
      </c>
      <c r="IJ232">
        <f>IF(ISBLANK('Data Entry'!$Ĵ$232), "", 'Data Entry'!$Ĵ$232)</f>
      </c>
      <c r="IK232">
        <f>IF(ISBLANK('Data Entry'!$ĵ$232), "", 'Data Entry'!$ĵ$232)</f>
      </c>
      <c r="IL232">
        <f>IF(ISBLANK('Data Entry'!$Ķ$232), "", 'Data Entry'!$Ķ$232)</f>
      </c>
      <c r="IM232">
        <f>IF(ISBLANK('Data Entry'!$ķ$232), "", 'Data Entry'!$ķ$232)</f>
      </c>
      <c r="IN232">
        <f>IF(ISBLANK('Data Entry'!$ĸ$232), "", 'Data Entry'!$ĸ$232)</f>
      </c>
      <c r="IO232">
        <f>IF(ISBLANK('Data Entry'!$Ĺ$232), "", 'Data Entry'!$Ĺ$232)</f>
      </c>
      <c r="IP232">
        <f>IF(ISBLANK('Data Entry'!$ĺ$232), "", 'Data Entry'!$ĺ$232)</f>
      </c>
      <c r="IQ232">
        <f>IF(ISBLANK('Data Entry'!$Ļ$232), "", 'Data Entry'!$Ļ$232)</f>
      </c>
      <c r="IR232">
        <f>IF(ISBLANK('Data Entry'!$ļ$232), "", 'Data Entry'!$ļ$232)</f>
      </c>
      <c r="IS232">
        <f>IF(ISBLANK('Data Entry'!$Ľ$232), "", 'Data Entry'!$Ľ$232)</f>
      </c>
      <c r="IT232">
        <f>IF(ISBLANK('Data Entry'!$ľ$232), "", 'Data Entry'!$ľ$232)</f>
      </c>
    </row>
    <row r="233" spans="1:254" x14ac:dyDescent="0.25">
      <c r="A233">
        <f>IF(ISBLANK('Data Entry'!$A$233), "", 'Data Entry'!$A$233)</f>
      </c>
      <c r="B233">
        <f>IF(ISBLANK('Data Entry'!$B$233), "", 'Data Entry'!$B$233)</f>
      </c>
      <c r="C233">
        <f>IF(ISBLANK('Data Entry'!$C$233), "", 'Data Entry'!$C$233)</f>
      </c>
      <c r="D233">
        <f>IF(ISBLANK('Data Entry'!$D$233), "", 'Data Entry'!$D$233)</f>
      </c>
      <c r="E233">
        <f>IF(ISBLANK('Data Entry'!$E$233), "", 'Data Entry'!$E$233)</f>
      </c>
      <c r="F233">
        <f>IF(ISBLANK('Data Entry'!$F$233), "", 'Data Entry'!$F$233)</f>
      </c>
      <c r="G233">
        <f>IF(ISBLANK('Data Entry'!$G$233), "", 'Data Entry'!$G$233)</f>
      </c>
      <c r="H233">
        <f>IF(ISBLANK('Data Entry'!$H$233), "", 'Data Entry'!$H$233)</f>
      </c>
      <c r="I233">
        <f>IF(ISBLANK('Data Entry'!$I$233), "", 'Data Entry'!$I$233)</f>
      </c>
      <c r="J233">
        <f>IF(ISBLANK('Data Entry'!$J$233), "", 'Data Entry'!$J$233)</f>
      </c>
      <c r="K233">
        <f>IF(ISBLANK('Data Entry'!$K$233), "", 'Data Entry'!$K$233)</f>
      </c>
      <c r="L233">
        <f>IF(ISBLANK('Data Entry'!$L$233), "", 'Data Entry'!$L$233)</f>
      </c>
      <c r="M233">
        <f>IF(ISBLANK('Data Entry'!$M$233), "", 'Data Entry'!$M$233)</f>
      </c>
      <c r="N233">
        <f>IF(ISBLANK('Data Entry'!$N$233), "", 'Data Entry'!$N$233)</f>
      </c>
      <c r="O233">
        <f>IF(ISBLANK('Data Entry'!$O$233), "", 'Data Entry'!$O$233)</f>
      </c>
      <c r="P233">
        <f>IF(ISBLANK('Data Entry'!$P$233), "", 'Data Entry'!$P$233)</f>
      </c>
      <c r="Q233">
        <f>IF(ISBLANK('Data Entry'!$Q$233), "", 'Data Entry'!$Q$233)</f>
      </c>
      <c r="R233">
        <f>IF(ISBLANK('Data Entry'!$R$233), "", 'Data Entry'!$R$233)</f>
      </c>
      <c r="S233">
        <f>IF(ISBLANK('Data Entry'!$S$233), "", 'Data Entry'!$S$233)</f>
      </c>
      <c r="T233">
        <f>IF(ISBLANK('Data Entry'!$T$233), "", 'Data Entry'!$T$233)</f>
      </c>
      <c r="U233">
        <f>IF(ISBLANK('Data Entry'!$U$233), "", 'Data Entry'!$U$233)</f>
      </c>
      <c r="V233">
        <f>IF(ISBLANK('Data Entry'!$V$233), "", 'Data Entry'!$V$233)</f>
      </c>
      <c r="W233">
        <f>IF(ISBLANK('Data Entry'!$W$233), "", 'Data Entry'!$W$233)</f>
      </c>
      <c r="X233">
        <f>IF(ISBLANK('Data Entry'!$X$233), "", 'Data Entry'!$X$233)</f>
      </c>
      <c r="Y233">
        <f>IF(ISBLANK('Data Entry'!$Y$233), "", 'Data Entry'!$Y$233)</f>
      </c>
      <c r="Z233">
        <f>IF(ISBLANK('Data Entry'!$Z$233), "", 'Data Entry'!$Z$233)</f>
      </c>
      <c r="AA233">
        <f>IF(ISBLANK('Data Entry'!$[$233), "", 'Data Entry'!$[$233)</f>
      </c>
      <c r="AB233">
        <f>IF(ISBLANK('Data Entry'!$\$233), "", 'Data Entry'!$\$233)</f>
      </c>
      <c r="AC233">
        <f>IF(ISBLANK('Data Entry'!$]$233), "", 'Data Entry'!$]$233)</f>
      </c>
      <c r="AD233">
        <f>IF(ISBLANK('Data Entry'!$^$233), "", 'Data Entry'!$^$233)</f>
      </c>
      <c r="AE233">
        <f>IF(ISBLANK('Data Entry'!$_$233), "", 'Data Entry'!$_$233)</f>
      </c>
      <c r="AF233">
        <f>IF(ISBLANK('Data Entry'!$`$233), "", 'Data Entry'!$`$233)</f>
      </c>
      <c r="AG233">
        <f>IF(ISBLANK('Data Entry'!$a$233), "", 'Data Entry'!$a$233)</f>
      </c>
      <c r="AH233">
        <f>IF(ISBLANK('Data Entry'!$b$233), "", 'Data Entry'!$b$233)</f>
      </c>
      <c r="AI233">
        <f>IF(ISBLANK('Data Entry'!$c$233), "", 'Data Entry'!$c$233)</f>
      </c>
      <c r="AJ233">
        <f>IF(ISBLANK('Data Entry'!$d$233), "", 'Data Entry'!$d$233)</f>
      </c>
      <c r="AK233">
        <f>IF(ISBLANK('Data Entry'!$e$233), "", 'Data Entry'!$e$233)</f>
      </c>
      <c r="AL233">
        <f>IF(ISBLANK('Data Entry'!$f$233), "", 'Data Entry'!$f$233)</f>
      </c>
      <c r="AM233">
        <f>IF(ISBLANK('Data Entry'!$g$233), "", 'Data Entry'!$g$233)</f>
      </c>
      <c r="AN233">
        <f>IF(ISBLANK('Data Entry'!$h$233), "", 'Data Entry'!$h$233)</f>
      </c>
      <c r="AO233">
        <f>IF(ISBLANK('Data Entry'!$i$233), "", 'Data Entry'!$i$233)</f>
      </c>
      <c r="AP233">
        <f>IF(ISBLANK('Data Entry'!$j$233), "", 'Data Entry'!$j$233)</f>
      </c>
      <c r="AQ233">
        <f>IF(ISBLANK('Data Entry'!$k$233), "", 'Data Entry'!$k$233)</f>
      </c>
      <c r="AR233">
        <f>IF(ISBLANK('Data Entry'!$l$233), "", 'Data Entry'!$l$233)</f>
      </c>
      <c r="AS233">
        <f>IF(ISBLANK('Data Entry'!$m$233), "", 'Data Entry'!$m$233)</f>
      </c>
      <c r="AT233">
        <f>IF(ISBLANK('Data Entry'!$n$233), "", 'Data Entry'!$n$233)</f>
      </c>
      <c r="AU233">
        <f>IF(ISBLANK('Data Entry'!$o$233), "", 'Data Entry'!$o$233)</f>
      </c>
      <c r="AV233">
        <f>IF(ISBLANK('Data Entry'!$p$233), "", 'Data Entry'!$p$233)</f>
      </c>
      <c r="AW233">
        <f>IF(ISBLANK('Data Entry'!$q$233), "", 'Data Entry'!$q$233)</f>
      </c>
      <c r="AX233">
        <f>IF(ISBLANK('Data Entry'!$r$233), "", 'Data Entry'!$r$233)</f>
      </c>
      <c r="AY233">
        <f>IF(ISBLANK('Data Entry'!$s$233), "", 'Data Entry'!$s$233)</f>
      </c>
      <c r="AZ233">
        <f>IF(ISBLANK('Data Entry'!$t$233), "", 'Data Entry'!$t$233)</f>
      </c>
      <c r="BA233">
        <f>IF(ISBLANK('Data Entry'!$u$233), "", 'Data Entry'!$u$233)</f>
      </c>
      <c r="BB233">
        <f>IF(ISBLANK('Data Entry'!$v$233), "", 'Data Entry'!$v$233)</f>
      </c>
      <c r="BC233">
        <f>IF(ISBLANK('Data Entry'!$w$233), "", 'Data Entry'!$w$233)</f>
      </c>
      <c r="BD233">
        <f>IF(ISBLANK('Data Entry'!$x$233), "", 'Data Entry'!$x$233)</f>
      </c>
      <c r="BE233">
        <f>IF(ISBLANK('Data Entry'!$y$233), "", 'Data Entry'!$y$233)</f>
      </c>
      <c r="BF233">
        <f>IF(ISBLANK('Data Entry'!$z$233), "", 'Data Entry'!$z$233)</f>
      </c>
      <c r="BG233">
        <f>IF(ISBLANK('Data Entry'!${$233), "", 'Data Entry'!${$233)</f>
      </c>
      <c r="BH233">
        <f>IF(ISBLANK('Data Entry'!$|$233), "", 'Data Entry'!$|$233)</f>
      </c>
      <c r="BI233">
        <f>IF(ISBLANK('Data Entry'!$}$233), "", 'Data Entry'!$}$233)</f>
      </c>
      <c r="BJ233">
        <f>IF(ISBLANK('Data Entry'!$~$233), "", 'Data Entry'!$~$233)</f>
      </c>
      <c r="BK233">
        <f>IF(ISBLANK('Data Entry'!$$233), "", 'Data Entry'!$$233)</f>
      </c>
      <c r="BL233">
        <f>IF(ISBLANK('Data Entry'!$$233), "", 'Data Entry'!$$233)</f>
      </c>
      <c r="BM233">
        <f>IF(ISBLANK('Data Entry'!$$233), "", 'Data Entry'!$$233)</f>
      </c>
      <c r="BN233">
        <f>IF(ISBLANK('Data Entry'!$$233), "", 'Data Entry'!$$233)</f>
      </c>
      <c r="BO233">
        <f>IF(ISBLANK('Data Entry'!$$233), "", 'Data Entry'!$$233)</f>
      </c>
      <c r="BP233">
        <f>IF(ISBLANK('Data Entry'!$$233), "", 'Data Entry'!$$233)</f>
      </c>
      <c r="BQ233">
        <f>IF(ISBLANK('Data Entry'!$$233), "", 'Data Entry'!$$233)</f>
      </c>
      <c r="BR233">
        <f>IF(ISBLANK('Data Entry'!$$233), "", 'Data Entry'!$$233)</f>
      </c>
      <c r="BS233">
        <f>IF(ISBLANK('Data Entry'!$$233), "", 'Data Entry'!$$233)</f>
      </c>
      <c r="BT233">
        <f>IF(ISBLANK('Data Entry'!$$233), "", 'Data Entry'!$$233)</f>
      </c>
      <c r="BU233">
        <f>IF(ISBLANK('Data Entry'!$$233), "", 'Data Entry'!$$233)</f>
      </c>
      <c r="BV233">
        <f>IF(ISBLANK('Data Entry'!$$233), "", 'Data Entry'!$$233)</f>
      </c>
      <c r="BW233">
        <f>IF(ISBLANK('Data Entry'!$$233), "", 'Data Entry'!$$233)</f>
      </c>
      <c r="BX233">
        <f>IF(ISBLANK('Data Entry'!$$233), "", 'Data Entry'!$$233)</f>
      </c>
      <c r="BY233">
        <f>IF(ISBLANK('Data Entry'!$$233), "", 'Data Entry'!$$233)</f>
      </c>
      <c r="BZ233">
        <f>IF(ISBLANK('Data Entry'!$$233), "", 'Data Entry'!$$233)</f>
      </c>
      <c r="CA233">
        <f>IF(ISBLANK('Data Entry'!$$233), "", 'Data Entry'!$$233)</f>
      </c>
      <c r="CB233">
        <f>IF(ISBLANK('Data Entry'!$$233), "", 'Data Entry'!$$233)</f>
      </c>
      <c r="CC233">
        <f>IF(ISBLANK('Data Entry'!$$233), "", 'Data Entry'!$$233)</f>
      </c>
      <c r="CD233">
        <f>IF(ISBLANK('Data Entry'!$$233), "", 'Data Entry'!$$233)</f>
      </c>
      <c r="CE233">
        <f>IF(ISBLANK('Data Entry'!$$233), "", 'Data Entry'!$$233)</f>
      </c>
      <c r="CF233">
        <f>IF(ISBLANK('Data Entry'!$$233), "", 'Data Entry'!$$233)</f>
      </c>
      <c r="CG233">
        <f>IF(ISBLANK('Data Entry'!$$233), "", 'Data Entry'!$$233)</f>
      </c>
      <c r="CH233">
        <f>IF(ISBLANK('Data Entry'!$$233), "", 'Data Entry'!$$233)</f>
      </c>
      <c r="CI233">
        <f>IF(ISBLANK('Data Entry'!$$233), "", 'Data Entry'!$$233)</f>
      </c>
      <c r="CJ233">
        <f>IF(ISBLANK('Data Entry'!$$233), "", 'Data Entry'!$$233)</f>
      </c>
      <c r="CK233">
        <f>IF(ISBLANK('Data Entry'!$$233), "", 'Data Entry'!$$233)</f>
      </c>
      <c r="CL233">
        <f>IF(ISBLANK('Data Entry'!$$233), "", 'Data Entry'!$$233)</f>
      </c>
      <c r="CM233">
        <f>IF(ISBLANK('Data Entry'!$$233), "", 'Data Entry'!$$233)</f>
      </c>
      <c r="CN233">
        <f>IF(ISBLANK('Data Entry'!$$233), "", 'Data Entry'!$$233)</f>
      </c>
      <c r="CO233">
        <f>IF(ISBLANK('Data Entry'!$$233), "", 'Data Entry'!$$233)</f>
      </c>
      <c r="CP233">
        <f>IF(ISBLANK('Data Entry'!$$233), "", 'Data Entry'!$$233)</f>
      </c>
      <c r="CQ233">
        <f>IF(ISBLANK('Data Entry'!$$233), "", 'Data Entry'!$$233)</f>
      </c>
      <c r="CR233">
        <f>IF(ISBLANK('Data Entry'!$ $233), "", 'Data Entry'!$ $233)</f>
      </c>
      <c r="CS233">
        <f>IF(ISBLANK('Data Entry'!$¡$233), "", 'Data Entry'!$¡$233)</f>
      </c>
      <c r="CT233">
        <f>IF(ISBLANK('Data Entry'!$¢$233), "", 'Data Entry'!$¢$233)</f>
      </c>
      <c r="CU233">
        <f>IF(ISBLANK('Data Entry'!$£$233), "", 'Data Entry'!$£$233)</f>
      </c>
      <c r="CV233">
        <f>IF(ISBLANK('Data Entry'!$¤$233), "", 'Data Entry'!$¤$233)</f>
      </c>
      <c r="CW233">
        <f>IF(ISBLANK('Data Entry'!$¥$233), "", 'Data Entry'!$¥$233)</f>
      </c>
      <c r="CX233">
        <f>IF(ISBLANK('Data Entry'!$¦$233), "", 'Data Entry'!$¦$233)</f>
      </c>
      <c r="CY233">
        <f>IF(ISBLANK('Data Entry'!$§$233), "", 'Data Entry'!$§$233)</f>
      </c>
      <c r="CZ233">
        <f>IF(ISBLANK('Data Entry'!$¨$233), "", 'Data Entry'!$¨$233)</f>
      </c>
      <c r="DA233">
        <f>IF(ISBLANK('Data Entry'!$©$233), "", 'Data Entry'!$©$233)</f>
      </c>
      <c r="DB233">
        <f>IF(ISBLANK('Data Entry'!$ª$233), "", 'Data Entry'!$ª$233)</f>
      </c>
      <c r="DC233">
        <f>IF(ISBLANK('Data Entry'!$«$233), "", 'Data Entry'!$«$233)</f>
      </c>
      <c r="DD233">
        <f>IF(ISBLANK('Data Entry'!$¬$233), "", 'Data Entry'!$¬$233)</f>
      </c>
      <c r="DE233">
        <f>IF(ISBLANK('Data Entry'!$­$233), "", 'Data Entry'!$­$233)</f>
      </c>
      <c r="DF233">
        <f>IF(ISBLANK('Data Entry'!$®$233), "", 'Data Entry'!$®$233)</f>
      </c>
      <c r="DG233">
        <f>IF(ISBLANK('Data Entry'!$¯$233), "", 'Data Entry'!$¯$233)</f>
      </c>
      <c r="DH233">
        <f>IF(ISBLANK('Data Entry'!$°$233), "", 'Data Entry'!$°$233)</f>
      </c>
      <c r="DI233">
        <f>IF(ISBLANK('Data Entry'!$±$233), "", 'Data Entry'!$±$233)</f>
      </c>
      <c r="DJ233">
        <f>IF(ISBLANK('Data Entry'!$²$233), "", 'Data Entry'!$²$233)</f>
      </c>
      <c r="DK233">
        <f>IF(ISBLANK('Data Entry'!$³$233), "", 'Data Entry'!$³$233)</f>
      </c>
      <c r="DL233">
        <f>IF(ISBLANK('Data Entry'!$´$233), "", 'Data Entry'!$´$233)</f>
      </c>
      <c r="DM233">
        <f>IF(ISBLANK('Data Entry'!$µ$233), "", 'Data Entry'!$µ$233)</f>
      </c>
      <c r="DN233">
        <f>IF(ISBLANK('Data Entry'!$¶$233), "", 'Data Entry'!$¶$233)</f>
      </c>
      <c r="DO233">
        <f>IF(ISBLANK('Data Entry'!$·$233), "", 'Data Entry'!$·$233)</f>
      </c>
      <c r="DP233">
        <f>IF(ISBLANK('Data Entry'!$¸$233), "", 'Data Entry'!$¸$233)</f>
      </c>
      <c r="DQ233">
        <f>IF(ISBLANK('Data Entry'!$¹$233), "", 'Data Entry'!$¹$233)</f>
      </c>
      <c r="DR233">
        <f>IF(ISBLANK('Data Entry'!$º$233), "", 'Data Entry'!$º$233)</f>
      </c>
      <c r="DS233">
        <f>IF(ISBLANK('Data Entry'!$»$233), "", 'Data Entry'!$»$233)</f>
      </c>
      <c r="DT233">
        <f>IF(ISBLANK('Data Entry'!$¼$233), "", 'Data Entry'!$¼$233)</f>
      </c>
      <c r="DU233">
        <f>IF(ISBLANK('Data Entry'!$½$233), "", 'Data Entry'!$½$233)</f>
      </c>
      <c r="DV233">
        <f>IF(ISBLANK('Data Entry'!$¾$233), "", 'Data Entry'!$¾$233)</f>
      </c>
      <c r="DW233">
        <f>IF(ISBLANK('Data Entry'!$¿$233), "", 'Data Entry'!$¿$233)</f>
      </c>
      <c r="DX233">
        <f>IF(ISBLANK('Data Entry'!$À$233), "", 'Data Entry'!$À$233)</f>
      </c>
      <c r="DY233">
        <f>IF(ISBLANK('Data Entry'!$Á$233), "", 'Data Entry'!$Á$233)</f>
      </c>
      <c r="DZ233">
        <f>IF(ISBLANK('Data Entry'!$Â$233), "", 'Data Entry'!$Â$233)</f>
      </c>
      <c r="EA233">
        <f>IF(ISBLANK('Data Entry'!$Ã$233), "", 'Data Entry'!$Ã$233)</f>
      </c>
      <c r="EB233">
        <f>IF(ISBLANK('Data Entry'!$Ä$233), "", 'Data Entry'!$Ä$233)</f>
      </c>
      <c r="EC233">
        <f>IF(ISBLANK('Data Entry'!$Å$233), "", 'Data Entry'!$Å$233)</f>
      </c>
      <c r="ED233">
        <f>IF(ISBLANK('Data Entry'!$Æ$233), "", 'Data Entry'!$Æ$233)</f>
      </c>
      <c r="EE233">
        <f>IF(ISBLANK('Data Entry'!$Ç$233), "", 'Data Entry'!$Ç$233)</f>
      </c>
      <c r="EF233">
        <f>IF(ISBLANK('Data Entry'!$È$233), "", 'Data Entry'!$È$233)</f>
      </c>
      <c r="EG233">
        <f>IF(ISBLANK('Data Entry'!$É$233), "", 'Data Entry'!$É$233)</f>
      </c>
      <c r="EH233">
        <f>IF(ISBLANK('Data Entry'!$Ê$233), "", 'Data Entry'!$Ê$233)</f>
      </c>
      <c r="EI233">
        <f>IF(ISBLANK('Data Entry'!$Ë$233), "", 'Data Entry'!$Ë$233)</f>
      </c>
      <c r="EJ233">
        <f>IF(ISBLANK('Data Entry'!$Ì$233), "", 'Data Entry'!$Ì$233)</f>
      </c>
      <c r="EK233">
        <f>IF(ISBLANK('Data Entry'!$Í$233), "", 'Data Entry'!$Í$233)</f>
      </c>
      <c r="EL233">
        <f>IF(ISBLANK('Data Entry'!$Î$233), "", 'Data Entry'!$Î$233)</f>
      </c>
      <c r="EM233">
        <f>IF(ISBLANK('Data Entry'!$Ï$233), "", 'Data Entry'!$Ï$233)</f>
      </c>
      <c r="EN233">
        <f>IF(ISBLANK('Data Entry'!$Ð$233), "", 'Data Entry'!$Ð$233)</f>
      </c>
      <c r="EO233">
        <f>IF(ISBLANK('Data Entry'!$Ñ$233), "", 'Data Entry'!$Ñ$233)</f>
      </c>
      <c r="EP233">
        <f>IF(ISBLANK('Data Entry'!$Ò$233), "", 'Data Entry'!$Ò$233)</f>
      </c>
      <c r="EQ233">
        <f>IF(ISBLANK('Data Entry'!$Ó$233), "", 'Data Entry'!$Ó$233)</f>
      </c>
      <c r="ER233">
        <f>IF(ISBLANK('Data Entry'!$Ô$233), "", 'Data Entry'!$Ô$233)</f>
      </c>
      <c r="ES233">
        <f>IF(ISBLANK('Data Entry'!$Õ$233), "", 'Data Entry'!$Õ$233)</f>
      </c>
      <c r="ET233">
        <f>IF(ISBLANK('Data Entry'!$Ö$233), "", 'Data Entry'!$Ö$233)</f>
      </c>
      <c r="EU233">
        <f>IF(ISBLANK('Data Entry'!$×$233), "", 'Data Entry'!$×$233)</f>
      </c>
      <c r="EV233">
        <f>IF(ISBLANK('Data Entry'!$Ø$233), "", 'Data Entry'!$Ø$233)</f>
      </c>
      <c r="EW233">
        <f>IF(ISBLANK('Data Entry'!$Ù$233), "", 'Data Entry'!$Ù$233)</f>
      </c>
      <c r="EX233">
        <f>IF(ISBLANK('Data Entry'!$Ú$233), "", 'Data Entry'!$Ú$233)</f>
      </c>
      <c r="EY233">
        <f>IF(ISBLANK('Data Entry'!$Û$233), "", 'Data Entry'!$Û$233)</f>
      </c>
      <c r="EZ233">
        <f>IF(ISBLANK('Data Entry'!$Ü$233), "", 'Data Entry'!$Ü$233)</f>
      </c>
      <c r="FA233">
        <f>IF(ISBLANK('Data Entry'!$Ý$233), "", 'Data Entry'!$Ý$233)</f>
      </c>
      <c r="FB233">
        <f>IF(ISBLANK('Data Entry'!$Þ$233), "", 'Data Entry'!$Þ$233)</f>
      </c>
      <c r="FC233">
        <f>IF(ISBLANK('Data Entry'!$ß$233), "", 'Data Entry'!$ß$233)</f>
      </c>
      <c r="FD233">
        <f>IF(ISBLANK('Data Entry'!$à$233), "", 'Data Entry'!$à$233)</f>
      </c>
      <c r="FE233">
        <f>IF(ISBLANK('Data Entry'!$á$233), "", 'Data Entry'!$á$233)</f>
      </c>
      <c r="FF233">
        <f>IF(ISBLANK('Data Entry'!$â$233), "", 'Data Entry'!$â$233)</f>
      </c>
      <c r="FG233">
        <f>IF(ISBLANK('Data Entry'!$ã$233), "", 'Data Entry'!$ã$233)</f>
      </c>
      <c r="FH233">
        <f>IF(ISBLANK('Data Entry'!$ä$233), "", 'Data Entry'!$ä$233)</f>
      </c>
      <c r="FI233">
        <f>IF(ISBLANK('Data Entry'!$å$233), "", 'Data Entry'!$å$233)</f>
      </c>
      <c r="FJ233">
        <f>IF(ISBLANK('Data Entry'!$æ$233), "", 'Data Entry'!$æ$233)</f>
      </c>
      <c r="FK233">
        <f>IF(ISBLANK('Data Entry'!$ç$233), "", 'Data Entry'!$ç$233)</f>
      </c>
      <c r="FL233">
        <f>IF(ISBLANK('Data Entry'!$è$233), "", 'Data Entry'!$è$233)</f>
      </c>
      <c r="FM233">
        <f>IF(ISBLANK('Data Entry'!$é$233), "", 'Data Entry'!$é$233)</f>
      </c>
      <c r="FN233">
        <f>IF(ISBLANK('Data Entry'!$ê$233), "", 'Data Entry'!$ê$233)</f>
      </c>
      <c r="FO233">
        <f>IF(ISBLANK('Data Entry'!$ë$233), "", 'Data Entry'!$ë$233)</f>
      </c>
      <c r="FP233">
        <f>IF(ISBLANK('Data Entry'!$ì$233), "", 'Data Entry'!$ì$233)</f>
      </c>
      <c r="FQ233">
        <f>IF(ISBLANK('Data Entry'!$í$233), "", 'Data Entry'!$í$233)</f>
      </c>
      <c r="FR233">
        <f>IF(ISBLANK('Data Entry'!$î$233), "", 'Data Entry'!$î$233)</f>
      </c>
      <c r="FS233">
        <f>IF(ISBLANK('Data Entry'!$ï$233), "", 'Data Entry'!$ï$233)</f>
      </c>
      <c r="FT233">
        <f>IF(ISBLANK('Data Entry'!$ð$233), "", 'Data Entry'!$ð$233)</f>
      </c>
      <c r="FU233">
        <f>IF(ISBLANK('Data Entry'!$ñ$233), "", 'Data Entry'!$ñ$233)</f>
      </c>
      <c r="FV233">
        <f>IF(ISBLANK('Data Entry'!$ò$233), "", 'Data Entry'!$ò$233)</f>
      </c>
      <c r="FW233">
        <f>IF(ISBLANK('Data Entry'!$ó$233), "", 'Data Entry'!$ó$233)</f>
      </c>
      <c r="FX233">
        <f>IF(ISBLANK('Data Entry'!$ô$233), "", 'Data Entry'!$ô$233)</f>
      </c>
      <c r="FY233">
        <f>IF(ISBLANK('Data Entry'!$õ$233), "", 'Data Entry'!$õ$233)</f>
      </c>
      <c r="FZ233">
        <f>IF(ISBLANK('Data Entry'!$ö$233), "", 'Data Entry'!$ö$233)</f>
      </c>
      <c r="GA233">
        <f>IF(ISBLANK('Data Entry'!$÷$233), "", 'Data Entry'!$÷$233)</f>
      </c>
      <c r="GB233">
        <f>IF(ISBLANK('Data Entry'!$ø$233), "", 'Data Entry'!$ø$233)</f>
      </c>
      <c r="GC233">
        <f>IF(ISBLANK('Data Entry'!$ù$233), "", 'Data Entry'!$ù$233)</f>
      </c>
      <c r="GD233">
        <f>IF(ISBLANK('Data Entry'!$ú$233), "", 'Data Entry'!$ú$233)</f>
      </c>
      <c r="GE233">
        <f>IF(ISBLANK('Data Entry'!$û$233), "", 'Data Entry'!$û$233)</f>
      </c>
      <c r="GF233">
        <f>IF(ISBLANK('Data Entry'!$ü$233), "", 'Data Entry'!$ü$233)</f>
      </c>
      <c r="GG233">
        <f>IF(ISBLANK('Data Entry'!$ý$233), "", 'Data Entry'!$ý$233)</f>
      </c>
      <c r="GH233">
        <f>IF(ISBLANK('Data Entry'!$þ$233), "", 'Data Entry'!$þ$233)</f>
      </c>
      <c r="GI233">
        <f>IF(ISBLANK('Data Entry'!$ÿ$233), "", 'Data Entry'!$ÿ$233)</f>
      </c>
      <c r="GJ233">
        <f>IF(ISBLANK('Data Entry'!$Ā$233), "", 'Data Entry'!$Ā$233)</f>
      </c>
      <c r="GK233">
        <f>IF(ISBLANK('Data Entry'!$ā$233), "", 'Data Entry'!$ā$233)</f>
      </c>
      <c r="GL233">
        <f>IF(ISBLANK('Data Entry'!$Ă$233), "", 'Data Entry'!$Ă$233)</f>
      </c>
      <c r="GM233">
        <f>IF(ISBLANK('Data Entry'!$ă$233), "", 'Data Entry'!$ă$233)</f>
      </c>
      <c r="GN233">
        <f>IF(ISBLANK('Data Entry'!$Ą$233), "", 'Data Entry'!$Ą$233)</f>
      </c>
      <c r="GO233">
        <f>IF(ISBLANK('Data Entry'!$ą$233), "", 'Data Entry'!$ą$233)</f>
      </c>
      <c r="GP233">
        <f>IF(ISBLANK('Data Entry'!$Ć$233), "", 'Data Entry'!$Ć$233)</f>
      </c>
      <c r="GQ233">
        <f>IF(ISBLANK('Data Entry'!$ć$233), "", 'Data Entry'!$ć$233)</f>
      </c>
      <c r="GR233">
        <f>IF(ISBLANK('Data Entry'!$Ĉ$233), "", 'Data Entry'!$Ĉ$233)</f>
      </c>
      <c r="GS233">
        <f>IF(ISBLANK('Data Entry'!$ĉ$233), "", 'Data Entry'!$ĉ$233)</f>
      </c>
      <c r="GT233">
        <f>IF(ISBLANK('Data Entry'!$Ċ$233), "", 'Data Entry'!$Ċ$233)</f>
      </c>
      <c r="GU233">
        <f>IF(ISBLANK('Data Entry'!$ċ$233), "", 'Data Entry'!$ċ$233)</f>
      </c>
      <c r="GV233">
        <f>IF(ISBLANK('Data Entry'!$Č$233), "", 'Data Entry'!$Č$233)</f>
      </c>
      <c r="GW233">
        <f>IF(ISBLANK('Data Entry'!$č$233), "", 'Data Entry'!$č$233)</f>
      </c>
      <c r="GX233">
        <f>IF(ISBLANK('Data Entry'!$Ď$233), "", 'Data Entry'!$Ď$233)</f>
      </c>
      <c r="GY233">
        <f>IF(ISBLANK('Data Entry'!$ď$233), "", 'Data Entry'!$ď$233)</f>
      </c>
      <c r="GZ233">
        <f>IF(ISBLANK('Data Entry'!$Đ$233), "", 'Data Entry'!$Đ$233)</f>
      </c>
      <c r="HA233">
        <f>IF(ISBLANK('Data Entry'!$đ$233), "", 'Data Entry'!$đ$233)</f>
      </c>
      <c r="HB233">
        <f>IF(ISBLANK('Data Entry'!$Ē$233), "", 'Data Entry'!$Ē$233)</f>
      </c>
      <c r="HC233">
        <f>IF(ISBLANK('Data Entry'!$ē$233), "", 'Data Entry'!$ē$233)</f>
      </c>
      <c r="HD233">
        <f>IF(ISBLANK('Data Entry'!$Ĕ$233), "", 'Data Entry'!$Ĕ$233)</f>
      </c>
      <c r="HE233">
        <f>IF(ISBLANK('Data Entry'!$ĕ$233), "", 'Data Entry'!$ĕ$233)</f>
      </c>
      <c r="HF233">
        <f>IF(ISBLANK('Data Entry'!$Ė$233), "", 'Data Entry'!$Ė$233)</f>
      </c>
      <c r="HG233">
        <f>IF(ISBLANK('Data Entry'!$ė$233), "", 'Data Entry'!$ė$233)</f>
      </c>
      <c r="HH233">
        <f>IF(ISBLANK('Data Entry'!$Ę$233), "", 'Data Entry'!$Ę$233)</f>
      </c>
      <c r="HI233">
        <f>IF(ISBLANK('Data Entry'!$ę$233), "", 'Data Entry'!$ę$233)</f>
      </c>
      <c r="HJ233">
        <f>IF(ISBLANK('Data Entry'!$Ě$233), "", 'Data Entry'!$Ě$233)</f>
      </c>
      <c r="HK233">
        <f>IF(ISBLANK('Data Entry'!$ě$233), "", 'Data Entry'!$ě$233)</f>
      </c>
      <c r="HL233">
        <f>IF(ISBLANK('Data Entry'!$Ĝ$233), "", 'Data Entry'!$Ĝ$233)</f>
      </c>
      <c r="HM233">
        <f>IF(ISBLANK('Data Entry'!$ĝ$233), "", 'Data Entry'!$ĝ$233)</f>
      </c>
      <c r="HN233">
        <f>IF(ISBLANK('Data Entry'!$Ğ$233), "", 'Data Entry'!$Ğ$233)</f>
      </c>
      <c r="HO233">
        <f>IF(ISBLANK('Data Entry'!$ğ$233), "", 'Data Entry'!$ğ$233)</f>
      </c>
      <c r="HP233">
        <f>IF(ISBLANK('Data Entry'!$Ġ$233), "", 'Data Entry'!$Ġ$233)</f>
      </c>
      <c r="HQ233">
        <f>IF(ISBLANK('Data Entry'!$ġ$233), "", 'Data Entry'!$ġ$233)</f>
      </c>
      <c r="HR233">
        <f>IF(ISBLANK('Data Entry'!$Ģ$233), "", 'Data Entry'!$Ģ$233)</f>
      </c>
      <c r="HS233">
        <f>IF(ISBLANK('Data Entry'!$ģ$233), "", 'Data Entry'!$ģ$233)</f>
      </c>
      <c r="HT233">
        <f>IF(ISBLANK('Data Entry'!$Ĥ$233), "", 'Data Entry'!$Ĥ$233)</f>
      </c>
      <c r="HU233">
        <f>IF(ISBLANK('Data Entry'!$ĥ$233), "", 'Data Entry'!$ĥ$233)</f>
      </c>
      <c r="HV233">
        <f>IF(ISBLANK('Data Entry'!$Ħ$233), "", 'Data Entry'!$Ħ$233)</f>
      </c>
      <c r="HW233">
        <f>IF(ISBLANK('Data Entry'!$ħ$233), "", 'Data Entry'!$ħ$233)</f>
      </c>
      <c r="HX233">
        <f>IF(ISBLANK('Data Entry'!$Ĩ$233), "", 'Data Entry'!$Ĩ$233)</f>
      </c>
      <c r="HY233">
        <f>IF(ISBLANK('Data Entry'!$ĩ$233), "", 'Data Entry'!$ĩ$233)</f>
      </c>
      <c r="HZ233">
        <f>IF(ISBLANK('Data Entry'!$Ī$233), "", 'Data Entry'!$Ī$233)</f>
      </c>
      <c r="IA233">
        <f>IF(ISBLANK('Data Entry'!$ī$233), "", 'Data Entry'!$ī$233)</f>
      </c>
      <c r="IB233">
        <f>IF(ISBLANK('Data Entry'!$Ĭ$233), "", 'Data Entry'!$Ĭ$233)</f>
      </c>
      <c r="IC233">
        <f>IF(ISBLANK('Data Entry'!$ĭ$233), "", 'Data Entry'!$ĭ$233)</f>
      </c>
      <c r="ID233">
        <f>IF(ISBLANK('Data Entry'!$Į$233), "", 'Data Entry'!$Į$233)</f>
      </c>
      <c r="IE233">
        <f>IF(ISBLANK('Data Entry'!$į$233), "", 'Data Entry'!$į$233)</f>
      </c>
      <c r="IF233">
        <f>IF(ISBLANK('Data Entry'!$İ$233), "", 'Data Entry'!$İ$233)</f>
      </c>
      <c r="IG233">
        <f>IF(ISBLANK('Data Entry'!$ı$233), "", 'Data Entry'!$ı$233)</f>
      </c>
      <c r="IH233">
        <f>IF(ISBLANK('Data Entry'!$Ĳ$233), "", 'Data Entry'!$Ĳ$233)</f>
      </c>
      <c r="II233">
        <f>IF(ISBLANK('Data Entry'!$ĳ$233), "", 'Data Entry'!$ĳ$233)</f>
      </c>
      <c r="IJ233">
        <f>IF(ISBLANK('Data Entry'!$Ĵ$233), "", 'Data Entry'!$Ĵ$233)</f>
      </c>
      <c r="IK233">
        <f>IF(ISBLANK('Data Entry'!$ĵ$233), "", 'Data Entry'!$ĵ$233)</f>
      </c>
      <c r="IL233">
        <f>IF(ISBLANK('Data Entry'!$Ķ$233), "", 'Data Entry'!$Ķ$233)</f>
      </c>
      <c r="IM233">
        <f>IF(ISBLANK('Data Entry'!$ķ$233), "", 'Data Entry'!$ķ$233)</f>
      </c>
      <c r="IN233">
        <f>IF(ISBLANK('Data Entry'!$ĸ$233), "", 'Data Entry'!$ĸ$233)</f>
      </c>
      <c r="IO233">
        <f>IF(ISBLANK('Data Entry'!$Ĺ$233), "", 'Data Entry'!$Ĺ$233)</f>
      </c>
      <c r="IP233">
        <f>IF(ISBLANK('Data Entry'!$ĺ$233), "", 'Data Entry'!$ĺ$233)</f>
      </c>
      <c r="IQ233">
        <f>IF(ISBLANK('Data Entry'!$Ļ$233), "", 'Data Entry'!$Ļ$233)</f>
      </c>
      <c r="IR233">
        <f>IF(ISBLANK('Data Entry'!$ļ$233), "", 'Data Entry'!$ļ$233)</f>
      </c>
      <c r="IS233">
        <f>IF(ISBLANK('Data Entry'!$Ľ$233), "", 'Data Entry'!$Ľ$233)</f>
      </c>
      <c r="IT233">
        <f>IF(ISBLANK('Data Entry'!$ľ$233), "", 'Data Entry'!$ľ$233)</f>
      </c>
    </row>
    <row r="234" spans="1:254" x14ac:dyDescent="0.25">
      <c r="A234">
        <f>IF(ISBLANK('Data Entry'!$A$234), "", 'Data Entry'!$A$234)</f>
      </c>
      <c r="B234">
        <f>IF(ISBLANK('Data Entry'!$B$234), "", 'Data Entry'!$B$234)</f>
      </c>
      <c r="C234">
        <f>IF(ISBLANK('Data Entry'!$C$234), "", 'Data Entry'!$C$234)</f>
      </c>
      <c r="D234">
        <f>IF(ISBLANK('Data Entry'!$D$234), "", 'Data Entry'!$D$234)</f>
      </c>
      <c r="E234">
        <f>IF(ISBLANK('Data Entry'!$E$234), "", 'Data Entry'!$E$234)</f>
      </c>
      <c r="F234">
        <f>IF(ISBLANK('Data Entry'!$F$234), "", 'Data Entry'!$F$234)</f>
      </c>
      <c r="G234">
        <f>IF(ISBLANK('Data Entry'!$G$234), "", 'Data Entry'!$G$234)</f>
      </c>
      <c r="H234">
        <f>IF(ISBLANK('Data Entry'!$H$234), "", 'Data Entry'!$H$234)</f>
      </c>
      <c r="I234">
        <f>IF(ISBLANK('Data Entry'!$I$234), "", 'Data Entry'!$I$234)</f>
      </c>
      <c r="J234">
        <f>IF(ISBLANK('Data Entry'!$J$234), "", 'Data Entry'!$J$234)</f>
      </c>
      <c r="K234">
        <f>IF(ISBLANK('Data Entry'!$K$234), "", 'Data Entry'!$K$234)</f>
      </c>
      <c r="L234">
        <f>IF(ISBLANK('Data Entry'!$L$234), "", 'Data Entry'!$L$234)</f>
      </c>
      <c r="M234">
        <f>IF(ISBLANK('Data Entry'!$M$234), "", 'Data Entry'!$M$234)</f>
      </c>
      <c r="N234">
        <f>IF(ISBLANK('Data Entry'!$N$234), "", 'Data Entry'!$N$234)</f>
      </c>
      <c r="O234">
        <f>IF(ISBLANK('Data Entry'!$O$234), "", 'Data Entry'!$O$234)</f>
      </c>
      <c r="P234">
        <f>IF(ISBLANK('Data Entry'!$P$234), "", 'Data Entry'!$P$234)</f>
      </c>
      <c r="Q234">
        <f>IF(ISBLANK('Data Entry'!$Q$234), "", 'Data Entry'!$Q$234)</f>
      </c>
      <c r="R234">
        <f>IF(ISBLANK('Data Entry'!$R$234), "", 'Data Entry'!$R$234)</f>
      </c>
      <c r="S234">
        <f>IF(ISBLANK('Data Entry'!$S$234), "", 'Data Entry'!$S$234)</f>
      </c>
      <c r="T234">
        <f>IF(ISBLANK('Data Entry'!$T$234), "", 'Data Entry'!$T$234)</f>
      </c>
      <c r="U234">
        <f>IF(ISBLANK('Data Entry'!$U$234), "", 'Data Entry'!$U$234)</f>
      </c>
      <c r="V234">
        <f>IF(ISBLANK('Data Entry'!$V$234), "", 'Data Entry'!$V$234)</f>
      </c>
      <c r="W234">
        <f>IF(ISBLANK('Data Entry'!$W$234), "", 'Data Entry'!$W$234)</f>
      </c>
      <c r="X234">
        <f>IF(ISBLANK('Data Entry'!$X$234), "", 'Data Entry'!$X$234)</f>
      </c>
      <c r="Y234">
        <f>IF(ISBLANK('Data Entry'!$Y$234), "", 'Data Entry'!$Y$234)</f>
      </c>
      <c r="Z234">
        <f>IF(ISBLANK('Data Entry'!$Z$234), "", 'Data Entry'!$Z$234)</f>
      </c>
      <c r="AA234">
        <f>IF(ISBLANK('Data Entry'!$[$234), "", 'Data Entry'!$[$234)</f>
      </c>
      <c r="AB234">
        <f>IF(ISBLANK('Data Entry'!$\$234), "", 'Data Entry'!$\$234)</f>
      </c>
      <c r="AC234">
        <f>IF(ISBLANK('Data Entry'!$]$234), "", 'Data Entry'!$]$234)</f>
      </c>
      <c r="AD234">
        <f>IF(ISBLANK('Data Entry'!$^$234), "", 'Data Entry'!$^$234)</f>
      </c>
      <c r="AE234">
        <f>IF(ISBLANK('Data Entry'!$_$234), "", 'Data Entry'!$_$234)</f>
      </c>
      <c r="AF234">
        <f>IF(ISBLANK('Data Entry'!$`$234), "", 'Data Entry'!$`$234)</f>
      </c>
      <c r="AG234">
        <f>IF(ISBLANK('Data Entry'!$a$234), "", 'Data Entry'!$a$234)</f>
      </c>
      <c r="AH234">
        <f>IF(ISBLANK('Data Entry'!$b$234), "", 'Data Entry'!$b$234)</f>
      </c>
      <c r="AI234">
        <f>IF(ISBLANK('Data Entry'!$c$234), "", 'Data Entry'!$c$234)</f>
      </c>
      <c r="AJ234">
        <f>IF(ISBLANK('Data Entry'!$d$234), "", 'Data Entry'!$d$234)</f>
      </c>
      <c r="AK234">
        <f>IF(ISBLANK('Data Entry'!$e$234), "", 'Data Entry'!$e$234)</f>
      </c>
      <c r="AL234">
        <f>IF(ISBLANK('Data Entry'!$f$234), "", 'Data Entry'!$f$234)</f>
      </c>
      <c r="AM234">
        <f>IF(ISBLANK('Data Entry'!$g$234), "", 'Data Entry'!$g$234)</f>
      </c>
      <c r="AN234">
        <f>IF(ISBLANK('Data Entry'!$h$234), "", 'Data Entry'!$h$234)</f>
      </c>
      <c r="AO234">
        <f>IF(ISBLANK('Data Entry'!$i$234), "", 'Data Entry'!$i$234)</f>
      </c>
      <c r="AP234">
        <f>IF(ISBLANK('Data Entry'!$j$234), "", 'Data Entry'!$j$234)</f>
      </c>
      <c r="AQ234">
        <f>IF(ISBLANK('Data Entry'!$k$234), "", 'Data Entry'!$k$234)</f>
      </c>
      <c r="AR234">
        <f>IF(ISBLANK('Data Entry'!$l$234), "", 'Data Entry'!$l$234)</f>
      </c>
      <c r="AS234">
        <f>IF(ISBLANK('Data Entry'!$m$234), "", 'Data Entry'!$m$234)</f>
      </c>
      <c r="AT234">
        <f>IF(ISBLANK('Data Entry'!$n$234), "", 'Data Entry'!$n$234)</f>
      </c>
      <c r="AU234">
        <f>IF(ISBLANK('Data Entry'!$o$234), "", 'Data Entry'!$o$234)</f>
      </c>
      <c r="AV234">
        <f>IF(ISBLANK('Data Entry'!$p$234), "", 'Data Entry'!$p$234)</f>
      </c>
      <c r="AW234">
        <f>IF(ISBLANK('Data Entry'!$q$234), "", 'Data Entry'!$q$234)</f>
      </c>
      <c r="AX234">
        <f>IF(ISBLANK('Data Entry'!$r$234), "", 'Data Entry'!$r$234)</f>
      </c>
      <c r="AY234">
        <f>IF(ISBLANK('Data Entry'!$s$234), "", 'Data Entry'!$s$234)</f>
      </c>
      <c r="AZ234">
        <f>IF(ISBLANK('Data Entry'!$t$234), "", 'Data Entry'!$t$234)</f>
      </c>
      <c r="BA234">
        <f>IF(ISBLANK('Data Entry'!$u$234), "", 'Data Entry'!$u$234)</f>
      </c>
      <c r="BB234">
        <f>IF(ISBLANK('Data Entry'!$v$234), "", 'Data Entry'!$v$234)</f>
      </c>
      <c r="BC234">
        <f>IF(ISBLANK('Data Entry'!$w$234), "", 'Data Entry'!$w$234)</f>
      </c>
      <c r="BD234">
        <f>IF(ISBLANK('Data Entry'!$x$234), "", 'Data Entry'!$x$234)</f>
      </c>
      <c r="BE234">
        <f>IF(ISBLANK('Data Entry'!$y$234), "", 'Data Entry'!$y$234)</f>
      </c>
      <c r="BF234">
        <f>IF(ISBLANK('Data Entry'!$z$234), "", 'Data Entry'!$z$234)</f>
      </c>
      <c r="BG234">
        <f>IF(ISBLANK('Data Entry'!${$234), "", 'Data Entry'!${$234)</f>
      </c>
      <c r="BH234">
        <f>IF(ISBLANK('Data Entry'!$|$234), "", 'Data Entry'!$|$234)</f>
      </c>
      <c r="BI234">
        <f>IF(ISBLANK('Data Entry'!$}$234), "", 'Data Entry'!$}$234)</f>
      </c>
      <c r="BJ234">
        <f>IF(ISBLANK('Data Entry'!$~$234), "", 'Data Entry'!$~$234)</f>
      </c>
      <c r="BK234">
        <f>IF(ISBLANK('Data Entry'!$$234), "", 'Data Entry'!$$234)</f>
      </c>
      <c r="BL234">
        <f>IF(ISBLANK('Data Entry'!$$234), "", 'Data Entry'!$$234)</f>
      </c>
      <c r="BM234">
        <f>IF(ISBLANK('Data Entry'!$$234), "", 'Data Entry'!$$234)</f>
      </c>
      <c r="BN234">
        <f>IF(ISBLANK('Data Entry'!$$234), "", 'Data Entry'!$$234)</f>
      </c>
      <c r="BO234">
        <f>IF(ISBLANK('Data Entry'!$$234), "", 'Data Entry'!$$234)</f>
      </c>
      <c r="BP234">
        <f>IF(ISBLANK('Data Entry'!$$234), "", 'Data Entry'!$$234)</f>
      </c>
      <c r="BQ234">
        <f>IF(ISBLANK('Data Entry'!$$234), "", 'Data Entry'!$$234)</f>
      </c>
      <c r="BR234">
        <f>IF(ISBLANK('Data Entry'!$$234), "", 'Data Entry'!$$234)</f>
      </c>
      <c r="BS234">
        <f>IF(ISBLANK('Data Entry'!$$234), "", 'Data Entry'!$$234)</f>
      </c>
      <c r="BT234">
        <f>IF(ISBLANK('Data Entry'!$$234), "", 'Data Entry'!$$234)</f>
      </c>
      <c r="BU234">
        <f>IF(ISBLANK('Data Entry'!$$234), "", 'Data Entry'!$$234)</f>
      </c>
      <c r="BV234">
        <f>IF(ISBLANK('Data Entry'!$$234), "", 'Data Entry'!$$234)</f>
      </c>
      <c r="BW234">
        <f>IF(ISBLANK('Data Entry'!$$234), "", 'Data Entry'!$$234)</f>
      </c>
      <c r="BX234">
        <f>IF(ISBLANK('Data Entry'!$$234), "", 'Data Entry'!$$234)</f>
      </c>
      <c r="BY234">
        <f>IF(ISBLANK('Data Entry'!$$234), "", 'Data Entry'!$$234)</f>
      </c>
      <c r="BZ234">
        <f>IF(ISBLANK('Data Entry'!$$234), "", 'Data Entry'!$$234)</f>
      </c>
      <c r="CA234">
        <f>IF(ISBLANK('Data Entry'!$$234), "", 'Data Entry'!$$234)</f>
      </c>
      <c r="CB234">
        <f>IF(ISBLANK('Data Entry'!$$234), "", 'Data Entry'!$$234)</f>
      </c>
      <c r="CC234">
        <f>IF(ISBLANK('Data Entry'!$$234), "", 'Data Entry'!$$234)</f>
      </c>
      <c r="CD234">
        <f>IF(ISBLANK('Data Entry'!$$234), "", 'Data Entry'!$$234)</f>
      </c>
      <c r="CE234">
        <f>IF(ISBLANK('Data Entry'!$$234), "", 'Data Entry'!$$234)</f>
      </c>
      <c r="CF234">
        <f>IF(ISBLANK('Data Entry'!$$234), "", 'Data Entry'!$$234)</f>
      </c>
      <c r="CG234">
        <f>IF(ISBLANK('Data Entry'!$$234), "", 'Data Entry'!$$234)</f>
      </c>
      <c r="CH234">
        <f>IF(ISBLANK('Data Entry'!$$234), "", 'Data Entry'!$$234)</f>
      </c>
      <c r="CI234">
        <f>IF(ISBLANK('Data Entry'!$$234), "", 'Data Entry'!$$234)</f>
      </c>
      <c r="CJ234">
        <f>IF(ISBLANK('Data Entry'!$$234), "", 'Data Entry'!$$234)</f>
      </c>
      <c r="CK234">
        <f>IF(ISBLANK('Data Entry'!$$234), "", 'Data Entry'!$$234)</f>
      </c>
      <c r="CL234">
        <f>IF(ISBLANK('Data Entry'!$$234), "", 'Data Entry'!$$234)</f>
      </c>
      <c r="CM234">
        <f>IF(ISBLANK('Data Entry'!$$234), "", 'Data Entry'!$$234)</f>
      </c>
      <c r="CN234">
        <f>IF(ISBLANK('Data Entry'!$$234), "", 'Data Entry'!$$234)</f>
      </c>
      <c r="CO234">
        <f>IF(ISBLANK('Data Entry'!$$234), "", 'Data Entry'!$$234)</f>
      </c>
      <c r="CP234">
        <f>IF(ISBLANK('Data Entry'!$$234), "", 'Data Entry'!$$234)</f>
      </c>
      <c r="CQ234">
        <f>IF(ISBLANK('Data Entry'!$$234), "", 'Data Entry'!$$234)</f>
      </c>
      <c r="CR234">
        <f>IF(ISBLANK('Data Entry'!$ $234), "", 'Data Entry'!$ $234)</f>
      </c>
      <c r="CS234">
        <f>IF(ISBLANK('Data Entry'!$¡$234), "", 'Data Entry'!$¡$234)</f>
      </c>
      <c r="CT234">
        <f>IF(ISBLANK('Data Entry'!$¢$234), "", 'Data Entry'!$¢$234)</f>
      </c>
      <c r="CU234">
        <f>IF(ISBLANK('Data Entry'!$£$234), "", 'Data Entry'!$£$234)</f>
      </c>
      <c r="CV234">
        <f>IF(ISBLANK('Data Entry'!$¤$234), "", 'Data Entry'!$¤$234)</f>
      </c>
      <c r="CW234">
        <f>IF(ISBLANK('Data Entry'!$¥$234), "", 'Data Entry'!$¥$234)</f>
      </c>
      <c r="CX234">
        <f>IF(ISBLANK('Data Entry'!$¦$234), "", 'Data Entry'!$¦$234)</f>
      </c>
      <c r="CY234">
        <f>IF(ISBLANK('Data Entry'!$§$234), "", 'Data Entry'!$§$234)</f>
      </c>
      <c r="CZ234">
        <f>IF(ISBLANK('Data Entry'!$¨$234), "", 'Data Entry'!$¨$234)</f>
      </c>
      <c r="DA234">
        <f>IF(ISBLANK('Data Entry'!$©$234), "", 'Data Entry'!$©$234)</f>
      </c>
      <c r="DB234">
        <f>IF(ISBLANK('Data Entry'!$ª$234), "", 'Data Entry'!$ª$234)</f>
      </c>
      <c r="DC234">
        <f>IF(ISBLANK('Data Entry'!$«$234), "", 'Data Entry'!$«$234)</f>
      </c>
      <c r="DD234">
        <f>IF(ISBLANK('Data Entry'!$¬$234), "", 'Data Entry'!$¬$234)</f>
      </c>
      <c r="DE234">
        <f>IF(ISBLANK('Data Entry'!$­$234), "", 'Data Entry'!$­$234)</f>
      </c>
      <c r="DF234">
        <f>IF(ISBLANK('Data Entry'!$®$234), "", 'Data Entry'!$®$234)</f>
      </c>
      <c r="DG234">
        <f>IF(ISBLANK('Data Entry'!$¯$234), "", 'Data Entry'!$¯$234)</f>
      </c>
      <c r="DH234">
        <f>IF(ISBLANK('Data Entry'!$°$234), "", 'Data Entry'!$°$234)</f>
      </c>
      <c r="DI234">
        <f>IF(ISBLANK('Data Entry'!$±$234), "", 'Data Entry'!$±$234)</f>
      </c>
      <c r="DJ234">
        <f>IF(ISBLANK('Data Entry'!$²$234), "", 'Data Entry'!$²$234)</f>
      </c>
      <c r="DK234">
        <f>IF(ISBLANK('Data Entry'!$³$234), "", 'Data Entry'!$³$234)</f>
      </c>
      <c r="DL234">
        <f>IF(ISBLANK('Data Entry'!$´$234), "", 'Data Entry'!$´$234)</f>
      </c>
      <c r="DM234">
        <f>IF(ISBLANK('Data Entry'!$µ$234), "", 'Data Entry'!$µ$234)</f>
      </c>
      <c r="DN234">
        <f>IF(ISBLANK('Data Entry'!$¶$234), "", 'Data Entry'!$¶$234)</f>
      </c>
      <c r="DO234">
        <f>IF(ISBLANK('Data Entry'!$·$234), "", 'Data Entry'!$·$234)</f>
      </c>
      <c r="DP234">
        <f>IF(ISBLANK('Data Entry'!$¸$234), "", 'Data Entry'!$¸$234)</f>
      </c>
      <c r="DQ234">
        <f>IF(ISBLANK('Data Entry'!$¹$234), "", 'Data Entry'!$¹$234)</f>
      </c>
      <c r="DR234">
        <f>IF(ISBLANK('Data Entry'!$º$234), "", 'Data Entry'!$º$234)</f>
      </c>
      <c r="DS234">
        <f>IF(ISBLANK('Data Entry'!$»$234), "", 'Data Entry'!$»$234)</f>
      </c>
      <c r="DT234">
        <f>IF(ISBLANK('Data Entry'!$¼$234), "", 'Data Entry'!$¼$234)</f>
      </c>
      <c r="DU234">
        <f>IF(ISBLANK('Data Entry'!$½$234), "", 'Data Entry'!$½$234)</f>
      </c>
      <c r="DV234">
        <f>IF(ISBLANK('Data Entry'!$¾$234), "", 'Data Entry'!$¾$234)</f>
      </c>
      <c r="DW234">
        <f>IF(ISBLANK('Data Entry'!$¿$234), "", 'Data Entry'!$¿$234)</f>
      </c>
      <c r="DX234">
        <f>IF(ISBLANK('Data Entry'!$À$234), "", 'Data Entry'!$À$234)</f>
      </c>
      <c r="DY234">
        <f>IF(ISBLANK('Data Entry'!$Á$234), "", 'Data Entry'!$Á$234)</f>
      </c>
      <c r="DZ234">
        <f>IF(ISBLANK('Data Entry'!$Â$234), "", 'Data Entry'!$Â$234)</f>
      </c>
      <c r="EA234">
        <f>IF(ISBLANK('Data Entry'!$Ã$234), "", 'Data Entry'!$Ã$234)</f>
      </c>
      <c r="EB234">
        <f>IF(ISBLANK('Data Entry'!$Ä$234), "", 'Data Entry'!$Ä$234)</f>
      </c>
      <c r="EC234">
        <f>IF(ISBLANK('Data Entry'!$Å$234), "", 'Data Entry'!$Å$234)</f>
      </c>
      <c r="ED234">
        <f>IF(ISBLANK('Data Entry'!$Æ$234), "", 'Data Entry'!$Æ$234)</f>
      </c>
      <c r="EE234">
        <f>IF(ISBLANK('Data Entry'!$Ç$234), "", 'Data Entry'!$Ç$234)</f>
      </c>
      <c r="EF234">
        <f>IF(ISBLANK('Data Entry'!$È$234), "", 'Data Entry'!$È$234)</f>
      </c>
      <c r="EG234">
        <f>IF(ISBLANK('Data Entry'!$É$234), "", 'Data Entry'!$É$234)</f>
      </c>
      <c r="EH234">
        <f>IF(ISBLANK('Data Entry'!$Ê$234), "", 'Data Entry'!$Ê$234)</f>
      </c>
      <c r="EI234">
        <f>IF(ISBLANK('Data Entry'!$Ë$234), "", 'Data Entry'!$Ë$234)</f>
      </c>
      <c r="EJ234">
        <f>IF(ISBLANK('Data Entry'!$Ì$234), "", 'Data Entry'!$Ì$234)</f>
      </c>
      <c r="EK234">
        <f>IF(ISBLANK('Data Entry'!$Í$234), "", 'Data Entry'!$Í$234)</f>
      </c>
      <c r="EL234">
        <f>IF(ISBLANK('Data Entry'!$Î$234), "", 'Data Entry'!$Î$234)</f>
      </c>
      <c r="EM234">
        <f>IF(ISBLANK('Data Entry'!$Ï$234), "", 'Data Entry'!$Ï$234)</f>
      </c>
      <c r="EN234">
        <f>IF(ISBLANK('Data Entry'!$Ð$234), "", 'Data Entry'!$Ð$234)</f>
      </c>
      <c r="EO234">
        <f>IF(ISBLANK('Data Entry'!$Ñ$234), "", 'Data Entry'!$Ñ$234)</f>
      </c>
      <c r="EP234">
        <f>IF(ISBLANK('Data Entry'!$Ò$234), "", 'Data Entry'!$Ò$234)</f>
      </c>
      <c r="EQ234">
        <f>IF(ISBLANK('Data Entry'!$Ó$234), "", 'Data Entry'!$Ó$234)</f>
      </c>
      <c r="ER234">
        <f>IF(ISBLANK('Data Entry'!$Ô$234), "", 'Data Entry'!$Ô$234)</f>
      </c>
      <c r="ES234">
        <f>IF(ISBLANK('Data Entry'!$Õ$234), "", 'Data Entry'!$Õ$234)</f>
      </c>
      <c r="ET234">
        <f>IF(ISBLANK('Data Entry'!$Ö$234), "", 'Data Entry'!$Ö$234)</f>
      </c>
      <c r="EU234">
        <f>IF(ISBLANK('Data Entry'!$×$234), "", 'Data Entry'!$×$234)</f>
      </c>
      <c r="EV234">
        <f>IF(ISBLANK('Data Entry'!$Ø$234), "", 'Data Entry'!$Ø$234)</f>
      </c>
      <c r="EW234">
        <f>IF(ISBLANK('Data Entry'!$Ù$234), "", 'Data Entry'!$Ù$234)</f>
      </c>
      <c r="EX234">
        <f>IF(ISBLANK('Data Entry'!$Ú$234), "", 'Data Entry'!$Ú$234)</f>
      </c>
      <c r="EY234">
        <f>IF(ISBLANK('Data Entry'!$Û$234), "", 'Data Entry'!$Û$234)</f>
      </c>
      <c r="EZ234">
        <f>IF(ISBLANK('Data Entry'!$Ü$234), "", 'Data Entry'!$Ü$234)</f>
      </c>
      <c r="FA234">
        <f>IF(ISBLANK('Data Entry'!$Ý$234), "", 'Data Entry'!$Ý$234)</f>
      </c>
      <c r="FB234">
        <f>IF(ISBLANK('Data Entry'!$Þ$234), "", 'Data Entry'!$Þ$234)</f>
      </c>
      <c r="FC234">
        <f>IF(ISBLANK('Data Entry'!$ß$234), "", 'Data Entry'!$ß$234)</f>
      </c>
      <c r="FD234">
        <f>IF(ISBLANK('Data Entry'!$à$234), "", 'Data Entry'!$à$234)</f>
      </c>
      <c r="FE234">
        <f>IF(ISBLANK('Data Entry'!$á$234), "", 'Data Entry'!$á$234)</f>
      </c>
      <c r="FF234">
        <f>IF(ISBLANK('Data Entry'!$â$234), "", 'Data Entry'!$â$234)</f>
      </c>
      <c r="FG234">
        <f>IF(ISBLANK('Data Entry'!$ã$234), "", 'Data Entry'!$ã$234)</f>
      </c>
      <c r="FH234">
        <f>IF(ISBLANK('Data Entry'!$ä$234), "", 'Data Entry'!$ä$234)</f>
      </c>
      <c r="FI234">
        <f>IF(ISBLANK('Data Entry'!$å$234), "", 'Data Entry'!$å$234)</f>
      </c>
      <c r="FJ234">
        <f>IF(ISBLANK('Data Entry'!$æ$234), "", 'Data Entry'!$æ$234)</f>
      </c>
      <c r="FK234">
        <f>IF(ISBLANK('Data Entry'!$ç$234), "", 'Data Entry'!$ç$234)</f>
      </c>
      <c r="FL234">
        <f>IF(ISBLANK('Data Entry'!$è$234), "", 'Data Entry'!$è$234)</f>
      </c>
      <c r="FM234">
        <f>IF(ISBLANK('Data Entry'!$é$234), "", 'Data Entry'!$é$234)</f>
      </c>
      <c r="FN234">
        <f>IF(ISBLANK('Data Entry'!$ê$234), "", 'Data Entry'!$ê$234)</f>
      </c>
      <c r="FO234">
        <f>IF(ISBLANK('Data Entry'!$ë$234), "", 'Data Entry'!$ë$234)</f>
      </c>
      <c r="FP234">
        <f>IF(ISBLANK('Data Entry'!$ì$234), "", 'Data Entry'!$ì$234)</f>
      </c>
      <c r="FQ234">
        <f>IF(ISBLANK('Data Entry'!$í$234), "", 'Data Entry'!$í$234)</f>
      </c>
      <c r="FR234">
        <f>IF(ISBLANK('Data Entry'!$î$234), "", 'Data Entry'!$î$234)</f>
      </c>
      <c r="FS234">
        <f>IF(ISBLANK('Data Entry'!$ï$234), "", 'Data Entry'!$ï$234)</f>
      </c>
      <c r="FT234">
        <f>IF(ISBLANK('Data Entry'!$ð$234), "", 'Data Entry'!$ð$234)</f>
      </c>
      <c r="FU234">
        <f>IF(ISBLANK('Data Entry'!$ñ$234), "", 'Data Entry'!$ñ$234)</f>
      </c>
      <c r="FV234">
        <f>IF(ISBLANK('Data Entry'!$ò$234), "", 'Data Entry'!$ò$234)</f>
      </c>
      <c r="FW234">
        <f>IF(ISBLANK('Data Entry'!$ó$234), "", 'Data Entry'!$ó$234)</f>
      </c>
      <c r="FX234">
        <f>IF(ISBLANK('Data Entry'!$ô$234), "", 'Data Entry'!$ô$234)</f>
      </c>
      <c r="FY234">
        <f>IF(ISBLANK('Data Entry'!$õ$234), "", 'Data Entry'!$õ$234)</f>
      </c>
      <c r="FZ234">
        <f>IF(ISBLANK('Data Entry'!$ö$234), "", 'Data Entry'!$ö$234)</f>
      </c>
      <c r="GA234">
        <f>IF(ISBLANK('Data Entry'!$÷$234), "", 'Data Entry'!$÷$234)</f>
      </c>
      <c r="GB234">
        <f>IF(ISBLANK('Data Entry'!$ø$234), "", 'Data Entry'!$ø$234)</f>
      </c>
      <c r="GC234">
        <f>IF(ISBLANK('Data Entry'!$ù$234), "", 'Data Entry'!$ù$234)</f>
      </c>
      <c r="GD234">
        <f>IF(ISBLANK('Data Entry'!$ú$234), "", 'Data Entry'!$ú$234)</f>
      </c>
      <c r="GE234">
        <f>IF(ISBLANK('Data Entry'!$û$234), "", 'Data Entry'!$û$234)</f>
      </c>
      <c r="GF234">
        <f>IF(ISBLANK('Data Entry'!$ü$234), "", 'Data Entry'!$ü$234)</f>
      </c>
      <c r="GG234">
        <f>IF(ISBLANK('Data Entry'!$ý$234), "", 'Data Entry'!$ý$234)</f>
      </c>
      <c r="GH234">
        <f>IF(ISBLANK('Data Entry'!$þ$234), "", 'Data Entry'!$þ$234)</f>
      </c>
      <c r="GI234">
        <f>IF(ISBLANK('Data Entry'!$ÿ$234), "", 'Data Entry'!$ÿ$234)</f>
      </c>
      <c r="GJ234">
        <f>IF(ISBLANK('Data Entry'!$Ā$234), "", 'Data Entry'!$Ā$234)</f>
      </c>
      <c r="GK234">
        <f>IF(ISBLANK('Data Entry'!$ā$234), "", 'Data Entry'!$ā$234)</f>
      </c>
      <c r="GL234">
        <f>IF(ISBLANK('Data Entry'!$Ă$234), "", 'Data Entry'!$Ă$234)</f>
      </c>
      <c r="GM234">
        <f>IF(ISBLANK('Data Entry'!$ă$234), "", 'Data Entry'!$ă$234)</f>
      </c>
      <c r="GN234">
        <f>IF(ISBLANK('Data Entry'!$Ą$234), "", 'Data Entry'!$Ą$234)</f>
      </c>
      <c r="GO234">
        <f>IF(ISBLANK('Data Entry'!$ą$234), "", 'Data Entry'!$ą$234)</f>
      </c>
      <c r="GP234">
        <f>IF(ISBLANK('Data Entry'!$Ć$234), "", 'Data Entry'!$Ć$234)</f>
      </c>
      <c r="GQ234">
        <f>IF(ISBLANK('Data Entry'!$ć$234), "", 'Data Entry'!$ć$234)</f>
      </c>
      <c r="GR234">
        <f>IF(ISBLANK('Data Entry'!$Ĉ$234), "", 'Data Entry'!$Ĉ$234)</f>
      </c>
      <c r="GS234">
        <f>IF(ISBLANK('Data Entry'!$ĉ$234), "", 'Data Entry'!$ĉ$234)</f>
      </c>
      <c r="GT234">
        <f>IF(ISBLANK('Data Entry'!$Ċ$234), "", 'Data Entry'!$Ċ$234)</f>
      </c>
      <c r="GU234">
        <f>IF(ISBLANK('Data Entry'!$ċ$234), "", 'Data Entry'!$ċ$234)</f>
      </c>
      <c r="GV234">
        <f>IF(ISBLANK('Data Entry'!$Č$234), "", 'Data Entry'!$Č$234)</f>
      </c>
      <c r="GW234">
        <f>IF(ISBLANK('Data Entry'!$č$234), "", 'Data Entry'!$č$234)</f>
      </c>
      <c r="GX234">
        <f>IF(ISBLANK('Data Entry'!$Ď$234), "", 'Data Entry'!$Ď$234)</f>
      </c>
      <c r="GY234">
        <f>IF(ISBLANK('Data Entry'!$ď$234), "", 'Data Entry'!$ď$234)</f>
      </c>
      <c r="GZ234">
        <f>IF(ISBLANK('Data Entry'!$Đ$234), "", 'Data Entry'!$Đ$234)</f>
      </c>
      <c r="HA234">
        <f>IF(ISBLANK('Data Entry'!$đ$234), "", 'Data Entry'!$đ$234)</f>
      </c>
      <c r="HB234">
        <f>IF(ISBLANK('Data Entry'!$Ē$234), "", 'Data Entry'!$Ē$234)</f>
      </c>
      <c r="HC234">
        <f>IF(ISBLANK('Data Entry'!$ē$234), "", 'Data Entry'!$ē$234)</f>
      </c>
      <c r="HD234">
        <f>IF(ISBLANK('Data Entry'!$Ĕ$234), "", 'Data Entry'!$Ĕ$234)</f>
      </c>
      <c r="HE234">
        <f>IF(ISBLANK('Data Entry'!$ĕ$234), "", 'Data Entry'!$ĕ$234)</f>
      </c>
      <c r="HF234">
        <f>IF(ISBLANK('Data Entry'!$Ė$234), "", 'Data Entry'!$Ė$234)</f>
      </c>
      <c r="HG234">
        <f>IF(ISBLANK('Data Entry'!$ė$234), "", 'Data Entry'!$ė$234)</f>
      </c>
      <c r="HH234">
        <f>IF(ISBLANK('Data Entry'!$Ę$234), "", 'Data Entry'!$Ę$234)</f>
      </c>
      <c r="HI234">
        <f>IF(ISBLANK('Data Entry'!$ę$234), "", 'Data Entry'!$ę$234)</f>
      </c>
      <c r="HJ234">
        <f>IF(ISBLANK('Data Entry'!$Ě$234), "", 'Data Entry'!$Ě$234)</f>
      </c>
      <c r="HK234">
        <f>IF(ISBLANK('Data Entry'!$ě$234), "", 'Data Entry'!$ě$234)</f>
      </c>
      <c r="HL234">
        <f>IF(ISBLANK('Data Entry'!$Ĝ$234), "", 'Data Entry'!$Ĝ$234)</f>
      </c>
      <c r="HM234">
        <f>IF(ISBLANK('Data Entry'!$ĝ$234), "", 'Data Entry'!$ĝ$234)</f>
      </c>
      <c r="HN234">
        <f>IF(ISBLANK('Data Entry'!$Ğ$234), "", 'Data Entry'!$Ğ$234)</f>
      </c>
      <c r="HO234">
        <f>IF(ISBLANK('Data Entry'!$ğ$234), "", 'Data Entry'!$ğ$234)</f>
      </c>
      <c r="HP234">
        <f>IF(ISBLANK('Data Entry'!$Ġ$234), "", 'Data Entry'!$Ġ$234)</f>
      </c>
      <c r="HQ234">
        <f>IF(ISBLANK('Data Entry'!$ġ$234), "", 'Data Entry'!$ġ$234)</f>
      </c>
      <c r="HR234">
        <f>IF(ISBLANK('Data Entry'!$Ģ$234), "", 'Data Entry'!$Ģ$234)</f>
      </c>
      <c r="HS234">
        <f>IF(ISBLANK('Data Entry'!$ģ$234), "", 'Data Entry'!$ģ$234)</f>
      </c>
      <c r="HT234">
        <f>IF(ISBLANK('Data Entry'!$Ĥ$234), "", 'Data Entry'!$Ĥ$234)</f>
      </c>
      <c r="HU234">
        <f>IF(ISBLANK('Data Entry'!$ĥ$234), "", 'Data Entry'!$ĥ$234)</f>
      </c>
      <c r="HV234">
        <f>IF(ISBLANK('Data Entry'!$Ħ$234), "", 'Data Entry'!$Ħ$234)</f>
      </c>
      <c r="HW234">
        <f>IF(ISBLANK('Data Entry'!$ħ$234), "", 'Data Entry'!$ħ$234)</f>
      </c>
      <c r="HX234">
        <f>IF(ISBLANK('Data Entry'!$Ĩ$234), "", 'Data Entry'!$Ĩ$234)</f>
      </c>
      <c r="HY234">
        <f>IF(ISBLANK('Data Entry'!$ĩ$234), "", 'Data Entry'!$ĩ$234)</f>
      </c>
      <c r="HZ234">
        <f>IF(ISBLANK('Data Entry'!$Ī$234), "", 'Data Entry'!$Ī$234)</f>
      </c>
      <c r="IA234">
        <f>IF(ISBLANK('Data Entry'!$ī$234), "", 'Data Entry'!$ī$234)</f>
      </c>
      <c r="IB234">
        <f>IF(ISBLANK('Data Entry'!$Ĭ$234), "", 'Data Entry'!$Ĭ$234)</f>
      </c>
      <c r="IC234">
        <f>IF(ISBLANK('Data Entry'!$ĭ$234), "", 'Data Entry'!$ĭ$234)</f>
      </c>
      <c r="ID234">
        <f>IF(ISBLANK('Data Entry'!$Į$234), "", 'Data Entry'!$Į$234)</f>
      </c>
      <c r="IE234">
        <f>IF(ISBLANK('Data Entry'!$į$234), "", 'Data Entry'!$į$234)</f>
      </c>
      <c r="IF234">
        <f>IF(ISBLANK('Data Entry'!$İ$234), "", 'Data Entry'!$İ$234)</f>
      </c>
      <c r="IG234">
        <f>IF(ISBLANK('Data Entry'!$ı$234), "", 'Data Entry'!$ı$234)</f>
      </c>
      <c r="IH234">
        <f>IF(ISBLANK('Data Entry'!$Ĳ$234), "", 'Data Entry'!$Ĳ$234)</f>
      </c>
      <c r="II234">
        <f>IF(ISBLANK('Data Entry'!$ĳ$234), "", 'Data Entry'!$ĳ$234)</f>
      </c>
      <c r="IJ234">
        <f>IF(ISBLANK('Data Entry'!$Ĵ$234), "", 'Data Entry'!$Ĵ$234)</f>
      </c>
      <c r="IK234">
        <f>IF(ISBLANK('Data Entry'!$ĵ$234), "", 'Data Entry'!$ĵ$234)</f>
      </c>
      <c r="IL234">
        <f>IF(ISBLANK('Data Entry'!$Ķ$234), "", 'Data Entry'!$Ķ$234)</f>
      </c>
      <c r="IM234">
        <f>IF(ISBLANK('Data Entry'!$ķ$234), "", 'Data Entry'!$ķ$234)</f>
      </c>
      <c r="IN234">
        <f>IF(ISBLANK('Data Entry'!$ĸ$234), "", 'Data Entry'!$ĸ$234)</f>
      </c>
      <c r="IO234">
        <f>IF(ISBLANK('Data Entry'!$Ĺ$234), "", 'Data Entry'!$Ĺ$234)</f>
      </c>
      <c r="IP234">
        <f>IF(ISBLANK('Data Entry'!$ĺ$234), "", 'Data Entry'!$ĺ$234)</f>
      </c>
      <c r="IQ234">
        <f>IF(ISBLANK('Data Entry'!$Ļ$234), "", 'Data Entry'!$Ļ$234)</f>
      </c>
      <c r="IR234">
        <f>IF(ISBLANK('Data Entry'!$ļ$234), "", 'Data Entry'!$ļ$234)</f>
      </c>
      <c r="IS234">
        <f>IF(ISBLANK('Data Entry'!$Ľ$234), "", 'Data Entry'!$Ľ$234)</f>
      </c>
      <c r="IT234">
        <f>IF(ISBLANK('Data Entry'!$ľ$234), "", 'Data Entry'!$ľ$234)</f>
      </c>
    </row>
    <row r="235" spans="1:254" x14ac:dyDescent="0.25">
      <c r="A235">
        <f>IF(ISBLANK('Data Entry'!$A$235), "", 'Data Entry'!$A$235)</f>
      </c>
      <c r="B235">
        <f>IF(ISBLANK('Data Entry'!$B$235), "", 'Data Entry'!$B$235)</f>
      </c>
      <c r="C235">
        <f>IF(ISBLANK('Data Entry'!$C$235), "", 'Data Entry'!$C$235)</f>
      </c>
      <c r="D235">
        <f>IF(ISBLANK('Data Entry'!$D$235), "", 'Data Entry'!$D$235)</f>
      </c>
      <c r="E235">
        <f>IF(ISBLANK('Data Entry'!$E$235), "", 'Data Entry'!$E$235)</f>
      </c>
      <c r="F235">
        <f>IF(ISBLANK('Data Entry'!$F$235), "", 'Data Entry'!$F$235)</f>
      </c>
      <c r="G235">
        <f>IF(ISBLANK('Data Entry'!$G$235), "", 'Data Entry'!$G$235)</f>
      </c>
      <c r="H235">
        <f>IF(ISBLANK('Data Entry'!$H$235), "", 'Data Entry'!$H$235)</f>
      </c>
      <c r="I235">
        <f>IF(ISBLANK('Data Entry'!$I$235), "", 'Data Entry'!$I$235)</f>
      </c>
      <c r="J235">
        <f>IF(ISBLANK('Data Entry'!$J$235), "", 'Data Entry'!$J$235)</f>
      </c>
      <c r="K235">
        <f>IF(ISBLANK('Data Entry'!$K$235), "", 'Data Entry'!$K$235)</f>
      </c>
      <c r="L235">
        <f>IF(ISBLANK('Data Entry'!$L$235), "", 'Data Entry'!$L$235)</f>
      </c>
      <c r="M235">
        <f>IF(ISBLANK('Data Entry'!$M$235), "", 'Data Entry'!$M$235)</f>
      </c>
      <c r="N235">
        <f>IF(ISBLANK('Data Entry'!$N$235), "", 'Data Entry'!$N$235)</f>
      </c>
      <c r="O235">
        <f>IF(ISBLANK('Data Entry'!$O$235), "", 'Data Entry'!$O$235)</f>
      </c>
      <c r="P235">
        <f>IF(ISBLANK('Data Entry'!$P$235), "", 'Data Entry'!$P$235)</f>
      </c>
      <c r="Q235">
        <f>IF(ISBLANK('Data Entry'!$Q$235), "", 'Data Entry'!$Q$235)</f>
      </c>
      <c r="R235">
        <f>IF(ISBLANK('Data Entry'!$R$235), "", 'Data Entry'!$R$235)</f>
      </c>
      <c r="S235">
        <f>IF(ISBLANK('Data Entry'!$S$235), "", 'Data Entry'!$S$235)</f>
      </c>
      <c r="T235">
        <f>IF(ISBLANK('Data Entry'!$T$235), "", 'Data Entry'!$T$235)</f>
      </c>
      <c r="U235">
        <f>IF(ISBLANK('Data Entry'!$U$235), "", 'Data Entry'!$U$235)</f>
      </c>
      <c r="V235">
        <f>IF(ISBLANK('Data Entry'!$V$235), "", 'Data Entry'!$V$235)</f>
      </c>
      <c r="W235">
        <f>IF(ISBLANK('Data Entry'!$W$235), "", 'Data Entry'!$W$235)</f>
      </c>
      <c r="X235">
        <f>IF(ISBLANK('Data Entry'!$X$235), "", 'Data Entry'!$X$235)</f>
      </c>
      <c r="Y235">
        <f>IF(ISBLANK('Data Entry'!$Y$235), "", 'Data Entry'!$Y$235)</f>
      </c>
      <c r="Z235">
        <f>IF(ISBLANK('Data Entry'!$Z$235), "", 'Data Entry'!$Z$235)</f>
      </c>
      <c r="AA235">
        <f>IF(ISBLANK('Data Entry'!$[$235), "", 'Data Entry'!$[$235)</f>
      </c>
      <c r="AB235">
        <f>IF(ISBLANK('Data Entry'!$\$235), "", 'Data Entry'!$\$235)</f>
      </c>
      <c r="AC235">
        <f>IF(ISBLANK('Data Entry'!$]$235), "", 'Data Entry'!$]$235)</f>
      </c>
      <c r="AD235">
        <f>IF(ISBLANK('Data Entry'!$^$235), "", 'Data Entry'!$^$235)</f>
      </c>
      <c r="AE235">
        <f>IF(ISBLANK('Data Entry'!$_$235), "", 'Data Entry'!$_$235)</f>
      </c>
      <c r="AF235">
        <f>IF(ISBLANK('Data Entry'!$`$235), "", 'Data Entry'!$`$235)</f>
      </c>
      <c r="AG235">
        <f>IF(ISBLANK('Data Entry'!$a$235), "", 'Data Entry'!$a$235)</f>
      </c>
      <c r="AH235">
        <f>IF(ISBLANK('Data Entry'!$b$235), "", 'Data Entry'!$b$235)</f>
      </c>
      <c r="AI235">
        <f>IF(ISBLANK('Data Entry'!$c$235), "", 'Data Entry'!$c$235)</f>
      </c>
      <c r="AJ235">
        <f>IF(ISBLANK('Data Entry'!$d$235), "", 'Data Entry'!$d$235)</f>
      </c>
      <c r="AK235">
        <f>IF(ISBLANK('Data Entry'!$e$235), "", 'Data Entry'!$e$235)</f>
      </c>
      <c r="AL235">
        <f>IF(ISBLANK('Data Entry'!$f$235), "", 'Data Entry'!$f$235)</f>
      </c>
      <c r="AM235">
        <f>IF(ISBLANK('Data Entry'!$g$235), "", 'Data Entry'!$g$235)</f>
      </c>
      <c r="AN235">
        <f>IF(ISBLANK('Data Entry'!$h$235), "", 'Data Entry'!$h$235)</f>
      </c>
      <c r="AO235">
        <f>IF(ISBLANK('Data Entry'!$i$235), "", 'Data Entry'!$i$235)</f>
      </c>
      <c r="AP235">
        <f>IF(ISBLANK('Data Entry'!$j$235), "", 'Data Entry'!$j$235)</f>
      </c>
      <c r="AQ235">
        <f>IF(ISBLANK('Data Entry'!$k$235), "", 'Data Entry'!$k$235)</f>
      </c>
      <c r="AR235">
        <f>IF(ISBLANK('Data Entry'!$l$235), "", 'Data Entry'!$l$235)</f>
      </c>
      <c r="AS235">
        <f>IF(ISBLANK('Data Entry'!$m$235), "", 'Data Entry'!$m$235)</f>
      </c>
      <c r="AT235">
        <f>IF(ISBLANK('Data Entry'!$n$235), "", 'Data Entry'!$n$235)</f>
      </c>
      <c r="AU235">
        <f>IF(ISBLANK('Data Entry'!$o$235), "", 'Data Entry'!$o$235)</f>
      </c>
      <c r="AV235">
        <f>IF(ISBLANK('Data Entry'!$p$235), "", 'Data Entry'!$p$235)</f>
      </c>
      <c r="AW235">
        <f>IF(ISBLANK('Data Entry'!$q$235), "", 'Data Entry'!$q$235)</f>
      </c>
      <c r="AX235">
        <f>IF(ISBLANK('Data Entry'!$r$235), "", 'Data Entry'!$r$235)</f>
      </c>
      <c r="AY235">
        <f>IF(ISBLANK('Data Entry'!$s$235), "", 'Data Entry'!$s$235)</f>
      </c>
      <c r="AZ235">
        <f>IF(ISBLANK('Data Entry'!$t$235), "", 'Data Entry'!$t$235)</f>
      </c>
      <c r="BA235">
        <f>IF(ISBLANK('Data Entry'!$u$235), "", 'Data Entry'!$u$235)</f>
      </c>
      <c r="BB235">
        <f>IF(ISBLANK('Data Entry'!$v$235), "", 'Data Entry'!$v$235)</f>
      </c>
      <c r="BC235">
        <f>IF(ISBLANK('Data Entry'!$w$235), "", 'Data Entry'!$w$235)</f>
      </c>
      <c r="BD235">
        <f>IF(ISBLANK('Data Entry'!$x$235), "", 'Data Entry'!$x$235)</f>
      </c>
      <c r="BE235">
        <f>IF(ISBLANK('Data Entry'!$y$235), "", 'Data Entry'!$y$235)</f>
      </c>
      <c r="BF235">
        <f>IF(ISBLANK('Data Entry'!$z$235), "", 'Data Entry'!$z$235)</f>
      </c>
      <c r="BG235">
        <f>IF(ISBLANK('Data Entry'!${$235), "", 'Data Entry'!${$235)</f>
      </c>
      <c r="BH235">
        <f>IF(ISBLANK('Data Entry'!$|$235), "", 'Data Entry'!$|$235)</f>
      </c>
      <c r="BI235">
        <f>IF(ISBLANK('Data Entry'!$}$235), "", 'Data Entry'!$}$235)</f>
      </c>
      <c r="BJ235">
        <f>IF(ISBLANK('Data Entry'!$~$235), "", 'Data Entry'!$~$235)</f>
      </c>
      <c r="BK235">
        <f>IF(ISBLANK('Data Entry'!$$235), "", 'Data Entry'!$$235)</f>
      </c>
      <c r="BL235">
        <f>IF(ISBLANK('Data Entry'!$$235), "", 'Data Entry'!$$235)</f>
      </c>
      <c r="BM235">
        <f>IF(ISBLANK('Data Entry'!$$235), "", 'Data Entry'!$$235)</f>
      </c>
      <c r="BN235">
        <f>IF(ISBLANK('Data Entry'!$$235), "", 'Data Entry'!$$235)</f>
      </c>
      <c r="BO235">
        <f>IF(ISBLANK('Data Entry'!$$235), "", 'Data Entry'!$$235)</f>
      </c>
      <c r="BP235">
        <f>IF(ISBLANK('Data Entry'!$$235), "", 'Data Entry'!$$235)</f>
      </c>
      <c r="BQ235">
        <f>IF(ISBLANK('Data Entry'!$$235), "", 'Data Entry'!$$235)</f>
      </c>
      <c r="BR235">
        <f>IF(ISBLANK('Data Entry'!$$235), "", 'Data Entry'!$$235)</f>
      </c>
      <c r="BS235">
        <f>IF(ISBLANK('Data Entry'!$$235), "", 'Data Entry'!$$235)</f>
      </c>
      <c r="BT235">
        <f>IF(ISBLANK('Data Entry'!$$235), "", 'Data Entry'!$$235)</f>
      </c>
      <c r="BU235">
        <f>IF(ISBLANK('Data Entry'!$$235), "", 'Data Entry'!$$235)</f>
      </c>
      <c r="BV235">
        <f>IF(ISBLANK('Data Entry'!$$235), "", 'Data Entry'!$$235)</f>
      </c>
      <c r="BW235">
        <f>IF(ISBLANK('Data Entry'!$$235), "", 'Data Entry'!$$235)</f>
      </c>
      <c r="BX235">
        <f>IF(ISBLANK('Data Entry'!$$235), "", 'Data Entry'!$$235)</f>
      </c>
      <c r="BY235">
        <f>IF(ISBLANK('Data Entry'!$$235), "", 'Data Entry'!$$235)</f>
      </c>
      <c r="BZ235">
        <f>IF(ISBLANK('Data Entry'!$$235), "", 'Data Entry'!$$235)</f>
      </c>
      <c r="CA235">
        <f>IF(ISBLANK('Data Entry'!$$235), "", 'Data Entry'!$$235)</f>
      </c>
      <c r="CB235">
        <f>IF(ISBLANK('Data Entry'!$$235), "", 'Data Entry'!$$235)</f>
      </c>
      <c r="CC235">
        <f>IF(ISBLANK('Data Entry'!$$235), "", 'Data Entry'!$$235)</f>
      </c>
      <c r="CD235">
        <f>IF(ISBLANK('Data Entry'!$$235), "", 'Data Entry'!$$235)</f>
      </c>
      <c r="CE235">
        <f>IF(ISBLANK('Data Entry'!$$235), "", 'Data Entry'!$$235)</f>
      </c>
      <c r="CF235">
        <f>IF(ISBLANK('Data Entry'!$$235), "", 'Data Entry'!$$235)</f>
      </c>
      <c r="CG235">
        <f>IF(ISBLANK('Data Entry'!$$235), "", 'Data Entry'!$$235)</f>
      </c>
      <c r="CH235">
        <f>IF(ISBLANK('Data Entry'!$$235), "", 'Data Entry'!$$235)</f>
      </c>
      <c r="CI235">
        <f>IF(ISBLANK('Data Entry'!$$235), "", 'Data Entry'!$$235)</f>
      </c>
      <c r="CJ235">
        <f>IF(ISBLANK('Data Entry'!$$235), "", 'Data Entry'!$$235)</f>
      </c>
      <c r="CK235">
        <f>IF(ISBLANK('Data Entry'!$$235), "", 'Data Entry'!$$235)</f>
      </c>
      <c r="CL235">
        <f>IF(ISBLANK('Data Entry'!$$235), "", 'Data Entry'!$$235)</f>
      </c>
      <c r="CM235">
        <f>IF(ISBLANK('Data Entry'!$$235), "", 'Data Entry'!$$235)</f>
      </c>
      <c r="CN235">
        <f>IF(ISBLANK('Data Entry'!$$235), "", 'Data Entry'!$$235)</f>
      </c>
      <c r="CO235">
        <f>IF(ISBLANK('Data Entry'!$$235), "", 'Data Entry'!$$235)</f>
      </c>
      <c r="CP235">
        <f>IF(ISBLANK('Data Entry'!$$235), "", 'Data Entry'!$$235)</f>
      </c>
      <c r="CQ235">
        <f>IF(ISBLANK('Data Entry'!$$235), "", 'Data Entry'!$$235)</f>
      </c>
      <c r="CR235">
        <f>IF(ISBLANK('Data Entry'!$ $235), "", 'Data Entry'!$ $235)</f>
      </c>
      <c r="CS235">
        <f>IF(ISBLANK('Data Entry'!$¡$235), "", 'Data Entry'!$¡$235)</f>
      </c>
      <c r="CT235">
        <f>IF(ISBLANK('Data Entry'!$¢$235), "", 'Data Entry'!$¢$235)</f>
      </c>
      <c r="CU235">
        <f>IF(ISBLANK('Data Entry'!$£$235), "", 'Data Entry'!$£$235)</f>
      </c>
      <c r="CV235">
        <f>IF(ISBLANK('Data Entry'!$¤$235), "", 'Data Entry'!$¤$235)</f>
      </c>
      <c r="CW235">
        <f>IF(ISBLANK('Data Entry'!$¥$235), "", 'Data Entry'!$¥$235)</f>
      </c>
      <c r="CX235">
        <f>IF(ISBLANK('Data Entry'!$¦$235), "", 'Data Entry'!$¦$235)</f>
      </c>
      <c r="CY235">
        <f>IF(ISBLANK('Data Entry'!$§$235), "", 'Data Entry'!$§$235)</f>
      </c>
      <c r="CZ235">
        <f>IF(ISBLANK('Data Entry'!$¨$235), "", 'Data Entry'!$¨$235)</f>
      </c>
      <c r="DA235">
        <f>IF(ISBLANK('Data Entry'!$©$235), "", 'Data Entry'!$©$235)</f>
      </c>
      <c r="DB235">
        <f>IF(ISBLANK('Data Entry'!$ª$235), "", 'Data Entry'!$ª$235)</f>
      </c>
      <c r="DC235">
        <f>IF(ISBLANK('Data Entry'!$«$235), "", 'Data Entry'!$«$235)</f>
      </c>
      <c r="DD235">
        <f>IF(ISBLANK('Data Entry'!$¬$235), "", 'Data Entry'!$¬$235)</f>
      </c>
      <c r="DE235">
        <f>IF(ISBLANK('Data Entry'!$­$235), "", 'Data Entry'!$­$235)</f>
      </c>
      <c r="DF235">
        <f>IF(ISBLANK('Data Entry'!$®$235), "", 'Data Entry'!$®$235)</f>
      </c>
      <c r="DG235">
        <f>IF(ISBLANK('Data Entry'!$¯$235), "", 'Data Entry'!$¯$235)</f>
      </c>
      <c r="DH235">
        <f>IF(ISBLANK('Data Entry'!$°$235), "", 'Data Entry'!$°$235)</f>
      </c>
      <c r="DI235">
        <f>IF(ISBLANK('Data Entry'!$±$235), "", 'Data Entry'!$±$235)</f>
      </c>
      <c r="DJ235">
        <f>IF(ISBLANK('Data Entry'!$²$235), "", 'Data Entry'!$²$235)</f>
      </c>
      <c r="DK235">
        <f>IF(ISBLANK('Data Entry'!$³$235), "", 'Data Entry'!$³$235)</f>
      </c>
      <c r="DL235">
        <f>IF(ISBLANK('Data Entry'!$´$235), "", 'Data Entry'!$´$235)</f>
      </c>
      <c r="DM235">
        <f>IF(ISBLANK('Data Entry'!$µ$235), "", 'Data Entry'!$µ$235)</f>
      </c>
      <c r="DN235">
        <f>IF(ISBLANK('Data Entry'!$¶$235), "", 'Data Entry'!$¶$235)</f>
      </c>
      <c r="DO235">
        <f>IF(ISBLANK('Data Entry'!$·$235), "", 'Data Entry'!$·$235)</f>
      </c>
      <c r="DP235">
        <f>IF(ISBLANK('Data Entry'!$¸$235), "", 'Data Entry'!$¸$235)</f>
      </c>
      <c r="DQ235">
        <f>IF(ISBLANK('Data Entry'!$¹$235), "", 'Data Entry'!$¹$235)</f>
      </c>
      <c r="DR235">
        <f>IF(ISBLANK('Data Entry'!$º$235), "", 'Data Entry'!$º$235)</f>
      </c>
      <c r="DS235">
        <f>IF(ISBLANK('Data Entry'!$»$235), "", 'Data Entry'!$»$235)</f>
      </c>
      <c r="DT235">
        <f>IF(ISBLANK('Data Entry'!$¼$235), "", 'Data Entry'!$¼$235)</f>
      </c>
      <c r="DU235">
        <f>IF(ISBLANK('Data Entry'!$½$235), "", 'Data Entry'!$½$235)</f>
      </c>
      <c r="DV235">
        <f>IF(ISBLANK('Data Entry'!$¾$235), "", 'Data Entry'!$¾$235)</f>
      </c>
      <c r="DW235">
        <f>IF(ISBLANK('Data Entry'!$¿$235), "", 'Data Entry'!$¿$235)</f>
      </c>
      <c r="DX235">
        <f>IF(ISBLANK('Data Entry'!$À$235), "", 'Data Entry'!$À$235)</f>
      </c>
      <c r="DY235">
        <f>IF(ISBLANK('Data Entry'!$Á$235), "", 'Data Entry'!$Á$235)</f>
      </c>
      <c r="DZ235">
        <f>IF(ISBLANK('Data Entry'!$Â$235), "", 'Data Entry'!$Â$235)</f>
      </c>
      <c r="EA235">
        <f>IF(ISBLANK('Data Entry'!$Ã$235), "", 'Data Entry'!$Ã$235)</f>
      </c>
      <c r="EB235">
        <f>IF(ISBLANK('Data Entry'!$Ä$235), "", 'Data Entry'!$Ä$235)</f>
      </c>
      <c r="EC235">
        <f>IF(ISBLANK('Data Entry'!$Å$235), "", 'Data Entry'!$Å$235)</f>
      </c>
      <c r="ED235">
        <f>IF(ISBLANK('Data Entry'!$Æ$235), "", 'Data Entry'!$Æ$235)</f>
      </c>
      <c r="EE235">
        <f>IF(ISBLANK('Data Entry'!$Ç$235), "", 'Data Entry'!$Ç$235)</f>
      </c>
      <c r="EF235">
        <f>IF(ISBLANK('Data Entry'!$È$235), "", 'Data Entry'!$È$235)</f>
      </c>
      <c r="EG235">
        <f>IF(ISBLANK('Data Entry'!$É$235), "", 'Data Entry'!$É$235)</f>
      </c>
      <c r="EH235">
        <f>IF(ISBLANK('Data Entry'!$Ê$235), "", 'Data Entry'!$Ê$235)</f>
      </c>
      <c r="EI235">
        <f>IF(ISBLANK('Data Entry'!$Ë$235), "", 'Data Entry'!$Ë$235)</f>
      </c>
      <c r="EJ235">
        <f>IF(ISBLANK('Data Entry'!$Ì$235), "", 'Data Entry'!$Ì$235)</f>
      </c>
      <c r="EK235">
        <f>IF(ISBLANK('Data Entry'!$Í$235), "", 'Data Entry'!$Í$235)</f>
      </c>
      <c r="EL235">
        <f>IF(ISBLANK('Data Entry'!$Î$235), "", 'Data Entry'!$Î$235)</f>
      </c>
      <c r="EM235">
        <f>IF(ISBLANK('Data Entry'!$Ï$235), "", 'Data Entry'!$Ï$235)</f>
      </c>
      <c r="EN235">
        <f>IF(ISBLANK('Data Entry'!$Ð$235), "", 'Data Entry'!$Ð$235)</f>
      </c>
      <c r="EO235">
        <f>IF(ISBLANK('Data Entry'!$Ñ$235), "", 'Data Entry'!$Ñ$235)</f>
      </c>
      <c r="EP235">
        <f>IF(ISBLANK('Data Entry'!$Ò$235), "", 'Data Entry'!$Ò$235)</f>
      </c>
      <c r="EQ235">
        <f>IF(ISBLANK('Data Entry'!$Ó$235), "", 'Data Entry'!$Ó$235)</f>
      </c>
      <c r="ER235">
        <f>IF(ISBLANK('Data Entry'!$Ô$235), "", 'Data Entry'!$Ô$235)</f>
      </c>
      <c r="ES235">
        <f>IF(ISBLANK('Data Entry'!$Õ$235), "", 'Data Entry'!$Õ$235)</f>
      </c>
      <c r="ET235">
        <f>IF(ISBLANK('Data Entry'!$Ö$235), "", 'Data Entry'!$Ö$235)</f>
      </c>
      <c r="EU235">
        <f>IF(ISBLANK('Data Entry'!$×$235), "", 'Data Entry'!$×$235)</f>
      </c>
      <c r="EV235">
        <f>IF(ISBLANK('Data Entry'!$Ø$235), "", 'Data Entry'!$Ø$235)</f>
      </c>
      <c r="EW235">
        <f>IF(ISBLANK('Data Entry'!$Ù$235), "", 'Data Entry'!$Ù$235)</f>
      </c>
      <c r="EX235">
        <f>IF(ISBLANK('Data Entry'!$Ú$235), "", 'Data Entry'!$Ú$235)</f>
      </c>
      <c r="EY235">
        <f>IF(ISBLANK('Data Entry'!$Û$235), "", 'Data Entry'!$Û$235)</f>
      </c>
      <c r="EZ235">
        <f>IF(ISBLANK('Data Entry'!$Ü$235), "", 'Data Entry'!$Ü$235)</f>
      </c>
      <c r="FA235">
        <f>IF(ISBLANK('Data Entry'!$Ý$235), "", 'Data Entry'!$Ý$235)</f>
      </c>
      <c r="FB235">
        <f>IF(ISBLANK('Data Entry'!$Þ$235), "", 'Data Entry'!$Þ$235)</f>
      </c>
      <c r="FC235">
        <f>IF(ISBLANK('Data Entry'!$ß$235), "", 'Data Entry'!$ß$235)</f>
      </c>
      <c r="FD235">
        <f>IF(ISBLANK('Data Entry'!$à$235), "", 'Data Entry'!$à$235)</f>
      </c>
      <c r="FE235">
        <f>IF(ISBLANK('Data Entry'!$á$235), "", 'Data Entry'!$á$235)</f>
      </c>
      <c r="FF235">
        <f>IF(ISBLANK('Data Entry'!$â$235), "", 'Data Entry'!$â$235)</f>
      </c>
      <c r="FG235">
        <f>IF(ISBLANK('Data Entry'!$ã$235), "", 'Data Entry'!$ã$235)</f>
      </c>
      <c r="FH235">
        <f>IF(ISBLANK('Data Entry'!$ä$235), "", 'Data Entry'!$ä$235)</f>
      </c>
      <c r="FI235">
        <f>IF(ISBLANK('Data Entry'!$å$235), "", 'Data Entry'!$å$235)</f>
      </c>
      <c r="FJ235">
        <f>IF(ISBLANK('Data Entry'!$æ$235), "", 'Data Entry'!$æ$235)</f>
      </c>
      <c r="FK235">
        <f>IF(ISBLANK('Data Entry'!$ç$235), "", 'Data Entry'!$ç$235)</f>
      </c>
      <c r="FL235">
        <f>IF(ISBLANK('Data Entry'!$è$235), "", 'Data Entry'!$è$235)</f>
      </c>
      <c r="FM235">
        <f>IF(ISBLANK('Data Entry'!$é$235), "", 'Data Entry'!$é$235)</f>
      </c>
      <c r="FN235">
        <f>IF(ISBLANK('Data Entry'!$ê$235), "", 'Data Entry'!$ê$235)</f>
      </c>
      <c r="FO235">
        <f>IF(ISBLANK('Data Entry'!$ë$235), "", 'Data Entry'!$ë$235)</f>
      </c>
      <c r="FP235">
        <f>IF(ISBLANK('Data Entry'!$ì$235), "", 'Data Entry'!$ì$235)</f>
      </c>
      <c r="FQ235">
        <f>IF(ISBLANK('Data Entry'!$í$235), "", 'Data Entry'!$í$235)</f>
      </c>
      <c r="FR235">
        <f>IF(ISBLANK('Data Entry'!$î$235), "", 'Data Entry'!$î$235)</f>
      </c>
      <c r="FS235">
        <f>IF(ISBLANK('Data Entry'!$ï$235), "", 'Data Entry'!$ï$235)</f>
      </c>
      <c r="FT235">
        <f>IF(ISBLANK('Data Entry'!$ð$235), "", 'Data Entry'!$ð$235)</f>
      </c>
      <c r="FU235">
        <f>IF(ISBLANK('Data Entry'!$ñ$235), "", 'Data Entry'!$ñ$235)</f>
      </c>
      <c r="FV235">
        <f>IF(ISBLANK('Data Entry'!$ò$235), "", 'Data Entry'!$ò$235)</f>
      </c>
      <c r="FW235">
        <f>IF(ISBLANK('Data Entry'!$ó$235), "", 'Data Entry'!$ó$235)</f>
      </c>
      <c r="FX235">
        <f>IF(ISBLANK('Data Entry'!$ô$235), "", 'Data Entry'!$ô$235)</f>
      </c>
      <c r="FY235">
        <f>IF(ISBLANK('Data Entry'!$õ$235), "", 'Data Entry'!$õ$235)</f>
      </c>
      <c r="FZ235">
        <f>IF(ISBLANK('Data Entry'!$ö$235), "", 'Data Entry'!$ö$235)</f>
      </c>
      <c r="GA235">
        <f>IF(ISBLANK('Data Entry'!$÷$235), "", 'Data Entry'!$÷$235)</f>
      </c>
      <c r="GB235">
        <f>IF(ISBLANK('Data Entry'!$ø$235), "", 'Data Entry'!$ø$235)</f>
      </c>
      <c r="GC235">
        <f>IF(ISBLANK('Data Entry'!$ù$235), "", 'Data Entry'!$ù$235)</f>
      </c>
      <c r="GD235">
        <f>IF(ISBLANK('Data Entry'!$ú$235), "", 'Data Entry'!$ú$235)</f>
      </c>
      <c r="GE235">
        <f>IF(ISBLANK('Data Entry'!$û$235), "", 'Data Entry'!$û$235)</f>
      </c>
      <c r="GF235">
        <f>IF(ISBLANK('Data Entry'!$ü$235), "", 'Data Entry'!$ü$235)</f>
      </c>
      <c r="GG235">
        <f>IF(ISBLANK('Data Entry'!$ý$235), "", 'Data Entry'!$ý$235)</f>
      </c>
      <c r="GH235">
        <f>IF(ISBLANK('Data Entry'!$þ$235), "", 'Data Entry'!$þ$235)</f>
      </c>
      <c r="GI235">
        <f>IF(ISBLANK('Data Entry'!$ÿ$235), "", 'Data Entry'!$ÿ$235)</f>
      </c>
      <c r="GJ235">
        <f>IF(ISBLANK('Data Entry'!$Ā$235), "", 'Data Entry'!$Ā$235)</f>
      </c>
      <c r="GK235">
        <f>IF(ISBLANK('Data Entry'!$ā$235), "", 'Data Entry'!$ā$235)</f>
      </c>
      <c r="GL235">
        <f>IF(ISBLANK('Data Entry'!$Ă$235), "", 'Data Entry'!$Ă$235)</f>
      </c>
      <c r="GM235">
        <f>IF(ISBLANK('Data Entry'!$ă$235), "", 'Data Entry'!$ă$235)</f>
      </c>
      <c r="GN235">
        <f>IF(ISBLANK('Data Entry'!$Ą$235), "", 'Data Entry'!$Ą$235)</f>
      </c>
      <c r="GO235">
        <f>IF(ISBLANK('Data Entry'!$ą$235), "", 'Data Entry'!$ą$235)</f>
      </c>
      <c r="GP235">
        <f>IF(ISBLANK('Data Entry'!$Ć$235), "", 'Data Entry'!$Ć$235)</f>
      </c>
      <c r="GQ235">
        <f>IF(ISBLANK('Data Entry'!$ć$235), "", 'Data Entry'!$ć$235)</f>
      </c>
      <c r="GR235">
        <f>IF(ISBLANK('Data Entry'!$Ĉ$235), "", 'Data Entry'!$Ĉ$235)</f>
      </c>
      <c r="GS235">
        <f>IF(ISBLANK('Data Entry'!$ĉ$235), "", 'Data Entry'!$ĉ$235)</f>
      </c>
      <c r="GT235">
        <f>IF(ISBLANK('Data Entry'!$Ċ$235), "", 'Data Entry'!$Ċ$235)</f>
      </c>
      <c r="GU235">
        <f>IF(ISBLANK('Data Entry'!$ċ$235), "", 'Data Entry'!$ċ$235)</f>
      </c>
      <c r="GV235">
        <f>IF(ISBLANK('Data Entry'!$Č$235), "", 'Data Entry'!$Č$235)</f>
      </c>
      <c r="GW235">
        <f>IF(ISBLANK('Data Entry'!$č$235), "", 'Data Entry'!$č$235)</f>
      </c>
      <c r="GX235">
        <f>IF(ISBLANK('Data Entry'!$Ď$235), "", 'Data Entry'!$Ď$235)</f>
      </c>
      <c r="GY235">
        <f>IF(ISBLANK('Data Entry'!$ď$235), "", 'Data Entry'!$ď$235)</f>
      </c>
      <c r="GZ235">
        <f>IF(ISBLANK('Data Entry'!$Đ$235), "", 'Data Entry'!$Đ$235)</f>
      </c>
      <c r="HA235">
        <f>IF(ISBLANK('Data Entry'!$đ$235), "", 'Data Entry'!$đ$235)</f>
      </c>
      <c r="HB235">
        <f>IF(ISBLANK('Data Entry'!$Ē$235), "", 'Data Entry'!$Ē$235)</f>
      </c>
      <c r="HC235">
        <f>IF(ISBLANK('Data Entry'!$ē$235), "", 'Data Entry'!$ē$235)</f>
      </c>
      <c r="HD235">
        <f>IF(ISBLANK('Data Entry'!$Ĕ$235), "", 'Data Entry'!$Ĕ$235)</f>
      </c>
      <c r="HE235">
        <f>IF(ISBLANK('Data Entry'!$ĕ$235), "", 'Data Entry'!$ĕ$235)</f>
      </c>
      <c r="HF235">
        <f>IF(ISBLANK('Data Entry'!$Ė$235), "", 'Data Entry'!$Ė$235)</f>
      </c>
      <c r="HG235">
        <f>IF(ISBLANK('Data Entry'!$ė$235), "", 'Data Entry'!$ė$235)</f>
      </c>
      <c r="HH235">
        <f>IF(ISBLANK('Data Entry'!$Ę$235), "", 'Data Entry'!$Ę$235)</f>
      </c>
      <c r="HI235">
        <f>IF(ISBLANK('Data Entry'!$ę$235), "", 'Data Entry'!$ę$235)</f>
      </c>
      <c r="HJ235">
        <f>IF(ISBLANK('Data Entry'!$Ě$235), "", 'Data Entry'!$Ě$235)</f>
      </c>
      <c r="HK235">
        <f>IF(ISBLANK('Data Entry'!$ě$235), "", 'Data Entry'!$ě$235)</f>
      </c>
      <c r="HL235">
        <f>IF(ISBLANK('Data Entry'!$Ĝ$235), "", 'Data Entry'!$Ĝ$235)</f>
      </c>
      <c r="HM235">
        <f>IF(ISBLANK('Data Entry'!$ĝ$235), "", 'Data Entry'!$ĝ$235)</f>
      </c>
      <c r="HN235">
        <f>IF(ISBLANK('Data Entry'!$Ğ$235), "", 'Data Entry'!$Ğ$235)</f>
      </c>
      <c r="HO235">
        <f>IF(ISBLANK('Data Entry'!$ğ$235), "", 'Data Entry'!$ğ$235)</f>
      </c>
      <c r="HP235">
        <f>IF(ISBLANK('Data Entry'!$Ġ$235), "", 'Data Entry'!$Ġ$235)</f>
      </c>
      <c r="HQ235">
        <f>IF(ISBLANK('Data Entry'!$ġ$235), "", 'Data Entry'!$ġ$235)</f>
      </c>
      <c r="HR235">
        <f>IF(ISBLANK('Data Entry'!$Ģ$235), "", 'Data Entry'!$Ģ$235)</f>
      </c>
      <c r="HS235">
        <f>IF(ISBLANK('Data Entry'!$ģ$235), "", 'Data Entry'!$ģ$235)</f>
      </c>
      <c r="HT235">
        <f>IF(ISBLANK('Data Entry'!$Ĥ$235), "", 'Data Entry'!$Ĥ$235)</f>
      </c>
      <c r="HU235">
        <f>IF(ISBLANK('Data Entry'!$ĥ$235), "", 'Data Entry'!$ĥ$235)</f>
      </c>
      <c r="HV235">
        <f>IF(ISBLANK('Data Entry'!$Ħ$235), "", 'Data Entry'!$Ħ$235)</f>
      </c>
      <c r="HW235">
        <f>IF(ISBLANK('Data Entry'!$ħ$235), "", 'Data Entry'!$ħ$235)</f>
      </c>
      <c r="HX235">
        <f>IF(ISBLANK('Data Entry'!$Ĩ$235), "", 'Data Entry'!$Ĩ$235)</f>
      </c>
      <c r="HY235">
        <f>IF(ISBLANK('Data Entry'!$ĩ$235), "", 'Data Entry'!$ĩ$235)</f>
      </c>
      <c r="HZ235">
        <f>IF(ISBLANK('Data Entry'!$Ī$235), "", 'Data Entry'!$Ī$235)</f>
      </c>
      <c r="IA235">
        <f>IF(ISBLANK('Data Entry'!$ī$235), "", 'Data Entry'!$ī$235)</f>
      </c>
      <c r="IB235">
        <f>IF(ISBLANK('Data Entry'!$Ĭ$235), "", 'Data Entry'!$Ĭ$235)</f>
      </c>
      <c r="IC235">
        <f>IF(ISBLANK('Data Entry'!$ĭ$235), "", 'Data Entry'!$ĭ$235)</f>
      </c>
      <c r="ID235">
        <f>IF(ISBLANK('Data Entry'!$Į$235), "", 'Data Entry'!$Į$235)</f>
      </c>
      <c r="IE235">
        <f>IF(ISBLANK('Data Entry'!$į$235), "", 'Data Entry'!$į$235)</f>
      </c>
      <c r="IF235">
        <f>IF(ISBLANK('Data Entry'!$İ$235), "", 'Data Entry'!$İ$235)</f>
      </c>
      <c r="IG235">
        <f>IF(ISBLANK('Data Entry'!$ı$235), "", 'Data Entry'!$ı$235)</f>
      </c>
      <c r="IH235">
        <f>IF(ISBLANK('Data Entry'!$Ĳ$235), "", 'Data Entry'!$Ĳ$235)</f>
      </c>
      <c r="II235">
        <f>IF(ISBLANK('Data Entry'!$ĳ$235), "", 'Data Entry'!$ĳ$235)</f>
      </c>
      <c r="IJ235">
        <f>IF(ISBLANK('Data Entry'!$Ĵ$235), "", 'Data Entry'!$Ĵ$235)</f>
      </c>
      <c r="IK235">
        <f>IF(ISBLANK('Data Entry'!$ĵ$235), "", 'Data Entry'!$ĵ$235)</f>
      </c>
      <c r="IL235">
        <f>IF(ISBLANK('Data Entry'!$Ķ$235), "", 'Data Entry'!$Ķ$235)</f>
      </c>
      <c r="IM235">
        <f>IF(ISBLANK('Data Entry'!$ķ$235), "", 'Data Entry'!$ķ$235)</f>
      </c>
      <c r="IN235">
        <f>IF(ISBLANK('Data Entry'!$ĸ$235), "", 'Data Entry'!$ĸ$235)</f>
      </c>
      <c r="IO235">
        <f>IF(ISBLANK('Data Entry'!$Ĺ$235), "", 'Data Entry'!$Ĺ$235)</f>
      </c>
      <c r="IP235">
        <f>IF(ISBLANK('Data Entry'!$ĺ$235), "", 'Data Entry'!$ĺ$235)</f>
      </c>
      <c r="IQ235">
        <f>IF(ISBLANK('Data Entry'!$Ļ$235), "", 'Data Entry'!$Ļ$235)</f>
      </c>
      <c r="IR235">
        <f>IF(ISBLANK('Data Entry'!$ļ$235), "", 'Data Entry'!$ļ$235)</f>
      </c>
      <c r="IS235">
        <f>IF(ISBLANK('Data Entry'!$Ľ$235), "", 'Data Entry'!$Ľ$235)</f>
      </c>
      <c r="IT235">
        <f>IF(ISBLANK('Data Entry'!$ľ$235), "", 'Data Entry'!$ľ$235)</f>
      </c>
    </row>
    <row r="236" spans="1:254" x14ac:dyDescent="0.25">
      <c r="A236">
        <f>IF(ISBLANK('Data Entry'!$A$236), "", 'Data Entry'!$A$236)</f>
      </c>
      <c r="B236">
        <f>IF(ISBLANK('Data Entry'!$B$236), "", 'Data Entry'!$B$236)</f>
      </c>
      <c r="C236">
        <f>IF(ISBLANK('Data Entry'!$C$236), "", 'Data Entry'!$C$236)</f>
      </c>
      <c r="D236">
        <f>IF(ISBLANK('Data Entry'!$D$236), "", 'Data Entry'!$D$236)</f>
      </c>
      <c r="E236">
        <f>IF(ISBLANK('Data Entry'!$E$236), "", 'Data Entry'!$E$236)</f>
      </c>
      <c r="F236">
        <f>IF(ISBLANK('Data Entry'!$F$236), "", 'Data Entry'!$F$236)</f>
      </c>
      <c r="G236">
        <f>IF(ISBLANK('Data Entry'!$G$236), "", 'Data Entry'!$G$236)</f>
      </c>
      <c r="H236">
        <f>IF(ISBLANK('Data Entry'!$H$236), "", 'Data Entry'!$H$236)</f>
      </c>
      <c r="I236">
        <f>IF(ISBLANK('Data Entry'!$I$236), "", 'Data Entry'!$I$236)</f>
      </c>
      <c r="J236">
        <f>IF(ISBLANK('Data Entry'!$J$236), "", 'Data Entry'!$J$236)</f>
      </c>
      <c r="K236">
        <f>IF(ISBLANK('Data Entry'!$K$236), "", 'Data Entry'!$K$236)</f>
      </c>
      <c r="L236">
        <f>IF(ISBLANK('Data Entry'!$L$236), "", 'Data Entry'!$L$236)</f>
      </c>
      <c r="M236">
        <f>IF(ISBLANK('Data Entry'!$M$236), "", 'Data Entry'!$M$236)</f>
      </c>
      <c r="N236">
        <f>IF(ISBLANK('Data Entry'!$N$236), "", 'Data Entry'!$N$236)</f>
      </c>
      <c r="O236">
        <f>IF(ISBLANK('Data Entry'!$O$236), "", 'Data Entry'!$O$236)</f>
      </c>
      <c r="P236">
        <f>IF(ISBLANK('Data Entry'!$P$236), "", 'Data Entry'!$P$236)</f>
      </c>
      <c r="Q236">
        <f>IF(ISBLANK('Data Entry'!$Q$236), "", 'Data Entry'!$Q$236)</f>
      </c>
      <c r="R236">
        <f>IF(ISBLANK('Data Entry'!$R$236), "", 'Data Entry'!$R$236)</f>
      </c>
      <c r="S236">
        <f>IF(ISBLANK('Data Entry'!$S$236), "", 'Data Entry'!$S$236)</f>
      </c>
      <c r="T236">
        <f>IF(ISBLANK('Data Entry'!$T$236), "", 'Data Entry'!$T$236)</f>
      </c>
      <c r="U236">
        <f>IF(ISBLANK('Data Entry'!$U$236), "", 'Data Entry'!$U$236)</f>
      </c>
      <c r="V236">
        <f>IF(ISBLANK('Data Entry'!$V$236), "", 'Data Entry'!$V$236)</f>
      </c>
      <c r="W236">
        <f>IF(ISBLANK('Data Entry'!$W$236), "", 'Data Entry'!$W$236)</f>
      </c>
      <c r="X236">
        <f>IF(ISBLANK('Data Entry'!$X$236), "", 'Data Entry'!$X$236)</f>
      </c>
      <c r="Y236">
        <f>IF(ISBLANK('Data Entry'!$Y$236), "", 'Data Entry'!$Y$236)</f>
      </c>
      <c r="Z236">
        <f>IF(ISBLANK('Data Entry'!$Z$236), "", 'Data Entry'!$Z$236)</f>
      </c>
      <c r="AA236">
        <f>IF(ISBLANK('Data Entry'!$[$236), "", 'Data Entry'!$[$236)</f>
      </c>
      <c r="AB236">
        <f>IF(ISBLANK('Data Entry'!$\$236), "", 'Data Entry'!$\$236)</f>
      </c>
      <c r="AC236">
        <f>IF(ISBLANK('Data Entry'!$]$236), "", 'Data Entry'!$]$236)</f>
      </c>
      <c r="AD236">
        <f>IF(ISBLANK('Data Entry'!$^$236), "", 'Data Entry'!$^$236)</f>
      </c>
      <c r="AE236">
        <f>IF(ISBLANK('Data Entry'!$_$236), "", 'Data Entry'!$_$236)</f>
      </c>
      <c r="AF236">
        <f>IF(ISBLANK('Data Entry'!$`$236), "", 'Data Entry'!$`$236)</f>
      </c>
      <c r="AG236">
        <f>IF(ISBLANK('Data Entry'!$a$236), "", 'Data Entry'!$a$236)</f>
      </c>
      <c r="AH236">
        <f>IF(ISBLANK('Data Entry'!$b$236), "", 'Data Entry'!$b$236)</f>
      </c>
      <c r="AI236">
        <f>IF(ISBLANK('Data Entry'!$c$236), "", 'Data Entry'!$c$236)</f>
      </c>
      <c r="AJ236">
        <f>IF(ISBLANK('Data Entry'!$d$236), "", 'Data Entry'!$d$236)</f>
      </c>
      <c r="AK236">
        <f>IF(ISBLANK('Data Entry'!$e$236), "", 'Data Entry'!$e$236)</f>
      </c>
      <c r="AL236">
        <f>IF(ISBLANK('Data Entry'!$f$236), "", 'Data Entry'!$f$236)</f>
      </c>
      <c r="AM236">
        <f>IF(ISBLANK('Data Entry'!$g$236), "", 'Data Entry'!$g$236)</f>
      </c>
      <c r="AN236">
        <f>IF(ISBLANK('Data Entry'!$h$236), "", 'Data Entry'!$h$236)</f>
      </c>
      <c r="AO236">
        <f>IF(ISBLANK('Data Entry'!$i$236), "", 'Data Entry'!$i$236)</f>
      </c>
      <c r="AP236">
        <f>IF(ISBLANK('Data Entry'!$j$236), "", 'Data Entry'!$j$236)</f>
      </c>
      <c r="AQ236">
        <f>IF(ISBLANK('Data Entry'!$k$236), "", 'Data Entry'!$k$236)</f>
      </c>
      <c r="AR236">
        <f>IF(ISBLANK('Data Entry'!$l$236), "", 'Data Entry'!$l$236)</f>
      </c>
      <c r="AS236">
        <f>IF(ISBLANK('Data Entry'!$m$236), "", 'Data Entry'!$m$236)</f>
      </c>
      <c r="AT236">
        <f>IF(ISBLANK('Data Entry'!$n$236), "", 'Data Entry'!$n$236)</f>
      </c>
      <c r="AU236">
        <f>IF(ISBLANK('Data Entry'!$o$236), "", 'Data Entry'!$o$236)</f>
      </c>
      <c r="AV236">
        <f>IF(ISBLANK('Data Entry'!$p$236), "", 'Data Entry'!$p$236)</f>
      </c>
      <c r="AW236">
        <f>IF(ISBLANK('Data Entry'!$q$236), "", 'Data Entry'!$q$236)</f>
      </c>
      <c r="AX236">
        <f>IF(ISBLANK('Data Entry'!$r$236), "", 'Data Entry'!$r$236)</f>
      </c>
      <c r="AY236">
        <f>IF(ISBLANK('Data Entry'!$s$236), "", 'Data Entry'!$s$236)</f>
      </c>
      <c r="AZ236">
        <f>IF(ISBLANK('Data Entry'!$t$236), "", 'Data Entry'!$t$236)</f>
      </c>
      <c r="BA236">
        <f>IF(ISBLANK('Data Entry'!$u$236), "", 'Data Entry'!$u$236)</f>
      </c>
      <c r="BB236">
        <f>IF(ISBLANK('Data Entry'!$v$236), "", 'Data Entry'!$v$236)</f>
      </c>
      <c r="BC236">
        <f>IF(ISBLANK('Data Entry'!$w$236), "", 'Data Entry'!$w$236)</f>
      </c>
      <c r="BD236">
        <f>IF(ISBLANK('Data Entry'!$x$236), "", 'Data Entry'!$x$236)</f>
      </c>
      <c r="BE236">
        <f>IF(ISBLANK('Data Entry'!$y$236), "", 'Data Entry'!$y$236)</f>
      </c>
      <c r="BF236">
        <f>IF(ISBLANK('Data Entry'!$z$236), "", 'Data Entry'!$z$236)</f>
      </c>
      <c r="BG236">
        <f>IF(ISBLANK('Data Entry'!${$236), "", 'Data Entry'!${$236)</f>
      </c>
      <c r="BH236">
        <f>IF(ISBLANK('Data Entry'!$|$236), "", 'Data Entry'!$|$236)</f>
      </c>
      <c r="BI236">
        <f>IF(ISBLANK('Data Entry'!$}$236), "", 'Data Entry'!$}$236)</f>
      </c>
      <c r="BJ236">
        <f>IF(ISBLANK('Data Entry'!$~$236), "", 'Data Entry'!$~$236)</f>
      </c>
      <c r="BK236">
        <f>IF(ISBLANK('Data Entry'!$$236), "", 'Data Entry'!$$236)</f>
      </c>
      <c r="BL236">
        <f>IF(ISBLANK('Data Entry'!$$236), "", 'Data Entry'!$$236)</f>
      </c>
      <c r="BM236">
        <f>IF(ISBLANK('Data Entry'!$$236), "", 'Data Entry'!$$236)</f>
      </c>
      <c r="BN236">
        <f>IF(ISBLANK('Data Entry'!$$236), "", 'Data Entry'!$$236)</f>
      </c>
      <c r="BO236">
        <f>IF(ISBLANK('Data Entry'!$$236), "", 'Data Entry'!$$236)</f>
      </c>
      <c r="BP236">
        <f>IF(ISBLANK('Data Entry'!$$236), "", 'Data Entry'!$$236)</f>
      </c>
      <c r="BQ236">
        <f>IF(ISBLANK('Data Entry'!$$236), "", 'Data Entry'!$$236)</f>
      </c>
      <c r="BR236">
        <f>IF(ISBLANK('Data Entry'!$$236), "", 'Data Entry'!$$236)</f>
      </c>
      <c r="BS236">
        <f>IF(ISBLANK('Data Entry'!$$236), "", 'Data Entry'!$$236)</f>
      </c>
      <c r="BT236">
        <f>IF(ISBLANK('Data Entry'!$$236), "", 'Data Entry'!$$236)</f>
      </c>
      <c r="BU236">
        <f>IF(ISBLANK('Data Entry'!$$236), "", 'Data Entry'!$$236)</f>
      </c>
      <c r="BV236">
        <f>IF(ISBLANK('Data Entry'!$$236), "", 'Data Entry'!$$236)</f>
      </c>
      <c r="BW236">
        <f>IF(ISBLANK('Data Entry'!$$236), "", 'Data Entry'!$$236)</f>
      </c>
      <c r="BX236">
        <f>IF(ISBLANK('Data Entry'!$$236), "", 'Data Entry'!$$236)</f>
      </c>
      <c r="BY236">
        <f>IF(ISBLANK('Data Entry'!$$236), "", 'Data Entry'!$$236)</f>
      </c>
      <c r="BZ236">
        <f>IF(ISBLANK('Data Entry'!$$236), "", 'Data Entry'!$$236)</f>
      </c>
      <c r="CA236">
        <f>IF(ISBLANK('Data Entry'!$$236), "", 'Data Entry'!$$236)</f>
      </c>
      <c r="CB236">
        <f>IF(ISBLANK('Data Entry'!$$236), "", 'Data Entry'!$$236)</f>
      </c>
      <c r="CC236">
        <f>IF(ISBLANK('Data Entry'!$$236), "", 'Data Entry'!$$236)</f>
      </c>
      <c r="CD236">
        <f>IF(ISBLANK('Data Entry'!$$236), "", 'Data Entry'!$$236)</f>
      </c>
      <c r="CE236">
        <f>IF(ISBLANK('Data Entry'!$$236), "", 'Data Entry'!$$236)</f>
      </c>
      <c r="CF236">
        <f>IF(ISBLANK('Data Entry'!$$236), "", 'Data Entry'!$$236)</f>
      </c>
      <c r="CG236">
        <f>IF(ISBLANK('Data Entry'!$$236), "", 'Data Entry'!$$236)</f>
      </c>
      <c r="CH236">
        <f>IF(ISBLANK('Data Entry'!$$236), "", 'Data Entry'!$$236)</f>
      </c>
      <c r="CI236">
        <f>IF(ISBLANK('Data Entry'!$$236), "", 'Data Entry'!$$236)</f>
      </c>
      <c r="CJ236">
        <f>IF(ISBLANK('Data Entry'!$$236), "", 'Data Entry'!$$236)</f>
      </c>
      <c r="CK236">
        <f>IF(ISBLANK('Data Entry'!$$236), "", 'Data Entry'!$$236)</f>
      </c>
      <c r="CL236">
        <f>IF(ISBLANK('Data Entry'!$$236), "", 'Data Entry'!$$236)</f>
      </c>
      <c r="CM236">
        <f>IF(ISBLANK('Data Entry'!$$236), "", 'Data Entry'!$$236)</f>
      </c>
      <c r="CN236">
        <f>IF(ISBLANK('Data Entry'!$$236), "", 'Data Entry'!$$236)</f>
      </c>
      <c r="CO236">
        <f>IF(ISBLANK('Data Entry'!$$236), "", 'Data Entry'!$$236)</f>
      </c>
      <c r="CP236">
        <f>IF(ISBLANK('Data Entry'!$$236), "", 'Data Entry'!$$236)</f>
      </c>
      <c r="CQ236">
        <f>IF(ISBLANK('Data Entry'!$$236), "", 'Data Entry'!$$236)</f>
      </c>
      <c r="CR236">
        <f>IF(ISBLANK('Data Entry'!$ $236), "", 'Data Entry'!$ $236)</f>
      </c>
      <c r="CS236">
        <f>IF(ISBLANK('Data Entry'!$¡$236), "", 'Data Entry'!$¡$236)</f>
      </c>
      <c r="CT236">
        <f>IF(ISBLANK('Data Entry'!$¢$236), "", 'Data Entry'!$¢$236)</f>
      </c>
      <c r="CU236">
        <f>IF(ISBLANK('Data Entry'!$£$236), "", 'Data Entry'!$£$236)</f>
      </c>
      <c r="CV236">
        <f>IF(ISBLANK('Data Entry'!$¤$236), "", 'Data Entry'!$¤$236)</f>
      </c>
      <c r="CW236">
        <f>IF(ISBLANK('Data Entry'!$¥$236), "", 'Data Entry'!$¥$236)</f>
      </c>
      <c r="CX236">
        <f>IF(ISBLANK('Data Entry'!$¦$236), "", 'Data Entry'!$¦$236)</f>
      </c>
      <c r="CY236">
        <f>IF(ISBLANK('Data Entry'!$§$236), "", 'Data Entry'!$§$236)</f>
      </c>
      <c r="CZ236">
        <f>IF(ISBLANK('Data Entry'!$¨$236), "", 'Data Entry'!$¨$236)</f>
      </c>
      <c r="DA236">
        <f>IF(ISBLANK('Data Entry'!$©$236), "", 'Data Entry'!$©$236)</f>
      </c>
      <c r="DB236">
        <f>IF(ISBLANK('Data Entry'!$ª$236), "", 'Data Entry'!$ª$236)</f>
      </c>
      <c r="DC236">
        <f>IF(ISBLANK('Data Entry'!$«$236), "", 'Data Entry'!$«$236)</f>
      </c>
      <c r="DD236">
        <f>IF(ISBLANK('Data Entry'!$¬$236), "", 'Data Entry'!$¬$236)</f>
      </c>
      <c r="DE236">
        <f>IF(ISBLANK('Data Entry'!$­$236), "", 'Data Entry'!$­$236)</f>
      </c>
      <c r="DF236">
        <f>IF(ISBLANK('Data Entry'!$®$236), "", 'Data Entry'!$®$236)</f>
      </c>
      <c r="DG236">
        <f>IF(ISBLANK('Data Entry'!$¯$236), "", 'Data Entry'!$¯$236)</f>
      </c>
      <c r="DH236">
        <f>IF(ISBLANK('Data Entry'!$°$236), "", 'Data Entry'!$°$236)</f>
      </c>
      <c r="DI236">
        <f>IF(ISBLANK('Data Entry'!$±$236), "", 'Data Entry'!$±$236)</f>
      </c>
      <c r="DJ236">
        <f>IF(ISBLANK('Data Entry'!$²$236), "", 'Data Entry'!$²$236)</f>
      </c>
      <c r="DK236">
        <f>IF(ISBLANK('Data Entry'!$³$236), "", 'Data Entry'!$³$236)</f>
      </c>
      <c r="DL236">
        <f>IF(ISBLANK('Data Entry'!$´$236), "", 'Data Entry'!$´$236)</f>
      </c>
      <c r="DM236">
        <f>IF(ISBLANK('Data Entry'!$µ$236), "", 'Data Entry'!$µ$236)</f>
      </c>
      <c r="DN236">
        <f>IF(ISBLANK('Data Entry'!$¶$236), "", 'Data Entry'!$¶$236)</f>
      </c>
      <c r="DO236">
        <f>IF(ISBLANK('Data Entry'!$·$236), "", 'Data Entry'!$·$236)</f>
      </c>
      <c r="DP236">
        <f>IF(ISBLANK('Data Entry'!$¸$236), "", 'Data Entry'!$¸$236)</f>
      </c>
      <c r="DQ236">
        <f>IF(ISBLANK('Data Entry'!$¹$236), "", 'Data Entry'!$¹$236)</f>
      </c>
      <c r="DR236">
        <f>IF(ISBLANK('Data Entry'!$º$236), "", 'Data Entry'!$º$236)</f>
      </c>
      <c r="DS236">
        <f>IF(ISBLANK('Data Entry'!$»$236), "", 'Data Entry'!$»$236)</f>
      </c>
      <c r="DT236">
        <f>IF(ISBLANK('Data Entry'!$¼$236), "", 'Data Entry'!$¼$236)</f>
      </c>
      <c r="DU236">
        <f>IF(ISBLANK('Data Entry'!$½$236), "", 'Data Entry'!$½$236)</f>
      </c>
      <c r="DV236">
        <f>IF(ISBLANK('Data Entry'!$¾$236), "", 'Data Entry'!$¾$236)</f>
      </c>
      <c r="DW236">
        <f>IF(ISBLANK('Data Entry'!$¿$236), "", 'Data Entry'!$¿$236)</f>
      </c>
      <c r="DX236">
        <f>IF(ISBLANK('Data Entry'!$À$236), "", 'Data Entry'!$À$236)</f>
      </c>
      <c r="DY236">
        <f>IF(ISBLANK('Data Entry'!$Á$236), "", 'Data Entry'!$Á$236)</f>
      </c>
      <c r="DZ236">
        <f>IF(ISBLANK('Data Entry'!$Â$236), "", 'Data Entry'!$Â$236)</f>
      </c>
      <c r="EA236">
        <f>IF(ISBLANK('Data Entry'!$Ã$236), "", 'Data Entry'!$Ã$236)</f>
      </c>
      <c r="EB236">
        <f>IF(ISBLANK('Data Entry'!$Ä$236), "", 'Data Entry'!$Ä$236)</f>
      </c>
      <c r="EC236">
        <f>IF(ISBLANK('Data Entry'!$Å$236), "", 'Data Entry'!$Å$236)</f>
      </c>
      <c r="ED236">
        <f>IF(ISBLANK('Data Entry'!$Æ$236), "", 'Data Entry'!$Æ$236)</f>
      </c>
      <c r="EE236">
        <f>IF(ISBLANK('Data Entry'!$Ç$236), "", 'Data Entry'!$Ç$236)</f>
      </c>
      <c r="EF236">
        <f>IF(ISBLANK('Data Entry'!$È$236), "", 'Data Entry'!$È$236)</f>
      </c>
      <c r="EG236">
        <f>IF(ISBLANK('Data Entry'!$É$236), "", 'Data Entry'!$É$236)</f>
      </c>
      <c r="EH236">
        <f>IF(ISBLANK('Data Entry'!$Ê$236), "", 'Data Entry'!$Ê$236)</f>
      </c>
      <c r="EI236">
        <f>IF(ISBLANK('Data Entry'!$Ë$236), "", 'Data Entry'!$Ë$236)</f>
      </c>
      <c r="EJ236">
        <f>IF(ISBLANK('Data Entry'!$Ì$236), "", 'Data Entry'!$Ì$236)</f>
      </c>
      <c r="EK236">
        <f>IF(ISBLANK('Data Entry'!$Í$236), "", 'Data Entry'!$Í$236)</f>
      </c>
      <c r="EL236">
        <f>IF(ISBLANK('Data Entry'!$Î$236), "", 'Data Entry'!$Î$236)</f>
      </c>
      <c r="EM236">
        <f>IF(ISBLANK('Data Entry'!$Ï$236), "", 'Data Entry'!$Ï$236)</f>
      </c>
      <c r="EN236">
        <f>IF(ISBLANK('Data Entry'!$Ð$236), "", 'Data Entry'!$Ð$236)</f>
      </c>
      <c r="EO236">
        <f>IF(ISBLANK('Data Entry'!$Ñ$236), "", 'Data Entry'!$Ñ$236)</f>
      </c>
      <c r="EP236">
        <f>IF(ISBLANK('Data Entry'!$Ò$236), "", 'Data Entry'!$Ò$236)</f>
      </c>
      <c r="EQ236">
        <f>IF(ISBLANK('Data Entry'!$Ó$236), "", 'Data Entry'!$Ó$236)</f>
      </c>
      <c r="ER236">
        <f>IF(ISBLANK('Data Entry'!$Ô$236), "", 'Data Entry'!$Ô$236)</f>
      </c>
      <c r="ES236">
        <f>IF(ISBLANK('Data Entry'!$Õ$236), "", 'Data Entry'!$Õ$236)</f>
      </c>
      <c r="ET236">
        <f>IF(ISBLANK('Data Entry'!$Ö$236), "", 'Data Entry'!$Ö$236)</f>
      </c>
      <c r="EU236">
        <f>IF(ISBLANK('Data Entry'!$×$236), "", 'Data Entry'!$×$236)</f>
      </c>
      <c r="EV236">
        <f>IF(ISBLANK('Data Entry'!$Ø$236), "", 'Data Entry'!$Ø$236)</f>
      </c>
      <c r="EW236">
        <f>IF(ISBLANK('Data Entry'!$Ù$236), "", 'Data Entry'!$Ù$236)</f>
      </c>
      <c r="EX236">
        <f>IF(ISBLANK('Data Entry'!$Ú$236), "", 'Data Entry'!$Ú$236)</f>
      </c>
      <c r="EY236">
        <f>IF(ISBLANK('Data Entry'!$Û$236), "", 'Data Entry'!$Û$236)</f>
      </c>
      <c r="EZ236">
        <f>IF(ISBLANK('Data Entry'!$Ü$236), "", 'Data Entry'!$Ü$236)</f>
      </c>
      <c r="FA236">
        <f>IF(ISBLANK('Data Entry'!$Ý$236), "", 'Data Entry'!$Ý$236)</f>
      </c>
      <c r="FB236">
        <f>IF(ISBLANK('Data Entry'!$Þ$236), "", 'Data Entry'!$Þ$236)</f>
      </c>
      <c r="FC236">
        <f>IF(ISBLANK('Data Entry'!$ß$236), "", 'Data Entry'!$ß$236)</f>
      </c>
      <c r="FD236">
        <f>IF(ISBLANK('Data Entry'!$à$236), "", 'Data Entry'!$à$236)</f>
      </c>
      <c r="FE236">
        <f>IF(ISBLANK('Data Entry'!$á$236), "", 'Data Entry'!$á$236)</f>
      </c>
      <c r="FF236">
        <f>IF(ISBLANK('Data Entry'!$â$236), "", 'Data Entry'!$â$236)</f>
      </c>
      <c r="FG236">
        <f>IF(ISBLANK('Data Entry'!$ã$236), "", 'Data Entry'!$ã$236)</f>
      </c>
      <c r="FH236">
        <f>IF(ISBLANK('Data Entry'!$ä$236), "", 'Data Entry'!$ä$236)</f>
      </c>
      <c r="FI236">
        <f>IF(ISBLANK('Data Entry'!$å$236), "", 'Data Entry'!$å$236)</f>
      </c>
      <c r="FJ236">
        <f>IF(ISBLANK('Data Entry'!$æ$236), "", 'Data Entry'!$æ$236)</f>
      </c>
      <c r="FK236">
        <f>IF(ISBLANK('Data Entry'!$ç$236), "", 'Data Entry'!$ç$236)</f>
      </c>
      <c r="FL236">
        <f>IF(ISBLANK('Data Entry'!$è$236), "", 'Data Entry'!$è$236)</f>
      </c>
      <c r="FM236">
        <f>IF(ISBLANK('Data Entry'!$é$236), "", 'Data Entry'!$é$236)</f>
      </c>
      <c r="FN236">
        <f>IF(ISBLANK('Data Entry'!$ê$236), "", 'Data Entry'!$ê$236)</f>
      </c>
      <c r="FO236">
        <f>IF(ISBLANK('Data Entry'!$ë$236), "", 'Data Entry'!$ë$236)</f>
      </c>
      <c r="FP236">
        <f>IF(ISBLANK('Data Entry'!$ì$236), "", 'Data Entry'!$ì$236)</f>
      </c>
      <c r="FQ236">
        <f>IF(ISBLANK('Data Entry'!$í$236), "", 'Data Entry'!$í$236)</f>
      </c>
      <c r="FR236">
        <f>IF(ISBLANK('Data Entry'!$î$236), "", 'Data Entry'!$î$236)</f>
      </c>
      <c r="FS236">
        <f>IF(ISBLANK('Data Entry'!$ï$236), "", 'Data Entry'!$ï$236)</f>
      </c>
      <c r="FT236">
        <f>IF(ISBLANK('Data Entry'!$ð$236), "", 'Data Entry'!$ð$236)</f>
      </c>
      <c r="FU236">
        <f>IF(ISBLANK('Data Entry'!$ñ$236), "", 'Data Entry'!$ñ$236)</f>
      </c>
      <c r="FV236">
        <f>IF(ISBLANK('Data Entry'!$ò$236), "", 'Data Entry'!$ò$236)</f>
      </c>
      <c r="FW236">
        <f>IF(ISBLANK('Data Entry'!$ó$236), "", 'Data Entry'!$ó$236)</f>
      </c>
      <c r="FX236">
        <f>IF(ISBLANK('Data Entry'!$ô$236), "", 'Data Entry'!$ô$236)</f>
      </c>
      <c r="FY236">
        <f>IF(ISBLANK('Data Entry'!$õ$236), "", 'Data Entry'!$õ$236)</f>
      </c>
      <c r="FZ236">
        <f>IF(ISBLANK('Data Entry'!$ö$236), "", 'Data Entry'!$ö$236)</f>
      </c>
      <c r="GA236">
        <f>IF(ISBLANK('Data Entry'!$÷$236), "", 'Data Entry'!$÷$236)</f>
      </c>
      <c r="GB236">
        <f>IF(ISBLANK('Data Entry'!$ø$236), "", 'Data Entry'!$ø$236)</f>
      </c>
      <c r="GC236">
        <f>IF(ISBLANK('Data Entry'!$ù$236), "", 'Data Entry'!$ù$236)</f>
      </c>
      <c r="GD236">
        <f>IF(ISBLANK('Data Entry'!$ú$236), "", 'Data Entry'!$ú$236)</f>
      </c>
      <c r="GE236">
        <f>IF(ISBLANK('Data Entry'!$û$236), "", 'Data Entry'!$û$236)</f>
      </c>
      <c r="GF236">
        <f>IF(ISBLANK('Data Entry'!$ü$236), "", 'Data Entry'!$ü$236)</f>
      </c>
      <c r="GG236">
        <f>IF(ISBLANK('Data Entry'!$ý$236), "", 'Data Entry'!$ý$236)</f>
      </c>
      <c r="GH236">
        <f>IF(ISBLANK('Data Entry'!$þ$236), "", 'Data Entry'!$þ$236)</f>
      </c>
      <c r="GI236">
        <f>IF(ISBLANK('Data Entry'!$ÿ$236), "", 'Data Entry'!$ÿ$236)</f>
      </c>
      <c r="GJ236">
        <f>IF(ISBLANK('Data Entry'!$Ā$236), "", 'Data Entry'!$Ā$236)</f>
      </c>
      <c r="GK236">
        <f>IF(ISBLANK('Data Entry'!$ā$236), "", 'Data Entry'!$ā$236)</f>
      </c>
      <c r="GL236">
        <f>IF(ISBLANK('Data Entry'!$Ă$236), "", 'Data Entry'!$Ă$236)</f>
      </c>
      <c r="GM236">
        <f>IF(ISBLANK('Data Entry'!$ă$236), "", 'Data Entry'!$ă$236)</f>
      </c>
      <c r="GN236">
        <f>IF(ISBLANK('Data Entry'!$Ą$236), "", 'Data Entry'!$Ą$236)</f>
      </c>
      <c r="GO236">
        <f>IF(ISBLANK('Data Entry'!$ą$236), "", 'Data Entry'!$ą$236)</f>
      </c>
      <c r="GP236">
        <f>IF(ISBLANK('Data Entry'!$Ć$236), "", 'Data Entry'!$Ć$236)</f>
      </c>
      <c r="GQ236">
        <f>IF(ISBLANK('Data Entry'!$ć$236), "", 'Data Entry'!$ć$236)</f>
      </c>
      <c r="GR236">
        <f>IF(ISBLANK('Data Entry'!$Ĉ$236), "", 'Data Entry'!$Ĉ$236)</f>
      </c>
      <c r="GS236">
        <f>IF(ISBLANK('Data Entry'!$ĉ$236), "", 'Data Entry'!$ĉ$236)</f>
      </c>
      <c r="GT236">
        <f>IF(ISBLANK('Data Entry'!$Ċ$236), "", 'Data Entry'!$Ċ$236)</f>
      </c>
      <c r="GU236">
        <f>IF(ISBLANK('Data Entry'!$ċ$236), "", 'Data Entry'!$ċ$236)</f>
      </c>
      <c r="GV236">
        <f>IF(ISBLANK('Data Entry'!$Č$236), "", 'Data Entry'!$Č$236)</f>
      </c>
      <c r="GW236">
        <f>IF(ISBLANK('Data Entry'!$č$236), "", 'Data Entry'!$č$236)</f>
      </c>
      <c r="GX236">
        <f>IF(ISBLANK('Data Entry'!$Ď$236), "", 'Data Entry'!$Ď$236)</f>
      </c>
      <c r="GY236">
        <f>IF(ISBLANK('Data Entry'!$ď$236), "", 'Data Entry'!$ď$236)</f>
      </c>
      <c r="GZ236">
        <f>IF(ISBLANK('Data Entry'!$Đ$236), "", 'Data Entry'!$Đ$236)</f>
      </c>
      <c r="HA236">
        <f>IF(ISBLANK('Data Entry'!$đ$236), "", 'Data Entry'!$đ$236)</f>
      </c>
      <c r="HB236">
        <f>IF(ISBLANK('Data Entry'!$Ē$236), "", 'Data Entry'!$Ē$236)</f>
      </c>
      <c r="HC236">
        <f>IF(ISBLANK('Data Entry'!$ē$236), "", 'Data Entry'!$ē$236)</f>
      </c>
      <c r="HD236">
        <f>IF(ISBLANK('Data Entry'!$Ĕ$236), "", 'Data Entry'!$Ĕ$236)</f>
      </c>
      <c r="HE236">
        <f>IF(ISBLANK('Data Entry'!$ĕ$236), "", 'Data Entry'!$ĕ$236)</f>
      </c>
      <c r="HF236">
        <f>IF(ISBLANK('Data Entry'!$Ė$236), "", 'Data Entry'!$Ė$236)</f>
      </c>
      <c r="HG236">
        <f>IF(ISBLANK('Data Entry'!$ė$236), "", 'Data Entry'!$ė$236)</f>
      </c>
      <c r="HH236">
        <f>IF(ISBLANK('Data Entry'!$Ę$236), "", 'Data Entry'!$Ę$236)</f>
      </c>
      <c r="HI236">
        <f>IF(ISBLANK('Data Entry'!$ę$236), "", 'Data Entry'!$ę$236)</f>
      </c>
      <c r="HJ236">
        <f>IF(ISBLANK('Data Entry'!$Ě$236), "", 'Data Entry'!$Ě$236)</f>
      </c>
      <c r="HK236">
        <f>IF(ISBLANK('Data Entry'!$ě$236), "", 'Data Entry'!$ě$236)</f>
      </c>
      <c r="HL236">
        <f>IF(ISBLANK('Data Entry'!$Ĝ$236), "", 'Data Entry'!$Ĝ$236)</f>
      </c>
      <c r="HM236">
        <f>IF(ISBLANK('Data Entry'!$ĝ$236), "", 'Data Entry'!$ĝ$236)</f>
      </c>
      <c r="HN236">
        <f>IF(ISBLANK('Data Entry'!$Ğ$236), "", 'Data Entry'!$Ğ$236)</f>
      </c>
      <c r="HO236">
        <f>IF(ISBLANK('Data Entry'!$ğ$236), "", 'Data Entry'!$ğ$236)</f>
      </c>
      <c r="HP236">
        <f>IF(ISBLANK('Data Entry'!$Ġ$236), "", 'Data Entry'!$Ġ$236)</f>
      </c>
      <c r="HQ236">
        <f>IF(ISBLANK('Data Entry'!$ġ$236), "", 'Data Entry'!$ġ$236)</f>
      </c>
      <c r="HR236">
        <f>IF(ISBLANK('Data Entry'!$Ģ$236), "", 'Data Entry'!$Ģ$236)</f>
      </c>
      <c r="HS236">
        <f>IF(ISBLANK('Data Entry'!$ģ$236), "", 'Data Entry'!$ģ$236)</f>
      </c>
      <c r="HT236">
        <f>IF(ISBLANK('Data Entry'!$Ĥ$236), "", 'Data Entry'!$Ĥ$236)</f>
      </c>
      <c r="HU236">
        <f>IF(ISBLANK('Data Entry'!$ĥ$236), "", 'Data Entry'!$ĥ$236)</f>
      </c>
      <c r="HV236">
        <f>IF(ISBLANK('Data Entry'!$Ħ$236), "", 'Data Entry'!$Ħ$236)</f>
      </c>
      <c r="HW236">
        <f>IF(ISBLANK('Data Entry'!$ħ$236), "", 'Data Entry'!$ħ$236)</f>
      </c>
      <c r="HX236">
        <f>IF(ISBLANK('Data Entry'!$Ĩ$236), "", 'Data Entry'!$Ĩ$236)</f>
      </c>
      <c r="HY236">
        <f>IF(ISBLANK('Data Entry'!$ĩ$236), "", 'Data Entry'!$ĩ$236)</f>
      </c>
      <c r="HZ236">
        <f>IF(ISBLANK('Data Entry'!$Ī$236), "", 'Data Entry'!$Ī$236)</f>
      </c>
      <c r="IA236">
        <f>IF(ISBLANK('Data Entry'!$ī$236), "", 'Data Entry'!$ī$236)</f>
      </c>
      <c r="IB236">
        <f>IF(ISBLANK('Data Entry'!$Ĭ$236), "", 'Data Entry'!$Ĭ$236)</f>
      </c>
      <c r="IC236">
        <f>IF(ISBLANK('Data Entry'!$ĭ$236), "", 'Data Entry'!$ĭ$236)</f>
      </c>
      <c r="ID236">
        <f>IF(ISBLANK('Data Entry'!$Į$236), "", 'Data Entry'!$Į$236)</f>
      </c>
      <c r="IE236">
        <f>IF(ISBLANK('Data Entry'!$į$236), "", 'Data Entry'!$į$236)</f>
      </c>
      <c r="IF236">
        <f>IF(ISBLANK('Data Entry'!$İ$236), "", 'Data Entry'!$İ$236)</f>
      </c>
      <c r="IG236">
        <f>IF(ISBLANK('Data Entry'!$ı$236), "", 'Data Entry'!$ı$236)</f>
      </c>
      <c r="IH236">
        <f>IF(ISBLANK('Data Entry'!$Ĳ$236), "", 'Data Entry'!$Ĳ$236)</f>
      </c>
      <c r="II236">
        <f>IF(ISBLANK('Data Entry'!$ĳ$236), "", 'Data Entry'!$ĳ$236)</f>
      </c>
      <c r="IJ236">
        <f>IF(ISBLANK('Data Entry'!$Ĵ$236), "", 'Data Entry'!$Ĵ$236)</f>
      </c>
      <c r="IK236">
        <f>IF(ISBLANK('Data Entry'!$ĵ$236), "", 'Data Entry'!$ĵ$236)</f>
      </c>
      <c r="IL236">
        <f>IF(ISBLANK('Data Entry'!$Ķ$236), "", 'Data Entry'!$Ķ$236)</f>
      </c>
      <c r="IM236">
        <f>IF(ISBLANK('Data Entry'!$ķ$236), "", 'Data Entry'!$ķ$236)</f>
      </c>
      <c r="IN236">
        <f>IF(ISBLANK('Data Entry'!$ĸ$236), "", 'Data Entry'!$ĸ$236)</f>
      </c>
      <c r="IO236">
        <f>IF(ISBLANK('Data Entry'!$Ĺ$236), "", 'Data Entry'!$Ĺ$236)</f>
      </c>
      <c r="IP236">
        <f>IF(ISBLANK('Data Entry'!$ĺ$236), "", 'Data Entry'!$ĺ$236)</f>
      </c>
      <c r="IQ236">
        <f>IF(ISBLANK('Data Entry'!$Ļ$236), "", 'Data Entry'!$Ļ$236)</f>
      </c>
      <c r="IR236">
        <f>IF(ISBLANK('Data Entry'!$ļ$236), "", 'Data Entry'!$ļ$236)</f>
      </c>
      <c r="IS236">
        <f>IF(ISBLANK('Data Entry'!$Ľ$236), "", 'Data Entry'!$Ľ$236)</f>
      </c>
      <c r="IT236">
        <f>IF(ISBLANK('Data Entry'!$ľ$236), "", 'Data Entry'!$ľ$236)</f>
      </c>
    </row>
    <row r="237" spans="1:254" x14ac:dyDescent="0.25">
      <c r="A237">
        <f>IF(ISBLANK('Data Entry'!$A$237), "", 'Data Entry'!$A$237)</f>
      </c>
      <c r="B237">
        <f>IF(ISBLANK('Data Entry'!$B$237), "", 'Data Entry'!$B$237)</f>
      </c>
      <c r="C237">
        <f>IF(ISBLANK('Data Entry'!$C$237), "", 'Data Entry'!$C$237)</f>
      </c>
      <c r="D237">
        <f>IF(ISBLANK('Data Entry'!$D$237), "", 'Data Entry'!$D$237)</f>
      </c>
      <c r="E237">
        <f>IF(ISBLANK('Data Entry'!$E$237), "", 'Data Entry'!$E$237)</f>
      </c>
      <c r="F237">
        <f>IF(ISBLANK('Data Entry'!$F$237), "", 'Data Entry'!$F$237)</f>
      </c>
      <c r="G237">
        <f>IF(ISBLANK('Data Entry'!$G$237), "", 'Data Entry'!$G$237)</f>
      </c>
      <c r="H237">
        <f>IF(ISBLANK('Data Entry'!$H$237), "", 'Data Entry'!$H$237)</f>
      </c>
      <c r="I237">
        <f>IF(ISBLANK('Data Entry'!$I$237), "", 'Data Entry'!$I$237)</f>
      </c>
      <c r="J237">
        <f>IF(ISBLANK('Data Entry'!$J$237), "", 'Data Entry'!$J$237)</f>
      </c>
      <c r="K237">
        <f>IF(ISBLANK('Data Entry'!$K$237), "", 'Data Entry'!$K$237)</f>
      </c>
      <c r="L237">
        <f>IF(ISBLANK('Data Entry'!$L$237), "", 'Data Entry'!$L$237)</f>
      </c>
      <c r="M237">
        <f>IF(ISBLANK('Data Entry'!$M$237), "", 'Data Entry'!$M$237)</f>
      </c>
      <c r="N237">
        <f>IF(ISBLANK('Data Entry'!$N$237), "", 'Data Entry'!$N$237)</f>
      </c>
      <c r="O237">
        <f>IF(ISBLANK('Data Entry'!$O$237), "", 'Data Entry'!$O$237)</f>
      </c>
      <c r="P237">
        <f>IF(ISBLANK('Data Entry'!$P$237), "", 'Data Entry'!$P$237)</f>
      </c>
      <c r="Q237">
        <f>IF(ISBLANK('Data Entry'!$Q$237), "", 'Data Entry'!$Q$237)</f>
      </c>
      <c r="R237">
        <f>IF(ISBLANK('Data Entry'!$R$237), "", 'Data Entry'!$R$237)</f>
      </c>
      <c r="S237">
        <f>IF(ISBLANK('Data Entry'!$S$237), "", 'Data Entry'!$S$237)</f>
      </c>
      <c r="T237">
        <f>IF(ISBLANK('Data Entry'!$T$237), "", 'Data Entry'!$T$237)</f>
      </c>
      <c r="U237">
        <f>IF(ISBLANK('Data Entry'!$U$237), "", 'Data Entry'!$U$237)</f>
      </c>
      <c r="V237">
        <f>IF(ISBLANK('Data Entry'!$V$237), "", 'Data Entry'!$V$237)</f>
      </c>
      <c r="W237">
        <f>IF(ISBLANK('Data Entry'!$W$237), "", 'Data Entry'!$W$237)</f>
      </c>
      <c r="X237">
        <f>IF(ISBLANK('Data Entry'!$X$237), "", 'Data Entry'!$X$237)</f>
      </c>
      <c r="Y237">
        <f>IF(ISBLANK('Data Entry'!$Y$237), "", 'Data Entry'!$Y$237)</f>
      </c>
      <c r="Z237">
        <f>IF(ISBLANK('Data Entry'!$Z$237), "", 'Data Entry'!$Z$237)</f>
      </c>
      <c r="AA237">
        <f>IF(ISBLANK('Data Entry'!$[$237), "", 'Data Entry'!$[$237)</f>
      </c>
      <c r="AB237">
        <f>IF(ISBLANK('Data Entry'!$\$237), "", 'Data Entry'!$\$237)</f>
      </c>
      <c r="AC237">
        <f>IF(ISBLANK('Data Entry'!$]$237), "", 'Data Entry'!$]$237)</f>
      </c>
      <c r="AD237">
        <f>IF(ISBLANK('Data Entry'!$^$237), "", 'Data Entry'!$^$237)</f>
      </c>
      <c r="AE237">
        <f>IF(ISBLANK('Data Entry'!$_$237), "", 'Data Entry'!$_$237)</f>
      </c>
      <c r="AF237">
        <f>IF(ISBLANK('Data Entry'!$`$237), "", 'Data Entry'!$`$237)</f>
      </c>
      <c r="AG237">
        <f>IF(ISBLANK('Data Entry'!$a$237), "", 'Data Entry'!$a$237)</f>
      </c>
      <c r="AH237">
        <f>IF(ISBLANK('Data Entry'!$b$237), "", 'Data Entry'!$b$237)</f>
      </c>
      <c r="AI237">
        <f>IF(ISBLANK('Data Entry'!$c$237), "", 'Data Entry'!$c$237)</f>
      </c>
      <c r="AJ237">
        <f>IF(ISBLANK('Data Entry'!$d$237), "", 'Data Entry'!$d$237)</f>
      </c>
      <c r="AK237">
        <f>IF(ISBLANK('Data Entry'!$e$237), "", 'Data Entry'!$e$237)</f>
      </c>
      <c r="AL237">
        <f>IF(ISBLANK('Data Entry'!$f$237), "", 'Data Entry'!$f$237)</f>
      </c>
      <c r="AM237">
        <f>IF(ISBLANK('Data Entry'!$g$237), "", 'Data Entry'!$g$237)</f>
      </c>
      <c r="AN237">
        <f>IF(ISBLANK('Data Entry'!$h$237), "", 'Data Entry'!$h$237)</f>
      </c>
      <c r="AO237">
        <f>IF(ISBLANK('Data Entry'!$i$237), "", 'Data Entry'!$i$237)</f>
      </c>
      <c r="AP237">
        <f>IF(ISBLANK('Data Entry'!$j$237), "", 'Data Entry'!$j$237)</f>
      </c>
      <c r="AQ237">
        <f>IF(ISBLANK('Data Entry'!$k$237), "", 'Data Entry'!$k$237)</f>
      </c>
      <c r="AR237">
        <f>IF(ISBLANK('Data Entry'!$l$237), "", 'Data Entry'!$l$237)</f>
      </c>
      <c r="AS237">
        <f>IF(ISBLANK('Data Entry'!$m$237), "", 'Data Entry'!$m$237)</f>
      </c>
      <c r="AT237">
        <f>IF(ISBLANK('Data Entry'!$n$237), "", 'Data Entry'!$n$237)</f>
      </c>
      <c r="AU237">
        <f>IF(ISBLANK('Data Entry'!$o$237), "", 'Data Entry'!$o$237)</f>
      </c>
      <c r="AV237">
        <f>IF(ISBLANK('Data Entry'!$p$237), "", 'Data Entry'!$p$237)</f>
      </c>
      <c r="AW237">
        <f>IF(ISBLANK('Data Entry'!$q$237), "", 'Data Entry'!$q$237)</f>
      </c>
      <c r="AX237">
        <f>IF(ISBLANK('Data Entry'!$r$237), "", 'Data Entry'!$r$237)</f>
      </c>
      <c r="AY237">
        <f>IF(ISBLANK('Data Entry'!$s$237), "", 'Data Entry'!$s$237)</f>
      </c>
      <c r="AZ237">
        <f>IF(ISBLANK('Data Entry'!$t$237), "", 'Data Entry'!$t$237)</f>
      </c>
      <c r="BA237">
        <f>IF(ISBLANK('Data Entry'!$u$237), "", 'Data Entry'!$u$237)</f>
      </c>
      <c r="BB237">
        <f>IF(ISBLANK('Data Entry'!$v$237), "", 'Data Entry'!$v$237)</f>
      </c>
      <c r="BC237">
        <f>IF(ISBLANK('Data Entry'!$w$237), "", 'Data Entry'!$w$237)</f>
      </c>
      <c r="BD237">
        <f>IF(ISBLANK('Data Entry'!$x$237), "", 'Data Entry'!$x$237)</f>
      </c>
      <c r="BE237">
        <f>IF(ISBLANK('Data Entry'!$y$237), "", 'Data Entry'!$y$237)</f>
      </c>
      <c r="BF237">
        <f>IF(ISBLANK('Data Entry'!$z$237), "", 'Data Entry'!$z$237)</f>
      </c>
      <c r="BG237">
        <f>IF(ISBLANK('Data Entry'!${$237), "", 'Data Entry'!${$237)</f>
      </c>
      <c r="BH237">
        <f>IF(ISBLANK('Data Entry'!$|$237), "", 'Data Entry'!$|$237)</f>
      </c>
      <c r="BI237">
        <f>IF(ISBLANK('Data Entry'!$}$237), "", 'Data Entry'!$}$237)</f>
      </c>
      <c r="BJ237">
        <f>IF(ISBLANK('Data Entry'!$~$237), "", 'Data Entry'!$~$237)</f>
      </c>
      <c r="BK237">
        <f>IF(ISBLANK('Data Entry'!$$237), "", 'Data Entry'!$$237)</f>
      </c>
      <c r="BL237">
        <f>IF(ISBLANK('Data Entry'!$$237), "", 'Data Entry'!$$237)</f>
      </c>
      <c r="BM237">
        <f>IF(ISBLANK('Data Entry'!$$237), "", 'Data Entry'!$$237)</f>
      </c>
      <c r="BN237">
        <f>IF(ISBLANK('Data Entry'!$$237), "", 'Data Entry'!$$237)</f>
      </c>
      <c r="BO237">
        <f>IF(ISBLANK('Data Entry'!$$237), "", 'Data Entry'!$$237)</f>
      </c>
      <c r="BP237">
        <f>IF(ISBLANK('Data Entry'!$$237), "", 'Data Entry'!$$237)</f>
      </c>
      <c r="BQ237">
        <f>IF(ISBLANK('Data Entry'!$$237), "", 'Data Entry'!$$237)</f>
      </c>
      <c r="BR237">
        <f>IF(ISBLANK('Data Entry'!$$237), "", 'Data Entry'!$$237)</f>
      </c>
      <c r="BS237">
        <f>IF(ISBLANK('Data Entry'!$$237), "", 'Data Entry'!$$237)</f>
      </c>
      <c r="BT237">
        <f>IF(ISBLANK('Data Entry'!$$237), "", 'Data Entry'!$$237)</f>
      </c>
      <c r="BU237">
        <f>IF(ISBLANK('Data Entry'!$$237), "", 'Data Entry'!$$237)</f>
      </c>
      <c r="BV237">
        <f>IF(ISBLANK('Data Entry'!$$237), "", 'Data Entry'!$$237)</f>
      </c>
      <c r="BW237">
        <f>IF(ISBLANK('Data Entry'!$$237), "", 'Data Entry'!$$237)</f>
      </c>
      <c r="BX237">
        <f>IF(ISBLANK('Data Entry'!$$237), "", 'Data Entry'!$$237)</f>
      </c>
      <c r="BY237">
        <f>IF(ISBLANK('Data Entry'!$$237), "", 'Data Entry'!$$237)</f>
      </c>
      <c r="BZ237">
        <f>IF(ISBLANK('Data Entry'!$$237), "", 'Data Entry'!$$237)</f>
      </c>
      <c r="CA237">
        <f>IF(ISBLANK('Data Entry'!$$237), "", 'Data Entry'!$$237)</f>
      </c>
      <c r="CB237">
        <f>IF(ISBLANK('Data Entry'!$$237), "", 'Data Entry'!$$237)</f>
      </c>
      <c r="CC237">
        <f>IF(ISBLANK('Data Entry'!$$237), "", 'Data Entry'!$$237)</f>
      </c>
      <c r="CD237">
        <f>IF(ISBLANK('Data Entry'!$$237), "", 'Data Entry'!$$237)</f>
      </c>
      <c r="CE237">
        <f>IF(ISBLANK('Data Entry'!$$237), "", 'Data Entry'!$$237)</f>
      </c>
      <c r="CF237">
        <f>IF(ISBLANK('Data Entry'!$$237), "", 'Data Entry'!$$237)</f>
      </c>
      <c r="CG237">
        <f>IF(ISBLANK('Data Entry'!$$237), "", 'Data Entry'!$$237)</f>
      </c>
      <c r="CH237">
        <f>IF(ISBLANK('Data Entry'!$$237), "", 'Data Entry'!$$237)</f>
      </c>
      <c r="CI237">
        <f>IF(ISBLANK('Data Entry'!$$237), "", 'Data Entry'!$$237)</f>
      </c>
      <c r="CJ237">
        <f>IF(ISBLANK('Data Entry'!$$237), "", 'Data Entry'!$$237)</f>
      </c>
      <c r="CK237">
        <f>IF(ISBLANK('Data Entry'!$$237), "", 'Data Entry'!$$237)</f>
      </c>
      <c r="CL237">
        <f>IF(ISBLANK('Data Entry'!$$237), "", 'Data Entry'!$$237)</f>
      </c>
      <c r="CM237">
        <f>IF(ISBLANK('Data Entry'!$$237), "", 'Data Entry'!$$237)</f>
      </c>
      <c r="CN237">
        <f>IF(ISBLANK('Data Entry'!$$237), "", 'Data Entry'!$$237)</f>
      </c>
      <c r="CO237">
        <f>IF(ISBLANK('Data Entry'!$$237), "", 'Data Entry'!$$237)</f>
      </c>
      <c r="CP237">
        <f>IF(ISBLANK('Data Entry'!$$237), "", 'Data Entry'!$$237)</f>
      </c>
      <c r="CQ237">
        <f>IF(ISBLANK('Data Entry'!$$237), "", 'Data Entry'!$$237)</f>
      </c>
      <c r="CR237">
        <f>IF(ISBLANK('Data Entry'!$ $237), "", 'Data Entry'!$ $237)</f>
      </c>
      <c r="CS237">
        <f>IF(ISBLANK('Data Entry'!$¡$237), "", 'Data Entry'!$¡$237)</f>
      </c>
      <c r="CT237">
        <f>IF(ISBLANK('Data Entry'!$¢$237), "", 'Data Entry'!$¢$237)</f>
      </c>
      <c r="CU237">
        <f>IF(ISBLANK('Data Entry'!$£$237), "", 'Data Entry'!$£$237)</f>
      </c>
      <c r="CV237">
        <f>IF(ISBLANK('Data Entry'!$¤$237), "", 'Data Entry'!$¤$237)</f>
      </c>
      <c r="CW237">
        <f>IF(ISBLANK('Data Entry'!$¥$237), "", 'Data Entry'!$¥$237)</f>
      </c>
      <c r="CX237">
        <f>IF(ISBLANK('Data Entry'!$¦$237), "", 'Data Entry'!$¦$237)</f>
      </c>
      <c r="CY237">
        <f>IF(ISBLANK('Data Entry'!$§$237), "", 'Data Entry'!$§$237)</f>
      </c>
      <c r="CZ237">
        <f>IF(ISBLANK('Data Entry'!$¨$237), "", 'Data Entry'!$¨$237)</f>
      </c>
      <c r="DA237">
        <f>IF(ISBLANK('Data Entry'!$©$237), "", 'Data Entry'!$©$237)</f>
      </c>
      <c r="DB237">
        <f>IF(ISBLANK('Data Entry'!$ª$237), "", 'Data Entry'!$ª$237)</f>
      </c>
      <c r="DC237">
        <f>IF(ISBLANK('Data Entry'!$«$237), "", 'Data Entry'!$«$237)</f>
      </c>
      <c r="DD237">
        <f>IF(ISBLANK('Data Entry'!$¬$237), "", 'Data Entry'!$¬$237)</f>
      </c>
      <c r="DE237">
        <f>IF(ISBLANK('Data Entry'!$­$237), "", 'Data Entry'!$­$237)</f>
      </c>
      <c r="DF237">
        <f>IF(ISBLANK('Data Entry'!$®$237), "", 'Data Entry'!$®$237)</f>
      </c>
      <c r="DG237">
        <f>IF(ISBLANK('Data Entry'!$¯$237), "", 'Data Entry'!$¯$237)</f>
      </c>
      <c r="DH237">
        <f>IF(ISBLANK('Data Entry'!$°$237), "", 'Data Entry'!$°$237)</f>
      </c>
      <c r="DI237">
        <f>IF(ISBLANK('Data Entry'!$±$237), "", 'Data Entry'!$±$237)</f>
      </c>
      <c r="DJ237">
        <f>IF(ISBLANK('Data Entry'!$²$237), "", 'Data Entry'!$²$237)</f>
      </c>
      <c r="DK237">
        <f>IF(ISBLANK('Data Entry'!$³$237), "", 'Data Entry'!$³$237)</f>
      </c>
      <c r="DL237">
        <f>IF(ISBLANK('Data Entry'!$´$237), "", 'Data Entry'!$´$237)</f>
      </c>
      <c r="DM237">
        <f>IF(ISBLANK('Data Entry'!$µ$237), "", 'Data Entry'!$µ$237)</f>
      </c>
      <c r="DN237">
        <f>IF(ISBLANK('Data Entry'!$¶$237), "", 'Data Entry'!$¶$237)</f>
      </c>
      <c r="DO237">
        <f>IF(ISBLANK('Data Entry'!$·$237), "", 'Data Entry'!$·$237)</f>
      </c>
      <c r="DP237">
        <f>IF(ISBLANK('Data Entry'!$¸$237), "", 'Data Entry'!$¸$237)</f>
      </c>
      <c r="DQ237">
        <f>IF(ISBLANK('Data Entry'!$¹$237), "", 'Data Entry'!$¹$237)</f>
      </c>
      <c r="DR237">
        <f>IF(ISBLANK('Data Entry'!$º$237), "", 'Data Entry'!$º$237)</f>
      </c>
      <c r="DS237">
        <f>IF(ISBLANK('Data Entry'!$»$237), "", 'Data Entry'!$»$237)</f>
      </c>
      <c r="DT237">
        <f>IF(ISBLANK('Data Entry'!$¼$237), "", 'Data Entry'!$¼$237)</f>
      </c>
      <c r="DU237">
        <f>IF(ISBLANK('Data Entry'!$½$237), "", 'Data Entry'!$½$237)</f>
      </c>
      <c r="DV237">
        <f>IF(ISBLANK('Data Entry'!$¾$237), "", 'Data Entry'!$¾$237)</f>
      </c>
      <c r="DW237">
        <f>IF(ISBLANK('Data Entry'!$¿$237), "", 'Data Entry'!$¿$237)</f>
      </c>
      <c r="DX237">
        <f>IF(ISBLANK('Data Entry'!$À$237), "", 'Data Entry'!$À$237)</f>
      </c>
      <c r="DY237">
        <f>IF(ISBLANK('Data Entry'!$Á$237), "", 'Data Entry'!$Á$237)</f>
      </c>
      <c r="DZ237">
        <f>IF(ISBLANK('Data Entry'!$Â$237), "", 'Data Entry'!$Â$237)</f>
      </c>
      <c r="EA237">
        <f>IF(ISBLANK('Data Entry'!$Ã$237), "", 'Data Entry'!$Ã$237)</f>
      </c>
      <c r="EB237">
        <f>IF(ISBLANK('Data Entry'!$Ä$237), "", 'Data Entry'!$Ä$237)</f>
      </c>
      <c r="EC237">
        <f>IF(ISBLANK('Data Entry'!$Å$237), "", 'Data Entry'!$Å$237)</f>
      </c>
      <c r="ED237">
        <f>IF(ISBLANK('Data Entry'!$Æ$237), "", 'Data Entry'!$Æ$237)</f>
      </c>
      <c r="EE237">
        <f>IF(ISBLANK('Data Entry'!$Ç$237), "", 'Data Entry'!$Ç$237)</f>
      </c>
      <c r="EF237">
        <f>IF(ISBLANK('Data Entry'!$È$237), "", 'Data Entry'!$È$237)</f>
      </c>
      <c r="EG237">
        <f>IF(ISBLANK('Data Entry'!$É$237), "", 'Data Entry'!$É$237)</f>
      </c>
      <c r="EH237">
        <f>IF(ISBLANK('Data Entry'!$Ê$237), "", 'Data Entry'!$Ê$237)</f>
      </c>
      <c r="EI237">
        <f>IF(ISBLANK('Data Entry'!$Ë$237), "", 'Data Entry'!$Ë$237)</f>
      </c>
      <c r="EJ237">
        <f>IF(ISBLANK('Data Entry'!$Ì$237), "", 'Data Entry'!$Ì$237)</f>
      </c>
      <c r="EK237">
        <f>IF(ISBLANK('Data Entry'!$Í$237), "", 'Data Entry'!$Í$237)</f>
      </c>
      <c r="EL237">
        <f>IF(ISBLANK('Data Entry'!$Î$237), "", 'Data Entry'!$Î$237)</f>
      </c>
      <c r="EM237">
        <f>IF(ISBLANK('Data Entry'!$Ï$237), "", 'Data Entry'!$Ï$237)</f>
      </c>
      <c r="EN237">
        <f>IF(ISBLANK('Data Entry'!$Ð$237), "", 'Data Entry'!$Ð$237)</f>
      </c>
      <c r="EO237">
        <f>IF(ISBLANK('Data Entry'!$Ñ$237), "", 'Data Entry'!$Ñ$237)</f>
      </c>
      <c r="EP237">
        <f>IF(ISBLANK('Data Entry'!$Ò$237), "", 'Data Entry'!$Ò$237)</f>
      </c>
      <c r="EQ237">
        <f>IF(ISBLANK('Data Entry'!$Ó$237), "", 'Data Entry'!$Ó$237)</f>
      </c>
      <c r="ER237">
        <f>IF(ISBLANK('Data Entry'!$Ô$237), "", 'Data Entry'!$Ô$237)</f>
      </c>
      <c r="ES237">
        <f>IF(ISBLANK('Data Entry'!$Õ$237), "", 'Data Entry'!$Õ$237)</f>
      </c>
      <c r="ET237">
        <f>IF(ISBLANK('Data Entry'!$Ö$237), "", 'Data Entry'!$Ö$237)</f>
      </c>
      <c r="EU237">
        <f>IF(ISBLANK('Data Entry'!$×$237), "", 'Data Entry'!$×$237)</f>
      </c>
      <c r="EV237">
        <f>IF(ISBLANK('Data Entry'!$Ø$237), "", 'Data Entry'!$Ø$237)</f>
      </c>
      <c r="EW237">
        <f>IF(ISBLANK('Data Entry'!$Ù$237), "", 'Data Entry'!$Ù$237)</f>
      </c>
      <c r="EX237">
        <f>IF(ISBLANK('Data Entry'!$Ú$237), "", 'Data Entry'!$Ú$237)</f>
      </c>
      <c r="EY237">
        <f>IF(ISBLANK('Data Entry'!$Û$237), "", 'Data Entry'!$Û$237)</f>
      </c>
      <c r="EZ237">
        <f>IF(ISBLANK('Data Entry'!$Ü$237), "", 'Data Entry'!$Ü$237)</f>
      </c>
      <c r="FA237">
        <f>IF(ISBLANK('Data Entry'!$Ý$237), "", 'Data Entry'!$Ý$237)</f>
      </c>
      <c r="FB237">
        <f>IF(ISBLANK('Data Entry'!$Þ$237), "", 'Data Entry'!$Þ$237)</f>
      </c>
      <c r="FC237">
        <f>IF(ISBLANK('Data Entry'!$ß$237), "", 'Data Entry'!$ß$237)</f>
      </c>
      <c r="FD237">
        <f>IF(ISBLANK('Data Entry'!$à$237), "", 'Data Entry'!$à$237)</f>
      </c>
      <c r="FE237">
        <f>IF(ISBLANK('Data Entry'!$á$237), "", 'Data Entry'!$á$237)</f>
      </c>
      <c r="FF237">
        <f>IF(ISBLANK('Data Entry'!$â$237), "", 'Data Entry'!$â$237)</f>
      </c>
      <c r="FG237">
        <f>IF(ISBLANK('Data Entry'!$ã$237), "", 'Data Entry'!$ã$237)</f>
      </c>
      <c r="FH237">
        <f>IF(ISBLANK('Data Entry'!$ä$237), "", 'Data Entry'!$ä$237)</f>
      </c>
      <c r="FI237">
        <f>IF(ISBLANK('Data Entry'!$å$237), "", 'Data Entry'!$å$237)</f>
      </c>
      <c r="FJ237">
        <f>IF(ISBLANK('Data Entry'!$æ$237), "", 'Data Entry'!$æ$237)</f>
      </c>
      <c r="FK237">
        <f>IF(ISBLANK('Data Entry'!$ç$237), "", 'Data Entry'!$ç$237)</f>
      </c>
      <c r="FL237">
        <f>IF(ISBLANK('Data Entry'!$è$237), "", 'Data Entry'!$è$237)</f>
      </c>
      <c r="FM237">
        <f>IF(ISBLANK('Data Entry'!$é$237), "", 'Data Entry'!$é$237)</f>
      </c>
      <c r="FN237">
        <f>IF(ISBLANK('Data Entry'!$ê$237), "", 'Data Entry'!$ê$237)</f>
      </c>
      <c r="FO237">
        <f>IF(ISBLANK('Data Entry'!$ë$237), "", 'Data Entry'!$ë$237)</f>
      </c>
      <c r="FP237">
        <f>IF(ISBLANK('Data Entry'!$ì$237), "", 'Data Entry'!$ì$237)</f>
      </c>
      <c r="FQ237">
        <f>IF(ISBLANK('Data Entry'!$í$237), "", 'Data Entry'!$í$237)</f>
      </c>
      <c r="FR237">
        <f>IF(ISBLANK('Data Entry'!$î$237), "", 'Data Entry'!$î$237)</f>
      </c>
      <c r="FS237">
        <f>IF(ISBLANK('Data Entry'!$ï$237), "", 'Data Entry'!$ï$237)</f>
      </c>
      <c r="FT237">
        <f>IF(ISBLANK('Data Entry'!$ð$237), "", 'Data Entry'!$ð$237)</f>
      </c>
      <c r="FU237">
        <f>IF(ISBLANK('Data Entry'!$ñ$237), "", 'Data Entry'!$ñ$237)</f>
      </c>
      <c r="FV237">
        <f>IF(ISBLANK('Data Entry'!$ò$237), "", 'Data Entry'!$ò$237)</f>
      </c>
      <c r="FW237">
        <f>IF(ISBLANK('Data Entry'!$ó$237), "", 'Data Entry'!$ó$237)</f>
      </c>
      <c r="FX237">
        <f>IF(ISBLANK('Data Entry'!$ô$237), "", 'Data Entry'!$ô$237)</f>
      </c>
      <c r="FY237">
        <f>IF(ISBLANK('Data Entry'!$õ$237), "", 'Data Entry'!$õ$237)</f>
      </c>
      <c r="FZ237">
        <f>IF(ISBLANK('Data Entry'!$ö$237), "", 'Data Entry'!$ö$237)</f>
      </c>
      <c r="GA237">
        <f>IF(ISBLANK('Data Entry'!$÷$237), "", 'Data Entry'!$÷$237)</f>
      </c>
      <c r="GB237">
        <f>IF(ISBLANK('Data Entry'!$ø$237), "", 'Data Entry'!$ø$237)</f>
      </c>
      <c r="GC237">
        <f>IF(ISBLANK('Data Entry'!$ù$237), "", 'Data Entry'!$ù$237)</f>
      </c>
      <c r="GD237">
        <f>IF(ISBLANK('Data Entry'!$ú$237), "", 'Data Entry'!$ú$237)</f>
      </c>
      <c r="GE237">
        <f>IF(ISBLANK('Data Entry'!$û$237), "", 'Data Entry'!$û$237)</f>
      </c>
      <c r="GF237">
        <f>IF(ISBLANK('Data Entry'!$ü$237), "", 'Data Entry'!$ü$237)</f>
      </c>
      <c r="GG237">
        <f>IF(ISBLANK('Data Entry'!$ý$237), "", 'Data Entry'!$ý$237)</f>
      </c>
      <c r="GH237">
        <f>IF(ISBLANK('Data Entry'!$þ$237), "", 'Data Entry'!$þ$237)</f>
      </c>
      <c r="GI237">
        <f>IF(ISBLANK('Data Entry'!$ÿ$237), "", 'Data Entry'!$ÿ$237)</f>
      </c>
      <c r="GJ237">
        <f>IF(ISBLANK('Data Entry'!$Ā$237), "", 'Data Entry'!$Ā$237)</f>
      </c>
      <c r="GK237">
        <f>IF(ISBLANK('Data Entry'!$ā$237), "", 'Data Entry'!$ā$237)</f>
      </c>
      <c r="GL237">
        <f>IF(ISBLANK('Data Entry'!$Ă$237), "", 'Data Entry'!$Ă$237)</f>
      </c>
      <c r="GM237">
        <f>IF(ISBLANK('Data Entry'!$ă$237), "", 'Data Entry'!$ă$237)</f>
      </c>
      <c r="GN237">
        <f>IF(ISBLANK('Data Entry'!$Ą$237), "", 'Data Entry'!$Ą$237)</f>
      </c>
      <c r="GO237">
        <f>IF(ISBLANK('Data Entry'!$ą$237), "", 'Data Entry'!$ą$237)</f>
      </c>
      <c r="GP237">
        <f>IF(ISBLANK('Data Entry'!$Ć$237), "", 'Data Entry'!$Ć$237)</f>
      </c>
      <c r="GQ237">
        <f>IF(ISBLANK('Data Entry'!$ć$237), "", 'Data Entry'!$ć$237)</f>
      </c>
      <c r="GR237">
        <f>IF(ISBLANK('Data Entry'!$Ĉ$237), "", 'Data Entry'!$Ĉ$237)</f>
      </c>
      <c r="GS237">
        <f>IF(ISBLANK('Data Entry'!$ĉ$237), "", 'Data Entry'!$ĉ$237)</f>
      </c>
      <c r="GT237">
        <f>IF(ISBLANK('Data Entry'!$Ċ$237), "", 'Data Entry'!$Ċ$237)</f>
      </c>
      <c r="GU237">
        <f>IF(ISBLANK('Data Entry'!$ċ$237), "", 'Data Entry'!$ċ$237)</f>
      </c>
      <c r="GV237">
        <f>IF(ISBLANK('Data Entry'!$Č$237), "", 'Data Entry'!$Č$237)</f>
      </c>
      <c r="GW237">
        <f>IF(ISBLANK('Data Entry'!$č$237), "", 'Data Entry'!$č$237)</f>
      </c>
      <c r="GX237">
        <f>IF(ISBLANK('Data Entry'!$Ď$237), "", 'Data Entry'!$Ď$237)</f>
      </c>
      <c r="GY237">
        <f>IF(ISBLANK('Data Entry'!$ď$237), "", 'Data Entry'!$ď$237)</f>
      </c>
      <c r="GZ237">
        <f>IF(ISBLANK('Data Entry'!$Đ$237), "", 'Data Entry'!$Đ$237)</f>
      </c>
      <c r="HA237">
        <f>IF(ISBLANK('Data Entry'!$đ$237), "", 'Data Entry'!$đ$237)</f>
      </c>
      <c r="HB237">
        <f>IF(ISBLANK('Data Entry'!$Ē$237), "", 'Data Entry'!$Ē$237)</f>
      </c>
      <c r="HC237">
        <f>IF(ISBLANK('Data Entry'!$ē$237), "", 'Data Entry'!$ē$237)</f>
      </c>
      <c r="HD237">
        <f>IF(ISBLANK('Data Entry'!$Ĕ$237), "", 'Data Entry'!$Ĕ$237)</f>
      </c>
      <c r="HE237">
        <f>IF(ISBLANK('Data Entry'!$ĕ$237), "", 'Data Entry'!$ĕ$237)</f>
      </c>
      <c r="HF237">
        <f>IF(ISBLANK('Data Entry'!$Ė$237), "", 'Data Entry'!$Ė$237)</f>
      </c>
      <c r="HG237">
        <f>IF(ISBLANK('Data Entry'!$ė$237), "", 'Data Entry'!$ė$237)</f>
      </c>
      <c r="HH237">
        <f>IF(ISBLANK('Data Entry'!$Ę$237), "", 'Data Entry'!$Ę$237)</f>
      </c>
      <c r="HI237">
        <f>IF(ISBLANK('Data Entry'!$ę$237), "", 'Data Entry'!$ę$237)</f>
      </c>
      <c r="HJ237">
        <f>IF(ISBLANK('Data Entry'!$Ě$237), "", 'Data Entry'!$Ě$237)</f>
      </c>
      <c r="HK237">
        <f>IF(ISBLANK('Data Entry'!$ě$237), "", 'Data Entry'!$ě$237)</f>
      </c>
      <c r="HL237">
        <f>IF(ISBLANK('Data Entry'!$Ĝ$237), "", 'Data Entry'!$Ĝ$237)</f>
      </c>
      <c r="HM237">
        <f>IF(ISBLANK('Data Entry'!$ĝ$237), "", 'Data Entry'!$ĝ$237)</f>
      </c>
      <c r="HN237">
        <f>IF(ISBLANK('Data Entry'!$Ğ$237), "", 'Data Entry'!$Ğ$237)</f>
      </c>
      <c r="HO237">
        <f>IF(ISBLANK('Data Entry'!$ğ$237), "", 'Data Entry'!$ğ$237)</f>
      </c>
      <c r="HP237">
        <f>IF(ISBLANK('Data Entry'!$Ġ$237), "", 'Data Entry'!$Ġ$237)</f>
      </c>
      <c r="HQ237">
        <f>IF(ISBLANK('Data Entry'!$ġ$237), "", 'Data Entry'!$ġ$237)</f>
      </c>
      <c r="HR237">
        <f>IF(ISBLANK('Data Entry'!$Ģ$237), "", 'Data Entry'!$Ģ$237)</f>
      </c>
      <c r="HS237">
        <f>IF(ISBLANK('Data Entry'!$ģ$237), "", 'Data Entry'!$ģ$237)</f>
      </c>
      <c r="HT237">
        <f>IF(ISBLANK('Data Entry'!$Ĥ$237), "", 'Data Entry'!$Ĥ$237)</f>
      </c>
      <c r="HU237">
        <f>IF(ISBLANK('Data Entry'!$ĥ$237), "", 'Data Entry'!$ĥ$237)</f>
      </c>
      <c r="HV237">
        <f>IF(ISBLANK('Data Entry'!$Ħ$237), "", 'Data Entry'!$Ħ$237)</f>
      </c>
      <c r="HW237">
        <f>IF(ISBLANK('Data Entry'!$ħ$237), "", 'Data Entry'!$ħ$237)</f>
      </c>
      <c r="HX237">
        <f>IF(ISBLANK('Data Entry'!$Ĩ$237), "", 'Data Entry'!$Ĩ$237)</f>
      </c>
      <c r="HY237">
        <f>IF(ISBLANK('Data Entry'!$ĩ$237), "", 'Data Entry'!$ĩ$237)</f>
      </c>
      <c r="HZ237">
        <f>IF(ISBLANK('Data Entry'!$Ī$237), "", 'Data Entry'!$Ī$237)</f>
      </c>
      <c r="IA237">
        <f>IF(ISBLANK('Data Entry'!$ī$237), "", 'Data Entry'!$ī$237)</f>
      </c>
      <c r="IB237">
        <f>IF(ISBLANK('Data Entry'!$Ĭ$237), "", 'Data Entry'!$Ĭ$237)</f>
      </c>
      <c r="IC237">
        <f>IF(ISBLANK('Data Entry'!$ĭ$237), "", 'Data Entry'!$ĭ$237)</f>
      </c>
      <c r="ID237">
        <f>IF(ISBLANK('Data Entry'!$Į$237), "", 'Data Entry'!$Į$237)</f>
      </c>
      <c r="IE237">
        <f>IF(ISBLANK('Data Entry'!$į$237), "", 'Data Entry'!$į$237)</f>
      </c>
      <c r="IF237">
        <f>IF(ISBLANK('Data Entry'!$İ$237), "", 'Data Entry'!$İ$237)</f>
      </c>
      <c r="IG237">
        <f>IF(ISBLANK('Data Entry'!$ı$237), "", 'Data Entry'!$ı$237)</f>
      </c>
      <c r="IH237">
        <f>IF(ISBLANK('Data Entry'!$Ĳ$237), "", 'Data Entry'!$Ĳ$237)</f>
      </c>
      <c r="II237">
        <f>IF(ISBLANK('Data Entry'!$ĳ$237), "", 'Data Entry'!$ĳ$237)</f>
      </c>
      <c r="IJ237">
        <f>IF(ISBLANK('Data Entry'!$Ĵ$237), "", 'Data Entry'!$Ĵ$237)</f>
      </c>
      <c r="IK237">
        <f>IF(ISBLANK('Data Entry'!$ĵ$237), "", 'Data Entry'!$ĵ$237)</f>
      </c>
      <c r="IL237">
        <f>IF(ISBLANK('Data Entry'!$Ķ$237), "", 'Data Entry'!$Ķ$237)</f>
      </c>
      <c r="IM237">
        <f>IF(ISBLANK('Data Entry'!$ķ$237), "", 'Data Entry'!$ķ$237)</f>
      </c>
      <c r="IN237">
        <f>IF(ISBLANK('Data Entry'!$ĸ$237), "", 'Data Entry'!$ĸ$237)</f>
      </c>
      <c r="IO237">
        <f>IF(ISBLANK('Data Entry'!$Ĺ$237), "", 'Data Entry'!$Ĺ$237)</f>
      </c>
      <c r="IP237">
        <f>IF(ISBLANK('Data Entry'!$ĺ$237), "", 'Data Entry'!$ĺ$237)</f>
      </c>
      <c r="IQ237">
        <f>IF(ISBLANK('Data Entry'!$Ļ$237), "", 'Data Entry'!$Ļ$237)</f>
      </c>
      <c r="IR237">
        <f>IF(ISBLANK('Data Entry'!$ļ$237), "", 'Data Entry'!$ļ$237)</f>
      </c>
      <c r="IS237">
        <f>IF(ISBLANK('Data Entry'!$Ľ$237), "", 'Data Entry'!$Ľ$237)</f>
      </c>
      <c r="IT237">
        <f>IF(ISBLANK('Data Entry'!$ľ$237), "", 'Data Entry'!$ľ$237)</f>
      </c>
    </row>
    <row r="238" spans="1:254" x14ac:dyDescent="0.25">
      <c r="A238">
        <f>IF(ISBLANK('Data Entry'!$A$238), "", 'Data Entry'!$A$238)</f>
      </c>
      <c r="B238">
        <f>IF(ISBLANK('Data Entry'!$B$238), "", 'Data Entry'!$B$238)</f>
      </c>
      <c r="C238">
        <f>IF(ISBLANK('Data Entry'!$C$238), "", 'Data Entry'!$C$238)</f>
      </c>
      <c r="D238">
        <f>IF(ISBLANK('Data Entry'!$D$238), "", 'Data Entry'!$D$238)</f>
      </c>
      <c r="E238">
        <f>IF(ISBLANK('Data Entry'!$E$238), "", 'Data Entry'!$E$238)</f>
      </c>
      <c r="F238">
        <f>IF(ISBLANK('Data Entry'!$F$238), "", 'Data Entry'!$F$238)</f>
      </c>
      <c r="G238">
        <f>IF(ISBLANK('Data Entry'!$G$238), "", 'Data Entry'!$G$238)</f>
      </c>
      <c r="H238">
        <f>IF(ISBLANK('Data Entry'!$H$238), "", 'Data Entry'!$H$238)</f>
      </c>
      <c r="I238">
        <f>IF(ISBLANK('Data Entry'!$I$238), "", 'Data Entry'!$I$238)</f>
      </c>
      <c r="J238">
        <f>IF(ISBLANK('Data Entry'!$J$238), "", 'Data Entry'!$J$238)</f>
      </c>
      <c r="K238">
        <f>IF(ISBLANK('Data Entry'!$K$238), "", 'Data Entry'!$K$238)</f>
      </c>
      <c r="L238">
        <f>IF(ISBLANK('Data Entry'!$L$238), "", 'Data Entry'!$L$238)</f>
      </c>
      <c r="M238">
        <f>IF(ISBLANK('Data Entry'!$M$238), "", 'Data Entry'!$M$238)</f>
      </c>
      <c r="N238">
        <f>IF(ISBLANK('Data Entry'!$N$238), "", 'Data Entry'!$N$238)</f>
      </c>
      <c r="O238">
        <f>IF(ISBLANK('Data Entry'!$O$238), "", 'Data Entry'!$O$238)</f>
      </c>
      <c r="P238">
        <f>IF(ISBLANK('Data Entry'!$P$238), "", 'Data Entry'!$P$238)</f>
      </c>
      <c r="Q238">
        <f>IF(ISBLANK('Data Entry'!$Q$238), "", 'Data Entry'!$Q$238)</f>
      </c>
      <c r="R238">
        <f>IF(ISBLANK('Data Entry'!$R$238), "", 'Data Entry'!$R$238)</f>
      </c>
      <c r="S238">
        <f>IF(ISBLANK('Data Entry'!$S$238), "", 'Data Entry'!$S$238)</f>
      </c>
      <c r="T238">
        <f>IF(ISBLANK('Data Entry'!$T$238), "", 'Data Entry'!$T$238)</f>
      </c>
      <c r="U238">
        <f>IF(ISBLANK('Data Entry'!$U$238), "", 'Data Entry'!$U$238)</f>
      </c>
      <c r="V238">
        <f>IF(ISBLANK('Data Entry'!$V$238), "", 'Data Entry'!$V$238)</f>
      </c>
      <c r="W238">
        <f>IF(ISBLANK('Data Entry'!$W$238), "", 'Data Entry'!$W$238)</f>
      </c>
      <c r="X238">
        <f>IF(ISBLANK('Data Entry'!$X$238), "", 'Data Entry'!$X$238)</f>
      </c>
      <c r="Y238">
        <f>IF(ISBLANK('Data Entry'!$Y$238), "", 'Data Entry'!$Y$238)</f>
      </c>
      <c r="Z238">
        <f>IF(ISBLANK('Data Entry'!$Z$238), "", 'Data Entry'!$Z$238)</f>
      </c>
      <c r="AA238">
        <f>IF(ISBLANK('Data Entry'!$[$238), "", 'Data Entry'!$[$238)</f>
      </c>
      <c r="AB238">
        <f>IF(ISBLANK('Data Entry'!$\$238), "", 'Data Entry'!$\$238)</f>
      </c>
      <c r="AC238">
        <f>IF(ISBLANK('Data Entry'!$]$238), "", 'Data Entry'!$]$238)</f>
      </c>
      <c r="AD238">
        <f>IF(ISBLANK('Data Entry'!$^$238), "", 'Data Entry'!$^$238)</f>
      </c>
      <c r="AE238">
        <f>IF(ISBLANK('Data Entry'!$_$238), "", 'Data Entry'!$_$238)</f>
      </c>
      <c r="AF238">
        <f>IF(ISBLANK('Data Entry'!$`$238), "", 'Data Entry'!$`$238)</f>
      </c>
      <c r="AG238">
        <f>IF(ISBLANK('Data Entry'!$a$238), "", 'Data Entry'!$a$238)</f>
      </c>
      <c r="AH238">
        <f>IF(ISBLANK('Data Entry'!$b$238), "", 'Data Entry'!$b$238)</f>
      </c>
      <c r="AI238">
        <f>IF(ISBLANK('Data Entry'!$c$238), "", 'Data Entry'!$c$238)</f>
      </c>
      <c r="AJ238">
        <f>IF(ISBLANK('Data Entry'!$d$238), "", 'Data Entry'!$d$238)</f>
      </c>
      <c r="AK238">
        <f>IF(ISBLANK('Data Entry'!$e$238), "", 'Data Entry'!$e$238)</f>
      </c>
      <c r="AL238">
        <f>IF(ISBLANK('Data Entry'!$f$238), "", 'Data Entry'!$f$238)</f>
      </c>
      <c r="AM238">
        <f>IF(ISBLANK('Data Entry'!$g$238), "", 'Data Entry'!$g$238)</f>
      </c>
      <c r="AN238">
        <f>IF(ISBLANK('Data Entry'!$h$238), "", 'Data Entry'!$h$238)</f>
      </c>
      <c r="AO238">
        <f>IF(ISBLANK('Data Entry'!$i$238), "", 'Data Entry'!$i$238)</f>
      </c>
      <c r="AP238">
        <f>IF(ISBLANK('Data Entry'!$j$238), "", 'Data Entry'!$j$238)</f>
      </c>
      <c r="AQ238">
        <f>IF(ISBLANK('Data Entry'!$k$238), "", 'Data Entry'!$k$238)</f>
      </c>
      <c r="AR238">
        <f>IF(ISBLANK('Data Entry'!$l$238), "", 'Data Entry'!$l$238)</f>
      </c>
      <c r="AS238">
        <f>IF(ISBLANK('Data Entry'!$m$238), "", 'Data Entry'!$m$238)</f>
      </c>
      <c r="AT238">
        <f>IF(ISBLANK('Data Entry'!$n$238), "", 'Data Entry'!$n$238)</f>
      </c>
      <c r="AU238">
        <f>IF(ISBLANK('Data Entry'!$o$238), "", 'Data Entry'!$o$238)</f>
      </c>
      <c r="AV238">
        <f>IF(ISBLANK('Data Entry'!$p$238), "", 'Data Entry'!$p$238)</f>
      </c>
      <c r="AW238">
        <f>IF(ISBLANK('Data Entry'!$q$238), "", 'Data Entry'!$q$238)</f>
      </c>
      <c r="AX238">
        <f>IF(ISBLANK('Data Entry'!$r$238), "", 'Data Entry'!$r$238)</f>
      </c>
      <c r="AY238">
        <f>IF(ISBLANK('Data Entry'!$s$238), "", 'Data Entry'!$s$238)</f>
      </c>
      <c r="AZ238">
        <f>IF(ISBLANK('Data Entry'!$t$238), "", 'Data Entry'!$t$238)</f>
      </c>
      <c r="BA238">
        <f>IF(ISBLANK('Data Entry'!$u$238), "", 'Data Entry'!$u$238)</f>
      </c>
      <c r="BB238">
        <f>IF(ISBLANK('Data Entry'!$v$238), "", 'Data Entry'!$v$238)</f>
      </c>
      <c r="BC238">
        <f>IF(ISBLANK('Data Entry'!$w$238), "", 'Data Entry'!$w$238)</f>
      </c>
      <c r="BD238">
        <f>IF(ISBLANK('Data Entry'!$x$238), "", 'Data Entry'!$x$238)</f>
      </c>
      <c r="BE238">
        <f>IF(ISBLANK('Data Entry'!$y$238), "", 'Data Entry'!$y$238)</f>
      </c>
      <c r="BF238">
        <f>IF(ISBLANK('Data Entry'!$z$238), "", 'Data Entry'!$z$238)</f>
      </c>
      <c r="BG238">
        <f>IF(ISBLANK('Data Entry'!${$238), "", 'Data Entry'!${$238)</f>
      </c>
      <c r="BH238">
        <f>IF(ISBLANK('Data Entry'!$|$238), "", 'Data Entry'!$|$238)</f>
      </c>
      <c r="BI238">
        <f>IF(ISBLANK('Data Entry'!$}$238), "", 'Data Entry'!$}$238)</f>
      </c>
      <c r="BJ238">
        <f>IF(ISBLANK('Data Entry'!$~$238), "", 'Data Entry'!$~$238)</f>
      </c>
      <c r="BK238">
        <f>IF(ISBLANK('Data Entry'!$$238), "", 'Data Entry'!$$238)</f>
      </c>
      <c r="BL238">
        <f>IF(ISBLANK('Data Entry'!$$238), "", 'Data Entry'!$$238)</f>
      </c>
      <c r="BM238">
        <f>IF(ISBLANK('Data Entry'!$$238), "", 'Data Entry'!$$238)</f>
      </c>
      <c r="BN238">
        <f>IF(ISBLANK('Data Entry'!$$238), "", 'Data Entry'!$$238)</f>
      </c>
      <c r="BO238">
        <f>IF(ISBLANK('Data Entry'!$$238), "", 'Data Entry'!$$238)</f>
      </c>
      <c r="BP238">
        <f>IF(ISBLANK('Data Entry'!$$238), "", 'Data Entry'!$$238)</f>
      </c>
      <c r="BQ238">
        <f>IF(ISBLANK('Data Entry'!$$238), "", 'Data Entry'!$$238)</f>
      </c>
      <c r="BR238">
        <f>IF(ISBLANK('Data Entry'!$$238), "", 'Data Entry'!$$238)</f>
      </c>
      <c r="BS238">
        <f>IF(ISBLANK('Data Entry'!$$238), "", 'Data Entry'!$$238)</f>
      </c>
      <c r="BT238">
        <f>IF(ISBLANK('Data Entry'!$$238), "", 'Data Entry'!$$238)</f>
      </c>
      <c r="BU238">
        <f>IF(ISBLANK('Data Entry'!$$238), "", 'Data Entry'!$$238)</f>
      </c>
      <c r="BV238">
        <f>IF(ISBLANK('Data Entry'!$$238), "", 'Data Entry'!$$238)</f>
      </c>
      <c r="BW238">
        <f>IF(ISBLANK('Data Entry'!$$238), "", 'Data Entry'!$$238)</f>
      </c>
      <c r="BX238">
        <f>IF(ISBLANK('Data Entry'!$$238), "", 'Data Entry'!$$238)</f>
      </c>
      <c r="BY238">
        <f>IF(ISBLANK('Data Entry'!$$238), "", 'Data Entry'!$$238)</f>
      </c>
      <c r="BZ238">
        <f>IF(ISBLANK('Data Entry'!$$238), "", 'Data Entry'!$$238)</f>
      </c>
      <c r="CA238">
        <f>IF(ISBLANK('Data Entry'!$$238), "", 'Data Entry'!$$238)</f>
      </c>
      <c r="CB238">
        <f>IF(ISBLANK('Data Entry'!$$238), "", 'Data Entry'!$$238)</f>
      </c>
      <c r="CC238">
        <f>IF(ISBLANK('Data Entry'!$$238), "", 'Data Entry'!$$238)</f>
      </c>
      <c r="CD238">
        <f>IF(ISBLANK('Data Entry'!$$238), "", 'Data Entry'!$$238)</f>
      </c>
      <c r="CE238">
        <f>IF(ISBLANK('Data Entry'!$$238), "", 'Data Entry'!$$238)</f>
      </c>
      <c r="CF238">
        <f>IF(ISBLANK('Data Entry'!$$238), "", 'Data Entry'!$$238)</f>
      </c>
      <c r="CG238">
        <f>IF(ISBLANK('Data Entry'!$$238), "", 'Data Entry'!$$238)</f>
      </c>
      <c r="CH238">
        <f>IF(ISBLANK('Data Entry'!$$238), "", 'Data Entry'!$$238)</f>
      </c>
      <c r="CI238">
        <f>IF(ISBLANK('Data Entry'!$$238), "", 'Data Entry'!$$238)</f>
      </c>
      <c r="CJ238">
        <f>IF(ISBLANK('Data Entry'!$$238), "", 'Data Entry'!$$238)</f>
      </c>
      <c r="CK238">
        <f>IF(ISBLANK('Data Entry'!$$238), "", 'Data Entry'!$$238)</f>
      </c>
      <c r="CL238">
        <f>IF(ISBLANK('Data Entry'!$$238), "", 'Data Entry'!$$238)</f>
      </c>
      <c r="CM238">
        <f>IF(ISBLANK('Data Entry'!$$238), "", 'Data Entry'!$$238)</f>
      </c>
      <c r="CN238">
        <f>IF(ISBLANK('Data Entry'!$$238), "", 'Data Entry'!$$238)</f>
      </c>
      <c r="CO238">
        <f>IF(ISBLANK('Data Entry'!$$238), "", 'Data Entry'!$$238)</f>
      </c>
      <c r="CP238">
        <f>IF(ISBLANK('Data Entry'!$$238), "", 'Data Entry'!$$238)</f>
      </c>
      <c r="CQ238">
        <f>IF(ISBLANK('Data Entry'!$$238), "", 'Data Entry'!$$238)</f>
      </c>
      <c r="CR238">
        <f>IF(ISBLANK('Data Entry'!$ $238), "", 'Data Entry'!$ $238)</f>
      </c>
      <c r="CS238">
        <f>IF(ISBLANK('Data Entry'!$¡$238), "", 'Data Entry'!$¡$238)</f>
      </c>
      <c r="CT238">
        <f>IF(ISBLANK('Data Entry'!$¢$238), "", 'Data Entry'!$¢$238)</f>
      </c>
      <c r="CU238">
        <f>IF(ISBLANK('Data Entry'!$£$238), "", 'Data Entry'!$£$238)</f>
      </c>
      <c r="CV238">
        <f>IF(ISBLANK('Data Entry'!$¤$238), "", 'Data Entry'!$¤$238)</f>
      </c>
      <c r="CW238">
        <f>IF(ISBLANK('Data Entry'!$¥$238), "", 'Data Entry'!$¥$238)</f>
      </c>
      <c r="CX238">
        <f>IF(ISBLANK('Data Entry'!$¦$238), "", 'Data Entry'!$¦$238)</f>
      </c>
      <c r="CY238">
        <f>IF(ISBLANK('Data Entry'!$§$238), "", 'Data Entry'!$§$238)</f>
      </c>
      <c r="CZ238">
        <f>IF(ISBLANK('Data Entry'!$¨$238), "", 'Data Entry'!$¨$238)</f>
      </c>
      <c r="DA238">
        <f>IF(ISBLANK('Data Entry'!$©$238), "", 'Data Entry'!$©$238)</f>
      </c>
      <c r="DB238">
        <f>IF(ISBLANK('Data Entry'!$ª$238), "", 'Data Entry'!$ª$238)</f>
      </c>
      <c r="DC238">
        <f>IF(ISBLANK('Data Entry'!$«$238), "", 'Data Entry'!$«$238)</f>
      </c>
      <c r="DD238">
        <f>IF(ISBLANK('Data Entry'!$¬$238), "", 'Data Entry'!$¬$238)</f>
      </c>
      <c r="DE238">
        <f>IF(ISBLANK('Data Entry'!$­$238), "", 'Data Entry'!$­$238)</f>
      </c>
      <c r="DF238">
        <f>IF(ISBLANK('Data Entry'!$®$238), "", 'Data Entry'!$®$238)</f>
      </c>
      <c r="DG238">
        <f>IF(ISBLANK('Data Entry'!$¯$238), "", 'Data Entry'!$¯$238)</f>
      </c>
      <c r="DH238">
        <f>IF(ISBLANK('Data Entry'!$°$238), "", 'Data Entry'!$°$238)</f>
      </c>
      <c r="DI238">
        <f>IF(ISBLANK('Data Entry'!$±$238), "", 'Data Entry'!$±$238)</f>
      </c>
      <c r="DJ238">
        <f>IF(ISBLANK('Data Entry'!$²$238), "", 'Data Entry'!$²$238)</f>
      </c>
      <c r="DK238">
        <f>IF(ISBLANK('Data Entry'!$³$238), "", 'Data Entry'!$³$238)</f>
      </c>
      <c r="DL238">
        <f>IF(ISBLANK('Data Entry'!$´$238), "", 'Data Entry'!$´$238)</f>
      </c>
      <c r="DM238">
        <f>IF(ISBLANK('Data Entry'!$µ$238), "", 'Data Entry'!$µ$238)</f>
      </c>
      <c r="DN238">
        <f>IF(ISBLANK('Data Entry'!$¶$238), "", 'Data Entry'!$¶$238)</f>
      </c>
      <c r="DO238">
        <f>IF(ISBLANK('Data Entry'!$·$238), "", 'Data Entry'!$·$238)</f>
      </c>
      <c r="DP238">
        <f>IF(ISBLANK('Data Entry'!$¸$238), "", 'Data Entry'!$¸$238)</f>
      </c>
      <c r="DQ238">
        <f>IF(ISBLANK('Data Entry'!$¹$238), "", 'Data Entry'!$¹$238)</f>
      </c>
      <c r="DR238">
        <f>IF(ISBLANK('Data Entry'!$º$238), "", 'Data Entry'!$º$238)</f>
      </c>
      <c r="DS238">
        <f>IF(ISBLANK('Data Entry'!$»$238), "", 'Data Entry'!$»$238)</f>
      </c>
      <c r="DT238">
        <f>IF(ISBLANK('Data Entry'!$¼$238), "", 'Data Entry'!$¼$238)</f>
      </c>
      <c r="DU238">
        <f>IF(ISBLANK('Data Entry'!$½$238), "", 'Data Entry'!$½$238)</f>
      </c>
      <c r="DV238">
        <f>IF(ISBLANK('Data Entry'!$¾$238), "", 'Data Entry'!$¾$238)</f>
      </c>
      <c r="DW238">
        <f>IF(ISBLANK('Data Entry'!$¿$238), "", 'Data Entry'!$¿$238)</f>
      </c>
      <c r="DX238">
        <f>IF(ISBLANK('Data Entry'!$À$238), "", 'Data Entry'!$À$238)</f>
      </c>
      <c r="DY238">
        <f>IF(ISBLANK('Data Entry'!$Á$238), "", 'Data Entry'!$Á$238)</f>
      </c>
      <c r="DZ238">
        <f>IF(ISBLANK('Data Entry'!$Â$238), "", 'Data Entry'!$Â$238)</f>
      </c>
      <c r="EA238">
        <f>IF(ISBLANK('Data Entry'!$Ã$238), "", 'Data Entry'!$Ã$238)</f>
      </c>
      <c r="EB238">
        <f>IF(ISBLANK('Data Entry'!$Ä$238), "", 'Data Entry'!$Ä$238)</f>
      </c>
      <c r="EC238">
        <f>IF(ISBLANK('Data Entry'!$Å$238), "", 'Data Entry'!$Å$238)</f>
      </c>
      <c r="ED238">
        <f>IF(ISBLANK('Data Entry'!$Æ$238), "", 'Data Entry'!$Æ$238)</f>
      </c>
      <c r="EE238">
        <f>IF(ISBLANK('Data Entry'!$Ç$238), "", 'Data Entry'!$Ç$238)</f>
      </c>
      <c r="EF238">
        <f>IF(ISBLANK('Data Entry'!$È$238), "", 'Data Entry'!$È$238)</f>
      </c>
      <c r="EG238">
        <f>IF(ISBLANK('Data Entry'!$É$238), "", 'Data Entry'!$É$238)</f>
      </c>
      <c r="EH238">
        <f>IF(ISBLANK('Data Entry'!$Ê$238), "", 'Data Entry'!$Ê$238)</f>
      </c>
      <c r="EI238">
        <f>IF(ISBLANK('Data Entry'!$Ë$238), "", 'Data Entry'!$Ë$238)</f>
      </c>
      <c r="EJ238">
        <f>IF(ISBLANK('Data Entry'!$Ì$238), "", 'Data Entry'!$Ì$238)</f>
      </c>
      <c r="EK238">
        <f>IF(ISBLANK('Data Entry'!$Í$238), "", 'Data Entry'!$Í$238)</f>
      </c>
      <c r="EL238">
        <f>IF(ISBLANK('Data Entry'!$Î$238), "", 'Data Entry'!$Î$238)</f>
      </c>
      <c r="EM238">
        <f>IF(ISBLANK('Data Entry'!$Ï$238), "", 'Data Entry'!$Ï$238)</f>
      </c>
      <c r="EN238">
        <f>IF(ISBLANK('Data Entry'!$Ð$238), "", 'Data Entry'!$Ð$238)</f>
      </c>
      <c r="EO238">
        <f>IF(ISBLANK('Data Entry'!$Ñ$238), "", 'Data Entry'!$Ñ$238)</f>
      </c>
      <c r="EP238">
        <f>IF(ISBLANK('Data Entry'!$Ò$238), "", 'Data Entry'!$Ò$238)</f>
      </c>
      <c r="EQ238">
        <f>IF(ISBLANK('Data Entry'!$Ó$238), "", 'Data Entry'!$Ó$238)</f>
      </c>
      <c r="ER238">
        <f>IF(ISBLANK('Data Entry'!$Ô$238), "", 'Data Entry'!$Ô$238)</f>
      </c>
      <c r="ES238">
        <f>IF(ISBLANK('Data Entry'!$Õ$238), "", 'Data Entry'!$Õ$238)</f>
      </c>
      <c r="ET238">
        <f>IF(ISBLANK('Data Entry'!$Ö$238), "", 'Data Entry'!$Ö$238)</f>
      </c>
      <c r="EU238">
        <f>IF(ISBLANK('Data Entry'!$×$238), "", 'Data Entry'!$×$238)</f>
      </c>
      <c r="EV238">
        <f>IF(ISBLANK('Data Entry'!$Ø$238), "", 'Data Entry'!$Ø$238)</f>
      </c>
      <c r="EW238">
        <f>IF(ISBLANK('Data Entry'!$Ù$238), "", 'Data Entry'!$Ù$238)</f>
      </c>
      <c r="EX238">
        <f>IF(ISBLANK('Data Entry'!$Ú$238), "", 'Data Entry'!$Ú$238)</f>
      </c>
      <c r="EY238">
        <f>IF(ISBLANK('Data Entry'!$Û$238), "", 'Data Entry'!$Û$238)</f>
      </c>
      <c r="EZ238">
        <f>IF(ISBLANK('Data Entry'!$Ü$238), "", 'Data Entry'!$Ü$238)</f>
      </c>
      <c r="FA238">
        <f>IF(ISBLANK('Data Entry'!$Ý$238), "", 'Data Entry'!$Ý$238)</f>
      </c>
      <c r="FB238">
        <f>IF(ISBLANK('Data Entry'!$Þ$238), "", 'Data Entry'!$Þ$238)</f>
      </c>
      <c r="FC238">
        <f>IF(ISBLANK('Data Entry'!$ß$238), "", 'Data Entry'!$ß$238)</f>
      </c>
      <c r="FD238">
        <f>IF(ISBLANK('Data Entry'!$à$238), "", 'Data Entry'!$à$238)</f>
      </c>
      <c r="FE238">
        <f>IF(ISBLANK('Data Entry'!$á$238), "", 'Data Entry'!$á$238)</f>
      </c>
      <c r="FF238">
        <f>IF(ISBLANK('Data Entry'!$â$238), "", 'Data Entry'!$â$238)</f>
      </c>
      <c r="FG238">
        <f>IF(ISBLANK('Data Entry'!$ã$238), "", 'Data Entry'!$ã$238)</f>
      </c>
      <c r="FH238">
        <f>IF(ISBLANK('Data Entry'!$ä$238), "", 'Data Entry'!$ä$238)</f>
      </c>
      <c r="FI238">
        <f>IF(ISBLANK('Data Entry'!$å$238), "", 'Data Entry'!$å$238)</f>
      </c>
      <c r="FJ238">
        <f>IF(ISBLANK('Data Entry'!$æ$238), "", 'Data Entry'!$æ$238)</f>
      </c>
      <c r="FK238">
        <f>IF(ISBLANK('Data Entry'!$ç$238), "", 'Data Entry'!$ç$238)</f>
      </c>
      <c r="FL238">
        <f>IF(ISBLANK('Data Entry'!$è$238), "", 'Data Entry'!$è$238)</f>
      </c>
      <c r="FM238">
        <f>IF(ISBLANK('Data Entry'!$é$238), "", 'Data Entry'!$é$238)</f>
      </c>
      <c r="FN238">
        <f>IF(ISBLANK('Data Entry'!$ê$238), "", 'Data Entry'!$ê$238)</f>
      </c>
      <c r="FO238">
        <f>IF(ISBLANK('Data Entry'!$ë$238), "", 'Data Entry'!$ë$238)</f>
      </c>
      <c r="FP238">
        <f>IF(ISBLANK('Data Entry'!$ì$238), "", 'Data Entry'!$ì$238)</f>
      </c>
      <c r="FQ238">
        <f>IF(ISBLANK('Data Entry'!$í$238), "", 'Data Entry'!$í$238)</f>
      </c>
      <c r="FR238">
        <f>IF(ISBLANK('Data Entry'!$î$238), "", 'Data Entry'!$î$238)</f>
      </c>
      <c r="FS238">
        <f>IF(ISBLANK('Data Entry'!$ï$238), "", 'Data Entry'!$ï$238)</f>
      </c>
      <c r="FT238">
        <f>IF(ISBLANK('Data Entry'!$ð$238), "", 'Data Entry'!$ð$238)</f>
      </c>
      <c r="FU238">
        <f>IF(ISBLANK('Data Entry'!$ñ$238), "", 'Data Entry'!$ñ$238)</f>
      </c>
      <c r="FV238">
        <f>IF(ISBLANK('Data Entry'!$ò$238), "", 'Data Entry'!$ò$238)</f>
      </c>
      <c r="FW238">
        <f>IF(ISBLANK('Data Entry'!$ó$238), "", 'Data Entry'!$ó$238)</f>
      </c>
      <c r="FX238">
        <f>IF(ISBLANK('Data Entry'!$ô$238), "", 'Data Entry'!$ô$238)</f>
      </c>
      <c r="FY238">
        <f>IF(ISBLANK('Data Entry'!$õ$238), "", 'Data Entry'!$õ$238)</f>
      </c>
      <c r="FZ238">
        <f>IF(ISBLANK('Data Entry'!$ö$238), "", 'Data Entry'!$ö$238)</f>
      </c>
      <c r="GA238">
        <f>IF(ISBLANK('Data Entry'!$÷$238), "", 'Data Entry'!$÷$238)</f>
      </c>
      <c r="GB238">
        <f>IF(ISBLANK('Data Entry'!$ø$238), "", 'Data Entry'!$ø$238)</f>
      </c>
      <c r="GC238">
        <f>IF(ISBLANK('Data Entry'!$ù$238), "", 'Data Entry'!$ù$238)</f>
      </c>
      <c r="GD238">
        <f>IF(ISBLANK('Data Entry'!$ú$238), "", 'Data Entry'!$ú$238)</f>
      </c>
      <c r="GE238">
        <f>IF(ISBLANK('Data Entry'!$û$238), "", 'Data Entry'!$û$238)</f>
      </c>
      <c r="GF238">
        <f>IF(ISBLANK('Data Entry'!$ü$238), "", 'Data Entry'!$ü$238)</f>
      </c>
      <c r="GG238">
        <f>IF(ISBLANK('Data Entry'!$ý$238), "", 'Data Entry'!$ý$238)</f>
      </c>
      <c r="GH238">
        <f>IF(ISBLANK('Data Entry'!$þ$238), "", 'Data Entry'!$þ$238)</f>
      </c>
      <c r="GI238">
        <f>IF(ISBLANK('Data Entry'!$ÿ$238), "", 'Data Entry'!$ÿ$238)</f>
      </c>
      <c r="GJ238">
        <f>IF(ISBLANK('Data Entry'!$Ā$238), "", 'Data Entry'!$Ā$238)</f>
      </c>
      <c r="GK238">
        <f>IF(ISBLANK('Data Entry'!$ā$238), "", 'Data Entry'!$ā$238)</f>
      </c>
      <c r="GL238">
        <f>IF(ISBLANK('Data Entry'!$Ă$238), "", 'Data Entry'!$Ă$238)</f>
      </c>
      <c r="GM238">
        <f>IF(ISBLANK('Data Entry'!$ă$238), "", 'Data Entry'!$ă$238)</f>
      </c>
      <c r="GN238">
        <f>IF(ISBLANK('Data Entry'!$Ą$238), "", 'Data Entry'!$Ą$238)</f>
      </c>
      <c r="GO238">
        <f>IF(ISBLANK('Data Entry'!$ą$238), "", 'Data Entry'!$ą$238)</f>
      </c>
      <c r="GP238">
        <f>IF(ISBLANK('Data Entry'!$Ć$238), "", 'Data Entry'!$Ć$238)</f>
      </c>
      <c r="GQ238">
        <f>IF(ISBLANK('Data Entry'!$ć$238), "", 'Data Entry'!$ć$238)</f>
      </c>
      <c r="GR238">
        <f>IF(ISBLANK('Data Entry'!$Ĉ$238), "", 'Data Entry'!$Ĉ$238)</f>
      </c>
      <c r="GS238">
        <f>IF(ISBLANK('Data Entry'!$ĉ$238), "", 'Data Entry'!$ĉ$238)</f>
      </c>
      <c r="GT238">
        <f>IF(ISBLANK('Data Entry'!$Ċ$238), "", 'Data Entry'!$Ċ$238)</f>
      </c>
      <c r="GU238">
        <f>IF(ISBLANK('Data Entry'!$ċ$238), "", 'Data Entry'!$ċ$238)</f>
      </c>
      <c r="GV238">
        <f>IF(ISBLANK('Data Entry'!$Č$238), "", 'Data Entry'!$Č$238)</f>
      </c>
      <c r="GW238">
        <f>IF(ISBLANK('Data Entry'!$č$238), "", 'Data Entry'!$č$238)</f>
      </c>
      <c r="GX238">
        <f>IF(ISBLANK('Data Entry'!$Ď$238), "", 'Data Entry'!$Ď$238)</f>
      </c>
      <c r="GY238">
        <f>IF(ISBLANK('Data Entry'!$ď$238), "", 'Data Entry'!$ď$238)</f>
      </c>
      <c r="GZ238">
        <f>IF(ISBLANK('Data Entry'!$Đ$238), "", 'Data Entry'!$Đ$238)</f>
      </c>
      <c r="HA238">
        <f>IF(ISBLANK('Data Entry'!$đ$238), "", 'Data Entry'!$đ$238)</f>
      </c>
      <c r="HB238">
        <f>IF(ISBLANK('Data Entry'!$Ē$238), "", 'Data Entry'!$Ē$238)</f>
      </c>
      <c r="HC238">
        <f>IF(ISBLANK('Data Entry'!$ē$238), "", 'Data Entry'!$ē$238)</f>
      </c>
      <c r="HD238">
        <f>IF(ISBLANK('Data Entry'!$Ĕ$238), "", 'Data Entry'!$Ĕ$238)</f>
      </c>
      <c r="HE238">
        <f>IF(ISBLANK('Data Entry'!$ĕ$238), "", 'Data Entry'!$ĕ$238)</f>
      </c>
      <c r="HF238">
        <f>IF(ISBLANK('Data Entry'!$Ė$238), "", 'Data Entry'!$Ė$238)</f>
      </c>
      <c r="HG238">
        <f>IF(ISBLANK('Data Entry'!$ė$238), "", 'Data Entry'!$ė$238)</f>
      </c>
      <c r="HH238">
        <f>IF(ISBLANK('Data Entry'!$Ę$238), "", 'Data Entry'!$Ę$238)</f>
      </c>
      <c r="HI238">
        <f>IF(ISBLANK('Data Entry'!$ę$238), "", 'Data Entry'!$ę$238)</f>
      </c>
      <c r="HJ238">
        <f>IF(ISBLANK('Data Entry'!$Ě$238), "", 'Data Entry'!$Ě$238)</f>
      </c>
      <c r="HK238">
        <f>IF(ISBLANK('Data Entry'!$ě$238), "", 'Data Entry'!$ě$238)</f>
      </c>
      <c r="HL238">
        <f>IF(ISBLANK('Data Entry'!$Ĝ$238), "", 'Data Entry'!$Ĝ$238)</f>
      </c>
      <c r="HM238">
        <f>IF(ISBLANK('Data Entry'!$ĝ$238), "", 'Data Entry'!$ĝ$238)</f>
      </c>
      <c r="HN238">
        <f>IF(ISBLANK('Data Entry'!$Ğ$238), "", 'Data Entry'!$Ğ$238)</f>
      </c>
      <c r="HO238">
        <f>IF(ISBLANK('Data Entry'!$ğ$238), "", 'Data Entry'!$ğ$238)</f>
      </c>
      <c r="HP238">
        <f>IF(ISBLANK('Data Entry'!$Ġ$238), "", 'Data Entry'!$Ġ$238)</f>
      </c>
      <c r="HQ238">
        <f>IF(ISBLANK('Data Entry'!$ġ$238), "", 'Data Entry'!$ġ$238)</f>
      </c>
      <c r="HR238">
        <f>IF(ISBLANK('Data Entry'!$Ģ$238), "", 'Data Entry'!$Ģ$238)</f>
      </c>
      <c r="HS238">
        <f>IF(ISBLANK('Data Entry'!$ģ$238), "", 'Data Entry'!$ģ$238)</f>
      </c>
      <c r="HT238">
        <f>IF(ISBLANK('Data Entry'!$Ĥ$238), "", 'Data Entry'!$Ĥ$238)</f>
      </c>
      <c r="HU238">
        <f>IF(ISBLANK('Data Entry'!$ĥ$238), "", 'Data Entry'!$ĥ$238)</f>
      </c>
      <c r="HV238">
        <f>IF(ISBLANK('Data Entry'!$Ħ$238), "", 'Data Entry'!$Ħ$238)</f>
      </c>
      <c r="HW238">
        <f>IF(ISBLANK('Data Entry'!$ħ$238), "", 'Data Entry'!$ħ$238)</f>
      </c>
      <c r="HX238">
        <f>IF(ISBLANK('Data Entry'!$Ĩ$238), "", 'Data Entry'!$Ĩ$238)</f>
      </c>
      <c r="HY238">
        <f>IF(ISBLANK('Data Entry'!$ĩ$238), "", 'Data Entry'!$ĩ$238)</f>
      </c>
      <c r="HZ238">
        <f>IF(ISBLANK('Data Entry'!$Ī$238), "", 'Data Entry'!$Ī$238)</f>
      </c>
      <c r="IA238">
        <f>IF(ISBLANK('Data Entry'!$ī$238), "", 'Data Entry'!$ī$238)</f>
      </c>
      <c r="IB238">
        <f>IF(ISBLANK('Data Entry'!$Ĭ$238), "", 'Data Entry'!$Ĭ$238)</f>
      </c>
      <c r="IC238">
        <f>IF(ISBLANK('Data Entry'!$ĭ$238), "", 'Data Entry'!$ĭ$238)</f>
      </c>
      <c r="ID238">
        <f>IF(ISBLANK('Data Entry'!$Į$238), "", 'Data Entry'!$Į$238)</f>
      </c>
      <c r="IE238">
        <f>IF(ISBLANK('Data Entry'!$į$238), "", 'Data Entry'!$į$238)</f>
      </c>
      <c r="IF238">
        <f>IF(ISBLANK('Data Entry'!$İ$238), "", 'Data Entry'!$İ$238)</f>
      </c>
      <c r="IG238">
        <f>IF(ISBLANK('Data Entry'!$ı$238), "", 'Data Entry'!$ı$238)</f>
      </c>
      <c r="IH238">
        <f>IF(ISBLANK('Data Entry'!$Ĳ$238), "", 'Data Entry'!$Ĳ$238)</f>
      </c>
      <c r="II238">
        <f>IF(ISBLANK('Data Entry'!$ĳ$238), "", 'Data Entry'!$ĳ$238)</f>
      </c>
      <c r="IJ238">
        <f>IF(ISBLANK('Data Entry'!$Ĵ$238), "", 'Data Entry'!$Ĵ$238)</f>
      </c>
      <c r="IK238">
        <f>IF(ISBLANK('Data Entry'!$ĵ$238), "", 'Data Entry'!$ĵ$238)</f>
      </c>
      <c r="IL238">
        <f>IF(ISBLANK('Data Entry'!$Ķ$238), "", 'Data Entry'!$Ķ$238)</f>
      </c>
      <c r="IM238">
        <f>IF(ISBLANK('Data Entry'!$ķ$238), "", 'Data Entry'!$ķ$238)</f>
      </c>
      <c r="IN238">
        <f>IF(ISBLANK('Data Entry'!$ĸ$238), "", 'Data Entry'!$ĸ$238)</f>
      </c>
      <c r="IO238">
        <f>IF(ISBLANK('Data Entry'!$Ĺ$238), "", 'Data Entry'!$Ĺ$238)</f>
      </c>
      <c r="IP238">
        <f>IF(ISBLANK('Data Entry'!$ĺ$238), "", 'Data Entry'!$ĺ$238)</f>
      </c>
      <c r="IQ238">
        <f>IF(ISBLANK('Data Entry'!$Ļ$238), "", 'Data Entry'!$Ļ$238)</f>
      </c>
      <c r="IR238">
        <f>IF(ISBLANK('Data Entry'!$ļ$238), "", 'Data Entry'!$ļ$238)</f>
      </c>
      <c r="IS238">
        <f>IF(ISBLANK('Data Entry'!$Ľ$238), "", 'Data Entry'!$Ľ$238)</f>
      </c>
      <c r="IT238">
        <f>IF(ISBLANK('Data Entry'!$ľ$238), "", 'Data Entry'!$ľ$238)</f>
      </c>
    </row>
    <row r="239" spans="1:254" x14ac:dyDescent="0.25">
      <c r="A239">
        <f>IF(ISBLANK('Data Entry'!$A$239), "", 'Data Entry'!$A$239)</f>
      </c>
      <c r="B239">
        <f>IF(ISBLANK('Data Entry'!$B$239), "", 'Data Entry'!$B$239)</f>
      </c>
      <c r="C239">
        <f>IF(ISBLANK('Data Entry'!$C$239), "", 'Data Entry'!$C$239)</f>
      </c>
      <c r="D239">
        <f>IF(ISBLANK('Data Entry'!$D$239), "", 'Data Entry'!$D$239)</f>
      </c>
      <c r="E239">
        <f>IF(ISBLANK('Data Entry'!$E$239), "", 'Data Entry'!$E$239)</f>
      </c>
      <c r="F239">
        <f>IF(ISBLANK('Data Entry'!$F$239), "", 'Data Entry'!$F$239)</f>
      </c>
      <c r="G239">
        <f>IF(ISBLANK('Data Entry'!$G$239), "", 'Data Entry'!$G$239)</f>
      </c>
      <c r="H239">
        <f>IF(ISBLANK('Data Entry'!$H$239), "", 'Data Entry'!$H$239)</f>
      </c>
      <c r="I239">
        <f>IF(ISBLANK('Data Entry'!$I$239), "", 'Data Entry'!$I$239)</f>
      </c>
      <c r="J239">
        <f>IF(ISBLANK('Data Entry'!$J$239), "", 'Data Entry'!$J$239)</f>
      </c>
      <c r="K239">
        <f>IF(ISBLANK('Data Entry'!$K$239), "", 'Data Entry'!$K$239)</f>
      </c>
      <c r="L239">
        <f>IF(ISBLANK('Data Entry'!$L$239), "", 'Data Entry'!$L$239)</f>
      </c>
      <c r="M239">
        <f>IF(ISBLANK('Data Entry'!$M$239), "", 'Data Entry'!$M$239)</f>
      </c>
      <c r="N239">
        <f>IF(ISBLANK('Data Entry'!$N$239), "", 'Data Entry'!$N$239)</f>
      </c>
      <c r="O239">
        <f>IF(ISBLANK('Data Entry'!$O$239), "", 'Data Entry'!$O$239)</f>
      </c>
      <c r="P239">
        <f>IF(ISBLANK('Data Entry'!$P$239), "", 'Data Entry'!$P$239)</f>
      </c>
      <c r="Q239">
        <f>IF(ISBLANK('Data Entry'!$Q$239), "", 'Data Entry'!$Q$239)</f>
      </c>
      <c r="R239">
        <f>IF(ISBLANK('Data Entry'!$R$239), "", 'Data Entry'!$R$239)</f>
      </c>
      <c r="S239">
        <f>IF(ISBLANK('Data Entry'!$S$239), "", 'Data Entry'!$S$239)</f>
      </c>
      <c r="T239">
        <f>IF(ISBLANK('Data Entry'!$T$239), "", 'Data Entry'!$T$239)</f>
      </c>
      <c r="U239">
        <f>IF(ISBLANK('Data Entry'!$U$239), "", 'Data Entry'!$U$239)</f>
      </c>
      <c r="V239">
        <f>IF(ISBLANK('Data Entry'!$V$239), "", 'Data Entry'!$V$239)</f>
      </c>
      <c r="W239">
        <f>IF(ISBLANK('Data Entry'!$W$239), "", 'Data Entry'!$W$239)</f>
      </c>
      <c r="X239">
        <f>IF(ISBLANK('Data Entry'!$X$239), "", 'Data Entry'!$X$239)</f>
      </c>
      <c r="Y239">
        <f>IF(ISBLANK('Data Entry'!$Y$239), "", 'Data Entry'!$Y$239)</f>
      </c>
      <c r="Z239">
        <f>IF(ISBLANK('Data Entry'!$Z$239), "", 'Data Entry'!$Z$239)</f>
      </c>
      <c r="AA239">
        <f>IF(ISBLANK('Data Entry'!$[$239), "", 'Data Entry'!$[$239)</f>
      </c>
      <c r="AB239">
        <f>IF(ISBLANK('Data Entry'!$\$239), "", 'Data Entry'!$\$239)</f>
      </c>
      <c r="AC239">
        <f>IF(ISBLANK('Data Entry'!$]$239), "", 'Data Entry'!$]$239)</f>
      </c>
      <c r="AD239">
        <f>IF(ISBLANK('Data Entry'!$^$239), "", 'Data Entry'!$^$239)</f>
      </c>
      <c r="AE239">
        <f>IF(ISBLANK('Data Entry'!$_$239), "", 'Data Entry'!$_$239)</f>
      </c>
      <c r="AF239">
        <f>IF(ISBLANK('Data Entry'!$`$239), "", 'Data Entry'!$`$239)</f>
      </c>
      <c r="AG239">
        <f>IF(ISBLANK('Data Entry'!$a$239), "", 'Data Entry'!$a$239)</f>
      </c>
      <c r="AH239">
        <f>IF(ISBLANK('Data Entry'!$b$239), "", 'Data Entry'!$b$239)</f>
      </c>
      <c r="AI239">
        <f>IF(ISBLANK('Data Entry'!$c$239), "", 'Data Entry'!$c$239)</f>
      </c>
      <c r="AJ239">
        <f>IF(ISBLANK('Data Entry'!$d$239), "", 'Data Entry'!$d$239)</f>
      </c>
      <c r="AK239">
        <f>IF(ISBLANK('Data Entry'!$e$239), "", 'Data Entry'!$e$239)</f>
      </c>
      <c r="AL239">
        <f>IF(ISBLANK('Data Entry'!$f$239), "", 'Data Entry'!$f$239)</f>
      </c>
      <c r="AM239">
        <f>IF(ISBLANK('Data Entry'!$g$239), "", 'Data Entry'!$g$239)</f>
      </c>
      <c r="AN239">
        <f>IF(ISBLANK('Data Entry'!$h$239), "", 'Data Entry'!$h$239)</f>
      </c>
      <c r="AO239">
        <f>IF(ISBLANK('Data Entry'!$i$239), "", 'Data Entry'!$i$239)</f>
      </c>
      <c r="AP239">
        <f>IF(ISBLANK('Data Entry'!$j$239), "", 'Data Entry'!$j$239)</f>
      </c>
      <c r="AQ239">
        <f>IF(ISBLANK('Data Entry'!$k$239), "", 'Data Entry'!$k$239)</f>
      </c>
      <c r="AR239">
        <f>IF(ISBLANK('Data Entry'!$l$239), "", 'Data Entry'!$l$239)</f>
      </c>
      <c r="AS239">
        <f>IF(ISBLANK('Data Entry'!$m$239), "", 'Data Entry'!$m$239)</f>
      </c>
      <c r="AT239">
        <f>IF(ISBLANK('Data Entry'!$n$239), "", 'Data Entry'!$n$239)</f>
      </c>
      <c r="AU239">
        <f>IF(ISBLANK('Data Entry'!$o$239), "", 'Data Entry'!$o$239)</f>
      </c>
      <c r="AV239">
        <f>IF(ISBLANK('Data Entry'!$p$239), "", 'Data Entry'!$p$239)</f>
      </c>
      <c r="AW239">
        <f>IF(ISBLANK('Data Entry'!$q$239), "", 'Data Entry'!$q$239)</f>
      </c>
      <c r="AX239">
        <f>IF(ISBLANK('Data Entry'!$r$239), "", 'Data Entry'!$r$239)</f>
      </c>
      <c r="AY239">
        <f>IF(ISBLANK('Data Entry'!$s$239), "", 'Data Entry'!$s$239)</f>
      </c>
      <c r="AZ239">
        <f>IF(ISBLANK('Data Entry'!$t$239), "", 'Data Entry'!$t$239)</f>
      </c>
      <c r="BA239">
        <f>IF(ISBLANK('Data Entry'!$u$239), "", 'Data Entry'!$u$239)</f>
      </c>
      <c r="BB239">
        <f>IF(ISBLANK('Data Entry'!$v$239), "", 'Data Entry'!$v$239)</f>
      </c>
      <c r="BC239">
        <f>IF(ISBLANK('Data Entry'!$w$239), "", 'Data Entry'!$w$239)</f>
      </c>
      <c r="BD239">
        <f>IF(ISBLANK('Data Entry'!$x$239), "", 'Data Entry'!$x$239)</f>
      </c>
      <c r="BE239">
        <f>IF(ISBLANK('Data Entry'!$y$239), "", 'Data Entry'!$y$239)</f>
      </c>
      <c r="BF239">
        <f>IF(ISBLANK('Data Entry'!$z$239), "", 'Data Entry'!$z$239)</f>
      </c>
      <c r="BG239">
        <f>IF(ISBLANK('Data Entry'!${$239), "", 'Data Entry'!${$239)</f>
      </c>
      <c r="BH239">
        <f>IF(ISBLANK('Data Entry'!$|$239), "", 'Data Entry'!$|$239)</f>
      </c>
      <c r="BI239">
        <f>IF(ISBLANK('Data Entry'!$}$239), "", 'Data Entry'!$}$239)</f>
      </c>
      <c r="BJ239">
        <f>IF(ISBLANK('Data Entry'!$~$239), "", 'Data Entry'!$~$239)</f>
      </c>
      <c r="BK239">
        <f>IF(ISBLANK('Data Entry'!$$239), "", 'Data Entry'!$$239)</f>
      </c>
      <c r="BL239">
        <f>IF(ISBLANK('Data Entry'!$$239), "", 'Data Entry'!$$239)</f>
      </c>
      <c r="BM239">
        <f>IF(ISBLANK('Data Entry'!$$239), "", 'Data Entry'!$$239)</f>
      </c>
      <c r="BN239">
        <f>IF(ISBLANK('Data Entry'!$$239), "", 'Data Entry'!$$239)</f>
      </c>
      <c r="BO239">
        <f>IF(ISBLANK('Data Entry'!$$239), "", 'Data Entry'!$$239)</f>
      </c>
      <c r="BP239">
        <f>IF(ISBLANK('Data Entry'!$$239), "", 'Data Entry'!$$239)</f>
      </c>
      <c r="BQ239">
        <f>IF(ISBLANK('Data Entry'!$$239), "", 'Data Entry'!$$239)</f>
      </c>
      <c r="BR239">
        <f>IF(ISBLANK('Data Entry'!$$239), "", 'Data Entry'!$$239)</f>
      </c>
      <c r="BS239">
        <f>IF(ISBLANK('Data Entry'!$$239), "", 'Data Entry'!$$239)</f>
      </c>
      <c r="BT239">
        <f>IF(ISBLANK('Data Entry'!$$239), "", 'Data Entry'!$$239)</f>
      </c>
      <c r="BU239">
        <f>IF(ISBLANK('Data Entry'!$$239), "", 'Data Entry'!$$239)</f>
      </c>
      <c r="BV239">
        <f>IF(ISBLANK('Data Entry'!$$239), "", 'Data Entry'!$$239)</f>
      </c>
      <c r="BW239">
        <f>IF(ISBLANK('Data Entry'!$$239), "", 'Data Entry'!$$239)</f>
      </c>
      <c r="BX239">
        <f>IF(ISBLANK('Data Entry'!$$239), "", 'Data Entry'!$$239)</f>
      </c>
      <c r="BY239">
        <f>IF(ISBLANK('Data Entry'!$$239), "", 'Data Entry'!$$239)</f>
      </c>
      <c r="BZ239">
        <f>IF(ISBLANK('Data Entry'!$$239), "", 'Data Entry'!$$239)</f>
      </c>
      <c r="CA239">
        <f>IF(ISBLANK('Data Entry'!$$239), "", 'Data Entry'!$$239)</f>
      </c>
      <c r="CB239">
        <f>IF(ISBLANK('Data Entry'!$$239), "", 'Data Entry'!$$239)</f>
      </c>
      <c r="CC239">
        <f>IF(ISBLANK('Data Entry'!$$239), "", 'Data Entry'!$$239)</f>
      </c>
      <c r="CD239">
        <f>IF(ISBLANK('Data Entry'!$$239), "", 'Data Entry'!$$239)</f>
      </c>
      <c r="CE239">
        <f>IF(ISBLANK('Data Entry'!$$239), "", 'Data Entry'!$$239)</f>
      </c>
      <c r="CF239">
        <f>IF(ISBLANK('Data Entry'!$$239), "", 'Data Entry'!$$239)</f>
      </c>
      <c r="CG239">
        <f>IF(ISBLANK('Data Entry'!$$239), "", 'Data Entry'!$$239)</f>
      </c>
      <c r="CH239">
        <f>IF(ISBLANK('Data Entry'!$$239), "", 'Data Entry'!$$239)</f>
      </c>
      <c r="CI239">
        <f>IF(ISBLANK('Data Entry'!$$239), "", 'Data Entry'!$$239)</f>
      </c>
      <c r="CJ239">
        <f>IF(ISBLANK('Data Entry'!$$239), "", 'Data Entry'!$$239)</f>
      </c>
      <c r="CK239">
        <f>IF(ISBLANK('Data Entry'!$$239), "", 'Data Entry'!$$239)</f>
      </c>
      <c r="CL239">
        <f>IF(ISBLANK('Data Entry'!$$239), "", 'Data Entry'!$$239)</f>
      </c>
      <c r="CM239">
        <f>IF(ISBLANK('Data Entry'!$$239), "", 'Data Entry'!$$239)</f>
      </c>
      <c r="CN239">
        <f>IF(ISBLANK('Data Entry'!$$239), "", 'Data Entry'!$$239)</f>
      </c>
      <c r="CO239">
        <f>IF(ISBLANK('Data Entry'!$$239), "", 'Data Entry'!$$239)</f>
      </c>
      <c r="CP239">
        <f>IF(ISBLANK('Data Entry'!$$239), "", 'Data Entry'!$$239)</f>
      </c>
      <c r="CQ239">
        <f>IF(ISBLANK('Data Entry'!$$239), "", 'Data Entry'!$$239)</f>
      </c>
      <c r="CR239">
        <f>IF(ISBLANK('Data Entry'!$ $239), "", 'Data Entry'!$ $239)</f>
      </c>
      <c r="CS239">
        <f>IF(ISBLANK('Data Entry'!$¡$239), "", 'Data Entry'!$¡$239)</f>
      </c>
      <c r="CT239">
        <f>IF(ISBLANK('Data Entry'!$¢$239), "", 'Data Entry'!$¢$239)</f>
      </c>
      <c r="CU239">
        <f>IF(ISBLANK('Data Entry'!$£$239), "", 'Data Entry'!$£$239)</f>
      </c>
      <c r="CV239">
        <f>IF(ISBLANK('Data Entry'!$¤$239), "", 'Data Entry'!$¤$239)</f>
      </c>
      <c r="CW239">
        <f>IF(ISBLANK('Data Entry'!$¥$239), "", 'Data Entry'!$¥$239)</f>
      </c>
      <c r="CX239">
        <f>IF(ISBLANK('Data Entry'!$¦$239), "", 'Data Entry'!$¦$239)</f>
      </c>
      <c r="CY239">
        <f>IF(ISBLANK('Data Entry'!$§$239), "", 'Data Entry'!$§$239)</f>
      </c>
      <c r="CZ239">
        <f>IF(ISBLANK('Data Entry'!$¨$239), "", 'Data Entry'!$¨$239)</f>
      </c>
      <c r="DA239">
        <f>IF(ISBLANK('Data Entry'!$©$239), "", 'Data Entry'!$©$239)</f>
      </c>
      <c r="DB239">
        <f>IF(ISBLANK('Data Entry'!$ª$239), "", 'Data Entry'!$ª$239)</f>
      </c>
      <c r="DC239">
        <f>IF(ISBLANK('Data Entry'!$«$239), "", 'Data Entry'!$«$239)</f>
      </c>
      <c r="DD239">
        <f>IF(ISBLANK('Data Entry'!$¬$239), "", 'Data Entry'!$¬$239)</f>
      </c>
      <c r="DE239">
        <f>IF(ISBLANK('Data Entry'!$­$239), "", 'Data Entry'!$­$239)</f>
      </c>
      <c r="DF239">
        <f>IF(ISBLANK('Data Entry'!$®$239), "", 'Data Entry'!$®$239)</f>
      </c>
      <c r="DG239">
        <f>IF(ISBLANK('Data Entry'!$¯$239), "", 'Data Entry'!$¯$239)</f>
      </c>
      <c r="DH239">
        <f>IF(ISBLANK('Data Entry'!$°$239), "", 'Data Entry'!$°$239)</f>
      </c>
      <c r="DI239">
        <f>IF(ISBLANK('Data Entry'!$±$239), "", 'Data Entry'!$±$239)</f>
      </c>
      <c r="DJ239">
        <f>IF(ISBLANK('Data Entry'!$²$239), "", 'Data Entry'!$²$239)</f>
      </c>
      <c r="DK239">
        <f>IF(ISBLANK('Data Entry'!$³$239), "", 'Data Entry'!$³$239)</f>
      </c>
      <c r="DL239">
        <f>IF(ISBLANK('Data Entry'!$´$239), "", 'Data Entry'!$´$239)</f>
      </c>
      <c r="DM239">
        <f>IF(ISBLANK('Data Entry'!$µ$239), "", 'Data Entry'!$µ$239)</f>
      </c>
      <c r="DN239">
        <f>IF(ISBLANK('Data Entry'!$¶$239), "", 'Data Entry'!$¶$239)</f>
      </c>
      <c r="DO239">
        <f>IF(ISBLANK('Data Entry'!$·$239), "", 'Data Entry'!$·$239)</f>
      </c>
      <c r="DP239">
        <f>IF(ISBLANK('Data Entry'!$¸$239), "", 'Data Entry'!$¸$239)</f>
      </c>
      <c r="DQ239">
        <f>IF(ISBLANK('Data Entry'!$¹$239), "", 'Data Entry'!$¹$239)</f>
      </c>
      <c r="DR239">
        <f>IF(ISBLANK('Data Entry'!$º$239), "", 'Data Entry'!$º$239)</f>
      </c>
      <c r="DS239">
        <f>IF(ISBLANK('Data Entry'!$»$239), "", 'Data Entry'!$»$239)</f>
      </c>
      <c r="DT239">
        <f>IF(ISBLANK('Data Entry'!$¼$239), "", 'Data Entry'!$¼$239)</f>
      </c>
      <c r="DU239">
        <f>IF(ISBLANK('Data Entry'!$½$239), "", 'Data Entry'!$½$239)</f>
      </c>
      <c r="DV239">
        <f>IF(ISBLANK('Data Entry'!$¾$239), "", 'Data Entry'!$¾$239)</f>
      </c>
      <c r="DW239">
        <f>IF(ISBLANK('Data Entry'!$¿$239), "", 'Data Entry'!$¿$239)</f>
      </c>
      <c r="DX239">
        <f>IF(ISBLANK('Data Entry'!$À$239), "", 'Data Entry'!$À$239)</f>
      </c>
      <c r="DY239">
        <f>IF(ISBLANK('Data Entry'!$Á$239), "", 'Data Entry'!$Á$239)</f>
      </c>
      <c r="DZ239">
        <f>IF(ISBLANK('Data Entry'!$Â$239), "", 'Data Entry'!$Â$239)</f>
      </c>
      <c r="EA239">
        <f>IF(ISBLANK('Data Entry'!$Ã$239), "", 'Data Entry'!$Ã$239)</f>
      </c>
      <c r="EB239">
        <f>IF(ISBLANK('Data Entry'!$Ä$239), "", 'Data Entry'!$Ä$239)</f>
      </c>
      <c r="EC239">
        <f>IF(ISBLANK('Data Entry'!$Å$239), "", 'Data Entry'!$Å$239)</f>
      </c>
      <c r="ED239">
        <f>IF(ISBLANK('Data Entry'!$Æ$239), "", 'Data Entry'!$Æ$239)</f>
      </c>
      <c r="EE239">
        <f>IF(ISBLANK('Data Entry'!$Ç$239), "", 'Data Entry'!$Ç$239)</f>
      </c>
      <c r="EF239">
        <f>IF(ISBLANK('Data Entry'!$È$239), "", 'Data Entry'!$È$239)</f>
      </c>
      <c r="EG239">
        <f>IF(ISBLANK('Data Entry'!$É$239), "", 'Data Entry'!$É$239)</f>
      </c>
      <c r="EH239">
        <f>IF(ISBLANK('Data Entry'!$Ê$239), "", 'Data Entry'!$Ê$239)</f>
      </c>
      <c r="EI239">
        <f>IF(ISBLANK('Data Entry'!$Ë$239), "", 'Data Entry'!$Ë$239)</f>
      </c>
      <c r="EJ239">
        <f>IF(ISBLANK('Data Entry'!$Ì$239), "", 'Data Entry'!$Ì$239)</f>
      </c>
      <c r="EK239">
        <f>IF(ISBLANK('Data Entry'!$Í$239), "", 'Data Entry'!$Í$239)</f>
      </c>
      <c r="EL239">
        <f>IF(ISBLANK('Data Entry'!$Î$239), "", 'Data Entry'!$Î$239)</f>
      </c>
      <c r="EM239">
        <f>IF(ISBLANK('Data Entry'!$Ï$239), "", 'Data Entry'!$Ï$239)</f>
      </c>
      <c r="EN239">
        <f>IF(ISBLANK('Data Entry'!$Ð$239), "", 'Data Entry'!$Ð$239)</f>
      </c>
      <c r="EO239">
        <f>IF(ISBLANK('Data Entry'!$Ñ$239), "", 'Data Entry'!$Ñ$239)</f>
      </c>
      <c r="EP239">
        <f>IF(ISBLANK('Data Entry'!$Ò$239), "", 'Data Entry'!$Ò$239)</f>
      </c>
      <c r="EQ239">
        <f>IF(ISBLANK('Data Entry'!$Ó$239), "", 'Data Entry'!$Ó$239)</f>
      </c>
      <c r="ER239">
        <f>IF(ISBLANK('Data Entry'!$Ô$239), "", 'Data Entry'!$Ô$239)</f>
      </c>
      <c r="ES239">
        <f>IF(ISBLANK('Data Entry'!$Õ$239), "", 'Data Entry'!$Õ$239)</f>
      </c>
      <c r="ET239">
        <f>IF(ISBLANK('Data Entry'!$Ö$239), "", 'Data Entry'!$Ö$239)</f>
      </c>
      <c r="EU239">
        <f>IF(ISBLANK('Data Entry'!$×$239), "", 'Data Entry'!$×$239)</f>
      </c>
      <c r="EV239">
        <f>IF(ISBLANK('Data Entry'!$Ø$239), "", 'Data Entry'!$Ø$239)</f>
      </c>
      <c r="EW239">
        <f>IF(ISBLANK('Data Entry'!$Ù$239), "", 'Data Entry'!$Ù$239)</f>
      </c>
      <c r="EX239">
        <f>IF(ISBLANK('Data Entry'!$Ú$239), "", 'Data Entry'!$Ú$239)</f>
      </c>
      <c r="EY239">
        <f>IF(ISBLANK('Data Entry'!$Û$239), "", 'Data Entry'!$Û$239)</f>
      </c>
      <c r="EZ239">
        <f>IF(ISBLANK('Data Entry'!$Ü$239), "", 'Data Entry'!$Ü$239)</f>
      </c>
      <c r="FA239">
        <f>IF(ISBLANK('Data Entry'!$Ý$239), "", 'Data Entry'!$Ý$239)</f>
      </c>
      <c r="FB239">
        <f>IF(ISBLANK('Data Entry'!$Þ$239), "", 'Data Entry'!$Þ$239)</f>
      </c>
      <c r="FC239">
        <f>IF(ISBLANK('Data Entry'!$ß$239), "", 'Data Entry'!$ß$239)</f>
      </c>
      <c r="FD239">
        <f>IF(ISBLANK('Data Entry'!$à$239), "", 'Data Entry'!$à$239)</f>
      </c>
      <c r="FE239">
        <f>IF(ISBLANK('Data Entry'!$á$239), "", 'Data Entry'!$á$239)</f>
      </c>
      <c r="FF239">
        <f>IF(ISBLANK('Data Entry'!$â$239), "", 'Data Entry'!$â$239)</f>
      </c>
      <c r="FG239">
        <f>IF(ISBLANK('Data Entry'!$ã$239), "", 'Data Entry'!$ã$239)</f>
      </c>
      <c r="FH239">
        <f>IF(ISBLANK('Data Entry'!$ä$239), "", 'Data Entry'!$ä$239)</f>
      </c>
      <c r="FI239">
        <f>IF(ISBLANK('Data Entry'!$å$239), "", 'Data Entry'!$å$239)</f>
      </c>
      <c r="FJ239">
        <f>IF(ISBLANK('Data Entry'!$æ$239), "", 'Data Entry'!$æ$239)</f>
      </c>
      <c r="FK239">
        <f>IF(ISBLANK('Data Entry'!$ç$239), "", 'Data Entry'!$ç$239)</f>
      </c>
      <c r="FL239">
        <f>IF(ISBLANK('Data Entry'!$è$239), "", 'Data Entry'!$è$239)</f>
      </c>
      <c r="FM239">
        <f>IF(ISBLANK('Data Entry'!$é$239), "", 'Data Entry'!$é$239)</f>
      </c>
      <c r="FN239">
        <f>IF(ISBLANK('Data Entry'!$ê$239), "", 'Data Entry'!$ê$239)</f>
      </c>
      <c r="FO239">
        <f>IF(ISBLANK('Data Entry'!$ë$239), "", 'Data Entry'!$ë$239)</f>
      </c>
      <c r="FP239">
        <f>IF(ISBLANK('Data Entry'!$ì$239), "", 'Data Entry'!$ì$239)</f>
      </c>
      <c r="FQ239">
        <f>IF(ISBLANK('Data Entry'!$í$239), "", 'Data Entry'!$í$239)</f>
      </c>
      <c r="FR239">
        <f>IF(ISBLANK('Data Entry'!$î$239), "", 'Data Entry'!$î$239)</f>
      </c>
      <c r="FS239">
        <f>IF(ISBLANK('Data Entry'!$ï$239), "", 'Data Entry'!$ï$239)</f>
      </c>
      <c r="FT239">
        <f>IF(ISBLANK('Data Entry'!$ð$239), "", 'Data Entry'!$ð$239)</f>
      </c>
      <c r="FU239">
        <f>IF(ISBLANK('Data Entry'!$ñ$239), "", 'Data Entry'!$ñ$239)</f>
      </c>
      <c r="FV239">
        <f>IF(ISBLANK('Data Entry'!$ò$239), "", 'Data Entry'!$ò$239)</f>
      </c>
      <c r="FW239">
        <f>IF(ISBLANK('Data Entry'!$ó$239), "", 'Data Entry'!$ó$239)</f>
      </c>
      <c r="FX239">
        <f>IF(ISBLANK('Data Entry'!$ô$239), "", 'Data Entry'!$ô$239)</f>
      </c>
      <c r="FY239">
        <f>IF(ISBLANK('Data Entry'!$õ$239), "", 'Data Entry'!$õ$239)</f>
      </c>
      <c r="FZ239">
        <f>IF(ISBLANK('Data Entry'!$ö$239), "", 'Data Entry'!$ö$239)</f>
      </c>
      <c r="GA239">
        <f>IF(ISBLANK('Data Entry'!$÷$239), "", 'Data Entry'!$÷$239)</f>
      </c>
      <c r="GB239">
        <f>IF(ISBLANK('Data Entry'!$ø$239), "", 'Data Entry'!$ø$239)</f>
      </c>
      <c r="GC239">
        <f>IF(ISBLANK('Data Entry'!$ù$239), "", 'Data Entry'!$ù$239)</f>
      </c>
      <c r="GD239">
        <f>IF(ISBLANK('Data Entry'!$ú$239), "", 'Data Entry'!$ú$239)</f>
      </c>
      <c r="GE239">
        <f>IF(ISBLANK('Data Entry'!$û$239), "", 'Data Entry'!$û$239)</f>
      </c>
      <c r="GF239">
        <f>IF(ISBLANK('Data Entry'!$ü$239), "", 'Data Entry'!$ü$239)</f>
      </c>
      <c r="GG239">
        <f>IF(ISBLANK('Data Entry'!$ý$239), "", 'Data Entry'!$ý$239)</f>
      </c>
      <c r="GH239">
        <f>IF(ISBLANK('Data Entry'!$þ$239), "", 'Data Entry'!$þ$239)</f>
      </c>
      <c r="GI239">
        <f>IF(ISBLANK('Data Entry'!$ÿ$239), "", 'Data Entry'!$ÿ$239)</f>
      </c>
      <c r="GJ239">
        <f>IF(ISBLANK('Data Entry'!$Ā$239), "", 'Data Entry'!$Ā$239)</f>
      </c>
      <c r="GK239">
        <f>IF(ISBLANK('Data Entry'!$ā$239), "", 'Data Entry'!$ā$239)</f>
      </c>
      <c r="GL239">
        <f>IF(ISBLANK('Data Entry'!$Ă$239), "", 'Data Entry'!$Ă$239)</f>
      </c>
      <c r="GM239">
        <f>IF(ISBLANK('Data Entry'!$ă$239), "", 'Data Entry'!$ă$239)</f>
      </c>
      <c r="GN239">
        <f>IF(ISBLANK('Data Entry'!$Ą$239), "", 'Data Entry'!$Ą$239)</f>
      </c>
      <c r="GO239">
        <f>IF(ISBLANK('Data Entry'!$ą$239), "", 'Data Entry'!$ą$239)</f>
      </c>
      <c r="GP239">
        <f>IF(ISBLANK('Data Entry'!$Ć$239), "", 'Data Entry'!$Ć$239)</f>
      </c>
      <c r="GQ239">
        <f>IF(ISBLANK('Data Entry'!$ć$239), "", 'Data Entry'!$ć$239)</f>
      </c>
      <c r="GR239">
        <f>IF(ISBLANK('Data Entry'!$Ĉ$239), "", 'Data Entry'!$Ĉ$239)</f>
      </c>
      <c r="GS239">
        <f>IF(ISBLANK('Data Entry'!$ĉ$239), "", 'Data Entry'!$ĉ$239)</f>
      </c>
      <c r="GT239">
        <f>IF(ISBLANK('Data Entry'!$Ċ$239), "", 'Data Entry'!$Ċ$239)</f>
      </c>
      <c r="GU239">
        <f>IF(ISBLANK('Data Entry'!$ċ$239), "", 'Data Entry'!$ċ$239)</f>
      </c>
      <c r="GV239">
        <f>IF(ISBLANK('Data Entry'!$Č$239), "", 'Data Entry'!$Č$239)</f>
      </c>
      <c r="GW239">
        <f>IF(ISBLANK('Data Entry'!$č$239), "", 'Data Entry'!$č$239)</f>
      </c>
      <c r="GX239">
        <f>IF(ISBLANK('Data Entry'!$Ď$239), "", 'Data Entry'!$Ď$239)</f>
      </c>
      <c r="GY239">
        <f>IF(ISBLANK('Data Entry'!$ď$239), "", 'Data Entry'!$ď$239)</f>
      </c>
      <c r="GZ239">
        <f>IF(ISBLANK('Data Entry'!$Đ$239), "", 'Data Entry'!$Đ$239)</f>
      </c>
      <c r="HA239">
        <f>IF(ISBLANK('Data Entry'!$đ$239), "", 'Data Entry'!$đ$239)</f>
      </c>
      <c r="HB239">
        <f>IF(ISBLANK('Data Entry'!$Ē$239), "", 'Data Entry'!$Ē$239)</f>
      </c>
      <c r="HC239">
        <f>IF(ISBLANK('Data Entry'!$ē$239), "", 'Data Entry'!$ē$239)</f>
      </c>
      <c r="HD239">
        <f>IF(ISBLANK('Data Entry'!$Ĕ$239), "", 'Data Entry'!$Ĕ$239)</f>
      </c>
      <c r="HE239">
        <f>IF(ISBLANK('Data Entry'!$ĕ$239), "", 'Data Entry'!$ĕ$239)</f>
      </c>
      <c r="HF239">
        <f>IF(ISBLANK('Data Entry'!$Ė$239), "", 'Data Entry'!$Ė$239)</f>
      </c>
      <c r="HG239">
        <f>IF(ISBLANK('Data Entry'!$ė$239), "", 'Data Entry'!$ė$239)</f>
      </c>
      <c r="HH239">
        <f>IF(ISBLANK('Data Entry'!$Ę$239), "", 'Data Entry'!$Ę$239)</f>
      </c>
      <c r="HI239">
        <f>IF(ISBLANK('Data Entry'!$ę$239), "", 'Data Entry'!$ę$239)</f>
      </c>
      <c r="HJ239">
        <f>IF(ISBLANK('Data Entry'!$Ě$239), "", 'Data Entry'!$Ě$239)</f>
      </c>
      <c r="HK239">
        <f>IF(ISBLANK('Data Entry'!$ě$239), "", 'Data Entry'!$ě$239)</f>
      </c>
      <c r="HL239">
        <f>IF(ISBLANK('Data Entry'!$Ĝ$239), "", 'Data Entry'!$Ĝ$239)</f>
      </c>
      <c r="HM239">
        <f>IF(ISBLANK('Data Entry'!$ĝ$239), "", 'Data Entry'!$ĝ$239)</f>
      </c>
      <c r="HN239">
        <f>IF(ISBLANK('Data Entry'!$Ğ$239), "", 'Data Entry'!$Ğ$239)</f>
      </c>
      <c r="HO239">
        <f>IF(ISBLANK('Data Entry'!$ğ$239), "", 'Data Entry'!$ğ$239)</f>
      </c>
      <c r="HP239">
        <f>IF(ISBLANK('Data Entry'!$Ġ$239), "", 'Data Entry'!$Ġ$239)</f>
      </c>
      <c r="HQ239">
        <f>IF(ISBLANK('Data Entry'!$ġ$239), "", 'Data Entry'!$ġ$239)</f>
      </c>
      <c r="HR239">
        <f>IF(ISBLANK('Data Entry'!$Ģ$239), "", 'Data Entry'!$Ģ$239)</f>
      </c>
      <c r="HS239">
        <f>IF(ISBLANK('Data Entry'!$ģ$239), "", 'Data Entry'!$ģ$239)</f>
      </c>
      <c r="HT239">
        <f>IF(ISBLANK('Data Entry'!$Ĥ$239), "", 'Data Entry'!$Ĥ$239)</f>
      </c>
      <c r="HU239">
        <f>IF(ISBLANK('Data Entry'!$ĥ$239), "", 'Data Entry'!$ĥ$239)</f>
      </c>
      <c r="HV239">
        <f>IF(ISBLANK('Data Entry'!$Ħ$239), "", 'Data Entry'!$Ħ$239)</f>
      </c>
      <c r="HW239">
        <f>IF(ISBLANK('Data Entry'!$ħ$239), "", 'Data Entry'!$ħ$239)</f>
      </c>
      <c r="HX239">
        <f>IF(ISBLANK('Data Entry'!$Ĩ$239), "", 'Data Entry'!$Ĩ$239)</f>
      </c>
      <c r="HY239">
        <f>IF(ISBLANK('Data Entry'!$ĩ$239), "", 'Data Entry'!$ĩ$239)</f>
      </c>
      <c r="HZ239">
        <f>IF(ISBLANK('Data Entry'!$Ī$239), "", 'Data Entry'!$Ī$239)</f>
      </c>
      <c r="IA239">
        <f>IF(ISBLANK('Data Entry'!$ī$239), "", 'Data Entry'!$ī$239)</f>
      </c>
      <c r="IB239">
        <f>IF(ISBLANK('Data Entry'!$Ĭ$239), "", 'Data Entry'!$Ĭ$239)</f>
      </c>
      <c r="IC239">
        <f>IF(ISBLANK('Data Entry'!$ĭ$239), "", 'Data Entry'!$ĭ$239)</f>
      </c>
      <c r="ID239">
        <f>IF(ISBLANK('Data Entry'!$Į$239), "", 'Data Entry'!$Į$239)</f>
      </c>
      <c r="IE239">
        <f>IF(ISBLANK('Data Entry'!$į$239), "", 'Data Entry'!$į$239)</f>
      </c>
      <c r="IF239">
        <f>IF(ISBLANK('Data Entry'!$İ$239), "", 'Data Entry'!$İ$239)</f>
      </c>
      <c r="IG239">
        <f>IF(ISBLANK('Data Entry'!$ı$239), "", 'Data Entry'!$ı$239)</f>
      </c>
      <c r="IH239">
        <f>IF(ISBLANK('Data Entry'!$Ĳ$239), "", 'Data Entry'!$Ĳ$239)</f>
      </c>
      <c r="II239">
        <f>IF(ISBLANK('Data Entry'!$ĳ$239), "", 'Data Entry'!$ĳ$239)</f>
      </c>
      <c r="IJ239">
        <f>IF(ISBLANK('Data Entry'!$Ĵ$239), "", 'Data Entry'!$Ĵ$239)</f>
      </c>
      <c r="IK239">
        <f>IF(ISBLANK('Data Entry'!$ĵ$239), "", 'Data Entry'!$ĵ$239)</f>
      </c>
      <c r="IL239">
        <f>IF(ISBLANK('Data Entry'!$Ķ$239), "", 'Data Entry'!$Ķ$239)</f>
      </c>
      <c r="IM239">
        <f>IF(ISBLANK('Data Entry'!$ķ$239), "", 'Data Entry'!$ķ$239)</f>
      </c>
      <c r="IN239">
        <f>IF(ISBLANK('Data Entry'!$ĸ$239), "", 'Data Entry'!$ĸ$239)</f>
      </c>
      <c r="IO239">
        <f>IF(ISBLANK('Data Entry'!$Ĺ$239), "", 'Data Entry'!$Ĺ$239)</f>
      </c>
      <c r="IP239">
        <f>IF(ISBLANK('Data Entry'!$ĺ$239), "", 'Data Entry'!$ĺ$239)</f>
      </c>
      <c r="IQ239">
        <f>IF(ISBLANK('Data Entry'!$Ļ$239), "", 'Data Entry'!$Ļ$239)</f>
      </c>
      <c r="IR239">
        <f>IF(ISBLANK('Data Entry'!$ļ$239), "", 'Data Entry'!$ļ$239)</f>
      </c>
      <c r="IS239">
        <f>IF(ISBLANK('Data Entry'!$Ľ$239), "", 'Data Entry'!$Ľ$239)</f>
      </c>
      <c r="IT239">
        <f>IF(ISBLANK('Data Entry'!$ľ$239), "", 'Data Entry'!$ľ$239)</f>
      </c>
    </row>
    <row r="240" spans="1:254" x14ac:dyDescent="0.25">
      <c r="A240">
        <f>IF(ISBLANK('Data Entry'!$A$240), "", 'Data Entry'!$A$240)</f>
      </c>
      <c r="B240">
        <f>IF(ISBLANK('Data Entry'!$B$240), "", 'Data Entry'!$B$240)</f>
      </c>
      <c r="C240">
        <f>IF(ISBLANK('Data Entry'!$C$240), "", 'Data Entry'!$C$240)</f>
      </c>
      <c r="D240">
        <f>IF(ISBLANK('Data Entry'!$D$240), "", 'Data Entry'!$D$240)</f>
      </c>
      <c r="E240">
        <f>IF(ISBLANK('Data Entry'!$E$240), "", 'Data Entry'!$E$240)</f>
      </c>
      <c r="F240">
        <f>IF(ISBLANK('Data Entry'!$F$240), "", 'Data Entry'!$F$240)</f>
      </c>
      <c r="G240">
        <f>IF(ISBLANK('Data Entry'!$G$240), "", 'Data Entry'!$G$240)</f>
      </c>
      <c r="H240">
        <f>IF(ISBLANK('Data Entry'!$H$240), "", 'Data Entry'!$H$240)</f>
      </c>
      <c r="I240">
        <f>IF(ISBLANK('Data Entry'!$I$240), "", 'Data Entry'!$I$240)</f>
      </c>
      <c r="J240">
        <f>IF(ISBLANK('Data Entry'!$J$240), "", 'Data Entry'!$J$240)</f>
      </c>
      <c r="K240">
        <f>IF(ISBLANK('Data Entry'!$K$240), "", 'Data Entry'!$K$240)</f>
      </c>
      <c r="L240">
        <f>IF(ISBLANK('Data Entry'!$L$240), "", 'Data Entry'!$L$240)</f>
      </c>
      <c r="M240">
        <f>IF(ISBLANK('Data Entry'!$M$240), "", 'Data Entry'!$M$240)</f>
      </c>
      <c r="N240">
        <f>IF(ISBLANK('Data Entry'!$N$240), "", 'Data Entry'!$N$240)</f>
      </c>
      <c r="O240">
        <f>IF(ISBLANK('Data Entry'!$O$240), "", 'Data Entry'!$O$240)</f>
      </c>
      <c r="P240">
        <f>IF(ISBLANK('Data Entry'!$P$240), "", 'Data Entry'!$P$240)</f>
      </c>
      <c r="Q240">
        <f>IF(ISBLANK('Data Entry'!$Q$240), "", 'Data Entry'!$Q$240)</f>
      </c>
      <c r="R240">
        <f>IF(ISBLANK('Data Entry'!$R$240), "", 'Data Entry'!$R$240)</f>
      </c>
      <c r="S240">
        <f>IF(ISBLANK('Data Entry'!$S$240), "", 'Data Entry'!$S$240)</f>
      </c>
      <c r="T240">
        <f>IF(ISBLANK('Data Entry'!$T$240), "", 'Data Entry'!$T$240)</f>
      </c>
      <c r="U240">
        <f>IF(ISBLANK('Data Entry'!$U$240), "", 'Data Entry'!$U$240)</f>
      </c>
      <c r="V240">
        <f>IF(ISBLANK('Data Entry'!$V$240), "", 'Data Entry'!$V$240)</f>
      </c>
      <c r="W240">
        <f>IF(ISBLANK('Data Entry'!$W$240), "", 'Data Entry'!$W$240)</f>
      </c>
      <c r="X240">
        <f>IF(ISBLANK('Data Entry'!$X$240), "", 'Data Entry'!$X$240)</f>
      </c>
      <c r="Y240">
        <f>IF(ISBLANK('Data Entry'!$Y$240), "", 'Data Entry'!$Y$240)</f>
      </c>
      <c r="Z240">
        <f>IF(ISBLANK('Data Entry'!$Z$240), "", 'Data Entry'!$Z$240)</f>
      </c>
      <c r="AA240">
        <f>IF(ISBLANK('Data Entry'!$[$240), "", 'Data Entry'!$[$240)</f>
      </c>
      <c r="AB240">
        <f>IF(ISBLANK('Data Entry'!$\$240), "", 'Data Entry'!$\$240)</f>
      </c>
      <c r="AC240">
        <f>IF(ISBLANK('Data Entry'!$]$240), "", 'Data Entry'!$]$240)</f>
      </c>
      <c r="AD240">
        <f>IF(ISBLANK('Data Entry'!$^$240), "", 'Data Entry'!$^$240)</f>
      </c>
      <c r="AE240">
        <f>IF(ISBLANK('Data Entry'!$_$240), "", 'Data Entry'!$_$240)</f>
      </c>
      <c r="AF240">
        <f>IF(ISBLANK('Data Entry'!$`$240), "", 'Data Entry'!$`$240)</f>
      </c>
      <c r="AG240">
        <f>IF(ISBLANK('Data Entry'!$a$240), "", 'Data Entry'!$a$240)</f>
      </c>
      <c r="AH240">
        <f>IF(ISBLANK('Data Entry'!$b$240), "", 'Data Entry'!$b$240)</f>
      </c>
      <c r="AI240">
        <f>IF(ISBLANK('Data Entry'!$c$240), "", 'Data Entry'!$c$240)</f>
      </c>
      <c r="AJ240">
        <f>IF(ISBLANK('Data Entry'!$d$240), "", 'Data Entry'!$d$240)</f>
      </c>
      <c r="AK240">
        <f>IF(ISBLANK('Data Entry'!$e$240), "", 'Data Entry'!$e$240)</f>
      </c>
      <c r="AL240">
        <f>IF(ISBLANK('Data Entry'!$f$240), "", 'Data Entry'!$f$240)</f>
      </c>
      <c r="AM240">
        <f>IF(ISBLANK('Data Entry'!$g$240), "", 'Data Entry'!$g$240)</f>
      </c>
      <c r="AN240">
        <f>IF(ISBLANK('Data Entry'!$h$240), "", 'Data Entry'!$h$240)</f>
      </c>
      <c r="AO240">
        <f>IF(ISBLANK('Data Entry'!$i$240), "", 'Data Entry'!$i$240)</f>
      </c>
      <c r="AP240">
        <f>IF(ISBLANK('Data Entry'!$j$240), "", 'Data Entry'!$j$240)</f>
      </c>
      <c r="AQ240">
        <f>IF(ISBLANK('Data Entry'!$k$240), "", 'Data Entry'!$k$240)</f>
      </c>
      <c r="AR240">
        <f>IF(ISBLANK('Data Entry'!$l$240), "", 'Data Entry'!$l$240)</f>
      </c>
      <c r="AS240">
        <f>IF(ISBLANK('Data Entry'!$m$240), "", 'Data Entry'!$m$240)</f>
      </c>
      <c r="AT240">
        <f>IF(ISBLANK('Data Entry'!$n$240), "", 'Data Entry'!$n$240)</f>
      </c>
      <c r="AU240">
        <f>IF(ISBLANK('Data Entry'!$o$240), "", 'Data Entry'!$o$240)</f>
      </c>
      <c r="AV240">
        <f>IF(ISBLANK('Data Entry'!$p$240), "", 'Data Entry'!$p$240)</f>
      </c>
      <c r="AW240">
        <f>IF(ISBLANK('Data Entry'!$q$240), "", 'Data Entry'!$q$240)</f>
      </c>
      <c r="AX240">
        <f>IF(ISBLANK('Data Entry'!$r$240), "", 'Data Entry'!$r$240)</f>
      </c>
      <c r="AY240">
        <f>IF(ISBLANK('Data Entry'!$s$240), "", 'Data Entry'!$s$240)</f>
      </c>
      <c r="AZ240">
        <f>IF(ISBLANK('Data Entry'!$t$240), "", 'Data Entry'!$t$240)</f>
      </c>
      <c r="BA240">
        <f>IF(ISBLANK('Data Entry'!$u$240), "", 'Data Entry'!$u$240)</f>
      </c>
      <c r="BB240">
        <f>IF(ISBLANK('Data Entry'!$v$240), "", 'Data Entry'!$v$240)</f>
      </c>
      <c r="BC240">
        <f>IF(ISBLANK('Data Entry'!$w$240), "", 'Data Entry'!$w$240)</f>
      </c>
      <c r="BD240">
        <f>IF(ISBLANK('Data Entry'!$x$240), "", 'Data Entry'!$x$240)</f>
      </c>
      <c r="BE240">
        <f>IF(ISBLANK('Data Entry'!$y$240), "", 'Data Entry'!$y$240)</f>
      </c>
      <c r="BF240">
        <f>IF(ISBLANK('Data Entry'!$z$240), "", 'Data Entry'!$z$240)</f>
      </c>
      <c r="BG240">
        <f>IF(ISBLANK('Data Entry'!${$240), "", 'Data Entry'!${$240)</f>
      </c>
      <c r="BH240">
        <f>IF(ISBLANK('Data Entry'!$|$240), "", 'Data Entry'!$|$240)</f>
      </c>
      <c r="BI240">
        <f>IF(ISBLANK('Data Entry'!$}$240), "", 'Data Entry'!$}$240)</f>
      </c>
      <c r="BJ240">
        <f>IF(ISBLANK('Data Entry'!$~$240), "", 'Data Entry'!$~$240)</f>
      </c>
      <c r="BK240">
        <f>IF(ISBLANK('Data Entry'!$$240), "", 'Data Entry'!$$240)</f>
      </c>
      <c r="BL240">
        <f>IF(ISBLANK('Data Entry'!$$240), "", 'Data Entry'!$$240)</f>
      </c>
      <c r="BM240">
        <f>IF(ISBLANK('Data Entry'!$$240), "", 'Data Entry'!$$240)</f>
      </c>
      <c r="BN240">
        <f>IF(ISBLANK('Data Entry'!$$240), "", 'Data Entry'!$$240)</f>
      </c>
      <c r="BO240">
        <f>IF(ISBLANK('Data Entry'!$$240), "", 'Data Entry'!$$240)</f>
      </c>
      <c r="BP240">
        <f>IF(ISBLANK('Data Entry'!$$240), "", 'Data Entry'!$$240)</f>
      </c>
      <c r="BQ240">
        <f>IF(ISBLANK('Data Entry'!$$240), "", 'Data Entry'!$$240)</f>
      </c>
      <c r="BR240">
        <f>IF(ISBLANK('Data Entry'!$$240), "", 'Data Entry'!$$240)</f>
      </c>
      <c r="BS240">
        <f>IF(ISBLANK('Data Entry'!$$240), "", 'Data Entry'!$$240)</f>
      </c>
      <c r="BT240">
        <f>IF(ISBLANK('Data Entry'!$$240), "", 'Data Entry'!$$240)</f>
      </c>
      <c r="BU240">
        <f>IF(ISBLANK('Data Entry'!$$240), "", 'Data Entry'!$$240)</f>
      </c>
      <c r="BV240">
        <f>IF(ISBLANK('Data Entry'!$$240), "", 'Data Entry'!$$240)</f>
      </c>
      <c r="BW240">
        <f>IF(ISBLANK('Data Entry'!$$240), "", 'Data Entry'!$$240)</f>
      </c>
      <c r="BX240">
        <f>IF(ISBLANK('Data Entry'!$$240), "", 'Data Entry'!$$240)</f>
      </c>
      <c r="BY240">
        <f>IF(ISBLANK('Data Entry'!$$240), "", 'Data Entry'!$$240)</f>
      </c>
      <c r="BZ240">
        <f>IF(ISBLANK('Data Entry'!$$240), "", 'Data Entry'!$$240)</f>
      </c>
      <c r="CA240">
        <f>IF(ISBLANK('Data Entry'!$$240), "", 'Data Entry'!$$240)</f>
      </c>
      <c r="CB240">
        <f>IF(ISBLANK('Data Entry'!$$240), "", 'Data Entry'!$$240)</f>
      </c>
      <c r="CC240">
        <f>IF(ISBLANK('Data Entry'!$$240), "", 'Data Entry'!$$240)</f>
      </c>
      <c r="CD240">
        <f>IF(ISBLANK('Data Entry'!$$240), "", 'Data Entry'!$$240)</f>
      </c>
      <c r="CE240">
        <f>IF(ISBLANK('Data Entry'!$$240), "", 'Data Entry'!$$240)</f>
      </c>
      <c r="CF240">
        <f>IF(ISBLANK('Data Entry'!$$240), "", 'Data Entry'!$$240)</f>
      </c>
      <c r="CG240">
        <f>IF(ISBLANK('Data Entry'!$$240), "", 'Data Entry'!$$240)</f>
      </c>
      <c r="CH240">
        <f>IF(ISBLANK('Data Entry'!$$240), "", 'Data Entry'!$$240)</f>
      </c>
      <c r="CI240">
        <f>IF(ISBLANK('Data Entry'!$$240), "", 'Data Entry'!$$240)</f>
      </c>
      <c r="CJ240">
        <f>IF(ISBLANK('Data Entry'!$$240), "", 'Data Entry'!$$240)</f>
      </c>
      <c r="CK240">
        <f>IF(ISBLANK('Data Entry'!$$240), "", 'Data Entry'!$$240)</f>
      </c>
      <c r="CL240">
        <f>IF(ISBLANK('Data Entry'!$$240), "", 'Data Entry'!$$240)</f>
      </c>
      <c r="CM240">
        <f>IF(ISBLANK('Data Entry'!$$240), "", 'Data Entry'!$$240)</f>
      </c>
      <c r="CN240">
        <f>IF(ISBLANK('Data Entry'!$$240), "", 'Data Entry'!$$240)</f>
      </c>
      <c r="CO240">
        <f>IF(ISBLANK('Data Entry'!$$240), "", 'Data Entry'!$$240)</f>
      </c>
      <c r="CP240">
        <f>IF(ISBLANK('Data Entry'!$$240), "", 'Data Entry'!$$240)</f>
      </c>
      <c r="CQ240">
        <f>IF(ISBLANK('Data Entry'!$$240), "", 'Data Entry'!$$240)</f>
      </c>
      <c r="CR240">
        <f>IF(ISBLANK('Data Entry'!$ $240), "", 'Data Entry'!$ $240)</f>
      </c>
      <c r="CS240">
        <f>IF(ISBLANK('Data Entry'!$¡$240), "", 'Data Entry'!$¡$240)</f>
      </c>
      <c r="CT240">
        <f>IF(ISBLANK('Data Entry'!$¢$240), "", 'Data Entry'!$¢$240)</f>
      </c>
      <c r="CU240">
        <f>IF(ISBLANK('Data Entry'!$£$240), "", 'Data Entry'!$£$240)</f>
      </c>
      <c r="CV240">
        <f>IF(ISBLANK('Data Entry'!$¤$240), "", 'Data Entry'!$¤$240)</f>
      </c>
      <c r="CW240">
        <f>IF(ISBLANK('Data Entry'!$¥$240), "", 'Data Entry'!$¥$240)</f>
      </c>
      <c r="CX240">
        <f>IF(ISBLANK('Data Entry'!$¦$240), "", 'Data Entry'!$¦$240)</f>
      </c>
      <c r="CY240">
        <f>IF(ISBLANK('Data Entry'!$§$240), "", 'Data Entry'!$§$240)</f>
      </c>
      <c r="CZ240">
        <f>IF(ISBLANK('Data Entry'!$¨$240), "", 'Data Entry'!$¨$240)</f>
      </c>
      <c r="DA240">
        <f>IF(ISBLANK('Data Entry'!$©$240), "", 'Data Entry'!$©$240)</f>
      </c>
      <c r="DB240">
        <f>IF(ISBLANK('Data Entry'!$ª$240), "", 'Data Entry'!$ª$240)</f>
      </c>
      <c r="DC240">
        <f>IF(ISBLANK('Data Entry'!$«$240), "", 'Data Entry'!$«$240)</f>
      </c>
      <c r="DD240">
        <f>IF(ISBLANK('Data Entry'!$¬$240), "", 'Data Entry'!$¬$240)</f>
      </c>
      <c r="DE240">
        <f>IF(ISBLANK('Data Entry'!$­$240), "", 'Data Entry'!$­$240)</f>
      </c>
      <c r="DF240">
        <f>IF(ISBLANK('Data Entry'!$®$240), "", 'Data Entry'!$®$240)</f>
      </c>
      <c r="DG240">
        <f>IF(ISBLANK('Data Entry'!$¯$240), "", 'Data Entry'!$¯$240)</f>
      </c>
      <c r="DH240">
        <f>IF(ISBLANK('Data Entry'!$°$240), "", 'Data Entry'!$°$240)</f>
      </c>
      <c r="DI240">
        <f>IF(ISBLANK('Data Entry'!$±$240), "", 'Data Entry'!$±$240)</f>
      </c>
      <c r="DJ240">
        <f>IF(ISBLANK('Data Entry'!$²$240), "", 'Data Entry'!$²$240)</f>
      </c>
      <c r="DK240">
        <f>IF(ISBLANK('Data Entry'!$³$240), "", 'Data Entry'!$³$240)</f>
      </c>
      <c r="DL240">
        <f>IF(ISBLANK('Data Entry'!$´$240), "", 'Data Entry'!$´$240)</f>
      </c>
      <c r="DM240">
        <f>IF(ISBLANK('Data Entry'!$µ$240), "", 'Data Entry'!$µ$240)</f>
      </c>
      <c r="DN240">
        <f>IF(ISBLANK('Data Entry'!$¶$240), "", 'Data Entry'!$¶$240)</f>
      </c>
      <c r="DO240">
        <f>IF(ISBLANK('Data Entry'!$·$240), "", 'Data Entry'!$·$240)</f>
      </c>
      <c r="DP240">
        <f>IF(ISBLANK('Data Entry'!$¸$240), "", 'Data Entry'!$¸$240)</f>
      </c>
      <c r="DQ240">
        <f>IF(ISBLANK('Data Entry'!$¹$240), "", 'Data Entry'!$¹$240)</f>
      </c>
      <c r="DR240">
        <f>IF(ISBLANK('Data Entry'!$º$240), "", 'Data Entry'!$º$240)</f>
      </c>
      <c r="DS240">
        <f>IF(ISBLANK('Data Entry'!$»$240), "", 'Data Entry'!$»$240)</f>
      </c>
      <c r="DT240">
        <f>IF(ISBLANK('Data Entry'!$¼$240), "", 'Data Entry'!$¼$240)</f>
      </c>
      <c r="DU240">
        <f>IF(ISBLANK('Data Entry'!$½$240), "", 'Data Entry'!$½$240)</f>
      </c>
      <c r="DV240">
        <f>IF(ISBLANK('Data Entry'!$¾$240), "", 'Data Entry'!$¾$240)</f>
      </c>
      <c r="DW240">
        <f>IF(ISBLANK('Data Entry'!$¿$240), "", 'Data Entry'!$¿$240)</f>
      </c>
      <c r="DX240">
        <f>IF(ISBLANK('Data Entry'!$À$240), "", 'Data Entry'!$À$240)</f>
      </c>
      <c r="DY240">
        <f>IF(ISBLANK('Data Entry'!$Á$240), "", 'Data Entry'!$Á$240)</f>
      </c>
      <c r="DZ240">
        <f>IF(ISBLANK('Data Entry'!$Â$240), "", 'Data Entry'!$Â$240)</f>
      </c>
      <c r="EA240">
        <f>IF(ISBLANK('Data Entry'!$Ã$240), "", 'Data Entry'!$Ã$240)</f>
      </c>
      <c r="EB240">
        <f>IF(ISBLANK('Data Entry'!$Ä$240), "", 'Data Entry'!$Ä$240)</f>
      </c>
      <c r="EC240">
        <f>IF(ISBLANK('Data Entry'!$Å$240), "", 'Data Entry'!$Å$240)</f>
      </c>
      <c r="ED240">
        <f>IF(ISBLANK('Data Entry'!$Æ$240), "", 'Data Entry'!$Æ$240)</f>
      </c>
      <c r="EE240">
        <f>IF(ISBLANK('Data Entry'!$Ç$240), "", 'Data Entry'!$Ç$240)</f>
      </c>
      <c r="EF240">
        <f>IF(ISBLANK('Data Entry'!$È$240), "", 'Data Entry'!$È$240)</f>
      </c>
      <c r="EG240">
        <f>IF(ISBLANK('Data Entry'!$É$240), "", 'Data Entry'!$É$240)</f>
      </c>
      <c r="EH240">
        <f>IF(ISBLANK('Data Entry'!$Ê$240), "", 'Data Entry'!$Ê$240)</f>
      </c>
      <c r="EI240">
        <f>IF(ISBLANK('Data Entry'!$Ë$240), "", 'Data Entry'!$Ë$240)</f>
      </c>
      <c r="EJ240">
        <f>IF(ISBLANK('Data Entry'!$Ì$240), "", 'Data Entry'!$Ì$240)</f>
      </c>
      <c r="EK240">
        <f>IF(ISBLANK('Data Entry'!$Í$240), "", 'Data Entry'!$Í$240)</f>
      </c>
      <c r="EL240">
        <f>IF(ISBLANK('Data Entry'!$Î$240), "", 'Data Entry'!$Î$240)</f>
      </c>
      <c r="EM240">
        <f>IF(ISBLANK('Data Entry'!$Ï$240), "", 'Data Entry'!$Ï$240)</f>
      </c>
      <c r="EN240">
        <f>IF(ISBLANK('Data Entry'!$Ð$240), "", 'Data Entry'!$Ð$240)</f>
      </c>
      <c r="EO240">
        <f>IF(ISBLANK('Data Entry'!$Ñ$240), "", 'Data Entry'!$Ñ$240)</f>
      </c>
      <c r="EP240">
        <f>IF(ISBLANK('Data Entry'!$Ò$240), "", 'Data Entry'!$Ò$240)</f>
      </c>
      <c r="EQ240">
        <f>IF(ISBLANK('Data Entry'!$Ó$240), "", 'Data Entry'!$Ó$240)</f>
      </c>
      <c r="ER240">
        <f>IF(ISBLANK('Data Entry'!$Ô$240), "", 'Data Entry'!$Ô$240)</f>
      </c>
      <c r="ES240">
        <f>IF(ISBLANK('Data Entry'!$Õ$240), "", 'Data Entry'!$Õ$240)</f>
      </c>
      <c r="ET240">
        <f>IF(ISBLANK('Data Entry'!$Ö$240), "", 'Data Entry'!$Ö$240)</f>
      </c>
      <c r="EU240">
        <f>IF(ISBLANK('Data Entry'!$×$240), "", 'Data Entry'!$×$240)</f>
      </c>
      <c r="EV240">
        <f>IF(ISBLANK('Data Entry'!$Ø$240), "", 'Data Entry'!$Ø$240)</f>
      </c>
      <c r="EW240">
        <f>IF(ISBLANK('Data Entry'!$Ù$240), "", 'Data Entry'!$Ù$240)</f>
      </c>
      <c r="EX240">
        <f>IF(ISBLANK('Data Entry'!$Ú$240), "", 'Data Entry'!$Ú$240)</f>
      </c>
      <c r="EY240">
        <f>IF(ISBLANK('Data Entry'!$Û$240), "", 'Data Entry'!$Û$240)</f>
      </c>
      <c r="EZ240">
        <f>IF(ISBLANK('Data Entry'!$Ü$240), "", 'Data Entry'!$Ü$240)</f>
      </c>
      <c r="FA240">
        <f>IF(ISBLANK('Data Entry'!$Ý$240), "", 'Data Entry'!$Ý$240)</f>
      </c>
      <c r="FB240">
        <f>IF(ISBLANK('Data Entry'!$Þ$240), "", 'Data Entry'!$Þ$240)</f>
      </c>
      <c r="FC240">
        <f>IF(ISBLANK('Data Entry'!$ß$240), "", 'Data Entry'!$ß$240)</f>
      </c>
      <c r="FD240">
        <f>IF(ISBLANK('Data Entry'!$à$240), "", 'Data Entry'!$à$240)</f>
      </c>
      <c r="FE240">
        <f>IF(ISBLANK('Data Entry'!$á$240), "", 'Data Entry'!$á$240)</f>
      </c>
      <c r="FF240">
        <f>IF(ISBLANK('Data Entry'!$â$240), "", 'Data Entry'!$â$240)</f>
      </c>
      <c r="FG240">
        <f>IF(ISBLANK('Data Entry'!$ã$240), "", 'Data Entry'!$ã$240)</f>
      </c>
      <c r="FH240">
        <f>IF(ISBLANK('Data Entry'!$ä$240), "", 'Data Entry'!$ä$240)</f>
      </c>
      <c r="FI240">
        <f>IF(ISBLANK('Data Entry'!$å$240), "", 'Data Entry'!$å$240)</f>
      </c>
      <c r="FJ240">
        <f>IF(ISBLANK('Data Entry'!$æ$240), "", 'Data Entry'!$æ$240)</f>
      </c>
      <c r="FK240">
        <f>IF(ISBLANK('Data Entry'!$ç$240), "", 'Data Entry'!$ç$240)</f>
      </c>
      <c r="FL240">
        <f>IF(ISBLANK('Data Entry'!$è$240), "", 'Data Entry'!$è$240)</f>
      </c>
      <c r="FM240">
        <f>IF(ISBLANK('Data Entry'!$é$240), "", 'Data Entry'!$é$240)</f>
      </c>
      <c r="FN240">
        <f>IF(ISBLANK('Data Entry'!$ê$240), "", 'Data Entry'!$ê$240)</f>
      </c>
      <c r="FO240">
        <f>IF(ISBLANK('Data Entry'!$ë$240), "", 'Data Entry'!$ë$240)</f>
      </c>
      <c r="FP240">
        <f>IF(ISBLANK('Data Entry'!$ì$240), "", 'Data Entry'!$ì$240)</f>
      </c>
      <c r="FQ240">
        <f>IF(ISBLANK('Data Entry'!$í$240), "", 'Data Entry'!$í$240)</f>
      </c>
      <c r="FR240">
        <f>IF(ISBLANK('Data Entry'!$î$240), "", 'Data Entry'!$î$240)</f>
      </c>
      <c r="FS240">
        <f>IF(ISBLANK('Data Entry'!$ï$240), "", 'Data Entry'!$ï$240)</f>
      </c>
      <c r="FT240">
        <f>IF(ISBLANK('Data Entry'!$ð$240), "", 'Data Entry'!$ð$240)</f>
      </c>
      <c r="FU240">
        <f>IF(ISBLANK('Data Entry'!$ñ$240), "", 'Data Entry'!$ñ$240)</f>
      </c>
      <c r="FV240">
        <f>IF(ISBLANK('Data Entry'!$ò$240), "", 'Data Entry'!$ò$240)</f>
      </c>
      <c r="FW240">
        <f>IF(ISBLANK('Data Entry'!$ó$240), "", 'Data Entry'!$ó$240)</f>
      </c>
      <c r="FX240">
        <f>IF(ISBLANK('Data Entry'!$ô$240), "", 'Data Entry'!$ô$240)</f>
      </c>
      <c r="FY240">
        <f>IF(ISBLANK('Data Entry'!$õ$240), "", 'Data Entry'!$õ$240)</f>
      </c>
      <c r="FZ240">
        <f>IF(ISBLANK('Data Entry'!$ö$240), "", 'Data Entry'!$ö$240)</f>
      </c>
      <c r="GA240">
        <f>IF(ISBLANK('Data Entry'!$÷$240), "", 'Data Entry'!$÷$240)</f>
      </c>
      <c r="GB240">
        <f>IF(ISBLANK('Data Entry'!$ø$240), "", 'Data Entry'!$ø$240)</f>
      </c>
      <c r="GC240">
        <f>IF(ISBLANK('Data Entry'!$ù$240), "", 'Data Entry'!$ù$240)</f>
      </c>
      <c r="GD240">
        <f>IF(ISBLANK('Data Entry'!$ú$240), "", 'Data Entry'!$ú$240)</f>
      </c>
      <c r="GE240">
        <f>IF(ISBLANK('Data Entry'!$û$240), "", 'Data Entry'!$û$240)</f>
      </c>
      <c r="GF240">
        <f>IF(ISBLANK('Data Entry'!$ü$240), "", 'Data Entry'!$ü$240)</f>
      </c>
      <c r="GG240">
        <f>IF(ISBLANK('Data Entry'!$ý$240), "", 'Data Entry'!$ý$240)</f>
      </c>
      <c r="GH240">
        <f>IF(ISBLANK('Data Entry'!$þ$240), "", 'Data Entry'!$þ$240)</f>
      </c>
      <c r="GI240">
        <f>IF(ISBLANK('Data Entry'!$ÿ$240), "", 'Data Entry'!$ÿ$240)</f>
      </c>
      <c r="GJ240">
        <f>IF(ISBLANK('Data Entry'!$Ā$240), "", 'Data Entry'!$Ā$240)</f>
      </c>
      <c r="GK240">
        <f>IF(ISBLANK('Data Entry'!$ā$240), "", 'Data Entry'!$ā$240)</f>
      </c>
      <c r="GL240">
        <f>IF(ISBLANK('Data Entry'!$Ă$240), "", 'Data Entry'!$Ă$240)</f>
      </c>
      <c r="GM240">
        <f>IF(ISBLANK('Data Entry'!$ă$240), "", 'Data Entry'!$ă$240)</f>
      </c>
      <c r="GN240">
        <f>IF(ISBLANK('Data Entry'!$Ą$240), "", 'Data Entry'!$Ą$240)</f>
      </c>
      <c r="GO240">
        <f>IF(ISBLANK('Data Entry'!$ą$240), "", 'Data Entry'!$ą$240)</f>
      </c>
      <c r="GP240">
        <f>IF(ISBLANK('Data Entry'!$Ć$240), "", 'Data Entry'!$Ć$240)</f>
      </c>
      <c r="GQ240">
        <f>IF(ISBLANK('Data Entry'!$ć$240), "", 'Data Entry'!$ć$240)</f>
      </c>
      <c r="GR240">
        <f>IF(ISBLANK('Data Entry'!$Ĉ$240), "", 'Data Entry'!$Ĉ$240)</f>
      </c>
      <c r="GS240">
        <f>IF(ISBLANK('Data Entry'!$ĉ$240), "", 'Data Entry'!$ĉ$240)</f>
      </c>
      <c r="GT240">
        <f>IF(ISBLANK('Data Entry'!$Ċ$240), "", 'Data Entry'!$Ċ$240)</f>
      </c>
      <c r="GU240">
        <f>IF(ISBLANK('Data Entry'!$ċ$240), "", 'Data Entry'!$ċ$240)</f>
      </c>
      <c r="GV240">
        <f>IF(ISBLANK('Data Entry'!$Č$240), "", 'Data Entry'!$Č$240)</f>
      </c>
      <c r="GW240">
        <f>IF(ISBLANK('Data Entry'!$č$240), "", 'Data Entry'!$č$240)</f>
      </c>
      <c r="GX240">
        <f>IF(ISBLANK('Data Entry'!$Ď$240), "", 'Data Entry'!$Ď$240)</f>
      </c>
      <c r="GY240">
        <f>IF(ISBLANK('Data Entry'!$ď$240), "", 'Data Entry'!$ď$240)</f>
      </c>
      <c r="GZ240">
        <f>IF(ISBLANK('Data Entry'!$Đ$240), "", 'Data Entry'!$Đ$240)</f>
      </c>
      <c r="HA240">
        <f>IF(ISBLANK('Data Entry'!$đ$240), "", 'Data Entry'!$đ$240)</f>
      </c>
      <c r="HB240">
        <f>IF(ISBLANK('Data Entry'!$Ē$240), "", 'Data Entry'!$Ē$240)</f>
      </c>
      <c r="HC240">
        <f>IF(ISBLANK('Data Entry'!$ē$240), "", 'Data Entry'!$ē$240)</f>
      </c>
      <c r="HD240">
        <f>IF(ISBLANK('Data Entry'!$Ĕ$240), "", 'Data Entry'!$Ĕ$240)</f>
      </c>
      <c r="HE240">
        <f>IF(ISBLANK('Data Entry'!$ĕ$240), "", 'Data Entry'!$ĕ$240)</f>
      </c>
      <c r="HF240">
        <f>IF(ISBLANK('Data Entry'!$Ė$240), "", 'Data Entry'!$Ė$240)</f>
      </c>
      <c r="HG240">
        <f>IF(ISBLANK('Data Entry'!$ė$240), "", 'Data Entry'!$ė$240)</f>
      </c>
      <c r="HH240">
        <f>IF(ISBLANK('Data Entry'!$Ę$240), "", 'Data Entry'!$Ę$240)</f>
      </c>
      <c r="HI240">
        <f>IF(ISBLANK('Data Entry'!$ę$240), "", 'Data Entry'!$ę$240)</f>
      </c>
      <c r="HJ240">
        <f>IF(ISBLANK('Data Entry'!$Ě$240), "", 'Data Entry'!$Ě$240)</f>
      </c>
      <c r="HK240">
        <f>IF(ISBLANK('Data Entry'!$ě$240), "", 'Data Entry'!$ě$240)</f>
      </c>
      <c r="HL240">
        <f>IF(ISBLANK('Data Entry'!$Ĝ$240), "", 'Data Entry'!$Ĝ$240)</f>
      </c>
      <c r="HM240">
        <f>IF(ISBLANK('Data Entry'!$ĝ$240), "", 'Data Entry'!$ĝ$240)</f>
      </c>
      <c r="HN240">
        <f>IF(ISBLANK('Data Entry'!$Ğ$240), "", 'Data Entry'!$Ğ$240)</f>
      </c>
      <c r="HO240">
        <f>IF(ISBLANK('Data Entry'!$ğ$240), "", 'Data Entry'!$ğ$240)</f>
      </c>
      <c r="HP240">
        <f>IF(ISBLANK('Data Entry'!$Ġ$240), "", 'Data Entry'!$Ġ$240)</f>
      </c>
      <c r="HQ240">
        <f>IF(ISBLANK('Data Entry'!$ġ$240), "", 'Data Entry'!$ġ$240)</f>
      </c>
      <c r="HR240">
        <f>IF(ISBLANK('Data Entry'!$Ģ$240), "", 'Data Entry'!$Ģ$240)</f>
      </c>
      <c r="HS240">
        <f>IF(ISBLANK('Data Entry'!$ģ$240), "", 'Data Entry'!$ģ$240)</f>
      </c>
      <c r="HT240">
        <f>IF(ISBLANK('Data Entry'!$Ĥ$240), "", 'Data Entry'!$Ĥ$240)</f>
      </c>
      <c r="HU240">
        <f>IF(ISBLANK('Data Entry'!$ĥ$240), "", 'Data Entry'!$ĥ$240)</f>
      </c>
      <c r="HV240">
        <f>IF(ISBLANK('Data Entry'!$Ħ$240), "", 'Data Entry'!$Ħ$240)</f>
      </c>
      <c r="HW240">
        <f>IF(ISBLANK('Data Entry'!$ħ$240), "", 'Data Entry'!$ħ$240)</f>
      </c>
      <c r="HX240">
        <f>IF(ISBLANK('Data Entry'!$Ĩ$240), "", 'Data Entry'!$Ĩ$240)</f>
      </c>
      <c r="HY240">
        <f>IF(ISBLANK('Data Entry'!$ĩ$240), "", 'Data Entry'!$ĩ$240)</f>
      </c>
      <c r="HZ240">
        <f>IF(ISBLANK('Data Entry'!$Ī$240), "", 'Data Entry'!$Ī$240)</f>
      </c>
      <c r="IA240">
        <f>IF(ISBLANK('Data Entry'!$ī$240), "", 'Data Entry'!$ī$240)</f>
      </c>
      <c r="IB240">
        <f>IF(ISBLANK('Data Entry'!$Ĭ$240), "", 'Data Entry'!$Ĭ$240)</f>
      </c>
      <c r="IC240">
        <f>IF(ISBLANK('Data Entry'!$ĭ$240), "", 'Data Entry'!$ĭ$240)</f>
      </c>
      <c r="ID240">
        <f>IF(ISBLANK('Data Entry'!$Į$240), "", 'Data Entry'!$Į$240)</f>
      </c>
      <c r="IE240">
        <f>IF(ISBLANK('Data Entry'!$į$240), "", 'Data Entry'!$į$240)</f>
      </c>
      <c r="IF240">
        <f>IF(ISBLANK('Data Entry'!$İ$240), "", 'Data Entry'!$İ$240)</f>
      </c>
      <c r="IG240">
        <f>IF(ISBLANK('Data Entry'!$ı$240), "", 'Data Entry'!$ı$240)</f>
      </c>
      <c r="IH240">
        <f>IF(ISBLANK('Data Entry'!$Ĳ$240), "", 'Data Entry'!$Ĳ$240)</f>
      </c>
      <c r="II240">
        <f>IF(ISBLANK('Data Entry'!$ĳ$240), "", 'Data Entry'!$ĳ$240)</f>
      </c>
      <c r="IJ240">
        <f>IF(ISBLANK('Data Entry'!$Ĵ$240), "", 'Data Entry'!$Ĵ$240)</f>
      </c>
      <c r="IK240">
        <f>IF(ISBLANK('Data Entry'!$ĵ$240), "", 'Data Entry'!$ĵ$240)</f>
      </c>
      <c r="IL240">
        <f>IF(ISBLANK('Data Entry'!$Ķ$240), "", 'Data Entry'!$Ķ$240)</f>
      </c>
      <c r="IM240">
        <f>IF(ISBLANK('Data Entry'!$ķ$240), "", 'Data Entry'!$ķ$240)</f>
      </c>
      <c r="IN240">
        <f>IF(ISBLANK('Data Entry'!$ĸ$240), "", 'Data Entry'!$ĸ$240)</f>
      </c>
      <c r="IO240">
        <f>IF(ISBLANK('Data Entry'!$Ĺ$240), "", 'Data Entry'!$Ĺ$240)</f>
      </c>
      <c r="IP240">
        <f>IF(ISBLANK('Data Entry'!$ĺ$240), "", 'Data Entry'!$ĺ$240)</f>
      </c>
      <c r="IQ240">
        <f>IF(ISBLANK('Data Entry'!$Ļ$240), "", 'Data Entry'!$Ļ$240)</f>
      </c>
      <c r="IR240">
        <f>IF(ISBLANK('Data Entry'!$ļ$240), "", 'Data Entry'!$ļ$240)</f>
      </c>
      <c r="IS240">
        <f>IF(ISBLANK('Data Entry'!$Ľ$240), "", 'Data Entry'!$Ľ$240)</f>
      </c>
      <c r="IT240">
        <f>IF(ISBLANK('Data Entry'!$ľ$240), "", 'Data Entry'!$ľ$240)</f>
      </c>
    </row>
    <row r="241" spans="1:254" x14ac:dyDescent="0.25">
      <c r="A241">
        <f>IF(ISBLANK('Data Entry'!$A$241), "", 'Data Entry'!$A$241)</f>
      </c>
      <c r="B241">
        <f>IF(ISBLANK('Data Entry'!$B$241), "", 'Data Entry'!$B$241)</f>
      </c>
      <c r="C241">
        <f>IF(ISBLANK('Data Entry'!$C$241), "", 'Data Entry'!$C$241)</f>
      </c>
      <c r="D241">
        <f>IF(ISBLANK('Data Entry'!$D$241), "", 'Data Entry'!$D$241)</f>
      </c>
      <c r="E241">
        <f>IF(ISBLANK('Data Entry'!$E$241), "", 'Data Entry'!$E$241)</f>
      </c>
      <c r="F241">
        <f>IF(ISBLANK('Data Entry'!$F$241), "", 'Data Entry'!$F$241)</f>
      </c>
      <c r="G241">
        <f>IF(ISBLANK('Data Entry'!$G$241), "", 'Data Entry'!$G$241)</f>
      </c>
      <c r="H241">
        <f>IF(ISBLANK('Data Entry'!$H$241), "", 'Data Entry'!$H$241)</f>
      </c>
      <c r="I241">
        <f>IF(ISBLANK('Data Entry'!$I$241), "", 'Data Entry'!$I$241)</f>
      </c>
      <c r="J241">
        <f>IF(ISBLANK('Data Entry'!$J$241), "", 'Data Entry'!$J$241)</f>
      </c>
      <c r="K241">
        <f>IF(ISBLANK('Data Entry'!$K$241), "", 'Data Entry'!$K$241)</f>
      </c>
      <c r="L241">
        <f>IF(ISBLANK('Data Entry'!$L$241), "", 'Data Entry'!$L$241)</f>
      </c>
      <c r="M241">
        <f>IF(ISBLANK('Data Entry'!$M$241), "", 'Data Entry'!$M$241)</f>
      </c>
      <c r="N241">
        <f>IF(ISBLANK('Data Entry'!$N$241), "", 'Data Entry'!$N$241)</f>
      </c>
      <c r="O241">
        <f>IF(ISBLANK('Data Entry'!$O$241), "", 'Data Entry'!$O$241)</f>
      </c>
      <c r="P241">
        <f>IF(ISBLANK('Data Entry'!$P$241), "", 'Data Entry'!$P$241)</f>
      </c>
      <c r="Q241">
        <f>IF(ISBLANK('Data Entry'!$Q$241), "", 'Data Entry'!$Q$241)</f>
      </c>
      <c r="R241">
        <f>IF(ISBLANK('Data Entry'!$R$241), "", 'Data Entry'!$R$241)</f>
      </c>
      <c r="S241">
        <f>IF(ISBLANK('Data Entry'!$S$241), "", 'Data Entry'!$S$241)</f>
      </c>
      <c r="T241">
        <f>IF(ISBLANK('Data Entry'!$T$241), "", 'Data Entry'!$T$241)</f>
      </c>
      <c r="U241">
        <f>IF(ISBLANK('Data Entry'!$U$241), "", 'Data Entry'!$U$241)</f>
      </c>
      <c r="V241">
        <f>IF(ISBLANK('Data Entry'!$V$241), "", 'Data Entry'!$V$241)</f>
      </c>
      <c r="W241">
        <f>IF(ISBLANK('Data Entry'!$W$241), "", 'Data Entry'!$W$241)</f>
      </c>
      <c r="X241">
        <f>IF(ISBLANK('Data Entry'!$X$241), "", 'Data Entry'!$X$241)</f>
      </c>
      <c r="Y241">
        <f>IF(ISBLANK('Data Entry'!$Y$241), "", 'Data Entry'!$Y$241)</f>
      </c>
      <c r="Z241">
        <f>IF(ISBLANK('Data Entry'!$Z$241), "", 'Data Entry'!$Z$241)</f>
      </c>
      <c r="AA241">
        <f>IF(ISBLANK('Data Entry'!$[$241), "", 'Data Entry'!$[$241)</f>
      </c>
      <c r="AB241">
        <f>IF(ISBLANK('Data Entry'!$\$241), "", 'Data Entry'!$\$241)</f>
      </c>
      <c r="AC241">
        <f>IF(ISBLANK('Data Entry'!$]$241), "", 'Data Entry'!$]$241)</f>
      </c>
      <c r="AD241">
        <f>IF(ISBLANK('Data Entry'!$^$241), "", 'Data Entry'!$^$241)</f>
      </c>
      <c r="AE241">
        <f>IF(ISBLANK('Data Entry'!$_$241), "", 'Data Entry'!$_$241)</f>
      </c>
      <c r="AF241">
        <f>IF(ISBLANK('Data Entry'!$`$241), "", 'Data Entry'!$`$241)</f>
      </c>
      <c r="AG241">
        <f>IF(ISBLANK('Data Entry'!$a$241), "", 'Data Entry'!$a$241)</f>
      </c>
      <c r="AH241">
        <f>IF(ISBLANK('Data Entry'!$b$241), "", 'Data Entry'!$b$241)</f>
      </c>
      <c r="AI241">
        <f>IF(ISBLANK('Data Entry'!$c$241), "", 'Data Entry'!$c$241)</f>
      </c>
      <c r="AJ241">
        <f>IF(ISBLANK('Data Entry'!$d$241), "", 'Data Entry'!$d$241)</f>
      </c>
      <c r="AK241">
        <f>IF(ISBLANK('Data Entry'!$e$241), "", 'Data Entry'!$e$241)</f>
      </c>
      <c r="AL241">
        <f>IF(ISBLANK('Data Entry'!$f$241), "", 'Data Entry'!$f$241)</f>
      </c>
      <c r="AM241">
        <f>IF(ISBLANK('Data Entry'!$g$241), "", 'Data Entry'!$g$241)</f>
      </c>
      <c r="AN241">
        <f>IF(ISBLANK('Data Entry'!$h$241), "", 'Data Entry'!$h$241)</f>
      </c>
      <c r="AO241">
        <f>IF(ISBLANK('Data Entry'!$i$241), "", 'Data Entry'!$i$241)</f>
      </c>
      <c r="AP241">
        <f>IF(ISBLANK('Data Entry'!$j$241), "", 'Data Entry'!$j$241)</f>
      </c>
      <c r="AQ241">
        <f>IF(ISBLANK('Data Entry'!$k$241), "", 'Data Entry'!$k$241)</f>
      </c>
      <c r="AR241">
        <f>IF(ISBLANK('Data Entry'!$l$241), "", 'Data Entry'!$l$241)</f>
      </c>
      <c r="AS241">
        <f>IF(ISBLANK('Data Entry'!$m$241), "", 'Data Entry'!$m$241)</f>
      </c>
      <c r="AT241">
        <f>IF(ISBLANK('Data Entry'!$n$241), "", 'Data Entry'!$n$241)</f>
      </c>
      <c r="AU241">
        <f>IF(ISBLANK('Data Entry'!$o$241), "", 'Data Entry'!$o$241)</f>
      </c>
      <c r="AV241">
        <f>IF(ISBLANK('Data Entry'!$p$241), "", 'Data Entry'!$p$241)</f>
      </c>
      <c r="AW241">
        <f>IF(ISBLANK('Data Entry'!$q$241), "", 'Data Entry'!$q$241)</f>
      </c>
      <c r="AX241">
        <f>IF(ISBLANK('Data Entry'!$r$241), "", 'Data Entry'!$r$241)</f>
      </c>
      <c r="AY241">
        <f>IF(ISBLANK('Data Entry'!$s$241), "", 'Data Entry'!$s$241)</f>
      </c>
      <c r="AZ241">
        <f>IF(ISBLANK('Data Entry'!$t$241), "", 'Data Entry'!$t$241)</f>
      </c>
      <c r="BA241">
        <f>IF(ISBLANK('Data Entry'!$u$241), "", 'Data Entry'!$u$241)</f>
      </c>
      <c r="BB241">
        <f>IF(ISBLANK('Data Entry'!$v$241), "", 'Data Entry'!$v$241)</f>
      </c>
      <c r="BC241">
        <f>IF(ISBLANK('Data Entry'!$w$241), "", 'Data Entry'!$w$241)</f>
      </c>
      <c r="BD241">
        <f>IF(ISBLANK('Data Entry'!$x$241), "", 'Data Entry'!$x$241)</f>
      </c>
      <c r="BE241">
        <f>IF(ISBLANK('Data Entry'!$y$241), "", 'Data Entry'!$y$241)</f>
      </c>
      <c r="BF241">
        <f>IF(ISBLANK('Data Entry'!$z$241), "", 'Data Entry'!$z$241)</f>
      </c>
      <c r="BG241">
        <f>IF(ISBLANK('Data Entry'!${$241), "", 'Data Entry'!${$241)</f>
      </c>
      <c r="BH241">
        <f>IF(ISBLANK('Data Entry'!$|$241), "", 'Data Entry'!$|$241)</f>
      </c>
      <c r="BI241">
        <f>IF(ISBLANK('Data Entry'!$}$241), "", 'Data Entry'!$}$241)</f>
      </c>
      <c r="BJ241">
        <f>IF(ISBLANK('Data Entry'!$~$241), "", 'Data Entry'!$~$241)</f>
      </c>
      <c r="BK241">
        <f>IF(ISBLANK('Data Entry'!$$241), "", 'Data Entry'!$$241)</f>
      </c>
      <c r="BL241">
        <f>IF(ISBLANK('Data Entry'!$$241), "", 'Data Entry'!$$241)</f>
      </c>
      <c r="BM241">
        <f>IF(ISBLANK('Data Entry'!$$241), "", 'Data Entry'!$$241)</f>
      </c>
      <c r="BN241">
        <f>IF(ISBLANK('Data Entry'!$$241), "", 'Data Entry'!$$241)</f>
      </c>
      <c r="BO241">
        <f>IF(ISBLANK('Data Entry'!$$241), "", 'Data Entry'!$$241)</f>
      </c>
      <c r="BP241">
        <f>IF(ISBLANK('Data Entry'!$$241), "", 'Data Entry'!$$241)</f>
      </c>
      <c r="BQ241">
        <f>IF(ISBLANK('Data Entry'!$$241), "", 'Data Entry'!$$241)</f>
      </c>
      <c r="BR241">
        <f>IF(ISBLANK('Data Entry'!$$241), "", 'Data Entry'!$$241)</f>
      </c>
      <c r="BS241">
        <f>IF(ISBLANK('Data Entry'!$$241), "", 'Data Entry'!$$241)</f>
      </c>
      <c r="BT241">
        <f>IF(ISBLANK('Data Entry'!$$241), "", 'Data Entry'!$$241)</f>
      </c>
      <c r="BU241">
        <f>IF(ISBLANK('Data Entry'!$$241), "", 'Data Entry'!$$241)</f>
      </c>
      <c r="BV241">
        <f>IF(ISBLANK('Data Entry'!$$241), "", 'Data Entry'!$$241)</f>
      </c>
      <c r="BW241">
        <f>IF(ISBLANK('Data Entry'!$$241), "", 'Data Entry'!$$241)</f>
      </c>
      <c r="BX241">
        <f>IF(ISBLANK('Data Entry'!$$241), "", 'Data Entry'!$$241)</f>
      </c>
      <c r="BY241">
        <f>IF(ISBLANK('Data Entry'!$$241), "", 'Data Entry'!$$241)</f>
      </c>
      <c r="BZ241">
        <f>IF(ISBLANK('Data Entry'!$$241), "", 'Data Entry'!$$241)</f>
      </c>
      <c r="CA241">
        <f>IF(ISBLANK('Data Entry'!$$241), "", 'Data Entry'!$$241)</f>
      </c>
      <c r="CB241">
        <f>IF(ISBLANK('Data Entry'!$$241), "", 'Data Entry'!$$241)</f>
      </c>
      <c r="CC241">
        <f>IF(ISBLANK('Data Entry'!$$241), "", 'Data Entry'!$$241)</f>
      </c>
      <c r="CD241">
        <f>IF(ISBLANK('Data Entry'!$$241), "", 'Data Entry'!$$241)</f>
      </c>
      <c r="CE241">
        <f>IF(ISBLANK('Data Entry'!$$241), "", 'Data Entry'!$$241)</f>
      </c>
      <c r="CF241">
        <f>IF(ISBLANK('Data Entry'!$$241), "", 'Data Entry'!$$241)</f>
      </c>
      <c r="CG241">
        <f>IF(ISBLANK('Data Entry'!$$241), "", 'Data Entry'!$$241)</f>
      </c>
      <c r="CH241">
        <f>IF(ISBLANK('Data Entry'!$$241), "", 'Data Entry'!$$241)</f>
      </c>
      <c r="CI241">
        <f>IF(ISBLANK('Data Entry'!$$241), "", 'Data Entry'!$$241)</f>
      </c>
      <c r="CJ241">
        <f>IF(ISBLANK('Data Entry'!$$241), "", 'Data Entry'!$$241)</f>
      </c>
      <c r="CK241">
        <f>IF(ISBLANK('Data Entry'!$$241), "", 'Data Entry'!$$241)</f>
      </c>
      <c r="CL241">
        <f>IF(ISBLANK('Data Entry'!$$241), "", 'Data Entry'!$$241)</f>
      </c>
      <c r="CM241">
        <f>IF(ISBLANK('Data Entry'!$$241), "", 'Data Entry'!$$241)</f>
      </c>
      <c r="CN241">
        <f>IF(ISBLANK('Data Entry'!$$241), "", 'Data Entry'!$$241)</f>
      </c>
      <c r="CO241">
        <f>IF(ISBLANK('Data Entry'!$$241), "", 'Data Entry'!$$241)</f>
      </c>
      <c r="CP241">
        <f>IF(ISBLANK('Data Entry'!$$241), "", 'Data Entry'!$$241)</f>
      </c>
      <c r="CQ241">
        <f>IF(ISBLANK('Data Entry'!$$241), "", 'Data Entry'!$$241)</f>
      </c>
      <c r="CR241">
        <f>IF(ISBLANK('Data Entry'!$ $241), "", 'Data Entry'!$ $241)</f>
      </c>
      <c r="CS241">
        <f>IF(ISBLANK('Data Entry'!$¡$241), "", 'Data Entry'!$¡$241)</f>
      </c>
      <c r="CT241">
        <f>IF(ISBLANK('Data Entry'!$¢$241), "", 'Data Entry'!$¢$241)</f>
      </c>
      <c r="CU241">
        <f>IF(ISBLANK('Data Entry'!$£$241), "", 'Data Entry'!$£$241)</f>
      </c>
      <c r="CV241">
        <f>IF(ISBLANK('Data Entry'!$¤$241), "", 'Data Entry'!$¤$241)</f>
      </c>
      <c r="CW241">
        <f>IF(ISBLANK('Data Entry'!$¥$241), "", 'Data Entry'!$¥$241)</f>
      </c>
      <c r="CX241">
        <f>IF(ISBLANK('Data Entry'!$¦$241), "", 'Data Entry'!$¦$241)</f>
      </c>
      <c r="CY241">
        <f>IF(ISBLANK('Data Entry'!$§$241), "", 'Data Entry'!$§$241)</f>
      </c>
      <c r="CZ241">
        <f>IF(ISBLANK('Data Entry'!$¨$241), "", 'Data Entry'!$¨$241)</f>
      </c>
      <c r="DA241">
        <f>IF(ISBLANK('Data Entry'!$©$241), "", 'Data Entry'!$©$241)</f>
      </c>
      <c r="DB241">
        <f>IF(ISBLANK('Data Entry'!$ª$241), "", 'Data Entry'!$ª$241)</f>
      </c>
      <c r="DC241">
        <f>IF(ISBLANK('Data Entry'!$«$241), "", 'Data Entry'!$«$241)</f>
      </c>
      <c r="DD241">
        <f>IF(ISBLANK('Data Entry'!$¬$241), "", 'Data Entry'!$¬$241)</f>
      </c>
      <c r="DE241">
        <f>IF(ISBLANK('Data Entry'!$­$241), "", 'Data Entry'!$­$241)</f>
      </c>
      <c r="DF241">
        <f>IF(ISBLANK('Data Entry'!$®$241), "", 'Data Entry'!$®$241)</f>
      </c>
      <c r="DG241">
        <f>IF(ISBLANK('Data Entry'!$¯$241), "", 'Data Entry'!$¯$241)</f>
      </c>
      <c r="DH241">
        <f>IF(ISBLANK('Data Entry'!$°$241), "", 'Data Entry'!$°$241)</f>
      </c>
      <c r="DI241">
        <f>IF(ISBLANK('Data Entry'!$±$241), "", 'Data Entry'!$±$241)</f>
      </c>
      <c r="DJ241">
        <f>IF(ISBLANK('Data Entry'!$²$241), "", 'Data Entry'!$²$241)</f>
      </c>
      <c r="DK241">
        <f>IF(ISBLANK('Data Entry'!$³$241), "", 'Data Entry'!$³$241)</f>
      </c>
      <c r="DL241">
        <f>IF(ISBLANK('Data Entry'!$´$241), "", 'Data Entry'!$´$241)</f>
      </c>
      <c r="DM241">
        <f>IF(ISBLANK('Data Entry'!$µ$241), "", 'Data Entry'!$µ$241)</f>
      </c>
      <c r="DN241">
        <f>IF(ISBLANK('Data Entry'!$¶$241), "", 'Data Entry'!$¶$241)</f>
      </c>
      <c r="DO241">
        <f>IF(ISBLANK('Data Entry'!$·$241), "", 'Data Entry'!$·$241)</f>
      </c>
      <c r="DP241">
        <f>IF(ISBLANK('Data Entry'!$¸$241), "", 'Data Entry'!$¸$241)</f>
      </c>
      <c r="DQ241">
        <f>IF(ISBLANK('Data Entry'!$¹$241), "", 'Data Entry'!$¹$241)</f>
      </c>
      <c r="DR241">
        <f>IF(ISBLANK('Data Entry'!$º$241), "", 'Data Entry'!$º$241)</f>
      </c>
      <c r="DS241">
        <f>IF(ISBLANK('Data Entry'!$»$241), "", 'Data Entry'!$»$241)</f>
      </c>
      <c r="DT241">
        <f>IF(ISBLANK('Data Entry'!$¼$241), "", 'Data Entry'!$¼$241)</f>
      </c>
      <c r="DU241">
        <f>IF(ISBLANK('Data Entry'!$½$241), "", 'Data Entry'!$½$241)</f>
      </c>
      <c r="DV241">
        <f>IF(ISBLANK('Data Entry'!$¾$241), "", 'Data Entry'!$¾$241)</f>
      </c>
      <c r="DW241">
        <f>IF(ISBLANK('Data Entry'!$¿$241), "", 'Data Entry'!$¿$241)</f>
      </c>
      <c r="DX241">
        <f>IF(ISBLANK('Data Entry'!$À$241), "", 'Data Entry'!$À$241)</f>
      </c>
      <c r="DY241">
        <f>IF(ISBLANK('Data Entry'!$Á$241), "", 'Data Entry'!$Á$241)</f>
      </c>
      <c r="DZ241">
        <f>IF(ISBLANK('Data Entry'!$Â$241), "", 'Data Entry'!$Â$241)</f>
      </c>
      <c r="EA241">
        <f>IF(ISBLANK('Data Entry'!$Ã$241), "", 'Data Entry'!$Ã$241)</f>
      </c>
      <c r="EB241">
        <f>IF(ISBLANK('Data Entry'!$Ä$241), "", 'Data Entry'!$Ä$241)</f>
      </c>
      <c r="EC241">
        <f>IF(ISBLANK('Data Entry'!$Å$241), "", 'Data Entry'!$Å$241)</f>
      </c>
      <c r="ED241">
        <f>IF(ISBLANK('Data Entry'!$Æ$241), "", 'Data Entry'!$Æ$241)</f>
      </c>
      <c r="EE241">
        <f>IF(ISBLANK('Data Entry'!$Ç$241), "", 'Data Entry'!$Ç$241)</f>
      </c>
      <c r="EF241">
        <f>IF(ISBLANK('Data Entry'!$È$241), "", 'Data Entry'!$È$241)</f>
      </c>
      <c r="EG241">
        <f>IF(ISBLANK('Data Entry'!$É$241), "", 'Data Entry'!$É$241)</f>
      </c>
      <c r="EH241">
        <f>IF(ISBLANK('Data Entry'!$Ê$241), "", 'Data Entry'!$Ê$241)</f>
      </c>
      <c r="EI241">
        <f>IF(ISBLANK('Data Entry'!$Ë$241), "", 'Data Entry'!$Ë$241)</f>
      </c>
      <c r="EJ241">
        <f>IF(ISBLANK('Data Entry'!$Ì$241), "", 'Data Entry'!$Ì$241)</f>
      </c>
      <c r="EK241">
        <f>IF(ISBLANK('Data Entry'!$Í$241), "", 'Data Entry'!$Í$241)</f>
      </c>
      <c r="EL241">
        <f>IF(ISBLANK('Data Entry'!$Î$241), "", 'Data Entry'!$Î$241)</f>
      </c>
      <c r="EM241">
        <f>IF(ISBLANK('Data Entry'!$Ï$241), "", 'Data Entry'!$Ï$241)</f>
      </c>
      <c r="EN241">
        <f>IF(ISBLANK('Data Entry'!$Ð$241), "", 'Data Entry'!$Ð$241)</f>
      </c>
      <c r="EO241">
        <f>IF(ISBLANK('Data Entry'!$Ñ$241), "", 'Data Entry'!$Ñ$241)</f>
      </c>
      <c r="EP241">
        <f>IF(ISBLANK('Data Entry'!$Ò$241), "", 'Data Entry'!$Ò$241)</f>
      </c>
      <c r="EQ241">
        <f>IF(ISBLANK('Data Entry'!$Ó$241), "", 'Data Entry'!$Ó$241)</f>
      </c>
      <c r="ER241">
        <f>IF(ISBLANK('Data Entry'!$Ô$241), "", 'Data Entry'!$Ô$241)</f>
      </c>
      <c r="ES241">
        <f>IF(ISBLANK('Data Entry'!$Õ$241), "", 'Data Entry'!$Õ$241)</f>
      </c>
      <c r="ET241">
        <f>IF(ISBLANK('Data Entry'!$Ö$241), "", 'Data Entry'!$Ö$241)</f>
      </c>
      <c r="EU241">
        <f>IF(ISBLANK('Data Entry'!$×$241), "", 'Data Entry'!$×$241)</f>
      </c>
      <c r="EV241">
        <f>IF(ISBLANK('Data Entry'!$Ø$241), "", 'Data Entry'!$Ø$241)</f>
      </c>
      <c r="EW241">
        <f>IF(ISBLANK('Data Entry'!$Ù$241), "", 'Data Entry'!$Ù$241)</f>
      </c>
      <c r="EX241">
        <f>IF(ISBLANK('Data Entry'!$Ú$241), "", 'Data Entry'!$Ú$241)</f>
      </c>
      <c r="EY241">
        <f>IF(ISBLANK('Data Entry'!$Û$241), "", 'Data Entry'!$Û$241)</f>
      </c>
      <c r="EZ241">
        <f>IF(ISBLANK('Data Entry'!$Ü$241), "", 'Data Entry'!$Ü$241)</f>
      </c>
      <c r="FA241">
        <f>IF(ISBLANK('Data Entry'!$Ý$241), "", 'Data Entry'!$Ý$241)</f>
      </c>
      <c r="FB241">
        <f>IF(ISBLANK('Data Entry'!$Þ$241), "", 'Data Entry'!$Þ$241)</f>
      </c>
      <c r="FC241">
        <f>IF(ISBLANK('Data Entry'!$ß$241), "", 'Data Entry'!$ß$241)</f>
      </c>
      <c r="FD241">
        <f>IF(ISBLANK('Data Entry'!$à$241), "", 'Data Entry'!$à$241)</f>
      </c>
      <c r="FE241">
        <f>IF(ISBLANK('Data Entry'!$á$241), "", 'Data Entry'!$á$241)</f>
      </c>
      <c r="FF241">
        <f>IF(ISBLANK('Data Entry'!$â$241), "", 'Data Entry'!$â$241)</f>
      </c>
      <c r="FG241">
        <f>IF(ISBLANK('Data Entry'!$ã$241), "", 'Data Entry'!$ã$241)</f>
      </c>
      <c r="FH241">
        <f>IF(ISBLANK('Data Entry'!$ä$241), "", 'Data Entry'!$ä$241)</f>
      </c>
      <c r="FI241">
        <f>IF(ISBLANK('Data Entry'!$å$241), "", 'Data Entry'!$å$241)</f>
      </c>
      <c r="FJ241">
        <f>IF(ISBLANK('Data Entry'!$æ$241), "", 'Data Entry'!$æ$241)</f>
      </c>
      <c r="FK241">
        <f>IF(ISBLANK('Data Entry'!$ç$241), "", 'Data Entry'!$ç$241)</f>
      </c>
      <c r="FL241">
        <f>IF(ISBLANK('Data Entry'!$è$241), "", 'Data Entry'!$è$241)</f>
      </c>
      <c r="FM241">
        <f>IF(ISBLANK('Data Entry'!$é$241), "", 'Data Entry'!$é$241)</f>
      </c>
      <c r="FN241">
        <f>IF(ISBLANK('Data Entry'!$ê$241), "", 'Data Entry'!$ê$241)</f>
      </c>
      <c r="FO241">
        <f>IF(ISBLANK('Data Entry'!$ë$241), "", 'Data Entry'!$ë$241)</f>
      </c>
      <c r="FP241">
        <f>IF(ISBLANK('Data Entry'!$ì$241), "", 'Data Entry'!$ì$241)</f>
      </c>
      <c r="FQ241">
        <f>IF(ISBLANK('Data Entry'!$í$241), "", 'Data Entry'!$í$241)</f>
      </c>
      <c r="FR241">
        <f>IF(ISBLANK('Data Entry'!$î$241), "", 'Data Entry'!$î$241)</f>
      </c>
      <c r="FS241">
        <f>IF(ISBLANK('Data Entry'!$ï$241), "", 'Data Entry'!$ï$241)</f>
      </c>
      <c r="FT241">
        <f>IF(ISBLANK('Data Entry'!$ð$241), "", 'Data Entry'!$ð$241)</f>
      </c>
      <c r="FU241">
        <f>IF(ISBLANK('Data Entry'!$ñ$241), "", 'Data Entry'!$ñ$241)</f>
      </c>
      <c r="FV241">
        <f>IF(ISBLANK('Data Entry'!$ò$241), "", 'Data Entry'!$ò$241)</f>
      </c>
      <c r="FW241">
        <f>IF(ISBLANK('Data Entry'!$ó$241), "", 'Data Entry'!$ó$241)</f>
      </c>
      <c r="FX241">
        <f>IF(ISBLANK('Data Entry'!$ô$241), "", 'Data Entry'!$ô$241)</f>
      </c>
      <c r="FY241">
        <f>IF(ISBLANK('Data Entry'!$õ$241), "", 'Data Entry'!$õ$241)</f>
      </c>
      <c r="FZ241">
        <f>IF(ISBLANK('Data Entry'!$ö$241), "", 'Data Entry'!$ö$241)</f>
      </c>
      <c r="GA241">
        <f>IF(ISBLANK('Data Entry'!$÷$241), "", 'Data Entry'!$÷$241)</f>
      </c>
      <c r="GB241">
        <f>IF(ISBLANK('Data Entry'!$ø$241), "", 'Data Entry'!$ø$241)</f>
      </c>
      <c r="GC241">
        <f>IF(ISBLANK('Data Entry'!$ù$241), "", 'Data Entry'!$ù$241)</f>
      </c>
      <c r="GD241">
        <f>IF(ISBLANK('Data Entry'!$ú$241), "", 'Data Entry'!$ú$241)</f>
      </c>
      <c r="GE241">
        <f>IF(ISBLANK('Data Entry'!$û$241), "", 'Data Entry'!$û$241)</f>
      </c>
      <c r="GF241">
        <f>IF(ISBLANK('Data Entry'!$ü$241), "", 'Data Entry'!$ü$241)</f>
      </c>
      <c r="GG241">
        <f>IF(ISBLANK('Data Entry'!$ý$241), "", 'Data Entry'!$ý$241)</f>
      </c>
      <c r="GH241">
        <f>IF(ISBLANK('Data Entry'!$þ$241), "", 'Data Entry'!$þ$241)</f>
      </c>
      <c r="GI241">
        <f>IF(ISBLANK('Data Entry'!$ÿ$241), "", 'Data Entry'!$ÿ$241)</f>
      </c>
      <c r="GJ241">
        <f>IF(ISBLANK('Data Entry'!$Ā$241), "", 'Data Entry'!$Ā$241)</f>
      </c>
      <c r="GK241">
        <f>IF(ISBLANK('Data Entry'!$ā$241), "", 'Data Entry'!$ā$241)</f>
      </c>
      <c r="GL241">
        <f>IF(ISBLANK('Data Entry'!$Ă$241), "", 'Data Entry'!$Ă$241)</f>
      </c>
      <c r="GM241">
        <f>IF(ISBLANK('Data Entry'!$ă$241), "", 'Data Entry'!$ă$241)</f>
      </c>
      <c r="GN241">
        <f>IF(ISBLANK('Data Entry'!$Ą$241), "", 'Data Entry'!$Ą$241)</f>
      </c>
      <c r="GO241">
        <f>IF(ISBLANK('Data Entry'!$ą$241), "", 'Data Entry'!$ą$241)</f>
      </c>
      <c r="GP241">
        <f>IF(ISBLANK('Data Entry'!$Ć$241), "", 'Data Entry'!$Ć$241)</f>
      </c>
      <c r="GQ241">
        <f>IF(ISBLANK('Data Entry'!$ć$241), "", 'Data Entry'!$ć$241)</f>
      </c>
      <c r="GR241">
        <f>IF(ISBLANK('Data Entry'!$Ĉ$241), "", 'Data Entry'!$Ĉ$241)</f>
      </c>
      <c r="GS241">
        <f>IF(ISBLANK('Data Entry'!$ĉ$241), "", 'Data Entry'!$ĉ$241)</f>
      </c>
      <c r="GT241">
        <f>IF(ISBLANK('Data Entry'!$Ċ$241), "", 'Data Entry'!$Ċ$241)</f>
      </c>
      <c r="GU241">
        <f>IF(ISBLANK('Data Entry'!$ċ$241), "", 'Data Entry'!$ċ$241)</f>
      </c>
      <c r="GV241">
        <f>IF(ISBLANK('Data Entry'!$Č$241), "", 'Data Entry'!$Č$241)</f>
      </c>
      <c r="GW241">
        <f>IF(ISBLANK('Data Entry'!$č$241), "", 'Data Entry'!$č$241)</f>
      </c>
      <c r="GX241">
        <f>IF(ISBLANK('Data Entry'!$Ď$241), "", 'Data Entry'!$Ď$241)</f>
      </c>
      <c r="GY241">
        <f>IF(ISBLANK('Data Entry'!$ď$241), "", 'Data Entry'!$ď$241)</f>
      </c>
      <c r="GZ241">
        <f>IF(ISBLANK('Data Entry'!$Đ$241), "", 'Data Entry'!$Đ$241)</f>
      </c>
      <c r="HA241">
        <f>IF(ISBLANK('Data Entry'!$đ$241), "", 'Data Entry'!$đ$241)</f>
      </c>
      <c r="HB241">
        <f>IF(ISBLANK('Data Entry'!$Ē$241), "", 'Data Entry'!$Ē$241)</f>
      </c>
      <c r="HC241">
        <f>IF(ISBLANK('Data Entry'!$ē$241), "", 'Data Entry'!$ē$241)</f>
      </c>
      <c r="HD241">
        <f>IF(ISBLANK('Data Entry'!$Ĕ$241), "", 'Data Entry'!$Ĕ$241)</f>
      </c>
      <c r="HE241">
        <f>IF(ISBLANK('Data Entry'!$ĕ$241), "", 'Data Entry'!$ĕ$241)</f>
      </c>
      <c r="HF241">
        <f>IF(ISBLANK('Data Entry'!$Ė$241), "", 'Data Entry'!$Ė$241)</f>
      </c>
      <c r="HG241">
        <f>IF(ISBLANK('Data Entry'!$ė$241), "", 'Data Entry'!$ė$241)</f>
      </c>
      <c r="HH241">
        <f>IF(ISBLANK('Data Entry'!$Ę$241), "", 'Data Entry'!$Ę$241)</f>
      </c>
      <c r="HI241">
        <f>IF(ISBLANK('Data Entry'!$ę$241), "", 'Data Entry'!$ę$241)</f>
      </c>
      <c r="HJ241">
        <f>IF(ISBLANK('Data Entry'!$Ě$241), "", 'Data Entry'!$Ě$241)</f>
      </c>
      <c r="HK241">
        <f>IF(ISBLANK('Data Entry'!$ě$241), "", 'Data Entry'!$ě$241)</f>
      </c>
      <c r="HL241">
        <f>IF(ISBLANK('Data Entry'!$Ĝ$241), "", 'Data Entry'!$Ĝ$241)</f>
      </c>
      <c r="HM241">
        <f>IF(ISBLANK('Data Entry'!$ĝ$241), "", 'Data Entry'!$ĝ$241)</f>
      </c>
      <c r="HN241">
        <f>IF(ISBLANK('Data Entry'!$Ğ$241), "", 'Data Entry'!$Ğ$241)</f>
      </c>
      <c r="HO241">
        <f>IF(ISBLANK('Data Entry'!$ğ$241), "", 'Data Entry'!$ğ$241)</f>
      </c>
      <c r="HP241">
        <f>IF(ISBLANK('Data Entry'!$Ġ$241), "", 'Data Entry'!$Ġ$241)</f>
      </c>
      <c r="HQ241">
        <f>IF(ISBLANK('Data Entry'!$ġ$241), "", 'Data Entry'!$ġ$241)</f>
      </c>
      <c r="HR241">
        <f>IF(ISBLANK('Data Entry'!$Ģ$241), "", 'Data Entry'!$Ģ$241)</f>
      </c>
      <c r="HS241">
        <f>IF(ISBLANK('Data Entry'!$ģ$241), "", 'Data Entry'!$ģ$241)</f>
      </c>
      <c r="HT241">
        <f>IF(ISBLANK('Data Entry'!$Ĥ$241), "", 'Data Entry'!$Ĥ$241)</f>
      </c>
      <c r="HU241">
        <f>IF(ISBLANK('Data Entry'!$ĥ$241), "", 'Data Entry'!$ĥ$241)</f>
      </c>
      <c r="HV241">
        <f>IF(ISBLANK('Data Entry'!$Ħ$241), "", 'Data Entry'!$Ħ$241)</f>
      </c>
      <c r="HW241">
        <f>IF(ISBLANK('Data Entry'!$ħ$241), "", 'Data Entry'!$ħ$241)</f>
      </c>
      <c r="HX241">
        <f>IF(ISBLANK('Data Entry'!$Ĩ$241), "", 'Data Entry'!$Ĩ$241)</f>
      </c>
      <c r="HY241">
        <f>IF(ISBLANK('Data Entry'!$ĩ$241), "", 'Data Entry'!$ĩ$241)</f>
      </c>
      <c r="HZ241">
        <f>IF(ISBLANK('Data Entry'!$Ī$241), "", 'Data Entry'!$Ī$241)</f>
      </c>
      <c r="IA241">
        <f>IF(ISBLANK('Data Entry'!$ī$241), "", 'Data Entry'!$ī$241)</f>
      </c>
      <c r="IB241">
        <f>IF(ISBLANK('Data Entry'!$Ĭ$241), "", 'Data Entry'!$Ĭ$241)</f>
      </c>
      <c r="IC241">
        <f>IF(ISBLANK('Data Entry'!$ĭ$241), "", 'Data Entry'!$ĭ$241)</f>
      </c>
      <c r="ID241">
        <f>IF(ISBLANK('Data Entry'!$Į$241), "", 'Data Entry'!$Į$241)</f>
      </c>
      <c r="IE241">
        <f>IF(ISBLANK('Data Entry'!$į$241), "", 'Data Entry'!$į$241)</f>
      </c>
      <c r="IF241">
        <f>IF(ISBLANK('Data Entry'!$İ$241), "", 'Data Entry'!$İ$241)</f>
      </c>
      <c r="IG241">
        <f>IF(ISBLANK('Data Entry'!$ı$241), "", 'Data Entry'!$ı$241)</f>
      </c>
      <c r="IH241">
        <f>IF(ISBLANK('Data Entry'!$Ĳ$241), "", 'Data Entry'!$Ĳ$241)</f>
      </c>
      <c r="II241">
        <f>IF(ISBLANK('Data Entry'!$ĳ$241), "", 'Data Entry'!$ĳ$241)</f>
      </c>
      <c r="IJ241">
        <f>IF(ISBLANK('Data Entry'!$Ĵ$241), "", 'Data Entry'!$Ĵ$241)</f>
      </c>
      <c r="IK241">
        <f>IF(ISBLANK('Data Entry'!$ĵ$241), "", 'Data Entry'!$ĵ$241)</f>
      </c>
      <c r="IL241">
        <f>IF(ISBLANK('Data Entry'!$Ķ$241), "", 'Data Entry'!$Ķ$241)</f>
      </c>
      <c r="IM241">
        <f>IF(ISBLANK('Data Entry'!$ķ$241), "", 'Data Entry'!$ķ$241)</f>
      </c>
      <c r="IN241">
        <f>IF(ISBLANK('Data Entry'!$ĸ$241), "", 'Data Entry'!$ĸ$241)</f>
      </c>
      <c r="IO241">
        <f>IF(ISBLANK('Data Entry'!$Ĺ$241), "", 'Data Entry'!$Ĺ$241)</f>
      </c>
      <c r="IP241">
        <f>IF(ISBLANK('Data Entry'!$ĺ$241), "", 'Data Entry'!$ĺ$241)</f>
      </c>
      <c r="IQ241">
        <f>IF(ISBLANK('Data Entry'!$Ļ$241), "", 'Data Entry'!$Ļ$241)</f>
      </c>
      <c r="IR241">
        <f>IF(ISBLANK('Data Entry'!$ļ$241), "", 'Data Entry'!$ļ$241)</f>
      </c>
      <c r="IS241">
        <f>IF(ISBLANK('Data Entry'!$Ľ$241), "", 'Data Entry'!$Ľ$241)</f>
      </c>
      <c r="IT241">
        <f>IF(ISBLANK('Data Entry'!$ľ$241), "", 'Data Entry'!$ľ$241)</f>
      </c>
    </row>
    <row r="242" spans="1:254" x14ac:dyDescent="0.25">
      <c r="A242">
        <f>IF(ISBLANK('Data Entry'!$A$242), "", 'Data Entry'!$A$242)</f>
      </c>
      <c r="B242">
        <f>IF(ISBLANK('Data Entry'!$B$242), "", 'Data Entry'!$B$242)</f>
      </c>
      <c r="C242">
        <f>IF(ISBLANK('Data Entry'!$C$242), "", 'Data Entry'!$C$242)</f>
      </c>
      <c r="D242">
        <f>IF(ISBLANK('Data Entry'!$D$242), "", 'Data Entry'!$D$242)</f>
      </c>
      <c r="E242">
        <f>IF(ISBLANK('Data Entry'!$E$242), "", 'Data Entry'!$E$242)</f>
      </c>
      <c r="F242">
        <f>IF(ISBLANK('Data Entry'!$F$242), "", 'Data Entry'!$F$242)</f>
      </c>
      <c r="G242">
        <f>IF(ISBLANK('Data Entry'!$G$242), "", 'Data Entry'!$G$242)</f>
      </c>
      <c r="H242">
        <f>IF(ISBLANK('Data Entry'!$H$242), "", 'Data Entry'!$H$242)</f>
      </c>
      <c r="I242">
        <f>IF(ISBLANK('Data Entry'!$I$242), "", 'Data Entry'!$I$242)</f>
      </c>
      <c r="J242">
        <f>IF(ISBLANK('Data Entry'!$J$242), "", 'Data Entry'!$J$242)</f>
      </c>
      <c r="K242">
        <f>IF(ISBLANK('Data Entry'!$K$242), "", 'Data Entry'!$K$242)</f>
      </c>
      <c r="L242">
        <f>IF(ISBLANK('Data Entry'!$L$242), "", 'Data Entry'!$L$242)</f>
      </c>
      <c r="M242">
        <f>IF(ISBLANK('Data Entry'!$M$242), "", 'Data Entry'!$M$242)</f>
      </c>
      <c r="N242">
        <f>IF(ISBLANK('Data Entry'!$N$242), "", 'Data Entry'!$N$242)</f>
      </c>
      <c r="O242">
        <f>IF(ISBLANK('Data Entry'!$O$242), "", 'Data Entry'!$O$242)</f>
      </c>
      <c r="P242">
        <f>IF(ISBLANK('Data Entry'!$P$242), "", 'Data Entry'!$P$242)</f>
      </c>
      <c r="Q242">
        <f>IF(ISBLANK('Data Entry'!$Q$242), "", 'Data Entry'!$Q$242)</f>
      </c>
      <c r="R242">
        <f>IF(ISBLANK('Data Entry'!$R$242), "", 'Data Entry'!$R$242)</f>
      </c>
      <c r="S242">
        <f>IF(ISBLANK('Data Entry'!$S$242), "", 'Data Entry'!$S$242)</f>
      </c>
      <c r="T242">
        <f>IF(ISBLANK('Data Entry'!$T$242), "", 'Data Entry'!$T$242)</f>
      </c>
      <c r="U242">
        <f>IF(ISBLANK('Data Entry'!$U$242), "", 'Data Entry'!$U$242)</f>
      </c>
      <c r="V242">
        <f>IF(ISBLANK('Data Entry'!$V$242), "", 'Data Entry'!$V$242)</f>
      </c>
      <c r="W242">
        <f>IF(ISBLANK('Data Entry'!$W$242), "", 'Data Entry'!$W$242)</f>
      </c>
      <c r="X242">
        <f>IF(ISBLANK('Data Entry'!$X$242), "", 'Data Entry'!$X$242)</f>
      </c>
      <c r="Y242">
        <f>IF(ISBLANK('Data Entry'!$Y$242), "", 'Data Entry'!$Y$242)</f>
      </c>
      <c r="Z242">
        <f>IF(ISBLANK('Data Entry'!$Z$242), "", 'Data Entry'!$Z$242)</f>
      </c>
      <c r="AA242">
        <f>IF(ISBLANK('Data Entry'!$[$242), "", 'Data Entry'!$[$242)</f>
      </c>
      <c r="AB242">
        <f>IF(ISBLANK('Data Entry'!$\$242), "", 'Data Entry'!$\$242)</f>
      </c>
      <c r="AC242">
        <f>IF(ISBLANK('Data Entry'!$]$242), "", 'Data Entry'!$]$242)</f>
      </c>
      <c r="AD242">
        <f>IF(ISBLANK('Data Entry'!$^$242), "", 'Data Entry'!$^$242)</f>
      </c>
      <c r="AE242">
        <f>IF(ISBLANK('Data Entry'!$_$242), "", 'Data Entry'!$_$242)</f>
      </c>
      <c r="AF242">
        <f>IF(ISBLANK('Data Entry'!$`$242), "", 'Data Entry'!$`$242)</f>
      </c>
      <c r="AG242">
        <f>IF(ISBLANK('Data Entry'!$a$242), "", 'Data Entry'!$a$242)</f>
      </c>
      <c r="AH242">
        <f>IF(ISBLANK('Data Entry'!$b$242), "", 'Data Entry'!$b$242)</f>
      </c>
      <c r="AI242">
        <f>IF(ISBLANK('Data Entry'!$c$242), "", 'Data Entry'!$c$242)</f>
      </c>
      <c r="AJ242">
        <f>IF(ISBLANK('Data Entry'!$d$242), "", 'Data Entry'!$d$242)</f>
      </c>
      <c r="AK242">
        <f>IF(ISBLANK('Data Entry'!$e$242), "", 'Data Entry'!$e$242)</f>
      </c>
      <c r="AL242">
        <f>IF(ISBLANK('Data Entry'!$f$242), "", 'Data Entry'!$f$242)</f>
      </c>
      <c r="AM242">
        <f>IF(ISBLANK('Data Entry'!$g$242), "", 'Data Entry'!$g$242)</f>
      </c>
      <c r="AN242">
        <f>IF(ISBLANK('Data Entry'!$h$242), "", 'Data Entry'!$h$242)</f>
      </c>
      <c r="AO242">
        <f>IF(ISBLANK('Data Entry'!$i$242), "", 'Data Entry'!$i$242)</f>
      </c>
      <c r="AP242">
        <f>IF(ISBLANK('Data Entry'!$j$242), "", 'Data Entry'!$j$242)</f>
      </c>
      <c r="AQ242">
        <f>IF(ISBLANK('Data Entry'!$k$242), "", 'Data Entry'!$k$242)</f>
      </c>
      <c r="AR242">
        <f>IF(ISBLANK('Data Entry'!$l$242), "", 'Data Entry'!$l$242)</f>
      </c>
      <c r="AS242">
        <f>IF(ISBLANK('Data Entry'!$m$242), "", 'Data Entry'!$m$242)</f>
      </c>
      <c r="AT242">
        <f>IF(ISBLANK('Data Entry'!$n$242), "", 'Data Entry'!$n$242)</f>
      </c>
      <c r="AU242">
        <f>IF(ISBLANK('Data Entry'!$o$242), "", 'Data Entry'!$o$242)</f>
      </c>
      <c r="AV242">
        <f>IF(ISBLANK('Data Entry'!$p$242), "", 'Data Entry'!$p$242)</f>
      </c>
      <c r="AW242">
        <f>IF(ISBLANK('Data Entry'!$q$242), "", 'Data Entry'!$q$242)</f>
      </c>
      <c r="AX242">
        <f>IF(ISBLANK('Data Entry'!$r$242), "", 'Data Entry'!$r$242)</f>
      </c>
      <c r="AY242">
        <f>IF(ISBLANK('Data Entry'!$s$242), "", 'Data Entry'!$s$242)</f>
      </c>
      <c r="AZ242">
        <f>IF(ISBLANK('Data Entry'!$t$242), "", 'Data Entry'!$t$242)</f>
      </c>
      <c r="BA242">
        <f>IF(ISBLANK('Data Entry'!$u$242), "", 'Data Entry'!$u$242)</f>
      </c>
      <c r="BB242">
        <f>IF(ISBLANK('Data Entry'!$v$242), "", 'Data Entry'!$v$242)</f>
      </c>
      <c r="BC242">
        <f>IF(ISBLANK('Data Entry'!$w$242), "", 'Data Entry'!$w$242)</f>
      </c>
      <c r="BD242">
        <f>IF(ISBLANK('Data Entry'!$x$242), "", 'Data Entry'!$x$242)</f>
      </c>
      <c r="BE242">
        <f>IF(ISBLANK('Data Entry'!$y$242), "", 'Data Entry'!$y$242)</f>
      </c>
      <c r="BF242">
        <f>IF(ISBLANK('Data Entry'!$z$242), "", 'Data Entry'!$z$242)</f>
      </c>
      <c r="BG242">
        <f>IF(ISBLANK('Data Entry'!${$242), "", 'Data Entry'!${$242)</f>
      </c>
      <c r="BH242">
        <f>IF(ISBLANK('Data Entry'!$|$242), "", 'Data Entry'!$|$242)</f>
      </c>
      <c r="BI242">
        <f>IF(ISBLANK('Data Entry'!$}$242), "", 'Data Entry'!$}$242)</f>
      </c>
      <c r="BJ242">
        <f>IF(ISBLANK('Data Entry'!$~$242), "", 'Data Entry'!$~$242)</f>
      </c>
      <c r="BK242">
        <f>IF(ISBLANK('Data Entry'!$$242), "", 'Data Entry'!$$242)</f>
      </c>
      <c r="BL242">
        <f>IF(ISBLANK('Data Entry'!$$242), "", 'Data Entry'!$$242)</f>
      </c>
      <c r="BM242">
        <f>IF(ISBLANK('Data Entry'!$$242), "", 'Data Entry'!$$242)</f>
      </c>
      <c r="BN242">
        <f>IF(ISBLANK('Data Entry'!$$242), "", 'Data Entry'!$$242)</f>
      </c>
      <c r="BO242">
        <f>IF(ISBLANK('Data Entry'!$$242), "", 'Data Entry'!$$242)</f>
      </c>
      <c r="BP242">
        <f>IF(ISBLANK('Data Entry'!$$242), "", 'Data Entry'!$$242)</f>
      </c>
      <c r="BQ242">
        <f>IF(ISBLANK('Data Entry'!$$242), "", 'Data Entry'!$$242)</f>
      </c>
      <c r="BR242">
        <f>IF(ISBLANK('Data Entry'!$$242), "", 'Data Entry'!$$242)</f>
      </c>
      <c r="BS242">
        <f>IF(ISBLANK('Data Entry'!$$242), "", 'Data Entry'!$$242)</f>
      </c>
      <c r="BT242">
        <f>IF(ISBLANK('Data Entry'!$$242), "", 'Data Entry'!$$242)</f>
      </c>
      <c r="BU242">
        <f>IF(ISBLANK('Data Entry'!$$242), "", 'Data Entry'!$$242)</f>
      </c>
      <c r="BV242">
        <f>IF(ISBLANK('Data Entry'!$$242), "", 'Data Entry'!$$242)</f>
      </c>
      <c r="BW242">
        <f>IF(ISBLANK('Data Entry'!$$242), "", 'Data Entry'!$$242)</f>
      </c>
      <c r="BX242">
        <f>IF(ISBLANK('Data Entry'!$$242), "", 'Data Entry'!$$242)</f>
      </c>
      <c r="BY242">
        <f>IF(ISBLANK('Data Entry'!$$242), "", 'Data Entry'!$$242)</f>
      </c>
      <c r="BZ242">
        <f>IF(ISBLANK('Data Entry'!$$242), "", 'Data Entry'!$$242)</f>
      </c>
      <c r="CA242">
        <f>IF(ISBLANK('Data Entry'!$$242), "", 'Data Entry'!$$242)</f>
      </c>
      <c r="CB242">
        <f>IF(ISBLANK('Data Entry'!$$242), "", 'Data Entry'!$$242)</f>
      </c>
      <c r="CC242">
        <f>IF(ISBLANK('Data Entry'!$$242), "", 'Data Entry'!$$242)</f>
      </c>
      <c r="CD242">
        <f>IF(ISBLANK('Data Entry'!$$242), "", 'Data Entry'!$$242)</f>
      </c>
      <c r="CE242">
        <f>IF(ISBLANK('Data Entry'!$$242), "", 'Data Entry'!$$242)</f>
      </c>
      <c r="CF242">
        <f>IF(ISBLANK('Data Entry'!$$242), "", 'Data Entry'!$$242)</f>
      </c>
      <c r="CG242">
        <f>IF(ISBLANK('Data Entry'!$$242), "", 'Data Entry'!$$242)</f>
      </c>
      <c r="CH242">
        <f>IF(ISBLANK('Data Entry'!$$242), "", 'Data Entry'!$$242)</f>
      </c>
      <c r="CI242">
        <f>IF(ISBLANK('Data Entry'!$$242), "", 'Data Entry'!$$242)</f>
      </c>
      <c r="CJ242">
        <f>IF(ISBLANK('Data Entry'!$$242), "", 'Data Entry'!$$242)</f>
      </c>
      <c r="CK242">
        <f>IF(ISBLANK('Data Entry'!$$242), "", 'Data Entry'!$$242)</f>
      </c>
      <c r="CL242">
        <f>IF(ISBLANK('Data Entry'!$$242), "", 'Data Entry'!$$242)</f>
      </c>
      <c r="CM242">
        <f>IF(ISBLANK('Data Entry'!$$242), "", 'Data Entry'!$$242)</f>
      </c>
      <c r="CN242">
        <f>IF(ISBLANK('Data Entry'!$$242), "", 'Data Entry'!$$242)</f>
      </c>
      <c r="CO242">
        <f>IF(ISBLANK('Data Entry'!$$242), "", 'Data Entry'!$$242)</f>
      </c>
      <c r="CP242">
        <f>IF(ISBLANK('Data Entry'!$$242), "", 'Data Entry'!$$242)</f>
      </c>
      <c r="CQ242">
        <f>IF(ISBLANK('Data Entry'!$$242), "", 'Data Entry'!$$242)</f>
      </c>
      <c r="CR242">
        <f>IF(ISBLANK('Data Entry'!$ $242), "", 'Data Entry'!$ $242)</f>
      </c>
      <c r="CS242">
        <f>IF(ISBLANK('Data Entry'!$¡$242), "", 'Data Entry'!$¡$242)</f>
      </c>
      <c r="CT242">
        <f>IF(ISBLANK('Data Entry'!$¢$242), "", 'Data Entry'!$¢$242)</f>
      </c>
      <c r="CU242">
        <f>IF(ISBLANK('Data Entry'!$£$242), "", 'Data Entry'!$£$242)</f>
      </c>
      <c r="CV242">
        <f>IF(ISBLANK('Data Entry'!$¤$242), "", 'Data Entry'!$¤$242)</f>
      </c>
      <c r="CW242">
        <f>IF(ISBLANK('Data Entry'!$¥$242), "", 'Data Entry'!$¥$242)</f>
      </c>
      <c r="CX242">
        <f>IF(ISBLANK('Data Entry'!$¦$242), "", 'Data Entry'!$¦$242)</f>
      </c>
      <c r="CY242">
        <f>IF(ISBLANK('Data Entry'!$§$242), "", 'Data Entry'!$§$242)</f>
      </c>
      <c r="CZ242">
        <f>IF(ISBLANK('Data Entry'!$¨$242), "", 'Data Entry'!$¨$242)</f>
      </c>
      <c r="DA242">
        <f>IF(ISBLANK('Data Entry'!$©$242), "", 'Data Entry'!$©$242)</f>
      </c>
      <c r="DB242">
        <f>IF(ISBLANK('Data Entry'!$ª$242), "", 'Data Entry'!$ª$242)</f>
      </c>
      <c r="DC242">
        <f>IF(ISBLANK('Data Entry'!$«$242), "", 'Data Entry'!$«$242)</f>
      </c>
      <c r="DD242">
        <f>IF(ISBLANK('Data Entry'!$¬$242), "", 'Data Entry'!$¬$242)</f>
      </c>
      <c r="DE242">
        <f>IF(ISBLANK('Data Entry'!$­$242), "", 'Data Entry'!$­$242)</f>
      </c>
      <c r="DF242">
        <f>IF(ISBLANK('Data Entry'!$®$242), "", 'Data Entry'!$®$242)</f>
      </c>
      <c r="DG242">
        <f>IF(ISBLANK('Data Entry'!$¯$242), "", 'Data Entry'!$¯$242)</f>
      </c>
      <c r="DH242">
        <f>IF(ISBLANK('Data Entry'!$°$242), "", 'Data Entry'!$°$242)</f>
      </c>
      <c r="DI242">
        <f>IF(ISBLANK('Data Entry'!$±$242), "", 'Data Entry'!$±$242)</f>
      </c>
      <c r="DJ242">
        <f>IF(ISBLANK('Data Entry'!$²$242), "", 'Data Entry'!$²$242)</f>
      </c>
      <c r="DK242">
        <f>IF(ISBLANK('Data Entry'!$³$242), "", 'Data Entry'!$³$242)</f>
      </c>
      <c r="DL242">
        <f>IF(ISBLANK('Data Entry'!$´$242), "", 'Data Entry'!$´$242)</f>
      </c>
      <c r="DM242">
        <f>IF(ISBLANK('Data Entry'!$µ$242), "", 'Data Entry'!$µ$242)</f>
      </c>
      <c r="DN242">
        <f>IF(ISBLANK('Data Entry'!$¶$242), "", 'Data Entry'!$¶$242)</f>
      </c>
      <c r="DO242">
        <f>IF(ISBLANK('Data Entry'!$·$242), "", 'Data Entry'!$·$242)</f>
      </c>
      <c r="DP242">
        <f>IF(ISBLANK('Data Entry'!$¸$242), "", 'Data Entry'!$¸$242)</f>
      </c>
      <c r="DQ242">
        <f>IF(ISBLANK('Data Entry'!$¹$242), "", 'Data Entry'!$¹$242)</f>
      </c>
      <c r="DR242">
        <f>IF(ISBLANK('Data Entry'!$º$242), "", 'Data Entry'!$º$242)</f>
      </c>
      <c r="DS242">
        <f>IF(ISBLANK('Data Entry'!$»$242), "", 'Data Entry'!$»$242)</f>
      </c>
      <c r="DT242">
        <f>IF(ISBLANK('Data Entry'!$¼$242), "", 'Data Entry'!$¼$242)</f>
      </c>
      <c r="DU242">
        <f>IF(ISBLANK('Data Entry'!$½$242), "", 'Data Entry'!$½$242)</f>
      </c>
      <c r="DV242">
        <f>IF(ISBLANK('Data Entry'!$¾$242), "", 'Data Entry'!$¾$242)</f>
      </c>
      <c r="DW242">
        <f>IF(ISBLANK('Data Entry'!$¿$242), "", 'Data Entry'!$¿$242)</f>
      </c>
      <c r="DX242">
        <f>IF(ISBLANK('Data Entry'!$À$242), "", 'Data Entry'!$À$242)</f>
      </c>
      <c r="DY242">
        <f>IF(ISBLANK('Data Entry'!$Á$242), "", 'Data Entry'!$Á$242)</f>
      </c>
      <c r="DZ242">
        <f>IF(ISBLANK('Data Entry'!$Â$242), "", 'Data Entry'!$Â$242)</f>
      </c>
      <c r="EA242">
        <f>IF(ISBLANK('Data Entry'!$Ã$242), "", 'Data Entry'!$Ã$242)</f>
      </c>
      <c r="EB242">
        <f>IF(ISBLANK('Data Entry'!$Ä$242), "", 'Data Entry'!$Ä$242)</f>
      </c>
      <c r="EC242">
        <f>IF(ISBLANK('Data Entry'!$Å$242), "", 'Data Entry'!$Å$242)</f>
      </c>
      <c r="ED242">
        <f>IF(ISBLANK('Data Entry'!$Æ$242), "", 'Data Entry'!$Æ$242)</f>
      </c>
      <c r="EE242">
        <f>IF(ISBLANK('Data Entry'!$Ç$242), "", 'Data Entry'!$Ç$242)</f>
      </c>
      <c r="EF242">
        <f>IF(ISBLANK('Data Entry'!$È$242), "", 'Data Entry'!$È$242)</f>
      </c>
      <c r="EG242">
        <f>IF(ISBLANK('Data Entry'!$É$242), "", 'Data Entry'!$É$242)</f>
      </c>
      <c r="EH242">
        <f>IF(ISBLANK('Data Entry'!$Ê$242), "", 'Data Entry'!$Ê$242)</f>
      </c>
      <c r="EI242">
        <f>IF(ISBLANK('Data Entry'!$Ë$242), "", 'Data Entry'!$Ë$242)</f>
      </c>
      <c r="EJ242">
        <f>IF(ISBLANK('Data Entry'!$Ì$242), "", 'Data Entry'!$Ì$242)</f>
      </c>
      <c r="EK242">
        <f>IF(ISBLANK('Data Entry'!$Í$242), "", 'Data Entry'!$Í$242)</f>
      </c>
      <c r="EL242">
        <f>IF(ISBLANK('Data Entry'!$Î$242), "", 'Data Entry'!$Î$242)</f>
      </c>
      <c r="EM242">
        <f>IF(ISBLANK('Data Entry'!$Ï$242), "", 'Data Entry'!$Ï$242)</f>
      </c>
      <c r="EN242">
        <f>IF(ISBLANK('Data Entry'!$Ð$242), "", 'Data Entry'!$Ð$242)</f>
      </c>
      <c r="EO242">
        <f>IF(ISBLANK('Data Entry'!$Ñ$242), "", 'Data Entry'!$Ñ$242)</f>
      </c>
      <c r="EP242">
        <f>IF(ISBLANK('Data Entry'!$Ò$242), "", 'Data Entry'!$Ò$242)</f>
      </c>
      <c r="EQ242">
        <f>IF(ISBLANK('Data Entry'!$Ó$242), "", 'Data Entry'!$Ó$242)</f>
      </c>
      <c r="ER242">
        <f>IF(ISBLANK('Data Entry'!$Ô$242), "", 'Data Entry'!$Ô$242)</f>
      </c>
      <c r="ES242">
        <f>IF(ISBLANK('Data Entry'!$Õ$242), "", 'Data Entry'!$Õ$242)</f>
      </c>
      <c r="ET242">
        <f>IF(ISBLANK('Data Entry'!$Ö$242), "", 'Data Entry'!$Ö$242)</f>
      </c>
      <c r="EU242">
        <f>IF(ISBLANK('Data Entry'!$×$242), "", 'Data Entry'!$×$242)</f>
      </c>
      <c r="EV242">
        <f>IF(ISBLANK('Data Entry'!$Ø$242), "", 'Data Entry'!$Ø$242)</f>
      </c>
      <c r="EW242">
        <f>IF(ISBLANK('Data Entry'!$Ù$242), "", 'Data Entry'!$Ù$242)</f>
      </c>
      <c r="EX242">
        <f>IF(ISBLANK('Data Entry'!$Ú$242), "", 'Data Entry'!$Ú$242)</f>
      </c>
      <c r="EY242">
        <f>IF(ISBLANK('Data Entry'!$Û$242), "", 'Data Entry'!$Û$242)</f>
      </c>
      <c r="EZ242">
        <f>IF(ISBLANK('Data Entry'!$Ü$242), "", 'Data Entry'!$Ü$242)</f>
      </c>
      <c r="FA242">
        <f>IF(ISBLANK('Data Entry'!$Ý$242), "", 'Data Entry'!$Ý$242)</f>
      </c>
      <c r="FB242">
        <f>IF(ISBLANK('Data Entry'!$Þ$242), "", 'Data Entry'!$Þ$242)</f>
      </c>
      <c r="FC242">
        <f>IF(ISBLANK('Data Entry'!$ß$242), "", 'Data Entry'!$ß$242)</f>
      </c>
      <c r="FD242">
        <f>IF(ISBLANK('Data Entry'!$à$242), "", 'Data Entry'!$à$242)</f>
      </c>
      <c r="FE242">
        <f>IF(ISBLANK('Data Entry'!$á$242), "", 'Data Entry'!$á$242)</f>
      </c>
      <c r="FF242">
        <f>IF(ISBLANK('Data Entry'!$â$242), "", 'Data Entry'!$â$242)</f>
      </c>
      <c r="FG242">
        <f>IF(ISBLANK('Data Entry'!$ã$242), "", 'Data Entry'!$ã$242)</f>
      </c>
      <c r="FH242">
        <f>IF(ISBLANK('Data Entry'!$ä$242), "", 'Data Entry'!$ä$242)</f>
      </c>
      <c r="FI242">
        <f>IF(ISBLANK('Data Entry'!$å$242), "", 'Data Entry'!$å$242)</f>
      </c>
      <c r="FJ242">
        <f>IF(ISBLANK('Data Entry'!$æ$242), "", 'Data Entry'!$æ$242)</f>
      </c>
      <c r="FK242">
        <f>IF(ISBLANK('Data Entry'!$ç$242), "", 'Data Entry'!$ç$242)</f>
      </c>
      <c r="FL242">
        <f>IF(ISBLANK('Data Entry'!$è$242), "", 'Data Entry'!$è$242)</f>
      </c>
      <c r="FM242">
        <f>IF(ISBLANK('Data Entry'!$é$242), "", 'Data Entry'!$é$242)</f>
      </c>
      <c r="FN242">
        <f>IF(ISBLANK('Data Entry'!$ê$242), "", 'Data Entry'!$ê$242)</f>
      </c>
      <c r="FO242">
        <f>IF(ISBLANK('Data Entry'!$ë$242), "", 'Data Entry'!$ë$242)</f>
      </c>
      <c r="FP242">
        <f>IF(ISBLANK('Data Entry'!$ì$242), "", 'Data Entry'!$ì$242)</f>
      </c>
      <c r="FQ242">
        <f>IF(ISBLANK('Data Entry'!$í$242), "", 'Data Entry'!$í$242)</f>
      </c>
      <c r="FR242">
        <f>IF(ISBLANK('Data Entry'!$î$242), "", 'Data Entry'!$î$242)</f>
      </c>
      <c r="FS242">
        <f>IF(ISBLANK('Data Entry'!$ï$242), "", 'Data Entry'!$ï$242)</f>
      </c>
      <c r="FT242">
        <f>IF(ISBLANK('Data Entry'!$ð$242), "", 'Data Entry'!$ð$242)</f>
      </c>
      <c r="FU242">
        <f>IF(ISBLANK('Data Entry'!$ñ$242), "", 'Data Entry'!$ñ$242)</f>
      </c>
      <c r="FV242">
        <f>IF(ISBLANK('Data Entry'!$ò$242), "", 'Data Entry'!$ò$242)</f>
      </c>
      <c r="FW242">
        <f>IF(ISBLANK('Data Entry'!$ó$242), "", 'Data Entry'!$ó$242)</f>
      </c>
      <c r="FX242">
        <f>IF(ISBLANK('Data Entry'!$ô$242), "", 'Data Entry'!$ô$242)</f>
      </c>
      <c r="FY242">
        <f>IF(ISBLANK('Data Entry'!$õ$242), "", 'Data Entry'!$õ$242)</f>
      </c>
      <c r="FZ242">
        <f>IF(ISBLANK('Data Entry'!$ö$242), "", 'Data Entry'!$ö$242)</f>
      </c>
      <c r="GA242">
        <f>IF(ISBLANK('Data Entry'!$÷$242), "", 'Data Entry'!$÷$242)</f>
      </c>
      <c r="GB242">
        <f>IF(ISBLANK('Data Entry'!$ø$242), "", 'Data Entry'!$ø$242)</f>
      </c>
      <c r="GC242">
        <f>IF(ISBLANK('Data Entry'!$ù$242), "", 'Data Entry'!$ù$242)</f>
      </c>
      <c r="GD242">
        <f>IF(ISBLANK('Data Entry'!$ú$242), "", 'Data Entry'!$ú$242)</f>
      </c>
      <c r="GE242">
        <f>IF(ISBLANK('Data Entry'!$û$242), "", 'Data Entry'!$û$242)</f>
      </c>
      <c r="GF242">
        <f>IF(ISBLANK('Data Entry'!$ü$242), "", 'Data Entry'!$ü$242)</f>
      </c>
      <c r="GG242">
        <f>IF(ISBLANK('Data Entry'!$ý$242), "", 'Data Entry'!$ý$242)</f>
      </c>
      <c r="GH242">
        <f>IF(ISBLANK('Data Entry'!$þ$242), "", 'Data Entry'!$þ$242)</f>
      </c>
      <c r="GI242">
        <f>IF(ISBLANK('Data Entry'!$ÿ$242), "", 'Data Entry'!$ÿ$242)</f>
      </c>
      <c r="GJ242">
        <f>IF(ISBLANK('Data Entry'!$Ā$242), "", 'Data Entry'!$Ā$242)</f>
      </c>
      <c r="GK242">
        <f>IF(ISBLANK('Data Entry'!$ā$242), "", 'Data Entry'!$ā$242)</f>
      </c>
      <c r="GL242">
        <f>IF(ISBLANK('Data Entry'!$Ă$242), "", 'Data Entry'!$Ă$242)</f>
      </c>
      <c r="GM242">
        <f>IF(ISBLANK('Data Entry'!$ă$242), "", 'Data Entry'!$ă$242)</f>
      </c>
      <c r="GN242">
        <f>IF(ISBLANK('Data Entry'!$Ą$242), "", 'Data Entry'!$Ą$242)</f>
      </c>
      <c r="GO242">
        <f>IF(ISBLANK('Data Entry'!$ą$242), "", 'Data Entry'!$ą$242)</f>
      </c>
      <c r="GP242">
        <f>IF(ISBLANK('Data Entry'!$Ć$242), "", 'Data Entry'!$Ć$242)</f>
      </c>
      <c r="GQ242">
        <f>IF(ISBLANK('Data Entry'!$ć$242), "", 'Data Entry'!$ć$242)</f>
      </c>
      <c r="GR242">
        <f>IF(ISBLANK('Data Entry'!$Ĉ$242), "", 'Data Entry'!$Ĉ$242)</f>
      </c>
      <c r="GS242">
        <f>IF(ISBLANK('Data Entry'!$ĉ$242), "", 'Data Entry'!$ĉ$242)</f>
      </c>
      <c r="GT242">
        <f>IF(ISBLANK('Data Entry'!$Ċ$242), "", 'Data Entry'!$Ċ$242)</f>
      </c>
      <c r="GU242">
        <f>IF(ISBLANK('Data Entry'!$ċ$242), "", 'Data Entry'!$ċ$242)</f>
      </c>
      <c r="GV242">
        <f>IF(ISBLANK('Data Entry'!$Č$242), "", 'Data Entry'!$Č$242)</f>
      </c>
      <c r="GW242">
        <f>IF(ISBLANK('Data Entry'!$č$242), "", 'Data Entry'!$č$242)</f>
      </c>
      <c r="GX242">
        <f>IF(ISBLANK('Data Entry'!$Ď$242), "", 'Data Entry'!$Ď$242)</f>
      </c>
      <c r="GY242">
        <f>IF(ISBLANK('Data Entry'!$ď$242), "", 'Data Entry'!$ď$242)</f>
      </c>
      <c r="GZ242">
        <f>IF(ISBLANK('Data Entry'!$Đ$242), "", 'Data Entry'!$Đ$242)</f>
      </c>
      <c r="HA242">
        <f>IF(ISBLANK('Data Entry'!$đ$242), "", 'Data Entry'!$đ$242)</f>
      </c>
      <c r="HB242">
        <f>IF(ISBLANK('Data Entry'!$Ē$242), "", 'Data Entry'!$Ē$242)</f>
      </c>
      <c r="HC242">
        <f>IF(ISBLANK('Data Entry'!$ē$242), "", 'Data Entry'!$ē$242)</f>
      </c>
      <c r="HD242">
        <f>IF(ISBLANK('Data Entry'!$Ĕ$242), "", 'Data Entry'!$Ĕ$242)</f>
      </c>
      <c r="HE242">
        <f>IF(ISBLANK('Data Entry'!$ĕ$242), "", 'Data Entry'!$ĕ$242)</f>
      </c>
      <c r="HF242">
        <f>IF(ISBLANK('Data Entry'!$Ė$242), "", 'Data Entry'!$Ė$242)</f>
      </c>
      <c r="HG242">
        <f>IF(ISBLANK('Data Entry'!$ė$242), "", 'Data Entry'!$ė$242)</f>
      </c>
      <c r="HH242">
        <f>IF(ISBLANK('Data Entry'!$Ę$242), "", 'Data Entry'!$Ę$242)</f>
      </c>
      <c r="HI242">
        <f>IF(ISBLANK('Data Entry'!$ę$242), "", 'Data Entry'!$ę$242)</f>
      </c>
      <c r="HJ242">
        <f>IF(ISBLANK('Data Entry'!$Ě$242), "", 'Data Entry'!$Ě$242)</f>
      </c>
      <c r="HK242">
        <f>IF(ISBLANK('Data Entry'!$ě$242), "", 'Data Entry'!$ě$242)</f>
      </c>
      <c r="HL242">
        <f>IF(ISBLANK('Data Entry'!$Ĝ$242), "", 'Data Entry'!$Ĝ$242)</f>
      </c>
      <c r="HM242">
        <f>IF(ISBLANK('Data Entry'!$ĝ$242), "", 'Data Entry'!$ĝ$242)</f>
      </c>
      <c r="HN242">
        <f>IF(ISBLANK('Data Entry'!$Ğ$242), "", 'Data Entry'!$Ğ$242)</f>
      </c>
      <c r="HO242">
        <f>IF(ISBLANK('Data Entry'!$ğ$242), "", 'Data Entry'!$ğ$242)</f>
      </c>
      <c r="HP242">
        <f>IF(ISBLANK('Data Entry'!$Ġ$242), "", 'Data Entry'!$Ġ$242)</f>
      </c>
      <c r="HQ242">
        <f>IF(ISBLANK('Data Entry'!$ġ$242), "", 'Data Entry'!$ġ$242)</f>
      </c>
      <c r="HR242">
        <f>IF(ISBLANK('Data Entry'!$Ģ$242), "", 'Data Entry'!$Ģ$242)</f>
      </c>
      <c r="HS242">
        <f>IF(ISBLANK('Data Entry'!$ģ$242), "", 'Data Entry'!$ģ$242)</f>
      </c>
      <c r="HT242">
        <f>IF(ISBLANK('Data Entry'!$Ĥ$242), "", 'Data Entry'!$Ĥ$242)</f>
      </c>
      <c r="HU242">
        <f>IF(ISBLANK('Data Entry'!$ĥ$242), "", 'Data Entry'!$ĥ$242)</f>
      </c>
      <c r="HV242">
        <f>IF(ISBLANK('Data Entry'!$Ħ$242), "", 'Data Entry'!$Ħ$242)</f>
      </c>
      <c r="HW242">
        <f>IF(ISBLANK('Data Entry'!$ħ$242), "", 'Data Entry'!$ħ$242)</f>
      </c>
      <c r="HX242">
        <f>IF(ISBLANK('Data Entry'!$Ĩ$242), "", 'Data Entry'!$Ĩ$242)</f>
      </c>
      <c r="HY242">
        <f>IF(ISBLANK('Data Entry'!$ĩ$242), "", 'Data Entry'!$ĩ$242)</f>
      </c>
      <c r="HZ242">
        <f>IF(ISBLANK('Data Entry'!$Ī$242), "", 'Data Entry'!$Ī$242)</f>
      </c>
      <c r="IA242">
        <f>IF(ISBLANK('Data Entry'!$ī$242), "", 'Data Entry'!$ī$242)</f>
      </c>
      <c r="IB242">
        <f>IF(ISBLANK('Data Entry'!$Ĭ$242), "", 'Data Entry'!$Ĭ$242)</f>
      </c>
      <c r="IC242">
        <f>IF(ISBLANK('Data Entry'!$ĭ$242), "", 'Data Entry'!$ĭ$242)</f>
      </c>
      <c r="ID242">
        <f>IF(ISBLANK('Data Entry'!$Į$242), "", 'Data Entry'!$Į$242)</f>
      </c>
      <c r="IE242">
        <f>IF(ISBLANK('Data Entry'!$į$242), "", 'Data Entry'!$į$242)</f>
      </c>
      <c r="IF242">
        <f>IF(ISBLANK('Data Entry'!$İ$242), "", 'Data Entry'!$İ$242)</f>
      </c>
      <c r="IG242">
        <f>IF(ISBLANK('Data Entry'!$ı$242), "", 'Data Entry'!$ı$242)</f>
      </c>
      <c r="IH242">
        <f>IF(ISBLANK('Data Entry'!$Ĳ$242), "", 'Data Entry'!$Ĳ$242)</f>
      </c>
      <c r="II242">
        <f>IF(ISBLANK('Data Entry'!$ĳ$242), "", 'Data Entry'!$ĳ$242)</f>
      </c>
      <c r="IJ242">
        <f>IF(ISBLANK('Data Entry'!$Ĵ$242), "", 'Data Entry'!$Ĵ$242)</f>
      </c>
      <c r="IK242">
        <f>IF(ISBLANK('Data Entry'!$ĵ$242), "", 'Data Entry'!$ĵ$242)</f>
      </c>
      <c r="IL242">
        <f>IF(ISBLANK('Data Entry'!$Ķ$242), "", 'Data Entry'!$Ķ$242)</f>
      </c>
      <c r="IM242">
        <f>IF(ISBLANK('Data Entry'!$ķ$242), "", 'Data Entry'!$ķ$242)</f>
      </c>
      <c r="IN242">
        <f>IF(ISBLANK('Data Entry'!$ĸ$242), "", 'Data Entry'!$ĸ$242)</f>
      </c>
      <c r="IO242">
        <f>IF(ISBLANK('Data Entry'!$Ĺ$242), "", 'Data Entry'!$Ĺ$242)</f>
      </c>
      <c r="IP242">
        <f>IF(ISBLANK('Data Entry'!$ĺ$242), "", 'Data Entry'!$ĺ$242)</f>
      </c>
      <c r="IQ242">
        <f>IF(ISBLANK('Data Entry'!$Ļ$242), "", 'Data Entry'!$Ļ$242)</f>
      </c>
      <c r="IR242">
        <f>IF(ISBLANK('Data Entry'!$ļ$242), "", 'Data Entry'!$ļ$242)</f>
      </c>
      <c r="IS242">
        <f>IF(ISBLANK('Data Entry'!$Ľ$242), "", 'Data Entry'!$Ľ$242)</f>
      </c>
      <c r="IT242">
        <f>IF(ISBLANK('Data Entry'!$ľ$242), "", 'Data Entry'!$ľ$242)</f>
      </c>
    </row>
    <row r="243" spans="1:254" x14ac:dyDescent="0.25">
      <c r="A243">
        <f>IF(ISBLANK('Data Entry'!$A$243), "", 'Data Entry'!$A$243)</f>
      </c>
      <c r="B243">
        <f>IF(ISBLANK('Data Entry'!$B$243), "", 'Data Entry'!$B$243)</f>
      </c>
      <c r="C243">
        <f>IF(ISBLANK('Data Entry'!$C$243), "", 'Data Entry'!$C$243)</f>
      </c>
      <c r="D243">
        <f>IF(ISBLANK('Data Entry'!$D$243), "", 'Data Entry'!$D$243)</f>
      </c>
      <c r="E243">
        <f>IF(ISBLANK('Data Entry'!$E$243), "", 'Data Entry'!$E$243)</f>
      </c>
      <c r="F243">
        <f>IF(ISBLANK('Data Entry'!$F$243), "", 'Data Entry'!$F$243)</f>
      </c>
      <c r="G243">
        <f>IF(ISBLANK('Data Entry'!$G$243), "", 'Data Entry'!$G$243)</f>
      </c>
      <c r="H243">
        <f>IF(ISBLANK('Data Entry'!$H$243), "", 'Data Entry'!$H$243)</f>
      </c>
      <c r="I243">
        <f>IF(ISBLANK('Data Entry'!$I$243), "", 'Data Entry'!$I$243)</f>
      </c>
      <c r="J243">
        <f>IF(ISBLANK('Data Entry'!$J$243), "", 'Data Entry'!$J$243)</f>
      </c>
      <c r="K243">
        <f>IF(ISBLANK('Data Entry'!$K$243), "", 'Data Entry'!$K$243)</f>
      </c>
      <c r="L243">
        <f>IF(ISBLANK('Data Entry'!$L$243), "", 'Data Entry'!$L$243)</f>
      </c>
      <c r="M243">
        <f>IF(ISBLANK('Data Entry'!$M$243), "", 'Data Entry'!$M$243)</f>
      </c>
      <c r="N243">
        <f>IF(ISBLANK('Data Entry'!$N$243), "", 'Data Entry'!$N$243)</f>
      </c>
      <c r="O243">
        <f>IF(ISBLANK('Data Entry'!$O$243), "", 'Data Entry'!$O$243)</f>
      </c>
      <c r="P243">
        <f>IF(ISBLANK('Data Entry'!$P$243), "", 'Data Entry'!$P$243)</f>
      </c>
      <c r="Q243">
        <f>IF(ISBLANK('Data Entry'!$Q$243), "", 'Data Entry'!$Q$243)</f>
      </c>
      <c r="R243">
        <f>IF(ISBLANK('Data Entry'!$R$243), "", 'Data Entry'!$R$243)</f>
      </c>
      <c r="S243">
        <f>IF(ISBLANK('Data Entry'!$S$243), "", 'Data Entry'!$S$243)</f>
      </c>
      <c r="T243">
        <f>IF(ISBLANK('Data Entry'!$T$243), "", 'Data Entry'!$T$243)</f>
      </c>
      <c r="U243">
        <f>IF(ISBLANK('Data Entry'!$U$243), "", 'Data Entry'!$U$243)</f>
      </c>
      <c r="V243">
        <f>IF(ISBLANK('Data Entry'!$V$243), "", 'Data Entry'!$V$243)</f>
      </c>
      <c r="W243">
        <f>IF(ISBLANK('Data Entry'!$W$243), "", 'Data Entry'!$W$243)</f>
      </c>
      <c r="X243">
        <f>IF(ISBLANK('Data Entry'!$X$243), "", 'Data Entry'!$X$243)</f>
      </c>
      <c r="Y243">
        <f>IF(ISBLANK('Data Entry'!$Y$243), "", 'Data Entry'!$Y$243)</f>
      </c>
      <c r="Z243">
        <f>IF(ISBLANK('Data Entry'!$Z$243), "", 'Data Entry'!$Z$243)</f>
      </c>
      <c r="AA243">
        <f>IF(ISBLANK('Data Entry'!$[$243), "", 'Data Entry'!$[$243)</f>
      </c>
      <c r="AB243">
        <f>IF(ISBLANK('Data Entry'!$\$243), "", 'Data Entry'!$\$243)</f>
      </c>
      <c r="AC243">
        <f>IF(ISBLANK('Data Entry'!$]$243), "", 'Data Entry'!$]$243)</f>
      </c>
      <c r="AD243">
        <f>IF(ISBLANK('Data Entry'!$^$243), "", 'Data Entry'!$^$243)</f>
      </c>
      <c r="AE243">
        <f>IF(ISBLANK('Data Entry'!$_$243), "", 'Data Entry'!$_$243)</f>
      </c>
      <c r="AF243">
        <f>IF(ISBLANK('Data Entry'!$`$243), "", 'Data Entry'!$`$243)</f>
      </c>
      <c r="AG243">
        <f>IF(ISBLANK('Data Entry'!$a$243), "", 'Data Entry'!$a$243)</f>
      </c>
      <c r="AH243">
        <f>IF(ISBLANK('Data Entry'!$b$243), "", 'Data Entry'!$b$243)</f>
      </c>
      <c r="AI243">
        <f>IF(ISBLANK('Data Entry'!$c$243), "", 'Data Entry'!$c$243)</f>
      </c>
      <c r="AJ243">
        <f>IF(ISBLANK('Data Entry'!$d$243), "", 'Data Entry'!$d$243)</f>
      </c>
      <c r="AK243">
        <f>IF(ISBLANK('Data Entry'!$e$243), "", 'Data Entry'!$e$243)</f>
      </c>
      <c r="AL243">
        <f>IF(ISBLANK('Data Entry'!$f$243), "", 'Data Entry'!$f$243)</f>
      </c>
      <c r="AM243">
        <f>IF(ISBLANK('Data Entry'!$g$243), "", 'Data Entry'!$g$243)</f>
      </c>
      <c r="AN243">
        <f>IF(ISBLANK('Data Entry'!$h$243), "", 'Data Entry'!$h$243)</f>
      </c>
      <c r="AO243">
        <f>IF(ISBLANK('Data Entry'!$i$243), "", 'Data Entry'!$i$243)</f>
      </c>
      <c r="AP243">
        <f>IF(ISBLANK('Data Entry'!$j$243), "", 'Data Entry'!$j$243)</f>
      </c>
      <c r="AQ243">
        <f>IF(ISBLANK('Data Entry'!$k$243), "", 'Data Entry'!$k$243)</f>
      </c>
      <c r="AR243">
        <f>IF(ISBLANK('Data Entry'!$l$243), "", 'Data Entry'!$l$243)</f>
      </c>
      <c r="AS243">
        <f>IF(ISBLANK('Data Entry'!$m$243), "", 'Data Entry'!$m$243)</f>
      </c>
      <c r="AT243">
        <f>IF(ISBLANK('Data Entry'!$n$243), "", 'Data Entry'!$n$243)</f>
      </c>
      <c r="AU243">
        <f>IF(ISBLANK('Data Entry'!$o$243), "", 'Data Entry'!$o$243)</f>
      </c>
      <c r="AV243">
        <f>IF(ISBLANK('Data Entry'!$p$243), "", 'Data Entry'!$p$243)</f>
      </c>
      <c r="AW243">
        <f>IF(ISBLANK('Data Entry'!$q$243), "", 'Data Entry'!$q$243)</f>
      </c>
      <c r="AX243">
        <f>IF(ISBLANK('Data Entry'!$r$243), "", 'Data Entry'!$r$243)</f>
      </c>
      <c r="AY243">
        <f>IF(ISBLANK('Data Entry'!$s$243), "", 'Data Entry'!$s$243)</f>
      </c>
      <c r="AZ243">
        <f>IF(ISBLANK('Data Entry'!$t$243), "", 'Data Entry'!$t$243)</f>
      </c>
      <c r="BA243">
        <f>IF(ISBLANK('Data Entry'!$u$243), "", 'Data Entry'!$u$243)</f>
      </c>
      <c r="BB243">
        <f>IF(ISBLANK('Data Entry'!$v$243), "", 'Data Entry'!$v$243)</f>
      </c>
      <c r="BC243">
        <f>IF(ISBLANK('Data Entry'!$w$243), "", 'Data Entry'!$w$243)</f>
      </c>
      <c r="BD243">
        <f>IF(ISBLANK('Data Entry'!$x$243), "", 'Data Entry'!$x$243)</f>
      </c>
      <c r="BE243">
        <f>IF(ISBLANK('Data Entry'!$y$243), "", 'Data Entry'!$y$243)</f>
      </c>
      <c r="BF243">
        <f>IF(ISBLANK('Data Entry'!$z$243), "", 'Data Entry'!$z$243)</f>
      </c>
      <c r="BG243">
        <f>IF(ISBLANK('Data Entry'!${$243), "", 'Data Entry'!${$243)</f>
      </c>
      <c r="BH243">
        <f>IF(ISBLANK('Data Entry'!$|$243), "", 'Data Entry'!$|$243)</f>
      </c>
      <c r="BI243">
        <f>IF(ISBLANK('Data Entry'!$}$243), "", 'Data Entry'!$}$243)</f>
      </c>
      <c r="BJ243">
        <f>IF(ISBLANK('Data Entry'!$~$243), "", 'Data Entry'!$~$243)</f>
      </c>
      <c r="BK243">
        <f>IF(ISBLANK('Data Entry'!$$243), "", 'Data Entry'!$$243)</f>
      </c>
      <c r="BL243">
        <f>IF(ISBLANK('Data Entry'!$$243), "", 'Data Entry'!$$243)</f>
      </c>
      <c r="BM243">
        <f>IF(ISBLANK('Data Entry'!$$243), "", 'Data Entry'!$$243)</f>
      </c>
      <c r="BN243">
        <f>IF(ISBLANK('Data Entry'!$$243), "", 'Data Entry'!$$243)</f>
      </c>
      <c r="BO243">
        <f>IF(ISBLANK('Data Entry'!$$243), "", 'Data Entry'!$$243)</f>
      </c>
      <c r="BP243">
        <f>IF(ISBLANK('Data Entry'!$$243), "", 'Data Entry'!$$243)</f>
      </c>
      <c r="BQ243">
        <f>IF(ISBLANK('Data Entry'!$$243), "", 'Data Entry'!$$243)</f>
      </c>
      <c r="BR243">
        <f>IF(ISBLANK('Data Entry'!$$243), "", 'Data Entry'!$$243)</f>
      </c>
      <c r="BS243">
        <f>IF(ISBLANK('Data Entry'!$$243), "", 'Data Entry'!$$243)</f>
      </c>
      <c r="BT243">
        <f>IF(ISBLANK('Data Entry'!$$243), "", 'Data Entry'!$$243)</f>
      </c>
      <c r="BU243">
        <f>IF(ISBLANK('Data Entry'!$$243), "", 'Data Entry'!$$243)</f>
      </c>
      <c r="BV243">
        <f>IF(ISBLANK('Data Entry'!$$243), "", 'Data Entry'!$$243)</f>
      </c>
      <c r="BW243">
        <f>IF(ISBLANK('Data Entry'!$$243), "", 'Data Entry'!$$243)</f>
      </c>
      <c r="BX243">
        <f>IF(ISBLANK('Data Entry'!$$243), "", 'Data Entry'!$$243)</f>
      </c>
      <c r="BY243">
        <f>IF(ISBLANK('Data Entry'!$$243), "", 'Data Entry'!$$243)</f>
      </c>
      <c r="BZ243">
        <f>IF(ISBLANK('Data Entry'!$$243), "", 'Data Entry'!$$243)</f>
      </c>
      <c r="CA243">
        <f>IF(ISBLANK('Data Entry'!$$243), "", 'Data Entry'!$$243)</f>
      </c>
      <c r="CB243">
        <f>IF(ISBLANK('Data Entry'!$$243), "", 'Data Entry'!$$243)</f>
      </c>
      <c r="CC243">
        <f>IF(ISBLANK('Data Entry'!$$243), "", 'Data Entry'!$$243)</f>
      </c>
      <c r="CD243">
        <f>IF(ISBLANK('Data Entry'!$$243), "", 'Data Entry'!$$243)</f>
      </c>
      <c r="CE243">
        <f>IF(ISBLANK('Data Entry'!$$243), "", 'Data Entry'!$$243)</f>
      </c>
      <c r="CF243">
        <f>IF(ISBLANK('Data Entry'!$$243), "", 'Data Entry'!$$243)</f>
      </c>
      <c r="CG243">
        <f>IF(ISBLANK('Data Entry'!$$243), "", 'Data Entry'!$$243)</f>
      </c>
      <c r="CH243">
        <f>IF(ISBLANK('Data Entry'!$$243), "", 'Data Entry'!$$243)</f>
      </c>
      <c r="CI243">
        <f>IF(ISBLANK('Data Entry'!$$243), "", 'Data Entry'!$$243)</f>
      </c>
      <c r="CJ243">
        <f>IF(ISBLANK('Data Entry'!$$243), "", 'Data Entry'!$$243)</f>
      </c>
      <c r="CK243">
        <f>IF(ISBLANK('Data Entry'!$$243), "", 'Data Entry'!$$243)</f>
      </c>
      <c r="CL243">
        <f>IF(ISBLANK('Data Entry'!$$243), "", 'Data Entry'!$$243)</f>
      </c>
      <c r="CM243">
        <f>IF(ISBLANK('Data Entry'!$$243), "", 'Data Entry'!$$243)</f>
      </c>
      <c r="CN243">
        <f>IF(ISBLANK('Data Entry'!$$243), "", 'Data Entry'!$$243)</f>
      </c>
      <c r="CO243">
        <f>IF(ISBLANK('Data Entry'!$$243), "", 'Data Entry'!$$243)</f>
      </c>
      <c r="CP243">
        <f>IF(ISBLANK('Data Entry'!$$243), "", 'Data Entry'!$$243)</f>
      </c>
      <c r="CQ243">
        <f>IF(ISBLANK('Data Entry'!$$243), "", 'Data Entry'!$$243)</f>
      </c>
      <c r="CR243">
        <f>IF(ISBLANK('Data Entry'!$ $243), "", 'Data Entry'!$ $243)</f>
      </c>
      <c r="CS243">
        <f>IF(ISBLANK('Data Entry'!$¡$243), "", 'Data Entry'!$¡$243)</f>
      </c>
      <c r="CT243">
        <f>IF(ISBLANK('Data Entry'!$¢$243), "", 'Data Entry'!$¢$243)</f>
      </c>
      <c r="CU243">
        <f>IF(ISBLANK('Data Entry'!$£$243), "", 'Data Entry'!$£$243)</f>
      </c>
      <c r="CV243">
        <f>IF(ISBLANK('Data Entry'!$¤$243), "", 'Data Entry'!$¤$243)</f>
      </c>
      <c r="CW243">
        <f>IF(ISBLANK('Data Entry'!$¥$243), "", 'Data Entry'!$¥$243)</f>
      </c>
      <c r="CX243">
        <f>IF(ISBLANK('Data Entry'!$¦$243), "", 'Data Entry'!$¦$243)</f>
      </c>
      <c r="CY243">
        <f>IF(ISBLANK('Data Entry'!$§$243), "", 'Data Entry'!$§$243)</f>
      </c>
      <c r="CZ243">
        <f>IF(ISBLANK('Data Entry'!$¨$243), "", 'Data Entry'!$¨$243)</f>
      </c>
      <c r="DA243">
        <f>IF(ISBLANK('Data Entry'!$©$243), "", 'Data Entry'!$©$243)</f>
      </c>
      <c r="DB243">
        <f>IF(ISBLANK('Data Entry'!$ª$243), "", 'Data Entry'!$ª$243)</f>
      </c>
      <c r="DC243">
        <f>IF(ISBLANK('Data Entry'!$«$243), "", 'Data Entry'!$«$243)</f>
      </c>
      <c r="DD243">
        <f>IF(ISBLANK('Data Entry'!$¬$243), "", 'Data Entry'!$¬$243)</f>
      </c>
      <c r="DE243">
        <f>IF(ISBLANK('Data Entry'!$­$243), "", 'Data Entry'!$­$243)</f>
      </c>
      <c r="DF243">
        <f>IF(ISBLANK('Data Entry'!$®$243), "", 'Data Entry'!$®$243)</f>
      </c>
      <c r="DG243">
        <f>IF(ISBLANK('Data Entry'!$¯$243), "", 'Data Entry'!$¯$243)</f>
      </c>
      <c r="DH243">
        <f>IF(ISBLANK('Data Entry'!$°$243), "", 'Data Entry'!$°$243)</f>
      </c>
      <c r="DI243">
        <f>IF(ISBLANK('Data Entry'!$±$243), "", 'Data Entry'!$±$243)</f>
      </c>
      <c r="DJ243">
        <f>IF(ISBLANK('Data Entry'!$²$243), "", 'Data Entry'!$²$243)</f>
      </c>
      <c r="DK243">
        <f>IF(ISBLANK('Data Entry'!$³$243), "", 'Data Entry'!$³$243)</f>
      </c>
      <c r="DL243">
        <f>IF(ISBLANK('Data Entry'!$´$243), "", 'Data Entry'!$´$243)</f>
      </c>
      <c r="DM243">
        <f>IF(ISBLANK('Data Entry'!$µ$243), "", 'Data Entry'!$µ$243)</f>
      </c>
      <c r="DN243">
        <f>IF(ISBLANK('Data Entry'!$¶$243), "", 'Data Entry'!$¶$243)</f>
      </c>
      <c r="DO243">
        <f>IF(ISBLANK('Data Entry'!$·$243), "", 'Data Entry'!$·$243)</f>
      </c>
      <c r="DP243">
        <f>IF(ISBLANK('Data Entry'!$¸$243), "", 'Data Entry'!$¸$243)</f>
      </c>
      <c r="DQ243">
        <f>IF(ISBLANK('Data Entry'!$¹$243), "", 'Data Entry'!$¹$243)</f>
      </c>
      <c r="DR243">
        <f>IF(ISBLANK('Data Entry'!$º$243), "", 'Data Entry'!$º$243)</f>
      </c>
      <c r="DS243">
        <f>IF(ISBLANK('Data Entry'!$»$243), "", 'Data Entry'!$»$243)</f>
      </c>
      <c r="DT243">
        <f>IF(ISBLANK('Data Entry'!$¼$243), "", 'Data Entry'!$¼$243)</f>
      </c>
      <c r="DU243">
        <f>IF(ISBLANK('Data Entry'!$½$243), "", 'Data Entry'!$½$243)</f>
      </c>
      <c r="DV243">
        <f>IF(ISBLANK('Data Entry'!$¾$243), "", 'Data Entry'!$¾$243)</f>
      </c>
      <c r="DW243">
        <f>IF(ISBLANK('Data Entry'!$¿$243), "", 'Data Entry'!$¿$243)</f>
      </c>
      <c r="DX243">
        <f>IF(ISBLANK('Data Entry'!$À$243), "", 'Data Entry'!$À$243)</f>
      </c>
      <c r="DY243">
        <f>IF(ISBLANK('Data Entry'!$Á$243), "", 'Data Entry'!$Á$243)</f>
      </c>
      <c r="DZ243">
        <f>IF(ISBLANK('Data Entry'!$Â$243), "", 'Data Entry'!$Â$243)</f>
      </c>
      <c r="EA243">
        <f>IF(ISBLANK('Data Entry'!$Ã$243), "", 'Data Entry'!$Ã$243)</f>
      </c>
      <c r="EB243">
        <f>IF(ISBLANK('Data Entry'!$Ä$243), "", 'Data Entry'!$Ä$243)</f>
      </c>
      <c r="EC243">
        <f>IF(ISBLANK('Data Entry'!$Å$243), "", 'Data Entry'!$Å$243)</f>
      </c>
      <c r="ED243">
        <f>IF(ISBLANK('Data Entry'!$Æ$243), "", 'Data Entry'!$Æ$243)</f>
      </c>
      <c r="EE243">
        <f>IF(ISBLANK('Data Entry'!$Ç$243), "", 'Data Entry'!$Ç$243)</f>
      </c>
      <c r="EF243">
        <f>IF(ISBLANK('Data Entry'!$È$243), "", 'Data Entry'!$È$243)</f>
      </c>
      <c r="EG243">
        <f>IF(ISBLANK('Data Entry'!$É$243), "", 'Data Entry'!$É$243)</f>
      </c>
      <c r="EH243">
        <f>IF(ISBLANK('Data Entry'!$Ê$243), "", 'Data Entry'!$Ê$243)</f>
      </c>
      <c r="EI243">
        <f>IF(ISBLANK('Data Entry'!$Ë$243), "", 'Data Entry'!$Ë$243)</f>
      </c>
      <c r="EJ243">
        <f>IF(ISBLANK('Data Entry'!$Ì$243), "", 'Data Entry'!$Ì$243)</f>
      </c>
      <c r="EK243">
        <f>IF(ISBLANK('Data Entry'!$Í$243), "", 'Data Entry'!$Í$243)</f>
      </c>
      <c r="EL243">
        <f>IF(ISBLANK('Data Entry'!$Î$243), "", 'Data Entry'!$Î$243)</f>
      </c>
      <c r="EM243">
        <f>IF(ISBLANK('Data Entry'!$Ï$243), "", 'Data Entry'!$Ï$243)</f>
      </c>
      <c r="EN243">
        <f>IF(ISBLANK('Data Entry'!$Ð$243), "", 'Data Entry'!$Ð$243)</f>
      </c>
      <c r="EO243">
        <f>IF(ISBLANK('Data Entry'!$Ñ$243), "", 'Data Entry'!$Ñ$243)</f>
      </c>
      <c r="EP243">
        <f>IF(ISBLANK('Data Entry'!$Ò$243), "", 'Data Entry'!$Ò$243)</f>
      </c>
      <c r="EQ243">
        <f>IF(ISBLANK('Data Entry'!$Ó$243), "", 'Data Entry'!$Ó$243)</f>
      </c>
      <c r="ER243">
        <f>IF(ISBLANK('Data Entry'!$Ô$243), "", 'Data Entry'!$Ô$243)</f>
      </c>
      <c r="ES243">
        <f>IF(ISBLANK('Data Entry'!$Õ$243), "", 'Data Entry'!$Õ$243)</f>
      </c>
      <c r="ET243">
        <f>IF(ISBLANK('Data Entry'!$Ö$243), "", 'Data Entry'!$Ö$243)</f>
      </c>
      <c r="EU243">
        <f>IF(ISBLANK('Data Entry'!$×$243), "", 'Data Entry'!$×$243)</f>
      </c>
      <c r="EV243">
        <f>IF(ISBLANK('Data Entry'!$Ø$243), "", 'Data Entry'!$Ø$243)</f>
      </c>
      <c r="EW243">
        <f>IF(ISBLANK('Data Entry'!$Ù$243), "", 'Data Entry'!$Ù$243)</f>
      </c>
      <c r="EX243">
        <f>IF(ISBLANK('Data Entry'!$Ú$243), "", 'Data Entry'!$Ú$243)</f>
      </c>
      <c r="EY243">
        <f>IF(ISBLANK('Data Entry'!$Û$243), "", 'Data Entry'!$Û$243)</f>
      </c>
      <c r="EZ243">
        <f>IF(ISBLANK('Data Entry'!$Ü$243), "", 'Data Entry'!$Ü$243)</f>
      </c>
      <c r="FA243">
        <f>IF(ISBLANK('Data Entry'!$Ý$243), "", 'Data Entry'!$Ý$243)</f>
      </c>
      <c r="FB243">
        <f>IF(ISBLANK('Data Entry'!$Þ$243), "", 'Data Entry'!$Þ$243)</f>
      </c>
      <c r="FC243">
        <f>IF(ISBLANK('Data Entry'!$ß$243), "", 'Data Entry'!$ß$243)</f>
      </c>
      <c r="FD243">
        <f>IF(ISBLANK('Data Entry'!$à$243), "", 'Data Entry'!$à$243)</f>
      </c>
      <c r="FE243">
        <f>IF(ISBLANK('Data Entry'!$á$243), "", 'Data Entry'!$á$243)</f>
      </c>
      <c r="FF243">
        <f>IF(ISBLANK('Data Entry'!$â$243), "", 'Data Entry'!$â$243)</f>
      </c>
      <c r="FG243">
        <f>IF(ISBLANK('Data Entry'!$ã$243), "", 'Data Entry'!$ã$243)</f>
      </c>
      <c r="FH243">
        <f>IF(ISBLANK('Data Entry'!$ä$243), "", 'Data Entry'!$ä$243)</f>
      </c>
      <c r="FI243">
        <f>IF(ISBLANK('Data Entry'!$å$243), "", 'Data Entry'!$å$243)</f>
      </c>
      <c r="FJ243">
        <f>IF(ISBLANK('Data Entry'!$æ$243), "", 'Data Entry'!$æ$243)</f>
      </c>
      <c r="FK243">
        <f>IF(ISBLANK('Data Entry'!$ç$243), "", 'Data Entry'!$ç$243)</f>
      </c>
      <c r="FL243">
        <f>IF(ISBLANK('Data Entry'!$è$243), "", 'Data Entry'!$è$243)</f>
      </c>
      <c r="FM243">
        <f>IF(ISBLANK('Data Entry'!$é$243), "", 'Data Entry'!$é$243)</f>
      </c>
      <c r="FN243">
        <f>IF(ISBLANK('Data Entry'!$ê$243), "", 'Data Entry'!$ê$243)</f>
      </c>
      <c r="FO243">
        <f>IF(ISBLANK('Data Entry'!$ë$243), "", 'Data Entry'!$ë$243)</f>
      </c>
      <c r="FP243">
        <f>IF(ISBLANK('Data Entry'!$ì$243), "", 'Data Entry'!$ì$243)</f>
      </c>
      <c r="FQ243">
        <f>IF(ISBLANK('Data Entry'!$í$243), "", 'Data Entry'!$í$243)</f>
      </c>
      <c r="FR243">
        <f>IF(ISBLANK('Data Entry'!$î$243), "", 'Data Entry'!$î$243)</f>
      </c>
      <c r="FS243">
        <f>IF(ISBLANK('Data Entry'!$ï$243), "", 'Data Entry'!$ï$243)</f>
      </c>
      <c r="FT243">
        <f>IF(ISBLANK('Data Entry'!$ð$243), "", 'Data Entry'!$ð$243)</f>
      </c>
      <c r="FU243">
        <f>IF(ISBLANK('Data Entry'!$ñ$243), "", 'Data Entry'!$ñ$243)</f>
      </c>
      <c r="FV243">
        <f>IF(ISBLANK('Data Entry'!$ò$243), "", 'Data Entry'!$ò$243)</f>
      </c>
      <c r="FW243">
        <f>IF(ISBLANK('Data Entry'!$ó$243), "", 'Data Entry'!$ó$243)</f>
      </c>
      <c r="FX243">
        <f>IF(ISBLANK('Data Entry'!$ô$243), "", 'Data Entry'!$ô$243)</f>
      </c>
      <c r="FY243">
        <f>IF(ISBLANK('Data Entry'!$õ$243), "", 'Data Entry'!$õ$243)</f>
      </c>
      <c r="FZ243">
        <f>IF(ISBLANK('Data Entry'!$ö$243), "", 'Data Entry'!$ö$243)</f>
      </c>
      <c r="GA243">
        <f>IF(ISBLANK('Data Entry'!$÷$243), "", 'Data Entry'!$÷$243)</f>
      </c>
      <c r="GB243">
        <f>IF(ISBLANK('Data Entry'!$ø$243), "", 'Data Entry'!$ø$243)</f>
      </c>
      <c r="GC243">
        <f>IF(ISBLANK('Data Entry'!$ù$243), "", 'Data Entry'!$ù$243)</f>
      </c>
      <c r="GD243">
        <f>IF(ISBLANK('Data Entry'!$ú$243), "", 'Data Entry'!$ú$243)</f>
      </c>
      <c r="GE243">
        <f>IF(ISBLANK('Data Entry'!$û$243), "", 'Data Entry'!$û$243)</f>
      </c>
      <c r="GF243">
        <f>IF(ISBLANK('Data Entry'!$ü$243), "", 'Data Entry'!$ü$243)</f>
      </c>
      <c r="GG243">
        <f>IF(ISBLANK('Data Entry'!$ý$243), "", 'Data Entry'!$ý$243)</f>
      </c>
      <c r="GH243">
        <f>IF(ISBLANK('Data Entry'!$þ$243), "", 'Data Entry'!$þ$243)</f>
      </c>
      <c r="GI243">
        <f>IF(ISBLANK('Data Entry'!$ÿ$243), "", 'Data Entry'!$ÿ$243)</f>
      </c>
      <c r="GJ243">
        <f>IF(ISBLANK('Data Entry'!$Ā$243), "", 'Data Entry'!$Ā$243)</f>
      </c>
      <c r="GK243">
        <f>IF(ISBLANK('Data Entry'!$ā$243), "", 'Data Entry'!$ā$243)</f>
      </c>
      <c r="GL243">
        <f>IF(ISBLANK('Data Entry'!$Ă$243), "", 'Data Entry'!$Ă$243)</f>
      </c>
      <c r="GM243">
        <f>IF(ISBLANK('Data Entry'!$ă$243), "", 'Data Entry'!$ă$243)</f>
      </c>
      <c r="GN243">
        <f>IF(ISBLANK('Data Entry'!$Ą$243), "", 'Data Entry'!$Ą$243)</f>
      </c>
      <c r="GO243">
        <f>IF(ISBLANK('Data Entry'!$ą$243), "", 'Data Entry'!$ą$243)</f>
      </c>
      <c r="GP243">
        <f>IF(ISBLANK('Data Entry'!$Ć$243), "", 'Data Entry'!$Ć$243)</f>
      </c>
      <c r="GQ243">
        <f>IF(ISBLANK('Data Entry'!$ć$243), "", 'Data Entry'!$ć$243)</f>
      </c>
      <c r="GR243">
        <f>IF(ISBLANK('Data Entry'!$Ĉ$243), "", 'Data Entry'!$Ĉ$243)</f>
      </c>
      <c r="GS243">
        <f>IF(ISBLANK('Data Entry'!$ĉ$243), "", 'Data Entry'!$ĉ$243)</f>
      </c>
      <c r="GT243">
        <f>IF(ISBLANK('Data Entry'!$Ċ$243), "", 'Data Entry'!$Ċ$243)</f>
      </c>
      <c r="GU243">
        <f>IF(ISBLANK('Data Entry'!$ċ$243), "", 'Data Entry'!$ċ$243)</f>
      </c>
      <c r="GV243">
        <f>IF(ISBLANK('Data Entry'!$Č$243), "", 'Data Entry'!$Č$243)</f>
      </c>
      <c r="GW243">
        <f>IF(ISBLANK('Data Entry'!$č$243), "", 'Data Entry'!$č$243)</f>
      </c>
      <c r="GX243">
        <f>IF(ISBLANK('Data Entry'!$Ď$243), "", 'Data Entry'!$Ď$243)</f>
      </c>
      <c r="GY243">
        <f>IF(ISBLANK('Data Entry'!$ď$243), "", 'Data Entry'!$ď$243)</f>
      </c>
      <c r="GZ243">
        <f>IF(ISBLANK('Data Entry'!$Đ$243), "", 'Data Entry'!$Đ$243)</f>
      </c>
      <c r="HA243">
        <f>IF(ISBLANK('Data Entry'!$đ$243), "", 'Data Entry'!$đ$243)</f>
      </c>
      <c r="HB243">
        <f>IF(ISBLANK('Data Entry'!$Ē$243), "", 'Data Entry'!$Ē$243)</f>
      </c>
      <c r="HC243">
        <f>IF(ISBLANK('Data Entry'!$ē$243), "", 'Data Entry'!$ē$243)</f>
      </c>
      <c r="HD243">
        <f>IF(ISBLANK('Data Entry'!$Ĕ$243), "", 'Data Entry'!$Ĕ$243)</f>
      </c>
      <c r="HE243">
        <f>IF(ISBLANK('Data Entry'!$ĕ$243), "", 'Data Entry'!$ĕ$243)</f>
      </c>
      <c r="HF243">
        <f>IF(ISBLANK('Data Entry'!$Ė$243), "", 'Data Entry'!$Ė$243)</f>
      </c>
      <c r="HG243">
        <f>IF(ISBLANK('Data Entry'!$ė$243), "", 'Data Entry'!$ė$243)</f>
      </c>
      <c r="HH243">
        <f>IF(ISBLANK('Data Entry'!$Ę$243), "", 'Data Entry'!$Ę$243)</f>
      </c>
      <c r="HI243">
        <f>IF(ISBLANK('Data Entry'!$ę$243), "", 'Data Entry'!$ę$243)</f>
      </c>
      <c r="HJ243">
        <f>IF(ISBLANK('Data Entry'!$Ě$243), "", 'Data Entry'!$Ě$243)</f>
      </c>
      <c r="HK243">
        <f>IF(ISBLANK('Data Entry'!$ě$243), "", 'Data Entry'!$ě$243)</f>
      </c>
      <c r="HL243">
        <f>IF(ISBLANK('Data Entry'!$Ĝ$243), "", 'Data Entry'!$Ĝ$243)</f>
      </c>
      <c r="HM243">
        <f>IF(ISBLANK('Data Entry'!$ĝ$243), "", 'Data Entry'!$ĝ$243)</f>
      </c>
      <c r="HN243">
        <f>IF(ISBLANK('Data Entry'!$Ğ$243), "", 'Data Entry'!$Ğ$243)</f>
      </c>
      <c r="HO243">
        <f>IF(ISBLANK('Data Entry'!$ğ$243), "", 'Data Entry'!$ğ$243)</f>
      </c>
      <c r="HP243">
        <f>IF(ISBLANK('Data Entry'!$Ġ$243), "", 'Data Entry'!$Ġ$243)</f>
      </c>
      <c r="HQ243">
        <f>IF(ISBLANK('Data Entry'!$ġ$243), "", 'Data Entry'!$ġ$243)</f>
      </c>
      <c r="HR243">
        <f>IF(ISBLANK('Data Entry'!$Ģ$243), "", 'Data Entry'!$Ģ$243)</f>
      </c>
      <c r="HS243">
        <f>IF(ISBLANK('Data Entry'!$ģ$243), "", 'Data Entry'!$ģ$243)</f>
      </c>
      <c r="HT243">
        <f>IF(ISBLANK('Data Entry'!$Ĥ$243), "", 'Data Entry'!$Ĥ$243)</f>
      </c>
      <c r="HU243">
        <f>IF(ISBLANK('Data Entry'!$ĥ$243), "", 'Data Entry'!$ĥ$243)</f>
      </c>
      <c r="HV243">
        <f>IF(ISBLANK('Data Entry'!$Ħ$243), "", 'Data Entry'!$Ħ$243)</f>
      </c>
      <c r="HW243">
        <f>IF(ISBLANK('Data Entry'!$ħ$243), "", 'Data Entry'!$ħ$243)</f>
      </c>
      <c r="HX243">
        <f>IF(ISBLANK('Data Entry'!$Ĩ$243), "", 'Data Entry'!$Ĩ$243)</f>
      </c>
      <c r="HY243">
        <f>IF(ISBLANK('Data Entry'!$ĩ$243), "", 'Data Entry'!$ĩ$243)</f>
      </c>
      <c r="HZ243">
        <f>IF(ISBLANK('Data Entry'!$Ī$243), "", 'Data Entry'!$Ī$243)</f>
      </c>
      <c r="IA243">
        <f>IF(ISBLANK('Data Entry'!$ī$243), "", 'Data Entry'!$ī$243)</f>
      </c>
      <c r="IB243">
        <f>IF(ISBLANK('Data Entry'!$Ĭ$243), "", 'Data Entry'!$Ĭ$243)</f>
      </c>
      <c r="IC243">
        <f>IF(ISBLANK('Data Entry'!$ĭ$243), "", 'Data Entry'!$ĭ$243)</f>
      </c>
      <c r="ID243">
        <f>IF(ISBLANK('Data Entry'!$Į$243), "", 'Data Entry'!$Į$243)</f>
      </c>
      <c r="IE243">
        <f>IF(ISBLANK('Data Entry'!$į$243), "", 'Data Entry'!$į$243)</f>
      </c>
      <c r="IF243">
        <f>IF(ISBLANK('Data Entry'!$İ$243), "", 'Data Entry'!$İ$243)</f>
      </c>
      <c r="IG243">
        <f>IF(ISBLANK('Data Entry'!$ı$243), "", 'Data Entry'!$ı$243)</f>
      </c>
      <c r="IH243">
        <f>IF(ISBLANK('Data Entry'!$Ĳ$243), "", 'Data Entry'!$Ĳ$243)</f>
      </c>
      <c r="II243">
        <f>IF(ISBLANK('Data Entry'!$ĳ$243), "", 'Data Entry'!$ĳ$243)</f>
      </c>
      <c r="IJ243">
        <f>IF(ISBLANK('Data Entry'!$Ĵ$243), "", 'Data Entry'!$Ĵ$243)</f>
      </c>
      <c r="IK243">
        <f>IF(ISBLANK('Data Entry'!$ĵ$243), "", 'Data Entry'!$ĵ$243)</f>
      </c>
      <c r="IL243">
        <f>IF(ISBLANK('Data Entry'!$Ķ$243), "", 'Data Entry'!$Ķ$243)</f>
      </c>
      <c r="IM243">
        <f>IF(ISBLANK('Data Entry'!$ķ$243), "", 'Data Entry'!$ķ$243)</f>
      </c>
      <c r="IN243">
        <f>IF(ISBLANK('Data Entry'!$ĸ$243), "", 'Data Entry'!$ĸ$243)</f>
      </c>
      <c r="IO243">
        <f>IF(ISBLANK('Data Entry'!$Ĺ$243), "", 'Data Entry'!$Ĺ$243)</f>
      </c>
      <c r="IP243">
        <f>IF(ISBLANK('Data Entry'!$ĺ$243), "", 'Data Entry'!$ĺ$243)</f>
      </c>
      <c r="IQ243">
        <f>IF(ISBLANK('Data Entry'!$Ļ$243), "", 'Data Entry'!$Ļ$243)</f>
      </c>
      <c r="IR243">
        <f>IF(ISBLANK('Data Entry'!$ļ$243), "", 'Data Entry'!$ļ$243)</f>
      </c>
      <c r="IS243">
        <f>IF(ISBLANK('Data Entry'!$Ľ$243), "", 'Data Entry'!$Ľ$243)</f>
      </c>
      <c r="IT243">
        <f>IF(ISBLANK('Data Entry'!$ľ$243), "", 'Data Entry'!$ľ$243)</f>
      </c>
    </row>
    <row r="244" spans="1:254" x14ac:dyDescent="0.25">
      <c r="A244">
        <f>IF(ISBLANK('Data Entry'!$A$244), "", 'Data Entry'!$A$244)</f>
      </c>
      <c r="B244">
        <f>IF(ISBLANK('Data Entry'!$B$244), "", 'Data Entry'!$B$244)</f>
      </c>
      <c r="C244">
        <f>IF(ISBLANK('Data Entry'!$C$244), "", 'Data Entry'!$C$244)</f>
      </c>
      <c r="D244">
        <f>IF(ISBLANK('Data Entry'!$D$244), "", 'Data Entry'!$D$244)</f>
      </c>
      <c r="E244">
        <f>IF(ISBLANK('Data Entry'!$E$244), "", 'Data Entry'!$E$244)</f>
      </c>
      <c r="F244">
        <f>IF(ISBLANK('Data Entry'!$F$244), "", 'Data Entry'!$F$244)</f>
      </c>
      <c r="G244">
        <f>IF(ISBLANK('Data Entry'!$G$244), "", 'Data Entry'!$G$244)</f>
      </c>
      <c r="H244">
        <f>IF(ISBLANK('Data Entry'!$H$244), "", 'Data Entry'!$H$244)</f>
      </c>
      <c r="I244">
        <f>IF(ISBLANK('Data Entry'!$I$244), "", 'Data Entry'!$I$244)</f>
      </c>
      <c r="J244">
        <f>IF(ISBLANK('Data Entry'!$J$244), "", 'Data Entry'!$J$244)</f>
      </c>
      <c r="K244">
        <f>IF(ISBLANK('Data Entry'!$K$244), "", 'Data Entry'!$K$244)</f>
      </c>
      <c r="L244">
        <f>IF(ISBLANK('Data Entry'!$L$244), "", 'Data Entry'!$L$244)</f>
      </c>
      <c r="M244">
        <f>IF(ISBLANK('Data Entry'!$M$244), "", 'Data Entry'!$M$244)</f>
      </c>
      <c r="N244">
        <f>IF(ISBLANK('Data Entry'!$N$244), "", 'Data Entry'!$N$244)</f>
      </c>
      <c r="O244">
        <f>IF(ISBLANK('Data Entry'!$O$244), "", 'Data Entry'!$O$244)</f>
      </c>
      <c r="P244">
        <f>IF(ISBLANK('Data Entry'!$P$244), "", 'Data Entry'!$P$244)</f>
      </c>
      <c r="Q244">
        <f>IF(ISBLANK('Data Entry'!$Q$244), "", 'Data Entry'!$Q$244)</f>
      </c>
      <c r="R244">
        <f>IF(ISBLANK('Data Entry'!$R$244), "", 'Data Entry'!$R$244)</f>
      </c>
      <c r="S244">
        <f>IF(ISBLANK('Data Entry'!$S$244), "", 'Data Entry'!$S$244)</f>
      </c>
      <c r="T244">
        <f>IF(ISBLANK('Data Entry'!$T$244), "", 'Data Entry'!$T$244)</f>
      </c>
      <c r="U244">
        <f>IF(ISBLANK('Data Entry'!$U$244), "", 'Data Entry'!$U$244)</f>
      </c>
      <c r="V244">
        <f>IF(ISBLANK('Data Entry'!$V$244), "", 'Data Entry'!$V$244)</f>
      </c>
      <c r="W244">
        <f>IF(ISBLANK('Data Entry'!$W$244), "", 'Data Entry'!$W$244)</f>
      </c>
      <c r="X244">
        <f>IF(ISBLANK('Data Entry'!$X$244), "", 'Data Entry'!$X$244)</f>
      </c>
      <c r="Y244">
        <f>IF(ISBLANK('Data Entry'!$Y$244), "", 'Data Entry'!$Y$244)</f>
      </c>
      <c r="Z244">
        <f>IF(ISBLANK('Data Entry'!$Z$244), "", 'Data Entry'!$Z$244)</f>
      </c>
      <c r="AA244">
        <f>IF(ISBLANK('Data Entry'!$[$244), "", 'Data Entry'!$[$244)</f>
      </c>
      <c r="AB244">
        <f>IF(ISBLANK('Data Entry'!$\$244), "", 'Data Entry'!$\$244)</f>
      </c>
      <c r="AC244">
        <f>IF(ISBLANK('Data Entry'!$]$244), "", 'Data Entry'!$]$244)</f>
      </c>
      <c r="AD244">
        <f>IF(ISBLANK('Data Entry'!$^$244), "", 'Data Entry'!$^$244)</f>
      </c>
      <c r="AE244">
        <f>IF(ISBLANK('Data Entry'!$_$244), "", 'Data Entry'!$_$244)</f>
      </c>
      <c r="AF244">
        <f>IF(ISBLANK('Data Entry'!$`$244), "", 'Data Entry'!$`$244)</f>
      </c>
      <c r="AG244">
        <f>IF(ISBLANK('Data Entry'!$a$244), "", 'Data Entry'!$a$244)</f>
      </c>
      <c r="AH244">
        <f>IF(ISBLANK('Data Entry'!$b$244), "", 'Data Entry'!$b$244)</f>
      </c>
      <c r="AI244">
        <f>IF(ISBLANK('Data Entry'!$c$244), "", 'Data Entry'!$c$244)</f>
      </c>
      <c r="AJ244">
        <f>IF(ISBLANK('Data Entry'!$d$244), "", 'Data Entry'!$d$244)</f>
      </c>
      <c r="AK244">
        <f>IF(ISBLANK('Data Entry'!$e$244), "", 'Data Entry'!$e$244)</f>
      </c>
      <c r="AL244">
        <f>IF(ISBLANK('Data Entry'!$f$244), "", 'Data Entry'!$f$244)</f>
      </c>
      <c r="AM244">
        <f>IF(ISBLANK('Data Entry'!$g$244), "", 'Data Entry'!$g$244)</f>
      </c>
      <c r="AN244">
        <f>IF(ISBLANK('Data Entry'!$h$244), "", 'Data Entry'!$h$244)</f>
      </c>
      <c r="AO244">
        <f>IF(ISBLANK('Data Entry'!$i$244), "", 'Data Entry'!$i$244)</f>
      </c>
      <c r="AP244">
        <f>IF(ISBLANK('Data Entry'!$j$244), "", 'Data Entry'!$j$244)</f>
      </c>
      <c r="AQ244">
        <f>IF(ISBLANK('Data Entry'!$k$244), "", 'Data Entry'!$k$244)</f>
      </c>
      <c r="AR244">
        <f>IF(ISBLANK('Data Entry'!$l$244), "", 'Data Entry'!$l$244)</f>
      </c>
      <c r="AS244">
        <f>IF(ISBLANK('Data Entry'!$m$244), "", 'Data Entry'!$m$244)</f>
      </c>
      <c r="AT244">
        <f>IF(ISBLANK('Data Entry'!$n$244), "", 'Data Entry'!$n$244)</f>
      </c>
      <c r="AU244">
        <f>IF(ISBLANK('Data Entry'!$o$244), "", 'Data Entry'!$o$244)</f>
      </c>
      <c r="AV244">
        <f>IF(ISBLANK('Data Entry'!$p$244), "", 'Data Entry'!$p$244)</f>
      </c>
      <c r="AW244">
        <f>IF(ISBLANK('Data Entry'!$q$244), "", 'Data Entry'!$q$244)</f>
      </c>
      <c r="AX244">
        <f>IF(ISBLANK('Data Entry'!$r$244), "", 'Data Entry'!$r$244)</f>
      </c>
      <c r="AY244">
        <f>IF(ISBLANK('Data Entry'!$s$244), "", 'Data Entry'!$s$244)</f>
      </c>
      <c r="AZ244">
        <f>IF(ISBLANK('Data Entry'!$t$244), "", 'Data Entry'!$t$244)</f>
      </c>
      <c r="BA244">
        <f>IF(ISBLANK('Data Entry'!$u$244), "", 'Data Entry'!$u$244)</f>
      </c>
      <c r="BB244">
        <f>IF(ISBLANK('Data Entry'!$v$244), "", 'Data Entry'!$v$244)</f>
      </c>
      <c r="BC244">
        <f>IF(ISBLANK('Data Entry'!$w$244), "", 'Data Entry'!$w$244)</f>
      </c>
      <c r="BD244">
        <f>IF(ISBLANK('Data Entry'!$x$244), "", 'Data Entry'!$x$244)</f>
      </c>
      <c r="BE244">
        <f>IF(ISBLANK('Data Entry'!$y$244), "", 'Data Entry'!$y$244)</f>
      </c>
      <c r="BF244">
        <f>IF(ISBLANK('Data Entry'!$z$244), "", 'Data Entry'!$z$244)</f>
      </c>
      <c r="BG244">
        <f>IF(ISBLANK('Data Entry'!${$244), "", 'Data Entry'!${$244)</f>
      </c>
      <c r="BH244">
        <f>IF(ISBLANK('Data Entry'!$|$244), "", 'Data Entry'!$|$244)</f>
      </c>
      <c r="BI244">
        <f>IF(ISBLANK('Data Entry'!$}$244), "", 'Data Entry'!$}$244)</f>
      </c>
      <c r="BJ244">
        <f>IF(ISBLANK('Data Entry'!$~$244), "", 'Data Entry'!$~$244)</f>
      </c>
      <c r="BK244">
        <f>IF(ISBLANK('Data Entry'!$$244), "", 'Data Entry'!$$244)</f>
      </c>
      <c r="BL244">
        <f>IF(ISBLANK('Data Entry'!$$244), "", 'Data Entry'!$$244)</f>
      </c>
      <c r="BM244">
        <f>IF(ISBLANK('Data Entry'!$$244), "", 'Data Entry'!$$244)</f>
      </c>
      <c r="BN244">
        <f>IF(ISBLANK('Data Entry'!$$244), "", 'Data Entry'!$$244)</f>
      </c>
      <c r="BO244">
        <f>IF(ISBLANK('Data Entry'!$$244), "", 'Data Entry'!$$244)</f>
      </c>
      <c r="BP244">
        <f>IF(ISBLANK('Data Entry'!$$244), "", 'Data Entry'!$$244)</f>
      </c>
      <c r="BQ244">
        <f>IF(ISBLANK('Data Entry'!$$244), "", 'Data Entry'!$$244)</f>
      </c>
      <c r="BR244">
        <f>IF(ISBLANK('Data Entry'!$$244), "", 'Data Entry'!$$244)</f>
      </c>
      <c r="BS244">
        <f>IF(ISBLANK('Data Entry'!$$244), "", 'Data Entry'!$$244)</f>
      </c>
      <c r="BT244">
        <f>IF(ISBLANK('Data Entry'!$$244), "", 'Data Entry'!$$244)</f>
      </c>
      <c r="BU244">
        <f>IF(ISBLANK('Data Entry'!$$244), "", 'Data Entry'!$$244)</f>
      </c>
      <c r="BV244">
        <f>IF(ISBLANK('Data Entry'!$$244), "", 'Data Entry'!$$244)</f>
      </c>
      <c r="BW244">
        <f>IF(ISBLANK('Data Entry'!$$244), "", 'Data Entry'!$$244)</f>
      </c>
      <c r="BX244">
        <f>IF(ISBLANK('Data Entry'!$$244), "", 'Data Entry'!$$244)</f>
      </c>
      <c r="BY244">
        <f>IF(ISBLANK('Data Entry'!$$244), "", 'Data Entry'!$$244)</f>
      </c>
      <c r="BZ244">
        <f>IF(ISBLANK('Data Entry'!$$244), "", 'Data Entry'!$$244)</f>
      </c>
      <c r="CA244">
        <f>IF(ISBLANK('Data Entry'!$$244), "", 'Data Entry'!$$244)</f>
      </c>
      <c r="CB244">
        <f>IF(ISBLANK('Data Entry'!$$244), "", 'Data Entry'!$$244)</f>
      </c>
      <c r="CC244">
        <f>IF(ISBLANK('Data Entry'!$$244), "", 'Data Entry'!$$244)</f>
      </c>
      <c r="CD244">
        <f>IF(ISBLANK('Data Entry'!$$244), "", 'Data Entry'!$$244)</f>
      </c>
      <c r="CE244">
        <f>IF(ISBLANK('Data Entry'!$$244), "", 'Data Entry'!$$244)</f>
      </c>
      <c r="CF244">
        <f>IF(ISBLANK('Data Entry'!$$244), "", 'Data Entry'!$$244)</f>
      </c>
      <c r="CG244">
        <f>IF(ISBLANK('Data Entry'!$$244), "", 'Data Entry'!$$244)</f>
      </c>
      <c r="CH244">
        <f>IF(ISBLANK('Data Entry'!$$244), "", 'Data Entry'!$$244)</f>
      </c>
      <c r="CI244">
        <f>IF(ISBLANK('Data Entry'!$$244), "", 'Data Entry'!$$244)</f>
      </c>
      <c r="CJ244">
        <f>IF(ISBLANK('Data Entry'!$$244), "", 'Data Entry'!$$244)</f>
      </c>
      <c r="CK244">
        <f>IF(ISBLANK('Data Entry'!$$244), "", 'Data Entry'!$$244)</f>
      </c>
      <c r="CL244">
        <f>IF(ISBLANK('Data Entry'!$$244), "", 'Data Entry'!$$244)</f>
      </c>
      <c r="CM244">
        <f>IF(ISBLANK('Data Entry'!$$244), "", 'Data Entry'!$$244)</f>
      </c>
      <c r="CN244">
        <f>IF(ISBLANK('Data Entry'!$$244), "", 'Data Entry'!$$244)</f>
      </c>
      <c r="CO244">
        <f>IF(ISBLANK('Data Entry'!$$244), "", 'Data Entry'!$$244)</f>
      </c>
      <c r="CP244">
        <f>IF(ISBLANK('Data Entry'!$$244), "", 'Data Entry'!$$244)</f>
      </c>
      <c r="CQ244">
        <f>IF(ISBLANK('Data Entry'!$$244), "", 'Data Entry'!$$244)</f>
      </c>
      <c r="CR244">
        <f>IF(ISBLANK('Data Entry'!$ $244), "", 'Data Entry'!$ $244)</f>
      </c>
      <c r="CS244">
        <f>IF(ISBLANK('Data Entry'!$¡$244), "", 'Data Entry'!$¡$244)</f>
      </c>
      <c r="CT244">
        <f>IF(ISBLANK('Data Entry'!$¢$244), "", 'Data Entry'!$¢$244)</f>
      </c>
      <c r="CU244">
        <f>IF(ISBLANK('Data Entry'!$£$244), "", 'Data Entry'!$£$244)</f>
      </c>
      <c r="CV244">
        <f>IF(ISBLANK('Data Entry'!$¤$244), "", 'Data Entry'!$¤$244)</f>
      </c>
      <c r="CW244">
        <f>IF(ISBLANK('Data Entry'!$¥$244), "", 'Data Entry'!$¥$244)</f>
      </c>
      <c r="CX244">
        <f>IF(ISBLANK('Data Entry'!$¦$244), "", 'Data Entry'!$¦$244)</f>
      </c>
      <c r="CY244">
        <f>IF(ISBLANK('Data Entry'!$§$244), "", 'Data Entry'!$§$244)</f>
      </c>
      <c r="CZ244">
        <f>IF(ISBLANK('Data Entry'!$¨$244), "", 'Data Entry'!$¨$244)</f>
      </c>
      <c r="DA244">
        <f>IF(ISBLANK('Data Entry'!$©$244), "", 'Data Entry'!$©$244)</f>
      </c>
      <c r="DB244">
        <f>IF(ISBLANK('Data Entry'!$ª$244), "", 'Data Entry'!$ª$244)</f>
      </c>
      <c r="DC244">
        <f>IF(ISBLANK('Data Entry'!$«$244), "", 'Data Entry'!$«$244)</f>
      </c>
      <c r="DD244">
        <f>IF(ISBLANK('Data Entry'!$¬$244), "", 'Data Entry'!$¬$244)</f>
      </c>
      <c r="DE244">
        <f>IF(ISBLANK('Data Entry'!$­$244), "", 'Data Entry'!$­$244)</f>
      </c>
      <c r="DF244">
        <f>IF(ISBLANK('Data Entry'!$®$244), "", 'Data Entry'!$®$244)</f>
      </c>
      <c r="DG244">
        <f>IF(ISBLANK('Data Entry'!$¯$244), "", 'Data Entry'!$¯$244)</f>
      </c>
      <c r="DH244">
        <f>IF(ISBLANK('Data Entry'!$°$244), "", 'Data Entry'!$°$244)</f>
      </c>
      <c r="DI244">
        <f>IF(ISBLANK('Data Entry'!$±$244), "", 'Data Entry'!$±$244)</f>
      </c>
      <c r="DJ244">
        <f>IF(ISBLANK('Data Entry'!$²$244), "", 'Data Entry'!$²$244)</f>
      </c>
      <c r="DK244">
        <f>IF(ISBLANK('Data Entry'!$³$244), "", 'Data Entry'!$³$244)</f>
      </c>
      <c r="DL244">
        <f>IF(ISBLANK('Data Entry'!$´$244), "", 'Data Entry'!$´$244)</f>
      </c>
      <c r="DM244">
        <f>IF(ISBLANK('Data Entry'!$µ$244), "", 'Data Entry'!$µ$244)</f>
      </c>
      <c r="DN244">
        <f>IF(ISBLANK('Data Entry'!$¶$244), "", 'Data Entry'!$¶$244)</f>
      </c>
      <c r="DO244">
        <f>IF(ISBLANK('Data Entry'!$·$244), "", 'Data Entry'!$·$244)</f>
      </c>
      <c r="DP244">
        <f>IF(ISBLANK('Data Entry'!$¸$244), "", 'Data Entry'!$¸$244)</f>
      </c>
      <c r="DQ244">
        <f>IF(ISBLANK('Data Entry'!$¹$244), "", 'Data Entry'!$¹$244)</f>
      </c>
      <c r="DR244">
        <f>IF(ISBLANK('Data Entry'!$º$244), "", 'Data Entry'!$º$244)</f>
      </c>
      <c r="DS244">
        <f>IF(ISBLANK('Data Entry'!$»$244), "", 'Data Entry'!$»$244)</f>
      </c>
      <c r="DT244">
        <f>IF(ISBLANK('Data Entry'!$¼$244), "", 'Data Entry'!$¼$244)</f>
      </c>
      <c r="DU244">
        <f>IF(ISBLANK('Data Entry'!$½$244), "", 'Data Entry'!$½$244)</f>
      </c>
      <c r="DV244">
        <f>IF(ISBLANK('Data Entry'!$¾$244), "", 'Data Entry'!$¾$244)</f>
      </c>
      <c r="DW244">
        <f>IF(ISBLANK('Data Entry'!$¿$244), "", 'Data Entry'!$¿$244)</f>
      </c>
      <c r="DX244">
        <f>IF(ISBLANK('Data Entry'!$À$244), "", 'Data Entry'!$À$244)</f>
      </c>
      <c r="DY244">
        <f>IF(ISBLANK('Data Entry'!$Á$244), "", 'Data Entry'!$Á$244)</f>
      </c>
      <c r="DZ244">
        <f>IF(ISBLANK('Data Entry'!$Â$244), "", 'Data Entry'!$Â$244)</f>
      </c>
      <c r="EA244">
        <f>IF(ISBLANK('Data Entry'!$Ã$244), "", 'Data Entry'!$Ã$244)</f>
      </c>
      <c r="EB244">
        <f>IF(ISBLANK('Data Entry'!$Ä$244), "", 'Data Entry'!$Ä$244)</f>
      </c>
      <c r="EC244">
        <f>IF(ISBLANK('Data Entry'!$Å$244), "", 'Data Entry'!$Å$244)</f>
      </c>
      <c r="ED244">
        <f>IF(ISBLANK('Data Entry'!$Æ$244), "", 'Data Entry'!$Æ$244)</f>
      </c>
      <c r="EE244">
        <f>IF(ISBLANK('Data Entry'!$Ç$244), "", 'Data Entry'!$Ç$244)</f>
      </c>
      <c r="EF244">
        <f>IF(ISBLANK('Data Entry'!$È$244), "", 'Data Entry'!$È$244)</f>
      </c>
      <c r="EG244">
        <f>IF(ISBLANK('Data Entry'!$É$244), "", 'Data Entry'!$É$244)</f>
      </c>
      <c r="EH244">
        <f>IF(ISBLANK('Data Entry'!$Ê$244), "", 'Data Entry'!$Ê$244)</f>
      </c>
      <c r="EI244">
        <f>IF(ISBLANK('Data Entry'!$Ë$244), "", 'Data Entry'!$Ë$244)</f>
      </c>
      <c r="EJ244">
        <f>IF(ISBLANK('Data Entry'!$Ì$244), "", 'Data Entry'!$Ì$244)</f>
      </c>
      <c r="EK244">
        <f>IF(ISBLANK('Data Entry'!$Í$244), "", 'Data Entry'!$Í$244)</f>
      </c>
      <c r="EL244">
        <f>IF(ISBLANK('Data Entry'!$Î$244), "", 'Data Entry'!$Î$244)</f>
      </c>
      <c r="EM244">
        <f>IF(ISBLANK('Data Entry'!$Ï$244), "", 'Data Entry'!$Ï$244)</f>
      </c>
      <c r="EN244">
        <f>IF(ISBLANK('Data Entry'!$Ð$244), "", 'Data Entry'!$Ð$244)</f>
      </c>
      <c r="EO244">
        <f>IF(ISBLANK('Data Entry'!$Ñ$244), "", 'Data Entry'!$Ñ$244)</f>
      </c>
      <c r="EP244">
        <f>IF(ISBLANK('Data Entry'!$Ò$244), "", 'Data Entry'!$Ò$244)</f>
      </c>
      <c r="EQ244">
        <f>IF(ISBLANK('Data Entry'!$Ó$244), "", 'Data Entry'!$Ó$244)</f>
      </c>
      <c r="ER244">
        <f>IF(ISBLANK('Data Entry'!$Ô$244), "", 'Data Entry'!$Ô$244)</f>
      </c>
      <c r="ES244">
        <f>IF(ISBLANK('Data Entry'!$Õ$244), "", 'Data Entry'!$Õ$244)</f>
      </c>
      <c r="ET244">
        <f>IF(ISBLANK('Data Entry'!$Ö$244), "", 'Data Entry'!$Ö$244)</f>
      </c>
      <c r="EU244">
        <f>IF(ISBLANK('Data Entry'!$×$244), "", 'Data Entry'!$×$244)</f>
      </c>
      <c r="EV244">
        <f>IF(ISBLANK('Data Entry'!$Ø$244), "", 'Data Entry'!$Ø$244)</f>
      </c>
      <c r="EW244">
        <f>IF(ISBLANK('Data Entry'!$Ù$244), "", 'Data Entry'!$Ù$244)</f>
      </c>
      <c r="EX244">
        <f>IF(ISBLANK('Data Entry'!$Ú$244), "", 'Data Entry'!$Ú$244)</f>
      </c>
      <c r="EY244">
        <f>IF(ISBLANK('Data Entry'!$Û$244), "", 'Data Entry'!$Û$244)</f>
      </c>
      <c r="EZ244">
        <f>IF(ISBLANK('Data Entry'!$Ü$244), "", 'Data Entry'!$Ü$244)</f>
      </c>
      <c r="FA244">
        <f>IF(ISBLANK('Data Entry'!$Ý$244), "", 'Data Entry'!$Ý$244)</f>
      </c>
      <c r="FB244">
        <f>IF(ISBLANK('Data Entry'!$Þ$244), "", 'Data Entry'!$Þ$244)</f>
      </c>
      <c r="FC244">
        <f>IF(ISBLANK('Data Entry'!$ß$244), "", 'Data Entry'!$ß$244)</f>
      </c>
      <c r="FD244">
        <f>IF(ISBLANK('Data Entry'!$à$244), "", 'Data Entry'!$à$244)</f>
      </c>
      <c r="FE244">
        <f>IF(ISBLANK('Data Entry'!$á$244), "", 'Data Entry'!$á$244)</f>
      </c>
      <c r="FF244">
        <f>IF(ISBLANK('Data Entry'!$â$244), "", 'Data Entry'!$â$244)</f>
      </c>
      <c r="FG244">
        <f>IF(ISBLANK('Data Entry'!$ã$244), "", 'Data Entry'!$ã$244)</f>
      </c>
      <c r="FH244">
        <f>IF(ISBLANK('Data Entry'!$ä$244), "", 'Data Entry'!$ä$244)</f>
      </c>
      <c r="FI244">
        <f>IF(ISBLANK('Data Entry'!$å$244), "", 'Data Entry'!$å$244)</f>
      </c>
      <c r="FJ244">
        <f>IF(ISBLANK('Data Entry'!$æ$244), "", 'Data Entry'!$æ$244)</f>
      </c>
      <c r="FK244">
        <f>IF(ISBLANK('Data Entry'!$ç$244), "", 'Data Entry'!$ç$244)</f>
      </c>
      <c r="FL244">
        <f>IF(ISBLANK('Data Entry'!$è$244), "", 'Data Entry'!$è$244)</f>
      </c>
      <c r="FM244">
        <f>IF(ISBLANK('Data Entry'!$é$244), "", 'Data Entry'!$é$244)</f>
      </c>
      <c r="FN244">
        <f>IF(ISBLANK('Data Entry'!$ê$244), "", 'Data Entry'!$ê$244)</f>
      </c>
      <c r="FO244">
        <f>IF(ISBLANK('Data Entry'!$ë$244), "", 'Data Entry'!$ë$244)</f>
      </c>
      <c r="FP244">
        <f>IF(ISBLANK('Data Entry'!$ì$244), "", 'Data Entry'!$ì$244)</f>
      </c>
      <c r="FQ244">
        <f>IF(ISBLANK('Data Entry'!$í$244), "", 'Data Entry'!$í$244)</f>
      </c>
      <c r="FR244">
        <f>IF(ISBLANK('Data Entry'!$î$244), "", 'Data Entry'!$î$244)</f>
      </c>
      <c r="FS244">
        <f>IF(ISBLANK('Data Entry'!$ï$244), "", 'Data Entry'!$ï$244)</f>
      </c>
      <c r="FT244">
        <f>IF(ISBLANK('Data Entry'!$ð$244), "", 'Data Entry'!$ð$244)</f>
      </c>
      <c r="FU244">
        <f>IF(ISBLANK('Data Entry'!$ñ$244), "", 'Data Entry'!$ñ$244)</f>
      </c>
      <c r="FV244">
        <f>IF(ISBLANK('Data Entry'!$ò$244), "", 'Data Entry'!$ò$244)</f>
      </c>
      <c r="FW244">
        <f>IF(ISBLANK('Data Entry'!$ó$244), "", 'Data Entry'!$ó$244)</f>
      </c>
      <c r="FX244">
        <f>IF(ISBLANK('Data Entry'!$ô$244), "", 'Data Entry'!$ô$244)</f>
      </c>
      <c r="FY244">
        <f>IF(ISBLANK('Data Entry'!$õ$244), "", 'Data Entry'!$õ$244)</f>
      </c>
      <c r="FZ244">
        <f>IF(ISBLANK('Data Entry'!$ö$244), "", 'Data Entry'!$ö$244)</f>
      </c>
      <c r="GA244">
        <f>IF(ISBLANK('Data Entry'!$÷$244), "", 'Data Entry'!$÷$244)</f>
      </c>
      <c r="GB244">
        <f>IF(ISBLANK('Data Entry'!$ø$244), "", 'Data Entry'!$ø$244)</f>
      </c>
      <c r="GC244">
        <f>IF(ISBLANK('Data Entry'!$ù$244), "", 'Data Entry'!$ù$244)</f>
      </c>
      <c r="GD244">
        <f>IF(ISBLANK('Data Entry'!$ú$244), "", 'Data Entry'!$ú$244)</f>
      </c>
      <c r="GE244">
        <f>IF(ISBLANK('Data Entry'!$û$244), "", 'Data Entry'!$û$244)</f>
      </c>
      <c r="GF244">
        <f>IF(ISBLANK('Data Entry'!$ü$244), "", 'Data Entry'!$ü$244)</f>
      </c>
      <c r="GG244">
        <f>IF(ISBLANK('Data Entry'!$ý$244), "", 'Data Entry'!$ý$244)</f>
      </c>
      <c r="GH244">
        <f>IF(ISBLANK('Data Entry'!$þ$244), "", 'Data Entry'!$þ$244)</f>
      </c>
      <c r="GI244">
        <f>IF(ISBLANK('Data Entry'!$ÿ$244), "", 'Data Entry'!$ÿ$244)</f>
      </c>
      <c r="GJ244">
        <f>IF(ISBLANK('Data Entry'!$Ā$244), "", 'Data Entry'!$Ā$244)</f>
      </c>
      <c r="GK244">
        <f>IF(ISBLANK('Data Entry'!$ā$244), "", 'Data Entry'!$ā$244)</f>
      </c>
      <c r="GL244">
        <f>IF(ISBLANK('Data Entry'!$Ă$244), "", 'Data Entry'!$Ă$244)</f>
      </c>
      <c r="GM244">
        <f>IF(ISBLANK('Data Entry'!$ă$244), "", 'Data Entry'!$ă$244)</f>
      </c>
      <c r="GN244">
        <f>IF(ISBLANK('Data Entry'!$Ą$244), "", 'Data Entry'!$Ą$244)</f>
      </c>
      <c r="GO244">
        <f>IF(ISBLANK('Data Entry'!$ą$244), "", 'Data Entry'!$ą$244)</f>
      </c>
      <c r="GP244">
        <f>IF(ISBLANK('Data Entry'!$Ć$244), "", 'Data Entry'!$Ć$244)</f>
      </c>
      <c r="GQ244">
        <f>IF(ISBLANK('Data Entry'!$ć$244), "", 'Data Entry'!$ć$244)</f>
      </c>
      <c r="GR244">
        <f>IF(ISBLANK('Data Entry'!$Ĉ$244), "", 'Data Entry'!$Ĉ$244)</f>
      </c>
      <c r="GS244">
        <f>IF(ISBLANK('Data Entry'!$ĉ$244), "", 'Data Entry'!$ĉ$244)</f>
      </c>
      <c r="GT244">
        <f>IF(ISBLANK('Data Entry'!$Ċ$244), "", 'Data Entry'!$Ċ$244)</f>
      </c>
      <c r="GU244">
        <f>IF(ISBLANK('Data Entry'!$ċ$244), "", 'Data Entry'!$ċ$244)</f>
      </c>
      <c r="GV244">
        <f>IF(ISBLANK('Data Entry'!$Č$244), "", 'Data Entry'!$Č$244)</f>
      </c>
      <c r="GW244">
        <f>IF(ISBLANK('Data Entry'!$č$244), "", 'Data Entry'!$č$244)</f>
      </c>
      <c r="GX244">
        <f>IF(ISBLANK('Data Entry'!$Ď$244), "", 'Data Entry'!$Ď$244)</f>
      </c>
      <c r="GY244">
        <f>IF(ISBLANK('Data Entry'!$ď$244), "", 'Data Entry'!$ď$244)</f>
      </c>
      <c r="GZ244">
        <f>IF(ISBLANK('Data Entry'!$Đ$244), "", 'Data Entry'!$Đ$244)</f>
      </c>
      <c r="HA244">
        <f>IF(ISBLANK('Data Entry'!$đ$244), "", 'Data Entry'!$đ$244)</f>
      </c>
      <c r="HB244">
        <f>IF(ISBLANK('Data Entry'!$Ē$244), "", 'Data Entry'!$Ē$244)</f>
      </c>
      <c r="HC244">
        <f>IF(ISBLANK('Data Entry'!$ē$244), "", 'Data Entry'!$ē$244)</f>
      </c>
      <c r="HD244">
        <f>IF(ISBLANK('Data Entry'!$Ĕ$244), "", 'Data Entry'!$Ĕ$244)</f>
      </c>
      <c r="HE244">
        <f>IF(ISBLANK('Data Entry'!$ĕ$244), "", 'Data Entry'!$ĕ$244)</f>
      </c>
      <c r="HF244">
        <f>IF(ISBLANK('Data Entry'!$Ė$244), "", 'Data Entry'!$Ė$244)</f>
      </c>
      <c r="HG244">
        <f>IF(ISBLANK('Data Entry'!$ė$244), "", 'Data Entry'!$ė$244)</f>
      </c>
      <c r="HH244">
        <f>IF(ISBLANK('Data Entry'!$Ę$244), "", 'Data Entry'!$Ę$244)</f>
      </c>
      <c r="HI244">
        <f>IF(ISBLANK('Data Entry'!$ę$244), "", 'Data Entry'!$ę$244)</f>
      </c>
      <c r="HJ244">
        <f>IF(ISBLANK('Data Entry'!$Ě$244), "", 'Data Entry'!$Ě$244)</f>
      </c>
      <c r="HK244">
        <f>IF(ISBLANK('Data Entry'!$ě$244), "", 'Data Entry'!$ě$244)</f>
      </c>
      <c r="HL244">
        <f>IF(ISBLANK('Data Entry'!$Ĝ$244), "", 'Data Entry'!$Ĝ$244)</f>
      </c>
      <c r="HM244">
        <f>IF(ISBLANK('Data Entry'!$ĝ$244), "", 'Data Entry'!$ĝ$244)</f>
      </c>
      <c r="HN244">
        <f>IF(ISBLANK('Data Entry'!$Ğ$244), "", 'Data Entry'!$Ğ$244)</f>
      </c>
      <c r="HO244">
        <f>IF(ISBLANK('Data Entry'!$ğ$244), "", 'Data Entry'!$ğ$244)</f>
      </c>
      <c r="HP244">
        <f>IF(ISBLANK('Data Entry'!$Ġ$244), "", 'Data Entry'!$Ġ$244)</f>
      </c>
      <c r="HQ244">
        <f>IF(ISBLANK('Data Entry'!$ġ$244), "", 'Data Entry'!$ġ$244)</f>
      </c>
      <c r="HR244">
        <f>IF(ISBLANK('Data Entry'!$Ģ$244), "", 'Data Entry'!$Ģ$244)</f>
      </c>
      <c r="HS244">
        <f>IF(ISBLANK('Data Entry'!$ģ$244), "", 'Data Entry'!$ģ$244)</f>
      </c>
      <c r="HT244">
        <f>IF(ISBLANK('Data Entry'!$Ĥ$244), "", 'Data Entry'!$Ĥ$244)</f>
      </c>
      <c r="HU244">
        <f>IF(ISBLANK('Data Entry'!$ĥ$244), "", 'Data Entry'!$ĥ$244)</f>
      </c>
      <c r="HV244">
        <f>IF(ISBLANK('Data Entry'!$Ħ$244), "", 'Data Entry'!$Ħ$244)</f>
      </c>
      <c r="HW244">
        <f>IF(ISBLANK('Data Entry'!$ħ$244), "", 'Data Entry'!$ħ$244)</f>
      </c>
      <c r="HX244">
        <f>IF(ISBLANK('Data Entry'!$Ĩ$244), "", 'Data Entry'!$Ĩ$244)</f>
      </c>
      <c r="HY244">
        <f>IF(ISBLANK('Data Entry'!$ĩ$244), "", 'Data Entry'!$ĩ$244)</f>
      </c>
      <c r="HZ244">
        <f>IF(ISBLANK('Data Entry'!$Ī$244), "", 'Data Entry'!$Ī$244)</f>
      </c>
      <c r="IA244">
        <f>IF(ISBLANK('Data Entry'!$ī$244), "", 'Data Entry'!$ī$244)</f>
      </c>
      <c r="IB244">
        <f>IF(ISBLANK('Data Entry'!$Ĭ$244), "", 'Data Entry'!$Ĭ$244)</f>
      </c>
      <c r="IC244">
        <f>IF(ISBLANK('Data Entry'!$ĭ$244), "", 'Data Entry'!$ĭ$244)</f>
      </c>
      <c r="ID244">
        <f>IF(ISBLANK('Data Entry'!$Į$244), "", 'Data Entry'!$Į$244)</f>
      </c>
      <c r="IE244">
        <f>IF(ISBLANK('Data Entry'!$į$244), "", 'Data Entry'!$į$244)</f>
      </c>
      <c r="IF244">
        <f>IF(ISBLANK('Data Entry'!$İ$244), "", 'Data Entry'!$İ$244)</f>
      </c>
      <c r="IG244">
        <f>IF(ISBLANK('Data Entry'!$ı$244), "", 'Data Entry'!$ı$244)</f>
      </c>
      <c r="IH244">
        <f>IF(ISBLANK('Data Entry'!$Ĳ$244), "", 'Data Entry'!$Ĳ$244)</f>
      </c>
      <c r="II244">
        <f>IF(ISBLANK('Data Entry'!$ĳ$244), "", 'Data Entry'!$ĳ$244)</f>
      </c>
      <c r="IJ244">
        <f>IF(ISBLANK('Data Entry'!$Ĵ$244), "", 'Data Entry'!$Ĵ$244)</f>
      </c>
      <c r="IK244">
        <f>IF(ISBLANK('Data Entry'!$ĵ$244), "", 'Data Entry'!$ĵ$244)</f>
      </c>
      <c r="IL244">
        <f>IF(ISBLANK('Data Entry'!$Ķ$244), "", 'Data Entry'!$Ķ$244)</f>
      </c>
      <c r="IM244">
        <f>IF(ISBLANK('Data Entry'!$ķ$244), "", 'Data Entry'!$ķ$244)</f>
      </c>
      <c r="IN244">
        <f>IF(ISBLANK('Data Entry'!$ĸ$244), "", 'Data Entry'!$ĸ$244)</f>
      </c>
      <c r="IO244">
        <f>IF(ISBLANK('Data Entry'!$Ĺ$244), "", 'Data Entry'!$Ĺ$244)</f>
      </c>
      <c r="IP244">
        <f>IF(ISBLANK('Data Entry'!$ĺ$244), "", 'Data Entry'!$ĺ$244)</f>
      </c>
      <c r="IQ244">
        <f>IF(ISBLANK('Data Entry'!$Ļ$244), "", 'Data Entry'!$Ļ$244)</f>
      </c>
      <c r="IR244">
        <f>IF(ISBLANK('Data Entry'!$ļ$244), "", 'Data Entry'!$ļ$244)</f>
      </c>
      <c r="IS244">
        <f>IF(ISBLANK('Data Entry'!$Ľ$244), "", 'Data Entry'!$Ľ$244)</f>
      </c>
      <c r="IT244">
        <f>IF(ISBLANK('Data Entry'!$ľ$244), "", 'Data Entry'!$ľ$244)</f>
      </c>
    </row>
    <row r="245" spans="1:254" x14ac:dyDescent="0.25">
      <c r="A245">
        <f>IF(ISBLANK('Data Entry'!$A$245), "", 'Data Entry'!$A$245)</f>
      </c>
      <c r="B245">
        <f>IF(ISBLANK('Data Entry'!$B$245), "", 'Data Entry'!$B$245)</f>
      </c>
      <c r="C245">
        <f>IF(ISBLANK('Data Entry'!$C$245), "", 'Data Entry'!$C$245)</f>
      </c>
      <c r="D245">
        <f>IF(ISBLANK('Data Entry'!$D$245), "", 'Data Entry'!$D$245)</f>
      </c>
      <c r="E245">
        <f>IF(ISBLANK('Data Entry'!$E$245), "", 'Data Entry'!$E$245)</f>
      </c>
      <c r="F245">
        <f>IF(ISBLANK('Data Entry'!$F$245), "", 'Data Entry'!$F$245)</f>
      </c>
      <c r="G245">
        <f>IF(ISBLANK('Data Entry'!$G$245), "", 'Data Entry'!$G$245)</f>
      </c>
      <c r="H245">
        <f>IF(ISBLANK('Data Entry'!$H$245), "", 'Data Entry'!$H$245)</f>
      </c>
      <c r="I245">
        <f>IF(ISBLANK('Data Entry'!$I$245), "", 'Data Entry'!$I$245)</f>
      </c>
      <c r="J245">
        <f>IF(ISBLANK('Data Entry'!$J$245), "", 'Data Entry'!$J$245)</f>
      </c>
      <c r="K245">
        <f>IF(ISBLANK('Data Entry'!$K$245), "", 'Data Entry'!$K$245)</f>
      </c>
      <c r="L245">
        <f>IF(ISBLANK('Data Entry'!$L$245), "", 'Data Entry'!$L$245)</f>
      </c>
      <c r="M245">
        <f>IF(ISBLANK('Data Entry'!$M$245), "", 'Data Entry'!$M$245)</f>
      </c>
      <c r="N245">
        <f>IF(ISBLANK('Data Entry'!$N$245), "", 'Data Entry'!$N$245)</f>
      </c>
      <c r="O245">
        <f>IF(ISBLANK('Data Entry'!$O$245), "", 'Data Entry'!$O$245)</f>
      </c>
      <c r="P245">
        <f>IF(ISBLANK('Data Entry'!$P$245), "", 'Data Entry'!$P$245)</f>
      </c>
      <c r="Q245">
        <f>IF(ISBLANK('Data Entry'!$Q$245), "", 'Data Entry'!$Q$245)</f>
      </c>
      <c r="R245">
        <f>IF(ISBLANK('Data Entry'!$R$245), "", 'Data Entry'!$R$245)</f>
      </c>
      <c r="S245">
        <f>IF(ISBLANK('Data Entry'!$S$245), "", 'Data Entry'!$S$245)</f>
      </c>
      <c r="T245">
        <f>IF(ISBLANK('Data Entry'!$T$245), "", 'Data Entry'!$T$245)</f>
      </c>
      <c r="U245">
        <f>IF(ISBLANK('Data Entry'!$U$245), "", 'Data Entry'!$U$245)</f>
      </c>
      <c r="V245">
        <f>IF(ISBLANK('Data Entry'!$V$245), "", 'Data Entry'!$V$245)</f>
      </c>
      <c r="W245">
        <f>IF(ISBLANK('Data Entry'!$W$245), "", 'Data Entry'!$W$245)</f>
      </c>
      <c r="X245">
        <f>IF(ISBLANK('Data Entry'!$X$245), "", 'Data Entry'!$X$245)</f>
      </c>
      <c r="Y245">
        <f>IF(ISBLANK('Data Entry'!$Y$245), "", 'Data Entry'!$Y$245)</f>
      </c>
      <c r="Z245">
        <f>IF(ISBLANK('Data Entry'!$Z$245), "", 'Data Entry'!$Z$245)</f>
      </c>
      <c r="AA245">
        <f>IF(ISBLANK('Data Entry'!$[$245), "", 'Data Entry'!$[$245)</f>
      </c>
      <c r="AB245">
        <f>IF(ISBLANK('Data Entry'!$\$245), "", 'Data Entry'!$\$245)</f>
      </c>
      <c r="AC245">
        <f>IF(ISBLANK('Data Entry'!$]$245), "", 'Data Entry'!$]$245)</f>
      </c>
      <c r="AD245">
        <f>IF(ISBLANK('Data Entry'!$^$245), "", 'Data Entry'!$^$245)</f>
      </c>
      <c r="AE245">
        <f>IF(ISBLANK('Data Entry'!$_$245), "", 'Data Entry'!$_$245)</f>
      </c>
      <c r="AF245">
        <f>IF(ISBLANK('Data Entry'!$`$245), "", 'Data Entry'!$`$245)</f>
      </c>
      <c r="AG245">
        <f>IF(ISBLANK('Data Entry'!$a$245), "", 'Data Entry'!$a$245)</f>
      </c>
      <c r="AH245">
        <f>IF(ISBLANK('Data Entry'!$b$245), "", 'Data Entry'!$b$245)</f>
      </c>
      <c r="AI245">
        <f>IF(ISBLANK('Data Entry'!$c$245), "", 'Data Entry'!$c$245)</f>
      </c>
      <c r="AJ245">
        <f>IF(ISBLANK('Data Entry'!$d$245), "", 'Data Entry'!$d$245)</f>
      </c>
      <c r="AK245">
        <f>IF(ISBLANK('Data Entry'!$e$245), "", 'Data Entry'!$e$245)</f>
      </c>
      <c r="AL245">
        <f>IF(ISBLANK('Data Entry'!$f$245), "", 'Data Entry'!$f$245)</f>
      </c>
      <c r="AM245">
        <f>IF(ISBLANK('Data Entry'!$g$245), "", 'Data Entry'!$g$245)</f>
      </c>
      <c r="AN245">
        <f>IF(ISBLANK('Data Entry'!$h$245), "", 'Data Entry'!$h$245)</f>
      </c>
      <c r="AO245">
        <f>IF(ISBLANK('Data Entry'!$i$245), "", 'Data Entry'!$i$245)</f>
      </c>
      <c r="AP245">
        <f>IF(ISBLANK('Data Entry'!$j$245), "", 'Data Entry'!$j$245)</f>
      </c>
      <c r="AQ245">
        <f>IF(ISBLANK('Data Entry'!$k$245), "", 'Data Entry'!$k$245)</f>
      </c>
      <c r="AR245">
        <f>IF(ISBLANK('Data Entry'!$l$245), "", 'Data Entry'!$l$245)</f>
      </c>
      <c r="AS245">
        <f>IF(ISBLANK('Data Entry'!$m$245), "", 'Data Entry'!$m$245)</f>
      </c>
      <c r="AT245">
        <f>IF(ISBLANK('Data Entry'!$n$245), "", 'Data Entry'!$n$245)</f>
      </c>
      <c r="AU245">
        <f>IF(ISBLANK('Data Entry'!$o$245), "", 'Data Entry'!$o$245)</f>
      </c>
      <c r="AV245">
        <f>IF(ISBLANK('Data Entry'!$p$245), "", 'Data Entry'!$p$245)</f>
      </c>
      <c r="AW245">
        <f>IF(ISBLANK('Data Entry'!$q$245), "", 'Data Entry'!$q$245)</f>
      </c>
      <c r="AX245">
        <f>IF(ISBLANK('Data Entry'!$r$245), "", 'Data Entry'!$r$245)</f>
      </c>
      <c r="AY245">
        <f>IF(ISBLANK('Data Entry'!$s$245), "", 'Data Entry'!$s$245)</f>
      </c>
      <c r="AZ245">
        <f>IF(ISBLANK('Data Entry'!$t$245), "", 'Data Entry'!$t$245)</f>
      </c>
      <c r="BA245">
        <f>IF(ISBLANK('Data Entry'!$u$245), "", 'Data Entry'!$u$245)</f>
      </c>
      <c r="BB245">
        <f>IF(ISBLANK('Data Entry'!$v$245), "", 'Data Entry'!$v$245)</f>
      </c>
      <c r="BC245">
        <f>IF(ISBLANK('Data Entry'!$w$245), "", 'Data Entry'!$w$245)</f>
      </c>
      <c r="BD245">
        <f>IF(ISBLANK('Data Entry'!$x$245), "", 'Data Entry'!$x$245)</f>
      </c>
      <c r="BE245">
        <f>IF(ISBLANK('Data Entry'!$y$245), "", 'Data Entry'!$y$245)</f>
      </c>
      <c r="BF245">
        <f>IF(ISBLANK('Data Entry'!$z$245), "", 'Data Entry'!$z$245)</f>
      </c>
      <c r="BG245">
        <f>IF(ISBLANK('Data Entry'!${$245), "", 'Data Entry'!${$245)</f>
      </c>
      <c r="BH245">
        <f>IF(ISBLANK('Data Entry'!$|$245), "", 'Data Entry'!$|$245)</f>
      </c>
      <c r="BI245">
        <f>IF(ISBLANK('Data Entry'!$}$245), "", 'Data Entry'!$}$245)</f>
      </c>
      <c r="BJ245">
        <f>IF(ISBLANK('Data Entry'!$~$245), "", 'Data Entry'!$~$245)</f>
      </c>
      <c r="BK245">
        <f>IF(ISBLANK('Data Entry'!$$245), "", 'Data Entry'!$$245)</f>
      </c>
      <c r="BL245">
        <f>IF(ISBLANK('Data Entry'!$$245), "", 'Data Entry'!$$245)</f>
      </c>
      <c r="BM245">
        <f>IF(ISBLANK('Data Entry'!$$245), "", 'Data Entry'!$$245)</f>
      </c>
      <c r="BN245">
        <f>IF(ISBLANK('Data Entry'!$$245), "", 'Data Entry'!$$245)</f>
      </c>
      <c r="BO245">
        <f>IF(ISBLANK('Data Entry'!$$245), "", 'Data Entry'!$$245)</f>
      </c>
      <c r="BP245">
        <f>IF(ISBLANK('Data Entry'!$$245), "", 'Data Entry'!$$245)</f>
      </c>
      <c r="BQ245">
        <f>IF(ISBLANK('Data Entry'!$$245), "", 'Data Entry'!$$245)</f>
      </c>
      <c r="BR245">
        <f>IF(ISBLANK('Data Entry'!$$245), "", 'Data Entry'!$$245)</f>
      </c>
      <c r="BS245">
        <f>IF(ISBLANK('Data Entry'!$$245), "", 'Data Entry'!$$245)</f>
      </c>
      <c r="BT245">
        <f>IF(ISBLANK('Data Entry'!$$245), "", 'Data Entry'!$$245)</f>
      </c>
      <c r="BU245">
        <f>IF(ISBLANK('Data Entry'!$$245), "", 'Data Entry'!$$245)</f>
      </c>
      <c r="BV245">
        <f>IF(ISBLANK('Data Entry'!$$245), "", 'Data Entry'!$$245)</f>
      </c>
      <c r="BW245">
        <f>IF(ISBLANK('Data Entry'!$$245), "", 'Data Entry'!$$245)</f>
      </c>
      <c r="BX245">
        <f>IF(ISBLANK('Data Entry'!$$245), "", 'Data Entry'!$$245)</f>
      </c>
      <c r="BY245">
        <f>IF(ISBLANK('Data Entry'!$$245), "", 'Data Entry'!$$245)</f>
      </c>
      <c r="BZ245">
        <f>IF(ISBLANK('Data Entry'!$$245), "", 'Data Entry'!$$245)</f>
      </c>
      <c r="CA245">
        <f>IF(ISBLANK('Data Entry'!$$245), "", 'Data Entry'!$$245)</f>
      </c>
      <c r="CB245">
        <f>IF(ISBLANK('Data Entry'!$$245), "", 'Data Entry'!$$245)</f>
      </c>
      <c r="CC245">
        <f>IF(ISBLANK('Data Entry'!$$245), "", 'Data Entry'!$$245)</f>
      </c>
      <c r="CD245">
        <f>IF(ISBLANK('Data Entry'!$$245), "", 'Data Entry'!$$245)</f>
      </c>
      <c r="CE245">
        <f>IF(ISBLANK('Data Entry'!$$245), "", 'Data Entry'!$$245)</f>
      </c>
      <c r="CF245">
        <f>IF(ISBLANK('Data Entry'!$$245), "", 'Data Entry'!$$245)</f>
      </c>
      <c r="CG245">
        <f>IF(ISBLANK('Data Entry'!$$245), "", 'Data Entry'!$$245)</f>
      </c>
      <c r="CH245">
        <f>IF(ISBLANK('Data Entry'!$$245), "", 'Data Entry'!$$245)</f>
      </c>
      <c r="CI245">
        <f>IF(ISBLANK('Data Entry'!$$245), "", 'Data Entry'!$$245)</f>
      </c>
      <c r="CJ245">
        <f>IF(ISBLANK('Data Entry'!$$245), "", 'Data Entry'!$$245)</f>
      </c>
      <c r="CK245">
        <f>IF(ISBLANK('Data Entry'!$$245), "", 'Data Entry'!$$245)</f>
      </c>
      <c r="CL245">
        <f>IF(ISBLANK('Data Entry'!$$245), "", 'Data Entry'!$$245)</f>
      </c>
      <c r="CM245">
        <f>IF(ISBLANK('Data Entry'!$$245), "", 'Data Entry'!$$245)</f>
      </c>
      <c r="CN245">
        <f>IF(ISBLANK('Data Entry'!$$245), "", 'Data Entry'!$$245)</f>
      </c>
      <c r="CO245">
        <f>IF(ISBLANK('Data Entry'!$$245), "", 'Data Entry'!$$245)</f>
      </c>
      <c r="CP245">
        <f>IF(ISBLANK('Data Entry'!$$245), "", 'Data Entry'!$$245)</f>
      </c>
      <c r="CQ245">
        <f>IF(ISBLANK('Data Entry'!$$245), "", 'Data Entry'!$$245)</f>
      </c>
      <c r="CR245">
        <f>IF(ISBLANK('Data Entry'!$ $245), "", 'Data Entry'!$ $245)</f>
      </c>
      <c r="CS245">
        <f>IF(ISBLANK('Data Entry'!$¡$245), "", 'Data Entry'!$¡$245)</f>
      </c>
      <c r="CT245">
        <f>IF(ISBLANK('Data Entry'!$¢$245), "", 'Data Entry'!$¢$245)</f>
      </c>
      <c r="CU245">
        <f>IF(ISBLANK('Data Entry'!$£$245), "", 'Data Entry'!$£$245)</f>
      </c>
      <c r="CV245">
        <f>IF(ISBLANK('Data Entry'!$¤$245), "", 'Data Entry'!$¤$245)</f>
      </c>
      <c r="CW245">
        <f>IF(ISBLANK('Data Entry'!$¥$245), "", 'Data Entry'!$¥$245)</f>
      </c>
      <c r="CX245">
        <f>IF(ISBLANK('Data Entry'!$¦$245), "", 'Data Entry'!$¦$245)</f>
      </c>
      <c r="CY245">
        <f>IF(ISBLANK('Data Entry'!$§$245), "", 'Data Entry'!$§$245)</f>
      </c>
      <c r="CZ245">
        <f>IF(ISBLANK('Data Entry'!$¨$245), "", 'Data Entry'!$¨$245)</f>
      </c>
      <c r="DA245">
        <f>IF(ISBLANK('Data Entry'!$©$245), "", 'Data Entry'!$©$245)</f>
      </c>
      <c r="DB245">
        <f>IF(ISBLANK('Data Entry'!$ª$245), "", 'Data Entry'!$ª$245)</f>
      </c>
      <c r="DC245">
        <f>IF(ISBLANK('Data Entry'!$«$245), "", 'Data Entry'!$«$245)</f>
      </c>
      <c r="DD245">
        <f>IF(ISBLANK('Data Entry'!$¬$245), "", 'Data Entry'!$¬$245)</f>
      </c>
      <c r="DE245">
        <f>IF(ISBLANK('Data Entry'!$­$245), "", 'Data Entry'!$­$245)</f>
      </c>
      <c r="DF245">
        <f>IF(ISBLANK('Data Entry'!$®$245), "", 'Data Entry'!$®$245)</f>
      </c>
      <c r="DG245">
        <f>IF(ISBLANK('Data Entry'!$¯$245), "", 'Data Entry'!$¯$245)</f>
      </c>
      <c r="DH245">
        <f>IF(ISBLANK('Data Entry'!$°$245), "", 'Data Entry'!$°$245)</f>
      </c>
      <c r="DI245">
        <f>IF(ISBLANK('Data Entry'!$±$245), "", 'Data Entry'!$±$245)</f>
      </c>
      <c r="DJ245">
        <f>IF(ISBLANK('Data Entry'!$²$245), "", 'Data Entry'!$²$245)</f>
      </c>
      <c r="DK245">
        <f>IF(ISBLANK('Data Entry'!$³$245), "", 'Data Entry'!$³$245)</f>
      </c>
      <c r="DL245">
        <f>IF(ISBLANK('Data Entry'!$´$245), "", 'Data Entry'!$´$245)</f>
      </c>
      <c r="DM245">
        <f>IF(ISBLANK('Data Entry'!$µ$245), "", 'Data Entry'!$µ$245)</f>
      </c>
      <c r="DN245">
        <f>IF(ISBLANK('Data Entry'!$¶$245), "", 'Data Entry'!$¶$245)</f>
      </c>
      <c r="DO245">
        <f>IF(ISBLANK('Data Entry'!$·$245), "", 'Data Entry'!$·$245)</f>
      </c>
      <c r="DP245">
        <f>IF(ISBLANK('Data Entry'!$¸$245), "", 'Data Entry'!$¸$245)</f>
      </c>
      <c r="DQ245">
        <f>IF(ISBLANK('Data Entry'!$¹$245), "", 'Data Entry'!$¹$245)</f>
      </c>
      <c r="DR245">
        <f>IF(ISBLANK('Data Entry'!$º$245), "", 'Data Entry'!$º$245)</f>
      </c>
      <c r="DS245">
        <f>IF(ISBLANK('Data Entry'!$»$245), "", 'Data Entry'!$»$245)</f>
      </c>
      <c r="DT245">
        <f>IF(ISBLANK('Data Entry'!$¼$245), "", 'Data Entry'!$¼$245)</f>
      </c>
      <c r="DU245">
        <f>IF(ISBLANK('Data Entry'!$½$245), "", 'Data Entry'!$½$245)</f>
      </c>
      <c r="DV245">
        <f>IF(ISBLANK('Data Entry'!$¾$245), "", 'Data Entry'!$¾$245)</f>
      </c>
      <c r="DW245">
        <f>IF(ISBLANK('Data Entry'!$¿$245), "", 'Data Entry'!$¿$245)</f>
      </c>
      <c r="DX245">
        <f>IF(ISBLANK('Data Entry'!$À$245), "", 'Data Entry'!$À$245)</f>
      </c>
      <c r="DY245">
        <f>IF(ISBLANK('Data Entry'!$Á$245), "", 'Data Entry'!$Á$245)</f>
      </c>
      <c r="DZ245">
        <f>IF(ISBLANK('Data Entry'!$Â$245), "", 'Data Entry'!$Â$245)</f>
      </c>
      <c r="EA245">
        <f>IF(ISBLANK('Data Entry'!$Ã$245), "", 'Data Entry'!$Ã$245)</f>
      </c>
      <c r="EB245">
        <f>IF(ISBLANK('Data Entry'!$Ä$245), "", 'Data Entry'!$Ä$245)</f>
      </c>
      <c r="EC245">
        <f>IF(ISBLANK('Data Entry'!$Å$245), "", 'Data Entry'!$Å$245)</f>
      </c>
      <c r="ED245">
        <f>IF(ISBLANK('Data Entry'!$Æ$245), "", 'Data Entry'!$Æ$245)</f>
      </c>
      <c r="EE245">
        <f>IF(ISBLANK('Data Entry'!$Ç$245), "", 'Data Entry'!$Ç$245)</f>
      </c>
      <c r="EF245">
        <f>IF(ISBLANK('Data Entry'!$È$245), "", 'Data Entry'!$È$245)</f>
      </c>
      <c r="EG245">
        <f>IF(ISBLANK('Data Entry'!$É$245), "", 'Data Entry'!$É$245)</f>
      </c>
      <c r="EH245">
        <f>IF(ISBLANK('Data Entry'!$Ê$245), "", 'Data Entry'!$Ê$245)</f>
      </c>
      <c r="EI245">
        <f>IF(ISBLANK('Data Entry'!$Ë$245), "", 'Data Entry'!$Ë$245)</f>
      </c>
      <c r="EJ245">
        <f>IF(ISBLANK('Data Entry'!$Ì$245), "", 'Data Entry'!$Ì$245)</f>
      </c>
      <c r="EK245">
        <f>IF(ISBLANK('Data Entry'!$Í$245), "", 'Data Entry'!$Í$245)</f>
      </c>
      <c r="EL245">
        <f>IF(ISBLANK('Data Entry'!$Î$245), "", 'Data Entry'!$Î$245)</f>
      </c>
      <c r="EM245">
        <f>IF(ISBLANK('Data Entry'!$Ï$245), "", 'Data Entry'!$Ï$245)</f>
      </c>
      <c r="EN245">
        <f>IF(ISBLANK('Data Entry'!$Ð$245), "", 'Data Entry'!$Ð$245)</f>
      </c>
      <c r="EO245">
        <f>IF(ISBLANK('Data Entry'!$Ñ$245), "", 'Data Entry'!$Ñ$245)</f>
      </c>
      <c r="EP245">
        <f>IF(ISBLANK('Data Entry'!$Ò$245), "", 'Data Entry'!$Ò$245)</f>
      </c>
      <c r="EQ245">
        <f>IF(ISBLANK('Data Entry'!$Ó$245), "", 'Data Entry'!$Ó$245)</f>
      </c>
      <c r="ER245">
        <f>IF(ISBLANK('Data Entry'!$Ô$245), "", 'Data Entry'!$Ô$245)</f>
      </c>
      <c r="ES245">
        <f>IF(ISBLANK('Data Entry'!$Õ$245), "", 'Data Entry'!$Õ$245)</f>
      </c>
      <c r="ET245">
        <f>IF(ISBLANK('Data Entry'!$Ö$245), "", 'Data Entry'!$Ö$245)</f>
      </c>
      <c r="EU245">
        <f>IF(ISBLANK('Data Entry'!$×$245), "", 'Data Entry'!$×$245)</f>
      </c>
      <c r="EV245">
        <f>IF(ISBLANK('Data Entry'!$Ø$245), "", 'Data Entry'!$Ø$245)</f>
      </c>
      <c r="EW245">
        <f>IF(ISBLANK('Data Entry'!$Ù$245), "", 'Data Entry'!$Ù$245)</f>
      </c>
      <c r="EX245">
        <f>IF(ISBLANK('Data Entry'!$Ú$245), "", 'Data Entry'!$Ú$245)</f>
      </c>
      <c r="EY245">
        <f>IF(ISBLANK('Data Entry'!$Û$245), "", 'Data Entry'!$Û$245)</f>
      </c>
      <c r="EZ245">
        <f>IF(ISBLANK('Data Entry'!$Ü$245), "", 'Data Entry'!$Ü$245)</f>
      </c>
      <c r="FA245">
        <f>IF(ISBLANK('Data Entry'!$Ý$245), "", 'Data Entry'!$Ý$245)</f>
      </c>
      <c r="FB245">
        <f>IF(ISBLANK('Data Entry'!$Þ$245), "", 'Data Entry'!$Þ$245)</f>
      </c>
      <c r="FC245">
        <f>IF(ISBLANK('Data Entry'!$ß$245), "", 'Data Entry'!$ß$245)</f>
      </c>
      <c r="FD245">
        <f>IF(ISBLANK('Data Entry'!$à$245), "", 'Data Entry'!$à$245)</f>
      </c>
      <c r="FE245">
        <f>IF(ISBLANK('Data Entry'!$á$245), "", 'Data Entry'!$á$245)</f>
      </c>
      <c r="FF245">
        <f>IF(ISBLANK('Data Entry'!$â$245), "", 'Data Entry'!$â$245)</f>
      </c>
      <c r="FG245">
        <f>IF(ISBLANK('Data Entry'!$ã$245), "", 'Data Entry'!$ã$245)</f>
      </c>
      <c r="FH245">
        <f>IF(ISBLANK('Data Entry'!$ä$245), "", 'Data Entry'!$ä$245)</f>
      </c>
      <c r="FI245">
        <f>IF(ISBLANK('Data Entry'!$å$245), "", 'Data Entry'!$å$245)</f>
      </c>
      <c r="FJ245">
        <f>IF(ISBLANK('Data Entry'!$æ$245), "", 'Data Entry'!$æ$245)</f>
      </c>
      <c r="FK245">
        <f>IF(ISBLANK('Data Entry'!$ç$245), "", 'Data Entry'!$ç$245)</f>
      </c>
      <c r="FL245">
        <f>IF(ISBLANK('Data Entry'!$è$245), "", 'Data Entry'!$è$245)</f>
      </c>
      <c r="FM245">
        <f>IF(ISBLANK('Data Entry'!$é$245), "", 'Data Entry'!$é$245)</f>
      </c>
      <c r="FN245">
        <f>IF(ISBLANK('Data Entry'!$ê$245), "", 'Data Entry'!$ê$245)</f>
      </c>
      <c r="FO245">
        <f>IF(ISBLANK('Data Entry'!$ë$245), "", 'Data Entry'!$ë$245)</f>
      </c>
      <c r="FP245">
        <f>IF(ISBLANK('Data Entry'!$ì$245), "", 'Data Entry'!$ì$245)</f>
      </c>
      <c r="FQ245">
        <f>IF(ISBLANK('Data Entry'!$í$245), "", 'Data Entry'!$í$245)</f>
      </c>
      <c r="FR245">
        <f>IF(ISBLANK('Data Entry'!$î$245), "", 'Data Entry'!$î$245)</f>
      </c>
      <c r="FS245">
        <f>IF(ISBLANK('Data Entry'!$ï$245), "", 'Data Entry'!$ï$245)</f>
      </c>
      <c r="FT245">
        <f>IF(ISBLANK('Data Entry'!$ð$245), "", 'Data Entry'!$ð$245)</f>
      </c>
      <c r="FU245">
        <f>IF(ISBLANK('Data Entry'!$ñ$245), "", 'Data Entry'!$ñ$245)</f>
      </c>
      <c r="FV245">
        <f>IF(ISBLANK('Data Entry'!$ò$245), "", 'Data Entry'!$ò$245)</f>
      </c>
      <c r="FW245">
        <f>IF(ISBLANK('Data Entry'!$ó$245), "", 'Data Entry'!$ó$245)</f>
      </c>
      <c r="FX245">
        <f>IF(ISBLANK('Data Entry'!$ô$245), "", 'Data Entry'!$ô$245)</f>
      </c>
      <c r="FY245">
        <f>IF(ISBLANK('Data Entry'!$õ$245), "", 'Data Entry'!$õ$245)</f>
      </c>
      <c r="FZ245">
        <f>IF(ISBLANK('Data Entry'!$ö$245), "", 'Data Entry'!$ö$245)</f>
      </c>
      <c r="GA245">
        <f>IF(ISBLANK('Data Entry'!$÷$245), "", 'Data Entry'!$÷$245)</f>
      </c>
      <c r="GB245">
        <f>IF(ISBLANK('Data Entry'!$ø$245), "", 'Data Entry'!$ø$245)</f>
      </c>
      <c r="GC245">
        <f>IF(ISBLANK('Data Entry'!$ù$245), "", 'Data Entry'!$ù$245)</f>
      </c>
      <c r="GD245">
        <f>IF(ISBLANK('Data Entry'!$ú$245), "", 'Data Entry'!$ú$245)</f>
      </c>
      <c r="GE245">
        <f>IF(ISBLANK('Data Entry'!$û$245), "", 'Data Entry'!$û$245)</f>
      </c>
      <c r="GF245">
        <f>IF(ISBLANK('Data Entry'!$ü$245), "", 'Data Entry'!$ü$245)</f>
      </c>
      <c r="GG245">
        <f>IF(ISBLANK('Data Entry'!$ý$245), "", 'Data Entry'!$ý$245)</f>
      </c>
      <c r="GH245">
        <f>IF(ISBLANK('Data Entry'!$þ$245), "", 'Data Entry'!$þ$245)</f>
      </c>
      <c r="GI245">
        <f>IF(ISBLANK('Data Entry'!$ÿ$245), "", 'Data Entry'!$ÿ$245)</f>
      </c>
      <c r="GJ245">
        <f>IF(ISBLANK('Data Entry'!$Ā$245), "", 'Data Entry'!$Ā$245)</f>
      </c>
      <c r="GK245">
        <f>IF(ISBLANK('Data Entry'!$ā$245), "", 'Data Entry'!$ā$245)</f>
      </c>
      <c r="GL245">
        <f>IF(ISBLANK('Data Entry'!$Ă$245), "", 'Data Entry'!$Ă$245)</f>
      </c>
      <c r="GM245">
        <f>IF(ISBLANK('Data Entry'!$ă$245), "", 'Data Entry'!$ă$245)</f>
      </c>
      <c r="GN245">
        <f>IF(ISBLANK('Data Entry'!$Ą$245), "", 'Data Entry'!$Ą$245)</f>
      </c>
      <c r="GO245">
        <f>IF(ISBLANK('Data Entry'!$ą$245), "", 'Data Entry'!$ą$245)</f>
      </c>
      <c r="GP245">
        <f>IF(ISBLANK('Data Entry'!$Ć$245), "", 'Data Entry'!$Ć$245)</f>
      </c>
      <c r="GQ245">
        <f>IF(ISBLANK('Data Entry'!$ć$245), "", 'Data Entry'!$ć$245)</f>
      </c>
      <c r="GR245">
        <f>IF(ISBLANK('Data Entry'!$Ĉ$245), "", 'Data Entry'!$Ĉ$245)</f>
      </c>
      <c r="GS245">
        <f>IF(ISBLANK('Data Entry'!$ĉ$245), "", 'Data Entry'!$ĉ$245)</f>
      </c>
      <c r="GT245">
        <f>IF(ISBLANK('Data Entry'!$Ċ$245), "", 'Data Entry'!$Ċ$245)</f>
      </c>
      <c r="GU245">
        <f>IF(ISBLANK('Data Entry'!$ċ$245), "", 'Data Entry'!$ċ$245)</f>
      </c>
      <c r="GV245">
        <f>IF(ISBLANK('Data Entry'!$Č$245), "", 'Data Entry'!$Č$245)</f>
      </c>
      <c r="GW245">
        <f>IF(ISBLANK('Data Entry'!$č$245), "", 'Data Entry'!$č$245)</f>
      </c>
      <c r="GX245">
        <f>IF(ISBLANK('Data Entry'!$Ď$245), "", 'Data Entry'!$Ď$245)</f>
      </c>
      <c r="GY245">
        <f>IF(ISBLANK('Data Entry'!$ď$245), "", 'Data Entry'!$ď$245)</f>
      </c>
      <c r="GZ245">
        <f>IF(ISBLANK('Data Entry'!$Đ$245), "", 'Data Entry'!$Đ$245)</f>
      </c>
      <c r="HA245">
        <f>IF(ISBLANK('Data Entry'!$đ$245), "", 'Data Entry'!$đ$245)</f>
      </c>
      <c r="HB245">
        <f>IF(ISBLANK('Data Entry'!$Ē$245), "", 'Data Entry'!$Ē$245)</f>
      </c>
      <c r="HC245">
        <f>IF(ISBLANK('Data Entry'!$ē$245), "", 'Data Entry'!$ē$245)</f>
      </c>
      <c r="HD245">
        <f>IF(ISBLANK('Data Entry'!$Ĕ$245), "", 'Data Entry'!$Ĕ$245)</f>
      </c>
      <c r="HE245">
        <f>IF(ISBLANK('Data Entry'!$ĕ$245), "", 'Data Entry'!$ĕ$245)</f>
      </c>
      <c r="HF245">
        <f>IF(ISBLANK('Data Entry'!$Ė$245), "", 'Data Entry'!$Ė$245)</f>
      </c>
      <c r="HG245">
        <f>IF(ISBLANK('Data Entry'!$ė$245), "", 'Data Entry'!$ė$245)</f>
      </c>
      <c r="HH245">
        <f>IF(ISBLANK('Data Entry'!$Ę$245), "", 'Data Entry'!$Ę$245)</f>
      </c>
      <c r="HI245">
        <f>IF(ISBLANK('Data Entry'!$ę$245), "", 'Data Entry'!$ę$245)</f>
      </c>
      <c r="HJ245">
        <f>IF(ISBLANK('Data Entry'!$Ě$245), "", 'Data Entry'!$Ě$245)</f>
      </c>
      <c r="HK245">
        <f>IF(ISBLANK('Data Entry'!$ě$245), "", 'Data Entry'!$ě$245)</f>
      </c>
      <c r="HL245">
        <f>IF(ISBLANK('Data Entry'!$Ĝ$245), "", 'Data Entry'!$Ĝ$245)</f>
      </c>
      <c r="HM245">
        <f>IF(ISBLANK('Data Entry'!$ĝ$245), "", 'Data Entry'!$ĝ$245)</f>
      </c>
      <c r="HN245">
        <f>IF(ISBLANK('Data Entry'!$Ğ$245), "", 'Data Entry'!$Ğ$245)</f>
      </c>
      <c r="HO245">
        <f>IF(ISBLANK('Data Entry'!$ğ$245), "", 'Data Entry'!$ğ$245)</f>
      </c>
      <c r="HP245">
        <f>IF(ISBLANK('Data Entry'!$Ġ$245), "", 'Data Entry'!$Ġ$245)</f>
      </c>
      <c r="HQ245">
        <f>IF(ISBLANK('Data Entry'!$ġ$245), "", 'Data Entry'!$ġ$245)</f>
      </c>
      <c r="HR245">
        <f>IF(ISBLANK('Data Entry'!$Ģ$245), "", 'Data Entry'!$Ģ$245)</f>
      </c>
      <c r="HS245">
        <f>IF(ISBLANK('Data Entry'!$ģ$245), "", 'Data Entry'!$ģ$245)</f>
      </c>
      <c r="HT245">
        <f>IF(ISBLANK('Data Entry'!$Ĥ$245), "", 'Data Entry'!$Ĥ$245)</f>
      </c>
      <c r="HU245">
        <f>IF(ISBLANK('Data Entry'!$ĥ$245), "", 'Data Entry'!$ĥ$245)</f>
      </c>
      <c r="HV245">
        <f>IF(ISBLANK('Data Entry'!$Ħ$245), "", 'Data Entry'!$Ħ$245)</f>
      </c>
      <c r="HW245">
        <f>IF(ISBLANK('Data Entry'!$ħ$245), "", 'Data Entry'!$ħ$245)</f>
      </c>
      <c r="HX245">
        <f>IF(ISBLANK('Data Entry'!$Ĩ$245), "", 'Data Entry'!$Ĩ$245)</f>
      </c>
      <c r="HY245">
        <f>IF(ISBLANK('Data Entry'!$ĩ$245), "", 'Data Entry'!$ĩ$245)</f>
      </c>
      <c r="HZ245">
        <f>IF(ISBLANK('Data Entry'!$Ī$245), "", 'Data Entry'!$Ī$245)</f>
      </c>
      <c r="IA245">
        <f>IF(ISBLANK('Data Entry'!$ī$245), "", 'Data Entry'!$ī$245)</f>
      </c>
      <c r="IB245">
        <f>IF(ISBLANK('Data Entry'!$Ĭ$245), "", 'Data Entry'!$Ĭ$245)</f>
      </c>
      <c r="IC245">
        <f>IF(ISBLANK('Data Entry'!$ĭ$245), "", 'Data Entry'!$ĭ$245)</f>
      </c>
      <c r="ID245">
        <f>IF(ISBLANK('Data Entry'!$Į$245), "", 'Data Entry'!$Į$245)</f>
      </c>
      <c r="IE245">
        <f>IF(ISBLANK('Data Entry'!$į$245), "", 'Data Entry'!$į$245)</f>
      </c>
      <c r="IF245">
        <f>IF(ISBLANK('Data Entry'!$İ$245), "", 'Data Entry'!$İ$245)</f>
      </c>
      <c r="IG245">
        <f>IF(ISBLANK('Data Entry'!$ı$245), "", 'Data Entry'!$ı$245)</f>
      </c>
      <c r="IH245">
        <f>IF(ISBLANK('Data Entry'!$Ĳ$245), "", 'Data Entry'!$Ĳ$245)</f>
      </c>
      <c r="II245">
        <f>IF(ISBLANK('Data Entry'!$ĳ$245), "", 'Data Entry'!$ĳ$245)</f>
      </c>
      <c r="IJ245">
        <f>IF(ISBLANK('Data Entry'!$Ĵ$245), "", 'Data Entry'!$Ĵ$245)</f>
      </c>
      <c r="IK245">
        <f>IF(ISBLANK('Data Entry'!$ĵ$245), "", 'Data Entry'!$ĵ$245)</f>
      </c>
      <c r="IL245">
        <f>IF(ISBLANK('Data Entry'!$Ķ$245), "", 'Data Entry'!$Ķ$245)</f>
      </c>
      <c r="IM245">
        <f>IF(ISBLANK('Data Entry'!$ķ$245), "", 'Data Entry'!$ķ$245)</f>
      </c>
      <c r="IN245">
        <f>IF(ISBLANK('Data Entry'!$ĸ$245), "", 'Data Entry'!$ĸ$245)</f>
      </c>
      <c r="IO245">
        <f>IF(ISBLANK('Data Entry'!$Ĺ$245), "", 'Data Entry'!$Ĺ$245)</f>
      </c>
      <c r="IP245">
        <f>IF(ISBLANK('Data Entry'!$ĺ$245), "", 'Data Entry'!$ĺ$245)</f>
      </c>
      <c r="IQ245">
        <f>IF(ISBLANK('Data Entry'!$Ļ$245), "", 'Data Entry'!$Ļ$245)</f>
      </c>
      <c r="IR245">
        <f>IF(ISBLANK('Data Entry'!$ļ$245), "", 'Data Entry'!$ļ$245)</f>
      </c>
      <c r="IS245">
        <f>IF(ISBLANK('Data Entry'!$Ľ$245), "", 'Data Entry'!$Ľ$245)</f>
      </c>
      <c r="IT245">
        <f>IF(ISBLANK('Data Entry'!$ľ$245), "", 'Data Entry'!$ľ$245)</f>
      </c>
    </row>
    <row r="246" spans="1:254" x14ac:dyDescent="0.25">
      <c r="A246">
        <f>IF(ISBLANK('Data Entry'!$A$246), "", 'Data Entry'!$A$246)</f>
      </c>
      <c r="B246">
        <f>IF(ISBLANK('Data Entry'!$B$246), "", 'Data Entry'!$B$246)</f>
      </c>
      <c r="C246">
        <f>IF(ISBLANK('Data Entry'!$C$246), "", 'Data Entry'!$C$246)</f>
      </c>
      <c r="D246">
        <f>IF(ISBLANK('Data Entry'!$D$246), "", 'Data Entry'!$D$246)</f>
      </c>
      <c r="E246">
        <f>IF(ISBLANK('Data Entry'!$E$246), "", 'Data Entry'!$E$246)</f>
      </c>
      <c r="F246">
        <f>IF(ISBLANK('Data Entry'!$F$246), "", 'Data Entry'!$F$246)</f>
      </c>
      <c r="G246">
        <f>IF(ISBLANK('Data Entry'!$G$246), "", 'Data Entry'!$G$246)</f>
      </c>
      <c r="H246">
        <f>IF(ISBLANK('Data Entry'!$H$246), "", 'Data Entry'!$H$246)</f>
      </c>
      <c r="I246">
        <f>IF(ISBLANK('Data Entry'!$I$246), "", 'Data Entry'!$I$246)</f>
      </c>
      <c r="J246">
        <f>IF(ISBLANK('Data Entry'!$J$246), "", 'Data Entry'!$J$246)</f>
      </c>
      <c r="K246">
        <f>IF(ISBLANK('Data Entry'!$K$246), "", 'Data Entry'!$K$246)</f>
      </c>
      <c r="L246">
        <f>IF(ISBLANK('Data Entry'!$L$246), "", 'Data Entry'!$L$246)</f>
      </c>
      <c r="M246">
        <f>IF(ISBLANK('Data Entry'!$M$246), "", 'Data Entry'!$M$246)</f>
      </c>
      <c r="N246">
        <f>IF(ISBLANK('Data Entry'!$N$246), "", 'Data Entry'!$N$246)</f>
      </c>
      <c r="O246">
        <f>IF(ISBLANK('Data Entry'!$O$246), "", 'Data Entry'!$O$246)</f>
      </c>
      <c r="P246">
        <f>IF(ISBLANK('Data Entry'!$P$246), "", 'Data Entry'!$P$246)</f>
      </c>
      <c r="Q246">
        <f>IF(ISBLANK('Data Entry'!$Q$246), "", 'Data Entry'!$Q$246)</f>
      </c>
      <c r="R246">
        <f>IF(ISBLANK('Data Entry'!$R$246), "", 'Data Entry'!$R$246)</f>
      </c>
      <c r="S246">
        <f>IF(ISBLANK('Data Entry'!$S$246), "", 'Data Entry'!$S$246)</f>
      </c>
      <c r="T246">
        <f>IF(ISBLANK('Data Entry'!$T$246), "", 'Data Entry'!$T$246)</f>
      </c>
      <c r="U246">
        <f>IF(ISBLANK('Data Entry'!$U$246), "", 'Data Entry'!$U$246)</f>
      </c>
      <c r="V246">
        <f>IF(ISBLANK('Data Entry'!$V$246), "", 'Data Entry'!$V$246)</f>
      </c>
      <c r="W246">
        <f>IF(ISBLANK('Data Entry'!$W$246), "", 'Data Entry'!$W$246)</f>
      </c>
      <c r="X246">
        <f>IF(ISBLANK('Data Entry'!$X$246), "", 'Data Entry'!$X$246)</f>
      </c>
      <c r="Y246">
        <f>IF(ISBLANK('Data Entry'!$Y$246), "", 'Data Entry'!$Y$246)</f>
      </c>
      <c r="Z246">
        <f>IF(ISBLANK('Data Entry'!$Z$246), "", 'Data Entry'!$Z$246)</f>
      </c>
      <c r="AA246">
        <f>IF(ISBLANK('Data Entry'!$[$246), "", 'Data Entry'!$[$246)</f>
      </c>
      <c r="AB246">
        <f>IF(ISBLANK('Data Entry'!$\$246), "", 'Data Entry'!$\$246)</f>
      </c>
      <c r="AC246">
        <f>IF(ISBLANK('Data Entry'!$]$246), "", 'Data Entry'!$]$246)</f>
      </c>
      <c r="AD246">
        <f>IF(ISBLANK('Data Entry'!$^$246), "", 'Data Entry'!$^$246)</f>
      </c>
      <c r="AE246">
        <f>IF(ISBLANK('Data Entry'!$_$246), "", 'Data Entry'!$_$246)</f>
      </c>
      <c r="AF246">
        <f>IF(ISBLANK('Data Entry'!$`$246), "", 'Data Entry'!$`$246)</f>
      </c>
      <c r="AG246">
        <f>IF(ISBLANK('Data Entry'!$a$246), "", 'Data Entry'!$a$246)</f>
      </c>
      <c r="AH246">
        <f>IF(ISBLANK('Data Entry'!$b$246), "", 'Data Entry'!$b$246)</f>
      </c>
      <c r="AI246">
        <f>IF(ISBLANK('Data Entry'!$c$246), "", 'Data Entry'!$c$246)</f>
      </c>
      <c r="AJ246">
        <f>IF(ISBLANK('Data Entry'!$d$246), "", 'Data Entry'!$d$246)</f>
      </c>
      <c r="AK246">
        <f>IF(ISBLANK('Data Entry'!$e$246), "", 'Data Entry'!$e$246)</f>
      </c>
      <c r="AL246">
        <f>IF(ISBLANK('Data Entry'!$f$246), "", 'Data Entry'!$f$246)</f>
      </c>
      <c r="AM246">
        <f>IF(ISBLANK('Data Entry'!$g$246), "", 'Data Entry'!$g$246)</f>
      </c>
      <c r="AN246">
        <f>IF(ISBLANK('Data Entry'!$h$246), "", 'Data Entry'!$h$246)</f>
      </c>
      <c r="AO246">
        <f>IF(ISBLANK('Data Entry'!$i$246), "", 'Data Entry'!$i$246)</f>
      </c>
      <c r="AP246">
        <f>IF(ISBLANK('Data Entry'!$j$246), "", 'Data Entry'!$j$246)</f>
      </c>
      <c r="AQ246">
        <f>IF(ISBLANK('Data Entry'!$k$246), "", 'Data Entry'!$k$246)</f>
      </c>
      <c r="AR246">
        <f>IF(ISBLANK('Data Entry'!$l$246), "", 'Data Entry'!$l$246)</f>
      </c>
      <c r="AS246">
        <f>IF(ISBLANK('Data Entry'!$m$246), "", 'Data Entry'!$m$246)</f>
      </c>
      <c r="AT246">
        <f>IF(ISBLANK('Data Entry'!$n$246), "", 'Data Entry'!$n$246)</f>
      </c>
      <c r="AU246">
        <f>IF(ISBLANK('Data Entry'!$o$246), "", 'Data Entry'!$o$246)</f>
      </c>
      <c r="AV246">
        <f>IF(ISBLANK('Data Entry'!$p$246), "", 'Data Entry'!$p$246)</f>
      </c>
      <c r="AW246">
        <f>IF(ISBLANK('Data Entry'!$q$246), "", 'Data Entry'!$q$246)</f>
      </c>
      <c r="AX246">
        <f>IF(ISBLANK('Data Entry'!$r$246), "", 'Data Entry'!$r$246)</f>
      </c>
      <c r="AY246">
        <f>IF(ISBLANK('Data Entry'!$s$246), "", 'Data Entry'!$s$246)</f>
      </c>
      <c r="AZ246">
        <f>IF(ISBLANK('Data Entry'!$t$246), "", 'Data Entry'!$t$246)</f>
      </c>
      <c r="BA246">
        <f>IF(ISBLANK('Data Entry'!$u$246), "", 'Data Entry'!$u$246)</f>
      </c>
      <c r="BB246">
        <f>IF(ISBLANK('Data Entry'!$v$246), "", 'Data Entry'!$v$246)</f>
      </c>
      <c r="BC246">
        <f>IF(ISBLANK('Data Entry'!$w$246), "", 'Data Entry'!$w$246)</f>
      </c>
      <c r="BD246">
        <f>IF(ISBLANK('Data Entry'!$x$246), "", 'Data Entry'!$x$246)</f>
      </c>
      <c r="BE246">
        <f>IF(ISBLANK('Data Entry'!$y$246), "", 'Data Entry'!$y$246)</f>
      </c>
      <c r="BF246">
        <f>IF(ISBLANK('Data Entry'!$z$246), "", 'Data Entry'!$z$246)</f>
      </c>
      <c r="BG246">
        <f>IF(ISBLANK('Data Entry'!${$246), "", 'Data Entry'!${$246)</f>
      </c>
      <c r="BH246">
        <f>IF(ISBLANK('Data Entry'!$|$246), "", 'Data Entry'!$|$246)</f>
      </c>
      <c r="BI246">
        <f>IF(ISBLANK('Data Entry'!$}$246), "", 'Data Entry'!$}$246)</f>
      </c>
      <c r="BJ246">
        <f>IF(ISBLANK('Data Entry'!$~$246), "", 'Data Entry'!$~$246)</f>
      </c>
      <c r="BK246">
        <f>IF(ISBLANK('Data Entry'!$$246), "", 'Data Entry'!$$246)</f>
      </c>
      <c r="BL246">
        <f>IF(ISBLANK('Data Entry'!$$246), "", 'Data Entry'!$$246)</f>
      </c>
      <c r="BM246">
        <f>IF(ISBLANK('Data Entry'!$$246), "", 'Data Entry'!$$246)</f>
      </c>
      <c r="BN246">
        <f>IF(ISBLANK('Data Entry'!$$246), "", 'Data Entry'!$$246)</f>
      </c>
      <c r="BO246">
        <f>IF(ISBLANK('Data Entry'!$$246), "", 'Data Entry'!$$246)</f>
      </c>
      <c r="BP246">
        <f>IF(ISBLANK('Data Entry'!$$246), "", 'Data Entry'!$$246)</f>
      </c>
      <c r="BQ246">
        <f>IF(ISBLANK('Data Entry'!$$246), "", 'Data Entry'!$$246)</f>
      </c>
      <c r="BR246">
        <f>IF(ISBLANK('Data Entry'!$$246), "", 'Data Entry'!$$246)</f>
      </c>
      <c r="BS246">
        <f>IF(ISBLANK('Data Entry'!$$246), "", 'Data Entry'!$$246)</f>
      </c>
      <c r="BT246">
        <f>IF(ISBLANK('Data Entry'!$$246), "", 'Data Entry'!$$246)</f>
      </c>
      <c r="BU246">
        <f>IF(ISBLANK('Data Entry'!$$246), "", 'Data Entry'!$$246)</f>
      </c>
      <c r="BV246">
        <f>IF(ISBLANK('Data Entry'!$$246), "", 'Data Entry'!$$246)</f>
      </c>
      <c r="BW246">
        <f>IF(ISBLANK('Data Entry'!$$246), "", 'Data Entry'!$$246)</f>
      </c>
      <c r="BX246">
        <f>IF(ISBLANK('Data Entry'!$$246), "", 'Data Entry'!$$246)</f>
      </c>
      <c r="BY246">
        <f>IF(ISBLANK('Data Entry'!$$246), "", 'Data Entry'!$$246)</f>
      </c>
      <c r="BZ246">
        <f>IF(ISBLANK('Data Entry'!$$246), "", 'Data Entry'!$$246)</f>
      </c>
      <c r="CA246">
        <f>IF(ISBLANK('Data Entry'!$$246), "", 'Data Entry'!$$246)</f>
      </c>
      <c r="CB246">
        <f>IF(ISBLANK('Data Entry'!$$246), "", 'Data Entry'!$$246)</f>
      </c>
      <c r="CC246">
        <f>IF(ISBLANK('Data Entry'!$$246), "", 'Data Entry'!$$246)</f>
      </c>
      <c r="CD246">
        <f>IF(ISBLANK('Data Entry'!$$246), "", 'Data Entry'!$$246)</f>
      </c>
      <c r="CE246">
        <f>IF(ISBLANK('Data Entry'!$$246), "", 'Data Entry'!$$246)</f>
      </c>
      <c r="CF246">
        <f>IF(ISBLANK('Data Entry'!$$246), "", 'Data Entry'!$$246)</f>
      </c>
      <c r="CG246">
        <f>IF(ISBLANK('Data Entry'!$$246), "", 'Data Entry'!$$246)</f>
      </c>
      <c r="CH246">
        <f>IF(ISBLANK('Data Entry'!$$246), "", 'Data Entry'!$$246)</f>
      </c>
      <c r="CI246">
        <f>IF(ISBLANK('Data Entry'!$$246), "", 'Data Entry'!$$246)</f>
      </c>
      <c r="CJ246">
        <f>IF(ISBLANK('Data Entry'!$$246), "", 'Data Entry'!$$246)</f>
      </c>
      <c r="CK246">
        <f>IF(ISBLANK('Data Entry'!$$246), "", 'Data Entry'!$$246)</f>
      </c>
      <c r="CL246">
        <f>IF(ISBLANK('Data Entry'!$$246), "", 'Data Entry'!$$246)</f>
      </c>
      <c r="CM246">
        <f>IF(ISBLANK('Data Entry'!$$246), "", 'Data Entry'!$$246)</f>
      </c>
      <c r="CN246">
        <f>IF(ISBLANK('Data Entry'!$$246), "", 'Data Entry'!$$246)</f>
      </c>
      <c r="CO246">
        <f>IF(ISBLANK('Data Entry'!$$246), "", 'Data Entry'!$$246)</f>
      </c>
      <c r="CP246">
        <f>IF(ISBLANK('Data Entry'!$$246), "", 'Data Entry'!$$246)</f>
      </c>
      <c r="CQ246">
        <f>IF(ISBLANK('Data Entry'!$$246), "", 'Data Entry'!$$246)</f>
      </c>
      <c r="CR246">
        <f>IF(ISBLANK('Data Entry'!$ $246), "", 'Data Entry'!$ $246)</f>
      </c>
      <c r="CS246">
        <f>IF(ISBLANK('Data Entry'!$¡$246), "", 'Data Entry'!$¡$246)</f>
      </c>
      <c r="CT246">
        <f>IF(ISBLANK('Data Entry'!$¢$246), "", 'Data Entry'!$¢$246)</f>
      </c>
      <c r="CU246">
        <f>IF(ISBLANK('Data Entry'!$£$246), "", 'Data Entry'!$£$246)</f>
      </c>
      <c r="CV246">
        <f>IF(ISBLANK('Data Entry'!$¤$246), "", 'Data Entry'!$¤$246)</f>
      </c>
      <c r="CW246">
        <f>IF(ISBLANK('Data Entry'!$¥$246), "", 'Data Entry'!$¥$246)</f>
      </c>
      <c r="CX246">
        <f>IF(ISBLANK('Data Entry'!$¦$246), "", 'Data Entry'!$¦$246)</f>
      </c>
      <c r="CY246">
        <f>IF(ISBLANK('Data Entry'!$§$246), "", 'Data Entry'!$§$246)</f>
      </c>
      <c r="CZ246">
        <f>IF(ISBLANK('Data Entry'!$¨$246), "", 'Data Entry'!$¨$246)</f>
      </c>
      <c r="DA246">
        <f>IF(ISBLANK('Data Entry'!$©$246), "", 'Data Entry'!$©$246)</f>
      </c>
      <c r="DB246">
        <f>IF(ISBLANK('Data Entry'!$ª$246), "", 'Data Entry'!$ª$246)</f>
      </c>
      <c r="DC246">
        <f>IF(ISBLANK('Data Entry'!$«$246), "", 'Data Entry'!$«$246)</f>
      </c>
      <c r="DD246">
        <f>IF(ISBLANK('Data Entry'!$¬$246), "", 'Data Entry'!$¬$246)</f>
      </c>
      <c r="DE246">
        <f>IF(ISBLANK('Data Entry'!$­$246), "", 'Data Entry'!$­$246)</f>
      </c>
      <c r="DF246">
        <f>IF(ISBLANK('Data Entry'!$®$246), "", 'Data Entry'!$®$246)</f>
      </c>
      <c r="DG246">
        <f>IF(ISBLANK('Data Entry'!$¯$246), "", 'Data Entry'!$¯$246)</f>
      </c>
      <c r="DH246">
        <f>IF(ISBLANK('Data Entry'!$°$246), "", 'Data Entry'!$°$246)</f>
      </c>
      <c r="DI246">
        <f>IF(ISBLANK('Data Entry'!$±$246), "", 'Data Entry'!$±$246)</f>
      </c>
      <c r="DJ246">
        <f>IF(ISBLANK('Data Entry'!$²$246), "", 'Data Entry'!$²$246)</f>
      </c>
      <c r="DK246">
        <f>IF(ISBLANK('Data Entry'!$³$246), "", 'Data Entry'!$³$246)</f>
      </c>
      <c r="DL246">
        <f>IF(ISBLANK('Data Entry'!$´$246), "", 'Data Entry'!$´$246)</f>
      </c>
      <c r="DM246">
        <f>IF(ISBLANK('Data Entry'!$µ$246), "", 'Data Entry'!$µ$246)</f>
      </c>
      <c r="DN246">
        <f>IF(ISBLANK('Data Entry'!$¶$246), "", 'Data Entry'!$¶$246)</f>
      </c>
      <c r="DO246">
        <f>IF(ISBLANK('Data Entry'!$·$246), "", 'Data Entry'!$·$246)</f>
      </c>
      <c r="DP246">
        <f>IF(ISBLANK('Data Entry'!$¸$246), "", 'Data Entry'!$¸$246)</f>
      </c>
      <c r="DQ246">
        <f>IF(ISBLANK('Data Entry'!$¹$246), "", 'Data Entry'!$¹$246)</f>
      </c>
      <c r="DR246">
        <f>IF(ISBLANK('Data Entry'!$º$246), "", 'Data Entry'!$º$246)</f>
      </c>
      <c r="DS246">
        <f>IF(ISBLANK('Data Entry'!$»$246), "", 'Data Entry'!$»$246)</f>
      </c>
      <c r="DT246">
        <f>IF(ISBLANK('Data Entry'!$¼$246), "", 'Data Entry'!$¼$246)</f>
      </c>
      <c r="DU246">
        <f>IF(ISBLANK('Data Entry'!$½$246), "", 'Data Entry'!$½$246)</f>
      </c>
      <c r="DV246">
        <f>IF(ISBLANK('Data Entry'!$¾$246), "", 'Data Entry'!$¾$246)</f>
      </c>
      <c r="DW246">
        <f>IF(ISBLANK('Data Entry'!$¿$246), "", 'Data Entry'!$¿$246)</f>
      </c>
      <c r="DX246">
        <f>IF(ISBLANK('Data Entry'!$À$246), "", 'Data Entry'!$À$246)</f>
      </c>
      <c r="DY246">
        <f>IF(ISBLANK('Data Entry'!$Á$246), "", 'Data Entry'!$Á$246)</f>
      </c>
      <c r="DZ246">
        <f>IF(ISBLANK('Data Entry'!$Â$246), "", 'Data Entry'!$Â$246)</f>
      </c>
      <c r="EA246">
        <f>IF(ISBLANK('Data Entry'!$Ã$246), "", 'Data Entry'!$Ã$246)</f>
      </c>
      <c r="EB246">
        <f>IF(ISBLANK('Data Entry'!$Ä$246), "", 'Data Entry'!$Ä$246)</f>
      </c>
      <c r="EC246">
        <f>IF(ISBLANK('Data Entry'!$Å$246), "", 'Data Entry'!$Å$246)</f>
      </c>
      <c r="ED246">
        <f>IF(ISBLANK('Data Entry'!$Æ$246), "", 'Data Entry'!$Æ$246)</f>
      </c>
      <c r="EE246">
        <f>IF(ISBLANK('Data Entry'!$Ç$246), "", 'Data Entry'!$Ç$246)</f>
      </c>
      <c r="EF246">
        <f>IF(ISBLANK('Data Entry'!$È$246), "", 'Data Entry'!$È$246)</f>
      </c>
      <c r="EG246">
        <f>IF(ISBLANK('Data Entry'!$É$246), "", 'Data Entry'!$É$246)</f>
      </c>
      <c r="EH246">
        <f>IF(ISBLANK('Data Entry'!$Ê$246), "", 'Data Entry'!$Ê$246)</f>
      </c>
      <c r="EI246">
        <f>IF(ISBLANK('Data Entry'!$Ë$246), "", 'Data Entry'!$Ë$246)</f>
      </c>
      <c r="EJ246">
        <f>IF(ISBLANK('Data Entry'!$Ì$246), "", 'Data Entry'!$Ì$246)</f>
      </c>
      <c r="EK246">
        <f>IF(ISBLANK('Data Entry'!$Í$246), "", 'Data Entry'!$Í$246)</f>
      </c>
      <c r="EL246">
        <f>IF(ISBLANK('Data Entry'!$Î$246), "", 'Data Entry'!$Î$246)</f>
      </c>
      <c r="EM246">
        <f>IF(ISBLANK('Data Entry'!$Ï$246), "", 'Data Entry'!$Ï$246)</f>
      </c>
      <c r="EN246">
        <f>IF(ISBLANK('Data Entry'!$Ð$246), "", 'Data Entry'!$Ð$246)</f>
      </c>
      <c r="EO246">
        <f>IF(ISBLANK('Data Entry'!$Ñ$246), "", 'Data Entry'!$Ñ$246)</f>
      </c>
      <c r="EP246">
        <f>IF(ISBLANK('Data Entry'!$Ò$246), "", 'Data Entry'!$Ò$246)</f>
      </c>
      <c r="EQ246">
        <f>IF(ISBLANK('Data Entry'!$Ó$246), "", 'Data Entry'!$Ó$246)</f>
      </c>
      <c r="ER246">
        <f>IF(ISBLANK('Data Entry'!$Ô$246), "", 'Data Entry'!$Ô$246)</f>
      </c>
      <c r="ES246">
        <f>IF(ISBLANK('Data Entry'!$Õ$246), "", 'Data Entry'!$Õ$246)</f>
      </c>
      <c r="ET246">
        <f>IF(ISBLANK('Data Entry'!$Ö$246), "", 'Data Entry'!$Ö$246)</f>
      </c>
      <c r="EU246">
        <f>IF(ISBLANK('Data Entry'!$×$246), "", 'Data Entry'!$×$246)</f>
      </c>
      <c r="EV246">
        <f>IF(ISBLANK('Data Entry'!$Ø$246), "", 'Data Entry'!$Ø$246)</f>
      </c>
      <c r="EW246">
        <f>IF(ISBLANK('Data Entry'!$Ù$246), "", 'Data Entry'!$Ù$246)</f>
      </c>
      <c r="EX246">
        <f>IF(ISBLANK('Data Entry'!$Ú$246), "", 'Data Entry'!$Ú$246)</f>
      </c>
      <c r="EY246">
        <f>IF(ISBLANK('Data Entry'!$Û$246), "", 'Data Entry'!$Û$246)</f>
      </c>
      <c r="EZ246">
        <f>IF(ISBLANK('Data Entry'!$Ü$246), "", 'Data Entry'!$Ü$246)</f>
      </c>
      <c r="FA246">
        <f>IF(ISBLANK('Data Entry'!$Ý$246), "", 'Data Entry'!$Ý$246)</f>
      </c>
      <c r="FB246">
        <f>IF(ISBLANK('Data Entry'!$Þ$246), "", 'Data Entry'!$Þ$246)</f>
      </c>
      <c r="FC246">
        <f>IF(ISBLANK('Data Entry'!$ß$246), "", 'Data Entry'!$ß$246)</f>
      </c>
      <c r="FD246">
        <f>IF(ISBLANK('Data Entry'!$à$246), "", 'Data Entry'!$à$246)</f>
      </c>
      <c r="FE246">
        <f>IF(ISBLANK('Data Entry'!$á$246), "", 'Data Entry'!$á$246)</f>
      </c>
      <c r="FF246">
        <f>IF(ISBLANK('Data Entry'!$â$246), "", 'Data Entry'!$â$246)</f>
      </c>
      <c r="FG246">
        <f>IF(ISBLANK('Data Entry'!$ã$246), "", 'Data Entry'!$ã$246)</f>
      </c>
      <c r="FH246">
        <f>IF(ISBLANK('Data Entry'!$ä$246), "", 'Data Entry'!$ä$246)</f>
      </c>
      <c r="FI246">
        <f>IF(ISBLANK('Data Entry'!$å$246), "", 'Data Entry'!$å$246)</f>
      </c>
      <c r="FJ246">
        <f>IF(ISBLANK('Data Entry'!$æ$246), "", 'Data Entry'!$æ$246)</f>
      </c>
      <c r="FK246">
        <f>IF(ISBLANK('Data Entry'!$ç$246), "", 'Data Entry'!$ç$246)</f>
      </c>
      <c r="FL246">
        <f>IF(ISBLANK('Data Entry'!$è$246), "", 'Data Entry'!$è$246)</f>
      </c>
      <c r="FM246">
        <f>IF(ISBLANK('Data Entry'!$é$246), "", 'Data Entry'!$é$246)</f>
      </c>
      <c r="FN246">
        <f>IF(ISBLANK('Data Entry'!$ê$246), "", 'Data Entry'!$ê$246)</f>
      </c>
      <c r="FO246">
        <f>IF(ISBLANK('Data Entry'!$ë$246), "", 'Data Entry'!$ë$246)</f>
      </c>
      <c r="FP246">
        <f>IF(ISBLANK('Data Entry'!$ì$246), "", 'Data Entry'!$ì$246)</f>
      </c>
      <c r="FQ246">
        <f>IF(ISBLANK('Data Entry'!$í$246), "", 'Data Entry'!$í$246)</f>
      </c>
      <c r="FR246">
        <f>IF(ISBLANK('Data Entry'!$î$246), "", 'Data Entry'!$î$246)</f>
      </c>
      <c r="FS246">
        <f>IF(ISBLANK('Data Entry'!$ï$246), "", 'Data Entry'!$ï$246)</f>
      </c>
      <c r="FT246">
        <f>IF(ISBLANK('Data Entry'!$ð$246), "", 'Data Entry'!$ð$246)</f>
      </c>
      <c r="FU246">
        <f>IF(ISBLANK('Data Entry'!$ñ$246), "", 'Data Entry'!$ñ$246)</f>
      </c>
      <c r="FV246">
        <f>IF(ISBLANK('Data Entry'!$ò$246), "", 'Data Entry'!$ò$246)</f>
      </c>
      <c r="FW246">
        <f>IF(ISBLANK('Data Entry'!$ó$246), "", 'Data Entry'!$ó$246)</f>
      </c>
      <c r="FX246">
        <f>IF(ISBLANK('Data Entry'!$ô$246), "", 'Data Entry'!$ô$246)</f>
      </c>
      <c r="FY246">
        <f>IF(ISBLANK('Data Entry'!$õ$246), "", 'Data Entry'!$õ$246)</f>
      </c>
      <c r="FZ246">
        <f>IF(ISBLANK('Data Entry'!$ö$246), "", 'Data Entry'!$ö$246)</f>
      </c>
      <c r="GA246">
        <f>IF(ISBLANK('Data Entry'!$÷$246), "", 'Data Entry'!$÷$246)</f>
      </c>
      <c r="GB246">
        <f>IF(ISBLANK('Data Entry'!$ø$246), "", 'Data Entry'!$ø$246)</f>
      </c>
      <c r="GC246">
        <f>IF(ISBLANK('Data Entry'!$ù$246), "", 'Data Entry'!$ù$246)</f>
      </c>
      <c r="GD246">
        <f>IF(ISBLANK('Data Entry'!$ú$246), "", 'Data Entry'!$ú$246)</f>
      </c>
      <c r="GE246">
        <f>IF(ISBLANK('Data Entry'!$û$246), "", 'Data Entry'!$û$246)</f>
      </c>
      <c r="GF246">
        <f>IF(ISBLANK('Data Entry'!$ü$246), "", 'Data Entry'!$ü$246)</f>
      </c>
      <c r="GG246">
        <f>IF(ISBLANK('Data Entry'!$ý$246), "", 'Data Entry'!$ý$246)</f>
      </c>
      <c r="GH246">
        <f>IF(ISBLANK('Data Entry'!$þ$246), "", 'Data Entry'!$þ$246)</f>
      </c>
      <c r="GI246">
        <f>IF(ISBLANK('Data Entry'!$ÿ$246), "", 'Data Entry'!$ÿ$246)</f>
      </c>
      <c r="GJ246">
        <f>IF(ISBLANK('Data Entry'!$Ā$246), "", 'Data Entry'!$Ā$246)</f>
      </c>
      <c r="GK246">
        <f>IF(ISBLANK('Data Entry'!$ā$246), "", 'Data Entry'!$ā$246)</f>
      </c>
      <c r="GL246">
        <f>IF(ISBLANK('Data Entry'!$Ă$246), "", 'Data Entry'!$Ă$246)</f>
      </c>
      <c r="GM246">
        <f>IF(ISBLANK('Data Entry'!$ă$246), "", 'Data Entry'!$ă$246)</f>
      </c>
      <c r="GN246">
        <f>IF(ISBLANK('Data Entry'!$Ą$246), "", 'Data Entry'!$Ą$246)</f>
      </c>
      <c r="GO246">
        <f>IF(ISBLANK('Data Entry'!$ą$246), "", 'Data Entry'!$ą$246)</f>
      </c>
      <c r="GP246">
        <f>IF(ISBLANK('Data Entry'!$Ć$246), "", 'Data Entry'!$Ć$246)</f>
      </c>
      <c r="GQ246">
        <f>IF(ISBLANK('Data Entry'!$ć$246), "", 'Data Entry'!$ć$246)</f>
      </c>
      <c r="GR246">
        <f>IF(ISBLANK('Data Entry'!$Ĉ$246), "", 'Data Entry'!$Ĉ$246)</f>
      </c>
      <c r="GS246">
        <f>IF(ISBLANK('Data Entry'!$ĉ$246), "", 'Data Entry'!$ĉ$246)</f>
      </c>
      <c r="GT246">
        <f>IF(ISBLANK('Data Entry'!$Ċ$246), "", 'Data Entry'!$Ċ$246)</f>
      </c>
      <c r="GU246">
        <f>IF(ISBLANK('Data Entry'!$ċ$246), "", 'Data Entry'!$ċ$246)</f>
      </c>
      <c r="GV246">
        <f>IF(ISBLANK('Data Entry'!$Č$246), "", 'Data Entry'!$Č$246)</f>
      </c>
      <c r="GW246">
        <f>IF(ISBLANK('Data Entry'!$č$246), "", 'Data Entry'!$č$246)</f>
      </c>
      <c r="GX246">
        <f>IF(ISBLANK('Data Entry'!$Ď$246), "", 'Data Entry'!$Ď$246)</f>
      </c>
      <c r="GY246">
        <f>IF(ISBLANK('Data Entry'!$ď$246), "", 'Data Entry'!$ď$246)</f>
      </c>
      <c r="GZ246">
        <f>IF(ISBLANK('Data Entry'!$Đ$246), "", 'Data Entry'!$Đ$246)</f>
      </c>
      <c r="HA246">
        <f>IF(ISBLANK('Data Entry'!$đ$246), "", 'Data Entry'!$đ$246)</f>
      </c>
      <c r="HB246">
        <f>IF(ISBLANK('Data Entry'!$Ē$246), "", 'Data Entry'!$Ē$246)</f>
      </c>
      <c r="HC246">
        <f>IF(ISBLANK('Data Entry'!$ē$246), "", 'Data Entry'!$ē$246)</f>
      </c>
      <c r="HD246">
        <f>IF(ISBLANK('Data Entry'!$Ĕ$246), "", 'Data Entry'!$Ĕ$246)</f>
      </c>
      <c r="HE246">
        <f>IF(ISBLANK('Data Entry'!$ĕ$246), "", 'Data Entry'!$ĕ$246)</f>
      </c>
      <c r="HF246">
        <f>IF(ISBLANK('Data Entry'!$Ė$246), "", 'Data Entry'!$Ė$246)</f>
      </c>
      <c r="HG246">
        <f>IF(ISBLANK('Data Entry'!$ė$246), "", 'Data Entry'!$ė$246)</f>
      </c>
      <c r="HH246">
        <f>IF(ISBLANK('Data Entry'!$Ę$246), "", 'Data Entry'!$Ę$246)</f>
      </c>
      <c r="HI246">
        <f>IF(ISBLANK('Data Entry'!$ę$246), "", 'Data Entry'!$ę$246)</f>
      </c>
      <c r="HJ246">
        <f>IF(ISBLANK('Data Entry'!$Ě$246), "", 'Data Entry'!$Ě$246)</f>
      </c>
      <c r="HK246">
        <f>IF(ISBLANK('Data Entry'!$ě$246), "", 'Data Entry'!$ě$246)</f>
      </c>
      <c r="HL246">
        <f>IF(ISBLANK('Data Entry'!$Ĝ$246), "", 'Data Entry'!$Ĝ$246)</f>
      </c>
      <c r="HM246">
        <f>IF(ISBLANK('Data Entry'!$ĝ$246), "", 'Data Entry'!$ĝ$246)</f>
      </c>
      <c r="HN246">
        <f>IF(ISBLANK('Data Entry'!$Ğ$246), "", 'Data Entry'!$Ğ$246)</f>
      </c>
      <c r="HO246">
        <f>IF(ISBLANK('Data Entry'!$ğ$246), "", 'Data Entry'!$ğ$246)</f>
      </c>
      <c r="HP246">
        <f>IF(ISBLANK('Data Entry'!$Ġ$246), "", 'Data Entry'!$Ġ$246)</f>
      </c>
      <c r="HQ246">
        <f>IF(ISBLANK('Data Entry'!$ġ$246), "", 'Data Entry'!$ġ$246)</f>
      </c>
      <c r="HR246">
        <f>IF(ISBLANK('Data Entry'!$Ģ$246), "", 'Data Entry'!$Ģ$246)</f>
      </c>
      <c r="HS246">
        <f>IF(ISBLANK('Data Entry'!$ģ$246), "", 'Data Entry'!$ģ$246)</f>
      </c>
      <c r="HT246">
        <f>IF(ISBLANK('Data Entry'!$Ĥ$246), "", 'Data Entry'!$Ĥ$246)</f>
      </c>
      <c r="HU246">
        <f>IF(ISBLANK('Data Entry'!$ĥ$246), "", 'Data Entry'!$ĥ$246)</f>
      </c>
      <c r="HV246">
        <f>IF(ISBLANK('Data Entry'!$Ħ$246), "", 'Data Entry'!$Ħ$246)</f>
      </c>
      <c r="HW246">
        <f>IF(ISBLANK('Data Entry'!$ħ$246), "", 'Data Entry'!$ħ$246)</f>
      </c>
      <c r="HX246">
        <f>IF(ISBLANK('Data Entry'!$Ĩ$246), "", 'Data Entry'!$Ĩ$246)</f>
      </c>
      <c r="HY246">
        <f>IF(ISBLANK('Data Entry'!$ĩ$246), "", 'Data Entry'!$ĩ$246)</f>
      </c>
      <c r="HZ246">
        <f>IF(ISBLANK('Data Entry'!$Ī$246), "", 'Data Entry'!$Ī$246)</f>
      </c>
      <c r="IA246">
        <f>IF(ISBLANK('Data Entry'!$ī$246), "", 'Data Entry'!$ī$246)</f>
      </c>
      <c r="IB246">
        <f>IF(ISBLANK('Data Entry'!$Ĭ$246), "", 'Data Entry'!$Ĭ$246)</f>
      </c>
      <c r="IC246">
        <f>IF(ISBLANK('Data Entry'!$ĭ$246), "", 'Data Entry'!$ĭ$246)</f>
      </c>
      <c r="ID246">
        <f>IF(ISBLANK('Data Entry'!$Į$246), "", 'Data Entry'!$Į$246)</f>
      </c>
      <c r="IE246">
        <f>IF(ISBLANK('Data Entry'!$į$246), "", 'Data Entry'!$į$246)</f>
      </c>
      <c r="IF246">
        <f>IF(ISBLANK('Data Entry'!$İ$246), "", 'Data Entry'!$İ$246)</f>
      </c>
      <c r="IG246">
        <f>IF(ISBLANK('Data Entry'!$ı$246), "", 'Data Entry'!$ı$246)</f>
      </c>
      <c r="IH246">
        <f>IF(ISBLANK('Data Entry'!$Ĳ$246), "", 'Data Entry'!$Ĳ$246)</f>
      </c>
      <c r="II246">
        <f>IF(ISBLANK('Data Entry'!$ĳ$246), "", 'Data Entry'!$ĳ$246)</f>
      </c>
      <c r="IJ246">
        <f>IF(ISBLANK('Data Entry'!$Ĵ$246), "", 'Data Entry'!$Ĵ$246)</f>
      </c>
      <c r="IK246">
        <f>IF(ISBLANK('Data Entry'!$ĵ$246), "", 'Data Entry'!$ĵ$246)</f>
      </c>
      <c r="IL246">
        <f>IF(ISBLANK('Data Entry'!$Ķ$246), "", 'Data Entry'!$Ķ$246)</f>
      </c>
      <c r="IM246">
        <f>IF(ISBLANK('Data Entry'!$ķ$246), "", 'Data Entry'!$ķ$246)</f>
      </c>
      <c r="IN246">
        <f>IF(ISBLANK('Data Entry'!$ĸ$246), "", 'Data Entry'!$ĸ$246)</f>
      </c>
      <c r="IO246">
        <f>IF(ISBLANK('Data Entry'!$Ĺ$246), "", 'Data Entry'!$Ĺ$246)</f>
      </c>
      <c r="IP246">
        <f>IF(ISBLANK('Data Entry'!$ĺ$246), "", 'Data Entry'!$ĺ$246)</f>
      </c>
      <c r="IQ246">
        <f>IF(ISBLANK('Data Entry'!$Ļ$246), "", 'Data Entry'!$Ļ$246)</f>
      </c>
      <c r="IR246">
        <f>IF(ISBLANK('Data Entry'!$ļ$246), "", 'Data Entry'!$ļ$246)</f>
      </c>
      <c r="IS246">
        <f>IF(ISBLANK('Data Entry'!$Ľ$246), "", 'Data Entry'!$Ľ$246)</f>
      </c>
      <c r="IT246">
        <f>IF(ISBLANK('Data Entry'!$ľ$246), "", 'Data Entry'!$ľ$246)</f>
      </c>
    </row>
    <row r="247" spans="1:254" x14ac:dyDescent="0.25">
      <c r="A247">
        <f>IF(ISBLANK('Data Entry'!$A$247), "", 'Data Entry'!$A$247)</f>
      </c>
      <c r="B247">
        <f>IF(ISBLANK('Data Entry'!$B$247), "", 'Data Entry'!$B$247)</f>
      </c>
      <c r="C247">
        <f>IF(ISBLANK('Data Entry'!$C$247), "", 'Data Entry'!$C$247)</f>
      </c>
      <c r="D247">
        <f>IF(ISBLANK('Data Entry'!$D$247), "", 'Data Entry'!$D$247)</f>
      </c>
      <c r="E247">
        <f>IF(ISBLANK('Data Entry'!$E$247), "", 'Data Entry'!$E$247)</f>
      </c>
      <c r="F247">
        <f>IF(ISBLANK('Data Entry'!$F$247), "", 'Data Entry'!$F$247)</f>
      </c>
      <c r="G247">
        <f>IF(ISBLANK('Data Entry'!$G$247), "", 'Data Entry'!$G$247)</f>
      </c>
      <c r="H247">
        <f>IF(ISBLANK('Data Entry'!$H$247), "", 'Data Entry'!$H$247)</f>
      </c>
      <c r="I247">
        <f>IF(ISBLANK('Data Entry'!$I$247), "", 'Data Entry'!$I$247)</f>
      </c>
      <c r="J247">
        <f>IF(ISBLANK('Data Entry'!$J$247), "", 'Data Entry'!$J$247)</f>
      </c>
      <c r="K247">
        <f>IF(ISBLANK('Data Entry'!$K$247), "", 'Data Entry'!$K$247)</f>
      </c>
      <c r="L247">
        <f>IF(ISBLANK('Data Entry'!$L$247), "", 'Data Entry'!$L$247)</f>
      </c>
      <c r="M247">
        <f>IF(ISBLANK('Data Entry'!$M$247), "", 'Data Entry'!$M$247)</f>
      </c>
      <c r="N247">
        <f>IF(ISBLANK('Data Entry'!$N$247), "", 'Data Entry'!$N$247)</f>
      </c>
      <c r="O247">
        <f>IF(ISBLANK('Data Entry'!$O$247), "", 'Data Entry'!$O$247)</f>
      </c>
      <c r="P247">
        <f>IF(ISBLANK('Data Entry'!$P$247), "", 'Data Entry'!$P$247)</f>
      </c>
      <c r="Q247">
        <f>IF(ISBLANK('Data Entry'!$Q$247), "", 'Data Entry'!$Q$247)</f>
      </c>
      <c r="R247">
        <f>IF(ISBLANK('Data Entry'!$R$247), "", 'Data Entry'!$R$247)</f>
      </c>
      <c r="S247">
        <f>IF(ISBLANK('Data Entry'!$S$247), "", 'Data Entry'!$S$247)</f>
      </c>
      <c r="T247">
        <f>IF(ISBLANK('Data Entry'!$T$247), "", 'Data Entry'!$T$247)</f>
      </c>
      <c r="U247">
        <f>IF(ISBLANK('Data Entry'!$U$247), "", 'Data Entry'!$U$247)</f>
      </c>
      <c r="V247">
        <f>IF(ISBLANK('Data Entry'!$V$247), "", 'Data Entry'!$V$247)</f>
      </c>
      <c r="W247">
        <f>IF(ISBLANK('Data Entry'!$W$247), "", 'Data Entry'!$W$247)</f>
      </c>
      <c r="X247">
        <f>IF(ISBLANK('Data Entry'!$X$247), "", 'Data Entry'!$X$247)</f>
      </c>
      <c r="Y247">
        <f>IF(ISBLANK('Data Entry'!$Y$247), "", 'Data Entry'!$Y$247)</f>
      </c>
      <c r="Z247">
        <f>IF(ISBLANK('Data Entry'!$Z$247), "", 'Data Entry'!$Z$247)</f>
      </c>
      <c r="AA247">
        <f>IF(ISBLANK('Data Entry'!$[$247), "", 'Data Entry'!$[$247)</f>
      </c>
      <c r="AB247">
        <f>IF(ISBLANK('Data Entry'!$\$247), "", 'Data Entry'!$\$247)</f>
      </c>
      <c r="AC247">
        <f>IF(ISBLANK('Data Entry'!$]$247), "", 'Data Entry'!$]$247)</f>
      </c>
      <c r="AD247">
        <f>IF(ISBLANK('Data Entry'!$^$247), "", 'Data Entry'!$^$247)</f>
      </c>
      <c r="AE247">
        <f>IF(ISBLANK('Data Entry'!$_$247), "", 'Data Entry'!$_$247)</f>
      </c>
      <c r="AF247">
        <f>IF(ISBLANK('Data Entry'!$`$247), "", 'Data Entry'!$`$247)</f>
      </c>
      <c r="AG247">
        <f>IF(ISBLANK('Data Entry'!$a$247), "", 'Data Entry'!$a$247)</f>
      </c>
      <c r="AH247">
        <f>IF(ISBLANK('Data Entry'!$b$247), "", 'Data Entry'!$b$247)</f>
      </c>
      <c r="AI247">
        <f>IF(ISBLANK('Data Entry'!$c$247), "", 'Data Entry'!$c$247)</f>
      </c>
      <c r="AJ247">
        <f>IF(ISBLANK('Data Entry'!$d$247), "", 'Data Entry'!$d$247)</f>
      </c>
      <c r="AK247">
        <f>IF(ISBLANK('Data Entry'!$e$247), "", 'Data Entry'!$e$247)</f>
      </c>
      <c r="AL247">
        <f>IF(ISBLANK('Data Entry'!$f$247), "", 'Data Entry'!$f$247)</f>
      </c>
      <c r="AM247">
        <f>IF(ISBLANK('Data Entry'!$g$247), "", 'Data Entry'!$g$247)</f>
      </c>
      <c r="AN247">
        <f>IF(ISBLANK('Data Entry'!$h$247), "", 'Data Entry'!$h$247)</f>
      </c>
      <c r="AO247">
        <f>IF(ISBLANK('Data Entry'!$i$247), "", 'Data Entry'!$i$247)</f>
      </c>
      <c r="AP247">
        <f>IF(ISBLANK('Data Entry'!$j$247), "", 'Data Entry'!$j$247)</f>
      </c>
      <c r="AQ247">
        <f>IF(ISBLANK('Data Entry'!$k$247), "", 'Data Entry'!$k$247)</f>
      </c>
      <c r="AR247">
        <f>IF(ISBLANK('Data Entry'!$l$247), "", 'Data Entry'!$l$247)</f>
      </c>
      <c r="AS247">
        <f>IF(ISBLANK('Data Entry'!$m$247), "", 'Data Entry'!$m$247)</f>
      </c>
      <c r="AT247">
        <f>IF(ISBLANK('Data Entry'!$n$247), "", 'Data Entry'!$n$247)</f>
      </c>
      <c r="AU247">
        <f>IF(ISBLANK('Data Entry'!$o$247), "", 'Data Entry'!$o$247)</f>
      </c>
      <c r="AV247">
        <f>IF(ISBLANK('Data Entry'!$p$247), "", 'Data Entry'!$p$247)</f>
      </c>
      <c r="AW247">
        <f>IF(ISBLANK('Data Entry'!$q$247), "", 'Data Entry'!$q$247)</f>
      </c>
      <c r="AX247">
        <f>IF(ISBLANK('Data Entry'!$r$247), "", 'Data Entry'!$r$247)</f>
      </c>
      <c r="AY247">
        <f>IF(ISBLANK('Data Entry'!$s$247), "", 'Data Entry'!$s$247)</f>
      </c>
      <c r="AZ247">
        <f>IF(ISBLANK('Data Entry'!$t$247), "", 'Data Entry'!$t$247)</f>
      </c>
      <c r="BA247">
        <f>IF(ISBLANK('Data Entry'!$u$247), "", 'Data Entry'!$u$247)</f>
      </c>
      <c r="BB247">
        <f>IF(ISBLANK('Data Entry'!$v$247), "", 'Data Entry'!$v$247)</f>
      </c>
      <c r="BC247">
        <f>IF(ISBLANK('Data Entry'!$w$247), "", 'Data Entry'!$w$247)</f>
      </c>
      <c r="BD247">
        <f>IF(ISBLANK('Data Entry'!$x$247), "", 'Data Entry'!$x$247)</f>
      </c>
      <c r="BE247">
        <f>IF(ISBLANK('Data Entry'!$y$247), "", 'Data Entry'!$y$247)</f>
      </c>
      <c r="BF247">
        <f>IF(ISBLANK('Data Entry'!$z$247), "", 'Data Entry'!$z$247)</f>
      </c>
      <c r="BG247">
        <f>IF(ISBLANK('Data Entry'!${$247), "", 'Data Entry'!${$247)</f>
      </c>
      <c r="BH247">
        <f>IF(ISBLANK('Data Entry'!$|$247), "", 'Data Entry'!$|$247)</f>
      </c>
      <c r="BI247">
        <f>IF(ISBLANK('Data Entry'!$}$247), "", 'Data Entry'!$}$247)</f>
      </c>
      <c r="BJ247">
        <f>IF(ISBLANK('Data Entry'!$~$247), "", 'Data Entry'!$~$247)</f>
      </c>
      <c r="BK247">
        <f>IF(ISBLANK('Data Entry'!$$247), "", 'Data Entry'!$$247)</f>
      </c>
      <c r="BL247">
        <f>IF(ISBLANK('Data Entry'!$$247), "", 'Data Entry'!$$247)</f>
      </c>
      <c r="BM247">
        <f>IF(ISBLANK('Data Entry'!$$247), "", 'Data Entry'!$$247)</f>
      </c>
      <c r="BN247">
        <f>IF(ISBLANK('Data Entry'!$$247), "", 'Data Entry'!$$247)</f>
      </c>
      <c r="BO247">
        <f>IF(ISBLANK('Data Entry'!$$247), "", 'Data Entry'!$$247)</f>
      </c>
      <c r="BP247">
        <f>IF(ISBLANK('Data Entry'!$$247), "", 'Data Entry'!$$247)</f>
      </c>
      <c r="BQ247">
        <f>IF(ISBLANK('Data Entry'!$$247), "", 'Data Entry'!$$247)</f>
      </c>
      <c r="BR247">
        <f>IF(ISBLANK('Data Entry'!$$247), "", 'Data Entry'!$$247)</f>
      </c>
      <c r="BS247">
        <f>IF(ISBLANK('Data Entry'!$$247), "", 'Data Entry'!$$247)</f>
      </c>
      <c r="BT247">
        <f>IF(ISBLANK('Data Entry'!$$247), "", 'Data Entry'!$$247)</f>
      </c>
      <c r="BU247">
        <f>IF(ISBLANK('Data Entry'!$$247), "", 'Data Entry'!$$247)</f>
      </c>
      <c r="BV247">
        <f>IF(ISBLANK('Data Entry'!$$247), "", 'Data Entry'!$$247)</f>
      </c>
      <c r="BW247">
        <f>IF(ISBLANK('Data Entry'!$$247), "", 'Data Entry'!$$247)</f>
      </c>
      <c r="BX247">
        <f>IF(ISBLANK('Data Entry'!$$247), "", 'Data Entry'!$$247)</f>
      </c>
      <c r="BY247">
        <f>IF(ISBLANK('Data Entry'!$$247), "", 'Data Entry'!$$247)</f>
      </c>
      <c r="BZ247">
        <f>IF(ISBLANK('Data Entry'!$$247), "", 'Data Entry'!$$247)</f>
      </c>
      <c r="CA247">
        <f>IF(ISBLANK('Data Entry'!$$247), "", 'Data Entry'!$$247)</f>
      </c>
      <c r="CB247">
        <f>IF(ISBLANK('Data Entry'!$$247), "", 'Data Entry'!$$247)</f>
      </c>
      <c r="CC247">
        <f>IF(ISBLANK('Data Entry'!$$247), "", 'Data Entry'!$$247)</f>
      </c>
      <c r="CD247">
        <f>IF(ISBLANK('Data Entry'!$$247), "", 'Data Entry'!$$247)</f>
      </c>
      <c r="CE247">
        <f>IF(ISBLANK('Data Entry'!$$247), "", 'Data Entry'!$$247)</f>
      </c>
      <c r="CF247">
        <f>IF(ISBLANK('Data Entry'!$$247), "", 'Data Entry'!$$247)</f>
      </c>
      <c r="CG247">
        <f>IF(ISBLANK('Data Entry'!$$247), "", 'Data Entry'!$$247)</f>
      </c>
      <c r="CH247">
        <f>IF(ISBLANK('Data Entry'!$$247), "", 'Data Entry'!$$247)</f>
      </c>
      <c r="CI247">
        <f>IF(ISBLANK('Data Entry'!$$247), "", 'Data Entry'!$$247)</f>
      </c>
      <c r="CJ247">
        <f>IF(ISBLANK('Data Entry'!$$247), "", 'Data Entry'!$$247)</f>
      </c>
      <c r="CK247">
        <f>IF(ISBLANK('Data Entry'!$$247), "", 'Data Entry'!$$247)</f>
      </c>
      <c r="CL247">
        <f>IF(ISBLANK('Data Entry'!$$247), "", 'Data Entry'!$$247)</f>
      </c>
      <c r="CM247">
        <f>IF(ISBLANK('Data Entry'!$$247), "", 'Data Entry'!$$247)</f>
      </c>
      <c r="CN247">
        <f>IF(ISBLANK('Data Entry'!$$247), "", 'Data Entry'!$$247)</f>
      </c>
      <c r="CO247">
        <f>IF(ISBLANK('Data Entry'!$$247), "", 'Data Entry'!$$247)</f>
      </c>
      <c r="CP247">
        <f>IF(ISBLANK('Data Entry'!$$247), "", 'Data Entry'!$$247)</f>
      </c>
      <c r="CQ247">
        <f>IF(ISBLANK('Data Entry'!$$247), "", 'Data Entry'!$$247)</f>
      </c>
      <c r="CR247">
        <f>IF(ISBLANK('Data Entry'!$ $247), "", 'Data Entry'!$ $247)</f>
      </c>
      <c r="CS247">
        <f>IF(ISBLANK('Data Entry'!$¡$247), "", 'Data Entry'!$¡$247)</f>
      </c>
      <c r="CT247">
        <f>IF(ISBLANK('Data Entry'!$¢$247), "", 'Data Entry'!$¢$247)</f>
      </c>
      <c r="CU247">
        <f>IF(ISBLANK('Data Entry'!$£$247), "", 'Data Entry'!$£$247)</f>
      </c>
      <c r="CV247">
        <f>IF(ISBLANK('Data Entry'!$¤$247), "", 'Data Entry'!$¤$247)</f>
      </c>
      <c r="CW247">
        <f>IF(ISBLANK('Data Entry'!$¥$247), "", 'Data Entry'!$¥$247)</f>
      </c>
      <c r="CX247">
        <f>IF(ISBLANK('Data Entry'!$¦$247), "", 'Data Entry'!$¦$247)</f>
      </c>
      <c r="CY247">
        <f>IF(ISBLANK('Data Entry'!$§$247), "", 'Data Entry'!$§$247)</f>
      </c>
      <c r="CZ247">
        <f>IF(ISBLANK('Data Entry'!$¨$247), "", 'Data Entry'!$¨$247)</f>
      </c>
      <c r="DA247">
        <f>IF(ISBLANK('Data Entry'!$©$247), "", 'Data Entry'!$©$247)</f>
      </c>
      <c r="DB247">
        <f>IF(ISBLANK('Data Entry'!$ª$247), "", 'Data Entry'!$ª$247)</f>
      </c>
      <c r="DC247">
        <f>IF(ISBLANK('Data Entry'!$«$247), "", 'Data Entry'!$«$247)</f>
      </c>
      <c r="DD247">
        <f>IF(ISBLANK('Data Entry'!$¬$247), "", 'Data Entry'!$¬$247)</f>
      </c>
      <c r="DE247">
        <f>IF(ISBLANK('Data Entry'!$­$247), "", 'Data Entry'!$­$247)</f>
      </c>
      <c r="DF247">
        <f>IF(ISBLANK('Data Entry'!$®$247), "", 'Data Entry'!$®$247)</f>
      </c>
      <c r="DG247">
        <f>IF(ISBLANK('Data Entry'!$¯$247), "", 'Data Entry'!$¯$247)</f>
      </c>
      <c r="DH247">
        <f>IF(ISBLANK('Data Entry'!$°$247), "", 'Data Entry'!$°$247)</f>
      </c>
      <c r="DI247">
        <f>IF(ISBLANK('Data Entry'!$±$247), "", 'Data Entry'!$±$247)</f>
      </c>
      <c r="DJ247">
        <f>IF(ISBLANK('Data Entry'!$²$247), "", 'Data Entry'!$²$247)</f>
      </c>
      <c r="DK247">
        <f>IF(ISBLANK('Data Entry'!$³$247), "", 'Data Entry'!$³$247)</f>
      </c>
      <c r="DL247">
        <f>IF(ISBLANK('Data Entry'!$´$247), "", 'Data Entry'!$´$247)</f>
      </c>
      <c r="DM247">
        <f>IF(ISBLANK('Data Entry'!$µ$247), "", 'Data Entry'!$µ$247)</f>
      </c>
      <c r="DN247">
        <f>IF(ISBLANK('Data Entry'!$¶$247), "", 'Data Entry'!$¶$247)</f>
      </c>
      <c r="DO247">
        <f>IF(ISBLANK('Data Entry'!$·$247), "", 'Data Entry'!$·$247)</f>
      </c>
      <c r="DP247">
        <f>IF(ISBLANK('Data Entry'!$¸$247), "", 'Data Entry'!$¸$247)</f>
      </c>
      <c r="DQ247">
        <f>IF(ISBLANK('Data Entry'!$¹$247), "", 'Data Entry'!$¹$247)</f>
      </c>
      <c r="DR247">
        <f>IF(ISBLANK('Data Entry'!$º$247), "", 'Data Entry'!$º$247)</f>
      </c>
      <c r="DS247">
        <f>IF(ISBLANK('Data Entry'!$»$247), "", 'Data Entry'!$»$247)</f>
      </c>
      <c r="DT247">
        <f>IF(ISBLANK('Data Entry'!$¼$247), "", 'Data Entry'!$¼$247)</f>
      </c>
      <c r="DU247">
        <f>IF(ISBLANK('Data Entry'!$½$247), "", 'Data Entry'!$½$247)</f>
      </c>
      <c r="DV247">
        <f>IF(ISBLANK('Data Entry'!$¾$247), "", 'Data Entry'!$¾$247)</f>
      </c>
      <c r="DW247">
        <f>IF(ISBLANK('Data Entry'!$¿$247), "", 'Data Entry'!$¿$247)</f>
      </c>
      <c r="DX247">
        <f>IF(ISBLANK('Data Entry'!$À$247), "", 'Data Entry'!$À$247)</f>
      </c>
      <c r="DY247">
        <f>IF(ISBLANK('Data Entry'!$Á$247), "", 'Data Entry'!$Á$247)</f>
      </c>
      <c r="DZ247">
        <f>IF(ISBLANK('Data Entry'!$Â$247), "", 'Data Entry'!$Â$247)</f>
      </c>
      <c r="EA247">
        <f>IF(ISBLANK('Data Entry'!$Ã$247), "", 'Data Entry'!$Ã$247)</f>
      </c>
      <c r="EB247">
        <f>IF(ISBLANK('Data Entry'!$Ä$247), "", 'Data Entry'!$Ä$247)</f>
      </c>
      <c r="EC247">
        <f>IF(ISBLANK('Data Entry'!$Å$247), "", 'Data Entry'!$Å$247)</f>
      </c>
      <c r="ED247">
        <f>IF(ISBLANK('Data Entry'!$Æ$247), "", 'Data Entry'!$Æ$247)</f>
      </c>
      <c r="EE247">
        <f>IF(ISBLANK('Data Entry'!$Ç$247), "", 'Data Entry'!$Ç$247)</f>
      </c>
      <c r="EF247">
        <f>IF(ISBLANK('Data Entry'!$È$247), "", 'Data Entry'!$È$247)</f>
      </c>
      <c r="EG247">
        <f>IF(ISBLANK('Data Entry'!$É$247), "", 'Data Entry'!$É$247)</f>
      </c>
      <c r="EH247">
        <f>IF(ISBLANK('Data Entry'!$Ê$247), "", 'Data Entry'!$Ê$247)</f>
      </c>
      <c r="EI247">
        <f>IF(ISBLANK('Data Entry'!$Ë$247), "", 'Data Entry'!$Ë$247)</f>
      </c>
      <c r="EJ247">
        <f>IF(ISBLANK('Data Entry'!$Ì$247), "", 'Data Entry'!$Ì$247)</f>
      </c>
      <c r="EK247">
        <f>IF(ISBLANK('Data Entry'!$Í$247), "", 'Data Entry'!$Í$247)</f>
      </c>
      <c r="EL247">
        <f>IF(ISBLANK('Data Entry'!$Î$247), "", 'Data Entry'!$Î$247)</f>
      </c>
      <c r="EM247">
        <f>IF(ISBLANK('Data Entry'!$Ï$247), "", 'Data Entry'!$Ï$247)</f>
      </c>
      <c r="EN247">
        <f>IF(ISBLANK('Data Entry'!$Ð$247), "", 'Data Entry'!$Ð$247)</f>
      </c>
      <c r="EO247">
        <f>IF(ISBLANK('Data Entry'!$Ñ$247), "", 'Data Entry'!$Ñ$247)</f>
      </c>
      <c r="EP247">
        <f>IF(ISBLANK('Data Entry'!$Ò$247), "", 'Data Entry'!$Ò$247)</f>
      </c>
      <c r="EQ247">
        <f>IF(ISBLANK('Data Entry'!$Ó$247), "", 'Data Entry'!$Ó$247)</f>
      </c>
      <c r="ER247">
        <f>IF(ISBLANK('Data Entry'!$Ô$247), "", 'Data Entry'!$Ô$247)</f>
      </c>
      <c r="ES247">
        <f>IF(ISBLANK('Data Entry'!$Õ$247), "", 'Data Entry'!$Õ$247)</f>
      </c>
      <c r="ET247">
        <f>IF(ISBLANK('Data Entry'!$Ö$247), "", 'Data Entry'!$Ö$247)</f>
      </c>
      <c r="EU247">
        <f>IF(ISBLANK('Data Entry'!$×$247), "", 'Data Entry'!$×$247)</f>
      </c>
      <c r="EV247">
        <f>IF(ISBLANK('Data Entry'!$Ø$247), "", 'Data Entry'!$Ø$247)</f>
      </c>
      <c r="EW247">
        <f>IF(ISBLANK('Data Entry'!$Ù$247), "", 'Data Entry'!$Ù$247)</f>
      </c>
      <c r="EX247">
        <f>IF(ISBLANK('Data Entry'!$Ú$247), "", 'Data Entry'!$Ú$247)</f>
      </c>
      <c r="EY247">
        <f>IF(ISBLANK('Data Entry'!$Û$247), "", 'Data Entry'!$Û$247)</f>
      </c>
      <c r="EZ247">
        <f>IF(ISBLANK('Data Entry'!$Ü$247), "", 'Data Entry'!$Ü$247)</f>
      </c>
      <c r="FA247">
        <f>IF(ISBLANK('Data Entry'!$Ý$247), "", 'Data Entry'!$Ý$247)</f>
      </c>
      <c r="FB247">
        <f>IF(ISBLANK('Data Entry'!$Þ$247), "", 'Data Entry'!$Þ$247)</f>
      </c>
      <c r="FC247">
        <f>IF(ISBLANK('Data Entry'!$ß$247), "", 'Data Entry'!$ß$247)</f>
      </c>
      <c r="FD247">
        <f>IF(ISBLANK('Data Entry'!$à$247), "", 'Data Entry'!$à$247)</f>
      </c>
      <c r="FE247">
        <f>IF(ISBLANK('Data Entry'!$á$247), "", 'Data Entry'!$á$247)</f>
      </c>
      <c r="FF247">
        <f>IF(ISBLANK('Data Entry'!$â$247), "", 'Data Entry'!$â$247)</f>
      </c>
      <c r="FG247">
        <f>IF(ISBLANK('Data Entry'!$ã$247), "", 'Data Entry'!$ã$247)</f>
      </c>
      <c r="FH247">
        <f>IF(ISBLANK('Data Entry'!$ä$247), "", 'Data Entry'!$ä$247)</f>
      </c>
      <c r="FI247">
        <f>IF(ISBLANK('Data Entry'!$å$247), "", 'Data Entry'!$å$247)</f>
      </c>
      <c r="FJ247">
        <f>IF(ISBLANK('Data Entry'!$æ$247), "", 'Data Entry'!$æ$247)</f>
      </c>
      <c r="FK247">
        <f>IF(ISBLANK('Data Entry'!$ç$247), "", 'Data Entry'!$ç$247)</f>
      </c>
      <c r="FL247">
        <f>IF(ISBLANK('Data Entry'!$è$247), "", 'Data Entry'!$è$247)</f>
      </c>
      <c r="FM247">
        <f>IF(ISBLANK('Data Entry'!$é$247), "", 'Data Entry'!$é$247)</f>
      </c>
      <c r="FN247">
        <f>IF(ISBLANK('Data Entry'!$ê$247), "", 'Data Entry'!$ê$247)</f>
      </c>
      <c r="FO247">
        <f>IF(ISBLANK('Data Entry'!$ë$247), "", 'Data Entry'!$ë$247)</f>
      </c>
      <c r="FP247">
        <f>IF(ISBLANK('Data Entry'!$ì$247), "", 'Data Entry'!$ì$247)</f>
      </c>
      <c r="FQ247">
        <f>IF(ISBLANK('Data Entry'!$í$247), "", 'Data Entry'!$í$247)</f>
      </c>
      <c r="FR247">
        <f>IF(ISBLANK('Data Entry'!$î$247), "", 'Data Entry'!$î$247)</f>
      </c>
      <c r="FS247">
        <f>IF(ISBLANK('Data Entry'!$ï$247), "", 'Data Entry'!$ï$247)</f>
      </c>
      <c r="FT247">
        <f>IF(ISBLANK('Data Entry'!$ð$247), "", 'Data Entry'!$ð$247)</f>
      </c>
      <c r="FU247">
        <f>IF(ISBLANK('Data Entry'!$ñ$247), "", 'Data Entry'!$ñ$247)</f>
      </c>
      <c r="FV247">
        <f>IF(ISBLANK('Data Entry'!$ò$247), "", 'Data Entry'!$ò$247)</f>
      </c>
      <c r="FW247">
        <f>IF(ISBLANK('Data Entry'!$ó$247), "", 'Data Entry'!$ó$247)</f>
      </c>
      <c r="FX247">
        <f>IF(ISBLANK('Data Entry'!$ô$247), "", 'Data Entry'!$ô$247)</f>
      </c>
      <c r="FY247">
        <f>IF(ISBLANK('Data Entry'!$õ$247), "", 'Data Entry'!$õ$247)</f>
      </c>
      <c r="FZ247">
        <f>IF(ISBLANK('Data Entry'!$ö$247), "", 'Data Entry'!$ö$247)</f>
      </c>
      <c r="GA247">
        <f>IF(ISBLANK('Data Entry'!$÷$247), "", 'Data Entry'!$÷$247)</f>
      </c>
      <c r="GB247">
        <f>IF(ISBLANK('Data Entry'!$ø$247), "", 'Data Entry'!$ø$247)</f>
      </c>
      <c r="GC247">
        <f>IF(ISBLANK('Data Entry'!$ù$247), "", 'Data Entry'!$ù$247)</f>
      </c>
      <c r="GD247">
        <f>IF(ISBLANK('Data Entry'!$ú$247), "", 'Data Entry'!$ú$247)</f>
      </c>
      <c r="GE247">
        <f>IF(ISBLANK('Data Entry'!$û$247), "", 'Data Entry'!$û$247)</f>
      </c>
      <c r="GF247">
        <f>IF(ISBLANK('Data Entry'!$ü$247), "", 'Data Entry'!$ü$247)</f>
      </c>
      <c r="GG247">
        <f>IF(ISBLANK('Data Entry'!$ý$247), "", 'Data Entry'!$ý$247)</f>
      </c>
      <c r="GH247">
        <f>IF(ISBLANK('Data Entry'!$þ$247), "", 'Data Entry'!$þ$247)</f>
      </c>
      <c r="GI247">
        <f>IF(ISBLANK('Data Entry'!$ÿ$247), "", 'Data Entry'!$ÿ$247)</f>
      </c>
      <c r="GJ247">
        <f>IF(ISBLANK('Data Entry'!$Ā$247), "", 'Data Entry'!$Ā$247)</f>
      </c>
      <c r="GK247">
        <f>IF(ISBLANK('Data Entry'!$ā$247), "", 'Data Entry'!$ā$247)</f>
      </c>
      <c r="GL247">
        <f>IF(ISBLANK('Data Entry'!$Ă$247), "", 'Data Entry'!$Ă$247)</f>
      </c>
      <c r="GM247">
        <f>IF(ISBLANK('Data Entry'!$ă$247), "", 'Data Entry'!$ă$247)</f>
      </c>
      <c r="GN247">
        <f>IF(ISBLANK('Data Entry'!$Ą$247), "", 'Data Entry'!$Ą$247)</f>
      </c>
      <c r="GO247">
        <f>IF(ISBLANK('Data Entry'!$ą$247), "", 'Data Entry'!$ą$247)</f>
      </c>
      <c r="GP247">
        <f>IF(ISBLANK('Data Entry'!$Ć$247), "", 'Data Entry'!$Ć$247)</f>
      </c>
      <c r="GQ247">
        <f>IF(ISBLANK('Data Entry'!$ć$247), "", 'Data Entry'!$ć$247)</f>
      </c>
      <c r="GR247">
        <f>IF(ISBLANK('Data Entry'!$Ĉ$247), "", 'Data Entry'!$Ĉ$247)</f>
      </c>
      <c r="GS247">
        <f>IF(ISBLANK('Data Entry'!$ĉ$247), "", 'Data Entry'!$ĉ$247)</f>
      </c>
      <c r="GT247">
        <f>IF(ISBLANK('Data Entry'!$Ċ$247), "", 'Data Entry'!$Ċ$247)</f>
      </c>
      <c r="GU247">
        <f>IF(ISBLANK('Data Entry'!$ċ$247), "", 'Data Entry'!$ċ$247)</f>
      </c>
      <c r="GV247">
        <f>IF(ISBLANK('Data Entry'!$Č$247), "", 'Data Entry'!$Č$247)</f>
      </c>
      <c r="GW247">
        <f>IF(ISBLANK('Data Entry'!$č$247), "", 'Data Entry'!$č$247)</f>
      </c>
      <c r="GX247">
        <f>IF(ISBLANK('Data Entry'!$Ď$247), "", 'Data Entry'!$Ď$247)</f>
      </c>
      <c r="GY247">
        <f>IF(ISBLANK('Data Entry'!$ď$247), "", 'Data Entry'!$ď$247)</f>
      </c>
      <c r="GZ247">
        <f>IF(ISBLANK('Data Entry'!$Đ$247), "", 'Data Entry'!$Đ$247)</f>
      </c>
      <c r="HA247">
        <f>IF(ISBLANK('Data Entry'!$đ$247), "", 'Data Entry'!$đ$247)</f>
      </c>
      <c r="HB247">
        <f>IF(ISBLANK('Data Entry'!$Ē$247), "", 'Data Entry'!$Ē$247)</f>
      </c>
      <c r="HC247">
        <f>IF(ISBLANK('Data Entry'!$ē$247), "", 'Data Entry'!$ē$247)</f>
      </c>
      <c r="HD247">
        <f>IF(ISBLANK('Data Entry'!$Ĕ$247), "", 'Data Entry'!$Ĕ$247)</f>
      </c>
      <c r="HE247">
        <f>IF(ISBLANK('Data Entry'!$ĕ$247), "", 'Data Entry'!$ĕ$247)</f>
      </c>
      <c r="HF247">
        <f>IF(ISBLANK('Data Entry'!$Ė$247), "", 'Data Entry'!$Ė$247)</f>
      </c>
      <c r="HG247">
        <f>IF(ISBLANK('Data Entry'!$ė$247), "", 'Data Entry'!$ė$247)</f>
      </c>
      <c r="HH247">
        <f>IF(ISBLANK('Data Entry'!$Ę$247), "", 'Data Entry'!$Ę$247)</f>
      </c>
      <c r="HI247">
        <f>IF(ISBLANK('Data Entry'!$ę$247), "", 'Data Entry'!$ę$247)</f>
      </c>
      <c r="HJ247">
        <f>IF(ISBLANK('Data Entry'!$Ě$247), "", 'Data Entry'!$Ě$247)</f>
      </c>
      <c r="HK247">
        <f>IF(ISBLANK('Data Entry'!$ě$247), "", 'Data Entry'!$ě$247)</f>
      </c>
      <c r="HL247">
        <f>IF(ISBLANK('Data Entry'!$Ĝ$247), "", 'Data Entry'!$Ĝ$247)</f>
      </c>
      <c r="HM247">
        <f>IF(ISBLANK('Data Entry'!$ĝ$247), "", 'Data Entry'!$ĝ$247)</f>
      </c>
      <c r="HN247">
        <f>IF(ISBLANK('Data Entry'!$Ğ$247), "", 'Data Entry'!$Ğ$247)</f>
      </c>
      <c r="HO247">
        <f>IF(ISBLANK('Data Entry'!$ğ$247), "", 'Data Entry'!$ğ$247)</f>
      </c>
      <c r="HP247">
        <f>IF(ISBLANK('Data Entry'!$Ġ$247), "", 'Data Entry'!$Ġ$247)</f>
      </c>
      <c r="HQ247">
        <f>IF(ISBLANK('Data Entry'!$ġ$247), "", 'Data Entry'!$ġ$247)</f>
      </c>
      <c r="HR247">
        <f>IF(ISBLANK('Data Entry'!$Ģ$247), "", 'Data Entry'!$Ģ$247)</f>
      </c>
      <c r="HS247">
        <f>IF(ISBLANK('Data Entry'!$ģ$247), "", 'Data Entry'!$ģ$247)</f>
      </c>
      <c r="HT247">
        <f>IF(ISBLANK('Data Entry'!$Ĥ$247), "", 'Data Entry'!$Ĥ$247)</f>
      </c>
      <c r="HU247">
        <f>IF(ISBLANK('Data Entry'!$ĥ$247), "", 'Data Entry'!$ĥ$247)</f>
      </c>
      <c r="HV247">
        <f>IF(ISBLANK('Data Entry'!$Ħ$247), "", 'Data Entry'!$Ħ$247)</f>
      </c>
      <c r="HW247">
        <f>IF(ISBLANK('Data Entry'!$ħ$247), "", 'Data Entry'!$ħ$247)</f>
      </c>
      <c r="HX247">
        <f>IF(ISBLANK('Data Entry'!$Ĩ$247), "", 'Data Entry'!$Ĩ$247)</f>
      </c>
      <c r="HY247">
        <f>IF(ISBLANK('Data Entry'!$ĩ$247), "", 'Data Entry'!$ĩ$247)</f>
      </c>
      <c r="HZ247">
        <f>IF(ISBLANK('Data Entry'!$Ī$247), "", 'Data Entry'!$Ī$247)</f>
      </c>
      <c r="IA247">
        <f>IF(ISBLANK('Data Entry'!$ī$247), "", 'Data Entry'!$ī$247)</f>
      </c>
      <c r="IB247">
        <f>IF(ISBLANK('Data Entry'!$Ĭ$247), "", 'Data Entry'!$Ĭ$247)</f>
      </c>
      <c r="IC247">
        <f>IF(ISBLANK('Data Entry'!$ĭ$247), "", 'Data Entry'!$ĭ$247)</f>
      </c>
      <c r="ID247">
        <f>IF(ISBLANK('Data Entry'!$Į$247), "", 'Data Entry'!$Į$247)</f>
      </c>
      <c r="IE247">
        <f>IF(ISBLANK('Data Entry'!$į$247), "", 'Data Entry'!$į$247)</f>
      </c>
      <c r="IF247">
        <f>IF(ISBLANK('Data Entry'!$İ$247), "", 'Data Entry'!$İ$247)</f>
      </c>
      <c r="IG247">
        <f>IF(ISBLANK('Data Entry'!$ı$247), "", 'Data Entry'!$ı$247)</f>
      </c>
      <c r="IH247">
        <f>IF(ISBLANK('Data Entry'!$Ĳ$247), "", 'Data Entry'!$Ĳ$247)</f>
      </c>
      <c r="II247">
        <f>IF(ISBLANK('Data Entry'!$ĳ$247), "", 'Data Entry'!$ĳ$247)</f>
      </c>
      <c r="IJ247">
        <f>IF(ISBLANK('Data Entry'!$Ĵ$247), "", 'Data Entry'!$Ĵ$247)</f>
      </c>
      <c r="IK247">
        <f>IF(ISBLANK('Data Entry'!$ĵ$247), "", 'Data Entry'!$ĵ$247)</f>
      </c>
      <c r="IL247">
        <f>IF(ISBLANK('Data Entry'!$Ķ$247), "", 'Data Entry'!$Ķ$247)</f>
      </c>
      <c r="IM247">
        <f>IF(ISBLANK('Data Entry'!$ķ$247), "", 'Data Entry'!$ķ$247)</f>
      </c>
      <c r="IN247">
        <f>IF(ISBLANK('Data Entry'!$ĸ$247), "", 'Data Entry'!$ĸ$247)</f>
      </c>
      <c r="IO247">
        <f>IF(ISBLANK('Data Entry'!$Ĺ$247), "", 'Data Entry'!$Ĺ$247)</f>
      </c>
      <c r="IP247">
        <f>IF(ISBLANK('Data Entry'!$ĺ$247), "", 'Data Entry'!$ĺ$247)</f>
      </c>
      <c r="IQ247">
        <f>IF(ISBLANK('Data Entry'!$Ļ$247), "", 'Data Entry'!$Ļ$247)</f>
      </c>
      <c r="IR247">
        <f>IF(ISBLANK('Data Entry'!$ļ$247), "", 'Data Entry'!$ļ$247)</f>
      </c>
      <c r="IS247">
        <f>IF(ISBLANK('Data Entry'!$Ľ$247), "", 'Data Entry'!$Ľ$247)</f>
      </c>
      <c r="IT247">
        <f>IF(ISBLANK('Data Entry'!$ľ$247), "", 'Data Entry'!$ľ$247)</f>
      </c>
    </row>
    <row r="248" spans="1:254" x14ac:dyDescent="0.25">
      <c r="A248">
        <f>IF(ISBLANK('Data Entry'!$A$248), "", 'Data Entry'!$A$248)</f>
      </c>
      <c r="B248">
        <f>IF(ISBLANK('Data Entry'!$B$248), "", 'Data Entry'!$B$248)</f>
      </c>
      <c r="C248">
        <f>IF(ISBLANK('Data Entry'!$C$248), "", 'Data Entry'!$C$248)</f>
      </c>
      <c r="D248">
        <f>IF(ISBLANK('Data Entry'!$D$248), "", 'Data Entry'!$D$248)</f>
      </c>
      <c r="E248">
        <f>IF(ISBLANK('Data Entry'!$E$248), "", 'Data Entry'!$E$248)</f>
      </c>
      <c r="F248">
        <f>IF(ISBLANK('Data Entry'!$F$248), "", 'Data Entry'!$F$248)</f>
      </c>
      <c r="G248">
        <f>IF(ISBLANK('Data Entry'!$G$248), "", 'Data Entry'!$G$248)</f>
      </c>
      <c r="H248">
        <f>IF(ISBLANK('Data Entry'!$H$248), "", 'Data Entry'!$H$248)</f>
      </c>
      <c r="I248">
        <f>IF(ISBLANK('Data Entry'!$I$248), "", 'Data Entry'!$I$248)</f>
      </c>
      <c r="J248">
        <f>IF(ISBLANK('Data Entry'!$J$248), "", 'Data Entry'!$J$248)</f>
      </c>
      <c r="K248">
        <f>IF(ISBLANK('Data Entry'!$K$248), "", 'Data Entry'!$K$248)</f>
      </c>
      <c r="L248">
        <f>IF(ISBLANK('Data Entry'!$L$248), "", 'Data Entry'!$L$248)</f>
      </c>
      <c r="M248">
        <f>IF(ISBLANK('Data Entry'!$M$248), "", 'Data Entry'!$M$248)</f>
      </c>
      <c r="N248">
        <f>IF(ISBLANK('Data Entry'!$N$248), "", 'Data Entry'!$N$248)</f>
      </c>
      <c r="O248">
        <f>IF(ISBLANK('Data Entry'!$O$248), "", 'Data Entry'!$O$248)</f>
      </c>
      <c r="P248">
        <f>IF(ISBLANK('Data Entry'!$P$248), "", 'Data Entry'!$P$248)</f>
      </c>
      <c r="Q248">
        <f>IF(ISBLANK('Data Entry'!$Q$248), "", 'Data Entry'!$Q$248)</f>
      </c>
      <c r="R248">
        <f>IF(ISBLANK('Data Entry'!$R$248), "", 'Data Entry'!$R$248)</f>
      </c>
      <c r="S248">
        <f>IF(ISBLANK('Data Entry'!$S$248), "", 'Data Entry'!$S$248)</f>
      </c>
      <c r="T248">
        <f>IF(ISBLANK('Data Entry'!$T$248), "", 'Data Entry'!$T$248)</f>
      </c>
      <c r="U248">
        <f>IF(ISBLANK('Data Entry'!$U$248), "", 'Data Entry'!$U$248)</f>
      </c>
      <c r="V248">
        <f>IF(ISBLANK('Data Entry'!$V$248), "", 'Data Entry'!$V$248)</f>
      </c>
      <c r="W248">
        <f>IF(ISBLANK('Data Entry'!$W$248), "", 'Data Entry'!$W$248)</f>
      </c>
      <c r="X248">
        <f>IF(ISBLANK('Data Entry'!$X$248), "", 'Data Entry'!$X$248)</f>
      </c>
      <c r="Y248">
        <f>IF(ISBLANK('Data Entry'!$Y$248), "", 'Data Entry'!$Y$248)</f>
      </c>
      <c r="Z248">
        <f>IF(ISBLANK('Data Entry'!$Z$248), "", 'Data Entry'!$Z$248)</f>
      </c>
      <c r="AA248">
        <f>IF(ISBLANK('Data Entry'!$[$248), "", 'Data Entry'!$[$248)</f>
      </c>
      <c r="AB248">
        <f>IF(ISBLANK('Data Entry'!$\$248), "", 'Data Entry'!$\$248)</f>
      </c>
      <c r="AC248">
        <f>IF(ISBLANK('Data Entry'!$]$248), "", 'Data Entry'!$]$248)</f>
      </c>
      <c r="AD248">
        <f>IF(ISBLANK('Data Entry'!$^$248), "", 'Data Entry'!$^$248)</f>
      </c>
      <c r="AE248">
        <f>IF(ISBLANK('Data Entry'!$_$248), "", 'Data Entry'!$_$248)</f>
      </c>
      <c r="AF248">
        <f>IF(ISBLANK('Data Entry'!$`$248), "", 'Data Entry'!$`$248)</f>
      </c>
      <c r="AG248">
        <f>IF(ISBLANK('Data Entry'!$a$248), "", 'Data Entry'!$a$248)</f>
      </c>
      <c r="AH248">
        <f>IF(ISBLANK('Data Entry'!$b$248), "", 'Data Entry'!$b$248)</f>
      </c>
      <c r="AI248">
        <f>IF(ISBLANK('Data Entry'!$c$248), "", 'Data Entry'!$c$248)</f>
      </c>
      <c r="AJ248">
        <f>IF(ISBLANK('Data Entry'!$d$248), "", 'Data Entry'!$d$248)</f>
      </c>
      <c r="AK248">
        <f>IF(ISBLANK('Data Entry'!$e$248), "", 'Data Entry'!$e$248)</f>
      </c>
      <c r="AL248">
        <f>IF(ISBLANK('Data Entry'!$f$248), "", 'Data Entry'!$f$248)</f>
      </c>
      <c r="AM248">
        <f>IF(ISBLANK('Data Entry'!$g$248), "", 'Data Entry'!$g$248)</f>
      </c>
      <c r="AN248">
        <f>IF(ISBLANK('Data Entry'!$h$248), "", 'Data Entry'!$h$248)</f>
      </c>
      <c r="AO248">
        <f>IF(ISBLANK('Data Entry'!$i$248), "", 'Data Entry'!$i$248)</f>
      </c>
      <c r="AP248">
        <f>IF(ISBLANK('Data Entry'!$j$248), "", 'Data Entry'!$j$248)</f>
      </c>
      <c r="AQ248">
        <f>IF(ISBLANK('Data Entry'!$k$248), "", 'Data Entry'!$k$248)</f>
      </c>
      <c r="AR248">
        <f>IF(ISBLANK('Data Entry'!$l$248), "", 'Data Entry'!$l$248)</f>
      </c>
      <c r="AS248">
        <f>IF(ISBLANK('Data Entry'!$m$248), "", 'Data Entry'!$m$248)</f>
      </c>
      <c r="AT248">
        <f>IF(ISBLANK('Data Entry'!$n$248), "", 'Data Entry'!$n$248)</f>
      </c>
      <c r="AU248">
        <f>IF(ISBLANK('Data Entry'!$o$248), "", 'Data Entry'!$o$248)</f>
      </c>
      <c r="AV248">
        <f>IF(ISBLANK('Data Entry'!$p$248), "", 'Data Entry'!$p$248)</f>
      </c>
      <c r="AW248">
        <f>IF(ISBLANK('Data Entry'!$q$248), "", 'Data Entry'!$q$248)</f>
      </c>
      <c r="AX248">
        <f>IF(ISBLANK('Data Entry'!$r$248), "", 'Data Entry'!$r$248)</f>
      </c>
      <c r="AY248">
        <f>IF(ISBLANK('Data Entry'!$s$248), "", 'Data Entry'!$s$248)</f>
      </c>
      <c r="AZ248">
        <f>IF(ISBLANK('Data Entry'!$t$248), "", 'Data Entry'!$t$248)</f>
      </c>
      <c r="BA248">
        <f>IF(ISBLANK('Data Entry'!$u$248), "", 'Data Entry'!$u$248)</f>
      </c>
      <c r="BB248">
        <f>IF(ISBLANK('Data Entry'!$v$248), "", 'Data Entry'!$v$248)</f>
      </c>
      <c r="BC248">
        <f>IF(ISBLANK('Data Entry'!$w$248), "", 'Data Entry'!$w$248)</f>
      </c>
      <c r="BD248">
        <f>IF(ISBLANK('Data Entry'!$x$248), "", 'Data Entry'!$x$248)</f>
      </c>
      <c r="BE248">
        <f>IF(ISBLANK('Data Entry'!$y$248), "", 'Data Entry'!$y$248)</f>
      </c>
      <c r="BF248">
        <f>IF(ISBLANK('Data Entry'!$z$248), "", 'Data Entry'!$z$248)</f>
      </c>
      <c r="BG248">
        <f>IF(ISBLANK('Data Entry'!${$248), "", 'Data Entry'!${$248)</f>
      </c>
      <c r="BH248">
        <f>IF(ISBLANK('Data Entry'!$|$248), "", 'Data Entry'!$|$248)</f>
      </c>
      <c r="BI248">
        <f>IF(ISBLANK('Data Entry'!$}$248), "", 'Data Entry'!$}$248)</f>
      </c>
      <c r="BJ248">
        <f>IF(ISBLANK('Data Entry'!$~$248), "", 'Data Entry'!$~$248)</f>
      </c>
      <c r="BK248">
        <f>IF(ISBLANK('Data Entry'!$$248), "", 'Data Entry'!$$248)</f>
      </c>
      <c r="BL248">
        <f>IF(ISBLANK('Data Entry'!$$248), "", 'Data Entry'!$$248)</f>
      </c>
      <c r="BM248">
        <f>IF(ISBLANK('Data Entry'!$$248), "", 'Data Entry'!$$248)</f>
      </c>
      <c r="BN248">
        <f>IF(ISBLANK('Data Entry'!$$248), "", 'Data Entry'!$$248)</f>
      </c>
      <c r="BO248">
        <f>IF(ISBLANK('Data Entry'!$$248), "", 'Data Entry'!$$248)</f>
      </c>
      <c r="BP248">
        <f>IF(ISBLANK('Data Entry'!$$248), "", 'Data Entry'!$$248)</f>
      </c>
      <c r="BQ248">
        <f>IF(ISBLANK('Data Entry'!$$248), "", 'Data Entry'!$$248)</f>
      </c>
      <c r="BR248">
        <f>IF(ISBLANK('Data Entry'!$$248), "", 'Data Entry'!$$248)</f>
      </c>
      <c r="BS248">
        <f>IF(ISBLANK('Data Entry'!$$248), "", 'Data Entry'!$$248)</f>
      </c>
      <c r="BT248">
        <f>IF(ISBLANK('Data Entry'!$$248), "", 'Data Entry'!$$248)</f>
      </c>
      <c r="BU248">
        <f>IF(ISBLANK('Data Entry'!$$248), "", 'Data Entry'!$$248)</f>
      </c>
      <c r="BV248">
        <f>IF(ISBLANK('Data Entry'!$$248), "", 'Data Entry'!$$248)</f>
      </c>
      <c r="BW248">
        <f>IF(ISBLANK('Data Entry'!$$248), "", 'Data Entry'!$$248)</f>
      </c>
      <c r="BX248">
        <f>IF(ISBLANK('Data Entry'!$$248), "", 'Data Entry'!$$248)</f>
      </c>
      <c r="BY248">
        <f>IF(ISBLANK('Data Entry'!$$248), "", 'Data Entry'!$$248)</f>
      </c>
      <c r="BZ248">
        <f>IF(ISBLANK('Data Entry'!$$248), "", 'Data Entry'!$$248)</f>
      </c>
      <c r="CA248">
        <f>IF(ISBLANK('Data Entry'!$$248), "", 'Data Entry'!$$248)</f>
      </c>
      <c r="CB248">
        <f>IF(ISBLANK('Data Entry'!$$248), "", 'Data Entry'!$$248)</f>
      </c>
      <c r="CC248">
        <f>IF(ISBLANK('Data Entry'!$$248), "", 'Data Entry'!$$248)</f>
      </c>
      <c r="CD248">
        <f>IF(ISBLANK('Data Entry'!$$248), "", 'Data Entry'!$$248)</f>
      </c>
      <c r="CE248">
        <f>IF(ISBLANK('Data Entry'!$$248), "", 'Data Entry'!$$248)</f>
      </c>
      <c r="CF248">
        <f>IF(ISBLANK('Data Entry'!$$248), "", 'Data Entry'!$$248)</f>
      </c>
      <c r="CG248">
        <f>IF(ISBLANK('Data Entry'!$$248), "", 'Data Entry'!$$248)</f>
      </c>
      <c r="CH248">
        <f>IF(ISBLANK('Data Entry'!$$248), "", 'Data Entry'!$$248)</f>
      </c>
      <c r="CI248">
        <f>IF(ISBLANK('Data Entry'!$$248), "", 'Data Entry'!$$248)</f>
      </c>
      <c r="CJ248">
        <f>IF(ISBLANK('Data Entry'!$$248), "", 'Data Entry'!$$248)</f>
      </c>
      <c r="CK248">
        <f>IF(ISBLANK('Data Entry'!$$248), "", 'Data Entry'!$$248)</f>
      </c>
      <c r="CL248">
        <f>IF(ISBLANK('Data Entry'!$$248), "", 'Data Entry'!$$248)</f>
      </c>
      <c r="CM248">
        <f>IF(ISBLANK('Data Entry'!$$248), "", 'Data Entry'!$$248)</f>
      </c>
      <c r="CN248">
        <f>IF(ISBLANK('Data Entry'!$$248), "", 'Data Entry'!$$248)</f>
      </c>
      <c r="CO248">
        <f>IF(ISBLANK('Data Entry'!$$248), "", 'Data Entry'!$$248)</f>
      </c>
      <c r="CP248">
        <f>IF(ISBLANK('Data Entry'!$$248), "", 'Data Entry'!$$248)</f>
      </c>
      <c r="CQ248">
        <f>IF(ISBLANK('Data Entry'!$$248), "", 'Data Entry'!$$248)</f>
      </c>
      <c r="CR248">
        <f>IF(ISBLANK('Data Entry'!$ $248), "", 'Data Entry'!$ $248)</f>
      </c>
      <c r="CS248">
        <f>IF(ISBLANK('Data Entry'!$¡$248), "", 'Data Entry'!$¡$248)</f>
      </c>
      <c r="CT248">
        <f>IF(ISBLANK('Data Entry'!$¢$248), "", 'Data Entry'!$¢$248)</f>
      </c>
      <c r="CU248">
        <f>IF(ISBLANK('Data Entry'!$£$248), "", 'Data Entry'!$£$248)</f>
      </c>
      <c r="CV248">
        <f>IF(ISBLANK('Data Entry'!$¤$248), "", 'Data Entry'!$¤$248)</f>
      </c>
      <c r="CW248">
        <f>IF(ISBLANK('Data Entry'!$¥$248), "", 'Data Entry'!$¥$248)</f>
      </c>
      <c r="CX248">
        <f>IF(ISBLANK('Data Entry'!$¦$248), "", 'Data Entry'!$¦$248)</f>
      </c>
      <c r="CY248">
        <f>IF(ISBLANK('Data Entry'!$§$248), "", 'Data Entry'!$§$248)</f>
      </c>
      <c r="CZ248">
        <f>IF(ISBLANK('Data Entry'!$¨$248), "", 'Data Entry'!$¨$248)</f>
      </c>
      <c r="DA248">
        <f>IF(ISBLANK('Data Entry'!$©$248), "", 'Data Entry'!$©$248)</f>
      </c>
      <c r="DB248">
        <f>IF(ISBLANK('Data Entry'!$ª$248), "", 'Data Entry'!$ª$248)</f>
      </c>
      <c r="DC248">
        <f>IF(ISBLANK('Data Entry'!$«$248), "", 'Data Entry'!$«$248)</f>
      </c>
      <c r="DD248">
        <f>IF(ISBLANK('Data Entry'!$¬$248), "", 'Data Entry'!$¬$248)</f>
      </c>
      <c r="DE248">
        <f>IF(ISBLANK('Data Entry'!$­$248), "", 'Data Entry'!$­$248)</f>
      </c>
      <c r="DF248">
        <f>IF(ISBLANK('Data Entry'!$®$248), "", 'Data Entry'!$®$248)</f>
      </c>
      <c r="DG248">
        <f>IF(ISBLANK('Data Entry'!$¯$248), "", 'Data Entry'!$¯$248)</f>
      </c>
      <c r="DH248">
        <f>IF(ISBLANK('Data Entry'!$°$248), "", 'Data Entry'!$°$248)</f>
      </c>
      <c r="DI248">
        <f>IF(ISBLANK('Data Entry'!$±$248), "", 'Data Entry'!$±$248)</f>
      </c>
      <c r="DJ248">
        <f>IF(ISBLANK('Data Entry'!$²$248), "", 'Data Entry'!$²$248)</f>
      </c>
      <c r="DK248">
        <f>IF(ISBLANK('Data Entry'!$³$248), "", 'Data Entry'!$³$248)</f>
      </c>
      <c r="DL248">
        <f>IF(ISBLANK('Data Entry'!$´$248), "", 'Data Entry'!$´$248)</f>
      </c>
      <c r="DM248">
        <f>IF(ISBLANK('Data Entry'!$µ$248), "", 'Data Entry'!$µ$248)</f>
      </c>
      <c r="DN248">
        <f>IF(ISBLANK('Data Entry'!$¶$248), "", 'Data Entry'!$¶$248)</f>
      </c>
      <c r="DO248">
        <f>IF(ISBLANK('Data Entry'!$·$248), "", 'Data Entry'!$·$248)</f>
      </c>
      <c r="DP248">
        <f>IF(ISBLANK('Data Entry'!$¸$248), "", 'Data Entry'!$¸$248)</f>
      </c>
      <c r="DQ248">
        <f>IF(ISBLANK('Data Entry'!$¹$248), "", 'Data Entry'!$¹$248)</f>
      </c>
      <c r="DR248">
        <f>IF(ISBLANK('Data Entry'!$º$248), "", 'Data Entry'!$º$248)</f>
      </c>
      <c r="DS248">
        <f>IF(ISBLANK('Data Entry'!$»$248), "", 'Data Entry'!$»$248)</f>
      </c>
      <c r="DT248">
        <f>IF(ISBLANK('Data Entry'!$¼$248), "", 'Data Entry'!$¼$248)</f>
      </c>
      <c r="DU248">
        <f>IF(ISBLANK('Data Entry'!$½$248), "", 'Data Entry'!$½$248)</f>
      </c>
      <c r="DV248">
        <f>IF(ISBLANK('Data Entry'!$¾$248), "", 'Data Entry'!$¾$248)</f>
      </c>
      <c r="DW248">
        <f>IF(ISBLANK('Data Entry'!$¿$248), "", 'Data Entry'!$¿$248)</f>
      </c>
      <c r="DX248">
        <f>IF(ISBLANK('Data Entry'!$À$248), "", 'Data Entry'!$À$248)</f>
      </c>
      <c r="DY248">
        <f>IF(ISBLANK('Data Entry'!$Á$248), "", 'Data Entry'!$Á$248)</f>
      </c>
      <c r="DZ248">
        <f>IF(ISBLANK('Data Entry'!$Â$248), "", 'Data Entry'!$Â$248)</f>
      </c>
      <c r="EA248">
        <f>IF(ISBLANK('Data Entry'!$Ã$248), "", 'Data Entry'!$Ã$248)</f>
      </c>
      <c r="EB248">
        <f>IF(ISBLANK('Data Entry'!$Ä$248), "", 'Data Entry'!$Ä$248)</f>
      </c>
      <c r="EC248">
        <f>IF(ISBLANK('Data Entry'!$Å$248), "", 'Data Entry'!$Å$248)</f>
      </c>
      <c r="ED248">
        <f>IF(ISBLANK('Data Entry'!$Æ$248), "", 'Data Entry'!$Æ$248)</f>
      </c>
      <c r="EE248">
        <f>IF(ISBLANK('Data Entry'!$Ç$248), "", 'Data Entry'!$Ç$248)</f>
      </c>
      <c r="EF248">
        <f>IF(ISBLANK('Data Entry'!$È$248), "", 'Data Entry'!$È$248)</f>
      </c>
      <c r="EG248">
        <f>IF(ISBLANK('Data Entry'!$É$248), "", 'Data Entry'!$É$248)</f>
      </c>
      <c r="EH248">
        <f>IF(ISBLANK('Data Entry'!$Ê$248), "", 'Data Entry'!$Ê$248)</f>
      </c>
      <c r="EI248">
        <f>IF(ISBLANK('Data Entry'!$Ë$248), "", 'Data Entry'!$Ë$248)</f>
      </c>
      <c r="EJ248">
        <f>IF(ISBLANK('Data Entry'!$Ì$248), "", 'Data Entry'!$Ì$248)</f>
      </c>
      <c r="EK248">
        <f>IF(ISBLANK('Data Entry'!$Í$248), "", 'Data Entry'!$Í$248)</f>
      </c>
      <c r="EL248">
        <f>IF(ISBLANK('Data Entry'!$Î$248), "", 'Data Entry'!$Î$248)</f>
      </c>
      <c r="EM248">
        <f>IF(ISBLANK('Data Entry'!$Ï$248), "", 'Data Entry'!$Ï$248)</f>
      </c>
      <c r="EN248">
        <f>IF(ISBLANK('Data Entry'!$Ð$248), "", 'Data Entry'!$Ð$248)</f>
      </c>
      <c r="EO248">
        <f>IF(ISBLANK('Data Entry'!$Ñ$248), "", 'Data Entry'!$Ñ$248)</f>
      </c>
      <c r="EP248">
        <f>IF(ISBLANK('Data Entry'!$Ò$248), "", 'Data Entry'!$Ò$248)</f>
      </c>
      <c r="EQ248">
        <f>IF(ISBLANK('Data Entry'!$Ó$248), "", 'Data Entry'!$Ó$248)</f>
      </c>
      <c r="ER248">
        <f>IF(ISBLANK('Data Entry'!$Ô$248), "", 'Data Entry'!$Ô$248)</f>
      </c>
      <c r="ES248">
        <f>IF(ISBLANK('Data Entry'!$Õ$248), "", 'Data Entry'!$Õ$248)</f>
      </c>
      <c r="ET248">
        <f>IF(ISBLANK('Data Entry'!$Ö$248), "", 'Data Entry'!$Ö$248)</f>
      </c>
      <c r="EU248">
        <f>IF(ISBLANK('Data Entry'!$×$248), "", 'Data Entry'!$×$248)</f>
      </c>
      <c r="EV248">
        <f>IF(ISBLANK('Data Entry'!$Ø$248), "", 'Data Entry'!$Ø$248)</f>
      </c>
      <c r="EW248">
        <f>IF(ISBLANK('Data Entry'!$Ù$248), "", 'Data Entry'!$Ù$248)</f>
      </c>
      <c r="EX248">
        <f>IF(ISBLANK('Data Entry'!$Ú$248), "", 'Data Entry'!$Ú$248)</f>
      </c>
      <c r="EY248">
        <f>IF(ISBLANK('Data Entry'!$Û$248), "", 'Data Entry'!$Û$248)</f>
      </c>
      <c r="EZ248">
        <f>IF(ISBLANK('Data Entry'!$Ü$248), "", 'Data Entry'!$Ü$248)</f>
      </c>
      <c r="FA248">
        <f>IF(ISBLANK('Data Entry'!$Ý$248), "", 'Data Entry'!$Ý$248)</f>
      </c>
      <c r="FB248">
        <f>IF(ISBLANK('Data Entry'!$Þ$248), "", 'Data Entry'!$Þ$248)</f>
      </c>
      <c r="FC248">
        <f>IF(ISBLANK('Data Entry'!$ß$248), "", 'Data Entry'!$ß$248)</f>
      </c>
      <c r="FD248">
        <f>IF(ISBLANK('Data Entry'!$à$248), "", 'Data Entry'!$à$248)</f>
      </c>
      <c r="FE248">
        <f>IF(ISBLANK('Data Entry'!$á$248), "", 'Data Entry'!$á$248)</f>
      </c>
      <c r="FF248">
        <f>IF(ISBLANK('Data Entry'!$â$248), "", 'Data Entry'!$â$248)</f>
      </c>
      <c r="FG248">
        <f>IF(ISBLANK('Data Entry'!$ã$248), "", 'Data Entry'!$ã$248)</f>
      </c>
      <c r="FH248">
        <f>IF(ISBLANK('Data Entry'!$ä$248), "", 'Data Entry'!$ä$248)</f>
      </c>
      <c r="FI248">
        <f>IF(ISBLANK('Data Entry'!$å$248), "", 'Data Entry'!$å$248)</f>
      </c>
      <c r="FJ248">
        <f>IF(ISBLANK('Data Entry'!$æ$248), "", 'Data Entry'!$æ$248)</f>
      </c>
      <c r="FK248">
        <f>IF(ISBLANK('Data Entry'!$ç$248), "", 'Data Entry'!$ç$248)</f>
      </c>
      <c r="FL248">
        <f>IF(ISBLANK('Data Entry'!$è$248), "", 'Data Entry'!$è$248)</f>
      </c>
      <c r="FM248">
        <f>IF(ISBLANK('Data Entry'!$é$248), "", 'Data Entry'!$é$248)</f>
      </c>
      <c r="FN248">
        <f>IF(ISBLANK('Data Entry'!$ê$248), "", 'Data Entry'!$ê$248)</f>
      </c>
      <c r="FO248">
        <f>IF(ISBLANK('Data Entry'!$ë$248), "", 'Data Entry'!$ë$248)</f>
      </c>
      <c r="FP248">
        <f>IF(ISBLANK('Data Entry'!$ì$248), "", 'Data Entry'!$ì$248)</f>
      </c>
      <c r="FQ248">
        <f>IF(ISBLANK('Data Entry'!$í$248), "", 'Data Entry'!$í$248)</f>
      </c>
      <c r="FR248">
        <f>IF(ISBLANK('Data Entry'!$î$248), "", 'Data Entry'!$î$248)</f>
      </c>
      <c r="FS248">
        <f>IF(ISBLANK('Data Entry'!$ï$248), "", 'Data Entry'!$ï$248)</f>
      </c>
      <c r="FT248">
        <f>IF(ISBLANK('Data Entry'!$ð$248), "", 'Data Entry'!$ð$248)</f>
      </c>
      <c r="FU248">
        <f>IF(ISBLANK('Data Entry'!$ñ$248), "", 'Data Entry'!$ñ$248)</f>
      </c>
      <c r="FV248">
        <f>IF(ISBLANK('Data Entry'!$ò$248), "", 'Data Entry'!$ò$248)</f>
      </c>
      <c r="FW248">
        <f>IF(ISBLANK('Data Entry'!$ó$248), "", 'Data Entry'!$ó$248)</f>
      </c>
      <c r="FX248">
        <f>IF(ISBLANK('Data Entry'!$ô$248), "", 'Data Entry'!$ô$248)</f>
      </c>
      <c r="FY248">
        <f>IF(ISBLANK('Data Entry'!$õ$248), "", 'Data Entry'!$õ$248)</f>
      </c>
      <c r="FZ248">
        <f>IF(ISBLANK('Data Entry'!$ö$248), "", 'Data Entry'!$ö$248)</f>
      </c>
      <c r="GA248">
        <f>IF(ISBLANK('Data Entry'!$÷$248), "", 'Data Entry'!$÷$248)</f>
      </c>
      <c r="GB248">
        <f>IF(ISBLANK('Data Entry'!$ø$248), "", 'Data Entry'!$ø$248)</f>
      </c>
      <c r="GC248">
        <f>IF(ISBLANK('Data Entry'!$ù$248), "", 'Data Entry'!$ù$248)</f>
      </c>
      <c r="GD248">
        <f>IF(ISBLANK('Data Entry'!$ú$248), "", 'Data Entry'!$ú$248)</f>
      </c>
      <c r="GE248">
        <f>IF(ISBLANK('Data Entry'!$û$248), "", 'Data Entry'!$û$248)</f>
      </c>
      <c r="GF248">
        <f>IF(ISBLANK('Data Entry'!$ü$248), "", 'Data Entry'!$ü$248)</f>
      </c>
      <c r="GG248">
        <f>IF(ISBLANK('Data Entry'!$ý$248), "", 'Data Entry'!$ý$248)</f>
      </c>
      <c r="GH248">
        <f>IF(ISBLANK('Data Entry'!$þ$248), "", 'Data Entry'!$þ$248)</f>
      </c>
      <c r="GI248">
        <f>IF(ISBLANK('Data Entry'!$ÿ$248), "", 'Data Entry'!$ÿ$248)</f>
      </c>
      <c r="GJ248">
        <f>IF(ISBLANK('Data Entry'!$Ā$248), "", 'Data Entry'!$Ā$248)</f>
      </c>
      <c r="GK248">
        <f>IF(ISBLANK('Data Entry'!$ā$248), "", 'Data Entry'!$ā$248)</f>
      </c>
      <c r="GL248">
        <f>IF(ISBLANK('Data Entry'!$Ă$248), "", 'Data Entry'!$Ă$248)</f>
      </c>
      <c r="GM248">
        <f>IF(ISBLANK('Data Entry'!$ă$248), "", 'Data Entry'!$ă$248)</f>
      </c>
      <c r="GN248">
        <f>IF(ISBLANK('Data Entry'!$Ą$248), "", 'Data Entry'!$Ą$248)</f>
      </c>
      <c r="GO248">
        <f>IF(ISBLANK('Data Entry'!$ą$248), "", 'Data Entry'!$ą$248)</f>
      </c>
      <c r="GP248">
        <f>IF(ISBLANK('Data Entry'!$Ć$248), "", 'Data Entry'!$Ć$248)</f>
      </c>
      <c r="GQ248">
        <f>IF(ISBLANK('Data Entry'!$ć$248), "", 'Data Entry'!$ć$248)</f>
      </c>
      <c r="GR248">
        <f>IF(ISBLANK('Data Entry'!$Ĉ$248), "", 'Data Entry'!$Ĉ$248)</f>
      </c>
      <c r="GS248">
        <f>IF(ISBLANK('Data Entry'!$ĉ$248), "", 'Data Entry'!$ĉ$248)</f>
      </c>
      <c r="GT248">
        <f>IF(ISBLANK('Data Entry'!$Ċ$248), "", 'Data Entry'!$Ċ$248)</f>
      </c>
      <c r="GU248">
        <f>IF(ISBLANK('Data Entry'!$ċ$248), "", 'Data Entry'!$ċ$248)</f>
      </c>
      <c r="GV248">
        <f>IF(ISBLANK('Data Entry'!$Č$248), "", 'Data Entry'!$Č$248)</f>
      </c>
      <c r="GW248">
        <f>IF(ISBLANK('Data Entry'!$č$248), "", 'Data Entry'!$č$248)</f>
      </c>
      <c r="GX248">
        <f>IF(ISBLANK('Data Entry'!$Ď$248), "", 'Data Entry'!$Ď$248)</f>
      </c>
      <c r="GY248">
        <f>IF(ISBLANK('Data Entry'!$ď$248), "", 'Data Entry'!$ď$248)</f>
      </c>
      <c r="GZ248">
        <f>IF(ISBLANK('Data Entry'!$Đ$248), "", 'Data Entry'!$Đ$248)</f>
      </c>
      <c r="HA248">
        <f>IF(ISBLANK('Data Entry'!$đ$248), "", 'Data Entry'!$đ$248)</f>
      </c>
      <c r="HB248">
        <f>IF(ISBLANK('Data Entry'!$Ē$248), "", 'Data Entry'!$Ē$248)</f>
      </c>
      <c r="HC248">
        <f>IF(ISBLANK('Data Entry'!$ē$248), "", 'Data Entry'!$ē$248)</f>
      </c>
      <c r="HD248">
        <f>IF(ISBLANK('Data Entry'!$Ĕ$248), "", 'Data Entry'!$Ĕ$248)</f>
      </c>
      <c r="HE248">
        <f>IF(ISBLANK('Data Entry'!$ĕ$248), "", 'Data Entry'!$ĕ$248)</f>
      </c>
      <c r="HF248">
        <f>IF(ISBLANK('Data Entry'!$Ė$248), "", 'Data Entry'!$Ė$248)</f>
      </c>
      <c r="HG248">
        <f>IF(ISBLANK('Data Entry'!$ė$248), "", 'Data Entry'!$ė$248)</f>
      </c>
      <c r="HH248">
        <f>IF(ISBLANK('Data Entry'!$Ę$248), "", 'Data Entry'!$Ę$248)</f>
      </c>
      <c r="HI248">
        <f>IF(ISBLANK('Data Entry'!$ę$248), "", 'Data Entry'!$ę$248)</f>
      </c>
      <c r="HJ248">
        <f>IF(ISBLANK('Data Entry'!$Ě$248), "", 'Data Entry'!$Ě$248)</f>
      </c>
      <c r="HK248">
        <f>IF(ISBLANK('Data Entry'!$ě$248), "", 'Data Entry'!$ě$248)</f>
      </c>
      <c r="HL248">
        <f>IF(ISBLANK('Data Entry'!$Ĝ$248), "", 'Data Entry'!$Ĝ$248)</f>
      </c>
      <c r="HM248">
        <f>IF(ISBLANK('Data Entry'!$ĝ$248), "", 'Data Entry'!$ĝ$248)</f>
      </c>
      <c r="HN248">
        <f>IF(ISBLANK('Data Entry'!$Ğ$248), "", 'Data Entry'!$Ğ$248)</f>
      </c>
      <c r="HO248">
        <f>IF(ISBLANK('Data Entry'!$ğ$248), "", 'Data Entry'!$ğ$248)</f>
      </c>
      <c r="HP248">
        <f>IF(ISBLANK('Data Entry'!$Ġ$248), "", 'Data Entry'!$Ġ$248)</f>
      </c>
      <c r="HQ248">
        <f>IF(ISBLANK('Data Entry'!$ġ$248), "", 'Data Entry'!$ġ$248)</f>
      </c>
      <c r="HR248">
        <f>IF(ISBLANK('Data Entry'!$Ģ$248), "", 'Data Entry'!$Ģ$248)</f>
      </c>
      <c r="HS248">
        <f>IF(ISBLANK('Data Entry'!$ģ$248), "", 'Data Entry'!$ģ$248)</f>
      </c>
      <c r="HT248">
        <f>IF(ISBLANK('Data Entry'!$Ĥ$248), "", 'Data Entry'!$Ĥ$248)</f>
      </c>
      <c r="HU248">
        <f>IF(ISBLANK('Data Entry'!$ĥ$248), "", 'Data Entry'!$ĥ$248)</f>
      </c>
      <c r="HV248">
        <f>IF(ISBLANK('Data Entry'!$Ħ$248), "", 'Data Entry'!$Ħ$248)</f>
      </c>
      <c r="HW248">
        <f>IF(ISBLANK('Data Entry'!$ħ$248), "", 'Data Entry'!$ħ$248)</f>
      </c>
      <c r="HX248">
        <f>IF(ISBLANK('Data Entry'!$Ĩ$248), "", 'Data Entry'!$Ĩ$248)</f>
      </c>
      <c r="HY248">
        <f>IF(ISBLANK('Data Entry'!$ĩ$248), "", 'Data Entry'!$ĩ$248)</f>
      </c>
      <c r="HZ248">
        <f>IF(ISBLANK('Data Entry'!$Ī$248), "", 'Data Entry'!$Ī$248)</f>
      </c>
      <c r="IA248">
        <f>IF(ISBLANK('Data Entry'!$ī$248), "", 'Data Entry'!$ī$248)</f>
      </c>
      <c r="IB248">
        <f>IF(ISBLANK('Data Entry'!$Ĭ$248), "", 'Data Entry'!$Ĭ$248)</f>
      </c>
      <c r="IC248">
        <f>IF(ISBLANK('Data Entry'!$ĭ$248), "", 'Data Entry'!$ĭ$248)</f>
      </c>
      <c r="ID248">
        <f>IF(ISBLANK('Data Entry'!$Į$248), "", 'Data Entry'!$Į$248)</f>
      </c>
      <c r="IE248">
        <f>IF(ISBLANK('Data Entry'!$į$248), "", 'Data Entry'!$į$248)</f>
      </c>
      <c r="IF248">
        <f>IF(ISBLANK('Data Entry'!$İ$248), "", 'Data Entry'!$İ$248)</f>
      </c>
      <c r="IG248">
        <f>IF(ISBLANK('Data Entry'!$ı$248), "", 'Data Entry'!$ı$248)</f>
      </c>
      <c r="IH248">
        <f>IF(ISBLANK('Data Entry'!$Ĳ$248), "", 'Data Entry'!$Ĳ$248)</f>
      </c>
      <c r="II248">
        <f>IF(ISBLANK('Data Entry'!$ĳ$248), "", 'Data Entry'!$ĳ$248)</f>
      </c>
      <c r="IJ248">
        <f>IF(ISBLANK('Data Entry'!$Ĵ$248), "", 'Data Entry'!$Ĵ$248)</f>
      </c>
      <c r="IK248">
        <f>IF(ISBLANK('Data Entry'!$ĵ$248), "", 'Data Entry'!$ĵ$248)</f>
      </c>
      <c r="IL248">
        <f>IF(ISBLANK('Data Entry'!$Ķ$248), "", 'Data Entry'!$Ķ$248)</f>
      </c>
      <c r="IM248">
        <f>IF(ISBLANK('Data Entry'!$ķ$248), "", 'Data Entry'!$ķ$248)</f>
      </c>
      <c r="IN248">
        <f>IF(ISBLANK('Data Entry'!$ĸ$248), "", 'Data Entry'!$ĸ$248)</f>
      </c>
      <c r="IO248">
        <f>IF(ISBLANK('Data Entry'!$Ĺ$248), "", 'Data Entry'!$Ĺ$248)</f>
      </c>
      <c r="IP248">
        <f>IF(ISBLANK('Data Entry'!$ĺ$248), "", 'Data Entry'!$ĺ$248)</f>
      </c>
      <c r="IQ248">
        <f>IF(ISBLANK('Data Entry'!$Ļ$248), "", 'Data Entry'!$Ļ$248)</f>
      </c>
      <c r="IR248">
        <f>IF(ISBLANK('Data Entry'!$ļ$248), "", 'Data Entry'!$ļ$248)</f>
      </c>
      <c r="IS248">
        <f>IF(ISBLANK('Data Entry'!$Ľ$248), "", 'Data Entry'!$Ľ$248)</f>
      </c>
      <c r="IT248">
        <f>IF(ISBLANK('Data Entry'!$ľ$248), "", 'Data Entry'!$ľ$248)</f>
      </c>
    </row>
    <row r="249" spans="1:254" x14ac:dyDescent="0.25">
      <c r="A249">
        <f>IF(ISBLANK('Data Entry'!$A$249), "", 'Data Entry'!$A$249)</f>
      </c>
      <c r="B249">
        <f>IF(ISBLANK('Data Entry'!$B$249), "", 'Data Entry'!$B$249)</f>
      </c>
      <c r="C249">
        <f>IF(ISBLANK('Data Entry'!$C$249), "", 'Data Entry'!$C$249)</f>
      </c>
      <c r="D249">
        <f>IF(ISBLANK('Data Entry'!$D$249), "", 'Data Entry'!$D$249)</f>
      </c>
      <c r="E249">
        <f>IF(ISBLANK('Data Entry'!$E$249), "", 'Data Entry'!$E$249)</f>
      </c>
      <c r="F249">
        <f>IF(ISBLANK('Data Entry'!$F$249), "", 'Data Entry'!$F$249)</f>
      </c>
      <c r="G249">
        <f>IF(ISBLANK('Data Entry'!$G$249), "", 'Data Entry'!$G$249)</f>
      </c>
      <c r="H249">
        <f>IF(ISBLANK('Data Entry'!$H$249), "", 'Data Entry'!$H$249)</f>
      </c>
      <c r="I249">
        <f>IF(ISBLANK('Data Entry'!$I$249), "", 'Data Entry'!$I$249)</f>
      </c>
      <c r="J249">
        <f>IF(ISBLANK('Data Entry'!$J$249), "", 'Data Entry'!$J$249)</f>
      </c>
      <c r="K249">
        <f>IF(ISBLANK('Data Entry'!$K$249), "", 'Data Entry'!$K$249)</f>
      </c>
      <c r="L249">
        <f>IF(ISBLANK('Data Entry'!$L$249), "", 'Data Entry'!$L$249)</f>
      </c>
      <c r="M249">
        <f>IF(ISBLANK('Data Entry'!$M$249), "", 'Data Entry'!$M$249)</f>
      </c>
      <c r="N249">
        <f>IF(ISBLANK('Data Entry'!$N$249), "", 'Data Entry'!$N$249)</f>
      </c>
      <c r="O249">
        <f>IF(ISBLANK('Data Entry'!$O$249), "", 'Data Entry'!$O$249)</f>
      </c>
      <c r="P249">
        <f>IF(ISBLANK('Data Entry'!$P$249), "", 'Data Entry'!$P$249)</f>
      </c>
      <c r="Q249">
        <f>IF(ISBLANK('Data Entry'!$Q$249), "", 'Data Entry'!$Q$249)</f>
      </c>
      <c r="R249">
        <f>IF(ISBLANK('Data Entry'!$R$249), "", 'Data Entry'!$R$249)</f>
      </c>
      <c r="S249">
        <f>IF(ISBLANK('Data Entry'!$S$249), "", 'Data Entry'!$S$249)</f>
      </c>
      <c r="T249">
        <f>IF(ISBLANK('Data Entry'!$T$249), "", 'Data Entry'!$T$249)</f>
      </c>
      <c r="U249">
        <f>IF(ISBLANK('Data Entry'!$U$249), "", 'Data Entry'!$U$249)</f>
      </c>
      <c r="V249">
        <f>IF(ISBLANK('Data Entry'!$V$249), "", 'Data Entry'!$V$249)</f>
      </c>
      <c r="W249">
        <f>IF(ISBLANK('Data Entry'!$W$249), "", 'Data Entry'!$W$249)</f>
      </c>
      <c r="X249">
        <f>IF(ISBLANK('Data Entry'!$X$249), "", 'Data Entry'!$X$249)</f>
      </c>
      <c r="Y249">
        <f>IF(ISBLANK('Data Entry'!$Y$249), "", 'Data Entry'!$Y$249)</f>
      </c>
      <c r="Z249">
        <f>IF(ISBLANK('Data Entry'!$Z$249), "", 'Data Entry'!$Z$249)</f>
      </c>
      <c r="AA249">
        <f>IF(ISBLANK('Data Entry'!$[$249), "", 'Data Entry'!$[$249)</f>
      </c>
      <c r="AB249">
        <f>IF(ISBLANK('Data Entry'!$\$249), "", 'Data Entry'!$\$249)</f>
      </c>
      <c r="AC249">
        <f>IF(ISBLANK('Data Entry'!$]$249), "", 'Data Entry'!$]$249)</f>
      </c>
      <c r="AD249">
        <f>IF(ISBLANK('Data Entry'!$^$249), "", 'Data Entry'!$^$249)</f>
      </c>
      <c r="AE249">
        <f>IF(ISBLANK('Data Entry'!$_$249), "", 'Data Entry'!$_$249)</f>
      </c>
      <c r="AF249">
        <f>IF(ISBLANK('Data Entry'!$`$249), "", 'Data Entry'!$`$249)</f>
      </c>
      <c r="AG249">
        <f>IF(ISBLANK('Data Entry'!$a$249), "", 'Data Entry'!$a$249)</f>
      </c>
      <c r="AH249">
        <f>IF(ISBLANK('Data Entry'!$b$249), "", 'Data Entry'!$b$249)</f>
      </c>
      <c r="AI249">
        <f>IF(ISBLANK('Data Entry'!$c$249), "", 'Data Entry'!$c$249)</f>
      </c>
      <c r="AJ249">
        <f>IF(ISBLANK('Data Entry'!$d$249), "", 'Data Entry'!$d$249)</f>
      </c>
      <c r="AK249">
        <f>IF(ISBLANK('Data Entry'!$e$249), "", 'Data Entry'!$e$249)</f>
      </c>
      <c r="AL249">
        <f>IF(ISBLANK('Data Entry'!$f$249), "", 'Data Entry'!$f$249)</f>
      </c>
      <c r="AM249">
        <f>IF(ISBLANK('Data Entry'!$g$249), "", 'Data Entry'!$g$249)</f>
      </c>
      <c r="AN249">
        <f>IF(ISBLANK('Data Entry'!$h$249), "", 'Data Entry'!$h$249)</f>
      </c>
      <c r="AO249">
        <f>IF(ISBLANK('Data Entry'!$i$249), "", 'Data Entry'!$i$249)</f>
      </c>
      <c r="AP249">
        <f>IF(ISBLANK('Data Entry'!$j$249), "", 'Data Entry'!$j$249)</f>
      </c>
      <c r="AQ249">
        <f>IF(ISBLANK('Data Entry'!$k$249), "", 'Data Entry'!$k$249)</f>
      </c>
      <c r="AR249">
        <f>IF(ISBLANK('Data Entry'!$l$249), "", 'Data Entry'!$l$249)</f>
      </c>
      <c r="AS249">
        <f>IF(ISBLANK('Data Entry'!$m$249), "", 'Data Entry'!$m$249)</f>
      </c>
      <c r="AT249">
        <f>IF(ISBLANK('Data Entry'!$n$249), "", 'Data Entry'!$n$249)</f>
      </c>
      <c r="AU249">
        <f>IF(ISBLANK('Data Entry'!$o$249), "", 'Data Entry'!$o$249)</f>
      </c>
      <c r="AV249">
        <f>IF(ISBLANK('Data Entry'!$p$249), "", 'Data Entry'!$p$249)</f>
      </c>
      <c r="AW249">
        <f>IF(ISBLANK('Data Entry'!$q$249), "", 'Data Entry'!$q$249)</f>
      </c>
      <c r="AX249">
        <f>IF(ISBLANK('Data Entry'!$r$249), "", 'Data Entry'!$r$249)</f>
      </c>
      <c r="AY249">
        <f>IF(ISBLANK('Data Entry'!$s$249), "", 'Data Entry'!$s$249)</f>
      </c>
      <c r="AZ249">
        <f>IF(ISBLANK('Data Entry'!$t$249), "", 'Data Entry'!$t$249)</f>
      </c>
      <c r="BA249">
        <f>IF(ISBLANK('Data Entry'!$u$249), "", 'Data Entry'!$u$249)</f>
      </c>
      <c r="BB249">
        <f>IF(ISBLANK('Data Entry'!$v$249), "", 'Data Entry'!$v$249)</f>
      </c>
      <c r="BC249">
        <f>IF(ISBLANK('Data Entry'!$w$249), "", 'Data Entry'!$w$249)</f>
      </c>
      <c r="BD249">
        <f>IF(ISBLANK('Data Entry'!$x$249), "", 'Data Entry'!$x$249)</f>
      </c>
      <c r="BE249">
        <f>IF(ISBLANK('Data Entry'!$y$249), "", 'Data Entry'!$y$249)</f>
      </c>
      <c r="BF249">
        <f>IF(ISBLANK('Data Entry'!$z$249), "", 'Data Entry'!$z$249)</f>
      </c>
      <c r="BG249">
        <f>IF(ISBLANK('Data Entry'!${$249), "", 'Data Entry'!${$249)</f>
      </c>
      <c r="BH249">
        <f>IF(ISBLANK('Data Entry'!$|$249), "", 'Data Entry'!$|$249)</f>
      </c>
      <c r="BI249">
        <f>IF(ISBLANK('Data Entry'!$}$249), "", 'Data Entry'!$}$249)</f>
      </c>
      <c r="BJ249">
        <f>IF(ISBLANK('Data Entry'!$~$249), "", 'Data Entry'!$~$249)</f>
      </c>
      <c r="BK249">
        <f>IF(ISBLANK('Data Entry'!$$249), "", 'Data Entry'!$$249)</f>
      </c>
      <c r="BL249">
        <f>IF(ISBLANK('Data Entry'!$$249), "", 'Data Entry'!$$249)</f>
      </c>
      <c r="BM249">
        <f>IF(ISBLANK('Data Entry'!$$249), "", 'Data Entry'!$$249)</f>
      </c>
      <c r="BN249">
        <f>IF(ISBLANK('Data Entry'!$$249), "", 'Data Entry'!$$249)</f>
      </c>
      <c r="BO249">
        <f>IF(ISBLANK('Data Entry'!$$249), "", 'Data Entry'!$$249)</f>
      </c>
      <c r="BP249">
        <f>IF(ISBLANK('Data Entry'!$$249), "", 'Data Entry'!$$249)</f>
      </c>
      <c r="BQ249">
        <f>IF(ISBLANK('Data Entry'!$$249), "", 'Data Entry'!$$249)</f>
      </c>
      <c r="BR249">
        <f>IF(ISBLANK('Data Entry'!$$249), "", 'Data Entry'!$$249)</f>
      </c>
      <c r="BS249">
        <f>IF(ISBLANK('Data Entry'!$$249), "", 'Data Entry'!$$249)</f>
      </c>
      <c r="BT249">
        <f>IF(ISBLANK('Data Entry'!$$249), "", 'Data Entry'!$$249)</f>
      </c>
      <c r="BU249">
        <f>IF(ISBLANK('Data Entry'!$$249), "", 'Data Entry'!$$249)</f>
      </c>
      <c r="BV249">
        <f>IF(ISBLANK('Data Entry'!$$249), "", 'Data Entry'!$$249)</f>
      </c>
      <c r="BW249">
        <f>IF(ISBLANK('Data Entry'!$$249), "", 'Data Entry'!$$249)</f>
      </c>
      <c r="BX249">
        <f>IF(ISBLANK('Data Entry'!$$249), "", 'Data Entry'!$$249)</f>
      </c>
      <c r="BY249">
        <f>IF(ISBLANK('Data Entry'!$$249), "", 'Data Entry'!$$249)</f>
      </c>
      <c r="BZ249">
        <f>IF(ISBLANK('Data Entry'!$$249), "", 'Data Entry'!$$249)</f>
      </c>
      <c r="CA249">
        <f>IF(ISBLANK('Data Entry'!$$249), "", 'Data Entry'!$$249)</f>
      </c>
      <c r="CB249">
        <f>IF(ISBLANK('Data Entry'!$$249), "", 'Data Entry'!$$249)</f>
      </c>
      <c r="CC249">
        <f>IF(ISBLANK('Data Entry'!$$249), "", 'Data Entry'!$$249)</f>
      </c>
      <c r="CD249">
        <f>IF(ISBLANK('Data Entry'!$$249), "", 'Data Entry'!$$249)</f>
      </c>
      <c r="CE249">
        <f>IF(ISBLANK('Data Entry'!$$249), "", 'Data Entry'!$$249)</f>
      </c>
      <c r="CF249">
        <f>IF(ISBLANK('Data Entry'!$$249), "", 'Data Entry'!$$249)</f>
      </c>
      <c r="CG249">
        <f>IF(ISBLANK('Data Entry'!$$249), "", 'Data Entry'!$$249)</f>
      </c>
      <c r="CH249">
        <f>IF(ISBLANK('Data Entry'!$$249), "", 'Data Entry'!$$249)</f>
      </c>
      <c r="CI249">
        <f>IF(ISBLANK('Data Entry'!$$249), "", 'Data Entry'!$$249)</f>
      </c>
      <c r="CJ249">
        <f>IF(ISBLANK('Data Entry'!$$249), "", 'Data Entry'!$$249)</f>
      </c>
      <c r="CK249">
        <f>IF(ISBLANK('Data Entry'!$$249), "", 'Data Entry'!$$249)</f>
      </c>
      <c r="CL249">
        <f>IF(ISBLANK('Data Entry'!$$249), "", 'Data Entry'!$$249)</f>
      </c>
      <c r="CM249">
        <f>IF(ISBLANK('Data Entry'!$$249), "", 'Data Entry'!$$249)</f>
      </c>
      <c r="CN249">
        <f>IF(ISBLANK('Data Entry'!$$249), "", 'Data Entry'!$$249)</f>
      </c>
      <c r="CO249">
        <f>IF(ISBLANK('Data Entry'!$$249), "", 'Data Entry'!$$249)</f>
      </c>
      <c r="CP249">
        <f>IF(ISBLANK('Data Entry'!$$249), "", 'Data Entry'!$$249)</f>
      </c>
      <c r="CQ249">
        <f>IF(ISBLANK('Data Entry'!$$249), "", 'Data Entry'!$$249)</f>
      </c>
      <c r="CR249">
        <f>IF(ISBLANK('Data Entry'!$ $249), "", 'Data Entry'!$ $249)</f>
      </c>
      <c r="CS249">
        <f>IF(ISBLANK('Data Entry'!$¡$249), "", 'Data Entry'!$¡$249)</f>
      </c>
      <c r="CT249">
        <f>IF(ISBLANK('Data Entry'!$¢$249), "", 'Data Entry'!$¢$249)</f>
      </c>
      <c r="CU249">
        <f>IF(ISBLANK('Data Entry'!$£$249), "", 'Data Entry'!$£$249)</f>
      </c>
      <c r="CV249">
        <f>IF(ISBLANK('Data Entry'!$¤$249), "", 'Data Entry'!$¤$249)</f>
      </c>
      <c r="CW249">
        <f>IF(ISBLANK('Data Entry'!$¥$249), "", 'Data Entry'!$¥$249)</f>
      </c>
      <c r="CX249">
        <f>IF(ISBLANK('Data Entry'!$¦$249), "", 'Data Entry'!$¦$249)</f>
      </c>
      <c r="CY249">
        <f>IF(ISBLANK('Data Entry'!$§$249), "", 'Data Entry'!$§$249)</f>
      </c>
      <c r="CZ249">
        <f>IF(ISBLANK('Data Entry'!$¨$249), "", 'Data Entry'!$¨$249)</f>
      </c>
      <c r="DA249">
        <f>IF(ISBLANK('Data Entry'!$©$249), "", 'Data Entry'!$©$249)</f>
      </c>
      <c r="DB249">
        <f>IF(ISBLANK('Data Entry'!$ª$249), "", 'Data Entry'!$ª$249)</f>
      </c>
      <c r="DC249">
        <f>IF(ISBLANK('Data Entry'!$«$249), "", 'Data Entry'!$«$249)</f>
      </c>
      <c r="DD249">
        <f>IF(ISBLANK('Data Entry'!$¬$249), "", 'Data Entry'!$¬$249)</f>
      </c>
      <c r="DE249">
        <f>IF(ISBLANK('Data Entry'!$­$249), "", 'Data Entry'!$­$249)</f>
      </c>
      <c r="DF249">
        <f>IF(ISBLANK('Data Entry'!$®$249), "", 'Data Entry'!$®$249)</f>
      </c>
      <c r="DG249">
        <f>IF(ISBLANK('Data Entry'!$¯$249), "", 'Data Entry'!$¯$249)</f>
      </c>
      <c r="DH249">
        <f>IF(ISBLANK('Data Entry'!$°$249), "", 'Data Entry'!$°$249)</f>
      </c>
      <c r="DI249">
        <f>IF(ISBLANK('Data Entry'!$±$249), "", 'Data Entry'!$±$249)</f>
      </c>
      <c r="DJ249">
        <f>IF(ISBLANK('Data Entry'!$²$249), "", 'Data Entry'!$²$249)</f>
      </c>
      <c r="DK249">
        <f>IF(ISBLANK('Data Entry'!$³$249), "", 'Data Entry'!$³$249)</f>
      </c>
      <c r="DL249">
        <f>IF(ISBLANK('Data Entry'!$´$249), "", 'Data Entry'!$´$249)</f>
      </c>
      <c r="DM249">
        <f>IF(ISBLANK('Data Entry'!$µ$249), "", 'Data Entry'!$µ$249)</f>
      </c>
      <c r="DN249">
        <f>IF(ISBLANK('Data Entry'!$¶$249), "", 'Data Entry'!$¶$249)</f>
      </c>
      <c r="DO249">
        <f>IF(ISBLANK('Data Entry'!$·$249), "", 'Data Entry'!$·$249)</f>
      </c>
      <c r="DP249">
        <f>IF(ISBLANK('Data Entry'!$¸$249), "", 'Data Entry'!$¸$249)</f>
      </c>
      <c r="DQ249">
        <f>IF(ISBLANK('Data Entry'!$¹$249), "", 'Data Entry'!$¹$249)</f>
      </c>
      <c r="DR249">
        <f>IF(ISBLANK('Data Entry'!$º$249), "", 'Data Entry'!$º$249)</f>
      </c>
      <c r="DS249">
        <f>IF(ISBLANK('Data Entry'!$»$249), "", 'Data Entry'!$»$249)</f>
      </c>
      <c r="DT249">
        <f>IF(ISBLANK('Data Entry'!$¼$249), "", 'Data Entry'!$¼$249)</f>
      </c>
      <c r="DU249">
        <f>IF(ISBLANK('Data Entry'!$½$249), "", 'Data Entry'!$½$249)</f>
      </c>
      <c r="DV249">
        <f>IF(ISBLANK('Data Entry'!$¾$249), "", 'Data Entry'!$¾$249)</f>
      </c>
      <c r="DW249">
        <f>IF(ISBLANK('Data Entry'!$¿$249), "", 'Data Entry'!$¿$249)</f>
      </c>
      <c r="DX249">
        <f>IF(ISBLANK('Data Entry'!$À$249), "", 'Data Entry'!$À$249)</f>
      </c>
      <c r="DY249">
        <f>IF(ISBLANK('Data Entry'!$Á$249), "", 'Data Entry'!$Á$249)</f>
      </c>
      <c r="DZ249">
        <f>IF(ISBLANK('Data Entry'!$Â$249), "", 'Data Entry'!$Â$249)</f>
      </c>
      <c r="EA249">
        <f>IF(ISBLANK('Data Entry'!$Ã$249), "", 'Data Entry'!$Ã$249)</f>
      </c>
      <c r="EB249">
        <f>IF(ISBLANK('Data Entry'!$Ä$249), "", 'Data Entry'!$Ä$249)</f>
      </c>
      <c r="EC249">
        <f>IF(ISBLANK('Data Entry'!$Å$249), "", 'Data Entry'!$Å$249)</f>
      </c>
      <c r="ED249">
        <f>IF(ISBLANK('Data Entry'!$Æ$249), "", 'Data Entry'!$Æ$249)</f>
      </c>
      <c r="EE249">
        <f>IF(ISBLANK('Data Entry'!$Ç$249), "", 'Data Entry'!$Ç$249)</f>
      </c>
      <c r="EF249">
        <f>IF(ISBLANK('Data Entry'!$È$249), "", 'Data Entry'!$È$249)</f>
      </c>
      <c r="EG249">
        <f>IF(ISBLANK('Data Entry'!$É$249), "", 'Data Entry'!$É$249)</f>
      </c>
      <c r="EH249">
        <f>IF(ISBLANK('Data Entry'!$Ê$249), "", 'Data Entry'!$Ê$249)</f>
      </c>
      <c r="EI249">
        <f>IF(ISBLANK('Data Entry'!$Ë$249), "", 'Data Entry'!$Ë$249)</f>
      </c>
      <c r="EJ249">
        <f>IF(ISBLANK('Data Entry'!$Ì$249), "", 'Data Entry'!$Ì$249)</f>
      </c>
      <c r="EK249">
        <f>IF(ISBLANK('Data Entry'!$Í$249), "", 'Data Entry'!$Í$249)</f>
      </c>
      <c r="EL249">
        <f>IF(ISBLANK('Data Entry'!$Î$249), "", 'Data Entry'!$Î$249)</f>
      </c>
      <c r="EM249">
        <f>IF(ISBLANK('Data Entry'!$Ï$249), "", 'Data Entry'!$Ï$249)</f>
      </c>
      <c r="EN249">
        <f>IF(ISBLANK('Data Entry'!$Ð$249), "", 'Data Entry'!$Ð$249)</f>
      </c>
      <c r="EO249">
        <f>IF(ISBLANK('Data Entry'!$Ñ$249), "", 'Data Entry'!$Ñ$249)</f>
      </c>
      <c r="EP249">
        <f>IF(ISBLANK('Data Entry'!$Ò$249), "", 'Data Entry'!$Ò$249)</f>
      </c>
      <c r="EQ249">
        <f>IF(ISBLANK('Data Entry'!$Ó$249), "", 'Data Entry'!$Ó$249)</f>
      </c>
      <c r="ER249">
        <f>IF(ISBLANK('Data Entry'!$Ô$249), "", 'Data Entry'!$Ô$249)</f>
      </c>
      <c r="ES249">
        <f>IF(ISBLANK('Data Entry'!$Õ$249), "", 'Data Entry'!$Õ$249)</f>
      </c>
      <c r="ET249">
        <f>IF(ISBLANK('Data Entry'!$Ö$249), "", 'Data Entry'!$Ö$249)</f>
      </c>
      <c r="EU249">
        <f>IF(ISBLANK('Data Entry'!$×$249), "", 'Data Entry'!$×$249)</f>
      </c>
      <c r="EV249">
        <f>IF(ISBLANK('Data Entry'!$Ø$249), "", 'Data Entry'!$Ø$249)</f>
      </c>
      <c r="EW249">
        <f>IF(ISBLANK('Data Entry'!$Ù$249), "", 'Data Entry'!$Ù$249)</f>
      </c>
      <c r="EX249">
        <f>IF(ISBLANK('Data Entry'!$Ú$249), "", 'Data Entry'!$Ú$249)</f>
      </c>
      <c r="EY249">
        <f>IF(ISBLANK('Data Entry'!$Û$249), "", 'Data Entry'!$Û$249)</f>
      </c>
      <c r="EZ249">
        <f>IF(ISBLANK('Data Entry'!$Ü$249), "", 'Data Entry'!$Ü$249)</f>
      </c>
      <c r="FA249">
        <f>IF(ISBLANK('Data Entry'!$Ý$249), "", 'Data Entry'!$Ý$249)</f>
      </c>
      <c r="FB249">
        <f>IF(ISBLANK('Data Entry'!$Þ$249), "", 'Data Entry'!$Þ$249)</f>
      </c>
      <c r="FC249">
        <f>IF(ISBLANK('Data Entry'!$ß$249), "", 'Data Entry'!$ß$249)</f>
      </c>
      <c r="FD249">
        <f>IF(ISBLANK('Data Entry'!$à$249), "", 'Data Entry'!$à$249)</f>
      </c>
      <c r="FE249">
        <f>IF(ISBLANK('Data Entry'!$á$249), "", 'Data Entry'!$á$249)</f>
      </c>
      <c r="FF249">
        <f>IF(ISBLANK('Data Entry'!$â$249), "", 'Data Entry'!$â$249)</f>
      </c>
      <c r="FG249">
        <f>IF(ISBLANK('Data Entry'!$ã$249), "", 'Data Entry'!$ã$249)</f>
      </c>
      <c r="FH249">
        <f>IF(ISBLANK('Data Entry'!$ä$249), "", 'Data Entry'!$ä$249)</f>
      </c>
      <c r="FI249">
        <f>IF(ISBLANK('Data Entry'!$å$249), "", 'Data Entry'!$å$249)</f>
      </c>
      <c r="FJ249">
        <f>IF(ISBLANK('Data Entry'!$æ$249), "", 'Data Entry'!$æ$249)</f>
      </c>
      <c r="FK249">
        <f>IF(ISBLANK('Data Entry'!$ç$249), "", 'Data Entry'!$ç$249)</f>
      </c>
      <c r="FL249">
        <f>IF(ISBLANK('Data Entry'!$è$249), "", 'Data Entry'!$è$249)</f>
      </c>
      <c r="FM249">
        <f>IF(ISBLANK('Data Entry'!$é$249), "", 'Data Entry'!$é$249)</f>
      </c>
      <c r="FN249">
        <f>IF(ISBLANK('Data Entry'!$ê$249), "", 'Data Entry'!$ê$249)</f>
      </c>
      <c r="FO249">
        <f>IF(ISBLANK('Data Entry'!$ë$249), "", 'Data Entry'!$ë$249)</f>
      </c>
      <c r="FP249">
        <f>IF(ISBLANK('Data Entry'!$ì$249), "", 'Data Entry'!$ì$249)</f>
      </c>
      <c r="FQ249">
        <f>IF(ISBLANK('Data Entry'!$í$249), "", 'Data Entry'!$í$249)</f>
      </c>
      <c r="FR249">
        <f>IF(ISBLANK('Data Entry'!$î$249), "", 'Data Entry'!$î$249)</f>
      </c>
      <c r="FS249">
        <f>IF(ISBLANK('Data Entry'!$ï$249), "", 'Data Entry'!$ï$249)</f>
      </c>
      <c r="FT249">
        <f>IF(ISBLANK('Data Entry'!$ð$249), "", 'Data Entry'!$ð$249)</f>
      </c>
      <c r="FU249">
        <f>IF(ISBLANK('Data Entry'!$ñ$249), "", 'Data Entry'!$ñ$249)</f>
      </c>
      <c r="FV249">
        <f>IF(ISBLANK('Data Entry'!$ò$249), "", 'Data Entry'!$ò$249)</f>
      </c>
      <c r="FW249">
        <f>IF(ISBLANK('Data Entry'!$ó$249), "", 'Data Entry'!$ó$249)</f>
      </c>
      <c r="FX249">
        <f>IF(ISBLANK('Data Entry'!$ô$249), "", 'Data Entry'!$ô$249)</f>
      </c>
      <c r="FY249">
        <f>IF(ISBLANK('Data Entry'!$õ$249), "", 'Data Entry'!$õ$249)</f>
      </c>
      <c r="FZ249">
        <f>IF(ISBLANK('Data Entry'!$ö$249), "", 'Data Entry'!$ö$249)</f>
      </c>
      <c r="GA249">
        <f>IF(ISBLANK('Data Entry'!$÷$249), "", 'Data Entry'!$÷$249)</f>
      </c>
      <c r="GB249">
        <f>IF(ISBLANK('Data Entry'!$ø$249), "", 'Data Entry'!$ø$249)</f>
      </c>
      <c r="GC249">
        <f>IF(ISBLANK('Data Entry'!$ù$249), "", 'Data Entry'!$ù$249)</f>
      </c>
      <c r="GD249">
        <f>IF(ISBLANK('Data Entry'!$ú$249), "", 'Data Entry'!$ú$249)</f>
      </c>
      <c r="GE249">
        <f>IF(ISBLANK('Data Entry'!$û$249), "", 'Data Entry'!$û$249)</f>
      </c>
      <c r="GF249">
        <f>IF(ISBLANK('Data Entry'!$ü$249), "", 'Data Entry'!$ü$249)</f>
      </c>
      <c r="GG249">
        <f>IF(ISBLANK('Data Entry'!$ý$249), "", 'Data Entry'!$ý$249)</f>
      </c>
      <c r="GH249">
        <f>IF(ISBLANK('Data Entry'!$þ$249), "", 'Data Entry'!$þ$249)</f>
      </c>
      <c r="GI249">
        <f>IF(ISBLANK('Data Entry'!$ÿ$249), "", 'Data Entry'!$ÿ$249)</f>
      </c>
      <c r="GJ249">
        <f>IF(ISBLANK('Data Entry'!$Ā$249), "", 'Data Entry'!$Ā$249)</f>
      </c>
      <c r="GK249">
        <f>IF(ISBLANK('Data Entry'!$ā$249), "", 'Data Entry'!$ā$249)</f>
      </c>
      <c r="GL249">
        <f>IF(ISBLANK('Data Entry'!$Ă$249), "", 'Data Entry'!$Ă$249)</f>
      </c>
      <c r="GM249">
        <f>IF(ISBLANK('Data Entry'!$ă$249), "", 'Data Entry'!$ă$249)</f>
      </c>
      <c r="GN249">
        <f>IF(ISBLANK('Data Entry'!$Ą$249), "", 'Data Entry'!$Ą$249)</f>
      </c>
      <c r="GO249">
        <f>IF(ISBLANK('Data Entry'!$ą$249), "", 'Data Entry'!$ą$249)</f>
      </c>
      <c r="GP249">
        <f>IF(ISBLANK('Data Entry'!$Ć$249), "", 'Data Entry'!$Ć$249)</f>
      </c>
      <c r="GQ249">
        <f>IF(ISBLANK('Data Entry'!$ć$249), "", 'Data Entry'!$ć$249)</f>
      </c>
      <c r="GR249">
        <f>IF(ISBLANK('Data Entry'!$Ĉ$249), "", 'Data Entry'!$Ĉ$249)</f>
      </c>
      <c r="GS249">
        <f>IF(ISBLANK('Data Entry'!$ĉ$249), "", 'Data Entry'!$ĉ$249)</f>
      </c>
      <c r="GT249">
        <f>IF(ISBLANK('Data Entry'!$Ċ$249), "", 'Data Entry'!$Ċ$249)</f>
      </c>
      <c r="GU249">
        <f>IF(ISBLANK('Data Entry'!$ċ$249), "", 'Data Entry'!$ċ$249)</f>
      </c>
      <c r="GV249">
        <f>IF(ISBLANK('Data Entry'!$Č$249), "", 'Data Entry'!$Č$249)</f>
      </c>
      <c r="GW249">
        <f>IF(ISBLANK('Data Entry'!$č$249), "", 'Data Entry'!$č$249)</f>
      </c>
      <c r="GX249">
        <f>IF(ISBLANK('Data Entry'!$Ď$249), "", 'Data Entry'!$Ď$249)</f>
      </c>
      <c r="GY249">
        <f>IF(ISBLANK('Data Entry'!$ď$249), "", 'Data Entry'!$ď$249)</f>
      </c>
      <c r="GZ249">
        <f>IF(ISBLANK('Data Entry'!$Đ$249), "", 'Data Entry'!$Đ$249)</f>
      </c>
      <c r="HA249">
        <f>IF(ISBLANK('Data Entry'!$đ$249), "", 'Data Entry'!$đ$249)</f>
      </c>
      <c r="HB249">
        <f>IF(ISBLANK('Data Entry'!$Ē$249), "", 'Data Entry'!$Ē$249)</f>
      </c>
      <c r="HC249">
        <f>IF(ISBLANK('Data Entry'!$ē$249), "", 'Data Entry'!$ē$249)</f>
      </c>
      <c r="HD249">
        <f>IF(ISBLANK('Data Entry'!$Ĕ$249), "", 'Data Entry'!$Ĕ$249)</f>
      </c>
      <c r="HE249">
        <f>IF(ISBLANK('Data Entry'!$ĕ$249), "", 'Data Entry'!$ĕ$249)</f>
      </c>
      <c r="HF249">
        <f>IF(ISBLANK('Data Entry'!$Ė$249), "", 'Data Entry'!$Ė$249)</f>
      </c>
      <c r="HG249">
        <f>IF(ISBLANK('Data Entry'!$ė$249), "", 'Data Entry'!$ė$249)</f>
      </c>
      <c r="HH249">
        <f>IF(ISBLANK('Data Entry'!$Ę$249), "", 'Data Entry'!$Ę$249)</f>
      </c>
      <c r="HI249">
        <f>IF(ISBLANK('Data Entry'!$ę$249), "", 'Data Entry'!$ę$249)</f>
      </c>
      <c r="HJ249">
        <f>IF(ISBLANK('Data Entry'!$Ě$249), "", 'Data Entry'!$Ě$249)</f>
      </c>
      <c r="HK249">
        <f>IF(ISBLANK('Data Entry'!$ě$249), "", 'Data Entry'!$ě$249)</f>
      </c>
      <c r="HL249">
        <f>IF(ISBLANK('Data Entry'!$Ĝ$249), "", 'Data Entry'!$Ĝ$249)</f>
      </c>
      <c r="HM249">
        <f>IF(ISBLANK('Data Entry'!$ĝ$249), "", 'Data Entry'!$ĝ$249)</f>
      </c>
      <c r="HN249">
        <f>IF(ISBLANK('Data Entry'!$Ğ$249), "", 'Data Entry'!$Ğ$249)</f>
      </c>
      <c r="HO249">
        <f>IF(ISBLANK('Data Entry'!$ğ$249), "", 'Data Entry'!$ğ$249)</f>
      </c>
      <c r="HP249">
        <f>IF(ISBLANK('Data Entry'!$Ġ$249), "", 'Data Entry'!$Ġ$249)</f>
      </c>
      <c r="HQ249">
        <f>IF(ISBLANK('Data Entry'!$ġ$249), "", 'Data Entry'!$ġ$249)</f>
      </c>
      <c r="HR249">
        <f>IF(ISBLANK('Data Entry'!$Ģ$249), "", 'Data Entry'!$Ģ$249)</f>
      </c>
      <c r="HS249">
        <f>IF(ISBLANK('Data Entry'!$ģ$249), "", 'Data Entry'!$ģ$249)</f>
      </c>
      <c r="HT249">
        <f>IF(ISBLANK('Data Entry'!$Ĥ$249), "", 'Data Entry'!$Ĥ$249)</f>
      </c>
      <c r="HU249">
        <f>IF(ISBLANK('Data Entry'!$ĥ$249), "", 'Data Entry'!$ĥ$249)</f>
      </c>
      <c r="HV249">
        <f>IF(ISBLANK('Data Entry'!$Ħ$249), "", 'Data Entry'!$Ħ$249)</f>
      </c>
      <c r="HW249">
        <f>IF(ISBLANK('Data Entry'!$ħ$249), "", 'Data Entry'!$ħ$249)</f>
      </c>
      <c r="HX249">
        <f>IF(ISBLANK('Data Entry'!$Ĩ$249), "", 'Data Entry'!$Ĩ$249)</f>
      </c>
      <c r="HY249">
        <f>IF(ISBLANK('Data Entry'!$ĩ$249), "", 'Data Entry'!$ĩ$249)</f>
      </c>
      <c r="HZ249">
        <f>IF(ISBLANK('Data Entry'!$Ī$249), "", 'Data Entry'!$Ī$249)</f>
      </c>
      <c r="IA249">
        <f>IF(ISBLANK('Data Entry'!$ī$249), "", 'Data Entry'!$ī$249)</f>
      </c>
      <c r="IB249">
        <f>IF(ISBLANK('Data Entry'!$Ĭ$249), "", 'Data Entry'!$Ĭ$249)</f>
      </c>
      <c r="IC249">
        <f>IF(ISBLANK('Data Entry'!$ĭ$249), "", 'Data Entry'!$ĭ$249)</f>
      </c>
      <c r="ID249">
        <f>IF(ISBLANK('Data Entry'!$Į$249), "", 'Data Entry'!$Į$249)</f>
      </c>
      <c r="IE249">
        <f>IF(ISBLANK('Data Entry'!$į$249), "", 'Data Entry'!$į$249)</f>
      </c>
      <c r="IF249">
        <f>IF(ISBLANK('Data Entry'!$İ$249), "", 'Data Entry'!$İ$249)</f>
      </c>
      <c r="IG249">
        <f>IF(ISBLANK('Data Entry'!$ı$249), "", 'Data Entry'!$ı$249)</f>
      </c>
      <c r="IH249">
        <f>IF(ISBLANK('Data Entry'!$Ĳ$249), "", 'Data Entry'!$Ĳ$249)</f>
      </c>
      <c r="II249">
        <f>IF(ISBLANK('Data Entry'!$ĳ$249), "", 'Data Entry'!$ĳ$249)</f>
      </c>
      <c r="IJ249">
        <f>IF(ISBLANK('Data Entry'!$Ĵ$249), "", 'Data Entry'!$Ĵ$249)</f>
      </c>
      <c r="IK249">
        <f>IF(ISBLANK('Data Entry'!$ĵ$249), "", 'Data Entry'!$ĵ$249)</f>
      </c>
      <c r="IL249">
        <f>IF(ISBLANK('Data Entry'!$Ķ$249), "", 'Data Entry'!$Ķ$249)</f>
      </c>
      <c r="IM249">
        <f>IF(ISBLANK('Data Entry'!$ķ$249), "", 'Data Entry'!$ķ$249)</f>
      </c>
      <c r="IN249">
        <f>IF(ISBLANK('Data Entry'!$ĸ$249), "", 'Data Entry'!$ĸ$249)</f>
      </c>
      <c r="IO249">
        <f>IF(ISBLANK('Data Entry'!$Ĺ$249), "", 'Data Entry'!$Ĺ$249)</f>
      </c>
      <c r="IP249">
        <f>IF(ISBLANK('Data Entry'!$ĺ$249), "", 'Data Entry'!$ĺ$249)</f>
      </c>
      <c r="IQ249">
        <f>IF(ISBLANK('Data Entry'!$Ļ$249), "", 'Data Entry'!$Ļ$249)</f>
      </c>
      <c r="IR249">
        <f>IF(ISBLANK('Data Entry'!$ļ$249), "", 'Data Entry'!$ļ$249)</f>
      </c>
      <c r="IS249">
        <f>IF(ISBLANK('Data Entry'!$Ľ$249), "", 'Data Entry'!$Ľ$249)</f>
      </c>
      <c r="IT249">
        <f>IF(ISBLANK('Data Entry'!$ľ$249), "", 'Data Entry'!$ľ$249)</f>
      </c>
    </row>
    <row r="250" spans="1:254" x14ac:dyDescent="0.25">
      <c r="A250">
        <f>IF(ISBLANK('Data Entry'!$A$250), "", 'Data Entry'!$A$250)</f>
      </c>
      <c r="B250">
        <f>IF(ISBLANK('Data Entry'!$B$250), "", 'Data Entry'!$B$250)</f>
      </c>
      <c r="C250">
        <f>IF(ISBLANK('Data Entry'!$C$250), "", 'Data Entry'!$C$250)</f>
      </c>
      <c r="D250">
        <f>IF(ISBLANK('Data Entry'!$D$250), "", 'Data Entry'!$D$250)</f>
      </c>
      <c r="E250">
        <f>IF(ISBLANK('Data Entry'!$E$250), "", 'Data Entry'!$E$250)</f>
      </c>
      <c r="F250">
        <f>IF(ISBLANK('Data Entry'!$F$250), "", 'Data Entry'!$F$250)</f>
      </c>
      <c r="G250">
        <f>IF(ISBLANK('Data Entry'!$G$250), "", 'Data Entry'!$G$250)</f>
      </c>
      <c r="H250">
        <f>IF(ISBLANK('Data Entry'!$H$250), "", 'Data Entry'!$H$250)</f>
      </c>
      <c r="I250">
        <f>IF(ISBLANK('Data Entry'!$I$250), "", 'Data Entry'!$I$250)</f>
      </c>
      <c r="J250">
        <f>IF(ISBLANK('Data Entry'!$J$250), "", 'Data Entry'!$J$250)</f>
      </c>
      <c r="K250">
        <f>IF(ISBLANK('Data Entry'!$K$250), "", 'Data Entry'!$K$250)</f>
      </c>
      <c r="L250">
        <f>IF(ISBLANK('Data Entry'!$L$250), "", 'Data Entry'!$L$250)</f>
      </c>
      <c r="M250">
        <f>IF(ISBLANK('Data Entry'!$M$250), "", 'Data Entry'!$M$250)</f>
      </c>
      <c r="N250">
        <f>IF(ISBLANK('Data Entry'!$N$250), "", 'Data Entry'!$N$250)</f>
      </c>
      <c r="O250">
        <f>IF(ISBLANK('Data Entry'!$O$250), "", 'Data Entry'!$O$250)</f>
      </c>
      <c r="P250">
        <f>IF(ISBLANK('Data Entry'!$P$250), "", 'Data Entry'!$P$250)</f>
      </c>
      <c r="Q250">
        <f>IF(ISBLANK('Data Entry'!$Q$250), "", 'Data Entry'!$Q$250)</f>
      </c>
      <c r="R250">
        <f>IF(ISBLANK('Data Entry'!$R$250), "", 'Data Entry'!$R$250)</f>
      </c>
      <c r="S250">
        <f>IF(ISBLANK('Data Entry'!$S$250), "", 'Data Entry'!$S$250)</f>
      </c>
      <c r="T250">
        <f>IF(ISBLANK('Data Entry'!$T$250), "", 'Data Entry'!$T$250)</f>
      </c>
      <c r="U250">
        <f>IF(ISBLANK('Data Entry'!$U$250), "", 'Data Entry'!$U$250)</f>
      </c>
      <c r="V250">
        <f>IF(ISBLANK('Data Entry'!$V$250), "", 'Data Entry'!$V$250)</f>
      </c>
      <c r="W250">
        <f>IF(ISBLANK('Data Entry'!$W$250), "", 'Data Entry'!$W$250)</f>
      </c>
      <c r="X250">
        <f>IF(ISBLANK('Data Entry'!$X$250), "", 'Data Entry'!$X$250)</f>
      </c>
      <c r="Y250">
        <f>IF(ISBLANK('Data Entry'!$Y$250), "", 'Data Entry'!$Y$250)</f>
      </c>
      <c r="Z250">
        <f>IF(ISBLANK('Data Entry'!$Z$250), "", 'Data Entry'!$Z$250)</f>
      </c>
      <c r="AA250">
        <f>IF(ISBLANK('Data Entry'!$[$250), "", 'Data Entry'!$[$250)</f>
      </c>
      <c r="AB250">
        <f>IF(ISBLANK('Data Entry'!$\$250), "", 'Data Entry'!$\$250)</f>
      </c>
      <c r="AC250">
        <f>IF(ISBLANK('Data Entry'!$]$250), "", 'Data Entry'!$]$250)</f>
      </c>
      <c r="AD250">
        <f>IF(ISBLANK('Data Entry'!$^$250), "", 'Data Entry'!$^$250)</f>
      </c>
      <c r="AE250">
        <f>IF(ISBLANK('Data Entry'!$_$250), "", 'Data Entry'!$_$250)</f>
      </c>
      <c r="AF250">
        <f>IF(ISBLANK('Data Entry'!$`$250), "", 'Data Entry'!$`$250)</f>
      </c>
      <c r="AG250">
        <f>IF(ISBLANK('Data Entry'!$a$250), "", 'Data Entry'!$a$250)</f>
      </c>
      <c r="AH250">
        <f>IF(ISBLANK('Data Entry'!$b$250), "", 'Data Entry'!$b$250)</f>
      </c>
      <c r="AI250">
        <f>IF(ISBLANK('Data Entry'!$c$250), "", 'Data Entry'!$c$250)</f>
      </c>
      <c r="AJ250">
        <f>IF(ISBLANK('Data Entry'!$d$250), "", 'Data Entry'!$d$250)</f>
      </c>
      <c r="AK250">
        <f>IF(ISBLANK('Data Entry'!$e$250), "", 'Data Entry'!$e$250)</f>
      </c>
      <c r="AL250">
        <f>IF(ISBLANK('Data Entry'!$f$250), "", 'Data Entry'!$f$250)</f>
      </c>
      <c r="AM250">
        <f>IF(ISBLANK('Data Entry'!$g$250), "", 'Data Entry'!$g$250)</f>
      </c>
      <c r="AN250">
        <f>IF(ISBLANK('Data Entry'!$h$250), "", 'Data Entry'!$h$250)</f>
      </c>
      <c r="AO250">
        <f>IF(ISBLANK('Data Entry'!$i$250), "", 'Data Entry'!$i$250)</f>
      </c>
      <c r="AP250">
        <f>IF(ISBLANK('Data Entry'!$j$250), "", 'Data Entry'!$j$250)</f>
      </c>
      <c r="AQ250">
        <f>IF(ISBLANK('Data Entry'!$k$250), "", 'Data Entry'!$k$250)</f>
      </c>
      <c r="AR250">
        <f>IF(ISBLANK('Data Entry'!$l$250), "", 'Data Entry'!$l$250)</f>
      </c>
      <c r="AS250">
        <f>IF(ISBLANK('Data Entry'!$m$250), "", 'Data Entry'!$m$250)</f>
      </c>
      <c r="AT250">
        <f>IF(ISBLANK('Data Entry'!$n$250), "", 'Data Entry'!$n$250)</f>
      </c>
      <c r="AU250">
        <f>IF(ISBLANK('Data Entry'!$o$250), "", 'Data Entry'!$o$250)</f>
      </c>
      <c r="AV250">
        <f>IF(ISBLANK('Data Entry'!$p$250), "", 'Data Entry'!$p$250)</f>
      </c>
      <c r="AW250">
        <f>IF(ISBLANK('Data Entry'!$q$250), "", 'Data Entry'!$q$250)</f>
      </c>
      <c r="AX250">
        <f>IF(ISBLANK('Data Entry'!$r$250), "", 'Data Entry'!$r$250)</f>
      </c>
      <c r="AY250">
        <f>IF(ISBLANK('Data Entry'!$s$250), "", 'Data Entry'!$s$250)</f>
      </c>
      <c r="AZ250">
        <f>IF(ISBLANK('Data Entry'!$t$250), "", 'Data Entry'!$t$250)</f>
      </c>
      <c r="BA250">
        <f>IF(ISBLANK('Data Entry'!$u$250), "", 'Data Entry'!$u$250)</f>
      </c>
      <c r="BB250">
        <f>IF(ISBLANK('Data Entry'!$v$250), "", 'Data Entry'!$v$250)</f>
      </c>
      <c r="BC250">
        <f>IF(ISBLANK('Data Entry'!$w$250), "", 'Data Entry'!$w$250)</f>
      </c>
      <c r="BD250">
        <f>IF(ISBLANK('Data Entry'!$x$250), "", 'Data Entry'!$x$250)</f>
      </c>
      <c r="BE250">
        <f>IF(ISBLANK('Data Entry'!$y$250), "", 'Data Entry'!$y$250)</f>
      </c>
      <c r="BF250">
        <f>IF(ISBLANK('Data Entry'!$z$250), "", 'Data Entry'!$z$250)</f>
      </c>
      <c r="BG250">
        <f>IF(ISBLANK('Data Entry'!${$250), "", 'Data Entry'!${$250)</f>
      </c>
      <c r="BH250">
        <f>IF(ISBLANK('Data Entry'!$|$250), "", 'Data Entry'!$|$250)</f>
      </c>
      <c r="BI250">
        <f>IF(ISBLANK('Data Entry'!$}$250), "", 'Data Entry'!$}$250)</f>
      </c>
      <c r="BJ250">
        <f>IF(ISBLANK('Data Entry'!$~$250), "", 'Data Entry'!$~$250)</f>
      </c>
      <c r="BK250">
        <f>IF(ISBLANK('Data Entry'!$$250), "", 'Data Entry'!$$250)</f>
      </c>
      <c r="BL250">
        <f>IF(ISBLANK('Data Entry'!$$250), "", 'Data Entry'!$$250)</f>
      </c>
      <c r="BM250">
        <f>IF(ISBLANK('Data Entry'!$$250), "", 'Data Entry'!$$250)</f>
      </c>
      <c r="BN250">
        <f>IF(ISBLANK('Data Entry'!$$250), "", 'Data Entry'!$$250)</f>
      </c>
      <c r="BO250">
        <f>IF(ISBLANK('Data Entry'!$$250), "", 'Data Entry'!$$250)</f>
      </c>
      <c r="BP250">
        <f>IF(ISBLANK('Data Entry'!$$250), "", 'Data Entry'!$$250)</f>
      </c>
      <c r="BQ250">
        <f>IF(ISBLANK('Data Entry'!$$250), "", 'Data Entry'!$$250)</f>
      </c>
      <c r="BR250">
        <f>IF(ISBLANK('Data Entry'!$$250), "", 'Data Entry'!$$250)</f>
      </c>
      <c r="BS250">
        <f>IF(ISBLANK('Data Entry'!$$250), "", 'Data Entry'!$$250)</f>
      </c>
      <c r="BT250">
        <f>IF(ISBLANK('Data Entry'!$$250), "", 'Data Entry'!$$250)</f>
      </c>
      <c r="BU250">
        <f>IF(ISBLANK('Data Entry'!$$250), "", 'Data Entry'!$$250)</f>
      </c>
      <c r="BV250">
        <f>IF(ISBLANK('Data Entry'!$$250), "", 'Data Entry'!$$250)</f>
      </c>
      <c r="BW250">
        <f>IF(ISBLANK('Data Entry'!$$250), "", 'Data Entry'!$$250)</f>
      </c>
      <c r="BX250">
        <f>IF(ISBLANK('Data Entry'!$$250), "", 'Data Entry'!$$250)</f>
      </c>
      <c r="BY250">
        <f>IF(ISBLANK('Data Entry'!$$250), "", 'Data Entry'!$$250)</f>
      </c>
      <c r="BZ250">
        <f>IF(ISBLANK('Data Entry'!$$250), "", 'Data Entry'!$$250)</f>
      </c>
      <c r="CA250">
        <f>IF(ISBLANK('Data Entry'!$$250), "", 'Data Entry'!$$250)</f>
      </c>
      <c r="CB250">
        <f>IF(ISBLANK('Data Entry'!$$250), "", 'Data Entry'!$$250)</f>
      </c>
      <c r="CC250">
        <f>IF(ISBLANK('Data Entry'!$$250), "", 'Data Entry'!$$250)</f>
      </c>
      <c r="CD250">
        <f>IF(ISBLANK('Data Entry'!$$250), "", 'Data Entry'!$$250)</f>
      </c>
      <c r="CE250">
        <f>IF(ISBLANK('Data Entry'!$$250), "", 'Data Entry'!$$250)</f>
      </c>
      <c r="CF250">
        <f>IF(ISBLANK('Data Entry'!$$250), "", 'Data Entry'!$$250)</f>
      </c>
      <c r="CG250">
        <f>IF(ISBLANK('Data Entry'!$$250), "", 'Data Entry'!$$250)</f>
      </c>
      <c r="CH250">
        <f>IF(ISBLANK('Data Entry'!$$250), "", 'Data Entry'!$$250)</f>
      </c>
      <c r="CI250">
        <f>IF(ISBLANK('Data Entry'!$$250), "", 'Data Entry'!$$250)</f>
      </c>
      <c r="CJ250">
        <f>IF(ISBLANK('Data Entry'!$$250), "", 'Data Entry'!$$250)</f>
      </c>
      <c r="CK250">
        <f>IF(ISBLANK('Data Entry'!$$250), "", 'Data Entry'!$$250)</f>
      </c>
      <c r="CL250">
        <f>IF(ISBLANK('Data Entry'!$$250), "", 'Data Entry'!$$250)</f>
      </c>
      <c r="CM250">
        <f>IF(ISBLANK('Data Entry'!$$250), "", 'Data Entry'!$$250)</f>
      </c>
      <c r="CN250">
        <f>IF(ISBLANK('Data Entry'!$$250), "", 'Data Entry'!$$250)</f>
      </c>
      <c r="CO250">
        <f>IF(ISBLANK('Data Entry'!$$250), "", 'Data Entry'!$$250)</f>
      </c>
      <c r="CP250">
        <f>IF(ISBLANK('Data Entry'!$$250), "", 'Data Entry'!$$250)</f>
      </c>
      <c r="CQ250">
        <f>IF(ISBLANK('Data Entry'!$$250), "", 'Data Entry'!$$250)</f>
      </c>
      <c r="CR250">
        <f>IF(ISBLANK('Data Entry'!$ $250), "", 'Data Entry'!$ $250)</f>
      </c>
      <c r="CS250">
        <f>IF(ISBLANK('Data Entry'!$¡$250), "", 'Data Entry'!$¡$250)</f>
      </c>
      <c r="CT250">
        <f>IF(ISBLANK('Data Entry'!$¢$250), "", 'Data Entry'!$¢$250)</f>
      </c>
      <c r="CU250">
        <f>IF(ISBLANK('Data Entry'!$£$250), "", 'Data Entry'!$£$250)</f>
      </c>
      <c r="CV250">
        <f>IF(ISBLANK('Data Entry'!$¤$250), "", 'Data Entry'!$¤$250)</f>
      </c>
      <c r="CW250">
        <f>IF(ISBLANK('Data Entry'!$¥$250), "", 'Data Entry'!$¥$250)</f>
      </c>
      <c r="CX250">
        <f>IF(ISBLANK('Data Entry'!$¦$250), "", 'Data Entry'!$¦$250)</f>
      </c>
      <c r="CY250">
        <f>IF(ISBLANK('Data Entry'!$§$250), "", 'Data Entry'!$§$250)</f>
      </c>
      <c r="CZ250">
        <f>IF(ISBLANK('Data Entry'!$¨$250), "", 'Data Entry'!$¨$250)</f>
      </c>
      <c r="DA250">
        <f>IF(ISBLANK('Data Entry'!$©$250), "", 'Data Entry'!$©$250)</f>
      </c>
      <c r="DB250">
        <f>IF(ISBLANK('Data Entry'!$ª$250), "", 'Data Entry'!$ª$250)</f>
      </c>
      <c r="DC250">
        <f>IF(ISBLANK('Data Entry'!$«$250), "", 'Data Entry'!$«$250)</f>
      </c>
      <c r="DD250">
        <f>IF(ISBLANK('Data Entry'!$¬$250), "", 'Data Entry'!$¬$250)</f>
      </c>
      <c r="DE250">
        <f>IF(ISBLANK('Data Entry'!$­$250), "", 'Data Entry'!$­$250)</f>
      </c>
      <c r="DF250">
        <f>IF(ISBLANK('Data Entry'!$®$250), "", 'Data Entry'!$®$250)</f>
      </c>
      <c r="DG250">
        <f>IF(ISBLANK('Data Entry'!$¯$250), "", 'Data Entry'!$¯$250)</f>
      </c>
      <c r="DH250">
        <f>IF(ISBLANK('Data Entry'!$°$250), "", 'Data Entry'!$°$250)</f>
      </c>
      <c r="DI250">
        <f>IF(ISBLANK('Data Entry'!$±$250), "", 'Data Entry'!$±$250)</f>
      </c>
      <c r="DJ250">
        <f>IF(ISBLANK('Data Entry'!$²$250), "", 'Data Entry'!$²$250)</f>
      </c>
      <c r="DK250">
        <f>IF(ISBLANK('Data Entry'!$³$250), "", 'Data Entry'!$³$250)</f>
      </c>
      <c r="DL250">
        <f>IF(ISBLANK('Data Entry'!$´$250), "", 'Data Entry'!$´$250)</f>
      </c>
      <c r="DM250">
        <f>IF(ISBLANK('Data Entry'!$µ$250), "", 'Data Entry'!$µ$250)</f>
      </c>
      <c r="DN250">
        <f>IF(ISBLANK('Data Entry'!$¶$250), "", 'Data Entry'!$¶$250)</f>
      </c>
      <c r="DO250">
        <f>IF(ISBLANK('Data Entry'!$·$250), "", 'Data Entry'!$·$250)</f>
      </c>
      <c r="DP250">
        <f>IF(ISBLANK('Data Entry'!$¸$250), "", 'Data Entry'!$¸$250)</f>
      </c>
      <c r="DQ250">
        <f>IF(ISBLANK('Data Entry'!$¹$250), "", 'Data Entry'!$¹$250)</f>
      </c>
      <c r="DR250">
        <f>IF(ISBLANK('Data Entry'!$º$250), "", 'Data Entry'!$º$250)</f>
      </c>
      <c r="DS250">
        <f>IF(ISBLANK('Data Entry'!$»$250), "", 'Data Entry'!$»$250)</f>
      </c>
      <c r="DT250">
        <f>IF(ISBLANK('Data Entry'!$¼$250), "", 'Data Entry'!$¼$250)</f>
      </c>
      <c r="DU250">
        <f>IF(ISBLANK('Data Entry'!$½$250), "", 'Data Entry'!$½$250)</f>
      </c>
      <c r="DV250">
        <f>IF(ISBLANK('Data Entry'!$¾$250), "", 'Data Entry'!$¾$250)</f>
      </c>
      <c r="DW250">
        <f>IF(ISBLANK('Data Entry'!$¿$250), "", 'Data Entry'!$¿$250)</f>
      </c>
      <c r="DX250">
        <f>IF(ISBLANK('Data Entry'!$À$250), "", 'Data Entry'!$À$250)</f>
      </c>
      <c r="DY250">
        <f>IF(ISBLANK('Data Entry'!$Á$250), "", 'Data Entry'!$Á$250)</f>
      </c>
      <c r="DZ250">
        <f>IF(ISBLANK('Data Entry'!$Â$250), "", 'Data Entry'!$Â$250)</f>
      </c>
      <c r="EA250">
        <f>IF(ISBLANK('Data Entry'!$Ã$250), "", 'Data Entry'!$Ã$250)</f>
      </c>
      <c r="EB250">
        <f>IF(ISBLANK('Data Entry'!$Ä$250), "", 'Data Entry'!$Ä$250)</f>
      </c>
      <c r="EC250">
        <f>IF(ISBLANK('Data Entry'!$Å$250), "", 'Data Entry'!$Å$250)</f>
      </c>
      <c r="ED250">
        <f>IF(ISBLANK('Data Entry'!$Æ$250), "", 'Data Entry'!$Æ$250)</f>
      </c>
      <c r="EE250">
        <f>IF(ISBLANK('Data Entry'!$Ç$250), "", 'Data Entry'!$Ç$250)</f>
      </c>
      <c r="EF250">
        <f>IF(ISBLANK('Data Entry'!$È$250), "", 'Data Entry'!$È$250)</f>
      </c>
      <c r="EG250">
        <f>IF(ISBLANK('Data Entry'!$É$250), "", 'Data Entry'!$É$250)</f>
      </c>
      <c r="EH250">
        <f>IF(ISBLANK('Data Entry'!$Ê$250), "", 'Data Entry'!$Ê$250)</f>
      </c>
      <c r="EI250">
        <f>IF(ISBLANK('Data Entry'!$Ë$250), "", 'Data Entry'!$Ë$250)</f>
      </c>
      <c r="EJ250">
        <f>IF(ISBLANK('Data Entry'!$Ì$250), "", 'Data Entry'!$Ì$250)</f>
      </c>
      <c r="EK250">
        <f>IF(ISBLANK('Data Entry'!$Í$250), "", 'Data Entry'!$Í$250)</f>
      </c>
      <c r="EL250">
        <f>IF(ISBLANK('Data Entry'!$Î$250), "", 'Data Entry'!$Î$250)</f>
      </c>
      <c r="EM250">
        <f>IF(ISBLANK('Data Entry'!$Ï$250), "", 'Data Entry'!$Ï$250)</f>
      </c>
      <c r="EN250">
        <f>IF(ISBLANK('Data Entry'!$Ð$250), "", 'Data Entry'!$Ð$250)</f>
      </c>
      <c r="EO250">
        <f>IF(ISBLANK('Data Entry'!$Ñ$250), "", 'Data Entry'!$Ñ$250)</f>
      </c>
      <c r="EP250">
        <f>IF(ISBLANK('Data Entry'!$Ò$250), "", 'Data Entry'!$Ò$250)</f>
      </c>
      <c r="EQ250">
        <f>IF(ISBLANK('Data Entry'!$Ó$250), "", 'Data Entry'!$Ó$250)</f>
      </c>
      <c r="ER250">
        <f>IF(ISBLANK('Data Entry'!$Ô$250), "", 'Data Entry'!$Ô$250)</f>
      </c>
      <c r="ES250">
        <f>IF(ISBLANK('Data Entry'!$Õ$250), "", 'Data Entry'!$Õ$250)</f>
      </c>
      <c r="ET250">
        <f>IF(ISBLANK('Data Entry'!$Ö$250), "", 'Data Entry'!$Ö$250)</f>
      </c>
      <c r="EU250">
        <f>IF(ISBLANK('Data Entry'!$×$250), "", 'Data Entry'!$×$250)</f>
      </c>
      <c r="EV250">
        <f>IF(ISBLANK('Data Entry'!$Ø$250), "", 'Data Entry'!$Ø$250)</f>
      </c>
      <c r="EW250">
        <f>IF(ISBLANK('Data Entry'!$Ù$250), "", 'Data Entry'!$Ù$250)</f>
      </c>
      <c r="EX250">
        <f>IF(ISBLANK('Data Entry'!$Ú$250), "", 'Data Entry'!$Ú$250)</f>
      </c>
      <c r="EY250">
        <f>IF(ISBLANK('Data Entry'!$Û$250), "", 'Data Entry'!$Û$250)</f>
      </c>
      <c r="EZ250">
        <f>IF(ISBLANK('Data Entry'!$Ü$250), "", 'Data Entry'!$Ü$250)</f>
      </c>
      <c r="FA250">
        <f>IF(ISBLANK('Data Entry'!$Ý$250), "", 'Data Entry'!$Ý$250)</f>
      </c>
      <c r="FB250">
        <f>IF(ISBLANK('Data Entry'!$Þ$250), "", 'Data Entry'!$Þ$250)</f>
      </c>
      <c r="FC250">
        <f>IF(ISBLANK('Data Entry'!$ß$250), "", 'Data Entry'!$ß$250)</f>
      </c>
      <c r="FD250">
        <f>IF(ISBLANK('Data Entry'!$à$250), "", 'Data Entry'!$à$250)</f>
      </c>
      <c r="FE250">
        <f>IF(ISBLANK('Data Entry'!$á$250), "", 'Data Entry'!$á$250)</f>
      </c>
      <c r="FF250">
        <f>IF(ISBLANK('Data Entry'!$â$250), "", 'Data Entry'!$â$250)</f>
      </c>
      <c r="FG250">
        <f>IF(ISBLANK('Data Entry'!$ã$250), "", 'Data Entry'!$ã$250)</f>
      </c>
      <c r="FH250">
        <f>IF(ISBLANK('Data Entry'!$ä$250), "", 'Data Entry'!$ä$250)</f>
      </c>
      <c r="FI250">
        <f>IF(ISBLANK('Data Entry'!$å$250), "", 'Data Entry'!$å$250)</f>
      </c>
      <c r="FJ250">
        <f>IF(ISBLANK('Data Entry'!$æ$250), "", 'Data Entry'!$æ$250)</f>
      </c>
      <c r="FK250">
        <f>IF(ISBLANK('Data Entry'!$ç$250), "", 'Data Entry'!$ç$250)</f>
      </c>
      <c r="FL250">
        <f>IF(ISBLANK('Data Entry'!$è$250), "", 'Data Entry'!$è$250)</f>
      </c>
      <c r="FM250">
        <f>IF(ISBLANK('Data Entry'!$é$250), "", 'Data Entry'!$é$250)</f>
      </c>
      <c r="FN250">
        <f>IF(ISBLANK('Data Entry'!$ê$250), "", 'Data Entry'!$ê$250)</f>
      </c>
      <c r="FO250">
        <f>IF(ISBLANK('Data Entry'!$ë$250), "", 'Data Entry'!$ë$250)</f>
      </c>
      <c r="FP250">
        <f>IF(ISBLANK('Data Entry'!$ì$250), "", 'Data Entry'!$ì$250)</f>
      </c>
      <c r="FQ250">
        <f>IF(ISBLANK('Data Entry'!$í$250), "", 'Data Entry'!$í$250)</f>
      </c>
      <c r="FR250">
        <f>IF(ISBLANK('Data Entry'!$î$250), "", 'Data Entry'!$î$250)</f>
      </c>
      <c r="FS250">
        <f>IF(ISBLANK('Data Entry'!$ï$250), "", 'Data Entry'!$ï$250)</f>
      </c>
      <c r="FT250">
        <f>IF(ISBLANK('Data Entry'!$ð$250), "", 'Data Entry'!$ð$250)</f>
      </c>
      <c r="FU250">
        <f>IF(ISBLANK('Data Entry'!$ñ$250), "", 'Data Entry'!$ñ$250)</f>
      </c>
      <c r="FV250">
        <f>IF(ISBLANK('Data Entry'!$ò$250), "", 'Data Entry'!$ò$250)</f>
      </c>
      <c r="FW250">
        <f>IF(ISBLANK('Data Entry'!$ó$250), "", 'Data Entry'!$ó$250)</f>
      </c>
      <c r="FX250">
        <f>IF(ISBLANK('Data Entry'!$ô$250), "", 'Data Entry'!$ô$250)</f>
      </c>
      <c r="FY250">
        <f>IF(ISBLANK('Data Entry'!$õ$250), "", 'Data Entry'!$õ$250)</f>
      </c>
      <c r="FZ250">
        <f>IF(ISBLANK('Data Entry'!$ö$250), "", 'Data Entry'!$ö$250)</f>
      </c>
      <c r="GA250">
        <f>IF(ISBLANK('Data Entry'!$÷$250), "", 'Data Entry'!$÷$250)</f>
      </c>
      <c r="GB250">
        <f>IF(ISBLANK('Data Entry'!$ø$250), "", 'Data Entry'!$ø$250)</f>
      </c>
      <c r="GC250">
        <f>IF(ISBLANK('Data Entry'!$ù$250), "", 'Data Entry'!$ù$250)</f>
      </c>
      <c r="GD250">
        <f>IF(ISBLANK('Data Entry'!$ú$250), "", 'Data Entry'!$ú$250)</f>
      </c>
      <c r="GE250">
        <f>IF(ISBLANK('Data Entry'!$û$250), "", 'Data Entry'!$û$250)</f>
      </c>
      <c r="GF250">
        <f>IF(ISBLANK('Data Entry'!$ü$250), "", 'Data Entry'!$ü$250)</f>
      </c>
      <c r="GG250">
        <f>IF(ISBLANK('Data Entry'!$ý$250), "", 'Data Entry'!$ý$250)</f>
      </c>
      <c r="GH250">
        <f>IF(ISBLANK('Data Entry'!$þ$250), "", 'Data Entry'!$þ$250)</f>
      </c>
      <c r="GI250">
        <f>IF(ISBLANK('Data Entry'!$ÿ$250), "", 'Data Entry'!$ÿ$250)</f>
      </c>
      <c r="GJ250">
        <f>IF(ISBLANK('Data Entry'!$Ā$250), "", 'Data Entry'!$Ā$250)</f>
      </c>
      <c r="GK250">
        <f>IF(ISBLANK('Data Entry'!$ā$250), "", 'Data Entry'!$ā$250)</f>
      </c>
      <c r="GL250">
        <f>IF(ISBLANK('Data Entry'!$Ă$250), "", 'Data Entry'!$Ă$250)</f>
      </c>
      <c r="GM250">
        <f>IF(ISBLANK('Data Entry'!$ă$250), "", 'Data Entry'!$ă$250)</f>
      </c>
      <c r="GN250">
        <f>IF(ISBLANK('Data Entry'!$Ą$250), "", 'Data Entry'!$Ą$250)</f>
      </c>
      <c r="GO250">
        <f>IF(ISBLANK('Data Entry'!$ą$250), "", 'Data Entry'!$ą$250)</f>
      </c>
      <c r="GP250">
        <f>IF(ISBLANK('Data Entry'!$Ć$250), "", 'Data Entry'!$Ć$250)</f>
      </c>
      <c r="GQ250">
        <f>IF(ISBLANK('Data Entry'!$ć$250), "", 'Data Entry'!$ć$250)</f>
      </c>
      <c r="GR250">
        <f>IF(ISBLANK('Data Entry'!$Ĉ$250), "", 'Data Entry'!$Ĉ$250)</f>
      </c>
      <c r="GS250">
        <f>IF(ISBLANK('Data Entry'!$ĉ$250), "", 'Data Entry'!$ĉ$250)</f>
      </c>
      <c r="GT250">
        <f>IF(ISBLANK('Data Entry'!$Ċ$250), "", 'Data Entry'!$Ċ$250)</f>
      </c>
      <c r="GU250">
        <f>IF(ISBLANK('Data Entry'!$ċ$250), "", 'Data Entry'!$ċ$250)</f>
      </c>
      <c r="GV250">
        <f>IF(ISBLANK('Data Entry'!$Č$250), "", 'Data Entry'!$Č$250)</f>
      </c>
      <c r="GW250">
        <f>IF(ISBLANK('Data Entry'!$č$250), "", 'Data Entry'!$č$250)</f>
      </c>
      <c r="GX250">
        <f>IF(ISBLANK('Data Entry'!$Ď$250), "", 'Data Entry'!$Ď$250)</f>
      </c>
      <c r="GY250">
        <f>IF(ISBLANK('Data Entry'!$ď$250), "", 'Data Entry'!$ď$250)</f>
      </c>
      <c r="GZ250">
        <f>IF(ISBLANK('Data Entry'!$Đ$250), "", 'Data Entry'!$Đ$250)</f>
      </c>
      <c r="HA250">
        <f>IF(ISBLANK('Data Entry'!$đ$250), "", 'Data Entry'!$đ$250)</f>
      </c>
      <c r="HB250">
        <f>IF(ISBLANK('Data Entry'!$Ē$250), "", 'Data Entry'!$Ē$250)</f>
      </c>
      <c r="HC250">
        <f>IF(ISBLANK('Data Entry'!$ē$250), "", 'Data Entry'!$ē$250)</f>
      </c>
      <c r="HD250">
        <f>IF(ISBLANK('Data Entry'!$Ĕ$250), "", 'Data Entry'!$Ĕ$250)</f>
      </c>
      <c r="HE250">
        <f>IF(ISBLANK('Data Entry'!$ĕ$250), "", 'Data Entry'!$ĕ$250)</f>
      </c>
      <c r="HF250">
        <f>IF(ISBLANK('Data Entry'!$Ė$250), "", 'Data Entry'!$Ė$250)</f>
      </c>
      <c r="HG250">
        <f>IF(ISBLANK('Data Entry'!$ė$250), "", 'Data Entry'!$ė$250)</f>
      </c>
      <c r="HH250">
        <f>IF(ISBLANK('Data Entry'!$Ę$250), "", 'Data Entry'!$Ę$250)</f>
      </c>
      <c r="HI250">
        <f>IF(ISBLANK('Data Entry'!$ę$250), "", 'Data Entry'!$ę$250)</f>
      </c>
      <c r="HJ250">
        <f>IF(ISBLANK('Data Entry'!$Ě$250), "", 'Data Entry'!$Ě$250)</f>
      </c>
      <c r="HK250">
        <f>IF(ISBLANK('Data Entry'!$ě$250), "", 'Data Entry'!$ě$250)</f>
      </c>
      <c r="HL250">
        <f>IF(ISBLANK('Data Entry'!$Ĝ$250), "", 'Data Entry'!$Ĝ$250)</f>
      </c>
      <c r="HM250">
        <f>IF(ISBLANK('Data Entry'!$ĝ$250), "", 'Data Entry'!$ĝ$250)</f>
      </c>
      <c r="HN250">
        <f>IF(ISBLANK('Data Entry'!$Ğ$250), "", 'Data Entry'!$Ğ$250)</f>
      </c>
      <c r="HO250">
        <f>IF(ISBLANK('Data Entry'!$ğ$250), "", 'Data Entry'!$ğ$250)</f>
      </c>
      <c r="HP250">
        <f>IF(ISBLANK('Data Entry'!$Ġ$250), "", 'Data Entry'!$Ġ$250)</f>
      </c>
      <c r="HQ250">
        <f>IF(ISBLANK('Data Entry'!$ġ$250), "", 'Data Entry'!$ġ$250)</f>
      </c>
      <c r="HR250">
        <f>IF(ISBLANK('Data Entry'!$Ģ$250), "", 'Data Entry'!$Ģ$250)</f>
      </c>
      <c r="HS250">
        <f>IF(ISBLANK('Data Entry'!$ģ$250), "", 'Data Entry'!$ģ$250)</f>
      </c>
      <c r="HT250">
        <f>IF(ISBLANK('Data Entry'!$Ĥ$250), "", 'Data Entry'!$Ĥ$250)</f>
      </c>
      <c r="HU250">
        <f>IF(ISBLANK('Data Entry'!$ĥ$250), "", 'Data Entry'!$ĥ$250)</f>
      </c>
      <c r="HV250">
        <f>IF(ISBLANK('Data Entry'!$Ħ$250), "", 'Data Entry'!$Ħ$250)</f>
      </c>
      <c r="HW250">
        <f>IF(ISBLANK('Data Entry'!$ħ$250), "", 'Data Entry'!$ħ$250)</f>
      </c>
      <c r="HX250">
        <f>IF(ISBLANK('Data Entry'!$Ĩ$250), "", 'Data Entry'!$Ĩ$250)</f>
      </c>
      <c r="HY250">
        <f>IF(ISBLANK('Data Entry'!$ĩ$250), "", 'Data Entry'!$ĩ$250)</f>
      </c>
      <c r="HZ250">
        <f>IF(ISBLANK('Data Entry'!$Ī$250), "", 'Data Entry'!$Ī$250)</f>
      </c>
      <c r="IA250">
        <f>IF(ISBLANK('Data Entry'!$ī$250), "", 'Data Entry'!$ī$250)</f>
      </c>
      <c r="IB250">
        <f>IF(ISBLANK('Data Entry'!$Ĭ$250), "", 'Data Entry'!$Ĭ$250)</f>
      </c>
      <c r="IC250">
        <f>IF(ISBLANK('Data Entry'!$ĭ$250), "", 'Data Entry'!$ĭ$250)</f>
      </c>
      <c r="ID250">
        <f>IF(ISBLANK('Data Entry'!$Į$250), "", 'Data Entry'!$Į$250)</f>
      </c>
      <c r="IE250">
        <f>IF(ISBLANK('Data Entry'!$į$250), "", 'Data Entry'!$į$250)</f>
      </c>
      <c r="IF250">
        <f>IF(ISBLANK('Data Entry'!$İ$250), "", 'Data Entry'!$İ$250)</f>
      </c>
      <c r="IG250">
        <f>IF(ISBLANK('Data Entry'!$ı$250), "", 'Data Entry'!$ı$250)</f>
      </c>
      <c r="IH250">
        <f>IF(ISBLANK('Data Entry'!$Ĳ$250), "", 'Data Entry'!$Ĳ$250)</f>
      </c>
      <c r="II250">
        <f>IF(ISBLANK('Data Entry'!$ĳ$250), "", 'Data Entry'!$ĳ$250)</f>
      </c>
      <c r="IJ250">
        <f>IF(ISBLANK('Data Entry'!$Ĵ$250), "", 'Data Entry'!$Ĵ$250)</f>
      </c>
      <c r="IK250">
        <f>IF(ISBLANK('Data Entry'!$ĵ$250), "", 'Data Entry'!$ĵ$250)</f>
      </c>
      <c r="IL250">
        <f>IF(ISBLANK('Data Entry'!$Ķ$250), "", 'Data Entry'!$Ķ$250)</f>
      </c>
      <c r="IM250">
        <f>IF(ISBLANK('Data Entry'!$ķ$250), "", 'Data Entry'!$ķ$250)</f>
      </c>
      <c r="IN250">
        <f>IF(ISBLANK('Data Entry'!$ĸ$250), "", 'Data Entry'!$ĸ$250)</f>
      </c>
      <c r="IO250">
        <f>IF(ISBLANK('Data Entry'!$Ĺ$250), "", 'Data Entry'!$Ĺ$250)</f>
      </c>
      <c r="IP250">
        <f>IF(ISBLANK('Data Entry'!$ĺ$250), "", 'Data Entry'!$ĺ$250)</f>
      </c>
      <c r="IQ250">
        <f>IF(ISBLANK('Data Entry'!$Ļ$250), "", 'Data Entry'!$Ļ$250)</f>
      </c>
      <c r="IR250">
        <f>IF(ISBLANK('Data Entry'!$ļ$250), "", 'Data Entry'!$ļ$250)</f>
      </c>
      <c r="IS250">
        <f>IF(ISBLANK('Data Entry'!$Ľ$250), "", 'Data Entry'!$Ľ$250)</f>
      </c>
      <c r="IT250">
        <f>IF(ISBLANK('Data Entry'!$ľ$250), "", 'Data Entry'!$ľ$250)</f>
      </c>
    </row>
    <row r="251" spans="1:254" x14ac:dyDescent="0.25">
      <c r="A251">
        <f>IF(ISBLANK('Data Entry'!$A$251), "", 'Data Entry'!$A$251)</f>
      </c>
      <c r="B251">
        <f>IF(ISBLANK('Data Entry'!$B$251), "", 'Data Entry'!$B$251)</f>
      </c>
      <c r="C251">
        <f>IF(ISBLANK('Data Entry'!$C$251), "", 'Data Entry'!$C$251)</f>
      </c>
      <c r="D251">
        <f>IF(ISBLANK('Data Entry'!$D$251), "", 'Data Entry'!$D$251)</f>
      </c>
      <c r="E251">
        <f>IF(ISBLANK('Data Entry'!$E$251), "", 'Data Entry'!$E$251)</f>
      </c>
      <c r="F251">
        <f>IF(ISBLANK('Data Entry'!$F$251), "", 'Data Entry'!$F$251)</f>
      </c>
      <c r="G251">
        <f>IF(ISBLANK('Data Entry'!$G$251), "", 'Data Entry'!$G$251)</f>
      </c>
      <c r="H251">
        <f>IF(ISBLANK('Data Entry'!$H$251), "", 'Data Entry'!$H$251)</f>
      </c>
      <c r="I251">
        <f>IF(ISBLANK('Data Entry'!$I$251), "", 'Data Entry'!$I$251)</f>
      </c>
      <c r="J251">
        <f>IF(ISBLANK('Data Entry'!$J$251), "", 'Data Entry'!$J$251)</f>
      </c>
      <c r="K251">
        <f>IF(ISBLANK('Data Entry'!$K$251), "", 'Data Entry'!$K$251)</f>
      </c>
      <c r="L251">
        <f>IF(ISBLANK('Data Entry'!$L$251), "", 'Data Entry'!$L$251)</f>
      </c>
      <c r="M251">
        <f>IF(ISBLANK('Data Entry'!$M$251), "", 'Data Entry'!$M$251)</f>
      </c>
      <c r="N251">
        <f>IF(ISBLANK('Data Entry'!$N$251), "", 'Data Entry'!$N$251)</f>
      </c>
      <c r="O251">
        <f>IF(ISBLANK('Data Entry'!$O$251), "", 'Data Entry'!$O$251)</f>
      </c>
      <c r="P251">
        <f>IF(ISBLANK('Data Entry'!$P$251), "", 'Data Entry'!$P$251)</f>
      </c>
      <c r="Q251">
        <f>IF(ISBLANK('Data Entry'!$Q$251), "", 'Data Entry'!$Q$251)</f>
      </c>
      <c r="R251">
        <f>IF(ISBLANK('Data Entry'!$R$251), "", 'Data Entry'!$R$251)</f>
      </c>
      <c r="S251">
        <f>IF(ISBLANK('Data Entry'!$S$251), "", 'Data Entry'!$S$251)</f>
      </c>
      <c r="T251">
        <f>IF(ISBLANK('Data Entry'!$T$251), "", 'Data Entry'!$T$251)</f>
      </c>
      <c r="U251">
        <f>IF(ISBLANK('Data Entry'!$U$251), "", 'Data Entry'!$U$251)</f>
      </c>
      <c r="V251">
        <f>IF(ISBLANK('Data Entry'!$V$251), "", 'Data Entry'!$V$251)</f>
      </c>
      <c r="W251">
        <f>IF(ISBLANK('Data Entry'!$W$251), "", 'Data Entry'!$W$251)</f>
      </c>
      <c r="X251">
        <f>IF(ISBLANK('Data Entry'!$X$251), "", 'Data Entry'!$X$251)</f>
      </c>
      <c r="Y251">
        <f>IF(ISBLANK('Data Entry'!$Y$251), "", 'Data Entry'!$Y$251)</f>
      </c>
      <c r="Z251">
        <f>IF(ISBLANK('Data Entry'!$Z$251), "", 'Data Entry'!$Z$251)</f>
      </c>
      <c r="AA251">
        <f>IF(ISBLANK('Data Entry'!$[$251), "", 'Data Entry'!$[$251)</f>
      </c>
      <c r="AB251">
        <f>IF(ISBLANK('Data Entry'!$\$251), "", 'Data Entry'!$\$251)</f>
      </c>
      <c r="AC251">
        <f>IF(ISBLANK('Data Entry'!$]$251), "", 'Data Entry'!$]$251)</f>
      </c>
      <c r="AD251">
        <f>IF(ISBLANK('Data Entry'!$^$251), "", 'Data Entry'!$^$251)</f>
      </c>
      <c r="AE251">
        <f>IF(ISBLANK('Data Entry'!$_$251), "", 'Data Entry'!$_$251)</f>
      </c>
      <c r="AF251">
        <f>IF(ISBLANK('Data Entry'!$`$251), "", 'Data Entry'!$`$251)</f>
      </c>
      <c r="AG251">
        <f>IF(ISBLANK('Data Entry'!$a$251), "", 'Data Entry'!$a$251)</f>
      </c>
      <c r="AH251">
        <f>IF(ISBLANK('Data Entry'!$b$251), "", 'Data Entry'!$b$251)</f>
      </c>
      <c r="AI251">
        <f>IF(ISBLANK('Data Entry'!$c$251), "", 'Data Entry'!$c$251)</f>
      </c>
      <c r="AJ251">
        <f>IF(ISBLANK('Data Entry'!$d$251), "", 'Data Entry'!$d$251)</f>
      </c>
      <c r="AK251">
        <f>IF(ISBLANK('Data Entry'!$e$251), "", 'Data Entry'!$e$251)</f>
      </c>
      <c r="AL251">
        <f>IF(ISBLANK('Data Entry'!$f$251), "", 'Data Entry'!$f$251)</f>
      </c>
      <c r="AM251">
        <f>IF(ISBLANK('Data Entry'!$g$251), "", 'Data Entry'!$g$251)</f>
      </c>
      <c r="AN251">
        <f>IF(ISBLANK('Data Entry'!$h$251), "", 'Data Entry'!$h$251)</f>
      </c>
      <c r="AO251">
        <f>IF(ISBLANK('Data Entry'!$i$251), "", 'Data Entry'!$i$251)</f>
      </c>
      <c r="AP251">
        <f>IF(ISBLANK('Data Entry'!$j$251), "", 'Data Entry'!$j$251)</f>
      </c>
      <c r="AQ251">
        <f>IF(ISBLANK('Data Entry'!$k$251), "", 'Data Entry'!$k$251)</f>
      </c>
      <c r="AR251">
        <f>IF(ISBLANK('Data Entry'!$l$251), "", 'Data Entry'!$l$251)</f>
      </c>
      <c r="AS251">
        <f>IF(ISBLANK('Data Entry'!$m$251), "", 'Data Entry'!$m$251)</f>
      </c>
      <c r="AT251">
        <f>IF(ISBLANK('Data Entry'!$n$251), "", 'Data Entry'!$n$251)</f>
      </c>
      <c r="AU251">
        <f>IF(ISBLANK('Data Entry'!$o$251), "", 'Data Entry'!$o$251)</f>
      </c>
      <c r="AV251">
        <f>IF(ISBLANK('Data Entry'!$p$251), "", 'Data Entry'!$p$251)</f>
      </c>
      <c r="AW251">
        <f>IF(ISBLANK('Data Entry'!$q$251), "", 'Data Entry'!$q$251)</f>
      </c>
      <c r="AX251">
        <f>IF(ISBLANK('Data Entry'!$r$251), "", 'Data Entry'!$r$251)</f>
      </c>
      <c r="AY251">
        <f>IF(ISBLANK('Data Entry'!$s$251), "", 'Data Entry'!$s$251)</f>
      </c>
      <c r="AZ251">
        <f>IF(ISBLANK('Data Entry'!$t$251), "", 'Data Entry'!$t$251)</f>
      </c>
      <c r="BA251">
        <f>IF(ISBLANK('Data Entry'!$u$251), "", 'Data Entry'!$u$251)</f>
      </c>
      <c r="BB251">
        <f>IF(ISBLANK('Data Entry'!$v$251), "", 'Data Entry'!$v$251)</f>
      </c>
      <c r="BC251">
        <f>IF(ISBLANK('Data Entry'!$w$251), "", 'Data Entry'!$w$251)</f>
      </c>
      <c r="BD251">
        <f>IF(ISBLANK('Data Entry'!$x$251), "", 'Data Entry'!$x$251)</f>
      </c>
      <c r="BE251">
        <f>IF(ISBLANK('Data Entry'!$y$251), "", 'Data Entry'!$y$251)</f>
      </c>
      <c r="BF251">
        <f>IF(ISBLANK('Data Entry'!$z$251), "", 'Data Entry'!$z$251)</f>
      </c>
      <c r="BG251">
        <f>IF(ISBLANK('Data Entry'!${$251), "", 'Data Entry'!${$251)</f>
      </c>
      <c r="BH251">
        <f>IF(ISBLANK('Data Entry'!$|$251), "", 'Data Entry'!$|$251)</f>
      </c>
      <c r="BI251">
        <f>IF(ISBLANK('Data Entry'!$}$251), "", 'Data Entry'!$}$251)</f>
      </c>
      <c r="BJ251">
        <f>IF(ISBLANK('Data Entry'!$~$251), "", 'Data Entry'!$~$251)</f>
      </c>
      <c r="BK251">
        <f>IF(ISBLANK('Data Entry'!$$251), "", 'Data Entry'!$$251)</f>
      </c>
      <c r="BL251">
        <f>IF(ISBLANK('Data Entry'!$$251), "", 'Data Entry'!$$251)</f>
      </c>
      <c r="BM251">
        <f>IF(ISBLANK('Data Entry'!$$251), "", 'Data Entry'!$$251)</f>
      </c>
      <c r="BN251">
        <f>IF(ISBLANK('Data Entry'!$$251), "", 'Data Entry'!$$251)</f>
      </c>
      <c r="BO251">
        <f>IF(ISBLANK('Data Entry'!$$251), "", 'Data Entry'!$$251)</f>
      </c>
      <c r="BP251">
        <f>IF(ISBLANK('Data Entry'!$$251), "", 'Data Entry'!$$251)</f>
      </c>
      <c r="BQ251">
        <f>IF(ISBLANK('Data Entry'!$$251), "", 'Data Entry'!$$251)</f>
      </c>
      <c r="BR251">
        <f>IF(ISBLANK('Data Entry'!$$251), "", 'Data Entry'!$$251)</f>
      </c>
      <c r="BS251">
        <f>IF(ISBLANK('Data Entry'!$$251), "", 'Data Entry'!$$251)</f>
      </c>
      <c r="BT251">
        <f>IF(ISBLANK('Data Entry'!$$251), "", 'Data Entry'!$$251)</f>
      </c>
      <c r="BU251">
        <f>IF(ISBLANK('Data Entry'!$$251), "", 'Data Entry'!$$251)</f>
      </c>
      <c r="BV251">
        <f>IF(ISBLANK('Data Entry'!$$251), "", 'Data Entry'!$$251)</f>
      </c>
      <c r="BW251">
        <f>IF(ISBLANK('Data Entry'!$$251), "", 'Data Entry'!$$251)</f>
      </c>
      <c r="BX251">
        <f>IF(ISBLANK('Data Entry'!$$251), "", 'Data Entry'!$$251)</f>
      </c>
      <c r="BY251">
        <f>IF(ISBLANK('Data Entry'!$$251), "", 'Data Entry'!$$251)</f>
      </c>
      <c r="BZ251">
        <f>IF(ISBLANK('Data Entry'!$$251), "", 'Data Entry'!$$251)</f>
      </c>
      <c r="CA251">
        <f>IF(ISBLANK('Data Entry'!$$251), "", 'Data Entry'!$$251)</f>
      </c>
      <c r="CB251">
        <f>IF(ISBLANK('Data Entry'!$$251), "", 'Data Entry'!$$251)</f>
      </c>
      <c r="CC251">
        <f>IF(ISBLANK('Data Entry'!$$251), "", 'Data Entry'!$$251)</f>
      </c>
      <c r="CD251">
        <f>IF(ISBLANK('Data Entry'!$$251), "", 'Data Entry'!$$251)</f>
      </c>
      <c r="CE251">
        <f>IF(ISBLANK('Data Entry'!$$251), "", 'Data Entry'!$$251)</f>
      </c>
      <c r="CF251">
        <f>IF(ISBLANK('Data Entry'!$$251), "", 'Data Entry'!$$251)</f>
      </c>
      <c r="CG251">
        <f>IF(ISBLANK('Data Entry'!$$251), "", 'Data Entry'!$$251)</f>
      </c>
      <c r="CH251">
        <f>IF(ISBLANK('Data Entry'!$$251), "", 'Data Entry'!$$251)</f>
      </c>
      <c r="CI251">
        <f>IF(ISBLANK('Data Entry'!$$251), "", 'Data Entry'!$$251)</f>
      </c>
      <c r="CJ251">
        <f>IF(ISBLANK('Data Entry'!$$251), "", 'Data Entry'!$$251)</f>
      </c>
      <c r="CK251">
        <f>IF(ISBLANK('Data Entry'!$$251), "", 'Data Entry'!$$251)</f>
      </c>
      <c r="CL251">
        <f>IF(ISBLANK('Data Entry'!$$251), "", 'Data Entry'!$$251)</f>
      </c>
      <c r="CM251">
        <f>IF(ISBLANK('Data Entry'!$$251), "", 'Data Entry'!$$251)</f>
      </c>
      <c r="CN251">
        <f>IF(ISBLANK('Data Entry'!$$251), "", 'Data Entry'!$$251)</f>
      </c>
      <c r="CO251">
        <f>IF(ISBLANK('Data Entry'!$$251), "", 'Data Entry'!$$251)</f>
      </c>
      <c r="CP251">
        <f>IF(ISBLANK('Data Entry'!$$251), "", 'Data Entry'!$$251)</f>
      </c>
      <c r="CQ251">
        <f>IF(ISBLANK('Data Entry'!$$251), "", 'Data Entry'!$$251)</f>
      </c>
      <c r="CR251">
        <f>IF(ISBLANK('Data Entry'!$ $251), "", 'Data Entry'!$ $251)</f>
      </c>
      <c r="CS251">
        <f>IF(ISBLANK('Data Entry'!$¡$251), "", 'Data Entry'!$¡$251)</f>
      </c>
      <c r="CT251">
        <f>IF(ISBLANK('Data Entry'!$¢$251), "", 'Data Entry'!$¢$251)</f>
      </c>
      <c r="CU251">
        <f>IF(ISBLANK('Data Entry'!$£$251), "", 'Data Entry'!$£$251)</f>
      </c>
      <c r="CV251">
        <f>IF(ISBLANK('Data Entry'!$¤$251), "", 'Data Entry'!$¤$251)</f>
      </c>
      <c r="CW251">
        <f>IF(ISBLANK('Data Entry'!$¥$251), "", 'Data Entry'!$¥$251)</f>
      </c>
      <c r="CX251">
        <f>IF(ISBLANK('Data Entry'!$¦$251), "", 'Data Entry'!$¦$251)</f>
      </c>
      <c r="CY251">
        <f>IF(ISBLANK('Data Entry'!$§$251), "", 'Data Entry'!$§$251)</f>
      </c>
      <c r="CZ251">
        <f>IF(ISBLANK('Data Entry'!$¨$251), "", 'Data Entry'!$¨$251)</f>
      </c>
      <c r="DA251">
        <f>IF(ISBLANK('Data Entry'!$©$251), "", 'Data Entry'!$©$251)</f>
      </c>
      <c r="DB251">
        <f>IF(ISBLANK('Data Entry'!$ª$251), "", 'Data Entry'!$ª$251)</f>
      </c>
      <c r="DC251">
        <f>IF(ISBLANK('Data Entry'!$«$251), "", 'Data Entry'!$«$251)</f>
      </c>
      <c r="DD251">
        <f>IF(ISBLANK('Data Entry'!$¬$251), "", 'Data Entry'!$¬$251)</f>
      </c>
      <c r="DE251">
        <f>IF(ISBLANK('Data Entry'!$­$251), "", 'Data Entry'!$­$251)</f>
      </c>
      <c r="DF251">
        <f>IF(ISBLANK('Data Entry'!$®$251), "", 'Data Entry'!$®$251)</f>
      </c>
      <c r="DG251">
        <f>IF(ISBLANK('Data Entry'!$¯$251), "", 'Data Entry'!$¯$251)</f>
      </c>
      <c r="DH251">
        <f>IF(ISBLANK('Data Entry'!$°$251), "", 'Data Entry'!$°$251)</f>
      </c>
      <c r="DI251">
        <f>IF(ISBLANK('Data Entry'!$±$251), "", 'Data Entry'!$±$251)</f>
      </c>
      <c r="DJ251">
        <f>IF(ISBLANK('Data Entry'!$²$251), "", 'Data Entry'!$²$251)</f>
      </c>
      <c r="DK251">
        <f>IF(ISBLANK('Data Entry'!$³$251), "", 'Data Entry'!$³$251)</f>
      </c>
      <c r="DL251">
        <f>IF(ISBLANK('Data Entry'!$´$251), "", 'Data Entry'!$´$251)</f>
      </c>
      <c r="DM251">
        <f>IF(ISBLANK('Data Entry'!$µ$251), "", 'Data Entry'!$µ$251)</f>
      </c>
      <c r="DN251">
        <f>IF(ISBLANK('Data Entry'!$¶$251), "", 'Data Entry'!$¶$251)</f>
      </c>
      <c r="DO251">
        <f>IF(ISBLANK('Data Entry'!$·$251), "", 'Data Entry'!$·$251)</f>
      </c>
      <c r="DP251">
        <f>IF(ISBLANK('Data Entry'!$¸$251), "", 'Data Entry'!$¸$251)</f>
      </c>
      <c r="DQ251">
        <f>IF(ISBLANK('Data Entry'!$¹$251), "", 'Data Entry'!$¹$251)</f>
      </c>
      <c r="DR251">
        <f>IF(ISBLANK('Data Entry'!$º$251), "", 'Data Entry'!$º$251)</f>
      </c>
      <c r="DS251">
        <f>IF(ISBLANK('Data Entry'!$»$251), "", 'Data Entry'!$»$251)</f>
      </c>
      <c r="DT251">
        <f>IF(ISBLANK('Data Entry'!$¼$251), "", 'Data Entry'!$¼$251)</f>
      </c>
      <c r="DU251">
        <f>IF(ISBLANK('Data Entry'!$½$251), "", 'Data Entry'!$½$251)</f>
      </c>
      <c r="DV251">
        <f>IF(ISBLANK('Data Entry'!$¾$251), "", 'Data Entry'!$¾$251)</f>
      </c>
      <c r="DW251">
        <f>IF(ISBLANK('Data Entry'!$¿$251), "", 'Data Entry'!$¿$251)</f>
      </c>
      <c r="DX251">
        <f>IF(ISBLANK('Data Entry'!$À$251), "", 'Data Entry'!$À$251)</f>
      </c>
      <c r="DY251">
        <f>IF(ISBLANK('Data Entry'!$Á$251), "", 'Data Entry'!$Á$251)</f>
      </c>
      <c r="DZ251">
        <f>IF(ISBLANK('Data Entry'!$Â$251), "", 'Data Entry'!$Â$251)</f>
      </c>
      <c r="EA251">
        <f>IF(ISBLANK('Data Entry'!$Ã$251), "", 'Data Entry'!$Ã$251)</f>
      </c>
      <c r="EB251">
        <f>IF(ISBLANK('Data Entry'!$Ä$251), "", 'Data Entry'!$Ä$251)</f>
      </c>
      <c r="EC251">
        <f>IF(ISBLANK('Data Entry'!$Å$251), "", 'Data Entry'!$Å$251)</f>
      </c>
      <c r="ED251">
        <f>IF(ISBLANK('Data Entry'!$Æ$251), "", 'Data Entry'!$Æ$251)</f>
      </c>
      <c r="EE251">
        <f>IF(ISBLANK('Data Entry'!$Ç$251), "", 'Data Entry'!$Ç$251)</f>
      </c>
      <c r="EF251">
        <f>IF(ISBLANK('Data Entry'!$È$251), "", 'Data Entry'!$È$251)</f>
      </c>
      <c r="EG251">
        <f>IF(ISBLANK('Data Entry'!$É$251), "", 'Data Entry'!$É$251)</f>
      </c>
      <c r="EH251">
        <f>IF(ISBLANK('Data Entry'!$Ê$251), "", 'Data Entry'!$Ê$251)</f>
      </c>
      <c r="EI251">
        <f>IF(ISBLANK('Data Entry'!$Ë$251), "", 'Data Entry'!$Ë$251)</f>
      </c>
      <c r="EJ251">
        <f>IF(ISBLANK('Data Entry'!$Ì$251), "", 'Data Entry'!$Ì$251)</f>
      </c>
      <c r="EK251">
        <f>IF(ISBLANK('Data Entry'!$Í$251), "", 'Data Entry'!$Í$251)</f>
      </c>
      <c r="EL251">
        <f>IF(ISBLANK('Data Entry'!$Î$251), "", 'Data Entry'!$Î$251)</f>
      </c>
      <c r="EM251">
        <f>IF(ISBLANK('Data Entry'!$Ï$251), "", 'Data Entry'!$Ï$251)</f>
      </c>
      <c r="EN251">
        <f>IF(ISBLANK('Data Entry'!$Ð$251), "", 'Data Entry'!$Ð$251)</f>
      </c>
      <c r="EO251">
        <f>IF(ISBLANK('Data Entry'!$Ñ$251), "", 'Data Entry'!$Ñ$251)</f>
      </c>
      <c r="EP251">
        <f>IF(ISBLANK('Data Entry'!$Ò$251), "", 'Data Entry'!$Ò$251)</f>
      </c>
      <c r="EQ251">
        <f>IF(ISBLANK('Data Entry'!$Ó$251), "", 'Data Entry'!$Ó$251)</f>
      </c>
      <c r="ER251">
        <f>IF(ISBLANK('Data Entry'!$Ô$251), "", 'Data Entry'!$Ô$251)</f>
      </c>
      <c r="ES251">
        <f>IF(ISBLANK('Data Entry'!$Õ$251), "", 'Data Entry'!$Õ$251)</f>
      </c>
      <c r="ET251">
        <f>IF(ISBLANK('Data Entry'!$Ö$251), "", 'Data Entry'!$Ö$251)</f>
      </c>
      <c r="EU251">
        <f>IF(ISBLANK('Data Entry'!$×$251), "", 'Data Entry'!$×$251)</f>
      </c>
      <c r="EV251">
        <f>IF(ISBLANK('Data Entry'!$Ø$251), "", 'Data Entry'!$Ø$251)</f>
      </c>
      <c r="EW251">
        <f>IF(ISBLANK('Data Entry'!$Ù$251), "", 'Data Entry'!$Ù$251)</f>
      </c>
      <c r="EX251">
        <f>IF(ISBLANK('Data Entry'!$Ú$251), "", 'Data Entry'!$Ú$251)</f>
      </c>
      <c r="EY251">
        <f>IF(ISBLANK('Data Entry'!$Û$251), "", 'Data Entry'!$Û$251)</f>
      </c>
      <c r="EZ251">
        <f>IF(ISBLANK('Data Entry'!$Ü$251), "", 'Data Entry'!$Ü$251)</f>
      </c>
      <c r="FA251">
        <f>IF(ISBLANK('Data Entry'!$Ý$251), "", 'Data Entry'!$Ý$251)</f>
      </c>
      <c r="FB251">
        <f>IF(ISBLANK('Data Entry'!$Þ$251), "", 'Data Entry'!$Þ$251)</f>
      </c>
      <c r="FC251">
        <f>IF(ISBLANK('Data Entry'!$ß$251), "", 'Data Entry'!$ß$251)</f>
      </c>
      <c r="FD251">
        <f>IF(ISBLANK('Data Entry'!$à$251), "", 'Data Entry'!$à$251)</f>
      </c>
      <c r="FE251">
        <f>IF(ISBLANK('Data Entry'!$á$251), "", 'Data Entry'!$á$251)</f>
      </c>
      <c r="FF251">
        <f>IF(ISBLANK('Data Entry'!$â$251), "", 'Data Entry'!$â$251)</f>
      </c>
      <c r="FG251">
        <f>IF(ISBLANK('Data Entry'!$ã$251), "", 'Data Entry'!$ã$251)</f>
      </c>
      <c r="FH251">
        <f>IF(ISBLANK('Data Entry'!$ä$251), "", 'Data Entry'!$ä$251)</f>
      </c>
      <c r="FI251">
        <f>IF(ISBLANK('Data Entry'!$å$251), "", 'Data Entry'!$å$251)</f>
      </c>
      <c r="FJ251">
        <f>IF(ISBLANK('Data Entry'!$æ$251), "", 'Data Entry'!$æ$251)</f>
      </c>
      <c r="FK251">
        <f>IF(ISBLANK('Data Entry'!$ç$251), "", 'Data Entry'!$ç$251)</f>
      </c>
      <c r="FL251">
        <f>IF(ISBLANK('Data Entry'!$è$251), "", 'Data Entry'!$è$251)</f>
      </c>
      <c r="FM251">
        <f>IF(ISBLANK('Data Entry'!$é$251), "", 'Data Entry'!$é$251)</f>
      </c>
      <c r="FN251">
        <f>IF(ISBLANK('Data Entry'!$ê$251), "", 'Data Entry'!$ê$251)</f>
      </c>
      <c r="FO251">
        <f>IF(ISBLANK('Data Entry'!$ë$251), "", 'Data Entry'!$ë$251)</f>
      </c>
      <c r="FP251">
        <f>IF(ISBLANK('Data Entry'!$ì$251), "", 'Data Entry'!$ì$251)</f>
      </c>
      <c r="FQ251">
        <f>IF(ISBLANK('Data Entry'!$í$251), "", 'Data Entry'!$í$251)</f>
      </c>
      <c r="FR251">
        <f>IF(ISBLANK('Data Entry'!$î$251), "", 'Data Entry'!$î$251)</f>
      </c>
      <c r="FS251">
        <f>IF(ISBLANK('Data Entry'!$ï$251), "", 'Data Entry'!$ï$251)</f>
      </c>
      <c r="FT251">
        <f>IF(ISBLANK('Data Entry'!$ð$251), "", 'Data Entry'!$ð$251)</f>
      </c>
      <c r="FU251">
        <f>IF(ISBLANK('Data Entry'!$ñ$251), "", 'Data Entry'!$ñ$251)</f>
      </c>
      <c r="FV251">
        <f>IF(ISBLANK('Data Entry'!$ò$251), "", 'Data Entry'!$ò$251)</f>
      </c>
      <c r="FW251">
        <f>IF(ISBLANK('Data Entry'!$ó$251), "", 'Data Entry'!$ó$251)</f>
      </c>
      <c r="FX251">
        <f>IF(ISBLANK('Data Entry'!$ô$251), "", 'Data Entry'!$ô$251)</f>
      </c>
      <c r="FY251">
        <f>IF(ISBLANK('Data Entry'!$õ$251), "", 'Data Entry'!$õ$251)</f>
      </c>
      <c r="FZ251">
        <f>IF(ISBLANK('Data Entry'!$ö$251), "", 'Data Entry'!$ö$251)</f>
      </c>
      <c r="GA251">
        <f>IF(ISBLANK('Data Entry'!$÷$251), "", 'Data Entry'!$÷$251)</f>
      </c>
      <c r="GB251">
        <f>IF(ISBLANK('Data Entry'!$ø$251), "", 'Data Entry'!$ø$251)</f>
      </c>
      <c r="GC251">
        <f>IF(ISBLANK('Data Entry'!$ù$251), "", 'Data Entry'!$ù$251)</f>
      </c>
      <c r="GD251">
        <f>IF(ISBLANK('Data Entry'!$ú$251), "", 'Data Entry'!$ú$251)</f>
      </c>
      <c r="GE251">
        <f>IF(ISBLANK('Data Entry'!$û$251), "", 'Data Entry'!$û$251)</f>
      </c>
      <c r="GF251">
        <f>IF(ISBLANK('Data Entry'!$ü$251), "", 'Data Entry'!$ü$251)</f>
      </c>
      <c r="GG251">
        <f>IF(ISBLANK('Data Entry'!$ý$251), "", 'Data Entry'!$ý$251)</f>
      </c>
      <c r="GH251">
        <f>IF(ISBLANK('Data Entry'!$þ$251), "", 'Data Entry'!$þ$251)</f>
      </c>
      <c r="GI251">
        <f>IF(ISBLANK('Data Entry'!$ÿ$251), "", 'Data Entry'!$ÿ$251)</f>
      </c>
      <c r="GJ251">
        <f>IF(ISBLANK('Data Entry'!$Ā$251), "", 'Data Entry'!$Ā$251)</f>
      </c>
      <c r="GK251">
        <f>IF(ISBLANK('Data Entry'!$ā$251), "", 'Data Entry'!$ā$251)</f>
      </c>
      <c r="GL251">
        <f>IF(ISBLANK('Data Entry'!$Ă$251), "", 'Data Entry'!$Ă$251)</f>
      </c>
      <c r="GM251">
        <f>IF(ISBLANK('Data Entry'!$ă$251), "", 'Data Entry'!$ă$251)</f>
      </c>
      <c r="GN251">
        <f>IF(ISBLANK('Data Entry'!$Ą$251), "", 'Data Entry'!$Ą$251)</f>
      </c>
      <c r="GO251">
        <f>IF(ISBLANK('Data Entry'!$ą$251), "", 'Data Entry'!$ą$251)</f>
      </c>
      <c r="GP251">
        <f>IF(ISBLANK('Data Entry'!$Ć$251), "", 'Data Entry'!$Ć$251)</f>
      </c>
      <c r="GQ251">
        <f>IF(ISBLANK('Data Entry'!$ć$251), "", 'Data Entry'!$ć$251)</f>
      </c>
      <c r="GR251">
        <f>IF(ISBLANK('Data Entry'!$Ĉ$251), "", 'Data Entry'!$Ĉ$251)</f>
      </c>
      <c r="GS251">
        <f>IF(ISBLANK('Data Entry'!$ĉ$251), "", 'Data Entry'!$ĉ$251)</f>
      </c>
      <c r="GT251">
        <f>IF(ISBLANK('Data Entry'!$Ċ$251), "", 'Data Entry'!$Ċ$251)</f>
      </c>
      <c r="GU251">
        <f>IF(ISBLANK('Data Entry'!$ċ$251), "", 'Data Entry'!$ċ$251)</f>
      </c>
      <c r="GV251">
        <f>IF(ISBLANK('Data Entry'!$Č$251), "", 'Data Entry'!$Č$251)</f>
      </c>
      <c r="GW251">
        <f>IF(ISBLANK('Data Entry'!$č$251), "", 'Data Entry'!$č$251)</f>
      </c>
      <c r="GX251">
        <f>IF(ISBLANK('Data Entry'!$Ď$251), "", 'Data Entry'!$Ď$251)</f>
      </c>
      <c r="GY251">
        <f>IF(ISBLANK('Data Entry'!$ď$251), "", 'Data Entry'!$ď$251)</f>
      </c>
      <c r="GZ251">
        <f>IF(ISBLANK('Data Entry'!$Đ$251), "", 'Data Entry'!$Đ$251)</f>
      </c>
      <c r="HA251">
        <f>IF(ISBLANK('Data Entry'!$đ$251), "", 'Data Entry'!$đ$251)</f>
      </c>
      <c r="HB251">
        <f>IF(ISBLANK('Data Entry'!$Ē$251), "", 'Data Entry'!$Ē$251)</f>
      </c>
      <c r="HC251">
        <f>IF(ISBLANK('Data Entry'!$ē$251), "", 'Data Entry'!$ē$251)</f>
      </c>
      <c r="HD251">
        <f>IF(ISBLANK('Data Entry'!$Ĕ$251), "", 'Data Entry'!$Ĕ$251)</f>
      </c>
      <c r="HE251">
        <f>IF(ISBLANK('Data Entry'!$ĕ$251), "", 'Data Entry'!$ĕ$251)</f>
      </c>
      <c r="HF251">
        <f>IF(ISBLANK('Data Entry'!$Ė$251), "", 'Data Entry'!$Ė$251)</f>
      </c>
      <c r="HG251">
        <f>IF(ISBLANK('Data Entry'!$ė$251), "", 'Data Entry'!$ė$251)</f>
      </c>
      <c r="HH251">
        <f>IF(ISBLANK('Data Entry'!$Ę$251), "", 'Data Entry'!$Ę$251)</f>
      </c>
      <c r="HI251">
        <f>IF(ISBLANK('Data Entry'!$ę$251), "", 'Data Entry'!$ę$251)</f>
      </c>
      <c r="HJ251">
        <f>IF(ISBLANK('Data Entry'!$Ě$251), "", 'Data Entry'!$Ě$251)</f>
      </c>
      <c r="HK251">
        <f>IF(ISBLANK('Data Entry'!$ě$251), "", 'Data Entry'!$ě$251)</f>
      </c>
      <c r="HL251">
        <f>IF(ISBLANK('Data Entry'!$Ĝ$251), "", 'Data Entry'!$Ĝ$251)</f>
      </c>
      <c r="HM251">
        <f>IF(ISBLANK('Data Entry'!$ĝ$251), "", 'Data Entry'!$ĝ$251)</f>
      </c>
      <c r="HN251">
        <f>IF(ISBLANK('Data Entry'!$Ğ$251), "", 'Data Entry'!$Ğ$251)</f>
      </c>
      <c r="HO251">
        <f>IF(ISBLANK('Data Entry'!$ğ$251), "", 'Data Entry'!$ğ$251)</f>
      </c>
      <c r="HP251">
        <f>IF(ISBLANK('Data Entry'!$Ġ$251), "", 'Data Entry'!$Ġ$251)</f>
      </c>
      <c r="HQ251">
        <f>IF(ISBLANK('Data Entry'!$ġ$251), "", 'Data Entry'!$ġ$251)</f>
      </c>
      <c r="HR251">
        <f>IF(ISBLANK('Data Entry'!$Ģ$251), "", 'Data Entry'!$Ģ$251)</f>
      </c>
      <c r="HS251">
        <f>IF(ISBLANK('Data Entry'!$ģ$251), "", 'Data Entry'!$ģ$251)</f>
      </c>
      <c r="HT251">
        <f>IF(ISBLANK('Data Entry'!$Ĥ$251), "", 'Data Entry'!$Ĥ$251)</f>
      </c>
      <c r="HU251">
        <f>IF(ISBLANK('Data Entry'!$ĥ$251), "", 'Data Entry'!$ĥ$251)</f>
      </c>
      <c r="HV251">
        <f>IF(ISBLANK('Data Entry'!$Ħ$251), "", 'Data Entry'!$Ħ$251)</f>
      </c>
      <c r="HW251">
        <f>IF(ISBLANK('Data Entry'!$ħ$251), "", 'Data Entry'!$ħ$251)</f>
      </c>
      <c r="HX251">
        <f>IF(ISBLANK('Data Entry'!$Ĩ$251), "", 'Data Entry'!$Ĩ$251)</f>
      </c>
      <c r="HY251">
        <f>IF(ISBLANK('Data Entry'!$ĩ$251), "", 'Data Entry'!$ĩ$251)</f>
      </c>
      <c r="HZ251">
        <f>IF(ISBLANK('Data Entry'!$Ī$251), "", 'Data Entry'!$Ī$251)</f>
      </c>
      <c r="IA251">
        <f>IF(ISBLANK('Data Entry'!$ī$251), "", 'Data Entry'!$ī$251)</f>
      </c>
      <c r="IB251">
        <f>IF(ISBLANK('Data Entry'!$Ĭ$251), "", 'Data Entry'!$Ĭ$251)</f>
      </c>
      <c r="IC251">
        <f>IF(ISBLANK('Data Entry'!$ĭ$251), "", 'Data Entry'!$ĭ$251)</f>
      </c>
      <c r="ID251">
        <f>IF(ISBLANK('Data Entry'!$Į$251), "", 'Data Entry'!$Į$251)</f>
      </c>
      <c r="IE251">
        <f>IF(ISBLANK('Data Entry'!$į$251), "", 'Data Entry'!$į$251)</f>
      </c>
      <c r="IF251">
        <f>IF(ISBLANK('Data Entry'!$İ$251), "", 'Data Entry'!$İ$251)</f>
      </c>
      <c r="IG251">
        <f>IF(ISBLANK('Data Entry'!$ı$251), "", 'Data Entry'!$ı$251)</f>
      </c>
      <c r="IH251">
        <f>IF(ISBLANK('Data Entry'!$Ĳ$251), "", 'Data Entry'!$Ĳ$251)</f>
      </c>
      <c r="II251">
        <f>IF(ISBLANK('Data Entry'!$ĳ$251), "", 'Data Entry'!$ĳ$251)</f>
      </c>
      <c r="IJ251">
        <f>IF(ISBLANK('Data Entry'!$Ĵ$251), "", 'Data Entry'!$Ĵ$251)</f>
      </c>
      <c r="IK251">
        <f>IF(ISBLANK('Data Entry'!$ĵ$251), "", 'Data Entry'!$ĵ$251)</f>
      </c>
      <c r="IL251">
        <f>IF(ISBLANK('Data Entry'!$Ķ$251), "", 'Data Entry'!$Ķ$251)</f>
      </c>
      <c r="IM251">
        <f>IF(ISBLANK('Data Entry'!$ķ$251), "", 'Data Entry'!$ķ$251)</f>
      </c>
      <c r="IN251">
        <f>IF(ISBLANK('Data Entry'!$ĸ$251), "", 'Data Entry'!$ĸ$251)</f>
      </c>
      <c r="IO251">
        <f>IF(ISBLANK('Data Entry'!$Ĺ$251), "", 'Data Entry'!$Ĺ$251)</f>
      </c>
      <c r="IP251">
        <f>IF(ISBLANK('Data Entry'!$ĺ$251), "", 'Data Entry'!$ĺ$251)</f>
      </c>
      <c r="IQ251">
        <f>IF(ISBLANK('Data Entry'!$Ļ$251), "", 'Data Entry'!$Ļ$251)</f>
      </c>
      <c r="IR251">
        <f>IF(ISBLANK('Data Entry'!$ļ$251), "", 'Data Entry'!$ļ$251)</f>
      </c>
      <c r="IS251">
        <f>IF(ISBLANK('Data Entry'!$Ľ$251), "", 'Data Entry'!$Ľ$251)</f>
      </c>
      <c r="IT251">
        <f>IF(ISBLANK('Data Entry'!$ľ$251), "", 'Data Entry'!$ľ$251)</f>
      </c>
    </row>
    <row r="252" spans="1:254" x14ac:dyDescent="0.25">
      <c r="A252">
        <f>IF(ISBLANK('Data Entry'!$A$252), "", 'Data Entry'!$A$252)</f>
      </c>
      <c r="B252">
        <f>IF(ISBLANK('Data Entry'!$B$252), "", 'Data Entry'!$B$252)</f>
      </c>
      <c r="C252">
        <f>IF(ISBLANK('Data Entry'!$C$252), "", 'Data Entry'!$C$252)</f>
      </c>
      <c r="D252">
        <f>IF(ISBLANK('Data Entry'!$D$252), "", 'Data Entry'!$D$252)</f>
      </c>
      <c r="E252">
        <f>IF(ISBLANK('Data Entry'!$E$252), "", 'Data Entry'!$E$252)</f>
      </c>
      <c r="F252">
        <f>IF(ISBLANK('Data Entry'!$F$252), "", 'Data Entry'!$F$252)</f>
      </c>
      <c r="G252">
        <f>IF(ISBLANK('Data Entry'!$G$252), "", 'Data Entry'!$G$252)</f>
      </c>
      <c r="H252">
        <f>IF(ISBLANK('Data Entry'!$H$252), "", 'Data Entry'!$H$252)</f>
      </c>
      <c r="I252">
        <f>IF(ISBLANK('Data Entry'!$I$252), "", 'Data Entry'!$I$252)</f>
      </c>
      <c r="J252">
        <f>IF(ISBLANK('Data Entry'!$J$252), "", 'Data Entry'!$J$252)</f>
      </c>
      <c r="K252">
        <f>IF(ISBLANK('Data Entry'!$K$252), "", 'Data Entry'!$K$252)</f>
      </c>
      <c r="L252">
        <f>IF(ISBLANK('Data Entry'!$L$252), "", 'Data Entry'!$L$252)</f>
      </c>
      <c r="M252">
        <f>IF(ISBLANK('Data Entry'!$M$252), "", 'Data Entry'!$M$252)</f>
      </c>
      <c r="N252">
        <f>IF(ISBLANK('Data Entry'!$N$252), "", 'Data Entry'!$N$252)</f>
      </c>
      <c r="O252">
        <f>IF(ISBLANK('Data Entry'!$O$252), "", 'Data Entry'!$O$252)</f>
      </c>
      <c r="P252">
        <f>IF(ISBLANK('Data Entry'!$P$252), "", 'Data Entry'!$P$252)</f>
      </c>
      <c r="Q252">
        <f>IF(ISBLANK('Data Entry'!$Q$252), "", 'Data Entry'!$Q$252)</f>
      </c>
      <c r="R252">
        <f>IF(ISBLANK('Data Entry'!$R$252), "", 'Data Entry'!$R$252)</f>
      </c>
      <c r="S252">
        <f>IF(ISBLANK('Data Entry'!$S$252), "", 'Data Entry'!$S$252)</f>
      </c>
      <c r="T252">
        <f>IF(ISBLANK('Data Entry'!$T$252), "", 'Data Entry'!$T$252)</f>
      </c>
      <c r="U252">
        <f>IF(ISBLANK('Data Entry'!$U$252), "", 'Data Entry'!$U$252)</f>
      </c>
      <c r="V252">
        <f>IF(ISBLANK('Data Entry'!$V$252), "", 'Data Entry'!$V$252)</f>
      </c>
      <c r="W252">
        <f>IF(ISBLANK('Data Entry'!$W$252), "", 'Data Entry'!$W$252)</f>
      </c>
      <c r="X252">
        <f>IF(ISBLANK('Data Entry'!$X$252), "", 'Data Entry'!$X$252)</f>
      </c>
      <c r="Y252">
        <f>IF(ISBLANK('Data Entry'!$Y$252), "", 'Data Entry'!$Y$252)</f>
      </c>
      <c r="Z252">
        <f>IF(ISBLANK('Data Entry'!$Z$252), "", 'Data Entry'!$Z$252)</f>
      </c>
      <c r="AA252">
        <f>IF(ISBLANK('Data Entry'!$[$252), "", 'Data Entry'!$[$252)</f>
      </c>
      <c r="AB252">
        <f>IF(ISBLANK('Data Entry'!$\$252), "", 'Data Entry'!$\$252)</f>
      </c>
      <c r="AC252">
        <f>IF(ISBLANK('Data Entry'!$]$252), "", 'Data Entry'!$]$252)</f>
      </c>
      <c r="AD252">
        <f>IF(ISBLANK('Data Entry'!$^$252), "", 'Data Entry'!$^$252)</f>
      </c>
      <c r="AE252">
        <f>IF(ISBLANK('Data Entry'!$_$252), "", 'Data Entry'!$_$252)</f>
      </c>
      <c r="AF252">
        <f>IF(ISBLANK('Data Entry'!$`$252), "", 'Data Entry'!$`$252)</f>
      </c>
      <c r="AG252">
        <f>IF(ISBLANK('Data Entry'!$a$252), "", 'Data Entry'!$a$252)</f>
      </c>
      <c r="AH252">
        <f>IF(ISBLANK('Data Entry'!$b$252), "", 'Data Entry'!$b$252)</f>
      </c>
      <c r="AI252">
        <f>IF(ISBLANK('Data Entry'!$c$252), "", 'Data Entry'!$c$252)</f>
      </c>
      <c r="AJ252">
        <f>IF(ISBLANK('Data Entry'!$d$252), "", 'Data Entry'!$d$252)</f>
      </c>
      <c r="AK252">
        <f>IF(ISBLANK('Data Entry'!$e$252), "", 'Data Entry'!$e$252)</f>
      </c>
      <c r="AL252">
        <f>IF(ISBLANK('Data Entry'!$f$252), "", 'Data Entry'!$f$252)</f>
      </c>
      <c r="AM252">
        <f>IF(ISBLANK('Data Entry'!$g$252), "", 'Data Entry'!$g$252)</f>
      </c>
      <c r="AN252">
        <f>IF(ISBLANK('Data Entry'!$h$252), "", 'Data Entry'!$h$252)</f>
      </c>
      <c r="AO252">
        <f>IF(ISBLANK('Data Entry'!$i$252), "", 'Data Entry'!$i$252)</f>
      </c>
      <c r="AP252">
        <f>IF(ISBLANK('Data Entry'!$j$252), "", 'Data Entry'!$j$252)</f>
      </c>
      <c r="AQ252">
        <f>IF(ISBLANK('Data Entry'!$k$252), "", 'Data Entry'!$k$252)</f>
      </c>
      <c r="AR252">
        <f>IF(ISBLANK('Data Entry'!$l$252), "", 'Data Entry'!$l$252)</f>
      </c>
      <c r="AS252">
        <f>IF(ISBLANK('Data Entry'!$m$252), "", 'Data Entry'!$m$252)</f>
      </c>
      <c r="AT252">
        <f>IF(ISBLANK('Data Entry'!$n$252), "", 'Data Entry'!$n$252)</f>
      </c>
      <c r="AU252">
        <f>IF(ISBLANK('Data Entry'!$o$252), "", 'Data Entry'!$o$252)</f>
      </c>
      <c r="AV252">
        <f>IF(ISBLANK('Data Entry'!$p$252), "", 'Data Entry'!$p$252)</f>
      </c>
      <c r="AW252">
        <f>IF(ISBLANK('Data Entry'!$q$252), "", 'Data Entry'!$q$252)</f>
      </c>
      <c r="AX252">
        <f>IF(ISBLANK('Data Entry'!$r$252), "", 'Data Entry'!$r$252)</f>
      </c>
      <c r="AY252">
        <f>IF(ISBLANK('Data Entry'!$s$252), "", 'Data Entry'!$s$252)</f>
      </c>
      <c r="AZ252">
        <f>IF(ISBLANK('Data Entry'!$t$252), "", 'Data Entry'!$t$252)</f>
      </c>
      <c r="BA252">
        <f>IF(ISBLANK('Data Entry'!$u$252), "", 'Data Entry'!$u$252)</f>
      </c>
      <c r="BB252">
        <f>IF(ISBLANK('Data Entry'!$v$252), "", 'Data Entry'!$v$252)</f>
      </c>
      <c r="BC252">
        <f>IF(ISBLANK('Data Entry'!$w$252), "", 'Data Entry'!$w$252)</f>
      </c>
      <c r="BD252">
        <f>IF(ISBLANK('Data Entry'!$x$252), "", 'Data Entry'!$x$252)</f>
      </c>
      <c r="BE252">
        <f>IF(ISBLANK('Data Entry'!$y$252), "", 'Data Entry'!$y$252)</f>
      </c>
      <c r="BF252">
        <f>IF(ISBLANK('Data Entry'!$z$252), "", 'Data Entry'!$z$252)</f>
      </c>
      <c r="BG252">
        <f>IF(ISBLANK('Data Entry'!${$252), "", 'Data Entry'!${$252)</f>
      </c>
      <c r="BH252">
        <f>IF(ISBLANK('Data Entry'!$|$252), "", 'Data Entry'!$|$252)</f>
      </c>
      <c r="BI252">
        <f>IF(ISBLANK('Data Entry'!$}$252), "", 'Data Entry'!$}$252)</f>
      </c>
      <c r="BJ252">
        <f>IF(ISBLANK('Data Entry'!$~$252), "", 'Data Entry'!$~$252)</f>
      </c>
      <c r="BK252">
        <f>IF(ISBLANK('Data Entry'!$$252), "", 'Data Entry'!$$252)</f>
      </c>
      <c r="BL252">
        <f>IF(ISBLANK('Data Entry'!$$252), "", 'Data Entry'!$$252)</f>
      </c>
      <c r="BM252">
        <f>IF(ISBLANK('Data Entry'!$$252), "", 'Data Entry'!$$252)</f>
      </c>
      <c r="BN252">
        <f>IF(ISBLANK('Data Entry'!$$252), "", 'Data Entry'!$$252)</f>
      </c>
      <c r="BO252">
        <f>IF(ISBLANK('Data Entry'!$$252), "", 'Data Entry'!$$252)</f>
      </c>
      <c r="BP252">
        <f>IF(ISBLANK('Data Entry'!$$252), "", 'Data Entry'!$$252)</f>
      </c>
      <c r="BQ252">
        <f>IF(ISBLANK('Data Entry'!$$252), "", 'Data Entry'!$$252)</f>
      </c>
      <c r="BR252">
        <f>IF(ISBLANK('Data Entry'!$$252), "", 'Data Entry'!$$252)</f>
      </c>
      <c r="BS252">
        <f>IF(ISBLANK('Data Entry'!$$252), "", 'Data Entry'!$$252)</f>
      </c>
      <c r="BT252">
        <f>IF(ISBLANK('Data Entry'!$$252), "", 'Data Entry'!$$252)</f>
      </c>
      <c r="BU252">
        <f>IF(ISBLANK('Data Entry'!$$252), "", 'Data Entry'!$$252)</f>
      </c>
      <c r="BV252">
        <f>IF(ISBLANK('Data Entry'!$$252), "", 'Data Entry'!$$252)</f>
      </c>
      <c r="BW252">
        <f>IF(ISBLANK('Data Entry'!$$252), "", 'Data Entry'!$$252)</f>
      </c>
      <c r="BX252">
        <f>IF(ISBLANK('Data Entry'!$$252), "", 'Data Entry'!$$252)</f>
      </c>
      <c r="BY252">
        <f>IF(ISBLANK('Data Entry'!$$252), "", 'Data Entry'!$$252)</f>
      </c>
      <c r="BZ252">
        <f>IF(ISBLANK('Data Entry'!$$252), "", 'Data Entry'!$$252)</f>
      </c>
      <c r="CA252">
        <f>IF(ISBLANK('Data Entry'!$$252), "", 'Data Entry'!$$252)</f>
      </c>
      <c r="CB252">
        <f>IF(ISBLANK('Data Entry'!$$252), "", 'Data Entry'!$$252)</f>
      </c>
      <c r="CC252">
        <f>IF(ISBLANK('Data Entry'!$$252), "", 'Data Entry'!$$252)</f>
      </c>
      <c r="CD252">
        <f>IF(ISBLANK('Data Entry'!$$252), "", 'Data Entry'!$$252)</f>
      </c>
      <c r="CE252">
        <f>IF(ISBLANK('Data Entry'!$$252), "", 'Data Entry'!$$252)</f>
      </c>
      <c r="CF252">
        <f>IF(ISBLANK('Data Entry'!$$252), "", 'Data Entry'!$$252)</f>
      </c>
      <c r="CG252">
        <f>IF(ISBLANK('Data Entry'!$$252), "", 'Data Entry'!$$252)</f>
      </c>
      <c r="CH252">
        <f>IF(ISBLANK('Data Entry'!$$252), "", 'Data Entry'!$$252)</f>
      </c>
      <c r="CI252">
        <f>IF(ISBLANK('Data Entry'!$$252), "", 'Data Entry'!$$252)</f>
      </c>
      <c r="CJ252">
        <f>IF(ISBLANK('Data Entry'!$$252), "", 'Data Entry'!$$252)</f>
      </c>
      <c r="CK252">
        <f>IF(ISBLANK('Data Entry'!$$252), "", 'Data Entry'!$$252)</f>
      </c>
      <c r="CL252">
        <f>IF(ISBLANK('Data Entry'!$$252), "", 'Data Entry'!$$252)</f>
      </c>
      <c r="CM252">
        <f>IF(ISBLANK('Data Entry'!$$252), "", 'Data Entry'!$$252)</f>
      </c>
      <c r="CN252">
        <f>IF(ISBLANK('Data Entry'!$$252), "", 'Data Entry'!$$252)</f>
      </c>
      <c r="CO252">
        <f>IF(ISBLANK('Data Entry'!$$252), "", 'Data Entry'!$$252)</f>
      </c>
      <c r="CP252">
        <f>IF(ISBLANK('Data Entry'!$$252), "", 'Data Entry'!$$252)</f>
      </c>
      <c r="CQ252">
        <f>IF(ISBLANK('Data Entry'!$$252), "", 'Data Entry'!$$252)</f>
      </c>
      <c r="CR252">
        <f>IF(ISBLANK('Data Entry'!$ $252), "", 'Data Entry'!$ $252)</f>
      </c>
      <c r="CS252">
        <f>IF(ISBLANK('Data Entry'!$¡$252), "", 'Data Entry'!$¡$252)</f>
      </c>
      <c r="CT252">
        <f>IF(ISBLANK('Data Entry'!$¢$252), "", 'Data Entry'!$¢$252)</f>
      </c>
      <c r="CU252">
        <f>IF(ISBLANK('Data Entry'!$£$252), "", 'Data Entry'!$£$252)</f>
      </c>
      <c r="CV252">
        <f>IF(ISBLANK('Data Entry'!$¤$252), "", 'Data Entry'!$¤$252)</f>
      </c>
      <c r="CW252">
        <f>IF(ISBLANK('Data Entry'!$¥$252), "", 'Data Entry'!$¥$252)</f>
      </c>
      <c r="CX252">
        <f>IF(ISBLANK('Data Entry'!$¦$252), "", 'Data Entry'!$¦$252)</f>
      </c>
      <c r="CY252">
        <f>IF(ISBLANK('Data Entry'!$§$252), "", 'Data Entry'!$§$252)</f>
      </c>
      <c r="CZ252">
        <f>IF(ISBLANK('Data Entry'!$¨$252), "", 'Data Entry'!$¨$252)</f>
      </c>
      <c r="DA252">
        <f>IF(ISBLANK('Data Entry'!$©$252), "", 'Data Entry'!$©$252)</f>
      </c>
      <c r="DB252">
        <f>IF(ISBLANK('Data Entry'!$ª$252), "", 'Data Entry'!$ª$252)</f>
      </c>
      <c r="DC252">
        <f>IF(ISBLANK('Data Entry'!$«$252), "", 'Data Entry'!$«$252)</f>
      </c>
      <c r="DD252">
        <f>IF(ISBLANK('Data Entry'!$¬$252), "", 'Data Entry'!$¬$252)</f>
      </c>
      <c r="DE252">
        <f>IF(ISBLANK('Data Entry'!$­$252), "", 'Data Entry'!$­$252)</f>
      </c>
      <c r="DF252">
        <f>IF(ISBLANK('Data Entry'!$®$252), "", 'Data Entry'!$®$252)</f>
      </c>
      <c r="DG252">
        <f>IF(ISBLANK('Data Entry'!$¯$252), "", 'Data Entry'!$¯$252)</f>
      </c>
      <c r="DH252">
        <f>IF(ISBLANK('Data Entry'!$°$252), "", 'Data Entry'!$°$252)</f>
      </c>
      <c r="DI252">
        <f>IF(ISBLANK('Data Entry'!$±$252), "", 'Data Entry'!$±$252)</f>
      </c>
      <c r="DJ252">
        <f>IF(ISBLANK('Data Entry'!$²$252), "", 'Data Entry'!$²$252)</f>
      </c>
      <c r="DK252">
        <f>IF(ISBLANK('Data Entry'!$³$252), "", 'Data Entry'!$³$252)</f>
      </c>
      <c r="DL252">
        <f>IF(ISBLANK('Data Entry'!$´$252), "", 'Data Entry'!$´$252)</f>
      </c>
      <c r="DM252">
        <f>IF(ISBLANK('Data Entry'!$µ$252), "", 'Data Entry'!$µ$252)</f>
      </c>
      <c r="DN252">
        <f>IF(ISBLANK('Data Entry'!$¶$252), "", 'Data Entry'!$¶$252)</f>
      </c>
      <c r="DO252">
        <f>IF(ISBLANK('Data Entry'!$·$252), "", 'Data Entry'!$·$252)</f>
      </c>
      <c r="DP252">
        <f>IF(ISBLANK('Data Entry'!$¸$252), "", 'Data Entry'!$¸$252)</f>
      </c>
      <c r="DQ252">
        <f>IF(ISBLANK('Data Entry'!$¹$252), "", 'Data Entry'!$¹$252)</f>
      </c>
      <c r="DR252">
        <f>IF(ISBLANK('Data Entry'!$º$252), "", 'Data Entry'!$º$252)</f>
      </c>
      <c r="DS252">
        <f>IF(ISBLANK('Data Entry'!$»$252), "", 'Data Entry'!$»$252)</f>
      </c>
      <c r="DT252">
        <f>IF(ISBLANK('Data Entry'!$¼$252), "", 'Data Entry'!$¼$252)</f>
      </c>
      <c r="DU252">
        <f>IF(ISBLANK('Data Entry'!$½$252), "", 'Data Entry'!$½$252)</f>
      </c>
      <c r="DV252">
        <f>IF(ISBLANK('Data Entry'!$¾$252), "", 'Data Entry'!$¾$252)</f>
      </c>
      <c r="DW252">
        <f>IF(ISBLANK('Data Entry'!$¿$252), "", 'Data Entry'!$¿$252)</f>
      </c>
      <c r="DX252">
        <f>IF(ISBLANK('Data Entry'!$À$252), "", 'Data Entry'!$À$252)</f>
      </c>
      <c r="DY252">
        <f>IF(ISBLANK('Data Entry'!$Á$252), "", 'Data Entry'!$Á$252)</f>
      </c>
      <c r="DZ252">
        <f>IF(ISBLANK('Data Entry'!$Â$252), "", 'Data Entry'!$Â$252)</f>
      </c>
      <c r="EA252">
        <f>IF(ISBLANK('Data Entry'!$Ã$252), "", 'Data Entry'!$Ã$252)</f>
      </c>
      <c r="EB252">
        <f>IF(ISBLANK('Data Entry'!$Ä$252), "", 'Data Entry'!$Ä$252)</f>
      </c>
      <c r="EC252">
        <f>IF(ISBLANK('Data Entry'!$Å$252), "", 'Data Entry'!$Å$252)</f>
      </c>
      <c r="ED252">
        <f>IF(ISBLANK('Data Entry'!$Æ$252), "", 'Data Entry'!$Æ$252)</f>
      </c>
      <c r="EE252">
        <f>IF(ISBLANK('Data Entry'!$Ç$252), "", 'Data Entry'!$Ç$252)</f>
      </c>
      <c r="EF252">
        <f>IF(ISBLANK('Data Entry'!$È$252), "", 'Data Entry'!$È$252)</f>
      </c>
      <c r="EG252">
        <f>IF(ISBLANK('Data Entry'!$É$252), "", 'Data Entry'!$É$252)</f>
      </c>
      <c r="EH252">
        <f>IF(ISBLANK('Data Entry'!$Ê$252), "", 'Data Entry'!$Ê$252)</f>
      </c>
      <c r="EI252">
        <f>IF(ISBLANK('Data Entry'!$Ë$252), "", 'Data Entry'!$Ë$252)</f>
      </c>
      <c r="EJ252">
        <f>IF(ISBLANK('Data Entry'!$Ì$252), "", 'Data Entry'!$Ì$252)</f>
      </c>
      <c r="EK252">
        <f>IF(ISBLANK('Data Entry'!$Í$252), "", 'Data Entry'!$Í$252)</f>
      </c>
      <c r="EL252">
        <f>IF(ISBLANK('Data Entry'!$Î$252), "", 'Data Entry'!$Î$252)</f>
      </c>
      <c r="EM252">
        <f>IF(ISBLANK('Data Entry'!$Ï$252), "", 'Data Entry'!$Ï$252)</f>
      </c>
      <c r="EN252">
        <f>IF(ISBLANK('Data Entry'!$Ð$252), "", 'Data Entry'!$Ð$252)</f>
      </c>
      <c r="EO252">
        <f>IF(ISBLANK('Data Entry'!$Ñ$252), "", 'Data Entry'!$Ñ$252)</f>
      </c>
      <c r="EP252">
        <f>IF(ISBLANK('Data Entry'!$Ò$252), "", 'Data Entry'!$Ò$252)</f>
      </c>
      <c r="EQ252">
        <f>IF(ISBLANK('Data Entry'!$Ó$252), "", 'Data Entry'!$Ó$252)</f>
      </c>
      <c r="ER252">
        <f>IF(ISBLANK('Data Entry'!$Ô$252), "", 'Data Entry'!$Ô$252)</f>
      </c>
      <c r="ES252">
        <f>IF(ISBLANK('Data Entry'!$Õ$252), "", 'Data Entry'!$Õ$252)</f>
      </c>
      <c r="ET252">
        <f>IF(ISBLANK('Data Entry'!$Ö$252), "", 'Data Entry'!$Ö$252)</f>
      </c>
      <c r="EU252">
        <f>IF(ISBLANK('Data Entry'!$×$252), "", 'Data Entry'!$×$252)</f>
      </c>
      <c r="EV252">
        <f>IF(ISBLANK('Data Entry'!$Ø$252), "", 'Data Entry'!$Ø$252)</f>
      </c>
      <c r="EW252">
        <f>IF(ISBLANK('Data Entry'!$Ù$252), "", 'Data Entry'!$Ù$252)</f>
      </c>
      <c r="EX252">
        <f>IF(ISBLANK('Data Entry'!$Ú$252), "", 'Data Entry'!$Ú$252)</f>
      </c>
      <c r="EY252">
        <f>IF(ISBLANK('Data Entry'!$Û$252), "", 'Data Entry'!$Û$252)</f>
      </c>
      <c r="EZ252">
        <f>IF(ISBLANK('Data Entry'!$Ü$252), "", 'Data Entry'!$Ü$252)</f>
      </c>
      <c r="FA252">
        <f>IF(ISBLANK('Data Entry'!$Ý$252), "", 'Data Entry'!$Ý$252)</f>
      </c>
      <c r="FB252">
        <f>IF(ISBLANK('Data Entry'!$Þ$252), "", 'Data Entry'!$Þ$252)</f>
      </c>
      <c r="FC252">
        <f>IF(ISBLANK('Data Entry'!$ß$252), "", 'Data Entry'!$ß$252)</f>
      </c>
      <c r="FD252">
        <f>IF(ISBLANK('Data Entry'!$à$252), "", 'Data Entry'!$à$252)</f>
      </c>
      <c r="FE252">
        <f>IF(ISBLANK('Data Entry'!$á$252), "", 'Data Entry'!$á$252)</f>
      </c>
      <c r="FF252">
        <f>IF(ISBLANK('Data Entry'!$â$252), "", 'Data Entry'!$â$252)</f>
      </c>
      <c r="FG252">
        <f>IF(ISBLANK('Data Entry'!$ã$252), "", 'Data Entry'!$ã$252)</f>
      </c>
      <c r="FH252">
        <f>IF(ISBLANK('Data Entry'!$ä$252), "", 'Data Entry'!$ä$252)</f>
      </c>
      <c r="FI252">
        <f>IF(ISBLANK('Data Entry'!$å$252), "", 'Data Entry'!$å$252)</f>
      </c>
      <c r="FJ252">
        <f>IF(ISBLANK('Data Entry'!$æ$252), "", 'Data Entry'!$æ$252)</f>
      </c>
      <c r="FK252">
        <f>IF(ISBLANK('Data Entry'!$ç$252), "", 'Data Entry'!$ç$252)</f>
      </c>
      <c r="FL252">
        <f>IF(ISBLANK('Data Entry'!$è$252), "", 'Data Entry'!$è$252)</f>
      </c>
      <c r="FM252">
        <f>IF(ISBLANK('Data Entry'!$é$252), "", 'Data Entry'!$é$252)</f>
      </c>
      <c r="FN252">
        <f>IF(ISBLANK('Data Entry'!$ê$252), "", 'Data Entry'!$ê$252)</f>
      </c>
      <c r="FO252">
        <f>IF(ISBLANK('Data Entry'!$ë$252), "", 'Data Entry'!$ë$252)</f>
      </c>
      <c r="FP252">
        <f>IF(ISBLANK('Data Entry'!$ì$252), "", 'Data Entry'!$ì$252)</f>
      </c>
      <c r="FQ252">
        <f>IF(ISBLANK('Data Entry'!$í$252), "", 'Data Entry'!$í$252)</f>
      </c>
      <c r="FR252">
        <f>IF(ISBLANK('Data Entry'!$î$252), "", 'Data Entry'!$î$252)</f>
      </c>
      <c r="FS252">
        <f>IF(ISBLANK('Data Entry'!$ï$252), "", 'Data Entry'!$ï$252)</f>
      </c>
      <c r="FT252">
        <f>IF(ISBLANK('Data Entry'!$ð$252), "", 'Data Entry'!$ð$252)</f>
      </c>
      <c r="FU252">
        <f>IF(ISBLANK('Data Entry'!$ñ$252), "", 'Data Entry'!$ñ$252)</f>
      </c>
      <c r="FV252">
        <f>IF(ISBLANK('Data Entry'!$ò$252), "", 'Data Entry'!$ò$252)</f>
      </c>
      <c r="FW252">
        <f>IF(ISBLANK('Data Entry'!$ó$252), "", 'Data Entry'!$ó$252)</f>
      </c>
      <c r="FX252">
        <f>IF(ISBLANK('Data Entry'!$ô$252), "", 'Data Entry'!$ô$252)</f>
      </c>
      <c r="FY252">
        <f>IF(ISBLANK('Data Entry'!$õ$252), "", 'Data Entry'!$õ$252)</f>
      </c>
      <c r="FZ252">
        <f>IF(ISBLANK('Data Entry'!$ö$252), "", 'Data Entry'!$ö$252)</f>
      </c>
      <c r="GA252">
        <f>IF(ISBLANK('Data Entry'!$÷$252), "", 'Data Entry'!$÷$252)</f>
      </c>
      <c r="GB252">
        <f>IF(ISBLANK('Data Entry'!$ø$252), "", 'Data Entry'!$ø$252)</f>
      </c>
      <c r="GC252">
        <f>IF(ISBLANK('Data Entry'!$ù$252), "", 'Data Entry'!$ù$252)</f>
      </c>
      <c r="GD252">
        <f>IF(ISBLANK('Data Entry'!$ú$252), "", 'Data Entry'!$ú$252)</f>
      </c>
      <c r="GE252">
        <f>IF(ISBLANK('Data Entry'!$û$252), "", 'Data Entry'!$û$252)</f>
      </c>
      <c r="GF252">
        <f>IF(ISBLANK('Data Entry'!$ü$252), "", 'Data Entry'!$ü$252)</f>
      </c>
      <c r="GG252">
        <f>IF(ISBLANK('Data Entry'!$ý$252), "", 'Data Entry'!$ý$252)</f>
      </c>
      <c r="GH252">
        <f>IF(ISBLANK('Data Entry'!$þ$252), "", 'Data Entry'!$þ$252)</f>
      </c>
      <c r="GI252">
        <f>IF(ISBLANK('Data Entry'!$ÿ$252), "", 'Data Entry'!$ÿ$252)</f>
      </c>
      <c r="GJ252">
        <f>IF(ISBLANK('Data Entry'!$Ā$252), "", 'Data Entry'!$Ā$252)</f>
      </c>
      <c r="GK252">
        <f>IF(ISBLANK('Data Entry'!$ā$252), "", 'Data Entry'!$ā$252)</f>
      </c>
      <c r="GL252">
        <f>IF(ISBLANK('Data Entry'!$Ă$252), "", 'Data Entry'!$Ă$252)</f>
      </c>
      <c r="GM252">
        <f>IF(ISBLANK('Data Entry'!$ă$252), "", 'Data Entry'!$ă$252)</f>
      </c>
      <c r="GN252">
        <f>IF(ISBLANK('Data Entry'!$Ą$252), "", 'Data Entry'!$Ą$252)</f>
      </c>
      <c r="GO252">
        <f>IF(ISBLANK('Data Entry'!$ą$252), "", 'Data Entry'!$ą$252)</f>
      </c>
      <c r="GP252">
        <f>IF(ISBLANK('Data Entry'!$Ć$252), "", 'Data Entry'!$Ć$252)</f>
      </c>
      <c r="GQ252">
        <f>IF(ISBLANK('Data Entry'!$ć$252), "", 'Data Entry'!$ć$252)</f>
      </c>
      <c r="GR252">
        <f>IF(ISBLANK('Data Entry'!$Ĉ$252), "", 'Data Entry'!$Ĉ$252)</f>
      </c>
      <c r="GS252">
        <f>IF(ISBLANK('Data Entry'!$ĉ$252), "", 'Data Entry'!$ĉ$252)</f>
      </c>
      <c r="GT252">
        <f>IF(ISBLANK('Data Entry'!$Ċ$252), "", 'Data Entry'!$Ċ$252)</f>
      </c>
      <c r="GU252">
        <f>IF(ISBLANK('Data Entry'!$ċ$252), "", 'Data Entry'!$ċ$252)</f>
      </c>
      <c r="GV252">
        <f>IF(ISBLANK('Data Entry'!$Č$252), "", 'Data Entry'!$Č$252)</f>
      </c>
      <c r="GW252">
        <f>IF(ISBLANK('Data Entry'!$č$252), "", 'Data Entry'!$č$252)</f>
      </c>
      <c r="GX252">
        <f>IF(ISBLANK('Data Entry'!$Ď$252), "", 'Data Entry'!$Ď$252)</f>
      </c>
      <c r="GY252">
        <f>IF(ISBLANK('Data Entry'!$ď$252), "", 'Data Entry'!$ď$252)</f>
      </c>
      <c r="GZ252">
        <f>IF(ISBLANK('Data Entry'!$Đ$252), "", 'Data Entry'!$Đ$252)</f>
      </c>
      <c r="HA252">
        <f>IF(ISBLANK('Data Entry'!$đ$252), "", 'Data Entry'!$đ$252)</f>
      </c>
      <c r="HB252">
        <f>IF(ISBLANK('Data Entry'!$Ē$252), "", 'Data Entry'!$Ē$252)</f>
      </c>
      <c r="HC252">
        <f>IF(ISBLANK('Data Entry'!$ē$252), "", 'Data Entry'!$ē$252)</f>
      </c>
      <c r="HD252">
        <f>IF(ISBLANK('Data Entry'!$Ĕ$252), "", 'Data Entry'!$Ĕ$252)</f>
      </c>
      <c r="HE252">
        <f>IF(ISBLANK('Data Entry'!$ĕ$252), "", 'Data Entry'!$ĕ$252)</f>
      </c>
      <c r="HF252">
        <f>IF(ISBLANK('Data Entry'!$Ė$252), "", 'Data Entry'!$Ė$252)</f>
      </c>
      <c r="HG252">
        <f>IF(ISBLANK('Data Entry'!$ė$252), "", 'Data Entry'!$ė$252)</f>
      </c>
      <c r="HH252">
        <f>IF(ISBLANK('Data Entry'!$Ę$252), "", 'Data Entry'!$Ę$252)</f>
      </c>
      <c r="HI252">
        <f>IF(ISBLANK('Data Entry'!$ę$252), "", 'Data Entry'!$ę$252)</f>
      </c>
      <c r="HJ252">
        <f>IF(ISBLANK('Data Entry'!$Ě$252), "", 'Data Entry'!$Ě$252)</f>
      </c>
      <c r="HK252">
        <f>IF(ISBLANK('Data Entry'!$ě$252), "", 'Data Entry'!$ě$252)</f>
      </c>
      <c r="HL252">
        <f>IF(ISBLANK('Data Entry'!$Ĝ$252), "", 'Data Entry'!$Ĝ$252)</f>
      </c>
      <c r="HM252">
        <f>IF(ISBLANK('Data Entry'!$ĝ$252), "", 'Data Entry'!$ĝ$252)</f>
      </c>
      <c r="HN252">
        <f>IF(ISBLANK('Data Entry'!$Ğ$252), "", 'Data Entry'!$Ğ$252)</f>
      </c>
      <c r="HO252">
        <f>IF(ISBLANK('Data Entry'!$ğ$252), "", 'Data Entry'!$ğ$252)</f>
      </c>
      <c r="HP252">
        <f>IF(ISBLANK('Data Entry'!$Ġ$252), "", 'Data Entry'!$Ġ$252)</f>
      </c>
      <c r="HQ252">
        <f>IF(ISBLANK('Data Entry'!$ġ$252), "", 'Data Entry'!$ġ$252)</f>
      </c>
      <c r="HR252">
        <f>IF(ISBLANK('Data Entry'!$Ģ$252), "", 'Data Entry'!$Ģ$252)</f>
      </c>
      <c r="HS252">
        <f>IF(ISBLANK('Data Entry'!$ģ$252), "", 'Data Entry'!$ģ$252)</f>
      </c>
      <c r="HT252">
        <f>IF(ISBLANK('Data Entry'!$Ĥ$252), "", 'Data Entry'!$Ĥ$252)</f>
      </c>
      <c r="HU252">
        <f>IF(ISBLANK('Data Entry'!$ĥ$252), "", 'Data Entry'!$ĥ$252)</f>
      </c>
      <c r="HV252">
        <f>IF(ISBLANK('Data Entry'!$Ħ$252), "", 'Data Entry'!$Ħ$252)</f>
      </c>
      <c r="HW252">
        <f>IF(ISBLANK('Data Entry'!$ħ$252), "", 'Data Entry'!$ħ$252)</f>
      </c>
      <c r="HX252">
        <f>IF(ISBLANK('Data Entry'!$Ĩ$252), "", 'Data Entry'!$Ĩ$252)</f>
      </c>
      <c r="HY252">
        <f>IF(ISBLANK('Data Entry'!$ĩ$252), "", 'Data Entry'!$ĩ$252)</f>
      </c>
      <c r="HZ252">
        <f>IF(ISBLANK('Data Entry'!$Ī$252), "", 'Data Entry'!$Ī$252)</f>
      </c>
      <c r="IA252">
        <f>IF(ISBLANK('Data Entry'!$ī$252), "", 'Data Entry'!$ī$252)</f>
      </c>
      <c r="IB252">
        <f>IF(ISBLANK('Data Entry'!$Ĭ$252), "", 'Data Entry'!$Ĭ$252)</f>
      </c>
      <c r="IC252">
        <f>IF(ISBLANK('Data Entry'!$ĭ$252), "", 'Data Entry'!$ĭ$252)</f>
      </c>
      <c r="ID252">
        <f>IF(ISBLANK('Data Entry'!$Į$252), "", 'Data Entry'!$Į$252)</f>
      </c>
      <c r="IE252">
        <f>IF(ISBLANK('Data Entry'!$į$252), "", 'Data Entry'!$į$252)</f>
      </c>
      <c r="IF252">
        <f>IF(ISBLANK('Data Entry'!$İ$252), "", 'Data Entry'!$İ$252)</f>
      </c>
      <c r="IG252">
        <f>IF(ISBLANK('Data Entry'!$ı$252), "", 'Data Entry'!$ı$252)</f>
      </c>
      <c r="IH252">
        <f>IF(ISBLANK('Data Entry'!$Ĳ$252), "", 'Data Entry'!$Ĳ$252)</f>
      </c>
      <c r="II252">
        <f>IF(ISBLANK('Data Entry'!$ĳ$252), "", 'Data Entry'!$ĳ$252)</f>
      </c>
      <c r="IJ252">
        <f>IF(ISBLANK('Data Entry'!$Ĵ$252), "", 'Data Entry'!$Ĵ$252)</f>
      </c>
      <c r="IK252">
        <f>IF(ISBLANK('Data Entry'!$ĵ$252), "", 'Data Entry'!$ĵ$252)</f>
      </c>
      <c r="IL252">
        <f>IF(ISBLANK('Data Entry'!$Ķ$252), "", 'Data Entry'!$Ķ$252)</f>
      </c>
      <c r="IM252">
        <f>IF(ISBLANK('Data Entry'!$ķ$252), "", 'Data Entry'!$ķ$252)</f>
      </c>
      <c r="IN252">
        <f>IF(ISBLANK('Data Entry'!$ĸ$252), "", 'Data Entry'!$ĸ$252)</f>
      </c>
      <c r="IO252">
        <f>IF(ISBLANK('Data Entry'!$Ĺ$252), "", 'Data Entry'!$Ĺ$252)</f>
      </c>
      <c r="IP252">
        <f>IF(ISBLANK('Data Entry'!$ĺ$252), "", 'Data Entry'!$ĺ$252)</f>
      </c>
      <c r="IQ252">
        <f>IF(ISBLANK('Data Entry'!$Ļ$252), "", 'Data Entry'!$Ļ$252)</f>
      </c>
      <c r="IR252">
        <f>IF(ISBLANK('Data Entry'!$ļ$252), "", 'Data Entry'!$ļ$252)</f>
      </c>
      <c r="IS252">
        <f>IF(ISBLANK('Data Entry'!$Ľ$252), "", 'Data Entry'!$Ľ$252)</f>
      </c>
      <c r="IT252">
        <f>IF(ISBLANK('Data Entry'!$ľ$252), "", 'Data Entry'!$ľ$252)</f>
      </c>
    </row>
    <row r="253" spans="1:254" x14ac:dyDescent="0.25">
      <c r="A253">
        <f>IF(ISBLANK('Data Entry'!$A$253), "", 'Data Entry'!$A$253)</f>
      </c>
      <c r="B253">
        <f>IF(ISBLANK('Data Entry'!$B$253), "", 'Data Entry'!$B$253)</f>
      </c>
      <c r="C253">
        <f>IF(ISBLANK('Data Entry'!$C$253), "", 'Data Entry'!$C$253)</f>
      </c>
      <c r="D253">
        <f>IF(ISBLANK('Data Entry'!$D$253), "", 'Data Entry'!$D$253)</f>
      </c>
      <c r="E253">
        <f>IF(ISBLANK('Data Entry'!$E$253), "", 'Data Entry'!$E$253)</f>
      </c>
      <c r="F253">
        <f>IF(ISBLANK('Data Entry'!$F$253), "", 'Data Entry'!$F$253)</f>
      </c>
      <c r="G253">
        <f>IF(ISBLANK('Data Entry'!$G$253), "", 'Data Entry'!$G$253)</f>
      </c>
      <c r="H253">
        <f>IF(ISBLANK('Data Entry'!$H$253), "", 'Data Entry'!$H$253)</f>
      </c>
      <c r="I253">
        <f>IF(ISBLANK('Data Entry'!$I$253), "", 'Data Entry'!$I$253)</f>
      </c>
      <c r="J253">
        <f>IF(ISBLANK('Data Entry'!$J$253), "", 'Data Entry'!$J$253)</f>
      </c>
      <c r="K253">
        <f>IF(ISBLANK('Data Entry'!$K$253), "", 'Data Entry'!$K$253)</f>
      </c>
      <c r="L253">
        <f>IF(ISBLANK('Data Entry'!$L$253), "", 'Data Entry'!$L$253)</f>
      </c>
      <c r="M253">
        <f>IF(ISBLANK('Data Entry'!$M$253), "", 'Data Entry'!$M$253)</f>
      </c>
      <c r="N253">
        <f>IF(ISBLANK('Data Entry'!$N$253), "", 'Data Entry'!$N$253)</f>
      </c>
      <c r="O253">
        <f>IF(ISBLANK('Data Entry'!$O$253), "", 'Data Entry'!$O$253)</f>
      </c>
      <c r="P253">
        <f>IF(ISBLANK('Data Entry'!$P$253), "", 'Data Entry'!$P$253)</f>
      </c>
      <c r="Q253">
        <f>IF(ISBLANK('Data Entry'!$Q$253), "", 'Data Entry'!$Q$253)</f>
      </c>
      <c r="R253">
        <f>IF(ISBLANK('Data Entry'!$R$253), "", 'Data Entry'!$R$253)</f>
      </c>
      <c r="S253">
        <f>IF(ISBLANK('Data Entry'!$S$253), "", 'Data Entry'!$S$253)</f>
      </c>
      <c r="T253">
        <f>IF(ISBLANK('Data Entry'!$T$253), "", 'Data Entry'!$T$253)</f>
      </c>
      <c r="U253">
        <f>IF(ISBLANK('Data Entry'!$U$253), "", 'Data Entry'!$U$253)</f>
      </c>
      <c r="V253">
        <f>IF(ISBLANK('Data Entry'!$V$253), "", 'Data Entry'!$V$253)</f>
      </c>
      <c r="W253">
        <f>IF(ISBLANK('Data Entry'!$W$253), "", 'Data Entry'!$W$253)</f>
      </c>
      <c r="X253">
        <f>IF(ISBLANK('Data Entry'!$X$253), "", 'Data Entry'!$X$253)</f>
      </c>
      <c r="Y253">
        <f>IF(ISBLANK('Data Entry'!$Y$253), "", 'Data Entry'!$Y$253)</f>
      </c>
      <c r="Z253">
        <f>IF(ISBLANK('Data Entry'!$Z$253), "", 'Data Entry'!$Z$253)</f>
      </c>
      <c r="AA253">
        <f>IF(ISBLANK('Data Entry'!$[$253), "", 'Data Entry'!$[$253)</f>
      </c>
      <c r="AB253">
        <f>IF(ISBLANK('Data Entry'!$\$253), "", 'Data Entry'!$\$253)</f>
      </c>
      <c r="AC253">
        <f>IF(ISBLANK('Data Entry'!$]$253), "", 'Data Entry'!$]$253)</f>
      </c>
      <c r="AD253">
        <f>IF(ISBLANK('Data Entry'!$^$253), "", 'Data Entry'!$^$253)</f>
      </c>
      <c r="AE253">
        <f>IF(ISBLANK('Data Entry'!$_$253), "", 'Data Entry'!$_$253)</f>
      </c>
      <c r="AF253">
        <f>IF(ISBLANK('Data Entry'!$`$253), "", 'Data Entry'!$`$253)</f>
      </c>
      <c r="AG253">
        <f>IF(ISBLANK('Data Entry'!$a$253), "", 'Data Entry'!$a$253)</f>
      </c>
      <c r="AH253">
        <f>IF(ISBLANK('Data Entry'!$b$253), "", 'Data Entry'!$b$253)</f>
      </c>
      <c r="AI253">
        <f>IF(ISBLANK('Data Entry'!$c$253), "", 'Data Entry'!$c$253)</f>
      </c>
      <c r="AJ253">
        <f>IF(ISBLANK('Data Entry'!$d$253), "", 'Data Entry'!$d$253)</f>
      </c>
      <c r="AK253">
        <f>IF(ISBLANK('Data Entry'!$e$253), "", 'Data Entry'!$e$253)</f>
      </c>
      <c r="AL253">
        <f>IF(ISBLANK('Data Entry'!$f$253), "", 'Data Entry'!$f$253)</f>
      </c>
      <c r="AM253">
        <f>IF(ISBLANK('Data Entry'!$g$253), "", 'Data Entry'!$g$253)</f>
      </c>
      <c r="AN253">
        <f>IF(ISBLANK('Data Entry'!$h$253), "", 'Data Entry'!$h$253)</f>
      </c>
      <c r="AO253">
        <f>IF(ISBLANK('Data Entry'!$i$253), "", 'Data Entry'!$i$253)</f>
      </c>
      <c r="AP253">
        <f>IF(ISBLANK('Data Entry'!$j$253), "", 'Data Entry'!$j$253)</f>
      </c>
      <c r="AQ253">
        <f>IF(ISBLANK('Data Entry'!$k$253), "", 'Data Entry'!$k$253)</f>
      </c>
      <c r="AR253">
        <f>IF(ISBLANK('Data Entry'!$l$253), "", 'Data Entry'!$l$253)</f>
      </c>
      <c r="AS253">
        <f>IF(ISBLANK('Data Entry'!$m$253), "", 'Data Entry'!$m$253)</f>
      </c>
      <c r="AT253">
        <f>IF(ISBLANK('Data Entry'!$n$253), "", 'Data Entry'!$n$253)</f>
      </c>
      <c r="AU253">
        <f>IF(ISBLANK('Data Entry'!$o$253), "", 'Data Entry'!$o$253)</f>
      </c>
      <c r="AV253">
        <f>IF(ISBLANK('Data Entry'!$p$253), "", 'Data Entry'!$p$253)</f>
      </c>
      <c r="AW253">
        <f>IF(ISBLANK('Data Entry'!$q$253), "", 'Data Entry'!$q$253)</f>
      </c>
      <c r="AX253">
        <f>IF(ISBLANK('Data Entry'!$r$253), "", 'Data Entry'!$r$253)</f>
      </c>
      <c r="AY253">
        <f>IF(ISBLANK('Data Entry'!$s$253), "", 'Data Entry'!$s$253)</f>
      </c>
      <c r="AZ253">
        <f>IF(ISBLANK('Data Entry'!$t$253), "", 'Data Entry'!$t$253)</f>
      </c>
      <c r="BA253">
        <f>IF(ISBLANK('Data Entry'!$u$253), "", 'Data Entry'!$u$253)</f>
      </c>
      <c r="BB253">
        <f>IF(ISBLANK('Data Entry'!$v$253), "", 'Data Entry'!$v$253)</f>
      </c>
      <c r="BC253">
        <f>IF(ISBLANK('Data Entry'!$w$253), "", 'Data Entry'!$w$253)</f>
      </c>
      <c r="BD253">
        <f>IF(ISBLANK('Data Entry'!$x$253), "", 'Data Entry'!$x$253)</f>
      </c>
      <c r="BE253">
        <f>IF(ISBLANK('Data Entry'!$y$253), "", 'Data Entry'!$y$253)</f>
      </c>
      <c r="BF253">
        <f>IF(ISBLANK('Data Entry'!$z$253), "", 'Data Entry'!$z$253)</f>
      </c>
      <c r="BG253">
        <f>IF(ISBLANK('Data Entry'!${$253), "", 'Data Entry'!${$253)</f>
      </c>
      <c r="BH253">
        <f>IF(ISBLANK('Data Entry'!$|$253), "", 'Data Entry'!$|$253)</f>
      </c>
      <c r="BI253">
        <f>IF(ISBLANK('Data Entry'!$}$253), "", 'Data Entry'!$}$253)</f>
      </c>
      <c r="BJ253">
        <f>IF(ISBLANK('Data Entry'!$~$253), "", 'Data Entry'!$~$253)</f>
      </c>
      <c r="BK253">
        <f>IF(ISBLANK('Data Entry'!$$253), "", 'Data Entry'!$$253)</f>
      </c>
      <c r="BL253">
        <f>IF(ISBLANK('Data Entry'!$$253), "", 'Data Entry'!$$253)</f>
      </c>
      <c r="BM253">
        <f>IF(ISBLANK('Data Entry'!$$253), "", 'Data Entry'!$$253)</f>
      </c>
      <c r="BN253">
        <f>IF(ISBLANK('Data Entry'!$$253), "", 'Data Entry'!$$253)</f>
      </c>
      <c r="BO253">
        <f>IF(ISBLANK('Data Entry'!$$253), "", 'Data Entry'!$$253)</f>
      </c>
      <c r="BP253">
        <f>IF(ISBLANK('Data Entry'!$$253), "", 'Data Entry'!$$253)</f>
      </c>
      <c r="BQ253">
        <f>IF(ISBLANK('Data Entry'!$$253), "", 'Data Entry'!$$253)</f>
      </c>
      <c r="BR253">
        <f>IF(ISBLANK('Data Entry'!$$253), "", 'Data Entry'!$$253)</f>
      </c>
      <c r="BS253">
        <f>IF(ISBLANK('Data Entry'!$$253), "", 'Data Entry'!$$253)</f>
      </c>
      <c r="BT253">
        <f>IF(ISBLANK('Data Entry'!$$253), "", 'Data Entry'!$$253)</f>
      </c>
      <c r="BU253">
        <f>IF(ISBLANK('Data Entry'!$$253), "", 'Data Entry'!$$253)</f>
      </c>
      <c r="BV253">
        <f>IF(ISBLANK('Data Entry'!$$253), "", 'Data Entry'!$$253)</f>
      </c>
      <c r="BW253">
        <f>IF(ISBLANK('Data Entry'!$$253), "", 'Data Entry'!$$253)</f>
      </c>
      <c r="BX253">
        <f>IF(ISBLANK('Data Entry'!$$253), "", 'Data Entry'!$$253)</f>
      </c>
      <c r="BY253">
        <f>IF(ISBLANK('Data Entry'!$$253), "", 'Data Entry'!$$253)</f>
      </c>
      <c r="BZ253">
        <f>IF(ISBLANK('Data Entry'!$$253), "", 'Data Entry'!$$253)</f>
      </c>
      <c r="CA253">
        <f>IF(ISBLANK('Data Entry'!$$253), "", 'Data Entry'!$$253)</f>
      </c>
      <c r="CB253">
        <f>IF(ISBLANK('Data Entry'!$$253), "", 'Data Entry'!$$253)</f>
      </c>
      <c r="CC253">
        <f>IF(ISBLANK('Data Entry'!$$253), "", 'Data Entry'!$$253)</f>
      </c>
      <c r="CD253">
        <f>IF(ISBLANK('Data Entry'!$$253), "", 'Data Entry'!$$253)</f>
      </c>
      <c r="CE253">
        <f>IF(ISBLANK('Data Entry'!$$253), "", 'Data Entry'!$$253)</f>
      </c>
      <c r="CF253">
        <f>IF(ISBLANK('Data Entry'!$$253), "", 'Data Entry'!$$253)</f>
      </c>
      <c r="CG253">
        <f>IF(ISBLANK('Data Entry'!$$253), "", 'Data Entry'!$$253)</f>
      </c>
      <c r="CH253">
        <f>IF(ISBLANK('Data Entry'!$$253), "", 'Data Entry'!$$253)</f>
      </c>
      <c r="CI253">
        <f>IF(ISBLANK('Data Entry'!$$253), "", 'Data Entry'!$$253)</f>
      </c>
      <c r="CJ253">
        <f>IF(ISBLANK('Data Entry'!$$253), "", 'Data Entry'!$$253)</f>
      </c>
      <c r="CK253">
        <f>IF(ISBLANK('Data Entry'!$$253), "", 'Data Entry'!$$253)</f>
      </c>
      <c r="CL253">
        <f>IF(ISBLANK('Data Entry'!$$253), "", 'Data Entry'!$$253)</f>
      </c>
      <c r="CM253">
        <f>IF(ISBLANK('Data Entry'!$$253), "", 'Data Entry'!$$253)</f>
      </c>
      <c r="CN253">
        <f>IF(ISBLANK('Data Entry'!$$253), "", 'Data Entry'!$$253)</f>
      </c>
      <c r="CO253">
        <f>IF(ISBLANK('Data Entry'!$$253), "", 'Data Entry'!$$253)</f>
      </c>
      <c r="CP253">
        <f>IF(ISBLANK('Data Entry'!$$253), "", 'Data Entry'!$$253)</f>
      </c>
      <c r="CQ253">
        <f>IF(ISBLANK('Data Entry'!$$253), "", 'Data Entry'!$$253)</f>
      </c>
      <c r="CR253">
        <f>IF(ISBLANK('Data Entry'!$ $253), "", 'Data Entry'!$ $253)</f>
      </c>
      <c r="CS253">
        <f>IF(ISBLANK('Data Entry'!$¡$253), "", 'Data Entry'!$¡$253)</f>
      </c>
      <c r="CT253">
        <f>IF(ISBLANK('Data Entry'!$¢$253), "", 'Data Entry'!$¢$253)</f>
      </c>
      <c r="CU253">
        <f>IF(ISBLANK('Data Entry'!$£$253), "", 'Data Entry'!$£$253)</f>
      </c>
      <c r="CV253">
        <f>IF(ISBLANK('Data Entry'!$¤$253), "", 'Data Entry'!$¤$253)</f>
      </c>
      <c r="CW253">
        <f>IF(ISBLANK('Data Entry'!$¥$253), "", 'Data Entry'!$¥$253)</f>
      </c>
      <c r="CX253">
        <f>IF(ISBLANK('Data Entry'!$¦$253), "", 'Data Entry'!$¦$253)</f>
      </c>
      <c r="CY253">
        <f>IF(ISBLANK('Data Entry'!$§$253), "", 'Data Entry'!$§$253)</f>
      </c>
      <c r="CZ253">
        <f>IF(ISBLANK('Data Entry'!$¨$253), "", 'Data Entry'!$¨$253)</f>
      </c>
      <c r="DA253">
        <f>IF(ISBLANK('Data Entry'!$©$253), "", 'Data Entry'!$©$253)</f>
      </c>
      <c r="DB253">
        <f>IF(ISBLANK('Data Entry'!$ª$253), "", 'Data Entry'!$ª$253)</f>
      </c>
      <c r="DC253">
        <f>IF(ISBLANK('Data Entry'!$«$253), "", 'Data Entry'!$«$253)</f>
      </c>
      <c r="DD253">
        <f>IF(ISBLANK('Data Entry'!$¬$253), "", 'Data Entry'!$¬$253)</f>
      </c>
      <c r="DE253">
        <f>IF(ISBLANK('Data Entry'!$­$253), "", 'Data Entry'!$­$253)</f>
      </c>
      <c r="DF253">
        <f>IF(ISBLANK('Data Entry'!$®$253), "", 'Data Entry'!$®$253)</f>
      </c>
      <c r="DG253">
        <f>IF(ISBLANK('Data Entry'!$¯$253), "", 'Data Entry'!$¯$253)</f>
      </c>
      <c r="DH253">
        <f>IF(ISBLANK('Data Entry'!$°$253), "", 'Data Entry'!$°$253)</f>
      </c>
      <c r="DI253">
        <f>IF(ISBLANK('Data Entry'!$±$253), "", 'Data Entry'!$±$253)</f>
      </c>
      <c r="DJ253">
        <f>IF(ISBLANK('Data Entry'!$²$253), "", 'Data Entry'!$²$253)</f>
      </c>
      <c r="DK253">
        <f>IF(ISBLANK('Data Entry'!$³$253), "", 'Data Entry'!$³$253)</f>
      </c>
      <c r="DL253">
        <f>IF(ISBLANK('Data Entry'!$´$253), "", 'Data Entry'!$´$253)</f>
      </c>
      <c r="DM253">
        <f>IF(ISBLANK('Data Entry'!$µ$253), "", 'Data Entry'!$µ$253)</f>
      </c>
      <c r="DN253">
        <f>IF(ISBLANK('Data Entry'!$¶$253), "", 'Data Entry'!$¶$253)</f>
      </c>
      <c r="DO253">
        <f>IF(ISBLANK('Data Entry'!$·$253), "", 'Data Entry'!$·$253)</f>
      </c>
      <c r="DP253">
        <f>IF(ISBLANK('Data Entry'!$¸$253), "", 'Data Entry'!$¸$253)</f>
      </c>
      <c r="DQ253">
        <f>IF(ISBLANK('Data Entry'!$¹$253), "", 'Data Entry'!$¹$253)</f>
      </c>
      <c r="DR253">
        <f>IF(ISBLANK('Data Entry'!$º$253), "", 'Data Entry'!$º$253)</f>
      </c>
      <c r="DS253">
        <f>IF(ISBLANK('Data Entry'!$»$253), "", 'Data Entry'!$»$253)</f>
      </c>
      <c r="DT253">
        <f>IF(ISBLANK('Data Entry'!$¼$253), "", 'Data Entry'!$¼$253)</f>
      </c>
      <c r="DU253">
        <f>IF(ISBLANK('Data Entry'!$½$253), "", 'Data Entry'!$½$253)</f>
      </c>
      <c r="DV253">
        <f>IF(ISBLANK('Data Entry'!$¾$253), "", 'Data Entry'!$¾$253)</f>
      </c>
      <c r="DW253">
        <f>IF(ISBLANK('Data Entry'!$¿$253), "", 'Data Entry'!$¿$253)</f>
      </c>
      <c r="DX253">
        <f>IF(ISBLANK('Data Entry'!$À$253), "", 'Data Entry'!$À$253)</f>
      </c>
      <c r="DY253">
        <f>IF(ISBLANK('Data Entry'!$Á$253), "", 'Data Entry'!$Á$253)</f>
      </c>
      <c r="DZ253">
        <f>IF(ISBLANK('Data Entry'!$Â$253), "", 'Data Entry'!$Â$253)</f>
      </c>
      <c r="EA253">
        <f>IF(ISBLANK('Data Entry'!$Ã$253), "", 'Data Entry'!$Ã$253)</f>
      </c>
      <c r="EB253">
        <f>IF(ISBLANK('Data Entry'!$Ä$253), "", 'Data Entry'!$Ä$253)</f>
      </c>
      <c r="EC253">
        <f>IF(ISBLANK('Data Entry'!$Å$253), "", 'Data Entry'!$Å$253)</f>
      </c>
      <c r="ED253">
        <f>IF(ISBLANK('Data Entry'!$Æ$253), "", 'Data Entry'!$Æ$253)</f>
      </c>
      <c r="EE253">
        <f>IF(ISBLANK('Data Entry'!$Ç$253), "", 'Data Entry'!$Ç$253)</f>
      </c>
      <c r="EF253">
        <f>IF(ISBLANK('Data Entry'!$È$253), "", 'Data Entry'!$È$253)</f>
      </c>
      <c r="EG253">
        <f>IF(ISBLANK('Data Entry'!$É$253), "", 'Data Entry'!$É$253)</f>
      </c>
      <c r="EH253">
        <f>IF(ISBLANK('Data Entry'!$Ê$253), "", 'Data Entry'!$Ê$253)</f>
      </c>
      <c r="EI253">
        <f>IF(ISBLANK('Data Entry'!$Ë$253), "", 'Data Entry'!$Ë$253)</f>
      </c>
      <c r="EJ253">
        <f>IF(ISBLANK('Data Entry'!$Ì$253), "", 'Data Entry'!$Ì$253)</f>
      </c>
      <c r="EK253">
        <f>IF(ISBLANK('Data Entry'!$Í$253), "", 'Data Entry'!$Í$253)</f>
      </c>
      <c r="EL253">
        <f>IF(ISBLANK('Data Entry'!$Î$253), "", 'Data Entry'!$Î$253)</f>
      </c>
      <c r="EM253">
        <f>IF(ISBLANK('Data Entry'!$Ï$253), "", 'Data Entry'!$Ï$253)</f>
      </c>
      <c r="EN253">
        <f>IF(ISBLANK('Data Entry'!$Ð$253), "", 'Data Entry'!$Ð$253)</f>
      </c>
      <c r="EO253">
        <f>IF(ISBLANK('Data Entry'!$Ñ$253), "", 'Data Entry'!$Ñ$253)</f>
      </c>
      <c r="EP253">
        <f>IF(ISBLANK('Data Entry'!$Ò$253), "", 'Data Entry'!$Ò$253)</f>
      </c>
      <c r="EQ253">
        <f>IF(ISBLANK('Data Entry'!$Ó$253), "", 'Data Entry'!$Ó$253)</f>
      </c>
      <c r="ER253">
        <f>IF(ISBLANK('Data Entry'!$Ô$253), "", 'Data Entry'!$Ô$253)</f>
      </c>
      <c r="ES253">
        <f>IF(ISBLANK('Data Entry'!$Õ$253), "", 'Data Entry'!$Õ$253)</f>
      </c>
      <c r="ET253">
        <f>IF(ISBLANK('Data Entry'!$Ö$253), "", 'Data Entry'!$Ö$253)</f>
      </c>
      <c r="EU253">
        <f>IF(ISBLANK('Data Entry'!$×$253), "", 'Data Entry'!$×$253)</f>
      </c>
      <c r="EV253">
        <f>IF(ISBLANK('Data Entry'!$Ø$253), "", 'Data Entry'!$Ø$253)</f>
      </c>
      <c r="EW253">
        <f>IF(ISBLANK('Data Entry'!$Ù$253), "", 'Data Entry'!$Ù$253)</f>
      </c>
      <c r="EX253">
        <f>IF(ISBLANK('Data Entry'!$Ú$253), "", 'Data Entry'!$Ú$253)</f>
      </c>
      <c r="EY253">
        <f>IF(ISBLANK('Data Entry'!$Û$253), "", 'Data Entry'!$Û$253)</f>
      </c>
      <c r="EZ253">
        <f>IF(ISBLANK('Data Entry'!$Ü$253), "", 'Data Entry'!$Ü$253)</f>
      </c>
      <c r="FA253">
        <f>IF(ISBLANK('Data Entry'!$Ý$253), "", 'Data Entry'!$Ý$253)</f>
      </c>
      <c r="FB253">
        <f>IF(ISBLANK('Data Entry'!$Þ$253), "", 'Data Entry'!$Þ$253)</f>
      </c>
      <c r="FC253">
        <f>IF(ISBLANK('Data Entry'!$ß$253), "", 'Data Entry'!$ß$253)</f>
      </c>
      <c r="FD253">
        <f>IF(ISBLANK('Data Entry'!$à$253), "", 'Data Entry'!$à$253)</f>
      </c>
      <c r="FE253">
        <f>IF(ISBLANK('Data Entry'!$á$253), "", 'Data Entry'!$á$253)</f>
      </c>
      <c r="FF253">
        <f>IF(ISBLANK('Data Entry'!$â$253), "", 'Data Entry'!$â$253)</f>
      </c>
      <c r="FG253">
        <f>IF(ISBLANK('Data Entry'!$ã$253), "", 'Data Entry'!$ã$253)</f>
      </c>
      <c r="FH253">
        <f>IF(ISBLANK('Data Entry'!$ä$253), "", 'Data Entry'!$ä$253)</f>
      </c>
      <c r="FI253">
        <f>IF(ISBLANK('Data Entry'!$å$253), "", 'Data Entry'!$å$253)</f>
      </c>
      <c r="FJ253">
        <f>IF(ISBLANK('Data Entry'!$æ$253), "", 'Data Entry'!$æ$253)</f>
      </c>
      <c r="FK253">
        <f>IF(ISBLANK('Data Entry'!$ç$253), "", 'Data Entry'!$ç$253)</f>
      </c>
      <c r="FL253">
        <f>IF(ISBLANK('Data Entry'!$è$253), "", 'Data Entry'!$è$253)</f>
      </c>
      <c r="FM253">
        <f>IF(ISBLANK('Data Entry'!$é$253), "", 'Data Entry'!$é$253)</f>
      </c>
      <c r="FN253">
        <f>IF(ISBLANK('Data Entry'!$ê$253), "", 'Data Entry'!$ê$253)</f>
      </c>
      <c r="FO253">
        <f>IF(ISBLANK('Data Entry'!$ë$253), "", 'Data Entry'!$ë$253)</f>
      </c>
      <c r="FP253">
        <f>IF(ISBLANK('Data Entry'!$ì$253), "", 'Data Entry'!$ì$253)</f>
      </c>
      <c r="FQ253">
        <f>IF(ISBLANK('Data Entry'!$í$253), "", 'Data Entry'!$í$253)</f>
      </c>
      <c r="FR253">
        <f>IF(ISBLANK('Data Entry'!$î$253), "", 'Data Entry'!$î$253)</f>
      </c>
      <c r="FS253">
        <f>IF(ISBLANK('Data Entry'!$ï$253), "", 'Data Entry'!$ï$253)</f>
      </c>
      <c r="FT253">
        <f>IF(ISBLANK('Data Entry'!$ð$253), "", 'Data Entry'!$ð$253)</f>
      </c>
      <c r="FU253">
        <f>IF(ISBLANK('Data Entry'!$ñ$253), "", 'Data Entry'!$ñ$253)</f>
      </c>
      <c r="FV253">
        <f>IF(ISBLANK('Data Entry'!$ò$253), "", 'Data Entry'!$ò$253)</f>
      </c>
      <c r="FW253">
        <f>IF(ISBLANK('Data Entry'!$ó$253), "", 'Data Entry'!$ó$253)</f>
      </c>
      <c r="FX253">
        <f>IF(ISBLANK('Data Entry'!$ô$253), "", 'Data Entry'!$ô$253)</f>
      </c>
      <c r="FY253">
        <f>IF(ISBLANK('Data Entry'!$õ$253), "", 'Data Entry'!$õ$253)</f>
      </c>
      <c r="FZ253">
        <f>IF(ISBLANK('Data Entry'!$ö$253), "", 'Data Entry'!$ö$253)</f>
      </c>
      <c r="GA253">
        <f>IF(ISBLANK('Data Entry'!$÷$253), "", 'Data Entry'!$÷$253)</f>
      </c>
      <c r="GB253">
        <f>IF(ISBLANK('Data Entry'!$ø$253), "", 'Data Entry'!$ø$253)</f>
      </c>
      <c r="GC253">
        <f>IF(ISBLANK('Data Entry'!$ù$253), "", 'Data Entry'!$ù$253)</f>
      </c>
      <c r="GD253">
        <f>IF(ISBLANK('Data Entry'!$ú$253), "", 'Data Entry'!$ú$253)</f>
      </c>
      <c r="GE253">
        <f>IF(ISBLANK('Data Entry'!$û$253), "", 'Data Entry'!$û$253)</f>
      </c>
      <c r="GF253">
        <f>IF(ISBLANK('Data Entry'!$ü$253), "", 'Data Entry'!$ü$253)</f>
      </c>
      <c r="GG253">
        <f>IF(ISBLANK('Data Entry'!$ý$253), "", 'Data Entry'!$ý$253)</f>
      </c>
      <c r="GH253">
        <f>IF(ISBLANK('Data Entry'!$þ$253), "", 'Data Entry'!$þ$253)</f>
      </c>
      <c r="GI253">
        <f>IF(ISBLANK('Data Entry'!$ÿ$253), "", 'Data Entry'!$ÿ$253)</f>
      </c>
      <c r="GJ253">
        <f>IF(ISBLANK('Data Entry'!$Ā$253), "", 'Data Entry'!$Ā$253)</f>
      </c>
      <c r="GK253">
        <f>IF(ISBLANK('Data Entry'!$ā$253), "", 'Data Entry'!$ā$253)</f>
      </c>
      <c r="GL253">
        <f>IF(ISBLANK('Data Entry'!$Ă$253), "", 'Data Entry'!$Ă$253)</f>
      </c>
      <c r="GM253">
        <f>IF(ISBLANK('Data Entry'!$ă$253), "", 'Data Entry'!$ă$253)</f>
      </c>
      <c r="GN253">
        <f>IF(ISBLANK('Data Entry'!$Ą$253), "", 'Data Entry'!$Ą$253)</f>
      </c>
      <c r="GO253">
        <f>IF(ISBLANK('Data Entry'!$ą$253), "", 'Data Entry'!$ą$253)</f>
      </c>
      <c r="GP253">
        <f>IF(ISBLANK('Data Entry'!$Ć$253), "", 'Data Entry'!$Ć$253)</f>
      </c>
      <c r="GQ253">
        <f>IF(ISBLANK('Data Entry'!$ć$253), "", 'Data Entry'!$ć$253)</f>
      </c>
      <c r="GR253">
        <f>IF(ISBLANK('Data Entry'!$Ĉ$253), "", 'Data Entry'!$Ĉ$253)</f>
      </c>
      <c r="GS253">
        <f>IF(ISBLANK('Data Entry'!$ĉ$253), "", 'Data Entry'!$ĉ$253)</f>
      </c>
      <c r="GT253">
        <f>IF(ISBLANK('Data Entry'!$Ċ$253), "", 'Data Entry'!$Ċ$253)</f>
      </c>
      <c r="GU253">
        <f>IF(ISBLANK('Data Entry'!$ċ$253), "", 'Data Entry'!$ċ$253)</f>
      </c>
      <c r="GV253">
        <f>IF(ISBLANK('Data Entry'!$Č$253), "", 'Data Entry'!$Č$253)</f>
      </c>
      <c r="GW253">
        <f>IF(ISBLANK('Data Entry'!$č$253), "", 'Data Entry'!$č$253)</f>
      </c>
      <c r="GX253">
        <f>IF(ISBLANK('Data Entry'!$Ď$253), "", 'Data Entry'!$Ď$253)</f>
      </c>
      <c r="GY253">
        <f>IF(ISBLANK('Data Entry'!$ď$253), "", 'Data Entry'!$ď$253)</f>
      </c>
      <c r="GZ253">
        <f>IF(ISBLANK('Data Entry'!$Đ$253), "", 'Data Entry'!$Đ$253)</f>
      </c>
      <c r="HA253">
        <f>IF(ISBLANK('Data Entry'!$đ$253), "", 'Data Entry'!$đ$253)</f>
      </c>
      <c r="HB253">
        <f>IF(ISBLANK('Data Entry'!$Ē$253), "", 'Data Entry'!$Ē$253)</f>
      </c>
      <c r="HC253">
        <f>IF(ISBLANK('Data Entry'!$ē$253), "", 'Data Entry'!$ē$253)</f>
      </c>
      <c r="HD253">
        <f>IF(ISBLANK('Data Entry'!$Ĕ$253), "", 'Data Entry'!$Ĕ$253)</f>
      </c>
      <c r="HE253">
        <f>IF(ISBLANK('Data Entry'!$ĕ$253), "", 'Data Entry'!$ĕ$253)</f>
      </c>
      <c r="HF253">
        <f>IF(ISBLANK('Data Entry'!$Ė$253), "", 'Data Entry'!$Ė$253)</f>
      </c>
      <c r="HG253">
        <f>IF(ISBLANK('Data Entry'!$ė$253), "", 'Data Entry'!$ė$253)</f>
      </c>
      <c r="HH253">
        <f>IF(ISBLANK('Data Entry'!$Ę$253), "", 'Data Entry'!$Ę$253)</f>
      </c>
      <c r="HI253">
        <f>IF(ISBLANK('Data Entry'!$ę$253), "", 'Data Entry'!$ę$253)</f>
      </c>
      <c r="HJ253">
        <f>IF(ISBLANK('Data Entry'!$Ě$253), "", 'Data Entry'!$Ě$253)</f>
      </c>
      <c r="HK253">
        <f>IF(ISBLANK('Data Entry'!$ě$253), "", 'Data Entry'!$ě$253)</f>
      </c>
      <c r="HL253">
        <f>IF(ISBLANK('Data Entry'!$Ĝ$253), "", 'Data Entry'!$Ĝ$253)</f>
      </c>
      <c r="HM253">
        <f>IF(ISBLANK('Data Entry'!$ĝ$253), "", 'Data Entry'!$ĝ$253)</f>
      </c>
      <c r="HN253">
        <f>IF(ISBLANK('Data Entry'!$Ğ$253), "", 'Data Entry'!$Ğ$253)</f>
      </c>
      <c r="HO253">
        <f>IF(ISBLANK('Data Entry'!$ğ$253), "", 'Data Entry'!$ğ$253)</f>
      </c>
      <c r="HP253">
        <f>IF(ISBLANK('Data Entry'!$Ġ$253), "", 'Data Entry'!$Ġ$253)</f>
      </c>
      <c r="HQ253">
        <f>IF(ISBLANK('Data Entry'!$ġ$253), "", 'Data Entry'!$ġ$253)</f>
      </c>
      <c r="HR253">
        <f>IF(ISBLANK('Data Entry'!$Ģ$253), "", 'Data Entry'!$Ģ$253)</f>
      </c>
      <c r="HS253">
        <f>IF(ISBLANK('Data Entry'!$ģ$253), "", 'Data Entry'!$ģ$253)</f>
      </c>
      <c r="HT253">
        <f>IF(ISBLANK('Data Entry'!$Ĥ$253), "", 'Data Entry'!$Ĥ$253)</f>
      </c>
      <c r="HU253">
        <f>IF(ISBLANK('Data Entry'!$ĥ$253), "", 'Data Entry'!$ĥ$253)</f>
      </c>
      <c r="HV253">
        <f>IF(ISBLANK('Data Entry'!$Ħ$253), "", 'Data Entry'!$Ħ$253)</f>
      </c>
      <c r="HW253">
        <f>IF(ISBLANK('Data Entry'!$ħ$253), "", 'Data Entry'!$ħ$253)</f>
      </c>
      <c r="HX253">
        <f>IF(ISBLANK('Data Entry'!$Ĩ$253), "", 'Data Entry'!$Ĩ$253)</f>
      </c>
      <c r="HY253">
        <f>IF(ISBLANK('Data Entry'!$ĩ$253), "", 'Data Entry'!$ĩ$253)</f>
      </c>
      <c r="HZ253">
        <f>IF(ISBLANK('Data Entry'!$Ī$253), "", 'Data Entry'!$Ī$253)</f>
      </c>
      <c r="IA253">
        <f>IF(ISBLANK('Data Entry'!$ī$253), "", 'Data Entry'!$ī$253)</f>
      </c>
      <c r="IB253">
        <f>IF(ISBLANK('Data Entry'!$Ĭ$253), "", 'Data Entry'!$Ĭ$253)</f>
      </c>
      <c r="IC253">
        <f>IF(ISBLANK('Data Entry'!$ĭ$253), "", 'Data Entry'!$ĭ$253)</f>
      </c>
      <c r="ID253">
        <f>IF(ISBLANK('Data Entry'!$Į$253), "", 'Data Entry'!$Į$253)</f>
      </c>
      <c r="IE253">
        <f>IF(ISBLANK('Data Entry'!$į$253), "", 'Data Entry'!$į$253)</f>
      </c>
      <c r="IF253">
        <f>IF(ISBLANK('Data Entry'!$İ$253), "", 'Data Entry'!$İ$253)</f>
      </c>
      <c r="IG253">
        <f>IF(ISBLANK('Data Entry'!$ı$253), "", 'Data Entry'!$ı$253)</f>
      </c>
      <c r="IH253">
        <f>IF(ISBLANK('Data Entry'!$Ĳ$253), "", 'Data Entry'!$Ĳ$253)</f>
      </c>
      <c r="II253">
        <f>IF(ISBLANK('Data Entry'!$ĳ$253), "", 'Data Entry'!$ĳ$253)</f>
      </c>
      <c r="IJ253">
        <f>IF(ISBLANK('Data Entry'!$Ĵ$253), "", 'Data Entry'!$Ĵ$253)</f>
      </c>
      <c r="IK253">
        <f>IF(ISBLANK('Data Entry'!$ĵ$253), "", 'Data Entry'!$ĵ$253)</f>
      </c>
      <c r="IL253">
        <f>IF(ISBLANK('Data Entry'!$Ķ$253), "", 'Data Entry'!$Ķ$253)</f>
      </c>
      <c r="IM253">
        <f>IF(ISBLANK('Data Entry'!$ķ$253), "", 'Data Entry'!$ķ$253)</f>
      </c>
      <c r="IN253">
        <f>IF(ISBLANK('Data Entry'!$ĸ$253), "", 'Data Entry'!$ĸ$253)</f>
      </c>
      <c r="IO253">
        <f>IF(ISBLANK('Data Entry'!$Ĺ$253), "", 'Data Entry'!$Ĺ$253)</f>
      </c>
      <c r="IP253">
        <f>IF(ISBLANK('Data Entry'!$ĺ$253), "", 'Data Entry'!$ĺ$253)</f>
      </c>
      <c r="IQ253">
        <f>IF(ISBLANK('Data Entry'!$Ļ$253), "", 'Data Entry'!$Ļ$253)</f>
      </c>
      <c r="IR253">
        <f>IF(ISBLANK('Data Entry'!$ļ$253), "", 'Data Entry'!$ļ$253)</f>
      </c>
      <c r="IS253">
        <f>IF(ISBLANK('Data Entry'!$Ľ$253), "", 'Data Entry'!$Ľ$253)</f>
      </c>
      <c r="IT253">
        <f>IF(ISBLANK('Data Entry'!$ľ$253), "", 'Data Entry'!$ľ$253)</f>
      </c>
    </row>
    <row r="254" spans="1:254" x14ac:dyDescent="0.25">
      <c r="A254">
        <f>IF(ISBLANK('Data Entry'!$A$254), "", 'Data Entry'!$A$254)</f>
      </c>
      <c r="B254">
        <f>IF(ISBLANK('Data Entry'!$B$254), "", 'Data Entry'!$B$254)</f>
      </c>
      <c r="C254">
        <f>IF(ISBLANK('Data Entry'!$C$254), "", 'Data Entry'!$C$254)</f>
      </c>
      <c r="D254">
        <f>IF(ISBLANK('Data Entry'!$D$254), "", 'Data Entry'!$D$254)</f>
      </c>
      <c r="E254">
        <f>IF(ISBLANK('Data Entry'!$E$254), "", 'Data Entry'!$E$254)</f>
      </c>
      <c r="F254">
        <f>IF(ISBLANK('Data Entry'!$F$254), "", 'Data Entry'!$F$254)</f>
      </c>
      <c r="G254">
        <f>IF(ISBLANK('Data Entry'!$G$254), "", 'Data Entry'!$G$254)</f>
      </c>
      <c r="H254">
        <f>IF(ISBLANK('Data Entry'!$H$254), "", 'Data Entry'!$H$254)</f>
      </c>
      <c r="I254">
        <f>IF(ISBLANK('Data Entry'!$I$254), "", 'Data Entry'!$I$254)</f>
      </c>
      <c r="J254">
        <f>IF(ISBLANK('Data Entry'!$J$254), "", 'Data Entry'!$J$254)</f>
      </c>
      <c r="K254">
        <f>IF(ISBLANK('Data Entry'!$K$254), "", 'Data Entry'!$K$254)</f>
      </c>
      <c r="L254">
        <f>IF(ISBLANK('Data Entry'!$L$254), "", 'Data Entry'!$L$254)</f>
      </c>
      <c r="M254">
        <f>IF(ISBLANK('Data Entry'!$M$254), "", 'Data Entry'!$M$254)</f>
      </c>
      <c r="N254">
        <f>IF(ISBLANK('Data Entry'!$N$254), "", 'Data Entry'!$N$254)</f>
      </c>
      <c r="O254">
        <f>IF(ISBLANK('Data Entry'!$O$254), "", 'Data Entry'!$O$254)</f>
      </c>
      <c r="P254">
        <f>IF(ISBLANK('Data Entry'!$P$254), "", 'Data Entry'!$P$254)</f>
      </c>
      <c r="Q254">
        <f>IF(ISBLANK('Data Entry'!$Q$254), "", 'Data Entry'!$Q$254)</f>
      </c>
      <c r="R254">
        <f>IF(ISBLANK('Data Entry'!$R$254), "", 'Data Entry'!$R$254)</f>
      </c>
      <c r="S254">
        <f>IF(ISBLANK('Data Entry'!$S$254), "", 'Data Entry'!$S$254)</f>
      </c>
      <c r="T254">
        <f>IF(ISBLANK('Data Entry'!$T$254), "", 'Data Entry'!$T$254)</f>
      </c>
      <c r="U254">
        <f>IF(ISBLANK('Data Entry'!$U$254), "", 'Data Entry'!$U$254)</f>
      </c>
      <c r="V254">
        <f>IF(ISBLANK('Data Entry'!$V$254), "", 'Data Entry'!$V$254)</f>
      </c>
      <c r="W254">
        <f>IF(ISBLANK('Data Entry'!$W$254), "", 'Data Entry'!$W$254)</f>
      </c>
      <c r="X254">
        <f>IF(ISBLANK('Data Entry'!$X$254), "", 'Data Entry'!$X$254)</f>
      </c>
      <c r="Y254">
        <f>IF(ISBLANK('Data Entry'!$Y$254), "", 'Data Entry'!$Y$254)</f>
      </c>
      <c r="Z254">
        <f>IF(ISBLANK('Data Entry'!$Z$254), "", 'Data Entry'!$Z$254)</f>
      </c>
      <c r="AA254">
        <f>IF(ISBLANK('Data Entry'!$[$254), "", 'Data Entry'!$[$254)</f>
      </c>
      <c r="AB254">
        <f>IF(ISBLANK('Data Entry'!$\$254), "", 'Data Entry'!$\$254)</f>
      </c>
      <c r="AC254">
        <f>IF(ISBLANK('Data Entry'!$]$254), "", 'Data Entry'!$]$254)</f>
      </c>
      <c r="AD254">
        <f>IF(ISBLANK('Data Entry'!$^$254), "", 'Data Entry'!$^$254)</f>
      </c>
      <c r="AE254">
        <f>IF(ISBLANK('Data Entry'!$_$254), "", 'Data Entry'!$_$254)</f>
      </c>
      <c r="AF254">
        <f>IF(ISBLANK('Data Entry'!$`$254), "", 'Data Entry'!$`$254)</f>
      </c>
      <c r="AG254">
        <f>IF(ISBLANK('Data Entry'!$a$254), "", 'Data Entry'!$a$254)</f>
      </c>
      <c r="AH254">
        <f>IF(ISBLANK('Data Entry'!$b$254), "", 'Data Entry'!$b$254)</f>
      </c>
      <c r="AI254">
        <f>IF(ISBLANK('Data Entry'!$c$254), "", 'Data Entry'!$c$254)</f>
      </c>
      <c r="AJ254">
        <f>IF(ISBLANK('Data Entry'!$d$254), "", 'Data Entry'!$d$254)</f>
      </c>
      <c r="AK254">
        <f>IF(ISBLANK('Data Entry'!$e$254), "", 'Data Entry'!$e$254)</f>
      </c>
      <c r="AL254">
        <f>IF(ISBLANK('Data Entry'!$f$254), "", 'Data Entry'!$f$254)</f>
      </c>
      <c r="AM254">
        <f>IF(ISBLANK('Data Entry'!$g$254), "", 'Data Entry'!$g$254)</f>
      </c>
      <c r="AN254">
        <f>IF(ISBLANK('Data Entry'!$h$254), "", 'Data Entry'!$h$254)</f>
      </c>
      <c r="AO254">
        <f>IF(ISBLANK('Data Entry'!$i$254), "", 'Data Entry'!$i$254)</f>
      </c>
      <c r="AP254">
        <f>IF(ISBLANK('Data Entry'!$j$254), "", 'Data Entry'!$j$254)</f>
      </c>
      <c r="AQ254">
        <f>IF(ISBLANK('Data Entry'!$k$254), "", 'Data Entry'!$k$254)</f>
      </c>
      <c r="AR254">
        <f>IF(ISBLANK('Data Entry'!$l$254), "", 'Data Entry'!$l$254)</f>
      </c>
      <c r="AS254">
        <f>IF(ISBLANK('Data Entry'!$m$254), "", 'Data Entry'!$m$254)</f>
      </c>
      <c r="AT254">
        <f>IF(ISBLANK('Data Entry'!$n$254), "", 'Data Entry'!$n$254)</f>
      </c>
      <c r="AU254">
        <f>IF(ISBLANK('Data Entry'!$o$254), "", 'Data Entry'!$o$254)</f>
      </c>
      <c r="AV254">
        <f>IF(ISBLANK('Data Entry'!$p$254), "", 'Data Entry'!$p$254)</f>
      </c>
      <c r="AW254">
        <f>IF(ISBLANK('Data Entry'!$q$254), "", 'Data Entry'!$q$254)</f>
      </c>
      <c r="AX254">
        <f>IF(ISBLANK('Data Entry'!$r$254), "", 'Data Entry'!$r$254)</f>
      </c>
      <c r="AY254">
        <f>IF(ISBLANK('Data Entry'!$s$254), "", 'Data Entry'!$s$254)</f>
      </c>
      <c r="AZ254">
        <f>IF(ISBLANK('Data Entry'!$t$254), "", 'Data Entry'!$t$254)</f>
      </c>
      <c r="BA254">
        <f>IF(ISBLANK('Data Entry'!$u$254), "", 'Data Entry'!$u$254)</f>
      </c>
      <c r="BB254">
        <f>IF(ISBLANK('Data Entry'!$v$254), "", 'Data Entry'!$v$254)</f>
      </c>
      <c r="BC254">
        <f>IF(ISBLANK('Data Entry'!$w$254), "", 'Data Entry'!$w$254)</f>
      </c>
      <c r="BD254">
        <f>IF(ISBLANK('Data Entry'!$x$254), "", 'Data Entry'!$x$254)</f>
      </c>
      <c r="BE254">
        <f>IF(ISBLANK('Data Entry'!$y$254), "", 'Data Entry'!$y$254)</f>
      </c>
      <c r="BF254">
        <f>IF(ISBLANK('Data Entry'!$z$254), "", 'Data Entry'!$z$254)</f>
      </c>
      <c r="BG254">
        <f>IF(ISBLANK('Data Entry'!${$254), "", 'Data Entry'!${$254)</f>
      </c>
      <c r="BH254">
        <f>IF(ISBLANK('Data Entry'!$|$254), "", 'Data Entry'!$|$254)</f>
      </c>
      <c r="BI254">
        <f>IF(ISBLANK('Data Entry'!$}$254), "", 'Data Entry'!$}$254)</f>
      </c>
      <c r="BJ254">
        <f>IF(ISBLANK('Data Entry'!$~$254), "", 'Data Entry'!$~$254)</f>
      </c>
      <c r="BK254">
        <f>IF(ISBLANK('Data Entry'!$$254), "", 'Data Entry'!$$254)</f>
      </c>
      <c r="BL254">
        <f>IF(ISBLANK('Data Entry'!$$254), "", 'Data Entry'!$$254)</f>
      </c>
      <c r="BM254">
        <f>IF(ISBLANK('Data Entry'!$$254), "", 'Data Entry'!$$254)</f>
      </c>
      <c r="BN254">
        <f>IF(ISBLANK('Data Entry'!$$254), "", 'Data Entry'!$$254)</f>
      </c>
      <c r="BO254">
        <f>IF(ISBLANK('Data Entry'!$$254), "", 'Data Entry'!$$254)</f>
      </c>
      <c r="BP254">
        <f>IF(ISBLANK('Data Entry'!$$254), "", 'Data Entry'!$$254)</f>
      </c>
      <c r="BQ254">
        <f>IF(ISBLANK('Data Entry'!$$254), "", 'Data Entry'!$$254)</f>
      </c>
      <c r="BR254">
        <f>IF(ISBLANK('Data Entry'!$$254), "", 'Data Entry'!$$254)</f>
      </c>
      <c r="BS254">
        <f>IF(ISBLANK('Data Entry'!$$254), "", 'Data Entry'!$$254)</f>
      </c>
      <c r="BT254">
        <f>IF(ISBLANK('Data Entry'!$$254), "", 'Data Entry'!$$254)</f>
      </c>
      <c r="BU254">
        <f>IF(ISBLANK('Data Entry'!$$254), "", 'Data Entry'!$$254)</f>
      </c>
      <c r="BV254">
        <f>IF(ISBLANK('Data Entry'!$$254), "", 'Data Entry'!$$254)</f>
      </c>
      <c r="BW254">
        <f>IF(ISBLANK('Data Entry'!$$254), "", 'Data Entry'!$$254)</f>
      </c>
      <c r="BX254">
        <f>IF(ISBLANK('Data Entry'!$$254), "", 'Data Entry'!$$254)</f>
      </c>
      <c r="BY254">
        <f>IF(ISBLANK('Data Entry'!$$254), "", 'Data Entry'!$$254)</f>
      </c>
      <c r="BZ254">
        <f>IF(ISBLANK('Data Entry'!$$254), "", 'Data Entry'!$$254)</f>
      </c>
      <c r="CA254">
        <f>IF(ISBLANK('Data Entry'!$$254), "", 'Data Entry'!$$254)</f>
      </c>
      <c r="CB254">
        <f>IF(ISBLANK('Data Entry'!$$254), "", 'Data Entry'!$$254)</f>
      </c>
      <c r="CC254">
        <f>IF(ISBLANK('Data Entry'!$$254), "", 'Data Entry'!$$254)</f>
      </c>
      <c r="CD254">
        <f>IF(ISBLANK('Data Entry'!$$254), "", 'Data Entry'!$$254)</f>
      </c>
      <c r="CE254">
        <f>IF(ISBLANK('Data Entry'!$$254), "", 'Data Entry'!$$254)</f>
      </c>
      <c r="CF254">
        <f>IF(ISBLANK('Data Entry'!$$254), "", 'Data Entry'!$$254)</f>
      </c>
      <c r="CG254">
        <f>IF(ISBLANK('Data Entry'!$$254), "", 'Data Entry'!$$254)</f>
      </c>
      <c r="CH254">
        <f>IF(ISBLANK('Data Entry'!$$254), "", 'Data Entry'!$$254)</f>
      </c>
      <c r="CI254">
        <f>IF(ISBLANK('Data Entry'!$$254), "", 'Data Entry'!$$254)</f>
      </c>
      <c r="CJ254">
        <f>IF(ISBLANK('Data Entry'!$$254), "", 'Data Entry'!$$254)</f>
      </c>
      <c r="CK254">
        <f>IF(ISBLANK('Data Entry'!$$254), "", 'Data Entry'!$$254)</f>
      </c>
      <c r="CL254">
        <f>IF(ISBLANK('Data Entry'!$$254), "", 'Data Entry'!$$254)</f>
      </c>
      <c r="CM254">
        <f>IF(ISBLANK('Data Entry'!$$254), "", 'Data Entry'!$$254)</f>
      </c>
      <c r="CN254">
        <f>IF(ISBLANK('Data Entry'!$$254), "", 'Data Entry'!$$254)</f>
      </c>
      <c r="CO254">
        <f>IF(ISBLANK('Data Entry'!$$254), "", 'Data Entry'!$$254)</f>
      </c>
      <c r="CP254">
        <f>IF(ISBLANK('Data Entry'!$$254), "", 'Data Entry'!$$254)</f>
      </c>
      <c r="CQ254">
        <f>IF(ISBLANK('Data Entry'!$$254), "", 'Data Entry'!$$254)</f>
      </c>
      <c r="CR254">
        <f>IF(ISBLANK('Data Entry'!$ $254), "", 'Data Entry'!$ $254)</f>
      </c>
      <c r="CS254">
        <f>IF(ISBLANK('Data Entry'!$¡$254), "", 'Data Entry'!$¡$254)</f>
      </c>
      <c r="CT254">
        <f>IF(ISBLANK('Data Entry'!$¢$254), "", 'Data Entry'!$¢$254)</f>
      </c>
      <c r="CU254">
        <f>IF(ISBLANK('Data Entry'!$£$254), "", 'Data Entry'!$£$254)</f>
      </c>
      <c r="CV254">
        <f>IF(ISBLANK('Data Entry'!$¤$254), "", 'Data Entry'!$¤$254)</f>
      </c>
      <c r="CW254">
        <f>IF(ISBLANK('Data Entry'!$¥$254), "", 'Data Entry'!$¥$254)</f>
      </c>
      <c r="CX254">
        <f>IF(ISBLANK('Data Entry'!$¦$254), "", 'Data Entry'!$¦$254)</f>
      </c>
      <c r="CY254">
        <f>IF(ISBLANK('Data Entry'!$§$254), "", 'Data Entry'!$§$254)</f>
      </c>
      <c r="CZ254">
        <f>IF(ISBLANK('Data Entry'!$¨$254), "", 'Data Entry'!$¨$254)</f>
      </c>
      <c r="DA254">
        <f>IF(ISBLANK('Data Entry'!$©$254), "", 'Data Entry'!$©$254)</f>
      </c>
      <c r="DB254">
        <f>IF(ISBLANK('Data Entry'!$ª$254), "", 'Data Entry'!$ª$254)</f>
      </c>
      <c r="DC254">
        <f>IF(ISBLANK('Data Entry'!$«$254), "", 'Data Entry'!$«$254)</f>
      </c>
      <c r="DD254">
        <f>IF(ISBLANK('Data Entry'!$¬$254), "", 'Data Entry'!$¬$254)</f>
      </c>
      <c r="DE254">
        <f>IF(ISBLANK('Data Entry'!$­$254), "", 'Data Entry'!$­$254)</f>
      </c>
      <c r="DF254">
        <f>IF(ISBLANK('Data Entry'!$®$254), "", 'Data Entry'!$®$254)</f>
      </c>
      <c r="DG254">
        <f>IF(ISBLANK('Data Entry'!$¯$254), "", 'Data Entry'!$¯$254)</f>
      </c>
      <c r="DH254">
        <f>IF(ISBLANK('Data Entry'!$°$254), "", 'Data Entry'!$°$254)</f>
      </c>
      <c r="DI254">
        <f>IF(ISBLANK('Data Entry'!$±$254), "", 'Data Entry'!$±$254)</f>
      </c>
      <c r="DJ254">
        <f>IF(ISBLANK('Data Entry'!$²$254), "", 'Data Entry'!$²$254)</f>
      </c>
      <c r="DK254">
        <f>IF(ISBLANK('Data Entry'!$³$254), "", 'Data Entry'!$³$254)</f>
      </c>
      <c r="DL254">
        <f>IF(ISBLANK('Data Entry'!$´$254), "", 'Data Entry'!$´$254)</f>
      </c>
      <c r="DM254">
        <f>IF(ISBLANK('Data Entry'!$µ$254), "", 'Data Entry'!$µ$254)</f>
      </c>
      <c r="DN254">
        <f>IF(ISBLANK('Data Entry'!$¶$254), "", 'Data Entry'!$¶$254)</f>
      </c>
      <c r="DO254">
        <f>IF(ISBLANK('Data Entry'!$·$254), "", 'Data Entry'!$·$254)</f>
      </c>
      <c r="DP254">
        <f>IF(ISBLANK('Data Entry'!$¸$254), "", 'Data Entry'!$¸$254)</f>
      </c>
      <c r="DQ254">
        <f>IF(ISBLANK('Data Entry'!$¹$254), "", 'Data Entry'!$¹$254)</f>
      </c>
      <c r="DR254">
        <f>IF(ISBLANK('Data Entry'!$º$254), "", 'Data Entry'!$º$254)</f>
      </c>
      <c r="DS254">
        <f>IF(ISBLANK('Data Entry'!$»$254), "", 'Data Entry'!$»$254)</f>
      </c>
      <c r="DT254">
        <f>IF(ISBLANK('Data Entry'!$¼$254), "", 'Data Entry'!$¼$254)</f>
      </c>
      <c r="DU254">
        <f>IF(ISBLANK('Data Entry'!$½$254), "", 'Data Entry'!$½$254)</f>
      </c>
      <c r="DV254">
        <f>IF(ISBLANK('Data Entry'!$¾$254), "", 'Data Entry'!$¾$254)</f>
      </c>
      <c r="DW254">
        <f>IF(ISBLANK('Data Entry'!$¿$254), "", 'Data Entry'!$¿$254)</f>
      </c>
      <c r="DX254">
        <f>IF(ISBLANK('Data Entry'!$À$254), "", 'Data Entry'!$À$254)</f>
      </c>
      <c r="DY254">
        <f>IF(ISBLANK('Data Entry'!$Á$254), "", 'Data Entry'!$Á$254)</f>
      </c>
      <c r="DZ254">
        <f>IF(ISBLANK('Data Entry'!$Â$254), "", 'Data Entry'!$Â$254)</f>
      </c>
      <c r="EA254">
        <f>IF(ISBLANK('Data Entry'!$Ã$254), "", 'Data Entry'!$Ã$254)</f>
      </c>
      <c r="EB254">
        <f>IF(ISBLANK('Data Entry'!$Ä$254), "", 'Data Entry'!$Ä$254)</f>
      </c>
      <c r="EC254">
        <f>IF(ISBLANK('Data Entry'!$Å$254), "", 'Data Entry'!$Å$254)</f>
      </c>
      <c r="ED254">
        <f>IF(ISBLANK('Data Entry'!$Æ$254), "", 'Data Entry'!$Æ$254)</f>
      </c>
      <c r="EE254">
        <f>IF(ISBLANK('Data Entry'!$Ç$254), "", 'Data Entry'!$Ç$254)</f>
      </c>
      <c r="EF254">
        <f>IF(ISBLANK('Data Entry'!$È$254), "", 'Data Entry'!$È$254)</f>
      </c>
      <c r="EG254">
        <f>IF(ISBLANK('Data Entry'!$É$254), "", 'Data Entry'!$É$254)</f>
      </c>
      <c r="EH254">
        <f>IF(ISBLANK('Data Entry'!$Ê$254), "", 'Data Entry'!$Ê$254)</f>
      </c>
      <c r="EI254">
        <f>IF(ISBLANK('Data Entry'!$Ë$254), "", 'Data Entry'!$Ë$254)</f>
      </c>
      <c r="EJ254">
        <f>IF(ISBLANK('Data Entry'!$Ì$254), "", 'Data Entry'!$Ì$254)</f>
      </c>
      <c r="EK254">
        <f>IF(ISBLANK('Data Entry'!$Í$254), "", 'Data Entry'!$Í$254)</f>
      </c>
      <c r="EL254">
        <f>IF(ISBLANK('Data Entry'!$Î$254), "", 'Data Entry'!$Î$254)</f>
      </c>
      <c r="EM254">
        <f>IF(ISBLANK('Data Entry'!$Ï$254), "", 'Data Entry'!$Ï$254)</f>
      </c>
      <c r="EN254">
        <f>IF(ISBLANK('Data Entry'!$Ð$254), "", 'Data Entry'!$Ð$254)</f>
      </c>
      <c r="EO254">
        <f>IF(ISBLANK('Data Entry'!$Ñ$254), "", 'Data Entry'!$Ñ$254)</f>
      </c>
      <c r="EP254">
        <f>IF(ISBLANK('Data Entry'!$Ò$254), "", 'Data Entry'!$Ò$254)</f>
      </c>
      <c r="EQ254">
        <f>IF(ISBLANK('Data Entry'!$Ó$254), "", 'Data Entry'!$Ó$254)</f>
      </c>
      <c r="ER254">
        <f>IF(ISBLANK('Data Entry'!$Ô$254), "", 'Data Entry'!$Ô$254)</f>
      </c>
      <c r="ES254">
        <f>IF(ISBLANK('Data Entry'!$Õ$254), "", 'Data Entry'!$Õ$254)</f>
      </c>
      <c r="ET254">
        <f>IF(ISBLANK('Data Entry'!$Ö$254), "", 'Data Entry'!$Ö$254)</f>
      </c>
      <c r="EU254">
        <f>IF(ISBLANK('Data Entry'!$×$254), "", 'Data Entry'!$×$254)</f>
      </c>
      <c r="EV254">
        <f>IF(ISBLANK('Data Entry'!$Ø$254), "", 'Data Entry'!$Ø$254)</f>
      </c>
      <c r="EW254">
        <f>IF(ISBLANK('Data Entry'!$Ù$254), "", 'Data Entry'!$Ù$254)</f>
      </c>
      <c r="EX254">
        <f>IF(ISBLANK('Data Entry'!$Ú$254), "", 'Data Entry'!$Ú$254)</f>
      </c>
      <c r="EY254">
        <f>IF(ISBLANK('Data Entry'!$Û$254), "", 'Data Entry'!$Û$254)</f>
      </c>
      <c r="EZ254">
        <f>IF(ISBLANK('Data Entry'!$Ü$254), "", 'Data Entry'!$Ü$254)</f>
      </c>
      <c r="FA254">
        <f>IF(ISBLANK('Data Entry'!$Ý$254), "", 'Data Entry'!$Ý$254)</f>
      </c>
      <c r="FB254">
        <f>IF(ISBLANK('Data Entry'!$Þ$254), "", 'Data Entry'!$Þ$254)</f>
      </c>
      <c r="FC254">
        <f>IF(ISBLANK('Data Entry'!$ß$254), "", 'Data Entry'!$ß$254)</f>
      </c>
      <c r="FD254">
        <f>IF(ISBLANK('Data Entry'!$à$254), "", 'Data Entry'!$à$254)</f>
      </c>
      <c r="FE254">
        <f>IF(ISBLANK('Data Entry'!$á$254), "", 'Data Entry'!$á$254)</f>
      </c>
      <c r="FF254">
        <f>IF(ISBLANK('Data Entry'!$â$254), "", 'Data Entry'!$â$254)</f>
      </c>
      <c r="FG254">
        <f>IF(ISBLANK('Data Entry'!$ã$254), "", 'Data Entry'!$ã$254)</f>
      </c>
      <c r="FH254">
        <f>IF(ISBLANK('Data Entry'!$ä$254), "", 'Data Entry'!$ä$254)</f>
      </c>
      <c r="FI254">
        <f>IF(ISBLANK('Data Entry'!$å$254), "", 'Data Entry'!$å$254)</f>
      </c>
      <c r="FJ254">
        <f>IF(ISBLANK('Data Entry'!$æ$254), "", 'Data Entry'!$æ$254)</f>
      </c>
      <c r="FK254">
        <f>IF(ISBLANK('Data Entry'!$ç$254), "", 'Data Entry'!$ç$254)</f>
      </c>
      <c r="FL254">
        <f>IF(ISBLANK('Data Entry'!$è$254), "", 'Data Entry'!$è$254)</f>
      </c>
      <c r="FM254">
        <f>IF(ISBLANK('Data Entry'!$é$254), "", 'Data Entry'!$é$254)</f>
      </c>
      <c r="FN254">
        <f>IF(ISBLANK('Data Entry'!$ê$254), "", 'Data Entry'!$ê$254)</f>
      </c>
      <c r="FO254">
        <f>IF(ISBLANK('Data Entry'!$ë$254), "", 'Data Entry'!$ë$254)</f>
      </c>
      <c r="FP254">
        <f>IF(ISBLANK('Data Entry'!$ì$254), "", 'Data Entry'!$ì$254)</f>
      </c>
      <c r="FQ254">
        <f>IF(ISBLANK('Data Entry'!$í$254), "", 'Data Entry'!$í$254)</f>
      </c>
      <c r="FR254">
        <f>IF(ISBLANK('Data Entry'!$î$254), "", 'Data Entry'!$î$254)</f>
      </c>
      <c r="FS254">
        <f>IF(ISBLANK('Data Entry'!$ï$254), "", 'Data Entry'!$ï$254)</f>
      </c>
      <c r="FT254">
        <f>IF(ISBLANK('Data Entry'!$ð$254), "", 'Data Entry'!$ð$254)</f>
      </c>
      <c r="FU254">
        <f>IF(ISBLANK('Data Entry'!$ñ$254), "", 'Data Entry'!$ñ$254)</f>
      </c>
      <c r="FV254">
        <f>IF(ISBLANK('Data Entry'!$ò$254), "", 'Data Entry'!$ò$254)</f>
      </c>
      <c r="FW254">
        <f>IF(ISBLANK('Data Entry'!$ó$254), "", 'Data Entry'!$ó$254)</f>
      </c>
      <c r="FX254">
        <f>IF(ISBLANK('Data Entry'!$ô$254), "", 'Data Entry'!$ô$254)</f>
      </c>
      <c r="FY254">
        <f>IF(ISBLANK('Data Entry'!$õ$254), "", 'Data Entry'!$õ$254)</f>
      </c>
      <c r="FZ254">
        <f>IF(ISBLANK('Data Entry'!$ö$254), "", 'Data Entry'!$ö$254)</f>
      </c>
      <c r="GA254">
        <f>IF(ISBLANK('Data Entry'!$÷$254), "", 'Data Entry'!$÷$254)</f>
      </c>
      <c r="GB254">
        <f>IF(ISBLANK('Data Entry'!$ø$254), "", 'Data Entry'!$ø$254)</f>
      </c>
      <c r="GC254">
        <f>IF(ISBLANK('Data Entry'!$ù$254), "", 'Data Entry'!$ù$254)</f>
      </c>
      <c r="GD254">
        <f>IF(ISBLANK('Data Entry'!$ú$254), "", 'Data Entry'!$ú$254)</f>
      </c>
      <c r="GE254">
        <f>IF(ISBLANK('Data Entry'!$û$254), "", 'Data Entry'!$û$254)</f>
      </c>
      <c r="GF254">
        <f>IF(ISBLANK('Data Entry'!$ü$254), "", 'Data Entry'!$ü$254)</f>
      </c>
      <c r="GG254">
        <f>IF(ISBLANK('Data Entry'!$ý$254), "", 'Data Entry'!$ý$254)</f>
      </c>
      <c r="GH254">
        <f>IF(ISBLANK('Data Entry'!$þ$254), "", 'Data Entry'!$þ$254)</f>
      </c>
      <c r="GI254">
        <f>IF(ISBLANK('Data Entry'!$ÿ$254), "", 'Data Entry'!$ÿ$254)</f>
      </c>
      <c r="GJ254">
        <f>IF(ISBLANK('Data Entry'!$Ā$254), "", 'Data Entry'!$Ā$254)</f>
      </c>
      <c r="GK254">
        <f>IF(ISBLANK('Data Entry'!$ā$254), "", 'Data Entry'!$ā$254)</f>
      </c>
      <c r="GL254">
        <f>IF(ISBLANK('Data Entry'!$Ă$254), "", 'Data Entry'!$Ă$254)</f>
      </c>
      <c r="GM254">
        <f>IF(ISBLANK('Data Entry'!$ă$254), "", 'Data Entry'!$ă$254)</f>
      </c>
      <c r="GN254">
        <f>IF(ISBLANK('Data Entry'!$Ą$254), "", 'Data Entry'!$Ą$254)</f>
      </c>
      <c r="GO254">
        <f>IF(ISBLANK('Data Entry'!$ą$254), "", 'Data Entry'!$ą$254)</f>
      </c>
      <c r="GP254">
        <f>IF(ISBLANK('Data Entry'!$Ć$254), "", 'Data Entry'!$Ć$254)</f>
      </c>
      <c r="GQ254">
        <f>IF(ISBLANK('Data Entry'!$ć$254), "", 'Data Entry'!$ć$254)</f>
      </c>
      <c r="GR254">
        <f>IF(ISBLANK('Data Entry'!$Ĉ$254), "", 'Data Entry'!$Ĉ$254)</f>
      </c>
      <c r="GS254">
        <f>IF(ISBLANK('Data Entry'!$ĉ$254), "", 'Data Entry'!$ĉ$254)</f>
      </c>
      <c r="GT254">
        <f>IF(ISBLANK('Data Entry'!$Ċ$254), "", 'Data Entry'!$Ċ$254)</f>
      </c>
      <c r="GU254">
        <f>IF(ISBLANK('Data Entry'!$ċ$254), "", 'Data Entry'!$ċ$254)</f>
      </c>
      <c r="GV254">
        <f>IF(ISBLANK('Data Entry'!$Č$254), "", 'Data Entry'!$Č$254)</f>
      </c>
      <c r="GW254">
        <f>IF(ISBLANK('Data Entry'!$č$254), "", 'Data Entry'!$č$254)</f>
      </c>
      <c r="GX254">
        <f>IF(ISBLANK('Data Entry'!$Ď$254), "", 'Data Entry'!$Ď$254)</f>
      </c>
      <c r="GY254">
        <f>IF(ISBLANK('Data Entry'!$ď$254), "", 'Data Entry'!$ď$254)</f>
      </c>
      <c r="GZ254">
        <f>IF(ISBLANK('Data Entry'!$Đ$254), "", 'Data Entry'!$Đ$254)</f>
      </c>
      <c r="HA254">
        <f>IF(ISBLANK('Data Entry'!$đ$254), "", 'Data Entry'!$đ$254)</f>
      </c>
      <c r="HB254">
        <f>IF(ISBLANK('Data Entry'!$Ē$254), "", 'Data Entry'!$Ē$254)</f>
      </c>
      <c r="HC254">
        <f>IF(ISBLANK('Data Entry'!$ē$254), "", 'Data Entry'!$ē$254)</f>
      </c>
      <c r="HD254">
        <f>IF(ISBLANK('Data Entry'!$Ĕ$254), "", 'Data Entry'!$Ĕ$254)</f>
      </c>
      <c r="HE254">
        <f>IF(ISBLANK('Data Entry'!$ĕ$254), "", 'Data Entry'!$ĕ$254)</f>
      </c>
      <c r="HF254">
        <f>IF(ISBLANK('Data Entry'!$Ė$254), "", 'Data Entry'!$Ė$254)</f>
      </c>
      <c r="HG254">
        <f>IF(ISBLANK('Data Entry'!$ė$254), "", 'Data Entry'!$ė$254)</f>
      </c>
      <c r="HH254">
        <f>IF(ISBLANK('Data Entry'!$Ę$254), "", 'Data Entry'!$Ę$254)</f>
      </c>
      <c r="HI254">
        <f>IF(ISBLANK('Data Entry'!$ę$254), "", 'Data Entry'!$ę$254)</f>
      </c>
      <c r="HJ254">
        <f>IF(ISBLANK('Data Entry'!$Ě$254), "", 'Data Entry'!$Ě$254)</f>
      </c>
      <c r="HK254">
        <f>IF(ISBLANK('Data Entry'!$ě$254), "", 'Data Entry'!$ě$254)</f>
      </c>
      <c r="HL254">
        <f>IF(ISBLANK('Data Entry'!$Ĝ$254), "", 'Data Entry'!$Ĝ$254)</f>
      </c>
      <c r="HM254">
        <f>IF(ISBLANK('Data Entry'!$ĝ$254), "", 'Data Entry'!$ĝ$254)</f>
      </c>
      <c r="HN254">
        <f>IF(ISBLANK('Data Entry'!$Ğ$254), "", 'Data Entry'!$Ğ$254)</f>
      </c>
      <c r="HO254">
        <f>IF(ISBLANK('Data Entry'!$ğ$254), "", 'Data Entry'!$ğ$254)</f>
      </c>
      <c r="HP254">
        <f>IF(ISBLANK('Data Entry'!$Ġ$254), "", 'Data Entry'!$Ġ$254)</f>
      </c>
      <c r="HQ254">
        <f>IF(ISBLANK('Data Entry'!$ġ$254), "", 'Data Entry'!$ġ$254)</f>
      </c>
      <c r="HR254">
        <f>IF(ISBLANK('Data Entry'!$Ģ$254), "", 'Data Entry'!$Ģ$254)</f>
      </c>
      <c r="HS254">
        <f>IF(ISBLANK('Data Entry'!$ģ$254), "", 'Data Entry'!$ģ$254)</f>
      </c>
      <c r="HT254">
        <f>IF(ISBLANK('Data Entry'!$Ĥ$254), "", 'Data Entry'!$Ĥ$254)</f>
      </c>
      <c r="HU254">
        <f>IF(ISBLANK('Data Entry'!$ĥ$254), "", 'Data Entry'!$ĥ$254)</f>
      </c>
      <c r="HV254">
        <f>IF(ISBLANK('Data Entry'!$Ħ$254), "", 'Data Entry'!$Ħ$254)</f>
      </c>
      <c r="HW254">
        <f>IF(ISBLANK('Data Entry'!$ħ$254), "", 'Data Entry'!$ħ$254)</f>
      </c>
      <c r="HX254">
        <f>IF(ISBLANK('Data Entry'!$Ĩ$254), "", 'Data Entry'!$Ĩ$254)</f>
      </c>
      <c r="HY254">
        <f>IF(ISBLANK('Data Entry'!$ĩ$254), "", 'Data Entry'!$ĩ$254)</f>
      </c>
      <c r="HZ254">
        <f>IF(ISBLANK('Data Entry'!$Ī$254), "", 'Data Entry'!$Ī$254)</f>
      </c>
      <c r="IA254">
        <f>IF(ISBLANK('Data Entry'!$ī$254), "", 'Data Entry'!$ī$254)</f>
      </c>
      <c r="IB254">
        <f>IF(ISBLANK('Data Entry'!$Ĭ$254), "", 'Data Entry'!$Ĭ$254)</f>
      </c>
      <c r="IC254">
        <f>IF(ISBLANK('Data Entry'!$ĭ$254), "", 'Data Entry'!$ĭ$254)</f>
      </c>
      <c r="ID254">
        <f>IF(ISBLANK('Data Entry'!$Į$254), "", 'Data Entry'!$Į$254)</f>
      </c>
      <c r="IE254">
        <f>IF(ISBLANK('Data Entry'!$į$254), "", 'Data Entry'!$į$254)</f>
      </c>
      <c r="IF254">
        <f>IF(ISBLANK('Data Entry'!$İ$254), "", 'Data Entry'!$İ$254)</f>
      </c>
      <c r="IG254">
        <f>IF(ISBLANK('Data Entry'!$ı$254), "", 'Data Entry'!$ı$254)</f>
      </c>
      <c r="IH254">
        <f>IF(ISBLANK('Data Entry'!$Ĳ$254), "", 'Data Entry'!$Ĳ$254)</f>
      </c>
      <c r="II254">
        <f>IF(ISBLANK('Data Entry'!$ĳ$254), "", 'Data Entry'!$ĳ$254)</f>
      </c>
      <c r="IJ254">
        <f>IF(ISBLANK('Data Entry'!$Ĵ$254), "", 'Data Entry'!$Ĵ$254)</f>
      </c>
      <c r="IK254">
        <f>IF(ISBLANK('Data Entry'!$ĵ$254), "", 'Data Entry'!$ĵ$254)</f>
      </c>
      <c r="IL254">
        <f>IF(ISBLANK('Data Entry'!$Ķ$254), "", 'Data Entry'!$Ķ$254)</f>
      </c>
      <c r="IM254">
        <f>IF(ISBLANK('Data Entry'!$ķ$254), "", 'Data Entry'!$ķ$254)</f>
      </c>
      <c r="IN254">
        <f>IF(ISBLANK('Data Entry'!$ĸ$254), "", 'Data Entry'!$ĸ$254)</f>
      </c>
      <c r="IO254">
        <f>IF(ISBLANK('Data Entry'!$Ĺ$254), "", 'Data Entry'!$Ĺ$254)</f>
      </c>
      <c r="IP254">
        <f>IF(ISBLANK('Data Entry'!$ĺ$254), "", 'Data Entry'!$ĺ$254)</f>
      </c>
      <c r="IQ254">
        <f>IF(ISBLANK('Data Entry'!$Ļ$254), "", 'Data Entry'!$Ļ$254)</f>
      </c>
      <c r="IR254">
        <f>IF(ISBLANK('Data Entry'!$ļ$254), "", 'Data Entry'!$ļ$254)</f>
      </c>
      <c r="IS254">
        <f>IF(ISBLANK('Data Entry'!$Ľ$254), "", 'Data Entry'!$Ľ$254)</f>
      </c>
      <c r="IT254">
        <f>IF(ISBLANK('Data Entry'!$ľ$254), "", 'Data Entry'!$ľ$254)</f>
      </c>
    </row>
    <row r="255" spans="1:254" x14ac:dyDescent="0.25">
      <c r="A255">
        <f>IF(ISBLANK('Data Entry'!$A$255), "", 'Data Entry'!$A$255)</f>
      </c>
      <c r="B255">
        <f>IF(ISBLANK('Data Entry'!$B$255), "", 'Data Entry'!$B$255)</f>
      </c>
      <c r="C255">
        <f>IF(ISBLANK('Data Entry'!$C$255), "", 'Data Entry'!$C$255)</f>
      </c>
      <c r="D255">
        <f>IF(ISBLANK('Data Entry'!$D$255), "", 'Data Entry'!$D$255)</f>
      </c>
      <c r="E255">
        <f>IF(ISBLANK('Data Entry'!$E$255), "", 'Data Entry'!$E$255)</f>
      </c>
      <c r="F255">
        <f>IF(ISBLANK('Data Entry'!$F$255), "", 'Data Entry'!$F$255)</f>
      </c>
      <c r="G255">
        <f>IF(ISBLANK('Data Entry'!$G$255), "", 'Data Entry'!$G$255)</f>
      </c>
      <c r="H255">
        <f>IF(ISBLANK('Data Entry'!$H$255), "", 'Data Entry'!$H$255)</f>
      </c>
      <c r="I255">
        <f>IF(ISBLANK('Data Entry'!$I$255), "", 'Data Entry'!$I$255)</f>
      </c>
      <c r="J255">
        <f>IF(ISBLANK('Data Entry'!$J$255), "", 'Data Entry'!$J$255)</f>
      </c>
      <c r="K255">
        <f>IF(ISBLANK('Data Entry'!$K$255), "", 'Data Entry'!$K$255)</f>
      </c>
      <c r="L255">
        <f>IF(ISBLANK('Data Entry'!$L$255), "", 'Data Entry'!$L$255)</f>
      </c>
      <c r="M255">
        <f>IF(ISBLANK('Data Entry'!$M$255), "", 'Data Entry'!$M$255)</f>
      </c>
      <c r="N255">
        <f>IF(ISBLANK('Data Entry'!$N$255), "", 'Data Entry'!$N$255)</f>
      </c>
      <c r="O255">
        <f>IF(ISBLANK('Data Entry'!$O$255), "", 'Data Entry'!$O$255)</f>
      </c>
      <c r="P255">
        <f>IF(ISBLANK('Data Entry'!$P$255), "", 'Data Entry'!$P$255)</f>
      </c>
      <c r="Q255">
        <f>IF(ISBLANK('Data Entry'!$Q$255), "", 'Data Entry'!$Q$255)</f>
      </c>
      <c r="R255">
        <f>IF(ISBLANK('Data Entry'!$R$255), "", 'Data Entry'!$R$255)</f>
      </c>
      <c r="S255">
        <f>IF(ISBLANK('Data Entry'!$S$255), "", 'Data Entry'!$S$255)</f>
      </c>
      <c r="T255">
        <f>IF(ISBLANK('Data Entry'!$T$255), "", 'Data Entry'!$T$255)</f>
      </c>
      <c r="U255">
        <f>IF(ISBLANK('Data Entry'!$U$255), "", 'Data Entry'!$U$255)</f>
      </c>
      <c r="V255">
        <f>IF(ISBLANK('Data Entry'!$V$255), "", 'Data Entry'!$V$255)</f>
      </c>
      <c r="W255">
        <f>IF(ISBLANK('Data Entry'!$W$255), "", 'Data Entry'!$W$255)</f>
      </c>
      <c r="X255">
        <f>IF(ISBLANK('Data Entry'!$X$255), "", 'Data Entry'!$X$255)</f>
      </c>
      <c r="Y255">
        <f>IF(ISBLANK('Data Entry'!$Y$255), "", 'Data Entry'!$Y$255)</f>
      </c>
      <c r="Z255">
        <f>IF(ISBLANK('Data Entry'!$Z$255), "", 'Data Entry'!$Z$255)</f>
      </c>
      <c r="AA255">
        <f>IF(ISBLANK('Data Entry'!$[$255), "", 'Data Entry'!$[$255)</f>
      </c>
      <c r="AB255">
        <f>IF(ISBLANK('Data Entry'!$\$255), "", 'Data Entry'!$\$255)</f>
      </c>
      <c r="AC255">
        <f>IF(ISBLANK('Data Entry'!$]$255), "", 'Data Entry'!$]$255)</f>
      </c>
      <c r="AD255">
        <f>IF(ISBLANK('Data Entry'!$^$255), "", 'Data Entry'!$^$255)</f>
      </c>
      <c r="AE255">
        <f>IF(ISBLANK('Data Entry'!$_$255), "", 'Data Entry'!$_$255)</f>
      </c>
      <c r="AF255">
        <f>IF(ISBLANK('Data Entry'!$`$255), "", 'Data Entry'!$`$255)</f>
      </c>
      <c r="AG255">
        <f>IF(ISBLANK('Data Entry'!$a$255), "", 'Data Entry'!$a$255)</f>
      </c>
      <c r="AH255">
        <f>IF(ISBLANK('Data Entry'!$b$255), "", 'Data Entry'!$b$255)</f>
      </c>
      <c r="AI255">
        <f>IF(ISBLANK('Data Entry'!$c$255), "", 'Data Entry'!$c$255)</f>
      </c>
      <c r="AJ255">
        <f>IF(ISBLANK('Data Entry'!$d$255), "", 'Data Entry'!$d$255)</f>
      </c>
      <c r="AK255">
        <f>IF(ISBLANK('Data Entry'!$e$255), "", 'Data Entry'!$e$255)</f>
      </c>
      <c r="AL255">
        <f>IF(ISBLANK('Data Entry'!$f$255), "", 'Data Entry'!$f$255)</f>
      </c>
      <c r="AM255">
        <f>IF(ISBLANK('Data Entry'!$g$255), "", 'Data Entry'!$g$255)</f>
      </c>
      <c r="AN255">
        <f>IF(ISBLANK('Data Entry'!$h$255), "", 'Data Entry'!$h$255)</f>
      </c>
      <c r="AO255">
        <f>IF(ISBLANK('Data Entry'!$i$255), "", 'Data Entry'!$i$255)</f>
      </c>
      <c r="AP255">
        <f>IF(ISBLANK('Data Entry'!$j$255), "", 'Data Entry'!$j$255)</f>
      </c>
      <c r="AQ255">
        <f>IF(ISBLANK('Data Entry'!$k$255), "", 'Data Entry'!$k$255)</f>
      </c>
      <c r="AR255">
        <f>IF(ISBLANK('Data Entry'!$l$255), "", 'Data Entry'!$l$255)</f>
      </c>
      <c r="AS255">
        <f>IF(ISBLANK('Data Entry'!$m$255), "", 'Data Entry'!$m$255)</f>
      </c>
      <c r="AT255">
        <f>IF(ISBLANK('Data Entry'!$n$255), "", 'Data Entry'!$n$255)</f>
      </c>
      <c r="AU255">
        <f>IF(ISBLANK('Data Entry'!$o$255), "", 'Data Entry'!$o$255)</f>
      </c>
      <c r="AV255">
        <f>IF(ISBLANK('Data Entry'!$p$255), "", 'Data Entry'!$p$255)</f>
      </c>
      <c r="AW255">
        <f>IF(ISBLANK('Data Entry'!$q$255), "", 'Data Entry'!$q$255)</f>
      </c>
      <c r="AX255">
        <f>IF(ISBLANK('Data Entry'!$r$255), "", 'Data Entry'!$r$255)</f>
      </c>
      <c r="AY255">
        <f>IF(ISBLANK('Data Entry'!$s$255), "", 'Data Entry'!$s$255)</f>
      </c>
      <c r="AZ255">
        <f>IF(ISBLANK('Data Entry'!$t$255), "", 'Data Entry'!$t$255)</f>
      </c>
      <c r="BA255">
        <f>IF(ISBLANK('Data Entry'!$u$255), "", 'Data Entry'!$u$255)</f>
      </c>
      <c r="BB255">
        <f>IF(ISBLANK('Data Entry'!$v$255), "", 'Data Entry'!$v$255)</f>
      </c>
      <c r="BC255">
        <f>IF(ISBLANK('Data Entry'!$w$255), "", 'Data Entry'!$w$255)</f>
      </c>
      <c r="BD255">
        <f>IF(ISBLANK('Data Entry'!$x$255), "", 'Data Entry'!$x$255)</f>
      </c>
      <c r="BE255">
        <f>IF(ISBLANK('Data Entry'!$y$255), "", 'Data Entry'!$y$255)</f>
      </c>
      <c r="BF255">
        <f>IF(ISBLANK('Data Entry'!$z$255), "", 'Data Entry'!$z$255)</f>
      </c>
      <c r="BG255">
        <f>IF(ISBLANK('Data Entry'!${$255), "", 'Data Entry'!${$255)</f>
      </c>
      <c r="BH255">
        <f>IF(ISBLANK('Data Entry'!$|$255), "", 'Data Entry'!$|$255)</f>
      </c>
      <c r="BI255">
        <f>IF(ISBLANK('Data Entry'!$}$255), "", 'Data Entry'!$}$255)</f>
      </c>
      <c r="BJ255">
        <f>IF(ISBLANK('Data Entry'!$~$255), "", 'Data Entry'!$~$255)</f>
      </c>
      <c r="BK255">
        <f>IF(ISBLANK('Data Entry'!$$255), "", 'Data Entry'!$$255)</f>
      </c>
      <c r="BL255">
        <f>IF(ISBLANK('Data Entry'!$$255), "", 'Data Entry'!$$255)</f>
      </c>
      <c r="BM255">
        <f>IF(ISBLANK('Data Entry'!$$255), "", 'Data Entry'!$$255)</f>
      </c>
      <c r="BN255">
        <f>IF(ISBLANK('Data Entry'!$$255), "", 'Data Entry'!$$255)</f>
      </c>
      <c r="BO255">
        <f>IF(ISBLANK('Data Entry'!$$255), "", 'Data Entry'!$$255)</f>
      </c>
      <c r="BP255">
        <f>IF(ISBLANK('Data Entry'!$$255), "", 'Data Entry'!$$255)</f>
      </c>
      <c r="BQ255">
        <f>IF(ISBLANK('Data Entry'!$$255), "", 'Data Entry'!$$255)</f>
      </c>
      <c r="BR255">
        <f>IF(ISBLANK('Data Entry'!$$255), "", 'Data Entry'!$$255)</f>
      </c>
      <c r="BS255">
        <f>IF(ISBLANK('Data Entry'!$$255), "", 'Data Entry'!$$255)</f>
      </c>
      <c r="BT255">
        <f>IF(ISBLANK('Data Entry'!$$255), "", 'Data Entry'!$$255)</f>
      </c>
      <c r="BU255">
        <f>IF(ISBLANK('Data Entry'!$$255), "", 'Data Entry'!$$255)</f>
      </c>
      <c r="BV255">
        <f>IF(ISBLANK('Data Entry'!$$255), "", 'Data Entry'!$$255)</f>
      </c>
      <c r="BW255">
        <f>IF(ISBLANK('Data Entry'!$$255), "", 'Data Entry'!$$255)</f>
      </c>
      <c r="BX255">
        <f>IF(ISBLANK('Data Entry'!$$255), "", 'Data Entry'!$$255)</f>
      </c>
      <c r="BY255">
        <f>IF(ISBLANK('Data Entry'!$$255), "", 'Data Entry'!$$255)</f>
      </c>
      <c r="BZ255">
        <f>IF(ISBLANK('Data Entry'!$$255), "", 'Data Entry'!$$255)</f>
      </c>
      <c r="CA255">
        <f>IF(ISBLANK('Data Entry'!$$255), "", 'Data Entry'!$$255)</f>
      </c>
      <c r="CB255">
        <f>IF(ISBLANK('Data Entry'!$$255), "", 'Data Entry'!$$255)</f>
      </c>
      <c r="CC255">
        <f>IF(ISBLANK('Data Entry'!$$255), "", 'Data Entry'!$$255)</f>
      </c>
      <c r="CD255">
        <f>IF(ISBLANK('Data Entry'!$$255), "", 'Data Entry'!$$255)</f>
      </c>
      <c r="CE255">
        <f>IF(ISBLANK('Data Entry'!$$255), "", 'Data Entry'!$$255)</f>
      </c>
      <c r="CF255">
        <f>IF(ISBLANK('Data Entry'!$$255), "", 'Data Entry'!$$255)</f>
      </c>
      <c r="CG255">
        <f>IF(ISBLANK('Data Entry'!$$255), "", 'Data Entry'!$$255)</f>
      </c>
      <c r="CH255">
        <f>IF(ISBLANK('Data Entry'!$$255), "", 'Data Entry'!$$255)</f>
      </c>
      <c r="CI255">
        <f>IF(ISBLANK('Data Entry'!$$255), "", 'Data Entry'!$$255)</f>
      </c>
      <c r="CJ255">
        <f>IF(ISBLANK('Data Entry'!$$255), "", 'Data Entry'!$$255)</f>
      </c>
      <c r="CK255">
        <f>IF(ISBLANK('Data Entry'!$$255), "", 'Data Entry'!$$255)</f>
      </c>
      <c r="CL255">
        <f>IF(ISBLANK('Data Entry'!$$255), "", 'Data Entry'!$$255)</f>
      </c>
      <c r="CM255">
        <f>IF(ISBLANK('Data Entry'!$$255), "", 'Data Entry'!$$255)</f>
      </c>
      <c r="CN255">
        <f>IF(ISBLANK('Data Entry'!$$255), "", 'Data Entry'!$$255)</f>
      </c>
      <c r="CO255">
        <f>IF(ISBLANK('Data Entry'!$$255), "", 'Data Entry'!$$255)</f>
      </c>
      <c r="CP255">
        <f>IF(ISBLANK('Data Entry'!$$255), "", 'Data Entry'!$$255)</f>
      </c>
      <c r="CQ255">
        <f>IF(ISBLANK('Data Entry'!$$255), "", 'Data Entry'!$$255)</f>
      </c>
      <c r="CR255">
        <f>IF(ISBLANK('Data Entry'!$ $255), "", 'Data Entry'!$ $255)</f>
      </c>
      <c r="CS255">
        <f>IF(ISBLANK('Data Entry'!$¡$255), "", 'Data Entry'!$¡$255)</f>
      </c>
      <c r="CT255">
        <f>IF(ISBLANK('Data Entry'!$¢$255), "", 'Data Entry'!$¢$255)</f>
      </c>
      <c r="CU255">
        <f>IF(ISBLANK('Data Entry'!$£$255), "", 'Data Entry'!$£$255)</f>
      </c>
      <c r="CV255">
        <f>IF(ISBLANK('Data Entry'!$¤$255), "", 'Data Entry'!$¤$255)</f>
      </c>
      <c r="CW255">
        <f>IF(ISBLANK('Data Entry'!$¥$255), "", 'Data Entry'!$¥$255)</f>
      </c>
      <c r="CX255">
        <f>IF(ISBLANK('Data Entry'!$¦$255), "", 'Data Entry'!$¦$255)</f>
      </c>
      <c r="CY255">
        <f>IF(ISBLANK('Data Entry'!$§$255), "", 'Data Entry'!$§$255)</f>
      </c>
      <c r="CZ255">
        <f>IF(ISBLANK('Data Entry'!$¨$255), "", 'Data Entry'!$¨$255)</f>
      </c>
      <c r="DA255">
        <f>IF(ISBLANK('Data Entry'!$©$255), "", 'Data Entry'!$©$255)</f>
      </c>
      <c r="DB255">
        <f>IF(ISBLANK('Data Entry'!$ª$255), "", 'Data Entry'!$ª$255)</f>
      </c>
      <c r="DC255">
        <f>IF(ISBLANK('Data Entry'!$«$255), "", 'Data Entry'!$«$255)</f>
      </c>
      <c r="DD255">
        <f>IF(ISBLANK('Data Entry'!$¬$255), "", 'Data Entry'!$¬$255)</f>
      </c>
      <c r="DE255">
        <f>IF(ISBLANK('Data Entry'!$­$255), "", 'Data Entry'!$­$255)</f>
      </c>
      <c r="DF255">
        <f>IF(ISBLANK('Data Entry'!$®$255), "", 'Data Entry'!$®$255)</f>
      </c>
      <c r="DG255">
        <f>IF(ISBLANK('Data Entry'!$¯$255), "", 'Data Entry'!$¯$255)</f>
      </c>
      <c r="DH255">
        <f>IF(ISBLANK('Data Entry'!$°$255), "", 'Data Entry'!$°$255)</f>
      </c>
      <c r="DI255">
        <f>IF(ISBLANK('Data Entry'!$±$255), "", 'Data Entry'!$±$255)</f>
      </c>
      <c r="DJ255">
        <f>IF(ISBLANK('Data Entry'!$²$255), "", 'Data Entry'!$²$255)</f>
      </c>
      <c r="DK255">
        <f>IF(ISBLANK('Data Entry'!$³$255), "", 'Data Entry'!$³$255)</f>
      </c>
      <c r="DL255">
        <f>IF(ISBLANK('Data Entry'!$´$255), "", 'Data Entry'!$´$255)</f>
      </c>
      <c r="DM255">
        <f>IF(ISBLANK('Data Entry'!$µ$255), "", 'Data Entry'!$µ$255)</f>
      </c>
      <c r="DN255">
        <f>IF(ISBLANK('Data Entry'!$¶$255), "", 'Data Entry'!$¶$255)</f>
      </c>
      <c r="DO255">
        <f>IF(ISBLANK('Data Entry'!$·$255), "", 'Data Entry'!$·$255)</f>
      </c>
      <c r="DP255">
        <f>IF(ISBLANK('Data Entry'!$¸$255), "", 'Data Entry'!$¸$255)</f>
      </c>
      <c r="DQ255">
        <f>IF(ISBLANK('Data Entry'!$¹$255), "", 'Data Entry'!$¹$255)</f>
      </c>
      <c r="DR255">
        <f>IF(ISBLANK('Data Entry'!$º$255), "", 'Data Entry'!$º$255)</f>
      </c>
      <c r="DS255">
        <f>IF(ISBLANK('Data Entry'!$»$255), "", 'Data Entry'!$»$255)</f>
      </c>
      <c r="DT255">
        <f>IF(ISBLANK('Data Entry'!$¼$255), "", 'Data Entry'!$¼$255)</f>
      </c>
      <c r="DU255">
        <f>IF(ISBLANK('Data Entry'!$½$255), "", 'Data Entry'!$½$255)</f>
      </c>
      <c r="DV255">
        <f>IF(ISBLANK('Data Entry'!$¾$255), "", 'Data Entry'!$¾$255)</f>
      </c>
      <c r="DW255">
        <f>IF(ISBLANK('Data Entry'!$¿$255), "", 'Data Entry'!$¿$255)</f>
      </c>
      <c r="DX255">
        <f>IF(ISBLANK('Data Entry'!$À$255), "", 'Data Entry'!$À$255)</f>
      </c>
      <c r="DY255">
        <f>IF(ISBLANK('Data Entry'!$Á$255), "", 'Data Entry'!$Á$255)</f>
      </c>
      <c r="DZ255">
        <f>IF(ISBLANK('Data Entry'!$Â$255), "", 'Data Entry'!$Â$255)</f>
      </c>
      <c r="EA255">
        <f>IF(ISBLANK('Data Entry'!$Ã$255), "", 'Data Entry'!$Ã$255)</f>
      </c>
      <c r="EB255">
        <f>IF(ISBLANK('Data Entry'!$Ä$255), "", 'Data Entry'!$Ä$255)</f>
      </c>
      <c r="EC255">
        <f>IF(ISBLANK('Data Entry'!$Å$255), "", 'Data Entry'!$Å$255)</f>
      </c>
      <c r="ED255">
        <f>IF(ISBLANK('Data Entry'!$Æ$255), "", 'Data Entry'!$Æ$255)</f>
      </c>
      <c r="EE255">
        <f>IF(ISBLANK('Data Entry'!$Ç$255), "", 'Data Entry'!$Ç$255)</f>
      </c>
      <c r="EF255">
        <f>IF(ISBLANK('Data Entry'!$È$255), "", 'Data Entry'!$È$255)</f>
      </c>
      <c r="EG255">
        <f>IF(ISBLANK('Data Entry'!$É$255), "", 'Data Entry'!$É$255)</f>
      </c>
      <c r="EH255">
        <f>IF(ISBLANK('Data Entry'!$Ê$255), "", 'Data Entry'!$Ê$255)</f>
      </c>
      <c r="EI255">
        <f>IF(ISBLANK('Data Entry'!$Ë$255), "", 'Data Entry'!$Ë$255)</f>
      </c>
      <c r="EJ255">
        <f>IF(ISBLANK('Data Entry'!$Ì$255), "", 'Data Entry'!$Ì$255)</f>
      </c>
      <c r="EK255">
        <f>IF(ISBLANK('Data Entry'!$Í$255), "", 'Data Entry'!$Í$255)</f>
      </c>
      <c r="EL255">
        <f>IF(ISBLANK('Data Entry'!$Î$255), "", 'Data Entry'!$Î$255)</f>
      </c>
      <c r="EM255">
        <f>IF(ISBLANK('Data Entry'!$Ï$255), "", 'Data Entry'!$Ï$255)</f>
      </c>
      <c r="EN255">
        <f>IF(ISBLANK('Data Entry'!$Ð$255), "", 'Data Entry'!$Ð$255)</f>
      </c>
      <c r="EO255">
        <f>IF(ISBLANK('Data Entry'!$Ñ$255), "", 'Data Entry'!$Ñ$255)</f>
      </c>
      <c r="EP255">
        <f>IF(ISBLANK('Data Entry'!$Ò$255), "", 'Data Entry'!$Ò$255)</f>
      </c>
      <c r="EQ255">
        <f>IF(ISBLANK('Data Entry'!$Ó$255), "", 'Data Entry'!$Ó$255)</f>
      </c>
      <c r="ER255">
        <f>IF(ISBLANK('Data Entry'!$Ô$255), "", 'Data Entry'!$Ô$255)</f>
      </c>
      <c r="ES255">
        <f>IF(ISBLANK('Data Entry'!$Õ$255), "", 'Data Entry'!$Õ$255)</f>
      </c>
      <c r="ET255">
        <f>IF(ISBLANK('Data Entry'!$Ö$255), "", 'Data Entry'!$Ö$255)</f>
      </c>
      <c r="EU255">
        <f>IF(ISBLANK('Data Entry'!$×$255), "", 'Data Entry'!$×$255)</f>
      </c>
      <c r="EV255">
        <f>IF(ISBLANK('Data Entry'!$Ø$255), "", 'Data Entry'!$Ø$255)</f>
      </c>
      <c r="EW255">
        <f>IF(ISBLANK('Data Entry'!$Ù$255), "", 'Data Entry'!$Ù$255)</f>
      </c>
      <c r="EX255">
        <f>IF(ISBLANK('Data Entry'!$Ú$255), "", 'Data Entry'!$Ú$255)</f>
      </c>
      <c r="EY255">
        <f>IF(ISBLANK('Data Entry'!$Û$255), "", 'Data Entry'!$Û$255)</f>
      </c>
      <c r="EZ255">
        <f>IF(ISBLANK('Data Entry'!$Ü$255), "", 'Data Entry'!$Ü$255)</f>
      </c>
      <c r="FA255">
        <f>IF(ISBLANK('Data Entry'!$Ý$255), "", 'Data Entry'!$Ý$255)</f>
      </c>
      <c r="FB255">
        <f>IF(ISBLANK('Data Entry'!$Þ$255), "", 'Data Entry'!$Þ$255)</f>
      </c>
      <c r="FC255">
        <f>IF(ISBLANK('Data Entry'!$ß$255), "", 'Data Entry'!$ß$255)</f>
      </c>
      <c r="FD255">
        <f>IF(ISBLANK('Data Entry'!$à$255), "", 'Data Entry'!$à$255)</f>
      </c>
      <c r="FE255">
        <f>IF(ISBLANK('Data Entry'!$á$255), "", 'Data Entry'!$á$255)</f>
      </c>
      <c r="FF255">
        <f>IF(ISBLANK('Data Entry'!$â$255), "", 'Data Entry'!$â$255)</f>
      </c>
      <c r="FG255">
        <f>IF(ISBLANK('Data Entry'!$ã$255), "", 'Data Entry'!$ã$255)</f>
      </c>
      <c r="FH255">
        <f>IF(ISBLANK('Data Entry'!$ä$255), "", 'Data Entry'!$ä$255)</f>
      </c>
      <c r="FI255">
        <f>IF(ISBLANK('Data Entry'!$å$255), "", 'Data Entry'!$å$255)</f>
      </c>
      <c r="FJ255">
        <f>IF(ISBLANK('Data Entry'!$æ$255), "", 'Data Entry'!$æ$255)</f>
      </c>
      <c r="FK255">
        <f>IF(ISBLANK('Data Entry'!$ç$255), "", 'Data Entry'!$ç$255)</f>
      </c>
      <c r="FL255">
        <f>IF(ISBLANK('Data Entry'!$è$255), "", 'Data Entry'!$è$255)</f>
      </c>
      <c r="FM255">
        <f>IF(ISBLANK('Data Entry'!$é$255), "", 'Data Entry'!$é$255)</f>
      </c>
      <c r="FN255">
        <f>IF(ISBLANK('Data Entry'!$ê$255), "", 'Data Entry'!$ê$255)</f>
      </c>
      <c r="FO255">
        <f>IF(ISBLANK('Data Entry'!$ë$255), "", 'Data Entry'!$ë$255)</f>
      </c>
      <c r="FP255">
        <f>IF(ISBLANK('Data Entry'!$ì$255), "", 'Data Entry'!$ì$255)</f>
      </c>
      <c r="FQ255">
        <f>IF(ISBLANK('Data Entry'!$í$255), "", 'Data Entry'!$í$255)</f>
      </c>
      <c r="FR255">
        <f>IF(ISBLANK('Data Entry'!$î$255), "", 'Data Entry'!$î$255)</f>
      </c>
      <c r="FS255">
        <f>IF(ISBLANK('Data Entry'!$ï$255), "", 'Data Entry'!$ï$255)</f>
      </c>
      <c r="FT255">
        <f>IF(ISBLANK('Data Entry'!$ð$255), "", 'Data Entry'!$ð$255)</f>
      </c>
      <c r="FU255">
        <f>IF(ISBLANK('Data Entry'!$ñ$255), "", 'Data Entry'!$ñ$255)</f>
      </c>
      <c r="FV255">
        <f>IF(ISBLANK('Data Entry'!$ò$255), "", 'Data Entry'!$ò$255)</f>
      </c>
      <c r="FW255">
        <f>IF(ISBLANK('Data Entry'!$ó$255), "", 'Data Entry'!$ó$255)</f>
      </c>
      <c r="FX255">
        <f>IF(ISBLANK('Data Entry'!$ô$255), "", 'Data Entry'!$ô$255)</f>
      </c>
      <c r="FY255">
        <f>IF(ISBLANK('Data Entry'!$õ$255), "", 'Data Entry'!$õ$255)</f>
      </c>
      <c r="FZ255">
        <f>IF(ISBLANK('Data Entry'!$ö$255), "", 'Data Entry'!$ö$255)</f>
      </c>
      <c r="GA255">
        <f>IF(ISBLANK('Data Entry'!$÷$255), "", 'Data Entry'!$÷$255)</f>
      </c>
      <c r="GB255">
        <f>IF(ISBLANK('Data Entry'!$ø$255), "", 'Data Entry'!$ø$255)</f>
      </c>
      <c r="GC255">
        <f>IF(ISBLANK('Data Entry'!$ù$255), "", 'Data Entry'!$ù$255)</f>
      </c>
      <c r="GD255">
        <f>IF(ISBLANK('Data Entry'!$ú$255), "", 'Data Entry'!$ú$255)</f>
      </c>
      <c r="GE255">
        <f>IF(ISBLANK('Data Entry'!$û$255), "", 'Data Entry'!$û$255)</f>
      </c>
      <c r="GF255">
        <f>IF(ISBLANK('Data Entry'!$ü$255), "", 'Data Entry'!$ü$255)</f>
      </c>
      <c r="GG255">
        <f>IF(ISBLANK('Data Entry'!$ý$255), "", 'Data Entry'!$ý$255)</f>
      </c>
      <c r="GH255">
        <f>IF(ISBLANK('Data Entry'!$þ$255), "", 'Data Entry'!$þ$255)</f>
      </c>
      <c r="GI255">
        <f>IF(ISBLANK('Data Entry'!$ÿ$255), "", 'Data Entry'!$ÿ$255)</f>
      </c>
      <c r="GJ255">
        <f>IF(ISBLANK('Data Entry'!$Ā$255), "", 'Data Entry'!$Ā$255)</f>
      </c>
      <c r="GK255">
        <f>IF(ISBLANK('Data Entry'!$ā$255), "", 'Data Entry'!$ā$255)</f>
      </c>
      <c r="GL255">
        <f>IF(ISBLANK('Data Entry'!$Ă$255), "", 'Data Entry'!$Ă$255)</f>
      </c>
      <c r="GM255">
        <f>IF(ISBLANK('Data Entry'!$ă$255), "", 'Data Entry'!$ă$255)</f>
      </c>
      <c r="GN255">
        <f>IF(ISBLANK('Data Entry'!$Ą$255), "", 'Data Entry'!$Ą$255)</f>
      </c>
      <c r="GO255">
        <f>IF(ISBLANK('Data Entry'!$ą$255), "", 'Data Entry'!$ą$255)</f>
      </c>
      <c r="GP255">
        <f>IF(ISBLANK('Data Entry'!$Ć$255), "", 'Data Entry'!$Ć$255)</f>
      </c>
      <c r="GQ255">
        <f>IF(ISBLANK('Data Entry'!$ć$255), "", 'Data Entry'!$ć$255)</f>
      </c>
      <c r="GR255">
        <f>IF(ISBLANK('Data Entry'!$Ĉ$255), "", 'Data Entry'!$Ĉ$255)</f>
      </c>
      <c r="GS255">
        <f>IF(ISBLANK('Data Entry'!$ĉ$255), "", 'Data Entry'!$ĉ$255)</f>
      </c>
      <c r="GT255">
        <f>IF(ISBLANK('Data Entry'!$Ċ$255), "", 'Data Entry'!$Ċ$255)</f>
      </c>
      <c r="GU255">
        <f>IF(ISBLANK('Data Entry'!$ċ$255), "", 'Data Entry'!$ċ$255)</f>
      </c>
      <c r="GV255">
        <f>IF(ISBLANK('Data Entry'!$Č$255), "", 'Data Entry'!$Č$255)</f>
      </c>
      <c r="GW255">
        <f>IF(ISBLANK('Data Entry'!$č$255), "", 'Data Entry'!$č$255)</f>
      </c>
      <c r="GX255">
        <f>IF(ISBLANK('Data Entry'!$Ď$255), "", 'Data Entry'!$Ď$255)</f>
      </c>
      <c r="GY255">
        <f>IF(ISBLANK('Data Entry'!$ď$255), "", 'Data Entry'!$ď$255)</f>
      </c>
      <c r="GZ255">
        <f>IF(ISBLANK('Data Entry'!$Đ$255), "", 'Data Entry'!$Đ$255)</f>
      </c>
      <c r="HA255">
        <f>IF(ISBLANK('Data Entry'!$đ$255), "", 'Data Entry'!$đ$255)</f>
      </c>
      <c r="HB255">
        <f>IF(ISBLANK('Data Entry'!$Ē$255), "", 'Data Entry'!$Ē$255)</f>
      </c>
      <c r="HC255">
        <f>IF(ISBLANK('Data Entry'!$ē$255), "", 'Data Entry'!$ē$255)</f>
      </c>
      <c r="HD255">
        <f>IF(ISBLANK('Data Entry'!$Ĕ$255), "", 'Data Entry'!$Ĕ$255)</f>
      </c>
      <c r="HE255">
        <f>IF(ISBLANK('Data Entry'!$ĕ$255), "", 'Data Entry'!$ĕ$255)</f>
      </c>
      <c r="HF255">
        <f>IF(ISBLANK('Data Entry'!$Ė$255), "", 'Data Entry'!$Ė$255)</f>
      </c>
      <c r="HG255">
        <f>IF(ISBLANK('Data Entry'!$ė$255), "", 'Data Entry'!$ė$255)</f>
      </c>
      <c r="HH255">
        <f>IF(ISBLANK('Data Entry'!$Ę$255), "", 'Data Entry'!$Ę$255)</f>
      </c>
      <c r="HI255">
        <f>IF(ISBLANK('Data Entry'!$ę$255), "", 'Data Entry'!$ę$255)</f>
      </c>
      <c r="HJ255">
        <f>IF(ISBLANK('Data Entry'!$Ě$255), "", 'Data Entry'!$Ě$255)</f>
      </c>
      <c r="HK255">
        <f>IF(ISBLANK('Data Entry'!$ě$255), "", 'Data Entry'!$ě$255)</f>
      </c>
      <c r="HL255">
        <f>IF(ISBLANK('Data Entry'!$Ĝ$255), "", 'Data Entry'!$Ĝ$255)</f>
      </c>
      <c r="HM255">
        <f>IF(ISBLANK('Data Entry'!$ĝ$255), "", 'Data Entry'!$ĝ$255)</f>
      </c>
      <c r="HN255">
        <f>IF(ISBLANK('Data Entry'!$Ğ$255), "", 'Data Entry'!$Ğ$255)</f>
      </c>
      <c r="HO255">
        <f>IF(ISBLANK('Data Entry'!$ğ$255), "", 'Data Entry'!$ğ$255)</f>
      </c>
      <c r="HP255">
        <f>IF(ISBLANK('Data Entry'!$Ġ$255), "", 'Data Entry'!$Ġ$255)</f>
      </c>
      <c r="HQ255">
        <f>IF(ISBLANK('Data Entry'!$ġ$255), "", 'Data Entry'!$ġ$255)</f>
      </c>
      <c r="HR255">
        <f>IF(ISBLANK('Data Entry'!$Ģ$255), "", 'Data Entry'!$Ģ$255)</f>
      </c>
      <c r="HS255">
        <f>IF(ISBLANK('Data Entry'!$ģ$255), "", 'Data Entry'!$ģ$255)</f>
      </c>
      <c r="HT255">
        <f>IF(ISBLANK('Data Entry'!$Ĥ$255), "", 'Data Entry'!$Ĥ$255)</f>
      </c>
      <c r="HU255">
        <f>IF(ISBLANK('Data Entry'!$ĥ$255), "", 'Data Entry'!$ĥ$255)</f>
      </c>
      <c r="HV255">
        <f>IF(ISBLANK('Data Entry'!$Ħ$255), "", 'Data Entry'!$Ħ$255)</f>
      </c>
      <c r="HW255">
        <f>IF(ISBLANK('Data Entry'!$ħ$255), "", 'Data Entry'!$ħ$255)</f>
      </c>
      <c r="HX255">
        <f>IF(ISBLANK('Data Entry'!$Ĩ$255), "", 'Data Entry'!$Ĩ$255)</f>
      </c>
      <c r="HY255">
        <f>IF(ISBLANK('Data Entry'!$ĩ$255), "", 'Data Entry'!$ĩ$255)</f>
      </c>
      <c r="HZ255">
        <f>IF(ISBLANK('Data Entry'!$Ī$255), "", 'Data Entry'!$Ī$255)</f>
      </c>
      <c r="IA255">
        <f>IF(ISBLANK('Data Entry'!$ī$255), "", 'Data Entry'!$ī$255)</f>
      </c>
      <c r="IB255">
        <f>IF(ISBLANK('Data Entry'!$Ĭ$255), "", 'Data Entry'!$Ĭ$255)</f>
      </c>
      <c r="IC255">
        <f>IF(ISBLANK('Data Entry'!$ĭ$255), "", 'Data Entry'!$ĭ$255)</f>
      </c>
      <c r="ID255">
        <f>IF(ISBLANK('Data Entry'!$Į$255), "", 'Data Entry'!$Į$255)</f>
      </c>
      <c r="IE255">
        <f>IF(ISBLANK('Data Entry'!$į$255), "", 'Data Entry'!$į$255)</f>
      </c>
      <c r="IF255">
        <f>IF(ISBLANK('Data Entry'!$İ$255), "", 'Data Entry'!$İ$255)</f>
      </c>
      <c r="IG255">
        <f>IF(ISBLANK('Data Entry'!$ı$255), "", 'Data Entry'!$ı$255)</f>
      </c>
      <c r="IH255">
        <f>IF(ISBLANK('Data Entry'!$Ĳ$255), "", 'Data Entry'!$Ĳ$255)</f>
      </c>
      <c r="II255">
        <f>IF(ISBLANK('Data Entry'!$ĳ$255), "", 'Data Entry'!$ĳ$255)</f>
      </c>
      <c r="IJ255">
        <f>IF(ISBLANK('Data Entry'!$Ĵ$255), "", 'Data Entry'!$Ĵ$255)</f>
      </c>
      <c r="IK255">
        <f>IF(ISBLANK('Data Entry'!$ĵ$255), "", 'Data Entry'!$ĵ$255)</f>
      </c>
      <c r="IL255">
        <f>IF(ISBLANK('Data Entry'!$Ķ$255), "", 'Data Entry'!$Ķ$255)</f>
      </c>
      <c r="IM255">
        <f>IF(ISBLANK('Data Entry'!$ķ$255), "", 'Data Entry'!$ķ$255)</f>
      </c>
      <c r="IN255">
        <f>IF(ISBLANK('Data Entry'!$ĸ$255), "", 'Data Entry'!$ĸ$255)</f>
      </c>
      <c r="IO255">
        <f>IF(ISBLANK('Data Entry'!$Ĺ$255), "", 'Data Entry'!$Ĺ$255)</f>
      </c>
      <c r="IP255">
        <f>IF(ISBLANK('Data Entry'!$ĺ$255), "", 'Data Entry'!$ĺ$255)</f>
      </c>
      <c r="IQ255">
        <f>IF(ISBLANK('Data Entry'!$Ļ$255), "", 'Data Entry'!$Ļ$255)</f>
      </c>
      <c r="IR255">
        <f>IF(ISBLANK('Data Entry'!$ļ$255), "", 'Data Entry'!$ļ$255)</f>
      </c>
      <c r="IS255">
        <f>IF(ISBLANK('Data Entry'!$Ľ$255), "", 'Data Entry'!$Ľ$255)</f>
      </c>
      <c r="IT255">
        <f>IF(ISBLANK('Data Entry'!$ľ$255), "", 'Data Entry'!$ľ$255)</f>
      </c>
    </row>
    <row r="256" spans="1:254" x14ac:dyDescent="0.25">
      <c r="A256">
        <f>IF(ISBLANK('Data Entry'!$A$256), "", 'Data Entry'!$A$256)</f>
      </c>
      <c r="B256">
        <f>IF(ISBLANK('Data Entry'!$B$256), "", 'Data Entry'!$B$256)</f>
      </c>
      <c r="C256">
        <f>IF(ISBLANK('Data Entry'!$C$256), "", 'Data Entry'!$C$256)</f>
      </c>
      <c r="D256">
        <f>IF(ISBLANK('Data Entry'!$D$256), "", 'Data Entry'!$D$256)</f>
      </c>
      <c r="E256">
        <f>IF(ISBLANK('Data Entry'!$E$256), "", 'Data Entry'!$E$256)</f>
      </c>
      <c r="F256">
        <f>IF(ISBLANK('Data Entry'!$F$256), "", 'Data Entry'!$F$256)</f>
      </c>
      <c r="G256">
        <f>IF(ISBLANK('Data Entry'!$G$256), "", 'Data Entry'!$G$256)</f>
      </c>
      <c r="H256">
        <f>IF(ISBLANK('Data Entry'!$H$256), "", 'Data Entry'!$H$256)</f>
      </c>
      <c r="I256">
        <f>IF(ISBLANK('Data Entry'!$I$256), "", 'Data Entry'!$I$256)</f>
      </c>
      <c r="J256">
        <f>IF(ISBLANK('Data Entry'!$J$256), "", 'Data Entry'!$J$256)</f>
      </c>
      <c r="K256">
        <f>IF(ISBLANK('Data Entry'!$K$256), "", 'Data Entry'!$K$256)</f>
      </c>
      <c r="L256">
        <f>IF(ISBLANK('Data Entry'!$L$256), "", 'Data Entry'!$L$256)</f>
      </c>
      <c r="M256">
        <f>IF(ISBLANK('Data Entry'!$M$256), "", 'Data Entry'!$M$256)</f>
      </c>
      <c r="N256">
        <f>IF(ISBLANK('Data Entry'!$N$256), "", 'Data Entry'!$N$256)</f>
      </c>
      <c r="O256">
        <f>IF(ISBLANK('Data Entry'!$O$256), "", 'Data Entry'!$O$256)</f>
      </c>
      <c r="P256">
        <f>IF(ISBLANK('Data Entry'!$P$256), "", 'Data Entry'!$P$256)</f>
      </c>
      <c r="Q256">
        <f>IF(ISBLANK('Data Entry'!$Q$256), "", 'Data Entry'!$Q$256)</f>
      </c>
      <c r="R256">
        <f>IF(ISBLANK('Data Entry'!$R$256), "", 'Data Entry'!$R$256)</f>
      </c>
      <c r="S256">
        <f>IF(ISBLANK('Data Entry'!$S$256), "", 'Data Entry'!$S$256)</f>
      </c>
      <c r="T256">
        <f>IF(ISBLANK('Data Entry'!$T$256), "", 'Data Entry'!$T$256)</f>
      </c>
      <c r="U256">
        <f>IF(ISBLANK('Data Entry'!$U$256), "", 'Data Entry'!$U$256)</f>
      </c>
      <c r="V256">
        <f>IF(ISBLANK('Data Entry'!$V$256), "", 'Data Entry'!$V$256)</f>
      </c>
      <c r="W256">
        <f>IF(ISBLANK('Data Entry'!$W$256), "", 'Data Entry'!$W$256)</f>
      </c>
      <c r="X256">
        <f>IF(ISBLANK('Data Entry'!$X$256), "", 'Data Entry'!$X$256)</f>
      </c>
      <c r="Y256">
        <f>IF(ISBLANK('Data Entry'!$Y$256), "", 'Data Entry'!$Y$256)</f>
      </c>
      <c r="Z256">
        <f>IF(ISBLANK('Data Entry'!$Z$256), "", 'Data Entry'!$Z$256)</f>
      </c>
      <c r="AA256">
        <f>IF(ISBLANK('Data Entry'!$[$256), "", 'Data Entry'!$[$256)</f>
      </c>
      <c r="AB256">
        <f>IF(ISBLANK('Data Entry'!$\$256), "", 'Data Entry'!$\$256)</f>
      </c>
      <c r="AC256">
        <f>IF(ISBLANK('Data Entry'!$]$256), "", 'Data Entry'!$]$256)</f>
      </c>
      <c r="AD256">
        <f>IF(ISBLANK('Data Entry'!$^$256), "", 'Data Entry'!$^$256)</f>
      </c>
      <c r="AE256">
        <f>IF(ISBLANK('Data Entry'!$_$256), "", 'Data Entry'!$_$256)</f>
      </c>
      <c r="AF256">
        <f>IF(ISBLANK('Data Entry'!$`$256), "", 'Data Entry'!$`$256)</f>
      </c>
      <c r="AG256">
        <f>IF(ISBLANK('Data Entry'!$a$256), "", 'Data Entry'!$a$256)</f>
      </c>
      <c r="AH256">
        <f>IF(ISBLANK('Data Entry'!$b$256), "", 'Data Entry'!$b$256)</f>
      </c>
      <c r="AI256">
        <f>IF(ISBLANK('Data Entry'!$c$256), "", 'Data Entry'!$c$256)</f>
      </c>
      <c r="AJ256">
        <f>IF(ISBLANK('Data Entry'!$d$256), "", 'Data Entry'!$d$256)</f>
      </c>
      <c r="AK256">
        <f>IF(ISBLANK('Data Entry'!$e$256), "", 'Data Entry'!$e$256)</f>
      </c>
      <c r="AL256">
        <f>IF(ISBLANK('Data Entry'!$f$256), "", 'Data Entry'!$f$256)</f>
      </c>
      <c r="AM256">
        <f>IF(ISBLANK('Data Entry'!$g$256), "", 'Data Entry'!$g$256)</f>
      </c>
      <c r="AN256">
        <f>IF(ISBLANK('Data Entry'!$h$256), "", 'Data Entry'!$h$256)</f>
      </c>
      <c r="AO256">
        <f>IF(ISBLANK('Data Entry'!$i$256), "", 'Data Entry'!$i$256)</f>
      </c>
      <c r="AP256">
        <f>IF(ISBLANK('Data Entry'!$j$256), "", 'Data Entry'!$j$256)</f>
      </c>
      <c r="AQ256">
        <f>IF(ISBLANK('Data Entry'!$k$256), "", 'Data Entry'!$k$256)</f>
      </c>
      <c r="AR256">
        <f>IF(ISBLANK('Data Entry'!$l$256), "", 'Data Entry'!$l$256)</f>
      </c>
      <c r="AS256">
        <f>IF(ISBLANK('Data Entry'!$m$256), "", 'Data Entry'!$m$256)</f>
      </c>
      <c r="AT256">
        <f>IF(ISBLANK('Data Entry'!$n$256), "", 'Data Entry'!$n$256)</f>
      </c>
      <c r="AU256">
        <f>IF(ISBLANK('Data Entry'!$o$256), "", 'Data Entry'!$o$256)</f>
      </c>
      <c r="AV256">
        <f>IF(ISBLANK('Data Entry'!$p$256), "", 'Data Entry'!$p$256)</f>
      </c>
      <c r="AW256">
        <f>IF(ISBLANK('Data Entry'!$q$256), "", 'Data Entry'!$q$256)</f>
      </c>
      <c r="AX256">
        <f>IF(ISBLANK('Data Entry'!$r$256), "", 'Data Entry'!$r$256)</f>
      </c>
      <c r="AY256">
        <f>IF(ISBLANK('Data Entry'!$s$256), "", 'Data Entry'!$s$256)</f>
      </c>
      <c r="AZ256">
        <f>IF(ISBLANK('Data Entry'!$t$256), "", 'Data Entry'!$t$256)</f>
      </c>
      <c r="BA256">
        <f>IF(ISBLANK('Data Entry'!$u$256), "", 'Data Entry'!$u$256)</f>
      </c>
      <c r="BB256">
        <f>IF(ISBLANK('Data Entry'!$v$256), "", 'Data Entry'!$v$256)</f>
      </c>
      <c r="BC256">
        <f>IF(ISBLANK('Data Entry'!$w$256), "", 'Data Entry'!$w$256)</f>
      </c>
      <c r="BD256">
        <f>IF(ISBLANK('Data Entry'!$x$256), "", 'Data Entry'!$x$256)</f>
      </c>
      <c r="BE256">
        <f>IF(ISBLANK('Data Entry'!$y$256), "", 'Data Entry'!$y$256)</f>
      </c>
      <c r="BF256">
        <f>IF(ISBLANK('Data Entry'!$z$256), "", 'Data Entry'!$z$256)</f>
      </c>
      <c r="BG256">
        <f>IF(ISBLANK('Data Entry'!${$256), "", 'Data Entry'!${$256)</f>
      </c>
      <c r="BH256">
        <f>IF(ISBLANK('Data Entry'!$|$256), "", 'Data Entry'!$|$256)</f>
      </c>
      <c r="BI256">
        <f>IF(ISBLANK('Data Entry'!$}$256), "", 'Data Entry'!$}$256)</f>
      </c>
      <c r="BJ256">
        <f>IF(ISBLANK('Data Entry'!$~$256), "", 'Data Entry'!$~$256)</f>
      </c>
      <c r="BK256">
        <f>IF(ISBLANK('Data Entry'!$$256), "", 'Data Entry'!$$256)</f>
      </c>
      <c r="BL256">
        <f>IF(ISBLANK('Data Entry'!$$256), "", 'Data Entry'!$$256)</f>
      </c>
      <c r="BM256">
        <f>IF(ISBLANK('Data Entry'!$$256), "", 'Data Entry'!$$256)</f>
      </c>
      <c r="BN256">
        <f>IF(ISBLANK('Data Entry'!$$256), "", 'Data Entry'!$$256)</f>
      </c>
      <c r="BO256">
        <f>IF(ISBLANK('Data Entry'!$$256), "", 'Data Entry'!$$256)</f>
      </c>
      <c r="BP256">
        <f>IF(ISBLANK('Data Entry'!$$256), "", 'Data Entry'!$$256)</f>
      </c>
      <c r="BQ256">
        <f>IF(ISBLANK('Data Entry'!$$256), "", 'Data Entry'!$$256)</f>
      </c>
      <c r="BR256">
        <f>IF(ISBLANK('Data Entry'!$$256), "", 'Data Entry'!$$256)</f>
      </c>
      <c r="BS256">
        <f>IF(ISBLANK('Data Entry'!$$256), "", 'Data Entry'!$$256)</f>
      </c>
      <c r="BT256">
        <f>IF(ISBLANK('Data Entry'!$$256), "", 'Data Entry'!$$256)</f>
      </c>
      <c r="BU256">
        <f>IF(ISBLANK('Data Entry'!$$256), "", 'Data Entry'!$$256)</f>
      </c>
      <c r="BV256">
        <f>IF(ISBLANK('Data Entry'!$$256), "", 'Data Entry'!$$256)</f>
      </c>
      <c r="BW256">
        <f>IF(ISBLANK('Data Entry'!$$256), "", 'Data Entry'!$$256)</f>
      </c>
      <c r="BX256">
        <f>IF(ISBLANK('Data Entry'!$$256), "", 'Data Entry'!$$256)</f>
      </c>
      <c r="BY256">
        <f>IF(ISBLANK('Data Entry'!$$256), "", 'Data Entry'!$$256)</f>
      </c>
      <c r="BZ256">
        <f>IF(ISBLANK('Data Entry'!$$256), "", 'Data Entry'!$$256)</f>
      </c>
      <c r="CA256">
        <f>IF(ISBLANK('Data Entry'!$$256), "", 'Data Entry'!$$256)</f>
      </c>
      <c r="CB256">
        <f>IF(ISBLANK('Data Entry'!$$256), "", 'Data Entry'!$$256)</f>
      </c>
      <c r="CC256">
        <f>IF(ISBLANK('Data Entry'!$$256), "", 'Data Entry'!$$256)</f>
      </c>
      <c r="CD256">
        <f>IF(ISBLANK('Data Entry'!$$256), "", 'Data Entry'!$$256)</f>
      </c>
      <c r="CE256">
        <f>IF(ISBLANK('Data Entry'!$$256), "", 'Data Entry'!$$256)</f>
      </c>
      <c r="CF256">
        <f>IF(ISBLANK('Data Entry'!$$256), "", 'Data Entry'!$$256)</f>
      </c>
      <c r="CG256">
        <f>IF(ISBLANK('Data Entry'!$$256), "", 'Data Entry'!$$256)</f>
      </c>
      <c r="CH256">
        <f>IF(ISBLANK('Data Entry'!$$256), "", 'Data Entry'!$$256)</f>
      </c>
      <c r="CI256">
        <f>IF(ISBLANK('Data Entry'!$$256), "", 'Data Entry'!$$256)</f>
      </c>
      <c r="CJ256">
        <f>IF(ISBLANK('Data Entry'!$$256), "", 'Data Entry'!$$256)</f>
      </c>
      <c r="CK256">
        <f>IF(ISBLANK('Data Entry'!$$256), "", 'Data Entry'!$$256)</f>
      </c>
      <c r="CL256">
        <f>IF(ISBLANK('Data Entry'!$$256), "", 'Data Entry'!$$256)</f>
      </c>
      <c r="CM256">
        <f>IF(ISBLANK('Data Entry'!$$256), "", 'Data Entry'!$$256)</f>
      </c>
      <c r="CN256">
        <f>IF(ISBLANK('Data Entry'!$$256), "", 'Data Entry'!$$256)</f>
      </c>
      <c r="CO256">
        <f>IF(ISBLANK('Data Entry'!$$256), "", 'Data Entry'!$$256)</f>
      </c>
      <c r="CP256">
        <f>IF(ISBLANK('Data Entry'!$$256), "", 'Data Entry'!$$256)</f>
      </c>
      <c r="CQ256">
        <f>IF(ISBLANK('Data Entry'!$$256), "", 'Data Entry'!$$256)</f>
      </c>
      <c r="CR256">
        <f>IF(ISBLANK('Data Entry'!$ $256), "", 'Data Entry'!$ $256)</f>
      </c>
      <c r="CS256">
        <f>IF(ISBLANK('Data Entry'!$¡$256), "", 'Data Entry'!$¡$256)</f>
      </c>
      <c r="CT256">
        <f>IF(ISBLANK('Data Entry'!$¢$256), "", 'Data Entry'!$¢$256)</f>
      </c>
      <c r="CU256">
        <f>IF(ISBLANK('Data Entry'!$£$256), "", 'Data Entry'!$£$256)</f>
      </c>
      <c r="CV256">
        <f>IF(ISBLANK('Data Entry'!$¤$256), "", 'Data Entry'!$¤$256)</f>
      </c>
      <c r="CW256">
        <f>IF(ISBLANK('Data Entry'!$¥$256), "", 'Data Entry'!$¥$256)</f>
      </c>
      <c r="CX256">
        <f>IF(ISBLANK('Data Entry'!$¦$256), "", 'Data Entry'!$¦$256)</f>
      </c>
      <c r="CY256">
        <f>IF(ISBLANK('Data Entry'!$§$256), "", 'Data Entry'!$§$256)</f>
      </c>
      <c r="CZ256">
        <f>IF(ISBLANK('Data Entry'!$¨$256), "", 'Data Entry'!$¨$256)</f>
      </c>
      <c r="DA256">
        <f>IF(ISBLANK('Data Entry'!$©$256), "", 'Data Entry'!$©$256)</f>
      </c>
      <c r="DB256">
        <f>IF(ISBLANK('Data Entry'!$ª$256), "", 'Data Entry'!$ª$256)</f>
      </c>
      <c r="DC256">
        <f>IF(ISBLANK('Data Entry'!$«$256), "", 'Data Entry'!$«$256)</f>
      </c>
      <c r="DD256">
        <f>IF(ISBLANK('Data Entry'!$¬$256), "", 'Data Entry'!$¬$256)</f>
      </c>
      <c r="DE256">
        <f>IF(ISBLANK('Data Entry'!$­$256), "", 'Data Entry'!$­$256)</f>
      </c>
      <c r="DF256">
        <f>IF(ISBLANK('Data Entry'!$®$256), "", 'Data Entry'!$®$256)</f>
      </c>
      <c r="DG256">
        <f>IF(ISBLANK('Data Entry'!$¯$256), "", 'Data Entry'!$¯$256)</f>
      </c>
      <c r="DH256">
        <f>IF(ISBLANK('Data Entry'!$°$256), "", 'Data Entry'!$°$256)</f>
      </c>
      <c r="DI256">
        <f>IF(ISBLANK('Data Entry'!$±$256), "", 'Data Entry'!$±$256)</f>
      </c>
      <c r="DJ256">
        <f>IF(ISBLANK('Data Entry'!$²$256), "", 'Data Entry'!$²$256)</f>
      </c>
      <c r="DK256">
        <f>IF(ISBLANK('Data Entry'!$³$256), "", 'Data Entry'!$³$256)</f>
      </c>
      <c r="DL256">
        <f>IF(ISBLANK('Data Entry'!$´$256), "", 'Data Entry'!$´$256)</f>
      </c>
      <c r="DM256">
        <f>IF(ISBLANK('Data Entry'!$µ$256), "", 'Data Entry'!$µ$256)</f>
      </c>
      <c r="DN256">
        <f>IF(ISBLANK('Data Entry'!$¶$256), "", 'Data Entry'!$¶$256)</f>
      </c>
      <c r="DO256">
        <f>IF(ISBLANK('Data Entry'!$·$256), "", 'Data Entry'!$·$256)</f>
      </c>
      <c r="DP256">
        <f>IF(ISBLANK('Data Entry'!$¸$256), "", 'Data Entry'!$¸$256)</f>
      </c>
      <c r="DQ256">
        <f>IF(ISBLANK('Data Entry'!$¹$256), "", 'Data Entry'!$¹$256)</f>
      </c>
      <c r="DR256">
        <f>IF(ISBLANK('Data Entry'!$º$256), "", 'Data Entry'!$º$256)</f>
      </c>
      <c r="DS256">
        <f>IF(ISBLANK('Data Entry'!$»$256), "", 'Data Entry'!$»$256)</f>
      </c>
      <c r="DT256">
        <f>IF(ISBLANK('Data Entry'!$¼$256), "", 'Data Entry'!$¼$256)</f>
      </c>
      <c r="DU256">
        <f>IF(ISBLANK('Data Entry'!$½$256), "", 'Data Entry'!$½$256)</f>
      </c>
      <c r="DV256">
        <f>IF(ISBLANK('Data Entry'!$¾$256), "", 'Data Entry'!$¾$256)</f>
      </c>
      <c r="DW256">
        <f>IF(ISBLANK('Data Entry'!$¿$256), "", 'Data Entry'!$¿$256)</f>
      </c>
      <c r="DX256">
        <f>IF(ISBLANK('Data Entry'!$À$256), "", 'Data Entry'!$À$256)</f>
      </c>
      <c r="DY256">
        <f>IF(ISBLANK('Data Entry'!$Á$256), "", 'Data Entry'!$Á$256)</f>
      </c>
      <c r="DZ256">
        <f>IF(ISBLANK('Data Entry'!$Â$256), "", 'Data Entry'!$Â$256)</f>
      </c>
      <c r="EA256">
        <f>IF(ISBLANK('Data Entry'!$Ã$256), "", 'Data Entry'!$Ã$256)</f>
      </c>
      <c r="EB256">
        <f>IF(ISBLANK('Data Entry'!$Ä$256), "", 'Data Entry'!$Ä$256)</f>
      </c>
      <c r="EC256">
        <f>IF(ISBLANK('Data Entry'!$Å$256), "", 'Data Entry'!$Å$256)</f>
      </c>
      <c r="ED256">
        <f>IF(ISBLANK('Data Entry'!$Æ$256), "", 'Data Entry'!$Æ$256)</f>
      </c>
      <c r="EE256">
        <f>IF(ISBLANK('Data Entry'!$Ç$256), "", 'Data Entry'!$Ç$256)</f>
      </c>
      <c r="EF256">
        <f>IF(ISBLANK('Data Entry'!$È$256), "", 'Data Entry'!$È$256)</f>
      </c>
      <c r="EG256">
        <f>IF(ISBLANK('Data Entry'!$É$256), "", 'Data Entry'!$É$256)</f>
      </c>
      <c r="EH256">
        <f>IF(ISBLANK('Data Entry'!$Ê$256), "", 'Data Entry'!$Ê$256)</f>
      </c>
      <c r="EI256">
        <f>IF(ISBLANK('Data Entry'!$Ë$256), "", 'Data Entry'!$Ë$256)</f>
      </c>
      <c r="EJ256">
        <f>IF(ISBLANK('Data Entry'!$Ì$256), "", 'Data Entry'!$Ì$256)</f>
      </c>
      <c r="EK256">
        <f>IF(ISBLANK('Data Entry'!$Í$256), "", 'Data Entry'!$Í$256)</f>
      </c>
      <c r="EL256">
        <f>IF(ISBLANK('Data Entry'!$Î$256), "", 'Data Entry'!$Î$256)</f>
      </c>
      <c r="EM256">
        <f>IF(ISBLANK('Data Entry'!$Ï$256), "", 'Data Entry'!$Ï$256)</f>
      </c>
      <c r="EN256">
        <f>IF(ISBLANK('Data Entry'!$Ð$256), "", 'Data Entry'!$Ð$256)</f>
      </c>
      <c r="EO256">
        <f>IF(ISBLANK('Data Entry'!$Ñ$256), "", 'Data Entry'!$Ñ$256)</f>
      </c>
      <c r="EP256">
        <f>IF(ISBLANK('Data Entry'!$Ò$256), "", 'Data Entry'!$Ò$256)</f>
      </c>
      <c r="EQ256">
        <f>IF(ISBLANK('Data Entry'!$Ó$256), "", 'Data Entry'!$Ó$256)</f>
      </c>
      <c r="ER256">
        <f>IF(ISBLANK('Data Entry'!$Ô$256), "", 'Data Entry'!$Ô$256)</f>
      </c>
      <c r="ES256">
        <f>IF(ISBLANK('Data Entry'!$Õ$256), "", 'Data Entry'!$Õ$256)</f>
      </c>
      <c r="ET256">
        <f>IF(ISBLANK('Data Entry'!$Ö$256), "", 'Data Entry'!$Ö$256)</f>
      </c>
      <c r="EU256">
        <f>IF(ISBLANK('Data Entry'!$×$256), "", 'Data Entry'!$×$256)</f>
      </c>
      <c r="EV256">
        <f>IF(ISBLANK('Data Entry'!$Ø$256), "", 'Data Entry'!$Ø$256)</f>
      </c>
      <c r="EW256">
        <f>IF(ISBLANK('Data Entry'!$Ù$256), "", 'Data Entry'!$Ù$256)</f>
      </c>
      <c r="EX256">
        <f>IF(ISBLANK('Data Entry'!$Ú$256), "", 'Data Entry'!$Ú$256)</f>
      </c>
      <c r="EY256">
        <f>IF(ISBLANK('Data Entry'!$Û$256), "", 'Data Entry'!$Û$256)</f>
      </c>
      <c r="EZ256">
        <f>IF(ISBLANK('Data Entry'!$Ü$256), "", 'Data Entry'!$Ü$256)</f>
      </c>
      <c r="FA256">
        <f>IF(ISBLANK('Data Entry'!$Ý$256), "", 'Data Entry'!$Ý$256)</f>
      </c>
      <c r="FB256">
        <f>IF(ISBLANK('Data Entry'!$Þ$256), "", 'Data Entry'!$Þ$256)</f>
      </c>
      <c r="FC256">
        <f>IF(ISBLANK('Data Entry'!$ß$256), "", 'Data Entry'!$ß$256)</f>
      </c>
      <c r="FD256">
        <f>IF(ISBLANK('Data Entry'!$à$256), "", 'Data Entry'!$à$256)</f>
      </c>
      <c r="FE256">
        <f>IF(ISBLANK('Data Entry'!$á$256), "", 'Data Entry'!$á$256)</f>
      </c>
      <c r="FF256">
        <f>IF(ISBLANK('Data Entry'!$â$256), "", 'Data Entry'!$â$256)</f>
      </c>
      <c r="FG256">
        <f>IF(ISBLANK('Data Entry'!$ã$256), "", 'Data Entry'!$ã$256)</f>
      </c>
      <c r="FH256">
        <f>IF(ISBLANK('Data Entry'!$ä$256), "", 'Data Entry'!$ä$256)</f>
      </c>
      <c r="FI256">
        <f>IF(ISBLANK('Data Entry'!$å$256), "", 'Data Entry'!$å$256)</f>
      </c>
      <c r="FJ256">
        <f>IF(ISBLANK('Data Entry'!$æ$256), "", 'Data Entry'!$æ$256)</f>
      </c>
      <c r="FK256">
        <f>IF(ISBLANK('Data Entry'!$ç$256), "", 'Data Entry'!$ç$256)</f>
      </c>
      <c r="FL256">
        <f>IF(ISBLANK('Data Entry'!$è$256), "", 'Data Entry'!$è$256)</f>
      </c>
      <c r="FM256">
        <f>IF(ISBLANK('Data Entry'!$é$256), "", 'Data Entry'!$é$256)</f>
      </c>
      <c r="FN256">
        <f>IF(ISBLANK('Data Entry'!$ê$256), "", 'Data Entry'!$ê$256)</f>
      </c>
      <c r="FO256">
        <f>IF(ISBLANK('Data Entry'!$ë$256), "", 'Data Entry'!$ë$256)</f>
      </c>
      <c r="FP256">
        <f>IF(ISBLANK('Data Entry'!$ì$256), "", 'Data Entry'!$ì$256)</f>
      </c>
      <c r="FQ256">
        <f>IF(ISBLANK('Data Entry'!$í$256), "", 'Data Entry'!$í$256)</f>
      </c>
      <c r="FR256">
        <f>IF(ISBLANK('Data Entry'!$î$256), "", 'Data Entry'!$î$256)</f>
      </c>
      <c r="FS256">
        <f>IF(ISBLANK('Data Entry'!$ï$256), "", 'Data Entry'!$ï$256)</f>
      </c>
      <c r="FT256">
        <f>IF(ISBLANK('Data Entry'!$ð$256), "", 'Data Entry'!$ð$256)</f>
      </c>
      <c r="FU256">
        <f>IF(ISBLANK('Data Entry'!$ñ$256), "", 'Data Entry'!$ñ$256)</f>
      </c>
      <c r="FV256">
        <f>IF(ISBLANK('Data Entry'!$ò$256), "", 'Data Entry'!$ò$256)</f>
      </c>
      <c r="FW256">
        <f>IF(ISBLANK('Data Entry'!$ó$256), "", 'Data Entry'!$ó$256)</f>
      </c>
      <c r="FX256">
        <f>IF(ISBLANK('Data Entry'!$ô$256), "", 'Data Entry'!$ô$256)</f>
      </c>
      <c r="FY256">
        <f>IF(ISBLANK('Data Entry'!$õ$256), "", 'Data Entry'!$õ$256)</f>
      </c>
      <c r="FZ256">
        <f>IF(ISBLANK('Data Entry'!$ö$256), "", 'Data Entry'!$ö$256)</f>
      </c>
      <c r="GA256">
        <f>IF(ISBLANK('Data Entry'!$÷$256), "", 'Data Entry'!$÷$256)</f>
      </c>
      <c r="GB256">
        <f>IF(ISBLANK('Data Entry'!$ø$256), "", 'Data Entry'!$ø$256)</f>
      </c>
      <c r="GC256">
        <f>IF(ISBLANK('Data Entry'!$ù$256), "", 'Data Entry'!$ù$256)</f>
      </c>
      <c r="GD256">
        <f>IF(ISBLANK('Data Entry'!$ú$256), "", 'Data Entry'!$ú$256)</f>
      </c>
      <c r="GE256">
        <f>IF(ISBLANK('Data Entry'!$û$256), "", 'Data Entry'!$û$256)</f>
      </c>
      <c r="GF256">
        <f>IF(ISBLANK('Data Entry'!$ü$256), "", 'Data Entry'!$ü$256)</f>
      </c>
      <c r="GG256">
        <f>IF(ISBLANK('Data Entry'!$ý$256), "", 'Data Entry'!$ý$256)</f>
      </c>
      <c r="GH256">
        <f>IF(ISBLANK('Data Entry'!$þ$256), "", 'Data Entry'!$þ$256)</f>
      </c>
      <c r="GI256">
        <f>IF(ISBLANK('Data Entry'!$ÿ$256), "", 'Data Entry'!$ÿ$256)</f>
      </c>
      <c r="GJ256">
        <f>IF(ISBLANK('Data Entry'!$Ā$256), "", 'Data Entry'!$Ā$256)</f>
      </c>
      <c r="GK256">
        <f>IF(ISBLANK('Data Entry'!$ā$256), "", 'Data Entry'!$ā$256)</f>
      </c>
      <c r="GL256">
        <f>IF(ISBLANK('Data Entry'!$Ă$256), "", 'Data Entry'!$Ă$256)</f>
      </c>
      <c r="GM256">
        <f>IF(ISBLANK('Data Entry'!$ă$256), "", 'Data Entry'!$ă$256)</f>
      </c>
      <c r="GN256">
        <f>IF(ISBLANK('Data Entry'!$Ą$256), "", 'Data Entry'!$Ą$256)</f>
      </c>
      <c r="GO256">
        <f>IF(ISBLANK('Data Entry'!$ą$256), "", 'Data Entry'!$ą$256)</f>
      </c>
      <c r="GP256">
        <f>IF(ISBLANK('Data Entry'!$Ć$256), "", 'Data Entry'!$Ć$256)</f>
      </c>
      <c r="GQ256">
        <f>IF(ISBLANK('Data Entry'!$ć$256), "", 'Data Entry'!$ć$256)</f>
      </c>
      <c r="GR256">
        <f>IF(ISBLANK('Data Entry'!$Ĉ$256), "", 'Data Entry'!$Ĉ$256)</f>
      </c>
      <c r="GS256">
        <f>IF(ISBLANK('Data Entry'!$ĉ$256), "", 'Data Entry'!$ĉ$256)</f>
      </c>
      <c r="GT256">
        <f>IF(ISBLANK('Data Entry'!$Ċ$256), "", 'Data Entry'!$Ċ$256)</f>
      </c>
      <c r="GU256">
        <f>IF(ISBLANK('Data Entry'!$ċ$256), "", 'Data Entry'!$ċ$256)</f>
      </c>
      <c r="GV256">
        <f>IF(ISBLANK('Data Entry'!$Č$256), "", 'Data Entry'!$Č$256)</f>
      </c>
      <c r="GW256">
        <f>IF(ISBLANK('Data Entry'!$č$256), "", 'Data Entry'!$č$256)</f>
      </c>
      <c r="GX256">
        <f>IF(ISBLANK('Data Entry'!$Ď$256), "", 'Data Entry'!$Ď$256)</f>
      </c>
      <c r="GY256">
        <f>IF(ISBLANK('Data Entry'!$ď$256), "", 'Data Entry'!$ď$256)</f>
      </c>
      <c r="GZ256">
        <f>IF(ISBLANK('Data Entry'!$Đ$256), "", 'Data Entry'!$Đ$256)</f>
      </c>
      <c r="HA256">
        <f>IF(ISBLANK('Data Entry'!$đ$256), "", 'Data Entry'!$đ$256)</f>
      </c>
      <c r="HB256">
        <f>IF(ISBLANK('Data Entry'!$Ē$256), "", 'Data Entry'!$Ē$256)</f>
      </c>
      <c r="HC256">
        <f>IF(ISBLANK('Data Entry'!$ē$256), "", 'Data Entry'!$ē$256)</f>
      </c>
      <c r="HD256">
        <f>IF(ISBLANK('Data Entry'!$Ĕ$256), "", 'Data Entry'!$Ĕ$256)</f>
      </c>
      <c r="HE256">
        <f>IF(ISBLANK('Data Entry'!$ĕ$256), "", 'Data Entry'!$ĕ$256)</f>
      </c>
      <c r="HF256">
        <f>IF(ISBLANK('Data Entry'!$Ė$256), "", 'Data Entry'!$Ė$256)</f>
      </c>
      <c r="HG256">
        <f>IF(ISBLANK('Data Entry'!$ė$256), "", 'Data Entry'!$ė$256)</f>
      </c>
      <c r="HH256">
        <f>IF(ISBLANK('Data Entry'!$Ę$256), "", 'Data Entry'!$Ę$256)</f>
      </c>
      <c r="HI256">
        <f>IF(ISBLANK('Data Entry'!$ę$256), "", 'Data Entry'!$ę$256)</f>
      </c>
      <c r="HJ256">
        <f>IF(ISBLANK('Data Entry'!$Ě$256), "", 'Data Entry'!$Ě$256)</f>
      </c>
      <c r="HK256">
        <f>IF(ISBLANK('Data Entry'!$ě$256), "", 'Data Entry'!$ě$256)</f>
      </c>
      <c r="HL256">
        <f>IF(ISBLANK('Data Entry'!$Ĝ$256), "", 'Data Entry'!$Ĝ$256)</f>
      </c>
      <c r="HM256">
        <f>IF(ISBLANK('Data Entry'!$ĝ$256), "", 'Data Entry'!$ĝ$256)</f>
      </c>
      <c r="HN256">
        <f>IF(ISBLANK('Data Entry'!$Ğ$256), "", 'Data Entry'!$Ğ$256)</f>
      </c>
      <c r="HO256">
        <f>IF(ISBLANK('Data Entry'!$ğ$256), "", 'Data Entry'!$ğ$256)</f>
      </c>
      <c r="HP256">
        <f>IF(ISBLANK('Data Entry'!$Ġ$256), "", 'Data Entry'!$Ġ$256)</f>
      </c>
      <c r="HQ256">
        <f>IF(ISBLANK('Data Entry'!$ġ$256), "", 'Data Entry'!$ġ$256)</f>
      </c>
      <c r="HR256">
        <f>IF(ISBLANK('Data Entry'!$Ģ$256), "", 'Data Entry'!$Ģ$256)</f>
      </c>
      <c r="HS256">
        <f>IF(ISBLANK('Data Entry'!$ģ$256), "", 'Data Entry'!$ģ$256)</f>
      </c>
      <c r="HT256">
        <f>IF(ISBLANK('Data Entry'!$Ĥ$256), "", 'Data Entry'!$Ĥ$256)</f>
      </c>
      <c r="HU256">
        <f>IF(ISBLANK('Data Entry'!$ĥ$256), "", 'Data Entry'!$ĥ$256)</f>
      </c>
      <c r="HV256">
        <f>IF(ISBLANK('Data Entry'!$Ħ$256), "", 'Data Entry'!$Ħ$256)</f>
      </c>
      <c r="HW256">
        <f>IF(ISBLANK('Data Entry'!$ħ$256), "", 'Data Entry'!$ħ$256)</f>
      </c>
      <c r="HX256">
        <f>IF(ISBLANK('Data Entry'!$Ĩ$256), "", 'Data Entry'!$Ĩ$256)</f>
      </c>
      <c r="HY256">
        <f>IF(ISBLANK('Data Entry'!$ĩ$256), "", 'Data Entry'!$ĩ$256)</f>
      </c>
      <c r="HZ256">
        <f>IF(ISBLANK('Data Entry'!$Ī$256), "", 'Data Entry'!$Ī$256)</f>
      </c>
      <c r="IA256">
        <f>IF(ISBLANK('Data Entry'!$ī$256), "", 'Data Entry'!$ī$256)</f>
      </c>
      <c r="IB256">
        <f>IF(ISBLANK('Data Entry'!$Ĭ$256), "", 'Data Entry'!$Ĭ$256)</f>
      </c>
      <c r="IC256">
        <f>IF(ISBLANK('Data Entry'!$ĭ$256), "", 'Data Entry'!$ĭ$256)</f>
      </c>
      <c r="ID256">
        <f>IF(ISBLANK('Data Entry'!$Į$256), "", 'Data Entry'!$Į$256)</f>
      </c>
      <c r="IE256">
        <f>IF(ISBLANK('Data Entry'!$į$256), "", 'Data Entry'!$į$256)</f>
      </c>
      <c r="IF256">
        <f>IF(ISBLANK('Data Entry'!$İ$256), "", 'Data Entry'!$İ$256)</f>
      </c>
      <c r="IG256">
        <f>IF(ISBLANK('Data Entry'!$ı$256), "", 'Data Entry'!$ı$256)</f>
      </c>
      <c r="IH256">
        <f>IF(ISBLANK('Data Entry'!$Ĳ$256), "", 'Data Entry'!$Ĳ$256)</f>
      </c>
      <c r="II256">
        <f>IF(ISBLANK('Data Entry'!$ĳ$256), "", 'Data Entry'!$ĳ$256)</f>
      </c>
      <c r="IJ256">
        <f>IF(ISBLANK('Data Entry'!$Ĵ$256), "", 'Data Entry'!$Ĵ$256)</f>
      </c>
      <c r="IK256">
        <f>IF(ISBLANK('Data Entry'!$ĵ$256), "", 'Data Entry'!$ĵ$256)</f>
      </c>
      <c r="IL256">
        <f>IF(ISBLANK('Data Entry'!$Ķ$256), "", 'Data Entry'!$Ķ$256)</f>
      </c>
      <c r="IM256">
        <f>IF(ISBLANK('Data Entry'!$ķ$256), "", 'Data Entry'!$ķ$256)</f>
      </c>
      <c r="IN256">
        <f>IF(ISBLANK('Data Entry'!$ĸ$256), "", 'Data Entry'!$ĸ$256)</f>
      </c>
      <c r="IO256">
        <f>IF(ISBLANK('Data Entry'!$Ĺ$256), "", 'Data Entry'!$Ĺ$256)</f>
      </c>
      <c r="IP256">
        <f>IF(ISBLANK('Data Entry'!$ĺ$256), "", 'Data Entry'!$ĺ$256)</f>
      </c>
      <c r="IQ256">
        <f>IF(ISBLANK('Data Entry'!$Ļ$256), "", 'Data Entry'!$Ļ$256)</f>
      </c>
      <c r="IR256">
        <f>IF(ISBLANK('Data Entry'!$ļ$256), "", 'Data Entry'!$ļ$256)</f>
      </c>
      <c r="IS256">
        <f>IF(ISBLANK('Data Entry'!$Ľ$256), "", 'Data Entry'!$Ľ$256)</f>
      </c>
      <c r="IT256">
        <f>IF(ISBLANK('Data Entry'!$ľ$256), "", 'Data Entry'!$ľ$256)</f>
      </c>
    </row>
    <row r="257" spans="1:254" x14ac:dyDescent="0.25">
      <c r="A257">
        <f>IF(ISBLANK('Data Entry'!$A$257), "", 'Data Entry'!$A$257)</f>
      </c>
      <c r="B257">
        <f>IF(ISBLANK('Data Entry'!$B$257), "", 'Data Entry'!$B$257)</f>
      </c>
      <c r="C257">
        <f>IF(ISBLANK('Data Entry'!$C$257), "", 'Data Entry'!$C$257)</f>
      </c>
      <c r="D257">
        <f>IF(ISBLANK('Data Entry'!$D$257), "", 'Data Entry'!$D$257)</f>
      </c>
      <c r="E257">
        <f>IF(ISBLANK('Data Entry'!$E$257), "", 'Data Entry'!$E$257)</f>
      </c>
      <c r="F257">
        <f>IF(ISBLANK('Data Entry'!$F$257), "", 'Data Entry'!$F$257)</f>
      </c>
      <c r="G257">
        <f>IF(ISBLANK('Data Entry'!$G$257), "", 'Data Entry'!$G$257)</f>
      </c>
      <c r="H257">
        <f>IF(ISBLANK('Data Entry'!$H$257), "", 'Data Entry'!$H$257)</f>
      </c>
      <c r="I257">
        <f>IF(ISBLANK('Data Entry'!$I$257), "", 'Data Entry'!$I$257)</f>
      </c>
      <c r="J257">
        <f>IF(ISBLANK('Data Entry'!$J$257), "", 'Data Entry'!$J$257)</f>
      </c>
      <c r="K257">
        <f>IF(ISBLANK('Data Entry'!$K$257), "", 'Data Entry'!$K$257)</f>
      </c>
      <c r="L257">
        <f>IF(ISBLANK('Data Entry'!$L$257), "", 'Data Entry'!$L$257)</f>
      </c>
      <c r="M257">
        <f>IF(ISBLANK('Data Entry'!$M$257), "", 'Data Entry'!$M$257)</f>
      </c>
      <c r="N257">
        <f>IF(ISBLANK('Data Entry'!$N$257), "", 'Data Entry'!$N$257)</f>
      </c>
      <c r="O257">
        <f>IF(ISBLANK('Data Entry'!$O$257), "", 'Data Entry'!$O$257)</f>
      </c>
      <c r="P257">
        <f>IF(ISBLANK('Data Entry'!$P$257), "", 'Data Entry'!$P$257)</f>
      </c>
      <c r="Q257">
        <f>IF(ISBLANK('Data Entry'!$Q$257), "", 'Data Entry'!$Q$257)</f>
      </c>
      <c r="R257">
        <f>IF(ISBLANK('Data Entry'!$R$257), "", 'Data Entry'!$R$257)</f>
      </c>
      <c r="S257">
        <f>IF(ISBLANK('Data Entry'!$S$257), "", 'Data Entry'!$S$257)</f>
      </c>
      <c r="T257">
        <f>IF(ISBLANK('Data Entry'!$T$257), "", 'Data Entry'!$T$257)</f>
      </c>
      <c r="U257">
        <f>IF(ISBLANK('Data Entry'!$U$257), "", 'Data Entry'!$U$257)</f>
      </c>
      <c r="V257">
        <f>IF(ISBLANK('Data Entry'!$V$257), "", 'Data Entry'!$V$257)</f>
      </c>
      <c r="W257">
        <f>IF(ISBLANK('Data Entry'!$W$257), "", 'Data Entry'!$W$257)</f>
      </c>
      <c r="X257">
        <f>IF(ISBLANK('Data Entry'!$X$257), "", 'Data Entry'!$X$257)</f>
      </c>
      <c r="Y257">
        <f>IF(ISBLANK('Data Entry'!$Y$257), "", 'Data Entry'!$Y$257)</f>
      </c>
      <c r="Z257">
        <f>IF(ISBLANK('Data Entry'!$Z$257), "", 'Data Entry'!$Z$257)</f>
      </c>
      <c r="AA257">
        <f>IF(ISBLANK('Data Entry'!$[$257), "", 'Data Entry'!$[$257)</f>
      </c>
      <c r="AB257">
        <f>IF(ISBLANK('Data Entry'!$\$257), "", 'Data Entry'!$\$257)</f>
      </c>
      <c r="AC257">
        <f>IF(ISBLANK('Data Entry'!$]$257), "", 'Data Entry'!$]$257)</f>
      </c>
      <c r="AD257">
        <f>IF(ISBLANK('Data Entry'!$^$257), "", 'Data Entry'!$^$257)</f>
      </c>
      <c r="AE257">
        <f>IF(ISBLANK('Data Entry'!$_$257), "", 'Data Entry'!$_$257)</f>
      </c>
      <c r="AF257">
        <f>IF(ISBLANK('Data Entry'!$`$257), "", 'Data Entry'!$`$257)</f>
      </c>
      <c r="AG257">
        <f>IF(ISBLANK('Data Entry'!$a$257), "", 'Data Entry'!$a$257)</f>
      </c>
      <c r="AH257">
        <f>IF(ISBLANK('Data Entry'!$b$257), "", 'Data Entry'!$b$257)</f>
      </c>
      <c r="AI257">
        <f>IF(ISBLANK('Data Entry'!$c$257), "", 'Data Entry'!$c$257)</f>
      </c>
      <c r="AJ257">
        <f>IF(ISBLANK('Data Entry'!$d$257), "", 'Data Entry'!$d$257)</f>
      </c>
      <c r="AK257">
        <f>IF(ISBLANK('Data Entry'!$e$257), "", 'Data Entry'!$e$257)</f>
      </c>
      <c r="AL257">
        <f>IF(ISBLANK('Data Entry'!$f$257), "", 'Data Entry'!$f$257)</f>
      </c>
      <c r="AM257">
        <f>IF(ISBLANK('Data Entry'!$g$257), "", 'Data Entry'!$g$257)</f>
      </c>
      <c r="AN257">
        <f>IF(ISBLANK('Data Entry'!$h$257), "", 'Data Entry'!$h$257)</f>
      </c>
      <c r="AO257">
        <f>IF(ISBLANK('Data Entry'!$i$257), "", 'Data Entry'!$i$257)</f>
      </c>
      <c r="AP257">
        <f>IF(ISBLANK('Data Entry'!$j$257), "", 'Data Entry'!$j$257)</f>
      </c>
      <c r="AQ257">
        <f>IF(ISBLANK('Data Entry'!$k$257), "", 'Data Entry'!$k$257)</f>
      </c>
      <c r="AR257">
        <f>IF(ISBLANK('Data Entry'!$l$257), "", 'Data Entry'!$l$257)</f>
      </c>
      <c r="AS257">
        <f>IF(ISBLANK('Data Entry'!$m$257), "", 'Data Entry'!$m$257)</f>
      </c>
      <c r="AT257">
        <f>IF(ISBLANK('Data Entry'!$n$257), "", 'Data Entry'!$n$257)</f>
      </c>
      <c r="AU257">
        <f>IF(ISBLANK('Data Entry'!$o$257), "", 'Data Entry'!$o$257)</f>
      </c>
      <c r="AV257">
        <f>IF(ISBLANK('Data Entry'!$p$257), "", 'Data Entry'!$p$257)</f>
      </c>
      <c r="AW257">
        <f>IF(ISBLANK('Data Entry'!$q$257), "", 'Data Entry'!$q$257)</f>
      </c>
      <c r="AX257">
        <f>IF(ISBLANK('Data Entry'!$r$257), "", 'Data Entry'!$r$257)</f>
      </c>
      <c r="AY257">
        <f>IF(ISBLANK('Data Entry'!$s$257), "", 'Data Entry'!$s$257)</f>
      </c>
      <c r="AZ257">
        <f>IF(ISBLANK('Data Entry'!$t$257), "", 'Data Entry'!$t$257)</f>
      </c>
      <c r="BA257">
        <f>IF(ISBLANK('Data Entry'!$u$257), "", 'Data Entry'!$u$257)</f>
      </c>
      <c r="BB257">
        <f>IF(ISBLANK('Data Entry'!$v$257), "", 'Data Entry'!$v$257)</f>
      </c>
      <c r="BC257">
        <f>IF(ISBLANK('Data Entry'!$w$257), "", 'Data Entry'!$w$257)</f>
      </c>
      <c r="BD257">
        <f>IF(ISBLANK('Data Entry'!$x$257), "", 'Data Entry'!$x$257)</f>
      </c>
      <c r="BE257">
        <f>IF(ISBLANK('Data Entry'!$y$257), "", 'Data Entry'!$y$257)</f>
      </c>
      <c r="BF257">
        <f>IF(ISBLANK('Data Entry'!$z$257), "", 'Data Entry'!$z$257)</f>
      </c>
      <c r="BG257">
        <f>IF(ISBLANK('Data Entry'!${$257), "", 'Data Entry'!${$257)</f>
      </c>
      <c r="BH257">
        <f>IF(ISBLANK('Data Entry'!$|$257), "", 'Data Entry'!$|$257)</f>
      </c>
      <c r="BI257">
        <f>IF(ISBLANK('Data Entry'!$}$257), "", 'Data Entry'!$}$257)</f>
      </c>
      <c r="BJ257">
        <f>IF(ISBLANK('Data Entry'!$~$257), "", 'Data Entry'!$~$257)</f>
      </c>
      <c r="BK257">
        <f>IF(ISBLANK('Data Entry'!$$257), "", 'Data Entry'!$$257)</f>
      </c>
      <c r="BL257">
        <f>IF(ISBLANK('Data Entry'!$$257), "", 'Data Entry'!$$257)</f>
      </c>
      <c r="BM257">
        <f>IF(ISBLANK('Data Entry'!$$257), "", 'Data Entry'!$$257)</f>
      </c>
      <c r="BN257">
        <f>IF(ISBLANK('Data Entry'!$$257), "", 'Data Entry'!$$257)</f>
      </c>
      <c r="BO257">
        <f>IF(ISBLANK('Data Entry'!$$257), "", 'Data Entry'!$$257)</f>
      </c>
      <c r="BP257">
        <f>IF(ISBLANK('Data Entry'!$$257), "", 'Data Entry'!$$257)</f>
      </c>
      <c r="BQ257">
        <f>IF(ISBLANK('Data Entry'!$$257), "", 'Data Entry'!$$257)</f>
      </c>
      <c r="BR257">
        <f>IF(ISBLANK('Data Entry'!$$257), "", 'Data Entry'!$$257)</f>
      </c>
      <c r="BS257">
        <f>IF(ISBLANK('Data Entry'!$$257), "", 'Data Entry'!$$257)</f>
      </c>
      <c r="BT257">
        <f>IF(ISBLANK('Data Entry'!$$257), "", 'Data Entry'!$$257)</f>
      </c>
      <c r="BU257">
        <f>IF(ISBLANK('Data Entry'!$$257), "", 'Data Entry'!$$257)</f>
      </c>
      <c r="BV257">
        <f>IF(ISBLANK('Data Entry'!$$257), "", 'Data Entry'!$$257)</f>
      </c>
      <c r="BW257">
        <f>IF(ISBLANK('Data Entry'!$$257), "", 'Data Entry'!$$257)</f>
      </c>
      <c r="BX257">
        <f>IF(ISBLANK('Data Entry'!$$257), "", 'Data Entry'!$$257)</f>
      </c>
      <c r="BY257">
        <f>IF(ISBLANK('Data Entry'!$$257), "", 'Data Entry'!$$257)</f>
      </c>
      <c r="BZ257">
        <f>IF(ISBLANK('Data Entry'!$$257), "", 'Data Entry'!$$257)</f>
      </c>
      <c r="CA257">
        <f>IF(ISBLANK('Data Entry'!$$257), "", 'Data Entry'!$$257)</f>
      </c>
      <c r="CB257">
        <f>IF(ISBLANK('Data Entry'!$$257), "", 'Data Entry'!$$257)</f>
      </c>
      <c r="CC257">
        <f>IF(ISBLANK('Data Entry'!$$257), "", 'Data Entry'!$$257)</f>
      </c>
      <c r="CD257">
        <f>IF(ISBLANK('Data Entry'!$$257), "", 'Data Entry'!$$257)</f>
      </c>
      <c r="CE257">
        <f>IF(ISBLANK('Data Entry'!$$257), "", 'Data Entry'!$$257)</f>
      </c>
      <c r="CF257">
        <f>IF(ISBLANK('Data Entry'!$$257), "", 'Data Entry'!$$257)</f>
      </c>
      <c r="CG257">
        <f>IF(ISBLANK('Data Entry'!$$257), "", 'Data Entry'!$$257)</f>
      </c>
      <c r="CH257">
        <f>IF(ISBLANK('Data Entry'!$$257), "", 'Data Entry'!$$257)</f>
      </c>
      <c r="CI257">
        <f>IF(ISBLANK('Data Entry'!$$257), "", 'Data Entry'!$$257)</f>
      </c>
      <c r="CJ257">
        <f>IF(ISBLANK('Data Entry'!$$257), "", 'Data Entry'!$$257)</f>
      </c>
      <c r="CK257">
        <f>IF(ISBLANK('Data Entry'!$$257), "", 'Data Entry'!$$257)</f>
      </c>
      <c r="CL257">
        <f>IF(ISBLANK('Data Entry'!$$257), "", 'Data Entry'!$$257)</f>
      </c>
      <c r="CM257">
        <f>IF(ISBLANK('Data Entry'!$$257), "", 'Data Entry'!$$257)</f>
      </c>
      <c r="CN257">
        <f>IF(ISBLANK('Data Entry'!$$257), "", 'Data Entry'!$$257)</f>
      </c>
      <c r="CO257">
        <f>IF(ISBLANK('Data Entry'!$$257), "", 'Data Entry'!$$257)</f>
      </c>
      <c r="CP257">
        <f>IF(ISBLANK('Data Entry'!$$257), "", 'Data Entry'!$$257)</f>
      </c>
      <c r="CQ257">
        <f>IF(ISBLANK('Data Entry'!$$257), "", 'Data Entry'!$$257)</f>
      </c>
      <c r="CR257">
        <f>IF(ISBLANK('Data Entry'!$ $257), "", 'Data Entry'!$ $257)</f>
      </c>
      <c r="CS257">
        <f>IF(ISBLANK('Data Entry'!$¡$257), "", 'Data Entry'!$¡$257)</f>
      </c>
      <c r="CT257">
        <f>IF(ISBLANK('Data Entry'!$¢$257), "", 'Data Entry'!$¢$257)</f>
      </c>
      <c r="CU257">
        <f>IF(ISBLANK('Data Entry'!$£$257), "", 'Data Entry'!$£$257)</f>
      </c>
      <c r="CV257">
        <f>IF(ISBLANK('Data Entry'!$¤$257), "", 'Data Entry'!$¤$257)</f>
      </c>
      <c r="CW257">
        <f>IF(ISBLANK('Data Entry'!$¥$257), "", 'Data Entry'!$¥$257)</f>
      </c>
      <c r="CX257">
        <f>IF(ISBLANK('Data Entry'!$¦$257), "", 'Data Entry'!$¦$257)</f>
      </c>
      <c r="CY257">
        <f>IF(ISBLANK('Data Entry'!$§$257), "", 'Data Entry'!$§$257)</f>
      </c>
      <c r="CZ257">
        <f>IF(ISBLANK('Data Entry'!$¨$257), "", 'Data Entry'!$¨$257)</f>
      </c>
      <c r="DA257">
        <f>IF(ISBLANK('Data Entry'!$©$257), "", 'Data Entry'!$©$257)</f>
      </c>
      <c r="DB257">
        <f>IF(ISBLANK('Data Entry'!$ª$257), "", 'Data Entry'!$ª$257)</f>
      </c>
      <c r="DC257">
        <f>IF(ISBLANK('Data Entry'!$«$257), "", 'Data Entry'!$«$257)</f>
      </c>
      <c r="DD257">
        <f>IF(ISBLANK('Data Entry'!$¬$257), "", 'Data Entry'!$¬$257)</f>
      </c>
      <c r="DE257">
        <f>IF(ISBLANK('Data Entry'!$­$257), "", 'Data Entry'!$­$257)</f>
      </c>
      <c r="DF257">
        <f>IF(ISBLANK('Data Entry'!$®$257), "", 'Data Entry'!$®$257)</f>
      </c>
      <c r="DG257">
        <f>IF(ISBLANK('Data Entry'!$¯$257), "", 'Data Entry'!$¯$257)</f>
      </c>
      <c r="DH257">
        <f>IF(ISBLANK('Data Entry'!$°$257), "", 'Data Entry'!$°$257)</f>
      </c>
      <c r="DI257">
        <f>IF(ISBLANK('Data Entry'!$±$257), "", 'Data Entry'!$±$257)</f>
      </c>
      <c r="DJ257">
        <f>IF(ISBLANK('Data Entry'!$²$257), "", 'Data Entry'!$²$257)</f>
      </c>
      <c r="DK257">
        <f>IF(ISBLANK('Data Entry'!$³$257), "", 'Data Entry'!$³$257)</f>
      </c>
      <c r="DL257">
        <f>IF(ISBLANK('Data Entry'!$´$257), "", 'Data Entry'!$´$257)</f>
      </c>
      <c r="DM257">
        <f>IF(ISBLANK('Data Entry'!$µ$257), "", 'Data Entry'!$µ$257)</f>
      </c>
      <c r="DN257">
        <f>IF(ISBLANK('Data Entry'!$¶$257), "", 'Data Entry'!$¶$257)</f>
      </c>
      <c r="DO257">
        <f>IF(ISBLANK('Data Entry'!$·$257), "", 'Data Entry'!$·$257)</f>
      </c>
      <c r="DP257">
        <f>IF(ISBLANK('Data Entry'!$¸$257), "", 'Data Entry'!$¸$257)</f>
      </c>
      <c r="DQ257">
        <f>IF(ISBLANK('Data Entry'!$¹$257), "", 'Data Entry'!$¹$257)</f>
      </c>
      <c r="DR257">
        <f>IF(ISBLANK('Data Entry'!$º$257), "", 'Data Entry'!$º$257)</f>
      </c>
      <c r="DS257">
        <f>IF(ISBLANK('Data Entry'!$»$257), "", 'Data Entry'!$»$257)</f>
      </c>
      <c r="DT257">
        <f>IF(ISBLANK('Data Entry'!$¼$257), "", 'Data Entry'!$¼$257)</f>
      </c>
      <c r="DU257">
        <f>IF(ISBLANK('Data Entry'!$½$257), "", 'Data Entry'!$½$257)</f>
      </c>
      <c r="DV257">
        <f>IF(ISBLANK('Data Entry'!$¾$257), "", 'Data Entry'!$¾$257)</f>
      </c>
      <c r="DW257">
        <f>IF(ISBLANK('Data Entry'!$¿$257), "", 'Data Entry'!$¿$257)</f>
      </c>
      <c r="DX257">
        <f>IF(ISBLANK('Data Entry'!$À$257), "", 'Data Entry'!$À$257)</f>
      </c>
      <c r="DY257">
        <f>IF(ISBLANK('Data Entry'!$Á$257), "", 'Data Entry'!$Á$257)</f>
      </c>
      <c r="DZ257">
        <f>IF(ISBLANK('Data Entry'!$Â$257), "", 'Data Entry'!$Â$257)</f>
      </c>
      <c r="EA257">
        <f>IF(ISBLANK('Data Entry'!$Ã$257), "", 'Data Entry'!$Ã$257)</f>
      </c>
      <c r="EB257">
        <f>IF(ISBLANK('Data Entry'!$Ä$257), "", 'Data Entry'!$Ä$257)</f>
      </c>
      <c r="EC257">
        <f>IF(ISBLANK('Data Entry'!$Å$257), "", 'Data Entry'!$Å$257)</f>
      </c>
      <c r="ED257">
        <f>IF(ISBLANK('Data Entry'!$Æ$257), "", 'Data Entry'!$Æ$257)</f>
      </c>
      <c r="EE257">
        <f>IF(ISBLANK('Data Entry'!$Ç$257), "", 'Data Entry'!$Ç$257)</f>
      </c>
      <c r="EF257">
        <f>IF(ISBLANK('Data Entry'!$È$257), "", 'Data Entry'!$È$257)</f>
      </c>
      <c r="EG257">
        <f>IF(ISBLANK('Data Entry'!$É$257), "", 'Data Entry'!$É$257)</f>
      </c>
      <c r="EH257">
        <f>IF(ISBLANK('Data Entry'!$Ê$257), "", 'Data Entry'!$Ê$257)</f>
      </c>
      <c r="EI257">
        <f>IF(ISBLANK('Data Entry'!$Ë$257), "", 'Data Entry'!$Ë$257)</f>
      </c>
      <c r="EJ257">
        <f>IF(ISBLANK('Data Entry'!$Ì$257), "", 'Data Entry'!$Ì$257)</f>
      </c>
      <c r="EK257">
        <f>IF(ISBLANK('Data Entry'!$Í$257), "", 'Data Entry'!$Í$257)</f>
      </c>
      <c r="EL257">
        <f>IF(ISBLANK('Data Entry'!$Î$257), "", 'Data Entry'!$Î$257)</f>
      </c>
      <c r="EM257">
        <f>IF(ISBLANK('Data Entry'!$Ï$257), "", 'Data Entry'!$Ï$257)</f>
      </c>
      <c r="EN257">
        <f>IF(ISBLANK('Data Entry'!$Ð$257), "", 'Data Entry'!$Ð$257)</f>
      </c>
      <c r="EO257">
        <f>IF(ISBLANK('Data Entry'!$Ñ$257), "", 'Data Entry'!$Ñ$257)</f>
      </c>
      <c r="EP257">
        <f>IF(ISBLANK('Data Entry'!$Ò$257), "", 'Data Entry'!$Ò$257)</f>
      </c>
      <c r="EQ257">
        <f>IF(ISBLANK('Data Entry'!$Ó$257), "", 'Data Entry'!$Ó$257)</f>
      </c>
      <c r="ER257">
        <f>IF(ISBLANK('Data Entry'!$Ô$257), "", 'Data Entry'!$Ô$257)</f>
      </c>
      <c r="ES257">
        <f>IF(ISBLANK('Data Entry'!$Õ$257), "", 'Data Entry'!$Õ$257)</f>
      </c>
      <c r="ET257">
        <f>IF(ISBLANK('Data Entry'!$Ö$257), "", 'Data Entry'!$Ö$257)</f>
      </c>
      <c r="EU257">
        <f>IF(ISBLANK('Data Entry'!$×$257), "", 'Data Entry'!$×$257)</f>
      </c>
      <c r="EV257">
        <f>IF(ISBLANK('Data Entry'!$Ø$257), "", 'Data Entry'!$Ø$257)</f>
      </c>
      <c r="EW257">
        <f>IF(ISBLANK('Data Entry'!$Ù$257), "", 'Data Entry'!$Ù$257)</f>
      </c>
      <c r="EX257">
        <f>IF(ISBLANK('Data Entry'!$Ú$257), "", 'Data Entry'!$Ú$257)</f>
      </c>
      <c r="EY257">
        <f>IF(ISBLANK('Data Entry'!$Û$257), "", 'Data Entry'!$Û$257)</f>
      </c>
      <c r="EZ257">
        <f>IF(ISBLANK('Data Entry'!$Ü$257), "", 'Data Entry'!$Ü$257)</f>
      </c>
      <c r="FA257">
        <f>IF(ISBLANK('Data Entry'!$Ý$257), "", 'Data Entry'!$Ý$257)</f>
      </c>
      <c r="FB257">
        <f>IF(ISBLANK('Data Entry'!$Þ$257), "", 'Data Entry'!$Þ$257)</f>
      </c>
      <c r="FC257">
        <f>IF(ISBLANK('Data Entry'!$ß$257), "", 'Data Entry'!$ß$257)</f>
      </c>
      <c r="FD257">
        <f>IF(ISBLANK('Data Entry'!$à$257), "", 'Data Entry'!$à$257)</f>
      </c>
      <c r="FE257">
        <f>IF(ISBLANK('Data Entry'!$á$257), "", 'Data Entry'!$á$257)</f>
      </c>
      <c r="FF257">
        <f>IF(ISBLANK('Data Entry'!$â$257), "", 'Data Entry'!$â$257)</f>
      </c>
      <c r="FG257">
        <f>IF(ISBLANK('Data Entry'!$ã$257), "", 'Data Entry'!$ã$257)</f>
      </c>
      <c r="FH257">
        <f>IF(ISBLANK('Data Entry'!$ä$257), "", 'Data Entry'!$ä$257)</f>
      </c>
      <c r="FI257">
        <f>IF(ISBLANK('Data Entry'!$å$257), "", 'Data Entry'!$å$257)</f>
      </c>
      <c r="FJ257">
        <f>IF(ISBLANK('Data Entry'!$æ$257), "", 'Data Entry'!$æ$257)</f>
      </c>
      <c r="FK257">
        <f>IF(ISBLANK('Data Entry'!$ç$257), "", 'Data Entry'!$ç$257)</f>
      </c>
      <c r="FL257">
        <f>IF(ISBLANK('Data Entry'!$è$257), "", 'Data Entry'!$è$257)</f>
      </c>
      <c r="FM257">
        <f>IF(ISBLANK('Data Entry'!$é$257), "", 'Data Entry'!$é$257)</f>
      </c>
      <c r="FN257">
        <f>IF(ISBLANK('Data Entry'!$ê$257), "", 'Data Entry'!$ê$257)</f>
      </c>
      <c r="FO257">
        <f>IF(ISBLANK('Data Entry'!$ë$257), "", 'Data Entry'!$ë$257)</f>
      </c>
      <c r="FP257">
        <f>IF(ISBLANK('Data Entry'!$ì$257), "", 'Data Entry'!$ì$257)</f>
      </c>
      <c r="FQ257">
        <f>IF(ISBLANK('Data Entry'!$í$257), "", 'Data Entry'!$í$257)</f>
      </c>
      <c r="FR257">
        <f>IF(ISBLANK('Data Entry'!$î$257), "", 'Data Entry'!$î$257)</f>
      </c>
      <c r="FS257">
        <f>IF(ISBLANK('Data Entry'!$ï$257), "", 'Data Entry'!$ï$257)</f>
      </c>
      <c r="FT257">
        <f>IF(ISBLANK('Data Entry'!$ð$257), "", 'Data Entry'!$ð$257)</f>
      </c>
      <c r="FU257">
        <f>IF(ISBLANK('Data Entry'!$ñ$257), "", 'Data Entry'!$ñ$257)</f>
      </c>
      <c r="FV257">
        <f>IF(ISBLANK('Data Entry'!$ò$257), "", 'Data Entry'!$ò$257)</f>
      </c>
      <c r="FW257">
        <f>IF(ISBLANK('Data Entry'!$ó$257), "", 'Data Entry'!$ó$257)</f>
      </c>
      <c r="FX257">
        <f>IF(ISBLANK('Data Entry'!$ô$257), "", 'Data Entry'!$ô$257)</f>
      </c>
      <c r="FY257">
        <f>IF(ISBLANK('Data Entry'!$õ$257), "", 'Data Entry'!$õ$257)</f>
      </c>
      <c r="FZ257">
        <f>IF(ISBLANK('Data Entry'!$ö$257), "", 'Data Entry'!$ö$257)</f>
      </c>
      <c r="GA257">
        <f>IF(ISBLANK('Data Entry'!$÷$257), "", 'Data Entry'!$÷$257)</f>
      </c>
      <c r="GB257">
        <f>IF(ISBLANK('Data Entry'!$ø$257), "", 'Data Entry'!$ø$257)</f>
      </c>
      <c r="GC257">
        <f>IF(ISBLANK('Data Entry'!$ù$257), "", 'Data Entry'!$ù$257)</f>
      </c>
      <c r="GD257">
        <f>IF(ISBLANK('Data Entry'!$ú$257), "", 'Data Entry'!$ú$257)</f>
      </c>
      <c r="GE257">
        <f>IF(ISBLANK('Data Entry'!$û$257), "", 'Data Entry'!$û$257)</f>
      </c>
      <c r="GF257">
        <f>IF(ISBLANK('Data Entry'!$ü$257), "", 'Data Entry'!$ü$257)</f>
      </c>
      <c r="GG257">
        <f>IF(ISBLANK('Data Entry'!$ý$257), "", 'Data Entry'!$ý$257)</f>
      </c>
      <c r="GH257">
        <f>IF(ISBLANK('Data Entry'!$þ$257), "", 'Data Entry'!$þ$257)</f>
      </c>
      <c r="GI257">
        <f>IF(ISBLANK('Data Entry'!$ÿ$257), "", 'Data Entry'!$ÿ$257)</f>
      </c>
      <c r="GJ257">
        <f>IF(ISBLANK('Data Entry'!$Ā$257), "", 'Data Entry'!$Ā$257)</f>
      </c>
      <c r="GK257">
        <f>IF(ISBLANK('Data Entry'!$ā$257), "", 'Data Entry'!$ā$257)</f>
      </c>
      <c r="GL257">
        <f>IF(ISBLANK('Data Entry'!$Ă$257), "", 'Data Entry'!$Ă$257)</f>
      </c>
      <c r="GM257">
        <f>IF(ISBLANK('Data Entry'!$ă$257), "", 'Data Entry'!$ă$257)</f>
      </c>
      <c r="GN257">
        <f>IF(ISBLANK('Data Entry'!$Ą$257), "", 'Data Entry'!$Ą$257)</f>
      </c>
      <c r="GO257">
        <f>IF(ISBLANK('Data Entry'!$ą$257), "", 'Data Entry'!$ą$257)</f>
      </c>
      <c r="GP257">
        <f>IF(ISBLANK('Data Entry'!$Ć$257), "", 'Data Entry'!$Ć$257)</f>
      </c>
      <c r="GQ257">
        <f>IF(ISBLANK('Data Entry'!$ć$257), "", 'Data Entry'!$ć$257)</f>
      </c>
      <c r="GR257">
        <f>IF(ISBLANK('Data Entry'!$Ĉ$257), "", 'Data Entry'!$Ĉ$257)</f>
      </c>
      <c r="GS257">
        <f>IF(ISBLANK('Data Entry'!$ĉ$257), "", 'Data Entry'!$ĉ$257)</f>
      </c>
      <c r="GT257">
        <f>IF(ISBLANK('Data Entry'!$Ċ$257), "", 'Data Entry'!$Ċ$257)</f>
      </c>
      <c r="GU257">
        <f>IF(ISBLANK('Data Entry'!$ċ$257), "", 'Data Entry'!$ċ$257)</f>
      </c>
      <c r="GV257">
        <f>IF(ISBLANK('Data Entry'!$Č$257), "", 'Data Entry'!$Č$257)</f>
      </c>
      <c r="GW257">
        <f>IF(ISBLANK('Data Entry'!$č$257), "", 'Data Entry'!$č$257)</f>
      </c>
      <c r="GX257">
        <f>IF(ISBLANK('Data Entry'!$Ď$257), "", 'Data Entry'!$Ď$257)</f>
      </c>
      <c r="GY257">
        <f>IF(ISBLANK('Data Entry'!$ď$257), "", 'Data Entry'!$ď$257)</f>
      </c>
      <c r="GZ257">
        <f>IF(ISBLANK('Data Entry'!$Đ$257), "", 'Data Entry'!$Đ$257)</f>
      </c>
      <c r="HA257">
        <f>IF(ISBLANK('Data Entry'!$đ$257), "", 'Data Entry'!$đ$257)</f>
      </c>
      <c r="HB257">
        <f>IF(ISBLANK('Data Entry'!$Ē$257), "", 'Data Entry'!$Ē$257)</f>
      </c>
      <c r="HC257">
        <f>IF(ISBLANK('Data Entry'!$ē$257), "", 'Data Entry'!$ē$257)</f>
      </c>
      <c r="HD257">
        <f>IF(ISBLANK('Data Entry'!$Ĕ$257), "", 'Data Entry'!$Ĕ$257)</f>
      </c>
      <c r="HE257">
        <f>IF(ISBLANK('Data Entry'!$ĕ$257), "", 'Data Entry'!$ĕ$257)</f>
      </c>
      <c r="HF257">
        <f>IF(ISBLANK('Data Entry'!$Ė$257), "", 'Data Entry'!$Ė$257)</f>
      </c>
      <c r="HG257">
        <f>IF(ISBLANK('Data Entry'!$ė$257), "", 'Data Entry'!$ė$257)</f>
      </c>
      <c r="HH257">
        <f>IF(ISBLANK('Data Entry'!$Ę$257), "", 'Data Entry'!$Ę$257)</f>
      </c>
      <c r="HI257">
        <f>IF(ISBLANK('Data Entry'!$ę$257), "", 'Data Entry'!$ę$257)</f>
      </c>
      <c r="HJ257">
        <f>IF(ISBLANK('Data Entry'!$Ě$257), "", 'Data Entry'!$Ě$257)</f>
      </c>
      <c r="HK257">
        <f>IF(ISBLANK('Data Entry'!$ě$257), "", 'Data Entry'!$ě$257)</f>
      </c>
      <c r="HL257">
        <f>IF(ISBLANK('Data Entry'!$Ĝ$257), "", 'Data Entry'!$Ĝ$257)</f>
      </c>
      <c r="HM257">
        <f>IF(ISBLANK('Data Entry'!$ĝ$257), "", 'Data Entry'!$ĝ$257)</f>
      </c>
      <c r="HN257">
        <f>IF(ISBLANK('Data Entry'!$Ğ$257), "", 'Data Entry'!$Ğ$257)</f>
      </c>
      <c r="HO257">
        <f>IF(ISBLANK('Data Entry'!$ğ$257), "", 'Data Entry'!$ğ$257)</f>
      </c>
      <c r="HP257">
        <f>IF(ISBLANK('Data Entry'!$Ġ$257), "", 'Data Entry'!$Ġ$257)</f>
      </c>
      <c r="HQ257">
        <f>IF(ISBLANK('Data Entry'!$ġ$257), "", 'Data Entry'!$ġ$257)</f>
      </c>
      <c r="HR257">
        <f>IF(ISBLANK('Data Entry'!$Ģ$257), "", 'Data Entry'!$Ģ$257)</f>
      </c>
      <c r="HS257">
        <f>IF(ISBLANK('Data Entry'!$ģ$257), "", 'Data Entry'!$ģ$257)</f>
      </c>
      <c r="HT257">
        <f>IF(ISBLANK('Data Entry'!$Ĥ$257), "", 'Data Entry'!$Ĥ$257)</f>
      </c>
      <c r="HU257">
        <f>IF(ISBLANK('Data Entry'!$ĥ$257), "", 'Data Entry'!$ĥ$257)</f>
      </c>
      <c r="HV257">
        <f>IF(ISBLANK('Data Entry'!$Ħ$257), "", 'Data Entry'!$Ħ$257)</f>
      </c>
      <c r="HW257">
        <f>IF(ISBLANK('Data Entry'!$ħ$257), "", 'Data Entry'!$ħ$257)</f>
      </c>
      <c r="HX257">
        <f>IF(ISBLANK('Data Entry'!$Ĩ$257), "", 'Data Entry'!$Ĩ$257)</f>
      </c>
      <c r="HY257">
        <f>IF(ISBLANK('Data Entry'!$ĩ$257), "", 'Data Entry'!$ĩ$257)</f>
      </c>
      <c r="HZ257">
        <f>IF(ISBLANK('Data Entry'!$Ī$257), "", 'Data Entry'!$Ī$257)</f>
      </c>
      <c r="IA257">
        <f>IF(ISBLANK('Data Entry'!$ī$257), "", 'Data Entry'!$ī$257)</f>
      </c>
      <c r="IB257">
        <f>IF(ISBLANK('Data Entry'!$Ĭ$257), "", 'Data Entry'!$Ĭ$257)</f>
      </c>
      <c r="IC257">
        <f>IF(ISBLANK('Data Entry'!$ĭ$257), "", 'Data Entry'!$ĭ$257)</f>
      </c>
      <c r="ID257">
        <f>IF(ISBLANK('Data Entry'!$Į$257), "", 'Data Entry'!$Į$257)</f>
      </c>
      <c r="IE257">
        <f>IF(ISBLANK('Data Entry'!$į$257), "", 'Data Entry'!$į$257)</f>
      </c>
      <c r="IF257">
        <f>IF(ISBLANK('Data Entry'!$İ$257), "", 'Data Entry'!$İ$257)</f>
      </c>
      <c r="IG257">
        <f>IF(ISBLANK('Data Entry'!$ı$257), "", 'Data Entry'!$ı$257)</f>
      </c>
      <c r="IH257">
        <f>IF(ISBLANK('Data Entry'!$Ĳ$257), "", 'Data Entry'!$Ĳ$257)</f>
      </c>
      <c r="II257">
        <f>IF(ISBLANK('Data Entry'!$ĳ$257), "", 'Data Entry'!$ĳ$257)</f>
      </c>
      <c r="IJ257">
        <f>IF(ISBLANK('Data Entry'!$Ĵ$257), "", 'Data Entry'!$Ĵ$257)</f>
      </c>
      <c r="IK257">
        <f>IF(ISBLANK('Data Entry'!$ĵ$257), "", 'Data Entry'!$ĵ$257)</f>
      </c>
      <c r="IL257">
        <f>IF(ISBLANK('Data Entry'!$Ķ$257), "", 'Data Entry'!$Ķ$257)</f>
      </c>
      <c r="IM257">
        <f>IF(ISBLANK('Data Entry'!$ķ$257), "", 'Data Entry'!$ķ$257)</f>
      </c>
      <c r="IN257">
        <f>IF(ISBLANK('Data Entry'!$ĸ$257), "", 'Data Entry'!$ĸ$257)</f>
      </c>
      <c r="IO257">
        <f>IF(ISBLANK('Data Entry'!$Ĺ$257), "", 'Data Entry'!$Ĺ$257)</f>
      </c>
      <c r="IP257">
        <f>IF(ISBLANK('Data Entry'!$ĺ$257), "", 'Data Entry'!$ĺ$257)</f>
      </c>
      <c r="IQ257">
        <f>IF(ISBLANK('Data Entry'!$Ļ$257), "", 'Data Entry'!$Ļ$257)</f>
      </c>
      <c r="IR257">
        <f>IF(ISBLANK('Data Entry'!$ļ$257), "", 'Data Entry'!$ļ$257)</f>
      </c>
      <c r="IS257">
        <f>IF(ISBLANK('Data Entry'!$Ľ$257), "", 'Data Entry'!$Ľ$257)</f>
      </c>
      <c r="IT257">
        <f>IF(ISBLANK('Data Entry'!$ľ$257), "", 'Data Entry'!$ľ$257)</f>
      </c>
    </row>
    <row r="258" spans="1:254" x14ac:dyDescent="0.25">
      <c r="A258">
        <f>IF(ISBLANK('Data Entry'!$A$258), "", 'Data Entry'!$A$258)</f>
      </c>
      <c r="B258">
        <f>IF(ISBLANK('Data Entry'!$B$258), "", 'Data Entry'!$B$258)</f>
      </c>
      <c r="C258">
        <f>IF(ISBLANK('Data Entry'!$C$258), "", 'Data Entry'!$C$258)</f>
      </c>
      <c r="D258">
        <f>IF(ISBLANK('Data Entry'!$D$258), "", 'Data Entry'!$D$258)</f>
      </c>
      <c r="E258">
        <f>IF(ISBLANK('Data Entry'!$E$258), "", 'Data Entry'!$E$258)</f>
      </c>
      <c r="F258">
        <f>IF(ISBLANK('Data Entry'!$F$258), "", 'Data Entry'!$F$258)</f>
      </c>
      <c r="G258">
        <f>IF(ISBLANK('Data Entry'!$G$258), "", 'Data Entry'!$G$258)</f>
      </c>
      <c r="H258">
        <f>IF(ISBLANK('Data Entry'!$H$258), "", 'Data Entry'!$H$258)</f>
      </c>
      <c r="I258">
        <f>IF(ISBLANK('Data Entry'!$I$258), "", 'Data Entry'!$I$258)</f>
      </c>
      <c r="J258">
        <f>IF(ISBLANK('Data Entry'!$J$258), "", 'Data Entry'!$J$258)</f>
      </c>
      <c r="K258">
        <f>IF(ISBLANK('Data Entry'!$K$258), "", 'Data Entry'!$K$258)</f>
      </c>
      <c r="L258">
        <f>IF(ISBLANK('Data Entry'!$L$258), "", 'Data Entry'!$L$258)</f>
      </c>
      <c r="M258">
        <f>IF(ISBLANK('Data Entry'!$M$258), "", 'Data Entry'!$M$258)</f>
      </c>
      <c r="N258">
        <f>IF(ISBLANK('Data Entry'!$N$258), "", 'Data Entry'!$N$258)</f>
      </c>
      <c r="O258">
        <f>IF(ISBLANK('Data Entry'!$O$258), "", 'Data Entry'!$O$258)</f>
      </c>
      <c r="P258">
        <f>IF(ISBLANK('Data Entry'!$P$258), "", 'Data Entry'!$P$258)</f>
      </c>
      <c r="Q258">
        <f>IF(ISBLANK('Data Entry'!$Q$258), "", 'Data Entry'!$Q$258)</f>
      </c>
      <c r="R258">
        <f>IF(ISBLANK('Data Entry'!$R$258), "", 'Data Entry'!$R$258)</f>
      </c>
      <c r="S258">
        <f>IF(ISBLANK('Data Entry'!$S$258), "", 'Data Entry'!$S$258)</f>
      </c>
      <c r="T258">
        <f>IF(ISBLANK('Data Entry'!$T$258), "", 'Data Entry'!$T$258)</f>
      </c>
      <c r="U258">
        <f>IF(ISBLANK('Data Entry'!$U$258), "", 'Data Entry'!$U$258)</f>
      </c>
      <c r="V258">
        <f>IF(ISBLANK('Data Entry'!$V$258), "", 'Data Entry'!$V$258)</f>
      </c>
      <c r="W258">
        <f>IF(ISBLANK('Data Entry'!$W$258), "", 'Data Entry'!$W$258)</f>
      </c>
      <c r="X258">
        <f>IF(ISBLANK('Data Entry'!$X$258), "", 'Data Entry'!$X$258)</f>
      </c>
      <c r="Y258">
        <f>IF(ISBLANK('Data Entry'!$Y$258), "", 'Data Entry'!$Y$258)</f>
      </c>
      <c r="Z258">
        <f>IF(ISBLANK('Data Entry'!$Z$258), "", 'Data Entry'!$Z$258)</f>
      </c>
      <c r="AA258">
        <f>IF(ISBLANK('Data Entry'!$[$258), "", 'Data Entry'!$[$258)</f>
      </c>
      <c r="AB258">
        <f>IF(ISBLANK('Data Entry'!$\$258), "", 'Data Entry'!$\$258)</f>
      </c>
      <c r="AC258">
        <f>IF(ISBLANK('Data Entry'!$]$258), "", 'Data Entry'!$]$258)</f>
      </c>
      <c r="AD258">
        <f>IF(ISBLANK('Data Entry'!$^$258), "", 'Data Entry'!$^$258)</f>
      </c>
      <c r="AE258">
        <f>IF(ISBLANK('Data Entry'!$_$258), "", 'Data Entry'!$_$258)</f>
      </c>
      <c r="AF258">
        <f>IF(ISBLANK('Data Entry'!$`$258), "", 'Data Entry'!$`$258)</f>
      </c>
      <c r="AG258">
        <f>IF(ISBLANK('Data Entry'!$a$258), "", 'Data Entry'!$a$258)</f>
      </c>
      <c r="AH258">
        <f>IF(ISBLANK('Data Entry'!$b$258), "", 'Data Entry'!$b$258)</f>
      </c>
      <c r="AI258">
        <f>IF(ISBLANK('Data Entry'!$c$258), "", 'Data Entry'!$c$258)</f>
      </c>
      <c r="AJ258">
        <f>IF(ISBLANK('Data Entry'!$d$258), "", 'Data Entry'!$d$258)</f>
      </c>
      <c r="AK258">
        <f>IF(ISBLANK('Data Entry'!$e$258), "", 'Data Entry'!$e$258)</f>
      </c>
      <c r="AL258">
        <f>IF(ISBLANK('Data Entry'!$f$258), "", 'Data Entry'!$f$258)</f>
      </c>
      <c r="AM258">
        <f>IF(ISBLANK('Data Entry'!$g$258), "", 'Data Entry'!$g$258)</f>
      </c>
      <c r="AN258">
        <f>IF(ISBLANK('Data Entry'!$h$258), "", 'Data Entry'!$h$258)</f>
      </c>
      <c r="AO258">
        <f>IF(ISBLANK('Data Entry'!$i$258), "", 'Data Entry'!$i$258)</f>
      </c>
      <c r="AP258">
        <f>IF(ISBLANK('Data Entry'!$j$258), "", 'Data Entry'!$j$258)</f>
      </c>
      <c r="AQ258">
        <f>IF(ISBLANK('Data Entry'!$k$258), "", 'Data Entry'!$k$258)</f>
      </c>
      <c r="AR258">
        <f>IF(ISBLANK('Data Entry'!$l$258), "", 'Data Entry'!$l$258)</f>
      </c>
      <c r="AS258">
        <f>IF(ISBLANK('Data Entry'!$m$258), "", 'Data Entry'!$m$258)</f>
      </c>
      <c r="AT258">
        <f>IF(ISBLANK('Data Entry'!$n$258), "", 'Data Entry'!$n$258)</f>
      </c>
      <c r="AU258">
        <f>IF(ISBLANK('Data Entry'!$o$258), "", 'Data Entry'!$o$258)</f>
      </c>
      <c r="AV258">
        <f>IF(ISBLANK('Data Entry'!$p$258), "", 'Data Entry'!$p$258)</f>
      </c>
      <c r="AW258">
        <f>IF(ISBLANK('Data Entry'!$q$258), "", 'Data Entry'!$q$258)</f>
      </c>
      <c r="AX258">
        <f>IF(ISBLANK('Data Entry'!$r$258), "", 'Data Entry'!$r$258)</f>
      </c>
      <c r="AY258">
        <f>IF(ISBLANK('Data Entry'!$s$258), "", 'Data Entry'!$s$258)</f>
      </c>
      <c r="AZ258">
        <f>IF(ISBLANK('Data Entry'!$t$258), "", 'Data Entry'!$t$258)</f>
      </c>
      <c r="BA258">
        <f>IF(ISBLANK('Data Entry'!$u$258), "", 'Data Entry'!$u$258)</f>
      </c>
      <c r="BB258">
        <f>IF(ISBLANK('Data Entry'!$v$258), "", 'Data Entry'!$v$258)</f>
      </c>
      <c r="BC258">
        <f>IF(ISBLANK('Data Entry'!$w$258), "", 'Data Entry'!$w$258)</f>
      </c>
      <c r="BD258">
        <f>IF(ISBLANK('Data Entry'!$x$258), "", 'Data Entry'!$x$258)</f>
      </c>
      <c r="BE258">
        <f>IF(ISBLANK('Data Entry'!$y$258), "", 'Data Entry'!$y$258)</f>
      </c>
      <c r="BF258">
        <f>IF(ISBLANK('Data Entry'!$z$258), "", 'Data Entry'!$z$258)</f>
      </c>
      <c r="BG258">
        <f>IF(ISBLANK('Data Entry'!${$258), "", 'Data Entry'!${$258)</f>
      </c>
      <c r="BH258">
        <f>IF(ISBLANK('Data Entry'!$|$258), "", 'Data Entry'!$|$258)</f>
      </c>
      <c r="BI258">
        <f>IF(ISBLANK('Data Entry'!$}$258), "", 'Data Entry'!$}$258)</f>
      </c>
      <c r="BJ258">
        <f>IF(ISBLANK('Data Entry'!$~$258), "", 'Data Entry'!$~$258)</f>
      </c>
      <c r="BK258">
        <f>IF(ISBLANK('Data Entry'!$$258), "", 'Data Entry'!$$258)</f>
      </c>
      <c r="BL258">
        <f>IF(ISBLANK('Data Entry'!$$258), "", 'Data Entry'!$$258)</f>
      </c>
      <c r="BM258">
        <f>IF(ISBLANK('Data Entry'!$$258), "", 'Data Entry'!$$258)</f>
      </c>
      <c r="BN258">
        <f>IF(ISBLANK('Data Entry'!$$258), "", 'Data Entry'!$$258)</f>
      </c>
      <c r="BO258">
        <f>IF(ISBLANK('Data Entry'!$$258), "", 'Data Entry'!$$258)</f>
      </c>
      <c r="BP258">
        <f>IF(ISBLANK('Data Entry'!$$258), "", 'Data Entry'!$$258)</f>
      </c>
      <c r="BQ258">
        <f>IF(ISBLANK('Data Entry'!$$258), "", 'Data Entry'!$$258)</f>
      </c>
      <c r="BR258">
        <f>IF(ISBLANK('Data Entry'!$$258), "", 'Data Entry'!$$258)</f>
      </c>
      <c r="BS258">
        <f>IF(ISBLANK('Data Entry'!$$258), "", 'Data Entry'!$$258)</f>
      </c>
      <c r="BT258">
        <f>IF(ISBLANK('Data Entry'!$$258), "", 'Data Entry'!$$258)</f>
      </c>
      <c r="BU258">
        <f>IF(ISBLANK('Data Entry'!$$258), "", 'Data Entry'!$$258)</f>
      </c>
      <c r="BV258">
        <f>IF(ISBLANK('Data Entry'!$$258), "", 'Data Entry'!$$258)</f>
      </c>
      <c r="BW258">
        <f>IF(ISBLANK('Data Entry'!$$258), "", 'Data Entry'!$$258)</f>
      </c>
      <c r="BX258">
        <f>IF(ISBLANK('Data Entry'!$$258), "", 'Data Entry'!$$258)</f>
      </c>
      <c r="BY258">
        <f>IF(ISBLANK('Data Entry'!$$258), "", 'Data Entry'!$$258)</f>
      </c>
      <c r="BZ258">
        <f>IF(ISBLANK('Data Entry'!$$258), "", 'Data Entry'!$$258)</f>
      </c>
      <c r="CA258">
        <f>IF(ISBLANK('Data Entry'!$$258), "", 'Data Entry'!$$258)</f>
      </c>
      <c r="CB258">
        <f>IF(ISBLANK('Data Entry'!$$258), "", 'Data Entry'!$$258)</f>
      </c>
      <c r="CC258">
        <f>IF(ISBLANK('Data Entry'!$$258), "", 'Data Entry'!$$258)</f>
      </c>
      <c r="CD258">
        <f>IF(ISBLANK('Data Entry'!$$258), "", 'Data Entry'!$$258)</f>
      </c>
      <c r="CE258">
        <f>IF(ISBLANK('Data Entry'!$$258), "", 'Data Entry'!$$258)</f>
      </c>
      <c r="CF258">
        <f>IF(ISBLANK('Data Entry'!$$258), "", 'Data Entry'!$$258)</f>
      </c>
      <c r="CG258">
        <f>IF(ISBLANK('Data Entry'!$$258), "", 'Data Entry'!$$258)</f>
      </c>
      <c r="CH258">
        <f>IF(ISBLANK('Data Entry'!$$258), "", 'Data Entry'!$$258)</f>
      </c>
      <c r="CI258">
        <f>IF(ISBLANK('Data Entry'!$$258), "", 'Data Entry'!$$258)</f>
      </c>
      <c r="CJ258">
        <f>IF(ISBLANK('Data Entry'!$$258), "", 'Data Entry'!$$258)</f>
      </c>
      <c r="CK258">
        <f>IF(ISBLANK('Data Entry'!$$258), "", 'Data Entry'!$$258)</f>
      </c>
      <c r="CL258">
        <f>IF(ISBLANK('Data Entry'!$$258), "", 'Data Entry'!$$258)</f>
      </c>
      <c r="CM258">
        <f>IF(ISBLANK('Data Entry'!$$258), "", 'Data Entry'!$$258)</f>
      </c>
      <c r="CN258">
        <f>IF(ISBLANK('Data Entry'!$$258), "", 'Data Entry'!$$258)</f>
      </c>
      <c r="CO258">
        <f>IF(ISBLANK('Data Entry'!$$258), "", 'Data Entry'!$$258)</f>
      </c>
      <c r="CP258">
        <f>IF(ISBLANK('Data Entry'!$$258), "", 'Data Entry'!$$258)</f>
      </c>
      <c r="CQ258">
        <f>IF(ISBLANK('Data Entry'!$$258), "", 'Data Entry'!$$258)</f>
      </c>
      <c r="CR258">
        <f>IF(ISBLANK('Data Entry'!$ $258), "", 'Data Entry'!$ $258)</f>
      </c>
      <c r="CS258">
        <f>IF(ISBLANK('Data Entry'!$¡$258), "", 'Data Entry'!$¡$258)</f>
      </c>
      <c r="CT258">
        <f>IF(ISBLANK('Data Entry'!$¢$258), "", 'Data Entry'!$¢$258)</f>
      </c>
      <c r="CU258">
        <f>IF(ISBLANK('Data Entry'!$£$258), "", 'Data Entry'!$£$258)</f>
      </c>
      <c r="CV258">
        <f>IF(ISBLANK('Data Entry'!$¤$258), "", 'Data Entry'!$¤$258)</f>
      </c>
      <c r="CW258">
        <f>IF(ISBLANK('Data Entry'!$¥$258), "", 'Data Entry'!$¥$258)</f>
      </c>
      <c r="CX258">
        <f>IF(ISBLANK('Data Entry'!$¦$258), "", 'Data Entry'!$¦$258)</f>
      </c>
      <c r="CY258">
        <f>IF(ISBLANK('Data Entry'!$§$258), "", 'Data Entry'!$§$258)</f>
      </c>
      <c r="CZ258">
        <f>IF(ISBLANK('Data Entry'!$¨$258), "", 'Data Entry'!$¨$258)</f>
      </c>
      <c r="DA258">
        <f>IF(ISBLANK('Data Entry'!$©$258), "", 'Data Entry'!$©$258)</f>
      </c>
      <c r="DB258">
        <f>IF(ISBLANK('Data Entry'!$ª$258), "", 'Data Entry'!$ª$258)</f>
      </c>
      <c r="DC258">
        <f>IF(ISBLANK('Data Entry'!$«$258), "", 'Data Entry'!$«$258)</f>
      </c>
      <c r="DD258">
        <f>IF(ISBLANK('Data Entry'!$¬$258), "", 'Data Entry'!$¬$258)</f>
      </c>
      <c r="DE258">
        <f>IF(ISBLANK('Data Entry'!$­$258), "", 'Data Entry'!$­$258)</f>
      </c>
      <c r="DF258">
        <f>IF(ISBLANK('Data Entry'!$®$258), "", 'Data Entry'!$®$258)</f>
      </c>
      <c r="DG258">
        <f>IF(ISBLANK('Data Entry'!$¯$258), "", 'Data Entry'!$¯$258)</f>
      </c>
      <c r="DH258">
        <f>IF(ISBLANK('Data Entry'!$°$258), "", 'Data Entry'!$°$258)</f>
      </c>
      <c r="DI258">
        <f>IF(ISBLANK('Data Entry'!$±$258), "", 'Data Entry'!$±$258)</f>
      </c>
      <c r="DJ258">
        <f>IF(ISBLANK('Data Entry'!$²$258), "", 'Data Entry'!$²$258)</f>
      </c>
      <c r="DK258">
        <f>IF(ISBLANK('Data Entry'!$³$258), "", 'Data Entry'!$³$258)</f>
      </c>
      <c r="DL258">
        <f>IF(ISBLANK('Data Entry'!$´$258), "", 'Data Entry'!$´$258)</f>
      </c>
      <c r="DM258">
        <f>IF(ISBLANK('Data Entry'!$µ$258), "", 'Data Entry'!$µ$258)</f>
      </c>
      <c r="DN258">
        <f>IF(ISBLANK('Data Entry'!$¶$258), "", 'Data Entry'!$¶$258)</f>
      </c>
      <c r="DO258">
        <f>IF(ISBLANK('Data Entry'!$·$258), "", 'Data Entry'!$·$258)</f>
      </c>
      <c r="DP258">
        <f>IF(ISBLANK('Data Entry'!$¸$258), "", 'Data Entry'!$¸$258)</f>
      </c>
      <c r="DQ258">
        <f>IF(ISBLANK('Data Entry'!$¹$258), "", 'Data Entry'!$¹$258)</f>
      </c>
      <c r="DR258">
        <f>IF(ISBLANK('Data Entry'!$º$258), "", 'Data Entry'!$º$258)</f>
      </c>
      <c r="DS258">
        <f>IF(ISBLANK('Data Entry'!$»$258), "", 'Data Entry'!$»$258)</f>
      </c>
      <c r="DT258">
        <f>IF(ISBLANK('Data Entry'!$¼$258), "", 'Data Entry'!$¼$258)</f>
      </c>
      <c r="DU258">
        <f>IF(ISBLANK('Data Entry'!$½$258), "", 'Data Entry'!$½$258)</f>
      </c>
      <c r="DV258">
        <f>IF(ISBLANK('Data Entry'!$¾$258), "", 'Data Entry'!$¾$258)</f>
      </c>
      <c r="DW258">
        <f>IF(ISBLANK('Data Entry'!$¿$258), "", 'Data Entry'!$¿$258)</f>
      </c>
      <c r="DX258">
        <f>IF(ISBLANK('Data Entry'!$À$258), "", 'Data Entry'!$À$258)</f>
      </c>
      <c r="DY258">
        <f>IF(ISBLANK('Data Entry'!$Á$258), "", 'Data Entry'!$Á$258)</f>
      </c>
      <c r="DZ258">
        <f>IF(ISBLANK('Data Entry'!$Â$258), "", 'Data Entry'!$Â$258)</f>
      </c>
      <c r="EA258">
        <f>IF(ISBLANK('Data Entry'!$Ã$258), "", 'Data Entry'!$Ã$258)</f>
      </c>
      <c r="EB258">
        <f>IF(ISBLANK('Data Entry'!$Ä$258), "", 'Data Entry'!$Ä$258)</f>
      </c>
      <c r="EC258">
        <f>IF(ISBLANK('Data Entry'!$Å$258), "", 'Data Entry'!$Å$258)</f>
      </c>
      <c r="ED258">
        <f>IF(ISBLANK('Data Entry'!$Æ$258), "", 'Data Entry'!$Æ$258)</f>
      </c>
      <c r="EE258">
        <f>IF(ISBLANK('Data Entry'!$Ç$258), "", 'Data Entry'!$Ç$258)</f>
      </c>
      <c r="EF258">
        <f>IF(ISBLANK('Data Entry'!$È$258), "", 'Data Entry'!$È$258)</f>
      </c>
      <c r="EG258">
        <f>IF(ISBLANK('Data Entry'!$É$258), "", 'Data Entry'!$É$258)</f>
      </c>
      <c r="EH258">
        <f>IF(ISBLANK('Data Entry'!$Ê$258), "", 'Data Entry'!$Ê$258)</f>
      </c>
      <c r="EI258">
        <f>IF(ISBLANK('Data Entry'!$Ë$258), "", 'Data Entry'!$Ë$258)</f>
      </c>
      <c r="EJ258">
        <f>IF(ISBLANK('Data Entry'!$Ì$258), "", 'Data Entry'!$Ì$258)</f>
      </c>
      <c r="EK258">
        <f>IF(ISBLANK('Data Entry'!$Í$258), "", 'Data Entry'!$Í$258)</f>
      </c>
      <c r="EL258">
        <f>IF(ISBLANK('Data Entry'!$Î$258), "", 'Data Entry'!$Î$258)</f>
      </c>
      <c r="EM258">
        <f>IF(ISBLANK('Data Entry'!$Ï$258), "", 'Data Entry'!$Ï$258)</f>
      </c>
      <c r="EN258">
        <f>IF(ISBLANK('Data Entry'!$Ð$258), "", 'Data Entry'!$Ð$258)</f>
      </c>
      <c r="EO258">
        <f>IF(ISBLANK('Data Entry'!$Ñ$258), "", 'Data Entry'!$Ñ$258)</f>
      </c>
      <c r="EP258">
        <f>IF(ISBLANK('Data Entry'!$Ò$258), "", 'Data Entry'!$Ò$258)</f>
      </c>
      <c r="EQ258">
        <f>IF(ISBLANK('Data Entry'!$Ó$258), "", 'Data Entry'!$Ó$258)</f>
      </c>
      <c r="ER258">
        <f>IF(ISBLANK('Data Entry'!$Ô$258), "", 'Data Entry'!$Ô$258)</f>
      </c>
      <c r="ES258">
        <f>IF(ISBLANK('Data Entry'!$Õ$258), "", 'Data Entry'!$Õ$258)</f>
      </c>
      <c r="ET258">
        <f>IF(ISBLANK('Data Entry'!$Ö$258), "", 'Data Entry'!$Ö$258)</f>
      </c>
      <c r="EU258">
        <f>IF(ISBLANK('Data Entry'!$×$258), "", 'Data Entry'!$×$258)</f>
      </c>
      <c r="EV258">
        <f>IF(ISBLANK('Data Entry'!$Ø$258), "", 'Data Entry'!$Ø$258)</f>
      </c>
      <c r="EW258">
        <f>IF(ISBLANK('Data Entry'!$Ù$258), "", 'Data Entry'!$Ù$258)</f>
      </c>
      <c r="EX258">
        <f>IF(ISBLANK('Data Entry'!$Ú$258), "", 'Data Entry'!$Ú$258)</f>
      </c>
      <c r="EY258">
        <f>IF(ISBLANK('Data Entry'!$Û$258), "", 'Data Entry'!$Û$258)</f>
      </c>
      <c r="EZ258">
        <f>IF(ISBLANK('Data Entry'!$Ü$258), "", 'Data Entry'!$Ü$258)</f>
      </c>
      <c r="FA258">
        <f>IF(ISBLANK('Data Entry'!$Ý$258), "", 'Data Entry'!$Ý$258)</f>
      </c>
      <c r="FB258">
        <f>IF(ISBLANK('Data Entry'!$Þ$258), "", 'Data Entry'!$Þ$258)</f>
      </c>
      <c r="FC258">
        <f>IF(ISBLANK('Data Entry'!$ß$258), "", 'Data Entry'!$ß$258)</f>
      </c>
      <c r="FD258">
        <f>IF(ISBLANK('Data Entry'!$à$258), "", 'Data Entry'!$à$258)</f>
      </c>
      <c r="FE258">
        <f>IF(ISBLANK('Data Entry'!$á$258), "", 'Data Entry'!$á$258)</f>
      </c>
      <c r="FF258">
        <f>IF(ISBLANK('Data Entry'!$â$258), "", 'Data Entry'!$â$258)</f>
      </c>
      <c r="FG258">
        <f>IF(ISBLANK('Data Entry'!$ã$258), "", 'Data Entry'!$ã$258)</f>
      </c>
      <c r="FH258">
        <f>IF(ISBLANK('Data Entry'!$ä$258), "", 'Data Entry'!$ä$258)</f>
      </c>
      <c r="FI258">
        <f>IF(ISBLANK('Data Entry'!$å$258), "", 'Data Entry'!$å$258)</f>
      </c>
      <c r="FJ258">
        <f>IF(ISBLANK('Data Entry'!$æ$258), "", 'Data Entry'!$æ$258)</f>
      </c>
      <c r="FK258">
        <f>IF(ISBLANK('Data Entry'!$ç$258), "", 'Data Entry'!$ç$258)</f>
      </c>
      <c r="FL258">
        <f>IF(ISBLANK('Data Entry'!$è$258), "", 'Data Entry'!$è$258)</f>
      </c>
      <c r="FM258">
        <f>IF(ISBLANK('Data Entry'!$é$258), "", 'Data Entry'!$é$258)</f>
      </c>
      <c r="FN258">
        <f>IF(ISBLANK('Data Entry'!$ê$258), "", 'Data Entry'!$ê$258)</f>
      </c>
      <c r="FO258">
        <f>IF(ISBLANK('Data Entry'!$ë$258), "", 'Data Entry'!$ë$258)</f>
      </c>
      <c r="FP258">
        <f>IF(ISBLANK('Data Entry'!$ì$258), "", 'Data Entry'!$ì$258)</f>
      </c>
      <c r="FQ258">
        <f>IF(ISBLANK('Data Entry'!$í$258), "", 'Data Entry'!$í$258)</f>
      </c>
      <c r="FR258">
        <f>IF(ISBLANK('Data Entry'!$î$258), "", 'Data Entry'!$î$258)</f>
      </c>
      <c r="FS258">
        <f>IF(ISBLANK('Data Entry'!$ï$258), "", 'Data Entry'!$ï$258)</f>
      </c>
      <c r="FT258">
        <f>IF(ISBLANK('Data Entry'!$ð$258), "", 'Data Entry'!$ð$258)</f>
      </c>
      <c r="FU258">
        <f>IF(ISBLANK('Data Entry'!$ñ$258), "", 'Data Entry'!$ñ$258)</f>
      </c>
      <c r="FV258">
        <f>IF(ISBLANK('Data Entry'!$ò$258), "", 'Data Entry'!$ò$258)</f>
      </c>
      <c r="FW258">
        <f>IF(ISBLANK('Data Entry'!$ó$258), "", 'Data Entry'!$ó$258)</f>
      </c>
      <c r="FX258">
        <f>IF(ISBLANK('Data Entry'!$ô$258), "", 'Data Entry'!$ô$258)</f>
      </c>
      <c r="FY258">
        <f>IF(ISBLANK('Data Entry'!$õ$258), "", 'Data Entry'!$õ$258)</f>
      </c>
      <c r="FZ258">
        <f>IF(ISBLANK('Data Entry'!$ö$258), "", 'Data Entry'!$ö$258)</f>
      </c>
      <c r="GA258">
        <f>IF(ISBLANK('Data Entry'!$÷$258), "", 'Data Entry'!$÷$258)</f>
      </c>
      <c r="GB258">
        <f>IF(ISBLANK('Data Entry'!$ø$258), "", 'Data Entry'!$ø$258)</f>
      </c>
      <c r="GC258">
        <f>IF(ISBLANK('Data Entry'!$ù$258), "", 'Data Entry'!$ù$258)</f>
      </c>
      <c r="GD258">
        <f>IF(ISBLANK('Data Entry'!$ú$258), "", 'Data Entry'!$ú$258)</f>
      </c>
      <c r="GE258">
        <f>IF(ISBLANK('Data Entry'!$û$258), "", 'Data Entry'!$û$258)</f>
      </c>
      <c r="GF258">
        <f>IF(ISBLANK('Data Entry'!$ü$258), "", 'Data Entry'!$ü$258)</f>
      </c>
      <c r="GG258">
        <f>IF(ISBLANK('Data Entry'!$ý$258), "", 'Data Entry'!$ý$258)</f>
      </c>
      <c r="GH258">
        <f>IF(ISBLANK('Data Entry'!$þ$258), "", 'Data Entry'!$þ$258)</f>
      </c>
      <c r="GI258">
        <f>IF(ISBLANK('Data Entry'!$ÿ$258), "", 'Data Entry'!$ÿ$258)</f>
      </c>
      <c r="GJ258">
        <f>IF(ISBLANK('Data Entry'!$Ā$258), "", 'Data Entry'!$Ā$258)</f>
      </c>
      <c r="GK258">
        <f>IF(ISBLANK('Data Entry'!$ā$258), "", 'Data Entry'!$ā$258)</f>
      </c>
      <c r="GL258">
        <f>IF(ISBLANK('Data Entry'!$Ă$258), "", 'Data Entry'!$Ă$258)</f>
      </c>
      <c r="GM258">
        <f>IF(ISBLANK('Data Entry'!$ă$258), "", 'Data Entry'!$ă$258)</f>
      </c>
      <c r="GN258">
        <f>IF(ISBLANK('Data Entry'!$Ą$258), "", 'Data Entry'!$Ą$258)</f>
      </c>
      <c r="GO258">
        <f>IF(ISBLANK('Data Entry'!$ą$258), "", 'Data Entry'!$ą$258)</f>
      </c>
      <c r="GP258">
        <f>IF(ISBLANK('Data Entry'!$Ć$258), "", 'Data Entry'!$Ć$258)</f>
      </c>
      <c r="GQ258">
        <f>IF(ISBLANK('Data Entry'!$ć$258), "", 'Data Entry'!$ć$258)</f>
      </c>
      <c r="GR258">
        <f>IF(ISBLANK('Data Entry'!$Ĉ$258), "", 'Data Entry'!$Ĉ$258)</f>
      </c>
      <c r="GS258">
        <f>IF(ISBLANK('Data Entry'!$ĉ$258), "", 'Data Entry'!$ĉ$258)</f>
      </c>
      <c r="GT258">
        <f>IF(ISBLANK('Data Entry'!$Ċ$258), "", 'Data Entry'!$Ċ$258)</f>
      </c>
      <c r="GU258">
        <f>IF(ISBLANK('Data Entry'!$ċ$258), "", 'Data Entry'!$ċ$258)</f>
      </c>
      <c r="GV258">
        <f>IF(ISBLANK('Data Entry'!$Č$258), "", 'Data Entry'!$Č$258)</f>
      </c>
      <c r="GW258">
        <f>IF(ISBLANK('Data Entry'!$č$258), "", 'Data Entry'!$č$258)</f>
      </c>
      <c r="GX258">
        <f>IF(ISBLANK('Data Entry'!$Ď$258), "", 'Data Entry'!$Ď$258)</f>
      </c>
      <c r="GY258">
        <f>IF(ISBLANK('Data Entry'!$ď$258), "", 'Data Entry'!$ď$258)</f>
      </c>
      <c r="GZ258">
        <f>IF(ISBLANK('Data Entry'!$Đ$258), "", 'Data Entry'!$Đ$258)</f>
      </c>
      <c r="HA258">
        <f>IF(ISBLANK('Data Entry'!$đ$258), "", 'Data Entry'!$đ$258)</f>
      </c>
      <c r="HB258">
        <f>IF(ISBLANK('Data Entry'!$Ē$258), "", 'Data Entry'!$Ē$258)</f>
      </c>
      <c r="HC258">
        <f>IF(ISBLANK('Data Entry'!$ē$258), "", 'Data Entry'!$ē$258)</f>
      </c>
      <c r="HD258">
        <f>IF(ISBLANK('Data Entry'!$Ĕ$258), "", 'Data Entry'!$Ĕ$258)</f>
      </c>
      <c r="HE258">
        <f>IF(ISBLANK('Data Entry'!$ĕ$258), "", 'Data Entry'!$ĕ$258)</f>
      </c>
      <c r="HF258">
        <f>IF(ISBLANK('Data Entry'!$Ė$258), "", 'Data Entry'!$Ė$258)</f>
      </c>
      <c r="HG258">
        <f>IF(ISBLANK('Data Entry'!$ė$258), "", 'Data Entry'!$ė$258)</f>
      </c>
      <c r="HH258">
        <f>IF(ISBLANK('Data Entry'!$Ę$258), "", 'Data Entry'!$Ę$258)</f>
      </c>
      <c r="HI258">
        <f>IF(ISBLANK('Data Entry'!$ę$258), "", 'Data Entry'!$ę$258)</f>
      </c>
      <c r="HJ258">
        <f>IF(ISBLANK('Data Entry'!$Ě$258), "", 'Data Entry'!$Ě$258)</f>
      </c>
      <c r="HK258">
        <f>IF(ISBLANK('Data Entry'!$ě$258), "", 'Data Entry'!$ě$258)</f>
      </c>
      <c r="HL258">
        <f>IF(ISBLANK('Data Entry'!$Ĝ$258), "", 'Data Entry'!$Ĝ$258)</f>
      </c>
      <c r="HM258">
        <f>IF(ISBLANK('Data Entry'!$ĝ$258), "", 'Data Entry'!$ĝ$258)</f>
      </c>
      <c r="HN258">
        <f>IF(ISBLANK('Data Entry'!$Ğ$258), "", 'Data Entry'!$Ğ$258)</f>
      </c>
      <c r="HO258">
        <f>IF(ISBLANK('Data Entry'!$ğ$258), "", 'Data Entry'!$ğ$258)</f>
      </c>
      <c r="HP258">
        <f>IF(ISBLANK('Data Entry'!$Ġ$258), "", 'Data Entry'!$Ġ$258)</f>
      </c>
      <c r="HQ258">
        <f>IF(ISBLANK('Data Entry'!$ġ$258), "", 'Data Entry'!$ġ$258)</f>
      </c>
      <c r="HR258">
        <f>IF(ISBLANK('Data Entry'!$Ģ$258), "", 'Data Entry'!$Ģ$258)</f>
      </c>
      <c r="HS258">
        <f>IF(ISBLANK('Data Entry'!$ģ$258), "", 'Data Entry'!$ģ$258)</f>
      </c>
      <c r="HT258">
        <f>IF(ISBLANK('Data Entry'!$Ĥ$258), "", 'Data Entry'!$Ĥ$258)</f>
      </c>
      <c r="HU258">
        <f>IF(ISBLANK('Data Entry'!$ĥ$258), "", 'Data Entry'!$ĥ$258)</f>
      </c>
      <c r="HV258">
        <f>IF(ISBLANK('Data Entry'!$Ħ$258), "", 'Data Entry'!$Ħ$258)</f>
      </c>
      <c r="HW258">
        <f>IF(ISBLANK('Data Entry'!$ħ$258), "", 'Data Entry'!$ħ$258)</f>
      </c>
      <c r="HX258">
        <f>IF(ISBLANK('Data Entry'!$Ĩ$258), "", 'Data Entry'!$Ĩ$258)</f>
      </c>
      <c r="HY258">
        <f>IF(ISBLANK('Data Entry'!$ĩ$258), "", 'Data Entry'!$ĩ$258)</f>
      </c>
      <c r="HZ258">
        <f>IF(ISBLANK('Data Entry'!$Ī$258), "", 'Data Entry'!$Ī$258)</f>
      </c>
      <c r="IA258">
        <f>IF(ISBLANK('Data Entry'!$ī$258), "", 'Data Entry'!$ī$258)</f>
      </c>
      <c r="IB258">
        <f>IF(ISBLANK('Data Entry'!$Ĭ$258), "", 'Data Entry'!$Ĭ$258)</f>
      </c>
      <c r="IC258">
        <f>IF(ISBLANK('Data Entry'!$ĭ$258), "", 'Data Entry'!$ĭ$258)</f>
      </c>
      <c r="ID258">
        <f>IF(ISBLANK('Data Entry'!$Į$258), "", 'Data Entry'!$Į$258)</f>
      </c>
      <c r="IE258">
        <f>IF(ISBLANK('Data Entry'!$į$258), "", 'Data Entry'!$į$258)</f>
      </c>
      <c r="IF258">
        <f>IF(ISBLANK('Data Entry'!$İ$258), "", 'Data Entry'!$İ$258)</f>
      </c>
      <c r="IG258">
        <f>IF(ISBLANK('Data Entry'!$ı$258), "", 'Data Entry'!$ı$258)</f>
      </c>
      <c r="IH258">
        <f>IF(ISBLANK('Data Entry'!$Ĳ$258), "", 'Data Entry'!$Ĳ$258)</f>
      </c>
      <c r="II258">
        <f>IF(ISBLANK('Data Entry'!$ĳ$258), "", 'Data Entry'!$ĳ$258)</f>
      </c>
      <c r="IJ258">
        <f>IF(ISBLANK('Data Entry'!$Ĵ$258), "", 'Data Entry'!$Ĵ$258)</f>
      </c>
      <c r="IK258">
        <f>IF(ISBLANK('Data Entry'!$ĵ$258), "", 'Data Entry'!$ĵ$258)</f>
      </c>
      <c r="IL258">
        <f>IF(ISBLANK('Data Entry'!$Ķ$258), "", 'Data Entry'!$Ķ$258)</f>
      </c>
      <c r="IM258">
        <f>IF(ISBLANK('Data Entry'!$ķ$258), "", 'Data Entry'!$ķ$258)</f>
      </c>
      <c r="IN258">
        <f>IF(ISBLANK('Data Entry'!$ĸ$258), "", 'Data Entry'!$ĸ$258)</f>
      </c>
      <c r="IO258">
        <f>IF(ISBLANK('Data Entry'!$Ĺ$258), "", 'Data Entry'!$Ĺ$258)</f>
      </c>
      <c r="IP258">
        <f>IF(ISBLANK('Data Entry'!$ĺ$258), "", 'Data Entry'!$ĺ$258)</f>
      </c>
      <c r="IQ258">
        <f>IF(ISBLANK('Data Entry'!$Ļ$258), "", 'Data Entry'!$Ļ$258)</f>
      </c>
      <c r="IR258">
        <f>IF(ISBLANK('Data Entry'!$ļ$258), "", 'Data Entry'!$ļ$258)</f>
      </c>
      <c r="IS258">
        <f>IF(ISBLANK('Data Entry'!$Ľ$258), "", 'Data Entry'!$Ľ$258)</f>
      </c>
      <c r="IT258">
        <f>IF(ISBLANK('Data Entry'!$ľ$258), "", 'Data Entry'!$ľ$258)</f>
      </c>
    </row>
    <row r="259" spans="1:254" x14ac:dyDescent="0.25">
      <c r="A259">
        <f>IF(ISBLANK('Data Entry'!$A$259), "", 'Data Entry'!$A$259)</f>
      </c>
      <c r="B259">
        <f>IF(ISBLANK('Data Entry'!$B$259), "", 'Data Entry'!$B$259)</f>
      </c>
      <c r="C259">
        <f>IF(ISBLANK('Data Entry'!$C$259), "", 'Data Entry'!$C$259)</f>
      </c>
      <c r="D259">
        <f>IF(ISBLANK('Data Entry'!$D$259), "", 'Data Entry'!$D$259)</f>
      </c>
      <c r="E259">
        <f>IF(ISBLANK('Data Entry'!$E$259), "", 'Data Entry'!$E$259)</f>
      </c>
      <c r="F259">
        <f>IF(ISBLANK('Data Entry'!$F$259), "", 'Data Entry'!$F$259)</f>
      </c>
      <c r="G259">
        <f>IF(ISBLANK('Data Entry'!$G$259), "", 'Data Entry'!$G$259)</f>
      </c>
      <c r="H259">
        <f>IF(ISBLANK('Data Entry'!$H$259), "", 'Data Entry'!$H$259)</f>
      </c>
      <c r="I259">
        <f>IF(ISBLANK('Data Entry'!$I$259), "", 'Data Entry'!$I$259)</f>
      </c>
      <c r="J259">
        <f>IF(ISBLANK('Data Entry'!$J$259), "", 'Data Entry'!$J$259)</f>
      </c>
      <c r="K259">
        <f>IF(ISBLANK('Data Entry'!$K$259), "", 'Data Entry'!$K$259)</f>
      </c>
      <c r="L259">
        <f>IF(ISBLANK('Data Entry'!$L$259), "", 'Data Entry'!$L$259)</f>
      </c>
      <c r="M259">
        <f>IF(ISBLANK('Data Entry'!$M$259), "", 'Data Entry'!$M$259)</f>
      </c>
      <c r="N259">
        <f>IF(ISBLANK('Data Entry'!$N$259), "", 'Data Entry'!$N$259)</f>
      </c>
      <c r="O259">
        <f>IF(ISBLANK('Data Entry'!$O$259), "", 'Data Entry'!$O$259)</f>
      </c>
      <c r="P259">
        <f>IF(ISBLANK('Data Entry'!$P$259), "", 'Data Entry'!$P$259)</f>
      </c>
      <c r="Q259">
        <f>IF(ISBLANK('Data Entry'!$Q$259), "", 'Data Entry'!$Q$259)</f>
      </c>
      <c r="R259">
        <f>IF(ISBLANK('Data Entry'!$R$259), "", 'Data Entry'!$R$259)</f>
      </c>
      <c r="S259">
        <f>IF(ISBLANK('Data Entry'!$S$259), "", 'Data Entry'!$S$259)</f>
      </c>
      <c r="T259">
        <f>IF(ISBLANK('Data Entry'!$T$259), "", 'Data Entry'!$T$259)</f>
      </c>
      <c r="U259">
        <f>IF(ISBLANK('Data Entry'!$U$259), "", 'Data Entry'!$U$259)</f>
      </c>
      <c r="V259">
        <f>IF(ISBLANK('Data Entry'!$V$259), "", 'Data Entry'!$V$259)</f>
      </c>
      <c r="W259">
        <f>IF(ISBLANK('Data Entry'!$W$259), "", 'Data Entry'!$W$259)</f>
      </c>
      <c r="X259">
        <f>IF(ISBLANK('Data Entry'!$X$259), "", 'Data Entry'!$X$259)</f>
      </c>
      <c r="Y259">
        <f>IF(ISBLANK('Data Entry'!$Y$259), "", 'Data Entry'!$Y$259)</f>
      </c>
      <c r="Z259">
        <f>IF(ISBLANK('Data Entry'!$Z$259), "", 'Data Entry'!$Z$259)</f>
      </c>
      <c r="AA259">
        <f>IF(ISBLANK('Data Entry'!$[$259), "", 'Data Entry'!$[$259)</f>
      </c>
      <c r="AB259">
        <f>IF(ISBLANK('Data Entry'!$\$259), "", 'Data Entry'!$\$259)</f>
      </c>
      <c r="AC259">
        <f>IF(ISBLANK('Data Entry'!$]$259), "", 'Data Entry'!$]$259)</f>
      </c>
      <c r="AD259">
        <f>IF(ISBLANK('Data Entry'!$^$259), "", 'Data Entry'!$^$259)</f>
      </c>
      <c r="AE259">
        <f>IF(ISBLANK('Data Entry'!$_$259), "", 'Data Entry'!$_$259)</f>
      </c>
      <c r="AF259">
        <f>IF(ISBLANK('Data Entry'!$`$259), "", 'Data Entry'!$`$259)</f>
      </c>
      <c r="AG259">
        <f>IF(ISBLANK('Data Entry'!$a$259), "", 'Data Entry'!$a$259)</f>
      </c>
      <c r="AH259">
        <f>IF(ISBLANK('Data Entry'!$b$259), "", 'Data Entry'!$b$259)</f>
      </c>
      <c r="AI259">
        <f>IF(ISBLANK('Data Entry'!$c$259), "", 'Data Entry'!$c$259)</f>
      </c>
      <c r="AJ259">
        <f>IF(ISBLANK('Data Entry'!$d$259), "", 'Data Entry'!$d$259)</f>
      </c>
      <c r="AK259">
        <f>IF(ISBLANK('Data Entry'!$e$259), "", 'Data Entry'!$e$259)</f>
      </c>
      <c r="AL259">
        <f>IF(ISBLANK('Data Entry'!$f$259), "", 'Data Entry'!$f$259)</f>
      </c>
      <c r="AM259">
        <f>IF(ISBLANK('Data Entry'!$g$259), "", 'Data Entry'!$g$259)</f>
      </c>
      <c r="AN259">
        <f>IF(ISBLANK('Data Entry'!$h$259), "", 'Data Entry'!$h$259)</f>
      </c>
      <c r="AO259">
        <f>IF(ISBLANK('Data Entry'!$i$259), "", 'Data Entry'!$i$259)</f>
      </c>
      <c r="AP259">
        <f>IF(ISBLANK('Data Entry'!$j$259), "", 'Data Entry'!$j$259)</f>
      </c>
      <c r="AQ259">
        <f>IF(ISBLANK('Data Entry'!$k$259), "", 'Data Entry'!$k$259)</f>
      </c>
      <c r="AR259">
        <f>IF(ISBLANK('Data Entry'!$l$259), "", 'Data Entry'!$l$259)</f>
      </c>
      <c r="AS259">
        <f>IF(ISBLANK('Data Entry'!$m$259), "", 'Data Entry'!$m$259)</f>
      </c>
      <c r="AT259">
        <f>IF(ISBLANK('Data Entry'!$n$259), "", 'Data Entry'!$n$259)</f>
      </c>
      <c r="AU259">
        <f>IF(ISBLANK('Data Entry'!$o$259), "", 'Data Entry'!$o$259)</f>
      </c>
      <c r="AV259">
        <f>IF(ISBLANK('Data Entry'!$p$259), "", 'Data Entry'!$p$259)</f>
      </c>
      <c r="AW259">
        <f>IF(ISBLANK('Data Entry'!$q$259), "", 'Data Entry'!$q$259)</f>
      </c>
      <c r="AX259">
        <f>IF(ISBLANK('Data Entry'!$r$259), "", 'Data Entry'!$r$259)</f>
      </c>
      <c r="AY259">
        <f>IF(ISBLANK('Data Entry'!$s$259), "", 'Data Entry'!$s$259)</f>
      </c>
      <c r="AZ259">
        <f>IF(ISBLANK('Data Entry'!$t$259), "", 'Data Entry'!$t$259)</f>
      </c>
      <c r="BA259">
        <f>IF(ISBLANK('Data Entry'!$u$259), "", 'Data Entry'!$u$259)</f>
      </c>
      <c r="BB259">
        <f>IF(ISBLANK('Data Entry'!$v$259), "", 'Data Entry'!$v$259)</f>
      </c>
      <c r="BC259">
        <f>IF(ISBLANK('Data Entry'!$w$259), "", 'Data Entry'!$w$259)</f>
      </c>
      <c r="BD259">
        <f>IF(ISBLANK('Data Entry'!$x$259), "", 'Data Entry'!$x$259)</f>
      </c>
      <c r="BE259">
        <f>IF(ISBLANK('Data Entry'!$y$259), "", 'Data Entry'!$y$259)</f>
      </c>
      <c r="BF259">
        <f>IF(ISBLANK('Data Entry'!$z$259), "", 'Data Entry'!$z$259)</f>
      </c>
      <c r="BG259">
        <f>IF(ISBLANK('Data Entry'!${$259), "", 'Data Entry'!${$259)</f>
      </c>
      <c r="BH259">
        <f>IF(ISBLANK('Data Entry'!$|$259), "", 'Data Entry'!$|$259)</f>
      </c>
      <c r="BI259">
        <f>IF(ISBLANK('Data Entry'!$}$259), "", 'Data Entry'!$}$259)</f>
      </c>
      <c r="BJ259">
        <f>IF(ISBLANK('Data Entry'!$~$259), "", 'Data Entry'!$~$259)</f>
      </c>
      <c r="BK259">
        <f>IF(ISBLANK('Data Entry'!$$259), "", 'Data Entry'!$$259)</f>
      </c>
      <c r="BL259">
        <f>IF(ISBLANK('Data Entry'!$$259), "", 'Data Entry'!$$259)</f>
      </c>
      <c r="BM259">
        <f>IF(ISBLANK('Data Entry'!$$259), "", 'Data Entry'!$$259)</f>
      </c>
      <c r="BN259">
        <f>IF(ISBLANK('Data Entry'!$$259), "", 'Data Entry'!$$259)</f>
      </c>
      <c r="BO259">
        <f>IF(ISBLANK('Data Entry'!$$259), "", 'Data Entry'!$$259)</f>
      </c>
      <c r="BP259">
        <f>IF(ISBLANK('Data Entry'!$$259), "", 'Data Entry'!$$259)</f>
      </c>
      <c r="BQ259">
        <f>IF(ISBLANK('Data Entry'!$$259), "", 'Data Entry'!$$259)</f>
      </c>
      <c r="BR259">
        <f>IF(ISBLANK('Data Entry'!$$259), "", 'Data Entry'!$$259)</f>
      </c>
      <c r="BS259">
        <f>IF(ISBLANK('Data Entry'!$$259), "", 'Data Entry'!$$259)</f>
      </c>
      <c r="BT259">
        <f>IF(ISBLANK('Data Entry'!$$259), "", 'Data Entry'!$$259)</f>
      </c>
      <c r="BU259">
        <f>IF(ISBLANK('Data Entry'!$$259), "", 'Data Entry'!$$259)</f>
      </c>
      <c r="BV259">
        <f>IF(ISBLANK('Data Entry'!$$259), "", 'Data Entry'!$$259)</f>
      </c>
      <c r="BW259">
        <f>IF(ISBLANK('Data Entry'!$$259), "", 'Data Entry'!$$259)</f>
      </c>
      <c r="BX259">
        <f>IF(ISBLANK('Data Entry'!$$259), "", 'Data Entry'!$$259)</f>
      </c>
      <c r="BY259">
        <f>IF(ISBLANK('Data Entry'!$$259), "", 'Data Entry'!$$259)</f>
      </c>
      <c r="BZ259">
        <f>IF(ISBLANK('Data Entry'!$$259), "", 'Data Entry'!$$259)</f>
      </c>
      <c r="CA259">
        <f>IF(ISBLANK('Data Entry'!$$259), "", 'Data Entry'!$$259)</f>
      </c>
      <c r="CB259">
        <f>IF(ISBLANK('Data Entry'!$$259), "", 'Data Entry'!$$259)</f>
      </c>
      <c r="CC259">
        <f>IF(ISBLANK('Data Entry'!$$259), "", 'Data Entry'!$$259)</f>
      </c>
      <c r="CD259">
        <f>IF(ISBLANK('Data Entry'!$$259), "", 'Data Entry'!$$259)</f>
      </c>
      <c r="CE259">
        <f>IF(ISBLANK('Data Entry'!$$259), "", 'Data Entry'!$$259)</f>
      </c>
      <c r="CF259">
        <f>IF(ISBLANK('Data Entry'!$$259), "", 'Data Entry'!$$259)</f>
      </c>
      <c r="CG259">
        <f>IF(ISBLANK('Data Entry'!$$259), "", 'Data Entry'!$$259)</f>
      </c>
      <c r="CH259">
        <f>IF(ISBLANK('Data Entry'!$$259), "", 'Data Entry'!$$259)</f>
      </c>
      <c r="CI259">
        <f>IF(ISBLANK('Data Entry'!$$259), "", 'Data Entry'!$$259)</f>
      </c>
      <c r="CJ259">
        <f>IF(ISBLANK('Data Entry'!$$259), "", 'Data Entry'!$$259)</f>
      </c>
      <c r="CK259">
        <f>IF(ISBLANK('Data Entry'!$$259), "", 'Data Entry'!$$259)</f>
      </c>
      <c r="CL259">
        <f>IF(ISBLANK('Data Entry'!$$259), "", 'Data Entry'!$$259)</f>
      </c>
      <c r="CM259">
        <f>IF(ISBLANK('Data Entry'!$$259), "", 'Data Entry'!$$259)</f>
      </c>
      <c r="CN259">
        <f>IF(ISBLANK('Data Entry'!$$259), "", 'Data Entry'!$$259)</f>
      </c>
      <c r="CO259">
        <f>IF(ISBLANK('Data Entry'!$$259), "", 'Data Entry'!$$259)</f>
      </c>
      <c r="CP259">
        <f>IF(ISBLANK('Data Entry'!$$259), "", 'Data Entry'!$$259)</f>
      </c>
      <c r="CQ259">
        <f>IF(ISBLANK('Data Entry'!$$259), "", 'Data Entry'!$$259)</f>
      </c>
      <c r="CR259">
        <f>IF(ISBLANK('Data Entry'!$ $259), "", 'Data Entry'!$ $259)</f>
      </c>
      <c r="CS259">
        <f>IF(ISBLANK('Data Entry'!$¡$259), "", 'Data Entry'!$¡$259)</f>
      </c>
      <c r="CT259">
        <f>IF(ISBLANK('Data Entry'!$¢$259), "", 'Data Entry'!$¢$259)</f>
      </c>
      <c r="CU259">
        <f>IF(ISBLANK('Data Entry'!$£$259), "", 'Data Entry'!$£$259)</f>
      </c>
      <c r="CV259">
        <f>IF(ISBLANK('Data Entry'!$¤$259), "", 'Data Entry'!$¤$259)</f>
      </c>
      <c r="CW259">
        <f>IF(ISBLANK('Data Entry'!$¥$259), "", 'Data Entry'!$¥$259)</f>
      </c>
      <c r="CX259">
        <f>IF(ISBLANK('Data Entry'!$¦$259), "", 'Data Entry'!$¦$259)</f>
      </c>
      <c r="CY259">
        <f>IF(ISBLANK('Data Entry'!$§$259), "", 'Data Entry'!$§$259)</f>
      </c>
      <c r="CZ259">
        <f>IF(ISBLANK('Data Entry'!$¨$259), "", 'Data Entry'!$¨$259)</f>
      </c>
      <c r="DA259">
        <f>IF(ISBLANK('Data Entry'!$©$259), "", 'Data Entry'!$©$259)</f>
      </c>
      <c r="DB259">
        <f>IF(ISBLANK('Data Entry'!$ª$259), "", 'Data Entry'!$ª$259)</f>
      </c>
      <c r="DC259">
        <f>IF(ISBLANK('Data Entry'!$«$259), "", 'Data Entry'!$«$259)</f>
      </c>
      <c r="DD259">
        <f>IF(ISBLANK('Data Entry'!$¬$259), "", 'Data Entry'!$¬$259)</f>
      </c>
      <c r="DE259">
        <f>IF(ISBLANK('Data Entry'!$­$259), "", 'Data Entry'!$­$259)</f>
      </c>
      <c r="DF259">
        <f>IF(ISBLANK('Data Entry'!$®$259), "", 'Data Entry'!$®$259)</f>
      </c>
      <c r="DG259">
        <f>IF(ISBLANK('Data Entry'!$¯$259), "", 'Data Entry'!$¯$259)</f>
      </c>
      <c r="DH259">
        <f>IF(ISBLANK('Data Entry'!$°$259), "", 'Data Entry'!$°$259)</f>
      </c>
      <c r="DI259">
        <f>IF(ISBLANK('Data Entry'!$±$259), "", 'Data Entry'!$±$259)</f>
      </c>
      <c r="DJ259">
        <f>IF(ISBLANK('Data Entry'!$²$259), "", 'Data Entry'!$²$259)</f>
      </c>
      <c r="DK259">
        <f>IF(ISBLANK('Data Entry'!$³$259), "", 'Data Entry'!$³$259)</f>
      </c>
      <c r="DL259">
        <f>IF(ISBLANK('Data Entry'!$´$259), "", 'Data Entry'!$´$259)</f>
      </c>
      <c r="DM259">
        <f>IF(ISBLANK('Data Entry'!$µ$259), "", 'Data Entry'!$µ$259)</f>
      </c>
      <c r="DN259">
        <f>IF(ISBLANK('Data Entry'!$¶$259), "", 'Data Entry'!$¶$259)</f>
      </c>
      <c r="DO259">
        <f>IF(ISBLANK('Data Entry'!$·$259), "", 'Data Entry'!$·$259)</f>
      </c>
      <c r="DP259">
        <f>IF(ISBLANK('Data Entry'!$¸$259), "", 'Data Entry'!$¸$259)</f>
      </c>
      <c r="DQ259">
        <f>IF(ISBLANK('Data Entry'!$¹$259), "", 'Data Entry'!$¹$259)</f>
      </c>
      <c r="DR259">
        <f>IF(ISBLANK('Data Entry'!$º$259), "", 'Data Entry'!$º$259)</f>
      </c>
      <c r="DS259">
        <f>IF(ISBLANK('Data Entry'!$»$259), "", 'Data Entry'!$»$259)</f>
      </c>
      <c r="DT259">
        <f>IF(ISBLANK('Data Entry'!$¼$259), "", 'Data Entry'!$¼$259)</f>
      </c>
      <c r="DU259">
        <f>IF(ISBLANK('Data Entry'!$½$259), "", 'Data Entry'!$½$259)</f>
      </c>
      <c r="DV259">
        <f>IF(ISBLANK('Data Entry'!$¾$259), "", 'Data Entry'!$¾$259)</f>
      </c>
      <c r="DW259">
        <f>IF(ISBLANK('Data Entry'!$¿$259), "", 'Data Entry'!$¿$259)</f>
      </c>
      <c r="DX259">
        <f>IF(ISBLANK('Data Entry'!$À$259), "", 'Data Entry'!$À$259)</f>
      </c>
      <c r="DY259">
        <f>IF(ISBLANK('Data Entry'!$Á$259), "", 'Data Entry'!$Á$259)</f>
      </c>
      <c r="DZ259">
        <f>IF(ISBLANK('Data Entry'!$Â$259), "", 'Data Entry'!$Â$259)</f>
      </c>
      <c r="EA259">
        <f>IF(ISBLANK('Data Entry'!$Ã$259), "", 'Data Entry'!$Ã$259)</f>
      </c>
      <c r="EB259">
        <f>IF(ISBLANK('Data Entry'!$Ä$259), "", 'Data Entry'!$Ä$259)</f>
      </c>
      <c r="EC259">
        <f>IF(ISBLANK('Data Entry'!$Å$259), "", 'Data Entry'!$Å$259)</f>
      </c>
      <c r="ED259">
        <f>IF(ISBLANK('Data Entry'!$Æ$259), "", 'Data Entry'!$Æ$259)</f>
      </c>
      <c r="EE259">
        <f>IF(ISBLANK('Data Entry'!$Ç$259), "", 'Data Entry'!$Ç$259)</f>
      </c>
      <c r="EF259">
        <f>IF(ISBLANK('Data Entry'!$È$259), "", 'Data Entry'!$È$259)</f>
      </c>
      <c r="EG259">
        <f>IF(ISBLANK('Data Entry'!$É$259), "", 'Data Entry'!$É$259)</f>
      </c>
      <c r="EH259">
        <f>IF(ISBLANK('Data Entry'!$Ê$259), "", 'Data Entry'!$Ê$259)</f>
      </c>
      <c r="EI259">
        <f>IF(ISBLANK('Data Entry'!$Ë$259), "", 'Data Entry'!$Ë$259)</f>
      </c>
      <c r="EJ259">
        <f>IF(ISBLANK('Data Entry'!$Ì$259), "", 'Data Entry'!$Ì$259)</f>
      </c>
      <c r="EK259">
        <f>IF(ISBLANK('Data Entry'!$Í$259), "", 'Data Entry'!$Í$259)</f>
      </c>
      <c r="EL259">
        <f>IF(ISBLANK('Data Entry'!$Î$259), "", 'Data Entry'!$Î$259)</f>
      </c>
      <c r="EM259">
        <f>IF(ISBLANK('Data Entry'!$Ï$259), "", 'Data Entry'!$Ï$259)</f>
      </c>
      <c r="EN259">
        <f>IF(ISBLANK('Data Entry'!$Ð$259), "", 'Data Entry'!$Ð$259)</f>
      </c>
      <c r="EO259">
        <f>IF(ISBLANK('Data Entry'!$Ñ$259), "", 'Data Entry'!$Ñ$259)</f>
      </c>
      <c r="EP259">
        <f>IF(ISBLANK('Data Entry'!$Ò$259), "", 'Data Entry'!$Ò$259)</f>
      </c>
      <c r="EQ259">
        <f>IF(ISBLANK('Data Entry'!$Ó$259), "", 'Data Entry'!$Ó$259)</f>
      </c>
      <c r="ER259">
        <f>IF(ISBLANK('Data Entry'!$Ô$259), "", 'Data Entry'!$Ô$259)</f>
      </c>
      <c r="ES259">
        <f>IF(ISBLANK('Data Entry'!$Õ$259), "", 'Data Entry'!$Õ$259)</f>
      </c>
      <c r="ET259">
        <f>IF(ISBLANK('Data Entry'!$Ö$259), "", 'Data Entry'!$Ö$259)</f>
      </c>
      <c r="EU259">
        <f>IF(ISBLANK('Data Entry'!$×$259), "", 'Data Entry'!$×$259)</f>
      </c>
      <c r="EV259">
        <f>IF(ISBLANK('Data Entry'!$Ø$259), "", 'Data Entry'!$Ø$259)</f>
      </c>
      <c r="EW259">
        <f>IF(ISBLANK('Data Entry'!$Ù$259), "", 'Data Entry'!$Ù$259)</f>
      </c>
      <c r="EX259">
        <f>IF(ISBLANK('Data Entry'!$Ú$259), "", 'Data Entry'!$Ú$259)</f>
      </c>
      <c r="EY259">
        <f>IF(ISBLANK('Data Entry'!$Û$259), "", 'Data Entry'!$Û$259)</f>
      </c>
      <c r="EZ259">
        <f>IF(ISBLANK('Data Entry'!$Ü$259), "", 'Data Entry'!$Ü$259)</f>
      </c>
      <c r="FA259">
        <f>IF(ISBLANK('Data Entry'!$Ý$259), "", 'Data Entry'!$Ý$259)</f>
      </c>
      <c r="FB259">
        <f>IF(ISBLANK('Data Entry'!$Þ$259), "", 'Data Entry'!$Þ$259)</f>
      </c>
      <c r="FC259">
        <f>IF(ISBLANK('Data Entry'!$ß$259), "", 'Data Entry'!$ß$259)</f>
      </c>
      <c r="FD259">
        <f>IF(ISBLANK('Data Entry'!$à$259), "", 'Data Entry'!$à$259)</f>
      </c>
      <c r="FE259">
        <f>IF(ISBLANK('Data Entry'!$á$259), "", 'Data Entry'!$á$259)</f>
      </c>
      <c r="FF259">
        <f>IF(ISBLANK('Data Entry'!$â$259), "", 'Data Entry'!$â$259)</f>
      </c>
      <c r="FG259">
        <f>IF(ISBLANK('Data Entry'!$ã$259), "", 'Data Entry'!$ã$259)</f>
      </c>
      <c r="FH259">
        <f>IF(ISBLANK('Data Entry'!$ä$259), "", 'Data Entry'!$ä$259)</f>
      </c>
      <c r="FI259">
        <f>IF(ISBLANK('Data Entry'!$å$259), "", 'Data Entry'!$å$259)</f>
      </c>
      <c r="FJ259">
        <f>IF(ISBLANK('Data Entry'!$æ$259), "", 'Data Entry'!$æ$259)</f>
      </c>
      <c r="FK259">
        <f>IF(ISBLANK('Data Entry'!$ç$259), "", 'Data Entry'!$ç$259)</f>
      </c>
      <c r="FL259">
        <f>IF(ISBLANK('Data Entry'!$è$259), "", 'Data Entry'!$è$259)</f>
      </c>
      <c r="FM259">
        <f>IF(ISBLANK('Data Entry'!$é$259), "", 'Data Entry'!$é$259)</f>
      </c>
      <c r="FN259">
        <f>IF(ISBLANK('Data Entry'!$ê$259), "", 'Data Entry'!$ê$259)</f>
      </c>
      <c r="FO259">
        <f>IF(ISBLANK('Data Entry'!$ë$259), "", 'Data Entry'!$ë$259)</f>
      </c>
      <c r="FP259">
        <f>IF(ISBLANK('Data Entry'!$ì$259), "", 'Data Entry'!$ì$259)</f>
      </c>
      <c r="FQ259">
        <f>IF(ISBLANK('Data Entry'!$í$259), "", 'Data Entry'!$í$259)</f>
      </c>
      <c r="FR259">
        <f>IF(ISBLANK('Data Entry'!$î$259), "", 'Data Entry'!$î$259)</f>
      </c>
      <c r="FS259">
        <f>IF(ISBLANK('Data Entry'!$ï$259), "", 'Data Entry'!$ï$259)</f>
      </c>
      <c r="FT259">
        <f>IF(ISBLANK('Data Entry'!$ð$259), "", 'Data Entry'!$ð$259)</f>
      </c>
      <c r="FU259">
        <f>IF(ISBLANK('Data Entry'!$ñ$259), "", 'Data Entry'!$ñ$259)</f>
      </c>
      <c r="FV259">
        <f>IF(ISBLANK('Data Entry'!$ò$259), "", 'Data Entry'!$ò$259)</f>
      </c>
      <c r="FW259">
        <f>IF(ISBLANK('Data Entry'!$ó$259), "", 'Data Entry'!$ó$259)</f>
      </c>
      <c r="FX259">
        <f>IF(ISBLANK('Data Entry'!$ô$259), "", 'Data Entry'!$ô$259)</f>
      </c>
      <c r="FY259">
        <f>IF(ISBLANK('Data Entry'!$õ$259), "", 'Data Entry'!$õ$259)</f>
      </c>
      <c r="FZ259">
        <f>IF(ISBLANK('Data Entry'!$ö$259), "", 'Data Entry'!$ö$259)</f>
      </c>
      <c r="GA259">
        <f>IF(ISBLANK('Data Entry'!$÷$259), "", 'Data Entry'!$÷$259)</f>
      </c>
      <c r="GB259">
        <f>IF(ISBLANK('Data Entry'!$ø$259), "", 'Data Entry'!$ø$259)</f>
      </c>
      <c r="GC259">
        <f>IF(ISBLANK('Data Entry'!$ù$259), "", 'Data Entry'!$ù$259)</f>
      </c>
      <c r="GD259">
        <f>IF(ISBLANK('Data Entry'!$ú$259), "", 'Data Entry'!$ú$259)</f>
      </c>
      <c r="GE259">
        <f>IF(ISBLANK('Data Entry'!$û$259), "", 'Data Entry'!$û$259)</f>
      </c>
      <c r="GF259">
        <f>IF(ISBLANK('Data Entry'!$ü$259), "", 'Data Entry'!$ü$259)</f>
      </c>
      <c r="GG259">
        <f>IF(ISBLANK('Data Entry'!$ý$259), "", 'Data Entry'!$ý$259)</f>
      </c>
      <c r="GH259">
        <f>IF(ISBLANK('Data Entry'!$þ$259), "", 'Data Entry'!$þ$259)</f>
      </c>
      <c r="GI259">
        <f>IF(ISBLANK('Data Entry'!$ÿ$259), "", 'Data Entry'!$ÿ$259)</f>
      </c>
      <c r="GJ259">
        <f>IF(ISBLANK('Data Entry'!$Ā$259), "", 'Data Entry'!$Ā$259)</f>
      </c>
      <c r="GK259">
        <f>IF(ISBLANK('Data Entry'!$ā$259), "", 'Data Entry'!$ā$259)</f>
      </c>
      <c r="GL259">
        <f>IF(ISBLANK('Data Entry'!$Ă$259), "", 'Data Entry'!$Ă$259)</f>
      </c>
      <c r="GM259">
        <f>IF(ISBLANK('Data Entry'!$ă$259), "", 'Data Entry'!$ă$259)</f>
      </c>
      <c r="GN259">
        <f>IF(ISBLANK('Data Entry'!$Ą$259), "", 'Data Entry'!$Ą$259)</f>
      </c>
      <c r="GO259">
        <f>IF(ISBLANK('Data Entry'!$ą$259), "", 'Data Entry'!$ą$259)</f>
      </c>
      <c r="GP259">
        <f>IF(ISBLANK('Data Entry'!$Ć$259), "", 'Data Entry'!$Ć$259)</f>
      </c>
      <c r="GQ259">
        <f>IF(ISBLANK('Data Entry'!$ć$259), "", 'Data Entry'!$ć$259)</f>
      </c>
      <c r="GR259">
        <f>IF(ISBLANK('Data Entry'!$Ĉ$259), "", 'Data Entry'!$Ĉ$259)</f>
      </c>
      <c r="GS259">
        <f>IF(ISBLANK('Data Entry'!$ĉ$259), "", 'Data Entry'!$ĉ$259)</f>
      </c>
      <c r="GT259">
        <f>IF(ISBLANK('Data Entry'!$Ċ$259), "", 'Data Entry'!$Ċ$259)</f>
      </c>
      <c r="GU259">
        <f>IF(ISBLANK('Data Entry'!$ċ$259), "", 'Data Entry'!$ċ$259)</f>
      </c>
      <c r="GV259">
        <f>IF(ISBLANK('Data Entry'!$Č$259), "", 'Data Entry'!$Č$259)</f>
      </c>
      <c r="GW259">
        <f>IF(ISBLANK('Data Entry'!$č$259), "", 'Data Entry'!$č$259)</f>
      </c>
      <c r="GX259">
        <f>IF(ISBLANK('Data Entry'!$Ď$259), "", 'Data Entry'!$Ď$259)</f>
      </c>
      <c r="GY259">
        <f>IF(ISBLANK('Data Entry'!$ď$259), "", 'Data Entry'!$ď$259)</f>
      </c>
      <c r="GZ259">
        <f>IF(ISBLANK('Data Entry'!$Đ$259), "", 'Data Entry'!$Đ$259)</f>
      </c>
      <c r="HA259">
        <f>IF(ISBLANK('Data Entry'!$đ$259), "", 'Data Entry'!$đ$259)</f>
      </c>
      <c r="HB259">
        <f>IF(ISBLANK('Data Entry'!$Ē$259), "", 'Data Entry'!$Ē$259)</f>
      </c>
      <c r="HC259">
        <f>IF(ISBLANK('Data Entry'!$ē$259), "", 'Data Entry'!$ē$259)</f>
      </c>
      <c r="HD259">
        <f>IF(ISBLANK('Data Entry'!$Ĕ$259), "", 'Data Entry'!$Ĕ$259)</f>
      </c>
      <c r="HE259">
        <f>IF(ISBLANK('Data Entry'!$ĕ$259), "", 'Data Entry'!$ĕ$259)</f>
      </c>
      <c r="HF259">
        <f>IF(ISBLANK('Data Entry'!$Ė$259), "", 'Data Entry'!$Ė$259)</f>
      </c>
      <c r="HG259">
        <f>IF(ISBLANK('Data Entry'!$ė$259), "", 'Data Entry'!$ė$259)</f>
      </c>
      <c r="HH259">
        <f>IF(ISBLANK('Data Entry'!$Ę$259), "", 'Data Entry'!$Ę$259)</f>
      </c>
      <c r="HI259">
        <f>IF(ISBLANK('Data Entry'!$ę$259), "", 'Data Entry'!$ę$259)</f>
      </c>
      <c r="HJ259">
        <f>IF(ISBLANK('Data Entry'!$Ě$259), "", 'Data Entry'!$Ě$259)</f>
      </c>
      <c r="HK259">
        <f>IF(ISBLANK('Data Entry'!$ě$259), "", 'Data Entry'!$ě$259)</f>
      </c>
      <c r="HL259">
        <f>IF(ISBLANK('Data Entry'!$Ĝ$259), "", 'Data Entry'!$Ĝ$259)</f>
      </c>
      <c r="HM259">
        <f>IF(ISBLANK('Data Entry'!$ĝ$259), "", 'Data Entry'!$ĝ$259)</f>
      </c>
      <c r="HN259">
        <f>IF(ISBLANK('Data Entry'!$Ğ$259), "", 'Data Entry'!$Ğ$259)</f>
      </c>
      <c r="HO259">
        <f>IF(ISBLANK('Data Entry'!$ğ$259), "", 'Data Entry'!$ğ$259)</f>
      </c>
      <c r="HP259">
        <f>IF(ISBLANK('Data Entry'!$Ġ$259), "", 'Data Entry'!$Ġ$259)</f>
      </c>
      <c r="HQ259">
        <f>IF(ISBLANK('Data Entry'!$ġ$259), "", 'Data Entry'!$ġ$259)</f>
      </c>
      <c r="HR259">
        <f>IF(ISBLANK('Data Entry'!$Ģ$259), "", 'Data Entry'!$Ģ$259)</f>
      </c>
      <c r="HS259">
        <f>IF(ISBLANK('Data Entry'!$ģ$259), "", 'Data Entry'!$ģ$259)</f>
      </c>
      <c r="HT259">
        <f>IF(ISBLANK('Data Entry'!$Ĥ$259), "", 'Data Entry'!$Ĥ$259)</f>
      </c>
      <c r="HU259">
        <f>IF(ISBLANK('Data Entry'!$ĥ$259), "", 'Data Entry'!$ĥ$259)</f>
      </c>
      <c r="HV259">
        <f>IF(ISBLANK('Data Entry'!$Ħ$259), "", 'Data Entry'!$Ħ$259)</f>
      </c>
      <c r="HW259">
        <f>IF(ISBLANK('Data Entry'!$ħ$259), "", 'Data Entry'!$ħ$259)</f>
      </c>
      <c r="HX259">
        <f>IF(ISBLANK('Data Entry'!$Ĩ$259), "", 'Data Entry'!$Ĩ$259)</f>
      </c>
      <c r="HY259">
        <f>IF(ISBLANK('Data Entry'!$ĩ$259), "", 'Data Entry'!$ĩ$259)</f>
      </c>
      <c r="HZ259">
        <f>IF(ISBLANK('Data Entry'!$Ī$259), "", 'Data Entry'!$Ī$259)</f>
      </c>
      <c r="IA259">
        <f>IF(ISBLANK('Data Entry'!$ī$259), "", 'Data Entry'!$ī$259)</f>
      </c>
      <c r="IB259">
        <f>IF(ISBLANK('Data Entry'!$Ĭ$259), "", 'Data Entry'!$Ĭ$259)</f>
      </c>
      <c r="IC259">
        <f>IF(ISBLANK('Data Entry'!$ĭ$259), "", 'Data Entry'!$ĭ$259)</f>
      </c>
      <c r="ID259">
        <f>IF(ISBLANK('Data Entry'!$Į$259), "", 'Data Entry'!$Į$259)</f>
      </c>
      <c r="IE259">
        <f>IF(ISBLANK('Data Entry'!$į$259), "", 'Data Entry'!$į$259)</f>
      </c>
      <c r="IF259">
        <f>IF(ISBLANK('Data Entry'!$İ$259), "", 'Data Entry'!$İ$259)</f>
      </c>
      <c r="IG259">
        <f>IF(ISBLANK('Data Entry'!$ı$259), "", 'Data Entry'!$ı$259)</f>
      </c>
      <c r="IH259">
        <f>IF(ISBLANK('Data Entry'!$Ĳ$259), "", 'Data Entry'!$Ĳ$259)</f>
      </c>
      <c r="II259">
        <f>IF(ISBLANK('Data Entry'!$ĳ$259), "", 'Data Entry'!$ĳ$259)</f>
      </c>
      <c r="IJ259">
        <f>IF(ISBLANK('Data Entry'!$Ĵ$259), "", 'Data Entry'!$Ĵ$259)</f>
      </c>
      <c r="IK259">
        <f>IF(ISBLANK('Data Entry'!$ĵ$259), "", 'Data Entry'!$ĵ$259)</f>
      </c>
      <c r="IL259">
        <f>IF(ISBLANK('Data Entry'!$Ķ$259), "", 'Data Entry'!$Ķ$259)</f>
      </c>
      <c r="IM259">
        <f>IF(ISBLANK('Data Entry'!$ķ$259), "", 'Data Entry'!$ķ$259)</f>
      </c>
      <c r="IN259">
        <f>IF(ISBLANK('Data Entry'!$ĸ$259), "", 'Data Entry'!$ĸ$259)</f>
      </c>
      <c r="IO259">
        <f>IF(ISBLANK('Data Entry'!$Ĺ$259), "", 'Data Entry'!$Ĺ$259)</f>
      </c>
      <c r="IP259">
        <f>IF(ISBLANK('Data Entry'!$ĺ$259), "", 'Data Entry'!$ĺ$259)</f>
      </c>
      <c r="IQ259">
        <f>IF(ISBLANK('Data Entry'!$Ļ$259), "", 'Data Entry'!$Ļ$259)</f>
      </c>
      <c r="IR259">
        <f>IF(ISBLANK('Data Entry'!$ļ$259), "", 'Data Entry'!$ļ$259)</f>
      </c>
      <c r="IS259">
        <f>IF(ISBLANK('Data Entry'!$Ľ$259), "", 'Data Entry'!$Ľ$259)</f>
      </c>
      <c r="IT259">
        <f>IF(ISBLANK('Data Entry'!$ľ$259), "", 'Data Entry'!$ľ$259)</f>
      </c>
    </row>
    <row r="260" spans="1:254" x14ac:dyDescent="0.25">
      <c r="A260">
        <f>IF(ISBLANK('Data Entry'!$A$260), "", 'Data Entry'!$A$260)</f>
      </c>
      <c r="B260">
        <f>IF(ISBLANK('Data Entry'!$B$260), "", 'Data Entry'!$B$260)</f>
      </c>
      <c r="C260">
        <f>IF(ISBLANK('Data Entry'!$C$260), "", 'Data Entry'!$C$260)</f>
      </c>
      <c r="D260">
        <f>IF(ISBLANK('Data Entry'!$D$260), "", 'Data Entry'!$D$260)</f>
      </c>
      <c r="E260">
        <f>IF(ISBLANK('Data Entry'!$E$260), "", 'Data Entry'!$E$260)</f>
      </c>
      <c r="F260">
        <f>IF(ISBLANK('Data Entry'!$F$260), "", 'Data Entry'!$F$260)</f>
      </c>
      <c r="G260">
        <f>IF(ISBLANK('Data Entry'!$G$260), "", 'Data Entry'!$G$260)</f>
      </c>
      <c r="H260">
        <f>IF(ISBLANK('Data Entry'!$H$260), "", 'Data Entry'!$H$260)</f>
      </c>
      <c r="I260">
        <f>IF(ISBLANK('Data Entry'!$I$260), "", 'Data Entry'!$I$260)</f>
      </c>
      <c r="J260">
        <f>IF(ISBLANK('Data Entry'!$J$260), "", 'Data Entry'!$J$260)</f>
      </c>
      <c r="K260">
        <f>IF(ISBLANK('Data Entry'!$K$260), "", 'Data Entry'!$K$260)</f>
      </c>
      <c r="L260">
        <f>IF(ISBLANK('Data Entry'!$L$260), "", 'Data Entry'!$L$260)</f>
      </c>
      <c r="M260">
        <f>IF(ISBLANK('Data Entry'!$M$260), "", 'Data Entry'!$M$260)</f>
      </c>
      <c r="N260">
        <f>IF(ISBLANK('Data Entry'!$N$260), "", 'Data Entry'!$N$260)</f>
      </c>
      <c r="O260">
        <f>IF(ISBLANK('Data Entry'!$O$260), "", 'Data Entry'!$O$260)</f>
      </c>
      <c r="P260">
        <f>IF(ISBLANK('Data Entry'!$P$260), "", 'Data Entry'!$P$260)</f>
      </c>
      <c r="Q260">
        <f>IF(ISBLANK('Data Entry'!$Q$260), "", 'Data Entry'!$Q$260)</f>
      </c>
      <c r="R260">
        <f>IF(ISBLANK('Data Entry'!$R$260), "", 'Data Entry'!$R$260)</f>
      </c>
      <c r="S260">
        <f>IF(ISBLANK('Data Entry'!$S$260), "", 'Data Entry'!$S$260)</f>
      </c>
      <c r="T260">
        <f>IF(ISBLANK('Data Entry'!$T$260), "", 'Data Entry'!$T$260)</f>
      </c>
      <c r="U260">
        <f>IF(ISBLANK('Data Entry'!$U$260), "", 'Data Entry'!$U$260)</f>
      </c>
      <c r="V260">
        <f>IF(ISBLANK('Data Entry'!$V$260), "", 'Data Entry'!$V$260)</f>
      </c>
      <c r="W260">
        <f>IF(ISBLANK('Data Entry'!$W$260), "", 'Data Entry'!$W$260)</f>
      </c>
      <c r="X260">
        <f>IF(ISBLANK('Data Entry'!$X$260), "", 'Data Entry'!$X$260)</f>
      </c>
      <c r="Y260">
        <f>IF(ISBLANK('Data Entry'!$Y$260), "", 'Data Entry'!$Y$260)</f>
      </c>
      <c r="Z260">
        <f>IF(ISBLANK('Data Entry'!$Z$260), "", 'Data Entry'!$Z$260)</f>
      </c>
      <c r="AA260">
        <f>IF(ISBLANK('Data Entry'!$[$260), "", 'Data Entry'!$[$260)</f>
      </c>
      <c r="AB260">
        <f>IF(ISBLANK('Data Entry'!$\$260), "", 'Data Entry'!$\$260)</f>
      </c>
      <c r="AC260">
        <f>IF(ISBLANK('Data Entry'!$]$260), "", 'Data Entry'!$]$260)</f>
      </c>
      <c r="AD260">
        <f>IF(ISBLANK('Data Entry'!$^$260), "", 'Data Entry'!$^$260)</f>
      </c>
      <c r="AE260">
        <f>IF(ISBLANK('Data Entry'!$_$260), "", 'Data Entry'!$_$260)</f>
      </c>
      <c r="AF260">
        <f>IF(ISBLANK('Data Entry'!$`$260), "", 'Data Entry'!$`$260)</f>
      </c>
      <c r="AG260">
        <f>IF(ISBLANK('Data Entry'!$a$260), "", 'Data Entry'!$a$260)</f>
      </c>
      <c r="AH260">
        <f>IF(ISBLANK('Data Entry'!$b$260), "", 'Data Entry'!$b$260)</f>
      </c>
      <c r="AI260">
        <f>IF(ISBLANK('Data Entry'!$c$260), "", 'Data Entry'!$c$260)</f>
      </c>
      <c r="AJ260">
        <f>IF(ISBLANK('Data Entry'!$d$260), "", 'Data Entry'!$d$260)</f>
      </c>
      <c r="AK260">
        <f>IF(ISBLANK('Data Entry'!$e$260), "", 'Data Entry'!$e$260)</f>
      </c>
      <c r="AL260">
        <f>IF(ISBLANK('Data Entry'!$f$260), "", 'Data Entry'!$f$260)</f>
      </c>
      <c r="AM260">
        <f>IF(ISBLANK('Data Entry'!$g$260), "", 'Data Entry'!$g$260)</f>
      </c>
      <c r="AN260">
        <f>IF(ISBLANK('Data Entry'!$h$260), "", 'Data Entry'!$h$260)</f>
      </c>
      <c r="AO260">
        <f>IF(ISBLANK('Data Entry'!$i$260), "", 'Data Entry'!$i$260)</f>
      </c>
      <c r="AP260">
        <f>IF(ISBLANK('Data Entry'!$j$260), "", 'Data Entry'!$j$260)</f>
      </c>
      <c r="AQ260">
        <f>IF(ISBLANK('Data Entry'!$k$260), "", 'Data Entry'!$k$260)</f>
      </c>
      <c r="AR260">
        <f>IF(ISBLANK('Data Entry'!$l$260), "", 'Data Entry'!$l$260)</f>
      </c>
      <c r="AS260">
        <f>IF(ISBLANK('Data Entry'!$m$260), "", 'Data Entry'!$m$260)</f>
      </c>
      <c r="AT260">
        <f>IF(ISBLANK('Data Entry'!$n$260), "", 'Data Entry'!$n$260)</f>
      </c>
      <c r="AU260">
        <f>IF(ISBLANK('Data Entry'!$o$260), "", 'Data Entry'!$o$260)</f>
      </c>
      <c r="AV260">
        <f>IF(ISBLANK('Data Entry'!$p$260), "", 'Data Entry'!$p$260)</f>
      </c>
      <c r="AW260">
        <f>IF(ISBLANK('Data Entry'!$q$260), "", 'Data Entry'!$q$260)</f>
      </c>
      <c r="AX260">
        <f>IF(ISBLANK('Data Entry'!$r$260), "", 'Data Entry'!$r$260)</f>
      </c>
      <c r="AY260">
        <f>IF(ISBLANK('Data Entry'!$s$260), "", 'Data Entry'!$s$260)</f>
      </c>
      <c r="AZ260">
        <f>IF(ISBLANK('Data Entry'!$t$260), "", 'Data Entry'!$t$260)</f>
      </c>
      <c r="BA260">
        <f>IF(ISBLANK('Data Entry'!$u$260), "", 'Data Entry'!$u$260)</f>
      </c>
      <c r="BB260">
        <f>IF(ISBLANK('Data Entry'!$v$260), "", 'Data Entry'!$v$260)</f>
      </c>
      <c r="BC260">
        <f>IF(ISBLANK('Data Entry'!$w$260), "", 'Data Entry'!$w$260)</f>
      </c>
      <c r="BD260">
        <f>IF(ISBLANK('Data Entry'!$x$260), "", 'Data Entry'!$x$260)</f>
      </c>
      <c r="BE260">
        <f>IF(ISBLANK('Data Entry'!$y$260), "", 'Data Entry'!$y$260)</f>
      </c>
      <c r="BF260">
        <f>IF(ISBLANK('Data Entry'!$z$260), "", 'Data Entry'!$z$260)</f>
      </c>
      <c r="BG260">
        <f>IF(ISBLANK('Data Entry'!${$260), "", 'Data Entry'!${$260)</f>
      </c>
      <c r="BH260">
        <f>IF(ISBLANK('Data Entry'!$|$260), "", 'Data Entry'!$|$260)</f>
      </c>
      <c r="BI260">
        <f>IF(ISBLANK('Data Entry'!$}$260), "", 'Data Entry'!$}$260)</f>
      </c>
      <c r="BJ260">
        <f>IF(ISBLANK('Data Entry'!$~$260), "", 'Data Entry'!$~$260)</f>
      </c>
      <c r="BK260">
        <f>IF(ISBLANK('Data Entry'!$$260), "", 'Data Entry'!$$260)</f>
      </c>
      <c r="BL260">
        <f>IF(ISBLANK('Data Entry'!$$260), "", 'Data Entry'!$$260)</f>
      </c>
      <c r="BM260">
        <f>IF(ISBLANK('Data Entry'!$$260), "", 'Data Entry'!$$260)</f>
      </c>
      <c r="BN260">
        <f>IF(ISBLANK('Data Entry'!$$260), "", 'Data Entry'!$$260)</f>
      </c>
      <c r="BO260">
        <f>IF(ISBLANK('Data Entry'!$$260), "", 'Data Entry'!$$260)</f>
      </c>
      <c r="BP260">
        <f>IF(ISBLANK('Data Entry'!$$260), "", 'Data Entry'!$$260)</f>
      </c>
      <c r="BQ260">
        <f>IF(ISBLANK('Data Entry'!$$260), "", 'Data Entry'!$$260)</f>
      </c>
      <c r="BR260">
        <f>IF(ISBLANK('Data Entry'!$$260), "", 'Data Entry'!$$260)</f>
      </c>
      <c r="BS260">
        <f>IF(ISBLANK('Data Entry'!$$260), "", 'Data Entry'!$$260)</f>
      </c>
      <c r="BT260">
        <f>IF(ISBLANK('Data Entry'!$$260), "", 'Data Entry'!$$260)</f>
      </c>
      <c r="BU260">
        <f>IF(ISBLANK('Data Entry'!$$260), "", 'Data Entry'!$$260)</f>
      </c>
      <c r="BV260">
        <f>IF(ISBLANK('Data Entry'!$$260), "", 'Data Entry'!$$260)</f>
      </c>
      <c r="BW260">
        <f>IF(ISBLANK('Data Entry'!$$260), "", 'Data Entry'!$$260)</f>
      </c>
      <c r="BX260">
        <f>IF(ISBLANK('Data Entry'!$$260), "", 'Data Entry'!$$260)</f>
      </c>
      <c r="BY260">
        <f>IF(ISBLANK('Data Entry'!$$260), "", 'Data Entry'!$$260)</f>
      </c>
      <c r="BZ260">
        <f>IF(ISBLANK('Data Entry'!$$260), "", 'Data Entry'!$$260)</f>
      </c>
      <c r="CA260">
        <f>IF(ISBLANK('Data Entry'!$$260), "", 'Data Entry'!$$260)</f>
      </c>
      <c r="CB260">
        <f>IF(ISBLANK('Data Entry'!$$260), "", 'Data Entry'!$$260)</f>
      </c>
      <c r="CC260">
        <f>IF(ISBLANK('Data Entry'!$$260), "", 'Data Entry'!$$260)</f>
      </c>
      <c r="CD260">
        <f>IF(ISBLANK('Data Entry'!$$260), "", 'Data Entry'!$$260)</f>
      </c>
      <c r="CE260">
        <f>IF(ISBLANK('Data Entry'!$$260), "", 'Data Entry'!$$260)</f>
      </c>
      <c r="CF260">
        <f>IF(ISBLANK('Data Entry'!$$260), "", 'Data Entry'!$$260)</f>
      </c>
      <c r="CG260">
        <f>IF(ISBLANK('Data Entry'!$$260), "", 'Data Entry'!$$260)</f>
      </c>
      <c r="CH260">
        <f>IF(ISBLANK('Data Entry'!$$260), "", 'Data Entry'!$$260)</f>
      </c>
      <c r="CI260">
        <f>IF(ISBLANK('Data Entry'!$$260), "", 'Data Entry'!$$260)</f>
      </c>
      <c r="CJ260">
        <f>IF(ISBLANK('Data Entry'!$$260), "", 'Data Entry'!$$260)</f>
      </c>
      <c r="CK260">
        <f>IF(ISBLANK('Data Entry'!$$260), "", 'Data Entry'!$$260)</f>
      </c>
      <c r="CL260">
        <f>IF(ISBLANK('Data Entry'!$$260), "", 'Data Entry'!$$260)</f>
      </c>
      <c r="CM260">
        <f>IF(ISBLANK('Data Entry'!$$260), "", 'Data Entry'!$$260)</f>
      </c>
      <c r="CN260">
        <f>IF(ISBLANK('Data Entry'!$$260), "", 'Data Entry'!$$260)</f>
      </c>
      <c r="CO260">
        <f>IF(ISBLANK('Data Entry'!$$260), "", 'Data Entry'!$$260)</f>
      </c>
      <c r="CP260">
        <f>IF(ISBLANK('Data Entry'!$$260), "", 'Data Entry'!$$260)</f>
      </c>
      <c r="CQ260">
        <f>IF(ISBLANK('Data Entry'!$$260), "", 'Data Entry'!$$260)</f>
      </c>
      <c r="CR260">
        <f>IF(ISBLANK('Data Entry'!$ $260), "", 'Data Entry'!$ $260)</f>
      </c>
      <c r="CS260">
        <f>IF(ISBLANK('Data Entry'!$¡$260), "", 'Data Entry'!$¡$260)</f>
      </c>
      <c r="CT260">
        <f>IF(ISBLANK('Data Entry'!$¢$260), "", 'Data Entry'!$¢$260)</f>
      </c>
      <c r="CU260">
        <f>IF(ISBLANK('Data Entry'!$£$260), "", 'Data Entry'!$£$260)</f>
      </c>
      <c r="CV260">
        <f>IF(ISBLANK('Data Entry'!$¤$260), "", 'Data Entry'!$¤$260)</f>
      </c>
      <c r="CW260">
        <f>IF(ISBLANK('Data Entry'!$¥$260), "", 'Data Entry'!$¥$260)</f>
      </c>
      <c r="CX260">
        <f>IF(ISBLANK('Data Entry'!$¦$260), "", 'Data Entry'!$¦$260)</f>
      </c>
      <c r="CY260">
        <f>IF(ISBLANK('Data Entry'!$§$260), "", 'Data Entry'!$§$260)</f>
      </c>
      <c r="CZ260">
        <f>IF(ISBLANK('Data Entry'!$¨$260), "", 'Data Entry'!$¨$260)</f>
      </c>
      <c r="DA260">
        <f>IF(ISBLANK('Data Entry'!$©$260), "", 'Data Entry'!$©$260)</f>
      </c>
      <c r="DB260">
        <f>IF(ISBLANK('Data Entry'!$ª$260), "", 'Data Entry'!$ª$260)</f>
      </c>
      <c r="DC260">
        <f>IF(ISBLANK('Data Entry'!$«$260), "", 'Data Entry'!$«$260)</f>
      </c>
      <c r="DD260">
        <f>IF(ISBLANK('Data Entry'!$¬$260), "", 'Data Entry'!$¬$260)</f>
      </c>
      <c r="DE260">
        <f>IF(ISBLANK('Data Entry'!$­$260), "", 'Data Entry'!$­$260)</f>
      </c>
      <c r="DF260">
        <f>IF(ISBLANK('Data Entry'!$®$260), "", 'Data Entry'!$®$260)</f>
      </c>
      <c r="DG260">
        <f>IF(ISBLANK('Data Entry'!$¯$260), "", 'Data Entry'!$¯$260)</f>
      </c>
      <c r="DH260">
        <f>IF(ISBLANK('Data Entry'!$°$260), "", 'Data Entry'!$°$260)</f>
      </c>
      <c r="DI260">
        <f>IF(ISBLANK('Data Entry'!$±$260), "", 'Data Entry'!$±$260)</f>
      </c>
      <c r="DJ260">
        <f>IF(ISBLANK('Data Entry'!$²$260), "", 'Data Entry'!$²$260)</f>
      </c>
      <c r="DK260">
        <f>IF(ISBLANK('Data Entry'!$³$260), "", 'Data Entry'!$³$260)</f>
      </c>
      <c r="DL260">
        <f>IF(ISBLANK('Data Entry'!$´$260), "", 'Data Entry'!$´$260)</f>
      </c>
      <c r="DM260">
        <f>IF(ISBLANK('Data Entry'!$µ$260), "", 'Data Entry'!$µ$260)</f>
      </c>
      <c r="DN260">
        <f>IF(ISBLANK('Data Entry'!$¶$260), "", 'Data Entry'!$¶$260)</f>
      </c>
      <c r="DO260">
        <f>IF(ISBLANK('Data Entry'!$·$260), "", 'Data Entry'!$·$260)</f>
      </c>
      <c r="DP260">
        <f>IF(ISBLANK('Data Entry'!$¸$260), "", 'Data Entry'!$¸$260)</f>
      </c>
      <c r="DQ260">
        <f>IF(ISBLANK('Data Entry'!$¹$260), "", 'Data Entry'!$¹$260)</f>
      </c>
      <c r="DR260">
        <f>IF(ISBLANK('Data Entry'!$º$260), "", 'Data Entry'!$º$260)</f>
      </c>
      <c r="DS260">
        <f>IF(ISBLANK('Data Entry'!$»$260), "", 'Data Entry'!$»$260)</f>
      </c>
      <c r="DT260">
        <f>IF(ISBLANK('Data Entry'!$¼$260), "", 'Data Entry'!$¼$260)</f>
      </c>
      <c r="DU260">
        <f>IF(ISBLANK('Data Entry'!$½$260), "", 'Data Entry'!$½$260)</f>
      </c>
      <c r="DV260">
        <f>IF(ISBLANK('Data Entry'!$¾$260), "", 'Data Entry'!$¾$260)</f>
      </c>
      <c r="DW260">
        <f>IF(ISBLANK('Data Entry'!$¿$260), "", 'Data Entry'!$¿$260)</f>
      </c>
      <c r="DX260">
        <f>IF(ISBLANK('Data Entry'!$À$260), "", 'Data Entry'!$À$260)</f>
      </c>
      <c r="DY260">
        <f>IF(ISBLANK('Data Entry'!$Á$260), "", 'Data Entry'!$Á$260)</f>
      </c>
      <c r="DZ260">
        <f>IF(ISBLANK('Data Entry'!$Â$260), "", 'Data Entry'!$Â$260)</f>
      </c>
      <c r="EA260">
        <f>IF(ISBLANK('Data Entry'!$Ã$260), "", 'Data Entry'!$Ã$260)</f>
      </c>
      <c r="EB260">
        <f>IF(ISBLANK('Data Entry'!$Ä$260), "", 'Data Entry'!$Ä$260)</f>
      </c>
      <c r="EC260">
        <f>IF(ISBLANK('Data Entry'!$Å$260), "", 'Data Entry'!$Å$260)</f>
      </c>
      <c r="ED260">
        <f>IF(ISBLANK('Data Entry'!$Æ$260), "", 'Data Entry'!$Æ$260)</f>
      </c>
      <c r="EE260">
        <f>IF(ISBLANK('Data Entry'!$Ç$260), "", 'Data Entry'!$Ç$260)</f>
      </c>
      <c r="EF260">
        <f>IF(ISBLANK('Data Entry'!$È$260), "", 'Data Entry'!$È$260)</f>
      </c>
      <c r="EG260">
        <f>IF(ISBLANK('Data Entry'!$É$260), "", 'Data Entry'!$É$260)</f>
      </c>
      <c r="EH260">
        <f>IF(ISBLANK('Data Entry'!$Ê$260), "", 'Data Entry'!$Ê$260)</f>
      </c>
      <c r="EI260">
        <f>IF(ISBLANK('Data Entry'!$Ë$260), "", 'Data Entry'!$Ë$260)</f>
      </c>
      <c r="EJ260">
        <f>IF(ISBLANK('Data Entry'!$Ì$260), "", 'Data Entry'!$Ì$260)</f>
      </c>
      <c r="EK260">
        <f>IF(ISBLANK('Data Entry'!$Í$260), "", 'Data Entry'!$Í$260)</f>
      </c>
      <c r="EL260">
        <f>IF(ISBLANK('Data Entry'!$Î$260), "", 'Data Entry'!$Î$260)</f>
      </c>
      <c r="EM260">
        <f>IF(ISBLANK('Data Entry'!$Ï$260), "", 'Data Entry'!$Ï$260)</f>
      </c>
      <c r="EN260">
        <f>IF(ISBLANK('Data Entry'!$Ð$260), "", 'Data Entry'!$Ð$260)</f>
      </c>
      <c r="EO260">
        <f>IF(ISBLANK('Data Entry'!$Ñ$260), "", 'Data Entry'!$Ñ$260)</f>
      </c>
      <c r="EP260">
        <f>IF(ISBLANK('Data Entry'!$Ò$260), "", 'Data Entry'!$Ò$260)</f>
      </c>
      <c r="EQ260">
        <f>IF(ISBLANK('Data Entry'!$Ó$260), "", 'Data Entry'!$Ó$260)</f>
      </c>
      <c r="ER260">
        <f>IF(ISBLANK('Data Entry'!$Ô$260), "", 'Data Entry'!$Ô$260)</f>
      </c>
      <c r="ES260">
        <f>IF(ISBLANK('Data Entry'!$Õ$260), "", 'Data Entry'!$Õ$260)</f>
      </c>
      <c r="ET260">
        <f>IF(ISBLANK('Data Entry'!$Ö$260), "", 'Data Entry'!$Ö$260)</f>
      </c>
      <c r="EU260">
        <f>IF(ISBLANK('Data Entry'!$×$260), "", 'Data Entry'!$×$260)</f>
      </c>
      <c r="EV260">
        <f>IF(ISBLANK('Data Entry'!$Ø$260), "", 'Data Entry'!$Ø$260)</f>
      </c>
      <c r="EW260">
        <f>IF(ISBLANK('Data Entry'!$Ù$260), "", 'Data Entry'!$Ù$260)</f>
      </c>
      <c r="EX260">
        <f>IF(ISBLANK('Data Entry'!$Ú$260), "", 'Data Entry'!$Ú$260)</f>
      </c>
      <c r="EY260">
        <f>IF(ISBLANK('Data Entry'!$Û$260), "", 'Data Entry'!$Û$260)</f>
      </c>
      <c r="EZ260">
        <f>IF(ISBLANK('Data Entry'!$Ü$260), "", 'Data Entry'!$Ü$260)</f>
      </c>
      <c r="FA260">
        <f>IF(ISBLANK('Data Entry'!$Ý$260), "", 'Data Entry'!$Ý$260)</f>
      </c>
      <c r="FB260">
        <f>IF(ISBLANK('Data Entry'!$Þ$260), "", 'Data Entry'!$Þ$260)</f>
      </c>
      <c r="FC260">
        <f>IF(ISBLANK('Data Entry'!$ß$260), "", 'Data Entry'!$ß$260)</f>
      </c>
      <c r="FD260">
        <f>IF(ISBLANK('Data Entry'!$à$260), "", 'Data Entry'!$à$260)</f>
      </c>
      <c r="FE260">
        <f>IF(ISBLANK('Data Entry'!$á$260), "", 'Data Entry'!$á$260)</f>
      </c>
      <c r="FF260">
        <f>IF(ISBLANK('Data Entry'!$â$260), "", 'Data Entry'!$â$260)</f>
      </c>
      <c r="FG260">
        <f>IF(ISBLANK('Data Entry'!$ã$260), "", 'Data Entry'!$ã$260)</f>
      </c>
      <c r="FH260">
        <f>IF(ISBLANK('Data Entry'!$ä$260), "", 'Data Entry'!$ä$260)</f>
      </c>
      <c r="FI260">
        <f>IF(ISBLANK('Data Entry'!$å$260), "", 'Data Entry'!$å$260)</f>
      </c>
      <c r="FJ260">
        <f>IF(ISBLANK('Data Entry'!$æ$260), "", 'Data Entry'!$æ$260)</f>
      </c>
      <c r="FK260">
        <f>IF(ISBLANK('Data Entry'!$ç$260), "", 'Data Entry'!$ç$260)</f>
      </c>
      <c r="FL260">
        <f>IF(ISBLANK('Data Entry'!$è$260), "", 'Data Entry'!$è$260)</f>
      </c>
      <c r="FM260">
        <f>IF(ISBLANK('Data Entry'!$é$260), "", 'Data Entry'!$é$260)</f>
      </c>
      <c r="FN260">
        <f>IF(ISBLANK('Data Entry'!$ê$260), "", 'Data Entry'!$ê$260)</f>
      </c>
      <c r="FO260">
        <f>IF(ISBLANK('Data Entry'!$ë$260), "", 'Data Entry'!$ë$260)</f>
      </c>
      <c r="FP260">
        <f>IF(ISBLANK('Data Entry'!$ì$260), "", 'Data Entry'!$ì$260)</f>
      </c>
      <c r="FQ260">
        <f>IF(ISBLANK('Data Entry'!$í$260), "", 'Data Entry'!$í$260)</f>
      </c>
      <c r="FR260">
        <f>IF(ISBLANK('Data Entry'!$î$260), "", 'Data Entry'!$î$260)</f>
      </c>
      <c r="FS260">
        <f>IF(ISBLANK('Data Entry'!$ï$260), "", 'Data Entry'!$ï$260)</f>
      </c>
      <c r="FT260">
        <f>IF(ISBLANK('Data Entry'!$ð$260), "", 'Data Entry'!$ð$260)</f>
      </c>
      <c r="FU260">
        <f>IF(ISBLANK('Data Entry'!$ñ$260), "", 'Data Entry'!$ñ$260)</f>
      </c>
      <c r="FV260">
        <f>IF(ISBLANK('Data Entry'!$ò$260), "", 'Data Entry'!$ò$260)</f>
      </c>
      <c r="FW260">
        <f>IF(ISBLANK('Data Entry'!$ó$260), "", 'Data Entry'!$ó$260)</f>
      </c>
      <c r="FX260">
        <f>IF(ISBLANK('Data Entry'!$ô$260), "", 'Data Entry'!$ô$260)</f>
      </c>
      <c r="FY260">
        <f>IF(ISBLANK('Data Entry'!$õ$260), "", 'Data Entry'!$õ$260)</f>
      </c>
      <c r="FZ260">
        <f>IF(ISBLANK('Data Entry'!$ö$260), "", 'Data Entry'!$ö$260)</f>
      </c>
      <c r="GA260">
        <f>IF(ISBLANK('Data Entry'!$÷$260), "", 'Data Entry'!$÷$260)</f>
      </c>
      <c r="GB260">
        <f>IF(ISBLANK('Data Entry'!$ø$260), "", 'Data Entry'!$ø$260)</f>
      </c>
      <c r="GC260">
        <f>IF(ISBLANK('Data Entry'!$ù$260), "", 'Data Entry'!$ù$260)</f>
      </c>
      <c r="GD260">
        <f>IF(ISBLANK('Data Entry'!$ú$260), "", 'Data Entry'!$ú$260)</f>
      </c>
      <c r="GE260">
        <f>IF(ISBLANK('Data Entry'!$û$260), "", 'Data Entry'!$û$260)</f>
      </c>
      <c r="GF260">
        <f>IF(ISBLANK('Data Entry'!$ü$260), "", 'Data Entry'!$ü$260)</f>
      </c>
      <c r="GG260">
        <f>IF(ISBLANK('Data Entry'!$ý$260), "", 'Data Entry'!$ý$260)</f>
      </c>
      <c r="GH260">
        <f>IF(ISBLANK('Data Entry'!$þ$260), "", 'Data Entry'!$þ$260)</f>
      </c>
      <c r="GI260">
        <f>IF(ISBLANK('Data Entry'!$ÿ$260), "", 'Data Entry'!$ÿ$260)</f>
      </c>
      <c r="GJ260">
        <f>IF(ISBLANK('Data Entry'!$Ā$260), "", 'Data Entry'!$Ā$260)</f>
      </c>
      <c r="GK260">
        <f>IF(ISBLANK('Data Entry'!$ā$260), "", 'Data Entry'!$ā$260)</f>
      </c>
      <c r="GL260">
        <f>IF(ISBLANK('Data Entry'!$Ă$260), "", 'Data Entry'!$Ă$260)</f>
      </c>
      <c r="GM260">
        <f>IF(ISBLANK('Data Entry'!$ă$260), "", 'Data Entry'!$ă$260)</f>
      </c>
      <c r="GN260">
        <f>IF(ISBLANK('Data Entry'!$Ą$260), "", 'Data Entry'!$Ą$260)</f>
      </c>
      <c r="GO260">
        <f>IF(ISBLANK('Data Entry'!$ą$260), "", 'Data Entry'!$ą$260)</f>
      </c>
      <c r="GP260">
        <f>IF(ISBLANK('Data Entry'!$Ć$260), "", 'Data Entry'!$Ć$260)</f>
      </c>
      <c r="GQ260">
        <f>IF(ISBLANK('Data Entry'!$ć$260), "", 'Data Entry'!$ć$260)</f>
      </c>
      <c r="GR260">
        <f>IF(ISBLANK('Data Entry'!$Ĉ$260), "", 'Data Entry'!$Ĉ$260)</f>
      </c>
      <c r="GS260">
        <f>IF(ISBLANK('Data Entry'!$ĉ$260), "", 'Data Entry'!$ĉ$260)</f>
      </c>
      <c r="GT260">
        <f>IF(ISBLANK('Data Entry'!$Ċ$260), "", 'Data Entry'!$Ċ$260)</f>
      </c>
      <c r="GU260">
        <f>IF(ISBLANK('Data Entry'!$ċ$260), "", 'Data Entry'!$ċ$260)</f>
      </c>
      <c r="GV260">
        <f>IF(ISBLANK('Data Entry'!$Č$260), "", 'Data Entry'!$Č$260)</f>
      </c>
      <c r="GW260">
        <f>IF(ISBLANK('Data Entry'!$č$260), "", 'Data Entry'!$č$260)</f>
      </c>
      <c r="GX260">
        <f>IF(ISBLANK('Data Entry'!$Ď$260), "", 'Data Entry'!$Ď$260)</f>
      </c>
      <c r="GY260">
        <f>IF(ISBLANK('Data Entry'!$ď$260), "", 'Data Entry'!$ď$260)</f>
      </c>
      <c r="GZ260">
        <f>IF(ISBLANK('Data Entry'!$Đ$260), "", 'Data Entry'!$Đ$260)</f>
      </c>
      <c r="HA260">
        <f>IF(ISBLANK('Data Entry'!$đ$260), "", 'Data Entry'!$đ$260)</f>
      </c>
      <c r="HB260">
        <f>IF(ISBLANK('Data Entry'!$Ē$260), "", 'Data Entry'!$Ē$260)</f>
      </c>
      <c r="HC260">
        <f>IF(ISBLANK('Data Entry'!$ē$260), "", 'Data Entry'!$ē$260)</f>
      </c>
      <c r="HD260">
        <f>IF(ISBLANK('Data Entry'!$Ĕ$260), "", 'Data Entry'!$Ĕ$260)</f>
      </c>
      <c r="HE260">
        <f>IF(ISBLANK('Data Entry'!$ĕ$260), "", 'Data Entry'!$ĕ$260)</f>
      </c>
      <c r="HF260">
        <f>IF(ISBLANK('Data Entry'!$Ė$260), "", 'Data Entry'!$Ė$260)</f>
      </c>
      <c r="HG260">
        <f>IF(ISBLANK('Data Entry'!$ė$260), "", 'Data Entry'!$ė$260)</f>
      </c>
      <c r="HH260">
        <f>IF(ISBLANK('Data Entry'!$Ę$260), "", 'Data Entry'!$Ę$260)</f>
      </c>
      <c r="HI260">
        <f>IF(ISBLANK('Data Entry'!$ę$260), "", 'Data Entry'!$ę$260)</f>
      </c>
      <c r="HJ260">
        <f>IF(ISBLANK('Data Entry'!$Ě$260), "", 'Data Entry'!$Ě$260)</f>
      </c>
      <c r="HK260">
        <f>IF(ISBLANK('Data Entry'!$ě$260), "", 'Data Entry'!$ě$260)</f>
      </c>
      <c r="HL260">
        <f>IF(ISBLANK('Data Entry'!$Ĝ$260), "", 'Data Entry'!$Ĝ$260)</f>
      </c>
      <c r="HM260">
        <f>IF(ISBLANK('Data Entry'!$ĝ$260), "", 'Data Entry'!$ĝ$260)</f>
      </c>
      <c r="HN260">
        <f>IF(ISBLANK('Data Entry'!$Ğ$260), "", 'Data Entry'!$Ğ$260)</f>
      </c>
      <c r="HO260">
        <f>IF(ISBLANK('Data Entry'!$ğ$260), "", 'Data Entry'!$ğ$260)</f>
      </c>
      <c r="HP260">
        <f>IF(ISBLANK('Data Entry'!$Ġ$260), "", 'Data Entry'!$Ġ$260)</f>
      </c>
      <c r="HQ260">
        <f>IF(ISBLANK('Data Entry'!$ġ$260), "", 'Data Entry'!$ġ$260)</f>
      </c>
      <c r="HR260">
        <f>IF(ISBLANK('Data Entry'!$Ģ$260), "", 'Data Entry'!$Ģ$260)</f>
      </c>
      <c r="HS260">
        <f>IF(ISBLANK('Data Entry'!$ģ$260), "", 'Data Entry'!$ģ$260)</f>
      </c>
      <c r="HT260">
        <f>IF(ISBLANK('Data Entry'!$Ĥ$260), "", 'Data Entry'!$Ĥ$260)</f>
      </c>
      <c r="HU260">
        <f>IF(ISBLANK('Data Entry'!$ĥ$260), "", 'Data Entry'!$ĥ$260)</f>
      </c>
      <c r="HV260">
        <f>IF(ISBLANK('Data Entry'!$Ħ$260), "", 'Data Entry'!$Ħ$260)</f>
      </c>
      <c r="HW260">
        <f>IF(ISBLANK('Data Entry'!$ħ$260), "", 'Data Entry'!$ħ$260)</f>
      </c>
      <c r="HX260">
        <f>IF(ISBLANK('Data Entry'!$Ĩ$260), "", 'Data Entry'!$Ĩ$260)</f>
      </c>
      <c r="HY260">
        <f>IF(ISBLANK('Data Entry'!$ĩ$260), "", 'Data Entry'!$ĩ$260)</f>
      </c>
      <c r="HZ260">
        <f>IF(ISBLANK('Data Entry'!$Ī$260), "", 'Data Entry'!$Ī$260)</f>
      </c>
      <c r="IA260">
        <f>IF(ISBLANK('Data Entry'!$ī$260), "", 'Data Entry'!$ī$260)</f>
      </c>
      <c r="IB260">
        <f>IF(ISBLANK('Data Entry'!$Ĭ$260), "", 'Data Entry'!$Ĭ$260)</f>
      </c>
      <c r="IC260">
        <f>IF(ISBLANK('Data Entry'!$ĭ$260), "", 'Data Entry'!$ĭ$260)</f>
      </c>
      <c r="ID260">
        <f>IF(ISBLANK('Data Entry'!$Į$260), "", 'Data Entry'!$Į$260)</f>
      </c>
      <c r="IE260">
        <f>IF(ISBLANK('Data Entry'!$į$260), "", 'Data Entry'!$į$260)</f>
      </c>
      <c r="IF260">
        <f>IF(ISBLANK('Data Entry'!$İ$260), "", 'Data Entry'!$İ$260)</f>
      </c>
      <c r="IG260">
        <f>IF(ISBLANK('Data Entry'!$ı$260), "", 'Data Entry'!$ı$260)</f>
      </c>
      <c r="IH260">
        <f>IF(ISBLANK('Data Entry'!$Ĳ$260), "", 'Data Entry'!$Ĳ$260)</f>
      </c>
      <c r="II260">
        <f>IF(ISBLANK('Data Entry'!$ĳ$260), "", 'Data Entry'!$ĳ$260)</f>
      </c>
      <c r="IJ260">
        <f>IF(ISBLANK('Data Entry'!$Ĵ$260), "", 'Data Entry'!$Ĵ$260)</f>
      </c>
      <c r="IK260">
        <f>IF(ISBLANK('Data Entry'!$ĵ$260), "", 'Data Entry'!$ĵ$260)</f>
      </c>
      <c r="IL260">
        <f>IF(ISBLANK('Data Entry'!$Ķ$260), "", 'Data Entry'!$Ķ$260)</f>
      </c>
      <c r="IM260">
        <f>IF(ISBLANK('Data Entry'!$ķ$260), "", 'Data Entry'!$ķ$260)</f>
      </c>
      <c r="IN260">
        <f>IF(ISBLANK('Data Entry'!$ĸ$260), "", 'Data Entry'!$ĸ$260)</f>
      </c>
      <c r="IO260">
        <f>IF(ISBLANK('Data Entry'!$Ĺ$260), "", 'Data Entry'!$Ĺ$260)</f>
      </c>
      <c r="IP260">
        <f>IF(ISBLANK('Data Entry'!$ĺ$260), "", 'Data Entry'!$ĺ$260)</f>
      </c>
      <c r="IQ260">
        <f>IF(ISBLANK('Data Entry'!$Ļ$260), "", 'Data Entry'!$Ļ$260)</f>
      </c>
      <c r="IR260">
        <f>IF(ISBLANK('Data Entry'!$ļ$260), "", 'Data Entry'!$ļ$260)</f>
      </c>
      <c r="IS260">
        <f>IF(ISBLANK('Data Entry'!$Ľ$260), "", 'Data Entry'!$Ľ$260)</f>
      </c>
      <c r="IT260">
        <f>IF(ISBLANK('Data Entry'!$ľ$260), "", 'Data Entry'!$ľ$260)</f>
      </c>
    </row>
    <row r="261" spans="1:254" x14ac:dyDescent="0.25">
      <c r="A261">
        <f>IF(ISBLANK('Data Entry'!$A$261), "", 'Data Entry'!$A$261)</f>
      </c>
      <c r="B261">
        <f>IF(ISBLANK('Data Entry'!$B$261), "", 'Data Entry'!$B$261)</f>
      </c>
      <c r="C261">
        <f>IF(ISBLANK('Data Entry'!$C$261), "", 'Data Entry'!$C$261)</f>
      </c>
      <c r="D261">
        <f>IF(ISBLANK('Data Entry'!$D$261), "", 'Data Entry'!$D$261)</f>
      </c>
      <c r="E261">
        <f>IF(ISBLANK('Data Entry'!$E$261), "", 'Data Entry'!$E$261)</f>
      </c>
      <c r="F261">
        <f>IF(ISBLANK('Data Entry'!$F$261), "", 'Data Entry'!$F$261)</f>
      </c>
      <c r="G261">
        <f>IF(ISBLANK('Data Entry'!$G$261), "", 'Data Entry'!$G$261)</f>
      </c>
      <c r="H261">
        <f>IF(ISBLANK('Data Entry'!$H$261), "", 'Data Entry'!$H$261)</f>
      </c>
      <c r="I261">
        <f>IF(ISBLANK('Data Entry'!$I$261), "", 'Data Entry'!$I$261)</f>
      </c>
      <c r="J261">
        <f>IF(ISBLANK('Data Entry'!$J$261), "", 'Data Entry'!$J$261)</f>
      </c>
      <c r="K261">
        <f>IF(ISBLANK('Data Entry'!$K$261), "", 'Data Entry'!$K$261)</f>
      </c>
      <c r="L261">
        <f>IF(ISBLANK('Data Entry'!$L$261), "", 'Data Entry'!$L$261)</f>
      </c>
      <c r="M261">
        <f>IF(ISBLANK('Data Entry'!$M$261), "", 'Data Entry'!$M$261)</f>
      </c>
      <c r="N261">
        <f>IF(ISBLANK('Data Entry'!$N$261), "", 'Data Entry'!$N$261)</f>
      </c>
      <c r="O261">
        <f>IF(ISBLANK('Data Entry'!$O$261), "", 'Data Entry'!$O$261)</f>
      </c>
      <c r="P261">
        <f>IF(ISBLANK('Data Entry'!$P$261), "", 'Data Entry'!$P$261)</f>
      </c>
      <c r="Q261">
        <f>IF(ISBLANK('Data Entry'!$Q$261), "", 'Data Entry'!$Q$261)</f>
      </c>
      <c r="R261">
        <f>IF(ISBLANK('Data Entry'!$R$261), "", 'Data Entry'!$R$261)</f>
      </c>
      <c r="S261">
        <f>IF(ISBLANK('Data Entry'!$S$261), "", 'Data Entry'!$S$261)</f>
      </c>
      <c r="T261">
        <f>IF(ISBLANK('Data Entry'!$T$261), "", 'Data Entry'!$T$261)</f>
      </c>
      <c r="U261">
        <f>IF(ISBLANK('Data Entry'!$U$261), "", 'Data Entry'!$U$261)</f>
      </c>
      <c r="V261">
        <f>IF(ISBLANK('Data Entry'!$V$261), "", 'Data Entry'!$V$261)</f>
      </c>
      <c r="W261">
        <f>IF(ISBLANK('Data Entry'!$W$261), "", 'Data Entry'!$W$261)</f>
      </c>
      <c r="X261">
        <f>IF(ISBLANK('Data Entry'!$X$261), "", 'Data Entry'!$X$261)</f>
      </c>
      <c r="Y261">
        <f>IF(ISBLANK('Data Entry'!$Y$261), "", 'Data Entry'!$Y$261)</f>
      </c>
      <c r="Z261">
        <f>IF(ISBLANK('Data Entry'!$Z$261), "", 'Data Entry'!$Z$261)</f>
      </c>
      <c r="AA261">
        <f>IF(ISBLANK('Data Entry'!$[$261), "", 'Data Entry'!$[$261)</f>
      </c>
      <c r="AB261">
        <f>IF(ISBLANK('Data Entry'!$\$261), "", 'Data Entry'!$\$261)</f>
      </c>
      <c r="AC261">
        <f>IF(ISBLANK('Data Entry'!$]$261), "", 'Data Entry'!$]$261)</f>
      </c>
      <c r="AD261">
        <f>IF(ISBLANK('Data Entry'!$^$261), "", 'Data Entry'!$^$261)</f>
      </c>
      <c r="AE261">
        <f>IF(ISBLANK('Data Entry'!$_$261), "", 'Data Entry'!$_$261)</f>
      </c>
      <c r="AF261">
        <f>IF(ISBLANK('Data Entry'!$`$261), "", 'Data Entry'!$`$261)</f>
      </c>
      <c r="AG261">
        <f>IF(ISBLANK('Data Entry'!$a$261), "", 'Data Entry'!$a$261)</f>
      </c>
      <c r="AH261">
        <f>IF(ISBLANK('Data Entry'!$b$261), "", 'Data Entry'!$b$261)</f>
      </c>
      <c r="AI261">
        <f>IF(ISBLANK('Data Entry'!$c$261), "", 'Data Entry'!$c$261)</f>
      </c>
      <c r="AJ261">
        <f>IF(ISBLANK('Data Entry'!$d$261), "", 'Data Entry'!$d$261)</f>
      </c>
      <c r="AK261">
        <f>IF(ISBLANK('Data Entry'!$e$261), "", 'Data Entry'!$e$261)</f>
      </c>
      <c r="AL261">
        <f>IF(ISBLANK('Data Entry'!$f$261), "", 'Data Entry'!$f$261)</f>
      </c>
      <c r="AM261">
        <f>IF(ISBLANK('Data Entry'!$g$261), "", 'Data Entry'!$g$261)</f>
      </c>
      <c r="AN261">
        <f>IF(ISBLANK('Data Entry'!$h$261), "", 'Data Entry'!$h$261)</f>
      </c>
      <c r="AO261">
        <f>IF(ISBLANK('Data Entry'!$i$261), "", 'Data Entry'!$i$261)</f>
      </c>
      <c r="AP261">
        <f>IF(ISBLANK('Data Entry'!$j$261), "", 'Data Entry'!$j$261)</f>
      </c>
      <c r="AQ261">
        <f>IF(ISBLANK('Data Entry'!$k$261), "", 'Data Entry'!$k$261)</f>
      </c>
      <c r="AR261">
        <f>IF(ISBLANK('Data Entry'!$l$261), "", 'Data Entry'!$l$261)</f>
      </c>
      <c r="AS261">
        <f>IF(ISBLANK('Data Entry'!$m$261), "", 'Data Entry'!$m$261)</f>
      </c>
      <c r="AT261">
        <f>IF(ISBLANK('Data Entry'!$n$261), "", 'Data Entry'!$n$261)</f>
      </c>
      <c r="AU261">
        <f>IF(ISBLANK('Data Entry'!$o$261), "", 'Data Entry'!$o$261)</f>
      </c>
      <c r="AV261">
        <f>IF(ISBLANK('Data Entry'!$p$261), "", 'Data Entry'!$p$261)</f>
      </c>
      <c r="AW261">
        <f>IF(ISBLANK('Data Entry'!$q$261), "", 'Data Entry'!$q$261)</f>
      </c>
      <c r="AX261">
        <f>IF(ISBLANK('Data Entry'!$r$261), "", 'Data Entry'!$r$261)</f>
      </c>
      <c r="AY261">
        <f>IF(ISBLANK('Data Entry'!$s$261), "", 'Data Entry'!$s$261)</f>
      </c>
      <c r="AZ261">
        <f>IF(ISBLANK('Data Entry'!$t$261), "", 'Data Entry'!$t$261)</f>
      </c>
      <c r="BA261">
        <f>IF(ISBLANK('Data Entry'!$u$261), "", 'Data Entry'!$u$261)</f>
      </c>
      <c r="BB261">
        <f>IF(ISBLANK('Data Entry'!$v$261), "", 'Data Entry'!$v$261)</f>
      </c>
      <c r="BC261">
        <f>IF(ISBLANK('Data Entry'!$w$261), "", 'Data Entry'!$w$261)</f>
      </c>
      <c r="BD261">
        <f>IF(ISBLANK('Data Entry'!$x$261), "", 'Data Entry'!$x$261)</f>
      </c>
      <c r="BE261">
        <f>IF(ISBLANK('Data Entry'!$y$261), "", 'Data Entry'!$y$261)</f>
      </c>
      <c r="BF261">
        <f>IF(ISBLANK('Data Entry'!$z$261), "", 'Data Entry'!$z$261)</f>
      </c>
      <c r="BG261">
        <f>IF(ISBLANK('Data Entry'!${$261), "", 'Data Entry'!${$261)</f>
      </c>
      <c r="BH261">
        <f>IF(ISBLANK('Data Entry'!$|$261), "", 'Data Entry'!$|$261)</f>
      </c>
      <c r="BI261">
        <f>IF(ISBLANK('Data Entry'!$}$261), "", 'Data Entry'!$}$261)</f>
      </c>
      <c r="BJ261">
        <f>IF(ISBLANK('Data Entry'!$~$261), "", 'Data Entry'!$~$261)</f>
      </c>
      <c r="BK261">
        <f>IF(ISBLANK('Data Entry'!$$261), "", 'Data Entry'!$$261)</f>
      </c>
      <c r="BL261">
        <f>IF(ISBLANK('Data Entry'!$$261), "", 'Data Entry'!$$261)</f>
      </c>
      <c r="BM261">
        <f>IF(ISBLANK('Data Entry'!$$261), "", 'Data Entry'!$$261)</f>
      </c>
      <c r="BN261">
        <f>IF(ISBLANK('Data Entry'!$$261), "", 'Data Entry'!$$261)</f>
      </c>
      <c r="BO261">
        <f>IF(ISBLANK('Data Entry'!$$261), "", 'Data Entry'!$$261)</f>
      </c>
      <c r="BP261">
        <f>IF(ISBLANK('Data Entry'!$$261), "", 'Data Entry'!$$261)</f>
      </c>
      <c r="BQ261">
        <f>IF(ISBLANK('Data Entry'!$$261), "", 'Data Entry'!$$261)</f>
      </c>
      <c r="BR261">
        <f>IF(ISBLANK('Data Entry'!$$261), "", 'Data Entry'!$$261)</f>
      </c>
      <c r="BS261">
        <f>IF(ISBLANK('Data Entry'!$$261), "", 'Data Entry'!$$261)</f>
      </c>
      <c r="BT261">
        <f>IF(ISBLANK('Data Entry'!$$261), "", 'Data Entry'!$$261)</f>
      </c>
      <c r="BU261">
        <f>IF(ISBLANK('Data Entry'!$$261), "", 'Data Entry'!$$261)</f>
      </c>
      <c r="BV261">
        <f>IF(ISBLANK('Data Entry'!$$261), "", 'Data Entry'!$$261)</f>
      </c>
      <c r="BW261">
        <f>IF(ISBLANK('Data Entry'!$$261), "", 'Data Entry'!$$261)</f>
      </c>
      <c r="BX261">
        <f>IF(ISBLANK('Data Entry'!$$261), "", 'Data Entry'!$$261)</f>
      </c>
      <c r="BY261">
        <f>IF(ISBLANK('Data Entry'!$$261), "", 'Data Entry'!$$261)</f>
      </c>
      <c r="BZ261">
        <f>IF(ISBLANK('Data Entry'!$$261), "", 'Data Entry'!$$261)</f>
      </c>
      <c r="CA261">
        <f>IF(ISBLANK('Data Entry'!$$261), "", 'Data Entry'!$$261)</f>
      </c>
      <c r="CB261">
        <f>IF(ISBLANK('Data Entry'!$$261), "", 'Data Entry'!$$261)</f>
      </c>
      <c r="CC261">
        <f>IF(ISBLANK('Data Entry'!$$261), "", 'Data Entry'!$$261)</f>
      </c>
      <c r="CD261">
        <f>IF(ISBLANK('Data Entry'!$$261), "", 'Data Entry'!$$261)</f>
      </c>
      <c r="CE261">
        <f>IF(ISBLANK('Data Entry'!$$261), "", 'Data Entry'!$$261)</f>
      </c>
      <c r="CF261">
        <f>IF(ISBLANK('Data Entry'!$$261), "", 'Data Entry'!$$261)</f>
      </c>
      <c r="CG261">
        <f>IF(ISBLANK('Data Entry'!$$261), "", 'Data Entry'!$$261)</f>
      </c>
      <c r="CH261">
        <f>IF(ISBLANK('Data Entry'!$$261), "", 'Data Entry'!$$261)</f>
      </c>
      <c r="CI261">
        <f>IF(ISBLANK('Data Entry'!$$261), "", 'Data Entry'!$$261)</f>
      </c>
      <c r="CJ261">
        <f>IF(ISBLANK('Data Entry'!$$261), "", 'Data Entry'!$$261)</f>
      </c>
      <c r="CK261">
        <f>IF(ISBLANK('Data Entry'!$$261), "", 'Data Entry'!$$261)</f>
      </c>
      <c r="CL261">
        <f>IF(ISBLANK('Data Entry'!$$261), "", 'Data Entry'!$$261)</f>
      </c>
      <c r="CM261">
        <f>IF(ISBLANK('Data Entry'!$$261), "", 'Data Entry'!$$261)</f>
      </c>
      <c r="CN261">
        <f>IF(ISBLANK('Data Entry'!$$261), "", 'Data Entry'!$$261)</f>
      </c>
      <c r="CO261">
        <f>IF(ISBLANK('Data Entry'!$$261), "", 'Data Entry'!$$261)</f>
      </c>
      <c r="CP261">
        <f>IF(ISBLANK('Data Entry'!$$261), "", 'Data Entry'!$$261)</f>
      </c>
      <c r="CQ261">
        <f>IF(ISBLANK('Data Entry'!$$261), "", 'Data Entry'!$$261)</f>
      </c>
      <c r="CR261">
        <f>IF(ISBLANK('Data Entry'!$ $261), "", 'Data Entry'!$ $261)</f>
      </c>
      <c r="CS261">
        <f>IF(ISBLANK('Data Entry'!$¡$261), "", 'Data Entry'!$¡$261)</f>
      </c>
      <c r="CT261">
        <f>IF(ISBLANK('Data Entry'!$¢$261), "", 'Data Entry'!$¢$261)</f>
      </c>
      <c r="CU261">
        <f>IF(ISBLANK('Data Entry'!$£$261), "", 'Data Entry'!$£$261)</f>
      </c>
      <c r="CV261">
        <f>IF(ISBLANK('Data Entry'!$¤$261), "", 'Data Entry'!$¤$261)</f>
      </c>
      <c r="CW261">
        <f>IF(ISBLANK('Data Entry'!$¥$261), "", 'Data Entry'!$¥$261)</f>
      </c>
      <c r="CX261">
        <f>IF(ISBLANK('Data Entry'!$¦$261), "", 'Data Entry'!$¦$261)</f>
      </c>
      <c r="CY261">
        <f>IF(ISBLANK('Data Entry'!$§$261), "", 'Data Entry'!$§$261)</f>
      </c>
      <c r="CZ261">
        <f>IF(ISBLANK('Data Entry'!$¨$261), "", 'Data Entry'!$¨$261)</f>
      </c>
      <c r="DA261">
        <f>IF(ISBLANK('Data Entry'!$©$261), "", 'Data Entry'!$©$261)</f>
      </c>
      <c r="DB261">
        <f>IF(ISBLANK('Data Entry'!$ª$261), "", 'Data Entry'!$ª$261)</f>
      </c>
      <c r="DC261">
        <f>IF(ISBLANK('Data Entry'!$«$261), "", 'Data Entry'!$«$261)</f>
      </c>
      <c r="DD261">
        <f>IF(ISBLANK('Data Entry'!$¬$261), "", 'Data Entry'!$¬$261)</f>
      </c>
      <c r="DE261">
        <f>IF(ISBLANK('Data Entry'!$­$261), "", 'Data Entry'!$­$261)</f>
      </c>
      <c r="DF261">
        <f>IF(ISBLANK('Data Entry'!$®$261), "", 'Data Entry'!$®$261)</f>
      </c>
      <c r="DG261">
        <f>IF(ISBLANK('Data Entry'!$¯$261), "", 'Data Entry'!$¯$261)</f>
      </c>
      <c r="DH261">
        <f>IF(ISBLANK('Data Entry'!$°$261), "", 'Data Entry'!$°$261)</f>
      </c>
      <c r="DI261">
        <f>IF(ISBLANK('Data Entry'!$±$261), "", 'Data Entry'!$±$261)</f>
      </c>
      <c r="DJ261">
        <f>IF(ISBLANK('Data Entry'!$²$261), "", 'Data Entry'!$²$261)</f>
      </c>
      <c r="DK261">
        <f>IF(ISBLANK('Data Entry'!$³$261), "", 'Data Entry'!$³$261)</f>
      </c>
      <c r="DL261">
        <f>IF(ISBLANK('Data Entry'!$´$261), "", 'Data Entry'!$´$261)</f>
      </c>
      <c r="DM261">
        <f>IF(ISBLANK('Data Entry'!$µ$261), "", 'Data Entry'!$µ$261)</f>
      </c>
      <c r="DN261">
        <f>IF(ISBLANK('Data Entry'!$¶$261), "", 'Data Entry'!$¶$261)</f>
      </c>
      <c r="DO261">
        <f>IF(ISBLANK('Data Entry'!$·$261), "", 'Data Entry'!$·$261)</f>
      </c>
      <c r="DP261">
        <f>IF(ISBLANK('Data Entry'!$¸$261), "", 'Data Entry'!$¸$261)</f>
      </c>
      <c r="DQ261">
        <f>IF(ISBLANK('Data Entry'!$¹$261), "", 'Data Entry'!$¹$261)</f>
      </c>
      <c r="DR261">
        <f>IF(ISBLANK('Data Entry'!$º$261), "", 'Data Entry'!$º$261)</f>
      </c>
      <c r="DS261">
        <f>IF(ISBLANK('Data Entry'!$»$261), "", 'Data Entry'!$»$261)</f>
      </c>
      <c r="DT261">
        <f>IF(ISBLANK('Data Entry'!$¼$261), "", 'Data Entry'!$¼$261)</f>
      </c>
      <c r="DU261">
        <f>IF(ISBLANK('Data Entry'!$½$261), "", 'Data Entry'!$½$261)</f>
      </c>
      <c r="DV261">
        <f>IF(ISBLANK('Data Entry'!$¾$261), "", 'Data Entry'!$¾$261)</f>
      </c>
      <c r="DW261">
        <f>IF(ISBLANK('Data Entry'!$¿$261), "", 'Data Entry'!$¿$261)</f>
      </c>
      <c r="DX261">
        <f>IF(ISBLANK('Data Entry'!$À$261), "", 'Data Entry'!$À$261)</f>
      </c>
      <c r="DY261">
        <f>IF(ISBLANK('Data Entry'!$Á$261), "", 'Data Entry'!$Á$261)</f>
      </c>
      <c r="DZ261">
        <f>IF(ISBLANK('Data Entry'!$Â$261), "", 'Data Entry'!$Â$261)</f>
      </c>
      <c r="EA261">
        <f>IF(ISBLANK('Data Entry'!$Ã$261), "", 'Data Entry'!$Ã$261)</f>
      </c>
      <c r="EB261">
        <f>IF(ISBLANK('Data Entry'!$Ä$261), "", 'Data Entry'!$Ä$261)</f>
      </c>
      <c r="EC261">
        <f>IF(ISBLANK('Data Entry'!$Å$261), "", 'Data Entry'!$Å$261)</f>
      </c>
      <c r="ED261">
        <f>IF(ISBLANK('Data Entry'!$Æ$261), "", 'Data Entry'!$Æ$261)</f>
      </c>
      <c r="EE261">
        <f>IF(ISBLANK('Data Entry'!$Ç$261), "", 'Data Entry'!$Ç$261)</f>
      </c>
      <c r="EF261">
        <f>IF(ISBLANK('Data Entry'!$È$261), "", 'Data Entry'!$È$261)</f>
      </c>
      <c r="EG261">
        <f>IF(ISBLANK('Data Entry'!$É$261), "", 'Data Entry'!$É$261)</f>
      </c>
      <c r="EH261">
        <f>IF(ISBLANK('Data Entry'!$Ê$261), "", 'Data Entry'!$Ê$261)</f>
      </c>
      <c r="EI261">
        <f>IF(ISBLANK('Data Entry'!$Ë$261), "", 'Data Entry'!$Ë$261)</f>
      </c>
      <c r="EJ261">
        <f>IF(ISBLANK('Data Entry'!$Ì$261), "", 'Data Entry'!$Ì$261)</f>
      </c>
      <c r="EK261">
        <f>IF(ISBLANK('Data Entry'!$Í$261), "", 'Data Entry'!$Í$261)</f>
      </c>
      <c r="EL261">
        <f>IF(ISBLANK('Data Entry'!$Î$261), "", 'Data Entry'!$Î$261)</f>
      </c>
      <c r="EM261">
        <f>IF(ISBLANK('Data Entry'!$Ï$261), "", 'Data Entry'!$Ï$261)</f>
      </c>
      <c r="EN261">
        <f>IF(ISBLANK('Data Entry'!$Ð$261), "", 'Data Entry'!$Ð$261)</f>
      </c>
      <c r="EO261">
        <f>IF(ISBLANK('Data Entry'!$Ñ$261), "", 'Data Entry'!$Ñ$261)</f>
      </c>
      <c r="EP261">
        <f>IF(ISBLANK('Data Entry'!$Ò$261), "", 'Data Entry'!$Ò$261)</f>
      </c>
      <c r="EQ261">
        <f>IF(ISBLANK('Data Entry'!$Ó$261), "", 'Data Entry'!$Ó$261)</f>
      </c>
      <c r="ER261">
        <f>IF(ISBLANK('Data Entry'!$Ô$261), "", 'Data Entry'!$Ô$261)</f>
      </c>
      <c r="ES261">
        <f>IF(ISBLANK('Data Entry'!$Õ$261), "", 'Data Entry'!$Õ$261)</f>
      </c>
      <c r="ET261">
        <f>IF(ISBLANK('Data Entry'!$Ö$261), "", 'Data Entry'!$Ö$261)</f>
      </c>
      <c r="EU261">
        <f>IF(ISBLANK('Data Entry'!$×$261), "", 'Data Entry'!$×$261)</f>
      </c>
      <c r="EV261">
        <f>IF(ISBLANK('Data Entry'!$Ø$261), "", 'Data Entry'!$Ø$261)</f>
      </c>
      <c r="EW261">
        <f>IF(ISBLANK('Data Entry'!$Ù$261), "", 'Data Entry'!$Ù$261)</f>
      </c>
      <c r="EX261">
        <f>IF(ISBLANK('Data Entry'!$Ú$261), "", 'Data Entry'!$Ú$261)</f>
      </c>
      <c r="EY261">
        <f>IF(ISBLANK('Data Entry'!$Û$261), "", 'Data Entry'!$Û$261)</f>
      </c>
      <c r="EZ261">
        <f>IF(ISBLANK('Data Entry'!$Ü$261), "", 'Data Entry'!$Ü$261)</f>
      </c>
      <c r="FA261">
        <f>IF(ISBLANK('Data Entry'!$Ý$261), "", 'Data Entry'!$Ý$261)</f>
      </c>
      <c r="FB261">
        <f>IF(ISBLANK('Data Entry'!$Þ$261), "", 'Data Entry'!$Þ$261)</f>
      </c>
      <c r="FC261">
        <f>IF(ISBLANK('Data Entry'!$ß$261), "", 'Data Entry'!$ß$261)</f>
      </c>
      <c r="FD261">
        <f>IF(ISBLANK('Data Entry'!$à$261), "", 'Data Entry'!$à$261)</f>
      </c>
      <c r="FE261">
        <f>IF(ISBLANK('Data Entry'!$á$261), "", 'Data Entry'!$á$261)</f>
      </c>
      <c r="FF261">
        <f>IF(ISBLANK('Data Entry'!$â$261), "", 'Data Entry'!$â$261)</f>
      </c>
      <c r="FG261">
        <f>IF(ISBLANK('Data Entry'!$ã$261), "", 'Data Entry'!$ã$261)</f>
      </c>
      <c r="FH261">
        <f>IF(ISBLANK('Data Entry'!$ä$261), "", 'Data Entry'!$ä$261)</f>
      </c>
      <c r="FI261">
        <f>IF(ISBLANK('Data Entry'!$å$261), "", 'Data Entry'!$å$261)</f>
      </c>
      <c r="FJ261">
        <f>IF(ISBLANK('Data Entry'!$æ$261), "", 'Data Entry'!$æ$261)</f>
      </c>
      <c r="FK261">
        <f>IF(ISBLANK('Data Entry'!$ç$261), "", 'Data Entry'!$ç$261)</f>
      </c>
      <c r="FL261">
        <f>IF(ISBLANK('Data Entry'!$è$261), "", 'Data Entry'!$è$261)</f>
      </c>
      <c r="FM261">
        <f>IF(ISBLANK('Data Entry'!$é$261), "", 'Data Entry'!$é$261)</f>
      </c>
      <c r="FN261">
        <f>IF(ISBLANK('Data Entry'!$ê$261), "", 'Data Entry'!$ê$261)</f>
      </c>
      <c r="FO261">
        <f>IF(ISBLANK('Data Entry'!$ë$261), "", 'Data Entry'!$ë$261)</f>
      </c>
      <c r="FP261">
        <f>IF(ISBLANK('Data Entry'!$ì$261), "", 'Data Entry'!$ì$261)</f>
      </c>
      <c r="FQ261">
        <f>IF(ISBLANK('Data Entry'!$í$261), "", 'Data Entry'!$í$261)</f>
      </c>
      <c r="FR261">
        <f>IF(ISBLANK('Data Entry'!$î$261), "", 'Data Entry'!$î$261)</f>
      </c>
      <c r="FS261">
        <f>IF(ISBLANK('Data Entry'!$ï$261), "", 'Data Entry'!$ï$261)</f>
      </c>
      <c r="FT261">
        <f>IF(ISBLANK('Data Entry'!$ð$261), "", 'Data Entry'!$ð$261)</f>
      </c>
      <c r="FU261">
        <f>IF(ISBLANK('Data Entry'!$ñ$261), "", 'Data Entry'!$ñ$261)</f>
      </c>
      <c r="FV261">
        <f>IF(ISBLANK('Data Entry'!$ò$261), "", 'Data Entry'!$ò$261)</f>
      </c>
      <c r="FW261">
        <f>IF(ISBLANK('Data Entry'!$ó$261), "", 'Data Entry'!$ó$261)</f>
      </c>
      <c r="FX261">
        <f>IF(ISBLANK('Data Entry'!$ô$261), "", 'Data Entry'!$ô$261)</f>
      </c>
      <c r="FY261">
        <f>IF(ISBLANK('Data Entry'!$õ$261), "", 'Data Entry'!$õ$261)</f>
      </c>
      <c r="FZ261">
        <f>IF(ISBLANK('Data Entry'!$ö$261), "", 'Data Entry'!$ö$261)</f>
      </c>
      <c r="GA261">
        <f>IF(ISBLANK('Data Entry'!$÷$261), "", 'Data Entry'!$÷$261)</f>
      </c>
      <c r="GB261">
        <f>IF(ISBLANK('Data Entry'!$ø$261), "", 'Data Entry'!$ø$261)</f>
      </c>
      <c r="GC261">
        <f>IF(ISBLANK('Data Entry'!$ù$261), "", 'Data Entry'!$ù$261)</f>
      </c>
      <c r="GD261">
        <f>IF(ISBLANK('Data Entry'!$ú$261), "", 'Data Entry'!$ú$261)</f>
      </c>
      <c r="GE261">
        <f>IF(ISBLANK('Data Entry'!$û$261), "", 'Data Entry'!$û$261)</f>
      </c>
      <c r="GF261">
        <f>IF(ISBLANK('Data Entry'!$ü$261), "", 'Data Entry'!$ü$261)</f>
      </c>
      <c r="GG261">
        <f>IF(ISBLANK('Data Entry'!$ý$261), "", 'Data Entry'!$ý$261)</f>
      </c>
      <c r="GH261">
        <f>IF(ISBLANK('Data Entry'!$þ$261), "", 'Data Entry'!$þ$261)</f>
      </c>
      <c r="GI261">
        <f>IF(ISBLANK('Data Entry'!$ÿ$261), "", 'Data Entry'!$ÿ$261)</f>
      </c>
      <c r="GJ261">
        <f>IF(ISBLANK('Data Entry'!$Ā$261), "", 'Data Entry'!$Ā$261)</f>
      </c>
      <c r="GK261">
        <f>IF(ISBLANK('Data Entry'!$ā$261), "", 'Data Entry'!$ā$261)</f>
      </c>
      <c r="GL261">
        <f>IF(ISBLANK('Data Entry'!$Ă$261), "", 'Data Entry'!$Ă$261)</f>
      </c>
      <c r="GM261">
        <f>IF(ISBLANK('Data Entry'!$ă$261), "", 'Data Entry'!$ă$261)</f>
      </c>
      <c r="GN261">
        <f>IF(ISBLANK('Data Entry'!$Ą$261), "", 'Data Entry'!$Ą$261)</f>
      </c>
      <c r="GO261">
        <f>IF(ISBLANK('Data Entry'!$ą$261), "", 'Data Entry'!$ą$261)</f>
      </c>
      <c r="GP261">
        <f>IF(ISBLANK('Data Entry'!$Ć$261), "", 'Data Entry'!$Ć$261)</f>
      </c>
      <c r="GQ261">
        <f>IF(ISBLANK('Data Entry'!$ć$261), "", 'Data Entry'!$ć$261)</f>
      </c>
      <c r="GR261">
        <f>IF(ISBLANK('Data Entry'!$Ĉ$261), "", 'Data Entry'!$Ĉ$261)</f>
      </c>
      <c r="GS261">
        <f>IF(ISBLANK('Data Entry'!$ĉ$261), "", 'Data Entry'!$ĉ$261)</f>
      </c>
      <c r="GT261">
        <f>IF(ISBLANK('Data Entry'!$Ċ$261), "", 'Data Entry'!$Ċ$261)</f>
      </c>
      <c r="GU261">
        <f>IF(ISBLANK('Data Entry'!$ċ$261), "", 'Data Entry'!$ċ$261)</f>
      </c>
      <c r="GV261">
        <f>IF(ISBLANK('Data Entry'!$Č$261), "", 'Data Entry'!$Č$261)</f>
      </c>
      <c r="GW261">
        <f>IF(ISBLANK('Data Entry'!$č$261), "", 'Data Entry'!$č$261)</f>
      </c>
      <c r="GX261">
        <f>IF(ISBLANK('Data Entry'!$Ď$261), "", 'Data Entry'!$Ď$261)</f>
      </c>
      <c r="GY261">
        <f>IF(ISBLANK('Data Entry'!$ď$261), "", 'Data Entry'!$ď$261)</f>
      </c>
      <c r="GZ261">
        <f>IF(ISBLANK('Data Entry'!$Đ$261), "", 'Data Entry'!$Đ$261)</f>
      </c>
      <c r="HA261">
        <f>IF(ISBLANK('Data Entry'!$đ$261), "", 'Data Entry'!$đ$261)</f>
      </c>
      <c r="HB261">
        <f>IF(ISBLANK('Data Entry'!$Ē$261), "", 'Data Entry'!$Ē$261)</f>
      </c>
      <c r="HC261">
        <f>IF(ISBLANK('Data Entry'!$ē$261), "", 'Data Entry'!$ē$261)</f>
      </c>
      <c r="HD261">
        <f>IF(ISBLANK('Data Entry'!$Ĕ$261), "", 'Data Entry'!$Ĕ$261)</f>
      </c>
      <c r="HE261">
        <f>IF(ISBLANK('Data Entry'!$ĕ$261), "", 'Data Entry'!$ĕ$261)</f>
      </c>
      <c r="HF261">
        <f>IF(ISBLANK('Data Entry'!$Ė$261), "", 'Data Entry'!$Ė$261)</f>
      </c>
      <c r="HG261">
        <f>IF(ISBLANK('Data Entry'!$ė$261), "", 'Data Entry'!$ė$261)</f>
      </c>
      <c r="HH261">
        <f>IF(ISBLANK('Data Entry'!$Ę$261), "", 'Data Entry'!$Ę$261)</f>
      </c>
      <c r="HI261">
        <f>IF(ISBLANK('Data Entry'!$ę$261), "", 'Data Entry'!$ę$261)</f>
      </c>
      <c r="HJ261">
        <f>IF(ISBLANK('Data Entry'!$Ě$261), "", 'Data Entry'!$Ě$261)</f>
      </c>
      <c r="HK261">
        <f>IF(ISBLANK('Data Entry'!$ě$261), "", 'Data Entry'!$ě$261)</f>
      </c>
      <c r="HL261">
        <f>IF(ISBLANK('Data Entry'!$Ĝ$261), "", 'Data Entry'!$Ĝ$261)</f>
      </c>
      <c r="HM261">
        <f>IF(ISBLANK('Data Entry'!$ĝ$261), "", 'Data Entry'!$ĝ$261)</f>
      </c>
      <c r="HN261">
        <f>IF(ISBLANK('Data Entry'!$Ğ$261), "", 'Data Entry'!$Ğ$261)</f>
      </c>
      <c r="HO261">
        <f>IF(ISBLANK('Data Entry'!$ğ$261), "", 'Data Entry'!$ğ$261)</f>
      </c>
      <c r="HP261">
        <f>IF(ISBLANK('Data Entry'!$Ġ$261), "", 'Data Entry'!$Ġ$261)</f>
      </c>
      <c r="HQ261">
        <f>IF(ISBLANK('Data Entry'!$ġ$261), "", 'Data Entry'!$ġ$261)</f>
      </c>
      <c r="HR261">
        <f>IF(ISBLANK('Data Entry'!$Ģ$261), "", 'Data Entry'!$Ģ$261)</f>
      </c>
      <c r="HS261">
        <f>IF(ISBLANK('Data Entry'!$ģ$261), "", 'Data Entry'!$ģ$261)</f>
      </c>
      <c r="HT261">
        <f>IF(ISBLANK('Data Entry'!$Ĥ$261), "", 'Data Entry'!$Ĥ$261)</f>
      </c>
      <c r="HU261">
        <f>IF(ISBLANK('Data Entry'!$ĥ$261), "", 'Data Entry'!$ĥ$261)</f>
      </c>
      <c r="HV261">
        <f>IF(ISBLANK('Data Entry'!$Ħ$261), "", 'Data Entry'!$Ħ$261)</f>
      </c>
      <c r="HW261">
        <f>IF(ISBLANK('Data Entry'!$ħ$261), "", 'Data Entry'!$ħ$261)</f>
      </c>
      <c r="HX261">
        <f>IF(ISBLANK('Data Entry'!$Ĩ$261), "", 'Data Entry'!$Ĩ$261)</f>
      </c>
      <c r="HY261">
        <f>IF(ISBLANK('Data Entry'!$ĩ$261), "", 'Data Entry'!$ĩ$261)</f>
      </c>
      <c r="HZ261">
        <f>IF(ISBLANK('Data Entry'!$Ī$261), "", 'Data Entry'!$Ī$261)</f>
      </c>
      <c r="IA261">
        <f>IF(ISBLANK('Data Entry'!$ī$261), "", 'Data Entry'!$ī$261)</f>
      </c>
      <c r="IB261">
        <f>IF(ISBLANK('Data Entry'!$Ĭ$261), "", 'Data Entry'!$Ĭ$261)</f>
      </c>
      <c r="IC261">
        <f>IF(ISBLANK('Data Entry'!$ĭ$261), "", 'Data Entry'!$ĭ$261)</f>
      </c>
      <c r="ID261">
        <f>IF(ISBLANK('Data Entry'!$Į$261), "", 'Data Entry'!$Į$261)</f>
      </c>
      <c r="IE261">
        <f>IF(ISBLANK('Data Entry'!$į$261), "", 'Data Entry'!$į$261)</f>
      </c>
      <c r="IF261">
        <f>IF(ISBLANK('Data Entry'!$İ$261), "", 'Data Entry'!$İ$261)</f>
      </c>
      <c r="IG261">
        <f>IF(ISBLANK('Data Entry'!$ı$261), "", 'Data Entry'!$ı$261)</f>
      </c>
      <c r="IH261">
        <f>IF(ISBLANK('Data Entry'!$Ĳ$261), "", 'Data Entry'!$Ĳ$261)</f>
      </c>
      <c r="II261">
        <f>IF(ISBLANK('Data Entry'!$ĳ$261), "", 'Data Entry'!$ĳ$261)</f>
      </c>
      <c r="IJ261">
        <f>IF(ISBLANK('Data Entry'!$Ĵ$261), "", 'Data Entry'!$Ĵ$261)</f>
      </c>
      <c r="IK261">
        <f>IF(ISBLANK('Data Entry'!$ĵ$261), "", 'Data Entry'!$ĵ$261)</f>
      </c>
      <c r="IL261">
        <f>IF(ISBLANK('Data Entry'!$Ķ$261), "", 'Data Entry'!$Ķ$261)</f>
      </c>
      <c r="IM261">
        <f>IF(ISBLANK('Data Entry'!$ķ$261), "", 'Data Entry'!$ķ$261)</f>
      </c>
      <c r="IN261">
        <f>IF(ISBLANK('Data Entry'!$ĸ$261), "", 'Data Entry'!$ĸ$261)</f>
      </c>
      <c r="IO261">
        <f>IF(ISBLANK('Data Entry'!$Ĺ$261), "", 'Data Entry'!$Ĺ$261)</f>
      </c>
      <c r="IP261">
        <f>IF(ISBLANK('Data Entry'!$ĺ$261), "", 'Data Entry'!$ĺ$261)</f>
      </c>
      <c r="IQ261">
        <f>IF(ISBLANK('Data Entry'!$Ļ$261), "", 'Data Entry'!$Ļ$261)</f>
      </c>
      <c r="IR261">
        <f>IF(ISBLANK('Data Entry'!$ļ$261), "", 'Data Entry'!$ļ$261)</f>
      </c>
      <c r="IS261">
        <f>IF(ISBLANK('Data Entry'!$Ľ$261), "", 'Data Entry'!$Ľ$261)</f>
      </c>
      <c r="IT261">
        <f>IF(ISBLANK('Data Entry'!$ľ$261), "", 'Data Entry'!$ľ$261)</f>
      </c>
    </row>
    <row r="262" spans="1:254" x14ac:dyDescent="0.25">
      <c r="A262">
        <f>IF(ISBLANK('Data Entry'!$A$262), "", 'Data Entry'!$A$262)</f>
      </c>
      <c r="B262">
        <f>IF(ISBLANK('Data Entry'!$B$262), "", 'Data Entry'!$B$262)</f>
      </c>
      <c r="C262">
        <f>IF(ISBLANK('Data Entry'!$C$262), "", 'Data Entry'!$C$262)</f>
      </c>
      <c r="D262">
        <f>IF(ISBLANK('Data Entry'!$D$262), "", 'Data Entry'!$D$262)</f>
      </c>
      <c r="E262">
        <f>IF(ISBLANK('Data Entry'!$E$262), "", 'Data Entry'!$E$262)</f>
      </c>
      <c r="F262">
        <f>IF(ISBLANK('Data Entry'!$F$262), "", 'Data Entry'!$F$262)</f>
      </c>
      <c r="G262">
        <f>IF(ISBLANK('Data Entry'!$G$262), "", 'Data Entry'!$G$262)</f>
      </c>
      <c r="H262">
        <f>IF(ISBLANK('Data Entry'!$H$262), "", 'Data Entry'!$H$262)</f>
      </c>
      <c r="I262">
        <f>IF(ISBLANK('Data Entry'!$I$262), "", 'Data Entry'!$I$262)</f>
      </c>
      <c r="J262">
        <f>IF(ISBLANK('Data Entry'!$J$262), "", 'Data Entry'!$J$262)</f>
      </c>
      <c r="K262">
        <f>IF(ISBLANK('Data Entry'!$K$262), "", 'Data Entry'!$K$262)</f>
      </c>
      <c r="L262">
        <f>IF(ISBLANK('Data Entry'!$L$262), "", 'Data Entry'!$L$262)</f>
      </c>
      <c r="M262">
        <f>IF(ISBLANK('Data Entry'!$M$262), "", 'Data Entry'!$M$262)</f>
      </c>
      <c r="N262">
        <f>IF(ISBLANK('Data Entry'!$N$262), "", 'Data Entry'!$N$262)</f>
      </c>
      <c r="O262">
        <f>IF(ISBLANK('Data Entry'!$O$262), "", 'Data Entry'!$O$262)</f>
      </c>
      <c r="P262">
        <f>IF(ISBLANK('Data Entry'!$P$262), "", 'Data Entry'!$P$262)</f>
      </c>
      <c r="Q262">
        <f>IF(ISBLANK('Data Entry'!$Q$262), "", 'Data Entry'!$Q$262)</f>
      </c>
      <c r="R262">
        <f>IF(ISBLANK('Data Entry'!$R$262), "", 'Data Entry'!$R$262)</f>
      </c>
      <c r="S262">
        <f>IF(ISBLANK('Data Entry'!$S$262), "", 'Data Entry'!$S$262)</f>
      </c>
      <c r="T262">
        <f>IF(ISBLANK('Data Entry'!$T$262), "", 'Data Entry'!$T$262)</f>
      </c>
      <c r="U262">
        <f>IF(ISBLANK('Data Entry'!$U$262), "", 'Data Entry'!$U$262)</f>
      </c>
      <c r="V262">
        <f>IF(ISBLANK('Data Entry'!$V$262), "", 'Data Entry'!$V$262)</f>
      </c>
      <c r="W262">
        <f>IF(ISBLANK('Data Entry'!$W$262), "", 'Data Entry'!$W$262)</f>
      </c>
      <c r="X262">
        <f>IF(ISBLANK('Data Entry'!$X$262), "", 'Data Entry'!$X$262)</f>
      </c>
      <c r="Y262">
        <f>IF(ISBLANK('Data Entry'!$Y$262), "", 'Data Entry'!$Y$262)</f>
      </c>
      <c r="Z262">
        <f>IF(ISBLANK('Data Entry'!$Z$262), "", 'Data Entry'!$Z$262)</f>
      </c>
      <c r="AA262">
        <f>IF(ISBLANK('Data Entry'!$[$262), "", 'Data Entry'!$[$262)</f>
      </c>
      <c r="AB262">
        <f>IF(ISBLANK('Data Entry'!$\$262), "", 'Data Entry'!$\$262)</f>
      </c>
      <c r="AC262">
        <f>IF(ISBLANK('Data Entry'!$]$262), "", 'Data Entry'!$]$262)</f>
      </c>
      <c r="AD262">
        <f>IF(ISBLANK('Data Entry'!$^$262), "", 'Data Entry'!$^$262)</f>
      </c>
      <c r="AE262">
        <f>IF(ISBLANK('Data Entry'!$_$262), "", 'Data Entry'!$_$262)</f>
      </c>
      <c r="AF262">
        <f>IF(ISBLANK('Data Entry'!$`$262), "", 'Data Entry'!$`$262)</f>
      </c>
      <c r="AG262">
        <f>IF(ISBLANK('Data Entry'!$a$262), "", 'Data Entry'!$a$262)</f>
      </c>
      <c r="AH262">
        <f>IF(ISBLANK('Data Entry'!$b$262), "", 'Data Entry'!$b$262)</f>
      </c>
      <c r="AI262">
        <f>IF(ISBLANK('Data Entry'!$c$262), "", 'Data Entry'!$c$262)</f>
      </c>
      <c r="AJ262">
        <f>IF(ISBLANK('Data Entry'!$d$262), "", 'Data Entry'!$d$262)</f>
      </c>
      <c r="AK262">
        <f>IF(ISBLANK('Data Entry'!$e$262), "", 'Data Entry'!$e$262)</f>
      </c>
      <c r="AL262">
        <f>IF(ISBLANK('Data Entry'!$f$262), "", 'Data Entry'!$f$262)</f>
      </c>
      <c r="AM262">
        <f>IF(ISBLANK('Data Entry'!$g$262), "", 'Data Entry'!$g$262)</f>
      </c>
      <c r="AN262">
        <f>IF(ISBLANK('Data Entry'!$h$262), "", 'Data Entry'!$h$262)</f>
      </c>
      <c r="AO262">
        <f>IF(ISBLANK('Data Entry'!$i$262), "", 'Data Entry'!$i$262)</f>
      </c>
      <c r="AP262">
        <f>IF(ISBLANK('Data Entry'!$j$262), "", 'Data Entry'!$j$262)</f>
      </c>
      <c r="AQ262">
        <f>IF(ISBLANK('Data Entry'!$k$262), "", 'Data Entry'!$k$262)</f>
      </c>
      <c r="AR262">
        <f>IF(ISBLANK('Data Entry'!$l$262), "", 'Data Entry'!$l$262)</f>
      </c>
      <c r="AS262">
        <f>IF(ISBLANK('Data Entry'!$m$262), "", 'Data Entry'!$m$262)</f>
      </c>
      <c r="AT262">
        <f>IF(ISBLANK('Data Entry'!$n$262), "", 'Data Entry'!$n$262)</f>
      </c>
      <c r="AU262">
        <f>IF(ISBLANK('Data Entry'!$o$262), "", 'Data Entry'!$o$262)</f>
      </c>
      <c r="AV262">
        <f>IF(ISBLANK('Data Entry'!$p$262), "", 'Data Entry'!$p$262)</f>
      </c>
      <c r="AW262">
        <f>IF(ISBLANK('Data Entry'!$q$262), "", 'Data Entry'!$q$262)</f>
      </c>
      <c r="AX262">
        <f>IF(ISBLANK('Data Entry'!$r$262), "", 'Data Entry'!$r$262)</f>
      </c>
      <c r="AY262">
        <f>IF(ISBLANK('Data Entry'!$s$262), "", 'Data Entry'!$s$262)</f>
      </c>
      <c r="AZ262">
        <f>IF(ISBLANK('Data Entry'!$t$262), "", 'Data Entry'!$t$262)</f>
      </c>
      <c r="BA262">
        <f>IF(ISBLANK('Data Entry'!$u$262), "", 'Data Entry'!$u$262)</f>
      </c>
      <c r="BB262">
        <f>IF(ISBLANK('Data Entry'!$v$262), "", 'Data Entry'!$v$262)</f>
      </c>
      <c r="BC262">
        <f>IF(ISBLANK('Data Entry'!$w$262), "", 'Data Entry'!$w$262)</f>
      </c>
      <c r="BD262">
        <f>IF(ISBLANK('Data Entry'!$x$262), "", 'Data Entry'!$x$262)</f>
      </c>
      <c r="BE262">
        <f>IF(ISBLANK('Data Entry'!$y$262), "", 'Data Entry'!$y$262)</f>
      </c>
      <c r="BF262">
        <f>IF(ISBLANK('Data Entry'!$z$262), "", 'Data Entry'!$z$262)</f>
      </c>
      <c r="BG262">
        <f>IF(ISBLANK('Data Entry'!${$262), "", 'Data Entry'!${$262)</f>
      </c>
      <c r="BH262">
        <f>IF(ISBLANK('Data Entry'!$|$262), "", 'Data Entry'!$|$262)</f>
      </c>
      <c r="BI262">
        <f>IF(ISBLANK('Data Entry'!$}$262), "", 'Data Entry'!$}$262)</f>
      </c>
      <c r="BJ262">
        <f>IF(ISBLANK('Data Entry'!$~$262), "", 'Data Entry'!$~$262)</f>
      </c>
      <c r="BK262">
        <f>IF(ISBLANK('Data Entry'!$$262), "", 'Data Entry'!$$262)</f>
      </c>
      <c r="BL262">
        <f>IF(ISBLANK('Data Entry'!$$262), "", 'Data Entry'!$$262)</f>
      </c>
      <c r="BM262">
        <f>IF(ISBLANK('Data Entry'!$$262), "", 'Data Entry'!$$262)</f>
      </c>
      <c r="BN262">
        <f>IF(ISBLANK('Data Entry'!$$262), "", 'Data Entry'!$$262)</f>
      </c>
      <c r="BO262">
        <f>IF(ISBLANK('Data Entry'!$$262), "", 'Data Entry'!$$262)</f>
      </c>
      <c r="BP262">
        <f>IF(ISBLANK('Data Entry'!$$262), "", 'Data Entry'!$$262)</f>
      </c>
      <c r="BQ262">
        <f>IF(ISBLANK('Data Entry'!$$262), "", 'Data Entry'!$$262)</f>
      </c>
      <c r="BR262">
        <f>IF(ISBLANK('Data Entry'!$$262), "", 'Data Entry'!$$262)</f>
      </c>
      <c r="BS262">
        <f>IF(ISBLANK('Data Entry'!$$262), "", 'Data Entry'!$$262)</f>
      </c>
      <c r="BT262">
        <f>IF(ISBLANK('Data Entry'!$$262), "", 'Data Entry'!$$262)</f>
      </c>
      <c r="BU262">
        <f>IF(ISBLANK('Data Entry'!$$262), "", 'Data Entry'!$$262)</f>
      </c>
      <c r="BV262">
        <f>IF(ISBLANK('Data Entry'!$$262), "", 'Data Entry'!$$262)</f>
      </c>
      <c r="BW262">
        <f>IF(ISBLANK('Data Entry'!$$262), "", 'Data Entry'!$$262)</f>
      </c>
      <c r="BX262">
        <f>IF(ISBLANK('Data Entry'!$$262), "", 'Data Entry'!$$262)</f>
      </c>
      <c r="BY262">
        <f>IF(ISBLANK('Data Entry'!$$262), "", 'Data Entry'!$$262)</f>
      </c>
      <c r="BZ262">
        <f>IF(ISBLANK('Data Entry'!$$262), "", 'Data Entry'!$$262)</f>
      </c>
      <c r="CA262">
        <f>IF(ISBLANK('Data Entry'!$$262), "", 'Data Entry'!$$262)</f>
      </c>
      <c r="CB262">
        <f>IF(ISBLANK('Data Entry'!$$262), "", 'Data Entry'!$$262)</f>
      </c>
      <c r="CC262">
        <f>IF(ISBLANK('Data Entry'!$$262), "", 'Data Entry'!$$262)</f>
      </c>
      <c r="CD262">
        <f>IF(ISBLANK('Data Entry'!$$262), "", 'Data Entry'!$$262)</f>
      </c>
      <c r="CE262">
        <f>IF(ISBLANK('Data Entry'!$$262), "", 'Data Entry'!$$262)</f>
      </c>
      <c r="CF262">
        <f>IF(ISBLANK('Data Entry'!$$262), "", 'Data Entry'!$$262)</f>
      </c>
      <c r="CG262">
        <f>IF(ISBLANK('Data Entry'!$$262), "", 'Data Entry'!$$262)</f>
      </c>
      <c r="CH262">
        <f>IF(ISBLANK('Data Entry'!$$262), "", 'Data Entry'!$$262)</f>
      </c>
      <c r="CI262">
        <f>IF(ISBLANK('Data Entry'!$$262), "", 'Data Entry'!$$262)</f>
      </c>
      <c r="CJ262">
        <f>IF(ISBLANK('Data Entry'!$$262), "", 'Data Entry'!$$262)</f>
      </c>
      <c r="CK262">
        <f>IF(ISBLANK('Data Entry'!$$262), "", 'Data Entry'!$$262)</f>
      </c>
      <c r="CL262">
        <f>IF(ISBLANK('Data Entry'!$$262), "", 'Data Entry'!$$262)</f>
      </c>
      <c r="CM262">
        <f>IF(ISBLANK('Data Entry'!$$262), "", 'Data Entry'!$$262)</f>
      </c>
      <c r="CN262">
        <f>IF(ISBLANK('Data Entry'!$$262), "", 'Data Entry'!$$262)</f>
      </c>
      <c r="CO262">
        <f>IF(ISBLANK('Data Entry'!$$262), "", 'Data Entry'!$$262)</f>
      </c>
      <c r="CP262">
        <f>IF(ISBLANK('Data Entry'!$$262), "", 'Data Entry'!$$262)</f>
      </c>
      <c r="CQ262">
        <f>IF(ISBLANK('Data Entry'!$$262), "", 'Data Entry'!$$262)</f>
      </c>
      <c r="CR262">
        <f>IF(ISBLANK('Data Entry'!$ $262), "", 'Data Entry'!$ $262)</f>
      </c>
      <c r="CS262">
        <f>IF(ISBLANK('Data Entry'!$¡$262), "", 'Data Entry'!$¡$262)</f>
      </c>
      <c r="CT262">
        <f>IF(ISBLANK('Data Entry'!$¢$262), "", 'Data Entry'!$¢$262)</f>
      </c>
      <c r="CU262">
        <f>IF(ISBLANK('Data Entry'!$£$262), "", 'Data Entry'!$£$262)</f>
      </c>
      <c r="CV262">
        <f>IF(ISBLANK('Data Entry'!$¤$262), "", 'Data Entry'!$¤$262)</f>
      </c>
      <c r="CW262">
        <f>IF(ISBLANK('Data Entry'!$¥$262), "", 'Data Entry'!$¥$262)</f>
      </c>
      <c r="CX262">
        <f>IF(ISBLANK('Data Entry'!$¦$262), "", 'Data Entry'!$¦$262)</f>
      </c>
      <c r="CY262">
        <f>IF(ISBLANK('Data Entry'!$§$262), "", 'Data Entry'!$§$262)</f>
      </c>
      <c r="CZ262">
        <f>IF(ISBLANK('Data Entry'!$¨$262), "", 'Data Entry'!$¨$262)</f>
      </c>
      <c r="DA262">
        <f>IF(ISBLANK('Data Entry'!$©$262), "", 'Data Entry'!$©$262)</f>
      </c>
      <c r="DB262">
        <f>IF(ISBLANK('Data Entry'!$ª$262), "", 'Data Entry'!$ª$262)</f>
      </c>
      <c r="DC262">
        <f>IF(ISBLANK('Data Entry'!$«$262), "", 'Data Entry'!$«$262)</f>
      </c>
      <c r="DD262">
        <f>IF(ISBLANK('Data Entry'!$¬$262), "", 'Data Entry'!$¬$262)</f>
      </c>
      <c r="DE262">
        <f>IF(ISBLANK('Data Entry'!$­$262), "", 'Data Entry'!$­$262)</f>
      </c>
      <c r="DF262">
        <f>IF(ISBLANK('Data Entry'!$®$262), "", 'Data Entry'!$®$262)</f>
      </c>
      <c r="DG262">
        <f>IF(ISBLANK('Data Entry'!$¯$262), "", 'Data Entry'!$¯$262)</f>
      </c>
      <c r="DH262">
        <f>IF(ISBLANK('Data Entry'!$°$262), "", 'Data Entry'!$°$262)</f>
      </c>
      <c r="DI262">
        <f>IF(ISBLANK('Data Entry'!$±$262), "", 'Data Entry'!$±$262)</f>
      </c>
      <c r="DJ262">
        <f>IF(ISBLANK('Data Entry'!$²$262), "", 'Data Entry'!$²$262)</f>
      </c>
      <c r="DK262">
        <f>IF(ISBLANK('Data Entry'!$³$262), "", 'Data Entry'!$³$262)</f>
      </c>
      <c r="DL262">
        <f>IF(ISBLANK('Data Entry'!$´$262), "", 'Data Entry'!$´$262)</f>
      </c>
      <c r="DM262">
        <f>IF(ISBLANK('Data Entry'!$µ$262), "", 'Data Entry'!$µ$262)</f>
      </c>
      <c r="DN262">
        <f>IF(ISBLANK('Data Entry'!$¶$262), "", 'Data Entry'!$¶$262)</f>
      </c>
      <c r="DO262">
        <f>IF(ISBLANK('Data Entry'!$·$262), "", 'Data Entry'!$·$262)</f>
      </c>
      <c r="DP262">
        <f>IF(ISBLANK('Data Entry'!$¸$262), "", 'Data Entry'!$¸$262)</f>
      </c>
      <c r="DQ262">
        <f>IF(ISBLANK('Data Entry'!$¹$262), "", 'Data Entry'!$¹$262)</f>
      </c>
      <c r="DR262">
        <f>IF(ISBLANK('Data Entry'!$º$262), "", 'Data Entry'!$º$262)</f>
      </c>
      <c r="DS262">
        <f>IF(ISBLANK('Data Entry'!$»$262), "", 'Data Entry'!$»$262)</f>
      </c>
      <c r="DT262">
        <f>IF(ISBLANK('Data Entry'!$¼$262), "", 'Data Entry'!$¼$262)</f>
      </c>
      <c r="DU262">
        <f>IF(ISBLANK('Data Entry'!$½$262), "", 'Data Entry'!$½$262)</f>
      </c>
      <c r="DV262">
        <f>IF(ISBLANK('Data Entry'!$¾$262), "", 'Data Entry'!$¾$262)</f>
      </c>
      <c r="DW262">
        <f>IF(ISBLANK('Data Entry'!$¿$262), "", 'Data Entry'!$¿$262)</f>
      </c>
      <c r="DX262">
        <f>IF(ISBLANK('Data Entry'!$À$262), "", 'Data Entry'!$À$262)</f>
      </c>
      <c r="DY262">
        <f>IF(ISBLANK('Data Entry'!$Á$262), "", 'Data Entry'!$Á$262)</f>
      </c>
      <c r="DZ262">
        <f>IF(ISBLANK('Data Entry'!$Â$262), "", 'Data Entry'!$Â$262)</f>
      </c>
      <c r="EA262">
        <f>IF(ISBLANK('Data Entry'!$Ã$262), "", 'Data Entry'!$Ã$262)</f>
      </c>
      <c r="EB262">
        <f>IF(ISBLANK('Data Entry'!$Ä$262), "", 'Data Entry'!$Ä$262)</f>
      </c>
      <c r="EC262">
        <f>IF(ISBLANK('Data Entry'!$Å$262), "", 'Data Entry'!$Å$262)</f>
      </c>
      <c r="ED262">
        <f>IF(ISBLANK('Data Entry'!$Æ$262), "", 'Data Entry'!$Æ$262)</f>
      </c>
      <c r="EE262">
        <f>IF(ISBLANK('Data Entry'!$Ç$262), "", 'Data Entry'!$Ç$262)</f>
      </c>
      <c r="EF262">
        <f>IF(ISBLANK('Data Entry'!$È$262), "", 'Data Entry'!$È$262)</f>
      </c>
      <c r="EG262">
        <f>IF(ISBLANK('Data Entry'!$É$262), "", 'Data Entry'!$É$262)</f>
      </c>
      <c r="EH262">
        <f>IF(ISBLANK('Data Entry'!$Ê$262), "", 'Data Entry'!$Ê$262)</f>
      </c>
      <c r="EI262">
        <f>IF(ISBLANK('Data Entry'!$Ë$262), "", 'Data Entry'!$Ë$262)</f>
      </c>
      <c r="EJ262">
        <f>IF(ISBLANK('Data Entry'!$Ì$262), "", 'Data Entry'!$Ì$262)</f>
      </c>
      <c r="EK262">
        <f>IF(ISBLANK('Data Entry'!$Í$262), "", 'Data Entry'!$Í$262)</f>
      </c>
      <c r="EL262">
        <f>IF(ISBLANK('Data Entry'!$Î$262), "", 'Data Entry'!$Î$262)</f>
      </c>
      <c r="EM262">
        <f>IF(ISBLANK('Data Entry'!$Ï$262), "", 'Data Entry'!$Ï$262)</f>
      </c>
      <c r="EN262">
        <f>IF(ISBLANK('Data Entry'!$Ð$262), "", 'Data Entry'!$Ð$262)</f>
      </c>
      <c r="EO262">
        <f>IF(ISBLANK('Data Entry'!$Ñ$262), "", 'Data Entry'!$Ñ$262)</f>
      </c>
      <c r="EP262">
        <f>IF(ISBLANK('Data Entry'!$Ò$262), "", 'Data Entry'!$Ò$262)</f>
      </c>
      <c r="EQ262">
        <f>IF(ISBLANK('Data Entry'!$Ó$262), "", 'Data Entry'!$Ó$262)</f>
      </c>
      <c r="ER262">
        <f>IF(ISBLANK('Data Entry'!$Ô$262), "", 'Data Entry'!$Ô$262)</f>
      </c>
      <c r="ES262">
        <f>IF(ISBLANK('Data Entry'!$Õ$262), "", 'Data Entry'!$Õ$262)</f>
      </c>
      <c r="ET262">
        <f>IF(ISBLANK('Data Entry'!$Ö$262), "", 'Data Entry'!$Ö$262)</f>
      </c>
      <c r="EU262">
        <f>IF(ISBLANK('Data Entry'!$×$262), "", 'Data Entry'!$×$262)</f>
      </c>
      <c r="EV262">
        <f>IF(ISBLANK('Data Entry'!$Ø$262), "", 'Data Entry'!$Ø$262)</f>
      </c>
      <c r="EW262">
        <f>IF(ISBLANK('Data Entry'!$Ù$262), "", 'Data Entry'!$Ù$262)</f>
      </c>
      <c r="EX262">
        <f>IF(ISBLANK('Data Entry'!$Ú$262), "", 'Data Entry'!$Ú$262)</f>
      </c>
      <c r="EY262">
        <f>IF(ISBLANK('Data Entry'!$Û$262), "", 'Data Entry'!$Û$262)</f>
      </c>
      <c r="EZ262">
        <f>IF(ISBLANK('Data Entry'!$Ü$262), "", 'Data Entry'!$Ü$262)</f>
      </c>
      <c r="FA262">
        <f>IF(ISBLANK('Data Entry'!$Ý$262), "", 'Data Entry'!$Ý$262)</f>
      </c>
      <c r="FB262">
        <f>IF(ISBLANK('Data Entry'!$Þ$262), "", 'Data Entry'!$Þ$262)</f>
      </c>
      <c r="FC262">
        <f>IF(ISBLANK('Data Entry'!$ß$262), "", 'Data Entry'!$ß$262)</f>
      </c>
      <c r="FD262">
        <f>IF(ISBLANK('Data Entry'!$à$262), "", 'Data Entry'!$à$262)</f>
      </c>
      <c r="FE262">
        <f>IF(ISBLANK('Data Entry'!$á$262), "", 'Data Entry'!$á$262)</f>
      </c>
      <c r="FF262">
        <f>IF(ISBLANK('Data Entry'!$â$262), "", 'Data Entry'!$â$262)</f>
      </c>
      <c r="FG262">
        <f>IF(ISBLANK('Data Entry'!$ã$262), "", 'Data Entry'!$ã$262)</f>
      </c>
      <c r="FH262">
        <f>IF(ISBLANK('Data Entry'!$ä$262), "", 'Data Entry'!$ä$262)</f>
      </c>
      <c r="FI262">
        <f>IF(ISBLANK('Data Entry'!$å$262), "", 'Data Entry'!$å$262)</f>
      </c>
      <c r="FJ262">
        <f>IF(ISBLANK('Data Entry'!$æ$262), "", 'Data Entry'!$æ$262)</f>
      </c>
      <c r="FK262">
        <f>IF(ISBLANK('Data Entry'!$ç$262), "", 'Data Entry'!$ç$262)</f>
      </c>
      <c r="FL262">
        <f>IF(ISBLANK('Data Entry'!$è$262), "", 'Data Entry'!$è$262)</f>
      </c>
      <c r="FM262">
        <f>IF(ISBLANK('Data Entry'!$é$262), "", 'Data Entry'!$é$262)</f>
      </c>
      <c r="FN262">
        <f>IF(ISBLANK('Data Entry'!$ê$262), "", 'Data Entry'!$ê$262)</f>
      </c>
      <c r="FO262">
        <f>IF(ISBLANK('Data Entry'!$ë$262), "", 'Data Entry'!$ë$262)</f>
      </c>
      <c r="FP262">
        <f>IF(ISBLANK('Data Entry'!$ì$262), "", 'Data Entry'!$ì$262)</f>
      </c>
      <c r="FQ262">
        <f>IF(ISBLANK('Data Entry'!$í$262), "", 'Data Entry'!$í$262)</f>
      </c>
      <c r="FR262">
        <f>IF(ISBLANK('Data Entry'!$î$262), "", 'Data Entry'!$î$262)</f>
      </c>
      <c r="FS262">
        <f>IF(ISBLANK('Data Entry'!$ï$262), "", 'Data Entry'!$ï$262)</f>
      </c>
      <c r="FT262">
        <f>IF(ISBLANK('Data Entry'!$ð$262), "", 'Data Entry'!$ð$262)</f>
      </c>
      <c r="FU262">
        <f>IF(ISBLANK('Data Entry'!$ñ$262), "", 'Data Entry'!$ñ$262)</f>
      </c>
      <c r="FV262">
        <f>IF(ISBLANK('Data Entry'!$ò$262), "", 'Data Entry'!$ò$262)</f>
      </c>
      <c r="FW262">
        <f>IF(ISBLANK('Data Entry'!$ó$262), "", 'Data Entry'!$ó$262)</f>
      </c>
      <c r="FX262">
        <f>IF(ISBLANK('Data Entry'!$ô$262), "", 'Data Entry'!$ô$262)</f>
      </c>
      <c r="FY262">
        <f>IF(ISBLANK('Data Entry'!$õ$262), "", 'Data Entry'!$õ$262)</f>
      </c>
      <c r="FZ262">
        <f>IF(ISBLANK('Data Entry'!$ö$262), "", 'Data Entry'!$ö$262)</f>
      </c>
      <c r="GA262">
        <f>IF(ISBLANK('Data Entry'!$÷$262), "", 'Data Entry'!$÷$262)</f>
      </c>
      <c r="GB262">
        <f>IF(ISBLANK('Data Entry'!$ø$262), "", 'Data Entry'!$ø$262)</f>
      </c>
      <c r="GC262">
        <f>IF(ISBLANK('Data Entry'!$ù$262), "", 'Data Entry'!$ù$262)</f>
      </c>
      <c r="GD262">
        <f>IF(ISBLANK('Data Entry'!$ú$262), "", 'Data Entry'!$ú$262)</f>
      </c>
      <c r="GE262">
        <f>IF(ISBLANK('Data Entry'!$û$262), "", 'Data Entry'!$û$262)</f>
      </c>
      <c r="GF262">
        <f>IF(ISBLANK('Data Entry'!$ü$262), "", 'Data Entry'!$ü$262)</f>
      </c>
      <c r="GG262">
        <f>IF(ISBLANK('Data Entry'!$ý$262), "", 'Data Entry'!$ý$262)</f>
      </c>
      <c r="GH262">
        <f>IF(ISBLANK('Data Entry'!$þ$262), "", 'Data Entry'!$þ$262)</f>
      </c>
      <c r="GI262">
        <f>IF(ISBLANK('Data Entry'!$ÿ$262), "", 'Data Entry'!$ÿ$262)</f>
      </c>
      <c r="GJ262">
        <f>IF(ISBLANK('Data Entry'!$Ā$262), "", 'Data Entry'!$Ā$262)</f>
      </c>
      <c r="GK262">
        <f>IF(ISBLANK('Data Entry'!$ā$262), "", 'Data Entry'!$ā$262)</f>
      </c>
      <c r="GL262">
        <f>IF(ISBLANK('Data Entry'!$Ă$262), "", 'Data Entry'!$Ă$262)</f>
      </c>
      <c r="GM262">
        <f>IF(ISBLANK('Data Entry'!$ă$262), "", 'Data Entry'!$ă$262)</f>
      </c>
      <c r="GN262">
        <f>IF(ISBLANK('Data Entry'!$Ą$262), "", 'Data Entry'!$Ą$262)</f>
      </c>
      <c r="GO262">
        <f>IF(ISBLANK('Data Entry'!$ą$262), "", 'Data Entry'!$ą$262)</f>
      </c>
      <c r="GP262">
        <f>IF(ISBLANK('Data Entry'!$Ć$262), "", 'Data Entry'!$Ć$262)</f>
      </c>
      <c r="GQ262">
        <f>IF(ISBLANK('Data Entry'!$ć$262), "", 'Data Entry'!$ć$262)</f>
      </c>
      <c r="GR262">
        <f>IF(ISBLANK('Data Entry'!$Ĉ$262), "", 'Data Entry'!$Ĉ$262)</f>
      </c>
      <c r="GS262">
        <f>IF(ISBLANK('Data Entry'!$ĉ$262), "", 'Data Entry'!$ĉ$262)</f>
      </c>
      <c r="GT262">
        <f>IF(ISBLANK('Data Entry'!$Ċ$262), "", 'Data Entry'!$Ċ$262)</f>
      </c>
      <c r="GU262">
        <f>IF(ISBLANK('Data Entry'!$ċ$262), "", 'Data Entry'!$ċ$262)</f>
      </c>
      <c r="GV262">
        <f>IF(ISBLANK('Data Entry'!$Č$262), "", 'Data Entry'!$Č$262)</f>
      </c>
      <c r="GW262">
        <f>IF(ISBLANK('Data Entry'!$č$262), "", 'Data Entry'!$č$262)</f>
      </c>
      <c r="GX262">
        <f>IF(ISBLANK('Data Entry'!$Ď$262), "", 'Data Entry'!$Ď$262)</f>
      </c>
      <c r="GY262">
        <f>IF(ISBLANK('Data Entry'!$ď$262), "", 'Data Entry'!$ď$262)</f>
      </c>
      <c r="GZ262">
        <f>IF(ISBLANK('Data Entry'!$Đ$262), "", 'Data Entry'!$Đ$262)</f>
      </c>
      <c r="HA262">
        <f>IF(ISBLANK('Data Entry'!$đ$262), "", 'Data Entry'!$đ$262)</f>
      </c>
      <c r="HB262">
        <f>IF(ISBLANK('Data Entry'!$Ē$262), "", 'Data Entry'!$Ē$262)</f>
      </c>
      <c r="HC262">
        <f>IF(ISBLANK('Data Entry'!$ē$262), "", 'Data Entry'!$ē$262)</f>
      </c>
      <c r="HD262">
        <f>IF(ISBLANK('Data Entry'!$Ĕ$262), "", 'Data Entry'!$Ĕ$262)</f>
      </c>
      <c r="HE262">
        <f>IF(ISBLANK('Data Entry'!$ĕ$262), "", 'Data Entry'!$ĕ$262)</f>
      </c>
      <c r="HF262">
        <f>IF(ISBLANK('Data Entry'!$Ė$262), "", 'Data Entry'!$Ė$262)</f>
      </c>
      <c r="HG262">
        <f>IF(ISBLANK('Data Entry'!$ė$262), "", 'Data Entry'!$ė$262)</f>
      </c>
      <c r="HH262">
        <f>IF(ISBLANK('Data Entry'!$Ę$262), "", 'Data Entry'!$Ę$262)</f>
      </c>
      <c r="HI262">
        <f>IF(ISBLANK('Data Entry'!$ę$262), "", 'Data Entry'!$ę$262)</f>
      </c>
      <c r="HJ262">
        <f>IF(ISBLANK('Data Entry'!$Ě$262), "", 'Data Entry'!$Ě$262)</f>
      </c>
      <c r="HK262">
        <f>IF(ISBLANK('Data Entry'!$ě$262), "", 'Data Entry'!$ě$262)</f>
      </c>
      <c r="HL262">
        <f>IF(ISBLANK('Data Entry'!$Ĝ$262), "", 'Data Entry'!$Ĝ$262)</f>
      </c>
      <c r="HM262">
        <f>IF(ISBLANK('Data Entry'!$ĝ$262), "", 'Data Entry'!$ĝ$262)</f>
      </c>
      <c r="HN262">
        <f>IF(ISBLANK('Data Entry'!$Ğ$262), "", 'Data Entry'!$Ğ$262)</f>
      </c>
      <c r="HO262">
        <f>IF(ISBLANK('Data Entry'!$ğ$262), "", 'Data Entry'!$ğ$262)</f>
      </c>
      <c r="HP262">
        <f>IF(ISBLANK('Data Entry'!$Ġ$262), "", 'Data Entry'!$Ġ$262)</f>
      </c>
      <c r="HQ262">
        <f>IF(ISBLANK('Data Entry'!$ġ$262), "", 'Data Entry'!$ġ$262)</f>
      </c>
      <c r="HR262">
        <f>IF(ISBLANK('Data Entry'!$Ģ$262), "", 'Data Entry'!$Ģ$262)</f>
      </c>
      <c r="HS262">
        <f>IF(ISBLANK('Data Entry'!$ģ$262), "", 'Data Entry'!$ģ$262)</f>
      </c>
      <c r="HT262">
        <f>IF(ISBLANK('Data Entry'!$Ĥ$262), "", 'Data Entry'!$Ĥ$262)</f>
      </c>
      <c r="HU262">
        <f>IF(ISBLANK('Data Entry'!$ĥ$262), "", 'Data Entry'!$ĥ$262)</f>
      </c>
      <c r="HV262">
        <f>IF(ISBLANK('Data Entry'!$Ħ$262), "", 'Data Entry'!$Ħ$262)</f>
      </c>
      <c r="HW262">
        <f>IF(ISBLANK('Data Entry'!$ħ$262), "", 'Data Entry'!$ħ$262)</f>
      </c>
      <c r="HX262">
        <f>IF(ISBLANK('Data Entry'!$Ĩ$262), "", 'Data Entry'!$Ĩ$262)</f>
      </c>
      <c r="HY262">
        <f>IF(ISBLANK('Data Entry'!$ĩ$262), "", 'Data Entry'!$ĩ$262)</f>
      </c>
      <c r="HZ262">
        <f>IF(ISBLANK('Data Entry'!$Ī$262), "", 'Data Entry'!$Ī$262)</f>
      </c>
      <c r="IA262">
        <f>IF(ISBLANK('Data Entry'!$ī$262), "", 'Data Entry'!$ī$262)</f>
      </c>
      <c r="IB262">
        <f>IF(ISBLANK('Data Entry'!$Ĭ$262), "", 'Data Entry'!$Ĭ$262)</f>
      </c>
      <c r="IC262">
        <f>IF(ISBLANK('Data Entry'!$ĭ$262), "", 'Data Entry'!$ĭ$262)</f>
      </c>
      <c r="ID262">
        <f>IF(ISBLANK('Data Entry'!$Į$262), "", 'Data Entry'!$Į$262)</f>
      </c>
      <c r="IE262">
        <f>IF(ISBLANK('Data Entry'!$į$262), "", 'Data Entry'!$į$262)</f>
      </c>
      <c r="IF262">
        <f>IF(ISBLANK('Data Entry'!$İ$262), "", 'Data Entry'!$İ$262)</f>
      </c>
      <c r="IG262">
        <f>IF(ISBLANK('Data Entry'!$ı$262), "", 'Data Entry'!$ı$262)</f>
      </c>
      <c r="IH262">
        <f>IF(ISBLANK('Data Entry'!$Ĳ$262), "", 'Data Entry'!$Ĳ$262)</f>
      </c>
      <c r="II262">
        <f>IF(ISBLANK('Data Entry'!$ĳ$262), "", 'Data Entry'!$ĳ$262)</f>
      </c>
      <c r="IJ262">
        <f>IF(ISBLANK('Data Entry'!$Ĵ$262), "", 'Data Entry'!$Ĵ$262)</f>
      </c>
      <c r="IK262">
        <f>IF(ISBLANK('Data Entry'!$ĵ$262), "", 'Data Entry'!$ĵ$262)</f>
      </c>
      <c r="IL262">
        <f>IF(ISBLANK('Data Entry'!$Ķ$262), "", 'Data Entry'!$Ķ$262)</f>
      </c>
      <c r="IM262">
        <f>IF(ISBLANK('Data Entry'!$ķ$262), "", 'Data Entry'!$ķ$262)</f>
      </c>
      <c r="IN262">
        <f>IF(ISBLANK('Data Entry'!$ĸ$262), "", 'Data Entry'!$ĸ$262)</f>
      </c>
      <c r="IO262">
        <f>IF(ISBLANK('Data Entry'!$Ĺ$262), "", 'Data Entry'!$Ĺ$262)</f>
      </c>
      <c r="IP262">
        <f>IF(ISBLANK('Data Entry'!$ĺ$262), "", 'Data Entry'!$ĺ$262)</f>
      </c>
      <c r="IQ262">
        <f>IF(ISBLANK('Data Entry'!$Ļ$262), "", 'Data Entry'!$Ļ$262)</f>
      </c>
      <c r="IR262">
        <f>IF(ISBLANK('Data Entry'!$ļ$262), "", 'Data Entry'!$ļ$262)</f>
      </c>
      <c r="IS262">
        <f>IF(ISBLANK('Data Entry'!$Ľ$262), "", 'Data Entry'!$Ľ$262)</f>
      </c>
      <c r="IT262">
        <f>IF(ISBLANK('Data Entry'!$ľ$262), "", 'Data Entry'!$ľ$262)</f>
      </c>
    </row>
    <row r="263" spans="1:254" x14ac:dyDescent="0.25">
      <c r="A263">
        <f>IF(ISBLANK('Data Entry'!$A$263), "", 'Data Entry'!$A$263)</f>
      </c>
      <c r="B263">
        <f>IF(ISBLANK('Data Entry'!$B$263), "", 'Data Entry'!$B$263)</f>
      </c>
      <c r="C263">
        <f>IF(ISBLANK('Data Entry'!$C$263), "", 'Data Entry'!$C$263)</f>
      </c>
      <c r="D263">
        <f>IF(ISBLANK('Data Entry'!$D$263), "", 'Data Entry'!$D$263)</f>
      </c>
      <c r="E263">
        <f>IF(ISBLANK('Data Entry'!$E$263), "", 'Data Entry'!$E$263)</f>
      </c>
      <c r="F263">
        <f>IF(ISBLANK('Data Entry'!$F$263), "", 'Data Entry'!$F$263)</f>
      </c>
      <c r="G263">
        <f>IF(ISBLANK('Data Entry'!$G$263), "", 'Data Entry'!$G$263)</f>
      </c>
      <c r="H263">
        <f>IF(ISBLANK('Data Entry'!$H$263), "", 'Data Entry'!$H$263)</f>
      </c>
      <c r="I263">
        <f>IF(ISBLANK('Data Entry'!$I$263), "", 'Data Entry'!$I$263)</f>
      </c>
      <c r="J263">
        <f>IF(ISBLANK('Data Entry'!$J$263), "", 'Data Entry'!$J$263)</f>
      </c>
      <c r="K263">
        <f>IF(ISBLANK('Data Entry'!$K$263), "", 'Data Entry'!$K$263)</f>
      </c>
      <c r="L263">
        <f>IF(ISBLANK('Data Entry'!$L$263), "", 'Data Entry'!$L$263)</f>
      </c>
      <c r="M263">
        <f>IF(ISBLANK('Data Entry'!$M$263), "", 'Data Entry'!$M$263)</f>
      </c>
      <c r="N263">
        <f>IF(ISBLANK('Data Entry'!$N$263), "", 'Data Entry'!$N$263)</f>
      </c>
      <c r="O263">
        <f>IF(ISBLANK('Data Entry'!$O$263), "", 'Data Entry'!$O$263)</f>
      </c>
      <c r="P263">
        <f>IF(ISBLANK('Data Entry'!$P$263), "", 'Data Entry'!$P$263)</f>
      </c>
      <c r="Q263">
        <f>IF(ISBLANK('Data Entry'!$Q$263), "", 'Data Entry'!$Q$263)</f>
      </c>
      <c r="R263">
        <f>IF(ISBLANK('Data Entry'!$R$263), "", 'Data Entry'!$R$263)</f>
      </c>
      <c r="S263">
        <f>IF(ISBLANK('Data Entry'!$S$263), "", 'Data Entry'!$S$263)</f>
      </c>
      <c r="T263">
        <f>IF(ISBLANK('Data Entry'!$T$263), "", 'Data Entry'!$T$263)</f>
      </c>
      <c r="U263">
        <f>IF(ISBLANK('Data Entry'!$U$263), "", 'Data Entry'!$U$263)</f>
      </c>
      <c r="V263">
        <f>IF(ISBLANK('Data Entry'!$V$263), "", 'Data Entry'!$V$263)</f>
      </c>
      <c r="W263">
        <f>IF(ISBLANK('Data Entry'!$W$263), "", 'Data Entry'!$W$263)</f>
      </c>
      <c r="X263">
        <f>IF(ISBLANK('Data Entry'!$X$263), "", 'Data Entry'!$X$263)</f>
      </c>
      <c r="Y263">
        <f>IF(ISBLANK('Data Entry'!$Y$263), "", 'Data Entry'!$Y$263)</f>
      </c>
      <c r="Z263">
        <f>IF(ISBLANK('Data Entry'!$Z$263), "", 'Data Entry'!$Z$263)</f>
      </c>
      <c r="AA263">
        <f>IF(ISBLANK('Data Entry'!$[$263), "", 'Data Entry'!$[$263)</f>
      </c>
      <c r="AB263">
        <f>IF(ISBLANK('Data Entry'!$\$263), "", 'Data Entry'!$\$263)</f>
      </c>
      <c r="AC263">
        <f>IF(ISBLANK('Data Entry'!$]$263), "", 'Data Entry'!$]$263)</f>
      </c>
      <c r="AD263">
        <f>IF(ISBLANK('Data Entry'!$^$263), "", 'Data Entry'!$^$263)</f>
      </c>
      <c r="AE263">
        <f>IF(ISBLANK('Data Entry'!$_$263), "", 'Data Entry'!$_$263)</f>
      </c>
      <c r="AF263">
        <f>IF(ISBLANK('Data Entry'!$`$263), "", 'Data Entry'!$`$263)</f>
      </c>
      <c r="AG263">
        <f>IF(ISBLANK('Data Entry'!$a$263), "", 'Data Entry'!$a$263)</f>
      </c>
      <c r="AH263">
        <f>IF(ISBLANK('Data Entry'!$b$263), "", 'Data Entry'!$b$263)</f>
      </c>
      <c r="AI263">
        <f>IF(ISBLANK('Data Entry'!$c$263), "", 'Data Entry'!$c$263)</f>
      </c>
      <c r="AJ263">
        <f>IF(ISBLANK('Data Entry'!$d$263), "", 'Data Entry'!$d$263)</f>
      </c>
      <c r="AK263">
        <f>IF(ISBLANK('Data Entry'!$e$263), "", 'Data Entry'!$e$263)</f>
      </c>
      <c r="AL263">
        <f>IF(ISBLANK('Data Entry'!$f$263), "", 'Data Entry'!$f$263)</f>
      </c>
      <c r="AM263">
        <f>IF(ISBLANK('Data Entry'!$g$263), "", 'Data Entry'!$g$263)</f>
      </c>
      <c r="AN263">
        <f>IF(ISBLANK('Data Entry'!$h$263), "", 'Data Entry'!$h$263)</f>
      </c>
      <c r="AO263">
        <f>IF(ISBLANK('Data Entry'!$i$263), "", 'Data Entry'!$i$263)</f>
      </c>
      <c r="AP263">
        <f>IF(ISBLANK('Data Entry'!$j$263), "", 'Data Entry'!$j$263)</f>
      </c>
      <c r="AQ263">
        <f>IF(ISBLANK('Data Entry'!$k$263), "", 'Data Entry'!$k$263)</f>
      </c>
      <c r="AR263">
        <f>IF(ISBLANK('Data Entry'!$l$263), "", 'Data Entry'!$l$263)</f>
      </c>
      <c r="AS263">
        <f>IF(ISBLANK('Data Entry'!$m$263), "", 'Data Entry'!$m$263)</f>
      </c>
      <c r="AT263">
        <f>IF(ISBLANK('Data Entry'!$n$263), "", 'Data Entry'!$n$263)</f>
      </c>
      <c r="AU263">
        <f>IF(ISBLANK('Data Entry'!$o$263), "", 'Data Entry'!$o$263)</f>
      </c>
      <c r="AV263">
        <f>IF(ISBLANK('Data Entry'!$p$263), "", 'Data Entry'!$p$263)</f>
      </c>
      <c r="AW263">
        <f>IF(ISBLANK('Data Entry'!$q$263), "", 'Data Entry'!$q$263)</f>
      </c>
      <c r="AX263">
        <f>IF(ISBLANK('Data Entry'!$r$263), "", 'Data Entry'!$r$263)</f>
      </c>
      <c r="AY263">
        <f>IF(ISBLANK('Data Entry'!$s$263), "", 'Data Entry'!$s$263)</f>
      </c>
      <c r="AZ263">
        <f>IF(ISBLANK('Data Entry'!$t$263), "", 'Data Entry'!$t$263)</f>
      </c>
      <c r="BA263">
        <f>IF(ISBLANK('Data Entry'!$u$263), "", 'Data Entry'!$u$263)</f>
      </c>
      <c r="BB263">
        <f>IF(ISBLANK('Data Entry'!$v$263), "", 'Data Entry'!$v$263)</f>
      </c>
      <c r="BC263">
        <f>IF(ISBLANK('Data Entry'!$w$263), "", 'Data Entry'!$w$263)</f>
      </c>
      <c r="BD263">
        <f>IF(ISBLANK('Data Entry'!$x$263), "", 'Data Entry'!$x$263)</f>
      </c>
      <c r="BE263">
        <f>IF(ISBLANK('Data Entry'!$y$263), "", 'Data Entry'!$y$263)</f>
      </c>
      <c r="BF263">
        <f>IF(ISBLANK('Data Entry'!$z$263), "", 'Data Entry'!$z$263)</f>
      </c>
      <c r="BG263">
        <f>IF(ISBLANK('Data Entry'!${$263), "", 'Data Entry'!${$263)</f>
      </c>
      <c r="BH263">
        <f>IF(ISBLANK('Data Entry'!$|$263), "", 'Data Entry'!$|$263)</f>
      </c>
      <c r="BI263">
        <f>IF(ISBLANK('Data Entry'!$}$263), "", 'Data Entry'!$}$263)</f>
      </c>
      <c r="BJ263">
        <f>IF(ISBLANK('Data Entry'!$~$263), "", 'Data Entry'!$~$263)</f>
      </c>
      <c r="BK263">
        <f>IF(ISBLANK('Data Entry'!$$263), "", 'Data Entry'!$$263)</f>
      </c>
      <c r="BL263">
        <f>IF(ISBLANK('Data Entry'!$$263), "", 'Data Entry'!$$263)</f>
      </c>
      <c r="BM263">
        <f>IF(ISBLANK('Data Entry'!$$263), "", 'Data Entry'!$$263)</f>
      </c>
      <c r="BN263">
        <f>IF(ISBLANK('Data Entry'!$$263), "", 'Data Entry'!$$263)</f>
      </c>
      <c r="BO263">
        <f>IF(ISBLANK('Data Entry'!$$263), "", 'Data Entry'!$$263)</f>
      </c>
      <c r="BP263">
        <f>IF(ISBLANK('Data Entry'!$$263), "", 'Data Entry'!$$263)</f>
      </c>
      <c r="BQ263">
        <f>IF(ISBLANK('Data Entry'!$$263), "", 'Data Entry'!$$263)</f>
      </c>
      <c r="BR263">
        <f>IF(ISBLANK('Data Entry'!$$263), "", 'Data Entry'!$$263)</f>
      </c>
      <c r="BS263">
        <f>IF(ISBLANK('Data Entry'!$$263), "", 'Data Entry'!$$263)</f>
      </c>
      <c r="BT263">
        <f>IF(ISBLANK('Data Entry'!$$263), "", 'Data Entry'!$$263)</f>
      </c>
      <c r="BU263">
        <f>IF(ISBLANK('Data Entry'!$$263), "", 'Data Entry'!$$263)</f>
      </c>
      <c r="BV263">
        <f>IF(ISBLANK('Data Entry'!$$263), "", 'Data Entry'!$$263)</f>
      </c>
      <c r="BW263">
        <f>IF(ISBLANK('Data Entry'!$$263), "", 'Data Entry'!$$263)</f>
      </c>
      <c r="BX263">
        <f>IF(ISBLANK('Data Entry'!$$263), "", 'Data Entry'!$$263)</f>
      </c>
      <c r="BY263">
        <f>IF(ISBLANK('Data Entry'!$$263), "", 'Data Entry'!$$263)</f>
      </c>
      <c r="BZ263">
        <f>IF(ISBLANK('Data Entry'!$$263), "", 'Data Entry'!$$263)</f>
      </c>
      <c r="CA263">
        <f>IF(ISBLANK('Data Entry'!$$263), "", 'Data Entry'!$$263)</f>
      </c>
      <c r="CB263">
        <f>IF(ISBLANK('Data Entry'!$$263), "", 'Data Entry'!$$263)</f>
      </c>
      <c r="CC263">
        <f>IF(ISBLANK('Data Entry'!$$263), "", 'Data Entry'!$$263)</f>
      </c>
      <c r="CD263">
        <f>IF(ISBLANK('Data Entry'!$$263), "", 'Data Entry'!$$263)</f>
      </c>
      <c r="CE263">
        <f>IF(ISBLANK('Data Entry'!$$263), "", 'Data Entry'!$$263)</f>
      </c>
      <c r="CF263">
        <f>IF(ISBLANK('Data Entry'!$$263), "", 'Data Entry'!$$263)</f>
      </c>
      <c r="CG263">
        <f>IF(ISBLANK('Data Entry'!$$263), "", 'Data Entry'!$$263)</f>
      </c>
      <c r="CH263">
        <f>IF(ISBLANK('Data Entry'!$$263), "", 'Data Entry'!$$263)</f>
      </c>
      <c r="CI263">
        <f>IF(ISBLANK('Data Entry'!$$263), "", 'Data Entry'!$$263)</f>
      </c>
      <c r="CJ263">
        <f>IF(ISBLANK('Data Entry'!$$263), "", 'Data Entry'!$$263)</f>
      </c>
      <c r="CK263">
        <f>IF(ISBLANK('Data Entry'!$$263), "", 'Data Entry'!$$263)</f>
      </c>
      <c r="CL263">
        <f>IF(ISBLANK('Data Entry'!$$263), "", 'Data Entry'!$$263)</f>
      </c>
      <c r="CM263">
        <f>IF(ISBLANK('Data Entry'!$$263), "", 'Data Entry'!$$263)</f>
      </c>
      <c r="CN263">
        <f>IF(ISBLANK('Data Entry'!$$263), "", 'Data Entry'!$$263)</f>
      </c>
      <c r="CO263">
        <f>IF(ISBLANK('Data Entry'!$$263), "", 'Data Entry'!$$263)</f>
      </c>
      <c r="CP263">
        <f>IF(ISBLANK('Data Entry'!$$263), "", 'Data Entry'!$$263)</f>
      </c>
      <c r="CQ263">
        <f>IF(ISBLANK('Data Entry'!$$263), "", 'Data Entry'!$$263)</f>
      </c>
      <c r="CR263">
        <f>IF(ISBLANK('Data Entry'!$ $263), "", 'Data Entry'!$ $263)</f>
      </c>
      <c r="CS263">
        <f>IF(ISBLANK('Data Entry'!$¡$263), "", 'Data Entry'!$¡$263)</f>
      </c>
      <c r="CT263">
        <f>IF(ISBLANK('Data Entry'!$¢$263), "", 'Data Entry'!$¢$263)</f>
      </c>
      <c r="CU263">
        <f>IF(ISBLANK('Data Entry'!$£$263), "", 'Data Entry'!$£$263)</f>
      </c>
      <c r="CV263">
        <f>IF(ISBLANK('Data Entry'!$¤$263), "", 'Data Entry'!$¤$263)</f>
      </c>
      <c r="CW263">
        <f>IF(ISBLANK('Data Entry'!$¥$263), "", 'Data Entry'!$¥$263)</f>
      </c>
      <c r="CX263">
        <f>IF(ISBLANK('Data Entry'!$¦$263), "", 'Data Entry'!$¦$263)</f>
      </c>
      <c r="CY263">
        <f>IF(ISBLANK('Data Entry'!$§$263), "", 'Data Entry'!$§$263)</f>
      </c>
      <c r="CZ263">
        <f>IF(ISBLANK('Data Entry'!$¨$263), "", 'Data Entry'!$¨$263)</f>
      </c>
      <c r="DA263">
        <f>IF(ISBLANK('Data Entry'!$©$263), "", 'Data Entry'!$©$263)</f>
      </c>
      <c r="DB263">
        <f>IF(ISBLANK('Data Entry'!$ª$263), "", 'Data Entry'!$ª$263)</f>
      </c>
      <c r="DC263">
        <f>IF(ISBLANK('Data Entry'!$«$263), "", 'Data Entry'!$«$263)</f>
      </c>
      <c r="DD263">
        <f>IF(ISBLANK('Data Entry'!$¬$263), "", 'Data Entry'!$¬$263)</f>
      </c>
      <c r="DE263">
        <f>IF(ISBLANK('Data Entry'!$­$263), "", 'Data Entry'!$­$263)</f>
      </c>
      <c r="DF263">
        <f>IF(ISBLANK('Data Entry'!$®$263), "", 'Data Entry'!$®$263)</f>
      </c>
      <c r="DG263">
        <f>IF(ISBLANK('Data Entry'!$¯$263), "", 'Data Entry'!$¯$263)</f>
      </c>
      <c r="DH263">
        <f>IF(ISBLANK('Data Entry'!$°$263), "", 'Data Entry'!$°$263)</f>
      </c>
      <c r="DI263">
        <f>IF(ISBLANK('Data Entry'!$±$263), "", 'Data Entry'!$±$263)</f>
      </c>
      <c r="DJ263">
        <f>IF(ISBLANK('Data Entry'!$²$263), "", 'Data Entry'!$²$263)</f>
      </c>
      <c r="DK263">
        <f>IF(ISBLANK('Data Entry'!$³$263), "", 'Data Entry'!$³$263)</f>
      </c>
      <c r="DL263">
        <f>IF(ISBLANK('Data Entry'!$´$263), "", 'Data Entry'!$´$263)</f>
      </c>
      <c r="DM263">
        <f>IF(ISBLANK('Data Entry'!$µ$263), "", 'Data Entry'!$µ$263)</f>
      </c>
      <c r="DN263">
        <f>IF(ISBLANK('Data Entry'!$¶$263), "", 'Data Entry'!$¶$263)</f>
      </c>
      <c r="DO263">
        <f>IF(ISBLANK('Data Entry'!$·$263), "", 'Data Entry'!$·$263)</f>
      </c>
      <c r="DP263">
        <f>IF(ISBLANK('Data Entry'!$¸$263), "", 'Data Entry'!$¸$263)</f>
      </c>
      <c r="DQ263">
        <f>IF(ISBLANK('Data Entry'!$¹$263), "", 'Data Entry'!$¹$263)</f>
      </c>
      <c r="DR263">
        <f>IF(ISBLANK('Data Entry'!$º$263), "", 'Data Entry'!$º$263)</f>
      </c>
      <c r="DS263">
        <f>IF(ISBLANK('Data Entry'!$»$263), "", 'Data Entry'!$»$263)</f>
      </c>
      <c r="DT263">
        <f>IF(ISBLANK('Data Entry'!$¼$263), "", 'Data Entry'!$¼$263)</f>
      </c>
      <c r="DU263">
        <f>IF(ISBLANK('Data Entry'!$½$263), "", 'Data Entry'!$½$263)</f>
      </c>
      <c r="DV263">
        <f>IF(ISBLANK('Data Entry'!$¾$263), "", 'Data Entry'!$¾$263)</f>
      </c>
      <c r="DW263">
        <f>IF(ISBLANK('Data Entry'!$¿$263), "", 'Data Entry'!$¿$263)</f>
      </c>
      <c r="DX263">
        <f>IF(ISBLANK('Data Entry'!$À$263), "", 'Data Entry'!$À$263)</f>
      </c>
      <c r="DY263">
        <f>IF(ISBLANK('Data Entry'!$Á$263), "", 'Data Entry'!$Á$263)</f>
      </c>
      <c r="DZ263">
        <f>IF(ISBLANK('Data Entry'!$Â$263), "", 'Data Entry'!$Â$263)</f>
      </c>
      <c r="EA263">
        <f>IF(ISBLANK('Data Entry'!$Ã$263), "", 'Data Entry'!$Ã$263)</f>
      </c>
      <c r="EB263">
        <f>IF(ISBLANK('Data Entry'!$Ä$263), "", 'Data Entry'!$Ä$263)</f>
      </c>
      <c r="EC263">
        <f>IF(ISBLANK('Data Entry'!$Å$263), "", 'Data Entry'!$Å$263)</f>
      </c>
      <c r="ED263">
        <f>IF(ISBLANK('Data Entry'!$Æ$263), "", 'Data Entry'!$Æ$263)</f>
      </c>
      <c r="EE263">
        <f>IF(ISBLANK('Data Entry'!$Ç$263), "", 'Data Entry'!$Ç$263)</f>
      </c>
      <c r="EF263">
        <f>IF(ISBLANK('Data Entry'!$È$263), "", 'Data Entry'!$È$263)</f>
      </c>
      <c r="EG263">
        <f>IF(ISBLANK('Data Entry'!$É$263), "", 'Data Entry'!$É$263)</f>
      </c>
      <c r="EH263">
        <f>IF(ISBLANK('Data Entry'!$Ê$263), "", 'Data Entry'!$Ê$263)</f>
      </c>
      <c r="EI263">
        <f>IF(ISBLANK('Data Entry'!$Ë$263), "", 'Data Entry'!$Ë$263)</f>
      </c>
      <c r="EJ263">
        <f>IF(ISBLANK('Data Entry'!$Ì$263), "", 'Data Entry'!$Ì$263)</f>
      </c>
      <c r="EK263">
        <f>IF(ISBLANK('Data Entry'!$Í$263), "", 'Data Entry'!$Í$263)</f>
      </c>
      <c r="EL263">
        <f>IF(ISBLANK('Data Entry'!$Î$263), "", 'Data Entry'!$Î$263)</f>
      </c>
      <c r="EM263">
        <f>IF(ISBLANK('Data Entry'!$Ï$263), "", 'Data Entry'!$Ï$263)</f>
      </c>
      <c r="EN263">
        <f>IF(ISBLANK('Data Entry'!$Ð$263), "", 'Data Entry'!$Ð$263)</f>
      </c>
      <c r="EO263">
        <f>IF(ISBLANK('Data Entry'!$Ñ$263), "", 'Data Entry'!$Ñ$263)</f>
      </c>
      <c r="EP263">
        <f>IF(ISBLANK('Data Entry'!$Ò$263), "", 'Data Entry'!$Ò$263)</f>
      </c>
      <c r="EQ263">
        <f>IF(ISBLANK('Data Entry'!$Ó$263), "", 'Data Entry'!$Ó$263)</f>
      </c>
      <c r="ER263">
        <f>IF(ISBLANK('Data Entry'!$Ô$263), "", 'Data Entry'!$Ô$263)</f>
      </c>
      <c r="ES263">
        <f>IF(ISBLANK('Data Entry'!$Õ$263), "", 'Data Entry'!$Õ$263)</f>
      </c>
      <c r="ET263">
        <f>IF(ISBLANK('Data Entry'!$Ö$263), "", 'Data Entry'!$Ö$263)</f>
      </c>
      <c r="EU263">
        <f>IF(ISBLANK('Data Entry'!$×$263), "", 'Data Entry'!$×$263)</f>
      </c>
      <c r="EV263">
        <f>IF(ISBLANK('Data Entry'!$Ø$263), "", 'Data Entry'!$Ø$263)</f>
      </c>
      <c r="EW263">
        <f>IF(ISBLANK('Data Entry'!$Ù$263), "", 'Data Entry'!$Ù$263)</f>
      </c>
      <c r="EX263">
        <f>IF(ISBLANK('Data Entry'!$Ú$263), "", 'Data Entry'!$Ú$263)</f>
      </c>
      <c r="EY263">
        <f>IF(ISBLANK('Data Entry'!$Û$263), "", 'Data Entry'!$Û$263)</f>
      </c>
      <c r="EZ263">
        <f>IF(ISBLANK('Data Entry'!$Ü$263), "", 'Data Entry'!$Ü$263)</f>
      </c>
      <c r="FA263">
        <f>IF(ISBLANK('Data Entry'!$Ý$263), "", 'Data Entry'!$Ý$263)</f>
      </c>
      <c r="FB263">
        <f>IF(ISBLANK('Data Entry'!$Þ$263), "", 'Data Entry'!$Þ$263)</f>
      </c>
      <c r="FC263">
        <f>IF(ISBLANK('Data Entry'!$ß$263), "", 'Data Entry'!$ß$263)</f>
      </c>
      <c r="FD263">
        <f>IF(ISBLANK('Data Entry'!$à$263), "", 'Data Entry'!$à$263)</f>
      </c>
      <c r="FE263">
        <f>IF(ISBLANK('Data Entry'!$á$263), "", 'Data Entry'!$á$263)</f>
      </c>
      <c r="FF263">
        <f>IF(ISBLANK('Data Entry'!$â$263), "", 'Data Entry'!$â$263)</f>
      </c>
      <c r="FG263">
        <f>IF(ISBLANK('Data Entry'!$ã$263), "", 'Data Entry'!$ã$263)</f>
      </c>
      <c r="FH263">
        <f>IF(ISBLANK('Data Entry'!$ä$263), "", 'Data Entry'!$ä$263)</f>
      </c>
      <c r="FI263">
        <f>IF(ISBLANK('Data Entry'!$å$263), "", 'Data Entry'!$å$263)</f>
      </c>
      <c r="FJ263">
        <f>IF(ISBLANK('Data Entry'!$æ$263), "", 'Data Entry'!$æ$263)</f>
      </c>
      <c r="FK263">
        <f>IF(ISBLANK('Data Entry'!$ç$263), "", 'Data Entry'!$ç$263)</f>
      </c>
      <c r="FL263">
        <f>IF(ISBLANK('Data Entry'!$è$263), "", 'Data Entry'!$è$263)</f>
      </c>
      <c r="FM263">
        <f>IF(ISBLANK('Data Entry'!$é$263), "", 'Data Entry'!$é$263)</f>
      </c>
      <c r="FN263">
        <f>IF(ISBLANK('Data Entry'!$ê$263), "", 'Data Entry'!$ê$263)</f>
      </c>
      <c r="FO263">
        <f>IF(ISBLANK('Data Entry'!$ë$263), "", 'Data Entry'!$ë$263)</f>
      </c>
      <c r="FP263">
        <f>IF(ISBLANK('Data Entry'!$ì$263), "", 'Data Entry'!$ì$263)</f>
      </c>
      <c r="FQ263">
        <f>IF(ISBLANK('Data Entry'!$í$263), "", 'Data Entry'!$í$263)</f>
      </c>
      <c r="FR263">
        <f>IF(ISBLANK('Data Entry'!$î$263), "", 'Data Entry'!$î$263)</f>
      </c>
      <c r="FS263">
        <f>IF(ISBLANK('Data Entry'!$ï$263), "", 'Data Entry'!$ï$263)</f>
      </c>
      <c r="FT263">
        <f>IF(ISBLANK('Data Entry'!$ð$263), "", 'Data Entry'!$ð$263)</f>
      </c>
      <c r="FU263">
        <f>IF(ISBLANK('Data Entry'!$ñ$263), "", 'Data Entry'!$ñ$263)</f>
      </c>
      <c r="FV263">
        <f>IF(ISBLANK('Data Entry'!$ò$263), "", 'Data Entry'!$ò$263)</f>
      </c>
      <c r="FW263">
        <f>IF(ISBLANK('Data Entry'!$ó$263), "", 'Data Entry'!$ó$263)</f>
      </c>
      <c r="FX263">
        <f>IF(ISBLANK('Data Entry'!$ô$263), "", 'Data Entry'!$ô$263)</f>
      </c>
      <c r="FY263">
        <f>IF(ISBLANK('Data Entry'!$õ$263), "", 'Data Entry'!$õ$263)</f>
      </c>
      <c r="FZ263">
        <f>IF(ISBLANK('Data Entry'!$ö$263), "", 'Data Entry'!$ö$263)</f>
      </c>
      <c r="GA263">
        <f>IF(ISBLANK('Data Entry'!$÷$263), "", 'Data Entry'!$÷$263)</f>
      </c>
      <c r="GB263">
        <f>IF(ISBLANK('Data Entry'!$ø$263), "", 'Data Entry'!$ø$263)</f>
      </c>
      <c r="GC263">
        <f>IF(ISBLANK('Data Entry'!$ù$263), "", 'Data Entry'!$ù$263)</f>
      </c>
      <c r="GD263">
        <f>IF(ISBLANK('Data Entry'!$ú$263), "", 'Data Entry'!$ú$263)</f>
      </c>
      <c r="GE263">
        <f>IF(ISBLANK('Data Entry'!$û$263), "", 'Data Entry'!$û$263)</f>
      </c>
      <c r="GF263">
        <f>IF(ISBLANK('Data Entry'!$ü$263), "", 'Data Entry'!$ü$263)</f>
      </c>
      <c r="GG263">
        <f>IF(ISBLANK('Data Entry'!$ý$263), "", 'Data Entry'!$ý$263)</f>
      </c>
      <c r="GH263">
        <f>IF(ISBLANK('Data Entry'!$þ$263), "", 'Data Entry'!$þ$263)</f>
      </c>
      <c r="GI263">
        <f>IF(ISBLANK('Data Entry'!$ÿ$263), "", 'Data Entry'!$ÿ$263)</f>
      </c>
      <c r="GJ263">
        <f>IF(ISBLANK('Data Entry'!$Ā$263), "", 'Data Entry'!$Ā$263)</f>
      </c>
      <c r="GK263">
        <f>IF(ISBLANK('Data Entry'!$ā$263), "", 'Data Entry'!$ā$263)</f>
      </c>
      <c r="GL263">
        <f>IF(ISBLANK('Data Entry'!$Ă$263), "", 'Data Entry'!$Ă$263)</f>
      </c>
      <c r="GM263">
        <f>IF(ISBLANK('Data Entry'!$ă$263), "", 'Data Entry'!$ă$263)</f>
      </c>
      <c r="GN263">
        <f>IF(ISBLANK('Data Entry'!$Ą$263), "", 'Data Entry'!$Ą$263)</f>
      </c>
      <c r="GO263">
        <f>IF(ISBLANK('Data Entry'!$ą$263), "", 'Data Entry'!$ą$263)</f>
      </c>
      <c r="GP263">
        <f>IF(ISBLANK('Data Entry'!$Ć$263), "", 'Data Entry'!$Ć$263)</f>
      </c>
      <c r="GQ263">
        <f>IF(ISBLANK('Data Entry'!$ć$263), "", 'Data Entry'!$ć$263)</f>
      </c>
      <c r="GR263">
        <f>IF(ISBLANK('Data Entry'!$Ĉ$263), "", 'Data Entry'!$Ĉ$263)</f>
      </c>
      <c r="GS263">
        <f>IF(ISBLANK('Data Entry'!$ĉ$263), "", 'Data Entry'!$ĉ$263)</f>
      </c>
      <c r="GT263">
        <f>IF(ISBLANK('Data Entry'!$Ċ$263), "", 'Data Entry'!$Ċ$263)</f>
      </c>
      <c r="GU263">
        <f>IF(ISBLANK('Data Entry'!$ċ$263), "", 'Data Entry'!$ċ$263)</f>
      </c>
      <c r="GV263">
        <f>IF(ISBLANK('Data Entry'!$Č$263), "", 'Data Entry'!$Č$263)</f>
      </c>
      <c r="GW263">
        <f>IF(ISBLANK('Data Entry'!$č$263), "", 'Data Entry'!$č$263)</f>
      </c>
      <c r="GX263">
        <f>IF(ISBLANK('Data Entry'!$Ď$263), "", 'Data Entry'!$Ď$263)</f>
      </c>
      <c r="GY263">
        <f>IF(ISBLANK('Data Entry'!$ď$263), "", 'Data Entry'!$ď$263)</f>
      </c>
      <c r="GZ263">
        <f>IF(ISBLANK('Data Entry'!$Đ$263), "", 'Data Entry'!$Đ$263)</f>
      </c>
      <c r="HA263">
        <f>IF(ISBLANK('Data Entry'!$đ$263), "", 'Data Entry'!$đ$263)</f>
      </c>
      <c r="HB263">
        <f>IF(ISBLANK('Data Entry'!$Ē$263), "", 'Data Entry'!$Ē$263)</f>
      </c>
      <c r="HC263">
        <f>IF(ISBLANK('Data Entry'!$ē$263), "", 'Data Entry'!$ē$263)</f>
      </c>
      <c r="HD263">
        <f>IF(ISBLANK('Data Entry'!$Ĕ$263), "", 'Data Entry'!$Ĕ$263)</f>
      </c>
      <c r="HE263">
        <f>IF(ISBLANK('Data Entry'!$ĕ$263), "", 'Data Entry'!$ĕ$263)</f>
      </c>
      <c r="HF263">
        <f>IF(ISBLANK('Data Entry'!$Ė$263), "", 'Data Entry'!$Ė$263)</f>
      </c>
      <c r="HG263">
        <f>IF(ISBLANK('Data Entry'!$ė$263), "", 'Data Entry'!$ė$263)</f>
      </c>
      <c r="HH263">
        <f>IF(ISBLANK('Data Entry'!$Ę$263), "", 'Data Entry'!$Ę$263)</f>
      </c>
      <c r="HI263">
        <f>IF(ISBLANK('Data Entry'!$ę$263), "", 'Data Entry'!$ę$263)</f>
      </c>
      <c r="HJ263">
        <f>IF(ISBLANK('Data Entry'!$Ě$263), "", 'Data Entry'!$Ě$263)</f>
      </c>
      <c r="HK263">
        <f>IF(ISBLANK('Data Entry'!$ě$263), "", 'Data Entry'!$ě$263)</f>
      </c>
      <c r="HL263">
        <f>IF(ISBLANK('Data Entry'!$Ĝ$263), "", 'Data Entry'!$Ĝ$263)</f>
      </c>
      <c r="HM263">
        <f>IF(ISBLANK('Data Entry'!$ĝ$263), "", 'Data Entry'!$ĝ$263)</f>
      </c>
      <c r="HN263">
        <f>IF(ISBLANK('Data Entry'!$Ğ$263), "", 'Data Entry'!$Ğ$263)</f>
      </c>
      <c r="HO263">
        <f>IF(ISBLANK('Data Entry'!$ğ$263), "", 'Data Entry'!$ğ$263)</f>
      </c>
      <c r="HP263">
        <f>IF(ISBLANK('Data Entry'!$Ġ$263), "", 'Data Entry'!$Ġ$263)</f>
      </c>
      <c r="HQ263">
        <f>IF(ISBLANK('Data Entry'!$ġ$263), "", 'Data Entry'!$ġ$263)</f>
      </c>
      <c r="HR263">
        <f>IF(ISBLANK('Data Entry'!$Ģ$263), "", 'Data Entry'!$Ģ$263)</f>
      </c>
      <c r="HS263">
        <f>IF(ISBLANK('Data Entry'!$ģ$263), "", 'Data Entry'!$ģ$263)</f>
      </c>
      <c r="HT263">
        <f>IF(ISBLANK('Data Entry'!$Ĥ$263), "", 'Data Entry'!$Ĥ$263)</f>
      </c>
      <c r="HU263">
        <f>IF(ISBLANK('Data Entry'!$ĥ$263), "", 'Data Entry'!$ĥ$263)</f>
      </c>
      <c r="HV263">
        <f>IF(ISBLANK('Data Entry'!$Ħ$263), "", 'Data Entry'!$Ħ$263)</f>
      </c>
      <c r="HW263">
        <f>IF(ISBLANK('Data Entry'!$ħ$263), "", 'Data Entry'!$ħ$263)</f>
      </c>
      <c r="HX263">
        <f>IF(ISBLANK('Data Entry'!$Ĩ$263), "", 'Data Entry'!$Ĩ$263)</f>
      </c>
      <c r="HY263">
        <f>IF(ISBLANK('Data Entry'!$ĩ$263), "", 'Data Entry'!$ĩ$263)</f>
      </c>
      <c r="HZ263">
        <f>IF(ISBLANK('Data Entry'!$Ī$263), "", 'Data Entry'!$Ī$263)</f>
      </c>
      <c r="IA263">
        <f>IF(ISBLANK('Data Entry'!$ī$263), "", 'Data Entry'!$ī$263)</f>
      </c>
      <c r="IB263">
        <f>IF(ISBLANK('Data Entry'!$Ĭ$263), "", 'Data Entry'!$Ĭ$263)</f>
      </c>
      <c r="IC263">
        <f>IF(ISBLANK('Data Entry'!$ĭ$263), "", 'Data Entry'!$ĭ$263)</f>
      </c>
      <c r="ID263">
        <f>IF(ISBLANK('Data Entry'!$Į$263), "", 'Data Entry'!$Į$263)</f>
      </c>
      <c r="IE263">
        <f>IF(ISBLANK('Data Entry'!$į$263), "", 'Data Entry'!$į$263)</f>
      </c>
      <c r="IF263">
        <f>IF(ISBLANK('Data Entry'!$İ$263), "", 'Data Entry'!$İ$263)</f>
      </c>
      <c r="IG263">
        <f>IF(ISBLANK('Data Entry'!$ı$263), "", 'Data Entry'!$ı$263)</f>
      </c>
      <c r="IH263">
        <f>IF(ISBLANK('Data Entry'!$Ĳ$263), "", 'Data Entry'!$Ĳ$263)</f>
      </c>
      <c r="II263">
        <f>IF(ISBLANK('Data Entry'!$ĳ$263), "", 'Data Entry'!$ĳ$263)</f>
      </c>
      <c r="IJ263">
        <f>IF(ISBLANK('Data Entry'!$Ĵ$263), "", 'Data Entry'!$Ĵ$263)</f>
      </c>
      <c r="IK263">
        <f>IF(ISBLANK('Data Entry'!$ĵ$263), "", 'Data Entry'!$ĵ$263)</f>
      </c>
      <c r="IL263">
        <f>IF(ISBLANK('Data Entry'!$Ķ$263), "", 'Data Entry'!$Ķ$263)</f>
      </c>
      <c r="IM263">
        <f>IF(ISBLANK('Data Entry'!$ķ$263), "", 'Data Entry'!$ķ$263)</f>
      </c>
      <c r="IN263">
        <f>IF(ISBLANK('Data Entry'!$ĸ$263), "", 'Data Entry'!$ĸ$263)</f>
      </c>
      <c r="IO263">
        <f>IF(ISBLANK('Data Entry'!$Ĺ$263), "", 'Data Entry'!$Ĺ$263)</f>
      </c>
      <c r="IP263">
        <f>IF(ISBLANK('Data Entry'!$ĺ$263), "", 'Data Entry'!$ĺ$263)</f>
      </c>
      <c r="IQ263">
        <f>IF(ISBLANK('Data Entry'!$Ļ$263), "", 'Data Entry'!$Ļ$263)</f>
      </c>
      <c r="IR263">
        <f>IF(ISBLANK('Data Entry'!$ļ$263), "", 'Data Entry'!$ļ$263)</f>
      </c>
      <c r="IS263">
        <f>IF(ISBLANK('Data Entry'!$Ľ$263), "", 'Data Entry'!$Ľ$263)</f>
      </c>
      <c r="IT263">
        <f>IF(ISBLANK('Data Entry'!$ľ$263), "", 'Data Entry'!$ľ$263)</f>
      </c>
    </row>
    <row r="264" spans="1:254" x14ac:dyDescent="0.25">
      <c r="A264">
        <f>IF(ISBLANK('Data Entry'!$A$264), "", 'Data Entry'!$A$264)</f>
      </c>
      <c r="B264">
        <f>IF(ISBLANK('Data Entry'!$B$264), "", 'Data Entry'!$B$264)</f>
      </c>
      <c r="C264">
        <f>IF(ISBLANK('Data Entry'!$C$264), "", 'Data Entry'!$C$264)</f>
      </c>
      <c r="D264">
        <f>IF(ISBLANK('Data Entry'!$D$264), "", 'Data Entry'!$D$264)</f>
      </c>
      <c r="E264">
        <f>IF(ISBLANK('Data Entry'!$E$264), "", 'Data Entry'!$E$264)</f>
      </c>
      <c r="F264">
        <f>IF(ISBLANK('Data Entry'!$F$264), "", 'Data Entry'!$F$264)</f>
      </c>
      <c r="G264">
        <f>IF(ISBLANK('Data Entry'!$G$264), "", 'Data Entry'!$G$264)</f>
      </c>
      <c r="H264">
        <f>IF(ISBLANK('Data Entry'!$H$264), "", 'Data Entry'!$H$264)</f>
      </c>
      <c r="I264">
        <f>IF(ISBLANK('Data Entry'!$I$264), "", 'Data Entry'!$I$264)</f>
      </c>
      <c r="J264">
        <f>IF(ISBLANK('Data Entry'!$J$264), "", 'Data Entry'!$J$264)</f>
      </c>
      <c r="K264">
        <f>IF(ISBLANK('Data Entry'!$K$264), "", 'Data Entry'!$K$264)</f>
      </c>
      <c r="L264">
        <f>IF(ISBLANK('Data Entry'!$L$264), "", 'Data Entry'!$L$264)</f>
      </c>
      <c r="M264">
        <f>IF(ISBLANK('Data Entry'!$M$264), "", 'Data Entry'!$M$264)</f>
      </c>
      <c r="N264">
        <f>IF(ISBLANK('Data Entry'!$N$264), "", 'Data Entry'!$N$264)</f>
      </c>
      <c r="O264">
        <f>IF(ISBLANK('Data Entry'!$O$264), "", 'Data Entry'!$O$264)</f>
      </c>
      <c r="P264">
        <f>IF(ISBLANK('Data Entry'!$P$264), "", 'Data Entry'!$P$264)</f>
      </c>
      <c r="Q264">
        <f>IF(ISBLANK('Data Entry'!$Q$264), "", 'Data Entry'!$Q$264)</f>
      </c>
      <c r="R264">
        <f>IF(ISBLANK('Data Entry'!$R$264), "", 'Data Entry'!$R$264)</f>
      </c>
      <c r="S264">
        <f>IF(ISBLANK('Data Entry'!$S$264), "", 'Data Entry'!$S$264)</f>
      </c>
      <c r="T264">
        <f>IF(ISBLANK('Data Entry'!$T$264), "", 'Data Entry'!$T$264)</f>
      </c>
      <c r="U264">
        <f>IF(ISBLANK('Data Entry'!$U$264), "", 'Data Entry'!$U$264)</f>
      </c>
      <c r="V264">
        <f>IF(ISBLANK('Data Entry'!$V$264), "", 'Data Entry'!$V$264)</f>
      </c>
      <c r="W264">
        <f>IF(ISBLANK('Data Entry'!$W$264), "", 'Data Entry'!$W$264)</f>
      </c>
      <c r="X264">
        <f>IF(ISBLANK('Data Entry'!$X$264), "", 'Data Entry'!$X$264)</f>
      </c>
      <c r="Y264">
        <f>IF(ISBLANK('Data Entry'!$Y$264), "", 'Data Entry'!$Y$264)</f>
      </c>
      <c r="Z264">
        <f>IF(ISBLANK('Data Entry'!$Z$264), "", 'Data Entry'!$Z$264)</f>
      </c>
      <c r="AA264">
        <f>IF(ISBLANK('Data Entry'!$[$264), "", 'Data Entry'!$[$264)</f>
      </c>
      <c r="AB264">
        <f>IF(ISBLANK('Data Entry'!$\$264), "", 'Data Entry'!$\$264)</f>
      </c>
      <c r="AC264">
        <f>IF(ISBLANK('Data Entry'!$]$264), "", 'Data Entry'!$]$264)</f>
      </c>
      <c r="AD264">
        <f>IF(ISBLANK('Data Entry'!$^$264), "", 'Data Entry'!$^$264)</f>
      </c>
      <c r="AE264">
        <f>IF(ISBLANK('Data Entry'!$_$264), "", 'Data Entry'!$_$264)</f>
      </c>
      <c r="AF264">
        <f>IF(ISBLANK('Data Entry'!$`$264), "", 'Data Entry'!$`$264)</f>
      </c>
      <c r="AG264">
        <f>IF(ISBLANK('Data Entry'!$a$264), "", 'Data Entry'!$a$264)</f>
      </c>
      <c r="AH264">
        <f>IF(ISBLANK('Data Entry'!$b$264), "", 'Data Entry'!$b$264)</f>
      </c>
      <c r="AI264">
        <f>IF(ISBLANK('Data Entry'!$c$264), "", 'Data Entry'!$c$264)</f>
      </c>
      <c r="AJ264">
        <f>IF(ISBLANK('Data Entry'!$d$264), "", 'Data Entry'!$d$264)</f>
      </c>
      <c r="AK264">
        <f>IF(ISBLANK('Data Entry'!$e$264), "", 'Data Entry'!$e$264)</f>
      </c>
      <c r="AL264">
        <f>IF(ISBLANK('Data Entry'!$f$264), "", 'Data Entry'!$f$264)</f>
      </c>
      <c r="AM264">
        <f>IF(ISBLANK('Data Entry'!$g$264), "", 'Data Entry'!$g$264)</f>
      </c>
      <c r="AN264">
        <f>IF(ISBLANK('Data Entry'!$h$264), "", 'Data Entry'!$h$264)</f>
      </c>
      <c r="AO264">
        <f>IF(ISBLANK('Data Entry'!$i$264), "", 'Data Entry'!$i$264)</f>
      </c>
      <c r="AP264">
        <f>IF(ISBLANK('Data Entry'!$j$264), "", 'Data Entry'!$j$264)</f>
      </c>
      <c r="AQ264">
        <f>IF(ISBLANK('Data Entry'!$k$264), "", 'Data Entry'!$k$264)</f>
      </c>
      <c r="AR264">
        <f>IF(ISBLANK('Data Entry'!$l$264), "", 'Data Entry'!$l$264)</f>
      </c>
      <c r="AS264">
        <f>IF(ISBLANK('Data Entry'!$m$264), "", 'Data Entry'!$m$264)</f>
      </c>
      <c r="AT264">
        <f>IF(ISBLANK('Data Entry'!$n$264), "", 'Data Entry'!$n$264)</f>
      </c>
      <c r="AU264">
        <f>IF(ISBLANK('Data Entry'!$o$264), "", 'Data Entry'!$o$264)</f>
      </c>
      <c r="AV264">
        <f>IF(ISBLANK('Data Entry'!$p$264), "", 'Data Entry'!$p$264)</f>
      </c>
      <c r="AW264">
        <f>IF(ISBLANK('Data Entry'!$q$264), "", 'Data Entry'!$q$264)</f>
      </c>
      <c r="AX264">
        <f>IF(ISBLANK('Data Entry'!$r$264), "", 'Data Entry'!$r$264)</f>
      </c>
      <c r="AY264">
        <f>IF(ISBLANK('Data Entry'!$s$264), "", 'Data Entry'!$s$264)</f>
      </c>
      <c r="AZ264">
        <f>IF(ISBLANK('Data Entry'!$t$264), "", 'Data Entry'!$t$264)</f>
      </c>
      <c r="BA264">
        <f>IF(ISBLANK('Data Entry'!$u$264), "", 'Data Entry'!$u$264)</f>
      </c>
      <c r="BB264">
        <f>IF(ISBLANK('Data Entry'!$v$264), "", 'Data Entry'!$v$264)</f>
      </c>
      <c r="BC264">
        <f>IF(ISBLANK('Data Entry'!$w$264), "", 'Data Entry'!$w$264)</f>
      </c>
      <c r="BD264">
        <f>IF(ISBLANK('Data Entry'!$x$264), "", 'Data Entry'!$x$264)</f>
      </c>
      <c r="BE264">
        <f>IF(ISBLANK('Data Entry'!$y$264), "", 'Data Entry'!$y$264)</f>
      </c>
      <c r="BF264">
        <f>IF(ISBLANK('Data Entry'!$z$264), "", 'Data Entry'!$z$264)</f>
      </c>
      <c r="BG264">
        <f>IF(ISBLANK('Data Entry'!${$264), "", 'Data Entry'!${$264)</f>
      </c>
      <c r="BH264">
        <f>IF(ISBLANK('Data Entry'!$|$264), "", 'Data Entry'!$|$264)</f>
      </c>
      <c r="BI264">
        <f>IF(ISBLANK('Data Entry'!$}$264), "", 'Data Entry'!$}$264)</f>
      </c>
      <c r="BJ264">
        <f>IF(ISBLANK('Data Entry'!$~$264), "", 'Data Entry'!$~$264)</f>
      </c>
      <c r="BK264">
        <f>IF(ISBLANK('Data Entry'!$$264), "", 'Data Entry'!$$264)</f>
      </c>
      <c r="BL264">
        <f>IF(ISBLANK('Data Entry'!$$264), "", 'Data Entry'!$$264)</f>
      </c>
      <c r="BM264">
        <f>IF(ISBLANK('Data Entry'!$$264), "", 'Data Entry'!$$264)</f>
      </c>
      <c r="BN264">
        <f>IF(ISBLANK('Data Entry'!$$264), "", 'Data Entry'!$$264)</f>
      </c>
      <c r="BO264">
        <f>IF(ISBLANK('Data Entry'!$$264), "", 'Data Entry'!$$264)</f>
      </c>
      <c r="BP264">
        <f>IF(ISBLANK('Data Entry'!$$264), "", 'Data Entry'!$$264)</f>
      </c>
      <c r="BQ264">
        <f>IF(ISBLANK('Data Entry'!$$264), "", 'Data Entry'!$$264)</f>
      </c>
      <c r="BR264">
        <f>IF(ISBLANK('Data Entry'!$$264), "", 'Data Entry'!$$264)</f>
      </c>
      <c r="BS264">
        <f>IF(ISBLANK('Data Entry'!$$264), "", 'Data Entry'!$$264)</f>
      </c>
      <c r="BT264">
        <f>IF(ISBLANK('Data Entry'!$$264), "", 'Data Entry'!$$264)</f>
      </c>
      <c r="BU264">
        <f>IF(ISBLANK('Data Entry'!$$264), "", 'Data Entry'!$$264)</f>
      </c>
      <c r="BV264">
        <f>IF(ISBLANK('Data Entry'!$$264), "", 'Data Entry'!$$264)</f>
      </c>
      <c r="BW264">
        <f>IF(ISBLANK('Data Entry'!$$264), "", 'Data Entry'!$$264)</f>
      </c>
      <c r="BX264">
        <f>IF(ISBLANK('Data Entry'!$$264), "", 'Data Entry'!$$264)</f>
      </c>
      <c r="BY264">
        <f>IF(ISBLANK('Data Entry'!$$264), "", 'Data Entry'!$$264)</f>
      </c>
      <c r="BZ264">
        <f>IF(ISBLANK('Data Entry'!$$264), "", 'Data Entry'!$$264)</f>
      </c>
      <c r="CA264">
        <f>IF(ISBLANK('Data Entry'!$$264), "", 'Data Entry'!$$264)</f>
      </c>
      <c r="CB264">
        <f>IF(ISBLANK('Data Entry'!$$264), "", 'Data Entry'!$$264)</f>
      </c>
      <c r="CC264">
        <f>IF(ISBLANK('Data Entry'!$$264), "", 'Data Entry'!$$264)</f>
      </c>
      <c r="CD264">
        <f>IF(ISBLANK('Data Entry'!$$264), "", 'Data Entry'!$$264)</f>
      </c>
      <c r="CE264">
        <f>IF(ISBLANK('Data Entry'!$$264), "", 'Data Entry'!$$264)</f>
      </c>
      <c r="CF264">
        <f>IF(ISBLANK('Data Entry'!$$264), "", 'Data Entry'!$$264)</f>
      </c>
      <c r="CG264">
        <f>IF(ISBLANK('Data Entry'!$$264), "", 'Data Entry'!$$264)</f>
      </c>
      <c r="CH264">
        <f>IF(ISBLANK('Data Entry'!$$264), "", 'Data Entry'!$$264)</f>
      </c>
      <c r="CI264">
        <f>IF(ISBLANK('Data Entry'!$$264), "", 'Data Entry'!$$264)</f>
      </c>
      <c r="CJ264">
        <f>IF(ISBLANK('Data Entry'!$$264), "", 'Data Entry'!$$264)</f>
      </c>
      <c r="CK264">
        <f>IF(ISBLANK('Data Entry'!$$264), "", 'Data Entry'!$$264)</f>
      </c>
      <c r="CL264">
        <f>IF(ISBLANK('Data Entry'!$$264), "", 'Data Entry'!$$264)</f>
      </c>
      <c r="CM264">
        <f>IF(ISBLANK('Data Entry'!$$264), "", 'Data Entry'!$$264)</f>
      </c>
      <c r="CN264">
        <f>IF(ISBLANK('Data Entry'!$$264), "", 'Data Entry'!$$264)</f>
      </c>
      <c r="CO264">
        <f>IF(ISBLANK('Data Entry'!$$264), "", 'Data Entry'!$$264)</f>
      </c>
      <c r="CP264">
        <f>IF(ISBLANK('Data Entry'!$$264), "", 'Data Entry'!$$264)</f>
      </c>
      <c r="CQ264">
        <f>IF(ISBLANK('Data Entry'!$$264), "", 'Data Entry'!$$264)</f>
      </c>
      <c r="CR264">
        <f>IF(ISBLANK('Data Entry'!$ $264), "", 'Data Entry'!$ $264)</f>
      </c>
      <c r="CS264">
        <f>IF(ISBLANK('Data Entry'!$¡$264), "", 'Data Entry'!$¡$264)</f>
      </c>
      <c r="CT264">
        <f>IF(ISBLANK('Data Entry'!$¢$264), "", 'Data Entry'!$¢$264)</f>
      </c>
      <c r="CU264">
        <f>IF(ISBLANK('Data Entry'!$£$264), "", 'Data Entry'!$£$264)</f>
      </c>
      <c r="CV264">
        <f>IF(ISBLANK('Data Entry'!$¤$264), "", 'Data Entry'!$¤$264)</f>
      </c>
      <c r="CW264">
        <f>IF(ISBLANK('Data Entry'!$¥$264), "", 'Data Entry'!$¥$264)</f>
      </c>
      <c r="CX264">
        <f>IF(ISBLANK('Data Entry'!$¦$264), "", 'Data Entry'!$¦$264)</f>
      </c>
      <c r="CY264">
        <f>IF(ISBLANK('Data Entry'!$§$264), "", 'Data Entry'!$§$264)</f>
      </c>
      <c r="CZ264">
        <f>IF(ISBLANK('Data Entry'!$¨$264), "", 'Data Entry'!$¨$264)</f>
      </c>
      <c r="DA264">
        <f>IF(ISBLANK('Data Entry'!$©$264), "", 'Data Entry'!$©$264)</f>
      </c>
      <c r="DB264">
        <f>IF(ISBLANK('Data Entry'!$ª$264), "", 'Data Entry'!$ª$264)</f>
      </c>
      <c r="DC264">
        <f>IF(ISBLANK('Data Entry'!$«$264), "", 'Data Entry'!$«$264)</f>
      </c>
      <c r="DD264">
        <f>IF(ISBLANK('Data Entry'!$¬$264), "", 'Data Entry'!$¬$264)</f>
      </c>
      <c r="DE264">
        <f>IF(ISBLANK('Data Entry'!$­$264), "", 'Data Entry'!$­$264)</f>
      </c>
      <c r="DF264">
        <f>IF(ISBLANK('Data Entry'!$®$264), "", 'Data Entry'!$®$264)</f>
      </c>
      <c r="DG264">
        <f>IF(ISBLANK('Data Entry'!$¯$264), "", 'Data Entry'!$¯$264)</f>
      </c>
      <c r="DH264">
        <f>IF(ISBLANK('Data Entry'!$°$264), "", 'Data Entry'!$°$264)</f>
      </c>
      <c r="DI264">
        <f>IF(ISBLANK('Data Entry'!$±$264), "", 'Data Entry'!$±$264)</f>
      </c>
      <c r="DJ264">
        <f>IF(ISBLANK('Data Entry'!$²$264), "", 'Data Entry'!$²$264)</f>
      </c>
      <c r="DK264">
        <f>IF(ISBLANK('Data Entry'!$³$264), "", 'Data Entry'!$³$264)</f>
      </c>
      <c r="DL264">
        <f>IF(ISBLANK('Data Entry'!$´$264), "", 'Data Entry'!$´$264)</f>
      </c>
      <c r="DM264">
        <f>IF(ISBLANK('Data Entry'!$µ$264), "", 'Data Entry'!$µ$264)</f>
      </c>
      <c r="DN264">
        <f>IF(ISBLANK('Data Entry'!$¶$264), "", 'Data Entry'!$¶$264)</f>
      </c>
      <c r="DO264">
        <f>IF(ISBLANK('Data Entry'!$·$264), "", 'Data Entry'!$·$264)</f>
      </c>
      <c r="DP264">
        <f>IF(ISBLANK('Data Entry'!$¸$264), "", 'Data Entry'!$¸$264)</f>
      </c>
      <c r="DQ264">
        <f>IF(ISBLANK('Data Entry'!$¹$264), "", 'Data Entry'!$¹$264)</f>
      </c>
      <c r="DR264">
        <f>IF(ISBLANK('Data Entry'!$º$264), "", 'Data Entry'!$º$264)</f>
      </c>
      <c r="DS264">
        <f>IF(ISBLANK('Data Entry'!$»$264), "", 'Data Entry'!$»$264)</f>
      </c>
      <c r="DT264">
        <f>IF(ISBLANK('Data Entry'!$¼$264), "", 'Data Entry'!$¼$264)</f>
      </c>
      <c r="DU264">
        <f>IF(ISBLANK('Data Entry'!$½$264), "", 'Data Entry'!$½$264)</f>
      </c>
      <c r="DV264">
        <f>IF(ISBLANK('Data Entry'!$¾$264), "", 'Data Entry'!$¾$264)</f>
      </c>
      <c r="DW264">
        <f>IF(ISBLANK('Data Entry'!$¿$264), "", 'Data Entry'!$¿$264)</f>
      </c>
      <c r="DX264">
        <f>IF(ISBLANK('Data Entry'!$À$264), "", 'Data Entry'!$À$264)</f>
      </c>
      <c r="DY264">
        <f>IF(ISBLANK('Data Entry'!$Á$264), "", 'Data Entry'!$Á$264)</f>
      </c>
      <c r="DZ264">
        <f>IF(ISBLANK('Data Entry'!$Â$264), "", 'Data Entry'!$Â$264)</f>
      </c>
      <c r="EA264">
        <f>IF(ISBLANK('Data Entry'!$Ã$264), "", 'Data Entry'!$Ã$264)</f>
      </c>
      <c r="EB264">
        <f>IF(ISBLANK('Data Entry'!$Ä$264), "", 'Data Entry'!$Ä$264)</f>
      </c>
      <c r="EC264">
        <f>IF(ISBLANK('Data Entry'!$Å$264), "", 'Data Entry'!$Å$264)</f>
      </c>
      <c r="ED264">
        <f>IF(ISBLANK('Data Entry'!$Æ$264), "", 'Data Entry'!$Æ$264)</f>
      </c>
      <c r="EE264">
        <f>IF(ISBLANK('Data Entry'!$Ç$264), "", 'Data Entry'!$Ç$264)</f>
      </c>
      <c r="EF264">
        <f>IF(ISBLANK('Data Entry'!$È$264), "", 'Data Entry'!$È$264)</f>
      </c>
      <c r="EG264">
        <f>IF(ISBLANK('Data Entry'!$É$264), "", 'Data Entry'!$É$264)</f>
      </c>
      <c r="EH264">
        <f>IF(ISBLANK('Data Entry'!$Ê$264), "", 'Data Entry'!$Ê$264)</f>
      </c>
      <c r="EI264">
        <f>IF(ISBLANK('Data Entry'!$Ë$264), "", 'Data Entry'!$Ë$264)</f>
      </c>
      <c r="EJ264">
        <f>IF(ISBLANK('Data Entry'!$Ì$264), "", 'Data Entry'!$Ì$264)</f>
      </c>
      <c r="EK264">
        <f>IF(ISBLANK('Data Entry'!$Í$264), "", 'Data Entry'!$Í$264)</f>
      </c>
      <c r="EL264">
        <f>IF(ISBLANK('Data Entry'!$Î$264), "", 'Data Entry'!$Î$264)</f>
      </c>
      <c r="EM264">
        <f>IF(ISBLANK('Data Entry'!$Ï$264), "", 'Data Entry'!$Ï$264)</f>
      </c>
      <c r="EN264">
        <f>IF(ISBLANK('Data Entry'!$Ð$264), "", 'Data Entry'!$Ð$264)</f>
      </c>
      <c r="EO264">
        <f>IF(ISBLANK('Data Entry'!$Ñ$264), "", 'Data Entry'!$Ñ$264)</f>
      </c>
      <c r="EP264">
        <f>IF(ISBLANK('Data Entry'!$Ò$264), "", 'Data Entry'!$Ò$264)</f>
      </c>
      <c r="EQ264">
        <f>IF(ISBLANK('Data Entry'!$Ó$264), "", 'Data Entry'!$Ó$264)</f>
      </c>
      <c r="ER264">
        <f>IF(ISBLANK('Data Entry'!$Ô$264), "", 'Data Entry'!$Ô$264)</f>
      </c>
      <c r="ES264">
        <f>IF(ISBLANK('Data Entry'!$Õ$264), "", 'Data Entry'!$Õ$264)</f>
      </c>
      <c r="ET264">
        <f>IF(ISBLANK('Data Entry'!$Ö$264), "", 'Data Entry'!$Ö$264)</f>
      </c>
      <c r="EU264">
        <f>IF(ISBLANK('Data Entry'!$×$264), "", 'Data Entry'!$×$264)</f>
      </c>
      <c r="EV264">
        <f>IF(ISBLANK('Data Entry'!$Ø$264), "", 'Data Entry'!$Ø$264)</f>
      </c>
      <c r="EW264">
        <f>IF(ISBLANK('Data Entry'!$Ù$264), "", 'Data Entry'!$Ù$264)</f>
      </c>
      <c r="EX264">
        <f>IF(ISBLANK('Data Entry'!$Ú$264), "", 'Data Entry'!$Ú$264)</f>
      </c>
      <c r="EY264">
        <f>IF(ISBLANK('Data Entry'!$Û$264), "", 'Data Entry'!$Û$264)</f>
      </c>
      <c r="EZ264">
        <f>IF(ISBLANK('Data Entry'!$Ü$264), "", 'Data Entry'!$Ü$264)</f>
      </c>
      <c r="FA264">
        <f>IF(ISBLANK('Data Entry'!$Ý$264), "", 'Data Entry'!$Ý$264)</f>
      </c>
      <c r="FB264">
        <f>IF(ISBLANK('Data Entry'!$Þ$264), "", 'Data Entry'!$Þ$264)</f>
      </c>
      <c r="FC264">
        <f>IF(ISBLANK('Data Entry'!$ß$264), "", 'Data Entry'!$ß$264)</f>
      </c>
      <c r="FD264">
        <f>IF(ISBLANK('Data Entry'!$à$264), "", 'Data Entry'!$à$264)</f>
      </c>
      <c r="FE264">
        <f>IF(ISBLANK('Data Entry'!$á$264), "", 'Data Entry'!$á$264)</f>
      </c>
      <c r="FF264">
        <f>IF(ISBLANK('Data Entry'!$â$264), "", 'Data Entry'!$â$264)</f>
      </c>
      <c r="FG264">
        <f>IF(ISBLANK('Data Entry'!$ã$264), "", 'Data Entry'!$ã$264)</f>
      </c>
      <c r="FH264">
        <f>IF(ISBLANK('Data Entry'!$ä$264), "", 'Data Entry'!$ä$264)</f>
      </c>
      <c r="FI264">
        <f>IF(ISBLANK('Data Entry'!$å$264), "", 'Data Entry'!$å$264)</f>
      </c>
      <c r="FJ264">
        <f>IF(ISBLANK('Data Entry'!$æ$264), "", 'Data Entry'!$æ$264)</f>
      </c>
      <c r="FK264">
        <f>IF(ISBLANK('Data Entry'!$ç$264), "", 'Data Entry'!$ç$264)</f>
      </c>
      <c r="FL264">
        <f>IF(ISBLANK('Data Entry'!$è$264), "", 'Data Entry'!$è$264)</f>
      </c>
      <c r="FM264">
        <f>IF(ISBLANK('Data Entry'!$é$264), "", 'Data Entry'!$é$264)</f>
      </c>
      <c r="FN264">
        <f>IF(ISBLANK('Data Entry'!$ê$264), "", 'Data Entry'!$ê$264)</f>
      </c>
      <c r="FO264">
        <f>IF(ISBLANK('Data Entry'!$ë$264), "", 'Data Entry'!$ë$264)</f>
      </c>
      <c r="FP264">
        <f>IF(ISBLANK('Data Entry'!$ì$264), "", 'Data Entry'!$ì$264)</f>
      </c>
      <c r="FQ264">
        <f>IF(ISBLANK('Data Entry'!$í$264), "", 'Data Entry'!$í$264)</f>
      </c>
      <c r="FR264">
        <f>IF(ISBLANK('Data Entry'!$î$264), "", 'Data Entry'!$î$264)</f>
      </c>
      <c r="FS264">
        <f>IF(ISBLANK('Data Entry'!$ï$264), "", 'Data Entry'!$ï$264)</f>
      </c>
      <c r="FT264">
        <f>IF(ISBLANK('Data Entry'!$ð$264), "", 'Data Entry'!$ð$264)</f>
      </c>
      <c r="FU264">
        <f>IF(ISBLANK('Data Entry'!$ñ$264), "", 'Data Entry'!$ñ$264)</f>
      </c>
      <c r="FV264">
        <f>IF(ISBLANK('Data Entry'!$ò$264), "", 'Data Entry'!$ò$264)</f>
      </c>
      <c r="FW264">
        <f>IF(ISBLANK('Data Entry'!$ó$264), "", 'Data Entry'!$ó$264)</f>
      </c>
      <c r="FX264">
        <f>IF(ISBLANK('Data Entry'!$ô$264), "", 'Data Entry'!$ô$264)</f>
      </c>
      <c r="FY264">
        <f>IF(ISBLANK('Data Entry'!$õ$264), "", 'Data Entry'!$õ$264)</f>
      </c>
      <c r="FZ264">
        <f>IF(ISBLANK('Data Entry'!$ö$264), "", 'Data Entry'!$ö$264)</f>
      </c>
      <c r="GA264">
        <f>IF(ISBLANK('Data Entry'!$÷$264), "", 'Data Entry'!$÷$264)</f>
      </c>
      <c r="GB264">
        <f>IF(ISBLANK('Data Entry'!$ø$264), "", 'Data Entry'!$ø$264)</f>
      </c>
      <c r="GC264">
        <f>IF(ISBLANK('Data Entry'!$ù$264), "", 'Data Entry'!$ù$264)</f>
      </c>
      <c r="GD264">
        <f>IF(ISBLANK('Data Entry'!$ú$264), "", 'Data Entry'!$ú$264)</f>
      </c>
      <c r="GE264">
        <f>IF(ISBLANK('Data Entry'!$û$264), "", 'Data Entry'!$û$264)</f>
      </c>
      <c r="GF264">
        <f>IF(ISBLANK('Data Entry'!$ü$264), "", 'Data Entry'!$ü$264)</f>
      </c>
      <c r="GG264">
        <f>IF(ISBLANK('Data Entry'!$ý$264), "", 'Data Entry'!$ý$264)</f>
      </c>
      <c r="GH264">
        <f>IF(ISBLANK('Data Entry'!$þ$264), "", 'Data Entry'!$þ$264)</f>
      </c>
      <c r="GI264">
        <f>IF(ISBLANK('Data Entry'!$ÿ$264), "", 'Data Entry'!$ÿ$264)</f>
      </c>
      <c r="GJ264">
        <f>IF(ISBLANK('Data Entry'!$Ā$264), "", 'Data Entry'!$Ā$264)</f>
      </c>
      <c r="GK264">
        <f>IF(ISBLANK('Data Entry'!$ā$264), "", 'Data Entry'!$ā$264)</f>
      </c>
      <c r="GL264">
        <f>IF(ISBLANK('Data Entry'!$Ă$264), "", 'Data Entry'!$Ă$264)</f>
      </c>
      <c r="GM264">
        <f>IF(ISBLANK('Data Entry'!$ă$264), "", 'Data Entry'!$ă$264)</f>
      </c>
      <c r="GN264">
        <f>IF(ISBLANK('Data Entry'!$Ą$264), "", 'Data Entry'!$Ą$264)</f>
      </c>
      <c r="GO264">
        <f>IF(ISBLANK('Data Entry'!$ą$264), "", 'Data Entry'!$ą$264)</f>
      </c>
      <c r="GP264">
        <f>IF(ISBLANK('Data Entry'!$Ć$264), "", 'Data Entry'!$Ć$264)</f>
      </c>
      <c r="GQ264">
        <f>IF(ISBLANK('Data Entry'!$ć$264), "", 'Data Entry'!$ć$264)</f>
      </c>
      <c r="GR264">
        <f>IF(ISBLANK('Data Entry'!$Ĉ$264), "", 'Data Entry'!$Ĉ$264)</f>
      </c>
      <c r="GS264">
        <f>IF(ISBLANK('Data Entry'!$ĉ$264), "", 'Data Entry'!$ĉ$264)</f>
      </c>
      <c r="GT264">
        <f>IF(ISBLANK('Data Entry'!$Ċ$264), "", 'Data Entry'!$Ċ$264)</f>
      </c>
      <c r="GU264">
        <f>IF(ISBLANK('Data Entry'!$ċ$264), "", 'Data Entry'!$ċ$264)</f>
      </c>
      <c r="GV264">
        <f>IF(ISBLANK('Data Entry'!$Č$264), "", 'Data Entry'!$Č$264)</f>
      </c>
      <c r="GW264">
        <f>IF(ISBLANK('Data Entry'!$č$264), "", 'Data Entry'!$č$264)</f>
      </c>
      <c r="GX264">
        <f>IF(ISBLANK('Data Entry'!$Ď$264), "", 'Data Entry'!$Ď$264)</f>
      </c>
      <c r="GY264">
        <f>IF(ISBLANK('Data Entry'!$ď$264), "", 'Data Entry'!$ď$264)</f>
      </c>
      <c r="GZ264">
        <f>IF(ISBLANK('Data Entry'!$Đ$264), "", 'Data Entry'!$Đ$264)</f>
      </c>
      <c r="HA264">
        <f>IF(ISBLANK('Data Entry'!$đ$264), "", 'Data Entry'!$đ$264)</f>
      </c>
      <c r="HB264">
        <f>IF(ISBLANK('Data Entry'!$Ē$264), "", 'Data Entry'!$Ē$264)</f>
      </c>
      <c r="HC264">
        <f>IF(ISBLANK('Data Entry'!$ē$264), "", 'Data Entry'!$ē$264)</f>
      </c>
      <c r="HD264">
        <f>IF(ISBLANK('Data Entry'!$Ĕ$264), "", 'Data Entry'!$Ĕ$264)</f>
      </c>
      <c r="HE264">
        <f>IF(ISBLANK('Data Entry'!$ĕ$264), "", 'Data Entry'!$ĕ$264)</f>
      </c>
      <c r="HF264">
        <f>IF(ISBLANK('Data Entry'!$Ė$264), "", 'Data Entry'!$Ė$264)</f>
      </c>
      <c r="HG264">
        <f>IF(ISBLANK('Data Entry'!$ė$264), "", 'Data Entry'!$ė$264)</f>
      </c>
      <c r="HH264">
        <f>IF(ISBLANK('Data Entry'!$Ę$264), "", 'Data Entry'!$Ę$264)</f>
      </c>
      <c r="HI264">
        <f>IF(ISBLANK('Data Entry'!$ę$264), "", 'Data Entry'!$ę$264)</f>
      </c>
      <c r="HJ264">
        <f>IF(ISBLANK('Data Entry'!$Ě$264), "", 'Data Entry'!$Ě$264)</f>
      </c>
      <c r="HK264">
        <f>IF(ISBLANK('Data Entry'!$ě$264), "", 'Data Entry'!$ě$264)</f>
      </c>
      <c r="HL264">
        <f>IF(ISBLANK('Data Entry'!$Ĝ$264), "", 'Data Entry'!$Ĝ$264)</f>
      </c>
      <c r="HM264">
        <f>IF(ISBLANK('Data Entry'!$ĝ$264), "", 'Data Entry'!$ĝ$264)</f>
      </c>
      <c r="HN264">
        <f>IF(ISBLANK('Data Entry'!$Ğ$264), "", 'Data Entry'!$Ğ$264)</f>
      </c>
      <c r="HO264">
        <f>IF(ISBLANK('Data Entry'!$ğ$264), "", 'Data Entry'!$ğ$264)</f>
      </c>
      <c r="HP264">
        <f>IF(ISBLANK('Data Entry'!$Ġ$264), "", 'Data Entry'!$Ġ$264)</f>
      </c>
      <c r="HQ264">
        <f>IF(ISBLANK('Data Entry'!$ġ$264), "", 'Data Entry'!$ġ$264)</f>
      </c>
      <c r="HR264">
        <f>IF(ISBLANK('Data Entry'!$Ģ$264), "", 'Data Entry'!$Ģ$264)</f>
      </c>
      <c r="HS264">
        <f>IF(ISBLANK('Data Entry'!$ģ$264), "", 'Data Entry'!$ģ$264)</f>
      </c>
      <c r="HT264">
        <f>IF(ISBLANK('Data Entry'!$Ĥ$264), "", 'Data Entry'!$Ĥ$264)</f>
      </c>
      <c r="HU264">
        <f>IF(ISBLANK('Data Entry'!$ĥ$264), "", 'Data Entry'!$ĥ$264)</f>
      </c>
      <c r="HV264">
        <f>IF(ISBLANK('Data Entry'!$Ħ$264), "", 'Data Entry'!$Ħ$264)</f>
      </c>
      <c r="HW264">
        <f>IF(ISBLANK('Data Entry'!$ħ$264), "", 'Data Entry'!$ħ$264)</f>
      </c>
      <c r="HX264">
        <f>IF(ISBLANK('Data Entry'!$Ĩ$264), "", 'Data Entry'!$Ĩ$264)</f>
      </c>
      <c r="HY264">
        <f>IF(ISBLANK('Data Entry'!$ĩ$264), "", 'Data Entry'!$ĩ$264)</f>
      </c>
      <c r="HZ264">
        <f>IF(ISBLANK('Data Entry'!$Ī$264), "", 'Data Entry'!$Ī$264)</f>
      </c>
      <c r="IA264">
        <f>IF(ISBLANK('Data Entry'!$ī$264), "", 'Data Entry'!$ī$264)</f>
      </c>
      <c r="IB264">
        <f>IF(ISBLANK('Data Entry'!$Ĭ$264), "", 'Data Entry'!$Ĭ$264)</f>
      </c>
      <c r="IC264">
        <f>IF(ISBLANK('Data Entry'!$ĭ$264), "", 'Data Entry'!$ĭ$264)</f>
      </c>
      <c r="ID264">
        <f>IF(ISBLANK('Data Entry'!$Į$264), "", 'Data Entry'!$Į$264)</f>
      </c>
      <c r="IE264">
        <f>IF(ISBLANK('Data Entry'!$į$264), "", 'Data Entry'!$į$264)</f>
      </c>
      <c r="IF264">
        <f>IF(ISBLANK('Data Entry'!$İ$264), "", 'Data Entry'!$İ$264)</f>
      </c>
      <c r="IG264">
        <f>IF(ISBLANK('Data Entry'!$ı$264), "", 'Data Entry'!$ı$264)</f>
      </c>
      <c r="IH264">
        <f>IF(ISBLANK('Data Entry'!$Ĳ$264), "", 'Data Entry'!$Ĳ$264)</f>
      </c>
      <c r="II264">
        <f>IF(ISBLANK('Data Entry'!$ĳ$264), "", 'Data Entry'!$ĳ$264)</f>
      </c>
      <c r="IJ264">
        <f>IF(ISBLANK('Data Entry'!$Ĵ$264), "", 'Data Entry'!$Ĵ$264)</f>
      </c>
      <c r="IK264">
        <f>IF(ISBLANK('Data Entry'!$ĵ$264), "", 'Data Entry'!$ĵ$264)</f>
      </c>
      <c r="IL264">
        <f>IF(ISBLANK('Data Entry'!$Ķ$264), "", 'Data Entry'!$Ķ$264)</f>
      </c>
      <c r="IM264">
        <f>IF(ISBLANK('Data Entry'!$ķ$264), "", 'Data Entry'!$ķ$264)</f>
      </c>
      <c r="IN264">
        <f>IF(ISBLANK('Data Entry'!$ĸ$264), "", 'Data Entry'!$ĸ$264)</f>
      </c>
      <c r="IO264">
        <f>IF(ISBLANK('Data Entry'!$Ĺ$264), "", 'Data Entry'!$Ĺ$264)</f>
      </c>
      <c r="IP264">
        <f>IF(ISBLANK('Data Entry'!$ĺ$264), "", 'Data Entry'!$ĺ$264)</f>
      </c>
      <c r="IQ264">
        <f>IF(ISBLANK('Data Entry'!$Ļ$264), "", 'Data Entry'!$Ļ$264)</f>
      </c>
      <c r="IR264">
        <f>IF(ISBLANK('Data Entry'!$ļ$264), "", 'Data Entry'!$ļ$264)</f>
      </c>
      <c r="IS264">
        <f>IF(ISBLANK('Data Entry'!$Ľ$264), "", 'Data Entry'!$Ľ$264)</f>
      </c>
      <c r="IT264">
        <f>IF(ISBLANK('Data Entry'!$ľ$264), "", 'Data Entry'!$ľ$264)</f>
      </c>
    </row>
    <row r="265" spans="1:254" x14ac:dyDescent="0.25">
      <c r="A265">
        <f>IF(ISBLANK('Data Entry'!$A$265), "", 'Data Entry'!$A$265)</f>
      </c>
      <c r="B265">
        <f>IF(ISBLANK('Data Entry'!$B$265), "", 'Data Entry'!$B$265)</f>
      </c>
      <c r="C265">
        <f>IF(ISBLANK('Data Entry'!$C$265), "", 'Data Entry'!$C$265)</f>
      </c>
      <c r="D265">
        <f>IF(ISBLANK('Data Entry'!$D$265), "", 'Data Entry'!$D$265)</f>
      </c>
      <c r="E265">
        <f>IF(ISBLANK('Data Entry'!$E$265), "", 'Data Entry'!$E$265)</f>
      </c>
      <c r="F265">
        <f>IF(ISBLANK('Data Entry'!$F$265), "", 'Data Entry'!$F$265)</f>
      </c>
      <c r="G265">
        <f>IF(ISBLANK('Data Entry'!$G$265), "", 'Data Entry'!$G$265)</f>
      </c>
      <c r="H265">
        <f>IF(ISBLANK('Data Entry'!$H$265), "", 'Data Entry'!$H$265)</f>
      </c>
      <c r="I265">
        <f>IF(ISBLANK('Data Entry'!$I$265), "", 'Data Entry'!$I$265)</f>
      </c>
      <c r="J265">
        <f>IF(ISBLANK('Data Entry'!$J$265), "", 'Data Entry'!$J$265)</f>
      </c>
      <c r="K265">
        <f>IF(ISBLANK('Data Entry'!$K$265), "", 'Data Entry'!$K$265)</f>
      </c>
      <c r="L265">
        <f>IF(ISBLANK('Data Entry'!$L$265), "", 'Data Entry'!$L$265)</f>
      </c>
      <c r="M265">
        <f>IF(ISBLANK('Data Entry'!$M$265), "", 'Data Entry'!$M$265)</f>
      </c>
      <c r="N265">
        <f>IF(ISBLANK('Data Entry'!$N$265), "", 'Data Entry'!$N$265)</f>
      </c>
      <c r="O265">
        <f>IF(ISBLANK('Data Entry'!$O$265), "", 'Data Entry'!$O$265)</f>
      </c>
      <c r="P265">
        <f>IF(ISBLANK('Data Entry'!$P$265), "", 'Data Entry'!$P$265)</f>
      </c>
      <c r="Q265">
        <f>IF(ISBLANK('Data Entry'!$Q$265), "", 'Data Entry'!$Q$265)</f>
      </c>
      <c r="R265">
        <f>IF(ISBLANK('Data Entry'!$R$265), "", 'Data Entry'!$R$265)</f>
      </c>
      <c r="S265">
        <f>IF(ISBLANK('Data Entry'!$S$265), "", 'Data Entry'!$S$265)</f>
      </c>
      <c r="T265">
        <f>IF(ISBLANK('Data Entry'!$T$265), "", 'Data Entry'!$T$265)</f>
      </c>
      <c r="U265">
        <f>IF(ISBLANK('Data Entry'!$U$265), "", 'Data Entry'!$U$265)</f>
      </c>
      <c r="V265">
        <f>IF(ISBLANK('Data Entry'!$V$265), "", 'Data Entry'!$V$265)</f>
      </c>
      <c r="W265">
        <f>IF(ISBLANK('Data Entry'!$W$265), "", 'Data Entry'!$W$265)</f>
      </c>
      <c r="X265">
        <f>IF(ISBLANK('Data Entry'!$X$265), "", 'Data Entry'!$X$265)</f>
      </c>
      <c r="Y265">
        <f>IF(ISBLANK('Data Entry'!$Y$265), "", 'Data Entry'!$Y$265)</f>
      </c>
      <c r="Z265">
        <f>IF(ISBLANK('Data Entry'!$Z$265), "", 'Data Entry'!$Z$265)</f>
      </c>
      <c r="AA265">
        <f>IF(ISBLANK('Data Entry'!$[$265), "", 'Data Entry'!$[$265)</f>
      </c>
      <c r="AB265">
        <f>IF(ISBLANK('Data Entry'!$\$265), "", 'Data Entry'!$\$265)</f>
      </c>
      <c r="AC265">
        <f>IF(ISBLANK('Data Entry'!$]$265), "", 'Data Entry'!$]$265)</f>
      </c>
      <c r="AD265">
        <f>IF(ISBLANK('Data Entry'!$^$265), "", 'Data Entry'!$^$265)</f>
      </c>
      <c r="AE265">
        <f>IF(ISBLANK('Data Entry'!$_$265), "", 'Data Entry'!$_$265)</f>
      </c>
      <c r="AF265">
        <f>IF(ISBLANK('Data Entry'!$`$265), "", 'Data Entry'!$`$265)</f>
      </c>
      <c r="AG265">
        <f>IF(ISBLANK('Data Entry'!$a$265), "", 'Data Entry'!$a$265)</f>
      </c>
      <c r="AH265">
        <f>IF(ISBLANK('Data Entry'!$b$265), "", 'Data Entry'!$b$265)</f>
      </c>
      <c r="AI265">
        <f>IF(ISBLANK('Data Entry'!$c$265), "", 'Data Entry'!$c$265)</f>
      </c>
      <c r="AJ265">
        <f>IF(ISBLANK('Data Entry'!$d$265), "", 'Data Entry'!$d$265)</f>
      </c>
      <c r="AK265">
        <f>IF(ISBLANK('Data Entry'!$e$265), "", 'Data Entry'!$e$265)</f>
      </c>
      <c r="AL265">
        <f>IF(ISBLANK('Data Entry'!$f$265), "", 'Data Entry'!$f$265)</f>
      </c>
      <c r="AM265">
        <f>IF(ISBLANK('Data Entry'!$g$265), "", 'Data Entry'!$g$265)</f>
      </c>
      <c r="AN265">
        <f>IF(ISBLANK('Data Entry'!$h$265), "", 'Data Entry'!$h$265)</f>
      </c>
      <c r="AO265">
        <f>IF(ISBLANK('Data Entry'!$i$265), "", 'Data Entry'!$i$265)</f>
      </c>
      <c r="AP265">
        <f>IF(ISBLANK('Data Entry'!$j$265), "", 'Data Entry'!$j$265)</f>
      </c>
      <c r="AQ265">
        <f>IF(ISBLANK('Data Entry'!$k$265), "", 'Data Entry'!$k$265)</f>
      </c>
      <c r="AR265">
        <f>IF(ISBLANK('Data Entry'!$l$265), "", 'Data Entry'!$l$265)</f>
      </c>
      <c r="AS265">
        <f>IF(ISBLANK('Data Entry'!$m$265), "", 'Data Entry'!$m$265)</f>
      </c>
      <c r="AT265">
        <f>IF(ISBLANK('Data Entry'!$n$265), "", 'Data Entry'!$n$265)</f>
      </c>
      <c r="AU265">
        <f>IF(ISBLANK('Data Entry'!$o$265), "", 'Data Entry'!$o$265)</f>
      </c>
      <c r="AV265">
        <f>IF(ISBLANK('Data Entry'!$p$265), "", 'Data Entry'!$p$265)</f>
      </c>
      <c r="AW265">
        <f>IF(ISBLANK('Data Entry'!$q$265), "", 'Data Entry'!$q$265)</f>
      </c>
      <c r="AX265">
        <f>IF(ISBLANK('Data Entry'!$r$265), "", 'Data Entry'!$r$265)</f>
      </c>
      <c r="AY265">
        <f>IF(ISBLANK('Data Entry'!$s$265), "", 'Data Entry'!$s$265)</f>
      </c>
      <c r="AZ265">
        <f>IF(ISBLANK('Data Entry'!$t$265), "", 'Data Entry'!$t$265)</f>
      </c>
      <c r="BA265">
        <f>IF(ISBLANK('Data Entry'!$u$265), "", 'Data Entry'!$u$265)</f>
      </c>
      <c r="BB265">
        <f>IF(ISBLANK('Data Entry'!$v$265), "", 'Data Entry'!$v$265)</f>
      </c>
      <c r="BC265">
        <f>IF(ISBLANK('Data Entry'!$w$265), "", 'Data Entry'!$w$265)</f>
      </c>
      <c r="BD265">
        <f>IF(ISBLANK('Data Entry'!$x$265), "", 'Data Entry'!$x$265)</f>
      </c>
      <c r="BE265">
        <f>IF(ISBLANK('Data Entry'!$y$265), "", 'Data Entry'!$y$265)</f>
      </c>
      <c r="BF265">
        <f>IF(ISBLANK('Data Entry'!$z$265), "", 'Data Entry'!$z$265)</f>
      </c>
      <c r="BG265">
        <f>IF(ISBLANK('Data Entry'!${$265), "", 'Data Entry'!${$265)</f>
      </c>
      <c r="BH265">
        <f>IF(ISBLANK('Data Entry'!$|$265), "", 'Data Entry'!$|$265)</f>
      </c>
      <c r="BI265">
        <f>IF(ISBLANK('Data Entry'!$}$265), "", 'Data Entry'!$}$265)</f>
      </c>
      <c r="BJ265">
        <f>IF(ISBLANK('Data Entry'!$~$265), "", 'Data Entry'!$~$265)</f>
      </c>
      <c r="BK265">
        <f>IF(ISBLANK('Data Entry'!$$265), "", 'Data Entry'!$$265)</f>
      </c>
      <c r="BL265">
        <f>IF(ISBLANK('Data Entry'!$$265), "", 'Data Entry'!$$265)</f>
      </c>
      <c r="BM265">
        <f>IF(ISBLANK('Data Entry'!$$265), "", 'Data Entry'!$$265)</f>
      </c>
      <c r="BN265">
        <f>IF(ISBLANK('Data Entry'!$$265), "", 'Data Entry'!$$265)</f>
      </c>
      <c r="BO265">
        <f>IF(ISBLANK('Data Entry'!$$265), "", 'Data Entry'!$$265)</f>
      </c>
      <c r="BP265">
        <f>IF(ISBLANK('Data Entry'!$$265), "", 'Data Entry'!$$265)</f>
      </c>
      <c r="BQ265">
        <f>IF(ISBLANK('Data Entry'!$$265), "", 'Data Entry'!$$265)</f>
      </c>
      <c r="BR265">
        <f>IF(ISBLANK('Data Entry'!$$265), "", 'Data Entry'!$$265)</f>
      </c>
      <c r="BS265">
        <f>IF(ISBLANK('Data Entry'!$$265), "", 'Data Entry'!$$265)</f>
      </c>
      <c r="BT265">
        <f>IF(ISBLANK('Data Entry'!$$265), "", 'Data Entry'!$$265)</f>
      </c>
      <c r="BU265">
        <f>IF(ISBLANK('Data Entry'!$$265), "", 'Data Entry'!$$265)</f>
      </c>
      <c r="BV265">
        <f>IF(ISBLANK('Data Entry'!$$265), "", 'Data Entry'!$$265)</f>
      </c>
      <c r="BW265">
        <f>IF(ISBLANK('Data Entry'!$$265), "", 'Data Entry'!$$265)</f>
      </c>
      <c r="BX265">
        <f>IF(ISBLANK('Data Entry'!$$265), "", 'Data Entry'!$$265)</f>
      </c>
      <c r="BY265">
        <f>IF(ISBLANK('Data Entry'!$$265), "", 'Data Entry'!$$265)</f>
      </c>
      <c r="BZ265">
        <f>IF(ISBLANK('Data Entry'!$$265), "", 'Data Entry'!$$265)</f>
      </c>
      <c r="CA265">
        <f>IF(ISBLANK('Data Entry'!$$265), "", 'Data Entry'!$$265)</f>
      </c>
      <c r="CB265">
        <f>IF(ISBLANK('Data Entry'!$$265), "", 'Data Entry'!$$265)</f>
      </c>
      <c r="CC265">
        <f>IF(ISBLANK('Data Entry'!$$265), "", 'Data Entry'!$$265)</f>
      </c>
      <c r="CD265">
        <f>IF(ISBLANK('Data Entry'!$$265), "", 'Data Entry'!$$265)</f>
      </c>
      <c r="CE265">
        <f>IF(ISBLANK('Data Entry'!$$265), "", 'Data Entry'!$$265)</f>
      </c>
      <c r="CF265">
        <f>IF(ISBLANK('Data Entry'!$$265), "", 'Data Entry'!$$265)</f>
      </c>
      <c r="CG265">
        <f>IF(ISBLANK('Data Entry'!$$265), "", 'Data Entry'!$$265)</f>
      </c>
      <c r="CH265">
        <f>IF(ISBLANK('Data Entry'!$$265), "", 'Data Entry'!$$265)</f>
      </c>
      <c r="CI265">
        <f>IF(ISBLANK('Data Entry'!$$265), "", 'Data Entry'!$$265)</f>
      </c>
      <c r="CJ265">
        <f>IF(ISBLANK('Data Entry'!$$265), "", 'Data Entry'!$$265)</f>
      </c>
      <c r="CK265">
        <f>IF(ISBLANK('Data Entry'!$$265), "", 'Data Entry'!$$265)</f>
      </c>
      <c r="CL265">
        <f>IF(ISBLANK('Data Entry'!$$265), "", 'Data Entry'!$$265)</f>
      </c>
      <c r="CM265">
        <f>IF(ISBLANK('Data Entry'!$$265), "", 'Data Entry'!$$265)</f>
      </c>
      <c r="CN265">
        <f>IF(ISBLANK('Data Entry'!$$265), "", 'Data Entry'!$$265)</f>
      </c>
      <c r="CO265">
        <f>IF(ISBLANK('Data Entry'!$$265), "", 'Data Entry'!$$265)</f>
      </c>
      <c r="CP265">
        <f>IF(ISBLANK('Data Entry'!$$265), "", 'Data Entry'!$$265)</f>
      </c>
      <c r="CQ265">
        <f>IF(ISBLANK('Data Entry'!$$265), "", 'Data Entry'!$$265)</f>
      </c>
      <c r="CR265">
        <f>IF(ISBLANK('Data Entry'!$ $265), "", 'Data Entry'!$ $265)</f>
      </c>
      <c r="CS265">
        <f>IF(ISBLANK('Data Entry'!$¡$265), "", 'Data Entry'!$¡$265)</f>
      </c>
      <c r="CT265">
        <f>IF(ISBLANK('Data Entry'!$¢$265), "", 'Data Entry'!$¢$265)</f>
      </c>
      <c r="CU265">
        <f>IF(ISBLANK('Data Entry'!$£$265), "", 'Data Entry'!$£$265)</f>
      </c>
      <c r="CV265">
        <f>IF(ISBLANK('Data Entry'!$¤$265), "", 'Data Entry'!$¤$265)</f>
      </c>
      <c r="CW265">
        <f>IF(ISBLANK('Data Entry'!$¥$265), "", 'Data Entry'!$¥$265)</f>
      </c>
      <c r="CX265">
        <f>IF(ISBLANK('Data Entry'!$¦$265), "", 'Data Entry'!$¦$265)</f>
      </c>
      <c r="CY265">
        <f>IF(ISBLANK('Data Entry'!$§$265), "", 'Data Entry'!$§$265)</f>
      </c>
      <c r="CZ265">
        <f>IF(ISBLANK('Data Entry'!$¨$265), "", 'Data Entry'!$¨$265)</f>
      </c>
      <c r="DA265">
        <f>IF(ISBLANK('Data Entry'!$©$265), "", 'Data Entry'!$©$265)</f>
      </c>
      <c r="DB265">
        <f>IF(ISBLANK('Data Entry'!$ª$265), "", 'Data Entry'!$ª$265)</f>
      </c>
      <c r="DC265">
        <f>IF(ISBLANK('Data Entry'!$«$265), "", 'Data Entry'!$«$265)</f>
      </c>
      <c r="DD265">
        <f>IF(ISBLANK('Data Entry'!$¬$265), "", 'Data Entry'!$¬$265)</f>
      </c>
      <c r="DE265">
        <f>IF(ISBLANK('Data Entry'!$­$265), "", 'Data Entry'!$­$265)</f>
      </c>
      <c r="DF265">
        <f>IF(ISBLANK('Data Entry'!$®$265), "", 'Data Entry'!$®$265)</f>
      </c>
      <c r="DG265">
        <f>IF(ISBLANK('Data Entry'!$¯$265), "", 'Data Entry'!$¯$265)</f>
      </c>
      <c r="DH265">
        <f>IF(ISBLANK('Data Entry'!$°$265), "", 'Data Entry'!$°$265)</f>
      </c>
      <c r="DI265">
        <f>IF(ISBLANK('Data Entry'!$±$265), "", 'Data Entry'!$±$265)</f>
      </c>
      <c r="DJ265">
        <f>IF(ISBLANK('Data Entry'!$²$265), "", 'Data Entry'!$²$265)</f>
      </c>
      <c r="DK265">
        <f>IF(ISBLANK('Data Entry'!$³$265), "", 'Data Entry'!$³$265)</f>
      </c>
      <c r="DL265">
        <f>IF(ISBLANK('Data Entry'!$´$265), "", 'Data Entry'!$´$265)</f>
      </c>
      <c r="DM265">
        <f>IF(ISBLANK('Data Entry'!$µ$265), "", 'Data Entry'!$µ$265)</f>
      </c>
      <c r="DN265">
        <f>IF(ISBLANK('Data Entry'!$¶$265), "", 'Data Entry'!$¶$265)</f>
      </c>
      <c r="DO265">
        <f>IF(ISBLANK('Data Entry'!$·$265), "", 'Data Entry'!$·$265)</f>
      </c>
      <c r="DP265">
        <f>IF(ISBLANK('Data Entry'!$¸$265), "", 'Data Entry'!$¸$265)</f>
      </c>
      <c r="DQ265">
        <f>IF(ISBLANK('Data Entry'!$¹$265), "", 'Data Entry'!$¹$265)</f>
      </c>
      <c r="DR265">
        <f>IF(ISBLANK('Data Entry'!$º$265), "", 'Data Entry'!$º$265)</f>
      </c>
      <c r="DS265">
        <f>IF(ISBLANK('Data Entry'!$»$265), "", 'Data Entry'!$»$265)</f>
      </c>
      <c r="DT265">
        <f>IF(ISBLANK('Data Entry'!$¼$265), "", 'Data Entry'!$¼$265)</f>
      </c>
      <c r="DU265">
        <f>IF(ISBLANK('Data Entry'!$½$265), "", 'Data Entry'!$½$265)</f>
      </c>
      <c r="DV265">
        <f>IF(ISBLANK('Data Entry'!$¾$265), "", 'Data Entry'!$¾$265)</f>
      </c>
      <c r="DW265">
        <f>IF(ISBLANK('Data Entry'!$¿$265), "", 'Data Entry'!$¿$265)</f>
      </c>
      <c r="DX265">
        <f>IF(ISBLANK('Data Entry'!$À$265), "", 'Data Entry'!$À$265)</f>
      </c>
      <c r="DY265">
        <f>IF(ISBLANK('Data Entry'!$Á$265), "", 'Data Entry'!$Á$265)</f>
      </c>
      <c r="DZ265">
        <f>IF(ISBLANK('Data Entry'!$Â$265), "", 'Data Entry'!$Â$265)</f>
      </c>
      <c r="EA265">
        <f>IF(ISBLANK('Data Entry'!$Ã$265), "", 'Data Entry'!$Ã$265)</f>
      </c>
      <c r="EB265">
        <f>IF(ISBLANK('Data Entry'!$Ä$265), "", 'Data Entry'!$Ä$265)</f>
      </c>
      <c r="EC265">
        <f>IF(ISBLANK('Data Entry'!$Å$265), "", 'Data Entry'!$Å$265)</f>
      </c>
      <c r="ED265">
        <f>IF(ISBLANK('Data Entry'!$Æ$265), "", 'Data Entry'!$Æ$265)</f>
      </c>
      <c r="EE265">
        <f>IF(ISBLANK('Data Entry'!$Ç$265), "", 'Data Entry'!$Ç$265)</f>
      </c>
      <c r="EF265">
        <f>IF(ISBLANK('Data Entry'!$È$265), "", 'Data Entry'!$È$265)</f>
      </c>
      <c r="EG265">
        <f>IF(ISBLANK('Data Entry'!$É$265), "", 'Data Entry'!$É$265)</f>
      </c>
      <c r="EH265">
        <f>IF(ISBLANK('Data Entry'!$Ê$265), "", 'Data Entry'!$Ê$265)</f>
      </c>
      <c r="EI265">
        <f>IF(ISBLANK('Data Entry'!$Ë$265), "", 'Data Entry'!$Ë$265)</f>
      </c>
      <c r="EJ265">
        <f>IF(ISBLANK('Data Entry'!$Ì$265), "", 'Data Entry'!$Ì$265)</f>
      </c>
      <c r="EK265">
        <f>IF(ISBLANK('Data Entry'!$Í$265), "", 'Data Entry'!$Í$265)</f>
      </c>
      <c r="EL265">
        <f>IF(ISBLANK('Data Entry'!$Î$265), "", 'Data Entry'!$Î$265)</f>
      </c>
      <c r="EM265">
        <f>IF(ISBLANK('Data Entry'!$Ï$265), "", 'Data Entry'!$Ï$265)</f>
      </c>
      <c r="EN265">
        <f>IF(ISBLANK('Data Entry'!$Ð$265), "", 'Data Entry'!$Ð$265)</f>
      </c>
      <c r="EO265">
        <f>IF(ISBLANK('Data Entry'!$Ñ$265), "", 'Data Entry'!$Ñ$265)</f>
      </c>
      <c r="EP265">
        <f>IF(ISBLANK('Data Entry'!$Ò$265), "", 'Data Entry'!$Ò$265)</f>
      </c>
      <c r="EQ265">
        <f>IF(ISBLANK('Data Entry'!$Ó$265), "", 'Data Entry'!$Ó$265)</f>
      </c>
      <c r="ER265">
        <f>IF(ISBLANK('Data Entry'!$Ô$265), "", 'Data Entry'!$Ô$265)</f>
      </c>
      <c r="ES265">
        <f>IF(ISBLANK('Data Entry'!$Õ$265), "", 'Data Entry'!$Õ$265)</f>
      </c>
      <c r="ET265">
        <f>IF(ISBLANK('Data Entry'!$Ö$265), "", 'Data Entry'!$Ö$265)</f>
      </c>
      <c r="EU265">
        <f>IF(ISBLANK('Data Entry'!$×$265), "", 'Data Entry'!$×$265)</f>
      </c>
      <c r="EV265">
        <f>IF(ISBLANK('Data Entry'!$Ø$265), "", 'Data Entry'!$Ø$265)</f>
      </c>
      <c r="EW265">
        <f>IF(ISBLANK('Data Entry'!$Ù$265), "", 'Data Entry'!$Ù$265)</f>
      </c>
      <c r="EX265">
        <f>IF(ISBLANK('Data Entry'!$Ú$265), "", 'Data Entry'!$Ú$265)</f>
      </c>
      <c r="EY265">
        <f>IF(ISBLANK('Data Entry'!$Û$265), "", 'Data Entry'!$Û$265)</f>
      </c>
      <c r="EZ265">
        <f>IF(ISBLANK('Data Entry'!$Ü$265), "", 'Data Entry'!$Ü$265)</f>
      </c>
      <c r="FA265">
        <f>IF(ISBLANK('Data Entry'!$Ý$265), "", 'Data Entry'!$Ý$265)</f>
      </c>
      <c r="FB265">
        <f>IF(ISBLANK('Data Entry'!$Þ$265), "", 'Data Entry'!$Þ$265)</f>
      </c>
      <c r="FC265">
        <f>IF(ISBLANK('Data Entry'!$ß$265), "", 'Data Entry'!$ß$265)</f>
      </c>
      <c r="FD265">
        <f>IF(ISBLANK('Data Entry'!$à$265), "", 'Data Entry'!$à$265)</f>
      </c>
      <c r="FE265">
        <f>IF(ISBLANK('Data Entry'!$á$265), "", 'Data Entry'!$á$265)</f>
      </c>
      <c r="FF265">
        <f>IF(ISBLANK('Data Entry'!$â$265), "", 'Data Entry'!$â$265)</f>
      </c>
      <c r="FG265">
        <f>IF(ISBLANK('Data Entry'!$ã$265), "", 'Data Entry'!$ã$265)</f>
      </c>
      <c r="FH265">
        <f>IF(ISBLANK('Data Entry'!$ä$265), "", 'Data Entry'!$ä$265)</f>
      </c>
      <c r="FI265">
        <f>IF(ISBLANK('Data Entry'!$å$265), "", 'Data Entry'!$å$265)</f>
      </c>
      <c r="FJ265">
        <f>IF(ISBLANK('Data Entry'!$æ$265), "", 'Data Entry'!$æ$265)</f>
      </c>
      <c r="FK265">
        <f>IF(ISBLANK('Data Entry'!$ç$265), "", 'Data Entry'!$ç$265)</f>
      </c>
      <c r="FL265">
        <f>IF(ISBLANK('Data Entry'!$è$265), "", 'Data Entry'!$è$265)</f>
      </c>
      <c r="FM265">
        <f>IF(ISBLANK('Data Entry'!$é$265), "", 'Data Entry'!$é$265)</f>
      </c>
      <c r="FN265">
        <f>IF(ISBLANK('Data Entry'!$ê$265), "", 'Data Entry'!$ê$265)</f>
      </c>
      <c r="FO265">
        <f>IF(ISBLANK('Data Entry'!$ë$265), "", 'Data Entry'!$ë$265)</f>
      </c>
      <c r="FP265">
        <f>IF(ISBLANK('Data Entry'!$ì$265), "", 'Data Entry'!$ì$265)</f>
      </c>
      <c r="FQ265">
        <f>IF(ISBLANK('Data Entry'!$í$265), "", 'Data Entry'!$í$265)</f>
      </c>
      <c r="FR265">
        <f>IF(ISBLANK('Data Entry'!$î$265), "", 'Data Entry'!$î$265)</f>
      </c>
      <c r="FS265">
        <f>IF(ISBLANK('Data Entry'!$ï$265), "", 'Data Entry'!$ï$265)</f>
      </c>
      <c r="FT265">
        <f>IF(ISBLANK('Data Entry'!$ð$265), "", 'Data Entry'!$ð$265)</f>
      </c>
      <c r="FU265">
        <f>IF(ISBLANK('Data Entry'!$ñ$265), "", 'Data Entry'!$ñ$265)</f>
      </c>
      <c r="FV265">
        <f>IF(ISBLANK('Data Entry'!$ò$265), "", 'Data Entry'!$ò$265)</f>
      </c>
      <c r="FW265">
        <f>IF(ISBLANK('Data Entry'!$ó$265), "", 'Data Entry'!$ó$265)</f>
      </c>
      <c r="FX265">
        <f>IF(ISBLANK('Data Entry'!$ô$265), "", 'Data Entry'!$ô$265)</f>
      </c>
      <c r="FY265">
        <f>IF(ISBLANK('Data Entry'!$õ$265), "", 'Data Entry'!$õ$265)</f>
      </c>
      <c r="FZ265">
        <f>IF(ISBLANK('Data Entry'!$ö$265), "", 'Data Entry'!$ö$265)</f>
      </c>
      <c r="GA265">
        <f>IF(ISBLANK('Data Entry'!$÷$265), "", 'Data Entry'!$÷$265)</f>
      </c>
      <c r="GB265">
        <f>IF(ISBLANK('Data Entry'!$ø$265), "", 'Data Entry'!$ø$265)</f>
      </c>
      <c r="GC265">
        <f>IF(ISBLANK('Data Entry'!$ù$265), "", 'Data Entry'!$ù$265)</f>
      </c>
      <c r="GD265">
        <f>IF(ISBLANK('Data Entry'!$ú$265), "", 'Data Entry'!$ú$265)</f>
      </c>
      <c r="GE265">
        <f>IF(ISBLANK('Data Entry'!$û$265), "", 'Data Entry'!$û$265)</f>
      </c>
      <c r="GF265">
        <f>IF(ISBLANK('Data Entry'!$ü$265), "", 'Data Entry'!$ü$265)</f>
      </c>
      <c r="GG265">
        <f>IF(ISBLANK('Data Entry'!$ý$265), "", 'Data Entry'!$ý$265)</f>
      </c>
      <c r="GH265">
        <f>IF(ISBLANK('Data Entry'!$þ$265), "", 'Data Entry'!$þ$265)</f>
      </c>
      <c r="GI265">
        <f>IF(ISBLANK('Data Entry'!$ÿ$265), "", 'Data Entry'!$ÿ$265)</f>
      </c>
      <c r="GJ265">
        <f>IF(ISBLANK('Data Entry'!$Ā$265), "", 'Data Entry'!$Ā$265)</f>
      </c>
      <c r="GK265">
        <f>IF(ISBLANK('Data Entry'!$ā$265), "", 'Data Entry'!$ā$265)</f>
      </c>
      <c r="GL265">
        <f>IF(ISBLANK('Data Entry'!$Ă$265), "", 'Data Entry'!$Ă$265)</f>
      </c>
      <c r="GM265">
        <f>IF(ISBLANK('Data Entry'!$ă$265), "", 'Data Entry'!$ă$265)</f>
      </c>
      <c r="GN265">
        <f>IF(ISBLANK('Data Entry'!$Ą$265), "", 'Data Entry'!$Ą$265)</f>
      </c>
      <c r="GO265">
        <f>IF(ISBLANK('Data Entry'!$ą$265), "", 'Data Entry'!$ą$265)</f>
      </c>
      <c r="GP265">
        <f>IF(ISBLANK('Data Entry'!$Ć$265), "", 'Data Entry'!$Ć$265)</f>
      </c>
      <c r="GQ265">
        <f>IF(ISBLANK('Data Entry'!$ć$265), "", 'Data Entry'!$ć$265)</f>
      </c>
      <c r="GR265">
        <f>IF(ISBLANK('Data Entry'!$Ĉ$265), "", 'Data Entry'!$Ĉ$265)</f>
      </c>
      <c r="GS265">
        <f>IF(ISBLANK('Data Entry'!$ĉ$265), "", 'Data Entry'!$ĉ$265)</f>
      </c>
      <c r="GT265">
        <f>IF(ISBLANK('Data Entry'!$Ċ$265), "", 'Data Entry'!$Ċ$265)</f>
      </c>
      <c r="GU265">
        <f>IF(ISBLANK('Data Entry'!$ċ$265), "", 'Data Entry'!$ċ$265)</f>
      </c>
      <c r="GV265">
        <f>IF(ISBLANK('Data Entry'!$Č$265), "", 'Data Entry'!$Č$265)</f>
      </c>
      <c r="GW265">
        <f>IF(ISBLANK('Data Entry'!$č$265), "", 'Data Entry'!$č$265)</f>
      </c>
      <c r="GX265">
        <f>IF(ISBLANK('Data Entry'!$Ď$265), "", 'Data Entry'!$Ď$265)</f>
      </c>
      <c r="GY265">
        <f>IF(ISBLANK('Data Entry'!$ď$265), "", 'Data Entry'!$ď$265)</f>
      </c>
      <c r="GZ265">
        <f>IF(ISBLANK('Data Entry'!$Đ$265), "", 'Data Entry'!$Đ$265)</f>
      </c>
      <c r="HA265">
        <f>IF(ISBLANK('Data Entry'!$đ$265), "", 'Data Entry'!$đ$265)</f>
      </c>
      <c r="HB265">
        <f>IF(ISBLANK('Data Entry'!$Ē$265), "", 'Data Entry'!$Ē$265)</f>
      </c>
      <c r="HC265">
        <f>IF(ISBLANK('Data Entry'!$ē$265), "", 'Data Entry'!$ē$265)</f>
      </c>
      <c r="HD265">
        <f>IF(ISBLANK('Data Entry'!$Ĕ$265), "", 'Data Entry'!$Ĕ$265)</f>
      </c>
      <c r="HE265">
        <f>IF(ISBLANK('Data Entry'!$ĕ$265), "", 'Data Entry'!$ĕ$265)</f>
      </c>
      <c r="HF265">
        <f>IF(ISBLANK('Data Entry'!$Ė$265), "", 'Data Entry'!$Ė$265)</f>
      </c>
      <c r="HG265">
        <f>IF(ISBLANK('Data Entry'!$ė$265), "", 'Data Entry'!$ė$265)</f>
      </c>
      <c r="HH265">
        <f>IF(ISBLANK('Data Entry'!$Ę$265), "", 'Data Entry'!$Ę$265)</f>
      </c>
      <c r="HI265">
        <f>IF(ISBLANK('Data Entry'!$ę$265), "", 'Data Entry'!$ę$265)</f>
      </c>
      <c r="HJ265">
        <f>IF(ISBLANK('Data Entry'!$Ě$265), "", 'Data Entry'!$Ě$265)</f>
      </c>
      <c r="HK265">
        <f>IF(ISBLANK('Data Entry'!$ě$265), "", 'Data Entry'!$ě$265)</f>
      </c>
      <c r="HL265">
        <f>IF(ISBLANK('Data Entry'!$Ĝ$265), "", 'Data Entry'!$Ĝ$265)</f>
      </c>
      <c r="HM265">
        <f>IF(ISBLANK('Data Entry'!$ĝ$265), "", 'Data Entry'!$ĝ$265)</f>
      </c>
      <c r="HN265">
        <f>IF(ISBLANK('Data Entry'!$Ğ$265), "", 'Data Entry'!$Ğ$265)</f>
      </c>
      <c r="HO265">
        <f>IF(ISBLANK('Data Entry'!$ğ$265), "", 'Data Entry'!$ğ$265)</f>
      </c>
      <c r="HP265">
        <f>IF(ISBLANK('Data Entry'!$Ġ$265), "", 'Data Entry'!$Ġ$265)</f>
      </c>
      <c r="HQ265">
        <f>IF(ISBLANK('Data Entry'!$ġ$265), "", 'Data Entry'!$ġ$265)</f>
      </c>
      <c r="HR265">
        <f>IF(ISBLANK('Data Entry'!$Ģ$265), "", 'Data Entry'!$Ģ$265)</f>
      </c>
      <c r="HS265">
        <f>IF(ISBLANK('Data Entry'!$ģ$265), "", 'Data Entry'!$ģ$265)</f>
      </c>
      <c r="HT265">
        <f>IF(ISBLANK('Data Entry'!$Ĥ$265), "", 'Data Entry'!$Ĥ$265)</f>
      </c>
      <c r="HU265">
        <f>IF(ISBLANK('Data Entry'!$ĥ$265), "", 'Data Entry'!$ĥ$265)</f>
      </c>
      <c r="HV265">
        <f>IF(ISBLANK('Data Entry'!$Ħ$265), "", 'Data Entry'!$Ħ$265)</f>
      </c>
      <c r="HW265">
        <f>IF(ISBLANK('Data Entry'!$ħ$265), "", 'Data Entry'!$ħ$265)</f>
      </c>
      <c r="HX265">
        <f>IF(ISBLANK('Data Entry'!$Ĩ$265), "", 'Data Entry'!$Ĩ$265)</f>
      </c>
      <c r="HY265">
        <f>IF(ISBLANK('Data Entry'!$ĩ$265), "", 'Data Entry'!$ĩ$265)</f>
      </c>
      <c r="HZ265">
        <f>IF(ISBLANK('Data Entry'!$Ī$265), "", 'Data Entry'!$Ī$265)</f>
      </c>
      <c r="IA265">
        <f>IF(ISBLANK('Data Entry'!$ī$265), "", 'Data Entry'!$ī$265)</f>
      </c>
      <c r="IB265">
        <f>IF(ISBLANK('Data Entry'!$Ĭ$265), "", 'Data Entry'!$Ĭ$265)</f>
      </c>
      <c r="IC265">
        <f>IF(ISBLANK('Data Entry'!$ĭ$265), "", 'Data Entry'!$ĭ$265)</f>
      </c>
      <c r="ID265">
        <f>IF(ISBLANK('Data Entry'!$Į$265), "", 'Data Entry'!$Į$265)</f>
      </c>
      <c r="IE265">
        <f>IF(ISBLANK('Data Entry'!$į$265), "", 'Data Entry'!$į$265)</f>
      </c>
      <c r="IF265">
        <f>IF(ISBLANK('Data Entry'!$İ$265), "", 'Data Entry'!$İ$265)</f>
      </c>
      <c r="IG265">
        <f>IF(ISBLANK('Data Entry'!$ı$265), "", 'Data Entry'!$ı$265)</f>
      </c>
      <c r="IH265">
        <f>IF(ISBLANK('Data Entry'!$Ĳ$265), "", 'Data Entry'!$Ĳ$265)</f>
      </c>
      <c r="II265">
        <f>IF(ISBLANK('Data Entry'!$ĳ$265), "", 'Data Entry'!$ĳ$265)</f>
      </c>
      <c r="IJ265">
        <f>IF(ISBLANK('Data Entry'!$Ĵ$265), "", 'Data Entry'!$Ĵ$265)</f>
      </c>
      <c r="IK265">
        <f>IF(ISBLANK('Data Entry'!$ĵ$265), "", 'Data Entry'!$ĵ$265)</f>
      </c>
      <c r="IL265">
        <f>IF(ISBLANK('Data Entry'!$Ķ$265), "", 'Data Entry'!$Ķ$265)</f>
      </c>
      <c r="IM265">
        <f>IF(ISBLANK('Data Entry'!$ķ$265), "", 'Data Entry'!$ķ$265)</f>
      </c>
      <c r="IN265">
        <f>IF(ISBLANK('Data Entry'!$ĸ$265), "", 'Data Entry'!$ĸ$265)</f>
      </c>
      <c r="IO265">
        <f>IF(ISBLANK('Data Entry'!$Ĺ$265), "", 'Data Entry'!$Ĺ$265)</f>
      </c>
      <c r="IP265">
        <f>IF(ISBLANK('Data Entry'!$ĺ$265), "", 'Data Entry'!$ĺ$265)</f>
      </c>
      <c r="IQ265">
        <f>IF(ISBLANK('Data Entry'!$Ļ$265), "", 'Data Entry'!$Ļ$265)</f>
      </c>
      <c r="IR265">
        <f>IF(ISBLANK('Data Entry'!$ļ$265), "", 'Data Entry'!$ļ$265)</f>
      </c>
      <c r="IS265">
        <f>IF(ISBLANK('Data Entry'!$Ľ$265), "", 'Data Entry'!$Ľ$265)</f>
      </c>
      <c r="IT265">
        <f>IF(ISBLANK('Data Entry'!$ľ$265), "", 'Data Entry'!$ľ$265)</f>
      </c>
    </row>
    <row r="266" spans="1:254" x14ac:dyDescent="0.25">
      <c r="A266">
        <f>IF(ISBLANK('Data Entry'!$A$266), "", 'Data Entry'!$A$266)</f>
      </c>
      <c r="B266">
        <f>IF(ISBLANK('Data Entry'!$B$266), "", 'Data Entry'!$B$266)</f>
      </c>
      <c r="C266">
        <f>IF(ISBLANK('Data Entry'!$C$266), "", 'Data Entry'!$C$266)</f>
      </c>
      <c r="D266">
        <f>IF(ISBLANK('Data Entry'!$D$266), "", 'Data Entry'!$D$266)</f>
      </c>
      <c r="E266">
        <f>IF(ISBLANK('Data Entry'!$E$266), "", 'Data Entry'!$E$266)</f>
      </c>
      <c r="F266">
        <f>IF(ISBLANK('Data Entry'!$F$266), "", 'Data Entry'!$F$266)</f>
      </c>
      <c r="G266">
        <f>IF(ISBLANK('Data Entry'!$G$266), "", 'Data Entry'!$G$266)</f>
      </c>
      <c r="H266">
        <f>IF(ISBLANK('Data Entry'!$H$266), "", 'Data Entry'!$H$266)</f>
      </c>
      <c r="I266">
        <f>IF(ISBLANK('Data Entry'!$I$266), "", 'Data Entry'!$I$266)</f>
      </c>
      <c r="J266">
        <f>IF(ISBLANK('Data Entry'!$J$266), "", 'Data Entry'!$J$266)</f>
      </c>
      <c r="K266">
        <f>IF(ISBLANK('Data Entry'!$K$266), "", 'Data Entry'!$K$266)</f>
      </c>
      <c r="L266">
        <f>IF(ISBLANK('Data Entry'!$L$266), "", 'Data Entry'!$L$266)</f>
      </c>
      <c r="M266">
        <f>IF(ISBLANK('Data Entry'!$M$266), "", 'Data Entry'!$M$266)</f>
      </c>
      <c r="N266">
        <f>IF(ISBLANK('Data Entry'!$N$266), "", 'Data Entry'!$N$266)</f>
      </c>
      <c r="O266">
        <f>IF(ISBLANK('Data Entry'!$O$266), "", 'Data Entry'!$O$266)</f>
      </c>
      <c r="P266">
        <f>IF(ISBLANK('Data Entry'!$P$266), "", 'Data Entry'!$P$266)</f>
      </c>
      <c r="Q266">
        <f>IF(ISBLANK('Data Entry'!$Q$266), "", 'Data Entry'!$Q$266)</f>
      </c>
      <c r="R266">
        <f>IF(ISBLANK('Data Entry'!$R$266), "", 'Data Entry'!$R$266)</f>
      </c>
      <c r="S266">
        <f>IF(ISBLANK('Data Entry'!$S$266), "", 'Data Entry'!$S$266)</f>
      </c>
      <c r="T266">
        <f>IF(ISBLANK('Data Entry'!$T$266), "", 'Data Entry'!$T$266)</f>
      </c>
      <c r="U266">
        <f>IF(ISBLANK('Data Entry'!$U$266), "", 'Data Entry'!$U$266)</f>
      </c>
      <c r="V266">
        <f>IF(ISBLANK('Data Entry'!$V$266), "", 'Data Entry'!$V$266)</f>
      </c>
      <c r="W266">
        <f>IF(ISBLANK('Data Entry'!$W$266), "", 'Data Entry'!$W$266)</f>
      </c>
      <c r="X266">
        <f>IF(ISBLANK('Data Entry'!$X$266), "", 'Data Entry'!$X$266)</f>
      </c>
      <c r="Y266">
        <f>IF(ISBLANK('Data Entry'!$Y$266), "", 'Data Entry'!$Y$266)</f>
      </c>
      <c r="Z266">
        <f>IF(ISBLANK('Data Entry'!$Z$266), "", 'Data Entry'!$Z$266)</f>
      </c>
      <c r="AA266">
        <f>IF(ISBLANK('Data Entry'!$[$266), "", 'Data Entry'!$[$266)</f>
      </c>
      <c r="AB266">
        <f>IF(ISBLANK('Data Entry'!$\$266), "", 'Data Entry'!$\$266)</f>
      </c>
      <c r="AC266">
        <f>IF(ISBLANK('Data Entry'!$]$266), "", 'Data Entry'!$]$266)</f>
      </c>
      <c r="AD266">
        <f>IF(ISBLANK('Data Entry'!$^$266), "", 'Data Entry'!$^$266)</f>
      </c>
      <c r="AE266">
        <f>IF(ISBLANK('Data Entry'!$_$266), "", 'Data Entry'!$_$266)</f>
      </c>
      <c r="AF266">
        <f>IF(ISBLANK('Data Entry'!$`$266), "", 'Data Entry'!$`$266)</f>
      </c>
      <c r="AG266">
        <f>IF(ISBLANK('Data Entry'!$a$266), "", 'Data Entry'!$a$266)</f>
      </c>
      <c r="AH266">
        <f>IF(ISBLANK('Data Entry'!$b$266), "", 'Data Entry'!$b$266)</f>
      </c>
      <c r="AI266">
        <f>IF(ISBLANK('Data Entry'!$c$266), "", 'Data Entry'!$c$266)</f>
      </c>
      <c r="AJ266">
        <f>IF(ISBLANK('Data Entry'!$d$266), "", 'Data Entry'!$d$266)</f>
      </c>
      <c r="AK266">
        <f>IF(ISBLANK('Data Entry'!$e$266), "", 'Data Entry'!$e$266)</f>
      </c>
      <c r="AL266">
        <f>IF(ISBLANK('Data Entry'!$f$266), "", 'Data Entry'!$f$266)</f>
      </c>
      <c r="AM266">
        <f>IF(ISBLANK('Data Entry'!$g$266), "", 'Data Entry'!$g$266)</f>
      </c>
      <c r="AN266">
        <f>IF(ISBLANK('Data Entry'!$h$266), "", 'Data Entry'!$h$266)</f>
      </c>
      <c r="AO266">
        <f>IF(ISBLANK('Data Entry'!$i$266), "", 'Data Entry'!$i$266)</f>
      </c>
      <c r="AP266">
        <f>IF(ISBLANK('Data Entry'!$j$266), "", 'Data Entry'!$j$266)</f>
      </c>
      <c r="AQ266">
        <f>IF(ISBLANK('Data Entry'!$k$266), "", 'Data Entry'!$k$266)</f>
      </c>
      <c r="AR266">
        <f>IF(ISBLANK('Data Entry'!$l$266), "", 'Data Entry'!$l$266)</f>
      </c>
      <c r="AS266">
        <f>IF(ISBLANK('Data Entry'!$m$266), "", 'Data Entry'!$m$266)</f>
      </c>
      <c r="AT266">
        <f>IF(ISBLANK('Data Entry'!$n$266), "", 'Data Entry'!$n$266)</f>
      </c>
      <c r="AU266">
        <f>IF(ISBLANK('Data Entry'!$o$266), "", 'Data Entry'!$o$266)</f>
      </c>
      <c r="AV266">
        <f>IF(ISBLANK('Data Entry'!$p$266), "", 'Data Entry'!$p$266)</f>
      </c>
      <c r="AW266">
        <f>IF(ISBLANK('Data Entry'!$q$266), "", 'Data Entry'!$q$266)</f>
      </c>
      <c r="AX266">
        <f>IF(ISBLANK('Data Entry'!$r$266), "", 'Data Entry'!$r$266)</f>
      </c>
      <c r="AY266">
        <f>IF(ISBLANK('Data Entry'!$s$266), "", 'Data Entry'!$s$266)</f>
      </c>
      <c r="AZ266">
        <f>IF(ISBLANK('Data Entry'!$t$266), "", 'Data Entry'!$t$266)</f>
      </c>
      <c r="BA266">
        <f>IF(ISBLANK('Data Entry'!$u$266), "", 'Data Entry'!$u$266)</f>
      </c>
      <c r="BB266">
        <f>IF(ISBLANK('Data Entry'!$v$266), "", 'Data Entry'!$v$266)</f>
      </c>
      <c r="BC266">
        <f>IF(ISBLANK('Data Entry'!$w$266), "", 'Data Entry'!$w$266)</f>
      </c>
      <c r="BD266">
        <f>IF(ISBLANK('Data Entry'!$x$266), "", 'Data Entry'!$x$266)</f>
      </c>
      <c r="BE266">
        <f>IF(ISBLANK('Data Entry'!$y$266), "", 'Data Entry'!$y$266)</f>
      </c>
      <c r="BF266">
        <f>IF(ISBLANK('Data Entry'!$z$266), "", 'Data Entry'!$z$266)</f>
      </c>
      <c r="BG266">
        <f>IF(ISBLANK('Data Entry'!${$266), "", 'Data Entry'!${$266)</f>
      </c>
      <c r="BH266">
        <f>IF(ISBLANK('Data Entry'!$|$266), "", 'Data Entry'!$|$266)</f>
      </c>
      <c r="BI266">
        <f>IF(ISBLANK('Data Entry'!$}$266), "", 'Data Entry'!$}$266)</f>
      </c>
      <c r="BJ266">
        <f>IF(ISBLANK('Data Entry'!$~$266), "", 'Data Entry'!$~$266)</f>
      </c>
      <c r="BK266">
        <f>IF(ISBLANK('Data Entry'!$$266), "", 'Data Entry'!$$266)</f>
      </c>
      <c r="BL266">
        <f>IF(ISBLANK('Data Entry'!$$266), "", 'Data Entry'!$$266)</f>
      </c>
      <c r="BM266">
        <f>IF(ISBLANK('Data Entry'!$$266), "", 'Data Entry'!$$266)</f>
      </c>
      <c r="BN266">
        <f>IF(ISBLANK('Data Entry'!$$266), "", 'Data Entry'!$$266)</f>
      </c>
      <c r="BO266">
        <f>IF(ISBLANK('Data Entry'!$$266), "", 'Data Entry'!$$266)</f>
      </c>
      <c r="BP266">
        <f>IF(ISBLANK('Data Entry'!$$266), "", 'Data Entry'!$$266)</f>
      </c>
      <c r="BQ266">
        <f>IF(ISBLANK('Data Entry'!$$266), "", 'Data Entry'!$$266)</f>
      </c>
      <c r="BR266">
        <f>IF(ISBLANK('Data Entry'!$$266), "", 'Data Entry'!$$266)</f>
      </c>
      <c r="BS266">
        <f>IF(ISBLANK('Data Entry'!$$266), "", 'Data Entry'!$$266)</f>
      </c>
      <c r="BT266">
        <f>IF(ISBLANK('Data Entry'!$$266), "", 'Data Entry'!$$266)</f>
      </c>
      <c r="BU266">
        <f>IF(ISBLANK('Data Entry'!$$266), "", 'Data Entry'!$$266)</f>
      </c>
      <c r="BV266">
        <f>IF(ISBLANK('Data Entry'!$$266), "", 'Data Entry'!$$266)</f>
      </c>
      <c r="BW266">
        <f>IF(ISBLANK('Data Entry'!$$266), "", 'Data Entry'!$$266)</f>
      </c>
      <c r="BX266">
        <f>IF(ISBLANK('Data Entry'!$$266), "", 'Data Entry'!$$266)</f>
      </c>
      <c r="BY266">
        <f>IF(ISBLANK('Data Entry'!$$266), "", 'Data Entry'!$$266)</f>
      </c>
      <c r="BZ266">
        <f>IF(ISBLANK('Data Entry'!$$266), "", 'Data Entry'!$$266)</f>
      </c>
      <c r="CA266">
        <f>IF(ISBLANK('Data Entry'!$$266), "", 'Data Entry'!$$266)</f>
      </c>
      <c r="CB266">
        <f>IF(ISBLANK('Data Entry'!$$266), "", 'Data Entry'!$$266)</f>
      </c>
      <c r="CC266">
        <f>IF(ISBLANK('Data Entry'!$$266), "", 'Data Entry'!$$266)</f>
      </c>
      <c r="CD266">
        <f>IF(ISBLANK('Data Entry'!$$266), "", 'Data Entry'!$$266)</f>
      </c>
      <c r="CE266">
        <f>IF(ISBLANK('Data Entry'!$$266), "", 'Data Entry'!$$266)</f>
      </c>
      <c r="CF266">
        <f>IF(ISBLANK('Data Entry'!$$266), "", 'Data Entry'!$$266)</f>
      </c>
      <c r="CG266">
        <f>IF(ISBLANK('Data Entry'!$$266), "", 'Data Entry'!$$266)</f>
      </c>
      <c r="CH266">
        <f>IF(ISBLANK('Data Entry'!$$266), "", 'Data Entry'!$$266)</f>
      </c>
      <c r="CI266">
        <f>IF(ISBLANK('Data Entry'!$$266), "", 'Data Entry'!$$266)</f>
      </c>
      <c r="CJ266">
        <f>IF(ISBLANK('Data Entry'!$$266), "", 'Data Entry'!$$266)</f>
      </c>
      <c r="CK266">
        <f>IF(ISBLANK('Data Entry'!$$266), "", 'Data Entry'!$$266)</f>
      </c>
      <c r="CL266">
        <f>IF(ISBLANK('Data Entry'!$$266), "", 'Data Entry'!$$266)</f>
      </c>
      <c r="CM266">
        <f>IF(ISBLANK('Data Entry'!$$266), "", 'Data Entry'!$$266)</f>
      </c>
      <c r="CN266">
        <f>IF(ISBLANK('Data Entry'!$$266), "", 'Data Entry'!$$266)</f>
      </c>
      <c r="CO266">
        <f>IF(ISBLANK('Data Entry'!$$266), "", 'Data Entry'!$$266)</f>
      </c>
      <c r="CP266">
        <f>IF(ISBLANK('Data Entry'!$$266), "", 'Data Entry'!$$266)</f>
      </c>
      <c r="CQ266">
        <f>IF(ISBLANK('Data Entry'!$$266), "", 'Data Entry'!$$266)</f>
      </c>
      <c r="CR266">
        <f>IF(ISBLANK('Data Entry'!$ $266), "", 'Data Entry'!$ $266)</f>
      </c>
      <c r="CS266">
        <f>IF(ISBLANK('Data Entry'!$¡$266), "", 'Data Entry'!$¡$266)</f>
      </c>
      <c r="CT266">
        <f>IF(ISBLANK('Data Entry'!$¢$266), "", 'Data Entry'!$¢$266)</f>
      </c>
      <c r="CU266">
        <f>IF(ISBLANK('Data Entry'!$£$266), "", 'Data Entry'!$£$266)</f>
      </c>
      <c r="CV266">
        <f>IF(ISBLANK('Data Entry'!$¤$266), "", 'Data Entry'!$¤$266)</f>
      </c>
      <c r="CW266">
        <f>IF(ISBLANK('Data Entry'!$¥$266), "", 'Data Entry'!$¥$266)</f>
      </c>
      <c r="CX266">
        <f>IF(ISBLANK('Data Entry'!$¦$266), "", 'Data Entry'!$¦$266)</f>
      </c>
      <c r="CY266">
        <f>IF(ISBLANK('Data Entry'!$§$266), "", 'Data Entry'!$§$266)</f>
      </c>
      <c r="CZ266">
        <f>IF(ISBLANK('Data Entry'!$¨$266), "", 'Data Entry'!$¨$266)</f>
      </c>
      <c r="DA266">
        <f>IF(ISBLANK('Data Entry'!$©$266), "", 'Data Entry'!$©$266)</f>
      </c>
      <c r="DB266">
        <f>IF(ISBLANK('Data Entry'!$ª$266), "", 'Data Entry'!$ª$266)</f>
      </c>
      <c r="DC266">
        <f>IF(ISBLANK('Data Entry'!$«$266), "", 'Data Entry'!$«$266)</f>
      </c>
      <c r="DD266">
        <f>IF(ISBLANK('Data Entry'!$¬$266), "", 'Data Entry'!$¬$266)</f>
      </c>
      <c r="DE266">
        <f>IF(ISBLANK('Data Entry'!$­$266), "", 'Data Entry'!$­$266)</f>
      </c>
      <c r="DF266">
        <f>IF(ISBLANK('Data Entry'!$®$266), "", 'Data Entry'!$®$266)</f>
      </c>
      <c r="DG266">
        <f>IF(ISBLANK('Data Entry'!$¯$266), "", 'Data Entry'!$¯$266)</f>
      </c>
      <c r="DH266">
        <f>IF(ISBLANK('Data Entry'!$°$266), "", 'Data Entry'!$°$266)</f>
      </c>
      <c r="DI266">
        <f>IF(ISBLANK('Data Entry'!$±$266), "", 'Data Entry'!$±$266)</f>
      </c>
      <c r="DJ266">
        <f>IF(ISBLANK('Data Entry'!$²$266), "", 'Data Entry'!$²$266)</f>
      </c>
      <c r="DK266">
        <f>IF(ISBLANK('Data Entry'!$³$266), "", 'Data Entry'!$³$266)</f>
      </c>
      <c r="DL266">
        <f>IF(ISBLANK('Data Entry'!$´$266), "", 'Data Entry'!$´$266)</f>
      </c>
      <c r="DM266">
        <f>IF(ISBLANK('Data Entry'!$µ$266), "", 'Data Entry'!$µ$266)</f>
      </c>
      <c r="DN266">
        <f>IF(ISBLANK('Data Entry'!$¶$266), "", 'Data Entry'!$¶$266)</f>
      </c>
      <c r="DO266">
        <f>IF(ISBLANK('Data Entry'!$·$266), "", 'Data Entry'!$·$266)</f>
      </c>
      <c r="DP266">
        <f>IF(ISBLANK('Data Entry'!$¸$266), "", 'Data Entry'!$¸$266)</f>
      </c>
      <c r="DQ266">
        <f>IF(ISBLANK('Data Entry'!$¹$266), "", 'Data Entry'!$¹$266)</f>
      </c>
      <c r="DR266">
        <f>IF(ISBLANK('Data Entry'!$º$266), "", 'Data Entry'!$º$266)</f>
      </c>
      <c r="DS266">
        <f>IF(ISBLANK('Data Entry'!$»$266), "", 'Data Entry'!$»$266)</f>
      </c>
      <c r="DT266">
        <f>IF(ISBLANK('Data Entry'!$¼$266), "", 'Data Entry'!$¼$266)</f>
      </c>
      <c r="DU266">
        <f>IF(ISBLANK('Data Entry'!$½$266), "", 'Data Entry'!$½$266)</f>
      </c>
      <c r="DV266">
        <f>IF(ISBLANK('Data Entry'!$¾$266), "", 'Data Entry'!$¾$266)</f>
      </c>
      <c r="DW266">
        <f>IF(ISBLANK('Data Entry'!$¿$266), "", 'Data Entry'!$¿$266)</f>
      </c>
      <c r="DX266">
        <f>IF(ISBLANK('Data Entry'!$À$266), "", 'Data Entry'!$À$266)</f>
      </c>
      <c r="DY266">
        <f>IF(ISBLANK('Data Entry'!$Á$266), "", 'Data Entry'!$Á$266)</f>
      </c>
      <c r="DZ266">
        <f>IF(ISBLANK('Data Entry'!$Â$266), "", 'Data Entry'!$Â$266)</f>
      </c>
      <c r="EA266">
        <f>IF(ISBLANK('Data Entry'!$Ã$266), "", 'Data Entry'!$Ã$266)</f>
      </c>
      <c r="EB266">
        <f>IF(ISBLANK('Data Entry'!$Ä$266), "", 'Data Entry'!$Ä$266)</f>
      </c>
      <c r="EC266">
        <f>IF(ISBLANK('Data Entry'!$Å$266), "", 'Data Entry'!$Å$266)</f>
      </c>
      <c r="ED266">
        <f>IF(ISBLANK('Data Entry'!$Æ$266), "", 'Data Entry'!$Æ$266)</f>
      </c>
      <c r="EE266">
        <f>IF(ISBLANK('Data Entry'!$Ç$266), "", 'Data Entry'!$Ç$266)</f>
      </c>
      <c r="EF266">
        <f>IF(ISBLANK('Data Entry'!$È$266), "", 'Data Entry'!$È$266)</f>
      </c>
      <c r="EG266">
        <f>IF(ISBLANK('Data Entry'!$É$266), "", 'Data Entry'!$É$266)</f>
      </c>
      <c r="EH266">
        <f>IF(ISBLANK('Data Entry'!$Ê$266), "", 'Data Entry'!$Ê$266)</f>
      </c>
      <c r="EI266">
        <f>IF(ISBLANK('Data Entry'!$Ë$266), "", 'Data Entry'!$Ë$266)</f>
      </c>
      <c r="EJ266">
        <f>IF(ISBLANK('Data Entry'!$Ì$266), "", 'Data Entry'!$Ì$266)</f>
      </c>
      <c r="EK266">
        <f>IF(ISBLANK('Data Entry'!$Í$266), "", 'Data Entry'!$Í$266)</f>
      </c>
      <c r="EL266">
        <f>IF(ISBLANK('Data Entry'!$Î$266), "", 'Data Entry'!$Î$266)</f>
      </c>
      <c r="EM266">
        <f>IF(ISBLANK('Data Entry'!$Ï$266), "", 'Data Entry'!$Ï$266)</f>
      </c>
      <c r="EN266">
        <f>IF(ISBLANK('Data Entry'!$Ð$266), "", 'Data Entry'!$Ð$266)</f>
      </c>
      <c r="EO266">
        <f>IF(ISBLANK('Data Entry'!$Ñ$266), "", 'Data Entry'!$Ñ$266)</f>
      </c>
      <c r="EP266">
        <f>IF(ISBLANK('Data Entry'!$Ò$266), "", 'Data Entry'!$Ò$266)</f>
      </c>
      <c r="EQ266">
        <f>IF(ISBLANK('Data Entry'!$Ó$266), "", 'Data Entry'!$Ó$266)</f>
      </c>
      <c r="ER266">
        <f>IF(ISBLANK('Data Entry'!$Ô$266), "", 'Data Entry'!$Ô$266)</f>
      </c>
      <c r="ES266">
        <f>IF(ISBLANK('Data Entry'!$Õ$266), "", 'Data Entry'!$Õ$266)</f>
      </c>
      <c r="ET266">
        <f>IF(ISBLANK('Data Entry'!$Ö$266), "", 'Data Entry'!$Ö$266)</f>
      </c>
      <c r="EU266">
        <f>IF(ISBLANK('Data Entry'!$×$266), "", 'Data Entry'!$×$266)</f>
      </c>
      <c r="EV266">
        <f>IF(ISBLANK('Data Entry'!$Ø$266), "", 'Data Entry'!$Ø$266)</f>
      </c>
      <c r="EW266">
        <f>IF(ISBLANK('Data Entry'!$Ù$266), "", 'Data Entry'!$Ù$266)</f>
      </c>
      <c r="EX266">
        <f>IF(ISBLANK('Data Entry'!$Ú$266), "", 'Data Entry'!$Ú$266)</f>
      </c>
      <c r="EY266">
        <f>IF(ISBLANK('Data Entry'!$Û$266), "", 'Data Entry'!$Û$266)</f>
      </c>
      <c r="EZ266">
        <f>IF(ISBLANK('Data Entry'!$Ü$266), "", 'Data Entry'!$Ü$266)</f>
      </c>
      <c r="FA266">
        <f>IF(ISBLANK('Data Entry'!$Ý$266), "", 'Data Entry'!$Ý$266)</f>
      </c>
      <c r="FB266">
        <f>IF(ISBLANK('Data Entry'!$Þ$266), "", 'Data Entry'!$Þ$266)</f>
      </c>
      <c r="FC266">
        <f>IF(ISBLANK('Data Entry'!$ß$266), "", 'Data Entry'!$ß$266)</f>
      </c>
      <c r="FD266">
        <f>IF(ISBLANK('Data Entry'!$à$266), "", 'Data Entry'!$à$266)</f>
      </c>
      <c r="FE266">
        <f>IF(ISBLANK('Data Entry'!$á$266), "", 'Data Entry'!$á$266)</f>
      </c>
      <c r="FF266">
        <f>IF(ISBLANK('Data Entry'!$â$266), "", 'Data Entry'!$â$266)</f>
      </c>
      <c r="FG266">
        <f>IF(ISBLANK('Data Entry'!$ã$266), "", 'Data Entry'!$ã$266)</f>
      </c>
      <c r="FH266">
        <f>IF(ISBLANK('Data Entry'!$ä$266), "", 'Data Entry'!$ä$266)</f>
      </c>
      <c r="FI266">
        <f>IF(ISBLANK('Data Entry'!$å$266), "", 'Data Entry'!$å$266)</f>
      </c>
      <c r="FJ266">
        <f>IF(ISBLANK('Data Entry'!$æ$266), "", 'Data Entry'!$æ$266)</f>
      </c>
      <c r="FK266">
        <f>IF(ISBLANK('Data Entry'!$ç$266), "", 'Data Entry'!$ç$266)</f>
      </c>
      <c r="FL266">
        <f>IF(ISBLANK('Data Entry'!$è$266), "", 'Data Entry'!$è$266)</f>
      </c>
      <c r="FM266">
        <f>IF(ISBLANK('Data Entry'!$é$266), "", 'Data Entry'!$é$266)</f>
      </c>
      <c r="FN266">
        <f>IF(ISBLANK('Data Entry'!$ê$266), "", 'Data Entry'!$ê$266)</f>
      </c>
      <c r="FO266">
        <f>IF(ISBLANK('Data Entry'!$ë$266), "", 'Data Entry'!$ë$266)</f>
      </c>
      <c r="FP266">
        <f>IF(ISBLANK('Data Entry'!$ì$266), "", 'Data Entry'!$ì$266)</f>
      </c>
      <c r="FQ266">
        <f>IF(ISBLANK('Data Entry'!$í$266), "", 'Data Entry'!$í$266)</f>
      </c>
      <c r="FR266">
        <f>IF(ISBLANK('Data Entry'!$î$266), "", 'Data Entry'!$î$266)</f>
      </c>
      <c r="FS266">
        <f>IF(ISBLANK('Data Entry'!$ï$266), "", 'Data Entry'!$ï$266)</f>
      </c>
      <c r="FT266">
        <f>IF(ISBLANK('Data Entry'!$ð$266), "", 'Data Entry'!$ð$266)</f>
      </c>
      <c r="FU266">
        <f>IF(ISBLANK('Data Entry'!$ñ$266), "", 'Data Entry'!$ñ$266)</f>
      </c>
      <c r="FV266">
        <f>IF(ISBLANK('Data Entry'!$ò$266), "", 'Data Entry'!$ò$266)</f>
      </c>
      <c r="FW266">
        <f>IF(ISBLANK('Data Entry'!$ó$266), "", 'Data Entry'!$ó$266)</f>
      </c>
      <c r="FX266">
        <f>IF(ISBLANK('Data Entry'!$ô$266), "", 'Data Entry'!$ô$266)</f>
      </c>
      <c r="FY266">
        <f>IF(ISBLANK('Data Entry'!$õ$266), "", 'Data Entry'!$õ$266)</f>
      </c>
      <c r="FZ266">
        <f>IF(ISBLANK('Data Entry'!$ö$266), "", 'Data Entry'!$ö$266)</f>
      </c>
      <c r="GA266">
        <f>IF(ISBLANK('Data Entry'!$÷$266), "", 'Data Entry'!$÷$266)</f>
      </c>
      <c r="GB266">
        <f>IF(ISBLANK('Data Entry'!$ø$266), "", 'Data Entry'!$ø$266)</f>
      </c>
      <c r="GC266">
        <f>IF(ISBLANK('Data Entry'!$ù$266), "", 'Data Entry'!$ù$266)</f>
      </c>
      <c r="GD266">
        <f>IF(ISBLANK('Data Entry'!$ú$266), "", 'Data Entry'!$ú$266)</f>
      </c>
      <c r="GE266">
        <f>IF(ISBLANK('Data Entry'!$û$266), "", 'Data Entry'!$û$266)</f>
      </c>
      <c r="GF266">
        <f>IF(ISBLANK('Data Entry'!$ü$266), "", 'Data Entry'!$ü$266)</f>
      </c>
      <c r="GG266">
        <f>IF(ISBLANK('Data Entry'!$ý$266), "", 'Data Entry'!$ý$266)</f>
      </c>
      <c r="GH266">
        <f>IF(ISBLANK('Data Entry'!$þ$266), "", 'Data Entry'!$þ$266)</f>
      </c>
      <c r="GI266">
        <f>IF(ISBLANK('Data Entry'!$ÿ$266), "", 'Data Entry'!$ÿ$266)</f>
      </c>
      <c r="GJ266">
        <f>IF(ISBLANK('Data Entry'!$Ā$266), "", 'Data Entry'!$Ā$266)</f>
      </c>
      <c r="GK266">
        <f>IF(ISBLANK('Data Entry'!$ā$266), "", 'Data Entry'!$ā$266)</f>
      </c>
      <c r="GL266">
        <f>IF(ISBLANK('Data Entry'!$Ă$266), "", 'Data Entry'!$Ă$266)</f>
      </c>
      <c r="GM266">
        <f>IF(ISBLANK('Data Entry'!$ă$266), "", 'Data Entry'!$ă$266)</f>
      </c>
      <c r="GN266">
        <f>IF(ISBLANK('Data Entry'!$Ą$266), "", 'Data Entry'!$Ą$266)</f>
      </c>
      <c r="GO266">
        <f>IF(ISBLANK('Data Entry'!$ą$266), "", 'Data Entry'!$ą$266)</f>
      </c>
      <c r="GP266">
        <f>IF(ISBLANK('Data Entry'!$Ć$266), "", 'Data Entry'!$Ć$266)</f>
      </c>
      <c r="GQ266">
        <f>IF(ISBLANK('Data Entry'!$ć$266), "", 'Data Entry'!$ć$266)</f>
      </c>
      <c r="GR266">
        <f>IF(ISBLANK('Data Entry'!$Ĉ$266), "", 'Data Entry'!$Ĉ$266)</f>
      </c>
      <c r="GS266">
        <f>IF(ISBLANK('Data Entry'!$ĉ$266), "", 'Data Entry'!$ĉ$266)</f>
      </c>
      <c r="GT266">
        <f>IF(ISBLANK('Data Entry'!$Ċ$266), "", 'Data Entry'!$Ċ$266)</f>
      </c>
      <c r="GU266">
        <f>IF(ISBLANK('Data Entry'!$ċ$266), "", 'Data Entry'!$ċ$266)</f>
      </c>
      <c r="GV266">
        <f>IF(ISBLANK('Data Entry'!$Č$266), "", 'Data Entry'!$Č$266)</f>
      </c>
      <c r="GW266">
        <f>IF(ISBLANK('Data Entry'!$č$266), "", 'Data Entry'!$č$266)</f>
      </c>
      <c r="GX266">
        <f>IF(ISBLANK('Data Entry'!$Ď$266), "", 'Data Entry'!$Ď$266)</f>
      </c>
      <c r="GY266">
        <f>IF(ISBLANK('Data Entry'!$ď$266), "", 'Data Entry'!$ď$266)</f>
      </c>
      <c r="GZ266">
        <f>IF(ISBLANK('Data Entry'!$Đ$266), "", 'Data Entry'!$Đ$266)</f>
      </c>
      <c r="HA266">
        <f>IF(ISBLANK('Data Entry'!$đ$266), "", 'Data Entry'!$đ$266)</f>
      </c>
      <c r="HB266">
        <f>IF(ISBLANK('Data Entry'!$Ē$266), "", 'Data Entry'!$Ē$266)</f>
      </c>
      <c r="HC266">
        <f>IF(ISBLANK('Data Entry'!$ē$266), "", 'Data Entry'!$ē$266)</f>
      </c>
      <c r="HD266">
        <f>IF(ISBLANK('Data Entry'!$Ĕ$266), "", 'Data Entry'!$Ĕ$266)</f>
      </c>
      <c r="HE266">
        <f>IF(ISBLANK('Data Entry'!$ĕ$266), "", 'Data Entry'!$ĕ$266)</f>
      </c>
      <c r="HF266">
        <f>IF(ISBLANK('Data Entry'!$Ė$266), "", 'Data Entry'!$Ė$266)</f>
      </c>
      <c r="HG266">
        <f>IF(ISBLANK('Data Entry'!$ė$266), "", 'Data Entry'!$ė$266)</f>
      </c>
      <c r="HH266">
        <f>IF(ISBLANK('Data Entry'!$Ę$266), "", 'Data Entry'!$Ę$266)</f>
      </c>
      <c r="HI266">
        <f>IF(ISBLANK('Data Entry'!$ę$266), "", 'Data Entry'!$ę$266)</f>
      </c>
      <c r="HJ266">
        <f>IF(ISBLANK('Data Entry'!$Ě$266), "", 'Data Entry'!$Ě$266)</f>
      </c>
      <c r="HK266">
        <f>IF(ISBLANK('Data Entry'!$ě$266), "", 'Data Entry'!$ě$266)</f>
      </c>
      <c r="HL266">
        <f>IF(ISBLANK('Data Entry'!$Ĝ$266), "", 'Data Entry'!$Ĝ$266)</f>
      </c>
      <c r="HM266">
        <f>IF(ISBLANK('Data Entry'!$ĝ$266), "", 'Data Entry'!$ĝ$266)</f>
      </c>
      <c r="HN266">
        <f>IF(ISBLANK('Data Entry'!$Ğ$266), "", 'Data Entry'!$Ğ$266)</f>
      </c>
      <c r="HO266">
        <f>IF(ISBLANK('Data Entry'!$ğ$266), "", 'Data Entry'!$ğ$266)</f>
      </c>
      <c r="HP266">
        <f>IF(ISBLANK('Data Entry'!$Ġ$266), "", 'Data Entry'!$Ġ$266)</f>
      </c>
      <c r="HQ266">
        <f>IF(ISBLANK('Data Entry'!$ġ$266), "", 'Data Entry'!$ġ$266)</f>
      </c>
      <c r="HR266">
        <f>IF(ISBLANK('Data Entry'!$Ģ$266), "", 'Data Entry'!$Ģ$266)</f>
      </c>
      <c r="HS266">
        <f>IF(ISBLANK('Data Entry'!$ģ$266), "", 'Data Entry'!$ģ$266)</f>
      </c>
      <c r="HT266">
        <f>IF(ISBLANK('Data Entry'!$Ĥ$266), "", 'Data Entry'!$Ĥ$266)</f>
      </c>
      <c r="HU266">
        <f>IF(ISBLANK('Data Entry'!$ĥ$266), "", 'Data Entry'!$ĥ$266)</f>
      </c>
      <c r="HV266">
        <f>IF(ISBLANK('Data Entry'!$Ħ$266), "", 'Data Entry'!$Ħ$266)</f>
      </c>
      <c r="HW266">
        <f>IF(ISBLANK('Data Entry'!$ħ$266), "", 'Data Entry'!$ħ$266)</f>
      </c>
      <c r="HX266">
        <f>IF(ISBLANK('Data Entry'!$Ĩ$266), "", 'Data Entry'!$Ĩ$266)</f>
      </c>
      <c r="HY266">
        <f>IF(ISBLANK('Data Entry'!$ĩ$266), "", 'Data Entry'!$ĩ$266)</f>
      </c>
      <c r="HZ266">
        <f>IF(ISBLANK('Data Entry'!$Ī$266), "", 'Data Entry'!$Ī$266)</f>
      </c>
      <c r="IA266">
        <f>IF(ISBLANK('Data Entry'!$ī$266), "", 'Data Entry'!$ī$266)</f>
      </c>
      <c r="IB266">
        <f>IF(ISBLANK('Data Entry'!$Ĭ$266), "", 'Data Entry'!$Ĭ$266)</f>
      </c>
      <c r="IC266">
        <f>IF(ISBLANK('Data Entry'!$ĭ$266), "", 'Data Entry'!$ĭ$266)</f>
      </c>
      <c r="ID266">
        <f>IF(ISBLANK('Data Entry'!$Į$266), "", 'Data Entry'!$Į$266)</f>
      </c>
      <c r="IE266">
        <f>IF(ISBLANK('Data Entry'!$į$266), "", 'Data Entry'!$į$266)</f>
      </c>
      <c r="IF266">
        <f>IF(ISBLANK('Data Entry'!$İ$266), "", 'Data Entry'!$İ$266)</f>
      </c>
      <c r="IG266">
        <f>IF(ISBLANK('Data Entry'!$ı$266), "", 'Data Entry'!$ı$266)</f>
      </c>
      <c r="IH266">
        <f>IF(ISBLANK('Data Entry'!$Ĳ$266), "", 'Data Entry'!$Ĳ$266)</f>
      </c>
      <c r="II266">
        <f>IF(ISBLANK('Data Entry'!$ĳ$266), "", 'Data Entry'!$ĳ$266)</f>
      </c>
      <c r="IJ266">
        <f>IF(ISBLANK('Data Entry'!$Ĵ$266), "", 'Data Entry'!$Ĵ$266)</f>
      </c>
      <c r="IK266">
        <f>IF(ISBLANK('Data Entry'!$ĵ$266), "", 'Data Entry'!$ĵ$266)</f>
      </c>
      <c r="IL266">
        <f>IF(ISBLANK('Data Entry'!$Ķ$266), "", 'Data Entry'!$Ķ$266)</f>
      </c>
      <c r="IM266">
        <f>IF(ISBLANK('Data Entry'!$ķ$266), "", 'Data Entry'!$ķ$266)</f>
      </c>
      <c r="IN266">
        <f>IF(ISBLANK('Data Entry'!$ĸ$266), "", 'Data Entry'!$ĸ$266)</f>
      </c>
      <c r="IO266">
        <f>IF(ISBLANK('Data Entry'!$Ĺ$266), "", 'Data Entry'!$Ĺ$266)</f>
      </c>
      <c r="IP266">
        <f>IF(ISBLANK('Data Entry'!$ĺ$266), "", 'Data Entry'!$ĺ$266)</f>
      </c>
      <c r="IQ266">
        <f>IF(ISBLANK('Data Entry'!$Ļ$266), "", 'Data Entry'!$Ļ$266)</f>
      </c>
      <c r="IR266">
        <f>IF(ISBLANK('Data Entry'!$ļ$266), "", 'Data Entry'!$ļ$266)</f>
      </c>
      <c r="IS266">
        <f>IF(ISBLANK('Data Entry'!$Ľ$266), "", 'Data Entry'!$Ľ$266)</f>
      </c>
      <c r="IT266">
        <f>IF(ISBLANK('Data Entry'!$ľ$266), "", 'Data Entry'!$ľ$266)</f>
      </c>
    </row>
    <row r="267" spans="1:254" x14ac:dyDescent="0.25">
      <c r="A267">
        <f>IF(ISBLANK('Data Entry'!$A$267), "", 'Data Entry'!$A$267)</f>
      </c>
      <c r="B267">
        <f>IF(ISBLANK('Data Entry'!$B$267), "", 'Data Entry'!$B$267)</f>
      </c>
      <c r="C267">
        <f>IF(ISBLANK('Data Entry'!$C$267), "", 'Data Entry'!$C$267)</f>
      </c>
      <c r="D267">
        <f>IF(ISBLANK('Data Entry'!$D$267), "", 'Data Entry'!$D$267)</f>
      </c>
      <c r="E267">
        <f>IF(ISBLANK('Data Entry'!$E$267), "", 'Data Entry'!$E$267)</f>
      </c>
      <c r="F267">
        <f>IF(ISBLANK('Data Entry'!$F$267), "", 'Data Entry'!$F$267)</f>
      </c>
      <c r="G267">
        <f>IF(ISBLANK('Data Entry'!$G$267), "", 'Data Entry'!$G$267)</f>
      </c>
      <c r="H267">
        <f>IF(ISBLANK('Data Entry'!$H$267), "", 'Data Entry'!$H$267)</f>
      </c>
      <c r="I267">
        <f>IF(ISBLANK('Data Entry'!$I$267), "", 'Data Entry'!$I$267)</f>
      </c>
      <c r="J267">
        <f>IF(ISBLANK('Data Entry'!$J$267), "", 'Data Entry'!$J$267)</f>
      </c>
      <c r="K267">
        <f>IF(ISBLANK('Data Entry'!$K$267), "", 'Data Entry'!$K$267)</f>
      </c>
      <c r="L267">
        <f>IF(ISBLANK('Data Entry'!$L$267), "", 'Data Entry'!$L$267)</f>
      </c>
      <c r="M267">
        <f>IF(ISBLANK('Data Entry'!$M$267), "", 'Data Entry'!$M$267)</f>
      </c>
      <c r="N267">
        <f>IF(ISBLANK('Data Entry'!$N$267), "", 'Data Entry'!$N$267)</f>
      </c>
      <c r="O267">
        <f>IF(ISBLANK('Data Entry'!$O$267), "", 'Data Entry'!$O$267)</f>
      </c>
      <c r="P267">
        <f>IF(ISBLANK('Data Entry'!$P$267), "", 'Data Entry'!$P$267)</f>
      </c>
      <c r="Q267">
        <f>IF(ISBLANK('Data Entry'!$Q$267), "", 'Data Entry'!$Q$267)</f>
      </c>
      <c r="R267">
        <f>IF(ISBLANK('Data Entry'!$R$267), "", 'Data Entry'!$R$267)</f>
      </c>
      <c r="S267">
        <f>IF(ISBLANK('Data Entry'!$S$267), "", 'Data Entry'!$S$267)</f>
      </c>
      <c r="T267">
        <f>IF(ISBLANK('Data Entry'!$T$267), "", 'Data Entry'!$T$267)</f>
      </c>
      <c r="U267">
        <f>IF(ISBLANK('Data Entry'!$U$267), "", 'Data Entry'!$U$267)</f>
      </c>
      <c r="V267">
        <f>IF(ISBLANK('Data Entry'!$V$267), "", 'Data Entry'!$V$267)</f>
      </c>
      <c r="W267">
        <f>IF(ISBLANK('Data Entry'!$W$267), "", 'Data Entry'!$W$267)</f>
      </c>
      <c r="X267">
        <f>IF(ISBLANK('Data Entry'!$X$267), "", 'Data Entry'!$X$267)</f>
      </c>
      <c r="Y267">
        <f>IF(ISBLANK('Data Entry'!$Y$267), "", 'Data Entry'!$Y$267)</f>
      </c>
      <c r="Z267">
        <f>IF(ISBLANK('Data Entry'!$Z$267), "", 'Data Entry'!$Z$267)</f>
      </c>
      <c r="AA267">
        <f>IF(ISBLANK('Data Entry'!$[$267), "", 'Data Entry'!$[$267)</f>
      </c>
      <c r="AB267">
        <f>IF(ISBLANK('Data Entry'!$\$267), "", 'Data Entry'!$\$267)</f>
      </c>
      <c r="AC267">
        <f>IF(ISBLANK('Data Entry'!$]$267), "", 'Data Entry'!$]$267)</f>
      </c>
      <c r="AD267">
        <f>IF(ISBLANK('Data Entry'!$^$267), "", 'Data Entry'!$^$267)</f>
      </c>
      <c r="AE267">
        <f>IF(ISBLANK('Data Entry'!$_$267), "", 'Data Entry'!$_$267)</f>
      </c>
      <c r="AF267">
        <f>IF(ISBLANK('Data Entry'!$`$267), "", 'Data Entry'!$`$267)</f>
      </c>
      <c r="AG267">
        <f>IF(ISBLANK('Data Entry'!$a$267), "", 'Data Entry'!$a$267)</f>
      </c>
      <c r="AH267">
        <f>IF(ISBLANK('Data Entry'!$b$267), "", 'Data Entry'!$b$267)</f>
      </c>
      <c r="AI267">
        <f>IF(ISBLANK('Data Entry'!$c$267), "", 'Data Entry'!$c$267)</f>
      </c>
      <c r="AJ267">
        <f>IF(ISBLANK('Data Entry'!$d$267), "", 'Data Entry'!$d$267)</f>
      </c>
      <c r="AK267">
        <f>IF(ISBLANK('Data Entry'!$e$267), "", 'Data Entry'!$e$267)</f>
      </c>
      <c r="AL267">
        <f>IF(ISBLANK('Data Entry'!$f$267), "", 'Data Entry'!$f$267)</f>
      </c>
      <c r="AM267">
        <f>IF(ISBLANK('Data Entry'!$g$267), "", 'Data Entry'!$g$267)</f>
      </c>
      <c r="AN267">
        <f>IF(ISBLANK('Data Entry'!$h$267), "", 'Data Entry'!$h$267)</f>
      </c>
      <c r="AO267">
        <f>IF(ISBLANK('Data Entry'!$i$267), "", 'Data Entry'!$i$267)</f>
      </c>
      <c r="AP267">
        <f>IF(ISBLANK('Data Entry'!$j$267), "", 'Data Entry'!$j$267)</f>
      </c>
      <c r="AQ267">
        <f>IF(ISBLANK('Data Entry'!$k$267), "", 'Data Entry'!$k$267)</f>
      </c>
      <c r="AR267">
        <f>IF(ISBLANK('Data Entry'!$l$267), "", 'Data Entry'!$l$267)</f>
      </c>
      <c r="AS267">
        <f>IF(ISBLANK('Data Entry'!$m$267), "", 'Data Entry'!$m$267)</f>
      </c>
      <c r="AT267">
        <f>IF(ISBLANK('Data Entry'!$n$267), "", 'Data Entry'!$n$267)</f>
      </c>
      <c r="AU267">
        <f>IF(ISBLANK('Data Entry'!$o$267), "", 'Data Entry'!$o$267)</f>
      </c>
      <c r="AV267">
        <f>IF(ISBLANK('Data Entry'!$p$267), "", 'Data Entry'!$p$267)</f>
      </c>
      <c r="AW267">
        <f>IF(ISBLANK('Data Entry'!$q$267), "", 'Data Entry'!$q$267)</f>
      </c>
      <c r="AX267">
        <f>IF(ISBLANK('Data Entry'!$r$267), "", 'Data Entry'!$r$267)</f>
      </c>
      <c r="AY267">
        <f>IF(ISBLANK('Data Entry'!$s$267), "", 'Data Entry'!$s$267)</f>
      </c>
      <c r="AZ267">
        <f>IF(ISBLANK('Data Entry'!$t$267), "", 'Data Entry'!$t$267)</f>
      </c>
      <c r="BA267">
        <f>IF(ISBLANK('Data Entry'!$u$267), "", 'Data Entry'!$u$267)</f>
      </c>
      <c r="BB267">
        <f>IF(ISBLANK('Data Entry'!$v$267), "", 'Data Entry'!$v$267)</f>
      </c>
      <c r="BC267">
        <f>IF(ISBLANK('Data Entry'!$w$267), "", 'Data Entry'!$w$267)</f>
      </c>
      <c r="BD267">
        <f>IF(ISBLANK('Data Entry'!$x$267), "", 'Data Entry'!$x$267)</f>
      </c>
      <c r="BE267">
        <f>IF(ISBLANK('Data Entry'!$y$267), "", 'Data Entry'!$y$267)</f>
      </c>
      <c r="BF267">
        <f>IF(ISBLANK('Data Entry'!$z$267), "", 'Data Entry'!$z$267)</f>
      </c>
      <c r="BG267">
        <f>IF(ISBLANK('Data Entry'!${$267), "", 'Data Entry'!${$267)</f>
      </c>
      <c r="BH267">
        <f>IF(ISBLANK('Data Entry'!$|$267), "", 'Data Entry'!$|$267)</f>
      </c>
      <c r="BI267">
        <f>IF(ISBLANK('Data Entry'!$}$267), "", 'Data Entry'!$}$267)</f>
      </c>
      <c r="BJ267">
        <f>IF(ISBLANK('Data Entry'!$~$267), "", 'Data Entry'!$~$267)</f>
      </c>
      <c r="BK267">
        <f>IF(ISBLANK('Data Entry'!$$267), "", 'Data Entry'!$$267)</f>
      </c>
      <c r="BL267">
        <f>IF(ISBLANK('Data Entry'!$$267), "", 'Data Entry'!$$267)</f>
      </c>
      <c r="BM267">
        <f>IF(ISBLANK('Data Entry'!$$267), "", 'Data Entry'!$$267)</f>
      </c>
      <c r="BN267">
        <f>IF(ISBLANK('Data Entry'!$$267), "", 'Data Entry'!$$267)</f>
      </c>
      <c r="BO267">
        <f>IF(ISBLANK('Data Entry'!$$267), "", 'Data Entry'!$$267)</f>
      </c>
      <c r="BP267">
        <f>IF(ISBLANK('Data Entry'!$$267), "", 'Data Entry'!$$267)</f>
      </c>
      <c r="BQ267">
        <f>IF(ISBLANK('Data Entry'!$$267), "", 'Data Entry'!$$267)</f>
      </c>
      <c r="BR267">
        <f>IF(ISBLANK('Data Entry'!$$267), "", 'Data Entry'!$$267)</f>
      </c>
      <c r="BS267">
        <f>IF(ISBLANK('Data Entry'!$$267), "", 'Data Entry'!$$267)</f>
      </c>
      <c r="BT267">
        <f>IF(ISBLANK('Data Entry'!$$267), "", 'Data Entry'!$$267)</f>
      </c>
      <c r="BU267">
        <f>IF(ISBLANK('Data Entry'!$$267), "", 'Data Entry'!$$267)</f>
      </c>
      <c r="BV267">
        <f>IF(ISBLANK('Data Entry'!$$267), "", 'Data Entry'!$$267)</f>
      </c>
      <c r="BW267">
        <f>IF(ISBLANK('Data Entry'!$$267), "", 'Data Entry'!$$267)</f>
      </c>
      <c r="BX267">
        <f>IF(ISBLANK('Data Entry'!$$267), "", 'Data Entry'!$$267)</f>
      </c>
      <c r="BY267">
        <f>IF(ISBLANK('Data Entry'!$$267), "", 'Data Entry'!$$267)</f>
      </c>
      <c r="BZ267">
        <f>IF(ISBLANK('Data Entry'!$$267), "", 'Data Entry'!$$267)</f>
      </c>
      <c r="CA267">
        <f>IF(ISBLANK('Data Entry'!$$267), "", 'Data Entry'!$$267)</f>
      </c>
      <c r="CB267">
        <f>IF(ISBLANK('Data Entry'!$$267), "", 'Data Entry'!$$267)</f>
      </c>
      <c r="CC267">
        <f>IF(ISBLANK('Data Entry'!$$267), "", 'Data Entry'!$$267)</f>
      </c>
      <c r="CD267">
        <f>IF(ISBLANK('Data Entry'!$$267), "", 'Data Entry'!$$267)</f>
      </c>
      <c r="CE267">
        <f>IF(ISBLANK('Data Entry'!$$267), "", 'Data Entry'!$$267)</f>
      </c>
      <c r="CF267">
        <f>IF(ISBLANK('Data Entry'!$$267), "", 'Data Entry'!$$267)</f>
      </c>
      <c r="CG267">
        <f>IF(ISBLANK('Data Entry'!$$267), "", 'Data Entry'!$$267)</f>
      </c>
      <c r="CH267">
        <f>IF(ISBLANK('Data Entry'!$$267), "", 'Data Entry'!$$267)</f>
      </c>
      <c r="CI267">
        <f>IF(ISBLANK('Data Entry'!$$267), "", 'Data Entry'!$$267)</f>
      </c>
      <c r="CJ267">
        <f>IF(ISBLANK('Data Entry'!$$267), "", 'Data Entry'!$$267)</f>
      </c>
      <c r="CK267">
        <f>IF(ISBLANK('Data Entry'!$$267), "", 'Data Entry'!$$267)</f>
      </c>
      <c r="CL267">
        <f>IF(ISBLANK('Data Entry'!$$267), "", 'Data Entry'!$$267)</f>
      </c>
      <c r="CM267">
        <f>IF(ISBLANK('Data Entry'!$$267), "", 'Data Entry'!$$267)</f>
      </c>
      <c r="CN267">
        <f>IF(ISBLANK('Data Entry'!$$267), "", 'Data Entry'!$$267)</f>
      </c>
      <c r="CO267">
        <f>IF(ISBLANK('Data Entry'!$$267), "", 'Data Entry'!$$267)</f>
      </c>
      <c r="CP267">
        <f>IF(ISBLANK('Data Entry'!$$267), "", 'Data Entry'!$$267)</f>
      </c>
      <c r="CQ267">
        <f>IF(ISBLANK('Data Entry'!$$267), "", 'Data Entry'!$$267)</f>
      </c>
      <c r="CR267">
        <f>IF(ISBLANK('Data Entry'!$ $267), "", 'Data Entry'!$ $267)</f>
      </c>
      <c r="CS267">
        <f>IF(ISBLANK('Data Entry'!$¡$267), "", 'Data Entry'!$¡$267)</f>
      </c>
      <c r="CT267">
        <f>IF(ISBLANK('Data Entry'!$¢$267), "", 'Data Entry'!$¢$267)</f>
      </c>
      <c r="CU267">
        <f>IF(ISBLANK('Data Entry'!$£$267), "", 'Data Entry'!$£$267)</f>
      </c>
      <c r="CV267">
        <f>IF(ISBLANK('Data Entry'!$¤$267), "", 'Data Entry'!$¤$267)</f>
      </c>
      <c r="CW267">
        <f>IF(ISBLANK('Data Entry'!$¥$267), "", 'Data Entry'!$¥$267)</f>
      </c>
      <c r="CX267">
        <f>IF(ISBLANK('Data Entry'!$¦$267), "", 'Data Entry'!$¦$267)</f>
      </c>
      <c r="CY267">
        <f>IF(ISBLANK('Data Entry'!$§$267), "", 'Data Entry'!$§$267)</f>
      </c>
      <c r="CZ267">
        <f>IF(ISBLANK('Data Entry'!$¨$267), "", 'Data Entry'!$¨$267)</f>
      </c>
      <c r="DA267">
        <f>IF(ISBLANK('Data Entry'!$©$267), "", 'Data Entry'!$©$267)</f>
      </c>
      <c r="DB267">
        <f>IF(ISBLANK('Data Entry'!$ª$267), "", 'Data Entry'!$ª$267)</f>
      </c>
      <c r="DC267">
        <f>IF(ISBLANK('Data Entry'!$«$267), "", 'Data Entry'!$«$267)</f>
      </c>
      <c r="DD267">
        <f>IF(ISBLANK('Data Entry'!$¬$267), "", 'Data Entry'!$¬$267)</f>
      </c>
      <c r="DE267">
        <f>IF(ISBLANK('Data Entry'!$­$267), "", 'Data Entry'!$­$267)</f>
      </c>
      <c r="DF267">
        <f>IF(ISBLANK('Data Entry'!$®$267), "", 'Data Entry'!$®$267)</f>
      </c>
      <c r="DG267">
        <f>IF(ISBLANK('Data Entry'!$¯$267), "", 'Data Entry'!$¯$267)</f>
      </c>
      <c r="DH267">
        <f>IF(ISBLANK('Data Entry'!$°$267), "", 'Data Entry'!$°$267)</f>
      </c>
      <c r="DI267">
        <f>IF(ISBLANK('Data Entry'!$±$267), "", 'Data Entry'!$±$267)</f>
      </c>
      <c r="DJ267">
        <f>IF(ISBLANK('Data Entry'!$²$267), "", 'Data Entry'!$²$267)</f>
      </c>
      <c r="DK267">
        <f>IF(ISBLANK('Data Entry'!$³$267), "", 'Data Entry'!$³$267)</f>
      </c>
      <c r="DL267">
        <f>IF(ISBLANK('Data Entry'!$´$267), "", 'Data Entry'!$´$267)</f>
      </c>
      <c r="DM267">
        <f>IF(ISBLANK('Data Entry'!$µ$267), "", 'Data Entry'!$µ$267)</f>
      </c>
      <c r="DN267">
        <f>IF(ISBLANK('Data Entry'!$¶$267), "", 'Data Entry'!$¶$267)</f>
      </c>
      <c r="DO267">
        <f>IF(ISBLANK('Data Entry'!$·$267), "", 'Data Entry'!$·$267)</f>
      </c>
      <c r="DP267">
        <f>IF(ISBLANK('Data Entry'!$¸$267), "", 'Data Entry'!$¸$267)</f>
      </c>
      <c r="DQ267">
        <f>IF(ISBLANK('Data Entry'!$¹$267), "", 'Data Entry'!$¹$267)</f>
      </c>
      <c r="DR267">
        <f>IF(ISBLANK('Data Entry'!$º$267), "", 'Data Entry'!$º$267)</f>
      </c>
      <c r="DS267">
        <f>IF(ISBLANK('Data Entry'!$»$267), "", 'Data Entry'!$»$267)</f>
      </c>
      <c r="DT267">
        <f>IF(ISBLANK('Data Entry'!$¼$267), "", 'Data Entry'!$¼$267)</f>
      </c>
      <c r="DU267">
        <f>IF(ISBLANK('Data Entry'!$½$267), "", 'Data Entry'!$½$267)</f>
      </c>
      <c r="DV267">
        <f>IF(ISBLANK('Data Entry'!$¾$267), "", 'Data Entry'!$¾$267)</f>
      </c>
      <c r="DW267">
        <f>IF(ISBLANK('Data Entry'!$¿$267), "", 'Data Entry'!$¿$267)</f>
      </c>
      <c r="DX267">
        <f>IF(ISBLANK('Data Entry'!$À$267), "", 'Data Entry'!$À$267)</f>
      </c>
      <c r="DY267">
        <f>IF(ISBLANK('Data Entry'!$Á$267), "", 'Data Entry'!$Á$267)</f>
      </c>
      <c r="DZ267">
        <f>IF(ISBLANK('Data Entry'!$Â$267), "", 'Data Entry'!$Â$267)</f>
      </c>
      <c r="EA267">
        <f>IF(ISBLANK('Data Entry'!$Ã$267), "", 'Data Entry'!$Ã$267)</f>
      </c>
      <c r="EB267">
        <f>IF(ISBLANK('Data Entry'!$Ä$267), "", 'Data Entry'!$Ä$267)</f>
      </c>
      <c r="EC267">
        <f>IF(ISBLANK('Data Entry'!$Å$267), "", 'Data Entry'!$Å$267)</f>
      </c>
      <c r="ED267">
        <f>IF(ISBLANK('Data Entry'!$Æ$267), "", 'Data Entry'!$Æ$267)</f>
      </c>
      <c r="EE267">
        <f>IF(ISBLANK('Data Entry'!$Ç$267), "", 'Data Entry'!$Ç$267)</f>
      </c>
      <c r="EF267">
        <f>IF(ISBLANK('Data Entry'!$È$267), "", 'Data Entry'!$È$267)</f>
      </c>
      <c r="EG267">
        <f>IF(ISBLANK('Data Entry'!$É$267), "", 'Data Entry'!$É$267)</f>
      </c>
      <c r="EH267">
        <f>IF(ISBLANK('Data Entry'!$Ê$267), "", 'Data Entry'!$Ê$267)</f>
      </c>
      <c r="EI267">
        <f>IF(ISBLANK('Data Entry'!$Ë$267), "", 'Data Entry'!$Ë$267)</f>
      </c>
      <c r="EJ267">
        <f>IF(ISBLANK('Data Entry'!$Ì$267), "", 'Data Entry'!$Ì$267)</f>
      </c>
      <c r="EK267">
        <f>IF(ISBLANK('Data Entry'!$Í$267), "", 'Data Entry'!$Í$267)</f>
      </c>
      <c r="EL267">
        <f>IF(ISBLANK('Data Entry'!$Î$267), "", 'Data Entry'!$Î$267)</f>
      </c>
      <c r="EM267">
        <f>IF(ISBLANK('Data Entry'!$Ï$267), "", 'Data Entry'!$Ï$267)</f>
      </c>
      <c r="EN267">
        <f>IF(ISBLANK('Data Entry'!$Ð$267), "", 'Data Entry'!$Ð$267)</f>
      </c>
      <c r="EO267">
        <f>IF(ISBLANK('Data Entry'!$Ñ$267), "", 'Data Entry'!$Ñ$267)</f>
      </c>
      <c r="EP267">
        <f>IF(ISBLANK('Data Entry'!$Ò$267), "", 'Data Entry'!$Ò$267)</f>
      </c>
      <c r="EQ267">
        <f>IF(ISBLANK('Data Entry'!$Ó$267), "", 'Data Entry'!$Ó$267)</f>
      </c>
      <c r="ER267">
        <f>IF(ISBLANK('Data Entry'!$Ô$267), "", 'Data Entry'!$Ô$267)</f>
      </c>
      <c r="ES267">
        <f>IF(ISBLANK('Data Entry'!$Õ$267), "", 'Data Entry'!$Õ$267)</f>
      </c>
      <c r="ET267">
        <f>IF(ISBLANK('Data Entry'!$Ö$267), "", 'Data Entry'!$Ö$267)</f>
      </c>
      <c r="EU267">
        <f>IF(ISBLANK('Data Entry'!$×$267), "", 'Data Entry'!$×$267)</f>
      </c>
      <c r="EV267">
        <f>IF(ISBLANK('Data Entry'!$Ø$267), "", 'Data Entry'!$Ø$267)</f>
      </c>
      <c r="EW267">
        <f>IF(ISBLANK('Data Entry'!$Ù$267), "", 'Data Entry'!$Ù$267)</f>
      </c>
      <c r="EX267">
        <f>IF(ISBLANK('Data Entry'!$Ú$267), "", 'Data Entry'!$Ú$267)</f>
      </c>
      <c r="EY267">
        <f>IF(ISBLANK('Data Entry'!$Û$267), "", 'Data Entry'!$Û$267)</f>
      </c>
      <c r="EZ267">
        <f>IF(ISBLANK('Data Entry'!$Ü$267), "", 'Data Entry'!$Ü$267)</f>
      </c>
      <c r="FA267">
        <f>IF(ISBLANK('Data Entry'!$Ý$267), "", 'Data Entry'!$Ý$267)</f>
      </c>
      <c r="FB267">
        <f>IF(ISBLANK('Data Entry'!$Þ$267), "", 'Data Entry'!$Þ$267)</f>
      </c>
      <c r="FC267">
        <f>IF(ISBLANK('Data Entry'!$ß$267), "", 'Data Entry'!$ß$267)</f>
      </c>
      <c r="FD267">
        <f>IF(ISBLANK('Data Entry'!$à$267), "", 'Data Entry'!$à$267)</f>
      </c>
      <c r="FE267">
        <f>IF(ISBLANK('Data Entry'!$á$267), "", 'Data Entry'!$á$267)</f>
      </c>
      <c r="FF267">
        <f>IF(ISBLANK('Data Entry'!$â$267), "", 'Data Entry'!$â$267)</f>
      </c>
      <c r="FG267">
        <f>IF(ISBLANK('Data Entry'!$ã$267), "", 'Data Entry'!$ã$267)</f>
      </c>
      <c r="FH267">
        <f>IF(ISBLANK('Data Entry'!$ä$267), "", 'Data Entry'!$ä$267)</f>
      </c>
      <c r="FI267">
        <f>IF(ISBLANK('Data Entry'!$å$267), "", 'Data Entry'!$å$267)</f>
      </c>
      <c r="FJ267">
        <f>IF(ISBLANK('Data Entry'!$æ$267), "", 'Data Entry'!$æ$267)</f>
      </c>
      <c r="FK267">
        <f>IF(ISBLANK('Data Entry'!$ç$267), "", 'Data Entry'!$ç$267)</f>
      </c>
      <c r="FL267">
        <f>IF(ISBLANK('Data Entry'!$è$267), "", 'Data Entry'!$è$267)</f>
      </c>
      <c r="FM267">
        <f>IF(ISBLANK('Data Entry'!$é$267), "", 'Data Entry'!$é$267)</f>
      </c>
      <c r="FN267">
        <f>IF(ISBLANK('Data Entry'!$ê$267), "", 'Data Entry'!$ê$267)</f>
      </c>
      <c r="FO267">
        <f>IF(ISBLANK('Data Entry'!$ë$267), "", 'Data Entry'!$ë$267)</f>
      </c>
      <c r="FP267">
        <f>IF(ISBLANK('Data Entry'!$ì$267), "", 'Data Entry'!$ì$267)</f>
      </c>
      <c r="FQ267">
        <f>IF(ISBLANK('Data Entry'!$í$267), "", 'Data Entry'!$í$267)</f>
      </c>
      <c r="FR267">
        <f>IF(ISBLANK('Data Entry'!$î$267), "", 'Data Entry'!$î$267)</f>
      </c>
      <c r="FS267">
        <f>IF(ISBLANK('Data Entry'!$ï$267), "", 'Data Entry'!$ï$267)</f>
      </c>
      <c r="FT267">
        <f>IF(ISBLANK('Data Entry'!$ð$267), "", 'Data Entry'!$ð$267)</f>
      </c>
      <c r="FU267">
        <f>IF(ISBLANK('Data Entry'!$ñ$267), "", 'Data Entry'!$ñ$267)</f>
      </c>
      <c r="FV267">
        <f>IF(ISBLANK('Data Entry'!$ò$267), "", 'Data Entry'!$ò$267)</f>
      </c>
      <c r="FW267">
        <f>IF(ISBLANK('Data Entry'!$ó$267), "", 'Data Entry'!$ó$267)</f>
      </c>
      <c r="FX267">
        <f>IF(ISBLANK('Data Entry'!$ô$267), "", 'Data Entry'!$ô$267)</f>
      </c>
      <c r="FY267">
        <f>IF(ISBLANK('Data Entry'!$õ$267), "", 'Data Entry'!$õ$267)</f>
      </c>
      <c r="FZ267">
        <f>IF(ISBLANK('Data Entry'!$ö$267), "", 'Data Entry'!$ö$267)</f>
      </c>
      <c r="GA267">
        <f>IF(ISBLANK('Data Entry'!$÷$267), "", 'Data Entry'!$÷$267)</f>
      </c>
      <c r="GB267">
        <f>IF(ISBLANK('Data Entry'!$ø$267), "", 'Data Entry'!$ø$267)</f>
      </c>
      <c r="GC267">
        <f>IF(ISBLANK('Data Entry'!$ù$267), "", 'Data Entry'!$ù$267)</f>
      </c>
      <c r="GD267">
        <f>IF(ISBLANK('Data Entry'!$ú$267), "", 'Data Entry'!$ú$267)</f>
      </c>
      <c r="GE267">
        <f>IF(ISBLANK('Data Entry'!$û$267), "", 'Data Entry'!$û$267)</f>
      </c>
      <c r="GF267">
        <f>IF(ISBLANK('Data Entry'!$ü$267), "", 'Data Entry'!$ü$267)</f>
      </c>
      <c r="GG267">
        <f>IF(ISBLANK('Data Entry'!$ý$267), "", 'Data Entry'!$ý$267)</f>
      </c>
      <c r="GH267">
        <f>IF(ISBLANK('Data Entry'!$þ$267), "", 'Data Entry'!$þ$267)</f>
      </c>
      <c r="GI267">
        <f>IF(ISBLANK('Data Entry'!$ÿ$267), "", 'Data Entry'!$ÿ$267)</f>
      </c>
      <c r="GJ267">
        <f>IF(ISBLANK('Data Entry'!$Ā$267), "", 'Data Entry'!$Ā$267)</f>
      </c>
      <c r="GK267">
        <f>IF(ISBLANK('Data Entry'!$ā$267), "", 'Data Entry'!$ā$267)</f>
      </c>
      <c r="GL267">
        <f>IF(ISBLANK('Data Entry'!$Ă$267), "", 'Data Entry'!$Ă$267)</f>
      </c>
      <c r="GM267">
        <f>IF(ISBLANK('Data Entry'!$ă$267), "", 'Data Entry'!$ă$267)</f>
      </c>
      <c r="GN267">
        <f>IF(ISBLANK('Data Entry'!$Ą$267), "", 'Data Entry'!$Ą$267)</f>
      </c>
      <c r="GO267">
        <f>IF(ISBLANK('Data Entry'!$ą$267), "", 'Data Entry'!$ą$267)</f>
      </c>
      <c r="GP267">
        <f>IF(ISBLANK('Data Entry'!$Ć$267), "", 'Data Entry'!$Ć$267)</f>
      </c>
      <c r="GQ267">
        <f>IF(ISBLANK('Data Entry'!$ć$267), "", 'Data Entry'!$ć$267)</f>
      </c>
      <c r="GR267">
        <f>IF(ISBLANK('Data Entry'!$Ĉ$267), "", 'Data Entry'!$Ĉ$267)</f>
      </c>
      <c r="GS267">
        <f>IF(ISBLANK('Data Entry'!$ĉ$267), "", 'Data Entry'!$ĉ$267)</f>
      </c>
      <c r="GT267">
        <f>IF(ISBLANK('Data Entry'!$Ċ$267), "", 'Data Entry'!$Ċ$267)</f>
      </c>
      <c r="GU267">
        <f>IF(ISBLANK('Data Entry'!$ċ$267), "", 'Data Entry'!$ċ$267)</f>
      </c>
      <c r="GV267">
        <f>IF(ISBLANK('Data Entry'!$Č$267), "", 'Data Entry'!$Č$267)</f>
      </c>
      <c r="GW267">
        <f>IF(ISBLANK('Data Entry'!$č$267), "", 'Data Entry'!$č$267)</f>
      </c>
      <c r="GX267">
        <f>IF(ISBLANK('Data Entry'!$Ď$267), "", 'Data Entry'!$Ď$267)</f>
      </c>
      <c r="GY267">
        <f>IF(ISBLANK('Data Entry'!$ď$267), "", 'Data Entry'!$ď$267)</f>
      </c>
      <c r="GZ267">
        <f>IF(ISBLANK('Data Entry'!$Đ$267), "", 'Data Entry'!$Đ$267)</f>
      </c>
      <c r="HA267">
        <f>IF(ISBLANK('Data Entry'!$đ$267), "", 'Data Entry'!$đ$267)</f>
      </c>
      <c r="HB267">
        <f>IF(ISBLANK('Data Entry'!$Ē$267), "", 'Data Entry'!$Ē$267)</f>
      </c>
      <c r="HC267">
        <f>IF(ISBLANK('Data Entry'!$ē$267), "", 'Data Entry'!$ē$267)</f>
      </c>
      <c r="HD267">
        <f>IF(ISBLANK('Data Entry'!$Ĕ$267), "", 'Data Entry'!$Ĕ$267)</f>
      </c>
      <c r="HE267">
        <f>IF(ISBLANK('Data Entry'!$ĕ$267), "", 'Data Entry'!$ĕ$267)</f>
      </c>
      <c r="HF267">
        <f>IF(ISBLANK('Data Entry'!$Ė$267), "", 'Data Entry'!$Ė$267)</f>
      </c>
      <c r="HG267">
        <f>IF(ISBLANK('Data Entry'!$ė$267), "", 'Data Entry'!$ė$267)</f>
      </c>
      <c r="HH267">
        <f>IF(ISBLANK('Data Entry'!$Ę$267), "", 'Data Entry'!$Ę$267)</f>
      </c>
      <c r="HI267">
        <f>IF(ISBLANK('Data Entry'!$ę$267), "", 'Data Entry'!$ę$267)</f>
      </c>
      <c r="HJ267">
        <f>IF(ISBLANK('Data Entry'!$Ě$267), "", 'Data Entry'!$Ě$267)</f>
      </c>
      <c r="HK267">
        <f>IF(ISBLANK('Data Entry'!$ě$267), "", 'Data Entry'!$ě$267)</f>
      </c>
      <c r="HL267">
        <f>IF(ISBLANK('Data Entry'!$Ĝ$267), "", 'Data Entry'!$Ĝ$267)</f>
      </c>
      <c r="HM267">
        <f>IF(ISBLANK('Data Entry'!$ĝ$267), "", 'Data Entry'!$ĝ$267)</f>
      </c>
      <c r="HN267">
        <f>IF(ISBLANK('Data Entry'!$Ğ$267), "", 'Data Entry'!$Ğ$267)</f>
      </c>
      <c r="HO267">
        <f>IF(ISBLANK('Data Entry'!$ğ$267), "", 'Data Entry'!$ğ$267)</f>
      </c>
      <c r="HP267">
        <f>IF(ISBLANK('Data Entry'!$Ġ$267), "", 'Data Entry'!$Ġ$267)</f>
      </c>
      <c r="HQ267">
        <f>IF(ISBLANK('Data Entry'!$ġ$267), "", 'Data Entry'!$ġ$267)</f>
      </c>
      <c r="HR267">
        <f>IF(ISBLANK('Data Entry'!$Ģ$267), "", 'Data Entry'!$Ģ$267)</f>
      </c>
      <c r="HS267">
        <f>IF(ISBLANK('Data Entry'!$ģ$267), "", 'Data Entry'!$ģ$267)</f>
      </c>
      <c r="HT267">
        <f>IF(ISBLANK('Data Entry'!$Ĥ$267), "", 'Data Entry'!$Ĥ$267)</f>
      </c>
      <c r="HU267">
        <f>IF(ISBLANK('Data Entry'!$ĥ$267), "", 'Data Entry'!$ĥ$267)</f>
      </c>
      <c r="HV267">
        <f>IF(ISBLANK('Data Entry'!$Ħ$267), "", 'Data Entry'!$Ħ$267)</f>
      </c>
      <c r="HW267">
        <f>IF(ISBLANK('Data Entry'!$ħ$267), "", 'Data Entry'!$ħ$267)</f>
      </c>
      <c r="HX267">
        <f>IF(ISBLANK('Data Entry'!$Ĩ$267), "", 'Data Entry'!$Ĩ$267)</f>
      </c>
      <c r="HY267">
        <f>IF(ISBLANK('Data Entry'!$ĩ$267), "", 'Data Entry'!$ĩ$267)</f>
      </c>
      <c r="HZ267">
        <f>IF(ISBLANK('Data Entry'!$Ī$267), "", 'Data Entry'!$Ī$267)</f>
      </c>
      <c r="IA267">
        <f>IF(ISBLANK('Data Entry'!$ī$267), "", 'Data Entry'!$ī$267)</f>
      </c>
      <c r="IB267">
        <f>IF(ISBLANK('Data Entry'!$Ĭ$267), "", 'Data Entry'!$Ĭ$267)</f>
      </c>
      <c r="IC267">
        <f>IF(ISBLANK('Data Entry'!$ĭ$267), "", 'Data Entry'!$ĭ$267)</f>
      </c>
      <c r="ID267">
        <f>IF(ISBLANK('Data Entry'!$Į$267), "", 'Data Entry'!$Į$267)</f>
      </c>
      <c r="IE267">
        <f>IF(ISBLANK('Data Entry'!$į$267), "", 'Data Entry'!$į$267)</f>
      </c>
      <c r="IF267">
        <f>IF(ISBLANK('Data Entry'!$İ$267), "", 'Data Entry'!$İ$267)</f>
      </c>
      <c r="IG267">
        <f>IF(ISBLANK('Data Entry'!$ı$267), "", 'Data Entry'!$ı$267)</f>
      </c>
      <c r="IH267">
        <f>IF(ISBLANK('Data Entry'!$Ĳ$267), "", 'Data Entry'!$Ĳ$267)</f>
      </c>
      <c r="II267">
        <f>IF(ISBLANK('Data Entry'!$ĳ$267), "", 'Data Entry'!$ĳ$267)</f>
      </c>
      <c r="IJ267">
        <f>IF(ISBLANK('Data Entry'!$Ĵ$267), "", 'Data Entry'!$Ĵ$267)</f>
      </c>
      <c r="IK267">
        <f>IF(ISBLANK('Data Entry'!$ĵ$267), "", 'Data Entry'!$ĵ$267)</f>
      </c>
      <c r="IL267">
        <f>IF(ISBLANK('Data Entry'!$Ķ$267), "", 'Data Entry'!$Ķ$267)</f>
      </c>
      <c r="IM267">
        <f>IF(ISBLANK('Data Entry'!$ķ$267), "", 'Data Entry'!$ķ$267)</f>
      </c>
      <c r="IN267">
        <f>IF(ISBLANK('Data Entry'!$ĸ$267), "", 'Data Entry'!$ĸ$267)</f>
      </c>
      <c r="IO267">
        <f>IF(ISBLANK('Data Entry'!$Ĺ$267), "", 'Data Entry'!$Ĺ$267)</f>
      </c>
      <c r="IP267">
        <f>IF(ISBLANK('Data Entry'!$ĺ$267), "", 'Data Entry'!$ĺ$267)</f>
      </c>
      <c r="IQ267">
        <f>IF(ISBLANK('Data Entry'!$Ļ$267), "", 'Data Entry'!$Ļ$267)</f>
      </c>
      <c r="IR267">
        <f>IF(ISBLANK('Data Entry'!$ļ$267), "", 'Data Entry'!$ļ$267)</f>
      </c>
      <c r="IS267">
        <f>IF(ISBLANK('Data Entry'!$Ľ$267), "", 'Data Entry'!$Ľ$267)</f>
      </c>
      <c r="IT267">
        <f>IF(ISBLANK('Data Entry'!$ľ$267), "", 'Data Entry'!$ľ$267)</f>
      </c>
    </row>
    <row r="268" spans="1:254" x14ac:dyDescent="0.25">
      <c r="A268">
        <f>IF(ISBLANK('Data Entry'!$A$268), "", 'Data Entry'!$A$268)</f>
      </c>
      <c r="B268">
        <f>IF(ISBLANK('Data Entry'!$B$268), "", 'Data Entry'!$B$268)</f>
      </c>
      <c r="C268">
        <f>IF(ISBLANK('Data Entry'!$C$268), "", 'Data Entry'!$C$268)</f>
      </c>
      <c r="D268">
        <f>IF(ISBLANK('Data Entry'!$D$268), "", 'Data Entry'!$D$268)</f>
      </c>
      <c r="E268">
        <f>IF(ISBLANK('Data Entry'!$E$268), "", 'Data Entry'!$E$268)</f>
      </c>
      <c r="F268">
        <f>IF(ISBLANK('Data Entry'!$F$268), "", 'Data Entry'!$F$268)</f>
      </c>
      <c r="G268">
        <f>IF(ISBLANK('Data Entry'!$G$268), "", 'Data Entry'!$G$268)</f>
      </c>
      <c r="H268">
        <f>IF(ISBLANK('Data Entry'!$H$268), "", 'Data Entry'!$H$268)</f>
      </c>
      <c r="I268">
        <f>IF(ISBLANK('Data Entry'!$I$268), "", 'Data Entry'!$I$268)</f>
      </c>
      <c r="J268">
        <f>IF(ISBLANK('Data Entry'!$J$268), "", 'Data Entry'!$J$268)</f>
      </c>
      <c r="K268">
        <f>IF(ISBLANK('Data Entry'!$K$268), "", 'Data Entry'!$K$268)</f>
      </c>
      <c r="L268">
        <f>IF(ISBLANK('Data Entry'!$L$268), "", 'Data Entry'!$L$268)</f>
      </c>
      <c r="M268">
        <f>IF(ISBLANK('Data Entry'!$M$268), "", 'Data Entry'!$M$268)</f>
      </c>
      <c r="N268">
        <f>IF(ISBLANK('Data Entry'!$N$268), "", 'Data Entry'!$N$268)</f>
      </c>
      <c r="O268">
        <f>IF(ISBLANK('Data Entry'!$O$268), "", 'Data Entry'!$O$268)</f>
      </c>
      <c r="P268">
        <f>IF(ISBLANK('Data Entry'!$P$268), "", 'Data Entry'!$P$268)</f>
      </c>
      <c r="Q268">
        <f>IF(ISBLANK('Data Entry'!$Q$268), "", 'Data Entry'!$Q$268)</f>
      </c>
      <c r="R268">
        <f>IF(ISBLANK('Data Entry'!$R$268), "", 'Data Entry'!$R$268)</f>
      </c>
      <c r="S268">
        <f>IF(ISBLANK('Data Entry'!$S$268), "", 'Data Entry'!$S$268)</f>
      </c>
      <c r="T268">
        <f>IF(ISBLANK('Data Entry'!$T$268), "", 'Data Entry'!$T$268)</f>
      </c>
      <c r="U268">
        <f>IF(ISBLANK('Data Entry'!$U$268), "", 'Data Entry'!$U$268)</f>
      </c>
      <c r="V268">
        <f>IF(ISBLANK('Data Entry'!$V$268), "", 'Data Entry'!$V$268)</f>
      </c>
      <c r="W268">
        <f>IF(ISBLANK('Data Entry'!$W$268), "", 'Data Entry'!$W$268)</f>
      </c>
      <c r="X268">
        <f>IF(ISBLANK('Data Entry'!$X$268), "", 'Data Entry'!$X$268)</f>
      </c>
      <c r="Y268">
        <f>IF(ISBLANK('Data Entry'!$Y$268), "", 'Data Entry'!$Y$268)</f>
      </c>
      <c r="Z268">
        <f>IF(ISBLANK('Data Entry'!$Z$268), "", 'Data Entry'!$Z$268)</f>
      </c>
      <c r="AA268">
        <f>IF(ISBLANK('Data Entry'!$[$268), "", 'Data Entry'!$[$268)</f>
      </c>
      <c r="AB268">
        <f>IF(ISBLANK('Data Entry'!$\$268), "", 'Data Entry'!$\$268)</f>
      </c>
      <c r="AC268">
        <f>IF(ISBLANK('Data Entry'!$]$268), "", 'Data Entry'!$]$268)</f>
      </c>
      <c r="AD268">
        <f>IF(ISBLANK('Data Entry'!$^$268), "", 'Data Entry'!$^$268)</f>
      </c>
      <c r="AE268">
        <f>IF(ISBLANK('Data Entry'!$_$268), "", 'Data Entry'!$_$268)</f>
      </c>
      <c r="AF268">
        <f>IF(ISBLANK('Data Entry'!$`$268), "", 'Data Entry'!$`$268)</f>
      </c>
      <c r="AG268">
        <f>IF(ISBLANK('Data Entry'!$a$268), "", 'Data Entry'!$a$268)</f>
      </c>
      <c r="AH268">
        <f>IF(ISBLANK('Data Entry'!$b$268), "", 'Data Entry'!$b$268)</f>
      </c>
      <c r="AI268">
        <f>IF(ISBLANK('Data Entry'!$c$268), "", 'Data Entry'!$c$268)</f>
      </c>
      <c r="AJ268">
        <f>IF(ISBLANK('Data Entry'!$d$268), "", 'Data Entry'!$d$268)</f>
      </c>
      <c r="AK268">
        <f>IF(ISBLANK('Data Entry'!$e$268), "", 'Data Entry'!$e$268)</f>
      </c>
      <c r="AL268">
        <f>IF(ISBLANK('Data Entry'!$f$268), "", 'Data Entry'!$f$268)</f>
      </c>
      <c r="AM268">
        <f>IF(ISBLANK('Data Entry'!$g$268), "", 'Data Entry'!$g$268)</f>
      </c>
      <c r="AN268">
        <f>IF(ISBLANK('Data Entry'!$h$268), "", 'Data Entry'!$h$268)</f>
      </c>
      <c r="AO268">
        <f>IF(ISBLANK('Data Entry'!$i$268), "", 'Data Entry'!$i$268)</f>
      </c>
      <c r="AP268">
        <f>IF(ISBLANK('Data Entry'!$j$268), "", 'Data Entry'!$j$268)</f>
      </c>
      <c r="AQ268">
        <f>IF(ISBLANK('Data Entry'!$k$268), "", 'Data Entry'!$k$268)</f>
      </c>
      <c r="AR268">
        <f>IF(ISBLANK('Data Entry'!$l$268), "", 'Data Entry'!$l$268)</f>
      </c>
      <c r="AS268">
        <f>IF(ISBLANK('Data Entry'!$m$268), "", 'Data Entry'!$m$268)</f>
      </c>
      <c r="AT268">
        <f>IF(ISBLANK('Data Entry'!$n$268), "", 'Data Entry'!$n$268)</f>
      </c>
      <c r="AU268">
        <f>IF(ISBLANK('Data Entry'!$o$268), "", 'Data Entry'!$o$268)</f>
      </c>
      <c r="AV268">
        <f>IF(ISBLANK('Data Entry'!$p$268), "", 'Data Entry'!$p$268)</f>
      </c>
      <c r="AW268">
        <f>IF(ISBLANK('Data Entry'!$q$268), "", 'Data Entry'!$q$268)</f>
      </c>
      <c r="AX268">
        <f>IF(ISBLANK('Data Entry'!$r$268), "", 'Data Entry'!$r$268)</f>
      </c>
      <c r="AY268">
        <f>IF(ISBLANK('Data Entry'!$s$268), "", 'Data Entry'!$s$268)</f>
      </c>
      <c r="AZ268">
        <f>IF(ISBLANK('Data Entry'!$t$268), "", 'Data Entry'!$t$268)</f>
      </c>
      <c r="BA268">
        <f>IF(ISBLANK('Data Entry'!$u$268), "", 'Data Entry'!$u$268)</f>
      </c>
      <c r="BB268">
        <f>IF(ISBLANK('Data Entry'!$v$268), "", 'Data Entry'!$v$268)</f>
      </c>
      <c r="BC268">
        <f>IF(ISBLANK('Data Entry'!$w$268), "", 'Data Entry'!$w$268)</f>
      </c>
      <c r="BD268">
        <f>IF(ISBLANK('Data Entry'!$x$268), "", 'Data Entry'!$x$268)</f>
      </c>
      <c r="BE268">
        <f>IF(ISBLANK('Data Entry'!$y$268), "", 'Data Entry'!$y$268)</f>
      </c>
      <c r="BF268">
        <f>IF(ISBLANK('Data Entry'!$z$268), "", 'Data Entry'!$z$268)</f>
      </c>
      <c r="BG268">
        <f>IF(ISBLANK('Data Entry'!${$268), "", 'Data Entry'!${$268)</f>
      </c>
      <c r="BH268">
        <f>IF(ISBLANK('Data Entry'!$|$268), "", 'Data Entry'!$|$268)</f>
      </c>
      <c r="BI268">
        <f>IF(ISBLANK('Data Entry'!$}$268), "", 'Data Entry'!$}$268)</f>
      </c>
      <c r="BJ268">
        <f>IF(ISBLANK('Data Entry'!$~$268), "", 'Data Entry'!$~$268)</f>
      </c>
      <c r="BK268">
        <f>IF(ISBLANK('Data Entry'!$$268), "", 'Data Entry'!$$268)</f>
      </c>
      <c r="BL268">
        <f>IF(ISBLANK('Data Entry'!$$268), "", 'Data Entry'!$$268)</f>
      </c>
      <c r="BM268">
        <f>IF(ISBLANK('Data Entry'!$$268), "", 'Data Entry'!$$268)</f>
      </c>
      <c r="BN268">
        <f>IF(ISBLANK('Data Entry'!$$268), "", 'Data Entry'!$$268)</f>
      </c>
      <c r="BO268">
        <f>IF(ISBLANK('Data Entry'!$$268), "", 'Data Entry'!$$268)</f>
      </c>
      <c r="BP268">
        <f>IF(ISBLANK('Data Entry'!$$268), "", 'Data Entry'!$$268)</f>
      </c>
      <c r="BQ268">
        <f>IF(ISBLANK('Data Entry'!$$268), "", 'Data Entry'!$$268)</f>
      </c>
      <c r="BR268">
        <f>IF(ISBLANK('Data Entry'!$$268), "", 'Data Entry'!$$268)</f>
      </c>
      <c r="BS268">
        <f>IF(ISBLANK('Data Entry'!$$268), "", 'Data Entry'!$$268)</f>
      </c>
      <c r="BT268">
        <f>IF(ISBLANK('Data Entry'!$$268), "", 'Data Entry'!$$268)</f>
      </c>
      <c r="BU268">
        <f>IF(ISBLANK('Data Entry'!$$268), "", 'Data Entry'!$$268)</f>
      </c>
      <c r="BV268">
        <f>IF(ISBLANK('Data Entry'!$$268), "", 'Data Entry'!$$268)</f>
      </c>
      <c r="BW268">
        <f>IF(ISBLANK('Data Entry'!$$268), "", 'Data Entry'!$$268)</f>
      </c>
      <c r="BX268">
        <f>IF(ISBLANK('Data Entry'!$$268), "", 'Data Entry'!$$268)</f>
      </c>
      <c r="BY268">
        <f>IF(ISBLANK('Data Entry'!$$268), "", 'Data Entry'!$$268)</f>
      </c>
      <c r="BZ268">
        <f>IF(ISBLANK('Data Entry'!$$268), "", 'Data Entry'!$$268)</f>
      </c>
      <c r="CA268">
        <f>IF(ISBLANK('Data Entry'!$$268), "", 'Data Entry'!$$268)</f>
      </c>
      <c r="CB268">
        <f>IF(ISBLANK('Data Entry'!$$268), "", 'Data Entry'!$$268)</f>
      </c>
      <c r="CC268">
        <f>IF(ISBLANK('Data Entry'!$$268), "", 'Data Entry'!$$268)</f>
      </c>
      <c r="CD268">
        <f>IF(ISBLANK('Data Entry'!$$268), "", 'Data Entry'!$$268)</f>
      </c>
      <c r="CE268">
        <f>IF(ISBLANK('Data Entry'!$$268), "", 'Data Entry'!$$268)</f>
      </c>
      <c r="CF268">
        <f>IF(ISBLANK('Data Entry'!$$268), "", 'Data Entry'!$$268)</f>
      </c>
      <c r="CG268">
        <f>IF(ISBLANK('Data Entry'!$$268), "", 'Data Entry'!$$268)</f>
      </c>
      <c r="CH268">
        <f>IF(ISBLANK('Data Entry'!$$268), "", 'Data Entry'!$$268)</f>
      </c>
      <c r="CI268">
        <f>IF(ISBLANK('Data Entry'!$$268), "", 'Data Entry'!$$268)</f>
      </c>
      <c r="CJ268">
        <f>IF(ISBLANK('Data Entry'!$$268), "", 'Data Entry'!$$268)</f>
      </c>
      <c r="CK268">
        <f>IF(ISBLANK('Data Entry'!$$268), "", 'Data Entry'!$$268)</f>
      </c>
      <c r="CL268">
        <f>IF(ISBLANK('Data Entry'!$$268), "", 'Data Entry'!$$268)</f>
      </c>
      <c r="CM268">
        <f>IF(ISBLANK('Data Entry'!$$268), "", 'Data Entry'!$$268)</f>
      </c>
      <c r="CN268">
        <f>IF(ISBLANK('Data Entry'!$$268), "", 'Data Entry'!$$268)</f>
      </c>
      <c r="CO268">
        <f>IF(ISBLANK('Data Entry'!$$268), "", 'Data Entry'!$$268)</f>
      </c>
      <c r="CP268">
        <f>IF(ISBLANK('Data Entry'!$$268), "", 'Data Entry'!$$268)</f>
      </c>
      <c r="CQ268">
        <f>IF(ISBLANK('Data Entry'!$$268), "", 'Data Entry'!$$268)</f>
      </c>
      <c r="CR268">
        <f>IF(ISBLANK('Data Entry'!$ $268), "", 'Data Entry'!$ $268)</f>
      </c>
      <c r="CS268">
        <f>IF(ISBLANK('Data Entry'!$¡$268), "", 'Data Entry'!$¡$268)</f>
      </c>
      <c r="CT268">
        <f>IF(ISBLANK('Data Entry'!$¢$268), "", 'Data Entry'!$¢$268)</f>
      </c>
      <c r="CU268">
        <f>IF(ISBLANK('Data Entry'!$£$268), "", 'Data Entry'!$£$268)</f>
      </c>
      <c r="CV268">
        <f>IF(ISBLANK('Data Entry'!$¤$268), "", 'Data Entry'!$¤$268)</f>
      </c>
      <c r="CW268">
        <f>IF(ISBLANK('Data Entry'!$¥$268), "", 'Data Entry'!$¥$268)</f>
      </c>
      <c r="CX268">
        <f>IF(ISBLANK('Data Entry'!$¦$268), "", 'Data Entry'!$¦$268)</f>
      </c>
      <c r="CY268">
        <f>IF(ISBLANK('Data Entry'!$§$268), "", 'Data Entry'!$§$268)</f>
      </c>
      <c r="CZ268">
        <f>IF(ISBLANK('Data Entry'!$¨$268), "", 'Data Entry'!$¨$268)</f>
      </c>
      <c r="DA268">
        <f>IF(ISBLANK('Data Entry'!$©$268), "", 'Data Entry'!$©$268)</f>
      </c>
      <c r="DB268">
        <f>IF(ISBLANK('Data Entry'!$ª$268), "", 'Data Entry'!$ª$268)</f>
      </c>
      <c r="DC268">
        <f>IF(ISBLANK('Data Entry'!$«$268), "", 'Data Entry'!$«$268)</f>
      </c>
      <c r="DD268">
        <f>IF(ISBLANK('Data Entry'!$¬$268), "", 'Data Entry'!$¬$268)</f>
      </c>
      <c r="DE268">
        <f>IF(ISBLANK('Data Entry'!$­$268), "", 'Data Entry'!$­$268)</f>
      </c>
      <c r="DF268">
        <f>IF(ISBLANK('Data Entry'!$®$268), "", 'Data Entry'!$®$268)</f>
      </c>
      <c r="DG268">
        <f>IF(ISBLANK('Data Entry'!$¯$268), "", 'Data Entry'!$¯$268)</f>
      </c>
      <c r="DH268">
        <f>IF(ISBLANK('Data Entry'!$°$268), "", 'Data Entry'!$°$268)</f>
      </c>
      <c r="DI268">
        <f>IF(ISBLANK('Data Entry'!$±$268), "", 'Data Entry'!$±$268)</f>
      </c>
      <c r="DJ268">
        <f>IF(ISBLANK('Data Entry'!$²$268), "", 'Data Entry'!$²$268)</f>
      </c>
      <c r="DK268">
        <f>IF(ISBLANK('Data Entry'!$³$268), "", 'Data Entry'!$³$268)</f>
      </c>
      <c r="DL268">
        <f>IF(ISBLANK('Data Entry'!$´$268), "", 'Data Entry'!$´$268)</f>
      </c>
      <c r="DM268">
        <f>IF(ISBLANK('Data Entry'!$µ$268), "", 'Data Entry'!$µ$268)</f>
      </c>
      <c r="DN268">
        <f>IF(ISBLANK('Data Entry'!$¶$268), "", 'Data Entry'!$¶$268)</f>
      </c>
      <c r="DO268">
        <f>IF(ISBLANK('Data Entry'!$·$268), "", 'Data Entry'!$·$268)</f>
      </c>
      <c r="DP268">
        <f>IF(ISBLANK('Data Entry'!$¸$268), "", 'Data Entry'!$¸$268)</f>
      </c>
      <c r="DQ268">
        <f>IF(ISBLANK('Data Entry'!$¹$268), "", 'Data Entry'!$¹$268)</f>
      </c>
      <c r="DR268">
        <f>IF(ISBLANK('Data Entry'!$º$268), "", 'Data Entry'!$º$268)</f>
      </c>
      <c r="DS268">
        <f>IF(ISBLANK('Data Entry'!$»$268), "", 'Data Entry'!$»$268)</f>
      </c>
      <c r="DT268">
        <f>IF(ISBLANK('Data Entry'!$¼$268), "", 'Data Entry'!$¼$268)</f>
      </c>
      <c r="DU268">
        <f>IF(ISBLANK('Data Entry'!$½$268), "", 'Data Entry'!$½$268)</f>
      </c>
      <c r="DV268">
        <f>IF(ISBLANK('Data Entry'!$¾$268), "", 'Data Entry'!$¾$268)</f>
      </c>
      <c r="DW268">
        <f>IF(ISBLANK('Data Entry'!$¿$268), "", 'Data Entry'!$¿$268)</f>
      </c>
      <c r="DX268">
        <f>IF(ISBLANK('Data Entry'!$À$268), "", 'Data Entry'!$À$268)</f>
      </c>
      <c r="DY268">
        <f>IF(ISBLANK('Data Entry'!$Á$268), "", 'Data Entry'!$Á$268)</f>
      </c>
      <c r="DZ268">
        <f>IF(ISBLANK('Data Entry'!$Â$268), "", 'Data Entry'!$Â$268)</f>
      </c>
      <c r="EA268">
        <f>IF(ISBLANK('Data Entry'!$Ã$268), "", 'Data Entry'!$Ã$268)</f>
      </c>
      <c r="EB268">
        <f>IF(ISBLANK('Data Entry'!$Ä$268), "", 'Data Entry'!$Ä$268)</f>
      </c>
      <c r="EC268">
        <f>IF(ISBLANK('Data Entry'!$Å$268), "", 'Data Entry'!$Å$268)</f>
      </c>
      <c r="ED268">
        <f>IF(ISBLANK('Data Entry'!$Æ$268), "", 'Data Entry'!$Æ$268)</f>
      </c>
      <c r="EE268">
        <f>IF(ISBLANK('Data Entry'!$Ç$268), "", 'Data Entry'!$Ç$268)</f>
      </c>
      <c r="EF268">
        <f>IF(ISBLANK('Data Entry'!$È$268), "", 'Data Entry'!$È$268)</f>
      </c>
      <c r="EG268">
        <f>IF(ISBLANK('Data Entry'!$É$268), "", 'Data Entry'!$É$268)</f>
      </c>
      <c r="EH268">
        <f>IF(ISBLANK('Data Entry'!$Ê$268), "", 'Data Entry'!$Ê$268)</f>
      </c>
      <c r="EI268">
        <f>IF(ISBLANK('Data Entry'!$Ë$268), "", 'Data Entry'!$Ë$268)</f>
      </c>
      <c r="EJ268">
        <f>IF(ISBLANK('Data Entry'!$Ì$268), "", 'Data Entry'!$Ì$268)</f>
      </c>
      <c r="EK268">
        <f>IF(ISBLANK('Data Entry'!$Í$268), "", 'Data Entry'!$Í$268)</f>
      </c>
      <c r="EL268">
        <f>IF(ISBLANK('Data Entry'!$Î$268), "", 'Data Entry'!$Î$268)</f>
      </c>
      <c r="EM268">
        <f>IF(ISBLANK('Data Entry'!$Ï$268), "", 'Data Entry'!$Ï$268)</f>
      </c>
      <c r="EN268">
        <f>IF(ISBLANK('Data Entry'!$Ð$268), "", 'Data Entry'!$Ð$268)</f>
      </c>
      <c r="EO268">
        <f>IF(ISBLANK('Data Entry'!$Ñ$268), "", 'Data Entry'!$Ñ$268)</f>
      </c>
      <c r="EP268">
        <f>IF(ISBLANK('Data Entry'!$Ò$268), "", 'Data Entry'!$Ò$268)</f>
      </c>
      <c r="EQ268">
        <f>IF(ISBLANK('Data Entry'!$Ó$268), "", 'Data Entry'!$Ó$268)</f>
      </c>
      <c r="ER268">
        <f>IF(ISBLANK('Data Entry'!$Ô$268), "", 'Data Entry'!$Ô$268)</f>
      </c>
      <c r="ES268">
        <f>IF(ISBLANK('Data Entry'!$Õ$268), "", 'Data Entry'!$Õ$268)</f>
      </c>
      <c r="ET268">
        <f>IF(ISBLANK('Data Entry'!$Ö$268), "", 'Data Entry'!$Ö$268)</f>
      </c>
      <c r="EU268">
        <f>IF(ISBLANK('Data Entry'!$×$268), "", 'Data Entry'!$×$268)</f>
      </c>
      <c r="EV268">
        <f>IF(ISBLANK('Data Entry'!$Ø$268), "", 'Data Entry'!$Ø$268)</f>
      </c>
      <c r="EW268">
        <f>IF(ISBLANK('Data Entry'!$Ù$268), "", 'Data Entry'!$Ù$268)</f>
      </c>
      <c r="EX268">
        <f>IF(ISBLANK('Data Entry'!$Ú$268), "", 'Data Entry'!$Ú$268)</f>
      </c>
      <c r="EY268">
        <f>IF(ISBLANK('Data Entry'!$Û$268), "", 'Data Entry'!$Û$268)</f>
      </c>
      <c r="EZ268">
        <f>IF(ISBLANK('Data Entry'!$Ü$268), "", 'Data Entry'!$Ü$268)</f>
      </c>
      <c r="FA268">
        <f>IF(ISBLANK('Data Entry'!$Ý$268), "", 'Data Entry'!$Ý$268)</f>
      </c>
      <c r="FB268">
        <f>IF(ISBLANK('Data Entry'!$Þ$268), "", 'Data Entry'!$Þ$268)</f>
      </c>
      <c r="FC268">
        <f>IF(ISBLANK('Data Entry'!$ß$268), "", 'Data Entry'!$ß$268)</f>
      </c>
      <c r="FD268">
        <f>IF(ISBLANK('Data Entry'!$à$268), "", 'Data Entry'!$à$268)</f>
      </c>
      <c r="FE268">
        <f>IF(ISBLANK('Data Entry'!$á$268), "", 'Data Entry'!$á$268)</f>
      </c>
      <c r="FF268">
        <f>IF(ISBLANK('Data Entry'!$â$268), "", 'Data Entry'!$â$268)</f>
      </c>
      <c r="FG268">
        <f>IF(ISBLANK('Data Entry'!$ã$268), "", 'Data Entry'!$ã$268)</f>
      </c>
      <c r="FH268">
        <f>IF(ISBLANK('Data Entry'!$ä$268), "", 'Data Entry'!$ä$268)</f>
      </c>
      <c r="FI268">
        <f>IF(ISBLANK('Data Entry'!$å$268), "", 'Data Entry'!$å$268)</f>
      </c>
      <c r="FJ268">
        <f>IF(ISBLANK('Data Entry'!$æ$268), "", 'Data Entry'!$æ$268)</f>
      </c>
      <c r="FK268">
        <f>IF(ISBLANK('Data Entry'!$ç$268), "", 'Data Entry'!$ç$268)</f>
      </c>
      <c r="FL268">
        <f>IF(ISBLANK('Data Entry'!$è$268), "", 'Data Entry'!$è$268)</f>
      </c>
      <c r="FM268">
        <f>IF(ISBLANK('Data Entry'!$é$268), "", 'Data Entry'!$é$268)</f>
      </c>
      <c r="FN268">
        <f>IF(ISBLANK('Data Entry'!$ê$268), "", 'Data Entry'!$ê$268)</f>
      </c>
      <c r="FO268">
        <f>IF(ISBLANK('Data Entry'!$ë$268), "", 'Data Entry'!$ë$268)</f>
      </c>
      <c r="FP268">
        <f>IF(ISBLANK('Data Entry'!$ì$268), "", 'Data Entry'!$ì$268)</f>
      </c>
      <c r="FQ268">
        <f>IF(ISBLANK('Data Entry'!$í$268), "", 'Data Entry'!$í$268)</f>
      </c>
      <c r="FR268">
        <f>IF(ISBLANK('Data Entry'!$î$268), "", 'Data Entry'!$î$268)</f>
      </c>
      <c r="FS268">
        <f>IF(ISBLANK('Data Entry'!$ï$268), "", 'Data Entry'!$ï$268)</f>
      </c>
      <c r="FT268">
        <f>IF(ISBLANK('Data Entry'!$ð$268), "", 'Data Entry'!$ð$268)</f>
      </c>
      <c r="FU268">
        <f>IF(ISBLANK('Data Entry'!$ñ$268), "", 'Data Entry'!$ñ$268)</f>
      </c>
      <c r="FV268">
        <f>IF(ISBLANK('Data Entry'!$ò$268), "", 'Data Entry'!$ò$268)</f>
      </c>
      <c r="FW268">
        <f>IF(ISBLANK('Data Entry'!$ó$268), "", 'Data Entry'!$ó$268)</f>
      </c>
      <c r="FX268">
        <f>IF(ISBLANK('Data Entry'!$ô$268), "", 'Data Entry'!$ô$268)</f>
      </c>
      <c r="FY268">
        <f>IF(ISBLANK('Data Entry'!$õ$268), "", 'Data Entry'!$õ$268)</f>
      </c>
      <c r="FZ268">
        <f>IF(ISBLANK('Data Entry'!$ö$268), "", 'Data Entry'!$ö$268)</f>
      </c>
      <c r="GA268">
        <f>IF(ISBLANK('Data Entry'!$÷$268), "", 'Data Entry'!$÷$268)</f>
      </c>
      <c r="GB268">
        <f>IF(ISBLANK('Data Entry'!$ø$268), "", 'Data Entry'!$ø$268)</f>
      </c>
      <c r="GC268">
        <f>IF(ISBLANK('Data Entry'!$ù$268), "", 'Data Entry'!$ù$268)</f>
      </c>
      <c r="GD268">
        <f>IF(ISBLANK('Data Entry'!$ú$268), "", 'Data Entry'!$ú$268)</f>
      </c>
      <c r="GE268">
        <f>IF(ISBLANK('Data Entry'!$û$268), "", 'Data Entry'!$û$268)</f>
      </c>
      <c r="GF268">
        <f>IF(ISBLANK('Data Entry'!$ü$268), "", 'Data Entry'!$ü$268)</f>
      </c>
      <c r="GG268">
        <f>IF(ISBLANK('Data Entry'!$ý$268), "", 'Data Entry'!$ý$268)</f>
      </c>
      <c r="GH268">
        <f>IF(ISBLANK('Data Entry'!$þ$268), "", 'Data Entry'!$þ$268)</f>
      </c>
      <c r="GI268">
        <f>IF(ISBLANK('Data Entry'!$ÿ$268), "", 'Data Entry'!$ÿ$268)</f>
      </c>
      <c r="GJ268">
        <f>IF(ISBLANK('Data Entry'!$Ā$268), "", 'Data Entry'!$Ā$268)</f>
      </c>
      <c r="GK268">
        <f>IF(ISBLANK('Data Entry'!$ā$268), "", 'Data Entry'!$ā$268)</f>
      </c>
      <c r="GL268">
        <f>IF(ISBLANK('Data Entry'!$Ă$268), "", 'Data Entry'!$Ă$268)</f>
      </c>
      <c r="GM268">
        <f>IF(ISBLANK('Data Entry'!$ă$268), "", 'Data Entry'!$ă$268)</f>
      </c>
      <c r="GN268">
        <f>IF(ISBLANK('Data Entry'!$Ą$268), "", 'Data Entry'!$Ą$268)</f>
      </c>
      <c r="GO268">
        <f>IF(ISBLANK('Data Entry'!$ą$268), "", 'Data Entry'!$ą$268)</f>
      </c>
      <c r="GP268">
        <f>IF(ISBLANK('Data Entry'!$Ć$268), "", 'Data Entry'!$Ć$268)</f>
      </c>
      <c r="GQ268">
        <f>IF(ISBLANK('Data Entry'!$ć$268), "", 'Data Entry'!$ć$268)</f>
      </c>
      <c r="GR268">
        <f>IF(ISBLANK('Data Entry'!$Ĉ$268), "", 'Data Entry'!$Ĉ$268)</f>
      </c>
      <c r="GS268">
        <f>IF(ISBLANK('Data Entry'!$ĉ$268), "", 'Data Entry'!$ĉ$268)</f>
      </c>
      <c r="GT268">
        <f>IF(ISBLANK('Data Entry'!$Ċ$268), "", 'Data Entry'!$Ċ$268)</f>
      </c>
      <c r="GU268">
        <f>IF(ISBLANK('Data Entry'!$ċ$268), "", 'Data Entry'!$ċ$268)</f>
      </c>
      <c r="GV268">
        <f>IF(ISBLANK('Data Entry'!$Č$268), "", 'Data Entry'!$Č$268)</f>
      </c>
      <c r="GW268">
        <f>IF(ISBLANK('Data Entry'!$č$268), "", 'Data Entry'!$č$268)</f>
      </c>
      <c r="GX268">
        <f>IF(ISBLANK('Data Entry'!$Ď$268), "", 'Data Entry'!$Ď$268)</f>
      </c>
      <c r="GY268">
        <f>IF(ISBLANK('Data Entry'!$ď$268), "", 'Data Entry'!$ď$268)</f>
      </c>
      <c r="GZ268">
        <f>IF(ISBLANK('Data Entry'!$Đ$268), "", 'Data Entry'!$Đ$268)</f>
      </c>
      <c r="HA268">
        <f>IF(ISBLANK('Data Entry'!$đ$268), "", 'Data Entry'!$đ$268)</f>
      </c>
      <c r="HB268">
        <f>IF(ISBLANK('Data Entry'!$Ē$268), "", 'Data Entry'!$Ē$268)</f>
      </c>
      <c r="HC268">
        <f>IF(ISBLANK('Data Entry'!$ē$268), "", 'Data Entry'!$ē$268)</f>
      </c>
      <c r="HD268">
        <f>IF(ISBLANK('Data Entry'!$Ĕ$268), "", 'Data Entry'!$Ĕ$268)</f>
      </c>
      <c r="HE268">
        <f>IF(ISBLANK('Data Entry'!$ĕ$268), "", 'Data Entry'!$ĕ$268)</f>
      </c>
      <c r="HF268">
        <f>IF(ISBLANK('Data Entry'!$Ė$268), "", 'Data Entry'!$Ė$268)</f>
      </c>
      <c r="HG268">
        <f>IF(ISBLANK('Data Entry'!$ė$268), "", 'Data Entry'!$ė$268)</f>
      </c>
      <c r="HH268">
        <f>IF(ISBLANK('Data Entry'!$Ę$268), "", 'Data Entry'!$Ę$268)</f>
      </c>
      <c r="HI268">
        <f>IF(ISBLANK('Data Entry'!$ę$268), "", 'Data Entry'!$ę$268)</f>
      </c>
      <c r="HJ268">
        <f>IF(ISBLANK('Data Entry'!$Ě$268), "", 'Data Entry'!$Ě$268)</f>
      </c>
      <c r="HK268">
        <f>IF(ISBLANK('Data Entry'!$ě$268), "", 'Data Entry'!$ě$268)</f>
      </c>
      <c r="HL268">
        <f>IF(ISBLANK('Data Entry'!$Ĝ$268), "", 'Data Entry'!$Ĝ$268)</f>
      </c>
      <c r="HM268">
        <f>IF(ISBLANK('Data Entry'!$ĝ$268), "", 'Data Entry'!$ĝ$268)</f>
      </c>
      <c r="HN268">
        <f>IF(ISBLANK('Data Entry'!$Ğ$268), "", 'Data Entry'!$Ğ$268)</f>
      </c>
      <c r="HO268">
        <f>IF(ISBLANK('Data Entry'!$ğ$268), "", 'Data Entry'!$ğ$268)</f>
      </c>
      <c r="HP268">
        <f>IF(ISBLANK('Data Entry'!$Ġ$268), "", 'Data Entry'!$Ġ$268)</f>
      </c>
      <c r="HQ268">
        <f>IF(ISBLANK('Data Entry'!$ġ$268), "", 'Data Entry'!$ġ$268)</f>
      </c>
      <c r="HR268">
        <f>IF(ISBLANK('Data Entry'!$Ģ$268), "", 'Data Entry'!$Ģ$268)</f>
      </c>
      <c r="HS268">
        <f>IF(ISBLANK('Data Entry'!$ģ$268), "", 'Data Entry'!$ģ$268)</f>
      </c>
      <c r="HT268">
        <f>IF(ISBLANK('Data Entry'!$Ĥ$268), "", 'Data Entry'!$Ĥ$268)</f>
      </c>
      <c r="HU268">
        <f>IF(ISBLANK('Data Entry'!$ĥ$268), "", 'Data Entry'!$ĥ$268)</f>
      </c>
      <c r="HV268">
        <f>IF(ISBLANK('Data Entry'!$Ħ$268), "", 'Data Entry'!$Ħ$268)</f>
      </c>
      <c r="HW268">
        <f>IF(ISBLANK('Data Entry'!$ħ$268), "", 'Data Entry'!$ħ$268)</f>
      </c>
      <c r="HX268">
        <f>IF(ISBLANK('Data Entry'!$Ĩ$268), "", 'Data Entry'!$Ĩ$268)</f>
      </c>
      <c r="HY268">
        <f>IF(ISBLANK('Data Entry'!$ĩ$268), "", 'Data Entry'!$ĩ$268)</f>
      </c>
      <c r="HZ268">
        <f>IF(ISBLANK('Data Entry'!$Ī$268), "", 'Data Entry'!$Ī$268)</f>
      </c>
      <c r="IA268">
        <f>IF(ISBLANK('Data Entry'!$ī$268), "", 'Data Entry'!$ī$268)</f>
      </c>
      <c r="IB268">
        <f>IF(ISBLANK('Data Entry'!$Ĭ$268), "", 'Data Entry'!$Ĭ$268)</f>
      </c>
      <c r="IC268">
        <f>IF(ISBLANK('Data Entry'!$ĭ$268), "", 'Data Entry'!$ĭ$268)</f>
      </c>
      <c r="ID268">
        <f>IF(ISBLANK('Data Entry'!$Į$268), "", 'Data Entry'!$Į$268)</f>
      </c>
      <c r="IE268">
        <f>IF(ISBLANK('Data Entry'!$į$268), "", 'Data Entry'!$į$268)</f>
      </c>
      <c r="IF268">
        <f>IF(ISBLANK('Data Entry'!$İ$268), "", 'Data Entry'!$İ$268)</f>
      </c>
      <c r="IG268">
        <f>IF(ISBLANK('Data Entry'!$ı$268), "", 'Data Entry'!$ı$268)</f>
      </c>
      <c r="IH268">
        <f>IF(ISBLANK('Data Entry'!$Ĳ$268), "", 'Data Entry'!$Ĳ$268)</f>
      </c>
      <c r="II268">
        <f>IF(ISBLANK('Data Entry'!$ĳ$268), "", 'Data Entry'!$ĳ$268)</f>
      </c>
      <c r="IJ268">
        <f>IF(ISBLANK('Data Entry'!$Ĵ$268), "", 'Data Entry'!$Ĵ$268)</f>
      </c>
      <c r="IK268">
        <f>IF(ISBLANK('Data Entry'!$ĵ$268), "", 'Data Entry'!$ĵ$268)</f>
      </c>
      <c r="IL268">
        <f>IF(ISBLANK('Data Entry'!$Ķ$268), "", 'Data Entry'!$Ķ$268)</f>
      </c>
      <c r="IM268">
        <f>IF(ISBLANK('Data Entry'!$ķ$268), "", 'Data Entry'!$ķ$268)</f>
      </c>
      <c r="IN268">
        <f>IF(ISBLANK('Data Entry'!$ĸ$268), "", 'Data Entry'!$ĸ$268)</f>
      </c>
      <c r="IO268">
        <f>IF(ISBLANK('Data Entry'!$Ĺ$268), "", 'Data Entry'!$Ĺ$268)</f>
      </c>
      <c r="IP268">
        <f>IF(ISBLANK('Data Entry'!$ĺ$268), "", 'Data Entry'!$ĺ$268)</f>
      </c>
      <c r="IQ268">
        <f>IF(ISBLANK('Data Entry'!$Ļ$268), "", 'Data Entry'!$Ļ$268)</f>
      </c>
      <c r="IR268">
        <f>IF(ISBLANK('Data Entry'!$ļ$268), "", 'Data Entry'!$ļ$268)</f>
      </c>
      <c r="IS268">
        <f>IF(ISBLANK('Data Entry'!$Ľ$268), "", 'Data Entry'!$Ľ$268)</f>
      </c>
      <c r="IT268">
        <f>IF(ISBLANK('Data Entry'!$ľ$268), "", 'Data Entry'!$ľ$268)</f>
      </c>
    </row>
    <row r="269" spans="1:254" x14ac:dyDescent="0.25">
      <c r="A269">
        <f>IF(ISBLANK('Data Entry'!$A$269), "", 'Data Entry'!$A$269)</f>
      </c>
      <c r="B269">
        <f>IF(ISBLANK('Data Entry'!$B$269), "", 'Data Entry'!$B$269)</f>
      </c>
      <c r="C269">
        <f>IF(ISBLANK('Data Entry'!$C$269), "", 'Data Entry'!$C$269)</f>
      </c>
      <c r="D269">
        <f>IF(ISBLANK('Data Entry'!$D$269), "", 'Data Entry'!$D$269)</f>
      </c>
      <c r="E269">
        <f>IF(ISBLANK('Data Entry'!$E$269), "", 'Data Entry'!$E$269)</f>
      </c>
      <c r="F269">
        <f>IF(ISBLANK('Data Entry'!$F$269), "", 'Data Entry'!$F$269)</f>
      </c>
      <c r="G269">
        <f>IF(ISBLANK('Data Entry'!$G$269), "", 'Data Entry'!$G$269)</f>
      </c>
      <c r="H269">
        <f>IF(ISBLANK('Data Entry'!$H$269), "", 'Data Entry'!$H$269)</f>
      </c>
      <c r="I269">
        <f>IF(ISBLANK('Data Entry'!$I$269), "", 'Data Entry'!$I$269)</f>
      </c>
      <c r="J269">
        <f>IF(ISBLANK('Data Entry'!$J$269), "", 'Data Entry'!$J$269)</f>
      </c>
      <c r="K269">
        <f>IF(ISBLANK('Data Entry'!$K$269), "", 'Data Entry'!$K$269)</f>
      </c>
      <c r="L269">
        <f>IF(ISBLANK('Data Entry'!$L$269), "", 'Data Entry'!$L$269)</f>
      </c>
      <c r="M269">
        <f>IF(ISBLANK('Data Entry'!$M$269), "", 'Data Entry'!$M$269)</f>
      </c>
      <c r="N269">
        <f>IF(ISBLANK('Data Entry'!$N$269), "", 'Data Entry'!$N$269)</f>
      </c>
      <c r="O269">
        <f>IF(ISBLANK('Data Entry'!$O$269), "", 'Data Entry'!$O$269)</f>
      </c>
      <c r="P269">
        <f>IF(ISBLANK('Data Entry'!$P$269), "", 'Data Entry'!$P$269)</f>
      </c>
      <c r="Q269">
        <f>IF(ISBLANK('Data Entry'!$Q$269), "", 'Data Entry'!$Q$269)</f>
      </c>
      <c r="R269">
        <f>IF(ISBLANK('Data Entry'!$R$269), "", 'Data Entry'!$R$269)</f>
      </c>
      <c r="S269">
        <f>IF(ISBLANK('Data Entry'!$S$269), "", 'Data Entry'!$S$269)</f>
      </c>
      <c r="T269">
        <f>IF(ISBLANK('Data Entry'!$T$269), "", 'Data Entry'!$T$269)</f>
      </c>
      <c r="U269">
        <f>IF(ISBLANK('Data Entry'!$U$269), "", 'Data Entry'!$U$269)</f>
      </c>
      <c r="V269">
        <f>IF(ISBLANK('Data Entry'!$V$269), "", 'Data Entry'!$V$269)</f>
      </c>
      <c r="W269">
        <f>IF(ISBLANK('Data Entry'!$W$269), "", 'Data Entry'!$W$269)</f>
      </c>
      <c r="X269">
        <f>IF(ISBLANK('Data Entry'!$X$269), "", 'Data Entry'!$X$269)</f>
      </c>
      <c r="Y269">
        <f>IF(ISBLANK('Data Entry'!$Y$269), "", 'Data Entry'!$Y$269)</f>
      </c>
      <c r="Z269">
        <f>IF(ISBLANK('Data Entry'!$Z$269), "", 'Data Entry'!$Z$269)</f>
      </c>
      <c r="AA269">
        <f>IF(ISBLANK('Data Entry'!$[$269), "", 'Data Entry'!$[$269)</f>
      </c>
      <c r="AB269">
        <f>IF(ISBLANK('Data Entry'!$\$269), "", 'Data Entry'!$\$269)</f>
      </c>
      <c r="AC269">
        <f>IF(ISBLANK('Data Entry'!$]$269), "", 'Data Entry'!$]$269)</f>
      </c>
      <c r="AD269">
        <f>IF(ISBLANK('Data Entry'!$^$269), "", 'Data Entry'!$^$269)</f>
      </c>
      <c r="AE269">
        <f>IF(ISBLANK('Data Entry'!$_$269), "", 'Data Entry'!$_$269)</f>
      </c>
      <c r="AF269">
        <f>IF(ISBLANK('Data Entry'!$`$269), "", 'Data Entry'!$`$269)</f>
      </c>
      <c r="AG269">
        <f>IF(ISBLANK('Data Entry'!$a$269), "", 'Data Entry'!$a$269)</f>
      </c>
      <c r="AH269">
        <f>IF(ISBLANK('Data Entry'!$b$269), "", 'Data Entry'!$b$269)</f>
      </c>
      <c r="AI269">
        <f>IF(ISBLANK('Data Entry'!$c$269), "", 'Data Entry'!$c$269)</f>
      </c>
      <c r="AJ269">
        <f>IF(ISBLANK('Data Entry'!$d$269), "", 'Data Entry'!$d$269)</f>
      </c>
      <c r="AK269">
        <f>IF(ISBLANK('Data Entry'!$e$269), "", 'Data Entry'!$e$269)</f>
      </c>
      <c r="AL269">
        <f>IF(ISBLANK('Data Entry'!$f$269), "", 'Data Entry'!$f$269)</f>
      </c>
      <c r="AM269">
        <f>IF(ISBLANK('Data Entry'!$g$269), "", 'Data Entry'!$g$269)</f>
      </c>
      <c r="AN269">
        <f>IF(ISBLANK('Data Entry'!$h$269), "", 'Data Entry'!$h$269)</f>
      </c>
      <c r="AO269">
        <f>IF(ISBLANK('Data Entry'!$i$269), "", 'Data Entry'!$i$269)</f>
      </c>
      <c r="AP269">
        <f>IF(ISBLANK('Data Entry'!$j$269), "", 'Data Entry'!$j$269)</f>
      </c>
      <c r="AQ269">
        <f>IF(ISBLANK('Data Entry'!$k$269), "", 'Data Entry'!$k$269)</f>
      </c>
      <c r="AR269">
        <f>IF(ISBLANK('Data Entry'!$l$269), "", 'Data Entry'!$l$269)</f>
      </c>
      <c r="AS269">
        <f>IF(ISBLANK('Data Entry'!$m$269), "", 'Data Entry'!$m$269)</f>
      </c>
      <c r="AT269">
        <f>IF(ISBLANK('Data Entry'!$n$269), "", 'Data Entry'!$n$269)</f>
      </c>
      <c r="AU269">
        <f>IF(ISBLANK('Data Entry'!$o$269), "", 'Data Entry'!$o$269)</f>
      </c>
      <c r="AV269">
        <f>IF(ISBLANK('Data Entry'!$p$269), "", 'Data Entry'!$p$269)</f>
      </c>
      <c r="AW269">
        <f>IF(ISBLANK('Data Entry'!$q$269), "", 'Data Entry'!$q$269)</f>
      </c>
      <c r="AX269">
        <f>IF(ISBLANK('Data Entry'!$r$269), "", 'Data Entry'!$r$269)</f>
      </c>
      <c r="AY269">
        <f>IF(ISBLANK('Data Entry'!$s$269), "", 'Data Entry'!$s$269)</f>
      </c>
      <c r="AZ269">
        <f>IF(ISBLANK('Data Entry'!$t$269), "", 'Data Entry'!$t$269)</f>
      </c>
      <c r="BA269">
        <f>IF(ISBLANK('Data Entry'!$u$269), "", 'Data Entry'!$u$269)</f>
      </c>
      <c r="BB269">
        <f>IF(ISBLANK('Data Entry'!$v$269), "", 'Data Entry'!$v$269)</f>
      </c>
      <c r="BC269">
        <f>IF(ISBLANK('Data Entry'!$w$269), "", 'Data Entry'!$w$269)</f>
      </c>
      <c r="BD269">
        <f>IF(ISBLANK('Data Entry'!$x$269), "", 'Data Entry'!$x$269)</f>
      </c>
      <c r="BE269">
        <f>IF(ISBLANK('Data Entry'!$y$269), "", 'Data Entry'!$y$269)</f>
      </c>
      <c r="BF269">
        <f>IF(ISBLANK('Data Entry'!$z$269), "", 'Data Entry'!$z$269)</f>
      </c>
      <c r="BG269">
        <f>IF(ISBLANK('Data Entry'!${$269), "", 'Data Entry'!${$269)</f>
      </c>
      <c r="BH269">
        <f>IF(ISBLANK('Data Entry'!$|$269), "", 'Data Entry'!$|$269)</f>
      </c>
      <c r="BI269">
        <f>IF(ISBLANK('Data Entry'!$}$269), "", 'Data Entry'!$}$269)</f>
      </c>
      <c r="BJ269">
        <f>IF(ISBLANK('Data Entry'!$~$269), "", 'Data Entry'!$~$269)</f>
      </c>
      <c r="BK269">
        <f>IF(ISBLANK('Data Entry'!$$269), "", 'Data Entry'!$$269)</f>
      </c>
      <c r="BL269">
        <f>IF(ISBLANK('Data Entry'!$$269), "", 'Data Entry'!$$269)</f>
      </c>
      <c r="BM269">
        <f>IF(ISBLANK('Data Entry'!$$269), "", 'Data Entry'!$$269)</f>
      </c>
      <c r="BN269">
        <f>IF(ISBLANK('Data Entry'!$$269), "", 'Data Entry'!$$269)</f>
      </c>
      <c r="BO269">
        <f>IF(ISBLANK('Data Entry'!$$269), "", 'Data Entry'!$$269)</f>
      </c>
      <c r="BP269">
        <f>IF(ISBLANK('Data Entry'!$$269), "", 'Data Entry'!$$269)</f>
      </c>
      <c r="BQ269">
        <f>IF(ISBLANK('Data Entry'!$$269), "", 'Data Entry'!$$269)</f>
      </c>
      <c r="BR269">
        <f>IF(ISBLANK('Data Entry'!$$269), "", 'Data Entry'!$$269)</f>
      </c>
      <c r="BS269">
        <f>IF(ISBLANK('Data Entry'!$$269), "", 'Data Entry'!$$269)</f>
      </c>
      <c r="BT269">
        <f>IF(ISBLANK('Data Entry'!$$269), "", 'Data Entry'!$$269)</f>
      </c>
      <c r="BU269">
        <f>IF(ISBLANK('Data Entry'!$$269), "", 'Data Entry'!$$269)</f>
      </c>
      <c r="BV269">
        <f>IF(ISBLANK('Data Entry'!$$269), "", 'Data Entry'!$$269)</f>
      </c>
      <c r="BW269">
        <f>IF(ISBLANK('Data Entry'!$$269), "", 'Data Entry'!$$269)</f>
      </c>
      <c r="BX269">
        <f>IF(ISBLANK('Data Entry'!$$269), "", 'Data Entry'!$$269)</f>
      </c>
      <c r="BY269">
        <f>IF(ISBLANK('Data Entry'!$$269), "", 'Data Entry'!$$269)</f>
      </c>
      <c r="BZ269">
        <f>IF(ISBLANK('Data Entry'!$$269), "", 'Data Entry'!$$269)</f>
      </c>
      <c r="CA269">
        <f>IF(ISBLANK('Data Entry'!$$269), "", 'Data Entry'!$$269)</f>
      </c>
      <c r="CB269">
        <f>IF(ISBLANK('Data Entry'!$$269), "", 'Data Entry'!$$269)</f>
      </c>
      <c r="CC269">
        <f>IF(ISBLANK('Data Entry'!$$269), "", 'Data Entry'!$$269)</f>
      </c>
      <c r="CD269">
        <f>IF(ISBLANK('Data Entry'!$$269), "", 'Data Entry'!$$269)</f>
      </c>
      <c r="CE269">
        <f>IF(ISBLANK('Data Entry'!$$269), "", 'Data Entry'!$$269)</f>
      </c>
      <c r="CF269">
        <f>IF(ISBLANK('Data Entry'!$$269), "", 'Data Entry'!$$269)</f>
      </c>
      <c r="CG269">
        <f>IF(ISBLANK('Data Entry'!$$269), "", 'Data Entry'!$$269)</f>
      </c>
      <c r="CH269">
        <f>IF(ISBLANK('Data Entry'!$$269), "", 'Data Entry'!$$269)</f>
      </c>
      <c r="CI269">
        <f>IF(ISBLANK('Data Entry'!$$269), "", 'Data Entry'!$$269)</f>
      </c>
      <c r="CJ269">
        <f>IF(ISBLANK('Data Entry'!$$269), "", 'Data Entry'!$$269)</f>
      </c>
      <c r="CK269">
        <f>IF(ISBLANK('Data Entry'!$$269), "", 'Data Entry'!$$269)</f>
      </c>
      <c r="CL269">
        <f>IF(ISBLANK('Data Entry'!$$269), "", 'Data Entry'!$$269)</f>
      </c>
      <c r="CM269">
        <f>IF(ISBLANK('Data Entry'!$$269), "", 'Data Entry'!$$269)</f>
      </c>
      <c r="CN269">
        <f>IF(ISBLANK('Data Entry'!$$269), "", 'Data Entry'!$$269)</f>
      </c>
      <c r="CO269">
        <f>IF(ISBLANK('Data Entry'!$$269), "", 'Data Entry'!$$269)</f>
      </c>
      <c r="CP269">
        <f>IF(ISBLANK('Data Entry'!$$269), "", 'Data Entry'!$$269)</f>
      </c>
      <c r="CQ269">
        <f>IF(ISBLANK('Data Entry'!$$269), "", 'Data Entry'!$$269)</f>
      </c>
      <c r="CR269">
        <f>IF(ISBLANK('Data Entry'!$ $269), "", 'Data Entry'!$ $269)</f>
      </c>
      <c r="CS269">
        <f>IF(ISBLANK('Data Entry'!$¡$269), "", 'Data Entry'!$¡$269)</f>
      </c>
      <c r="CT269">
        <f>IF(ISBLANK('Data Entry'!$¢$269), "", 'Data Entry'!$¢$269)</f>
      </c>
      <c r="CU269">
        <f>IF(ISBLANK('Data Entry'!$£$269), "", 'Data Entry'!$£$269)</f>
      </c>
      <c r="CV269">
        <f>IF(ISBLANK('Data Entry'!$¤$269), "", 'Data Entry'!$¤$269)</f>
      </c>
      <c r="CW269">
        <f>IF(ISBLANK('Data Entry'!$¥$269), "", 'Data Entry'!$¥$269)</f>
      </c>
      <c r="CX269">
        <f>IF(ISBLANK('Data Entry'!$¦$269), "", 'Data Entry'!$¦$269)</f>
      </c>
      <c r="CY269">
        <f>IF(ISBLANK('Data Entry'!$§$269), "", 'Data Entry'!$§$269)</f>
      </c>
      <c r="CZ269">
        <f>IF(ISBLANK('Data Entry'!$¨$269), "", 'Data Entry'!$¨$269)</f>
      </c>
      <c r="DA269">
        <f>IF(ISBLANK('Data Entry'!$©$269), "", 'Data Entry'!$©$269)</f>
      </c>
      <c r="DB269">
        <f>IF(ISBLANK('Data Entry'!$ª$269), "", 'Data Entry'!$ª$269)</f>
      </c>
      <c r="DC269">
        <f>IF(ISBLANK('Data Entry'!$«$269), "", 'Data Entry'!$«$269)</f>
      </c>
      <c r="DD269">
        <f>IF(ISBLANK('Data Entry'!$¬$269), "", 'Data Entry'!$¬$269)</f>
      </c>
      <c r="DE269">
        <f>IF(ISBLANK('Data Entry'!$­$269), "", 'Data Entry'!$­$269)</f>
      </c>
      <c r="DF269">
        <f>IF(ISBLANK('Data Entry'!$®$269), "", 'Data Entry'!$®$269)</f>
      </c>
      <c r="DG269">
        <f>IF(ISBLANK('Data Entry'!$¯$269), "", 'Data Entry'!$¯$269)</f>
      </c>
      <c r="DH269">
        <f>IF(ISBLANK('Data Entry'!$°$269), "", 'Data Entry'!$°$269)</f>
      </c>
      <c r="DI269">
        <f>IF(ISBLANK('Data Entry'!$±$269), "", 'Data Entry'!$±$269)</f>
      </c>
      <c r="DJ269">
        <f>IF(ISBLANK('Data Entry'!$²$269), "", 'Data Entry'!$²$269)</f>
      </c>
      <c r="DK269">
        <f>IF(ISBLANK('Data Entry'!$³$269), "", 'Data Entry'!$³$269)</f>
      </c>
      <c r="DL269">
        <f>IF(ISBLANK('Data Entry'!$´$269), "", 'Data Entry'!$´$269)</f>
      </c>
      <c r="DM269">
        <f>IF(ISBLANK('Data Entry'!$µ$269), "", 'Data Entry'!$µ$269)</f>
      </c>
      <c r="DN269">
        <f>IF(ISBLANK('Data Entry'!$¶$269), "", 'Data Entry'!$¶$269)</f>
      </c>
      <c r="DO269">
        <f>IF(ISBLANK('Data Entry'!$·$269), "", 'Data Entry'!$·$269)</f>
      </c>
      <c r="DP269">
        <f>IF(ISBLANK('Data Entry'!$¸$269), "", 'Data Entry'!$¸$269)</f>
      </c>
      <c r="DQ269">
        <f>IF(ISBLANK('Data Entry'!$¹$269), "", 'Data Entry'!$¹$269)</f>
      </c>
      <c r="DR269">
        <f>IF(ISBLANK('Data Entry'!$º$269), "", 'Data Entry'!$º$269)</f>
      </c>
      <c r="DS269">
        <f>IF(ISBLANK('Data Entry'!$»$269), "", 'Data Entry'!$»$269)</f>
      </c>
      <c r="DT269">
        <f>IF(ISBLANK('Data Entry'!$¼$269), "", 'Data Entry'!$¼$269)</f>
      </c>
      <c r="DU269">
        <f>IF(ISBLANK('Data Entry'!$½$269), "", 'Data Entry'!$½$269)</f>
      </c>
      <c r="DV269">
        <f>IF(ISBLANK('Data Entry'!$¾$269), "", 'Data Entry'!$¾$269)</f>
      </c>
      <c r="DW269">
        <f>IF(ISBLANK('Data Entry'!$¿$269), "", 'Data Entry'!$¿$269)</f>
      </c>
      <c r="DX269">
        <f>IF(ISBLANK('Data Entry'!$À$269), "", 'Data Entry'!$À$269)</f>
      </c>
      <c r="DY269">
        <f>IF(ISBLANK('Data Entry'!$Á$269), "", 'Data Entry'!$Á$269)</f>
      </c>
      <c r="DZ269">
        <f>IF(ISBLANK('Data Entry'!$Â$269), "", 'Data Entry'!$Â$269)</f>
      </c>
      <c r="EA269">
        <f>IF(ISBLANK('Data Entry'!$Ã$269), "", 'Data Entry'!$Ã$269)</f>
      </c>
      <c r="EB269">
        <f>IF(ISBLANK('Data Entry'!$Ä$269), "", 'Data Entry'!$Ä$269)</f>
      </c>
      <c r="EC269">
        <f>IF(ISBLANK('Data Entry'!$Å$269), "", 'Data Entry'!$Å$269)</f>
      </c>
      <c r="ED269">
        <f>IF(ISBLANK('Data Entry'!$Æ$269), "", 'Data Entry'!$Æ$269)</f>
      </c>
      <c r="EE269">
        <f>IF(ISBLANK('Data Entry'!$Ç$269), "", 'Data Entry'!$Ç$269)</f>
      </c>
      <c r="EF269">
        <f>IF(ISBLANK('Data Entry'!$È$269), "", 'Data Entry'!$È$269)</f>
      </c>
      <c r="EG269">
        <f>IF(ISBLANK('Data Entry'!$É$269), "", 'Data Entry'!$É$269)</f>
      </c>
      <c r="EH269">
        <f>IF(ISBLANK('Data Entry'!$Ê$269), "", 'Data Entry'!$Ê$269)</f>
      </c>
      <c r="EI269">
        <f>IF(ISBLANK('Data Entry'!$Ë$269), "", 'Data Entry'!$Ë$269)</f>
      </c>
      <c r="EJ269">
        <f>IF(ISBLANK('Data Entry'!$Ì$269), "", 'Data Entry'!$Ì$269)</f>
      </c>
      <c r="EK269">
        <f>IF(ISBLANK('Data Entry'!$Í$269), "", 'Data Entry'!$Í$269)</f>
      </c>
      <c r="EL269">
        <f>IF(ISBLANK('Data Entry'!$Î$269), "", 'Data Entry'!$Î$269)</f>
      </c>
      <c r="EM269">
        <f>IF(ISBLANK('Data Entry'!$Ï$269), "", 'Data Entry'!$Ï$269)</f>
      </c>
      <c r="EN269">
        <f>IF(ISBLANK('Data Entry'!$Ð$269), "", 'Data Entry'!$Ð$269)</f>
      </c>
      <c r="EO269">
        <f>IF(ISBLANK('Data Entry'!$Ñ$269), "", 'Data Entry'!$Ñ$269)</f>
      </c>
      <c r="EP269">
        <f>IF(ISBLANK('Data Entry'!$Ò$269), "", 'Data Entry'!$Ò$269)</f>
      </c>
      <c r="EQ269">
        <f>IF(ISBLANK('Data Entry'!$Ó$269), "", 'Data Entry'!$Ó$269)</f>
      </c>
      <c r="ER269">
        <f>IF(ISBLANK('Data Entry'!$Ô$269), "", 'Data Entry'!$Ô$269)</f>
      </c>
      <c r="ES269">
        <f>IF(ISBLANK('Data Entry'!$Õ$269), "", 'Data Entry'!$Õ$269)</f>
      </c>
      <c r="ET269">
        <f>IF(ISBLANK('Data Entry'!$Ö$269), "", 'Data Entry'!$Ö$269)</f>
      </c>
      <c r="EU269">
        <f>IF(ISBLANK('Data Entry'!$×$269), "", 'Data Entry'!$×$269)</f>
      </c>
      <c r="EV269">
        <f>IF(ISBLANK('Data Entry'!$Ø$269), "", 'Data Entry'!$Ø$269)</f>
      </c>
      <c r="EW269">
        <f>IF(ISBLANK('Data Entry'!$Ù$269), "", 'Data Entry'!$Ù$269)</f>
      </c>
      <c r="EX269">
        <f>IF(ISBLANK('Data Entry'!$Ú$269), "", 'Data Entry'!$Ú$269)</f>
      </c>
      <c r="EY269">
        <f>IF(ISBLANK('Data Entry'!$Û$269), "", 'Data Entry'!$Û$269)</f>
      </c>
      <c r="EZ269">
        <f>IF(ISBLANK('Data Entry'!$Ü$269), "", 'Data Entry'!$Ü$269)</f>
      </c>
      <c r="FA269">
        <f>IF(ISBLANK('Data Entry'!$Ý$269), "", 'Data Entry'!$Ý$269)</f>
      </c>
      <c r="FB269">
        <f>IF(ISBLANK('Data Entry'!$Þ$269), "", 'Data Entry'!$Þ$269)</f>
      </c>
      <c r="FC269">
        <f>IF(ISBLANK('Data Entry'!$ß$269), "", 'Data Entry'!$ß$269)</f>
      </c>
      <c r="FD269">
        <f>IF(ISBLANK('Data Entry'!$à$269), "", 'Data Entry'!$à$269)</f>
      </c>
      <c r="FE269">
        <f>IF(ISBLANK('Data Entry'!$á$269), "", 'Data Entry'!$á$269)</f>
      </c>
      <c r="FF269">
        <f>IF(ISBLANK('Data Entry'!$â$269), "", 'Data Entry'!$â$269)</f>
      </c>
      <c r="FG269">
        <f>IF(ISBLANK('Data Entry'!$ã$269), "", 'Data Entry'!$ã$269)</f>
      </c>
      <c r="FH269">
        <f>IF(ISBLANK('Data Entry'!$ä$269), "", 'Data Entry'!$ä$269)</f>
      </c>
      <c r="FI269">
        <f>IF(ISBLANK('Data Entry'!$å$269), "", 'Data Entry'!$å$269)</f>
      </c>
      <c r="FJ269">
        <f>IF(ISBLANK('Data Entry'!$æ$269), "", 'Data Entry'!$æ$269)</f>
      </c>
      <c r="FK269">
        <f>IF(ISBLANK('Data Entry'!$ç$269), "", 'Data Entry'!$ç$269)</f>
      </c>
      <c r="FL269">
        <f>IF(ISBLANK('Data Entry'!$è$269), "", 'Data Entry'!$è$269)</f>
      </c>
      <c r="FM269">
        <f>IF(ISBLANK('Data Entry'!$é$269), "", 'Data Entry'!$é$269)</f>
      </c>
      <c r="FN269">
        <f>IF(ISBLANK('Data Entry'!$ê$269), "", 'Data Entry'!$ê$269)</f>
      </c>
      <c r="FO269">
        <f>IF(ISBLANK('Data Entry'!$ë$269), "", 'Data Entry'!$ë$269)</f>
      </c>
      <c r="FP269">
        <f>IF(ISBLANK('Data Entry'!$ì$269), "", 'Data Entry'!$ì$269)</f>
      </c>
      <c r="FQ269">
        <f>IF(ISBLANK('Data Entry'!$í$269), "", 'Data Entry'!$í$269)</f>
      </c>
      <c r="FR269">
        <f>IF(ISBLANK('Data Entry'!$î$269), "", 'Data Entry'!$î$269)</f>
      </c>
      <c r="FS269">
        <f>IF(ISBLANK('Data Entry'!$ï$269), "", 'Data Entry'!$ï$269)</f>
      </c>
      <c r="FT269">
        <f>IF(ISBLANK('Data Entry'!$ð$269), "", 'Data Entry'!$ð$269)</f>
      </c>
      <c r="FU269">
        <f>IF(ISBLANK('Data Entry'!$ñ$269), "", 'Data Entry'!$ñ$269)</f>
      </c>
      <c r="FV269">
        <f>IF(ISBLANK('Data Entry'!$ò$269), "", 'Data Entry'!$ò$269)</f>
      </c>
      <c r="FW269">
        <f>IF(ISBLANK('Data Entry'!$ó$269), "", 'Data Entry'!$ó$269)</f>
      </c>
      <c r="FX269">
        <f>IF(ISBLANK('Data Entry'!$ô$269), "", 'Data Entry'!$ô$269)</f>
      </c>
      <c r="FY269">
        <f>IF(ISBLANK('Data Entry'!$õ$269), "", 'Data Entry'!$õ$269)</f>
      </c>
      <c r="FZ269">
        <f>IF(ISBLANK('Data Entry'!$ö$269), "", 'Data Entry'!$ö$269)</f>
      </c>
      <c r="GA269">
        <f>IF(ISBLANK('Data Entry'!$÷$269), "", 'Data Entry'!$÷$269)</f>
      </c>
      <c r="GB269">
        <f>IF(ISBLANK('Data Entry'!$ø$269), "", 'Data Entry'!$ø$269)</f>
      </c>
      <c r="GC269">
        <f>IF(ISBLANK('Data Entry'!$ù$269), "", 'Data Entry'!$ù$269)</f>
      </c>
      <c r="GD269">
        <f>IF(ISBLANK('Data Entry'!$ú$269), "", 'Data Entry'!$ú$269)</f>
      </c>
      <c r="GE269">
        <f>IF(ISBLANK('Data Entry'!$û$269), "", 'Data Entry'!$û$269)</f>
      </c>
      <c r="GF269">
        <f>IF(ISBLANK('Data Entry'!$ü$269), "", 'Data Entry'!$ü$269)</f>
      </c>
      <c r="GG269">
        <f>IF(ISBLANK('Data Entry'!$ý$269), "", 'Data Entry'!$ý$269)</f>
      </c>
      <c r="GH269">
        <f>IF(ISBLANK('Data Entry'!$þ$269), "", 'Data Entry'!$þ$269)</f>
      </c>
      <c r="GI269">
        <f>IF(ISBLANK('Data Entry'!$ÿ$269), "", 'Data Entry'!$ÿ$269)</f>
      </c>
      <c r="GJ269">
        <f>IF(ISBLANK('Data Entry'!$Ā$269), "", 'Data Entry'!$Ā$269)</f>
      </c>
      <c r="GK269">
        <f>IF(ISBLANK('Data Entry'!$ā$269), "", 'Data Entry'!$ā$269)</f>
      </c>
      <c r="GL269">
        <f>IF(ISBLANK('Data Entry'!$Ă$269), "", 'Data Entry'!$Ă$269)</f>
      </c>
      <c r="GM269">
        <f>IF(ISBLANK('Data Entry'!$ă$269), "", 'Data Entry'!$ă$269)</f>
      </c>
      <c r="GN269">
        <f>IF(ISBLANK('Data Entry'!$Ą$269), "", 'Data Entry'!$Ą$269)</f>
      </c>
      <c r="GO269">
        <f>IF(ISBLANK('Data Entry'!$ą$269), "", 'Data Entry'!$ą$269)</f>
      </c>
      <c r="GP269">
        <f>IF(ISBLANK('Data Entry'!$Ć$269), "", 'Data Entry'!$Ć$269)</f>
      </c>
      <c r="GQ269">
        <f>IF(ISBLANK('Data Entry'!$ć$269), "", 'Data Entry'!$ć$269)</f>
      </c>
      <c r="GR269">
        <f>IF(ISBLANK('Data Entry'!$Ĉ$269), "", 'Data Entry'!$Ĉ$269)</f>
      </c>
      <c r="GS269">
        <f>IF(ISBLANK('Data Entry'!$ĉ$269), "", 'Data Entry'!$ĉ$269)</f>
      </c>
      <c r="GT269">
        <f>IF(ISBLANK('Data Entry'!$Ċ$269), "", 'Data Entry'!$Ċ$269)</f>
      </c>
      <c r="GU269">
        <f>IF(ISBLANK('Data Entry'!$ċ$269), "", 'Data Entry'!$ċ$269)</f>
      </c>
      <c r="GV269">
        <f>IF(ISBLANK('Data Entry'!$Č$269), "", 'Data Entry'!$Č$269)</f>
      </c>
      <c r="GW269">
        <f>IF(ISBLANK('Data Entry'!$č$269), "", 'Data Entry'!$č$269)</f>
      </c>
      <c r="GX269">
        <f>IF(ISBLANK('Data Entry'!$Ď$269), "", 'Data Entry'!$Ď$269)</f>
      </c>
      <c r="GY269">
        <f>IF(ISBLANK('Data Entry'!$ď$269), "", 'Data Entry'!$ď$269)</f>
      </c>
      <c r="GZ269">
        <f>IF(ISBLANK('Data Entry'!$Đ$269), "", 'Data Entry'!$Đ$269)</f>
      </c>
      <c r="HA269">
        <f>IF(ISBLANK('Data Entry'!$đ$269), "", 'Data Entry'!$đ$269)</f>
      </c>
      <c r="HB269">
        <f>IF(ISBLANK('Data Entry'!$Ē$269), "", 'Data Entry'!$Ē$269)</f>
      </c>
      <c r="HC269">
        <f>IF(ISBLANK('Data Entry'!$ē$269), "", 'Data Entry'!$ē$269)</f>
      </c>
      <c r="HD269">
        <f>IF(ISBLANK('Data Entry'!$Ĕ$269), "", 'Data Entry'!$Ĕ$269)</f>
      </c>
      <c r="HE269">
        <f>IF(ISBLANK('Data Entry'!$ĕ$269), "", 'Data Entry'!$ĕ$269)</f>
      </c>
      <c r="HF269">
        <f>IF(ISBLANK('Data Entry'!$Ė$269), "", 'Data Entry'!$Ė$269)</f>
      </c>
      <c r="HG269">
        <f>IF(ISBLANK('Data Entry'!$ė$269), "", 'Data Entry'!$ė$269)</f>
      </c>
      <c r="HH269">
        <f>IF(ISBLANK('Data Entry'!$Ę$269), "", 'Data Entry'!$Ę$269)</f>
      </c>
      <c r="HI269">
        <f>IF(ISBLANK('Data Entry'!$ę$269), "", 'Data Entry'!$ę$269)</f>
      </c>
      <c r="HJ269">
        <f>IF(ISBLANK('Data Entry'!$Ě$269), "", 'Data Entry'!$Ě$269)</f>
      </c>
      <c r="HK269">
        <f>IF(ISBLANK('Data Entry'!$ě$269), "", 'Data Entry'!$ě$269)</f>
      </c>
      <c r="HL269">
        <f>IF(ISBLANK('Data Entry'!$Ĝ$269), "", 'Data Entry'!$Ĝ$269)</f>
      </c>
      <c r="HM269">
        <f>IF(ISBLANK('Data Entry'!$ĝ$269), "", 'Data Entry'!$ĝ$269)</f>
      </c>
      <c r="HN269">
        <f>IF(ISBLANK('Data Entry'!$Ğ$269), "", 'Data Entry'!$Ğ$269)</f>
      </c>
      <c r="HO269">
        <f>IF(ISBLANK('Data Entry'!$ğ$269), "", 'Data Entry'!$ğ$269)</f>
      </c>
      <c r="HP269">
        <f>IF(ISBLANK('Data Entry'!$Ġ$269), "", 'Data Entry'!$Ġ$269)</f>
      </c>
      <c r="HQ269">
        <f>IF(ISBLANK('Data Entry'!$ġ$269), "", 'Data Entry'!$ġ$269)</f>
      </c>
      <c r="HR269">
        <f>IF(ISBLANK('Data Entry'!$Ģ$269), "", 'Data Entry'!$Ģ$269)</f>
      </c>
      <c r="HS269">
        <f>IF(ISBLANK('Data Entry'!$ģ$269), "", 'Data Entry'!$ģ$269)</f>
      </c>
      <c r="HT269">
        <f>IF(ISBLANK('Data Entry'!$Ĥ$269), "", 'Data Entry'!$Ĥ$269)</f>
      </c>
      <c r="HU269">
        <f>IF(ISBLANK('Data Entry'!$ĥ$269), "", 'Data Entry'!$ĥ$269)</f>
      </c>
      <c r="HV269">
        <f>IF(ISBLANK('Data Entry'!$Ħ$269), "", 'Data Entry'!$Ħ$269)</f>
      </c>
      <c r="HW269">
        <f>IF(ISBLANK('Data Entry'!$ħ$269), "", 'Data Entry'!$ħ$269)</f>
      </c>
      <c r="HX269">
        <f>IF(ISBLANK('Data Entry'!$Ĩ$269), "", 'Data Entry'!$Ĩ$269)</f>
      </c>
      <c r="HY269">
        <f>IF(ISBLANK('Data Entry'!$ĩ$269), "", 'Data Entry'!$ĩ$269)</f>
      </c>
      <c r="HZ269">
        <f>IF(ISBLANK('Data Entry'!$Ī$269), "", 'Data Entry'!$Ī$269)</f>
      </c>
      <c r="IA269">
        <f>IF(ISBLANK('Data Entry'!$ī$269), "", 'Data Entry'!$ī$269)</f>
      </c>
      <c r="IB269">
        <f>IF(ISBLANK('Data Entry'!$Ĭ$269), "", 'Data Entry'!$Ĭ$269)</f>
      </c>
      <c r="IC269">
        <f>IF(ISBLANK('Data Entry'!$ĭ$269), "", 'Data Entry'!$ĭ$269)</f>
      </c>
      <c r="ID269">
        <f>IF(ISBLANK('Data Entry'!$Į$269), "", 'Data Entry'!$Į$269)</f>
      </c>
      <c r="IE269">
        <f>IF(ISBLANK('Data Entry'!$į$269), "", 'Data Entry'!$į$269)</f>
      </c>
      <c r="IF269">
        <f>IF(ISBLANK('Data Entry'!$İ$269), "", 'Data Entry'!$İ$269)</f>
      </c>
      <c r="IG269">
        <f>IF(ISBLANK('Data Entry'!$ı$269), "", 'Data Entry'!$ı$269)</f>
      </c>
      <c r="IH269">
        <f>IF(ISBLANK('Data Entry'!$Ĳ$269), "", 'Data Entry'!$Ĳ$269)</f>
      </c>
      <c r="II269">
        <f>IF(ISBLANK('Data Entry'!$ĳ$269), "", 'Data Entry'!$ĳ$269)</f>
      </c>
      <c r="IJ269">
        <f>IF(ISBLANK('Data Entry'!$Ĵ$269), "", 'Data Entry'!$Ĵ$269)</f>
      </c>
      <c r="IK269">
        <f>IF(ISBLANK('Data Entry'!$ĵ$269), "", 'Data Entry'!$ĵ$269)</f>
      </c>
      <c r="IL269">
        <f>IF(ISBLANK('Data Entry'!$Ķ$269), "", 'Data Entry'!$Ķ$269)</f>
      </c>
      <c r="IM269">
        <f>IF(ISBLANK('Data Entry'!$ķ$269), "", 'Data Entry'!$ķ$269)</f>
      </c>
      <c r="IN269">
        <f>IF(ISBLANK('Data Entry'!$ĸ$269), "", 'Data Entry'!$ĸ$269)</f>
      </c>
      <c r="IO269">
        <f>IF(ISBLANK('Data Entry'!$Ĺ$269), "", 'Data Entry'!$Ĺ$269)</f>
      </c>
      <c r="IP269">
        <f>IF(ISBLANK('Data Entry'!$ĺ$269), "", 'Data Entry'!$ĺ$269)</f>
      </c>
      <c r="IQ269">
        <f>IF(ISBLANK('Data Entry'!$Ļ$269), "", 'Data Entry'!$Ļ$269)</f>
      </c>
      <c r="IR269">
        <f>IF(ISBLANK('Data Entry'!$ļ$269), "", 'Data Entry'!$ļ$269)</f>
      </c>
      <c r="IS269">
        <f>IF(ISBLANK('Data Entry'!$Ľ$269), "", 'Data Entry'!$Ľ$269)</f>
      </c>
      <c r="IT269">
        <f>IF(ISBLANK('Data Entry'!$ľ$269), "", 'Data Entry'!$ľ$269)</f>
      </c>
    </row>
    <row r="270" spans="1:254" x14ac:dyDescent="0.25">
      <c r="A270">
        <f>IF(ISBLANK('Data Entry'!$A$270), "", 'Data Entry'!$A$270)</f>
      </c>
      <c r="B270">
        <f>IF(ISBLANK('Data Entry'!$B$270), "", 'Data Entry'!$B$270)</f>
      </c>
      <c r="C270">
        <f>IF(ISBLANK('Data Entry'!$C$270), "", 'Data Entry'!$C$270)</f>
      </c>
      <c r="D270">
        <f>IF(ISBLANK('Data Entry'!$D$270), "", 'Data Entry'!$D$270)</f>
      </c>
      <c r="E270">
        <f>IF(ISBLANK('Data Entry'!$E$270), "", 'Data Entry'!$E$270)</f>
      </c>
      <c r="F270">
        <f>IF(ISBLANK('Data Entry'!$F$270), "", 'Data Entry'!$F$270)</f>
      </c>
      <c r="G270">
        <f>IF(ISBLANK('Data Entry'!$G$270), "", 'Data Entry'!$G$270)</f>
      </c>
      <c r="H270">
        <f>IF(ISBLANK('Data Entry'!$H$270), "", 'Data Entry'!$H$270)</f>
      </c>
      <c r="I270">
        <f>IF(ISBLANK('Data Entry'!$I$270), "", 'Data Entry'!$I$270)</f>
      </c>
      <c r="J270">
        <f>IF(ISBLANK('Data Entry'!$J$270), "", 'Data Entry'!$J$270)</f>
      </c>
      <c r="K270">
        <f>IF(ISBLANK('Data Entry'!$K$270), "", 'Data Entry'!$K$270)</f>
      </c>
      <c r="L270">
        <f>IF(ISBLANK('Data Entry'!$L$270), "", 'Data Entry'!$L$270)</f>
      </c>
      <c r="M270">
        <f>IF(ISBLANK('Data Entry'!$M$270), "", 'Data Entry'!$M$270)</f>
      </c>
      <c r="N270">
        <f>IF(ISBLANK('Data Entry'!$N$270), "", 'Data Entry'!$N$270)</f>
      </c>
      <c r="O270">
        <f>IF(ISBLANK('Data Entry'!$O$270), "", 'Data Entry'!$O$270)</f>
      </c>
      <c r="P270">
        <f>IF(ISBLANK('Data Entry'!$P$270), "", 'Data Entry'!$P$270)</f>
      </c>
      <c r="Q270">
        <f>IF(ISBLANK('Data Entry'!$Q$270), "", 'Data Entry'!$Q$270)</f>
      </c>
      <c r="R270">
        <f>IF(ISBLANK('Data Entry'!$R$270), "", 'Data Entry'!$R$270)</f>
      </c>
      <c r="S270">
        <f>IF(ISBLANK('Data Entry'!$S$270), "", 'Data Entry'!$S$270)</f>
      </c>
      <c r="T270">
        <f>IF(ISBLANK('Data Entry'!$T$270), "", 'Data Entry'!$T$270)</f>
      </c>
      <c r="U270">
        <f>IF(ISBLANK('Data Entry'!$U$270), "", 'Data Entry'!$U$270)</f>
      </c>
      <c r="V270">
        <f>IF(ISBLANK('Data Entry'!$V$270), "", 'Data Entry'!$V$270)</f>
      </c>
      <c r="W270">
        <f>IF(ISBLANK('Data Entry'!$W$270), "", 'Data Entry'!$W$270)</f>
      </c>
      <c r="X270">
        <f>IF(ISBLANK('Data Entry'!$X$270), "", 'Data Entry'!$X$270)</f>
      </c>
      <c r="Y270">
        <f>IF(ISBLANK('Data Entry'!$Y$270), "", 'Data Entry'!$Y$270)</f>
      </c>
      <c r="Z270">
        <f>IF(ISBLANK('Data Entry'!$Z$270), "", 'Data Entry'!$Z$270)</f>
      </c>
      <c r="AA270">
        <f>IF(ISBLANK('Data Entry'!$[$270), "", 'Data Entry'!$[$270)</f>
      </c>
      <c r="AB270">
        <f>IF(ISBLANK('Data Entry'!$\$270), "", 'Data Entry'!$\$270)</f>
      </c>
      <c r="AC270">
        <f>IF(ISBLANK('Data Entry'!$]$270), "", 'Data Entry'!$]$270)</f>
      </c>
      <c r="AD270">
        <f>IF(ISBLANK('Data Entry'!$^$270), "", 'Data Entry'!$^$270)</f>
      </c>
      <c r="AE270">
        <f>IF(ISBLANK('Data Entry'!$_$270), "", 'Data Entry'!$_$270)</f>
      </c>
      <c r="AF270">
        <f>IF(ISBLANK('Data Entry'!$`$270), "", 'Data Entry'!$`$270)</f>
      </c>
      <c r="AG270">
        <f>IF(ISBLANK('Data Entry'!$a$270), "", 'Data Entry'!$a$270)</f>
      </c>
      <c r="AH270">
        <f>IF(ISBLANK('Data Entry'!$b$270), "", 'Data Entry'!$b$270)</f>
      </c>
      <c r="AI270">
        <f>IF(ISBLANK('Data Entry'!$c$270), "", 'Data Entry'!$c$270)</f>
      </c>
      <c r="AJ270">
        <f>IF(ISBLANK('Data Entry'!$d$270), "", 'Data Entry'!$d$270)</f>
      </c>
      <c r="AK270">
        <f>IF(ISBLANK('Data Entry'!$e$270), "", 'Data Entry'!$e$270)</f>
      </c>
      <c r="AL270">
        <f>IF(ISBLANK('Data Entry'!$f$270), "", 'Data Entry'!$f$270)</f>
      </c>
      <c r="AM270">
        <f>IF(ISBLANK('Data Entry'!$g$270), "", 'Data Entry'!$g$270)</f>
      </c>
      <c r="AN270">
        <f>IF(ISBLANK('Data Entry'!$h$270), "", 'Data Entry'!$h$270)</f>
      </c>
      <c r="AO270">
        <f>IF(ISBLANK('Data Entry'!$i$270), "", 'Data Entry'!$i$270)</f>
      </c>
      <c r="AP270">
        <f>IF(ISBLANK('Data Entry'!$j$270), "", 'Data Entry'!$j$270)</f>
      </c>
      <c r="AQ270">
        <f>IF(ISBLANK('Data Entry'!$k$270), "", 'Data Entry'!$k$270)</f>
      </c>
      <c r="AR270">
        <f>IF(ISBLANK('Data Entry'!$l$270), "", 'Data Entry'!$l$270)</f>
      </c>
      <c r="AS270">
        <f>IF(ISBLANK('Data Entry'!$m$270), "", 'Data Entry'!$m$270)</f>
      </c>
      <c r="AT270">
        <f>IF(ISBLANK('Data Entry'!$n$270), "", 'Data Entry'!$n$270)</f>
      </c>
      <c r="AU270">
        <f>IF(ISBLANK('Data Entry'!$o$270), "", 'Data Entry'!$o$270)</f>
      </c>
      <c r="AV270">
        <f>IF(ISBLANK('Data Entry'!$p$270), "", 'Data Entry'!$p$270)</f>
      </c>
      <c r="AW270">
        <f>IF(ISBLANK('Data Entry'!$q$270), "", 'Data Entry'!$q$270)</f>
      </c>
      <c r="AX270">
        <f>IF(ISBLANK('Data Entry'!$r$270), "", 'Data Entry'!$r$270)</f>
      </c>
      <c r="AY270">
        <f>IF(ISBLANK('Data Entry'!$s$270), "", 'Data Entry'!$s$270)</f>
      </c>
      <c r="AZ270">
        <f>IF(ISBLANK('Data Entry'!$t$270), "", 'Data Entry'!$t$270)</f>
      </c>
      <c r="BA270">
        <f>IF(ISBLANK('Data Entry'!$u$270), "", 'Data Entry'!$u$270)</f>
      </c>
      <c r="BB270">
        <f>IF(ISBLANK('Data Entry'!$v$270), "", 'Data Entry'!$v$270)</f>
      </c>
      <c r="BC270">
        <f>IF(ISBLANK('Data Entry'!$w$270), "", 'Data Entry'!$w$270)</f>
      </c>
      <c r="BD270">
        <f>IF(ISBLANK('Data Entry'!$x$270), "", 'Data Entry'!$x$270)</f>
      </c>
      <c r="BE270">
        <f>IF(ISBLANK('Data Entry'!$y$270), "", 'Data Entry'!$y$270)</f>
      </c>
      <c r="BF270">
        <f>IF(ISBLANK('Data Entry'!$z$270), "", 'Data Entry'!$z$270)</f>
      </c>
      <c r="BG270">
        <f>IF(ISBLANK('Data Entry'!${$270), "", 'Data Entry'!${$270)</f>
      </c>
      <c r="BH270">
        <f>IF(ISBLANK('Data Entry'!$|$270), "", 'Data Entry'!$|$270)</f>
      </c>
      <c r="BI270">
        <f>IF(ISBLANK('Data Entry'!$}$270), "", 'Data Entry'!$}$270)</f>
      </c>
      <c r="BJ270">
        <f>IF(ISBLANK('Data Entry'!$~$270), "", 'Data Entry'!$~$270)</f>
      </c>
      <c r="BK270">
        <f>IF(ISBLANK('Data Entry'!$$270), "", 'Data Entry'!$$270)</f>
      </c>
      <c r="BL270">
        <f>IF(ISBLANK('Data Entry'!$$270), "", 'Data Entry'!$$270)</f>
      </c>
      <c r="BM270">
        <f>IF(ISBLANK('Data Entry'!$$270), "", 'Data Entry'!$$270)</f>
      </c>
      <c r="BN270">
        <f>IF(ISBLANK('Data Entry'!$$270), "", 'Data Entry'!$$270)</f>
      </c>
      <c r="BO270">
        <f>IF(ISBLANK('Data Entry'!$$270), "", 'Data Entry'!$$270)</f>
      </c>
      <c r="BP270">
        <f>IF(ISBLANK('Data Entry'!$$270), "", 'Data Entry'!$$270)</f>
      </c>
      <c r="BQ270">
        <f>IF(ISBLANK('Data Entry'!$$270), "", 'Data Entry'!$$270)</f>
      </c>
      <c r="BR270">
        <f>IF(ISBLANK('Data Entry'!$$270), "", 'Data Entry'!$$270)</f>
      </c>
      <c r="BS270">
        <f>IF(ISBLANK('Data Entry'!$$270), "", 'Data Entry'!$$270)</f>
      </c>
      <c r="BT270">
        <f>IF(ISBLANK('Data Entry'!$$270), "", 'Data Entry'!$$270)</f>
      </c>
      <c r="BU270">
        <f>IF(ISBLANK('Data Entry'!$$270), "", 'Data Entry'!$$270)</f>
      </c>
      <c r="BV270">
        <f>IF(ISBLANK('Data Entry'!$$270), "", 'Data Entry'!$$270)</f>
      </c>
      <c r="BW270">
        <f>IF(ISBLANK('Data Entry'!$$270), "", 'Data Entry'!$$270)</f>
      </c>
      <c r="BX270">
        <f>IF(ISBLANK('Data Entry'!$$270), "", 'Data Entry'!$$270)</f>
      </c>
      <c r="BY270">
        <f>IF(ISBLANK('Data Entry'!$$270), "", 'Data Entry'!$$270)</f>
      </c>
      <c r="BZ270">
        <f>IF(ISBLANK('Data Entry'!$$270), "", 'Data Entry'!$$270)</f>
      </c>
      <c r="CA270">
        <f>IF(ISBLANK('Data Entry'!$$270), "", 'Data Entry'!$$270)</f>
      </c>
      <c r="CB270">
        <f>IF(ISBLANK('Data Entry'!$$270), "", 'Data Entry'!$$270)</f>
      </c>
      <c r="CC270">
        <f>IF(ISBLANK('Data Entry'!$$270), "", 'Data Entry'!$$270)</f>
      </c>
      <c r="CD270">
        <f>IF(ISBLANK('Data Entry'!$$270), "", 'Data Entry'!$$270)</f>
      </c>
      <c r="CE270">
        <f>IF(ISBLANK('Data Entry'!$$270), "", 'Data Entry'!$$270)</f>
      </c>
      <c r="CF270">
        <f>IF(ISBLANK('Data Entry'!$$270), "", 'Data Entry'!$$270)</f>
      </c>
      <c r="CG270">
        <f>IF(ISBLANK('Data Entry'!$$270), "", 'Data Entry'!$$270)</f>
      </c>
      <c r="CH270">
        <f>IF(ISBLANK('Data Entry'!$$270), "", 'Data Entry'!$$270)</f>
      </c>
      <c r="CI270">
        <f>IF(ISBLANK('Data Entry'!$$270), "", 'Data Entry'!$$270)</f>
      </c>
      <c r="CJ270">
        <f>IF(ISBLANK('Data Entry'!$$270), "", 'Data Entry'!$$270)</f>
      </c>
      <c r="CK270">
        <f>IF(ISBLANK('Data Entry'!$$270), "", 'Data Entry'!$$270)</f>
      </c>
      <c r="CL270">
        <f>IF(ISBLANK('Data Entry'!$$270), "", 'Data Entry'!$$270)</f>
      </c>
      <c r="CM270">
        <f>IF(ISBLANK('Data Entry'!$$270), "", 'Data Entry'!$$270)</f>
      </c>
      <c r="CN270">
        <f>IF(ISBLANK('Data Entry'!$$270), "", 'Data Entry'!$$270)</f>
      </c>
      <c r="CO270">
        <f>IF(ISBLANK('Data Entry'!$$270), "", 'Data Entry'!$$270)</f>
      </c>
      <c r="CP270">
        <f>IF(ISBLANK('Data Entry'!$$270), "", 'Data Entry'!$$270)</f>
      </c>
      <c r="CQ270">
        <f>IF(ISBLANK('Data Entry'!$$270), "", 'Data Entry'!$$270)</f>
      </c>
      <c r="CR270">
        <f>IF(ISBLANK('Data Entry'!$ $270), "", 'Data Entry'!$ $270)</f>
      </c>
      <c r="CS270">
        <f>IF(ISBLANK('Data Entry'!$¡$270), "", 'Data Entry'!$¡$270)</f>
      </c>
      <c r="CT270">
        <f>IF(ISBLANK('Data Entry'!$¢$270), "", 'Data Entry'!$¢$270)</f>
      </c>
      <c r="CU270">
        <f>IF(ISBLANK('Data Entry'!$£$270), "", 'Data Entry'!$£$270)</f>
      </c>
      <c r="CV270">
        <f>IF(ISBLANK('Data Entry'!$¤$270), "", 'Data Entry'!$¤$270)</f>
      </c>
      <c r="CW270">
        <f>IF(ISBLANK('Data Entry'!$¥$270), "", 'Data Entry'!$¥$270)</f>
      </c>
      <c r="CX270">
        <f>IF(ISBLANK('Data Entry'!$¦$270), "", 'Data Entry'!$¦$270)</f>
      </c>
      <c r="CY270">
        <f>IF(ISBLANK('Data Entry'!$§$270), "", 'Data Entry'!$§$270)</f>
      </c>
      <c r="CZ270">
        <f>IF(ISBLANK('Data Entry'!$¨$270), "", 'Data Entry'!$¨$270)</f>
      </c>
      <c r="DA270">
        <f>IF(ISBLANK('Data Entry'!$©$270), "", 'Data Entry'!$©$270)</f>
      </c>
      <c r="DB270">
        <f>IF(ISBLANK('Data Entry'!$ª$270), "", 'Data Entry'!$ª$270)</f>
      </c>
      <c r="DC270">
        <f>IF(ISBLANK('Data Entry'!$«$270), "", 'Data Entry'!$«$270)</f>
      </c>
      <c r="DD270">
        <f>IF(ISBLANK('Data Entry'!$¬$270), "", 'Data Entry'!$¬$270)</f>
      </c>
      <c r="DE270">
        <f>IF(ISBLANK('Data Entry'!$­$270), "", 'Data Entry'!$­$270)</f>
      </c>
      <c r="DF270">
        <f>IF(ISBLANK('Data Entry'!$®$270), "", 'Data Entry'!$®$270)</f>
      </c>
      <c r="DG270">
        <f>IF(ISBLANK('Data Entry'!$¯$270), "", 'Data Entry'!$¯$270)</f>
      </c>
      <c r="DH270">
        <f>IF(ISBLANK('Data Entry'!$°$270), "", 'Data Entry'!$°$270)</f>
      </c>
      <c r="DI270">
        <f>IF(ISBLANK('Data Entry'!$±$270), "", 'Data Entry'!$±$270)</f>
      </c>
      <c r="DJ270">
        <f>IF(ISBLANK('Data Entry'!$²$270), "", 'Data Entry'!$²$270)</f>
      </c>
      <c r="DK270">
        <f>IF(ISBLANK('Data Entry'!$³$270), "", 'Data Entry'!$³$270)</f>
      </c>
      <c r="DL270">
        <f>IF(ISBLANK('Data Entry'!$´$270), "", 'Data Entry'!$´$270)</f>
      </c>
      <c r="DM270">
        <f>IF(ISBLANK('Data Entry'!$µ$270), "", 'Data Entry'!$µ$270)</f>
      </c>
      <c r="DN270">
        <f>IF(ISBLANK('Data Entry'!$¶$270), "", 'Data Entry'!$¶$270)</f>
      </c>
      <c r="DO270">
        <f>IF(ISBLANK('Data Entry'!$·$270), "", 'Data Entry'!$·$270)</f>
      </c>
      <c r="DP270">
        <f>IF(ISBLANK('Data Entry'!$¸$270), "", 'Data Entry'!$¸$270)</f>
      </c>
      <c r="DQ270">
        <f>IF(ISBLANK('Data Entry'!$¹$270), "", 'Data Entry'!$¹$270)</f>
      </c>
      <c r="DR270">
        <f>IF(ISBLANK('Data Entry'!$º$270), "", 'Data Entry'!$º$270)</f>
      </c>
      <c r="DS270">
        <f>IF(ISBLANK('Data Entry'!$»$270), "", 'Data Entry'!$»$270)</f>
      </c>
      <c r="DT270">
        <f>IF(ISBLANK('Data Entry'!$¼$270), "", 'Data Entry'!$¼$270)</f>
      </c>
      <c r="DU270">
        <f>IF(ISBLANK('Data Entry'!$½$270), "", 'Data Entry'!$½$270)</f>
      </c>
      <c r="DV270">
        <f>IF(ISBLANK('Data Entry'!$¾$270), "", 'Data Entry'!$¾$270)</f>
      </c>
      <c r="DW270">
        <f>IF(ISBLANK('Data Entry'!$¿$270), "", 'Data Entry'!$¿$270)</f>
      </c>
      <c r="DX270">
        <f>IF(ISBLANK('Data Entry'!$À$270), "", 'Data Entry'!$À$270)</f>
      </c>
      <c r="DY270">
        <f>IF(ISBLANK('Data Entry'!$Á$270), "", 'Data Entry'!$Á$270)</f>
      </c>
      <c r="DZ270">
        <f>IF(ISBLANK('Data Entry'!$Â$270), "", 'Data Entry'!$Â$270)</f>
      </c>
      <c r="EA270">
        <f>IF(ISBLANK('Data Entry'!$Ã$270), "", 'Data Entry'!$Ã$270)</f>
      </c>
      <c r="EB270">
        <f>IF(ISBLANK('Data Entry'!$Ä$270), "", 'Data Entry'!$Ä$270)</f>
      </c>
      <c r="EC270">
        <f>IF(ISBLANK('Data Entry'!$Å$270), "", 'Data Entry'!$Å$270)</f>
      </c>
      <c r="ED270">
        <f>IF(ISBLANK('Data Entry'!$Æ$270), "", 'Data Entry'!$Æ$270)</f>
      </c>
      <c r="EE270">
        <f>IF(ISBLANK('Data Entry'!$Ç$270), "", 'Data Entry'!$Ç$270)</f>
      </c>
      <c r="EF270">
        <f>IF(ISBLANK('Data Entry'!$È$270), "", 'Data Entry'!$È$270)</f>
      </c>
      <c r="EG270">
        <f>IF(ISBLANK('Data Entry'!$É$270), "", 'Data Entry'!$É$270)</f>
      </c>
      <c r="EH270">
        <f>IF(ISBLANK('Data Entry'!$Ê$270), "", 'Data Entry'!$Ê$270)</f>
      </c>
      <c r="EI270">
        <f>IF(ISBLANK('Data Entry'!$Ë$270), "", 'Data Entry'!$Ë$270)</f>
      </c>
      <c r="EJ270">
        <f>IF(ISBLANK('Data Entry'!$Ì$270), "", 'Data Entry'!$Ì$270)</f>
      </c>
      <c r="EK270">
        <f>IF(ISBLANK('Data Entry'!$Í$270), "", 'Data Entry'!$Í$270)</f>
      </c>
      <c r="EL270">
        <f>IF(ISBLANK('Data Entry'!$Î$270), "", 'Data Entry'!$Î$270)</f>
      </c>
      <c r="EM270">
        <f>IF(ISBLANK('Data Entry'!$Ï$270), "", 'Data Entry'!$Ï$270)</f>
      </c>
      <c r="EN270">
        <f>IF(ISBLANK('Data Entry'!$Ð$270), "", 'Data Entry'!$Ð$270)</f>
      </c>
      <c r="EO270">
        <f>IF(ISBLANK('Data Entry'!$Ñ$270), "", 'Data Entry'!$Ñ$270)</f>
      </c>
      <c r="EP270">
        <f>IF(ISBLANK('Data Entry'!$Ò$270), "", 'Data Entry'!$Ò$270)</f>
      </c>
      <c r="EQ270">
        <f>IF(ISBLANK('Data Entry'!$Ó$270), "", 'Data Entry'!$Ó$270)</f>
      </c>
      <c r="ER270">
        <f>IF(ISBLANK('Data Entry'!$Ô$270), "", 'Data Entry'!$Ô$270)</f>
      </c>
      <c r="ES270">
        <f>IF(ISBLANK('Data Entry'!$Õ$270), "", 'Data Entry'!$Õ$270)</f>
      </c>
      <c r="ET270">
        <f>IF(ISBLANK('Data Entry'!$Ö$270), "", 'Data Entry'!$Ö$270)</f>
      </c>
      <c r="EU270">
        <f>IF(ISBLANK('Data Entry'!$×$270), "", 'Data Entry'!$×$270)</f>
      </c>
      <c r="EV270">
        <f>IF(ISBLANK('Data Entry'!$Ø$270), "", 'Data Entry'!$Ø$270)</f>
      </c>
      <c r="EW270">
        <f>IF(ISBLANK('Data Entry'!$Ù$270), "", 'Data Entry'!$Ù$270)</f>
      </c>
      <c r="EX270">
        <f>IF(ISBLANK('Data Entry'!$Ú$270), "", 'Data Entry'!$Ú$270)</f>
      </c>
      <c r="EY270">
        <f>IF(ISBLANK('Data Entry'!$Û$270), "", 'Data Entry'!$Û$270)</f>
      </c>
      <c r="EZ270">
        <f>IF(ISBLANK('Data Entry'!$Ü$270), "", 'Data Entry'!$Ü$270)</f>
      </c>
      <c r="FA270">
        <f>IF(ISBLANK('Data Entry'!$Ý$270), "", 'Data Entry'!$Ý$270)</f>
      </c>
      <c r="FB270">
        <f>IF(ISBLANK('Data Entry'!$Þ$270), "", 'Data Entry'!$Þ$270)</f>
      </c>
      <c r="FC270">
        <f>IF(ISBLANK('Data Entry'!$ß$270), "", 'Data Entry'!$ß$270)</f>
      </c>
      <c r="FD270">
        <f>IF(ISBLANK('Data Entry'!$à$270), "", 'Data Entry'!$à$270)</f>
      </c>
      <c r="FE270">
        <f>IF(ISBLANK('Data Entry'!$á$270), "", 'Data Entry'!$á$270)</f>
      </c>
      <c r="FF270">
        <f>IF(ISBLANK('Data Entry'!$â$270), "", 'Data Entry'!$â$270)</f>
      </c>
      <c r="FG270">
        <f>IF(ISBLANK('Data Entry'!$ã$270), "", 'Data Entry'!$ã$270)</f>
      </c>
      <c r="FH270">
        <f>IF(ISBLANK('Data Entry'!$ä$270), "", 'Data Entry'!$ä$270)</f>
      </c>
      <c r="FI270">
        <f>IF(ISBLANK('Data Entry'!$å$270), "", 'Data Entry'!$å$270)</f>
      </c>
      <c r="FJ270">
        <f>IF(ISBLANK('Data Entry'!$æ$270), "", 'Data Entry'!$æ$270)</f>
      </c>
      <c r="FK270">
        <f>IF(ISBLANK('Data Entry'!$ç$270), "", 'Data Entry'!$ç$270)</f>
      </c>
      <c r="FL270">
        <f>IF(ISBLANK('Data Entry'!$è$270), "", 'Data Entry'!$è$270)</f>
      </c>
      <c r="FM270">
        <f>IF(ISBLANK('Data Entry'!$é$270), "", 'Data Entry'!$é$270)</f>
      </c>
      <c r="FN270">
        <f>IF(ISBLANK('Data Entry'!$ê$270), "", 'Data Entry'!$ê$270)</f>
      </c>
      <c r="FO270">
        <f>IF(ISBLANK('Data Entry'!$ë$270), "", 'Data Entry'!$ë$270)</f>
      </c>
      <c r="FP270">
        <f>IF(ISBLANK('Data Entry'!$ì$270), "", 'Data Entry'!$ì$270)</f>
      </c>
      <c r="FQ270">
        <f>IF(ISBLANK('Data Entry'!$í$270), "", 'Data Entry'!$í$270)</f>
      </c>
      <c r="FR270">
        <f>IF(ISBLANK('Data Entry'!$î$270), "", 'Data Entry'!$î$270)</f>
      </c>
      <c r="FS270">
        <f>IF(ISBLANK('Data Entry'!$ï$270), "", 'Data Entry'!$ï$270)</f>
      </c>
      <c r="FT270">
        <f>IF(ISBLANK('Data Entry'!$ð$270), "", 'Data Entry'!$ð$270)</f>
      </c>
      <c r="FU270">
        <f>IF(ISBLANK('Data Entry'!$ñ$270), "", 'Data Entry'!$ñ$270)</f>
      </c>
      <c r="FV270">
        <f>IF(ISBLANK('Data Entry'!$ò$270), "", 'Data Entry'!$ò$270)</f>
      </c>
      <c r="FW270">
        <f>IF(ISBLANK('Data Entry'!$ó$270), "", 'Data Entry'!$ó$270)</f>
      </c>
      <c r="FX270">
        <f>IF(ISBLANK('Data Entry'!$ô$270), "", 'Data Entry'!$ô$270)</f>
      </c>
      <c r="FY270">
        <f>IF(ISBLANK('Data Entry'!$õ$270), "", 'Data Entry'!$õ$270)</f>
      </c>
      <c r="FZ270">
        <f>IF(ISBLANK('Data Entry'!$ö$270), "", 'Data Entry'!$ö$270)</f>
      </c>
      <c r="GA270">
        <f>IF(ISBLANK('Data Entry'!$÷$270), "", 'Data Entry'!$÷$270)</f>
      </c>
      <c r="GB270">
        <f>IF(ISBLANK('Data Entry'!$ø$270), "", 'Data Entry'!$ø$270)</f>
      </c>
      <c r="GC270">
        <f>IF(ISBLANK('Data Entry'!$ù$270), "", 'Data Entry'!$ù$270)</f>
      </c>
      <c r="GD270">
        <f>IF(ISBLANK('Data Entry'!$ú$270), "", 'Data Entry'!$ú$270)</f>
      </c>
      <c r="GE270">
        <f>IF(ISBLANK('Data Entry'!$û$270), "", 'Data Entry'!$û$270)</f>
      </c>
      <c r="GF270">
        <f>IF(ISBLANK('Data Entry'!$ü$270), "", 'Data Entry'!$ü$270)</f>
      </c>
      <c r="GG270">
        <f>IF(ISBLANK('Data Entry'!$ý$270), "", 'Data Entry'!$ý$270)</f>
      </c>
      <c r="GH270">
        <f>IF(ISBLANK('Data Entry'!$þ$270), "", 'Data Entry'!$þ$270)</f>
      </c>
      <c r="GI270">
        <f>IF(ISBLANK('Data Entry'!$ÿ$270), "", 'Data Entry'!$ÿ$270)</f>
      </c>
      <c r="GJ270">
        <f>IF(ISBLANK('Data Entry'!$Ā$270), "", 'Data Entry'!$Ā$270)</f>
      </c>
      <c r="GK270">
        <f>IF(ISBLANK('Data Entry'!$ā$270), "", 'Data Entry'!$ā$270)</f>
      </c>
      <c r="GL270">
        <f>IF(ISBLANK('Data Entry'!$Ă$270), "", 'Data Entry'!$Ă$270)</f>
      </c>
      <c r="GM270">
        <f>IF(ISBLANK('Data Entry'!$ă$270), "", 'Data Entry'!$ă$270)</f>
      </c>
      <c r="GN270">
        <f>IF(ISBLANK('Data Entry'!$Ą$270), "", 'Data Entry'!$Ą$270)</f>
      </c>
      <c r="GO270">
        <f>IF(ISBLANK('Data Entry'!$ą$270), "", 'Data Entry'!$ą$270)</f>
      </c>
      <c r="GP270">
        <f>IF(ISBLANK('Data Entry'!$Ć$270), "", 'Data Entry'!$Ć$270)</f>
      </c>
      <c r="GQ270">
        <f>IF(ISBLANK('Data Entry'!$ć$270), "", 'Data Entry'!$ć$270)</f>
      </c>
      <c r="GR270">
        <f>IF(ISBLANK('Data Entry'!$Ĉ$270), "", 'Data Entry'!$Ĉ$270)</f>
      </c>
      <c r="GS270">
        <f>IF(ISBLANK('Data Entry'!$ĉ$270), "", 'Data Entry'!$ĉ$270)</f>
      </c>
      <c r="GT270">
        <f>IF(ISBLANK('Data Entry'!$Ċ$270), "", 'Data Entry'!$Ċ$270)</f>
      </c>
      <c r="GU270">
        <f>IF(ISBLANK('Data Entry'!$ċ$270), "", 'Data Entry'!$ċ$270)</f>
      </c>
      <c r="GV270">
        <f>IF(ISBLANK('Data Entry'!$Č$270), "", 'Data Entry'!$Č$270)</f>
      </c>
      <c r="GW270">
        <f>IF(ISBLANK('Data Entry'!$č$270), "", 'Data Entry'!$č$270)</f>
      </c>
      <c r="GX270">
        <f>IF(ISBLANK('Data Entry'!$Ď$270), "", 'Data Entry'!$Ď$270)</f>
      </c>
      <c r="GY270">
        <f>IF(ISBLANK('Data Entry'!$ď$270), "", 'Data Entry'!$ď$270)</f>
      </c>
      <c r="GZ270">
        <f>IF(ISBLANK('Data Entry'!$Đ$270), "", 'Data Entry'!$Đ$270)</f>
      </c>
      <c r="HA270">
        <f>IF(ISBLANK('Data Entry'!$đ$270), "", 'Data Entry'!$đ$270)</f>
      </c>
      <c r="HB270">
        <f>IF(ISBLANK('Data Entry'!$Ē$270), "", 'Data Entry'!$Ē$270)</f>
      </c>
      <c r="HC270">
        <f>IF(ISBLANK('Data Entry'!$ē$270), "", 'Data Entry'!$ē$270)</f>
      </c>
      <c r="HD270">
        <f>IF(ISBLANK('Data Entry'!$Ĕ$270), "", 'Data Entry'!$Ĕ$270)</f>
      </c>
      <c r="HE270">
        <f>IF(ISBLANK('Data Entry'!$ĕ$270), "", 'Data Entry'!$ĕ$270)</f>
      </c>
      <c r="HF270">
        <f>IF(ISBLANK('Data Entry'!$Ė$270), "", 'Data Entry'!$Ė$270)</f>
      </c>
      <c r="HG270">
        <f>IF(ISBLANK('Data Entry'!$ė$270), "", 'Data Entry'!$ė$270)</f>
      </c>
      <c r="HH270">
        <f>IF(ISBLANK('Data Entry'!$Ę$270), "", 'Data Entry'!$Ę$270)</f>
      </c>
      <c r="HI270">
        <f>IF(ISBLANK('Data Entry'!$ę$270), "", 'Data Entry'!$ę$270)</f>
      </c>
      <c r="HJ270">
        <f>IF(ISBLANK('Data Entry'!$Ě$270), "", 'Data Entry'!$Ě$270)</f>
      </c>
      <c r="HK270">
        <f>IF(ISBLANK('Data Entry'!$ě$270), "", 'Data Entry'!$ě$270)</f>
      </c>
      <c r="HL270">
        <f>IF(ISBLANK('Data Entry'!$Ĝ$270), "", 'Data Entry'!$Ĝ$270)</f>
      </c>
      <c r="HM270">
        <f>IF(ISBLANK('Data Entry'!$ĝ$270), "", 'Data Entry'!$ĝ$270)</f>
      </c>
      <c r="HN270">
        <f>IF(ISBLANK('Data Entry'!$Ğ$270), "", 'Data Entry'!$Ğ$270)</f>
      </c>
      <c r="HO270">
        <f>IF(ISBLANK('Data Entry'!$ğ$270), "", 'Data Entry'!$ğ$270)</f>
      </c>
      <c r="HP270">
        <f>IF(ISBLANK('Data Entry'!$Ġ$270), "", 'Data Entry'!$Ġ$270)</f>
      </c>
      <c r="HQ270">
        <f>IF(ISBLANK('Data Entry'!$ġ$270), "", 'Data Entry'!$ġ$270)</f>
      </c>
      <c r="HR270">
        <f>IF(ISBLANK('Data Entry'!$Ģ$270), "", 'Data Entry'!$Ģ$270)</f>
      </c>
      <c r="HS270">
        <f>IF(ISBLANK('Data Entry'!$ģ$270), "", 'Data Entry'!$ģ$270)</f>
      </c>
      <c r="HT270">
        <f>IF(ISBLANK('Data Entry'!$Ĥ$270), "", 'Data Entry'!$Ĥ$270)</f>
      </c>
      <c r="HU270">
        <f>IF(ISBLANK('Data Entry'!$ĥ$270), "", 'Data Entry'!$ĥ$270)</f>
      </c>
      <c r="HV270">
        <f>IF(ISBLANK('Data Entry'!$Ħ$270), "", 'Data Entry'!$Ħ$270)</f>
      </c>
      <c r="HW270">
        <f>IF(ISBLANK('Data Entry'!$ħ$270), "", 'Data Entry'!$ħ$270)</f>
      </c>
      <c r="HX270">
        <f>IF(ISBLANK('Data Entry'!$Ĩ$270), "", 'Data Entry'!$Ĩ$270)</f>
      </c>
      <c r="HY270">
        <f>IF(ISBLANK('Data Entry'!$ĩ$270), "", 'Data Entry'!$ĩ$270)</f>
      </c>
      <c r="HZ270">
        <f>IF(ISBLANK('Data Entry'!$Ī$270), "", 'Data Entry'!$Ī$270)</f>
      </c>
      <c r="IA270">
        <f>IF(ISBLANK('Data Entry'!$ī$270), "", 'Data Entry'!$ī$270)</f>
      </c>
      <c r="IB270">
        <f>IF(ISBLANK('Data Entry'!$Ĭ$270), "", 'Data Entry'!$Ĭ$270)</f>
      </c>
      <c r="IC270">
        <f>IF(ISBLANK('Data Entry'!$ĭ$270), "", 'Data Entry'!$ĭ$270)</f>
      </c>
      <c r="ID270">
        <f>IF(ISBLANK('Data Entry'!$Į$270), "", 'Data Entry'!$Į$270)</f>
      </c>
      <c r="IE270">
        <f>IF(ISBLANK('Data Entry'!$į$270), "", 'Data Entry'!$į$270)</f>
      </c>
      <c r="IF270">
        <f>IF(ISBLANK('Data Entry'!$İ$270), "", 'Data Entry'!$İ$270)</f>
      </c>
      <c r="IG270">
        <f>IF(ISBLANK('Data Entry'!$ı$270), "", 'Data Entry'!$ı$270)</f>
      </c>
      <c r="IH270">
        <f>IF(ISBLANK('Data Entry'!$Ĳ$270), "", 'Data Entry'!$Ĳ$270)</f>
      </c>
      <c r="II270">
        <f>IF(ISBLANK('Data Entry'!$ĳ$270), "", 'Data Entry'!$ĳ$270)</f>
      </c>
      <c r="IJ270">
        <f>IF(ISBLANK('Data Entry'!$Ĵ$270), "", 'Data Entry'!$Ĵ$270)</f>
      </c>
      <c r="IK270">
        <f>IF(ISBLANK('Data Entry'!$ĵ$270), "", 'Data Entry'!$ĵ$270)</f>
      </c>
      <c r="IL270">
        <f>IF(ISBLANK('Data Entry'!$Ķ$270), "", 'Data Entry'!$Ķ$270)</f>
      </c>
      <c r="IM270">
        <f>IF(ISBLANK('Data Entry'!$ķ$270), "", 'Data Entry'!$ķ$270)</f>
      </c>
      <c r="IN270">
        <f>IF(ISBLANK('Data Entry'!$ĸ$270), "", 'Data Entry'!$ĸ$270)</f>
      </c>
      <c r="IO270">
        <f>IF(ISBLANK('Data Entry'!$Ĺ$270), "", 'Data Entry'!$Ĺ$270)</f>
      </c>
      <c r="IP270">
        <f>IF(ISBLANK('Data Entry'!$ĺ$270), "", 'Data Entry'!$ĺ$270)</f>
      </c>
      <c r="IQ270">
        <f>IF(ISBLANK('Data Entry'!$Ļ$270), "", 'Data Entry'!$Ļ$270)</f>
      </c>
      <c r="IR270">
        <f>IF(ISBLANK('Data Entry'!$ļ$270), "", 'Data Entry'!$ļ$270)</f>
      </c>
      <c r="IS270">
        <f>IF(ISBLANK('Data Entry'!$Ľ$270), "", 'Data Entry'!$Ľ$270)</f>
      </c>
      <c r="IT270">
        <f>IF(ISBLANK('Data Entry'!$ľ$270), "", 'Data Entry'!$ľ$270)</f>
      </c>
    </row>
    <row r="271" spans="1:254" x14ac:dyDescent="0.25">
      <c r="A271">
        <f>IF(ISBLANK('Data Entry'!$A$271), "", 'Data Entry'!$A$271)</f>
      </c>
      <c r="B271">
        <f>IF(ISBLANK('Data Entry'!$B$271), "", 'Data Entry'!$B$271)</f>
      </c>
      <c r="C271">
        <f>IF(ISBLANK('Data Entry'!$C$271), "", 'Data Entry'!$C$271)</f>
      </c>
      <c r="D271">
        <f>IF(ISBLANK('Data Entry'!$D$271), "", 'Data Entry'!$D$271)</f>
      </c>
      <c r="E271">
        <f>IF(ISBLANK('Data Entry'!$E$271), "", 'Data Entry'!$E$271)</f>
      </c>
      <c r="F271">
        <f>IF(ISBLANK('Data Entry'!$F$271), "", 'Data Entry'!$F$271)</f>
      </c>
      <c r="G271">
        <f>IF(ISBLANK('Data Entry'!$G$271), "", 'Data Entry'!$G$271)</f>
      </c>
      <c r="H271">
        <f>IF(ISBLANK('Data Entry'!$H$271), "", 'Data Entry'!$H$271)</f>
      </c>
      <c r="I271">
        <f>IF(ISBLANK('Data Entry'!$I$271), "", 'Data Entry'!$I$271)</f>
      </c>
      <c r="J271">
        <f>IF(ISBLANK('Data Entry'!$J$271), "", 'Data Entry'!$J$271)</f>
      </c>
      <c r="K271">
        <f>IF(ISBLANK('Data Entry'!$K$271), "", 'Data Entry'!$K$271)</f>
      </c>
      <c r="L271">
        <f>IF(ISBLANK('Data Entry'!$L$271), "", 'Data Entry'!$L$271)</f>
      </c>
      <c r="M271">
        <f>IF(ISBLANK('Data Entry'!$M$271), "", 'Data Entry'!$M$271)</f>
      </c>
      <c r="N271">
        <f>IF(ISBLANK('Data Entry'!$N$271), "", 'Data Entry'!$N$271)</f>
      </c>
      <c r="O271">
        <f>IF(ISBLANK('Data Entry'!$O$271), "", 'Data Entry'!$O$271)</f>
      </c>
      <c r="P271">
        <f>IF(ISBLANK('Data Entry'!$P$271), "", 'Data Entry'!$P$271)</f>
      </c>
      <c r="Q271">
        <f>IF(ISBLANK('Data Entry'!$Q$271), "", 'Data Entry'!$Q$271)</f>
      </c>
      <c r="R271">
        <f>IF(ISBLANK('Data Entry'!$R$271), "", 'Data Entry'!$R$271)</f>
      </c>
      <c r="S271">
        <f>IF(ISBLANK('Data Entry'!$S$271), "", 'Data Entry'!$S$271)</f>
      </c>
      <c r="T271">
        <f>IF(ISBLANK('Data Entry'!$T$271), "", 'Data Entry'!$T$271)</f>
      </c>
      <c r="U271">
        <f>IF(ISBLANK('Data Entry'!$U$271), "", 'Data Entry'!$U$271)</f>
      </c>
      <c r="V271">
        <f>IF(ISBLANK('Data Entry'!$V$271), "", 'Data Entry'!$V$271)</f>
      </c>
      <c r="W271">
        <f>IF(ISBLANK('Data Entry'!$W$271), "", 'Data Entry'!$W$271)</f>
      </c>
      <c r="X271">
        <f>IF(ISBLANK('Data Entry'!$X$271), "", 'Data Entry'!$X$271)</f>
      </c>
      <c r="Y271">
        <f>IF(ISBLANK('Data Entry'!$Y$271), "", 'Data Entry'!$Y$271)</f>
      </c>
      <c r="Z271">
        <f>IF(ISBLANK('Data Entry'!$Z$271), "", 'Data Entry'!$Z$271)</f>
      </c>
      <c r="AA271">
        <f>IF(ISBLANK('Data Entry'!$[$271), "", 'Data Entry'!$[$271)</f>
      </c>
      <c r="AB271">
        <f>IF(ISBLANK('Data Entry'!$\$271), "", 'Data Entry'!$\$271)</f>
      </c>
      <c r="AC271">
        <f>IF(ISBLANK('Data Entry'!$]$271), "", 'Data Entry'!$]$271)</f>
      </c>
      <c r="AD271">
        <f>IF(ISBLANK('Data Entry'!$^$271), "", 'Data Entry'!$^$271)</f>
      </c>
      <c r="AE271">
        <f>IF(ISBLANK('Data Entry'!$_$271), "", 'Data Entry'!$_$271)</f>
      </c>
      <c r="AF271">
        <f>IF(ISBLANK('Data Entry'!$`$271), "", 'Data Entry'!$`$271)</f>
      </c>
      <c r="AG271">
        <f>IF(ISBLANK('Data Entry'!$a$271), "", 'Data Entry'!$a$271)</f>
      </c>
      <c r="AH271">
        <f>IF(ISBLANK('Data Entry'!$b$271), "", 'Data Entry'!$b$271)</f>
      </c>
      <c r="AI271">
        <f>IF(ISBLANK('Data Entry'!$c$271), "", 'Data Entry'!$c$271)</f>
      </c>
      <c r="AJ271">
        <f>IF(ISBLANK('Data Entry'!$d$271), "", 'Data Entry'!$d$271)</f>
      </c>
      <c r="AK271">
        <f>IF(ISBLANK('Data Entry'!$e$271), "", 'Data Entry'!$e$271)</f>
      </c>
      <c r="AL271">
        <f>IF(ISBLANK('Data Entry'!$f$271), "", 'Data Entry'!$f$271)</f>
      </c>
      <c r="AM271">
        <f>IF(ISBLANK('Data Entry'!$g$271), "", 'Data Entry'!$g$271)</f>
      </c>
      <c r="AN271">
        <f>IF(ISBLANK('Data Entry'!$h$271), "", 'Data Entry'!$h$271)</f>
      </c>
      <c r="AO271">
        <f>IF(ISBLANK('Data Entry'!$i$271), "", 'Data Entry'!$i$271)</f>
      </c>
      <c r="AP271">
        <f>IF(ISBLANK('Data Entry'!$j$271), "", 'Data Entry'!$j$271)</f>
      </c>
      <c r="AQ271">
        <f>IF(ISBLANK('Data Entry'!$k$271), "", 'Data Entry'!$k$271)</f>
      </c>
      <c r="AR271">
        <f>IF(ISBLANK('Data Entry'!$l$271), "", 'Data Entry'!$l$271)</f>
      </c>
      <c r="AS271">
        <f>IF(ISBLANK('Data Entry'!$m$271), "", 'Data Entry'!$m$271)</f>
      </c>
      <c r="AT271">
        <f>IF(ISBLANK('Data Entry'!$n$271), "", 'Data Entry'!$n$271)</f>
      </c>
      <c r="AU271">
        <f>IF(ISBLANK('Data Entry'!$o$271), "", 'Data Entry'!$o$271)</f>
      </c>
      <c r="AV271">
        <f>IF(ISBLANK('Data Entry'!$p$271), "", 'Data Entry'!$p$271)</f>
      </c>
      <c r="AW271">
        <f>IF(ISBLANK('Data Entry'!$q$271), "", 'Data Entry'!$q$271)</f>
      </c>
      <c r="AX271">
        <f>IF(ISBLANK('Data Entry'!$r$271), "", 'Data Entry'!$r$271)</f>
      </c>
      <c r="AY271">
        <f>IF(ISBLANK('Data Entry'!$s$271), "", 'Data Entry'!$s$271)</f>
      </c>
      <c r="AZ271">
        <f>IF(ISBLANK('Data Entry'!$t$271), "", 'Data Entry'!$t$271)</f>
      </c>
      <c r="BA271">
        <f>IF(ISBLANK('Data Entry'!$u$271), "", 'Data Entry'!$u$271)</f>
      </c>
      <c r="BB271">
        <f>IF(ISBLANK('Data Entry'!$v$271), "", 'Data Entry'!$v$271)</f>
      </c>
      <c r="BC271">
        <f>IF(ISBLANK('Data Entry'!$w$271), "", 'Data Entry'!$w$271)</f>
      </c>
      <c r="BD271">
        <f>IF(ISBLANK('Data Entry'!$x$271), "", 'Data Entry'!$x$271)</f>
      </c>
      <c r="BE271">
        <f>IF(ISBLANK('Data Entry'!$y$271), "", 'Data Entry'!$y$271)</f>
      </c>
      <c r="BF271">
        <f>IF(ISBLANK('Data Entry'!$z$271), "", 'Data Entry'!$z$271)</f>
      </c>
      <c r="BG271">
        <f>IF(ISBLANK('Data Entry'!${$271), "", 'Data Entry'!${$271)</f>
      </c>
      <c r="BH271">
        <f>IF(ISBLANK('Data Entry'!$|$271), "", 'Data Entry'!$|$271)</f>
      </c>
      <c r="BI271">
        <f>IF(ISBLANK('Data Entry'!$}$271), "", 'Data Entry'!$}$271)</f>
      </c>
      <c r="BJ271">
        <f>IF(ISBLANK('Data Entry'!$~$271), "", 'Data Entry'!$~$271)</f>
      </c>
      <c r="BK271">
        <f>IF(ISBLANK('Data Entry'!$$271), "", 'Data Entry'!$$271)</f>
      </c>
      <c r="BL271">
        <f>IF(ISBLANK('Data Entry'!$$271), "", 'Data Entry'!$$271)</f>
      </c>
      <c r="BM271">
        <f>IF(ISBLANK('Data Entry'!$$271), "", 'Data Entry'!$$271)</f>
      </c>
      <c r="BN271">
        <f>IF(ISBLANK('Data Entry'!$$271), "", 'Data Entry'!$$271)</f>
      </c>
      <c r="BO271">
        <f>IF(ISBLANK('Data Entry'!$$271), "", 'Data Entry'!$$271)</f>
      </c>
      <c r="BP271">
        <f>IF(ISBLANK('Data Entry'!$$271), "", 'Data Entry'!$$271)</f>
      </c>
      <c r="BQ271">
        <f>IF(ISBLANK('Data Entry'!$$271), "", 'Data Entry'!$$271)</f>
      </c>
      <c r="BR271">
        <f>IF(ISBLANK('Data Entry'!$$271), "", 'Data Entry'!$$271)</f>
      </c>
      <c r="BS271">
        <f>IF(ISBLANK('Data Entry'!$$271), "", 'Data Entry'!$$271)</f>
      </c>
      <c r="BT271">
        <f>IF(ISBLANK('Data Entry'!$$271), "", 'Data Entry'!$$271)</f>
      </c>
      <c r="BU271">
        <f>IF(ISBLANK('Data Entry'!$$271), "", 'Data Entry'!$$271)</f>
      </c>
      <c r="BV271">
        <f>IF(ISBLANK('Data Entry'!$$271), "", 'Data Entry'!$$271)</f>
      </c>
      <c r="BW271">
        <f>IF(ISBLANK('Data Entry'!$$271), "", 'Data Entry'!$$271)</f>
      </c>
      <c r="BX271">
        <f>IF(ISBLANK('Data Entry'!$$271), "", 'Data Entry'!$$271)</f>
      </c>
      <c r="BY271">
        <f>IF(ISBLANK('Data Entry'!$$271), "", 'Data Entry'!$$271)</f>
      </c>
      <c r="BZ271">
        <f>IF(ISBLANK('Data Entry'!$$271), "", 'Data Entry'!$$271)</f>
      </c>
      <c r="CA271">
        <f>IF(ISBLANK('Data Entry'!$$271), "", 'Data Entry'!$$271)</f>
      </c>
      <c r="CB271">
        <f>IF(ISBLANK('Data Entry'!$$271), "", 'Data Entry'!$$271)</f>
      </c>
      <c r="CC271">
        <f>IF(ISBLANK('Data Entry'!$$271), "", 'Data Entry'!$$271)</f>
      </c>
      <c r="CD271">
        <f>IF(ISBLANK('Data Entry'!$$271), "", 'Data Entry'!$$271)</f>
      </c>
      <c r="CE271">
        <f>IF(ISBLANK('Data Entry'!$$271), "", 'Data Entry'!$$271)</f>
      </c>
      <c r="CF271">
        <f>IF(ISBLANK('Data Entry'!$$271), "", 'Data Entry'!$$271)</f>
      </c>
      <c r="CG271">
        <f>IF(ISBLANK('Data Entry'!$$271), "", 'Data Entry'!$$271)</f>
      </c>
      <c r="CH271">
        <f>IF(ISBLANK('Data Entry'!$$271), "", 'Data Entry'!$$271)</f>
      </c>
      <c r="CI271">
        <f>IF(ISBLANK('Data Entry'!$$271), "", 'Data Entry'!$$271)</f>
      </c>
      <c r="CJ271">
        <f>IF(ISBLANK('Data Entry'!$$271), "", 'Data Entry'!$$271)</f>
      </c>
      <c r="CK271">
        <f>IF(ISBLANK('Data Entry'!$$271), "", 'Data Entry'!$$271)</f>
      </c>
      <c r="CL271">
        <f>IF(ISBLANK('Data Entry'!$$271), "", 'Data Entry'!$$271)</f>
      </c>
      <c r="CM271">
        <f>IF(ISBLANK('Data Entry'!$$271), "", 'Data Entry'!$$271)</f>
      </c>
      <c r="CN271">
        <f>IF(ISBLANK('Data Entry'!$$271), "", 'Data Entry'!$$271)</f>
      </c>
      <c r="CO271">
        <f>IF(ISBLANK('Data Entry'!$$271), "", 'Data Entry'!$$271)</f>
      </c>
      <c r="CP271">
        <f>IF(ISBLANK('Data Entry'!$$271), "", 'Data Entry'!$$271)</f>
      </c>
      <c r="CQ271">
        <f>IF(ISBLANK('Data Entry'!$$271), "", 'Data Entry'!$$271)</f>
      </c>
      <c r="CR271">
        <f>IF(ISBLANK('Data Entry'!$ $271), "", 'Data Entry'!$ $271)</f>
      </c>
      <c r="CS271">
        <f>IF(ISBLANK('Data Entry'!$¡$271), "", 'Data Entry'!$¡$271)</f>
      </c>
      <c r="CT271">
        <f>IF(ISBLANK('Data Entry'!$¢$271), "", 'Data Entry'!$¢$271)</f>
      </c>
      <c r="CU271">
        <f>IF(ISBLANK('Data Entry'!$£$271), "", 'Data Entry'!$£$271)</f>
      </c>
      <c r="CV271">
        <f>IF(ISBLANK('Data Entry'!$¤$271), "", 'Data Entry'!$¤$271)</f>
      </c>
      <c r="CW271">
        <f>IF(ISBLANK('Data Entry'!$¥$271), "", 'Data Entry'!$¥$271)</f>
      </c>
      <c r="CX271">
        <f>IF(ISBLANK('Data Entry'!$¦$271), "", 'Data Entry'!$¦$271)</f>
      </c>
      <c r="CY271">
        <f>IF(ISBLANK('Data Entry'!$§$271), "", 'Data Entry'!$§$271)</f>
      </c>
      <c r="CZ271">
        <f>IF(ISBLANK('Data Entry'!$¨$271), "", 'Data Entry'!$¨$271)</f>
      </c>
      <c r="DA271">
        <f>IF(ISBLANK('Data Entry'!$©$271), "", 'Data Entry'!$©$271)</f>
      </c>
      <c r="DB271">
        <f>IF(ISBLANK('Data Entry'!$ª$271), "", 'Data Entry'!$ª$271)</f>
      </c>
      <c r="DC271">
        <f>IF(ISBLANK('Data Entry'!$«$271), "", 'Data Entry'!$«$271)</f>
      </c>
      <c r="DD271">
        <f>IF(ISBLANK('Data Entry'!$¬$271), "", 'Data Entry'!$¬$271)</f>
      </c>
      <c r="DE271">
        <f>IF(ISBLANK('Data Entry'!$­$271), "", 'Data Entry'!$­$271)</f>
      </c>
      <c r="DF271">
        <f>IF(ISBLANK('Data Entry'!$®$271), "", 'Data Entry'!$®$271)</f>
      </c>
      <c r="DG271">
        <f>IF(ISBLANK('Data Entry'!$¯$271), "", 'Data Entry'!$¯$271)</f>
      </c>
      <c r="DH271">
        <f>IF(ISBLANK('Data Entry'!$°$271), "", 'Data Entry'!$°$271)</f>
      </c>
      <c r="DI271">
        <f>IF(ISBLANK('Data Entry'!$±$271), "", 'Data Entry'!$±$271)</f>
      </c>
      <c r="DJ271">
        <f>IF(ISBLANK('Data Entry'!$²$271), "", 'Data Entry'!$²$271)</f>
      </c>
      <c r="DK271">
        <f>IF(ISBLANK('Data Entry'!$³$271), "", 'Data Entry'!$³$271)</f>
      </c>
      <c r="DL271">
        <f>IF(ISBLANK('Data Entry'!$´$271), "", 'Data Entry'!$´$271)</f>
      </c>
      <c r="DM271">
        <f>IF(ISBLANK('Data Entry'!$µ$271), "", 'Data Entry'!$µ$271)</f>
      </c>
      <c r="DN271">
        <f>IF(ISBLANK('Data Entry'!$¶$271), "", 'Data Entry'!$¶$271)</f>
      </c>
      <c r="DO271">
        <f>IF(ISBLANK('Data Entry'!$·$271), "", 'Data Entry'!$·$271)</f>
      </c>
      <c r="DP271">
        <f>IF(ISBLANK('Data Entry'!$¸$271), "", 'Data Entry'!$¸$271)</f>
      </c>
      <c r="DQ271">
        <f>IF(ISBLANK('Data Entry'!$¹$271), "", 'Data Entry'!$¹$271)</f>
      </c>
      <c r="DR271">
        <f>IF(ISBLANK('Data Entry'!$º$271), "", 'Data Entry'!$º$271)</f>
      </c>
      <c r="DS271">
        <f>IF(ISBLANK('Data Entry'!$»$271), "", 'Data Entry'!$»$271)</f>
      </c>
      <c r="DT271">
        <f>IF(ISBLANK('Data Entry'!$¼$271), "", 'Data Entry'!$¼$271)</f>
      </c>
      <c r="DU271">
        <f>IF(ISBLANK('Data Entry'!$½$271), "", 'Data Entry'!$½$271)</f>
      </c>
      <c r="DV271">
        <f>IF(ISBLANK('Data Entry'!$¾$271), "", 'Data Entry'!$¾$271)</f>
      </c>
      <c r="DW271">
        <f>IF(ISBLANK('Data Entry'!$¿$271), "", 'Data Entry'!$¿$271)</f>
      </c>
      <c r="DX271">
        <f>IF(ISBLANK('Data Entry'!$À$271), "", 'Data Entry'!$À$271)</f>
      </c>
      <c r="DY271">
        <f>IF(ISBLANK('Data Entry'!$Á$271), "", 'Data Entry'!$Á$271)</f>
      </c>
      <c r="DZ271">
        <f>IF(ISBLANK('Data Entry'!$Â$271), "", 'Data Entry'!$Â$271)</f>
      </c>
      <c r="EA271">
        <f>IF(ISBLANK('Data Entry'!$Ã$271), "", 'Data Entry'!$Ã$271)</f>
      </c>
      <c r="EB271">
        <f>IF(ISBLANK('Data Entry'!$Ä$271), "", 'Data Entry'!$Ä$271)</f>
      </c>
      <c r="EC271">
        <f>IF(ISBLANK('Data Entry'!$Å$271), "", 'Data Entry'!$Å$271)</f>
      </c>
      <c r="ED271">
        <f>IF(ISBLANK('Data Entry'!$Æ$271), "", 'Data Entry'!$Æ$271)</f>
      </c>
      <c r="EE271">
        <f>IF(ISBLANK('Data Entry'!$Ç$271), "", 'Data Entry'!$Ç$271)</f>
      </c>
      <c r="EF271">
        <f>IF(ISBLANK('Data Entry'!$È$271), "", 'Data Entry'!$È$271)</f>
      </c>
      <c r="EG271">
        <f>IF(ISBLANK('Data Entry'!$É$271), "", 'Data Entry'!$É$271)</f>
      </c>
      <c r="EH271">
        <f>IF(ISBLANK('Data Entry'!$Ê$271), "", 'Data Entry'!$Ê$271)</f>
      </c>
      <c r="EI271">
        <f>IF(ISBLANK('Data Entry'!$Ë$271), "", 'Data Entry'!$Ë$271)</f>
      </c>
      <c r="EJ271">
        <f>IF(ISBLANK('Data Entry'!$Ì$271), "", 'Data Entry'!$Ì$271)</f>
      </c>
      <c r="EK271">
        <f>IF(ISBLANK('Data Entry'!$Í$271), "", 'Data Entry'!$Í$271)</f>
      </c>
      <c r="EL271">
        <f>IF(ISBLANK('Data Entry'!$Î$271), "", 'Data Entry'!$Î$271)</f>
      </c>
      <c r="EM271">
        <f>IF(ISBLANK('Data Entry'!$Ï$271), "", 'Data Entry'!$Ï$271)</f>
      </c>
      <c r="EN271">
        <f>IF(ISBLANK('Data Entry'!$Ð$271), "", 'Data Entry'!$Ð$271)</f>
      </c>
      <c r="EO271">
        <f>IF(ISBLANK('Data Entry'!$Ñ$271), "", 'Data Entry'!$Ñ$271)</f>
      </c>
      <c r="EP271">
        <f>IF(ISBLANK('Data Entry'!$Ò$271), "", 'Data Entry'!$Ò$271)</f>
      </c>
      <c r="EQ271">
        <f>IF(ISBLANK('Data Entry'!$Ó$271), "", 'Data Entry'!$Ó$271)</f>
      </c>
      <c r="ER271">
        <f>IF(ISBLANK('Data Entry'!$Ô$271), "", 'Data Entry'!$Ô$271)</f>
      </c>
      <c r="ES271">
        <f>IF(ISBLANK('Data Entry'!$Õ$271), "", 'Data Entry'!$Õ$271)</f>
      </c>
      <c r="ET271">
        <f>IF(ISBLANK('Data Entry'!$Ö$271), "", 'Data Entry'!$Ö$271)</f>
      </c>
      <c r="EU271">
        <f>IF(ISBLANK('Data Entry'!$×$271), "", 'Data Entry'!$×$271)</f>
      </c>
      <c r="EV271">
        <f>IF(ISBLANK('Data Entry'!$Ø$271), "", 'Data Entry'!$Ø$271)</f>
      </c>
      <c r="EW271">
        <f>IF(ISBLANK('Data Entry'!$Ù$271), "", 'Data Entry'!$Ù$271)</f>
      </c>
      <c r="EX271">
        <f>IF(ISBLANK('Data Entry'!$Ú$271), "", 'Data Entry'!$Ú$271)</f>
      </c>
      <c r="EY271">
        <f>IF(ISBLANK('Data Entry'!$Û$271), "", 'Data Entry'!$Û$271)</f>
      </c>
      <c r="EZ271">
        <f>IF(ISBLANK('Data Entry'!$Ü$271), "", 'Data Entry'!$Ü$271)</f>
      </c>
      <c r="FA271">
        <f>IF(ISBLANK('Data Entry'!$Ý$271), "", 'Data Entry'!$Ý$271)</f>
      </c>
      <c r="FB271">
        <f>IF(ISBLANK('Data Entry'!$Þ$271), "", 'Data Entry'!$Þ$271)</f>
      </c>
      <c r="FC271">
        <f>IF(ISBLANK('Data Entry'!$ß$271), "", 'Data Entry'!$ß$271)</f>
      </c>
      <c r="FD271">
        <f>IF(ISBLANK('Data Entry'!$à$271), "", 'Data Entry'!$à$271)</f>
      </c>
      <c r="FE271">
        <f>IF(ISBLANK('Data Entry'!$á$271), "", 'Data Entry'!$á$271)</f>
      </c>
      <c r="FF271">
        <f>IF(ISBLANK('Data Entry'!$â$271), "", 'Data Entry'!$â$271)</f>
      </c>
      <c r="FG271">
        <f>IF(ISBLANK('Data Entry'!$ã$271), "", 'Data Entry'!$ã$271)</f>
      </c>
      <c r="FH271">
        <f>IF(ISBLANK('Data Entry'!$ä$271), "", 'Data Entry'!$ä$271)</f>
      </c>
      <c r="FI271">
        <f>IF(ISBLANK('Data Entry'!$å$271), "", 'Data Entry'!$å$271)</f>
      </c>
      <c r="FJ271">
        <f>IF(ISBLANK('Data Entry'!$æ$271), "", 'Data Entry'!$æ$271)</f>
      </c>
      <c r="FK271">
        <f>IF(ISBLANK('Data Entry'!$ç$271), "", 'Data Entry'!$ç$271)</f>
      </c>
      <c r="FL271">
        <f>IF(ISBLANK('Data Entry'!$è$271), "", 'Data Entry'!$è$271)</f>
      </c>
      <c r="FM271">
        <f>IF(ISBLANK('Data Entry'!$é$271), "", 'Data Entry'!$é$271)</f>
      </c>
      <c r="FN271">
        <f>IF(ISBLANK('Data Entry'!$ê$271), "", 'Data Entry'!$ê$271)</f>
      </c>
      <c r="FO271">
        <f>IF(ISBLANK('Data Entry'!$ë$271), "", 'Data Entry'!$ë$271)</f>
      </c>
      <c r="FP271">
        <f>IF(ISBLANK('Data Entry'!$ì$271), "", 'Data Entry'!$ì$271)</f>
      </c>
      <c r="FQ271">
        <f>IF(ISBLANK('Data Entry'!$í$271), "", 'Data Entry'!$í$271)</f>
      </c>
      <c r="FR271">
        <f>IF(ISBLANK('Data Entry'!$î$271), "", 'Data Entry'!$î$271)</f>
      </c>
      <c r="FS271">
        <f>IF(ISBLANK('Data Entry'!$ï$271), "", 'Data Entry'!$ï$271)</f>
      </c>
      <c r="FT271">
        <f>IF(ISBLANK('Data Entry'!$ð$271), "", 'Data Entry'!$ð$271)</f>
      </c>
      <c r="FU271">
        <f>IF(ISBLANK('Data Entry'!$ñ$271), "", 'Data Entry'!$ñ$271)</f>
      </c>
      <c r="FV271">
        <f>IF(ISBLANK('Data Entry'!$ò$271), "", 'Data Entry'!$ò$271)</f>
      </c>
      <c r="FW271">
        <f>IF(ISBLANK('Data Entry'!$ó$271), "", 'Data Entry'!$ó$271)</f>
      </c>
      <c r="FX271">
        <f>IF(ISBLANK('Data Entry'!$ô$271), "", 'Data Entry'!$ô$271)</f>
      </c>
      <c r="FY271">
        <f>IF(ISBLANK('Data Entry'!$õ$271), "", 'Data Entry'!$õ$271)</f>
      </c>
      <c r="FZ271">
        <f>IF(ISBLANK('Data Entry'!$ö$271), "", 'Data Entry'!$ö$271)</f>
      </c>
      <c r="GA271">
        <f>IF(ISBLANK('Data Entry'!$÷$271), "", 'Data Entry'!$÷$271)</f>
      </c>
      <c r="GB271">
        <f>IF(ISBLANK('Data Entry'!$ø$271), "", 'Data Entry'!$ø$271)</f>
      </c>
      <c r="GC271">
        <f>IF(ISBLANK('Data Entry'!$ù$271), "", 'Data Entry'!$ù$271)</f>
      </c>
      <c r="GD271">
        <f>IF(ISBLANK('Data Entry'!$ú$271), "", 'Data Entry'!$ú$271)</f>
      </c>
      <c r="GE271">
        <f>IF(ISBLANK('Data Entry'!$û$271), "", 'Data Entry'!$û$271)</f>
      </c>
      <c r="GF271">
        <f>IF(ISBLANK('Data Entry'!$ü$271), "", 'Data Entry'!$ü$271)</f>
      </c>
      <c r="GG271">
        <f>IF(ISBLANK('Data Entry'!$ý$271), "", 'Data Entry'!$ý$271)</f>
      </c>
      <c r="GH271">
        <f>IF(ISBLANK('Data Entry'!$þ$271), "", 'Data Entry'!$þ$271)</f>
      </c>
      <c r="GI271">
        <f>IF(ISBLANK('Data Entry'!$ÿ$271), "", 'Data Entry'!$ÿ$271)</f>
      </c>
      <c r="GJ271">
        <f>IF(ISBLANK('Data Entry'!$Ā$271), "", 'Data Entry'!$Ā$271)</f>
      </c>
      <c r="GK271">
        <f>IF(ISBLANK('Data Entry'!$ā$271), "", 'Data Entry'!$ā$271)</f>
      </c>
      <c r="GL271">
        <f>IF(ISBLANK('Data Entry'!$Ă$271), "", 'Data Entry'!$Ă$271)</f>
      </c>
      <c r="GM271">
        <f>IF(ISBLANK('Data Entry'!$ă$271), "", 'Data Entry'!$ă$271)</f>
      </c>
      <c r="GN271">
        <f>IF(ISBLANK('Data Entry'!$Ą$271), "", 'Data Entry'!$Ą$271)</f>
      </c>
      <c r="GO271">
        <f>IF(ISBLANK('Data Entry'!$ą$271), "", 'Data Entry'!$ą$271)</f>
      </c>
      <c r="GP271">
        <f>IF(ISBLANK('Data Entry'!$Ć$271), "", 'Data Entry'!$Ć$271)</f>
      </c>
      <c r="GQ271">
        <f>IF(ISBLANK('Data Entry'!$ć$271), "", 'Data Entry'!$ć$271)</f>
      </c>
      <c r="GR271">
        <f>IF(ISBLANK('Data Entry'!$Ĉ$271), "", 'Data Entry'!$Ĉ$271)</f>
      </c>
      <c r="GS271">
        <f>IF(ISBLANK('Data Entry'!$ĉ$271), "", 'Data Entry'!$ĉ$271)</f>
      </c>
      <c r="GT271">
        <f>IF(ISBLANK('Data Entry'!$Ċ$271), "", 'Data Entry'!$Ċ$271)</f>
      </c>
      <c r="GU271">
        <f>IF(ISBLANK('Data Entry'!$ċ$271), "", 'Data Entry'!$ċ$271)</f>
      </c>
      <c r="GV271">
        <f>IF(ISBLANK('Data Entry'!$Č$271), "", 'Data Entry'!$Č$271)</f>
      </c>
      <c r="GW271">
        <f>IF(ISBLANK('Data Entry'!$č$271), "", 'Data Entry'!$č$271)</f>
      </c>
      <c r="GX271">
        <f>IF(ISBLANK('Data Entry'!$Ď$271), "", 'Data Entry'!$Ď$271)</f>
      </c>
      <c r="GY271">
        <f>IF(ISBLANK('Data Entry'!$ď$271), "", 'Data Entry'!$ď$271)</f>
      </c>
      <c r="GZ271">
        <f>IF(ISBLANK('Data Entry'!$Đ$271), "", 'Data Entry'!$Đ$271)</f>
      </c>
      <c r="HA271">
        <f>IF(ISBLANK('Data Entry'!$đ$271), "", 'Data Entry'!$đ$271)</f>
      </c>
      <c r="HB271">
        <f>IF(ISBLANK('Data Entry'!$Ē$271), "", 'Data Entry'!$Ē$271)</f>
      </c>
      <c r="HC271">
        <f>IF(ISBLANK('Data Entry'!$ē$271), "", 'Data Entry'!$ē$271)</f>
      </c>
      <c r="HD271">
        <f>IF(ISBLANK('Data Entry'!$Ĕ$271), "", 'Data Entry'!$Ĕ$271)</f>
      </c>
      <c r="HE271">
        <f>IF(ISBLANK('Data Entry'!$ĕ$271), "", 'Data Entry'!$ĕ$271)</f>
      </c>
      <c r="HF271">
        <f>IF(ISBLANK('Data Entry'!$Ė$271), "", 'Data Entry'!$Ė$271)</f>
      </c>
      <c r="HG271">
        <f>IF(ISBLANK('Data Entry'!$ė$271), "", 'Data Entry'!$ė$271)</f>
      </c>
      <c r="HH271">
        <f>IF(ISBLANK('Data Entry'!$Ę$271), "", 'Data Entry'!$Ę$271)</f>
      </c>
      <c r="HI271">
        <f>IF(ISBLANK('Data Entry'!$ę$271), "", 'Data Entry'!$ę$271)</f>
      </c>
      <c r="HJ271">
        <f>IF(ISBLANK('Data Entry'!$Ě$271), "", 'Data Entry'!$Ě$271)</f>
      </c>
      <c r="HK271">
        <f>IF(ISBLANK('Data Entry'!$ě$271), "", 'Data Entry'!$ě$271)</f>
      </c>
      <c r="HL271">
        <f>IF(ISBLANK('Data Entry'!$Ĝ$271), "", 'Data Entry'!$Ĝ$271)</f>
      </c>
      <c r="HM271">
        <f>IF(ISBLANK('Data Entry'!$ĝ$271), "", 'Data Entry'!$ĝ$271)</f>
      </c>
      <c r="HN271">
        <f>IF(ISBLANK('Data Entry'!$Ğ$271), "", 'Data Entry'!$Ğ$271)</f>
      </c>
      <c r="HO271">
        <f>IF(ISBLANK('Data Entry'!$ğ$271), "", 'Data Entry'!$ğ$271)</f>
      </c>
      <c r="HP271">
        <f>IF(ISBLANK('Data Entry'!$Ġ$271), "", 'Data Entry'!$Ġ$271)</f>
      </c>
      <c r="HQ271">
        <f>IF(ISBLANK('Data Entry'!$ġ$271), "", 'Data Entry'!$ġ$271)</f>
      </c>
      <c r="HR271">
        <f>IF(ISBLANK('Data Entry'!$Ģ$271), "", 'Data Entry'!$Ģ$271)</f>
      </c>
      <c r="HS271">
        <f>IF(ISBLANK('Data Entry'!$ģ$271), "", 'Data Entry'!$ģ$271)</f>
      </c>
      <c r="HT271">
        <f>IF(ISBLANK('Data Entry'!$Ĥ$271), "", 'Data Entry'!$Ĥ$271)</f>
      </c>
      <c r="HU271">
        <f>IF(ISBLANK('Data Entry'!$ĥ$271), "", 'Data Entry'!$ĥ$271)</f>
      </c>
      <c r="HV271">
        <f>IF(ISBLANK('Data Entry'!$Ħ$271), "", 'Data Entry'!$Ħ$271)</f>
      </c>
      <c r="HW271">
        <f>IF(ISBLANK('Data Entry'!$ħ$271), "", 'Data Entry'!$ħ$271)</f>
      </c>
      <c r="HX271">
        <f>IF(ISBLANK('Data Entry'!$Ĩ$271), "", 'Data Entry'!$Ĩ$271)</f>
      </c>
      <c r="HY271">
        <f>IF(ISBLANK('Data Entry'!$ĩ$271), "", 'Data Entry'!$ĩ$271)</f>
      </c>
      <c r="HZ271">
        <f>IF(ISBLANK('Data Entry'!$Ī$271), "", 'Data Entry'!$Ī$271)</f>
      </c>
      <c r="IA271">
        <f>IF(ISBLANK('Data Entry'!$ī$271), "", 'Data Entry'!$ī$271)</f>
      </c>
      <c r="IB271">
        <f>IF(ISBLANK('Data Entry'!$Ĭ$271), "", 'Data Entry'!$Ĭ$271)</f>
      </c>
      <c r="IC271">
        <f>IF(ISBLANK('Data Entry'!$ĭ$271), "", 'Data Entry'!$ĭ$271)</f>
      </c>
      <c r="ID271">
        <f>IF(ISBLANK('Data Entry'!$Į$271), "", 'Data Entry'!$Į$271)</f>
      </c>
      <c r="IE271">
        <f>IF(ISBLANK('Data Entry'!$į$271), "", 'Data Entry'!$į$271)</f>
      </c>
      <c r="IF271">
        <f>IF(ISBLANK('Data Entry'!$İ$271), "", 'Data Entry'!$İ$271)</f>
      </c>
      <c r="IG271">
        <f>IF(ISBLANK('Data Entry'!$ı$271), "", 'Data Entry'!$ı$271)</f>
      </c>
      <c r="IH271">
        <f>IF(ISBLANK('Data Entry'!$Ĳ$271), "", 'Data Entry'!$Ĳ$271)</f>
      </c>
      <c r="II271">
        <f>IF(ISBLANK('Data Entry'!$ĳ$271), "", 'Data Entry'!$ĳ$271)</f>
      </c>
      <c r="IJ271">
        <f>IF(ISBLANK('Data Entry'!$Ĵ$271), "", 'Data Entry'!$Ĵ$271)</f>
      </c>
      <c r="IK271">
        <f>IF(ISBLANK('Data Entry'!$ĵ$271), "", 'Data Entry'!$ĵ$271)</f>
      </c>
      <c r="IL271">
        <f>IF(ISBLANK('Data Entry'!$Ķ$271), "", 'Data Entry'!$Ķ$271)</f>
      </c>
      <c r="IM271">
        <f>IF(ISBLANK('Data Entry'!$ķ$271), "", 'Data Entry'!$ķ$271)</f>
      </c>
      <c r="IN271">
        <f>IF(ISBLANK('Data Entry'!$ĸ$271), "", 'Data Entry'!$ĸ$271)</f>
      </c>
      <c r="IO271">
        <f>IF(ISBLANK('Data Entry'!$Ĺ$271), "", 'Data Entry'!$Ĺ$271)</f>
      </c>
      <c r="IP271">
        <f>IF(ISBLANK('Data Entry'!$ĺ$271), "", 'Data Entry'!$ĺ$271)</f>
      </c>
      <c r="IQ271">
        <f>IF(ISBLANK('Data Entry'!$Ļ$271), "", 'Data Entry'!$Ļ$271)</f>
      </c>
      <c r="IR271">
        <f>IF(ISBLANK('Data Entry'!$ļ$271), "", 'Data Entry'!$ļ$271)</f>
      </c>
      <c r="IS271">
        <f>IF(ISBLANK('Data Entry'!$Ľ$271), "", 'Data Entry'!$Ľ$271)</f>
      </c>
      <c r="IT271">
        <f>IF(ISBLANK('Data Entry'!$ľ$271), "", 'Data Entry'!$ľ$271)</f>
      </c>
    </row>
    <row r="272" spans="1:254" x14ac:dyDescent="0.25">
      <c r="A272">
        <f>IF(ISBLANK('Data Entry'!$A$272), "", 'Data Entry'!$A$272)</f>
      </c>
      <c r="B272">
        <f>IF(ISBLANK('Data Entry'!$B$272), "", 'Data Entry'!$B$272)</f>
      </c>
      <c r="C272">
        <f>IF(ISBLANK('Data Entry'!$C$272), "", 'Data Entry'!$C$272)</f>
      </c>
      <c r="D272">
        <f>IF(ISBLANK('Data Entry'!$D$272), "", 'Data Entry'!$D$272)</f>
      </c>
      <c r="E272">
        <f>IF(ISBLANK('Data Entry'!$E$272), "", 'Data Entry'!$E$272)</f>
      </c>
      <c r="F272">
        <f>IF(ISBLANK('Data Entry'!$F$272), "", 'Data Entry'!$F$272)</f>
      </c>
      <c r="G272">
        <f>IF(ISBLANK('Data Entry'!$G$272), "", 'Data Entry'!$G$272)</f>
      </c>
      <c r="H272">
        <f>IF(ISBLANK('Data Entry'!$H$272), "", 'Data Entry'!$H$272)</f>
      </c>
      <c r="I272">
        <f>IF(ISBLANK('Data Entry'!$I$272), "", 'Data Entry'!$I$272)</f>
      </c>
      <c r="J272">
        <f>IF(ISBLANK('Data Entry'!$J$272), "", 'Data Entry'!$J$272)</f>
      </c>
      <c r="K272">
        <f>IF(ISBLANK('Data Entry'!$K$272), "", 'Data Entry'!$K$272)</f>
      </c>
      <c r="L272">
        <f>IF(ISBLANK('Data Entry'!$L$272), "", 'Data Entry'!$L$272)</f>
      </c>
      <c r="M272">
        <f>IF(ISBLANK('Data Entry'!$M$272), "", 'Data Entry'!$M$272)</f>
      </c>
      <c r="N272">
        <f>IF(ISBLANK('Data Entry'!$N$272), "", 'Data Entry'!$N$272)</f>
      </c>
      <c r="O272">
        <f>IF(ISBLANK('Data Entry'!$O$272), "", 'Data Entry'!$O$272)</f>
      </c>
      <c r="P272">
        <f>IF(ISBLANK('Data Entry'!$P$272), "", 'Data Entry'!$P$272)</f>
      </c>
      <c r="Q272">
        <f>IF(ISBLANK('Data Entry'!$Q$272), "", 'Data Entry'!$Q$272)</f>
      </c>
      <c r="R272">
        <f>IF(ISBLANK('Data Entry'!$R$272), "", 'Data Entry'!$R$272)</f>
      </c>
      <c r="S272">
        <f>IF(ISBLANK('Data Entry'!$S$272), "", 'Data Entry'!$S$272)</f>
      </c>
      <c r="T272">
        <f>IF(ISBLANK('Data Entry'!$T$272), "", 'Data Entry'!$T$272)</f>
      </c>
      <c r="U272">
        <f>IF(ISBLANK('Data Entry'!$U$272), "", 'Data Entry'!$U$272)</f>
      </c>
      <c r="V272">
        <f>IF(ISBLANK('Data Entry'!$V$272), "", 'Data Entry'!$V$272)</f>
      </c>
      <c r="W272">
        <f>IF(ISBLANK('Data Entry'!$W$272), "", 'Data Entry'!$W$272)</f>
      </c>
      <c r="X272">
        <f>IF(ISBLANK('Data Entry'!$X$272), "", 'Data Entry'!$X$272)</f>
      </c>
      <c r="Y272">
        <f>IF(ISBLANK('Data Entry'!$Y$272), "", 'Data Entry'!$Y$272)</f>
      </c>
      <c r="Z272">
        <f>IF(ISBLANK('Data Entry'!$Z$272), "", 'Data Entry'!$Z$272)</f>
      </c>
      <c r="AA272">
        <f>IF(ISBLANK('Data Entry'!$[$272), "", 'Data Entry'!$[$272)</f>
      </c>
      <c r="AB272">
        <f>IF(ISBLANK('Data Entry'!$\$272), "", 'Data Entry'!$\$272)</f>
      </c>
      <c r="AC272">
        <f>IF(ISBLANK('Data Entry'!$]$272), "", 'Data Entry'!$]$272)</f>
      </c>
      <c r="AD272">
        <f>IF(ISBLANK('Data Entry'!$^$272), "", 'Data Entry'!$^$272)</f>
      </c>
      <c r="AE272">
        <f>IF(ISBLANK('Data Entry'!$_$272), "", 'Data Entry'!$_$272)</f>
      </c>
      <c r="AF272">
        <f>IF(ISBLANK('Data Entry'!$`$272), "", 'Data Entry'!$`$272)</f>
      </c>
      <c r="AG272">
        <f>IF(ISBLANK('Data Entry'!$a$272), "", 'Data Entry'!$a$272)</f>
      </c>
      <c r="AH272">
        <f>IF(ISBLANK('Data Entry'!$b$272), "", 'Data Entry'!$b$272)</f>
      </c>
      <c r="AI272">
        <f>IF(ISBLANK('Data Entry'!$c$272), "", 'Data Entry'!$c$272)</f>
      </c>
      <c r="AJ272">
        <f>IF(ISBLANK('Data Entry'!$d$272), "", 'Data Entry'!$d$272)</f>
      </c>
      <c r="AK272">
        <f>IF(ISBLANK('Data Entry'!$e$272), "", 'Data Entry'!$e$272)</f>
      </c>
      <c r="AL272">
        <f>IF(ISBLANK('Data Entry'!$f$272), "", 'Data Entry'!$f$272)</f>
      </c>
      <c r="AM272">
        <f>IF(ISBLANK('Data Entry'!$g$272), "", 'Data Entry'!$g$272)</f>
      </c>
      <c r="AN272">
        <f>IF(ISBLANK('Data Entry'!$h$272), "", 'Data Entry'!$h$272)</f>
      </c>
      <c r="AO272">
        <f>IF(ISBLANK('Data Entry'!$i$272), "", 'Data Entry'!$i$272)</f>
      </c>
      <c r="AP272">
        <f>IF(ISBLANK('Data Entry'!$j$272), "", 'Data Entry'!$j$272)</f>
      </c>
      <c r="AQ272">
        <f>IF(ISBLANK('Data Entry'!$k$272), "", 'Data Entry'!$k$272)</f>
      </c>
      <c r="AR272">
        <f>IF(ISBLANK('Data Entry'!$l$272), "", 'Data Entry'!$l$272)</f>
      </c>
      <c r="AS272">
        <f>IF(ISBLANK('Data Entry'!$m$272), "", 'Data Entry'!$m$272)</f>
      </c>
      <c r="AT272">
        <f>IF(ISBLANK('Data Entry'!$n$272), "", 'Data Entry'!$n$272)</f>
      </c>
      <c r="AU272">
        <f>IF(ISBLANK('Data Entry'!$o$272), "", 'Data Entry'!$o$272)</f>
      </c>
      <c r="AV272">
        <f>IF(ISBLANK('Data Entry'!$p$272), "", 'Data Entry'!$p$272)</f>
      </c>
      <c r="AW272">
        <f>IF(ISBLANK('Data Entry'!$q$272), "", 'Data Entry'!$q$272)</f>
      </c>
      <c r="AX272">
        <f>IF(ISBLANK('Data Entry'!$r$272), "", 'Data Entry'!$r$272)</f>
      </c>
      <c r="AY272">
        <f>IF(ISBLANK('Data Entry'!$s$272), "", 'Data Entry'!$s$272)</f>
      </c>
      <c r="AZ272">
        <f>IF(ISBLANK('Data Entry'!$t$272), "", 'Data Entry'!$t$272)</f>
      </c>
      <c r="BA272">
        <f>IF(ISBLANK('Data Entry'!$u$272), "", 'Data Entry'!$u$272)</f>
      </c>
      <c r="BB272">
        <f>IF(ISBLANK('Data Entry'!$v$272), "", 'Data Entry'!$v$272)</f>
      </c>
      <c r="BC272">
        <f>IF(ISBLANK('Data Entry'!$w$272), "", 'Data Entry'!$w$272)</f>
      </c>
      <c r="BD272">
        <f>IF(ISBLANK('Data Entry'!$x$272), "", 'Data Entry'!$x$272)</f>
      </c>
      <c r="BE272">
        <f>IF(ISBLANK('Data Entry'!$y$272), "", 'Data Entry'!$y$272)</f>
      </c>
      <c r="BF272">
        <f>IF(ISBLANK('Data Entry'!$z$272), "", 'Data Entry'!$z$272)</f>
      </c>
      <c r="BG272">
        <f>IF(ISBLANK('Data Entry'!${$272), "", 'Data Entry'!${$272)</f>
      </c>
      <c r="BH272">
        <f>IF(ISBLANK('Data Entry'!$|$272), "", 'Data Entry'!$|$272)</f>
      </c>
      <c r="BI272">
        <f>IF(ISBLANK('Data Entry'!$}$272), "", 'Data Entry'!$}$272)</f>
      </c>
      <c r="BJ272">
        <f>IF(ISBLANK('Data Entry'!$~$272), "", 'Data Entry'!$~$272)</f>
      </c>
      <c r="BK272">
        <f>IF(ISBLANK('Data Entry'!$$272), "", 'Data Entry'!$$272)</f>
      </c>
      <c r="BL272">
        <f>IF(ISBLANK('Data Entry'!$$272), "", 'Data Entry'!$$272)</f>
      </c>
      <c r="BM272">
        <f>IF(ISBLANK('Data Entry'!$$272), "", 'Data Entry'!$$272)</f>
      </c>
      <c r="BN272">
        <f>IF(ISBLANK('Data Entry'!$$272), "", 'Data Entry'!$$272)</f>
      </c>
      <c r="BO272">
        <f>IF(ISBLANK('Data Entry'!$$272), "", 'Data Entry'!$$272)</f>
      </c>
      <c r="BP272">
        <f>IF(ISBLANK('Data Entry'!$$272), "", 'Data Entry'!$$272)</f>
      </c>
      <c r="BQ272">
        <f>IF(ISBLANK('Data Entry'!$$272), "", 'Data Entry'!$$272)</f>
      </c>
      <c r="BR272">
        <f>IF(ISBLANK('Data Entry'!$$272), "", 'Data Entry'!$$272)</f>
      </c>
      <c r="BS272">
        <f>IF(ISBLANK('Data Entry'!$$272), "", 'Data Entry'!$$272)</f>
      </c>
      <c r="BT272">
        <f>IF(ISBLANK('Data Entry'!$$272), "", 'Data Entry'!$$272)</f>
      </c>
      <c r="BU272">
        <f>IF(ISBLANK('Data Entry'!$$272), "", 'Data Entry'!$$272)</f>
      </c>
      <c r="BV272">
        <f>IF(ISBLANK('Data Entry'!$$272), "", 'Data Entry'!$$272)</f>
      </c>
      <c r="BW272">
        <f>IF(ISBLANK('Data Entry'!$$272), "", 'Data Entry'!$$272)</f>
      </c>
      <c r="BX272">
        <f>IF(ISBLANK('Data Entry'!$$272), "", 'Data Entry'!$$272)</f>
      </c>
      <c r="BY272">
        <f>IF(ISBLANK('Data Entry'!$$272), "", 'Data Entry'!$$272)</f>
      </c>
      <c r="BZ272">
        <f>IF(ISBLANK('Data Entry'!$$272), "", 'Data Entry'!$$272)</f>
      </c>
      <c r="CA272">
        <f>IF(ISBLANK('Data Entry'!$$272), "", 'Data Entry'!$$272)</f>
      </c>
      <c r="CB272">
        <f>IF(ISBLANK('Data Entry'!$$272), "", 'Data Entry'!$$272)</f>
      </c>
      <c r="CC272">
        <f>IF(ISBLANK('Data Entry'!$$272), "", 'Data Entry'!$$272)</f>
      </c>
      <c r="CD272">
        <f>IF(ISBLANK('Data Entry'!$$272), "", 'Data Entry'!$$272)</f>
      </c>
      <c r="CE272">
        <f>IF(ISBLANK('Data Entry'!$$272), "", 'Data Entry'!$$272)</f>
      </c>
      <c r="CF272">
        <f>IF(ISBLANK('Data Entry'!$$272), "", 'Data Entry'!$$272)</f>
      </c>
      <c r="CG272">
        <f>IF(ISBLANK('Data Entry'!$$272), "", 'Data Entry'!$$272)</f>
      </c>
      <c r="CH272">
        <f>IF(ISBLANK('Data Entry'!$$272), "", 'Data Entry'!$$272)</f>
      </c>
      <c r="CI272">
        <f>IF(ISBLANK('Data Entry'!$$272), "", 'Data Entry'!$$272)</f>
      </c>
      <c r="CJ272">
        <f>IF(ISBLANK('Data Entry'!$$272), "", 'Data Entry'!$$272)</f>
      </c>
      <c r="CK272">
        <f>IF(ISBLANK('Data Entry'!$$272), "", 'Data Entry'!$$272)</f>
      </c>
      <c r="CL272">
        <f>IF(ISBLANK('Data Entry'!$$272), "", 'Data Entry'!$$272)</f>
      </c>
      <c r="CM272">
        <f>IF(ISBLANK('Data Entry'!$$272), "", 'Data Entry'!$$272)</f>
      </c>
      <c r="CN272">
        <f>IF(ISBLANK('Data Entry'!$$272), "", 'Data Entry'!$$272)</f>
      </c>
      <c r="CO272">
        <f>IF(ISBLANK('Data Entry'!$$272), "", 'Data Entry'!$$272)</f>
      </c>
      <c r="CP272">
        <f>IF(ISBLANK('Data Entry'!$$272), "", 'Data Entry'!$$272)</f>
      </c>
      <c r="CQ272">
        <f>IF(ISBLANK('Data Entry'!$$272), "", 'Data Entry'!$$272)</f>
      </c>
      <c r="CR272">
        <f>IF(ISBLANK('Data Entry'!$ $272), "", 'Data Entry'!$ $272)</f>
      </c>
      <c r="CS272">
        <f>IF(ISBLANK('Data Entry'!$¡$272), "", 'Data Entry'!$¡$272)</f>
      </c>
      <c r="CT272">
        <f>IF(ISBLANK('Data Entry'!$¢$272), "", 'Data Entry'!$¢$272)</f>
      </c>
      <c r="CU272">
        <f>IF(ISBLANK('Data Entry'!$£$272), "", 'Data Entry'!$£$272)</f>
      </c>
      <c r="CV272">
        <f>IF(ISBLANK('Data Entry'!$¤$272), "", 'Data Entry'!$¤$272)</f>
      </c>
      <c r="CW272">
        <f>IF(ISBLANK('Data Entry'!$¥$272), "", 'Data Entry'!$¥$272)</f>
      </c>
      <c r="CX272">
        <f>IF(ISBLANK('Data Entry'!$¦$272), "", 'Data Entry'!$¦$272)</f>
      </c>
      <c r="CY272">
        <f>IF(ISBLANK('Data Entry'!$§$272), "", 'Data Entry'!$§$272)</f>
      </c>
      <c r="CZ272">
        <f>IF(ISBLANK('Data Entry'!$¨$272), "", 'Data Entry'!$¨$272)</f>
      </c>
      <c r="DA272">
        <f>IF(ISBLANK('Data Entry'!$©$272), "", 'Data Entry'!$©$272)</f>
      </c>
      <c r="DB272">
        <f>IF(ISBLANK('Data Entry'!$ª$272), "", 'Data Entry'!$ª$272)</f>
      </c>
      <c r="DC272">
        <f>IF(ISBLANK('Data Entry'!$«$272), "", 'Data Entry'!$«$272)</f>
      </c>
      <c r="DD272">
        <f>IF(ISBLANK('Data Entry'!$¬$272), "", 'Data Entry'!$¬$272)</f>
      </c>
      <c r="DE272">
        <f>IF(ISBLANK('Data Entry'!$­$272), "", 'Data Entry'!$­$272)</f>
      </c>
      <c r="DF272">
        <f>IF(ISBLANK('Data Entry'!$®$272), "", 'Data Entry'!$®$272)</f>
      </c>
      <c r="DG272">
        <f>IF(ISBLANK('Data Entry'!$¯$272), "", 'Data Entry'!$¯$272)</f>
      </c>
      <c r="DH272">
        <f>IF(ISBLANK('Data Entry'!$°$272), "", 'Data Entry'!$°$272)</f>
      </c>
      <c r="DI272">
        <f>IF(ISBLANK('Data Entry'!$±$272), "", 'Data Entry'!$±$272)</f>
      </c>
      <c r="DJ272">
        <f>IF(ISBLANK('Data Entry'!$²$272), "", 'Data Entry'!$²$272)</f>
      </c>
      <c r="DK272">
        <f>IF(ISBLANK('Data Entry'!$³$272), "", 'Data Entry'!$³$272)</f>
      </c>
      <c r="DL272">
        <f>IF(ISBLANK('Data Entry'!$´$272), "", 'Data Entry'!$´$272)</f>
      </c>
      <c r="DM272">
        <f>IF(ISBLANK('Data Entry'!$µ$272), "", 'Data Entry'!$µ$272)</f>
      </c>
      <c r="DN272">
        <f>IF(ISBLANK('Data Entry'!$¶$272), "", 'Data Entry'!$¶$272)</f>
      </c>
      <c r="DO272">
        <f>IF(ISBLANK('Data Entry'!$·$272), "", 'Data Entry'!$·$272)</f>
      </c>
      <c r="DP272">
        <f>IF(ISBLANK('Data Entry'!$¸$272), "", 'Data Entry'!$¸$272)</f>
      </c>
      <c r="DQ272">
        <f>IF(ISBLANK('Data Entry'!$¹$272), "", 'Data Entry'!$¹$272)</f>
      </c>
      <c r="DR272">
        <f>IF(ISBLANK('Data Entry'!$º$272), "", 'Data Entry'!$º$272)</f>
      </c>
      <c r="DS272">
        <f>IF(ISBLANK('Data Entry'!$»$272), "", 'Data Entry'!$»$272)</f>
      </c>
      <c r="DT272">
        <f>IF(ISBLANK('Data Entry'!$¼$272), "", 'Data Entry'!$¼$272)</f>
      </c>
      <c r="DU272">
        <f>IF(ISBLANK('Data Entry'!$½$272), "", 'Data Entry'!$½$272)</f>
      </c>
      <c r="DV272">
        <f>IF(ISBLANK('Data Entry'!$¾$272), "", 'Data Entry'!$¾$272)</f>
      </c>
      <c r="DW272">
        <f>IF(ISBLANK('Data Entry'!$¿$272), "", 'Data Entry'!$¿$272)</f>
      </c>
      <c r="DX272">
        <f>IF(ISBLANK('Data Entry'!$À$272), "", 'Data Entry'!$À$272)</f>
      </c>
      <c r="DY272">
        <f>IF(ISBLANK('Data Entry'!$Á$272), "", 'Data Entry'!$Á$272)</f>
      </c>
      <c r="DZ272">
        <f>IF(ISBLANK('Data Entry'!$Â$272), "", 'Data Entry'!$Â$272)</f>
      </c>
      <c r="EA272">
        <f>IF(ISBLANK('Data Entry'!$Ã$272), "", 'Data Entry'!$Ã$272)</f>
      </c>
      <c r="EB272">
        <f>IF(ISBLANK('Data Entry'!$Ä$272), "", 'Data Entry'!$Ä$272)</f>
      </c>
      <c r="EC272">
        <f>IF(ISBLANK('Data Entry'!$Å$272), "", 'Data Entry'!$Å$272)</f>
      </c>
      <c r="ED272">
        <f>IF(ISBLANK('Data Entry'!$Æ$272), "", 'Data Entry'!$Æ$272)</f>
      </c>
      <c r="EE272">
        <f>IF(ISBLANK('Data Entry'!$Ç$272), "", 'Data Entry'!$Ç$272)</f>
      </c>
      <c r="EF272">
        <f>IF(ISBLANK('Data Entry'!$È$272), "", 'Data Entry'!$È$272)</f>
      </c>
      <c r="EG272">
        <f>IF(ISBLANK('Data Entry'!$É$272), "", 'Data Entry'!$É$272)</f>
      </c>
      <c r="EH272">
        <f>IF(ISBLANK('Data Entry'!$Ê$272), "", 'Data Entry'!$Ê$272)</f>
      </c>
      <c r="EI272">
        <f>IF(ISBLANK('Data Entry'!$Ë$272), "", 'Data Entry'!$Ë$272)</f>
      </c>
      <c r="EJ272">
        <f>IF(ISBLANK('Data Entry'!$Ì$272), "", 'Data Entry'!$Ì$272)</f>
      </c>
      <c r="EK272">
        <f>IF(ISBLANK('Data Entry'!$Í$272), "", 'Data Entry'!$Í$272)</f>
      </c>
      <c r="EL272">
        <f>IF(ISBLANK('Data Entry'!$Î$272), "", 'Data Entry'!$Î$272)</f>
      </c>
      <c r="EM272">
        <f>IF(ISBLANK('Data Entry'!$Ï$272), "", 'Data Entry'!$Ï$272)</f>
      </c>
      <c r="EN272">
        <f>IF(ISBLANK('Data Entry'!$Ð$272), "", 'Data Entry'!$Ð$272)</f>
      </c>
      <c r="EO272">
        <f>IF(ISBLANK('Data Entry'!$Ñ$272), "", 'Data Entry'!$Ñ$272)</f>
      </c>
      <c r="EP272">
        <f>IF(ISBLANK('Data Entry'!$Ò$272), "", 'Data Entry'!$Ò$272)</f>
      </c>
      <c r="EQ272">
        <f>IF(ISBLANK('Data Entry'!$Ó$272), "", 'Data Entry'!$Ó$272)</f>
      </c>
      <c r="ER272">
        <f>IF(ISBLANK('Data Entry'!$Ô$272), "", 'Data Entry'!$Ô$272)</f>
      </c>
      <c r="ES272">
        <f>IF(ISBLANK('Data Entry'!$Õ$272), "", 'Data Entry'!$Õ$272)</f>
      </c>
      <c r="ET272">
        <f>IF(ISBLANK('Data Entry'!$Ö$272), "", 'Data Entry'!$Ö$272)</f>
      </c>
      <c r="EU272">
        <f>IF(ISBLANK('Data Entry'!$×$272), "", 'Data Entry'!$×$272)</f>
      </c>
      <c r="EV272">
        <f>IF(ISBLANK('Data Entry'!$Ø$272), "", 'Data Entry'!$Ø$272)</f>
      </c>
      <c r="EW272">
        <f>IF(ISBLANK('Data Entry'!$Ù$272), "", 'Data Entry'!$Ù$272)</f>
      </c>
      <c r="EX272">
        <f>IF(ISBLANK('Data Entry'!$Ú$272), "", 'Data Entry'!$Ú$272)</f>
      </c>
      <c r="EY272">
        <f>IF(ISBLANK('Data Entry'!$Û$272), "", 'Data Entry'!$Û$272)</f>
      </c>
      <c r="EZ272">
        <f>IF(ISBLANK('Data Entry'!$Ü$272), "", 'Data Entry'!$Ü$272)</f>
      </c>
      <c r="FA272">
        <f>IF(ISBLANK('Data Entry'!$Ý$272), "", 'Data Entry'!$Ý$272)</f>
      </c>
      <c r="FB272">
        <f>IF(ISBLANK('Data Entry'!$Þ$272), "", 'Data Entry'!$Þ$272)</f>
      </c>
      <c r="FC272">
        <f>IF(ISBLANK('Data Entry'!$ß$272), "", 'Data Entry'!$ß$272)</f>
      </c>
      <c r="FD272">
        <f>IF(ISBLANK('Data Entry'!$à$272), "", 'Data Entry'!$à$272)</f>
      </c>
      <c r="FE272">
        <f>IF(ISBLANK('Data Entry'!$á$272), "", 'Data Entry'!$á$272)</f>
      </c>
      <c r="FF272">
        <f>IF(ISBLANK('Data Entry'!$â$272), "", 'Data Entry'!$â$272)</f>
      </c>
      <c r="FG272">
        <f>IF(ISBLANK('Data Entry'!$ã$272), "", 'Data Entry'!$ã$272)</f>
      </c>
      <c r="FH272">
        <f>IF(ISBLANK('Data Entry'!$ä$272), "", 'Data Entry'!$ä$272)</f>
      </c>
      <c r="FI272">
        <f>IF(ISBLANK('Data Entry'!$å$272), "", 'Data Entry'!$å$272)</f>
      </c>
      <c r="FJ272">
        <f>IF(ISBLANK('Data Entry'!$æ$272), "", 'Data Entry'!$æ$272)</f>
      </c>
      <c r="FK272">
        <f>IF(ISBLANK('Data Entry'!$ç$272), "", 'Data Entry'!$ç$272)</f>
      </c>
      <c r="FL272">
        <f>IF(ISBLANK('Data Entry'!$è$272), "", 'Data Entry'!$è$272)</f>
      </c>
      <c r="FM272">
        <f>IF(ISBLANK('Data Entry'!$é$272), "", 'Data Entry'!$é$272)</f>
      </c>
      <c r="FN272">
        <f>IF(ISBLANK('Data Entry'!$ê$272), "", 'Data Entry'!$ê$272)</f>
      </c>
      <c r="FO272">
        <f>IF(ISBLANK('Data Entry'!$ë$272), "", 'Data Entry'!$ë$272)</f>
      </c>
      <c r="FP272">
        <f>IF(ISBLANK('Data Entry'!$ì$272), "", 'Data Entry'!$ì$272)</f>
      </c>
      <c r="FQ272">
        <f>IF(ISBLANK('Data Entry'!$í$272), "", 'Data Entry'!$í$272)</f>
      </c>
      <c r="FR272">
        <f>IF(ISBLANK('Data Entry'!$î$272), "", 'Data Entry'!$î$272)</f>
      </c>
      <c r="FS272">
        <f>IF(ISBLANK('Data Entry'!$ï$272), "", 'Data Entry'!$ï$272)</f>
      </c>
      <c r="FT272">
        <f>IF(ISBLANK('Data Entry'!$ð$272), "", 'Data Entry'!$ð$272)</f>
      </c>
      <c r="FU272">
        <f>IF(ISBLANK('Data Entry'!$ñ$272), "", 'Data Entry'!$ñ$272)</f>
      </c>
      <c r="FV272">
        <f>IF(ISBLANK('Data Entry'!$ò$272), "", 'Data Entry'!$ò$272)</f>
      </c>
      <c r="FW272">
        <f>IF(ISBLANK('Data Entry'!$ó$272), "", 'Data Entry'!$ó$272)</f>
      </c>
      <c r="FX272">
        <f>IF(ISBLANK('Data Entry'!$ô$272), "", 'Data Entry'!$ô$272)</f>
      </c>
      <c r="FY272">
        <f>IF(ISBLANK('Data Entry'!$õ$272), "", 'Data Entry'!$õ$272)</f>
      </c>
      <c r="FZ272">
        <f>IF(ISBLANK('Data Entry'!$ö$272), "", 'Data Entry'!$ö$272)</f>
      </c>
      <c r="GA272">
        <f>IF(ISBLANK('Data Entry'!$÷$272), "", 'Data Entry'!$÷$272)</f>
      </c>
      <c r="GB272">
        <f>IF(ISBLANK('Data Entry'!$ø$272), "", 'Data Entry'!$ø$272)</f>
      </c>
      <c r="GC272">
        <f>IF(ISBLANK('Data Entry'!$ù$272), "", 'Data Entry'!$ù$272)</f>
      </c>
      <c r="GD272">
        <f>IF(ISBLANK('Data Entry'!$ú$272), "", 'Data Entry'!$ú$272)</f>
      </c>
      <c r="GE272">
        <f>IF(ISBLANK('Data Entry'!$û$272), "", 'Data Entry'!$û$272)</f>
      </c>
      <c r="GF272">
        <f>IF(ISBLANK('Data Entry'!$ü$272), "", 'Data Entry'!$ü$272)</f>
      </c>
      <c r="GG272">
        <f>IF(ISBLANK('Data Entry'!$ý$272), "", 'Data Entry'!$ý$272)</f>
      </c>
      <c r="GH272">
        <f>IF(ISBLANK('Data Entry'!$þ$272), "", 'Data Entry'!$þ$272)</f>
      </c>
      <c r="GI272">
        <f>IF(ISBLANK('Data Entry'!$ÿ$272), "", 'Data Entry'!$ÿ$272)</f>
      </c>
      <c r="GJ272">
        <f>IF(ISBLANK('Data Entry'!$Ā$272), "", 'Data Entry'!$Ā$272)</f>
      </c>
      <c r="GK272">
        <f>IF(ISBLANK('Data Entry'!$ā$272), "", 'Data Entry'!$ā$272)</f>
      </c>
      <c r="GL272">
        <f>IF(ISBLANK('Data Entry'!$Ă$272), "", 'Data Entry'!$Ă$272)</f>
      </c>
      <c r="GM272">
        <f>IF(ISBLANK('Data Entry'!$ă$272), "", 'Data Entry'!$ă$272)</f>
      </c>
      <c r="GN272">
        <f>IF(ISBLANK('Data Entry'!$Ą$272), "", 'Data Entry'!$Ą$272)</f>
      </c>
      <c r="GO272">
        <f>IF(ISBLANK('Data Entry'!$ą$272), "", 'Data Entry'!$ą$272)</f>
      </c>
      <c r="GP272">
        <f>IF(ISBLANK('Data Entry'!$Ć$272), "", 'Data Entry'!$Ć$272)</f>
      </c>
      <c r="GQ272">
        <f>IF(ISBLANK('Data Entry'!$ć$272), "", 'Data Entry'!$ć$272)</f>
      </c>
      <c r="GR272">
        <f>IF(ISBLANK('Data Entry'!$Ĉ$272), "", 'Data Entry'!$Ĉ$272)</f>
      </c>
      <c r="GS272">
        <f>IF(ISBLANK('Data Entry'!$ĉ$272), "", 'Data Entry'!$ĉ$272)</f>
      </c>
      <c r="GT272">
        <f>IF(ISBLANK('Data Entry'!$Ċ$272), "", 'Data Entry'!$Ċ$272)</f>
      </c>
      <c r="GU272">
        <f>IF(ISBLANK('Data Entry'!$ċ$272), "", 'Data Entry'!$ċ$272)</f>
      </c>
      <c r="GV272">
        <f>IF(ISBLANK('Data Entry'!$Č$272), "", 'Data Entry'!$Č$272)</f>
      </c>
      <c r="GW272">
        <f>IF(ISBLANK('Data Entry'!$č$272), "", 'Data Entry'!$č$272)</f>
      </c>
      <c r="GX272">
        <f>IF(ISBLANK('Data Entry'!$Ď$272), "", 'Data Entry'!$Ď$272)</f>
      </c>
      <c r="GY272">
        <f>IF(ISBLANK('Data Entry'!$ď$272), "", 'Data Entry'!$ď$272)</f>
      </c>
      <c r="GZ272">
        <f>IF(ISBLANK('Data Entry'!$Đ$272), "", 'Data Entry'!$Đ$272)</f>
      </c>
      <c r="HA272">
        <f>IF(ISBLANK('Data Entry'!$đ$272), "", 'Data Entry'!$đ$272)</f>
      </c>
      <c r="HB272">
        <f>IF(ISBLANK('Data Entry'!$Ē$272), "", 'Data Entry'!$Ē$272)</f>
      </c>
      <c r="HC272">
        <f>IF(ISBLANK('Data Entry'!$ē$272), "", 'Data Entry'!$ē$272)</f>
      </c>
      <c r="HD272">
        <f>IF(ISBLANK('Data Entry'!$Ĕ$272), "", 'Data Entry'!$Ĕ$272)</f>
      </c>
      <c r="HE272">
        <f>IF(ISBLANK('Data Entry'!$ĕ$272), "", 'Data Entry'!$ĕ$272)</f>
      </c>
      <c r="HF272">
        <f>IF(ISBLANK('Data Entry'!$Ė$272), "", 'Data Entry'!$Ė$272)</f>
      </c>
      <c r="HG272">
        <f>IF(ISBLANK('Data Entry'!$ė$272), "", 'Data Entry'!$ė$272)</f>
      </c>
      <c r="HH272">
        <f>IF(ISBLANK('Data Entry'!$Ę$272), "", 'Data Entry'!$Ę$272)</f>
      </c>
      <c r="HI272">
        <f>IF(ISBLANK('Data Entry'!$ę$272), "", 'Data Entry'!$ę$272)</f>
      </c>
      <c r="HJ272">
        <f>IF(ISBLANK('Data Entry'!$Ě$272), "", 'Data Entry'!$Ě$272)</f>
      </c>
      <c r="HK272">
        <f>IF(ISBLANK('Data Entry'!$ě$272), "", 'Data Entry'!$ě$272)</f>
      </c>
      <c r="HL272">
        <f>IF(ISBLANK('Data Entry'!$Ĝ$272), "", 'Data Entry'!$Ĝ$272)</f>
      </c>
      <c r="HM272">
        <f>IF(ISBLANK('Data Entry'!$ĝ$272), "", 'Data Entry'!$ĝ$272)</f>
      </c>
      <c r="HN272">
        <f>IF(ISBLANK('Data Entry'!$Ğ$272), "", 'Data Entry'!$Ğ$272)</f>
      </c>
      <c r="HO272">
        <f>IF(ISBLANK('Data Entry'!$ğ$272), "", 'Data Entry'!$ğ$272)</f>
      </c>
      <c r="HP272">
        <f>IF(ISBLANK('Data Entry'!$Ġ$272), "", 'Data Entry'!$Ġ$272)</f>
      </c>
      <c r="HQ272">
        <f>IF(ISBLANK('Data Entry'!$ġ$272), "", 'Data Entry'!$ġ$272)</f>
      </c>
      <c r="HR272">
        <f>IF(ISBLANK('Data Entry'!$Ģ$272), "", 'Data Entry'!$Ģ$272)</f>
      </c>
      <c r="HS272">
        <f>IF(ISBLANK('Data Entry'!$ģ$272), "", 'Data Entry'!$ģ$272)</f>
      </c>
      <c r="HT272">
        <f>IF(ISBLANK('Data Entry'!$Ĥ$272), "", 'Data Entry'!$Ĥ$272)</f>
      </c>
      <c r="HU272">
        <f>IF(ISBLANK('Data Entry'!$ĥ$272), "", 'Data Entry'!$ĥ$272)</f>
      </c>
      <c r="HV272">
        <f>IF(ISBLANK('Data Entry'!$Ħ$272), "", 'Data Entry'!$Ħ$272)</f>
      </c>
      <c r="HW272">
        <f>IF(ISBLANK('Data Entry'!$ħ$272), "", 'Data Entry'!$ħ$272)</f>
      </c>
      <c r="HX272">
        <f>IF(ISBLANK('Data Entry'!$Ĩ$272), "", 'Data Entry'!$Ĩ$272)</f>
      </c>
      <c r="HY272">
        <f>IF(ISBLANK('Data Entry'!$ĩ$272), "", 'Data Entry'!$ĩ$272)</f>
      </c>
      <c r="HZ272">
        <f>IF(ISBLANK('Data Entry'!$Ī$272), "", 'Data Entry'!$Ī$272)</f>
      </c>
      <c r="IA272">
        <f>IF(ISBLANK('Data Entry'!$ī$272), "", 'Data Entry'!$ī$272)</f>
      </c>
      <c r="IB272">
        <f>IF(ISBLANK('Data Entry'!$Ĭ$272), "", 'Data Entry'!$Ĭ$272)</f>
      </c>
      <c r="IC272">
        <f>IF(ISBLANK('Data Entry'!$ĭ$272), "", 'Data Entry'!$ĭ$272)</f>
      </c>
      <c r="ID272">
        <f>IF(ISBLANK('Data Entry'!$Į$272), "", 'Data Entry'!$Į$272)</f>
      </c>
      <c r="IE272">
        <f>IF(ISBLANK('Data Entry'!$į$272), "", 'Data Entry'!$į$272)</f>
      </c>
      <c r="IF272">
        <f>IF(ISBLANK('Data Entry'!$İ$272), "", 'Data Entry'!$İ$272)</f>
      </c>
      <c r="IG272">
        <f>IF(ISBLANK('Data Entry'!$ı$272), "", 'Data Entry'!$ı$272)</f>
      </c>
      <c r="IH272">
        <f>IF(ISBLANK('Data Entry'!$Ĳ$272), "", 'Data Entry'!$Ĳ$272)</f>
      </c>
      <c r="II272">
        <f>IF(ISBLANK('Data Entry'!$ĳ$272), "", 'Data Entry'!$ĳ$272)</f>
      </c>
      <c r="IJ272">
        <f>IF(ISBLANK('Data Entry'!$Ĵ$272), "", 'Data Entry'!$Ĵ$272)</f>
      </c>
      <c r="IK272">
        <f>IF(ISBLANK('Data Entry'!$ĵ$272), "", 'Data Entry'!$ĵ$272)</f>
      </c>
      <c r="IL272">
        <f>IF(ISBLANK('Data Entry'!$Ķ$272), "", 'Data Entry'!$Ķ$272)</f>
      </c>
      <c r="IM272">
        <f>IF(ISBLANK('Data Entry'!$ķ$272), "", 'Data Entry'!$ķ$272)</f>
      </c>
      <c r="IN272">
        <f>IF(ISBLANK('Data Entry'!$ĸ$272), "", 'Data Entry'!$ĸ$272)</f>
      </c>
      <c r="IO272">
        <f>IF(ISBLANK('Data Entry'!$Ĺ$272), "", 'Data Entry'!$Ĺ$272)</f>
      </c>
      <c r="IP272">
        <f>IF(ISBLANK('Data Entry'!$ĺ$272), "", 'Data Entry'!$ĺ$272)</f>
      </c>
      <c r="IQ272">
        <f>IF(ISBLANK('Data Entry'!$Ļ$272), "", 'Data Entry'!$Ļ$272)</f>
      </c>
      <c r="IR272">
        <f>IF(ISBLANK('Data Entry'!$ļ$272), "", 'Data Entry'!$ļ$272)</f>
      </c>
      <c r="IS272">
        <f>IF(ISBLANK('Data Entry'!$Ľ$272), "", 'Data Entry'!$Ľ$272)</f>
      </c>
      <c r="IT272">
        <f>IF(ISBLANK('Data Entry'!$ľ$272), "", 'Data Entry'!$ľ$272)</f>
      </c>
    </row>
    <row r="273" spans="1:254" x14ac:dyDescent="0.25">
      <c r="A273">
        <f>IF(ISBLANK('Data Entry'!$A$273), "", 'Data Entry'!$A$273)</f>
      </c>
      <c r="B273">
        <f>IF(ISBLANK('Data Entry'!$B$273), "", 'Data Entry'!$B$273)</f>
      </c>
      <c r="C273">
        <f>IF(ISBLANK('Data Entry'!$C$273), "", 'Data Entry'!$C$273)</f>
      </c>
      <c r="D273">
        <f>IF(ISBLANK('Data Entry'!$D$273), "", 'Data Entry'!$D$273)</f>
      </c>
      <c r="E273">
        <f>IF(ISBLANK('Data Entry'!$E$273), "", 'Data Entry'!$E$273)</f>
      </c>
      <c r="F273">
        <f>IF(ISBLANK('Data Entry'!$F$273), "", 'Data Entry'!$F$273)</f>
      </c>
      <c r="G273">
        <f>IF(ISBLANK('Data Entry'!$G$273), "", 'Data Entry'!$G$273)</f>
      </c>
      <c r="H273">
        <f>IF(ISBLANK('Data Entry'!$H$273), "", 'Data Entry'!$H$273)</f>
      </c>
      <c r="I273">
        <f>IF(ISBLANK('Data Entry'!$I$273), "", 'Data Entry'!$I$273)</f>
      </c>
      <c r="J273">
        <f>IF(ISBLANK('Data Entry'!$J$273), "", 'Data Entry'!$J$273)</f>
      </c>
      <c r="K273">
        <f>IF(ISBLANK('Data Entry'!$K$273), "", 'Data Entry'!$K$273)</f>
      </c>
      <c r="L273">
        <f>IF(ISBLANK('Data Entry'!$L$273), "", 'Data Entry'!$L$273)</f>
      </c>
      <c r="M273">
        <f>IF(ISBLANK('Data Entry'!$M$273), "", 'Data Entry'!$M$273)</f>
      </c>
      <c r="N273">
        <f>IF(ISBLANK('Data Entry'!$N$273), "", 'Data Entry'!$N$273)</f>
      </c>
      <c r="O273">
        <f>IF(ISBLANK('Data Entry'!$O$273), "", 'Data Entry'!$O$273)</f>
      </c>
      <c r="P273">
        <f>IF(ISBLANK('Data Entry'!$P$273), "", 'Data Entry'!$P$273)</f>
      </c>
      <c r="Q273">
        <f>IF(ISBLANK('Data Entry'!$Q$273), "", 'Data Entry'!$Q$273)</f>
      </c>
      <c r="R273">
        <f>IF(ISBLANK('Data Entry'!$R$273), "", 'Data Entry'!$R$273)</f>
      </c>
      <c r="S273">
        <f>IF(ISBLANK('Data Entry'!$S$273), "", 'Data Entry'!$S$273)</f>
      </c>
      <c r="T273">
        <f>IF(ISBLANK('Data Entry'!$T$273), "", 'Data Entry'!$T$273)</f>
      </c>
      <c r="U273">
        <f>IF(ISBLANK('Data Entry'!$U$273), "", 'Data Entry'!$U$273)</f>
      </c>
      <c r="V273">
        <f>IF(ISBLANK('Data Entry'!$V$273), "", 'Data Entry'!$V$273)</f>
      </c>
      <c r="W273">
        <f>IF(ISBLANK('Data Entry'!$W$273), "", 'Data Entry'!$W$273)</f>
      </c>
      <c r="X273">
        <f>IF(ISBLANK('Data Entry'!$X$273), "", 'Data Entry'!$X$273)</f>
      </c>
      <c r="Y273">
        <f>IF(ISBLANK('Data Entry'!$Y$273), "", 'Data Entry'!$Y$273)</f>
      </c>
      <c r="Z273">
        <f>IF(ISBLANK('Data Entry'!$Z$273), "", 'Data Entry'!$Z$273)</f>
      </c>
      <c r="AA273">
        <f>IF(ISBLANK('Data Entry'!$[$273), "", 'Data Entry'!$[$273)</f>
      </c>
      <c r="AB273">
        <f>IF(ISBLANK('Data Entry'!$\$273), "", 'Data Entry'!$\$273)</f>
      </c>
      <c r="AC273">
        <f>IF(ISBLANK('Data Entry'!$]$273), "", 'Data Entry'!$]$273)</f>
      </c>
      <c r="AD273">
        <f>IF(ISBLANK('Data Entry'!$^$273), "", 'Data Entry'!$^$273)</f>
      </c>
      <c r="AE273">
        <f>IF(ISBLANK('Data Entry'!$_$273), "", 'Data Entry'!$_$273)</f>
      </c>
      <c r="AF273">
        <f>IF(ISBLANK('Data Entry'!$`$273), "", 'Data Entry'!$`$273)</f>
      </c>
      <c r="AG273">
        <f>IF(ISBLANK('Data Entry'!$a$273), "", 'Data Entry'!$a$273)</f>
      </c>
      <c r="AH273">
        <f>IF(ISBLANK('Data Entry'!$b$273), "", 'Data Entry'!$b$273)</f>
      </c>
      <c r="AI273">
        <f>IF(ISBLANK('Data Entry'!$c$273), "", 'Data Entry'!$c$273)</f>
      </c>
      <c r="AJ273">
        <f>IF(ISBLANK('Data Entry'!$d$273), "", 'Data Entry'!$d$273)</f>
      </c>
      <c r="AK273">
        <f>IF(ISBLANK('Data Entry'!$e$273), "", 'Data Entry'!$e$273)</f>
      </c>
      <c r="AL273">
        <f>IF(ISBLANK('Data Entry'!$f$273), "", 'Data Entry'!$f$273)</f>
      </c>
      <c r="AM273">
        <f>IF(ISBLANK('Data Entry'!$g$273), "", 'Data Entry'!$g$273)</f>
      </c>
      <c r="AN273">
        <f>IF(ISBLANK('Data Entry'!$h$273), "", 'Data Entry'!$h$273)</f>
      </c>
      <c r="AO273">
        <f>IF(ISBLANK('Data Entry'!$i$273), "", 'Data Entry'!$i$273)</f>
      </c>
      <c r="AP273">
        <f>IF(ISBLANK('Data Entry'!$j$273), "", 'Data Entry'!$j$273)</f>
      </c>
      <c r="AQ273">
        <f>IF(ISBLANK('Data Entry'!$k$273), "", 'Data Entry'!$k$273)</f>
      </c>
      <c r="AR273">
        <f>IF(ISBLANK('Data Entry'!$l$273), "", 'Data Entry'!$l$273)</f>
      </c>
      <c r="AS273">
        <f>IF(ISBLANK('Data Entry'!$m$273), "", 'Data Entry'!$m$273)</f>
      </c>
      <c r="AT273">
        <f>IF(ISBLANK('Data Entry'!$n$273), "", 'Data Entry'!$n$273)</f>
      </c>
      <c r="AU273">
        <f>IF(ISBLANK('Data Entry'!$o$273), "", 'Data Entry'!$o$273)</f>
      </c>
      <c r="AV273">
        <f>IF(ISBLANK('Data Entry'!$p$273), "", 'Data Entry'!$p$273)</f>
      </c>
      <c r="AW273">
        <f>IF(ISBLANK('Data Entry'!$q$273), "", 'Data Entry'!$q$273)</f>
      </c>
      <c r="AX273">
        <f>IF(ISBLANK('Data Entry'!$r$273), "", 'Data Entry'!$r$273)</f>
      </c>
      <c r="AY273">
        <f>IF(ISBLANK('Data Entry'!$s$273), "", 'Data Entry'!$s$273)</f>
      </c>
      <c r="AZ273">
        <f>IF(ISBLANK('Data Entry'!$t$273), "", 'Data Entry'!$t$273)</f>
      </c>
      <c r="BA273">
        <f>IF(ISBLANK('Data Entry'!$u$273), "", 'Data Entry'!$u$273)</f>
      </c>
      <c r="BB273">
        <f>IF(ISBLANK('Data Entry'!$v$273), "", 'Data Entry'!$v$273)</f>
      </c>
      <c r="BC273">
        <f>IF(ISBLANK('Data Entry'!$w$273), "", 'Data Entry'!$w$273)</f>
      </c>
      <c r="BD273">
        <f>IF(ISBLANK('Data Entry'!$x$273), "", 'Data Entry'!$x$273)</f>
      </c>
      <c r="BE273">
        <f>IF(ISBLANK('Data Entry'!$y$273), "", 'Data Entry'!$y$273)</f>
      </c>
      <c r="BF273">
        <f>IF(ISBLANK('Data Entry'!$z$273), "", 'Data Entry'!$z$273)</f>
      </c>
      <c r="BG273">
        <f>IF(ISBLANK('Data Entry'!${$273), "", 'Data Entry'!${$273)</f>
      </c>
      <c r="BH273">
        <f>IF(ISBLANK('Data Entry'!$|$273), "", 'Data Entry'!$|$273)</f>
      </c>
      <c r="BI273">
        <f>IF(ISBLANK('Data Entry'!$}$273), "", 'Data Entry'!$}$273)</f>
      </c>
      <c r="BJ273">
        <f>IF(ISBLANK('Data Entry'!$~$273), "", 'Data Entry'!$~$273)</f>
      </c>
      <c r="BK273">
        <f>IF(ISBLANK('Data Entry'!$$273), "", 'Data Entry'!$$273)</f>
      </c>
      <c r="BL273">
        <f>IF(ISBLANK('Data Entry'!$$273), "", 'Data Entry'!$$273)</f>
      </c>
      <c r="BM273">
        <f>IF(ISBLANK('Data Entry'!$$273), "", 'Data Entry'!$$273)</f>
      </c>
      <c r="BN273">
        <f>IF(ISBLANK('Data Entry'!$$273), "", 'Data Entry'!$$273)</f>
      </c>
      <c r="BO273">
        <f>IF(ISBLANK('Data Entry'!$$273), "", 'Data Entry'!$$273)</f>
      </c>
      <c r="BP273">
        <f>IF(ISBLANK('Data Entry'!$$273), "", 'Data Entry'!$$273)</f>
      </c>
      <c r="BQ273">
        <f>IF(ISBLANK('Data Entry'!$$273), "", 'Data Entry'!$$273)</f>
      </c>
      <c r="BR273">
        <f>IF(ISBLANK('Data Entry'!$$273), "", 'Data Entry'!$$273)</f>
      </c>
      <c r="BS273">
        <f>IF(ISBLANK('Data Entry'!$$273), "", 'Data Entry'!$$273)</f>
      </c>
      <c r="BT273">
        <f>IF(ISBLANK('Data Entry'!$$273), "", 'Data Entry'!$$273)</f>
      </c>
      <c r="BU273">
        <f>IF(ISBLANK('Data Entry'!$$273), "", 'Data Entry'!$$273)</f>
      </c>
      <c r="BV273">
        <f>IF(ISBLANK('Data Entry'!$$273), "", 'Data Entry'!$$273)</f>
      </c>
      <c r="BW273">
        <f>IF(ISBLANK('Data Entry'!$$273), "", 'Data Entry'!$$273)</f>
      </c>
      <c r="BX273">
        <f>IF(ISBLANK('Data Entry'!$$273), "", 'Data Entry'!$$273)</f>
      </c>
      <c r="BY273">
        <f>IF(ISBLANK('Data Entry'!$$273), "", 'Data Entry'!$$273)</f>
      </c>
      <c r="BZ273">
        <f>IF(ISBLANK('Data Entry'!$$273), "", 'Data Entry'!$$273)</f>
      </c>
      <c r="CA273">
        <f>IF(ISBLANK('Data Entry'!$$273), "", 'Data Entry'!$$273)</f>
      </c>
      <c r="CB273">
        <f>IF(ISBLANK('Data Entry'!$$273), "", 'Data Entry'!$$273)</f>
      </c>
      <c r="CC273">
        <f>IF(ISBLANK('Data Entry'!$$273), "", 'Data Entry'!$$273)</f>
      </c>
      <c r="CD273">
        <f>IF(ISBLANK('Data Entry'!$$273), "", 'Data Entry'!$$273)</f>
      </c>
      <c r="CE273">
        <f>IF(ISBLANK('Data Entry'!$$273), "", 'Data Entry'!$$273)</f>
      </c>
      <c r="CF273">
        <f>IF(ISBLANK('Data Entry'!$$273), "", 'Data Entry'!$$273)</f>
      </c>
      <c r="CG273">
        <f>IF(ISBLANK('Data Entry'!$$273), "", 'Data Entry'!$$273)</f>
      </c>
      <c r="CH273">
        <f>IF(ISBLANK('Data Entry'!$$273), "", 'Data Entry'!$$273)</f>
      </c>
      <c r="CI273">
        <f>IF(ISBLANK('Data Entry'!$$273), "", 'Data Entry'!$$273)</f>
      </c>
      <c r="CJ273">
        <f>IF(ISBLANK('Data Entry'!$$273), "", 'Data Entry'!$$273)</f>
      </c>
      <c r="CK273">
        <f>IF(ISBLANK('Data Entry'!$$273), "", 'Data Entry'!$$273)</f>
      </c>
      <c r="CL273">
        <f>IF(ISBLANK('Data Entry'!$$273), "", 'Data Entry'!$$273)</f>
      </c>
      <c r="CM273">
        <f>IF(ISBLANK('Data Entry'!$$273), "", 'Data Entry'!$$273)</f>
      </c>
      <c r="CN273">
        <f>IF(ISBLANK('Data Entry'!$$273), "", 'Data Entry'!$$273)</f>
      </c>
      <c r="CO273">
        <f>IF(ISBLANK('Data Entry'!$$273), "", 'Data Entry'!$$273)</f>
      </c>
      <c r="CP273">
        <f>IF(ISBLANK('Data Entry'!$$273), "", 'Data Entry'!$$273)</f>
      </c>
      <c r="CQ273">
        <f>IF(ISBLANK('Data Entry'!$$273), "", 'Data Entry'!$$273)</f>
      </c>
      <c r="CR273">
        <f>IF(ISBLANK('Data Entry'!$ $273), "", 'Data Entry'!$ $273)</f>
      </c>
      <c r="CS273">
        <f>IF(ISBLANK('Data Entry'!$¡$273), "", 'Data Entry'!$¡$273)</f>
      </c>
      <c r="CT273">
        <f>IF(ISBLANK('Data Entry'!$¢$273), "", 'Data Entry'!$¢$273)</f>
      </c>
      <c r="CU273">
        <f>IF(ISBLANK('Data Entry'!$£$273), "", 'Data Entry'!$£$273)</f>
      </c>
      <c r="CV273">
        <f>IF(ISBLANK('Data Entry'!$¤$273), "", 'Data Entry'!$¤$273)</f>
      </c>
      <c r="CW273">
        <f>IF(ISBLANK('Data Entry'!$¥$273), "", 'Data Entry'!$¥$273)</f>
      </c>
      <c r="CX273">
        <f>IF(ISBLANK('Data Entry'!$¦$273), "", 'Data Entry'!$¦$273)</f>
      </c>
      <c r="CY273">
        <f>IF(ISBLANK('Data Entry'!$§$273), "", 'Data Entry'!$§$273)</f>
      </c>
      <c r="CZ273">
        <f>IF(ISBLANK('Data Entry'!$¨$273), "", 'Data Entry'!$¨$273)</f>
      </c>
      <c r="DA273">
        <f>IF(ISBLANK('Data Entry'!$©$273), "", 'Data Entry'!$©$273)</f>
      </c>
      <c r="DB273">
        <f>IF(ISBLANK('Data Entry'!$ª$273), "", 'Data Entry'!$ª$273)</f>
      </c>
      <c r="DC273">
        <f>IF(ISBLANK('Data Entry'!$«$273), "", 'Data Entry'!$«$273)</f>
      </c>
      <c r="DD273">
        <f>IF(ISBLANK('Data Entry'!$¬$273), "", 'Data Entry'!$¬$273)</f>
      </c>
      <c r="DE273">
        <f>IF(ISBLANK('Data Entry'!$­$273), "", 'Data Entry'!$­$273)</f>
      </c>
      <c r="DF273">
        <f>IF(ISBLANK('Data Entry'!$®$273), "", 'Data Entry'!$®$273)</f>
      </c>
      <c r="DG273">
        <f>IF(ISBLANK('Data Entry'!$¯$273), "", 'Data Entry'!$¯$273)</f>
      </c>
      <c r="DH273">
        <f>IF(ISBLANK('Data Entry'!$°$273), "", 'Data Entry'!$°$273)</f>
      </c>
      <c r="DI273">
        <f>IF(ISBLANK('Data Entry'!$±$273), "", 'Data Entry'!$±$273)</f>
      </c>
      <c r="DJ273">
        <f>IF(ISBLANK('Data Entry'!$²$273), "", 'Data Entry'!$²$273)</f>
      </c>
      <c r="DK273">
        <f>IF(ISBLANK('Data Entry'!$³$273), "", 'Data Entry'!$³$273)</f>
      </c>
      <c r="DL273">
        <f>IF(ISBLANK('Data Entry'!$´$273), "", 'Data Entry'!$´$273)</f>
      </c>
      <c r="DM273">
        <f>IF(ISBLANK('Data Entry'!$µ$273), "", 'Data Entry'!$µ$273)</f>
      </c>
      <c r="DN273">
        <f>IF(ISBLANK('Data Entry'!$¶$273), "", 'Data Entry'!$¶$273)</f>
      </c>
      <c r="DO273">
        <f>IF(ISBLANK('Data Entry'!$·$273), "", 'Data Entry'!$·$273)</f>
      </c>
      <c r="DP273">
        <f>IF(ISBLANK('Data Entry'!$¸$273), "", 'Data Entry'!$¸$273)</f>
      </c>
      <c r="DQ273">
        <f>IF(ISBLANK('Data Entry'!$¹$273), "", 'Data Entry'!$¹$273)</f>
      </c>
      <c r="DR273">
        <f>IF(ISBLANK('Data Entry'!$º$273), "", 'Data Entry'!$º$273)</f>
      </c>
      <c r="DS273">
        <f>IF(ISBLANK('Data Entry'!$»$273), "", 'Data Entry'!$»$273)</f>
      </c>
      <c r="DT273">
        <f>IF(ISBLANK('Data Entry'!$¼$273), "", 'Data Entry'!$¼$273)</f>
      </c>
      <c r="DU273">
        <f>IF(ISBLANK('Data Entry'!$½$273), "", 'Data Entry'!$½$273)</f>
      </c>
      <c r="DV273">
        <f>IF(ISBLANK('Data Entry'!$¾$273), "", 'Data Entry'!$¾$273)</f>
      </c>
      <c r="DW273">
        <f>IF(ISBLANK('Data Entry'!$¿$273), "", 'Data Entry'!$¿$273)</f>
      </c>
      <c r="DX273">
        <f>IF(ISBLANK('Data Entry'!$À$273), "", 'Data Entry'!$À$273)</f>
      </c>
      <c r="DY273">
        <f>IF(ISBLANK('Data Entry'!$Á$273), "", 'Data Entry'!$Á$273)</f>
      </c>
      <c r="DZ273">
        <f>IF(ISBLANK('Data Entry'!$Â$273), "", 'Data Entry'!$Â$273)</f>
      </c>
      <c r="EA273">
        <f>IF(ISBLANK('Data Entry'!$Ã$273), "", 'Data Entry'!$Ã$273)</f>
      </c>
      <c r="EB273">
        <f>IF(ISBLANK('Data Entry'!$Ä$273), "", 'Data Entry'!$Ä$273)</f>
      </c>
      <c r="EC273">
        <f>IF(ISBLANK('Data Entry'!$Å$273), "", 'Data Entry'!$Å$273)</f>
      </c>
      <c r="ED273">
        <f>IF(ISBLANK('Data Entry'!$Æ$273), "", 'Data Entry'!$Æ$273)</f>
      </c>
      <c r="EE273">
        <f>IF(ISBLANK('Data Entry'!$Ç$273), "", 'Data Entry'!$Ç$273)</f>
      </c>
      <c r="EF273">
        <f>IF(ISBLANK('Data Entry'!$È$273), "", 'Data Entry'!$È$273)</f>
      </c>
      <c r="EG273">
        <f>IF(ISBLANK('Data Entry'!$É$273), "", 'Data Entry'!$É$273)</f>
      </c>
      <c r="EH273">
        <f>IF(ISBLANK('Data Entry'!$Ê$273), "", 'Data Entry'!$Ê$273)</f>
      </c>
      <c r="EI273">
        <f>IF(ISBLANK('Data Entry'!$Ë$273), "", 'Data Entry'!$Ë$273)</f>
      </c>
      <c r="EJ273">
        <f>IF(ISBLANK('Data Entry'!$Ì$273), "", 'Data Entry'!$Ì$273)</f>
      </c>
      <c r="EK273">
        <f>IF(ISBLANK('Data Entry'!$Í$273), "", 'Data Entry'!$Í$273)</f>
      </c>
      <c r="EL273">
        <f>IF(ISBLANK('Data Entry'!$Î$273), "", 'Data Entry'!$Î$273)</f>
      </c>
      <c r="EM273">
        <f>IF(ISBLANK('Data Entry'!$Ï$273), "", 'Data Entry'!$Ï$273)</f>
      </c>
      <c r="EN273">
        <f>IF(ISBLANK('Data Entry'!$Ð$273), "", 'Data Entry'!$Ð$273)</f>
      </c>
      <c r="EO273">
        <f>IF(ISBLANK('Data Entry'!$Ñ$273), "", 'Data Entry'!$Ñ$273)</f>
      </c>
      <c r="EP273">
        <f>IF(ISBLANK('Data Entry'!$Ò$273), "", 'Data Entry'!$Ò$273)</f>
      </c>
      <c r="EQ273">
        <f>IF(ISBLANK('Data Entry'!$Ó$273), "", 'Data Entry'!$Ó$273)</f>
      </c>
      <c r="ER273">
        <f>IF(ISBLANK('Data Entry'!$Ô$273), "", 'Data Entry'!$Ô$273)</f>
      </c>
      <c r="ES273">
        <f>IF(ISBLANK('Data Entry'!$Õ$273), "", 'Data Entry'!$Õ$273)</f>
      </c>
      <c r="ET273">
        <f>IF(ISBLANK('Data Entry'!$Ö$273), "", 'Data Entry'!$Ö$273)</f>
      </c>
      <c r="EU273">
        <f>IF(ISBLANK('Data Entry'!$×$273), "", 'Data Entry'!$×$273)</f>
      </c>
      <c r="EV273">
        <f>IF(ISBLANK('Data Entry'!$Ø$273), "", 'Data Entry'!$Ø$273)</f>
      </c>
      <c r="EW273">
        <f>IF(ISBLANK('Data Entry'!$Ù$273), "", 'Data Entry'!$Ù$273)</f>
      </c>
      <c r="EX273">
        <f>IF(ISBLANK('Data Entry'!$Ú$273), "", 'Data Entry'!$Ú$273)</f>
      </c>
      <c r="EY273">
        <f>IF(ISBLANK('Data Entry'!$Û$273), "", 'Data Entry'!$Û$273)</f>
      </c>
      <c r="EZ273">
        <f>IF(ISBLANK('Data Entry'!$Ü$273), "", 'Data Entry'!$Ü$273)</f>
      </c>
      <c r="FA273">
        <f>IF(ISBLANK('Data Entry'!$Ý$273), "", 'Data Entry'!$Ý$273)</f>
      </c>
      <c r="FB273">
        <f>IF(ISBLANK('Data Entry'!$Þ$273), "", 'Data Entry'!$Þ$273)</f>
      </c>
      <c r="FC273">
        <f>IF(ISBLANK('Data Entry'!$ß$273), "", 'Data Entry'!$ß$273)</f>
      </c>
      <c r="FD273">
        <f>IF(ISBLANK('Data Entry'!$à$273), "", 'Data Entry'!$à$273)</f>
      </c>
      <c r="FE273">
        <f>IF(ISBLANK('Data Entry'!$á$273), "", 'Data Entry'!$á$273)</f>
      </c>
      <c r="FF273">
        <f>IF(ISBLANK('Data Entry'!$â$273), "", 'Data Entry'!$â$273)</f>
      </c>
      <c r="FG273">
        <f>IF(ISBLANK('Data Entry'!$ã$273), "", 'Data Entry'!$ã$273)</f>
      </c>
      <c r="FH273">
        <f>IF(ISBLANK('Data Entry'!$ä$273), "", 'Data Entry'!$ä$273)</f>
      </c>
      <c r="FI273">
        <f>IF(ISBLANK('Data Entry'!$å$273), "", 'Data Entry'!$å$273)</f>
      </c>
      <c r="FJ273">
        <f>IF(ISBLANK('Data Entry'!$æ$273), "", 'Data Entry'!$æ$273)</f>
      </c>
      <c r="FK273">
        <f>IF(ISBLANK('Data Entry'!$ç$273), "", 'Data Entry'!$ç$273)</f>
      </c>
      <c r="FL273">
        <f>IF(ISBLANK('Data Entry'!$è$273), "", 'Data Entry'!$è$273)</f>
      </c>
      <c r="FM273">
        <f>IF(ISBLANK('Data Entry'!$é$273), "", 'Data Entry'!$é$273)</f>
      </c>
      <c r="FN273">
        <f>IF(ISBLANK('Data Entry'!$ê$273), "", 'Data Entry'!$ê$273)</f>
      </c>
      <c r="FO273">
        <f>IF(ISBLANK('Data Entry'!$ë$273), "", 'Data Entry'!$ë$273)</f>
      </c>
      <c r="FP273">
        <f>IF(ISBLANK('Data Entry'!$ì$273), "", 'Data Entry'!$ì$273)</f>
      </c>
      <c r="FQ273">
        <f>IF(ISBLANK('Data Entry'!$í$273), "", 'Data Entry'!$í$273)</f>
      </c>
      <c r="FR273">
        <f>IF(ISBLANK('Data Entry'!$î$273), "", 'Data Entry'!$î$273)</f>
      </c>
      <c r="FS273">
        <f>IF(ISBLANK('Data Entry'!$ï$273), "", 'Data Entry'!$ï$273)</f>
      </c>
      <c r="FT273">
        <f>IF(ISBLANK('Data Entry'!$ð$273), "", 'Data Entry'!$ð$273)</f>
      </c>
      <c r="FU273">
        <f>IF(ISBLANK('Data Entry'!$ñ$273), "", 'Data Entry'!$ñ$273)</f>
      </c>
      <c r="FV273">
        <f>IF(ISBLANK('Data Entry'!$ò$273), "", 'Data Entry'!$ò$273)</f>
      </c>
      <c r="FW273">
        <f>IF(ISBLANK('Data Entry'!$ó$273), "", 'Data Entry'!$ó$273)</f>
      </c>
      <c r="FX273">
        <f>IF(ISBLANK('Data Entry'!$ô$273), "", 'Data Entry'!$ô$273)</f>
      </c>
      <c r="FY273">
        <f>IF(ISBLANK('Data Entry'!$õ$273), "", 'Data Entry'!$õ$273)</f>
      </c>
      <c r="FZ273">
        <f>IF(ISBLANK('Data Entry'!$ö$273), "", 'Data Entry'!$ö$273)</f>
      </c>
      <c r="GA273">
        <f>IF(ISBLANK('Data Entry'!$÷$273), "", 'Data Entry'!$÷$273)</f>
      </c>
      <c r="GB273">
        <f>IF(ISBLANK('Data Entry'!$ø$273), "", 'Data Entry'!$ø$273)</f>
      </c>
      <c r="GC273">
        <f>IF(ISBLANK('Data Entry'!$ù$273), "", 'Data Entry'!$ù$273)</f>
      </c>
      <c r="GD273">
        <f>IF(ISBLANK('Data Entry'!$ú$273), "", 'Data Entry'!$ú$273)</f>
      </c>
      <c r="GE273">
        <f>IF(ISBLANK('Data Entry'!$û$273), "", 'Data Entry'!$û$273)</f>
      </c>
      <c r="GF273">
        <f>IF(ISBLANK('Data Entry'!$ü$273), "", 'Data Entry'!$ü$273)</f>
      </c>
      <c r="GG273">
        <f>IF(ISBLANK('Data Entry'!$ý$273), "", 'Data Entry'!$ý$273)</f>
      </c>
      <c r="GH273">
        <f>IF(ISBLANK('Data Entry'!$þ$273), "", 'Data Entry'!$þ$273)</f>
      </c>
      <c r="GI273">
        <f>IF(ISBLANK('Data Entry'!$ÿ$273), "", 'Data Entry'!$ÿ$273)</f>
      </c>
      <c r="GJ273">
        <f>IF(ISBLANK('Data Entry'!$Ā$273), "", 'Data Entry'!$Ā$273)</f>
      </c>
      <c r="GK273">
        <f>IF(ISBLANK('Data Entry'!$ā$273), "", 'Data Entry'!$ā$273)</f>
      </c>
      <c r="GL273">
        <f>IF(ISBLANK('Data Entry'!$Ă$273), "", 'Data Entry'!$Ă$273)</f>
      </c>
      <c r="GM273">
        <f>IF(ISBLANK('Data Entry'!$ă$273), "", 'Data Entry'!$ă$273)</f>
      </c>
      <c r="GN273">
        <f>IF(ISBLANK('Data Entry'!$Ą$273), "", 'Data Entry'!$Ą$273)</f>
      </c>
      <c r="GO273">
        <f>IF(ISBLANK('Data Entry'!$ą$273), "", 'Data Entry'!$ą$273)</f>
      </c>
      <c r="GP273">
        <f>IF(ISBLANK('Data Entry'!$Ć$273), "", 'Data Entry'!$Ć$273)</f>
      </c>
      <c r="GQ273">
        <f>IF(ISBLANK('Data Entry'!$ć$273), "", 'Data Entry'!$ć$273)</f>
      </c>
      <c r="GR273">
        <f>IF(ISBLANK('Data Entry'!$Ĉ$273), "", 'Data Entry'!$Ĉ$273)</f>
      </c>
      <c r="GS273">
        <f>IF(ISBLANK('Data Entry'!$ĉ$273), "", 'Data Entry'!$ĉ$273)</f>
      </c>
      <c r="GT273">
        <f>IF(ISBLANK('Data Entry'!$Ċ$273), "", 'Data Entry'!$Ċ$273)</f>
      </c>
      <c r="GU273">
        <f>IF(ISBLANK('Data Entry'!$ċ$273), "", 'Data Entry'!$ċ$273)</f>
      </c>
      <c r="GV273">
        <f>IF(ISBLANK('Data Entry'!$Č$273), "", 'Data Entry'!$Č$273)</f>
      </c>
      <c r="GW273">
        <f>IF(ISBLANK('Data Entry'!$č$273), "", 'Data Entry'!$č$273)</f>
      </c>
      <c r="GX273">
        <f>IF(ISBLANK('Data Entry'!$Ď$273), "", 'Data Entry'!$Ď$273)</f>
      </c>
      <c r="GY273">
        <f>IF(ISBLANK('Data Entry'!$ď$273), "", 'Data Entry'!$ď$273)</f>
      </c>
      <c r="GZ273">
        <f>IF(ISBLANK('Data Entry'!$Đ$273), "", 'Data Entry'!$Đ$273)</f>
      </c>
      <c r="HA273">
        <f>IF(ISBLANK('Data Entry'!$đ$273), "", 'Data Entry'!$đ$273)</f>
      </c>
      <c r="HB273">
        <f>IF(ISBLANK('Data Entry'!$Ē$273), "", 'Data Entry'!$Ē$273)</f>
      </c>
      <c r="HC273">
        <f>IF(ISBLANK('Data Entry'!$ē$273), "", 'Data Entry'!$ē$273)</f>
      </c>
      <c r="HD273">
        <f>IF(ISBLANK('Data Entry'!$Ĕ$273), "", 'Data Entry'!$Ĕ$273)</f>
      </c>
      <c r="HE273">
        <f>IF(ISBLANK('Data Entry'!$ĕ$273), "", 'Data Entry'!$ĕ$273)</f>
      </c>
      <c r="HF273">
        <f>IF(ISBLANK('Data Entry'!$Ė$273), "", 'Data Entry'!$Ė$273)</f>
      </c>
      <c r="HG273">
        <f>IF(ISBLANK('Data Entry'!$ė$273), "", 'Data Entry'!$ė$273)</f>
      </c>
      <c r="HH273">
        <f>IF(ISBLANK('Data Entry'!$Ę$273), "", 'Data Entry'!$Ę$273)</f>
      </c>
      <c r="HI273">
        <f>IF(ISBLANK('Data Entry'!$ę$273), "", 'Data Entry'!$ę$273)</f>
      </c>
      <c r="HJ273">
        <f>IF(ISBLANK('Data Entry'!$Ě$273), "", 'Data Entry'!$Ě$273)</f>
      </c>
      <c r="HK273">
        <f>IF(ISBLANK('Data Entry'!$ě$273), "", 'Data Entry'!$ě$273)</f>
      </c>
      <c r="HL273">
        <f>IF(ISBLANK('Data Entry'!$Ĝ$273), "", 'Data Entry'!$Ĝ$273)</f>
      </c>
      <c r="HM273">
        <f>IF(ISBLANK('Data Entry'!$ĝ$273), "", 'Data Entry'!$ĝ$273)</f>
      </c>
      <c r="HN273">
        <f>IF(ISBLANK('Data Entry'!$Ğ$273), "", 'Data Entry'!$Ğ$273)</f>
      </c>
      <c r="HO273">
        <f>IF(ISBLANK('Data Entry'!$ğ$273), "", 'Data Entry'!$ğ$273)</f>
      </c>
      <c r="HP273">
        <f>IF(ISBLANK('Data Entry'!$Ġ$273), "", 'Data Entry'!$Ġ$273)</f>
      </c>
      <c r="HQ273">
        <f>IF(ISBLANK('Data Entry'!$ġ$273), "", 'Data Entry'!$ġ$273)</f>
      </c>
      <c r="HR273">
        <f>IF(ISBLANK('Data Entry'!$Ģ$273), "", 'Data Entry'!$Ģ$273)</f>
      </c>
      <c r="HS273">
        <f>IF(ISBLANK('Data Entry'!$ģ$273), "", 'Data Entry'!$ģ$273)</f>
      </c>
      <c r="HT273">
        <f>IF(ISBLANK('Data Entry'!$Ĥ$273), "", 'Data Entry'!$Ĥ$273)</f>
      </c>
      <c r="HU273">
        <f>IF(ISBLANK('Data Entry'!$ĥ$273), "", 'Data Entry'!$ĥ$273)</f>
      </c>
      <c r="HV273">
        <f>IF(ISBLANK('Data Entry'!$Ħ$273), "", 'Data Entry'!$Ħ$273)</f>
      </c>
      <c r="HW273">
        <f>IF(ISBLANK('Data Entry'!$ħ$273), "", 'Data Entry'!$ħ$273)</f>
      </c>
      <c r="HX273">
        <f>IF(ISBLANK('Data Entry'!$Ĩ$273), "", 'Data Entry'!$Ĩ$273)</f>
      </c>
      <c r="HY273">
        <f>IF(ISBLANK('Data Entry'!$ĩ$273), "", 'Data Entry'!$ĩ$273)</f>
      </c>
      <c r="HZ273">
        <f>IF(ISBLANK('Data Entry'!$Ī$273), "", 'Data Entry'!$Ī$273)</f>
      </c>
      <c r="IA273">
        <f>IF(ISBLANK('Data Entry'!$ī$273), "", 'Data Entry'!$ī$273)</f>
      </c>
      <c r="IB273">
        <f>IF(ISBLANK('Data Entry'!$Ĭ$273), "", 'Data Entry'!$Ĭ$273)</f>
      </c>
      <c r="IC273">
        <f>IF(ISBLANK('Data Entry'!$ĭ$273), "", 'Data Entry'!$ĭ$273)</f>
      </c>
      <c r="ID273">
        <f>IF(ISBLANK('Data Entry'!$Į$273), "", 'Data Entry'!$Į$273)</f>
      </c>
      <c r="IE273">
        <f>IF(ISBLANK('Data Entry'!$į$273), "", 'Data Entry'!$į$273)</f>
      </c>
      <c r="IF273">
        <f>IF(ISBLANK('Data Entry'!$İ$273), "", 'Data Entry'!$İ$273)</f>
      </c>
      <c r="IG273">
        <f>IF(ISBLANK('Data Entry'!$ı$273), "", 'Data Entry'!$ı$273)</f>
      </c>
      <c r="IH273">
        <f>IF(ISBLANK('Data Entry'!$Ĳ$273), "", 'Data Entry'!$Ĳ$273)</f>
      </c>
      <c r="II273">
        <f>IF(ISBLANK('Data Entry'!$ĳ$273), "", 'Data Entry'!$ĳ$273)</f>
      </c>
      <c r="IJ273">
        <f>IF(ISBLANK('Data Entry'!$Ĵ$273), "", 'Data Entry'!$Ĵ$273)</f>
      </c>
      <c r="IK273">
        <f>IF(ISBLANK('Data Entry'!$ĵ$273), "", 'Data Entry'!$ĵ$273)</f>
      </c>
      <c r="IL273">
        <f>IF(ISBLANK('Data Entry'!$Ķ$273), "", 'Data Entry'!$Ķ$273)</f>
      </c>
      <c r="IM273">
        <f>IF(ISBLANK('Data Entry'!$ķ$273), "", 'Data Entry'!$ķ$273)</f>
      </c>
      <c r="IN273">
        <f>IF(ISBLANK('Data Entry'!$ĸ$273), "", 'Data Entry'!$ĸ$273)</f>
      </c>
      <c r="IO273">
        <f>IF(ISBLANK('Data Entry'!$Ĺ$273), "", 'Data Entry'!$Ĺ$273)</f>
      </c>
      <c r="IP273">
        <f>IF(ISBLANK('Data Entry'!$ĺ$273), "", 'Data Entry'!$ĺ$273)</f>
      </c>
      <c r="IQ273">
        <f>IF(ISBLANK('Data Entry'!$Ļ$273), "", 'Data Entry'!$Ļ$273)</f>
      </c>
      <c r="IR273">
        <f>IF(ISBLANK('Data Entry'!$ļ$273), "", 'Data Entry'!$ļ$273)</f>
      </c>
      <c r="IS273">
        <f>IF(ISBLANK('Data Entry'!$Ľ$273), "", 'Data Entry'!$Ľ$273)</f>
      </c>
      <c r="IT273">
        <f>IF(ISBLANK('Data Entry'!$ľ$273), "", 'Data Entry'!$ľ$273)</f>
      </c>
    </row>
    <row r="274" spans="1:254" x14ac:dyDescent="0.25">
      <c r="A274">
        <f>IF(ISBLANK('Data Entry'!$A$274), "", 'Data Entry'!$A$274)</f>
      </c>
      <c r="B274">
        <f>IF(ISBLANK('Data Entry'!$B$274), "", 'Data Entry'!$B$274)</f>
      </c>
      <c r="C274">
        <f>IF(ISBLANK('Data Entry'!$C$274), "", 'Data Entry'!$C$274)</f>
      </c>
      <c r="D274">
        <f>IF(ISBLANK('Data Entry'!$D$274), "", 'Data Entry'!$D$274)</f>
      </c>
      <c r="E274">
        <f>IF(ISBLANK('Data Entry'!$E$274), "", 'Data Entry'!$E$274)</f>
      </c>
      <c r="F274">
        <f>IF(ISBLANK('Data Entry'!$F$274), "", 'Data Entry'!$F$274)</f>
      </c>
      <c r="G274">
        <f>IF(ISBLANK('Data Entry'!$G$274), "", 'Data Entry'!$G$274)</f>
      </c>
      <c r="H274">
        <f>IF(ISBLANK('Data Entry'!$H$274), "", 'Data Entry'!$H$274)</f>
      </c>
      <c r="I274">
        <f>IF(ISBLANK('Data Entry'!$I$274), "", 'Data Entry'!$I$274)</f>
      </c>
      <c r="J274">
        <f>IF(ISBLANK('Data Entry'!$J$274), "", 'Data Entry'!$J$274)</f>
      </c>
      <c r="K274">
        <f>IF(ISBLANK('Data Entry'!$K$274), "", 'Data Entry'!$K$274)</f>
      </c>
      <c r="L274">
        <f>IF(ISBLANK('Data Entry'!$L$274), "", 'Data Entry'!$L$274)</f>
      </c>
      <c r="M274">
        <f>IF(ISBLANK('Data Entry'!$M$274), "", 'Data Entry'!$M$274)</f>
      </c>
      <c r="N274">
        <f>IF(ISBLANK('Data Entry'!$N$274), "", 'Data Entry'!$N$274)</f>
      </c>
      <c r="O274">
        <f>IF(ISBLANK('Data Entry'!$O$274), "", 'Data Entry'!$O$274)</f>
      </c>
      <c r="P274">
        <f>IF(ISBLANK('Data Entry'!$P$274), "", 'Data Entry'!$P$274)</f>
      </c>
      <c r="Q274">
        <f>IF(ISBLANK('Data Entry'!$Q$274), "", 'Data Entry'!$Q$274)</f>
      </c>
      <c r="R274">
        <f>IF(ISBLANK('Data Entry'!$R$274), "", 'Data Entry'!$R$274)</f>
      </c>
      <c r="S274">
        <f>IF(ISBLANK('Data Entry'!$S$274), "", 'Data Entry'!$S$274)</f>
      </c>
      <c r="T274">
        <f>IF(ISBLANK('Data Entry'!$T$274), "", 'Data Entry'!$T$274)</f>
      </c>
      <c r="U274">
        <f>IF(ISBLANK('Data Entry'!$U$274), "", 'Data Entry'!$U$274)</f>
      </c>
      <c r="V274">
        <f>IF(ISBLANK('Data Entry'!$V$274), "", 'Data Entry'!$V$274)</f>
      </c>
      <c r="W274">
        <f>IF(ISBLANK('Data Entry'!$W$274), "", 'Data Entry'!$W$274)</f>
      </c>
      <c r="X274">
        <f>IF(ISBLANK('Data Entry'!$X$274), "", 'Data Entry'!$X$274)</f>
      </c>
      <c r="Y274">
        <f>IF(ISBLANK('Data Entry'!$Y$274), "", 'Data Entry'!$Y$274)</f>
      </c>
      <c r="Z274">
        <f>IF(ISBLANK('Data Entry'!$Z$274), "", 'Data Entry'!$Z$274)</f>
      </c>
      <c r="AA274">
        <f>IF(ISBLANK('Data Entry'!$[$274), "", 'Data Entry'!$[$274)</f>
      </c>
      <c r="AB274">
        <f>IF(ISBLANK('Data Entry'!$\$274), "", 'Data Entry'!$\$274)</f>
      </c>
      <c r="AC274">
        <f>IF(ISBLANK('Data Entry'!$]$274), "", 'Data Entry'!$]$274)</f>
      </c>
      <c r="AD274">
        <f>IF(ISBLANK('Data Entry'!$^$274), "", 'Data Entry'!$^$274)</f>
      </c>
      <c r="AE274">
        <f>IF(ISBLANK('Data Entry'!$_$274), "", 'Data Entry'!$_$274)</f>
      </c>
      <c r="AF274">
        <f>IF(ISBLANK('Data Entry'!$`$274), "", 'Data Entry'!$`$274)</f>
      </c>
      <c r="AG274">
        <f>IF(ISBLANK('Data Entry'!$a$274), "", 'Data Entry'!$a$274)</f>
      </c>
      <c r="AH274">
        <f>IF(ISBLANK('Data Entry'!$b$274), "", 'Data Entry'!$b$274)</f>
      </c>
      <c r="AI274">
        <f>IF(ISBLANK('Data Entry'!$c$274), "", 'Data Entry'!$c$274)</f>
      </c>
      <c r="AJ274">
        <f>IF(ISBLANK('Data Entry'!$d$274), "", 'Data Entry'!$d$274)</f>
      </c>
      <c r="AK274">
        <f>IF(ISBLANK('Data Entry'!$e$274), "", 'Data Entry'!$e$274)</f>
      </c>
      <c r="AL274">
        <f>IF(ISBLANK('Data Entry'!$f$274), "", 'Data Entry'!$f$274)</f>
      </c>
      <c r="AM274">
        <f>IF(ISBLANK('Data Entry'!$g$274), "", 'Data Entry'!$g$274)</f>
      </c>
      <c r="AN274">
        <f>IF(ISBLANK('Data Entry'!$h$274), "", 'Data Entry'!$h$274)</f>
      </c>
      <c r="AO274">
        <f>IF(ISBLANK('Data Entry'!$i$274), "", 'Data Entry'!$i$274)</f>
      </c>
      <c r="AP274">
        <f>IF(ISBLANK('Data Entry'!$j$274), "", 'Data Entry'!$j$274)</f>
      </c>
      <c r="AQ274">
        <f>IF(ISBLANK('Data Entry'!$k$274), "", 'Data Entry'!$k$274)</f>
      </c>
      <c r="AR274">
        <f>IF(ISBLANK('Data Entry'!$l$274), "", 'Data Entry'!$l$274)</f>
      </c>
      <c r="AS274">
        <f>IF(ISBLANK('Data Entry'!$m$274), "", 'Data Entry'!$m$274)</f>
      </c>
      <c r="AT274">
        <f>IF(ISBLANK('Data Entry'!$n$274), "", 'Data Entry'!$n$274)</f>
      </c>
      <c r="AU274">
        <f>IF(ISBLANK('Data Entry'!$o$274), "", 'Data Entry'!$o$274)</f>
      </c>
      <c r="AV274">
        <f>IF(ISBLANK('Data Entry'!$p$274), "", 'Data Entry'!$p$274)</f>
      </c>
      <c r="AW274">
        <f>IF(ISBLANK('Data Entry'!$q$274), "", 'Data Entry'!$q$274)</f>
      </c>
      <c r="AX274">
        <f>IF(ISBLANK('Data Entry'!$r$274), "", 'Data Entry'!$r$274)</f>
      </c>
      <c r="AY274">
        <f>IF(ISBLANK('Data Entry'!$s$274), "", 'Data Entry'!$s$274)</f>
      </c>
      <c r="AZ274">
        <f>IF(ISBLANK('Data Entry'!$t$274), "", 'Data Entry'!$t$274)</f>
      </c>
      <c r="BA274">
        <f>IF(ISBLANK('Data Entry'!$u$274), "", 'Data Entry'!$u$274)</f>
      </c>
      <c r="BB274">
        <f>IF(ISBLANK('Data Entry'!$v$274), "", 'Data Entry'!$v$274)</f>
      </c>
      <c r="BC274">
        <f>IF(ISBLANK('Data Entry'!$w$274), "", 'Data Entry'!$w$274)</f>
      </c>
      <c r="BD274">
        <f>IF(ISBLANK('Data Entry'!$x$274), "", 'Data Entry'!$x$274)</f>
      </c>
      <c r="BE274">
        <f>IF(ISBLANK('Data Entry'!$y$274), "", 'Data Entry'!$y$274)</f>
      </c>
      <c r="BF274">
        <f>IF(ISBLANK('Data Entry'!$z$274), "", 'Data Entry'!$z$274)</f>
      </c>
      <c r="BG274">
        <f>IF(ISBLANK('Data Entry'!${$274), "", 'Data Entry'!${$274)</f>
      </c>
      <c r="BH274">
        <f>IF(ISBLANK('Data Entry'!$|$274), "", 'Data Entry'!$|$274)</f>
      </c>
      <c r="BI274">
        <f>IF(ISBLANK('Data Entry'!$}$274), "", 'Data Entry'!$}$274)</f>
      </c>
      <c r="BJ274">
        <f>IF(ISBLANK('Data Entry'!$~$274), "", 'Data Entry'!$~$274)</f>
      </c>
      <c r="BK274">
        <f>IF(ISBLANK('Data Entry'!$$274), "", 'Data Entry'!$$274)</f>
      </c>
      <c r="BL274">
        <f>IF(ISBLANK('Data Entry'!$$274), "", 'Data Entry'!$$274)</f>
      </c>
      <c r="BM274">
        <f>IF(ISBLANK('Data Entry'!$$274), "", 'Data Entry'!$$274)</f>
      </c>
      <c r="BN274">
        <f>IF(ISBLANK('Data Entry'!$$274), "", 'Data Entry'!$$274)</f>
      </c>
      <c r="BO274">
        <f>IF(ISBLANK('Data Entry'!$$274), "", 'Data Entry'!$$274)</f>
      </c>
      <c r="BP274">
        <f>IF(ISBLANK('Data Entry'!$$274), "", 'Data Entry'!$$274)</f>
      </c>
      <c r="BQ274">
        <f>IF(ISBLANK('Data Entry'!$$274), "", 'Data Entry'!$$274)</f>
      </c>
      <c r="BR274">
        <f>IF(ISBLANK('Data Entry'!$$274), "", 'Data Entry'!$$274)</f>
      </c>
      <c r="BS274">
        <f>IF(ISBLANK('Data Entry'!$$274), "", 'Data Entry'!$$274)</f>
      </c>
      <c r="BT274">
        <f>IF(ISBLANK('Data Entry'!$$274), "", 'Data Entry'!$$274)</f>
      </c>
      <c r="BU274">
        <f>IF(ISBLANK('Data Entry'!$$274), "", 'Data Entry'!$$274)</f>
      </c>
      <c r="BV274">
        <f>IF(ISBLANK('Data Entry'!$$274), "", 'Data Entry'!$$274)</f>
      </c>
      <c r="BW274">
        <f>IF(ISBLANK('Data Entry'!$$274), "", 'Data Entry'!$$274)</f>
      </c>
      <c r="BX274">
        <f>IF(ISBLANK('Data Entry'!$$274), "", 'Data Entry'!$$274)</f>
      </c>
      <c r="BY274">
        <f>IF(ISBLANK('Data Entry'!$$274), "", 'Data Entry'!$$274)</f>
      </c>
      <c r="BZ274">
        <f>IF(ISBLANK('Data Entry'!$$274), "", 'Data Entry'!$$274)</f>
      </c>
      <c r="CA274">
        <f>IF(ISBLANK('Data Entry'!$$274), "", 'Data Entry'!$$274)</f>
      </c>
      <c r="CB274">
        <f>IF(ISBLANK('Data Entry'!$$274), "", 'Data Entry'!$$274)</f>
      </c>
      <c r="CC274">
        <f>IF(ISBLANK('Data Entry'!$$274), "", 'Data Entry'!$$274)</f>
      </c>
      <c r="CD274">
        <f>IF(ISBLANK('Data Entry'!$$274), "", 'Data Entry'!$$274)</f>
      </c>
      <c r="CE274">
        <f>IF(ISBLANK('Data Entry'!$$274), "", 'Data Entry'!$$274)</f>
      </c>
      <c r="CF274">
        <f>IF(ISBLANK('Data Entry'!$$274), "", 'Data Entry'!$$274)</f>
      </c>
      <c r="CG274">
        <f>IF(ISBLANK('Data Entry'!$$274), "", 'Data Entry'!$$274)</f>
      </c>
      <c r="CH274">
        <f>IF(ISBLANK('Data Entry'!$$274), "", 'Data Entry'!$$274)</f>
      </c>
      <c r="CI274">
        <f>IF(ISBLANK('Data Entry'!$$274), "", 'Data Entry'!$$274)</f>
      </c>
      <c r="CJ274">
        <f>IF(ISBLANK('Data Entry'!$$274), "", 'Data Entry'!$$274)</f>
      </c>
      <c r="CK274">
        <f>IF(ISBLANK('Data Entry'!$$274), "", 'Data Entry'!$$274)</f>
      </c>
      <c r="CL274">
        <f>IF(ISBLANK('Data Entry'!$$274), "", 'Data Entry'!$$274)</f>
      </c>
      <c r="CM274">
        <f>IF(ISBLANK('Data Entry'!$$274), "", 'Data Entry'!$$274)</f>
      </c>
      <c r="CN274">
        <f>IF(ISBLANK('Data Entry'!$$274), "", 'Data Entry'!$$274)</f>
      </c>
      <c r="CO274">
        <f>IF(ISBLANK('Data Entry'!$$274), "", 'Data Entry'!$$274)</f>
      </c>
      <c r="CP274">
        <f>IF(ISBLANK('Data Entry'!$$274), "", 'Data Entry'!$$274)</f>
      </c>
      <c r="CQ274">
        <f>IF(ISBLANK('Data Entry'!$$274), "", 'Data Entry'!$$274)</f>
      </c>
      <c r="CR274">
        <f>IF(ISBLANK('Data Entry'!$ $274), "", 'Data Entry'!$ $274)</f>
      </c>
      <c r="CS274">
        <f>IF(ISBLANK('Data Entry'!$¡$274), "", 'Data Entry'!$¡$274)</f>
      </c>
      <c r="CT274">
        <f>IF(ISBLANK('Data Entry'!$¢$274), "", 'Data Entry'!$¢$274)</f>
      </c>
      <c r="CU274">
        <f>IF(ISBLANK('Data Entry'!$£$274), "", 'Data Entry'!$£$274)</f>
      </c>
      <c r="CV274">
        <f>IF(ISBLANK('Data Entry'!$¤$274), "", 'Data Entry'!$¤$274)</f>
      </c>
      <c r="CW274">
        <f>IF(ISBLANK('Data Entry'!$¥$274), "", 'Data Entry'!$¥$274)</f>
      </c>
      <c r="CX274">
        <f>IF(ISBLANK('Data Entry'!$¦$274), "", 'Data Entry'!$¦$274)</f>
      </c>
      <c r="CY274">
        <f>IF(ISBLANK('Data Entry'!$§$274), "", 'Data Entry'!$§$274)</f>
      </c>
      <c r="CZ274">
        <f>IF(ISBLANK('Data Entry'!$¨$274), "", 'Data Entry'!$¨$274)</f>
      </c>
      <c r="DA274">
        <f>IF(ISBLANK('Data Entry'!$©$274), "", 'Data Entry'!$©$274)</f>
      </c>
      <c r="DB274">
        <f>IF(ISBLANK('Data Entry'!$ª$274), "", 'Data Entry'!$ª$274)</f>
      </c>
      <c r="DC274">
        <f>IF(ISBLANK('Data Entry'!$«$274), "", 'Data Entry'!$«$274)</f>
      </c>
      <c r="DD274">
        <f>IF(ISBLANK('Data Entry'!$¬$274), "", 'Data Entry'!$¬$274)</f>
      </c>
      <c r="DE274">
        <f>IF(ISBLANK('Data Entry'!$­$274), "", 'Data Entry'!$­$274)</f>
      </c>
      <c r="DF274">
        <f>IF(ISBLANK('Data Entry'!$®$274), "", 'Data Entry'!$®$274)</f>
      </c>
      <c r="DG274">
        <f>IF(ISBLANK('Data Entry'!$¯$274), "", 'Data Entry'!$¯$274)</f>
      </c>
      <c r="DH274">
        <f>IF(ISBLANK('Data Entry'!$°$274), "", 'Data Entry'!$°$274)</f>
      </c>
      <c r="DI274">
        <f>IF(ISBLANK('Data Entry'!$±$274), "", 'Data Entry'!$±$274)</f>
      </c>
      <c r="DJ274">
        <f>IF(ISBLANK('Data Entry'!$²$274), "", 'Data Entry'!$²$274)</f>
      </c>
      <c r="DK274">
        <f>IF(ISBLANK('Data Entry'!$³$274), "", 'Data Entry'!$³$274)</f>
      </c>
      <c r="DL274">
        <f>IF(ISBLANK('Data Entry'!$´$274), "", 'Data Entry'!$´$274)</f>
      </c>
      <c r="DM274">
        <f>IF(ISBLANK('Data Entry'!$µ$274), "", 'Data Entry'!$µ$274)</f>
      </c>
      <c r="DN274">
        <f>IF(ISBLANK('Data Entry'!$¶$274), "", 'Data Entry'!$¶$274)</f>
      </c>
      <c r="DO274">
        <f>IF(ISBLANK('Data Entry'!$·$274), "", 'Data Entry'!$·$274)</f>
      </c>
      <c r="DP274">
        <f>IF(ISBLANK('Data Entry'!$¸$274), "", 'Data Entry'!$¸$274)</f>
      </c>
      <c r="DQ274">
        <f>IF(ISBLANK('Data Entry'!$¹$274), "", 'Data Entry'!$¹$274)</f>
      </c>
      <c r="DR274">
        <f>IF(ISBLANK('Data Entry'!$º$274), "", 'Data Entry'!$º$274)</f>
      </c>
      <c r="DS274">
        <f>IF(ISBLANK('Data Entry'!$»$274), "", 'Data Entry'!$»$274)</f>
      </c>
      <c r="DT274">
        <f>IF(ISBLANK('Data Entry'!$¼$274), "", 'Data Entry'!$¼$274)</f>
      </c>
      <c r="DU274">
        <f>IF(ISBLANK('Data Entry'!$½$274), "", 'Data Entry'!$½$274)</f>
      </c>
      <c r="DV274">
        <f>IF(ISBLANK('Data Entry'!$¾$274), "", 'Data Entry'!$¾$274)</f>
      </c>
      <c r="DW274">
        <f>IF(ISBLANK('Data Entry'!$¿$274), "", 'Data Entry'!$¿$274)</f>
      </c>
      <c r="DX274">
        <f>IF(ISBLANK('Data Entry'!$À$274), "", 'Data Entry'!$À$274)</f>
      </c>
      <c r="DY274">
        <f>IF(ISBLANK('Data Entry'!$Á$274), "", 'Data Entry'!$Á$274)</f>
      </c>
      <c r="DZ274">
        <f>IF(ISBLANK('Data Entry'!$Â$274), "", 'Data Entry'!$Â$274)</f>
      </c>
      <c r="EA274">
        <f>IF(ISBLANK('Data Entry'!$Ã$274), "", 'Data Entry'!$Ã$274)</f>
      </c>
      <c r="EB274">
        <f>IF(ISBLANK('Data Entry'!$Ä$274), "", 'Data Entry'!$Ä$274)</f>
      </c>
      <c r="EC274">
        <f>IF(ISBLANK('Data Entry'!$Å$274), "", 'Data Entry'!$Å$274)</f>
      </c>
      <c r="ED274">
        <f>IF(ISBLANK('Data Entry'!$Æ$274), "", 'Data Entry'!$Æ$274)</f>
      </c>
      <c r="EE274">
        <f>IF(ISBLANK('Data Entry'!$Ç$274), "", 'Data Entry'!$Ç$274)</f>
      </c>
      <c r="EF274">
        <f>IF(ISBLANK('Data Entry'!$È$274), "", 'Data Entry'!$È$274)</f>
      </c>
      <c r="EG274">
        <f>IF(ISBLANK('Data Entry'!$É$274), "", 'Data Entry'!$É$274)</f>
      </c>
      <c r="EH274">
        <f>IF(ISBLANK('Data Entry'!$Ê$274), "", 'Data Entry'!$Ê$274)</f>
      </c>
      <c r="EI274">
        <f>IF(ISBLANK('Data Entry'!$Ë$274), "", 'Data Entry'!$Ë$274)</f>
      </c>
      <c r="EJ274">
        <f>IF(ISBLANK('Data Entry'!$Ì$274), "", 'Data Entry'!$Ì$274)</f>
      </c>
      <c r="EK274">
        <f>IF(ISBLANK('Data Entry'!$Í$274), "", 'Data Entry'!$Í$274)</f>
      </c>
      <c r="EL274">
        <f>IF(ISBLANK('Data Entry'!$Î$274), "", 'Data Entry'!$Î$274)</f>
      </c>
      <c r="EM274">
        <f>IF(ISBLANK('Data Entry'!$Ï$274), "", 'Data Entry'!$Ï$274)</f>
      </c>
      <c r="EN274">
        <f>IF(ISBLANK('Data Entry'!$Ð$274), "", 'Data Entry'!$Ð$274)</f>
      </c>
      <c r="EO274">
        <f>IF(ISBLANK('Data Entry'!$Ñ$274), "", 'Data Entry'!$Ñ$274)</f>
      </c>
      <c r="EP274">
        <f>IF(ISBLANK('Data Entry'!$Ò$274), "", 'Data Entry'!$Ò$274)</f>
      </c>
      <c r="EQ274">
        <f>IF(ISBLANK('Data Entry'!$Ó$274), "", 'Data Entry'!$Ó$274)</f>
      </c>
      <c r="ER274">
        <f>IF(ISBLANK('Data Entry'!$Ô$274), "", 'Data Entry'!$Ô$274)</f>
      </c>
      <c r="ES274">
        <f>IF(ISBLANK('Data Entry'!$Õ$274), "", 'Data Entry'!$Õ$274)</f>
      </c>
      <c r="ET274">
        <f>IF(ISBLANK('Data Entry'!$Ö$274), "", 'Data Entry'!$Ö$274)</f>
      </c>
      <c r="EU274">
        <f>IF(ISBLANK('Data Entry'!$×$274), "", 'Data Entry'!$×$274)</f>
      </c>
      <c r="EV274">
        <f>IF(ISBLANK('Data Entry'!$Ø$274), "", 'Data Entry'!$Ø$274)</f>
      </c>
      <c r="EW274">
        <f>IF(ISBLANK('Data Entry'!$Ù$274), "", 'Data Entry'!$Ù$274)</f>
      </c>
      <c r="EX274">
        <f>IF(ISBLANK('Data Entry'!$Ú$274), "", 'Data Entry'!$Ú$274)</f>
      </c>
      <c r="EY274">
        <f>IF(ISBLANK('Data Entry'!$Û$274), "", 'Data Entry'!$Û$274)</f>
      </c>
      <c r="EZ274">
        <f>IF(ISBLANK('Data Entry'!$Ü$274), "", 'Data Entry'!$Ü$274)</f>
      </c>
      <c r="FA274">
        <f>IF(ISBLANK('Data Entry'!$Ý$274), "", 'Data Entry'!$Ý$274)</f>
      </c>
      <c r="FB274">
        <f>IF(ISBLANK('Data Entry'!$Þ$274), "", 'Data Entry'!$Þ$274)</f>
      </c>
      <c r="FC274">
        <f>IF(ISBLANK('Data Entry'!$ß$274), "", 'Data Entry'!$ß$274)</f>
      </c>
      <c r="FD274">
        <f>IF(ISBLANK('Data Entry'!$à$274), "", 'Data Entry'!$à$274)</f>
      </c>
      <c r="FE274">
        <f>IF(ISBLANK('Data Entry'!$á$274), "", 'Data Entry'!$á$274)</f>
      </c>
      <c r="FF274">
        <f>IF(ISBLANK('Data Entry'!$â$274), "", 'Data Entry'!$â$274)</f>
      </c>
      <c r="FG274">
        <f>IF(ISBLANK('Data Entry'!$ã$274), "", 'Data Entry'!$ã$274)</f>
      </c>
      <c r="FH274">
        <f>IF(ISBLANK('Data Entry'!$ä$274), "", 'Data Entry'!$ä$274)</f>
      </c>
      <c r="FI274">
        <f>IF(ISBLANK('Data Entry'!$å$274), "", 'Data Entry'!$å$274)</f>
      </c>
      <c r="FJ274">
        <f>IF(ISBLANK('Data Entry'!$æ$274), "", 'Data Entry'!$æ$274)</f>
      </c>
      <c r="FK274">
        <f>IF(ISBLANK('Data Entry'!$ç$274), "", 'Data Entry'!$ç$274)</f>
      </c>
      <c r="FL274">
        <f>IF(ISBLANK('Data Entry'!$è$274), "", 'Data Entry'!$è$274)</f>
      </c>
      <c r="FM274">
        <f>IF(ISBLANK('Data Entry'!$é$274), "", 'Data Entry'!$é$274)</f>
      </c>
      <c r="FN274">
        <f>IF(ISBLANK('Data Entry'!$ê$274), "", 'Data Entry'!$ê$274)</f>
      </c>
      <c r="FO274">
        <f>IF(ISBLANK('Data Entry'!$ë$274), "", 'Data Entry'!$ë$274)</f>
      </c>
      <c r="FP274">
        <f>IF(ISBLANK('Data Entry'!$ì$274), "", 'Data Entry'!$ì$274)</f>
      </c>
      <c r="FQ274">
        <f>IF(ISBLANK('Data Entry'!$í$274), "", 'Data Entry'!$í$274)</f>
      </c>
      <c r="FR274">
        <f>IF(ISBLANK('Data Entry'!$î$274), "", 'Data Entry'!$î$274)</f>
      </c>
      <c r="FS274">
        <f>IF(ISBLANK('Data Entry'!$ï$274), "", 'Data Entry'!$ï$274)</f>
      </c>
      <c r="FT274">
        <f>IF(ISBLANK('Data Entry'!$ð$274), "", 'Data Entry'!$ð$274)</f>
      </c>
      <c r="FU274">
        <f>IF(ISBLANK('Data Entry'!$ñ$274), "", 'Data Entry'!$ñ$274)</f>
      </c>
      <c r="FV274">
        <f>IF(ISBLANK('Data Entry'!$ò$274), "", 'Data Entry'!$ò$274)</f>
      </c>
      <c r="FW274">
        <f>IF(ISBLANK('Data Entry'!$ó$274), "", 'Data Entry'!$ó$274)</f>
      </c>
      <c r="FX274">
        <f>IF(ISBLANK('Data Entry'!$ô$274), "", 'Data Entry'!$ô$274)</f>
      </c>
      <c r="FY274">
        <f>IF(ISBLANK('Data Entry'!$õ$274), "", 'Data Entry'!$õ$274)</f>
      </c>
      <c r="FZ274">
        <f>IF(ISBLANK('Data Entry'!$ö$274), "", 'Data Entry'!$ö$274)</f>
      </c>
      <c r="GA274">
        <f>IF(ISBLANK('Data Entry'!$÷$274), "", 'Data Entry'!$÷$274)</f>
      </c>
      <c r="GB274">
        <f>IF(ISBLANK('Data Entry'!$ø$274), "", 'Data Entry'!$ø$274)</f>
      </c>
      <c r="GC274">
        <f>IF(ISBLANK('Data Entry'!$ù$274), "", 'Data Entry'!$ù$274)</f>
      </c>
      <c r="GD274">
        <f>IF(ISBLANK('Data Entry'!$ú$274), "", 'Data Entry'!$ú$274)</f>
      </c>
      <c r="GE274">
        <f>IF(ISBLANK('Data Entry'!$û$274), "", 'Data Entry'!$û$274)</f>
      </c>
      <c r="GF274">
        <f>IF(ISBLANK('Data Entry'!$ü$274), "", 'Data Entry'!$ü$274)</f>
      </c>
      <c r="GG274">
        <f>IF(ISBLANK('Data Entry'!$ý$274), "", 'Data Entry'!$ý$274)</f>
      </c>
      <c r="GH274">
        <f>IF(ISBLANK('Data Entry'!$þ$274), "", 'Data Entry'!$þ$274)</f>
      </c>
      <c r="GI274">
        <f>IF(ISBLANK('Data Entry'!$ÿ$274), "", 'Data Entry'!$ÿ$274)</f>
      </c>
      <c r="GJ274">
        <f>IF(ISBLANK('Data Entry'!$Ā$274), "", 'Data Entry'!$Ā$274)</f>
      </c>
      <c r="GK274">
        <f>IF(ISBLANK('Data Entry'!$ā$274), "", 'Data Entry'!$ā$274)</f>
      </c>
      <c r="GL274">
        <f>IF(ISBLANK('Data Entry'!$Ă$274), "", 'Data Entry'!$Ă$274)</f>
      </c>
      <c r="GM274">
        <f>IF(ISBLANK('Data Entry'!$ă$274), "", 'Data Entry'!$ă$274)</f>
      </c>
      <c r="GN274">
        <f>IF(ISBLANK('Data Entry'!$Ą$274), "", 'Data Entry'!$Ą$274)</f>
      </c>
      <c r="GO274">
        <f>IF(ISBLANK('Data Entry'!$ą$274), "", 'Data Entry'!$ą$274)</f>
      </c>
      <c r="GP274">
        <f>IF(ISBLANK('Data Entry'!$Ć$274), "", 'Data Entry'!$Ć$274)</f>
      </c>
      <c r="GQ274">
        <f>IF(ISBLANK('Data Entry'!$ć$274), "", 'Data Entry'!$ć$274)</f>
      </c>
      <c r="GR274">
        <f>IF(ISBLANK('Data Entry'!$Ĉ$274), "", 'Data Entry'!$Ĉ$274)</f>
      </c>
      <c r="GS274">
        <f>IF(ISBLANK('Data Entry'!$ĉ$274), "", 'Data Entry'!$ĉ$274)</f>
      </c>
      <c r="GT274">
        <f>IF(ISBLANK('Data Entry'!$Ċ$274), "", 'Data Entry'!$Ċ$274)</f>
      </c>
      <c r="GU274">
        <f>IF(ISBLANK('Data Entry'!$ċ$274), "", 'Data Entry'!$ċ$274)</f>
      </c>
      <c r="GV274">
        <f>IF(ISBLANK('Data Entry'!$Č$274), "", 'Data Entry'!$Č$274)</f>
      </c>
      <c r="GW274">
        <f>IF(ISBLANK('Data Entry'!$č$274), "", 'Data Entry'!$č$274)</f>
      </c>
      <c r="GX274">
        <f>IF(ISBLANK('Data Entry'!$Ď$274), "", 'Data Entry'!$Ď$274)</f>
      </c>
      <c r="GY274">
        <f>IF(ISBLANK('Data Entry'!$ď$274), "", 'Data Entry'!$ď$274)</f>
      </c>
      <c r="GZ274">
        <f>IF(ISBLANK('Data Entry'!$Đ$274), "", 'Data Entry'!$Đ$274)</f>
      </c>
      <c r="HA274">
        <f>IF(ISBLANK('Data Entry'!$đ$274), "", 'Data Entry'!$đ$274)</f>
      </c>
      <c r="HB274">
        <f>IF(ISBLANK('Data Entry'!$Ē$274), "", 'Data Entry'!$Ē$274)</f>
      </c>
      <c r="HC274">
        <f>IF(ISBLANK('Data Entry'!$ē$274), "", 'Data Entry'!$ē$274)</f>
      </c>
      <c r="HD274">
        <f>IF(ISBLANK('Data Entry'!$Ĕ$274), "", 'Data Entry'!$Ĕ$274)</f>
      </c>
      <c r="HE274">
        <f>IF(ISBLANK('Data Entry'!$ĕ$274), "", 'Data Entry'!$ĕ$274)</f>
      </c>
      <c r="HF274">
        <f>IF(ISBLANK('Data Entry'!$Ė$274), "", 'Data Entry'!$Ė$274)</f>
      </c>
      <c r="HG274">
        <f>IF(ISBLANK('Data Entry'!$ė$274), "", 'Data Entry'!$ė$274)</f>
      </c>
      <c r="HH274">
        <f>IF(ISBLANK('Data Entry'!$Ę$274), "", 'Data Entry'!$Ę$274)</f>
      </c>
      <c r="HI274">
        <f>IF(ISBLANK('Data Entry'!$ę$274), "", 'Data Entry'!$ę$274)</f>
      </c>
      <c r="HJ274">
        <f>IF(ISBLANK('Data Entry'!$Ě$274), "", 'Data Entry'!$Ě$274)</f>
      </c>
      <c r="HK274">
        <f>IF(ISBLANK('Data Entry'!$ě$274), "", 'Data Entry'!$ě$274)</f>
      </c>
      <c r="HL274">
        <f>IF(ISBLANK('Data Entry'!$Ĝ$274), "", 'Data Entry'!$Ĝ$274)</f>
      </c>
      <c r="HM274">
        <f>IF(ISBLANK('Data Entry'!$ĝ$274), "", 'Data Entry'!$ĝ$274)</f>
      </c>
      <c r="HN274">
        <f>IF(ISBLANK('Data Entry'!$Ğ$274), "", 'Data Entry'!$Ğ$274)</f>
      </c>
      <c r="HO274">
        <f>IF(ISBLANK('Data Entry'!$ğ$274), "", 'Data Entry'!$ğ$274)</f>
      </c>
      <c r="HP274">
        <f>IF(ISBLANK('Data Entry'!$Ġ$274), "", 'Data Entry'!$Ġ$274)</f>
      </c>
      <c r="HQ274">
        <f>IF(ISBLANK('Data Entry'!$ġ$274), "", 'Data Entry'!$ġ$274)</f>
      </c>
      <c r="HR274">
        <f>IF(ISBLANK('Data Entry'!$Ģ$274), "", 'Data Entry'!$Ģ$274)</f>
      </c>
      <c r="HS274">
        <f>IF(ISBLANK('Data Entry'!$ģ$274), "", 'Data Entry'!$ģ$274)</f>
      </c>
      <c r="HT274">
        <f>IF(ISBLANK('Data Entry'!$Ĥ$274), "", 'Data Entry'!$Ĥ$274)</f>
      </c>
      <c r="HU274">
        <f>IF(ISBLANK('Data Entry'!$ĥ$274), "", 'Data Entry'!$ĥ$274)</f>
      </c>
      <c r="HV274">
        <f>IF(ISBLANK('Data Entry'!$Ħ$274), "", 'Data Entry'!$Ħ$274)</f>
      </c>
      <c r="HW274">
        <f>IF(ISBLANK('Data Entry'!$ħ$274), "", 'Data Entry'!$ħ$274)</f>
      </c>
      <c r="HX274">
        <f>IF(ISBLANK('Data Entry'!$Ĩ$274), "", 'Data Entry'!$Ĩ$274)</f>
      </c>
      <c r="HY274">
        <f>IF(ISBLANK('Data Entry'!$ĩ$274), "", 'Data Entry'!$ĩ$274)</f>
      </c>
      <c r="HZ274">
        <f>IF(ISBLANK('Data Entry'!$Ī$274), "", 'Data Entry'!$Ī$274)</f>
      </c>
      <c r="IA274">
        <f>IF(ISBLANK('Data Entry'!$ī$274), "", 'Data Entry'!$ī$274)</f>
      </c>
      <c r="IB274">
        <f>IF(ISBLANK('Data Entry'!$Ĭ$274), "", 'Data Entry'!$Ĭ$274)</f>
      </c>
      <c r="IC274">
        <f>IF(ISBLANK('Data Entry'!$ĭ$274), "", 'Data Entry'!$ĭ$274)</f>
      </c>
      <c r="ID274">
        <f>IF(ISBLANK('Data Entry'!$Į$274), "", 'Data Entry'!$Į$274)</f>
      </c>
      <c r="IE274">
        <f>IF(ISBLANK('Data Entry'!$į$274), "", 'Data Entry'!$į$274)</f>
      </c>
      <c r="IF274">
        <f>IF(ISBLANK('Data Entry'!$İ$274), "", 'Data Entry'!$İ$274)</f>
      </c>
      <c r="IG274">
        <f>IF(ISBLANK('Data Entry'!$ı$274), "", 'Data Entry'!$ı$274)</f>
      </c>
      <c r="IH274">
        <f>IF(ISBLANK('Data Entry'!$Ĳ$274), "", 'Data Entry'!$Ĳ$274)</f>
      </c>
      <c r="II274">
        <f>IF(ISBLANK('Data Entry'!$ĳ$274), "", 'Data Entry'!$ĳ$274)</f>
      </c>
      <c r="IJ274">
        <f>IF(ISBLANK('Data Entry'!$Ĵ$274), "", 'Data Entry'!$Ĵ$274)</f>
      </c>
      <c r="IK274">
        <f>IF(ISBLANK('Data Entry'!$ĵ$274), "", 'Data Entry'!$ĵ$274)</f>
      </c>
      <c r="IL274">
        <f>IF(ISBLANK('Data Entry'!$Ķ$274), "", 'Data Entry'!$Ķ$274)</f>
      </c>
      <c r="IM274">
        <f>IF(ISBLANK('Data Entry'!$ķ$274), "", 'Data Entry'!$ķ$274)</f>
      </c>
      <c r="IN274">
        <f>IF(ISBLANK('Data Entry'!$ĸ$274), "", 'Data Entry'!$ĸ$274)</f>
      </c>
      <c r="IO274">
        <f>IF(ISBLANK('Data Entry'!$Ĺ$274), "", 'Data Entry'!$Ĺ$274)</f>
      </c>
      <c r="IP274">
        <f>IF(ISBLANK('Data Entry'!$ĺ$274), "", 'Data Entry'!$ĺ$274)</f>
      </c>
      <c r="IQ274">
        <f>IF(ISBLANK('Data Entry'!$Ļ$274), "", 'Data Entry'!$Ļ$274)</f>
      </c>
      <c r="IR274">
        <f>IF(ISBLANK('Data Entry'!$ļ$274), "", 'Data Entry'!$ļ$274)</f>
      </c>
      <c r="IS274">
        <f>IF(ISBLANK('Data Entry'!$Ľ$274), "", 'Data Entry'!$Ľ$274)</f>
      </c>
      <c r="IT274">
        <f>IF(ISBLANK('Data Entry'!$ľ$274), "", 'Data Entry'!$ľ$274)</f>
      </c>
    </row>
    <row r="275" spans="1:254" x14ac:dyDescent="0.25">
      <c r="A275">
        <f>IF(ISBLANK('Data Entry'!$A$275), "", 'Data Entry'!$A$275)</f>
      </c>
      <c r="B275">
        <f>IF(ISBLANK('Data Entry'!$B$275), "", 'Data Entry'!$B$275)</f>
      </c>
      <c r="C275">
        <f>IF(ISBLANK('Data Entry'!$C$275), "", 'Data Entry'!$C$275)</f>
      </c>
      <c r="D275">
        <f>IF(ISBLANK('Data Entry'!$D$275), "", 'Data Entry'!$D$275)</f>
      </c>
      <c r="E275">
        <f>IF(ISBLANK('Data Entry'!$E$275), "", 'Data Entry'!$E$275)</f>
      </c>
      <c r="F275">
        <f>IF(ISBLANK('Data Entry'!$F$275), "", 'Data Entry'!$F$275)</f>
      </c>
      <c r="G275">
        <f>IF(ISBLANK('Data Entry'!$G$275), "", 'Data Entry'!$G$275)</f>
      </c>
      <c r="H275">
        <f>IF(ISBLANK('Data Entry'!$H$275), "", 'Data Entry'!$H$275)</f>
      </c>
      <c r="I275">
        <f>IF(ISBLANK('Data Entry'!$I$275), "", 'Data Entry'!$I$275)</f>
      </c>
      <c r="J275">
        <f>IF(ISBLANK('Data Entry'!$J$275), "", 'Data Entry'!$J$275)</f>
      </c>
      <c r="K275">
        <f>IF(ISBLANK('Data Entry'!$K$275), "", 'Data Entry'!$K$275)</f>
      </c>
      <c r="L275">
        <f>IF(ISBLANK('Data Entry'!$L$275), "", 'Data Entry'!$L$275)</f>
      </c>
      <c r="M275">
        <f>IF(ISBLANK('Data Entry'!$M$275), "", 'Data Entry'!$M$275)</f>
      </c>
      <c r="N275">
        <f>IF(ISBLANK('Data Entry'!$N$275), "", 'Data Entry'!$N$275)</f>
      </c>
      <c r="O275">
        <f>IF(ISBLANK('Data Entry'!$O$275), "", 'Data Entry'!$O$275)</f>
      </c>
      <c r="P275">
        <f>IF(ISBLANK('Data Entry'!$P$275), "", 'Data Entry'!$P$275)</f>
      </c>
      <c r="Q275">
        <f>IF(ISBLANK('Data Entry'!$Q$275), "", 'Data Entry'!$Q$275)</f>
      </c>
      <c r="R275">
        <f>IF(ISBLANK('Data Entry'!$R$275), "", 'Data Entry'!$R$275)</f>
      </c>
      <c r="S275">
        <f>IF(ISBLANK('Data Entry'!$S$275), "", 'Data Entry'!$S$275)</f>
      </c>
      <c r="T275">
        <f>IF(ISBLANK('Data Entry'!$T$275), "", 'Data Entry'!$T$275)</f>
      </c>
      <c r="U275">
        <f>IF(ISBLANK('Data Entry'!$U$275), "", 'Data Entry'!$U$275)</f>
      </c>
      <c r="V275">
        <f>IF(ISBLANK('Data Entry'!$V$275), "", 'Data Entry'!$V$275)</f>
      </c>
      <c r="W275">
        <f>IF(ISBLANK('Data Entry'!$W$275), "", 'Data Entry'!$W$275)</f>
      </c>
      <c r="X275">
        <f>IF(ISBLANK('Data Entry'!$X$275), "", 'Data Entry'!$X$275)</f>
      </c>
      <c r="Y275">
        <f>IF(ISBLANK('Data Entry'!$Y$275), "", 'Data Entry'!$Y$275)</f>
      </c>
      <c r="Z275">
        <f>IF(ISBLANK('Data Entry'!$Z$275), "", 'Data Entry'!$Z$275)</f>
      </c>
      <c r="AA275">
        <f>IF(ISBLANK('Data Entry'!$[$275), "", 'Data Entry'!$[$275)</f>
      </c>
      <c r="AB275">
        <f>IF(ISBLANK('Data Entry'!$\$275), "", 'Data Entry'!$\$275)</f>
      </c>
      <c r="AC275">
        <f>IF(ISBLANK('Data Entry'!$]$275), "", 'Data Entry'!$]$275)</f>
      </c>
      <c r="AD275">
        <f>IF(ISBLANK('Data Entry'!$^$275), "", 'Data Entry'!$^$275)</f>
      </c>
      <c r="AE275">
        <f>IF(ISBLANK('Data Entry'!$_$275), "", 'Data Entry'!$_$275)</f>
      </c>
      <c r="AF275">
        <f>IF(ISBLANK('Data Entry'!$`$275), "", 'Data Entry'!$`$275)</f>
      </c>
      <c r="AG275">
        <f>IF(ISBLANK('Data Entry'!$a$275), "", 'Data Entry'!$a$275)</f>
      </c>
      <c r="AH275">
        <f>IF(ISBLANK('Data Entry'!$b$275), "", 'Data Entry'!$b$275)</f>
      </c>
      <c r="AI275">
        <f>IF(ISBLANK('Data Entry'!$c$275), "", 'Data Entry'!$c$275)</f>
      </c>
      <c r="AJ275">
        <f>IF(ISBLANK('Data Entry'!$d$275), "", 'Data Entry'!$d$275)</f>
      </c>
      <c r="AK275">
        <f>IF(ISBLANK('Data Entry'!$e$275), "", 'Data Entry'!$e$275)</f>
      </c>
      <c r="AL275">
        <f>IF(ISBLANK('Data Entry'!$f$275), "", 'Data Entry'!$f$275)</f>
      </c>
      <c r="AM275">
        <f>IF(ISBLANK('Data Entry'!$g$275), "", 'Data Entry'!$g$275)</f>
      </c>
      <c r="AN275">
        <f>IF(ISBLANK('Data Entry'!$h$275), "", 'Data Entry'!$h$275)</f>
      </c>
      <c r="AO275">
        <f>IF(ISBLANK('Data Entry'!$i$275), "", 'Data Entry'!$i$275)</f>
      </c>
      <c r="AP275">
        <f>IF(ISBLANK('Data Entry'!$j$275), "", 'Data Entry'!$j$275)</f>
      </c>
      <c r="AQ275">
        <f>IF(ISBLANK('Data Entry'!$k$275), "", 'Data Entry'!$k$275)</f>
      </c>
      <c r="AR275">
        <f>IF(ISBLANK('Data Entry'!$l$275), "", 'Data Entry'!$l$275)</f>
      </c>
      <c r="AS275">
        <f>IF(ISBLANK('Data Entry'!$m$275), "", 'Data Entry'!$m$275)</f>
      </c>
      <c r="AT275">
        <f>IF(ISBLANK('Data Entry'!$n$275), "", 'Data Entry'!$n$275)</f>
      </c>
      <c r="AU275">
        <f>IF(ISBLANK('Data Entry'!$o$275), "", 'Data Entry'!$o$275)</f>
      </c>
      <c r="AV275">
        <f>IF(ISBLANK('Data Entry'!$p$275), "", 'Data Entry'!$p$275)</f>
      </c>
      <c r="AW275">
        <f>IF(ISBLANK('Data Entry'!$q$275), "", 'Data Entry'!$q$275)</f>
      </c>
      <c r="AX275">
        <f>IF(ISBLANK('Data Entry'!$r$275), "", 'Data Entry'!$r$275)</f>
      </c>
      <c r="AY275">
        <f>IF(ISBLANK('Data Entry'!$s$275), "", 'Data Entry'!$s$275)</f>
      </c>
      <c r="AZ275">
        <f>IF(ISBLANK('Data Entry'!$t$275), "", 'Data Entry'!$t$275)</f>
      </c>
      <c r="BA275">
        <f>IF(ISBLANK('Data Entry'!$u$275), "", 'Data Entry'!$u$275)</f>
      </c>
      <c r="BB275">
        <f>IF(ISBLANK('Data Entry'!$v$275), "", 'Data Entry'!$v$275)</f>
      </c>
      <c r="BC275">
        <f>IF(ISBLANK('Data Entry'!$w$275), "", 'Data Entry'!$w$275)</f>
      </c>
      <c r="BD275">
        <f>IF(ISBLANK('Data Entry'!$x$275), "", 'Data Entry'!$x$275)</f>
      </c>
      <c r="BE275">
        <f>IF(ISBLANK('Data Entry'!$y$275), "", 'Data Entry'!$y$275)</f>
      </c>
      <c r="BF275">
        <f>IF(ISBLANK('Data Entry'!$z$275), "", 'Data Entry'!$z$275)</f>
      </c>
      <c r="BG275">
        <f>IF(ISBLANK('Data Entry'!${$275), "", 'Data Entry'!${$275)</f>
      </c>
      <c r="BH275">
        <f>IF(ISBLANK('Data Entry'!$|$275), "", 'Data Entry'!$|$275)</f>
      </c>
      <c r="BI275">
        <f>IF(ISBLANK('Data Entry'!$}$275), "", 'Data Entry'!$}$275)</f>
      </c>
      <c r="BJ275">
        <f>IF(ISBLANK('Data Entry'!$~$275), "", 'Data Entry'!$~$275)</f>
      </c>
      <c r="BK275">
        <f>IF(ISBLANK('Data Entry'!$$275), "", 'Data Entry'!$$275)</f>
      </c>
      <c r="BL275">
        <f>IF(ISBLANK('Data Entry'!$$275), "", 'Data Entry'!$$275)</f>
      </c>
      <c r="BM275">
        <f>IF(ISBLANK('Data Entry'!$$275), "", 'Data Entry'!$$275)</f>
      </c>
      <c r="BN275">
        <f>IF(ISBLANK('Data Entry'!$$275), "", 'Data Entry'!$$275)</f>
      </c>
      <c r="BO275">
        <f>IF(ISBLANK('Data Entry'!$$275), "", 'Data Entry'!$$275)</f>
      </c>
      <c r="BP275">
        <f>IF(ISBLANK('Data Entry'!$$275), "", 'Data Entry'!$$275)</f>
      </c>
      <c r="BQ275">
        <f>IF(ISBLANK('Data Entry'!$$275), "", 'Data Entry'!$$275)</f>
      </c>
      <c r="BR275">
        <f>IF(ISBLANK('Data Entry'!$$275), "", 'Data Entry'!$$275)</f>
      </c>
      <c r="BS275">
        <f>IF(ISBLANK('Data Entry'!$$275), "", 'Data Entry'!$$275)</f>
      </c>
      <c r="BT275">
        <f>IF(ISBLANK('Data Entry'!$$275), "", 'Data Entry'!$$275)</f>
      </c>
      <c r="BU275">
        <f>IF(ISBLANK('Data Entry'!$$275), "", 'Data Entry'!$$275)</f>
      </c>
      <c r="BV275">
        <f>IF(ISBLANK('Data Entry'!$$275), "", 'Data Entry'!$$275)</f>
      </c>
      <c r="BW275">
        <f>IF(ISBLANK('Data Entry'!$$275), "", 'Data Entry'!$$275)</f>
      </c>
      <c r="BX275">
        <f>IF(ISBLANK('Data Entry'!$$275), "", 'Data Entry'!$$275)</f>
      </c>
      <c r="BY275">
        <f>IF(ISBLANK('Data Entry'!$$275), "", 'Data Entry'!$$275)</f>
      </c>
      <c r="BZ275">
        <f>IF(ISBLANK('Data Entry'!$$275), "", 'Data Entry'!$$275)</f>
      </c>
      <c r="CA275">
        <f>IF(ISBLANK('Data Entry'!$$275), "", 'Data Entry'!$$275)</f>
      </c>
      <c r="CB275">
        <f>IF(ISBLANK('Data Entry'!$$275), "", 'Data Entry'!$$275)</f>
      </c>
      <c r="CC275">
        <f>IF(ISBLANK('Data Entry'!$$275), "", 'Data Entry'!$$275)</f>
      </c>
      <c r="CD275">
        <f>IF(ISBLANK('Data Entry'!$$275), "", 'Data Entry'!$$275)</f>
      </c>
      <c r="CE275">
        <f>IF(ISBLANK('Data Entry'!$$275), "", 'Data Entry'!$$275)</f>
      </c>
      <c r="CF275">
        <f>IF(ISBLANK('Data Entry'!$$275), "", 'Data Entry'!$$275)</f>
      </c>
      <c r="CG275">
        <f>IF(ISBLANK('Data Entry'!$$275), "", 'Data Entry'!$$275)</f>
      </c>
      <c r="CH275">
        <f>IF(ISBLANK('Data Entry'!$$275), "", 'Data Entry'!$$275)</f>
      </c>
      <c r="CI275">
        <f>IF(ISBLANK('Data Entry'!$$275), "", 'Data Entry'!$$275)</f>
      </c>
      <c r="CJ275">
        <f>IF(ISBLANK('Data Entry'!$$275), "", 'Data Entry'!$$275)</f>
      </c>
      <c r="CK275">
        <f>IF(ISBLANK('Data Entry'!$$275), "", 'Data Entry'!$$275)</f>
      </c>
      <c r="CL275">
        <f>IF(ISBLANK('Data Entry'!$$275), "", 'Data Entry'!$$275)</f>
      </c>
      <c r="CM275">
        <f>IF(ISBLANK('Data Entry'!$$275), "", 'Data Entry'!$$275)</f>
      </c>
      <c r="CN275">
        <f>IF(ISBLANK('Data Entry'!$$275), "", 'Data Entry'!$$275)</f>
      </c>
      <c r="CO275">
        <f>IF(ISBLANK('Data Entry'!$$275), "", 'Data Entry'!$$275)</f>
      </c>
      <c r="CP275">
        <f>IF(ISBLANK('Data Entry'!$$275), "", 'Data Entry'!$$275)</f>
      </c>
      <c r="CQ275">
        <f>IF(ISBLANK('Data Entry'!$$275), "", 'Data Entry'!$$275)</f>
      </c>
      <c r="CR275">
        <f>IF(ISBLANK('Data Entry'!$ $275), "", 'Data Entry'!$ $275)</f>
      </c>
      <c r="CS275">
        <f>IF(ISBLANK('Data Entry'!$¡$275), "", 'Data Entry'!$¡$275)</f>
      </c>
      <c r="CT275">
        <f>IF(ISBLANK('Data Entry'!$¢$275), "", 'Data Entry'!$¢$275)</f>
      </c>
      <c r="CU275">
        <f>IF(ISBLANK('Data Entry'!$£$275), "", 'Data Entry'!$£$275)</f>
      </c>
      <c r="CV275">
        <f>IF(ISBLANK('Data Entry'!$¤$275), "", 'Data Entry'!$¤$275)</f>
      </c>
      <c r="CW275">
        <f>IF(ISBLANK('Data Entry'!$¥$275), "", 'Data Entry'!$¥$275)</f>
      </c>
      <c r="CX275">
        <f>IF(ISBLANK('Data Entry'!$¦$275), "", 'Data Entry'!$¦$275)</f>
      </c>
      <c r="CY275">
        <f>IF(ISBLANK('Data Entry'!$§$275), "", 'Data Entry'!$§$275)</f>
      </c>
      <c r="CZ275">
        <f>IF(ISBLANK('Data Entry'!$¨$275), "", 'Data Entry'!$¨$275)</f>
      </c>
      <c r="DA275">
        <f>IF(ISBLANK('Data Entry'!$©$275), "", 'Data Entry'!$©$275)</f>
      </c>
      <c r="DB275">
        <f>IF(ISBLANK('Data Entry'!$ª$275), "", 'Data Entry'!$ª$275)</f>
      </c>
      <c r="DC275">
        <f>IF(ISBLANK('Data Entry'!$«$275), "", 'Data Entry'!$«$275)</f>
      </c>
      <c r="DD275">
        <f>IF(ISBLANK('Data Entry'!$¬$275), "", 'Data Entry'!$¬$275)</f>
      </c>
      <c r="DE275">
        <f>IF(ISBLANK('Data Entry'!$­$275), "", 'Data Entry'!$­$275)</f>
      </c>
      <c r="DF275">
        <f>IF(ISBLANK('Data Entry'!$®$275), "", 'Data Entry'!$®$275)</f>
      </c>
      <c r="DG275">
        <f>IF(ISBLANK('Data Entry'!$¯$275), "", 'Data Entry'!$¯$275)</f>
      </c>
      <c r="DH275">
        <f>IF(ISBLANK('Data Entry'!$°$275), "", 'Data Entry'!$°$275)</f>
      </c>
      <c r="DI275">
        <f>IF(ISBLANK('Data Entry'!$±$275), "", 'Data Entry'!$±$275)</f>
      </c>
      <c r="DJ275">
        <f>IF(ISBLANK('Data Entry'!$²$275), "", 'Data Entry'!$²$275)</f>
      </c>
      <c r="DK275">
        <f>IF(ISBLANK('Data Entry'!$³$275), "", 'Data Entry'!$³$275)</f>
      </c>
      <c r="DL275">
        <f>IF(ISBLANK('Data Entry'!$´$275), "", 'Data Entry'!$´$275)</f>
      </c>
      <c r="DM275">
        <f>IF(ISBLANK('Data Entry'!$µ$275), "", 'Data Entry'!$µ$275)</f>
      </c>
      <c r="DN275">
        <f>IF(ISBLANK('Data Entry'!$¶$275), "", 'Data Entry'!$¶$275)</f>
      </c>
      <c r="DO275">
        <f>IF(ISBLANK('Data Entry'!$·$275), "", 'Data Entry'!$·$275)</f>
      </c>
      <c r="DP275">
        <f>IF(ISBLANK('Data Entry'!$¸$275), "", 'Data Entry'!$¸$275)</f>
      </c>
      <c r="DQ275">
        <f>IF(ISBLANK('Data Entry'!$¹$275), "", 'Data Entry'!$¹$275)</f>
      </c>
      <c r="DR275">
        <f>IF(ISBLANK('Data Entry'!$º$275), "", 'Data Entry'!$º$275)</f>
      </c>
      <c r="DS275">
        <f>IF(ISBLANK('Data Entry'!$»$275), "", 'Data Entry'!$»$275)</f>
      </c>
      <c r="DT275">
        <f>IF(ISBLANK('Data Entry'!$¼$275), "", 'Data Entry'!$¼$275)</f>
      </c>
      <c r="DU275">
        <f>IF(ISBLANK('Data Entry'!$½$275), "", 'Data Entry'!$½$275)</f>
      </c>
      <c r="DV275">
        <f>IF(ISBLANK('Data Entry'!$¾$275), "", 'Data Entry'!$¾$275)</f>
      </c>
      <c r="DW275">
        <f>IF(ISBLANK('Data Entry'!$¿$275), "", 'Data Entry'!$¿$275)</f>
      </c>
      <c r="DX275">
        <f>IF(ISBLANK('Data Entry'!$À$275), "", 'Data Entry'!$À$275)</f>
      </c>
      <c r="DY275">
        <f>IF(ISBLANK('Data Entry'!$Á$275), "", 'Data Entry'!$Á$275)</f>
      </c>
      <c r="DZ275">
        <f>IF(ISBLANK('Data Entry'!$Â$275), "", 'Data Entry'!$Â$275)</f>
      </c>
      <c r="EA275">
        <f>IF(ISBLANK('Data Entry'!$Ã$275), "", 'Data Entry'!$Ã$275)</f>
      </c>
      <c r="EB275">
        <f>IF(ISBLANK('Data Entry'!$Ä$275), "", 'Data Entry'!$Ä$275)</f>
      </c>
      <c r="EC275">
        <f>IF(ISBLANK('Data Entry'!$Å$275), "", 'Data Entry'!$Å$275)</f>
      </c>
      <c r="ED275">
        <f>IF(ISBLANK('Data Entry'!$Æ$275), "", 'Data Entry'!$Æ$275)</f>
      </c>
      <c r="EE275">
        <f>IF(ISBLANK('Data Entry'!$Ç$275), "", 'Data Entry'!$Ç$275)</f>
      </c>
      <c r="EF275">
        <f>IF(ISBLANK('Data Entry'!$È$275), "", 'Data Entry'!$È$275)</f>
      </c>
      <c r="EG275">
        <f>IF(ISBLANK('Data Entry'!$É$275), "", 'Data Entry'!$É$275)</f>
      </c>
      <c r="EH275">
        <f>IF(ISBLANK('Data Entry'!$Ê$275), "", 'Data Entry'!$Ê$275)</f>
      </c>
      <c r="EI275">
        <f>IF(ISBLANK('Data Entry'!$Ë$275), "", 'Data Entry'!$Ë$275)</f>
      </c>
      <c r="EJ275">
        <f>IF(ISBLANK('Data Entry'!$Ì$275), "", 'Data Entry'!$Ì$275)</f>
      </c>
      <c r="EK275">
        <f>IF(ISBLANK('Data Entry'!$Í$275), "", 'Data Entry'!$Í$275)</f>
      </c>
      <c r="EL275">
        <f>IF(ISBLANK('Data Entry'!$Î$275), "", 'Data Entry'!$Î$275)</f>
      </c>
      <c r="EM275">
        <f>IF(ISBLANK('Data Entry'!$Ï$275), "", 'Data Entry'!$Ï$275)</f>
      </c>
      <c r="EN275">
        <f>IF(ISBLANK('Data Entry'!$Ð$275), "", 'Data Entry'!$Ð$275)</f>
      </c>
      <c r="EO275">
        <f>IF(ISBLANK('Data Entry'!$Ñ$275), "", 'Data Entry'!$Ñ$275)</f>
      </c>
      <c r="EP275">
        <f>IF(ISBLANK('Data Entry'!$Ò$275), "", 'Data Entry'!$Ò$275)</f>
      </c>
      <c r="EQ275">
        <f>IF(ISBLANK('Data Entry'!$Ó$275), "", 'Data Entry'!$Ó$275)</f>
      </c>
      <c r="ER275">
        <f>IF(ISBLANK('Data Entry'!$Ô$275), "", 'Data Entry'!$Ô$275)</f>
      </c>
      <c r="ES275">
        <f>IF(ISBLANK('Data Entry'!$Õ$275), "", 'Data Entry'!$Õ$275)</f>
      </c>
      <c r="ET275">
        <f>IF(ISBLANK('Data Entry'!$Ö$275), "", 'Data Entry'!$Ö$275)</f>
      </c>
      <c r="EU275">
        <f>IF(ISBLANK('Data Entry'!$×$275), "", 'Data Entry'!$×$275)</f>
      </c>
      <c r="EV275">
        <f>IF(ISBLANK('Data Entry'!$Ø$275), "", 'Data Entry'!$Ø$275)</f>
      </c>
      <c r="EW275">
        <f>IF(ISBLANK('Data Entry'!$Ù$275), "", 'Data Entry'!$Ù$275)</f>
      </c>
      <c r="EX275">
        <f>IF(ISBLANK('Data Entry'!$Ú$275), "", 'Data Entry'!$Ú$275)</f>
      </c>
      <c r="EY275">
        <f>IF(ISBLANK('Data Entry'!$Û$275), "", 'Data Entry'!$Û$275)</f>
      </c>
      <c r="EZ275">
        <f>IF(ISBLANK('Data Entry'!$Ü$275), "", 'Data Entry'!$Ü$275)</f>
      </c>
      <c r="FA275">
        <f>IF(ISBLANK('Data Entry'!$Ý$275), "", 'Data Entry'!$Ý$275)</f>
      </c>
      <c r="FB275">
        <f>IF(ISBLANK('Data Entry'!$Þ$275), "", 'Data Entry'!$Þ$275)</f>
      </c>
      <c r="FC275">
        <f>IF(ISBLANK('Data Entry'!$ß$275), "", 'Data Entry'!$ß$275)</f>
      </c>
      <c r="FD275">
        <f>IF(ISBLANK('Data Entry'!$à$275), "", 'Data Entry'!$à$275)</f>
      </c>
      <c r="FE275">
        <f>IF(ISBLANK('Data Entry'!$á$275), "", 'Data Entry'!$á$275)</f>
      </c>
      <c r="FF275">
        <f>IF(ISBLANK('Data Entry'!$â$275), "", 'Data Entry'!$â$275)</f>
      </c>
      <c r="FG275">
        <f>IF(ISBLANK('Data Entry'!$ã$275), "", 'Data Entry'!$ã$275)</f>
      </c>
      <c r="FH275">
        <f>IF(ISBLANK('Data Entry'!$ä$275), "", 'Data Entry'!$ä$275)</f>
      </c>
      <c r="FI275">
        <f>IF(ISBLANK('Data Entry'!$å$275), "", 'Data Entry'!$å$275)</f>
      </c>
      <c r="FJ275">
        <f>IF(ISBLANK('Data Entry'!$æ$275), "", 'Data Entry'!$æ$275)</f>
      </c>
      <c r="FK275">
        <f>IF(ISBLANK('Data Entry'!$ç$275), "", 'Data Entry'!$ç$275)</f>
      </c>
      <c r="FL275">
        <f>IF(ISBLANK('Data Entry'!$è$275), "", 'Data Entry'!$è$275)</f>
      </c>
      <c r="FM275">
        <f>IF(ISBLANK('Data Entry'!$é$275), "", 'Data Entry'!$é$275)</f>
      </c>
      <c r="FN275">
        <f>IF(ISBLANK('Data Entry'!$ê$275), "", 'Data Entry'!$ê$275)</f>
      </c>
      <c r="FO275">
        <f>IF(ISBLANK('Data Entry'!$ë$275), "", 'Data Entry'!$ë$275)</f>
      </c>
      <c r="FP275">
        <f>IF(ISBLANK('Data Entry'!$ì$275), "", 'Data Entry'!$ì$275)</f>
      </c>
      <c r="FQ275">
        <f>IF(ISBLANK('Data Entry'!$í$275), "", 'Data Entry'!$í$275)</f>
      </c>
      <c r="FR275">
        <f>IF(ISBLANK('Data Entry'!$î$275), "", 'Data Entry'!$î$275)</f>
      </c>
      <c r="FS275">
        <f>IF(ISBLANK('Data Entry'!$ï$275), "", 'Data Entry'!$ï$275)</f>
      </c>
      <c r="FT275">
        <f>IF(ISBLANK('Data Entry'!$ð$275), "", 'Data Entry'!$ð$275)</f>
      </c>
      <c r="FU275">
        <f>IF(ISBLANK('Data Entry'!$ñ$275), "", 'Data Entry'!$ñ$275)</f>
      </c>
      <c r="FV275">
        <f>IF(ISBLANK('Data Entry'!$ò$275), "", 'Data Entry'!$ò$275)</f>
      </c>
      <c r="FW275">
        <f>IF(ISBLANK('Data Entry'!$ó$275), "", 'Data Entry'!$ó$275)</f>
      </c>
      <c r="FX275">
        <f>IF(ISBLANK('Data Entry'!$ô$275), "", 'Data Entry'!$ô$275)</f>
      </c>
      <c r="FY275">
        <f>IF(ISBLANK('Data Entry'!$õ$275), "", 'Data Entry'!$õ$275)</f>
      </c>
      <c r="FZ275">
        <f>IF(ISBLANK('Data Entry'!$ö$275), "", 'Data Entry'!$ö$275)</f>
      </c>
      <c r="GA275">
        <f>IF(ISBLANK('Data Entry'!$÷$275), "", 'Data Entry'!$÷$275)</f>
      </c>
      <c r="GB275">
        <f>IF(ISBLANK('Data Entry'!$ø$275), "", 'Data Entry'!$ø$275)</f>
      </c>
      <c r="GC275">
        <f>IF(ISBLANK('Data Entry'!$ù$275), "", 'Data Entry'!$ù$275)</f>
      </c>
      <c r="GD275">
        <f>IF(ISBLANK('Data Entry'!$ú$275), "", 'Data Entry'!$ú$275)</f>
      </c>
      <c r="GE275">
        <f>IF(ISBLANK('Data Entry'!$û$275), "", 'Data Entry'!$û$275)</f>
      </c>
      <c r="GF275">
        <f>IF(ISBLANK('Data Entry'!$ü$275), "", 'Data Entry'!$ü$275)</f>
      </c>
      <c r="GG275">
        <f>IF(ISBLANK('Data Entry'!$ý$275), "", 'Data Entry'!$ý$275)</f>
      </c>
      <c r="GH275">
        <f>IF(ISBLANK('Data Entry'!$þ$275), "", 'Data Entry'!$þ$275)</f>
      </c>
      <c r="GI275">
        <f>IF(ISBLANK('Data Entry'!$ÿ$275), "", 'Data Entry'!$ÿ$275)</f>
      </c>
      <c r="GJ275">
        <f>IF(ISBLANK('Data Entry'!$Ā$275), "", 'Data Entry'!$Ā$275)</f>
      </c>
      <c r="GK275">
        <f>IF(ISBLANK('Data Entry'!$ā$275), "", 'Data Entry'!$ā$275)</f>
      </c>
      <c r="GL275">
        <f>IF(ISBLANK('Data Entry'!$Ă$275), "", 'Data Entry'!$Ă$275)</f>
      </c>
      <c r="GM275">
        <f>IF(ISBLANK('Data Entry'!$ă$275), "", 'Data Entry'!$ă$275)</f>
      </c>
      <c r="GN275">
        <f>IF(ISBLANK('Data Entry'!$Ą$275), "", 'Data Entry'!$Ą$275)</f>
      </c>
      <c r="GO275">
        <f>IF(ISBLANK('Data Entry'!$ą$275), "", 'Data Entry'!$ą$275)</f>
      </c>
      <c r="GP275">
        <f>IF(ISBLANK('Data Entry'!$Ć$275), "", 'Data Entry'!$Ć$275)</f>
      </c>
      <c r="GQ275">
        <f>IF(ISBLANK('Data Entry'!$ć$275), "", 'Data Entry'!$ć$275)</f>
      </c>
      <c r="GR275">
        <f>IF(ISBLANK('Data Entry'!$Ĉ$275), "", 'Data Entry'!$Ĉ$275)</f>
      </c>
      <c r="GS275">
        <f>IF(ISBLANK('Data Entry'!$ĉ$275), "", 'Data Entry'!$ĉ$275)</f>
      </c>
      <c r="GT275">
        <f>IF(ISBLANK('Data Entry'!$Ċ$275), "", 'Data Entry'!$Ċ$275)</f>
      </c>
      <c r="GU275">
        <f>IF(ISBLANK('Data Entry'!$ċ$275), "", 'Data Entry'!$ċ$275)</f>
      </c>
      <c r="GV275">
        <f>IF(ISBLANK('Data Entry'!$Č$275), "", 'Data Entry'!$Č$275)</f>
      </c>
      <c r="GW275">
        <f>IF(ISBLANK('Data Entry'!$č$275), "", 'Data Entry'!$č$275)</f>
      </c>
      <c r="GX275">
        <f>IF(ISBLANK('Data Entry'!$Ď$275), "", 'Data Entry'!$Ď$275)</f>
      </c>
      <c r="GY275">
        <f>IF(ISBLANK('Data Entry'!$ď$275), "", 'Data Entry'!$ď$275)</f>
      </c>
      <c r="GZ275">
        <f>IF(ISBLANK('Data Entry'!$Đ$275), "", 'Data Entry'!$Đ$275)</f>
      </c>
      <c r="HA275">
        <f>IF(ISBLANK('Data Entry'!$đ$275), "", 'Data Entry'!$đ$275)</f>
      </c>
      <c r="HB275">
        <f>IF(ISBLANK('Data Entry'!$Ē$275), "", 'Data Entry'!$Ē$275)</f>
      </c>
      <c r="HC275">
        <f>IF(ISBLANK('Data Entry'!$ē$275), "", 'Data Entry'!$ē$275)</f>
      </c>
      <c r="HD275">
        <f>IF(ISBLANK('Data Entry'!$Ĕ$275), "", 'Data Entry'!$Ĕ$275)</f>
      </c>
      <c r="HE275">
        <f>IF(ISBLANK('Data Entry'!$ĕ$275), "", 'Data Entry'!$ĕ$275)</f>
      </c>
      <c r="HF275">
        <f>IF(ISBLANK('Data Entry'!$Ė$275), "", 'Data Entry'!$Ė$275)</f>
      </c>
      <c r="HG275">
        <f>IF(ISBLANK('Data Entry'!$ė$275), "", 'Data Entry'!$ė$275)</f>
      </c>
      <c r="HH275">
        <f>IF(ISBLANK('Data Entry'!$Ę$275), "", 'Data Entry'!$Ę$275)</f>
      </c>
      <c r="HI275">
        <f>IF(ISBLANK('Data Entry'!$ę$275), "", 'Data Entry'!$ę$275)</f>
      </c>
      <c r="HJ275">
        <f>IF(ISBLANK('Data Entry'!$Ě$275), "", 'Data Entry'!$Ě$275)</f>
      </c>
      <c r="HK275">
        <f>IF(ISBLANK('Data Entry'!$ě$275), "", 'Data Entry'!$ě$275)</f>
      </c>
      <c r="HL275">
        <f>IF(ISBLANK('Data Entry'!$Ĝ$275), "", 'Data Entry'!$Ĝ$275)</f>
      </c>
      <c r="HM275">
        <f>IF(ISBLANK('Data Entry'!$ĝ$275), "", 'Data Entry'!$ĝ$275)</f>
      </c>
      <c r="HN275">
        <f>IF(ISBLANK('Data Entry'!$Ğ$275), "", 'Data Entry'!$Ğ$275)</f>
      </c>
      <c r="HO275">
        <f>IF(ISBLANK('Data Entry'!$ğ$275), "", 'Data Entry'!$ğ$275)</f>
      </c>
      <c r="HP275">
        <f>IF(ISBLANK('Data Entry'!$Ġ$275), "", 'Data Entry'!$Ġ$275)</f>
      </c>
      <c r="HQ275">
        <f>IF(ISBLANK('Data Entry'!$ġ$275), "", 'Data Entry'!$ġ$275)</f>
      </c>
      <c r="HR275">
        <f>IF(ISBLANK('Data Entry'!$Ģ$275), "", 'Data Entry'!$Ģ$275)</f>
      </c>
      <c r="HS275">
        <f>IF(ISBLANK('Data Entry'!$ģ$275), "", 'Data Entry'!$ģ$275)</f>
      </c>
      <c r="HT275">
        <f>IF(ISBLANK('Data Entry'!$Ĥ$275), "", 'Data Entry'!$Ĥ$275)</f>
      </c>
      <c r="HU275">
        <f>IF(ISBLANK('Data Entry'!$ĥ$275), "", 'Data Entry'!$ĥ$275)</f>
      </c>
      <c r="HV275">
        <f>IF(ISBLANK('Data Entry'!$Ħ$275), "", 'Data Entry'!$Ħ$275)</f>
      </c>
      <c r="HW275">
        <f>IF(ISBLANK('Data Entry'!$ħ$275), "", 'Data Entry'!$ħ$275)</f>
      </c>
      <c r="HX275">
        <f>IF(ISBLANK('Data Entry'!$Ĩ$275), "", 'Data Entry'!$Ĩ$275)</f>
      </c>
      <c r="HY275">
        <f>IF(ISBLANK('Data Entry'!$ĩ$275), "", 'Data Entry'!$ĩ$275)</f>
      </c>
      <c r="HZ275">
        <f>IF(ISBLANK('Data Entry'!$Ī$275), "", 'Data Entry'!$Ī$275)</f>
      </c>
      <c r="IA275">
        <f>IF(ISBLANK('Data Entry'!$ī$275), "", 'Data Entry'!$ī$275)</f>
      </c>
      <c r="IB275">
        <f>IF(ISBLANK('Data Entry'!$Ĭ$275), "", 'Data Entry'!$Ĭ$275)</f>
      </c>
      <c r="IC275">
        <f>IF(ISBLANK('Data Entry'!$ĭ$275), "", 'Data Entry'!$ĭ$275)</f>
      </c>
      <c r="ID275">
        <f>IF(ISBLANK('Data Entry'!$Į$275), "", 'Data Entry'!$Į$275)</f>
      </c>
      <c r="IE275">
        <f>IF(ISBLANK('Data Entry'!$į$275), "", 'Data Entry'!$į$275)</f>
      </c>
      <c r="IF275">
        <f>IF(ISBLANK('Data Entry'!$İ$275), "", 'Data Entry'!$İ$275)</f>
      </c>
      <c r="IG275">
        <f>IF(ISBLANK('Data Entry'!$ı$275), "", 'Data Entry'!$ı$275)</f>
      </c>
      <c r="IH275">
        <f>IF(ISBLANK('Data Entry'!$Ĳ$275), "", 'Data Entry'!$Ĳ$275)</f>
      </c>
      <c r="II275">
        <f>IF(ISBLANK('Data Entry'!$ĳ$275), "", 'Data Entry'!$ĳ$275)</f>
      </c>
      <c r="IJ275">
        <f>IF(ISBLANK('Data Entry'!$Ĵ$275), "", 'Data Entry'!$Ĵ$275)</f>
      </c>
      <c r="IK275">
        <f>IF(ISBLANK('Data Entry'!$ĵ$275), "", 'Data Entry'!$ĵ$275)</f>
      </c>
      <c r="IL275">
        <f>IF(ISBLANK('Data Entry'!$Ķ$275), "", 'Data Entry'!$Ķ$275)</f>
      </c>
      <c r="IM275">
        <f>IF(ISBLANK('Data Entry'!$ķ$275), "", 'Data Entry'!$ķ$275)</f>
      </c>
      <c r="IN275">
        <f>IF(ISBLANK('Data Entry'!$ĸ$275), "", 'Data Entry'!$ĸ$275)</f>
      </c>
      <c r="IO275">
        <f>IF(ISBLANK('Data Entry'!$Ĺ$275), "", 'Data Entry'!$Ĺ$275)</f>
      </c>
      <c r="IP275">
        <f>IF(ISBLANK('Data Entry'!$ĺ$275), "", 'Data Entry'!$ĺ$275)</f>
      </c>
      <c r="IQ275">
        <f>IF(ISBLANK('Data Entry'!$Ļ$275), "", 'Data Entry'!$Ļ$275)</f>
      </c>
      <c r="IR275">
        <f>IF(ISBLANK('Data Entry'!$ļ$275), "", 'Data Entry'!$ļ$275)</f>
      </c>
      <c r="IS275">
        <f>IF(ISBLANK('Data Entry'!$Ľ$275), "", 'Data Entry'!$Ľ$275)</f>
      </c>
      <c r="IT275">
        <f>IF(ISBLANK('Data Entry'!$ľ$275), "", 'Data Entry'!$ľ$275)</f>
      </c>
    </row>
    <row r="276" spans="1:254" x14ac:dyDescent="0.25">
      <c r="A276">
        <f>IF(ISBLANK('Data Entry'!$A$276), "", 'Data Entry'!$A$276)</f>
      </c>
      <c r="B276">
        <f>IF(ISBLANK('Data Entry'!$B$276), "", 'Data Entry'!$B$276)</f>
      </c>
      <c r="C276">
        <f>IF(ISBLANK('Data Entry'!$C$276), "", 'Data Entry'!$C$276)</f>
      </c>
      <c r="D276">
        <f>IF(ISBLANK('Data Entry'!$D$276), "", 'Data Entry'!$D$276)</f>
      </c>
      <c r="E276">
        <f>IF(ISBLANK('Data Entry'!$E$276), "", 'Data Entry'!$E$276)</f>
      </c>
      <c r="F276">
        <f>IF(ISBLANK('Data Entry'!$F$276), "", 'Data Entry'!$F$276)</f>
      </c>
      <c r="G276">
        <f>IF(ISBLANK('Data Entry'!$G$276), "", 'Data Entry'!$G$276)</f>
      </c>
      <c r="H276">
        <f>IF(ISBLANK('Data Entry'!$H$276), "", 'Data Entry'!$H$276)</f>
      </c>
      <c r="I276">
        <f>IF(ISBLANK('Data Entry'!$I$276), "", 'Data Entry'!$I$276)</f>
      </c>
      <c r="J276">
        <f>IF(ISBLANK('Data Entry'!$J$276), "", 'Data Entry'!$J$276)</f>
      </c>
      <c r="K276">
        <f>IF(ISBLANK('Data Entry'!$K$276), "", 'Data Entry'!$K$276)</f>
      </c>
      <c r="L276">
        <f>IF(ISBLANK('Data Entry'!$L$276), "", 'Data Entry'!$L$276)</f>
      </c>
      <c r="M276">
        <f>IF(ISBLANK('Data Entry'!$M$276), "", 'Data Entry'!$M$276)</f>
      </c>
      <c r="N276">
        <f>IF(ISBLANK('Data Entry'!$N$276), "", 'Data Entry'!$N$276)</f>
      </c>
      <c r="O276">
        <f>IF(ISBLANK('Data Entry'!$O$276), "", 'Data Entry'!$O$276)</f>
      </c>
      <c r="P276">
        <f>IF(ISBLANK('Data Entry'!$P$276), "", 'Data Entry'!$P$276)</f>
      </c>
      <c r="Q276">
        <f>IF(ISBLANK('Data Entry'!$Q$276), "", 'Data Entry'!$Q$276)</f>
      </c>
      <c r="R276">
        <f>IF(ISBLANK('Data Entry'!$R$276), "", 'Data Entry'!$R$276)</f>
      </c>
      <c r="S276">
        <f>IF(ISBLANK('Data Entry'!$S$276), "", 'Data Entry'!$S$276)</f>
      </c>
      <c r="T276">
        <f>IF(ISBLANK('Data Entry'!$T$276), "", 'Data Entry'!$T$276)</f>
      </c>
      <c r="U276">
        <f>IF(ISBLANK('Data Entry'!$U$276), "", 'Data Entry'!$U$276)</f>
      </c>
      <c r="V276">
        <f>IF(ISBLANK('Data Entry'!$V$276), "", 'Data Entry'!$V$276)</f>
      </c>
      <c r="W276">
        <f>IF(ISBLANK('Data Entry'!$W$276), "", 'Data Entry'!$W$276)</f>
      </c>
      <c r="X276">
        <f>IF(ISBLANK('Data Entry'!$X$276), "", 'Data Entry'!$X$276)</f>
      </c>
      <c r="Y276">
        <f>IF(ISBLANK('Data Entry'!$Y$276), "", 'Data Entry'!$Y$276)</f>
      </c>
      <c r="Z276">
        <f>IF(ISBLANK('Data Entry'!$Z$276), "", 'Data Entry'!$Z$276)</f>
      </c>
      <c r="AA276">
        <f>IF(ISBLANK('Data Entry'!$[$276), "", 'Data Entry'!$[$276)</f>
      </c>
      <c r="AB276">
        <f>IF(ISBLANK('Data Entry'!$\$276), "", 'Data Entry'!$\$276)</f>
      </c>
      <c r="AC276">
        <f>IF(ISBLANK('Data Entry'!$]$276), "", 'Data Entry'!$]$276)</f>
      </c>
      <c r="AD276">
        <f>IF(ISBLANK('Data Entry'!$^$276), "", 'Data Entry'!$^$276)</f>
      </c>
      <c r="AE276">
        <f>IF(ISBLANK('Data Entry'!$_$276), "", 'Data Entry'!$_$276)</f>
      </c>
      <c r="AF276">
        <f>IF(ISBLANK('Data Entry'!$`$276), "", 'Data Entry'!$`$276)</f>
      </c>
      <c r="AG276">
        <f>IF(ISBLANK('Data Entry'!$a$276), "", 'Data Entry'!$a$276)</f>
      </c>
      <c r="AH276">
        <f>IF(ISBLANK('Data Entry'!$b$276), "", 'Data Entry'!$b$276)</f>
      </c>
      <c r="AI276">
        <f>IF(ISBLANK('Data Entry'!$c$276), "", 'Data Entry'!$c$276)</f>
      </c>
      <c r="AJ276">
        <f>IF(ISBLANK('Data Entry'!$d$276), "", 'Data Entry'!$d$276)</f>
      </c>
      <c r="AK276">
        <f>IF(ISBLANK('Data Entry'!$e$276), "", 'Data Entry'!$e$276)</f>
      </c>
      <c r="AL276">
        <f>IF(ISBLANK('Data Entry'!$f$276), "", 'Data Entry'!$f$276)</f>
      </c>
      <c r="AM276">
        <f>IF(ISBLANK('Data Entry'!$g$276), "", 'Data Entry'!$g$276)</f>
      </c>
      <c r="AN276">
        <f>IF(ISBLANK('Data Entry'!$h$276), "", 'Data Entry'!$h$276)</f>
      </c>
      <c r="AO276">
        <f>IF(ISBLANK('Data Entry'!$i$276), "", 'Data Entry'!$i$276)</f>
      </c>
      <c r="AP276">
        <f>IF(ISBLANK('Data Entry'!$j$276), "", 'Data Entry'!$j$276)</f>
      </c>
      <c r="AQ276">
        <f>IF(ISBLANK('Data Entry'!$k$276), "", 'Data Entry'!$k$276)</f>
      </c>
      <c r="AR276">
        <f>IF(ISBLANK('Data Entry'!$l$276), "", 'Data Entry'!$l$276)</f>
      </c>
      <c r="AS276">
        <f>IF(ISBLANK('Data Entry'!$m$276), "", 'Data Entry'!$m$276)</f>
      </c>
      <c r="AT276">
        <f>IF(ISBLANK('Data Entry'!$n$276), "", 'Data Entry'!$n$276)</f>
      </c>
      <c r="AU276">
        <f>IF(ISBLANK('Data Entry'!$o$276), "", 'Data Entry'!$o$276)</f>
      </c>
      <c r="AV276">
        <f>IF(ISBLANK('Data Entry'!$p$276), "", 'Data Entry'!$p$276)</f>
      </c>
      <c r="AW276">
        <f>IF(ISBLANK('Data Entry'!$q$276), "", 'Data Entry'!$q$276)</f>
      </c>
      <c r="AX276">
        <f>IF(ISBLANK('Data Entry'!$r$276), "", 'Data Entry'!$r$276)</f>
      </c>
      <c r="AY276">
        <f>IF(ISBLANK('Data Entry'!$s$276), "", 'Data Entry'!$s$276)</f>
      </c>
      <c r="AZ276">
        <f>IF(ISBLANK('Data Entry'!$t$276), "", 'Data Entry'!$t$276)</f>
      </c>
      <c r="BA276">
        <f>IF(ISBLANK('Data Entry'!$u$276), "", 'Data Entry'!$u$276)</f>
      </c>
      <c r="BB276">
        <f>IF(ISBLANK('Data Entry'!$v$276), "", 'Data Entry'!$v$276)</f>
      </c>
      <c r="BC276">
        <f>IF(ISBLANK('Data Entry'!$w$276), "", 'Data Entry'!$w$276)</f>
      </c>
      <c r="BD276">
        <f>IF(ISBLANK('Data Entry'!$x$276), "", 'Data Entry'!$x$276)</f>
      </c>
      <c r="BE276">
        <f>IF(ISBLANK('Data Entry'!$y$276), "", 'Data Entry'!$y$276)</f>
      </c>
      <c r="BF276">
        <f>IF(ISBLANK('Data Entry'!$z$276), "", 'Data Entry'!$z$276)</f>
      </c>
      <c r="BG276">
        <f>IF(ISBLANK('Data Entry'!${$276), "", 'Data Entry'!${$276)</f>
      </c>
      <c r="BH276">
        <f>IF(ISBLANK('Data Entry'!$|$276), "", 'Data Entry'!$|$276)</f>
      </c>
      <c r="BI276">
        <f>IF(ISBLANK('Data Entry'!$}$276), "", 'Data Entry'!$}$276)</f>
      </c>
      <c r="BJ276">
        <f>IF(ISBLANK('Data Entry'!$~$276), "", 'Data Entry'!$~$276)</f>
      </c>
      <c r="BK276">
        <f>IF(ISBLANK('Data Entry'!$$276), "", 'Data Entry'!$$276)</f>
      </c>
      <c r="BL276">
        <f>IF(ISBLANK('Data Entry'!$$276), "", 'Data Entry'!$$276)</f>
      </c>
      <c r="BM276">
        <f>IF(ISBLANK('Data Entry'!$$276), "", 'Data Entry'!$$276)</f>
      </c>
      <c r="BN276">
        <f>IF(ISBLANK('Data Entry'!$$276), "", 'Data Entry'!$$276)</f>
      </c>
      <c r="BO276">
        <f>IF(ISBLANK('Data Entry'!$$276), "", 'Data Entry'!$$276)</f>
      </c>
      <c r="BP276">
        <f>IF(ISBLANK('Data Entry'!$$276), "", 'Data Entry'!$$276)</f>
      </c>
      <c r="BQ276">
        <f>IF(ISBLANK('Data Entry'!$$276), "", 'Data Entry'!$$276)</f>
      </c>
      <c r="BR276">
        <f>IF(ISBLANK('Data Entry'!$$276), "", 'Data Entry'!$$276)</f>
      </c>
      <c r="BS276">
        <f>IF(ISBLANK('Data Entry'!$$276), "", 'Data Entry'!$$276)</f>
      </c>
      <c r="BT276">
        <f>IF(ISBLANK('Data Entry'!$$276), "", 'Data Entry'!$$276)</f>
      </c>
      <c r="BU276">
        <f>IF(ISBLANK('Data Entry'!$$276), "", 'Data Entry'!$$276)</f>
      </c>
      <c r="BV276">
        <f>IF(ISBLANK('Data Entry'!$$276), "", 'Data Entry'!$$276)</f>
      </c>
      <c r="BW276">
        <f>IF(ISBLANK('Data Entry'!$$276), "", 'Data Entry'!$$276)</f>
      </c>
      <c r="BX276">
        <f>IF(ISBLANK('Data Entry'!$$276), "", 'Data Entry'!$$276)</f>
      </c>
      <c r="BY276">
        <f>IF(ISBLANK('Data Entry'!$$276), "", 'Data Entry'!$$276)</f>
      </c>
      <c r="BZ276">
        <f>IF(ISBLANK('Data Entry'!$$276), "", 'Data Entry'!$$276)</f>
      </c>
      <c r="CA276">
        <f>IF(ISBLANK('Data Entry'!$$276), "", 'Data Entry'!$$276)</f>
      </c>
      <c r="CB276">
        <f>IF(ISBLANK('Data Entry'!$$276), "", 'Data Entry'!$$276)</f>
      </c>
      <c r="CC276">
        <f>IF(ISBLANK('Data Entry'!$$276), "", 'Data Entry'!$$276)</f>
      </c>
      <c r="CD276">
        <f>IF(ISBLANK('Data Entry'!$$276), "", 'Data Entry'!$$276)</f>
      </c>
      <c r="CE276">
        <f>IF(ISBLANK('Data Entry'!$$276), "", 'Data Entry'!$$276)</f>
      </c>
      <c r="CF276">
        <f>IF(ISBLANK('Data Entry'!$$276), "", 'Data Entry'!$$276)</f>
      </c>
      <c r="CG276">
        <f>IF(ISBLANK('Data Entry'!$$276), "", 'Data Entry'!$$276)</f>
      </c>
      <c r="CH276">
        <f>IF(ISBLANK('Data Entry'!$$276), "", 'Data Entry'!$$276)</f>
      </c>
      <c r="CI276">
        <f>IF(ISBLANK('Data Entry'!$$276), "", 'Data Entry'!$$276)</f>
      </c>
      <c r="CJ276">
        <f>IF(ISBLANK('Data Entry'!$$276), "", 'Data Entry'!$$276)</f>
      </c>
      <c r="CK276">
        <f>IF(ISBLANK('Data Entry'!$$276), "", 'Data Entry'!$$276)</f>
      </c>
      <c r="CL276">
        <f>IF(ISBLANK('Data Entry'!$$276), "", 'Data Entry'!$$276)</f>
      </c>
      <c r="CM276">
        <f>IF(ISBLANK('Data Entry'!$$276), "", 'Data Entry'!$$276)</f>
      </c>
      <c r="CN276">
        <f>IF(ISBLANK('Data Entry'!$$276), "", 'Data Entry'!$$276)</f>
      </c>
      <c r="CO276">
        <f>IF(ISBLANK('Data Entry'!$$276), "", 'Data Entry'!$$276)</f>
      </c>
      <c r="CP276">
        <f>IF(ISBLANK('Data Entry'!$$276), "", 'Data Entry'!$$276)</f>
      </c>
      <c r="CQ276">
        <f>IF(ISBLANK('Data Entry'!$$276), "", 'Data Entry'!$$276)</f>
      </c>
      <c r="CR276">
        <f>IF(ISBLANK('Data Entry'!$ $276), "", 'Data Entry'!$ $276)</f>
      </c>
      <c r="CS276">
        <f>IF(ISBLANK('Data Entry'!$¡$276), "", 'Data Entry'!$¡$276)</f>
      </c>
      <c r="CT276">
        <f>IF(ISBLANK('Data Entry'!$¢$276), "", 'Data Entry'!$¢$276)</f>
      </c>
      <c r="CU276">
        <f>IF(ISBLANK('Data Entry'!$£$276), "", 'Data Entry'!$£$276)</f>
      </c>
      <c r="CV276">
        <f>IF(ISBLANK('Data Entry'!$¤$276), "", 'Data Entry'!$¤$276)</f>
      </c>
      <c r="CW276">
        <f>IF(ISBLANK('Data Entry'!$¥$276), "", 'Data Entry'!$¥$276)</f>
      </c>
      <c r="CX276">
        <f>IF(ISBLANK('Data Entry'!$¦$276), "", 'Data Entry'!$¦$276)</f>
      </c>
      <c r="CY276">
        <f>IF(ISBLANK('Data Entry'!$§$276), "", 'Data Entry'!$§$276)</f>
      </c>
      <c r="CZ276">
        <f>IF(ISBLANK('Data Entry'!$¨$276), "", 'Data Entry'!$¨$276)</f>
      </c>
      <c r="DA276">
        <f>IF(ISBLANK('Data Entry'!$©$276), "", 'Data Entry'!$©$276)</f>
      </c>
      <c r="DB276">
        <f>IF(ISBLANK('Data Entry'!$ª$276), "", 'Data Entry'!$ª$276)</f>
      </c>
      <c r="DC276">
        <f>IF(ISBLANK('Data Entry'!$«$276), "", 'Data Entry'!$«$276)</f>
      </c>
      <c r="DD276">
        <f>IF(ISBLANK('Data Entry'!$¬$276), "", 'Data Entry'!$¬$276)</f>
      </c>
      <c r="DE276">
        <f>IF(ISBLANK('Data Entry'!$­$276), "", 'Data Entry'!$­$276)</f>
      </c>
      <c r="DF276">
        <f>IF(ISBLANK('Data Entry'!$®$276), "", 'Data Entry'!$®$276)</f>
      </c>
      <c r="DG276">
        <f>IF(ISBLANK('Data Entry'!$¯$276), "", 'Data Entry'!$¯$276)</f>
      </c>
      <c r="DH276">
        <f>IF(ISBLANK('Data Entry'!$°$276), "", 'Data Entry'!$°$276)</f>
      </c>
      <c r="DI276">
        <f>IF(ISBLANK('Data Entry'!$±$276), "", 'Data Entry'!$±$276)</f>
      </c>
      <c r="DJ276">
        <f>IF(ISBLANK('Data Entry'!$²$276), "", 'Data Entry'!$²$276)</f>
      </c>
      <c r="DK276">
        <f>IF(ISBLANK('Data Entry'!$³$276), "", 'Data Entry'!$³$276)</f>
      </c>
      <c r="DL276">
        <f>IF(ISBLANK('Data Entry'!$´$276), "", 'Data Entry'!$´$276)</f>
      </c>
      <c r="DM276">
        <f>IF(ISBLANK('Data Entry'!$µ$276), "", 'Data Entry'!$µ$276)</f>
      </c>
      <c r="DN276">
        <f>IF(ISBLANK('Data Entry'!$¶$276), "", 'Data Entry'!$¶$276)</f>
      </c>
      <c r="DO276">
        <f>IF(ISBLANK('Data Entry'!$·$276), "", 'Data Entry'!$·$276)</f>
      </c>
      <c r="DP276">
        <f>IF(ISBLANK('Data Entry'!$¸$276), "", 'Data Entry'!$¸$276)</f>
      </c>
      <c r="DQ276">
        <f>IF(ISBLANK('Data Entry'!$¹$276), "", 'Data Entry'!$¹$276)</f>
      </c>
      <c r="DR276">
        <f>IF(ISBLANK('Data Entry'!$º$276), "", 'Data Entry'!$º$276)</f>
      </c>
      <c r="DS276">
        <f>IF(ISBLANK('Data Entry'!$»$276), "", 'Data Entry'!$»$276)</f>
      </c>
      <c r="DT276">
        <f>IF(ISBLANK('Data Entry'!$¼$276), "", 'Data Entry'!$¼$276)</f>
      </c>
      <c r="DU276">
        <f>IF(ISBLANK('Data Entry'!$½$276), "", 'Data Entry'!$½$276)</f>
      </c>
      <c r="DV276">
        <f>IF(ISBLANK('Data Entry'!$¾$276), "", 'Data Entry'!$¾$276)</f>
      </c>
      <c r="DW276">
        <f>IF(ISBLANK('Data Entry'!$¿$276), "", 'Data Entry'!$¿$276)</f>
      </c>
      <c r="DX276">
        <f>IF(ISBLANK('Data Entry'!$À$276), "", 'Data Entry'!$À$276)</f>
      </c>
      <c r="DY276">
        <f>IF(ISBLANK('Data Entry'!$Á$276), "", 'Data Entry'!$Á$276)</f>
      </c>
      <c r="DZ276">
        <f>IF(ISBLANK('Data Entry'!$Â$276), "", 'Data Entry'!$Â$276)</f>
      </c>
      <c r="EA276">
        <f>IF(ISBLANK('Data Entry'!$Ã$276), "", 'Data Entry'!$Ã$276)</f>
      </c>
      <c r="EB276">
        <f>IF(ISBLANK('Data Entry'!$Ä$276), "", 'Data Entry'!$Ä$276)</f>
      </c>
      <c r="EC276">
        <f>IF(ISBLANK('Data Entry'!$Å$276), "", 'Data Entry'!$Å$276)</f>
      </c>
      <c r="ED276">
        <f>IF(ISBLANK('Data Entry'!$Æ$276), "", 'Data Entry'!$Æ$276)</f>
      </c>
      <c r="EE276">
        <f>IF(ISBLANK('Data Entry'!$Ç$276), "", 'Data Entry'!$Ç$276)</f>
      </c>
      <c r="EF276">
        <f>IF(ISBLANK('Data Entry'!$È$276), "", 'Data Entry'!$È$276)</f>
      </c>
      <c r="EG276">
        <f>IF(ISBLANK('Data Entry'!$É$276), "", 'Data Entry'!$É$276)</f>
      </c>
      <c r="EH276">
        <f>IF(ISBLANK('Data Entry'!$Ê$276), "", 'Data Entry'!$Ê$276)</f>
      </c>
      <c r="EI276">
        <f>IF(ISBLANK('Data Entry'!$Ë$276), "", 'Data Entry'!$Ë$276)</f>
      </c>
      <c r="EJ276">
        <f>IF(ISBLANK('Data Entry'!$Ì$276), "", 'Data Entry'!$Ì$276)</f>
      </c>
      <c r="EK276">
        <f>IF(ISBLANK('Data Entry'!$Í$276), "", 'Data Entry'!$Í$276)</f>
      </c>
      <c r="EL276">
        <f>IF(ISBLANK('Data Entry'!$Î$276), "", 'Data Entry'!$Î$276)</f>
      </c>
      <c r="EM276">
        <f>IF(ISBLANK('Data Entry'!$Ï$276), "", 'Data Entry'!$Ï$276)</f>
      </c>
      <c r="EN276">
        <f>IF(ISBLANK('Data Entry'!$Ð$276), "", 'Data Entry'!$Ð$276)</f>
      </c>
      <c r="EO276">
        <f>IF(ISBLANK('Data Entry'!$Ñ$276), "", 'Data Entry'!$Ñ$276)</f>
      </c>
      <c r="EP276">
        <f>IF(ISBLANK('Data Entry'!$Ò$276), "", 'Data Entry'!$Ò$276)</f>
      </c>
      <c r="EQ276">
        <f>IF(ISBLANK('Data Entry'!$Ó$276), "", 'Data Entry'!$Ó$276)</f>
      </c>
      <c r="ER276">
        <f>IF(ISBLANK('Data Entry'!$Ô$276), "", 'Data Entry'!$Ô$276)</f>
      </c>
      <c r="ES276">
        <f>IF(ISBLANK('Data Entry'!$Õ$276), "", 'Data Entry'!$Õ$276)</f>
      </c>
      <c r="ET276">
        <f>IF(ISBLANK('Data Entry'!$Ö$276), "", 'Data Entry'!$Ö$276)</f>
      </c>
      <c r="EU276">
        <f>IF(ISBLANK('Data Entry'!$×$276), "", 'Data Entry'!$×$276)</f>
      </c>
      <c r="EV276">
        <f>IF(ISBLANK('Data Entry'!$Ø$276), "", 'Data Entry'!$Ø$276)</f>
      </c>
      <c r="EW276">
        <f>IF(ISBLANK('Data Entry'!$Ù$276), "", 'Data Entry'!$Ù$276)</f>
      </c>
      <c r="EX276">
        <f>IF(ISBLANK('Data Entry'!$Ú$276), "", 'Data Entry'!$Ú$276)</f>
      </c>
      <c r="EY276">
        <f>IF(ISBLANK('Data Entry'!$Û$276), "", 'Data Entry'!$Û$276)</f>
      </c>
      <c r="EZ276">
        <f>IF(ISBLANK('Data Entry'!$Ü$276), "", 'Data Entry'!$Ü$276)</f>
      </c>
      <c r="FA276">
        <f>IF(ISBLANK('Data Entry'!$Ý$276), "", 'Data Entry'!$Ý$276)</f>
      </c>
      <c r="FB276">
        <f>IF(ISBLANK('Data Entry'!$Þ$276), "", 'Data Entry'!$Þ$276)</f>
      </c>
      <c r="FC276">
        <f>IF(ISBLANK('Data Entry'!$ß$276), "", 'Data Entry'!$ß$276)</f>
      </c>
      <c r="FD276">
        <f>IF(ISBLANK('Data Entry'!$à$276), "", 'Data Entry'!$à$276)</f>
      </c>
      <c r="FE276">
        <f>IF(ISBLANK('Data Entry'!$á$276), "", 'Data Entry'!$á$276)</f>
      </c>
      <c r="FF276">
        <f>IF(ISBLANK('Data Entry'!$â$276), "", 'Data Entry'!$â$276)</f>
      </c>
      <c r="FG276">
        <f>IF(ISBLANK('Data Entry'!$ã$276), "", 'Data Entry'!$ã$276)</f>
      </c>
      <c r="FH276">
        <f>IF(ISBLANK('Data Entry'!$ä$276), "", 'Data Entry'!$ä$276)</f>
      </c>
      <c r="FI276">
        <f>IF(ISBLANK('Data Entry'!$å$276), "", 'Data Entry'!$å$276)</f>
      </c>
      <c r="FJ276">
        <f>IF(ISBLANK('Data Entry'!$æ$276), "", 'Data Entry'!$æ$276)</f>
      </c>
      <c r="FK276">
        <f>IF(ISBLANK('Data Entry'!$ç$276), "", 'Data Entry'!$ç$276)</f>
      </c>
      <c r="FL276">
        <f>IF(ISBLANK('Data Entry'!$è$276), "", 'Data Entry'!$è$276)</f>
      </c>
      <c r="FM276">
        <f>IF(ISBLANK('Data Entry'!$é$276), "", 'Data Entry'!$é$276)</f>
      </c>
      <c r="FN276">
        <f>IF(ISBLANK('Data Entry'!$ê$276), "", 'Data Entry'!$ê$276)</f>
      </c>
      <c r="FO276">
        <f>IF(ISBLANK('Data Entry'!$ë$276), "", 'Data Entry'!$ë$276)</f>
      </c>
      <c r="FP276">
        <f>IF(ISBLANK('Data Entry'!$ì$276), "", 'Data Entry'!$ì$276)</f>
      </c>
      <c r="FQ276">
        <f>IF(ISBLANK('Data Entry'!$í$276), "", 'Data Entry'!$í$276)</f>
      </c>
      <c r="FR276">
        <f>IF(ISBLANK('Data Entry'!$î$276), "", 'Data Entry'!$î$276)</f>
      </c>
      <c r="FS276">
        <f>IF(ISBLANK('Data Entry'!$ï$276), "", 'Data Entry'!$ï$276)</f>
      </c>
      <c r="FT276">
        <f>IF(ISBLANK('Data Entry'!$ð$276), "", 'Data Entry'!$ð$276)</f>
      </c>
      <c r="FU276">
        <f>IF(ISBLANK('Data Entry'!$ñ$276), "", 'Data Entry'!$ñ$276)</f>
      </c>
      <c r="FV276">
        <f>IF(ISBLANK('Data Entry'!$ò$276), "", 'Data Entry'!$ò$276)</f>
      </c>
      <c r="FW276">
        <f>IF(ISBLANK('Data Entry'!$ó$276), "", 'Data Entry'!$ó$276)</f>
      </c>
      <c r="FX276">
        <f>IF(ISBLANK('Data Entry'!$ô$276), "", 'Data Entry'!$ô$276)</f>
      </c>
      <c r="FY276">
        <f>IF(ISBLANK('Data Entry'!$õ$276), "", 'Data Entry'!$õ$276)</f>
      </c>
      <c r="FZ276">
        <f>IF(ISBLANK('Data Entry'!$ö$276), "", 'Data Entry'!$ö$276)</f>
      </c>
      <c r="GA276">
        <f>IF(ISBLANK('Data Entry'!$÷$276), "", 'Data Entry'!$÷$276)</f>
      </c>
      <c r="GB276">
        <f>IF(ISBLANK('Data Entry'!$ø$276), "", 'Data Entry'!$ø$276)</f>
      </c>
      <c r="GC276">
        <f>IF(ISBLANK('Data Entry'!$ù$276), "", 'Data Entry'!$ù$276)</f>
      </c>
      <c r="GD276">
        <f>IF(ISBLANK('Data Entry'!$ú$276), "", 'Data Entry'!$ú$276)</f>
      </c>
      <c r="GE276">
        <f>IF(ISBLANK('Data Entry'!$û$276), "", 'Data Entry'!$û$276)</f>
      </c>
      <c r="GF276">
        <f>IF(ISBLANK('Data Entry'!$ü$276), "", 'Data Entry'!$ü$276)</f>
      </c>
      <c r="GG276">
        <f>IF(ISBLANK('Data Entry'!$ý$276), "", 'Data Entry'!$ý$276)</f>
      </c>
      <c r="GH276">
        <f>IF(ISBLANK('Data Entry'!$þ$276), "", 'Data Entry'!$þ$276)</f>
      </c>
      <c r="GI276">
        <f>IF(ISBLANK('Data Entry'!$ÿ$276), "", 'Data Entry'!$ÿ$276)</f>
      </c>
      <c r="GJ276">
        <f>IF(ISBLANK('Data Entry'!$Ā$276), "", 'Data Entry'!$Ā$276)</f>
      </c>
      <c r="GK276">
        <f>IF(ISBLANK('Data Entry'!$ā$276), "", 'Data Entry'!$ā$276)</f>
      </c>
      <c r="GL276">
        <f>IF(ISBLANK('Data Entry'!$Ă$276), "", 'Data Entry'!$Ă$276)</f>
      </c>
      <c r="GM276">
        <f>IF(ISBLANK('Data Entry'!$ă$276), "", 'Data Entry'!$ă$276)</f>
      </c>
      <c r="GN276">
        <f>IF(ISBLANK('Data Entry'!$Ą$276), "", 'Data Entry'!$Ą$276)</f>
      </c>
      <c r="GO276">
        <f>IF(ISBLANK('Data Entry'!$ą$276), "", 'Data Entry'!$ą$276)</f>
      </c>
      <c r="GP276">
        <f>IF(ISBLANK('Data Entry'!$Ć$276), "", 'Data Entry'!$Ć$276)</f>
      </c>
      <c r="GQ276">
        <f>IF(ISBLANK('Data Entry'!$ć$276), "", 'Data Entry'!$ć$276)</f>
      </c>
      <c r="GR276">
        <f>IF(ISBLANK('Data Entry'!$Ĉ$276), "", 'Data Entry'!$Ĉ$276)</f>
      </c>
      <c r="GS276">
        <f>IF(ISBLANK('Data Entry'!$ĉ$276), "", 'Data Entry'!$ĉ$276)</f>
      </c>
      <c r="GT276">
        <f>IF(ISBLANK('Data Entry'!$Ċ$276), "", 'Data Entry'!$Ċ$276)</f>
      </c>
      <c r="GU276">
        <f>IF(ISBLANK('Data Entry'!$ċ$276), "", 'Data Entry'!$ċ$276)</f>
      </c>
      <c r="GV276">
        <f>IF(ISBLANK('Data Entry'!$Č$276), "", 'Data Entry'!$Č$276)</f>
      </c>
      <c r="GW276">
        <f>IF(ISBLANK('Data Entry'!$č$276), "", 'Data Entry'!$č$276)</f>
      </c>
      <c r="GX276">
        <f>IF(ISBLANK('Data Entry'!$Ď$276), "", 'Data Entry'!$Ď$276)</f>
      </c>
      <c r="GY276">
        <f>IF(ISBLANK('Data Entry'!$ď$276), "", 'Data Entry'!$ď$276)</f>
      </c>
      <c r="GZ276">
        <f>IF(ISBLANK('Data Entry'!$Đ$276), "", 'Data Entry'!$Đ$276)</f>
      </c>
      <c r="HA276">
        <f>IF(ISBLANK('Data Entry'!$đ$276), "", 'Data Entry'!$đ$276)</f>
      </c>
      <c r="HB276">
        <f>IF(ISBLANK('Data Entry'!$Ē$276), "", 'Data Entry'!$Ē$276)</f>
      </c>
      <c r="HC276">
        <f>IF(ISBLANK('Data Entry'!$ē$276), "", 'Data Entry'!$ē$276)</f>
      </c>
      <c r="HD276">
        <f>IF(ISBLANK('Data Entry'!$Ĕ$276), "", 'Data Entry'!$Ĕ$276)</f>
      </c>
      <c r="HE276">
        <f>IF(ISBLANK('Data Entry'!$ĕ$276), "", 'Data Entry'!$ĕ$276)</f>
      </c>
      <c r="HF276">
        <f>IF(ISBLANK('Data Entry'!$Ė$276), "", 'Data Entry'!$Ė$276)</f>
      </c>
      <c r="HG276">
        <f>IF(ISBLANK('Data Entry'!$ė$276), "", 'Data Entry'!$ė$276)</f>
      </c>
      <c r="HH276">
        <f>IF(ISBLANK('Data Entry'!$Ę$276), "", 'Data Entry'!$Ę$276)</f>
      </c>
      <c r="HI276">
        <f>IF(ISBLANK('Data Entry'!$ę$276), "", 'Data Entry'!$ę$276)</f>
      </c>
      <c r="HJ276">
        <f>IF(ISBLANK('Data Entry'!$Ě$276), "", 'Data Entry'!$Ě$276)</f>
      </c>
      <c r="HK276">
        <f>IF(ISBLANK('Data Entry'!$ě$276), "", 'Data Entry'!$ě$276)</f>
      </c>
      <c r="HL276">
        <f>IF(ISBLANK('Data Entry'!$Ĝ$276), "", 'Data Entry'!$Ĝ$276)</f>
      </c>
      <c r="HM276">
        <f>IF(ISBLANK('Data Entry'!$ĝ$276), "", 'Data Entry'!$ĝ$276)</f>
      </c>
      <c r="HN276">
        <f>IF(ISBLANK('Data Entry'!$Ğ$276), "", 'Data Entry'!$Ğ$276)</f>
      </c>
      <c r="HO276">
        <f>IF(ISBLANK('Data Entry'!$ğ$276), "", 'Data Entry'!$ğ$276)</f>
      </c>
      <c r="HP276">
        <f>IF(ISBLANK('Data Entry'!$Ġ$276), "", 'Data Entry'!$Ġ$276)</f>
      </c>
      <c r="HQ276">
        <f>IF(ISBLANK('Data Entry'!$ġ$276), "", 'Data Entry'!$ġ$276)</f>
      </c>
      <c r="HR276">
        <f>IF(ISBLANK('Data Entry'!$Ģ$276), "", 'Data Entry'!$Ģ$276)</f>
      </c>
      <c r="HS276">
        <f>IF(ISBLANK('Data Entry'!$ģ$276), "", 'Data Entry'!$ģ$276)</f>
      </c>
      <c r="HT276">
        <f>IF(ISBLANK('Data Entry'!$Ĥ$276), "", 'Data Entry'!$Ĥ$276)</f>
      </c>
      <c r="HU276">
        <f>IF(ISBLANK('Data Entry'!$ĥ$276), "", 'Data Entry'!$ĥ$276)</f>
      </c>
      <c r="HV276">
        <f>IF(ISBLANK('Data Entry'!$Ħ$276), "", 'Data Entry'!$Ħ$276)</f>
      </c>
      <c r="HW276">
        <f>IF(ISBLANK('Data Entry'!$ħ$276), "", 'Data Entry'!$ħ$276)</f>
      </c>
      <c r="HX276">
        <f>IF(ISBLANK('Data Entry'!$Ĩ$276), "", 'Data Entry'!$Ĩ$276)</f>
      </c>
      <c r="HY276">
        <f>IF(ISBLANK('Data Entry'!$ĩ$276), "", 'Data Entry'!$ĩ$276)</f>
      </c>
      <c r="HZ276">
        <f>IF(ISBLANK('Data Entry'!$Ī$276), "", 'Data Entry'!$Ī$276)</f>
      </c>
      <c r="IA276">
        <f>IF(ISBLANK('Data Entry'!$ī$276), "", 'Data Entry'!$ī$276)</f>
      </c>
      <c r="IB276">
        <f>IF(ISBLANK('Data Entry'!$Ĭ$276), "", 'Data Entry'!$Ĭ$276)</f>
      </c>
      <c r="IC276">
        <f>IF(ISBLANK('Data Entry'!$ĭ$276), "", 'Data Entry'!$ĭ$276)</f>
      </c>
      <c r="ID276">
        <f>IF(ISBLANK('Data Entry'!$Į$276), "", 'Data Entry'!$Į$276)</f>
      </c>
      <c r="IE276">
        <f>IF(ISBLANK('Data Entry'!$į$276), "", 'Data Entry'!$į$276)</f>
      </c>
      <c r="IF276">
        <f>IF(ISBLANK('Data Entry'!$İ$276), "", 'Data Entry'!$İ$276)</f>
      </c>
      <c r="IG276">
        <f>IF(ISBLANK('Data Entry'!$ı$276), "", 'Data Entry'!$ı$276)</f>
      </c>
      <c r="IH276">
        <f>IF(ISBLANK('Data Entry'!$Ĳ$276), "", 'Data Entry'!$Ĳ$276)</f>
      </c>
      <c r="II276">
        <f>IF(ISBLANK('Data Entry'!$ĳ$276), "", 'Data Entry'!$ĳ$276)</f>
      </c>
      <c r="IJ276">
        <f>IF(ISBLANK('Data Entry'!$Ĵ$276), "", 'Data Entry'!$Ĵ$276)</f>
      </c>
      <c r="IK276">
        <f>IF(ISBLANK('Data Entry'!$ĵ$276), "", 'Data Entry'!$ĵ$276)</f>
      </c>
      <c r="IL276">
        <f>IF(ISBLANK('Data Entry'!$Ķ$276), "", 'Data Entry'!$Ķ$276)</f>
      </c>
      <c r="IM276">
        <f>IF(ISBLANK('Data Entry'!$ķ$276), "", 'Data Entry'!$ķ$276)</f>
      </c>
      <c r="IN276">
        <f>IF(ISBLANK('Data Entry'!$ĸ$276), "", 'Data Entry'!$ĸ$276)</f>
      </c>
      <c r="IO276">
        <f>IF(ISBLANK('Data Entry'!$Ĺ$276), "", 'Data Entry'!$Ĺ$276)</f>
      </c>
      <c r="IP276">
        <f>IF(ISBLANK('Data Entry'!$ĺ$276), "", 'Data Entry'!$ĺ$276)</f>
      </c>
      <c r="IQ276">
        <f>IF(ISBLANK('Data Entry'!$Ļ$276), "", 'Data Entry'!$Ļ$276)</f>
      </c>
      <c r="IR276">
        <f>IF(ISBLANK('Data Entry'!$ļ$276), "", 'Data Entry'!$ļ$276)</f>
      </c>
      <c r="IS276">
        <f>IF(ISBLANK('Data Entry'!$Ľ$276), "", 'Data Entry'!$Ľ$276)</f>
      </c>
      <c r="IT276">
        <f>IF(ISBLANK('Data Entry'!$ľ$276), "", 'Data Entry'!$ľ$276)</f>
      </c>
    </row>
    <row r="277" spans="1:254" x14ac:dyDescent="0.25">
      <c r="A277">
        <f>IF(ISBLANK('Data Entry'!$A$277), "", 'Data Entry'!$A$277)</f>
      </c>
      <c r="B277">
        <f>IF(ISBLANK('Data Entry'!$B$277), "", 'Data Entry'!$B$277)</f>
      </c>
      <c r="C277">
        <f>IF(ISBLANK('Data Entry'!$C$277), "", 'Data Entry'!$C$277)</f>
      </c>
      <c r="D277">
        <f>IF(ISBLANK('Data Entry'!$D$277), "", 'Data Entry'!$D$277)</f>
      </c>
      <c r="E277">
        <f>IF(ISBLANK('Data Entry'!$E$277), "", 'Data Entry'!$E$277)</f>
      </c>
      <c r="F277">
        <f>IF(ISBLANK('Data Entry'!$F$277), "", 'Data Entry'!$F$277)</f>
      </c>
      <c r="G277">
        <f>IF(ISBLANK('Data Entry'!$G$277), "", 'Data Entry'!$G$277)</f>
      </c>
      <c r="H277">
        <f>IF(ISBLANK('Data Entry'!$H$277), "", 'Data Entry'!$H$277)</f>
      </c>
      <c r="I277">
        <f>IF(ISBLANK('Data Entry'!$I$277), "", 'Data Entry'!$I$277)</f>
      </c>
      <c r="J277">
        <f>IF(ISBLANK('Data Entry'!$J$277), "", 'Data Entry'!$J$277)</f>
      </c>
      <c r="K277">
        <f>IF(ISBLANK('Data Entry'!$K$277), "", 'Data Entry'!$K$277)</f>
      </c>
      <c r="L277">
        <f>IF(ISBLANK('Data Entry'!$L$277), "", 'Data Entry'!$L$277)</f>
      </c>
      <c r="M277">
        <f>IF(ISBLANK('Data Entry'!$M$277), "", 'Data Entry'!$M$277)</f>
      </c>
      <c r="N277">
        <f>IF(ISBLANK('Data Entry'!$N$277), "", 'Data Entry'!$N$277)</f>
      </c>
      <c r="O277">
        <f>IF(ISBLANK('Data Entry'!$O$277), "", 'Data Entry'!$O$277)</f>
      </c>
      <c r="P277">
        <f>IF(ISBLANK('Data Entry'!$P$277), "", 'Data Entry'!$P$277)</f>
      </c>
      <c r="Q277">
        <f>IF(ISBLANK('Data Entry'!$Q$277), "", 'Data Entry'!$Q$277)</f>
      </c>
      <c r="R277">
        <f>IF(ISBLANK('Data Entry'!$R$277), "", 'Data Entry'!$R$277)</f>
      </c>
      <c r="S277">
        <f>IF(ISBLANK('Data Entry'!$S$277), "", 'Data Entry'!$S$277)</f>
      </c>
      <c r="T277">
        <f>IF(ISBLANK('Data Entry'!$T$277), "", 'Data Entry'!$T$277)</f>
      </c>
      <c r="U277">
        <f>IF(ISBLANK('Data Entry'!$U$277), "", 'Data Entry'!$U$277)</f>
      </c>
      <c r="V277">
        <f>IF(ISBLANK('Data Entry'!$V$277), "", 'Data Entry'!$V$277)</f>
      </c>
      <c r="W277">
        <f>IF(ISBLANK('Data Entry'!$W$277), "", 'Data Entry'!$W$277)</f>
      </c>
      <c r="X277">
        <f>IF(ISBLANK('Data Entry'!$X$277), "", 'Data Entry'!$X$277)</f>
      </c>
      <c r="Y277">
        <f>IF(ISBLANK('Data Entry'!$Y$277), "", 'Data Entry'!$Y$277)</f>
      </c>
      <c r="Z277">
        <f>IF(ISBLANK('Data Entry'!$Z$277), "", 'Data Entry'!$Z$277)</f>
      </c>
      <c r="AA277">
        <f>IF(ISBLANK('Data Entry'!$[$277), "", 'Data Entry'!$[$277)</f>
      </c>
      <c r="AB277">
        <f>IF(ISBLANK('Data Entry'!$\$277), "", 'Data Entry'!$\$277)</f>
      </c>
      <c r="AC277">
        <f>IF(ISBLANK('Data Entry'!$]$277), "", 'Data Entry'!$]$277)</f>
      </c>
      <c r="AD277">
        <f>IF(ISBLANK('Data Entry'!$^$277), "", 'Data Entry'!$^$277)</f>
      </c>
      <c r="AE277">
        <f>IF(ISBLANK('Data Entry'!$_$277), "", 'Data Entry'!$_$277)</f>
      </c>
      <c r="AF277">
        <f>IF(ISBLANK('Data Entry'!$`$277), "", 'Data Entry'!$`$277)</f>
      </c>
      <c r="AG277">
        <f>IF(ISBLANK('Data Entry'!$a$277), "", 'Data Entry'!$a$277)</f>
      </c>
      <c r="AH277">
        <f>IF(ISBLANK('Data Entry'!$b$277), "", 'Data Entry'!$b$277)</f>
      </c>
      <c r="AI277">
        <f>IF(ISBLANK('Data Entry'!$c$277), "", 'Data Entry'!$c$277)</f>
      </c>
      <c r="AJ277">
        <f>IF(ISBLANK('Data Entry'!$d$277), "", 'Data Entry'!$d$277)</f>
      </c>
      <c r="AK277">
        <f>IF(ISBLANK('Data Entry'!$e$277), "", 'Data Entry'!$e$277)</f>
      </c>
      <c r="AL277">
        <f>IF(ISBLANK('Data Entry'!$f$277), "", 'Data Entry'!$f$277)</f>
      </c>
      <c r="AM277">
        <f>IF(ISBLANK('Data Entry'!$g$277), "", 'Data Entry'!$g$277)</f>
      </c>
      <c r="AN277">
        <f>IF(ISBLANK('Data Entry'!$h$277), "", 'Data Entry'!$h$277)</f>
      </c>
      <c r="AO277">
        <f>IF(ISBLANK('Data Entry'!$i$277), "", 'Data Entry'!$i$277)</f>
      </c>
      <c r="AP277">
        <f>IF(ISBLANK('Data Entry'!$j$277), "", 'Data Entry'!$j$277)</f>
      </c>
      <c r="AQ277">
        <f>IF(ISBLANK('Data Entry'!$k$277), "", 'Data Entry'!$k$277)</f>
      </c>
      <c r="AR277">
        <f>IF(ISBLANK('Data Entry'!$l$277), "", 'Data Entry'!$l$277)</f>
      </c>
      <c r="AS277">
        <f>IF(ISBLANK('Data Entry'!$m$277), "", 'Data Entry'!$m$277)</f>
      </c>
      <c r="AT277">
        <f>IF(ISBLANK('Data Entry'!$n$277), "", 'Data Entry'!$n$277)</f>
      </c>
      <c r="AU277">
        <f>IF(ISBLANK('Data Entry'!$o$277), "", 'Data Entry'!$o$277)</f>
      </c>
      <c r="AV277">
        <f>IF(ISBLANK('Data Entry'!$p$277), "", 'Data Entry'!$p$277)</f>
      </c>
      <c r="AW277">
        <f>IF(ISBLANK('Data Entry'!$q$277), "", 'Data Entry'!$q$277)</f>
      </c>
      <c r="AX277">
        <f>IF(ISBLANK('Data Entry'!$r$277), "", 'Data Entry'!$r$277)</f>
      </c>
      <c r="AY277">
        <f>IF(ISBLANK('Data Entry'!$s$277), "", 'Data Entry'!$s$277)</f>
      </c>
      <c r="AZ277">
        <f>IF(ISBLANK('Data Entry'!$t$277), "", 'Data Entry'!$t$277)</f>
      </c>
      <c r="BA277">
        <f>IF(ISBLANK('Data Entry'!$u$277), "", 'Data Entry'!$u$277)</f>
      </c>
      <c r="BB277">
        <f>IF(ISBLANK('Data Entry'!$v$277), "", 'Data Entry'!$v$277)</f>
      </c>
      <c r="BC277">
        <f>IF(ISBLANK('Data Entry'!$w$277), "", 'Data Entry'!$w$277)</f>
      </c>
      <c r="BD277">
        <f>IF(ISBLANK('Data Entry'!$x$277), "", 'Data Entry'!$x$277)</f>
      </c>
      <c r="BE277">
        <f>IF(ISBLANK('Data Entry'!$y$277), "", 'Data Entry'!$y$277)</f>
      </c>
      <c r="BF277">
        <f>IF(ISBLANK('Data Entry'!$z$277), "", 'Data Entry'!$z$277)</f>
      </c>
      <c r="BG277">
        <f>IF(ISBLANK('Data Entry'!${$277), "", 'Data Entry'!${$277)</f>
      </c>
      <c r="BH277">
        <f>IF(ISBLANK('Data Entry'!$|$277), "", 'Data Entry'!$|$277)</f>
      </c>
      <c r="BI277">
        <f>IF(ISBLANK('Data Entry'!$}$277), "", 'Data Entry'!$}$277)</f>
      </c>
      <c r="BJ277">
        <f>IF(ISBLANK('Data Entry'!$~$277), "", 'Data Entry'!$~$277)</f>
      </c>
      <c r="BK277">
        <f>IF(ISBLANK('Data Entry'!$$277), "", 'Data Entry'!$$277)</f>
      </c>
      <c r="BL277">
        <f>IF(ISBLANK('Data Entry'!$$277), "", 'Data Entry'!$$277)</f>
      </c>
      <c r="BM277">
        <f>IF(ISBLANK('Data Entry'!$$277), "", 'Data Entry'!$$277)</f>
      </c>
      <c r="BN277">
        <f>IF(ISBLANK('Data Entry'!$$277), "", 'Data Entry'!$$277)</f>
      </c>
      <c r="BO277">
        <f>IF(ISBLANK('Data Entry'!$$277), "", 'Data Entry'!$$277)</f>
      </c>
      <c r="BP277">
        <f>IF(ISBLANK('Data Entry'!$$277), "", 'Data Entry'!$$277)</f>
      </c>
      <c r="BQ277">
        <f>IF(ISBLANK('Data Entry'!$$277), "", 'Data Entry'!$$277)</f>
      </c>
      <c r="BR277">
        <f>IF(ISBLANK('Data Entry'!$$277), "", 'Data Entry'!$$277)</f>
      </c>
      <c r="BS277">
        <f>IF(ISBLANK('Data Entry'!$$277), "", 'Data Entry'!$$277)</f>
      </c>
      <c r="BT277">
        <f>IF(ISBLANK('Data Entry'!$$277), "", 'Data Entry'!$$277)</f>
      </c>
      <c r="BU277">
        <f>IF(ISBLANK('Data Entry'!$$277), "", 'Data Entry'!$$277)</f>
      </c>
      <c r="BV277">
        <f>IF(ISBLANK('Data Entry'!$$277), "", 'Data Entry'!$$277)</f>
      </c>
      <c r="BW277">
        <f>IF(ISBLANK('Data Entry'!$$277), "", 'Data Entry'!$$277)</f>
      </c>
      <c r="BX277">
        <f>IF(ISBLANK('Data Entry'!$$277), "", 'Data Entry'!$$277)</f>
      </c>
      <c r="BY277">
        <f>IF(ISBLANK('Data Entry'!$$277), "", 'Data Entry'!$$277)</f>
      </c>
      <c r="BZ277">
        <f>IF(ISBLANK('Data Entry'!$$277), "", 'Data Entry'!$$277)</f>
      </c>
      <c r="CA277">
        <f>IF(ISBLANK('Data Entry'!$$277), "", 'Data Entry'!$$277)</f>
      </c>
      <c r="CB277">
        <f>IF(ISBLANK('Data Entry'!$$277), "", 'Data Entry'!$$277)</f>
      </c>
      <c r="CC277">
        <f>IF(ISBLANK('Data Entry'!$$277), "", 'Data Entry'!$$277)</f>
      </c>
      <c r="CD277">
        <f>IF(ISBLANK('Data Entry'!$$277), "", 'Data Entry'!$$277)</f>
      </c>
      <c r="CE277">
        <f>IF(ISBLANK('Data Entry'!$$277), "", 'Data Entry'!$$277)</f>
      </c>
      <c r="CF277">
        <f>IF(ISBLANK('Data Entry'!$$277), "", 'Data Entry'!$$277)</f>
      </c>
      <c r="CG277">
        <f>IF(ISBLANK('Data Entry'!$$277), "", 'Data Entry'!$$277)</f>
      </c>
      <c r="CH277">
        <f>IF(ISBLANK('Data Entry'!$$277), "", 'Data Entry'!$$277)</f>
      </c>
      <c r="CI277">
        <f>IF(ISBLANK('Data Entry'!$$277), "", 'Data Entry'!$$277)</f>
      </c>
      <c r="CJ277">
        <f>IF(ISBLANK('Data Entry'!$$277), "", 'Data Entry'!$$277)</f>
      </c>
      <c r="CK277">
        <f>IF(ISBLANK('Data Entry'!$$277), "", 'Data Entry'!$$277)</f>
      </c>
      <c r="CL277">
        <f>IF(ISBLANK('Data Entry'!$$277), "", 'Data Entry'!$$277)</f>
      </c>
      <c r="CM277">
        <f>IF(ISBLANK('Data Entry'!$$277), "", 'Data Entry'!$$277)</f>
      </c>
      <c r="CN277">
        <f>IF(ISBLANK('Data Entry'!$$277), "", 'Data Entry'!$$277)</f>
      </c>
      <c r="CO277">
        <f>IF(ISBLANK('Data Entry'!$$277), "", 'Data Entry'!$$277)</f>
      </c>
      <c r="CP277">
        <f>IF(ISBLANK('Data Entry'!$$277), "", 'Data Entry'!$$277)</f>
      </c>
      <c r="CQ277">
        <f>IF(ISBLANK('Data Entry'!$$277), "", 'Data Entry'!$$277)</f>
      </c>
      <c r="CR277">
        <f>IF(ISBLANK('Data Entry'!$ $277), "", 'Data Entry'!$ $277)</f>
      </c>
      <c r="CS277">
        <f>IF(ISBLANK('Data Entry'!$¡$277), "", 'Data Entry'!$¡$277)</f>
      </c>
      <c r="CT277">
        <f>IF(ISBLANK('Data Entry'!$¢$277), "", 'Data Entry'!$¢$277)</f>
      </c>
      <c r="CU277">
        <f>IF(ISBLANK('Data Entry'!$£$277), "", 'Data Entry'!$£$277)</f>
      </c>
      <c r="CV277">
        <f>IF(ISBLANK('Data Entry'!$¤$277), "", 'Data Entry'!$¤$277)</f>
      </c>
      <c r="CW277">
        <f>IF(ISBLANK('Data Entry'!$¥$277), "", 'Data Entry'!$¥$277)</f>
      </c>
      <c r="CX277">
        <f>IF(ISBLANK('Data Entry'!$¦$277), "", 'Data Entry'!$¦$277)</f>
      </c>
      <c r="CY277">
        <f>IF(ISBLANK('Data Entry'!$§$277), "", 'Data Entry'!$§$277)</f>
      </c>
      <c r="CZ277">
        <f>IF(ISBLANK('Data Entry'!$¨$277), "", 'Data Entry'!$¨$277)</f>
      </c>
      <c r="DA277">
        <f>IF(ISBLANK('Data Entry'!$©$277), "", 'Data Entry'!$©$277)</f>
      </c>
      <c r="DB277">
        <f>IF(ISBLANK('Data Entry'!$ª$277), "", 'Data Entry'!$ª$277)</f>
      </c>
      <c r="DC277">
        <f>IF(ISBLANK('Data Entry'!$«$277), "", 'Data Entry'!$«$277)</f>
      </c>
      <c r="DD277">
        <f>IF(ISBLANK('Data Entry'!$¬$277), "", 'Data Entry'!$¬$277)</f>
      </c>
      <c r="DE277">
        <f>IF(ISBLANK('Data Entry'!$­$277), "", 'Data Entry'!$­$277)</f>
      </c>
      <c r="DF277">
        <f>IF(ISBLANK('Data Entry'!$®$277), "", 'Data Entry'!$®$277)</f>
      </c>
      <c r="DG277">
        <f>IF(ISBLANK('Data Entry'!$¯$277), "", 'Data Entry'!$¯$277)</f>
      </c>
      <c r="DH277">
        <f>IF(ISBLANK('Data Entry'!$°$277), "", 'Data Entry'!$°$277)</f>
      </c>
      <c r="DI277">
        <f>IF(ISBLANK('Data Entry'!$±$277), "", 'Data Entry'!$±$277)</f>
      </c>
      <c r="DJ277">
        <f>IF(ISBLANK('Data Entry'!$²$277), "", 'Data Entry'!$²$277)</f>
      </c>
      <c r="DK277">
        <f>IF(ISBLANK('Data Entry'!$³$277), "", 'Data Entry'!$³$277)</f>
      </c>
      <c r="DL277">
        <f>IF(ISBLANK('Data Entry'!$´$277), "", 'Data Entry'!$´$277)</f>
      </c>
      <c r="DM277">
        <f>IF(ISBLANK('Data Entry'!$µ$277), "", 'Data Entry'!$µ$277)</f>
      </c>
      <c r="DN277">
        <f>IF(ISBLANK('Data Entry'!$¶$277), "", 'Data Entry'!$¶$277)</f>
      </c>
      <c r="DO277">
        <f>IF(ISBLANK('Data Entry'!$·$277), "", 'Data Entry'!$·$277)</f>
      </c>
      <c r="DP277">
        <f>IF(ISBLANK('Data Entry'!$¸$277), "", 'Data Entry'!$¸$277)</f>
      </c>
      <c r="DQ277">
        <f>IF(ISBLANK('Data Entry'!$¹$277), "", 'Data Entry'!$¹$277)</f>
      </c>
      <c r="DR277">
        <f>IF(ISBLANK('Data Entry'!$º$277), "", 'Data Entry'!$º$277)</f>
      </c>
      <c r="DS277">
        <f>IF(ISBLANK('Data Entry'!$»$277), "", 'Data Entry'!$»$277)</f>
      </c>
      <c r="DT277">
        <f>IF(ISBLANK('Data Entry'!$¼$277), "", 'Data Entry'!$¼$277)</f>
      </c>
      <c r="DU277">
        <f>IF(ISBLANK('Data Entry'!$½$277), "", 'Data Entry'!$½$277)</f>
      </c>
      <c r="DV277">
        <f>IF(ISBLANK('Data Entry'!$¾$277), "", 'Data Entry'!$¾$277)</f>
      </c>
      <c r="DW277">
        <f>IF(ISBLANK('Data Entry'!$¿$277), "", 'Data Entry'!$¿$277)</f>
      </c>
      <c r="DX277">
        <f>IF(ISBLANK('Data Entry'!$À$277), "", 'Data Entry'!$À$277)</f>
      </c>
      <c r="DY277">
        <f>IF(ISBLANK('Data Entry'!$Á$277), "", 'Data Entry'!$Á$277)</f>
      </c>
      <c r="DZ277">
        <f>IF(ISBLANK('Data Entry'!$Â$277), "", 'Data Entry'!$Â$277)</f>
      </c>
      <c r="EA277">
        <f>IF(ISBLANK('Data Entry'!$Ã$277), "", 'Data Entry'!$Ã$277)</f>
      </c>
      <c r="EB277">
        <f>IF(ISBLANK('Data Entry'!$Ä$277), "", 'Data Entry'!$Ä$277)</f>
      </c>
      <c r="EC277">
        <f>IF(ISBLANK('Data Entry'!$Å$277), "", 'Data Entry'!$Å$277)</f>
      </c>
      <c r="ED277">
        <f>IF(ISBLANK('Data Entry'!$Æ$277), "", 'Data Entry'!$Æ$277)</f>
      </c>
      <c r="EE277">
        <f>IF(ISBLANK('Data Entry'!$Ç$277), "", 'Data Entry'!$Ç$277)</f>
      </c>
      <c r="EF277">
        <f>IF(ISBLANK('Data Entry'!$È$277), "", 'Data Entry'!$È$277)</f>
      </c>
      <c r="EG277">
        <f>IF(ISBLANK('Data Entry'!$É$277), "", 'Data Entry'!$É$277)</f>
      </c>
      <c r="EH277">
        <f>IF(ISBLANK('Data Entry'!$Ê$277), "", 'Data Entry'!$Ê$277)</f>
      </c>
      <c r="EI277">
        <f>IF(ISBLANK('Data Entry'!$Ë$277), "", 'Data Entry'!$Ë$277)</f>
      </c>
      <c r="EJ277">
        <f>IF(ISBLANK('Data Entry'!$Ì$277), "", 'Data Entry'!$Ì$277)</f>
      </c>
      <c r="EK277">
        <f>IF(ISBLANK('Data Entry'!$Í$277), "", 'Data Entry'!$Í$277)</f>
      </c>
      <c r="EL277">
        <f>IF(ISBLANK('Data Entry'!$Î$277), "", 'Data Entry'!$Î$277)</f>
      </c>
      <c r="EM277">
        <f>IF(ISBLANK('Data Entry'!$Ï$277), "", 'Data Entry'!$Ï$277)</f>
      </c>
      <c r="EN277">
        <f>IF(ISBLANK('Data Entry'!$Ð$277), "", 'Data Entry'!$Ð$277)</f>
      </c>
      <c r="EO277">
        <f>IF(ISBLANK('Data Entry'!$Ñ$277), "", 'Data Entry'!$Ñ$277)</f>
      </c>
      <c r="EP277">
        <f>IF(ISBLANK('Data Entry'!$Ò$277), "", 'Data Entry'!$Ò$277)</f>
      </c>
      <c r="EQ277">
        <f>IF(ISBLANK('Data Entry'!$Ó$277), "", 'Data Entry'!$Ó$277)</f>
      </c>
      <c r="ER277">
        <f>IF(ISBLANK('Data Entry'!$Ô$277), "", 'Data Entry'!$Ô$277)</f>
      </c>
      <c r="ES277">
        <f>IF(ISBLANK('Data Entry'!$Õ$277), "", 'Data Entry'!$Õ$277)</f>
      </c>
      <c r="ET277">
        <f>IF(ISBLANK('Data Entry'!$Ö$277), "", 'Data Entry'!$Ö$277)</f>
      </c>
      <c r="EU277">
        <f>IF(ISBLANK('Data Entry'!$×$277), "", 'Data Entry'!$×$277)</f>
      </c>
      <c r="EV277">
        <f>IF(ISBLANK('Data Entry'!$Ø$277), "", 'Data Entry'!$Ø$277)</f>
      </c>
      <c r="EW277">
        <f>IF(ISBLANK('Data Entry'!$Ù$277), "", 'Data Entry'!$Ù$277)</f>
      </c>
      <c r="EX277">
        <f>IF(ISBLANK('Data Entry'!$Ú$277), "", 'Data Entry'!$Ú$277)</f>
      </c>
      <c r="EY277">
        <f>IF(ISBLANK('Data Entry'!$Û$277), "", 'Data Entry'!$Û$277)</f>
      </c>
      <c r="EZ277">
        <f>IF(ISBLANK('Data Entry'!$Ü$277), "", 'Data Entry'!$Ü$277)</f>
      </c>
      <c r="FA277">
        <f>IF(ISBLANK('Data Entry'!$Ý$277), "", 'Data Entry'!$Ý$277)</f>
      </c>
      <c r="FB277">
        <f>IF(ISBLANK('Data Entry'!$Þ$277), "", 'Data Entry'!$Þ$277)</f>
      </c>
      <c r="FC277">
        <f>IF(ISBLANK('Data Entry'!$ß$277), "", 'Data Entry'!$ß$277)</f>
      </c>
      <c r="FD277">
        <f>IF(ISBLANK('Data Entry'!$à$277), "", 'Data Entry'!$à$277)</f>
      </c>
      <c r="FE277">
        <f>IF(ISBLANK('Data Entry'!$á$277), "", 'Data Entry'!$á$277)</f>
      </c>
      <c r="FF277">
        <f>IF(ISBLANK('Data Entry'!$â$277), "", 'Data Entry'!$â$277)</f>
      </c>
      <c r="FG277">
        <f>IF(ISBLANK('Data Entry'!$ã$277), "", 'Data Entry'!$ã$277)</f>
      </c>
      <c r="FH277">
        <f>IF(ISBLANK('Data Entry'!$ä$277), "", 'Data Entry'!$ä$277)</f>
      </c>
      <c r="FI277">
        <f>IF(ISBLANK('Data Entry'!$å$277), "", 'Data Entry'!$å$277)</f>
      </c>
      <c r="FJ277">
        <f>IF(ISBLANK('Data Entry'!$æ$277), "", 'Data Entry'!$æ$277)</f>
      </c>
      <c r="FK277">
        <f>IF(ISBLANK('Data Entry'!$ç$277), "", 'Data Entry'!$ç$277)</f>
      </c>
      <c r="FL277">
        <f>IF(ISBLANK('Data Entry'!$è$277), "", 'Data Entry'!$è$277)</f>
      </c>
      <c r="FM277">
        <f>IF(ISBLANK('Data Entry'!$é$277), "", 'Data Entry'!$é$277)</f>
      </c>
      <c r="FN277">
        <f>IF(ISBLANK('Data Entry'!$ê$277), "", 'Data Entry'!$ê$277)</f>
      </c>
      <c r="FO277">
        <f>IF(ISBLANK('Data Entry'!$ë$277), "", 'Data Entry'!$ë$277)</f>
      </c>
      <c r="FP277">
        <f>IF(ISBLANK('Data Entry'!$ì$277), "", 'Data Entry'!$ì$277)</f>
      </c>
      <c r="FQ277">
        <f>IF(ISBLANK('Data Entry'!$í$277), "", 'Data Entry'!$í$277)</f>
      </c>
      <c r="FR277">
        <f>IF(ISBLANK('Data Entry'!$î$277), "", 'Data Entry'!$î$277)</f>
      </c>
      <c r="FS277">
        <f>IF(ISBLANK('Data Entry'!$ï$277), "", 'Data Entry'!$ï$277)</f>
      </c>
      <c r="FT277">
        <f>IF(ISBLANK('Data Entry'!$ð$277), "", 'Data Entry'!$ð$277)</f>
      </c>
      <c r="FU277">
        <f>IF(ISBLANK('Data Entry'!$ñ$277), "", 'Data Entry'!$ñ$277)</f>
      </c>
      <c r="FV277">
        <f>IF(ISBLANK('Data Entry'!$ò$277), "", 'Data Entry'!$ò$277)</f>
      </c>
      <c r="FW277">
        <f>IF(ISBLANK('Data Entry'!$ó$277), "", 'Data Entry'!$ó$277)</f>
      </c>
      <c r="FX277">
        <f>IF(ISBLANK('Data Entry'!$ô$277), "", 'Data Entry'!$ô$277)</f>
      </c>
      <c r="FY277">
        <f>IF(ISBLANK('Data Entry'!$õ$277), "", 'Data Entry'!$õ$277)</f>
      </c>
      <c r="FZ277">
        <f>IF(ISBLANK('Data Entry'!$ö$277), "", 'Data Entry'!$ö$277)</f>
      </c>
      <c r="GA277">
        <f>IF(ISBLANK('Data Entry'!$÷$277), "", 'Data Entry'!$÷$277)</f>
      </c>
      <c r="GB277">
        <f>IF(ISBLANK('Data Entry'!$ø$277), "", 'Data Entry'!$ø$277)</f>
      </c>
      <c r="GC277">
        <f>IF(ISBLANK('Data Entry'!$ù$277), "", 'Data Entry'!$ù$277)</f>
      </c>
      <c r="GD277">
        <f>IF(ISBLANK('Data Entry'!$ú$277), "", 'Data Entry'!$ú$277)</f>
      </c>
      <c r="GE277">
        <f>IF(ISBLANK('Data Entry'!$û$277), "", 'Data Entry'!$û$277)</f>
      </c>
      <c r="GF277">
        <f>IF(ISBLANK('Data Entry'!$ü$277), "", 'Data Entry'!$ü$277)</f>
      </c>
      <c r="GG277">
        <f>IF(ISBLANK('Data Entry'!$ý$277), "", 'Data Entry'!$ý$277)</f>
      </c>
      <c r="GH277">
        <f>IF(ISBLANK('Data Entry'!$þ$277), "", 'Data Entry'!$þ$277)</f>
      </c>
      <c r="GI277">
        <f>IF(ISBLANK('Data Entry'!$ÿ$277), "", 'Data Entry'!$ÿ$277)</f>
      </c>
      <c r="GJ277">
        <f>IF(ISBLANK('Data Entry'!$Ā$277), "", 'Data Entry'!$Ā$277)</f>
      </c>
      <c r="GK277">
        <f>IF(ISBLANK('Data Entry'!$ā$277), "", 'Data Entry'!$ā$277)</f>
      </c>
      <c r="GL277">
        <f>IF(ISBLANK('Data Entry'!$Ă$277), "", 'Data Entry'!$Ă$277)</f>
      </c>
      <c r="GM277">
        <f>IF(ISBLANK('Data Entry'!$ă$277), "", 'Data Entry'!$ă$277)</f>
      </c>
      <c r="GN277">
        <f>IF(ISBLANK('Data Entry'!$Ą$277), "", 'Data Entry'!$Ą$277)</f>
      </c>
      <c r="GO277">
        <f>IF(ISBLANK('Data Entry'!$ą$277), "", 'Data Entry'!$ą$277)</f>
      </c>
      <c r="GP277">
        <f>IF(ISBLANK('Data Entry'!$Ć$277), "", 'Data Entry'!$Ć$277)</f>
      </c>
      <c r="GQ277">
        <f>IF(ISBLANK('Data Entry'!$ć$277), "", 'Data Entry'!$ć$277)</f>
      </c>
      <c r="GR277">
        <f>IF(ISBLANK('Data Entry'!$Ĉ$277), "", 'Data Entry'!$Ĉ$277)</f>
      </c>
      <c r="GS277">
        <f>IF(ISBLANK('Data Entry'!$ĉ$277), "", 'Data Entry'!$ĉ$277)</f>
      </c>
      <c r="GT277">
        <f>IF(ISBLANK('Data Entry'!$Ċ$277), "", 'Data Entry'!$Ċ$277)</f>
      </c>
      <c r="GU277">
        <f>IF(ISBLANK('Data Entry'!$ċ$277), "", 'Data Entry'!$ċ$277)</f>
      </c>
      <c r="GV277">
        <f>IF(ISBLANK('Data Entry'!$Č$277), "", 'Data Entry'!$Č$277)</f>
      </c>
      <c r="GW277">
        <f>IF(ISBLANK('Data Entry'!$č$277), "", 'Data Entry'!$č$277)</f>
      </c>
      <c r="GX277">
        <f>IF(ISBLANK('Data Entry'!$Ď$277), "", 'Data Entry'!$Ď$277)</f>
      </c>
      <c r="GY277">
        <f>IF(ISBLANK('Data Entry'!$ď$277), "", 'Data Entry'!$ď$277)</f>
      </c>
      <c r="GZ277">
        <f>IF(ISBLANK('Data Entry'!$Đ$277), "", 'Data Entry'!$Đ$277)</f>
      </c>
      <c r="HA277">
        <f>IF(ISBLANK('Data Entry'!$đ$277), "", 'Data Entry'!$đ$277)</f>
      </c>
      <c r="HB277">
        <f>IF(ISBLANK('Data Entry'!$Ē$277), "", 'Data Entry'!$Ē$277)</f>
      </c>
      <c r="HC277">
        <f>IF(ISBLANK('Data Entry'!$ē$277), "", 'Data Entry'!$ē$277)</f>
      </c>
      <c r="HD277">
        <f>IF(ISBLANK('Data Entry'!$Ĕ$277), "", 'Data Entry'!$Ĕ$277)</f>
      </c>
      <c r="HE277">
        <f>IF(ISBLANK('Data Entry'!$ĕ$277), "", 'Data Entry'!$ĕ$277)</f>
      </c>
      <c r="HF277">
        <f>IF(ISBLANK('Data Entry'!$Ė$277), "", 'Data Entry'!$Ė$277)</f>
      </c>
      <c r="HG277">
        <f>IF(ISBLANK('Data Entry'!$ė$277), "", 'Data Entry'!$ė$277)</f>
      </c>
      <c r="HH277">
        <f>IF(ISBLANK('Data Entry'!$Ę$277), "", 'Data Entry'!$Ę$277)</f>
      </c>
      <c r="HI277">
        <f>IF(ISBLANK('Data Entry'!$ę$277), "", 'Data Entry'!$ę$277)</f>
      </c>
      <c r="HJ277">
        <f>IF(ISBLANK('Data Entry'!$Ě$277), "", 'Data Entry'!$Ě$277)</f>
      </c>
      <c r="HK277">
        <f>IF(ISBLANK('Data Entry'!$ě$277), "", 'Data Entry'!$ě$277)</f>
      </c>
      <c r="HL277">
        <f>IF(ISBLANK('Data Entry'!$Ĝ$277), "", 'Data Entry'!$Ĝ$277)</f>
      </c>
      <c r="HM277">
        <f>IF(ISBLANK('Data Entry'!$ĝ$277), "", 'Data Entry'!$ĝ$277)</f>
      </c>
      <c r="HN277">
        <f>IF(ISBLANK('Data Entry'!$Ğ$277), "", 'Data Entry'!$Ğ$277)</f>
      </c>
      <c r="HO277">
        <f>IF(ISBLANK('Data Entry'!$ğ$277), "", 'Data Entry'!$ğ$277)</f>
      </c>
      <c r="HP277">
        <f>IF(ISBLANK('Data Entry'!$Ġ$277), "", 'Data Entry'!$Ġ$277)</f>
      </c>
      <c r="HQ277">
        <f>IF(ISBLANK('Data Entry'!$ġ$277), "", 'Data Entry'!$ġ$277)</f>
      </c>
      <c r="HR277">
        <f>IF(ISBLANK('Data Entry'!$Ģ$277), "", 'Data Entry'!$Ģ$277)</f>
      </c>
      <c r="HS277">
        <f>IF(ISBLANK('Data Entry'!$ģ$277), "", 'Data Entry'!$ģ$277)</f>
      </c>
      <c r="HT277">
        <f>IF(ISBLANK('Data Entry'!$Ĥ$277), "", 'Data Entry'!$Ĥ$277)</f>
      </c>
      <c r="HU277">
        <f>IF(ISBLANK('Data Entry'!$ĥ$277), "", 'Data Entry'!$ĥ$277)</f>
      </c>
      <c r="HV277">
        <f>IF(ISBLANK('Data Entry'!$Ħ$277), "", 'Data Entry'!$Ħ$277)</f>
      </c>
      <c r="HW277">
        <f>IF(ISBLANK('Data Entry'!$ħ$277), "", 'Data Entry'!$ħ$277)</f>
      </c>
      <c r="HX277">
        <f>IF(ISBLANK('Data Entry'!$Ĩ$277), "", 'Data Entry'!$Ĩ$277)</f>
      </c>
      <c r="HY277">
        <f>IF(ISBLANK('Data Entry'!$ĩ$277), "", 'Data Entry'!$ĩ$277)</f>
      </c>
      <c r="HZ277">
        <f>IF(ISBLANK('Data Entry'!$Ī$277), "", 'Data Entry'!$Ī$277)</f>
      </c>
      <c r="IA277">
        <f>IF(ISBLANK('Data Entry'!$ī$277), "", 'Data Entry'!$ī$277)</f>
      </c>
      <c r="IB277">
        <f>IF(ISBLANK('Data Entry'!$Ĭ$277), "", 'Data Entry'!$Ĭ$277)</f>
      </c>
      <c r="IC277">
        <f>IF(ISBLANK('Data Entry'!$ĭ$277), "", 'Data Entry'!$ĭ$277)</f>
      </c>
      <c r="ID277">
        <f>IF(ISBLANK('Data Entry'!$Į$277), "", 'Data Entry'!$Į$277)</f>
      </c>
      <c r="IE277">
        <f>IF(ISBLANK('Data Entry'!$į$277), "", 'Data Entry'!$į$277)</f>
      </c>
      <c r="IF277">
        <f>IF(ISBLANK('Data Entry'!$İ$277), "", 'Data Entry'!$İ$277)</f>
      </c>
      <c r="IG277">
        <f>IF(ISBLANK('Data Entry'!$ı$277), "", 'Data Entry'!$ı$277)</f>
      </c>
      <c r="IH277">
        <f>IF(ISBLANK('Data Entry'!$Ĳ$277), "", 'Data Entry'!$Ĳ$277)</f>
      </c>
      <c r="II277">
        <f>IF(ISBLANK('Data Entry'!$ĳ$277), "", 'Data Entry'!$ĳ$277)</f>
      </c>
      <c r="IJ277">
        <f>IF(ISBLANK('Data Entry'!$Ĵ$277), "", 'Data Entry'!$Ĵ$277)</f>
      </c>
      <c r="IK277">
        <f>IF(ISBLANK('Data Entry'!$ĵ$277), "", 'Data Entry'!$ĵ$277)</f>
      </c>
      <c r="IL277">
        <f>IF(ISBLANK('Data Entry'!$Ķ$277), "", 'Data Entry'!$Ķ$277)</f>
      </c>
      <c r="IM277">
        <f>IF(ISBLANK('Data Entry'!$ķ$277), "", 'Data Entry'!$ķ$277)</f>
      </c>
      <c r="IN277">
        <f>IF(ISBLANK('Data Entry'!$ĸ$277), "", 'Data Entry'!$ĸ$277)</f>
      </c>
      <c r="IO277">
        <f>IF(ISBLANK('Data Entry'!$Ĺ$277), "", 'Data Entry'!$Ĺ$277)</f>
      </c>
      <c r="IP277">
        <f>IF(ISBLANK('Data Entry'!$ĺ$277), "", 'Data Entry'!$ĺ$277)</f>
      </c>
      <c r="IQ277">
        <f>IF(ISBLANK('Data Entry'!$Ļ$277), "", 'Data Entry'!$Ļ$277)</f>
      </c>
      <c r="IR277">
        <f>IF(ISBLANK('Data Entry'!$ļ$277), "", 'Data Entry'!$ļ$277)</f>
      </c>
      <c r="IS277">
        <f>IF(ISBLANK('Data Entry'!$Ľ$277), "", 'Data Entry'!$Ľ$277)</f>
      </c>
      <c r="IT277">
        <f>IF(ISBLANK('Data Entry'!$ľ$277), "", 'Data Entry'!$ľ$277)</f>
      </c>
    </row>
    <row r="278" spans="1:254" x14ac:dyDescent="0.25">
      <c r="A278">
        <f>IF(ISBLANK('Data Entry'!$A$278), "", 'Data Entry'!$A$278)</f>
      </c>
      <c r="B278">
        <f>IF(ISBLANK('Data Entry'!$B$278), "", 'Data Entry'!$B$278)</f>
      </c>
      <c r="C278">
        <f>IF(ISBLANK('Data Entry'!$C$278), "", 'Data Entry'!$C$278)</f>
      </c>
      <c r="D278">
        <f>IF(ISBLANK('Data Entry'!$D$278), "", 'Data Entry'!$D$278)</f>
      </c>
      <c r="E278">
        <f>IF(ISBLANK('Data Entry'!$E$278), "", 'Data Entry'!$E$278)</f>
      </c>
      <c r="F278">
        <f>IF(ISBLANK('Data Entry'!$F$278), "", 'Data Entry'!$F$278)</f>
      </c>
      <c r="G278">
        <f>IF(ISBLANK('Data Entry'!$G$278), "", 'Data Entry'!$G$278)</f>
      </c>
      <c r="H278">
        <f>IF(ISBLANK('Data Entry'!$H$278), "", 'Data Entry'!$H$278)</f>
      </c>
      <c r="I278">
        <f>IF(ISBLANK('Data Entry'!$I$278), "", 'Data Entry'!$I$278)</f>
      </c>
      <c r="J278">
        <f>IF(ISBLANK('Data Entry'!$J$278), "", 'Data Entry'!$J$278)</f>
      </c>
      <c r="K278">
        <f>IF(ISBLANK('Data Entry'!$K$278), "", 'Data Entry'!$K$278)</f>
      </c>
      <c r="L278">
        <f>IF(ISBLANK('Data Entry'!$L$278), "", 'Data Entry'!$L$278)</f>
      </c>
      <c r="M278">
        <f>IF(ISBLANK('Data Entry'!$M$278), "", 'Data Entry'!$M$278)</f>
      </c>
      <c r="N278">
        <f>IF(ISBLANK('Data Entry'!$N$278), "", 'Data Entry'!$N$278)</f>
      </c>
      <c r="O278">
        <f>IF(ISBLANK('Data Entry'!$O$278), "", 'Data Entry'!$O$278)</f>
      </c>
      <c r="P278">
        <f>IF(ISBLANK('Data Entry'!$P$278), "", 'Data Entry'!$P$278)</f>
      </c>
      <c r="Q278">
        <f>IF(ISBLANK('Data Entry'!$Q$278), "", 'Data Entry'!$Q$278)</f>
      </c>
      <c r="R278">
        <f>IF(ISBLANK('Data Entry'!$R$278), "", 'Data Entry'!$R$278)</f>
      </c>
      <c r="S278">
        <f>IF(ISBLANK('Data Entry'!$S$278), "", 'Data Entry'!$S$278)</f>
      </c>
      <c r="T278">
        <f>IF(ISBLANK('Data Entry'!$T$278), "", 'Data Entry'!$T$278)</f>
      </c>
      <c r="U278">
        <f>IF(ISBLANK('Data Entry'!$U$278), "", 'Data Entry'!$U$278)</f>
      </c>
      <c r="V278">
        <f>IF(ISBLANK('Data Entry'!$V$278), "", 'Data Entry'!$V$278)</f>
      </c>
      <c r="W278">
        <f>IF(ISBLANK('Data Entry'!$W$278), "", 'Data Entry'!$W$278)</f>
      </c>
      <c r="X278">
        <f>IF(ISBLANK('Data Entry'!$X$278), "", 'Data Entry'!$X$278)</f>
      </c>
      <c r="Y278">
        <f>IF(ISBLANK('Data Entry'!$Y$278), "", 'Data Entry'!$Y$278)</f>
      </c>
      <c r="Z278">
        <f>IF(ISBLANK('Data Entry'!$Z$278), "", 'Data Entry'!$Z$278)</f>
      </c>
      <c r="AA278">
        <f>IF(ISBLANK('Data Entry'!$[$278), "", 'Data Entry'!$[$278)</f>
      </c>
      <c r="AB278">
        <f>IF(ISBLANK('Data Entry'!$\$278), "", 'Data Entry'!$\$278)</f>
      </c>
      <c r="AC278">
        <f>IF(ISBLANK('Data Entry'!$]$278), "", 'Data Entry'!$]$278)</f>
      </c>
      <c r="AD278">
        <f>IF(ISBLANK('Data Entry'!$^$278), "", 'Data Entry'!$^$278)</f>
      </c>
      <c r="AE278">
        <f>IF(ISBLANK('Data Entry'!$_$278), "", 'Data Entry'!$_$278)</f>
      </c>
      <c r="AF278">
        <f>IF(ISBLANK('Data Entry'!$`$278), "", 'Data Entry'!$`$278)</f>
      </c>
      <c r="AG278">
        <f>IF(ISBLANK('Data Entry'!$a$278), "", 'Data Entry'!$a$278)</f>
      </c>
      <c r="AH278">
        <f>IF(ISBLANK('Data Entry'!$b$278), "", 'Data Entry'!$b$278)</f>
      </c>
      <c r="AI278">
        <f>IF(ISBLANK('Data Entry'!$c$278), "", 'Data Entry'!$c$278)</f>
      </c>
      <c r="AJ278">
        <f>IF(ISBLANK('Data Entry'!$d$278), "", 'Data Entry'!$d$278)</f>
      </c>
      <c r="AK278">
        <f>IF(ISBLANK('Data Entry'!$e$278), "", 'Data Entry'!$e$278)</f>
      </c>
      <c r="AL278">
        <f>IF(ISBLANK('Data Entry'!$f$278), "", 'Data Entry'!$f$278)</f>
      </c>
      <c r="AM278">
        <f>IF(ISBLANK('Data Entry'!$g$278), "", 'Data Entry'!$g$278)</f>
      </c>
      <c r="AN278">
        <f>IF(ISBLANK('Data Entry'!$h$278), "", 'Data Entry'!$h$278)</f>
      </c>
      <c r="AO278">
        <f>IF(ISBLANK('Data Entry'!$i$278), "", 'Data Entry'!$i$278)</f>
      </c>
      <c r="AP278">
        <f>IF(ISBLANK('Data Entry'!$j$278), "", 'Data Entry'!$j$278)</f>
      </c>
      <c r="AQ278">
        <f>IF(ISBLANK('Data Entry'!$k$278), "", 'Data Entry'!$k$278)</f>
      </c>
      <c r="AR278">
        <f>IF(ISBLANK('Data Entry'!$l$278), "", 'Data Entry'!$l$278)</f>
      </c>
      <c r="AS278">
        <f>IF(ISBLANK('Data Entry'!$m$278), "", 'Data Entry'!$m$278)</f>
      </c>
      <c r="AT278">
        <f>IF(ISBLANK('Data Entry'!$n$278), "", 'Data Entry'!$n$278)</f>
      </c>
      <c r="AU278">
        <f>IF(ISBLANK('Data Entry'!$o$278), "", 'Data Entry'!$o$278)</f>
      </c>
      <c r="AV278">
        <f>IF(ISBLANK('Data Entry'!$p$278), "", 'Data Entry'!$p$278)</f>
      </c>
      <c r="AW278">
        <f>IF(ISBLANK('Data Entry'!$q$278), "", 'Data Entry'!$q$278)</f>
      </c>
      <c r="AX278">
        <f>IF(ISBLANK('Data Entry'!$r$278), "", 'Data Entry'!$r$278)</f>
      </c>
      <c r="AY278">
        <f>IF(ISBLANK('Data Entry'!$s$278), "", 'Data Entry'!$s$278)</f>
      </c>
      <c r="AZ278">
        <f>IF(ISBLANK('Data Entry'!$t$278), "", 'Data Entry'!$t$278)</f>
      </c>
      <c r="BA278">
        <f>IF(ISBLANK('Data Entry'!$u$278), "", 'Data Entry'!$u$278)</f>
      </c>
      <c r="BB278">
        <f>IF(ISBLANK('Data Entry'!$v$278), "", 'Data Entry'!$v$278)</f>
      </c>
      <c r="BC278">
        <f>IF(ISBLANK('Data Entry'!$w$278), "", 'Data Entry'!$w$278)</f>
      </c>
      <c r="BD278">
        <f>IF(ISBLANK('Data Entry'!$x$278), "", 'Data Entry'!$x$278)</f>
      </c>
      <c r="BE278">
        <f>IF(ISBLANK('Data Entry'!$y$278), "", 'Data Entry'!$y$278)</f>
      </c>
      <c r="BF278">
        <f>IF(ISBLANK('Data Entry'!$z$278), "", 'Data Entry'!$z$278)</f>
      </c>
      <c r="BG278">
        <f>IF(ISBLANK('Data Entry'!${$278), "", 'Data Entry'!${$278)</f>
      </c>
      <c r="BH278">
        <f>IF(ISBLANK('Data Entry'!$|$278), "", 'Data Entry'!$|$278)</f>
      </c>
      <c r="BI278">
        <f>IF(ISBLANK('Data Entry'!$}$278), "", 'Data Entry'!$}$278)</f>
      </c>
      <c r="BJ278">
        <f>IF(ISBLANK('Data Entry'!$~$278), "", 'Data Entry'!$~$278)</f>
      </c>
      <c r="BK278">
        <f>IF(ISBLANK('Data Entry'!$$278), "", 'Data Entry'!$$278)</f>
      </c>
      <c r="BL278">
        <f>IF(ISBLANK('Data Entry'!$$278), "", 'Data Entry'!$$278)</f>
      </c>
      <c r="BM278">
        <f>IF(ISBLANK('Data Entry'!$$278), "", 'Data Entry'!$$278)</f>
      </c>
      <c r="BN278">
        <f>IF(ISBLANK('Data Entry'!$$278), "", 'Data Entry'!$$278)</f>
      </c>
      <c r="BO278">
        <f>IF(ISBLANK('Data Entry'!$$278), "", 'Data Entry'!$$278)</f>
      </c>
      <c r="BP278">
        <f>IF(ISBLANK('Data Entry'!$$278), "", 'Data Entry'!$$278)</f>
      </c>
      <c r="BQ278">
        <f>IF(ISBLANK('Data Entry'!$$278), "", 'Data Entry'!$$278)</f>
      </c>
      <c r="BR278">
        <f>IF(ISBLANK('Data Entry'!$$278), "", 'Data Entry'!$$278)</f>
      </c>
      <c r="BS278">
        <f>IF(ISBLANK('Data Entry'!$$278), "", 'Data Entry'!$$278)</f>
      </c>
      <c r="BT278">
        <f>IF(ISBLANK('Data Entry'!$$278), "", 'Data Entry'!$$278)</f>
      </c>
      <c r="BU278">
        <f>IF(ISBLANK('Data Entry'!$$278), "", 'Data Entry'!$$278)</f>
      </c>
      <c r="BV278">
        <f>IF(ISBLANK('Data Entry'!$$278), "", 'Data Entry'!$$278)</f>
      </c>
      <c r="BW278">
        <f>IF(ISBLANK('Data Entry'!$$278), "", 'Data Entry'!$$278)</f>
      </c>
      <c r="BX278">
        <f>IF(ISBLANK('Data Entry'!$$278), "", 'Data Entry'!$$278)</f>
      </c>
      <c r="BY278">
        <f>IF(ISBLANK('Data Entry'!$$278), "", 'Data Entry'!$$278)</f>
      </c>
      <c r="BZ278">
        <f>IF(ISBLANK('Data Entry'!$$278), "", 'Data Entry'!$$278)</f>
      </c>
      <c r="CA278">
        <f>IF(ISBLANK('Data Entry'!$$278), "", 'Data Entry'!$$278)</f>
      </c>
      <c r="CB278">
        <f>IF(ISBLANK('Data Entry'!$$278), "", 'Data Entry'!$$278)</f>
      </c>
      <c r="CC278">
        <f>IF(ISBLANK('Data Entry'!$$278), "", 'Data Entry'!$$278)</f>
      </c>
      <c r="CD278">
        <f>IF(ISBLANK('Data Entry'!$$278), "", 'Data Entry'!$$278)</f>
      </c>
      <c r="CE278">
        <f>IF(ISBLANK('Data Entry'!$$278), "", 'Data Entry'!$$278)</f>
      </c>
      <c r="CF278">
        <f>IF(ISBLANK('Data Entry'!$$278), "", 'Data Entry'!$$278)</f>
      </c>
      <c r="CG278">
        <f>IF(ISBLANK('Data Entry'!$$278), "", 'Data Entry'!$$278)</f>
      </c>
      <c r="CH278">
        <f>IF(ISBLANK('Data Entry'!$$278), "", 'Data Entry'!$$278)</f>
      </c>
      <c r="CI278">
        <f>IF(ISBLANK('Data Entry'!$$278), "", 'Data Entry'!$$278)</f>
      </c>
      <c r="CJ278">
        <f>IF(ISBLANK('Data Entry'!$$278), "", 'Data Entry'!$$278)</f>
      </c>
      <c r="CK278">
        <f>IF(ISBLANK('Data Entry'!$$278), "", 'Data Entry'!$$278)</f>
      </c>
      <c r="CL278">
        <f>IF(ISBLANK('Data Entry'!$$278), "", 'Data Entry'!$$278)</f>
      </c>
      <c r="CM278">
        <f>IF(ISBLANK('Data Entry'!$$278), "", 'Data Entry'!$$278)</f>
      </c>
      <c r="CN278">
        <f>IF(ISBLANK('Data Entry'!$$278), "", 'Data Entry'!$$278)</f>
      </c>
      <c r="CO278">
        <f>IF(ISBLANK('Data Entry'!$$278), "", 'Data Entry'!$$278)</f>
      </c>
      <c r="CP278">
        <f>IF(ISBLANK('Data Entry'!$$278), "", 'Data Entry'!$$278)</f>
      </c>
      <c r="CQ278">
        <f>IF(ISBLANK('Data Entry'!$$278), "", 'Data Entry'!$$278)</f>
      </c>
      <c r="CR278">
        <f>IF(ISBLANK('Data Entry'!$ $278), "", 'Data Entry'!$ $278)</f>
      </c>
      <c r="CS278">
        <f>IF(ISBLANK('Data Entry'!$¡$278), "", 'Data Entry'!$¡$278)</f>
      </c>
      <c r="CT278">
        <f>IF(ISBLANK('Data Entry'!$¢$278), "", 'Data Entry'!$¢$278)</f>
      </c>
      <c r="CU278">
        <f>IF(ISBLANK('Data Entry'!$£$278), "", 'Data Entry'!$£$278)</f>
      </c>
      <c r="CV278">
        <f>IF(ISBLANK('Data Entry'!$¤$278), "", 'Data Entry'!$¤$278)</f>
      </c>
      <c r="CW278">
        <f>IF(ISBLANK('Data Entry'!$¥$278), "", 'Data Entry'!$¥$278)</f>
      </c>
      <c r="CX278">
        <f>IF(ISBLANK('Data Entry'!$¦$278), "", 'Data Entry'!$¦$278)</f>
      </c>
      <c r="CY278">
        <f>IF(ISBLANK('Data Entry'!$§$278), "", 'Data Entry'!$§$278)</f>
      </c>
      <c r="CZ278">
        <f>IF(ISBLANK('Data Entry'!$¨$278), "", 'Data Entry'!$¨$278)</f>
      </c>
      <c r="DA278">
        <f>IF(ISBLANK('Data Entry'!$©$278), "", 'Data Entry'!$©$278)</f>
      </c>
      <c r="DB278">
        <f>IF(ISBLANK('Data Entry'!$ª$278), "", 'Data Entry'!$ª$278)</f>
      </c>
      <c r="DC278">
        <f>IF(ISBLANK('Data Entry'!$«$278), "", 'Data Entry'!$«$278)</f>
      </c>
      <c r="DD278">
        <f>IF(ISBLANK('Data Entry'!$¬$278), "", 'Data Entry'!$¬$278)</f>
      </c>
      <c r="DE278">
        <f>IF(ISBLANK('Data Entry'!$­$278), "", 'Data Entry'!$­$278)</f>
      </c>
      <c r="DF278">
        <f>IF(ISBLANK('Data Entry'!$®$278), "", 'Data Entry'!$®$278)</f>
      </c>
      <c r="DG278">
        <f>IF(ISBLANK('Data Entry'!$¯$278), "", 'Data Entry'!$¯$278)</f>
      </c>
      <c r="DH278">
        <f>IF(ISBLANK('Data Entry'!$°$278), "", 'Data Entry'!$°$278)</f>
      </c>
      <c r="DI278">
        <f>IF(ISBLANK('Data Entry'!$±$278), "", 'Data Entry'!$±$278)</f>
      </c>
      <c r="DJ278">
        <f>IF(ISBLANK('Data Entry'!$²$278), "", 'Data Entry'!$²$278)</f>
      </c>
      <c r="DK278">
        <f>IF(ISBLANK('Data Entry'!$³$278), "", 'Data Entry'!$³$278)</f>
      </c>
      <c r="DL278">
        <f>IF(ISBLANK('Data Entry'!$´$278), "", 'Data Entry'!$´$278)</f>
      </c>
      <c r="DM278">
        <f>IF(ISBLANK('Data Entry'!$µ$278), "", 'Data Entry'!$µ$278)</f>
      </c>
      <c r="DN278">
        <f>IF(ISBLANK('Data Entry'!$¶$278), "", 'Data Entry'!$¶$278)</f>
      </c>
      <c r="DO278">
        <f>IF(ISBLANK('Data Entry'!$·$278), "", 'Data Entry'!$·$278)</f>
      </c>
      <c r="DP278">
        <f>IF(ISBLANK('Data Entry'!$¸$278), "", 'Data Entry'!$¸$278)</f>
      </c>
      <c r="DQ278">
        <f>IF(ISBLANK('Data Entry'!$¹$278), "", 'Data Entry'!$¹$278)</f>
      </c>
      <c r="DR278">
        <f>IF(ISBLANK('Data Entry'!$º$278), "", 'Data Entry'!$º$278)</f>
      </c>
      <c r="DS278">
        <f>IF(ISBLANK('Data Entry'!$»$278), "", 'Data Entry'!$»$278)</f>
      </c>
      <c r="DT278">
        <f>IF(ISBLANK('Data Entry'!$¼$278), "", 'Data Entry'!$¼$278)</f>
      </c>
      <c r="DU278">
        <f>IF(ISBLANK('Data Entry'!$½$278), "", 'Data Entry'!$½$278)</f>
      </c>
      <c r="DV278">
        <f>IF(ISBLANK('Data Entry'!$¾$278), "", 'Data Entry'!$¾$278)</f>
      </c>
      <c r="DW278">
        <f>IF(ISBLANK('Data Entry'!$¿$278), "", 'Data Entry'!$¿$278)</f>
      </c>
      <c r="DX278">
        <f>IF(ISBLANK('Data Entry'!$À$278), "", 'Data Entry'!$À$278)</f>
      </c>
      <c r="DY278">
        <f>IF(ISBLANK('Data Entry'!$Á$278), "", 'Data Entry'!$Á$278)</f>
      </c>
      <c r="DZ278">
        <f>IF(ISBLANK('Data Entry'!$Â$278), "", 'Data Entry'!$Â$278)</f>
      </c>
      <c r="EA278">
        <f>IF(ISBLANK('Data Entry'!$Ã$278), "", 'Data Entry'!$Ã$278)</f>
      </c>
      <c r="EB278">
        <f>IF(ISBLANK('Data Entry'!$Ä$278), "", 'Data Entry'!$Ä$278)</f>
      </c>
      <c r="EC278">
        <f>IF(ISBLANK('Data Entry'!$Å$278), "", 'Data Entry'!$Å$278)</f>
      </c>
      <c r="ED278">
        <f>IF(ISBLANK('Data Entry'!$Æ$278), "", 'Data Entry'!$Æ$278)</f>
      </c>
      <c r="EE278">
        <f>IF(ISBLANK('Data Entry'!$Ç$278), "", 'Data Entry'!$Ç$278)</f>
      </c>
      <c r="EF278">
        <f>IF(ISBLANK('Data Entry'!$È$278), "", 'Data Entry'!$È$278)</f>
      </c>
      <c r="EG278">
        <f>IF(ISBLANK('Data Entry'!$É$278), "", 'Data Entry'!$É$278)</f>
      </c>
      <c r="EH278">
        <f>IF(ISBLANK('Data Entry'!$Ê$278), "", 'Data Entry'!$Ê$278)</f>
      </c>
      <c r="EI278">
        <f>IF(ISBLANK('Data Entry'!$Ë$278), "", 'Data Entry'!$Ë$278)</f>
      </c>
      <c r="EJ278">
        <f>IF(ISBLANK('Data Entry'!$Ì$278), "", 'Data Entry'!$Ì$278)</f>
      </c>
      <c r="EK278">
        <f>IF(ISBLANK('Data Entry'!$Í$278), "", 'Data Entry'!$Í$278)</f>
      </c>
      <c r="EL278">
        <f>IF(ISBLANK('Data Entry'!$Î$278), "", 'Data Entry'!$Î$278)</f>
      </c>
      <c r="EM278">
        <f>IF(ISBLANK('Data Entry'!$Ï$278), "", 'Data Entry'!$Ï$278)</f>
      </c>
      <c r="EN278">
        <f>IF(ISBLANK('Data Entry'!$Ð$278), "", 'Data Entry'!$Ð$278)</f>
      </c>
      <c r="EO278">
        <f>IF(ISBLANK('Data Entry'!$Ñ$278), "", 'Data Entry'!$Ñ$278)</f>
      </c>
      <c r="EP278">
        <f>IF(ISBLANK('Data Entry'!$Ò$278), "", 'Data Entry'!$Ò$278)</f>
      </c>
      <c r="EQ278">
        <f>IF(ISBLANK('Data Entry'!$Ó$278), "", 'Data Entry'!$Ó$278)</f>
      </c>
      <c r="ER278">
        <f>IF(ISBLANK('Data Entry'!$Ô$278), "", 'Data Entry'!$Ô$278)</f>
      </c>
      <c r="ES278">
        <f>IF(ISBLANK('Data Entry'!$Õ$278), "", 'Data Entry'!$Õ$278)</f>
      </c>
      <c r="ET278">
        <f>IF(ISBLANK('Data Entry'!$Ö$278), "", 'Data Entry'!$Ö$278)</f>
      </c>
      <c r="EU278">
        <f>IF(ISBLANK('Data Entry'!$×$278), "", 'Data Entry'!$×$278)</f>
      </c>
      <c r="EV278">
        <f>IF(ISBLANK('Data Entry'!$Ø$278), "", 'Data Entry'!$Ø$278)</f>
      </c>
      <c r="EW278">
        <f>IF(ISBLANK('Data Entry'!$Ù$278), "", 'Data Entry'!$Ù$278)</f>
      </c>
      <c r="EX278">
        <f>IF(ISBLANK('Data Entry'!$Ú$278), "", 'Data Entry'!$Ú$278)</f>
      </c>
      <c r="EY278">
        <f>IF(ISBLANK('Data Entry'!$Û$278), "", 'Data Entry'!$Û$278)</f>
      </c>
      <c r="EZ278">
        <f>IF(ISBLANK('Data Entry'!$Ü$278), "", 'Data Entry'!$Ü$278)</f>
      </c>
      <c r="FA278">
        <f>IF(ISBLANK('Data Entry'!$Ý$278), "", 'Data Entry'!$Ý$278)</f>
      </c>
      <c r="FB278">
        <f>IF(ISBLANK('Data Entry'!$Þ$278), "", 'Data Entry'!$Þ$278)</f>
      </c>
      <c r="FC278">
        <f>IF(ISBLANK('Data Entry'!$ß$278), "", 'Data Entry'!$ß$278)</f>
      </c>
      <c r="FD278">
        <f>IF(ISBLANK('Data Entry'!$à$278), "", 'Data Entry'!$à$278)</f>
      </c>
      <c r="FE278">
        <f>IF(ISBLANK('Data Entry'!$á$278), "", 'Data Entry'!$á$278)</f>
      </c>
      <c r="FF278">
        <f>IF(ISBLANK('Data Entry'!$â$278), "", 'Data Entry'!$â$278)</f>
      </c>
      <c r="FG278">
        <f>IF(ISBLANK('Data Entry'!$ã$278), "", 'Data Entry'!$ã$278)</f>
      </c>
      <c r="FH278">
        <f>IF(ISBLANK('Data Entry'!$ä$278), "", 'Data Entry'!$ä$278)</f>
      </c>
      <c r="FI278">
        <f>IF(ISBLANK('Data Entry'!$å$278), "", 'Data Entry'!$å$278)</f>
      </c>
      <c r="FJ278">
        <f>IF(ISBLANK('Data Entry'!$æ$278), "", 'Data Entry'!$æ$278)</f>
      </c>
      <c r="FK278">
        <f>IF(ISBLANK('Data Entry'!$ç$278), "", 'Data Entry'!$ç$278)</f>
      </c>
      <c r="FL278">
        <f>IF(ISBLANK('Data Entry'!$è$278), "", 'Data Entry'!$è$278)</f>
      </c>
      <c r="FM278">
        <f>IF(ISBLANK('Data Entry'!$é$278), "", 'Data Entry'!$é$278)</f>
      </c>
      <c r="FN278">
        <f>IF(ISBLANK('Data Entry'!$ê$278), "", 'Data Entry'!$ê$278)</f>
      </c>
      <c r="FO278">
        <f>IF(ISBLANK('Data Entry'!$ë$278), "", 'Data Entry'!$ë$278)</f>
      </c>
      <c r="FP278">
        <f>IF(ISBLANK('Data Entry'!$ì$278), "", 'Data Entry'!$ì$278)</f>
      </c>
      <c r="FQ278">
        <f>IF(ISBLANK('Data Entry'!$í$278), "", 'Data Entry'!$í$278)</f>
      </c>
      <c r="FR278">
        <f>IF(ISBLANK('Data Entry'!$î$278), "", 'Data Entry'!$î$278)</f>
      </c>
      <c r="FS278">
        <f>IF(ISBLANK('Data Entry'!$ï$278), "", 'Data Entry'!$ï$278)</f>
      </c>
      <c r="FT278">
        <f>IF(ISBLANK('Data Entry'!$ð$278), "", 'Data Entry'!$ð$278)</f>
      </c>
      <c r="FU278">
        <f>IF(ISBLANK('Data Entry'!$ñ$278), "", 'Data Entry'!$ñ$278)</f>
      </c>
      <c r="FV278">
        <f>IF(ISBLANK('Data Entry'!$ò$278), "", 'Data Entry'!$ò$278)</f>
      </c>
      <c r="FW278">
        <f>IF(ISBLANK('Data Entry'!$ó$278), "", 'Data Entry'!$ó$278)</f>
      </c>
      <c r="FX278">
        <f>IF(ISBLANK('Data Entry'!$ô$278), "", 'Data Entry'!$ô$278)</f>
      </c>
      <c r="FY278">
        <f>IF(ISBLANK('Data Entry'!$õ$278), "", 'Data Entry'!$õ$278)</f>
      </c>
      <c r="FZ278">
        <f>IF(ISBLANK('Data Entry'!$ö$278), "", 'Data Entry'!$ö$278)</f>
      </c>
      <c r="GA278">
        <f>IF(ISBLANK('Data Entry'!$÷$278), "", 'Data Entry'!$÷$278)</f>
      </c>
      <c r="GB278">
        <f>IF(ISBLANK('Data Entry'!$ø$278), "", 'Data Entry'!$ø$278)</f>
      </c>
      <c r="GC278">
        <f>IF(ISBLANK('Data Entry'!$ù$278), "", 'Data Entry'!$ù$278)</f>
      </c>
      <c r="GD278">
        <f>IF(ISBLANK('Data Entry'!$ú$278), "", 'Data Entry'!$ú$278)</f>
      </c>
      <c r="GE278">
        <f>IF(ISBLANK('Data Entry'!$û$278), "", 'Data Entry'!$û$278)</f>
      </c>
      <c r="GF278">
        <f>IF(ISBLANK('Data Entry'!$ü$278), "", 'Data Entry'!$ü$278)</f>
      </c>
      <c r="GG278">
        <f>IF(ISBLANK('Data Entry'!$ý$278), "", 'Data Entry'!$ý$278)</f>
      </c>
      <c r="GH278">
        <f>IF(ISBLANK('Data Entry'!$þ$278), "", 'Data Entry'!$þ$278)</f>
      </c>
      <c r="GI278">
        <f>IF(ISBLANK('Data Entry'!$ÿ$278), "", 'Data Entry'!$ÿ$278)</f>
      </c>
      <c r="GJ278">
        <f>IF(ISBLANK('Data Entry'!$Ā$278), "", 'Data Entry'!$Ā$278)</f>
      </c>
      <c r="GK278">
        <f>IF(ISBLANK('Data Entry'!$ā$278), "", 'Data Entry'!$ā$278)</f>
      </c>
      <c r="GL278">
        <f>IF(ISBLANK('Data Entry'!$Ă$278), "", 'Data Entry'!$Ă$278)</f>
      </c>
      <c r="GM278">
        <f>IF(ISBLANK('Data Entry'!$ă$278), "", 'Data Entry'!$ă$278)</f>
      </c>
      <c r="GN278">
        <f>IF(ISBLANK('Data Entry'!$Ą$278), "", 'Data Entry'!$Ą$278)</f>
      </c>
      <c r="GO278">
        <f>IF(ISBLANK('Data Entry'!$ą$278), "", 'Data Entry'!$ą$278)</f>
      </c>
      <c r="GP278">
        <f>IF(ISBLANK('Data Entry'!$Ć$278), "", 'Data Entry'!$Ć$278)</f>
      </c>
      <c r="GQ278">
        <f>IF(ISBLANK('Data Entry'!$ć$278), "", 'Data Entry'!$ć$278)</f>
      </c>
      <c r="GR278">
        <f>IF(ISBLANK('Data Entry'!$Ĉ$278), "", 'Data Entry'!$Ĉ$278)</f>
      </c>
      <c r="GS278">
        <f>IF(ISBLANK('Data Entry'!$ĉ$278), "", 'Data Entry'!$ĉ$278)</f>
      </c>
      <c r="GT278">
        <f>IF(ISBLANK('Data Entry'!$Ċ$278), "", 'Data Entry'!$Ċ$278)</f>
      </c>
      <c r="GU278">
        <f>IF(ISBLANK('Data Entry'!$ċ$278), "", 'Data Entry'!$ċ$278)</f>
      </c>
      <c r="GV278">
        <f>IF(ISBLANK('Data Entry'!$Č$278), "", 'Data Entry'!$Č$278)</f>
      </c>
      <c r="GW278">
        <f>IF(ISBLANK('Data Entry'!$č$278), "", 'Data Entry'!$č$278)</f>
      </c>
      <c r="GX278">
        <f>IF(ISBLANK('Data Entry'!$Ď$278), "", 'Data Entry'!$Ď$278)</f>
      </c>
      <c r="GY278">
        <f>IF(ISBLANK('Data Entry'!$ď$278), "", 'Data Entry'!$ď$278)</f>
      </c>
      <c r="GZ278">
        <f>IF(ISBLANK('Data Entry'!$Đ$278), "", 'Data Entry'!$Đ$278)</f>
      </c>
      <c r="HA278">
        <f>IF(ISBLANK('Data Entry'!$đ$278), "", 'Data Entry'!$đ$278)</f>
      </c>
      <c r="HB278">
        <f>IF(ISBLANK('Data Entry'!$Ē$278), "", 'Data Entry'!$Ē$278)</f>
      </c>
      <c r="HC278">
        <f>IF(ISBLANK('Data Entry'!$ē$278), "", 'Data Entry'!$ē$278)</f>
      </c>
      <c r="HD278">
        <f>IF(ISBLANK('Data Entry'!$Ĕ$278), "", 'Data Entry'!$Ĕ$278)</f>
      </c>
      <c r="HE278">
        <f>IF(ISBLANK('Data Entry'!$ĕ$278), "", 'Data Entry'!$ĕ$278)</f>
      </c>
      <c r="HF278">
        <f>IF(ISBLANK('Data Entry'!$Ė$278), "", 'Data Entry'!$Ė$278)</f>
      </c>
      <c r="HG278">
        <f>IF(ISBLANK('Data Entry'!$ė$278), "", 'Data Entry'!$ė$278)</f>
      </c>
      <c r="HH278">
        <f>IF(ISBLANK('Data Entry'!$Ę$278), "", 'Data Entry'!$Ę$278)</f>
      </c>
      <c r="HI278">
        <f>IF(ISBLANK('Data Entry'!$ę$278), "", 'Data Entry'!$ę$278)</f>
      </c>
      <c r="HJ278">
        <f>IF(ISBLANK('Data Entry'!$Ě$278), "", 'Data Entry'!$Ě$278)</f>
      </c>
      <c r="HK278">
        <f>IF(ISBLANK('Data Entry'!$ě$278), "", 'Data Entry'!$ě$278)</f>
      </c>
      <c r="HL278">
        <f>IF(ISBLANK('Data Entry'!$Ĝ$278), "", 'Data Entry'!$Ĝ$278)</f>
      </c>
      <c r="HM278">
        <f>IF(ISBLANK('Data Entry'!$ĝ$278), "", 'Data Entry'!$ĝ$278)</f>
      </c>
      <c r="HN278">
        <f>IF(ISBLANK('Data Entry'!$Ğ$278), "", 'Data Entry'!$Ğ$278)</f>
      </c>
      <c r="HO278">
        <f>IF(ISBLANK('Data Entry'!$ğ$278), "", 'Data Entry'!$ğ$278)</f>
      </c>
      <c r="HP278">
        <f>IF(ISBLANK('Data Entry'!$Ġ$278), "", 'Data Entry'!$Ġ$278)</f>
      </c>
      <c r="HQ278">
        <f>IF(ISBLANK('Data Entry'!$ġ$278), "", 'Data Entry'!$ġ$278)</f>
      </c>
      <c r="HR278">
        <f>IF(ISBLANK('Data Entry'!$Ģ$278), "", 'Data Entry'!$Ģ$278)</f>
      </c>
      <c r="HS278">
        <f>IF(ISBLANK('Data Entry'!$ģ$278), "", 'Data Entry'!$ģ$278)</f>
      </c>
      <c r="HT278">
        <f>IF(ISBLANK('Data Entry'!$Ĥ$278), "", 'Data Entry'!$Ĥ$278)</f>
      </c>
      <c r="HU278">
        <f>IF(ISBLANK('Data Entry'!$ĥ$278), "", 'Data Entry'!$ĥ$278)</f>
      </c>
      <c r="HV278">
        <f>IF(ISBLANK('Data Entry'!$Ħ$278), "", 'Data Entry'!$Ħ$278)</f>
      </c>
      <c r="HW278">
        <f>IF(ISBLANK('Data Entry'!$ħ$278), "", 'Data Entry'!$ħ$278)</f>
      </c>
      <c r="HX278">
        <f>IF(ISBLANK('Data Entry'!$Ĩ$278), "", 'Data Entry'!$Ĩ$278)</f>
      </c>
      <c r="HY278">
        <f>IF(ISBLANK('Data Entry'!$ĩ$278), "", 'Data Entry'!$ĩ$278)</f>
      </c>
      <c r="HZ278">
        <f>IF(ISBLANK('Data Entry'!$Ī$278), "", 'Data Entry'!$Ī$278)</f>
      </c>
      <c r="IA278">
        <f>IF(ISBLANK('Data Entry'!$ī$278), "", 'Data Entry'!$ī$278)</f>
      </c>
      <c r="IB278">
        <f>IF(ISBLANK('Data Entry'!$Ĭ$278), "", 'Data Entry'!$Ĭ$278)</f>
      </c>
      <c r="IC278">
        <f>IF(ISBLANK('Data Entry'!$ĭ$278), "", 'Data Entry'!$ĭ$278)</f>
      </c>
      <c r="ID278">
        <f>IF(ISBLANK('Data Entry'!$Į$278), "", 'Data Entry'!$Į$278)</f>
      </c>
      <c r="IE278">
        <f>IF(ISBLANK('Data Entry'!$į$278), "", 'Data Entry'!$į$278)</f>
      </c>
      <c r="IF278">
        <f>IF(ISBLANK('Data Entry'!$İ$278), "", 'Data Entry'!$İ$278)</f>
      </c>
      <c r="IG278">
        <f>IF(ISBLANK('Data Entry'!$ı$278), "", 'Data Entry'!$ı$278)</f>
      </c>
      <c r="IH278">
        <f>IF(ISBLANK('Data Entry'!$Ĳ$278), "", 'Data Entry'!$Ĳ$278)</f>
      </c>
      <c r="II278">
        <f>IF(ISBLANK('Data Entry'!$ĳ$278), "", 'Data Entry'!$ĳ$278)</f>
      </c>
      <c r="IJ278">
        <f>IF(ISBLANK('Data Entry'!$Ĵ$278), "", 'Data Entry'!$Ĵ$278)</f>
      </c>
      <c r="IK278">
        <f>IF(ISBLANK('Data Entry'!$ĵ$278), "", 'Data Entry'!$ĵ$278)</f>
      </c>
      <c r="IL278">
        <f>IF(ISBLANK('Data Entry'!$Ķ$278), "", 'Data Entry'!$Ķ$278)</f>
      </c>
      <c r="IM278">
        <f>IF(ISBLANK('Data Entry'!$ķ$278), "", 'Data Entry'!$ķ$278)</f>
      </c>
      <c r="IN278">
        <f>IF(ISBLANK('Data Entry'!$ĸ$278), "", 'Data Entry'!$ĸ$278)</f>
      </c>
      <c r="IO278">
        <f>IF(ISBLANK('Data Entry'!$Ĺ$278), "", 'Data Entry'!$Ĺ$278)</f>
      </c>
      <c r="IP278">
        <f>IF(ISBLANK('Data Entry'!$ĺ$278), "", 'Data Entry'!$ĺ$278)</f>
      </c>
      <c r="IQ278">
        <f>IF(ISBLANK('Data Entry'!$Ļ$278), "", 'Data Entry'!$Ļ$278)</f>
      </c>
      <c r="IR278">
        <f>IF(ISBLANK('Data Entry'!$ļ$278), "", 'Data Entry'!$ļ$278)</f>
      </c>
      <c r="IS278">
        <f>IF(ISBLANK('Data Entry'!$Ľ$278), "", 'Data Entry'!$Ľ$278)</f>
      </c>
      <c r="IT278">
        <f>IF(ISBLANK('Data Entry'!$ľ$278), "", 'Data Entry'!$ľ$278)</f>
      </c>
    </row>
    <row r="279" spans="1:254" x14ac:dyDescent="0.25">
      <c r="A279">
        <f>IF(ISBLANK('Data Entry'!$A$279), "", 'Data Entry'!$A$279)</f>
      </c>
      <c r="B279">
        <f>IF(ISBLANK('Data Entry'!$B$279), "", 'Data Entry'!$B$279)</f>
      </c>
      <c r="C279">
        <f>IF(ISBLANK('Data Entry'!$C$279), "", 'Data Entry'!$C$279)</f>
      </c>
      <c r="D279">
        <f>IF(ISBLANK('Data Entry'!$D$279), "", 'Data Entry'!$D$279)</f>
      </c>
      <c r="E279">
        <f>IF(ISBLANK('Data Entry'!$E$279), "", 'Data Entry'!$E$279)</f>
      </c>
      <c r="F279">
        <f>IF(ISBLANK('Data Entry'!$F$279), "", 'Data Entry'!$F$279)</f>
      </c>
      <c r="G279">
        <f>IF(ISBLANK('Data Entry'!$G$279), "", 'Data Entry'!$G$279)</f>
      </c>
      <c r="H279">
        <f>IF(ISBLANK('Data Entry'!$H$279), "", 'Data Entry'!$H$279)</f>
      </c>
      <c r="I279">
        <f>IF(ISBLANK('Data Entry'!$I$279), "", 'Data Entry'!$I$279)</f>
      </c>
      <c r="J279">
        <f>IF(ISBLANK('Data Entry'!$J$279), "", 'Data Entry'!$J$279)</f>
      </c>
      <c r="K279">
        <f>IF(ISBLANK('Data Entry'!$K$279), "", 'Data Entry'!$K$279)</f>
      </c>
      <c r="L279">
        <f>IF(ISBLANK('Data Entry'!$L$279), "", 'Data Entry'!$L$279)</f>
      </c>
      <c r="M279">
        <f>IF(ISBLANK('Data Entry'!$M$279), "", 'Data Entry'!$M$279)</f>
      </c>
      <c r="N279">
        <f>IF(ISBLANK('Data Entry'!$N$279), "", 'Data Entry'!$N$279)</f>
      </c>
      <c r="O279">
        <f>IF(ISBLANK('Data Entry'!$O$279), "", 'Data Entry'!$O$279)</f>
      </c>
      <c r="P279">
        <f>IF(ISBLANK('Data Entry'!$P$279), "", 'Data Entry'!$P$279)</f>
      </c>
      <c r="Q279">
        <f>IF(ISBLANK('Data Entry'!$Q$279), "", 'Data Entry'!$Q$279)</f>
      </c>
      <c r="R279">
        <f>IF(ISBLANK('Data Entry'!$R$279), "", 'Data Entry'!$R$279)</f>
      </c>
      <c r="S279">
        <f>IF(ISBLANK('Data Entry'!$S$279), "", 'Data Entry'!$S$279)</f>
      </c>
      <c r="T279">
        <f>IF(ISBLANK('Data Entry'!$T$279), "", 'Data Entry'!$T$279)</f>
      </c>
      <c r="U279">
        <f>IF(ISBLANK('Data Entry'!$U$279), "", 'Data Entry'!$U$279)</f>
      </c>
      <c r="V279">
        <f>IF(ISBLANK('Data Entry'!$V$279), "", 'Data Entry'!$V$279)</f>
      </c>
      <c r="W279">
        <f>IF(ISBLANK('Data Entry'!$W$279), "", 'Data Entry'!$W$279)</f>
      </c>
      <c r="X279">
        <f>IF(ISBLANK('Data Entry'!$X$279), "", 'Data Entry'!$X$279)</f>
      </c>
      <c r="Y279">
        <f>IF(ISBLANK('Data Entry'!$Y$279), "", 'Data Entry'!$Y$279)</f>
      </c>
      <c r="Z279">
        <f>IF(ISBLANK('Data Entry'!$Z$279), "", 'Data Entry'!$Z$279)</f>
      </c>
      <c r="AA279">
        <f>IF(ISBLANK('Data Entry'!$[$279), "", 'Data Entry'!$[$279)</f>
      </c>
      <c r="AB279">
        <f>IF(ISBLANK('Data Entry'!$\$279), "", 'Data Entry'!$\$279)</f>
      </c>
      <c r="AC279">
        <f>IF(ISBLANK('Data Entry'!$]$279), "", 'Data Entry'!$]$279)</f>
      </c>
      <c r="AD279">
        <f>IF(ISBLANK('Data Entry'!$^$279), "", 'Data Entry'!$^$279)</f>
      </c>
      <c r="AE279">
        <f>IF(ISBLANK('Data Entry'!$_$279), "", 'Data Entry'!$_$279)</f>
      </c>
      <c r="AF279">
        <f>IF(ISBLANK('Data Entry'!$`$279), "", 'Data Entry'!$`$279)</f>
      </c>
      <c r="AG279">
        <f>IF(ISBLANK('Data Entry'!$a$279), "", 'Data Entry'!$a$279)</f>
      </c>
      <c r="AH279">
        <f>IF(ISBLANK('Data Entry'!$b$279), "", 'Data Entry'!$b$279)</f>
      </c>
      <c r="AI279">
        <f>IF(ISBLANK('Data Entry'!$c$279), "", 'Data Entry'!$c$279)</f>
      </c>
      <c r="AJ279">
        <f>IF(ISBLANK('Data Entry'!$d$279), "", 'Data Entry'!$d$279)</f>
      </c>
      <c r="AK279">
        <f>IF(ISBLANK('Data Entry'!$e$279), "", 'Data Entry'!$e$279)</f>
      </c>
      <c r="AL279">
        <f>IF(ISBLANK('Data Entry'!$f$279), "", 'Data Entry'!$f$279)</f>
      </c>
      <c r="AM279">
        <f>IF(ISBLANK('Data Entry'!$g$279), "", 'Data Entry'!$g$279)</f>
      </c>
      <c r="AN279">
        <f>IF(ISBLANK('Data Entry'!$h$279), "", 'Data Entry'!$h$279)</f>
      </c>
      <c r="AO279">
        <f>IF(ISBLANK('Data Entry'!$i$279), "", 'Data Entry'!$i$279)</f>
      </c>
      <c r="AP279">
        <f>IF(ISBLANK('Data Entry'!$j$279), "", 'Data Entry'!$j$279)</f>
      </c>
      <c r="AQ279">
        <f>IF(ISBLANK('Data Entry'!$k$279), "", 'Data Entry'!$k$279)</f>
      </c>
      <c r="AR279">
        <f>IF(ISBLANK('Data Entry'!$l$279), "", 'Data Entry'!$l$279)</f>
      </c>
      <c r="AS279">
        <f>IF(ISBLANK('Data Entry'!$m$279), "", 'Data Entry'!$m$279)</f>
      </c>
      <c r="AT279">
        <f>IF(ISBLANK('Data Entry'!$n$279), "", 'Data Entry'!$n$279)</f>
      </c>
      <c r="AU279">
        <f>IF(ISBLANK('Data Entry'!$o$279), "", 'Data Entry'!$o$279)</f>
      </c>
      <c r="AV279">
        <f>IF(ISBLANK('Data Entry'!$p$279), "", 'Data Entry'!$p$279)</f>
      </c>
      <c r="AW279">
        <f>IF(ISBLANK('Data Entry'!$q$279), "", 'Data Entry'!$q$279)</f>
      </c>
      <c r="AX279">
        <f>IF(ISBLANK('Data Entry'!$r$279), "", 'Data Entry'!$r$279)</f>
      </c>
      <c r="AY279">
        <f>IF(ISBLANK('Data Entry'!$s$279), "", 'Data Entry'!$s$279)</f>
      </c>
      <c r="AZ279">
        <f>IF(ISBLANK('Data Entry'!$t$279), "", 'Data Entry'!$t$279)</f>
      </c>
      <c r="BA279">
        <f>IF(ISBLANK('Data Entry'!$u$279), "", 'Data Entry'!$u$279)</f>
      </c>
      <c r="BB279">
        <f>IF(ISBLANK('Data Entry'!$v$279), "", 'Data Entry'!$v$279)</f>
      </c>
      <c r="BC279">
        <f>IF(ISBLANK('Data Entry'!$w$279), "", 'Data Entry'!$w$279)</f>
      </c>
      <c r="BD279">
        <f>IF(ISBLANK('Data Entry'!$x$279), "", 'Data Entry'!$x$279)</f>
      </c>
      <c r="BE279">
        <f>IF(ISBLANK('Data Entry'!$y$279), "", 'Data Entry'!$y$279)</f>
      </c>
      <c r="BF279">
        <f>IF(ISBLANK('Data Entry'!$z$279), "", 'Data Entry'!$z$279)</f>
      </c>
      <c r="BG279">
        <f>IF(ISBLANK('Data Entry'!${$279), "", 'Data Entry'!${$279)</f>
      </c>
      <c r="BH279">
        <f>IF(ISBLANK('Data Entry'!$|$279), "", 'Data Entry'!$|$279)</f>
      </c>
      <c r="BI279">
        <f>IF(ISBLANK('Data Entry'!$}$279), "", 'Data Entry'!$}$279)</f>
      </c>
      <c r="BJ279">
        <f>IF(ISBLANK('Data Entry'!$~$279), "", 'Data Entry'!$~$279)</f>
      </c>
      <c r="BK279">
        <f>IF(ISBLANK('Data Entry'!$$279), "", 'Data Entry'!$$279)</f>
      </c>
      <c r="BL279">
        <f>IF(ISBLANK('Data Entry'!$$279), "", 'Data Entry'!$$279)</f>
      </c>
      <c r="BM279">
        <f>IF(ISBLANK('Data Entry'!$$279), "", 'Data Entry'!$$279)</f>
      </c>
      <c r="BN279">
        <f>IF(ISBLANK('Data Entry'!$$279), "", 'Data Entry'!$$279)</f>
      </c>
      <c r="BO279">
        <f>IF(ISBLANK('Data Entry'!$$279), "", 'Data Entry'!$$279)</f>
      </c>
      <c r="BP279">
        <f>IF(ISBLANK('Data Entry'!$$279), "", 'Data Entry'!$$279)</f>
      </c>
      <c r="BQ279">
        <f>IF(ISBLANK('Data Entry'!$$279), "", 'Data Entry'!$$279)</f>
      </c>
      <c r="BR279">
        <f>IF(ISBLANK('Data Entry'!$$279), "", 'Data Entry'!$$279)</f>
      </c>
      <c r="BS279">
        <f>IF(ISBLANK('Data Entry'!$$279), "", 'Data Entry'!$$279)</f>
      </c>
      <c r="BT279">
        <f>IF(ISBLANK('Data Entry'!$$279), "", 'Data Entry'!$$279)</f>
      </c>
      <c r="BU279">
        <f>IF(ISBLANK('Data Entry'!$$279), "", 'Data Entry'!$$279)</f>
      </c>
      <c r="BV279">
        <f>IF(ISBLANK('Data Entry'!$$279), "", 'Data Entry'!$$279)</f>
      </c>
      <c r="BW279">
        <f>IF(ISBLANK('Data Entry'!$$279), "", 'Data Entry'!$$279)</f>
      </c>
      <c r="BX279">
        <f>IF(ISBLANK('Data Entry'!$$279), "", 'Data Entry'!$$279)</f>
      </c>
      <c r="BY279">
        <f>IF(ISBLANK('Data Entry'!$$279), "", 'Data Entry'!$$279)</f>
      </c>
      <c r="BZ279">
        <f>IF(ISBLANK('Data Entry'!$$279), "", 'Data Entry'!$$279)</f>
      </c>
      <c r="CA279">
        <f>IF(ISBLANK('Data Entry'!$$279), "", 'Data Entry'!$$279)</f>
      </c>
      <c r="CB279">
        <f>IF(ISBLANK('Data Entry'!$$279), "", 'Data Entry'!$$279)</f>
      </c>
      <c r="CC279">
        <f>IF(ISBLANK('Data Entry'!$$279), "", 'Data Entry'!$$279)</f>
      </c>
      <c r="CD279">
        <f>IF(ISBLANK('Data Entry'!$$279), "", 'Data Entry'!$$279)</f>
      </c>
      <c r="CE279">
        <f>IF(ISBLANK('Data Entry'!$$279), "", 'Data Entry'!$$279)</f>
      </c>
      <c r="CF279">
        <f>IF(ISBLANK('Data Entry'!$$279), "", 'Data Entry'!$$279)</f>
      </c>
      <c r="CG279">
        <f>IF(ISBLANK('Data Entry'!$$279), "", 'Data Entry'!$$279)</f>
      </c>
      <c r="CH279">
        <f>IF(ISBLANK('Data Entry'!$$279), "", 'Data Entry'!$$279)</f>
      </c>
      <c r="CI279">
        <f>IF(ISBLANK('Data Entry'!$$279), "", 'Data Entry'!$$279)</f>
      </c>
      <c r="CJ279">
        <f>IF(ISBLANK('Data Entry'!$$279), "", 'Data Entry'!$$279)</f>
      </c>
      <c r="CK279">
        <f>IF(ISBLANK('Data Entry'!$$279), "", 'Data Entry'!$$279)</f>
      </c>
      <c r="CL279">
        <f>IF(ISBLANK('Data Entry'!$$279), "", 'Data Entry'!$$279)</f>
      </c>
      <c r="CM279">
        <f>IF(ISBLANK('Data Entry'!$$279), "", 'Data Entry'!$$279)</f>
      </c>
      <c r="CN279">
        <f>IF(ISBLANK('Data Entry'!$$279), "", 'Data Entry'!$$279)</f>
      </c>
      <c r="CO279">
        <f>IF(ISBLANK('Data Entry'!$$279), "", 'Data Entry'!$$279)</f>
      </c>
      <c r="CP279">
        <f>IF(ISBLANK('Data Entry'!$$279), "", 'Data Entry'!$$279)</f>
      </c>
      <c r="CQ279">
        <f>IF(ISBLANK('Data Entry'!$$279), "", 'Data Entry'!$$279)</f>
      </c>
      <c r="CR279">
        <f>IF(ISBLANK('Data Entry'!$ $279), "", 'Data Entry'!$ $279)</f>
      </c>
      <c r="CS279">
        <f>IF(ISBLANK('Data Entry'!$¡$279), "", 'Data Entry'!$¡$279)</f>
      </c>
      <c r="CT279">
        <f>IF(ISBLANK('Data Entry'!$¢$279), "", 'Data Entry'!$¢$279)</f>
      </c>
      <c r="CU279">
        <f>IF(ISBLANK('Data Entry'!$£$279), "", 'Data Entry'!$£$279)</f>
      </c>
      <c r="CV279">
        <f>IF(ISBLANK('Data Entry'!$¤$279), "", 'Data Entry'!$¤$279)</f>
      </c>
      <c r="CW279">
        <f>IF(ISBLANK('Data Entry'!$¥$279), "", 'Data Entry'!$¥$279)</f>
      </c>
      <c r="CX279">
        <f>IF(ISBLANK('Data Entry'!$¦$279), "", 'Data Entry'!$¦$279)</f>
      </c>
      <c r="CY279">
        <f>IF(ISBLANK('Data Entry'!$§$279), "", 'Data Entry'!$§$279)</f>
      </c>
      <c r="CZ279">
        <f>IF(ISBLANK('Data Entry'!$¨$279), "", 'Data Entry'!$¨$279)</f>
      </c>
      <c r="DA279">
        <f>IF(ISBLANK('Data Entry'!$©$279), "", 'Data Entry'!$©$279)</f>
      </c>
      <c r="DB279">
        <f>IF(ISBLANK('Data Entry'!$ª$279), "", 'Data Entry'!$ª$279)</f>
      </c>
      <c r="DC279">
        <f>IF(ISBLANK('Data Entry'!$«$279), "", 'Data Entry'!$«$279)</f>
      </c>
      <c r="DD279">
        <f>IF(ISBLANK('Data Entry'!$¬$279), "", 'Data Entry'!$¬$279)</f>
      </c>
      <c r="DE279">
        <f>IF(ISBLANK('Data Entry'!$­$279), "", 'Data Entry'!$­$279)</f>
      </c>
      <c r="DF279">
        <f>IF(ISBLANK('Data Entry'!$®$279), "", 'Data Entry'!$®$279)</f>
      </c>
      <c r="DG279">
        <f>IF(ISBLANK('Data Entry'!$¯$279), "", 'Data Entry'!$¯$279)</f>
      </c>
      <c r="DH279">
        <f>IF(ISBLANK('Data Entry'!$°$279), "", 'Data Entry'!$°$279)</f>
      </c>
      <c r="DI279">
        <f>IF(ISBLANK('Data Entry'!$±$279), "", 'Data Entry'!$±$279)</f>
      </c>
      <c r="DJ279">
        <f>IF(ISBLANK('Data Entry'!$²$279), "", 'Data Entry'!$²$279)</f>
      </c>
      <c r="DK279">
        <f>IF(ISBLANK('Data Entry'!$³$279), "", 'Data Entry'!$³$279)</f>
      </c>
      <c r="DL279">
        <f>IF(ISBLANK('Data Entry'!$´$279), "", 'Data Entry'!$´$279)</f>
      </c>
      <c r="DM279">
        <f>IF(ISBLANK('Data Entry'!$µ$279), "", 'Data Entry'!$µ$279)</f>
      </c>
      <c r="DN279">
        <f>IF(ISBLANK('Data Entry'!$¶$279), "", 'Data Entry'!$¶$279)</f>
      </c>
      <c r="DO279">
        <f>IF(ISBLANK('Data Entry'!$·$279), "", 'Data Entry'!$·$279)</f>
      </c>
      <c r="DP279">
        <f>IF(ISBLANK('Data Entry'!$¸$279), "", 'Data Entry'!$¸$279)</f>
      </c>
      <c r="DQ279">
        <f>IF(ISBLANK('Data Entry'!$¹$279), "", 'Data Entry'!$¹$279)</f>
      </c>
      <c r="DR279">
        <f>IF(ISBLANK('Data Entry'!$º$279), "", 'Data Entry'!$º$279)</f>
      </c>
      <c r="DS279">
        <f>IF(ISBLANK('Data Entry'!$»$279), "", 'Data Entry'!$»$279)</f>
      </c>
      <c r="DT279">
        <f>IF(ISBLANK('Data Entry'!$¼$279), "", 'Data Entry'!$¼$279)</f>
      </c>
      <c r="DU279">
        <f>IF(ISBLANK('Data Entry'!$½$279), "", 'Data Entry'!$½$279)</f>
      </c>
      <c r="DV279">
        <f>IF(ISBLANK('Data Entry'!$¾$279), "", 'Data Entry'!$¾$279)</f>
      </c>
      <c r="DW279">
        <f>IF(ISBLANK('Data Entry'!$¿$279), "", 'Data Entry'!$¿$279)</f>
      </c>
      <c r="DX279">
        <f>IF(ISBLANK('Data Entry'!$À$279), "", 'Data Entry'!$À$279)</f>
      </c>
      <c r="DY279">
        <f>IF(ISBLANK('Data Entry'!$Á$279), "", 'Data Entry'!$Á$279)</f>
      </c>
      <c r="DZ279">
        <f>IF(ISBLANK('Data Entry'!$Â$279), "", 'Data Entry'!$Â$279)</f>
      </c>
      <c r="EA279">
        <f>IF(ISBLANK('Data Entry'!$Ã$279), "", 'Data Entry'!$Ã$279)</f>
      </c>
      <c r="EB279">
        <f>IF(ISBLANK('Data Entry'!$Ä$279), "", 'Data Entry'!$Ä$279)</f>
      </c>
      <c r="EC279">
        <f>IF(ISBLANK('Data Entry'!$Å$279), "", 'Data Entry'!$Å$279)</f>
      </c>
      <c r="ED279">
        <f>IF(ISBLANK('Data Entry'!$Æ$279), "", 'Data Entry'!$Æ$279)</f>
      </c>
      <c r="EE279">
        <f>IF(ISBLANK('Data Entry'!$Ç$279), "", 'Data Entry'!$Ç$279)</f>
      </c>
      <c r="EF279">
        <f>IF(ISBLANK('Data Entry'!$È$279), "", 'Data Entry'!$È$279)</f>
      </c>
      <c r="EG279">
        <f>IF(ISBLANK('Data Entry'!$É$279), "", 'Data Entry'!$É$279)</f>
      </c>
      <c r="EH279">
        <f>IF(ISBLANK('Data Entry'!$Ê$279), "", 'Data Entry'!$Ê$279)</f>
      </c>
      <c r="EI279">
        <f>IF(ISBLANK('Data Entry'!$Ë$279), "", 'Data Entry'!$Ë$279)</f>
      </c>
      <c r="EJ279">
        <f>IF(ISBLANK('Data Entry'!$Ì$279), "", 'Data Entry'!$Ì$279)</f>
      </c>
      <c r="EK279">
        <f>IF(ISBLANK('Data Entry'!$Í$279), "", 'Data Entry'!$Í$279)</f>
      </c>
      <c r="EL279">
        <f>IF(ISBLANK('Data Entry'!$Î$279), "", 'Data Entry'!$Î$279)</f>
      </c>
      <c r="EM279">
        <f>IF(ISBLANK('Data Entry'!$Ï$279), "", 'Data Entry'!$Ï$279)</f>
      </c>
      <c r="EN279">
        <f>IF(ISBLANK('Data Entry'!$Ð$279), "", 'Data Entry'!$Ð$279)</f>
      </c>
      <c r="EO279">
        <f>IF(ISBLANK('Data Entry'!$Ñ$279), "", 'Data Entry'!$Ñ$279)</f>
      </c>
      <c r="EP279">
        <f>IF(ISBLANK('Data Entry'!$Ò$279), "", 'Data Entry'!$Ò$279)</f>
      </c>
      <c r="EQ279">
        <f>IF(ISBLANK('Data Entry'!$Ó$279), "", 'Data Entry'!$Ó$279)</f>
      </c>
      <c r="ER279">
        <f>IF(ISBLANK('Data Entry'!$Ô$279), "", 'Data Entry'!$Ô$279)</f>
      </c>
      <c r="ES279">
        <f>IF(ISBLANK('Data Entry'!$Õ$279), "", 'Data Entry'!$Õ$279)</f>
      </c>
      <c r="ET279">
        <f>IF(ISBLANK('Data Entry'!$Ö$279), "", 'Data Entry'!$Ö$279)</f>
      </c>
      <c r="EU279">
        <f>IF(ISBLANK('Data Entry'!$×$279), "", 'Data Entry'!$×$279)</f>
      </c>
      <c r="EV279">
        <f>IF(ISBLANK('Data Entry'!$Ø$279), "", 'Data Entry'!$Ø$279)</f>
      </c>
      <c r="EW279">
        <f>IF(ISBLANK('Data Entry'!$Ù$279), "", 'Data Entry'!$Ù$279)</f>
      </c>
      <c r="EX279">
        <f>IF(ISBLANK('Data Entry'!$Ú$279), "", 'Data Entry'!$Ú$279)</f>
      </c>
      <c r="EY279">
        <f>IF(ISBLANK('Data Entry'!$Û$279), "", 'Data Entry'!$Û$279)</f>
      </c>
      <c r="EZ279">
        <f>IF(ISBLANK('Data Entry'!$Ü$279), "", 'Data Entry'!$Ü$279)</f>
      </c>
      <c r="FA279">
        <f>IF(ISBLANK('Data Entry'!$Ý$279), "", 'Data Entry'!$Ý$279)</f>
      </c>
      <c r="FB279">
        <f>IF(ISBLANK('Data Entry'!$Þ$279), "", 'Data Entry'!$Þ$279)</f>
      </c>
      <c r="FC279">
        <f>IF(ISBLANK('Data Entry'!$ß$279), "", 'Data Entry'!$ß$279)</f>
      </c>
      <c r="FD279">
        <f>IF(ISBLANK('Data Entry'!$à$279), "", 'Data Entry'!$à$279)</f>
      </c>
      <c r="FE279">
        <f>IF(ISBLANK('Data Entry'!$á$279), "", 'Data Entry'!$á$279)</f>
      </c>
      <c r="FF279">
        <f>IF(ISBLANK('Data Entry'!$â$279), "", 'Data Entry'!$â$279)</f>
      </c>
      <c r="FG279">
        <f>IF(ISBLANK('Data Entry'!$ã$279), "", 'Data Entry'!$ã$279)</f>
      </c>
      <c r="FH279">
        <f>IF(ISBLANK('Data Entry'!$ä$279), "", 'Data Entry'!$ä$279)</f>
      </c>
      <c r="FI279">
        <f>IF(ISBLANK('Data Entry'!$å$279), "", 'Data Entry'!$å$279)</f>
      </c>
      <c r="FJ279">
        <f>IF(ISBLANK('Data Entry'!$æ$279), "", 'Data Entry'!$æ$279)</f>
      </c>
      <c r="FK279">
        <f>IF(ISBLANK('Data Entry'!$ç$279), "", 'Data Entry'!$ç$279)</f>
      </c>
      <c r="FL279">
        <f>IF(ISBLANK('Data Entry'!$è$279), "", 'Data Entry'!$è$279)</f>
      </c>
      <c r="FM279">
        <f>IF(ISBLANK('Data Entry'!$é$279), "", 'Data Entry'!$é$279)</f>
      </c>
      <c r="FN279">
        <f>IF(ISBLANK('Data Entry'!$ê$279), "", 'Data Entry'!$ê$279)</f>
      </c>
      <c r="FO279">
        <f>IF(ISBLANK('Data Entry'!$ë$279), "", 'Data Entry'!$ë$279)</f>
      </c>
      <c r="FP279">
        <f>IF(ISBLANK('Data Entry'!$ì$279), "", 'Data Entry'!$ì$279)</f>
      </c>
      <c r="FQ279">
        <f>IF(ISBLANK('Data Entry'!$í$279), "", 'Data Entry'!$í$279)</f>
      </c>
      <c r="FR279">
        <f>IF(ISBLANK('Data Entry'!$î$279), "", 'Data Entry'!$î$279)</f>
      </c>
      <c r="FS279">
        <f>IF(ISBLANK('Data Entry'!$ï$279), "", 'Data Entry'!$ï$279)</f>
      </c>
      <c r="FT279">
        <f>IF(ISBLANK('Data Entry'!$ð$279), "", 'Data Entry'!$ð$279)</f>
      </c>
      <c r="FU279">
        <f>IF(ISBLANK('Data Entry'!$ñ$279), "", 'Data Entry'!$ñ$279)</f>
      </c>
      <c r="FV279">
        <f>IF(ISBLANK('Data Entry'!$ò$279), "", 'Data Entry'!$ò$279)</f>
      </c>
      <c r="FW279">
        <f>IF(ISBLANK('Data Entry'!$ó$279), "", 'Data Entry'!$ó$279)</f>
      </c>
      <c r="FX279">
        <f>IF(ISBLANK('Data Entry'!$ô$279), "", 'Data Entry'!$ô$279)</f>
      </c>
      <c r="FY279">
        <f>IF(ISBLANK('Data Entry'!$õ$279), "", 'Data Entry'!$õ$279)</f>
      </c>
      <c r="FZ279">
        <f>IF(ISBLANK('Data Entry'!$ö$279), "", 'Data Entry'!$ö$279)</f>
      </c>
      <c r="GA279">
        <f>IF(ISBLANK('Data Entry'!$÷$279), "", 'Data Entry'!$÷$279)</f>
      </c>
      <c r="GB279">
        <f>IF(ISBLANK('Data Entry'!$ø$279), "", 'Data Entry'!$ø$279)</f>
      </c>
      <c r="GC279">
        <f>IF(ISBLANK('Data Entry'!$ù$279), "", 'Data Entry'!$ù$279)</f>
      </c>
      <c r="GD279">
        <f>IF(ISBLANK('Data Entry'!$ú$279), "", 'Data Entry'!$ú$279)</f>
      </c>
      <c r="GE279">
        <f>IF(ISBLANK('Data Entry'!$û$279), "", 'Data Entry'!$û$279)</f>
      </c>
      <c r="GF279">
        <f>IF(ISBLANK('Data Entry'!$ü$279), "", 'Data Entry'!$ü$279)</f>
      </c>
      <c r="GG279">
        <f>IF(ISBLANK('Data Entry'!$ý$279), "", 'Data Entry'!$ý$279)</f>
      </c>
      <c r="GH279">
        <f>IF(ISBLANK('Data Entry'!$þ$279), "", 'Data Entry'!$þ$279)</f>
      </c>
      <c r="GI279">
        <f>IF(ISBLANK('Data Entry'!$ÿ$279), "", 'Data Entry'!$ÿ$279)</f>
      </c>
      <c r="GJ279">
        <f>IF(ISBLANK('Data Entry'!$Ā$279), "", 'Data Entry'!$Ā$279)</f>
      </c>
      <c r="GK279">
        <f>IF(ISBLANK('Data Entry'!$ā$279), "", 'Data Entry'!$ā$279)</f>
      </c>
      <c r="GL279">
        <f>IF(ISBLANK('Data Entry'!$Ă$279), "", 'Data Entry'!$Ă$279)</f>
      </c>
      <c r="GM279">
        <f>IF(ISBLANK('Data Entry'!$ă$279), "", 'Data Entry'!$ă$279)</f>
      </c>
      <c r="GN279">
        <f>IF(ISBLANK('Data Entry'!$Ą$279), "", 'Data Entry'!$Ą$279)</f>
      </c>
      <c r="GO279">
        <f>IF(ISBLANK('Data Entry'!$ą$279), "", 'Data Entry'!$ą$279)</f>
      </c>
      <c r="GP279">
        <f>IF(ISBLANK('Data Entry'!$Ć$279), "", 'Data Entry'!$Ć$279)</f>
      </c>
      <c r="GQ279">
        <f>IF(ISBLANK('Data Entry'!$ć$279), "", 'Data Entry'!$ć$279)</f>
      </c>
      <c r="GR279">
        <f>IF(ISBLANK('Data Entry'!$Ĉ$279), "", 'Data Entry'!$Ĉ$279)</f>
      </c>
      <c r="GS279">
        <f>IF(ISBLANK('Data Entry'!$ĉ$279), "", 'Data Entry'!$ĉ$279)</f>
      </c>
      <c r="GT279">
        <f>IF(ISBLANK('Data Entry'!$Ċ$279), "", 'Data Entry'!$Ċ$279)</f>
      </c>
      <c r="GU279">
        <f>IF(ISBLANK('Data Entry'!$ċ$279), "", 'Data Entry'!$ċ$279)</f>
      </c>
      <c r="GV279">
        <f>IF(ISBLANK('Data Entry'!$Č$279), "", 'Data Entry'!$Č$279)</f>
      </c>
      <c r="GW279">
        <f>IF(ISBLANK('Data Entry'!$č$279), "", 'Data Entry'!$č$279)</f>
      </c>
      <c r="GX279">
        <f>IF(ISBLANK('Data Entry'!$Ď$279), "", 'Data Entry'!$Ď$279)</f>
      </c>
      <c r="GY279">
        <f>IF(ISBLANK('Data Entry'!$ď$279), "", 'Data Entry'!$ď$279)</f>
      </c>
      <c r="GZ279">
        <f>IF(ISBLANK('Data Entry'!$Đ$279), "", 'Data Entry'!$Đ$279)</f>
      </c>
      <c r="HA279">
        <f>IF(ISBLANK('Data Entry'!$đ$279), "", 'Data Entry'!$đ$279)</f>
      </c>
      <c r="HB279">
        <f>IF(ISBLANK('Data Entry'!$Ē$279), "", 'Data Entry'!$Ē$279)</f>
      </c>
      <c r="HC279">
        <f>IF(ISBLANK('Data Entry'!$ē$279), "", 'Data Entry'!$ē$279)</f>
      </c>
      <c r="HD279">
        <f>IF(ISBLANK('Data Entry'!$Ĕ$279), "", 'Data Entry'!$Ĕ$279)</f>
      </c>
      <c r="HE279">
        <f>IF(ISBLANK('Data Entry'!$ĕ$279), "", 'Data Entry'!$ĕ$279)</f>
      </c>
      <c r="HF279">
        <f>IF(ISBLANK('Data Entry'!$Ė$279), "", 'Data Entry'!$Ė$279)</f>
      </c>
      <c r="HG279">
        <f>IF(ISBLANK('Data Entry'!$ė$279), "", 'Data Entry'!$ė$279)</f>
      </c>
      <c r="HH279">
        <f>IF(ISBLANK('Data Entry'!$Ę$279), "", 'Data Entry'!$Ę$279)</f>
      </c>
      <c r="HI279">
        <f>IF(ISBLANK('Data Entry'!$ę$279), "", 'Data Entry'!$ę$279)</f>
      </c>
      <c r="HJ279">
        <f>IF(ISBLANK('Data Entry'!$Ě$279), "", 'Data Entry'!$Ě$279)</f>
      </c>
      <c r="HK279">
        <f>IF(ISBLANK('Data Entry'!$ě$279), "", 'Data Entry'!$ě$279)</f>
      </c>
      <c r="HL279">
        <f>IF(ISBLANK('Data Entry'!$Ĝ$279), "", 'Data Entry'!$Ĝ$279)</f>
      </c>
      <c r="HM279">
        <f>IF(ISBLANK('Data Entry'!$ĝ$279), "", 'Data Entry'!$ĝ$279)</f>
      </c>
      <c r="HN279">
        <f>IF(ISBLANK('Data Entry'!$Ğ$279), "", 'Data Entry'!$Ğ$279)</f>
      </c>
      <c r="HO279">
        <f>IF(ISBLANK('Data Entry'!$ğ$279), "", 'Data Entry'!$ğ$279)</f>
      </c>
      <c r="HP279">
        <f>IF(ISBLANK('Data Entry'!$Ġ$279), "", 'Data Entry'!$Ġ$279)</f>
      </c>
      <c r="HQ279">
        <f>IF(ISBLANK('Data Entry'!$ġ$279), "", 'Data Entry'!$ġ$279)</f>
      </c>
      <c r="HR279">
        <f>IF(ISBLANK('Data Entry'!$Ģ$279), "", 'Data Entry'!$Ģ$279)</f>
      </c>
      <c r="HS279">
        <f>IF(ISBLANK('Data Entry'!$ģ$279), "", 'Data Entry'!$ģ$279)</f>
      </c>
      <c r="HT279">
        <f>IF(ISBLANK('Data Entry'!$Ĥ$279), "", 'Data Entry'!$Ĥ$279)</f>
      </c>
      <c r="HU279">
        <f>IF(ISBLANK('Data Entry'!$ĥ$279), "", 'Data Entry'!$ĥ$279)</f>
      </c>
      <c r="HV279">
        <f>IF(ISBLANK('Data Entry'!$Ħ$279), "", 'Data Entry'!$Ħ$279)</f>
      </c>
      <c r="HW279">
        <f>IF(ISBLANK('Data Entry'!$ħ$279), "", 'Data Entry'!$ħ$279)</f>
      </c>
      <c r="HX279">
        <f>IF(ISBLANK('Data Entry'!$Ĩ$279), "", 'Data Entry'!$Ĩ$279)</f>
      </c>
      <c r="HY279">
        <f>IF(ISBLANK('Data Entry'!$ĩ$279), "", 'Data Entry'!$ĩ$279)</f>
      </c>
      <c r="HZ279">
        <f>IF(ISBLANK('Data Entry'!$Ī$279), "", 'Data Entry'!$Ī$279)</f>
      </c>
      <c r="IA279">
        <f>IF(ISBLANK('Data Entry'!$ī$279), "", 'Data Entry'!$ī$279)</f>
      </c>
      <c r="IB279">
        <f>IF(ISBLANK('Data Entry'!$Ĭ$279), "", 'Data Entry'!$Ĭ$279)</f>
      </c>
      <c r="IC279">
        <f>IF(ISBLANK('Data Entry'!$ĭ$279), "", 'Data Entry'!$ĭ$279)</f>
      </c>
      <c r="ID279">
        <f>IF(ISBLANK('Data Entry'!$Į$279), "", 'Data Entry'!$Į$279)</f>
      </c>
      <c r="IE279">
        <f>IF(ISBLANK('Data Entry'!$į$279), "", 'Data Entry'!$į$279)</f>
      </c>
      <c r="IF279">
        <f>IF(ISBLANK('Data Entry'!$İ$279), "", 'Data Entry'!$İ$279)</f>
      </c>
      <c r="IG279">
        <f>IF(ISBLANK('Data Entry'!$ı$279), "", 'Data Entry'!$ı$279)</f>
      </c>
      <c r="IH279">
        <f>IF(ISBLANK('Data Entry'!$Ĳ$279), "", 'Data Entry'!$Ĳ$279)</f>
      </c>
      <c r="II279">
        <f>IF(ISBLANK('Data Entry'!$ĳ$279), "", 'Data Entry'!$ĳ$279)</f>
      </c>
      <c r="IJ279">
        <f>IF(ISBLANK('Data Entry'!$Ĵ$279), "", 'Data Entry'!$Ĵ$279)</f>
      </c>
      <c r="IK279">
        <f>IF(ISBLANK('Data Entry'!$ĵ$279), "", 'Data Entry'!$ĵ$279)</f>
      </c>
      <c r="IL279">
        <f>IF(ISBLANK('Data Entry'!$Ķ$279), "", 'Data Entry'!$Ķ$279)</f>
      </c>
      <c r="IM279">
        <f>IF(ISBLANK('Data Entry'!$ķ$279), "", 'Data Entry'!$ķ$279)</f>
      </c>
      <c r="IN279">
        <f>IF(ISBLANK('Data Entry'!$ĸ$279), "", 'Data Entry'!$ĸ$279)</f>
      </c>
      <c r="IO279">
        <f>IF(ISBLANK('Data Entry'!$Ĺ$279), "", 'Data Entry'!$Ĺ$279)</f>
      </c>
      <c r="IP279">
        <f>IF(ISBLANK('Data Entry'!$ĺ$279), "", 'Data Entry'!$ĺ$279)</f>
      </c>
      <c r="IQ279">
        <f>IF(ISBLANK('Data Entry'!$Ļ$279), "", 'Data Entry'!$Ļ$279)</f>
      </c>
      <c r="IR279">
        <f>IF(ISBLANK('Data Entry'!$ļ$279), "", 'Data Entry'!$ļ$279)</f>
      </c>
      <c r="IS279">
        <f>IF(ISBLANK('Data Entry'!$Ľ$279), "", 'Data Entry'!$Ľ$279)</f>
      </c>
      <c r="IT279">
        <f>IF(ISBLANK('Data Entry'!$ľ$279), "", 'Data Entry'!$ľ$279)</f>
      </c>
    </row>
    <row r="280" spans="1:254" x14ac:dyDescent="0.25">
      <c r="A280">
        <f>IF(ISBLANK('Data Entry'!$A$280), "", 'Data Entry'!$A$280)</f>
      </c>
      <c r="B280">
        <f>IF(ISBLANK('Data Entry'!$B$280), "", 'Data Entry'!$B$280)</f>
      </c>
      <c r="C280">
        <f>IF(ISBLANK('Data Entry'!$C$280), "", 'Data Entry'!$C$280)</f>
      </c>
      <c r="D280">
        <f>IF(ISBLANK('Data Entry'!$D$280), "", 'Data Entry'!$D$280)</f>
      </c>
      <c r="E280">
        <f>IF(ISBLANK('Data Entry'!$E$280), "", 'Data Entry'!$E$280)</f>
      </c>
      <c r="F280">
        <f>IF(ISBLANK('Data Entry'!$F$280), "", 'Data Entry'!$F$280)</f>
      </c>
      <c r="G280">
        <f>IF(ISBLANK('Data Entry'!$G$280), "", 'Data Entry'!$G$280)</f>
      </c>
      <c r="H280">
        <f>IF(ISBLANK('Data Entry'!$H$280), "", 'Data Entry'!$H$280)</f>
      </c>
      <c r="I280">
        <f>IF(ISBLANK('Data Entry'!$I$280), "", 'Data Entry'!$I$280)</f>
      </c>
      <c r="J280">
        <f>IF(ISBLANK('Data Entry'!$J$280), "", 'Data Entry'!$J$280)</f>
      </c>
      <c r="K280">
        <f>IF(ISBLANK('Data Entry'!$K$280), "", 'Data Entry'!$K$280)</f>
      </c>
      <c r="L280">
        <f>IF(ISBLANK('Data Entry'!$L$280), "", 'Data Entry'!$L$280)</f>
      </c>
      <c r="M280">
        <f>IF(ISBLANK('Data Entry'!$M$280), "", 'Data Entry'!$M$280)</f>
      </c>
      <c r="N280">
        <f>IF(ISBLANK('Data Entry'!$N$280), "", 'Data Entry'!$N$280)</f>
      </c>
      <c r="O280">
        <f>IF(ISBLANK('Data Entry'!$O$280), "", 'Data Entry'!$O$280)</f>
      </c>
      <c r="P280">
        <f>IF(ISBLANK('Data Entry'!$P$280), "", 'Data Entry'!$P$280)</f>
      </c>
      <c r="Q280">
        <f>IF(ISBLANK('Data Entry'!$Q$280), "", 'Data Entry'!$Q$280)</f>
      </c>
      <c r="R280">
        <f>IF(ISBLANK('Data Entry'!$R$280), "", 'Data Entry'!$R$280)</f>
      </c>
      <c r="S280">
        <f>IF(ISBLANK('Data Entry'!$S$280), "", 'Data Entry'!$S$280)</f>
      </c>
      <c r="T280">
        <f>IF(ISBLANK('Data Entry'!$T$280), "", 'Data Entry'!$T$280)</f>
      </c>
      <c r="U280">
        <f>IF(ISBLANK('Data Entry'!$U$280), "", 'Data Entry'!$U$280)</f>
      </c>
      <c r="V280">
        <f>IF(ISBLANK('Data Entry'!$V$280), "", 'Data Entry'!$V$280)</f>
      </c>
      <c r="W280">
        <f>IF(ISBLANK('Data Entry'!$W$280), "", 'Data Entry'!$W$280)</f>
      </c>
      <c r="X280">
        <f>IF(ISBLANK('Data Entry'!$X$280), "", 'Data Entry'!$X$280)</f>
      </c>
      <c r="Y280">
        <f>IF(ISBLANK('Data Entry'!$Y$280), "", 'Data Entry'!$Y$280)</f>
      </c>
      <c r="Z280">
        <f>IF(ISBLANK('Data Entry'!$Z$280), "", 'Data Entry'!$Z$280)</f>
      </c>
      <c r="AA280">
        <f>IF(ISBLANK('Data Entry'!$[$280), "", 'Data Entry'!$[$280)</f>
      </c>
      <c r="AB280">
        <f>IF(ISBLANK('Data Entry'!$\$280), "", 'Data Entry'!$\$280)</f>
      </c>
      <c r="AC280">
        <f>IF(ISBLANK('Data Entry'!$]$280), "", 'Data Entry'!$]$280)</f>
      </c>
      <c r="AD280">
        <f>IF(ISBLANK('Data Entry'!$^$280), "", 'Data Entry'!$^$280)</f>
      </c>
      <c r="AE280">
        <f>IF(ISBLANK('Data Entry'!$_$280), "", 'Data Entry'!$_$280)</f>
      </c>
      <c r="AF280">
        <f>IF(ISBLANK('Data Entry'!$`$280), "", 'Data Entry'!$`$280)</f>
      </c>
      <c r="AG280">
        <f>IF(ISBLANK('Data Entry'!$a$280), "", 'Data Entry'!$a$280)</f>
      </c>
      <c r="AH280">
        <f>IF(ISBLANK('Data Entry'!$b$280), "", 'Data Entry'!$b$280)</f>
      </c>
      <c r="AI280">
        <f>IF(ISBLANK('Data Entry'!$c$280), "", 'Data Entry'!$c$280)</f>
      </c>
      <c r="AJ280">
        <f>IF(ISBLANK('Data Entry'!$d$280), "", 'Data Entry'!$d$280)</f>
      </c>
      <c r="AK280">
        <f>IF(ISBLANK('Data Entry'!$e$280), "", 'Data Entry'!$e$280)</f>
      </c>
      <c r="AL280">
        <f>IF(ISBLANK('Data Entry'!$f$280), "", 'Data Entry'!$f$280)</f>
      </c>
      <c r="AM280">
        <f>IF(ISBLANK('Data Entry'!$g$280), "", 'Data Entry'!$g$280)</f>
      </c>
      <c r="AN280">
        <f>IF(ISBLANK('Data Entry'!$h$280), "", 'Data Entry'!$h$280)</f>
      </c>
      <c r="AO280">
        <f>IF(ISBLANK('Data Entry'!$i$280), "", 'Data Entry'!$i$280)</f>
      </c>
      <c r="AP280">
        <f>IF(ISBLANK('Data Entry'!$j$280), "", 'Data Entry'!$j$280)</f>
      </c>
      <c r="AQ280">
        <f>IF(ISBLANK('Data Entry'!$k$280), "", 'Data Entry'!$k$280)</f>
      </c>
      <c r="AR280">
        <f>IF(ISBLANK('Data Entry'!$l$280), "", 'Data Entry'!$l$280)</f>
      </c>
      <c r="AS280">
        <f>IF(ISBLANK('Data Entry'!$m$280), "", 'Data Entry'!$m$280)</f>
      </c>
      <c r="AT280">
        <f>IF(ISBLANK('Data Entry'!$n$280), "", 'Data Entry'!$n$280)</f>
      </c>
      <c r="AU280">
        <f>IF(ISBLANK('Data Entry'!$o$280), "", 'Data Entry'!$o$280)</f>
      </c>
      <c r="AV280">
        <f>IF(ISBLANK('Data Entry'!$p$280), "", 'Data Entry'!$p$280)</f>
      </c>
      <c r="AW280">
        <f>IF(ISBLANK('Data Entry'!$q$280), "", 'Data Entry'!$q$280)</f>
      </c>
      <c r="AX280">
        <f>IF(ISBLANK('Data Entry'!$r$280), "", 'Data Entry'!$r$280)</f>
      </c>
      <c r="AY280">
        <f>IF(ISBLANK('Data Entry'!$s$280), "", 'Data Entry'!$s$280)</f>
      </c>
      <c r="AZ280">
        <f>IF(ISBLANK('Data Entry'!$t$280), "", 'Data Entry'!$t$280)</f>
      </c>
      <c r="BA280">
        <f>IF(ISBLANK('Data Entry'!$u$280), "", 'Data Entry'!$u$280)</f>
      </c>
      <c r="BB280">
        <f>IF(ISBLANK('Data Entry'!$v$280), "", 'Data Entry'!$v$280)</f>
      </c>
      <c r="BC280">
        <f>IF(ISBLANK('Data Entry'!$w$280), "", 'Data Entry'!$w$280)</f>
      </c>
      <c r="BD280">
        <f>IF(ISBLANK('Data Entry'!$x$280), "", 'Data Entry'!$x$280)</f>
      </c>
      <c r="BE280">
        <f>IF(ISBLANK('Data Entry'!$y$280), "", 'Data Entry'!$y$280)</f>
      </c>
      <c r="BF280">
        <f>IF(ISBLANK('Data Entry'!$z$280), "", 'Data Entry'!$z$280)</f>
      </c>
      <c r="BG280">
        <f>IF(ISBLANK('Data Entry'!${$280), "", 'Data Entry'!${$280)</f>
      </c>
      <c r="BH280">
        <f>IF(ISBLANK('Data Entry'!$|$280), "", 'Data Entry'!$|$280)</f>
      </c>
      <c r="BI280">
        <f>IF(ISBLANK('Data Entry'!$}$280), "", 'Data Entry'!$}$280)</f>
      </c>
      <c r="BJ280">
        <f>IF(ISBLANK('Data Entry'!$~$280), "", 'Data Entry'!$~$280)</f>
      </c>
      <c r="BK280">
        <f>IF(ISBLANK('Data Entry'!$$280), "", 'Data Entry'!$$280)</f>
      </c>
      <c r="BL280">
        <f>IF(ISBLANK('Data Entry'!$$280), "", 'Data Entry'!$$280)</f>
      </c>
      <c r="BM280">
        <f>IF(ISBLANK('Data Entry'!$$280), "", 'Data Entry'!$$280)</f>
      </c>
      <c r="BN280">
        <f>IF(ISBLANK('Data Entry'!$$280), "", 'Data Entry'!$$280)</f>
      </c>
      <c r="BO280">
        <f>IF(ISBLANK('Data Entry'!$$280), "", 'Data Entry'!$$280)</f>
      </c>
      <c r="BP280">
        <f>IF(ISBLANK('Data Entry'!$$280), "", 'Data Entry'!$$280)</f>
      </c>
      <c r="BQ280">
        <f>IF(ISBLANK('Data Entry'!$$280), "", 'Data Entry'!$$280)</f>
      </c>
      <c r="BR280">
        <f>IF(ISBLANK('Data Entry'!$$280), "", 'Data Entry'!$$280)</f>
      </c>
      <c r="BS280">
        <f>IF(ISBLANK('Data Entry'!$$280), "", 'Data Entry'!$$280)</f>
      </c>
      <c r="BT280">
        <f>IF(ISBLANK('Data Entry'!$$280), "", 'Data Entry'!$$280)</f>
      </c>
      <c r="BU280">
        <f>IF(ISBLANK('Data Entry'!$$280), "", 'Data Entry'!$$280)</f>
      </c>
      <c r="BV280">
        <f>IF(ISBLANK('Data Entry'!$$280), "", 'Data Entry'!$$280)</f>
      </c>
      <c r="BW280">
        <f>IF(ISBLANK('Data Entry'!$$280), "", 'Data Entry'!$$280)</f>
      </c>
      <c r="BX280">
        <f>IF(ISBLANK('Data Entry'!$$280), "", 'Data Entry'!$$280)</f>
      </c>
      <c r="BY280">
        <f>IF(ISBLANK('Data Entry'!$$280), "", 'Data Entry'!$$280)</f>
      </c>
      <c r="BZ280">
        <f>IF(ISBLANK('Data Entry'!$$280), "", 'Data Entry'!$$280)</f>
      </c>
      <c r="CA280">
        <f>IF(ISBLANK('Data Entry'!$$280), "", 'Data Entry'!$$280)</f>
      </c>
      <c r="CB280">
        <f>IF(ISBLANK('Data Entry'!$$280), "", 'Data Entry'!$$280)</f>
      </c>
      <c r="CC280">
        <f>IF(ISBLANK('Data Entry'!$$280), "", 'Data Entry'!$$280)</f>
      </c>
      <c r="CD280">
        <f>IF(ISBLANK('Data Entry'!$$280), "", 'Data Entry'!$$280)</f>
      </c>
      <c r="CE280">
        <f>IF(ISBLANK('Data Entry'!$$280), "", 'Data Entry'!$$280)</f>
      </c>
      <c r="CF280">
        <f>IF(ISBLANK('Data Entry'!$$280), "", 'Data Entry'!$$280)</f>
      </c>
      <c r="CG280">
        <f>IF(ISBLANK('Data Entry'!$$280), "", 'Data Entry'!$$280)</f>
      </c>
      <c r="CH280">
        <f>IF(ISBLANK('Data Entry'!$$280), "", 'Data Entry'!$$280)</f>
      </c>
      <c r="CI280">
        <f>IF(ISBLANK('Data Entry'!$$280), "", 'Data Entry'!$$280)</f>
      </c>
      <c r="CJ280">
        <f>IF(ISBLANK('Data Entry'!$$280), "", 'Data Entry'!$$280)</f>
      </c>
      <c r="CK280">
        <f>IF(ISBLANK('Data Entry'!$$280), "", 'Data Entry'!$$280)</f>
      </c>
      <c r="CL280">
        <f>IF(ISBLANK('Data Entry'!$$280), "", 'Data Entry'!$$280)</f>
      </c>
      <c r="CM280">
        <f>IF(ISBLANK('Data Entry'!$$280), "", 'Data Entry'!$$280)</f>
      </c>
      <c r="CN280">
        <f>IF(ISBLANK('Data Entry'!$$280), "", 'Data Entry'!$$280)</f>
      </c>
      <c r="CO280">
        <f>IF(ISBLANK('Data Entry'!$$280), "", 'Data Entry'!$$280)</f>
      </c>
      <c r="CP280">
        <f>IF(ISBLANK('Data Entry'!$$280), "", 'Data Entry'!$$280)</f>
      </c>
      <c r="CQ280">
        <f>IF(ISBLANK('Data Entry'!$$280), "", 'Data Entry'!$$280)</f>
      </c>
      <c r="CR280">
        <f>IF(ISBLANK('Data Entry'!$ $280), "", 'Data Entry'!$ $280)</f>
      </c>
      <c r="CS280">
        <f>IF(ISBLANK('Data Entry'!$¡$280), "", 'Data Entry'!$¡$280)</f>
      </c>
      <c r="CT280">
        <f>IF(ISBLANK('Data Entry'!$¢$280), "", 'Data Entry'!$¢$280)</f>
      </c>
      <c r="CU280">
        <f>IF(ISBLANK('Data Entry'!$£$280), "", 'Data Entry'!$£$280)</f>
      </c>
      <c r="CV280">
        <f>IF(ISBLANK('Data Entry'!$¤$280), "", 'Data Entry'!$¤$280)</f>
      </c>
      <c r="CW280">
        <f>IF(ISBLANK('Data Entry'!$¥$280), "", 'Data Entry'!$¥$280)</f>
      </c>
      <c r="CX280">
        <f>IF(ISBLANK('Data Entry'!$¦$280), "", 'Data Entry'!$¦$280)</f>
      </c>
      <c r="CY280">
        <f>IF(ISBLANK('Data Entry'!$§$280), "", 'Data Entry'!$§$280)</f>
      </c>
      <c r="CZ280">
        <f>IF(ISBLANK('Data Entry'!$¨$280), "", 'Data Entry'!$¨$280)</f>
      </c>
      <c r="DA280">
        <f>IF(ISBLANK('Data Entry'!$©$280), "", 'Data Entry'!$©$280)</f>
      </c>
      <c r="DB280">
        <f>IF(ISBLANK('Data Entry'!$ª$280), "", 'Data Entry'!$ª$280)</f>
      </c>
      <c r="DC280">
        <f>IF(ISBLANK('Data Entry'!$«$280), "", 'Data Entry'!$«$280)</f>
      </c>
      <c r="DD280">
        <f>IF(ISBLANK('Data Entry'!$¬$280), "", 'Data Entry'!$¬$280)</f>
      </c>
      <c r="DE280">
        <f>IF(ISBLANK('Data Entry'!$­$280), "", 'Data Entry'!$­$280)</f>
      </c>
      <c r="DF280">
        <f>IF(ISBLANK('Data Entry'!$®$280), "", 'Data Entry'!$®$280)</f>
      </c>
      <c r="DG280">
        <f>IF(ISBLANK('Data Entry'!$¯$280), "", 'Data Entry'!$¯$280)</f>
      </c>
      <c r="DH280">
        <f>IF(ISBLANK('Data Entry'!$°$280), "", 'Data Entry'!$°$280)</f>
      </c>
      <c r="DI280">
        <f>IF(ISBLANK('Data Entry'!$±$280), "", 'Data Entry'!$±$280)</f>
      </c>
      <c r="DJ280">
        <f>IF(ISBLANK('Data Entry'!$²$280), "", 'Data Entry'!$²$280)</f>
      </c>
      <c r="DK280">
        <f>IF(ISBLANK('Data Entry'!$³$280), "", 'Data Entry'!$³$280)</f>
      </c>
      <c r="DL280">
        <f>IF(ISBLANK('Data Entry'!$´$280), "", 'Data Entry'!$´$280)</f>
      </c>
      <c r="DM280">
        <f>IF(ISBLANK('Data Entry'!$µ$280), "", 'Data Entry'!$µ$280)</f>
      </c>
      <c r="DN280">
        <f>IF(ISBLANK('Data Entry'!$¶$280), "", 'Data Entry'!$¶$280)</f>
      </c>
      <c r="DO280">
        <f>IF(ISBLANK('Data Entry'!$·$280), "", 'Data Entry'!$·$280)</f>
      </c>
      <c r="DP280">
        <f>IF(ISBLANK('Data Entry'!$¸$280), "", 'Data Entry'!$¸$280)</f>
      </c>
      <c r="DQ280">
        <f>IF(ISBLANK('Data Entry'!$¹$280), "", 'Data Entry'!$¹$280)</f>
      </c>
      <c r="DR280">
        <f>IF(ISBLANK('Data Entry'!$º$280), "", 'Data Entry'!$º$280)</f>
      </c>
      <c r="DS280">
        <f>IF(ISBLANK('Data Entry'!$»$280), "", 'Data Entry'!$»$280)</f>
      </c>
      <c r="DT280">
        <f>IF(ISBLANK('Data Entry'!$¼$280), "", 'Data Entry'!$¼$280)</f>
      </c>
      <c r="DU280">
        <f>IF(ISBLANK('Data Entry'!$½$280), "", 'Data Entry'!$½$280)</f>
      </c>
      <c r="DV280">
        <f>IF(ISBLANK('Data Entry'!$¾$280), "", 'Data Entry'!$¾$280)</f>
      </c>
      <c r="DW280">
        <f>IF(ISBLANK('Data Entry'!$¿$280), "", 'Data Entry'!$¿$280)</f>
      </c>
      <c r="DX280">
        <f>IF(ISBLANK('Data Entry'!$À$280), "", 'Data Entry'!$À$280)</f>
      </c>
      <c r="DY280">
        <f>IF(ISBLANK('Data Entry'!$Á$280), "", 'Data Entry'!$Á$280)</f>
      </c>
      <c r="DZ280">
        <f>IF(ISBLANK('Data Entry'!$Â$280), "", 'Data Entry'!$Â$280)</f>
      </c>
      <c r="EA280">
        <f>IF(ISBLANK('Data Entry'!$Ã$280), "", 'Data Entry'!$Ã$280)</f>
      </c>
      <c r="EB280">
        <f>IF(ISBLANK('Data Entry'!$Ä$280), "", 'Data Entry'!$Ä$280)</f>
      </c>
      <c r="EC280">
        <f>IF(ISBLANK('Data Entry'!$Å$280), "", 'Data Entry'!$Å$280)</f>
      </c>
      <c r="ED280">
        <f>IF(ISBLANK('Data Entry'!$Æ$280), "", 'Data Entry'!$Æ$280)</f>
      </c>
      <c r="EE280">
        <f>IF(ISBLANK('Data Entry'!$Ç$280), "", 'Data Entry'!$Ç$280)</f>
      </c>
      <c r="EF280">
        <f>IF(ISBLANK('Data Entry'!$È$280), "", 'Data Entry'!$È$280)</f>
      </c>
      <c r="EG280">
        <f>IF(ISBLANK('Data Entry'!$É$280), "", 'Data Entry'!$É$280)</f>
      </c>
      <c r="EH280">
        <f>IF(ISBLANK('Data Entry'!$Ê$280), "", 'Data Entry'!$Ê$280)</f>
      </c>
      <c r="EI280">
        <f>IF(ISBLANK('Data Entry'!$Ë$280), "", 'Data Entry'!$Ë$280)</f>
      </c>
      <c r="EJ280">
        <f>IF(ISBLANK('Data Entry'!$Ì$280), "", 'Data Entry'!$Ì$280)</f>
      </c>
      <c r="EK280">
        <f>IF(ISBLANK('Data Entry'!$Í$280), "", 'Data Entry'!$Í$280)</f>
      </c>
      <c r="EL280">
        <f>IF(ISBLANK('Data Entry'!$Î$280), "", 'Data Entry'!$Î$280)</f>
      </c>
      <c r="EM280">
        <f>IF(ISBLANK('Data Entry'!$Ï$280), "", 'Data Entry'!$Ï$280)</f>
      </c>
      <c r="EN280">
        <f>IF(ISBLANK('Data Entry'!$Ð$280), "", 'Data Entry'!$Ð$280)</f>
      </c>
      <c r="EO280">
        <f>IF(ISBLANK('Data Entry'!$Ñ$280), "", 'Data Entry'!$Ñ$280)</f>
      </c>
      <c r="EP280">
        <f>IF(ISBLANK('Data Entry'!$Ò$280), "", 'Data Entry'!$Ò$280)</f>
      </c>
      <c r="EQ280">
        <f>IF(ISBLANK('Data Entry'!$Ó$280), "", 'Data Entry'!$Ó$280)</f>
      </c>
      <c r="ER280">
        <f>IF(ISBLANK('Data Entry'!$Ô$280), "", 'Data Entry'!$Ô$280)</f>
      </c>
      <c r="ES280">
        <f>IF(ISBLANK('Data Entry'!$Õ$280), "", 'Data Entry'!$Õ$280)</f>
      </c>
      <c r="ET280">
        <f>IF(ISBLANK('Data Entry'!$Ö$280), "", 'Data Entry'!$Ö$280)</f>
      </c>
      <c r="EU280">
        <f>IF(ISBLANK('Data Entry'!$×$280), "", 'Data Entry'!$×$280)</f>
      </c>
      <c r="EV280">
        <f>IF(ISBLANK('Data Entry'!$Ø$280), "", 'Data Entry'!$Ø$280)</f>
      </c>
      <c r="EW280">
        <f>IF(ISBLANK('Data Entry'!$Ù$280), "", 'Data Entry'!$Ù$280)</f>
      </c>
      <c r="EX280">
        <f>IF(ISBLANK('Data Entry'!$Ú$280), "", 'Data Entry'!$Ú$280)</f>
      </c>
      <c r="EY280">
        <f>IF(ISBLANK('Data Entry'!$Û$280), "", 'Data Entry'!$Û$280)</f>
      </c>
      <c r="EZ280">
        <f>IF(ISBLANK('Data Entry'!$Ü$280), "", 'Data Entry'!$Ü$280)</f>
      </c>
      <c r="FA280">
        <f>IF(ISBLANK('Data Entry'!$Ý$280), "", 'Data Entry'!$Ý$280)</f>
      </c>
      <c r="FB280">
        <f>IF(ISBLANK('Data Entry'!$Þ$280), "", 'Data Entry'!$Þ$280)</f>
      </c>
      <c r="FC280">
        <f>IF(ISBLANK('Data Entry'!$ß$280), "", 'Data Entry'!$ß$280)</f>
      </c>
      <c r="FD280">
        <f>IF(ISBLANK('Data Entry'!$à$280), "", 'Data Entry'!$à$280)</f>
      </c>
      <c r="FE280">
        <f>IF(ISBLANK('Data Entry'!$á$280), "", 'Data Entry'!$á$280)</f>
      </c>
      <c r="FF280">
        <f>IF(ISBLANK('Data Entry'!$â$280), "", 'Data Entry'!$â$280)</f>
      </c>
      <c r="FG280">
        <f>IF(ISBLANK('Data Entry'!$ã$280), "", 'Data Entry'!$ã$280)</f>
      </c>
      <c r="FH280">
        <f>IF(ISBLANK('Data Entry'!$ä$280), "", 'Data Entry'!$ä$280)</f>
      </c>
      <c r="FI280">
        <f>IF(ISBLANK('Data Entry'!$å$280), "", 'Data Entry'!$å$280)</f>
      </c>
      <c r="FJ280">
        <f>IF(ISBLANK('Data Entry'!$æ$280), "", 'Data Entry'!$æ$280)</f>
      </c>
      <c r="FK280">
        <f>IF(ISBLANK('Data Entry'!$ç$280), "", 'Data Entry'!$ç$280)</f>
      </c>
      <c r="FL280">
        <f>IF(ISBLANK('Data Entry'!$è$280), "", 'Data Entry'!$è$280)</f>
      </c>
      <c r="FM280">
        <f>IF(ISBLANK('Data Entry'!$é$280), "", 'Data Entry'!$é$280)</f>
      </c>
      <c r="FN280">
        <f>IF(ISBLANK('Data Entry'!$ê$280), "", 'Data Entry'!$ê$280)</f>
      </c>
      <c r="FO280">
        <f>IF(ISBLANK('Data Entry'!$ë$280), "", 'Data Entry'!$ë$280)</f>
      </c>
      <c r="FP280">
        <f>IF(ISBLANK('Data Entry'!$ì$280), "", 'Data Entry'!$ì$280)</f>
      </c>
      <c r="FQ280">
        <f>IF(ISBLANK('Data Entry'!$í$280), "", 'Data Entry'!$í$280)</f>
      </c>
      <c r="FR280">
        <f>IF(ISBLANK('Data Entry'!$î$280), "", 'Data Entry'!$î$280)</f>
      </c>
      <c r="FS280">
        <f>IF(ISBLANK('Data Entry'!$ï$280), "", 'Data Entry'!$ï$280)</f>
      </c>
      <c r="FT280">
        <f>IF(ISBLANK('Data Entry'!$ð$280), "", 'Data Entry'!$ð$280)</f>
      </c>
      <c r="FU280">
        <f>IF(ISBLANK('Data Entry'!$ñ$280), "", 'Data Entry'!$ñ$280)</f>
      </c>
      <c r="FV280">
        <f>IF(ISBLANK('Data Entry'!$ò$280), "", 'Data Entry'!$ò$280)</f>
      </c>
      <c r="FW280">
        <f>IF(ISBLANK('Data Entry'!$ó$280), "", 'Data Entry'!$ó$280)</f>
      </c>
      <c r="FX280">
        <f>IF(ISBLANK('Data Entry'!$ô$280), "", 'Data Entry'!$ô$280)</f>
      </c>
      <c r="FY280">
        <f>IF(ISBLANK('Data Entry'!$õ$280), "", 'Data Entry'!$õ$280)</f>
      </c>
      <c r="FZ280">
        <f>IF(ISBLANK('Data Entry'!$ö$280), "", 'Data Entry'!$ö$280)</f>
      </c>
      <c r="GA280">
        <f>IF(ISBLANK('Data Entry'!$÷$280), "", 'Data Entry'!$÷$280)</f>
      </c>
      <c r="GB280">
        <f>IF(ISBLANK('Data Entry'!$ø$280), "", 'Data Entry'!$ø$280)</f>
      </c>
      <c r="GC280">
        <f>IF(ISBLANK('Data Entry'!$ù$280), "", 'Data Entry'!$ù$280)</f>
      </c>
      <c r="GD280">
        <f>IF(ISBLANK('Data Entry'!$ú$280), "", 'Data Entry'!$ú$280)</f>
      </c>
      <c r="GE280">
        <f>IF(ISBLANK('Data Entry'!$û$280), "", 'Data Entry'!$û$280)</f>
      </c>
      <c r="GF280">
        <f>IF(ISBLANK('Data Entry'!$ü$280), "", 'Data Entry'!$ü$280)</f>
      </c>
      <c r="GG280">
        <f>IF(ISBLANK('Data Entry'!$ý$280), "", 'Data Entry'!$ý$280)</f>
      </c>
      <c r="GH280">
        <f>IF(ISBLANK('Data Entry'!$þ$280), "", 'Data Entry'!$þ$280)</f>
      </c>
      <c r="GI280">
        <f>IF(ISBLANK('Data Entry'!$ÿ$280), "", 'Data Entry'!$ÿ$280)</f>
      </c>
      <c r="GJ280">
        <f>IF(ISBLANK('Data Entry'!$Ā$280), "", 'Data Entry'!$Ā$280)</f>
      </c>
      <c r="GK280">
        <f>IF(ISBLANK('Data Entry'!$ā$280), "", 'Data Entry'!$ā$280)</f>
      </c>
      <c r="GL280">
        <f>IF(ISBLANK('Data Entry'!$Ă$280), "", 'Data Entry'!$Ă$280)</f>
      </c>
      <c r="GM280">
        <f>IF(ISBLANK('Data Entry'!$ă$280), "", 'Data Entry'!$ă$280)</f>
      </c>
      <c r="GN280">
        <f>IF(ISBLANK('Data Entry'!$Ą$280), "", 'Data Entry'!$Ą$280)</f>
      </c>
      <c r="GO280">
        <f>IF(ISBLANK('Data Entry'!$ą$280), "", 'Data Entry'!$ą$280)</f>
      </c>
      <c r="GP280">
        <f>IF(ISBLANK('Data Entry'!$Ć$280), "", 'Data Entry'!$Ć$280)</f>
      </c>
      <c r="GQ280">
        <f>IF(ISBLANK('Data Entry'!$ć$280), "", 'Data Entry'!$ć$280)</f>
      </c>
      <c r="GR280">
        <f>IF(ISBLANK('Data Entry'!$Ĉ$280), "", 'Data Entry'!$Ĉ$280)</f>
      </c>
      <c r="GS280">
        <f>IF(ISBLANK('Data Entry'!$ĉ$280), "", 'Data Entry'!$ĉ$280)</f>
      </c>
      <c r="GT280">
        <f>IF(ISBLANK('Data Entry'!$Ċ$280), "", 'Data Entry'!$Ċ$280)</f>
      </c>
      <c r="GU280">
        <f>IF(ISBLANK('Data Entry'!$ċ$280), "", 'Data Entry'!$ċ$280)</f>
      </c>
      <c r="GV280">
        <f>IF(ISBLANK('Data Entry'!$Č$280), "", 'Data Entry'!$Č$280)</f>
      </c>
      <c r="GW280">
        <f>IF(ISBLANK('Data Entry'!$č$280), "", 'Data Entry'!$č$280)</f>
      </c>
      <c r="GX280">
        <f>IF(ISBLANK('Data Entry'!$Ď$280), "", 'Data Entry'!$Ď$280)</f>
      </c>
      <c r="GY280">
        <f>IF(ISBLANK('Data Entry'!$ď$280), "", 'Data Entry'!$ď$280)</f>
      </c>
      <c r="GZ280">
        <f>IF(ISBLANK('Data Entry'!$Đ$280), "", 'Data Entry'!$Đ$280)</f>
      </c>
      <c r="HA280">
        <f>IF(ISBLANK('Data Entry'!$đ$280), "", 'Data Entry'!$đ$280)</f>
      </c>
      <c r="HB280">
        <f>IF(ISBLANK('Data Entry'!$Ē$280), "", 'Data Entry'!$Ē$280)</f>
      </c>
      <c r="HC280">
        <f>IF(ISBLANK('Data Entry'!$ē$280), "", 'Data Entry'!$ē$280)</f>
      </c>
      <c r="HD280">
        <f>IF(ISBLANK('Data Entry'!$Ĕ$280), "", 'Data Entry'!$Ĕ$280)</f>
      </c>
      <c r="HE280">
        <f>IF(ISBLANK('Data Entry'!$ĕ$280), "", 'Data Entry'!$ĕ$280)</f>
      </c>
      <c r="HF280">
        <f>IF(ISBLANK('Data Entry'!$Ė$280), "", 'Data Entry'!$Ė$280)</f>
      </c>
      <c r="HG280">
        <f>IF(ISBLANK('Data Entry'!$ė$280), "", 'Data Entry'!$ė$280)</f>
      </c>
      <c r="HH280">
        <f>IF(ISBLANK('Data Entry'!$Ę$280), "", 'Data Entry'!$Ę$280)</f>
      </c>
      <c r="HI280">
        <f>IF(ISBLANK('Data Entry'!$ę$280), "", 'Data Entry'!$ę$280)</f>
      </c>
      <c r="HJ280">
        <f>IF(ISBLANK('Data Entry'!$Ě$280), "", 'Data Entry'!$Ě$280)</f>
      </c>
      <c r="HK280">
        <f>IF(ISBLANK('Data Entry'!$ě$280), "", 'Data Entry'!$ě$280)</f>
      </c>
      <c r="HL280">
        <f>IF(ISBLANK('Data Entry'!$Ĝ$280), "", 'Data Entry'!$Ĝ$280)</f>
      </c>
      <c r="HM280">
        <f>IF(ISBLANK('Data Entry'!$ĝ$280), "", 'Data Entry'!$ĝ$280)</f>
      </c>
      <c r="HN280">
        <f>IF(ISBLANK('Data Entry'!$Ğ$280), "", 'Data Entry'!$Ğ$280)</f>
      </c>
      <c r="HO280">
        <f>IF(ISBLANK('Data Entry'!$ğ$280), "", 'Data Entry'!$ğ$280)</f>
      </c>
      <c r="HP280">
        <f>IF(ISBLANK('Data Entry'!$Ġ$280), "", 'Data Entry'!$Ġ$280)</f>
      </c>
      <c r="HQ280">
        <f>IF(ISBLANK('Data Entry'!$ġ$280), "", 'Data Entry'!$ġ$280)</f>
      </c>
      <c r="HR280">
        <f>IF(ISBLANK('Data Entry'!$Ģ$280), "", 'Data Entry'!$Ģ$280)</f>
      </c>
      <c r="HS280">
        <f>IF(ISBLANK('Data Entry'!$ģ$280), "", 'Data Entry'!$ģ$280)</f>
      </c>
      <c r="HT280">
        <f>IF(ISBLANK('Data Entry'!$Ĥ$280), "", 'Data Entry'!$Ĥ$280)</f>
      </c>
      <c r="HU280">
        <f>IF(ISBLANK('Data Entry'!$ĥ$280), "", 'Data Entry'!$ĥ$280)</f>
      </c>
      <c r="HV280">
        <f>IF(ISBLANK('Data Entry'!$Ħ$280), "", 'Data Entry'!$Ħ$280)</f>
      </c>
      <c r="HW280">
        <f>IF(ISBLANK('Data Entry'!$ħ$280), "", 'Data Entry'!$ħ$280)</f>
      </c>
      <c r="HX280">
        <f>IF(ISBLANK('Data Entry'!$Ĩ$280), "", 'Data Entry'!$Ĩ$280)</f>
      </c>
      <c r="HY280">
        <f>IF(ISBLANK('Data Entry'!$ĩ$280), "", 'Data Entry'!$ĩ$280)</f>
      </c>
      <c r="HZ280">
        <f>IF(ISBLANK('Data Entry'!$Ī$280), "", 'Data Entry'!$Ī$280)</f>
      </c>
      <c r="IA280">
        <f>IF(ISBLANK('Data Entry'!$ī$280), "", 'Data Entry'!$ī$280)</f>
      </c>
      <c r="IB280">
        <f>IF(ISBLANK('Data Entry'!$Ĭ$280), "", 'Data Entry'!$Ĭ$280)</f>
      </c>
      <c r="IC280">
        <f>IF(ISBLANK('Data Entry'!$ĭ$280), "", 'Data Entry'!$ĭ$280)</f>
      </c>
      <c r="ID280">
        <f>IF(ISBLANK('Data Entry'!$Į$280), "", 'Data Entry'!$Į$280)</f>
      </c>
      <c r="IE280">
        <f>IF(ISBLANK('Data Entry'!$į$280), "", 'Data Entry'!$į$280)</f>
      </c>
      <c r="IF280">
        <f>IF(ISBLANK('Data Entry'!$İ$280), "", 'Data Entry'!$İ$280)</f>
      </c>
      <c r="IG280">
        <f>IF(ISBLANK('Data Entry'!$ı$280), "", 'Data Entry'!$ı$280)</f>
      </c>
      <c r="IH280">
        <f>IF(ISBLANK('Data Entry'!$Ĳ$280), "", 'Data Entry'!$Ĳ$280)</f>
      </c>
      <c r="II280">
        <f>IF(ISBLANK('Data Entry'!$ĳ$280), "", 'Data Entry'!$ĳ$280)</f>
      </c>
      <c r="IJ280">
        <f>IF(ISBLANK('Data Entry'!$Ĵ$280), "", 'Data Entry'!$Ĵ$280)</f>
      </c>
      <c r="IK280">
        <f>IF(ISBLANK('Data Entry'!$ĵ$280), "", 'Data Entry'!$ĵ$280)</f>
      </c>
      <c r="IL280">
        <f>IF(ISBLANK('Data Entry'!$Ķ$280), "", 'Data Entry'!$Ķ$280)</f>
      </c>
      <c r="IM280">
        <f>IF(ISBLANK('Data Entry'!$ķ$280), "", 'Data Entry'!$ķ$280)</f>
      </c>
      <c r="IN280">
        <f>IF(ISBLANK('Data Entry'!$ĸ$280), "", 'Data Entry'!$ĸ$280)</f>
      </c>
      <c r="IO280">
        <f>IF(ISBLANK('Data Entry'!$Ĺ$280), "", 'Data Entry'!$Ĺ$280)</f>
      </c>
      <c r="IP280">
        <f>IF(ISBLANK('Data Entry'!$ĺ$280), "", 'Data Entry'!$ĺ$280)</f>
      </c>
      <c r="IQ280">
        <f>IF(ISBLANK('Data Entry'!$Ļ$280), "", 'Data Entry'!$Ļ$280)</f>
      </c>
      <c r="IR280">
        <f>IF(ISBLANK('Data Entry'!$ļ$280), "", 'Data Entry'!$ļ$280)</f>
      </c>
      <c r="IS280">
        <f>IF(ISBLANK('Data Entry'!$Ľ$280), "", 'Data Entry'!$Ľ$280)</f>
      </c>
      <c r="IT280">
        <f>IF(ISBLANK('Data Entry'!$ľ$280), "", 'Data Entry'!$ľ$280)</f>
      </c>
    </row>
    <row r="281" spans="1:254" x14ac:dyDescent="0.25">
      <c r="A281">
        <f>IF(ISBLANK('Data Entry'!$A$281), "", 'Data Entry'!$A$281)</f>
      </c>
      <c r="B281">
        <f>IF(ISBLANK('Data Entry'!$B$281), "", 'Data Entry'!$B$281)</f>
      </c>
      <c r="C281">
        <f>IF(ISBLANK('Data Entry'!$C$281), "", 'Data Entry'!$C$281)</f>
      </c>
      <c r="D281">
        <f>IF(ISBLANK('Data Entry'!$D$281), "", 'Data Entry'!$D$281)</f>
      </c>
      <c r="E281">
        <f>IF(ISBLANK('Data Entry'!$E$281), "", 'Data Entry'!$E$281)</f>
      </c>
      <c r="F281">
        <f>IF(ISBLANK('Data Entry'!$F$281), "", 'Data Entry'!$F$281)</f>
      </c>
      <c r="G281">
        <f>IF(ISBLANK('Data Entry'!$G$281), "", 'Data Entry'!$G$281)</f>
      </c>
      <c r="H281">
        <f>IF(ISBLANK('Data Entry'!$H$281), "", 'Data Entry'!$H$281)</f>
      </c>
      <c r="I281">
        <f>IF(ISBLANK('Data Entry'!$I$281), "", 'Data Entry'!$I$281)</f>
      </c>
      <c r="J281">
        <f>IF(ISBLANK('Data Entry'!$J$281), "", 'Data Entry'!$J$281)</f>
      </c>
      <c r="K281">
        <f>IF(ISBLANK('Data Entry'!$K$281), "", 'Data Entry'!$K$281)</f>
      </c>
      <c r="L281">
        <f>IF(ISBLANK('Data Entry'!$L$281), "", 'Data Entry'!$L$281)</f>
      </c>
      <c r="M281">
        <f>IF(ISBLANK('Data Entry'!$M$281), "", 'Data Entry'!$M$281)</f>
      </c>
      <c r="N281">
        <f>IF(ISBLANK('Data Entry'!$N$281), "", 'Data Entry'!$N$281)</f>
      </c>
      <c r="O281">
        <f>IF(ISBLANK('Data Entry'!$O$281), "", 'Data Entry'!$O$281)</f>
      </c>
      <c r="P281">
        <f>IF(ISBLANK('Data Entry'!$P$281), "", 'Data Entry'!$P$281)</f>
      </c>
      <c r="Q281">
        <f>IF(ISBLANK('Data Entry'!$Q$281), "", 'Data Entry'!$Q$281)</f>
      </c>
      <c r="R281">
        <f>IF(ISBLANK('Data Entry'!$R$281), "", 'Data Entry'!$R$281)</f>
      </c>
      <c r="S281">
        <f>IF(ISBLANK('Data Entry'!$S$281), "", 'Data Entry'!$S$281)</f>
      </c>
      <c r="T281">
        <f>IF(ISBLANK('Data Entry'!$T$281), "", 'Data Entry'!$T$281)</f>
      </c>
      <c r="U281">
        <f>IF(ISBLANK('Data Entry'!$U$281), "", 'Data Entry'!$U$281)</f>
      </c>
      <c r="V281">
        <f>IF(ISBLANK('Data Entry'!$V$281), "", 'Data Entry'!$V$281)</f>
      </c>
      <c r="W281">
        <f>IF(ISBLANK('Data Entry'!$W$281), "", 'Data Entry'!$W$281)</f>
      </c>
      <c r="X281">
        <f>IF(ISBLANK('Data Entry'!$X$281), "", 'Data Entry'!$X$281)</f>
      </c>
      <c r="Y281">
        <f>IF(ISBLANK('Data Entry'!$Y$281), "", 'Data Entry'!$Y$281)</f>
      </c>
      <c r="Z281">
        <f>IF(ISBLANK('Data Entry'!$Z$281), "", 'Data Entry'!$Z$281)</f>
      </c>
      <c r="AA281">
        <f>IF(ISBLANK('Data Entry'!$[$281), "", 'Data Entry'!$[$281)</f>
      </c>
      <c r="AB281">
        <f>IF(ISBLANK('Data Entry'!$\$281), "", 'Data Entry'!$\$281)</f>
      </c>
      <c r="AC281">
        <f>IF(ISBLANK('Data Entry'!$]$281), "", 'Data Entry'!$]$281)</f>
      </c>
      <c r="AD281">
        <f>IF(ISBLANK('Data Entry'!$^$281), "", 'Data Entry'!$^$281)</f>
      </c>
      <c r="AE281">
        <f>IF(ISBLANK('Data Entry'!$_$281), "", 'Data Entry'!$_$281)</f>
      </c>
      <c r="AF281">
        <f>IF(ISBLANK('Data Entry'!$`$281), "", 'Data Entry'!$`$281)</f>
      </c>
      <c r="AG281">
        <f>IF(ISBLANK('Data Entry'!$a$281), "", 'Data Entry'!$a$281)</f>
      </c>
      <c r="AH281">
        <f>IF(ISBLANK('Data Entry'!$b$281), "", 'Data Entry'!$b$281)</f>
      </c>
      <c r="AI281">
        <f>IF(ISBLANK('Data Entry'!$c$281), "", 'Data Entry'!$c$281)</f>
      </c>
      <c r="AJ281">
        <f>IF(ISBLANK('Data Entry'!$d$281), "", 'Data Entry'!$d$281)</f>
      </c>
      <c r="AK281">
        <f>IF(ISBLANK('Data Entry'!$e$281), "", 'Data Entry'!$e$281)</f>
      </c>
      <c r="AL281">
        <f>IF(ISBLANK('Data Entry'!$f$281), "", 'Data Entry'!$f$281)</f>
      </c>
      <c r="AM281">
        <f>IF(ISBLANK('Data Entry'!$g$281), "", 'Data Entry'!$g$281)</f>
      </c>
      <c r="AN281">
        <f>IF(ISBLANK('Data Entry'!$h$281), "", 'Data Entry'!$h$281)</f>
      </c>
      <c r="AO281">
        <f>IF(ISBLANK('Data Entry'!$i$281), "", 'Data Entry'!$i$281)</f>
      </c>
      <c r="AP281">
        <f>IF(ISBLANK('Data Entry'!$j$281), "", 'Data Entry'!$j$281)</f>
      </c>
      <c r="AQ281">
        <f>IF(ISBLANK('Data Entry'!$k$281), "", 'Data Entry'!$k$281)</f>
      </c>
      <c r="AR281">
        <f>IF(ISBLANK('Data Entry'!$l$281), "", 'Data Entry'!$l$281)</f>
      </c>
      <c r="AS281">
        <f>IF(ISBLANK('Data Entry'!$m$281), "", 'Data Entry'!$m$281)</f>
      </c>
      <c r="AT281">
        <f>IF(ISBLANK('Data Entry'!$n$281), "", 'Data Entry'!$n$281)</f>
      </c>
      <c r="AU281">
        <f>IF(ISBLANK('Data Entry'!$o$281), "", 'Data Entry'!$o$281)</f>
      </c>
      <c r="AV281">
        <f>IF(ISBLANK('Data Entry'!$p$281), "", 'Data Entry'!$p$281)</f>
      </c>
      <c r="AW281">
        <f>IF(ISBLANK('Data Entry'!$q$281), "", 'Data Entry'!$q$281)</f>
      </c>
      <c r="AX281">
        <f>IF(ISBLANK('Data Entry'!$r$281), "", 'Data Entry'!$r$281)</f>
      </c>
      <c r="AY281">
        <f>IF(ISBLANK('Data Entry'!$s$281), "", 'Data Entry'!$s$281)</f>
      </c>
      <c r="AZ281">
        <f>IF(ISBLANK('Data Entry'!$t$281), "", 'Data Entry'!$t$281)</f>
      </c>
      <c r="BA281">
        <f>IF(ISBLANK('Data Entry'!$u$281), "", 'Data Entry'!$u$281)</f>
      </c>
      <c r="BB281">
        <f>IF(ISBLANK('Data Entry'!$v$281), "", 'Data Entry'!$v$281)</f>
      </c>
      <c r="BC281">
        <f>IF(ISBLANK('Data Entry'!$w$281), "", 'Data Entry'!$w$281)</f>
      </c>
      <c r="BD281">
        <f>IF(ISBLANK('Data Entry'!$x$281), "", 'Data Entry'!$x$281)</f>
      </c>
      <c r="BE281">
        <f>IF(ISBLANK('Data Entry'!$y$281), "", 'Data Entry'!$y$281)</f>
      </c>
      <c r="BF281">
        <f>IF(ISBLANK('Data Entry'!$z$281), "", 'Data Entry'!$z$281)</f>
      </c>
      <c r="BG281">
        <f>IF(ISBLANK('Data Entry'!${$281), "", 'Data Entry'!${$281)</f>
      </c>
      <c r="BH281">
        <f>IF(ISBLANK('Data Entry'!$|$281), "", 'Data Entry'!$|$281)</f>
      </c>
      <c r="BI281">
        <f>IF(ISBLANK('Data Entry'!$}$281), "", 'Data Entry'!$}$281)</f>
      </c>
      <c r="BJ281">
        <f>IF(ISBLANK('Data Entry'!$~$281), "", 'Data Entry'!$~$281)</f>
      </c>
      <c r="BK281">
        <f>IF(ISBLANK('Data Entry'!$$281), "", 'Data Entry'!$$281)</f>
      </c>
      <c r="BL281">
        <f>IF(ISBLANK('Data Entry'!$$281), "", 'Data Entry'!$$281)</f>
      </c>
      <c r="BM281">
        <f>IF(ISBLANK('Data Entry'!$$281), "", 'Data Entry'!$$281)</f>
      </c>
      <c r="BN281">
        <f>IF(ISBLANK('Data Entry'!$$281), "", 'Data Entry'!$$281)</f>
      </c>
      <c r="BO281">
        <f>IF(ISBLANK('Data Entry'!$$281), "", 'Data Entry'!$$281)</f>
      </c>
      <c r="BP281">
        <f>IF(ISBLANK('Data Entry'!$$281), "", 'Data Entry'!$$281)</f>
      </c>
      <c r="BQ281">
        <f>IF(ISBLANK('Data Entry'!$$281), "", 'Data Entry'!$$281)</f>
      </c>
      <c r="BR281">
        <f>IF(ISBLANK('Data Entry'!$$281), "", 'Data Entry'!$$281)</f>
      </c>
      <c r="BS281">
        <f>IF(ISBLANK('Data Entry'!$$281), "", 'Data Entry'!$$281)</f>
      </c>
      <c r="BT281">
        <f>IF(ISBLANK('Data Entry'!$$281), "", 'Data Entry'!$$281)</f>
      </c>
      <c r="BU281">
        <f>IF(ISBLANK('Data Entry'!$$281), "", 'Data Entry'!$$281)</f>
      </c>
      <c r="BV281">
        <f>IF(ISBLANK('Data Entry'!$$281), "", 'Data Entry'!$$281)</f>
      </c>
      <c r="BW281">
        <f>IF(ISBLANK('Data Entry'!$$281), "", 'Data Entry'!$$281)</f>
      </c>
      <c r="BX281">
        <f>IF(ISBLANK('Data Entry'!$$281), "", 'Data Entry'!$$281)</f>
      </c>
      <c r="BY281">
        <f>IF(ISBLANK('Data Entry'!$$281), "", 'Data Entry'!$$281)</f>
      </c>
      <c r="BZ281">
        <f>IF(ISBLANK('Data Entry'!$$281), "", 'Data Entry'!$$281)</f>
      </c>
      <c r="CA281">
        <f>IF(ISBLANK('Data Entry'!$$281), "", 'Data Entry'!$$281)</f>
      </c>
      <c r="CB281">
        <f>IF(ISBLANK('Data Entry'!$$281), "", 'Data Entry'!$$281)</f>
      </c>
      <c r="CC281">
        <f>IF(ISBLANK('Data Entry'!$$281), "", 'Data Entry'!$$281)</f>
      </c>
      <c r="CD281">
        <f>IF(ISBLANK('Data Entry'!$$281), "", 'Data Entry'!$$281)</f>
      </c>
      <c r="CE281">
        <f>IF(ISBLANK('Data Entry'!$$281), "", 'Data Entry'!$$281)</f>
      </c>
      <c r="CF281">
        <f>IF(ISBLANK('Data Entry'!$$281), "", 'Data Entry'!$$281)</f>
      </c>
      <c r="CG281">
        <f>IF(ISBLANK('Data Entry'!$$281), "", 'Data Entry'!$$281)</f>
      </c>
      <c r="CH281">
        <f>IF(ISBLANK('Data Entry'!$$281), "", 'Data Entry'!$$281)</f>
      </c>
      <c r="CI281">
        <f>IF(ISBLANK('Data Entry'!$$281), "", 'Data Entry'!$$281)</f>
      </c>
      <c r="CJ281">
        <f>IF(ISBLANK('Data Entry'!$$281), "", 'Data Entry'!$$281)</f>
      </c>
      <c r="CK281">
        <f>IF(ISBLANK('Data Entry'!$$281), "", 'Data Entry'!$$281)</f>
      </c>
      <c r="CL281">
        <f>IF(ISBLANK('Data Entry'!$$281), "", 'Data Entry'!$$281)</f>
      </c>
      <c r="CM281">
        <f>IF(ISBLANK('Data Entry'!$$281), "", 'Data Entry'!$$281)</f>
      </c>
      <c r="CN281">
        <f>IF(ISBLANK('Data Entry'!$$281), "", 'Data Entry'!$$281)</f>
      </c>
      <c r="CO281">
        <f>IF(ISBLANK('Data Entry'!$$281), "", 'Data Entry'!$$281)</f>
      </c>
      <c r="CP281">
        <f>IF(ISBLANK('Data Entry'!$$281), "", 'Data Entry'!$$281)</f>
      </c>
      <c r="CQ281">
        <f>IF(ISBLANK('Data Entry'!$$281), "", 'Data Entry'!$$281)</f>
      </c>
      <c r="CR281">
        <f>IF(ISBLANK('Data Entry'!$ $281), "", 'Data Entry'!$ $281)</f>
      </c>
      <c r="CS281">
        <f>IF(ISBLANK('Data Entry'!$¡$281), "", 'Data Entry'!$¡$281)</f>
      </c>
      <c r="CT281">
        <f>IF(ISBLANK('Data Entry'!$¢$281), "", 'Data Entry'!$¢$281)</f>
      </c>
      <c r="CU281">
        <f>IF(ISBLANK('Data Entry'!$£$281), "", 'Data Entry'!$£$281)</f>
      </c>
      <c r="CV281">
        <f>IF(ISBLANK('Data Entry'!$¤$281), "", 'Data Entry'!$¤$281)</f>
      </c>
      <c r="CW281">
        <f>IF(ISBLANK('Data Entry'!$¥$281), "", 'Data Entry'!$¥$281)</f>
      </c>
      <c r="CX281">
        <f>IF(ISBLANK('Data Entry'!$¦$281), "", 'Data Entry'!$¦$281)</f>
      </c>
      <c r="CY281">
        <f>IF(ISBLANK('Data Entry'!$§$281), "", 'Data Entry'!$§$281)</f>
      </c>
      <c r="CZ281">
        <f>IF(ISBLANK('Data Entry'!$¨$281), "", 'Data Entry'!$¨$281)</f>
      </c>
      <c r="DA281">
        <f>IF(ISBLANK('Data Entry'!$©$281), "", 'Data Entry'!$©$281)</f>
      </c>
      <c r="DB281">
        <f>IF(ISBLANK('Data Entry'!$ª$281), "", 'Data Entry'!$ª$281)</f>
      </c>
      <c r="DC281">
        <f>IF(ISBLANK('Data Entry'!$«$281), "", 'Data Entry'!$«$281)</f>
      </c>
      <c r="DD281">
        <f>IF(ISBLANK('Data Entry'!$¬$281), "", 'Data Entry'!$¬$281)</f>
      </c>
      <c r="DE281">
        <f>IF(ISBLANK('Data Entry'!$­$281), "", 'Data Entry'!$­$281)</f>
      </c>
      <c r="DF281">
        <f>IF(ISBLANK('Data Entry'!$®$281), "", 'Data Entry'!$®$281)</f>
      </c>
      <c r="DG281">
        <f>IF(ISBLANK('Data Entry'!$¯$281), "", 'Data Entry'!$¯$281)</f>
      </c>
      <c r="DH281">
        <f>IF(ISBLANK('Data Entry'!$°$281), "", 'Data Entry'!$°$281)</f>
      </c>
      <c r="DI281">
        <f>IF(ISBLANK('Data Entry'!$±$281), "", 'Data Entry'!$±$281)</f>
      </c>
      <c r="DJ281">
        <f>IF(ISBLANK('Data Entry'!$²$281), "", 'Data Entry'!$²$281)</f>
      </c>
      <c r="DK281">
        <f>IF(ISBLANK('Data Entry'!$³$281), "", 'Data Entry'!$³$281)</f>
      </c>
      <c r="DL281">
        <f>IF(ISBLANK('Data Entry'!$´$281), "", 'Data Entry'!$´$281)</f>
      </c>
      <c r="DM281">
        <f>IF(ISBLANK('Data Entry'!$µ$281), "", 'Data Entry'!$µ$281)</f>
      </c>
      <c r="DN281">
        <f>IF(ISBLANK('Data Entry'!$¶$281), "", 'Data Entry'!$¶$281)</f>
      </c>
      <c r="DO281">
        <f>IF(ISBLANK('Data Entry'!$·$281), "", 'Data Entry'!$·$281)</f>
      </c>
      <c r="DP281">
        <f>IF(ISBLANK('Data Entry'!$¸$281), "", 'Data Entry'!$¸$281)</f>
      </c>
      <c r="DQ281">
        <f>IF(ISBLANK('Data Entry'!$¹$281), "", 'Data Entry'!$¹$281)</f>
      </c>
      <c r="DR281">
        <f>IF(ISBLANK('Data Entry'!$º$281), "", 'Data Entry'!$º$281)</f>
      </c>
      <c r="DS281">
        <f>IF(ISBLANK('Data Entry'!$»$281), "", 'Data Entry'!$»$281)</f>
      </c>
      <c r="DT281">
        <f>IF(ISBLANK('Data Entry'!$¼$281), "", 'Data Entry'!$¼$281)</f>
      </c>
      <c r="DU281">
        <f>IF(ISBLANK('Data Entry'!$½$281), "", 'Data Entry'!$½$281)</f>
      </c>
      <c r="DV281">
        <f>IF(ISBLANK('Data Entry'!$¾$281), "", 'Data Entry'!$¾$281)</f>
      </c>
      <c r="DW281">
        <f>IF(ISBLANK('Data Entry'!$¿$281), "", 'Data Entry'!$¿$281)</f>
      </c>
      <c r="DX281">
        <f>IF(ISBLANK('Data Entry'!$À$281), "", 'Data Entry'!$À$281)</f>
      </c>
      <c r="DY281">
        <f>IF(ISBLANK('Data Entry'!$Á$281), "", 'Data Entry'!$Á$281)</f>
      </c>
      <c r="DZ281">
        <f>IF(ISBLANK('Data Entry'!$Â$281), "", 'Data Entry'!$Â$281)</f>
      </c>
      <c r="EA281">
        <f>IF(ISBLANK('Data Entry'!$Ã$281), "", 'Data Entry'!$Ã$281)</f>
      </c>
      <c r="EB281">
        <f>IF(ISBLANK('Data Entry'!$Ä$281), "", 'Data Entry'!$Ä$281)</f>
      </c>
      <c r="EC281">
        <f>IF(ISBLANK('Data Entry'!$Å$281), "", 'Data Entry'!$Å$281)</f>
      </c>
      <c r="ED281">
        <f>IF(ISBLANK('Data Entry'!$Æ$281), "", 'Data Entry'!$Æ$281)</f>
      </c>
      <c r="EE281">
        <f>IF(ISBLANK('Data Entry'!$Ç$281), "", 'Data Entry'!$Ç$281)</f>
      </c>
      <c r="EF281">
        <f>IF(ISBLANK('Data Entry'!$È$281), "", 'Data Entry'!$È$281)</f>
      </c>
      <c r="EG281">
        <f>IF(ISBLANK('Data Entry'!$É$281), "", 'Data Entry'!$É$281)</f>
      </c>
      <c r="EH281">
        <f>IF(ISBLANK('Data Entry'!$Ê$281), "", 'Data Entry'!$Ê$281)</f>
      </c>
      <c r="EI281">
        <f>IF(ISBLANK('Data Entry'!$Ë$281), "", 'Data Entry'!$Ë$281)</f>
      </c>
      <c r="EJ281">
        <f>IF(ISBLANK('Data Entry'!$Ì$281), "", 'Data Entry'!$Ì$281)</f>
      </c>
      <c r="EK281">
        <f>IF(ISBLANK('Data Entry'!$Í$281), "", 'Data Entry'!$Í$281)</f>
      </c>
      <c r="EL281">
        <f>IF(ISBLANK('Data Entry'!$Î$281), "", 'Data Entry'!$Î$281)</f>
      </c>
      <c r="EM281">
        <f>IF(ISBLANK('Data Entry'!$Ï$281), "", 'Data Entry'!$Ï$281)</f>
      </c>
      <c r="EN281">
        <f>IF(ISBLANK('Data Entry'!$Ð$281), "", 'Data Entry'!$Ð$281)</f>
      </c>
      <c r="EO281">
        <f>IF(ISBLANK('Data Entry'!$Ñ$281), "", 'Data Entry'!$Ñ$281)</f>
      </c>
      <c r="EP281">
        <f>IF(ISBLANK('Data Entry'!$Ò$281), "", 'Data Entry'!$Ò$281)</f>
      </c>
      <c r="EQ281">
        <f>IF(ISBLANK('Data Entry'!$Ó$281), "", 'Data Entry'!$Ó$281)</f>
      </c>
      <c r="ER281">
        <f>IF(ISBLANK('Data Entry'!$Ô$281), "", 'Data Entry'!$Ô$281)</f>
      </c>
      <c r="ES281">
        <f>IF(ISBLANK('Data Entry'!$Õ$281), "", 'Data Entry'!$Õ$281)</f>
      </c>
      <c r="ET281">
        <f>IF(ISBLANK('Data Entry'!$Ö$281), "", 'Data Entry'!$Ö$281)</f>
      </c>
      <c r="EU281">
        <f>IF(ISBLANK('Data Entry'!$×$281), "", 'Data Entry'!$×$281)</f>
      </c>
      <c r="EV281">
        <f>IF(ISBLANK('Data Entry'!$Ø$281), "", 'Data Entry'!$Ø$281)</f>
      </c>
      <c r="EW281">
        <f>IF(ISBLANK('Data Entry'!$Ù$281), "", 'Data Entry'!$Ù$281)</f>
      </c>
      <c r="EX281">
        <f>IF(ISBLANK('Data Entry'!$Ú$281), "", 'Data Entry'!$Ú$281)</f>
      </c>
      <c r="EY281">
        <f>IF(ISBLANK('Data Entry'!$Û$281), "", 'Data Entry'!$Û$281)</f>
      </c>
      <c r="EZ281">
        <f>IF(ISBLANK('Data Entry'!$Ü$281), "", 'Data Entry'!$Ü$281)</f>
      </c>
      <c r="FA281">
        <f>IF(ISBLANK('Data Entry'!$Ý$281), "", 'Data Entry'!$Ý$281)</f>
      </c>
      <c r="FB281">
        <f>IF(ISBLANK('Data Entry'!$Þ$281), "", 'Data Entry'!$Þ$281)</f>
      </c>
      <c r="FC281">
        <f>IF(ISBLANK('Data Entry'!$ß$281), "", 'Data Entry'!$ß$281)</f>
      </c>
      <c r="FD281">
        <f>IF(ISBLANK('Data Entry'!$à$281), "", 'Data Entry'!$à$281)</f>
      </c>
      <c r="FE281">
        <f>IF(ISBLANK('Data Entry'!$á$281), "", 'Data Entry'!$á$281)</f>
      </c>
      <c r="FF281">
        <f>IF(ISBLANK('Data Entry'!$â$281), "", 'Data Entry'!$â$281)</f>
      </c>
      <c r="FG281">
        <f>IF(ISBLANK('Data Entry'!$ã$281), "", 'Data Entry'!$ã$281)</f>
      </c>
      <c r="FH281">
        <f>IF(ISBLANK('Data Entry'!$ä$281), "", 'Data Entry'!$ä$281)</f>
      </c>
      <c r="FI281">
        <f>IF(ISBLANK('Data Entry'!$å$281), "", 'Data Entry'!$å$281)</f>
      </c>
      <c r="FJ281">
        <f>IF(ISBLANK('Data Entry'!$æ$281), "", 'Data Entry'!$æ$281)</f>
      </c>
      <c r="FK281">
        <f>IF(ISBLANK('Data Entry'!$ç$281), "", 'Data Entry'!$ç$281)</f>
      </c>
      <c r="FL281">
        <f>IF(ISBLANK('Data Entry'!$è$281), "", 'Data Entry'!$è$281)</f>
      </c>
      <c r="FM281">
        <f>IF(ISBLANK('Data Entry'!$é$281), "", 'Data Entry'!$é$281)</f>
      </c>
      <c r="FN281">
        <f>IF(ISBLANK('Data Entry'!$ê$281), "", 'Data Entry'!$ê$281)</f>
      </c>
      <c r="FO281">
        <f>IF(ISBLANK('Data Entry'!$ë$281), "", 'Data Entry'!$ë$281)</f>
      </c>
      <c r="FP281">
        <f>IF(ISBLANK('Data Entry'!$ì$281), "", 'Data Entry'!$ì$281)</f>
      </c>
      <c r="FQ281">
        <f>IF(ISBLANK('Data Entry'!$í$281), "", 'Data Entry'!$í$281)</f>
      </c>
      <c r="FR281">
        <f>IF(ISBLANK('Data Entry'!$î$281), "", 'Data Entry'!$î$281)</f>
      </c>
      <c r="FS281">
        <f>IF(ISBLANK('Data Entry'!$ï$281), "", 'Data Entry'!$ï$281)</f>
      </c>
      <c r="FT281">
        <f>IF(ISBLANK('Data Entry'!$ð$281), "", 'Data Entry'!$ð$281)</f>
      </c>
      <c r="FU281">
        <f>IF(ISBLANK('Data Entry'!$ñ$281), "", 'Data Entry'!$ñ$281)</f>
      </c>
      <c r="FV281">
        <f>IF(ISBLANK('Data Entry'!$ò$281), "", 'Data Entry'!$ò$281)</f>
      </c>
      <c r="FW281">
        <f>IF(ISBLANK('Data Entry'!$ó$281), "", 'Data Entry'!$ó$281)</f>
      </c>
      <c r="FX281">
        <f>IF(ISBLANK('Data Entry'!$ô$281), "", 'Data Entry'!$ô$281)</f>
      </c>
      <c r="FY281">
        <f>IF(ISBLANK('Data Entry'!$õ$281), "", 'Data Entry'!$õ$281)</f>
      </c>
      <c r="FZ281">
        <f>IF(ISBLANK('Data Entry'!$ö$281), "", 'Data Entry'!$ö$281)</f>
      </c>
      <c r="GA281">
        <f>IF(ISBLANK('Data Entry'!$÷$281), "", 'Data Entry'!$÷$281)</f>
      </c>
      <c r="GB281">
        <f>IF(ISBLANK('Data Entry'!$ø$281), "", 'Data Entry'!$ø$281)</f>
      </c>
      <c r="GC281">
        <f>IF(ISBLANK('Data Entry'!$ù$281), "", 'Data Entry'!$ù$281)</f>
      </c>
      <c r="GD281">
        <f>IF(ISBLANK('Data Entry'!$ú$281), "", 'Data Entry'!$ú$281)</f>
      </c>
      <c r="GE281">
        <f>IF(ISBLANK('Data Entry'!$û$281), "", 'Data Entry'!$û$281)</f>
      </c>
      <c r="GF281">
        <f>IF(ISBLANK('Data Entry'!$ü$281), "", 'Data Entry'!$ü$281)</f>
      </c>
      <c r="GG281">
        <f>IF(ISBLANK('Data Entry'!$ý$281), "", 'Data Entry'!$ý$281)</f>
      </c>
      <c r="GH281">
        <f>IF(ISBLANK('Data Entry'!$þ$281), "", 'Data Entry'!$þ$281)</f>
      </c>
      <c r="GI281">
        <f>IF(ISBLANK('Data Entry'!$ÿ$281), "", 'Data Entry'!$ÿ$281)</f>
      </c>
      <c r="GJ281">
        <f>IF(ISBLANK('Data Entry'!$Ā$281), "", 'Data Entry'!$Ā$281)</f>
      </c>
      <c r="GK281">
        <f>IF(ISBLANK('Data Entry'!$ā$281), "", 'Data Entry'!$ā$281)</f>
      </c>
      <c r="GL281">
        <f>IF(ISBLANK('Data Entry'!$Ă$281), "", 'Data Entry'!$Ă$281)</f>
      </c>
      <c r="GM281">
        <f>IF(ISBLANK('Data Entry'!$ă$281), "", 'Data Entry'!$ă$281)</f>
      </c>
      <c r="GN281">
        <f>IF(ISBLANK('Data Entry'!$Ą$281), "", 'Data Entry'!$Ą$281)</f>
      </c>
      <c r="GO281">
        <f>IF(ISBLANK('Data Entry'!$ą$281), "", 'Data Entry'!$ą$281)</f>
      </c>
      <c r="GP281">
        <f>IF(ISBLANK('Data Entry'!$Ć$281), "", 'Data Entry'!$Ć$281)</f>
      </c>
      <c r="GQ281">
        <f>IF(ISBLANK('Data Entry'!$ć$281), "", 'Data Entry'!$ć$281)</f>
      </c>
      <c r="GR281">
        <f>IF(ISBLANK('Data Entry'!$Ĉ$281), "", 'Data Entry'!$Ĉ$281)</f>
      </c>
      <c r="GS281">
        <f>IF(ISBLANK('Data Entry'!$ĉ$281), "", 'Data Entry'!$ĉ$281)</f>
      </c>
      <c r="GT281">
        <f>IF(ISBLANK('Data Entry'!$Ċ$281), "", 'Data Entry'!$Ċ$281)</f>
      </c>
      <c r="GU281">
        <f>IF(ISBLANK('Data Entry'!$ċ$281), "", 'Data Entry'!$ċ$281)</f>
      </c>
      <c r="GV281">
        <f>IF(ISBLANK('Data Entry'!$Č$281), "", 'Data Entry'!$Č$281)</f>
      </c>
      <c r="GW281">
        <f>IF(ISBLANK('Data Entry'!$č$281), "", 'Data Entry'!$č$281)</f>
      </c>
      <c r="GX281">
        <f>IF(ISBLANK('Data Entry'!$Ď$281), "", 'Data Entry'!$Ď$281)</f>
      </c>
      <c r="GY281">
        <f>IF(ISBLANK('Data Entry'!$ď$281), "", 'Data Entry'!$ď$281)</f>
      </c>
      <c r="GZ281">
        <f>IF(ISBLANK('Data Entry'!$Đ$281), "", 'Data Entry'!$Đ$281)</f>
      </c>
      <c r="HA281">
        <f>IF(ISBLANK('Data Entry'!$đ$281), "", 'Data Entry'!$đ$281)</f>
      </c>
      <c r="HB281">
        <f>IF(ISBLANK('Data Entry'!$Ē$281), "", 'Data Entry'!$Ē$281)</f>
      </c>
      <c r="HC281">
        <f>IF(ISBLANK('Data Entry'!$ē$281), "", 'Data Entry'!$ē$281)</f>
      </c>
      <c r="HD281">
        <f>IF(ISBLANK('Data Entry'!$Ĕ$281), "", 'Data Entry'!$Ĕ$281)</f>
      </c>
      <c r="HE281">
        <f>IF(ISBLANK('Data Entry'!$ĕ$281), "", 'Data Entry'!$ĕ$281)</f>
      </c>
      <c r="HF281">
        <f>IF(ISBLANK('Data Entry'!$Ė$281), "", 'Data Entry'!$Ė$281)</f>
      </c>
      <c r="HG281">
        <f>IF(ISBLANK('Data Entry'!$ė$281), "", 'Data Entry'!$ė$281)</f>
      </c>
      <c r="HH281">
        <f>IF(ISBLANK('Data Entry'!$Ę$281), "", 'Data Entry'!$Ę$281)</f>
      </c>
      <c r="HI281">
        <f>IF(ISBLANK('Data Entry'!$ę$281), "", 'Data Entry'!$ę$281)</f>
      </c>
      <c r="HJ281">
        <f>IF(ISBLANK('Data Entry'!$Ě$281), "", 'Data Entry'!$Ě$281)</f>
      </c>
      <c r="HK281">
        <f>IF(ISBLANK('Data Entry'!$ě$281), "", 'Data Entry'!$ě$281)</f>
      </c>
      <c r="HL281">
        <f>IF(ISBLANK('Data Entry'!$Ĝ$281), "", 'Data Entry'!$Ĝ$281)</f>
      </c>
      <c r="HM281">
        <f>IF(ISBLANK('Data Entry'!$ĝ$281), "", 'Data Entry'!$ĝ$281)</f>
      </c>
      <c r="HN281">
        <f>IF(ISBLANK('Data Entry'!$Ğ$281), "", 'Data Entry'!$Ğ$281)</f>
      </c>
      <c r="HO281">
        <f>IF(ISBLANK('Data Entry'!$ğ$281), "", 'Data Entry'!$ğ$281)</f>
      </c>
      <c r="HP281">
        <f>IF(ISBLANK('Data Entry'!$Ġ$281), "", 'Data Entry'!$Ġ$281)</f>
      </c>
      <c r="HQ281">
        <f>IF(ISBLANK('Data Entry'!$ġ$281), "", 'Data Entry'!$ġ$281)</f>
      </c>
      <c r="HR281">
        <f>IF(ISBLANK('Data Entry'!$Ģ$281), "", 'Data Entry'!$Ģ$281)</f>
      </c>
      <c r="HS281">
        <f>IF(ISBLANK('Data Entry'!$ģ$281), "", 'Data Entry'!$ģ$281)</f>
      </c>
      <c r="HT281">
        <f>IF(ISBLANK('Data Entry'!$Ĥ$281), "", 'Data Entry'!$Ĥ$281)</f>
      </c>
      <c r="HU281">
        <f>IF(ISBLANK('Data Entry'!$ĥ$281), "", 'Data Entry'!$ĥ$281)</f>
      </c>
      <c r="HV281">
        <f>IF(ISBLANK('Data Entry'!$Ħ$281), "", 'Data Entry'!$Ħ$281)</f>
      </c>
      <c r="HW281">
        <f>IF(ISBLANK('Data Entry'!$ħ$281), "", 'Data Entry'!$ħ$281)</f>
      </c>
      <c r="HX281">
        <f>IF(ISBLANK('Data Entry'!$Ĩ$281), "", 'Data Entry'!$Ĩ$281)</f>
      </c>
      <c r="HY281">
        <f>IF(ISBLANK('Data Entry'!$ĩ$281), "", 'Data Entry'!$ĩ$281)</f>
      </c>
      <c r="HZ281">
        <f>IF(ISBLANK('Data Entry'!$Ī$281), "", 'Data Entry'!$Ī$281)</f>
      </c>
      <c r="IA281">
        <f>IF(ISBLANK('Data Entry'!$ī$281), "", 'Data Entry'!$ī$281)</f>
      </c>
      <c r="IB281">
        <f>IF(ISBLANK('Data Entry'!$Ĭ$281), "", 'Data Entry'!$Ĭ$281)</f>
      </c>
      <c r="IC281">
        <f>IF(ISBLANK('Data Entry'!$ĭ$281), "", 'Data Entry'!$ĭ$281)</f>
      </c>
      <c r="ID281">
        <f>IF(ISBLANK('Data Entry'!$Į$281), "", 'Data Entry'!$Į$281)</f>
      </c>
      <c r="IE281">
        <f>IF(ISBLANK('Data Entry'!$į$281), "", 'Data Entry'!$į$281)</f>
      </c>
      <c r="IF281">
        <f>IF(ISBLANK('Data Entry'!$İ$281), "", 'Data Entry'!$İ$281)</f>
      </c>
      <c r="IG281">
        <f>IF(ISBLANK('Data Entry'!$ı$281), "", 'Data Entry'!$ı$281)</f>
      </c>
      <c r="IH281">
        <f>IF(ISBLANK('Data Entry'!$Ĳ$281), "", 'Data Entry'!$Ĳ$281)</f>
      </c>
      <c r="II281">
        <f>IF(ISBLANK('Data Entry'!$ĳ$281), "", 'Data Entry'!$ĳ$281)</f>
      </c>
      <c r="IJ281">
        <f>IF(ISBLANK('Data Entry'!$Ĵ$281), "", 'Data Entry'!$Ĵ$281)</f>
      </c>
      <c r="IK281">
        <f>IF(ISBLANK('Data Entry'!$ĵ$281), "", 'Data Entry'!$ĵ$281)</f>
      </c>
      <c r="IL281">
        <f>IF(ISBLANK('Data Entry'!$Ķ$281), "", 'Data Entry'!$Ķ$281)</f>
      </c>
      <c r="IM281">
        <f>IF(ISBLANK('Data Entry'!$ķ$281), "", 'Data Entry'!$ķ$281)</f>
      </c>
      <c r="IN281">
        <f>IF(ISBLANK('Data Entry'!$ĸ$281), "", 'Data Entry'!$ĸ$281)</f>
      </c>
      <c r="IO281">
        <f>IF(ISBLANK('Data Entry'!$Ĺ$281), "", 'Data Entry'!$Ĺ$281)</f>
      </c>
      <c r="IP281">
        <f>IF(ISBLANK('Data Entry'!$ĺ$281), "", 'Data Entry'!$ĺ$281)</f>
      </c>
      <c r="IQ281">
        <f>IF(ISBLANK('Data Entry'!$Ļ$281), "", 'Data Entry'!$Ļ$281)</f>
      </c>
      <c r="IR281">
        <f>IF(ISBLANK('Data Entry'!$ļ$281), "", 'Data Entry'!$ļ$281)</f>
      </c>
      <c r="IS281">
        <f>IF(ISBLANK('Data Entry'!$Ľ$281), "", 'Data Entry'!$Ľ$281)</f>
      </c>
      <c r="IT281">
        <f>IF(ISBLANK('Data Entry'!$ľ$281), "", 'Data Entry'!$ľ$281)</f>
      </c>
    </row>
    <row r="282" spans="1:254" x14ac:dyDescent="0.25">
      <c r="A282">
        <f>IF(ISBLANK('Data Entry'!$A$282), "", 'Data Entry'!$A$282)</f>
      </c>
      <c r="B282">
        <f>IF(ISBLANK('Data Entry'!$B$282), "", 'Data Entry'!$B$282)</f>
      </c>
      <c r="C282">
        <f>IF(ISBLANK('Data Entry'!$C$282), "", 'Data Entry'!$C$282)</f>
      </c>
      <c r="D282">
        <f>IF(ISBLANK('Data Entry'!$D$282), "", 'Data Entry'!$D$282)</f>
      </c>
      <c r="E282">
        <f>IF(ISBLANK('Data Entry'!$E$282), "", 'Data Entry'!$E$282)</f>
      </c>
      <c r="F282">
        <f>IF(ISBLANK('Data Entry'!$F$282), "", 'Data Entry'!$F$282)</f>
      </c>
      <c r="G282">
        <f>IF(ISBLANK('Data Entry'!$G$282), "", 'Data Entry'!$G$282)</f>
      </c>
      <c r="H282">
        <f>IF(ISBLANK('Data Entry'!$H$282), "", 'Data Entry'!$H$282)</f>
      </c>
      <c r="I282">
        <f>IF(ISBLANK('Data Entry'!$I$282), "", 'Data Entry'!$I$282)</f>
      </c>
      <c r="J282">
        <f>IF(ISBLANK('Data Entry'!$J$282), "", 'Data Entry'!$J$282)</f>
      </c>
      <c r="K282">
        <f>IF(ISBLANK('Data Entry'!$K$282), "", 'Data Entry'!$K$282)</f>
      </c>
      <c r="L282">
        <f>IF(ISBLANK('Data Entry'!$L$282), "", 'Data Entry'!$L$282)</f>
      </c>
      <c r="M282">
        <f>IF(ISBLANK('Data Entry'!$M$282), "", 'Data Entry'!$M$282)</f>
      </c>
      <c r="N282">
        <f>IF(ISBLANK('Data Entry'!$N$282), "", 'Data Entry'!$N$282)</f>
      </c>
      <c r="O282">
        <f>IF(ISBLANK('Data Entry'!$O$282), "", 'Data Entry'!$O$282)</f>
      </c>
      <c r="P282">
        <f>IF(ISBLANK('Data Entry'!$P$282), "", 'Data Entry'!$P$282)</f>
      </c>
      <c r="Q282">
        <f>IF(ISBLANK('Data Entry'!$Q$282), "", 'Data Entry'!$Q$282)</f>
      </c>
      <c r="R282">
        <f>IF(ISBLANK('Data Entry'!$R$282), "", 'Data Entry'!$R$282)</f>
      </c>
      <c r="S282">
        <f>IF(ISBLANK('Data Entry'!$S$282), "", 'Data Entry'!$S$282)</f>
      </c>
      <c r="T282">
        <f>IF(ISBLANK('Data Entry'!$T$282), "", 'Data Entry'!$T$282)</f>
      </c>
      <c r="U282">
        <f>IF(ISBLANK('Data Entry'!$U$282), "", 'Data Entry'!$U$282)</f>
      </c>
      <c r="V282">
        <f>IF(ISBLANK('Data Entry'!$V$282), "", 'Data Entry'!$V$282)</f>
      </c>
      <c r="W282">
        <f>IF(ISBLANK('Data Entry'!$W$282), "", 'Data Entry'!$W$282)</f>
      </c>
      <c r="X282">
        <f>IF(ISBLANK('Data Entry'!$X$282), "", 'Data Entry'!$X$282)</f>
      </c>
      <c r="Y282">
        <f>IF(ISBLANK('Data Entry'!$Y$282), "", 'Data Entry'!$Y$282)</f>
      </c>
      <c r="Z282">
        <f>IF(ISBLANK('Data Entry'!$Z$282), "", 'Data Entry'!$Z$282)</f>
      </c>
      <c r="AA282">
        <f>IF(ISBLANK('Data Entry'!$[$282), "", 'Data Entry'!$[$282)</f>
      </c>
      <c r="AB282">
        <f>IF(ISBLANK('Data Entry'!$\$282), "", 'Data Entry'!$\$282)</f>
      </c>
      <c r="AC282">
        <f>IF(ISBLANK('Data Entry'!$]$282), "", 'Data Entry'!$]$282)</f>
      </c>
      <c r="AD282">
        <f>IF(ISBLANK('Data Entry'!$^$282), "", 'Data Entry'!$^$282)</f>
      </c>
      <c r="AE282">
        <f>IF(ISBLANK('Data Entry'!$_$282), "", 'Data Entry'!$_$282)</f>
      </c>
      <c r="AF282">
        <f>IF(ISBLANK('Data Entry'!$`$282), "", 'Data Entry'!$`$282)</f>
      </c>
      <c r="AG282">
        <f>IF(ISBLANK('Data Entry'!$a$282), "", 'Data Entry'!$a$282)</f>
      </c>
      <c r="AH282">
        <f>IF(ISBLANK('Data Entry'!$b$282), "", 'Data Entry'!$b$282)</f>
      </c>
      <c r="AI282">
        <f>IF(ISBLANK('Data Entry'!$c$282), "", 'Data Entry'!$c$282)</f>
      </c>
      <c r="AJ282">
        <f>IF(ISBLANK('Data Entry'!$d$282), "", 'Data Entry'!$d$282)</f>
      </c>
      <c r="AK282">
        <f>IF(ISBLANK('Data Entry'!$e$282), "", 'Data Entry'!$e$282)</f>
      </c>
      <c r="AL282">
        <f>IF(ISBLANK('Data Entry'!$f$282), "", 'Data Entry'!$f$282)</f>
      </c>
      <c r="AM282">
        <f>IF(ISBLANK('Data Entry'!$g$282), "", 'Data Entry'!$g$282)</f>
      </c>
      <c r="AN282">
        <f>IF(ISBLANK('Data Entry'!$h$282), "", 'Data Entry'!$h$282)</f>
      </c>
      <c r="AO282">
        <f>IF(ISBLANK('Data Entry'!$i$282), "", 'Data Entry'!$i$282)</f>
      </c>
      <c r="AP282">
        <f>IF(ISBLANK('Data Entry'!$j$282), "", 'Data Entry'!$j$282)</f>
      </c>
      <c r="AQ282">
        <f>IF(ISBLANK('Data Entry'!$k$282), "", 'Data Entry'!$k$282)</f>
      </c>
      <c r="AR282">
        <f>IF(ISBLANK('Data Entry'!$l$282), "", 'Data Entry'!$l$282)</f>
      </c>
      <c r="AS282">
        <f>IF(ISBLANK('Data Entry'!$m$282), "", 'Data Entry'!$m$282)</f>
      </c>
      <c r="AT282">
        <f>IF(ISBLANK('Data Entry'!$n$282), "", 'Data Entry'!$n$282)</f>
      </c>
      <c r="AU282">
        <f>IF(ISBLANK('Data Entry'!$o$282), "", 'Data Entry'!$o$282)</f>
      </c>
      <c r="AV282">
        <f>IF(ISBLANK('Data Entry'!$p$282), "", 'Data Entry'!$p$282)</f>
      </c>
      <c r="AW282">
        <f>IF(ISBLANK('Data Entry'!$q$282), "", 'Data Entry'!$q$282)</f>
      </c>
      <c r="AX282">
        <f>IF(ISBLANK('Data Entry'!$r$282), "", 'Data Entry'!$r$282)</f>
      </c>
      <c r="AY282">
        <f>IF(ISBLANK('Data Entry'!$s$282), "", 'Data Entry'!$s$282)</f>
      </c>
      <c r="AZ282">
        <f>IF(ISBLANK('Data Entry'!$t$282), "", 'Data Entry'!$t$282)</f>
      </c>
      <c r="BA282">
        <f>IF(ISBLANK('Data Entry'!$u$282), "", 'Data Entry'!$u$282)</f>
      </c>
      <c r="BB282">
        <f>IF(ISBLANK('Data Entry'!$v$282), "", 'Data Entry'!$v$282)</f>
      </c>
      <c r="BC282">
        <f>IF(ISBLANK('Data Entry'!$w$282), "", 'Data Entry'!$w$282)</f>
      </c>
      <c r="BD282">
        <f>IF(ISBLANK('Data Entry'!$x$282), "", 'Data Entry'!$x$282)</f>
      </c>
      <c r="BE282">
        <f>IF(ISBLANK('Data Entry'!$y$282), "", 'Data Entry'!$y$282)</f>
      </c>
      <c r="BF282">
        <f>IF(ISBLANK('Data Entry'!$z$282), "", 'Data Entry'!$z$282)</f>
      </c>
      <c r="BG282">
        <f>IF(ISBLANK('Data Entry'!${$282), "", 'Data Entry'!${$282)</f>
      </c>
      <c r="BH282">
        <f>IF(ISBLANK('Data Entry'!$|$282), "", 'Data Entry'!$|$282)</f>
      </c>
      <c r="BI282">
        <f>IF(ISBLANK('Data Entry'!$}$282), "", 'Data Entry'!$}$282)</f>
      </c>
      <c r="BJ282">
        <f>IF(ISBLANK('Data Entry'!$~$282), "", 'Data Entry'!$~$282)</f>
      </c>
      <c r="BK282">
        <f>IF(ISBLANK('Data Entry'!$$282), "", 'Data Entry'!$$282)</f>
      </c>
      <c r="BL282">
        <f>IF(ISBLANK('Data Entry'!$$282), "", 'Data Entry'!$$282)</f>
      </c>
      <c r="BM282">
        <f>IF(ISBLANK('Data Entry'!$$282), "", 'Data Entry'!$$282)</f>
      </c>
      <c r="BN282">
        <f>IF(ISBLANK('Data Entry'!$$282), "", 'Data Entry'!$$282)</f>
      </c>
      <c r="BO282">
        <f>IF(ISBLANK('Data Entry'!$$282), "", 'Data Entry'!$$282)</f>
      </c>
      <c r="BP282">
        <f>IF(ISBLANK('Data Entry'!$$282), "", 'Data Entry'!$$282)</f>
      </c>
      <c r="BQ282">
        <f>IF(ISBLANK('Data Entry'!$$282), "", 'Data Entry'!$$282)</f>
      </c>
      <c r="BR282">
        <f>IF(ISBLANK('Data Entry'!$$282), "", 'Data Entry'!$$282)</f>
      </c>
      <c r="BS282">
        <f>IF(ISBLANK('Data Entry'!$$282), "", 'Data Entry'!$$282)</f>
      </c>
      <c r="BT282">
        <f>IF(ISBLANK('Data Entry'!$$282), "", 'Data Entry'!$$282)</f>
      </c>
      <c r="BU282">
        <f>IF(ISBLANK('Data Entry'!$$282), "", 'Data Entry'!$$282)</f>
      </c>
      <c r="BV282">
        <f>IF(ISBLANK('Data Entry'!$$282), "", 'Data Entry'!$$282)</f>
      </c>
      <c r="BW282">
        <f>IF(ISBLANK('Data Entry'!$$282), "", 'Data Entry'!$$282)</f>
      </c>
      <c r="BX282">
        <f>IF(ISBLANK('Data Entry'!$$282), "", 'Data Entry'!$$282)</f>
      </c>
      <c r="BY282">
        <f>IF(ISBLANK('Data Entry'!$$282), "", 'Data Entry'!$$282)</f>
      </c>
      <c r="BZ282">
        <f>IF(ISBLANK('Data Entry'!$$282), "", 'Data Entry'!$$282)</f>
      </c>
      <c r="CA282">
        <f>IF(ISBLANK('Data Entry'!$$282), "", 'Data Entry'!$$282)</f>
      </c>
      <c r="CB282">
        <f>IF(ISBLANK('Data Entry'!$$282), "", 'Data Entry'!$$282)</f>
      </c>
      <c r="CC282">
        <f>IF(ISBLANK('Data Entry'!$$282), "", 'Data Entry'!$$282)</f>
      </c>
      <c r="CD282">
        <f>IF(ISBLANK('Data Entry'!$$282), "", 'Data Entry'!$$282)</f>
      </c>
      <c r="CE282">
        <f>IF(ISBLANK('Data Entry'!$$282), "", 'Data Entry'!$$282)</f>
      </c>
      <c r="CF282">
        <f>IF(ISBLANK('Data Entry'!$$282), "", 'Data Entry'!$$282)</f>
      </c>
      <c r="CG282">
        <f>IF(ISBLANK('Data Entry'!$$282), "", 'Data Entry'!$$282)</f>
      </c>
      <c r="CH282">
        <f>IF(ISBLANK('Data Entry'!$$282), "", 'Data Entry'!$$282)</f>
      </c>
      <c r="CI282">
        <f>IF(ISBLANK('Data Entry'!$$282), "", 'Data Entry'!$$282)</f>
      </c>
      <c r="CJ282">
        <f>IF(ISBLANK('Data Entry'!$$282), "", 'Data Entry'!$$282)</f>
      </c>
      <c r="CK282">
        <f>IF(ISBLANK('Data Entry'!$$282), "", 'Data Entry'!$$282)</f>
      </c>
      <c r="CL282">
        <f>IF(ISBLANK('Data Entry'!$$282), "", 'Data Entry'!$$282)</f>
      </c>
      <c r="CM282">
        <f>IF(ISBLANK('Data Entry'!$$282), "", 'Data Entry'!$$282)</f>
      </c>
      <c r="CN282">
        <f>IF(ISBLANK('Data Entry'!$$282), "", 'Data Entry'!$$282)</f>
      </c>
      <c r="CO282">
        <f>IF(ISBLANK('Data Entry'!$$282), "", 'Data Entry'!$$282)</f>
      </c>
      <c r="CP282">
        <f>IF(ISBLANK('Data Entry'!$$282), "", 'Data Entry'!$$282)</f>
      </c>
      <c r="CQ282">
        <f>IF(ISBLANK('Data Entry'!$$282), "", 'Data Entry'!$$282)</f>
      </c>
      <c r="CR282">
        <f>IF(ISBLANK('Data Entry'!$ $282), "", 'Data Entry'!$ $282)</f>
      </c>
      <c r="CS282">
        <f>IF(ISBLANK('Data Entry'!$¡$282), "", 'Data Entry'!$¡$282)</f>
      </c>
      <c r="CT282">
        <f>IF(ISBLANK('Data Entry'!$¢$282), "", 'Data Entry'!$¢$282)</f>
      </c>
      <c r="CU282">
        <f>IF(ISBLANK('Data Entry'!$£$282), "", 'Data Entry'!$£$282)</f>
      </c>
      <c r="CV282">
        <f>IF(ISBLANK('Data Entry'!$¤$282), "", 'Data Entry'!$¤$282)</f>
      </c>
      <c r="CW282">
        <f>IF(ISBLANK('Data Entry'!$¥$282), "", 'Data Entry'!$¥$282)</f>
      </c>
      <c r="CX282">
        <f>IF(ISBLANK('Data Entry'!$¦$282), "", 'Data Entry'!$¦$282)</f>
      </c>
      <c r="CY282">
        <f>IF(ISBLANK('Data Entry'!$§$282), "", 'Data Entry'!$§$282)</f>
      </c>
      <c r="CZ282">
        <f>IF(ISBLANK('Data Entry'!$¨$282), "", 'Data Entry'!$¨$282)</f>
      </c>
      <c r="DA282">
        <f>IF(ISBLANK('Data Entry'!$©$282), "", 'Data Entry'!$©$282)</f>
      </c>
      <c r="DB282">
        <f>IF(ISBLANK('Data Entry'!$ª$282), "", 'Data Entry'!$ª$282)</f>
      </c>
      <c r="DC282">
        <f>IF(ISBLANK('Data Entry'!$«$282), "", 'Data Entry'!$«$282)</f>
      </c>
      <c r="DD282">
        <f>IF(ISBLANK('Data Entry'!$¬$282), "", 'Data Entry'!$¬$282)</f>
      </c>
      <c r="DE282">
        <f>IF(ISBLANK('Data Entry'!$­$282), "", 'Data Entry'!$­$282)</f>
      </c>
      <c r="DF282">
        <f>IF(ISBLANK('Data Entry'!$®$282), "", 'Data Entry'!$®$282)</f>
      </c>
      <c r="DG282">
        <f>IF(ISBLANK('Data Entry'!$¯$282), "", 'Data Entry'!$¯$282)</f>
      </c>
      <c r="DH282">
        <f>IF(ISBLANK('Data Entry'!$°$282), "", 'Data Entry'!$°$282)</f>
      </c>
      <c r="DI282">
        <f>IF(ISBLANK('Data Entry'!$±$282), "", 'Data Entry'!$±$282)</f>
      </c>
      <c r="DJ282">
        <f>IF(ISBLANK('Data Entry'!$²$282), "", 'Data Entry'!$²$282)</f>
      </c>
      <c r="DK282">
        <f>IF(ISBLANK('Data Entry'!$³$282), "", 'Data Entry'!$³$282)</f>
      </c>
      <c r="DL282">
        <f>IF(ISBLANK('Data Entry'!$´$282), "", 'Data Entry'!$´$282)</f>
      </c>
      <c r="DM282">
        <f>IF(ISBLANK('Data Entry'!$µ$282), "", 'Data Entry'!$µ$282)</f>
      </c>
      <c r="DN282">
        <f>IF(ISBLANK('Data Entry'!$¶$282), "", 'Data Entry'!$¶$282)</f>
      </c>
      <c r="DO282">
        <f>IF(ISBLANK('Data Entry'!$·$282), "", 'Data Entry'!$·$282)</f>
      </c>
      <c r="DP282">
        <f>IF(ISBLANK('Data Entry'!$¸$282), "", 'Data Entry'!$¸$282)</f>
      </c>
      <c r="DQ282">
        <f>IF(ISBLANK('Data Entry'!$¹$282), "", 'Data Entry'!$¹$282)</f>
      </c>
      <c r="DR282">
        <f>IF(ISBLANK('Data Entry'!$º$282), "", 'Data Entry'!$º$282)</f>
      </c>
      <c r="DS282">
        <f>IF(ISBLANK('Data Entry'!$»$282), "", 'Data Entry'!$»$282)</f>
      </c>
      <c r="DT282">
        <f>IF(ISBLANK('Data Entry'!$¼$282), "", 'Data Entry'!$¼$282)</f>
      </c>
      <c r="DU282">
        <f>IF(ISBLANK('Data Entry'!$½$282), "", 'Data Entry'!$½$282)</f>
      </c>
      <c r="DV282">
        <f>IF(ISBLANK('Data Entry'!$¾$282), "", 'Data Entry'!$¾$282)</f>
      </c>
      <c r="DW282">
        <f>IF(ISBLANK('Data Entry'!$¿$282), "", 'Data Entry'!$¿$282)</f>
      </c>
      <c r="DX282">
        <f>IF(ISBLANK('Data Entry'!$À$282), "", 'Data Entry'!$À$282)</f>
      </c>
      <c r="DY282">
        <f>IF(ISBLANK('Data Entry'!$Á$282), "", 'Data Entry'!$Á$282)</f>
      </c>
      <c r="DZ282">
        <f>IF(ISBLANK('Data Entry'!$Â$282), "", 'Data Entry'!$Â$282)</f>
      </c>
      <c r="EA282">
        <f>IF(ISBLANK('Data Entry'!$Ã$282), "", 'Data Entry'!$Ã$282)</f>
      </c>
      <c r="EB282">
        <f>IF(ISBLANK('Data Entry'!$Ä$282), "", 'Data Entry'!$Ä$282)</f>
      </c>
      <c r="EC282">
        <f>IF(ISBLANK('Data Entry'!$Å$282), "", 'Data Entry'!$Å$282)</f>
      </c>
      <c r="ED282">
        <f>IF(ISBLANK('Data Entry'!$Æ$282), "", 'Data Entry'!$Æ$282)</f>
      </c>
      <c r="EE282">
        <f>IF(ISBLANK('Data Entry'!$Ç$282), "", 'Data Entry'!$Ç$282)</f>
      </c>
      <c r="EF282">
        <f>IF(ISBLANK('Data Entry'!$È$282), "", 'Data Entry'!$È$282)</f>
      </c>
      <c r="EG282">
        <f>IF(ISBLANK('Data Entry'!$É$282), "", 'Data Entry'!$É$282)</f>
      </c>
      <c r="EH282">
        <f>IF(ISBLANK('Data Entry'!$Ê$282), "", 'Data Entry'!$Ê$282)</f>
      </c>
      <c r="EI282">
        <f>IF(ISBLANK('Data Entry'!$Ë$282), "", 'Data Entry'!$Ë$282)</f>
      </c>
      <c r="EJ282">
        <f>IF(ISBLANK('Data Entry'!$Ì$282), "", 'Data Entry'!$Ì$282)</f>
      </c>
      <c r="EK282">
        <f>IF(ISBLANK('Data Entry'!$Í$282), "", 'Data Entry'!$Í$282)</f>
      </c>
      <c r="EL282">
        <f>IF(ISBLANK('Data Entry'!$Î$282), "", 'Data Entry'!$Î$282)</f>
      </c>
      <c r="EM282">
        <f>IF(ISBLANK('Data Entry'!$Ï$282), "", 'Data Entry'!$Ï$282)</f>
      </c>
      <c r="EN282">
        <f>IF(ISBLANK('Data Entry'!$Ð$282), "", 'Data Entry'!$Ð$282)</f>
      </c>
      <c r="EO282">
        <f>IF(ISBLANK('Data Entry'!$Ñ$282), "", 'Data Entry'!$Ñ$282)</f>
      </c>
      <c r="EP282">
        <f>IF(ISBLANK('Data Entry'!$Ò$282), "", 'Data Entry'!$Ò$282)</f>
      </c>
      <c r="EQ282">
        <f>IF(ISBLANK('Data Entry'!$Ó$282), "", 'Data Entry'!$Ó$282)</f>
      </c>
      <c r="ER282">
        <f>IF(ISBLANK('Data Entry'!$Ô$282), "", 'Data Entry'!$Ô$282)</f>
      </c>
      <c r="ES282">
        <f>IF(ISBLANK('Data Entry'!$Õ$282), "", 'Data Entry'!$Õ$282)</f>
      </c>
      <c r="ET282">
        <f>IF(ISBLANK('Data Entry'!$Ö$282), "", 'Data Entry'!$Ö$282)</f>
      </c>
      <c r="EU282">
        <f>IF(ISBLANK('Data Entry'!$×$282), "", 'Data Entry'!$×$282)</f>
      </c>
      <c r="EV282">
        <f>IF(ISBLANK('Data Entry'!$Ø$282), "", 'Data Entry'!$Ø$282)</f>
      </c>
      <c r="EW282">
        <f>IF(ISBLANK('Data Entry'!$Ù$282), "", 'Data Entry'!$Ù$282)</f>
      </c>
      <c r="EX282">
        <f>IF(ISBLANK('Data Entry'!$Ú$282), "", 'Data Entry'!$Ú$282)</f>
      </c>
      <c r="EY282">
        <f>IF(ISBLANK('Data Entry'!$Û$282), "", 'Data Entry'!$Û$282)</f>
      </c>
      <c r="EZ282">
        <f>IF(ISBLANK('Data Entry'!$Ü$282), "", 'Data Entry'!$Ü$282)</f>
      </c>
      <c r="FA282">
        <f>IF(ISBLANK('Data Entry'!$Ý$282), "", 'Data Entry'!$Ý$282)</f>
      </c>
      <c r="FB282">
        <f>IF(ISBLANK('Data Entry'!$Þ$282), "", 'Data Entry'!$Þ$282)</f>
      </c>
      <c r="FC282">
        <f>IF(ISBLANK('Data Entry'!$ß$282), "", 'Data Entry'!$ß$282)</f>
      </c>
      <c r="FD282">
        <f>IF(ISBLANK('Data Entry'!$à$282), "", 'Data Entry'!$à$282)</f>
      </c>
      <c r="FE282">
        <f>IF(ISBLANK('Data Entry'!$á$282), "", 'Data Entry'!$á$282)</f>
      </c>
      <c r="FF282">
        <f>IF(ISBLANK('Data Entry'!$â$282), "", 'Data Entry'!$â$282)</f>
      </c>
      <c r="FG282">
        <f>IF(ISBLANK('Data Entry'!$ã$282), "", 'Data Entry'!$ã$282)</f>
      </c>
      <c r="FH282">
        <f>IF(ISBLANK('Data Entry'!$ä$282), "", 'Data Entry'!$ä$282)</f>
      </c>
      <c r="FI282">
        <f>IF(ISBLANK('Data Entry'!$å$282), "", 'Data Entry'!$å$282)</f>
      </c>
      <c r="FJ282">
        <f>IF(ISBLANK('Data Entry'!$æ$282), "", 'Data Entry'!$æ$282)</f>
      </c>
      <c r="FK282">
        <f>IF(ISBLANK('Data Entry'!$ç$282), "", 'Data Entry'!$ç$282)</f>
      </c>
      <c r="FL282">
        <f>IF(ISBLANK('Data Entry'!$è$282), "", 'Data Entry'!$è$282)</f>
      </c>
      <c r="FM282">
        <f>IF(ISBLANK('Data Entry'!$é$282), "", 'Data Entry'!$é$282)</f>
      </c>
      <c r="FN282">
        <f>IF(ISBLANK('Data Entry'!$ê$282), "", 'Data Entry'!$ê$282)</f>
      </c>
      <c r="FO282">
        <f>IF(ISBLANK('Data Entry'!$ë$282), "", 'Data Entry'!$ë$282)</f>
      </c>
      <c r="FP282">
        <f>IF(ISBLANK('Data Entry'!$ì$282), "", 'Data Entry'!$ì$282)</f>
      </c>
      <c r="FQ282">
        <f>IF(ISBLANK('Data Entry'!$í$282), "", 'Data Entry'!$í$282)</f>
      </c>
      <c r="FR282">
        <f>IF(ISBLANK('Data Entry'!$î$282), "", 'Data Entry'!$î$282)</f>
      </c>
      <c r="FS282">
        <f>IF(ISBLANK('Data Entry'!$ï$282), "", 'Data Entry'!$ï$282)</f>
      </c>
      <c r="FT282">
        <f>IF(ISBLANK('Data Entry'!$ð$282), "", 'Data Entry'!$ð$282)</f>
      </c>
      <c r="FU282">
        <f>IF(ISBLANK('Data Entry'!$ñ$282), "", 'Data Entry'!$ñ$282)</f>
      </c>
      <c r="FV282">
        <f>IF(ISBLANK('Data Entry'!$ò$282), "", 'Data Entry'!$ò$282)</f>
      </c>
      <c r="FW282">
        <f>IF(ISBLANK('Data Entry'!$ó$282), "", 'Data Entry'!$ó$282)</f>
      </c>
      <c r="FX282">
        <f>IF(ISBLANK('Data Entry'!$ô$282), "", 'Data Entry'!$ô$282)</f>
      </c>
      <c r="FY282">
        <f>IF(ISBLANK('Data Entry'!$õ$282), "", 'Data Entry'!$õ$282)</f>
      </c>
      <c r="FZ282">
        <f>IF(ISBLANK('Data Entry'!$ö$282), "", 'Data Entry'!$ö$282)</f>
      </c>
      <c r="GA282">
        <f>IF(ISBLANK('Data Entry'!$÷$282), "", 'Data Entry'!$÷$282)</f>
      </c>
      <c r="GB282">
        <f>IF(ISBLANK('Data Entry'!$ø$282), "", 'Data Entry'!$ø$282)</f>
      </c>
      <c r="GC282">
        <f>IF(ISBLANK('Data Entry'!$ù$282), "", 'Data Entry'!$ù$282)</f>
      </c>
      <c r="GD282">
        <f>IF(ISBLANK('Data Entry'!$ú$282), "", 'Data Entry'!$ú$282)</f>
      </c>
      <c r="GE282">
        <f>IF(ISBLANK('Data Entry'!$û$282), "", 'Data Entry'!$û$282)</f>
      </c>
      <c r="GF282">
        <f>IF(ISBLANK('Data Entry'!$ü$282), "", 'Data Entry'!$ü$282)</f>
      </c>
      <c r="GG282">
        <f>IF(ISBLANK('Data Entry'!$ý$282), "", 'Data Entry'!$ý$282)</f>
      </c>
      <c r="GH282">
        <f>IF(ISBLANK('Data Entry'!$þ$282), "", 'Data Entry'!$þ$282)</f>
      </c>
      <c r="GI282">
        <f>IF(ISBLANK('Data Entry'!$ÿ$282), "", 'Data Entry'!$ÿ$282)</f>
      </c>
      <c r="GJ282">
        <f>IF(ISBLANK('Data Entry'!$Ā$282), "", 'Data Entry'!$Ā$282)</f>
      </c>
      <c r="GK282">
        <f>IF(ISBLANK('Data Entry'!$ā$282), "", 'Data Entry'!$ā$282)</f>
      </c>
      <c r="GL282">
        <f>IF(ISBLANK('Data Entry'!$Ă$282), "", 'Data Entry'!$Ă$282)</f>
      </c>
      <c r="GM282">
        <f>IF(ISBLANK('Data Entry'!$ă$282), "", 'Data Entry'!$ă$282)</f>
      </c>
      <c r="GN282">
        <f>IF(ISBLANK('Data Entry'!$Ą$282), "", 'Data Entry'!$Ą$282)</f>
      </c>
      <c r="GO282">
        <f>IF(ISBLANK('Data Entry'!$ą$282), "", 'Data Entry'!$ą$282)</f>
      </c>
      <c r="GP282">
        <f>IF(ISBLANK('Data Entry'!$Ć$282), "", 'Data Entry'!$Ć$282)</f>
      </c>
      <c r="GQ282">
        <f>IF(ISBLANK('Data Entry'!$ć$282), "", 'Data Entry'!$ć$282)</f>
      </c>
      <c r="GR282">
        <f>IF(ISBLANK('Data Entry'!$Ĉ$282), "", 'Data Entry'!$Ĉ$282)</f>
      </c>
      <c r="GS282">
        <f>IF(ISBLANK('Data Entry'!$ĉ$282), "", 'Data Entry'!$ĉ$282)</f>
      </c>
      <c r="GT282">
        <f>IF(ISBLANK('Data Entry'!$Ċ$282), "", 'Data Entry'!$Ċ$282)</f>
      </c>
      <c r="GU282">
        <f>IF(ISBLANK('Data Entry'!$ċ$282), "", 'Data Entry'!$ċ$282)</f>
      </c>
      <c r="GV282">
        <f>IF(ISBLANK('Data Entry'!$Č$282), "", 'Data Entry'!$Č$282)</f>
      </c>
      <c r="GW282">
        <f>IF(ISBLANK('Data Entry'!$č$282), "", 'Data Entry'!$č$282)</f>
      </c>
      <c r="GX282">
        <f>IF(ISBLANK('Data Entry'!$Ď$282), "", 'Data Entry'!$Ď$282)</f>
      </c>
      <c r="GY282">
        <f>IF(ISBLANK('Data Entry'!$ď$282), "", 'Data Entry'!$ď$282)</f>
      </c>
      <c r="GZ282">
        <f>IF(ISBLANK('Data Entry'!$Đ$282), "", 'Data Entry'!$Đ$282)</f>
      </c>
      <c r="HA282">
        <f>IF(ISBLANK('Data Entry'!$đ$282), "", 'Data Entry'!$đ$282)</f>
      </c>
      <c r="HB282">
        <f>IF(ISBLANK('Data Entry'!$Ē$282), "", 'Data Entry'!$Ē$282)</f>
      </c>
      <c r="HC282">
        <f>IF(ISBLANK('Data Entry'!$ē$282), "", 'Data Entry'!$ē$282)</f>
      </c>
      <c r="HD282">
        <f>IF(ISBLANK('Data Entry'!$Ĕ$282), "", 'Data Entry'!$Ĕ$282)</f>
      </c>
      <c r="HE282">
        <f>IF(ISBLANK('Data Entry'!$ĕ$282), "", 'Data Entry'!$ĕ$282)</f>
      </c>
      <c r="HF282">
        <f>IF(ISBLANK('Data Entry'!$Ė$282), "", 'Data Entry'!$Ė$282)</f>
      </c>
      <c r="HG282">
        <f>IF(ISBLANK('Data Entry'!$ė$282), "", 'Data Entry'!$ė$282)</f>
      </c>
      <c r="HH282">
        <f>IF(ISBLANK('Data Entry'!$Ę$282), "", 'Data Entry'!$Ę$282)</f>
      </c>
      <c r="HI282">
        <f>IF(ISBLANK('Data Entry'!$ę$282), "", 'Data Entry'!$ę$282)</f>
      </c>
      <c r="HJ282">
        <f>IF(ISBLANK('Data Entry'!$Ě$282), "", 'Data Entry'!$Ě$282)</f>
      </c>
      <c r="HK282">
        <f>IF(ISBLANK('Data Entry'!$ě$282), "", 'Data Entry'!$ě$282)</f>
      </c>
      <c r="HL282">
        <f>IF(ISBLANK('Data Entry'!$Ĝ$282), "", 'Data Entry'!$Ĝ$282)</f>
      </c>
      <c r="HM282">
        <f>IF(ISBLANK('Data Entry'!$ĝ$282), "", 'Data Entry'!$ĝ$282)</f>
      </c>
      <c r="HN282">
        <f>IF(ISBLANK('Data Entry'!$Ğ$282), "", 'Data Entry'!$Ğ$282)</f>
      </c>
      <c r="HO282">
        <f>IF(ISBLANK('Data Entry'!$ğ$282), "", 'Data Entry'!$ğ$282)</f>
      </c>
      <c r="HP282">
        <f>IF(ISBLANK('Data Entry'!$Ġ$282), "", 'Data Entry'!$Ġ$282)</f>
      </c>
      <c r="HQ282">
        <f>IF(ISBLANK('Data Entry'!$ġ$282), "", 'Data Entry'!$ġ$282)</f>
      </c>
      <c r="HR282">
        <f>IF(ISBLANK('Data Entry'!$Ģ$282), "", 'Data Entry'!$Ģ$282)</f>
      </c>
      <c r="HS282">
        <f>IF(ISBLANK('Data Entry'!$ģ$282), "", 'Data Entry'!$ģ$282)</f>
      </c>
      <c r="HT282">
        <f>IF(ISBLANK('Data Entry'!$Ĥ$282), "", 'Data Entry'!$Ĥ$282)</f>
      </c>
      <c r="HU282">
        <f>IF(ISBLANK('Data Entry'!$ĥ$282), "", 'Data Entry'!$ĥ$282)</f>
      </c>
      <c r="HV282">
        <f>IF(ISBLANK('Data Entry'!$Ħ$282), "", 'Data Entry'!$Ħ$282)</f>
      </c>
      <c r="HW282">
        <f>IF(ISBLANK('Data Entry'!$ħ$282), "", 'Data Entry'!$ħ$282)</f>
      </c>
      <c r="HX282">
        <f>IF(ISBLANK('Data Entry'!$Ĩ$282), "", 'Data Entry'!$Ĩ$282)</f>
      </c>
      <c r="HY282">
        <f>IF(ISBLANK('Data Entry'!$ĩ$282), "", 'Data Entry'!$ĩ$282)</f>
      </c>
      <c r="HZ282">
        <f>IF(ISBLANK('Data Entry'!$Ī$282), "", 'Data Entry'!$Ī$282)</f>
      </c>
      <c r="IA282">
        <f>IF(ISBLANK('Data Entry'!$ī$282), "", 'Data Entry'!$ī$282)</f>
      </c>
      <c r="IB282">
        <f>IF(ISBLANK('Data Entry'!$Ĭ$282), "", 'Data Entry'!$Ĭ$282)</f>
      </c>
      <c r="IC282">
        <f>IF(ISBLANK('Data Entry'!$ĭ$282), "", 'Data Entry'!$ĭ$282)</f>
      </c>
      <c r="ID282">
        <f>IF(ISBLANK('Data Entry'!$Į$282), "", 'Data Entry'!$Į$282)</f>
      </c>
      <c r="IE282">
        <f>IF(ISBLANK('Data Entry'!$į$282), "", 'Data Entry'!$į$282)</f>
      </c>
      <c r="IF282">
        <f>IF(ISBLANK('Data Entry'!$İ$282), "", 'Data Entry'!$İ$282)</f>
      </c>
      <c r="IG282">
        <f>IF(ISBLANK('Data Entry'!$ı$282), "", 'Data Entry'!$ı$282)</f>
      </c>
      <c r="IH282">
        <f>IF(ISBLANK('Data Entry'!$Ĳ$282), "", 'Data Entry'!$Ĳ$282)</f>
      </c>
      <c r="II282">
        <f>IF(ISBLANK('Data Entry'!$ĳ$282), "", 'Data Entry'!$ĳ$282)</f>
      </c>
      <c r="IJ282">
        <f>IF(ISBLANK('Data Entry'!$Ĵ$282), "", 'Data Entry'!$Ĵ$282)</f>
      </c>
      <c r="IK282">
        <f>IF(ISBLANK('Data Entry'!$ĵ$282), "", 'Data Entry'!$ĵ$282)</f>
      </c>
      <c r="IL282">
        <f>IF(ISBLANK('Data Entry'!$Ķ$282), "", 'Data Entry'!$Ķ$282)</f>
      </c>
      <c r="IM282">
        <f>IF(ISBLANK('Data Entry'!$ķ$282), "", 'Data Entry'!$ķ$282)</f>
      </c>
      <c r="IN282">
        <f>IF(ISBLANK('Data Entry'!$ĸ$282), "", 'Data Entry'!$ĸ$282)</f>
      </c>
      <c r="IO282">
        <f>IF(ISBLANK('Data Entry'!$Ĺ$282), "", 'Data Entry'!$Ĺ$282)</f>
      </c>
      <c r="IP282">
        <f>IF(ISBLANK('Data Entry'!$ĺ$282), "", 'Data Entry'!$ĺ$282)</f>
      </c>
      <c r="IQ282">
        <f>IF(ISBLANK('Data Entry'!$Ļ$282), "", 'Data Entry'!$Ļ$282)</f>
      </c>
      <c r="IR282">
        <f>IF(ISBLANK('Data Entry'!$ļ$282), "", 'Data Entry'!$ļ$282)</f>
      </c>
      <c r="IS282">
        <f>IF(ISBLANK('Data Entry'!$Ľ$282), "", 'Data Entry'!$Ľ$282)</f>
      </c>
      <c r="IT282">
        <f>IF(ISBLANK('Data Entry'!$ľ$282), "", 'Data Entry'!$ľ$282)</f>
      </c>
    </row>
    <row r="283" spans="1:254" x14ac:dyDescent="0.25">
      <c r="A283">
        <f>IF(ISBLANK('Data Entry'!$A$283), "", 'Data Entry'!$A$283)</f>
      </c>
      <c r="B283">
        <f>IF(ISBLANK('Data Entry'!$B$283), "", 'Data Entry'!$B$283)</f>
      </c>
      <c r="C283">
        <f>IF(ISBLANK('Data Entry'!$C$283), "", 'Data Entry'!$C$283)</f>
      </c>
      <c r="D283">
        <f>IF(ISBLANK('Data Entry'!$D$283), "", 'Data Entry'!$D$283)</f>
      </c>
      <c r="E283">
        <f>IF(ISBLANK('Data Entry'!$E$283), "", 'Data Entry'!$E$283)</f>
      </c>
      <c r="F283">
        <f>IF(ISBLANK('Data Entry'!$F$283), "", 'Data Entry'!$F$283)</f>
      </c>
      <c r="G283">
        <f>IF(ISBLANK('Data Entry'!$G$283), "", 'Data Entry'!$G$283)</f>
      </c>
      <c r="H283">
        <f>IF(ISBLANK('Data Entry'!$H$283), "", 'Data Entry'!$H$283)</f>
      </c>
      <c r="I283">
        <f>IF(ISBLANK('Data Entry'!$I$283), "", 'Data Entry'!$I$283)</f>
      </c>
      <c r="J283">
        <f>IF(ISBLANK('Data Entry'!$J$283), "", 'Data Entry'!$J$283)</f>
      </c>
      <c r="K283">
        <f>IF(ISBLANK('Data Entry'!$K$283), "", 'Data Entry'!$K$283)</f>
      </c>
      <c r="L283">
        <f>IF(ISBLANK('Data Entry'!$L$283), "", 'Data Entry'!$L$283)</f>
      </c>
      <c r="M283">
        <f>IF(ISBLANK('Data Entry'!$M$283), "", 'Data Entry'!$M$283)</f>
      </c>
      <c r="N283">
        <f>IF(ISBLANK('Data Entry'!$N$283), "", 'Data Entry'!$N$283)</f>
      </c>
      <c r="O283">
        <f>IF(ISBLANK('Data Entry'!$O$283), "", 'Data Entry'!$O$283)</f>
      </c>
      <c r="P283">
        <f>IF(ISBLANK('Data Entry'!$P$283), "", 'Data Entry'!$P$283)</f>
      </c>
      <c r="Q283">
        <f>IF(ISBLANK('Data Entry'!$Q$283), "", 'Data Entry'!$Q$283)</f>
      </c>
      <c r="R283">
        <f>IF(ISBLANK('Data Entry'!$R$283), "", 'Data Entry'!$R$283)</f>
      </c>
      <c r="S283">
        <f>IF(ISBLANK('Data Entry'!$S$283), "", 'Data Entry'!$S$283)</f>
      </c>
      <c r="T283">
        <f>IF(ISBLANK('Data Entry'!$T$283), "", 'Data Entry'!$T$283)</f>
      </c>
      <c r="U283">
        <f>IF(ISBLANK('Data Entry'!$U$283), "", 'Data Entry'!$U$283)</f>
      </c>
      <c r="V283">
        <f>IF(ISBLANK('Data Entry'!$V$283), "", 'Data Entry'!$V$283)</f>
      </c>
      <c r="W283">
        <f>IF(ISBLANK('Data Entry'!$W$283), "", 'Data Entry'!$W$283)</f>
      </c>
      <c r="X283">
        <f>IF(ISBLANK('Data Entry'!$X$283), "", 'Data Entry'!$X$283)</f>
      </c>
      <c r="Y283">
        <f>IF(ISBLANK('Data Entry'!$Y$283), "", 'Data Entry'!$Y$283)</f>
      </c>
      <c r="Z283">
        <f>IF(ISBLANK('Data Entry'!$Z$283), "", 'Data Entry'!$Z$283)</f>
      </c>
      <c r="AA283">
        <f>IF(ISBLANK('Data Entry'!$[$283), "", 'Data Entry'!$[$283)</f>
      </c>
      <c r="AB283">
        <f>IF(ISBLANK('Data Entry'!$\$283), "", 'Data Entry'!$\$283)</f>
      </c>
      <c r="AC283">
        <f>IF(ISBLANK('Data Entry'!$]$283), "", 'Data Entry'!$]$283)</f>
      </c>
      <c r="AD283">
        <f>IF(ISBLANK('Data Entry'!$^$283), "", 'Data Entry'!$^$283)</f>
      </c>
      <c r="AE283">
        <f>IF(ISBLANK('Data Entry'!$_$283), "", 'Data Entry'!$_$283)</f>
      </c>
      <c r="AF283">
        <f>IF(ISBLANK('Data Entry'!$`$283), "", 'Data Entry'!$`$283)</f>
      </c>
      <c r="AG283">
        <f>IF(ISBLANK('Data Entry'!$a$283), "", 'Data Entry'!$a$283)</f>
      </c>
      <c r="AH283">
        <f>IF(ISBLANK('Data Entry'!$b$283), "", 'Data Entry'!$b$283)</f>
      </c>
      <c r="AI283">
        <f>IF(ISBLANK('Data Entry'!$c$283), "", 'Data Entry'!$c$283)</f>
      </c>
      <c r="AJ283">
        <f>IF(ISBLANK('Data Entry'!$d$283), "", 'Data Entry'!$d$283)</f>
      </c>
      <c r="AK283">
        <f>IF(ISBLANK('Data Entry'!$e$283), "", 'Data Entry'!$e$283)</f>
      </c>
      <c r="AL283">
        <f>IF(ISBLANK('Data Entry'!$f$283), "", 'Data Entry'!$f$283)</f>
      </c>
      <c r="AM283">
        <f>IF(ISBLANK('Data Entry'!$g$283), "", 'Data Entry'!$g$283)</f>
      </c>
      <c r="AN283">
        <f>IF(ISBLANK('Data Entry'!$h$283), "", 'Data Entry'!$h$283)</f>
      </c>
      <c r="AO283">
        <f>IF(ISBLANK('Data Entry'!$i$283), "", 'Data Entry'!$i$283)</f>
      </c>
      <c r="AP283">
        <f>IF(ISBLANK('Data Entry'!$j$283), "", 'Data Entry'!$j$283)</f>
      </c>
      <c r="AQ283">
        <f>IF(ISBLANK('Data Entry'!$k$283), "", 'Data Entry'!$k$283)</f>
      </c>
      <c r="AR283">
        <f>IF(ISBLANK('Data Entry'!$l$283), "", 'Data Entry'!$l$283)</f>
      </c>
      <c r="AS283">
        <f>IF(ISBLANK('Data Entry'!$m$283), "", 'Data Entry'!$m$283)</f>
      </c>
      <c r="AT283">
        <f>IF(ISBLANK('Data Entry'!$n$283), "", 'Data Entry'!$n$283)</f>
      </c>
      <c r="AU283">
        <f>IF(ISBLANK('Data Entry'!$o$283), "", 'Data Entry'!$o$283)</f>
      </c>
      <c r="AV283">
        <f>IF(ISBLANK('Data Entry'!$p$283), "", 'Data Entry'!$p$283)</f>
      </c>
      <c r="AW283">
        <f>IF(ISBLANK('Data Entry'!$q$283), "", 'Data Entry'!$q$283)</f>
      </c>
      <c r="AX283">
        <f>IF(ISBLANK('Data Entry'!$r$283), "", 'Data Entry'!$r$283)</f>
      </c>
      <c r="AY283">
        <f>IF(ISBLANK('Data Entry'!$s$283), "", 'Data Entry'!$s$283)</f>
      </c>
      <c r="AZ283">
        <f>IF(ISBLANK('Data Entry'!$t$283), "", 'Data Entry'!$t$283)</f>
      </c>
      <c r="BA283">
        <f>IF(ISBLANK('Data Entry'!$u$283), "", 'Data Entry'!$u$283)</f>
      </c>
      <c r="BB283">
        <f>IF(ISBLANK('Data Entry'!$v$283), "", 'Data Entry'!$v$283)</f>
      </c>
      <c r="BC283">
        <f>IF(ISBLANK('Data Entry'!$w$283), "", 'Data Entry'!$w$283)</f>
      </c>
      <c r="BD283">
        <f>IF(ISBLANK('Data Entry'!$x$283), "", 'Data Entry'!$x$283)</f>
      </c>
      <c r="BE283">
        <f>IF(ISBLANK('Data Entry'!$y$283), "", 'Data Entry'!$y$283)</f>
      </c>
      <c r="BF283">
        <f>IF(ISBLANK('Data Entry'!$z$283), "", 'Data Entry'!$z$283)</f>
      </c>
      <c r="BG283">
        <f>IF(ISBLANK('Data Entry'!${$283), "", 'Data Entry'!${$283)</f>
      </c>
      <c r="BH283">
        <f>IF(ISBLANK('Data Entry'!$|$283), "", 'Data Entry'!$|$283)</f>
      </c>
      <c r="BI283">
        <f>IF(ISBLANK('Data Entry'!$}$283), "", 'Data Entry'!$}$283)</f>
      </c>
      <c r="BJ283">
        <f>IF(ISBLANK('Data Entry'!$~$283), "", 'Data Entry'!$~$283)</f>
      </c>
      <c r="BK283">
        <f>IF(ISBLANK('Data Entry'!$$283), "", 'Data Entry'!$$283)</f>
      </c>
      <c r="BL283">
        <f>IF(ISBLANK('Data Entry'!$$283), "", 'Data Entry'!$$283)</f>
      </c>
      <c r="BM283">
        <f>IF(ISBLANK('Data Entry'!$$283), "", 'Data Entry'!$$283)</f>
      </c>
      <c r="BN283">
        <f>IF(ISBLANK('Data Entry'!$$283), "", 'Data Entry'!$$283)</f>
      </c>
      <c r="BO283">
        <f>IF(ISBLANK('Data Entry'!$$283), "", 'Data Entry'!$$283)</f>
      </c>
      <c r="BP283">
        <f>IF(ISBLANK('Data Entry'!$$283), "", 'Data Entry'!$$283)</f>
      </c>
      <c r="BQ283">
        <f>IF(ISBLANK('Data Entry'!$$283), "", 'Data Entry'!$$283)</f>
      </c>
      <c r="BR283">
        <f>IF(ISBLANK('Data Entry'!$$283), "", 'Data Entry'!$$283)</f>
      </c>
      <c r="BS283">
        <f>IF(ISBLANK('Data Entry'!$$283), "", 'Data Entry'!$$283)</f>
      </c>
      <c r="BT283">
        <f>IF(ISBLANK('Data Entry'!$$283), "", 'Data Entry'!$$283)</f>
      </c>
      <c r="BU283">
        <f>IF(ISBLANK('Data Entry'!$$283), "", 'Data Entry'!$$283)</f>
      </c>
      <c r="BV283">
        <f>IF(ISBLANK('Data Entry'!$$283), "", 'Data Entry'!$$283)</f>
      </c>
      <c r="BW283">
        <f>IF(ISBLANK('Data Entry'!$$283), "", 'Data Entry'!$$283)</f>
      </c>
      <c r="BX283">
        <f>IF(ISBLANK('Data Entry'!$$283), "", 'Data Entry'!$$283)</f>
      </c>
      <c r="BY283">
        <f>IF(ISBLANK('Data Entry'!$$283), "", 'Data Entry'!$$283)</f>
      </c>
      <c r="BZ283">
        <f>IF(ISBLANK('Data Entry'!$$283), "", 'Data Entry'!$$283)</f>
      </c>
      <c r="CA283">
        <f>IF(ISBLANK('Data Entry'!$$283), "", 'Data Entry'!$$283)</f>
      </c>
      <c r="CB283">
        <f>IF(ISBLANK('Data Entry'!$$283), "", 'Data Entry'!$$283)</f>
      </c>
      <c r="CC283">
        <f>IF(ISBLANK('Data Entry'!$$283), "", 'Data Entry'!$$283)</f>
      </c>
      <c r="CD283">
        <f>IF(ISBLANK('Data Entry'!$$283), "", 'Data Entry'!$$283)</f>
      </c>
      <c r="CE283">
        <f>IF(ISBLANK('Data Entry'!$$283), "", 'Data Entry'!$$283)</f>
      </c>
      <c r="CF283">
        <f>IF(ISBLANK('Data Entry'!$$283), "", 'Data Entry'!$$283)</f>
      </c>
      <c r="CG283">
        <f>IF(ISBLANK('Data Entry'!$$283), "", 'Data Entry'!$$283)</f>
      </c>
      <c r="CH283">
        <f>IF(ISBLANK('Data Entry'!$$283), "", 'Data Entry'!$$283)</f>
      </c>
      <c r="CI283">
        <f>IF(ISBLANK('Data Entry'!$$283), "", 'Data Entry'!$$283)</f>
      </c>
      <c r="CJ283">
        <f>IF(ISBLANK('Data Entry'!$$283), "", 'Data Entry'!$$283)</f>
      </c>
      <c r="CK283">
        <f>IF(ISBLANK('Data Entry'!$$283), "", 'Data Entry'!$$283)</f>
      </c>
      <c r="CL283">
        <f>IF(ISBLANK('Data Entry'!$$283), "", 'Data Entry'!$$283)</f>
      </c>
      <c r="CM283">
        <f>IF(ISBLANK('Data Entry'!$$283), "", 'Data Entry'!$$283)</f>
      </c>
      <c r="CN283">
        <f>IF(ISBLANK('Data Entry'!$$283), "", 'Data Entry'!$$283)</f>
      </c>
      <c r="CO283">
        <f>IF(ISBLANK('Data Entry'!$$283), "", 'Data Entry'!$$283)</f>
      </c>
      <c r="CP283">
        <f>IF(ISBLANK('Data Entry'!$$283), "", 'Data Entry'!$$283)</f>
      </c>
      <c r="CQ283">
        <f>IF(ISBLANK('Data Entry'!$$283), "", 'Data Entry'!$$283)</f>
      </c>
      <c r="CR283">
        <f>IF(ISBLANK('Data Entry'!$ $283), "", 'Data Entry'!$ $283)</f>
      </c>
      <c r="CS283">
        <f>IF(ISBLANK('Data Entry'!$¡$283), "", 'Data Entry'!$¡$283)</f>
      </c>
      <c r="CT283">
        <f>IF(ISBLANK('Data Entry'!$¢$283), "", 'Data Entry'!$¢$283)</f>
      </c>
      <c r="CU283">
        <f>IF(ISBLANK('Data Entry'!$£$283), "", 'Data Entry'!$£$283)</f>
      </c>
      <c r="CV283">
        <f>IF(ISBLANK('Data Entry'!$¤$283), "", 'Data Entry'!$¤$283)</f>
      </c>
      <c r="CW283">
        <f>IF(ISBLANK('Data Entry'!$¥$283), "", 'Data Entry'!$¥$283)</f>
      </c>
      <c r="CX283">
        <f>IF(ISBLANK('Data Entry'!$¦$283), "", 'Data Entry'!$¦$283)</f>
      </c>
      <c r="CY283">
        <f>IF(ISBLANK('Data Entry'!$§$283), "", 'Data Entry'!$§$283)</f>
      </c>
      <c r="CZ283">
        <f>IF(ISBLANK('Data Entry'!$¨$283), "", 'Data Entry'!$¨$283)</f>
      </c>
      <c r="DA283">
        <f>IF(ISBLANK('Data Entry'!$©$283), "", 'Data Entry'!$©$283)</f>
      </c>
      <c r="DB283">
        <f>IF(ISBLANK('Data Entry'!$ª$283), "", 'Data Entry'!$ª$283)</f>
      </c>
      <c r="DC283">
        <f>IF(ISBLANK('Data Entry'!$«$283), "", 'Data Entry'!$«$283)</f>
      </c>
      <c r="DD283">
        <f>IF(ISBLANK('Data Entry'!$¬$283), "", 'Data Entry'!$¬$283)</f>
      </c>
      <c r="DE283">
        <f>IF(ISBLANK('Data Entry'!$­$283), "", 'Data Entry'!$­$283)</f>
      </c>
      <c r="DF283">
        <f>IF(ISBLANK('Data Entry'!$®$283), "", 'Data Entry'!$®$283)</f>
      </c>
      <c r="DG283">
        <f>IF(ISBLANK('Data Entry'!$¯$283), "", 'Data Entry'!$¯$283)</f>
      </c>
      <c r="DH283">
        <f>IF(ISBLANK('Data Entry'!$°$283), "", 'Data Entry'!$°$283)</f>
      </c>
      <c r="DI283">
        <f>IF(ISBLANK('Data Entry'!$±$283), "", 'Data Entry'!$±$283)</f>
      </c>
      <c r="DJ283">
        <f>IF(ISBLANK('Data Entry'!$²$283), "", 'Data Entry'!$²$283)</f>
      </c>
      <c r="DK283">
        <f>IF(ISBLANK('Data Entry'!$³$283), "", 'Data Entry'!$³$283)</f>
      </c>
      <c r="DL283">
        <f>IF(ISBLANK('Data Entry'!$´$283), "", 'Data Entry'!$´$283)</f>
      </c>
      <c r="DM283">
        <f>IF(ISBLANK('Data Entry'!$µ$283), "", 'Data Entry'!$µ$283)</f>
      </c>
      <c r="DN283">
        <f>IF(ISBLANK('Data Entry'!$¶$283), "", 'Data Entry'!$¶$283)</f>
      </c>
      <c r="DO283">
        <f>IF(ISBLANK('Data Entry'!$·$283), "", 'Data Entry'!$·$283)</f>
      </c>
      <c r="DP283">
        <f>IF(ISBLANK('Data Entry'!$¸$283), "", 'Data Entry'!$¸$283)</f>
      </c>
      <c r="DQ283">
        <f>IF(ISBLANK('Data Entry'!$¹$283), "", 'Data Entry'!$¹$283)</f>
      </c>
      <c r="DR283">
        <f>IF(ISBLANK('Data Entry'!$º$283), "", 'Data Entry'!$º$283)</f>
      </c>
      <c r="DS283">
        <f>IF(ISBLANK('Data Entry'!$»$283), "", 'Data Entry'!$»$283)</f>
      </c>
      <c r="DT283">
        <f>IF(ISBLANK('Data Entry'!$¼$283), "", 'Data Entry'!$¼$283)</f>
      </c>
      <c r="DU283">
        <f>IF(ISBLANK('Data Entry'!$½$283), "", 'Data Entry'!$½$283)</f>
      </c>
      <c r="DV283">
        <f>IF(ISBLANK('Data Entry'!$¾$283), "", 'Data Entry'!$¾$283)</f>
      </c>
      <c r="DW283">
        <f>IF(ISBLANK('Data Entry'!$¿$283), "", 'Data Entry'!$¿$283)</f>
      </c>
      <c r="DX283">
        <f>IF(ISBLANK('Data Entry'!$À$283), "", 'Data Entry'!$À$283)</f>
      </c>
      <c r="DY283">
        <f>IF(ISBLANK('Data Entry'!$Á$283), "", 'Data Entry'!$Á$283)</f>
      </c>
      <c r="DZ283">
        <f>IF(ISBLANK('Data Entry'!$Â$283), "", 'Data Entry'!$Â$283)</f>
      </c>
      <c r="EA283">
        <f>IF(ISBLANK('Data Entry'!$Ã$283), "", 'Data Entry'!$Ã$283)</f>
      </c>
      <c r="EB283">
        <f>IF(ISBLANK('Data Entry'!$Ä$283), "", 'Data Entry'!$Ä$283)</f>
      </c>
      <c r="EC283">
        <f>IF(ISBLANK('Data Entry'!$Å$283), "", 'Data Entry'!$Å$283)</f>
      </c>
      <c r="ED283">
        <f>IF(ISBLANK('Data Entry'!$Æ$283), "", 'Data Entry'!$Æ$283)</f>
      </c>
      <c r="EE283">
        <f>IF(ISBLANK('Data Entry'!$Ç$283), "", 'Data Entry'!$Ç$283)</f>
      </c>
      <c r="EF283">
        <f>IF(ISBLANK('Data Entry'!$È$283), "", 'Data Entry'!$È$283)</f>
      </c>
      <c r="EG283">
        <f>IF(ISBLANK('Data Entry'!$É$283), "", 'Data Entry'!$É$283)</f>
      </c>
      <c r="EH283">
        <f>IF(ISBLANK('Data Entry'!$Ê$283), "", 'Data Entry'!$Ê$283)</f>
      </c>
      <c r="EI283">
        <f>IF(ISBLANK('Data Entry'!$Ë$283), "", 'Data Entry'!$Ë$283)</f>
      </c>
      <c r="EJ283">
        <f>IF(ISBLANK('Data Entry'!$Ì$283), "", 'Data Entry'!$Ì$283)</f>
      </c>
      <c r="EK283">
        <f>IF(ISBLANK('Data Entry'!$Í$283), "", 'Data Entry'!$Í$283)</f>
      </c>
      <c r="EL283">
        <f>IF(ISBLANK('Data Entry'!$Î$283), "", 'Data Entry'!$Î$283)</f>
      </c>
      <c r="EM283">
        <f>IF(ISBLANK('Data Entry'!$Ï$283), "", 'Data Entry'!$Ï$283)</f>
      </c>
      <c r="EN283">
        <f>IF(ISBLANK('Data Entry'!$Ð$283), "", 'Data Entry'!$Ð$283)</f>
      </c>
      <c r="EO283">
        <f>IF(ISBLANK('Data Entry'!$Ñ$283), "", 'Data Entry'!$Ñ$283)</f>
      </c>
      <c r="EP283">
        <f>IF(ISBLANK('Data Entry'!$Ò$283), "", 'Data Entry'!$Ò$283)</f>
      </c>
      <c r="EQ283">
        <f>IF(ISBLANK('Data Entry'!$Ó$283), "", 'Data Entry'!$Ó$283)</f>
      </c>
      <c r="ER283">
        <f>IF(ISBLANK('Data Entry'!$Ô$283), "", 'Data Entry'!$Ô$283)</f>
      </c>
      <c r="ES283">
        <f>IF(ISBLANK('Data Entry'!$Õ$283), "", 'Data Entry'!$Õ$283)</f>
      </c>
      <c r="ET283">
        <f>IF(ISBLANK('Data Entry'!$Ö$283), "", 'Data Entry'!$Ö$283)</f>
      </c>
      <c r="EU283">
        <f>IF(ISBLANK('Data Entry'!$×$283), "", 'Data Entry'!$×$283)</f>
      </c>
      <c r="EV283">
        <f>IF(ISBLANK('Data Entry'!$Ø$283), "", 'Data Entry'!$Ø$283)</f>
      </c>
      <c r="EW283">
        <f>IF(ISBLANK('Data Entry'!$Ù$283), "", 'Data Entry'!$Ù$283)</f>
      </c>
      <c r="EX283">
        <f>IF(ISBLANK('Data Entry'!$Ú$283), "", 'Data Entry'!$Ú$283)</f>
      </c>
      <c r="EY283">
        <f>IF(ISBLANK('Data Entry'!$Û$283), "", 'Data Entry'!$Û$283)</f>
      </c>
      <c r="EZ283">
        <f>IF(ISBLANK('Data Entry'!$Ü$283), "", 'Data Entry'!$Ü$283)</f>
      </c>
      <c r="FA283">
        <f>IF(ISBLANK('Data Entry'!$Ý$283), "", 'Data Entry'!$Ý$283)</f>
      </c>
      <c r="FB283">
        <f>IF(ISBLANK('Data Entry'!$Þ$283), "", 'Data Entry'!$Þ$283)</f>
      </c>
      <c r="FC283">
        <f>IF(ISBLANK('Data Entry'!$ß$283), "", 'Data Entry'!$ß$283)</f>
      </c>
      <c r="FD283">
        <f>IF(ISBLANK('Data Entry'!$à$283), "", 'Data Entry'!$à$283)</f>
      </c>
      <c r="FE283">
        <f>IF(ISBLANK('Data Entry'!$á$283), "", 'Data Entry'!$á$283)</f>
      </c>
      <c r="FF283">
        <f>IF(ISBLANK('Data Entry'!$â$283), "", 'Data Entry'!$â$283)</f>
      </c>
      <c r="FG283">
        <f>IF(ISBLANK('Data Entry'!$ã$283), "", 'Data Entry'!$ã$283)</f>
      </c>
      <c r="FH283">
        <f>IF(ISBLANK('Data Entry'!$ä$283), "", 'Data Entry'!$ä$283)</f>
      </c>
      <c r="FI283">
        <f>IF(ISBLANK('Data Entry'!$å$283), "", 'Data Entry'!$å$283)</f>
      </c>
      <c r="FJ283">
        <f>IF(ISBLANK('Data Entry'!$æ$283), "", 'Data Entry'!$æ$283)</f>
      </c>
      <c r="FK283">
        <f>IF(ISBLANK('Data Entry'!$ç$283), "", 'Data Entry'!$ç$283)</f>
      </c>
      <c r="FL283">
        <f>IF(ISBLANK('Data Entry'!$è$283), "", 'Data Entry'!$è$283)</f>
      </c>
      <c r="FM283">
        <f>IF(ISBLANK('Data Entry'!$é$283), "", 'Data Entry'!$é$283)</f>
      </c>
      <c r="FN283">
        <f>IF(ISBLANK('Data Entry'!$ê$283), "", 'Data Entry'!$ê$283)</f>
      </c>
      <c r="FO283">
        <f>IF(ISBLANK('Data Entry'!$ë$283), "", 'Data Entry'!$ë$283)</f>
      </c>
      <c r="FP283">
        <f>IF(ISBLANK('Data Entry'!$ì$283), "", 'Data Entry'!$ì$283)</f>
      </c>
      <c r="FQ283">
        <f>IF(ISBLANK('Data Entry'!$í$283), "", 'Data Entry'!$í$283)</f>
      </c>
      <c r="FR283">
        <f>IF(ISBLANK('Data Entry'!$î$283), "", 'Data Entry'!$î$283)</f>
      </c>
      <c r="FS283">
        <f>IF(ISBLANK('Data Entry'!$ï$283), "", 'Data Entry'!$ï$283)</f>
      </c>
      <c r="FT283">
        <f>IF(ISBLANK('Data Entry'!$ð$283), "", 'Data Entry'!$ð$283)</f>
      </c>
      <c r="FU283">
        <f>IF(ISBLANK('Data Entry'!$ñ$283), "", 'Data Entry'!$ñ$283)</f>
      </c>
      <c r="FV283">
        <f>IF(ISBLANK('Data Entry'!$ò$283), "", 'Data Entry'!$ò$283)</f>
      </c>
      <c r="FW283">
        <f>IF(ISBLANK('Data Entry'!$ó$283), "", 'Data Entry'!$ó$283)</f>
      </c>
      <c r="FX283">
        <f>IF(ISBLANK('Data Entry'!$ô$283), "", 'Data Entry'!$ô$283)</f>
      </c>
      <c r="FY283">
        <f>IF(ISBLANK('Data Entry'!$õ$283), "", 'Data Entry'!$õ$283)</f>
      </c>
      <c r="FZ283">
        <f>IF(ISBLANK('Data Entry'!$ö$283), "", 'Data Entry'!$ö$283)</f>
      </c>
      <c r="GA283">
        <f>IF(ISBLANK('Data Entry'!$÷$283), "", 'Data Entry'!$÷$283)</f>
      </c>
      <c r="GB283">
        <f>IF(ISBLANK('Data Entry'!$ø$283), "", 'Data Entry'!$ø$283)</f>
      </c>
      <c r="GC283">
        <f>IF(ISBLANK('Data Entry'!$ù$283), "", 'Data Entry'!$ù$283)</f>
      </c>
      <c r="GD283">
        <f>IF(ISBLANK('Data Entry'!$ú$283), "", 'Data Entry'!$ú$283)</f>
      </c>
      <c r="GE283">
        <f>IF(ISBLANK('Data Entry'!$û$283), "", 'Data Entry'!$û$283)</f>
      </c>
      <c r="GF283">
        <f>IF(ISBLANK('Data Entry'!$ü$283), "", 'Data Entry'!$ü$283)</f>
      </c>
      <c r="GG283">
        <f>IF(ISBLANK('Data Entry'!$ý$283), "", 'Data Entry'!$ý$283)</f>
      </c>
      <c r="GH283">
        <f>IF(ISBLANK('Data Entry'!$þ$283), "", 'Data Entry'!$þ$283)</f>
      </c>
      <c r="GI283">
        <f>IF(ISBLANK('Data Entry'!$ÿ$283), "", 'Data Entry'!$ÿ$283)</f>
      </c>
      <c r="GJ283">
        <f>IF(ISBLANK('Data Entry'!$Ā$283), "", 'Data Entry'!$Ā$283)</f>
      </c>
      <c r="GK283">
        <f>IF(ISBLANK('Data Entry'!$ā$283), "", 'Data Entry'!$ā$283)</f>
      </c>
      <c r="GL283">
        <f>IF(ISBLANK('Data Entry'!$Ă$283), "", 'Data Entry'!$Ă$283)</f>
      </c>
      <c r="GM283">
        <f>IF(ISBLANK('Data Entry'!$ă$283), "", 'Data Entry'!$ă$283)</f>
      </c>
      <c r="GN283">
        <f>IF(ISBLANK('Data Entry'!$Ą$283), "", 'Data Entry'!$Ą$283)</f>
      </c>
      <c r="GO283">
        <f>IF(ISBLANK('Data Entry'!$ą$283), "", 'Data Entry'!$ą$283)</f>
      </c>
      <c r="GP283">
        <f>IF(ISBLANK('Data Entry'!$Ć$283), "", 'Data Entry'!$Ć$283)</f>
      </c>
      <c r="GQ283">
        <f>IF(ISBLANK('Data Entry'!$ć$283), "", 'Data Entry'!$ć$283)</f>
      </c>
      <c r="GR283">
        <f>IF(ISBLANK('Data Entry'!$Ĉ$283), "", 'Data Entry'!$Ĉ$283)</f>
      </c>
      <c r="GS283">
        <f>IF(ISBLANK('Data Entry'!$ĉ$283), "", 'Data Entry'!$ĉ$283)</f>
      </c>
      <c r="GT283">
        <f>IF(ISBLANK('Data Entry'!$Ċ$283), "", 'Data Entry'!$Ċ$283)</f>
      </c>
      <c r="GU283">
        <f>IF(ISBLANK('Data Entry'!$ċ$283), "", 'Data Entry'!$ċ$283)</f>
      </c>
      <c r="GV283">
        <f>IF(ISBLANK('Data Entry'!$Č$283), "", 'Data Entry'!$Č$283)</f>
      </c>
      <c r="GW283">
        <f>IF(ISBLANK('Data Entry'!$č$283), "", 'Data Entry'!$č$283)</f>
      </c>
      <c r="GX283">
        <f>IF(ISBLANK('Data Entry'!$Ď$283), "", 'Data Entry'!$Ď$283)</f>
      </c>
      <c r="GY283">
        <f>IF(ISBLANK('Data Entry'!$ď$283), "", 'Data Entry'!$ď$283)</f>
      </c>
      <c r="GZ283">
        <f>IF(ISBLANK('Data Entry'!$Đ$283), "", 'Data Entry'!$Đ$283)</f>
      </c>
      <c r="HA283">
        <f>IF(ISBLANK('Data Entry'!$đ$283), "", 'Data Entry'!$đ$283)</f>
      </c>
      <c r="HB283">
        <f>IF(ISBLANK('Data Entry'!$Ē$283), "", 'Data Entry'!$Ē$283)</f>
      </c>
      <c r="HC283">
        <f>IF(ISBLANK('Data Entry'!$ē$283), "", 'Data Entry'!$ē$283)</f>
      </c>
      <c r="HD283">
        <f>IF(ISBLANK('Data Entry'!$Ĕ$283), "", 'Data Entry'!$Ĕ$283)</f>
      </c>
      <c r="HE283">
        <f>IF(ISBLANK('Data Entry'!$ĕ$283), "", 'Data Entry'!$ĕ$283)</f>
      </c>
      <c r="HF283">
        <f>IF(ISBLANK('Data Entry'!$Ė$283), "", 'Data Entry'!$Ė$283)</f>
      </c>
      <c r="HG283">
        <f>IF(ISBLANK('Data Entry'!$ė$283), "", 'Data Entry'!$ė$283)</f>
      </c>
      <c r="HH283">
        <f>IF(ISBLANK('Data Entry'!$Ę$283), "", 'Data Entry'!$Ę$283)</f>
      </c>
      <c r="HI283">
        <f>IF(ISBLANK('Data Entry'!$ę$283), "", 'Data Entry'!$ę$283)</f>
      </c>
      <c r="HJ283">
        <f>IF(ISBLANK('Data Entry'!$Ě$283), "", 'Data Entry'!$Ě$283)</f>
      </c>
      <c r="HK283">
        <f>IF(ISBLANK('Data Entry'!$ě$283), "", 'Data Entry'!$ě$283)</f>
      </c>
      <c r="HL283">
        <f>IF(ISBLANK('Data Entry'!$Ĝ$283), "", 'Data Entry'!$Ĝ$283)</f>
      </c>
      <c r="HM283">
        <f>IF(ISBLANK('Data Entry'!$ĝ$283), "", 'Data Entry'!$ĝ$283)</f>
      </c>
      <c r="HN283">
        <f>IF(ISBLANK('Data Entry'!$Ğ$283), "", 'Data Entry'!$Ğ$283)</f>
      </c>
      <c r="HO283">
        <f>IF(ISBLANK('Data Entry'!$ğ$283), "", 'Data Entry'!$ğ$283)</f>
      </c>
      <c r="HP283">
        <f>IF(ISBLANK('Data Entry'!$Ġ$283), "", 'Data Entry'!$Ġ$283)</f>
      </c>
      <c r="HQ283">
        <f>IF(ISBLANK('Data Entry'!$ġ$283), "", 'Data Entry'!$ġ$283)</f>
      </c>
      <c r="HR283">
        <f>IF(ISBLANK('Data Entry'!$Ģ$283), "", 'Data Entry'!$Ģ$283)</f>
      </c>
      <c r="HS283">
        <f>IF(ISBLANK('Data Entry'!$ģ$283), "", 'Data Entry'!$ģ$283)</f>
      </c>
      <c r="HT283">
        <f>IF(ISBLANK('Data Entry'!$Ĥ$283), "", 'Data Entry'!$Ĥ$283)</f>
      </c>
      <c r="HU283">
        <f>IF(ISBLANK('Data Entry'!$ĥ$283), "", 'Data Entry'!$ĥ$283)</f>
      </c>
      <c r="HV283">
        <f>IF(ISBLANK('Data Entry'!$Ħ$283), "", 'Data Entry'!$Ħ$283)</f>
      </c>
      <c r="HW283">
        <f>IF(ISBLANK('Data Entry'!$ħ$283), "", 'Data Entry'!$ħ$283)</f>
      </c>
      <c r="HX283">
        <f>IF(ISBLANK('Data Entry'!$Ĩ$283), "", 'Data Entry'!$Ĩ$283)</f>
      </c>
      <c r="HY283">
        <f>IF(ISBLANK('Data Entry'!$ĩ$283), "", 'Data Entry'!$ĩ$283)</f>
      </c>
      <c r="HZ283">
        <f>IF(ISBLANK('Data Entry'!$Ī$283), "", 'Data Entry'!$Ī$283)</f>
      </c>
      <c r="IA283">
        <f>IF(ISBLANK('Data Entry'!$ī$283), "", 'Data Entry'!$ī$283)</f>
      </c>
      <c r="IB283">
        <f>IF(ISBLANK('Data Entry'!$Ĭ$283), "", 'Data Entry'!$Ĭ$283)</f>
      </c>
      <c r="IC283">
        <f>IF(ISBLANK('Data Entry'!$ĭ$283), "", 'Data Entry'!$ĭ$283)</f>
      </c>
      <c r="ID283">
        <f>IF(ISBLANK('Data Entry'!$Į$283), "", 'Data Entry'!$Į$283)</f>
      </c>
      <c r="IE283">
        <f>IF(ISBLANK('Data Entry'!$į$283), "", 'Data Entry'!$į$283)</f>
      </c>
      <c r="IF283">
        <f>IF(ISBLANK('Data Entry'!$İ$283), "", 'Data Entry'!$İ$283)</f>
      </c>
      <c r="IG283">
        <f>IF(ISBLANK('Data Entry'!$ı$283), "", 'Data Entry'!$ı$283)</f>
      </c>
      <c r="IH283">
        <f>IF(ISBLANK('Data Entry'!$Ĳ$283), "", 'Data Entry'!$Ĳ$283)</f>
      </c>
      <c r="II283">
        <f>IF(ISBLANK('Data Entry'!$ĳ$283), "", 'Data Entry'!$ĳ$283)</f>
      </c>
      <c r="IJ283">
        <f>IF(ISBLANK('Data Entry'!$Ĵ$283), "", 'Data Entry'!$Ĵ$283)</f>
      </c>
      <c r="IK283">
        <f>IF(ISBLANK('Data Entry'!$ĵ$283), "", 'Data Entry'!$ĵ$283)</f>
      </c>
      <c r="IL283">
        <f>IF(ISBLANK('Data Entry'!$Ķ$283), "", 'Data Entry'!$Ķ$283)</f>
      </c>
      <c r="IM283">
        <f>IF(ISBLANK('Data Entry'!$ķ$283), "", 'Data Entry'!$ķ$283)</f>
      </c>
      <c r="IN283">
        <f>IF(ISBLANK('Data Entry'!$ĸ$283), "", 'Data Entry'!$ĸ$283)</f>
      </c>
      <c r="IO283">
        <f>IF(ISBLANK('Data Entry'!$Ĺ$283), "", 'Data Entry'!$Ĺ$283)</f>
      </c>
      <c r="IP283">
        <f>IF(ISBLANK('Data Entry'!$ĺ$283), "", 'Data Entry'!$ĺ$283)</f>
      </c>
      <c r="IQ283">
        <f>IF(ISBLANK('Data Entry'!$Ļ$283), "", 'Data Entry'!$Ļ$283)</f>
      </c>
      <c r="IR283">
        <f>IF(ISBLANK('Data Entry'!$ļ$283), "", 'Data Entry'!$ļ$283)</f>
      </c>
      <c r="IS283">
        <f>IF(ISBLANK('Data Entry'!$Ľ$283), "", 'Data Entry'!$Ľ$283)</f>
      </c>
      <c r="IT283">
        <f>IF(ISBLANK('Data Entry'!$ľ$283), "", 'Data Entry'!$ľ$283)</f>
      </c>
    </row>
    <row r="284" spans="1:254" x14ac:dyDescent="0.25">
      <c r="A284">
        <f>IF(ISBLANK('Data Entry'!$A$284), "", 'Data Entry'!$A$284)</f>
      </c>
      <c r="B284">
        <f>IF(ISBLANK('Data Entry'!$B$284), "", 'Data Entry'!$B$284)</f>
      </c>
      <c r="C284">
        <f>IF(ISBLANK('Data Entry'!$C$284), "", 'Data Entry'!$C$284)</f>
      </c>
      <c r="D284">
        <f>IF(ISBLANK('Data Entry'!$D$284), "", 'Data Entry'!$D$284)</f>
      </c>
      <c r="E284">
        <f>IF(ISBLANK('Data Entry'!$E$284), "", 'Data Entry'!$E$284)</f>
      </c>
      <c r="F284">
        <f>IF(ISBLANK('Data Entry'!$F$284), "", 'Data Entry'!$F$284)</f>
      </c>
      <c r="G284">
        <f>IF(ISBLANK('Data Entry'!$G$284), "", 'Data Entry'!$G$284)</f>
      </c>
      <c r="H284">
        <f>IF(ISBLANK('Data Entry'!$H$284), "", 'Data Entry'!$H$284)</f>
      </c>
      <c r="I284">
        <f>IF(ISBLANK('Data Entry'!$I$284), "", 'Data Entry'!$I$284)</f>
      </c>
      <c r="J284">
        <f>IF(ISBLANK('Data Entry'!$J$284), "", 'Data Entry'!$J$284)</f>
      </c>
      <c r="K284">
        <f>IF(ISBLANK('Data Entry'!$K$284), "", 'Data Entry'!$K$284)</f>
      </c>
      <c r="L284">
        <f>IF(ISBLANK('Data Entry'!$L$284), "", 'Data Entry'!$L$284)</f>
      </c>
      <c r="M284">
        <f>IF(ISBLANK('Data Entry'!$M$284), "", 'Data Entry'!$M$284)</f>
      </c>
      <c r="N284">
        <f>IF(ISBLANK('Data Entry'!$N$284), "", 'Data Entry'!$N$284)</f>
      </c>
      <c r="O284">
        <f>IF(ISBLANK('Data Entry'!$O$284), "", 'Data Entry'!$O$284)</f>
      </c>
      <c r="P284">
        <f>IF(ISBLANK('Data Entry'!$P$284), "", 'Data Entry'!$P$284)</f>
      </c>
      <c r="Q284">
        <f>IF(ISBLANK('Data Entry'!$Q$284), "", 'Data Entry'!$Q$284)</f>
      </c>
      <c r="R284">
        <f>IF(ISBLANK('Data Entry'!$R$284), "", 'Data Entry'!$R$284)</f>
      </c>
      <c r="S284">
        <f>IF(ISBLANK('Data Entry'!$S$284), "", 'Data Entry'!$S$284)</f>
      </c>
      <c r="T284">
        <f>IF(ISBLANK('Data Entry'!$T$284), "", 'Data Entry'!$T$284)</f>
      </c>
      <c r="U284">
        <f>IF(ISBLANK('Data Entry'!$U$284), "", 'Data Entry'!$U$284)</f>
      </c>
      <c r="V284">
        <f>IF(ISBLANK('Data Entry'!$V$284), "", 'Data Entry'!$V$284)</f>
      </c>
      <c r="W284">
        <f>IF(ISBLANK('Data Entry'!$W$284), "", 'Data Entry'!$W$284)</f>
      </c>
      <c r="X284">
        <f>IF(ISBLANK('Data Entry'!$X$284), "", 'Data Entry'!$X$284)</f>
      </c>
      <c r="Y284">
        <f>IF(ISBLANK('Data Entry'!$Y$284), "", 'Data Entry'!$Y$284)</f>
      </c>
      <c r="Z284">
        <f>IF(ISBLANK('Data Entry'!$Z$284), "", 'Data Entry'!$Z$284)</f>
      </c>
      <c r="AA284">
        <f>IF(ISBLANK('Data Entry'!$[$284), "", 'Data Entry'!$[$284)</f>
      </c>
      <c r="AB284">
        <f>IF(ISBLANK('Data Entry'!$\$284), "", 'Data Entry'!$\$284)</f>
      </c>
      <c r="AC284">
        <f>IF(ISBLANK('Data Entry'!$]$284), "", 'Data Entry'!$]$284)</f>
      </c>
      <c r="AD284">
        <f>IF(ISBLANK('Data Entry'!$^$284), "", 'Data Entry'!$^$284)</f>
      </c>
      <c r="AE284">
        <f>IF(ISBLANK('Data Entry'!$_$284), "", 'Data Entry'!$_$284)</f>
      </c>
      <c r="AF284">
        <f>IF(ISBLANK('Data Entry'!$`$284), "", 'Data Entry'!$`$284)</f>
      </c>
      <c r="AG284">
        <f>IF(ISBLANK('Data Entry'!$a$284), "", 'Data Entry'!$a$284)</f>
      </c>
      <c r="AH284">
        <f>IF(ISBLANK('Data Entry'!$b$284), "", 'Data Entry'!$b$284)</f>
      </c>
      <c r="AI284">
        <f>IF(ISBLANK('Data Entry'!$c$284), "", 'Data Entry'!$c$284)</f>
      </c>
      <c r="AJ284">
        <f>IF(ISBLANK('Data Entry'!$d$284), "", 'Data Entry'!$d$284)</f>
      </c>
      <c r="AK284">
        <f>IF(ISBLANK('Data Entry'!$e$284), "", 'Data Entry'!$e$284)</f>
      </c>
      <c r="AL284">
        <f>IF(ISBLANK('Data Entry'!$f$284), "", 'Data Entry'!$f$284)</f>
      </c>
      <c r="AM284">
        <f>IF(ISBLANK('Data Entry'!$g$284), "", 'Data Entry'!$g$284)</f>
      </c>
      <c r="AN284">
        <f>IF(ISBLANK('Data Entry'!$h$284), "", 'Data Entry'!$h$284)</f>
      </c>
      <c r="AO284">
        <f>IF(ISBLANK('Data Entry'!$i$284), "", 'Data Entry'!$i$284)</f>
      </c>
      <c r="AP284">
        <f>IF(ISBLANK('Data Entry'!$j$284), "", 'Data Entry'!$j$284)</f>
      </c>
      <c r="AQ284">
        <f>IF(ISBLANK('Data Entry'!$k$284), "", 'Data Entry'!$k$284)</f>
      </c>
      <c r="AR284">
        <f>IF(ISBLANK('Data Entry'!$l$284), "", 'Data Entry'!$l$284)</f>
      </c>
      <c r="AS284">
        <f>IF(ISBLANK('Data Entry'!$m$284), "", 'Data Entry'!$m$284)</f>
      </c>
      <c r="AT284">
        <f>IF(ISBLANK('Data Entry'!$n$284), "", 'Data Entry'!$n$284)</f>
      </c>
      <c r="AU284">
        <f>IF(ISBLANK('Data Entry'!$o$284), "", 'Data Entry'!$o$284)</f>
      </c>
      <c r="AV284">
        <f>IF(ISBLANK('Data Entry'!$p$284), "", 'Data Entry'!$p$284)</f>
      </c>
      <c r="AW284">
        <f>IF(ISBLANK('Data Entry'!$q$284), "", 'Data Entry'!$q$284)</f>
      </c>
      <c r="AX284">
        <f>IF(ISBLANK('Data Entry'!$r$284), "", 'Data Entry'!$r$284)</f>
      </c>
      <c r="AY284">
        <f>IF(ISBLANK('Data Entry'!$s$284), "", 'Data Entry'!$s$284)</f>
      </c>
      <c r="AZ284">
        <f>IF(ISBLANK('Data Entry'!$t$284), "", 'Data Entry'!$t$284)</f>
      </c>
      <c r="BA284">
        <f>IF(ISBLANK('Data Entry'!$u$284), "", 'Data Entry'!$u$284)</f>
      </c>
      <c r="BB284">
        <f>IF(ISBLANK('Data Entry'!$v$284), "", 'Data Entry'!$v$284)</f>
      </c>
      <c r="BC284">
        <f>IF(ISBLANK('Data Entry'!$w$284), "", 'Data Entry'!$w$284)</f>
      </c>
      <c r="BD284">
        <f>IF(ISBLANK('Data Entry'!$x$284), "", 'Data Entry'!$x$284)</f>
      </c>
      <c r="BE284">
        <f>IF(ISBLANK('Data Entry'!$y$284), "", 'Data Entry'!$y$284)</f>
      </c>
      <c r="BF284">
        <f>IF(ISBLANK('Data Entry'!$z$284), "", 'Data Entry'!$z$284)</f>
      </c>
      <c r="BG284">
        <f>IF(ISBLANK('Data Entry'!${$284), "", 'Data Entry'!${$284)</f>
      </c>
      <c r="BH284">
        <f>IF(ISBLANK('Data Entry'!$|$284), "", 'Data Entry'!$|$284)</f>
      </c>
      <c r="BI284">
        <f>IF(ISBLANK('Data Entry'!$}$284), "", 'Data Entry'!$}$284)</f>
      </c>
      <c r="BJ284">
        <f>IF(ISBLANK('Data Entry'!$~$284), "", 'Data Entry'!$~$284)</f>
      </c>
      <c r="BK284">
        <f>IF(ISBLANK('Data Entry'!$$284), "", 'Data Entry'!$$284)</f>
      </c>
      <c r="BL284">
        <f>IF(ISBLANK('Data Entry'!$$284), "", 'Data Entry'!$$284)</f>
      </c>
      <c r="BM284">
        <f>IF(ISBLANK('Data Entry'!$$284), "", 'Data Entry'!$$284)</f>
      </c>
      <c r="BN284">
        <f>IF(ISBLANK('Data Entry'!$$284), "", 'Data Entry'!$$284)</f>
      </c>
      <c r="BO284">
        <f>IF(ISBLANK('Data Entry'!$$284), "", 'Data Entry'!$$284)</f>
      </c>
      <c r="BP284">
        <f>IF(ISBLANK('Data Entry'!$$284), "", 'Data Entry'!$$284)</f>
      </c>
      <c r="BQ284">
        <f>IF(ISBLANK('Data Entry'!$$284), "", 'Data Entry'!$$284)</f>
      </c>
      <c r="BR284">
        <f>IF(ISBLANK('Data Entry'!$$284), "", 'Data Entry'!$$284)</f>
      </c>
      <c r="BS284">
        <f>IF(ISBLANK('Data Entry'!$$284), "", 'Data Entry'!$$284)</f>
      </c>
      <c r="BT284">
        <f>IF(ISBLANK('Data Entry'!$$284), "", 'Data Entry'!$$284)</f>
      </c>
      <c r="BU284">
        <f>IF(ISBLANK('Data Entry'!$$284), "", 'Data Entry'!$$284)</f>
      </c>
      <c r="BV284">
        <f>IF(ISBLANK('Data Entry'!$$284), "", 'Data Entry'!$$284)</f>
      </c>
      <c r="BW284">
        <f>IF(ISBLANK('Data Entry'!$$284), "", 'Data Entry'!$$284)</f>
      </c>
      <c r="BX284">
        <f>IF(ISBLANK('Data Entry'!$$284), "", 'Data Entry'!$$284)</f>
      </c>
      <c r="BY284">
        <f>IF(ISBLANK('Data Entry'!$$284), "", 'Data Entry'!$$284)</f>
      </c>
      <c r="BZ284">
        <f>IF(ISBLANK('Data Entry'!$$284), "", 'Data Entry'!$$284)</f>
      </c>
      <c r="CA284">
        <f>IF(ISBLANK('Data Entry'!$$284), "", 'Data Entry'!$$284)</f>
      </c>
      <c r="CB284">
        <f>IF(ISBLANK('Data Entry'!$$284), "", 'Data Entry'!$$284)</f>
      </c>
      <c r="CC284">
        <f>IF(ISBLANK('Data Entry'!$$284), "", 'Data Entry'!$$284)</f>
      </c>
      <c r="CD284">
        <f>IF(ISBLANK('Data Entry'!$$284), "", 'Data Entry'!$$284)</f>
      </c>
      <c r="CE284">
        <f>IF(ISBLANK('Data Entry'!$$284), "", 'Data Entry'!$$284)</f>
      </c>
      <c r="CF284">
        <f>IF(ISBLANK('Data Entry'!$$284), "", 'Data Entry'!$$284)</f>
      </c>
      <c r="CG284">
        <f>IF(ISBLANK('Data Entry'!$$284), "", 'Data Entry'!$$284)</f>
      </c>
      <c r="CH284">
        <f>IF(ISBLANK('Data Entry'!$$284), "", 'Data Entry'!$$284)</f>
      </c>
      <c r="CI284">
        <f>IF(ISBLANK('Data Entry'!$$284), "", 'Data Entry'!$$284)</f>
      </c>
      <c r="CJ284">
        <f>IF(ISBLANK('Data Entry'!$$284), "", 'Data Entry'!$$284)</f>
      </c>
      <c r="CK284">
        <f>IF(ISBLANK('Data Entry'!$$284), "", 'Data Entry'!$$284)</f>
      </c>
      <c r="CL284">
        <f>IF(ISBLANK('Data Entry'!$$284), "", 'Data Entry'!$$284)</f>
      </c>
      <c r="CM284">
        <f>IF(ISBLANK('Data Entry'!$$284), "", 'Data Entry'!$$284)</f>
      </c>
      <c r="CN284">
        <f>IF(ISBLANK('Data Entry'!$$284), "", 'Data Entry'!$$284)</f>
      </c>
      <c r="CO284">
        <f>IF(ISBLANK('Data Entry'!$$284), "", 'Data Entry'!$$284)</f>
      </c>
      <c r="CP284">
        <f>IF(ISBLANK('Data Entry'!$$284), "", 'Data Entry'!$$284)</f>
      </c>
      <c r="CQ284">
        <f>IF(ISBLANK('Data Entry'!$$284), "", 'Data Entry'!$$284)</f>
      </c>
      <c r="CR284">
        <f>IF(ISBLANK('Data Entry'!$ $284), "", 'Data Entry'!$ $284)</f>
      </c>
      <c r="CS284">
        <f>IF(ISBLANK('Data Entry'!$¡$284), "", 'Data Entry'!$¡$284)</f>
      </c>
      <c r="CT284">
        <f>IF(ISBLANK('Data Entry'!$¢$284), "", 'Data Entry'!$¢$284)</f>
      </c>
      <c r="CU284">
        <f>IF(ISBLANK('Data Entry'!$£$284), "", 'Data Entry'!$£$284)</f>
      </c>
      <c r="CV284">
        <f>IF(ISBLANK('Data Entry'!$¤$284), "", 'Data Entry'!$¤$284)</f>
      </c>
      <c r="CW284">
        <f>IF(ISBLANK('Data Entry'!$¥$284), "", 'Data Entry'!$¥$284)</f>
      </c>
      <c r="CX284">
        <f>IF(ISBLANK('Data Entry'!$¦$284), "", 'Data Entry'!$¦$284)</f>
      </c>
      <c r="CY284">
        <f>IF(ISBLANK('Data Entry'!$§$284), "", 'Data Entry'!$§$284)</f>
      </c>
      <c r="CZ284">
        <f>IF(ISBLANK('Data Entry'!$¨$284), "", 'Data Entry'!$¨$284)</f>
      </c>
      <c r="DA284">
        <f>IF(ISBLANK('Data Entry'!$©$284), "", 'Data Entry'!$©$284)</f>
      </c>
      <c r="DB284">
        <f>IF(ISBLANK('Data Entry'!$ª$284), "", 'Data Entry'!$ª$284)</f>
      </c>
      <c r="DC284">
        <f>IF(ISBLANK('Data Entry'!$«$284), "", 'Data Entry'!$«$284)</f>
      </c>
      <c r="DD284">
        <f>IF(ISBLANK('Data Entry'!$¬$284), "", 'Data Entry'!$¬$284)</f>
      </c>
      <c r="DE284">
        <f>IF(ISBLANK('Data Entry'!$­$284), "", 'Data Entry'!$­$284)</f>
      </c>
      <c r="DF284">
        <f>IF(ISBLANK('Data Entry'!$®$284), "", 'Data Entry'!$®$284)</f>
      </c>
      <c r="DG284">
        <f>IF(ISBLANK('Data Entry'!$¯$284), "", 'Data Entry'!$¯$284)</f>
      </c>
      <c r="DH284">
        <f>IF(ISBLANK('Data Entry'!$°$284), "", 'Data Entry'!$°$284)</f>
      </c>
      <c r="DI284">
        <f>IF(ISBLANK('Data Entry'!$±$284), "", 'Data Entry'!$±$284)</f>
      </c>
      <c r="DJ284">
        <f>IF(ISBLANK('Data Entry'!$²$284), "", 'Data Entry'!$²$284)</f>
      </c>
      <c r="DK284">
        <f>IF(ISBLANK('Data Entry'!$³$284), "", 'Data Entry'!$³$284)</f>
      </c>
      <c r="DL284">
        <f>IF(ISBLANK('Data Entry'!$´$284), "", 'Data Entry'!$´$284)</f>
      </c>
      <c r="DM284">
        <f>IF(ISBLANK('Data Entry'!$µ$284), "", 'Data Entry'!$µ$284)</f>
      </c>
      <c r="DN284">
        <f>IF(ISBLANK('Data Entry'!$¶$284), "", 'Data Entry'!$¶$284)</f>
      </c>
      <c r="DO284">
        <f>IF(ISBLANK('Data Entry'!$·$284), "", 'Data Entry'!$·$284)</f>
      </c>
      <c r="DP284">
        <f>IF(ISBLANK('Data Entry'!$¸$284), "", 'Data Entry'!$¸$284)</f>
      </c>
      <c r="DQ284">
        <f>IF(ISBLANK('Data Entry'!$¹$284), "", 'Data Entry'!$¹$284)</f>
      </c>
      <c r="DR284">
        <f>IF(ISBLANK('Data Entry'!$º$284), "", 'Data Entry'!$º$284)</f>
      </c>
      <c r="DS284">
        <f>IF(ISBLANK('Data Entry'!$»$284), "", 'Data Entry'!$»$284)</f>
      </c>
      <c r="DT284">
        <f>IF(ISBLANK('Data Entry'!$¼$284), "", 'Data Entry'!$¼$284)</f>
      </c>
      <c r="DU284">
        <f>IF(ISBLANK('Data Entry'!$½$284), "", 'Data Entry'!$½$284)</f>
      </c>
      <c r="DV284">
        <f>IF(ISBLANK('Data Entry'!$¾$284), "", 'Data Entry'!$¾$284)</f>
      </c>
      <c r="DW284">
        <f>IF(ISBLANK('Data Entry'!$¿$284), "", 'Data Entry'!$¿$284)</f>
      </c>
      <c r="DX284">
        <f>IF(ISBLANK('Data Entry'!$À$284), "", 'Data Entry'!$À$284)</f>
      </c>
      <c r="DY284">
        <f>IF(ISBLANK('Data Entry'!$Á$284), "", 'Data Entry'!$Á$284)</f>
      </c>
      <c r="DZ284">
        <f>IF(ISBLANK('Data Entry'!$Â$284), "", 'Data Entry'!$Â$284)</f>
      </c>
      <c r="EA284">
        <f>IF(ISBLANK('Data Entry'!$Ã$284), "", 'Data Entry'!$Ã$284)</f>
      </c>
      <c r="EB284">
        <f>IF(ISBLANK('Data Entry'!$Ä$284), "", 'Data Entry'!$Ä$284)</f>
      </c>
      <c r="EC284">
        <f>IF(ISBLANK('Data Entry'!$Å$284), "", 'Data Entry'!$Å$284)</f>
      </c>
      <c r="ED284">
        <f>IF(ISBLANK('Data Entry'!$Æ$284), "", 'Data Entry'!$Æ$284)</f>
      </c>
      <c r="EE284">
        <f>IF(ISBLANK('Data Entry'!$Ç$284), "", 'Data Entry'!$Ç$284)</f>
      </c>
      <c r="EF284">
        <f>IF(ISBLANK('Data Entry'!$È$284), "", 'Data Entry'!$È$284)</f>
      </c>
      <c r="EG284">
        <f>IF(ISBLANK('Data Entry'!$É$284), "", 'Data Entry'!$É$284)</f>
      </c>
      <c r="EH284">
        <f>IF(ISBLANK('Data Entry'!$Ê$284), "", 'Data Entry'!$Ê$284)</f>
      </c>
      <c r="EI284">
        <f>IF(ISBLANK('Data Entry'!$Ë$284), "", 'Data Entry'!$Ë$284)</f>
      </c>
      <c r="EJ284">
        <f>IF(ISBLANK('Data Entry'!$Ì$284), "", 'Data Entry'!$Ì$284)</f>
      </c>
      <c r="EK284">
        <f>IF(ISBLANK('Data Entry'!$Í$284), "", 'Data Entry'!$Í$284)</f>
      </c>
      <c r="EL284">
        <f>IF(ISBLANK('Data Entry'!$Î$284), "", 'Data Entry'!$Î$284)</f>
      </c>
      <c r="EM284">
        <f>IF(ISBLANK('Data Entry'!$Ï$284), "", 'Data Entry'!$Ï$284)</f>
      </c>
      <c r="EN284">
        <f>IF(ISBLANK('Data Entry'!$Ð$284), "", 'Data Entry'!$Ð$284)</f>
      </c>
      <c r="EO284">
        <f>IF(ISBLANK('Data Entry'!$Ñ$284), "", 'Data Entry'!$Ñ$284)</f>
      </c>
      <c r="EP284">
        <f>IF(ISBLANK('Data Entry'!$Ò$284), "", 'Data Entry'!$Ò$284)</f>
      </c>
      <c r="EQ284">
        <f>IF(ISBLANK('Data Entry'!$Ó$284), "", 'Data Entry'!$Ó$284)</f>
      </c>
      <c r="ER284">
        <f>IF(ISBLANK('Data Entry'!$Ô$284), "", 'Data Entry'!$Ô$284)</f>
      </c>
      <c r="ES284">
        <f>IF(ISBLANK('Data Entry'!$Õ$284), "", 'Data Entry'!$Õ$284)</f>
      </c>
      <c r="ET284">
        <f>IF(ISBLANK('Data Entry'!$Ö$284), "", 'Data Entry'!$Ö$284)</f>
      </c>
      <c r="EU284">
        <f>IF(ISBLANK('Data Entry'!$×$284), "", 'Data Entry'!$×$284)</f>
      </c>
      <c r="EV284">
        <f>IF(ISBLANK('Data Entry'!$Ø$284), "", 'Data Entry'!$Ø$284)</f>
      </c>
      <c r="EW284">
        <f>IF(ISBLANK('Data Entry'!$Ù$284), "", 'Data Entry'!$Ù$284)</f>
      </c>
      <c r="EX284">
        <f>IF(ISBLANK('Data Entry'!$Ú$284), "", 'Data Entry'!$Ú$284)</f>
      </c>
      <c r="EY284">
        <f>IF(ISBLANK('Data Entry'!$Û$284), "", 'Data Entry'!$Û$284)</f>
      </c>
      <c r="EZ284">
        <f>IF(ISBLANK('Data Entry'!$Ü$284), "", 'Data Entry'!$Ü$284)</f>
      </c>
      <c r="FA284">
        <f>IF(ISBLANK('Data Entry'!$Ý$284), "", 'Data Entry'!$Ý$284)</f>
      </c>
      <c r="FB284">
        <f>IF(ISBLANK('Data Entry'!$Þ$284), "", 'Data Entry'!$Þ$284)</f>
      </c>
      <c r="FC284">
        <f>IF(ISBLANK('Data Entry'!$ß$284), "", 'Data Entry'!$ß$284)</f>
      </c>
      <c r="FD284">
        <f>IF(ISBLANK('Data Entry'!$à$284), "", 'Data Entry'!$à$284)</f>
      </c>
      <c r="FE284">
        <f>IF(ISBLANK('Data Entry'!$á$284), "", 'Data Entry'!$á$284)</f>
      </c>
      <c r="FF284">
        <f>IF(ISBLANK('Data Entry'!$â$284), "", 'Data Entry'!$â$284)</f>
      </c>
      <c r="FG284">
        <f>IF(ISBLANK('Data Entry'!$ã$284), "", 'Data Entry'!$ã$284)</f>
      </c>
      <c r="FH284">
        <f>IF(ISBLANK('Data Entry'!$ä$284), "", 'Data Entry'!$ä$284)</f>
      </c>
      <c r="FI284">
        <f>IF(ISBLANK('Data Entry'!$å$284), "", 'Data Entry'!$å$284)</f>
      </c>
      <c r="FJ284">
        <f>IF(ISBLANK('Data Entry'!$æ$284), "", 'Data Entry'!$æ$284)</f>
      </c>
      <c r="FK284">
        <f>IF(ISBLANK('Data Entry'!$ç$284), "", 'Data Entry'!$ç$284)</f>
      </c>
      <c r="FL284">
        <f>IF(ISBLANK('Data Entry'!$è$284), "", 'Data Entry'!$è$284)</f>
      </c>
      <c r="FM284">
        <f>IF(ISBLANK('Data Entry'!$é$284), "", 'Data Entry'!$é$284)</f>
      </c>
      <c r="FN284">
        <f>IF(ISBLANK('Data Entry'!$ê$284), "", 'Data Entry'!$ê$284)</f>
      </c>
      <c r="FO284">
        <f>IF(ISBLANK('Data Entry'!$ë$284), "", 'Data Entry'!$ë$284)</f>
      </c>
      <c r="FP284">
        <f>IF(ISBLANK('Data Entry'!$ì$284), "", 'Data Entry'!$ì$284)</f>
      </c>
      <c r="FQ284">
        <f>IF(ISBLANK('Data Entry'!$í$284), "", 'Data Entry'!$í$284)</f>
      </c>
      <c r="FR284">
        <f>IF(ISBLANK('Data Entry'!$î$284), "", 'Data Entry'!$î$284)</f>
      </c>
      <c r="FS284">
        <f>IF(ISBLANK('Data Entry'!$ï$284), "", 'Data Entry'!$ï$284)</f>
      </c>
      <c r="FT284">
        <f>IF(ISBLANK('Data Entry'!$ð$284), "", 'Data Entry'!$ð$284)</f>
      </c>
      <c r="FU284">
        <f>IF(ISBLANK('Data Entry'!$ñ$284), "", 'Data Entry'!$ñ$284)</f>
      </c>
      <c r="FV284">
        <f>IF(ISBLANK('Data Entry'!$ò$284), "", 'Data Entry'!$ò$284)</f>
      </c>
      <c r="FW284">
        <f>IF(ISBLANK('Data Entry'!$ó$284), "", 'Data Entry'!$ó$284)</f>
      </c>
      <c r="FX284">
        <f>IF(ISBLANK('Data Entry'!$ô$284), "", 'Data Entry'!$ô$284)</f>
      </c>
      <c r="FY284">
        <f>IF(ISBLANK('Data Entry'!$õ$284), "", 'Data Entry'!$õ$284)</f>
      </c>
      <c r="FZ284">
        <f>IF(ISBLANK('Data Entry'!$ö$284), "", 'Data Entry'!$ö$284)</f>
      </c>
      <c r="GA284">
        <f>IF(ISBLANK('Data Entry'!$÷$284), "", 'Data Entry'!$÷$284)</f>
      </c>
      <c r="GB284">
        <f>IF(ISBLANK('Data Entry'!$ø$284), "", 'Data Entry'!$ø$284)</f>
      </c>
      <c r="GC284">
        <f>IF(ISBLANK('Data Entry'!$ù$284), "", 'Data Entry'!$ù$284)</f>
      </c>
      <c r="GD284">
        <f>IF(ISBLANK('Data Entry'!$ú$284), "", 'Data Entry'!$ú$284)</f>
      </c>
      <c r="GE284">
        <f>IF(ISBLANK('Data Entry'!$û$284), "", 'Data Entry'!$û$284)</f>
      </c>
      <c r="GF284">
        <f>IF(ISBLANK('Data Entry'!$ü$284), "", 'Data Entry'!$ü$284)</f>
      </c>
      <c r="GG284">
        <f>IF(ISBLANK('Data Entry'!$ý$284), "", 'Data Entry'!$ý$284)</f>
      </c>
      <c r="GH284">
        <f>IF(ISBLANK('Data Entry'!$þ$284), "", 'Data Entry'!$þ$284)</f>
      </c>
      <c r="GI284">
        <f>IF(ISBLANK('Data Entry'!$ÿ$284), "", 'Data Entry'!$ÿ$284)</f>
      </c>
      <c r="GJ284">
        <f>IF(ISBLANK('Data Entry'!$Ā$284), "", 'Data Entry'!$Ā$284)</f>
      </c>
      <c r="GK284">
        <f>IF(ISBLANK('Data Entry'!$ā$284), "", 'Data Entry'!$ā$284)</f>
      </c>
      <c r="GL284">
        <f>IF(ISBLANK('Data Entry'!$Ă$284), "", 'Data Entry'!$Ă$284)</f>
      </c>
      <c r="GM284">
        <f>IF(ISBLANK('Data Entry'!$ă$284), "", 'Data Entry'!$ă$284)</f>
      </c>
      <c r="GN284">
        <f>IF(ISBLANK('Data Entry'!$Ą$284), "", 'Data Entry'!$Ą$284)</f>
      </c>
      <c r="GO284">
        <f>IF(ISBLANK('Data Entry'!$ą$284), "", 'Data Entry'!$ą$284)</f>
      </c>
      <c r="GP284">
        <f>IF(ISBLANK('Data Entry'!$Ć$284), "", 'Data Entry'!$Ć$284)</f>
      </c>
      <c r="GQ284">
        <f>IF(ISBLANK('Data Entry'!$ć$284), "", 'Data Entry'!$ć$284)</f>
      </c>
      <c r="GR284">
        <f>IF(ISBLANK('Data Entry'!$Ĉ$284), "", 'Data Entry'!$Ĉ$284)</f>
      </c>
      <c r="GS284">
        <f>IF(ISBLANK('Data Entry'!$ĉ$284), "", 'Data Entry'!$ĉ$284)</f>
      </c>
      <c r="GT284">
        <f>IF(ISBLANK('Data Entry'!$Ċ$284), "", 'Data Entry'!$Ċ$284)</f>
      </c>
      <c r="GU284">
        <f>IF(ISBLANK('Data Entry'!$ċ$284), "", 'Data Entry'!$ċ$284)</f>
      </c>
      <c r="GV284">
        <f>IF(ISBLANK('Data Entry'!$Č$284), "", 'Data Entry'!$Č$284)</f>
      </c>
      <c r="GW284">
        <f>IF(ISBLANK('Data Entry'!$č$284), "", 'Data Entry'!$č$284)</f>
      </c>
      <c r="GX284">
        <f>IF(ISBLANK('Data Entry'!$Ď$284), "", 'Data Entry'!$Ď$284)</f>
      </c>
      <c r="GY284">
        <f>IF(ISBLANK('Data Entry'!$ď$284), "", 'Data Entry'!$ď$284)</f>
      </c>
      <c r="GZ284">
        <f>IF(ISBLANK('Data Entry'!$Đ$284), "", 'Data Entry'!$Đ$284)</f>
      </c>
      <c r="HA284">
        <f>IF(ISBLANK('Data Entry'!$đ$284), "", 'Data Entry'!$đ$284)</f>
      </c>
      <c r="HB284">
        <f>IF(ISBLANK('Data Entry'!$Ē$284), "", 'Data Entry'!$Ē$284)</f>
      </c>
      <c r="HC284">
        <f>IF(ISBLANK('Data Entry'!$ē$284), "", 'Data Entry'!$ē$284)</f>
      </c>
      <c r="HD284">
        <f>IF(ISBLANK('Data Entry'!$Ĕ$284), "", 'Data Entry'!$Ĕ$284)</f>
      </c>
      <c r="HE284">
        <f>IF(ISBLANK('Data Entry'!$ĕ$284), "", 'Data Entry'!$ĕ$284)</f>
      </c>
      <c r="HF284">
        <f>IF(ISBLANK('Data Entry'!$Ė$284), "", 'Data Entry'!$Ė$284)</f>
      </c>
      <c r="HG284">
        <f>IF(ISBLANK('Data Entry'!$ė$284), "", 'Data Entry'!$ė$284)</f>
      </c>
      <c r="HH284">
        <f>IF(ISBLANK('Data Entry'!$Ę$284), "", 'Data Entry'!$Ę$284)</f>
      </c>
      <c r="HI284">
        <f>IF(ISBLANK('Data Entry'!$ę$284), "", 'Data Entry'!$ę$284)</f>
      </c>
      <c r="HJ284">
        <f>IF(ISBLANK('Data Entry'!$Ě$284), "", 'Data Entry'!$Ě$284)</f>
      </c>
      <c r="HK284">
        <f>IF(ISBLANK('Data Entry'!$ě$284), "", 'Data Entry'!$ě$284)</f>
      </c>
      <c r="HL284">
        <f>IF(ISBLANK('Data Entry'!$Ĝ$284), "", 'Data Entry'!$Ĝ$284)</f>
      </c>
      <c r="HM284">
        <f>IF(ISBLANK('Data Entry'!$ĝ$284), "", 'Data Entry'!$ĝ$284)</f>
      </c>
      <c r="HN284">
        <f>IF(ISBLANK('Data Entry'!$Ğ$284), "", 'Data Entry'!$Ğ$284)</f>
      </c>
      <c r="HO284">
        <f>IF(ISBLANK('Data Entry'!$ğ$284), "", 'Data Entry'!$ğ$284)</f>
      </c>
      <c r="HP284">
        <f>IF(ISBLANK('Data Entry'!$Ġ$284), "", 'Data Entry'!$Ġ$284)</f>
      </c>
      <c r="HQ284">
        <f>IF(ISBLANK('Data Entry'!$ġ$284), "", 'Data Entry'!$ġ$284)</f>
      </c>
      <c r="HR284">
        <f>IF(ISBLANK('Data Entry'!$Ģ$284), "", 'Data Entry'!$Ģ$284)</f>
      </c>
      <c r="HS284">
        <f>IF(ISBLANK('Data Entry'!$ģ$284), "", 'Data Entry'!$ģ$284)</f>
      </c>
      <c r="HT284">
        <f>IF(ISBLANK('Data Entry'!$Ĥ$284), "", 'Data Entry'!$Ĥ$284)</f>
      </c>
      <c r="HU284">
        <f>IF(ISBLANK('Data Entry'!$ĥ$284), "", 'Data Entry'!$ĥ$284)</f>
      </c>
      <c r="HV284">
        <f>IF(ISBLANK('Data Entry'!$Ħ$284), "", 'Data Entry'!$Ħ$284)</f>
      </c>
      <c r="HW284">
        <f>IF(ISBLANK('Data Entry'!$ħ$284), "", 'Data Entry'!$ħ$284)</f>
      </c>
      <c r="HX284">
        <f>IF(ISBLANK('Data Entry'!$Ĩ$284), "", 'Data Entry'!$Ĩ$284)</f>
      </c>
      <c r="HY284">
        <f>IF(ISBLANK('Data Entry'!$ĩ$284), "", 'Data Entry'!$ĩ$284)</f>
      </c>
      <c r="HZ284">
        <f>IF(ISBLANK('Data Entry'!$Ī$284), "", 'Data Entry'!$Ī$284)</f>
      </c>
      <c r="IA284">
        <f>IF(ISBLANK('Data Entry'!$ī$284), "", 'Data Entry'!$ī$284)</f>
      </c>
      <c r="IB284">
        <f>IF(ISBLANK('Data Entry'!$Ĭ$284), "", 'Data Entry'!$Ĭ$284)</f>
      </c>
      <c r="IC284">
        <f>IF(ISBLANK('Data Entry'!$ĭ$284), "", 'Data Entry'!$ĭ$284)</f>
      </c>
      <c r="ID284">
        <f>IF(ISBLANK('Data Entry'!$Į$284), "", 'Data Entry'!$Į$284)</f>
      </c>
      <c r="IE284">
        <f>IF(ISBLANK('Data Entry'!$į$284), "", 'Data Entry'!$į$284)</f>
      </c>
      <c r="IF284">
        <f>IF(ISBLANK('Data Entry'!$İ$284), "", 'Data Entry'!$İ$284)</f>
      </c>
      <c r="IG284">
        <f>IF(ISBLANK('Data Entry'!$ı$284), "", 'Data Entry'!$ı$284)</f>
      </c>
      <c r="IH284">
        <f>IF(ISBLANK('Data Entry'!$Ĳ$284), "", 'Data Entry'!$Ĳ$284)</f>
      </c>
      <c r="II284">
        <f>IF(ISBLANK('Data Entry'!$ĳ$284), "", 'Data Entry'!$ĳ$284)</f>
      </c>
      <c r="IJ284">
        <f>IF(ISBLANK('Data Entry'!$Ĵ$284), "", 'Data Entry'!$Ĵ$284)</f>
      </c>
      <c r="IK284">
        <f>IF(ISBLANK('Data Entry'!$ĵ$284), "", 'Data Entry'!$ĵ$284)</f>
      </c>
      <c r="IL284">
        <f>IF(ISBLANK('Data Entry'!$Ķ$284), "", 'Data Entry'!$Ķ$284)</f>
      </c>
      <c r="IM284">
        <f>IF(ISBLANK('Data Entry'!$ķ$284), "", 'Data Entry'!$ķ$284)</f>
      </c>
      <c r="IN284">
        <f>IF(ISBLANK('Data Entry'!$ĸ$284), "", 'Data Entry'!$ĸ$284)</f>
      </c>
      <c r="IO284">
        <f>IF(ISBLANK('Data Entry'!$Ĺ$284), "", 'Data Entry'!$Ĺ$284)</f>
      </c>
      <c r="IP284">
        <f>IF(ISBLANK('Data Entry'!$ĺ$284), "", 'Data Entry'!$ĺ$284)</f>
      </c>
      <c r="IQ284">
        <f>IF(ISBLANK('Data Entry'!$Ļ$284), "", 'Data Entry'!$Ļ$284)</f>
      </c>
      <c r="IR284">
        <f>IF(ISBLANK('Data Entry'!$ļ$284), "", 'Data Entry'!$ļ$284)</f>
      </c>
      <c r="IS284">
        <f>IF(ISBLANK('Data Entry'!$Ľ$284), "", 'Data Entry'!$Ľ$284)</f>
      </c>
      <c r="IT284">
        <f>IF(ISBLANK('Data Entry'!$ľ$284), "", 'Data Entry'!$ľ$284)</f>
      </c>
    </row>
    <row r="285" spans="1:254" x14ac:dyDescent="0.25">
      <c r="A285">
        <f>IF(ISBLANK('Data Entry'!$A$285), "", 'Data Entry'!$A$285)</f>
      </c>
      <c r="B285">
        <f>IF(ISBLANK('Data Entry'!$B$285), "", 'Data Entry'!$B$285)</f>
      </c>
      <c r="C285">
        <f>IF(ISBLANK('Data Entry'!$C$285), "", 'Data Entry'!$C$285)</f>
      </c>
      <c r="D285">
        <f>IF(ISBLANK('Data Entry'!$D$285), "", 'Data Entry'!$D$285)</f>
      </c>
      <c r="E285">
        <f>IF(ISBLANK('Data Entry'!$E$285), "", 'Data Entry'!$E$285)</f>
      </c>
      <c r="F285">
        <f>IF(ISBLANK('Data Entry'!$F$285), "", 'Data Entry'!$F$285)</f>
      </c>
      <c r="G285">
        <f>IF(ISBLANK('Data Entry'!$G$285), "", 'Data Entry'!$G$285)</f>
      </c>
      <c r="H285">
        <f>IF(ISBLANK('Data Entry'!$H$285), "", 'Data Entry'!$H$285)</f>
      </c>
      <c r="I285">
        <f>IF(ISBLANK('Data Entry'!$I$285), "", 'Data Entry'!$I$285)</f>
      </c>
      <c r="J285">
        <f>IF(ISBLANK('Data Entry'!$J$285), "", 'Data Entry'!$J$285)</f>
      </c>
      <c r="K285">
        <f>IF(ISBLANK('Data Entry'!$K$285), "", 'Data Entry'!$K$285)</f>
      </c>
      <c r="L285">
        <f>IF(ISBLANK('Data Entry'!$L$285), "", 'Data Entry'!$L$285)</f>
      </c>
      <c r="M285">
        <f>IF(ISBLANK('Data Entry'!$M$285), "", 'Data Entry'!$M$285)</f>
      </c>
      <c r="N285">
        <f>IF(ISBLANK('Data Entry'!$N$285), "", 'Data Entry'!$N$285)</f>
      </c>
      <c r="O285">
        <f>IF(ISBLANK('Data Entry'!$O$285), "", 'Data Entry'!$O$285)</f>
      </c>
      <c r="P285">
        <f>IF(ISBLANK('Data Entry'!$P$285), "", 'Data Entry'!$P$285)</f>
      </c>
      <c r="Q285">
        <f>IF(ISBLANK('Data Entry'!$Q$285), "", 'Data Entry'!$Q$285)</f>
      </c>
      <c r="R285">
        <f>IF(ISBLANK('Data Entry'!$R$285), "", 'Data Entry'!$R$285)</f>
      </c>
      <c r="S285">
        <f>IF(ISBLANK('Data Entry'!$S$285), "", 'Data Entry'!$S$285)</f>
      </c>
      <c r="T285">
        <f>IF(ISBLANK('Data Entry'!$T$285), "", 'Data Entry'!$T$285)</f>
      </c>
      <c r="U285">
        <f>IF(ISBLANK('Data Entry'!$U$285), "", 'Data Entry'!$U$285)</f>
      </c>
      <c r="V285">
        <f>IF(ISBLANK('Data Entry'!$V$285), "", 'Data Entry'!$V$285)</f>
      </c>
      <c r="W285">
        <f>IF(ISBLANK('Data Entry'!$W$285), "", 'Data Entry'!$W$285)</f>
      </c>
      <c r="X285">
        <f>IF(ISBLANK('Data Entry'!$X$285), "", 'Data Entry'!$X$285)</f>
      </c>
      <c r="Y285">
        <f>IF(ISBLANK('Data Entry'!$Y$285), "", 'Data Entry'!$Y$285)</f>
      </c>
      <c r="Z285">
        <f>IF(ISBLANK('Data Entry'!$Z$285), "", 'Data Entry'!$Z$285)</f>
      </c>
      <c r="AA285">
        <f>IF(ISBLANK('Data Entry'!$[$285), "", 'Data Entry'!$[$285)</f>
      </c>
      <c r="AB285">
        <f>IF(ISBLANK('Data Entry'!$\$285), "", 'Data Entry'!$\$285)</f>
      </c>
      <c r="AC285">
        <f>IF(ISBLANK('Data Entry'!$]$285), "", 'Data Entry'!$]$285)</f>
      </c>
      <c r="AD285">
        <f>IF(ISBLANK('Data Entry'!$^$285), "", 'Data Entry'!$^$285)</f>
      </c>
      <c r="AE285">
        <f>IF(ISBLANK('Data Entry'!$_$285), "", 'Data Entry'!$_$285)</f>
      </c>
      <c r="AF285">
        <f>IF(ISBLANK('Data Entry'!$`$285), "", 'Data Entry'!$`$285)</f>
      </c>
      <c r="AG285">
        <f>IF(ISBLANK('Data Entry'!$a$285), "", 'Data Entry'!$a$285)</f>
      </c>
      <c r="AH285">
        <f>IF(ISBLANK('Data Entry'!$b$285), "", 'Data Entry'!$b$285)</f>
      </c>
      <c r="AI285">
        <f>IF(ISBLANK('Data Entry'!$c$285), "", 'Data Entry'!$c$285)</f>
      </c>
      <c r="AJ285">
        <f>IF(ISBLANK('Data Entry'!$d$285), "", 'Data Entry'!$d$285)</f>
      </c>
      <c r="AK285">
        <f>IF(ISBLANK('Data Entry'!$e$285), "", 'Data Entry'!$e$285)</f>
      </c>
      <c r="AL285">
        <f>IF(ISBLANK('Data Entry'!$f$285), "", 'Data Entry'!$f$285)</f>
      </c>
      <c r="AM285">
        <f>IF(ISBLANK('Data Entry'!$g$285), "", 'Data Entry'!$g$285)</f>
      </c>
      <c r="AN285">
        <f>IF(ISBLANK('Data Entry'!$h$285), "", 'Data Entry'!$h$285)</f>
      </c>
      <c r="AO285">
        <f>IF(ISBLANK('Data Entry'!$i$285), "", 'Data Entry'!$i$285)</f>
      </c>
      <c r="AP285">
        <f>IF(ISBLANK('Data Entry'!$j$285), "", 'Data Entry'!$j$285)</f>
      </c>
      <c r="AQ285">
        <f>IF(ISBLANK('Data Entry'!$k$285), "", 'Data Entry'!$k$285)</f>
      </c>
      <c r="AR285">
        <f>IF(ISBLANK('Data Entry'!$l$285), "", 'Data Entry'!$l$285)</f>
      </c>
      <c r="AS285">
        <f>IF(ISBLANK('Data Entry'!$m$285), "", 'Data Entry'!$m$285)</f>
      </c>
      <c r="AT285">
        <f>IF(ISBLANK('Data Entry'!$n$285), "", 'Data Entry'!$n$285)</f>
      </c>
      <c r="AU285">
        <f>IF(ISBLANK('Data Entry'!$o$285), "", 'Data Entry'!$o$285)</f>
      </c>
      <c r="AV285">
        <f>IF(ISBLANK('Data Entry'!$p$285), "", 'Data Entry'!$p$285)</f>
      </c>
      <c r="AW285">
        <f>IF(ISBLANK('Data Entry'!$q$285), "", 'Data Entry'!$q$285)</f>
      </c>
      <c r="AX285">
        <f>IF(ISBLANK('Data Entry'!$r$285), "", 'Data Entry'!$r$285)</f>
      </c>
      <c r="AY285">
        <f>IF(ISBLANK('Data Entry'!$s$285), "", 'Data Entry'!$s$285)</f>
      </c>
      <c r="AZ285">
        <f>IF(ISBLANK('Data Entry'!$t$285), "", 'Data Entry'!$t$285)</f>
      </c>
      <c r="BA285">
        <f>IF(ISBLANK('Data Entry'!$u$285), "", 'Data Entry'!$u$285)</f>
      </c>
      <c r="BB285">
        <f>IF(ISBLANK('Data Entry'!$v$285), "", 'Data Entry'!$v$285)</f>
      </c>
      <c r="BC285">
        <f>IF(ISBLANK('Data Entry'!$w$285), "", 'Data Entry'!$w$285)</f>
      </c>
      <c r="BD285">
        <f>IF(ISBLANK('Data Entry'!$x$285), "", 'Data Entry'!$x$285)</f>
      </c>
      <c r="BE285">
        <f>IF(ISBLANK('Data Entry'!$y$285), "", 'Data Entry'!$y$285)</f>
      </c>
      <c r="BF285">
        <f>IF(ISBLANK('Data Entry'!$z$285), "", 'Data Entry'!$z$285)</f>
      </c>
      <c r="BG285">
        <f>IF(ISBLANK('Data Entry'!${$285), "", 'Data Entry'!${$285)</f>
      </c>
      <c r="BH285">
        <f>IF(ISBLANK('Data Entry'!$|$285), "", 'Data Entry'!$|$285)</f>
      </c>
      <c r="BI285">
        <f>IF(ISBLANK('Data Entry'!$}$285), "", 'Data Entry'!$}$285)</f>
      </c>
      <c r="BJ285">
        <f>IF(ISBLANK('Data Entry'!$~$285), "", 'Data Entry'!$~$285)</f>
      </c>
      <c r="BK285">
        <f>IF(ISBLANK('Data Entry'!$$285), "", 'Data Entry'!$$285)</f>
      </c>
      <c r="BL285">
        <f>IF(ISBLANK('Data Entry'!$$285), "", 'Data Entry'!$$285)</f>
      </c>
      <c r="BM285">
        <f>IF(ISBLANK('Data Entry'!$$285), "", 'Data Entry'!$$285)</f>
      </c>
      <c r="BN285">
        <f>IF(ISBLANK('Data Entry'!$$285), "", 'Data Entry'!$$285)</f>
      </c>
      <c r="BO285">
        <f>IF(ISBLANK('Data Entry'!$$285), "", 'Data Entry'!$$285)</f>
      </c>
      <c r="BP285">
        <f>IF(ISBLANK('Data Entry'!$$285), "", 'Data Entry'!$$285)</f>
      </c>
      <c r="BQ285">
        <f>IF(ISBLANK('Data Entry'!$$285), "", 'Data Entry'!$$285)</f>
      </c>
      <c r="BR285">
        <f>IF(ISBLANK('Data Entry'!$$285), "", 'Data Entry'!$$285)</f>
      </c>
      <c r="BS285">
        <f>IF(ISBLANK('Data Entry'!$$285), "", 'Data Entry'!$$285)</f>
      </c>
      <c r="BT285">
        <f>IF(ISBLANK('Data Entry'!$$285), "", 'Data Entry'!$$285)</f>
      </c>
      <c r="BU285">
        <f>IF(ISBLANK('Data Entry'!$$285), "", 'Data Entry'!$$285)</f>
      </c>
      <c r="BV285">
        <f>IF(ISBLANK('Data Entry'!$$285), "", 'Data Entry'!$$285)</f>
      </c>
      <c r="BW285">
        <f>IF(ISBLANK('Data Entry'!$$285), "", 'Data Entry'!$$285)</f>
      </c>
      <c r="BX285">
        <f>IF(ISBLANK('Data Entry'!$$285), "", 'Data Entry'!$$285)</f>
      </c>
      <c r="BY285">
        <f>IF(ISBLANK('Data Entry'!$$285), "", 'Data Entry'!$$285)</f>
      </c>
      <c r="BZ285">
        <f>IF(ISBLANK('Data Entry'!$$285), "", 'Data Entry'!$$285)</f>
      </c>
      <c r="CA285">
        <f>IF(ISBLANK('Data Entry'!$$285), "", 'Data Entry'!$$285)</f>
      </c>
      <c r="CB285">
        <f>IF(ISBLANK('Data Entry'!$$285), "", 'Data Entry'!$$285)</f>
      </c>
      <c r="CC285">
        <f>IF(ISBLANK('Data Entry'!$$285), "", 'Data Entry'!$$285)</f>
      </c>
      <c r="CD285">
        <f>IF(ISBLANK('Data Entry'!$$285), "", 'Data Entry'!$$285)</f>
      </c>
      <c r="CE285">
        <f>IF(ISBLANK('Data Entry'!$$285), "", 'Data Entry'!$$285)</f>
      </c>
      <c r="CF285">
        <f>IF(ISBLANK('Data Entry'!$$285), "", 'Data Entry'!$$285)</f>
      </c>
      <c r="CG285">
        <f>IF(ISBLANK('Data Entry'!$$285), "", 'Data Entry'!$$285)</f>
      </c>
      <c r="CH285">
        <f>IF(ISBLANK('Data Entry'!$$285), "", 'Data Entry'!$$285)</f>
      </c>
      <c r="CI285">
        <f>IF(ISBLANK('Data Entry'!$$285), "", 'Data Entry'!$$285)</f>
      </c>
      <c r="CJ285">
        <f>IF(ISBLANK('Data Entry'!$$285), "", 'Data Entry'!$$285)</f>
      </c>
      <c r="CK285">
        <f>IF(ISBLANK('Data Entry'!$$285), "", 'Data Entry'!$$285)</f>
      </c>
      <c r="CL285">
        <f>IF(ISBLANK('Data Entry'!$$285), "", 'Data Entry'!$$285)</f>
      </c>
      <c r="CM285">
        <f>IF(ISBLANK('Data Entry'!$$285), "", 'Data Entry'!$$285)</f>
      </c>
      <c r="CN285">
        <f>IF(ISBLANK('Data Entry'!$$285), "", 'Data Entry'!$$285)</f>
      </c>
      <c r="CO285">
        <f>IF(ISBLANK('Data Entry'!$$285), "", 'Data Entry'!$$285)</f>
      </c>
      <c r="CP285">
        <f>IF(ISBLANK('Data Entry'!$$285), "", 'Data Entry'!$$285)</f>
      </c>
      <c r="CQ285">
        <f>IF(ISBLANK('Data Entry'!$$285), "", 'Data Entry'!$$285)</f>
      </c>
      <c r="CR285">
        <f>IF(ISBLANK('Data Entry'!$ $285), "", 'Data Entry'!$ $285)</f>
      </c>
      <c r="CS285">
        <f>IF(ISBLANK('Data Entry'!$¡$285), "", 'Data Entry'!$¡$285)</f>
      </c>
      <c r="CT285">
        <f>IF(ISBLANK('Data Entry'!$¢$285), "", 'Data Entry'!$¢$285)</f>
      </c>
      <c r="CU285">
        <f>IF(ISBLANK('Data Entry'!$£$285), "", 'Data Entry'!$£$285)</f>
      </c>
      <c r="CV285">
        <f>IF(ISBLANK('Data Entry'!$¤$285), "", 'Data Entry'!$¤$285)</f>
      </c>
      <c r="CW285">
        <f>IF(ISBLANK('Data Entry'!$¥$285), "", 'Data Entry'!$¥$285)</f>
      </c>
      <c r="CX285">
        <f>IF(ISBLANK('Data Entry'!$¦$285), "", 'Data Entry'!$¦$285)</f>
      </c>
      <c r="CY285">
        <f>IF(ISBLANK('Data Entry'!$§$285), "", 'Data Entry'!$§$285)</f>
      </c>
      <c r="CZ285">
        <f>IF(ISBLANK('Data Entry'!$¨$285), "", 'Data Entry'!$¨$285)</f>
      </c>
      <c r="DA285">
        <f>IF(ISBLANK('Data Entry'!$©$285), "", 'Data Entry'!$©$285)</f>
      </c>
      <c r="DB285">
        <f>IF(ISBLANK('Data Entry'!$ª$285), "", 'Data Entry'!$ª$285)</f>
      </c>
      <c r="DC285">
        <f>IF(ISBLANK('Data Entry'!$«$285), "", 'Data Entry'!$«$285)</f>
      </c>
      <c r="DD285">
        <f>IF(ISBLANK('Data Entry'!$¬$285), "", 'Data Entry'!$¬$285)</f>
      </c>
      <c r="DE285">
        <f>IF(ISBLANK('Data Entry'!$­$285), "", 'Data Entry'!$­$285)</f>
      </c>
      <c r="DF285">
        <f>IF(ISBLANK('Data Entry'!$®$285), "", 'Data Entry'!$®$285)</f>
      </c>
      <c r="DG285">
        <f>IF(ISBLANK('Data Entry'!$¯$285), "", 'Data Entry'!$¯$285)</f>
      </c>
      <c r="DH285">
        <f>IF(ISBLANK('Data Entry'!$°$285), "", 'Data Entry'!$°$285)</f>
      </c>
      <c r="DI285">
        <f>IF(ISBLANK('Data Entry'!$±$285), "", 'Data Entry'!$±$285)</f>
      </c>
      <c r="DJ285">
        <f>IF(ISBLANK('Data Entry'!$²$285), "", 'Data Entry'!$²$285)</f>
      </c>
      <c r="DK285">
        <f>IF(ISBLANK('Data Entry'!$³$285), "", 'Data Entry'!$³$285)</f>
      </c>
      <c r="DL285">
        <f>IF(ISBLANK('Data Entry'!$´$285), "", 'Data Entry'!$´$285)</f>
      </c>
      <c r="DM285">
        <f>IF(ISBLANK('Data Entry'!$µ$285), "", 'Data Entry'!$µ$285)</f>
      </c>
      <c r="DN285">
        <f>IF(ISBLANK('Data Entry'!$¶$285), "", 'Data Entry'!$¶$285)</f>
      </c>
      <c r="DO285">
        <f>IF(ISBLANK('Data Entry'!$·$285), "", 'Data Entry'!$·$285)</f>
      </c>
      <c r="DP285">
        <f>IF(ISBLANK('Data Entry'!$¸$285), "", 'Data Entry'!$¸$285)</f>
      </c>
      <c r="DQ285">
        <f>IF(ISBLANK('Data Entry'!$¹$285), "", 'Data Entry'!$¹$285)</f>
      </c>
      <c r="DR285">
        <f>IF(ISBLANK('Data Entry'!$º$285), "", 'Data Entry'!$º$285)</f>
      </c>
      <c r="DS285">
        <f>IF(ISBLANK('Data Entry'!$»$285), "", 'Data Entry'!$»$285)</f>
      </c>
      <c r="DT285">
        <f>IF(ISBLANK('Data Entry'!$¼$285), "", 'Data Entry'!$¼$285)</f>
      </c>
      <c r="DU285">
        <f>IF(ISBLANK('Data Entry'!$½$285), "", 'Data Entry'!$½$285)</f>
      </c>
      <c r="DV285">
        <f>IF(ISBLANK('Data Entry'!$¾$285), "", 'Data Entry'!$¾$285)</f>
      </c>
      <c r="DW285">
        <f>IF(ISBLANK('Data Entry'!$¿$285), "", 'Data Entry'!$¿$285)</f>
      </c>
      <c r="DX285">
        <f>IF(ISBLANK('Data Entry'!$À$285), "", 'Data Entry'!$À$285)</f>
      </c>
      <c r="DY285">
        <f>IF(ISBLANK('Data Entry'!$Á$285), "", 'Data Entry'!$Á$285)</f>
      </c>
      <c r="DZ285">
        <f>IF(ISBLANK('Data Entry'!$Â$285), "", 'Data Entry'!$Â$285)</f>
      </c>
      <c r="EA285">
        <f>IF(ISBLANK('Data Entry'!$Ã$285), "", 'Data Entry'!$Ã$285)</f>
      </c>
      <c r="EB285">
        <f>IF(ISBLANK('Data Entry'!$Ä$285), "", 'Data Entry'!$Ä$285)</f>
      </c>
      <c r="EC285">
        <f>IF(ISBLANK('Data Entry'!$Å$285), "", 'Data Entry'!$Å$285)</f>
      </c>
      <c r="ED285">
        <f>IF(ISBLANK('Data Entry'!$Æ$285), "", 'Data Entry'!$Æ$285)</f>
      </c>
      <c r="EE285">
        <f>IF(ISBLANK('Data Entry'!$Ç$285), "", 'Data Entry'!$Ç$285)</f>
      </c>
      <c r="EF285">
        <f>IF(ISBLANK('Data Entry'!$È$285), "", 'Data Entry'!$È$285)</f>
      </c>
      <c r="EG285">
        <f>IF(ISBLANK('Data Entry'!$É$285), "", 'Data Entry'!$É$285)</f>
      </c>
      <c r="EH285">
        <f>IF(ISBLANK('Data Entry'!$Ê$285), "", 'Data Entry'!$Ê$285)</f>
      </c>
      <c r="EI285">
        <f>IF(ISBLANK('Data Entry'!$Ë$285), "", 'Data Entry'!$Ë$285)</f>
      </c>
      <c r="EJ285">
        <f>IF(ISBLANK('Data Entry'!$Ì$285), "", 'Data Entry'!$Ì$285)</f>
      </c>
      <c r="EK285">
        <f>IF(ISBLANK('Data Entry'!$Í$285), "", 'Data Entry'!$Í$285)</f>
      </c>
      <c r="EL285">
        <f>IF(ISBLANK('Data Entry'!$Î$285), "", 'Data Entry'!$Î$285)</f>
      </c>
      <c r="EM285">
        <f>IF(ISBLANK('Data Entry'!$Ï$285), "", 'Data Entry'!$Ï$285)</f>
      </c>
      <c r="EN285">
        <f>IF(ISBLANK('Data Entry'!$Ð$285), "", 'Data Entry'!$Ð$285)</f>
      </c>
      <c r="EO285">
        <f>IF(ISBLANK('Data Entry'!$Ñ$285), "", 'Data Entry'!$Ñ$285)</f>
      </c>
      <c r="EP285">
        <f>IF(ISBLANK('Data Entry'!$Ò$285), "", 'Data Entry'!$Ò$285)</f>
      </c>
      <c r="EQ285">
        <f>IF(ISBLANK('Data Entry'!$Ó$285), "", 'Data Entry'!$Ó$285)</f>
      </c>
      <c r="ER285">
        <f>IF(ISBLANK('Data Entry'!$Ô$285), "", 'Data Entry'!$Ô$285)</f>
      </c>
      <c r="ES285">
        <f>IF(ISBLANK('Data Entry'!$Õ$285), "", 'Data Entry'!$Õ$285)</f>
      </c>
      <c r="ET285">
        <f>IF(ISBLANK('Data Entry'!$Ö$285), "", 'Data Entry'!$Ö$285)</f>
      </c>
      <c r="EU285">
        <f>IF(ISBLANK('Data Entry'!$×$285), "", 'Data Entry'!$×$285)</f>
      </c>
      <c r="EV285">
        <f>IF(ISBLANK('Data Entry'!$Ø$285), "", 'Data Entry'!$Ø$285)</f>
      </c>
      <c r="EW285">
        <f>IF(ISBLANK('Data Entry'!$Ù$285), "", 'Data Entry'!$Ù$285)</f>
      </c>
      <c r="EX285">
        <f>IF(ISBLANK('Data Entry'!$Ú$285), "", 'Data Entry'!$Ú$285)</f>
      </c>
      <c r="EY285">
        <f>IF(ISBLANK('Data Entry'!$Û$285), "", 'Data Entry'!$Û$285)</f>
      </c>
      <c r="EZ285">
        <f>IF(ISBLANK('Data Entry'!$Ü$285), "", 'Data Entry'!$Ü$285)</f>
      </c>
      <c r="FA285">
        <f>IF(ISBLANK('Data Entry'!$Ý$285), "", 'Data Entry'!$Ý$285)</f>
      </c>
      <c r="FB285">
        <f>IF(ISBLANK('Data Entry'!$Þ$285), "", 'Data Entry'!$Þ$285)</f>
      </c>
      <c r="FC285">
        <f>IF(ISBLANK('Data Entry'!$ß$285), "", 'Data Entry'!$ß$285)</f>
      </c>
      <c r="FD285">
        <f>IF(ISBLANK('Data Entry'!$à$285), "", 'Data Entry'!$à$285)</f>
      </c>
      <c r="FE285">
        <f>IF(ISBLANK('Data Entry'!$á$285), "", 'Data Entry'!$á$285)</f>
      </c>
      <c r="FF285">
        <f>IF(ISBLANK('Data Entry'!$â$285), "", 'Data Entry'!$â$285)</f>
      </c>
      <c r="FG285">
        <f>IF(ISBLANK('Data Entry'!$ã$285), "", 'Data Entry'!$ã$285)</f>
      </c>
      <c r="FH285">
        <f>IF(ISBLANK('Data Entry'!$ä$285), "", 'Data Entry'!$ä$285)</f>
      </c>
      <c r="FI285">
        <f>IF(ISBLANK('Data Entry'!$å$285), "", 'Data Entry'!$å$285)</f>
      </c>
      <c r="FJ285">
        <f>IF(ISBLANK('Data Entry'!$æ$285), "", 'Data Entry'!$æ$285)</f>
      </c>
      <c r="FK285">
        <f>IF(ISBLANK('Data Entry'!$ç$285), "", 'Data Entry'!$ç$285)</f>
      </c>
      <c r="FL285">
        <f>IF(ISBLANK('Data Entry'!$è$285), "", 'Data Entry'!$è$285)</f>
      </c>
      <c r="FM285">
        <f>IF(ISBLANK('Data Entry'!$é$285), "", 'Data Entry'!$é$285)</f>
      </c>
      <c r="FN285">
        <f>IF(ISBLANK('Data Entry'!$ê$285), "", 'Data Entry'!$ê$285)</f>
      </c>
      <c r="FO285">
        <f>IF(ISBLANK('Data Entry'!$ë$285), "", 'Data Entry'!$ë$285)</f>
      </c>
      <c r="FP285">
        <f>IF(ISBLANK('Data Entry'!$ì$285), "", 'Data Entry'!$ì$285)</f>
      </c>
      <c r="FQ285">
        <f>IF(ISBLANK('Data Entry'!$í$285), "", 'Data Entry'!$í$285)</f>
      </c>
      <c r="FR285">
        <f>IF(ISBLANK('Data Entry'!$î$285), "", 'Data Entry'!$î$285)</f>
      </c>
      <c r="FS285">
        <f>IF(ISBLANK('Data Entry'!$ï$285), "", 'Data Entry'!$ï$285)</f>
      </c>
      <c r="FT285">
        <f>IF(ISBLANK('Data Entry'!$ð$285), "", 'Data Entry'!$ð$285)</f>
      </c>
      <c r="FU285">
        <f>IF(ISBLANK('Data Entry'!$ñ$285), "", 'Data Entry'!$ñ$285)</f>
      </c>
      <c r="FV285">
        <f>IF(ISBLANK('Data Entry'!$ò$285), "", 'Data Entry'!$ò$285)</f>
      </c>
      <c r="FW285">
        <f>IF(ISBLANK('Data Entry'!$ó$285), "", 'Data Entry'!$ó$285)</f>
      </c>
      <c r="FX285">
        <f>IF(ISBLANK('Data Entry'!$ô$285), "", 'Data Entry'!$ô$285)</f>
      </c>
      <c r="FY285">
        <f>IF(ISBLANK('Data Entry'!$õ$285), "", 'Data Entry'!$õ$285)</f>
      </c>
      <c r="FZ285">
        <f>IF(ISBLANK('Data Entry'!$ö$285), "", 'Data Entry'!$ö$285)</f>
      </c>
      <c r="GA285">
        <f>IF(ISBLANK('Data Entry'!$÷$285), "", 'Data Entry'!$÷$285)</f>
      </c>
      <c r="GB285">
        <f>IF(ISBLANK('Data Entry'!$ø$285), "", 'Data Entry'!$ø$285)</f>
      </c>
      <c r="GC285">
        <f>IF(ISBLANK('Data Entry'!$ù$285), "", 'Data Entry'!$ù$285)</f>
      </c>
      <c r="GD285">
        <f>IF(ISBLANK('Data Entry'!$ú$285), "", 'Data Entry'!$ú$285)</f>
      </c>
      <c r="GE285">
        <f>IF(ISBLANK('Data Entry'!$û$285), "", 'Data Entry'!$û$285)</f>
      </c>
      <c r="GF285">
        <f>IF(ISBLANK('Data Entry'!$ü$285), "", 'Data Entry'!$ü$285)</f>
      </c>
      <c r="GG285">
        <f>IF(ISBLANK('Data Entry'!$ý$285), "", 'Data Entry'!$ý$285)</f>
      </c>
      <c r="GH285">
        <f>IF(ISBLANK('Data Entry'!$þ$285), "", 'Data Entry'!$þ$285)</f>
      </c>
      <c r="GI285">
        <f>IF(ISBLANK('Data Entry'!$ÿ$285), "", 'Data Entry'!$ÿ$285)</f>
      </c>
      <c r="GJ285">
        <f>IF(ISBLANK('Data Entry'!$Ā$285), "", 'Data Entry'!$Ā$285)</f>
      </c>
      <c r="GK285">
        <f>IF(ISBLANK('Data Entry'!$ā$285), "", 'Data Entry'!$ā$285)</f>
      </c>
      <c r="GL285">
        <f>IF(ISBLANK('Data Entry'!$Ă$285), "", 'Data Entry'!$Ă$285)</f>
      </c>
      <c r="GM285">
        <f>IF(ISBLANK('Data Entry'!$ă$285), "", 'Data Entry'!$ă$285)</f>
      </c>
      <c r="GN285">
        <f>IF(ISBLANK('Data Entry'!$Ą$285), "", 'Data Entry'!$Ą$285)</f>
      </c>
      <c r="GO285">
        <f>IF(ISBLANK('Data Entry'!$ą$285), "", 'Data Entry'!$ą$285)</f>
      </c>
      <c r="GP285">
        <f>IF(ISBLANK('Data Entry'!$Ć$285), "", 'Data Entry'!$Ć$285)</f>
      </c>
      <c r="GQ285">
        <f>IF(ISBLANK('Data Entry'!$ć$285), "", 'Data Entry'!$ć$285)</f>
      </c>
      <c r="GR285">
        <f>IF(ISBLANK('Data Entry'!$Ĉ$285), "", 'Data Entry'!$Ĉ$285)</f>
      </c>
      <c r="GS285">
        <f>IF(ISBLANK('Data Entry'!$ĉ$285), "", 'Data Entry'!$ĉ$285)</f>
      </c>
      <c r="GT285">
        <f>IF(ISBLANK('Data Entry'!$Ċ$285), "", 'Data Entry'!$Ċ$285)</f>
      </c>
      <c r="GU285">
        <f>IF(ISBLANK('Data Entry'!$ċ$285), "", 'Data Entry'!$ċ$285)</f>
      </c>
      <c r="GV285">
        <f>IF(ISBLANK('Data Entry'!$Č$285), "", 'Data Entry'!$Č$285)</f>
      </c>
      <c r="GW285">
        <f>IF(ISBLANK('Data Entry'!$č$285), "", 'Data Entry'!$č$285)</f>
      </c>
      <c r="GX285">
        <f>IF(ISBLANK('Data Entry'!$Ď$285), "", 'Data Entry'!$Ď$285)</f>
      </c>
      <c r="GY285">
        <f>IF(ISBLANK('Data Entry'!$ď$285), "", 'Data Entry'!$ď$285)</f>
      </c>
      <c r="GZ285">
        <f>IF(ISBLANK('Data Entry'!$Đ$285), "", 'Data Entry'!$Đ$285)</f>
      </c>
      <c r="HA285">
        <f>IF(ISBLANK('Data Entry'!$đ$285), "", 'Data Entry'!$đ$285)</f>
      </c>
      <c r="HB285">
        <f>IF(ISBLANK('Data Entry'!$Ē$285), "", 'Data Entry'!$Ē$285)</f>
      </c>
      <c r="HC285">
        <f>IF(ISBLANK('Data Entry'!$ē$285), "", 'Data Entry'!$ē$285)</f>
      </c>
      <c r="HD285">
        <f>IF(ISBLANK('Data Entry'!$Ĕ$285), "", 'Data Entry'!$Ĕ$285)</f>
      </c>
      <c r="HE285">
        <f>IF(ISBLANK('Data Entry'!$ĕ$285), "", 'Data Entry'!$ĕ$285)</f>
      </c>
      <c r="HF285">
        <f>IF(ISBLANK('Data Entry'!$Ė$285), "", 'Data Entry'!$Ė$285)</f>
      </c>
      <c r="HG285">
        <f>IF(ISBLANK('Data Entry'!$ė$285), "", 'Data Entry'!$ė$285)</f>
      </c>
      <c r="HH285">
        <f>IF(ISBLANK('Data Entry'!$Ę$285), "", 'Data Entry'!$Ę$285)</f>
      </c>
      <c r="HI285">
        <f>IF(ISBLANK('Data Entry'!$ę$285), "", 'Data Entry'!$ę$285)</f>
      </c>
      <c r="HJ285">
        <f>IF(ISBLANK('Data Entry'!$Ě$285), "", 'Data Entry'!$Ě$285)</f>
      </c>
      <c r="HK285">
        <f>IF(ISBLANK('Data Entry'!$ě$285), "", 'Data Entry'!$ě$285)</f>
      </c>
      <c r="HL285">
        <f>IF(ISBLANK('Data Entry'!$Ĝ$285), "", 'Data Entry'!$Ĝ$285)</f>
      </c>
      <c r="HM285">
        <f>IF(ISBLANK('Data Entry'!$ĝ$285), "", 'Data Entry'!$ĝ$285)</f>
      </c>
      <c r="HN285">
        <f>IF(ISBLANK('Data Entry'!$Ğ$285), "", 'Data Entry'!$Ğ$285)</f>
      </c>
      <c r="HO285">
        <f>IF(ISBLANK('Data Entry'!$ğ$285), "", 'Data Entry'!$ğ$285)</f>
      </c>
      <c r="HP285">
        <f>IF(ISBLANK('Data Entry'!$Ġ$285), "", 'Data Entry'!$Ġ$285)</f>
      </c>
      <c r="HQ285">
        <f>IF(ISBLANK('Data Entry'!$ġ$285), "", 'Data Entry'!$ġ$285)</f>
      </c>
      <c r="HR285">
        <f>IF(ISBLANK('Data Entry'!$Ģ$285), "", 'Data Entry'!$Ģ$285)</f>
      </c>
      <c r="HS285">
        <f>IF(ISBLANK('Data Entry'!$ģ$285), "", 'Data Entry'!$ģ$285)</f>
      </c>
      <c r="HT285">
        <f>IF(ISBLANK('Data Entry'!$Ĥ$285), "", 'Data Entry'!$Ĥ$285)</f>
      </c>
      <c r="HU285">
        <f>IF(ISBLANK('Data Entry'!$ĥ$285), "", 'Data Entry'!$ĥ$285)</f>
      </c>
      <c r="HV285">
        <f>IF(ISBLANK('Data Entry'!$Ħ$285), "", 'Data Entry'!$Ħ$285)</f>
      </c>
      <c r="HW285">
        <f>IF(ISBLANK('Data Entry'!$ħ$285), "", 'Data Entry'!$ħ$285)</f>
      </c>
      <c r="HX285">
        <f>IF(ISBLANK('Data Entry'!$Ĩ$285), "", 'Data Entry'!$Ĩ$285)</f>
      </c>
      <c r="HY285">
        <f>IF(ISBLANK('Data Entry'!$ĩ$285), "", 'Data Entry'!$ĩ$285)</f>
      </c>
      <c r="HZ285">
        <f>IF(ISBLANK('Data Entry'!$Ī$285), "", 'Data Entry'!$Ī$285)</f>
      </c>
      <c r="IA285">
        <f>IF(ISBLANK('Data Entry'!$ī$285), "", 'Data Entry'!$ī$285)</f>
      </c>
      <c r="IB285">
        <f>IF(ISBLANK('Data Entry'!$Ĭ$285), "", 'Data Entry'!$Ĭ$285)</f>
      </c>
      <c r="IC285">
        <f>IF(ISBLANK('Data Entry'!$ĭ$285), "", 'Data Entry'!$ĭ$285)</f>
      </c>
      <c r="ID285">
        <f>IF(ISBLANK('Data Entry'!$Į$285), "", 'Data Entry'!$Į$285)</f>
      </c>
      <c r="IE285">
        <f>IF(ISBLANK('Data Entry'!$į$285), "", 'Data Entry'!$į$285)</f>
      </c>
      <c r="IF285">
        <f>IF(ISBLANK('Data Entry'!$İ$285), "", 'Data Entry'!$İ$285)</f>
      </c>
      <c r="IG285">
        <f>IF(ISBLANK('Data Entry'!$ı$285), "", 'Data Entry'!$ı$285)</f>
      </c>
      <c r="IH285">
        <f>IF(ISBLANK('Data Entry'!$Ĳ$285), "", 'Data Entry'!$Ĳ$285)</f>
      </c>
      <c r="II285">
        <f>IF(ISBLANK('Data Entry'!$ĳ$285), "", 'Data Entry'!$ĳ$285)</f>
      </c>
      <c r="IJ285">
        <f>IF(ISBLANK('Data Entry'!$Ĵ$285), "", 'Data Entry'!$Ĵ$285)</f>
      </c>
      <c r="IK285">
        <f>IF(ISBLANK('Data Entry'!$ĵ$285), "", 'Data Entry'!$ĵ$285)</f>
      </c>
      <c r="IL285">
        <f>IF(ISBLANK('Data Entry'!$Ķ$285), "", 'Data Entry'!$Ķ$285)</f>
      </c>
      <c r="IM285">
        <f>IF(ISBLANK('Data Entry'!$ķ$285), "", 'Data Entry'!$ķ$285)</f>
      </c>
      <c r="IN285">
        <f>IF(ISBLANK('Data Entry'!$ĸ$285), "", 'Data Entry'!$ĸ$285)</f>
      </c>
      <c r="IO285">
        <f>IF(ISBLANK('Data Entry'!$Ĺ$285), "", 'Data Entry'!$Ĺ$285)</f>
      </c>
      <c r="IP285">
        <f>IF(ISBLANK('Data Entry'!$ĺ$285), "", 'Data Entry'!$ĺ$285)</f>
      </c>
      <c r="IQ285">
        <f>IF(ISBLANK('Data Entry'!$Ļ$285), "", 'Data Entry'!$Ļ$285)</f>
      </c>
      <c r="IR285">
        <f>IF(ISBLANK('Data Entry'!$ļ$285), "", 'Data Entry'!$ļ$285)</f>
      </c>
      <c r="IS285">
        <f>IF(ISBLANK('Data Entry'!$Ľ$285), "", 'Data Entry'!$Ľ$285)</f>
      </c>
      <c r="IT285">
        <f>IF(ISBLANK('Data Entry'!$ľ$285), "", 'Data Entry'!$ľ$285)</f>
      </c>
    </row>
    <row r="286" spans="1:254" x14ac:dyDescent="0.25">
      <c r="A286">
        <f>IF(ISBLANK('Data Entry'!$A$286), "", 'Data Entry'!$A$286)</f>
      </c>
      <c r="B286">
        <f>IF(ISBLANK('Data Entry'!$B$286), "", 'Data Entry'!$B$286)</f>
      </c>
      <c r="C286">
        <f>IF(ISBLANK('Data Entry'!$C$286), "", 'Data Entry'!$C$286)</f>
      </c>
      <c r="D286">
        <f>IF(ISBLANK('Data Entry'!$D$286), "", 'Data Entry'!$D$286)</f>
      </c>
      <c r="E286">
        <f>IF(ISBLANK('Data Entry'!$E$286), "", 'Data Entry'!$E$286)</f>
      </c>
      <c r="F286">
        <f>IF(ISBLANK('Data Entry'!$F$286), "", 'Data Entry'!$F$286)</f>
      </c>
      <c r="G286">
        <f>IF(ISBLANK('Data Entry'!$G$286), "", 'Data Entry'!$G$286)</f>
      </c>
      <c r="H286">
        <f>IF(ISBLANK('Data Entry'!$H$286), "", 'Data Entry'!$H$286)</f>
      </c>
      <c r="I286">
        <f>IF(ISBLANK('Data Entry'!$I$286), "", 'Data Entry'!$I$286)</f>
      </c>
      <c r="J286">
        <f>IF(ISBLANK('Data Entry'!$J$286), "", 'Data Entry'!$J$286)</f>
      </c>
      <c r="K286">
        <f>IF(ISBLANK('Data Entry'!$K$286), "", 'Data Entry'!$K$286)</f>
      </c>
      <c r="L286">
        <f>IF(ISBLANK('Data Entry'!$L$286), "", 'Data Entry'!$L$286)</f>
      </c>
      <c r="M286">
        <f>IF(ISBLANK('Data Entry'!$M$286), "", 'Data Entry'!$M$286)</f>
      </c>
      <c r="N286">
        <f>IF(ISBLANK('Data Entry'!$N$286), "", 'Data Entry'!$N$286)</f>
      </c>
      <c r="O286">
        <f>IF(ISBLANK('Data Entry'!$O$286), "", 'Data Entry'!$O$286)</f>
      </c>
      <c r="P286">
        <f>IF(ISBLANK('Data Entry'!$P$286), "", 'Data Entry'!$P$286)</f>
      </c>
      <c r="Q286">
        <f>IF(ISBLANK('Data Entry'!$Q$286), "", 'Data Entry'!$Q$286)</f>
      </c>
      <c r="R286">
        <f>IF(ISBLANK('Data Entry'!$R$286), "", 'Data Entry'!$R$286)</f>
      </c>
      <c r="S286">
        <f>IF(ISBLANK('Data Entry'!$S$286), "", 'Data Entry'!$S$286)</f>
      </c>
      <c r="T286">
        <f>IF(ISBLANK('Data Entry'!$T$286), "", 'Data Entry'!$T$286)</f>
      </c>
      <c r="U286">
        <f>IF(ISBLANK('Data Entry'!$U$286), "", 'Data Entry'!$U$286)</f>
      </c>
      <c r="V286">
        <f>IF(ISBLANK('Data Entry'!$V$286), "", 'Data Entry'!$V$286)</f>
      </c>
      <c r="W286">
        <f>IF(ISBLANK('Data Entry'!$W$286), "", 'Data Entry'!$W$286)</f>
      </c>
      <c r="X286">
        <f>IF(ISBLANK('Data Entry'!$X$286), "", 'Data Entry'!$X$286)</f>
      </c>
      <c r="Y286">
        <f>IF(ISBLANK('Data Entry'!$Y$286), "", 'Data Entry'!$Y$286)</f>
      </c>
      <c r="Z286">
        <f>IF(ISBLANK('Data Entry'!$Z$286), "", 'Data Entry'!$Z$286)</f>
      </c>
      <c r="AA286">
        <f>IF(ISBLANK('Data Entry'!$[$286), "", 'Data Entry'!$[$286)</f>
      </c>
      <c r="AB286">
        <f>IF(ISBLANK('Data Entry'!$\$286), "", 'Data Entry'!$\$286)</f>
      </c>
      <c r="AC286">
        <f>IF(ISBLANK('Data Entry'!$]$286), "", 'Data Entry'!$]$286)</f>
      </c>
      <c r="AD286">
        <f>IF(ISBLANK('Data Entry'!$^$286), "", 'Data Entry'!$^$286)</f>
      </c>
      <c r="AE286">
        <f>IF(ISBLANK('Data Entry'!$_$286), "", 'Data Entry'!$_$286)</f>
      </c>
      <c r="AF286">
        <f>IF(ISBLANK('Data Entry'!$`$286), "", 'Data Entry'!$`$286)</f>
      </c>
      <c r="AG286">
        <f>IF(ISBLANK('Data Entry'!$a$286), "", 'Data Entry'!$a$286)</f>
      </c>
      <c r="AH286">
        <f>IF(ISBLANK('Data Entry'!$b$286), "", 'Data Entry'!$b$286)</f>
      </c>
      <c r="AI286">
        <f>IF(ISBLANK('Data Entry'!$c$286), "", 'Data Entry'!$c$286)</f>
      </c>
      <c r="AJ286">
        <f>IF(ISBLANK('Data Entry'!$d$286), "", 'Data Entry'!$d$286)</f>
      </c>
      <c r="AK286">
        <f>IF(ISBLANK('Data Entry'!$e$286), "", 'Data Entry'!$e$286)</f>
      </c>
      <c r="AL286">
        <f>IF(ISBLANK('Data Entry'!$f$286), "", 'Data Entry'!$f$286)</f>
      </c>
      <c r="AM286">
        <f>IF(ISBLANK('Data Entry'!$g$286), "", 'Data Entry'!$g$286)</f>
      </c>
      <c r="AN286">
        <f>IF(ISBLANK('Data Entry'!$h$286), "", 'Data Entry'!$h$286)</f>
      </c>
      <c r="AO286">
        <f>IF(ISBLANK('Data Entry'!$i$286), "", 'Data Entry'!$i$286)</f>
      </c>
      <c r="AP286">
        <f>IF(ISBLANK('Data Entry'!$j$286), "", 'Data Entry'!$j$286)</f>
      </c>
      <c r="AQ286">
        <f>IF(ISBLANK('Data Entry'!$k$286), "", 'Data Entry'!$k$286)</f>
      </c>
      <c r="AR286">
        <f>IF(ISBLANK('Data Entry'!$l$286), "", 'Data Entry'!$l$286)</f>
      </c>
      <c r="AS286">
        <f>IF(ISBLANK('Data Entry'!$m$286), "", 'Data Entry'!$m$286)</f>
      </c>
      <c r="AT286">
        <f>IF(ISBLANK('Data Entry'!$n$286), "", 'Data Entry'!$n$286)</f>
      </c>
      <c r="AU286">
        <f>IF(ISBLANK('Data Entry'!$o$286), "", 'Data Entry'!$o$286)</f>
      </c>
      <c r="AV286">
        <f>IF(ISBLANK('Data Entry'!$p$286), "", 'Data Entry'!$p$286)</f>
      </c>
      <c r="AW286">
        <f>IF(ISBLANK('Data Entry'!$q$286), "", 'Data Entry'!$q$286)</f>
      </c>
      <c r="AX286">
        <f>IF(ISBLANK('Data Entry'!$r$286), "", 'Data Entry'!$r$286)</f>
      </c>
      <c r="AY286">
        <f>IF(ISBLANK('Data Entry'!$s$286), "", 'Data Entry'!$s$286)</f>
      </c>
      <c r="AZ286">
        <f>IF(ISBLANK('Data Entry'!$t$286), "", 'Data Entry'!$t$286)</f>
      </c>
      <c r="BA286">
        <f>IF(ISBLANK('Data Entry'!$u$286), "", 'Data Entry'!$u$286)</f>
      </c>
      <c r="BB286">
        <f>IF(ISBLANK('Data Entry'!$v$286), "", 'Data Entry'!$v$286)</f>
      </c>
      <c r="BC286">
        <f>IF(ISBLANK('Data Entry'!$w$286), "", 'Data Entry'!$w$286)</f>
      </c>
      <c r="BD286">
        <f>IF(ISBLANK('Data Entry'!$x$286), "", 'Data Entry'!$x$286)</f>
      </c>
      <c r="BE286">
        <f>IF(ISBLANK('Data Entry'!$y$286), "", 'Data Entry'!$y$286)</f>
      </c>
      <c r="BF286">
        <f>IF(ISBLANK('Data Entry'!$z$286), "", 'Data Entry'!$z$286)</f>
      </c>
      <c r="BG286">
        <f>IF(ISBLANK('Data Entry'!${$286), "", 'Data Entry'!${$286)</f>
      </c>
      <c r="BH286">
        <f>IF(ISBLANK('Data Entry'!$|$286), "", 'Data Entry'!$|$286)</f>
      </c>
      <c r="BI286">
        <f>IF(ISBLANK('Data Entry'!$}$286), "", 'Data Entry'!$}$286)</f>
      </c>
      <c r="BJ286">
        <f>IF(ISBLANK('Data Entry'!$~$286), "", 'Data Entry'!$~$286)</f>
      </c>
      <c r="BK286">
        <f>IF(ISBLANK('Data Entry'!$$286), "", 'Data Entry'!$$286)</f>
      </c>
      <c r="BL286">
        <f>IF(ISBLANK('Data Entry'!$$286), "", 'Data Entry'!$$286)</f>
      </c>
      <c r="BM286">
        <f>IF(ISBLANK('Data Entry'!$$286), "", 'Data Entry'!$$286)</f>
      </c>
      <c r="BN286">
        <f>IF(ISBLANK('Data Entry'!$$286), "", 'Data Entry'!$$286)</f>
      </c>
      <c r="BO286">
        <f>IF(ISBLANK('Data Entry'!$$286), "", 'Data Entry'!$$286)</f>
      </c>
      <c r="BP286">
        <f>IF(ISBLANK('Data Entry'!$$286), "", 'Data Entry'!$$286)</f>
      </c>
      <c r="BQ286">
        <f>IF(ISBLANK('Data Entry'!$$286), "", 'Data Entry'!$$286)</f>
      </c>
      <c r="BR286">
        <f>IF(ISBLANK('Data Entry'!$$286), "", 'Data Entry'!$$286)</f>
      </c>
      <c r="BS286">
        <f>IF(ISBLANK('Data Entry'!$$286), "", 'Data Entry'!$$286)</f>
      </c>
      <c r="BT286">
        <f>IF(ISBLANK('Data Entry'!$$286), "", 'Data Entry'!$$286)</f>
      </c>
      <c r="BU286">
        <f>IF(ISBLANK('Data Entry'!$$286), "", 'Data Entry'!$$286)</f>
      </c>
      <c r="BV286">
        <f>IF(ISBLANK('Data Entry'!$$286), "", 'Data Entry'!$$286)</f>
      </c>
      <c r="BW286">
        <f>IF(ISBLANK('Data Entry'!$$286), "", 'Data Entry'!$$286)</f>
      </c>
      <c r="BX286">
        <f>IF(ISBLANK('Data Entry'!$$286), "", 'Data Entry'!$$286)</f>
      </c>
      <c r="BY286">
        <f>IF(ISBLANK('Data Entry'!$$286), "", 'Data Entry'!$$286)</f>
      </c>
      <c r="BZ286">
        <f>IF(ISBLANK('Data Entry'!$$286), "", 'Data Entry'!$$286)</f>
      </c>
      <c r="CA286">
        <f>IF(ISBLANK('Data Entry'!$$286), "", 'Data Entry'!$$286)</f>
      </c>
      <c r="CB286">
        <f>IF(ISBLANK('Data Entry'!$$286), "", 'Data Entry'!$$286)</f>
      </c>
      <c r="CC286">
        <f>IF(ISBLANK('Data Entry'!$$286), "", 'Data Entry'!$$286)</f>
      </c>
      <c r="CD286">
        <f>IF(ISBLANK('Data Entry'!$$286), "", 'Data Entry'!$$286)</f>
      </c>
      <c r="CE286">
        <f>IF(ISBLANK('Data Entry'!$$286), "", 'Data Entry'!$$286)</f>
      </c>
      <c r="CF286">
        <f>IF(ISBLANK('Data Entry'!$$286), "", 'Data Entry'!$$286)</f>
      </c>
      <c r="CG286">
        <f>IF(ISBLANK('Data Entry'!$$286), "", 'Data Entry'!$$286)</f>
      </c>
      <c r="CH286">
        <f>IF(ISBLANK('Data Entry'!$$286), "", 'Data Entry'!$$286)</f>
      </c>
      <c r="CI286">
        <f>IF(ISBLANK('Data Entry'!$$286), "", 'Data Entry'!$$286)</f>
      </c>
      <c r="CJ286">
        <f>IF(ISBLANK('Data Entry'!$$286), "", 'Data Entry'!$$286)</f>
      </c>
      <c r="CK286">
        <f>IF(ISBLANK('Data Entry'!$$286), "", 'Data Entry'!$$286)</f>
      </c>
      <c r="CL286">
        <f>IF(ISBLANK('Data Entry'!$$286), "", 'Data Entry'!$$286)</f>
      </c>
      <c r="CM286">
        <f>IF(ISBLANK('Data Entry'!$$286), "", 'Data Entry'!$$286)</f>
      </c>
      <c r="CN286">
        <f>IF(ISBLANK('Data Entry'!$$286), "", 'Data Entry'!$$286)</f>
      </c>
      <c r="CO286">
        <f>IF(ISBLANK('Data Entry'!$$286), "", 'Data Entry'!$$286)</f>
      </c>
      <c r="CP286">
        <f>IF(ISBLANK('Data Entry'!$$286), "", 'Data Entry'!$$286)</f>
      </c>
      <c r="CQ286">
        <f>IF(ISBLANK('Data Entry'!$$286), "", 'Data Entry'!$$286)</f>
      </c>
      <c r="CR286">
        <f>IF(ISBLANK('Data Entry'!$ $286), "", 'Data Entry'!$ $286)</f>
      </c>
      <c r="CS286">
        <f>IF(ISBLANK('Data Entry'!$¡$286), "", 'Data Entry'!$¡$286)</f>
      </c>
      <c r="CT286">
        <f>IF(ISBLANK('Data Entry'!$¢$286), "", 'Data Entry'!$¢$286)</f>
      </c>
      <c r="CU286">
        <f>IF(ISBLANK('Data Entry'!$£$286), "", 'Data Entry'!$£$286)</f>
      </c>
      <c r="CV286">
        <f>IF(ISBLANK('Data Entry'!$¤$286), "", 'Data Entry'!$¤$286)</f>
      </c>
      <c r="CW286">
        <f>IF(ISBLANK('Data Entry'!$¥$286), "", 'Data Entry'!$¥$286)</f>
      </c>
      <c r="CX286">
        <f>IF(ISBLANK('Data Entry'!$¦$286), "", 'Data Entry'!$¦$286)</f>
      </c>
      <c r="CY286">
        <f>IF(ISBLANK('Data Entry'!$§$286), "", 'Data Entry'!$§$286)</f>
      </c>
      <c r="CZ286">
        <f>IF(ISBLANK('Data Entry'!$¨$286), "", 'Data Entry'!$¨$286)</f>
      </c>
      <c r="DA286">
        <f>IF(ISBLANK('Data Entry'!$©$286), "", 'Data Entry'!$©$286)</f>
      </c>
      <c r="DB286">
        <f>IF(ISBLANK('Data Entry'!$ª$286), "", 'Data Entry'!$ª$286)</f>
      </c>
      <c r="DC286">
        <f>IF(ISBLANK('Data Entry'!$«$286), "", 'Data Entry'!$«$286)</f>
      </c>
      <c r="DD286">
        <f>IF(ISBLANK('Data Entry'!$¬$286), "", 'Data Entry'!$¬$286)</f>
      </c>
      <c r="DE286">
        <f>IF(ISBLANK('Data Entry'!$­$286), "", 'Data Entry'!$­$286)</f>
      </c>
      <c r="DF286">
        <f>IF(ISBLANK('Data Entry'!$®$286), "", 'Data Entry'!$®$286)</f>
      </c>
      <c r="DG286">
        <f>IF(ISBLANK('Data Entry'!$¯$286), "", 'Data Entry'!$¯$286)</f>
      </c>
      <c r="DH286">
        <f>IF(ISBLANK('Data Entry'!$°$286), "", 'Data Entry'!$°$286)</f>
      </c>
      <c r="DI286">
        <f>IF(ISBLANK('Data Entry'!$±$286), "", 'Data Entry'!$±$286)</f>
      </c>
      <c r="DJ286">
        <f>IF(ISBLANK('Data Entry'!$²$286), "", 'Data Entry'!$²$286)</f>
      </c>
      <c r="DK286">
        <f>IF(ISBLANK('Data Entry'!$³$286), "", 'Data Entry'!$³$286)</f>
      </c>
      <c r="DL286">
        <f>IF(ISBLANK('Data Entry'!$´$286), "", 'Data Entry'!$´$286)</f>
      </c>
      <c r="DM286">
        <f>IF(ISBLANK('Data Entry'!$µ$286), "", 'Data Entry'!$µ$286)</f>
      </c>
      <c r="DN286">
        <f>IF(ISBLANK('Data Entry'!$¶$286), "", 'Data Entry'!$¶$286)</f>
      </c>
      <c r="DO286">
        <f>IF(ISBLANK('Data Entry'!$·$286), "", 'Data Entry'!$·$286)</f>
      </c>
      <c r="DP286">
        <f>IF(ISBLANK('Data Entry'!$¸$286), "", 'Data Entry'!$¸$286)</f>
      </c>
      <c r="DQ286">
        <f>IF(ISBLANK('Data Entry'!$¹$286), "", 'Data Entry'!$¹$286)</f>
      </c>
      <c r="DR286">
        <f>IF(ISBLANK('Data Entry'!$º$286), "", 'Data Entry'!$º$286)</f>
      </c>
      <c r="DS286">
        <f>IF(ISBLANK('Data Entry'!$»$286), "", 'Data Entry'!$»$286)</f>
      </c>
      <c r="DT286">
        <f>IF(ISBLANK('Data Entry'!$¼$286), "", 'Data Entry'!$¼$286)</f>
      </c>
      <c r="DU286">
        <f>IF(ISBLANK('Data Entry'!$½$286), "", 'Data Entry'!$½$286)</f>
      </c>
      <c r="DV286">
        <f>IF(ISBLANK('Data Entry'!$¾$286), "", 'Data Entry'!$¾$286)</f>
      </c>
      <c r="DW286">
        <f>IF(ISBLANK('Data Entry'!$¿$286), "", 'Data Entry'!$¿$286)</f>
      </c>
      <c r="DX286">
        <f>IF(ISBLANK('Data Entry'!$À$286), "", 'Data Entry'!$À$286)</f>
      </c>
      <c r="DY286">
        <f>IF(ISBLANK('Data Entry'!$Á$286), "", 'Data Entry'!$Á$286)</f>
      </c>
      <c r="DZ286">
        <f>IF(ISBLANK('Data Entry'!$Â$286), "", 'Data Entry'!$Â$286)</f>
      </c>
      <c r="EA286">
        <f>IF(ISBLANK('Data Entry'!$Ã$286), "", 'Data Entry'!$Ã$286)</f>
      </c>
      <c r="EB286">
        <f>IF(ISBLANK('Data Entry'!$Ä$286), "", 'Data Entry'!$Ä$286)</f>
      </c>
      <c r="EC286">
        <f>IF(ISBLANK('Data Entry'!$Å$286), "", 'Data Entry'!$Å$286)</f>
      </c>
      <c r="ED286">
        <f>IF(ISBLANK('Data Entry'!$Æ$286), "", 'Data Entry'!$Æ$286)</f>
      </c>
      <c r="EE286">
        <f>IF(ISBLANK('Data Entry'!$Ç$286), "", 'Data Entry'!$Ç$286)</f>
      </c>
      <c r="EF286">
        <f>IF(ISBLANK('Data Entry'!$È$286), "", 'Data Entry'!$È$286)</f>
      </c>
      <c r="EG286">
        <f>IF(ISBLANK('Data Entry'!$É$286), "", 'Data Entry'!$É$286)</f>
      </c>
      <c r="EH286">
        <f>IF(ISBLANK('Data Entry'!$Ê$286), "", 'Data Entry'!$Ê$286)</f>
      </c>
      <c r="EI286">
        <f>IF(ISBLANK('Data Entry'!$Ë$286), "", 'Data Entry'!$Ë$286)</f>
      </c>
      <c r="EJ286">
        <f>IF(ISBLANK('Data Entry'!$Ì$286), "", 'Data Entry'!$Ì$286)</f>
      </c>
      <c r="EK286">
        <f>IF(ISBLANK('Data Entry'!$Í$286), "", 'Data Entry'!$Í$286)</f>
      </c>
      <c r="EL286">
        <f>IF(ISBLANK('Data Entry'!$Î$286), "", 'Data Entry'!$Î$286)</f>
      </c>
      <c r="EM286">
        <f>IF(ISBLANK('Data Entry'!$Ï$286), "", 'Data Entry'!$Ï$286)</f>
      </c>
      <c r="EN286">
        <f>IF(ISBLANK('Data Entry'!$Ð$286), "", 'Data Entry'!$Ð$286)</f>
      </c>
      <c r="EO286">
        <f>IF(ISBLANK('Data Entry'!$Ñ$286), "", 'Data Entry'!$Ñ$286)</f>
      </c>
      <c r="EP286">
        <f>IF(ISBLANK('Data Entry'!$Ò$286), "", 'Data Entry'!$Ò$286)</f>
      </c>
      <c r="EQ286">
        <f>IF(ISBLANK('Data Entry'!$Ó$286), "", 'Data Entry'!$Ó$286)</f>
      </c>
      <c r="ER286">
        <f>IF(ISBLANK('Data Entry'!$Ô$286), "", 'Data Entry'!$Ô$286)</f>
      </c>
      <c r="ES286">
        <f>IF(ISBLANK('Data Entry'!$Õ$286), "", 'Data Entry'!$Õ$286)</f>
      </c>
      <c r="ET286">
        <f>IF(ISBLANK('Data Entry'!$Ö$286), "", 'Data Entry'!$Ö$286)</f>
      </c>
      <c r="EU286">
        <f>IF(ISBLANK('Data Entry'!$×$286), "", 'Data Entry'!$×$286)</f>
      </c>
      <c r="EV286">
        <f>IF(ISBLANK('Data Entry'!$Ø$286), "", 'Data Entry'!$Ø$286)</f>
      </c>
      <c r="EW286">
        <f>IF(ISBLANK('Data Entry'!$Ù$286), "", 'Data Entry'!$Ù$286)</f>
      </c>
      <c r="EX286">
        <f>IF(ISBLANK('Data Entry'!$Ú$286), "", 'Data Entry'!$Ú$286)</f>
      </c>
      <c r="EY286">
        <f>IF(ISBLANK('Data Entry'!$Û$286), "", 'Data Entry'!$Û$286)</f>
      </c>
      <c r="EZ286">
        <f>IF(ISBLANK('Data Entry'!$Ü$286), "", 'Data Entry'!$Ü$286)</f>
      </c>
      <c r="FA286">
        <f>IF(ISBLANK('Data Entry'!$Ý$286), "", 'Data Entry'!$Ý$286)</f>
      </c>
      <c r="FB286">
        <f>IF(ISBLANK('Data Entry'!$Þ$286), "", 'Data Entry'!$Þ$286)</f>
      </c>
      <c r="FC286">
        <f>IF(ISBLANK('Data Entry'!$ß$286), "", 'Data Entry'!$ß$286)</f>
      </c>
      <c r="FD286">
        <f>IF(ISBLANK('Data Entry'!$à$286), "", 'Data Entry'!$à$286)</f>
      </c>
      <c r="FE286">
        <f>IF(ISBLANK('Data Entry'!$á$286), "", 'Data Entry'!$á$286)</f>
      </c>
      <c r="FF286">
        <f>IF(ISBLANK('Data Entry'!$â$286), "", 'Data Entry'!$â$286)</f>
      </c>
      <c r="FG286">
        <f>IF(ISBLANK('Data Entry'!$ã$286), "", 'Data Entry'!$ã$286)</f>
      </c>
      <c r="FH286">
        <f>IF(ISBLANK('Data Entry'!$ä$286), "", 'Data Entry'!$ä$286)</f>
      </c>
      <c r="FI286">
        <f>IF(ISBLANK('Data Entry'!$å$286), "", 'Data Entry'!$å$286)</f>
      </c>
      <c r="FJ286">
        <f>IF(ISBLANK('Data Entry'!$æ$286), "", 'Data Entry'!$æ$286)</f>
      </c>
      <c r="FK286">
        <f>IF(ISBLANK('Data Entry'!$ç$286), "", 'Data Entry'!$ç$286)</f>
      </c>
      <c r="FL286">
        <f>IF(ISBLANK('Data Entry'!$è$286), "", 'Data Entry'!$è$286)</f>
      </c>
      <c r="FM286">
        <f>IF(ISBLANK('Data Entry'!$é$286), "", 'Data Entry'!$é$286)</f>
      </c>
      <c r="FN286">
        <f>IF(ISBLANK('Data Entry'!$ê$286), "", 'Data Entry'!$ê$286)</f>
      </c>
      <c r="FO286">
        <f>IF(ISBLANK('Data Entry'!$ë$286), "", 'Data Entry'!$ë$286)</f>
      </c>
      <c r="FP286">
        <f>IF(ISBLANK('Data Entry'!$ì$286), "", 'Data Entry'!$ì$286)</f>
      </c>
      <c r="FQ286">
        <f>IF(ISBLANK('Data Entry'!$í$286), "", 'Data Entry'!$í$286)</f>
      </c>
      <c r="FR286">
        <f>IF(ISBLANK('Data Entry'!$î$286), "", 'Data Entry'!$î$286)</f>
      </c>
      <c r="FS286">
        <f>IF(ISBLANK('Data Entry'!$ï$286), "", 'Data Entry'!$ï$286)</f>
      </c>
      <c r="FT286">
        <f>IF(ISBLANK('Data Entry'!$ð$286), "", 'Data Entry'!$ð$286)</f>
      </c>
      <c r="FU286">
        <f>IF(ISBLANK('Data Entry'!$ñ$286), "", 'Data Entry'!$ñ$286)</f>
      </c>
      <c r="FV286">
        <f>IF(ISBLANK('Data Entry'!$ò$286), "", 'Data Entry'!$ò$286)</f>
      </c>
      <c r="FW286">
        <f>IF(ISBLANK('Data Entry'!$ó$286), "", 'Data Entry'!$ó$286)</f>
      </c>
      <c r="FX286">
        <f>IF(ISBLANK('Data Entry'!$ô$286), "", 'Data Entry'!$ô$286)</f>
      </c>
      <c r="FY286">
        <f>IF(ISBLANK('Data Entry'!$õ$286), "", 'Data Entry'!$õ$286)</f>
      </c>
      <c r="FZ286">
        <f>IF(ISBLANK('Data Entry'!$ö$286), "", 'Data Entry'!$ö$286)</f>
      </c>
      <c r="GA286">
        <f>IF(ISBLANK('Data Entry'!$÷$286), "", 'Data Entry'!$÷$286)</f>
      </c>
      <c r="GB286">
        <f>IF(ISBLANK('Data Entry'!$ø$286), "", 'Data Entry'!$ø$286)</f>
      </c>
      <c r="GC286">
        <f>IF(ISBLANK('Data Entry'!$ù$286), "", 'Data Entry'!$ù$286)</f>
      </c>
      <c r="GD286">
        <f>IF(ISBLANK('Data Entry'!$ú$286), "", 'Data Entry'!$ú$286)</f>
      </c>
      <c r="GE286">
        <f>IF(ISBLANK('Data Entry'!$û$286), "", 'Data Entry'!$û$286)</f>
      </c>
      <c r="GF286">
        <f>IF(ISBLANK('Data Entry'!$ü$286), "", 'Data Entry'!$ü$286)</f>
      </c>
      <c r="GG286">
        <f>IF(ISBLANK('Data Entry'!$ý$286), "", 'Data Entry'!$ý$286)</f>
      </c>
      <c r="GH286">
        <f>IF(ISBLANK('Data Entry'!$þ$286), "", 'Data Entry'!$þ$286)</f>
      </c>
      <c r="GI286">
        <f>IF(ISBLANK('Data Entry'!$ÿ$286), "", 'Data Entry'!$ÿ$286)</f>
      </c>
      <c r="GJ286">
        <f>IF(ISBLANK('Data Entry'!$Ā$286), "", 'Data Entry'!$Ā$286)</f>
      </c>
      <c r="GK286">
        <f>IF(ISBLANK('Data Entry'!$ā$286), "", 'Data Entry'!$ā$286)</f>
      </c>
      <c r="GL286">
        <f>IF(ISBLANK('Data Entry'!$Ă$286), "", 'Data Entry'!$Ă$286)</f>
      </c>
      <c r="GM286">
        <f>IF(ISBLANK('Data Entry'!$ă$286), "", 'Data Entry'!$ă$286)</f>
      </c>
      <c r="GN286">
        <f>IF(ISBLANK('Data Entry'!$Ą$286), "", 'Data Entry'!$Ą$286)</f>
      </c>
      <c r="GO286">
        <f>IF(ISBLANK('Data Entry'!$ą$286), "", 'Data Entry'!$ą$286)</f>
      </c>
      <c r="GP286">
        <f>IF(ISBLANK('Data Entry'!$Ć$286), "", 'Data Entry'!$Ć$286)</f>
      </c>
      <c r="GQ286">
        <f>IF(ISBLANK('Data Entry'!$ć$286), "", 'Data Entry'!$ć$286)</f>
      </c>
      <c r="GR286">
        <f>IF(ISBLANK('Data Entry'!$Ĉ$286), "", 'Data Entry'!$Ĉ$286)</f>
      </c>
      <c r="GS286">
        <f>IF(ISBLANK('Data Entry'!$ĉ$286), "", 'Data Entry'!$ĉ$286)</f>
      </c>
      <c r="GT286">
        <f>IF(ISBLANK('Data Entry'!$Ċ$286), "", 'Data Entry'!$Ċ$286)</f>
      </c>
      <c r="GU286">
        <f>IF(ISBLANK('Data Entry'!$ċ$286), "", 'Data Entry'!$ċ$286)</f>
      </c>
      <c r="GV286">
        <f>IF(ISBLANK('Data Entry'!$Č$286), "", 'Data Entry'!$Č$286)</f>
      </c>
      <c r="GW286">
        <f>IF(ISBLANK('Data Entry'!$č$286), "", 'Data Entry'!$č$286)</f>
      </c>
      <c r="GX286">
        <f>IF(ISBLANK('Data Entry'!$Ď$286), "", 'Data Entry'!$Ď$286)</f>
      </c>
      <c r="GY286">
        <f>IF(ISBLANK('Data Entry'!$ď$286), "", 'Data Entry'!$ď$286)</f>
      </c>
      <c r="GZ286">
        <f>IF(ISBLANK('Data Entry'!$Đ$286), "", 'Data Entry'!$Đ$286)</f>
      </c>
      <c r="HA286">
        <f>IF(ISBLANK('Data Entry'!$đ$286), "", 'Data Entry'!$đ$286)</f>
      </c>
      <c r="HB286">
        <f>IF(ISBLANK('Data Entry'!$Ē$286), "", 'Data Entry'!$Ē$286)</f>
      </c>
      <c r="HC286">
        <f>IF(ISBLANK('Data Entry'!$ē$286), "", 'Data Entry'!$ē$286)</f>
      </c>
      <c r="HD286">
        <f>IF(ISBLANK('Data Entry'!$Ĕ$286), "", 'Data Entry'!$Ĕ$286)</f>
      </c>
      <c r="HE286">
        <f>IF(ISBLANK('Data Entry'!$ĕ$286), "", 'Data Entry'!$ĕ$286)</f>
      </c>
      <c r="HF286">
        <f>IF(ISBLANK('Data Entry'!$Ė$286), "", 'Data Entry'!$Ė$286)</f>
      </c>
      <c r="HG286">
        <f>IF(ISBLANK('Data Entry'!$ė$286), "", 'Data Entry'!$ė$286)</f>
      </c>
      <c r="HH286">
        <f>IF(ISBLANK('Data Entry'!$Ę$286), "", 'Data Entry'!$Ę$286)</f>
      </c>
      <c r="HI286">
        <f>IF(ISBLANK('Data Entry'!$ę$286), "", 'Data Entry'!$ę$286)</f>
      </c>
      <c r="HJ286">
        <f>IF(ISBLANK('Data Entry'!$Ě$286), "", 'Data Entry'!$Ě$286)</f>
      </c>
      <c r="HK286">
        <f>IF(ISBLANK('Data Entry'!$ě$286), "", 'Data Entry'!$ě$286)</f>
      </c>
      <c r="HL286">
        <f>IF(ISBLANK('Data Entry'!$Ĝ$286), "", 'Data Entry'!$Ĝ$286)</f>
      </c>
      <c r="HM286">
        <f>IF(ISBLANK('Data Entry'!$ĝ$286), "", 'Data Entry'!$ĝ$286)</f>
      </c>
      <c r="HN286">
        <f>IF(ISBLANK('Data Entry'!$Ğ$286), "", 'Data Entry'!$Ğ$286)</f>
      </c>
      <c r="HO286">
        <f>IF(ISBLANK('Data Entry'!$ğ$286), "", 'Data Entry'!$ğ$286)</f>
      </c>
      <c r="HP286">
        <f>IF(ISBLANK('Data Entry'!$Ġ$286), "", 'Data Entry'!$Ġ$286)</f>
      </c>
      <c r="HQ286">
        <f>IF(ISBLANK('Data Entry'!$ġ$286), "", 'Data Entry'!$ġ$286)</f>
      </c>
      <c r="HR286">
        <f>IF(ISBLANK('Data Entry'!$Ģ$286), "", 'Data Entry'!$Ģ$286)</f>
      </c>
      <c r="HS286">
        <f>IF(ISBLANK('Data Entry'!$ģ$286), "", 'Data Entry'!$ģ$286)</f>
      </c>
      <c r="HT286">
        <f>IF(ISBLANK('Data Entry'!$Ĥ$286), "", 'Data Entry'!$Ĥ$286)</f>
      </c>
      <c r="HU286">
        <f>IF(ISBLANK('Data Entry'!$ĥ$286), "", 'Data Entry'!$ĥ$286)</f>
      </c>
      <c r="HV286">
        <f>IF(ISBLANK('Data Entry'!$Ħ$286), "", 'Data Entry'!$Ħ$286)</f>
      </c>
      <c r="HW286">
        <f>IF(ISBLANK('Data Entry'!$ħ$286), "", 'Data Entry'!$ħ$286)</f>
      </c>
      <c r="HX286">
        <f>IF(ISBLANK('Data Entry'!$Ĩ$286), "", 'Data Entry'!$Ĩ$286)</f>
      </c>
      <c r="HY286">
        <f>IF(ISBLANK('Data Entry'!$ĩ$286), "", 'Data Entry'!$ĩ$286)</f>
      </c>
      <c r="HZ286">
        <f>IF(ISBLANK('Data Entry'!$Ī$286), "", 'Data Entry'!$Ī$286)</f>
      </c>
      <c r="IA286">
        <f>IF(ISBLANK('Data Entry'!$ī$286), "", 'Data Entry'!$ī$286)</f>
      </c>
      <c r="IB286">
        <f>IF(ISBLANK('Data Entry'!$Ĭ$286), "", 'Data Entry'!$Ĭ$286)</f>
      </c>
      <c r="IC286">
        <f>IF(ISBLANK('Data Entry'!$ĭ$286), "", 'Data Entry'!$ĭ$286)</f>
      </c>
      <c r="ID286">
        <f>IF(ISBLANK('Data Entry'!$Į$286), "", 'Data Entry'!$Į$286)</f>
      </c>
      <c r="IE286">
        <f>IF(ISBLANK('Data Entry'!$į$286), "", 'Data Entry'!$į$286)</f>
      </c>
      <c r="IF286">
        <f>IF(ISBLANK('Data Entry'!$İ$286), "", 'Data Entry'!$İ$286)</f>
      </c>
      <c r="IG286">
        <f>IF(ISBLANK('Data Entry'!$ı$286), "", 'Data Entry'!$ı$286)</f>
      </c>
      <c r="IH286">
        <f>IF(ISBLANK('Data Entry'!$Ĳ$286), "", 'Data Entry'!$Ĳ$286)</f>
      </c>
      <c r="II286">
        <f>IF(ISBLANK('Data Entry'!$ĳ$286), "", 'Data Entry'!$ĳ$286)</f>
      </c>
      <c r="IJ286">
        <f>IF(ISBLANK('Data Entry'!$Ĵ$286), "", 'Data Entry'!$Ĵ$286)</f>
      </c>
      <c r="IK286">
        <f>IF(ISBLANK('Data Entry'!$ĵ$286), "", 'Data Entry'!$ĵ$286)</f>
      </c>
      <c r="IL286">
        <f>IF(ISBLANK('Data Entry'!$Ķ$286), "", 'Data Entry'!$Ķ$286)</f>
      </c>
      <c r="IM286">
        <f>IF(ISBLANK('Data Entry'!$ķ$286), "", 'Data Entry'!$ķ$286)</f>
      </c>
      <c r="IN286">
        <f>IF(ISBLANK('Data Entry'!$ĸ$286), "", 'Data Entry'!$ĸ$286)</f>
      </c>
      <c r="IO286">
        <f>IF(ISBLANK('Data Entry'!$Ĺ$286), "", 'Data Entry'!$Ĺ$286)</f>
      </c>
      <c r="IP286">
        <f>IF(ISBLANK('Data Entry'!$ĺ$286), "", 'Data Entry'!$ĺ$286)</f>
      </c>
      <c r="IQ286">
        <f>IF(ISBLANK('Data Entry'!$Ļ$286), "", 'Data Entry'!$Ļ$286)</f>
      </c>
      <c r="IR286">
        <f>IF(ISBLANK('Data Entry'!$ļ$286), "", 'Data Entry'!$ļ$286)</f>
      </c>
      <c r="IS286">
        <f>IF(ISBLANK('Data Entry'!$Ľ$286), "", 'Data Entry'!$Ľ$286)</f>
      </c>
      <c r="IT286">
        <f>IF(ISBLANK('Data Entry'!$ľ$286), "", 'Data Entry'!$ľ$286)</f>
      </c>
    </row>
    <row r="287" spans="1:254" x14ac:dyDescent="0.25">
      <c r="A287">
        <f>IF(ISBLANK('Data Entry'!$A$287), "", 'Data Entry'!$A$287)</f>
      </c>
      <c r="B287">
        <f>IF(ISBLANK('Data Entry'!$B$287), "", 'Data Entry'!$B$287)</f>
      </c>
      <c r="C287">
        <f>IF(ISBLANK('Data Entry'!$C$287), "", 'Data Entry'!$C$287)</f>
      </c>
      <c r="D287">
        <f>IF(ISBLANK('Data Entry'!$D$287), "", 'Data Entry'!$D$287)</f>
      </c>
      <c r="E287">
        <f>IF(ISBLANK('Data Entry'!$E$287), "", 'Data Entry'!$E$287)</f>
      </c>
      <c r="F287">
        <f>IF(ISBLANK('Data Entry'!$F$287), "", 'Data Entry'!$F$287)</f>
      </c>
      <c r="G287">
        <f>IF(ISBLANK('Data Entry'!$G$287), "", 'Data Entry'!$G$287)</f>
      </c>
      <c r="H287">
        <f>IF(ISBLANK('Data Entry'!$H$287), "", 'Data Entry'!$H$287)</f>
      </c>
      <c r="I287">
        <f>IF(ISBLANK('Data Entry'!$I$287), "", 'Data Entry'!$I$287)</f>
      </c>
      <c r="J287">
        <f>IF(ISBLANK('Data Entry'!$J$287), "", 'Data Entry'!$J$287)</f>
      </c>
      <c r="K287">
        <f>IF(ISBLANK('Data Entry'!$K$287), "", 'Data Entry'!$K$287)</f>
      </c>
      <c r="L287">
        <f>IF(ISBLANK('Data Entry'!$L$287), "", 'Data Entry'!$L$287)</f>
      </c>
      <c r="M287">
        <f>IF(ISBLANK('Data Entry'!$M$287), "", 'Data Entry'!$M$287)</f>
      </c>
      <c r="N287">
        <f>IF(ISBLANK('Data Entry'!$N$287), "", 'Data Entry'!$N$287)</f>
      </c>
      <c r="O287">
        <f>IF(ISBLANK('Data Entry'!$O$287), "", 'Data Entry'!$O$287)</f>
      </c>
      <c r="P287">
        <f>IF(ISBLANK('Data Entry'!$P$287), "", 'Data Entry'!$P$287)</f>
      </c>
      <c r="Q287">
        <f>IF(ISBLANK('Data Entry'!$Q$287), "", 'Data Entry'!$Q$287)</f>
      </c>
      <c r="R287">
        <f>IF(ISBLANK('Data Entry'!$R$287), "", 'Data Entry'!$R$287)</f>
      </c>
      <c r="S287">
        <f>IF(ISBLANK('Data Entry'!$S$287), "", 'Data Entry'!$S$287)</f>
      </c>
      <c r="T287">
        <f>IF(ISBLANK('Data Entry'!$T$287), "", 'Data Entry'!$T$287)</f>
      </c>
      <c r="U287">
        <f>IF(ISBLANK('Data Entry'!$U$287), "", 'Data Entry'!$U$287)</f>
      </c>
      <c r="V287">
        <f>IF(ISBLANK('Data Entry'!$V$287), "", 'Data Entry'!$V$287)</f>
      </c>
      <c r="W287">
        <f>IF(ISBLANK('Data Entry'!$W$287), "", 'Data Entry'!$W$287)</f>
      </c>
      <c r="X287">
        <f>IF(ISBLANK('Data Entry'!$X$287), "", 'Data Entry'!$X$287)</f>
      </c>
      <c r="Y287">
        <f>IF(ISBLANK('Data Entry'!$Y$287), "", 'Data Entry'!$Y$287)</f>
      </c>
      <c r="Z287">
        <f>IF(ISBLANK('Data Entry'!$Z$287), "", 'Data Entry'!$Z$287)</f>
      </c>
      <c r="AA287">
        <f>IF(ISBLANK('Data Entry'!$[$287), "", 'Data Entry'!$[$287)</f>
      </c>
      <c r="AB287">
        <f>IF(ISBLANK('Data Entry'!$\$287), "", 'Data Entry'!$\$287)</f>
      </c>
      <c r="AC287">
        <f>IF(ISBLANK('Data Entry'!$]$287), "", 'Data Entry'!$]$287)</f>
      </c>
      <c r="AD287">
        <f>IF(ISBLANK('Data Entry'!$^$287), "", 'Data Entry'!$^$287)</f>
      </c>
      <c r="AE287">
        <f>IF(ISBLANK('Data Entry'!$_$287), "", 'Data Entry'!$_$287)</f>
      </c>
      <c r="AF287">
        <f>IF(ISBLANK('Data Entry'!$`$287), "", 'Data Entry'!$`$287)</f>
      </c>
      <c r="AG287">
        <f>IF(ISBLANK('Data Entry'!$a$287), "", 'Data Entry'!$a$287)</f>
      </c>
      <c r="AH287">
        <f>IF(ISBLANK('Data Entry'!$b$287), "", 'Data Entry'!$b$287)</f>
      </c>
      <c r="AI287">
        <f>IF(ISBLANK('Data Entry'!$c$287), "", 'Data Entry'!$c$287)</f>
      </c>
      <c r="AJ287">
        <f>IF(ISBLANK('Data Entry'!$d$287), "", 'Data Entry'!$d$287)</f>
      </c>
      <c r="AK287">
        <f>IF(ISBLANK('Data Entry'!$e$287), "", 'Data Entry'!$e$287)</f>
      </c>
      <c r="AL287">
        <f>IF(ISBLANK('Data Entry'!$f$287), "", 'Data Entry'!$f$287)</f>
      </c>
      <c r="AM287">
        <f>IF(ISBLANK('Data Entry'!$g$287), "", 'Data Entry'!$g$287)</f>
      </c>
      <c r="AN287">
        <f>IF(ISBLANK('Data Entry'!$h$287), "", 'Data Entry'!$h$287)</f>
      </c>
      <c r="AO287">
        <f>IF(ISBLANK('Data Entry'!$i$287), "", 'Data Entry'!$i$287)</f>
      </c>
      <c r="AP287">
        <f>IF(ISBLANK('Data Entry'!$j$287), "", 'Data Entry'!$j$287)</f>
      </c>
      <c r="AQ287">
        <f>IF(ISBLANK('Data Entry'!$k$287), "", 'Data Entry'!$k$287)</f>
      </c>
      <c r="AR287">
        <f>IF(ISBLANK('Data Entry'!$l$287), "", 'Data Entry'!$l$287)</f>
      </c>
      <c r="AS287">
        <f>IF(ISBLANK('Data Entry'!$m$287), "", 'Data Entry'!$m$287)</f>
      </c>
      <c r="AT287">
        <f>IF(ISBLANK('Data Entry'!$n$287), "", 'Data Entry'!$n$287)</f>
      </c>
      <c r="AU287">
        <f>IF(ISBLANK('Data Entry'!$o$287), "", 'Data Entry'!$o$287)</f>
      </c>
      <c r="AV287">
        <f>IF(ISBLANK('Data Entry'!$p$287), "", 'Data Entry'!$p$287)</f>
      </c>
      <c r="AW287">
        <f>IF(ISBLANK('Data Entry'!$q$287), "", 'Data Entry'!$q$287)</f>
      </c>
      <c r="AX287">
        <f>IF(ISBLANK('Data Entry'!$r$287), "", 'Data Entry'!$r$287)</f>
      </c>
      <c r="AY287">
        <f>IF(ISBLANK('Data Entry'!$s$287), "", 'Data Entry'!$s$287)</f>
      </c>
      <c r="AZ287">
        <f>IF(ISBLANK('Data Entry'!$t$287), "", 'Data Entry'!$t$287)</f>
      </c>
      <c r="BA287">
        <f>IF(ISBLANK('Data Entry'!$u$287), "", 'Data Entry'!$u$287)</f>
      </c>
      <c r="BB287">
        <f>IF(ISBLANK('Data Entry'!$v$287), "", 'Data Entry'!$v$287)</f>
      </c>
      <c r="BC287">
        <f>IF(ISBLANK('Data Entry'!$w$287), "", 'Data Entry'!$w$287)</f>
      </c>
      <c r="BD287">
        <f>IF(ISBLANK('Data Entry'!$x$287), "", 'Data Entry'!$x$287)</f>
      </c>
      <c r="BE287">
        <f>IF(ISBLANK('Data Entry'!$y$287), "", 'Data Entry'!$y$287)</f>
      </c>
      <c r="BF287">
        <f>IF(ISBLANK('Data Entry'!$z$287), "", 'Data Entry'!$z$287)</f>
      </c>
      <c r="BG287">
        <f>IF(ISBLANK('Data Entry'!${$287), "", 'Data Entry'!${$287)</f>
      </c>
      <c r="BH287">
        <f>IF(ISBLANK('Data Entry'!$|$287), "", 'Data Entry'!$|$287)</f>
      </c>
      <c r="BI287">
        <f>IF(ISBLANK('Data Entry'!$}$287), "", 'Data Entry'!$}$287)</f>
      </c>
      <c r="BJ287">
        <f>IF(ISBLANK('Data Entry'!$~$287), "", 'Data Entry'!$~$287)</f>
      </c>
      <c r="BK287">
        <f>IF(ISBLANK('Data Entry'!$$287), "", 'Data Entry'!$$287)</f>
      </c>
      <c r="BL287">
        <f>IF(ISBLANK('Data Entry'!$$287), "", 'Data Entry'!$$287)</f>
      </c>
      <c r="BM287">
        <f>IF(ISBLANK('Data Entry'!$$287), "", 'Data Entry'!$$287)</f>
      </c>
      <c r="BN287">
        <f>IF(ISBLANK('Data Entry'!$$287), "", 'Data Entry'!$$287)</f>
      </c>
      <c r="BO287">
        <f>IF(ISBLANK('Data Entry'!$$287), "", 'Data Entry'!$$287)</f>
      </c>
      <c r="BP287">
        <f>IF(ISBLANK('Data Entry'!$$287), "", 'Data Entry'!$$287)</f>
      </c>
      <c r="BQ287">
        <f>IF(ISBLANK('Data Entry'!$$287), "", 'Data Entry'!$$287)</f>
      </c>
      <c r="BR287">
        <f>IF(ISBLANK('Data Entry'!$$287), "", 'Data Entry'!$$287)</f>
      </c>
      <c r="BS287">
        <f>IF(ISBLANK('Data Entry'!$$287), "", 'Data Entry'!$$287)</f>
      </c>
      <c r="BT287">
        <f>IF(ISBLANK('Data Entry'!$$287), "", 'Data Entry'!$$287)</f>
      </c>
      <c r="BU287">
        <f>IF(ISBLANK('Data Entry'!$$287), "", 'Data Entry'!$$287)</f>
      </c>
      <c r="BV287">
        <f>IF(ISBLANK('Data Entry'!$$287), "", 'Data Entry'!$$287)</f>
      </c>
      <c r="BW287">
        <f>IF(ISBLANK('Data Entry'!$$287), "", 'Data Entry'!$$287)</f>
      </c>
      <c r="BX287">
        <f>IF(ISBLANK('Data Entry'!$$287), "", 'Data Entry'!$$287)</f>
      </c>
      <c r="BY287">
        <f>IF(ISBLANK('Data Entry'!$$287), "", 'Data Entry'!$$287)</f>
      </c>
      <c r="BZ287">
        <f>IF(ISBLANK('Data Entry'!$$287), "", 'Data Entry'!$$287)</f>
      </c>
      <c r="CA287">
        <f>IF(ISBLANK('Data Entry'!$$287), "", 'Data Entry'!$$287)</f>
      </c>
      <c r="CB287">
        <f>IF(ISBLANK('Data Entry'!$$287), "", 'Data Entry'!$$287)</f>
      </c>
      <c r="CC287">
        <f>IF(ISBLANK('Data Entry'!$$287), "", 'Data Entry'!$$287)</f>
      </c>
      <c r="CD287">
        <f>IF(ISBLANK('Data Entry'!$$287), "", 'Data Entry'!$$287)</f>
      </c>
      <c r="CE287">
        <f>IF(ISBLANK('Data Entry'!$$287), "", 'Data Entry'!$$287)</f>
      </c>
      <c r="CF287">
        <f>IF(ISBLANK('Data Entry'!$$287), "", 'Data Entry'!$$287)</f>
      </c>
      <c r="CG287">
        <f>IF(ISBLANK('Data Entry'!$$287), "", 'Data Entry'!$$287)</f>
      </c>
      <c r="CH287">
        <f>IF(ISBLANK('Data Entry'!$$287), "", 'Data Entry'!$$287)</f>
      </c>
      <c r="CI287">
        <f>IF(ISBLANK('Data Entry'!$$287), "", 'Data Entry'!$$287)</f>
      </c>
      <c r="CJ287">
        <f>IF(ISBLANK('Data Entry'!$$287), "", 'Data Entry'!$$287)</f>
      </c>
      <c r="CK287">
        <f>IF(ISBLANK('Data Entry'!$$287), "", 'Data Entry'!$$287)</f>
      </c>
      <c r="CL287">
        <f>IF(ISBLANK('Data Entry'!$$287), "", 'Data Entry'!$$287)</f>
      </c>
      <c r="CM287">
        <f>IF(ISBLANK('Data Entry'!$$287), "", 'Data Entry'!$$287)</f>
      </c>
      <c r="CN287">
        <f>IF(ISBLANK('Data Entry'!$$287), "", 'Data Entry'!$$287)</f>
      </c>
      <c r="CO287">
        <f>IF(ISBLANK('Data Entry'!$$287), "", 'Data Entry'!$$287)</f>
      </c>
      <c r="CP287">
        <f>IF(ISBLANK('Data Entry'!$$287), "", 'Data Entry'!$$287)</f>
      </c>
      <c r="CQ287">
        <f>IF(ISBLANK('Data Entry'!$$287), "", 'Data Entry'!$$287)</f>
      </c>
      <c r="CR287">
        <f>IF(ISBLANK('Data Entry'!$ $287), "", 'Data Entry'!$ $287)</f>
      </c>
      <c r="CS287">
        <f>IF(ISBLANK('Data Entry'!$¡$287), "", 'Data Entry'!$¡$287)</f>
      </c>
      <c r="CT287">
        <f>IF(ISBLANK('Data Entry'!$¢$287), "", 'Data Entry'!$¢$287)</f>
      </c>
      <c r="CU287">
        <f>IF(ISBLANK('Data Entry'!$£$287), "", 'Data Entry'!$£$287)</f>
      </c>
      <c r="CV287">
        <f>IF(ISBLANK('Data Entry'!$¤$287), "", 'Data Entry'!$¤$287)</f>
      </c>
      <c r="CW287">
        <f>IF(ISBLANK('Data Entry'!$¥$287), "", 'Data Entry'!$¥$287)</f>
      </c>
      <c r="CX287">
        <f>IF(ISBLANK('Data Entry'!$¦$287), "", 'Data Entry'!$¦$287)</f>
      </c>
      <c r="CY287">
        <f>IF(ISBLANK('Data Entry'!$§$287), "", 'Data Entry'!$§$287)</f>
      </c>
      <c r="CZ287">
        <f>IF(ISBLANK('Data Entry'!$¨$287), "", 'Data Entry'!$¨$287)</f>
      </c>
      <c r="DA287">
        <f>IF(ISBLANK('Data Entry'!$©$287), "", 'Data Entry'!$©$287)</f>
      </c>
      <c r="DB287">
        <f>IF(ISBLANK('Data Entry'!$ª$287), "", 'Data Entry'!$ª$287)</f>
      </c>
      <c r="DC287">
        <f>IF(ISBLANK('Data Entry'!$«$287), "", 'Data Entry'!$«$287)</f>
      </c>
      <c r="DD287">
        <f>IF(ISBLANK('Data Entry'!$¬$287), "", 'Data Entry'!$¬$287)</f>
      </c>
      <c r="DE287">
        <f>IF(ISBLANK('Data Entry'!$­$287), "", 'Data Entry'!$­$287)</f>
      </c>
      <c r="DF287">
        <f>IF(ISBLANK('Data Entry'!$®$287), "", 'Data Entry'!$®$287)</f>
      </c>
      <c r="DG287">
        <f>IF(ISBLANK('Data Entry'!$¯$287), "", 'Data Entry'!$¯$287)</f>
      </c>
      <c r="DH287">
        <f>IF(ISBLANK('Data Entry'!$°$287), "", 'Data Entry'!$°$287)</f>
      </c>
      <c r="DI287">
        <f>IF(ISBLANK('Data Entry'!$±$287), "", 'Data Entry'!$±$287)</f>
      </c>
      <c r="DJ287">
        <f>IF(ISBLANK('Data Entry'!$²$287), "", 'Data Entry'!$²$287)</f>
      </c>
      <c r="DK287">
        <f>IF(ISBLANK('Data Entry'!$³$287), "", 'Data Entry'!$³$287)</f>
      </c>
      <c r="DL287">
        <f>IF(ISBLANK('Data Entry'!$´$287), "", 'Data Entry'!$´$287)</f>
      </c>
      <c r="DM287">
        <f>IF(ISBLANK('Data Entry'!$µ$287), "", 'Data Entry'!$µ$287)</f>
      </c>
      <c r="DN287">
        <f>IF(ISBLANK('Data Entry'!$¶$287), "", 'Data Entry'!$¶$287)</f>
      </c>
      <c r="DO287">
        <f>IF(ISBLANK('Data Entry'!$·$287), "", 'Data Entry'!$·$287)</f>
      </c>
      <c r="DP287">
        <f>IF(ISBLANK('Data Entry'!$¸$287), "", 'Data Entry'!$¸$287)</f>
      </c>
      <c r="DQ287">
        <f>IF(ISBLANK('Data Entry'!$¹$287), "", 'Data Entry'!$¹$287)</f>
      </c>
      <c r="DR287">
        <f>IF(ISBLANK('Data Entry'!$º$287), "", 'Data Entry'!$º$287)</f>
      </c>
      <c r="DS287">
        <f>IF(ISBLANK('Data Entry'!$»$287), "", 'Data Entry'!$»$287)</f>
      </c>
      <c r="DT287">
        <f>IF(ISBLANK('Data Entry'!$¼$287), "", 'Data Entry'!$¼$287)</f>
      </c>
      <c r="DU287">
        <f>IF(ISBLANK('Data Entry'!$½$287), "", 'Data Entry'!$½$287)</f>
      </c>
      <c r="DV287">
        <f>IF(ISBLANK('Data Entry'!$¾$287), "", 'Data Entry'!$¾$287)</f>
      </c>
      <c r="DW287">
        <f>IF(ISBLANK('Data Entry'!$¿$287), "", 'Data Entry'!$¿$287)</f>
      </c>
      <c r="DX287">
        <f>IF(ISBLANK('Data Entry'!$À$287), "", 'Data Entry'!$À$287)</f>
      </c>
      <c r="DY287">
        <f>IF(ISBLANK('Data Entry'!$Á$287), "", 'Data Entry'!$Á$287)</f>
      </c>
      <c r="DZ287">
        <f>IF(ISBLANK('Data Entry'!$Â$287), "", 'Data Entry'!$Â$287)</f>
      </c>
      <c r="EA287">
        <f>IF(ISBLANK('Data Entry'!$Ã$287), "", 'Data Entry'!$Ã$287)</f>
      </c>
      <c r="EB287">
        <f>IF(ISBLANK('Data Entry'!$Ä$287), "", 'Data Entry'!$Ä$287)</f>
      </c>
      <c r="EC287">
        <f>IF(ISBLANK('Data Entry'!$Å$287), "", 'Data Entry'!$Å$287)</f>
      </c>
      <c r="ED287">
        <f>IF(ISBLANK('Data Entry'!$Æ$287), "", 'Data Entry'!$Æ$287)</f>
      </c>
      <c r="EE287">
        <f>IF(ISBLANK('Data Entry'!$Ç$287), "", 'Data Entry'!$Ç$287)</f>
      </c>
      <c r="EF287">
        <f>IF(ISBLANK('Data Entry'!$È$287), "", 'Data Entry'!$È$287)</f>
      </c>
      <c r="EG287">
        <f>IF(ISBLANK('Data Entry'!$É$287), "", 'Data Entry'!$É$287)</f>
      </c>
      <c r="EH287">
        <f>IF(ISBLANK('Data Entry'!$Ê$287), "", 'Data Entry'!$Ê$287)</f>
      </c>
      <c r="EI287">
        <f>IF(ISBLANK('Data Entry'!$Ë$287), "", 'Data Entry'!$Ë$287)</f>
      </c>
      <c r="EJ287">
        <f>IF(ISBLANK('Data Entry'!$Ì$287), "", 'Data Entry'!$Ì$287)</f>
      </c>
      <c r="EK287">
        <f>IF(ISBLANK('Data Entry'!$Í$287), "", 'Data Entry'!$Í$287)</f>
      </c>
      <c r="EL287">
        <f>IF(ISBLANK('Data Entry'!$Î$287), "", 'Data Entry'!$Î$287)</f>
      </c>
      <c r="EM287">
        <f>IF(ISBLANK('Data Entry'!$Ï$287), "", 'Data Entry'!$Ï$287)</f>
      </c>
      <c r="EN287">
        <f>IF(ISBLANK('Data Entry'!$Ð$287), "", 'Data Entry'!$Ð$287)</f>
      </c>
      <c r="EO287">
        <f>IF(ISBLANK('Data Entry'!$Ñ$287), "", 'Data Entry'!$Ñ$287)</f>
      </c>
      <c r="EP287">
        <f>IF(ISBLANK('Data Entry'!$Ò$287), "", 'Data Entry'!$Ò$287)</f>
      </c>
      <c r="EQ287">
        <f>IF(ISBLANK('Data Entry'!$Ó$287), "", 'Data Entry'!$Ó$287)</f>
      </c>
      <c r="ER287">
        <f>IF(ISBLANK('Data Entry'!$Ô$287), "", 'Data Entry'!$Ô$287)</f>
      </c>
      <c r="ES287">
        <f>IF(ISBLANK('Data Entry'!$Õ$287), "", 'Data Entry'!$Õ$287)</f>
      </c>
      <c r="ET287">
        <f>IF(ISBLANK('Data Entry'!$Ö$287), "", 'Data Entry'!$Ö$287)</f>
      </c>
      <c r="EU287">
        <f>IF(ISBLANK('Data Entry'!$×$287), "", 'Data Entry'!$×$287)</f>
      </c>
      <c r="EV287">
        <f>IF(ISBLANK('Data Entry'!$Ø$287), "", 'Data Entry'!$Ø$287)</f>
      </c>
      <c r="EW287">
        <f>IF(ISBLANK('Data Entry'!$Ù$287), "", 'Data Entry'!$Ù$287)</f>
      </c>
      <c r="EX287">
        <f>IF(ISBLANK('Data Entry'!$Ú$287), "", 'Data Entry'!$Ú$287)</f>
      </c>
      <c r="EY287">
        <f>IF(ISBLANK('Data Entry'!$Û$287), "", 'Data Entry'!$Û$287)</f>
      </c>
      <c r="EZ287">
        <f>IF(ISBLANK('Data Entry'!$Ü$287), "", 'Data Entry'!$Ü$287)</f>
      </c>
      <c r="FA287">
        <f>IF(ISBLANK('Data Entry'!$Ý$287), "", 'Data Entry'!$Ý$287)</f>
      </c>
      <c r="FB287">
        <f>IF(ISBLANK('Data Entry'!$Þ$287), "", 'Data Entry'!$Þ$287)</f>
      </c>
      <c r="FC287">
        <f>IF(ISBLANK('Data Entry'!$ß$287), "", 'Data Entry'!$ß$287)</f>
      </c>
      <c r="FD287">
        <f>IF(ISBLANK('Data Entry'!$à$287), "", 'Data Entry'!$à$287)</f>
      </c>
      <c r="FE287">
        <f>IF(ISBLANK('Data Entry'!$á$287), "", 'Data Entry'!$á$287)</f>
      </c>
      <c r="FF287">
        <f>IF(ISBLANK('Data Entry'!$â$287), "", 'Data Entry'!$â$287)</f>
      </c>
      <c r="FG287">
        <f>IF(ISBLANK('Data Entry'!$ã$287), "", 'Data Entry'!$ã$287)</f>
      </c>
      <c r="FH287">
        <f>IF(ISBLANK('Data Entry'!$ä$287), "", 'Data Entry'!$ä$287)</f>
      </c>
      <c r="FI287">
        <f>IF(ISBLANK('Data Entry'!$å$287), "", 'Data Entry'!$å$287)</f>
      </c>
      <c r="FJ287">
        <f>IF(ISBLANK('Data Entry'!$æ$287), "", 'Data Entry'!$æ$287)</f>
      </c>
      <c r="FK287">
        <f>IF(ISBLANK('Data Entry'!$ç$287), "", 'Data Entry'!$ç$287)</f>
      </c>
      <c r="FL287">
        <f>IF(ISBLANK('Data Entry'!$è$287), "", 'Data Entry'!$è$287)</f>
      </c>
      <c r="FM287">
        <f>IF(ISBLANK('Data Entry'!$é$287), "", 'Data Entry'!$é$287)</f>
      </c>
      <c r="FN287">
        <f>IF(ISBLANK('Data Entry'!$ê$287), "", 'Data Entry'!$ê$287)</f>
      </c>
      <c r="FO287">
        <f>IF(ISBLANK('Data Entry'!$ë$287), "", 'Data Entry'!$ë$287)</f>
      </c>
      <c r="FP287">
        <f>IF(ISBLANK('Data Entry'!$ì$287), "", 'Data Entry'!$ì$287)</f>
      </c>
      <c r="FQ287">
        <f>IF(ISBLANK('Data Entry'!$í$287), "", 'Data Entry'!$í$287)</f>
      </c>
      <c r="FR287">
        <f>IF(ISBLANK('Data Entry'!$î$287), "", 'Data Entry'!$î$287)</f>
      </c>
      <c r="FS287">
        <f>IF(ISBLANK('Data Entry'!$ï$287), "", 'Data Entry'!$ï$287)</f>
      </c>
      <c r="FT287">
        <f>IF(ISBLANK('Data Entry'!$ð$287), "", 'Data Entry'!$ð$287)</f>
      </c>
      <c r="FU287">
        <f>IF(ISBLANK('Data Entry'!$ñ$287), "", 'Data Entry'!$ñ$287)</f>
      </c>
      <c r="FV287">
        <f>IF(ISBLANK('Data Entry'!$ò$287), "", 'Data Entry'!$ò$287)</f>
      </c>
      <c r="FW287">
        <f>IF(ISBLANK('Data Entry'!$ó$287), "", 'Data Entry'!$ó$287)</f>
      </c>
      <c r="FX287">
        <f>IF(ISBLANK('Data Entry'!$ô$287), "", 'Data Entry'!$ô$287)</f>
      </c>
      <c r="FY287">
        <f>IF(ISBLANK('Data Entry'!$õ$287), "", 'Data Entry'!$õ$287)</f>
      </c>
      <c r="FZ287">
        <f>IF(ISBLANK('Data Entry'!$ö$287), "", 'Data Entry'!$ö$287)</f>
      </c>
      <c r="GA287">
        <f>IF(ISBLANK('Data Entry'!$÷$287), "", 'Data Entry'!$÷$287)</f>
      </c>
      <c r="GB287">
        <f>IF(ISBLANK('Data Entry'!$ø$287), "", 'Data Entry'!$ø$287)</f>
      </c>
      <c r="GC287">
        <f>IF(ISBLANK('Data Entry'!$ù$287), "", 'Data Entry'!$ù$287)</f>
      </c>
      <c r="GD287">
        <f>IF(ISBLANK('Data Entry'!$ú$287), "", 'Data Entry'!$ú$287)</f>
      </c>
      <c r="GE287">
        <f>IF(ISBLANK('Data Entry'!$û$287), "", 'Data Entry'!$û$287)</f>
      </c>
      <c r="GF287">
        <f>IF(ISBLANK('Data Entry'!$ü$287), "", 'Data Entry'!$ü$287)</f>
      </c>
      <c r="GG287">
        <f>IF(ISBLANK('Data Entry'!$ý$287), "", 'Data Entry'!$ý$287)</f>
      </c>
      <c r="GH287">
        <f>IF(ISBLANK('Data Entry'!$þ$287), "", 'Data Entry'!$þ$287)</f>
      </c>
      <c r="GI287">
        <f>IF(ISBLANK('Data Entry'!$ÿ$287), "", 'Data Entry'!$ÿ$287)</f>
      </c>
      <c r="GJ287">
        <f>IF(ISBLANK('Data Entry'!$Ā$287), "", 'Data Entry'!$Ā$287)</f>
      </c>
      <c r="GK287">
        <f>IF(ISBLANK('Data Entry'!$ā$287), "", 'Data Entry'!$ā$287)</f>
      </c>
      <c r="GL287">
        <f>IF(ISBLANK('Data Entry'!$Ă$287), "", 'Data Entry'!$Ă$287)</f>
      </c>
      <c r="GM287">
        <f>IF(ISBLANK('Data Entry'!$ă$287), "", 'Data Entry'!$ă$287)</f>
      </c>
      <c r="GN287">
        <f>IF(ISBLANK('Data Entry'!$Ą$287), "", 'Data Entry'!$Ą$287)</f>
      </c>
      <c r="GO287">
        <f>IF(ISBLANK('Data Entry'!$ą$287), "", 'Data Entry'!$ą$287)</f>
      </c>
      <c r="GP287">
        <f>IF(ISBLANK('Data Entry'!$Ć$287), "", 'Data Entry'!$Ć$287)</f>
      </c>
      <c r="GQ287">
        <f>IF(ISBLANK('Data Entry'!$ć$287), "", 'Data Entry'!$ć$287)</f>
      </c>
      <c r="GR287">
        <f>IF(ISBLANK('Data Entry'!$Ĉ$287), "", 'Data Entry'!$Ĉ$287)</f>
      </c>
      <c r="GS287">
        <f>IF(ISBLANK('Data Entry'!$ĉ$287), "", 'Data Entry'!$ĉ$287)</f>
      </c>
      <c r="GT287">
        <f>IF(ISBLANK('Data Entry'!$Ċ$287), "", 'Data Entry'!$Ċ$287)</f>
      </c>
      <c r="GU287">
        <f>IF(ISBLANK('Data Entry'!$ċ$287), "", 'Data Entry'!$ċ$287)</f>
      </c>
      <c r="GV287">
        <f>IF(ISBLANK('Data Entry'!$Č$287), "", 'Data Entry'!$Č$287)</f>
      </c>
      <c r="GW287">
        <f>IF(ISBLANK('Data Entry'!$č$287), "", 'Data Entry'!$č$287)</f>
      </c>
      <c r="GX287">
        <f>IF(ISBLANK('Data Entry'!$Ď$287), "", 'Data Entry'!$Ď$287)</f>
      </c>
      <c r="GY287">
        <f>IF(ISBLANK('Data Entry'!$ď$287), "", 'Data Entry'!$ď$287)</f>
      </c>
      <c r="GZ287">
        <f>IF(ISBLANK('Data Entry'!$Đ$287), "", 'Data Entry'!$Đ$287)</f>
      </c>
      <c r="HA287">
        <f>IF(ISBLANK('Data Entry'!$đ$287), "", 'Data Entry'!$đ$287)</f>
      </c>
      <c r="HB287">
        <f>IF(ISBLANK('Data Entry'!$Ē$287), "", 'Data Entry'!$Ē$287)</f>
      </c>
      <c r="HC287">
        <f>IF(ISBLANK('Data Entry'!$ē$287), "", 'Data Entry'!$ē$287)</f>
      </c>
      <c r="HD287">
        <f>IF(ISBLANK('Data Entry'!$Ĕ$287), "", 'Data Entry'!$Ĕ$287)</f>
      </c>
      <c r="HE287">
        <f>IF(ISBLANK('Data Entry'!$ĕ$287), "", 'Data Entry'!$ĕ$287)</f>
      </c>
      <c r="HF287">
        <f>IF(ISBLANK('Data Entry'!$Ė$287), "", 'Data Entry'!$Ė$287)</f>
      </c>
      <c r="HG287">
        <f>IF(ISBLANK('Data Entry'!$ė$287), "", 'Data Entry'!$ė$287)</f>
      </c>
      <c r="HH287">
        <f>IF(ISBLANK('Data Entry'!$Ę$287), "", 'Data Entry'!$Ę$287)</f>
      </c>
      <c r="HI287">
        <f>IF(ISBLANK('Data Entry'!$ę$287), "", 'Data Entry'!$ę$287)</f>
      </c>
      <c r="HJ287">
        <f>IF(ISBLANK('Data Entry'!$Ě$287), "", 'Data Entry'!$Ě$287)</f>
      </c>
      <c r="HK287">
        <f>IF(ISBLANK('Data Entry'!$ě$287), "", 'Data Entry'!$ě$287)</f>
      </c>
      <c r="HL287">
        <f>IF(ISBLANK('Data Entry'!$Ĝ$287), "", 'Data Entry'!$Ĝ$287)</f>
      </c>
      <c r="HM287">
        <f>IF(ISBLANK('Data Entry'!$ĝ$287), "", 'Data Entry'!$ĝ$287)</f>
      </c>
      <c r="HN287">
        <f>IF(ISBLANK('Data Entry'!$Ğ$287), "", 'Data Entry'!$Ğ$287)</f>
      </c>
      <c r="HO287">
        <f>IF(ISBLANK('Data Entry'!$ğ$287), "", 'Data Entry'!$ğ$287)</f>
      </c>
      <c r="HP287">
        <f>IF(ISBLANK('Data Entry'!$Ġ$287), "", 'Data Entry'!$Ġ$287)</f>
      </c>
      <c r="HQ287">
        <f>IF(ISBLANK('Data Entry'!$ġ$287), "", 'Data Entry'!$ġ$287)</f>
      </c>
      <c r="HR287">
        <f>IF(ISBLANK('Data Entry'!$Ģ$287), "", 'Data Entry'!$Ģ$287)</f>
      </c>
      <c r="HS287">
        <f>IF(ISBLANK('Data Entry'!$ģ$287), "", 'Data Entry'!$ģ$287)</f>
      </c>
      <c r="HT287">
        <f>IF(ISBLANK('Data Entry'!$Ĥ$287), "", 'Data Entry'!$Ĥ$287)</f>
      </c>
      <c r="HU287">
        <f>IF(ISBLANK('Data Entry'!$ĥ$287), "", 'Data Entry'!$ĥ$287)</f>
      </c>
      <c r="HV287">
        <f>IF(ISBLANK('Data Entry'!$Ħ$287), "", 'Data Entry'!$Ħ$287)</f>
      </c>
      <c r="HW287">
        <f>IF(ISBLANK('Data Entry'!$ħ$287), "", 'Data Entry'!$ħ$287)</f>
      </c>
      <c r="HX287">
        <f>IF(ISBLANK('Data Entry'!$Ĩ$287), "", 'Data Entry'!$Ĩ$287)</f>
      </c>
      <c r="HY287">
        <f>IF(ISBLANK('Data Entry'!$ĩ$287), "", 'Data Entry'!$ĩ$287)</f>
      </c>
      <c r="HZ287">
        <f>IF(ISBLANK('Data Entry'!$Ī$287), "", 'Data Entry'!$Ī$287)</f>
      </c>
      <c r="IA287">
        <f>IF(ISBLANK('Data Entry'!$ī$287), "", 'Data Entry'!$ī$287)</f>
      </c>
      <c r="IB287">
        <f>IF(ISBLANK('Data Entry'!$Ĭ$287), "", 'Data Entry'!$Ĭ$287)</f>
      </c>
      <c r="IC287">
        <f>IF(ISBLANK('Data Entry'!$ĭ$287), "", 'Data Entry'!$ĭ$287)</f>
      </c>
      <c r="ID287">
        <f>IF(ISBLANK('Data Entry'!$Į$287), "", 'Data Entry'!$Į$287)</f>
      </c>
      <c r="IE287">
        <f>IF(ISBLANK('Data Entry'!$į$287), "", 'Data Entry'!$į$287)</f>
      </c>
      <c r="IF287">
        <f>IF(ISBLANK('Data Entry'!$İ$287), "", 'Data Entry'!$İ$287)</f>
      </c>
      <c r="IG287">
        <f>IF(ISBLANK('Data Entry'!$ı$287), "", 'Data Entry'!$ı$287)</f>
      </c>
      <c r="IH287">
        <f>IF(ISBLANK('Data Entry'!$Ĳ$287), "", 'Data Entry'!$Ĳ$287)</f>
      </c>
      <c r="II287">
        <f>IF(ISBLANK('Data Entry'!$ĳ$287), "", 'Data Entry'!$ĳ$287)</f>
      </c>
      <c r="IJ287">
        <f>IF(ISBLANK('Data Entry'!$Ĵ$287), "", 'Data Entry'!$Ĵ$287)</f>
      </c>
      <c r="IK287">
        <f>IF(ISBLANK('Data Entry'!$ĵ$287), "", 'Data Entry'!$ĵ$287)</f>
      </c>
      <c r="IL287">
        <f>IF(ISBLANK('Data Entry'!$Ķ$287), "", 'Data Entry'!$Ķ$287)</f>
      </c>
      <c r="IM287">
        <f>IF(ISBLANK('Data Entry'!$ķ$287), "", 'Data Entry'!$ķ$287)</f>
      </c>
      <c r="IN287">
        <f>IF(ISBLANK('Data Entry'!$ĸ$287), "", 'Data Entry'!$ĸ$287)</f>
      </c>
      <c r="IO287">
        <f>IF(ISBLANK('Data Entry'!$Ĺ$287), "", 'Data Entry'!$Ĺ$287)</f>
      </c>
      <c r="IP287">
        <f>IF(ISBLANK('Data Entry'!$ĺ$287), "", 'Data Entry'!$ĺ$287)</f>
      </c>
      <c r="IQ287">
        <f>IF(ISBLANK('Data Entry'!$Ļ$287), "", 'Data Entry'!$Ļ$287)</f>
      </c>
      <c r="IR287">
        <f>IF(ISBLANK('Data Entry'!$ļ$287), "", 'Data Entry'!$ļ$287)</f>
      </c>
      <c r="IS287">
        <f>IF(ISBLANK('Data Entry'!$Ľ$287), "", 'Data Entry'!$Ľ$287)</f>
      </c>
      <c r="IT287">
        <f>IF(ISBLANK('Data Entry'!$ľ$287), "", 'Data Entry'!$ľ$287)</f>
      </c>
    </row>
    <row r="288" spans="1:254" x14ac:dyDescent="0.25">
      <c r="A288">
        <f>IF(ISBLANK('Data Entry'!$A$288), "", 'Data Entry'!$A$288)</f>
      </c>
      <c r="B288">
        <f>IF(ISBLANK('Data Entry'!$B$288), "", 'Data Entry'!$B$288)</f>
      </c>
      <c r="C288">
        <f>IF(ISBLANK('Data Entry'!$C$288), "", 'Data Entry'!$C$288)</f>
      </c>
      <c r="D288">
        <f>IF(ISBLANK('Data Entry'!$D$288), "", 'Data Entry'!$D$288)</f>
      </c>
      <c r="E288">
        <f>IF(ISBLANK('Data Entry'!$E$288), "", 'Data Entry'!$E$288)</f>
      </c>
      <c r="F288">
        <f>IF(ISBLANK('Data Entry'!$F$288), "", 'Data Entry'!$F$288)</f>
      </c>
      <c r="G288">
        <f>IF(ISBLANK('Data Entry'!$G$288), "", 'Data Entry'!$G$288)</f>
      </c>
      <c r="H288">
        <f>IF(ISBLANK('Data Entry'!$H$288), "", 'Data Entry'!$H$288)</f>
      </c>
      <c r="I288">
        <f>IF(ISBLANK('Data Entry'!$I$288), "", 'Data Entry'!$I$288)</f>
      </c>
      <c r="J288">
        <f>IF(ISBLANK('Data Entry'!$J$288), "", 'Data Entry'!$J$288)</f>
      </c>
      <c r="K288">
        <f>IF(ISBLANK('Data Entry'!$K$288), "", 'Data Entry'!$K$288)</f>
      </c>
      <c r="L288">
        <f>IF(ISBLANK('Data Entry'!$L$288), "", 'Data Entry'!$L$288)</f>
      </c>
      <c r="M288">
        <f>IF(ISBLANK('Data Entry'!$M$288), "", 'Data Entry'!$M$288)</f>
      </c>
      <c r="N288">
        <f>IF(ISBLANK('Data Entry'!$N$288), "", 'Data Entry'!$N$288)</f>
      </c>
      <c r="O288">
        <f>IF(ISBLANK('Data Entry'!$O$288), "", 'Data Entry'!$O$288)</f>
      </c>
      <c r="P288">
        <f>IF(ISBLANK('Data Entry'!$P$288), "", 'Data Entry'!$P$288)</f>
      </c>
      <c r="Q288">
        <f>IF(ISBLANK('Data Entry'!$Q$288), "", 'Data Entry'!$Q$288)</f>
      </c>
      <c r="R288">
        <f>IF(ISBLANK('Data Entry'!$R$288), "", 'Data Entry'!$R$288)</f>
      </c>
      <c r="S288">
        <f>IF(ISBLANK('Data Entry'!$S$288), "", 'Data Entry'!$S$288)</f>
      </c>
      <c r="T288">
        <f>IF(ISBLANK('Data Entry'!$T$288), "", 'Data Entry'!$T$288)</f>
      </c>
      <c r="U288">
        <f>IF(ISBLANK('Data Entry'!$U$288), "", 'Data Entry'!$U$288)</f>
      </c>
      <c r="V288">
        <f>IF(ISBLANK('Data Entry'!$V$288), "", 'Data Entry'!$V$288)</f>
      </c>
      <c r="W288">
        <f>IF(ISBLANK('Data Entry'!$W$288), "", 'Data Entry'!$W$288)</f>
      </c>
      <c r="X288">
        <f>IF(ISBLANK('Data Entry'!$X$288), "", 'Data Entry'!$X$288)</f>
      </c>
      <c r="Y288">
        <f>IF(ISBLANK('Data Entry'!$Y$288), "", 'Data Entry'!$Y$288)</f>
      </c>
      <c r="Z288">
        <f>IF(ISBLANK('Data Entry'!$Z$288), "", 'Data Entry'!$Z$288)</f>
      </c>
      <c r="AA288">
        <f>IF(ISBLANK('Data Entry'!$[$288), "", 'Data Entry'!$[$288)</f>
      </c>
      <c r="AB288">
        <f>IF(ISBLANK('Data Entry'!$\$288), "", 'Data Entry'!$\$288)</f>
      </c>
      <c r="AC288">
        <f>IF(ISBLANK('Data Entry'!$]$288), "", 'Data Entry'!$]$288)</f>
      </c>
      <c r="AD288">
        <f>IF(ISBLANK('Data Entry'!$^$288), "", 'Data Entry'!$^$288)</f>
      </c>
      <c r="AE288">
        <f>IF(ISBLANK('Data Entry'!$_$288), "", 'Data Entry'!$_$288)</f>
      </c>
      <c r="AF288">
        <f>IF(ISBLANK('Data Entry'!$`$288), "", 'Data Entry'!$`$288)</f>
      </c>
      <c r="AG288">
        <f>IF(ISBLANK('Data Entry'!$a$288), "", 'Data Entry'!$a$288)</f>
      </c>
      <c r="AH288">
        <f>IF(ISBLANK('Data Entry'!$b$288), "", 'Data Entry'!$b$288)</f>
      </c>
      <c r="AI288">
        <f>IF(ISBLANK('Data Entry'!$c$288), "", 'Data Entry'!$c$288)</f>
      </c>
      <c r="AJ288">
        <f>IF(ISBLANK('Data Entry'!$d$288), "", 'Data Entry'!$d$288)</f>
      </c>
      <c r="AK288">
        <f>IF(ISBLANK('Data Entry'!$e$288), "", 'Data Entry'!$e$288)</f>
      </c>
      <c r="AL288">
        <f>IF(ISBLANK('Data Entry'!$f$288), "", 'Data Entry'!$f$288)</f>
      </c>
      <c r="AM288">
        <f>IF(ISBLANK('Data Entry'!$g$288), "", 'Data Entry'!$g$288)</f>
      </c>
      <c r="AN288">
        <f>IF(ISBLANK('Data Entry'!$h$288), "", 'Data Entry'!$h$288)</f>
      </c>
      <c r="AO288">
        <f>IF(ISBLANK('Data Entry'!$i$288), "", 'Data Entry'!$i$288)</f>
      </c>
      <c r="AP288">
        <f>IF(ISBLANK('Data Entry'!$j$288), "", 'Data Entry'!$j$288)</f>
      </c>
      <c r="AQ288">
        <f>IF(ISBLANK('Data Entry'!$k$288), "", 'Data Entry'!$k$288)</f>
      </c>
      <c r="AR288">
        <f>IF(ISBLANK('Data Entry'!$l$288), "", 'Data Entry'!$l$288)</f>
      </c>
      <c r="AS288">
        <f>IF(ISBLANK('Data Entry'!$m$288), "", 'Data Entry'!$m$288)</f>
      </c>
      <c r="AT288">
        <f>IF(ISBLANK('Data Entry'!$n$288), "", 'Data Entry'!$n$288)</f>
      </c>
      <c r="AU288">
        <f>IF(ISBLANK('Data Entry'!$o$288), "", 'Data Entry'!$o$288)</f>
      </c>
      <c r="AV288">
        <f>IF(ISBLANK('Data Entry'!$p$288), "", 'Data Entry'!$p$288)</f>
      </c>
      <c r="AW288">
        <f>IF(ISBLANK('Data Entry'!$q$288), "", 'Data Entry'!$q$288)</f>
      </c>
      <c r="AX288">
        <f>IF(ISBLANK('Data Entry'!$r$288), "", 'Data Entry'!$r$288)</f>
      </c>
      <c r="AY288">
        <f>IF(ISBLANK('Data Entry'!$s$288), "", 'Data Entry'!$s$288)</f>
      </c>
      <c r="AZ288">
        <f>IF(ISBLANK('Data Entry'!$t$288), "", 'Data Entry'!$t$288)</f>
      </c>
      <c r="BA288">
        <f>IF(ISBLANK('Data Entry'!$u$288), "", 'Data Entry'!$u$288)</f>
      </c>
      <c r="BB288">
        <f>IF(ISBLANK('Data Entry'!$v$288), "", 'Data Entry'!$v$288)</f>
      </c>
      <c r="BC288">
        <f>IF(ISBLANK('Data Entry'!$w$288), "", 'Data Entry'!$w$288)</f>
      </c>
      <c r="BD288">
        <f>IF(ISBLANK('Data Entry'!$x$288), "", 'Data Entry'!$x$288)</f>
      </c>
      <c r="BE288">
        <f>IF(ISBLANK('Data Entry'!$y$288), "", 'Data Entry'!$y$288)</f>
      </c>
      <c r="BF288">
        <f>IF(ISBLANK('Data Entry'!$z$288), "", 'Data Entry'!$z$288)</f>
      </c>
      <c r="BG288">
        <f>IF(ISBLANK('Data Entry'!${$288), "", 'Data Entry'!${$288)</f>
      </c>
      <c r="BH288">
        <f>IF(ISBLANK('Data Entry'!$|$288), "", 'Data Entry'!$|$288)</f>
      </c>
      <c r="BI288">
        <f>IF(ISBLANK('Data Entry'!$}$288), "", 'Data Entry'!$}$288)</f>
      </c>
      <c r="BJ288">
        <f>IF(ISBLANK('Data Entry'!$~$288), "", 'Data Entry'!$~$288)</f>
      </c>
      <c r="BK288">
        <f>IF(ISBLANK('Data Entry'!$$288), "", 'Data Entry'!$$288)</f>
      </c>
      <c r="BL288">
        <f>IF(ISBLANK('Data Entry'!$$288), "", 'Data Entry'!$$288)</f>
      </c>
      <c r="BM288">
        <f>IF(ISBLANK('Data Entry'!$$288), "", 'Data Entry'!$$288)</f>
      </c>
      <c r="BN288">
        <f>IF(ISBLANK('Data Entry'!$$288), "", 'Data Entry'!$$288)</f>
      </c>
      <c r="BO288">
        <f>IF(ISBLANK('Data Entry'!$$288), "", 'Data Entry'!$$288)</f>
      </c>
      <c r="BP288">
        <f>IF(ISBLANK('Data Entry'!$$288), "", 'Data Entry'!$$288)</f>
      </c>
      <c r="BQ288">
        <f>IF(ISBLANK('Data Entry'!$$288), "", 'Data Entry'!$$288)</f>
      </c>
      <c r="BR288">
        <f>IF(ISBLANK('Data Entry'!$$288), "", 'Data Entry'!$$288)</f>
      </c>
      <c r="BS288">
        <f>IF(ISBLANK('Data Entry'!$$288), "", 'Data Entry'!$$288)</f>
      </c>
      <c r="BT288">
        <f>IF(ISBLANK('Data Entry'!$$288), "", 'Data Entry'!$$288)</f>
      </c>
      <c r="BU288">
        <f>IF(ISBLANK('Data Entry'!$$288), "", 'Data Entry'!$$288)</f>
      </c>
      <c r="BV288">
        <f>IF(ISBLANK('Data Entry'!$$288), "", 'Data Entry'!$$288)</f>
      </c>
      <c r="BW288">
        <f>IF(ISBLANK('Data Entry'!$$288), "", 'Data Entry'!$$288)</f>
      </c>
      <c r="BX288">
        <f>IF(ISBLANK('Data Entry'!$$288), "", 'Data Entry'!$$288)</f>
      </c>
      <c r="BY288">
        <f>IF(ISBLANK('Data Entry'!$$288), "", 'Data Entry'!$$288)</f>
      </c>
      <c r="BZ288">
        <f>IF(ISBLANK('Data Entry'!$$288), "", 'Data Entry'!$$288)</f>
      </c>
      <c r="CA288">
        <f>IF(ISBLANK('Data Entry'!$$288), "", 'Data Entry'!$$288)</f>
      </c>
      <c r="CB288">
        <f>IF(ISBLANK('Data Entry'!$$288), "", 'Data Entry'!$$288)</f>
      </c>
      <c r="CC288">
        <f>IF(ISBLANK('Data Entry'!$$288), "", 'Data Entry'!$$288)</f>
      </c>
      <c r="CD288">
        <f>IF(ISBLANK('Data Entry'!$$288), "", 'Data Entry'!$$288)</f>
      </c>
      <c r="CE288">
        <f>IF(ISBLANK('Data Entry'!$$288), "", 'Data Entry'!$$288)</f>
      </c>
      <c r="CF288">
        <f>IF(ISBLANK('Data Entry'!$$288), "", 'Data Entry'!$$288)</f>
      </c>
      <c r="CG288">
        <f>IF(ISBLANK('Data Entry'!$$288), "", 'Data Entry'!$$288)</f>
      </c>
      <c r="CH288">
        <f>IF(ISBLANK('Data Entry'!$$288), "", 'Data Entry'!$$288)</f>
      </c>
      <c r="CI288">
        <f>IF(ISBLANK('Data Entry'!$$288), "", 'Data Entry'!$$288)</f>
      </c>
      <c r="CJ288">
        <f>IF(ISBLANK('Data Entry'!$$288), "", 'Data Entry'!$$288)</f>
      </c>
      <c r="CK288">
        <f>IF(ISBLANK('Data Entry'!$$288), "", 'Data Entry'!$$288)</f>
      </c>
      <c r="CL288">
        <f>IF(ISBLANK('Data Entry'!$$288), "", 'Data Entry'!$$288)</f>
      </c>
      <c r="CM288">
        <f>IF(ISBLANK('Data Entry'!$$288), "", 'Data Entry'!$$288)</f>
      </c>
      <c r="CN288">
        <f>IF(ISBLANK('Data Entry'!$$288), "", 'Data Entry'!$$288)</f>
      </c>
      <c r="CO288">
        <f>IF(ISBLANK('Data Entry'!$$288), "", 'Data Entry'!$$288)</f>
      </c>
      <c r="CP288">
        <f>IF(ISBLANK('Data Entry'!$$288), "", 'Data Entry'!$$288)</f>
      </c>
      <c r="CQ288">
        <f>IF(ISBLANK('Data Entry'!$$288), "", 'Data Entry'!$$288)</f>
      </c>
      <c r="CR288">
        <f>IF(ISBLANK('Data Entry'!$ $288), "", 'Data Entry'!$ $288)</f>
      </c>
      <c r="CS288">
        <f>IF(ISBLANK('Data Entry'!$¡$288), "", 'Data Entry'!$¡$288)</f>
      </c>
      <c r="CT288">
        <f>IF(ISBLANK('Data Entry'!$¢$288), "", 'Data Entry'!$¢$288)</f>
      </c>
      <c r="CU288">
        <f>IF(ISBLANK('Data Entry'!$£$288), "", 'Data Entry'!$£$288)</f>
      </c>
      <c r="CV288">
        <f>IF(ISBLANK('Data Entry'!$¤$288), "", 'Data Entry'!$¤$288)</f>
      </c>
      <c r="CW288">
        <f>IF(ISBLANK('Data Entry'!$¥$288), "", 'Data Entry'!$¥$288)</f>
      </c>
      <c r="CX288">
        <f>IF(ISBLANK('Data Entry'!$¦$288), "", 'Data Entry'!$¦$288)</f>
      </c>
      <c r="CY288">
        <f>IF(ISBLANK('Data Entry'!$§$288), "", 'Data Entry'!$§$288)</f>
      </c>
      <c r="CZ288">
        <f>IF(ISBLANK('Data Entry'!$¨$288), "", 'Data Entry'!$¨$288)</f>
      </c>
      <c r="DA288">
        <f>IF(ISBLANK('Data Entry'!$©$288), "", 'Data Entry'!$©$288)</f>
      </c>
      <c r="DB288">
        <f>IF(ISBLANK('Data Entry'!$ª$288), "", 'Data Entry'!$ª$288)</f>
      </c>
      <c r="DC288">
        <f>IF(ISBLANK('Data Entry'!$«$288), "", 'Data Entry'!$«$288)</f>
      </c>
      <c r="DD288">
        <f>IF(ISBLANK('Data Entry'!$¬$288), "", 'Data Entry'!$¬$288)</f>
      </c>
      <c r="DE288">
        <f>IF(ISBLANK('Data Entry'!$­$288), "", 'Data Entry'!$­$288)</f>
      </c>
      <c r="DF288">
        <f>IF(ISBLANK('Data Entry'!$®$288), "", 'Data Entry'!$®$288)</f>
      </c>
      <c r="DG288">
        <f>IF(ISBLANK('Data Entry'!$¯$288), "", 'Data Entry'!$¯$288)</f>
      </c>
      <c r="DH288">
        <f>IF(ISBLANK('Data Entry'!$°$288), "", 'Data Entry'!$°$288)</f>
      </c>
      <c r="DI288">
        <f>IF(ISBLANK('Data Entry'!$±$288), "", 'Data Entry'!$±$288)</f>
      </c>
      <c r="DJ288">
        <f>IF(ISBLANK('Data Entry'!$²$288), "", 'Data Entry'!$²$288)</f>
      </c>
      <c r="DK288">
        <f>IF(ISBLANK('Data Entry'!$³$288), "", 'Data Entry'!$³$288)</f>
      </c>
      <c r="DL288">
        <f>IF(ISBLANK('Data Entry'!$´$288), "", 'Data Entry'!$´$288)</f>
      </c>
      <c r="DM288">
        <f>IF(ISBLANK('Data Entry'!$µ$288), "", 'Data Entry'!$µ$288)</f>
      </c>
      <c r="DN288">
        <f>IF(ISBLANK('Data Entry'!$¶$288), "", 'Data Entry'!$¶$288)</f>
      </c>
      <c r="DO288">
        <f>IF(ISBLANK('Data Entry'!$·$288), "", 'Data Entry'!$·$288)</f>
      </c>
      <c r="DP288">
        <f>IF(ISBLANK('Data Entry'!$¸$288), "", 'Data Entry'!$¸$288)</f>
      </c>
      <c r="DQ288">
        <f>IF(ISBLANK('Data Entry'!$¹$288), "", 'Data Entry'!$¹$288)</f>
      </c>
      <c r="DR288">
        <f>IF(ISBLANK('Data Entry'!$º$288), "", 'Data Entry'!$º$288)</f>
      </c>
      <c r="DS288">
        <f>IF(ISBLANK('Data Entry'!$»$288), "", 'Data Entry'!$»$288)</f>
      </c>
      <c r="DT288">
        <f>IF(ISBLANK('Data Entry'!$¼$288), "", 'Data Entry'!$¼$288)</f>
      </c>
      <c r="DU288">
        <f>IF(ISBLANK('Data Entry'!$½$288), "", 'Data Entry'!$½$288)</f>
      </c>
      <c r="DV288">
        <f>IF(ISBLANK('Data Entry'!$¾$288), "", 'Data Entry'!$¾$288)</f>
      </c>
      <c r="DW288">
        <f>IF(ISBLANK('Data Entry'!$¿$288), "", 'Data Entry'!$¿$288)</f>
      </c>
      <c r="DX288">
        <f>IF(ISBLANK('Data Entry'!$À$288), "", 'Data Entry'!$À$288)</f>
      </c>
      <c r="DY288">
        <f>IF(ISBLANK('Data Entry'!$Á$288), "", 'Data Entry'!$Á$288)</f>
      </c>
      <c r="DZ288">
        <f>IF(ISBLANK('Data Entry'!$Â$288), "", 'Data Entry'!$Â$288)</f>
      </c>
      <c r="EA288">
        <f>IF(ISBLANK('Data Entry'!$Ã$288), "", 'Data Entry'!$Ã$288)</f>
      </c>
      <c r="EB288">
        <f>IF(ISBLANK('Data Entry'!$Ä$288), "", 'Data Entry'!$Ä$288)</f>
      </c>
      <c r="EC288">
        <f>IF(ISBLANK('Data Entry'!$Å$288), "", 'Data Entry'!$Å$288)</f>
      </c>
      <c r="ED288">
        <f>IF(ISBLANK('Data Entry'!$Æ$288), "", 'Data Entry'!$Æ$288)</f>
      </c>
      <c r="EE288">
        <f>IF(ISBLANK('Data Entry'!$Ç$288), "", 'Data Entry'!$Ç$288)</f>
      </c>
      <c r="EF288">
        <f>IF(ISBLANK('Data Entry'!$È$288), "", 'Data Entry'!$È$288)</f>
      </c>
      <c r="EG288">
        <f>IF(ISBLANK('Data Entry'!$É$288), "", 'Data Entry'!$É$288)</f>
      </c>
      <c r="EH288">
        <f>IF(ISBLANK('Data Entry'!$Ê$288), "", 'Data Entry'!$Ê$288)</f>
      </c>
      <c r="EI288">
        <f>IF(ISBLANK('Data Entry'!$Ë$288), "", 'Data Entry'!$Ë$288)</f>
      </c>
      <c r="EJ288">
        <f>IF(ISBLANK('Data Entry'!$Ì$288), "", 'Data Entry'!$Ì$288)</f>
      </c>
      <c r="EK288">
        <f>IF(ISBLANK('Data Entry'!$Í$288), "", 'Data Entry'!$Í$288)</f>
      </c>
      <c r="EL288">
        <f>IF(ISBLANK('Data Entry'!$Î$288), "", 'Data Entry'!$Î$288)</f>
      </c>
      <c r="EM288">
        <f>IF(ISBLANK('Data Entry'!$Ï$288), "", 'Data Entry'!$Ï$288)</f>
      </c>
      <c r="EN288">
        <f>IF(ISBLANK('Data Entry'!$Ð$288), "", 'Data Entry'!$Ð$288)</f>
      </c>
      <c r="EO288">
        <f>IF(ISBLANK('Data Entry'!$Ñ$288), "", 'Data Entry'!$Ñ$288)</f>
      </c>
      <c r="EP288">
        <f>IF(ISBLANK('Data Entry'!$Ò$288), "", 'Data Entry'!$Ò$288)</f>
      </c>
      <c r="EQ288">
        <f>IF(ISBLANK('Data Entry'!$Ó$288), "", 'Data Entry'!$Ó$288)</f>
      </c>
      <c r="ER288">
        <f>IF(ISBLANK('Data Entry'!$Ô$288), "", 'Data Entry'!$Ô$288)</f>
      </c>
      <c r="ES288">
        <f>IF(ISBLANK('Data Entry'!$Õ$288), "", 'Data Entry'!$Õ$288)</f>
      </c>
      <c r="ET288">
        <f>IF(ISBLANK('Data Entry'!$Ö$288), "", 'Data Entry'!$Ö$288)</f>
      </c>
      <c r="EU288">
        <f>IF(ISBLANK('Data Entry'!$×$288), "", 'Data Entry'!$×$288)</f>
      </c>
      <c r="EV288">
        <f>IF(ISBLANK('Data Entry'!$Ø$288), "", 'Data Entry'!$Ø$288)</f>
      </c>
      <c r="EW288">
        <f>IF(ISBLANK('Data Entry'!$Ù$288), "", 'Data Entry'!$Ù$288)</f>
      </c>
      <c r="EX288">
        <f>IF(ISBLANK('Data Entry'!$Ú$288), "", 'Data Entry'!$Ú$288)</f>
      </c>
      <c r="EY288">
        <f>IF(ISBLANK('Data Entry'!$Û$288), "", 'Data Entry'!$Û$288)</f>
      </c>
      <c r="EZ288">
        <f>IF(ISBLANK('Data Entry'!$Ü$288), "", 'Data Entry'!$Ü$288)</f>
      </c>
      <c r="FA288">
        <f>IF(ISBLANK('Data Entry'!$Ý$288), "", 'Data Entry'!$Ý$288)</f>
      </c>
      <c r="FB288">
        <f>IF(ISBLANK('Data Entry'!$Þ$288), "", 'Data Entry'!$Þ$288)</f>
      </c>
      <c r="FC288">
        <f>IF(ISBLANK('Data Entry'!$ß$288), "", 'Data Entry'!$ß$288)</f>
      </c>
      <c r="FD288">
        <f>IF(ISBLANK('Data Entry'!$à$288), "", 'Data Entry'!$à$288)</f>
      </c>
      <c r="FE288">
        <f>IF(ISBLANK('Data Entry'!$á$288), "", 'Data Entry'!$á$288)</f>
      </c>
      <c r="FF288">
        <f>IF(ISBLANK('Data Entry'!$â$288), "", 'Data Entry'!$â$288)</f>
      </c>
      <c r="FG288">
        <f>IF(ISBLANK('Data Entry'!$ã$288), "", 'Data Entry'!$ã$288)</f>
      </c>
      <c r="FH288">
        <f>IF(ISBLANK('Data Entry'!$ä$288), "", 'Data Entry'!$ä$288)</f>
      </c>
      <c r="FI288">
        <f>IF(ISBLANK('Data Entry'!$å$288), "", 'Data Entry'!$å$288)</f>
      </c>
      <c r="FJ288">
        <f>IF(ISBLANK('Data Entry'!$æ$288), "", 'Data Entry'!$æ$288)</f>
      </c>
      <c r="FK288">
        <f>IF(ISBLANK('Data Entry'!$ç$288), "", 'Data Entry'!$ç$288)</f>
      </c>
      <c r="FL288">
        <f>IF(ISBLANK('Data Entry'!$è$288), "", 'Data Entry'!$è$288)</f>
      </c>
      <c r="FM288">
        <f>IF(ISBLANK('Data Entry'!$é$288), "", 'Data Entry'!$é$288)</f>
      </c>
      <c r="FN288">
        <f>IF(ISBLANK('Data Entry'!$ê$288), "", 'Data Entry'!$ê$288)</f>
      </c>
      <c r="FO288">
        <f>IF(ISBLANK('Data Entry'!$ë$288), "", 'Data Entry'!$ë$288)</f>
      </c>
      <c r="FP288">
        <f>IF(ISBLANK('Data Entry'!$ì$288), "", 'Data Entry'!$ì$288)</f>
      </c>
      <c r="FQ288">
        <f>IF(ISBLANK('Data Entry'!$í$288), "", 'Data Entry'!$í$288)</f>
      </c>
      <c r="FR288">
        <f>IF(ISBLANK('Data Entry'!$î$288), "", 'Data Entry'!$î$288)</f>
      </c>
      <c r="FS288">
        <f>IF(ISBLANK('Data Entry'!$ï$288), "", 'Data Entry'!$ï$288)</f>
      </c>
      <c r="FT288">
        <f>IF(ISBLANK('Data Entry'!$ð$288), "", 'Data Entry'!$ð$288)</f>
      </c>
      <c r="FU288">
        <f>IF(ISBLANK('Data Entry'!$ñ$288), "", 'Data Entry'!$ñ$288)</f>
      </c>
      <c r="FV288">
        <f>IF(ISBLANK('Data Entry'!$ò$288), "", 'Data Entry'!$ò$288)</f>
      </c>
      <c r="FW288">
        <f>IF(ISBLANK('Data Entry'!$ó$288), "", 'Data Entry'!$ó$288)</f>
      </c>
      <c r="FX288">
        <f>IF(ISBLANK('Data Entry'!$ô$288), "", 'Data Entry'!$ô$288)</f>
      </c>
      <c r="FY288">
        <f>IF(ISBLANK('Data Entry'!$õ$288), "", 'Data Entry'!$õ$288)</f>
      </c>
      <c r="FZ288">
        <f>IF(ISBLANK('Data Entry'!$ö$288), "", 'Data Entry'!$ö$288)</f>
      </c>
      <c r="GA288">
        <f>IF(ISBLANK('Data Entry'!$÷$288), "", 'Data Entry'!$÷$288)</f>
      </c>
      <c r="GB288">
        <f>IF(ISBLANK('Data Entry'!$ø$288), "", 'Data Entry'!$ø$288)</f>
      </c>
      <c r="GC288">
        <f>IF(ISBLANK('Data Entry'!$ù$288), "", 'Data Entry'!$ù$288)</f>
      </c>
      <c r="GD288">
        <f>IF(ISBLANK('Data Entry'!$ú$288), "", 'Data Entry'!$ú$288)</f>
      </c>
      <c r="GE288">
        <f>IF(ISBLANK('Data Entry'!$û$288), "", 'Data Entry'!$û$288)</f>
      </c>
      <c r="GF288">
        <f>IF(ISBLANK('Data Entry'!$ü$288), "", 'Data Entry'!$ü$288)</f>
      </c>
      <c r="GG288">
        <f>IF(ISBLANK('Data Entry'!$ý$288), "", 'Data Entry'!$ý$288)</f>
      </c>
      <c r="GH288">
        <f>IF(ISBLANK('Data Entry'!$þ$288), "", 'Data Entry'!$þ$288)</f>
      </c>
      <c r="GI288">
        <f>IF(ISBLANK('Data Entry'!$ÿ$288), "", 'Data Entry'!$ÿ$288)</f>
      </c>
      <c r="GJ288">
        <f>IF(ISBLANK('Data Entry'!$Ā$288), "", 'Data Entry'!$Ā$288)</f>
      </c>
      <c r="GK288">
        <f>IF(ISBLANK('Data Entry'!$ā$288), "", 'Data Entry'!$ā$288)</f>
      </c>
      <c r="GL288">
        <f>IF(ISBLANK('Data Entry'!$Ă$288), "", 'Data Entry'!$Ă$288)</f>
      </c>
      <c r="GM288">
        <f>IF(ISBLANK('Data Entry'!$ă$288), "", 'Data Entry'!$ă$288)</f>
      </c>
      <c r="GN288">
        <f>IF(ISBLANK('Data Entry'!$Ą$288), "", 'Data Entry'!$Ą$288)</f>
      </c>
      <c r="GO288">
        <f>IF(ISBLANK('Data Entry'!$ą$288), "", 'Data Entry'!$ą$288)</f>
      </c>
      <c r="GP288">
        <f>IF(ISBLANK('Data Entry'!$Ć$288), "", 'Data Entry'!$Ć$288)</f>
      </c>
      <c r="GQ288">
        <f>IF(ISBLANK('Data Entry'!$ć$288), "", 'Data Entry'!$ć$288)</f>
      </c>
      <c r="GR288">
        <f>IF(ISBLANK('Data Entry'!$Ĉ$288), "", 'Data Entry'!$Ĉ$288)</f>
      </c>
      <c r="GS288">
        <f>IF(ISBLANK('Data Entry'!$ĉ$288), "", 'Data Entry'!$ĉ$288)</f>
      </c>
      <c r="GT288">
        <f>IF(ISBLANK('Data Entry'!$Ċ$288), "", 'Data Entry'!$Ċ$288)</f>
      </c>
      <c r="GU288">
        <f>IF(ISBLANK('Data Entry'!$ċ$288), "", 'Data Entry'!$ċ$288)</f>
      </c>
      <c r="GV288">
        <f>IF(ISBLANK('Data Entry'!$Č$288), "", 'Data Entry'!$Č$288)</f>
      </c>
      <c r="GW288">
        <f>IF(ISBLANK('Data Entry'!$č$288), "", 'Data Entry'!$č$288)</f>
      </c>
      <c r="GX288">
        <f>IF(ISBLANK('Data Entry'!$Ď$288), "", 'Data Entry'!$Ď$288)</f>
      </c>
      <c r="GY288">
        <f>IF(ISBLANK('Data Entry'!$ď$288), "", 'Data Entry'!$ď$288)</f>
      </c>
      <c r="GZ288">
        <f>IF(ISBLANK('Data Entry'!$Đ$288), "", 'Data Entry'!$Đ$288)</f>
      </c>
      <c r="HA288">
        <f>IF(ISBLANK('Data Entry'!$đ$288), "", 'Data Entry'!$đ$288)</f>
      </c>
      <c r="HB288">
        <f>IF(ISBLANK('Data Entry'!$Ē$288), "", 'Data Entry'!$Ē$288)</f>
      </c>
      <c r="HC288">
        <f>IF(ISBLANK('Data Entry'!$ē$288), "", 'Data Entry'!$ē$288)</f>
      </c>
      <c r="HD288">
        <f>IF(ISBLANK('Data Entry'!$Ĕ$288), "", 'Data Entry'!$Ĕ$288)</f>
      </c>
      <c r="HE288">
        <f>IF(ISBLANK('Data Entry'!$ĕ$288), "", 'Data Entry'!$ĕ$288)</f>
      </c>
      <c r="HF288">
        <f>IF(ISBLANK('Data Entry'!$Ė$288), "", 'Data Entry'!$Ė$288)</f>
      </c>
      <c r="HG288">
        <f>IF(ISBLANK('Data Entry'!$ė$288), "", 'Data Entry'!$ė$288)</f>
      </c>
      <c r="HH288">
        <f>IF(ISBLANK('Data Entry'!$Ę$288), "", 'Data Entry'!$Ę$288)</f>
      </c>
      <c r="HI288">
        <f>IF(ISBLANK('Data Entry'!$ę$288), "", 'Data Entry'!$ę$288)</f>
      </c>
      <c r="HJ288">
        <f>IF(ISBLANK('Data Entry'!$Ě$288), "", 'Data Entry'!$Ě$288)</f>
      </c>
      <c r="HK288">
        <f>IF(ISBLANK('Data Entry'!$ě$288), "", 'Data Entry'!$ě$288)</f>
      </c>
      <c r="HL288">
        <f>IF(ISBLANK('Data Entry'!$Ĝ$288), "", 'Data Entry'!$Ĝ$288)</f>
      </c>
      <c r="HM288">
        <f>IF(ISBLANK('Data Entry'!$ĝ$288), "", 'Data Entry'!$ĝ$288)</f>
      </c>
      <c r="HN288">
        <f>IF(ISBLANK('Data Entry'!$Ğ$288), "", 'Data Entry'!$Ğ$288)</f>
      </c>
      <c r="HO288">
        <f>IF(ISBLANK('Data Entry'!$ğ$288), "", 'Data Entry'!$ğ$288)</f>
      </c>
      <c r="HP288">
        <f>IF(ISBLANK('Data Entry'!$Ġ$288), "", 'Data Entry'!$Ġ$288)</f>
      </c>
      <c r="HQ288">
        <f>IF(ISBLANK('Data Entry'!$ġ$288), "", 'Data Entry'!$ġ$288)</f>
      </c>
      <c r="HR288">
        <f>IF(ISBLANK('Data Entry'!$Ģ$288), "", 'Data Entry'!$Ģ$288)</f>
      </c>
      <c r="HS288">
        <f>IF(ISBLANK('Data Entry'!$ģ$288), "", 'Data Entry'!$ģ$288)</f>
      </c>
      <c r="HT288">
        <f>IF(ISBLANK('Data Entry'!$Ĥ$288), "", 'Data Entry'!$Ĥ$288)</f>
      </c>
      <c r="HU288">
        <f>IF(ISBLANK('Data Entry'!$ĥ$288), "", 'Data Entry'!$ĥ$288)</f>
      </c>
      <c r="HV288">
        <f>IF(ISBLANK('Data Entry'!$Ħ$288), "", 'Data Entry'!$Ħ$288)</f>
      </c>
      <c r="HW288">
        <f>IF(ISBLANK('Data Entry'!$ħ$288), "", 'Data Entry'!$ħ$288)</f>
      </c>
      <c r="HX288">
        <f>IF(ISBLANK('Data Entry'!$Ĩ$288), "", 'Data Entry'!$Ĩ$288)</f>
      </c>
      <c r="HY288">
        <f>IF(ISBLANK('Data Entry'!$ĩ$288), "", 'Data Entry'!$ĩ$288)</f>
      </c>
      <c r="HZ288">
        <f>IF(ISBLANK('Data Entry'!$Ī$288), "", 'Data Entry'!$Ī$288)</f>
      </c>
      <c r="IA288">
        <f>IF(ISBLANK('Data Entry'!$ī$288), "", 'Data Entry'!$ī$288)</f>
      </c>
      <c r="IB288">
        <f>IF(ISBLANK('Data Entry'!$Ĭ$288), "", 'Data Entry'!$Ĭ$288)</f>
      </c>
      <c r="IC288">
        <f>IF(ISBLANK('Data Entry'!$ĭ$288), "", 'Data Entry'!$ĭ$288)</f>
      </c>
      <c r="ID288">
        <f>IF(ISBLANK('Data Entry'!$Į$288), "", 'Data Entry'!$Į$288)</f>
      </c>
      <c r="IE288">
        <f>IF(ISBLANK('Data Entry'!$į$288), "", 'Data Entry'!$į$288)</f>
      </c>
      <c r="IF288">
        <f>IF(ISBLANK('Data Entry'!$İ$288), "", 'Data Entry'!$İ$288)</f>
      </c>
      <c r="IG288">
        <f>IF(ISBLANK('Data Entry'!$ı$288), "", 'Data Entry'!$ı$288)</f>
      </c>
      <c r="IH288">
        <f>IF(ISBLANK('Data Entry'!$Ĳ$288), "", 'Data Entry'!$Ĳ$288)</f>
      </c>
      <c r="II288">
        <f>IF(ISBLANK('Data Entry'!$ĳ$288), "", 'Data Entry'!$ĳ$288)</f>
      </c>
      <c r="IJ288">
        <f>IF(ISBLANK('Data Entry'!$Ĵ$288), "", 'Data Entry'!$Ĵ$288)</f>
      </c>
      <c r="IK288">
        <f>IF(ISBLANK('Data Entry'!$ĵ$288), "", 'Data Entry'!$ĵ$288)</f>
      </c>
      <c r="IL288">
        <f>IF(ISBLANK('Data Entry'!$Ķ$288), "", 'Data Entry'!$Ķ$288)</f>
      </c>
      <c r="IM288">
        <f>IF(ISBLANK('Data Entry'!$ķ$288), "", 'Data Entry'!$ķ$288)</f>
      </c>
      <c r="IN288">
        <f>IF(ISBLANK('Data Entry'!$ĸ$288), "", 'Data Entry'!$ĸ$288)</f>
      </c>
      <c r="IO288">
        <f>IF(ISBLANK('Data Entry'!$Ĺ$288), "", 'Data Entry'!$Ĺ$288)</f>
      </c>
      <c r="IP288">
        <f>IF(ISBLANK('Data Entry'!$ĺ$288), "", 'Data Entry'!$ĺ$288)</f>
      </c>
      <c r="IQ288">
        <f>IF(ISBLANK('Data Entry'!$Ļ$288), "", 'Data Entry'!$Ļ$288)</f>
      </c>
      <c r="IR288">
        <f>IF(ISBLANK('Data Entry'!$ļ$288), "", 'Data Entry'!$ļ$288)</f>
      </c>
      <c r="IS288">
        <f>IF(ISBLANK('Data Entry'!$Ľ$288), "", 'Data Entry'!$Ľ$288)</f>
      </c>
      <c r="IT288">
        <f>IF(ISBLANK('Data Entry'!$ľ$288), "", 'Data Entry'!$ľ$288)</f>
      </c>
    </row>
    <row r="289" spans="1:254" x14ac:dyDescent="0.25">
      <c r="A289">
        <f>IF(ISBLANK('Data Entry'!$A$289), "", 'Data Entry'!$A$289)</f>
      </c>
      <c r="B289">
        <f>IF(ISBLANK('Data Entry'!$B$289), "", 'Data Entry'!$B$289)</f>
      </c>
      <c r="C289">
        <f>IF(ISBLANK('Data Entry'!$C$289), "", 'Data Entry'!$C$289)</f>
      </c>
      <c r="D289">
        <f>IF(ISBLANK('Data Entry'!$D$289), "", 'Data Entry'!$D$289)</f>
      </c>
      <c r="E289">
        <f>IF(ISBLANK('Data Entry'!$E$289), "", 'Data Entry'!$E$289)</f>
      </c>
      <c r="F289">
        <f>IF(ISBLANK('Data Entry'!$F$289), "", 'Data Entry'!$F$289)</f>
      </c>
      <c r="G289">
        <f>IF(ISBLANK('Data Entry'!$G$289), "", 'Data Entry'!$G$289)</f>
      </c>
      <c r="H289">
        <f>IF(ISBLANK('Data Entry'!$H$289), "", 'Data Entry'!$H$289)</f>
      </c>
      <c r="I289">
        <f>IF(ISBLANK('Data Entry'!$I$289), "", 'Data Entry'!$I$289)</f>
      </c>
      <c r="J289">
        <f>IF(ISBLANK('Data Entry'!$J$289), "", 'Data Entry'!$J$289)</f>
      </c>
      <c r="K289">
        <f>IF(ISBLANK('Data Entry'!$K$289), "", 'Data Entry'!$K$289)</f>
      </c>
      <c r="L289">
        <f>IF(ISBLANK('Data Entry'!$L$289), "", 'Data Entry'!$L$289)</f>
      </c>
      <c r="M289">
        <f>IF(ISBLANK('Data Entry'!$M$289), "", 'Data Entry'!$M$289)</f>
      </c>
      <c r="N289">
        <f>IF(ISBLANK('Data Entry'!$N$289), "", 'Data Entry'!$N$289)</f>
      </c>
      <c r="O289">
        <f>IF(ISBLANK('Data Entry'!$O$289), "", 'Data Entry'!$O$289)</f>
      </c>
      <c r="P289">
        <f>IF(ISBLANK('Data Entry'!$P$289), "", 'Data Entry'!$P$289)</f>
      </c>
      <c r="Q289">
        <f>IF(ISBLANK('Data Entry'!$Q$289), "", 'Data Entry'!$Q$289)</f>
      </c>
      <c r="R289">
        <f>IF(ISBLANK('Data Entry'!$R$289), "", 'Data Entry'!$R$289)</f>
      </c>
      <c r="S289">
        <f>IF(ISBLANK('Data Entry'!$S$289), "", 'Data Entry'!$S$289)</f>
      </c>
      <c r="T289">
        <f>IF(ISBLANK('Data Entry'!$T$289), "", 'Data Entry'!$T$289)</f>
      </c>
      <c r="U289">
        <f>IF(ISBLANK('Data Entry'!$U$289), "", 'Data Entry'!$U$289)</f>
      </c>
      <c r="V289">
        <f>IF(ISBLANK('Data Entry'!$V$289), "", 'Data Entry'!$V$289)</f>
      </c>
      <c r="W289">
        <f>IF(ISBLANK('Data Entry'!$W$289), "", 'Data Entry'!$W$289)</f>
      </c>
      <c r="X289">
        <f>IF(ISBLANK('Data Entry'!$X$289), "", 'Data Entry'!$X$289)</f>
      </c>
      <c r="Y289">
        <f>IF(ISBLANK('Data Entry'!$Y$289), "", 'Data Entry'!$Y$289)</f>
      </c>
      <c r="Z289">
        <f>IF(ISBLANK('Data Entry'!$Z$289), "", 'Data Entry'!$Z$289)</f>
      </c>
      <c r="AA289">
        <f>IF(ISBLANK('Data Entry'!$[$289), "", 'Data Entry'!$[$289)</f>
      </c>
      <c r="AB289">
        <f>IF(ISBLANK('Data Entry'!$\$289), "", 'Data Entry'!$\$289)</f>
      </c>
      <c r="AC289">
        <f>IF(ISBLANK('Data Entry'!$]$289), "", 'Data Entry'!$]$289)</f>
      </c>
      <c r="AD289">
        <f>IF(ISBLANK('Data Entry'!$^$289), "", 'Data Entry'!$^$289)</f>
      </c>
      <c r="AE289">
        <f>IF(ISBLANK('Data Entry'!$_$289), "", 'Data Entry'!$_$289)</f>
      </c>
      <c r="AF289">
        <f>IF(ISBLANK('Data Entry'!$`$289), "", 'Data Entry'!$`$289)</f>
      </c>
      <c r="AG289">
        <f>IF(ISBLANK('Data Entry'!$a$289), "", 'Data Entry'!$a$289)</f>
      </c>
      <c r="AH289">
        <f>IF(ISBLANK('Data Entry'!$b$289), "", 'Data Entry'!$b$289)</f>
      </c>
      <c r="AI289">
        <f>IF(ISBLANK('Data Entry'!$c$289), "", 'Data Entry'!$c$289)</f>
      </c>
      <c r="AJ289">
        <f>IF(ISBLANK('Data Entry'!$d$289), "", 'Data Entry'!$d$289)</f>
      </c>
      <c r="AK289">
        <f>IF(ISBLANK('Data Entry'!$e$289), "", 'Data Entry'!$e$289)</f>
      </c>
      <c r="AL289">
        <f>IF(ISBLANK('Data Entry'!$f$289), "", 'Data Entry'!$f$289)</f>
      </c>
      <c r="AM289">
        <f>IF(ISBLANK('Data Entry'!$g$289), "", 'Data Entry'!$g$289)</f>
      </c>
      <c r="AN289">
        <f>IF(ISBLANK('Data Entry'!$h$289), "", 'Data Entry'!$h$289)</f>
      </c>
      <c r="AO289">
        <f>IF(ISBLANK('Data Entry'!$i$289), "", 'Data Entry'!$i$289)</f>
      </c>
      <c r="AP289">
        <f>IF(ISBLANK('Data Entry'!$j$289), "", 'Data Entry'!$j$289)</f>
      </c>
      <c r="AQ289">
        <f>IF(ISBLANK('Data Entry'!$k$289), "", 'Data Entry'!$k$289)</f>
      </c>
      <c r="AR289">
        <f>IF(ISBLANK('Data Entry'!$l$289), "", 'Data Entry'!$l$289)</f>
      </c>
      <c r="AS289">
        <f>IF(ISBLANK('Data Entry'!$m$289), "", 'Data Entry'!$m$289)</f>
      </c>
      <c r="AT289">
        <f>IF(ISBLANK('Data Entry'!$n$289), "", 'Data Entry'!$n$289)</f>
      </c>
      <c r="AU289">
        <f>IF(ISBLANK('Data Entry'!$o$289), "", 'Data Entry'!$o$289)</f>
      </c>
      <c r="AV289">
        <f>IF(ISBLANK('Data Entry'!$p$289), "", 'Data Entry'!$p$289)</f>
      </c>
      <c r="AW289">
        <f>IF(ISBLANK('Data Entry'!$q$289), "", 'Data Entry'!$q$289)</f>
      </c>
      <c r="AX289">
        <f>IF(ISBLANK('Data Entry'!$r$289), "", 'Data Entry'!$r$289)</f>
      </c>
      <c r="AY289">
        <f>IF(ISBLANK('Data Entry'!$s$289), "", 'Data Entry'!$s$289)</f>
      </c>
      <c r="AZ289">
        <f>IF(ISBLANK('Data Entry'!$t$289), "", 'Data Entry'!$t$289)</f>
      </c>
      <c r="BA289">
        <f>IF(ISBLANK('Data Entry'!$u$289), "", 'Data Entry'!$u$289)</f>
      </c>
      <c r="BB289">
        <f>IF(ISBLANK('Data Entry'!$v$289), "", 'Data Entry'!$v$289)</f>
      </c>
      <c r="BC289">
        <f>IF(ISBLANK('Data Entry'!$w$289), "", 'Data Entry'!$w$289)</f>
      </c>
      <c r="BD289">
        <f>IF(ISBLANK('Data Entry'!$x$289), "", 'Data Entry'!$x$289)</f>
      </c>
      <c r="BE289">
        <f>IF(ISBLANK('Data Entry'!$y$289), "", 'Data Entry'!$y$289)</f>
      </c>
      <c r="BF289">
        <f>IF(ISBLANK('Data Entry'!$z$289), "", 'Data Entry'!$z$289)</f>
      </c>
      <c r="BG289">
        <f>IF(ISBLANK('Data Entry'!${$289), "", 'Data Entry'!${$289)</f>
      </c>
      <c r="BH289">
        <f>IF(ISBLANK('Data Entry'!$|$289), "", 'Data Entry'!$|$289)</f>
      </c>
      <c r="BI289">
        <f>IF(ISBLANK('Data Entry'!$}$289), "", 'Data Entry'!$}$289)</f>
      </c>
      <c r="BJ289">
        <f>IF(ISBLANK('Data Entry'!$~$289), "", 'Data Entry'!$~$289)</f>
      </c>
      <c r="BK289">
        <f>IF(ISBLANK('Data Entry'!$$289), "", 'Data Entry'!$$289)</f>
      </c>
      <c r="BL289">
        <f>IF(ISBLANK('Data Entry'!$$289), "", 'Data Entry'!$$289)</f>
      </c>
      <c r="BM289">
        <f>IF(ISBLANK('Data Entry'!$$289), "", 'Data Entry'!$$289)</f>
      </c>
      <c r="BN289">
        <f>IF(ISBLANK('Data Entry'!$$289), "", 'Data Entry'!$$289)</f>
      </c>
      <c r="BO289">
        <f>IF(ISBLANK('Data Entry'!$$289), "", 'Data Entry'!$$289)</f>
      </c>
      <c r="BP289">
        <f>IF(ISBLANK('Data Entry'!$$289), "", 'Data Entry'!$$289)</f>
      </c>
      <c r="BQ289">
        <f>IF(ISBLANK('Data Entry'!$$289), "", 'Data Entry'!$$289)</f>
      </c>
      <c r="BR289">
        <f>IF(ISBLANK('Data Entry'!$$289), "", 'Data Entry'!$$289)</f>
      </c>
      <c r="BS289">
        <f>IF(ISBLANK('Data Entry'!$$289), "", 'Data Entry'!$$289)</f>
      </c>
      <c r="BT289">
        <f>IF(ISBLANK('Data Entry'!$$289), "", 'Data Entry'!$$289)</f>
      </c>
      <c r="BU289">
        <f>IF(ISBLANK('Data Entry'!$$289), "", 'Data Entry'!$$289)</f>
      </c>
      <c r="BV289">
        <f>IF(ISBLANK('Data Entry'!$$289), "", 'Data Entry'!$$289)</f>
      </c>
      <c r="BW289">
        <f>IF(ISBLANK('Data Entry'!$$289), "", 'Data Entry'!$$289)</f>
      </c>
      <c r="BX289">
        <f>IF(ISBLANK('Data Entry'!$$289), "", 'Data Entry'!$$289)</f>
      </c>
      <c r="BY289">
        <f>IF(ISBLANK('Data Entry'!$$289), "", 'Data Entry'!$$289)</f>
      </c>
      <c r="BZ289">
        <f>IF(ISBLANK('Data Entry'!$$289), "", 'Data Entry'!$$289)</f>
      </c>
      <c r="CA289">
        <f>IF(ISBLANK('Data Entry'!$$289), "", 'Data Entry'!$$289)</f>
      </c>
      <c r="CB289">
        <f>IF(ISBLANK('Data Entry'!$$289), "", 'Data Entry'!$$289)</f>
      </c>
      <c r="CC289">
        <f>IF(ISBLANK('Data Entry'!$$289), "", 'Data Entry'!$$289)</f>
      </c>
      <c r="CD289">
        <f>IF(ISBLANK('Data Entry'!$$289), "", 'Data Entry'!$$289)</f>
      </c>
      <c r="CE289">
        <f>IF(ISBLANK('Data Entry'!$$289), "", 'Data Entry'!$$289)</f>
      </c>
      <c r="CF289">
        <f>IF(ISBLANK('Data Entry'!$$289), "", 'Data Entry'!$$289)</f>
      </c>
      <c r="CG289">
        <f>IF(ISBLANK('Data Entry'!$$289), "", 'Data Entry'!$$289)</f>
      </c>
      <c r="CH289">
        <f>IF(ISBLANK('Data Entry'!$$289), "", 'Data Entry'!$$289)</f>
      </c>
      <c r="CI289">
        <f>IF(ISBLANK('Data Entry'!$$289), "", 'Data Entry'!$$289)</f>
      </c>
      <c r="CJ289">
        <f>IF(ISBLANK('Data Entry'!$$289), "", 'Data Entry'!$$289)</f>
      </c>
      <c r="CK289">
        <f>IF(ISBLANK('Data Entry'!$$289), "", 'Data Entry'!$$289)</f>
      </c>
      <c r="CL289">
        <f>IF(ISBLANK('Data Entry'!$$289), "", 'Data Entry'!$$289)</f>
      </c>
      <c r="CM289">
        <f>IF(ISBLANK('Data Entry'!$$289), "", 'Data Entry'!$$289)</f>
      </c>
      <c r="CN289">
        <f>IF(ISBLANK('Data Entry'!$$289), "", 'Data Entry'!$$289)</f>
      </c>
      <c r="CO289">
        <f>IF(ISBLANK('Data Entry'!$$289), "", 'Data Entry'!$$289)</f>
      </c>
      <c r="CP289">
        <f>IF(ISBLANK('Data Entry'!$$289), "", 'Data Entry'!$$289)</f>
      </c>
      <c r="CQ289">
        <f>IF(ISBLANK('Data Entry'!$$289), "", 'Data Entry'!$$289)</f>
      </c>
      <c r="CR289">
        <f>IF(ISBLANK('Data Entry'!$ $289), "", 'Data Entry'!$ $289)</f>
      </c>
      <c r="CS289">
        <f>IF(ISBLANK('Data Entry'!$¡$289), "", 'Data Entry'!$¡$289)</f>
      </c>
      <c r="CT289">
        <f>IF(ISBLANK('Data Entry'!$¢$289), "", 'Data Entry'!$¢$289)</f>
      </c>
      <c r="CU289">
        <f>IF(ISBLANK('Data Entry'!$£$289), "", 'Data Entry'!$£$289)</f>
      </c>
      <c r="CV289">
        <f>IF(ISBLANK('Data Entry'!$¤$289), "", 'Data Entry'!$¤$289)</f>
      </c>
      <c r="CW289">
        <f>IF(ISBLANK('Data Entry'!$¥$289), "", 'Data Entry'!$¥$289)</f>
      </c>
      <c r="CX289">
        <f>IF(ISBLANK('Data Entry'!$¦$289), "", 'Data Entry'!$¦$289)</f>
      </c>
      <c r="CY289">
        <f>IF(ISBLANK('Data Entry'!$§$289), "", 'Data Entry'!$§$289)</f>
      </c>
      <c r="CZ289">
        <f>IF(ISBLANK('Data Entry'!$¨$289), "", 'Data Entry'!$¨$289)</f>
      </c>
      <c r="DA289">
        <f>IF(ISBLANK('Data Entry'!$©$289), "", 'Data Entry'!$©$289)</f>
      </c>
      <c r="DB289">
        <f>IF(ISBLANK('Data Entry'!$ª$289), "", 'Data Entry'!$ª$289)</f>
      </c>
      <c r="DC289">
        <f>IF(ISBLANK('Data Entry'!$«$289), "", 'Data Entry'!$«$289)</f>
      </c>
      <c r="DD289">
        <f>IF(ISBLANK('Data Entry'!$¬$289), "", 'Data Entry'!$¬$289)</f>
      </c>
      <c r="DE289">
        <f>IF(ISBLANK('Data Entry'!$­$289), "", 'Data Entry'!$­$289)</f>
      </c>
      <c r="DF289">
        <f>IF(ISBLANK('Data Entry'!$®$289), "", 'Data Entry'!$®$289)</f>
      </c>
      <c r="DG289">
        <f>IF(ISBLANK('Data Entry'!$¯$289), "", 'Data Entry'!$¯$289)</f>
      </c>
      <c r="DH289">
        <f>IF(ISBLANK('Data Entry'!$°$289), "", 'Data Entry'!$°$289)</f>
      </c>
      <c r="DI289">
        <f>IF(ISBLANK('Data Entry'!$±$289), "", 'Data Entry'!$±$289)</f>
      </c>
      <c r="DJ289">
        <f>IF(ISBLANK('Data Entry'!$²$289), "", 'Data Entry'!$²$289)</f>
      </c>
      <c r="DK289">
        <f>IF(ISBLANK('Data Entry'!$³$289), "", 'Data Entry'!$³$289)</f>
      </c>
      <c r="DL289">
        <f>IF(ISBLANK('Data Entry'!$´$289), "", 'Data Entry'!$´$289)</f>
      </c>
      <c r="DM289">
        <f>IF(ISBLANK('Data Entry'!$µ$289), "", 'Data Entry'!$µ$289)</f>
      </c>
      <c r="DN289">
        <f>IF(ISBLANK('Data Entry'!$¶$289), "", 'Data Entry'!$¶$289)</f>
      </c>
      <c r="DO289">
        <f>IF(ISBLANK('Data Entry'!$·$289), "", 'Data Entry'!$·$289)</f>
      </c>
      <c r="DP289">
        <f>IF(ISBLANK('Data Entry'!$¸$289), "", 'Data Entry'!$¸$289)</f>
      </c>
      <c r="DQ289">
        <f>IF(ISBLANK('Data Entry'!$¹$289), "", 'Data Entry'!$¹$289)</f>
      </c>
      <c r="DR289">
        <f>IF(ISBLANK('Data Entry'!$º$289), "", 'Data Entry'!$º$289)</f>
      </c>
      <c r="DS289">
        <f>IF(ISBLANK('Data Entry'!$»$289), "", 'Data Entry'!$»$289)</f>
      </c>
      <c r="DT289">
        <f>IF(ISBLANK('Data Entry'!$¼$289), "", 'Data Entry'!$¼$289)</f>
      </c>
      <c r="DU289">
        <f>IF(ISBLANK('Data Entry'!$½$289), "", 'Data Entry'!$½$289)</f>
      </c>
      <c r="DV289">
        <f>IF(ISBLANK('Data Entry'!$¾$289), "", 'Data Entry'!$¾$289)</f>
      </c>
      <c r="DW289">
        <f>IF(ISBLANK('Data Entry'!$¿$289), "", 'Data Entry'!$¿$289)</f>
      </c>
      <c r="DX289">
        <f>IF(ISBLANK('Data Entry'!$À$289), "", 'Data Entry'!$À$289)</f>
      </c>
      <c r="DY289">
        <f>IF(ISBLANK('Data Entry'!$Á$289), "", 'Data Entry'!$Á$289)</f>
      </c>
      <c r="DZ289">
        <f>IF(ISBLANK('Data Entry'!$Â$289), "", 'Data Entry'!$Â$289)</f>
      </c>
      <c r="EA289">
        <f>IF(ISBLANK('Data Entry'!$Ã$289), "", 'Data Entry'!$Ã$289)</f>
      </c>
      <c r="EB289">
        <f>IF(ISBLANK('Data Entry'!$Ä$289), "", 'Data Entry'!$Ä$289)</f>
      </c>
      <c r="EC289">
        <f>IF(ISBLANK('Data Entry'!$Å$289), "", 'Data Entry'!$Å$289)</f>
      </c>
      <c r="ED289">
        <f>IF(ISBLANK('Data Entry'!$Æ$289), "", 'Data Entry'!$Æ$289)</f>
      </c>
      <c r="EE289">
        <f>IF(ISBLANK('Data Entry'!$Ç$289), "", 'Data Entry'!$Ç$289)</f>
      </c>
      <c r="EF289">
        <f>IF(ISBLANK('Data Entry'!$È$289), "", 'Data Entry'!$È$289)</f>
      </c>
      <c r="EG289">
        <f>IF(ISBLANK('Data Entry'!$É$289), "", 'Data Entry'!$É$289)</f>
      </c>
      <c r="EH289">
        <f>IF(ISBLANK('Data Entry'!$Ê$289), "", 'Data Entry'!$Ê$289)</f>
      </c>
      <c r="EI289">
        <f>IF(ISBLANK('Data Entry'!$Ë$289), "", 'Data Entry'!$Ë$289)</f>
      </c>
      <c r="EJ289">
        <f>IF(ISBLANK('Data Entry'!$Ì$289), "", 'Data Entry'!$Ì$289)</f>
      </c>
      <c r="EK289">
        <f>IF(ISBLANK('Data Entry'!$Í$289), "", 'Data Entry'!$Í$289)</f>
      </c>
      <c r="EL289">
        <f>IF(ISBLANK('Data Entry'!$Î$289), "", 'Data Entry'!$Î$289)</f>
      </c>
      <c r="EM289">
        <f>IF(ISBLANK('Data Entry'!$Ï$289), "", 'Data Entry'!$Ï$289)</f>
      </c>
      <c r="EN289">
        <f>IF(ISBLANK('Data Entry'!$Ð$289), "", 'Data Entry'!$Ð$289)</f>
      </c>
      <c r="EO289">
        <f>IF(ISBLANK('Data Entry'!$Ñ$289), "", 'Data Entry'!$Ñ$289)</f>
      </c>
      <c r="EP289">
        <f>IF(ISBLANK('Data Entry'!$Ò$289), "", 'Data Entry'!$Ò$289)</f>
      </c>
      <c r="EQ289">
        <f>IF(ISBLANK('Data Entry'!$Ó$289), "", 'Data Entry'!$Ó$289)</f>
      </c>
      <c r="ER289">
        <f>IF(ISBLANK('Data Entry'!$Ô$289), "", 'Data Entry'!$Ô$289)</f>
      </c>
      <c r="ES289">
        <f>IF(ISBLANK('Data Entry'!$Õ$289), "", 'Data Entry'!$Õ$289)</f>
      </c>
      <c r="ET289">
        <f>IF(ISBLANK('Data Entry'!$Ö$289), "", 'Data Entry'!$Ö$289)</f>
      </c>
      <c r="EU289">
        <f>IF(ISBLANK('Data Entry'!$×$289), "", 'Data Entry'!$×$289)</f>
      </c>
      <c r="EV289">
        <f>IF(ISBLANK('Data Entry'!$Ø$289), "", 'Data Entry'!$Ø$289)</f>
      </c>
      <c r="EW289">
        <f>IF(ISBLANK('Data Entry'!$Ù$289), "", 'Data Entry'!$Ù$289)</f>
      </c>
      <c r="EX289">
        <f>IF(ISBLANK('Data Entry'!$Ú$289), "", 'Data Entry'!$Ú$289)</f>
      </c>
      <c r="EY289">
        <f>IF(ISBLANK('Data Entry'!$Û$289), "", 'Data Entry'!$Û$289)</f>
      </c>
      <c r="EZ289">
        <f>IF(ISBLANK('Data Entry'!$Ü$289), "", 'Data Entry'!$Ü$289)</f>
      </c>
      <c r="FA289">
        <f>IF(ISBLANK('Data Entry'!$Ý$289), "", 'Data Entry'!$Ý$289)</f>
      </c>
      <c r="FB289">
        <f>IF(ISBLANK('Data Entry'!$Þ$289), "", 'Data Entry'!$Þ$289)</f>
      </c>
      <c r="FC289">
        <f>IF(ISBLANK('Data Entry'!$ß$289), "", 'Data Entry'!$ß$289)</f>
      </c>
      <c r="FD289">
        <f>IF(ISBLANK('Data Entry'!$à$289), "", 'Data Entry'!$à$289)</f>
      </c>
      <c r="FE289">
        <f>IF(ISBLANK('Data Entry'!$á$289), "", 'Data Entry'!$á$289)</f>
      </c>
      <c r="FF289">
        <f>IF(ISBLANK('Data Entry'!$â$289), "", 'Data Entry'!$â$289)</f>
      </c>
      <c r="FG289">
        <f>IF(ISBLANK('Data Entry'!$ã$289), "", 'Data Entry'!$ã$289)</f>
      </c>
      <c r="FH289">
        <f>IF(ISBLANK('Data Entry'!$ä$289), "", 'Data Entry'!$ä$289)</f>
      </c>
      <c r="FI289">
        <f>IF(ISBLANK('Data Entry'!$å$289), "", 'Data Entry'!$å$289)</f>
      </c>
      <c r="FJ289">
        <f>IF(ISBLANK('Data Entry'!$æ$289), "", 'Data Entry'!$æ$289)</f>
      </c>
      <c r="FK289">
        <f>IF(ISBLANK('Data Entry'!$ç$289), "", 'Data Entry'!$ç$289)</f>
      </c>
      <c r="FL289">
        <f>IF(ISBLANK('Data Entry'!$è$289), "", 'Data Entry'!$è$289)</f>
      </c>
      <c r="FM289">
        <f>IF(ISBLANK('Data Entry'!$é$289), "", 'Data Entry'!$é$289)</f>
      </c>
      <c r="FN289">
        <f>IF(ISBLANK('Data Entry'!$ê$289), "", 'Data Entry'!$ê$289)</f>
      </c>
      <c r="FO289">
        <f>IF(ISBLANK('Data Entry'!$ë$289), "", 'Data Entry'!$ë$289)</f>
      </c>
      <c r="FP289">
        <f>IF(ISBLANK('Data Entry'!$ì$289), "", 'Data Entry'!$ì$289)</f>
      </c>
      <c r="FQ289">
        <f>IF(ISBLANK('Data Entry'!$í$289), "", 'Data Entry'!$í$289)</f>
      </c>
      <c r="FR289">
        <f>IF(ISBLANK('Data Entry'!$î$289), "", 'Data Entry'!$î$289)</f>
      </c>
      <c r="FS289">
        <f>IF(ISBLANK('Data Entry'!$ï$289), "", 'Data Entry'!$ï$289)</f>
      </c>
      <c r="FT289">
        <f>IF(ISBLANK('Data Entry'!$ð$289), "", 'Data Entry'!$ð$289)</f>
      </c>
      <c r="FU289">
        <f>IF(ISBLANK('Data Entry'!$ñ$289), "", 'Data Entry'!$ñ$289)</f>
      </c>
      <c r="FV289">
        <f>IF(ISBLANK('Data Entry'!$ò$289), "", 'Data Entry'!$ò$289)</f>
      </c>
      <c r="FW289">
        <f>IF(ISBLANK('Data Entry'!$ó$289), "", 'Data Entry'!$ó$289)</f>
      </c>
      <c r="FX289">
        <f>IF(ISBLANK('Data Entry'!$ô$289), "", 'Data Entry'!$ô$289)</f>
      </c>
      <c r="FY289">
        <f>IF(ISBLANK('Data Entry'!$õ$289), "", 'Data Entry'!$õ$289)</f>
      </c>
      <c r="FZ289">
        <f>IF(ISBLANK('Data Entry'!$ö$289), "", 'Data Entry'!$ö$289)</f>
      </c>
      <c r="GA289">
        <f>IF(ISBLANK('Data Entry'!$÷$289), "", 'Data Entry'!$÷$289)</f>
      </c>
      <c r="GB289">
        <f>IF(ISBLANK('Data Entry'!$ø$289), "", 'Data Entry'!$ø$289)</f>
      </c>
      <c r="GC289">
        <f>IF(ISBLANK('Data Entry'!$ù$289), "", 'Data Entry'!$ù$289)</f>
      </c>
      <c r="GD289">
        <f>IF(ISBLANK('Data Entry'!$ú$289), "", 'Data Entry'!$ú$289)</f>
      </c>
      <c r="GE289">
        <f>IF(ISBLANK('Data Entry'!$û$289), "", 'Data Entry'!$û$289)</f>
      </c>
      <c r="GF289">
        <f>IF(ISBLANK('Data Entry'!$ü$289), "", 'Data Entry'!$ü$289)</f>
      </c>
      <c r="GG289">
        <f>IF(ISBLANK('Data Entry'!$ý$289), "", 'Data Entry'!$ý$289)</f>
      </c>
      <c r="GH289">
        <f>IF(ISBLANK('Data Entry'!$þ$289), "", 'Data Entry'!$þ$289)</f>
      </c>
      <c r="GI289">
        <f>IF(ISBLANK('Data Entry'!$ÿ$289), "", 'Data Entry'!$ÿ$289)</f>
      </c>
      <c r="GJ289">
        <f>IF(ISBLANK('Data Entry'!$Ā$289), "", 'Data Entry'!$Ā$289)</f>
      </c>
      <c r="GK289">
        <f>IF(ISBLANK('Data Entry'!$ā$289), "", 'Data Entry'!$ā$289)</f>
      </c>
      <c r="GL289">
        <f>IF(ISBLANK('Data Entry'!$Ă$289), "", 'Data Entry'!$Ă$289)</f>
      </c>
      <c r="GM289">
        <f>IF(ISBLANK('Data Entry'!$ă$289), "", 'Data Entry'!$ă$289)</f>
      </c>
      <c r="GN289">
        <f>IF(ISBLANK('Data Entry'!$Ą$289), "", 'Data Entry'!$Ą$289)</f>
      </c>
      <c r="GO289">
        <f>IF(ISBLANK('Data Entry'!$ą$289), "", 'Data Entry'!$ą$289)</f>
      </c>
      <c r="GP289">
        <f>IF(ISBLANK('Data Entry'!$Ć$289), "", 'Data Entry'!$Ć$289)</f>
      </c>
      <c r="GQ289">
        <f>IF(ISBLANK('Data Entry'!$ć$289), "", 'Data Entry'!$ć$289)</f>
      </c>
      <c r="GR289">
        <f>IF(ISBLANK('Data Entry'!$Ĉ$289), "", 'Data Entry'!$Ĉ$289)</f>
      </c>
      <c r="GS289">
        <f>IF(ISBLANK('Data Entry'!$ĉ$289), "", 'Data Entry'!$ĉ$289)</f>
      </c>
      <c r="GT289">
        <f>IF(ISBLANK('Data Entry'!$Ċ$289), "", 'Data Entry'!$Ċ$289)</f>
      </c>
      <c r="GU289">
        <f>IF(ISBLANK('Data Entry'!$ċ$289), "", 'Data Entry'!$ċ$289)</f>
      </c>
      <c r="GV289">
        <f>IF(ISBLANK('Data Entry'!$Č$289), "", 'Data Entry'!$Č$289)</f>
      </c>
      <c r="GW289">
        <f>IF(ISBLANK('Data Entry'!$č$289), "", 'Data Entry'!$č$289)</f>
      </c>
      <c r="GX289">
        <f>IF(ISBLANK('Data Entry'!$Ď$289), "", 'Data Entry'!$Ď$289)</f>
      </c>
      <c r="GY289">
        <f>IF(ISBLANK('Data Entry'!$ď$289), "", 'Data Entry'!$ď$289)</f>
      </c>
      <c r="GZ289">
        <f>IF(ISBLANK('Data Entry'!$Đ$289), "", 'Data Entry'!$Đ$289)</f>
      </c>
      <c r="HA289">
        <f>IF(ISBLANK('Data Entry'!$đ$289), "", 'Data Entry'!$đ$289)</f>
      </c>
      <c r="HB289">
        <f>IF(ISBLANK('Data Entry'!$Ē$289), "", 'Data Entry'!$Ē$289)</f>
      </c>
      <c r="HC289">
        <f>IF(ISBLANK('Data Entry'!$ē$289), "", 'Data Entry'!$ē$289)</f>
      </c>
      <c r="HD289">
        <f>IF(ISBLANK('Data Entry'!$Ĕ$289), "", 'Data Entry'!$Ĕ$289)</f>
      </c>
      <c r="HE289">
        <f>IF(ISBLANK('Data Entry'!$ĕ$289), "", 'Data Entry'!$ĕ$289)</f>
      </c>
      <c r="HF289">
        <f>IF(ISBLANK('Data Entry'!$Ė$289), "", 'Data Entry'!$Ė$289)</f>
      </c>
      <c r="HG289">
        <f>IF(ISBLANK('Data Entry'!$ė$289), "", 'Data Entry'!$ė$289)</f>
      </c>
      <c r="HH289">
        <f>IF(ISBLANK('Data Entry'!$Ę$289), "", 'Data Entry'!$Ę$289)</f>
      </c>
      <c r="HI289">
        <f>IF(ISBLANK('Data Entry'!$ę$289), "", 'Data Entry'!$ę$289)</f>
      </c>
      <c r="HJ289">
        <f>IF(ISBLANK('Data Entry'!$Ě$289), "", 'Data Entry'!$Ě$289)</f>
      </c>
      <c r="HK289">
        <f>IF(ISBLANK('Data Entry'!$ě$289), "", 'Data Entry'!$ě$289)</f>
      </c>
      <c r="HL289">
        <f>IF(ISBLANK('Data Entry'!$Ĝ$289), "", 'Data Entry'!$Ĝ$289)</f>
      </c>
      <c r="HM289">
        <f>IF(ISBLANK('Data Entry'!$ĝ$289), "", 'Data Entry'!$ĝ$289)</f>
      </c>
      <c r="HN289">
        <f>IF(ISBLANK('Data Entry'!$Ğ$289), "", 'Data Entry'!$Ğ$289)</f>
      </c>
      <c r="HO289">
        <f>IF(ISBLANK('Data Entry'!$ğ$289), "", 'Data Entry'!$ğ$289)</f>
      </c>
      <c r="HP289">
        <f>IF(ISBLANK('Data Entry'!$Ġ$289), "", 'Data Entry'!$Ġ$289)</f>
      </c>
      <c r="HQ289">
        <f>IF(ISBLANK('Data Entry'!$ġ$289), "", 'Data Entry'!$ġ$289)</f>
      </c>
      <c r="HR289">
        <f>IF(ISBLANK('Data Entry'!$Ģ$289), "", 'Data Entry'!$Ģ$289)</f>
      </c>
      <c r="HS289">
        <f>IF(ISBLANK('Data Entry'!$ģ$289), "", 'Data Entry'!$ģ$289)</f>
      </c>
      <c r="HT289">
        <f>IF(ISBLANK('Data Entry'!$Ĥ$289), "", 'Data Entry'!$Ĥ$289)</f>
      </c>
      <c r="HU289">
        <f>IF(ISBLANK('Data Entry'!$ĥ$289), "", 'Data Entry'!$ĥ$289)</f>
      </c>
      <c r="HV289">
        <f>IF(ISBLANK('Data Entry'!$Ħ$289), "", 'Data Entry'!$Ħ$289)</f>
      </c>
      <c r="HW289">
        <f>IF(ISBLANK('Data Entry'!$ħ$289), "", 'Data Entry'!$ħ$289)</f>
      </c>
      <c r="HX289">
        <f>IF(ISBLANK('Data Entry'!$Ĩ$289), "", 'Data Entry'!$Ĩ$289)</f>
      </c>
      <c r="HY289">
        <f>IF(ISBLANK('Data Entry'!$ĩ$289), "", 'Data Entry'!$ĩ$289)</f>
      </c>
      <c r="HZ289">
        <f>IF(ISBLANK('Data Entry'!$Ī$289), "", 'Data Entry'!$Ī$289)</f>
      </c>
      <c r="IA289">
        <f>IF(ISBLANK('Data Entry'!$ī$289), "", 'Data Entry'!$ī$289)</f>
      </c>
      <c r="IB289">
        <f>IF(ISBLANK('Data Entry'!$Ĭ$289), "", 'Data Entry'!$Ĭ$289)</f>
      </c>
      <c r="IC289">
        <f>IF(ISBLANK('Data Entry'!$ĭ$289), "", 'Data Entry'!$ĭ$289)</f>
      </c>
      <c r="ID289">
        <f>IF(ISBLANK('Data Entry'!$Į$289), "", 'Data Entry'!$Į$289)</f>
      </c>
      <c r="IE289">
        <f>IF(ISBLANK('Data Entry'!$į$289), "", 'Data Entry'!$į$289)</f>
      </c>
      <c r="IF289">
        <f>IF(ISBLANK('Data Entry'!$İ$289), "", 'Data Entry'!$İ$289)</f>
      </c>
      <c r="IG289">
        <f>IF(ISBLANK('Data Entry'!$ı$289), "", 'Data Entry'!$ı$289)</f>
      </c>
      <c r="IH289">
        <f>IF(ISBLANK('Data Entry'!$Ĳ$289), "", 'Data Entry'!$Ĳ$289)</f>
      </c>
      <c r="II289">
        <f>IF(ISBLANK('Data Entry'!$ĳ$289), "", 'Data Entry'!$ĳ$289)</f>
      </c>
      <c r="IJ289">
        <f>IF(ISBLANK('Data Entry'!$Ĵ$289), "", 'Data Entry'!$Ĵ$289)</f>
      </c>
      <c r="IK289">
        <f>IF(ISBLANK('Data Entry'!$ĵ$289), "", 'Data Entry'!$ĵ$289)</f>
      </c>
      <c r="IL289">
        <f>IF(ISBLANK('Data Entry'!$Ķ$289), "", 'Data Entry'!$Ķ$289)</f>
      </c>
      <c r="IM289">
        <f>IF(ISBLANK('Data Entry'!$ķ$289), "", 'Data Entry'!$ķ$289)</f>
      </c>
      <c r="IN289">
        <f>IF(ISBLANK('Data Entry'!$ĸ$289), "", 'Data Entry'!$ĸ$289)</f>
      </c>
      <c r="IO289">
        <f>IF(ISBLANK('Data Entry'!$Ĺ$289), "", 'Data Entry'!$Ĺ$289)</f>
      </c>
      <c r="IP289">
        <f>IF(ISBLANK('Data Entry'!$ĺ$289), "", 'Data Entry'!$ĺ$289)</f>
      </c>
      <c r="IQ289">
        <f>IF(ISBLANK('Data Entry'!$Ļ$289), "", 'Data Entry'!$Ļ$289)</f>
      </c>
      <c r="IR289">
        <f>IF(ISBLANK('Data Entry'!$ļ$289), "", 'Data Entry'!$ļ$289)</f>
      </c>
      <c r="IS289">
        <f>IF(ISBLANK('Data Entry'!$Ľ$289), "", 'Data Entry'!$Ľ$289)</f>
      </c>
      <c r="IT289">
        <f>IF(ISBLANK('Data Entry'!$ľ$289), "", 'Data Entry'!$ľ$289)</f>
      </c>
    </row>
    <row r="290" spans="1:254" x14ac:dyDescent="0.25">
      <c r="A290">
        <f>IF(ISBLANK('Data Entry'!$A$290), "", 'Data Entry'!$A$290)</f>
      </c>
      <c r="B290">
        <f>IF(ISBLANK('Data Entry'!$B$290), "", 'Data Entry'!$B$290)</f>
      </c>
      <c r="C290">
        <f>IF(ISBLANK('Data Entry'!$C$290), "", 'Data Entry'!$C$290)</f>
      </c>
      <c r="D290">
        <f>IF(ISBLANK('Data Entry'!$D$290), "", 'Data Entry'!$D$290)</f>
      </c>
      <c r="E290">
        <f>IF(ISBLANK('Data Entry'!$E$290), "", 'Data Entry'!$E$290)</f>
      </c>
      <c r="F290">
        <f>IF(ISBLANK('Data Entry'!$F$290), "", 'Data Entry'!$F$290)</f>
      </c>
      <c r="G290">
        <f>IF(ISBLANK('Data Entry'!$G$290), "", 'Data Entry'!$G$290)</f>
      </c>
      <c r="H290">
        <f>IF(ISBLANK('Data Entry'!$H$290), "", 'Data Entry'!$H$290)</f>
      </c>
      <c r="I290">
        <f>IF(ISBLANK('Data Entry'!$I$290), "", 'Data Entry'!$I$290)</f>
      </c>
      <c r="J290">
        <f>IF(ISBLANK('Data Entry'!$J$290), "", 'Data Entry'!$J$290)</f>
      </c>
      <c r="K290">
        <f>IF(ISBLANK('Data Entry'!$K$290), "", 'Data Entry'!$K$290)</f>
      </c>
      <c r="L290">
        <f>IF(ISBLANK('Data Entry'!$L$290), "", 'Data Entry'!$L$290)</f>
      </c>
      <c r="M290">
        <f>IF(ISBLANK('Data Entry'!$M$290), "", 'Data Entry'!$M$290)</f>
      </c>
      <c r="N290">
        <f>IF(ISBLANK('Data Entry'!$N$290), "", 'Data Entry'!$N$290)</f>
      </c>
      <c r="O290">
        <f>IF(ISBLANK('Data Entry'!$O$290), "", 'Data Entry'!$O$290)</f>
      </c>
      <c r="P290">
        <f>IF(ISBLANK('Data Entry'!$P$290), "", 'Data Entry'!$P$290)</f>
      </c>
      <c r="Q290">
        <f>IF(ISBLANK('Data Entry'!$Q$290), "", 'Data Entry'!$Q$290)</f>
      </c>
      <c r="R290">
        <f>IF(ISBLANK('Data Entry'!$R$290), "", 'Data Entry'!$R$290)</f>
      </c>
      <c r="S290">
        <f>IF(ISBLANK('Data Entry'!$S$290), "", 'Data Entry'!$S$290)</f>
      </c>
      <c r="T290">
        <f>IF(ISBLANK('Data Entry'!$T$290), "", 'Data Entry'!$T$290)</f>
      </c>
      <c r="U290">
        <f>IF(ISBLANK('Data Entry'!$U$290), "", 'Data Entry'!$U$290)</f>
      </c>
      <c r="V290">
        <f>IF(ISBLANK('Data Entry'!$V$290), "", 'Data Entry'!$V$290)</f>
      </c>
      <c r="W290">
        <f>IF(ISBLANK('Data Entry'!$W$290), "", 'Data Entry'!$W$290)</f>
      </c>
      <c r="X290">
        <f>IF(ISBLANK('Data Entry'!$X$290), "", 'Data Entry'!$X$290)</f>
      </c>
      <c r="Y290">
        <f>IF(ISBLANK('Data Entry'!$Y$290), "", 'Data Entry'!$Y$290)</f>
      </c>
      <c r="Z290">
        <f>IF(ISBLANK('Data Entry'!$Z$290), "", 'Data Entry'!$Z$290)</f>
      </c>
      <c r="AA290">
        <f>IF(ISBLANK('Data Entry'!$[$290), "", 'Data Entry'!$[$290)</f>
      </c>
      <c r="AB290">
        <f>IF(ISBLANK('Data Entry'!$\$290), "", 'Data Entry'!$\$290)</f>
      </c>
      <c r="AC290">
        <f>IF(ISBLANK('Data Entry'!$]$290), "", 'Data Entry'!$]$290)</f>
      </c>
      <c r="AD290">
        <f>IF(ISBLANK('Data Entry'!$^$290), "", 'Data Entry'!$^$290)</f>
      </c>
      <c r="AE290">
        <f>IF(ISBLANK('Data Entry'!$_$290), "", 'Data Entry'!$_$290)</f>
      </c>
      <c r="AF290">
        <f>IF(ISBLANK('Data Entry'!$`$290), "", 'Data Entry'!$`$290)</f>
      </c>
      <c r="AG290">
        <f>IF(ISBLANK('Data Entry'!$a$290), "", 'Data Entry'!$a$290)</f>
      </c>
      <c r="AH290">
        <f>IF(ISBLANK('Data Entry'!$b$290), "", 'Data Entry'!$b$290)</f>
      </c>
      <c r="AI290">
        <f>IF(ISBLANK('Data Entry'!$c$290), "", 'Data Entry'!$c$290)</f>
      </c>
      <c r="AJ290">
        <f>IF(ISBLANK('Data Entry'!$d$290), "", 'Data Entry'!$d$290)</f>
      </c>
      <c r="AK290">
        <f>IF(ISBLANK('Data Entry'!$e$290), "", 'Data Entry'!$e$290)</f>
      </c>
      <c r="AL290">
        <f>IF(ISBLANK('Data Entry'!$f$290), "", 'Data Entry'!$f$290)</f>
      </c>
      <c r="AM290">
        <f>IF(ISBLANK('Data Entry'!$g$290), "", 'Data Entry'!$g$290)</f>
      </c>
      <c r="AN290">
        <f>IF(ISBLANK('Data Entry'!$h$290), "", 'Data Entry'!$h$290)</f>
      </c>
      <c r="AO290">
        <f>IF(ISBLANK('Data Entry'!$i$290), "", 'Data Entry'!$i$290)</f>
      </c>
      <c r="AP290">
        <f>IF(ISBLANK('Data Entry'!$j$290), "", 'Data Entry'!$j$290)</f>
      </c>
      <c r="AQ290">
        <f>IF(ISBLANK('Data Entry'!$k$290), "", 'Data Entry'!$k$290)</f>
      </c>
      <c r="AR290">
        <f>IF(ISBLANK('Data Entry'!$l$290), "", 'Data Entry'!$l$290)</f>
      </c>
      <c r="AS290">
        <f>IF(ISBLANK('Data Entry'!$m$290), "", 'Data Entry'!$m$290)</f>
      </c>
      <c r="AT290">
        <f>IF(ISBLANK('Data Entry'!$n$290), "", 'Data Entry'!$n$290)</f>
      </c>
      <c r="AU290">
        <f>IF(ISBLANK('Data Entry'!$o$290), "", 'Data Entry'!$o$290)</f>
      </c>
      <c r="AV290">
        <f>IF(ISBLANK('Data Entry'!$p$290), "", 'Data Entry'!$p$290)</f>
      </c>
      <c r="AW290">
        <f>IF(ISBLANK('Data Entry'!$q$290), "", 'Data Entry'!$q$290)</f>
      </c>
      <c r="AX290">
        <f>IF(ISBLANK('Data Entry'!$r$290), "", 'Data Entry'!$r$290)</f>
      </c>
      <c r="AY290">
        <f>IF(ISBLANK('Data Entry'!$s$290), "", 'Data Entry'!$s$290)</f>
      </c>
      <c r="AZ290">
        <f>IF(ISBLANK('Data Entry'!$t$290), "", 'Data Entry'!$t$290)</f>
      </c>
      <c r="BA290">
        <f>IF(ISBLANK('Data Entry'!$u$290), "", 'Data Entry'!$u$290)</f>
      </c>
      <c r="BB290">
        <f>IF(ISBLANK('Data Entry'!$v$290), "", 'Data Entry'!$v$290)</f>
      </c>
      <c r="BC290">
        <f>IF(ISBLANK('Data Entry'!$w$290), "", 'Data Entry'!$w$290)</f>
      </c>
      <c r="BD290">
        <f>IF(ISBLANK('Data Entry'!$x$290), "", 'Data Entry'!$x$290)</f>
      </c>
      <c r="BE290">
        <f>IF(ISBLANK('Data Entry'!$y$290), "", 'Data Entry'!$y$290)</f>
      </c>
      <c r="BF290">
        <f>IF(ISBLANK('Data Entry'!$z$290), "", 'Data Entry'!$z$290)</f>
      </c>
      <c r="BG290">
        <f>IF(ISBLANK('Data Entry'!${$290), "", 'Data Entry'!${$290)</f>
      </c>
      <c r="BH290">
        <f>IF(ISBLANK('Data Entry'!$|$290), "", 'Data Entry'!$|$290)</f>
      </c>
      <c r="BI290">
        <f>IF(ISBLANK('Data Entry'!$}$290), "", 'Data Entry'!$}$290)</f>
      </c>
      <c r="BJ290">
        <f>IF(ISBLANK('Data Entry'!$~$290), "", 'Data Entry'!$~$290)</f>
      </c>
      <c r="BK290">
        <f>IF(ISBLANK('Data Entry'!$$290), "", 'Data Entry'!$$290)</f>
      </c>
      <c r="BL290">
        <f>IF(ISBLANK('Data Entry'!$$290), "", 'Data Entry'!$$290)</f>
      </c>
      <c r="BM290">
        <f>IF(ISBLANK('Data Entry'!$$290), "", 'Data Entry'!$$290)</f>
      </c>
      <c r="BN290">
        <f>IF(ISBLANK('Data Entry'!$$290), "", 'Data Entry'!$$290)</f>
      </c>
      <c r="BO290">
        <f>IF(ISBLANK('Data Entry'!$$290), "", 'Data Entry'!$$290)</f>
      </c>
      <c r="BP290">
        <f>IF(ISBLANK('Data Entry'!$$290), "", 'Data Entry'!$$290)</f>
      </c>
      <c r="BQ290">
        <f>IF(ISBLANK('Data Entry'!$$290), "", 'Data Entry'!$$290)</f>
      </c>
      <c r="BR290">
        <f>IF(ISBLANK('Data Entry'!$$290), "", 'Data Entry'!$$290)</f>
      </c>
      <c r="BS290">
        <f>IF(ISBLANK('Data Entry'!$$290), "", 'Data Entry'!$$290)</f>
      </c>
      <c r="BT290">
        <f>IF(ISBLANK('Data Entry'!$$290), "", 'Data Entry'!$$290)</f>
      </c>
      <c r="BU290">
        <f>IF(ISBLANK('Data Entry'!$$290), "", 'Data Entry'!$$290)</f>
      </c>
      <c r="BV290">
        <f>IF(ISBLANK('Data Entry'!$$290), "", 'Data Entry'!$$290)</f>
      </c>
      <c r="BW290">
        <f>IF(ISBLANK('Data Entry'!$$290), "", 'Data Entry'!$$290)</f>
      </c>
      <c r="BX290">
        <f>IF(ISBLANK('Data Entry'!$$290), "", 'Data Entry'!$$290)</f>
      </c>
      <c r="BY290">
        <f>IF(ISBLANK('Data Entry'!$$290), "", 'Data Entry'!$$290)</f>
      </c>
      <c r="BZ290">
        <f>IF(ISBLANK('Data Entry'!$$290), "", 'Data Entry'!$$290)</f>
      </c>
      <c r="CA290">
        <f>IF(ISBLANK('Data Entry'!$$290), "", 'Data Entry'!$$290)</f>
      </c>
      <c r="CB290">
        <f>IF(ISBLANK('Data Entry'!$$290), "", 'Data Entry'!$$290)</f>
      </c>
      <c r="CC290">
        <f>IF(ISBLANK('Data Entry'!$$290), "", 'Data Entry'!$$290)</f>
      </c>
      <c r="CD290">
        <f>IF(ISBLANK('Data Entry'!$$290), "", 'Data Entry'!$$290)</f>
      </c>
      <c r="CE290">
        <f>IF(ISBLANK('Data Entry'!$$290), "", 'Data Entry'!$$290)</f>
      </c>
      <c r="CF290">
        <f>IF(ISBLANK('Data Entry'!$$290), "", 'Data Entry'!$$290)</f>
      </c>
      <c r="CG290">
        <f>IF(ISBLANK('Data Entry'!$$290), "", 'Data Entry'!$$290)</f>
      </c>
      <c r="CH290">
        <f>IF(ISBLANK('Data Entry'!$$290), "", 'Data Entry'!$$290)</f>
      </c>
      <c r="CI290">
        <f>IF(ISBLANK('Data Entry'!$$290), "", 'Data Entry'!$$290)</f>
      </c>
      <c r="CJ290">
        <f>IF(ISBLANK('Data Entry'!$$290), "", 'Data Entry'!$$290)</f>
      </c>
      <c r="CK290">
        <f>IF(ISBLANK('Data Entry'!$$290), "", 'Data Entry'!$$290)</f>
      </c>
      <c r="CL290">
        <f>IF(ISBLANK('Data Entry'!$$290), "", 'Data Entry'!$$290)</f>
      </c>
      <c r="CM290">
        <f>IF(ISBLANK('Data Entry'!$$290), "", 'Data Entry'!$$290)</f>
      </c>
      <c r="CN290">
        <f>IF(ISBLANK('Data Entry'!$$290), "", 'Data Entry'!$$290)</f>
      </c>
      <c r="CO290">
        <f>IF(ISBLANK('Data Entry'!$$290), "", 'Data Entry'!$$290)</f>
      </c>
      <c r="CP290">
        <f>IF(ISBLANK('Data Entry'!$$290), "", 'Data Entry'!$$290)</f>
      </c>
      <c r="CQ290">
        <f>IF(ISBLANK('Data Entry'!$$290), "", 'Data Entry'!$$290)</f>
      </c>
      <c r="CR290">
        <f>IF(ISBLANK('Data Entry'!$ $290), "", 'Data Entry'!$ $290)</f>
      </c>
      <c r="CS290">
        <f>IF(ISBLANK('Data Entry'!$¡$290), "", 'Data Entry'!$¡$290)</f>
      </c>
      <c r="CT290">
        <f>IF(ISBLANK('Data Entry'!$¢$290), "", 'Data Entry'!$¢$290)</f>
      </c>
      <c r="CU290">
        <f>IF(ISBLANK('Data Entry'!$£$290), "", 'Data Entry'!$£$290)</f>
      </c>
      <c r="CV290">
        <f>IF(ISBLANK('Data Entry'!$¤$290), "", 'Data Entry'!$¤$290)</f>
      </c>
      <c r="CW290">
        <f>IF(ISBLANK('Data Entry'!$¥$290), "", 'Data Entry'!$¥$290)</f>
      </c>
      <c r="CX290">
        <f>IF(ISBLANK('Data Entry'!$¦$290), "", 'Data Entry'!$¦$290)</f>
      </c>
      <c r="CY290">
        <f>IF(ISBLANK('Data Entry'!$§$290), "", 'Data Entry'!$§$290)</f>
      </c>
      <c r="CZ290">
        <f>IF(ISBLANK('Data Entry'!$¨$290), "", 'Data Entry'!$¨$290)</f>
      </c>
      <c r="DA290">
        <f>IF(ISBLANK('Data Entry'!$©$290), "", 'Data Entry'!$©$290)</f>
      </c>
      <c r="DB290">
        <f>IF(ISBLANK('Data Entry'!$ª$290), "", 'Data Entry'!$ª$290)</f>
      </c>
      <c r="DC290">
        <f>IF(ISBLANK('Data Entry'!$«$290), "", 'Data Entry'!$«$290)</f>
      </c>
      <c r="DD290">
        <f>IF(ISBLANK('Data Entry'!$¬$290), "", 'Data Entry'!$¬$290)</f>
      </c>
      <c r="DE290">
        <f>IF(ISBLANK('Data Entry'!$­$290), "", 'Data Entry'!$­$290)</f>
      </c>
      <c r="DF290">
        <f>IF(ISBLANK('Data Entry'!$®$290), "", 'Data Entry'!$®$290)</f>
      </c>
      <c r="DG290">
        <f>IF(ISBLANK('Data Entry'!$¯$290), "", 'Data Entry'!$¯$290)</f>
      </c>
      <c r="DH290">
        <f>IF(ISBLANK('Data Entry'!$°$290), "", 'Data Entry'!$°$290)</f>
      </c>
      <c r="DI290">
        <f>IF(ISBLANK('Data Entry'!$±$290), "", 'Data Entry'!$±$290)</f>
      </c>
      <c r="DJ290">
        <f>IF(ISBLANK('Data Entry'!$²$290), "", 'Data Entry'!$²$290)</f>
      </c>
      <c r="DK290">
        <f>IF(ISBLANK('Data Entry'!$³$290), "", 'Data Entry'!$³$290)</f>
      </c>
      <c r="DL290">
        <f>IF(ISBLANK('Data Entry'!$´$290), "", 'Data Entry'!$´$290)</f>
      </c>
      <c r="DM290">
        <f>IF(ISBLANK('Data Entry'!$µ$290), "", 'Data Entry'!$µ$290)</f>
      </c>
      <c r="DN290">
        <f>IF(ISBLANK('Data Entry'!$¶$290), "", 'Data Entry'!$¶$290)</f>
      </c>
      <c r="DO290">
        <f>IF(ISBLANK('Data Entry'!$·$290), "", 'Data Entry'!$·$290)</f>
      </c>
      <c r="DP290">
        <f>IF(ISBLANK('Data Entry'!$¸$290), "", 'Data Entry'!$¸$290)</f>
      </c>
      <c r="DQ290">
        <f>IF(ISBLANK('Data Entry'!$¹$290), "", 'Data Entry'!$¹$290)</f>
      </c>
      <c r="DR290">
        <f>IF(ISBLANK('Data Entry'!$º$290), "", 'Data Entry'!$º$290)</f>
      </c>
      <c r="DS290">
        <f>IF(ISBLANK('Data Entry'!$»$290), "", 'Data Entry'!$»$290)</f>
      </c>
      <c r="DT290">
        <f>IF(ISBLANK('Data Entry'!$¼$290), "", 'Data Entry'!$¼$290)</f>
      </c>
      <c r="DU290">
        <f>IF(ISBLANK('Data Entry'!$½$290), "", 'Data Entry'!$½$290)</f>
      </c>
      <c r="DV290">
        <f>IF(ISBLANK('Data Entry'!$¾$290), "", 'Data Entry'!$¾$290)</f>
      </c>
      <c r="DW290">
        <f>IF(ISBLANK('Data Entry'!$¿$290), "", 'Data Entry'!$¿$290)</f>
      </c>
      <c r="DX290">
        <f>IF(ISBLANK('Data Entry'!$À$290), "", 'Data Entry'!$À$290)</f>
      </c>
      <c r="DY290">
        <f>IF(ISBLANK('Data Entry'!$Á$290), "", 'Data Entry'!$Á$290)</f>
      </c>
      <c r="DZ290">
        <f>IF(ISBLANK('Data Entry'!$Â$290), "", 'Data Entry'!$Â$290)</f>
      </c>
      <c r="EA290">
        <f>IF(ISBLANK('Data Entry'!$Ã$290), "", 'Data Entry'!$Ã$290)</f>
      </c>
      <c r="EB290">
        <f>IF(ISBLANK('Data Entry'!$Ä$290), "", 'Data Entry'!$Ä$290)</f>
      </c>
      <c r="EC290">
        <f>IF(ISBLANK('Data Entry'!$Å$290), "", 'Data Entry'!$Å$290)</f>
      </c>
      <c r="ED290">
        <f>IF(ISBLANK('Data Entry'!$Æ$290), "", 'Data Entry'!$Æ$290)</f>
      </c>
      <c r="EE290">
        <f>IF(ISBLANK('Data Entry'!$Ç$290), "", 'Data Entry'!$Ç$290)</f>
      </c>
      <c r="EF290">
        <f>IF(ISBLANK('Data Entry'!$È$290), "", 'Data Entry'!$È$290)</f>
      </c>
      <c r="EG290">
        <f>IF(ISBLANK('Data Entry'!$É$290), "", 'Data Entry'!$É$290)</f>
      </c>
      <c r="EH290">
        <f>IF(ISBLANK('Data Entry'!$Ê$290), "", 'Data Entry'!$Ê$290)</f>
      </c>
      <c r="EI290">
        <f>IF(ISBLANK('Data Entry'!$Ë$290), "", 'Data Entry'!$Ë$290)</f>
      </c>
      <c r="EJ290">
        <f>IF(ISBLANK('Data Entry'!$Ì$290), "", 'Data Entry'!$Ì$290)</f>
      </c>
      <c r="EK290">
        <f>IF(ISBLANK('Data Entry'!$Í$290), "", 'Data Entry'!$Í$290)</f>
      </c>
      <c r="EL290">
        <f>IF(ISBLANK('Data Entry'!$Î$290), "", 'Data Entry'!$Î$290)</f>
      </c>
      <c r="EM290">
        <f>IF(ISBLANK('Data Entry'!$Ï$290), "", 'Data Entry'!$Ï$290)</f>
      </c>
      <c r="EN290">
        <f>IF(ISBLANK('Data Entry'!$Ð$290), "", 'Data Entry'!$Ð$290)</f>
      </c>
      <c r="EO290">
        <f>IF(ISBLANK('Data Entry'!$Ñ$290), "", 'Data Entry'!$Ñ$290)</f>
      </c>
      <c r="EP290">
        <f>IF(ISBLANK('Data Entry'!$Ò$290), "", 'Data Entry'!$Ò$290)</f>
      </c>
      <c r="EQ290">
        <f>IF(ISBLANK('Data Entry'!$Ó$290), "", 'Data Entry'!$Ó$290)</f>
      </c>
      <c r="ER290">
        <f>IF(ISBLANK('Data Entry'!$Ô$290), "", 'Data Entry'!$Ô$290)</f>
      </c>
      <c r="ES290">
        <f>IF(ISBLANK('Data Entry'!$Õ$290), "", 'Data Entry'!$Õ$290)</f>
      </c>
      <c r="ET290">
        <f>IF(ISBLANK('Data Entry'!$Ö$290), "", 'Data Entry'!$Ö$290)</f>
      </c>
      <c r="EU290">
        <f>IF(ISBLANK('Data Entry'!$×$290), "", 'Data Entry'!$×$290)</f>
      </c>
      <c r="EV290">
        <f>IF(ISBLANK('Data Entry'!$Ø$290), "", 'Data Entry'!$Ø$290)</f>
      </c>
      <c r="EW290">
        <f>IF(ISBLANK('Data Entry'!$Ù$290), "", 'Data Entry'!$Ù$290)</f>
      </c>
      <c r="EX290">
        <f>IF(ISBLANK('Data Entry'!$Ú$290), "", 'Data Entry'!$Ú$290)</f>
      </c>
      <c r="EY290">
        <f>IF(ISBLANK('Data Entry'!$Û$290), "", 'Data Entry'!$Û$290)</f>
      </c>
      <c r="EZ290">
        <f>IF(ISBLANK('Data Entry'!$Ü$290), "", 'Data Entry'!$Ü$290)</f>
      </c>
      <c r="FA290">
        <f>IF(ISBLANK('Data Entry'!$Ý$290), "", 'Data Entry'!$Ý$290)</f>
      </c>
      <c r="FB290">
        <f>IF(ISBLANK('Data Entry'!$Þ$290), "", 'Data Entry'!$Þ$290)</f>
      </c>
      <c r="FC290">
        <f>IF(ISBLANK('Data Entry'!$ß$290), "", 'Data Entry'!$ß$290)</f>
      </c>
      <c r="FD290">
        <f>IF(ISBLANK('Data Entry'!$à$290), "", 'Data Entry'!$à$290)</f>
      </c>
      <c r="FE290">
        <f>IF(ISBLANK('Data Entry'!$á$290), "", 'Data Entry'!$á$290)</f>
      </c>
      <c r="FF290">
        <f>IF(ISBLANK('Data Entry'!$â$290), "", 'Data Entry'!$â$290)</f>
      </c>
      <c r="FG290">
        <f>IF(ISBLANK('Data Entry'!$ã$290), "", 'Data Entry'!$ã$290)</f>
      </c>
      <c r="FH290">
        <f>IF(ISBLANK('Data Entry'!$ä$290), "", 'Data Entry'!$ä$290)</f>
      </c>
      <c r="FI290">
        <f>IF(ISBLANK('Data Entry'!$å$290), "", 'Data Entry'!$å$290)</f>
      </c>
      <c r="FJ290">
        <f>IF(ISBLANK('Data Entry'!$æ$290), "", 'Data Entry'!$æ$290)</f>
      </c>
      <c r="FK290">
        <f>IF(ISBLANK('Data Entry'!$ç$290), "", 'Data Entry'!$ç$290)</f>
      </c>
      <c r="FL290">
        <f>IF(ISBLANK('Data Entry'!$è$290), "", 'Data Entry'!$è$290)</f>
      </c>
      <c r="FM290">
        <f>IF(ISBLANK('Data Entry'!$é$290), "", 'Data Entry'!$é$290)</f>
      </c>
      <c r="FN290">
        <f>IF(ISBLANK('Data Entry'!$ê$290), "", 'Data Entry'!$ê$290)</f>
      </c>
      <c r="FO290">
        <f>IF(ISBLANK('Data Entry'!$ë$290), "", 'Data Entry'!$ë$290)</f>
      </c>
      <c r="FP290">
        <f>IF(ISBLANK('Data Entry'!$ì$290), "", 'Data Entry'!$ì$290)</f>
      </c>
      <c r="FQ290">
        <f>IF(ISBLANK('Data Entry'!$í$290), "", 'Data Entry'!$í$290)</f>
      </c>
      <c r="FR290">
        <f>IF(ISBLANK('Data Entry'!$î$290), "", 'Data Entry'!$î$290)</f>
      </c>
      <c r="FS290">
        <f>IF(ISBLANK('Data Entry'!$ï$290), "", 'Data Entry'!$ï$290)</f>
      </c>
      <c r="FT290">
        <f>IF(ISBLANK('Data Entry'!$ð$290), "", 'Data Entry'!$ð$290)</f>
      </c>
      <c r="FU290">
        <f>IF(ISBLANK('Data Entry'!$ñ$290), "", 'Data Entry'!$ñ$290)</f>
      </c>
      <c r="FV290">
        <f>IF(ISBLANK('Data Entry'!$ò$290), "", 'Data Entry'!$ò$290)</f>
      </c>
      <c r="FW290">
        <f>IF(ISBLANK('Data Entry'!$ó$290), "", 'Data Entry'!$ó$290)</f>
      </c>
      <c r="FX290">
        <f>IF(ISBLANK('Data Entry'!$ô$290), "", 'Data Entry'!$ô$290)</f>
      </c>
      <c r="FY290">
        <f>IF(ISBLANK('Data Entry'!$õ$290), "", 'Data Entry'!$õ$290)</f>
      </c>
      <c r="FZ290">
        <f>IF(ISBLANK('Data Entry'!$ö$290), "", 'Data Entry'!$ö$290)</f>
      </c>
      <c r="GA290">
        <f>IF(ISBLANK('Data Entry'!$÷$290), "", 'Data Entry'!$÷$290)</f>
      </c>
      <c r="GB290">
        <f>IF(ISBLANK('Data Entry'!$ø$290), "", 'Data Entry'!$ø$290)</f>
      </c>
      <c r="GC290">
        <f>IF(ISBLANK('Data Entry'!$ù$290), "", 'Data Entry'!$ù$290)</f>
      </c>
      <c r="GD290">
        <f>IF(ISBLANK('Data Entry'!$ú$290), "", 'Data Entry'!$ú$290)</f>
      </c>
      <c r="GE290">
        <f>IF(ISBLANK('Data Entry'!$û$290), "", 'Data Entry'!$û$290)</f>
      </c>
      <c r="GF290">
        <f>IF(ISBLANK('Data Entry'!$ü$290), "", 'Data Entry'!$ü$290)</f>
      </c>
      <c r="GG290">
        <f>IF(ISBLANK('Data Entry'!$ý$290), "", 'Data Entry'!$ý$290)</f>
      </c>
      <c r="GH290">
        <f>IF(ISBLANK('Data Entry'!$þ$290), "", 'Data Entry'!$þ$290)</f>
      </c>
      <c r="GI290">
        <f>IF(ISBLANK('Data Entry'!$ÿ$290), "", 'Data Entry'!$ÿ$290)</f>
      </c>
      <c r="GJ290">
        <f>IF(ISBLANK('Data Entry'!$Ā$290), "", 'Data Entry'!$Ā$290)</f>
      </c>
      <c r="GK290">
        <f>IF(ISBLANK('Data Entry'!$ā$290), "", 'Data Entry'!$ā$290)</f>
      </c>
      <c r="GL290">
        <f>IF(ISBLANK('Data Entry'!$Ă$290), "", 'Data Entry'!$Ă$290)</f>
      </c>
      <c r="GM290">
        <f>IF(ISBLANK('Data Entry'!$ă$290), "", 'Data Entry'!$ă$290)</f>
      </c>
      <c r="GN290">
        <f>IF(ISBLANK('Data Entry'!$Ą$290), "", 'Data Entry'!$Ą$290)</f>
      </c>
      <c r="GO290">
        <f>IF(ISBLANK('Data Entry'!$ą$290), "", 'Data Entry'!$ą$290)</f>
      </c>
      <c r="GP290">
        <f>IF(ISBLANK('Data Entry'!$Ć$290), "", 'Data Entry'!$Ć$290)</f>
      </c>
      <c r="GQ290">
        <f>IF(ISBLANK('Data Entry'!$ć$290), "", 'Data Entry'!$ć$290)</f>
      </c>
      <c r="GR290">
        <f>IF(ISBLANK('Data Entry'!$Ĉ$290), "", 'Data Entry'!$Ĉ$290)</f>
      </c>
      <c r="GS290">
        <f>IF(ISBLANK('Data Entry'!$ĉ$290), "", 'Data Entry'!$ĉ$290)</f>
      </c>
      <c r="GT290">
        <f>IF(ISBLANK('Data Entry'!$Ċ$290), "", 'Data Entry'!$Ċ$290)</f>
      </c>
      <c r="GU290">
        <f>IF(ISBLANK('Data Entry'!$ċ$290), "", 'Data Entry'!$ċ$290)</f>
      </c>
      <c r="GV290">
        <f>IF(ISBLANK('Data Entry'!$Č$290), "", 'Data Entry'!$Č$290)</f>
      </c>
      <c r="GW290">
        <f>IF(ISBLANK('Data Entry'!$č$290), "", 'Data Entry'!$č$290)</f>
      </c>
      <c r="GX290">
        <f>IF(ISBLANK('Data Entry'!$Ď$290), "", 'Data Entry'!$Ď$290)</f>
      </c>
      <c r="GY290">
        <f>IF(ISBLANK('Data Entry'!$ď$290), "", 'Data Entry'!$ď$290)</f>
      </c>
      <c r="GZ290">
        <f>IF(ISBLANK('Data Entry'!$Đ$290), "", 'Data Entry'!$Đ$290)</f>
      </c>
      <c r="HA290">
        <f>IF(ISBLANK('Data Entry'!$đ$290), "", 'Data Entry'!$đ$290)</f>
      </c>
      <c r="HB290">
        <f>IF(ISBLANK('Data Entry'!$Ē$290), "", 'Data Entry'!$Ē$290)</f>
      </c>
      <c r="HC290">
        <f>IF(ISBLANK('Data Entry'!$ē$290), "", 'Data Entry'!$ē$290)</f>
      </c>
      <c r="HD290">
        <f>IF(ISBLANK('Data Entry'!$Ĕ$290), "", 'Data Entry'!$Ĕ$290)</f>
      </c>
      <c r="HE290">
        <f>IF(ISBLANK('Data Entry'!$ĕ$290), "", 'Data Entry'!$ĕ$290)</f>
      </c>
      <c r="HF290">
        <f>IF(ISBLANK('Data Entry'!$Ė$290), "", 'Data Entry'!$Ė$290)</f>
      </c>
      <c r="HG290">
        <f>IF(ISBLANK('Data Entry'!$ė$290), "", 'Data Entry'!$ė$290)</f>
      </c>
      <c r="HH290">
        <f>IF(ISBLANK('Data Entry'!$Ę$290), "", 'Data Entry'!$Ę$290)</f>
      </c>
      <c r="HI290">
        <f>IF(ISBLANK('Data Entry'!$ę$290), "", 'Data Entry'!$ę$290)</f>
      </c>
      <c r="HJ290">
        <f>IF(ISBLANK('Data Entry'!$Ě$290), "", 'Data Entry'!$Ě$290)</f>
      </c>
      <c r="HK290">
        <f>IF(ISBLANK('Data Entry'!$ě$290), "", 'Data Entry'!$ě$290)</f>
      </c>
      <c r="HL290">
        <f>IF(ISBLANK('Data Entry'!$Ĝ$290), "", 'Data Entry'!$Ĝ$290)</f>
      </c>
      <c r="HM290">
        <f>IF(ISBLANK('Data Entry'!$ĝ$290), "", 'Data Entry'!$ĝ$290)</f>
      </c>
      <c r="HN290">
        <f>IF(ISBLANK('Data Entry'!$Ğ$290), "", 'Data Entry'!$Ğ$290)</f>
      </c>
      <c r="HO290">
        <f>IF(ISBLANK('Data Entry'!$ğ$290), "", 'Data Entry'!$ğ$290)</f>
      </c>
      <c r="HP290">
        <f>IF(ISBLANK('Data Entry'!$Ġ$290), "", 'Data Entry'!$Ġ$290)</f>
      </c>
      <c r="HQ290">
        <f>IF(ISBLANK('Data Entry'!$ġ$290), "", 'Data Entry'!$ġ$290)</f>
      </c>
      <c r="HR290">
        <f>IF(ISBLANK('Data Entry'!$Ģ$290), "", 'Data Entry'!$Ģ$290)</f>
      </c>
      <c r="HS290">
        <f>IF(ISBLANK('Data Entry'!$ģ$290), "", 'Data Entry'!$ģ$290)</f>
      </c>
      <c r="HT290">
        <f>IF(ISBLANK('Data Entry'!$Ĥ$290), "", 'Data Entry'!$Ĥ$290)</f>
      </c>
      <c r="HU290">
        <f>IF(ISBLANK('Data Entry'!$ĥ$290), "", 'Data Entry'!$ĥ$290)</f>
      </c>
      <c r="HV290">
        <f>IF(ISBLANK('Data Entry'!$Ħ$290), "", 'Data Entry'!$Ħ$290)</f>
      </c>
      <c r="HW290">
        <f>IF(ISBLANK('Data Entry'!$ħ$290), "", 'Data Entry'!$ħ$290)</f>
      </c>
      <c r="HX290">
        <f>IF(ISBLANK('Data Entry'!$Ĩ$290), "", 'Data Entry'!$Ĩ$290)</f>
      </c>
      <c r="HY290">
        <f>IF(ISBLANK('Data Entry'!$ĩ$290), "", 'Data Entry'!$ĩ$290)</f>
      </c>
      <c r="HZ290">
        <f>IF(ISBLANK('Data Entry'!$Ī$290), "", 'Data Entry'!$Ī$290)</f>
      </c>
      <c r="IA290">
        <f>IF(ISBLANK('Data Entry'!$ī$290), "", 'Data Entry'!$ī$290)</f>
      </c>
      <c r="IB290">
        <f>IF(ISBLANK('Data Entry'!$Ĭ$290), "", 'Data Entry'!$Ĭ$290)</f>
      </c>
      <c r="IC290">
        <f>IF(ISBLANK('Data Entry'!$ĭ$290), "", 'Data Entry'!$ĭ$290)</f>
      </c>
      <c r="ID290">
        <f>IF(ISBLANK('Data Entry'!$Į$290), "", 'Data Entry'!$Į$290)</f>
      </c>
      <c r="IE290">
        <f>IF(ISBLANK('Data Entry'!$į$290), "", 'Data Entry'!$į$290)</f>
      </c>
      <c r="IF290">
        <f>IF(ISBLANK('Data Entry'!$İ$290), "", 'Data Entry'!$İ$290)</f>
      </c>
      <c r="IG290">
        <f>IF(ISBLANK('Data Entry'!$ı$290), "", 'Data Entry'!$ı$290)</f>
      </c>
      <c r="IH290">
        <f>IF(ISBLANK('Data Entry'!$Ĳ$290), "", 'Data Entry'!$Ĳ$290)</f>
      </c>
      <c r="II290">
        <f>IF(ISBLANK('Data Entry'!$ĳ$290), "", 'Data Entry'!$ĳ$290)</f>
      </c>
      <c r="IJ290">
        <f>IF(ISBLANK('Data Entry'!$Ĵ$290), "", 'Data Entry'!$Ĵ$290)</f>
      </c>
      <c r="IK290">
        <f>IF(ISBLANK('Data Entry'!$ĵ$290), "", 'Data Entry'!$ĵ$290)</f>
      </c>
      <c r="IL290">
        <f>IF(ISBLANK('Data Entry'!$Ķ$290), "", 'Data Entry'!$Ķ$290)</f>
      </c>
      <c r="IM290">
        <f>IF(ISBLANK('Data Entry'!$ķ$290), "", 'Data Entry'!$ķ$290)</f>
      </c>
      <c r="IN290">
        <f>IF(ISBLANK('Data Entry'!$ĸ$290), "", 'Data Entry'!$ĸ$290)</f>
      </c>
      <c r="IO290">
        <f>IF(ISBLANK('Data Entry'!$Ĺ$290), "", 'Data Entry'!$Ĺ$290)</f>
      </c>
      <c r="IP290">
        <f>IF(ISBLANK('Data Entry'!$ĺ$290), "", 'Data Entry'!$ĺ$290)</f>
      </c>
      <c r="IQ290">
        <f>IF(ISBLANK('Data Entry'!$Ļ$290), "", 'Data Entry'!$Ļ$290)</f>
      </c>
      <c r="IR290">
        <f>IF(ISBLANK('Data Entry'!$ļ$290), "", 'Data Entry'!$ļ$290)</f>
      </c>
      <c r="IS290">
        <f>IF(ISBLANK('Data Entry'!$Ľ$290), "", 'Data Entry'!$Ľ$290)</f>
      </c>
      <c r="IT290">
        <f>IF(ISBLANK('Data Entry'!$ľ$290), "", 'Data Entry'!$ľ$290)</f>
      </c>
    </row>
    <row r="291" spans="1:254" x14ac:dyDescent="0.25">
      <c r="A291">
        <f>IF(ISBLANK('Data Entry'!$A$291), "", 'Data Entry'!$A$291)</f>
      </c>
      <c r="B291">
        <f>IF(ISBLANK('Data Entry'!$B$291), "", 'Data Entry'!$B$291)</f>
      </c>
      <c r="C291">
        <f>IF(ISBLANK('Data Entry'!$C$291), "", 'Data Entry'!$C$291)</f>
      </c>
      <c r="D291">
        <f>IF(ISBLANK('Data Entry'!$D$291), "", 'Data Entry'!$D$291)</f>
      </c>
      <c r="E291">
        <f>IF(ISBLANK('Data Entry'!$E$291), "", 'Data Entry'!$E$291)</f>
      </c>
      <c r="F291">
        <f>IF(ISBLANK('Data Entry'!$F$291), "", 'Data Entry'!$F$291)</f>
      </c>
      <c r="G291">
        <f>IF(ISBLANK('Data Entry'!$G$291), "", 'Data Entry'!$G$291)</f>
      </c>
      <c r="H291">
        <f>IF(ISBLANK('Data Entry'!$H$291), "", 'Data Entry'!$H$291)</f>
      </c>
      <c r="I291">
        <f>IF(ISBLANK('Data Entry'!$I$291), "", 'Data Entry'!$I$291)</f>
      </c>
      <c r="J291">
        <f>IF(ISBLANK('Data Entry'!$J$291), "", 'Data Entry'!$J$291)</f>
      </c>
      <c r="K291">
        <f>IF(ISBLANK('Data Entry'!$K$291), "", 'Data Entry'!$K$291)</f>
      </c>
      <c r="L291">
        <f>IF(ISBLANK('Data Entry'!$L$291), "", 'Data Entry'!$L$291)</f>
      </c>
      <c r="M291">
        <f>IF(ISBLANK('Data Entry'!$M$291), "", 'Data Entry'!$M$291)</f>
      </c>
      <c r="N291">
        <f>IF(ISBLANK('Data Entry'!$N$291), "", 'Data Entry'!$N$291)</f>
      </c>
      <c r="O291">
        <f>IF(ISBLANK('Data Entry'!$O$291), "", 'Data Entry'!$O$291)</f>
      </c>
      <c r="P291">
        <f>IF(ISBLANK('Data Entry'!$P$291), "", 'Data Entry'!$P$291)</f>
      </c>
      <c r="Q291">
        <f>IF(ISBLANK('Data Entry'!$Q$291), "", 'Data Entry'!$Q$291)</f>
      </c>
      <c r="R291">
        <f>IF(ISBLANK('Data Entry'!$R$291), "", 'Data Entry'!$R$291)</f>
      </c>
      <c r="S291">
        <f>IF(ISBLANK('Data Entry'!$S$291), "", 'Data Entry'!$S$291)</f>
      </c>
      <c r="T291">
        <f>IF(ISBLANK('Data Entry'!$T$291), "", 'Data Entry'!$T$291)</f>
      </c>
      <c r="U291">
        <f>IF(ISBLANK('Data Entry'!$U$291), "", 'Data Entry'!$U$291)</f>
      </c>
      <c r="V291">
        <f>IF(ISBLANK('Data Entry'!$V$291), "", 'Data Entry'!$V$291)</f>
      </c>
      <c r="W291">
        <f>IF(ISBLANK('Data Entry'!$W$291), "", 'Data Entry'!$W$291)</f>
      </c>
      <c r="X291">
        <f>IF(ISBLANK('Data Entry'!$X$291), "", 'Data Entry'!$X$291)</f>
      </c>
      <c r="Y291">
        <f>IF(ISBLANK('Data Entry'!$Y$291), "", 'Data Entry'!$Y$291)</f>
      </c>
      <c r="Z291">
        <f>IF(ISBLANK('Data Entry'!$Z$291), "", 'Data Entry'!$Z$291)</f>
      </c>
      <c r="AA291">
        <f>IF(ISBLANK('Data Entry'!$[$291), "", 'Data Entry'!$[$291)</f>
      </c>
      <c r="AB291">
        <f>IF(ISBLANK('Data Entry'!$\$291), "", 'Data Entry'!$\$291)</f>
      </c>
      <c r="AC291">
        <f>IF(ISBLANK('Data Entry'!$]$291), "", 'Data Entry'!$]$291)</f>
      </c>
      <c r="AD291">
        <f>IF(ISBLANK('Data Entry'!$^$291), "", 'Data Entry'!$^$291)</f>
      </c>
      <c r="AE291">
        <f>IF(ISBLANK('Data Entry'!$_$291), "", 'Data Entry'!$_$291)</f>
      </c>
      <c r="AF291">
        <f>IF(ISBLANK('Data Entry'!$`$291), "", 'Data Entry'!$`$291)</f>
      </c>
      <c r="AG291">
        <f>IF(ISBLANK('Data Entry'!$a$291), "", 'Data Entry'!$a$291)</f>
      </c>
      <c r="AH291">
        <f>IF(ISBLANK('Data Entry'!$b$291), "", 'Data Entry'!$b$291)</f>
      </c>
      <c r="AI291">
        <f>IF(ISBLANK('Data Entry'!$c$291), "", 'Data Entry'!$c$291)</f>
      </c>
      <c r="AJ291">
        <f>IF(ISBLANK('Data Entry'!$d$291), "", 'Data Entry'!$d$291)</f>
      </c>
      <c r="AK291">
        <f>IF(ISBLANK('Data Entry'!$e$291), "", 'Data Entry'!$e$291)</f>
      </c>
      <c r="AL291">
        <f>IF(ISBLANK('Data Entry'!$f$291), "", 'Data Entry'!$f$291)</f>
      </c>
      <c r="AM291">
        <f>IF(ISBLANK('Data Entry'!$g$291), "", 'Data Entry'!$g$291)</f>
      </c>
      <c r="AN291">
        <f>IF(ISBLANK('Data Entry'!$h$291), "", 'Data Entry'!$h$291)</f>
      </c>
      <c r="AO291">
        <f>IF(ISBLANK('Data Entry'!$i$291), "", 'Data Entry'!$i$291)</f>
      </c>
      <c r="AP291">
        <f>IF(ISBLANK('Data Entry'!$j$291), "", 'Data Entry'!$j$291)</f>
      </c>
      <c r="AQ291">
        <f>IF(ISBLANK('Data Entry'!$k$291), "", 'Data Entry'!$k$291)</f>
      </c>
      <c r="AR291">
        <f>IF(ISBLANK('Data Entry'!$l$291), "", 'Data Entry'!$l$291)</f>
      </c>
      <c r="AS291">
        <f>IF(ISBLANK('Data Entry'!$m$291), "", 'Data Entry'!$m$291)</f>
      </c>
      <c r="AT291">
        <f>IF(ISBLANK('Data Entry'!$n$291), "", 'Data Entry'!$n$291)</f>
      </c>
      <c r="AU291">
        <f>IF(ISBLANK('Data Entry'!$o$291), "", 'Data Entry'!$o$291)</f>
      </c>
      <c r="AV291">
        <f>IF(ISBLANK('Data Entry'!$p$291), "", 'Data Entry'!$p$291)</f>
      </c>
      <c r="AW291">
        <f>IF(ISBLANK('Data Entry'!$q$291), "", 'Data Entry'!$q$291)</f>
      </c>
      <c r="AX291">
        <f>IF(ISBLANK('Data Entry'!$r$291), "", 'Data Entry'!$r$291)</f>
      </c>
      <c r="AY291">
        <f>IF(ISBLANK('Data Entry'!$s$291), "", 'Data Entry'!$s$291)</f>
      </c>
      <c r="AZ291">
        <f>IF(ISBLANK('Data Entry'!$t$291), "", 'Data Entry'!$t$291)</f>
      </c>
      <c r="BA291">
        <f>IF(ISBLANK('Data Entry'!$u$291), "", 'Data Entry'!$u$291)</f>
      </c>
      <c r="BB291">
        <f>IF(ISBLANK('Data Entry'!$v$291), "", 'Data Entry'!$v$291)</f>
      </c>
      <c r="BC291">
        <f>IF(ISBLANK('Data Entry'!$w$291), "", 'Data Entry'!$w$291)</f>
      </c>
      <c r="BD291">
        <f>IF(ISBLANK('Data Entry'!$x$291), "", 'Data Entry'!$x$291)</f>
      </c>
      <c r="BE291">
        <f>IF(ISBLANK('Data Entry'!$y$291), "", 'Data Entry'!$y$291)</f>
      </c>
      <c r="BF291">
        <f>IF(ISBLANK('Data Entry'!$z$291), "", 'Data Entry'!$z$291)</f>
      </c>
      <c r="BG291">
        <f>IF(ISBLANK('Data Entry'!${$291), "", 'Data Entry'!${$291)</f>
      </c>
      <c r="BH291">
        <f>IF(ISBLANK('Data Entry'!$|$291), "", 'Data Entry'!$|$291)</f>
      </c>
      <c r="BI291">
        <f>IF(ISBLANK('Data Entry'!$}$291), "", 'Data Entry'!$}$291)</f>
      </c>
      <c r="BJ291">
        <f>IF(ISBLANK('Data Entry'!$~$291), "", 'Data Entry'!$~$291)</f>
      </c>
      <c r="BK291">
        <f>IF(ISBLANK('Data Entry'!$$291), "", 'Data Entry'!$$291)</f>
      </c>
      <c r="BL291">
        <f>IF(ISBLANK('Data Entry'!$$291), "", 'Data Entry'!$$291)</f>
      </c>
      <c r="BM291">
        <f>IF(ISBLANK('Data Entry'!$$291), "", 'Data Entry'!$$291)</f>
      </c>
      <c r="BN291">
        <f>IF(ISBLANK('Data Entry'!$$291), "", 'Data Entry'!$$291)</f>
      </c>
      <c r="BO291">
        <f>IF(ISBLANK('Data Entry'!$$291), "", 'Data Entry'!$$291)</f>
      </c>
      <c r="BP291">
        <f>IF(ISBLANK('Data Entry'!$$291), "", 'Data Entry'!$$291)</f>
      </c>
      <c r="BQ291">
        <f>IF(ISBLANK('Data Entry'!$$291), "", 'Data Entry'!$$291)</f>
      </c>
      <c r="BR291">
        <f>IF(ISBLANK('Data Entry'!$$291), "", 'Data Entry'!$$291)</f>
      </c>
      <c r="BS291">
        <f>IF(ISBLANK('Data Entry'!$$291), "", 'Data Entry'!$$291)</f>
      </c>
      <c r="BT291">
        <f>IF(ISBLANK('Data Entry'!$$291), "", 'Data Entry'!$$291)</f>
      </c>
      <c r="BU291">
        <f>IF(ISBLANK('Data Entry'!$$291), "", 'Data Entry'!$$291)</f>
      </c>
      <c r="BV291">
        <f>IF(ISBLANK('Data Entry'!$$291), "", 'Data Entry'!$$291)</f>
      </c>
      <c r="BW291">
        <f>IF(ISBLANK('Data Entry'!$$291), "", 'Data Entry'!$$291)</f>
      </c>
      <c r="BX291">
        <f>IF(ISBLANK('Data Entry'!$$291), "", 'Data Entry'!$$291)</f>
      </c>
      <c r="BY291">
        <f>IF(ISBLANK('Data Entry'!$$291), "", 'Data Entry'!$$291)</f>
      </c>
      <c r="BZ291">
        <f>IF(ISBLANK('Data Entry'!$$291), "", 'Data Entry'!$$291)</f>
      </c>
      <c r="CA291">
        <f>IF(ISBLANK('Data Entry'!$$291), "", 'Data Entry'!$$291)</f>
      </c>
      <c r="CB291">
        <f>IF(ISBLANK('Data Entry'!$$291), "", 'Data Entry'!$$291)</f>
      </c>
      <c r="CC291">
        <f>IF(ISBLANK('Data Entry'!$$291), "", 'Data Entry'!$$291)</f>
      </c>
      <c r="CD291">
        <f>IF(ISBLANK('Data Entry'!$$291), "", 'Data Entry'!$$291)</f>
      </c>
      <c r="CE291">
        <f>IF(ISBLANK('Data Entry'!$$291), "", 'Data Entry'!$$291)</f>
      </c>
      <c r="CF291">
        <f>IF(ISBLANK('Data Entry'!$$291), "", 'Data Entry'!$$291)</f>
      </c>
      <c r="CG291">
        <f>IF(ISBLANK('Data Entry'!$$291), "", 'Data Entry'!$$291)</f>
      </c>
      <c r="CH291">
        <f>IF(ISBLANK('Data Entry'!$$291), "", 'Data Entry'!$$291)</f>
      </c>
      <c r="CI291">
        <f>IF(ISBLANK('Data Entry'!$$291), "", 'Data Entry'!$$291)</f>
      </c>
      <c r="CJ291">
        <f>IF(ISBLANK('Data Entry'!$$291), "", 'Data Entry'!$$291)</f>
      </c>
      <c r="CK291">
        <f>IF(ISBLANK('Data Entry'!$$291), "", 'Data Entry'!$$291)</f>
      </c>
      <c r="CL291">
        <f>IF(ISBLANK('Data Entry'!$$291), "", 'Data Entry'!$$291)</f>
      </c>
      <c r="CM291">
        <f>IF(ISBLANK('Data Entry'!$$291), "", 'Data Entry'!$$291)</f>
      </c>
      <c r="CN291">
        <f>IF(ISBLANK('Data Entry'!$$291), "", 'Data Entry'!$$291)</f>
      </c>
      <c r="CO291">
        <f>IF(ISBLANK('Data Entry'!$$291), "", 'Data Entry'!$$291)</f>
      </c>
      <c r="CP291">
        <f>IF(ISBLANK('Data Entry'!$$291), "", 'Data Entry'!$$291)</f>
      </c>
      <c r="CQ291">
        <f>IF(ISBLANK('Data Entry'!$$291), "", 'Data Entry'!$$291)</f>
      </c>
      <c r="CR291">
        <f>IF(ISBLANK('Data Entry'!$ $291), "", 'Data Entry'!$ $291)</f>
      </c>
      <c r="CS291">
        <f>IF(ISBLANK('Data Entry'!$¡$291), "", 'Data Entry'!$¡$291)</f>
      </c>
      <c r="CT291">
        <f>IF(ISBLANK('Data Entry'!$¢$291), "", 'Data Entry'!$¢$291)</f>
      </c>
      <c r="CU291">
        <f>IF(ISBLANK('Data Entry'!$£$291), "", 'Data Entry'!$£$291)</f>
      </c>
      <c r="CV291">
        <f>IF(ISBLANK('Data Entry'!$¤$291), "", 'Data Entry'!$¤$291)</f>
      </c>
      <c r="CW291">
        <f>IF(ISBLANK('Data Entry'!$¥$291), "", 'Data Entry'!$¥$291)</f>
      </c>
      <c r="CX291">
        <f>IF(ISBLANK('Data Entry'!$¦$291), "", 'Data Entry'!$¦$291)</f>
      </c>
      <c r="CY291">
        <f>IF(ISBLANK('Data Entry'!$§$291), "", 'Data Entry'!$§$291)</f>
      </c>
      <c r="CZ291">
        <f>IF(ISBLANK('Data Entry'!$¨$291), "", 'Data Entry'!$¨$291)</f>
      </c>
      <c r="DA291">
        <f>IF(ISBLANK('Data Entry'!$©$291), "", 'Data Entry'!$©$291)</f>
      </c>
      <c r="DB291">
        <f>IF(ISBLANK('Data Entry'!$ª$291), "", 'Data Entry'!$ª$291)</f>
      </c>
      <c r="DC291">
        <f>IF(ISBLANK('Data Entry'!$«$291), "", 'Data Entry'!$«$291)</f>
      </c>
      <c r="DD291">
        <f>IF(ISBLANK('Data Entry'!$¬$291), "", 'Data Entry'!$¬$291)</f>
      </c>
      <c r="DE291">
        <f>IF(ISBLANK('Data Entry'!$­$291), "", 'Data Entry'!$­$291)</f>
      </c>
      <c r="DF291">
        <f>IF(ISBLANK('Data Entry'!$®$291), "", 'Data Entry'!$®$291)</f>
      </c>
      <c r="DG291">
        <f>IF(ISBLANK('Data Entry'!$¯$291), "", 'Data Entry'!$¯$291)</f>
      </c>
      <c r="DH291">
        <f>IF(ISBLANK('Data Entry'!$°$291), "", 'Data Entry'!$°$291)</f>
      </c>
      <c r="DI291">
        <f>IF(ISBLANK('Data Entry'!$±$291), "", 'Data Entry'!$±$291)</f>
      </c>
      <c r="DJ291">
        <f>IF(ISBLANK('Data Entry'!$²$291), "", 'Data Entry'!$²$291)</f>
      </c>
      <c r="DK291">
        <f>IF(ISBLANK('Data Entry'!$³$291), "", 'Data Entry'!$³$291)</f>
      </c>
      <c r="DL291">
        <f>IF(ISBLANK('Data Entry'!$´$291), "", 'Data Entry'!$´$291)</f>
      </c>
      <c r="DM291">
        <f>IF(ISBLANK('Data Entry'!$µ$291), "", 'Data Entry'!$µ$291)</f>
      </c>
      <c r="DN291">
        <f>IF(ISBLANK('Data Entry'!$¶$291), "", 'Data Entry'!$¶$291)</f>
      </c>
      <c r="DO291">
        <f>IF(ISBLANK('Data Entry'!$·$291), "", 'Data Entry'!$·$291)</f>
      </c>
      <c r="DP291">
        <f>IF(ISBLANK('Data Entry'!$¸$291), "", 'Data Entry'!$¸$291)</f>
      </c>
      <c r="DQ291">
        <f>IF(ISBLANK('Data Entry'!$¹$291), "", 'Data Entry'!$¹$291)</f>
      </c>
      <c r="DR291">
        <f>IF(ISBLANK('Data Entry'!$º$291), "", 'Data Entry'!$º$291)</f>
      </c>
      <c r="DS291">
        <f>IF(ISBLANK('Data Entry'!$»$291), "", 'Data Entry'!$»$291)</f>
      </c>
      <c r="DT291">
        <f>IF(ISBLANK('Data Entry'!$¼$291), "", 'Data Entry'!$¼$291)</f>
      </c>
      <c r="DU291">
        <f>IF(ISBLANK('Data Entry'!$½$291), "", 'Data Entry'!$½$291)</f>
      </c>
      <c r="DV291">
        <f>IF(ISBLANK('Data Entry'!$¾$291), "", 'Data Entry'!$¾$291)</f>
      </c>
      <c r="DW291">
        <f>IF(ISBLANK('Data Entry'!$¿$291), "", 'Data Entry'!$¿$291)</f>
      </c>
      <c r="DX291">
        <f>IF(ISBLANK('Data Entry'!$À$291), "", 'Data Entry'!$À$291)</f>
      </c>
      <c r="DY291">
        <f>IF(ISBLANK('Data Entry'!$Á$291), "", 'Data Entry'!$Á$291)</f>
      </c>
      <c r="DZ291">
        <f>IF(ISBLANK('Data Entry'!$Â$291), "", 'Data Entry'!$Â$291)</f>
      </c>
      <c r="EA291">
        <f>IF(ISBLANK('Data Entry'!$Ã$291), "", 'Data Entry'!$Ã$291)</f>
      </c>
      <c r="EB291">
        <f>IF(ISBLANK('Data Entry'!$Ä$291), "", 'Data Entry'!$Ä$291)</f>
      </c>
      <c r="EC291">
        <f>IF(ISBLANK('Data Entry'!$Å$291), "", 'Data Entry'!$Å$291)</f>
      </c>
      <c r="ED291">
        <f>IF(ISBLANK('Data Entry'!$Æ$291), "", 'Data Entry'!$Æ$291)</f>
      </c>
      <c r="EE291">
        <f>IF(ISBLANK('Data Entry'!$Ç$291), "", 'Data Entry'!$Ç$291)</f>
      </c>
      <c r="EF291">
        <f>IF(ISBLANK('Data Entry'!$È$291), "", 'Data Entry'!$È$291)</f>
      </c>
      <c r="EG291">
        <f>IF(ISBLANK('Data Entry'!$É$291), "", 'Data Entry'!$É$291)</f>
      </c>
      <c r="EH291">
        <f>IF(ISBLANK('Data Entry'!$Ê$291), "", 'Data Entry'!$Ê$291)</f>
      </c>
      <c r="EI291">
        <f>IF(ISBLANK('Data Entry'!$Ë$291), "", 'Data Entry'!$Ë$291)</f>
      </c>
      <c r="EJ291">
        <f>IF(ISBLANK('Data Entry'!$Ì$291), "", 'Data Entry'!$Ì$291)</f>
      </c>
      <c r="EK291">
        <f>IF(ISBLANK('Data Entry'!$Í$291), "", 'Data Entry'!$Í$291)</f>
      </c>
      <c r="EL291">
        <f>IF(ISBLANK('Data Entry'!$Î$291), "", 'Data Entry'!$Î$291)</f>
      </c>
      <c r="EM291">
        <f>IF(ISBLANK('Data Entry'!$Ï$291), "", 'Data Entry'!$Ï$291)</f>
      </c>
      <c r="EN291">
        <f>IF(ISBLANK('Data Entry'!$Ð$291), "", 'Data Entry'!$Ð$291)</f>
      </c>
      <c r="EO291">
        <f>IF(ISBLANK('Data Entry'!$Ñ$291), "", 'Data Entry'!$Ñ$291)</f>
      </c>
      <c r="EP291">
        <f>IF(ISBLANK('Data Entry'!$Ò$291), "", 'Data Entry'!$Ò$291)</f>
      </c>
      <c r="EQ291">
        <f>IF(ISBLANK('Data Entry'!$Ó$291), "", 'Data Entry'!$Ó$291)</f>
      </c>
      <c r="ER291">
        <f>IF(ISBLANK('Data Entry'!$Ô$291), "", 'Data Entry'!$Ô$291)</f>
      </c>
      <c r="ES291">
        <f>IF(ISBLANK('Data Entry'!$Õ$291), "", 'Data Entry'!$Õ$291)</f>
      </c>
      <c r="ET291">
        <f>IF(ISBLANK('Data Entry'!$Ö$291), "", 'Data Entry'!$Ö$291)</f>
      </c>
      <c r="EU291">
        <f>IF(ISBLANK('Data Entry'!$×$291), "", 'Data Entry'!$×$291)</f>
      </c>
      <c r="EV291">
        <f>IF(ISBLANK('Data Entry'!$Ø$291), "", 'Data Entry'!$Ø$291)</f>
      </c>
      <c r="EW291">
        <f>IF(ISBLANK('Data Entry'!$Ù$291), "", 'Data Entry'!$Ù$291)</f>
      </c>
      <c r="EX291">
        <f>IF(ISBLANK('Data Entry'!$Ú$291), "", 'Data Entry'!$Ú$291)</f>
      </c>
      <c r="EY291">
        <f>IF(ISBLANK('Data Entry'!$Û$291), "", 'Data Entry'!$Û$291)</f>
      </c>
      <c r="EZ291">
        <f>IF(ISBLANK('Data Entry'!$Ü$291), "", 'Data Entry'!$Ü$291)</f>
      </c>
      <c r="FA291">
        <f>IF(ISBLANK('Data Entry'!$Ý$291), "", 'Data Entry'!$Ý$291)</f>
      </c>
      <c r="FB291">
        <f>IF(ISBLANK('Data Entry'!$Þ$291), "", 'Data Entry'!$Þ$291)</f>
      </c>
      <c r="FC291">
        <f>IF(ISBLANK('Data Entry'!$ß$291), "", 'Data Entry'!$ß$291)</f>
      </c>
      <c r="FD291">
        <f>IF(ISBLANK('Data Entry'!$à$291), "", 'Data Entry'!$à$291)</f>
      </c>
      <c r="FE291">
        <f>IF(ISBLANK('Data Entry'!$á$291), "", 'Data Entry'!$á$291)</f>
      </c>
      <c r="FF291">
        <f>IF(ISBLANK('Data Entry'!$â$291), "", 'Data Entry'!$â$291)</f>
      </c>
      <c r="FG291">
        <f>IF(ISBLANK('Data Entry'!$ã$291), "", 'Data Entry'!$ã$291)</f>
      </c>
      <c r="FH291">
        <f>IF(ISBLANK('Data Entry'!$ä$291), "", 'Data Entry'!$ä$291)</f>
      </c>
      <c r="FI291">
        <f>IF(ISBLANK('Data Entry'!$å$291), "", 'Data Entry'!$å$291)</f>
      </c>
      <c r="FJ291">
        <f>IF(ISBLANK('Data Entry'!$æ$291), "", 'Data Entry'!$æ$291)</f>
      </c>
      <c r="FK291">
        <f>IF(ISBLANK('Data Entry'!$ç$291), "", 'Data Entry'!$ç$291)</f>
      </c>
      <c r="FL291">
        <f>IF(ISBLANK('Data Entry'!$è$291), "", 'Data Entry'!$è$291)</f>
      </c>
      <c r="FM291">
        <f>IF(ISBLANK('Data Entry'!$é$291), "", 'Data Entry'!$é$291)</f>
      </c>
      <c r="FN291">
        <f>IF(ISBLANK('Data Entry'!$ê$291), "", 'Data Entry'!$ê$291)</f>
      </c>
      <c r="FO291">
        <f>IF(ISBLANK('Data Entry'!$ë$291), "", 'Data Entry'!$ë$291)</f>
      </c>
      <c r="FP291">
        <f>IF(ISBLANK('Data Entry'!$ì$291), "", 'Data Entry'!$ì$291)</f>
      </c>
      <c r="FQ291">
        <f>IF(ISBLANK('Data Entry'!$í$291), "", 'Data Entry'!$í$291)</f>
      </c>
      <c r="FR291">
        <f>IF(ISBLANK('Data Entry'!$î$291), "", 'Data Entry'!$î$291)</f>
      </c>
      <c r="FS291">
        <f>IF(ISBLANK('Data Entry'!$ï$291), "", 'Data Entry'!$ï$291)</f>
      </c>
      <c r="FT291">
        <f>IF(ISBLANK('Data Entry'!$ð$291), "", 'Data Entry'!$ð$291)</f>
      </c>
      <c r="FU291">
        <f>IF(ISBLANK('Data Entry'!$ñ$291), "", 'Data Entry'!$ñ$291)</f>
      </c>
      <c r="FV291">
        <f>IF(ISBLANK('Data Entry'!$ò$291), "", 'Data Entry'!$ò$291)</f>
      </c>
      <c r="FW291">
        <f>IF(ISBLANK('Data Entry'!$ó$291), "", 'Data Entry'!$ó$291)</f>
      </c>
      <c r="FX291">
        <f>IF(ISBLANK('Data Entry'!$ô$291), "", 'Data Entry'!$ô$291)</f>
      </c>
      <c r="FY291">
        <f>IF(ISBLANK('Data Entry'!$õ$291), "", 'Data Entry'!$õ$291)</f>
      </c>
      <c r="FZ291">
        <f>IF(ISBLANK('Data Entry'!$ö$291), "", 'Data Entry'!$ö$291)</f>
      </c>
      <c r="GA291">
        <f>IF(ISBLANK('Data Entry'!$÷$291), "", 'Data Entry'!$÷$291)</f>
      </c>
      <c r="GB291">
        <f>IF(ISBLANK('Data Entry'!$ø$291), "", 'Data Entry'!$ø$291)</f>
      </c>
      <c r="GC291">
        <f>IF(ISBLANK('Data Entry'!$ù$291), "", 'Data Entry'!$ù$291)</f>
      </c>
      <c r="GD291">
        <f>IF(ISBLANK('Data Entry'!$ú$291), "", 'Data Entry'!$ú$291)</f>
      </c>
      <c r="GE291">
        <f>IF(ISBLANK('Data Entry'!$û$291), "", 'Data Entry'!$û$291)</f>
      </c>
      <c r="GF291">
        <f>IF(ISBLANK('Data Entry'!$ü$291), "", 'Data Entry'!$ü$291)</f>
      </c>
      <c r="GG291">
        <f>IF(ISBLANK('Data Entry'!$ý$291), "", 'Data Entry'!$ý$291)</f>
      </c>
      <c r="GH291">
        <f>IF(ISBLANK('Data Entry'!$þ$291), "", 'Data Entry'!$þ$291)</f>
      </c>
      <c r="GI291">
        <f>IF(ISBLANK('Data Entry'!$ÿ$291), "", 'Data Entry'!$ÿ$291)</f>
      </c>
      <c r="GJ291">
        <f>IF(ISBLANK('Data Entry'!$Ā$291), "", 'Data Entry'!$Ā$291)</f>
      </c>
      <c r="GK291">
        <f>IF(ISBLANK('Data Entry'!$ā$291), "", 'Data Entry'!$ā$291)</f>
      </c>
      <c r="GL291">
        <f>IF(ISBLANK('Data Entry'!$Ă$291), "", 'Data Entry'!$Ă$291)</f>
      </c>
      <c r="GM291">
        <f>IF(ISBLANK('Data Entry'!$ă$291), "", 'Data Entry'!$ă$291)</f>
      </c>
      <c r="GN291">
        <f>IF(ISBLANK('Data Entry'!$Ą$291), "", 'Data Entry'!$Ą$291)</f>
      </c>
      <c r="GO291">
        <f>IF(ISBLANK('Data Entry'!$ą$291), "", 'Data Entry'!$ą$291)</f>
      </c>
      <c r="GP291">
        <f>IF(ISBLANK('Data Entry'!$Ć$291), "", 'Data Entry'!$Ć$291)</f>
      </c>
      <c r="GQ291">
        <f>IF(ISBLANK('Data Entry'!$ć$291), "", 'Data Entry'!$ć$291)</f>
      </c>
      <c r="GR291">
        <f>IF(ISBLANK('Data Entry'!$Ĉ$291), "", 'Data Entry'!$Ĉ$291)</f>
      </c>
      <c r="GS291">
        <f>IF(ISBLANK('Data Entry'!$ĉ$291), "", 'Data Entry'!$ĉ$291)</f>
      </c>
      <c r="GT291">
        <f>IF(ISBLANK('Data Entry'!$Ċ$291), "", 'Data Entry'!$Ċ$291)</f>
      </c>
      <c r="GU291">
        <f>IF(ISBLANK('Data Entry'!$ċ$291), "", 'Data Entry'!$ċ$291)</f>
      </c>
      <c r="GV291">
        <f>IF(ISBLANK('Data Entry'!$Č$291), "", 'Data Entry'!$Č$291)</f>
      </c>
      <c r="GW291">
        <f>IF(ISBLANK('Data Entry'!$č$291), "", 'Data Entry'!$č$291)</f>
      </c>
      <c r="GX291">
        <f>IF(ISBLANK('Data Entry'!$Ď$291), "", 'Data Entry'!$Ď$291)</f>
      </c>
      <c r="GY291">
        <f>IF(ISBLANK('Data Entry'!$ď$291), "", 'Data Entry'!$ď$291)</f>
      </c>
      <c r="GZ291">
        <f>IF(ISBLANK('Data Entry'!$Đ$291), "", 'Data Entry'!$Đ$291)</f>
      </c>
      <c r="HA291">
        <f>IF(ISBLANK('Data Entry'!$đ$291), "", 'Data Entry'!$đ$291)</f>
      </c>
      <c r="HB291">
        <f>IF(ISBLANK('Data Entry'!$Ē$291), "", 'Data Entry'!$Ē$291)</f>
      </c>
      <c r="HC291">
        <f>IF(ISBLANK('Data Entry'!$ē$291), "", 'Data Entry'!$ē$291)</f>
      </c>
      <c r="HD291">
        <f>IF(ISBLANK('Data Entry'!$Ĕ$291), "", 'Data Entry'!$Ĕ$291)</f>
      </c>
      <c r="HE291">
        <f>IF(ISBLANK('Data Entry'!$ĕ$291), "", 'Data Entry'!$ĕ$291)</f>
      </c>
      <c r="HF291">
        <f>IF(ISBLANK('Data Entry'!$Ė$291), "", 'Data Entry'!$Ė$291)</f>
      </c>
      <c r="HG291">
        <f>IF(ISBLANK('Data Entry'!$ė$291), "", 'Data Entry'!$ė$291)</f>
      </c>
      <c r="HH291">
        <f>IF(ISBLANK('Data Entry'!$Ę$291), "", 'Data Entry'!$Ę$291)</f>
      </c>
      <c r="HI291">
        <f>IF(ISBLANK('Data Entry'!$ę$291), "", 'Data Entry'!$ę$291)</f>
      </c>
      <c r="HJ291">
        <f>IF(ISBLANK('Data Entry'!$Ě$291), "", 'Data Entry'!$Ě$291)</f>
      </c>
      <c r="HK291">
        <f>IF(ISBLANK('Data Entry'!$ě$291), "", 'Data Entry'!$ě$291)</f>
      </c>
      <c r="HL291">
        <f>IF(ISBLANK('Data Entry'!$Ĝ$291), "", 'Data Entry'!$Ĝ$291)</f>
      </c>
      <c r="HM291">
        <f>IF(ISBLANK('Data Entry'!$ĝ$291), "", 'Data Entry'!$ĝ$291)</f>
      </c>
      <c r="HN291">
        <f>IF(ISBLANK('Data Entry'!$Ğ$291), "", 'Data Entry'!$Ğ$291)</f>
      </c>
      <c r="HO291">
        <f>IF(ISBLANK('Data Entry'!$ğ$291), "", 'Data Entry'!$ğ$291)</f>
      </c>
      <c r="HP291">
        <f>IF(ISBLANK('Data Entry'!$Ġ$291), "", 'Data Entry'!$Ġ$291)</f>
      </c>
      <c r="HQ291">
        <f>IF(ISBLANK('Data Entry'!$ġ$291), "", 'Data Entry'!$ġ$291)</f>
      </c>
      <c r="HR291">
        <f>IF(ISBLANK('Data Entry'!$Ģ$291), "", 'Data Entry'!$Ģ$291)</f>
      </c>
      <c r="HS291">
        <f>IF(ISBLANK('Data Entry'!$ģ$291), "", 'Data Entry'!$ģ$291)</f>
      </c>
      <c r="HT291">
        <f>IF(ISBLANK('Data Entry'!$Ĥ$291), "", 'Data Entry'!$Ĥ$291)</f>
      </c>
      <c r="HU291">
        <f>IF(ISBLANK('Data Entry'!$ĥ$291), "", 'Data Entry'!$ĥ$291)</f>
      </c>
      <c r="HV291">
        <f>IF(ISBLANK('Data Entry'!$Ħ$291), "", 'Data Entry'!$Ħ$291)</f>
      </c>
      <c r="HW291">
        <f>IF(ISBLANK('Data Entry'!$ħ$291), "", 'Data Entry'!$ħ$291)</f>
      </c>
      <c r="HX291">
        <f>IF(ISBLANK('Data Entry'!$Ĩ$291), "", 'Data Entry'!$Ĩ$291)</f>
      </c>
      <c r="HY291">
        <f>IF(ISBLANK('Data Entry'!$ĩ$291), "", 'Data Entry'!$ĩ$291)</f>
      </c>
      <c r="HZ291">
        <f>IF(ISBLANK('Data Entry'!$Ī$291), "", 'Data Entry'!$Ī$291)</f>
      </c>
      <c r="IA291">
        <f>IF(ISBLANK('Data Entry'!$ī$291), "", 'Data Entry'!$ī$291)</f>
      </c>
      <c r="IB291">
        <f>IF(ISBLANK('Data Entry'!$Ĭ$291), "", 'Data Entry'!$Ĭ$291)</f>
      </c>
      <c r="IC291">
        <f>IF(ISBLANK('Data Entry'!$ĭ$291), "", 'Data Entry'!$ĭ$291)</f>
      </c>
      <c r="ID291">
        <f>IF(ISBLANK('Data Entry'!$Į$291), "", 'Data Entry'!$Į$291)</f>
      </c>
      <c r="IE291">
        <f>IF(ISBLANK('Data Entry'!$į$291), "", 'Data Entry'!$į$291)</f>
      </c>
      <c r="IF291">
        <f>IF(ISBLANK('Data Entry'!$İ$291), "", 'Data Entry'!$İ$291)</f>
      </c>
      <c r="IG291">
        <f>IF(ISBLANK('Data Entry'!$ı$291), "", 'Data Entry'!$ı$291)</f>
      </c>
      <c r="IH291">
        <f>IF(ISBLANK('Data Entry'!$Ĳ$291), "", 'Data Entry'!$Ĳ$291)</f>
      </c>
      <c r="II291">
        <f>IF(ISBLANK('Data Entry'!$ĳ$291), "", 'Data Entry'!$ĳ$291)</f>
      </c>
      <c r="IJ291">
        <f>IF(ISBLANK('Data Entry'!$Ĵ$291), "", 'Data Entry'!$Ĵ$291)</f>
      </c>
      <c r="IK291">
        <f>IF(ISBLANK('Data Entry'!$ĵ$291), "", 'Data Entry'!$ĵ$291)</f>
      </c>
      <c r="IL291">
        <f>IF(ISBLANK('Data Entry'!$Ķ$291), "", 'Data Entry'!$Ķ$291)</f>
      </c>
      <c r="IM291">
        <f>IF(ISBLANK('Data Entry'!$ķ$291), "", 'Data Entry'!$ķ$291)</f>
      </c>
      <c r="IN291">
        <f>IF(ISBLANK('Data Entry'!$ĸ$291), "", 'Data Entry'!$ĸ$291)</f>
      </c>
      <c r="IO291">
        <f>IF(ISBLANK('Data Entry'!$Ĺ$291), "", 'Data Entry'!$Ĺ$291)</f>
      </c>
      <c r="IP291">
        <f>IF(ISBLANK('Data Entry'!$ĺ$291), "", 'Data Entry'!$ĺ$291)</f>
      </c>
      <c r="IQ291">
        <f>IF(ISBLANK('Data Entry'!$Ļ$291), "", 'Data Entry'!$Ļ$291)</f>
      </c>
      <c r="IR291">
        <f>IF(ISBLANK('Data Entry'!$ļ$291), "", 'Data Entry'!$ļ$291)</f>
      </c>
      <c r="IS291">
        <f>IF(ISBLANK('Data Entry'!$Ľ$291), "", 'Data Entry'!$Ľ$291)</f>
      </c>
      <c r="IT291">
        <f>IF(ISBLANK('Data Entry'!$ľ$291), "", 'Data Entry'!$ľ$291)</f>
      </c>
    </row>
    <row r="292" spans="1:254" x14ac:dyDescent="0.25">
      <c r="A292">
        <f>IF(ISBLANK('Data Entry'!$A$292), "", 'Data Entry'!$A$292)</f>
      </c>
      <c r="B292">
        <f>IF(ISBLANK('Data Entry'!$B$292), "", 'Data Entry'!$B$292)</f>
      </c>
      <c r="C292">
        <f>IF(ISBLANK('Data Entry'!$C$292), "", 'Data Entry'!$C$292)</f>
      </c>
      <c r="D292">
        <f>IF(ISBLANK('Data Entry'!$D$292), "", 'Data Entry'!$D$292)</f>
      </c>
      <c r="E292">
        <f>IF(ISBLANK('Data Entry'!$E$292), "", 'Data Entry'!$E$292)</f>
      </c>
      <c r="F292">
        <f>IF(ISBLANK('Data Entry'!$F$292), "", 'Data Entry'!$F$292)</f>
      </c>
      <c r="G292">
        <f>IF(ISBLANK('Data Entry'!$G$292), "", 'Data Entry'!$G$292)</f>
      </c>
      <c r="H292">
        <f>IF(ISBLANK('Data Entry'!$H$292), "", 'Data Entry'!$H$292)</f>
      </c>
      <c r="I292">
        <f>IF(ISBLANK('Data Entry'!$I$292), "", 'Data Entry'!$I$292)</f>
      </c>
      <c r="J292">
        <f>IF(ISBLANK('Data Entry'!$J$292), "", 'Data Entry'!$J$292)</f>
      </c>
      <c r="K292">
        <f>IF(ISBLANK('Data Entry'!$K$292), "", 'Data Entry'!$K$292)</f>
      </c>
      <c r="L292">
        <f>IF(ISBLANK('Data Entry'!$L$292), "", 'Data Entry'!$L$292)</f>
      </c>
      <c r="M292">
        <f>IF(ISBLANK('Data Entry'!$M$292), "", 'Data Entry'!$M$292)</f>
      </c>
      <c r="N292">
        <f>IF(ISBLANK('Data Entry'!$N$292), "", 'Data Entry'!$N$292)</f>
      </c>
      <c r="O292">
        <f>IF(ISBLANK('Data Entry'!$O$292), "", 'Data Entry'!$O$292)</f>
      </c>
      <c r="P292">
        <f>IF(ISBLANK('Data Entry'!$P$292), "", 'Data Entry'!$P$292)</f>
      </c>
      <c r="Q292">
        <f>IF(ISBLANK('Data Entry'!$Q$292), "", 'Data Entry'!$Q$292)</f>
      </c>
      <c r="R292">
        <f>IF(ISBLANK('Data Entry'!$R$292), "", 'Data Entry'!$R$292)</f>
      </c>
      <c r="S292">
        <f>IF(ISBLANK('Data Entry'!$S$292), "", 'Data Entry'!$S$292)</f>
      </c>
      <c r="T292">
        <f>IF(ISBLANK('Data Entry'!$T$292), "", 'Data Entry'!$T$292)</f>
      </c>
      <c r="U292">
        <f>IF(ISBLANK('Data Entry'!$U$292), "", 'Data Entry'!$U$292)</f>
      </c>
      <c r="V292">
        <f>IF(ISBLANK('Data Entry'!$V$292), "", 'Data Entry'!$V$292)</f>
      </c>
      <c r="W292">
        <f>IF(ISBLANK('Data Entry'!$W$292), "", 'Data Entry'!$W$292)</f>
      </c>
      <c r="X292">
        <f>IF(ISBLANK('Data Entry'!$X$292), "", 'Data Entry'!$X$292)</f>
      </c>
      <c r="Y292">
        <f>IF(ISBLANK('Data Entry'!$Y$292), "", 'Data Entry'!$Y$292)</f>
      </c>
      <c r="Z292">
        <f>IF(ISBLANK('Data Entry'!$Z$292), "", 'Data Entry'!$Z$292)</f>
      </c>
      <c r="AA292">
        <f>IF(ISBLANK('Data Entry'!$[$292), "", 'Data Entry'!$[$292)</f>
      </c>
      <c r="AB292">
        <f>IF(ISBLANK('Data Entry'!$\$292), "", 'Data Entry'!$\$292)</f>
      </c>
      <c r="AC292">
        <f>IF(ISBLANK('Data Entry'!$]$292), "", 'Data Entry'!$]$292)</f>
      </c>
      <c r="AD292">
        <f>IF(ISBLANK('Data Entry'!$^$292), "", 'Data Entry'!$^$292)</f>
      </c>
      <c r="AE292">
        <f>IF(ISBLANK('Data Entry'!$_$292), "", 'Data Entry'!$_$292)</f>
      </c>
      <c r="AF292">
        <f>IF(ISBLANK('Data Entry'!$`$292), "", 'Data Entry'!$`$292)</f>
      </c>
      <c r="AG292">
        <f>IF(ISBLANK('Data Entry'!$a$292), "", 'Data Entry'!$a$292)</f>
      </c>
      <c r="AH292">
        <f>IF(ISBLANK('Data Entry'!$b$292), "", 'Data Entry'!$b$292)</f>
      </c>
      <c r="AI292">
        <f>IF(ISBLANK('Data Entry'!$c$292), "", 'Data Entry'!$c$292)</f>
      </c>
      <c r="AJ292">
        <f>IF(ISBLANK('Data Entry'!$d$292), "", 'Data Entry'!$d$292)</f>
      </c>
      <c r="AK292">
        <f>IF(ISBLANK('Data Entry'!$e$292), "", 'Data Entry'!$e$292)</f>
      </c>
      <c r="AL292">
        <f>IF(ISBLANK('Data Entry'!$f$292), "", 'Data Entry'!$f$292)</f>
      </c>
      <c r="AM292">
        <f>IF(ISBLANK('Data Entry'!$g$292), "", 'Data Entry'!$g$292)</f>
      </c>
      <c r="AN292">
        <f>IF(ISBLANK('Data Entry'!$h$292), "", 'Data Entry'!$h$292)</f>
      </c>
      <c r="AO292">
        <f>IF(ISBLANK('Data Entry'!$i$292), "", 'Data Entry'!$i$292)</f>
      </c>
      <c r="AP292">
        <f>IF(ISBLANK('Data Entry'!$j$292), "", 'Data Entry'!$j$292)</f>
      </c>
      <c r="AQ292">
        <f>IF(ISBLANK('Data Entry'!$k$292), "", 'Data Entry'!$k$292)</f>
      </c>
      <c r="AR292">
        <f>IF(ISBLANK('Data Entry'!$l$292), "", 'Data Entry'!$l$292)</f>
      </c>
      <c r="AS292">
        <f>IF(ISBLANK('Data Entry'!$m$292), "", 'Data Entry'!$m$292)</f>
      </c>
      <c r="AT292">
        <f>IF(ISBLANK('Data Entry'!$n$292), "", 'Data Entry'!$n$292)</f>
      </c>
      <c r="AU292">
        <f>IF(ISBLANK('Data Entry'!$o$292), "", 'Data Entry'!$o$292)</f>
      </c>
      <c r="AV292">
        <f>IF(ISBLANK('Data Entry'!$p$292), "", 'Data Entry'!$p$292)</f>
      </c>
      <c r="AW292">
        <f>IF(ISBLANK('Data Entry'!$q$292), "", 'Data Entry'!$q$292)</f>
      </c>
      <c r="AX292">
        <f>IF(ISBLANK('Data Entry'!$r$292), "", 'Data Entry'!$r$292)</f>
      </c>
      <c r="AY292">
        <f>IF(ISBLANK('Data Entry'!$s$292), "", 'Data Entry'!$s$292)</f>
      </c>
      <c r="AZ292">
        <f>IF(ISBLANK('Data Entry'!$t$292), "", 'Data Entry'!$t$292)</f>
      </c>
      <c r="BA292">
        <f>IF(ISBLANK('Data Entry'!$u$292), "", 'Data Entry'!$u$292)</f>
      </c>
      <c r="BB292">
        <f>IF(ISBLANK('Data Entry'!$v$292), "", 'Data Entry'!$v$292)</f>
      </c>
      <c r="BC292">
        <f>IF(ISBLANK('Data Entry'!$w$292), "", 'Data Entry'!$w$292)</f>
      </c>
      <c r="BD292">
        <f>IF(ISBLANK('Data Entry'!$x$292), "", 'Data Entry'!$x$292)</f>
      </c>
      <c r="BE292">
        <f>IF(ISBLANK('Data Entry'!$y$292), "", 'Data Entry'!$y$292)</f>
      </c>
      <c r="BF292">
        <f>IF(ISBLANK('Data Entry'!$z$292), "", 'Data Entry'!$z$292)</f>
      </c>
      <c r="BG292">
        <f>IF(ISBLANK('Data Entry'!${$292), "", 'Data Entry'!${$292)</f>
      </c>
      <c r="BH292">
        <f>IF(ISBLANK('Data Entry'!$|$292), "", 'Data Entry'!$|$292)</f>
      </c>
      <c r="BI292">
        <f>IF(ISBLANK('Data Entry'!$}$292), "", 'Data Entry'!$}$292)</f>
      </c>
      <c r="BJ292">
        <f>IF(ISBLANK('Data Entry'!$~$292), "", 'Data Entry'!$~$292)</f>
      </c>
      <c r="BK292">
        <f>IF(ISBLANK('Data Entry'!$$292), "", 'Data Entry'!$$292)</f>
      </c>
      <c r="BL292">
        <f>IF(ISBLANK('Data Entry'!$$292), "", 'Data Entry'!$$292)</f>
      </c>
      <c r="BM292">
        <f>IF(ISBLANK('Data Entry'!$$292), "", 'Data Entry'!$$292)</f>
      </c>
      <c r="BN292">
        <f>IF(ISBLANK('Data Entry'!$$292), "", 'Data Entry'!$$292)</f>
      </c>
      <c r="BO292">
        <f>IF(ISBLANK('Data Entry'!$$292), "", 'Data Entry'!$$292)</f>
      </c>
      <c r="BP292">
        <f>IF(ISBLANK('Data Entry'!$$292), "", 'Data Entry'!$$292)</f>
      </c>
      <c r="BQ292">
        <f>IF(ISBLANK('Data Entry'!$$292), "", 'Data Entry'!$$292)</f>
      </c>
      <c r="BR292">
        <f>IF(ISBLANK('Data Entry'!$$292), "", 'Data Entry'!$$292)</f>
      </c>
      <c r="BS292">
        <f>IF(ISBLANK('Data Entry'!$$292), "", 'Data Entry'!$$292)</f>
      </c>
      <c r="BT292">
        <f>IF(ISBLANK('Data Entry'!$$292), "", 'Data Entry'!$$292)</f>
      </c>
      <c r="BU292">
        <f>IF(ISBLANK('Data Entry'!$$292), "", 'Data Entry'!$$292)</f>
      </c>
      <c r="BV292">
        <f>IF(ISBLANK('Data Entry'!$$292), "", 'Data Entry'!$$292)</f>
      </c>
      <c r="BW292">
        <f>IF(ISBLANK('Data Entry'!$$292), "", 'Data Entry'!$$292)</f>
      </c>
      <c r="BX292">
        <f>IF(ISBLANK('Data Entry'!$$292), "", 'Data Entry'!$$292)</f>
      </c>
      <c r="BY292">
        <f>IF(ISBLANK('Data Entry'!$$292), "", 'Data Entry'!$$292)</f>
      </c>
      <c r="BZ292">
        <f>IF(ISBLANK('Data Entry'!$$292), "", 'Data Entry'!$$292)</f>
      </c>
      <c r="CA292">
        <f>IF(ISBLANK('Data Entry'!$$292), "", 'Data Entry'!$$292)</f>
      </c>
      <c r="CB292">
        <f>IF(ISBLANK('Data Entry'!$$292), "", 'Data Entry'!$$292)</f>
      </c>
      <c r="CC292">
        <f>IF(ISBLANK('Data Entry'!$$292), "", 'Data Entry'!$$292)</f>
      </c>
      <c r="CD292">
        <f>IF(ISBLANK('Data Entry'!$$292), "", 'Data Entry'!$$292)</f>
      </c>
      <c r="CE292">
        <f>IF(ISBLANK('Data Entry'!$$292), "", 'Data Entry'!$$292)</f>
      </c>
      <c r="CF292">
        <f>IF(ISBLANK('Data Entry'!$$292), "", 'Data Entry'!$$292)</f>
      </c>
      <c r="CG292">
        <f>IF(ISBLANK('Data Entry'!$$292), "", 'Data Entry'!$$292)</f>
      </c>
      <c r="CH292">
        <f>IF(ISBLANK('Data Entry'!$$292), "", 'Data Entry'!$$292)</f>
      </c>
      <c r="CI292">
        <f>IF(ISBLANK('Data Entry'!$$292), "", 'Data Entry'!$$292)</f>
      </c>
      <c r="CJ292">
        <f>IF(ISBLANK('Data Entry'!$$292), "", 'Data Entry'!$$292)</f>
      </c>
      <c r="CK292">
        <f>IF(ISBLANK('Data Entry'!$$292), "", 'Data Entry'!$$292)</f>
      </c>
      <c r="CL292">
        <f>IF(ISBLANK('Data Entry'!$$292), "", 'Data Entry'!$$292)</f>
      </c>
      <c r="CM292">
        <f>IF(ISBLANK('Data Entry'!$$292), "", 'Data Entry'!$$292)</f>
      </c>
      <c r="CN292">
        <f>IF(ISBLANK('Data Entry'!$$292), "", 'Data Entry'!$$292)</f>
      </c>
      <c r="CO292">
        <f>IF(ISBLANK('Data Entry'!$$292), "", 'Data Entry'!$$292)</f>
      </c>
      <c r="CP292">
        <f>IF(ISBLANK('Data Entry'!$$292), "", 'Data Entry'!$$292)</f>
      </c>
      <c r="CQ292">
        <f>IF(ISBLANK('Data Entry'!$$292), "", 'Data Entry'!$$292)</f>
      </c>
      <c r="CR292">
        <f>IF(ISBLANK('Data Entry'!$ $292), "", 'Data Entry'!$ $292)</f>
      </c>
      <c r="CS292">
        <f>IF(ISBLANK('Data Entry'!$¡$292), "", 'Data Entry'!$¡$292)</f>
      </c>
      <c r="CT292">
        <f>IF(ISBLANK('Data Entry'!$¢$292), "", 'Data Entry'!$¢$292)</f>
      </c>
      <c r="CU292">
        <f>IF(ISBLANK('Data Entry'!$£$292), "", 'Data Entry'!$£$292)</f>
      </c>
      <c r="CV292">
        <f>IF(ISBLANK('Data Entry'!$¤$292), "", 'Data Entry'!$¤$292)</f>
      </c>
      <c r="CW292">
        <f>IF(ISBLANK('Data Entry'!$¥$292), "", 'Data Entry'!$¥$292)</f>
      </c>
      <c r="CX292">
        <f>IF(ISBLANK('Data Entry'!$¦$292), "", 'Data Entry'!$¦$292)</f>
      </c>
      <c r="CY292">
        <f>IF(ISBLANK('Data Entry'!$§$292), "", 'Data Entry'!$§$292)</f>
      </c>
      <c r="CZ292">
        <f>IF(ISBLANK('Data Entry'!$¨$292), "", 'Data Entry'!$¨$292)</f>
      </c>
      <c r="DA292">
        <f>IF(ISBLANK('Data Entry'!$©$292), "", 'Data Entry'!$©$292)</f>
      </c>
      <c r="DB292">
        <f>IF(ISBLANK('Data Entry'!$ª$292), "", 'Data Entry'!$ª$292)</f>
      </c>
      <c r="DC292">
        <f>IF(ISBLANK('Data Entry'!$«$292), "", 'Data Entry'!$«$292)</f>
      </c>
      <c r="DD292">
        <f>IF(ISBLANK('Data Entry'!$¬$292), "", 'Data Entry'!$¬$292)</f>
      </c>
      <c r="DE292">
        <f>IF(ISBLANK('Data Entry'!$­$292), "", 'Data Entry'!$­$292)</f>
      </c>
      <c r="DF292">
        <f>IF(ISBLANK('Data Entry'!$®$292), "", 'Data Entry'!$®$292)</f>
      </c>
      <c r="DG292">
        <f>IF(ISBLANK('Data Entry'!$¯$292), "", 'Data Entry'!$¯$292)</f>
      </c>
      <c r="DH292">
        <f>IF(ISBLANK('Data Entry'!$°$292), "", 'Data Entry'!$°$292)</f>
      </c>
      <c r="DI292">
        <f>IF(ISBLANK('Data Entry'!$±$292), "", 'Data Entry'!$±$292)</f>
      </c>
      <c r="DJ292">
        <f>IF(ISBLANK('Data Entry'!$²$292), "", 'Data Entry'!$²$292)</f>
      </c>
      <c r="DK292">
        <f>IF(ISBLANK('Data Entry'!$³$292), "", 'Data Entry'!$³$292)</f>
      </c>
      <c r="DL292">
        <f>IF(ISBLANK('Data Entry'!$´$292), "", 'Data Entry'!$´$292)</f>
      </c>
      <c r="DM292">
        <f>IF(ISBLANK('Data Entry'!$µ$292), "", 'Data Entry'!$µ$292)</f>
      </c>
      <c r="DN292">
        <f>IF(ISBLANK('Data Entry'!$¶$292), "", 'Data Entry'!$¶$292)</f>
      </c>
      <c r="DO292">
        <f>IF(ISBLANK('Data Entry'!$·$292), "", 'Data Entry'!$·$292)</f>
      </c>
      <c r="DP292">
        <f>IF(ISBLANK('Data Entry'!$¸$292), "", 'Data Entry'!$¸$292)</f>
      </c>
      <c r="DQ292">
        <f>IF(ISBLANK('Data Entry'!$¹$292), "", 'Data Entry'!$¹$292)</f>
      </c>
      <c r="DR292">
        <f>IF(ISBLANK('Data Entry'!$º$292), "", 'Data Entry'!$º$292)</f>
      </c>
      <c r="DS292">
        <f>IF(ISBLANK('Data Entry'!$»$292), "", 'Data Entry'!$»$292)</f>
      </c>
      <c r="DT292">
        <f>IF(ISBLANK('Data Entry'!$¼$292), "", 'Data Entry'!$¼$292)</f>
      </c>
      <c r="DU292">
        <f>IF(ISBLANK('Data Entry'!$½$292), "", 'Data Entry'!$½$292)</f>
      </c>
      <c r="DV292">
        <f>IF(ISBLANK('Data Entry'!$¾$292), "", 'Data Entry'!$¾$292)</f>
      </c>
      <c r="DW292">
        <f>IF(ISBLANK('Data Entry'!$¿$292), "", 'Data Entry'!$¿$292)</f>
      </c>
      <c r="DX292">
        <f>IF(ISBLANK('Data Entry'!$À$292), "", 'Data Entry'!$À$292)</f>
      </c>
      <c r="DY292">
        <f>IF(ISBLANK('Data Entry'!$Á$292), "", 'Data Entry'!$Á$292)</f>
      </c>
      <c r="DZ292">
        <f>IF(ISBLANK('Data Entry'!$Â$292), "", 'Data Entry'!$Â$292)</f>
      </c>
      <c r="EA292">
        <f>IF(ISBLANK('Data Entry'!$Ã$292), "", 'Data Entry'!$Ã$292)</f>
      </c>
      <c r="EB292">
        <f>IF(ISBLANK('Data Entry'!$Ä$292), "", 'Data Entry'!$Ä$292)</f>
      </c>
      <c r="EC292">
        <f>IF(ISBLANK('Data Entry'!$Å$292), "", 'Data Entry'!$Å$292)</f>
      </c>
      <c r="ED292">
        <f>IF(ISBLANK('Data Entry'!$Æ$292), "", 'Data Entry'!$Æ$292)</f>
      </c>
      <c r="EE292">
        <f>IF(ISBLANK('Data Entry'!$Ç$292), "", 'Data Entry'!$Ç$292)</f>
      </c>
      <c r="EF292">
        <f>IF(ISBLANK('Data Entry'!$È$292), "", 'Data Entry'!$È$292)</f>
      </c>
      <c r="EG292">
        <f>IF(ISBLANK('Data Entry'!$É$292), "", 'Data Entry'!$É$292)</f>
      </c>
      <c r="EH292">
        <f>IF(ISBLANK('Data Entry'!$Ê$292), "", 'Data Entry'!$Ê$292)</f>
      </c>
      <c r="EI292">
        <f>IF(ISBLANK('Data Entry'!$Ë$292), "", 'Data Entry'!$Ë$292)</f>
      </c>
      <c r="EJ292">
        <f>IF(ISBLANK('Data Entry'!$Ì$292), "", 'Data Entry'!$Ì$292)</f>
      </c>
      <c r="EK292">
        <f>IF(ISBLANK('Data Entry'!$Í$292), "", 'Data Entry'!$Í$292)</f>
      </c>
      <c r="EL292">
        <f>IF(ISBLANK('Data Entry'!$Î$292), "", 'Data Entry'!$Î$292)</f>
      </c>
      <c r="EM292">
        <f>IF(ISBLANK('Data Entry'!$Ï$292), "", 'Data Entry'!$Ï$292)</f>
      </c>
      <c r="EN292">
        <f>IF(ISBLANK('Data Entry'!$Ð$292), "", 'Data Entry'!$Ð$292)</f>
      </c>
      <c r="EO292">
        <f>IF(ISBLANK('Data Entry'!$Ñ$292), "", 'Data Entry'!$Ñ$292)</f>
      </c>
      <c r="EP292">
        <f>IF(ISBLANK('Data Entry'!$Ò$292), "", 'Data Entry'!$Ò$292)</f>
      </c>
      <c r="EQ292">
        <f>IF(ISBLANK('Data Entry'!$Ó$292), "", 'Data Entry'!$Ó$292)</f>
      </c>
      <c r="ER292">
        <f>IF(ISBLANK('Data Entry'!$Ô$292), "", 'Data Entry'!$Ô$292)</f>
      </c>
      <c r="ES292">
        <f>IF(ISBLANK('Data Entry'!$Õ$292), "", 'Data Entry'!$Õ$292)</f>
      </c>
      <c r="ET292">
        <f>IF(ISBLANK('Data Entry'!$Ö$292), "", 'Data Entry'!$Ö$292)</f>
      </c>
      <c r="EU292">
        <f>IF(ISBLANK('Data Entry'!$×$292), "", 'Data Entry'!$×$292)</f>
      </c>
      <c r="EV292">
        <f>IF(ISBLANK('Data Entry'!$Ø$292), "", 'Data Entry'!$Ø$292)</f>
      </c>
      <c r="EW292">
        <f>IF(ISBLANK('Data Entry'!$Ù$292), "", 'Data Entry'!$Ù$292)</f>
      </c>
      <c r="EX292">
        <f>IF(ISBLANK('Data Entry'!$Ú$292), "", 'Data Entry'!$Ú$292)</f>
      </c>
      <c r="EY292">
        <f>IF(ISBLANK('Data Entry'!$Û$292), "", 'Data Entry'!$Û$292)</f>
      </c>
      <c r="EZ292">
        <f>IF(ISBLANK('Data Entry'!$Ü$292), "", 'Data Entry'!$Ü$292)</f>
      </c>
      <c r="FA292">
        <f>IF(ISBLANK('Data Entry'!$Ý$292), "", 'Data Entry'!$Ý$292)</f>
      </c>
      <c r="FB292">
        <f>IF(ISBLANK('Data Entry'!$Þ$292), "", 'Data Entry'!$Þ$292)</f>
      </c>
      <c r="FC292">
        <f>IF(ISBLANK('Data Entry'!$ß$292), "", 'Data Entry'!$ß$292)</f>
      </c>
      <c r="FD292">
        <f>IF(ISBLANK('Data Entry'!$à$292), "", 'Data Entry'!$à$292)</f>
      </c>
      <c r="FE292">
        <f>IF(ISBLANK('Data Entry'!$á$292), "", 'Data Entry'!$á$292)</f>
      </c>
      <c r="FF292">
        <f>IF(ISBLANK('Data Entry'!$â$292), "", 'Data Entry'!$â$292)</f>
      </c>
      <c r="FG292">
        <f>IF(ISBLANK('Data Entry'!$ã$292), "", 'Data Entry'!$ã$292)</f>
      </c>
      <c r="FH292">
        <f>IF(ISBLANK('Data Entry'!$ä$292), "", 'Data Entry'!$ä$292)</f>
      </c>
      <c r="FI292">
        <f>IF(ISBLANK('Data Entry'!$å$292), "", 'Data Entry'!$å$292)</f>
      </c>
      <c r="FJ292">
        <f>IF(ISBLANK('Data Entry'!$æ$292), "", 'Data Entry'!$æ$292)</f>
      </c>
      <c r="FK292">
        <f>IF(ISBLANK('Data Entry'!$ç$292), "", 'Data Entry'!$ç$292)</f>
      </c>
      <c r="FL292">
        <f>IF(ISBLANK('Data Entry'!$è$292), "", 'Data Entry'!$è$292)</f>
      </c>
      <c r="FM292">
        <f>IF(ISBLANK('Data Entry'!$é$292), "", 'Data Entry'!$é$292)</f>
      </c>
      <c r="FN292">
        <f>IF(ISBLANK('Data Entry'!$ê$292), "", 'Data Entry'!$ê$292)</f>
      </c>
      <c r="FO292">
        <f>IF(ISBLANK('Data Entry'!$ë$292), "", 'Data Entry'!$ë$292)</f>
      </c>
      <c r="FP292">
        <f>IF(ISBLANK('Data Entry'!$ì$292), "", 'Data Entry'!$ì$292)</f>
      </c>
      <c r="FQ292">
        <f>IF(ISBLANK('Data Entry'!$í$292), "", 'Data Entry'!$í$292)</f>
      </c>
      <c r="FR292">
        <f>IF(ISBLANK('Data Entry'!$î$292), "", 'Data Entry'!$î$292)</f>
      </c>
      <c r="FS292">
        <f>IF(ISBLANK('Data Entry'!$ï$292), "", 'Data Entry'!$ï$292)</f>
      </c>
      <c r="FT292">
        <f>IF(ISBLANK('Data Entry'!$ð$292), "", 'Data Entry'!$ð$292)</f>
      </c>
      <c r="FU292">
        <f>IF(ISBLANK('Data Entry'!$ñ$292), "", 'Data Entry'!$ñ$292)</f>
      </c>
      <c r="FV292">
        <f>IF(ISBLANK('Data Entry'!$ò$292), "", 'Data Entry'!$ò$292)</f>
      </c>
      <c r="FW292">
        <f>IF(ISBLANK('Data Entry'!$ó$292), "", 'Data Entry'!$ó$292)</f>
      </c>
      <c r="FX292">
        <f>IF(ISBLANK('Data Entry'!$ô$292), "", 'Data Entry'!$ô$292)</f>
      </c>
      <c r="FY292">
        <f>IF(ISBLANK('Data Entry'!$õ$292), "", 'Data Entry'!$õ$292)</f>
      </c>
      <c r="FZ292">
        <f>IF(ISBLANK('Data Entry'!$ö$292), "", 'Data Entry'!$ö$292)</f>
      </c>
      <c r="GA292">
        <f>IF(ISBLANK('Data Entry'!$÷$292), "", 'Data Entry'!$÷$292)</f>
      </c>
      <c r="GB292">
        <f>IF(ISBLANK('Data Entry'!$ø$292), "", 'Data Entry'!$ø$292)</f>
      </c>
      <c r="GC292">
        <f>IF(ISBLANK('Data Entry'!$ù$292), "", 'Data Entry'!$ù$292)</f>
      </c>
      <c r="GD292">
        <f>IF(ISBLANK('Data Entry'!$ú$292), "", 'Data Entry'!$ú$292)</f>
      </c>
      <c r="GE292">
        <f>IF(ISBLANK('Data Entry'!$û$292), "", 'Data Entry'!$û$292)</f>
      </c>
      <c r="GF292">
        <f>IF(ISBLANK('Data Entry'!$ü$292), "", 'Data Entry'!$ü$292)</f>
      </c>
      <c r="GG292">
        <f>IF(ISBLANK('Data Entry'!$ý$292), "", 'Data Entry'!$ý$292)</f>
      </c>
      <c r="GH292">
        <f>IF(ISBLANK('Data Entry'!$þ$292), "", 'Data Entry'!$þ$292)</f>
      </c>
      <c r="GI292">
        <f>IF(ISBLANK('Data Entry'!$ÿ$292), "", 'Data Entry'!$ÿ$292)</f>
      </c>
      <c r="GJ292">
        <f>IF(ISBLANK('Data Entry'!$Ā$292), "", 'Data Entry'!$Ā$292)</f>
      </c>
      <c r="GK292">
        <f>IF(ISBLANK('Data Entry'!$ā$292), "", 'Data Entry'!$ā$292)</f>
      </c>
      <c r="GL292">
        <f>IF(ISBLANK('Data Entry'!$Ă$292), "", 'Data Entry'!$Ă$292)</f>
      </c>
      <c r="GM292">
        <f>IF(ISBLANK('Data Entry'!$ă$292), "", 'Data Entry'!$ă$292)</f>
      </c>
      <c r="GN292">
        <f>IF(ISBLANK('Data Entry'!$Ą$292), "", 'Data Entry'!$Ą$292)</f>
      </c>
      <c r="GO292">
        <f>IF(ISBLANK('Data Entry'!$ą$292), "", 'Data Entry'!$ą$292)</f>
      </c>
      <c r="GP292">
        <f>IF(ISBLANK('Data Entry'!$Ć$292), "", 'Data Entry'!$Ć$292)</f>
      </c>
      <c r="GQ292">
        <f>IF(ISBLANK('Data Entry'!$ć$292), "", 'Data Entry'!$ć$292)</f>
      </c>
      <c r="GR292">
        <f>IF(ISBLANK('Data Entry'!$Ĉ$292), "", 'Data Entry'!$Ĉ$292)</f>
      </c>
      <c r="GS292">
        <f>IF(ISBLANK('Data Entry'!$ĉ$292), "", 'Data Entry'!$ĉ$292)</f>
      </c>
      <c r="GT292">
        <f>IF(ISBLANK('Data Entry'!$Ċ$292), "", 'Data Entry'!$Ċ$292)</f>
      </c>
      <c r="GU292">
        <f>IF(ISBLANK('Data Entry'!$ċ$292), "", 'Data Entry'!$ċ$292)</f>
      </c>
      <c r="GV292">
        <f>IF(ISBLANK('Data Entry'!$Č$292), "", 'Data Entry'!$Č$292)</f>
      </c>
      <c r="GW292">
        <f>IF(ISBLANK('Data Entry'!$č$292), "", 'Data Entry'!$č$292)</f>
      </c>
      <c r="GX292">
        <f>IF(ISBLANK('Data Entry'!$Ď$292), "", 'Data Entry'!$Ď$292)</f>
      </c>
      <c r="GY292">
        <f>IF(ISBLANK('Data Entry'!$ď$292), "", 'Data Entry'!$ď$292)</f>
      </c>
      <c r="GZ292">
        <f>IF(ISBLANK('Data Entry'!$Đ$292), "", 'Data Entry'!$Đ$292)</f>
      </c>
      <c r="HA292">
        <f>IF(ISBLANK('Data Entry'!$đ$292), "", 'Data Entry'!$đ$292)</f>
      </c>
      <c r="HB292">
        <f>IF(ISBLANK('Data Entry'!$Ē$292), "", 'Data Entry'!$Ē$292)</f>
      </c>
      <c r="HC292">
        <f>IF(ISBLANK('Data Entry'!$ē$292), "", 'Data Entry'!$ē$292)</f>
      </c>
      <c r="HD292">
        <f>IF(ISBLANK('Data Entry'!$Ĕ$292), "", 'Data Entry'!$Ĕ$292)</f>
      </c>
      <c r="HE292">
        <f>IF(ISBLANK('Data Entry'!$ĕ$292), "", 'Data Entry'!$ĕ$292)</f>
      </c>
      <c r="HF292">
        <f>IF(ISBLANK('Data Entry'!$Ė$292), "", 'Data Entry'!$Ė$292)</f>
      </c>
      <c r="HG292">
        <f>IF(ISBLANK('Data Entry'!$ė$292), "", 'Data Entry'!$ė$292)</f>
      </c>
      <c r="HH292">
        <f>IF(ISBLANK('Data Entry'!$Ę$292), "", 'Data Entry'!$Ę$292)</f>
      </c>
      <c r="HI292">
        <f>IF(ISBLANK('Data Entry'!$ę$292), "", 'Data Entry'!$ę$292)</f>
      </c>
      <c r="HJ292">
        <f>IF(ISBLANK('Data Entry'!$Ě$292), "", 'Data Entry'!$Ě$292)</f>
      </c>
      <c r="HK292">
        <f>IF(ISBLANK('Data Entry'!$ě$292), "", 'Data Entry'!$ě$292)</f>
      </c>
      <c r="HL292">
        <f>IF(ISBLANK('Data Entry'!$Ĝ$292), "", 'Data Entry'!$Ĝ$292)</f>
      </c>
      <c r="HM292">
        <f>IF(ISBLANK('Data Entry'!$ĝ$292), "", 'Data Entry'!$ĝ$292)</f>
      </c>
      <c r="HN292">
        <f>IF(ISBLANK('Data Entry'!$Ğ$292), "", 'Data Entry'!$Ğ$292)</f>
      </c>
      <c r="HO292">
        <f>IF(ISBLANK('Data Entry'!$ğ$292), "", 'Data Entry'!$ğ$292)</f>
      </c>
      <c r="HP292">
        <f>IF(ISBLANK('Data Entry'!$Ġ$292), "", 'Data Entry'!$Ġ$292)</f>
      </c>
      <c r="HQ292">
        <f>IF(ISBLANK('Data Entry'!$ġ$292), "", 'Data Entry'!$ġ$292)</f>
      </c>
      <c r="HR292">
        <f>IF(ISBLANK('Data Entry'!$Ģ$292), "", 'Data Entry'!$Ģ$292)</f>
      </c>
      <c r="HS292">
        <f>IF(ISBLANK('Data Entry'!$ģ$292), "", 'Data Entry'!$ģ$292)</f>
      </c>
      <c r="HT292">
        <f>IF(ISBLANK('Data Entry'!$Ĥ$292), "", 'Data Entry'!$Ĥ$292)</f>
      </c>
      <c r="HU292">
        <f>IF(ISBLANK('Data Entry'!$ĥ$292), "", 'Data Entry'!$ĥ$292)</f>
      </c>
      <c r="HV292">
        <f>IF(ISBLANK('Data Entry'!$Ħ$292), "", 'Data Entry'!$Ħ$292)</f>
      </c>
      <c r="HW292">
        <f>IF(ISBLANK('Data Entry'!$ħ$292), "", 'Data Entry'!$ħ$292)</f>
      </c>
      <c r="HX292">
        <f>IF(ISBLANK('Data Entry'!$Ĩ$292), "", 'Data Entry'!$Ĩ$292)</f>
      </c>
      <c r="HY292">
        <f>IF(ISBLANK('Data Entry'!$ĩ$292), "", 'Data Entry'!$ĩ$292)</f>
      </c>
      <c r="HZ292">
        <f>IF(ISBLANK('Data Entry'!$Ī$292), "", 'Data Entry'!$Ī$292)</f>
      </c>
      <c r="IA292">
        <f>IF(ISBLANK('Data Entry'!$ī$292), "", 'Data Entry'!$ī$292)</f>
      </c>
      <c r="IB292">
        <f>IF(ISBLANK('Data Entry'!$Ĭ$292), "", 'Data Entry'!$Ĭ$292)</f>
      </c>
      <c r="IC292">
        <f>IF(ISBLANK('Data Entry'!$ĭ$292), "", 'Data Entry'!$ĭ$292)</f>
      </c>
      <c r="ID292">
        <f>IF(ISBLANK('Data Entry'!$Į$292), "", 'Data Entry'!$Į$292)</f>
      </c>
      <c r="IE292">
        <f>IF(ISBLANK('Data Entry'!$į$292), "", 'Data Entry'!$į$292)</f>
      </c>
      <c r="IF292">
        <f>IF(ISBLANK('Data Entry'!$İ$292), "", 'Data Entry'!$İ$292)</f>
      </c>
      <c r="IG292">
        <f>IF(ISBLANK('Data Entry'!$ı$292), "", 'Data Entry'!$ı$292)</f>
      </c>
      <c r="IH292">
        <f>IF(ISBLANK('Data Entry'!$Ĳ$292), "", 'Data Entry'!$Ĳ$292)</f>
      </c>
      <c r="II292">
        <f>IF(ISBLANK('Data Entry'!$ĳ$292), "", 'Data Entry'!$ĳ$292)</f>
      </c>
      <c r="IJ292">
        <f>IF(ISBLANK('Data Entry'!$Ĵ$292), "", 'Data Entry'!$Ĵ$292)</f>
      </c>
      <c r="IK292">
        <f>IF(ISBLANK('Data Entry'!$ĵ$292), "", 'Data Entry'!$ĵ$292)</f>
      </c>
      <c r="IL292">
        <f>IF(ISBLANK('Data Entry'!$Ķ$292), "", 'Data Entry'!$Ķ$292)</f>
      </c>
      <c r="IM292">
        <f>IF(ISBLANK('Data Entry'!$ķ$292), "", 'Data Entry'!$ķ$292)</f>
      </c>
      <c r="IN292">
        <f>IF(ISBLANK('Data Entry'!$ĸ$292), "", 'Data Entry'!$ĸ$292)</f>
      </c>
      <c r="IO292">
        <f>IF(ISBLANK('Data Entry'!$Ĺ$292), "", 'Data Entry'!$Ĺ$292)</f>
      </c>
      <c r="IP292">
        <f>IF(ISBLANK('Data Entry'!$ĺ$292), "", 'Data Entry'!$ĺ$292)</f>
      </c>
      <c r="IQ292">
        <f>IF(ISBLANK('Data Entry'!$Ļ$292), "", 'Data Entry'!$Ļ$292)</f>
      </c>
      <c r="IR292">
        <f>IF(ISBLANK('Data Entry'!$ļ$292), "", 'Data Entry'!$ļ$292)</f>
      </c>
      <c r="IS292">
        <f>IF(ISBLANK('Data Entry'!$Ľ$292), "", 'Data Entry'!$Ľ$292)</f>
      </c>
      <c r="IT292">
        <f>IF(ISBLANK('Data Entry'!$ľ$292), "", 'Data Entry'!$ľ$292)</f>
      </c>
    </row>
    <row r="293" spans="1:254" x14ac:dyDescent="0.25">
      <c r="A293">
        <f>IF(ISBLANK('Data Entry'!$A$293), "", 'Data Entry'!$A$293)</f>
      </c>
      <c r="B293">
        <f>IF(ISBLANK('Data Entry'!$B$293), "", 'Data Entry'!$B$293)</f>
      </c>
      <c r="C293">
        <f>IF(ISBLANK('Data Entry'!$C$293), "", 'Data Entry'!$C$293)</f>
      </c>
      <c r="D293">
        <f>IF(ISBLANK('Data Entry'!$D$293), "", 'Data Entry'!$D$293)</f>
      </c>
      <c r="E293">
        <f>IF(ISBLANK('Data Entry'!$E$293), "", 'Data Entry'!$E$293)</f>
      </c>
      <c r="F293">
        <f>IF(ISBLANK('Data Entry'!$F$293), "", 'Data Entry'!$F$293)</f>
      </c>
      <c r="G293">
        <f>IF(ISBLANK('Data Entry'!$G$293), "", 'Data Entry'!$G$293)</f>
      </c>
      <c r="H293">
        <f>IF(ISBLANK('Data Entry'!$H$293), "", 'Data Entry'!$H$293)</f>
      </c>
      <c r="I293">
        <f>IF(ISBLANK('Data Entry'!$I$293), "", 'Data Entry'!$I$293)</f>
      </c>
      <c r="J293">
        <f>IF(ISBLANK('Data Entry'!$J$293), "", 'Data Entry'!$J$293)</f>
      </c>
      <c r="K293">
        <f>IF(ISBLANK('Data Entry'!$K$293), "", 'Data Entry'!$K$293)</f>
      </c>
      <c r="L293">
        <f>IF(ISBLANK('Data Entry'!$L$293), "", 'Data Entry'!$L$293)</f>
      </c>
      <c r="M293">
        <f>IF(ISBLANK('Data Entry'!$M$293), "", 'Data Entry'!$M$293)</f>
      </c>
      <c r="N293">
        <f>IF(ISBLANK('Data Entry'!$N$293), "", 'Data Entry'!$N$293)</f>
      </c>
      <c r="O293">
        <f>IF(ISBLANK('Data Entry'!$O$293), "", 'Data Entry'!$O$293)</f>
      </c>
      <c r="P293">
        <f>IF(ISBLANK('Data Entry'!$P$293), "", 'Data Entry'!$P$293)</f>
      </c>
      <c r="Q293">
        <f>IF(ISBLANK('Data Entry'!$Q$293), "", 'Data Entry'!$Q$293)</f>
      </c>
      <c r="R293">
        <f>IF(ISBLANK('Data Entry'!$R$293), "", 'Data Entry'!$R$293)</f>
      </c>
      <c r="S293">
        <f>IF(ISBLANK('Data Entry'!$S$293), "", 'Data Entry'!$S$293)</f>
      </c>
      <c r="T293">
        <f>IF(ISBLANK('Data Entry'!$T$293), "", 'Data Entry'!$T$293)</f>
      </c>
      <c r="U293">
        <f>IF(ISBLANK('Data Entry'!$U$293), "", 'Data Entry'!$U$293)</f>
      </c>
      <c r="V293">
        <f>IF(ISBLANK('Data Entry'!$V$293), "", 'Data Entry'!$V$293)</f>
      </c>
      <c r="W293">
        <f>IF(ISBLANK('Data Entry'!$W$293), "", 'Data Entry'!$W$293)</f>
      </c>
      <c r="X293">
        <f>IF(ISBLANK('Data Entry'!$X$293), "", 'Data Entry'!$X$293)</f>
      </c>
      <c r="Y293">
        <f>IF(ISBLANK('Data Entry'!$Y$293), "", 'Data Entry'!$Y$293)</f>
      </c>
      <c r="Z293">
        <f>IF(ISBLANK('Data Entry'!$Z$293), "", 'Data Entry'!$Z$293)</f>
      </c>
      <c r="AA293">
        <f>IF(ISBLANK('Data Entry'!$[$293), "", 'Data Entry'!$[$293)</f>
      </c>
      <c r="AB293">
        <f>IF(ISBLANK('Data Entry'!$\$293), "", 'Data Entry'!$\$293)</f>
      </c>
      <c r="AC293">
        <f>IF(ISBLANK('Data Entry'!$]$293), "", 'Data Entry'!$]$293)</f>
      </c>
      <c r="AD293">
        <f>IF(ISBLANK('Data Entry'!$^$293), "", 'Data Entry'!$^$293)</f>
      </c>
      <c r="AE293">
        <f>IF(ISBLANK('Data Entry'!$_$293), "", 'Data Entry'!$_$293)</f>
      </c>
      <c r="AF293">
        <f>IF(ISBLANK('Data Entry'!$`$293), "", 'Data Entry'!$`$293)</f>
      </c>
      <c r="AG293">
        <f>IF(ISBLANK('Data Entry'!$a$293), "", 'Data Entry'!$a$293)</f>
      </c>
      <c r="AH293">
        <f>IF(ISBLANK('Data Entry'!$b$293), "", 'Data Entry'!$b$293)</f>
      </c>
      <c r="AI293">
        <f>IF(ISBLANK('Data Entry'!$c$293), "", 'Data Entry'!$c$293)</f>
      </c>
      <c r="AJ293">
        <f>IF(ISBLANK('Data Entry'!$d$293), "", 'Data Entry'!$d$293)</f>
      </c>
      <c r="AK293">
        <f>IF(ISBLANK('Data Entry'!$e$293), "", 'Data Entry'!$e$293)</f>
      </c>
      <c r="AL293">
        <f>IF(ISBLANK('Data Entry'!$f$293), "", 'Data Entry'!$f$293)</f>
      </c>
      <c r="AM293">
        <f>IF(ISBLANK('Data Entry'!$g$293), "", 'Data Entry'!$g$293)</f>
      </c>
      <c r="AN293">
        <f>IF(ISBLANK('Data Entry'!$h$293), "", 'Data Entry'!$h$293)</f>
      </c>
      <c r="AO293">
        <f>IF(ISBLANK('Data Entry'!$i$293), "", 'Data Entry'!$i$293)</f>
      </c>
      <c r="AP293">
        <f>IF(ISBLANK('Data Entry'!$j$293), "", 'Data Entry'!$j$293)</f>
      </c>
      <c r="AQ293">
        <f>IF(ISBLANK('Data Entry'!$k$293), "", 'Data Entry'!$k$293)</f>
      </c>
      <c r="AR293">
        <f>IF(ISBLANK('Data Entry'!$l$293), "", 'Data Entry'!$l$293)</f>
      </c>
      <c r="AS293">
        <f>IF(ISBLANK('Data Entry'!$m$293), "", 'Data Entry'!$m$293)</f>
      </c>
      <c r="AT293">
        <f>IF(ISBLANK('Data Entry'!$n$293), "", 'Data Entry'!$n$293)</f>
      </c>
      <c r="AU293">
        <f>IF(ISBLANK('Data Entry'!$o$293), "", 'Data Entry'!$o$293)</f>
      </c>
      <c r="AV293">
        <f>IF(ISBLANK('Data Entry'!$p$293), "", 'Data Entry'!$p$293)</f>
      </c>
      <c r="AW293">
        <f>IF(ISBLANK('Data Entry'!$q$293), "", 'Data Entry'!$q$293)</f>
      </c>
      <c r="AX293">
        <f>IF(ISBLANK('Data Entry'!$r$293), "", 'Data Entry'!$r$293)</f>
      </c>
      <c r="AY293">
        <f>IF(ISBLANK('Data Entry'!$s$293), "", 'Data Entry'!$s$293)</f>
      </c>
      <c r="AZ293">
        <f>IF(ISBLANK('Data Entry'!$t$293), "", 'Data Entry'!$t$293)</f>
      </c>
      <c r="BA293">
        <f>IF(ISBLANK('Data Entry'!$u$293), "", 'Data Entry'!$u$293)</f>
      </c>
      <c r="BB293">
        <f>IF(ISBLANK('Data Entry'!$v$293), "", 'Data Entry'!$v$293)</f>
      </c>
      <c r="BC293">
        <f>IF(ISBLANK('Data Entry'!$w$293), "", 'Data Entry'!$w$293)</f>
      </c>
      <c r="BD293">
        <f>IF(ISBLANK('Data Entry'!$x$293), "", 'Data Entry'!$x$293)</f>
      </c>
      <c r="BE293">
        <f>IF(ISBLANK('Data Entry'!$y$293), "", 'Data Entry'!$y$293)</f>
      </c>
      <c r="BF293">
        <f>IF(ISBLANK('Data Entry'!$z$293), "", 'Data Entry'!$z$293)</f>
      </c>
      <c r="BG293">
        <f>IF(ISBLANK('Data Entry'!${$293), "", 'Data Entry'!${$293)</f>
      </c>
      <c r="BH293">
        <f>IF(ISBLANK('Data Entry'!$|$293), "", 'Data Entry'!$|$293)</f>
      </c>
      <c r="BI293">
        <f>IF(ISBLANK('Data Entry'!$}$293), "", 'Data Entry'!$}$293)</f>
      </c>
      <c r="BJ293">
        <f>IF(ISBLANK('Data Entry'!$~$293), "", 'Data Entry'!$~$293)</f>
      </c>
      <c r="BK293">
        <f>IF(ISBLANK('Data Entry'!$$293), "", 'Data Entry'!$$293)</f>
      </c>
      <c r="BL293">
        <f>IF(ISBLANK('Data Entry'!$$293), "", 'Data Entry'!$$293)</f>
      </c>
      <c r="BM293">
        <f>IF(ISBLANK('Data Entry'!$$293), "", 'Data Entry'!$$293)</f>
      </c>
      <c r="BN293">
        <f>IF(ISBLANK('Data Entry'!$$293), "", 'Data Entry'!$$293)</f>
      </c>
      <c r="BO293">
        <f>IF(ISBLANK('Data Entry'!$$293), "", 'Data Entry'!$$293)</f>
      </c>
      <c r="BP293">
        <f>IF(ISBLANK('Data Entry'!$$293), "", 'Data Entry'!$$293)</f>
      </c>
      <c r="BQ293">
        <f>IF(ISBLANK('Data Entry'!$$293), "", 'Data Entry'!$$293)</f>
      </c>
      <c r="BR293">
        <f>IF(ISBLANK('Data Entry'!$$293), "", 'Data Entry'!$$293)</f>
      </c>
      <c r="BS293">
        <f>IF(ISBLANK('Data Entry'!$$293), "", 'Data Entry'!$$293)</f>
      </c>
      <c r="BT293">
        <f>IF(ISBLANK('Data Entry'!$$293), "", 'Data Entry'!$$293)</f>
      </c>
      <c r="BU293">
        <f>IF(ISBLANK('Data Entry'!$$293), "", 'Data Entry'!$$293)</f>
      </c>
      <c r="BV293">
        <f>IF(ISBLANK('Data Entry'!$$293), "", 'Data Entry'!$$293)</f>
      </c>
      <c r="BW293">
        <f>IF(ISBLANK('Data Entry'!$$293), "", 'Data Entry'!$$293)</f>
      </c>
      <c r="BX293">
        <f>IF(ISBLANK('Data Entry'!$$293), "", 'Data Entry'!$$293)</f>
      </c>
      <c r="BY293">
        <f>IF(ISBLANK('Data Entry'!$$293), "", 'Data Entry'!$$293)</f>
      </c>
      <c r="BZ293">
        <f>IF(ISBLANK('Data Entry'!$$293), "", 'Data Entry'!$$293)</f>
      </c>
      <c r="CA293">
        <f>IF(ISBLANK('Data Entry'!$$293), "", 'Data Entry'!$$293)</f>
      </c>
      <c r="CB293">
        <f>IF(ISBLANK('Data Entry'!$$293), "", 'Data Entry'!$$293)</f>
      </c>
      <c r="CC293">
        <f>IF(ISBLANK('Data Entry'!$$293), "", 'Data Entry'!$$293)</f>
      </c>
      <c r="CD293">
        <f>IF(ISBLANK('Data Entry'!$$293), "", 'Data Entry'!$$293)</f>
      </c>
      <c r="CE293">
        <f>IF(ISBLANK('Data Entry'!$$293), "", 'Data Entry'!$$293)</f>
      </c>
      <c r="CF293">
        <f>IF(ISBLANK('Data Entry'!$$293), "", 'Data Entry'!$$293)</f>
      </c>
      <c r="CG293">
        <f>IF(ISBLANK('Data Entry'!$$293), "", 'Data Entry'!$$293)</f>
      </c>
      <c r="CH293">
        <f>IF(ISBLANK('Data Entry'!$$293), "", 'Data Entry'!$$293)</f>
      </c>
      <c r="CI293">
        <f>IF(ISBLANK('Data Entry'!$$293), "", 'Data Entry'!$$293)</f>
      </c>
      <c r="CJ293">
        <f>IF(ISBLANK('Data Entry'!$$293), "", 'Data Entry'!$$293)</f>
      </c>
      <c r="CK293">
        <f>IF(ISBLANK('Data Entry'!$$293), "", 'Data Entry'!$$293)</f>
      </c>
      <c r="CL293">
        <f>IF(ISBLANK('Data Entry'!$$293), "", 'Data Entry'!$$293)</f>
      </c>
      <c r="CM293">
        <f>IF(ISBLANK('Data Entry'!$$293), "", 'Data Entry'!$$293)</f>
      </c>
      <c r="CN293">
        <f>IF(ISBLANK('Data Entry'!$$293), "", 'Data Entry'!$$293)</f>
      </c>
      <c r="CO293">
        <f>IF(ISBLANK('Data Entry'!$$293), "", 'Data Entry'!$$293)</f>
      </c>
      <c r="CP293">
        <f>IF(ISBLANK('Data Entry'!$$293), "", 'Data Entry'!$$293)</f>
      </c>
      <c r="CQ293">
        <f>IF(ISBLANK('Data Entry'!$$293), "", 'Data Entry'!$$293)</f>
      </c>
      <c r="CR293">
        <f>IF(ISBLANK('Data Entry'!$ $293), "", 'Data Entry'!$ $293)</f>
      </c>
      <c r="CS293">
        <f>IF(ISBLANK('Data Entry'!$¡$293), "", 'Data Entry'!$¡$293)</f>
      </c>
      <c r="CT293">
        <f>IF(ISBLANK('Data Entry'!$¢$293), "", 'Data Entry'!$¢$293)</f>
      </c>
      <c r="CU293">
        <f>IF(ISBLANK('Data Entry'!$£$293), "", 'Data Entry'!$£$293)</f>
      </c>
      <c r="CV293">
        <f>IF(ISBLANK('Data Entry'!$¤$293), "", 'Data Entry'!$¤$293)</f>
      </c>
      <c r="CW293">
        <f>IF(ISBLANK('Data Entry'!$¥$293), "", 'Data Entry'!$¥$293)</f>
      </c>
      <c r="CX293">
        <f>IF(ISBLANK('Data Entry'!$¦$293), "", 'Data Entry'!$¦$293)</f>
      </c>
      <c r="CY293">
        <f>IF(ISBLANK('Data Entry'!$§$293), "", 'Data Entry'!$§$293)</f>
      </c>
      <c r="CZ293">
        <f>IF(ISBLANK('Data Entry'!$¨$293), "", 'Data Entry'!$¨$293)</f>
      </c>
      <c r="DA293">
        <f>IF(ISBLANK('Data Entry'!$©$293), "", 'Data Entry'!$©$293)</f>
      </c>
      <c r="DB293">
        <f>IF(ISBLANK('Data Entry'!$ª$293), "", 'Data Entry'!$ª$293)</f>
      </c>
      <c r="DC293">
        <f>IF(ISBLANK('Data Entry'!$«$293), "", 'Data Entry'!$«$293)</f>
      </c>
      <c r="DD293">
        <f>IF(ISBLANK('Data Entry'!$¬$293), "", 'Data Entry'!$¬$293)</f>
      </c>
      <c r="DE293">
        <f>IF(ISBLANK('Data Entry'!$­$293), "", 'Data Entry'!$­$293)</f>
      </c>
      <c r="DF293">
        <f>IF(ISBLANK('Data Entry'!$®$293), "", 'Data Entry'!$®$293)</f>
      </c>
      <c r="DG293">
        <f>IF(ISBLANK('Data Entry'!$¯$293), "", 'Data Entry'!$¯$293)</f>
      </c>
      <c r="DH293">
        <f>IF(ISBLANK('Data Entry'!$°$293), "", 'Data Entry'!$°$293)</f>
      </c>
      <c r="DI293">
        <f>IF(ISBLANK('Data Entry'!$±$293), "", 'Data Entry'!$±$293)</f>
      </c>
      <c r="DJ293">
        <f>IF(ISBLANK('Data Entry'!$²$293), "", 'Data Entry'!$²$293)</f>
      </c>
      <c r="DK293">
        <f>IF(ISBLANK('Data Entry'!$³$293), "", 'Data Entry'!$³$293)</f>
      </c>
      <c r="DL293">
        <f>IF(ISBLANK('Data Entry'!$´$293), "", 'Data Entry'!$´$293)</f>
      </c>
      <c r="DM293">
        <f>IF(ISBLANK('Data Entry'!$µ$293), "", 'Data Entry'!$µ$293)</f>
      </c>
      <c r="DN293">
        <f>IF(ISBLANK('Data Entry'!$¶$293), "", 'Data Entry'!$¶$293)</f>
      </c>
      <c r="DO293">
        <f>IF(ISBLANK('Data Entry'!$·$293), "", 'Data Entry'!$·$293)</f>
      </c>
      <c r="DP293">
        <f>IF(ISBLANK('Data Entry'!$¸$293), "", 'Data Entry'!$¸$293)</f>
      </c>
      <c r="DQ293">
        <f>IF(ISBLANK('Data Entry'!$¹$293), "", 'Data Entry'!$¹$293)</f>
      </c>
      <c r="DR293">
        <f>IF(ISBLANK('Data Entry'!$º$293), "", 'Data Entry'!$º$293)</f>
      </c>
      <c r="DS293">
        <f>IF(ISBLANK('Data Entry'!$»$293), "", 'Data Entry'!$»$293)</f>
      </c>
      <c r="DT293">
        <f>IF(ISBLANK('Data Entry'!$¼$293), "", 'Data Entry'!$¼$293)</f>
      </c>
      <c r="DU293">
        <f>IF(ISBLANK('Data Entry'!$½$293), "", 'Data Entry'!$½$293)</f>
      </c>
      <c r="DV293">
        <f>IF(ISBLANK('Data Entry'!$¾$293), "", 'Data Entry'!$¾$293)</f>
      </c>
      <c r="DW293">
        <f>IF(ISBLANK('Data Entry'!$¿$293), "", 'Data Entry'!$¿$293)</f>
      </c>
      <c r="DX293">
        <f>IF(ISBLANK('Data Entry'!$À$293), "", 'Data Entry'!$À$293)</f>
      </c>
      <c r="DY293">
        <f>IF(ISBLANK('Data Entry'!$Á$293), "", 'Data Entry'!$Á$293)</f>
      </c>
      <c r="DZ293">
        <f>IF(ISBLANK('Data Entry'!$Â$293), "", 'Data Entry'!$Â$293)</f>
      </c>
      <c r="EA293">
        <f>IF(ISBLANK('Data Entry'!$Ã$293), "", 'Data Entry'!$Ã$293)</f>
      </c>
      <c r="EB293">
        <f>IF(ISBLANK('Data Entry'!$Ä$293), "", 'Data Entry'!$Ä$293)</f>
      </c>
      <c r="EC293">
        <f>IF(ISBLANK('Data Entry'!$Å$293), "", 'Data Entry'!$Å$293)</f>
      </c>
      <c r="ED293">
        <f>IF(ISBLANK('Data Entry'!$Æ$293), "", 'Data Entry'!$Æ$293)</f>
      </c>
      <c r="EE293">
        <f>IF(ISBLANK('Data Entry'!$Ç$293), "", 'Data Entry'!$Ç$293)</f>
      </c>
      <c r="EF293">
        <f>IF(ISBLANK('Data Entry'!$È$293), "", 'Data Entry'!$È$293)</f>
      </c>
      <c r="EG293">
        <f>IF(ISBLANK('Data Entry'!$É$293), "", 'Data Entry'!$É$293)</f>
      </c>
      <c r="EH293">
        <f>IF(ISBLANK('Data Entry'!$Ê$293), "", 'Data Entry'!$Ê$293)</f>
      </c>
      <c r="EI293">
        <f>IF(ISBLANK('Data Entry'!$Ë$293), "", 'Data Entry'!$Ë$293)</f>
      </c>
      <c r="EJ293">
        <f>IF(ISBLANK('Data Entry'!$Ì$293), "", 'Data Entry'!$Ì$293)</f>
      </c>
      <c r="EK293">
        <f>IF(ISBLANK('Data Entry'!$Í$293), "", 'Data Entry'!$Í$293)</f>
      </c>
      <c r="EL293">
        <f>IF(ISBLANK('Data Entry'!$Î$293), "", 'Data Entry'!$Î$293)</f>
      </c>
      <c r="EM293">
        <f>IF(ISBLANK('Data Entry'!$Ï$293), "", 'Data Entry'!$Ï$293)</f>
      </c>
      <c r="EN293">
        <f>IF(ISBLANK('Data Entry'!$Ð$293), "", 'Data Entry'!$Ð$293)</f>
      </c>
      <c r="EO293">
        <f>IF(ISBLANK('Data Entry'!$Ñ$293), "", 'Data Entry'!$Ñ$293)</f>
      </c>
      <c r="EP293">
        <f>IF(ISBLANK('Data Entry'!$Ò$293), "", 'Data Entry'!$Ò$293)</f>
      </c>
      <c r="EQ293">
        <f>IF(ISBLANK('Data Entry'!$Ó$293), "", 'Data Entry'!$Ó$293)</f>
      </c>
      <c r="ER293">
        <f>IF(ISBLANK('Data Entry'!$Ô$293), "", 'Data Entry'!$Ô$293)</f>
      </c>
      <c r="ES293">
        <f>IF(ISBLANK('Data Entry'!$Õ$293), "", 'Data Entry'!$Õ$293)</f>
      </c>
      <c r="ET293">
        <f>IF(ISBLANK('Data Entry'!$Ö$293), "", 'Data Entry'!$Ö$293)</f>
      </c>
      <c r="EU293">
        <f>IF(ISBLANK('Data Entry'!$×$293), "", 'Data Entry'!$×$293)</f>
      </c>
      <c r="EV293">
        <f>IF(ISBLANK('Data Entry'!$Ø$293), "", 'Data Entry'!$Ø$293)</f>
      </c>
      <c r="EW293">
        <f>IF(ISBLANK('Data Entry'!$Ù$293), "", 'Data Entry'!$Ù$293)</f>
      </c>
      <c r="EX293">
        <f>IF(ISBLANK('Data Entry'!$Ú$293), "", 'Data Entry'!$Ú$293)</f>
      </c>
      <c r="EY293">
        <f>IF(ISBLANK('Data Entry'!$Û$293), "", 'Data Entry'!$Û$293)</f>
      </c>
      <c r="EZ293">
        <f>IF(ISBLANK('Data Entry'!$Ü$293), "", 'Data Entry'!$Ü$293)</f>
      </c>
      <c r="FA293">
        <f>IF(ISBLANK('Data Entry'!$Ý$293), "", 'Data Entry'!$Ý$293)</f>
      </c>
      <c r="FB293">
        <f>IF(ISBLANK('Data Entry'!$Þ$293), "", 'Data Entry'!$Þ$293)</f>
      </c>
      <c r="FC293">
        <f>IF(ISBLANK('Data Entry'!$ß$293), "", 'Data Entry'!$ß$293)</f>
      </c>
      <c r="FD293">
        <f>IF(ISBLANK('Data Entry'!$à$293), "", 'Data Entry'!$à$293)</f>
      </c>
      <c r="FE293">
        <f>IF(ISBLANK('Data Entry'!$á$293), "", 'Data Entry'!$á$293)</f>
      </c>
      <c r="FF293">
        <f>IF(ISBLANK('Data Entry'!$â$293), "", 'Data Entry'!$â$293)</f>
      </c>
      <c r="FG293">
        <f>IF(ISBLANK('Data Entry'!$ã$293), "", 'Data Entry'!$ã$293)</f>
      </c>
      <c r="FH293">
        <f>IF(ISBLANK('Data Entry'!$ä$293), "", 'Data Entry'!$ä$293)</f>
      </c>
      <c r="FI293">
        <f>IF(ISBLANK('Data Entry'!$å$293), "", 'Data Entry'!$å$293)</f>
      </c>
      <c r="FJ293">
        <f>IF(ISBLANK('Data Entry'!$æ$293), "", 'Data Entry'!$æ$293)</f>
      </c>
      <c r="FK293">
        <f>IF(ISBLANK('Data Entry'!$ç$293), "", 'Data Entry'!$ç$293)</f>
      </c>
      <c r="FL293">
        <f>IF(ISBLANK('Data Entry'!$è$293), "", 'Data Entry'!$è$293)</f>
      </c>
      <c r="FM293">
        <f>IF(ISBLANK('Data Entry'!$é$293), "", 'Data Entry'!$é$293)</f>
      </c>
      <c r="FN293">
        <f>IF(ISBLANK('Data Entry'!$ê$293), "", 'Data Entry'!$ê$293)</f>
      </c>
      <c r="FO293">
        <f>IF(ISBLANK('Data Entry'!$ë$293), "", 'Data Entry'!$ë$293)</f>
      </c>
      <c r="FP293">
        <f>IF(ISBLANK('Data Entry'!$ì$293), "", 'Data Entry'!$ì$293)</f>
      </c>
      <c r="FQ293">
        <f>IF(ISBLANK('Data Entry'!$í$293), "", 'Data Entry'!$í$293)</f>
      </c>
      <c r="FR293">
        <f>IF(ISBLANK('Data Entry'!$î$293), "", 'Data Entry'!$î$293)</f>
      </c>
      <c r="FS293">
        <f>IF(ISBLANK('Data Entry'!$ï$293), "", 'Data Entry'!$ï$293)</f>
      </c>
      <c r="FT293">
        <f>IF(ISBLANK('Data Entry'!$ð$293), "", 'Data Entry'!$ð$293)</f>
      </c>
      <c r="FU293">
        <f>IF(ISBLANK('Data Entry'!$ñ$293), "", 'Data Entry'!$ñ$293)</f>
      </c>
      <c r="FV293">
        <f>IF(ISBLANK('Data Entry'!$ò$293), "", 'Data Entry'!$ò$293)</f>
      </c>
      <c r="FW293">
        <f>IF(ISBLANK('Data Entry'!$ó$293), "", 'Data Entry'!$ó$293)</f>
      </c>
      <c r="FX293">
        <f>IF(ISBLANK('Data Entry'!$ô$293), "", 'Data Entry'!$ô$293)</f>
      </c>
      <c r="FY293">
        <f>IF(ISBLANK('Data Entry'!$õ$293), "", 'Data Entry'!$õ$293)</f>
      </c>
      <c r="FZ293">
        <f>IF(ISBLANK('Data Entry'!$ö$293), "", 'Data Entry'!$ö$293)</f>
      </c>
      <c r="GA293">
        <f>IF(ISBLANK('Data Entry'!$÷$293), "", 'Data Entry'!$÷$293)</f>
      </c>
      <c r="GB293">
        <f>IF(ISBLANK('Data Entry'!$ø$293), "", 'Data Entry'!$ø$293)</f>
      </c>
      <c r="GC293">
        <f>IF(ISBLANK('Data Entry'!$ù$293), "", 'Data Entry'!$ù$293)</f>
      </c>
      <c r="GD293">
        <f>IF(ISBLANK('Data Entry'!$ú$293), "", 'Data Entry'!$ú$293)</f>
      </c>
      <c r="GE293">
        <f>IF(ISBLANK('Data Entry'!$û$293), "", 'Data Entry'!$û$293)</f>
      </c>
      <c r="GF293">
        <f>IF(ISBLANK('Data Entry'!$ü$293), "", 'Data Entry'!$ü$293)</f>
      </c>
      <c r="GG293">
        <f>IF(ISBLANK('Data Entry'!$ý$293), "", 'Data Entry'!$ý$293)</f>
      </c>
      <c r="GH293">
        <f>IF(ISBLANK('Data Entry'!$þ$293), "", 'Data Entry'!$þ$293)</f>
      </c>
      <c r="GI293">
        <f>IF(ISBLANK('Data Entry'!$ÿ$293), "", 'Data Entry'!$ÿ$293)</f>
      </c>
      <c r="GJ293">
        <f>IF(ISBLANK('Data Entry'!$Ā$293), "", 'Data Entry'!$Ā$293)</f>
      </c>
      <c r="GK293">
        <f>IF(ISBLANK('Data Entry'!$ā$293), "", 'Data Entry'!$ā$293)</f>
      </c>
      <c r="GL293">
        <f>IF(ISBLANK('Data Entry'!$Ă$293), "", 'Data Entry'!$Ă$293)</f>
      </c>
      <c r="GM293">
        <f>IF(ISBLANK('Data Entry'!$ă$293), "", 'Data Entry'!$ă$293)</f>
      </c>
      <c r="GN293">
        <f>IF(ISBLANK('Data Entry'!$Ą$293), "", 'Data Entry'!$Ą$293)</f>
      </c>
      <c r="GO293">
        <f>IF(ISBLANK('Data Entry'!$ą$293), "", 'Data Entry'!$ą$293)</f>
      </c>
      <c r="GP293">
        <f>IF(ISBLANK('Data Entry'!$Ć$293), "", 'Data Entry'!$Ć$293)</f>
      </c>
      <c r="GQ293">
        <f>IF(ISBLANK('Data Entry'!$ć$293), "", 'Data Entry'!$ć$293)</f>
      </c>
      <c r="GR293">
        <f>IF(ISBLANK('Data Entry'!$Ĉ$293), "", 'Data Entry'!$Ĉ$293)</f>
      </c>
      <c r="GS293">
        <f>IF(ISBLANK('Data Entry'!$ĉ$293), "", 'Data Entry'!$ĉ$293)</f>
      </c>
      <c r="GT293">
        <f>IF(ISBLANK('Data Entry'!$Ċ$293), "", 'Data Entry'!$Ċ$293)</f>
      </c>
      <c r="GU293">
        <f>IF(ISBLANK('Data Entry'!$ċ$293), "", 'Data Entry'!$ċ$293)</f>
      </c>
      <c r="GV293">
        <f>IF(ISBLANK('Data Entry'!$Č$293), "", 'Data Entry'!$Č$293)</f>
      </c>
      <c r="GW293">
        <f>IF(ISBLANK('Data Entry'!$č$293), "", 'Data Entry'!$č$293)</f>
      </c>
      <c r="GX293">
        <f>IF(ISBLANK('Data Entry'!$Ď$293), "", 'Data Entry'!$Ď$293)</f>
      </c>
      <c r="GY293">
        <f>IF(ISBLANK('Data Entry'!$ď$293), "", 'Data Entry'!$ď$293)</f>
      </c>
      <c r="GZ293">
        <f>IF(ISBLANK('Data Entry'!$Đ$293), "", 'Data Entry'!$Đ$293)</f>
      </c>
      <c r="HA293">
        <f>IF(ISBLANK('Data Entry'!$đ$293), "", 'Data Entry'!$đ$293)</f>
      </c>
      <c r="HB293">
        <f>IF(ISBLANK('Data Entry'!$Ē$293), "", 'Data Entry'!$Ē$293)</f>
      </c>
      <c r="HC293">
        <f>IF(ISBLANK('Data Entry'!$ē$293), "", 'Data Entry'!$ē$293)</f>
      </c>
      <c r="HD293">
        <f>IF(ISBLANK('Data Entry'!$Ĕ$293), "", 'Data Entry'!$Ĕ$293)</f>
      </c>
      <c r="HE293">
        <f>IF(ISBLANK('Data Entry'!$ĕ$293), "", 'Data Entry'!$ĕ$293)</f>
      </c>
      <c r="HF293">
        <f>IF(ISBLANK('Data Entry'!$Ė$293), "", 'Data Entry'!$Ė$293)</f>
      </c>
      <c r="HG293">
        <f>IF(ISBLANK('Data Entry'!$ė$293), "", 'Data Entry'!$ė$293)</f>
      </c>
      <c r="HH293">
        <f>IF(ISBLANK('Data Entry'!$Ę$293), "", 'Data Entry'!$Ę$293)</f>
      </c>
      <c r="HI293">
        <f>IF(ISBLANK('Data Entry'!$ę$293), "", 'Data Entry'!$ę$293)</f>
      </c>
      <c r="HJ293">
        <f>IF(ISBLANK('Data Entry'!$Ě$293), "", 'Data Entry'!$Ě$293)</f>
      </c>
      <c r="HK293">
        <f>IF(ISBLANK('Data Entry'!$ě$293), "", 'Data Entry'!$ě$293)</f>
      </c>
      <c r="HL293">
        <f>IF(ISBLANK('Data Entry'!$Ĝ$293), "", 'Data Entry'!$Ĝ$293)</f>
      </c>
      <c r="HM293">
        <f>IF(ISBLANK('Data Entry'!$ĝ$293), "", 'Data Entry'!$ĝ$293)</f>
      </c>
      <c r="HN293">
        <f>IF(ISBLANK('Data Entry'!$Ğ$293), "", 'Data Entry'!$Ğ$293)</f>
      </c>
      <c r="HO293">
        <f>IF(ISBLANK('Data Entry'!$ğ$293), "", 'Data Entry'!$ğ$293)</f>
      </c>
      <c r="HP293">
        <f>IF(ISBLANK('Data Entry'!$Ġ$293), "", 'Data Entry'!$Ġ$293)</f>
      </c>
      <c r="HQ293">
        <f>IF(ISBLANK('Data Entry'!$ġ$293), "", 'Data Entry'!$ġ$293)</f>
      </c>
      <c r="HR293">
        <f>IF(ISBLANK('Data Entry'!$Ģ$293), "", 'Data Entry'!$Ģ$293)</f>
      </c>
      <c r="HS293">
        <f>IF(ISBLANK('Data Entry'!$ģ$293), "", 'Data Entry'!$ģ$293)</f>
      </c>
      <c r="HT293">
        <f>IF(ISBLANK('Data Entry'!$Ĥ$293), "", 'Data Entry'!$Ĥ$293)</f>
      </c>
      <c r="HU293">
        <f>IF(ISBLANK('Data Entry'!$ĥ$293), "", 'Data Entry'!$ĥ$293)</f>
      </c>
      <c r="HV293">
        <f>IF(ISBLANK('Data Entry'!$Ħ$293), "", 'Data Entry'!$Ħ$293)</f>
      </c>
      <c r="HW293">
        <f>IF(ISBLANK('Data Entry'!$ħ$293), "", 'Data Entry'!$ħ$293)</f>
      </c>
      <c r="HX293">
        <f>IF(ISBLANK('Data Entry'!$Ĩ$293), "", 'Data Entry'!$Ĩ$293)</f>
      </c>
      <c r="HY293">
        <f>IF(ISBLANK('Data Entry'!$ĩ$293), "", 'Data Entry'!$ĩ$293)</f>
      </c>
      <c r="HZ293">
        <f>IF(ISBLANK('Data Entry'!$Ī$293), "", 'Data Entry'!$Ī$293)</f>
      </c>
      <c r="IA293">
        <f>IF(ISBLANK('Data Entry'!$ī$293), "", 'Data Entry'!$ī$293)</f>
      </c>
      <c r="IB293">
        <f>IF(ISBLANK('Data Entry'!$Ĭ$293), "", 'Data Entry'!$Ĭ$293)</f>
      </c>
      <c r="IC293">
        <f>IF(ISBLANK('Data Entry'!$ĭ$293), "", 'Data Entry'!$ĭ$293)</f>
      </c>
      <c r="ID293">
        <f>IF(ISBLANK('Data Entry'!$Į$293), "", 'Data Entry'!$Į$293)</f>
      </c>
      <c r="IE293">
        <f>IF(ISBLANK('Data Entry'!$į$293), "", 'Data Entry'!$į$293)</f>
      </c>
      <c r="IF293">
        <f>IF(ISBLANK('Data Entry'!$İ$293), "", 'Data Entry'!$İ$293)</f>
      </c>
      <c r="IG293">
        <f>IF(ISBLANK('Data Entry'!$ı$293), "", 'Data Entry'!$ı$293)</f>
      </c>
      <c r="IH293">
        <f>IF(ISBLANK('Data Entry'!$Ĳ$293), "", 'Data Entry'!$Ĳ$293)</f>
      </c>
      <c r="II293">
        <f>IF(ISBLANK('Data Entry'!$ĳ$293), "", 'Data Entry'!$ĳ$293)</f>
      </c>
      <c r="IJ293">
        <f>IF(ISBLANK('Data Entry'!$Ĵ$293), "", 'Data Entry'!$Ĵ$293)</f>
      </c>
      <c r="IK293">
        <f>IF(ISBLANK('Data Entry'!$ĵ$293), "", 'Data Entry'!$ĵ$293)</f>
      </c>
      <c r="IL293">
        <f>IF(ISBLANK('Data Entry'!$Ķ$293), "", 'Data Entry'!$Ķ$293)</f>
      </c>
      <c r="IM293">
        <f>IF(ISBLANK('Data Entry'!$ķ$293), "", 'Data Entry'!$ķ$293)</f>
      </c>
      <c r="IN293">
        <f>IF(ISBLANK('Data Entry'!$ĸ$293), "", 'Data Entry'!$ĸ$293)</f>
      </c>
      <c r="IO293">
        <f>IF(ISBLANK('Data Entry'!$Ĺ$293), "", 'Data Entry'!$Ĺ$293)</f>
      </c>
      <c r="IP293">
        <f>IF(ISBLANK('Data Entry'!$ĺ$293), "", 'Data Entry'!$ĺ$293)</f>
      </c>
      <c r="IQ293">
        <f>IF(ISBLANK('Data Entry'!$Ļ$293), "", 'Data Entry'!$Ļ$293)</f>
      </c>
      <c r="IR293">
        <f>IF(ISBLANK('Data Entry'!$ļ$293), "", 'Data Entry'!$ļ$293)</f>
      </c>
      <c r="IS293">
        <f>IF(ISBLANK('Data Entry'!$Ľ$293), "", 'Data Entry'!$Ľ$293)</f>
      </c>
      <c r="IT293">
        <f>IF(ISBLANK('Data Entry'!$ľ$293), "", 'Data Entry'!$ľ$293)</f>
      </c>
    </row>
    <row r="294" spans="1:254" x14ac:dyDescent="0.25">
      <c r="A294">
        <f>IF(ISBLANK('Data Entry'!$A$294), "", 'Data Entry'!$A$294)</f>
      </c>
      <c r="B294">
        <f>IF(ISBLANK('Data Entry'!$B$294), "", 'Data Entry'!$B$294)</f>
      </c>
      <c r="C294">
        <f>IF(ISBLANK('Data Entry'!$C$294), "", 'Data Entry'!$C$294)</f>
      </c>
      <c r="D294">
        <f>IF(ISBLANK('Data Entry'!$D$294), "", 'Data Entry'!$D$294)</f>
      </c>
      <c r="E294">
        <f>IF(ISBLANK('Data Entry'!$E$294), "", 'Data Entry'!$E$294)</f>
      </c>
      <c r="F294">
        <f>IF(ISBLANK('Data Entry'!$F$294), "", 'Data Entry'!$F$294)</f>
      </c>
      <c r="G294">
        <f>IF(ISBLANK('Data Entry'!$G$294), "", 'Data Entry'!$G$294)</f>
      </c>
      <c r="H294">
        <f>IF(ISBLANK('Data Entry'!$H$294), "", 'Data Entry'!$H$294)</f>
      </c>
      <c r="I294">
        <f>IF(ISBLANK('Data Entry'!$I$294), "", 'Data Entry'!$I$294)</f>
      </c>
      <c r="J294">
        <f>IF(ISBLANK('Data Entry'!$J$294), "", 'Data Entry'!$J$294)</f>
      </c>
      <c r="K294">
        <f>IF(ISBLANK('Data Entry'!$K$294), "", 'Data Entry'!$K$294)</f>
      </c>
      <c r="L294">
        <f>IF(ISBLANK('Data Entry'!$L$294), "", 'Data Entry'!$L$294)</f>
      </c>
      <c r="M294">
        <f>IF(ISBLANK('Data Entry'!$M$294), "", 'Data Entry'!$M$294)</f>
      </c>
      <c r="N294">
        <f>IF(ISBLANK('Data Entry'!$N$294), "", 'Data Entry'!$N$294)</f>
      </c>
      <c r="O294">
        <f>IF(ISBLANK('Data Entry'!$O$294), "", 'Data Entry'!$O$294)</f>
      </c>
      <c r="P294">
        <f>IF(ISBLANK('Data Entry'!$P$294), "", 'Data Entry'!$P$294)</f>
      </c>
      <c r="Q294">
        <f>IF(ISBLANK('Data Entry'!$Q$294), "", 'Data Entry'!$Q$294)</f>
      </c>
      <c r="R294">
        <f>IF(ISBLANK('Data Entry'!$R$294), "", 'Data Entry'!$R$294)</f>
      </c>
      <c r="S294">
        <f>IF(ISBLANK('Data Entry'!$S$294), "", 'Data Entry'!$S$294)</f>
      </c>
      <c r="T294">
        <f>IF(ISBLANK('Data Entry'!$T$294), "", 'Data Entry'!$T$294)</f>
      </c>
      <c r="U294">
        <f>IF(ISBLANK('Data Entry'!$U$294), "", 'Data Entry'!$U$294)</f>
      </c>
      <c r="V294">
        <f>IF(ISBLANK('Data Entry'!$V$294), "", 'Data Entry'!$V$294)</f>
      </c>
      <c r="W294">
        <f>IF(ISBLANK('Data Entry'!$W$294), "", 'Data Entry'!$W$294)</f>
      </c>
      <c r="X294">
        <f>IF(ISBLANK('Data Entry'!$X$294), "", 'Data Entry'!$X$294)</f>
      </c>
      <c r="Y294">
        <f>IF(ISBLANK('Data Entry'!$Y$294), "", 'Data Entry'!$Y$294)</f>
      </c>
      <c r="Z294">
        <f>IF(ISBLANK('Data Entry'!$Z$294), "", 'Data Entry'!$Z$294)</f>
      </c>
      <c r="AA294">
        <f>IF(ISBLANK('Data Entry'!$[$294), "", 'Data Entry'!$[$294)</f>
      </c>
      <c r="AB294">
        <f>IF(ISBLANK('Data Entry'!$\$294), "", 'Data Entry'!$\$294)</f>
      </c>
      <c r="AC294">
        <f>IF(ISBLANK('Data Entry'!$]$294), "", 'Data Entry'!$]$294)</f>
      </c>
      <c r="AD294">
        <f>IF(ISBLANK('Data Entry'!$^$294), "", 'Data Entry'!$^$294)</f>
      </c>
      <c r="AE294">
        <f>IF(ISBLANK('Data Entry'!$_$294), "", 'Data Entry'!$_$294)</f>
      </c>
      <c r="AF294">
        <f>IF(ISBLANK('Data Entry'!$`$294), "", 'Data Entry'!$`$294)</f>
      </c>
      <c r="AG294">
        <f>IF(ISBLANK('Data Entry'!$a$294), "", 'Data Entry'!$a$294)</f>
      </c>
      <c r="AH294">
        <f>IF(ISBLANK('Data Entry'!$b$294), "", 'Data Entry'!$b$294)</f>
      </c>
      <c r="AI294">
        <f>IF(ISBLANK('Data Entry'!$c$294), "", 'Data Entry'!$c$294)</f>
      </c>
      <c r="AJ294">
        <f>IF(ISBLANK('Data Entry'!$d$294), "", 'Data Entry'!$d$294)</f>
      </c>
      <c r="AK294">
        <f>IF(ISBLANK('Data Entry'!$e$294), "", 'Data Entry'!$e$294)</f>
      </c>
      <c r="AL294">
        <f>IF(ISBLANK('Data Entry'!$f$294), "", 'Data Entry'!$f$294)</f>
      </c>
      <c r="AM294">
        <f>IF(ISBLANK('Data Entry'!$g$294), "", 'Data Entry'!$g$294)</f>
      </c>
      <c r="AN294">
        <f>IF(ISBLANK('Data Entry'!$h$294), "", 'Data Entry'!$h$294)</f>
      </c>
      <c r="AO294">
        <f>IF(ISBLANK('Data Entry'!$i$294), "", 'Data Entry'!$i$294)</f>
      </c>
      <c r="AP294">
        <f>IF(ISBLANK('Data Entry'!$j$294), "", 'Data Entry'!$j$294)</f>
      </c>
      <c r="AQ294">
        <f>IF(ISBLANK('Data Entry'!$k$294), "", 'Data Entry'!$k$294)</f>
      </c>
      <c r="AR294">
        <f>IF(ISBLANK('Data Entry'!$l$294), "", 'Data Entry'!$l$294)</f>
      </c>
      <c r="AS294">
        <f>IF(ISBLANK('Data Entry'!$m$294), "", 'Data Entry'!$m$294)</f>
      </c>
      <c r="AT294">
        <f>IF(ISBLANK('Data Entry'!$n$294), "", 'Data Entry'!$n$294)</f>
      </c>
      <c r="AU294">
        <f>IF(ISBLANK('Data Entry'!$o$294), "", 'Data Entry'!$o$294)</f>
      </c>
      <c r="AV294">
        <f>IF(ISBLANK('Data Entry'!$p$294), "", 'Data Entry'!$p$294)</f>
      </c>
      <c r="AW294">
        <f>IF(ISBLANK('Data Entry'!$q$294), "", 'Data Entry'!$q$294)</f>
      </c>
      <c r="AX294">
        <f>IF(ISBLANK('Data Entry'!$r$294), "", 'Data Entry'!$r$294)</f>
      </c>
      <c r="AY294">
        <f>IF(ISBLANK('Data Entry'!$s$294), "", 'Data Entry'!$s$294)</f>
      </c>
      <c r="AZ294">
        <f>IF(ISBLANK('Data Entry'!$t$294), "", 'Data Entry'!$t$294)</f>
      </c>
      <c r="BA294">
        <f>IF(ISBLANK('Data Entry'!$u$294), "", 'Data Entry'!$u$294)</f>
      </c>
      <c r="BB294">
        <f>IF(ISBLANK('Data Entry'!$v$294), "", 'Data Entry'!$v$294)</f>
      </c>
      <c r="BC294">
        <f>IF(ISBLANK('Data Entry'!$w$294), "", 'Data Entry'!$w$294)</f>
      </c>
      <c r="BD294">
        <f>IF(ISBLANK('Data Entry'!$x$294), "", 'Data Entry'!$x$294)</f>
      </c>
      <c r="BE294">
        <f>IF(ISBLANK('Data Entry'!$y$294), "", 'Data Entry'!$y$294)</f>
      </c>
      <c r="BF294">
        <f>IF(ISBLANK('Data Entry'!$z$294), "", 'Data Entry'!$z$294)</f>
      </c>
      <c r="BG294">
        <f>IF(ISBLANK('Data Entry'!${$294), "", 'Data Entry'!${$294)</f>
      </c>
      <c r="BH294">
        <f>IF(ISBLANK('Data Entry'!$|$294), "", 'Data Entry'!$|$294)</f>
      </c>
      <c r="BI294">
        <f>IF(ISBLANK('Data Entry'!$}$294), "", 'Data Entry'!$}$294)</f>
      </c>
      <c r="BJ294">
        <f>IF(ISBLANK('Data Entry'!$~$294), "", 'Data Entry'!$~$294)</f>
      </c>
      <c r="BK294">
        <f>IF(ISBLANK('Data Entry'!$$294), "", 'Data Entry'!$$294)</f>
      </c>
      <c r="BL294">
        <f>IF(ISBLANK('Data Entry'!$$294), "", 'Data Entry'!$$294)</f>
      </c>
      <c r="BM294">
        <f>IF(ISBLANK('Data Entry'!$$294), "", 'Data Entry'!$$294)</f>
      </c>
      <c r="BN294">
        <f>IF(ISBLANK('Data Entry'!$$294), "", 'Data Entry'!$$294)</f>
      </c>
      <c r="BO294">
        <f>IF(ISBLANK('Data Entry'!$$294), "", 'Data Entry'!$$294)</f>
      </c>
      <c r="BP294">
        <f>IF(ISBLANK('Data Entry'!$$294), "", 'Data Entry'!$$294)</f>
      </c>
      <c r="BQ294">
        <f>IF(ISBLANK('Data Entry'!$$294), "", 'Data Entry'!$$294)</f>
      </c>
      <c r="BR294">
        <f>IF(ISBLANK('Data Entry'!$$294), "", 'Data Entry'!$$294)</f>
      </c>
      <c r="BS294">
        <f>IF(ISBLANK('Data Entry'!$$294), "", 'Data Entry'!$$294)</f>
      </c>
      <c r="BT294">
        <f>IF(ISBLANK('Data Entry'!$$294), "", 'Data Entry'!$$294)</f>
      </c>
      <c r="BU294">
        <f>IF(ISBLANK('Data Entry'!$$294), "", 'Data Entry'!$$294)</f>
      </c>
      <c r="BV294">
        <f>IF(ISBLANK('Data Entry'!$$294), "", 'Data Entry'!$$294)</f>
      </c>
      <c r="BW294">
        <f>IF(ISBLANK('Data Entry'!$$294), "", 'Data Entry'!$$294)</f>
      </c>
      <c r="BX294">
        <f>IF(ISBLANK('Data Entry'!$$294), "", 'Data Entry'!$$294)</f>
      </c>
      <c r="BY294">
        <f>IF(ISBLANK('Data Entry'!$$294), "", 'Data Entry'!$$294)</f>
      </c>
      <c r="BZ294">
        <f>IF(ISBLANK('Data Entry'!$$294), "", 'Data Entry'!$$294)</f>
      </c>
      <c r="CA294">
        <f>IF(ISBLANK('Data Entry'!$$294), "", 'Data Entry'!$$294)</f>
      </c>
      <c r="CB294">
        <f>IF(ISBLANK('Data Entry'!$$294), "", 'Data Entry'!$$294)</f>
      </c>
      <c r="CC294">
        <f>IF(ISBLANK('Data Entry'!$$294), "", 'Data Entry'!$$294)</f>
      </c>
      <c r="CD294">
        <f>IF(ISBLANK('Data Entry'!$$294), "", 'Data Entry'!$$294)</f>
      </c>
      <c r="CE294">
        <f>IF(ISBLANK('Data Entry'!$$294), "", 'Data Entry'!$$294)</f>
      </c>
      <c r="CF294">
        <f>IF(ISBLANK('Data Entry'!$$294), "", 'Data Entry'!$$294)</f>
      </c>
      <c r="CG294">
        <f>IF(ISBLANK('Data Entry'!$$294), "", 'Data Entry'!$$294)</f>
      </c>
      <c r="CH294">
        <f>IF(ISBLANK('Data Entry'!$$294), "", 'Data Entry'!$$294)</f>
      </c>
      <c r="CI294">
        <f>IF(ISBLANK('Data Entry'!$$294), "", 'Data Entry'!$$294)</f>
      </c>
      <c r="CJ294">
        <f>IF(ISBLANK('Data Entry'!$$294), "", 'Data Entry'!$$294)</f>
      </c>
      <c r="CK294">
        <f>IF(ISBLANK('Data Entry'!$$294), "", 'Data Entry'!$$294)</f>
      </c>
      <c r="CL294">
        <f>IF(ISBLANK('Data Entry'!$$294), "", 'Data Entry'!$$294)</f>
      </c>
      <c r="CM294">
        <f>IF(ISBLANK('Data Entry'!$$294), "", 'Data Entry'!$$294)</f>
      </c>
      <c r="CN294">
        <f>IF(ISBLANK('Data Entry'!$$294), "", 'Data Entry'!$$294)</f>
      </c>
      <c r="CO294">
        <f>IF(ISBLANK('Data Entry'!$$294), "", 'Data Entry'!$$294)</f>
      </c>
      <c r="CP294">
        <f>IF(ISBLANK('Data Entry'!$$294), "", 'Data Entry'!$$294)</f>
      </c>
      <c r="CQ294">
        <f>IF(ISBLANK('Data Entry'!$$294), "", 'Data Entry'!$$294)</f>
      </c>
      <c r="CR294">
        <f>IF(ISBLANK('Data Entry'!$ $294), "", 'Data Entry'!$ $294)</f>
      </c>
      <c r="CS294">
        <f>IF(ISBLANK('Data Entry'!$¡$294), "", 'Data Entry'!$¡$294)</f>
      </c>
      <c r="CT294">
        <f>IF(ISBLANK('Data Entry'!$¢$294), "", 'Data Entry'!$¢$294)</f>
      </c>
      <c r="CU294">
        <f>IF(ISBLANK('Data Entry'!$£$294), "", 'Data Entry'!$£$294)</f>
      </c>
      <c r="CV294">
        <f>IF(ISBLANK('Data Entry'!$¤$294), "", 'Data Entry'!$¤$294)</f>
      </c>
      <c r="CW294">
        <f>IF(ISBLANK('Data Entry'!$¥$294), "", 'Data Entry'!$¥$294)</f>
      </c>
      <c r="CX294">
        <f>IF(ISBLANK('Data Entry'!$¦$294), "", 'Data Entry'!$¦$294)</f>
      </c>
      <c r="CY294">
        <f>IF(ISBLANK('Data Entry'!$§$294), "", 'Data Entry'!$§$294)</f>
      </c>
      <c r="CZ294">
        <f>IF(ISBLANK('Data Entry'!$¨$294), "", 'Data Entry'!$¨$294)</f>
      </c>
      <c r="DA294">
        <f>IF(ISBLANK('Data Entry'!$©$294), "", 'Data Entry'!$©$294)</f>
      </c>
      <c r="DB294">
        <f>IF(ISBLANK('Data Entry'!$ª$294), "", 'Data Entry'!$ª$294)</f>
      </c>
      <c r="DC294">
        <f>IF(ISBLANK('Data Entry'!$«$294), "", 'Data Entry'!$«$294)</f>
      </c>
      <c r="DD294">
        <f>IF(ISBLANK('Data Entry'!$¬$294), "", 'Data Entry'!$¬$294)</f>
      </c>
      <c r="DE294">
        <f>IF(ISBLANK('Data Entry'!$­$294), "", 'Data Entry'!$­$294)</f>
      </c>
      <c r="DF294">
        <f>IF(ISBLANK('Data Entry'!$®$294), "", 'Data Entry'!$®$294)</f>
      </c>
      <c r="DG294">
        <f>IF(ISBLANK('Data Entry'!$¯$294), "", 'Data Entry'!$¯$294)</f>
      </c>
      <c r="DH294">
        <f>IF(ISBLANK('Data Entry'!$°$294), "", 'Data Entry'!$°$294)</f>
      </c>
      <c r="DI294">
        <f>IF(ISBLANK('Data Entry'!$±$294), "", 'Data Entry'!$±$294)</f>
      </c>
      <c r="DJ294">
        <f>IF(ISBLANK('Data Entry'!$²$294), "", 'Data Entry'!$²$294)</f>
      </c>
      <c r="DK294">
        <f>IF(ISBLANK('Data Entry'!$³$294), "", 'Data Entry'!$³$294)</f>
      </c>
      <c r="DL294">
        <f>IF(ISBLANK('Data Entry'!$´$294), "", 'Data Entry'!$´$294)</f>
      </c>
      <c r="DM294">
        <f>IF(ISBLANK('Data Entry'!$µ$294), "", 'Data Entry'!$µ$294)</f>
      </c>
      <c r="DN294">
        <f>IF(ISBLANK('Data Entry'!$¶$294), "", 'Data Entry'!$¶$294)</f>
      </c>
      <c r="DO294">
        <f>IF(ISBLANK('Data Entry'!$·$294), "", 'Data Entry'!$·$294)</f>
      </c>
      <c r="DP294">
        <f>IF(ISBLANK('Data Entry'!$¸$294), "", 'Data Entry'!$¸$294)</f>
      </c>
      <c r="DQ294">
        <f>IF(ISBLANK('Data Entry'!$¹$294), "", 'Data Entry'!$¹$294)</f>
      </c>
      <c r="DR294">
        <f>IF(ISBLANK('Data Entry'!$º$294), "", 'Data Entry'!$º$294)</f>
      </c>
      <c r="DS294">
        <f>IF(ISBLANK('Data Entry'!$»$294), "", 'Data Entry'!$»$294)</f>
      </c>
      <c r="DT294">
        <f>IF(ISBLANK('Data Entry'!$¼$294), "", 'Data Entry'!$¼$294)</f>
      </c>
      <c r="DU294">
        <f>IF(ISBLANK('Data Entry'!$½$294), "", 'Data Entry'!$½$294)</f>
      </c>
      <c r="DV294">
        <f>IF(ISBLANK('Data Entry'!$¾$294), "", 'Data Entry'!$¾$294)</f>
      </c>
      <c r="DW294">
        <f>IF(ISBLANK('Data Entry'!$¿$294), "", 'Data Entry'!$¿$294)</f>
      </c>
      <c r="DX294">
        <f>IF(ISBLANK('Data Entry'!$À$294), "", 'Data Entry'!$À$294)</f>
      </c>
      <c r="DY294">
        <f>IF(ISBLANK('Data Entry'!$Á$294), "", 'Data Entry'!$Á$294)</f>
      </c>
      <c r="DZ294">
        <f>IF(ISBLANK('Data Entry'!$Â$294), "", 'Data Entry'!$Â$294)</f>
      </c>
      <c r="EA294">
        <f>IF(ISBLANK('Data Entry'!$Ã$294), "", 'Data Entry'!$Ã$294)</f>
      </c>
      <c r="EB294">
        <f>IF(ISBLANK('Data Entry'!$Ä$294), "", 'Data Entry'!$Ä$294)</f>
      </c>
      <c r="EC294">
        <f>IF(ISBLANK('Data Entry'!$Å$294), "", 'Data Entry'!$Å$294)</f>
      </c>
      <c r="ED294">
        <f>IF(ISBLANK('Data Entry'!$Æ$294), "", 'Data Entry'!$Æ$294)</f>
      </c>
      <c r="EE294">
        <f>IF(ISBLANK('Data Entry'!$Ç$294), "", 'Data Entry'!$Ç$294)</f>
      </c>
      <c r="EF294">
        <f>IF(ISBLANK('Data Entry'!$È$294), "", 'Data Entry'!$È$294)</f>
      </c>
      <c r="EG294">
        <f>IF(ISBLANK('Data Entry'!$É$294), "", 'Data Entry'!$É$294)</f>
      </c>
      <c r="EH294">
        <f>IF(ISBLANK('Data Entry'!$Ê$294), "", 'Data Entry'!$Ê$294)</f>
      </c>
      <c r="EI294">
        <f>IF(ISBLANK('Data Entry'!$Ë$294), "", 'Data Entry'!$Ë$294)</f>
      </c>
      <c r="EJ294">
        <f>IF(ISBLANK('Data Entry'!$Ì$294), "", 'Data Entry'!$Ì$294)</f>
      </c>
      <c r="EK294">
        <f>IF(ISBLANK('Data Entry'!$Í$294), "", 'Data Entry'!$Í$294)</f>
      </c>
      <c r="EL294">
        <f>IF(ISBLANK('Data Entry'!$Î$294), "", 'Data Entry'!$Î$294)</f>
      </c>
      <c r="EM294">
        <f>IF(ISBLANK('Data Entry'!$Ï$294), "", 'Data Entry'!$Ï$294)</f>
      </c>
      <c r="EN294">
        <f>IF(ISBLANK('Data Entry'!$Ð$294), "", 'Data Entry'!$Ð$294)</f>
      </c>
      <c r="EO294">
        <f>IF(ISBLANK('Data Entry'!$Ñ$294), "", 'Data Entry'!$Ñ$294)</f>
      </c>
      <c r="EP294">
        <f>IF(ISBLANK('Data Entry'!$Ò$294), "", 'Data Entry'!$Ò$294)</f>
      </c>
      <c r="EQ294">
        <f>IF(ISBLANK('Data Entry'!$Ó$294), "", 'Data Entry'!$Ó$294)</f>
      </c>
      <c r="ER294">
        <f>IF(ISBLANK('Data Entry'!$Ô$294), "", 'Data Entry'!$Ô$294)</f>
      </c>
      <c r="ES294">
        <f>IF(ISBLANK('Data Entry'!$Õ$294), "", 'Data Entry'!$Õ$294)</f>
      </c>
      <c r="ET294">
        <f>IF(ISBLANK('Data Entry'!$Ö$294), "", 'Data Entry'!$Ö$294)</f>
      </c>
      <c r="EU294">
        <f>IF(ISBLANK('Data Entry'!$×$294), "", 'Data Entry'!$×$294)</f>
      </c>
      <c r="EV294">
        <f>IF(ISBLANK('Data Entry'!$Ø$294), "", 'Data Entry'!$Ø$294)</f>
      </c>
      <c r="EW294">
        <f>IF(ISBLANK('Data Entry'!$Ù$294), "", 'Data Entry'!$Ù$294)</f>
      </c>
      <c r="EX294">
        <f>IF(ISBLANK('Data Entry'!$Ú$294), "", 'Data Entry'!$Ú$294)</f>
      </c>
      <c r="EY294">
        <f>IF(ISBLANK('Data Entry'!$Û$294), "", 'Data Entry'!$Û$294)</f>
      </c>
      <c r="EZ294">
        <f>IF(ISBLANK('Data Entry'!$Ü$294), "", 'Data Entry'!$Ü$294)</f>
      </c>
      <c r="FA294">
        <f>IF(ISBLANK('Data Entry'!$Ý$294), "", 'Data Entry'!$Ý$294)</f>
      </c>
      <c r="FB294">
        <f>IF(ISBLANK('Data Entry'!$Þ$294), "", 'Data Entry'!$Þ$294)</f>
      </c>
      <c r="FC294">
        <f>IF(ISBLANK('Data Entry'!$ß$294), "", 'Data Entry'!$ß$294)</f>
      </c>
      <c r="FD294">
        <f>IF(ISBLANK('Data Entry'!$à$294), "", 'Data Entry'!$à$294)</f>
      </c>
      <c r="FE294">
        <f>IF(ISBLANK('Data Entry'!$á$294), "", 'Data Entry'!$á$294)</f>
      </c>
      <c r="FF294">
        <f>IF(ISBLANK('Data Entry'!$â$294), "", 'Data Entry'!$â$294)</f>
      </c>
      <c r="FG294">
        <f>IF(ISBLANK('Data Entry'!$ã$294), "", 'Data Entry'!$ã$294)</f>
      </c>
      <c r="FH294">
        <f>IF(ISBLANK('Data Entry'!$ä$294), "", 'Data Entry'!$ä$294)</f>
      </c>
      <c r="FI294">
        <f>IF(ISBLANK('Data Entry'!$å$294), "", 'Data Entry'!$å$294)</f>
      </c>
      <c r="FJ294">
        <f>IF(ISBLANK('Data Entry'!$æ$294), "", 'Data Entry'!$æ$294)</f>
      </c>
      <c r="FK294">
        <f>IF(ISBLANK('Data Entry'!$ç$294), "", 'Data Entry'!$ç$294)</f>
      </c>
      <c r="FL294">
        <f>IF(ISBLANK('Data Entry'!$è$294), "", 'Data Entry'!$è$294)</f>
      </c>
      <c r="FM294">
        <f>IF(ISBLANK('Data Entry'!$é$294), "", 'Data Entry'!$é$294)</f>
      </c>
      <c r="FN294">
        <f>IF(ISBLANK('Data Entry'!$ê$294), "", 'Data Entry'!$ê$294)</f>
      </c>
      <c r="FO294">
        <f>IF(ISBLANK('Data Entry'!$ë$294), "", 'Data Entry'!$ë$294)</f>
      </c>
      <c r="FP294">
        <f>IF(ISBLANK('Data Entry'!$ì$294), "", 'Data Entry'!$ì$294)</f>
      </c>
      <c r="FQ294">
        <f>IF(ISBLANK('Data Entry'!$í$294), "", 'Data Entry'!$í$294)</f>
      </c>
      <c r="FR294">
        <f>IF(ISBLANK('Data Entry'!$î$294), "", 'Data Entry'!$î$294)</f>
      </c>
      <c r="FS294">
        <f>IF(ISBLANK('Data Entry'!$ï$294), "", 'Data Entry'!$ï$294)</f>
      </c>
      <c r="FT294">
        <f>IF(ISBLANK('Data Entry'!$ð$294), "", 'Data Entry'!$ð$294)</f>
      </c>
      <c r="FU294">
        <f>IF(ISBLANK('Data Entry'!$ñ$294), "", 'Data Entry'!$ñ$294)</f>
      </c>
      <c r="FV294">
        <f>IF(ISBLANK('Data Entry'!$ò$294), "", 'Data Entry'!$ò$294)</f>
      </c>
      <c r="FW294">
        <f>IF(ISBLANK('Data Entry'!$ó$294), "", 'Data Entry'!$ó$294)</f>
      </c>
      <c r="FX294">
        <f>IF(ISBLANK('Data Entry'!$ô$294), "", 'Data Entry'!$ô$294)</f>
      </c>
      <c r="FY294">
        <f>IF(ISBLANK('Data Entry'!$õ$294), "", 'Data Entry'!$õ$294)</f>
      </c>
      <c r="FZ294">
        <f>IF(ISBLANK('Data Entry'!$ö$294), "", 'Data Entry'!$ö$294)</f>
      </c>
      <c r="GA294">
        <f>IF(ISBLANK('Data Entry'!$÷$294), "", 'Data Entry'!$÷$294)</f>
      </c>
      <c r="GB294">
        <f>IF(ISBLANK('Data Entry'!$ø$294), "", 'Data Entry'!$ø$294)</f>
      </c>
      <c r="GC294">
        <f>IF(ISBLANK('Data Entry'!$ù$294), "", 'Data Entry'!$ù$294)</f>
      </c>
      <c r="GD294">
        <f>IF(ISBLANK('Data Entry'!$ú$294), "", 'Data Entry'!$ú$294)</f>
      </c>
      <c r="GE294">
        <f>IF(ISBLANK('Data Entry'!$û$294), "", 'Data Entry'!$û$294)</f>
      </c>
      <c r="GF294">
        <f>IF(ISBLANK('Data Entry'!$ü$294), "", 'Data Entry'!$ü$294)</f>
      </c>
      <c r="GG294">
        <f>IF(ISBLANK('Data Entry'!$ý$294), "", 'Data Entry'!$ý$294)</f>
      </c>
      <c r="GH294">
        <f>IF(ISBLANK('Data Entry'!$þ$294), "", 'Data Entry'!$þ$294)</f>
      </c>
      <c r="GI294">
        <f>IF(ISBLANK('Data Entry'!$ÿ$294), "", 'Data Entry'!$ÿ$294)</f>
      </c>
      <c r="GJ294">
        <f>IF(ISBLANK('Data Entry'!$Ā$294), "", 'Data Entry'!$Ā$294)</f>
      </c>
      <c r="GK294">
        <f>IF(ISBLANK('Data Entry'!$ā$294), "", 'Data Entry'!$ā$294)</f>
      </c>
      <c r="GL294">
        <f>IF(ISBLANK('Data Entry'!$Ă$294), "", 'Data Entry'!$Ă$294)</f>
      </c>
      <c r="GM294">
        <f>IF(ISBLANK('Data Entry'!$ă$294), "", 'Data Entry'!$ă$294)</f>
      </c>
      <c r="GN294">
        <f>IF(ISBLANK('Data Entry'!$Ą$294), "", 'Data Entry'!$Ą$294)</f>
      </c>
      <c r="GO294">
        <f>IF(ISBLANK('Data Entry'!$ą$294), "", 'Data Entry'!$ą$294)</f>
      </c>
      <c r="GP294">
        <f>IF(ISBLANK('Data Entry'!$Ć$294), "", 'Data Entry'!$Ć$294)</f>
      </c>
      <c r="GQ294">
        <f>IF(ISBLANK('Data Entry'!$ć$294), "", 'Data Entry'!$ć$294)</f>
      </c>
      <c r="GR294">
        <f>IF(ISBLANK('Data Entry'!$Ĉ$294), "", 'Data Entry'!$Ĉ$294)</f>
      </c>
      <c r="GS294">
        <f>IF(ISBLANK('Data Entry'!$ĉ$294), "", 'Data Entry'!$ĉ$294)</f>
      </c>
      <c r="GT294">
        <f>IF(ISBLANK('Data Entry'!$Ċ$294), "", 'Data Entry'!$Ċ$294)</f>
      </c>
      <c r="GU294">
        <f>IF(ISBLANK('Data Entry'!$ċ$294), "", 'Data Entry'!$ċ$294)</f>
      </c>
      <c r="GV294">
        <f>IF(ISBLANK('Data Entry'!$Č$294), "", 'Data Entry'!$Č$294)</f>
      </c>
      <c r="GW294">
        <f>IF(ISBLANK('Data Entry'!$č$294), "", 'Data Entry'!$č$294)</f>
      </c>
      <c r="GX294">
        <f>IF(ISBLANK('Data Entry'!$Ď$294), "", 'Data Entry'!$Ď$294)</f>
      </c>
      <c r="GY294">
        <f>IF(ISBLANK('Data Entry'!$ď$294), "", 'Data Entry'!$ď$294)</f>
      </c>
      <c r="GZ294">
        <f>IF(ISBLANK('Data Entry'!$Đ$294), "", 'Data Entry'!$Đ$294)</f>
      </c>
      <c r="HA294">
        <f>IF(ISBLANK('Data Entry'!$đ$294), "", 'Data Entry'!$đ$294)</f>
      </c>
      <c r="HB294">
        <f>IF(ISBLANK('Data Entry'!$Ē$294), "", 'Data Entry'!$Ē$294)</f>
      </c>
      <c r="HC294">
        <f>IF(ISBLANK('Data Entry'!$ē$294), "", 'Data Entry'!$ē$294)</f>
      </c>
      <c r="HD294">
        <f>IF(ISBLANK('Data Entry'!$Ĕ$294), "", 'Data Entry'!$Ĕ$294)</f>
      </c>
      <c r="HE294">
        <f>IF(ISBLANK('Data Entry'!$ĕ$294), "", 'Data Entry'!$ĕ$294)</f>
      </c>
      <c r="HF294">
        <f>IF(ISBLANK('Data Entry'!$Ė$294), "", 'Data Entry'!$Ė$294)</f>
      </c>
      <c r="HG294">
        <f>IF(ISBLANK('Data Entry'!$ė$294), "", 'Data Entry'!$ė$294)</f>
      </c>
      <c r="HH294">
        <f>IF(ISBLANK('Data Entry'!$Ę$294), "", 'Data Entry'!$Ę$294)</f>
      </c>
      <c r="HI294">
        <f>IF(ISBLANK('Data Entry'!$ę$294), "", 'Data Entry'!$ę$294)</f>
      </c>
      <c r="HJ294">
        <f>IF(ISBLANK('Data Entry'!$Ě$294), "", 'Data Entry'!$Ě$294)</f>
      </c>
      <c r="HK294">
        <f>IF(ISBLANK('Data Entry'!$ě$294), "", 'Data Entry'!$ě$294)</f>
      </c>
      <c r="HL294">
        <f>IF(ISBLANK('Data Entry'!$Ĝ$294), "", 'Data Entry'!$Ĝ$294)</f>
      </c>
      <c r="HM294">
        <f>IF(ISBLANK('Data Entry'!$ĝ$294), "", 'Data Entry'!$ĝ$294)</f>
      </c>
      <c r="HN294">
        <f>IF(ISBLANK('Data Entry'!$Ğ$294), "", 'Data Entry'!$Ğ$294)</f>
      </c>
      <c r="HO294">
        <f>IF(ISBLANK('Data Entry'!$ğ$294), "", 'Data Entry'!$ğ$294)</f>
      </c>
      <c r="HP294">
        <f>IF(ISBLANK('Data Entry'!$Ġ$294), "", 'Data Entry'!$Ġ$294)</f>
      </c>
      <c r="HQ294">
        <f>IF(ISBLANK('Data Entry'!$ġ$294), "", 'Data Entry'!$ġ$294)</f>
      </c>
      <c r="HR294">
        <f>IF(ISBLANK('Data Entry'!$Ģ$294), "", 'Data Entry'!$Ģ$294)</f>
      </c>
      <c r="HS294">
        <f>IF(ISBLANK('Data Entry'!$ģ$294), "", 'Data Entry'!$ģ$294)</f>
      </c>
      <c r="HT294">
        <f>IF(ISBLANK('Data Entry'!$Ĥ$294), "", 'Data Entry'!$Ĥ$294)</f>
      </c>
      <c r="HU294">
        <f>IF(ISBLANK('Data Entry'!$ĥ$294), "", 'Data Entry'!$ĥ$294)</f>
      </c>
      <c r="HV294">
        <f>IF(ISBLANK('Data Entry'!$Ħ$294), "", 'Data Entry'!$Ħ$294)</f>
      </c>
      <c r="HW294">
        <f>IF(ISBLANK('Data Entry'!$ħ$294), "", 'Data Entry'!$ħ$294)</f>
      </c>
      <c r="HX294">
        <f>IF(ISBLANK('Data Entry'!$Ĩ$294), "", 'Data Entry'!$Ĩ$294)</f>
      </c>
      <c r="HY294">
        <f>IF(ISBLANK('Data Entry'!$ĩ$294), "", 'Data Entry'!$ĩ$294)</f>
      </c>
      <c r="HZ294">
        <f>IF(ISBLANK('Data Entry'!$Ī$294), "", 'Data Entry'!$Ī$294)</f>
      </c>
      <c r="IA294">
        <f>IF(ISBLANK('Data Entry'!$ī$294), "", 'Data Entry'!$ī$294)</f>
      </c>
      <c r="IB294">
        <f>IF(ISBLANK('Data Entry'!$Ĭ$294), "", 'Data Entry'!$Ĭ$294)</f>
      </c>
      <c r="IC294">
        <f>IF(ISBLANK('Data Entry'!$ĭ$294), "", 'Data Entry'!$ĭ$294)</f>
      </c>
      <c r="ID294">
        <f>IF(ISBLANK('Data Entry'!$Į$294), "", 'Data Entry'!$Į$294)</f>
      </c>
      <c r="IE294">
        <f>IF(ISBLANK('Data Entry'!$į$294), "", 'Data Entry'!$į$294)</f>
      </c>
      <c r="IF294">
        <f>IF(ISBLANK('Data Entry'!$İ$294), "", 'Data Entry'!$İ$294)</f>
      </c>
      <c r="IG294">
        <f>IF(ISBLANK('Data Entry'!$ı$294), "", 'Data Entry'!$ı$294)</f>
      </c>
      <c r="IH294">
        <f>IF(ISBLANK('Data Entry'!$Ĳ$294), "", 'Data Entry'!$Ĳ$294)</f>
      </c>
      <c r="II294">
        <f>IF(ISBLANK('Data Entry'!$ĳ$294), "", 'Data Entry'!$ĳ$294)</f>
      </c>
      <c r="IJ294">
        <f>IF(ISBLANK('Data Entry'!$Ĵ$294), "", 'Data Entry'!$Ĵ$294)</f>
      </c>
      <c r="IK294">
        <f>IF(ISBLANK('Data Entry'!$ĵ$294), "", 'Data Entry'!$ĵ$294)</f>
      </c>
      <c r="IL294">
        <f>IF(ISBLANK('Data Entry'!$Ķ$294), "", 'Data Entry'!$Ķ$294)</f>
      </c>
      <c r="IM294">
        <f>IF(ISBLANK('Data Entry'!$ķ$294), "", 'Data Entry'!$ķ$294)</f>
      </c>
      <c r="IN294">
        <f>IF(ISBLANK('Data Entry'!$ĸ$294), "", 'Data Entry'!$ĸ$294)</f>
      </c>
      <c r="IO294">
        <f>IF(ISBLANK('Data Entry'!$Ĺ$294), "", 'Data Entry'!$Ĺ$294)</f>
      </c>
      <c r="IP294">
        <f>IF(ISBLANK('Data Entry'!$ĺ$294), "", 'Data Entry'!$ĺ$294)</f>
      </c>
      <c r="IQ294">
        <f>IF(ISBLANK('Data Entry'!$Ļ$294), "", 'Data Entry'!$Ļ$294)</f>
      </c>
      <c r="IR294">
        <f>IF(ISBLANK('Data Entry'!$ļ$294), "", 'Data Entry'!$ļ$294)</f>
      </c>
      <c r="IS294">
        <f>IF(ISBLANK('Data Entry'!$Ľ$294), "", 'Data Entry'!$Ľ$294)</f>
      </c>
      <c r="IT294">
        <f>IF(ISBLANK('Data Entry'!$ľ$294), "", 'Data Entry'!$ľ$294)</f>
      </c>
    </row>
    <row r="295" spans="1:254" x14ac:dyDescent="0.25">
      <c r="A295">
        <f>IF(ISBLANK('Data Entry'!$A$295), "", 'Data Entry'!$A$295)</f>
      </c>
      <c r="B295">
        <f>IF(ISBLANK('Data Entry'!$B$295), "", 'Data Entry'!$B$295)</f>
      </c>
      <c r="C295">
        <f>IF(ISBLANK('Data Entry'!$C$295), "", 'Data Entry'!$C$295)</f>
      </c>
      <c r="D295">
        <f>IF(ISBLANK('Data Entry'!$D$295), "", 'Data Entry'!$D$295)</f>
      </c>
      <c r="E295">
        <f>IF(ISBLANK('Data Entry'!$E$295), "", 'Data Entry'!$E$295)</f>
      </c>
      <c r="F295">
        <f>IF(ISBLANK('Data Entry'!$F$295), "", 'Data Entry'!$F$295)</f>
      </c>
      <c r="G295">
        <f>IF(ISBLANK('Data Entry'!$G$295), "", 'Data Entry'!$G$295)</f>
      </c>
      <c r="H295">
        <f>IF(ISBLANK('Data Entry'!$H$295), "", 'Data Entry'!$H$295)</f>
      </c>
      <c r="I295">
        <f>IF(ISBLANK('Data Entry'!$I$295), "", 'Data Entry'!$I$295)</f>
      </c>
      <c r="J295">
        <f>IF(ISBLANK('Data Entry'!$J$295), "", 'Data Entry'!$J$295)</f>
      </c>
      <c r="K295">
        <f>IF(ISBLANK('Data Entry'!$K$295), "", 'Data Entry'!$K$295)</f>
      </c>
      <c r="L295">
        <f>IF(ISBLANK('Data Entry'!$L$295), "", 'Data Entry'!$L$295)</f>
      </c>
      <c r="M295">
        <f>IF(ISBLANK('Data Entry'!$M$295), "", 'Data Entry'!$M$295)</f>
      </c>
      <c r="N295">
        <f>IF(ISBLANK('Data Entry'!$N$295), "", 'Data Entry'!$N$295)</f>
      </c>
      <c r="O295">
        <f>IF(ISBLANK('Data Entry'!$O$295), "", 'Data Entry'!$O$295)</f>
      </c>
      <c r="P295">
        <f>IF(ISBLANK('Data Entry'!$P$295), "", 'Data Entry'!$P$295)</f>
      </c>
      <c r="Q295">
        <f>IF(ISBLANK('Data Entry'!$Q$295), "", 'Data Entry'!$Q$295)</f>
      </c>
      <c r="R295">
        <f>IF(ISBLANK('Data Entry'!$R$295), "", 'Data Entry'!$R$295)</f>
      </c>
      <c r="S295">
        <f>IF(ISBLANK('Data Entry'!$S$295), "", 'Data Entry'!$S$295)</f>
      </c>
      <c r="T295">
        <f>IF(ISBLANK('Data Entry'!$T$295), "", 'Data Entry'!$T$295)</f>
      </c>
      <c r="U295">
        <f>IF(ISBLANK('Data Entry'!$U$295), "", 'Data Entry'!$U$295)</f>
      </c>
      <c r="V295">
        <f>IF(ISBLANK('Data Entry'!$V$295), "", 'Data Entry'!$V$295)</f>
      </c>
      <c r="W295">
        <f>IF(ISBLANK('Data Entry'!$W$295), "", 'Data Entry'!$W$295)</f>
      </c>
      <c r="X295">
        <f>IF(ISBLANK('Data Entry'!$X$295), "", 'Data Entry'!$X$295)</f>
      </c>
      <c r="Y295">
        <f>IF(ISBLANK('Data Entry'!$Y$295), "", 'Data Entry'!$Y$295)</f>
      </c>
      <c r="Z295">
        <f>IF(ISBLANK('Data Entry'!$Z$295), "", 'Data Entry'!$Z$295)</f>
      </c>
      <c r="AA295">
        <f>IF(ISBLANK('Data Entry'!$[$295), "", 'Data Entry'!$[$295)</f>
      </c>
      <c r="AB295">
        <f>IF(ISBLANK('Data Entry'!$\$295), "", 'Data Entry'!$\$295)</f>
      </c>
      <c r="AC295">
        <f>IF(ISBLANK('Data Entry'!$]$295), "", 'Data Entry'!$]$295)</f>
      </c>
      <c r="AD295">
        <f>IF(ISBLANK('Data Entry'!$^$295), "", 'Data Entry'!$^$295)</f>
      </c>
      <c r="AE295">
        <f>IF(ISBLANK('Data Entry'!$_$295), "", 'Data Entry'!$_$295)</f>
      </c>
      <c r="AF295">
        <f>IF(ISBLANK('Data Entry'!$`$295), "", 'Data Entry'!$`$295)</f>
      </c>
      <c r="AG295">
        <f>IF(ISBLANK('Data Entry'!$a$295), "", 'Data Entry'!$a$295)</f>
      </c>
      <c r="AH295">
        <f>IF(ISBLANK('Data Entry'!$b$295), "", 'Data Entry'!$b$295)</f>
      </c>
      <c r="AI295">
        <f>IF(ISBLANK('Data Entry'!$c$295), "", 'Data Entry'!$c$295)</f>
      </c>
      <c r="AJ295">
        <f>IF(ISBLANK('Data Entry'!$d$295), "", 'Data Entry'!$d$295)</f>
      </c>
      <c r="AK295">
        <f>IF(ISBLANK('Data Entry'!$e$295), "", 'Data Entry'!$e$295)</f>
      </c>
      <c r="AL295">
        <f>IF(ISBLANK('Data Entry'!$f$295), "", 'Data Entry'!$f$295)</f>
      </c>
      <c r="AM295">
        <f>IF(ISBLANK('Data Entry'!$g$295), "", 'Data Entry'!$g$295)</f>
      </c>
      <c r="AN295">
        <f>IF(ISBLANK('Data Entry'!$h$295), "", 'Data Entry'!$h$295)</f>
      </c>
      <c r="AO295">
        <f>IF(ISBLANK('Data Entry'!$i$295), "", 'Data Entry'!$i$295)</f>
      </c>
      <c r="AP295">
        <f>IF(ISBLANK('Data Entry'!$j$295), "", 'Data Entry'!$j$295)</f>
      </c>
      <c r="AQ295">
        <f>IF(ISBLANK('Data Entry'!$k$295), "", 'Data Entry'!$k$295)</f>
      </c>
      <c r="AR295">
        <f>IF(ISBLANK('Data Entry'!$l$295), "", 'Data Entry'!$l$295)</f>
      </c>
      <c r="AS295">
        <f>IF(ISBLANK('Data Entry'!$m$295), "", 'Data Entry'!$m$295)</f>
      </c>
      <c r="AT295">
        <f>IF(ISBLANK('Data Entry'!$n$295), "", 'Data Entry'!$n$295)</f>
      </c>
      <c r="AU295">
        <f>IF(ISBLANK('Data Entry'!$o$295), "", 'Data Entry'!$o$295)</f>
      </c>
      <c r="AV295">
        <f>IF(ISBLANK('Data Entry'!$p$295), "", 'Data Entry'!$p$295)</f>
      </c>
      <c r="AW295">
        <f>IF(ISBLANK('Data Entry'!$q$295), "", 'Data Entry'!$q$295)</f>
      </c>
      <c r="AX295">
        <f>IF(ISBLANK('Data Entry'!$r$295), "", 'Data Entry'!$r$295)</f>
      </c>
      <c r="AY295">
        <f>IF(ISBLANK('Data Entry'!$s$295), "", 'Data Entry'!$s$295)</f>
      </c>
      <c r="AZ295">
        <f>IF(ISBLANK('Data Entry'!$t$295), "", 'Data Entry'!$t$295)</f>
      </c>
      <c r="BA295">
        <f>IF(ISBLANK('Data Entry'!$u$295), "", 'Data Entry'!$u$295)</f>
      </c>
      <c r="BB295">
        <f>IF(ISBLANK('Data Entry'!$v$295), "", 'Data Entry'!$v$295)</f>
      </c>
      <c r="BC295">
        <f>IF(ISBLANK('Data Entry'!$w$295), "", 'Data Entry'!$w$295)</f>
      </c>
      <c r="BD295">
        <f>IF(ISBLANK('Data Entry'!$x$295), "", 'Data Entry'!$x$295)</f>
      </c>
      <c r="BE295">
        <f>IF(ISBLANK('Data Entry'!$y$295), "", 'Data Entry'!$y$295)</f>
      </c>
      <c r="BF295">
        <f>IF(ISBLANK('Data Entry'!$z$295), "", 'Data Entry'!$z$295)</f>
      </c>
      <c r="BG295">
        <f>IF(ISBLANK('Data Entry'!${$295), "", 'Data Entry'!${$295)</f>
      </c>
      <c r="BH295">
        <f>IF(ISBLANK('Data Entry'!$|$295), "", 'Data Entry'!$|$295)</f>
      </c>
      <c r="BI295">
        <f>IF(ISBLANK('Data Entry'!$}$295), "", 'Data Entry'!$}$295)</f>
      </c>
      <c r="BJ295">
        <f>IF(ISBLANK('Data Entry'!$~$295), "", 'Data Entry'!$~$295)</f>
      </c>
      <c r="BK295">
        <f>IF(ISBLANK('Data Entry'!$$295), "", 'Data Entry'!$$295)</f>
      </c>
      <c r="BL295">
        <f>IF(ISBLANK('Data Entry'!$$295), "", 'Data Entry'!$$295)</f>
      </c>
      <c r="BM295">
        <f>IF(ISBLANK('Data Entry'!$$295), "", 'Data Entry'!$$295)</f>
      </c>
      <c r="BN295">
        <f>IF(ISBLANK('Data Entry'!$$295), "", 'Data Entry'!$$295)</f>
      </c>
      <c r="BO295">
        <f>IF(ISBLANK('Data Entry'!$$295), "", 'Data Entry'!$$295)</f>
      </c>
      <c r="BP295">
        <f>IF(ISBLANK('Data Entry'!$$295), "", 'Data Entry'!$$295)</f>
      </c>
      <c r="BQ295">
        <f>IF(ISBLANK('Data Entry'!$$295), "", 'Data Entry'!$$295)</f>
      </c>
      <c r="BR295">
        <f>IF(ISBLANK('Data Entry'!$$295), "", 'Data Entry'!$$295)</f>
      </c>
      <c r="BS295">
        <f>IF(ISBLANK('Data Entry'!$$295), "", 'Data Entry'!$$295)</f>
      </c>
      <c r="BT295">
        <f>IF(ISBLANK('Data Entry'!$$295), "", 'Data Entry'!$$295)</f>
      </c>
      <c r="BU295">
        <f>IF(ISBLANK('Data Entry'!$$295), "", 'Data Entry'!$$295)</f>
      </c>
      <c r="BV295">
        <f>IF(ISBLANK('Data Entry'!$$295), "", 'Data Entry'!$$295)</f>
      </c>
      <c r="BW295">
        <f>IF(ISBLANK('Data Entry'!$$295), "", 'Data Entry'!$$295)</f>
      </c>
      <c r="BX295">
        <f>IF(ISBLANK('Data Entry'!$$295), "", 'Data Entry'!$$295)</f>
      </c>
      <c r="BY295">
        <f>IF(ISBLANK('Data Entry'!$$295), "", 'Data Entry'!$$295)</f>
      </c>
      <c r="BZ295">
        <f>IF(ISBLANK('Data Entry'!$$295), "", 'Data Entry'!$$295)</f>
      </c>
      <c r="CA295">
        <f>IF(ISBLANK('Data Entry'!$$295), "", 'Data Entry'!$$295)</f>
      </c>
      <c r="CB295">
        <f>IF(ISBLANK('Data Entry'!$$295), "", 'Data Entry'!$$295)</f>
      </c>
      <c r="CC295">
        <f>IF(ISBLANK('Data Entry'!$$295), "", 'Data Entry'!$$295)</f>
      </c>
      <c r="CD295">
        <f>IF(ISBLANK('Data Entry'!$$295), "", 'Data Entry'!$$295)</f>
      </c>
      <c r="CE295">
        <f>IF(ISBLANK('Data Entry'!$$295), "", 'Data Entry'!$$295)</f>
      </c>
      <c r="CF295">
        <f>IF(ISBLANK('Data Entry'!$$295), "", 'Data Entry'!$$295)</f>
      </c>
      <c r="CG295">
        <f>IF(ISBLANK('Data Entry'!$$295), "", 'Data Entry'!$$295)</f>
      </c>
      <c r="CH295">
        <f>IF(ISBLANK('Data Entry'!$$295), "", 'Data Entry'!$$295)</f>
      </c>
      <c r="CI295">
        <f>IF(ISBLANK('Data Entry'!$$295), "", 'Data Entry'!$$295)</f>
      </c>
      <c r="CJ295">
        <f>IF(ISBLANK('Data Entry'!$$295), "", 'Data Entry'!$$295)</f>
      </c>
      <c r="CK295">
        <f>IF(ISBLANK('Data Entry'!$$295), "", 'Data Entry'!$$295)</f>
      </c>
      <c r="CL295">
        <f>IF(ISBLANK('Data Entry'!$$295), "", 'Data Entry'!$$295)</f>
      </c>
      <c r="CM295">
        <f>IF(ISBLANK('Data Entry'!$$295), "", 'Data Entry'!$$295)</f>
      </c>
      <c r="CN295">
        <f>IF(ISBLANK('Data Entry'!$$295), "", 'Data Entry'!$$295)</f>
      </c>
      <c r="CO295">
        <f>IF(ISBLANK('Data Entry'!$$295), "", 'Data Entry'!$$295)</f>
      </c>
      <c r="CP295">
        <f>IF(ISBLANK('Data Entry'!$$295), "", 'Data Entry'!$$295)</f>
      </c>
      <c r="CQ295">
        <f>IF(ISBLANK('Data Entry'!$$295), "", 'Data Entry'!$$295)</f>
      </c>
      <c r="CR295">
        <f>IF(ISBLANK('Data Entry'!$ $295), "", 'Data Entry'!$ $295)</f>
      </c>
      <c r="CS295">
        <f>IF(ISBLANK('Data Entry'!$¡$295), "", 'Data Entry'!$¡$295)</f>
      </c>
      <c r="CT295">
        <f>IF(ISBLANK('Data Entry'!$¢$295), "", 'Data Entry'!$¢$295)</f>
      </c>
      <c r="CU295">
        <f>IF(ISBLANK('Data Entry'!$£$295), "", 'Data Entry'!$£$295)</f>
      </c>
      <c r="CV295">
        <f>IF(ISBLANK('Data Entry'!$¤$295), "", 'Data Entry'!$¤$295)</f>
      </c>
      <c r="CW295">
        <f>IF(ISBLANK('Data Entry'!$¥$295), "", 'Data Entry'!$¥$295)</f>
      </c>
      <c r="CX295">
        <f>IF(ISBLANK('Data Entry'!$¦$295), "", 'Data Entry'!$¦$295)</f>
      </c>
      <c r="CY295">
        <f>IF(ISBLANK('Data Entry'!$§$295), "", 'Data Entry'!$§$295)</f>
      </c>
      <c r="CZ295">
        <f>IF(ISBLANK('Data Entry'!$¨$295), "", 'Data Entry'!$¨$295)</f>
      </c>
      <c r="DA295">
        <f>IF(ISBLANK('Data Entry'!$©$295), "", 'Data Entry'!$©$295)</f>
      </c>
      <c r="DB295">
        <f>IF(ISBLANK('Data Entry'!$ª$295), "", 'Data Entry'!$ª$295)</f>
      </c>
      <c r="DC295">
        <f>IF(ISBLANK('Data Entry'!$«$295), "", 'Data Entry'!$«$295)</f>
      </c>
      <c r="DD295">
        <f>IF(ISBLANK('Data Entry'!$¬$295), "", 'Data Entry'!$¬$295)</f>
      </c>
      <c r="DE295">
        <f>IF(ISBLANK('Data Entry'!$­$295), "", 'Data Entry'!$­$295)</f>
      </c>
      <c r="DF295">
        <f>IF(ISBLANK('Data Entry'!$®$295), "", 'Data Entry'!$®$295)</f>
      </c>
      <c r="DG295">
        <f>IF(ISBLANK('Data Entry'!$¯$295), "", 'Data Entry'!$¯$295)</f>
      </c>
      <c r="DH295">
        <f>IF(ISBLANK('Data Entry'!$°$295), "", 'Data Entry'!$°$295)</f>
      </c>
      <c r="DI295">
        <f>IF(ISBLANK('Data Entry'!$±$295), "", 'Data Entry'!$±$295)</f>
      </c>
      <c r="DJ295">
        <f>IF(ISBLANK('Data Entry'!$²$295), "", 'Data Entry'!$²$295)</f>
      </c>
      <c r="DK295">
        <f>IF(ISBLANK('Data Entry'!$³$295), "", 'Data Entry'!$³$295)</f>
      </c>
      <c r="DL295">
        <f>IF(ISBLANK('Data Entry'!$´$295), "", 'Data Entry'!$´$295)</f>
      </c>
      <c r="DM295">
        <f>IF(ISBLANK('Data Entry'!$µ$295), "", 'Data Entry'!$µ$295)</f>
      </c>
      <c r="DN295">
        <f>IF(ISBLANK('Data Entry'!$¶$295), "", 'Data Entry'!$¶$295)</f>
      </c>
      <c r="DO295">
        <f>IF(ISBLANK('Data Entry'!$·$295), "", 'Data Entry'!$·$295)</f>
      </c>
      <c r="DP295">
        <f>IF(ISBLANK('Data Entry'!$¸$295), "", 'Data Entry'!$¸$295)</f>
      </c>
      <c r="DQ295">
        <f>IF(ISBLANK('Data Entry'!$¹$295), "", 'Data Entry'!$¹$295)</f>
      </c>
      <c r="DR295">
        <f>IF(ISBLANK('Data Entry'!$º$295), "", 'Data Entry'!$º$295)</f>
      </c>
      <c r="DS295">
        <f>IF(ISBLANK('Data Entry'!$»$295), "", 'Data Entry'!$»$295)</f>
      </c>
      <c r="DT295">
        <f>IF(ISBLANK('Data Entry'!$¼$295), "", 'Data Entry'!$¼$295)</f>
      </c>
      <c r="DU295">
        <f>IF(ISBLANK('Data Entry'!$½$295), "", 'Data Entry'!$½$295)</f>
      </c>
      <c r="DV295">
        <f>IF(ISBLANK('Data Entry'!$¾$295), "", 'Data Entry'!$¾$295)</f>
      </c>
      <c r="DW295">
        <f>IF(ISBLANK('Data Entry'!$¿$295), "", 'Data Entry'!$¿$295)</f>
      </c>
      <c r="DX295">
        <f>IF(ISBLANK('Data Entry'!$À$295), "", 'Data Entry'!$À$295)</f>
      </c>
      <c r="DY295">
        <f>IF(ISBLANK('Data Entry'!$Á$295), "", 'Data Entry'!$Á$295)</f>
      </c>
      <c r="DZ295">
        <f>IF(ISBLANK('Data Entry'!$Â$295), "", 'Data Entry'!$Â$295)</f>
      </c>
      <c r="EA295">
        <f>IF(ISBLANK('Data Entry'!$Ã$295), "", 'Data Entry'!$Ã$295)</f>
      </c>
      <c r="EB295">
        <f>IF(ISBLANK('Data Entry'!$Ä$295), "", 'Data Entry'!$Ä$295)</f>
      </c>
      <c r="EC295">
        <f>IF(ISBLANK('Data Entry'!$Å$295), "", 'Data Entry'!$Å$295)</f>
      </c>
      <c r="ED295">
        <f>IF(ISBLANK('Data Entry'!$Æ$295), "", 'Data Entry'!$Æ$295)</f>
      </c>
      <c r="EE295">
        <f>IF(ISBLANK('Data Entry'!$Ç$295), "", 'Data Entry'!$Ç$295)</f>
      </c>
      <c r="EF295">
        <f>IF(ISBLANK('Data Entry'!$È$295), "", 'Data Entry'!$È$295)</f>
      </c>
      <c r="EG295">
        <f>IF(ISBLANK('Data Entry'!$É$295), "", 'Data Entry'!$É$295)</f>
      </c>
      <c r="EH295">
        <f>IF(ISBLANK('Data Entry'!$Ê$295), "", 'Data Entry'!$Ê$295)</f>
      </c>
      <c r="EI295">
        <f>IF(ISBLANK('Data Entry'!$Ë$295), "", 'Data Entry'!$Ë$295)</f>
      </c>
      <c r="EJ295">
        <f>IF(ISBLANK('Data Entry'!$Ì$295), "", 'Data Entry'!$Ì$295)</f>
      </c>
      <c r="EK295">
        <f>IF(ISBLANK('Data Entry'!$Í$295), "", 'Data Entry'!$Í$295)</f>
      </c>
      <c r="EL295">
        <f>IF(ISBLANK('Data Entry'!$Î$295), "", 'Data Entry'!$Î$295)</f>
      </c>
      <c r="EM295">
        <f>IF(ISBLANK('Data Entry'!$Ï$295), "", 'Data Entry'!$Ï$295)</f>
      </c>
      <c r="EN295">
        <f>IF(ISBLANK('Data Entry'!$Ð$295), "", 'Data Entry'!$Ð$295)</f>
      </c>
      <c r="EO295">
        <f>IF(ISBLANK('Data Entry'!$Ñ$295), "", 'Data Entry'!$Ñ$295)</f>
      </c>
      <c r="EP295">
        <f>IF(ISBLANK('Data Entry'!$Ò$295), "", 'Data Entry'!$Ò$295)</f>
      </c>
      <c r="EQ295">
        <f>IF(ISBLANK('Data Entry'!$Ó$295), "", 'Data Entry'!$Ó$295)</f>
      </c>
      <c r="ER295">
        <f>IF(ISBLANK('Data Entry'!$Ô$295), "", 'Data Entry'!$Ô$295)</f>
      </c>
      <c r="ES295">
        <f>IF(ISBLANK('Data Entry'!$Õ$295), "", 'Data Entry'!$Õ$295)</f>
      </c>
      <c r="ET295">
        <f>IF(ISBLANK('Data Entry'!$Ö$295), "", 'Data Entry'!$Ö$295)</f>
      </c>
      <c r="EU295">
        <f>IF(ISBLANK('Data Entry'!$×$295), "", 'Data Entry'!$×$295)</f>
      </c>
      <c r="EV295">
        <f>IF(ISBLANK('Data Entry'!$Ø$295), "", 'Data Entry'!$Ø$295)</f>
      </c>
      <c r="EW295">
        <f>IF(ISBLANK('Data Entry'!$Ù$295), "", 'Data Entry'!$Ù$295)</f>
      </c>
      <c r="EX295">
        <f>IF(ISBLANK('Data Entry'!$Ú$295), "", 'Data Entry'!$Ú$295)</f>
      </c>
      <c r="EY295">
        <f>IF(ISBLANK('Data Entry'!$Û$295), "", 'Data Entry'!$Û$295)</f>
      </c>
      <c r="EZ295">
        <f>IF(ISBLANK('Data Entry'!$Ü$295), "", 'Data Entry'!$Ü$295)</f>
      </c>
      <c r="FA295">
        <f>IF(ISBLANK('Data Entry'!$Ý$295), "", 'Data Entry'!$Ý$295)</f>
      </c>
      <c r="FB295">
        <f>IF(ISBLANK('Data Entry'!$Þ$295), "", 'Data Entry'!$Þ$295)</f>
      </c>
      <c r="FC295">
        <f>IF(ISBLANK('Data Entry'!$ß$295), "", 'Data Entry'!$ß$295)</f>
      </c>
      <c r="FD295">
        <f>IF(ISBLANK('Data Entry'!$à$295), "", 'Data Entry'!$à$295)</f>
      </c>
      <c r="FE295">
        <f>IF(ISBLANK('Data Entry'!$á$295), "", 'Data Entry'!$á$295)</f>
      </c>
      <c r="FF295">
        <f>IF(ISBLANK('Data Entry'!$â$295), "", 'Data Entry'!$â$295)</f>
      </c>
      <c r="FG295">
        <f>IF(ISBLANK('Data Entry'!$ã$295), "", 'Data Entry'!$ã$295)</f>
      </c>
      <c r="FH295">
        <f>IF(ISBLANK('Data Entry'!$ä$295), "", 'Data Entry'!$ä$295)</f>
      </c>
      <c r="FI295">
        <f>IF(ISBLANK('Data Entry'!$å$295), "", 'Data Entry'!$å$295)</f>
      </c>
      <c r="FJ295">
        <f>IF(ISBLANK('Data Entry'!$æ$295), "", 'Data Entry'!$æ$295)</f>
      </c>
      <c r="FK295">
        <f>IF(ISBLANK('Data Entry'!$ç$295), "", 'Data Entry'!$ç$295)</f>
      </c>
      <c r="FL295">
        <f>IF(ISBLANK('Data Entry'!$è$295), "", 'Data Entry'!$è$295)</f>
      </c>
      <c r="FM295">
        <f>IF(ISBLANK('Data Entry'!$é$295), "", 'Data Entry'!$é$295)</f>
      </c>
      <c r="FN295">
        <f>IF(ISBLANK('Data Entry'!$ê$295), "", 'Data Entry'!$ê$295)</f>
      </c>
      <c r="FO295">
        <f>IF(ISBLANK('Data Entry'!$ë$295), "", 'Data Entry'!$ë$295)</f>
      </c>
      <c r="FP295">
        <f>IF(ISBLANK('Data Entry'!$ì$295), "", 'Data Entry'!$ì$295)</f>
      </c>
      <c r="FQ295">
        <f>IF(ISBLANK('Data Entry'!$í$295), "", 'Data Entry'!$í$295)</f>
      </c>
      <c r="FR295">
        <f>IF(ISBLANK('Data Entry'!$î$295), "", 'Data Entry'!$î$295)</f>
      </c>
      <c r="FS295">
        <f>IF(ISBLANK('Data Entry'!$ï$295), "", 'Data Entry'!$ï$295)</f>
      </c>
      <c r="FT295">
        <f>IF(ISBLANK('Data Entry'!$ð$295), "", 'Data Entry'!$ð$295)</f>
      </c>
      <c r="FU295">
        <f>IF(ISBLANK('Data Entry'!$ñ$295), "", 'Data Entry'!$ñ$295)</f>
      </c>
      <c r="FV295">
        <f>IF(ISBLANK('Data Entry'!$ò$295), "", 'Data Entry'!$ò$295)</f>
      </c>
      <c r="FW295">
        <f>IF(ISBLANK('Data Entry'!$ó$295), "", 'Data Entry'!$ó$295)</f>
      </c>
      <c r="FX295">
        <f>IF(ISBLANK('Data Entry'!$ô$295), "", 'Data Entry'!$ô$295)</f>
      </c>
      <c r="FY295">
        <f>IF(ISBLANK('Data Entry'!$õ$295), "", 'Data Entry'!$õ$295)</f>
      </c>
      <c r="FZ295">
        <f>IF(ISBLANK('Data Entry'!$ö$295), "", 'Data Entry'!$ö$295)</f>
      </c>
      <c r="GA295">
        <f>IF(ISBLANK('Data Entry'!$÷$295), "", 'Data Entry'!$÷$295)</f>
      </c>
      <c r="GB295">
        <f>IF(ISBLANK('Data Entry'!$ø$295), "", 'Data Entry'!$ø$295)</f>
      </c>
      <c r="GC295">
        <f>IF(ISBLANK('Data Entry'!$ù$295), "", 'Data Entry'!$ù$295)</f>
      </c>
      <c r="GD295">
        <f>IF(ISBLANK('Data Entry'!$ú$295), "", 'Data Entry'!$ú$295)</f>
      </c>
      <c r="GE295">
        <f>IF(ISBLANK('Data Entry'!$û$295), "", 'Data Entry'!$û$295)</f>
      </c>
      <c r="GF295">
        <f>IF(ISBLANK('Data Entry'!$ü$295), "", 'Data Entry'!$ü$295)</f>
      </c>
      <c r="GG295">
        <f>IF(ISBLANK('Data Entry'!$ý$295), "", 'Data Entry'!$ý$295)</f>
      </c>
      <c r="GH295">
        <f>IF(ISBLANK('Data Entry'!$þ$295), "", 'Data Entry'!$þ$295)</f>
      </c>
      <c r="GI295">
        <f>IF(ISBLANK('Data Entry'!$ÿ$295), "", 'Data Entry'!$ÿ$295)</f>
      </c>
      <c r="GJ295">
        <f>IF(ISBLANK('Data Entry'!$Ā$295), "", 'Data Entry'!$Ā$295)</f>
      </c>
      <c r="GK295">
        <f>IF(ISBLANK('Data Entry'!$ā$295), "", 'Data Entry'!$ā$295)</f>
      </c>
      <c r="GL295">
        <f>IF(ISBLANK('Data Entry'!$Ă$295), "", 'Data Entry'!$Ă$295)</f>
      </c>
      <c r="GM295">
        <f>IF(ISBLANK('Data Entry'!$ă$295), "", 'Data Entry'!$ă$295)</f>
      </c>
      <c r="GN295">
        <f>IF(ISBLANK('Data Entry'!$Ą$295), "", 'Data Entry'!$Ą$295)</f>
      </c>
      <c r="GO295">
        <f>IF(ISBLANK('Data Entry'!$ą$295), "", 'Data Entry'!$ą$295)</f>
      </c>
      <c r="GP295">
        <f>IF(ISBLANK('Data Entry'!$Ć$295), "", 'Data Entry'!$Ć$295)</f>
      </c>
      <c r="GQ295">
        <f>IF(ISBLANK('Data Entry'!$ć$295), "", 'Data Entry'!$ć$295)</f>
      </c>
      <c r="GR295">
        <f>IF(ISBLANK('Data Entry'!$Ĉ$295), "", 'Data Entry'!$Ĉ$295)</f>
      </c>
      <c r="GS295">
        <f>IF(ISBLANK('Data Entry'!$ĉ$295), "", 'Data Entry'!$ĉ$295)</f>
      </c>
      <c r="GT295">
        <f>IF(ISBLANK('Data Entry'!$Ċ$295), "", 'Data Entry'!$Ċ$295)</f>
      </c>
      <c r="GU295">
        <f>IF(ISBLANK('Data Entry'!$ċ$295), "", 'Data Entry'!$ċ$295)</f>
      </c>
      <c r="GV295">
        <f>IF(ISBLANK('Data Entry'!$Č$295), "", 'Data Entry'!$Č$295)</f>
      </c>
      <c r="GW295">
        <f>IF(ISBLANK('Data Entry'!$č$295), "", 'Data Entry'!$č$295)</f>
      </c>
      <c r="GX295">
        <f>IF(ISBLANK('Data Entry'!$Ď$295), "", 'Data Entry'!$Ď$295)</f>
      </c>
      <c r="GY295">
        <f>IF(ISBLANK('Data Entry'!$ď$295), "", 'Data Entry'!$ď$295)</f>
      </c>
      <c r="GZ295">
        <f>IF(ISBLANK('Data Entry'!$Đ$295), "", 'Data Entry'!$Đ$295)</f>
      </c>
      <c r="HA295">
        <f>IF(ISBLANK('Data Entry'!$đ$295), "", 'Data Entry'!$đ$295)</f>
      </c>
      <c r="HB295">
        <f>IF(ISBLANK('Data Entry'!$Ē$295), "", 'Data Entry'!$Ē$295)</f>
      </c>
      <c r="HC295">
        <f>IF(ISBLANK('Data Entry'!$ē$295), "", 'Data Entry'!$ē$295)</f>
      </c>
      <c r="HD295">
        <f>IF(ISBLANK('Data Entry'!$Ĕ$295), "", 'Data Entry'!$Ĕ$295)</f>
      </c>
      <c r="HE295">
        <f>IF(ISBLANK('Data Entry'!$ĕ$295), "", 'Data Entry'!$ĕ$295)</f>
      </c>
      <c r="HF295">
        <f>IF(ISBLANK('Data Entry'!$Ė$295), "", 'Data Entry'!$Ė$295)</f>
      </c>
      <c r="HG295">
        <f>IF(ISBLANK('Data Entry'!$ė$295), "", 'Data Entry'!$ė$295)</f>
      </c>
      <c r="HH295">
        <f>IF(ISBLANK('Data Entry'!$Ę$295), "", 'Data Entry'!$Ę$295)</f>
      </c>
      <c r="HI295">
        <f>IF(ISBLANK('Data Entry'!$ę$295), "", 'Data Entry'!$ę$295)</f>
      </c>
      <c r="HJ295">
        <f>IF(ISBLANK('Data Entry'!$Ě$295), "", 'Data Entry'!$Ě$295)</f>
      </c>
      <c r="HK295">
        <f>IF(ISBLANK('Data Entry'!$ě$295), "", 'Data Entry'!$ě$295)</f>
      </c>
      <c r="HL295">
        <f>IF(ISBLANK('Data Entry'!$Ĝ$295), "", 'Data Entry'!$Ĝ$295)</f>
      </c>
      <c r="HM295">
        <f>IF(ISBLANK('Data Entry'!$ĝ$295), "", 'Data Entry'!$ĝ$295)</f>
      </c>
      <c r="HN295">
        <f>IF(ISBLANK('Data Entry'!$Ğ$295), "", 'Data Entry'!$Ğ$295)</f>
      </c>
      <c r="HO295">
        <f>IF(ISBLANK('Data Entry'!$ğ$295), "", 'Data Entry'!$ğ$295)</f>
      </c>
      <c r="HP295">
        <f>IF(ISBLANK('Data Entry'!$Ġ$295), "", 'Data Entry'!$Ġ$295)</f>
      </c>
      <c r="HQ295">
        <f>IF(ISBLANK('Data Entry'!$ġ$295), "", 'Data Entry'!$ġ$295)</f>
      </c>
      <c r="HR295">
        <f>IF(ISBLANK('Data Entry'!$Ģ$295), "", 'Data Entry'!$Ģ$295)</f>
      </c>
      <c r="HS295">
        <f>IF(ISBLANK('Data Entry'!$ģ$295), "", 'Data Entry'!$ģ$295)</f>
      </c>
      <c r="HT295">
        <f>IF(ISBLANK('Data Entry'!$Ĥ$295), "", 'Data Entry'!$Ĥ$295)</f>
      </c>
      <c r="HU295">
        <f>IF(ISBLANK('Data Entry'!$ĥ$295), "", 'Data Entry'!$ĥ$295)</f>
      </c>
      <c r="HV295">
        <f>IF(ISBLANK('Data Entry'!$Ħ$295), "", 'Data Entry'!$Ħ$295)</f>
      </c>
      <c r="HW295">
        <f>IF(ISBLANK('Data Entry'!$ħ$295), "", 'Data Entry'!$ħ$295)</f>
      </c>
      <c r="HX295">
        <f>IF(ISBLANK('Data Entry'!$Ĩ$295), "", 'Data Entry'!$Ĩ$295)</f>
      </c>
      <c r="HY295">
        <f>IF(ISBLANK('Data Entry'!$ĩ$295), "", 'Data Entry'!$ĩ$295)</f>
      </c>
      <c r="HZ295">
        <f>IF(ISBLANK('Data Entry'!$Ī$295), "", 'Data Entry'!$Ī$295)</f>
      </c>
      <c r="IA295">
        <f>IF(ISBLANK('Data Entry'!$ī$295), "", 'Data Entry'!$ī$295)</f>
      </c>
      <c r="IB295">
        <f>IF(ISBLANK('Data Entry'!$Ĭ$295), "", 'Data Entry'!$Ĭ$295)</f>
      </c>
      <c r="IC295">
        <f>IF(ISBLANK('Data Entry'!$ĭ$295), "", 'Data Entry'!$ĭ$295)</f>
      </c>
      <c r="ID295">
        <f>IF(ISBLANK('Data Entry'!$Į$295), "", 'Data Entry'!$Į$295)</f>
      </c>
      <c r="IE295">
        <f>IF(ISBLANK('Data Entry'!$į$295), "", 'Data Entry'!$į$295)</f>
      </c>
      <c r="IF295">
        <f>IF(ISBLANK('Data Entry'!$İ$295), "", 'Data Entry'!$İ$295)</f>
      </c>
      <c r="IG295">
        <f>IF(ISBLANK('Data Entry'!$ı$295), "", 'Data Entry'!$ı$295)</f>
      </c>
      <c r="IH295">
        <f>IF(ISBLANK('Data Entry'!$Ĳ$295), "", 'Data Entry'!$Ĳ$295)</f>
      </c>
      <c r="II295">
        <f>IF(ISBLANK('Data Entry'!$ĳ$295), "", 'Data Entry'!$ĳ$295)</f>
      </c>
      <c r="IJ295">
        <f>IF(ISBLANK('Data Entry'!$Ĵ$295), "", 'Data Entry'!$Ĵ$295)</f>
      </c>
      <c r="IK295">
        <f>IF(ISBLANK('Data Entry'!$ĵ$295), "", 'Data Entry'!$ĵ$295)</f>
      </c>
      <c r="IL295">
        <f>IF(ISBLANK('Data Entry'!$Ķ$295), "", 'Data Entry'!$Ķ$295)</f>
      </c>
      <c r="IM295">
        <f>IF(ISBLANK('Data Entry'!$ķ$295), "", 'Data Entry'!$ķ$295)</f>
      </c>
      <c r="IN295">
        <f>IF(ISBLANK('Data Entry'!$ĸ$295), "", 'Data Entry'!$ĸ$295)</f>
      </c>
      <c r="IO295">
        <f>IF(ISBLANK('Data Entry'!$Ĺ$295), "", 'Data Entry'!$Ĺ$295)</f>
      </c>
      <c r="IP295">
        <f>IF(ISBLANK('Data Entry'!$ĺ$295), "", 'Data Entry'!$ĺ$295)</f>
      </c>
      <c r="IQ295">
        <f>IF(ISBLANK('Data Entry'!$Ļ$295), "", 'Data Entry'!$Ļ$295)</f>
      </c>
      <c r="IR295">
        <f>IF(ISBLANK('Data Entry'!$ļ$295), "", 'Data Entry'!$ļ$295)</f>
      </c>
      <c r="IS295">
        <f>IF(ISBLANK('Data Entry'!$Ľ$295), "", 'Data Entry'!$Ľ$295)</f>
      </c>
      <c r="IT295">
        <f>IF(ISBLANK('Data Entry'!$ľ$295), "", 'Data Entry'!$ľ$295)</f>
      </c>
    </row>
    <row r="296" spans="1:254" x14ac:dyDescent="0.25">
      <c r="A296">
        <f>IF(ISBLANK('Data Entry'!$A$296), "", 'Data Entry'!$A$296)</f>
      </c>
      <c r="B296">
        <f>IF(ISBLANK('Data Entry'!$B$296), "", 'Data Entry'!$B$296)</f>
      </c>
      <c r="C296">
        <f>IF(ISBLANK('Data Entry'!$C$296), "", 'Data Entry'!$C$296)</f>
      </c>
      <c r="D296">
        <f>IF(ISBLANK('Data Entry'!$D$296), "", 'Data Entry'!$D$296)</f>
      </c>
      <c r="E296">
        <f>IF(ISBLANK('Data Entry'!$E$296), "", 'Data Entry'!$E$296)</f>
      </c>
      <c r="F296">
        <f>IF(ISBLANK('Data Entry'!$F$296), "", 'Data Entry'!$F$296)</f>
      </c>
      <c r="G296">
        <f>IF(ISBLANK('Data Entry'!$G$296), "", 'Data Entry'!$G$296)</f>
      </c>
      <c r="H296">
        <f>IF(ISBLANK('Data Entry'!$H$296), "", 'Data Entry'!$H$296)</f>
      </c>
      <c r="I296">
        <f>IF(ISBLANK('Data Entry'!$I$296), "", 'Data Entry'!$I$296)</f>
      </c>
      <c r="J296">
        <f>IF(ISBLANK('Data Entry'!$J$296), "", 'Data Entry'!$J$296)</f>
      </c>
      <c r="K296">
        <f>IF(ISBLANK('Data Entry'!$K$296), "", 'Data Entry'!$K$296)</f>
      </c>
      <c r="L296">
        <f>IF(ISBLANK('Data Entry'!$L$296), "", 'Data Entry'!$L$296)</f>
      </c>
      <c r="M296">
        <f>IF(ISBLANK('Data Entry'!$M$296), "", 'Data Entry'!$M$296)</f>
      </c>
      <c r="N296">
        <f>IF(ISBLANK('Data Entry'!$N$296), "", 'Data Entry'!$N$296)</f>
      </c>
      <c r="O296">
        <f>IF(ISBLANK('Data Entry'!$O$296), "", 'Data Entry'!$O$296)</f>
      </c>
      <c r="P296">
        <f>IF(ISBLANK('Data Entry'!$P$296), "", 'Data Entry'!$P$296)</f>
      </c>
      <c r="Q296">
        <f>IF(ISBLANK('Data Entry'!$Q$296), "", 'Data Entry'!$Q$296)</f>
      </c>
      <c r="R296">
        <f>IF(ISBLANK('Data Entry'!$R$296), "", 'Data Entry'!$R$296)</f>
      </c>
      <c r="S296">
        <f>IF(ISBLANK('Data Entry'!$S$296), "", 'Data Entry'!$S$296)</f>
      </c>
      <c r="T296">
        <f>IF(ISBLANK('Data Entry'!$T$296), "", 'Data Entry'!$T$296)</f>
      </c>
      <c r="U296">
        <f>IF(ISBLANK('Data Entry'!$U$296), "", 'Data Entry'!$U$296)</f>
      </c>
      <c r="V296">
        <f>IF(ISBLANK('Data Entry'!$V$296), "", 'Data Entry'!$V$296)</f>
      </c>
      <c r="W296">
        <f>IF(ISBLANK('Data Entry'!$W$296), "", 'Data Entry'!$W$296)</f>
      </c>
      <c r="X296">
        <f>IF(ISBLANK('Data Entry'!$X$296), "", 'Data Entry'!$X$296)</f>
      </c>
      <c r="Y296">
        <f>IF(ISBLANK('Data Entry'!$Y$296), "", 'Data Entry'!$Y$296)</f>
      </c>
      <c r="Z296">
        <f>IF(ISBLANK('Data Entry'!$Z$296), "", 'Data Entry'!$Z$296)</f>
      </c>
      <c r="AA296">
        <f>IF(ISBLANK('Data Entry'!$[$296), "", 'Data Entry'!$[$296)</f>
      </c>
      <c r="AB296">
        <f>IF(ISBLANK('Data Entry'!$\$296), "", 'Data Entry'!$\$296)</f>
      </c>
      <c r="AC296">
        <f>IF(ISBLANK('Data Entry'!$]$296), "", 'Data Entry'!$]$296)</f>
      </c>
      <c r="AD296">
        <f>IF(ISBLANK('Data Entry'!$^$296), "", 'Data Entry'!$^$296)</f>
      </c>
      <c r="AE296">
        <f>IF(ISBLANK('Data Entry'!$_$296), "", 'Data Entry'!$_$296)</f>
      </c>
      <c r="AF296">
        <f>IF(ISBLANK('Data Entry'!$`$296), "", 'Data Entry'!$`$296)</f>
      </c>
      <c r="AG296">
        <f>IF(ISBLANK('Data Entry'!$a$296), "", 'Data Entry'!$a$296)</f>
      </c>
      <c r="AH296">
        <f>IF(ISBLANK('Data Entry'!$b$296), "", 'Data Entry'!$b$296)</f>
      </c>
      <c r="AI296">
        <f>IF(ISBLANK('Data Entry'!$c$296), "", 'Data Entry'!$c$296)</f>
      </c>
      <c r="AJ296">
        <f>IF(ISBLANK('Data Entry'!$d$296), "", 'Data Entry'!$d$296)</f>
      </c>
      <c r="AK296">
        <f>IF(ISBLANK('Data Entry'!$e$296), "", 'Data Entry'!$e$296)</f>
      </c>
      <c r="AL296">
        <f>IF(ISBLANK('Data Entry'!$f$296), "", 'Data Entry'!$f$296)</f>
      </c>
      <c r="AM296">
        <f>IF(ISBLANK('Data Entry'!$g$296), "", 'Data Entry'!$g$296)</f>
      </c>
      <c r="AN296">
        <f>IF(ISBLANK('Data Entry'!$h$296), "", 'Data Entry'!$h$296)</f>
      </c>
      <c r="AO296">
        <f>IF(ISBLANK('Data Entry'!$i$296), "", 'Data Entry'!$i$296)</f>
      </c>
      <c r="AP296">
        <f>IF(ISBLANK('Data Entry'!$j$296), "", 'Data Entry'!$j$296)</f>
      </c>
      <c r="AQ296">
        <f>IF(ISBLANK('Data Entry'!$k$296), "", 'Data Entry'!$k$296)</f>
      </c>
      <c r="AR296">
        <f>IF(ISBLANK('Data Entry'!$l$296), "", 'Data Entry'!$l$296)</f>
      </c>
      <c r="AS296">
        <f>IF(ISBLANK('Data Entry'!$m$296), "", 'Data Entry'!$m$296)</f>
      </c>
      <c r="AT296">
        <f>IF(ISBLANK('Data Entry'!$n$296), "", 'Data Entry'!$n$296)</f>
      </c>
      <c r="AU296">
        <f>IF(ISBLANK('Data Entry'!$o$296), "", 'Data Entry'!$o$296)</f>
      </c>
      <c r="AV296">
        <f>IF(ISBLANK('Data Entry'!$p$296), "", 'Data Entry'!$p$296)</f>
      </c>
      <c r="AW296">
        <f>IF(ISBLANK('Data Entry'!$q$296), "", 'Data Entry'!$q$296)</f>
      </c>
      <c r="AX296">
        <f>IF(ISBLANK('Data Entry'!$r$296), "", 'Data Entry'!$r$296)</f>
      </c>
      <c r="AY296">
        <f>IF(ISBLANK('Data Entry'!$s$296), "", 'Data Entry'!$s$296)</f>
      </c>
      <c r="AZ296">
        <f>IF(ISBLANK('Data Entry'!$t$296), "", 'Data Entry'!$t$296)</f>
      </c>
      <c r="BA296">
        <f>IF(ISBLANK('Data Entry'!$u$296), "", 'Data Entry'!$u$296)</f>
      </c>
      <c r="BB296">
        <f>IF(ISBLANK('Data Entry'!$v$296), "", 'Data Entry'!$v$296)</f>
      </c>
      <c r="BC296">
        <f>IF(ISBLANK('Data Entry'!$w$296), "", 'Data Entry'!$w$296)</f>
      </c>
      <c r="BD296">
        <f>IF(ISBLANK('Data Entry'!$x$296), "", 'Data Entry'!$x$296)</f>
      </c>
      <c r="BE296">
        <f>IF(ISBLANK('Data Entry'!$y$296), "", 'Data Entry'!$y$296)</f>
      </c>
      <c r="BF296">
        <f>IF(ISBLANK('Data Entry'!$z$296), "", 'Data Entry'!$z$296)</f>
      </c>
      <c r="BG296">
        <f>IF(ISBLANK('Data Entry'!${$296), "", 'Data Entry'!${$296)</f>
      </c>
      <c r="BH296">
        <f>IF(ISBLANK('Data Entry'!$|$296), "", 'Data Entry'!$|$296)</f>
      </c>
      <c r="BI296">
        <f>IF(ISBLANK('Data Entry'!$}$296), "", 'Data Entry'!$}$296)</f>
      </c>
      <c r="BJ296">
        <f>IF(ISBLANK('Data Entry'!$~$296), "", 'Data Entry'!$~$296)</f>
      </c>
      <c r="BK296">
        <f>IF(ISBLANK('Data Entry'!$$296), "", 'Data Entry'!$$296)</f>
      </c>
      <c r="BL296">
        <f>IF(ISBLANK('Data Entry'!$$296), "", 'Data Entry'!$$296)</f>
      </c>
      <c r="BM296">
        <f>IF(ISBLANK('Data Entry'!$$296), "", 'Data Entry'!$$296)</f>
      </c>
      <c r="BN296">
        <f>IF(ISBLANK('Data Entry'!$$296), "", 'Data Entry'!$$296)</f>
      </c>
      <c r="BO296">
        <f>IF(ISBLANK('Data Entry'!$$296), "", 'Data Entry'!$$296)</f>
      </c>
      <c r="BP296">
        <f>IF(ISBLANK('Data Entry'!$$296), "", 'Data Entry'!$$296)</f>
      </c>
      <c r="BQ296">
        <f>IF(ISBLANK('Data Entry'!$$296), "", 'Data Entry'!$$296)</f>
      </c>
      <c r="BR296">
        <f>IF(ISBLANK('Data Entry'!$$296), "", 'Data Entry'!$$296)</f>
      </c>
      <c r="BS296">
        <f>IF(ISBLANK('Data Entry'!$$296), "", 'Data Entry'!$$296)</f>
      </c>
      <c r="BT296">
        <f>IF(ISBLANK('Data Entry'!$$296), "", 'Data Entry'!$$296)</f>
      </c>
      <c r="BU296">
        <f>IF(ISBLANK('Data Entry'!$$296), "", 'Data Entry'!$$296)</f>
      </c>
      <c r="BV296">
        <f>IF(ISBLANK('Data Entry'!$$296), "", 'Data Entry'!$$296)</f>
      </c>
      <c r="BW296">
        <f>IF(ISBLANK('Data Entry'!$$296), "", 'Data Entry'!$$296)</f>
      </c>
      <c r="BX296">
        <f>IF(ISBLANK('Data Entry'!$$296), "", 'Data Entry'!$$296)</f>
      </c>
      <c r="BY296">
        <f>IF(ISBLANK('Data Entry'!$$296), "", 'Data Entry'!$$296)</f>
      </c>
      <c r="BZ296">
        <f>IF(ISBLANK('Data Entry'!$$296), "", 'Data Entry'!$$296)</f>
      </c>
      <c r="CA296">
        <f>IF(ISBLANK('Data Entry'!$$296), "", 'Data Entry'!$$296)</f>
      </c>
      <c r="CB296">
        <f>IF(ISBLANK('Data Entry'!$$296), "", 'Data Entry'!$$296)</f>
      </c>
      <c r="CC296">
        <f>IF(ISBLANK('Data Entry'!$$296), "", 'Data Entry'!$$296)</f>
      </c>
      <c r="CD296">
        <f>IF(ISBLANK('Data Entry'!$$296), "", 'Data Entry'!$$296)</f>
      </c>
      <c r="CE296">
        <f>IF(ISBLANK('Data Entry'!$$296), "", 'Data Entry'!$$296)</f>
      </c>
      <c r="CF296">
        <f>IF(ISBLANK('Data Entry'!$$296), "", 'Data Entry'!$$296)</f>
      </c>
      <c r="CG296">
        <f>IF(ISBLANK('Data Entry'!$$296), "", 'Data Entry'!$$296)</f>
      </c>
      <c r="CH296">
        <f>IF(ISBLANK('Data Entry'!$$296), "", 'Data Entry'!$$296)</f>
      </c>
      <c r="CI296">
        <f>IF(ISBLANK('Data Entry'!$$296), "", 'Data Entry'!$$296)</f>
      </c>
      <c r="CJ296">
        <f>IF(ISBLANK('Data Entry'!$$296), "", 'Data Entry'!$$296)</f>
      </c>
      <c r="CK296">
        <f>IF(ISBLANK('Data Entry'!$$296), "", 'Data Entry'!$$296)</f>
      </c>
      <c r="CL296">
        <f>IF(ISBLANK('Data Entry'!$$296), "", 'Data Entry'!$$296)</f>
      </c>
      <c r="CM296">
        <f>IF(ISBLANK('Data Entry'!$$296), "", 'Data Entry'!$$296)</f>
      </c>
      <c r="CN296">
        <f>IF(ISBLANK('Data Entry'!$$296), "", 'Data Entry'!$$296)</f>
      </c>
      <c r="CO296">
        <f>IF(ISBLANK('Data Entry'!$$296), "", 'Data Entry'!$$296)</f>
      </c>
      <c r="CP296">
        <f>IF(ISBLANK('Data Entry'!$$296), "", 'Data Entry'!$$296)</f>
      </c>
      <c r="CQ296">
        <f>IF(ISBLANK('Data Entry'!$$296), "", 'Data Entry'!$$296)</f>
      </c>
      <c r="CR296">
        <f>IF(ISBLANK('Data Entry'!$ $296), "", 'Data Entry'!$ $296)</f>
      </c>
      <c r="CS296">
        <f>IF(ISBLANK('Data Entry'!$¡$296), "", 'Data Entry'!$¡$296)</f>
      </c>
      <c r="CT296">
        <f>IF(ISBLANK('Data Entry'!$¢$296), "", 'Data Entry'!$¢$296)</f>
      </c>
      <c r="CU296">
        <f>IF(ISBLANK('Data Entry'!$£$296), "", 'Data Entry'!$£$296)</f>
      </c>
      <c r="CV296">
        <f>IF(ISBLANK('Data Entry'!$¤$296), "", 'Data Entry'!$¤$296)</f>
      </c>
      <c r="CW296">
        <f>IF(ISBLANK('Data Entry'!$¥$296), "", 'Data Entry'!$¥$296)</f>
      </c>
      <c r="CX296">
        <f>IF(ISBLANK('Data Entry'!$¦$296), "", 'Data Entry'!$¦$296)</f>
      </c>
      <c r="CY296">
        <f>IF(ISBLANK('Data Entry'!$§$296), "", 'Data Entry'!$§$296)</f>
      </c>
      <c r="CZ296">
        <f>IF(ISBLANK('Data Entry'!$¨$296), "", 'Data Entry'!$¨$296)</f>
      </c>
      <c r="DA296">
        <f>IF(ISBLANK('Data Entry'!$©$296), "", 'Data Entry'!$©$296)</f>
      </c>
      <c r="DB296">
        <f>IF(ISBLANK('Data Entry'!$ª$296), "", 'Data Entry'!$ª$296)</f>
      </c>
      <c r="DC296">
        <f>IF(ISBLANK('Data Entry'!$«$296), "", 'Data Entry'!$«$296)</f>
      </c>
      <c r="DD296">
        <f>IF(ISBLANK('Data Entry'!$¬$296), "", 'Data Entry'!$¬$296)</f>
      </c>
      <c r="DE296">
        <f>IF(ISBLANK('Data Entry'!$­$296), "", 'Data Entry'!$­$296)</f>
      </c>
      <c r="DF296">
        <f>IF(ISBLANK('Data Entry'!$®$296), "", 'Data Entry'!$®$296)</f>
      </c>
      <c r="DG296">
        <f>IF(ISBLANK('Data Entry'!$¯$296), "", 'Data Entry'!$¯$296)</f>
      </c>
      <c r="DH296">
        <f>IF(ISBLANK('Data Entry'!$°$296), "", 'Data Entry'!$°$296)</f>
      </c>
      <c r="DI296">
        <f>IF(ISBLANK('Data Entry'!$±$296), "", 'Data Entry'!$±$296)</f>
      </c>
      <c r="DJ296">
        <f>IF(ISBLANK('Data Entry'!$²$296), "", 'Data Entry'!$²$296)</f>
      </c>
      <c r="DK296">
        <f>IF(ISBLANK('Data Entry'!$³$296), "", 'Data Entry'!$³$296)</f>
      </c>
      <c r="DL296">
        <f>IF(ISBLANK('Data Entry'!$´$296), "", 'Data Entry'!$´$296)</f>
      </c>
      <c r="DM296">
        <f>IF(ISBLANK('Data Entry'!$µ$296), "", 'Data Entry'!$µ$296)</f>
      </c>
      <c r="DN296">
        <f>IF(ISBLANK('Data Entry'!$¶$296), "", 'Data Entry'!$¶$296)</f>
      </c>
      <c r="DO296">
        <f>IF(ISBLANK('Data Entry'!$·$296), "", 'Data Entry'!$·$296)</f>
      </c>
      <c r="DP296">
        <f>IF(ISBLANK('Data Entry'!$¸$296), "", 'Data Entry'!$¸$296)</f>
      </c>
      <c r="DQ296">
        <f>IF(ISBLANK('Data Entry'!$¹$296), "", 'Data Entry'!$¹$296)</f>
      </c>
      <c r="DR296">
        <f>IF(ISBLANK('Data Entry'!$º$296), "", 'Data Entry'!$º$296)</f>
      </c>
      <c r="DS296">
        <f>IF(ISBLANK('Data Entry'!$»$296), "", 'Data Entry'!$»$296)</f>
      </c>
      <c r="DT296">
        <f>IF(ISBLANK('Data Entry'!$¼$296), "", 'Data Entry'!$¼$296)</f>
      </c>
      <c r="DU296">
        <f>IF(ISBLANK('Data Entry'!$½$296), "", 'Data Entry'!$½$296)</f>
      </c>
      <c r="DV296">
        <f>IF(ISBLANK('Data Entry'!$¾$296), "", 'Data Entry'!$¾$296)</f>
      </c>
      <c r="DW296">
        <f>IF(ISBLANK('Data Entry'!$¿$296), "", 'Data Entry'!$¿$296)</f>
      </c>
      <c r="DX296">
        <f>IF(ISBLANK('Data Entry'!$À$296), "", 'Data Entry'!$À$296)</f>
      </c>
      <c r="DY296">
        <f>IF(ISBLANK('Data Entry'!$Á$296), "", 'Data Entry'!$Á$296)</f>
      </c>
      <c r="DZ296">
        <f>IF(ISBLANK('Data Entry'!$Â$296), "", 'Data Entry'!$Â$296)</f>
      </c>
      <c r="EA296">
        <f>IF(ISBLANK('Data Entry'!$Ã$296), "", 'Data Entry'!$Ã$296)</f>
      </c>
      <c r="EB296">
        <f>IF(ISBLANK('Data Entry'!$Ä$296), "", 'Data Entry'!$Ä$296)</f>
      </c>
      <c r="EC296">
        <f>IF(ISBLANK('Data Entry'!$Å$296), "", 'Data Entry'!$Å$296)</f>
      </c>
      <c r="ED296">
        <f>IF(ISBLANK('Data Entry'!$Æ$296), "", 'Data Entry'!$Æ$296)</f>
      </c>
      <c r="EE296">
        <f>IF(ISBLANK('Data Entry'!$Ç$296), "", 'Data Entry'!$Ç$296)</f>
      </c>
      <c r="EF296">
        <f>IF(ISBLANK('Data Entry'!$È$296), "", 'Data Entry'!$È$296)</f>
      </c>
      <c r="EG296">
        <f>IF(ISBLANK('Data Entry'!$É$296), "", 'Data Entry'!$É$296)</f>
      </c>
      <c r="EH296">
        <f>IF(ISBLANK('Data Entry'!$Ê$296), "", 'Data Entry'!$Ê$296)</f>
      </c>
      <c r="EI296">
        <f>IF(ISBLANK('Data Entry'!$Ë$296), "", 'Data Entry'!$Ë$296)</f>
      </c>
      <c r="EJ296">
        <f>IF(ISBLANK('Data Entry'!$Ì$296), "", 'Data Entry'!$Ì$296)</f>
      </c>
      <c r="EK296">
        <f>IF(ISBLANK('Data Entry'!$Í$296), "", 'Data Entry'!$Í$296)</f>
      </c>
      <c r="EL296">
        <f>IF(ISBLANK('Data Entry'!$Î$296), "", 'Data Entry'!$Î$296)</f>
      </c>
      <c r="EM296">
        <f>IF(ISBLANK('Data Entry'!$Ï$296), "", 'Data Entry'!$Ï$296)</f>
      </c>
      <c r="EN296">
        <f>IF(ISBLANK('Data Entry'!$Ð$296), "", 'Data Entry'!$Ð$296)</f>
      </c>
      <c r="EO296">
        <f>IF(ISBLANK('Data Entry'!$Ñ$296), "", 'Data Entry'!$Ñ$296)</f>
      </c>
      <c r="EP296">
        <f>IF(ISBLANK('Data Entry'!$Ò$296), "", 'Data Entry'!$Ò$296)</f>
      </c>
      <c r="EQ296">
        <f>IF(ISBLANK('Data Entry'!$Ó$296), "", 'Data Entry'!$Ó$296)</f>
      </c>
      <c r="ER296">
        <f>IF(ISBLANK('Data Entry'!$Ô$296), "", 'Data Entry'!$Ô$296)</f>
      </c>
      <c r="ES296">
        <f>IF(ISBLANK('Data Entry'!$Õ$296), "", 'Data Entry'!$Õ$296)</f>
      </c>
      <c r="ET296">
        <f>IF(ISBLANK('Data Entry'!$Ö$296), "", 'Data Entry'!$Ö$296)</f>
      </c>
      <c r="EU296">
        <f>IF(ISBLANK('Data Entry'!$×$296), "", 'Data Entry'!$×$296)</f>
      </c>
      <c r="EV296">
        <f>IF(ISBLANK('Data Entry'!$Ø$296), "", 'Data Entry'!$Ø$296)</f>
      </c>
      <c r="EW296">
        <f>IF(ISBLANK('Data Entry'!$Ù$296), "", 'Data Entry'!$Ù$296)</f>
      </c>
      <c r="EX296">
        <f>IF(ISBLANK('Data Entry'!$Ú$296), "", 'Data Entry'!$Ú$296)</f>
      </c>
      <c r="EY296">
        <f>IF(ISBLANK('Data Entry'!$Û$296), "", 'Data Entry'!$Û$296)</f>
      </c>
      <c r="EZ296">
        <f>IF(ISBLANK('Data Entry'!$Ü$296), "", 'Data Entry'!$Ü$296)</f>
      </c>
      <c r="FA296">
        <f>IF(ISBLANK('Data Entry'!$Ý$296), "", 'Data Entry'!$Ý$296)</f>
      </c>
      <c r="FB296">
        <f>IF(ISBLANK('Data Entry'!$Þ$296), "", 'Data Entry'!$Þ$296)</f>
      </c>
      <c r="FC296">
        <f>IF(ISBLANK('Data Entry'!$ß$296), "", 'Data Entry'!$ß$296)</f>
      </c>
      <c r="FD296">
        <f>IF(ISBLANK('Data Entry'!$à$296), "", 'Data Entry'!$à$296)</f>
      </c>
      <c r="FE296">
        <f>IF(ISBLANK('Data Entry'!$á$296), "", 'Data Entry'!$á$296)</f>
      </c>
      <c r="FF296">
        <f>IF(ISBLANK('Data Entry'!$â$296), "", 'Data Entry'!$â$296)</f>
      </c>
      <c r="FG296">
        <f>IF(ISBLANK('Data Entry'!$ã$296), "", 'Data Entry'!$ã$296)</f>
      </c>
      <c r="FH296">
        <f>IF(ISBLANK('Data Entry'!$ä$296), "", 'Data Entry'!$ä$296)</f>
      </c>
      <c r="FI296">
        <f>IF(ISBLANK('Data Entry'!$å$296), "", 'Data Entry'!$å$296)</f>
      </c>
      <c r="FJ296">
        <f>IF(ISBLANK('Data Entry'!$æ$296), "", 'Data Entry'!$æ$296)</f>
      </c>
      <c r="FK296">
        <f>IF(ISBLANK('Data Entry'!$ç$296), "", 'Data Entry'!$ç$296)</f>
      </c>
      <c r="FL296">
        <f>IF(ISBLANK('Data Entry'!$è$296), "", 'Data Entry'!$è$296)</f>
      </c>
      <c r="FM296">
        <f>IF(ISBLANK('Data Entry'!$é$296), "", 'Data Entry'!$é$296)</f>
      </c>
      <c r="FN296">
        <f>IF(ISBLANK('Data Entry'!$ê$296), "", 'Data Entry'!$ê$296)</f>
      </c>
      <c r="FO296">
        <f>IF(ISBLANK('Data Entry'!$ë$296), "", 'Data Entry'!$ë$296)</f>
      </c>
      <c r="FP296">
        <f>IF(ISBLANK('Data Entry'!$ì$296), "", 'Data Entry'!$ì$296)</f>
      </c>
      <c r="FQ296">
        <f>IF(ISBLANK('Data Entry'!$í$296), "", 'Data Entry'!$í$296)</f>
      </c>
      <c r="FR296">
        <f>IF(ISBLANK('Data Entry'!$î$296), "", 'Data Entry'!$î$296)</f>
      </c>
      <c r="FS296">
        <f>IF(ISBLANK('Data Entry'!$ï$296), "", 'Data Entry'!$ï$296)</f>
      </c>
      <c r="FT296">
        <f>IF(ISBLANK('Data Entry'!$ð$296), "", 'Data Entry'!$ð$296)</f>
      </c>
      <c r="FU296">
        <f>IF(ISBLANK('Data Entry'!$ñ$296), "", 'Data Entry'!$ñ$296)</f>
      </c>
      <c r="FV296">
        <f>IF(ISBLANK('Data Entry'!$ò$296), "", 'Data Entry'!$ò$296)</f>
      </c>
      <c r="FW296">
        <f>IF(ISBLANK('Data Entry'!$ó$296), "", 'Data Entry'!$ó$296)</f>
      </c>
      <c r="FX296">
        <f>IF(ISBLANK('Data Entry'!$ô$296), "", 'Data Entry'!$ô$296)</f>
      </c>
      <c r="FY296">
        <f>IF(ISBLANK('Data Entry'!$õ$296), "", 'Data Entry'!$õ$296)</f>
      </c>
      <c r="FZ296">
        <f>IF(ISBLANK('Data Entry'!$ö$296), "", 'Data Entry'!$ö$296)</f>
      </c>
      <c r="GA296">
        <f>IF(ISBLANK('Data Entry'!$÷$296), "", 'Data Entry'!$÷$296)</f>
      </c>
      <c r="GB296">
        <f>IF(ISBLANK('Data Entry'!$ø$296), "", 'Data Entry'!$ø$296)</f>
      </c>
      <c r="GC296">
        <f>IF(ISBLANK('Data Entry'!$ù$296), "", 'Data Entry'!$ù$296)</f>
      </c>
      <c r="GD296">
        <f>IF(ISBLANK('Data Entry'!$ú$296), "", 'Data Entry'!$ú$296)</f>
      </c>
      <c r="GE296">
        <f>IF(ISBLANK('Data Entry'!$û$296), "", 'Data Entry'!$û$296)</f>
      </c>
      <c r="GF296">
        <f>IF(ISBLANK('Data Entry'!$ü$296), "", 'Data Entry'!$ü$296)</f>
      </c>
      <c r="GG296">
        <f>IF(ISBLANK('Data Entry'!$ý$296), "", 'Data Entry'!$ý$296)</f>
      </c>
      <c r="GH296">
        <f>IF(ISBLANK('Data Entry'!$þ$296), "", 'Data Entry'!$þ$296)</f>
      </c>
      <c r="GI296">
        <f>IF(ISBLANK('Data Entry'!$ÿ$296), "", 'Data Entry'!$ÿ$296)</f>
      </c>
      <c r="GJ296">
        <f>IF(ISBLANK('Data Entry'!$Ā$296), "", 'Data Entry'!$Ā$296)</f>
      </c>
      <c r="GK296">
        <f>IF(ISBLANK('Data Entry'!$ā$296), "", 'Data Entry'!$ā$296)</f>
      </c>
      <c r="GL296">
        <f>IF(ISBLANK('Data Entry'!$Ă$296), "", 'Data Entry'!$Ă$296)</f>
      </c>
      <c r="GM296">
        <f>IF(ISBLANK('Data Entry'!$ă$296), "", 'Data Entry'!$ă$296)</f>
      </c>
      <c r="GN296">
        <f>IF(ISBLANK('Data Entry'!$Ą$296), "", 'Data Entry'!$Ą$296)</f>
      </c>
      <c r="GO296">
        <f>IF(ISBLANK('Data Entry'!$ą$296), "", 'Data Entry'!$ą$296)</f>
      </c>
      <c r="GP296">
        <f>IF(ISBLANK('Data Entry'!$Ć$296), "", 'Data Entry'!$Ć$296)</f>
      </c>
      <c r="GQ296">
        <f>IF(ISBLANK('Data Entry'!$ć$296), "", 'Data Entry'!$ć$296)</f>
      </c>
      <c r="GR296">
        <f>IF(ISBLANK('Data Entry'!$Ĉ$296), "", 'Data Entry'!$Ĉ$296)</f>
      </c>
      <c r="GS296">
        <f>IF(ISBLANK('Data Entry'!$ĉ$296), "", 'Data Entry'!$ĉ$296)</f>
      </c>
      <c r="GT296">
        <f>IF(ISBLANK('Data Entry'!$Ċ$296), "", 'Data Entry'!$Ċ$296)</f>
      </c>
      <c r="GU296">
        <f>IF(ISBLANK('Data Entry'!$ċ$296), "", 'Data Entry'!$ċ$296)</f>
      </c>
      <c r="GV296">
        <f>IF(ISBLANK('Data Entry'!$Č$296), "", 'Data Entry'!$Č$296)</f>
      </c>
      <c r="GW296">
        <f>IF(ISBLANK('Data Entry'!$č$296), "", 'Data Entry'!$č$296)</f>
      </c>
      <c r="GX296">
        <f>IF(ISBLANK('Data Entry'!$Ď$296), "", 'Data Entry'!$Ď$296)</f>
      </c>
      <c r="GY296">
        <f>IF(ISBLANK('Data Entry'!$ď$296), "", 'Data Entry'!$ď$296)</f>
      </c>
      <c r="GZ296">
        <f>IF(ISBLANK('Data Entry'!$Đ$296), "", 'Data Entry'!$Đ$296)</f>
      </c>
      <c r="HA296">
        <f>IF(ISBLANK('Data Entry'!$đ$296), "", 'Data Entry'!$đ$296)</f>
      </c>
      <c r="HB296">
        <f>IF(ISBLANK('Data Entry'!$Ē$296), "", 'Data Entry'!$Ē$296)</f>
      </c>
      <c r="HC296">
        <f>IF(ISBLANK('Data Entry'!$ē$296), "", 'Data Entry'!$ē$296)</f>
      </c>
      <c r="HD296">
        <f>IF(ISBLANK('Data Entry'!$Ĕ$296), "", 'Data Entry'!$Ĕ$296)</f>
      </c>
      <c r="HE296">
        <f>IF(ISBLANK('Data Entry'!$ĕ$296), "", 'Data Entry'!$ĕ$296)</f>
      </c>
      <c r="HF296">
        <f>IF(ISBLANK('Data Entry'!$Ė$296), "", 'Data Entry'!$Ė$296)</f>
      </c>
      <c r="HG296">
        <f>IF(ISBLANK('Data Entry'!$ė$296), "", 'Data Entry'!$ė$296)</f>
      </c>
      <c r="HH296">
        <f>IF(ISBLANK('Data Entry'!$Ę$296), "", 'Data Entry'!$Ę$296)</f>
      </c>
      <c r="HI296">
        <f>IF(ISBLANK('Data Entry'!$ę$296), "", 'Data Entry'!$ę$296)</f>
      </c>
      <c r="HJ296">
        <f>IF(ISBLANK('Data Entry'!$Ě$296), "", 'Data Entry'!$Ě$296)</f>
      </c>
      <c r="HK296">
        <f>IF(ISBLANK('Data Entry'!$ě$296), "", 'Data Entry'!$ě$296)</f>
      </c>
      <c r="HL296">
        <f>IF(ISBLANK('Data Entry'!$Ĝ$296), "", 'Data Entry'!$Ĝ$296)</f>
      </c>
      <c r="HM296">
        <f>IF(ISBLANK('Data Entry'!$ĝ$296), "", 'Data Entry'!$ĝ$296)</f>
      </c>
      <c r="HN296">
        <f>IF(ISBLANK('Data Entry'!$Ğ$296), "", 'Data Entry'!$Ğ$296)</f>
      </c>
      <c r="HO296">
        <f>IF(ISBLANK('Data Entry'!$ğ$296), "", 'Data Entry'!$ğ$296)</f>
      </c>
      <c r="HP296">
        <f>IF(ISBLANK('Data Entry'!$Ġ$296), "", 'Data Entry'!$Ġ$296)</f>
      </c>
      <c r="HQ296">
        <f>IF(ISBLANK('Data Entry'!$ġ$296), "", 'Data Entry'!$ġ$296)</f>
      </c>
      <c r="HR296">
        <f>IF(ISBLANK('Data Entry'!$Ģ$296), "", 'Data Entry'!$Ģ$296)</f>
      </c>
      <c r="HS296">
        <f>IF(ISBLANK('Data Entry'!$ģ$296), "", 'Data Entry'!$ģ$296)</f>
      </c>
      <c r="HT296">
        <f>IF(ISBLANK('Data Entry'!$Ĥ$296), "", 'Data Entry'!$Ĥ$296)</f>
      </c>
      <c r="HU296">
        <f>IF(ISBLANK('Data Entry'!$ĥ$296), "", 'Data Entry'!$ĥ$296)</f>
      </c>
      <c r="HV296">
        <f>IF(ISBLANK('Data Entry'!$Ħ$296), "", 'Data Entry'!$Ħ$296)</f>
      </c>
      <c r="HW296">
        <f>IF(ISBLANK('Data Entry'!$ħ$296), "", 'Data Entry'!$ħ$296)</f>
      </c>
      <c r="HX296">
        <f>IF(ISBLANK('Data Entry'!$Ĩ$296), "", 'Data Entry'!$Ĩ$296)</f>
      </c>
      <c r="HY296">
        <f>IF(ISBLANK('Data Entry'!$ĩ$296), "", 'Data Entry'!$ĩ$296)</f>
      </c>
      <c r="HZ296">
        <f>IF(ISBLANK('Data Entry'!$Ī$296), "", 'Data Entry'!$Ī$296)</f>
      </c>
      <c r="IA296">
        <f>IF(ISBLANK('Data Entry'!$ī$296), "", 'Data Entry'!$ī$296)</f>
      </c>
      <c r="IB296">
        <f>IF(ISBLANK('Data Entry'!$Ĭ$296), "", 'Data Entry'!$Ĭ$296)</f>
      </c>
      <c r="IC296">
        <f>IF(ISBLANK('Data Entry'!$ĭ$296), "", 'Data Entry'!$ĭ$296)</f>
      </c>
      <c r="ID296">
        <f>IF(ISBLANK('Data Entry'!$Į$296), "", 'Data Entry'!$Į$296)</f>
      </c>
      <c r="IE296">
        <f>IF(ISBLANK('Data Entry'!$į$296), "", 'Data Entry'!$į$296)</f>
      </c>
      <c r="IF296">
        <f>IF(ISBLANK('Data Entry'!$İ$296), "", 'Data Entry'!$İ$296)</f>
      </c>
      <c r="IG296">
        <f>IF(ISBLANK('Data Entry'!$ı$296), "", 'Data Entry'!$ı$296)</f>
      </c>
      <c r="IH296">
        <f>IF(ISBLANK('Data Entry'!$Ĳ$296), "", 'Data Entry'!$Ĳ$296)</f>
      </c>
      <c r="II296">
        <f>IF(ISBLANK('Data Entry'!$ĳ$296), "", 'Data Entry'!$ĳ$296)</f>
      </c>
      <c r="IJ296">
        <f>IF(ISBLANK('Data Entry'!$Ĵ$296), "", 'Data Entry'!$Ĵ$296)</f>
      </c>
      <c r="IK296">
        <f>IF(ISBLANK('Data Entry'!$ĵ$296), "", 'Data Entry'!$ĵ$296)</f>
      </c>
      <c r="IL296">
        <f>IF(ISBLANK('Data Entry'!$Ķ$296), "", 'Data Entry'!$Ķ$296)</f>
      </c>
      <c r="IM296">
        <f>IF(ISBLANK('Data Entry'!$ķ$296), "", 'Data Entry'!$ķ$296)</f>
      </c>
      <c r="IN296">
        <f>IF(ISBLANK('Data Entry'!$ĸ$296), "", 'Data Entry'!$ĸ$296)</f>
      </c>
      <c r="IO296">
        <f>IF(ISBLANK('Data Entry'!$Ĺ$296), "", 'Data Entry'!$Ĺ$296)</f>
      </c>
      <c r="IP296">
        <f>IF(ISBLANK('Data Entry'!$ĺ$296), "", 'Data Entry'!$ĺ$296)</f>
      </c>
      <c r="IQ296">
        <f>IF(ISBLANK('Data Entry'!$Ļ$296), "", 'Data Entry'!$Ļ$296)</f>
      </c>
      <c r="IR296">
        <f>IF(ISBLANK('Data Entry'!$ļ$296), "", 'Data Entry'!$ļ$296)</f>
      </c>
      <c r="IS296">
        <f>IF(ISBLANK('Data Entry'!$Ľ$296), "", 'Data Entry'!$Ľ$296)</f>
      </c>
      <c r="IT296">
        <f>IF(ISBLANK('Data Entry'!$ľ$296), "", 'Data Entry'!$ľ$296)</f>
      </c>
    </row>
    <row r="297" spans="1:254" x14ac:dyDescent="0.25">
      <c r="A297">
        <f>IF(ISBLANK('Data Entry'!$A$297), "", 'Data Entry'!$A$297)</f>
      </c>
      <c r="B297">
        <f>IF(ISBLANK('Data Entry'!$B$297), "", 'Data Entry'!$B$297)</f>
      </c>
      <c r="C297">
        <f>IF(ISBLANK('Data Entry'!$C$297), "", 'Data Entry'!$C$297)</f>
      </c>
      <c r="D297">
        <f>IF(ISBLANK('Data Entry'!$D$297), "", 'Data Entry'!$D$297)</f>
      </c>
      <c r="E297">
        <f>IF(ISBLANK('Data Entry'!$E$297), "", 'Data Entry'!$E$297)</f>
      </c>
      <c r="F297">
        <f>IF(ISBLANK('Data Entry'!$F$297), "", 'Data Entry'!$F$297)</f>
      </c>
      <c r="G297">
        <f>IF(ISBLANK('Data Entry'!$G$297), "", 'Data Entry'!$G$297)</f>
      </c>
      <c r="H297">
        <f>IF(ISBLANK('Data Entry'!$H$297), "", 'Data Entry'!$H$297)</f>
      </c>
      <c r="I297">
        <f>IF(ISBLANK('Data Entry'!$I$297), "", 'Data Entry'!$I$297)</f>
      </c>
      <c r="J297">
        <f>IF(ISBLANK('Data Entry'!$J$297), "", 'Data Entry'!$J$297)</f>
      </c>
      <c r="K297">
        <f>IF(ISBLANK('Data Entry'!$K$297), "", 'Data Entry'!$K$297)</f>
      </c>
      <c r="L297">
        <f>IF(ISBLANK('Data Entry'!$L$297), "", 'Data Entry'!$L$297)</f>
      </c>
      <c r="M297">
        <f>IF(ISBLANK('Data Entry'!$M$297), "", 'Data Entry'!$M$297)</f>
      </c>
      <c r="N297">
        <f>IF(ISBLANK('Data Entry'!$N$297), "", 'Data Entry'!$N$297)</f>
      </c>
      <c r="O297">
        <f>IF(ISBLANK('Data Entry'!$O$297), "", 'Data Entry'!$O$297)</f>
      </c>
      <c r="P297">
        <f>IF(ISBLANK('Data Entry'!$P$297), "", 'Data Entry'!$P$297)</f>
      </c>
      <c r="Q297">
        <f>IF(ISBLANK('Data Entry'!$Q$297), "", 'Data Entry'!$Q$297)</f>
      </c>
      <c r="R297">
        <f>IF(ISBLANK('Data Entry'!$R$297), "", 'Data Entry'!$R$297)</f>
      </c>
      <c r="S297">
        <f>IF(ISBLANK('Data Entry'!$S$297), "", 'Data Entry'!$S$297)</f>
      </c>
      <c r="T297">
        <f>IF(ISBLANK('Data Entry'!$T$297), "", 'Data Entry'!$T$297)</f>
      </c>
      <c r="U297">
        <f>IF(ISBLANK('Data Entry'!$U$297), "", 'Data Entry'!$U$297)</f>
      </c>
      <c r="V297">
        <f>IF(ISBLANK('Data Entry'!$V$297), "", 'Data Entry'!$V$297)</f>
      </c>
      <c r="W297">
        <f>IF(ISBLANK('Data Entry'!$W$297), "", 'Data Entry'!$W$297)</f>
      </c>
      <c r="X297">
        <f>IF(ISBLANK('Data Entry'!$X$297), "", 'Data Entry'!$X$297)</f>
      </c>
      <c r="Y297">
        <f>IF(ISBLANK('Data Entry'!$Y$297), "", 'Data Entry'!$Y$297)</f>
      </c>
      <c r="Z297">
        <f>IF(ISBLANK('Data Entry'!$Z$297), "", 'Data Entry'!$Z$297)</f>
      </c>
      <c r="AA297">
        <f>IF(ISBLANK('Data Entry'!$[$297), "", 'Data Entry'!$[$297)</f>
      </c>
      <c r="AB297">
        <f>IF(ISBLANK('Data Entry'!$\$297), "", 'Data Entry'!$\$297)</f>
      </c>
      <c r="AC297">
        <f>IF(ISBLANK('Data Entry'!$]$297), "", 'Data Entry'!$]$297)</f>
      </c>
      <c r="AD297">
        <f>IF(ISBLANK('Data Entry'!$^$297), "", 'Data Entry'!$^$297)</f>
      </c>
      <c r="AE297">
        <f>IF(ISBLANK('Data Entry'!$_$297), "", 'Data Entry'!$_$297)</f>
      </c>
      <c r="AF297">
        <f>IF(ISBLANK('Data Entry'!$`$297), "", 'Data Entry'!$`$297)</f>
      </c>
      <c r="AG297">
        <f>IF(ISBLANK('Data Entry'!$a$297), "", 'Data Entry'!$a$297)</f>
      </c>
      <c r="AH297">
        <f>IF(ISBLANK('Data Entry'!$b$297), "", 'Data Entry'!$b$297)</f>
      </c>
      <c r="AI297">
        <f>IF(ISBLANK('Data Entry'!$c$297), "", 'Data Entry'!$c$297)</f>
      </c>
      <c r="AJ297">
        <f>IF(ISBLANK('Data Entry'!$d$297), "", 'Data Entry'!$d$297)</f>
      </c>
      <c r="AK297">
        <f>IF(ISBLANK('Data Entry'!$e$297), "", 'Data Entry'!$e$297)</f>
      </c>
      <c r="AL297">
        <f>IF(ISBLANK('Data Entry'!$f$297), "", 'Data Entry'!$f$297)</f>
      </c>
      <c r="AM297">
        <f>IF(ISBLANK('Data Entry'!$g$297), "", 'Data Entry'!$g$297)</f>
      </c>
      <c r="AN297">
        <f>IF(ISBLANK('Data Entry'!$h$297), "", 'Data Entry'!$h$297)</f>
      </c>
      <c r="AO297">
        <f>IF(ISBLANK('Data Entry'!$i$297), "", 'Data Entry'!$i$297)</f>
      </c>
      <c r="AP297">
        <f>IF(ISBLANK('Data Entry'!$j$297), "", 'Data Entry'!$j$297)</f>
      </c>
      <c r="AQ297">
        <f>IF(ISBLANK('Data Entry'!$k$297), "", 'Data Entry'!$k$297)</f>
      </c>
      <c r="AR297">
        <f>IF(ISBLANK('Data Entry'!$l$297), "", 'Data Entry'!$l$297)</f>
      </c>
      <c r="AS297">
        <f>IF(ISBLANK('Data Entry'!$m$297), "", 'Data Entry'!$m$297)</f>
      </c>
      <c r="AT297">
        <f>IF(ISBLANK('Data Entry'!$n$297), "", 'Data Entry'!$n$297)</f>
      </c>
      <c r="AU297">
        <f>IF(ISBLANK('Data Entry'!$o$297), "", 'Data Entry'!$o$297)</f>
      </c>
      <c r="AV297">
        <f>IF(ISBLANK('Data Entry'!$p$297), "", 'Data Entry'!$p$297)</f>
      </c>
      <c r="AW297">
        <f>IF(ISBLANK('Data Entry'!$q$297), "", 'Data Entry'!$q$297)</f>
      </c>
      <c r="AX297">
        <f>IF(ISBLANK('Data Entry'!$r$297), "", 'Data Entry'!$r$297)</f>
      </c>
      <c r="AY297">
        <f>IF(ISBLANK('Data Entry'!$s$297), "", 'Data Entry'!$s$297)</f>
      </c>
      <c r="AZ297">
        <f>IF(ISBLANK('Data Entry'!$t$297), "", 'Data Entry'!$t$297)</f>
      </c>
      <c r="BA297">
        <f>IF(ISBLANK('Data Entry'!$u$297), "", 'Data Entry'!$u$297)</f>
      </c>
      <c r="BB297">
        <f>IF(ISBLANK('Data Entry'!$v$297), "", 'Data Entry'!$v$297)</f>
      </c>
      <c r="BC297">
        <f>IF(ISBLANK('Data Entry'!$w$297), "", 'Data Entry'!$w$297)</f>
      </c>
      <c r="BD297">
        <f>IF(ISBLANK('Data Entry'!$x$297), "", 'Data Entry'!$x$297)</f>
      </c>
      <c r="BE297">
        <f>IF(ISBLANK('Data Entry'!$y$297), "", 'Data Entry'!$y$297)</f>
      </c>
      <c r="BF297">
        <f>IF(ISBLANK('Data Entry'!$z$297), "", 'Data Entry'!$z$297)</f>
      </c>
      <c r="BG297">
        <f>IF(ISBLANK('Data Entry'!${$297), "", 'Data Entry'!${$297)</f>
      </c>
      <c r="BH297">
        <f>IF(ISBLANK('Data Entry'!$|$297), "", 'Data Entry'!$|$297)</f>
      </c>
      <c r="BI297">
        <f>IF(ISBLANK('Data Entry'!$}$297), "", 'Data Entry'!$}$297)</f>
      </c>
      <c r="BJ297">
        <f>IF(ISBLANK('Data Entry'!$~$297), "", 'Data Entry'!$~$297)</f>
      </c>
      <c r="BK297">
        <f>IF(ISBLANK('Data Entry'!$$297), "", 'Data Entry'!$$297)</f>
      </c>
      <c r="BL297">
        <f>IF(ISBLANK('Data Entry'!$$297), "", 'Data Entry'!$$297)</f>
      </c>
      <c r="BM297">
        <f>IF(ISBLANK('Data Entry'!$$297), "", 'Data Entry'!$$297)</f>
      </c>
      <c r="BN297">
        <f>IF(ISBLANK('Data Entry'!$$297), "", 'Data Entry'!$$297)</f>
      </c>
      <c r="BO297">
        <f>IF(ISBLANK('Data Entry'!$$297), "", 'Data Entry'!$$297)</f>
      </c>
      <c r="BP297">
        <f>IF(ISBLANK('Data Entry'!$$297), "", 'Data Entry'!$$297)</f>
      </c>
      <c r="BQ297">
        <f>IF(ISBLANK('Data Entry'!$$297), "", 'Data Entry'!$$297)</f>
      </c>
      <c r="BR297">
        <f>IF(ISBLANK('Data Entry'!$$297), "", 'Data Entry'!$$297)</f>
      </c>
      <c r="BS297">
        <f>IF(ISBLANK('Data Entry'!$$297), "", 'Data Entry'!$$297)</f>
      </c>
      <c r="BT297">
        <f>IF(ISBLANK('Data Entry'!$$297), "", 'Data Entry'!$$297)</f>
      </c>
      <c r="BU297">
        <f>IF(ISBLANK('Data Entry'!$$297), "", 'Data Entry'!$$297)</f>
      </c>
      <c r="BV297">
        <f>IF(ISBLANK('Data Entry'!$$297), "", 'Data Entry'!$$297)</f>
      </c>
      <c r="BW297">
        <f>IF(ISBLANK('Data Entry'!$$297), "", 'Data Entry'!$$297)</f>
      </c>
      <c r="BX297">
        <f>IF(ISBLANK('Data Entry'!$$297), "", 'Data Entry'!$$297)</f>
      </c>
      <c r="BY297">
        <f>IF(ISBLANK('Data Entry'!$$297), "", 'Data Entry'!$$297)</f>
      </c>
      <c r="BZ297">
        <f>IF(ISBLANK('Data Entry'!$$297), "", 'Data Entry'!$$297)</f>
      </c>
      <c r="CA297">
        <f>IF(ISBLANK('Data Entry'!$$297), "", 'Data Entry'!$$297)</f>
      </c>
      <c r="CB297">
        <f>IF(ISBLANK('Data Entry'!$$297), "", 'Data Entry'!$$297)</f>
      </c>
      <c r="CC297">
        <f>IF(ISBLANK('Data Entry'!$$297), "", 'Data Entry'!$$297)</f>
      </c>
      <c r="CD297">
        <f>IF(ISBLANK('Data Entry'!$$297), "", 'Data Entry'!$$297)</f>
      </c>
      <c r="CE297">
        <f>IF(ISBLANK('Data Entry'!$$297), "", 'Data Entry'!$$297)</f>
      </c>
      <c r="CF297">
        <f>IF(ISBLANK('Data Entry'!$$297), "", 'Data Entry'!$$297)</f>
      </c>
      <c r="CG297">
        <f>IF(ISBLANK('Data Entry'!$$297), "", 'Data Entry'!$$297)</f>
      </c>
      <c r="CH297">
        <f>IF(ISBLANK('Data Entry'!$$297), "", 'Data Entry'!$$297)</f>
      </c>
      <c r="CI297">
        <f>IF(ISBLANK('Data Entry'!$$297), "", 'Data Entry'!$$297)</f>
      </c>
      <c r="CJ297">
        <f>IF(ISBLANK('Data Entry'!$$297), "", 'Data Entry'!$$297)</f>
      </c>
      <c r="CK297">
        <f>IF(ISBLANK('Data Entry'!$$297), "", 'Data Entry'!$$297)</f>
      </c>
      <c r="CL297">
        <f>IF(ISBLANK('Data Entry'!$$297), "", 'Data Entry'!$$297)</f>
      </c>
      <c r="CM297">
        <f>IF(ISBLANK('Data Entry'!$$297), "", 'Data Entry'!$$297)</f>
      </c>
      <c r="CN297">
        <f>IF(ISBLANK('Data Entry'!$$297), "", 'Data Entry'!$$297)</f>
      </c>
      <c r="CO297">
        <f>IF(ISBLANK('Data Entry'!$$297), "", 'Data Entry'!$$297)</f>
      </c>
      <c r="CP297">
        <f>IF(ISBLANK('Data Entry'!$$297), "", 'Data Entry'!$$297)</f>
      </c>
      <c r="CQ297">
        <f>IF(ISBLANK('Data Entry'!$$297), "", 'Data Entry'!$$297)</f>
      </c>
      <c r="CR297">
        <f>IF(ISBLANK('Data Entry'!$ $297), "", 'Data Entry'!$ $297)</f>
      </c>
      <c r="CS297">
        <f>IF(ISBLANK('Data Entry'!$¡$297), "", 'Data Entry'!$¡$297)</f>
      </c>
      <c r="CT297">
        <f>IF(ISBLANK('Data Entry'!$¢$297), "", 'Data Entry'!$¢$297)</f>
      </c>
      <c r="CU297">
        <f>IF(ISBLANK('Data Entry'!$£$297), "", 'Data Entry'!$£$297)</f>
      </c>
      <c r="CV297">
        <f>IF(ISBLANK('Data Entry'!$¤$297), "", 'Data Entry'!$¤$297)</f>
      </c>
      <c r="CW297">
        <f>IF(ISBLANK('Data Entry'!$¥$297), "", 'Data Entry'!$¥$297)</f>
      </c>
      <c r="CX297">
        <f>IF(ISBLANK('Data Entry'!$¦$297), "", 'Data Entry'!$¦$297)</f>
      </c>
      <c r="CY297">
        <f>IF(ISBLANK('Data Entry'!$§$297), "", 'Data Entry'!$§$297)</f>
      </c>
      <c r="CZ297">
        <f>IF(ISBLANK('Data Entry'!$¨$297), "", 'Data Entry'!$¨$297)</f>
      </c>
      <c r="DA297">
        <f>IF(ISBLANK('Data Entry'!$©$297), "", 'Data Entry'!$©$297)</f>
      </c>
      <c r="DB297">
        <f>IF(ISBLANK('Data Entry'!$ª$297), "", 'Data Entry'!$ª$297)</f>
      </c>
      <c r="DC297">
        <f>IF(ISBLANK('Data Entry'!$«$297), "", 'Data Entry'!$«$297)</f>
      </c>
      <c r="DD297">
        <f>IF(ISBLANK('Data Entry'!$¬$297), "", 'Data Entry'!$¬$297)</f>
      </c>
      <c r="DE297">
        <f>IF(ISBLANK('Data Entry'!$­$297), "", 'Data Entry'!$­$297)</f>
      </c>
      <c r="DF297">
        <f>IF(ISBLANK('Data Entry'!$®$297), "", 'Data Entry'!$®$297)</f>
      </c>
      <c r="DG297">
        <f>IF(ISBLANK('Data Entry'!$¯$297), "", 'Data Entry'!$¯$297)</f>
      </c>
      <c r="DH297">
        <f>IF(ISBLANK('Data Entry'!$°$297), "", 'Data Entry'!$°$297)</f>
      </c>
      <c r="DI297">
        <f>IF(ISBLANK('Data Entry'!$±$297), "", 'Data Entry'!$±$297)</f>
      </c>
      <c r="DJ297">
        <f>IF(ISBLANK('Data Entry'!$²$297), "", 'Data Entry'!$²$297)</f>
      </c>
      <c r="DK297">
        <f>IF(ISBLANK('Data Entry'!$³$297), "", 'Data Entry'!$³$297)</f>
      </c>
      <c r="DL297">
        <f>IF(ISBLANK('Data Entry'!$´$297), "", 'Data Entry'!$´$297)</f>
      </c>
      <c r="DM297">
        <f>IF(ISBLANK('Data Entry'!$µ$297), "", 'Data Entry'!$µ$297)</f>
      </c>
      <c r="DN297">
        <f>IF(ISBLANK('Data Entry'!$¶$297), "", 'Data Entry'!$¶$297)</f>
      </c>
      <c r="DO297">
        <f>IF(ISBLANK('Data Entry'!$·$297), "", 'Data Entry'!$·$297)</f>
      </c>
      <c r="DP297">
        <f>IF(ISBLANK('Data Entry'!$¸$297), "", 'Data Entry'!$¸$297)</f>
      </c>
      <c r="DQ297">
        <f>IF(ISBLANK('Data Entry'!$¹$297), "", 'Data Entry'!$¹$297)</f>
      </c>
      <c r="DR297">
        <f>IF(ISBLANK('Data Entry'!$º$297), "", 'Data Entry'!$º$297)</f>
      </c>
      <c r="DS297">
        <f>IF(ISBLANK('Data Entry'!$»$297), "", 'Data Entry'!$»$297)</f>
      </c>
      <c r="DT297">
        <f>IF(ISBLANK('Data Entry'!$¼$297), "", 'Data Entry'!$¼$297)</f>
      </c>
      <c r="DU297">
        <f>IF(ISBLANK('Data Entry'!$½$297), "", 'Data Entry'!$½$297)</f>
      </c>
      <c r="DV297">
        <f>IF(ISBLANK('Data Entry'!$¾$297), "", 'Data Entry'!$¾$297)</f>
      </c>
      <c r="DW297">
        <f>IF(ISBLANK('Data Entry'!$¿$297), "", 'Data Entry'!$¿$297)</f>
      </c>
      <c r="DX297">
        <f>IF(ISBLANK('Data Entry'!$À$297), "", 'Data Entry'!$À$297)</f>
      </c>
      <c r="DY297">
        <f>IF(ISBLANK('Data Entry'!$Á$297), "", 'Data Entry'!$Á$297)</f>
      </c>
      <c r="DZ297">
        <f>IF(ISBLANK('Data Entry'!$Â$297), "", 'Data Entry'!$Â$297)</f>
      </c>
      <c r="EA297">
        <f>IF(ISBLANK('Data Entry'!$Ã$297), "", 'Data Entry'!$Ã$297)</f>
      </c>
      <c r="EB297">
        <f>IF(ISBLANK('Data Entry'!$Ä$297), "", 'Data Entry'!$Ä$297)</f>
      </c>
      <c r="EC297">
        <f>IF(ISBLANK('Data Entry'!$Å$297), "", 'Data Entry'!$Å$297)</f>
      </c>
      <c r="ED297">
        <f>IF(ISBLANK('Data Entry'!$Æ$297), "", 'Data Entry'!$Æ$297)</f>
      </c>
      <c r="EE297">
        <f>IF(ISBLANK('Data Entry'!$Ç$297), "", 'Data Entry'!$Ç$297)</f>
      </c>
      <c r="EF297">
        <f>IF(ISBLANK('Data Entry'!$È$297), "", 'Data Entry'!$È$297)</f>
      </c>
      <c r="EG297">
        <f>IF(ISBLANK('Data Entry'!$É$297), "", 'Data Entry'!$É$297)</f>
      </c>
      <c r="EH297">
        <f>IF(ISBLANK('Data Entry'!$Ê$297), "", 'Data Entry'!$Ê$297)</f>
      </c>
      <c r="EI297">
        <f>IF(ISBLANK('Data Entry'!$Ë$297), "", 'Data Entry'!$Ë$297)</f>
      </c>
      <c r="EJ297">
        <f>IF(ISBLANK('Data Entry'!$Ì$297), "", 'Data Entry'!$Ì$297)</f>
      </c>
      <c r="EK297">
        <f>IF(ISBLANK('Data Entry'!$Í$297), "", 'Data Entry'!$Í$297)</f>
      </c>
      <c r="EL297">
        <f>IF(ISBLANK('Data Entry'!$Î$297), "", 'Data Entry'!$Î$297)</f>
      </c>
      <c r="EM297">
        <f>IF(ISBLANK('Data Entry'!$Ï$297), "", 'Data Entry'!$Ï$297)</f>
      </c>
      <c r="EN297">
        <f>IF(ISBLANK('Data Entry'!$Ð$297), "", 'Data Entry'!$Ð$297)</f>
      </c>
      <c r="EO297">
        <f>IF(ISBLANK('Data Entry'!$Ñ$297), "", 'Data Entry'!$Ñ$297)</f>
      </c>
      <c r="EP297">
        <f>IF(ISBLANK('Data Entry'!$Ò$297), "", 'Data Entry'!$Ò$297)</f>
      </c>
      <c r="EQ297">
        <f>IF(ISBLANK('Data Entry'!$Ó$297), "", 'Data Entry'!$Ó$297)</f>
      </c>
      <c r="ER297">
        <f>IF(ISBLANK('Data Entry'!$Ô$297), "", 'Data Entry'!$Ô$297)</f>
      </c>
      <c r="ES297">
        <f>IF(ISBLANK('Data Entry'!$Õ$297), "", 'Data Entry'!$Õ$297)</f>
      </c>
      <c r="ET297">
        <f>IF(ISBLANK('Data Entry'!$Ö$297), "", 'Data Entry'!$Ö$297)</f>
      </c>
      <c r="EU297">
        <f>IF(ISBLANK('Data Entry'!$×$297), "", 'Data Entry'!$×$297)</f>
      </c>
      <c r="EV297">
        <f>IF(ISBLANK('Data Entry'!$Ø$297), "", 'Data Entry'!$Ø$297)</f>
      </c>
      <c r="EW297">
        <f>IF(ISBLANK('Data Entry'!$Ù$297), "", 'Data Entry'!$Ù$297)</f>
      </c>
      <c r="EX297">
        <f>IF(ISBLANK('Data Entry'!$Ú$297), "", 'Data Entry'!$Ú$297)</f>
      </c>
      <c r="EY297">
        <f>IF(ISBLANK('Data Entry'!$Û$297), "", 'Data Entry'!$Û$297)</f>
      </c>
      <c r="EZ297">
        <f>IF(ISBLANK('Data Entry'!$Ü$297), "", 'Data Entry'!$Ü$297)</f>
      </c>
      <c r="FA297">
        <f>IF(ISBLANK('Data Entry'!$Ý$297), "", 'Data Entry'!$Ý$297)</f>
      </c>
      <c r="FB297">
        <f>IF(ISBLANK('Data Entry'!$Þ$297), "", 'Data Entry'!$Þ$297)</f>
      </c>
      <c r="FC297">
        <f>IF(ISBLANK('Data Entry'!$ß$297), "", 'Data Entry'!$ß$297)</f>
      </c>
      <c r="FD297">
        <f>IF(ISBLANK('Data Entry'!$à$297), "", 'Data Entry'!$à$297)</f>
      </c>
      <c r="FE297">
        <f>IF(ISBLANK('Data Entry'!$á$297), "", 'Data Entry'!$á$297)</f>
      </c>
      <c r="FF297">
        <f>IF(ISBLANK('Data Entry'!$â$297), "", 'Data Entry'!$â$297)</f>
      </c>
      <c r="FG297">
        <f>IF(ISBLANK('Data Entry'!$ã$297), "", 'Data Entry'!$ã$297)</f>
      </c>
      <c r="FH297">
        <f>IF(ISBLANK('Data Entry'!$ä$297), "", 'Data Entry'!$ä$297)</f>
      </c>
      <c r="FI297">
        <f>IF(ISBLANK('Data Entry'!$å$297), "", 'Data Entry'!$å$297)</f>
      </c>
      <c r="FJ297">
        <f>IF(ISBLANK('Data Entry'!$æ$297), "", 'Data Entry'!$æ$297)</f>
      </c>
      <c r="FK297">
        <f>IF(ISBLANK('Data Entry'!$ç$297), "", 'Data Entry'!$ç$297)</f>
      </c>
      <c r="FL297">
        <f>IF(ISBLANK('Data Entry'!$è$297), "", 'Data Entry'!$è$297)</f>
      </c>
      <c r="FM297">
        <f>IF(ISBLANK('Data Entry'!$é$297), "", 'Data Entry'!$é$297)</f>
      </c>
      <c r="FN297">
        <f>IF(ISBLANK('Data Entry'!$ê$297), "", 'Data Entry'!$ê$297)</f>
      </c>
      <c r="FO297">
        <f>IF(ISBLANK('Data Entry'!$ë$297), "", 'Data Entry'!$ë$297)</f>
      </c>
      <c r="FP297">
        <f>IF(ISBLANK('Data Entry'!$ì$297), "", 'Data Entry'!$ì$297)</f>
      </c>
      <c r="FQ297">
        <f>IF(ISBLANK('Data Entry'!$í$297), "", 'Data Entry'!$í$297)</f>
      </c>
      <c r="FR297">
        <f>IF(ISBLANK('Data Entry'!$î$297), "", 'Data Entry'!$î$297)</f>
      </c>
      <c r="FS297">
        <f>IF(ISBLANK('Data Entry'!$ï$297), "", 'Data Entry'!$ï$297)</f>
      </c>
      <c r="FT297">
        <f>IF(ISBLANK('Data Entry'!$ð$297), "", 'Data Entry'!$ð$297)</f>
      </c>
      <c r="FU297">
        <f>IF(ISBLANK('Data Entry'!$ñ$297), "", 'Data Entry'!$ñ$297)</f>
      </c>
      <c r="FV297">
        <f>IF(ISBLANK('Data Entry'!$ò$297), "", 'Data Entry'!$ò$297)</f>
      </c>
      <c r="FW297">
        <f>IF(ISBLANK('Data Entry'!$ó$297), "", 'Data Entry'!$ó$297)</f>
      </c>
      <c r="FX297">
        <f>IF(ISBLANK('Data Entry'!$ô$297), "", 'Data Entry'!$ô$297)</f>
      </c>
      <c r="FY297">
        <f>IF(ISBLANK('Data Entry'!$õ$297), "", 'Data Entry'!$õ$297)</f>
      </c>
      <c r="FZ297">
        <f>IF(ISBLANK('Data Entry'!$ö$297), "", 'Data Entry'!$ö$297)</f>
      </c>
      <c r="GA297">
        <f>IF(ISBLANK('Data Entry'!$÷$297), "", 'Data Entry'!$÷$297)</f>
      </c>
      <c r="GB297">
        <f>IF(ISBLANK('Data Entry'!$ø$297), "", 'Data Entry'!$ø$297)</f>
      </c>
      <c r="GC297">
        <f>IF(ISBLANK('Data Entry'!$ù$297), "", 'Data Entry'!$ù$297)</f>
      </c>
      <c r="GD297">
        <f>IF(ISBLANK('Data Entry'!$ú$297), "", 'Data Entry'!$ú$297)</f>
      </c>
      <c r="GE297">
        <f>IF(ISBLANK('Data Entry'!$û$297), "", 'Data Entry'!$û$297)</f>
      </c>
      <c r="GF297">
        <f>IF(ISBLANK('Data Entry'!$ü$297), "", 'Data Entry'!$ü$297)</f>
      </c>
      <c r="GG297">
        <f>IF(ISBLANK('Data Entry'!$ý$297), "", 'Data Entry'!$ý$297)</f>
      </c>
      <c r="GH297">
        <f>IF(ISBLANK('Data Entry'!$þ$297), "", 'Data Entry'!$þ$297)</f>
      </c>
      <c r="GI297">
        <f>IF(ISBLANK('Data Entry'!$ÿ$297), "", 'Data Entry'!$ÿ$297)</f>
      </c>
      <c r="GJ297">
        <f>IF(ISBLANK('Data Entry'!$Ā$297), "", 'Data Entry'!$Ā$297)</f>
      </c>
      <c r="GK297">
        <f>IF(ISBLANK('Data Entry'!$ā$297), "", 'Data Entry'!$ā$297)</f>
      </c>
      <c r="GL297">
        <f>IF(ISBLANK('Data Entry'!$Ă$297), "", 'Data Entry'!$Ă$297)</f>
      </c>
      <c r="GM297">
        <f>IF(ISBLANK('Data Entry'!$ă$297), "", 'Data Entry'!$ă$297)</f>
      </c>
      <c r="GN297">
        <f>IF(ISBLANK('Data Entry'!$Ą$297), "", 'Data Entry'!$Ą$297)</f>
      </c>
      <c r="GO297">
        <f>IF(ISBLANK('Data Entry'!$ą$297), "", 'Data Entry'!$ą$297)</f>
      </c>
      <c r="GP297">
        <f>IF(ISBLANK('Data Entry'!$Ć$297), "", 'Data Entry'!$Ć$297)</f>
      </c>
      <c r="GQ297">
        <f>IF(ISBLANK('Data Entry'!$ć$297), "", 'Data Entry'!$ć$297)</f>
      </c>
      <c r="GR297">
        <f>IF(ISBLANK('Data Entry'!$Ĉ$297), "", 'Data Entry'!$Ĉ$297)</f>
      </c>
      <c r="GS297">
        <f>IF(ISBLANK('Data Entry'!$ĉ$297), "", 'Data Entry'!$ĉ$297)</f>
      </c>
      <c r="GT297">
        <f>IF(ISBLANK('Data Entry'!$Ċ$297), "", 'Data Entry'!$Ċ$297)</f>
      </c>
      <c r="GU297">
        <f>IF(ISBLANK('Data Entry'!$ċ$297), "", 'Data Entry'!$ċ$297)</f>
      </c>
      <c r="GV297">
        <f>IF(ISBLANK('Data Entry'!$Č$297), "", 'Data Entry'!$Č$297)</f>
      </c>
      <c r="GW297">
        <f>IF(ISBLANK('Data Entry'!$č$297), "", 'Data Entry'!$č$297)</f>
      </c>
      <c r="GX297">
        <f>IF(ISBLANK('Data Entry'!$Ď$297), "", 'Data Entry'!$Ď$297)</f>
      </c>
      <c r="GY297">
        <f>IF(ISBLANK('Data Entry'!$ď$297), "", 'Data Entry'!$ď$297)</f>
      </c>
      <c r="GZ297">
        <f>IF(ISBLANK('Data Entry'!$Đ$297), "", 'Data Entry'!$Đ$297)</f>
      </c>
      <c r="HA297">
        <f>IF(ISBLANK('Data Entry'!$đ$297), "", 'Data Entry'!$đ$297)</f>
      </c>
      <c r="HB297">
        <f>IF(ISBLANK('Data Entry'!$Ē$297), "", 'Data Entry'!$Ē$297)</f>
      </c>
      <c r="HC297">
        <f>IF(ISBLANK('Data Entry'!$ē$297), "", 'Data Entry'!$ē$297)</f>
      </c>
      <c r="HD297">
        <f>IF(ISBLANK('Data Entry'!$Ĕ$297), "", 'Data Entry'!$Ĕ$297)</f>
      </c>
      <c r="HE297">
        <f>IF(ISBLANK('Data Entry'!$ĕ$297), "", 'Data Entry'!$ĕ$297)</f>
      </c>
      <c r="HF297">
        <f>IF(ISBLANK('Data Entry'!$Ė$297), "", 'Data Entry'!$Ė$297)</f>
      </c>
      <c r="HG297">
        <f>IF(ISBLANK('Data Entry'!$ė$297), "", 'Data Entry'!$ė$297)</f>
      </c>
      <c r="HH297">
        <f>IF(ISBLANK('Data Entry'!$Ę$297), "", 'Data Entry'!$Ę$297)</f>
      </c>
      <c r="HI297">
        <f>IF(ISBLANK('Data Entry'!$ę$297), "", 'Data Entry'!$ę$297)</f>
      </c>
      <c r="HJ297">
        <f>IF(ISBLANK('Data Entry'!$Ě$297), "", 'Data Entry'!$Ě$297)</f>
      </c>
      <c r="HK297">
        <f>IF(ISBLANK('Data Entry'!$ě$297), "", 'Data Entry'!$ě$297)</f>
      </c>
      <c r="HL297">
        <f>IF(ISBLANK('Data Entry'!$Ĝ$297), "", 'Data Entry'!$Ĝ$297)</f>
      </c>
      <c r="HM297">
        <f>IF(ISBLANK('Data Entry'!$ĝ$297), "", 'Data Entry'!$ĝ$297)</f>
      </c>
      <c r="HN297">
        <f>IF(ISBLANK('Data Entry'!$Ğ$297), "", 'Data Entry'!$Ğ$297)</f>
      </c>
      <c r="HO297">
        <f>IF(ISBLANK('Data Entry'!$ğ$297), "", 'Data Entry'!$ğ$297)</f>
      </c>
      <c r="HP297">
        <f>IF(ISBLANK('Data Entry'!$Ġ$297), "", 'Data Entry'!$Ġ$297)</f>
      </c>
      <c r="HQ297">
        <f>IF(ISBLANK('Data Entry'!$ġ$297), "", 'Data Entry'!$ġ$297)</f>
      </c>
      <c r="HR297">
        <f>IF(ISBLANK('Data Entry'!$Ģ$297), "", 'Data Entry'!$Ģ$297)</f>
      </c>
      <c r="HS297">
        <f>IF(ISBLANK('Data Entry'!$ģ$297), "", 'Data Entry'!$ģ$297)</f>
      </c>
      <c r="HT297">
        <f>IF(ISBLANK('Data Entry'!$Ĥ$297), "", 'Data Entry'!$Ĥ$297)</f>
      </c>
      <c r="HU297">
        <f>IF(ISBLANK('Data Entry'!$ĥ$297), "", 'Data Entry'!$ĥ$297)</f>
      </c>
      <c r="HV297">
        <f>IF(ISBLANK('Data Entry'!$Ħ$297), "", 'Data Entry'!$Ħ$297)</f>
      </c>
      <c r="HW297">
        <f>IF(ISBLANK('Data Entry'!$ħ$297), "", 'Data Entry'!$ħ$297)</f>
      </c>
      <c r="HX297">
        <f>IF(ISBLANK('Data Entry'!$Ĩ$297), "", 'Data Entry'!$Ĩ$297)</f>
      </c>
      <c r="HY297">
        <f>IF(ISBLANK('Data Entry'!$ĩ$297), "", 'Data Entry'!$ĩ$297)</f>
      </c>
      <c r="HZ297">
        <f>IF(ISBLANK('Data Entry'!$Ī$297), "", 'Data Entry'!$Ī$297)</f>
      </c>
      <c r="IA297">
        <f>IF(ISBLANK('Data Entry'!$ī$297), "", 'Data Entry'!$ī$297)</f>
      </c>
      <c r="IB297">
        <f>IF(ISBLANK('Data Entry'!$Ĭ$297), "", 'Data Entry'!$Ĭ$297)</f>
      </c>
      <c r="IC297">
        <f>IF(ISBLANK('Data Entry'!$ĭ$297), "", 'Data Entry'!$ĭ$297)</f>
      </c>
      <c r="ID297">
        <f>IF(ISBLANK('Data Entry'!$Į$297), "", 'Data Entry'!$Į$297)</f>
      </c>
      <c r="IE297">
        <f>IF(ISBLANK('Data Entry'!$į$297), "", 'Data Entry'!$į$297)</f>
      </c>
      <c r="IF297">
        <f>IF(ISBLANK('Data Entry'!$İ$297), "", 'Data Entry'!$İ$297)</f>
      </c>
      <c r="IG297">
        <f>IF(ISBLANK('Data Entry'!$ı$297), "", 'Data Entry'!$ı$297)</f>
      </c>
      <c r="IH297">
        <f>IF(ISBLANK('Data Entry'!$Ĳ$297), "", 'Data Entry'!$Ĳ$297)</f>
      </c>
      <c r="II297">
        <f>IF(ISBLANK('Data Entry'!$ĳ$297), "", 'Data Entry'!$ĳ$297)</f>
      </c>
      <c r="IJ297">
        <f>IF(ISBLANK('Data Entry'!$Ĵ$297), "", 'Data Entry'!$Ĵ$297)</f>
      </c>
      <c r="IK297">
        <f>IF(ISBLANK('Data Entry'!$ĵ$297), "", 'Data Entry'!$ĵ$297)</f>
      </c>
      <c r="IL297">
        <f>IF(ISBLANK('Data Entry'!$Ķ$297), "", 'Data Entry'!$Ķ$297)</f>
      </c>
      <c r="IM297">
        <f>IF(ISBLANK('Data Entry'!$ķ$297), "", 'Data Entry'!$ķ$297)</f>
      </c>
      <c r="IN297">
        <f>IF(ISBLANK('Data Entry'!$ĸ$297), "", 'Data Entry'!$ĸ$297)</f>
      </c>
      <c r="IO297">
        <f>IF(ISBLANK('Data Entry'!$Ĺ$297), "", 'Data Entry'!$Ĺ$297)</f>
      </c>
      <c r="IP297">
        <f>IF(ISBLANK('Data Entry'!$ĺ$297), "", 'Data Entry'!$ĺ$297)</f>
      </c>
      <c r="IQ297">
        <f>IF(ISBLANK('Data Entry'!$Ļ$297), "", 'Data Entry'!$Ļ$297)</f>
      </c>
      <c r="IR297">
        <f>IF(ISBLANK('Data Entry'!$ļ$297), "", 'Data Entry'!$ļ$297)</f>
      </c>
      <c r="IS297">
        <f>IF(ISBLANK('Data Entry'!$Ľ$297), "", 'Data Entry'!$Ľ$297)</f>
      </c>
      <c r="IT297">
        <f>IF(ISBLANK('Data Entry'!$ľ$297), "", 'Data Entry'!$ľ$297)</f>
      </c>
    </row>
    <row r="298" spans="1:254" x14ac:dyDescent="0.25">
      <c r="A298">
        <f>IF(ISBLANK('Data Entry'!$A$298), "", 'Data Entry'!$A$298)</f>
      </c>
      <c r="B298">
        <f>IF(ISBLANK('Data Entry'!$B$298), "", 'Data Entry'!$B$298)</f>
      </c>
      <c r="C298">
        <f>IF(ISBLANK('Data Entry'!$C$298), "", 'Data Entry'!$C$298)</f>
      </c>
      <c r="D298">
        <f>IF(ISBLANK('Data Entry'!$D$298), "", 'Data Entry'!$D$298)</f>
      </c>
      <c r="E298">
        <f>IF(ISBLANK('Data Entry'!$E$298), "", 'Data Entry'!$E$298)</f>
      </c>
      <c r="F298">
        <f>IF(ISBLANK('Data Entry'!$F$298), "", 'Data Entry'!$F$298)</f>
      </c>
      <c r="G298">
        <f>IF(ISBLANK('Data Entry'!$G$298), "", 'Data Entry'!$G$298)</f>
      </c>
      <c r="H298">
        <f>IF(ISBLANK('Data Entry'!$H$298), "", 'Data Entry'!$H$298)</f>
      </c>
      <c r="I298">
        <f>IF(ISBLANK('Data Entry'!$I$298), "", 'Data Entry'!$I$298)</f>
      </c>
      <c r="J298">
        <f>IF(ISBLANK('Data Entry'!$J$298), "", 'Data Entry'!$J$298)</f>
      </c>
      <c r="K298">
        <f>IF(ISBLANK('Data Entry'!$K$298), "", 'Data Entry'!$K$298)</f>
      </c>
      <c r="L298">
        <f>IF(ISBLANK('Data Entry'!$L$298), "", 'Data Entry'!$L$298)</f>
      </c>
      <c r="M298">
        <f>IF(ISBLANK('Data Entry'!$M$298), "", 'Data Entry'!$M$298)</f>
      </c>
      <c r="N298">
        <f>IF(ISBLANK('Data Entry'!$N$298), "", 'Data Entry'!$N$298)</f>
      </c>
      <c r="O298">
        <f>IF(ISBLANK('Data Entry'!$O$298), "", 'Data Entry'!$O$298)</f>
      </c>
      <c r="P298">
        <f>IF(ISBLANK('Data Entry'!$P$298), "", 'Data Entry'!$P$298)</f>
      </c>
      <c r="Q298">
        <f>IF(ISBLANK('Data Entry'!$Q$298), "", 'Data Entry'!$Q$298)</f>
      </c>
      <c r="R298">
        <f>IF(ISBLANK('Data Entry'!$R$298), "", 'Data Entry'!$R$298)</f>
      </c>
      <c r="S298">
        <f>IF(ISBLANK('Data Entry'!$S$298), "", 'Data Entry'!$S$298)</f>
      </c>
      <c r="T298">
        <f>IF(ISBLANK('Data Entry'!$T$298), "", 'Data Entry'!$T$298)</f>
      </c>
      <c r="U298">
        <f>IF(ISBLANK('Data Entry'!$U$298), "", 'Data Entry'!$U$298)</f>
      </c>
      <c r="V298">
        <f>IF(ISBLANK('Data Entry'!$V$298), "", 'Data Entry'!$V$298)</f>
      </c>
      <c r="W298">
        <f>IF(ISBLANK('Data Entry'!$W$298), "", 'Data Entry'!$W$298)</f>
      </c>
      <c r="X298">
        <f>IF(ISBLANK('Data Entry'!$X$298), "", 'Data Entry'!$X$298)</f>
      </c>
      <c r="Y298">
        <f>IF(ISBLANK('Data Entry'!$Y$298), "", 'Data Entry'!$Y$298)</f>
      </c>
      <c r="Z298">
        <f>IF(ISBLANK('Data Entry'!$Z$298), "", 'Data Entry'!$Z$298)</f>
      </c>
      <c r="AA298">
        <f>IF(ISBLANK('Data Entry'!$[$298), "", 'Data Entry'!$[$298)</f>
      </c>
      <c r="AB298">
        <f>IF(ISBLANK('Data Entry'!$\$298), "", 'Data Entry'!$\$298)</f>
      </c>
      <c r="AC298">
        <f>IF(ISBLANK('Data Entry'!$]$298), "", 'Data Entry'!$]$298)</f>
      </c>
      <c r="AD298">
        <f>IF(ISBLANK('Data Entry'!$^$298), "", 'Data Entry'!$^$298)</f>
      </c>
      <c r="AE298">
        <f>IF(ISBLANK('Data Entry'!$_$298), "", 'Data Entry'!$_$298)</f>
      </c>
      <c r="AF298">
        <f>IF(ISBLANK('Data Entry'!$`$298), "", 'Data Entry'!$`$298)</f>
      </c>
      <c r="AG298">
        <f>IF(ISBLANK('Data Entry'!$a$298), "", 'Data Entry'!$a$298)</f>
      </c>
      <c r="AH298">
        <f>IF(ISBLANK('Data Entry'!$b$298), "", 'Data Entry'!$b$298)</f>
      </c>
      <c r="AI298">
        <f>IF(ISBLANK('Data Entry'!$c$298), "", 'Data Entry'!$c$298)</f>
      </c>
      <c r="AJ298">
        <f>IF(ISBLANK('Data Entry'!$d$298), "", 'Data Entry'!$d$298)</f>
      </c>
      <c r="AK298">
        <f>IF(ISBLANK('Data Entry'!$e$298), "", 'Data Entry'!$e$298)</f>
      </c>
      <c r="AL298">
        <f>IF(ISBLANK('Data Entry'!$f$298), "", 'Data Entry'!$f$298)</f>
      </c>
      <c r="AM298">
        <f>IF(ISBLANK('Data Entry'!$g$298), "", 'Data Entry'!$g$298)</f>
      </c>
      <c r="AN298">
        <f>IF(ISBLANK('Data Entry'!$h$298), "", 'Data Entry'!$h$298)</f>
      </c>
      <c r="AO298">
        <f>IF(ISBLANK('Data Entry'!$i$298), "", 'Data Entry'!$i$298)</f>
      </c>
      <c r="AP298">
        <f>IF(ISBLANK('Data Entry'!$j$298), "", 'Data Entry'!$j$298)</f>
      </c>
      <c r="AQ298">
        <f>IF(ISBLANK('Data Entry'!$k$298), "", 'Data Entry'!$k$298)</f>
      </c>
      <c r="AR298">
        <f>IF(ISBLANK('Data Entry'!$l$298), "", 'Data Entry'!$l$298)</f>
      </c>
      <c r="AS298">
        <f>IF(ISBLANK('Data Entry'!$m$298), "", 'Data Entry'!$m$298)</f>
      </c>
      <c r="AT298">
        <f>IF(ISBLANK('Data Entry'!$n$298), "", 'Data Entry'!$n$298)</f>
      </c>
      <c r="AU298">
        <f>IF(ISBLANK('Data Entry'!$o$298), "", 'Data Entry'!$o$298)</f>
      </c>
      <c r="AV298">
        <f>IF(ISBLANK('Data Entry'!$p$298), "", 'Data Entry'!$p$298)</f>
      </c>
      <c r="AW298">
        <f>IF(ISBLANK('Data Entry'!$q$298), "", 'Data Entry'!$q$298)</f>
      </c>
      <c r="AX298">
        <f>IF(ISBLANK('Data Entry'!$r$298), "", 'Data Entry'!$r$298)</f>
      </c>
      <c r="AY298">
        <f>IF(ISBLANK('Data Entry'!$s$298), "", 'Data Entry'!$s$298)</f>
      </c>
      <c r="AZ298">
        <f>IF(ISBLANK('Data Entry'!$t$298), "", 'Data Entry'!$t$298)</f>
      </c>
      <c r="BA298">
        <f>IF(ISBLANK('Data Entry'!$u$298), "", 'Data Entry'!$u$298)</f>
      </c>
      <c r="BB298">
        <f>IF(ISBLANK('Data Entry'!$v$298), "", 'Data Entry'!$v$298)</f>
      </c>
      <c r="BC298">
        <f>IF(ISBLANK('Data Entry'!$w$298), "", 'Data Entry'!$w$298)</f>
      </c>
      <c r="BD298">
        <f>IF(ISBLANK('Data Entry'!$x$298), "", 'Data Entry'!$x$298)</f>
      </c>
      <c r="BE298">
        <f>IF(ISBLANK('Data Entry'!$y$298), "", 'Data Entry'!$y$298)</f>
      </c>
      <c r="BF298">
        <f>IF(ISBLANK('Data Entry'!$z$298), "", 'Data Entry'!$z$298)</f>
      </c>
      <c r="BG298">
        <f>IF(ISBLANK('Data Entry'!${$298), "", 'Data Entry'!${$298)</f>
      </c>
      <c r="BH298">
        <f>IF(ISBLANK('Data Entry'!$|$298), "", 'Data Entry'!$|$298)</f>
      </c>
      <c r="BI298">
        <f>IF(ISBLANK('Data Entry'!$}$298), "", 'Data Entry'!$}$298)</f>
      </c>
      <c r="BJ298">
        <f>IF(ISBLANK('Data Entry'!$~$298), "", 'Data Entry'!$~$298)</f>
      </c>
      <c r="BK298">
        <f>IF(ISBLANK('Data Entry'!$$298), "", 'Data Entry'!$$298)</f>
      </c>
      <c r="BL298">
        <f>IF(ISBLANK('Data Entry'!$$298), "", 'Data Entry'!$$298)</f>
      </c>
      <c r="BM298">
        <f>IF(ISBLANK('Data Entry'!$$298), "", 'Data Entry'!$$298)</f>
      </c>
      <c r="BN298">
        <f>IF(ISBLANK('Data Entry'!$$298), "", 'Data Entry'!$$298)</f>
      </c>
      <c r="BO298">
        <f>IF(ISBLANK('Data Entry'!$$298), "", 'Data Entry'!$$298)</f>
      </c>
      <c r="BP298">
        <f>IF(ISBLANK('Data Entry'!$$298), "", 'Data Entry'!$$298)</f>
      </c>
      <c r="BQ298">
        <f>IF(ISBLANK('Data Entry'!$$298), "", 'Data Entry'!$$298)</f>
      </c>
      <c r="BR298">
        <f>IF(ISBLANK('Data Entry'!$$298), "", 'Data Entry'!$$298)</f>
      </c>
      <c r="BS298">
        <f>IF(ISBLANK('Data Entry'!$$298), "", 'Data Entry'!$$298)</f>
      </c>
      <c r="BT298">
        <f>IF(ISBLANK('Data Entry'!$$298), "", 'Data Entry'!$$298)</f>
      </c>
      <c r="BU298">
        <f>IF(ISBLANK('Data Entry'!$$298), "", 'Data Entry'!$$298)</f>
      </c>
      <c r="BV298">
        <f>IF(ISBLANK('Data Entry'!$$298), "", 'Data Entry'!$$298)</f>
      </c>
      <c r="BW298">
        <f>IF(ISBLANK('Data Entry'!$$298), "", 'Data Entry'!$$298)</f>
      </c>
      <c r="BX298">
        <f>IF(ISBLANK('Data Entry'!$$298), "", 'Data Entry'!$$298)</f>
      </c>
      <c r="BY298">
        <f>IF(ISBLANK('Data Entry'!$$298), "", 'Data Entry'!$$298)</f>
      </c>
      <c r="BZ298">
        <f>IF(ISBLANK('Data Entry'!$$298), "", 'Data Entry'!$$298)</f>
      </c>
      <c r="CA298">
        <f>IF(ISBLANK('Data Entry'!$$298), "", 'Data Entry'!$$298)</f>
      </c>
      <c r="CB298">
        <f>IF(ISBLANK('Data Entry'!$$298), "", 'Data Entry'!$$298)</f>
      </c>
      <c r="CC298">
        <f>IF(ISBLANK('Data Entry'!$$298), "", 'Data Entry'!$$298)</f>
      </c>
      <c r="CD298">
        <f>IF(ISBLANK('Data Entry'!$$298), "", 'Data Entry'!$$298)</f>
      </c>
      <c r="CE298">
        <f>IF(ISBLANK('Data Entry'!$$298), "", 'Data Entry'!$$298)</f>
      </c>
      <c r="CF298">
        <f>IF(ISBLANK('Data Entry'!$$298), "", 'Data Entry'!$$298)</f>
      </c>
      <c r="CG298">
        <f>IF(ISBLANK('Data Entry'!$$298), "", 'Data Entry'!$$298)</f>
      </c>
      <c r="CH298">
        <f>IF(ISBLANK('Data Entry'!$$298), "", 'Data Entry'!$$298)</f>
      </c>
      <c r="CI298">
        <f>IF(ISBLANK('Data Entry'!$$298), "", 'Data Entry'!$$298)</f>
      </c>
      <c r="CJ298">
        <f>IF(ISBLANK('Data Entry'!$$298), "", 'Data Entry'!$$298)</f>
      </c>
      <c r="CK298">
        <f>IF(ISBLANK('Data Entry'!$$298), "", 'Data Entry'!$$298)</f>
      </c>
      <c r="CL298">
        <f>IF(ISBLANK('Data Entry'!$$298), "", 'Data Entry'!$$298)</f>
      </c>
      <c r="CM298">
        <f>IF(ISBLANK('Data Entry'!$$298), "", 'Data Entry'!$$298)</f>
      </c>
      <c r="CN298">
        <f>IF(ISBLANK('Data Entry'!$$298), "", 'Data Entry'!$$298)</f>
      </c>
      <c r="CO298">
        <f>IF(ISBLANK('Data Entry'!$$298), "", 'Data Entry'!$$298)</f>
      </c>
      <c r="CP298">
        <f>IF(ISBLANK('Data Entry'!$$298), "", 'Data Entry'!$$298)</f>
      </c>
      <c r="CQ298">
        <f>IF(ISBLANK('Data Entry'!$$298), "", 'Data Entry'!$$298)</f>
      </c>
      <c r="CR298">
        <f>IF(ISBLANK('Data Entry'!$ $298), "", 'Data Entry'!$ $298)</f>
      </c>
      <c r="CS298">
        <f>IF(ISBLANK('Data Entry'!$¡$298), "", 'Data Entry'!$¡$298)</f>
      </c>
      <c r="CT298">
        <f>IF(ISBLANK('Data Entry'!$¢$298), "", 'Data Entry'!$¢$298)</f>
      </c>
      <c r="CU298">
        <f>IF(ISBLANK('Data Entry'!$£$298), "", 'Data Entry'!$£$298)</f>
      </c>
      <c r="CV298">
        <f>IF(ISBLANK('Data Entry'!$¤$298), "", 'Data Entry'!$¤$298)</f>
      </c>
      <c r="CW298">
        <f>IF(ISBLANK('Data Entry'!$¥$298), "", 'Data Entry'!$¥$298)</f>
      </c>
      <c r="CX298">
        <f>IF(ISBLANK('Data Entry'!$¦$298), "", 'Data Entry'!$¦$298)</f>
      </c>
      <c r="CY298">
        <f>IF(ISBLANK('Data Entry'!$§$298), "", 'Data Entry'!$§$298)</f>
      </c>
      <c r="CZ298">
        <f>IF(ISBLANK('Data Entry'!$¨$298), "", 'Data Entry'!$¨$298)</f>
      </c>
      <c r="DA298">
        <f>IF(ISBLANK('Data Entry'!$©$298), "", 'Data Entry'!$©$298)</f>
      </c>
      <c r="DB298">
        <f>IF(ISBLANK('Data Entry'!$ª$298), "", 'Data Entry'!$ª$298)</f>
      </c>
      <c r="DC298">
        <f>IF(ISBLANK('Data Entry'!$«$298), "", 'Data Entry'!$«$298)</f>
      </c>
      <c r="DD298">
        <f>IF(ISBLANK('Data Entry'!$¬$298), "", 'Data Entry'!$¬$298)</f>
      </c>
      <c r="DE298">
        <f>IF(ISBLANK('Data Entry'!$­$298), "", 'Data Entry'!$­$298)</f>
      </c>
      <c r="DF298">
        <f>IF(ISBLANK('Data Entry'!$®$298), "", 'Data Entry'!$®$298)</f>
      </c>
      <c r="DG298">
        <f>IF(ISBLANK('Data Entry'!$¯$298), "", 'Data Entry'!$¯$298)</f>
      </c>
      <c r="DH298">
        <f>IF(ISBLANK('Data Entry'!$°$298), "", 'Data Entry'!$°$298)</f>
      </c>
      <c r="DI298">
        <f>IF(ISBLANK('Data Entry'!$±$298), "", 'Data Entry'!$±$298)</f>
      </c>
      <c r="DJ298">
        <f>IF(ISBLANK('Data Entry'!$²$298), "", 'Data Entry'!$²$298)</f>
      </c>
      <c r="DK298">
        <f>IF(ISBLANK('Data Entry'!$³$298), "", 'Data Entry'!$³$298)</f>
      </c>
      <c r="DL298">
        <f>IF(ISBLANK('Data Entry'!$´$298), "", 'Data Entry'!$´$298)</f>
      </c>
      <c r="DM298">
        <f>IF(ISBLANK('Data Entry'!$µ$298), "", 'Data Entry'!$µ$298)</f>
      </c>
      <c r="DN298">
        <f>IF(ISBLANK('Data Entry'!$¶$298), "", 'Data Entry'!$¶$298)</f>
      </c>
      <c r="DO298">
        <f>IF(ISBLANK('Data Entry'!$·$298), "", 'Data Entry'!$·$298)</f>
      </c>
      <c r="DP298">
        <f>IF(ISBLANK('Data Entry'!$¸$298), "", 'Data Entry'!$¸$298)</f>
      </c>
      <c r="DQ298">
        <f>IF(ISBLANK('Data Entry'!$¹$298), "", 'Data Entry'!$¹$298)</f>
      </c>
      <c r="DR298">
        <f>IF(ISBLANK('Data Entry'!$º$298), "", 'Data Entry'!$º$298)</f>
      </c>
      <c r="DS298">
        <f>IF(ISBLANK('Data Entry'!$»$298), "", 'Data Entry'!$»$298)</f>
      </c>
      <c r="DT298">
        <f>IF(ISBLANK('Data Entry'!$¼$298), "", 'Data Entry'!$¼$298)</f>
      </c>
      <c r="DU298">
        <f>IF(ISBLANK('Data Entry'!$½$298), "", 'Data Entry'!$½$298)</f>
      </c>
      <c r="DV298">
        <f>IF(ISBLANK('Data Entry'!$¾$298), "", 'Data Entry'!$¾$298)</f>
      </c>
      <c r="DW298">
        <f>IF(ISBLANK('Data Entry'!$¿$298), "", 'Data Entry'!$¿$298)</f>
      </c>
      <c r="DX298">
        <f>IF(ISBLANK('Data Entry'!$À$298), "", 'Data Entry'!$À$298)</f>
      </c>
      <c r="DY298">
        <f>IF(ISBLANK('Data Entry'!$Á$298), "", 'Data Entry'!$Á$298)</f>
      </c>
      <c r="DZ298">
        <f>IF(ISBLANK('Data Entry'!$Â$298), "", 'Data Entry'!$Â$298)</f>
      </c>
      <c r="EA298">
        <f>IF(ISBLANK('Data Entry'!$Ã$298), "", 'Data Entry'!$Ã$298)</f>
      </c>
      <c r="EB298">
        <f>IF(ISBLANK('Data Entry'!$Ä$298), "", 'Data Entry'!$Ä$298)</f>
      </c>
      <c r="EC298">
        <f>IF(ISBLANK('Data Entry'!$Å$298), "", 'Data Entry'!$Å$298)</f>
      </c>
      <c r="ED298">
        <f>IF(ISBLANK('Data Entry'!$Æ$298), "", 'Data Entry'!$Æ$298)</f>
      </c>
      <c r="EE298">
        <f>IF(ISBLANK('Data Entry'!$Ç$298), "", 'Data Entry'!$Ç$298)</f>
      </c>
      <c r="EF298">
        <f>IF(ISBLANK('Data Entry'!$È$298), "", 'Data Entry'!$È$298)</f>
      </c>
      <c r="EG298">
        <f>IF(ISBLANK('Data Entry'!$É$298), "", 'Data Entry'!$É$298)</f>
      </c>
      <c r="EH298">
        <f>IF(ISBLANK('Data Entry'!$Ê$298), "", 'Data Entry'!$Ê$298)</f>
      </c>
      <c r="EI298">
        <f>IF(ISBLANK('Data Entry'!$Ë$298), "", 'Data Entry'!$Ë$298)</f>
      </c>
      <c r="EJ298">
        <f>IF(ISBLANK('Data Entry'!$Ì$298), "", 'Data Entry'!$Ì$298)</f>
      </c>
      <c r="EK298">
        <f>IF(ISBLANK('Data Entry'!$Í$298), "", 'Data Entry'!$Í$298)</f>
      </c>
      <c r="EL298">
        <f>IF(ISBLANK('Data Entry'!$Î$298), "", 'Data Entry'!$Î$298)</f>
      </c>
      <c r="EM298">
        <f>IF(ISBLANK('Data Entry'!$Ï$298), "", 'Data Entry'!$Ï$298)</f>
      </c>
      <c r="EN298">
        <f>IF(ISBLANK('Data Entry'!$Ð$298), "", 'Data Entry'!$Ð$298)</f>
      </c>
      <c r="EO298">
        <f>IF(ISBLANK('Data Entry'!$Ñ$298), "", 'Data Entry'!$Ñ$298)</f>
      </c>
      <c r="EP298">
        <f>IF(ISBLANK('Data Entry'!$Ò$298), "", 'Data Entry'!$Ò$298)</f>
      </c>
      <c r="EQ298">
        <f>IF(ISBLANK('Data Entry'!$Ó$298), "", 'Data Entry'!$Ó$298)</f>
      </c>
      <c r="ER298">
        <f>IF(ISBLANK('Data Entry'!$Ô$298), "", 'Data Entry'!$Ô$298)</f>
      </c>
      <c r="ES298">
        <f>IF(ISBLANK('Data Entry'!$Õ$298), "", 'Data Entry'!$Õ$298)</f>
      </c>
      <c r="ET298">
        <f>IF(ISBLANK('Data Entry'!$Ö$298), "", 'Data Entry'!$Ö$298)</f>
      </c>
      <c r="EU298">
        <f>IF(ISBLANK('Data Entry'!$×$298), "", 'Data Entry'!$×$298)</f>
      </c>
      <c r="EV298">
        <f>IF(ISBLANK('Data Entry'!$Ø$298), "", 'Data Entry'!$Ø$298)</f>
      </c>
      <c r="EW298">
        <f>IF(ISBLANK('Data Entry'!$Ù$298), "", 'Data Entry'!$Ù$298)</f>
      </c>
      <c r="EX298">
        <f>IF(ISBLANK('Data Entry'!$Ú$298), "", 'Data Entry'!$Ú$298)</f>
      </c>
      <c r="EY298">
        <f>IF(ISBLANK('Data Entry'!$Û$298), "", 'Data Entry'!$Û$298)</f>
      </c>
      <c r="EZ298">
        <f>IF(ISBLANK('Data Entry'!$Ü$298), "", 'Data Entry'!$Ü$298)</f>
      </c>
      <c r="FA298">
        <f>IF(ISBLANK('Data Entry'!$Ý$298), "", 'Data Entry'!$Ý$298)</f>
      </c>
      <c r="FB298">
        <f>IF(ISBLANK('Data Entry'!$Þ$298), "", 'Data Entry'!$Þ$298)</f>
      </c>
      <c r="FC298">
        <f>IF(ISBLANK('Data Entry'!$ß$298), "", 'Data Entry'!$ß$298)</f>
      </c>
      <c r="FD298">
        <f>IF(ISBLANK('Data Entry'!$à$298), "", 'Data Entry'!$à$298)</f>
      </c>
      <c r="FE298">
        <f>IF(ISBLANK('Data Entry'!$á$298), "", 'Data Entry'!$á$298)</f>
      </c>
      <c r="FF298">
        <f>IF(ISBLANK('Data Entry'!$â$298), "", 'Data Entry'!$â$298)</f>
      </c>
      <c r="FG298">
        <f>IF(ISBLANK('Data Entry'!$ã$298), "", 'Data Entry'!$ã$298)</f>
      </c>
      <c r="FH298">
        <f>IF(ISBLANK('Data Entry'!$ä$298), "", 'Data Entry'!$ä$298)</f>
      </c>
      <c r="FI298">
        <f>IF(ISBLANK('Data Entry'!$å$298), "", 'Data Entry'!$å$298)</f>
      </c>
      <c r="FJ298">
        <f>IF(ISBLANK('Data Entry'!$æ$298), "", 'Data Entry'!$æ$298)</f>
      </c>
      <c r="FK298">
        <f>IF(ISBLANK('Data Entry'!$ç$298), "", 'Data Entry'!$ç$298)</f>
      </c>
      <c r="FL298">
        <f>IF(ISBLANK('Data Entry'!$è$298), "", 'Data Entry'!$è$298)</f>
      </c>
      <c r="FM298">
        <f>IF(ISBLANK('Data Entry'!$é$298), "", 'Data Entry'!$é$298)</f>
      </c>
      <c r="FN298">
        <f>IF(ISBLANK('Data Entry'!$ê$298), "", 'Data Entry'!$ê$298)</f>
      </c>
      <c r="FO298">
        <f>IF(ISBLANK('Data Entry'!$ë$298), "", 'Data Entry'!$ë$298)</f>
      </c>
      <c r="FP298">
        <f>IF(ISBLANK('Data Entry'!$ì$298), "", 'Data Entry'!$ì$298)</f>
      </c>
      <c r="FQ298">
        <f>IF(ISBLANK('Data Entry'!$í$298), "", 'Data Entry'!$í$298)</f>
      </c>
      <c r="FR298">
        <f>IF(ISBLANK('Data Entry'!$î$298), "", 'Data Entry'!$î$298)</f>
      </c>
      <c r="FS298">
        <f>IF(ISBLANK('Data Entry'!$ï$298), "", 'Data Entry'!$ï$298)</f>
      </c>
      <c r="FT298">
        <f>IF(ISBLANK('Data Entry'!$ð$298), "", 'Data Entry'!$ð$298)</f>
      </c>
      <c r="FU298">
        <f>IF(ISBLANK('Data Entry'!$ñ$298), "", 'Data Entry'!$ñ$298)</f>
      </c>
      <c r="FV298">
        <f>IF(ISBLANK('Data Entry'!$ò$298), "", 'Data Entry'!$ò$298)</f>
      </c>
      <c r="FW298">
        <f>IF(ISBLANK('Data Entry'!$ó$298), "", 'Data Entry'!$ó$298)</f>
      </c>
      <c r="FX298">
        <f>IF(ISBLANK('Data Entry'!$ô$298), "", 'Data Entry'!$ô$298)</f>
      </c>
      <c r="FY298">
        <f>IF(ISBLANK('Data Entry'!$õ$298), "", 'Data Entry'!$õ$298)</f>
      </c>
      <c r="FZ298">
        <f>IF(ISBLANK('Data Entry'!$ö$298), "", 'Data Entry'!$ö$298)</f>
      </c>
      <c r="GA298">
        <f>IF(ISBLANK('Data Entry'!$÷$298), "", 'Data Entry'!$÷$298)</f>
      </c>
      <c r="GB298">
        <f>IF(ISBLANK('Data Entry'!$ø$298), "", 'Data Entry'!$ø$298)</f>
      </c>
      <c r="GC298">
        <f>IF(ISBLANK('Data Entry'!$ù$298), "", 'Data Entry'!$ù$298)</f>
      </c>
      <c r="GD298">
        <f>IF(ISBLANK('Data Entry'!$ú$298), "", 'Data Entry'!$ú$298)</f>
      </c>
      <c r="GE298">
        <f>IF(ISBLANK('Data Entry'!$û$298), "", 'Data Entry'!$û$298)</f>
      </c>
      <c r="GF298">
        <f>IF(ISBLANK('Data Entry'!$ü$298), "", 'Data Entry'!$ü$298)</f>
      </c>
      <c r="GG298">
        <f>IF(ISBLANK('Data Entry'!$ý$298), "", 'Data Entry'!$ý$298)</f>
      </c>
      <c r="GH298">
        <f>IF(ISBLANK('Data Entry'!$þ$298), "", 'Data Entry'!$þ$298)</f>
      </c>
      <c r="GI298">
        <f>IF(ISBLANK('Data Entry'!$ÿ$298), "", 'Data Entry'!$ÿ$298)</f>
      </c>
      <c r="GJ298">
        <f>IF(ISBLANK('Data Entry'!$Ā$298), "", 'Data Entry'!$Ā$298)</f>
      </c>
      <c r="GK298">
        <f>IF(ISBLANK('Data Entry'!$ā$298), "", 'Data Entry'!$ā$298)</f>
      </c>
      <c r="GL298">
        <f>IF(ISBLANK('Data Entry'!$Ă$298), "", 'Data Entry'!$Ă$298)</f>
      </c>
      <c r="GM298">
        <f>IF(ISBLANK('Data Entry'!$ă$298), "", 'Data Entry'!$ă$298)</f>
      </c>
      <c r="GN298">
        <f>IF(ISBLANK('Data Entry'!$Ą$298), "", 'Data Entry'!$Ą$298)</f>
      </c>
      <c r="GO298">
        <f>IF(ISBLANK('Data Entry'!$ą$298), "", 'Data Entry'!$ą$298)</f>
      </c>
      <c r="GP298">
        <f>IF(ISBLANK('Data Entry'!$Ć$298), "", 'Data Entry'!$Ć$298)</f>
      </c>
      <c r="GQ298">
        <f>IF(ISBLANK('Data Entry'!$ć$298), "", 'Data Entry'!$ć$298)</f>
      </c>
      <c r="GR298">
        <f>IF(ISBLANK('Data Entry'!$Ĉ$298), "", 'Data Entry'!$Ĉ$298)</f>
      </c>
      <c r="GS298">
        <f>IF(ISBLANK('Data Entry'!$ĉ$298), "", 'Data Entry'!$ĉ$298)</f>
      </c>
      <c r="GT298">
        <f>IF(ISBLANK('Data Entry'!$Ċ$298), "", 'Data Entry'!$Ċ$298)</f>
      </c>
      <c r="GU298">
        <f>IF(ISBLANK('Data Entry'!$ċ$298), "", 'Data Entry'!$ċ$298)</f>
      </c>
      <c r="GV298">
        <f>IF(ISBLANK('Data Entry'!$Č$298), "", 'Data Entry'!$Č$298)</f>
      </c>
      <c r="GW298">
        <f>IF(ISBLANK('Data Entry'!$č$298), "", 'Data Entry'!$č$298)</f>
      </c>
      <c r="GX298">
        <f>IF(ISBLANK('Data Entry'!$Ď$298), "", 'Data Entry'!$Ď$298)</f>
      </c>
      <c r="GY298">
        <f>IF(ISBLANK('Data Entry'!$ď$298), "", 'Data Entry'!$ď$298)</f>
      </c>
      <c r="GZ298">
        <f>IF(ISBLANK('Data Entry'!$Đ$298), "", 'Data Entry'!$Đ$298)</f>
      </c>
      <c r="HA298">
        <f>IF(ISBLANK('Data Entry'!$đ$298), "", 'Data Entry'!$đ$298)</f>
      </c>
      <c r="HB298">
        <f>IF(ISBLANK('Data Entry'!$Ē$298), "", 'Data Entry'!$Ē$298)</f>
      </c>
      <c r="HC298">
        <f>IF(ISBLANK('Data Entry'!$ē$298), "", 'Data Entry'!$ē$298)</f>
      </c>
      <c r="HD298">
        <f>IF(ISBLANK('Data Entry'!$Ĕ$298), "", 'Data Entry'!$Ĕ$298)</f>
      </c>
      <c r="HE298">
        <f>IF(ISBLANK('Data Entry'!$ĕ$298), "", 'Data Entry'!$ĕ$298)</f>
      </c>
      <c r="HF298">
        <f>IF(ISBLANK('Data Entry'!$Ė$298), "", 'Data Entry'!$Ė$298)</f>
      </c>
      <c r="HG298">
        <f>IF(ISBLANK('Data Entry'!$ė$298), "", 'Data Entry'!$ė$298)</f>
      </c>
      <c r="HH298">
        <f>IF(ISBLANK('Data Entry'!$Ę$298), "", 'Data Entry'!$Ę$298)</f>
      </c>
      <c r="HI298">
        <f>IF(ISBLANK('Data Entry'!$ę$298), "", 'Data Entry'!$ę$298)</f>
      </c>
      <c r="HJ298">
        <f>IF(ISBLANK('Data Entry'!$Ě$298), "", 'Data Entry'!$Ě$298)</f>
      </c>
      <c r="HK298">
        <f>IF(ISBLANK('Data Entry'!$ě$298), "", 'Data Entry'!$ě$298)</f>
      </c>
      <c r="HL298">
        <f>IF(ISBLANK('Data Entry'!$Ĝ$298), "", 'Data Entry'!$Ĝ$298)</f>
      </c>
      <c r="HM298">
        <f>IF(ISBLANK('Data Entry'!$ĝ$298), "", 'Data Entry'!$ĝ$298)</f>
      </c>
      <c r="HN298">
        <f>IF(ISBLANK('Data Entry'!$Ğ$298), "", 'Data Entry'!$Ğ$298)</f>
      </c>
      <c r="HO298">
        <f>IF(ISBLANK('Data Entry'!$ğ$298), "", 'Data Entry'!$ğ$298)</f>
      </c>
      <c r="HP298">
        <f>IF(ISBLANK('Data Entry'!$Ġ$298), "", 'Data Entry'!$Ġ$298)</f>
      </c>
      <c r="HQ298">
        <f>IF(ISBLANK('Data Entry'!$ġ$298), "", 'Data Entry'!$ġ$298)</f>
      </c>
      <c r="HR298">
        <f>IF(ISBLANK('Data Entry'!$Ģ$298), "", 'Data Entry'!$Ģ$298)</f>
      </c>
      <c r="HS298">
        <f>IF(ISBLANK('Data Entry'!$ģ$298), "", 'Data Entry'!$ģ$298)</f>
      </c>
      <c r="HT298">
        <f>IF(ISBLANK('Data Entry'!$Ĥ$298), "", 'Data Entry'!$Ĥ$298)</f>
      </c>
      <c r="HU298">
        <f>IF(ISBLANK('Data Entry'!$ĥ$298), "", 'Data Entry'!$ĥ$298)</f>
      </c>
      <c r="HV298">
        <f>IF(ISBLANK('Data Entry'!$Ħ$298), "", 'Data Entry'!$Ħ$298)</f>
      </c>
      <c r="HW298">
        <f>IF(ISBLANK('Data Entry'!$ħ$298), "", 'Data Entry'!$ħ$298)</f>
      </c>
      <c r="HX298">
        <f>IF(ISBLANK('Data Entry'!$Ĩ$298), "", 'Data Entry'!$Ĩ$298)</f>
      </c>
      <c r="HY298">
        <f>IF(ISBLANK('Data Entry'!$ĩ$298), "", 'Data Entry'!$ĩ$298)</f>
      </c>
      <c r="HZ298">
        <f>IF(ISBLANK('Data Entry'!$Ī$298), "", 'Data Entry'!$Ī$298)</f>
      </c>
      <c r="IA298">
        <f>IF(ISBLANK('Data Entry'!$ī$298), "", 'Data Entry'!$ī$298)</f>
      </c>
      <c r="IB298">
        <f>IF(ISBLANK('Data Entry'!$Ĭ$298), "", 'Data Entry'!$Ĭ$298)</f>
      </c>
      <c r="IC298">
        <f>IF(ISBLANK('Data Entry'!$ĭ$298), "", 'Data Entry'!$ĭ$298)</f>
      </c>
      <c r="ID298">
        <f>IF(ISBLANK('Data Entry'!$Į$298), "", 'Data Entry'!$Į$298)</f>
      </c>
      <c r="IE298">
        <f>IF(ISBLANK('Data Entry'!$į$298), "", 'Data Entry'!$į$298)</f>
      </c>
      <c r="IF298">
        <f>IF(ISBLANK('Data Entry'!$İ$298), "", 'Data Entry'!$İ$298)</f>
      </c>
      <c r="IG298">
        <f>IF(ISBLANK('Data Entry'!$ı$298), "", 'Data Entry'!$ı$298)</f>
      </c>
      <c r="IH298">
        <f>IF(ISBLANK('Data Entry'!$Ĳ$298), "", 'Data Entry'!$Ĳ$298)</f>
      </c>
      <c r="II298">
        <f>IF(ISBLANK('Data Entry'!$ĳ$298), "", 'Data Entry'!$ĳ$298)</f>
      </c>
      <c r="IJ298">
        <f>IF(ISBLANK('Data Entry'!$Ĵ$298), "", 'Data Entry'!$Ĵ$298)</f>
      </c>
      <c r="IK298">
        <f>IF(ISBLANK('Data Entry'!$ĵ$298), "", 'Data Entry'!$ĵ$298)</f>
      </c>
      <c r="IL298">
        <f>IF(ISBLANK('Data Entry'!$Ķ$298), "", 'Data Entry'!$Ķ$298)</f>
      </c>
      <c r="IM298">
        <f>IF(ISBLANK('Data Entry'!$ķ$298), "", 'Data Entry'!$ķ$298)</f>
      </c>
      <c r="IN298">
        <f>IF(ISBLANK('Data Entry'!$ĸ$298), "", 'Data Entry'!$ĸ$298)</f>
      </c>
      <c r="IO298">
        <f>IF(ISBLANK('Data Entry'!$Ĺ$298), "", 'Data Entry'!$Ĺ$298)</f>
      </c>
      <c r="IP298">
        <f>IF(ISBLANK('Data Entry'!$ĺ$298), "", 'Data Entry'!$ĺ$298)</f>
      </c>
      <c r="IQ298">
        <f>IF(ISBLANK('Data Entry'!$Ļ$298), "", 'Data Entry'!$Ļ$298)</f>
      </c>
      <c r="IR298">
        <f>IF(ISBLANK('Data Entry'!$ļ$298), "", 'Data Entry'!$ļ$298)</f>
      </c>
      <c r="IS298">
        <f>IF(ISBLANK('Data Entry'!$Ľ$298), "", 'Data Entry'!$Ľ$298)</f>
      </c>
      <c r="IT298">
        <f>IF(ISBLANK('Data Entry'!$ľ$298), "", 'Data Entry'!$ľ$298)</f>
      </c>
    </row>
    <row r="299" spans="1:254" x14ac:dyDescent="0.25">
      <c r="A299">
        <f>IF(ISBLANK('Data Entry'!$A$299), "", 'Data Entry'!$A$299)</f>
      </c>
      <c r="B299">
        <f>IF(ISBLANK('Data Entry'!$B$299), "", 'Data Entry'!$B$299)</f>
      </c>
      <c r="C299">
        <f>IF(ISBLANK('Data Entry'!$C$299), "", 'Data Entry'!$C$299)</f>
      </c>
      <c r="D299">
        <f>IF(ISBLANK('Data Entry'!$D$299), "", 'Data Entry'!$D$299)</f>
      </c>
      <c r="E299">
        <f>IF(ISBLANK('Data Entry'!$E$299), "", 'Data Entry'!$E$299)</f>
      </c>
      <c r="F299">
        <f>IF(ISBLANK('Data Entry'!$F$299), "", 'Data Entry'!$F$299)</f>
      </c>
      <c r="G299">
        <f>IF(ISBLANK('Data Entry'!$G$299), "", 'Data Entry'!$G$299)</f>
      </c>
      <c r="H299">
        <f>IF(ISBLANK('Data Entry'!$H$299), "", 'Data Entry'!$H$299)</f>
      </c>
      <c r="I299">
        <f>IF(ISBLANK('Data Entry'!$I$299), "", 'Data Entry'!$I$299)</f>
      </c>
      <c r="J299">
        <f>IF(ISBLANK('Data Entry'!$J$299), "", 'Data Entry'!$J$299)</f>
      </c>
      <c r="K299">
        <f>IF(ISBLANK('Data Entry'!$K$299), "", 'Data Entry'!$K$299)</f>
      </c>
      <c r="L299">
        <f>IF(ISBLANK('Data Entry'!$L$299), "", 'Data Entry'!$L$299)</f>
      </c>
      <c r="M299">
        <f>IF(ISBLANK('Data Entry'!$M$299), "", 'Data Entry'!$M$299)</f>
      </c>
      <c r="N299">
        <f>IF(ISBLANK('Data Entry'!$N$299), "", 'Data Entry'!$N$299)</f>
      </c>
      <c r="O299">
        <f>IF(ISBLANK('Data Entry'!$O$299), "", 'Data Entry'!$O$299)</f>
      </c>
      <c r="P299">
        <f>IF(ISBLANK('Data Entry'!$P$299), "", 'Data Entry'!$P$299)</f>
      </c>
      <c r="Q299">
        <f>IF(ISBLANK('Data Entry'!$Q$299), "", 'Data Entry'!$Q$299)</f>
      </c>
      <c r="R299">
        <f>IF(ISBLANK('Data Entry'!$R$299), "", 'Data Entry'!$R$299)</f>
      </c>
      <c r="S299">
        <f>IF(ISBLANK('Data Entry'!$S$299), "", 'Data Entry'!$S$299)</f>
      </c>
      <c r="T299">
        <f>IF(ISBLANK('Data Entry'!$T$299), "", 'Data Entry'!$T$299)</f>
      </c>
      <c r="U299">
        <f>IF(ISBLANK('Data Entry'!$U$299), "", 'Data Entry'!$U$299)</f>
      </c>
      <c r="V299">
        <f>IF(ISBLANK('Data Entry'!$V$299), "", 'Data Entry'!$V$299)</f>
      </c>
      <c r="W299">
        <f>IF(ISBLANK('Data Entry'!$W$299), "", 'Data Entry'!$W$299)</f>
      </c>
      <c r="X299">
        <f>IF(ISBLANK('Data Entry'!$X$299), "", 'Data Entry'!$X$299)</f>
      </c>
      <c r="Y299">
        <f>IF(ISBLANK('Data Entry'!$Y$299), "", 'Data Entry'!$Y$299)</f>
      </c>
      <c r="Z299">
        <f>IF(ISBLANK('Data Entry'!$Z$299), "", 'Data Entry'!$Z$299)</f>
      </c>
      <c r="AA299">
        <f>IF(ISBLANK('Data Entry'!$[$299), "", 'Data Entry'!$[$299)</f>
      </c>
      <c r="AB299">
        <f>IF(ISBLANK('Data Entry'!$\$299), "", 'Data Entry'!$\$299)</f>
      </c>
      <c r="AC299">
        <f>IF(ISBLANK('Data Entry'!$]$299), "", 'Data Entry'!$]$299)</f>
      </c>
      <c r="AD299">
        <f>IF(ISBLANK('Data Entry'!$^$299), "", 'Data Entry'!$^$299)</f>
      </c>
      <c r="AE299">
        <f>IF(ISBLANK('Data Entry'!$_$299), "", 'Data Entry'!$_$299)</f>
      </c>
      <c r="AF299">
        <f>IF(ISBLANK('Data Entry'!$`$299), "", 'Data Entry'!$`$299)</f>
      </c>
      <c r="AG299">
        <f>IF(ISBLANK('Data Entry'!$a$299), "", 'Data Entry'!$a$299)</f>
      </c>
      <c r="AH299">
        <f>IF(ISBLANK('Data Entry'!$b$299), "", 'Data Entry'!$b$299)</f>
      </c>
      <c r="AI299">
        <f>IF(ISBLANK('Data Entry'!$c$299), "", 'Data Entry'!$c$299)</f>
      </c>
      <c r="AJ299">
        <f>IF(ISBLANK('Data Entry'!$d$299), "", 'Data Entry'!$d$299)</f>
      </c>
      <c r="AK299">
        <f>IF(ISBLANK('Data Entry'!$e$299), "", 'Data Entry'!$e$299)</f>
      </c>
      <c r="AL299">
        <f>IF(ISBLANK('Data Entry'!$f$299), "", 'Data Entry'!$f$299)</f>
      </c>
      <c r="AM299">
        <f>IF(ISBLANK('Data Entry'!$g$299), "", 'Data Entry'!$g$299)</f>
      </c>
      <c r="AN299">
        <f>IF(ISBLANK('Data Entry'!$h$299), "", 'Data Entry'!$h$299)</f>
      </c>
      <c r="AO299">
        <f>IF(ISBLANK('Data Entry'!$i$299), "", 'Data Entry'!$i$299)</f>
      </c>
      <c r="AP299">
        <f>IF(ISBLANK('Data Entry'!$j$299), "", 'Data Entry'!$j$299)</f>
      </c>
      <c r="AQ299">
        <f>IF(ISBLANK('Data Entry'!$k$299), "", 'Data Entry'!$k$299)</f>
      </c>
      <c r="AR299">
        <f>IF(ISBLANK('Data Entry'!$l$299), "", 'Data Entry'!$l$299)</f>
      </c>
      <c r="AS299">
        <f>IF(ISBLANK('Data Entry'!$m$299), "", 'Data Entry'!$m$299)</f>
      </c>
      <c r="AT299">
        <f>IF(ISBLANK('Data Entry'!$n$299), "", 'Data Entry'!$n$299)</f>
      </c>
      <c r="AU299">
        <f>IF(ISBLANK('Data Entry'!$o$299), "", 'Data Entry'!$o$299)</f>
      </c>
      <c r="AV299">
        <f>IF(ISBLANK('Data Entry'!$p$299), "", 'Data Entry'!$p$299)</f>
      </c>
      <c r="AW299">
        <f>IF(ISBLANK('Data Entry'!$q$299), "", 'Data Entry'!$q$299)</f>
      </c>
      <c r="AX299">
        <f>IF(ISBLANK('Data Entry'!$r$299), "", 'Data Entry'!$r$299)</f>
      </c>
      <c r="AY299">
        <f>IF(ISBLANK('Data Entry'!$s$299), "", 'Data Entry'!$s$299)</f>
      </c>
      <c r="AZ299">
        <f>IF(ISBLANK('Data Entry'!$t$299), "", 'Data Entry'!$t$299)</f>
      </c>
      <c r="BA299">
        <f>IF(ISBLANK('Data Entry'!$u$299), "", 'Data Entry'!$u$299)</f>
      </c>
      <c r="BB299">
        <f>IF(ISBLANK('Data Entry'!$v$299), "", 'Data Entry'!$v$299)</f>
      </c>
      <c r="BC299">
        <f>IF(ISBLANK('Data Entry'!$w$299), "", 'Data Entry'!$w$299)</f>
      </c>
      <c r="BD299">
        <f>IF(ISBLANK('Data Entry'!$x$299), "", 'Data Entry'!$x$299)</f>
      </c>
      <c r="BE299">
        <f>IF(ISBLANK('Data Entry'!$y$299), "", 'Data Entry'!$y$299)</f>
      </c>
      <c r="BF299">
        <f>IF(ISBLANK('Data Entry'!$z$299), "", 'Data Entry'!$z$299)</f>
      </c>
      <c r="BG299">
        <f>IF(ISBLANK('Data Entry'!${$299), "", 'Data Entry'!${$299)</f>
      </c>
      <c r="BH299">
        <f>IF(ISBLANK('Data Entry'!$|$299), "", 'Data Entry'!$|$299)</f>
      </c>
      <c r="BI299">
        <f>IF(ISBLANK('Data Entry'!$}$299), "", 'Data Entry'!$}$299)</f>
      </c>
      <c r="BJ299">
        <f>IF(ISBLANK('Data Entry'!$~$299), "", 'Data Entry'!$~$299)</f>
      </c>
      <c r="BK299">
        <f>IF(ISBLANK('Data Entry'!$$299), "", 'Data Entry'!$$299)</f>
      </c>
      <c r="BL299">
        <f>IF(ISBLANK('Data Entry'!$$299), "", 'Data Entry'!$$299)</f>
      </c>
      <c r="BM299">
        <f>IF(ISBLANK('Data Entry'!$$299), "", 'Data Entry'!$$299)</f>
      </c>
      <c r="BN299">
        <f>IF(ISBLANK('Data Entry'!$$299), "", 'Data Entry'!$$299)</f>
      </c>
      <c r="BO299">
        <f>IF(ISBLANK('Data Entry'!$$299), "", 'Data Entry'!$$299)</f>
      </c>
      <c r="BP299">
        <f>IF(ISBLANK('Data Entry'!$$299), "", 'Data Entry'!$$299)</f>
      </c>
      <c r="BQ299">
        <f>IF(ISBLANK('Data Entry'!$$299), "", 'Data Entry'!$$299)</f>
      </c>
      <c r="BR299">
        <f>IF(ISBLANK('Data Entry'!$$299), "", 'Data Entry'!$$299)</f>
      </c>
      <c r="BS299">
        <f>IF(ISBLANK('Data Entry'!$$299), "", 'Data Entry'!$$299)</f>
      </c>
      <c r="BT299">
        <f>IF(ISBLANK('Data Entry'!$$299), "", 'Data Entry'!$$299)</f>
      </c>
      <c r="BU299">
        <f>IF(ISBLANK('Data Entry'!$$299), "", 'Data Entry'!$$299)</f>
      </c>
      <c r="BV299">
        <f>IF(ISBLANK('Data Entry'!$$299), "", 'Data Entry'!$$299)</f>
      </c>
      <c r="BW299">
        <f>IF(ISBLANK('Data Entry'!$$299), "", 'Data Entry'!$$299)</f>
      </c>
      <c r="BX299">
        <f>IF(ISBLANK('Data Entry'!$$299), "", 'Data Entry'!$$299)</f>
      </c>
      <c r="BY299">
        <f>IF(ISBLANK('Data Entry'!$$299), "", 'Data Entry'!$$299)</f>
      </c>
      <c r="BZ299">
        <f>IF(ISBLANK('Data Entry'!$$299), "", 'Data Entry'!$$299)</f>
      </c>
      <c r="CA299">
        <f>IF(ISBLANK('Data Entry'!$$299), "", 'Data Entry'!$$299)</f>
      </c>
      <c r="CB299">
        <f>IF(ISBLANK('Data Entry'!$$299), "", 'Data Entry'!$$299)</f>
      </c>
      <c r="CC299">
        <f>IF(ISBLANK('Data Entry'!$$299), "", 'Data Entry'!$$299)</f>
      </c>
      <c r="CD299">
        <f>IF(ISBLANK('Data Entry'!$$299), "", 'Data Entry'!$$299)</f>
      </c>
      <c r="CE299">
        <f>IF(ISBLANK('Data Entry'!$$299), "", 'Data Entry'!$$299)</f>
      </c>
      <c r="CF299">
        <f>IF(ISBLANK('Data Entry'!$$299), "", 'Data Entry'!$$299)</f>
      </c>
      <c r="CG299">
        <f>IF(ISBLANK('Data Entry'!$$299), "", 'Data Entry'!$$299)</f>
      </c>
      <c r="CH299">
        <f>IF(ISBLANK('Data Entry'!$$299), "", 'Data Entry'!$$299)</f>
      </c>
      <c r="CI299">
        <f>IF(ISBLANK('Data Entry'!$$299), "", 'Data Entry'!$$299)</f>
      </c>
      <c r="CJ299">
        <f>IF(ISBLANK('Data Entry'!$$299), "", 'Data Entry'!$$299)</f>
      </c>
      <c r="CK299">
        <f>IF(ISBLANK('Data Entry'!$$299), "", 'Data Entry'!$$299)</f>
      </c>
      <c r="CL299">
        <f>IF(ISBLANK('Data Entry'!$$299), "", 'Data Entry'!$$299)</f>
      </c>
      <c r="CM299">
        <f>IF(ISBLANK('Data Entry'!$$299), "", 'Data Entry'!$$299)</f>
      </c>
      <c r="CN299">
        <f>IF(ISBLANK('Data Entry'!$$299), "", 'Data Entry'!$$299)</f>
      </c>
      <c r="CO299">
        <f>IF(ISBLANK('Data Entry'!$$299), "", 'Data Entry'!$$299)</f>
      </c>
      <c r="CP299">
        <f>IF(ISBLANK('Data Entry'!$$299), "", 'Data Entry'!$$299)</f>
      </c>
      <c r="CQ299">
        <f>IF(ISBLANK('Data Entry'!$$299), "", 'Data Entry'!$$299)</f>
      </c>
      <c r="CR299">
        <f>IF(ISBLANK('Data Entry'!$ $299), "", 'Data Entry'!$ $299)</f>
      </c>
      <c r="CS299">
        <f>IF(ISBLANK('Data Entry'!$¡$299), "", 'Data Entry'!$¡$299)</f>
      </c>
      <c r="CT299">
        <f>IF(ISBLANK('Data Entry'!$¢$299), "", 'Data Entry'!$¢$299)</f>
      </c>
      <c r="CU299">
        <f>IF(ISBLANK('Data Entry'!$£$299), "", 'Data Entry'!$£$299)</f>
      </c>
      <c r="CV299">
        <f>IF(ISBLANK('Data Entry'!$¤$299), "", 'Data Entry'!$¤$299)</f>
      </c>
      <c r="CW299">
        <f>IF(ISBLANK('Data Entry'!$¥$299), "", 'Data Entry'!$¥$299)</f>
      </c>
      <c r="CX299">
        <f>IF(ISBLANK('Data Entry'!$¦$299), "", 'Data Entry'!$¦$299)</f>
      </c>
      <c r="CY299">
        <f>IF(ISBLANK('Data Entry'!$§$299), "", 'Data Entry'!$§$299)</f>
      </c>
      <c r="CZ299">
        <f>IF(ISBLANK('Data Entry'!$¨$299), "", 'Data Entry'!$¨$299)</f>
      </c>
      <c r="DA299">
        <f>IF(ISBLANK('Data Entry'!$©$299), "", 'Data Entry'!$©$299)</f>
      </c>
      <c r="DB299">
        <f>IF(ISBLANK('Data Entry'!$ª$299), "", 'Data Entry'!$ª$299)</f>
      </c>
      <c r="DC299">
        <f>IF(ISBLANK('Data Entry'!$«$299), "", 'Data Entry'!$«$299)</f>
      </c>
      <c r="DD299">
        <f>IF(ISBLANK('Data Entry'!$¬$299), "", 'Data Entry'!$¬$299)</f>
      </c>
      <c r="DE299">
        <f>IF(ISBLANK('Data Entry'!$­$299), "", 'Data Entry'!$­$299)</f>
      </c>
      <c r="DF299">
        <f>IF(ISBLANK('Data Entry'!$®$299), "", 'Data Entry'!$®$299)</f>
      </c>
      <c r="DG299">
        <f>IF(ISBLANK('Data Entry'!$¯$299), "", 'Data Entry'!$¯$299)</f>
      </c>
      <c r="DH299">
        <f>IF(ISBLANK('Data Entry'!$°$299), "", 'Data Entry'!$°$299)</f>
      </c>
      <c r="DI299">
        <f>IF(ISBLANK('Data Entry'!$±$299), "", 'Data Entry'!$±$299)</f>
      </c>
      <c r="DJ299">
        <f>IF(ISBLANK('Data Entry'!$²$299), "", 'Data Entry'!$²$299)</f>
      </c>
      <c r="DK299">
        <f>IF(ISBLANK('Data Entry'!$³$299), "", 'Data Entry'!$³$299)</f>
      </c>
      <c r="DL299">
        <f>IF(ISBLANK('Data Entry'!$´$299), "", 'Data Entry'!$´$299)</f>
      </c>
      <c r="DM299">
        <f>IF(ISBLANK('Data Entry'!$µ$299), "", 'Data Entry'!$µ$299)</f>
      </c>
      <c r="DN299">
        <f>IF(ISBLANK('Data Entry'!$¶$299), "", 'Data Entry'!$¶$299)</f>
      </c>
      <c r="DO299">
        <f>IF(ISBLANK('Data Entry'!$·$299), "", 'Data Entry'!$·$299)</f>
      </c>
      <c r="DP299">
        <f>IF(ISBLANK('Data Entry'!$¸$299), "", 'Data Entry'!$¸$299)</f>
      </c>
      <c r="DQ299">
        <f>IF(ISBLANK('Data Entry'!$¹$299), "", 'Data Entry'!$¹$299)</f>
      </c>
      <c r="DR299">
        <f>IF(ISBLANK('Data Entry'!$º$299), "", 'Data Entry'!$º$299)</f>
      </c>
      <c r="DS299">
        <f>IF(ISBLANK('Data Entry'!$»$299), "", 'Data Entry'!$»$299)</f>
      </c>
      <c r="DT299">
        <f>IF(ISBLANK('Data Entry'!$¼$299), "", 'Data Entry'!$¼$299)</f>
      </c>
      <c r="DU299">
        <f>IF(ISBLANK('Data Entry'!$½$299), "", 'Data Entry'!$½$299)</f>
      </c>
      <c r="DV299">
        <f>IF(ISBLANK('Data Entry'!$¾$299), "", 'Data Entry'!$¾$299)</f>
      </c>
      <c r="DW299">
        <f>IF(ISBLANK('Data Entry'!$¿$299), "", 'Data Entry'!$¿$299)</f>
      </c>
      <c r="DX299">
        <f>IF(ISBLANK('Data Entry'!$À$299), "", 'Data Entry'!$À$299)</f>
      </c>
      <c r="DY299">
        <f>IF(ISBLANK('Data Entry'!$Á$299), "", 'Data Entry'!$Á$299)</f>
      </c>
      <c r="DZ299">
        <f>IF(ISBLANK('Data Entry'!$Â$299), "", 'Data Entry'!$Â$299)</f>
      </c>
      <c r="EA299">
        <f>IF(ISBLANK('Data Entry'!$Ã$299), "", 'Data Entry'!$Ã$299)</f>
      </c>
      <c r="EB299">
        <f>IF(ISBLANK('Data Entry'!$Ä$299), "", 'Data Entry'!$Ä$299)</f>
      </c>
      <c r="EC299">
        <f>IF(ISBLANK('Data Entry'!$Å$299), "", 'Data Entry'!$Å$299)</f>
      </c>
      <c r="ED299">
        <f>IF(ISBLANK('Data Entry'!$Æ$299), "", 'Data Entry'!$Æ$299)</f>
      </c>
      <c r="EE299">
        <f>IF(ISBLANK('Data Entry'!$Ç$299), "", 'Data Entry'!$Ç$299)</f>
      </c>
      <c r="EF299">
        <f>IF(ISBLANK('Data Entry'!$È$299), "", 'Data Entry'!$È$299)</f>
      </c>
      <c r="EG299">
        <f>IF(ISBLANK('Data Entry'!$É$299), "", 'Data Entry'!$É$299)</f>
      </c>
      <c r="EH299">
        <f>IF(ISBLANK('Data Entry'!$Ê$299), "", 'Data Entry'!$Ê$299)</f>
      </c>
      <c r="EI299">
        <f>IF(ISBLANK('Data Entry'!$Ë$299), "", 'Data Entry'!$Ë$299)</f>
      </c>
      <c r="EJ299">
        <f>IF(ISBLANK('Data Entry'!$Ì$299), "", 'Data Entry'!$Ì$299)</f>
      </c>
      <c r="EK299">
        <f>IF(ISBLANK('Data Entry'!$Í$299), "", 'Data Entry'!$Í$299)</f>
      </c>
      <c r="EL299">
        <f>IF(ISBLANK('Data Entry'!$Î$299), "", 'Data Entry'!$Î$299)</f>
      </c>
      <c r="EM299">
        <f>IF(ISBLANK('Data Entry'!$Ï$299), "", 'Data Entry'!$Ï$299)</f>
      </c>
      <c r="EN299">
        <f>IF(ISBLANK('Data Entry'!$Ð$299), "", 'Data Entry'!$Ð$299)</f>
      </c>
      <c r="EO299">
        <f>IF(ISBLANK('Data Entry'!$Ñ$299), "", 'Data Entry'!$Ñ$299)</f>
      </c>
      <c r="EP299">
        <f>IF(ISBLANK('Data Entry'!$Ò$299), "", 'Data Entry'!$Ò$299)</f>
      </c>
      <c r="EQ299">
        <f>IF(ISBLANK('Data Entry'!$Ó$299), "", 'Data Entry'!$Ó$299)</f>
      </c>
      <c r="ER299">
        <f>IF(ISBLANK('Data Entry'!$Ô$299), "", 'Data Entry'!$Ô$299)</f>
      </c>
      <c r="ES299">
        <f>IF(ISBLANK('Data Entry'!$Õ$299), "", 'Data Entry'!$Õ$299)</f>
      </c>
      <c r="ET299">
        <f>IF(ISBLANK('Data Entry'!$Ö$299), "", 'Data Entry'!$Ö$299)</f>
      </c>
      <c r="EU299">
        <f>IF(ISBLANK('Data Entry'!$×$299), "", 'Data Entry'!$×$299)</f>
      </c>
      <c r="EV299">
        <f>IF(ISBLANK('Data Entry'!$Ø$299), "", 'Data Entry'!$Ø$299)</f>
      </c>
      <c r="EW299">
        <f>IF(ISBLANK('Data Entry'!$Ù$299), "", 'Data Entry'!$Ù$299)</f>
      </c>
      <c r="EX299">
        <f>IF(ISBLANK('Data Entry'!$Ú$299), "", 'Data Entry'!$Ú$299)</f>
      </c>
      <c r="EY299">
        <f>IF(ISBLANK('Data Entry'!$Û$299), "", 'Data Entry'!$Û$299)</f>
      </c>
      <c r="EZ299">
        <f>IF(ISBLANK('Data Entry'!$Ü$299), "", 'Data Entry'!$Ü$299)</f>
      </c>
      <c r="FA299">
        <f>IF(ISBLANK('Data Entry'!$Ý$299), "", 'Data Entry'!$Ý$299)</f>
      </c>
      <c r="FB299">
        <f>IF(ISBLANK('Data Entry'!$Þ$299), "", 'Data Entry'!$Þ$299)</f>
      </c>
      <c r="FC299">
        <f>IF(ISBLANK('Data Entry'!$ß$299), "", 'Data Entry'!$ß$299)</f>
      </c>
      <c r="FD299">
        <f>IF(ISBLANK('Data Entry'!$à$299), "", 'Data Entry'!$à$299)</f>
      </c>
      <c r="FE299">
        <f>IF(ISBLANK('Data Entry'!$á$299), "", 'Data Entry'!$á$299)</f>
      </c>
      <c r="FF299">
        <f>IF(ISBLANK('Data Entry'!$â$299), "", 'Data Entry'!$â$299)</f>
      </c>
      <c r="FG299">
        <f>IF(ISBLANK('Data Entry'!$ã$299), "", 'Data Entry'!$ã$299)</f>
      </c>
      <c r="FH299">
        <f>IF(ISBLANK('Data Entry'!$ä$299), "", 'Data Entry'!$ä$299)</f>
      </c>
      <c r="FI299">
        <f>IF(ISBLANK('Data Entry'!$å$299), "", 'Data Entry'!$å$299)</f>
      </c>
      <c r="FJ299">
        <f>IF(ISBLANK('Data Entry'!$æ$299), "", 'Data Entry'!$æ$299)</f>
      </c>
      <c r="FK299">
        <f>IF(ISBLANK('Data Entry'!$ç$299), "", 'Data Entry'!$ç$299)</f>
      </c>
      <c r="FL299">
        <f>IF(ISBLANK('Data Entry'!$è$299), "", 'Data Entry'!$è$299)</f>
      </c>
      <c r="FM299">
        <f>IF(ISBLANK('Data Entry'!$é$299), "", 'Data Entry'!$é$299)</f>
      </c>
      <c r="FN299">
        <f>IF(ISBLANK('Data Entry'!$ê$299), "", 'Data Entry'!$ê$299)</f>
      </c>
      <c r="FO299">
        <f>IF(ISBLANK('Data Entry'!$ë$299), "", 'Data Entry'!$ë$299)</f>
      </c>
      <c r="FP299">
        <f>IF(ISBLANK('Data Entry'!$ì$299), "", 'Data Entry'!$ì$299)</f>
      </c>
      <c r="FQ299">
        <f>IF(ISBLANK('Data Entry'!$í$299), "", 'Data Entry'!$í$299)</f>
      </c>
      <c r="FR299">
        <f>IF(ISBLANK('Data Entry'!$î$299), "", 'Data Entry'!$î$299)</f>
      </c>
      <c r="FS299">
        <f>IF(ISBLANK('Data Entry'!$ï$299), "", 'Data Entry'!$ï$299)</f>
      </c>
      <c r="FT299">
        <f>IF(ISBLANK('Data Entry'!$ð$299), "", 'Data Entry'!$ð$299)</f>
      </c>
      <c r="FU299">
        <f>IF(ISBLANK('Data Entry'!$ñ$299), "", 'Data Entry'!$ñ$299)</f>
      </c>
      <c r="FV299">
        <f>IF(ISBLANK('Data Entry'!$ò$299), "", 'Data Entry'!$ò$299)</f>
      </c>
      <c r="FW299">
        <f>IF(ISBLANK('Data Entry'!$ó$299), "", 'Data Entry'!$ó$299)</f>
      </c>
      <c r="FX299">
        <f>IF(ISBLANK('Data Entry'!$ô$299), "", 'Data Entry'!$ô$299)</f>
      </c>
      <c r="FY299">
        <f>IF(ISBLANK('Data Entry'!$õ$299), "", 'Data Entry'!$õ$299)</f>
      </c>
      <c r="FZ299">
        <f>IF(ISBLANK('Data Entry'!$ö$299), "", 'Data Entry'!$ö$299)</f>
      </c>
      <c r="GA299">
        <f>IF(ISBLANK('Data Entry'!$÷$299), "", 'Data Entry'!$÷$299)</f>
      </c>
      <c r="GB299">
        <f>IF(ISBLANK('Data Entry'!$ø$299), "", 'Data Entry'!$ø$299)</f>
      </c>
      <c r="GC299">
        <f>IF(ISBLANK('Data Entry'!$ù$299), "", 'Data Entry'!$ù$299)</f>
      </c>
      <c r="GD299">
        <f>IF(ISBLANK('Data Entry'!$ú$299), "", 'Data Entry'!$ú$299)</f>
      </c>
      <c r="GE299">
        <f>IF(ISBLANK('Data Entry'!$û$299), "", 'Data Entry'!$û$299)</f>
      </c>
      <c r="GF299">
        <f>IF(ISBLANK('Data Entry'!$ü$299), "", 'Data Entry'!$ü$299)</f>
      </c>
      <c r="GG299">
        <f>IF(ISBLANK('Data Entry'!$ý$299), "", 'Data Entry'!$ý$299)</f>
      </c>
      <c r="GH299">
        <f>IF(ISBLANK('Data Entry'!$þ$299), "", 'Data Entry'!$þ$299)</f>
      </c>
      <c r="GI299">
        <f>IF(ISBLANK('Data Entry'!$ÿ$299), "", 'Data Entry'!$ÿ$299)</f>
      </c>
      <c r="GJ299">
        <f>IF(ISBLANK('Data Entry'!$Ā$299), "", 'Data Entry'!$Ā$299)</f>
      </c>
      <c r="GK299">
        <f>IF(ISBLANK('Data Entry'!$ā$299), "", 'Data Entry'!$ā$299)</f>
      </c>
      <c r="GL299">
        <f>IF(ISBLANK('Data Entry'!$Ă$299), "", 'Data Entry'!$Ă$299)</f>
      </c>
      <c r="GM299">
        <f>IF(ISBLANK('Data Entry'!$ă$299), "", 'Data Entry'!$ă$299)</f>
      </c>
      <c r="GN299">
        <f>IF(ISBLANK('Data Entry'!$Ą$299), "", 'Data Entry'!$Ą$299)</f>
      </c>
      <c r="GO299">
        <f>IF(ISBLANK('Data Entry'!$ą$299), "", 'Data Entry'!$ą$299)</f>
      </c>
      <c r="GP299">
        <f>IF(ISBLANK('Data Entry'!$Ć$299), "", 'Data Entry'!$Ć$299)</f>
      </c>
      <c r="GQ299">
        <f>IF(ISBLANK('Data Entry'!$ć$299), "", 'Data Entry'!$ć$299)</f>
      </c>
      <c r="GR299">
        <f>IF(ISBLANK('Data Entry'!$Ĉ$299), "", 'Data Entry'!$Ĉ$299)</f>
      </c>
      <c r="GS299">
        <f>IF(ISBLANK('Data Entry'!$ĉ$299), "", 'Data Entry'!$ĉ$299)</f>
      </c>
      <c r="GT299">
        <f>IF(ISBLANK('Data Entry'!$Ċ$299), "", 'Data Entry'!$Ċ$299)</f>
      </c>
      <c r="GU299">
        <f>IF(ISBLANK('Data Entry'!$ċ$299), "", 'Data Entry'!$ċ$299)</f>
      </c>
      <c r="GV299">
        <f>IF(ISBLANK('Data Entry'!$Č$299), "", 'Data Entry'!$Č$299)</f>
      </c>
      <c r="GW299">
        <f>IF(ISBLANK('Data Entry'!$č$299), "", 'Data Entry'!$č$299)</f>
      </c>
      <c r="GX299">
        <f>IF(ISBLANK('Data Entry'!$Ď$299), "", 'Data Entry'!$Ď$299)</f>
      </c>
      <c r="GY299">
        <f>IF(ISBLANK('Data Entry'!$ď$299), "", 'Data Entry'!$ď$299)</f>
      </c>
      <c r="GZ299">
        <f>IF(ISBLANK('Data Entry'!$Đ$299), "", 'Data Entry'!$Đ$299)</f>
      </c>
      <c r="HA299">
        <f>IF(ISBLANK('Data Entry'!$đ$299), "", 'Data Entry'!$đ$299)</f>
      </c>
      <c r="HB299">
        <f>IF(ISBLANK('Data Entry'!$Ē$299), "", 'Data Entry'!$Ē$299)</f>
      </c>
      <c r="HC299">
        <f>IF(ISBLANK('Data Entry'!$ē$299), "", 'Data Entry'!$ē$299)</f>
      </c>
      <c r="HD299">
        <f>IF(ISBLANK('Data Entry'!$Ĕ$299), "", 'Data Entry'!$Ĕ$299)</f>
      </c>
      <c r="HE299">
        <f>IF(ISBLANK('Data Entry'!$ĕ$299), "", 'Data Entry'!$ĕ$299)</f>
      </c>
      <c r="HF299">
        <f>IF(ISBLANK('Data Entry'!$Ė$299), "", 'Data Entry'!$Ė$299)</f>
      </c>
      <c r="HG299">
        <f>IF(ISBLANK('Data Entry'!$ė$299), "", 'Data Entry'!$ė$299)</f>
      </c>
      <c r="HH299">
        <f>IF(ISBLANK('Data Entry'!$Ę$299), "", 'Data Entry'!$Ę$299)</f>
      </c>
      <c r="HI299">
        <f>IF(ISBLANK('Data Entry'!$ę$299), "", 'Data Entry'!$ę$299)</f>
      </c>
      <c r="HJ299">
        <f>IF(ISBLANK('Data Entry'!$Ě$299), "", 'Data Entry'!$Ě$299)</f>
      </c>
      <c r="HK299">
        <f>IF(ISBLANK('Data Entry'!$ě$299), "", 'Data Entry'!$ě$299)</f>
      </c>
      <c r="HL299">
        <f>IF(ISBLANK('Data Entry'!$Ĝ$299), "", 'Data Entry'!$Ĝ$299)</f>
      </c>
      <c r="HM299">
        <f>IF(ISBLANK('Data Entry'!$ĝ$299), "", 'Data Entry'!$ĝ$299)</f>
      </c>
      <c r="HN299">
        <f>IF(ISBLANK('Data Entry'!$Ğ$299), "", 'Data Entry'!$Ğ$299)</f>
      </c>
      <c r="HO299">
        <f>IF(ISBLANK('Data Entry'!$ğ$299), "", 'Data Entry'!$ğ$299)</f>
      </c>
      <c r="HP299">
        <f>IF(ISBLANK('Data Entry'!$Ġ$299), "", 'Data Entry'!$Ġ$299)</f>
      </c>
      <c r="HQ299">
        <f>IF(ISBLANK('Data Entry'!$ġ$299), "", 'Data Entry'!$ġ$299)</f>
      </c>
      <c r="HR299">
        <f>IF(ISBLANK('Data Entry'!$Ģ$299), "", 'Data Entry'!$Ģ$299)</f>
      </c>
      <c r="HS299">
        <f>IF(ISBLANK('Data Entry'!$ģ$299), "", 'Data Entry'!$ģ$299)</f>
      </c>
      <c r="HT299">
        <f>IF(ISBLANK('Data Entry'!$Ĥ$299), "", 'Data Entry'!$Ĥ$299)</f>
      </c>
      <c r="HU299">
        <f>IF(ISBLANK('Data Entry'!$ĥ$299), "", 'Data Entry'!$ĥ$299)</f>
      </c>
      <c r="HV299">
        <f>IF(ISBLANK('Data Entry'!$Ħ$299), "", 'Data Entry'!$Ħ$299)</f>
      </c>
      <c r="HW299">
        <f>IF(ISBLANK('Data Entry'!$ħ$299), "", 'Data Entry'!$ħ$299)</f>
      </c>
      <c r="HX299">
        <f>IF(ISBLANK('Data Entry'!$Ĩ$299), "", 'Data Entry'!$Ĩ$299)</f>
      </c>
      <c r="HY299">
        <f>IF(ISBLANK('Data Entry'!$ĩ$299), "", 'Data Entry'!$ĩ$299)</f>
      </c>
      <c r="HZ299">
        <f>IF(ISBLANK('Data Entry'!$Ī$299), "", 'Data Entry'!$Ī$299)</f>
      </c>
      <c r="IA299">
        <f>IF(ISBLANK('Data Entry'!$ī$299), "", 'Data Entry'!$ī$299)</f>
      </c>
      <c r="IB299">
        <f>IF(ISBLANK('Data Entry'!$Ĭ$299), "", 'Data Entry'!$Ĭ$299)</f>
      </c>
      <c r="IC299">
        <f>IF(ISBLANK('Data Entry'!$ĭ$299), "", 'Data Entry'!$ĭ$299)</f>
      </c>
      <c r="ID299">
        <f>IF(ISBLANK('Data Entry'!$Į$299), "", 'Data Entry'!$Į$299)</f>
      </c>
      <c r="IE299">
        <f>IF(ISBLANK('Data Entry'!$į$299), "", 'Data Entry'!$į$299)</f>
      </c>
      <c r="IF299">
        <f>IF(ISBLANK('Data Entry'!$İ$299), "", 'Data Entry'!$İ$299)</f>
      </c>
      <c r="IG299">
        <f>IF(ISBLANK('Data Entry'!$ı$299), "", 'Data Entry'!$ı$299)</f>
      </c>
      <c r="IH299">
        <f>IF(ISBLANK('Data Entry'!$Ĳ$299), "", 'Data Entry'!$Ĳ$299)</f>
      </c>
      <c r="II299">
        <f>IF(ISBLANK('Data Entry'!$ĳ$299), "", 'Data Entry'!$ĳ$299)</f>
      </c>
      <c r="IJ299">
        <f>IF(ISBLANK('Data Entry'!$Ĵ$299), "", 'Data Entry'!$Ĵ$299)</f>
      </c>
      <c r="IK299">
        <f>IF(ISBLANK('Data Entry'!$ĵ$299), "", 'Data Entry'!$ĵ$299)</f>
      </c>
      <c r="IL299">
        <f>IF(ISBLANK('Data Entry'!$Ķ$299), "", 'Data Entry'!$Ķ$299)</f>
      </c>
      <c r="IM299">
        <f>IF(ISBLANK('Data Entry'!$ķ$299), "", 'Data Entry'!$ķ$299)</f>
      </c>
      <c r="IN299">
        <f>IF(ISBLANK('Data Entry'!$ĸ$299), "", 'Data Entry'!$ĸ$299)</f>
      </c>
      <c r="IO299">
        <f>IF(ISBLANK('Data Entry'!$Ĺ$299), "", 'Data Entry'!$Ĺ$299)</f>
      </c>
      <c r="IP299">
        <f>IF(ISBLANK('Data Entry'!$ĺ$299), "", 'Data Entry'!$ĺ$299)</f>
      </c>
      <c r="IQ299">
        <f>IF(ISBLANK('Data Entry'!$Ļ$299), "", 'Data Entry'!$Ļ$299)</f>
      </c>
      <c r="IR299">
        <f>IF(ISBLANK('Data Entry'!$ļ$299), "", 'Data Entry'!$ļ$299)</f>
      </c>
      <c r="IS299">
        <f>IF(ISBLANK('Data Entry'!$Ľ$299), "", 'Data Entry'!$Ľ$299)</f>
      </c>
      <c r="IT299">
        <f>IF(ISBLANK('Data Entry'!$ľ$299), "", 'Data Entry'!$ľ$299)</f>
      </c>
    </row>
    <row r="300" spans="1:254" x14ac:dyDescent="0.25">
      <c r="A300">
        <f>IF(ISBLANK('Data Entry'!$A$300), "", 'Data Entry'!$A$300)</f>
      </c>
      <c r="B300">
        <f>IF(ISBLANK('Data Entry'!$B$300), "", 'Data Entry'!$B$300)</f>
      </c>
      <c r="C300">
        <f>IF(ISBLANK('Data Entry'!$C$300), "", 'Data Entry'!$C$300)</f>
      </c>
      <c r="D300">
        <f>IF(ISBLANK('Data Entry'!$D$300), "", 'Data Entry'!$D$300)</f>
      </c>
      <c r="E300">
        <f>IF(ISBLANK('Data Entry'!$E$300), "", 'Data Entry'!$E$300)</f>
      </c>
      <c r="F300">
        <f>IF(ISBLANK('Data Entry'!$F$300), "", 'Data Entry'!$F$300)</f>
      </c>
      <c r="G300">
        <f>IF(ISBLANK('Data Entry'!$G$300), "", 'Data Entry'!$G$300)</f>
      </c>
      <c r="H300">
        <f>IF(ISBLANK('Data Entry'!$H$300), "", 'Data Entry'!$H$300)</f>
      </c>
      <c r="I300">
        <f>IF(ISBLANK('Data Entry'!$I$300), "", 'Data Entry'!$I$300)</f>
      </c>
      <c r="J300">
        <f>IF(ISBLANK('Data Entry'!$J$300), "", 'Data Entry'!$J$300)</f>
      </c>
      <c r="K300">
        <f>IF(ISBLANK('Data Entry'!$K$300), "", 'Data Entry'!$K$300)</f>
      </c>
      <c r="L300">
        <f>IF(ISBLANK('Data Entry'!$L$300), "", 'Data Entry'!$L$300)</f>
      </c>
      <c r="M300">
        <f>IF(ISBLANK('Data Entry'!$M$300), "", 'Data Entry'!$M$300)</f>
      </c>
      <c r="N300">
        <f>IF(ISBLANK('Data Entry'!$N$300), "", 'Data Entry'!$N$300)</f>
      </c>
      <c r="O300">
        <f>IF(ISBLANK('Data Entry'!$O$300), "", 'Data Entry'!$O$300)</f>
      </c>
      <c r="P300">
        <f>IF(ISBLANK('Data Entry'!$P$300), "", 'Data Entry'!$P$300)</f>
      </c>
      <c r="Q300">
        <f>IF(ISBLANK('Data Entry'!$Q$300), "", 'Data Entry'!$Q$300)</f>
      </c>
      <c r="R300">
        <f>IF(ISBLANK('Data Entry'!$R$300), "", 'Data Entry'!$R$300)</f>
      </c>
      <c r="S300">
        <f>IF(ISBLANK('Data Entry'!$S$300), "", 'Data Entry'!$S$300)</f>
      </c>
      <c r="T300">
        <f>IF(ISBLANK('Data Entry'!$T$300), "", 'Data Entry'!$T$300)</f>
      </c>
      <c r="U300">
        <f>IF(ISBLANK('Data Entry'!$U$300), "", 'Data Entry'!$U$300)</f>
      </c>
      <c r="V300">
        <f>IF(ISBLANK('Data Entry'!$V$300), "", 'Data Entry'!$V$300)</f>
      </c>
      <c r="W300">
        <f>IF(ISBLANK('Data Entry'!$W$300), "", 'Data Entry'!$W$300)</f>
      </c>
      <c r="X300">
        <f>IF(ISBLANK('Data Entry'!$X$300), "", 'Data Entry'!$X$300)</f>
      </c>
      <c r="Y300">
        <f>IF(ISBLANK('Data Entry'!$Y$300), "", 'Data Entry'!$Y$300)</f>
      </c>
      <c r="Z300">
        <f>IF(ISBLANK('Data Entry'!$Z$300), "", 'Data Entry'!$Z$300)</f>
      </c>
      <c r="AA300">
        <f>IF(ISBLANK('Data Entry'!$[$300), "", 'Data Entry'!$[$300)</f>
      </c>
      <c r="AB300">
        <f>IF(ISBLANK('Data Entry'!$\$300), "", 'Data Entry'!$\$300)</f>
      </c>
      <c r="AC300">
        <f>IF(ISBLANK('Data Entry'!$]$300), "", 'Data Entry'!$]$300)</f>
      </c>
      <c r="AD300">
        <f>IF(ISBLANK('Data Entry'!$^$300), "", 'Data Entry'!$^$300)</f>
      </c>
      <c r="AE300">
        <f>IF(ISBLANK('Data Entry'!$_$300), "", 'Data Entry'!$_$300)</f>
      </c>
      <c r="AF300">
        <f>IF(ISBLANK('Data Entry'!$`$300), "", 'Data Entry'!$`$300)</f>
      </c>
      <c r="AG300">
        <f>IF(ISBLANK('Data Entry'!$a$300), "", 'Data Entry'!$a$300)</f>
      </c>
      <c r="AH300">
        <f>IF(ISBLANK('Data Entry'!$b$300), "", 'Data Entry'!$b$300)</f>
      </c>
      <c r="AI300">
        <f>IF(ISBLANK('Data Entry'!$c$300), "", 'Data Entry'!$c$300)</f>
      </c>
      <c r="AJ300">
        <f>IF(ISBLANK('Data Entry'!$d$300), "", 'Data Entry'!$d$300)</f>
      </c>
      <c r="AK300">
        <f>IF(ISBLANK('Data Entry'!$e$300), "", 'Data Entry'!$e$300)</f>
      </c>
      <c r="AL300">
        <f>IF(ISBLANK('Data Entry'!$f$300), "", 'Data Entry'!$f$300)</f>
      </c>
      <c r="AM300">
        <f>IF(ISBLANK('Data Entry'!$g$300), "", 'Data Entry'!$g$300)</f>
      </c>
      <c r="AN300">
        <f>IF(ISBLANK('Data Entry'!$h$300), "", 'Data Entry'!$h$300)</f>
      </c>
      <c r="AO300">
        <f>IF(ISBLANK('Data Entry'!$i$300), "", 'Data Entry'!$i$300)</f>
      </c>
      <c r="AP300">
        <f>IF(ISBLANK('Data Entry'!$j$300), "", 'Data Entry'!$j$300)</f>
      </c>
      <c r="AQ300">
        <f>IF(ISBLANK('Data Entry'!$k$300), "", 'Data Entry'!$k$300)</f>
      </c>
      <c r="AR300">
        <f>IF(ISBLANK('Data Entry'!$l$300), "", 'Data Entry'!$l$300)</f>
      </c>
      <c r="AS300">
        <f>IF(ISBLANK('Data Entry'!$m$300), "", 'Data Entry'!$m$300)</f>
      </c>
      <c r="AT300">
        <f>IF(ISBLANK('Data Entry'!$n$300), "", 'Data Entry'!$n$300)</f>
      </c>
      <c r="AU300">
        <f>IF(ISBLANK('Data Entry'!$o$300), "", 'Data Entry'!$o$300)</f>
      </c>
      <c r="AV300">
        <f>IF(ISBLANK('Data Entry'!$p$300), "", 'Data Entry'!$p$300)</f>
      </c>
      <c r="AW300">
        <f>IF(ISBLANK('Data Entry'!$q$300), "", 'Data Entry'!$q$300)</f>
      </c>
      <c r="AX300">
        <f>IF(ISBLANK('Data Entry'!$r$300), "", 'Data Entry'!$r$300)</f>
      </c>
      <c r="AY300">
        <f>IF(ISBLANK('Data Entry'!$s$300), "", 'Data Entry'!$s$300)</f>
      </c>
      <c r="AZ300">
        <f>IF(ISBLANK('Data Entry'!$t$300), "", 'Data Entry'!$t$300)</f>
      </c>
      <c r="BA300">
        <f>IF(ISBLANK('Data Entry'!$u$300), "", 'Data Entry'!$u$300)</f>
      </c>
      <c r="BB300">
        <f>IF(ISBLANK('Data Entry'!$v$300), "", 'Data Entry'!$v$300)</f>
      </c>
      <c r="BC300">
        <f>IF(ISBLANK('Data Entry'!$w$300), "", 'Data Entry'!$w$300)</f>
      </c>
      <c r="BD300">
        <f>IF(ISBLANK('Data Entry'!$x$300), "", 'Data Entry'!$x$300)</f>
      </c>
      <c r="BE300">
        <f>IF(ISBLANK('Data Entry'!$y$300), "", 'Data Entry'!$y$300)</f>
      </c>
      <c r="BF300">
        <f>IF(ISBLANK('Data Entry'!$z$300), "", 'Data Entry'!$z$300)</f>
      </c>
      <c r="BG300">
        <f>IF(ISBLANK('Data Entry'!${$300), "", 'Data Entry'!${$300)</f>
      </c>
      <c r="BH300">
        <f>IF(ISBLANK('Data Entry'!$|$300), "", 'Data Entry'!$|$300)</f>
      </c>
      <c r="BI300">
        <f>IF(ISBLANK('Data Entry'!$}$300), "", 'Data Entry'!$}$300)</f>
      </c>
      <c r="BJ300">
        <f>IF(ISBLANK('Data Entry'!$~$300), "", 'Data Entry'!$~$300)</f>
      </c>
      <c r="BK300">
        <f>IF(ISBLANK('Data Entry'!$$300), "", 'Data Entry'!$$300)</f>
      </c>
      <c r="BL300">
        <f>IF(ISBLANK('Data Entry'!$$300), "", 'Data Entry'!$$300)</f>
      </c>
      <c r="BM300">
        <f>IF(ISBLANK('Data Entry'!$$300), "", 'Data Entry'!$$300)</f>
      </c>
      <c r="BN300">
        <f>IF(ISBLANK('Data Entry'!$$300), "", 'Data Entry'!$$300)</f>
      </c>
      <c r="BO300">
        <f>IF(ISBLANK('Data Entry'!$$300), "", 'Data Entry'!$$300)</f>
      </c>
      <c r="BP300">
        <f>IF(ISBLANK('Data Entry'!$$300), "", 'Data Entry'!$$300)</f>
      </c>
      <c r="BQ300">
        <f>IF(ISBLANK('Data Entry'!$$300), "", 'Data Entry'!$$300)</f>
      </c>
      <c r="BR300">
        <f>IF(ISBLANK('Data Entry'!$$300), "", 'Data Entry'!$$300)</f>
      </c>
      <c r="BS300">
        <f>IF(ISBLANK('Data Entry'!$$300), "", 'Data Entry'!$$300)</f>
      </c>
      <c r="BT300">
        <f>IF(ISBLANK('Data Entry'!$$300), "", 'Data Entry'!$$300)</f>
      </c>
      <c r="BU300">
        <f>IF(ISBLANK('Data Entry'!$$300), "", 'Data Entry'!$$300)</f>
      </c>
      <c r="BV300">
        <f>IF(ISBLANK('Data Entry'!$$300), "", 'Data Entry'!$$300)</f>
      </c>
      <c r="BW300">
        <f>IF(ISBLANK('Data Entry'!$$300), "", 'Data Entry'!$$300)</f>
      </c>
      <c r="BX300">
        <f>IF(ISBLANK('Data Entry'!$$300), "", 'Data Entry'!$$300)</f>
      </c>
      <c r="BY300">
        <f>IF(ISBLANK('Data Entry'!$$300), "", 'Data Entry'!$$300)</f>
      </c>
      <c r="BZ300">
        <f>IF(ISBLANK('Data Entry'!$$300), "", 'Data Entry'!$$300)</f>
      </c>
      <c r="CA300">
        <f>IF(ISBLANK('Data Entry'!$$300), "", 'Data Entry'!$$300)</f>
      </c>
      <c r="CB300">
        <f>IF(ISBLANK('Data Entry'!$$300), "", 'Data Entry'!$$300)</f>
      </c>
      <c r="CC300">
        <f>IF(ISBLANK('Data Entry'!$$300), "", 'Data Entry'!$$300)</f>
      </c>
      <c r="CD300">
        <f>IF(ISBLANK('Data Entry'!$$300), "", 'Data Entry'!$$300)</f>
      </c>
      <c r="CE300">
        <f>IF(ISBLANK('Data Entry'!$$300), "", 'Data Entry'!$$300)</f>
      </c>
      <c r="CF300">
        <f>IF(ISBLANK('Data Entry'!$$300), "", 'Data Entry'!$$300)</f>
      </c>
      <c r="CG300">
        <f>IF(ISBLANK('Data Entry'!$$300), "", 'Data Entry'!$$300)</f>
      </c>
      <c r="CH300">
        <f>IF(ISBLANK('Data Entry'!$$300), "", 'Data Entry'!$$300)</f>
      </c>
      <c r="CI300">
        <f>IF(ISBLANK('Data Entry'!$$300), "", 'Data Entry'!$$300)</f>
      </c>
      <c r="CJ300">
        <f>IF(ISBLANK('Data Entry'!$$300), "", 'Data Entry'!$$300)</f>
      </c>
      <c r="CK300">
        <f>IF(ISBLANK('Data Entry'!$$300), "", 'Data Entry'!$$300)</f>
      </c>
      <c r="CL300">
        <f>IF(ISBLANK('Data Entry'!$$300), "", 'Data Entry'!$$300)</f>
      </c>
      <c r="CM300">
        <f>IF(ISBLANK('Data Entry'!$$300), "", 'Data Entry'!$$300)</f>
      </c>
      <c r="CN300">
        <f>IF(ISBLANK('Data Entry'!$$300), "", 'Data Entry'!$$300)</f>
      </c>
      <c r="CO300">
        <f>IF(ISBLANK('Data Entry'!$$300), "", 'Data Entry'!$$300)</f>
      </c>
      <c r="CP300">
        <f>IF(ISBLANK('Data Entry'!$$300), "", 'Data Entry'!$$300)</f>
      </c>
      <c r="CQ300">
        <f>IF(ISBLANK('Data Entry'!$$300), "", 'Data Entry'!$$300)</f>
      </c>
      <c r="CR300">
        <f>IF(ISBLANK('Data Entry'!$ $300), "", 'Data Entry'!$ $300)</f>
      </c>
      <c r="CS300">
        <f>IF(ISBLANK('Data Entry'!$¡$300), "", 'Data Entry'!$¡$300)</f>
      </c>
      <c r="CT300">
        <f>IF(ISBLANK('Data Entry'!$¢$300), "", 'Data Entry'!$¢$300)</f>
      </c>
      <c r="CU300">
        <f>IF(ISBLANK('Data Entry'!$£$300), "", 'Data Entry'!$£$300)</f>
      </c>
      <c r="CV300">
        <f>IF(ISBLANK('Data Entry'!$¤$300), "", 'Data Entry'!$¤$300)</f>
      </c>
      <c r="CW300">
        <f>IF(ISBLANK('Data Entry'!$¥$300), "", 'Data Entry'!$¥$300)</f>
      </c>
      <c r="CX300">
        <f>IF(ISBLANK('Data Entry'!$¦$300), "", 'Data Entry'!$¦$300)</f>
      </c>
      <c r="CY300">
        <f>IF(ISBLANK('Data Entry'!$§$300), "", 'Data Entry'!$§$300)</f>
      </c>
      <c r="CZ300">
        <f>IF(ISBLANK('Data Entry'!$¨$300), "", 'Data Entry'!$¨$300)</f>
      </c>
      <c r="DA300">
        <f>IF(ISBLANK('Data Entry'!$©$300), "", 'Data Entry'!$©$300)</f>
      </c>
      <c r="DB300">
        <f>IF(ISBLANK('Data Entry'!$ª$300), "", 'Data Entry'!$ª$300)</f>
      </c>
      <c r="DC300">
        <f>IF(ISBLANK('Data Entry'!$«$300), "", 'Data Entry'!$«$300)</f>
      </c>
      <c r="DD300">
        <f>IF(ISBLANK('Data Entry'!$¬$300), "", 'Data Entry'!$¬$300)</f>
      </c>
      <c r="DE300">
        <f>IF(ISBLANK('Data Entry'!$­$300), "", 'Data Entry'!$­$300)</f>
      </c>
      <c r="DF300">
        <f>IF(ISBLANK('Data Entry'!$®$300), "", 'Data Entry'!$®$300)</f>
      </c>
      <c r="DG300">
        <f>IF(ISBLANK('Data Entry'!$¯$300), "", 'Data Entry'!$¯$300)</f>
      </c>
      <c r="DH300">
        <f>IF(ISBLANK('Data Entry'!$°$300), "", 'Data Entry'!$°$300)</f>
      </c>
      <c r="DI300">
        <f>IF(ISBLANK('Data Entry'!$±$300), "", 'Data Entry'!$±$300)</f>
      </c>
      <c r="DJ300">
        <f>IF(ISBLANK('Data Entry'!$²$300), "", 'Data Entry'!$²$300)</f>
      </c>
      <c r="DK300">
        <f>IF(ISBLANK('Data Entry'!$³$300), "", 'Data Entry'!$³$300)</f>
      </c>
      <c r="DL300">
        <f>IF(ISBLANK('Data Entry'!$´$300), "", 'Data Entry'!$´$300)</f>
      </c>
      <c r="DM300">
        <f>IF(ISBLANK('Data Entry'!$µ$300), "", 'Data Entry'!$µ$300)</f>
      </c>
      <c r="DN300">
        <f>IF(ISBLANK('Data Entry'!$¶$300), "", 'Data Entry'!$¶$300)</f>
      </c>
      <c r="DO300">
        <f>IF(ISBLANK('Data Entry'!$·$300), "", 'Data Entry'!$·$300)</f>
      </c>
      <c r="DP300">
        <f>IF(ISBLANK('Data Entry'!$¸$300), "", 'Data Entry'!$¸$300)</f>
      </c>
      <c r="DQ300">
        <f>IF(ISBLANK('Data Entry'!$¹$300), "", 'Data Entry'!$¹$300)</f>
      </c>
      <c r="DR300">
        <f>IF(ISBLANK('Data Entry'!$º$300), "", 'Data Entry'!$º$300)</f>
      </c>
      <c r="DS300">
        <f>IF(ISBLANK('Data Entry'!$»$300), "", 'Data Entry'!$»$300)</f>
      </c>
      <c r="DT300">
        <f>IF(ISBLANK('Data Entry'!$¼$300), "", 'Data Entry'!$¼$300)</f>
      </c>
      <c r="DU300">
        <f>IF(ISBLANK('Data Entry'!$½$300), "", 'Data Entry'!$½$300)</f>
      </c>
      <c r="DV300">
        <f>IF(ISBLANK('Data Entry'!$¾$300), "", 'Data Entry'!$¾$300)</f>
      </c>
      <c r="DW300">
        <f>IF(ISBLANK('Data Entry'!$¿$300), "", 'Data Entry'!$¿$300)</f>
      </c>
      <c r="DX300">
        <f>IF(ISBLANK('Data Entry'!$À$300), "", 'Data Entry'!$À$300)</f>
      </c>
      <c r="DY300">
        <f>IF(ISBLANK('Data Entry'!$Á$300), "", 'Data Entry'!$Á$300)</f>
      </c>
      <c r="DZ300">
        <f>IF(ISBLANK('Data Entry'!$Â$300), "", 'Data Entry'!$Â$300)</f>
      </c>
      <c r="EA300">
        <f>IF(ISBLANK('Data Entry'!$Ã$300), "", 'Data Entry'!$Ã$300)</f>
      </c>
      <c r="EB300">
        <f>IF(ISBLANK('Data Entry'!$Ä$300), "", 'Data Entry'!$Ä$300)</f>
      </c>
      <c r="EC300">
        <f>IF(ISBLANK('Data Entry'!$Å$300), "", 'Data Entry'!$Å$300)</f>
      </c>
      <c r="ED300">
        <f>IF(ISBLANK('Data Entry'!$Æ$300), "", 'Data Entry'!$Æ$300)</f>
      </c>
      <c r="EE300">
        <f>IF(ISBLANK('Data Entry'!$Ç$300), "", 'Data Entry'!$Ç$300)</f>
      </c>
      <c r="EF300">
        <f>IF(ISBLANK('Data Entry'!$È$300), "", 'Data Entry'!$È$300)</f>
      </c>
      <c r="EG300">
        <f>IF(ISBLANK('Data Entry'!$É$300), "", 'Data Entry'!$É$300)</f>
      </c>
      <c r="EH300">
        <f>IF(ISBLANK('Data Entry'!$Ê$300), "", 'Data Entry'!$Ê$300)</f>
      </c>
      <c r="EI300">
        <f>IF(ISBLANK('Data Entry'!$Ë$300), "", 'Data Entry'!$Ë$300)</f>
      </c>
      <c r="EJ300">
        <f>IF(ISBLANK('Data Entry'!$Ì$300), "", 'Data Entry'!$Ì$300)</f>
      </c>
      <c r="EK300">
        <f>IF(ISBLANK('Data Entry'!$Í$300), "", 'Data Entry'!$Í$300)</f>
      </c>
      <c r="EL300">
        <f>IF(ISBLANK('Data Entry'!$Î$300), "", 'Data Entry'!$Î$300)</f>
      </c>
      <c r="EM300">
        <f>IF(ISBLANK('Data Entry'!$Ï$300), "", 'Data Entry'!$Ï$300)</f>
      </c>
      <c r="EN300">
        <f>IF(ISBLANK('Data Entry'!$Ð$300), "", 'Data Entry'!$Ð$300)</f>
      </c>
      <c r="EO300">
        <f>IF(ISBLANK('Data Entry'!$Ñ$300), "", 'Data Entry'!$Ñ$300)</f>
      </c>
      <c r="EP300">
        <f>IF(ISBLANK('Data Entry'!$Ò$300), "", 'Data Entry'!$Ò$300)</f>
      </c>
      <c r="EQ300">
        <f>IF(ISBLANK('Data Entry'!$Ó$300), "", 'Data Entry'!$Ó$300)</f>
      </c>
      <c r="ER300">
        <f>IF(ISBLANK('Data Entry'!$Ô$300), "", 'Data Entry'!$Ô$300)</f>
      </c>
      <c r="ES300">
        <f>IF(ISBLANK('Data Entry'!$Õ$300), "", 'Data Entry'!$Õ$300)</f>
      </c>
      <c r="ET300">
        <f>IF(ISBLANK('Data Entry'!$Ö$300), "", 'Data Entry'!$Ö$300)</f>
      </c>
      <c r="EU300">
        <f>IF(ISBLANK('Data Entry'!$×$300), "", 'Data Entry'!$×$300)</f>
      </c>
      <c r="EV300">
        <f>IF(ISBLANK('Data Entry'!$Ø$300), "", 'Data Entry'!$Ø$300)</f>
      </c>
      <c r="EW300">
        <f>IF(ISBLANK('Data Entry'!$Ù$300), "", 'Data Entry'!$Ù$300)</f>
      </c>
      <c r="EX300">
        <f>IF(ISBLANK('Data Entry'!$Ú$300), "", 'Data Entry'!$Ú$300)</f>
      </c>
      <c r="EY300">
        <f>IF(ISBLANK('Data Entry'!$Û$300), "", 'Data Entry'!$Û$300)</f>
      </c>
      <c r="EZ300">
        <f>IF(ISBLANK('Data Entry'!$Ü$300), "", 'Data Entry'!$Ü$300)</f>
      </c>
      <c r="FA300">
        <f>IF(ISBLANK('Data Entry'!$Ý$300), "", 'Data Entry'!$Ý$300)</f>
      </c>
      <c r="FB300">
        <f>IF(ISBLANK('Data Entry'!$Þ$300), "", 'Data Entry'!$Þ$300)</f>
      </c>
      <c r="FC300">
        <f>IF(ISBLANK('Data Entry'!$ß$300), "", 'Data Entry'!$ß$300)</f>
      </c>
      <c r="FD300">
        <f>IF(ISBLANK('Data Entry'!$à$300), "", 'Data Entry'!$à$300)</f>
      </c>
      <c r="FE300">
        <f>IF(ISBLANK('Data Entry'!$á$300), "", 'Data Entry'!$á$300)</f>
      </c>
      <c r="FF300">
        <f>IF(ISBLANK('Data Entry'!$â$300), "", 'Data Entry'!$â$300)</f>
      </c>
      <c r="FG300">
        <f>IF(ISBLANK('Data Entry'!$ã$300), "", 'Data Entry'!$ã$300)</f>
      </c>
      <c r="FH300">
        <f>IF(ISBLANK('Data Entry'!$ä$300), "", 'Data Entry'!$ä$300)</f>
      </c>
      <c r="FI300">
        <f>IF(ISBLANK('Data Entry'!$å$300), "", 'Data Entry'!$å$300)</f>
      </c>
      <c r="FJ300">
        <f>IF(ISBLANK('Data Entry'!$æ$300), "", 'Data Entry'!$æ$300)</f>
      </c>
      <c r="FK300">
        <f>IF(ISBLANK('Data Entry'!$ç$300), "", 'Data Entry'!$ç$300)</f>
      </c>
      <c r="FL300">
        <f>IF(ISBLANK('Data Entry'!$è$300), "", 'Data Entry'!$è$300)</f>
      </c>
      <c r="FM300">
        <f>IF(ISBLANK('Data Entry'!$é$300), "", 'Data Entry'!$é$300)</f>
      </c>
      <c r="FN300">
        <f>IF(ISBLANK('Data Entry'!$ê$300), "", 'Data Entry'!$ê$300)</f>
      </c>
      <c r="FO300">
        <f>IF(ISBLANK('Data Entry'!$ë$300), "", 'Data Entry'!$ë$300)</f>
      </c>
      <c r="FP300">
        <f>IF(ISBLANK('Data Entry'!$ì$300), "", 'Data Entry'!$ì$300)</f>
      </c>
      <c r="FQ300">
        <f>IF(ISBLANK('Data Entry'!$í$300), "", 'Data Entry'!$í$300)</f>
      </c>
      <c r="FR300">
        <f>IF(ISBLANK('Data Entry'!$î$300), "", 'Data Entry'!$î$300)</f>
      </c>
      <c r="FS300">
        <f>IF(ISBLANK('Data Entry'!$ï$300), "", 'Data Entry'!$ï$300)</f>
      </c>
      <c r="FT300">
        <f>IF(ISBLANK('Data Entry'!$ð$300), "", 'Data Entry'!$ð$300)</f>
      </c>
      <c r="FU300">
        <f>IF(ISBLANK('Data Entry'!$ñ$300), "", 'Data Entry'!$ñ$300)</f>
      </c>
      <c r="FV300">
        <f>IF(ISBLANK('Data Entry'!$ò$300), "", 'Data Entry'!$ò$300)</f>
      </c>
      <c r="FW300">
        <f>IF(ISBLANK('Data Entry'!$ó$300), "", 'Data Entry'!$ó$300)</f>
      </c>
      <c r="FX300">
        <f>IF(ISBLANK('Data Entry'!$ô$300), "", 'Data Entry'!$ô$300)</f>
      </c>
      <c r="FY300">
        <f>IF(ISBLANK('Data Entry'!$õ$300), "", 'Data Entry'!$õ$300)</f>
      </c>
      <c r="FZ300">
        <f>IF(ISBLANK('Data Entry'!$ö$300), "", 'Data Entry'!$ö$300)</f>
      </c>
      <c r="GA300">
        <f>IF(ISBLANK('Data Entry'!$÷$300), "", 'Data Entry'!$÷$300)</f>
      </c>
      <c r="GB300">
        <f>IF(ISBLANK('Data Entry'!$ø$300), "", 'Data Entry'!$ø$300)</f>
      </c>
      <c r="GC300">
        <f>IF(ISBLANK('Data Entry'!$ù$300), "", 'Data Entry'!$ù$300)</f>
      </c>
      <c r="GD300">
        <f>IF(ISBLANK('Data Entry'!$ú$300), "", 'Data Entry'!$ú$300)</f>
      </c>
      <c r="GE300">
        <f>IF(ISBLANK('Data Entry'!$û$300), "", 'Data Entry'!$û$300)</f>
      </c>
      <c r="GF300">
        <f>IF(ISBLANK('Data Entry'!$ü$300), "", 'Data Entry'!$ü$300)</f>
      </c>
      <c r="GG300">
        <f>IF(ISBLANK('Data Entry'!$ý$300), "", 'Data Entry'!$ý$300)</f>
      </c>
      <c r="GH300">
        <f>IF(ISBLANK('Data Entry'!$þ$300), "", 'Data Entry'!$þ$300)</f>
      </c>
      <c r="GI300">
        <f>IF(ISBLANK('Data Entry'!$ÿ$300), "", 'Data Entry'!$ÿ$300)</f>
      </c>
      <c r="GJ300">
        <f>IF(ISBLANK('Data Entry'!$Ā$300), "", 'Data Entry'!$Ā$300)</f>
      </c>
      <c r="GK300">
        <f>IF(ISBLANK('Data Entry'!$ā$300), "", 'Data Entry'!$ā$300)</f>
      </c>
      <c r="GL300">
        <f>IF(ISBLANK('Data Entry'!$Ă$300), "", 'Data Entry'!$Ă$300)</f>
      </c>
      <c r="GM300">
        <f>IF(ISBLANK('Data Entry'!$ă$300), "", 'Data Entry'!$ă$300)</f>
      </c>
      <c r="GN300">
        <f>IF(ISBLANK('Data Entry'!$Ą$300), "", 'Data Entry'!$Ą$300)</f>
      </c>
      <c r="GO300">
        <f>IF(ISBLANK('Data Entry'!$ą$300), "", 'Data Entry'!$ą$300)</f>
      </c>
      <c r="GP300">
        <f>IF(ISBLANK('Data Entry'!$Ć$300), "", 'Data Entry'!$Ć$300)</f>
      </c>
      <c r="GQ300">
        <f>IF(ISBLANK('Data Entry'!$ć$300), "", 'Data Entry'!$ć$300)</f>
      </c>
      <c r="GR300">
        <f>IF(ISBLANK('Data Entry'!$Ĉ$300), "", 'Data Entry'!$Ĉ$300)</f>
      </c>
      <c r="GS300">
        <f>IF(ISBLANK('Data Entry'!$ĉ$300), "", 'Data Entry'!$ĉ$300)</f>
      </c>
      <c r="GT300">
        <f>IF(ISBLANK('Data Entry'!$Ċ$300), "", 'Data Entry'!$Ċ$300)</f>
      </c>
      <c r="GU300">
        <f>IF(ISBLANK('Data Entry'!$ċ$300), "", 'Data Entry'!$ċ$300)</f>
      </c>
      <c r="GV300">
        <f>IF(ISBLANK('Data Entry'!$Č$300), "", 'Data Entry'!$Č$300)</f>
      </c>
      <c r="GW300">
        <f>IF(ISBLANK('Data Entry'!$č$300), "", 'Data Entry'!$č$300)</f>
      </c>
      <c r="GX300">
        <f>IF(ISBLANK('Data Entry'!$Ď$300), "", 'Data Entry'!$Ď$300)</f>
      </c>
      <c r="GY300">
        <f>IF(ISBLANK('Data Entry'!$ď$300), "", 'Data Entry'!$ď$300)</f>
      </c>
      <c r="GZ300">
        <f>IF(ISBLANK('Data Entry'!$Đ$300), "", 'Data Entry'!$Đ$300)</f>
      </c>
      <c r="HA300">
        <f>IF(ISBLANK('Data Entry'!$đ$300), "", 'Data Entry'!$đ$300)</f>
      </c>
      <c r="HB300">
        <f>IF(ISBLANK('Data Entry'!$Ē$300), "", 'Data Entry'!$Ē$300)</f>
      </c>
      <c r="HC300">
        <f>IF(ISBLANK('Data Entry'!$ē$300), "", 'Data Entry'!$ē$300)</f>
      </c>
      <c r="HD300">
        <f>IF(ISBLANK('Data Entry'!$Ĕ$300), "", 'Data Entry'!$Ĕ$300)</f>
      </c>
      <c r="HE300">
        <f>IF(ISBLANK('Data Entry'!$ĕ$300), "", 'Data Entry'!$ĕ$300)</f>
      </c>
      <c r="HF300">
        <f>IF(ISBLANK('Data Entry'!$Ė$300), "", 'Data Entry'!$Ė$300)</f>
      </c>
      <c r="HG300">
        <f>IF(ISBLANK('Data Entry'!$ė$300), "", 'Data Entry'!$ė$300)</f>
      </c>
      <c r="HH300">
        <f>IF(ISBLANK('Data Entry'!$Ę$300), "", 'Data Entry'!$Ę$300)</f>
      </c>
      <c r="HI300">
        <f>IF(ISBLANK('Data Entry'!$ę$300), "", 'Data Entry'!$ę$300)</f>
      </c>
      <c r="HJ300">
        <f>IF(ISBLANK('Data Entry'!$Ě$300), "", 'Data Entry'!$Ě$300)</f>
      </c>
      <c r="HK300">
        <f>IF(ISBLANK('Data Entry'!$ě$300), "", 'Data Entry'!$ě$300)</f>
      </c>
      <c r="HL300">
        <f>IF(ISBLANK('Data Entry'!$Ĝ$300), "", 'Data Entry'!$Ĝ$300)</f>
      </c>
      <c r="HM300">
        <f>IF(ISBLANK('Data Entry'!$ĝ$300), "", 'Data Entry'!$ĝ$300)</f>
      </c>
      <c r="HN300">
        <f>IF(ISBLANK('Data Entry'!$Ğ$300), "", 'Data Entry'!$Ğ$300)</f>
      </c>
      <c r="HO300">
        <f>IF(ISBLANK('Data Entry'!$ğ$300), "", 'Data Entry'!$ğ$300)</f>
      </c>
      <c r="HP300">
        <f>IF(ISBLANK('Data Entry'!$Ġ$300), "", 'Data Entry'!$Ġ$300)</f>
      </c>
      <c r="HQ300">
        <f>IF(ISBLANK('Data Entry'!$ġ$300), "", 'Data Entry'!$ġ$300)</f>
      </c>
      <c r="HR300">
        <f>IF(ISBLANK('Data Entry'!$Ģ$300), "", 'Data Entry'!$Ģ$300)</f>
      </c>
      <c r="HS300">
        <f>IF(ISBLANK('Data Entry'!$ģ$300), "", 'Data Entry'!$ģ$300)</f>
      </c>
      <c r="HT300">
        <f>IF(ISBLANK('Data Entry'!$Ĥ$300), "", 'Data Entry'!$Ĥ$300)</f>
      </c>
      <c r="HU300">
        <f>IF(ISBLANK('Data Entry'!$ĥ$300), "", 'Data Entry'!$ĥ$300)</f>
      </c>
      <c r="HV300">
        <f>IF(ISBLANK('Data Entry'!$Ħ$300), "", 'Data Entry'!$Ħ$300)</f>
      </c>
      <c r="HW300">
        <f>IF(ISBLANK('Data Entry'!$ħ$300), "", 'Data Entry'!$ħ$300)</f>
      </c>
      <c r="HX300">
        <f>IF(ISBLANK('Data Entry'!$Ĩ$300), "", 'Data Entry'!$Ĩ$300)</f>
      </c>
      <c r="HY300">
        <f>IF(ISBLANK('Data Entry'!$ĩ$300), "", 'Data Entry'!$ĩ$300)</f>
      </c>
      <c r="HZ300">
        <f>IF(ISBLANK('Data Entry'!$Ī$300), "", 'Data Entry'!$Ī$300)</f>
      </c>
      <c r="IA300">
        <f>IF(ISBLANK('Data Entry'!$ī$300), "", 'Data Entry'!$ī$300)</f>
      </c>
      <c r="IB300">
        <f>IF(ISBLANK('Data Entry'!$Ĭ$300), "", 'Data Entry'!$Ĭ$300)</f>
      </c>
      <c r="IC300">
        <f>IF(ISBLANK('Data Entry'!$ĭ$300), "", 'Data Entry'!$ĭ$300)</f>
      </c>
      <c r="ID300">
        <f>IF(ISBLANK('Data Entry'!$Į$300), "", 'Data Entry'!$Į$300)</f>
      </c>
      <c r="IE300">
        <f>IF(ISBLANK('Data Entry'!$į$300), "", 'Data Entry'!$į$300)</f>
      </c>
      <c r="IF300">
        <f>IF(ISBLANK('Data Entry'!$İ$300), "", 'Data Entry'!$İ$300)</f>
      </c>
      <c r="IG300">
        <f>IF(ISBLANK('Data Entry'!$ı$300), "", 'Data Entry'!$ı$300)</f>
      </c>
      <c r="IH300">
        <f>IF(ISBLANK('Data Entry'!$Ĳ$300), "", 'Data Entry'!$Ĳ$300)</f>
      </c>
      <c r="II300">
        <f>IF(ISBLANK('Data Entry'!$ĳ$300), "", 'Data Entry'!$ĳ$300)</f>
      </c>
      <c r="IJ300">
        <f>IF(ISBLANK('Data Entry'!$Ĵ$300), "", 'Data Entry'!$Ĵ$300)</f>
      </c>
      <c r="IK300">
        <f>IF(ISBLANK('Data Entry'!$ĵ$300), "", 'Data Entry'!$ĵ$300)</f>
      </c>
      <c r="IL300">
        <f>IF(ISBLANK('Data Entry'!$Ķ$300), "", 'Data Entry'!$Ķ$300)</f>
      </c>
      <c r="IM300">
        <f>IF(ISBLANK('Data Entry'!$ķ$300), "", 'Data Entry'!$ķ$300)</f>
      </c>
      <c r="IN300">
        <f>IF(ISBLANK('Data Entry'!$ĸ$300), "", 'Data Entry'!$ĸ$300)</f>
      </c>
      <c r="IO300">
        <f>IF(ISBLANK('Data Entry'!$Ĺ$300), "", 'Data Entry'!$Ĺ$300)</f>
      </c>
      <c r="IP300">
        <f>IF(ISBLANK('Data Entry'!$ĺ$300), "", 'Data Entry'!$ĺ$300)</f>
      </c>
      <c r="IQ300">
        <f>IF(ISBLANK('Data Entry'!$Ļ$300), "", 'Data Entry'!$Ļ$300)</f>
      </c>
      <c r="IR300">
        <f>IF(ISBLANK('Data Entry'!$ļ$300), "", 'Data Entry'!$ļ$300)</f>
      </c>
      <c r="IS300">
        <f>IF(ISBLANK('Data Entry'!$Ľ$300), "", 'Data Entry'!$Ľ$300)</f>
      </c>
      <c r="IT300">
        <f>IF(ISBLANK('Data Entry'!$ľ$300), "", 'Data Entry'!$ľ$300)</f>
      </c>
    </row>
    <row r="301" spans="1:254" x14ac:dyDescent="0.25">
      <c r="A301">
        <f>IF(ISBLANK('Data Entry'!$A$301), "", 'Data Entry'!$A$301)</f>
      </c>
      <c r="B301">
        <f>IF(ISBLANK('Data Entry'!$B$301), "", 'Data Entry'!$B$301)</f>
      </c>
      <c r="C301">
        <f>IF(ISBLANK('Data Entry'!$C$301), "", 'Data Entry'!$C$301)</f>
      </c>
      <c r="D301">
        <f>IF(ISBLANK('Data Entry'!$D$301), "", 'Data Entry'!$D$301)</f>
      </c>
      <c r="E301">
        <f>IF(ISBLANK('Data Entry'!$E$301), "", 'Data Entry'!$E$301)</f>
      </c>
      <c r="F301">
        <f>IF(ISBLANK('Data Entry'!$F$301), "", 'Data Entry'!$F$301)</f>
      </c>
      <c r="G301">
        <f>IF(ISBLANK('Data Entry'!$G$301), "", 'Data Entry'!$G$301)</f>
      </c>
      <c r="H301">
        <f>IF(ISBLANK('Data Entry'!$H$301), "", 'Data Entry'!$H$301)</f>
      </c>
      <c r="I301">
        <f>IF(ISBLANK('Data Entry'!$I$301), "", 'Data Entry'!$I$301)</f>
      </c>
      <c r="J301">
        <f>IF(ISBLANK('Data Entry'!$J$301), "", 'Data Entry'!$J$301)</f>
      </c>
      <c r="K301">
        <f>IF(ISBLANK('Data Entry'!$K$301), "", 'Data Entry'!$K$301)</f>
      </c>
      <c r="L301">
        <f>IF(ISBLANK('Data Entry'!$L$301), "", 'Data Entry'!$L$301)</f>
      </c>
      <c r="M301">
        <f>IF(ISBLANK('Data Entry'!$M$301), "", 'Data Entry'!$M$301)</f>
      </c>
      <c r="N301">
        <f>IF(ISBLANK('Data Entry'!$N$301), "", 'Data Entry'!$N$301)</f>
      </c>
      <c r="O301">
        <f>IF(ISBLANK('Data Entry'!$O$301), "", 'Data Entry'!$O$301)</f>
      </c>
      <c r="P301">
        <f>IF(ISBLANK('Data Entry'!$P$301), "", 'Data Entry'!$P$301)</f>
      </c>
      <c r="Q301">
        <f>IF(ISBLANK('Data Entry'!$Q$301), "", 'Data Entry'!$Q$301)</f>
      </c>
      <c r="R301">
        <f>IF(ISBLANK('Data Entry'!$R$301), "", 'Data Entry'!$R$301)</f>
      </c>
      <c r="S301">
        <f>IF(ISBLANK('Data Entry'!$S$301), "", 'Data Entry'!$S$301)</f>
      </c>
      <c r="T301">
        <f>IF(ISBLANK('Data Entry'!$T$301), "", 'Data Entry'!$T$301)</f>
      </c>
      <c r="U301">
        <f>IF(ISBLANK('Data Entry'!$U$301), "", 'Data Entry'!$U$301)</f>
      </c>
      <c r="V301">
        <f>IF(ISBLANK('Data Entry'!$V$301), "", 'Data Entry'!$V$301)</f>
      </c>
      <c r="W301">
        <f>IF(ISBLANK('Data Entry'!$W$301), "", 'Data Entry'!$W$301)</f>
      </c>
      <c r="X301">
        <f>IF(ISBLANK('Data Entry'!$X$301), "", 'Data Entry'!$X$301)</f>
      </c>
      <c r="Y301">
        <f>IF(ISBLANK('Data Entry'!$Y$301), "", 'Data Entry'!$Y$301)</f>
      </c>
      <c r="Z301">
        <f>IF(ISBLANK('Data Entry'!$Z$301), "", 'Data Entry'!$Z$301)</f>
      </c>
      <c r="AA301">
        <f>IF(ISBLANK('Data Entry'!$[$301), "", 'Data Entry'!$[$301)</f>
      </c>
      <c r="AB301">
        <f>IF(ISBLANK('Data Entry'!$\$301), "", 'Data Entry'!$\$301)</f>
      </c>
      <c r="AC301">
        <f>IF(ISBLANK('Data Entry'!$]$301), "", 'Data Entry'!$]$301)</f>
      </c>
      <c r="AD301">
        <f>IF(ISBLANK('Data Entry'!$^$301), "", 'Data Entry'!$^$301)</f>
      </c>
      <c r="AE301">
        <f>IF(ISBLANK('Data Entry'!$_$301), "", 'Data Entry'!$_$301)</f>
      </c>
      <c r="AF301">
        <f>IF(ISBLANK('Data Entry'!$`$301), "", 'Data Entry'!$`$301)</f>
      </c>
      <c r="AG301">
        <f>IF(ISBLANK('Data Entry'!$a$301), "", 'Data Entry'!$a$301)</f>
      </c>
      <c r="AH301">
        <f>IF(ISBLANK('Data Entry'!$b$301), "", 'Data Entry'!$b$301)</f>
      </c>
      <c r="AI301">
        <f>IF(ISBLANK('Data Entry'!$c$301), "", 'Data Entry'!$c$301)</f>
      </c>
      <c r="AJ301">
        <f>IF(ISBLANK('Data Entry'!$d$301), "", 'Data Entry'!$d$301)</f>
      </c>
      <c r="AK301">
        <f>IF(ISBLANK('Data Entry'!$e$301), "", 'Data Entry'!$e$301)</f>
      </c>
      <c r="AL301">
        <f>IF(ISBLANK('Data Entry'!$f$301), "", 'Data Entry'!$f$301)</f>
      </c>
      <c r="AM301">
        <f>IF(ISBLANK('Data Entry'!$g$301), "", 'Data Entry'!$g$301)</f>
      </c>
      <c r="AN301">
        <f>IF(ISBLANK('Data Entry'!$h$301), "", 'Data Entry'!$h$301)</f>
      </c>
      <c r="AO301">
        <f>IF(ISBLANK('Data Entry'!$i$301), "", 'Data Entry'!$i$301)</f>
      </c>
      <c r="AP301">
        <f>IF(ISBLANK('Data Entry'!$j$301), "", 'Data Entry'!$j$301)</f>
      </c>
      <c r="AQ301">
        <f>IF(ISBLANK('Data Entry'!$k$301), "", 'Data Entry'!$k$301)</f>
      </c>
      <c r="AR301">
        <f>IF(ISBLANK('Data Entry'!$l$301), "", 'Data Entry'!$l$301)</f>
      </c>
      <c r="AS301">
        <f>IF(ISBLANK('Data Entry'!$m$301), "", 'Data Entry'!$m$301)</f>
      </c>
      <c r="AT301">
        <f>IF(ISBLANK('Data Entry'!$n$301), "", 'Data Entry'!$n$301)</f>
      </c>
      <c r="AU301">
        <f>IF(ISBLANK('Data Entry'!$o$301), "", 'Data Entry'!$o$301)</f>
      </c>
      <c r="AV301">
        <f>IF(ISBLANK('Data Entry'!$p$301), "", 'Data Entry'!$p$301)</f>
      </c>
      <c r="AW301">
        <f>IF(ISBLANK('Data Entry'!$q$301), "", 'Data Entry'!$q$301)</f>
      </c>
      <c r="AX301">
        <f>IF(ISBLANK('Data Entry'!$r$301), "", 'Data Entry'!$r$301)</f>
      </c>
      <c r="AY301">
        <f>IF(ISBLANK('Data Entry'!$s$301), "", 'Data Entry'!$s$301)</f>
      </c>
      <c r="AZ301">
        <f>IF(ISBLANK('Data Entry'!$t$301), "", 'Data Entry'!$t$301)</f>
      </c>
      <c r="BA301">
        <f>IF(ISBLANK('Data Entry'!$u$301), "", 'Data Entry'!$u$301)</f>
      </c>
      <c r="BB301">
        <f>IF(ISBLANK('Data Entry'!$v$301), "", 'Data Entry'!$v$301)</f>
      </c>
      <c r="BC301">
        <f>IF(ISBLANK('Data Entry'!$w$301), "", 'Data Entry'!$w$301)</f>
      </c>
      <c r="BD301">
        <f>IF(ISBLANK('Data Entry'!$x$301), "", 'Data Entry'!$x$301)</f>
      </c>
      <c r="BE301">
        <f>IF(ISBLANK('Data Entry'!$y$301), "", 'Data Entry'!$y$301)</f>
      </c>
      <c r="BF301">
        <f>IF(ISBLANK('Data Entry'!$z$301), "", 'Data Entry'!$z$301)</f>
      </c>
      <c r="BG301">
        <f>IF(ISBLANK('Data Entry'!${$301), "", 'Data Entry'!${$301)</f>
      </c>
      <c r="BH301">
        <f>IF(ISBLANK('Data Entry'!$|$301), "", 'Data Entry'!$|$301)</f>
      </c>
      <c r="BI301">
        <f>IF(ISBLANK('Data Entry'!$}$301), "", 'Data Entry'!$}$301)</f>
      </c>
      <c r="BJ301">
        <f>IF(ISBLANK('Data Entry'!$~$301), "", 'Data Entry'!$~$301)</f>
      </c>
      <c r="BK301">
        <f>IF(ISBLANK('Data Entry'!$$301), "", 'Data Entry'!$$301)</f>
      </c>
      <c r="BL301">
        <f>IF(ISBLANK('Data Entry'!$$301), "", 'Data Entry'!$$301)</f>
      </c>
      <c r="BM301">
        <f>IF(ISBLANK('Data Entry'!$$301), "", 'Data Entry'!$$301)</f>
      </c>
      <c r="BN301">
        <f>IF(ISBLANK('Data Entry'!$$301), "", 'Data Entry'!$$301)</f>
      </c>
      <c r="BO301">
        <f>IF(ISBLANK('Data Entry'!$$301), "", 'Data Entry'!$$301)</f>
      </c>
      <c r="BP301">
        <f>IF(ISBLANK('Data Entry'!$$301), "", 'Data Entry'!$$301)</f>
      </c>
      <c r="BQ301">
        <f>IF(ISBLANK('Data Entry'!$$301), "", 'Data Entry'!$$301)</f>
      </c>
      <c r="BR301">
        <f>IF(ISBLANK('Data Entry'!$$301), "", 'Data Entry'!$$301)</f>
      </c>
      <c r="BS301">
        <f>IF(ISBLANK('Data Entry'!$$301), "", 'Data Entry'!$$301)</f>
      </c>
      <c r="BT301">
        <f>IF(ISBLANK('Data Entry'!$$301), "", 'Data Entry'!$$301)</f>
      </c>
      <c r="BU301">
        <f>IF(ISBLANK('Data Entry'!$$301), "", 'Data Entry'!$$301)</f>
      </c>
      <c r="BV301">
        <f>IF(ISBLANK('Data Entry'!$$301), "", 'Data Entry'!$$301)</f>
      </c>
      <c r="BW301">
        <f>IF(ISBLANK('Data Entry'!$$301), "", 'Data Entry'!$$301)</f>
      </c>
      <c r="BX301">
        <f>IF(ISBLANK('Data Entry'!$$301), "", 'Data Entry'!$$301)</f>
      </c>
      <c r="BY301">
        <f>IF(ISBLANK('Data Entry'!$$301), "", 'Data Entry'!$$301)</f>
      </c>
      <c r="BZ301">
        <f>IF(ISBLANK('Data Entry'!$$301), "", 'Data Entry'!$$301)</f>
      </c>
      <c r="CA301">
        <f>IF(ISBLANK('Data Entry'!$$301), "", 'Data Entry'!$$301)</f>
      </c>
      <c r="CB301">
        <f>IF(ISBLANK('Data Entry'!$$301), "", 'Data Entry'!$$301)</f>
      </c>
      <c r="CC301">
        <f>IF(ISBLANK('Data Entry'!$$301), "", 'Data Entry'!$$301)</f>
      </c>
      <c r="CD301">
        <f>IF(ISBLANK('Data Entry'!$$301), "", 'Data Entry'!$$301)</f>
      </c>
      <c r="CE301">
        <f>IF(ISBLANK('Data Entry'!$$301), "", 'Data Entry'!$$301)</f>
      </c>
      <c r="CF301">
        <f>IF(ISBLANK('Data Entry'!$$301), "", 'Data Entry'!$$301)</f>
      </c>
      <c r="CG301">
        <f>IF(ISBLANK('Data Entry'!$$301), "", 'Data Entry'!$$301)</f>
      </c>
      <c r="CH301">
        <f>IF(ISBLANK('Data Entry'!$$301), "", 'Data Entry'!$$301)</f>
      </c>
      <c r="CI301">
        <f>IF(ISBLANK('Data Entry'!$$301), "", 'Data Entry'!$$301)</f>
      </c>
      <c r="CJ301">
        <f>IF(ISBLANK('Data Entry'!$$301), "", 'Data Entry'!$$301)</f>
      </c>
      <c r="CK301">
        <f>IF(ISBLANK('Data Entry'!$$301), "", 'Data Entry'!$$301)</f>
      </c>
      <c r="CL301">
        <f>IF(ISBLANK('Data Entry'!$$301), "", 'Data Entry'!$$301)</f>
      </c>
      <c r="CM301">
        <f>IF(ISBLANK('Data Entry'!$$301), "", 'Data Entry'!$$301)</f>
      </c>
      <c r="CN301">
        <f>IF(ISBLANK('Data Entry'!$$301), "", 'Data Entry'!$$301)</f>
      </c>
      <c r="CO301">
        <f>IF(ISBLANK('Data Entry'!$$301), "", 'Data Entry'!$$301)</f>
      </c>
      <c r="CP301">
        <f>IF(ISBLANK('Data Entry'!$$301), "", 'Data Entry'!$$301)</f>
      </c>
      <c r="CQ301">
        <f>IF(ISBLANK('Data Entry'!$$301), "", 'Data Entry'!$$301)</f>
      </c>
      <c r="CR301">
        <f>IF(ISBLANK('Data Entry'!$ $301), "", 'Data Entry'!$ $301)</f>
      </c>
      <c r="CS301">
        <f>IF(ISBLANK('Data Entry'!$¡$301), "", 'Data Entry'!$¡$301)</f>
      </c>
      <c r="CT301">
        <f>IF(ISBLANK('Data Entry'!$¢$301), "", 'Data Entry'!$¢$301)</f>
      </c>
      <c r="CU301">
        <f>IF(ISBLANK('Data Entry'!$£$301), "", 'Data Entry'!$£$301)</f>
      </c>
      <c r="CV301">
        <f>IF(ISBLANK('Data Entry'!$¤$301), "", 'Data Entry'!$¤$301)</f>
      </c>
      <c r="CW301">
        <f>IF(ISBLANK('Data Entry'!$¥$301), "", 'Data Entry'!$¥$301)</f>
      </c>
      <c r="CX301">
        <f>IF(ISBLANK('Data Entry'!$¦$301), "", 'Data Entry'!$¦$301)</f>
      </c>
      <c r="CY301">
        <f>IF(ISBLANK('Data Entry'!$§$301), "", 'Data Entry'!$§$301)</f>
      </c>
      <c r="CZ301">
        <f>IF(ISBLANK('Data Entry'!$¨$301), "", 'Data Entry'!$¨$301)</f>
      </c>
      <c r="DA301">
        <f>IF(ISBLANK('Data Entry'!$©$301), "", 'Data Entry'!$©$301)</f>
      </c>
      <c r="DB301">
        <f>IF(ISBLANK('Data Entry'!$ª$301), "", 'Data Entry'!$ª$301)</f>
      </c>
      <c r="DC301">
        <f>IF(ISBLANK('Data Entry'!$«$301), "", 'Data Entry'!$«$301)</f>
      </c>
      <c r="DD301">
        <f>IF(ISBLANK('Data Entry'!$¬$301), "", 'Data Entry'!$¬$301)</f>
      </c>
      <c r="DE301">
        <f>IF(ISBLANK('Data Entry'!$­$301), "", 'Data Entry'!$­$301)</f>
      </c>
      <c r="DF301">
        <f>IF(ISBLANK('Data Entry'!$®$301), "", 'Data Entry'!$®$301)</f>
      </c>
      <c r="DG301">
        <f>IF(ISBLANK('Data Entry'!$¯$301), "", 'Data Entry'!$¯$301)</f>
      </c>
      <c r="DH301">
        <f>IF(ISBLANK('Data Entry'!$°$301), "", 'Data Entry'!$°$301)</f>
      </c>
      <c r="DI301">
        <f>IF(ISBLANK('Data Entry'!$±$301), "", 'Data Entry'!$±$301)</f>
      </c>
      <c r="DJ301">
        <f>IF(ISBLANK('Data Entry'!$²$301), "", 'Data Entry'!$²$301)</f>
      </c>
      <c r="DK301">
        <f>IF(ISBLANK('Data Entry'!$³$301), "", 'Data Entry'!$³$301)</f>
      </c>
      <c r="DL301">
        <f>IF(ISBLANK('Data Entry'!$´$301), "", 'Data Entry'!$´$301)</f>
      </c>
      <c r="DM301">
        <f>IF(ISBLANK('Data Entry'!$µ$301), "", 'Data Entry'!$µ$301)</f>
      </c>
      <c r="DN301">
        <f>IF(ISBLANK('Data Entry'!$¶$301), "", 'Data Entry'!$¶$301)</f>
      </c>
      <c r="DO301">
        <f>IF(ISBLANK('Data Entry'!$·$301), "", 'Data Entry'!$·$301)</f>
      </c>
      <c r="DP301">
        <f>IF(ISBLANK('Data Entry'!$¸$301), "", 'Data Entry'!$¸$301)</f>
      </c>
      <c r="DQ301">
        <f>IF(ISBLANK('Data Entry'!$¹$301), "", 'Data Entry'!$¹$301)</f>
      </c>
      <c r="DR301">
        <f>IF(ISBLANK('Data Entry'!$º$301), "", 'Data Entry'!$º$301)</f>
      </c>
      <c r="DS301">
        <f>IF(ISBLANK('Data Entry'!$»$301), "", 'Data Entry'!$»$301)</f>
      </c>
      <c r="DT301">
        <f>IF(ISBLANK('Data Entry'!$¼$301), "", 'Data Entry'!$¼$301)</f>
      </c>
      <c r="DU301">
        <f>IF(ISBLANK('Data Entry'!$½$301), "", 'Data Entry'!$½$301)</f>
      </c>
      <c r="DV301">
        <f>IF(ISBLANK('Data Entry'!$¾$301), "", 'Data Entry'!$¾$301)</f>
      </c>
      <c r="DW301">
        <f>IF(ISBLANK('Data Entry'!$¿$301), "", 'Data Entry'!$¿$301)</f>
      </c>
      <c r="DX301">
        <f>IF(ISBLANK('Data Entry'!$À$301), "", 'Data Entry'!$À$301)</f>
      </c>
      <c r="DY301">
        <f>IF(ISBLANK('Data Entry'!$Á$301), "", 'Data Entry'!$Á$301)</f>
      </c>
      <c r="DZ301">
        <f>IF(ISBLANK('Data Entry'!$Â$301), "", 'Data Entry'!$Â$301)</f>
      </c>
      <c r="EA301">
        <f>IF(ISBLANK('Data Entry'!$Ã$301), "", 'Data Entry'!$Ã$301)</f>
      </c>
      <c r="EB301">
        <f>IF(ISBLANK('Data Entry'!$Ä$301), "", 'Data Entry'!$Ä$301)</f>
      </c>
      <c r="EC301">
        <f>IF(ISBLANK('Data Entry'!$Å$301), "", 'Data Entry'!$Å$301)</f>
      </c>
      <c r="ED301">
        <f>IF(ISBLANK('Data Entry'!$Æ$301), "", 'Data Entry'!$Æ$301)</f>
      </c>
      <c r="EE301">
        <f>IF(ISBLANK('Data Entry'!$Ç$301), "", 'Data Entry'!$Ç$301)</f>
      </c>
      <c r="EF301">
        <f>IF(ISBLANK('Data Entry'!$È$301), "", 'Data Entry'!$È$301)</f>
      </c>
      <c r="EG301">
        <f>IF(ISBLANK('Data Entry'!$É$301), "", 'Data Entry'!$É$301)</f>
      </c>
      <c r="EH301">
        <f>IF(ISBLANK('Data Entry'!$Ê$301), "", 'Data Entry'!$Ê$301)</f>
      </c>
      <c r="EI301">
        <f>IF(ISBLANK('Data Entry'!$Ë$301), "", 'Data Entry'!$Ë$301)</f>
      </c>
      <c r="EJ301">
        <f>IF(ISBLANK('Data Entry'!$Ì$301), "", 'Data Entry'!$Ì$301)</f>
      </c>
      <c r="EK301">
        <f>IF(ISBLANK('Data Entry'!$Í$301), "", 'Data Entry'!$Í$301)</f>
      </c>
      <c r="EL301">
        <f>IF(ISBLANK('Data Entry'!$Î$301), "", 'Data Entry'!$Î$301)</f>
      </c>
      <c r="EM301">
        <f>IF(ISBLANK('Data Entry'!$Ï$301), "", 'Data Entry'!$Ï$301)</f>
      </c>
      <c r="EN301">
        <f>IF(ISBLANK('Data Entry'!$Ð$301), "", 'Data Entry'!$Ð$301)</f>
      </c>
      <c r="EO301">
        <f>IF(ISBLANK('Data Entry'!$Ñ$301), "", 'Data Entry'!$Ñ$301)</f>
      </c>
      <c r="EP301">
        <f>IF(ISBLANK('Data Entry'!$Ò$301), "", 'Data Entry'!$Ò$301)</f>
      </c>
      <c r="EQ301">
        <f>IF(ISBLANK('Data Entry'!$Ó$301), "", 'Data Entry'!$Ó$301)</f>
      </c>
      <c r="ER301">
        <f>IF(ISBLANK('Data Entry'!$Ô$301), "", 'Data Entry'!$Ô$301)</f>
      </c>
      <c r="ES301">
        <f>IF(ISBLANK('Data Entry'!$Õ$301), "", 'Data Entry'!$Õ$301)</f>
      </c>
      <c r="ET301">
        <f>IF(ISBLANK('Data Entry'!$Ö$301), "", 'Data Entry'!$Ö$301)</f>
      </c>
      <c r="EU301">
        <f>IF(ISBLANK('Data Entry'!$×$301), "", 'Data Entry'!$×$301)</f>
      </c>
      <c r="EV301">
        <f>IF(ISBLANK('Data Entry'!$Ø$301), "", 'Data Entry'!$Ø$301)</f>
      </c>
      <c r="EW301">
        <f>IF(ISBLANK('Data Entry'!$Ù$301), "", 'Data Entry'!$Ù$301)</f>
      </c>
      <c r="EX301">
        <f>IF(ISBLANK('Data Entry'!$Ú$301), "", 'Data Entry'!$Ú$301)</f>
      </c>
      <c r="EY301">
        <f>IF(ISBLANK('Data Entry'!$Û$301), "", 'Data Entry'!$Û$301)</f>
      </c>
      <c r="EZ301">
        <f>IF(ISBLANK('Data Entry'!$Ü$301), "", 'Data Entry'!$Ü$301)</f>
      </c>
      <c r="FA301">
        <f>IF(ISBLANK('Data Entry'!$Ý$301), "", 'Data Entry'!$Ý$301)</f>
      </c>
      <c r="FB301">
        <f>IF(ISBLANK('Data Entry'!$Þ$301), "", 'Data Entry'!$Þ$301)</f>
      </c>
      <c r="FC301">
        <f>IF(ISBLANK('Data Entry'!$ß$301), "", 'Data Entry'!$ß$301)</f>
      </c>
      <c r="FD301">
        <f>IF(ISBLANK('Data Entry'!$à$301), "", 'Data Entry'!$à$301)</f>
      </c>
      <c r="FE301">
        <f>IF(ISBLANK('Data Entry'!$á$301), "", 'Data Entry'!$á$301)</f>
      </c>
      <c r="FF301">
        <f>IF(ISBLANK('Data Entry'!$â$301), "", 'Data Entry'!$â$301)</f>
      </c>
      <c r="FG301">
        <f>IF(ISBLANK('Data Entry'!$ã$301), "", 'Data Entry'!$ã$301)</f>
      </c>
      <c r="FH301">
        <f>IF(ISBLANK('Data Entry'!$ä$301), "", 'Data Entry'!$ä$301)</f>
      </c>
      <c r="FI301">
        <f>IF(ISBLANK('Data Entry'!$å$301), "", 'Data Entry'!$å$301)</f>
      </c>
      <c r="FJ301">
        <f>IF(ISBLANK('Data Entry'!$æ$301), "", 'Data Entry'!$æ$301)</f>
      </c>
      <c r="FK301">
        <f>IF(ISBLANK('Data Entry'!$ç$301), "", 'Data Entry'!$ç$301)</f>
      </c>
      <c r="FL301">
        <f>IF(ISBLANK('Data Entry'!$è$301), "", 'Data Entry'!$è$301)</f>
      </c>
      <c r="FM301">
        <f>IF(ISBLANK('Data Entry'!$é$301), "", 'Data Entry'!$é$301)</f>
      </c>
      <c r="FN301">
        <f>IF(ISBLANK('Data Entry'!$ê$301), "", 'Data Entry'!$ê$301)</f>
      </c>
      <c r="FO301">
        <f>IF(ISBLANK('Data Entry'!$ë$301), "", 'Data Entry'!$ë$301)</f>
      </c>
      <c r="FP301">
        <f>IF(ISBLANK('Data Entry'!$ì$301), "", 'Data Entry'!$ì$301)</f>
      </c>
      <c r="FQ301">
        <f>IF(ISBLANK('Data Entry'!$í$301), "", 'Data Entry'!$í$301)</f>
      </c>
      <c r="FR301">
        <f>IF(ISBLANK('Data Entry'!$î$301), "", 'Data Entry'!$î$301)</f>
      </c>
      <c r="FS301">
        <f>IF(ISBLANK('Data Entry'!$ï$301), "", 'Data Entry'!$ï$301)</f>
      </c>
      <c r="FT301">
        <f>IF(ISBLANK('Data Entry'!$ð$301), "", 'Data Entry'!$ð$301)</f>
      </c>
      <c r="FU301">
        <f>IF(ISBLANK('Data Entry'!$ñ$301), "", 'Data Entry'!$ñ$301)</f>
      </c>
      <c r="FV301">
        <f>IF(ISBLANK('Data Entry'!$ò$301), "", 'Data Entry'!$ò$301)</f>
      </c>
      <c r="FW301">
        <f>IF(ISBLANK('Data Entry'!$ó$301), "", 'Data Entry'!$ó$301)</f>
      </c>
      <c r="FX301">
        <f>IF(ISBLANK('Data Entry'!$ô$301), "", 'Data Entry'!$ô$301)</f>
      </c>
      <c r="FY301">
        <f>IF(ISBLANK('Data Entry'!$õ$301), "", 'Data Entry'!$õ$301)</f>
      </c>
      <c r="FZ301">
        <f>IF(ISBLANK('Data Entry'!$ö$301), "", 'Data Entry'!$ö$301)</f>
      </c>
      <c r="GA301">
        <f>IF(ISBLANK('Data Entry'!$÷$301), "", 'Data Entry'!$÷$301)</f>
      </c>
      <c r="GB301">
        <f>IF(ISBLANK('Data Entry'!$ø$301), "", 'Data Entry'!$ø$301)</f>
      </c>
      <c r="GC301">
        <f>IF(ISBLANK('Data Entry'!$ù$301), "", 'Data Entry'!$ù$301)</f>
      </c>
      <c r="GD301">
        <f>IF(ISBLANK('Data Entry'!$ú$301), "", 'Data Entry'!$ú$301)</f>
      </c>
      <c r="GE301">
        <f>IF(ISBLANK('Data Entry'!$û$301), "", 'Data Entry'!$û$301)</f>
      </c>
      <c r="GF301">
        <f>IF(ISBLANK('Data Entry'!$ü$301), "", 'Data Entry'!$ü$301)</f>
      </c>
      <c r="GG301">
        <f>IF(ISBLANK('Data Entry'!$ý$301), "", 'Data Entry'!$ý$301)</f>
      </c>
      <c r="GH301">
        <f>IF(ISBLANK('Data Entry'!$þ$301), "", 'Data Entry'!$þ$301)</f>
      </c>
      <c r="GI301">
        <f>IF(ISBLANK('Data Entry'!$ÿ$301), "", 'Data Entry'!$ÿ$301)</f>
      </c>
      <c r="GJ301">
        <f>IF(ISBLANK('Data Entry'!$Ā$301), "", 'Data Entry'!$Ā$301)</f>
      </c>
      <c r="GK301">
        <f>IF(ISBLANK('Data Entry'!$ā$301), "", 'Data Entry'!$ā$301)</f>
      </c>
      <c r="GL301">
        <f>IF(ISBLANK('Data Entry'!$Ă$301), "", 'Data Entry'!$Ă$301)</f>
      </c>
      <c r="GM301">
        <f>IF(ISBLANK('Data Entry'!$ă$301), "", 'Data Entry'!$ă$301)</f>
      </c>
      <c r="GN301">
        <f>IF(ISBLANK('Data Entry'!$Ą$301), "", 'Data Entry'!$Ą$301)</f>
      </c>
      <c r="GO301">
        <f>IF(ISBLANK('Data Entry'!$ą$301), "", 'Data Entry'!$ą$301)</f>
      </c>
      <c r="GP301">
        <f>IF(ISBLANK('Data Entry'!$Ć$301), "", 'Data Entry'!$Ć$301)</f>
      </c>
      <c r="GQ301">
        <f>IF(ISBLANK('Data Entry'!$ć$301), "", 'Data Entry'!$ć$301)</f>
      </c>
      <c r="GR301">
        <f>IF(ISBLANK('Data Entry'!$Ĉ$301), "", 'Data Entry'!$Ĉ$301)</f>
      </c>
      <c r="GS301">
        <f>IF(ISBLANK('Data Entry'!$ĉ$301), "", 'Data Entry'!$ĉ$301)</f>
      </c>
      <c r="GT301">
        <f>IF(ISBLANK('Data Entry'!$Ċ$301), "", 'Data Entry'!$Ċ$301)</f>
      </c>
      <c r="GU301">
        <f>IF(ISBLANK('Data Entry'!$ċ$301), "", 'Data Entry'!$ċ$301)</f>
      </c>
      <c r="GV301">
        <f>IF(ISBLANK('Data Entry'!$Č$301), "", 'Data Entry'!$Č$301)</f>
      </c>
      <c r="GW301">
        <f>IF(ISBLANK('Data Entry'!$č$301), "", 'Data Entry'!$č$301)</f>
      </c>
      <c r="GX301">
        <f>IF(ISBLANK('Data Entry'!$Ď$301), "", 'Data Entry'!$Ď$301)</f>
      </c>
      <c r="GY301">
        <f>IF(ISBLANK('Data Entry'!$ď$301), "", 'Data Entry'!$ď$301)</f>
      </c>
      <c r="GZ301">
        <f>IF(ISBLANK('Data Entry'!$Đ$301), "", 'Data Entry'!$Đ$301)</f>
      </c>
      <c r="HA301">
        <f>IF(ISBLANK('Data Entry'!$đ$301), "", 'Data Entry'!$đ$301)</f>
      </c>
      <c r="HB301">
        <f>IF(ISBLANK('Data Entry'!$Ē$301), "", 'Data Entry'!$Ē$301)</f>
      </c>
      <c r="HC301">
        <f>IF(ISBLANK('Data Entry'!$ē$301), "", 'Data Entry'!$ē$301)</f>
      </c>
      <c r="HD301">
        <f>IF(ISBLANK('Data Entry'!$Ĕ$301), "", 'Data Entry'!$Ĕ$301)</f>
      </c>
      <c r="HE301">
        <f>IF(ISBLANK('Data Entry'!$ĕ$301), "", 'Data Entry'!$ĕ$301)</f>
      </c>
      <c r="HF301">
        <f>IF(ISBLANK('Data Entry'!$Ė$301), "", 'Data Entry'!$Ė$301)</f>
      </c>
      <c r="HG301">
        <f>IF(ISBLANK('Data Entry'!$ė$301), "", 'Data Entry'!$ė$301)</f>
      </c>
      <c r="HH301">
        <f>IF(ISBLANK('Data Entry'!$Ę$301), "", 'Data Entry'!$Ę$301)</f>
      </c>
      <c r="HI301">
        <f>IF(ISBLANK('Data Entry'!$ę$301), "", 'Data Entry'!$ę$301)</f>
      </c>
      <c r="HJ301">
        <f>IF(ISBLANK('Data Entry'!$Ě$301), "", 'Data Entry'!$Ě$301)</f>
      </c>
      <c r="HK301">
        <f>IF(ISBLANK('Data Entry'!$ě$301), "", 'Data Entry'!$ě$301)</f>
      </c>
      <c r="HL301">
        <f>IF(ISBLANK('Data Entry'!$Ĝ$301), "", 'Data Entry'!$Ĝ$301)</f>
      </c>
      <c r="HM301">
        <f>IF(ISBLANK('Data Entry'!$ĝ$301), "", 'Data Entry'!$ĝ$301)</f>
      </c>
      <c r="HN301">
        <f>IF(ISBLANK('Data Entry'!$Ğ$301), "", 'Data Entry'!$Ğ$301)</f>
      </c>
      <c r="HO301">
        <f>IF(ISBLANK('Data Entry'!$ğ$301), "", 'Data Entry'!$ğ$301)</f>
      </c>
      <c r="HP301">
        <f>IF(ISBLANK('Data Entry'!$Ġ$301), "", 'Data Entry'!$Ġ$301)</f>
      </c>
      <c r="HQ301">
        <f>IF(ISBLANK('Data Entry'!$ġ$301), "", 'Data Entry'!$ġ$301)</f>
      </c>
      <c r="HR301">
        <f>IF(ISBLANK('Data Entry'!$Ģ$301), "", 'Data Entry'!$Ģ$301)</f>
      </c>
      <c r="HS301">
        <f>IF(ISBLANK('Data Entry'!$ģ$301), "", 'Data Entry'!$ģ$301)</f>
      </c>
      <c r="HT301">
        <f>IF(ISBLANK('Data Entry'!$Ĥ$301), "", 'Data Entry'!$Ĥ$301)</f>
      </c>
      <c r="HU301">
        <f>IF(ISBLANK('Data Entry'!$ĥ$301), "", 'Data Entry'!$ĥ$301)</f>
      </c>
      <c r="HV301">
        <f>IF(ISBLANK('Data Entry'!$Ħ$301), "", 'Data Entry'!$Ħ$301)</f>
      </c>
      <c r="HW301">
        <f>IF(ISBLANK('Data Entry'!$ħ$301), "", 'Data Entry'!$ħ$301)</f>
      </c>
      <c r="HX301">
        <f>IF(ISBLANK('Data Entry'!$Ĩ$301), "", 'Data Entry'!$Ĩ$301)</f>
      </c>
      <c r="HY301">
        <f>IF(ISBLANK('Data Entry'!$ĩ$301), "", 'Data Entry'!$ĩ$301)</f>
      </c>
      <c r="HZ301">
        <f>IF(ISBLANK('Data Entry'!$Ī$301), "", 'Data Entry'!$Ī$301)</f>
      </c>
      <c r="IA301">
        <f>IF(ISBLANK('Data Entry'!$ī$301), "", 'Data Entry'!$ī$301)</f>
      </c>
      <c r="IB301">
        <f>IF(ISBLANK('Data Entry'!$Ĭ$301), "", 'Data Entry'!$Ĭ$301)</f>
      </c>
      <c r="IC301">
        <f>IF(ISBLANK('Data Entry'!$ĭ$301), "", 'Data Entry'!$ĭ$301)</f>
      </c>
      <c r="ID301">
        <f>IF(ISBLANK('Data Entry'!$Į$301), "", 'Data Entry'!$Į$301)</f>
      </c>
      <c r="IE301">
        <f>IF(ISBLANK('Data Entry'!$į$301), "", 'Data Entry'!$į$301)</f>
      </c>
      <c r="IF301">
        <f>IF(ISBLANK('Data Entry'!$İ$301), "", 'Data Entry'!$İ$301)</f>
      </c>
      <c r="IG301">
        <f>IF(ISBLANK('Data Entry'!$ı$301), "", 'Data Entry'!$ı$301)</f>
      </c>
      <c r="IH301">
        <f>IF(ISBLANK('Data Entry'!$Ĳ$301), "", 'Data Entry'!$Ĳ$301)</f>
      </c>
      <c r="II301">
        <f>IF(ISBLANK('Data Entry'!$ĳ$301), "", 'Data Entry'!$ĳ$301)</f>
      </c>
      <c r="IJ301">
        <f>IF(ISBLANK('Data Entry'!$Ĵ$301), "", 'Data Entry'!$Ĵ$301)</f>
      </c>
      <c r="IK301">
        <f>IF(ISBLANK('Data Entry'!$ĵ$301), "", 'Data Entry'!$ĵ$301)</f>
      </c>
      <c r="IL301">
        <f>IF(ISBLANK('Data Entry'!$Ķ$301), "", 'Data Entry'!$Ķ$301)</f>
      </c>
      <c r="IM301">
        <f>IF(ISBLANK('Data Entry'!$ķ$301), "", 'Data Entry'!$ķ$301)</f>
      </c>
      <c r="IN301">
        <f>IF(ISBLANK('Data Entry'!$ĸ$301), "", 'Data Entry'!$ĸ$301)</f>
      </c>
      <c r="IO301">
        <f>IF(ISBLANK('Data Entry'!$Ĺ$301), "", 'Data Entry'!$Ĺ$301)</f>
      </c>
      <c r="IP301">
        <f>IF(ISBLANK('Data Entry'!$ĺ$301), "", 'Data Entry'!$ĺ$301)</f>
      </c>
      <c r="IQ301">
        <f>IF(ISBLANK('Data Entry'!$Ļ$301), "", 'Data Entry'!$Ļ$301)</f>
      </c>
      <c r="IR301">
        <f>IF(ISBLANK('Data Entry'!$ļ$301), "", 'Data Entry'!$ļ$301)</f>
      </c>
      <c r="IS301">
        <f>IF(ISBLANK('Data Entry'!$Ľ$301), "", 'Data Entry'!$Ľ$301)</f>
      </c>
      <c r="IT301">
        <f>IF(ISBLANK('Data Entry'!$ľ$301), "", 'Data Entry'!$ľ$301)</f>
      </c>
    </row>
    <row r="302" spans="1:254" x14ac:dyDescent="0.25">
      <c r="A302">
        <f>IF(ISBLANK('Data Entry'!$A$302), "", 'Data Entry'!$A$302)</f>
      </c>
      <c r="B302">
        <f>IF(ISBLANK('Data Entry'!$B$302), "", 'Data Entry'!$B$302)</f>
      </c>
      <c r="C302">
        <f>IF(ISBLANK('Data Entry'!$C$302), "", 'Data Entry'!$C$302)</f>
      </c>
      <c r="D302">
        <f>IF(ISBLANK('Data Entry'!$D$302), "", 'Data Entry'!$D$302)</f>
      </c>
      <c r="E302">
        <f>IF(ISBLANK('Data Entry'!$E$302), "", 'Data Entry'!$E$302)</f>
      </c>
      <c r="F302">
        <f>IF(ISBLANK('Data Entry'!$F$302), "", 'Data Entry'!$F$302)</f>
      </c>
      <c r="G302">
        <f>IF(ISBLANK('Data Entry'!$G$302), "", 'Data Entry'!$G$302)</f>
      </c>
      <c r="H302">
        <f>IF(ISBLANK('Data Entry'!$H$302), "", 'Data Entry'!$H$302)</f>
      </c>
      <c r="I302">
        <f>IF(ISBLANK('Data Entry'!$I$302), "", 'Data Entry'!$I$302)</f>
      </c>
      <c r="J302">
        <f>IF(ISBLANK('Data Entry'!$J$302), "", 'Data Entry'!$J$302)</f>
      </c>
      <c r="K302">
        <f>IF(ISBLANK('Data Entry'!$K$302), "", 'Data Entry'!$K$302)</f>
      </c>
      <c r="L302">
        <f>IF(ISBLANK('Data Entry'!$L$302), "", 'Data Entry'!$L$302)</f>
      </c>
      <c r="M302">
        <f>IF(ISBLANK('Data Entry'!$M$302), "", 'Data Entry'!$M$302)</f>
      </c>
      <c r="N302">
        <f>IF(ISBLANK('Data Entry'!$N$302), "", 'Data Entry'!$N$302)</f>
      </c>
      <c r="O302">
        <f>IF(ISBLANK('Data Entry'!$O$302), "", 'Data Entry'!$O$302)</f>
      </c>
      <c r="P302">
        <f>IF(ISBLANK('Data Entry'!$P$302), "", 'Data Entry'!$P$302)</f>
      </c>
      <c r="Q302">
        <f>IF(ISBLANK('Data Entry'!$Q$302), "", 'Data Entry'!$Q$302)</f>
      </c>
      <c r="R302">
        <f>IF(ISBLANK('Data Entry'!$R$302), "", 'Data Entry'!$R$302)</f>
      </c>
      <c r="S302">
        <f>IF(ISBLANK('Data Entry'!$S$302), "", 'Data Entry'!$S$302)</f>
      </c>
      <c r="T302">
        <f>IF(ISBLANK('Data Entry'!$T$302), "", 'Data Entry'!$T$302)</f>
      </c>
      <c r="U302">
        <f>IF(ISBLANK('Data Entry'!$U$302), "", 'Data Entry'!$U$302)</f>
      </c>
      <c r="V302">
        <f>IF(ISBLANK('Data Entry'!$V$302), "", 'Data Entry'!$V$302)</f>
      </c>
      <c r="W302">
        <f>IF(ISBLANK('Data Entry'!$W$302), "", 'Data Entry'!$W$302)</f>
      </c>
      <c r="X302">
        <f>IF(ISBLANK('Data Entry'!$X$302), "", 'Data Entry'!$X$302)</f>
      </c>
      <c r="Y302">
        <f>IF(ISBLANK('Data Entry'!$Y$302), "", 'Data Entry'!$Y$302)</f>
      </c>
      <c r="Z302">
        <f>IF(ISBLANK('Data Entry'!$Z$302), "", 'Data Entry'!$Z$302)</f>
      </c>
      <c r="AA302">
        <f>IF(ISBLANK('Data Entry'!$[$302), "", 'Data Entry'!$[$302)</f>
      </c>
      <c r="AB302">
        <f>IF(ISBLANK('Data Entry'!$\$302), "", 'Data Entry'!$\$302)</f>
      </c>
      <c r="AC302">
        <f>IF(ISBLANK('Data Entry'!$]$302), "", 'Data Entry'!$]$302)</f>
      </c>
      <c r="AD302">
        <f>IF(ISBLANK('Data Entry'!$^$302), "", 'Data Entry'!$^$302)</f>
      </c>
      <c r="AE302">
        <f>IF(ISBLANK('Data Entry'!$_$302), "", 'Data Entry'!$_$302)</f>
      </c>
      <c r="AF302">
        <f>IF(ISBLANK('Data Entry'!$`$302), "", 'Data Entry'!$`$302)</f>
      </c>
      <c r="AG302">
        <f>IF(ISBLANK('Data Entry'!$a$302), "", 'Data Entry'!$a$302)</f>
      </c>
      <c r="AH302">
        <f>IF(ISBLANK('Data Entry'!$b$302), "", 'Data Entry'!$b$302)</f>
      </c>
      <c r="AI302">
        <f>IF(ISBLANK('Data Entry'!$c$302), "", 'Data Entry'!$c$302)</f>
      </c>
      <c r="AJ302">
        <f>IF(ISBLANK('Data Entry'!$d$302), "", 'Data Entry'!$d$302)</f>
      </c>
      <c r="AK302">
        <f>IF(ISBLANK('Data Entry'!$e$302), "", 'Data Entry'!$e$302)</f>
      </c>
      <c r="AL302">
        <f>IF(ISBLANK('Data Entry'!$f$302), "", 'Data Entry'!$f$302)</f>
      </c>
      <c r="AM302">
        <f>IF(ISBLANK('Data Entry'!$g$302), "", 'Data Entry'!$g$302)</f>
      </c>
      <c r="AN302">
        <f>IF(ISBLANK('Data Entry'!$h$302), "", 'Data Entry'!$h$302)</f>
      </c>
      <c r="AO302">
        <f>IF(ISBLANK('Data Entry'!$i$302), "", 'Data Entry'!$i$302)</f>
      </c>
      <c r="AP302">
        <f>IF(ISBLANK('Data Entry'!$j$302), "", 'Data Entry'!$j$302)</f>
      </c>
      <c r="AQ302">
        <f>IF(ISBLANK('Data Entry'!$k$302), "", 'Data Entry'!$k$302)</f>
      </c>
      <c r="AR302">
        <f>IF(ISBLANK('Data Entry'!$l$302), "", 'Data Entry'!$l$302)</f>
      </c>
      <c r="AS302">
        <f>IF(ISBLANK('Data Entry'!$m$302), "", 'Data Entry'!$m$302)</f>
      </c>
      <c r="AT302">
        <f>IF(ISBLANK('Data Entry'!$n$302), "", 'Data Entry'!$n$302)</f>
      </c>
      <c r="AU302">
        <f>IF(ISBLANK('Data Entry'!$o$302), "", 'Data Entry'!$o$302)</f>
      </c>
      <c r="AV302">
        <f>IF(ISBLANK('Data Entry'!$p$302), "", 'Data Entry'!$p$302)</f>
      </c>
      <c r="AW302">
        <f>IF(ISBLANK('Data Entry'!$q$302), "", 'Data Entry'!$q$302)</f>
      </c>
      <c r="AX302">
        <f>IF(ISBLANK('Data Entry'!$r$302), "", 'Data Entry'!$r$302)</f>
      </c>
      <c r="AY302">
        <f>IF(ISBLANK('Data Entry'!$s$302), "", 'Data Entry'!$s$302)</f>
      </c>
      <c r="AZ302">
        <f>IF(ISBLANK('Data Entry'!$t$302), "", 'Data Entry'!$t$302)</f>
      </c>
      <c r="BA302">
        <f>IF(ISBLANK('Data Entry'!$u$302), "", 'Data Entry'!$u$302)</f>
      </c>
      <c r="BB302">
        <f>IF(ISBLANK('Data Entry'!$v$302), "", 'Data Entry'!$v$302)</f>
      </c>
      <c r="BC302">
        <f>IF(ISBLANK('Data Entry'!$w$302), "", 'Data Entry'!$w$302)</f>
      </c>
      <c r="BD302">
        <f>IF(ISBLANK('Data Entry'!$x$302), "", 'Data Entry'!$x$302)</f>
      </c>
      <c r="BE302">
        <f>IF(ISBLANK('Data Entry'!$y$302), "", 'Data Entry'!$y$302)</f>
      </c>
      <c r="BF302">
        <f>IF(ISBLANK('Data Entry'!$z$302), "", 'Data Entry'!$z$302)</f>
      </c>
      <c r="BG302">
        <f>IF(ISBLANK('Data Entry'!${$302), "", 'Data Entry'!${$302)</f>
      </c>
      <c r="BH302">
        <f>IF(ISBLANK('Data Entry'!$|$302), "", 'Data Entry'!$|$302)</f>
      </c>
      <c r="BI302">
        <f>IF(ISBLANK('Data Entry'!$}$302), "", 'Data Entry'!$}$302)</f>
      </c>
      <c r="BJ302">
        <f>IF(ISBLANK('Data Entry'!$~$302), "", 'Data Entry'!$~$302)</f>
      </c>
      <c r="BK302">
        <f>IF(ISBLANK('Data Entry'!$$302), "", 'Data Entry'!$$302)</f>
      </c>
      <c r="BL302">
        <f>IF(ISBLANK('Data Entry'!$$302), "", 'Data Entry'!$$302)</f>
      </c>
      <c r="BM302">
        <f>IF(ISBLANK('Data Entry'!$$302), "", 'Data Entry'!$$302)</f>
      </c>
      <c r="BN302">
        <f>IF(ISBLANK('Data Entry'!$$302), "", 'Data Entry'!$$302)</f>
      </c>
      <c r="BO302">
        <f>IF(ISBLANK('Data Entry'!$$302), "", 'Data Entry'!$$302)</f>
      </c>
      <c r="BP302">
        <f>IF(ISBLANK('Data Entry'!$$302), "", 'Data Entry'!$$302)</f>
      </c>
      <c r="BQ302">
        <f>IF(ISBLANK('Data Entry'!$$302), "", 'Data Entry'!$$302)</f>
      </c>
      <c r="BR302">
        <f>IF(ISBLANK('Data Entry'!$$302), "", 'Data Entry'!$$302)</f>
      </c>
      <c r="BS302">
        <f>IF(ISBLANK('Data Entry'!$$302), "", 'Data Entry'!$$302)</f>
      </c>
      <c r="BT302">
        <f>IF(ISBLANK('Data Entry'!$$302), "", 'Data Entry'!$$302)</f>
      </c>
      <c r="BU302">
        <f>IF(ISBLANK('Data Entry'!$$302), "", 'Data Entry'!$$302)</f>
      </c>
      <c r="BV302">
        <f>IF(ISBLANK('Data Entry'!$$302), "", 'Data Entry'!$$302)</f>
      </c>
      <c r="BW302">
        <f>IF(ISBLANK('Data Entry'!$$302), "", 'Data Entry'!$$302)</f>
      </c>
      <c r="BX302">
        <f>IF(ISBLANK('Data Entry'!$$302), "", 'Data Entry'!$$302)</f>
      </c>
      <c r="BY302">
        <f>IF(ISBLANK('Data Entry'!$$302), "", 'Data Entry'!$$302)</f>
      </c>
      <c r="BZ302">
        <f>IF(ISBLANK('Data Entry'!$$302), "", 'Data Entry'!$$302)</f>
      </c>
      <c r="CA302">
        <f>IF(ISBLANK('Data Entry'!$$302), "", 'Data Entry'!$$302)</f>
      </c>
      <c r="CB302">
        <f>IF(ISBLANK('Data Entry'!$$302), "", 'Data Entry'!$$302)</f>
      </c>
      <c r="CC302">
        <f>IF(ISBLANK('Data Entry'!$$302), "", 'Data Entry'!$$302)</f>
      </c>
      <c r="CD302">
        <f>IF(ISBLANK('Data Entry'!$$302), "", 'Data Entry'!$$302)</f>
      </c>
      <c r="CE302">
        <f>IF(ISBLANK('Data Entry'!$$302), "", 'Data Entry'!$$302)</f>
      </c>
      <c r="CF302">
        <f>IF(ISBLANK('Data Entry'!$$302), "", 'Data Entry'!$$302)</f>
      </c>
      <c r="CG302">
        <f>IF(ISBLANK('Data Entry'!$$302), "", 'Data Entry'!$$302)</f>
      </c>
      <c r="CH302">
        <f>IF(ISBLANK('Data Entry'!$$302), "", 'Data Entry'!$$302)</f>
      </c>
      <c r="CI302">
        <f>IF(ISBLANK('Data Entry'!$$302), "", 'Data Entry'!$$302)</f>
      </c>
      <c r="CJ302">
        <f>IF(ISBLANK('Data Entry'!$$302), "", 'Data Entry'!$$302)</f>
      </c>
      <c r="CK302">
        <f>IF(ISBLANK('Data Entry'!$$302), "", 'Data Entry'!$$302)</f>
      </c>
      <c r="CL302">
        <f>IF(ISBLANK('Data Entry'!$$302), "", 'Data Entry'!$$302)</f>
      </c>
      <c r="CM302">
        <f>IF(ISBLANK('Data Entry'!$$302), "", 'Data Entry'!$$302)</f>
      </c>
      <c r="CN302">
        <f>IF(ISBLANK('Data Entry'!$$302), "", 'Data Entry'!$$302)</f>
      </c>
      <c r="CO302">
        <f>IF(ISBLANK('Data Entry'!$$302), "", 'Data Entry'!$$302)</f>
      </c>
      <c r="CP302">
        <f>IF(ISBLANK('Data Entry'!$$302), "", 'Data Entry'!$$302)</f>
      </c>
      <c r="CQ302">
        <f>IF(ISBLANK('Data Entry'!$$302), "", 'Data Entry'!$$302)</f>
      </c>
      <c r="CR302">
        <f>IF(ISBLANK('Data Entry'!$ $302), "", 'Data Entry'!$ $302)</f>
      </c>
      <c r="CS302">
        <f>IF(ISBLANK('Data Entry'!$¡$302), "", 'Data Entry'!$¡$302)</f>
      </c>
      <c r="CT302">
        <f>IF(ISBLANK('Data Entry'!$¢$302), "", 'Data Entry'!$¢$302)</f>
      </c>
      <c r="CU302">
        <f>IF(ISBLANK('Data Entry'!$£$302), "", 'Data Entry'!$£$302)</f>
      </c>
      <c r="CV302">
        <f>IF(ISBLANK('Data Entry'!$¤$302), "", 'Data Entry'!$¤$302)</f>
      </c>
      <c r="CW302">
        <f>IF(ISBLANK('Data Entry'!$¥$302), "", 'Data Entry'!$¥$302)</f>
      </c>
      <c r="CX302">
        <f>IF(ISBLANK('Data Entry'!$¦$302), "", 'Data Entry'!$¦$302)</f>
      </c>
      <c r="CY302">
        <f>IF(ISBLANK('Data Entry'!$§$302), "", 'Data Entry'!$§$302)</f>
      </c>
      <c r="CZ302">
        <f>IF(ISBLANK('Data Entry'!$¨$302), "", 'Data Entry'!$¨$302)</f>
      </c>
      <c r="DA302">
        <f>IF(ISBLANK('Data Entry'!$©$302), "", 'Data Entry'!$©$302)</f>
      </c>
      <c r="DB302">
        <f>IF(ISBLANK('Data Entry'!$ª$302), "", 'Data Entry'!$ª$302)</f>
      </c>
      <c r="DC302">
        <f>IF(ISBLANK('Data Entry'!$«$302), "", 'Data Entry'!$«$302)</f>
      </c>
      <c r="DD302">
        <f>IF(ISBLANK('Data Entry'!$¬$302), "", 'Data Entry'!$¬$302)</f>
      </c>
      <c r="DE302">
        <f>IF(ISBLANK('Data Entry'!$­$302), "", 'Data Entry'!$­$302)</f>
      </c>
      <c r="DF302">
        <f>IF(ISBLANK('Data Entry'!$®$302), "", 'Data Entry'!$®$302)</f>
      </c>
      <c r="DG302">
        <f>IF(ISBLANK('Data Entry'!$¯$302), "", 'Data Entry'!$¯$302)</f>
      </c>
      <c r="DH302">
        <f>IF(ISBLANK('Data Entry'!$°$302), "", 'Data Entry'!$°$302)</f>
      </c>
      <c r="DI302">
        <f>IF(ISBLANK('Data Entry'!$±$302), "", 'Data Entry'!$±$302)</f>
      </c>
      <c r="DJ302">
        <f>IF(ISBLANK('Data Entry'!$²$302), "", 'Data Entry'!$²$302)</f>
      </c>
      <c r="DK302">
        <f>IF(ISBLANK('Data Entry'!$³$302), "", 'Data Entry'!$³$302)</f>
      </c>
      <c r="DL302">
        <f>IF(ISBLANK('Data Entry'!$´$302), "", 'Data Entry'!$´$302)</f>
      </c>
      <c r="DM302">
        <f>IF(ISBLANK('Data Entry'!$µ$302), "", 'Data Entry'!$µ$302)</f>
      </c>
      <c r="DN302">
        <f>IF(ISBLANK('Data Entry'!$¶$302), "", 'Data Entry'!$¶$302)</f>
      </c>
      <c r="DO302">
        <f>IF(ISBLANK('Data Entry'!$·$302), "", 'Data Entry'!$·$302)</f>
      </c>
      <c r="DP302">
        <f>IF(ISBLANK('Data Entry'!$¸$302), "", 'Data Entry'!$¸$302)</f>
      </c>
      <c r="DQ302">
        <f>IF(ISBLANK('Data Entry'!$¹$302), "", 'Data Entry'!$¹$302)</f>
      </c>
      <c r="DR302">
        <f>IF(ISBLANK('Data Entry'!$º$302), "", 'Data Entry'!$º$302)</f>
      </c>
      <c r="DS302">
        <f>IF(ISBLANK('Data Entry'!$»$302), "", 'Data Entry'!$»$302)</f>
      </c>
      <c r="DT302">
        <f>IF(ISBLANK('Data Entry'!$¼$302), "", 'Data Entry'!$¼$302)</f>
      </c>
      <c r="DU302">
        <f>IF(ISBLANK('Data Entry'!$½$302), "", 'Data Entry'!$½$302)</f>
      </c>
      <c r="DV302">
        <f>IF(ISBLANK('Data Entry'!$¾$302), "", 'Data Entry'!$¾$302)</f>
      </c>
      <c r="DW302">
        <f>IF(ISBLANK('Data Entry'!$¿$302), "", 'Data Entry'!$¿$302)</f>
      </c>
      <c r="DX302">
        <f>IF(ISBLANK('Data Entry'!$À$302), "", 'Data Entry'!$À$302)</f>
      </c>
      <c r="DY302">
        <f>IF(ISBLANK('Data Entry'!$Á$302), "", 'Data Entry'!$Á$302)</f>
      </c>
      <c r="DZ302">
        <f>IF(ISBLANK('Data Entry'!$Â$302), "", 'Data Entry'!$Â$302)</f>
      </c>
      <c r="EA302">
        <f>IF(ISBLANK('Data Entry'!$Ã$302), "", 'Data Entry'!$Ã$302)</f>
      </c>
      <c r="EB302">
        <f>IF(ISBLANK('Data Entry'!$Ä$302), "", 'Data Entry'!$Ä$302)</f>
      </c>
      <c r="EC302">
        <f>IF(ISBLANK('Data Entry'!$Å$302), "", 'Data Entry'!$Å$302)</f>
      </c>
      <c r="ED302">
        <f>IF(ISBLANK('Data Entry'!$Æ$302), "", 'Data Entry'!$Æ$302)</f>
      </c>
      <c r="EE302">
        <f>IF(ISBLANK('Data Entry'!$Ç$302), "", 'Data Entry'!$Ç$302)</f>
      </c>
      <c r="EF302">
        <f>IF(ISBLANK('Data Entry'!$È$302), "", 'Data Entry'!$È$302)</f>
      </c>
      <c r="EG302">
        <f>IF(ISBLANK('Data Entry'!$É$302), "", 'Data Entry'!$É$302)</f>
      </c>
      <c r="EH302">
        <f>IF(ISBLANK('Data Entry'!$Ê$302), "", 'Data Entry'!$Ê$302)</f>
      </c>
      <c r="EI302">
        <f>IF(ISBLANK('Data Entry'!$Ë$302), "", 'Data Entry'!$Ë$302)</f>
      </c>
      <c r="EJ302">
        <f>IF(ISBLANK('Data Entry'!$Ì$302), "", 'Data Entry'!$Ì$302)</f>
      </c>
      <c r="EK302">
        <f>IF(ISBLANK('Data Entry'!$Í$302), "", 'Data Entry'!$Í$302)</f>
      </c>
      <c r="EL302">
        <f>IF(ISBLANK('Data Entry'!$Î$302), "", 'Data Entry'!$Î$302)</f>
      </c>
      <c r="EM302">
        <f>IF(ISBLANK('Data Entry'!$Ï$302), "", 'Data Entry'!$Ï$302)</f>
      </c>
      <c r="EN302">
        <f>IF(ISBLANK('Data Entry'!$Ð$302), "", 'Data Entry'!$Ð$302)</f>
      </c>
      <c r="EO302">
        <f>IF(ISBLANK('Data Entry'!$Ñ$302), "", 'Data Entry'!$Ñ$302)</f>
      </c>
      <c r="EP302">
        <f>IF(ISBLANK('Data Entry'!$Ò$302), "", 'Data Entry'!$Ò$302)</f>
      </c>
      <c r="EQ302">
        <f>IF(ISBLANK('Data Entry'!$Ó$302), "", 'Data Entry'!$Ó$302)</f>
      </c>
      <c r="ER302">
        <f>IF(ISBLANK('Data Entry'!$Ô$302), "", 'Data Entry'!$Ô$302)</f>
      </c>
      <c r="ES302">
        <f>IF(ISBLANK('Data Entry'!$Õ$302), "", 'Data Entry'!$Õ$302)</f>
      </c>
      <c r="ET302">
        <f>IF(ISBLANK('Data Entry'!$Ö$302), "", 'Data Entry'!$Ö$302)</f>
      </c>
      <c r="EU302">
        <f>IF(ISBLANK('Data Entry'!$×$302), "", 'Data Entry'!$×$302)</f>
      </c>
      <c r="EV302">
        <f>IF(ISBLANK('Data Entry'!$Ø$302), "", 'Data Entry'!$Ø$302)</f>
      </c>
      <c r="EW302">
        <f>IF(ISBLANK('Data Entry'!$Ù$302), "", 'Data Entry'!$Ù$302)</f>
      </c>
      <c r="EX302">
        <f>IF(ISBLANK('Data Entry'!$Ú$302), "", 'Data Entry'!$Ú$302)</f>
      </c>
      <c r="EY302">
        <f>IF(ISBLANK('Data Entry'!$Û$302), "", 'Data Entry'!$Û$302)</f>
      </c>
      <c r="EZ302">
        <f>IF(ISBLANK('Data Entry'!$Ü$302), "", 'Data Entry'!$Ü$302)</f>
      </c>
      <c r="FA302">
        <f>IF(ISBLANK('Data Entry'!$Ý$302), "", 'Data Entry'!$Ý$302)</f>
      </c>
      <c r="FB302">
        <f>IF(ISBLANK('Data Entry'!$Þ$302), "", 'Data Entry'!$Þ$302)</f>
      </c>
      <c r="FC302">
        <f>IF(ISBLANK('Data Entry'!$ß$302), "", 'Data Entry'!$ß$302)</f>
      </c>
      <c r="FD302">
        <f>IF(ISBLANK('Data Entry'!$à$302), "", 'Data Entry'!$à$302)</f>
      </c>
      <c r="FE302">
        <f>IF(ISBLANK('Data Entry'!$á$302), "", 'Data Entry'!$á$302)</f>
      </c>
      <c r="FF302">
        <f>IF(ISBLANK('Data Entry'!$â$302), "", 'Data Entry'!$â$302)</f>
      </c>
      <c r="FG302">
        <f>IF(ISBLANK('Data Entry'!$ã$302), "", 'Data Entry'!$ã$302)</f>
      </c>
      <c r="FH302">
        <f>IF(ISBLANK('Data Entry'!$ä$302), "", 'Data Entry'!$ä$302)</f>
      </c>
      <c r="FI302">
        <f>IF(ISBLANK('Data Entry'!$å$302), "", 'Data Entry'!$å$302)</f>
      </c>
      <c r="FJ302">
        <f>IF(ISBLANK('Data Entry'!$æ$302), "", 'Data Entry'!$æ$302)</f>
      </c>
      <c r="FK302">
        <f>IF(ISBLANK('Data Entry'!$ç$302), "", 'Data Entry'!$ç$302)</f>
      </c>
      <c r="FL302">
        <f>IF(ISBLANK('Data Entry'!$è$302), "", 'Data Entry'!$è$302)</f>
      </c>
      <c r="FM302">
        <f>IF(ISBLANK('Data Entry'!$é$302), "", 'Data Entry'!$é$302)</f>
      </c>
      <c r="FN302">
        <f>IF(ISBLANK('Data Entry'!$ê$302), "", 'Data Entry'!$ê$302)</f>
      </c>
      <c r="FO302">
        <f>IF(ISBLANK('Data Entry'!$ë$302), "", 'Data Entry'!$ë$302)</f>
      </c>
      <c r="FP302">
        <f>IF(ISBLANK('Data Entry'!$ì$302), "", 'Data Entry'!$ì$302)</f>
      </c>
      <c r="FQ302">
        <f>IF(ISBLANK('Data Entry'!$í$302), "", 'Data Entry'!$í$302)</f>
      </c>
      <c r="FR302">
        <f>IF(ISBLANK('Data Entry'!$î$302), "", 'Data Entry'!$î$302)</f>
      </c>
      <c r="FS302">
        <f>IF(ISBLANK('Data Entry'!$ï$302), "", 'Data Entry'!$ï$302)</f>
      </c>
      <c r="FT302">
        <f>IF(ISBLANK('Data Entry'!$ð$302), "", 'Data Entry'!$ð$302)</f>
      </c>
      <c r="FU302">
        <f>IF(ISBLANK('Data Entry'!$ñ$302), "", 'Data Entry'!$ñ$302)</f>
      </c>
      <c r="FV302">
        <f>IF(ISBLANK('Data Entry'!$ò$302), "", 'Data Entry'!$ò$302)</f>
      </c>
      <c r="FW302">
        <f>IF(ISBLANK('Data Entry'!$ó$302), "", 'Data Entry'!$ó$302)</f>
      </c>
      <c r="FX302">
        <f>IF(ISBLANK('Data Entry'!$ô$302), "", 'Data Entry'!$ô$302)</f>
      </c>
      <c r="FY302">
        <f>IF(ISBLANK('Data Entry'!$õ$302), "", 'Data Entry'!$õ$302)</f>
      </c>
      <c r="FZ302">
        <f>IF(ISBLANK('Data Entry'!$ö$302), "", 'Data Entry'!$ö$302)</f>
      </c>
      <c r="GA302">
        <f>IF(ISBLANK('Data Entry'!$÷$302), "", 'Data Entry'!$÷$302)</f>
      </c>
      <c r="GB302">
        <f>IF(ISBLANK('Data Entry'!$ø$302), "", 'Data Entry'!$ø$302)</f>
      </c>
      <c r="GC302">
        <f>IF(ISBLANK('Data Entry'!$ù$302), "", 'Data Entry'!$ù$302)</f>
      </c>
      <c r="GD302">
        <f>IF(ISBLANK('Data Entry'!$ú$302), "", 'Data Entry'!$ú$302)</f>
      </c>
      <c r="GE302">
        <f>IF(ISBLANK('Data Entry'!$û$302), "", 'Data Entry'!$û$302)</f>
      </c>
      <c r="GF302">
        <f>IF(ISBLANK('Data Entry'!$ü$302), "", 'Data Entry'!$ü$302)</f>
      </c>
      <c r="GG302">
        <f>IF(ISBLANK('Data Entry'!$ý$302), "", 'Data Entry'!$ý$302)</f>
      </c>
      <c r="GH302">
        <f>IF(ISBLANK('Data Entry'!$þ$302), "", 'Data Entry'!$þ$302)</f>
      </c>
      <c r="GI302">
        <f>IF(ISBLANK('Data Entry'!$ÿ$302), "", 'Data Entry'!$ÿ$302)</f>
      </c>
      <c r="GJ302">
        <f>IF(ISBLANK('Data Entry'!$Ā$302), "", 'Data Entry'!$Ā$302)</f>
      </c>
      <c r="GK302">
        <f>IF(ISBLANK('Data Entry'!$ā$302), "", 'Data Entry'!$ā$302)</f>
      </c>
      <c r="GL302">
        <f>IF(ISBLANK('Data Entry'!$Ă$302), "", 'Data Entry'!$Ă$302)</f>
      </c>
      <c r="GM302">
        <f>IF(ISBLANK('Data Entry'!$ă$302), "", 'Data Entry'!$ă$302)</f>
      </c>
      <c r="GN302">
        <f>IF(ISBLANK('Data Entry'!$Ą$302), "", 'Data Entry'!$Ą$302)</f>
      </c>
      <c r="GO302">
        <f>IF(ISBLANK('Data Entry'!$ą$302), "", 'Data Entry'!$ą$302)</f>
      </c>
      <c r="GP302">
        <f>IF(ISBLANK('Data Entry'!$Ć$302), "", 'Data Entry'!$Ć$302)</f>
      </c>
      <c r="GQ302">
        <f>IF(ISBLANK('Data Entry'!$ć$302), "", 'Data Entry'!$ć$302)</f>
      </c>
      <c r="GR302">
        <f>IF(ISBLANK('Data Entry'!$Ĉ$302), "", 'Data Entry'!$Ĉ$302)</f>
      </c>
      <c r="GS302">
        <f>IF(ISBLANK('Data Entry'!$ĉ$302), "", 'Data Entry'!$ĉ$302)</f>
      </c>
      <c r="GT302">
        <f>IF(ISBLANK('Data Entry'!$Ċ$302), "", 'Data Entry'!$Ċ$302)</f>
      </c>
      <c r="GU302">
        <f>IF(ISBLANK('Data Entry'!$ċ$302), "", 'Data Entry'!$ċ$302)</f>
      </c>
      <c r="GV302">
        <f>IF(ISBLANK('Data Entry'!$Č$302), "", 'Data Entry'!$Č$302)</f>
      </c>
      <c r="GW302">
        <f>IF(ISBLANK('Data Entry'!$č$302), "", 'Data Entry'!$č$302)</f>
      </c>
      <c r="GX302">
        <f>IF(ISBLANK('Data Entry'!$Ď$302), "", 'Data Entry'!$Ď$302)</f>
      </c>
      <c r="GY302">
        <f>IF(ISBLANK('Data Entry'!$ď$302), "", 'Data Entry'!$ď$302)</f>
      </c>
      <c r="GZ302">
        <f>IF(ISBLANK('Data Entry'!$Đ$302), "", 'Data Entry'!$Đ$302)</f>
      </c>
      <c r="HA302">
        <f>IF(ISBLANK('Data Entry'!$đ$302), "", 'Data Entry'!$đ$302)</f>
      </c>
      <c r="HB302">
        <f>IF(ISBLANK('Data Entry'!$Ē$302), "", 'Data Entry'!$Ē$302)</f>
      </c>
      <c r="HC302">
        <f>IF(ISBLANK('Data Entry'!$ē$302), "", 'Data Entry'!$ē$302)</f>
      </c>
      <c r="HD302">
        <f>IF(ISBLANK('Data Entry'!$Ĕ$302), "", 'Data Entry'!$Ĕ$302)</f>
      </c>
      <c r="HE302">
        <f>IF(ISBLANK('Data Entry'!$ĕ$302), "", 'Data Entry'!$ĕ$302)</f>
      </c>
      <c r="HF302">
        <f>IF(ISBLANK('Data Entry'!$Ė$302), "", 'Data Entry'!$Ė$302)</f>
      </c>
      <c r="HG302">
        <f>IF(ISBLANK('Data Entry'!$ė$302), "", 'Data Entry'!$ė$302)</f>
      </c>
      <c r="HH302">
        <f>IF(ISBLANK('Data Entry'!$Ę$302), "", 'Data Entry'!$Ę$302)</f>
      </c>
      <c r="HI302">
        <f>IF(ISBLANK('Data Entry'!$ę$302), "", 'Data Entry'!$ę$302)</f>
      </c>
      <c r="HJ302">
        <f>IF(ISBLANK('Data Entry'!$Ě$302), "", 'Data Entry'!$Ě$302)</f>
      </c>
      <c r="HK302">
        <f>IF(ISBLANK('Data Entry'!$ě$302), "", 'Data Entry'!$ě$302)</f>
      </c>
      <c r="HL302">
        <f>IF(ISBLANK('Data Entry'!$Ĝ$302), "", 'Data Entry'!$Ĝ$302)</f>
      </c>
      <c r="HM302">
        <f>IF(ISBLANK('Data Entry'!$ĝ$302), "", 'Data Entry'!$ĝ$302)</f>
      </c>
      <c r="HN302">
        <f>IF(ISBLANK('Data Entry'!$Ğ$302), "", 'Data Entry'!$Ğ$302)</f>
      </c>
      <c r="HO302">
        <f>IF(ISBLANK('Data Entry'!$ğ$302), "", 'Data Entry'!$ğ$302)</f>
      </c>
      <c r="HP302">
        <f>IF(ISBLANK('Data Entry'!$Ġ$302), "", 'Data Entry'!$Ġ$302)</f>
      </c>
      <c r="HQ302">
        <f>IF(ISBLANK('Data Entry'!$ġ$302), "", 'Data Entry'!$ġ$302)</f>
      </c>
      <c r="HR302">
        <f>IF(ISBLANK('Data Entry'!$Ģ$302), "", 'Data Entry'!$Ģ$302)</f>
      </c>
      <c r="HS302">
        <f>IF(ISBLANK('Data Entry'!$ģ$302), "", 'Data Entry'!$ģ$302)</f>
      </c>
      <c r="HT302">
        <f>IF(ISBLANK('Data Entry'!$Ĥ$302), "", 'Data Entry'!$Ĥ$302)</f>
      </c>
      <c r="HU302">
        <f>IF(ISBLANK('Data Entry'!$ĥ$302), "", 'Data Entry'!$ĥ$302)</f>
      </c>
      <c r="HV302">
        <f>IF(ISBLANK('Data Entry'!$Ħ$302), "", 'Data Entry'!$Ħ$302)</f>
      </c>
      <c r="HW302">
        <f>IF(ISBLANK('Data Entry'!$ħ$302), "", 'Data Entry'!$ħ$302)</f>
      </c>
      <c r="HX302">
        <f>IF(ISBLANK('Data Entry'!$Ĩ$302), "", 'Data Entry'!$Ĩ$302)</f>
      </c>
      <c r="HY302">
        <f>IF(ISBLANK('Data Entry'!$ĩ$302), "", 'Data Entry'!$ĩ$302)</f>
      </c>
      <c r="HZ302">
        <f>IF(ISBLANK('Data Entry'!$Ī$302), "", 'Data Entry'!$Ī$302)</f>
      </c>
      <c r="IA302">
        <f>IF(ISBLANK('Data Entry'!$ī$302), "", 'Data Entry'!$ī$302)</f>
      </c>
      <c r="IB302">
        <f>IF(ISBLANK('Data Entry'!$Ĭ$302), "", 'Data Entry'!$Ĭ$302)</f>
      </c>
      <c r="IC302">
        <f>IF(ISBLANK('Data Entry'!$ĭ$302), "", 'Data Entry'!$ĭ$302)</f>
      </c>
      <c r="ID302">
        <f>IF(ISBLANK('Data Entry'!$Į$302), "", 'Data Entry'!$Į$302)</f>
      </c>
      <c r="IE302">
        <f>IF(ISBLANK('Data Entry'!$į$302), "", 'Data Entry'!$į$302)</f>
      </c>
      <c r="IF302">
        <f>IF(ISBLANK('Data Entry'!$İ$302), "", 'Data Entry'!$İ$302)</f>
      </c>
      <c r="IG302">
        <f>IF(ISBLANK('Data Entry'!$ı$302), "", 'Data Entry'!$ı$302)</f>
      </c>
      <c r="IH302">
        <f>IF(ISBLANK('Data Entry'!$Ĳ$302), "", 'Data Entry'!$Ĳ$302)</f>
      </c>
      <c r="II302">
        <f>IF(ISBLANK('Data Entry'!$ĳ$302), "", 'Data Entry'!$ĳ$302)</f>
      </c>
      <c r="IJ302">
        <f>IF(ISBLANK('Data Entry'!$Ĵ$302), "", 'Data Entry'!$Ĵ$302)</f>
      </c>
      <c r="IK302">
        <f>IF(ISBLANK('Data Entry'!$ĵ$302), "", 'Data Entry'!$ĵ$302)</f>
      </c>
      <c r="IL302">
        <f>IF(ISBLANK('Data Entry'!$Ķ$302), "", 'Data Entry'!$Ķ$302)</f>
      </c>
      <c r="IM302">
        <f>IF(ISBLANK('Data Entry'!$ķ$302), "", 'Data Entry'!$ķ$302)</f>
      </c>
      <c r="IN302">
        <f>IF(ISBLANK('Data Entry'!$ĸ$302), "", 'Data Entry'!$ĸ$302)</f>
      </c>
      <c r="IO302">
        <f>IF(ISBLANK('Data Entry'!$Ĺ$302), "", 'Data Entry'!$Ĺ$302)</f>
      </c>
      <c r="IP302">
        <f>IF(ISBLANK('Data Entry'!$ĺ$302), "", 'Data Entry'!$ĺ$302)</f>
      </c>
      <c r="IQ302">
        <f>IF(ISBLANK('Data Entry'!$Ļ$302), "", 'Data Entry'!$Ļ$302)</f>
      </c>
      <c r="IR302">
        <f>IF(ISBLANK('Data Entry'!$ļ$302), "", 'Data Entry'!$ļ$302)</f>
      </c>
      <c r="IS302">
        <f>IF(ISBLANK('Data Entry'!$Ľ$302), "", 'Data Entry'!$Ľ$302)</f>
      </c>
      <c r="IT302">
        <f>IF(ISBLANK('Data Entry'!$ľ$302), "", 'Data Entry'!$ľ$302)</f>
      </c>
    </row>
    <row r="303" spans="1:254" x14ac:dyDescent="0.25">
      <c r="A303">
        <f>IF(ISBLANK('Data Entry'!$A$303), "", 'Data Entry'!$A$303)</f>
      </c>
      <c r="B303">
        <f>IF(ISBLANK('Data Entry'!$B$303), "", 'Data Entry'!$B$303)</f>
      </c>
      <c r="C303">
        <f>IF(ISBLANK('Data Entry'!$C$303), "", 'Data Entry'!$C$303)</f>
      </c>
      <c r="D303">
        <f>IF(ISBLANK('Data Entry'!$D$303), "", 'Data Entry'!$D$303)</f>
      </c>
      <c r="E303">
        <f>IF(ISBLANK('Data Entry'!$E$303), "", 'Data Entry'!$E$303)</f>
      </c>
      <c r="F303">
        <f>IF(ISBLANK('Data Entry'!$F$303), "", 'Data Entry'!$F$303)</f>
      </c>
      <c r="G303">
        <f>IF(ISBLANK('Data Entry'!$G$303), "", 'Data Entry'!$G$303)</f>
      </c>
      <c r="H303">
        <f>IF(ISBLANK('Data Entry'!$H$303), "", 'Data Entry'!$H$303)</f>
      </c>
      <c r="I303">
        <f>IF(ISBLANK('Data Entry'!$I$303), "", 'Data Entry'!$I$303)</f>
      </c>
      <c r="J303">
        <f>IF(ISBLANK('Data Entry'!$J$303), "", 'Data Entry'!$J$303)</f>
      </c>
      <c r="K303">
        <f>IF(ISBLANK('Data Entry'!$K$303), "", 'Data Entry'!$K$303)</f>
      </c>
      <c r="L303">
        <f>IF(ISBLANK('Data Entry'!$L$303), "", 'Data Entry'!$L$303)</f>
      </c>
      <c r="M303">
        <f>IF(ISBLANK('Data Entry'!$M$303), "", 'Data Entry'!$M$303)</f>
      </c>
      <c r="N303">
        <f>IF(ISBLANK('Data Entry'!$N$303), "", 'Data Entry'!$N$303)</f>
      </c>
      <c r="O303">
        <f>IF(ISBLANK('Data Entry'!$O$303), "", 'Data Entry'!$O$303)</f>
      </c>
      <c r="P303">
        <f>IF(ISBLANK('Data Entry'!$P$303), "", 'Data Entry'!$P$303)</f>
      </c>
      <c r="Q303">
        <f>IF(ISBLANK('Data Entry'!$Q$303), "", 'Data Entry'!$Q$303)</f>
      </c>
      <c r="R303">
        <f>IF(ISBLANK('Data Entry'!$R$303), "", 'Data Entry'!$R$303)</f>
      </c>
      <c r="S303">
        <f>IF(ISBLANK('Data Entry'!$S$303), "", 'Data Entry'!$S$303)</f>
      </c>
      <c r="T303">
        <f>IF(ISBLANK('Data Entry'!$T$303), "", 'Data Entry'!$T$303)</f>
      </c>
      <c r="U303">
        <f>IF(ISBLANK('Data Entry'!$U$303), "", 'Data Entry'!$U$303)</f>
      </c>
      <c r="V303">
        <f>IF(ISBLANK('Data Entry'!$V$303), "", 'Data Entry'!$V$303)</f>
      </c>
      <c r="W303">
        <f>IF(ISBLANK('Data Entry'!$W$303), "", 'Data Entry'!$W$303)</f>
      </c>
      <c r="X303">
        <f>IF(ISBLANK('Data Entry'!$X$303), "", 'Data Entry'!$X$303)</f>
      </c>
      <c r="Y303">
        <f>IF(ISBLANK('Data Entry'!$Y$303), "", 'Data Entry'!$Y$303)</f>
      </c>
      <c r="Z303">
        <f>IF(ISBLANK('Data Entry'!$Z$303), "", 'Data Entry'!$Z$303)</f>
      </c>
      <c r="AA303">
        <f>IF(ISBLANK('Data Entry'!$[$303), "", 'Data Entry'!$[$303)</f>
      </c>
      <c r="AB303">
        <f>IF(ISBLANK('Data Entry'!$\$303), "", 'Data Entry'!$\$303)</f>
      </c>
      <c r="AC303">
        <f>IF(ISBLANK('Data Entry'!$]$303), "", 'Data Entry'!$]$303)</f>
      </c>
      <c r="AD303">
        <f>IF(ISBLANK('Data Entry'!$^$303), "", 'Data Entry'!$^$303)</f>
      </c>
      <c r="AE303">
        <f>IF(ISBLANK('Data Entry'!$_$303), "", 'Data Entry'!$_$303)</f>
      </c>
      <c r="AF303">
        <f>IF(ISBLANK('Data Entry'!$`$303), "", 'Data Entry'!$`$303)</f>
      </c>
      <c r="AG303">
        <f>IF(ISBLANK('Data Entry'!$a$303), "", 'Data Entry'!$a$303)</f>
      </c>
      <c r="AH303">
        <f>IF(ISBLANK('Data Entry'!$b$303), "", 'Data Entry'!$b$303)</f>
      </c>
      <c r="AI303">
        <f>IF(ISBLANK('Data Entry'!$c$303), "", 'Data Entry'!$c$303)</f>
      </c>
      <c r="AJ303">
        <f>IF(ISBLANK('Data Entry'!$d$303), "", 'Data Entry'!$d$303)</f>
      </c>
      <c r="AK303">
        <f>IF(ISBLANK('Data Entry'!$e$303), "", 'Data Entry'!$e$303)</f>
      </c>
      <c r="AL303">
        <f>IF(ISBLANK('Data Entry'!$f$303), "", 'Data Entry'!$f$303)</f>
      </c>
      <c r="AM303">
        <f>IF(ISBLANK('Data Entry'!$g$303), "", 'Data Entry'!$g$303)</f>
      </c>
      <c r="AN303">
        <f>IF(ISBLANK('Data Entry'!$h$303), "", 'Data Entry'!$h$303)</f>
      </c>
      <c r="AO303">
        <f>IF(ISBLANK('Data Entry'!$i$303), "", 'Data Entry'!$i$303)</f>
      </c>
      <c r="AP303">
        <f>IF(ISBLANK('Data Entry'!$j$303), "", 'Data Entry'!$j$303)</f>
      </c>
      <c r="AQ303">
        <f>IF(ISBLANK('Data Entry'!$k$303), "", 'Data Entry'!$k$303)</f>
      </c>
      <c r="AR303">
        <f>IF(ISBLANK('Data Entry'!$l$303), "", 'Data Entry'!$l$303)</f>
      </c>
      <c r="AS303">
        <f>IF(ISBLANK('Data Entry'!$m$303), "", 'Data Entry'!$m$303)</f>
      </c>
      <c r="AT303">
        <f>IF(ISBLANK('Data Entry'!$n$303), "", 'Data Entry'!$n$303)</f>
      </c>
      <c r="AU303">
        <f>IF(ISBLANK('Data Entry'!$o$303), "", 'Data Entry'!$o$303)</f>
      </c>
      <c r="AV303">
        <f>IF(ISBLANK('Data Entry'!$p$303), "", 'Data Entry'!$p$303)</f>
      </c>
      <c r="AW303">
        <f>IF(ISBLANK('Data Entry'!$q$303), "", 'Data Entry'!$q$303)</f>
      </c>
      <c r="AX303">
        <f>IF(ISBLANK('Data Entry'!$r$303), "", 'Data Entry'!$r$303)</f>
      </c>
      <c r="AY303">
        <f>IF(ISBLANK('Data Entry'!$s$303), "", 'Data Entry'!$s$303)</f>
      </c>
      <c r="AZ303">
        <f>IF(ISBLANK('Data Entry'!$t$303), "", 'Data Entry'!$t$303)</f>
      </c>
      <c r="BA303">
        <f>IF(ISBLANK('Data Entry'!$u$303), "", 'Data Entry'!$u$303)</f>
      </c>
      <c r="BB303">
        <f>IF(ISBLANK('Data Entry'!$v$303), "", 'Data Entry'!$v$303)</f>
      </c>
      <c r="BC303">
        <f>IF(ISBLANK('Data Entry'!$w$303), "", 'Data Entry'!$w$303)</f>
      </c>
      <c r="BD303">
        <f>IF(ISBLANK('Data Entry'!$x$303), "", 'Data Entry'!$x$303)</f>
      </c>
      <c r="BE303">
        <f>IF(ISBLANK('Data Entry'!$y$303), "", 'Data Entry'!$y$303)</f>
      </c>
      <c r="BF303">
        <f>IF(ISBLANK('Data Entry'!$z$303), "", 'Data Entry'!$z$303)</f>
      </c>
      <c r="BG303">
        <f>IF(ISBLANK('Data Entry'!${$303), "", 'Data Entry'!${$303)</f>
      </c>
      <c r="BH303">
        <f>IF(ISBLANK('Data Entry'!$|$303), "", 'Data Entry'!$|$303)</f>
      </c>
      <c r="BI303">
        <f>IF(ISBLANK('Data Entry'!$}$303), "", 'Data Entry'!$}$303)</f>
      </c>
      <c r="BJ303">
        <f>IF(ISBLANK('Data Entry'!$~$303), "", 'Data Entry'!$~$303)</f>
      </c>
      <c r="BK303">
        <f>IF(ISBLANK('Data Entry'!$$303), "", 'Data Entry'!$$303)</f>
      </c>
      <c r="BL303">
        <f>IF(ISBLANK('Data Entry'!$$303), "", 'Data Entry'!$$303)</f>
      </c>
      <c r="BM303">
        <f>IF(ISBLANK('Data Entry'!$$303), "", 'Data Entry'!$$303)</f>
      </c>
      <c r="BN303">
        <f>IF(ISBLANK('Data Entry'!$$303), "", 'Data Entry'!$$303)</f>
      </c>
      <c r="BO303">
        <f>IF(ISBLANK('Data Entry'!$$303), "", 'Data Entry'!$$303)</f>
      </c>
      <c r="BP303">
        <f>IF(ISBLANK('Data Entry'!$$303), "", 'Data Entry'!$$303)</f>
      </c>
      <c r="BQ303">
        <f>IF(ISBLANK('Data Entry'!$$303), "", 'Data Entry'!$$303)</f>
      </c>
      <c r="BR303">
        <f>IF(ISBLANK('Data Entry'!$$303), "", 'Data Entry'!$$303)</f>
      </c>
      <c r="BS303">
        <f>IF(ISBLANK('Data Entry'!$$303), "", 'Data Entry'!$$303)</f>
      </c>
      <c r="BT303">
        <f>IF(ISBLANK('Data Entry'!$$303), "", 'Data Entry'!$$303)</f>
      </c>
      <c r="BU303">
        <f>IF(ISBLANK('Data Entry'!$$303), "", 'Data Entry'!$$303)</f>
      </c>
      <c r="BV303">
        <f>IF(ISBLANK('Data Entry'!$$303), "", 'Data Entry'!$$303)</f>
      </c>
      <c r="BW303">
        <f>IF(ISBLANK('Data Entry'!$$303), "", 'Data Entry'!$$303)</f>
      </c>
      <c r="BX303">
        <f>IF(ISBLANK('Data Entry'!$$303), "", 'Data Entry'!$$303)</f>
      </c>
      <c r="BY303">
        <f>IF(ISBLANK('Data Entry'!$$303), "", 'Data Entry'!$$303)</f>
      </c>
      <c r="BZ303">
        <f>IF(ISBLANK('Data Entry'!$$303), "", 'Data Entry'!$$303)</f>
      </c>
      <c r="CA303">
        <f>IF(ISBLANK('Data Entry'!$$303), "", 'Data Entry'!$$303)</f>
      </c>
      <c r="CB303">
        <f>IF(ISBLANK('Data Entry'!$$303), "", 'Data Entry'!$$303)</f>
      </c>
      <c r="CC303">
        <f>IF(ISBLANK('Data Entry'!$$303), "", 'Data Entry'!$$303)</f>
      </c>
      <c r="CD303">
        <f>IF(ISBLANK('Data Entry'!$$303), "", 'Data Entry'!$$303)</f>
      </c>
      <c r="CE303">
        <f>IF(ISBLANK('Data Entry'!$$303), "", 'Data Entry'!$$303)</f>
      </c>
      <c r="CF303">
        <f>IF(ISBLANK('Data Entry'!$$303), "", 'Data Entry'!$$303)</f>
      </c>
      <c r="CG303">
        <f>IF(ISBLANK('Data Entry'!$$303), "", 'Data Entry'!$$303)</f>
      </c>
      <c r="CH303">
        <f>IF(ISBLANK('Data Entry'!$$303), "", 'Data Entry'!$$303)</f>
      </c>
      <c r="CI303">
        <f>IF(ISBLANK('Data Entry'!$$303), "", 'Data Entry'!$$303)</f>
      </c>
      <c r="CJ303">
        <f>IF(ISBLANK('Data Entry'!$$303), "", 'Data Entry'!$$303)</f>
      </c>
      <c r="CK303">
        <f>IF(ISBLANK('Data Entry'!$$303), "", 'Data Entry'!$$303)</f>
      </c>
      <c r="CL303">
        <f>IF(ISBLANK('Data Entry'!$$303), "", 'Data Entry'!$$303)</f>
      </c>
      <c r="CM303">
        <f>IF(ISBLANK('Data Entry'!$$303), "", 'Data Entry'!$$303)</f>
      </c>
      <c r="CN303">
        <f>IF(ISBLANK('Data Entry'!$$303), "", 'Data Entry'!$$303)</f>
      </c>
      <c r="CO303">
        <f>IF(ISBLANK('Data Entry'!$$303), "", 'Data Entry'!$$303)</f>
      </c>
      <c r="CP303">
        <f>IF(ISBLANK('Data Entry'!$$303), "", 'Data Entry'!$$303)</f>
      </c>
      <c r="CQ303">
        <f>IF(ISBLANK('Data Entry'!$$303), "", 'Data Entry'!$$303)</f>
      </c>
      <c r="CR303">
        <f>IF(ISBLANK('Data Entry'!$ $303), "", 'Data Entry'!$ $303)</f>
      </c>
      <c r="CS303">
        <f>IF(ISBLANK('Data Entry'!$¡$303), "", 'Data Entry'!$¡$303)</f>
      </c>
      <c r="CT303">
        <f>IF(ISBLANK('Data Entry'!$¢$303), "", 'Data Entry'!$¢$303)</f>
      </c>
      <c r="CU303">
        <f>IF(ISBLANK('Data Entry'!$£$303), "", 'Data Entry'!$£$303)</f>
      </c>
      <c r="CV303">
        <f>IF(ISBLANK('Data Entry'!$¤$303), "", 'Data Entry'!$¤$303)</f>
      </c>
      <c r="CW303">
        <f>IF(ISBLANK('Data Entry'!$¥$303), "", 'Data Entry'!$¥$303)</f>
      </c>
      <c r="CX303">
        <f>IF(ISBLANK('Data Entry'!$¦$303), "", 'Data Entry'!$¦$303)</f>
      </c>
      <c r="CY303">
        <f>IF(ISBLANK('Data Entry'!$§$303), "", 'Data Entry'!$§$303)</f>
      </c>
      <c r="CZ303">
        <f>IF(ISBLANK('Data Entry'!$¨$303), "", 'Data Entry'!$¨$303)</f>
      </c>
      <c r="DA303">
        <f>IF(ISBLANK('Data Entry'!$©$303), "", 'Data Entry'!$©$303)</f>
      </c>
      <c r="DB303">
        <f>IF(ISBLANK('Data Entry'!$ª$303), "", 'Data Entry'!$ª$303)</f>
      </c>
      <c r="DC303">
        <f>IF(ISBLANK('Data Entry'!$«$303), "", 'Data Entry'!$«$303)</f>
      </c>
      <c r="DD303">
        <f>IF(ISBLANK('Data Entry'!$¬$303), "", 'Data Entry'!$¬$303)</f>
      </c>
      <c r="DE303">
        <f>IF(ISBLANK('Data Entry'!$­$303), "", 'Data Entry'!$­$303)</f>
      </c>
      <c r="DF303">
        <f>IF(ISBLANK('Data Entry'!$®$303), "", 'Data Entry'!$®$303)</f>
      </c>
      <c r="DG303">
        <f>IF(ISBLANK('Data Entry'!$¯$303), "", 'Data Entry'!$¯$303)</f>
      </c>
      <c r="DH303">
        <f>IF(ISBLANK('Data Entry'!$°$303), "", 'Data Entry'!$°$303)</f>
      </c>
      <c r="DI303">
        <f>IF(ISBLANK('Data Entry'!$±$303), "", 'Data Entry'!$±$303)</f>
      </c>
      <c r="DJ303">
        <f>IF(ISBLANK('Data Entry'!$²$303), "", 'Data Entry'!$²$303)</f>
      </c>
      <c r="DK303">
        <f>IF(ISBLANK('Data Entry'!$³$303), "", 'Data Entry'!$³$303)</f>
      </c>
      <c r="DL303">
        <f>IF(ISBLANK('Data Entry'!$´$303), "", 'Data Entry'!$´$303)</f>
      </c>
      <c r="DM303">
        <f>IF(ISBLANK('Data Entry'!$µ$303), "", 'Data Entry'!$µ$303)</f>
      </c>
      <c r="DN303">
        <f>IF(ISBLANK('Data Entry'!$¶$303), "", 'Data Entry'!$¶$303)</f>
      </c>
      <c r="DO303">
        <f>IF(ISBLANK('Data Entry'!$·$303), "", 'Data Entry'!$·$303)</f>
      </c>
      <c r="DP303">
        <f>IF(ISBLANK('Data Entry'!$¸$303), "", 'Data Entry'!$¸$303)</f>
      </c>
      <c r="DQ303">
        <f>IF(ISBLANK('Data Entry'!$¹$303), "", 'Data Entry'!$¹$303)</f>
      </c>
      <c r="DR303">
        <f>IF(ISBLANK('Data Entry'!$º$303), "", 'Data Entry'!$º$303)</f>
      </c>
      <c r="DS303">
        <f>IF(ISBLANK('Data Entry'!$»$303), "", 'Data Entry'!$»$303)</f>
      </c>
      <c r="DT303">
        <f>IF(ISBLANK('Data Entry'!$¼$303), "", 'Data Entry'!$¼$303)</f>
      </c>
      <c r="DU303">
        <f>IF(ISBLANK('Data Entry'!$½$303), "", 'Data Entry'!$½$303)</f>
      </c>
      <c r="DV303">
        <f>IF(ISBLANK('Data Entry'!$¾$303), "", 'Data Entry'!$¾$303)</f>
      </c>
      <c r="DW303">
        <f>IF(ISBLANK('Data Entry'!$¿$303), "", 'Data Entry'!$¿$303)</f>
      </c>
      <c r="DX303">
        <f>IF(ISBLANK('Data Entry'!$À$303), "", 'Data Entry'!$À$303)</f>
      </c>
      <c r="DY303">
        <f>IF(ISBLANK('Data Entry'!$Á$303), "", 'Data Entry'!$Á$303)</f>
      </c>
      <c r="DZ303">
        <f>IF(ISBLANK('Data Entry'!$Â$303), "", 'Data Entry'!$Â$303)</f>
      </c>
      <c r="EA303">
        <f>IF(ISBLANK('Data Entry'!$Ã$303), "", 'Data Entry'!$Ã$303)</f>
      </c>
      <c r="EB303">
        <f>IF(ISBLANK('Data Entry'!$Ä$303), "", 'Data Entry'!$Ä$303)</f>
      </c>
      <c r="EC303">
        <f>IF(ISBLANK('Data Entry'!$Å$303), "", 'Data Entry'!$Å$303)</f>
      </c>
      <c r="ED303">
        <f>IF(ISBLANK('Data Entry'!$Æ$303), "", 'Data Entry'!$Æ$303)</f>
      </c>
      <c r="EE303">
        <f>IF(ISBLANK('Data Entry'!$Ç$303), "", 'Data Entry'!$Ç$303)</f>
      </c>
      <c r="EF303">
        <f>IF(ISBLANK('Data Entry'!$È$303), "", 'Data Entry'!$È$303)</f>
      </c>
      <c r="EG303">
        <f>IF(ISBLANK('Data Entry'!$É$303), "", 'Data Entry'!$É$303)</f>
      </c>
      <c r="EH303">
        <f>IF(ISBLANK('Data Entry'!$Ê$303), "", 'Data Entry'!$Ê$303)</f>
      </c>
      <c r="EI303">
        <f>IF(ISBLANK('Data Entry'!$Ë$303), "", 'Data Entry'!$Ë$303)</f>
      </c>
      <c r="EJ303">
        <f>IF(ISBLANK('Data Entry'!$Ì$303), "", 'Data Entry'!$Ì$303)</f>
      </c>
      <c r="EK303">
        <f>IF(ISBLANK('Data Entry'!$Í$303), "", 'Data Entry'!$Í$303)</f>
      </c>
      <c r="EL303">
        <f>IF(ISBLANK('Data Entry'!$Î$303), "", 'Data Entry'!$Î$303)</f>
      </c>
      <c r="EM303">
        <f>IF(ISBLANK('Data Entry'!$Ï$303), "", 'Data Entry'!$Ï$303)</f>
      </c>
      <c r="EN303">
        <f>IF(ISBLANK('Data Entry'!$Ð$303), "", 'Data Entry'!$Ð$303)</f>
      </c>
      <c r="EO303">
        <f>IF(ISBLANK('Data Entry'!$Ñ$303), "", 'Data Entry'!$Ñ$303)</f>
      </c>
      <c r="EP303">
        <f>IF(ISBLANK('Data Entry'!$Ò$303), "", 'Data Entry'!$Ò$303)</f>
      </c>
      <c r="EQ303">
        <f>IF(ISBLANK('Data Entry'!$Ó$303), "", 'Data Entry'!$Ó$303)</f>
      </c>
      <c r="ER303">
        <f>IF(ISBLANK('Data Entry'!$Ô$303), "", 'Data Entry'!$Ô$303)</f>
      </c>
      <c r="ES303">
        <f>IF(ISBLANK('Data Entry'!$Õ$303), "", 'Data Entry'!$Õ$303)</f>
      </c>
      <c r="ET303">
        <f>IF(ISBLANK('Data Entry'!$Ö$303), "", 'Data Entry'!$Ö$303)</f>
      </c>
      <c r="EU303">
        <f>IF(ISBLANK('Data Entry'!$×$303), "", 'Data Entry'!$×$303)</f>
      </c>
      <c r="EV303">
        <f>IF(ISBLANK('Data Entry'!$Ø$303), "", 'Data Entry'!$Ø$303)</f>
      </c>
      <c r="EW303">
        <f>IF(ISBLANK('Data Entry'!$Ù$303), "", 'Data Entry'!$Ù$303)</f>
      </c>
      <c r="EX303">
        <f>IF(ISBLANK('Data Entry'!$Ú$303), "", 'Data Entry'!$Ú$303)</f>
      </c>
      <c r="EY303">
        <f>IF(ISBLANK('Data Entry'!$Û$303), "", 'Data Entry'!$Û$303)</f>
      </c>
      <c r="EZ303">
        <f>IF(ISBLANK('Data Entry'!$Ü$303), "", 'Data Entry'!$Ü$303)</f>
      </c>
      <c r="FA303">
        <f>IF(ISBLANK('Data Entry'!$Ý$303), "", 'Data Entry'!$Ý$303)</f>
      </c>
      <c r="FB303">
        <f>IF(ISBLANK('Data Entry'!$Þ$303), "", 'Data Entry'!$Þ$303)</f>
      </c>
      <c r="FC303">
        <f>IF(ISBLANK('Data Entry'!$ß$303), "", 'Data Entry'!$ß$303)</f>
      </c>
      <c r="FD303">
        <f>IF(ISBLANK('Data Entry'!$à$303), "", 'Data Entry'!$à$303)</f>
      </c>
      <c r="FE303">
        <f>IF(ISBLANK('Data Entry'!$á$303), "", 'Data Entry'!$á$303)</f>
      </c>
      <c r="FF303">
        <f>IF(ISBLANK('Data Entry'!$â$303), "", 'Data Entry'!$â$303)</f>
      </c>
      <c r="FG303">
        <f>IF(ISBLANK('Data Entry'!$ã$303), "", 'Data Entry'!$ã$303)</f>
      </c>
      <c r="FH303">
        <f>IF(ISBLANK('Data Entry'!$ä$303), "", 'Data Entry'!$ä$303)</f>
      </c>
      <c r="FI303">
        <f>IF(ISBLANK('Data Entry'!$å$303), "", 'Data Entry'!$å$303)</f>
      </c>
      <c r="FJ303">
        <f>IF(ISBLANK('Data Entry'!$æ$303), "", 'Data Entry'!$æ$303)</f>
      </c>
      <c r="FK303">
        <f>IF(ISBLANK('Data Entry'!$ç$303), "", 'Data Entry'!$ç$303)</f>
      </c>
      <c r="FL303">
        <f>IF(ISBLANK('Data Entry'!$è$303), "", 'Data Entry'!$è$303)</f>
      </c>
      <c r="FM303">
        <f>IF(ISBLANK('Data Entry'!$é$303), "", 'Data Entry'!$é$303)</f>
      </c>
      <c r="FN303">
        <f>IF(ISBLANK('Data Entry'!$ê$303), "", 'Data Entry'!$ê$303)</f>
      </c>
      <c r="FO303">
        <f>IF(ISBLANK('Data Entry'!$ë$303), "", 'Data Entry'!$ë$303)</f>
      </c>
      <c r="FP303">
        <f>IF(ISBLANK('Data Entry'!$ì$303), "", 'Data Entry'!$ì$303)</f>
      </c>
      <c r="FQ303">
        <f>IF(ISBLANK('Data Entry'!$í$303), "", 'Data Entry'!$í$303)</f>
      </c>
      <c r="FR303">
        <f>IF(ISBLANK('Data Entry'!$î$303), "", 'Data Entry'!$î$303)</f>
      </c>
      <c r="FS303">
        <f>IF(ISBLANK('Data Entry'!$ï$303), "", 'Data Entry'!$ï$303)</f>
      </c>
      <c r="FT303">
        <f>IF(ISBLANK('Data Entry'!$ð$303), "", 'Data Entry'!$ð$303)</f>
      </c>
      <c r="FU303">
        <f>IF(ISBLANK('Data Entry'!$ñ$303), "", 'Data Entry'!$ñ$303)</f>
      </c>
      <c r="FV303">
        <f>IF(ISBLANK('Data Entry'!$ò$303), "", 'Data Entry'!$ò$303)</f>
      </c>
      <c r="FW303">
        <f>IF(ISBLANK('Data Entry'!$ó$303), "", 'Data Entry'!$ó$303)</f>
      </c>
      <c r="FX303">
        <f>IF(ISBLANK('Data Entry'!$ô$303), "", 'Data Entry'!$ô$303)</f>
      </c>
      <c r="FY303">
        <f>IF(ISBLANK('Data Entry'!$õ$303), "", 'Data Entry'!$õ$303)</f>
      </c>
      <c r="FZ303">
        <f>IF(ISBLANK('Data Entry'!$ö$303), "", 'Data Entry'!$ö$303)</f>
      </c>
      <c r="GA303">
        <f>IF(ISBLANK('Data Entry'!$÷$303), "", 'Data Entry'!$÷$303)</f>
      </c>
      <c r="GB303">
        <f>IF(ISBLANK('Data Entry'!$ø$303), "", 'Data Entry'!$ø$303)</f>
      </c>
      <c r="GC303">
        <f>IF(ISBLANK('Data Entry'!$ù$303), "", 'Data Entry'!$ù$303)</f>
      </c>
      <c r="GD303">
        <f>IF(ISBLANK('Data Entry'!$ú$303), "", 'Data Entry'!$ú$303)</f>
      </c>
      <c r="GE303">
        <f>IF(ISBLANK('Data Entry'!$û$303), "", 'Data Entry'!$û$303)</f>
      </c>
      <c r="GF303">
        <f>IF(ISBLANK('Data Entry'!$ü$303), "", 'Data Entry'!$ü$303)</f>
      </c>
      <c r="GG303">
        <f>IF(ISBLANK('Data Entry'!$ý$303), "", 'Data Entry'!$ý$303)</f>
      </c>
      <c r="GH303">
        <f>IF(ISBLANK('Data Entry'!$þ$303), "", 'Data Entry'!$þ$303)</f>
      </c>
      <c r="GI303">
        <f>IF(ISBLANK('Data Entry'!$ÿ$303), "", 'Data Entry'!$ÿ$303)</f>
      </c>
      <c r="GJ303">
        <f>IF(ISBLANK('Data Entry'!$Ā$303), "", 'Data Entry'!$Ā$303)</f>
      </c>
      <c r="GK303">
        <f>IF(ISBLANK('Data Entry'!$ā$303), "", 'Data Entry'!$ā$303)</f>
      </c>
      <c r="GL303">
        <f>IF(ISBLANK('Data Entry'!$Ă$303), "", 'Data Entry'!$Ă$303)</f>
      </c>
      <c r="GM303">
        <f>IF(ISBLANK('Data Entry'!$ă$303), "", 'Data Entry'!$ă$303)</f>
      </c>
      <c r="GN303">
        <f>IF(ISBLANK('Data Entry'!$Ą$303), "", 'Data Entry'!$Ą$303)</f>
      </c>
      <c r="GO303">
        <f>IF(ISBLANK('Data Entry'!$ą$303), "", 'Data Entry'!$ą$303)</f>
      </c>
      <c r="GP303">
        <f>IF(ISBLANK('Data Entry'!$Ć$303), "", 'Data Entry'!$Ć$303)</f>
      </c>
      <c r="GQ303">
        <f>IF(ISBLANK('Data Entry'!$ć$303), "", 'Data Entry'!$ć$303)</f>
      </c>
      <c r="GR303">
        <f>IF(ISBLANK('Data Entry'!$Ĉ$303), "", 'Data Entry'!$Ĉ$303)</f>
      </c>
      <c r="GS303">
        <f>IF(ISBLANK('Data Entry'!$ĉ$303), "", 'Data Entry'!$ĉ$303)</f>
      </c>
      <c r="GT303">
        <f>IF(ISBLANK('Data Entry'!$Ċ$303), "", 'Data Entry'!$Ċ$303)</f>
      </c>
      <c r="GU303">
        <f>IF(ISBLANK('Data Entry'!$ċ$303), "", 'Data Entry'!$ċ$303)</f>
      </c>
      <c r="GV303">
        <f>IF(ISBLANK('Data Entry'!$Č$303), "", 'Data Entry'!$Č$303)</f>
      </c>
      <c r="GW303">
        <f>IF(ISBLANK('Data Entry'!$č$303), "", 'Data Entry'!$č$303)</f>
      </c>
      <c r="GX303">
        <f>IF(ISBLANK('Data Entry'!$Ď$303), "", 'Data Entry'!$Ď$303)</f>
      </c>
      <c r="GY303">
        <f>IF(ISBLANK('Data Entry'!$ď$303), "", 'Data Entry'!$ď$303)</f>
      </c>
      <c r="GZ303">
        <f>IF(ISBLANK('Data Entry'!$Đ$303), "", 'Data Entry'!$Đ$303)</f>
      </c>
      <c r="HA303">
        <f>IF(ISBLANK('Data Entry'!$đ$303), "", 'Data Entry'!$đ$303)</f>
      </c>
      <c r="HB303">
        <f>IF(ISBLANK('Data Entry'!$Ē$303), "", 'Data Entry'!$Ē$303)</f>
      </c>
      <c r="HC303">
        <f>IF(ISBLANK('Data Entry'!$ē$303), "", 'Data Entry'!$ē$303)</f>
      </c>
      <c r="HD303">
        <f>IF(ISBLANK('Data Entry'!$Ĕ$303), "", 'Data Entry'!$Ĕ$303)</f>
      </c>
      <c r="HE303">
        <f>IF(ISBLANK('Data Entry'!$ĕ$303), "", 'Data Entry'!$ĕ$303)</f>
      </c>
      <c r="HF303">
        <f>IF(ISBLANK('Data Entry'!$Ė$303), "", 'Data Entry'!$Ė$303)</f>
      </c>
      <c r="HG303">
        <f>IF(ISBLANK('Data Entry'!$ė$303), "", 'Data Entry'!$ė$303)</f>
      </c>
      <c r="HH303">
        <f>IF(ISBLANK('Data Entry'!$Ę$303), "", 'Data Entry'!$Ę$303)</f>
      </c>
      <c r="HI303">
        <f>IF(ISBLANK('Data Entry'!$ę$303), "", 'Data Entry'!$ę$303)</f>
      </c>
      <c r="HJ303">
        <f>IF(ISBLANK('Data Entry'!$Ě$303), "", 'Data Entry'!$Ě$303)</f>
      </c>
      <c r="HK303">
        <f>IF(ISBLANK('Data Entry'!$ě$303), "", 'Data Entry'!$ě$303)</f>
      </c>
      <c r="HL303">
        <f>IF(ISBLANK('Data Entry'!$Ĝ$303), "", 'Data Entry'!$Ĝ$303)</f>
      </c>
      <c r="HM303">
        <f>IF(ISBLANK('Data Entry'!$ĝ$303), "", 'Data Entry'!$ĝ$303)</f>
      </c>
      <c r="HN303">
        <f>IF(ISBLANK('Data Entry'!$Ğ$303), "", 'Data Entry'!$Ğ$303)</f>
      </c>
      <c r="HO303">
        <f>IF(ISBLANK('Data Entry'!$ğ$303), "", 'Data Entry'!$ğ$303)</f>
      </c>
      <c r="HP303">
        <f>IF(ISBLANK('Data Entry'!$Ġ$303), "", 'Data Entry'!$Ġ$303)</f>
      </c>
      <c r="HQ303">
        <f>IF(ISBLANK('Data Entry'!$ġ$303), "", 'Data Entry'!$ġ$303)</f>
      </c>
      <c r="HR303">
        <f>IF(ISBLANK('Data Entry'!$Ģ$303), "", 'Data Entry'!$Ģ$303)</f>
      </c>
      <c r="HS303">
        <f>IF(ISBLANK('Data Entry'!$ģ$303), "", 'Data Entry'!$ģ$303)</f>
      </c>
      <c r="HT303">
        <f>IF(ISBLANK('Data Entry'!$Ĥ$303), "", 'Data Entry'!$Ĥ$303)</f>
      </c>
      <c r="HU303">
        <f>IF(ISBLANK('Data Entry'!$ĥ$303), "", 'Data Entry'!$ĥ$303)</f>
      </c>
      <c r="HV303">
        <f>IF(ISBLANK('Data Entry'!$Ħ$303), "", 'Data Entry'!$Ħ$303)</f>
      </c>
      <c r="HW303">
        <f>IF(ISBLANK('Data Entry'!$ħ$303), "", 'Data Entry'!$ħ$303)</f>
      </c>
      <c r="HX303">
        <f>IF(ISBLANK('Data Entry'!$Ĩ$303), "", 'Data Entry'!$Ĩ$303)</f>
      </c>
      <c r="HY303">
        <f>IF(ISBLANK('Data Entry'!$ĩ$303), "", 'Data Entry'!$ĩ$303)</f>
      </c>
      <c r="HZ303">
        <f>IF(ISBLANK('Data Entry'!$Ī$303), "", 'Data Entry'!$Ī$303)</f>
      </c>
      <c r="IA303">
        <f>IF(ISBLANK('Data Entry'!$ī$303), "", 'Data Entry'!$ī$303)</f>
      </c>
      <c r="IB303">
        <f>IF(ISBLANK('Data Entry'!$Ĭ$303), "", 'Data Entry'!$Ĭ$303)</f>
      </c>
      <c r="IC303">
        <f>IF(ISBLANK('Data Entry'!$ĭ$303), "", 'Data Entry'!$ĭ$303)</f>
      </c>
      <c r="ID303">
        <f>IF(ISBLANK('Data Entry'!$Į$303), "", 'Data Entry'!$Į$303)</f>
      </c>
      <c r="IE303">
        <f>IF(ISBLANK('Data Entry'!$į$303), "", 'Data Entry'!$į$303)</f>
      </c>
      <c r="IF303">
        <f>IF(ISBLANK('Data Entry'!$İ$303), "", 'Data Entry'!$İ$303)</f>
      </c>
      <c r="IG303">
        <f>IF(ISBLANK('Data Entry'!$ı$303), "", 'Data Entry'!$ı$303)</f>
      </c>
      <c r="IH303">
        <f>IF(ISBLANK('Data Entry'!$Ĳ$303), "", 'Data Entry'!$Ĳ$303)</f>
      </c>
      <c r="II303">
        <f>IF(ISBLANK('Data Entry'!$ĳ$303), "", 'Data Entry'!$ĳ$303)</f>
      </c>
      <c r="IJ303">
        <f>IF(ISBLANK('Data Entry'!$Ĵ$303), "", 'Data Entry'!$Ĵ$303)</f>
      </c>
      <c r="IK303">
        <f>IF(ISBLANK('Data Entry'!$ĵ$303), "", 'Data Entry'!$ĵ$303)</f>
      </c>
      <c r="IL303">
        <f>IF(ISBLANK('Data Entry'!$Ķ$303), "", 'Data Entry'!$Ķ$303)</f>
      </c>
      <c r="IM303">
        <f>IF(ISBLANK('Data Entry'!$ķ$303), "", 'Data Entry'!$ķ$303)</f>
      </c>
      <c r="IN303">
        <f>IF(ISBLANK('Data Entry'!$ĸ$303), "", 'Data Entry'!$ĸ$303)</f>
      </c>
      <c r="IO303">
        <f>IF(ISBLANK('Data Entry'!$Ĺ$303), "", 'Data Entry'!$Ĺ$303)</f>
      </c>
      <c r="IP303">
        <f>IF(ISBLANK('Data Entry'!$ĺ$303), "", 'Data Entry'!$ĺ$303)</f>
      </c>
      <c r="IQ303">
        <f>IF(ISBLANK('Data Entry'!$Ļ$303), "", 'Data Entry'!$Ļ$303)</f>
      </c>
      <c r="IR303">
        <f>IF(ISBLANK('Data Entry'!$ļ$303), "", 'Data Entry'!$ļ$303)</f>
      </c>
      <c r="IS303">
        <f>IF(ISBLANK('Data Entry'!$Ľ$303), "", 'Data Entry'!$Ľ$303)</f>
      </c>
      <c r="IT303">
        <f>IF(ISBLANK('Data Entry'!$ľ$303), "", 'Data Entry'!$ľ$303)</f>
      </c>
    </row>
    <row r="304" spans="1:254" x14ac:dyDescent="0.25">
      <c r="A304">
        <f>IF(ISBLANK('Data Entry'!$A$304), "", 'Data Entry'!$A$304)</f>
      </c>
      <c r="B304">
        <f>IF(ISBLANK('Data Entry'!$B$304), "", 'Data Entry'!$B$304)</f>
      </c>
      <c r="C304">
        <f>IF(ISBLANK('Data Entry'!$C$304), "", 'Data Entry'!$C$304)</f>
      </c>
      <c r="D304">
        <f>IF(ISBLANK('Data Entry'!$D$304), "", 'Data Entry'!$D$304)</f>
      </c>
      <c r="E304">
        <f>IF(ISBLANK('Data Entry'!$E$304), "", 'Data Entry'!$E$304)</f>
      </c>
      <c r="F304">
        <f>IF(ISBLANK('Data Entry'!$F$304), "", 'Data Entry'!$F$304)</f>
      </c>
      <c r="G304">
        <f>IF(ISBLANK('Data Entry'!$G$304), "", 'Data Entry'!$G$304)</f>
      </c>
      <c r="H304">
        <f>IF(ISBLANK('Data Entry'!$H$304), "", 'Data Entry'!$H$304)</f>
      </c>
      <c r="I304">
        <f>IF(ISBLANK('Data Entry'!$I$304), "", 'Data Entry'!$I$304)</f>
      </c>
      <c r="J304">
        <f>IF(ISBLANK('Data Entry'!$J$304), "", 'Data Entry'!$J$304)</f>
      </c>
      <c r="K304">
        <f>IF(ISBLANK('Data Entry'!$K$304), "", 'Data Entry'!$K$304)</f>
      </c>
      <c r="L304">
        <f>IF(ISBLANK('Data Entry'!$L$304), "", 'Data Entry'!$L$304)</f>
      </c>
      <c r="M304">
        <f>IF(ISBLANK('Data Entry'!$M$304), "", 'Data Entry'!$M$304)</f>
      </c>
      <c r="N304">
        <f>IF(ISBLANK('Data Entry'!$N$304), "", 'Data Entry'!$N$304)</f>
      </c>
      <c r="O304">
        <f>IF(ISBLANK('Data Entry'!$O$304), "", 'Data Entry'!$O$304)</f>
      </c>
      <c r="P304">
        <f>IF(ISBLANK('Data Entry'!$P$304), "", 'Data Entry'!$P$304)</f>
      </c>
      <c r="Q304">
        <f>IF(ISBLANK('Data Entry'!$Q$304), "", 'Data Entry'!$Q$304)</f>
      </c>
      <c r="R304">
        <f>IF(ISBLANK('Data Entry'!$R$304), "", 'Data Entry'!$R$304)</f>
      </c>
      <c r="S304">
        <f>IF(ISBLANK('Data Entry'!$S$304), "", 'Data Entry'!$S$304)</f>
      </c>
      <c r="T304">
        <f>IF(ISBLANK('Data Entry'!$T$304), "", 'Data Entry'!$T$304)</f>
      </c>
      <c r="U304">
        <f>IF(ISBLANK('Data Entry'!$U$304), "", 'Data Entry'!$U$304)</f>
      </c>
      <c r="V304">
        <f>IF(ISBLANK('Data Entry'!$V$304), "", 'Data Entry'!$V$304)</f>
      </c>
      <c r="W304">
        <f>IF(ISBLANK('Data Entry'!$W$304), "", 'Data Entry'!$W$304)</f>
      </c>
      <c r="X304">
        <f>IF(ISBLANK('Data Entry'!$X$304), "", 'Data Entry'!$X$304)</f>
      </c>
      <c r="Y304">
        <f>IF(ISBLANK('Data Entry'!$Y$304), "", 'Data Entry'!$Y$304)</f>
      </c>
      <c r="Z304">
        <f>IF(ISBLANK('Data Entry'!$Z$304), "", 'Data Entry'!$Z$304)</f>
      </c>
      <c r="AA304">
        <f>IF(ISBLANK('Data Entry'!$[$304), "", 'Data Entry'!$[$304)</f>
      </c>
      <c r="AB304">
        <f>IF(ISBLANK('Data Entry'!$\$304), "", 'Data Entry'!$\$304)</f>
      </c>
      <c r="AC304">
        <f>IF(ISBLANK('Data Entry'!$]$304), "", 'Data Entry'!$]$304)</f>
      </c>
      <c r="AD304">
        <f>IF(ISBLANK('Data Entry'!$^$304), "", 'Data Entry'!$^$304)</f>
      </c>
      <c r="AE304">
        <f>IF(ISBLANK('Data Entry'!$_$304), "", 'Data Entry'!$_$304)</f>
      </c>
      <c r="AF304">
        <f>IF(ISBLANK('Data Entry'!$`$304), "", 'Data Entry'!$`$304)</f>
      </c>
      <c r="AG304">
        <f>IF(ISBLANK('Data Entry'!$a$304), "", 'Data Entry'!$a$304)</f>
      </c>
      <c r="AH304">
        <f>IF(ISBLANK('Data Entry'!$b$304), "", 'Data Entry'!$b$304)</f>
      </c>
      <c r="AI304">
        <f>IF(ISBLANK('Data Entry'!$c$304), "", 'Data Entry'!$c$304)</f>
      </c>
      <c r="AJ304">
        <f>IF(ISBLANK('Data Entry'!$d$304), "", 'Data Entry'!$d$304)</f>
      </c>
      <c r="AK304">
        <f>IF(ISBLANK('Data Entry'!$e$304), "", 'Data Entry'!$e$304)</f>
      </c>
      <c r="AL304">
        <f>IF(ISBLANK('Data Entry'!$f$304), "", 'Data Entry'!$f$304)</f>
      </c>
      <c r="AM304">
        <f>IF(ISBLANK('Data Entry'!$g$304), "", 'Data Entry'!$g$304)</f>
      </c>
      <c r="AN304">
        <f>IF(ISBLANK('Data Entry'!$h$304), "", 'Data Entry'!$h$304)</f>
      </c>
      <c r="AO304">
        <f>IF(ISBLANK('Data Entry'!$i$304), "", 'Data Entry'!$i$304)</f>
      </c>
      <c r="AP304">
        <f>IF(ISBLANK('Data Entry'!$j$304), "", 'Data Entry'!$j$304)</f>
      </c>
      <c r="AQ304">
        <f>IF(ISBLANK('Data Entry'!$k$304), "", 'Data Entry'!$k$304)</f>
      </c>
      <c r="AR304">
        <f>IF(ISBLANK('Data Entry'!$l$304), "", 'Data Entry'!$l$304)</f>
      </c>
      <c r="AS304">
        <f>IF(ISBLANK('Data Entry'!$m$304), "", 'Data Entry'!$m$304)</f>
      </c>
      <c r="AT304">
        <f>IF(ISBLANK('Data Entry'!$n$304), "", 'Data Entry'!$n$304)</f>
      </c>
      <c r="AU304">
        <f>IF(ISBLANK('Data Entry'!$o$304), "", 'Data Entry'!$o$304)</f>
      </c>
      <c r="AV304">
        <f>IF(ISBLANK('Data Entry'!$p$304), "", 'Data Entry'!$p$304)</f>
      </c>
      <c r="AW304">
        <f>IF(ISBLANK('Data Entry'!$q$304), "", 'Data Entry'!$q$304)</f>
      </c>
      <c r="AX304">
        <f>IF(ISBLANK('Data Entry'!$r$304), "", 'Data Entry'!$r$304)</f>
      </c>
      <c r="AY304">
        <f>IF(ISBLANK('Data Entry'!$s$304), "", 'Data Entry'!$s$304)</f>
      </c>
      <c r="AZ304">
        <f>IF(ISBLANK('Data Entry'!$t$304), "", 'Data Entry'!$t$304)</f>
      </c>
      <c r="BA304">
        <f>IF(ISBLANK('Data Entry'!$u$304), "", 'Data Entry'!$u$304)</f>
      </c>
      <c r="BB304">
        <f>IF(ISBLANK('Data Entry'!$v$304), "", 'Data Entry'!$v$304)</f>
      </c>
      <c r="BC304">
        <f>IF(ISBLANK('Data Entry'!$w$304), "", 'Data Entry'!$w$304)</f>
      </c>
      <c r="BD304">
        <f>IF(ISBLANK('Data Entry'!$x$304), "", 'Data Entry'!$x$304)</f>
      </c>
      <c r="BE304">
        <f>IF(ISBLANK('Data Entry'!$y$304), "", 'Data Entry'!$y$304)</f>
      </c>
      <c r="BF304">
        <f>IF(ISBLANK('Data Entry'!$z$304), "", 'Data Entry'!$z$304)</f>
      </c>
      <c r="BG304">
        <f>IF(ISBLANK('Data Entry'!${$304), "", 'Data Entry'!${$304)</f>
      </c>
      <c r="BH304">
        <f>IF(ISBLANK('Data Entry'!$|$304), "", 'Data Entry'!$|$304)</f>
      </c>
      <c r="BI304">
        <f>IF(ISBLANK('Data Entry'!$}$304), "", 'Data Entry'!$}$304)</f>
      </c>
      <c r="BJ304">
        <f>IF(ISBLANK('Data Entry'!$~$304), "", 'Data Entry'!$~$304)</f>
      </c>
      <c r="BK304">
        <f>IF(ISBLANK('Data Entry'!$$304), "", 'Data Entry'!$$304)</f>
      </c>
      <c r="BL304">
        <f>IF(ISBLANK('Data Entry'!$$304), "", 'Data Entry'!$$304)</f>
      </c>
      <c r="BM304">
        <f>IF(ISBLANK('Data Entry'!$$304), "", 'Data Entry'!$$304)</f>
      </c>
      <c r="BN304">
        <f>IF(ISBLANK('Data Entry'!$$304), "", 'Data Entry'!$$304)</f>
      </c>
      <c r="BO304">
        <f>IF(ISBLANK('Data Entry'!$$304), "", 'Data Entry'!$$304)</f>
      </c>
      <c r="BP304">
        <f>IF(ISBLANK('Data Entry'!$$304), "", 'Data Entry'!$$304)</f>
      </c>
      <c r="BQ304">
        <f>IF(ISBLANK('Data Entry'!$$304), "", 'Data Entry'!$$304)</f>
      </c>
      <c r="BR304">
        <f>IF(ISBLANK('Data Entry'!$$304), "", 'Data Entry'!$$304)</f>
      </c>
      <c r="BS304">
        <f>IF(ISBLANK('Data Entry'!$$304), "", 'Data Entry'!$$304)</f>
      </c>
      <c r="BT304">
        <f>IF(ISBLANK('Data Entry'!$$304), "", 'Data Entry'!$$304)</f>
      </c>
      <c r="BU304">
        <f>IF(ISBLANK('Data Entry'!$$304), "", 'Data Entry'!$$304)</f>
      </c>
      <c r="BV304">
        <f>IF(ISBLANK('Data Entry'!$$304), "", 'Data Entry'!$$304)</f>
      </c>
      <c r="BW304">
        <f>IF(ISBLANK('Data Entry'!$$304), "", 'Data Entry'!$$304)</f>
      </c>
      <c r="BX304">
        <f>IF(ISBLANK('Data Entry'!$$304), "", 'Data Entry'!$$304)</f>
      </c>
      <c r="BY304">
        <f>IF(ISBLANK('Data Entry'!$$304), "", 'Data Entry'!$$304)</f>
      </c>
      <c r="BZ304">
        <f>IF(ISBLANK('Data Entry'!$$304), "", 'Data Entry'!$$304)</f>
      </c>
      <c r="CA304">
        <f>IF(ISBLANK('Data Entry'!$$304), "", 'Data Entry'!$$304)</f>
      </c>
      <c r="CB304">
        <f>IF(ISBLANK('Data Entry'!$$304), "", 'Data Entry'!$$304)</f>
      </c>
      <c r="CC304">
        <f>IF(ISBLANK('Data Entry'!$$304), "", 'Data Entry'!$$304)</f>
      </c>
      <c r="CD304">
        <f>IF(ISBLANK('Data Entry'!$$304), "", 'Data Entry'!$$304)</f>
      </c>
      <c r="CE304">
        <f>IF(ISBLANK('Data Entry'!$$304), "", 'Data Entry'!$$304)</f>
      </c>
      <c r="CF304">
        <f>IF(ISBLANK('Data Entry'!$$304), "", 'Data Entry'!$$304)</f>
      </c>
      <c r="CG304">
        <f>IF(ISBLANK('Data Entry'!$$304), "", 'Data Entry'!$$304)</f>
      </c>
      <c r="CH304">
        <f>IF(ISBLANK('Data Entry'!$$304), "", 'Data Entry'!$$304)</f>
      </c>
      <c r="CI304">
        <f>IF(ISBLANK('Data Entry'!$$304), "", 'Data Entry'!$$304)</f>
      </c>
      <c r="CJ304">
        <f>IF(ISBLANK('Data Entry'!$$304), "", 'Data Entry'!$$304)</f>
      </c>
      <c r="CK304">
        <f>IF(ISBLANK('Data Entry'!$$304), "", 'Data Entry'!$$304)</f>
      </c>
      <c r="CL304">
        <f>IF(ISBLANK('Data Entry'!$$304), "", 'Data Entry'!$$304)</f>
      </c>
      <c r="CM304">
        <f>IF(ISBLANK('Data Entry'!$$304), "", 'Data Entry'!$$304)</f>
      </c>
      <c r="CN304">
        <f>IF(ISBLANK('Data Entry'!$$304), "", 'Data Entry'!$$304)</f>
      </c>
      <c r="CO304">
        <f>IF(ISBLANK('Data Entry'!$$304), "", 'Data Entry'!$$304)</f>
      </c>
      <c r="CP304">
        <f>IF(ISBLANK('Data Entry'!$$304), "", 'Data Entry'!$$304)</f>
      </c>
      <c r="CQ304">
        <f>IF(ISBLANK('Data Entry'!$$304), "", 'Data Entry'!$$304)</f>
      </c>
      <c r="CR304">
        <f>IF(ISBLANK('Data Entry'!$ $304), "", 'Data Entry'!$ $304)</f>
      </c>
      <c r="CS304">
        <f>IF(ISBLANK('Data Entry'!$¡$304), "", 'Data Entry'!$¡$304)</f>
      </c>
      <c r="CT304">
        <f>IF(ISBLANK('Data Entry'!$¢$304), "", 'Data Entry'!$¢$304)</f>
      </c>
      <c r="CU304">
        <f>IF(ISBLANK('Data Entry'!$£$304), "", 'Data Entry'!$£$304)</f>
      </c>
      <c r="CV304">
        <f>IF(ISBLANK('Data Entry'!$¤$304), "", 'Data Entry'!$¤$304)</f>
      </c>
      <c r="CW304">
        <f>IF(ISBLANK('Data Entry'!$¥$304), "", 'Data Entry'!$¥$304)</f>
      </c>
      <c r="CX304">
        <f>IF(ISBLANK('Data Entry'!$¦$304), "", 'Data Entry'!$¦$304)</f>
      </c>
      <c r="CY304">
        <f>IF(ISBLANK('Data Entry'!$§$304), "", 'Data Entry'!$§$304)</f>
      </c>
      <c r="CZ304">
        <f>IF(ISBLANK('Data Entry'!$¨$304), "", 'Data Entry'!$¨$304)</f>
      </c>
      <c r="DA304">
        <f>IF(ISBLANK('Data Entry'!$©$304), "", 'Data Entry'!$©$304)</f>
      </c>
      <c r="DB304">
        <f>IF(ISBLANK('Data Entry'!$ª$304), "", 'Data Entry'!$ª$304)</f>
      </c>
      <c r="DC304">
        <f>IF(ISBLANK('Data Entry'!$«$304), "", 'Data Entry'!$«$304)</f>
      </c>
      <c r="DD304">
        <f>IF(ISBLANK('Data Entry'!$¬$304), "", 'Data Entry'!$¬$304)</f>
      </c>
      <c r="DE304">
        <f>IF(ISBLANK('Data Entry'!$­$304), "", 'Data Entry'!$­$304)</f>
      </c>
      <c r="DF304">
        <f>IF(ISBLANK('Data Entry'!$®$304), "", 'Data Entry'!$®$304)</f>
      </c>
      <c r="DG304">
        <f>IF(ISBLANK('Data Entry'!$¯$304), "", 'Data Entry'!$¯$304)</f>
      </c>
      <c r="DH304">
        <f>IF(ISBLANK('Data Entry'!$°$304), "", 'Data Entry'!$°$304)</f>
      </c>
      <c r="DI304">
        <f>IF(ISBLANK('Data Entry'!$±$304), "", 'Data Entry'!$±$304)</f>
      </c>
      <c r="DJ304">
        <f>IF(ISBLANK('Data Entry'!$²$304), "", 'Data Entry'!$²$304)</f>
      </c>
      <c r="DK304">
        <f>IF(ISBLANK('Data Entry'!$³$304), "", 'Data Entry'!$³$304)</f>
      </c>
      <c r="DL304">
        <f>IF(ISBLANK('Data Entry'!$´$304), "", 'Data Entry'!$´$304)</f>
      </c>
      <c r="DM304">
        <f>IF(ISBLANK('Data Entry'!$µ$304), "", 'Data Entry'!$µ$304)</f>
      </c>
      <c r="DN304">
        <f>IF(ISBLANK('Data Entry'!$¶$304), "", 'Data Entry'!$¶$304)</f>
      </c>
      <c r="DO304">
        <f>IF(ISBLANK('Data Entry'!$·$304), "", 'Data Entry'!$·$304)</f>
      </c>
      <c r="DP304">
        <f>IF(ISBLANK('Data Entry'!$¸$304), "", 'Data Entry'!$¸$304)</f>
      </c>
      <c r="DQ304">
        <f>IF(ISBLANK('Data Entry'!$¹$304), "", 'Data Entry'!$¹$304)</f>
      </c>
      <c r="DR304">
        <f>IF(ISBLANK('Data Entry'!$º$304), "", 'Data Entry'!$º$304)</f>
      </c>
      <c r="DS304">
        <f>IF(ISBLANK('Data Entry'!$»$304), "", 'Data Entry'!$»$304)</f>
      </c>
      <c r="DT304">
        <f>IF(ISBLANK('Data Entry'!$¼$304), "", 'Data Entry'!$¼$304)</f>
      </c>
      <c r="DU304">
        <f>IF(ISBLANK('Data Entry'!$½$304), "", 'Data Entry'!$½$304)</f>
      </c>
      <c r="DV304">
        <f>IF(ISBLANK('Data Entry'!$¾$304), "", 'Data Entry'!$¾$304)</f>
      </c>
      <c r="DW304">
        <f>IF(ISBLANK('Data Entry'!$¿$304), "", 'Data Entry'!$¿$304)</f>
      </c>
      <c r="DX304">
        <f>IF(ISBLANK('Data Entry'!$À$304), "", 'Data Entry'!$À$304)</f>
      </c>
      <c r="DY304">
        <f>IF(ISBLANK('Data Entry'!$Á$304), "", 'Data Entry'!$Á$304)</f>
      </c>
      <c r="DZ304">
        <f>IF(ISBLANK('Data Entry'!$Â$304), "", 'Data Entry'!$Â$304)</f>
      </c>
      <c r="EA304">
        <f>IF(ISBLANK('Data Entry'!$Ã$304), "", 'Data Entry'!$Ã$304)</f>
      </c>
      <c r="EB304">
        <f>IF(ISBLANK('Data Entry'!$Ä$304), "", 'Data Entry'!$Ä$304)</f>
      </c>
      <c r="EC304">
        <f>IF(ISBLANK('Data Entry'!$Å$304), "", 'Data Entry'!$Å$304)</f>
      </c>
      <c r="ED304">
        <f>IF(ISBLANK('Data Entry'!$Æ$304), "", 'Data Entry'!$Æ$304)</f>
      </c>
      <c r="EE304">
        <f>IF(ISBLANK('Data Entry'!$Ç$304), "", 'Data Entry'!$Ç$304)</f>
      </c>
      <c r="EF304">
        <f>IF(ISBLANK('Data Entry'!$È$304), "", 'Data Entry'!$È$304)</f>
      </c>
      <c r="EG304">
        <f>IF(ISBLANK('Data Entry'!$É$304), "", 'Data Entry'!$É$304)</f>
      </c>
      <c r="EH304">
        <f>IF(ISBLANK('Data Entry'!$Ê$304), "", 'Data Entry'!$Ê$304)</f>
      </c>
      <c r="EI304">
        <f>IF(ISBLANK('Data Entry'!$Ë$304), "", 'Data Entry'!$Ë$304)</f>
      </c>
      <c r="EJ304">
        <f>IF(ISBLANK('Data Entry'!$Ì$304), "", 'Data Entry'!$Ì$304)</f>
      </c>
      <c r="EK304">
        <f>IF(ISBLANK('Data Entry'!$Í$304), "", 'Data Entry'!$Í$304)</f>
      </c>
      <c r="EL304">
        <f>IF(ISBLANK('Data Entry'!$Î$304), "", 'Data Entry'!$Î$304)</f>
      </c>
      <c r="EM304">
        <f>IF(ISBLANK('Data Entry'!$Ï$304), "", 'Data Entry'!$Ï$304)</f>
      </c>
      <c r="EN304">
        <f>IF(ISBLANK('Data Entry'!$Ð$304), "", 'Data Entry'!$Ð$304)</f>
      </c>
      <c r="EO304">
        <f>IF(ISBLANK('Data Entry'!$Ñ$304), "", 'Data Entry'!$Ñ$304)</f>
      </c>
      <c r="EP304">
        <f>IF(ISBLANK('Data Entry'!$Ò$304), "", 'Data Entry'!$Ò$304)</f>
      </c>
      <c r="EQ304">
        <f>IF(ISBLANK('Data Entry'!$Ó$304), "", 'Data Entry'!$Ó$304)</f>
      </c>
      <c r="ER304">
        <f>IF(ISBLANK('Data Entry'!$Ô$304), "", 'Data Entry'!$Ô$304)</f>
      </c>
      <c r="ES304">
        <f>IF(ISBLANK('Data Entry'!$Õ$304), "", 'Data Entry'!$Õ$304)</f>
      </c>
      <c r="ET304">
        <f>IF(ISBLANK('Data Entry'!$Ö$304), "", 'Data Entry'!$Ö$304)</f>
      </c>
      <c r="EU304">
        <f>IF(ISBLANK('Data Entry'!$×$304), "", 'Data Entry'!$×$304)</f>
      </c>
      <c r="EV304">
        <f>IF(ISBLANK('Data Entry'!$Ø$304), "", 'Data Entry'!$Ø$304)</f>
      </c>
      <c r="EW304">
        <f>IF(ISBLANK('Data Entry'!$Ù$304), "", 'Data Entry'!$Ù$304)</f>
      </c>
      <c r="EX304">
        <f>IF(ISBLANK('Data Entry'!$Ú$304), "", 'Data Entry'!$Ú$304)</f>
      </c>
      <c r="EY304">
        <f>IF(ISBLANK('Data Entry'!$Û$304), "", 'Data Entry'!$Û$304)</f>
      </c>
      <c r="EZ304">
        <f>IF(ISBLANK('Data Entry'!$Ü$304), "", 'Data Entry'!$Ü$304)</f>
      </c>
      <c r="FA304">
        <f>IF(ISBLANK('Data Entry'!$Ý$304), "", 'Data Entry'!$Ý$304)</f>
      </c>
      <c r="FB304">
        <f>IF(ISBLANK('Data Entry'!$Þ$304), "", 'Data Entry'!$Þ$304)</f>
      </c>
      <c r="FC304">
        <f>IF(ISBLANK('Data Entry'!$ß$304), "", 'Data Entry'!$ß$304)</f>
      </c>
      <c r="FD304">
        <f>IF(ISBLANK('Data Entry'!$à$304), "", 'Data Entry'!$à$304)</f>
      </c>
      <c r="FE304">
        <f>IF(ISBLANK('Data Entry'!$á$304), "", 'Data Entry'!$á$304)</f>
      </c>
      <c r="FF304">
        <f>IF(ISBLANK('Data Entry'!$â$304), "", 'Data Entry'!$â$304)</f>
      </c>
      <c r="FG304">
        <f>IF(ISBLANK('Data Entry'!$ã$304), "", 'Data Entry'!$ã$304)</f>
      </c>
      <c r="FH304">
        <f>IF(ISBLANK('Data Entry'!$ä$304), "", 'Data Entry'!$ä$304)</f>
      </c>
      <c r="FI304">
        <f>IF(ISBLANK('Data Entry'!$å$304), "", 'Data Entry'!$å$304)</f>
      </c>
      <c r="FJ304">
        <f>IF(ISBLANK('Data Entry'!$æ$304), "", 'Data Entry'!$æ$304)</f>
      </c>
      <c r="FK304">
        <f>IF(ISBLANK('Data Entry'!$ç$304), "", 'Data Entry'!$ç$304)</f>
      </c>
      <c r="FL304">
        <f>IF(ISBLANK('Data Entry'!$è$304), "", 'Data Entry'!$è$304)</f>
      </c>
      <c r="FM304">
        <f>IF(ISBLANK('Data Entry'!$é$304), "", 'Data Entry'!$é$304)</f>
      </c>
      <c r="FN304">
        <f>IF(ISBLANK('Data Entry'!$ê$304), "", 'Data Entry'!$ê$304)</f>
      </c>
      <c r="FO304">
        <f>IF(ISBLANK('Data Entry'!$ë$304), "", 'Data Entry'!$ë$304)</f>
      </c>
      <c r="FP304">
        <f>IF(ISBLANK('Data Entry'!$ì$304), "", 'Data Entry'!$ì$304)</f>
      </c>
      <c r="FQ304">
        <f>IF(ISBLANK('Data Entry'!$í$304), "", 'Data Entry'!$í$304)</f>
      </c>
      <c r="FR304">
        <f>IF(ISBLANK('Data Entry'!$î$304), "", 'Data Entry'!$î$304)</f>
      </c>
      <c r="FS304">
        <f>IF(ISBLANK('Data Entry'!$ï$304), "", 'Data Entry'!$ï$304)</f>
      </c>
      <c r="FT304">
        <f>IF(ISBLANK('Data Entry'!$ð$304), "", 'Data Entry'!$ð$304)</f>
      </c>
      <c r="FU304">
        <f>IF(ISBLANK('Data Entry'!$ñ$304), "", 'Data Entry'!$ñ$304)</f>
      </c>
      <c r="FV304">
        <f>IF(ISBLANK('Data Entry'!$ò$304), "", 'Data Entry'!$ò$304)</f>
      </c>
      <c r="FW304">
        <f>IF(ISBLANK('Data Entry'!$ó$304), "", 'Data Entry'!$ó$304)</f>
      </c>
      <c r="FX304">
        <f>IF(ISBLANK('Data Entry'!$ô$304), "", 'Data Entry'!$ô$304)</f>
      </c>
      <c r="FY304">
        <f>IF(ISBLANK('Data Entry'!$õ$304), "", 'Data Entry'!$õ$304)</f>
      </c>
      <c r="FZ304">
        <f>IF(ISBLANK('Data Entry'!$ö$304), "", 'Data Entry'!$ö$304)</f>
      </c>
      <c r="GA304">
        <f>IF(ISBLANK('Data Entry'!$÷$304), "", 'Data Entry'!$÷$304)</f>
      </c>
      <c r="GB304">
        <f>IF(ISBLANK('Data Entry'!$ø$304), "", 'Data Entry'!$ø$304)</f>
      </c>
      <c r="GC304">
        <f>IF(ISBLANK('Data Entry'!$ù$304), "", 'Data Entry'!$ù$304)</f>
      </c>
      <c r="GD304">
        <f>IF(ISBLANK('Data Entry'!$ú$304), "", 'Data Entry'!$ú$304)</f>
      </c>
      <c r="GE304">
        <f>IF(ISBLANK('Data Entry'!$û$304), "", 'Data Entry'!$û$304)</f>
      </c>
      <c r="GF304">
        <f>IF(ISBLANK('Data Entry'!$ü$304), "", 'Data Entry'!$ü$304)</f>
      </c>
      <c r="GG304">
        <f>IF(ISBLANK('Data Entry'!$ý$304), "", 'Data Entry'!$ý$304)</f>
      </c>
      <c r="GH304">
        <f>IF(ISBLANK('Data Entry'!$þ$304), "", 'Data Entry'!$þ$304)</f>
      </c>
      <c r="GI304">
        <f>IF(ISBLANK('Data Entry'!$ÿ$304), "", 'Data Entry'!$ÿ$304)</f>
      </c>
      <c r="GJ304">
        <f>IF(ISBLANK('Data Entry'!$Ā$304), "", 'Data Entry'!$Ā$304)</f>
      </c>
      <c r="GK304">
        <f>IF(ISBLANK('Data Entry'!$ā$304), "", 'Data Entry'!$ā$304)</f>
      </c>
      <c r="GL304">
        <f>IF(ISBLANK('Data Entry'!$Ă$304), "", 'Data Entry'!$Ă$304)</f>
      </c>
      <c r="GM304">
        <f>IF(ISBLANK('Data Entry'!$ă$304), "", 'Data Entry'!$ă$304)</f>
      </c>
      <c r="GN304">
        <f>IF(ISBLANK('Data Entry'!$Ą$304), "", 'Data Entry'!$Ą$304)</f>
      </c>
      <c r="GO304">
        <f>IF(ISBLANK('Data Entry'!$ą$304), "", 'Data Entry'!$ą$304)</f>
      </c>
      <c r="GP304">
        <f>IF(ISBLANK('Data Entry'!$Ć$304), "", 'Data Entry'!$Ć$304)</f>
      </c>
      <c r="GQ304">
        <f>IF(ISBLANK('Data Entry'!$ć$304), "", 'Data Entry'!$ć$304)</f>
      </c>
      <c r="GR304">
        <f>IF(ISBLANK('Data Entry'!$Ĉ$304), "", 'Data Entry'!$Ĉ$304)</f>
      </c>
      <c r="GS304">
        <f>IF(ISBLANK('Data Entry'!$ĉ$304), "", 'Data Entry'!$ĉ$304)</f>
      </c>
      <c r="GT304">
        <f>IF(ISBLANK('Data Entry'!$Ċ$304), "", 'Data Entry'!$Ċ$304)</f>
      </c>
      <c r="GU304">
        <f>IF(ISBLANK('Data Entry'!$ċ$304), "", 'Data Entry'!$ċ$304)</f>
      </c>
      <c r="GV304">
        <f>IF(ISBLANK('Data Entry'!$Č$304), "", 'Data Entry'!$Č$304)</f>
      </c>
      <c r="GW304">
        <f>IF(ISBLANK('Data Entry'!$č$304), "", 'Data Entry'!$č$304)</f>
      </c>
      <c r="GX304">
        <f>IF(ISBLANK('Data Entry'!$Ď$304), "", 'Data Entry'!$Ď$304)</f>
      </c>
      <c r="GY304">
        <f>IF(ISBLANK('Data Entry'!$ď$304), "", 'Data Entry'!$ď$304)</f>
      </c>
      <c r="GZ304">
        <f>IF(ISBLANK('Data Entry'!$Đ$304), "", 'Data Entry'!$Đ$304)</f>
      </c>
      <c r="HA304">
        <f>IF(ISBLANK('Data Entry'!$đ$304), "", 'Data Entry'!$đ$304)</f>
      </c>
      <c r="HB304">
        <f>IF(ISBLANK('Data Entry'!$Ē$304), "", 'Data Entry'!$Ē$304)</f>
      </c>
      <c r="HC304">
        <f>IF(ISBLANK('Data Entry'!$ē$304), "", 'Data Entry'!$ē$304)</f>
      </c>
      <c r="HD304">
        <f>IF(ISBLANK('Data Entry'!$Ĕ$304), "", 'Data Entry'!$Ĕ$304)</f>
      </c>
      <c r="HE304">
        <f>IF(ISBLANK('Data Entry'!$ĕ$304), "", 'Data Entry'!$ĕ$304)</f>
      </c>
      <c r="HF304">
        <f>IF(ISBLANK('Data Entry'!$Ė$304), "", 'Data Entry'!$Ė$304)</f>
      </c>
      <c r="HG304">
        <f>IF(ISBLANK('Data Entry'!$ė$304), "", 'Data Entry'!$ė$304)</f>
      </c>
      <c r="HH304">
        <f>IF(ISBLANK('Data Entry'!$Ę$304), "", 'Data Entry'!$Ę$304)</f>
      </c>
      <c r="HI304">
        <f>IF(ISBLANK('Data Entry'!$ę$304), "", 'Data Entry'!$ę$304)</f>
      </c>
      <c r="HJ304">
        <f>IF(ISBLANK('Data Entry'!$Ě$304), "", 'Data Entry'!$Ě$304)</f>
      </c>
      <c r="HK304">
        <f>IF(ISBLANK('Data Entry'!$ě$304), "", 'Data Entry'!$ě$304)</f>
      </c>
      <c r="HL304">
        <f>IF(ISBLANK('Data Entry'!$Ĝ$304), "", 'Data Entry'!$Ĝ$304)</f>
      </c>
      <c r="HM304">
        <f>IF(ISBLANK('Data Entry'!$ĝ$304), "", 'Data Entry'!$ĝ$304)</f>
      </c>
      <c r="HN304">
        <f>IF(ISBLANK('Data Entry'!$Ğ$304), "", 'Data Entry'!$Ğ$304)</f>
      </c>
      <c r="HO304">
        <f>IF(ISBLANK('Data Entry'!$ğ$304), "", 'Data Entry'!$ğ$304)</f>
      </c>
      <c r="HP304">
        <f>IF(ISBLANK('Data Entry'!$Ġ$304), "", 'Data Entry'!$Ġ$304)</f>
      </c>
      <c r="HQ304">
        <f>IF(ISBLANK('Data Entry'!$ġ$304), "", 'Data Entry'!$ġ$304)</f>
      </c>
      <c r="HR304">
        <f>IF(ISBLANK('Data Entry'!$Ģ$304), "", 'Data Entry'!$Ģ$304)</f>
      </c>
      <c r="HS304">
        <f>IF(ISBLANK('Data Entry'!$ģ$304), "", 'Data Entry'!$ģ$304)</f>
      </c>
      <c r="HT304">
        <f>IF(ISBLANK('Data Entry'!$Ĥ$304), "", 'Data Entry'!$Ĥ$304)</f>
      </c>
      <c r="HU304">
        <f>IF(ISBLANK('Data Entry'!$ĥ$304), "", 'Data Entry'!$ĥ$304)</f>
      </c>
      <c r="HV304">
        <f>IF(ISBLANK('Data Entry'!$Ħ$304), "", 'Data Entry'!$Ħ$304)</f>
      </c>
      <c r="HW304">
        <f>IF(ISBLANK('Data Entry'!$ħ$304), "", 'Data Entry'!$ħ$304)</f>
      </c>
      <c r="HX304">
        <f>IF(ISBLANK('Data Entry'!$Ĩ$304), "", 'Data Entry'!$Ĩ$304)</f>
      </c>
      <c r="HY304">
        <f>IF(ISBLANK('Data Entry'!$ĩ$304), "", 'Data Entry'!$ĩ$304)</f>
      </c>
      <c r="HZ304">
        <f>IF(ISBLANK('Data Entry'!$Ī$304), "", 'Data Entry'!$Ī$304)</f>
      </c>
      <c r="IA304">
        <f>IF(ISBLANK('Data Entry'!$ī$304), "", 'Data Entry'!$ī$304)</f>
      </c>
      <c r="IB304">
        <f>IF(ISBLANK('Data Entry'!$Ĭ$304), "", 'Data Entry'!$Ĭ$304)</f>
      </c>
      <c r="IC304">
        <f>IF(ISBLANK('Data Entry'!$ĭ$304), "", 'Data Entry'!$ĭ$304)</f>
      </c>
      <c r="ID304">
        <f>IF(ISBLANK('Data Entry'!$Į$304), "", 'Data Entry'!$Į$304)</f>
      </c>
      <c r="IE304">
        <f>IF(ISBLANK('Data Entry'!$į$304), "", 'Data Entry'!$į$304)</f>
      </c>
      <c r="IF304">
        <f>IF(ISBLANK('Data Entry'!$İ$304), "", 'Data Entry'!$İ$304)</f>
      </c>
      <c r="IG304">
        <f>IF(ISBLANK('Data Entry'!$ı$304), "", 'Data Entry'!$ı$304)</f>
      </c>
      <c r="IH304">
        <f>IF(ISBLANK('Data Entry'!$Ĳ$304), "", 'Data Entry'!$Ĳ$304)</f>
      </c>
      <c r="II304">
        <f>IF(ISBLANK('Data Entry'!$ĳ$304), "", 'Data Entry'!$ĳ$304)</f>
      </c>
      <c r="IJ304">
        <f>IF(ISBLANK('Data Entry'!$Ĵ$304), "", 'Data Entry'!$Ĵ$304)</f>
      </c>
      <c r="IK304">
        <f>IF(ISBLANK('Data Entry'!$ĵ$304), "", 'Data Entry'!$ĵ$304)</f>
      </c>
      <c r="IL304">
        <f>IF(ISBLANK('Data Entry'!$Ķ$304), "", 'Data Entry'!$Ķ$304)</f>
      </c>
      <c r="IM304">
        <f>IF(ISBLANK('Data Entry'!$ķ$304), "", 'Data Entry'!$ķ$304)</f>
      </c>
      <c r="IN304">
        <f>IF(ISBLANK('Data Entry'!$ĸ$304), "", 'Data Entry'!$ĸ$304)</f>
      </c>
      <c r="IO304">
        <f>IF(ISBLANK('Data Entry'!$Ĺ$304), "", 'Data Entry'!$Ĺ$304)</f>
      </c>
      <c r="IP304">
        <f>IF(ISBLANK('Data Entry'!$ĺ$304), "", 'Data Entry'!$ĺ$304)</f>
      </c>
      <c r="IQ304">
        <f>IF(ISBLANK('Data Entry'!$Ļ$304), "", 'Data Entry'!$Ļ$304)</f>
      </c>
      <c r="IR304">
        <f>IF(ISBLANK('Data Entry'!$ļ$304), "", 'Data Entry'!$ļ$304)</f>
      </c>
      <c r="IS304">
        <f>IF(ISBLANK('Data Entry'!$Ľ$304), "", 'Data Entry'!$Ľ$304)</f>
      </c>
      <c r="IT304">
        <f>IF(ISBLANK('Data Entry'!$ľ$304), "", 'Data Entry'!$ľ$304)</f>
      </c>
    </row>
    <row r="305" spans="1:254" x14ac:dyDescent="0.25">
      <c r="A305">
        <f>IF(ISBLANK('Data Entry'!$A$305), "", 'Data Entry'!$A$305)</f>
      </c>
      <c r="B305">
        <f>IF(ISBLANK('Data Entry'!$B$305), "", 'Data Entry'!$B$305)</f>
      </c>
      <c r="C305">
        <f>IF(ISBLANK('Data Entry'!$C$305), "", 'Data Entry'!$C$305)</f>
      </c>
      <c r="D305">
        <f>IF(ISBLANK('Data Entry'!$D$305), "", 'Data Entry'!$D$305)</f>
      </c>
      <c r="E305">
        <f>IF(ISBLANK('Data Entry'!$E$305), "", 'Data Entry'!$E$305)</f>
      </c>
      <c r="F305">
        <f>IF(ISBLANK('Data Entry'!$F$305), "", 'Data Entry'!$F$305)</f>
      </c>
      <c r="G305">
        <f>IF(ISBLANK('Data Entry'!$G$305), "", 'Data Entry'!$G$305)</f>
      </c>
      <c r="H305">
        <f>IF(ISBLANK('Data Entry'!$H$305), "", 'Data Entry'!$H$305)</f>
      </c>
      <c r="I305">
        <f>IF(ISBLANK('Data Entry'!$I$305), "", 'Data Entry'!$I$305)</f>
      </c>
      <c r="J305">
        <f>IF(ISBLANK('Data Entry'!$J$305), "", 'Data Entry'!$J$305)</f>
      </c>
      <c r="K305">
        <f>IF(ISBLANK('Data Entry'!$K$305), "", 'Data Entry'!$K$305)</f>
      </c>
      <c r="L305">
        <f>IF(ISBLANK('Data Entry'!$L$305), "", 'Data Entry'!$L$305)</f>
      </c>
      <c r="M305">
        <f>IF(ISBLANK('Data Entry'!$M$305), "", 'Data Entry'!$M$305)</f>
      </c>
      <c r="N305">
        <f>IF(ISBLANK('Data Entry'!$N$305), "", 'Data Entry'!$N$305)</f>
      </c>
      <c r="O305">
        <f>IF(ISBLANK('Data Entry'!$O$305), "", 'Data Entry'!$O$305)</f>
      </c>
      <c r="P305">
        <f>IF(ISBLANK('Data Entry'!$P$305), "", 'Data Entry'!$P$305)</f>
      </c>
      <c r="Q305">
        <f>IF(ISBLANK('Data Entry'!$Q$305), "", 'Data Entry'!$Q$305)</f>
      </c>
      <c r="R305">
        <f>IF(ISBLANK('Data Entry'!$R$305), "", 'Data Entry'!$R$305)</f>
      </c>
      <c r="S305">
        <f>IF(ISBLANK('Data Entry'!$S$305), "", 'Data Entry'!$S$305)</f>
      </c>
      <c r="T305">
        <f>IF(ISBLANK('Data Entry'!$T$305), "", 'Data Entry'!$T$305)</f>
      </c>
      <c r="U305">
        <f>IF(ISBLANK('Data Entry'!$U$305), "", 'Data Entry'!$U$305)</f>
      </c>
      <c r="V305">
        <f>IF(ISBLANK('Data Entry'!$V$305), "", 'Data Entry'!$V$305)</f>
      </c>
      <c r="W305">
        <f>IF(ISBLANK('Data Entry'!$W$305), "", 'Data Entry'!$W$305)</f>
      </c>
      <c r="X305">
        <f>IF(ISBLANK('Data Entry'!$X$305), "", 'Data Entry'!$X$305)</f>
      </c>
      <c r="Y305">
        <f>IF(ISBLANK('Data Entry'!$Y$305), "", 'Data Entry'!$Y$305)</f>
      </c>
      <c r="Z305">
        <f>IF(ISBLANK('Data Entry'!$Z$305), "", 'Data Entry'!$Z$305)</f>
      </c>
      <c r="AA305">
        <f>IF(ISBLANK('Data Entry'!$[$305), "", 'Data Entry'!$[$305)</f>
      </c>
      <c r="AB305">
        <f>IF(ISBLANK('Data Entry'!$\$305), "", 'Data Entry'!$\$305)</f>
      </c>
      <c r="AC305">
        <f>IF(ISBLANK('Data Entry'!$]$305), "", 'Data Entry'!$]$305)</f>
      </c>
      <c r="AD305">
        <f>IF(ISBLANK('Data Entry'!$^$305), "", 'Data Entry'!$^$305)</f>
      </c>
      <c r="AE305">
        <f>IF(ISBLANK('Data Entry'!$_$305), "", 'Data Entry'!$_$305)</f>
      </c>
      <c r="AF305">
        <f>IF(ISBLANK('Data Entry'!$`$305), "", 'Data Entry'!$`$305)</f>
      </c>
      <c r="AG305">
        <f>IF(ISBLANK('Data Entry'!$a$305), "", 'Data Entry'!$a$305)</f>
      </c>
      <c r="AH305">
        <f>IF(ISBLANK('Data Entry'!$b$305), "", 'Data Entry'!$b$305)</f>
      </c>
      <c r="AI305">
        <f>IF(ISBLANK('Data Entry'!$c$305), "", 'Data Entry'!$c$305)</f>
      </c>
      <c r="AJ305">
        <f>IF(ISBLANK('Data Entry'!$d$305), "", 'Data Entry'!$d$305)</f>
      </c>
      <c r="AK305">
        <f>IF(ISBLANK('Data Entry'!$e$305), "", 'Data Entry'!$e$305)</f>
      </c>
      <c r="AL305">
        <f>IF(ISBLANK('Data Entry'!$f$305), "", 'Data Entry'!$f$305)</f>
      </c>
      <c r="AM305">
        <f>IF(ISBLANK('Data Entry'!$g$305), "", 'Data Entry'!$g$305)</f>
      </c>
      <c r="AN305">
        <f>IF(ISBLANK('Data Entry'!$h$305), "", 'Data Entry'!$h$305)</f>
      </c>
      <c r="AO305">
        <f>IF(ISBLANK('Data Entry'!$i$305), "", 'Data Entry'!$i$305)</f>
      </c>
      <c r="AP305">
        <f>IF(ISBLANK('Data Entry'!$j$305), "", 'Data Entry'!$j$305)</f>
      </c>
      <c r="AQ305">
        <f>IF(ISBLANK('Data Entry'!$k$305), "", 'Data Entry'!$k$305)</f>
      </c>
      <c r="AR305">
        <f>IF(ISBLANK('Data Entry'!$l$305), "", 'Data Entry'!$l$305)</f>
      </c>
      <c r="AS305">
        <f>IF(ISBLANK('Data Entry'!$m$305), "", 'Data Entry'!$m$305)</f>
      </c>
      <c r="AT305">
        <f>IF(ISBLANK('Data Entry'!$n$305), "", 'Data Entry'!$n$305)</f>
      </c>
      <c r="AU305">
        <f>IF(ISBLANK('Data Entry'!$o$305), "", 'Data Entry'!$o$305)</f>
      </c>
      <c r="AV305">
        <f>IF(ISBLANK('Data Entry'!$p$305), "", 'Data Entry'!$p$305)</f>
      </c>
      <c r="AW305">
        <f>IF(ISBLANK('Data Entry'!$q$305), "", 'Data Entry'!$q$305)</f>
      </c>
      <c r="AX305">
        <f>IF(ISBLANK('Data Entry'!$r$305), "", 'Data Entry'!$r$305)</f>
      </c>
      <c r="AY305">
        <f>IF(ISBLANK('Data Entry'!$s$305), "", 'Data Entry'!$s$305)</f>
      </c>
      <c r="AZ305">
        <f>IF(ISBLANK('Data Entry'!$t$305), "", 'Data Entry'!$t$305)</f>
      </c>
      <c r="BA305">
        <f>IF(ISBLANK('Data Entry'!$u$305), "", 'Data Entry'!$u$305)</f>
      </c>
      <c r="BB305">
        <f>IF(ISBLANK('Data Entry'!$v$305), "", 'Data Entry'!$v$305)</f>
      </c>
      <c r="BC305">
        <f>IF(ISBLANK('Data Entry'!$w$305), "", 'Data Entry'!$w$305)</f>
      </c>
      <c r="BD305">
        <f>IF(ISBLANK('Data Entry'!$x$305), "", 'Data Entry'!$x$305)</f>
      </c>
      <c r="BE305">
        <f>IF(ISBLANK('Data Entry'!$y$305), "", 'Data Entry'!$y$305)</f>
      </c>
      <c r="BF305">
        <f>IF(ISBLANK('Data Entry'!$z$305), "", 'Data Entry'!$z$305)</f>
      </c>
      <c r="BG305">
        <f>IF(ISBLANK('Data Entry'!${$305), "", 'Data Entry'!${$305)</f>
      </c>
      <c r="BH305">
        <f>IF(ISBLANK('Data Entry'!$|$305), "", 'Data Entry'!$|$305)</f>
      </c>
      <c r="BI305">
        <f>IF(ISBLANK('Data Entry'!$}$305), "", 'Data Entry'!$}$305)</f>
      </c>
      <c r="BJ305">
        <f>IF(ISBLANK('Data Entry'!$~$305), "", 'Data Entry'!$~$305)</f>
      </c>
      <c r="BK305">
        <f>IF(ISBLANK('Data Entry'!$$305), "", 'Data Entry'!$$305)</f>
      </c>
      <c r="BL305">
        <f>IF(ISBLANK('Data Entry'!$$305), "", 'Data Entry'!$$305)</f>
      </c>
      <c r="BM305">
        <f>IF(ISBLANK('Data Entry'!$$305), "", 'Data Entry'!$$305)</f>
      </c>
      <c r="BN305">
        <f>IF(ISBLANK('Data Entry'!$$305), "", 'Data Entry'!$$305)</f>
      </c>
      <c r="BO305">
        <f>IF(ISBLANK('Data Entry'!$$305), "", 'Data Entry'!$$305)</f>
      </c>
      <c r="BP305">
        <f>IF(ISBLANK('Data Entry'!$$305), "", 'Data Entry'!$$305)</f>
      </c>
      <c r="BQ305">
        <f>IF(ISBLANK('Data Entry'!$$305), "", 'Data Entry'!$$305)</f>
      </c>
      <c r="BR305">
        <f>IF(ISBLANK('Data Entry'!$$305), "", 'Data Entry'!$$305)</f>
      </c>
      <c r="BS305">
        <f>IF(ISBLANK('Data Entry'!$$305), "", 'Data Entry'!$$305)</f>
      </c>
      <c r="BT305">
        <f>IF(ISBLANK('Data Entry'!$$305), "", 'Data Entry'!$$305)</f>
      </c>
      <c r="BU305">
        <f>IF(ISBLANK('Data Entry'!$$305), "", 'Data Entry'!$$305)</f>
      </c>
      <c r="BV305">
        <f>IF(ISBLANK('Data Entry'!$$305), "", 'Data Entry'!$$305)</f>
      </c>
      <c r="BW305">
        <f>IF(ISBLANK('Data Entry'!$$305), "", 'Data Entry'!$$305)</f>
      </c>
      <c r="BX305">
        <f>IF(ISBLANK('Data Entry'!$$305), "", 'Data Entry'!$$305)</f>
      </c>
      <c r="BY305">
        <f>IF(ISBLANK('Data Entry'!$$305), "", 'Data Entry'!$$305)</f>
      </c>
      <c r="BZ305">
        <f>IF(ISBLANK('Data Entry'!$$305), "", 'Data Entry'!$$305)</f>
      </c>
      <c r="CA305">
        <f>IF(ISBLANK('Data Entry'!$$305), "", 'Data Entry'!$$305)</f>
      </c>
      <c r="CB305">
        <f>IF(ISBLANK('Data Entry'!$$305), "", 'Data Entry'!$$305)</f>
      </c>
      <c r="CC305">
        <f>IF(ISBLANK('Data Entry'!$$305), "", 'Data Entry'!$$305)</f>
      </c>
      <c r="CD305">
        <f>IF(ISBLANK('Data Entry'!$$305), "", 'Data Entry'!$$305)</f>
      </c>
      <c r="CE305">
        <f>IF(ISBLANK('Data Entry'!$$305), "", 'Data Entry'!$$305)</f>
      </c>
      <c r="CF305">
        <f>IF(ISBLANK('Data Entry'!$$305), "", 'Data Entry'!$$305)</f>
      </c>
      <c r="CG305">
        <f>IF(ISBLANK('Data Entry'!$$305), "", 'Data Entry'!$$305)</f>
      </c>
      <c r="CH305">
        <f>IF(ISBLANK('Data Entry'!$$305), "", 'Data Entry'!$$305)</f>
      </c>
      <c r="CI305">
        <f>IF(ISBLANK('Data Entry'!$$305), "", 'Data Entry'!$$305)</f>
      </c>
      <c r="CJ305">
        <f>IF(ISBLANK('Data Entry'!$$305), "", 'Data Entry'!$$305)</f>
      </c>
      <c r="CK305">
        <f>IF(ISBLANK('Data Entry'!$$305), "", 'Data Entry'!$$305)</f>
      </c>
      <c r="CL305">
        <f>IF(ISBLANK('Data Entry'!$$305), "", 'Data Entry'!$$305)</f>
      </c>
      <c r="CM305">
        <f>IF(ISBLANK('Data Entry'!$$305), "", 'Data Entry'!$$305)</f>
      </c>
      <c r="CN305">
        <f>IF(ISBLANK('Data Entry'!$$305), "", 'Data Entry'!$$305)</f>
      </c>
      <c r="CO305">
        <f>IF(ISBLANK('Data Entry'!$$305), "", 'Data Entry'!$$305)</f>
      </c>
      <c r="CP305">
        <f>IF(ISBLANK('Data Entry'!$$305), "", 'Data Entry'!$$305)</f>
      </c>
      <c r="CQ305">
        <f>IF(ISBLANK('Data Entry'!$$305), "", 'Data Entry'!$$305)</f>
      </c>
      <c r="CR305">
        <f>IF(ISBLANK('Data Entry'!$ $305), "", 'Data Entry'!$ $305)</f>
      </c>
      <c r="CS305">
        <f>IF(ISBLANK('Data Entry'!$¡$305), "", 'Data Entry'!$¡$305)</f>
      </c>
      <c r="CT305">
        <f>IF(ISBLANK('Data Entry'!$¢$305), "", 'Data Entry'!$¢$305)</f>
      </c>
      <c r="CU305">
        <f>IF(ISBLANK('Data Entry'!$£$305), "", 'Data Entry'!$£$305)</f>
      </c>
      <c r="CV305">
        <f>IF(ISBLANK('Data Entry'!$¤$305), "", 'Data Entry'!$¤$305)</f>
      </c>
      <c r="CW305">
        <f>IF(ISBLANK('Data Entry'!$¥$305), "", 'Data Entry'!$¥$305)</f>
      </c>
      <c r="CX305">
        <f>IF(ISBLANK('Data Entry'!$¦$305), "", 'Data Entry'!$¦$305)</f>
      </c>
      <c r="CY305">
        <f>IF(ISBLANK('Data Entry'!$§$305), "", 'Data Entry'!$§$305)</f>
      </c>
      <c r="CZ305">
        <f>IF(ISBLANK('Data Entry'!$¨$305), "", 'Data Entry'!$¨$305)</f>
      </c>
      <c r="DA305">
        <f>IF(ISBLANK('Data Entry'!$©$305), "", 'Data Entry'!$©$305)</f>
      </c>
      <c r="DB305">
        <f>IF(ISBLANK('Data Entry'!$ª$305), "", 'Data Entry'!$ª$305)</f>
      </c>
      <c r="DC305">
        <f>IF(ISBLANK('Data Entry'!$«$305), "", 'Data Entry'!$«$305)</f>
      </c>
      <c r="DD305">
        <f>IF(ISBLANK('Data Entry'!$¬$305), "", 'Data Entry'!$¬$305)</f>
      </c>
      <c r="DE305">
        <f>IF(ISBLANK('Data Entry'!$­$305), "", 'Data Entry'!$­$305)</f>
      </c>
      <c r="DF305">
        <f>IF(ISBLANK('Data Entry'!$®$305), "", 'Data Entry'!$®$305)</f>
      </c>
      <c r="DG305">
        <f>IF(ISBLANK('Data Entry'!$¯$305), "", 'Data Entry'!$¯$305)</f>
      </c>
      <c r="DH305">
        <f>IF(ISBLANK('Data Entry'!$°$305), "", 'Data Entry'!$°$305)</f>
      </c>
      <c r="DI305">
        <f>IF(ISBLANK('Data Entry'!$±$305), "", 'Data Entry'!$±$305)</f>
      </c>
      <c r="DJ305">
        <f>IF(ISBLANK('Data Entry'!$²$305), "", 'Data Entry'!$²$305)</f>
      </c>
      <c r="DK305">
        <f>IF(ISBLANK('Data Entry'!$³$305), "", 'Data Entry'!$³$305)</f>
      </c>
      <c r="DL305">
        <f>IF(ISBLANK('Data Entry'!$´$305), "", 'Data Entry'!$´$305)</f>
      </c>
      <c r="DM305">
        <f>IF(ISBLANK('Data Entry'!$µ$305), "", 'Data Entry'!$µ$305)</f>
      </c>
      <c r="DN305">
        <f>IF(ISBLANK('Data Entry'!$¶$305), "", 'Data Entry'!$¶$305)</f>
      </c>
      <c r="DO305">
        <f>IF(ISBLANK('Data Entry'!$·$305), "", 'Data Entry'!$·$305)</f>
      </c>
      <c r="DP305">
        <f>IF(ISBLANK('Data Entry'!$¸$305), "", 'Data Entry'!$¸$305)</f>
      </c>
      <c r="DQ305">
        <f>IF(ISBLANK('Data Entry'!$¹$305), "", 'Data Entry'!$¹$305)</f>
      </c>
      <c r="DR305">
        <f>IF(ISBLANK('Data Entry'!$º$305), "", 'Data Entry'!$º$305)</f>
      </c>
      <c r="DS305">
        <f>IF(ISBLANK('Data Entry'!$»$305), "", 'Data Entry'!$»$305)</f>
      </c>
      <c r="DT305">
        <f>IF(ISBLANK('Data Entry'!$¼$305), "", 'Data Entry'!$¼$305)</f>
      </c>
      <c r="DU305">
        <f>IF(ISBLANK('Data Entry'!$½$305), "", 'Data Entry'!$½$305)</f>
      </c>
      <c r="DV305">
        <f>IF(ISBLANK('Data Entry'!$¾$305), "", 'Data Entry'!$¾$305)</f>
      </c>
      <c r="DW305">
        <f>IF(ISBLANK('Data Entry'!$¿$305), "", 'Data Entry'!$¿$305)</f>
      </c>
      <c r="DX305">
        <f>IF(ISBLANK('Data Entry'!$À$305), "", 'Data Entry'!$À$305)</f>
      </c>
      <c r="DY305">
        <f>IF(ISBLANK('Data Entry'!$Á$305), "", 'Data Entry'!$Á$305)</f>
      </c>
      <c r="DZ305">
        <f>IF(ISBLANK('Data Entry'!$Â$305), "", 'Data Entry'!$Â$305)</f>
      </c>
      <c r="EA305">
        <f>IF(ISBLANK('Data Entry'!$Ã$305), "", 'Data Entry'!$Ã$305)</f>
      </c>
      <c r="EB305">
        <f>IF(ISBLANK('Data Entry'!$Ä$305), "", 'Data Entry'!$Ä$305)</f>
      </c>
      <c r="EC305">
        <f>IF(ISBLANK('Data Entry'!$Å$305), "", 'Data Entry'!$Å$305)</f>
      </c>
      <c r="ED305">
        <f>IF(ISBLANK('Data Entry'!$Æ$305), "", 'Data Entry'!$Æ$305)</f>
      </c>
      <c r="EE305">
        <f>IF(ISBLANK('Data Entry'!$Ç$305), "", 'Data Entry'!$Ç$305)</f>
      </c>
      <c r="EF305">
        <f>IF(ISBLANK('Data Entry'!$È$305), "", 'Data Entry'!$È$305)</f>
      </c>
      <c r="EG305">
        <f>IF(ISBLANK('Data Entry'!$É$305), "", 'Data Entry'!$É$305)</f>
      </c>
      <c r="EH305">
        <f>IF(ISBLANK('Data Entry'!$Ê$305), "", 'Data Entry'!$Ê$305)</f>
      </c>
      <c r="EI305">
        <f>IF(ISBLANK('Data Entry'!$Ë$305), "", 'Data Entry'!$Ë$305)</f>
      </c>
      <c r="EJ305">
        <f>IF(ISBLANK('Data Entry'!$Ì$305), "", 'Data Entry'!$Ì$305)</f>
      </c>
      <c r="EK305">
        <f>IF(ISBLANK('Data Entry'!$Í$305), "", 'Data Entry'!$Í$305)</f>
      </c>
      <c r="EL305">
        <f>IF(ISBLANK('Data Entry'!$Î$305), "", 'Data Entry'!$Î$305)</f>
      </c>
      <c r="EM305">
        <f>IF(ISBLANK('Data Entry'!$Ï$305), "", 'Data Entry'!$Ï$305)</f>
      </c>
      <c r="EN305">
        <f>IF(ISBLANK('Data Entry'!$Ð$305), "", 'Data Entry'!$Ð$305)</f>
      </c>
      <c r="EO305">
        <f>IF(ISBLANK('Data Entry'!$Ñ$305), "", 'Data Entry'!$Ñ$305)</f>
      </c>
      <c r="EP305">
        <f>IF(ISBLANK('Data Entry'!$Ò$305), "", 'Data Entry'!$Ò$305)</f>
      </c>
      <c r="EQ305">
        <f>IF(ISBLANK('Data Entry'!$Ó$305), "", 'Data Entry'!$Ó$305)</f>
      </c>
      <c r="ER305">
        <f>IF(ISBLANK('Data Entry'!$Ô$305), "", 'Data Entry'!$Ô$305)</f>
      </c>
      <c r="ES305">
        <f>IF(ISBLANK('Data Entry'!$Õ$305), "", 'Data Entry'!$Õ$305)</f>
      </c>
      <c r="ET305">
        <f>IF(ISBLANK('Data Entry'!$Ö$305), "", 'Data Entry'!$Ö$305)</f>
      </c>
      <c r="EU305">
        <f>IF(ISBLANK('Data Entry'!$×$305), "", 'Data Entry'!$×$305)</f>
      </c>
      <c r="EV305">
        <f>IF(ISBLANK('Data Entry'!$Ø$305), "", 'Data Entry'!$Ø$305)</f>
      </c>
      <c r="EW305">
        <f>IF(ISBLANK('Data Entry'!$Ù$305), "", 'Data Entry'!$Ù$305)</f>
      </c>
      <c r="EX305">
        <f>IF(ISBLANK('Data Entry'!$Ú$305), "", 'Data Entry'!$Ú$305)</f>
      </c>
      <c r="EY305">
        <f>IF(ISBLANK('Data Entry'!$Û$305), "", 'Data Entry'!$Û$305)</f>
      </c>
      <c r="EZ305">
        <f>IF(ISBLANK('Data Entry'!$Ü$305), "", 'Data Entry'!$Ü$305)</f>
      </c>
      <c r="FA305">
        <f>IF(ISBLANK('Data Entry'!$Ý$305), "", 'Data Entry'!$Ý$305)</f>
      </c>
      <c r="FB305">
        <f>IF(ISBLANK('Data Entry'!$Þ$305), "", 'Data Entry'!$Þ$305)</f>
      </c>
      <c r="FC305">
        <f>IF(ISBLANK('Data Entry'!$ß$305), "", 'Data Entry'!$ß$305)</f>
      </c>
      <c r="FD305">
        <f>IF(ISBLANK('Data Entry'!$à$305), "", 'Data Entry'!$à$305)</f>
      </c>
      <c r="FE305">
        <f>IF(ISBLANK('Data Entry'!$á$305), "", 'Data Entry'!$á$305)</f>
      </c>
      <c r="FF305">
        <f>IF(ISBLANK('Data Entry'!$â$305), "", 'Data Entry'!$â$305)</f>
      </c>
      <c r="FG305">
        <f>IF(ISBLANK('Data Entry'!$ã$305), "", 'Data Entry'!$ã$305)</f>
      </c>
      <c r="FH305">
        <f>IF(ISBLANK('Data Entry'!$ä$305), "", 'Data Entry'!$ä$305)</f>
      </c>
      <c r="FI305">
        <f>IF(ISBLANK('Data Entry'!$å$305), "", 'Data Entry'!$å$305)</f>
      </c>
      <c r="FJ305">
        <f>IF(ISBLANK('Data Entry'!$æ$305), "", 'Data Entry'!$æ$305)</f>
      </c>
      <c r="FK305">
        <f>IF(ISBLANK('Data Entry'!$ç$305), "", 'Data Entry'!$ç$305)</f>
      </c>
      <c r="FL305">
        <f>IF(ISBLANK('Data Entry'!$è$305), "", 'Data Entry'!$è$305)</f>
      </c>
      <c r="FM305">
        <f>IF(ISBLANK('Data Entry'!$é$305), "", 'Data Entry'!$é$305)</f>
      </c>
      <c r="FN305">
        <f>IF(ISBLANK('Data Entry'!$ê$305), "", 'Data Entry'!$ê$305)</f>
      </c>
      <c r="FO305">
        <f>IF(ISBLANK('Data Entry'!$ë$305), "", 'Data Entry'!$ë$305)</f>
      </c>
      <c r="FP305">
        <f>IF(ISBLANK('Data Entry'!$ì$305), "", 'Data Entry'!$ì$305)</f>
      </c>
      <c r="FQ305">
        <f>IF(ISBLANK('Data Entry'!$í$305), "", 'Data Entry'!$í$305)</f>
      </c>
      <c r="FR305">
        <f>IF(ISBLANK('Data Entry'!$î$305), "", 'Data Entry'!$î$305)</f>
      </c>
      <c r="FS305">
        <f>IF(ISBLANK('Data Entry'!$ï$305), "", 'Data Entry'!$ï$305)</f>
      </c>
      <c r="FT305">
        <f>IF(ISBLANK('Data Entry'!$ð$305), "", 'Data Entry'!$ð$305)</f>
      </c>
      <c r="FU305">
        <f>IF(ISBLANK('Data Entry'!$ñ$305), "", 'Data Entry'!$ñ$305)</f>
      </c>
      <c r="FV305">
        <f>IF(ISBLANK('Data Entry'!$ò$305), "", 'Data Entry'!$ò$305)</f>
      </c>
      <c r="FW305">
        <f>IF(ISBLANK('Data Entry'!$ó$305), "", 'Data Entry'!$ó$305)</f>
      </c>
      <c r="FX305">
        <f>IF(ISBLANK('Data Entry'!$ô$305), "", 'Data Entry'!$ô$305)</f>
      </c>
      <c r="FY305">
        <f>IF(ISBLANK('Data Entry'!$õ$305), "", 'Data Entry'!$õ$305)</f>
      </c>
      <c r="FZ305">
        <f>IF(ISBLANK('Data Entry'!$ö$305), "", 'Data Entry'!$ö$305)</f>
      </c>
      <c r="GA305">
        <f>IF(ISBLANK('Data Entry'!$÷$305), "", 'Data Entry'!$÷$305)</f>
      </c>
      <c r="GB305">
        <f>IF(ISBLANK('Data Entry'!$ø$305), "", 'Data Entry'!$ø$305)</f>
      </c>
      <c r="GC305">
        <f>IF(ISBLANK('Data Entry'!$ù$305), "", 'Data Entry'!$ù$305)</f>
      </c>
      <c r="GD305">
        <f>IF(ISBLANK('Data Entry'!$ú$305), "", 'Data Entry'!$ú$305)</f>
      </c>
      <c r="GE305">
        <f>IF(ISBLANK('Data Entry'!$û$305), "", 'Data Entry'!$û$305)</f>
      </c>
      <c r="GF305">
        <f>IF(ISBLANK('Data Entry'!$ü$305), "", 'Data Entry'!$ü$305)</f>
      </c>
      <c r="GG305">
        <f>IF(ISBLANK('Data Entry'!$ý$305), "", 'Data Entry'!$ý$305)</f>
      </c>
      <c r="GH305">
        <f>IF(ISBLANK('Data Entry'!$þ$305), "", 'Data Entry'!$þ$305)</f>
      </c>
      <c r="GI305">
        <f>IF(ISBLANK('Data Entry'!$ÿ$305), "", 'Data Entry'!$ÿ$305)</f>
      </c>
      <c r="GJ305">
        <f>IF(ISBLANK('Data Entry'!$Ā$305), "", 'Data Entry'!$Ā$305)</f>
      </c>
      <c r="GK305">
        <f>IF(ISBLANK('Data Entry'!$ā$305), "", 'Data Entry'!$ā$305)</f>
      </c>
      <c r="GL305">
        <f>IF(ISBLANK('Data Entry'!$Ă$305), "", 'Data Entry'!$Ă$305)</f>
      </c>
      <c r="GM305">
        <f>IF(ISBLANK('Data Entry'!$ă$305), "", 'Data Entry'!$ă$305)</f>
      </c>
      <c r="GN305">
        <f>IF(ISBLANK('Data Entry'!$Ą$305), "", 'Data Entry'!$Ą$305)</f>
      </c>
      <c r="GO305">
        <f>IF(ISBLANK('Data Entry'!$ą$305), "", 'Data Entry'!$ą$305)</f>
      </c>
      <c r="GP305">
        <f>IF(ISBLANK('Data Entry'!$Ć$305), "", 'Data Entry'!$Ć$305)</f>
      </c>
      <c r="GQ305">
        <f>IF(ISBLANK('Data Entry'!$ć$305), "", 'Data Entry'!$ć$305)</f>
      </c>
      <c r="GR305">
        <f>IF(ISBLANK('Data Entry'!$Ĉ$305), "", 'Data Entry'!$Ĉ$305)</f>
      </c>
      <c r="GS305">
        <f>IF(ISBLANK('Data Entry'!$ĉ$305), "", 'Data Entry'!$ĉ$305)</f>
      </c>
      <c r="GT305">
        <f>IF(ISBLANK('Data Entry'!$Ċ$305), "", 'Data Entry'!$Ċ$305)</f>
      </c>
      <c r="GU305">
        <f>IF(ISBLANK('Data Entry'!$ċ$305), "", 'Data Entry'!$ċ$305)</f>
      </c>
      <c r="GV305">
        <f>IF(ISBLANK('Data Entry'!$Č$305), "", 'Data Entry'!$Č$305)</f>
      </c>
      <c r="GW305">
        <f>IF(ISBLANK('Data Entry'!$č$305), "", 'Data Entry'!$č$305)</f>
      </c>
      <c r="GX305">
        <f>IF(ISBLANK('Data Entry'!$Ď$305), "", 'Data Entry'!$Ď$305)</f>
      </c>
      <c r="GY305">
        <f>IF(ISBLANK('Data Entry'!$ď$305), "", 'Data Entry'!$ď$305)</f>
      </c>
      <c r="GZ305">
        <f>IF(ISBLANK('Data Entry'!$Đ$305), "", 'Data Entry'!$Đ$305)</f>
      </c>
      <c r="HA305">
        <f>IF(ISBLANK('Data Entry'!$đ$305), "", 'Data Entry'!$đ$305)</f>
      </c>
      <c r="HB305">
        <f>IF(ISBLANK('Data Entry'!$Ē$305), "", 'Data Entry'!$Ē$305)</f>
      </c>
      <c r="HC305">
        <f>IF(ISBLANK('Data Entry'!$ē$305), "", 'Data Entry'!$ē$305)</f>
      </c>
      <c r="HD305">
        <f>IF(ISBLANK('Data Entry'!$Ĕ$305), "", 'Data Entry'!$Ĕ$305)</f>
      </c>
      <c r="HE305">
        <f>IF(ISBLANK('Data Entry'!$ĕ$305), "", 'Data Entry'!$ĕ$305)</f>
      </c>
      <c r="HF305">
        <f>IF(ISBLANK('Data Entry'!$Ė$305), "", 'Data Entry'!$Ė$305)</f>
      </c>
      <c r="HG305">
        <f>IF(ISBLANK('Data Entry'!$ė$305), "", 'Data Entry'!$ė$305)</f>
      </c>
      <c r="HH305">
        <f>IF(ISBLANK('Data Entry'!$Ę$305), "", 'Data Entry'!$Ę$305)</f>
      </c>
      <c r="HI305">
        <f>IF(ISBLANK('Data Entry'!$ę$305), "", 'Data Entry'!$ę$305)</f>
      </c>
      <c r="HJ305">
        <f>IF(ISBLANK('Data Entry'!$Ě$305), "", 'Data Entry'!$Ě$305)</f>
      </c>
      <c r="HK305">
        <f>IF(ISBLANK('Data Entry'!$ě$305), "", 'Data Entry'!$ě$305)</f>
      </c>
      <c r="HL305">
        <f>IF(ISBLANK('Data Entry'!$Ĝ$305), "", 'Data Entry'!$Ĝ$305)</f>
      </c>
      <c r="HM305">
        <f>IF(ISBLANK('Data Entry'!$ĝ$305), "", 'Data Entry'!$ĝ$305)</f>
      </c>
      <c r="HN305">
        <f>IF(ISBLANK('Data Entry'!$Ğ$305), "", 'Data Entry'!$Ğ$305)</f>
      </c>
      <c r="HO305">
        <f>IF(ISBLANK('Data Entry'!$ğ$305), "", 'Data Entry'!$ğ$305)</f>
      </c>
      <c r="HP305">
        <f>IF(ISBLANK('Data Entry'!$Ġ$305), "", 'Data Entry'!$Ġ$305)</f>
      </c>
      <c r="HQ305">
        <f>IF(ISBLANK('Data Entry'!$ġ$305), "", 'Data Entry'!$ġ$305)</f>
      </c>
      <c r="HR305">
        <f>IF(ISBLANK('Data Entry'!$Ģ$305), "", 'Data Entry'!$Ģ$305)</f>
      </c>
      <c r="HS305">
        <f>IF(ISBLANK('Data Entry'!$ģ$305), "", 'Data Entry'!$ģ$305)</f>
      </c>
      <c r="HT305">
        <f>IF(ISBLANK('Data Entry'!$Ĥ$305), "", 'Data Entry'!$Ĥ$305)</f>
      </c>
      <c r="HU305">
        <f>IF(ISBLANK('Data Entry'!$ĥ$305), "", 'Data Entry'!$ĥ$305)</f>
      </c>
      <c r="HV305">
        <f>IF(ISBLANK('Data Entry'!$Ħ$305), "", 'Data Entry'!$Ħ$305)</f>
      </c>
      <c r="HW305">
        <f>IF(ISBLANK('Data Entry'!$ħ$305), "", 'Data Entry'!$ħ$305)</f>
      </c>
      <c r="HX305">
        <f>IF(ISBLANK('Data Entry'!$Ĩ$305), "", 'Data Entry'!$Ĩ$305)</f>
      </c>
      <c r="HY305">
        <f>IF(ISBLANK('Data Entry'!$ĩ$305), "", 'Data Entry'!$ĩ$305)</f>
      </c>
      <c r="HZ305">
        <f>IF(ISBLANK('Data Entry'!$Ī$305), "", 'Data Entry'!$Ī$305)</f>
      </c>
      <c r="IA305">
        <f>IF(ISBLANK('Data Entry'!$ī$305), "", 'Data Entry'!$ī$305)</f>
      </c>
      <c r="IB305">
        <f>IF(ISBLANK('Data Entry'!$Ĭ$305), "", 'Data Entry'!$Ĭ$305)</f>
      </c>
      <c r="IC305">
        <f>IF(ISBLANK('Data Entry'!$ĭ$305), "", 'Data Entry'!$ĭ$305)</f>
      </c>
      <c r="ID305">
        <f>IF(ISBLANK('Data Entry'!$Į$305), "", 'Data Entry'!$Į$305)</f>
      </c>
      <c r="IE305">
        <f>IF(ISBLANK('Data Entry'!$į$305), "", 'Data Entry'!$į$305)</f>
      </c>
      <c r="IF305">
        <f>IF(ISBLANK('Data Entry'!$İ$305), "", 'Data Entry'!$İ$305)</f>
      </c>
      <c r="IG305">
        <f>IF(ISBLANK('Data Entry'!$ı$305), "", 'Data Entry'!$ı$305)</f>
      </c>
      <c r="IH305">
        <f>IF(ISBLANK('Data Entry'!$Ĳ$305), "", 'Data Entry'!$Ĳ$305)</f>
      </c>
      <c r="II305">
        <f>IF(ISBLANK('Data Entry'!$ĳ$305), "", 'Data Entry'!$ĳ$305)</f>
      </c>
      <c r="IJ305">
        <f>IF(ISBLANK('Data Entry'!$Ĵ$305), "", 'Data Entry'!$Ĵ$305)</f>
      </c>
      <c r="IK305">
        <f>IF(ISBLANK('Data Entry'!$ĵ$305), "", 'Data Entry'!$ĵ$305)</f>
      </c>
      <c r="IL305">
        <f>IF(ISBLANK('Data Entry'!$Ķ$305), "", 'Data Entry'!$Ķ$305)</f>
      </c>
      <c r="IM305">
        <f>IF(ISBLANK('Data Entry'!$ķ$305), "", 'Data Entry'!$ķ$305)</f>
      </c>
      <c r="IN305">
        <f>IF(ISBLANK('Data Entry'!$ĸ$305), "", 'Data Entry'!$ĸ$305)</f>
      </c>
      <c r="IO305">
        <f>IF(ISBLANK('Data Entry'!$Ĺ$305), "", 'Data Entry'!$Ĺ$305)</f>
      </c>
      <c r="IP305">
        <f>IF(ISBLANK('Data Entry'!$ĺ$305), "", 'Data Entry'!$ĺ$305)</f>
      </c>
      <c r="IQ305">
        <f>IF(ISBLANK('Data Entry'!$Ļ$305), "", 'Data Entry'!$Ļ$305)</f>
      </c>
      <c r="IR305">
        <f>IF(ISBLANK('Data Entry'!$ļ$305), "", 'Data Entry'!$ļ$305)</f>
      </c>
      <c r="IS305">
        <f>IF(ISBLANK('Data Entry'!$Ľ$305), "", 'Data Entry'!$Ľ$305)</f>
      </c>
      <c r="IT305">
        <f>IF(ISBLANK('Data Entry'!$ľ$305), "", 'Data Entry'!$ľ$305)</f>
      </c>
    </row>
    <row r="306" spans="1:254" x14ac:dyDescent="0.25">
      <c r="A306">
        <f>IF(ISBLANK('Data Entry'!$A$306), "", 'Data Entry'!$A$306)</f>
      </c>
      <c r="B306">
        <f>IF(ISBLANK('Data Entry'!$B$306), "", 'Data Entry'!$B$306)</f>
      </c>
      <c r="C306">
        <f>IF(ISBLANK('Data Entry'!$C$306), "", 'Data Entry'!$C$306)</f>
      </c>
      <c r="D306">
        <f>IF(ISBLANK('Data Entry'!$D$306), "", 'Data Entry'!$D$306)</f>
      </c>
      <c r="E306">
        <f>IF(ISBLANK('Data Entry'!$E$306), "", 'Data Entry'!$E$306)</f>
      </c>
      <c r="F306">
        <f>IF(ISBLANK('Data Entry'!$F$306), "", 'Data Entry'!$F$306)</f>
      </c>
      <c r="G306">
        <f>IF(ISBLANK('Data Entry'!$G$306), "", 'Data Entry'!$G$306)</f>
      </c>
      <c r="H306">
        <f>IF(ISBLANK('Data Entry'!$H$306), "", 'Data Entry'!$H$306)</f>
      </c>
      <c r="I306">
        <f>IF(ISBLANK('Data Entry'!$I$306), "", 'Data Entry'!$I$306)</f>
      </c>
      <c r="J306">
        <f>IF(ISBLANK('Data Entry'!$J$306), "", 'Data Entry'!$J$306)</f>
      </c>
      <c r="K306">
        <f>IF(ISBLANK('Data Entry'!$K$306), "", 'Data Entry'!$K$306)</f>
      </c>
      <c r="L306">
        <f>IF(ISBLANK('Data Entry'!$L$306), "", 'Data Entry'!$L$306)</f>
      </c>
      <c r="M306">
        <f>IF(ISBLANK('Data Entry'!$M$306), "", 'Data Entry'!$M$306)</f>
      </c>
      <c r="N306">
        <f>IF(ISBLANK('Data Entry'!$N$306), "", 'Data Entry'!$N$306)</f>
      </c>
      <c r="O306">
        <f>IF(ISBLANK('Data Entry'!$O$306), "", 'Data Entry'!$O$306)</f>
      </c>
      <c r="P306">
        <f>IF(ISBLANK('Data Entry'!$P$306), "", 'Data Entry'!$P$306)</f>
      </c>
      <c r="Q306">
        <f>IF(ISBLANK('Data Entry'!$Q$306), "", 'Data Entry'!$Q$306)</f>
      </c>
      <c r="R306">
        <f>IF(ISBLANK('Data Entry'!$R$306), "", 'Data Entry'!$R$306)</f>
      </c>
      <c r="S306">
        <f>IF(ISBLANK('Data Entry'!$S$306), "", 'Data Entry'!$S$306)</f>
      </c>
      <c r="T306">
        <f>IF(ISBLANK('Data Entry'!$T$306), "", 'Data Entry'!$T$306)</f>
      </c>
      <c r="U306">
        <f>IF(ISBLANK('Data Entry'!$U$306), "", 'Data Entry'!$U$306)</f>
      </c>
      <c r="V306">
        <f>IF(ISBLANK('Data Entry'!$V$306), "", 'Data Entry'!$V$306)</f>
      </c>
      <c r="W306">
        <f>IF(ISBLANK('Data Entry'!$W$306), "", 'Data Entry'!$W$306)</f>
      </c>
      <c r="X306">
        <f>IF(ISBLANK('Data Entry'!$X$306), "", 'Data Entry'!$X$306)</f>
      </c>
      <c r="Y306">
        <f>IF(ISBLANK('Data Entry'!$Y$306), "", 'Data Entry'!$Y$306)</f>
      </c>
      <c r="Z306">
        <f>IF(ISBLANK('Data Entry'!$Z$306), "", 'Data Entry'!$Z$306)</f>
      </c>
      <c r="AA306">
        <f>IF(ISBLANK('Data Entry'!$[$306), "", 'Data Entry'!$[$306)</f>
      </c>
      <c r="AB306">
        <f>IF(ISBLANK('Data Entry'!$\$306), "", 'Data Entry'!$\$306)</f>
      </c>
      <c r="AC306">
        <f>IF(ISBLANK('Data Entry'!$]$306), "", 'Data Entry'!$]$306)</f>
      </c>
      <c r="AD306">
        <f>IF(ISBLANK('Data Entry'!$^$306), "", 'Data Entry'!$^$306)</f>
      </c>
      <c r="AE306">
        <f>IF(ISBLANK('Data Entry'!$_$306), "", 'Data Entry'!$_$306)</f>
      </c>
      <c r="AF306">
        <f>IF(ISBLANK('Data Entry'!$`$306), "", 'Data Entry'!$`$306)</f>
      </c>
      <c r="AG306">
        <f>IF(ISBLANK('Data Entry'!$a$306), "", 'Data Entry'!$a$306)</f>
      </c>
      <c r="AH306">
        <f>IF(ISBLANK('Data Entry'!$b$306), "", 'Data Entry'!$b$306)</f>
      </c>
      <c r="AI306">
        <f>IF(ISBLANK('Data Entry'!$c$306), "", 'Data Entry'!$c$306)</f>
      </c>
      <c r="AJ306">
        <f>IF(ISBLANK('Data Entry'!$d$306), "", 'Data Entry'!$d$306)</f>
      </c>
      <c r="AK306">
        <f>IF(ISBLANK('Data Entry'!$e$306), "", 'Data Entry'!$e$306)</f>
      </c>
      <c r="AL306">
        <f>IF(ISBLANK('Data Entry'!$f$306), "", 'Data Entry'!$f$306)</f>
      </c>
      <c r="AM306">
        <f>IF(ISBLANK('Data Entry'!$g$306), "", 'Data Entry'!$g$306)</f>
      </c>
      <c r="AN306">
        <f>IF(ISBLANK('Data Entry'!$h$306), "", 'Data Entry'!$h$306)</f>
      </c>
      <c r="AO306">
        <f>IF(ISBLANK('Data Entry'!$i$306), "", 'Data Entry'!$i$306)</f>
      </c>
      <c r="AP306">
        <f>IF(ISBLANK('Data Entry'!$j$306), "", 'Data Entry'!$j$306)</f>
      </c>
      <c r="AQ306">
        <f>IF(ISBLANK('Data Entry'!$k$306), "", 'Data Entry'!$k$306)</f>
      </c>
      <c r="AR306">
        <f>IF(ISBLANK('Data Entry'!$l$306), "", 'Data Entry'!$l$306)</f>
      </c>
      <c r="AS306">
        <f>IF(ISBLANK('Data Entry'!$m$306), "", 'Data Entry'!$m$306)</f>
      </c>
      <c r="AT306">
        <f>IF(ISBLANK('Data Entry'!$n$306), "", 'Data Entry'!$n$306)</f>
      </c>
      <c r="AU306">
        <f>IF(ISBLANK('Data Entry'!$o$306), "", 'Data Entry'!$o$306)</f>
      </c>
      <c r="AV306">
        <f>IF(ISBLANK('Data Entry'!$p$306), "", 'Data Entry'!$p$306)</f>
      </c>
      <c r="AW306">
        <f>IF(ISBLANK('Data Entry'!$q$306), "", 'Data Entry'!$q$306)</f>
      </c>
      <c r="AX306">
        <f>IF(ISBLANK('Data Entry'!$r$306), "", 'Data Entry'!$r$306)</f>
      </c>
      <c r="AY306">
        <f>IF(ISBLANK('Data Entry'!$s$306), "", 'Data Entry'!$s$306)</f>
      </c>
      <c r="AZ306">
        <f>IF(ISBLANK('Data Entry'!$t$306), "", 'Data Entry'!$t$306)</f>
      </c>
      <c r="BA306">
        <f>IF(ISBLANK('Data Entry'!$u$306), "", 'Data Entry'!$u$306)</f>
      </c>
      <c r="BB306">
        <f>IF(ISBLANK('Data Entry'!$v$306), "", 'Data Entry'!$v$306)</f>
      </c>
      <c r="BC306">
        <f>IF(ISBLANK('Data Entry'!$w$306), "", 'Data Entry'!$w$306)</f>
      </c>
      <c r="BD306">
        <f>IF(ISBLANK('Data Entry'!$x$306), "", 'Data Entry'!$x$306)</f>
      </c>
      <c r="BE306">
        <f>IF(ISBLANK('Data Entry'!$y$306), "", 'Data Entry'!$y$306)</f>
      </c>
      <c r="BF306">
        <f>IF(ISBLANK('Data Entry'!$z$306), "", 'Data Entry'!$z$306)</f>
      </c>
      <c r="BG306">
        <f>IF(ISBLANK('Data Entry'!${$306), "", 'Data Entry'!${$306)</f>
      </c>
      <c r="BH306">
        <f>IF(ISBLANK('Data Entry'!$|$306), "", 'Data Entry'!$|$306)</f>
      </c>
      <c r="BI306">
        <f>IF(ISBLANK('Data Entry'!$}$306), "", 'Data Entry'!$}$306)</f>
      </c>
      <c r="BJ306">
        <f>IF(ISBLANK('Data Entry'!$~$306), "", 'Data Entry'!$~$306)</f>
      </c>
      <c r="BK306">
        <f>IF(ISBLANK('Data Entry'!$$306), "", 'Data Entry'!$$306)</f>
      </c>
      <c r="BL306">
        <f>IF(ISBLANK('Data Entry'!$$306), "", 'Data Entry'!$$306)</f>
      </c>
      <c r="BM306">
        <f>IF(ISBLANK('Data Entry'!$$306), "", 'Data Entry'!$$306)</f>
      </c>
      <c r="BN306">
        <f>IF(ISBLANK('Data Entry'!$$306), "", 'Data Entry'!$$306)</f>
      </c>
      <c r="BO306">
        <f>IF(ISBLANK('Data Entry'!$$306), "", 'Data Entry'!$$306)</f>
      </c>
      <c r="BP306">
        <f>IF(ISBLANK('Data Entry'!$$306), "", 'Data Entry'!$$306)</f>
      </c>
      <c r="BQ306">
        <f>IF(ISBLANK('Data Entry'!$$306), "", 'Data Entry'!$$306)</f>
      </c>
      <c r="BR306">
        <f>IF(ISBLANK('Data Entry'!$$306), "", 'Data Entry'!$$306)</f>
      </c>
      <c r="BS306">
        <f>IF(ISBLANK('Data Entry'!$$306), "", 'Data Entry'!$$306)</f>
      </c>
      <c r="BT306">
        <f>IF(ISBLANK('Data Entry'!$$306), "", 'Data Entry'!$$306)</f>
      </c>
      <c r="BU306">
        <f>IF(ISBLANK('Data Entry'!$$306), "", 'Data Entry'!$$306)</f>
      </c>
      <c r="BV306">
        <f>IF(ISBLANK('Data Entry'!$$306), "", 'Data Entry'!$$306)</f>
      </c>
      <c r="BW306">
        <f>IF(ISBLANK('Data Entry'!$$306), "", 'Data Entry'!$$306)</f>
      </c>
      <c r="BX306">
        <f>IF(ISBLANK('Data Entry'!$$306), "", 'Data Entry'!$$306)</f>
      </c>
      <c r="BY306">
        <f>IF(ISBLANK('Data Entry'!$$306), "", 'Data Entry'!$$306)</f>
      </c>
      <c r="BZ306">
        <f>IF(ISBLANK('Data Entry'!$$306), "", 'Data Entry'!$$306)</f>
      </c>
      <c r="CA306">
        <f>IF(ISBLANK('Data Entry'!$$306), "", 'Data Entry'!$$306)</f>
      </c>
      <c r="CB306">
        <f>IF(ISBLANK('Data Entry'!$$306), "", 'Data Entry'!$$306)</f>
      </c>
      <c r="CC306">
        <f>IF(ISBLANK('Data Entry'!$$306), "", 'Data Entry'!$$306)</f>
      </c>
      <c r="CD306">
        <f>IF(ISBLANK('Data Entry'!$$306), "", 'Data Entry'!$$306)</f>
      </c>
      <c r="CE306">
        <f>IF(ISBLANK('Data Entry'!$$306), "", 'Data Entry'!$$306)</f>
      </c>
      <c r="CF306">
        <f>IF(ISBLANK('Data Entry'!$$306), "", 'Data Entry'!$$306)</f>
      </c>
      <c r="CG306">
        <f>IF(ISBLANK('Data Entry'!$$306), "", 'Data Entry'!$$306)</f>
      </c>
      <c r="CH306">
        <f>IF(ISBLANK('Data Entry'!$$306), "", 'Data Entry'!$$306)</f>
      </c>
      <c r="CI306">
        <f>IF(ISBLANK('Data Entry'!$$306), "", 'Data Entry'!$$306)</f>
      </c>
      <c r="CJ306">
        <f>IF(ISBLANK('Data Entry'!$$306), "", 'Data Entry'!$$306)</f>
      </c>
      <c r="CK306">
        <f>IF(ISBLANK('Data Entry'!$$306), "", 'Data Entry'!$$306)</f>
      </c>
      <c r="CL306">
        <f>IF(ISBLANK('Data Entry'!$$306), "", 'Data Entry'!$$306)</f>
      </c>
      <c r="CM306">
        <f>IF(ISBLANK('Data Entry'!$$306), "", 'Data Entry'!$$306)</f>
      </c>
      <c r="CN306">
        <f>IF(ISBLANK('Data Entry'!$$306), "", 'Data Entry'!$$306)</f>
      </c>
      <c r="CO306">
        <f>IF(ISBLANK('Data Entry'!$$306), "", 'Data Entry'!$$306)</f>
      </c>
      <c r="CP306">
        <f>IF(ISBLANK('Data Entry'!$$306), "", 'Data Entry'!$$306)</f>
      </c>
      <c r="CQ306">
        <f>IF(ISBLANK('Data Entry'!$$306), "", 'Data Entry'!$$306)</f>
      </c>
      <c r="CR306">
        <f>IF(ISBLANK('Data Entry'!$ $306), "", 'Data Entry'!$ $306)</f>
      </c>
      <c r="CS306">
        <f>IF(ISBLANK('Data Entry'!$¡$306), "", 'Data Entry'!$¡$306)</f>
      </c>
      <c r="CT306">
        <f>IF(ISBLANK('Data Entry'!$¢$306), "", 'Data Entry'!$¢$306)</f>
      </c>
      <c r="CU306">
        <f>IF(ISBLANK('Data Entry'!$£$306), "", 'Data Entry'!$£$306)</f>
      </c>
      <c r="CV306">
        <f>IF(ISBLANK('Data Entry'!$¤$306), "", 'Data Entry'!$¤$306)</f>
      </c>
      <c r="CW306">
        <f>IF(ISBLANK('Data Entry'!$¥$306), "", 'Data Entry'!$¥$306)</f>
      </c>
      <c r="CX306">
        <f>IF(ISBLANK('Data Entry'!$¦$306), "", 'Data Entry'!$¦$306)</f>
      </c>
      <c r="CY306">
        <f>IF(ISBLANK('Data Entry'!$§$306), "", 'Data Entry'!$§$306)</f>
      </c>
      <c r="CZ306">
        <f>IF(ISBLANK('Data Entry'!$¨$306), "", 'Data Entry'!$¨$306)</f>
      </c>
      <c r="DA306">
        <f>IF(ISBLANK('Data Entry'!$©$306), "", 'Data Entry'!$©$306)</f>
      </c>
      <c r="DB306">
        <f>IF(ISBLANK('Data Entry'!$ª$306), "", 'Data Entry'!$ª$306)</f>
      </c>
      <c r="DC306">
        <f>IF(ISBLANK('Data Entry'!$«$306), "", 'Data Entry'!$«$306)</f>
      </c>
      <c r="DD306">
        <f>IF(ISBLANK('Data Entry'!$¬$306), "", 'Data Entry'!$¬$306)</f>
      </c>
      <c r="DE306">
        <f>IF(ISBLANK('Data Entry'!$­$306), "", 'Data Entry'!$­$306)</f>
      </c>
      <c r="DF306">
        <f>IF(ISBLANK('Data Entry'!$®$306), "", 'Data Entry'!$®$306)</f>
      </c>
      <c r="DG306">
        <f>IF(ISBLANK('Data Entry'!$¯$306), "", 'Data Entry'!$¯$306)</f>
      </c>
      <c r="DH306">
        <f>IF(ISBLANK('Data Entry'!$°$306), "", 'Data Entry'!$°$306)</f>
      </c>
      <c r="DI306">
        <f>IF(ISBLANK('Data Entry'!$±$306), "", 'Data Entry'!$±$306)</f>
      </c>
      <c r="DJ306">
        <f>IF(ISBLANK('Data Entry'!$²$306), "", 'Data Entry'!$²$306)</f>
      </c>
      <c r="DK306">
        <f>IF(ISBLANK('Data Entry'!$³$306), "", 'Data Entry'!$³$306)</f>
      </c>
      <c r="DL306">
        <f>IF(ISBLANK('Data Entry'!$´$306), "", 'Data Entry'!$´$306)</f>
      </c>
      <c r="DM306">
        <f>IF(ISBLANK('Data Entry'!$µ$306), "", 'Data Entry'!$µ$306)</f>
      </c>
      <c r="DN306">
        <f>IF(ISBLANK('Data Entry'!$¶$306), "", 'Data Entry'!$¶$306)</f>
      </c>
      <c r="DO306">
        <f>IF(ISBLANK('Data Entry'!$·$306), "", 'Data Entry'!$·$306)</f>
      </c>
      <c r="DP306">
        <f>IF(ISBLANK('Data Entry'!$¸$306), "", 'Data Entry'!$¸$306)</f>
      </c>
      <c r="DQ306">
        <f>IF(ISBLANK('Data Entry'!$¹$306), "", 'Data Entry'!$¹$306)</f>
      </c>
      <c r="DR306">
        <f>IF(ISBLANK('Data Entry'!$º$306), "", 'Data Entry'!$º$306)</f>
      </c>
      <c r="DS306">
        <f>IF(ISBLANK('Data Entry'!$»$306), "", 'Data Entry'!$»$306)</f>
      </c>
      <c r="DT306">
        <f>IF(ISBLANK('Data Entry'!$¼$306), "", 'Data Entry'!$¼$306)</f>
      </c>
      <c r="DU306">
        <f>IF(ISBLANK('Data Entry'!$½$306), "", 'Data Entry'!$½$306)</f>
      </c>
      <c r="DV306">
        <f>IF(ISBLANK('Data Entry'!$¾$306), "", 'Data Entry'!$¾$306)</f>
      </c>
      <c r="DW306">
        <f>IF(ISBLANK('Data Entry'!$¿$306), "", 'Data Entry'!$¿$306)</f>
      </c>
      <c r="DX306">
        <f>IF(ISBLANK('Data Entry'!$À$306), "", 'Data Entry'!$À$306)</f>
      </c>
      <c r="DY306">
        <f>IF(ISBLANK('Data Entry'!$Á$306), "", 'Data Entry'!$Á$306)</f>
      </c>
      <c r="DZ306">
        <f>IF(ISBLANK('Data Entry'!$Â$306), "", 'Data Entry'!$Â$306)</f>
      </c>
      <c r="EA306">
        <f>IF(ISBLANK('Data Entry'!$Ã$306), "", 'Data Entry'!$Ã$306)</f>
      </c>
      <c r="EB306">
        <f>IF(ISBLANK('Data Entry'!$Ä$306), "", 'Data Entry'!$Ä$306)</f>
      </c>
      <c r="EC306">
        <f>IF(ISBLANK('Data Entry'!$Å$306), "", 'Data Entry'!$Å$306)</f>
      </c>
      <c r="ED306">
        <f>IF(ISBLANK('Data Entry'!$Æ$306), "", 'Data Entry'!$Æ$306)</f>
      </c>
      <c r="EE306">
        <f>IF(ISBLANK('Data Entry'!$Ç$306), "", 'Data Entry'!$Ç$306)</f>
      </c>
      <c r="EF306">
        <f>IF(ISBLANK('Data Entry'!$È$306), "", 'Data Entry'!$È$306)</f>
      </c>
      <c r="EG306">
        <f>IF(ISBLANK('Data Entry'!$É$306), "", 'Data Entry'!$É$306)</f>
      </c>
      <c r="EH306">
        <f>IF(ISBLANK('Data Entry'!$Ê$306), "", 'Data Entry'!$Ê$306)</f>
      </c>
      <c r="EI306">
        <f>IF(ISBLANK('Data Entry'!$Ë$306), "", 'Data Entry'!$Ë$306)</f>
      </c>
      <c r="EJ306">
        <f>IF(ISBLANK('Data Entry'!$Ì$306), "", 'Data Entry'!$Ì$306)</f>
      </c>
      <c r="EK306">
        <f>IF(ISBLANK('Data Entry'!$Í$306), "", 'Data Entry'!$Í$306)</f>
      </c>
      <c r="EL306">
        <f>IF(ISBLANK('Data Entry'!$Î$306), "", 'Data Entry'!$Î$306)</f>
      </c>
      <c r="EM306">
        <f>IF(ISBLANK('Data Entry'!$Ï$306), "", 'Data Entry'!$Ï$306)</f>
      </c>
      <c r="EN306">
        <f>IF(ISBLANK('Data Entry'!$Ð$306), "", 'Data Entry'!$Ð$306)</f>
      </c>
      <c r="EO306">
        <f>IF(ISBLANK('Data Entry'!$Ñ$306), "", 'Data Entry'!$Ñ$306)</f>
      </c>
      <c r="EP306">
        <f>IF(ISBLANK('Data Entry'!$Ò$306), "", 'Data Entry'!$Ò$306)</f>
      </c>
      <c r="EQ306">
        <f>IF(ISBLANK('Data Entry'!$Ó$306), "", 'Data Entry'!$Ó$306)</f>
      </c>
      <c r="ER306">
        <f>IF(ISBLANK('Data Entry'!$Ô$306), "", 'Data Entry'!$Ô$306)</f>
      </c>
      <c r="ES306">
        <f>IF(ISBLANK('Data Entry'!$Õ$306), "", 'Data Entry'!$Õ$306)</f>
      </c>
      <c r="ET306">
        <f>IF(ISBLANK('Data Entry'!$Ö$306), "", 'Data Entry'!$Ö$306)</f>
      </c>
      <c r="EU306">
        <f>IF(ISBLANK('Data Entry'!$×$306), "", 'Data Entry'!$×$306)</f>
      </c>
      <c r="EV306">
        <f>IF(ISBLANK('Data Entry'!$Ø$306), "", 'Data Entry'!$Ø$306)</f>
      </c>
      <c r="EW306">
        <f>IF(ISBLANK('Data Entry'!$Ù$306), "", 'Data Entry'!$Ù$306)</f>
      </c>
      <c r="EX306">
        <f>IF(ISBLANK('Data Entry'!$Ú$306), "", 'Data Entry'!$Ú$306)</f>
      </c>
      <c r="EY306">
        <f>IF(ISBLANK('Data Entry'!$Û$306), "", 'Data Entry'!$Û$306)</f>
      </c>
      <c r="EZ306">
        <f>IF(ISBLANK('Data Entry'!$Ü$306), "", 'Data Entry'!$Ü$306)</f>
      </c>
      <c r="FA306">
        <f>IF(ISBLANK('Data Entry'!$Ý$306), "", 'Data Entry'!$Ý$306)</f>
      </c>
      <c r="FB306">
        <f>IF(ISBLANK('Data Entry'!$Þ$306), "", 'Data Entry'!$Þ$306)</f>
      </c>
      <c r="FC306">
        <f>IF(ISBLANK('Data Entry'!$ß$306), "", 'Data Entry'!$ß$306)</f>
      </c>
      <c r="FD306">
        <f>IF(ISBLANK('Data Entry'!$à$306), "", 'Data Entry'!$à$306)</f>
      </c>
      <c r="FE306">
        <f>IF(ISBLANK('Data Entry'!$á$306), "", 'Data Entry'!$á$306)</f>
      </c>
      <c r="FF306">
        <f>IF(ISBLANK('Data Entry'!$â$306), "", 'Data Entry'!$â$306)</f>
      </c>
      <c r="FG306">
        <f>IF(ISBLANK('Data Entry'!$ã$306), "", 'Data Entry'!$ã$306)</f>
      </c>
      <c r="FH306">
        <f>IF(ISBLANK('Data Entry'!$ä$306), "", 'Data Entry'!$ä$306)</f>
      </c>
      <c r="FI306">
        <f>IF(ISBLANK('Data Entry'!$å$306), "", 'Data Entry'!$å$306)</f>
      </c>
      <c r="FJ306">
        <f>IF(ISBLANK('Data Entry'!$æ$306), "", 'Data Entry'!$æ$306)</f>
      </c>
      <c r="FK306">
        <f>IF(ISBLANK('Data Entry'!$ç$306), "", 'Data Entry'!$ç$306)</f>
      </c>
      <c r="FL306">
        <f>IF(ISBLANK('Data Entry'!$è$306), "", 'Data Entry'!$è$306)</f>
      </c>
      <c r="FM306">
        <f>IF(ISBLANK('Data Entry'!$é$306), "", 'Data Entry'!$é$306)</f>
      </c>
      <c r="FN306">
        <f>IF(ISBLANK('Data Entry'!$ê$306), "", 'Data Entry'!$ê$306)</f>
      </c>
      <c r="FO306">
        <f>IF(ISBLANK('Data Entry'!$ë$306), "", 'Data Entry'!$ë$306)</f>
      </c>
      <c r="FP306">
        <f>IF(ISBLANK('Data Entry'!$ì$306), "", 'Data Entry'!$ì$306)</f>
      </c>
      <c r="FQ306">
        <f>IF(ISBLANK('Data Entry'!$í$306), "", 'Data Entry'!$í$306)</f>
      </c>
      <c r="FR306">
        <f>IF(ISBLANK('Data Entry'!$î$306), "", 'Data Entry'!$î$306)</f>
      </c>
      <c r="FS306">
        <f>IF(ISBLANK('Data Entry'!$ï$306), "", 'Data Entry'!$ï$306)</f>
      </c>
      <c r="FT306">
        <f>IF(ISBLANK('Data Entry'!$ð$306), "", 'Data Entry'!$ð$306)</f>
      </c>
      <c r="FU306">
        <f>IF(ISBLANK('Data Entry'!$ñ$306), "", 'Data Entry'!$ñ$306)</f>
      </c>
      <c r="FV306">
        <f>IF(ISBLANK('Data Entry'!$ò$306), "", 'Data Entry'!$ò$306)</f>
      </c>
      <c r="FW306">
        <f>IF(ISBLANK('Data Entry'!$ó$306), "", 'Data Entry'!$ó$306)</f>
      </c>
      <c r="FX306">
        <f>IF(ISBLANK('Data Entry'!$ô$306), "", 'Data Entry'!$ô$306)</f>
      </c>
      <c r="FY306">
        <f>IF(ISBLANK('Data Entry'!$õ$306), "", 'Data Entry'!$õ$306)</f>
      </c>
      <c r="FZ306">
        <f>IF(ISBLANK('Data Entry'!$ö$306), "", 'Data Entry'!$ö$306)</f>
      </c>
      <c r="GA306">
        <f>IF(ISBLANK('Data Entry'!$÷$306), "", 'Data Entry'!$÷$306)</f>
      </c>
      <c r="GB306">
        <f>IF(ISBLANK('Data Entry'!$ø$306), "", 'Data Entry'!$ø$306)</f>
      </c>
      <c r="GC306">
        <f>IF(ISBLANK('Data Entry'!$ù$306), "", 'Data Entry'!$ù$306)</f>
      </c>
      <c r="GD306">
        <f>IF(ISBLANK('Data Entry'!$ú$306), "", 'Data Entry'!$ú$306)</f>
      </c>
      <c r="GE306">
        <f>IF(ISBLANK('Data Entry'!$û$306), "", 'Data Entry'!$û$306)</f>
      </c>
      <c r="GF306">
        <f>IF(ISBLANK('Data Entry'!$ü$306), "", 'Data Entry'!$ü$306)</f>
      </c>
      <c r="GG306">
        <f>IF(ISBLANK('Data Entry'!$ý$306), "", 'Data Entry'!$ý$306)</f>
      </c>
      <c r="GH306">
        <f>IF(ISBLANK('Data Entry'!$þ$306), "", 'Data Entry'!$þ$306)</f>
      </c>
      <c r="GI306">
        <f>IF(ISBLANK('Data Entry'!$ÿ$306), "", 'Data Entry'!$ÿ$306)</f>
      </c>
      <c r="GJ306">
        <f>IF(ISBLANK('Data Entry'!$Ā$306), "", 'Data Entry'!$Ā$306)</f>
      </c>
      <c r="GK306">
        <f>IF(ISBLANK('Data Entry'!$ā$306), "", 'Data Entry'!$ā$306)</f>
      </c>
      <c r="GL306">
        <f>IF(ISBLANK('Data Entry'!$Ă$306), "", 'Data Entry'!$Ă$306)</f>
      </c>
      <c r="GM306">
        <f>IF(ISBLANK('Data Entry'!$ă$306), "", 'Data Entry'!$ă$306)</f>
      </c>
      <c r="GN306">
        <f>IF(ISBLANK('Data Entry'!$Ą$306), "", 'Data Entry'!$Ą$306)</f>
      </c>
      <c r="GO306">
        <f>IF(ISBLANK('Data Entry'!$ą$306), "", 'Data Entry'!$ą$306)</f>
      </c>
      <c r="GP306">
        <f>IF(ISBLANK('Data Entry'!$Ć$306), "", 'Data Entry'!$Ć$306)</f>
      </c>
      <c r="GQ306">
        <f>IF(ISBLANK('Data Entry'!$ć$306), "", 'Data Entry'!$ć$306)</f>
      </c>
      <c r="GR306">
        <f>IF(ISBLANK('Data Entry'!$Ĉ$306), "", 'Data Entry'!$Ĉ$306)</f>
      </c>
      <c r="GS306">
        <f>IF(ISBLANK('Data Entry'!$ĉ$306), "", 'Data Entry'!$ĉ$306)</f>
      </c>
      <c r="GT306">
        <f>IF(ISBLANK('Data Entry'!$Ċ$306), "", 'Data Entry'!$Ċ$306)</f>
      </c>
      <c r="GU306">
        <f>IF(ISBLANK('Data Entry'!$ċ$306), "", 'Data Entry'!$ċ$306)</f>
      </c>
      <c r="GV306">
        <f>IF(ISBLANK('Data Entry'!$Č$306), "", 'Data Entry'!$Č$306)</f>
      </c>
      <c r="GW306">
        <f>IF(ISBLANK('Data Entry'!$č$306), "", 'Data Entry'!$č$306)</f>
      </c>
      <c r="GX306">
        <f>IF(ISBLANK('Data Entry'!$Ď$306), "", 'Data Entry'!$Ď$306)</f>
      </c>
      <c r="GY306">
        <f>IF(ISBLANK('Data Entry'!$ď$306), "", 'Data Entry'!$ď$306)</f>
      </c>
      <c r="GZ306">
        <f>IF(ISBLANK('Data Entry'!$Đ$306), "", 'Data Entry'!$Đ$306)</f>
      </c>
      <c r="HA306">
        <f>IF(ISBLANK('Data Entry'!$đ$306), "", 'Data Entry'!$đ$306)</f>
      </c>
      <c r="HB306">
        <f>IF(ISBLANK('Data Entry'!$Ē$306), "", 'Data Entry'!$Ē$306)</f>
      </c>
      <c r="HC306">
        <f>IF(ISBLANK('Data Entry'!$ē$306), "", 'Data Entry'!$ē$306)</f>
      </c>
      <c r="HD306">
        <f>IF(ISBLANK('Data Entry'!$Ĕ$306), "", 'Data Entry'!$Ĕ$306)</f>
      </c>
      <c r="HE306">
        <f>IF(ISBLANK('Data Entry'!$ĕ$306), "", 'Data Entry'!$ĕ$306)</f>
      </c>
      <c r="HF306">
        <f>IF(ISBLANK('Data Entry'!$Ė$306), "", 'Data Entry'!$Ė$306)</f>
      </c>
      <c r="HG306">
        <f>IF(ISBLANK('Data Entry'!$ė$306), "", 'Data Entry'!$ė$306)</f>
      </c>
      <c r="HH306">
        <f>IF(ISBLANK('Data Entry'!$Ę$306), "", 'Data Entry'!$Ę$306)</f>
      </c>
      <c r="HI306">
        <f>IF(ISBLANK('Data Entry'!$ę$306), "", 'Data Entry'!$ę$306)</f>
      </c>
      <c r="HJ306">
        <f>IF(ISBLANK('Data Entry'!$Ě$306), "", 'Data Entry'!$Ě$306)</f>
      </c>
      <c r="HK306">
        <f>IF(ISBLANK('Data Entry'!$ě$306), "", 'Data Entry'!$ě$306)</f>
      </c>
      <c r="HL306">
        <f>IF(ISBLANK('Data Entry'!$Ĝ$306), "", 'Data Entry'!$Ĝ$306)</f>
      </c>
      <c r="HM306">
        <f>IF(ISBLANK('Data Entry'!$ĝ$306), "", 'Data Entry'!$ĝ$306)</f>
      </c>
      <c r="HN306">
        <f>IF(ISBLANK('Data Entry'!$Ğ$306), "", 'Data Entry'!$Ğ$306)</f>
      </c>
      <c r="HO306">
        <f>IF(ISBLANK('Data Entry'!$ğ$306), "", 'Data Entry'!$ğ$306)</f>
      </c>
      <c r="HP306">
        <f>IF(ISBLANK('Data Entry'!$Ġ$306), "", 'Data Entry'!$Ġ$306)</f>
      </c>
      <c r="HQ306">
        <f>IF(ISBLANK('Data Entry'!$ġ$306), "", 'Data Entry'!$ġ$306)</f>
      </c>
      <c r="HR306">
        <f>IF(ISBLANK('Data Entry'!$Ģ$306), "", 'Data Entry'!$Ģ$306)</f>
      </c>
      <c r="HS306">
        <f>IF(ISBLANK('Data Entry'!$ģ$306), "", 'Data Entry'!$ģ$306)</f>
      </c>
      <c r="HT306">
        <f>IF(ISBLANK('Data Entry'!$Ĥ$306), "", 'Data Entry'!$Ĥ$306)</f>
      </c>
      <c r="HU306">
        <f>IF(ISBLANK('Data Entry'!$ĥ$306), "", 'Data Entry'!$ĥ$306)</f>
      </c>
      <c r="HV306">
        <f>IF(ISBLANK('Data Entry'!$Ħ$306), "", 'Data Entry'!$Ħ$306)</f>
      </c>
      <c r="HW306">
        <f>IF(ISBLANK('Data Entry'!$ħ$306), "", 'Data Entry'!$ħ$306)</f>
      </c>
      <c r="HX306">
        <f>IF(ISBLANK('Data Entry'!$Ĩ$306), "", 'Data Entry'!$Ĩ$306)</f>
      </c>
      <c r="HY306">
        <f>IF(ISBLANK('Data Entry'!$ĩ$306), "", 'Data Entry'!$ĩ$306)</f>
      </c>
      <c r="HZ306">
        <f>IF(ISBLANK('Data Entry'!$Ī$306), "", 'Data Entry'!$Ī$306)</f>
      </c>
      <c r="IA306">
        <f>IF(ISBLANK('Data Entry'!$ī$306), "", 'Data Entry'!$ī$306)</f>
      </c>
      <c r="IB306">
        <f>IF(ISBLANK('Data Entry'!$Ĭ$306), "", 'Data Entry'!$Ĭ$306)</f>
      </c>
      <c r="IC306">
        <f>IF(ISBLANK('Data Entry'!$ĭ$306), "", 'Data Entry'!$ĭ$306)</f>
      </c>
      <c r="ID306">
        <f>IF(ISBLANK('Data Entry'!$Į$306), "", 'Data Entry'!$Į$306)</f>
      </c>
      <c r="IE306">
        <f>IF(ISBLANK('Data Entry'!$į$306), "", 'Data Entry'!$į$306)</f>
      </c>
      <c r="IF306">
        <f>IF(ISBLANK('Data Entry'!$İ$306), "", 'Data Entry'!$İ$306)</f>
      </c>
      <c r="IG306">
        <f>IF(ISBLANK('Data Entry'!$ı$306), "", 'Data Entry'!$ı$306)</f>
      </c>
      <c r="IH306">
        <f>IF(ISBLANK('Data Entry'!$Ĳ$306), "", 'Data Entry'!$Ĳ$306)</f>
      </c>
      <c r="II306">
        <f>IF(ISBLANK('Data Entry'!$ĳ$306), "", 'Data Entry'!$ĳ$306)</f>
      </c>
      <c r="IJ306">
        <f>IF(ISBLANK('Data Entry'!$Ĵ$306), "", 'Data Entry'!$Ĵ$306)</f>
      </c>
      <c r="IK306">
        <f>IF(ISBLANK('Data Entry'!$ĵ$306), "", 'Data Entry'!$ĵ$306)</f>
      </c>
      <c r="IL306">
        <f>IF(ISBLANK('Data Entry'!$Ķ$306), "", 'Data Entry'!$Ķ$306)</f>
      </c>
      <c r="IM306">
        <f>IF(ISBLANK('Data Entry'!$ķ$306), "", 'Data Entry'!$ķ$306)</f>
      </c>
      <c r="IN306">
        <f>IF(ISBLANK('Data Entry'!$ĸ$306), "", 'Data Entry'!$ĸ$306)</f>
      </c>
      <c r="IO306">
        <f>IF(ISBLANK('Data Entry'!$Ĺ$306), "", 'Data Entry'!$Ĺ$306)</f>
      </c>
      <c r="IP306">
        <f>IF(ISBLANK('Data Entry'!$ĺ$306), "", 'Data Entry'!$ĺ$306)</f>
      </c>
      <c r="IQ306">
        <f>IF(ISBLANK('Data Entry'!$Ļ$306), "", 'Data Entry'!$Ļ$306)</f>
      </c>
      <c r="IR306">
        <f>IF(ISBLANK('Data Entry'!$ļ$306), "", 'Data Entry'!$ļ$306)</f>
      </c>
      <c r="IS306">
        <f>IF(ISBLANK('Data Entry'!$Ľ$306), "", 'Data Entry'!$Ľ$306)</f>
      </c>
      <c r="IT306">
        <f>IF(ISBLANK('Data Entry'!$ľ$306), "", 'Data Entry'!$ľ$306)</f>
      </c>
    </row>
    <row r="307" spans="1:254" x14ac:dyDescent="0.25">
      <c r="A307">
        <f>IF(ISBLANK('Data Entry'!$A$307), "", 'Data Entry'!$A$307)</f>
      </c>
      <c r="B307">
        <f>IF(ISBLANK('Data Entry'!$B$307), "", 'Data Entry'!$B$307)</f>
      </c>
      <c r="C307">
        <f>IF(ISBLANK('Data Entry'!$C$307), "", 'Data Entry'!$C$307)</f>
      </c>
      <c r="D307">
        <f>IF(ISBLANK('Data Entry'!$D$307), "", 'Data Entry'!$D$307)</f>
      </c>
      <c r="E307">
        <f>IF(ISBLANK('Data Entry'!$E$307), "", 'Data Entry'!$E$307)</f>
      </c>
      <c r="F307">
        <f>IF(ISBLANK('Data Entry'!$F$307), "", 'Data Entry'!$F$307)</f>
      </c>
      <c r="G307">
        <f>IF(ISBLANK('Data Entry'!$G$307), "", 'Data Entry'!$G$307)</f>
      </c>
      <c r="H307">
        <f>IF(ISBLANK('Data Entry'!$H$307), "", 'Data Entry'!$H$307)</f>
      </c>
      <c r="I307">
        <f>IF(ISBLANK('Data Entry'!$I$307), "", 'Data Entry'!$I$307)</f>
      </c>
      <c r="J307">
        <f>IF(ISBLANK('Data Entry'!$J$307), "", 'Data Entry'!$J$307)</f>
      </c>
      <c r="K307">
        <f>IF(ISBLANK('Data Entry'!$K$307), "", 'Data Entry'!$K$307)</f>
      </c>
      <c r="L307">
        <f>IF(ISBLANK('Data Entry'!$L$307), "", 'Data Entry'!$L$307)</f>
      </c>
      <c r="M307">
        <f>IF(ISBLANK('Data Entry'!$M$307), "", 'Data Entry'!$M$307)</f>
      </c>
      <c r="N307">
        <f>IF(ISBLANK('Data Entry'!$N$307), "", 'Data Entry'!$N$307)</f>
      </c>
      <c r="O307">
        <f>IF(ISBLANK('Data Entry'!$O$307), "", 'Data Entry'!$O$307)</f>
      </c>
      <c r="P307">
        <f>IF(ISBLANK('Data Entry'!$P$307), "", 'Data Entry'!$P$307)</f>
      </c>
      <c r="Q307">
        <f>IF(ISBLANK('Data Entry'!$Q$307), "", 'Data Entry'!$Q$307)</f>
      </c>
      <c r="R307">
        <f>IF(ISBLANK('Data Entry'!$R$307), "", 'Data Entry'!$R$307)</f>
      </c>
      <c r="S307">
        <f>IF(ISBLANK('Data Entry'!$S$307), "", 'Data Entry'!$S$307)</f>
      </c>
      <c r="T307">
        <f>IF(ISBLANK('Data Entry'!$T$307), "", 'Data Entry'!$T$307)</f>
      </c>
      <c r="U307">
        <f>IF(ISBLANK('Data Entry'!$U$307), "", 'Data Entry'!$U$307)</f>
      </c>
      <c r="V307">
        <f>IF(ISBLANK('Data Entry'!$V$307), "", 'Data Entry'!$V$307)</f>
      </c>
      <c r="W307">
        <f>IF(ISBLANK('Data Entry'!$W$307), "", 'Data Entry'!$W$307)</f>
      </c>
      <c r="X307">
        <f>IF(ISBLANK('Data Entry'!$X$307), "", 'Data Entry'!$X$307)</f>
      </c>
      <c r="Y307">
        <f>IF(ISBLANK('Data Entry'!$Y$307), "", 'Data Entry'!$Y$307)</f>
      </c>
      <c r="Z307">
        <f>IF(ISBLANK('Data Entry'!$Z$307), "", 'Data Entry'!$Z$307)</f>
      </c>
      <c r="AA307">
        <f>IF(ISBLANK('Data Entry'!$[$307), "", 'Data Entry'!$[$307)</f>
      </c>
      <c r="AB307">
        <f>IF(ISBLANK('Data Entry'!$\$307), "", 'Data Entry'!$\$307)</f>
      </c>
      <c r="AC307">
        <f>IF(ISBLANK('Data Entry'!$]$307), "", 'Data Entry'!$]$307)</f>
      </c>
      <c r="AD307">
        <f>IF(ISBLANK('Data Entry'!$^$307), "", 'Data Entry'!$^$307)</f>
      </c>
      <c r="AE307">
        <f>IF(ISBLANK('Data Entry'!$_$307), "", 'Data Entry'!$_$307)</f>
      </c>
      <c r="AF307">
        <f>IF(ISBLANK('Data Entry'!$`$307), "", 'Data Entry'!$`$307)</f>
      </c>
      <c r="AG307">
        <f>IF(ISBLANK('Data Entry'!$a$307), "", 'Data Entry'!$a$307)</f>
      </c>
      <c r="AH307">
        <f>IF(ISBLANK('Data Entry'!$b$307), "", 'Data Entry'!$b$307)</f>
      </c>
      <c r="AI307">
        <f>IF(ISBLANK('Data Entry'!$c$307), "", 'Data Entry'!$c$307)</f>
      </c>
      <c r="AJ307">
        <f>IF(ISBLANK('Data Entry'!$d$307), "", 'Data Entry'!$d$307)</f>
      </c>
      <c r="AK307">
        <f>IF(ISBLANK('Data Entry'!$e$307), "", 'Data Entry'!$e$307)</f>
      </c>
      <c r="AL307">
        <f>IF(ISBLANK('Data Entry'!$f$307), "", 'Data Entry'!$f$307)</f>
      </c>
      <c r="AM307">
        <f>IF(ISBLANK('Data Entry'!$g$307), "", 'Data Entry'!$g$307)</f>
      </c>
      <c r="AN307">
        <f>IF(ISBLANK('Data Entry'!$h$307), "", 'Data Entry'!$h$307)</f>
      </c>
      <c r="AO307">
        <f>IF(ISBLANK('Data Entry'!$i$307), "", 'Data Entry'!$i$307)</f>
      </c>
      <c r="AP307">
        <f>IF(ISBLANK('Data Entry'!$j$307), "", 'Data Entry'!$j$307)</f>
      </c>
      <c r="AQ307">
        <f>IF(ISBLANK('Data Entry'!$k$307), "", 'Data Entry'!$k$307)</f>
      </c>
      <c r="AR307">
        <f>IF(ISBLANK('Data Entry'!$l$307), "", 'Data Entry'!$l$307)</f>
      </c>
      <c r="AS307">
        <f>IF(ISBLANK('Data Entry'!$m$307), "", 'Data Entry'!$m$307)</f>
      </c>
      <c r="AT307">
        <f>IF(ISBLANK('Data Entry'!$n$307), "", 'Data Entry'!$n$307)</f>
      </c>
      <c r="AU307">
        <f>IF(ISBLANK('Data Entry'!$o$307), "", 'Data Entry'!$o$307)</f>
      </c>
      <c r="AV307">
        <f>IF(ISBLANK('Data Entry'!$p$307), "", 'Data Entry'!$p$307)</f>
      </c>
      <c r="AW307">
        <f>IF(ISBLANK('Data Entry'!$q$307), "", 'Data Entry'!$q$307)</f>
      </c>
      <c r="AX307">
        <f>IF(ISBLANK('Data Entry'!$r$307), "", 'Data Entry'!$r$307)</f>
      </c>
      <c r="AY307">
        <f>IF(ISBLANK('Data Entry'!$s$307), "", 'Data Entry'!$s$307)</f>
      </c>
      <c r="AZ307">
        <f>IF(ISBLANK('Data Entry'!$t$307), "", 'Data Entry'!$t$307)</f>
      </c>
      <c r="BA307">
        <f>IF(ISBLANK('Data Entry'!$u$307), "", 'Data Entry'!$u$307)</f>
      </c>
      <c r="BB307">
        <f>IF(ISBLANK('Data Entry'!$v$307), "", 'Data Entry'!$v$307)</f>
      </c>
      <c r="BC307">
        <f>IF(ISBLANK('Data Entry'!$w$307), "", 'Data Entry'!$w$307)</f>
      </c>
      <c r="BD307">
        <f>IF(ISBLANK('Data Entry'!$x$307), "", 'Data Entry'!$x$307)</f>
      </c>
      <c r="BE307">
        <f>IF(ISBLANK('Data Entry'!$y$307), "", 'Data Entry'!$y$307)</f>
      </c>
      <c r="BF307">
        <f>IF(ISBLANK('Data Entry'!$z$307), "", 'Data Entry'!$z$307)</f>
      </c>
      <c r="BG307">
        <f>IF(ISBLANK('Data Entry'!${$307), "", 'Data Entry'!${$307)</f>
      </c>
      <c r="BH307">
        <f>IF(ISBLANK('Data Entry'!$|$307), "", 'Data Entry'!$|$307)</f>
      </c>
      <c r="BI307">
        <f>IF(ISBLANK('Data Entry'!$}$307), "", 'Data Entry'!$}$307)</f>
      </c>
      <c r="BJ307">
        <f>IF(ISBLANK('Data Entry'!$~$307), "", 'Data Entry'!$~$307)</f>
      </c>
      <c r="BK307">
        <f>IF(ISBLANK('Data Entry'!$$307), "", 'Data Entry'!$$307)</f>
      </c>
      <c r="BL307">
        <f>IF(ISBLANK('Data Entry'!$$307), "", 'Data Entry'!$$307)</f>
      </c>
      <c r="BM307">
        <f>IF(ISBLANK('Data Entry'!$$307), "", 'Data Entry'!$$307)</f>
      </c>
      <c r="BN307">
        <f>IF(ISBLANK('Data Entry'!$$307), "", 'Data Entry'!$$307)</f>
      </c>
      <c r="BO307">
        <f>IF(ISBLANK('Data Entry'!$$307), "", 'Data Entry'!$$307)</f>
      </c>
      <c r="BP307">
        <f>IF(ISBLANK('Data Entry'!$$307), "", 'Data Entry'!$$307)</f>
      </c>
      <c r="BQ307">
        <f>IF(ISBLANK('Data Entry'!$$307), "", 'Data Entry'!$$307)</f>
      </c>
      <c r="BR307">
        <f>IF(ISBLANK('Data Entry'!$$307), "", 'Data Entry'!$$307)</f>
      </c>
      <c r="BS307">
        <f>IF(ISBLANK('Data Entry'!$$307), "", 'Data Entry'!$$307)</f>
      </c>
      <c r="BT307">
        <f>IF(ISBLANK('Data Entry'!$$307), "", 'Data Entry'!$$307)</f>
      </c>
      <c r="BU307">
        <f>IF(ISBLANK('Data Entry'!$$307), "", 'Data Entry'!$$307)</f>
      </c>
      <c r="BV307">
        <f>IF(ISBLANK('Data Entry'!$$307), "", 'Data Entry'!$$307)</f>
      </c>
      <c r="BW307">
        <f>IF(ISBLANK('Data Entry'!$$307), "", 'Data Entry'!$$307)</f>
      </c>
      <c r="BX307">
        <f>IF(ISBLANK('Data Entry'!$$307), "", 'Data Entry'!$$307)</f>
      </c>
      <c r="BY307">
        <f>IF(ISBLANK('Data Entry'!$$307), "", 'Data Entry'!$$307)</f>
      </c>
      <c r="BZ307">
        <f>IF(ISBLANK('Data Entry'!$$307), "", 'Data Entry'!$$307)</f>
      </c>
      <c r="CA307">
        <f>IF(ISBLANK('Data Entry'!$$307), "", 'Data Entry'!$$307)</f>
      </c>
      <c r="CB307">
        <f>IF(ISBLANK('Data Entry'!$$307), "", 'Data Entry'!$$307)</f>
      </c>
      <c r="CC307">
        <f>IF(ISBLANK('Data Entry'!$$307), "", 'Data Entry'!$$307)</f>
      </c>
      <c r="CD307">
        <f>IF(ISBLANK('Data Entry'!$$307), "", 'Data Entry'!$$307)</f>
      </c>
      <c r="CE307">
        <f>IF(ISBLANK('Data Entry'!$$307), "", 'Data Entry'!$$307)</f>
      </c>
      <c r="CF307">
        <f>IF(ISBLANK('Data Entry'!$$307), "", 'Data Entry'!$$307)</f>
      </c>
      <c r="CG307">
        <f>IF(ISBLANK('Data Entry'!$$307), "", 'Data Entry'!$$307)</f>
      </c>
      <c r="CH307">
        <f>IF(ISBLANK('Data Entry'!$$307), "", 'Data Entry'!$$307)</f>
      </c>
      <c r="CI307">
        <f>IF(ISBLANK('Data Entry'!$$307), "", 'Data Entry'!$$307)</f>
      </c>
      <c r="CJ307">
        <f>IF(ISBLANK('Data Entry'!$$307), "", 'Data Entry'!$$307)</f>
      </c>
      <c r="CK307">
        <f>IF(ISBLANK('Data Entry'!$$307), "", 'Data Entry'!$$307)</f>
      </c>
      <c r="CL307">
        <f>IF(ISBLANK('Data Entry'!$$307), "", 'Data Entry'!$$307)</f>
      </c>
      <c r="CM307">
        <f>IF(ISBLANK('Data Entry'!$$307), "", 'Data Entry'!$$307)</f>
      </c>
      <c r="CN307">
        <f>IF(ISBLANK('Data Entry'!$$307), "", 'Data Entry'!$$307)</f>
      </c>
      <c r="CO307">
        <f>IF(ISBLANK('Data Entry'!$$307), "", 'Data Entry'!$$307)</f>
      </c>
      <c r="CP307">
        <f>IF(ISBLANK('Data Entry'!$$307), "", 'Data Entry'!$$307)</f>
      </c>
      <c r="CQ307">
        <f>IF(ISBLANK('Data Entry'!$$307), "", 'Data Entry'!$$307)</f>
      </c>
      <c r="CR307">
        <f>IF(ISBLANK('Data Entry'!$ $307), "", 'Data Entry'!$ $307)</f>
      </c>
      <c r="CS307">
        <f>IF(ISBLANK('Data Entry'!$¡$307), "", 'Data Entry'!$¡$307)</f>
      </c>
      <c r="CT307">
        <f>IF(ISBLANK('Data Entry'!$¢$307), "", 'Data Entry'!$¢$307)</f>
      </c>
      <c r="CU307">
        <f>IF(ISBLANK('Data Entry'!$£$307), "", 'Data Entry'!$£$307)</f>
      </c>
      <c r="CV307">
        <f>IF(ISBLANK('Data Entry'!$¤$307), "", 'Data Entry'!$¤$307)</f>
      </c>
      <c r="CW307">
        <f>IF(ISBLANK('Data Entry'!$¥$307), "", 'Data Entry'!$¥$307)</f>
      </c>
      <c r="CX307">
        <f>IF(ISBLANK('Data Entry'!$¦$307), "", 'Data Entry'!$¦$307)</f>
      </c>
      <c r="CY307">
        <f>IF(ISBLANK('Data Entry'!$§$307), "", 'Data Entry'!$§$307)</f>
      </c>
      <c r="CZ307">
        <f>IF(ISBLANK('Data Entry'!$¨$307), "", 'Data Entry'!$¨$307)</f>
      </c>
      <c r="DA307">
        <f>IF(ISBLANK('Data Entry'!$©$307), "", 'Data Entry'!$©$307)</f>
      </c>
      <c r="DB307">
        <f>IF(ISBLANK('Data Entry'!$ª$307), "", 'Data Entry'!$ª$307)</f>
      </c>
      <c r="DC307">
        <f>IF(ISBLANK('Data Entry'!$«$307), "", 'Data Entry'!$«$307)</f>
      </c>
      <c r="DD307">
        <f>IF(ISBLANK('Data Entry'!$¬$307), "", 'Data Entry'!$¬$307)</f>
      </c>
      <c r="DE307">
        <f>IF(ISBLANK('Data Entry'!$­$307), "", 'Data Entry'!$­$307)</f>
      </c>
      <c r="DF307">
        <f>IF(ISBLANK('Data Entry'!$®$307), "", 'Data Entry'!$®$307)</f>
      </c>
      <c r="DG307">
        <f>IF(ISBLANK('Data Entry'!$¯$307), "", 'Data Entry'!$¯$307)</f>
      </c>
      <c r="DH307">
        <f>IF(ISBLANK('Data Entry'!$°$307), "", 'Data Entry'!$°$307)</f>
      </c>
      <c r="DI307">
        <f>IF(ISBLANK('Data Entry'!$±$307), "", 'Data Entry'!$±$307)</f>
      </c>
      <c r="DJ307">
        <f>IF(ISBLANK('Data Entry'!$²$307), "", 'Data Entry'!$²$307)</f>
      </c>
      <c r="DK307">
        <f>IF(ISBLANK('Data Entry'!$³$307), "", 'Data Entry'!$³$307)</f>
      </c>
      <c r="DL307">
        <f>IF(ISBLANK('Data Entry'!$´$307), "", 'Data Entry'!$´$307)</f>
      </c>
      <c r="DM307">
        <f>IF(ISBLANK('Data Entry'!$µ$307), "", 'Data Entry'!$µ$307)</f>
      </c>
      <c r="DN307">
        <f>IF(ISBLANK('Data Entry'!$¶$307), "", 'Data Entry'!$¶$307)</f>
      </c>
      <c r="DO307">
        <f>IF(ISBLANK('Data Entry'!$·$307), "", 'Data Entry'!$·$307)</f>
      </c>
      <c r="DP307">
        <f>IF(ISBLANK('Data Entry'!$¸$307), "", 'Data Entry'!$¸$307)</f>
      </c>
      <c r="DQ307">
        <f>IF(ISBLANK('Data Entry'!$¹$307), "", 'Data Entry'!$¹$307)</f>
      </c>
      <c r="DR307">
        <f>IF(ISBLANK('Data Entry'!$º$307), "", 'Data Entry'!$º$307)</f>
      </c>
      <c r="DS307">
        <f>IF(ISBLANK('Data Entry'!$»$307), "", 'Data Entry'!$»$307)</f>
      </c>
      <c r="DT307">
        <f>IF(ISBLANK('Data Entry'!$¼$307), "", 'Data Entry'!$¼$307)</f>
      </c>
      <c r="DU307">
        <f>IF(ISBLANK('Data Entry'!$½$307), "", 'Data Entry'!$½$307)</f>
      </c>
      <c r="DV307">
        <f>IF(ISBLANK('Data Entry'!$¾$307), "", 'Data Entry'!$¾$307)</f>
      </c>
      <c r="DW307">
        <f>IF(ISBLANK('Data Entry'!$¿$307), "", 'Data Entry'!$¿$307)</f>
      </c>
      <c r="DX307">
        <f>IF(ISBLANK('Data Entry'!$À$307), "", 'Data Entry'!$À$307)</f>
      </c>
      <c r="DY307">
        <f>IF(ISBLANK('Data Entry'!$Á$307), "", 'Data Entry'!$Á$307)</f>
      </c>
      <c r="DZ307">
        <f>IF(ISBLANK('Data Entry'!$Â$307), "", 'Data Entry'!$Â$307)</f>
      </c>
      <c r="EA307">
        <f>IF(ISBLANK('Data Entry'!$Ã$307), "", 'Data Entry'!$Ã$307)</f>
      </c>
      <c r="EB307">
        <f>IF(ISBLANK('Data Entry'!$Ä$307), "", 'Data Entry'!$Ä$307)</f>
      </c>
      <c r="EC307">
        <f>IF(ISBLANK('Data Entry'!$Å$307), "", 'Data Entry'!$Å$307)</f>
      </c>
      <c r="ED307">
        <f>IF(ISBLANK('Data Entry'!$Æ$307), "", 'Data Entry'!$Æ$307)</f>
      </c>
      <c r="EE307">
        <f>IF(ISBLANK('Data Entry'!$Ç$307), "", 'Data Entry'!$Ç$307)</f>
      </c>
      <c r="EF307">
        <f>IF(ISBLANK('Data Entry'!$È$307), "", 'Data Entry'!$È$307)</f>
      </c>
      <c r="EG307">
        <f>IF(ISBLANK('Data Entry'!$É$307), "", 'Data Entry'!$É$307)</f>
      </c>
      <c r="EH307">
        <f>IF(ISBLANK('Data Entry'!$Ê$307), "", 'Data Entry'!$Ê$307)</f>
      </c>
      <c r="EI307">
        <f>IF(ISBLANK('Data Entry'!$Ë$307), "", 'Data Entry'!$Ë$307)</f>
      </c>
      <c r="EJ307">
        <f>IF(ISBLANK('Data Entry'!$Ì$307), "", 'Data Entry'!$Ì$307)</f>
      </c>
      <c r="EK307">
        <f>IF(ISBLANK('Data Entry'!$Í$307), "", 'Data Entry'!$Í$307)</f>
      </c>
      <c r="EL307">
        <f>IF(ISBLANK('Data Entry'!$Î$307), "", 'Data Entry'!$Î$307)</f>
      </c>
      <c r="EM307">
        <f>IF(ISBLANK('Data Entry'!$Ï$307), "", 'Data Entry'!$Ï$307)</f>
      </c>
      <c r="EN307">
        <f>IF(ISBLANK('Data Entry'!$Ð$307), "", 'Data Entry'!$Ð$307)</f>
      </c>
      <c r="EO307">
        <f>IF(ISBLANK('Data Entry'!$Ñ$307), "", 'Data Entry'!$Ñ$307)</f>
      </c>
      <c r="EP307">
        <f>IF(ISBLANK('Data Entry'!$Ò$307), "", 'Data Entry'!$Ò$307)</f>
      </c>
      <c r="EQ307">
        <f>IF(ISBLANK('Data Entry'!$Ó$307), "", 'Data Entry'!$Ó$307)</f>
      </c>
      <c r="ER307">
        <f>IF(ISBLANK('Data Entry'!$Ô$307), "", 'Data Entry'!$Ô$307)</f>
      </c>
      <c r="ES307">
        <f>IF(ISBLANK('Data Entry'!$Õ$307), "", 'Data Entry'!$Õ$307)</f>
      </c>
      <c r="ET307">
        <f>IF(ISBLANK('Data Entry'!$Ö$307), "", 'Data Entry'!$Ö$307)</f>
      </c>
      <c r="EU307">
        <f>IF(ISBLANK('Data Entry'!$×$307), "", 'Data Entry'!$×$307)</f>
      </c>
      <c r="EV307">
        <f>IF(ISBLANK('Data Entry'!$Ø$307), "", 'Data Entry'!$Ø$307)</f>
      </c>
      <c r="EW307">
        <f>IF(ISBLANK('Data Entry'!$Ù$307), "", 'Data Entry'!$Ù$307)</f>
      </c>
      <c r="EX307">
        <f>IF(ISBLANK('Data Entry'!$Ú$307), "", 'Data Entry'!$Ú$307)</f>
      </c>
      <c r="EY307">
        <f>IF(ISBLANK('Data Entry'!$Û$307), "", 'Data Entry'!$Û$307)</f>
      </c>
      <c r="EZ307">
        <f>IF(ISBLANK('Data Entry'!$Ü$307), "", 'Data Entry'!$Ü$307)</f>
      </c>
      <c r="FA307">
        <f>IF(ISBLANK('Data Entry'!$Ý$307), "", 'Data Entry'!$Ý$307)</f>
      </c>
      <c r="FB307">
        <f>IF(ISBLANK('Data Entry'!$Þ$307), "", 'Data Entry'!$Þ$307)</f>
      </c>
      <c r="FC307">
        <f>IF(ISBLANK('Data Entry'!$ß$307), "", 'Data Entry'!$ß$307)</f>
      </c>
      <c r="FD307">
        <f>IF(ISBLANK('Data Entry'!$à$307), "", 'Data Entry'!$à$307)</f>
      </c>
      <c r="FE307">
        <f>IF(ISBLANK('Data Entry'!$á$307), "", 'Data Entry'!$á$307)</f>
      </c>
      <c r="FF307">
        <f>IF(ISBLANK('Data Entry'!$â$307), "", 'Data Entry'!$â$307)</f>
      </c>
      <c r="FG307">
        <f>IF(ISBLANK('Data Entry'!$ã$307), "", 'Data Entry'!$ã$307)</f>
      </c>
      <c r="FH307">
        <f>IF(ISBLANK('Data Entry'!$ä$307), "", 'Data Entry'!$ä$307)</f>
      </c>
      <c r="FI307">
        <f>IF(ISBLANK('Data Entry'!$å$307), "", 'Data Entry'!$å$307)</f>
      </c>
      <c r="FJ307">
        <f>IF(ISBLANK('Data Entry'!$æ$307), "", 'Data Entry'!$æ$307)</f>
      </c>
      <c r="FK307">
        <f>IF(ISBLANK('Data Entry'!$ç$307), "", 'Data Entry'!$ç$307)</f>
      </c>
      <c r="FL307">
        <f>IF(ISBLANK('Data Entry'!$è$307), "", 'Data Entry'!$è$307)</f>
      </c>
      <c r="FM307">
        <f>IF(ISBLANK('Data Entry'!$é$307), "", 'Data Entry'!$é$307)</f>
      </c>
      <c r="FN307">
        <f>IF(ISBLANK('Data Entry'!$ê$307), "", 'Data Entry'!$ê$307)</f>
      </c>
      <c r="FO307">
        <f>IF(ISBLANK('Data Entry'!$ë$307), "", 'Data Entry'!$ë$307)</f>
      </c>
      <c r="FP307">
        <f>IF(ISBLANK('Data Entry'!$ì$307), "", 'Data Entry'!$ì$307)</f>
      </c>
      <c r="FQ307">
        <f>IF(ISBLANK('Data Entry'!$í$307), "", 'Data Entry'!$í$307)</f>
      </c>
      <c r="FR307">
        <f>IF(ISBLANK('Data Entry'!$î$307), "", 'Data Entry'!$î$307)</f>
      </c>
      <c r="FS307">
        <f>IF(ISBLANK('Data Entry'!$ï$307), "", 'Data Entry'!$ï$307)</f>
      </c>
      <c r="FT307">
        <f>IF(ISBLANK('Data Entry'!$ð$307), "", 'Data Entry'!$ð$307)</f>
      </c>
      <c r="FU307">
        <f>IF(ISBLANK('Data Entry'!$ñ$307), "", 'Data Entry'!$ñ$307)</f>
      </c>
      <c r="FV307">
        <f>IF(ISBLANK('Data Entry'!$ò$307), "", 'Data Entry'!$ò$307)</f>
      </c>
      <c r="FW307">
        <f>IF(ISBLANK('Data Entry'!$ó$307), "", 'Data Entry'!$ó$307)</f>
      </c>
      <c r="FX307">
        <f>IF(ISBLANK('Data Entry'!$ô$307), "", 'Data Entry'!$ô$307)</f>
      </c>
      <c r="FY307">
        <f>IF(ISBLANK('Data Entry'!$õ$307), "", 'Data Entry'!$õ$307)</f>
      </c>
      <c r="FZ307">
        <f>IF(ISBLANK('Data Entry'!$ö$307), "", 'Data Entry'!$ö$307)</f>
      </c>
      <c r="GA307">
        <f>IF(ISBLANK('Data Entry'!$÷$307), "", 'Data Entry'!$÷$307)</f>
      </c>
      <c r="GB307">
        <f>IF(ISBLANK('Data Entry'!$ø$307), "", 'Data Entry'!$ø$307)</f>
      </c>
      <c r="GC307">
        <f>IF(ISBLANK('Data Entry'!$ù$307), "", 'Data Entry'!$ù$307)</f>
      </c>
      <c r="GD307">
        <f>IF(ISBLANK('Data Entry'!$ú$307), "", 'Data Entry'!$ú$307)</f>
      </c>
      <c r="GE307">
        <f>IF(ISBLANK('Data Entry'!$û$307), "", 'Data Entry'!$û$307)</f>
      </c>
      <c r="GF307">
        <f>IF(ISBLANK('Data Entry'!$ü$307), "", 'Data Entry'!$ü$307)</f>
      </c>
      <c r="GG307">
        <f>IF(ISBLANK('Data Entry'!$ý$307), "", 'Data Entry'!$ý$307)</f>
      </c>
      <c r="GH307">
        <f>IF(ISBLANK('Data Entry'!$þ$307), "", 'Data Entry'!$þ$307)</f>
      </c>
      <c r="GI307">
        <f>IF(ISBLANK('Data Entry'!$ÿ$307), "", 'Data Entry'!$ÿ$307)</f>
      </c>
      <c r="GJ307">
        <f>IF(ISBLANK('Data Entry'!$Ā$307), "", 'Data Entry'!$Ā$307)</f>
      </c>
      <c r="GK307">
        <f>IF(ISBLANK('Data Entry'!$ā$307), "", 'Data Entry'!$ā$307)</f>
      </c>
      <c r="GL307">
        <f>IF(ISBLANK('Data Entry'!$Ă$307), "", 'Data Entry'!$Ă$307)</f>
      </c>
      <c r="GM307">
        <f>IF(ISBLANK('Data Entry'!$ă$307), "", 'Data Entry'!$ă$307)</f>
      </c>
      <c r="GN307">
        <f>IF(ISBLANK('Data Entry'!$Ą$307), "", 'Data Entry'!$Ą$307)</f>
      </c>
      <c r="GO307">
        <f>IF(ISBLANK('Data Entry'!$ą$307), "", 'Data Entry'!$ą$307)</f>
      </c>
      <c r="GP307">
        <f>IF(ISBLANK('Data Entry'!$Ć$307), "", 'Data Entry'!$Ć$307)</f>
      </c>
      <c r="GQ307">
        <f>IF(ISBLANK('Data Entry'!$ć$307), "", 'Data Entry'!$ć$307)</f>
      </c>
      <c r="GR307">
        <f>IF(ISBLANK('Data Entry'!$Ĉ$307), "", 'Data Entry'!$Ĉ$307)</f>
      </c>
      <c r="GS307">
        <f>IF(ISBLANK('Data Entry'!$ĉ$307), "", 'Data Entry'!$ĉ$307)</f>
      </c>
      <c r="GT307">
        <f>IF(ISBLANK('Data Entry'!$Ċ$307), "", 'Data Entry'!$Ċ$307)</f>
      </c>
      <c r="GU307">
        <f>IF(ISBLANK('Data Entry'!$ċ$307), "", 'Data Entry'!$ċ$307)</f>
      </c>
      <c r="GV307">
        <f>IF(ISBLANK('Data Entry'!$Č$307), "", 'Data Entry'!$Č$307)</f>
      </c>
      <c r="GW307">
        <f>IF(ISBLANK('Data Entry'!$č$307), "", 'Data Entry'!$č$307)</f>
      </c>
      <c r="GX307">
        <f>IF(ISBLANK('Data Entry'!$Ď$307), "", 'Data Entry'!$Ď$307)</f>
      </c>
      <c r="GY307">
        <f>IF(ISBLANK('Data Entry'!$ď$307), "", 'Data Entry'!$ď$307)</f>
      </c>
      <c r="GZ307">
        <f>IF(ISBLANK('Data Entry'!$Đ$307), "", 'Data Entry'!$Đ$307)</f>
      </c>
      <c r="HA307">
        <f>IF(ISBLANK('Data Entry'!$đ$307), "", 'Data Entry'!$đ$307)</f>
      </c>
      <c r="HB307">
        <f>IF(ISBLANK('Data Entry'!$Ē$307), "", 'Data Entry'!$Ē$307)</f>
      </c>
      <c r="HC307">
        <f>IF(ISBLANK('Data Entry'!$ē$307), "", 'Data Entry'!$ē$307)</f>
      </c>
      <c r="HD307">
        <f>IF(ISBLANK('Data Entry'!$Ĕ$307), "", 'Data Entry'!$Ĕ$307)</f>
      </c>
      <c r="HE307">
        <f>IF(ISBLANK('Data Entry'!$ĕ$307), "", 'Data Entry'!$ĕ$307)</f>
      </c>
      <c r="HF307">
        <f>IF(ISBLANK('Data Entry'!$Ė$307), "", 'Data Entry'!$Ė$307)</f>
      </c>
      <c r="HG307">
        <f>IF(ISBLANK('Data Entry'!$ė$307), "", 'Data Entry'!$ė$307)</f>
      </c>
      <c r="HH307">
        <f>IF(ISBLANK('Data Entry'!$Ę$307), "", 'Data Entry'!$Ę$307)</f>
      </c>
      <c r="HI307">
        <f>IF(ISBLANK('Data Entry'!$ę$307), "", 'Data Entry'!$ę$307)</f>
      </c>
      <c r="HJ307">
        <f>IF(ISBLANK('Data Entry'!$Ě$307), "", 'Data Entry'!$Ě$307)</f>
      </c>
      <c r="HK307">
        <f>IF(ISBLANK('Data Entry'!$ě$307), "", 'Data Entry'!$ě$307)</f>
      </c>
      <c r="HL307">
        <f>IF(ISBLANK('Data Entry'!$Ĝ$307), "", 'Data Entry'!$Ĝ$307)</f>
      </c>
      <c r="HM307">
        <f>IF(ISBLANK('Data Entry'!$ĝ$307), "", 'Data Entry'!$ĝ$307)</f>
      </c>
      <c r="HN307">
        <f>IF(ISBLANK('Data Entry'!$Ğ$307), "", 'Data Entry'!$Ğ$307)</f>
      </c>
      <c r="HO307">
        <f>IF(ISBLANK('Data Entry'!$ğ$307), "", 'Data Entry'!$ğ$307)</f>
      </c>
      <c r="HP307">
        <f>IF(ISBLANK('Data Entry'!$Ġ$307), "", 'Data Entry'!$Ġ$307)</f>
      </c>
      <c r="HQ307">
        <f>IF(ISBLANK('Data Entry'!$ġ$307), "", 'Data Entry'!$ġ$307)</f>
      </c>
      <c r="HR307">
        <f>IF(ISBLANK('Data Entry'!$Ģ$307), "", 'Data Entry'!$Ģ$307)</f>
      </c>
      <c r="HS307">
        <f>IF(ISBLANK('Data Entry'!$ģ$307), "", 'Data Entry'!$ģ$307)</f>
      </c>
      <c r="HT307">
        <f>IF(ISBLANK('Data Entry'!$Ĥ$307), "", 'Data Entry'!$Ĥ$307)</f>
      </c>
      <c r="HU307">
        <f>IF(ISBLANK('Data Entry'!$ĥ$307), "", 'Data Entry'!$ĥ$307)</f>
      </c>
      <c r="HV307">
        <f>IF(ISBLANK('Data Entry'!$Ħ$307), "", 'Data Entry'!$Ħ$307)</f>
      </c>
      <c r="HW307">
        <f>IF(ISBLANK('Data Entry'!$ħ$307), "", 'Data Entry'!$ħ$307)</f>
      </c>
      <c r="HX307">
        <f>IF(ISBLANK('Data Entry'!$Ĩ$307), "", 'Data Entry'!$Ĩ$307)</f>
      </c>
      <c r="HY307">
        <f>IF(ISBLANK('Data Entry'!$ĩ$307), "", 'Data Entry'!$ĩ$307)</f>
      </c>
      <c r="HZ307">
        <f>IF(ISBLANK('Data Entry'!$Ī$307), "", 'Data Entry'!$Ī$307)</f>
      </c>
      <c r="IA307">
        <f>IF(ISBLANK('Data Entry'!$ī$307), "", 'Data Entry'!$ī$307)</f>
      </c>
      <c r="IB307">
        <f>IF(ISBLANK('Data Entry'!$Ĭ$307), "", 'Data Entry'!$Ĭ$307)</f>
      </c>
      <c r="IC307">
        <f>IF(ISBLANK('Data Entry'!$ĭ$307), "", 'Data Entry'!$ĭ$307)</f>
      </c>
      <c r="ID307">
        <f>IF(ISBLANK('Data Entry'!$Į$307), "", 'Data Entry'!$Į$307)</f>
      </c>
      <c r="IE307">
        <f>IF(ISBLANK('Data Entry'!$į$307), "", 'Data Entry'!$į$307)</f>
      </c>
      <c r="IF307">
        <f>IF(ISBLANK('Data Entry'!$İ$307), "", 'Data Entry'!$İ$307)</f>
      </c>
      <c r="IG307">
        <f>IF(ISBLANK('Data Entry'!$ı$307), "", 'Data Entry'!$ı$307)</f>
      </c>
      <c r="IH307">
        <f>IF(ISBLANK('Data Entry'!$Ĳ$307), "", 'Data Entry'!$Ĳ$307)</f>
      </c>
      <c r="II307">
        <f>IF(ISBLANK('Data Entry'!$ĳ$307), "", 'Data Entry'!$ĳ$307)</f>
      </c>
      <c r="IJ307">
        <f>IF(ISBLANK('Data Entry'!$Ĵ$307), "", 'Data Entry'!$Ĵ$307)</f>
      </c>
      <c r="IK307">
        <f>IF(ISBLANK('Data Entry'!$ĵ$307), "", 'Data Entry'!$ĵ$307)</f>
      </c>
      <c r="IL307">
        <f>IF(ISBLANK('Data Entry'!$Ķ$307), "", 'Data Entry'!$Ķ$307)</f>
      </c>
      <c r="IM307">
        <f>IF(ISBLANK('Data Entry'!$ķ$307), "", 'Data Entry'!$ķ$307)</f>
      </c>
      <c r="IN307">
        <f>IF(ISBLANK('Data Entry'!$ĸ$307), "", 'Data Entry'!$ĸ$307)</f>
      </c>
      <c r="IO307">
        <f>IF(ISBLANK('Data Entry'!$Ĺ$307), "", 'Data Entry'!$Ĺ$307)</f>
      </c>
      <c r="IP307">
        <f>IF(ISBLANK('Data Entry'!$ĺ$307), "", 'Data Entry'!$ĺ$307)</f>
      </c>
      <c r="IQ307">
        <f>IF(ISBLANK('Data Entry'!$Ļ$307), "", 'Data Entry'!$Ļ$307)</f>
      </c>
      <c r="IR307">
        <f>IF(ISBLANK('Data Entry'!$ļ$307), "", 'Data Entry'!$ļ$307)</f>
      </c>
      <c r="IS307">
        <f>IF(ISBLANK('Data Entry'!$Ľ$307), "", 'Data Entry'!$Ľ$307)</f>
      </c>
      <c r="IT307">
        <f>IF(ISBLANK('Data Entry'!$ľ$307), "", 'Data Entry'!$ľ$307)</f>
      </c>
    </row>
    <row r="308" spans="1:254" x14ac:dyDescent="0.25">
      <c r="A308">
        <f>IF(ISBLANK('Data Entry'!$A$308), "", 'Data Entry'!$A$308)</f>
      </c>
      <c r="B308">
        <f>IF(ISBLANK('Data Entry'!$B$308), "", 'Data Entry'!$B$308)</f>
      </c>
      <c r="C308">
        <f>IF(ISBLANK('Data Entry'!$C$308), "", 'Data Entry'!$C$308)</f>
      </c>
      <c r="D308">
        <f>IF(ISBLANK('Data Entry'!$D$308), "", 'Data Entry'!$D$308)</f>
      </c>
      <c r="E308">
        <f>IF(ISBLANK('Data Entry'!$E$308), "", 'Data Entry'!$E$308)</f>
      </c>
      <c r="F308">
        <f>IF(ISBLANK('Data Entry'!$F$308), "", 'Data Entry'!$F$308)</f>
      </c>
      <c r="G308">
        <f>IF(ISBLANK('Data Entry'!$G$308), "", 'Data Entry'!$G$308)</f>
      </c>
      <c r="H308">
        <f>IF(ISBLANK('Data Entry'!$H$308), "", 'Data Entry'!$H$308)</f>
      </c>
      <c r="I308">
        <f>IF(ISBLANK('Data Entry'!$I$308), "", 'Data Entry'!$I$308)</f>
      </c>
      <c r="J308">
        <f>IF(ISBLANK('Data Entry'!$J$308), "", 'Data Entry'!$J$308)</f>
      </c>
      <c r="K308">
        <f>IF(ISBLANK('Data Entry'!$K$308), "", 'Data Entry'!$K$308)</f>
      </c>
      <c r="L308">
        <f>IF(ISBLANK('Data Entry'!$L$308), "", 'Data Entry'!$L$308)</f>
      </c>
      <c r="M308">
        <f>IF(ISBLANK('Data Entry'!$M$308), "", 'Data Entry'!$M$308)</f>
      </c>
      <c r="N308">
        <f>IF(ISBLANK('Data Entry'!$N$308), "", 'Data Entry'!$N$308)</f>
      </c>
      <c r="O308">
        <f>IF(ISBLANK('Data Entry'!$O$308), "", 'Data Entry'!$O$308)</f>
      </c>
      <c r="P308">
        <f>IF(ISBLANK('Data Entry'!$P$308), "", 'Data Entry'!$P$308)</f>
      </c>
      <c r="Q308">
        <f>IF(ISBLANK('Data Entry'!$Q$308), "", 'Data Entry'!$Q$308)</f>
      </c>
      <c r="R308">
        <f>IF(ISBLANK('Data Entry'!$R$308), "", 'Data Entry'!$R$308)</f>
      </c>
      <c r="S308">
        <f>IF(ISBLANK('Data Entry'!$S$308), "", 'Data Entry'!$S$308)</f>
      </c>
      <c r="T308">
        <f>IF(ISBLANK('Data Entry'!$T$308), "", 'Data Entry'!$T$308)</f>
      </c>
      <c r="U308">
        <f>IF(ISBLANK('Data Entry'!$U$308), "", 'Data Entry'!$U$308)</f>
      </c>
      <c r="V308">
        <f>IF(ISBLANK('Data Entry'!$V$308), "", 'Data Entry'!$V$308)</f>
      </c>
      <c r="W308">
        <f>IF(ISBLANK('Data Entry'!$W$308), "", 'Data Entry'!$W$308)</f>
      </c>
      <c r="X308">
        <f>IF(ISBLANK('Data Entry'!$X$308), "", 'Data Entry'!$X$308)</f>
      </c>
      <c r="Y308">
        <f>IF(ISBLANK('Data Entry'!$Y$308), "", 'Data Entry'!$Y$308)</f>
      </c>
      <c r="Z308">
        <f>IF(ISBLANK('Data Entry'!$Z$308), "", 'Data Entry'!$Z$308)</f>
      </c>
      <c r="AA308">
        <f>IF(ISBLANK('Data Entry'!$[$308), "", 'Data Entry'!$[$308)</f>
      </c>
      <c r="AB308">
        <f>IF(ISBLANK('Data Entry'!$\$308), "", 'Data Entry'!$\$308)</f>
      </c>
      <c r="AC308">
        <f>IF(ISBLANK('Data Entry'!$]$308), "", 'Data Entry'!$]$308)</f>
      </c>
      <c r="AD308">
        <f>IF(ISBLANK('Data Entry'!$^$308), "", 'Data Entry'!$^$308)</f>
      </c>
      <c r="AE308">
        <f>IF(ISBLANK('Data Entry'!$_$308), "", 'Data Entry'!$_$308)</f>
      </c>
      <c r="AF308">
        <f>IF(ISBLANK('Data Entry'!$`$308), "", 'Data Entry'!$`$308)</f>
      </c>
      <c r="AG308">
        <f>IF(ISBLANK('Data Entry'!$a$308), "", 'Data Entry'!$a$308)</f>
      </c>
      <c r="AH308">
        <f>IF(ISBLANK('Data Entry'!$b$308), "", 'Data Entry'!$b$308)</f>
      </c>
      <c r="AI308">
        <f>IF(ISBLANK('Data Entry'!$c$308), "", 'Data Entry'!$c$308)</f>
      </c>
      <c r="AJ308">
        <f>IF(ISBLANK('Data Entry'!$d$308), "", 'Data Entry'!$d$308)</f>
      </c>
      <c r="AK308">
        <f>IF(ISBLANK('Data Entry'!$e$308), "", 'Data Entry'!$e$308)</f>
      </c>
      <c r="AL308">
        <f>IF(ISBLANK('Data Entry'!$f$308), "", 'Data Entry'!$f$308)</f>
      </c>
      <c r="AM308">
        <f>IF(ISBLANK('Data Entry'!$g$308), "", 'Data Entry'!$g$308)</f>
      </c>
      <c r="AN308">
        <f>IF(ISBLANK('Data Entry'!$h$308), "", 'Data Entry'!$h$308)</f>
      </c>
      <c r="AO308">
        <f>IF(ISBLANK('Data Entry'!$i$308), "", 'Data Entry'!$i$308)</f>
      </c>
      <c r="AP308">
        <f>IF(ISBLANK('Data Entry'!$j$308), "", 'Data Entry'!$j$308)</f>
      </c>
      <c r="AQ308">
        <f>IF(ISBLANK('Data Entry'!$k$308), "", 'Data Entry'!$k$308)</f>
      </c>
      <c r="AR308">
        <f>IF(ISBLANK('Data Entry'!$l$308), "", 'Data Entry'!$l$308)</f>
      </c>
      <c r="AS308">
        <f>IF(ISBLANK('Data Entry'!$m$308), "", 'Data Entry'!$m$308)</f>
      </c>
      <c r="AT308">
        <f>IF(ISBLANK('Data Entry'!$n$308), "", 'Data Entry'!$n$308)</f>
      </c>
      <c r="AU308">
        <f>IF(ISBLANK('Data Entry'!$o$308), "", 'Data Entry'!$o$308)</f>
      </c>
      <c r="AV308">
        <f>IF(ISBLANK('Data Entry'!$p$308), "", 'Data Entry'!$p$308)</f>
      </c>
      <c r="AW308">
        <f>IF(ISBLANK('Data Entry'!$q$308), "", 'Data Entry'!$q$308)</f>
      </c>
      <c r="AX308">
        <f>IF(ISBLANK('Data Entry'!$r$308), "", 'Data Entry'!$r$308)</f>
      </c>
      <c r="AY308">
        <f>IF(ISBLANK('Data Entry'!$s$308), "", 'Data Entry'!$s$308)</f>
      </c>
      <c r="AZ308">
        <f>IF(ISBLANK('Data Entry'!$t$308), "", 'Data Entry'!$t$308)</f>
      </c>
      <c r="BA308">
        <f>IF(ISBLANK('Data Entry'!$u$308), "", 'Data Entry'!$u$308)</f>
      </c>
      <c r="BB308">
        <f>IF(ISBLANK('Data Entry'!$v$308), "", 'Data Entry'!$v$308)</f>
      </c>
      <c r="BC308">
        <f>IF(ISBLANK('Data Entry'!$w$308), "", 'Data Entry'!$w$308)</f>
      </c>
      <c r="BD308">
        <f>IF(ISBLANK('Data Entry'!$x$308), "", 'Data Entry'!$x$308)</f>
      </c>
      <c r="BE308">
        <f>IF(ISBLANK('Data Entry'!$y$308), "", 'Data Entry'!$y$308)</f>
      </c>
      <c r="BF308">
        <f>IF(ISBLANK('Data Entry'!$z$308), "", 'Data Entry'!$z$308)</f>
      </c>
      <c r="BG308">
        <f>IF(ISBLANK('Data Entry'!${$308), "", 'Data Entry'!${$308)</f>
      </c>
      <c r="BH308">
        <f>IF(ISBLANK('Data Entry'!$|$308), "", 'Data Entry'!$|$308)</f>
      </c>
      <c r="BI308">
        <f>IF(ISBLANK('Data Entry'!$}$308), "", 'Data Entry'!$}$308)</f>
      </c>
      <c r="BJ308">
        <f>IF(ISBLANK('Data Entry'!$~$308), "", 'Data Entry'!$~$308)</f>
      </c>
      <c r="BK308">
        <f>IF(ISBLANK('Data Entry'!$$308), "", 'Data Entry'!$$308)</f>
      </c>
      <c r="BL308">
        <f>IF(ISBLANK('Data Entry'!$$308), "", 'Data Entry'!$$308)</f>
      </c>
      <c r="BM308">
        <f>IF(ISBLANK('Data Entry'!$$308), "", 'Data Entry'!$$308)</f>
      </c>
      <c r="BN308">
        <f>IF(ISBLANK('Data Entry'!$$308), "", 'Data Entry'!$$308)</f>
      </c>
      <c r="BO308">
        <f>IF(ISBLANK('Data Entry'!$$308), "", 'Data Entry'!$$308)</f>
      </c>
      <c r="BP308">
        <f>IF(ISBLANK('Data Entry'!$$308), "", 'Data Entry'!$$308)</f>
      </c>
      <c r="BQ308">
        <f>IF(ISBLANK('Data Entry'!$$308), "", 'Data Entry'!$$308)</f>
      </c>
      <c r="BR308">
        <f>IF(ISBLANK('Data Entry'!$$308), "", 'Data Entry'!$$308)</f>
      </c>
      <c r="BS308">
        <f>IF(ISBLANK('Data Entry'!$$308), "", 'Data Entry'!$$308)</f>
      </c>
      <c r="BT308">
        <f>IF(ISBLANK('Data Entry'!$$308), "", 'Data Entry'!$$308)</f>
      </c>
      <c r="BU308">
        <f>IF(ISBLANK('Data Entry'!$$308), "", 'Data Entry'!$$308)</f>
      </c>
      <c r="BV308">
        <f>IF(ISBLANK('Data Entry'!$$308), "", 'Data Entry'!$$308)</f>
      </c>
      <c r="BW308">
        <f>IF(ISBLANK('Data Entry'!$$308), "", 'Data Entry'!$$308)</f>
      </c>
      <c r="BX308">
        <f>IF(ISBLANK('Data Entry'!$$308), "", 'Data Entry'!$$308)</f>
      </c>
      <c r="BY308">
        <f>IF(ISBLANK('Data Entry'!$$308), "", 'Data Entry'!$$308)</f>
      </c>
      <c r="BZ308">
        <f>IF(ISBLANK('Data Entry'!$$308), "", 'Data Entry'!$$308)</f>
      </c>
      <c r="CA308">
        <f>IF(ISBLANK('Data Entry'!$$308), "", 'Data Entry'!$$308)</f>
      </c>
      <c r="CB308">
        <f>IF(ISBLANK('Data Entry'!$$308), "", 'Data Entry'!$$308)</f>
      </c>
      <c r="CC308">
        <f>IF(ISBLANK('Data Entry'!$$308), "", 'Data Entry'!$$308)</f>
      </c>
      <c r="CD308">
        <f>IF(ISBLANK('Data Entry'!$$308), "", 'Data Entry'!$$308)</f>
      </c>
      <c r="CE308">
        <f>IF(ISBLANK('Data Entry'!$$308), "", 'Data Entry'!$$308)</f>
      </c>
      <c r="CF308">
        <f>IF(ISBLANK('Data Entry'!$$308), "", 'Data Entry'!$$308)</f>
      </c>
      <c r="CG308">
        <f>IF(ISBLANK('Data Entry'!$$308), "", 'Data Entry'!$$308)</f>
      </c>
      <c r="CH308">
        <f>IF(ISBLANK('Data Entry'!$$308), "", 'Data Entry'!$$308)</f>
      </c>
      <c r="CI308">
        <f>IF(ISBLANK('Data Entry'!$$308), "", 'Data Entry'!$$308)</f>
      </c>
      <c r="CJ308">
        <f>IF(ISBLANK('Data Entry'!$$308), "", 'Data Entry'!$$308)</f>
      </c>
      <c r="CK308">
        <f>IF(ISBLANK('Data Entry'!$$308), "", 'Data Entry'!$$308)</f>
      </c>
      <c r="CL308">
        <f>IF(ISBLANK('Data Entry'!$$308), "", 'Data Entry'!$$308)</f>
      </c>
      <c r="CM308">
        <f>IF(ISBLANK('Data Entry'!$$308), "", 'Data Entry'!$$308)</f>
      </c>
      <c r="CN308">
        <f>IF(ISBLANK('Data Entry'!$$308), "", 'Data Entry'!$$308)</f>
      </c>
      <c r="CO308">
        <f>IF(ISBLANK('Data Entry'!$$308), "", 'Data Entry'!$$308)</f>
      </c>
      <c r="CP308">
        <f>IF(ISBLANK('Data Entry'!$$308), "", 'Data Entry'!$$308)</f>
      </c>
      <c r="CQ308">
        <f>IF(ISBLANK('Data Entry'!$$308), "", 'Data Entry'!$$308)</f>
      </c>
      <c r="CR308">
        <f>IF(ISBLANK('Data Entry'!$ $308), "", 'Data Entry'!$ $308)</f>
      </c>
      <c r="CS308">
        <f>IF(ISBLANK('Data Entry'!$¡$308), "", 'Data Entry'!$¡$308)</f>
      </c>
      <c r="CT308">
        <f>IF(ISBLANK('Data Entry'!$¢$308), "", 'Data Entry'!$¢$308)</f>
      </c>
      <c r="CU308">
        <f>IF(ISBLANK('Data Entry'!$£$308), "", 'Data Entry'!$£$308)</f>
      </c>
      <c r="CV308">
        <f>IF(ISBLANK('Data Entry'!$¤$308), "", 'Data Entry'!$¤$308)</f>
      </c>
      <c r="CW308">
        <f>IF(ISBLANK('Data Entry'!$¥$308), "", 'Data Entry'!$¥$308)</f>
      </c>
      <c r="CX308">
        <f>IF(ISBLANK('Data Entry'!$¦$308), "", 'Data Entry'!$¦$308)</f>
      </c>
      <c r="CY308">
        <f>IF(ISBLANK('Data Entry'!$§$308), "", 'Data Entry'!$§$308)</f>
      </c>
      <c r="CZ308">
        <f>IF(ISBLANK('Data Entry'!$¨$308), "", 'Data Entry'!$¨$308)</f>
      </c>
      <c r="DA308">
        <f>IF(ISBLANK('Data Entry'!$©$308), "", 'Data Entry'!$©$308)</f>
      </c>
      <c r="DB308">
        <f>IF(ISBLANK('Data Entry'!$ª$308), "", 'Data Entry'!$ª$308)</f>
      </c>
      <c r="DC308">
        <f>IF(ISBLANK('Data Entry'!$«$308), "", 'Data Entry'!$«$308)</f>
      </c>
      <c r="DD308">
        <f>IF(ISBLANK('Data Entry'!$¬$308), "", 'Data Entry'!$¬$308)</f>
      </c>
      <c r="DE308">
        <f>IF(ISBLANK('Data Entry'!$­$308), "", 'Data Entry'!$­$308)</f>
      </c>
      <c r="DF308">
        <f>IF(ISBLANK('Data Entry'!$®$308), "", 'Data Entry'!$®$308)</f>
      </c>
      <c r="DG308">
        <f>IF(ISBLANK('Data Entry'!$¯$308), "", 'Data Entry'!$¯$308)</f>
      </c>
      <c r="DH308">
        <f>IF(ISBLANK('Data Entry'!$°$308), "", 'Data Entry'!$°$308)</f>
      </c>
      <c r="DI308">
        <f>IF(ISBLANK('Data Entry'!$±$308), "", 'Data Entry'!$±$308)</f>
      </c>
      <c r="DJ308">
        <f>IF(ISBLANK('Data Entry'!$²$308), "", 'Data Entry'!$²$308)</f>
      </c>
      <c r="DK308">
        <f>IF(ISBLANK('Data Entry'!$³$308), "", 'Data Entry'!$³$308)</f>
      </c>
      <c r="DL308">
        <f>IF(ISBLANK('Data Entry'!$´$308), "", 'Data Entry'!$´$308)</f>
      </c>
      <c r="DM308">
        <f>IF(ISBLANK('Data Entry'!$µ$308), "", 'Data Entry'!$µ$308)</f>
      </c>
      <c r="DN308">
        <f>IF(ISBLANK('Data Entry'!$¶$308), "", 'Data Entry'!$¶$308)</f>
      </c>
      <c r="DO308">
        <f>IF(ISBLANK('Data Entry'!$·$308), "", 'Data Entry'!$·$308)</f>
      </c>
      <c r="DP308">
        <f>IF(ISBLANK('Data Entry'!$¸$308), "", 'Data Entry'!$¸$308)</f>
      </c>
      <c r="DQ308">
        <f>IF(ISBLANK('Data Entry'!$¹$308), "", 'Data Entry'!$¹$308)</f>
      </c>
      <c r="DR308">
        <f>IF(ISBLANK('Data Entry'!$º$308), "", 'Data Entry'!$º$308)</f>
      </c>
      <c r="DS308">
        <f>IF(ISBLANK('Data Entry'!$»$308), "", 'Data Entry'!$»$308)</f>
      </c>
      <c r="DT308">
        <f>IF(ISBLANK('Data Entry'!$¼$308), "", 'Data Entry'!$¼$308)</f>
      </c>
      <c r="DU308">
        <f>IF(ISBLANK('Data Entry'!$½$308), "", 'Data Entry'!$½$308)</f>
      </c>
      <c r="DV308">
        <f>IF(ISBLANK('Data Entry'!$¾$308), "", 'Data Entry'!$¾$308)</f>
      </c>
      <c r="DW308">
        <f>IF(ISBLANK('Data Entry'!$¿$308), "", 'Data Entry'!$¿$308)</f>
      </c>
      <c r="DX308">
        <f>IF(ISBLANK('Data Entry'!$À$308), "", 'Data Entry'!$À$308)</f>
      </c>
      <c r="DY308">
        <f>IF(ISBLANK('Data Entry'!$Á$308), "", 'Data Entry'!$Á$308)</f>
      </c>
      <c r="DZ308">
        <f>IF(ISBLANK('Data Entry'!$Â$308), "", 'Data Entry'!$Â$308)</f>
      </c>
      <c r="EA308">
        <f>IF(ISBLANK('Data Entry'!$Ã$308), "", 'Data Entry'!$Ã$308)</f>
      </c>
      <c r="EB308">
        <f>IF(ISBLANK('Data Entry'!$Ä$308), "", 'Data Entry'!$Ä$308)</f>
      </c>
      <c r="EC308">
        <f>IF(ISBLANK('Data Entry'!$Å$308), "", 'Data Entry'!$Å$308)</f>
      </c>
      <c r="ED308">
        <f>IF(ISBLANK('Data Entry'!$Æ$308), "", 'Data Entry'!$Æ$308)</f>
      </c>
      <c r="EE308">
        <f>IF(ISBLANK('Data Entry'!$Ç$308), "", 'Data Entry'!$Ç$308)</f>
      </c>
      <c r="EF308">
        <f>IF(ISBLANK('Data Entry'!$È$308), "", 'Data Entry'!$È$308)</f>
      </c>
      <c r="EG308">
        <f>IF(ISBLANK('Data Entry'!$É$308), "", 'Data Entry'!$É$308)</f>
      </c>
      <c r="EH308">
        <f>IF(ISBLANK('Data Entry'!$Ê$308), "", 'Data Entry'!$Ê$308)</f>
      </c>
      <c r="EI308">
        <f>IF(ISBLANK('Data Entry'!$Ë$308), "", 'Data Entry'!$Ë$308)</f>
      </c>
      <c r="EJ308">
        <f>IF(ISBLANK('Data Entry'!$Ì$308), "", 'Data Entry'!$Ì$308)</f>
      </c>
      <c r="EK308">
        <f>IF(ISBLANK('Data Entry'!$Í$308), "", 'Data Entry'!$Í$308)</f>
      </c>
      <c r="EL308">
        <f>IF(ISBLANK('Data Entry'!$Î$308), "", 'Data Entry'!$Î$308)</f>
      </c>
      <c r="EM308">
        <f>IF(ISBLANK('Data Entry'!$Ï$308), "", 'Data Entry'!$Ï$308)</f>
      </c>
      <c r="EN308">
        <f>IF(ISBLANK('Data Entry'!$Ð$308), "", 'Data Entry'!$Ð$308)</f>
      </c>
      <c r="EO308">
        <f>IF(ISBLANK('Data Entry'!$Ñ$308), "", 'Data Entry'!$Ñ$308)</f>
      </c>
      <c r="EP308">
        <f>IF(ISBLANK('Data Entry'!$Ò$308), "", 'Data Entry'!$Ò$308)</f>
      </c>
      <c r="EQ308">
        <f>IF(ISBLANK('Data Entry'!$Ó$308), "", 'Data Entry'!$Ó$308)</f>
      </c>
      <c r="ER308">
        <f>IF(ISBLANK('Data Entry'!$Ô$308), "", 'Data Entry'!$Ô$308)</f>
      </c>
      <c r="ES308">
        <f>IF(ISBLANK('Data Entry'!$Õ$308), "", 'Data Entry'!$Õ$308)</f>
      </c>
      <c r="ET308">
        <f>IF(ISBLANK('Data Entry'!$Ö$308), "", 'Data Entry'!$Ö$308)</f>
      </c>
      <c r="EU308">
        <f>IF(ISBLANK('Data Entry'!$×$308), "", 'Data Entry'!$×$308)</f>
      </c>
      <c r="EV308">
        <f>IF(ISBLANK('Data Entry'!$Ø$308), "", 'Data Entry'!$Ø$308)</f>
      </c>
      <c r="EW308">
        <f>IF(ISBLANK('Data Entry'!$Ù$308), "", 'Data Entry'!$Ù$308)</f>
      </c>
      <c r="EX308">
        <f>IF(ISBLANK('Data Entry'!$Ú$308), "", 'Data Entry'!$Ú$308)</f>
      </c>
      <c r="EY308">
        <f>IF(ISBLANK('Data Entry'!$Û$308), "", 'Data Entry'!$Û$308)</f>
      </c>
      <c r="EZ308">
        <f>IF(ISBLANK('Data Entry'!$Ü$308), "", 'Data Entry'!$Ü$308)</f>
      </c>
      <c r="FA308">
        <f>IF(ISBLANK('Data Entry'!$Ý$308), "", 'Data Entry'!$Ý$308)</f>
      </c>
      <c r="FB308">
        <f>IF(ISBLANK('Data Entry'!$Þ$308), "", 'Data Entry'!$Þ$308)</f>
      </c>
      <c r="FC308">
        <f>IF(ISBLANK('Data Entry'!$ß$308), "", 'Data Entry'!$ß$308)</f>
      </c>
      <c r="FD308">
        <f>IF(ISBLANK('Data Entry'!$à$308), "", 'Data Entry'!$à$308)</f>
      </c>
      <c r="FE308">
        <f>IF(ISBLANK('Data Entry'!$á$308), "", 'Data Entry'!$á$308)</f>
      </c>
      <c r="FF308">
        <f>IF(ISBLANK('Data Entry'!$â$308), "", 'Data Entry'!$â$308)</f>
      </c>
      <c r="FG308">
        <f>IF(ISBLANK('Data Entry'!$ã$308), "", 'Data Entry'!$ã$308)</f>
      </c>
      <c r="FH308">
        <f>IF(ISBLANK('Data Entry'!$ä$308), "", 'Data Entry'!$ä$308)</f>
      </c>
      <c r="FI308">
        <f>IF(ISBLANK('Data Entry'!$å$308), "", 'Data Entry'!$å$308)</f>
      </c>
      <c r="FJ308">
        <f>IF(ISBLANK('Data Entry'!$æ$308), "", 'Data Entry'!$æ$308)</f>
      </c>
      <c r="FK308">
        <f>IF(ISBLANK('Data Entry'!$ç$308), "", 'Data Entry'!$ç$308)</f>
      </c>
      <c r="FL308">
        <f>IF(ISBLANK('Data Entry'!$è$308), "", 'Data Entry'!$è$308)</f>
      </c>
      <c r="FM308">
        <f>IF(ISBLANK('Data Entry'!$é$308), "", 'Data Entry'!$é$308)</f>
      </c>
      <c r="FN308">
        <f>IF(ISBLANK('Data Entry'!$ê$308), "", 'Data Entry'!$ê$308)</f>
      </c>
      <c r="FO308">
        <f>IF(ISBLANK('Data Entry'!$ë$308), "", 'Data Entry'!$ë$308)</f>
      </c>
      <c r="FP308">
        <f>IF(ISBLANK('Data Entry'!$ì$308), "", 'Data Entry'!$ì$308)</f>
      </c>
      <c r="FQ308">
        <f>IF(ISBLANK('Data Entry'!$í$308), "", 'Data Entry'!$í$308)</f>
      </c>
      <c r="FR308">
        <f>IF(ISBLANK('Data Entry'!$î$308), "", 'Data Entry'!$î$308)</f>
      </c>
      <c r="FS308">
        <f>IF(ISBLANK('Data Entry'!$ï$308), "", 'Data Entry'!$ï$308)</f>
      </c>
      <c r="FT308">
        <f>IF(ISBLANK('Data Entry'!$ð$308), "", 'Data Entry'!$ð$308)</f>
      </c>
      <c r="FU308">
        <f>IF(ISBLANK('Data Entry'!$ñ$308), "", 'Data Entry'!$ñ$308)</f>
      </c>
      <c r="FV308">
        <f>IF(ISBLANK('Data Entry'!$ò$308), "", 'Data Entry'!$ò$308)</f>
      </c>
      <c r="FW308">
        <f>IF(ISBLANK('Data Entry'!$ó$308), "", 'Data Entry'!$ó$308)</f>
      </c>
      <c r="FX308">
        <f>IF(ISBLANK('Data Entry'!$ô$308), "", 'Data Entry'!$ô$308)</f>
      </c>
      <c r="FY308">
        <f>IF(ISBLANK('Data Entry'!$õ$308), "", 'Data Entry'!$õ$308)</f>
      </c>
      <c r="FZ308">
        <f>IF(ISBLANK('Data Entry'!$ö$308), "", 'Data Entry'!$ö$308)</f>
      </c>
      <c r="GA308">
        <f>IF(ISBLANK('Data Entry'!$÷$308), "", 'Data Entry'!$÷$308)</f>
      </c>
      <c r="GB308">
        <f>IF(ISBLANK('Data Entry'!$ø$308), "", 'Data Entry'!$ø$308)</f>
      </c>
      <c r="GC308">
        <f>IF(ISBLANK('Data Entry'!$ù$308), "", 'Data Entry'!$ù$308)</f>
      </c>
      <c r="GD308">
        <f>IF(ISBLANK('Data Entry'!$ú$308), "", 'Data Entry'!$ú$308)</f>
      </c>
      <c r="GE308">
        <f>IF(ISBLANK('Data Entry'!$û$308), "", 'Data Entry'!$û$308)</f>
      </c>
      <c r="GF308">
        <f>IF(ISBLANK('Data Entry'!$ü$308), "", 'Data Entry'!$ü$308)</f>
      </c>
      <c r="GG308">
        <f>IF(ISBLANK('Data Entry'!$ý$308), "", 'Data Entry'!$ý$308)</f>
      </c>
      <c r="GH308">
        <f>IF(ISBLANK('Data Entry'!$þ$308), "", 'Data Entry'!$þ$308)</f>
      </c>
      <c r="GI308">
        <f>IF(ISBLANK('Data Entry'!$ÿ$308), "", 'Data Entry'!$ÿ$308)</f>
      </c>
      <c r="GJ308">
        <f>IF(ISBLANK('Data Entry'!$Ā$308), "", 'Data Entry'!$Ā$308)</f>
      </c>
      <c r="GK308">
        <f>IF(ISBLANK('Data Entry'!$ā$308), "", 'Data Entry'!$ā$308)</f>
      </c>
      <c r="GL308">
        <f>IF(ISBLANK('Data Entry'!$Ă$308), "", 'Data Entry'!$Ă$308)</f>
      </c>
      <c r="GM308">
        <f>IF(ISBLANK('Data Entry'!$ă$308), "", 'Data Entry'!$ă$308)</f>
      </c>
      <c r="GN308">
        <f>IF(ISBLANK('Data Entry'!$Ą$308), "", 'Data Entry'!$Ą$308)</f>
      </c>
      <c r="GO308">
        <f>IF(ISBLANK('Data Entry'!$ą$308), "", 'Data Entry'!$ą$308)</f>
      </c>
      <c r="GP308">
        <f>IF(ISBLANK('Data Entry'!$Ć$308), "", 'Data Entry'!$Ć$308)</f>
      </c>
      <c r="GQ308">
        <f>IF(ISBLANK('Data Entry'!$ć$308), "", 'Data Entry'!$ć$308)</f>
      </c>
      <c r="GR308">
        <f>IF(ISBLANK('Data Entry'!$Ĉ$308), "", 'Data Entry'!$Ĉ$308)</f>
      </c>
      <c r="GS308">
        <f>IF(ISBLANK('Data Entry'!$ĉ$308), "", 'Data Entry'!$ĉ$308)</f>
      </c>
      <c r="GT308">
        <f>IF(ISBLANK('Data Entry'!$Ċ$308), "", 'Data Entry'!$Ċ$308)</f>
      </c>
      <c r="GU308">
        <f>IF(ISBLANK('Data Entry'!$ċ$308), "", 'Data Entry'!$ċ$308)</f>
      </c>
      <c r="GV308">
        <f>IF(ISBLANK('Data Entry'!$Č$308), "", 'Data Entry'!$Č$308)</f>
      </c>
      <c r="GW308">
        <f>IF(ISBLANK('Data Entry'!$č$308), "", 'Data Entry'!$č$308)</f>
      </c>
      <c r="GX308">
        <f>IF(ISBLANK('Data Entry'!$Ď$308), "", 'Data Entry'!$Ď$308)</f>
      </c>
      <c r="GY308">
        <f>IF(ISBLANK('Data Entry'!$ď$308), "", 'Data Entry'!$ď$308)</f>
      </c>
      <c r="GZ308">
        <f>IF(ISBLANK('Data Entry'!$Đ$308), "", 'Data Entry'!$Đ$308)</f>
      </c>
      <c r="HA308">
        <f>IF(ISBLANK('Data Entry'!$đ$308), "", 'Data Entry'!$đ$308)</f>
      </c>
      <c r="HB308">
        <f>IF(ISBLANK('Data Entry'!$Ē$308), "", 'Data Entry'!$Ē$308)</f>
      </c>
      <c r="HC308">
        <f>IF(ISBLANK('Data Entry'!$ē$308), "", 'Data Entry'!$ē$308)</f>
      </c>
      <c r="HD308">
        <f>IF(ISBLANK('Data Entry'!$Ĕ$308), "", 'Data Entry'!$Ĕ$308)</f>
      </c>
      <c r="HE308">
        <f>IF(ISBLANK('Data Entry'!$ĕ$308), "", 'Data Entry'!$ĕ$308)</f>
      </c>
      <c r="HF308">
        <f>IF(ISBLANK('Data Entry'!$Ė$308), "", 'Data Entry'!$Ė$308)</f>
      </c>
      <c r="HG308">
        <f>IF(ISBLANK('Data Entry'!$ė$308), "", 'Data Entry'!$ė$308)</f>
      </c>
      <c r="HH308">
        <f>IF(ISBLANK('Data Entry'!$Ę$308), "", 'Data Entry'!$Ę$308)</f>
      </c>
      <c r="HI308">
        <f>IF(ISBLANK('Data Entry'!$ę$308), "", 'Data Entry'!$ę$308)</f>
      </c>
      <c r="HJ308">
        <f>IF(ISBLANK('Data Entry'!$Ě$308), "", 'Data Entry'!$Ě$308)</f>
      </c>
      <c r="HK308">
        <f>IF(ISBLANK('Data Entry'!$ě$308), "", 'Data Entry'!$ě$308)</f>
      </c>
      <c r="HL308">
        <f>IF(ISBLANK('Data Entry'!$Ĝ$308), "", 'Data Entry'!$Ĝ$308)</f>
      </c>
      <c r="HM308">
        <f>IF(ISBLANK('Data Entry'!$ĝ$308), "", 'Data Entry'!$ĝ$308)</f>
      </c>
      <c r="HN308">
        <f>IF(ISBLANK('Data Entry'!$Ğ$308), "", 'Data Entry'!$Ğ$308)</f>
      </c>
      <c r="HO308">
        <f>IF(ISBLANK('Data Entry'!$ğ$308), "", 'Data Entry'!$ğ$308)</f>
      </c>
      <c r="HP308">
        <f>IF(ISBLANK('Data Entry'!$Ġ$308), "", 'Data Entry'!$Ġ$308)</f>
      </c>
      <c r="HQ308">
        <f>IF(ISBLANK('Data Entry'!$ġ$308), "", 'Data Entry'!$ġ$308)</f>
      </c>
      <c r="HR308">
        <f>IF(ISBLANK('Data Entry'!$Ģ$308), "", 'Data Entry'!$Ģ$308)</f>
      </c>
      <c r="HS308">
        <f>IF(ISBLANK('Data Entry'!$ģ$308), "", 'Data Entry'!$ģ$308)</f>
      </c>
      <c r="HT308">
        <f>IF(ISBLANK('Data Entry'!$Ĥ$308), "", 'Data Entry'!$Ĥ$308)</f>
      </c>
      <c r="HU308">
        <f>IF(ISBLANK('Data Entry'!$ĥ$308), "", 'Data Entry'!$ĥ$308)</f>
      </c>
      <c r="HV308">
        <f>IF(ISBLANK('Data Entry'!$Ħ$308), "", 'Data Entry'!$Ħ$308)</f>
      </c>
      <c r="HW308">
        <f>IF(ISBLANK('Data Entry'!$ħ$308), "", 'Data Entry'!$ħ$308)</f>
      </c>
      <c r="HX308">
        <f>IF(ISBLANK('Data Entry'!$Ĩ$308), "", 'Data Entry'!$Ĩ$308)</f>
      </c>
      <c r="HY308">
        <f>IF(ISBLANK('Data Entry'!$ĩ$308), "", 'Data Entry'!$ĩ$308)</f>
      </c>
      <c r="HZ308">
        <f>IF(ISBLANK('Data Entry'!$Ī$308), "", 'Data Entry'!$Ī$308)</f>
      </c>
      <c r="IA308">
        <f>IF(ISBLANK('Data Entry'!$ī$308), "", 'Data Entry'!$ī$308)</f>
      </c>
      <c r="IB308">
        <f>IF(ISBLANK('Data Entry'!$Ĭ$308), "", 'Data Entry'!$Ĭ$308)</f>
      </c>
      <c r="IC308">
        <f>IF(ISBLANK('Data Entry'!$ĭ$308), "", 'Data Entry'!$ĭ$308)</f>
      </c>
      <c r="ID308">
        <f>IF(ISBLANK('Data Entry'!$Į$308), "", 'Data Entry'!$Į$308)</f>
      </c>
      <c r="IE308">
        <f>IF(ISBLANK('Data Entry'!$į$308), "", 'Data Entry'!$į$308)</f>
      </c>
      <c r="IF308">
        <f>IF(ISBLANK('Data Entry'!$İ$308), "", 'Data Entry'!$İ$308)</f>
      </c>
      <c r="IG308">
        <f>IF(ISBLANK('Data Entry'!$ı$308), "", 'Data Entry'!$ı$308)</f>
      </c>
      <c r="IH308">
        <f>IF(ISBLANK('Data Entry'!$Ĳ$308), "", 'Data Entry'!$Ĳ$308)</f>
      </c>
      <c r="II308">
        <f>IF(ISBLANK('Data Entry'!$ĳ$308), "", 'Data Entry'!$ĳ$308)</f>
      </c>
      <c r="IJ308">
        <f>IF(ISBLANK('Data Entry'!$Ĵ$308), "", 'Data Entry'!$Ĵ$308)</f>
      </c>
      <c r="IK308">
        <f>IF(ISBLANK('Data Entry'!$ĵ$308), "", 'Data Entry'!$ĵ$308)</f>
      </c>
      <c r="IL308">
        <f>IF(ISBLANK('Data Entry'!$Ķ$308), "", 'Data Entry'!$Ķ$308)</f>
      </c>
      <c r="IM308">
        <f>IF(ISBLANK('Data Entry'!$ķ$308), "", 'Data Entry'!$ķ$308)</f>
      </c>
      <c r="IN308">
        <f>IF(ISBLANK('Data Entry'!$ĸ$308), "", 'Data Entry'!$ĸ$308)</f>
      </c>
      <c r="IO308">
        <f>IF(ISBLANK('Data Entry'!$Ĺ$308), "", 'Data Entry'!$Ĺ$308)</f>
      </c>
      <c r="IP308">
        <f>IF(ISBLANK('Data Entry'!$ĺ$308), "", 'Data Entry'!$ĺ$308)</f>
      </c>
      <c r="IQ308">
        <f>IF(ISBLANK('Data Entry'!$Ļ$308), "", 'Data Entry'!$Ļ$308)</f>
      </c>
      <c r="IR308">
        <f>IF(ISBLANK('Data Entry'!$ļ$308), "", 'Data Entry'!$ļ$308)</f>
      </c>
      <c r="IS308">
        <f>IF(ISBLANK('Data Entry'!$Ľ$308), "", 'Data Entry'!$Ľ$308)</f>
      </c>
      <c r="IT308">
        <f>IF(ISBLANK('Data Entry'!$ľ$308), "", 'Data Entry'!$ľ$308)</f>
      </c>
    </row>
    <row r="309" spans="1:254" x14ac:dyDescent="0.25">
      <c r="A309">
        <f>IF(ISBLANK('Data Entry'!$A$309), "", 'Data Entry'!$A$309)</f>
      </c>
      <c r="B309">
        <f>IF(ISBLANK('Data Entry'!$B$309), "", 'Data Entry'!$B$309)</f>
      </c>
      <c r="C309">
        <f>IF(ISBLANK('Data Entry'!$C$309), "", 'Data Entry'!$C$309)</f>
      </c>
      <c r="D309">
        <f>IF(ISBLANK('Data Entry'!$D$309), "", 'Data Entry'!$D$309)</f>
      </c>
      <c r="E309">
        <f>IF(ISBLANK('Data Entry'!$E$309), "", 'Data Entry'!$E$309)</f>
      </c>
      <c r="F309">
        <f>IF(ISBLANK('Data Entry'!$F$309), "", 'Data Entry'!$F$309)</f>
      </c>
      <c r="G309">
        <f>IF(ISBLANK('Data Entry'!$G$309), "", 'Data Entry'!$G$309)</f>
      </c>
      <c r="H309">
        <f>IF(ISBLANK('Data Entry'!$H$309), "", 'Data Entry'!$H$309)</f>
      </c>
      <c r="I309">
        <f>IF(ISBLANK('Data Entry'!$I$309), "", 'Data Entry'!$I$309)</f>
      </c>
      <c r="J309">
        <f>IF(ISBLANK('Data Entry'!$J$309), "", 'Data Entry'!$J$309)</f>
      </c>
      <c r="K309">
        <f>IF(ISBLANK('Data Entry'!$K$309), "", 'Data Entry'!$K$309)</f>
      </c>
      <c r="L309">
        <f>IF(ISBLANK('Data Entry'!$L$309), "", 'Data Entry'!$L$309)</f>
      </c>
      <c r="M309">
        <f>IF(ISBLANK('Data Entry'!$M$309), "", 'Data Entry'!$M$309)</f>
      </c>
      <c r="N309">
        <f>IF(ISBLANK('Data Entry'!$N$309), "", 'Data Entry'!$N$309)</f>
      </c>
      <c r="O309">
        <f>IF(ISBLANK('Data Entry'!$O$309), "", 'Data Entry'!$O$309)</f>
      </c>
      <c r="P309">
        <f>IF(ISBLANK('Data Entry'!$P$309), "", 'Data Entry'!$P$309)</f>
      </c>
      <c r="Q309">
        <f>IF(ISBLANK('Data Entry'!$Q$309), "", 'Data Entry'!$Q$309)</f>
      </c>
      <c r="R309">
        <f>IF(ISBLANK('Data Entry'!$R$309), "", 'Data Entry'!$R$309)</f>
      </c>
      <c r="S309">
        <f>IF(ISBLANK('Data Entry'!$S$309), "", 'Data Entry'!$S$309)</f>
      </c>
      <c r="T309">
        <f>IF(ISBLANK('Data Entry'!$T$309), "", 'Data Entry'!$T$309)</f>
      </c>
      <c r="U309">
        <f>IF(ISBLANK('Data Entry'!$U$309), "", 'Data Entry'!$U$309)</f>
      </c>
      <c r="V309">
        <f>IF(ISBLANK('Data Entry'!$V$309), "", 'Data Entry'!$V$309)</f>
      </c>
      <c r="W309">
        <f>IF(ISBLANK('Data Entry'!$W$309), "", 'Data Entry'!$W$309)</f>
      </c>
      <c r="X309">
        <f>IF(ISBLANK('Data Entry'!$X$309), "", 'Data Entry'!$X$309)</f>
      </c>
      <c r="Y309">
        <f>IF(ISBLANK('Data Entry'!$Y$309), "", 'Data Entry'!$Y$309)</f>
      </c>
      <c r="Z309">
        <f>IF(ISBLANK('Data Entry'!$Z$309), "", 'Data Entry'!$Z$309)</f>
      </c>
      <c r="AA309">
        <f>IF(ISBLANK('Data Entry'!$[$309), "", 'Data Entry'!$[$309)</f>
      </c>
      <c r="AB309">
        <f>IF(ISBLANK('Data Entry'!$\$309), "", 'Data Entry'!$\$309)</f>
      </c>
      <c r="AC309">
        <f>IF(ISBLANK('Data Entry'!$]$309), "", 'Data Entry'!$]$309)</f>
      </c>
      <c r="AD309">
        <f>IF(ISBLANK('Data Entry'!$^$309), "", 'Data Entry'!$^$309)</f>
      </c>
      <c r="AE309">
        <f>IF(ISBLANK('Data Entry'!$_$309), "", 'Data Entry'!$_$309)</f>
      </c>
      <c r="AF309">
        <f>IF(ISBLANK('Data Entry'!$`$309), "", 'Data Entry'!$`$309)</f>
      </c>
      <c r="AG309">
        <f>IF(ISBLANK('Data Entry'!$a$309), "", 'Data Entry'!$a$309)</f>
      </c>
      <c r="AH309">
        <f>IF(ISBLANK('Data Entry'!$b$309), "", 'Data Entry'!$b$309)</f>
      </c>
      <c r="AI309">
        <f>IF(ISBLANK('Data Entry'!$c$309), "", 'Data Entry'!$c$309)</f>
      </c>
      <c r="AJ309">
        <f>IF(ISBLANK('Data Entry'!$d$309), "", 'Data Entry'!$d$309)</f>
      </c>
      <c r="AK309">
        <f>IF(ISBLANK('Data Entry'!$e$309), "", 'Data Entry'!$e$309)</f>
      </c>
      <c r="AL309">
        <f>IF(ISBLANK('Data Entry'!$f$309), "", 'Data Entry'!$f$309)</f>
      </c>
      <c r="AM309">
        <f>IF(ISBLANK('Data Entry'!$g$309), "", 'Data Entry'!$g$309)</f>
      </c>
      <c r="AN309">
        <f>IF(ISBLANK('Data Entry'!$h$309), "", 'Data Entry'!$h$309)</f>
      </c>
      <c r="AO309">
        <f>IF(ISBLANK('Data Entry'!$i$309), "", 'Data Entry'!$i$309)</f>
      </c>
      <c r="AP309">
        <f>IF(ISBLANK('Data Entry'!$j$309), "", 'Data Entry'!$j$309)</f>
      </c>
      <c r="AQ309">
        <f>IF(ISBLANK('Data Entry'!$k$309), "", 'Data Entry'!$k$309)</f>
      </c>
      <c r="AR309">
        <f>IF(ISBLANK('Data Entry'!$l$309), "", 'Data Entry'!$l$309)</f>
      </c>
      <c r="AS309">
        <f>IF(ISBLANK('Data Entry'!$m$309), "", 'Data Entry'!$m$309)</f>
      </c>
      <c r="AT309">
        <f>IF(ISBLANK('Data Entry'!$n$309), "", 'Data Entry'!$n$309)</f>
      </c>
      <c r="AU309">
        <f>IF(ISBLANK('Data Entry'!$o$309), "", 'Data Entry'!$o$309)</f>
      </c>
      <c r="AV309">
        <f>IF(ISBLANK('Data Entry'!$p$309), "", 'Data Entry'!$p$309)</f>
      </c>
      <c r="AW309">
        <f>IF(ISBLANK('Data Entry'!$q$309), "", 'Data Entry'!$q$309)</f>
      </c>
      <c r="AX309">
        <f>IF(ISBLANK('Data Entry'!$r$309), "", 'Data Entry'!$r$309)</f>
      </c>
      <c r="AY309">
        <f>IF(ISBLANK('Data Entry'!$s$309), "", 'Data Entry'!$s$309)</f>
      </c>
      <c r="AZ309">
        <f>IF(ISBLANK('Data Entry'!$t$309), "", 'Data Entry'!$t$309)</f>
      </c>
      <c r="BA309">
        <f>IF(ISBLANK('Data Entry'!$u$309), "", 'Data Entry'!$u$309)</f>
      </c>
      <c r="BB309">
        <f>IF(ISBLANK('Data Entry'!$v$309), "", 'Data Entry'!$v$309)</f>
      </c>
      <c r="BC309">
        <f>IF(ISBLANK('Data Entry'!$w$309), "", 'Data Entry'!$w$309)</f>
      </c>
      <c r="BD309">
        <f>IF(ISBLANK('Data Entry'!$x$309), "", 'Data Entry'!$x$309)</f>
      </c>
      <c r="BE309">
        <f>IF(ISBLANK('Data Entry'!$y$309), "", 'Data Entry'!$y$309)</f>
      </c>
      <c r="BF309">
        <f>IF(ISBLANK('Data Entry'!$z$309), "", 'Data Entry'!$z$309)</f>
      </c>
      <c r="BG309">
        <f>IF(ISBLANK('Data Entry'!${$309), "", 'Data Entry'!${$309)</f>
      </c>
      <c r="BH309">
        <f>IF(ISBLANK('Data Entry'!$|$309), "", 'Data Entry'!$|$309)</f>
      </c>
      <c r="BI309">
        <f>IF(ISBLANK('Data Entry'!$}$309), "", 'Data Entry'!$}$309)</f>
      </c>
      <c r="BJ309">
        <f>IF(ISBLANK('Data Entry'!$~$309), "", 'Data Entry'!$~$309)</f>
      </c>
      <c r="BK309">
        <f>IF(ISBLANK('Data Entry'!$$309), "", 'Data Entry'!$$309)</f>
      </c>
      <c r="BL309">
        <f>IF(ISBLANK('Data Entry'!$$309), "", 'Data Entry'!$$309)</f>
      </c>
      <c r="BM309">
        <f>IF(ISBLANK('Data Entry'!$$309), "", 'Data Entry'!$$309)</f>
      </c>
      <c r="BN309">
        <f>IF(ISBLANK('Data Entry'!$$309), "", 'Data Entry'!$$309)</f>
      </c>
      <c r="BO309">
        <f>IF(ISBLANK('Data Entry'!$$309), "", 'Data Entry'!$$309)</f>
      </c>
      <c r="BP309">
        <f>IF(ISBLANK('Data Entry'!$$309), "", 'Data Entry'!$$309)</f>
      </c>
      <c r="BQ309">
        <f>IF(ISBLANK('Data Entry'!$$309), "", 'Data Entry'!$$309)</f>
      </c>
      <c r="BR309">
        <f>IF(ISBLANK('Data Entry'!$$309), "", 'Data Entry'!$$309)</f>
      </c>
      <c r="BS309">
        <f>IF(ISBLANK('Data Entry'!$$309), "", 'Data Entry'!$$309)</f>
      </c>
      <c r="BT309">
        <f>IF(ISBLANK('Data Entry'!$$309), "", 'Data Entry'!$$309)</f>
      </c>
      <c r="BU309">
        <f>IF(ISBLANK('Data Entry'!$$309), "", 'Data Entry'!$$309)</f>
      </c>
      <c r="BV309">
        <f>IF(ISBLANK('Data Entry'!$$309), "", 'Data Entry'!$$309)</f>
      </c>
      <c r="BW309">
        <f>IF(ISBLANK('Data Entry'!$$309), "", 'Data Entry'!$$309)</f>
      </c>
      <c r="BX309">
        <f>IF(ISBLANK('Data Entry'!$$309), "", 'Data Entry'!$$309)</f>
      </c>
      <c r="BY309">
        <f>IF(ISBLANK('Data Entry'!$$309), "", 'Data Entry'!$$309)</f>
      </c>
      <c r="BZ309">
        <f>IF(ISBLANK('Data Entry'!$$309), "", 'Data Entry'!$$309)</f>
      </c>
      <c r="CA309">
        <f>IF(ISBLANK('Data Entry'!$$309), "", 'Data Entry'!$$309)</f>
      </c>
      <c r="CB309">
        <f>IF(ISBLANK('Data Entry'!$$309), "", 'Data Entry'!$$309)</f>
      </c>
      <c r="CC309">
        <f>IF(ISBLANK('Data Entry'!$$309), "", 'Data Entry'!$$309)</f>
      </c>
      <c r="CD309">
        <f>IF(ISBLANK('Data Entry'!$$309), "", 'Data Entry'!$$309)</f>
      </c>
      <c r="CE309">
        <f>IF(ISBLANK('Data Entry'!$$309), "", 'Data Entry'!$$309)</f>
      </c>
      <c r="CF309">
        <f>IF(ISBLANK('Data Entry'!$$309), "", 'Data Entry'!$$309)</f>
      </c>
      <c r="CG309">
        <f>IF(ISBLANK('Data Entry'!$$309), "", 'Data Entry'!$$309)</f>
      </c>
      <c r="CH309">
        <f>IF(ISBLANK('Data Entry'!$$309), "", 'Data Entry'!$$309)</f>
      </c>
      <c r="CI309">
        <f>IF(ISBLANK('Data Entry'!$$309), "", 'Data Entry'!$$309)</f>
      </c>
      <c r="CJ309">
        <f>IF(ISBLANK('Data Entry'!$$309), "", 'Data Entry'!$$309)</f>
      </c>
      <c r="CK309">
        <f>IF(ISBLANK('Data Entry'!$$309), "", 'Data Entry'!$$309)</f>
      </c>
      <c r="CL309">
        <f>IF(ISBLANK('Data Entry'!$$309), "", 'Data Entry'!$$309)</f>
      </c>
      <c r="CM309">
        <f>IF(ISBLANK('Data Entry'!$$309), "", 'Data Entry'!$$309)</f>
      </c>
      <c r="CN309">
        <f>IF(ISBLANK('Data Entry'!$$309), "", 'Data Entry'!$$309)</f>
      </c>
      <c r="CO309">
        <f>IF(ISBLANK('Data Entry'!$$309), "", 'Data Entry'!$$309)</f>
      </c>
      <c r="CP309">
        <f>IF(ISBLANK('Data Entry'!$$309), "", 'Data Entry'!$$309)</f>
      </c>
      <c r="CQ309">
        <f>IF(ISBLANK('Data Entry'!$$309), "", 'Data Entry'!$$309)</f>
      </c>
      <c r="CR309">
        <f>IF(ISBLANK('Data Entry'!$ $309), "", 'Data Entry'!$ $309)</f>
      </c>
      <c r="CS309">
        <f>IF(ISBLANK('Data Entry'!$¡$309), "", 'Data Entry'!$¡$309)</f>
      </c>
      <c r="CT309">
        <f>IF(ISBLANK('Data Entry'!$¢$309), "", 'Data Entry'!$¢$309)</f>
      </c>
      <c r="CU309">
        <f>IF(ISBLANK('Data Entry'!$£$309), "", 'Data Entry'!$£$309)</f>
      </c>
      <c r="CV309">
        <f>IF(ISBLANK('Data Entry'!$¤$309), "", 'Data Entry'!$¤$309)</f>
      </c>
      <c r="CW309">
        <f>IF(ISBLANK('Data Entry'!$¥$309), "", 'Data Entry'!$¥$309)</f>
      </c>
      <c r="CX309">
        <f>IF(ISBLANK('Data Entry'!$¦$309), "", 'Data Entry'!$¦$309)</f>
      </c>
      <c r="CY309">
        <f>IF(ISBLANK('Data Entry'!$§$309), "", 'Data Entry'!$§$309)</f>
      </c>
      <c r="CZ309">
        <f>IF(ISBLANK('Data Entry'!$¨$309), "", 'Data Entry'!$¨$309)</f>
      </c>
      <c r="DA309">
        <f>IF(ISBLANK('Data Entry'!$©$309), "", 'Data Entry'!$©$309)</f>
      </c>
      <c r="DB309">
        <f>IF(ISBLANK('Data Entry'!$ª$309), "", 'Data Entry'!$ª$309)</f>
      </c>
      <c r="DC309">
        <f>IF(ISBLANK('Data Entry'!$«$309), "", 'Data Entry'!$«$309)</f>
      </c>
      <c r="DD309">
        <f>IF(ISBLANK('Data Entry'!$¬$309), "", 'Data Entry'!$¬$309)</f>
      </c>
      <c r="DE309">
        <f>IF(ISBLANK('Data Entry'!$­$309), "", 'Data Entry'!$­$309)</f>
      </c>
      <c r="DF309">
        <f>IF(ISBLANK('Data Entry'!$®$309), "", 'Data Entry'!$®$309)</f>
      </c>
      <c r="DG309">
        <f>IF(ISBLANK('Data Entry'!$¯$309), "", 'Data Entry'!$¯$309)</f>
      </c>
      <c r="DH309">
        <f>IF(ISBLANK('Data Entry'!$°$309), "", 'Data Entry'!$°$309)</f>
      </c>
      <c r="DI309">
        <f>IF(ISBLANK('Data Entry'!$±$309), "", 'Data Entry'!$±$309)</f>
      </c>
      <c r="DJ309">
        <f>IF(ISBLANK('Data Entry'!$²$309), "", 'Data Entry'!$²$309)</f>
      </c>
      <c r="DK309">
        <f>IF(ISBLANK('Data Entry'!$³$309), "", 'Data Entry'!$³$309)</f>
      </c>
      <c r="DL309">
        <f>IF(ISBLANK('Data Entry'!$´$309), "", 'Data Entry'!$´$309)</f>
      </c>
      <c r="DM309">
        <f>IF(ISBLANK('Data Entry'!$µ$309), "", 'Data Entry'!$µ$309)</f>
      </c>
      <c r="DN309">
        <f>IF(ISBLANK('Data Entry'!$¶$309), "", 'Data Entry'!$¶$309)</f>
      </c>
      <c r="DO309">
        <f>IF(ISBLANK('Data Entry'!$·$309), "", 'Data Entry'!$·$309)</f>
      </c>
      <c r="DP309">
        <f>IF(ISBLANK('Data Entry'!$¸$309), "", 'Data Entry'!$¸$309)</f>
      </c>
      <c r="DQ309">
        <f>IF(ISBLANK('Data Entry'!$¹$309), "", 'Data Entry'!$¹$309)</f>
      </c>
      <c r="DR309">
        <f>IF(ISBLANK('Data Entry'!$º$309), "", 'Data Entry'!$º$309)</f>
      </c>
      <c r="DS309">
        <f>IF(ISBLANK('Data Entry'!$»$309), "", 'Data Entry'!$»$309)</f>
      </c>
      <c r="DT309">
        <f>IF(ISBLANK('Data Entry'!$¼$309), "", 'Data Entry'!$¼$309)</f>
      </c>
      <c r="DU309">
        <f>IF(ISBLANK('Data Entry'!$½$309), "", 'Data Entry'!$½$309)</f>
      </c>
      <c r="DV309">
        <f>IF(ISBLANK('Data Entry'!$¾$309), "", 'Data Entry'!$¾$309)</f>
      </c>
      <c r="DW309">
        <f>IF(ISBLANK('Data Entry'!$¿$309), "", 'Data Entry'!$¿$309)</f>
      </c>
      <c r="DX309">
        <f>IF(ISBLANK('Data Entry'!$À$309), "", 'Data Entry'!$À$309)</f>
      </c>
      <c r="DY309">
        <f>IF(ISBLANK('Data Entry'!$Á$309), "", 'Data Entry'!$Á$309)</f>
      </c>
      <c r="DZ309">
        <f>IF(ISBLANK('Data Entry'!$Â$309), "", 'Data Entry'!$Â$309)</f>
      </c>
      <c r="EA309">
        <f>IF(ISBLANK('Data Entry'!$Ã$309), "", 'Data Entry'!$Ã$309)</f>
      </c>
      <c r="EB309">
        <f>IF(ISBLANK('Data Entry'!$Ä$309), "", 'Data Entry'!$Ä$309)</f>
      </c>
      <c r="EC309">
        <f>IF(ISBLANK('Data Entry'!$Å$309), "", 'Data Entry'!$Å$309)</f>
      </c>
      <c r="ED309">
        <f>IF(ISBLANK('Data Entry'!$Æ$309), "", 'Data Entry'!$Æ$309)</f>
      </c>
      <c r="EE309">
        <f>IF(ISBLANK('Data Entry'!$Ç$309), "", 'Data Entry'!$Ç$309)</f>
      </c>
      <c r="EF309">
        <f>IF(ISBLANK('Data Entry'!$È$309), "", 'Data Entry'!$È$309)</f>
      </c>
      <c r="EG309">
        <f>IF(ISBLANK('Data Entry'!$É$309), "", 'Data Entry'!$É$309)</f>
      </c>
      <c r="EH309">
        <f>IF(ISBLANK('Data Entry'!$Ê$309), "", 'Data Entry'!$Ê$309)</f>
      </c>
      <c r="EI309">
        <f>IF(ISBLANK('Data Entry'!$Ë$309), "", 'Data Entry'!$Ë$309)</f>
      </c>
      <c r="EJ309">
        <f>IF(ISBLANK('Data Entry'!$Ì$309), "", 'Data Entry'!$Ì$309)</f>
      </c>
      <c r="EK309">
        <f>IF(ISBLANK('Data Entry'!$Í$309), "", 'Data Entry'!$Í$309)</f>
      </c>
      <c r="EL309">
        <f>IF(ISBLANK('Data Entry'!$Î$309), "", 'Data Entry'!$Î$309)</f>
      </c>
      <c r="EM309">
        <f>IF(ISBLANK('Data Entry'!$Ï$309), "", 'Data Entry'!$Ï$309)</f>
      </c>
      <c r="EN309">
        <f>IF(ISBLANK('Data Entry'!$Ð$309), "", 'Data Entry'!$Ð$309)</f>
      </c>
      <c r="EO309">
        <f>IF(ISBLANK('Data Entry'!$Ñ$309), "", 'Data Entry'!$Ñ$309)</f>
      </c>
      <c r="EP309">
        <f>IF(ISBLANK('Data Entry'!$Ò$309), "", 'Data Entry'!$Ò$309)</f>
      </c>
      <c r="EQ309">
        <f>IF(ISBLANK('Data Entry'!$Ó$309), "", 'Data Entry'!$Ó$309)</f>
      </c>
      <c r="ER309">
        <f>IF(ISBLANK('Data Entry'!$Ô$309), "", 'Data Entry'!$Ô$309)</f>
      </c>
      <c r="ES309">
        <f>IF(ISBLANK('Data Entry'!$Õ$309), "", 'Data Entry'!$Õ$309)</f>
      </c>
      <c r="ET309">
        <f>IF(ISBLANK('Data Entry'!$Ö$309), "", 'Data Entry'!$Ö$309)</f>
      </c>
      <c r="EU309">
        <f>IF(ISBLANK('Data Entry'!$×$309), "", 'Data Entry'!$×$309)</f>
      </c>
      <c r="EV309">
        <f>IF(ISBLANK('Data Entry'!$Ø$309), "", 'Data Entry'!$Ø$309)</f>
      </c>
      <c r="EW309">
        <f>IF(ISBLANK('Data Entry'!$Ù$309), "", 'Data Entry'!$Ù$309)</f>
      </c>
      <c r="EX309">
        <f>IF(ISBLANK('Data Entry'!$Ú$309), "", 'Data Entry'!$Ú$309)</f>
      </c>
      <c r="EY309">
        <f>IF(ISBLANK('Data Entry'!$Û$309), "", 'Data Entry'!$Û$309)</f>
      </c>
      <c r="EZ309">
        <f>IF(ISBLANK('Data Entry'!$Ü$309), "", 'Data Entry'!$Ü$309)</f>
      </c>
      <c r="FA309">
        <f>IF(ISBLANK('Data Entry'!$Ý$309), "", 'Data Entry'!$Ý$309)</f>
      </c>
      <c r="FB309">
        <f>IF(ISBLANK('Data Entry'!$Þ$309), "", 'Data Entry'!$Þ$309)</f>
      </c>
      <c r="FC309">
        <f>IF(ISBLANK('Data Entry'!$ß$309), "", 'Data Entry'!$ß$309)</f>
      </c>
      <c r="FD309">
        <f>IF(ISBLANK('Data Entry'!$à$309), "", 'Data Entry'!$à$309)</f>
      </c>
      <c r="FE309">
        <f>IF(ISBLANK('Data Entry'!$á$309), "", 'Data Entry'!$á$309)</f>
      </c>
      <c r="FF309">
        <f>IF(ISBLANK('Data Entry'!$â$309), "", 'Data Entry'!$â$309)</f>
      </c>
      <c r="FG309">
        <f>IF(ISBLANK('Data Entry'!$ã$309), "", 'Data Entry'!$ã$309)</f>
      </c>
      <c r="FH309">
        <f>IF(ISBLANK('Data Entry'!$ä$309), "", 'Data Entry'!$ä$309)</f>
      </c>
      <c r="FI309">
        <f>IF(ISBLANK('Data Entry'!$å$309), "", 'Data Entry'!$å$309)</f>
      </c>
      <c r="FJ309">
        <f>IF(ISBLANK('Data Entry'!$æ$309), "", 'Data Entry'!$æ$309)</f>
      </c>
      <c r="FK309">
        <f>IF(ISBLANK('Data Entry'!$ç$309), "", 'Data Entry'!$ç$309)</f>
      </c>
      <c r="FL309">
        <f>IF(ISBLANK('Data Entry'!$è$309), "", 'Data Entry'!$è$309)</f>
      </c>
      <c r="FM309">
        <f>IF(ISBLANK('Data Entry'!$é$309), "", 'Data Entry'!$é$309)</f>
      </c>
      <c r="FN309">
        <f>IF(ISBLANK('Data Entry'!$ê$309), "", 'Data Entry'!$ê$309)</f>
      </c>
      <c r="FO309">
        <f>IF(ISBLANK('Data Entry'!$ë$309), "", 'Data Entry'!$ë$309)</f>
      </c>
      <c r="FP309">
        <f>IF(ISBLANK('Data Entry'!$ì$309), "", 'Data Entry'!$ì$309)</f>
      </c>
      <c r="FQ309">
        <f>IF(ISBLANK('Data Entry'!$í$309), "", 'Data Entry'!$í$309)</f>
      </c>
      <c r="FR309">
        <f>IF(ISBLANK('Data Entry'!$î$309), "", 'Data Entry'!$î$309)</f>
      </c>
      <c r="FS309">
        <f>IF(ISBLANK('Data Entry'!$ï$309), "", 'Data Entry'!$ï$309)</f>
      </c>
      <c r="FT309">
        <f>IF(ISBLANK('Data Entry'!$ð$309), "", 'Data Entry'!$ð$309)</f>
      </c>
      <c r="FU309">
        <f>IF(ISBLANK('Data Entry'!$ñ$309), "", 'Data Entry'!$ñ$309)</f>
      </c>
      <c r="FV309">
        <f>IF(ISBLANK('Data Entry'!$ò$309), "", 'Data Entry'!$ò$309)</f>
      </c>
      <c r="FW309">
        <f>IF(ISBLANK('Data Entry'!$ó$309), "", 'Data Entry'!$ó$309)</f>
      </c>
      <c r="FX309">
        <f>IF(ISBLANK('Data Entry'!$ô$309), "", 'Data Entry'!$ô$309)</f>
      </c>
      <c r="FY309">
        <f>IF(ISBLANK('Data Entry'!$õ$309), "", 'Data Entry'!$õ$309)</f>
      </c>
      <c r="FZ309">
        <f>IF(ISBLANK('Data Entry'!$ö$309), "", 'Data Entry'!$ö$309)</f>
      </c>
      <c r="GA309">
        <f>IF(ISBLANK('Data Entry'!$÷$309), "", 'Data Entry'!$÷$309)</f>
      </c>
      <c r="GB309">
        <f>IF(ISBLANK('Data Entry'!$ø$309), "", 'Data Entry'!$ø$309)</f>
      </c>
      <c r="GC309">
        <f>IF(ISBLANK('Data Entry'!$ù$309), "", 'Data Entry'!$ù$309)</f>
      </c>
      <c r="GD309">
        <f>IF(ISBLANK('Data Entry'!$ú$309), "", 'Data Entry'!$ú$309)</f>
      </c>
      <c r="GE309">
        <f>IF(ISBLANK('Data Entry'!$û$309), "", 'Data Entry'!$û$309)</f>
      </c>
      <c r="GF309">
        <f>IF(ISBLANK('Data Entry'!$ü$309), "", 'Data Entry'!$ü$309)</f>
      </c>
      <c r="GG309">
        <f>IF(ISBLANK('Data Entry'!$ý$309), "", 'Data Entry'!$ý$309)</f>
      </c>
      <c r="GH309">
        <f>IF(ISBLANK('Data Entry'!$þ$309), "", 'Data Entry'!$þ$309)</f>
      </c>
      <c r="GI309">
        <f>IF(ISBLANK('Data Entry'!$ÿ$309), "", 'Data Entry'!$ÿ$309)</f>
      </c>
      <c r="GJ309">
        <f>IF(ISBLANK('Data Entry'!$Ā$309), "", 'Data Entry'!$Ā$309)</f>
      </c>
      <c r="GK309">
        <f>IF(ISBLANK('Data Entry'!$ā$309), "", 'Data Entry'!$ā$309)</f>
      </c>
      <c r="GL309">
        <f>IF(ISBLANK('Data Entry'!$Ă$309), "", 'Data Entry'!$Ă$309)</f>
      </c>
      <c r="GM309">
        <f>IF(ISBLANK('Data Entry'!$ă$309), "", 'Data Entry'!$ă$309)</f>
      </c>
      <c r="GN309">
        <f>IF(ISBLANK('Data Entry'!$Ą$309), "", 'Data Entry'!$Ą$309)</f>
      </c>
      <c r="GO309">
        <f>IF(ISBLANK('Data Entry'!$ą$309), "", 'Data Entry'!$ą$309)</f>
      </c>
      <c r="GP309">
        <f>IF(ISBLANK('Data Entry'!$Ć$309), "", 'Data Entry'!$Ć$309)</f>
      </c>
      <c r="GQ309">
        <f>IF(ISBLANK('Data Entry'!$ć$309), "", 'Data Entry'!$ć$309)</f>
      </c>
      <c r="GR309">
        <f>IF(ISBLANK('Data Entry'!$Ĉ$309), "", 'Data Entry'!$Ĉ$309)</f>
      </c>
      <c r="GS309">
        <f>IF(ISBLANK('Data Entry'!$ĉ$309), "", 'Data Entry'!$ĉ$309)</f>
      </c>
      <c r="GT309">
        <f>IF(ISBLANK('Data Entry'!$Ċ$309), "", 'Data Entry'!$Ċ$309)</f>
      </c>
      <c r="GU309">
        <f>IF(ISBLANK('Data Entry'!$ċ$309), "", 'Data Entry'!$ċ$309)</f>
      </c>
      <c r="GV309">
        <f>IF(ISBLANK('Data Entry'!$Č$309), "", 'Data Entry'!$Č$309)</f>
      </c>
      <c r="GW309">
        <f>IF(ISBLANK('Data Entry'!$č$309), "", 'Data Entry'!$č$309)</f>
      </c>
      <c r="GX309">
        <f>IF(ISBLANK('Data Entry'!$Ď$309), "", 'Data Entry'!$Ď$309)</f>
      </c>
      <c r="GY309">
        <f>IF(ISBLANK('Data Entry'!$ď$309), "", 'Data Entry'!$ď$309)</f>
      </c>
      <c r="GZ309">
        <f>IF(ISBLANK('Data Entry'!$Đ$309), "", 'Data Entry'!$Đ$309)</f>
      </c>
      <c r="HA309">
        <f>IF(ISBLANK('Data Entry'!$đ$309), "", 'Data Entry'!$đ$309)</f>
      </c>
      <c r="HB309">
        <f>IF(ISBLANK('Data Entry'!$Ē$309), "", 'Data Entry'!$Ē$309)</f>
      </c>
      <c r="HC309">
        <f>IF(ISBLANK('Data Entry'!$ē$309), "", 'Data Entry'!$ē$309)</f>
      </c>
      <c r="HD309">
        <f>IF(ISBLANK('Data Entry'!$Ĕ$309), "", 'Data Entry'!$Ĕ$309)</f>
      </c>
      <c r="HE309">
        <f>IF(ISBLANK('Data Entry'!$ĕ$309), "", 'Data Entry'!$ĕ$309)</f>
      </c>
      <c r="HF309">
        <f>IF(ISBLANK('Data Entry'!$Ė$309), "", 'Data Entry'!$Ė$309)</f>
      </c>
      <c r="HG309">
        <f>IF(ISBLANK('Data Entry'!$ė$309), "", 'Data Entry'!$ė$309)</f>
      </c>
      <c r="HH309">
        <f>IF(ISBLANK('Data Entry'!$Ę$309), "", 'Data Entry'!$Ę$309)</f>
      </c>
      <c r="HI309">
        <f>IF(ISBLANK('Data Entry'!$ę$309), "", 'Data Entry'!$ę$309)</f>
      </c>
      <c r="HJ309">
        <f>IF(ISBLANK('Data Entry'!$Ě$309), "", 'Data Entry'!$Ě$309)</f>
      </c>
      <c r="HK309">
        <f>IF(ISBLANK('Data Entry'!$ě$309), "", 'Data Entry'!$ě$309)</f>
      </c>
      <c r="HL309">
        <f>IF(ISBLANK('Data Entry'!$Ĝ$309), "", 'Data Entry'!$Ĝ$309)</f>
      </c>
      <c r="HM309">
        <f>IF(ISBLANK('Data Entry'!$ĝ$309), "", 'Data Entry'!$ĝ$309)</f>
      </c>
      <c r="HN309">
        <f>IF(ISBLANK('Data Entry'!$Ğ$309), "", 'Data Entry'!$Ğ$309)</f>
      </c>
      <c r="HO309">
        <f>IF(ISBLANK('Data Entry'!$ğ$309), "", 'Data Entry'!$ğ$309)</f>
      </c>
      <c r="HP309">
        <f>IF(ISBLANK('Data Entry'!$Ġ$309), "", 'Data Entry'!$Ġ$309)</f>
      </c>
      <c r="HQ309">
        <f>IF(ISBLANK('Data Entry'!$ġ$309), "", 'Data Entry'!$ġ$309)</f>
      </c>
      <c r="HR309">
        <f>IF(ISBLANK('Data Entry'!$Ģ$309), "", 'Data Entry'!$Ģ$309)</f>
      </c>
      <c r="HS309">
        <f>IF(ISBLANK('Data Entry'!$ģ$309), "", 'Data Entry'!$ģ$309)</f>
      </c>
      <c r="HT309">
        <f>IF(ISBLANK('Data Entry'!$Ĥ$309), "", 'Data Entry'!$Ĥ$309)</f>
      </c>
      <c r="HU309">
        <f>IF(ISBLANK('Data Entry'!$ĥ$309), "", 'Data Entry'!$ĥ$309)</f>
      </c>
      <c r="HV309">
        <f>IF(ISBLANK('Data Entry'!$Ħ$309), "", 'Data Entry'!$Ħ$309)</f>
      </c>
      <c r="HW309">
        <f>IF(ISBLANK('Data Entry'!$ħ$309), "", 'Data Entry'!$ħ$309)</f>
      </c>
      <c r="HX309">
        <f>IF(ISBLANK('Data Entry'!$Ĩ$309), "", 'Data Entry'!$Ĩ$309)</f>
      </c>
      <c r="HY309">
        <f>IF(ISBLANK('Data Entry'!$ĩ$309), "", 'Data Entry'!$ĩ$309)</f>
      </c>
      <c r="HZ309">
        <f>IF(ISBLANK('Data Entry'!$Ī$309), "", 'Data Entry'!$Ī$309)</f>
      </c>
      <c r="IA309">
        <f>IF(ISBLANK('Data Entry'!$ī$309), "", 'Data Entry'!$ī$309)</f>
      </c>
      <c r="IB309">
        <f>IF(ISBLANK('Data Entry'!$Ĭ$309), "", 'Data Entry'!$Ĭ$309)</f>
      </c>
      <c r="IC309">
        <f>IF(ISBLANK('Data Entry'!$ĭ$309), "", 'Data Entry'!$ĭ$309)</f>
      </c>
      <c r="ID309">
        <f>IF(ISBLANK('Data Entry'!$Į$309), "", 'Data Entry'!$Į$309)</f>
      </c>
      <c r="IE309">
        <f>IF(ISBLANK('Data Entry'!$į$309), "", 'Data Entry'!$į$309)</f>
      </c>
      <c r="IF309">
        <f>IF(ISBLANK('Data Entry'!$İ$309), "", 'Data Entry'!$İ$309)</f>
      </c>
      <c r="IG309">
        <f>IF(ISBLANK('Data Entry'!$ı$309), "", 'Data Entry'!$ı$309)</f>
      </c>
      <c r="IH309">
        <f>IF(ISBLANK('Data Entry'!$Ĳ$309), "", 'Data Entry'!$Ĳ$309)</f>
      </c>
      <c r="II309">
        <f>IF(ISBLANK('Data Entry'!$ĳ$309), "", 'Data Entry'!$ĳ$309)</f>
      </c>
      <c r="IJ309">
        <f>IF(ISBLANK('Data Entry'!$Ĵ$309), "", 'Data Entry'!$Ĵ$309)</f>
      </c>
      <c r="IK309">
        <f>IF(ISBLANK('Data Entry'!$ĵ$309), "", 'Data Entry'!$ĵ$309)</f>
      </c>
      <c r="IL309">
        <f>IF(ISBLANK('Data Entry'!$Ķ$309), "", 'Data Entry'!$Ķ$309)</f>
      </c>
      <c r="IM309">
        <f>IF(ISBLANK('Data Entry'!$ķ$309), "", 'Data Entry'!$ķ$309)</f>
      </c>
      <c r="IN309">
        <f>IF(ISBLANK('Data Entry'!$ĸ$309), "", 'Data Entry'!$ĸ$309)</f>
      </c>
      <c r="IO309">
        <f>IF(ISBLANK('Data Entry'!$Ĺ$309), "", 'Data Entry'!$Ĺ$309)</f>
      </c>
      <c r="IP309">
        <f>IF(ISBLANK('Data Entry'!$ĺ$309), "", 'Data Entry'!$ĺ$309)</f>
      </c>
      <c r="IQ309">
        <f>IF(ISBLANK('Data Entry'!$Ļ$309), "", 'Data Entry'!$Ļ$309)</f>
      </c>
      <c r="IR309">
        <f>IF(ISBLANK('Data Entry'!$ļ$309), "", 'Data Entry'!$ļ$309)</f>
      </c>
      <c r="IS309">
        <f>IF(ISBLANK('Data Entry'!$Ľ$309), "", 'Data Entry'!$Ľ$309)</f>
      </c>
      <c r="IT309">
        <f>IF(ISBLANK('Data Entry'!$ľ$309), "", 'Data Entry'!$ľ$309)</f>
      </c>
    </row>
    <row r="310" spans="1:254" x14ac:dyDescent="0.25">
      <c r="A310">
        <f>IF(ISBLANK('Data Entry'!$A$310), "", 'Data Entry'!$A$310)</f>
      </c>
      <c r="B310">
        <f>IF(ISBLANK('Data Entry'!$B$310), "", 'Data Entry'!$B$310)</f>
      </c>
      <c r="C310">
        <f>IF(ISBLANK('Data Entry'!$C$310), "", 'Data Entry'!$C$310)</f>
      </c>
      <c r="D310">
        <f>IF(ISBLANK('Data Entry'!$D$310), "", 'Data Entry'!$D$310)</f>
      </c>
      <c r="E310">
        <f>IF(ISBLANK('Data Entry'!$E$310), "", 'Data Entry'!$E$310)</f>
      </c>
      <c r="F310">
        <f>IF(ISBLANK('Data Entry'!$F$310), "", 'Data Entry'!$F$310)</f>
      </c>
      <c r="G310">
        <f>IF(ISBLANK('Data Entry'!$G$310), "", 'Data Entry'!$G$310)</f>
      </c>
      <c r="H310">
        <f>IF(ISBLANK('Data Entry'!$H$310), "", 'Data Entry'!$H$310)</f>
      </c>
      <c r="I310">
        <f>IF(ISBLANK('Data Entry'!$I$310), "", 'Data Entry'!$I$310)</f>
      </c>
      <c r="J310">
        <f>IF(ISBLANK('Data Entry'!$J$310), "", 'Data Entry'!$J$310)</f>
      </c>
      <c r="K310">
        <f>IF(ISBLANK('Data Entry'!$K$310), "", 'Data Entry'!$K$310)</f>
      </c>
      <c r="L310">
        <f>IF(ISBLANK('Data Entry'!$L$310), "", 'Data Entry'!$L$310)</f>
      </c>
      <c r="M310">
        <f>IF(ISBLANK('Data Entry'!$M$310), "", 'Data Entry'!$M$310)</f>
      </c>
      <c r="N310">
        <f>IF(ISBLANK('Data Entry'!$N$310), "", 'Data Entry'!$N$310)</f>
      </c>
      <c r="O310">
        <f>IF(ISBLANK('Data Entry'!$O$310), "", 'Data Entry'!$O$310)</f>
      </c>
      <c r="P310">
        <f>IF(ISBLANK('Data Entry'!$P$310), "", 'Data Entry'!$P$310)</f>
      </c>
      <c r="Q310">
        <f>IF(ISBLANK('Data Entry'!$Q$310), "", 'Data Entry'!$Q$310)</f>
      </c>
      <c r="R310">
        <f>IF(ISBLANK('Data Entry'!$R$310), "", 'Data Entry'!$R$310)</f>
      </c>
      <c r="S310">
        <f>IF(ISBLANK('Data Entry'!$S$310), "", 'Data Entry'!$S$310)</f>
      </c>
      <c r="T310">
        <f>IF(ISBLANK('Data Entry'!$T$310), "", 'Data Entry'!$T$310)</f>
      </c>
      <c r="U310">
        <f>IF(ISBLANK('Data Entry'!$U$310), "", 'Data Entry'!$U$310)</f>
      </c>
      <c r="V310">
        <f>IF(ISBLANK('Data Entry'!$V$310), "", 'Data Entry'!$V$310)</f>
      </c>
      <c r="W310">
        <f>IF(ISBLANK('Data Entry'!$W$310), "", 'Data Entry'!$W$310)</f>
      </c>
      <c r="X310">
        <f>IF(ISBLANK('Data Entry'!$X$310), "", 'Data Entry'!$X$310)</f>
      </c>
      <c r="Y310">
        <f>IF(ISBLANK('Data Entry'!$Y$310), "", 'Data Entry'!$Y$310)</f>
      </c>
      <c r="Z310">
        <f>IF(ISBLANK('Data Entry'!$Z$310), "", 'Data Entry'!$Z$310)</f>
      </c>
      <c r="AA310">
        <f>IF(ISBLANK('Data Entry'!$[$310), "", 'Data Entry'!$[$310)</f>
      </c>
      <c r="AB310">
        <f>IF(ISBLANK('Data Entry'!$\$310), "", 'Data Entry'!$\$310)</f>
      </c>
      <c r="AC310">
        <f>IF(ISBLANK('Data Entry'!$]$310), "", 'Data Entry'!$]$310)</f>
      </c>
      <c r="AD310">
        <f>IF(ISBLANK('Data Entry'!$^$310), "", 'Data Entry'!$^$310)</f>
      </c>
      <c r="AE310">
        <f>IF(ISBLANK('Data Entry'!$_$310), "", 'Data Entry'!$_$310)</f>
      </c>
      <c r="AF310">
        <f>IF(ISBLANK('Data Entry'!$`$310), "", 'Data Entry'!$`$310)</f>
      </c>
      <c r="AG310">
        <f>IF(ISBLANK('Data Entry'!$a$310), "", 'Data Entry'!$a$310)</f>
      </c>
      <c r="AH310">
        <f>IF(ISBLANK('Data Entry'!$b$310), "", 'Data Entry'!$b$310)</f>
      </c>
      <c r="AI310">
        <f>IF(ISBLANK('Data Entry'!$c$310), "", 'Data Entry'!$c$310)</f>
      </c>
      <c r="AJ310">
        <f>IF(ISBLANK('Data Entry'!$d$310), "", 'Data Entry'!$d$310)</f>
      </c>
      <c r="AK310">
        <f>IF(ISBLANK('Data Entry'!$e$310), "", 'Data Entry'!$e$310)</f>
      </c>
      <c r="AL310">
        <f>IF(ISBLANK('Data Entry'!$f$310), "", 'Data Entry'!$f$310)</f>
      </c>
      <c r="AM310">
        <f>IF(ISBLANK('Data Entry'!$g$310), "", 'Data Entry'!$g$310)</f>
      </c>
      <c r="AN310">
        <f>IF(ISBLANK('Data Entry'!$h$310), "", 'Data Entry'!$h$310)</f>
      </c>
      <c r="AO310">
        <f>IF(ISBLANK('Data Entry'!$i$310), "", 'Data Entry'!$i$310)</f>
      </c>
      <c r="AP310">
        <f>IF(ISBLANK('Data Entry'!$j$310), "", 'Data Entry'!$j$310)</f>
      </c>
      <c r="AQ310">
        <f>IF(ISBLANK('Data Entry'!$k$310), "", 'Data Entry'!$k$310)</f>
      </c>
      <c r="AR310">
        <f>IF(ISBLANK('Data Entry'!$l$310), "", 'Data Entry'!$l$310)</f>
      </c>
      <c r="AS310">
        <f>IF(ISBLANK('Data Entry'!$m$310), "", 'Data Entry'!$m$310)</f>
      </c>
      <c r="AT310">
        <f>IF(ISBLANK('Data Entry'!$n$310), "", 'Data Entry'!$n$310)</f>
      </c>
      <c r="AU310">
        <f>IF(ISBLANK('Data Entry'!$o$310), "", 'Data Entry'!$o$310)</f>
      </c>
      <c r="AV310">
        <f>IF(ISBLANK('Data Entry'!$p$310), "", 'Data Entry'!$p$310)</f>
      </c>
      <c r="AW310">
        <f>IF(ISBLANK('Data Entry'!$q$310), "", 'Data Entry'!$q$310)</f>
      </c>
      <c r="AX310">
        <f>IF(ISBLANK('Data Entry'!$r$310), "", 'Data Entry'!$r$310)</f>
      </c>
      <c r="AY310">
        <f>IF(ISBLANK('Data Entry'!$s$310), "", 'Data Entry'!$s$310)</f>
      </c>
      <c r="AZ310">
        <f>IF(ISBLANK('Data Entry'!$t$310), "", 'Data Entry'!$t$310)</f>
      </c>
      <c r="BA310">
        <f>IF(ISBLANK('Data Entry'!$u$310), "", 'Data Entry'!$u$310)</f>
      </c>
      <c r="BB310">
        <f>IF(ISBLANK('Data Entry'!$v$310), "", 'Data Entry'!$v$310)</f>
      </c>
      <c r="BC310">
        <f>IF(ISBLANK('Data Entry'!$w$310), "", 'Data Entry'!$w$310)</f>
      </c>
      <c r="BD310">
        <f>IF(ISBLANK('Data Entry'!$x$310), "", 'Data Entry'!$x$310)</f>
      </c>
      <c r="BE310">
        <f>IF(ISBLANK('Data Entry'!$y$310), "", 'Data Entry'!$y$310)</f>
      </c>
      <c r="BF310">
        <f>IF(ISBLANK('Data Entry'!$z$310), "", 'Data Entry'!$z$310)</f>
      </c>
      <c r="BG310">
        <f>IF(ISBLANK('Data Entry'!${$310), "", 'Data Entry'!${$310)</f>
      </c>
      <c r="BH310">
        <f>IF(ISBLANK('Data Entry'!$|$310), "", 'Data Entry'!$|$310)</f>
      </c>
      <c r="BI310">
        <f>IF(ISBLANK('Data Entry'!$}$310), "", 'Data Entry'!$}$310)</f>
      </c>
      <c r="BJ310">
        <f>IF(ISBLANK('Data Entry'!$~$310), "", 'Data Entry'!$~$310)</f>
      </c>
      <c r="BK310">
        <f>IF(ISBLANK('Data Entry'!$$310), "", 'Data Entry'!$$310)</f>
      </c>
      <c r="BL310">
        <f>IF(ISBLANK('Data Entry'!$$310), "", 'Data Entry'!$$310)</f>
      </c>
      <c r="BM310">
        <f>IF(ISBLANK('Data Entry'!$$310), "", 'Data Entry'!$$310)</f>
      </c>
      <c r="BN310">
        <f>IF(ISBLANK('Data Entry'!$$310), "", 'Data Entry'!$$310)</f>
      </c>
      <c r="BO310">
        <f>IF(ISBLANK('Data Entry'!$$310), "", 'Data Entry'!$$310)</f>
      </c>
      <c r="BP310">
        <f>IF(ISBLANK('Data Entry'!$$310), "", 'Data Entry'!$$310)</f>
      </c>
      <c r="BQ310">
        <f>IF(ISBLANK('Data Entry'!$$310), "", 'Data Entry'!$$310)</f>
      </c>
      <c r="BR310">
        <f>IF(ISBLANK('Data Entry'!$$310), "", 'Data Entry'!$$310)</f>
      </c>
      <c r="BS310">
        <f>IF(ISBLANK('Data Entry'!$$310), "", 'Data Entry'!$$310)</f>
      </c>
      <c r="BT310">
        <f>IF(ISBLANK('Data Entry'!$$310), "", 'Data Entry'!$$310)</f>
      </c>
      <c r="BU310">
        <f>IF(ISBLANK('Data Entry'!$$310), "", 'Data Entry'!$$310)</f>
      </c>
      <c r="BV310">
        <f>IF(ISBLANK('Data Entry'!$$310), "", 'Data Entry'!$$310)</f>
      </c>
      <c r="BW310">
        <f>IF(ISBLANK('Data Entry'!$$310), "", 'Data Entry'!$$310)</f>
      </c>
      <c r="BX310">
        <f>IF(ISBLANK('Data Entry'!$$310), "", 'Data Entry'!$$310)</f>
      </c>
      <c r="BY310">
        <f>IF(ISBLANK('Data Entry'!$$310), "", 'Data Entry'!$$310)</f>
      </c>
      <c r="BZ310">
        <f>IF(ISBLANK('Data Entry'!$$310), "", 'Data Entry'!$$310)</f>
      </c>
      <c r="CA310">
        <f>IF(ISBLANK('Data Entry'!$$310), "", 'Data Entry'!$$310)</f>
      </c>
      <c r="CB310">
        <f>IF(ISBLANK('Data Entry'!$$310), "", 'Data Entry'!$$310)</f>
      </c>
      <c r="CC310">
        <f>IF(ISBLANK('Data Entry'!$$310), "", 'Data Entry'!$$310)</f>
      </c>
      <c r="CD310">
        <f>IF(ISBLANK('Data Entry'!$$310), "", 'Data Entry'!$$310)</f>
      </c>
      <c r="CE310">
        <f>IF(ISBLANK('Data Entry'!$$310), "", 'Data Entry'!$$310)</f>
      </c>
      <c r="CF310">
        <f>IF(ISBLANK('Data Entry'!$$310), "", 'Data Entry'!$$310)</f>
      </c>
      <c r="CG310">
        <f>IF(ISBLANK('Data Entry'!$$310), "", 'Data Entry'!$$310)</f>
      </c>
      <c r="CH310">
        <f>IF(ISBLANK('Data Entry'!$$310), "", 'Data Entry'!$$310)</f>
      </c>
      <c r="CI310">
        <f>IF(ISBLANK('Data Entry'!$$310), "", 'Data Entry'!$$310)</f>
      </c>
      <c r="CJ310">
        <f>IF(ISBLANK('Data Entry'!$$310), "", 'Data Entry'!$$310)</f>
      </c>
      <c r="CK310">
        <f>IF(ISBLANK('Data Entry'!$$310), "", 'Data Entry'!$$310)</f>
      </c>
      <c r="CL310">
        <f>IF(ISBLANK('Data Entry'!$$310), "", 'Data Entry'!$$310)</f>
      </c>
      <c r="CM310">
        <f>IF(ISBLANK('Data Entry'!$$310), "", 'Data Entry'!$$310)</f>
      </c>
      <c r="CN310">
        <f>IF(ISBLANK('Data Entry'!$$310), "", 'Data Entry'!$$310)</f>
      </c>
      <c r="CO310">
        <f>IF(ISBLANK('Data Entry'!$$310), "", 'Data Entry'!$$310)</f>
      </c>
      <c r="CP310">
        <f>IF(ISBLANK('Data Entry'!$$310), "", 'Data Entry'!$$310)</f>
      </c>
      <c r="CQ310">
        <f>IF(ISBLANK('Data Entry'!$$310), "", 'Data Entry'!$$310)</f>
      </c>
      <c r="CR310">
        <f>IF(ISBLANK('Data Entry'!$ $310), "", 'Data Entry'!$ $310)</f>
      </c>
      <c r="CS310">
        <f>IF(ISBLANK('Data Entry'!$¡$310), "", 'Data Entry'!$¡$310)</f>
      </c>
      <c r="CT310">
        <f>IF(ISBLANK('Data Entry'!$¢$310), "", 'Data Entry'!$¢$310)</f>
      </c>
      <c r="CU310">
        <f>IF(ISBLANK('Data Entry'!$£$310), "", 'Data Entry'!$£$310)</f>
      </c>
      <c r="CV310">
        <f>IF(ISBLANK('Data Entry'!$¤$310), "", 'Data Entry'!$¤$310)</f>
      </c>
      <c r="CW310">
        <f>IF(ISBLANK('Data Entry'!$¥$310), "", 'Data Entry'!$¥$310)</f>
      </c>
      <c r="CX310">
        <f>IF(ISBLANK('Data Entry'!$¦$310), "", 'Data Entry'!$¦$310)</f>
      </c>
      <c r="CY310">
        <f>IF(ISBLANK('Data Entry'!$§$310), "", 'Data Entry'!$§$310)</f>
      </c>
      <c r="CZ310">
        <f>IF(ISBLANK('Data Entry'!$¨$310), "", 'Data Entry'!$¨$310)</f>
      </c>
      <c r="DA310">
        <f>IF(ISBLANK('Data Entry'!$©$310), "", 'Data Entry'!$©$310)</f>
      </c>
      <c r="DB310">
        <f>IF(ISBLANK('Data Entry'!$ª$310), "", 'Data Entry'!$ª$310)</f>
      </c>
      <c r="DC310">
        <f>IF(ISBLANK('Data Entry'!$«$310), "", 'Data Entry'!$«$310)</f>
      </c>
      <c r="DD310">
        <f>IF(ISBLANK('Data Entry'!$¬$310), "", 'Data Entry'!$¬$310)</f>
      </c>
      <c r="DE310">
        <f>IF(ISBLANK('Data Entry'!$­$310), "", 'Data Entry'!$­$310)</f>
      </c>
      <c r="DF310">
        <f>IF(ISBLANK('Data Entry'!$®$310), "", 'Data Entry'!$®$310)</f>
      </c>
      <c r="DG310">
        <f>IF(ISBLANK('Data Entry'!$¯$310), "", 'Data Entry'!$¯$310)</f>
      </c>
      <c r="DH310">
        <f>IF(ISBLANK('Data Entry'!$°$310), "", 'Data Entry'!$°$310)</f>
      </c>
      <c r="DI310">
        <f>IF(ISBLANK('Data Entry'!$±$310), "", 'Data Entry'!$±$310)</f>
      </c>
      <c r="DJ310">
        <f>IF(ISBLANK('Data Entry'!$²$310), "", 'Data Entry'!$²$310)</f>
      </c>
      <c r="DK310">
        <f>IF(ISBLANK('Data Entry'!$³$310), "", 'Data Entry'!$³$310)</f>
      </c>
      <c r="DL310">
        <f>IF(ISBLANK('Data Entry'!$´$310), "", 'Data Entry'!$´$310)</f>
      </c>
      <c r="DM310">
        <f>IF(ISBLANK('Data Entry'!$µ$310), "", 'Data Entry'!$µ$310)</f>
      </c>
      <c r="DN310">
        <f>IF(ISBLANK('Data Entry'!$¶$310), "", 'Data Entry'!$¶$310)</f>
      </c>
      <c r="DO310">
        <f>IF(ISBLANK('Data Entry'!$·$310), "", 'Data Entry'!$·$310)</f>
      </c>
      <c r="DP310">
        <f>IF(ISBLANK('Data Entry'!$¸$310), "", 'Data Entry'!$¸$310)</f>
      </c>
      <c r="DQ310">
        <f>IF(ISBLANK('Data Entry'!$¹$310), "", 'Data Entry'!$¹$310)</f>
      </c>
      <c r="DR310">
        <f>IF(ISBLANK('Data Entry'!$º$310), "", 'Data Entry'!$º$310)</f>
      </c>
      <c r="DS310">
        <f>IF(ISBLANK('Data Entry'!$»$310), "", 'Data Entry'!$»$310)</f>
      </c>
      <c r="DT310">
        <f>IF(ISBLANK('Data Entry'!$¼$310), "", 'Data Entry'!$¼$310)</f>
      </c>
      <c r="DU310">
        <f>IF(ISBLANK('Data Entry'!$½$310), "", 'Data Entry'!$½$310)</f>
      </c>
      <c r="DV310">
        <f>IF(ISBLANK('Data Entry'!$¾$310), "", 'Data Entry'!$¾$310)</f>
      </c>
      <c r="DW310">
        <f>IF(ISBLANK('Data Entry'!$¿$310), "", 'Data Entry'!$¿$310)</f>
      </c>
      <c r="DX310">
        <f>IF(ISBLANK('Data Entry'!$À$310), "", 'Data Entry'!$À$310)</f>
      </c>
      <c r="DY310">
        <f>IF(ISBLANK('Data Entry'!$Á$310), "", 'Data Entry'!$Á$310)</f>
      </c>
      <c r="DZ310">
        <f>IF(ISBLANK('Data Entry'!$Â$310), "", 'Data Entry'!$Â$310)</f>
      </c>
      <c r="EA310">
        <f>IF(ISBLANK('Data Entry'!$Ã$310), "", 'Data Entry'!$Ã$310)</f>
      </c>
      <c r="EB310">
        <f>IF(ISBLANK('Data Entry'!$Ä$310), "", 'Data Entry'!$Ä$310)</f>
      </c>
      <c r="EC310">
        <f>IF(ISBLANK('Data Entry'!$Å$310), "", 'Data Entry'!$Å$310)</f>
      </c>
      <c r="ED310">
        <f>IF(ISBLANK('Data Entry'!$Æ$310), "", 'Data Entry'!$Æ$310)</f>
      </c>
      <c r="EE310">
        <f>IF(ISBLANK('Data Entry'!$Ç$310), "", 'Data Entry'!$Ç$310)</f>
      </c>
      <c r="EF310">
        <f>IF(ISBLANK('Data Entry'!$È$310), "", 'Data Entry'!$È$310)</f>
      </c>
      <c r="EG310">
        <f>IF(ISBLANK('Data Entry'!$É$310), "", 'Data Entry'!$É$310)</f>
      </c>
      <c r="EH310">
        <f>IF(ISBLANK('Data Entry'!$Ê$310), "", 'Data Entry'!$Ê$310)</f>
      </c>
      <c r="EI310">
        <f>IF(ISBLANK('Data Entry'!$Ë$310), "", 'Data Entry'!$Ë$310)</f>
      </c>
      <c r="EJ310">
        <f>IF(ISBLANK('Data Entry'!$Ì$310), "", 'Data Entry'!$Ì$310)</f>
      </c>
      <c r="EK310">
        <f>IF(ISBLANK('Data Entry'!$Í$310), "", 'Data Entry'!$Í$310)</f>
      </c>
      <c r="EL310">
        <f>IF(ISBLANK('Data Entry'!$Î$310), "", 'Data Entry'!$Î$310)</f>
      </c>
      <c r="EM310">
        <f>IF(ISBLANK('Data Entry'!$Ï$310), "", 'Data Entry'!$Ï$310)</f>
      </c>
      <c r="EN310">
        <f>IF(ISBLANK('Data Entry'!$Ð$310), "", 'Data Entry'!$Ð$310)</f>
      </c>
      <c r="EO310">
        <f>IF(ISBLANK('Data Entry'!$Ñ$310), "", 'Data Entry'!$Ñ$310)</f>
      </c>
      <c r="EP310">
        <f>IF(ISBLANK('Data Entry'!$Ò$310), "", 'Data Entry'!$Ò$310)</f>
      </c>
      <c r="EQ310">
        <f>IF(ISBLANK('Data Entry'!$Ó$310), "", 'Data Entry'!$Ó$310)</f>
      </c>
      <c r="ER310">
        <f>IF(ISBLANK('Data Entry'!$Ô$310), "", 'Data Entry'!$Ô$310)</f>
      </c>
      <c r="ES310">
        <f>IF(ISBLANK('Data Entry'!$Õ$310), "", 'Data Entry'!$Õ$310)</f>
      </c>
      <c r="ET310">
        <f>IF(ISBLANK('Data Entry'!$Ö$310), "", 'Data Entry'!$Ö$310)</f>
      </c>
      <c r="EU310">
        <f>IF(ISBLANK('Data Entry'!$×$310), "", 'Data Entry'!$×$310)</f>
      </c>
      <c r="EV310">
        <f>IF(ISBLANK('Data Entry'!$Ø$310), "", 'Data Entry'!$Ø$310)</f>
      </c>
      <c r="EW310">
        <f>IF(ISBLANK('Data Entry'!$Ù$310), "", 'Data Entry'!$Ù$310)</f>
      </c>
      <c r="EX310">
        <f>IF(ISBLANK('Data Entry'!$Ú$310), "", 'Data Entry'!$Ú$310)</f>
      </c>
      <c r="EY310">
        <f>IF(ISBLANK('Data Entry'!$Û$310), "", 'Data Entry'!$Û$310)</f>
      </c>
      <c r="EZ310">
        <f>IF(ISBLANK('Data Entry'!$Ü$310), "", 'Data Entry'!$Ü$310)</f>
      </c>
      <c r="FA310">
        <f>IF(ISBLANK('Data Entry'!$Ý$310), "", 'Data Entry'!$Ý$310)</f>
      </c>
      <c r="FB310">
        <f>IF(ISBLANK('Data Entry'!$Þ$310), "", 'Data Entry'!$Þ$310)</f>
      </c>
      <c r="FC310">
        <f>IF(ISBLANK('Data Entry'!$ß$310), "", 'Data Entry'!$ß$310)</f>
      </c>
      <c r="FD310">
        <f>IF(ISBLANK('Data Entry'!$à$310), "", 'Data Entry'!$à$310)</f>
      </c>
      <c r="FE310">
        <f>IF(ISBLANK('Data Entry'!$á$310), "", 'Data Entry'!$á$310)</f>
      </c>
      <c r="FF310">
        <f>IF(ISBLANK('Data Entry'!$â$310), "", 'Data Entry'!$â$310)</f>
      </c>
      <c r="FG310">
        <f>IF(ISBLANK('Data Entry'!$ã$310), "", 'Data Entry'!$ã$310)</f>
      </c>
      <c r="FH310">
        <f>IF(ISBLANK('Data Entry'!$ä$310), "", 'Data Entry'!$ä$310)</f>
      </c>
      <c r="FI310">
        <f>IF(ISBLANK('Data Entry'!$å$310), "", 'Data Entry'!$å$310)</f>
      </c>
      <c r="FJ310">
        <f>IF(ISBLANK('Data Entry'!$æ$310), "", 'Data Entry'!$æ$310)</f>
      </c>
      <c r="FK310">
        <f>IF(ISBLANK('Data Entry'!$ç$310), "", 'Data Entry'!$ç$310)</f>
      </c>
      <c r="FL310">
        <f>IF(ISBLANK('Data Entry'!$è$310), "", 'Data Entry'!$è$310)</f>
      </c>
      <c r="FM310">
        <f>IF(ISBLANK('Data Entry'!$é$310), "", 'Data Entry'!$é$310)</f>
      </c>
      <c r="FN310">
        <f>IF(ISBLANK('Data Entry'!$ê$310), "", 'Data Entry'!$ê$310)</f>
      </c>
      <c r="FO310">
        <f>IF(ISBLANK('Data Entry'!$ë$310), "", 'Data Entry'!$ë$310)</f>
      </c>
      <c r="FP310">
        <f>IF(ISBLANK('Data Entry'!$ì$310), "", 'Data Entry'!$ì$310)</f>
      </c>
      <c r="FQ310">
        <f>IF(ISBLANK('Data Entry'!$í$310), "", 'Data Entry'!$í$310)</f>
      </c>
      <c r="FR310">
        <f>IF(ISBLANK('Data Entry'!$î$310), "", 'Data Entry'!$î$310)</f>
      </c>
      <c r="FS310">
        <f>IF(ISBLANK('Data Entry'!$ï$310), "", 'Data Entry'!$ï$310)</f>
      </c>
      <c r="FT310">
        <f>IF(ISBLANK('Data Entry'!$ð$310), "", 'Data Entry'!$ð$310)</f>
      </c>
      <c r="FU310">
        <f>IF(ISBLANK('Data Entry'!$ñ$310), "", 'Data Entry'!$ñ$310)</f>
      </c>
      <c r="FV310">
        <f>IF(ISBLANK('Data Entry'!$ò$310), "", 'Data Entry'!$ò$310)</f>
      </c>
      <c r="FW310">
        <f>IF(ISBLANK('Data Entry'!$ó$310), "", 'Data Entry'!$ó$310)</f>
      </c>
      <c r="FX310">
        <f>IF(ISBLANK('Data Entry'!$ô$310), "", 'Data Entry'!$ô$310)</f>
      </c>
      <c r="FY310">
        <f>IF(ISBLANK('Data Entry'!$õ$310), "", 'Data Entry'!$õ$310)</f>
      </c>
      <c r="FZ310">
        <f>IF(ISBLANK('Data Entry'!$ö$310), "", 'Data Entry'!$ö$310)</f>
      </c>
      <c r="GA310">
        <f>IF(ISBLANK('Data Entry'!$÷$310), "", 'Data Entry'!$÷$310)</f>
      </c>
      <c r="GB310">
        <f>IF(ISBLANK('Data Entry'!$ø$310), "", 'Data Entry'!$ø$310)</f>
      </c>
      <c r="GC310">
        <f>IF(ISBLANK('Data Entry'!$ù$310), "", 'Data Entry'!$ù$310)</f>
      </c>
      <c r="GD310">
        <f>IF(ISBLANK('Data Entry'!$ú$310), "", 'Data Entry'!$ú$310)</f>
      </c>
      <c r="GE310">
        <f>IF(ISBLANK('Data Entry'!$û$310), "", 'Data Entry'!$û$310)</f>
      </c>
      <c r="GF310">
        <f>IF(ISBLANK('Data Entry'!$ü$310), "", 'Data Entry'!$ü$310)</f>
      </c>
      <c r="GG310">
        <f>IF(ISBLANK('Data Entry'!$ý$310), "", 'Data Entry'!$ý$310)</f>
      </c>
      <c r="GH310">
        <f>IF(ISBLANK('Data Entry'!$þ$310), "", 'Data Entry'!$þ$310)</f>
      </c>
      <c r="GI310">
        <f>IF(ISBLANK('Data Entry'!$ÿ$310), "", 'Data Entry'!$ÿ$310)</f>
      </c>
      <c r="GJ310">
        <f>IF(ISBLANK('Data Entry'!$Ā$310), "", 'Data Entry'!$Ā$310)</f>
      </c>
      <c r="GK310">
        <f>IF(ISBLANK('Data Entry'!$ā$310), "", 'Data Entry'!$ā$310)</f>
      </c>
      <c r="GL310">
        <f>IF(ISBLANK('Data Entry'!$Ă$310), "", 'Data Entry'!$Ă$310)</f>
      </c>
      <c r="GM310">
        <f>IF(ISBLANK('Data Entry'!$ă$310), "", 'Data Entry'!$ă$310)</f>
      </c>
      <c r="GN310">
        <f>IF(ISBLANK('Data Entry'!$Ą$310), "", 'Data Entry'!$Ą$310)</f>
      </c>
      <c r="GO310">
        <f>IF(ISBLANK('Data Entry'!$ą$310), "", 'Data Entry'!$ą$310)</f>
      </c>
      <c r="GP310">
        <f>IF(ISBLANK('Data Entry'!$Ć$310), "", 'Data Entry'!$Ć$310)</f>
      </c>
      <c r="GQ310">
        <f>IF(ISBLANK('Data Entry'!$ć$310), "", 'Data Entry'!$ć$310)</f>
      </c>
      <c r="GR310">
        <f>IF(ISBLANK('Data Entry'!$Ĉ$310), "", 'Data Entry'!$Ĉ$310)</f>
      </c>
      <c r="GS310">
        <f>IF(ISBLANK('Data Entry'!$ĉ$310), "", 'Data Entry'!$ĉ$310)</f>
      </c>
      <c r="GT310">
        <f>IF(ISBLANK('Data Entry'!$Ċ$310), "", 'Data Entry'!$Ċ$310)</f>
      </c>
      <c r="GU310">
        <f>IF(ISBLANK('Data Entry'!$ċ$310), "", 'Data Entry'!$ċ$310)</f>
      </c>
      <c r="GV310">
        <f>IF(ISBLANK('Data Entry'!$Č$310), "", 'Data Entry'!$Č$310)</f>
      </c>
      <c r="GW310">
        <f>IF(ISBLANK('Data Entry'!$č$310), "", 'Data Entry'!$č$310)</f>
      </c>
      <c r="GX310">
        <f>IF(ISBLANK('Data Entry'!$Ď$310), "", 'Data Entry'!$Ď$310)</f>
      </c>
      <c r="GY310">
        <f>IF(ISBLANK('Data Entry'!$ď$310), "", 'Data Entry'!$ď$310)</f>
      </c>
      <c r="GZ310">
        <f>IF(ISBLANK('Data Entry'!$Đ$310), "", 'Data Entry'!$Đ$310)</f>
      </c>
      <c r="HA310">
        <f>IF(ISBLANK('Data Entry'!$đ$310), "", 'Data Entry'!$đ$310)</f>
      </c>
      <c r="HB310">
        <f>IF(ISBLANK('Data Entry'!$Ē$310), "", 'Data Entry'!$Ē$310)</f>
      </c>
      <c r="HC310">
        <f>IF(ISBLANK('Data Entry'!$ē$310), "", 'Data Entry'!$ē$310)</f>
      </c>
      <c r="HD310">
        <f>IF(ISBLANK('Data Entry'!$Ĕ$310), "", 'Data Entry'!$Ĕ$310)</f>
      </c>
      <c r="HE310">
        <f>IF(ISBLANK('Data Entry'!$ĕ$310), "", 'Data Entry'!$ĕ$310)</f>
      </c>
      <c r="HF310">
        <f>IF(ISBLANK('Data Entry'!$Ė$310), "", 'Data Entry'!$Ė$310)</f>
      </c>
      <c r="HG310">
        <f>IF(ISBLANK('Data Entry'!$ė$310), "", 'Data Entry'!$ė$310)</f>
      </c>
      <c r="HH310">
        <f>IF(ISBLANK('Data Entry'!$Ę$310), "", 'Data Entry'!$Ę$310)</f>
      </c>
      <c r="HI310">
        <f>IF(ISBLANK('Data Entry'!$ę$310), "", 'Data Entry'!$ę$310)</f>
      </c>
      <c r="HJ310">
        <f>IF(ISBLANK('Data Entry'!$Ě$310), "", 'Data Entry'!$Ě$310)</f>
      </c>
      <c r="HK310">
        <f>IF(ISBLANK('Data Entry'!$ě$310), "", 'Data Entry'!$ě$310)</f>
      </c>
      <c r="HL310">
        <f>IF(ISBLANK('Data Entry'!$Ĝ$310), "", 'Data Entry'!$Ĝ$310)</f>
      </c>
      <c r="HM310">
        <f>IF(ISBLANK('Data Entry'!$ĝ$310), "", 'Data Entry'!$ĝ$310)</f>
      </c>
      <c r="HN310">
        <f>IF(ISBLANK('Data Entry'!$Ğ$310), "", 'Data Entry'!$Ğ$310)</f>
      </c>
      <c r="HO310">
        <f>IF(ISBLANK('Data Entry'!$ğ$310), "", 'Data Entry'!$ğ$310)</f>
      </c>
      <c r="HP310">
        <f>IF(ISBLANK('Data Entry'!$Ġ$310), "", 'Data Entry'!$Ġ$310)</f>
      </c>
      <c r="HQ310">
        <f>IF(ISBLANK('Data Entry'!$ġ$310), "", 'Data Entry'!$ġ$310)</f>
      </c>
      <c r="HR310">
        <f>IF(ISBLANK('Data Entry'!$Ģ$310), "", 'Data Entry'!$Ģ$310)</f>
      </c>
      <c r="HS310">
        <f>IF(ISBLANK('Data Entry'!$ģ$310), "", 'Data Entry'!$ģ$310)</f>
      </c>
      <c r="HT310">
        <f>IF(ISBLANK('Data Entry'!$Ĥ$310), "", 'Data Entry'!$Ĥ$310)</f>
      </c>
      <c r="HU310">
        <f>IF(ISBLANK('Data Entry'!$ĥ$310), "", 'Data Entry'!$ĥ$310)</f>
      </c>
      <c r="HV310">
        <f>IF(ISBLANK('Data Entry'!$Ħ$310), "", 'Data Entry'!$Ħ$310)</f>
      </c>
      <c r="HW310">
        <f>IF(ISBLANK('Data Entry'!$ħ$310), "", 'Data Entry'!$ħ$310)</f>
      </c>
      <c r="HX310">
        <f>IF(ISBLANK('Data Entry'!$Ĩ$310), "", 'Data Entry'!$Ĩ$310)</f>
      </c>
      <c r="HY310">
        <f>IF(ISBLANK('Data Entry'!$ĩ$310), "", 'Data Entry'!$ĩ$310)</f>
      </c>
      <c r="HZ310">
        <f>IF(ISBLANK('Data Entry'!$Ī$310), "", 'Data Entry'!$Ī$310)</f>
      </c>
      <c r="IA310">
        <f>IF(ISBLANK('Data Entry'!$ī$310), "", 'Data Entry'!$ī$310)</f>
      </c>
      <c r="IB310">
        <f>IF(ISBLANK('Data Entry'!$Ĭ$310), "", 'Data Entry'!$Ĭ$310)</f>
      </c>
      <c r="IC310">
        <f>IF(ISBLANK('Data Entry'!$ĭ$310), "", 'Data Entry'!$ĭ$310)</f>
      </c>
      <c r="ID310">
        <f>IF(ISBLANK('Data Entry'!$Į$310), "", 'Data Entry'!$Į$310)</f>
      </c>
      <c r="IE310">
        <f>IF(ISBLANK('Data Entry'!$į$310), "", 'Data Entry'!$į$310)</f>
      </c>
      <c r="IF310">
        <f>IF(ISBLANK('Data Entry'!$İ$310), "", 'Data Entry'!$İ$310)</f>
      </c>
      <c r="IG310">
        <f>IF(ISBLANK('Data Entry'!$ı$310), "", 'Data Entry'!$ı$310)</f>
      </c>
      <c r="IH310">
        <f>IF(ISBLANK('Data Entry'!$Ĳ$310), "", 'Data Entry'!$Ĳ$310)</f>
      </c>
      <c r="II310">
        <f>IF(ISBLANK('Data Entry'!$ĳ$310), "", 'Data Entry'!$ĳ$310)</f>
      </c>
      <c r="IJ310">
        <f>IF(ISBLANK('Data Entry'!$Ĵ$310), "", 'Data Entry'!$Ĵ$310)</f>
      </c>
      <c r="IK310">
        <f>IF(ISBLANK('Data Entry'!$ĵ$310), "", 'Data Entry'!$ĵ$310)</f>
      </c>
      <c r="IL310">
        <f>IF(ISBLANK('Data Entry'!$Ķ$310), "", 'Data Entry'!$Ķ$310)</f>
      </c>
      <c r="IM310">
        <f>IF(ISBLANK('Data Entry'!$ķ$310), "", 'Data Entry'!$ķ$310)</f>
      </c>
      <c r="IN310">
        <f>IF(ISBLANK('Data Entry'!$ĸ$310), "", 'Data Entry'!$ĸ$310)</f>
      </c>
      <c r="IO310">
        <f>IF(ISBLANK('Data Entry'!$Ĺ$310), "", 'Data Entry'!$Ĺ$310)</f>
      </c>
      <c r="IP310">
        <f>IF(ISBLANK('Data Entry'!$ĺ$310), "", 'Data Entry'!$ĺ$310)</f>
      </c>
      <c r="IQ310">
        <f>IF(ISBLANK('Data Entry'!$Ļ$310), "", 'Data Entry'!$Ļ$310)</f>
      </c>
      <c r="IR310">
        <f>IF(ISBLANK('Data Entry'!$ļ$310), "", 'Data Entry'!$ļ$310)</f>
      </c>
      <c r="IS310">
        <f>IF(ISBLANK('Data Entry'!$Ľ$310), "", 'Data Entry'!$Ľ$310)</f>
      </c>
      <c r="IT310">
        <f>IF(ISBLANK('Data Entry'!$ľ$310), "", 'Data Entry'!$ľ$310)</f>
      </c>
    </row>
    <row r="311" spans="1:254" x14ac:dyDescent="0.25">
      <c r="A311">
        <f>IF(ISBLANK('Data Entry'!$A$311), "", 'Data Entry'!$A$311)</f>
      </c>
      <c r="B311">
        <f>IF(ISBLANK('Data Entry'!$B$311), "", 'Data Entry'!$B$311)</f>
      </c>
      <c r="C311">
        <f>IF(ISBLANK('Data Entry'!$C$311), "", 'Data Entry'!$C$311)</f>
      </c>
      <c r="D311">
        <f>IF(ISBLANK('Data Entry'!$D$311), "", 'Data Entry'!$D$311)</f>
      </c>
      <c r="E311">
        <f>IF(ISBLANK('Data Entry'!$E$311), "", 'Data Entry'!$E$311)</f>
      </c>
      <c r="F311">
        <f>IF(ISBLANK('Data Entry'!$F$311), "", 'Data Entry'!$F$311)</f>
      </c>
      <c r="G311">
        <f>IF(ISBLANK('Data Entry'!$G$311), "", 'Data Entry'!$G$311)</f>
      </c>
      <c r="H311">
        <f>IF(ISBLANK('Data Entry'!$H$311), "", 'Data Entry'!$H$311)</f>
      </c>
      <c r="I311">
        <f>IF(ISBLANK('Data Entry'!$I$311), "", 'Data Entry'!$I$311)</f>
      </c>
      <c r="J311">
        <f>IF(ISBLANK('Data Entry'!$J$311), "", 'Data Entry'!$J$311)</f>
      </c>
      <c r="K311">
        <f>IF(ISBLANK('Data Entry'!$K$311), "", 'Data Entry'!$K$311)</f>
      </c>
      <c r="L311">
        <f>IF(ISBLANK('Data Entry'!$L$311), "", 'Data Entry'!$L$311)</f>
      </c>
      <c r="M311">
        <f>IF(ISBLANK('Data Entry'!$M$311), "", 'Data Entry'!$M$311)</f>
      </c>
      <c r="N311">
        <f>IF(ISBLANK('Data Entry'!$N$311), "", 'Data Entry'!$N$311)</f>
      </c>
      <c r="O311">
        <f>IF(ISBLANK('Data Entry'!$O$311), "", 'Data Entry'!$O$311)</f>
      </c>
      <c r="P311">
        <f>IF(ISBLANK('Data Entry'!$P$311), "", 'Data Entry'!$P$311)</f>
      </c>
      <c r="Q311">
        <f>IF(ISBLANK('Data Entry'!$Q$311), "", 'Data Entry'!$Q$311)</f>
      </c>
      <c r="R311">
        <f>IF(ISBLANK('Data Entry'!$R$311), "", 'Data Entry'!$R$311)</f>
      </c>
      <c r="S311">
        <f>IF(ISBLANK('Data Entry'!$S$311), "", 'Data Entry'!$S$311)</f>
      </c>
      <c r="T311">
        <f>IF(ISBLANK('Data Entry'!$T$311), "", 'Data Entry'!$T$311)</f>
      </c>
      <c r="U311">
        <f>IF(ISBLANK('Data Entry'!$U$311), "", 'Data Entry'!$U$311)</f>
      </c>
      <c r="V311">
        <f>IF(ISBLANK('Data Entry'!$V$311), "", 'Data Entry'!$V$311)</f>
      </c>
      <c r="W311">
        <f>IF(ISBLANK('Data Entry'!$W$311), "", 'Data Entry'!$W$311)</f>
      </c>
      <c r="X311">
        <f>IF(ISBLANK('Data Entry'!$X$311), "", 'Data Entry'!$X$311)</f>
      </c>
      <c r="Y311">
        <f>IF(ISBLANK('Data Entry'!$Y$311), "", 'Data Entry'!$Y$311)</f>
      </c>
      <c r="Z311">
        <f>IF(ISBLANK('Data Entry'!$Z$311), "", 'Data Entry'!$Z$311)</f>
      </c>
      <c r="AA311">
        <f>IF(ISBLANK('Data Entry'!$[$311), "", 'Data Entry'!$[$311)</f>
      </c>
      <c r="AB311">
        <f>IF(ISBLANK('Data Entry'!$\$311), "", 'Data Entry'!$\$311)</f>
      </c>
      <c r="AC311">
        <f>IF(ISBLANK('Data Entry'!$]$311), "", 'Data Entry'!$]$311)</f>
      </c>
      <c r="AD311">
        <f>IF(ISBLANK('Data Entry'!$^$311), "", 'Data Entry'!$^$311)</f>
      </c>
      <c r="AE311">
        <f>IF(ISBLANK('Data Entry'!$_$311), "", 'Data Entry'!$_$311)</f>
      </c>
      <c r="AF311">
        <f>IF(ISBLANK('Data Entry'!$`$311), "", 'Data Entry'!$`$311)</f>
      </c>
      <c r="AG311">
        <f>IF(ISBLANK('Data Entry'!$a$311), "", 'Data Entry'!$a$311)</f>
      </c>
      <c r="AH311">
        <f>IF(ISBLANK('Data Entry'!$b$311), "", 'Data Entry'!$b$311)</f>
      </c>
      <c r="AI311">
        <f>IF(ISBLANK('Data Entry'!$c$311), "", 'Data Entry'!$c$311)</f>
      </c>
      <c r="AJ311">
        <f>IF(ISBLANK('Data Entry'!$d$311), "", 'Data Entry'!$d$311)</f>
      </c>
      <c r="AK311">
        <f>IF(ISBLANK('Data Entry'!$e$311), "", 'Data Entry'!$e$311)</f>
      </c>
      <c r="AL311">
        <f>IF(ISBLANK('Data Entry'!$f$311), "", 'Data Entry'!$f$311)</f>
      </c>
      <c r="AM311">
        <f>IF(ISBLANK('Data Entry'!$g$311), "", 'Data Entry'!$g$311)</f>
      </c>
      <c r="AN311">
        <f>IF(ISBLANK('Data Entry'!$h$311), "", 'Data Entry'!$h$311)</f>
      </c>
      <c r="AO311">
        <f>IF(ISBLANK('Data Entry'!$i$311), "", 'Data Entry'!$i$311)</f>
      </c>
      <c r="AP311">
        <f>IF(ISBLANK('Data Entry'!$j$311), "", 'Data Entry'!$j$311)</f>
      </c>
      <c r="AQ311">
        <f>IF(ISBLANK('Data Entry'!$k$311), "", 'Data Entry'!$k$311)</f>
      </c>
      <c r="AR311">
        <f>IF(ISBLANK('Data Entry'!$l$311), "", 'Data Entry'!$l$311)</f>
      </c>
      <c r="AS311">
        <f>IF(ISBLANK('Data Entry'!$m$311), "", 'Data Entry'!$m$311)</f>
      </c>
      <c r="AT311">
        <f>IF(ISBLANK('Data Entry'!$n$311), "", 'Data Entry'!$n$311)</f>
      </c>
      <c r="AU311">
        <f>IF(ISBLANK('Data Entry'!$o$311), "", 'Data Entry'!$o$311)</f>
      </c>
      <c r="AV311">
        <f>IF(ISBLANK('Data Entry'!$p$311), "", 'Data Entry'!$p$311)</f>
      </c>
      <c r="AW311">
        <f>IF(ISBLANK('Data Entry'!$q$311), "", 'Data Entry'!$q$311)</f>
      </c>
      <c r="AX311">
        <f>IF(ISBLANK('Data Entry'!$r$311), "", 'Data Entry'!$r$311)</f>
      </c>
      <c r="AY311">
        <f>IF(ISBLANK('Data Entry'!$s$311), "", 'Data Entry'!$s$311)</f>
      </c>
      <c r="AZ311">
        <f>IF(ISBLANK('Data Entry'!$t$311), "", 'Data Entry'!$t$311)</f>
      </c>
      <c r="BA311">
        <f>IF(ISBLANK('Data Entry'!$u$311), "", 'Data Entry'!$u$311)</f>
      </c>
      <c r="BB311">
        <f>IF(ISBLANK('Data Entry'!$v$311), "", 'Data Entry'!$v$311)</f>
      </c>
      <c r="BC311">
        <f>IF(ISBLANK('Data Entry'!$w$311), "", 'Data Entry'!$w$311)</f>
      </c>
      <c r="BD311">
        <f>IF(ISBLANK('Data Entry'!$x$311), "", 'Data Entry'!$x$311)</f>
      </c>
      <c r="BE311">
        <f>IF(ISBLANK('Data Entry'!$y$311), "", 'Data Entry'!$y$311)</f>
      </c>
      <c r="BF311">
        <f>IF(ISBLANK('Data Entry'!$z$311), "", 'Data Entry'!$z$311)</f>
      </c>
      <c r="BG311">
        <f>IF(ISBLANK('Data Entry'!${$311), "", 'Data Entry'!${$311)</f>
      </c>
      <c r="BH311">
        <f>IF(ISBLANK('Data Entry'!$|$311), "", 'Data Entry'!$|$311)</f>
      </c>
      <c r="BI311">
        <f>IF(ISBLANK('Data Entry'!$}$311), "", 'Data Entry'!$}$311)</f>
      </c>
      <c r="BJ311">
        <f>IF(ISBLANK('Data Entry'!$~$311), "", 'Data Entry'!$~$311)</f>
      </c>
      <c r="BK311">
        <f>IF(ISBLANK('Data Entry'!$$311), "", 'Data Entry'!$$311)</f>
      </c>
      <c r="BL311">
        <f>IF(ISBLANK('Data Entry'!$$311), "", 'Data Entry'!$$311)</f>
      </c>
      <c r="BM311">
        <f>IF(ISBLANK('Data Entry'!$$311), "", 'Data Entry'!$$311)</f>
      </c>
      <c r="BN311">
        <f>IF(ISBLANK('Data Entry'!$$311), "", 'Data Entry'!$$311)</f>
      </c>
      <c r="BO311">
        <f>IF(ISBLANK('Data Entry'!$$311), "", 'Data Entry'!$$311)</f>
      </c>
      <c r="BP311">
        <f>IF(ISBLANK('Data Entry'!$$311), "", 'Data Entry'!$$311)</f>
      </c>
      <c r="BQ311">
        <f>IF(ISBLANK('Data Entry'!$$311), "", 'Data Entry'!$$311)</f>
      </c>
      <c r="BR311">
        <f>IF(ISBLANK('Data Entry'!$$311), "", 'Data Entry'!$$311)</f>
      </c>
      <c r="BS311">
        <f>IF(ISBLANK('Data Entry'!$$311), "", 'Data Entry'!$$311)</f>
      </c>
      <c r="BT311">
        <f>IF(ISBLANK('Data Entry'!$$311), "", 'Data Entry'!$$311)</f>
      </c>
      <c r="BU311">
        <f>IF(ISBLANK('Data Entry'!$$311), "", 'Data Entry'!$$311)</f>
      </c>
      <c r="BV311">
        <f>IF(ISBLANK('Data Entry'!$$311), "", 'Data Entry'!$$311)</f>
      </c>
      <c r="BW311">
        <f>IF(ISBLANK('Data Entry'!$$311), "", 'Data Entry'!$$311)</f>
      </c>
      <c r="BX311">
        <f>IF(ISBLANK('Data Entry'!$$311), "", 'Data Entry'!$$311)</f>
      </c>
      <c r="BY311">
        <f>IF(ISBLANK('Data Entry'!$$311), "", 'Data Entry'!$$311)</f>
      </c>
      <c r="BZ311">
        <f>IF(ISBLANK('Data Entry'!$$311), "", 'Data Entry'!$$311)</f>
      </c>
      <c r="CA311">
        <f>IF(ISBLANK('Data Entry'!$$311), "", 'Data Entry'!$$311)</f>
      </c>
      <c r="CB311">
        <f>IF(ISBLANK('Data Entry'!$$311), "", 'Data Entry'!$$311)</f>
      </c>
      <c r="CC311">
        <f>IF(ISBLANK('Data Entry'!$$311), "", 'Data Entry'!$$311)</f>
      </c>
      <c r="CD311">
        <f>IF(ISBLANK('Data Entry'!$$311), "", 'Data Entry'!$$311)</f>
      </c>
      <c r="CE311">
        <f>IF(ISBLANK('Data Entry'!$$311), "", 'Data Entry'!$$311)</f>
      </c>
      <c r="CF311">
        <f>IF(ISBLANK('Data Entry'!$$311), "", 'Data Entry'!$$311)</f>
      </c>
      <c r="CG311">
        <f>IF(ISBLANK('Data Entry'!$$311), "", 'Data Entry'!$$311)</f>
      </c>
      <c r="CH311">
        <f>IF(ISBLANK('Data Entry'!$$311), "", 'Data Entry'!$$311)</f>
      </c>
      <c r="CI311">
        <f>IF(ISBLANK('Data Entry'!$$311), "", 'Data Entry'!$$311)</f>
      </c>
      <c r="CJ311">
        <f>IF(ISBLANK('Data Entry'!$$311), "", 'Data Entry'!$$311)</f>
      </c>
      <c r="CK311">
        <f>IF(ISBLANK('Data Entry'!$$311), "", 'Data Entry'!$$311)</f>
      </c>
      <c r="CL311">
        <f>IF(ISBLANK('Data Entry'!$$311), "", 'Data Entry'!$$311)</f>
      </c>
      <c r="CM311">
        <f>IF(ISBLANK('Data Entry'!$$311), "", 'Data Entry'!$$311)</f>
      </c>
      <c r="CN311">
        <f>IF(ISBLANK('Data Entry'!$$311), "", 'Data Entry'!$$311)</f>
      </c>
      <c r="CO311">
        <f>IF(ISBLANK('Data Entry'!$$311), "", 'Data Entry'!$$311)</f>
      </c>
      <c r="CP311">
        <f>IF(ISBLANK('Data Entry'!$$311), "", 'Data Entry'!$$311)</f>
      </c>
      <c r="CQ311">
        <f>IF(ISBLANK('Data Entry'!$$311), "", 'Data Entry'!$$311)</f>
      </c>
      <c r="CR311">
        <f>IF(ISBLANK('Data Entry'!$ $311), "", 'Data Entry'!$ $311)</f>
      </c>
      <c r="CS311">
        <f>IF(ISBLANK('Data Entry'!$¡$311), "", 'Data Entry'!$¡$311)</f>
      </c>
      <c r="CT311">
        <f>IF(ISBLANK('Data Entry'!$¢$311), "", 'Data Entry'!$¢$311)</f>
      </c>
      <c r="CU311">
        <f>IF(ISBLANK('Data Entry'!$£$311), "", 'Data Entry'!$£$311)</f>
      </c>
      <c r="CV311">
        <f>IF(ISBLANK('Data Entry'!$¤$311), "", 'Data Entry'!$¤$311)</f>
      </c>
      <c r="CW311">
        <f>IF(ISBLANK('Data Entry'!$¥$311), "", 'Data Entry'!$¥$311)</f>
      </c>
      <c r="CX311">
        <f>IF(ISBLANK('Data Entry'!$¦$311), "", 'Data Entry'!$¦$311)</f>
      </c>
      <c r="CY311">
        <f>IF(ISBLANK('Data Entry'!$§$311), "", 'Data Entry'!$§$311)</f>
      </c>
      <c r="CZ311">
        <f>IF(ISBLANK('Data Entry'!$¨$311), "", 'Data Entry'!$¨$311)</f>
      </c>
      <c r="DA311">
        <f>IF(ISBLANK('Data Entry'!$©$311), "", 'Data Entry'!$©$311)</f>
      </c>
      <c r="DB311">
        <f>IF(ISBLANK('Data Entry'!$ª$311), "", 'Data Entry'!$ª$311)</f>
      </c>
      <c r="DC311">
        <f>IF(ISBLANK('Data Entry'!$«$311), "", 'Data Entry'!$«$311)</f>
      </c>
      <c r="DD311">
        <f>IF(ISBLANK('Data Entry'!$¬$311), "", 'Data Entry'!$¬$311)</f>
      </c>
      <c r="DE311">
        <f>IF(ISBLANK('Data Entry'!$­$311), "", 'Data Entry'!$­$311)</f>
      </c>
      <c r="DF311">
        <f>IF(ISBLANK('Data Entry'!$®$311), "", 'Data Entry'!$®$311)</f>
      </c>
      <c r="DG311">
        <f>IF(ISBLANK('Data Entry'!$¯$311), "", 'Data Entry'!$¯$311)</f>
      </c>
      <c r="DH311">
        <f>IF(ISBLANK('Data Entry'!$°$311), "", 'Data Entry'!$°$311)</f>
      </c>
      <c r="DI311">
        <f>IF(ISBLANK('Data Entry'!$±$311), "", 'Data Entry'!$±$311)</f>
      </c>
      <c r="DJ311">
        <f>IF(ISBLANK('Data Entry'!$²$311), "", 'Data Entry'!$²$311)</f>
      </c>
      <c r="DK311">
        <f>IF(ISBLANK('Data Entry'!$³$311), "", 'Data Entry'!$³$311)</f>
      </c>
      <c r="DL311">
        <f>IF(ISBLANK('Data Entry'!$´$311), "", 'Data Entry'!$´$311)</f>
      </c>
      <c r="DM311">
        <f>IF(ISBLANK('Data Entry'!$µ$311), "", 'Data Entry'!$µ$311)</f>
      </c>
      <c r="DN311">
        <f>IF(ISBLANK('Data Entry'!$¶$311), "", 'Data Entry'!$¶$311)</f>
      </c>
      <c r="DO311">
        <f>IF(ISBLANK('Data Entry'!$·$311), "", 'Data Entry'!$·$311)</f>
      </c>
      <c r="DP311">
        <f>IF(ISBLANK('Data Entry'!$¸$311), "", 'Data Entry'!$¸$311)</f>
      </c>
      <c r="DQ311">
        <f>IF(ISBLANK('Data Entry'!$¹$311), "", 'Data Entry'!$¹$311)</f>
      </c>
      <c r="DR311">
        <f>IF(ISBLANK('Data Entry'!$º$311), "", 'Data Entry'!$º$311)</f>
      </c>
      <c r="DS311">
        <f>IF(ISBLANK('Data Entry'!$»$311), "", 'Data Entry'!$»$311)</f>
      </c>
      <c r="DT311">
        <f>IF(ISBLANK('Data Entry'!$¼$311), "", 'Data Entry'!$¼$311)</f>
      </c>
      <c r="DU311">
        <f>IF(ISBLANK('Data Entry'!$½$311), "", 'Data Entry'!$½$311)</f>
      </c>
      <c r="DV311">
        <f>IF(ISBLANK('Data Entry'!$¾$311), "", 'Data Entry'!$¾$311)</f>
      </c>
      <c r="DW311">
        <f>IF(ISBLANK('Data Entry'!$¿$311), "", 'Data Entry'!$¿$311)</f>
      </c>
      <c r="DX311">
        <f>IF(ISBLANK('Data Entry'!$À$311), "", 'Data Entry'!$À$311)</f>
      </c>
      <c r="DY311">
        <f>IF(ISBLANK('Data Entry'!$Á$311), "", 'Data Entry'!$Á$311)</f>
      </c>
      <c r="DZ311">
        <f>IF(ISBLANK('Data Entry'!$Â$311), "", 'Data Entry'!$Â$311)</f>
      </c>
      <c r="EA311">
        <f>IF(ISBLANK('Data Entry'!$Ã$311), "", 'Data Entry'!$Ã$311)</f>
      </c>
      <c r="EB311">
        <f>IF(ISBLANK('Data Entry'!$Ä$311), "", 'Data Entry'!$Ä$311)</f>
      </c>
      <c r="EC311">
        <f>IF(ISBLANK('Data Entry'!$Å$311), "", 'Data Entry'!$Å$311)</f>
      </c>
      <c r="ED311">
        <f>IF(ISBLANK('Data Entry'!$Æ$311), "", 'Data Entry'!$Æ$311)</f>
      </c>
      <c r="EE311">
        <f>IF(ISBLANK('Data Entry'!$Ç$311), "", 'Data Entry'!$Ç$311)</f>
      </c>
      <c r="EF311">
        <f>IF(ISBLANK('Data Entry'!$È$311), "", 'Data Entry'!$È$311)</f>
      </c>
      <c r="EG311">
        <f>IF(ISBLANK('Data Entry'!$É$311), "", 'Data Entry'!$É$311)</f>
      </c>
      <c r="EH311">
        <f>IF(ISBLANK('Data Entry'!$Ê$311), "", 'Data Entry'!$Ê$311)</f>
      </c>
      <c r="EI311">
        <f>IF(ISBLANK('Data Entry'!$Ë$311), "", 'Data Entry'!$Ë$311)</f>
      </c>
      <c r="EJ311">
        <f>IF(ISBLANK('Data Entry'!$Ì$311), "", 'Data Entry'!$Ì$311)</f>
      </c>
      <c r="EK311">
        <f>IF(ISBLANK('Data Entry'!$Í$311), "", 'Data Entry'!$Í$311)</f>
      </c>
      <c r="EL311">
        <f>IF(ISBLANK('Data Entry'!$Î$311), "", 'Data Entry'!$Î$311)</f>
      </c>
      <c r="EM311">
        <f>IF(ISBLANK('Data Entry'!$Ï$311), "", 'Data Entry'!$Ï$311)</f>
      </c>
      <c r="EN311">
        <f>IF(ISBLANK('Data Entry'!$Ð$311), "", 'Data Entry'!$Ð$311)</f>
      </c>
      <c r="EO311">
        <f>IF(ISBLANK('Data Entry'!$Ñ$311), "", 'Data Entry'!$Ñ$311)</f>
      </c>
      <c r="EP311">
        <f>IF(ISBLANK('Data Entry'!$Ò$311), "", 'Data Entry'!$Ò$311)</f>
      </c>
      <c r="EQ311">
        <f>IF(ISBLANK('Data Entry'!$Ó$311), "", 'Data Entry'!$Ó$311)</f>
      </c>
      <c r="ER311">
        <f>IF(ISBLANK('Data Entry'!$Ô$311), "", 'Data Entry'!$Ô$311)</f>
      </c>
      <c r="ES311">
        <f>IF(ISBLANK('Data Entry'!$Õ$311), "", 'Data Entry'!$Õ$311)</f>
      </c>
      <c r="ET311">
        <f>IF(ISBLANK('Data Entry'!$Ö$311), "", 'Data Entry'!$Ö$311)</f>
      </c>
      <c r="EU311">
        <f>IF(ISBLANK('Data Entry'!$×$311), "", 'Data Entry'!$×$311)</f>
      </c>
      <c r="EV311">
        <f>IF(ISBLANK('Data Entry'!$Ø$311), "", 'Data Entry'!$Ø$311)</f>
      </c>
      <c r="EW311">
        <f>IF(ISBLANK('Data Entry'!$Ù$311), "", 'Data Entry'!$Ù$311)</f>
      </c>
      <c r="EX311">
        <f>IF(ISBLANK('Data Entry'!$Ú$311), "", 'Data Entry'!$Ú$311)</f>
      </c>
      <c r="EY311">
        <f>IF(ISBLANK('Data Entry'!$Û$311), "", 'Data Entry'!$Û$311)</f>
      </c>
      <c r="EZ311">
        <f>IF(ISBLANK('Data Entry'!$Ü$311), "", 'Data Entry'!$Ü$311)</f>
      </c>
      <c r="FA311">
        <f>IF(ISBLANK('Data Entry'!$Ý$311), "", 'Data Entry'!$Ý$311)</f>
      </c>
      <c r="FB311">
        <f>IF(ISBLANK('Data Entry'!$Þ$311), "", 'Data Entry'!$Þ$311)</f>
      </c>
      <c r="FC311">
        <f>IF(ISBLANK('Data Entry'!$ß$311), "", 'Data Entry'!$ß$311)</f>
      </c>
      <c r="FD311">
        <f>IF(ISBLANK('Data Entry'!$à$311), "", 'Data Entry'!$à$311)</f>
      </c>
      <c r="FE311">
        <f>IF(ISBLANK('Data Entry'!$á$311), "", 'Data Entry'!$á$311)</f>
      </c>
      <c r="FF311">
        <f>IF(ISBLANK('Data Entry'!$â$311), "", 'Data Entry'!$â$311)</f>
      </c>
      <c r="FG311">
        <f>IF(ISBLANK('Data Entry'!$ã$311), "", 'Data Entry'!$ã$311)</f>
      </c>
      <c r="FH311">
        <f>IF(ISBLANK('Data Entry'!$ä$311), "", 'Data Entry'!$ä$311)</f>
      </c>
      <c r="FI311">
        <f>IF(ISBLANK('Data Entry'!$å$311), "", 'Data Entry'!$å$311)</f>
      </c>
      <c r="FJ311">
        <f>IF(ISBLANK('Data Entry'!$æ$311), "", 'Data Entry'!$æ$311)</f>
      </c>
      <c r="FK311">
        <f>IF(ISBLANK('Data Entry'!$ç$311), "", 'Data Entry'!$ç$311)</f>
      </c>
      <c r="FL311">
        <f>IF(ISBLANK('Data Entry'!$è$311), "", 'Data Entry'!$è$311)</f>
      </c>
      <c r="FM311">
        <f>IF(ISBLANK('Data Entry'!$é$311), "", 'Data Entry'!$é$311)</f>
      </c>
      <c r="FN311">
        <f>IF(ISBLANK('Data Entry'!$ê$311), "", 'Data Entry'!$ê$311)</f>
      </c>
      <c r="FO311">
        <f>IF(ISBLANK('Data Entry'!$ë$311), "", 'Data Entry'!$ë$311)</f>
      </c>
      <c r="FP311">
        <f>IF(ISBLANK('Data Entry'!$ì$311), "", 'Data Entry'!$ì$311)</f>
      </c>
      <c r="FQ311">
        <f>IF(ISBLANK('Data Entry'!$í$311), "", 'Data Entry'!$í$311)</f>
      </c>
      <c r="FR311">
        <f>IF(ISBLANK('Data Entry'!$î$311), "", 'Data Entry'!$î$311)</f>
      </c>
      <c r="FS311">
        <f>IF(ISBLANK('Data Entry'!$ï$311), "", 'Data Entry'!$ï$311)</f>
      </c>
      <c r="FT311">
        <f>IF(ISBLANK('Data Entry'!$ð$311), "", 'Data Entry'!$ð$311)</f>
      </c>
      <c r="FU311">
        <f>IF(ISBLANK('Data Entry'!$ñ$311), "", 'Data Entry'!$ñ$311)</f>
      </c>
      <c r="FV311">
        <f>IF(ISBLANK('Data Entry'!$ò$311), "", 'Data Entry'!$ò$311)</f>
      </c>
      <c r="FW311">
        <f>IF(ISBLANK('Data Entry'!$ó$311), "", 'Data Entry'!$ó$311)</f>
      </c>
      <c r="FX311">
        <f>IF(ISBLANK('Data Entry'!$ô$311), "", 'Data Entry'!$ô$311)</f>
      </c>
      <c r="FY311">
        <f>IF(ISBLANK('Data Entry'!$õ$311), "", 'Data Entry'!$õ$311)</f>
      </c>
      <c r="FZ311">
        <f>IF(ISBLANK('Data Entry'!$ö$311), "", 'Data Entry'!$ö$311)</f>
      </c>
      <c r="GA311">
        <f>IF(ISBLANK('Data Entry'!$÷$311), "", 'Data Entry'!$÷$311)</f>
      </c>
      <c r="GB311">
        <f>IF(ISBLANK('Data Entry'!$ø$311), "", 'Data Entry'!$ø$311)</f>
      </c>
      <c r="GC311">
        <f>IF(ISBLANK('Data Entry'!$ù$311), "", 'Data Entry'!$ù$311)</f>
      </c>
      <c r="GD311">
        <f>IF(ISBLANK('Data Entry'!$ú$311), "", 'Data Entry'!$ú$311)</f>
      </c>
      <c r="GE311">
        <f>IF(ISBLANK('Data Entry'!$û$311), "", 'Data Entry'!$û$311)</f>
      </c>
      <c r="GF311">
        <f>IF(ISBLANK('Data Entry'!$ü$311), "", 'Data Entry'!$ü$311)</f>
      </c>
      <c r="GG311">
        <f>IF(ISBLANK('Data Entry'!$ý$311), "", 'Data Entry'!$ý$311)</f>
      </c>
      <c r="GH311">
        <f>IF(ISBLANK('Data Entry'!$þ$311), "", 'Data Entry'!$þ$311)</f>
      </c>
      <c r="GI311">
        <f>IF(ISBLANK('Data Entry'!$ÿ$311), "", 'Data Entry'!$ÿ$311)</f>
      </c>
      <c r="GJ311">
        <f>IF(ISBLANK('Data Entry'!$Ā$311), "", 'Data Entry'!$Ā$311)</f>
      </c>
      <c r="GK311">
        <f>IF(ISBLANK('Data Entry'!$ā$311), "", 'Data Entry'!$ā$311)</f>
      </c>
      <c r="GL311">
        <f>IF(ISBLANK('Data Entry'!$Ă$311), "", 'Data Entry'!$Ă$311)</f>
      </c>
      <c r="GM311">
        <f>IF(ISBLANK('Data Entry'!$ă$311), "", 'Data Entry'!$ă$311)</f>
      </c>
      <c r="GN311">
        <f>IF(ISBLANK('Data Entry'!$Ą$311), "", 'Data Entry'!$Ą$311)</f>
      </c>
      <c r="GO311">
        <f>IF(ISBLANK('Data Entry'!$ą$311), "", 'Data Entry'!$ą$311)</f>
      </c>
      <c r="GP311">
        <f>IF(ISBLANK('Data Entry'!$Ć$311), "", 'Data Entry'!$Ć$311)</f>
      </c>
      <c r="GQ311">
        <f>IF(ISBLANK('Data Entry'!$ć$311), "", 'Data Entry'!$ć$311)</f>
      </c>
      <c r="GR311">
        <f>IF(ISBLANK('Data Entry'!$Ĉ$311), "", 'Data Entry'!$Ĉ$311)</f>
      </c>
      <c r="GS311">
        <f>IF(ISBLANK('Data Entry'!$ĉ$311), "", 'Data Entry'!$ĉ$311)</f>
      </c>
      <c r="GT311">
        <f>IF(ISBLANK('Data Entry'!$Ċ$311), "", 'Data Entry'!$Ċ$311)</f>
      </c>
      <c r="GU311">
        <f>IF(ISBLANK('Data Entry'!$ċ$311), "", 'Data Entry'!$ċ$311)</f>
      </c>
      <c r="GV311">
        <f>IF(ISBLANK('Data Entry'!$Č$311), "", 'Data Entry'!$Č$311)</f>
      </c>
      <c r="GW311">
        <f>IF(ISBLANK('Data Entry'!$č$311), "", 'Data Entry'!$č$311)</f>
      </c>
      <c r="GX311">
        <f>IF(ISBLANK('Data Entry'!$Ď$311), "", 'Data Entry'!$Ď$311)</f>
      </c>
      <c r="GY311">
        <f>IF(ISBLANK('Data Entry'!$ď$311), "", 'Data Entry'!$ď$311)</f>
      </c>
      <c r="GZ311">
        <f>IF(ISBLANK('Data Entry'!$Đ$311), "", 'Data Entry'!$Đ$311)</f>
      </c>
      <c r="HA311">
        <f>IF(ISBLANK('Data Entry'!$đ$311), "", 'Data Entry'!$đ$311)</f>
      </c>
      <c r="HB311">
        <f>IF(ISBLANK('Data Entry'!$Ē$311), "", 'Data Entry'!$Ē$311)</f>
      </c>
      <c r="HC311">
        <f>IF(ISBLANK('Data Entry'!$ē$311), "", 'Data Entry'!$ē$311)</f>
      </c>
      <c r="HD311">
        <f>IF(ISBLANK('Data Entry'!$Ĕ$311), "", 'Data Entry'!$Ĕ$311)</f>
      </c>
      <c r="HE311">
        <f>IF(ISBLANK('Data Entry'!$ĕ$311), "", 'Data Entry'!$ĕ$311)</f>
      </c>
      <c r="HF311">
        <f>IF(ISBLANK('Data Entry'!$Ė$311), "", 'Data Entry'!$Ė$311)</f>
      </c>
      <c r="HG311">
        <f>IF(ISBLANK('Data Entry'!$ė$311), "", 'Data Entry'!$ė$311)</f>
      </c>
      <c r="HH311">
        <f>IF(ISBLANK('Data Entry'!$Ę$311), "", 'Data Entry'!$Ę$311)</f>
      </c>
      <c r="HI311">
        <f>IF(ISBLANK('Data Entry'!$ę$311), "", 'Data Entry'!$ę$311)</f>
      </c>
      <c r="HJ311">
        <f>IF(ISBLANK('Data Entry'!$Ě$311), "", 'Data Entry'!$Ě$311)</f>
      </c>
      <c r="HK311">
        <f>IF(ISBLANK('Data Entry'!$ě$311), "", 'Data Entry'!$ě$311)</f>
      </c>
      <c r="HL311">
        <f>IF(ISBLANK('Data Entry'!$Ĝ$311), "", 'Data Entry'!$Ĝ$311)</f>
      </c>
      <c r="HM311">
        <f>IF(ISBLANK('Data Entry'!$ĝ$311), "", 'Data Entry'!$ĝ$311)</f>
      </c>
      <c r="HN311">
        <f>IF(ISBLANK('Data Entry'!$Ğ$311), "", 'Data Entry'!$Ğ$311)</f>
      </c>
      <c r="HO311">
        <f>IF(ISBLANK('Data Entry'!$ğ$311), "", 'Data Entry'!$ğ$311)</f>
      </c>
      <c r="HP311">
        <f>IF(ISBLANK('Data Entry'!$Ġ$311), "", 'Data Entry'!$Ġ$311)</f>
      </c>
      <c r="HQ311">
        <f>IF(ISBLANK('Data Entry'!$ġ$311), "", 'Data Entry'!$ġ$311)</f>
      </c>
      <c r="HR311">
        <f>IF(ISBLANK('Data Entry'!$Ģ$311), "", 'Data Entry'!$Ģ$311)</f>
      </c>
      <c r="HS311">
        <f>IF(ISBLANK('Data Entry'!$ģ$311), "", 'Data Entry'!$ģ$311)</f>
      </c>
      <c r="HT311">
        <f>IF(ISBLANK('Data Entry'!$Ĥ$311), "", 'Data Entry'!$Ĥ$311)</f>
      </c>
      <c r="HU311">
        <f>IF(ISBLANK('Data Entry'!$ĥ$311), "", 'Data Entry'!$ĥ$311)</f>
      </c>
      <c r="HV311">
        <f>IF(ISBLANK('Data Entry'!$Ħ$311), "", 'Data Entry'!$Ħ$311)</f>
      </c>
      <c r="HW311">
        <f>IF(ISBLANK('Data Entry'!$ħ$311), "", 'Data Entry'!$ħ$311)</f>
      </c>
      <c r="HX311">
        <f>IF(ISBLANK('Data Entry'!$Ĩ$311), "", 'Data Entry'!$Ĩ$311)</f>
      </c>
      <c r="HY311">
        <f>IF(ISBLANK('Data Entry'!$ĩ$311), "", 'Data Entry'!$ĩ$311)</f>
      </c>
      <c r="HZ311">
        <f>IF(ISBLANK('Data Entry'!$Ī$311), "", 'Data Entry'!$Ī$311)</f>
      </c>
      <c r="IA311">
        <f>IF(ISBLANK('Data Entry'!$ī$311), "", 'Data Entry'!$ī$311)</f>
      </c>
      <c r="IB311">
        <f>IF(ISBLANK('Data Entry'!$Ĭ$311), "", 'Data Entry'!$Ĭ$311)</f>
      </c>
      <c r="IC311">
        <f>IF(ISBLANK('Data Entry'!$ĭ$311), "", 'Data Entry'!$ĭ$311)</f>
      </c>
      <c r="ID311">
        <f>IF(ISBLANK('Data Entry'!$Į$311), "", 'Data Entry'!$Į$311)</f>
      </c>
      <c r="IE311">
        <f>IF(ISBLANK('Data Entry'!$į$311), "", 'Data Entry'!$į$311)</f>
      </c>
      <c r="IF311">
        <f>IF(ISBLANK('Data Entry'!$İ$311), "", 'Data Entry'!$İ$311)</f>
      </c>
      <c r="IG311">
        <f>IF(ISBLANK('Data Entry'!$ı$311), "", 'Data Entry'!$ı$311)</f>
      </c>
      <c r="IH311">
        <f>IF(ISBLANK('Data Entry'!$Ĳ$311), "", 'Data Entry'!$Ĳ$311)</f>
      </c>
      <c r="II311">
        <f>IF(ISBLANK('Data Entry'!$ĳ$311), "", 'Data Entry'!$ĳ$311)</f>
      </c>
      <c r="IJ311">
        <f>IF(ISBLANK('Data Entry'!$Ĵ$311), "", 'Data Entry'!$Ĵ$311)</f>
      </c>
      <c r="IK311">
        <f>IF(ISBLANK('Data Entry'!$ĵ$311), "", 'Data Entry'!$ĵ$311)</f>
      </c>
      <c r="IL311">
        <f>IF(ISBLANK('Data Entry'!$Ķ$311), "", 'Data Entry'!$Ķ$311)</f>
      </c>
      <c r="IM311">
        <f>IF(ISBLANK('Data Entry'!$ķ$311), "", 'Data Entry'!$ķ$311)</f>
      </c>
      <c r="IN311">
        <f>IF(ISBLANK('Data Entry'!$ĸ$311), "", 'Data Entry'!$ĸ$311)</f>
      </c>
      <c r="IO311">
        <f>IF(ISBLANK('Data Entry'!$Ĺ$311), "", 'Data Entry'!$Ĺ$311)</f>
      </c>
      <c r="IP311">
        <f>IF(ISBLANK('Data Entry'!$ĺ$311), "", 'Data Entry'!$ĺ$311)</f>
      </c>
      <c r="IQ311">
        <f>IF(ISBLANK('Data Entry'!$Ļ$311), "", 'Data Entry'!$Ļ$311)</f>
      </c>
      <c r="IR311">
        <f>IF(ISBLANK('Data Entry'!$ļ$311), "", 'Data Entry'!$ļ$311)</f>
      </c>
      <c r="IS311">
        <f>IF(ISBLANK('Data Entry'!$Ľ$311), "", 'Data Entry'!$Ľ$311)</f>
      </c>
      <c r="IT311">
        <f>IF(ISBLANK('Data Entry'!$ľ$311), "", 'Data Entry'!$ľ$311)</f>
      </c>
    </row>
    <row r="312" spans="1:254" x14ac:dyDescent="0.25">
      <c r="A312">
        <f>IF(ISBLANK('Data Entry'!$A$312), "", 'Data Entry'!$A$312)</f>
      </c>
      <c r="B312">
        <f>IF(ISBLANK('Data Entry'!$B$312), "", 'Data Entry'!$B$312)</f>
      </c>
      <c r="C312">
        <f>IF(ISBLANK('Data Entry'!$C$312), "", 'Data Entry'!$C$312)</f>
      </c>
      <c r="D312">
        <f>IF(ISBLANK('Data Entry'!$D$312), "", 'Data Entry'!$D$312)</f>
      </c>
      <c r="E312">
        <f>IF(ISBLANK('Data Entry'!$E$312), "", 'Data Entry'!$E$312)</f>
      </c>
      <c r="F312">
        <f>IF(ISBLANK('Data Entry'!$F$312), "", 'Data Entry'!$F$312)</f>
      </c>
      <c r="G312">
        <f>IF(ISBLANK('Data Entry'!$G$312), "", 'Data Entry'!$G$312)</f>
      </c>
      <c r="H312">
        <f>IF(ISBLANK('Data Entry'!$H$312), "", 'Data Entry'!$H$312)</f>
      </c>
      <c r="I312">
        <f>IF(ISBLANK('Data Entry'!$I$312), "", 'Data Entry'!$I$312)</f>
      </c>
      <c r="J312">
        <f>IF(ISBLANK('Data Entry'!$J$312), "", 'Data Entry'!$J$312)</f>
      </c>
      <c r="K312">
        <f>IF(ISBLANK('Data Entry'!$K$312), "", 'Data Entry'!$K$312)</f>
      </c>
      <c r="L312">
        <f>IF(ISBLANK('Data Entry'!$L$312), "", 'Data Entry'!$L$312)</f>
      </c>
      <c r="M312">
        <f>IF(ISBLANK('Data Entry'!$M$312), "", 'Data Entry'!$M$312)</f>
      </c>
      <c r="N312">
        <f>IF(ISBLANK('Data Entry'!$N$312), "", 'Data Entry'!$N$312)</f>
      </c>
      <c r="O312">
        <f>IF(ISBLANK('Data Entry'!$O$312), "", 'Data Entry'!$O$312)</f>
      </c>
      <c r="P312">
        <f>IF(ISBLANK('Data Entry'!$P$312), "", 'Data Entry'!$P$312)</f>
      </c>
      <c r="Q312">
        <f>IF(ISBLANK('Data Entry'!$Q$312), "", 'Data Entry'!$Q$312)</f>
      </c>
      <c r="R312">
        <f>IF(ISBLANK('Data Entry'!$R$312), "", 'Data Entry'!$R$312)</f>
      </c>
      <c r="S312">
        <f>IF(ISBLANK('Data Entry'!$S$312), "", 'Data Entry'!$S$312)</f>
      </c>
      <c r="T312">
        <f>IF(ISBLANK('Data Entry'!$T$312), "", 'Data Entry'!$T$312)</f>
      </c>
      <c r="U312">
        <f>IF(ISBLANK('Data Entry'!$U$312), "", 'Data Entry'!$U$312)</f>
      </c>
      <c r="V312">
        <f>IF(ISBLANK('Data Entry'!$V$312), "", 'Data Entry'!$V$312)</f>
      </c>
      <c r="W312">
        <f>IF(ISBLANK('Data Entry'!$W$312), "", 'Data Entry'!$W$312)</f>
      </c>
      <c r="X312">
        <f>IF(ISBLANK('Data Entry'!$X$312), "", 'Data Entry'!$X$312)</f>
      </c>
      <c r="Y312">
        <f>IF(ISBLANK('Data Entry'!$Y$312), "", 'Data Entry'!$Y$312)</f>
      </c>
      <c r="Z312">
        <f>IF(ISBLANK('Data Entry'!$Z$312), "", 'Data Entry'!$Z$312)</f>
      </c>
      <c r="AA312">
        <f>IF(ISBLANK('Data Entry'!$[$312), "", 'Data Entry'!$[$312)</f>
      </c>
      <c r="AB312">
        <f>IF(ISBLANK('Data Entry'!$\$312), "", 'Data Entry'!$\$312)</f>
      </c>
      <c r="AC312">
        <f>IF(ISBLANK('Data Entry'!$]$312), "", 'Data Entry'!$]$312)</f>
      </c>
      <c r="AD312">
        <f>IF(ISBLANK('Data Entry'!$^$312), "", 'Data Entry'!$^$312)</f>
      </c>
      <c r="AE312">
        <f>IF(ISBLANK('Data Entry'!$_$312), "", 'Data Entry'!$_$312)</f>
      </c>
      <c r="AF312">
        <f>IF(ISBLANK('Data Entry'!$`$312), "", 'Data Entry'!$`$312)</f>
      </c>
      <c r="AG312">
        <f>IF(ISBLANK('Data Entry'!$a$312), "", 'Data Entry'!$a$312)</f>
      </c>
      <c r="AH312">
        <f>IF(ISBLANK('Data Entry'!$b$312), "", 'Data Entry'!$b$312)</f>
      </c>
      <c r="AI312">
        <f>IF(ISBLANK('Data Entry'!$c$312), "", 'Data Entry'!$c$312)</f>
      </c>
      <c r="AJ312">
        <f>IF(ISBLANK('Data Entry'!$d$312), "", 'Data Entry'!$d$312)</f>
      </c>
      <c r="AK312">
        <f>IF(ISBLANK('Data Entry'!$e$312), "", 'Data Entry'!$e$312)</f>
      </c>
      <c r="AL312">
        <f>IF(ISBLANK('Data Entry'!$f$312), "", 'Data Entry'!$f$312)</f>
      </c>
      <c r="AM312">
        <f>IF(ISBLANK('Data Entry'!$g$312), "", 'Data Entry'!$g$312)</f>
      </c>
      <c r="AN312">
        <f>IF(ISBLANK('Data Entry'!$h$312), "", 'Data Entry'!$h$312)</f>
      </c>
      <c r="AO312">
        <f>IF(ISBLANK('Data Entry'!$i$312), "", 'Data Entry'!$i$312)</f>
      </c>
      <c r="AP312">
        <f>IF(ISBLANK('Data Entry'!$j$312), "", 'Data Entry'!$j$312)</f>
      </c>
      <c r="AQ312">
        <f>IF(ISBLANK('Data Entry'!$k$312), "", 'Data Entry'!$k$312)</f>
      </c>
      <c r="AR312">
        <f>IF(ISBLANK('Data Entry'!$l$312), "", 'Data Entry'!$l$312)</f>
      </c>
      <c r="AS312">
        <f>IF(ISBLANK('Data Entry'!$m$312), "", 'Data Entry'!$m$312)</f>
      </c>
      <c r="AT312">
        <f>IF(ISBLANK('Data Entry'!$n$312), "", 'Data Entry'!$n$312)</f>
      </c>
      <c r="AU312">
        <f>IF(ISBLANK('Data Entry'!$o$312), "", 'Data Entry'!$o$312)</f>
      </c>
      <c r="AV312">
        <f>IF(ISBLANK('Data Entry'!$p$312), "", 'Data Entry'!$p$312)</f>
      </c>
      <c r="AW312">
        <f>IF(ISBLANK('Data Entry'!$q$312), "", 'Data Entry'!$q$312)</f>
      </c>
      <c r="AX312">
        <f>IF(ISBLANK('Data Entry'!$r$312), "", 'Data Entry'!$r$312)</f>
      </c>
      <c r="AY312">
        <f>IF(ISBLANK('Data Entry'!$s$312), "", 'Data Entry'!$s$312)</f>
      </c>
      <c r="AZ312">
        <f>IF(ISBLANK('Data Entry'!$t$312), "", 'Data Entry'!$t$312)</f>
      </c>
      <c r="BA312">
        <f>IF(ISBLANK('Data Entry'!$u$312), "", 'Data Entry'!$u$312)</f>
      </c>
      <c r="BB312">
        <f>IF(ISBLANK('Data Entry'!$v$312), "", 'Data Entry'!$v$312)</f>
      </c>
      <c r="BC312">
        <f>IF(ISBLANK('Data Entry'!$w$312), "", 'Data Entry'!$w$312)</f>
      </c>
      <c r="BD312">
        <f>IF(ISBLANK('Data Entry'!$x$312), "", 'Data Entry'!$x$312)</f>
      </c>
      <c r="BE312">
        <f>IF(ISBLANK('Data Entry'!$y$312), "", 'Data Entry'!$y$312)</f>
      </c>
      <c r="BF312">
        <f>IF(ISBLANK('Data Entry'!$z$312), "", 'Data Entry'!$z$312)</f>
      </c>
      <c r="BG312">
        <f>IF(ISBLANK('Data Entry'!${$312), "", 'Data Entry'!${$312)</f>
      </c>
      <c r="BH312">
        <f>IF(ISBLANK('Data Entry'!$|$312), "", 'Data Entry'!$|$312)</f>
      </c>
      <c r="BI312">
        <f>IF(ISBLANK('Data Entry'!$}$312), "", 'Data Entry'!$}$312)</f>
      </c>
      <c r="BJ312">
        <f>IF(ISBLANK('Data Entry'!$~$312), "", 'Data Entry'!$~$312)</f>
      </c>
      <c r="BK312">
        <f>IF(ISBLANK('Data Entry'!$$312), "", 'Data Entry'!$$312)</f>
      </c>
      <c r="BL312">
        <f>IF(ISBLANK('Data Entry'!$$312), "", 'Data Entry'!$$312)</f>
      </c>
      <c r="BM312">
        <f>IF(ISBLANK('Data Entry'!$$312), "", 'Data Entry'!$$312)</f>
      </c>
      <c r="BN312">
        <f>IF(ISBLANK('Data Entry'!$$312), "", 'Data Entry'!$$312)</f>
      </c>
      <c r="BO312">
        <f>IF(ISBLANK('Data Entry'!$$312), "", 'Data Entry'!$$312)</f>
      </c>
      <c r="BP312">
        <f>IF(ISBLANK('Data Entry'!$$312), "", 'Data Entry'!$$312)</f>
      </c>
      <c r="BQ312">
        <f>IF(ISBLANK('Data Entry'!$$312), "", 'Data Entry'!$$312)</f>
      </c>
      <c r="BR312">
        <f>IF(ISBLANK('Data Entry'!$$312), "", 'Data Entry'!$$312)</f>
      </c>
      <c r="BS312">
        <f>IF(ISBLANK('Data Entry'!$$312), "", 'Data Entry'!$$312)</f>
      </c>
      <c r="BT312">
        <f>IF(ISBLANK('Data Entry'!$$312), "", 'Data Entry'!$$312)</f>
      </c>
      <c r="BU312">
        <f>IF(ISBLANK('Data Entry'!$$312), "", 'Data Entry'!$$312)</f>
      </c>
      <c r="BV312">
        <f>IF(ISBLANK('Data Entry'!$$312), "", 'Data Entry'!$$312)</f>
      </c>
      <c r="BW312">
        <f>IF(ISBLANK('Data Entry'!$$312), "", 'Data Entry'!$$312)</f>
      </c>
      <c r="BX312">
        <f>IF(ISBLANK('Data Entry'!$$312), "", 'Data Entry'!$$312)</f>
      </c>
      <c r="BY312">
        <f>IF(ISBLANK('Data Entry'!$$312), "", 'Data Entry'!$$312)</f>
      </c>
      <c r="BZ312">
        <f>IF(ISBLANK('Data Entry'!$$312), "", 'Data Entry'!$$312)</f>
      </c>
      <c r="CA312">
        <f>IF(ISBLANK('Data Entry'!$$312), "", 'Data Entry'!$$312)</f>
      </c>
      <c r="CB312">
        <f>IF(ISBLANK('Data Entry'!$$312), "", 'Data Entry'!$$312)</f>
      </c>
      <c r="CC312">
        <f>IF(ISBLANK('Data Entry'!$$312), "", 'Data Entry'!$$312)</f>
      </c>
      <c r="CD312">
        <f>IF(ISBLANK('Data Entry'!$$312), "", 'Data Entry'!$$312)</f>
      </c>
      <c r="CE312">
        <f>IF(ISBLANK('Data Entry'!$$312), "", 'Data Entry'!$$312)</f>
      </c>
      <c r="CF312">
        <f>IF(ISBLANK('Data Entry'!$$312), "", 'Data Entry'!$$312)</f>
      </c>
      <c r="CG312">
        <f>IF(ISBLANK('Data Entry'!$$312), "", 'Data Entry'!$$312)</f>
      </c>
      <c r="CH312">
        <f>IF(ISBLANK('Data Entry'!$$312), "", 'Data Entry'!$$312)</f>
      </c>
      <c r="CI312">
        <f>IF(ISBLANK('Data Entry'!$$312), "", 'Data Entry'!$$312)</f>
      </c>
      <c r="CJ312">
        <f>IF(ISBLANK('Data Entry'!$$312), "", 'Data Entry'!$$312)</f>
      </c>
      <c r="CK312">
        <f>IF(ISBLANK('Data Entry'!$$312), "", 'Data Entry'!$$312)</f>
      </c>
      <c r="CL312">
        <f>IF(ISBLANK('Data Entry'!$$312), "", 'Data Entry'!$$312)</f>
      </c>
      <c r="CM312">
        <f>IF(ISBLANK('Data Entry'!$$312), "", 'Data Entry'!$$312)</f>
      </c>
      <c r="CN312">
        <f>IF(ISBLANK('Data Entry'!$$312), "", 'Data Entry'!$$312)</f>
      </c>
      <c r="CO312">
        <f>IF(ISBLANK('Data Entry'!$$312), "", 'Data Entry'!$$312)</f>
      </c>
      <c r="CP312">
        <f>IF(ISBLANK('Data Entry'!$$312), "", 'Data Entry'!$$312)</f>
      </c>
      <c r="CQ312">
        <f>IF(ISBLANK('Data Entry'!$$312), "", 'Data Entry'!$$312)</f>
      </c>
      <c r="CR312">
        <f>IF(ISBLANK('Data Entry'!$ $312), "", 'Data Entry'!$ $312)</f>
      </c>
      <c r="CS312">
        <f>IF(ISBLANK('Data Entry'!$¡$312), "", 'Data Entry'!$¡$312)</f>
      </c>
      <c r="CT312">
        <f>IF(ISBLANK('Data Entry'!$¢$312), "", 'Data Entry'!$¢$312)</f>
      </c>
      <c r="CU312">
        <f>IF(ISBLANK('Data Entry'!$£$312), "", 'Data Entry'!$£$312)</f>
      </c>
      <c r="CV312">
        <f>IF(ISBLANK('Data Entry'!$¤$312), "", 'Data Entry'!$¤$312)</f>
      </c>
      <c r="CW312">
        <f>IF(ISBLANK('Data Entry'!$¥$312), "", 'Data Entry'!$¥$312)</f>
      </c>
      <c r="CX312">
        <f>IF(ISBLANK('Data Entry'!$¦$312), "", 'Data Entry'!$¦$312)</f>
      </c>
      <c r="CY312">
        <f>IF(ISBLANK('Data Entry'!$§$312), "", 'Data Entry'!$§$312)</f>
      </c>
      <c r="CZ312">
        <f>IF(ISBLANK('Data Entry'!$¨$312), "", 'Data Entry'!$¨$312)</f>
      </c>
      <c r="DA312">
        <f>IF(ISBLANK('Data Entry'!$©$312), "", 'Data Entry'!$©$312)</f>
      </c>
      <c r="DB312">
        <f>IF(ISBLANK('Data Entry'!$ª$312), "", 'Data Entry'!$ª$312)</f>
      </c>
      <c r="DC312">
        <f>IF(ISBLANK('Data Entry'!$«$312), "", 'Data Entry'!$«$312)</f>
      </c>
      <c r="DD312">
        <f>IF(ISBLANK('Data Entry'!$¬$312), "", 'Data Entry'!$¬$312)</f>
      </c>
      <c r="DE312">
        <f>IF(ISBLANK('Data Entry'!$­$312), "", 'Data Entry'!$­$312)</f>
      </c>
      <c r="DF312">
        <f>IF(ISBLANK('Data Entry'!$®$312), "", 'Data Entry'!$®$312)</f>
      </c>
      <c r="DG312">
        <f>IF(ISBLANK('Data Entry'!$¯$312), "", 'Data Entry'!$¯$312)</f>
      </c>
      <c r="DH312">
        <f>IF(ISBLANK('Data Entry'!$°$312), "", 'Data Entry'!$°$312)</f>
      </c>
      <c r="DI312">
        <f>IF(ISBLANK('Data Entry'!$±$312), "", 'Data Entry'!$±$312)</f>
      </c>
      <c r="DJ312">
        <f>IF(ISBLANK('Data Entry'!$²$312), "", 'Data Entry'!$²$312)</f>
      </c>
      <c r="DK312">
        <f>IF(ISBLANK('Data Entry'!$³$312), "", 'Data Entry'!$³$312)</f>
      </c>
      <c r="DL312">
        <f>IF(ISBLANK('Data Entry'!$´$312), "", 'Data Entry'!$´$312)</f>
      </c>
      <c r="DM312">
        <f>IF(ISBLANK('Data Entry'!$µ$312), "", 'Data Entry'!$µ$312)</f>
      </c>
      <c r="DN312">
        <f>IF(ISBLANK('Data Entry'!$¶$312), "", 'Data Entry'!$¶$312)</f>
      </c>
      <c r="DO312">
        <f>IF(ISBLANK('Data Entry'!$·$312), "", 'Data Entry'!$·$312)</f>
      </c>
      <c r="DP312">
        <f>IF(ISBLANK('Data Entry'!$¸$312), "", 'Data Entry'!$¸$312)</f>
      </c>
      <c r="DQ312">
        <f>IF(ISBLANK('Data Entry'!$¹$312), "", 'Data Entry'!$¹$312)</f>
      </c>
      <c r="DR312">
        <f>IF(ISBLANK('Data Entry'!$º$312), "", 'Data Entry'!$º$312)</f>
      </c>
      <c r="DS312">
        <f>IF(ISBLANK('Data Entry'!$»$312), "", 'Data Entry'!$»$312)</f>
      </c>
      <c r="DT312">
        <f>IF(ISBLANK('Data Entry'!$¼$312), "", 'Data Entry'!$¼$312)</f>
      </c>
      <c r="DU312">
        <f>IF(ISBLANK('Data Entry'!$½$312), "", 'Data Entry'!$½$312)</f>
      </c>
      <c r="DV312">
        <f>IF(ISBLANK('Data Entry'!$¾$312), "", 'Data Entry'!$¾$312)</f>
      </c>
      <c r="DW312">
        <f>IF(ISBLANK('Data Entry'!$¿$312), "", 'Data Entry'!$¿$312)</f>
      </c>
      <c r="DX312">
        <f>IF(ISBLANK('Data Entry'!$À$312), "", 'Data Entry'!$À$312)</f>
      </c>
      <c r="DY312">
        <f>IF(ISBLANK('Data Entry'!$Á$312), "", 'Data Entry'!$Á$312)</f>
      </c>
      <c r="DZ312">
        <f>IF(ISBLANK('Data Entry'!$Â$312), "", 'Data Entry'!$Â$312)</f>
      </c>
      <c r="EA312">
        <f>IF(ISBLANK('Data Entry'!$Ã$312), "", 'Data Entry'!$Ã$312)</f>
      </c>
      <c r="EB312">
        <f>IF(ISBLANK('Data Entry'!$Ä$312), "", 'Data Entry'!$Ä$312)</f>
      </c>
      <c r="EC312">
        <f>IF(ISBLANK('Data Entry'!$Å$312), "", 'Data Entry'!$Å$312)</f>
      </c>
      <c r="ED312">
        <f>IF(ISBLANK('Data Entry'!$Æ$312), "", 'Data Entry'!$Æ$312)</f>
      </c>
      <c r="EE312">
        <f>IF(ISBLANK('Data Entry'!$Ç$312), "", 'Data Entry'!$Ç$312)</f>
      </c>
      <c r="EF312">
        <f>IF(ISBLANK('Data Entry'!$È$312), "", 'Data Entry'!$È$312)</f>
      </c>
      <c r="EG312">
        <f>IF(ISBLANK('Data Entry'!$É$312), "", 'Data Entry'!$É$312)</f>
      </c>
      <c r="EH312">
        <f>IF(ISBLANK('Data Entry'!$Ê$312), "", 'Data Entry'!$Ê$312)</f>
      </c>
      <c r="EI312">
        <f>IF(ISBLANK('Data Entry'!$Ë$312), "", 'Data Entry'!$Ë$312)</f>
      </c>
      <c r="EJ312">
        <f>IF(ISBLANK('Data Entry'!$Ì$312), "", 'Data Entry'!$Ì$312)</f>
      </c>
      <c r="EK312">
        <f>IF(ISBLANK('Data Entry'!$Í$312), "", 'Data Entry'!$Í$312)</f>
      </c>
      <c r="EL312">
        <f>IF(ISBLANK('Data Entry'!$Î$312), "", 'Data Entry'!$Î$312)</f>
      </c>
      <c r="EM312">
        <f>IF(ISBLANK('Data Entry'!$Ï$312), "", 'Data Entry'!$Ï$312)</f>
      </c>
      <c r="EN312">
        <f>IF(ISBLANK('Data Entry'!$Ð$312), "", 'Data Entry'!$Ð$312)</f>
      </c>
      <c r="EO312">
        <f>IF(ISBLANK('Data Entry'!$Ñ$312), "", 'Data Entry'!$Ñ$312)</f>
      </c>
      <c r="EP312">
        <f>IF(ISBLANK('Data Entry'!$Ò$312), "", 'Data Entry'!$Ò$312)</f>
      </c>
      <c r="EQ312">
        <f>IF(ISBLANK('Data Entry'!$Ó$312), "", 'Data Entry'!$Ó$312)</f>
      </c>
      <c r="ER312">
        <f>IF(ISBLANK('Data Entry'!$Ô$312), "", 'Data Entry'!$Ô$312)</f>
      </c>
      <c r="ES312">
        <f>IF(ISBLANK('Data Entry'!$Õ$312), "", 'Data Entry'!$Õ$312)</f>
      </c>
      <c r="ET312">
        <f>IF(ISBLANK('Data Entry'!$Ö$312), "", 'Data Entry'!$Ö$312)</f>
      </c>
      <c r="EU312">
        <f>IF(ISBLANK('Data Entry'!$×$312), "", 'Data Entry'!$×$312)</f>
      </c>
      <c r="EV312">
        <f>IF(ISBLANK('Data Entry'!$Ø$312), "", 'Data Entry'!$Ø$312)</f>
      </c>
      <c r="EW312">
        <f>IF(ISBLANK('Data Entry'!$Ù$312), "", 'Data Entry'!$Ù$312)</f>
      </c>
      <c r="EX312">
        <f>IF(ISBLANK('Data Entry'!$Ú$312), "", 'Data Entry'!$Ú$312)</f>
      </c>
      <c r="EY312">
        <f>IF(ISBLANK('Data Entry'!$Û$312), "", 'Data Entry'!$Û$312)</f>
      </c>
      <c r="EZ312">
        <f>IF(ISBLANK('Data Entry'!$Ü$312), "", 'Data Entry'!$Ü$312)</f>
      </c>
      <c r="FA312">
        <f>IF(ISBLANK('Data Entry'!$Ý$312), "", 'Data Entry'!$Ý$312)</f>
      </c>
      <c r="FB312">
        <f>IF(ISBLANK('Data Entry'!$Þ$312), "", 'Data Entry'!$Þ$312)</f>
      </c>
      <c r="FC312">
        <f>IF(ISBLANK('Data Entry'!$ß$312), "", 'Data Entry'!$ß$312)</f>
      </c>
      <c r="FD312">
        <f>IF(ISBLANK('Data Entry'!$à$312), "", 'Data Entry'!$à$312)</f>
      </c>
      <c r="FE312">
        <f>IF(ISBLANK('Data Entry'!$á$312), "", 'Data Entry'!$á$312)</f>
      </c>
      <c r="FF312">
        <f>IF(ISBLANK('Data Entry'!$â$312), "", 'Data Entry'!$â$312)</f>
      </c>
      <c r="FG312">
        <f>IF(ISBLANK('Data Entry'!$ã$312), "", 'Data Entry'!$ã$312)</f>
      </c>
      <c r="FH312">
        <f>IF(ISBLANK('Data Entry'!$ä$312), "", 'Data Entry'!$ä$312)</f>
      </c>
      <c r="FI312">
        <f>IF(ISBLANK('Data Entry'!$å$312), "", 'Data Entry'!$å$312)</f>
      </c>
      <c r="FJ312">
        <f>IF(ISBLANK('Data Entry'!$æ$312), "", 'Data Entry'!$æ$312)</f>
      </c>
      <c r="FK312">
        <f>IF(ISBLANK('Data Entry'!$ç$312), "", 'Data Entry'!$ç$312)</f>
      </c>
      <c r="FL312">
        <f>IF(ISBLANK('Data Entry'!$è$312), "", 'Data Entry'!$è$312)</f>
      </c>
      <c r="FM312">
        <f>IF(ISBLANK('Data Entry'!$é$312), "", 'Data Entry'!$é$312)</f>
      </c>
      <c r="FN312">
        <f>IF(ISBLANK('Data Entry'!$ê$312), "", 'Data Entry'!$ê$312)</f>
      </c>
      <c r="FO312">
        <f>IF(ISBLANK('Data Entry'!$ë$312), "", 'Data Entry'!$ë$312)</f>
      </c>
      <c r="FP312">
        <f>IF(ISBLANK('Data Entry'!$ì$312), "", 'Data Entry'!$ì$312)</f>
      </c>
      <c r="FQ312">
        <f>IF(ISBLANK('Data Entry'!$í$312), "", 'Data Entry'!$í$312)</f>
      </c>
      <c r="FR312">
        <f>IF(ISBLANK('Data Entry'!$î$312), "", 'Data Entry'!$î$312)</f>
      </c>
      <c r="FS312">
        <f>IF(ISBLANK('Data Entry'!$ï$312), "", 'Data Entry'!$ï$312)</f>
      </c>
      <c r="FT312">
        <f>IF(ISBLANK('Data Entry'!$ð$312), "", 'Data Entry'!$ð$312)</f>
      </c>
      <c r="FU312">
        <f>IF(ISBLANK('Data Entry'!$ñ$312), "", 'Data Entry'!$ñ$312)</f>
      </c>
      <c r="FV312">
        <f>IF(ISBLANK('Data Entry'!$ò$312), "", 'Data Entry'!$ò$312)</f>
      </c>
      <c r="FW312">
        <f>IF(ISBLANK('Data Entry'!$ó$312), "", 'Data Entry'!$ó$312)</f>
      </c>
      <c r="FX312">
        <f>IF(ISBLANK('Data Entry'!$ô$312), "", 'Data Entry'!$ô$312)</f>
      </c>
      <c r="FY312">
        <f>IF(ISBLANK('Data Entry'!$õ$312), "", 'Data Entry'!$õ$312)</f>
      </c>
      <c r="FZ312">
        <f>IF(ISBLANK('Data Entry'!$ö$312), "", 'Data Entry'!$ö$312)</f>
      </c>
      <c r="GA312">
        <f>IF(ISBLANK('Data Entry'!$÷$312), "", 'Data Entry'!$÷$312)</f>
      </c>
      <c r="GB312">
        <f>IF(ISBLANK('Data Entry'!$ø$312), "", 'Data Entry'!$ø$312)</f>
      </c>
      <c r="GC312">
        <f>IF(ISBLANK('Data Entry'!$ù$312), "", 'Data Entry'!$ù$312)</f>
      </c>
      <c r="GD312">
        <f>IF(ISBLANK('Data Entry'!$ú$312), "", 'Data Entry'!$ú$312)</f>
      </c>
      <c r="GE312">
        <f>IF(ISBLANK('Data Entry'!$û$312), "", 'Data Entry'!$û$312)</f>
      </c>
      <c r="GF312">
        <f>IF(ISBLANK('Data Entry'!$ü$312), "", 'Data Entry'!$ü$312)</f>
      </c>
      <c r="GG312">
        <f>IF(ISBLANK('Data Entry'!$ý$312), "", 'Data Entry'!$ý$312)</f>
      </c>
      <c r="GH312">
        <f>IF(ISBLANK('Data Entry'!$þ$312), "", 'Data Entry'!$þ$312)</f>
      </c>
      <c r="GI312">
        <f>IF(ISBLANK('Data Entry'!$ÿ$312), "", 'Data Entry'!$ÿ$312)</f>
      </c>
      <c r="GJ312">
        <f>IF(ISBLANK('Data Entry'!$Ā$312), "", 'Data Entry'!$Ā$312)</f>
      </c>
      <c r="GK312">
        <f>IF(ISBLANK('Data Entry'!$ā$312), "", 'Data Entry'!$ā$312)</f>
      </c>
      <c r="GL312">
        <f>IF(ISBLANK('Data Entry'!$Ă$312), "", 'Data Entry'!$Ă$312)</f>
      </c>
      <c r="GM312">
        <f>IF(ISBLANK('Data Entry'!$ă$312), "", 'Data Entry'!$ă$312)</f>
      </c>
      <c r="GN312">
        <f>IF(ISBLANK('Data Entry'!$Ą$312), "", 'Data Entry'!$Ą$312)</f>
      </c>
      <c r="GO312">
        <f>IF(ISBLANK('Data Entry'!$ą$312), "", 'Data Entry'!$ą$312)</f>
      </c>
      <c r="GP312">
        <f>IF(ISBLANK('Data Entry'!$Ć$312), "", 'Data Entry'!$Ć$312)</f>
      </c>
      <c r="GQ312">
        <f>IF(ISBLANK('Data Entry'!$ć$312), "", 'Data Entry'!$ć$312)</f>
      </c>
      <c r="GR312">
        <f>IF(ISBLANK('Data Entry'!$Ĉ$312), "", 'Data Entry'!$Ĉ$312)</f>
      </c>
      <c r="GS312">
        <f>IF(ISBLANK('Data Entry'!$ĉ$312), "", 'Data Entry'!$ĉ$312)</f>
      </c>
      <c r="GT312">
        <f>IF(ISBLANK('Data Entry'!$Ċ$312), "", 'Data Entry'!$Ċ$312)</f>
      </c>
      <c r="GU312">
        <f>IF(ISBLANK('Data Entry'!$ċ$312), "", 'Data Entry'!$ċ$312)</f>
      </c>
      <c r="GV312">
        <f>IF(ISBLANK('Data Entry'!$Č$312), "", 'Data Entry'!$Č$312)</f>
      </c>
      <c r="GW312">
        <f>IF(ISBLANK('Data Entry'!$č$312), "", 'Data Entry'!$č$312)</f>
      </c>
      <c r="GX312">
        <f>IF(ISBLANK('Data Entry'!$Ď$312), "", 'Data Entry'!$Ď$312)</f>
      </c>
      <c r="GY312">
        <f>IF(ISBLANK('Data Entry'!$ď$312), "", 'Data Entry'!$ď$312)</f>
      </c>
      <c r="GZ312">
        <f>IF(ISBLANK('Data Entry'!$Đ$312), "", 'Data Entry'!$Đ$312)</f>
      </c>
      <c r="HA312">
        <f>IF(ISBLANK('Data Entry'!$đ$312), "", 'Data Entry'!$đ$312)</f>
      </c>
      <c r="HB312">
        <f>IF(ISBLANK('Data Entry'!$Ē$312), "", 'Data Entry'!$Ē$312)</f>
      </c>
      <c r="HC312">
        <f>IF(ISBLANK('Data Entry'!$ē$312), "", 'Data Entry'!$ē$312)</f>
      </c>
      <c r="HD312">
        <f>IF(ISBLANK('Data Entry'!$Ĕ$312), "", 'Data Entry'!$Ĕ$312)</f>
      </c>
      <c r="HE312">
        <f>IF(ISBLANK('Data Entry'!$ĕ$312), "", 'Data Entry'!$ĕ$312)</f>
      </c>
      <c r="HF312">
        <f>IF(ISBLANK('Data Entry'!$Ė$312), "", 'Data Entry'!$Ė$312)</f>
      </c>
      <c r="HG312">
        <f>IF(ISBLANK('Data Entry'!$ė$312), "", 'Data Entry'!$ė$312)</f>
      </c>
      <c r="HH312">
        <f>IF(ISBLANK('Data Entry'!$Ę$312), "", 'Data Entry'!$Ę$312)</f>
      </c>
      <c r="HI312">
        <f>IF(ISBLANK('Data Entry'!$ę$312), "", 'Data Entry'!$ę$312)</f>
      </c>
      <c r="HJ312">
        <f>IF(ISBLANK('Data Entry'!$Ě$312), "", 'Data Entry'!$Ě$312)</f>
      </c>
      <c r="HK312">
        <f>IF(ISBLANK('Data Entry'!$ě$312), "", 'Data Entry'!$ě$312)</f>
      </c>
      <c r="HL312">
        <f>IF(ISBLANK('Data Entry'!$Ĝ$312), "", 'Data Entry'!$Ĝ$312)</f>
      </c>
      <c r="HM312">
        <f>IF(ISBLANK('Data Entry'!$ĝ$312), "", 'Data Entry'!$ĝ$312)</f>
      </c>
      <c r="HN312">
        <f>IF(ISBLANK('Data Entry'!$Ğ$312), "", 'Data Entry'!$Ğ$312)</f>
      </c>
      <c r="HO312">
        <f>IF(ISBLANK('Data Entry'!$ğ$312), "", 'Data Entry'!$ğ$312)</f>
      </c>
      <c r="HP312">
        <f>IF(ISBLANK('Data Entry'!$Ġ$312), "", 'Data Entry'!$Ġ$312)</f>
      </c>
      <c r="HQ312">
        <f>IF(ISBLANK('Data Entry'!$ġ$312), "", 'Data Entry'!$ġ$312)</f>
      </c>
      <c r="HR312">
        <f>IF(ISBLANK('Data Entry'!$Ģ$312), "", 'Data Entry'!$Ģ$312)</f>
      </c>
      <c r="HS312">
        <f>IF(ISBLANK('Data Entry'!$ģ$312), "", 'Data Entry'!$ģ$312)</f>
      </c>
      <c r="HT312">
        <f>IF(ISBLANK('Data Entry'!$Ĥ$312), "", 'Data Entry'!$Ĥ$312)</f>
      </c>
      <c r="HU312">
        <f>IF(ISBLANK('Data Entry'!$ĥ$312), "", 'Data Entry'!$ĥ$312)</f>
      </c>
      <c r="HV312">
        <f>IF(ISBLANK('Data Entry'!$Ħ$312), "", 'Data Entry'!$Ħ$312)</f>
      </c>
      <c r="HW312">
        <f>IF(ISBLANK('Data Entry'!$ħ$312), "", 'Data Entry'!$ħ$312)</f>
      </c>
      <c r="HX312">
        <f>IF(ISBLANK('Data Entry'!$Ĩ$312), "", 'Data Entry'!$Ĩ$312)</f>
      </c>
      <c r="HY312">
        <f>IF(ISBLANK('Data Entry'!$ĩ$312), "", 'Data Entry'!$ĩ$312)</f>
      </c>
      <c r="HZ312">
        <f>IF(ISBLANK('Data Entry'!$Ī$312), "", 'Data Entry'!$Ī$312)</f>
      </c>
      <c r="IA312">
        <f>IF(ISBLANK('Data Entry'!$ī$312), "", 'Data Entry'!$ī$312)</f>
      </c>
      <c r="IB312">
        <f>IF(ISBLANK('Data Entry'!$Ĭ$312), "", 'Data Entry'!$Ĭ$312)</f>
      </c>
      <c r="IC312">
        <f>IF(ISBLANK('Data Entry'!$ĭ$312), "", 'Data Entry'!$ĭ$312)</f>
      </c>
      <c r="ID312">
        <f>IF(ISBLANK('Data Entry'!$Į$312), "", 'Data Entry'!$Į$312)</f>
      </c>
      <c r="IE312">
        <f>IF(ISBLANK('Data Entry'!$į$312), "", 'Data Entry'!$į$312)</f>
      </c>
      <c r="IF312">
        <f>IF(ISBLANK('Data Entry'!$İ$312), "", 'Data Entry'!$İ$312)</f>
      </c>
      <c r="IG312">
        <f>IF(ISBLANK('Data Entry'!$ı$312), "", 'Data Entry'!$ı$312)</f>
      </c>
      <c r="IH312">
        <f>IF(ISBLANK('Data Entry'!$Ĳ$312), "", 'Data Entry'!$Ĳ$312)</f>
      </c>
      <c r="II312">
        <f>IF(ISBLANK('Data Entry'!$ĳ$312), "", 'Data Entry'!$ĳ$312)</f>
      </c>
      <c r="IJ312">
        <f>IF(ISBLANK('Data Entry'!$Ĵ$312), "", 'Data Entry'!$Ĵ$312)</f>
      </c>
      <c r="IK312">
        <f>IF(ISBLANK('Data Entry'!$ĵ$312), "", 'Data Entry'!$ĵ$312)</f>
      </c>
      <c r="IL312">
        <f>IF(ISBLANK('Data Entry'!$Ķ$312), "", 'Data Entry'!$Ķ$312)</f>
      </c>
      <c r="IM312">
        <f>IF(ISBLANK('Data Entry'!$ķ$312), "", 'Data Entry'!$ķ$312)</f>
      </c>
      <c r="IN312">
        <f>IF(ISBLANK('Data Entry'!$ĸ$312), "", 'Data Entry'!$ĸ$312)</f>
      </c>
      <c r="IO312">
        <f>IF(ISBLANK('Data Entry'!$Ĺ$312), "", 'Data Entry'!$Ĺ$312)</f>
      </c>
      <c r="IP312">
        <f>IF(ISBLANK('Data Entry'!$ĺ$312), "", 'Data Entry'!$ĺ$312)</f>
      </c>
      <c r="IQ312">
        <f>IF(ISBLANK('Data Entry'!$Ļ$312), "", 'Data Entry'!$Ļ$312)</f>
      </c>
      <c r="IR312">
        <f>IF(ISBLANK('Data Entry'!$ļ$312), "", 'Data Entry'!$ļ$312)</f>
      </c>
      <c r="IS312">
        <f>IF(ISBLANK('Data Entry'!$Ľ$312), "", 'Data Entry'!$Ľ$312)</f>
      </c>
      <c r="IT312">
        <f>IF(ISBLANK('Data Entry'!$ľ$312), "", 'Data Entry'!$ľ$312)</f>
      </c>
    </row>
    <row r="313" spans="1:254" x14ac:dyDescent="0.25">
      <c r="A313">
        <f>IF(ISBLANK('Data Entry'!$A$313), "", 'Data Entry'!$A$313)</f>
      </c>
      <c r="B313">
        <f>IF(ISBLANK('Data Entry'!$B$313), "", 'Data Entry'!$B$313)</f>
      </c>
      <c r="C313">
        <f>IF(ISBLANK('Data Entry'!$C$313), "", 'Data Entry'!$C$313)</f>
      </c>
      <c r="D313">
        <f>IF(ISBLANK('Data Entry'!$D$313), "", 'Data Entry'!$D$313)</f>
      </c>
      <c r="E313">
        <f>IF(ISBLANK('Data Entry'!$E$313), "", 'Data Entry'!$E$313)</f>
      </c>
      <c r="F313">
        <f>IF(ISBLANK('Data Entry'!$F$313), "", 'Data Entry'!$F$313)</f>
      </c>
      <c r="G313">
        <f>IF(ISBLANK('Data Entry'!$G$313), "", 'Data Entry'!$G$313)</f>
      </c>
      <c r="H313">
        <f>IF(ISBLANK('Data Entry'!$H$313), "", 'Data Entry'!$H$313)</f>
      </c>
      <c r="I313">
        <f>IF(ISBLANK('Data Entry'!$I$313), "", 'Data Entry'!$I$313)</f>
      </c>
      <c r="J313">
        <f>IF(ISBLANK('Data Entry'!$J$313), "", 'Data Entry'!$J$313)</f>
      </c>
      <c r="K313">
        <f>IF(ISBLANK('Data Entry'!$K$313), "", 'Data Entry'!$K$313)</f>
      </c>
      <c r="L313">
        <f>IF(ISBLANK('Data Entry'!$L$313), "", 'Data Entry'!$L$313)</f>
      </c>
      <c r="M313">
        <f>IF(ISBLANK('Data Entry'!$M$313), "", 'Data Entry'!$M$313)</f>
      </c>
      <c r="N313">
        <f>IF(ISBLANK('Data Entry'!$N$313), "", 'Data Entry'!$N$313)</f>
      </c>
      <c r="O313">
        <f>IF(ISBLANK('Data Entry'!$O$313), "", 'Data Entry'!$O$313)</f>
      </c>
      <c r="P313">
        <f>IF(ISBLANK('Data Entry'!$P$313), "", 'Data Entry'!$P$313)</f>
      </c>
      <c r="Q313">
        <f>IF(ISBLANK('Data Entry'!$Q$313), "", 'Data Entry'!$Q$313)</f>
      </c>
      <c r="R313">
        <f>IF(ISBLANK('Data Entry'!$R$313), "", 'Data Entry'!$R$313)</f>
      </c>
      <c r="S313">
        <f>IF(ISBLANK('Data Entry'!$S$313), "", 'Data Entry'!$S$313)</f>
      </c>
      <c r="T313">
        <f>IF(ISBLANK('Data Entry'!$T$313), "", 'Data Entry'!$T$313)</f>
      </c>
      <c r="U313">
        <f>IF(ISBLANK('Data Entry'!$U$313), "", 'Data Entry'!$U$313)</f>
      </c>
      <c r="V313">
        <f>IF(ISBLANK('Data Entry'!$V$313), "", 'Data Entry'!$V$313)</f>
      </c>
      <c r="W313">
        <f>IF(ISBLANK('Data Entry'!$W$313), "", 'Data Entry'!$W$313)</f>
      </c>
      <c r="X313">
        <f>IF(ISBLANK('Data Entry'!$X$313), "", 'Data Entry'!$X$313)</f>
      </c>
      <c r="Y313">
        <f>IF(ISBLANK('Data Entry'!$Y$313), "", 'Data Entry'!$Y$313)</f>
      </c>
      <c r="Z313">
        <f>IF(ISBLANK('Data Entry'!$Z$313), "", 'Data Entry'!$Z$313)</f>
      </c>
      <c r="AA313">
        <f>IF(ISBLANK('Data Entry'!$[$313), "", 'Data Entry'!$[$313)</f>
      </c>
      <c r="AB313">
        <f>IF(ISBLANK('Data Entry'!$\$313), "", 'Data Entry'!$\$313)</f>
      </c>
      <c r="AC313">
        <f>IF(ISBLANK('Data Entry'!$]$313), "", 'Data Entry'!$]$313)</f>
      </c>
      <c r="AD313">
        <f>IF(ISBLANK('Data Entry'!$^$313), "", 'Data Entry'!$^$313)</f>
      </c>
      <c r="AE313">
        <f>IF(ISBLANK('Data Entry'!$_$313), "", 'Data Entry'!$_$313)</f>
      </c>
      <c r="AF313">
        <f>IF(ISBLANK('Data Entry'!$`$313), "", 'Data Entry'!$`$313)</f>
      </c>
      <c r="AG313">
        <f>IF(ISBLANK('Data Entry'!$a$313), "", 'Data Entry'!$a$313)</f>
      </c>
      <c r="AH313">
        <f>IF(ISBLANK('Data Entry'!$b$313), "", 'Data Entry'!$b$313)</f>
      </c>
      <c r="AI313">
        <f>IF(ISBLANK('Data Entry'!$c$313), "", 'Data Entry'!$c$313)</f>
      </c>
      <c r="AJ313">
        <f>IF(ISBLANK('Data Entry'!$d$313), "", 'Data Entry'!$d$313)</f>
      </c>
      <c r="AK313">
        <f>IF(ISBLANK('Data Entry'!$e$313), "", 'Data Entry'!$e$313)</f>
      </c>
      <c r="AL313">
        <f>IF(ISBLANK('Data Entry'!$f$313), "", 'Data Entry'!$f$313)</f>
      </c>
      <c r="AM313">
        <f>IF(ISBLANK('Data Entry'!$g$313), "", 'Data Entry'!$g$313)</f>
      </c>
      <c r="AN313">
        <f>IF(ISBLANK('Data Entry'!$h$313), "", 'Data Entry'!$h$313)</f>
      </c>
      <c r="AO313">
        <f>IF(ISBLANK('Data Entry'!$i$313), "", 'Data Entry'!$i$313)</f>
      </c>
      <c r="AP313">
        <f>IF(ISBLANK('Data Entry'!$j$313), "", 'Data Entry'!$j$313)</f>
      </c>
      <c r="AQ313">
        <f>IF(ISBLANK('Data Entry'!$k$313), "", 'Data Entry'!$k$313)</f>
      </c>
      <c r="AR313">
        <f>IF(ISBLANK('Data Entry'!$l$313), "", 'Data Entry'!$l$313)</f>
      </c>
      <c r="AS313">
        <f>IF(ISBLANK('Data Entry'!$m$313), "", 'Data Entry'!$m$313)</f>
      </c>
      <c r="AT313">
        <f>IF(ISBLANK('Data Entry'!$n$313), "", 'Data Entry'!$n$313)</f>
      </c>
      <c r="AU313">
        <f>IF(ISBLANK('Data Entry'!$o$313), "", 'Data Entry'!$o$313)</f>
      </c>
      <c r="AV313">
        <f>IF(ISBLANK('Data Entry'!$p$313), "", 'Data Entry'!$p$313)</f>
      </c>
      <c r="AW313">
        <f>IF(ISBLANK('Data Entry'!$q$313), "", 'Data Entry'!$q$313)</f>
      </c>
      <c r="AX313">
        <f>IF(ISBLANK('Data Entry'!$r$313), "", 'Data Entry'!$r$313)</f>
      </c>
      <c r="AY313">
        <f>IF(ISBLANK('Data Entry'!$s$313), "", 'Data Entry'!$s$313)</f>
      </c>
      <c r="AZ313">
        <f>IF(ISBLANK('Data Entry'!$t$313), "", 'Data Entry'!$t$313)</f>
      </c>
      <c r="BA313">
        <f>IF(ISBLANK('Data Entry'!$u$313), "", 'Data Entry'!$u$313)</f>
      </c>
      <c r="BB313">
        <f>IF(ISBLANK('Data Entry'!$v$313), "", 'Data Entry'!$v$313)</f>
      </c>
      <c r="BC313">
        <f>IF(ISBLANK('Data Entry'!$w$313), "", 'Data Entry'!$w$313)</f>
      </c>
      <c r="BD313">
        <f>IF(ISBLANK('Data Entry'!$x$313), "", 'Data Entry'!$x$313)</f>
      </c>
      <c r="BE313">
        <f>IF(ISBLANK('Data Entry'!$y$313), "", 'Data Entry'!$y$313)</f>
      </c>
      <c r="BF313">
        <f>IF(ISBLANK('Data Entry'!$z$313), "", 'Data Entry'!$z$313)</f>
      </c>
      <c r="BG313">
        <f>IF(ISBLANK('Data Entry'!${$313), "", 'Data Entry'!${$313)</f>
      </c>
      <c r="BH313">
        <f>IF(ISBLANK('Data Entry'!$|$313), "", 'Data Entry'!$|$313)</f>
      </c>
      <c r="BI313">
        <f>IF(ISBLANK('Data Entry'!$}$313), "", 'Data Entry'!$}$313)</f>
      </c>
      <c r="BJ313">
        <f>IF(ISBLANK('Data Entry'!$~$313), "", 'Data Entry'!$~$313)</f>
      </c>
      <c r="BK313">
        <f>IF(ISBLANK('Data Entry'!$$313), "", 'Data Entry'!$$313)</f>
      </c>
      <c r="BL313">
        <f>IF(ISBLANK('Data Entry'!$$313), "", 'Data Entry'!$$313)</f>
      </c>
      <c r="BM313">
        <f>IF(ISBLANK('Data Entry'!$$313), "", 'Data Entry'!$$313)</f>
      </c>
      <c r="BN313">
        <f>IF(ISBLANK('Data Entry'!$$313), "", 'Data Entry'!$$313)</f>
      </c>
      <c r="BO313">
        <f>IF(ISBLANK('Data Entry'!$$313), "", 'Data Entry'!$$313)</f>
      </c>
      <c r="BP313">
        <f>IF(ISBLANK('Data Entry'!$$313), "", 'Data Entry'!$$313)</f>
      </c>
      <c r="BQ313">
        <f>IF(ISBLANK('Data Entry'!$$313), "", 'Data Entry'!$$313)</f>
      </c>
      <c r="BR313">
        <f>IF(ISBLANK('Data Entry'!$$313), "", 'Data Entry'!$$313)</f>
      </c>
      <c r="BS313">
        <f>IF(ISBLANK('Data Entry'!$$313), "", 'Data Entry'!$$313)</f>
      </c>
      <c r="BT313">
        <f>IF(ISBLANK('Data Entry'!$$313), "", 'Data Entry'!$$313)</f>
      </c>
      <c r="BU313">
        <f>IF(ISBLANK('Data Entry'!$$313), "", 'Data Entry'!$$313)</f>
      </c>
      <c r="BV313">
        <f>IF(ISBLANK('Data Entry'!$$313), "", 'Data Entry'!$$313)</f>
      </c>
      <c r="BW313">
        <f>IF(ISBLANK('Data Entry'!$$313), "", 'Data Entry'!$$313)</f>
      </c>
      <c r="BX313">
        <f>IF(ISBLANK('Data Entry'!$$313), "", 'Data Entry'!$$313)</f>
      </c>
      <c r="BY313">
        <f>IF(ISBLANK('Data Entry'!$$313), "", 'Data Entry'!$$313)</f>
      </c>
      <c r="BZ313">
        <f>IF(ISBLANK('Data Entry'!$$313), "", 'Data Entry'!$$313)</f>
      </c>
      <c r="CA313">
        <f>IF(ISBLANK('Data Entry'!$$313), "", 'Data Entry'!$$313)</f>
      </c>
      <c r="CB313">
        <f>IF(ISBLANK('Data Entry'!$$313), "", 'Data Entry'!$$313)</f>
      </c>
      <c r="CC313">
        <f>IF(ISBLANK('Data Entry'!$$313), "", 'Data Entry'!$$313)</f>
      </c>
      <c r="CD313">
        <f>IF(ISBLANK('Data Entry'!$$313), "", 'Data Entry'!$$313)</f>
      </c>
      <c r="CE313">
        <f>IF(ISBLANK('Data Entry'!$$313), "", 'Data Entry'!$$313)</f>
      </c>
      <c r="CF313">
        <f>IF(ISBLANK('Data Entry'!$$313), "", 'Data Entry'!$$313)</f>
      </c>
      <c r="CG313">
        <f>IF(ISBLANK('Data Entry'!$$313), "", 'Data Entry'!$$313)</f>
      </c>
      <c r="CH313">
        <f>IF(ISBLANK('Data Entry'!$$313), "", 'Data Entry'!$$313)</f>
      </c>
      <c r="CI313">
        <f>IF(ISBLANK('Data Entry'!$$313), "", 'Data Entry'!$$313)</f>
      </c>
      <c r="CJ313">
        <f>IF(ISBLANK('Data Entry'!$$313), "", 'Data Entry'!$$313)</f>
      </c>
      <c r="CK313">
        <f>IF(ISBLANK('Data Entry'!$$313), "", 'Data Entry'!$$313)</f>
      </c>
      <c r="CL313">
        <f>IF(ISBLANK('Data Entry'!$$313), "", 'Data Entry'!$$313)</f>
      </c>
      <c r="CM313">
        <f>IF(ISBLANK('Data Entry'!$$313), "", 'Data Entry'!$$313)</f>
      </c>
      <c r="CN313">
        <f>IF(ISBLANK('Data Entry'!$$313), "", 'Data Entry'!$$313)</f>
      </c>
      <c r="CO313">
        <f>IF(ISBLANK('Data Entry'!$$313), "", 'Data Entry'!$$313)</f>
      </c>
      <c r="CP313">
        <f>IF(ISBLANK('Data Entry'!$$313), "", 'Data Entry'!$$313)</f>
      </c>
      <c r="CQ313">
        <f>IF(ISBLANK('Data Entry'!$$313), "", 'Data Entry'!$$313)</f>
      </c>
      <c r="CR313">
        <f>IF(ISBLANK('Data Entry'!$ $313), "", 'Data Entry'!$ $313)</f>
      </c>
      <c r="CS313">
        <f>IF(ISBLANK('Data Entry'!$¡$313), "", 'Data Entry'!$¡$313)</f>
      </c>
      <c r="CT313">
        <f>IF(ISBLANK('Data Entry'!$¢$313), "", 'Data Entry'!$¢$313)</f>
      </c>
      <c r="CU313">
        <f>IF(ISBLANK('Data Entry'!$£$313), "", 'Data Entry'!$£$313)</f>
      </c>
      <c r="CV313">
        <f>IF(ISBLANK('Data Entry'!$¤$313), "", 'Data Entry'!$¤$313)</f>
      </c>
      <c r="CW313">
        <f>IF(ISBLANK('Data Entry'!$¥$313), "", 'Data Entry'!$¥$313)</f>
      </c>
      <c r="CX313">
        <f>IF(ISBLANK('Data Entry'!$¦$313), "", 'Data Entry'!$¦$313)</f>
      </c>
      <c r="CY313">
        <f>IF(ISBLANK('Data Entry'!$§$313), "", 'Data Entry'!$§$313)</f>
      </c>
      <c r="CZ313">
        <f>IF(ISBLANK('Data Entry'!$¨$313), "", 'Data Entry'!$¨$313)</f>
      </c>
      <c r="DA313">
        <f>IF(ISBLANK('Data Entry'!$©$313), "", 'Data Entry'!$©$313)</f>
      </c>
      <c r="DB313">
        <f>IF(ISBLANK('Data Entry'!$ª$313), "", 'Data Entry'!$ª$313)</f>
      </c>
      <c r="DC313">
        <f>IF(ISBLANK('Data Entry'!$«$313), "", 'Data Entry'!$«$313)</f>
      </c>
      <c r="DD313">
        <f>IF(ISBLANK('Data Entry'!$¬$313), "", 'Data Entry'!$¬$313)</f>
      </c>
      <c r="DE313">
        <f>IF(ISBLANK('Data Entry'!$­$313), "", 'Data Entry'!$­$313)</f>
      </c>
      <c r="DF313">
        <f>IF(ISBLANK('Data Entry'!$®$313), "", 'Data Entry'!$®$313)</f>
      </c>
      <c r="DG313">
        <f>IF(ISBLANK('Data Entry'!$¯$313), "", 'Data Entry'!$¯$313)</f>
      </c>
      <c r="DH313">
        <f>IF(ISBLANK('Data Entry'!$°$313), "", 'Data Entry'!$°$313)</f>
      </c>
      <c r="DI313">
        <f>IF(ISBLANK('Data Entry'!$±$313), "", 'Data Entry'!$±$313)</f>
      </c>
      <c r="DJ313">
        <f>IF(ISBLANK('Data Entry'!$²$313), "", 'Data Entry'!$²$313)</f>
      </c>
      <c r="DK313">
        <f>IF(ISBLANK('Data Entry'!$³$313), "", 'Data Entry'!$³$313)</f>
      </c>
      <c r="DL313">
        <f>IF(ISBLANK('Data Entry'!$´$313), "", 'Data Entry'!$´$313)</f>
      </c>
      <c r="DM313">
        <f>IF(ISBLANK('Data Entry'!$µ$313), "", 'Data Entry'!$µ$313)</f>
      </c>
      <c r="DN313">
        <f>IF(ISBLANK('Data Entry'!$¶$313), "", 'Data Entry'!$¶$313)</f>
      </c>
      <c r="DO313">
        <f>IF(ISBLANK('Data Entry'!$·$313), "", 'Data Entry'!$·$313)</f>
      </c>
      <c r="DP313">
        <f>IF(ISBLANK('Data Entry'!$¸$313), "", 'Data Entry'!$¸$313)</f>
      </c>
      <c r="DQ313">
        <f>IF(ISBLANK('Data Entry'!$¹$313), "", 'Data Entry'!$¹$313)</f>
      </c>
      <c r="DR313">
        <f>IF(ISBLANK('Data Entry'!$º$313), "", 'Data Entry'!$º$313)</f>
      </c>
      <c r="DS313">
        <f>IF(ISBLANK('Data Entry'!$»$313), "", 'Data Entry'!$»$313)</f>
      </c>
      <c r="DT313">
        <f>IF(ISBLANK('Data Entry'!$¼$313), "", 'Data Entry'!$¼$313)</f>
      </c>
      <c r="DU313">
        <f>IF(ISBLANK('Data Entry'!$½$313), "", 'Data Entry'!$½$313)</f>
      </c>
      <c r="DV313">
        <f>IF(ISBLANK('Data Entry'!$¾$313), "", 'Data Entry'!$¾$313)</f>
      </c>
      <c r="DW313">
        <f>IF(ISBLANK('Data Entry'!$¿$313), "", 'Data Entry'!$¿$313)</f>
      </c>
      <c r="DX313">
        <f>IF(ISBLANK('Data Entry'!$À$313), "", 'Data Entry'!$À$313)</f>
      </c>
      <c r="DY313">
        <f>IF(ISBLANK('Data Entry'!$Á$313), "", 'Data Entry'!$Á$313)</f>
      </c>
      <c r="DZ313">
        <f>IF(ISBLANK('Data Entry'!$Â$313), "", 'Data Entry'!$Â$313)</f>
      </c>
      <c r="EA313">
        <f>IF(ISBLANK('Data Entry'!$Ã$313), "", 'Data Entry'!$Ã$313)</f>
      </c>
      <c r="EB313">
        <f>IF(ISBLANK('Data Entry'!$Ä$313), "", 'Data Entry'!$Ä$313)</f>
      </c>
      <c r="EC313">
        <f>IF(ISBLANK('Data Entry'!$Å$313), "", 'Data Entry'!$Å$313)</f>
      </c>
      <c r="ED313">
        <f>IF(ISBLANK('Data Entry'!$Æ$313), "", 'Data Entry'!$Æ$313)</f>
      </c>
      <c r="EE313">
        <f>IF(ISBLANK('Data Entry'!$Ç$313), "", 'Data Entry'!$Ç$313)</f>
      </c>
      <c r="EF313">
        <f>IF(ISBLANK('Data Entry'!$È$313), "", 'Data Entry'!$È$313)</f>
      </c>
      <c r="EG313">
        <f>IF(ISBLANK('Data Entry'!$É$313), "", 'Data Entry'!$É$313)</f>
      </c>
      <c r="EH313">
        <f>IF(ISBLANK('Data Entry'!$Ê$313), "", 'Data Entry'!$Ê$313)</f>
      </c>
      <c r="EI313">
        <f>IF(ISBLANK('Data Entry'!$Ë$313), "", 'Data Entry'!$Ë$313)</f>
      </c>
      <c r="EJ313">
        <f>IF(ISBLANK('Data Entry'!$Ì$313), "", 'Data Entry'!$Ì$313)</f>
      </c>
      <c r="EK313">
        <f>IF(ISBLANK('Data Entry'!$Í$313), "", 'Data Entry'!$Í$313)</f>
      </c>
      <c r="EL313">
        <f>IF(ISBLANK('Data Entry'!$Î$313), "", 'Data Entry'!$Î$313)</f>
      </c>
      <c r="EM313">
        <f>IF(ISBLANK('Data Entry'!$Ï$313), "", 'Data Entry'!$Ï$313)</f>
      </c>
      <c r="EN313">
        <f>IF(ISBLANK('Data Entry'!$Ð$313), "", 'Data Entry'!$Ð$313)</f>
      </c>
      <c r="EO313">
        <f>IF(ISBLANK('Data Entry'!$Ñ$313), "", 'Data Entry'!$Ñ$313)</f>
      </c>
      <c r="EP313">
        <f>IF(ISBLANK('Data Entry'!$Ò$313), "", 'Data Entry'!$Ò$313)</f>
      </c>
      <c r="EQ313">
        <f>IF(ISBLANK('Data Entry'!$Ó$313), "", 'Data Entry'!$Ó$313)</f>
      </c>
      <c r="ER313">
        <f>IF(ISBLANK('Data Entry'!$Ô$313), "", 'Data Entry'!$Ô$313)</f>
      </c>
      <c r="ES313">
        <f>IF(ISBLANK('Data Entry'!$Õ$313), "", 'Data Entry'!$Õ$313)</f>
      </c>
      <c r="ET313">
        <f>IF(ISBLANK('Data Entry'!$Ö$313), "", 'Data Entry'!$Ö$313)</f>
      </c>
      <c r="EU313">
        <f>IF(ISBLANK('Data Entry'!$×$313), "", 'Data Entry'!$×$313)</f>
      </c>
      <c r="EV313">
        <f>IF(ISBLANK('Data Entry'!$Ø$313), "", 'Data Entry'!$Ø$313)</f>
      </c>
      <c r="EW313">
        <f>IF(ISBLANK('Data Entry'!$Ù$313), "", 'Data Entry'!$Ù$313)</f>
      </c>
      <c r="EX313">
        <f>IF(ISBLANK('Data Entry'!$Ú$313), "", 'Data Entry'!$Ú$313)</f>
      </c>
      <c r="EY313">
        <f>IF(ISBLANK('Data Entry'!$Û$313), "", 'Data Entry'!$Û$313)</f>
      </c>
      <c r="EZ313">
        <f>IF(ISBLANK('Data Entry'!$Ü$313), "", 'Data Entry'!$Ü$313)</f>
      </c>
      <c r="FA313">
        <f>IF(ISBLANK('Data Entry'!$Ý$313), "", 'Data Entry'!$Ý$313)</f>
      </c>
      <c r="FB313">
        <f>IF(ISBLANK('Data Entry'!$Þ$313), "", 'Data Entry'!$Þ$313)</f>
      </c>
      <c r="FC313">
        <f>IF(ISBLANK('Data Entry'!$ß$313), "", 'Data Entry'!$ß$313)</f>
      </c>
      <c r="FD313">
        <f>IF(ISBLANK('Data Entry'!$à$313), "", 'Data Entry'!$à$313)</f>
      </c>
      <c r="FE313">
        <f>IF(ISBLANK('Data Entry'!$á$313), "", 'Data Entry'!$á$313)</f>
      </c>
      <c r="FF313">
        <f>IF(ISBLANK('Data Entry'!$â$313), "", 'Data Entry'!$â$313)</f>
      </c>
      <c r="FG313">
        <f>IF(ISBLANK('Data Entry'!$ã$313), "", 'Data Entry'!$ã$313)</f>
      </c>
      <c r="FH313">
        <f>IF(ISBLANK('Data Entry'!$ä$313), "", 'Data Entry'!$ä$313)</f>
      </c>
      <c r="FI313">
        <f>IF(ISBLANK('Data Entry'!$å$313), "", 'Data Entry'!$å$313)</f>
      </c>
      <c r="FJ313">
        <f>IF(ISBLANK('Data Entry'!$æ$313), "", 'Data Entry'!$æ$313)</f>
      </c>
      <c r="FK313">
        <f>IF(ISBLANK('Data Entry'!$ç$313), "", 'Data Entry'!$ç$313)</f>
      </c>
      <c r="FL313">
        <f>IF(ISBLANK('Data Entry'!$è$313), "", 'Data Entry'!$è$313)</f>
      </c>
      <c r="FM313">
        <f>IF(ISBLANK('Data Entry'!$é$313), "", 'Data Entry'!$é$313)</f>
      </c>
      <c r="FN313">
        <f>IF(ISBLANK('Data Entry'!$ê$313), "", 'Data Entry'!$ê$313)</f>
      </c>
      <c r="FO313">
        <f>IF(ISBLANK('Data Entry'!$ë$313), "", 'Data Entry'!$ë$313)</f>
      </c>
      <c r="FP313">
        <f>IF(ISBLANK('Data Entry'!$ì$313), "", 'Data Entry'!$ì$313)</f>
      </c>
      <c r="FQ313">
        <f>IF(ISBLANK('Data Entry'!$í$313), "", 'Data Entry'!$í$313)</f>
      </c>
      <c r="FR313">
        <f>IF(ISBLANK('Data Entry'!$î$313), "", 'Data Entry'!$î$313)</f>
      </c>
      <c r="FS313">
        <f>IF(ISBLANK('Data Entry'!$ï$313), "", 'Data Entry'!$ï$313)</f>
      </c>
      <c r="FT313">
        <f>IF(ISBLANK('Data Entry'!$ð$313), "", 'Data Entry'!$ð$313)</f>
      </c>
      <c r="FU313">
        <f>IF(ISBLANK('Data Entry'!$ñ$313), "", 'Data Entry'!$ñ$313)</f>
      </c>
      <c r="FV313">
        <f>IF(ISBLANK('Data Entry'!$ò$313), "", 'Data Entry'!$ò$313)</f>
      </c>
      <c r="FW313">
        <f>IF(ISBLANK('Data Entry'!$ó$313), "", 'Data Entry'!$ó$313)</f>
      </c>
      <c r="FX313">
        <f>IF(ISBLANK('Data Entry'!$ô$313), "", 'Data Entry'!$ô$313)</f>
      </c>
      <c r="FY313">
        <f>IF(ISBLANK('Data Entry'!$õ$313), "", 'Data Entry'!$õ$313)</f>
      </c>
      <c r="FZ313">
        <f>IF(ISBLANK('Data Entry'!$ö$313), "", 'Data Entry'!$ö$313)</f>
      </c>
      <c r="GA313">
        <f>IF(ISBLANK('Data Entry'!$÷$313), "", 'Data Entry'!$÷$313)</f>
      </c>
      <c r="GB313">
        <f>IF(ISBLANK('Data Entry'!$ø$313), "", 'Data Entry'!$ø$313)</f>
      </c>
      <c r="GC313">
        <f>IF(ISBLANK('Data Entry'!$ù$313), "", 'Data Entry'!$ù$313)</f>
      </c>
      <c r="GD313">
        <f>IF(ISBLANK('Data Entry'!$ú$313), "", 'Data Entry'!$ú$313)</f>
      </c>
      <c r="GE313">
        <f>IF(ISBLANK('Data Entry'!$û$313), "", 'Data Entry'!$û$313)</f>
      </c>
      <c r="GF313">
        <f>IF(ISBLANK('Data Entry'!$ü$313), "", 'Data Entry'!$ü$313)</f>
      </c>
      <c r="GG313">
        <f>IF(ISBLANK('Data Entry'!$ý$313), "", 'Data Entry'!$ý$313)</f>
      </c>
      <c r="GH313">
        <f>IF(ISBLANK('Data Entry'!$þ$313), "", 'Data Entry'!$þ$313)</f>
      </c>
      <c r="GI313">
        <f>IF(ISBLANK('Data Entry'!$ÿ$313), "", 'Data Entry'!$ÿ$313)</f>
      </c>
      <c r="GJ313">
        <f>IF(ISBLANK('Data Entry'!$Ā$313), "", 'Data Entry'!$Ā$313)</f>
      </c>
      <c r="GK313">
        <f>IF(ISBLANK('Data Entry'!$ā$313), "", 'Data Entry'!$ā$313)</f>
      </c>
      <c r="GL313">
        <f>IF(ISBLANK('Data Entry'!$Ă$313), "", 'Data Entry'!$Ă$313)</f>
      </c>
      <c r="GM313">
        <f>IF(ISBLANK('Data Entry'!$ă$313), "", 'Data Entry'!$ă$313)</f>
      </c>
      <c r="GN313">
        <f>IF(ISBLANK('Data Entry'!$Ą$313), "", 'Data Entry'!$Ą$313)</f>
      </c>
      <c r="GO313">
        <f>IF(ISBLANK('Data Entry'!$ą$313), "", 'Data Entry'!$ą$313)</f>
      </c>
      <c r="GP313">
        <f>IF(ISBLANK('Data Entry'!$Ć$313), "", 'Data Entry'!$Ć$313)</f>
      </c>
      <c r="GQ313">
        <f>IF(ISBLANK('Data Entry'!$ć$313), "", 'Data Entry'!$ć$313)</f>
      </c>
      <c r="GR313">
        <f>IF(ISBLANK('Data Entry'!$Ĉ$313), "", 'Data Entry'!$Ĉ$313)</f>
      </c>
      <c r="GS313">
        <f>IF(ISBLANK('Data Entry'!$ĉ$313), "", 'Data Entry'!$ĉ$313)</f>
      </c>
      <c r="GT313">
        <f>IF(ISBLANK('Data Entry'!$Ċ$313), "", 'Data Entry'!$Ċ$313)</f>
      </c>
      <c r="GU313">
        <f>IF(ISBLANK('Data Entry'!$ċ$313), "", 'Data Entry'!$ċ$313)</f>
      </c>
      <c r="GV313">
        <f>IF(ISBLANK('Data Entry'!$Č$313), "", 'Data Entry'!$Č$313)</f>
      </c>
      <c r="GW313">
        <f>IF(ISBLANK('Data Entry'!$č$313), "", 'Data Entry'!$č$313)</f>
      </c>
      <c r="GX313">
        <f>IF(ISBLANK('Data Entry'!$Ď$313), "", 'Data Entry'!$Ď$313)</f>
      </c>
      <c r="GY313">
        <f>IF(ISBLANK('Data Entry'!$ď$313), "", 'Data Entry'!$ď$313)</f>
      </c>
      <c r="GZ313">
        <f>IF(ISBLANK('Data Entry'!$Đ$313), "", 'Data Entry'!$Đ$313)</f>
      </c>
      <c r="HA313">
        <f>IF(ISBLANK('Data Entry'!$đ$313), "", 'Data Entry'!$đ$313)</f>
      </c>
      <c r="HB313">
        <f>IF(ISBLANK('Data Entry'!$Ē$313), "", 'Data Entry'!$Ē$313)</f>
      </c>
      <c r="HC313">
        <f>IF(ISBLANK('Data Entry'!$ē$313), "", 'Data Entry'!$ē$313)</f>
      </c>
      <c r="HD313">
        <f>IF(ISBLANK('Data Entry'!$Ĕ$313), "", 'Data Entry'!$Ĕ$313)</f>
      </c>
      <c r="HE313">
        <f>IF(ISBLANK('Data Entry'!$ĕ$313), "", 'Data Entry'!$ĕ$313)</f>
      </c>
      <c r="HF313">
        <f>IF(ISBLANK('Data Entry'!$Ė$313), "", 'Data Entry'!$Ė$313)</f>
      </c>
      <c r="HG313">
        <f>IF(ISBLANK('Data Entry'!$ė$313), "", 'Data Entry'!$ė$313)</f>
      </c>
      <c r="HH313">
        <f>IF(ISBLANK('Data Entry'!$Ę$313), "", 'Data Entry'!$Ę$313)</f>
      </c>
      <c r="HI313">
        <f>IF(ISBLANK('Data Entry'!$ę$313), "", 'Data Entry'!$ę$313)</f>
      </c>
      <c r="HJ313">
        <f>IF(ISBLANK('Data Entry'!$Ě$313), "", 'Data Entry'!$Ě$313)</f>
      </c>
      <c r="HK313">
        <f>IF(ISBLANK('Data Entry'!$ě$313), "", 'Data Entry'!$ě$313)</f>
      </c>
      <c r="HL313">
        <f>IF(ISBLANK('Data Entry'!$Ĝ$313), "", 'Data Entry'!$Ĝ$313)</f>
      </c>
      <c r="HM313">
        <f>IF(ISBLANK('Data Entry'!$ĝ$313), "", 'Data Entry'!$ĝ$313)</f>
      </c>
      <c r="HN313">
        <f>IF(ISBLANK('Data Entry'!$Ğ$313), "", 'Data Entry'!$Ğ$313)</f>
      </c>
      <c r="HO313">
        <f>IF(ISBLANK('Data Entry'!$ğ$313), "", 'Data Entry'!$ğ$313)</f>
      </c>
      <c r="HP313">
        <f>IF(ISBLANK('Data Entry'!$Ġ$313), "", 'Data Entry'!$Ġ$313)</f>
      </c>
      <c r="HQ313">
        <f>IF(ISBLANK('Data Entry'!$ġ$313), "", 'Data Entry'!$ġ$313)</f>
      </c>
      <c r="HR313">
        <f>IF(ISBLANK('Data Entry'!$Ģ$313), "", 'Data Entry'!$Ģ$313)</f>
      </c>
      <c r="HS313">
        <f>IF(ISBLANK('Data Entry'!$ģ$313), "", 'Data Entry'!$ģ$313)</f>
      </c>
      <c r="HT313">
        <f>IF(ISBLANK('Data Entry'!$Ĥ$313), "", 'Data Entry'!$Ĥ$313)</f>
      </c>
      <c r="HU313">
        <f>IF(ISBLANK('Data Entry'!$ĥ$313), "", 'Data Entry'!$ĥ$313)</f>
      </c>
      <c r="HV313">
        <f>IF(ISBLANK('Data Entry'!$Ħ$313), "", 'Data Entry'!$Ħ$313)</f>
      </c>
      <c r="HW313">
        <f>IF(ISBLANK('Data Entry'!$ħ$313), "", 'Data Entry'!$ħ$313)</f>
      </c>
      <c r="HX313">
        <f>IF(ISBLANK('Data Entry'!$Ĩ$313), "", 'Data Entry'!$Ĩ$313)</f>
      </c>
      <c r="HY313">
        <f>IF(ISBLANK('Data Entry'!$ĩ$313), "", 'Data Entry'!$ĩ$313)</f>
      </c>
      <c r="HZ313">
        <f>IF(ISBLANK('Data Entry'!$Ī$313), "", 'Data Entry'!$Ī$313)</f>
      </c>
      <c r="IA313">
        <f>IF(ISBLANK('Data Entry'!$ī$313), "", 'Data Entry'!$ī$313)</f>
      </c>
      <c r="IB313">
        <f>IF(ISBLANK('Data Entry'!$Ĭ$313), "", 'Data Entry'!$Ĭ$313)</f>
      </c>
      <c r="IC313">
        <f>IF(ISBLANK('Data Entry'!$ĭ$313), "", 'Data Entry'!$ĭ$313)</f>
      </c>
      <c r="ID313">
        <f>IF(ISBLANK('Data Entry'!$Į$313), "", 'Data Entry'!$Į$313)</f>
      </c>
      <c r="IE313">
        <f>IF(ISBLANK('Data Entry'!$į$313), "", 'Data Entry'!$į$313)</f>
      </c>
      <c r="IF313">
        <f>IF(ISBLANK('Data Entry'!$İ$313), "", 'Data Entry'!$İ$313)</f>
      </c>
      <c r="IG313">
        <f>IF(ISBLANK('Data Entry'!$ı$313), "", 'Data Entry'!$ı$313)</f>
      </c>
      <c r="IH313">
        <f>IF(ISBLANK('Data Entry'!$Ĳ$313), "", 'Data Entry'!$Ĳ$313)</f>
      </c>
      <c r="II313">
        <f>IF(ISBLANK('Data Entry'!$ĳ$313), "", 'Data Entry'!$ĳ$313)</f>
      </c>
      <c r="IJ313">
        <f>IF(ISBLANK('Data Entry'!$Ĵ$313), "", 'Data Entry'!$Ĵ$313)</f>
      </c>
      <c r="IK313">
        <f>IF(ISBLANK('Data Entry'!$ĵ$313), "", 'Data Entry'!$ĵ$313)</f>
      </c>
      <c r="IL313">
        <f>IF(ISBLANK('Data Entry'!$Ķ$313), "", 'Data Entry'!$Ķ$313)</f>
      </c>
      <c r="IM313">
        <f>IF(ISBLANK('Data Entry'!$ķ$313), "", 'Data Entry'!$ķ$313)</f>
      </c>
      <c r="IN313">
        <f>IF(ISBLANK('Data Entry'!$ĸ$313), "", 'Data Entry'!$ĸ$313)</f>
      </c>
      <c r="IO313">
        <f>IF(ISBLANK('Data Entry'!$Ĺ$313), "", 'Data Entry'!$Ĺ$313)</f>
      </c>
      <c r="IP313">
        <f>IF(ISBLANK('Data Entry'!$ĺ$313), "", 'Data Entry'!$ĺ$313)</f>
      </c>
      <c r="IQ313">
        <f>IF(ISBLANK('Data Entry'!$Ļ$313), "", 'Data Entry'!$Ļ$313)</f>
      </c>
      <c r="IR313">
        <f>IF(ISBLANK('Data Entry'!$ļ$313), "", 'Data Entry'!$ļ$313)</f>
      </c>
      <c r="IS313">
        <f>IF(ISBLANK('Data Entry'!$Ľ$313), "", 'Data Entry'!$Ľ$313)</f>
      </c>
      <c r="IT313">
        <f>IF(ISBLANK('Data Entry'!$ľ$313), "", 'Data Entry'!$ľ$313)</f>
      </c>
    </row>
    <row r="314" spans="1:254" x14ac:dyDescent="0.25">
      <c r="A314">
        <f>IF(ISBLANK('Data Entry'!$A$314), "", 'Data Entry'!$A$314)</f>
      </c>
      <c r="B314">
        <f>IF(ISBLANK('Data Entry'!$B$314), "", 'Data Entry'!$B$314)</f>
      </c>
      <c r="C314">
        <f>IF(ISBLANK('Data Entry'!$C$314), "", 'Data Entry'!$C$314)</f>
      </c>
      <c r="D314">
        <f>IF(ISBLANK('Data Entry'!$D$314), "", 'Data Entry'!$D$314)</f>
      </c>
      <c r="E314">
        <f>IF(ISBLANK('Data Entry'!$E$314), "", 'Data Entry'!$E$314)</f>
      </c>
      <c r="F314">
        <f>IF(ISBLANK('Data Entry'!$F$314), "", 'Data Entry'!$F$314)</f>
      </c>
      <c r="G314">
        <f>IF(ISBLANK('Data Entry'!$G$314), "", 'Data Entry'!$G$314)</f>
      </c>
      <c r="H314">
        <f>IF(ISBLANK('Data Entry'!$H$314), "", 'Data Entry'!$H$314)</f>
      </c>
      <c r="I314">
        <f>IF(ISBLANK('Data Entry'!$I$314), "", 'Data Entry'!$I$314)</f>
      </c>
      <c r="J314">
        <f>IF(ISBLANK('Data Entry'!$J$314), "", 'Data Entry'!$J$314)</f>
      </c>
      <c r="K314">
        <f>IF(ISBLANK('Data Entry'!$K$314), "", 'Data Entry'!$K$314)</f>
      </c>
      <c r="L314">
        <f>IF(ISBLANK('Data Entry'!$L$314), "", 'Data Entry'!$L$314)</f>
      </c>
      <c r="M314">
        <f>IF(ISBLANK('Data Entry'!$M$314), "", 'Data Entry'!$M$314)</f>
      </c>
      <c r="N314">
        <f>IF(ISBLANK('Data Entry'!$N$314), "", 'Data Entry'!$N$314)</f>
      </c>
      <c r="O314">
        <f>IF(ISBLANK('Data Entry'!$O$314), "", 'Data Entry'!$O$314)</f>
      </c>
      <c r="P314">
        <f>IF(ISBLANK('Data Entry'!$P$314), "", 'Data Entry'!$P$314)</f>
      </c>
      <c r="Q314">
        <f>IF(ISBLANK('Data Entry'!$Q$314), "", 'Data Entry'!$Q$314)</f>
      </c>
      <c r="R314">
        <f>IF(ISBLANK('Data Entry'!$R$314), "", 'Data Entry'!$R$314)</f>
      </c>
      <c r="S314">
        <f>IF(ISBLANK('Data Entry'!$S$314), "", 'Data Entry'!$S$314)</f>
      </c>
      <c r="T314">
        <f>IF(ISBLANK('Data Entry'!$T$314), "", 'Data Entry'!$T$314)</f>
      </c>
      <c r="U314">
        <f>IF(ISBLANK('Data Entry'!$U$314), "", 'Data Entry'!$U$314)</f>
      </c>
      <c r="V314">
        <f>IF(ISBLANK('Data Entry'!$V$314), "", 'Data Entry'!$V$314)</f>
      </c>
      <c r="W314">
        <f>IF(ISBLANK('Data Entry'!$W$314), "", 'Data Entry'!$W$314)</f>
      </c>
      <c r="X314">
        <f>IF(ISBLANK('Data Entry'!$X$314), "", 'Data Entry'!$X$314)</f>
      </c>
      <c r="Y314">
        <f>IF(ISBLANK('Data Entry'!$Y$314), "", 'Data Entry'!$Y$314)</f>
      </c>
      <c r="Z314">
        <f>IF(ISBLANK('Data Entry'!$Z$314), "", 'Data Entry'!$Z$314)</f>
      </c>
      <c r="AA314">
        <f>IF(ISBLANK('Data Entry'!$[$314), "", 'Data Entry'!$[$314)</f>
      </c>
      <c r="AB314">
        <f>IF(ISBLANK('Data Entry'!$\$314), "", 'Data Entry'!$\$314)</f>
      </c>
      <c r="AC314">
        <f>IF(ISBLANK('Data Entry'!$]$314), "", 'Data Entry'!$]$314)</f>
      </c>
      <c r="AD314">
        <f>IF(ISBLANK('Data Entry'!$^$314), "", 'Data Entry'!$^$314)</f>
      </c>
      <c r="AE314">
        <f>IF(ISBLANK('Data Entry'!$_$314), "", 'Data Entry'!$_$314)</f>
      </c>
      <c r="AF314">
        <f>IF(ISBLANK('Data Entry'!$`$314), "", 'Data Entry'!$`$314)</f>
      </c>
      <c r="AG314">
        <f>IF(ISBLANK('Data Entry'!$a$314), "", 'Data Entry'!$a$314)</f>
      </c>
      <c r="AH314">
        <f>IF(ISBLANK('Data Entry'!$b$314), "", 'Data Entry'!$b$314)</f>
      </c>
      <c r="AI314">
        <f>IF(ISBLANK('Data Entry'!$c$314), "", 'Data Entry'!$c$314)</f>
      </c>
      <c r="AJ314">
        <f>IF(ISBLANK('Data Entry'!$d$314), "", 'Data Entry'!$d$314)</f>
      </c>
      <c r="AK314">
        <f>IF(ISBLANK('Data Entry'!$e$314), "", 'Data Entry'!$e$314)</f>
      </c>
      <c r="AL314">
        <f>IF(ISBLANK('Data Entry'!$f$314), "", 'Data Entry'!$f$314)</f>
      </c>
      <c r="AM314">
        <f>IF(ISBLANK('Data Entry'!$g$314), "", 'Data Entry'!$g$314)</f>
      </c>
      <c r="AN314">
        <f>IF(ISBLANK('Data Entry'!$h$314), "", 'Data Entry'!$h$314)</f>
      </c>
      <c r="AO314">
        <f>IF(ISBLANK('Data Entry'!$i$314), "", 'Data Entry'!$i$314)</f>
      </c>
      <c r="AP314">
        <f>IF(ISBLANK('Data Entry'!$j$314), "", 'Data Entry'!$j$314)</f>
      </c>
      <c r="AQ314">
        <f>IF(ISBLANK('Data Entry'!$k$314), "", 'Data Entry'!$k$314)</f>
      </c>
      <c r="AR314">
        <f>IF(ISBLANK('Data Entry'!$l$314), "", 'Data Entry'!$l$314)</f>
      </c>
      <c r="AS314">
        <f>IF(ISBLANK('Data Entry'!$m$314), "", 'Data Entry'!$m$314)</f>
      </c>
      <c r="AT314">
        <f>IF(ISBLANK('Data Entry'!$n$314), "", 'Data Entry'!$n$314)</f>
      </c>
      <c r="AU314">
        <f>IF(ISBLANK('Data Entry'!$o$314), "", 'Data Entry'!$o$314)</f>
      </c>
      <c r="AV314">
        <f>IF(ISBLANK('Data Entry'!$p$314), "", 'Data Entry'!$p$314)</f>
      </c>
      <c r="AW314">
        <f>IF(ISBLANK('Data Entry'!$q$314), "", 'Data Entry'!$q$314)</f>
      </c>
      <c r="AX314">
        <f>IF(ISBLANK('Data Entry'!$r$314), "", 'Data Entry'!$r$314)</f>
      </c>
      <c r="AY314">
        <f>IF(ISBLANK('Data Entry'!$s$314), "", 'Data Entry'!$s$314)</f>
      </c>
      <c r="AZ314">
        <f>IF(ISBLANK('Data Entry'!$t$314), "", 'Data Entry'!$t$314)</f>
      </c>
      <c r="BA314">
        <f>IF(ISBLANK('Data Entry'!$u$314), "", 'Data Entry'!$u$314)</f>
      </c>
      <c r="BB314">
        <f>IF(ISBLANK('Data Entry'!$v$314), "", 'Data Entry'!$v$314)</f>
      </c>
      <c r="BC314">
        <f>IF(ISBLANK('Data Entry'!$w$314), "", 'Data Entry'!$w$314)</f>
      </c>
      <c r="BD314">
        <f>IF(ISBLANK('Data Entry'!$x$314), "", 'Data Entry'!$x$314)</f>
      </c>
      <c r="BE314">
        <f>IF(ISBLANK('Data Entry'!$y$314), "", 'Data Entry'!$y$314)</f>
      </c>
      <c r="BF314">
        <f>IF(ISBLANK('Data Entry'!$z$314), "", 'Data Entry'!$z$314)</f>
      </c>
      <c r="BG314">
        <f>IF(ISBLANK('Data Entry'!${$314), "", 'Data Entry'!${$314)</f>
      </c>
      <c r="BH314">
        <f>IF(ISBLANK('Data Entry'!$|$314), "", 'Data Entry'!$|$314)</f>
      </c>
      <c r="BI314">
        <f>IF(ISBLANK('Data Entry'!$}$314), "", 'Data Entry'!$}$314)</f>
      </c>
      <c r="BJ314">
        <f>IF(ISBLANK('Data Entry'!$~$314), "", 'Data Entry'!$~$314)</f>
      </c>
      <c r="BK314">
        <f>IF(ISBLANK('Data Entry'!$$314), "", 'Data Entry'!$$314)</f>
      </c>
      <c r="BL314">
        <f>IF(ISBLANK('Data Entry'!$$314), "", 'Data Entry'!$$314)</f>
      </c>
      <c r="BM314">
        <f>IF(ISBLANK('Data Entry'!$$314), "", 'Data Entry'!$$314)</f>
      </c>
      <c r="BN314">
        <f>IF(ISBLANK('Data Entry'!$$314), "", 'Data Entry'!$$314)</f>
      </c>
      <c r="BO314">
        <f>IF(ISBLANK('Data Entry'!$$314), "", 'Data Entry'!$$314)</f>
      </c>
      <c r="BP314">
        <f>IF(ISBLANK('Data Entry'!$$314), "", 'Data Entry'!$$314)</f>
      </c>
      <c r="BQ314">
        <f>IF(ISBLANK('Data Entry'!$$314), "", 'Data Entry'!$$314)</f>
      </c>
      <c r="BR314">
        <f>IF(ISBLANK('Data Entry'!$$314), "", 'Data Entry'!$$314)</f>
      </c>
      <c r="BS314">
        <f>IF(ISBLANK('Data Entry'!$$314), "", 'Data Entry'!$$314)</f>
      </c>
      <c r="BT314">
        <f>IF(ISBLANK('Data Entry'!$$314), "", 'Data Entry'!$$314)</f>
      </c>
      <c r="BU314">
        <f>IF(ISBLANK('Data Entry'!$$314), "", 'Data Entry'!$$314)</f>
      </c>
      <c r="BV314">
        <f>IF(ISBLANK('Data Entry'!$$314), "", 'Data Entry'!$$314)</f>
      </c>
      <c r="BW314">
        <f>IF(ISBLANK('Data Entry'!$$314), "", 'Data Entry'!$$314)</f>
      </c>
      <c r="BX314">
        <f>IF(ISBLANK('Data Entry'!$$314), "", 'Data Entry'!$$314)</f>
      </c>
      <c r="BY314">
        <f>IF(ISBLANK('Data Entry'!$$314), "", 'Data Entry'!$$314)</f>
      </c>
      <c r="BZ314">
        <f>IF(ISBLANK('Data Entry'!$$314), "", 'Data Entry'!$$314)</f>
      </c>
      <c r="CA314">
        <f>IF(ISBLANK('Data Entry'!$$314), "", 'Data Entry'!$$314)</f>
      </c>
      <c r="CB314">
        <f>IF(ISBLANK('Data Entry'!$$314), "", 'Data Entry'!$$314)</f>
      </c>
      <c r="CC314">
        <f>IF(ISBLANK('Data Entry'!$$314), "", 'Data Entry'!$$314)</f>
      </c>
      <c r="CD314">
        <f>IF(ISBLANK('Data Entry'!$$314), "", 'Data Entry'!$$314)</f>
      </c>
      <c r="CE314">
        <f>IF(ISBLANK('Data Entry'!$$314), "", 'Data Entry'!$$314)</f>
      </c>
      <c r="CF314">
        <f>IF(ISBLANK('Data Entry'!$$314), "", 'Data Entry'!$$314)</f>
      </c>
      <c r="CG314">
        <f>IF(ISBLANK('Data Entry'!$$314), "", 'Data Entry'!$$314)</f>
      </c>
      <c r="CH314">
        <f>IF(ISBLANK('Data Entry'!$$314), "", 'Data Entry'!$$314)</f>
      </c>
      <c r="CI314">
        <f>IF(ISBLANK('Data Entry'!$$314), "", 'Data Entry'!$$314)</f>
      </c>
      <c r="CJ314">
        <f>IF(ISBLANK('Data Entry'!$$314), "", 'Data Entry'!$$314)</f>
      </c>
      <c r="CK314">
        <f>IF(ISBLANK('Data Entry'!$$314), "", 'Data Entry'!$$314)</f>
      </c>
      <c r="CL314">
        <f>IF(ISBLANK('Data Entry'!$$314), "", 'Data Entry'!$$314)</f>
      </c>
      <c r="CM314">
        <f>IF(ISBLANK('Data Entry'!$$314), "", 'Data Entry'!$$314)</f>
      </c>
      <c r="CN314">
        <f>IF(ISBLANK('Data Entry'!$$314), "", 'Data Entry'!$$314)</f>
      </c>
      <c r="CO314">
        <f>IF(ISBLANK('Data Entry'!$$314), "", 'Data Entry'!$$314)</f>
      </c>
      <c r="CP314">
        <f>IF(ISBLANK('Data Entry'!$$314), "", 'Data Entry'!$$314)</f>
      </c>
      <c r="CQ314">
        <f>IF(ISBLANK('Data Entry'!$$314), "", 'Data Entry'!$$314)</f>
      </c>
      <c r="CR314">
        <f>IF(ISBLANK('Data Entry'!$ $314), "", 'Data Entry'!$ $314)</f>
      </c>
      <c r="CS314">
        <f>IF(ISBLANK('Data Entry'!$¡$314), "", 'Data Entry'!$¡$314)</f>
      </c>
      <c r="CT314">
        <f>IF(ISBLANK('Data Entry'!$¢$314), "", 'Data Entry'!$¢$314)</f>
      </c>
      <c r="CU314">
        <f>IF(ISBLANK('Data Entry'!$£$314), "", 'Data Entry'!$£$314)</f>
      </c>
      <c r="CV314">
        <f>IF(ISBLANK('Data Entry'!$¤$314), "", 'Data Entry'!$¤$314)</f>
      </c>
      <c r="CW314">
        <f>IF(ISBLANK('Data Entry'!$¥$314), "", 'Data Entry'!$¥$314)</f>
      </c>
      <c r="CX314">
        <f>IF(ISBLANK('Data Entry'!$¦$314), "", 'Data Entry'!$¦$314)</f>
      </c>
      <c r="CY314">
        <f>IF(ISBLANK('Data Entry'!$§$314), "", 'Data Entry'!$§$314)</f>
      </c>
      <c r="CZ314">
        <f>IF(ISBLANK('Data Entry'!$¨$314), "", 'Data Entry'!$¨$314)</f>
      </c>
      <c r="DA314">
        <f>IF(ISBLANK('Data Entry'!$©$314), "", 'Data Entry'!$©$314)</f>
      </c>
      <c r="DB314">
        <f>IF(ISBLANK('Data Entry'!$ª$314), "", 'Data Entry'!$ª$314)</f>
      </c>
      <c r="DC314">
        <f>IF(ISBLANK('Data Entry'!$«$314), "", 'Data Entry'!$«$314)</f>
      </c>
      <c r="DD314">
        <f>IF(ISBLANK('Data Entry'!$¬$314), "", 'Data Entry'!$¬$314)</f>
      </c>
      <c r="DE314">
        <f>IF(ISBLANK('Data Entry'!$­$314), "", 'Data Entry'!$­$314)</f>
      </c>
      <c r="DF314">
        <f>IF(ISBLANK('Data Entry'!$®$314), "", 'Data Entry'!$®$314)</f>
      </c>
      <c r="DG314">
        <f>IF(ISBLANK('Data Entry'!$¯$314), "", 'Data Entry'!$¯$314)</f>
      </c>
      <c r="DH314">
        <f>IF(ISBLANK('Data Entry'!$°$314), "", 'Data Entry'!$°$314)</f>
      </c>
      <c r="DI314">
        <f>IF(ISBLANK('Data Entry'!$±$314), "", 'Data Entry'!$±$314)</f>
      </c>
      <c r="DJ314">
        <f>IF(ISBLANK('Data Entry'!$²$314), "", 'Data Entry'!$²$314)</f>
      </c>
      <c r="DK314">
        <f>IF(ISBLANK('Data Entry'!$³$314), "", 'Data Entry'!$³$314)</f>
      </c>
      <c r="DL314">
        <f>IF(ISBLANK('Data Entry'!$´$314), "", 'Data Entry'!$´$314)</f>
      </c>
      <c r="DM314">
        <f>IF(ISBLANK('Data Entry'!$µ$314), "", 'Data Entry'!$µ$314)</f>
      </c>
      <c r="DN314">
        <f>IF(ISBLANK('Data Entry'!$¶$314), "", 'Data Entry'!$¶$314)</f>
      </c>
      <c r="DO314">
        <f>IF(ISBLANK('Data Entry'!$·$314), "", 'Data Entry'!$·$314)</f>
      </c>
      <c r="DP314">
        <f>IF(ISBLANK('Data Entry'!$¸$314), "", 'Data Entry'!$¸$314)</f>
      </c>
      <c r="DQ314">
        <f>IF(ISBLANK('Data Entry'!$¹$314), "", 'Data Entry'!$¹$314)</f>
      </c>
      <c r="DR314">
        <f>IF(ISBLANK('Data Entry'!$º$314), "", 'Data Entry'!$º$314)</f>
      </c>
      <c r="DS314">
        <f>IF(ISBLANK('Data Entry'!$»$314), "", 'Data Entry'!$»$314)</f>
      </c>
      <c r="DT314">
        <f>IF(ISBLANK('Data Entry'!$¼$314), "", 'Data Entry'!$¼$314)</f>
      </c>
      <c r="DU314">
        <f>IF(ISBLANK('Data Entry'!$½$314), "", 'Data Entry'!$½$314)</f>
      </c>
      <c r="DV314">
        <f>IF(ISBLANK('Data Entry'!$¾$314), "", 'Data Entry'!$¾$314)</f>
      </c>
      <c r="DW314">
        <f>IF(ISBLANK('Data Entry'!$¿$314), "", 'Data Entry'!$¿$314)</f>
      </c>
      <c r="DX314">
        <f>IF(ISBLANK('Data Entry'!$À$314), "", 'Data Entry'!$À$314)</f>
      </c>
      <c r="DY314">
        <f>IF(ISBLANK('Data Entry'!$Á$314), "", 'Data Entry'!$Á$314)</f>
      </c>
      <c r="DZ314">
        <f>IF(ISBLANK('Data Entry'!$Â$314), "", 'Data Entry'!$Â$314)</f>
      </c>
      <c r="EA314">
        <f>IF(ISBLANK('Data Entry'!$Ã$314), "", 'Data Entry'!$Ã$314)</f>
      </c>
      <c r="EB314">
        <f>IF(ISBLANK('Data Entry'!$Ä$314), "", 'Data Entry'!$Ä$314)</f>
      </c>
      <c r="EC314">
        <f>IF(ISBLANK('Data Entry'!$Å$314), "", 'Data Entry'!$Å$314)</f>
      </c>
      <c r="ED314">
        <f>IF(ISBLANK('Data Entry'!$Æ$314), "", 'Data Entry'!$Æ$314)</f>
      </c>
      <c r="EE314">
        <f>IF(ISBLANK('Data Entry'!$Ç$314), "", 'Data Entry'!$Ç$314)</f>
      </c>
      <c r="EF314">
        <f>IF(ISBLANK('Data Entry'!$È$314), "", 'Data Entry'!$È$314)</f>
      </c>
      <c r="EG314">
        <f>IF(ISBLANK('Data Entry'!$É$314), "", 'Data Entry'!$É$314)</f>
      </c>
      <c r="EH314">
        <f>IF(ISBLANK('Data Entry'!$Ê$314), "", 'Data Entry'!$Ê$314)</f>
      </c>
      <c r="EI314">
        <f>IF(ISBLANK('Data Entry'!$Ë$314), "", 'Data Entry'!$Ë$314)</f>
      </c>
      <c r="EJ314">
        <f>IF(ISBLANK('Data Entry'!$Ì$314), "", 'Data Entry'!$Ì$314)</f>
      </c>
      <c r="EK314">
        <f>IF(ISBLANK('Data Entry'!$Í$314), "", 'Data Entry'!$Í$314)</f>
      </c>
      <c r="EL314">
        <f>IF(ISBLANK('Data Entry'!$Î$314), "", 'Data Entry'!$Î$314)</f>
      </c>
      <c r="EM314">
        <f>IF(ISBLANK('Data Entry'!$Ï$314), "", 'Data Entry'!$Ï$314)</f>
      </c>
      <c r="EN314">
        <f>IF(ISBLANK('Data Entry'!$Ð$314), "", 'Data Entry'!$Ð$314)</f>
      </c>
      <c r="EO314">
        <f>IF(ISBLANK('Data Entry'!$Ñ$314), "", 'Data Entry'!$Ñ$314)</f>
      </c>
      <c r="EP314">
        <f>IF(ISBLANK('Data Entry'!$Ò$314), "", 'Data Entry'!$Ò$314)</f>
      </c>
      <c r="EQ314">
        <f>IF(ISBLANK('Data Entry'!$Ó$314), "", 'Data Entry'!$Ó$314)</f>
      </c>
      <c r="ER314">
        <f>IF(ISBLANK('Data Entry'!$Ô$314), "", 'Data Entry'!$Ô$314)</f>
      </c>
      <c r="ES314">
        <f>IF(ISBLANK('Data Entry'!$Õ$314), "", 'Data Entry'!$Õ$314)</f>
      </c>
      <c r="ET314">
        <f>IF(ISBLANK('Data Entry'!$Ö$314), "", 'Data Entry'!$Ö$314)</f>
      </c>
      <c r="EU314">
        <f>IF(ISBLANK('Data Entry'!$×$314), "", 'Data Entry'!$×$314)</f>
      </c>
      <c r="EV314">
        <f>IF(ISBLANK('Data Entry'!$Ø$314), "", 'Data Entry'!$Ø$314)</f>
      </c>
      <c r="EW314">
        <f>IF(ISBLANK('Data Entry'!$Ù$314), "", 'Data Entry'!$Ù$314)</f>
      </c>
      <c r="EX314">
        <f>IF(ISBLANK('Data Entry'!$Ú$314), "", 'Data Entry'!$Ú$314)</f>
      </c>
      <c r="EY314">
        <f>IF(ISBLANK('Data Entry'!$Û$314), "", 'Data Entry'!$Û$314)</f>
      </c>
      <c r="EZ314">
        <f>IF(ISBLANK('Data Entry'!$Ü$314), "", 'Data Entry'!$Ü$314)</f>
      </c>
      <c r="FA314">
        <f>IF(ISBLANK('Data Entry'!$Ý$314), "", 'Data Entry'!$Ý$314)</f>
      </c>
      <c r="FB314">
        <f>IF(ISBLANK('Data Entry'!$Þ$314), "", 'Data Entry'!$Þ$314)</f>
      </c>
      <c r="FC314">
        <f>IF(ISBLANK('Data Entry'!$ß$314), "", 'Data Entry'!$ß$314)</f>
      </c>
      <c r="FD314">
        <f>IF(ISBLANK('Data Entry'!$à$314), "", 'Data Entry'!$à$314)</f>
      </c>
      <c r="FE314">
        <f>IF(ISBLANK('Data Entry'!$á$314), "", 'Data Entry'!$á$314)</f>
      </c>
      <c r="FF314">
        <f>IF(ISBLANK('Data Entry'!$â$314), "", 'Data Entry'!$â$314)</f>
      </c>
      <c r="FG314">
        <f>IF(ISBLANK('Data Entry'!$ã$314), "", 'Data Entry'!$ã$314)</f>
      </c>
      <c r="FH314">
        <f>IF(ISBLANK('Data Entry'!$ä$314), "", 'Data Entry'!$ä$314)</f>
      </c>
      <c r="FI314">
        <f>IF(ISBLANK('Data Entry'!$å$314), "", 'Data Entry'!$å$314)</f>
      </c>
      <c r="FJ314">
        <f>IF(ISBLANK('Data Entry'!$æ$314), "", 'Data Entry'!$æ$314)</f>
      </c>
      <c r="FK314">
        <f>IF(ISBLANK('Data Entry'!$ç$314), "", 'Data Entry'!$ç$314)</f>
      </c>
      <c r="FL314">
        <f>IF(ISBLANK('Data Entry'!$è$314), "", 'Data Entry'!$è$314)</f>
      </c>
      <c r="FM314">
        <f>IF(ISBLANK('Data Entry'!$é$314), "", 'Data Entry'!$é$314)</f>
      </c>
      <c r="FN314">
        <f>IF(ISBLANK('Data Entry'!$ê$314), "", 'Data Entry'!$ê$314)</f>
      </c>
      <c r="FO314">
        <f>IF(ISBLANK('Data Entry'!$ë$314), "", 'Data Entry'!$ë$314)</f>
      </c>
      <c r="FP314">
        <f>IF(ISBLANK('Data Entry'!$ì$314), "", 'Data Entry'!$ì$314)</f>
      </c>
      <c r="FQ314">
        <f>IF(ISBLANK('Data Entry'!$í$314), "", 'Data Entry'!$í$314)</f>
      </c>
      <c r="FR314">
        <f>IF(ISBLANK('Data Entry'!$î$314), "", 'Data Entry'!$î$314)</f>
      </c>
      <c r="FS314">
        <f>IF(ISBLANK('Data Entry'!$ï$314), "", 'Data Entry'!$ï$314)</f>
      </c>
      <c r="FT314">
        <f>IF(ISBLANK('Data Entry'!$ð$314), "", 'Data Entry'!$ð$314)</f>
      </c>
      <c r="FU314">
        <f>IF(ISBLANK('Data Entry'!$ñ$314), "", 'Data Entry'!$ñ$314)</f>
      </c>
      <c r="FV314">
        <f>IF(ISBLANK('Data Entry'!$ò$314), "", 'Data Entry'!$ò$314)</f>
      </c>
      <c r="FW314">
        <f>IF(ISBLANK('Data Entry'!$ó$314), "", 'Data Entry'!$ó$314)</f>
      </c>
      <c r="FX314">
        <f>IF(ISBLANK('Data Entry'!$ô$314), "", 'Data Entry'!$ô$314)</f>
      </c>
      <c r="FY314">
        <f>IF(ISBLANK('Data Entry'!$õ$314), "", 'Data Entry'!$õ$314)</f>
      </c>
      <c r="FZ314">
        <f>IF(ISBLANK('Data Entry'!$ö$314), "", 'Data Entry'!$ö$314)</f>
      </c>
      <c r="GA314">
        <f>IF(ISBLANK('Data Entry'!$÷$314), "", 'Data Entry'!$÷$314)</f>
      </c>
      <c r="GB314">
        <f>IF(ISBLANK('Data Entry'!$ø$314), "", 'Data Entry'!$ø$314)</f>
      </c>
      <c r="GC314">
        <f>IF(ISBLANK('Data Entry'!$ù$314), "", 'Data Entry'!$ù$314)</f>
      </c>
      <c r="GD314">
        <f>IF(ISBLANK('Data Entry'!$ú$314), "", 'Data Entry'!$ú$314)</f>
      </c>
      <c r="GE314">
        <f>IF(ISBLANK('Data Entry'!$û$314), "", 'Data Entry'!$û$314)</f>
      </c>
      <c r="GF314">
        <f>IF(ISBLANK('Data Entry'!$ü$314), "", 'Data Entry'!$ü$314)</f>
      </c>
      <c r="GG314">
        <f>IF(ISBLANK('Data Entry'!$ý$314), "", 'Data Entry'!$ý$314)</f>
      </c>
      <c r="GH314">
        <f>IF(ISBLANK('Data Entry'!$þ$314), "", 'Data Entry'!$þ$314)</f>
      </c>
      <c r="GI314">
        <f>IF(ISBLANK('Data Entry'!$ÿ$314), "", 'Data Entry'!$ÿ$314)</f>
      </c>
      <c r="GJ314">
        <f>IF(ISBLANK('Data Entry'!$Ā$314), "", 'Data Entry'!$Ā$314)</f>
      </c>
      <c r="GK314">
        <f>IF(ISBLANK('Data Entry'!$ā$314), "", 'Data Entry'!$ā$314)</f>
      </c>
      <c r="GL314">
        <f>IF(ISBLANK('Data Entry'!$Ă$314), "", 'Data Entry'!$Ă$314)</f>
      </c>
      <c r="GM314">
        <f>IF(ISBLANK('Data Entry'!$ă$314), "", 'Data Entry'!$ă$314)</f>
      </c>
      <c r="GN314">
        <f>IF(ISBLANK('Data Entry'!$Ą$314), "", 'Data Entry'!$Ą$314)</f>
      </c>
      <c r="GO314">
        <f>IF(ISBLANK('Data Entry'!$ą$314), "", 'Data Entry'!$ą$314)</f>
      </c>
      <c r="GP314">
        <f>IF(ISBLANK('Data Entry'!$Ć$314), "", 'Data Entry'!$Ć$314)</f>
      </c>
      <c r="GQ314">
        <f>IF(ISBLANK('Data Entry'!$ć$314), "", 'Data Entry'!$ć$314)</f>
      </c>
      <c r="GR314">
        <f>IF(ISBLANK('Data Entry'!$Ĉ$314), "", 'Data Entry'!$Ĉ$314)</f>
      </c>
      <c r="GS314">
        <f>IF(ISBLANK('Data Entry'!$ĉ$314), "", 'Data Entry'!$ĉ$314)</f>
      </c>
      <c r="GT314">
        <f>IF(ISBLANK('Data Entry'!$Ċ$314), "", 'Data Entry'!$Ċ$314)</f>
      </c>
      <c r="GU314">
        <f>IF(ISBLANK('Data Entry'!$ċ$314), "", 'Data Entry'!$ċ$314)</f>
      </c>
      <c r="GV314">
        <f>IF(ISBLANK('Data Entry'!$Č$314), "", 'Data Entry'!$Č$314)</f>
      </c>
      <c r="GW314">
        <f>IF(ISBLANK('Data Entry'!$č$314), "", 'Data Entry'!$č$314)</f>
      </c>
      <c r="GX314">
        <f>IF(ISBLANK('Data Entry'!$Ď$314), "", 'Data Entry'!$Ď$314)</f>
      </c>
      <c r="GY314">
        <f>IF(ISBLANK('Data Entry'!$ď$314), "", 'Data Entry'!$ď$314)</f>
      </c>
      <c r="GZ314">
        <f>IF(ISBLANK('Data Entry'!$Đ$314), "", 'Data Entry'!$Đ$314)</f>
      </c>
      <c r="HA314">
        <f>IF(ISBLANK('Data Entry'!$đ$314), "", 'Data Entry'!$đ$314)</f>
      </c>
      <c r="HB314">
        <f>IF(ISBLANK('Data Entry'!$Ē$314), "", 'Data Entry'!$Ē$314)</f>
      </c>
      <c r="HC314">
        <f>IF(ISBLANK('Data Entry'!$ē$314), "", 'Data Entry'!$ē$314)</f>
      </c>
      <c r="HD314">
        <f>IF(ISBLANK('Data Entry'!$Ĕ$314), "", 'Data Entry'!$Ĕ$314)</f>
      </c>
      <c r="HE314">
        <f>IF(ISBLANK('Data Entry'!$ĕ$314), "", 'Data Entry'!$ĕ$314)</f>
      </c>
      <c r="HF314">
        <f>IF(ISBLANK('Data Entry'!$Ė$314), "", 'Data Entry'!$Ė$314)</f>
      </c>
      <c r="HG314">
        <f>IF(ISBLANK('Data Entry'!$ė$314), "", 'Data Entry'!$ė$314)</f>
      </c>
      <c r="HH314">
        <f>IF(ISBLANK('Data Entry'!$Ę$314), "", 'Data Entry'!$Ę$314)</f>
      </c>
      <c r="HI314">
        <f>IF(ISBLANK('Data Entry'!$ę$314), "", 'Data Entry'!$ę$314)</f>
      </c>
      <c r="HJ314">
        <f>IF(ISBLANK('Data Entry'!$Ě$314), "", 'Data Entry'!$Ě$314)</f>
      </c>
      <c r="HK314">
        <f>IF(ISBLANK('Data Entry'!$ě$314), "", 'Data Entry'!$ě$314)</f>
      </c>
      <c r="HL314">
        <f>IF(ISBLANK('Data Entry'!$Ĝ$314), "", 'Data Entry'!$Ĝ$314)</f>
      </c>
      <c r="HM314">
        <f>IF(ISBLANK('Data Entry'!$ĝ$314), "", 'Data Entry'!$ĝ$314)</f>
      </c>
      <c r="HN314">
        <f>IF(ISBLANK('Data Entry'!$Ğ$314), "", 'Data Entry'!$Ğ$314)</f>
      </c>
      <c r="HO314">
        <f>IF(ISBLANK('Data Entry'!$ğ$314), "", 'Data Entry'!$ğ$314)</f>
      </c>
      <c r="HP314">
        <f>IF(ISBLANK('Data Entry'!$Ġ$314), "", 'Data Entry'!$Ġ$314)</f>
      </c>
      <c r="HQ314">
        <f>IF(ISBLANK('Data Entry'!$ġ$314), "", 'Data Entry'!$ġ$314)</f>
      </c>
      <c r="HR314">
        <f>IF(ISBLANK('Data Entry'!$Ģ$314), "", 'Data Entry'!$Ģ$314)</f>
      </c>
      <c r="HS314">
        <f>IF(ISBLANK('Data Entry'!$ģ$314), "", 'Data Entry'!$ģ$314)</f>
      </c>
      <c r="HT314">
        <f>IF(ISBLANK('Data Entry'!$Ĥ$314), "", 'Data Entry'!$Ĥ$314)</f>
      </c>
      <c r="HU314">
        <f>IF(ISBLANK('Data Entry'!$ĥ$314), "", 'Data Entry'!$ĥ$314)</f>
      </c>
      <c r="HV314">
        <f>IF(ISBLANK('Data Entry'!$Ħ$314), "", 'Data Entry'!$Ħ$314)</f>
      </c>
      <c r="HW314">
        <f>IF(ISBLANK('Data Entry'!$ħ$314), "", 'Data Entry'!$ħ$314)</f>
      </c>
      <c r="HX314">
        <f>IF(ISBLANK('Data Entry'!$Ĩ$314), "", 'Data Entry'!$Ĩ$314)</f>
      </c>
      <c r="HY314">
        <f>IF(ISBLANK('Data Entry'!$ĩ$314), "", 'Data Entry'!$ĩ$314)</f>
      </c>
      <c r="HZ314">
        <f>IF(ISBLANK('Data Entry'!$Ī$314), "", 'Data Entry'!$Ī$314)</f>
      </c>
      <c r="IA314">
        <f>IF(ISBLANK('Data Entry'!$ī$314), "", 'Data Entry'!$ī$314)</f>
      </c>
      <c r="IB314">
        <f>IF(ISBLANK('Data Entry'!$Ĭ$314), "", 'Data Entry'!$Ĭ$314)</f>
      </c>
      <c r="IC314">
        <f>IF(ISBLANK('Data Entry'!$ĭ$314), "", 'Data Entry'!$ĭ$314)</f>
      </c>
      <c r="ID314">
        <f>IF(ISBLANK('Data Entry'!$Į$314), "", 'Data Entry'!$Į$314)</f>
      </c>
      <c r="IE314">
        <f>IF(ISBLANK('Data Entry'!$į$314), "", 'Data Entry'!$į$314)</f>
      </c>
      <c r="IF314">
        <f>IF(ISBLANK('Data Entry'!$İ$314), "", 'Data Entry'!$İ$314)</f>
      </c>
      <c r="IG314">
        <f>IF(ISBLANK('Data Entry'!$ı$314), "", 'Data Entry'!$ı$314)</f>
      </c>
      <c r="IH314">
        <f>IF(ISBLANK('Data Entry'!$Ĳ$314), "", 'Data Entry'!$Ĳ$314)</f>
      </c>
      <c r="II314">
        <f>IF(ISBLANK('Data Entry'!$ĳ$314), "", 'Data Entry'!$ĳ$314)</f>
      </c>
      <c r="IJ314">
        <f>IF(ISBLANK('Data Entry'!$Ĵ$314), "", 'Data Entry'!$Ĵ$314)</f>
      </c>
      <c r="IK314">
        <f>IF(ISBLANK('Data Entry'!$ĵ$314), "", 'Data Entry'!$ĵ$314)</f>
      </c>
      <c r="IL314">
        <f>IF(ISBLANK('Data Entry'!$Ķ$314), "", 'Data Entry'!$Ķ$314)</f>
      </c>
      <c r="IM314">
        <f>IF(ISBLANK('Data Entry'!$ķ$314), "", 'Data Entry'!$ķ$314)</f>
      </c>
      <c r="IN314">
        <f>IF(ISBLANK('Data Entry'!$ĸ$314), "", 'Data Entry'!$ĸ$314)</f>
      </c>
      <c r="IO314">
        <f>IF(ISBLANK('Data Entry'!$Ĺ$314), "", 'Data Entry'!$Ĺ$314)</f>
      </c>
      <c r="IP314">
        <f>IF(ISBLANK('Data Entry'!$ĺ$314), "", 'Data Entry'!$ĺ$314)</f>
      </c>
      <c r="IQ314">
        <f>IF(ISBLANK('Data Entry'!$Ļ$314), "", 'Data Entry'!$Ļ$314)</f>
      </c>
      <c r="IR314">
        <f>IF(ISBLANK('Data Entry'!$ļ$314), "", 'Data Entry'!$ļ$314)</f>
      </c>
      <c r="IS314">
        <f>IF(ISBLANK('Data Entry'!$Ľ$314), "", 'Data Entry'!$Ľ$314)</f>
      </c>
      <c r="IT314">
        <f>IF(ISBLANK('Data Entry'!$ľ$314), "", 'Data Entry'!$ľ$314)</f>
      </c>
    </row>
    <row r="315" spans="1:254" x14ac:dyDescent="0.25">
      <c r="A315">
        <f>IF(ISBLANK('Data Entry'!$A$315), "", 'Data Entry'!$A$315)</f>
      </c>
      <c r="B315">
        <f>IF(ISBLANK('Data Entry'!$B$315), "", 'Data Entry'!$B$315)</f>
      </c>
      <c r="C315">
        <f>IF(ISBLANK('Data Entry'!$C$315), "", 'Data Entry'!$C$315)</f>
      </c>
      <c r="D315">
        <f>IF(ISBLANK('Data Entry'!$D$315), "", 'Data Entry'!$D$315)</f>
      </c>
      <c r="E315">
        <f>IF(ISBLANK('Data Entry'!$E$315), "", 'Data Entry'!$E$315)</f>
      </c>
      <c r="F315">
        <f>IF(ISBLANK('Data Entry'!$F$315), "", 'Data Entry'!$F$315)</f>
      </c>
      <c r="G315">
        <f>IF(ISBLANK('Data Entry'!$G$315), "", 'Data Entry'!$G$315)</f>
      </c>
      <c r="H315">
        <f>IF(ISBLANK('Data Entry'!$H$315), "", 'Data Entry'!$H$315)</f>
      </c>
      <c r="I315">
        <f>IF(ISBLANK('Data Entry'!$I$315), "", 'Data Entry'!$I$315)</f>
      </c>
      <c r="J315">
        <f>IF(ISBLANK('Data Entry'!$J$315), "", 'Data Entry'!$J$315)</f>
      </c>
      <c r="K315">
        <f>IF(ISBLANK('Data Entry'!$K$315), "", 'Data Entry'!$K$315)</f>
      </c>
      <c r="L315">
        <f>IF(ISBLANK('Data Entry'!$L$315), "", 'Data Entry'!$L$315)</f>
      </c>
      <c r="M315">
        <f>IF(ISBLANK('Data Entry'!$M$315), "", 'Data Entry'!$M$315)</f>
      </c>
      <c r="N315">
        <f>IF(ISBLANK('Data Entry'!$N$315), "", 'Data Entry'!$N$315)</f>
      </c>
      <c r="O315">
        <f>IF(ISBLANK('Data Entry'!$O$315), "", 'Data Entry'!$O$315)</f>
      </c>
      <c r="P315">
        <f>IF(ISBLANK('Data Entry'!$P$315), "", 'Data Entry'!$P$315)</f>
      </c>
      <c r="Q315">
        <f>IF(ISBLANK('Data Entry'!$Q$315), "", 'Data Entry'!$Q$315)</f>
      </c>
      <c r="R315">
        <f>IF(ISBLANK('Data Entry'!$R$315), "", 'Data Entry'!$R$315)</f>
      </c>
      <c r="S315">
        <f>IF(ISBLANK('Data Entry'!$S$315), "", 'Data Entry'!$S$315)</f>
      </c>
      <c r="T315">
        <f>IF(ISBLANK('Data Entry'!$T$315), "", 'Data Entry'!$T$315)</f>
      </c>
      <c r="U315">
        <f>IF(ISBLANK('Data Entry'!$U$315), "", 'Data Entry'!$U$315)</f>
      </c>
      <c r="V315">
        <f>IF(ISBLANK('Data Entry'!$V$315), "", 'Data Entry'!$V$315)</f>
      </c>
      <c r="W315">
        <f>IF(ISBLANK('Data Entry'!$W$315), "", 'Data Entry'!$W$315)</f>
      </c>
      <c r="X315">
        <f>IF(ISBLANK('Data Entry'!$X$315), "", 'Data Entry'!$X$315)</f>
      </c>
      <c r="Y315">
        <f>IF(ISBLANK('Data Entry'!$Y$315), "", 'Data Entry'!$Y$315)</f>
      </c>
      <c r="Z315">
        <f>IF(ISBLANK('Data Entry'!$Z$315), "", 'Data Entry'!$Z$315)</f>
      </c>
      <c r="AA315">
        <f>IF(ISBLANK('Data Entry'!$[$315), "", 'Data Entry'!$[$315)</f>
      </c>
      <c r="AB315">
        <f>IF(ISBLANK('Data Entry'!$\$315), "", 'Data Entry'!$\$315)</f>
      </c>
      <c r="AC315">
        <f>IF(ISBLANK('Data Entry'!$]$315), "", 'Data Entry'!$]$315)</f>
      </c>
      <c r="AD315">
        <f>IF(ISBLANK('Data Entry'!$^$315), "", 'Data Entry'!$^$315)</f>
      </c>
      <c r="AE315">
        <f>IF(ISBLANK('Data Entry'!$_$315), "", 'Data Entry'!$_$315)</f>
      </c>
      <c r="AF315">
        <f>IF(ISBLANK('Data Entry'!$`$315), "", 'Data Entry'!$`$315)</f>
      </c>
      <c r="AG315">
        <f>IF(ISBLANK('Data Entry'!$a$315), "", 'Data Entry'!$a$315)</f>
      </c>
      <c r="AH315">
        <f>IF(ISBLANK('Data Entry'!$b$315), "", 'Data Entry'!$b$315)</f>
      </c>
      <c r="AI315">
        <f>IF(ISBLANK('Data Entry'!$c$315), "", 'Data Entry'!$c$315)</f>
      </c>
      <c r="AJ315">
        <f>IF(ISBLANK('Data Entry'!$d$315), "", 'Data Entry'!$d$315)</f>
      </c>
      <c r="AK315">
        <f>IF(ISBLANK('Data Entry'!$e$315), "", 'Data Entry'!$e$315)</f>
      </c>
      <c r="AL315">
        <f>IF(ISBLANK('Data Entry'!$f$315), "", 'Data Entry'!$f$315)</f>
      </c>
      <c r="AM315">
        <f>IF(ISBLANK('Data Entry'!$g$315), "", 'Data Entry'!$g$315)</f>
      </c>
      <c r="AN315">
        <f>IF(ISBLANK('Data Entry'!$h$315), "", 'Data Entry'!$h$315)</f>
      </c>
      <c r="AO315">
        <f>IF(ISBLANK('Data Entry'!$i$315), "", 'Data Entry'!$i$315)</f>
      </c>
      <c r="AP315">
        <f>IF(ISBLANK('Data Entry'!$j$315), "", 'Data Entry'!$j$315)</f>
      </c>
      <c r="AQ315">
        <f>IF(ISBLANK('Data Entry'!$k$315), "", 'Data Entry'!$k$315)</f>
      </c>
      <c r="AR315">
        <f>IF(ISBLANK('Data Entry'!$l$315), "", 'Data Entry'!$l$315)</f>
      </c>
      <c r="AS315">
        <f>IF(ISBLANK('Data Entry'!$m$315), "", 'Data Entry'!$m$315)</f>
      </c>
      <c r="AT315">
        <f>IF(ISBLANK('Data Entry'!$n$315), "", 'Data Entry'!$n$315)</f>
      </c>
      <c r="AU315">
        <f>IF(ISBLANK('Data Entry'!$o$315), "", 'Data Entry'!$o$315)</f>
      </c>
      <c r="AV315">
        <f>IF(ISBLANK('Data Entry'!$p$315), "", 'Data Entry'!$p$315)</f>
      </c>
      <c r="AW315">
        <f>IF(ISBLANK('Data Entry'!$q$315), "", 'Data Entry'!$q$315)</f>
      </c>
      <c r="AX315">
        <f>IF(ISBLANK('Data Entry'!$r$315), "", 'Data Entry'!$r$315)</f>
      </c>
      <c r="AY315">
        <f>IF(ISBLANK('Data Entry'!$s$315), "", 'Data Entry'!$s$315)</f>
      </c>
      <c r="AZ315">
        <f>IF(ISBLANK('Data Entry'!$t$315), "", 'Data Entry'!$t$315)</f>
      </c>
      <c r="BA315">
        <f>IF(ISBLANK('Data Entry'!$u$315), "", 'Data Entry'!$u$315)</f>
      </c>
      <c r="BB315">
        <f>IF(ISBLANK('Data Entry'!$v$315), "", 'Data Entry'!$v$315)</f>
      </c>
      <c r="BC315">
        <f>IF(ISBLANK('Data Entry'!$w$315), "", 'Data Entry'!$w$315)</f>
      </c>
      <c r="BD315">
        <f>IF(ISBLANK('Data Entry'!$x$315), "", 'Data Entry'!$x$315)</f>
      </c>
      <c r="BE315">
        <f>IF(ISBLANK('Data Entry'!$y$315), "", 'Data Entry'!$y$315)</f>
      </c>
      <c r="BF315">
        <f>IF(ISBLANK('Data Entry'!$z$315), "", 'Data Entry'!$z$315)</f>
      </c>
      <c r="BG315">
        <f>IF(ISBLANK('Data Entry'!${$315), "", 'Data Entry'!${$315)</f>
      </c>
      <c r="BH315">
        <f>IF(ISBLANK('Data Entry'!$|$315), "", 'Data Entry'!$|$315)</f>
      </c>
      <c r="BI315">
        <f>IF(ISBLANK('Data Entry'!$}$315), "", 'Data Entry'!$}$315)</f>
      </c>
      <c r="BJ315">
        <f>IF(ISBLANK('Data Entry'!$~$315), "", 'Data Entry'!$~$315)</f>
      </c>
      <c r="BK315">
        <f>IF(ISBLANK('Data Entry'!$$315), "", 'Data Entry'!$$315)</f>
      </c>
      <c r="BL315">
        <f>IF(ISBLANK('Data Entry'!$$315), "", 'Data Entry'!$$315)</f>
      </c>
      <c r="BM315">
        <f>IF(ISBLANK('Data Entry'!$$315), "", 'Data Entry'!$$315)</f>
      </c>
      <c r="BN315">
        <f>IF(ISBLANK('Data Entry'!$$315), "", 'Data Entry'!$$315)</f>
      </c>
      <c r="BO315">
        <f>IF(ISBLANK('Data Entry'!$$315), "", 'Data Entry'!$$315)</f>
      </c>
      <c r="BP315">
        <f>IF(ISBLANK('Data Entry'!$$315), "", 'Data Entry'!$$315)</f>
      </c>
      <c r="BQ315">
        <f>IF(ISBLANK('Data Entry'!$$315), "", 'Data Entry'!$$315)</f>
      </c>
      <c r="BR315">
        <f>IF(ISBLANK('Data Entry'!$$315), "", 'Data Entry'!$$315)</f>
      </c>
      <c r="BS315">
        <f>IF(ISBLANK('Data Entry'!$$315), "", 'Data Entry'!$$315)</f>
      </c>
      <c r="BT315">
        <f>IF(ISBLANK('Data Entry'!$$315), "", 'Data Entry'!$$315)</f>
      </c>
      <c r="BU315">
        <f>IF(ISBLANK('Data Entry'!$$315), "", 'Data Entry'!$$315)</f>
      </c>
      <c r="BV315">
        <f>IF(ISBLANK('Data Entry'!$$315), "", 'Data Entry'!$$315)</f>
      </c>
      <c r="BW315">
        <f>IF(ISBLANK('Data Entry'!$$315), "", 'Data Entry'!$$315)</f>
      </c>
      <c r="BX315">
        <f>IF(ISBLANK('Data Entry'!$$315), "", 'Data Entry'!$$315)</f>
      </c>
      <c r="BY315">
        <f>IF(ISBLANK('Data Entry'!$$315), "", 'Data Entry'!$$315)</f>
      </c>
      <c r="BZ315">
        <f>IF(ISBLANK('Data Entry'!$$315), "", 'Data Entry'!$$315)</f>
      </c>
      <c r="CA315">
        <f>IF(ISBLANK('Data Entry'!$$315), "", 'Data Entry'!$$315)</f>
      </c>
      <c r="CB315">
        <f>IF(ISBLANK('Data Entry'!$$315), "", 'Data Entry'!$$315)</f>
      </c>
      <c r="CC315">
        <f>IF(ISBLANK('Data Entry'!$$315), "", 'Data Entry'!$$315)</f>
      </c>
      <c r="CD315">
        <f>IF(ISBLANK('Data Entry'!$$315), "", 'Data Entry'!$$315)</f>
      </c>
      <c r="CE315">
        <f>IF(ISBLANK('Data Entry'!$$315), "", 'Data Entry'!$$315)</f>
      </c>
      <c r="CF315">
        <f>IF(ISBLANK('Data Entry'!$$315), "", 'Data Entry'!$$315)</f>
      </c>
      <c r="CG315">
        <f>IF(ISBLANK('Data Entry'!$$315), "", 'Data Entry'!$$315)</f>
      </c>
      <c r="CH315">
        <f>IF(ISBLANK('Data Entry'!$$315), "", 'Data Entry'!$$315)</f>
      </c>
      <c r="CI315">
        <f>IF(ISBLANK('Data Entry'!$$315), "", 'Data Entry'!$$315)</f>
      </c>
      <c r="CJ315">
        <f>IF(ISBLANK('Data Entry'!$$315), "", 'Data Entry'!$$315)</f>
      </c>
      <c r="CK315">
        <f>IF(ISBLANK('Data Entry'!$$315), "", 'Data Entry'!$$315)</f>
      </c>
      <c r="CL315">
        <f>IF(ISBLANK('Data Entry'!$$315), "", 'Data Entry'!$$315)</f>
      </c>
      <c r="CM315">
        <f>IF(ISBLANK('Data Entry'!$$315), "", 'Data Entry'!$$315)</f>
      </c>
      <c r="CN315">
        <f>IF(ISBLANK('Data Entry'!$$315), "", 'Data Entry'!$$315)</f>
      </c>
      <c r="CO315">
        <f>IF(ISBLANK('Data Entry'!$$315), "", 'Data Entry'!$$315)</f>
      </c>
      <c r="CP315">
        <f>IF(ISBLANK('Data Entry'!$$315), "", 'Data Entry'!$$315)</f>
      </c>
      <c r="CQ315">
        <f>IF(ISBLANK('Data Entry'!$$315), "", 'Data Entry'!$$315)</f>
      </c>
      <c r="CR315">
        <f>IF(ISBLANK('Data Entry'!$ $315), "", 'Data Entry'!$ $315)</f>
      </c>
      <c r="CS315">
        <f>IF(ISBLANK('Data Entry'!$¡$315), "", 'Data Entry'!$¡$315)</f>
      </c>
      <c r="CT315">
        <f>IF(ISBLANK('Data Entry'!$¢$315), "", 'Data Entry'!$¢$315)</f>
      </c>
      <c r="CU315">
        <f>IF(ISBLANK('Data Entry'!$£$315), "", 'Data Entry'!$£$315)</f>
      </c>
      <c r="CV315">
        <f>IF(ISBLANK('Data Entry'!$¤$315), "", 'Data Entry'!$¤$315)</f>
      </c>
      <c r="CW315">
        <f>IF(ISBLANK('Data Entry'!$¥$315), "", 'Data Entry'!$¥$315)</f>
      </c>
      <c r="CX315">
        <f>IF(ISBLANK('Data Entry'!$¦$315), "", 'Data Entry'!$¦$315)</f>
      </c>
      <c r="CY315">
        <f>IF(ISBLANK('Data Entry'!$§$315), "", 'Data Entry'!$§$315)</f>
      </c>
      <c r="CZ315">
        <f>IF(ISBLANK('Data Entry'!$¨$315), "", 'Data Entry'!$¨$315)</f>
      </c>
      <c r="DA315">
        <f>IF(ISBLANK('Data Entry'!$©$315), "", 'Data Entry'!$©$315)</f>
      </c>
      <c r="DB315">
        <f>IF(ISBLANK('Data Entry'!$ª$315), "", 'Data Entry'!$ª$315)</f>
      </c>
      <c r="DC315">
        <f>IF(ISBLANK('Data Entry'!$«$315), "", 'Data Entry'!$«$315)</f>
      </c>
      <c r="DD315">
        <f>IF(ISBLANK('Data Entry'!$¬$315), "", 'Data Entry'!$¬$315)</f>
      </c>
      <c r="DE315">
        <f>IF(ISBLANK('Data Entry'!$­$315), "", 'Data Entry'!$­$315)</f>
      </c>
      <c r="DF315">
        <f>IF(ISBLANK('Data Entry'!$®$315), "", 'Data Entry'!$®$315)</f>
      </c>
      <c r="DG315">
        <f>IF(ISBLANK('Data Entry'!$¯$315), "", 'Data Entry'!$¯$315)</f>
      </c>
      <c r="DH315">
        <f>IF(ISBLANK('Data Entry'!$°$315), "", 'Data Entry'!$°$315)</f>
      </c>
      <c r="DI315">
        <f>IF(ISBLANK('Data Entry'!$±$315), "", 'Data Entry'!$±$315)</f>
      </c>
      <c r="DJ315">
        <f>IF(ISBLANK('Data Entry'!$²$315), "", 'Data Entry'!$²$315)</f>
      </c>
      <c r="DK315">
        <f>IF(ISBLANK('Data Entry'!$³$315), "", 'Data Entry'!$³$315)</f>
      </c>
      <c r="DL315">
        <f>IF(ISBLANK('Data Entry'!$´$315), "", 'Data Entry'!$´$315)</f>
      </c>
      <c r="DM315">
        <f>IF(ISBLANK('Data Entry'!$µ$315), "", 'Data Entry'!$µ$315)</f>
      </c>
      <c r="DN315">
        <f>IF(ISBLANK('Data Entry'!$¶$315), "", 'Data Entry'!$¶$315)</f>
      </c>
      <c r="DO315">
        <f>IF(ISBLANK('Data Entry'!$·$315), "", 'Data Entry'!$·$315)</f>
      </c>
      <c r="DP315">
        <f>IF(ISBLANK('Data Entry'!$¸$315), "", 'Data Entry'!$¸$315)</f>
      </c>
      <c r="DQ315">
        <f>IF(ISBLANK('Data Entry'!$¹$315), "", 'Data Entry'!$¹$315)</f>
      </c>
      <c r="DR315">
        <f>IF(ISBLANK('Data Entry'!$º$315), "", 'Data Entry'!$º$315)</f>
      </c>
      <c r="DS315">
        <f>IF(ISBLANK('Data Entry'!$»$315), "", 'Data Entry'!$»$315)</f>
      </c>
      <c r="DT315">
        <f>IF(ISBLANK('Data Entry'!$¼$315), "", 'Data Entry'!$¼$315)</f>
      </c>
      <c r="DU315">
        <f>IF(ISBLANK('Data Entry'!$½$315), "", 'Data Entry'!$½$315)</f>
      </c>
      <c r="DV315">
        <f>IF(ISBLANK('Data Entry'!$¾$315), "", 'Data Entry'!$¾$315)</f>
      </c>
      <c r="DW315">
        <f>IF(ISBLANK('Data Entry'!$¿$315), "", 'Data Entry'!$¿$315)</f>
      </c>
      <c r="DX315">
        <f>IF(ISBLANK('Data Entry'!$À$315), "", 'Data Entry'!$À$315)</f>
      </c>
      <c r="DY315">
        <f>IF(ISBLANK('Data Entry'!$Á$315), "", 'Data Entry'!$Á$315)</f>
      </c>
      <c r="DZ315">
        <f>IF(ISBLANK('Data Entry'!$Â$315), "", 'Data Entry'!$Â$315)</f>
      </c>
      <c r="EA315">
        <f>IF(ISBLANK('Data Entry'!$Ã$315), "", 'Data Entry'!$Ã$315)</f>
      </c>
      <c r="EB315">
        <f>IF(ISBLANK('Data Entry'!$Ä$315), "", 'Data Entry'!$Ä$315)</f>
      </c>
      <c r="EC315">
        <f>IF(ISBLANK('Data Entry'!$Å$315), "", 'Data Entry'!$Å$315)</f>
      </c>
      <c r="ED315">
        <f>IF(ISBLANK('Data Entry'!$Æ$315), "", 'Data Entry'!$Æ$315)</f>
      </c>
      <c r="EE315">
        <f>IF(ISBLANK('Data Entry'!$Ç$315), "", 'Data Entry'!$Ç$315)</f>
      </c>
      <c r="EF315">
        <f>IF(ISBLANK('Data Entry'!$È$315), "", 'Data Entry'!$È$315)</f>
      </c>
      <c r="EG315">
        <f>IF(ISBLANK('Data Entry'!$É$315), "", 'Data Entry'!$É$315)</f>
      </c>
      <c r="EH315">
        <f>IF(ISBLANK('Data Entry'!$Ê$315), "", 'Data Entry'!$Ê$315)</f>
      </c>
      <c r="EI315">
        <f>IF(ISBLANK('Data Entry'!$Ë$315), "", 'Data Entry'!$Ë$315)</f>
      </c>
      <c r="EJ315">
        <f>IF(ISBLANK('Data Entry'!$Ì$315), "", 'Data Entry'!$Ì$315)</f>
      </c>
      <c r="EK315">
        <f>IF(ISBLANK('Data Entry'!$Í$315), "", 'Data Entry'!$Í$315)</f>
      </c>
      <c r="EL315">
        <f>IF(ISBLANK('Data Entry'!$Î$315), "", 'Data Entry'!$Î$315)</f>
      </c>
      <c r="EM315">
        <f>IF(ISBLANK('Data Entry'!$Ï$315), "", 'Data Entry'!$Ï$315)</f>
      </c>
      <c r="EN315">
        <f>IF(ISBLANK('Data Entry'!$Ð$315), "", 'Data Entry'!$Ð$315)</f>
      </c>
      <c r="EO315">
        <f>IF(ISBLANK('Data Entry'!$Ñ$315), "", 'Data Entry'!$Ñ$315)</f>
      </c>
      <c r="EP315">
        <f>IF(ISBLANK('Data Entry'!$Ò$315), "", 'Data Entry'!$Ò$315)</f>
      </c>
      <c r="EQ315">
        <f>IF(ISBLANK('Data Entry'!$Ó$315), "", 'Data Entry'!$Ó$315)</f>
      </c>
      <c r="ER315">
        <f>IF(ISBLANK('Data Entry'!$Ô$315), "", 'Data Entry'!$Ô$315)</f>
      </c>
      <c r="ES315">
        <f>IF(ISBLANK('Data Entry'!$Õ$315), "", 'Data Entry'!$Õ$315)</f>
      </c>
      <c r="ET315">
        <f>IF(ISBLANK('Data Entry'!$Ö$315), "", 'Data Entry'!$Ö$315)</f>
      </c>
      <c r="EU315">
        <f>IF(ISBLANK('Data Entry'!$×$315), "", 'Data Entry'!$×$315)</f>
      </c>
      <c r="EV315">
        <f>IF(ISBLANK('Data Entry'!$Ø$315), "", 'Data Entry'!$Ø$315)</f>
      </c>
      <c r="EW315">
        <f>IF(ISBLANK('Data Entry'!$Ù$315), "", 'Data Entry'!$Ù$315)</f>
      </c>
      <c r="EX315">
        <f>IF(ISBLANK('Data Entry'!$Ú$315), "", 'Data Entry'!$Ú$315)</f>
      </c>
      <c r="EY315">
        <f>IF(ISBLANK('Data Entry'!$Û$315), "", 'Data Entry'!$Û$315)</f>
      </c>
      <c r="EZ315">
        <f>IF(ISBLANK('Data Entry'!$Ü$315), "", 'Data Entry'!$Ü$315)</f>
      </c>
      <c r="FA315">
        <f>IF(ISBLANK('Data Entry'!$Ý$315), "", 'Data Entry'!$Ý$315)</f>
      </c>
      <c r="FB315">
        <f>IF(ISBLANK('Data Entry'!$Þ$315), "", 'Data Entry'!$Þ$315)</f>
      </c>
      <c r="FC315">
        <f>IF(ISBLANK('Data Entry'!$ß$315), "", 'Data Entry'!$ß$315)</f>
      </c>
      <c r="FD315">
        <f>IF(ISBLANK('Data Entry'!$à$315), "", 'Data Entry'!$à$315)</f>
      </c>
      <c r="FE315">
        <f>IF(ISBLANK('Data Entry'!$á$315), "", 'Data Entry'!$á$315)</f>
      </c>
      <c r="FF315">
        <f>IF(ISBLANK('Data Entry'!$â$315), "", 'Data Entry'!$â$315)</f>
      </c>
      <c r="FG315">
        <f>IF(ISBLANK('Data Entry'!$ã$315), "", 'Data Entry'!$ã$315)</f>
      </c>
      <c r="FH315">
        <f>IF(ISBLANK('Data Entry'!$ä$315), "", 'Data Entry'!$ä$315)</f>
      </c>
      <c r="FI315">
        <f>IF(ISBLANK('Data Entry'!$å$315), "", 'Data Entry'!$å$315)</f>
      </c>
      <c r="FJ315">
        <f>IF(ISBLANK('Data Entry'!$æ$315), "", 'Data Entry'!$æ$315)</f>
      </c>
      <c r="FK315">
        <f>IF(ISBLANK('Data Entry'!$ç$315), "", 'Data Entry'!$ç$315)</f>
      </c>
      <c r="FL315">
        <f>IF(ISBLANK('Data Entry'!$è$315), "", 'Data Entry'!$è$315)</f>
      </c>
      <c r="FM315">
        <f>IF(ISBLANK('Data Entry'!$é$315), "", 'Data Entry'!$é$315)</f>
      </c>
      <c r="FN315">
        <f>IF(ISBLANK('Data Entry'!$ê$315), "", 'Data Entry'!$ê$315)</f>
      </c>
      <c r="FO315">
        <f>IF(ISBLANK('Data Entry'!$ë$315), "", 'Data Entry'!$ë$315)</f>
      </c>
      <c r="FP315">
        <f>IF(ISBLANK('Data Entry'!$ì$315), "", 'Data Entry'!$ì$315)</f>
      </c>
      <c r="FQ315">
        <f>IF(ISBLANK('Data Entry'!$í$315), "", 'Data Entry'!$í$315)</f>
      </c>
      <c r="FR315">
        <f>IF(ISBLANK('Data Entry'!$î$315), "", 'Data Entry'!$î$315)</f>
      </c>
      <c r="FS315">
        <f>IF(ISBLANK('Data Entry'!$ï$315), "", 'Data Entry'!$ï$315)</f>
      </c>
      <c r="FT315">
        <f>IF(ISBLANK('Data Entry'!$ð$315), "", 'Data Entry'!$ð$315)</f>
      </c>
      <c r="FU315">
        <f>IF(ISBLANK('Data Entry'!$ñ$315), "", 'Data Entry'!$ñ$315)</f>
      </c>
      <c r="FV315">
        <f>IF(ISBLANK('Data Entry'!$ò$315), "", 'Data Entry'!$ò$315)</f>
      </c>
      <c r="FW315">
        <f>IF(ISBLANK('Data Entry'!$ó$315), "", 'Data Entry'!$ó$315)</f>
      </c>
      <c r="FX315">
        <f>IF(ISBLANK('Data Entry'!$ô$315), "", 'Data Entry'!$ô$315)</f>
      </c>
      <c r="FY315">
        <f>IF(ISBLANK('Data Entry'!$õ$315), "", 'Data Entry'!$õ$315)</f>
      </c>
      <c r="FZ315">
        <f>IF(ISBLANK('Data Entry'!$ö$315), "", 'Data Entry'!$ö$315)</f>
      </c>
      <c r="GA315">
        <f>IF(ISBLANK('Data Entry'!$÷$315), "", 'Data Entry'!$÷$315)</f>
      </c>
      <c r="GB315">
        <f>IF(ISBLANK('Data Entry'!$ø$315), "", 'Data Entry'!$ø$315)</f>
      </c>
      <c r="GC315">
        <f>IF(ISBLANK('Data Entry'!$ù$315), "", 'Data Entry'!$ù$315)</f>
      </c>
      <c r="GD315">
        <f>IF(ISBLANK('Data Entry'!$ú$315), "", 'Data Entry'!$ú$315)</f>
      </c>
      <c r="GE315">
        <f>IF(ISBLANK('Data Entry'!$û$315), "", 'Data Entry'!$û$315)</f>
      </c>
      <c r="GF315">
        <f>IF(ISBLANK('Data Entry'!$ü$315), "", 'Data Entry'!$ü$315)</f>
      </c>
      <c r="GG315">
        <f>IF(ISBLANK('Data Entry'!$ý$315), "", 'Data Entry'!$ý$315)</f>
      </c>
      <c r="GH315">
        <f>IF(ISBLANK('Data Entry'!$þ$315), "", 'Data Entry'!$þ$315)</f>
      </c>
      <c r="GI315">
        <f>IF(ISBLANK('Data Entry'!$ÿ$315), "", 'Data Entry'!$ÿ$315)</f>
      </c>
      <c r="GJ315">
        <f>IF(ISBLANK('Data Entry'!$Ā$315), "", 'Data Entry'!$Ā$315)</f>
      </c>
      <c r="GK315">
        <f>IF(ISBLANK('Data Entry'!$ā$315), "", 'Data Entry'!$ā$315)</f>
      </c>
      <c r="GL315">
        <f>IF(ISBLANK('Data Entry'!$Ă$315), "", 'Data Entry'!$Ă$315)</f>
      </c>
      <c r="GM315">
        <f>IF(ISBLANK('Data Entry'!$ă$315), "", 'Data Entry'!$ă$315)</f>
      </c>
      <c r="GN315">
        <f>IF(ISBLANK('Data Entry'!$Ą$315), "", 'Data Entry'!$Ą$315)</f>
      </c>
      <c r="GO315">
        <f>IF(ISBLANK('Data Entry'!$ą$315), "", 'Data Entry'!$ą$315)</f>
      </c>
      <c r="GP315">
        <f>IF(ISBLANK('Data Entry'!$Ć$315), "", 'Data Entry'!$Ć$315)</f>
      </c>
      <c r="GQ315">
        <f>IF(ISBLANK('Data Entry'!$ć$315), "", 'Data Entry'!$ć$315)</f>
      </c>
      <c r="GR315">
        <f>IF(ISBLANK('Data Entry'!$Ĉ$315), "", 'Data Entry'!$Ĉ$315)</f>
      </c>
      <c r="GS315">
        <f>IF(ISBLANK('Data Entry'!$ĉ$315), "", 'Data Entry'!$ĉ$315)</f>
      </c>
      <c r="GT315">
        <f>IF(ISBLANK('Data Entry'!$Ċ$315), "", 'Data Entry'!$Ċ$315)</f>
      </c>
      <c r="GU315">
        <f>IF(ISBLANK('Data Entry'!$ċ$315), "", 'Data Entry'!$ċ$315)</f>
      </c>
      <c r="GV315">
        <f>IF(ISBLANK('Data Entry'!$Č$315), "", 'Data Entry'!$Č$315)</f>
      </c>
      <c r="GW315">
        <f>IF(ISBLANK('Data Entry'!$č$315), "", 'Data Entry'!$č$315)</f>
      </c>
      <c r="GX315">
        <f>IF(ISBLANK('Data Entry'!$Ď$315), "", 'Data Entry'!$Ď$315)</f>
      </c>
      <c r="GY315">
        <f>IF(ISBLANK('Data Entry'!$ď$315), "", 'Data Entry'!$ď$315)</f>
      </c>
      <c r="GZ315">
        <f>IF(ISBLANK('Data Entry'!$Đ$315), "", 'Data Entry'!$Đ$315)</f>
      </c>
      <c r="HA315">
        <f>IF(ISBLANK('Data Entry'!$đ$315), "", 'Data Entry'!$đ$315)</f>
      </c>
      <c r="HB315">
        <f>IF(ISBLANK('Data Entry'!$Ē$315), "", 'Data Entry'!$Ē$315)</f>
      </c>
      <c r="HC315">
        <f>IF(ISBLANK('Data Entry'!$ē$315), "", 'Data Entry'!$ē$315)</f>
      </c>
      <c r="HD315">
        <f>IF(ISBLANK('Data Entry'!$Ĕ$315), "", 'Data Entry'!$Ĕ$315)</f>
      </c>
      <c r="HE315">
        <f>IF(ISBLANK('Data Entry'!$ĕ$315), "", 'Data Entry'!$ĕ$315)</f>
      </c>
      <c r="HF315">
        <f>IF(ISBLANK('Data Entry'!$Ė$315), "", 'Data Entry'!$Ė$315)</f>
      </c>
      <c r="HG315">
        <f>IF(ISBLANK('Data Entry'!$ė$315), "", 'Data Entry'!$ė$315)</f>
      </c>
      <c r="HH315">
        <f>IF(ISBLANK('Data Entry'!$Ę$315), "", 'Data Entry'!$Ę$315)</f>
      </c>
      <c r="HI315">
        <f>IF(ISBLANK('Data Entry'!$ę$315), "", 'Data Entry'!$ę$315)</f>
      </c>
      <c r="HJ315">
        <f>IF(ISBLANK('Data Entry'!$Ě$315), "", 'Data Entry'!$Ě$315)</f>
      </c>
      <c r="HK315">
        <f>IF(ISBLANK('Data Entry'!$ě$315), "", 'Data Entry'!$ě$315)</f>
      </c>
      <c r="HL315">
        <f>IF(ISBLANK('Data Entry'!$Ĝ$315), "", 'Data Entry'!$Ĝ$315)</f>
      </c>
      <c r="HM315">
        <f>IF(ISBLANK('Data Entry'!$ĝ$315), "", 'Data Entry'!$ĝ$315)</f>
      </c>
      <c r="HN315">
        <f>IF(ISBLANK('Data Entry'!$Ğ$315), "", 'Data Entry'!$Ğ$315)</f>
      </c>
      <c r="HO315">
        <f>IF(ISBLANK('Data Entry'!$ğ$315), "", 'Data Entry'!$ğ$315)</f>
      </c>
      <c r="HP315">
        <f>IF(ISBLANK('Data Entry'!$Ġ$315), "", 'Data Entry'!$Ġ$315)</f>
      </c>
      <c r="HQ315">
        <f>IF(ISBLANK('Data Entry'!$ġ$315), "", 'Data Entry'!$ġ$315)</f>
      </c>
      <c r="HR315">
        <f>IF(ISBLANK('Data Entry'!$Ģ$315), "", 'Data Entry'!$Ģ$315)</f>
      </c>
      <c r="HS315">
        <f>IF(ISBLANK('Data Entry'!$ģ$315), "", 'Data Entry'!$ģ$315)</f>
      </c>
      <c r="HT315">
        <f>IF(ISBLANK('Data Entry'!$Ĥ$315), "", 'Data Entry'!$Ĥ$315)</f>
      </c>
      <c r="HU315">
        <f>IF(ISBLANK('Data Entry'!$ĥ$315), "", 'Data Entry'!$ĥ$315)</f>
      </c>
      <c r="HV315">
        <f>IF(ISBLANK('Data Entry'!$Ħ$315), "", 'Data Entry'!$Ħ$315)</f>
      </c>
      <c r="HW315">
        <f>IF(ISBLANK('Data Entry'!$ħ$315), "", 'Data Entry'!$ħ$315)</f>
      </c>
      <c r="HX315">
        <f>IF(ISBLANK('Data Entry'!$Ĩ$315), "", 'Data Entry'!$Ĩ$315)</f>
      </c>
      <c r="HY315">
        <f>IF(ISBLANK('Data Entry'!$ĩ$315), "", 'Data Entry'!$ĩ$315)</f>
      </c>
      <c r="HZ315">
        <f>IF(ISBLANK('Data Entry'!$Ī$315), "", 'Data Entry'!$Ī$315)</f>
      </c>
      <c r="IA315">
        <f>IF(ISBLANK('Data Entry'!$ī$315), "", 'Data Entry'!$ī$315)</f>
      </c>
      <c r="IB315">
        <f>IF(ISBLANK('Data Entry'!$Ĭ$315), "", 'Data Entry'!$Ĭ$315)</f>
      </c>
      <c r="IC315">
        <f>IF(ISBLANK('Data Entry'!$ĭ$315), "", 'Data Entry'!$ĭ$315)</f>
      </c>
      <c r="ID315">
        <f>IF(ISBLANK('Data Entry'!$Į$315), "", 'Data Entry'!$Į$315)</f>
      </c>
      <c r="IE315">
        <f>IF(ISBLANK('Data Entry'!$į$315), "", 'Data Entry'!$į$315)</f>
      </c>
      <c r="IF315">
        <f>IF(ISBLANK('Data Entry'!$İ$315), "", 'Data Entry'!$İ$315)</f>
      </c>
      <c r="IG315">
        <f>IF(ISBLANK('Data Entry'!$ı$315), "", 'Data Entry'!$ı$315)</f>
      </c>
      <c r="IH315">
        <f>IF(ISBLANK('Data Entry'!$Ĳ$315), "", 'Data Entry'!$Ĳ$315)</f>
      </c>
      <c r="II315">
        <f>IF(ISBLANK('Data Entry'!$ĳ$315), "", 'Data Entry'!$ĳ$315)</f>
      </c>
      <c r="IJ315">
        <f>IF(ISBLANK('Data Entry'!$Ĵ$315), "", 'Data Entry'!$Ĵ$315)</f>
      </c>
      <c r="IK315">
        <f>IF(ISBLANK('Data Entry'!$ĵ$315), "", 'Data Entry'!$ĵ$315)</f>
      </c>
      <c r="IL315">
        <f>IF(ISBLANK('Data Entry'!$Ķ$315), "", 'Data Entry'!$Ķ$315)</f>
      </c>
      <c r="IM315">
        <f>IF(ISBLANK('Data Entry'!$ķ$315), "", 'Data Entry'!$ķ$315)</f>
      </c>
      <c r="IN315">
        <f>IF(ISBLANK('Data Entry'!$ĸ$315), "", 'Data Entry'!$ĸ$315)</f>
      </c>
      <c r="IO315">
        <f>IF(ISBLANK('Data Entry'!$Ĺ$315), "", 'Data Entry'!$Ĺ$315)</f>
      </c>
      <c r="IP315">
        <f>IF(ISBLANK('Data Entry'!$ĺ$315), "", 'Data Entry'!$ĺ$315)</f>
      </c>
      <c r="IQ315">
        <f>IF(ISBLANK('Data Entry'!$Ļ$315), "", 'Data Entry'!$Ļ$315)</f>
      </c>
      <c r="IR315">
        <f>IF(ISBLANK('Data Entry'!$ļ$315), "", 'Data Entry'!$ļ$315)</f>
      </c>
      <c r="IS315">
        <f>IF(ISBLANK('Data Entry'!$Ľ$315), "", 'Data Entry'!$Ľ$315)</f>
      </c>
      <c r="IT315">
        <f>IF(ISBLANK('Data Entry'!$ľ$315), "", 'Data Entry'!$ľ$315)</f>
      </c>
    </row>
    <row r="316" spans="1:254" x14ac:dyDescent="0.25">
      <c r="A316">
        <f>IF(ISBLANK('Data Entry'!$A$316), "", 'Data Entry'!$A$316)</f>
      </c>
      <c r="B316">
        <f>IF(ISBLANK('Data Entry'!$B$316), "", 'Data Entry'!$B$316)</f>
      </c>
      <c r="C316">
        <f>IF(ISBLANK('Data Entry'!$C$316), "", 'Data Entry'!$C$316)</f>
      </c>
      <c r="D316">
        <f>IF(ISBLANK('Data Entry'!$D$316), "", 'Data Entry'!$D$316)</f>
      </c>
      <c r="E316">
        <f>IF(ISBLANK('Data Entry'!$E$316), "", 'Data Entry'!$E$316)</f>
      </c>
      <c r="F316">
        <f>IF(ISBLANK('Data Entry'!$F$316), "", 'Data Entry'!$F$316)</f>
      </c>
      <c r="G316">
        <f>IF(ISBLANK('Data Entry'!$G$316), "", 'Data Entry'!$G$316)</f>
      </c>
      <c r="H316">
        <f>IF(ISBLANK('Data Entry'!$H$316), "", 'Data Entry'!$H$316)</f>
      </c>
      <c r="I316">
        <f>IF(ISBLANK('Data Entry'!$I$316), "", 'Data Entry'!$I$316)</f>
      </c>
      <c r="J316">
        <f>IF(ISBLANK('Data Entry'!$J$316), "", 'Data Entry'!$J$316)</f>
      </c>
      <c r="K316">
        <f>IF(ISBLANK('Data Entry'!$K$316), "", 'Data Entry'!$K$316)</f>
      </c>
      <c r="L316">
        <f>IF(ISBLANK('Data Entry'!$L$316), "", 'Data Entry'!$L$316)</f>
      </c>
      <c r="M316">
        <f>IF(ISBLANK('Data Entry'!$M$316), "", 'Data Entry'!$M$316)</f>
      </c>
      <c r="N316">
        <f>IF(ISBLANK('Data Entry'!$N$316), "", 'Data Entry'!$N$316)</f>
      </c>
      <c r="O316">
        <f>IF(ISBLANK('Data Entry'!$O$316), "", 'Data Entry'!$O$316)</f>
      </c>
      <c r="P316">
        <f>IF(ISBLANK('Data Entry'!$P$316), "", 'Data Entry'!$P$316)</f>
      </c>
      <c r="Q316">
        <f>IF(ISBLANK('Data Entry'!$Q$316), "", 'Data Entry'!$Q$316)</f>
      </c>
      <c r="R316">
        <f>IF(ISBLANK('Data Entry'!$R$316), "", 'Data Entry'!$R$316)</f>
      </c>
      <c r="S316">
        <f>IF(ISBLANK('Data Entry'!$S$316), "", 'Data Entry'!$S$316)</f>
      </c>
      <c r="T316">
        <f>IF(ISBLANK('Data Entry'!$T$316), "", 'Data Entry'!$T$316)</f>
      </c>
      <c r="U316">
        <f>IF(ISBLANK('Data Entry'!$U$316), "", 'Data Entry'!$U$316)</f>
      </c>
      <c r="V316">
        <f>IF(ISBLANK('Data Entry'!$V$316), "", 'Data Entry'!$V$316)</f>
      </c>
      <c r="W316">
        <f>IF(ISBLANK('Data Entry'!$W$316), "", 'Data Entry'!$W$316)</f>
      </c>
      <c r="X316">
        <f>IF(ISBLANK('Data Entry'!$X$316), "", 'Data Entry'!$X$316)</f>
      </c>
      <c r="Y316">
        <f>IF(ISBLANK('Data Entry'!$Y$316), "", 'Data Entry'!$Y$316)</f>
      </c>
      <c r="Z316">
        <f>IF(ISBLANK('Data Entry'!$Z$316), "", 'Data Entry'!$Z$316)</f>
      </c>
      <c r="AA316">
        <f>IF(ISBLANK('Data Entry'!$[$316), "", 'Data Entry'!$[$316)</f>
      </c>
      <c r="AB316">
        <f>IF(ISBLANK('Data Entry'!$\$316), "", 'Data Entry'!$\$316)</f>
      </c>
      <c r="AC316">
        <f>IF(ISBLANK('Data Entry'!$]$316), "", 'Data Entry'!$]$316)</f>
      </c>
      <c r="AD316">
        <f>IF(ISBLANK('Data Entry'!$^$316), "", 'Data Entry'!$^$316)</f>
      </c>
      <c r="AE316">
        <f>IF(ISBLANK('Data Entry'!$_$316), "", 'Data Entry'!$_$316)</f>
      </c>
      <c r="AF316">
        <f>IF(ISBLANK('Data Entry'!$`$316), "", 'Data Entry'!$`$316)</f>
      </c>
      <c r="AG316">
        <f>IF(ISBLANK('Data Entry'!$a$316), "", 'Data Entry'!$a$316)</f>
      </c>
      <c r="AH316">
        <f>IF(ISBLANK('Data Entry'!$b$316), "", 'Data Entry'!$b$316)</f>
      </c>
      <c r="AI316">
        <f>IF(ISBLANK('Data Entry'!$c$316), "", 'Data Entry'!$c$316)</f>
      </c>
      <c r="AJ316">
        <f>IF(ISBLANK('Data Entry'!$d$316), "", 'Data Entry'!$d$316)</f>
      </c>
      <c r="AK316">
        <f>IF(ISBLANK('Data Entry'!$e$316), "", 'Data Entry'!$e$316)</f>
      </c>
      <c r="AL316">
        <f>IF(ISBLANK('Data Entry'!$f$316), "", 'Data Entry'!$f$316)</f>
      </c>
      <c r="AM316">
        <f>IF(ISBLANK('Data Entry'!$g$316), "", 'Data Entry'!$g$316)</f>
      </c>
      <c r="AN316">
        <f>IF(ISBLANK('Data Entry'!$h$316), "", 'Data Entry'!$h$316)</f>
      </c>
      <c r="AO316">
        <f>IF(ISBLANK('Data Entry'!$i$316), "", 'Data Entry'!$i$316)</f>
      </c>
      <c r="AP316">
        <f>IF(ISBLANK('Data Entry'!$j$316), "", 'Data Entry'!$j$316)</f>
      </c>
      <c r="AQ316">
        <f>IF(ISBLANK('Data Entry'!$k$316), "", 'Data Entry'!$k$316)</f>
      </c>
      <c r="AR316">
        <f>IF(ISBLANK('Data Entry'!$l$316), "", 'Data Entry'!$l$316)</f>
      </c>
      <c r="AS316">
        <f>IF(ISBLANK('Data Entry'!$m$316), "", 'Data Entry'!$m$316)</f>
      </c>
      <c r="AT316">
        <f>IF(ISBLANK('Data Entry'!$n$316), "", 'Data Entry'!$n$316)</f>
      </c>
      <c r="AU316">
        <f>IF(ISBLANK('Data Entry'!$o$316), "", 'Data Entry'!$o$316)</f>
      </c>
      <c r="AV316">
        <f>IF(ISBLANK('Data Entry'!$p$316), "", 'Data Entry'!$p$316)</f>
      </c>
      <c r="AW316">
        <f>IF(ISBLANK('Data Entry'!$q$316), "", 'Data Entry'!$q$316)</f>
      </c>
      <c r="AX316">
        <f>IF(ISBLANK('Data Entry'!$r$316), "", 'Data Entry'!$r$316)</f>
      </c>
      <c r="AY316">
        <f>IF(ISBLANK('Data Entry'!$s$316), "", 'Data Entry'!$s$316)</f>
      </c>
      <c r="AZ316">
        <f>IF(ISBLANK('Data Entry'!$t$316), "", 'Data Entry'!$t$316)</f>
      </c>
      <c r="BA316">
        <f>IF(ISBLANK('Data Entry'!$u$316), "", 'Data Entry'!$u$316)</f>
      </c>
      <c r="BB316">
        <f>IF(ISBLANK('Data Entry'!$v$316), "", 'Data Entry'!$v$316)</f>
      </c>
      <c r="BC316">
        <f>IF(ISBLANK('Data Entry'!$w$316), "", 'Data Entry'!$w$316)</f>
      </c>
      <c r="BD316">
        <f>IF(ISBLANK('Data Entry'!$x$316), "", 'Data Entry'!$x$316)</f>
      </c>
      <c r="BE316">
        <f>IF(ISBLANK('Data Entry'!$y$316), "", 'Data Entry'!$y$316)</f>
      </c>
      <c r="BF316">
        <f>IF(ISBLANK('Data Entry'!$z$316), "", 'Data Entry'!$z$316)</f>
      </c>
      <c r="BG316">
        <f>IF(ISBLANK('Data Entry'!${$316), "", 'Data Entry'!${$316)</f>
      </c>
      <c r="BH316">
        <f>IF(ISBLANK('Data Entry'!$|$316), "", 'Data Entry'!$|$316)</f>
      </c>
      <c r="BI316">
        <f>IF(ISBLANK('Data Entry'!$}$316), "", 'Data Entry'!$}$316)</f>
      </c>
      <c r="BJ316">
        <f>IF(ISBLANK('Data Entry'!$~$316), "", 'Data Entry'!$~$316)</f>
      </c>
      <c r="BK316">
        <f>IF(ISBLANK('Data Entry'!$$316), "", 'Data Entry'!$$316)</f>
      </c>
      <c r="BL316">
        <f>IF(ISBLANK('Data Entry'!$$316), "", 'Data Entry'!$$316)</f>
      </c>
      <c r="BM316">
        <f>IF(ISBLANK('Data Entry'!$$316), "", 'Data Entry'!$$316)</f>
      </c>
      <c r="BN316">
        <f>IF(ISBLANK('Data Entry'!$$316), "", 'Data Entry'!$$316)</f>
      </c>
      <c r="BO316">
        <f>IF(ISBLANK('Data Entry'!$$316), "", 'Data Entry'!$$316)</f>
      </c>
      <c r="BP316">
        <f>IF(ISBLANK('Data Entry'!$$316), "", 'Data Entry'!$$316)</f>
      </c>
      <c r="BQ316">
        <f>IF(ISBLANK('Data Entry'!$$316), "", 'Data Entry'!$$316)</f>
      </c>
      <c r="BR316">
        <f>IF(ISBLANK('Data Entry'!$$316), "", 'Data Entry'!$$316)</f>
      </c>
      <c r="BS316">
        <f>IF(ISBLANK('Data Entry'!$$316), "", 'Data Entry'!$$316)</f>
      </c>
      <c r="BT316">
        <f>IF(ISBLANK('Data Entry'!$$316), "", 'Data Entry'!$$316)</f>
      </c>
      <c r="BU316">
        <f>IF(ISBLANK('Data Entry'!$$316), "", 'Data Entry'!$$316)</f>
      </c>
      <c r="BV316">
        <f>IF(ISBLANK('Data Entry'!$$316), "", 'Data Entry'!$$316)</f>
      </c>
      <c r="BW316">
        <f>IF(ISBLANK('Data Entry'!$$316), "", 'Data Entry'!$$316)</f>
      </c>
      <c r="BX316">
        <f>IF(ISBLANK('Data Entry'!$$316), "", 'Data Entry'!$$316)</f>
      </c>
      <c r="BY316">
        <f>IF(ISBLANK('Data Entry'!$$316), "", 'Data Entry'!$$316)</f>
      </c>
      <c r="BZ316">
        <f>IF(ISBLANK('Data Entry'!$$316), "", 'Data Entry'!$$316)</f>
      </c>
      <c r="CA316">
        <f>IF(ISBLANK('Data Entry'!$$316), "", 'Data Entry'!$$316)</f>
      </c>
      <c r="CB316">
        <f>IF(ISBLANK('Data Entry'!$$316), "", 'Data Entry'!$$316)</f>
      </c>
      <c r="CC316">
        <f>IF(ISBLANK('Data Entry'!$$316), "", 'Data Entry'!$$316)</f>
      </c>
      <c r="CD316">
        <f>IF(ISBLANK('Data Entry'!$$316), "", 'Data Entry'!$$316)</f>
      </c>
      <c r="CE316">
        <f>IF(ISBLANK('Data Entry'!$$316), "", 'Data Entry'!$$316)</f>
      </c>
      <c r="CF316">
        <f>IF(ISBLANK('Data Entry'!$$316), "", 'Data Entry'!$$316)</f>
      </c>
      <c r="CG316">
        <f>IF(ISBLANK('Data Entry'!$$316), "", 'Data Entry'!$$316)</f>
      </c>
      <c r="CH316">
        <f>IF(ISBLANK('Data Entry'!$$316), "", 'Data Entry'!$$316)</f>
      </c>
      <c r="CI316">
        <f>IF(ISBLANK('Data Entry'!$$316), "", 'Data Entry'!$$316)</f>
      </c>
      <c r="CJ316">
        <f>IF(ISBLANK('Data Entry'!$$316), "", 'Data Entry'!$$316)</f>
      </c>
      <c r="CK316">
        <f>IF(ISBLANK('Data Entry'!$$316), "", 'Data Entry'!$$316)</f>
      </c>
      <c r="CL316">
        <f>IF(ISBLANK('Data Entry'!$$316), "", 'Data Entry'!$$316)</f>
      </c>
      <c r="CM316">
        <f>IF(ISBLANK('Data Entry'!$$316), "", 'Data Entry'!$$316)</f>
      </c>
      <c r="CN316">
        <f>IF(ISBLANK('Data Entry'!$$316), "", 'Data Entry'!$$316)</f>
      </c>
      <c r="CO316">
        <f>IF(ISBLANK('Data Entry'!$$316), "", 'Data Entry'!$$316)</f>
      </c>
      <c r="CP316">
        <f>IF(ISBLANK('Data Entry'!$$316), "", 'Data Entry'!$$316)</f>
      </c>
      <c r="CQ316">
        <f>IF(ISBLANK('Data Entry'!$$316), "", 'Data Entry'!$$316)</f>
      </c>
      <c r="CR316">
        <f>IF(ISBLANK('Data Entry'!$ $316), "", 'Data Entry'!$ $316)</f>
      </c>
      <c r="CS316">
        <f>IF(ISBLANK('Data Entry'!$¡$316), "", 'Data Entry'!$¡$316)</f>
      </c>
      <c r="CT316">
        <f>IF(ISBLANK('Data Entry'!$¢$316), "", 'Data Entry'!$¢$316)</f>
      </c>
      <c r="CU316">
        <f>IF(ISBLANK('Data Entry'!$£$316), "", 'Data Entry'!$£$316)</f>
      </c>
      <c r="CV316">
        <f>IF(ISBLANK('Data Entry'!$¤$316), "", 'Data Entry'!$¤$316)</f>
      </c>
      <c r="CW316">
        <f>IF(ISBLANK('Data Entry'!$¥$316), "", 'Data Entry'!$¥$316)</f>
      </c>
      <c r="CX316">
        <f>IF(ISBLANK('Data Entry'!$¦$316), "", 'Data Entry'!$¦$316)</f>
      </c>
      <c r="CY316">
        <f>IF(ISBLANK('Data Entry'!$§$316), "", 'Data Entry'!$§$316)</f>
      </c>
      <c r="CZ316">
        <f>IF(ISBLANK('Data Entry'!$¨$316), "", 'Data Entry'!$¨$316)</f>
      </c>
      <c r="DA316">
        <f>IF(ISBLANK('Data Entry'!$©$316), "", 'Data Entry'!$©$316)</f>
      </c>
      <c r="DB316">
        <f>IF(ISBLANK('Data Entry'!$ª$316), "", 'Data Entry'!$ª$316)</f>
      </c>
      <c r="DC316">
        <f>IF(ISBLANK('Data Entry'!$«$316), "", 'Data Entry'!$«$316)</f>
      </c>
      <c r="DD316">
        <f>IF(ISBLANK('Data Entry'!$¬$316), "", 'Data Entry'!$¬$316)</f>
      </c>
      <c r="DE316">
        <f>IF(ISBLANK('Data Entry'!$­$316), "", 'Data Entry'!$­$316)</f>
      </c>
      <c r="DF316">
        <f>IF(ISBLANK('Data Entry'!$®$316), "", 'Data Entry'!$®$316)</f>
      </c>
      <c r="DG316">
        <f>IF(ISBLANK('Data Entry'!$¯$316), "", 'Data Entry'!$¯$316)</f>
      </c>
      <c r="DH316">
        <f>IF(ISBLANK('Data Entry'!$°$316), "", 'Data Entry'!$°$316)</f>
      </c>
      <c r="DI316">
        <f>IF(ISBLANK('Data Entry'!$±$316), "", 'Data Entry'!$±$316)</f>
      </c>
      <c r="DJ316">
        <f>IF(ISBLANK('Data Entry'!$²$316), "", 'Data Entry'!$²$316)</f>
      </c>
      <c r="DK316">
        <f>IF(ISBLANK('Data Entry'!$³$316), "", 'Data Entry'!$³$316)</f>
      </c>
      <c r="DL316">
        <f>IF(ISBLANK('Data Entry'!$´$316), "", 'Data Entry'!$´$316)</f>
      </c>
      <c r="DM316">
        <f>IF(ISBLANK('Data Entry'!$µ$316), "", 'Data Entry'!$µ$316)</f>
      </c>
      <c r="DN316">
        <f>IF(ISBLANK('Data Entry'!$¶$316), "", 'Data Entry'!$¶$316)</f>
      </c>
      <c r="DO316">
        <f>IF(ISBLANK('Data Entry'!$·$316), "", 'Data Entry'!$·$316)</f>
      </c>
      <c r="DP316">
        <f>IF(ISBLANK('Data Entry'!$¸$316), "", 'Data Entry'!$¸$316)</f>
      </c>
      <c r="DQ316">
        <f>IF(ISBLANK('Data Entry'!$¹$316), "", 'Data Entry'!$¹$316)</f>
      </c>
      <c r="DR316">
        <f>IF(ISBLANK('Data Entry'!$º$316), "", 'Data Entry'!$º$316)</f>
      </c>
      <c r="DS316">
        <f>IF(ISBLANK('Data Entry'!$»$316), "", 'Data Entry'!$»$316)</f>
      </c>
      <c r="DT316">
        <f>IF(ISBLANK('Data Entry'!$¼$316), "", 'Data Entry'!$¼$316)</f>
      </c>
      <c r="DU316">
        <f>IF(ISBLANK('Data Entry'!$½$316), "", 'Data Entry'!$½$316)</f>
      </c>
      <c r="DV316">
        <f>IF(ISBLANK('Data Entry'!$¾$316), "", 'Data Entry'!$¾$316)</f>
      </c>
      <c r="DW316">
        <f>IF(ISBLANK('Data Entry'!$¿$316), "", 'Data Entry'!$¿$316)</f>
      </c>
      <c r="DX316">
        <f>IF(ISBLANK('Data Entry'!$À$316), "", 'Data Entry'!$À$316)</f>
      </c>
      <c r="DY316">
        <f>IF(ISBLANK('Data Entry'!$Á$316), "", 'Data Entry'!$Á$316)</f>
      </c>
      <c r="DZ316">
        <f>IF(ISBLANK('Data Entry'!$Â$316), "", 'Data Entry'!$Â$316)</f>
      </c>
      <c r="EA316">
        <f>IF(ISBLANK('Data Entry'!$Ã$316), "", 'Data Entry'!$Ã$316)</f>
      </c>
      <c r="EB316">
        <f>IF(ISBLANK('Data Entry'!$Ä$316), "", 'Data Entry'!$Ä$316)</f>
      </c>
      <c r="EC316">
        <f>IF(ISBLANK('Data Entry'!$Å$316), "", 'Data Entry'!$Å$316)</f>
      </c>
      <c r="ED316">
        <f>IF(ISBLANK('Data Entry'!$Æ$316), "", 'Data Entry'!$Æ$316)</f>
      </c>
      <c r="EE316">
        <f>IF(ISBLANK('Data Entry'!$Ç$316), "", 'Data Entry'!$Ç$316)</f>
      </c>
      <c r="EF316">
        <f>IF(ISBLANK('Data Entry'!$È$316), "", 'Data Entry'!$È$316)</f>
      </c>
      <c r="EG316">
        <f>IF(ISBLANK('Data Entry'!$É$316), "", 'Data Entry'!$É$316)</f>
      </c>
      <c r="EH316">
        <f>IF(ISBLANK('Data Entry'!$Ê$316), "", 'Data Entry'!$Ê$316)</f>
      </c>
      <c r="EI316">
        <f>IF(ISBLANK('Data Entry'!$Ë$316), "", 'Data Entry'!$Ë$316)</f>
      </c>
      <c r="EJ316">
        <f>IF(ISBLANK('Data Entry'!$Ì$316), "", 'Data Entry'!$Ì$316)</f>
      </c>
      <c r="EK316">
        <f>IF(ISBLANK('Data Entry'!$Í$316), "", 'Data Entry'!$Í$316)</f>
      </c>
      <c r="EL316">
        <f>IF(ISBLANK('Data Entry'!$Î$316), "", 'Data Entry'!$Î$316)</f>
      </c>
      <c r="EM316">
        <f>IF(ISBLANK('Data Entry'!$Ï$316), "", 'Data Entry'!$Ï$316)</f>
      </c>
      <c r="EN316">
        <f>IF(ISBLANK('Data Entry'!$Ð$316), "", 'Data Entry'!$Ð$316)</f>
      </c>
      <c r="EO316">
        <f>IF(ISBLANK('Data Entry'!$Ñ$316), "", 'Data Entry'!$Ñ$316)</f>
      </c>
      <c r="EP316">
        <f>IF(ISBLANK('Data Entry'!$Ò$316), "", 'Data Entry'!$Ò$316)</f>
      </c>
      <c r="EQ316">
        <f>IF(ISBLANK('Data Entry'!$Ó$316), "", 'Data Entry'!$Ó$316)</f>
      </c>
      <c r="ER316">
        <f>IF(ISBLANK('Data Entry'!$Ô$316), "", 'Data Entry'!$Ô$316)</f>
      </c>
      <c r="ES316">
        <f>IF(ISBLANK('Data Entry'!$Õ$316), "", 'Data Entry'!$Õ$316)</f>
      </c>
      <c r="ET316">
        <f>IF(ISBLANK('Data Entry'!$Ö$316), "", 'Data Entry'!$Ö$316)</f>
      </c>
      <c r="EU316">
        <f>IF(ISBLANK('Data Entry'!$×$316), "", 'Data Entry'!$×$316)</f>
      </c>
      <c r="EV316">
        <f>IF(ISBLANK('Data Entry'!$Ø$316), "", 'Data Entry'!$Ø$316)</f>
      </c>
      <c r="EW316">
        <f>IF(ISBLANK('Data Entry'!$Ù$316), "", 'Data Entry'!$Ù$316)</f>
      </c>
      <c r="EX316">
        <f>IF(ISBLANK('Data Entry'!$Ú$316), "", 'Data Entry'!$Ú$316)</f>
      </c>
      <c r="EY316">
        <f>IF(ISBLANK('Data Entry'!$Û$316), "", 'Data Entry'!$Û$316)</f>
      </c>
      <c r="EZ316">
        <f>IF(ISBLANK('Data Entry'!$Ü$316), "", 'Data Entry'!$Ü$316)</f>
      </c>
      <c r="FA316">
        <f>IF(ISBLANK('Data Entry'!$Ý$316), "", 'Data Entry'!$Ý$316)</f>
      </c>
      <c r="FB316">
        <f>IF(ISBLANK('Data Entry'!$Þ$316), "", 'Data Entry'!$Þ$316)</f>
      </c>
      <c r="FC316">
        <f>IF(ISBLANK('Data Entry'!$ß$316), "", 'Data Entry'!$ß$316)</f>
      </c>
      <c r="FD316">
        <f>IF(ISBLANK('Data Entry'!$à$316), "", 'Data Entry'!$à$316)</f>
      </c>
      <c r="FE316">
        <f>IF(ISBLANK('Data Entry'!$á$316), "", 'Data Entry'!$á$316)</f>
      </c>
      <c r="FF316">
        <f>IF(ISBLANK('Data Entry'!$â$316), "", 'Data Entry'!$â$316)</f>
      </c>
      <c r="FG316">
        <f>IF(ISBLANK('Data Entry'!$ã$316), "", 'Data Entry'!$ã$316)</f>
      </c>
      <c r="FH316">
        <f>IF(ISBLANK('Data Entry'!$ä$316), "", 'Data Entry'!$ä$316)</f>
      </c>
      <c r="FI316">
        <f>IF(ISBLANK('Data Entry'!$å$316), "", 'Data Entry'!$å$316)</f>
      </c>
      <c r="FJ316">
        <f>IF(ISBLANK('Data Entry'!$æ$316), "", 'Data Entry'!$æ$316)</f>
      </c>
      <c r="FK316">
        <f>IF(ISBLANK('Data Entry'!$ç$316), "", 'Data Entry'!$ç$316)</f>
      </c>
      <c r="FL316">
        <f>IF(ISBLANK('Data Entry'!$è$316), "", 'Data Entry'!$è$316)</f>
      </c>
      <c r="FM316">
        <f>IF(ISBLANK('Data Entry'!$é$316), "", 'Data Entry'!$é$316)</f>
      </c>
      <c r="FN316">
        <f>IF(ISBLANK('Data Entry'!$ê$316), "", 'Data Entry'!$ê$316)</f>
      </c>
      <c r="FO316">
        <f>IF(ISBLANK('Data Entry'!$ë$316), "", 'Data Entry'!$ë$316)</f>
      </c>
      <c r="FP316">
        <f>IF(ISBLANK('Data Entry'!$ì$316), "", 'Data Entry'!$ì$316)</f>
      </c>
      <c r="FQ316">
        <f>IF(ISBLANK('Data Entry'!$í$316), "", 'Data Entry'!$í$316)</f>
      </c>
      <c r="FR316">
        <f>IF(ISBLANK('Data Entry'!$î$316), "", 'Data Entry'!$î$316)</f>
      </c>
      <c r="FS316">
        <f>IF(ISBLANK('Data Entry'!$ï$316), "", 'Data Entry'!$ï$316)</f>
      </c>
      <c r="FT316">
        <f>IF(ISBLANK('Data Entry'!$ð$316), "", 'Data Entry'!$ð$316)</f>
      </c>
      <c r="FU316">
        <f>IF(ISBLANK('Data Entry'!$ñ$316), "", 'Data Entry'!$ñ$316)</f>
      </c>
      <c r="FV316">
        <f>IF(ISBLANK('Data Entry'!$ò$316), "", 'Data Entry'!$ò$316)</f>
      </c>
      <c r="FW316">
        <f>IF(ISBLANK('Data Entry'!$ó$316), "", 'Data Entry'!$ó$316)</f>
      </c>
      <c r="FX316">
        <f>IF(ISBLANK('Data Entry'!$ô$316), "", 'Data Entry'!$ô$316)</f>
      </c>
      <c r="FY316">
        <f>IF(ISBLANK('Data Entry'!$õ$316), "", 'Data Entry'!$õ$316)</f>
      </c>
      <c r="FZ316">
        <f>IF(ISBLANK('Data Entry'!$ö$316), "", 'Data Entry'!$ö$316)</f>
      </c>
      <c r="GA316">
        <f>IF(ISBLANK('Data Entry'!$÷$316), "", 'Data Entry'!$÷$316)</f>
      </c>
      <c r="GB316">
        <f>IF(ISBLANK('Data Entry'!$ø$316), "", 'Data Entry'!$ø$316)</f>
      </c>
      <c r="GC316">
        <f>IF(ISBLANK('Data Entry'!$ù$316), "", 'Data Entry'!$ù$316)</f>
      </c>
      <c r="GD316">
        <f>IF(ISBLANK('Data Entry'!$ú$316), "", 'Data Entry'!$ú$316)</f>
      </c>
      <c r="GE316">
        <f>IF(ISBLANK('Data Entry'!$û$316), "", 'Data Entry'!$û$316)</f>
      </c>
      <c r="GF316">
        <f>IF(ISBLANK('Data Entry'!$ü$316), "", 'Data Entry'!$ü$316)</f>
      </c>
      <c r="GG316">
        <f>IF(ISBLANK('Data Entry'!$ý$316), "", 'Data Entry'!$ý$316)</f>
      </c>
      <c r="GH316">
        <f>IF(ISBLANK('Data Entry'!$þ$316), "", 'Data Entry'!$þ$316)</f>
      </c>
      <c r="GI316">
        <f>IF(ISBLANK('Data Entry'!$ÿ$316), "", 'Data Entry'!$ÿ$316)</f>
      </c>
      <c r="GJ316">
        <f>IF(ISBLANK('Data Entry'!$Ā$316), "", 'Data Entry'!$Ā$316)</f>
      </c>
      <c r="GK316">
        <f>IF(ISBLANK('Data Entry'!$ā$316), "", 'Data Entry'!$ā$316)</f>
      </c>
      <c r="GL316">
        <f>IF(ISBLANK('Data Entry'!$Ă$316), "", 'Data Entry'!$Ă$316)</f>
      </c>
      <c r="GM316">
        <f>IF(ISBLANK('Data Entry'!$ă$316), "", 'Data Entry'!$ă$316)</f>
      </c>
      <c r="GN316">
        <f>IF(ISBLANK('Data Entry'!$Ą$316), "", 'Data Entry'!$Ą$316)</f>
      </c>
      <c r="GO316">
        <f>IF(ISBLANK('Data Entry'!$ą$316), "", 'Data Entry'!$ą$316)</f>
      </c>
      <c r="GP316">
        <f>IF(ISBLANK('Data Entry'!$Ć$316), "", 'Data Entry'!$Ć$316)</f>
      </c>
      <c r="GQ316">
        <f>IF(ISBLANK('Data Entry'!$ć$316), "", 'Data Entry'!$ć$316)</f>
      </c>
      <c r="GR316">
        <f>IF(ISBLANK('Data Entry'!$Ĉ$316), "", 'Data Entry'!$Ĉ$316)</f>
      </c>
      <c r="GS316">
        <f>IF(ISBLANK('Data Entry'!$ĉ$316), "", 'Data Entry'!$ĉ$316)</f>
      </c>
      <c r="GT316">
        <f>IF(ISBLANK('Data Entry'!$Ċ$316), "", 'Data Entry'!$Ċ$316)</f>
      </c>
      <c r="GU316">
        <f>IF(ISBLANK('Data Entry'!$ċ$316), "", 'Data Entry'!$ċ$316)</f>
      </c>
      <c r="GV316">
        <f>IF(ISBLANK('Data Entry'!$Č$316), "", 'Data Entry'!$Č$316)</f>
      </c>
      <c r="GW316">
        <f>IF(ISBLANK('Data Entry'!$č$316), "", 'Data Entry'!$č$316)</f>
      </c>
      <c r="GX316">
        <f>IF(ISBLANK('Data Entry'!$Ď$316), "", 'Data Entry'!$Ď$316)</f>
      </c>
      <c r="GY316">
        <f>IF(ISBLANK('Data Entry'!$ď$316), "", 'Data Entry'!$ď$316)</f>
      </c>
      <c r="GZ316">
        <f>IF(ISBLANK('Data Entry'!$Đ$316), "", 'Data Entry'!$Đ$316)</f>
      </c>
      <c r="HA316">
        <f>IF(ISBLANK('Data Entry'!$đ$316), "", 'Data Entry'!$đ$316)</f>
      </c>
      <c r="HB316">
        <f>IF(ISBLANK('Data Entry'!$Ē$316), "", 'Data Entry'!$Ē$316)</f>
      </c>
      <c r="HC316">
        <f>IF(ISBLANK('Data Entry'!$ē$316), "", 'Data Entry'!$ē$316)</f>
      </c>
      <c r="HD316">
        <f>IF(ISBLANK('Data Entry'!$Ĕ$316), "", 'Data Entry'!$Ĕ$316)</f>
      </c>
      <c r="HE316">
        <f>IF(ISBLANK('Data Entry'!$ĕ$316), "", 'Data Entry'!$ĕ$316)</f>
      </c>
      <c r="HF316">
        <f>IF(ISBLANK('Data Entry'!$Ė$316), "", 'Data Entry'!$Ė$316)</f>
      </c>
      <c r="HG316">
        <f>IF(ISBLANK('Data Entry'!$ė$316), "", 'Data Entry'!$ė$316)</f>
      </c>
      <c r="HH316">
        <f>IF(ISBLANK('Data Entry'!$Ę$316), "", 'Data Entry'!$Ę$316)</f>
      </c>
      <c r="HI316">
        <f>IF(ISBLANK('Data Entry'!$ę$316), "", 'Data Entry'!$ę$316)</f>
      </c>
      <c r="HJ316">
        <f>IF(ISBLANK('Data Entry'!$Ě$316), "", 'Data Entry'!$Ě$316)</f>
      </c>
      <c r="HK316">
        <f>IF(ISBLANK('Data Entry'!$ě$316), "", 'Data Entry'!$ě$316)</f>
      </c>
      <c r="HL316">
        <f>IF(ISBLANK('Data Entry'!$Ĝ$316), "", 'Data Entry'!$Ĝ$316)</f>
      </c>
      <c r="HM316">
        <f>IF(ISBLANK('Data Entry'!$ĝ$316), "", 'Data Entry'!$ĝ$316)</f>
      </c>
      <c r="HN316">
        <f>IF(ISBLANK('Data Entry'!$Ğ$316), "", 'Data Entry'!$Ğ$316)</f>
      </c>
      <c r="HO316">
        <f>IF(ISBLANK('Data Entry'!$ğ$316), "", 'Data Entry'!$ğ$316)</f>
      </c>
      <c r="HP316">
        <f>IF(ISBLANK('Data Entry'!$Ġ$316), "", 'Data Entry'!$Ġ$316)</f>
      </c>
      <c r="HQ316">
        <f>IF(ISBLANK('Data Entry'!$ġ$316), "", 'Data Entry'!$ġ$316)</f>
      </c>
      <c r="HR316">
        <f>IF(ISBLANK('Data Entry'!$Ģ$316), "", 'Data Entry'!$Ģ$316)</f>
      </c>
      <c r="HS316">
        <f>IF(ISBLANK('Data Entry'!$ģ$316), "", 'Data Entry'!$ģ$316)</f>
      </c>
      <c r="HT316">
        <f>IF(ISBLANK('Data Entry'!$Ĥ$316), "", 'Data Entry'!$Ĥ$316)</f>
      </c>
      <c r="HU316">
        <f>IF(ISBLANK('Data Entry'!$ĥ$316), "", 'Data Entry'!$ĥ$316)</f>
      </c>
      <c r="HV316">
        <f>IF(ISBLANK('Data Entry'!$Ħ$316), "", 'Data Entry'!$Ħ$316)</f>
      </c>
      <c r="HW316">
        <f>IF(ISBLANK('Data Entry'!$ħ$316), "", 'Data Entry'!$ħ$316)</f>
      </c>
      <c r="HX316">
        <f>IF(ISBLANK('Data Entry'!$Ĩ$316), "", 'Data Entry'!$Ĩ$316)</f>
      </c>
      <c r="HY316">
        <f>IF(ISBLANK('Data Entry'!$ĩ$316), "", 'Data Entry'!$ĩ$316)</f>
      </c>
      <c r="HZ316">
        <f>IF(ISBLANK('Data Entry'!$Ī$316), "", 'Data Entry'!$Ī$316)</f>
      </c>
      <c r="IA316">
        <f>IF(ISBLANK('Data Entry'!$ī$316), "", 'Data Entry'!$ī$316)</f>
      </c>
      <c r="IB316">
        <f>IF(ISBLANK('Data Entry'!$Ĭ$316), "", 'Data Entry'!$Ĭ$316)</f>
      </c>
      <c r="IC316">
        <f>IF(ISBLANK('Data Entry'!$ĭ$316), "", 'Data Entry'!$ĭ$316)</f>
      </c>
      <c r="ID316">
        <f>IF(ISBLANK('Data Entry'!$Į$316), "", 'Data Entry'!$Į$316)</f>
      </c>
      <c r="IE316">
        <f>IF(ISBLANK('Data Entry'!$į$316), "", 'Data Entry'!$į$316)</f>
      </c>
      <c r="IF316">
        <f>IF(ISBLANK('Data Entry'!$İ$316), "", 'Data Entry'!$İ$316)</f>
      </c>
      <c r="IG316">
        <f>IF(ISBLANK('Data Entry'!$ı$316), "", 'Data Entry'!$ı$316)</f>
      </c>
      <c r="IH316">
        <f>IF(ISBLANK('Data Entry'!$Ĳ$316), "", 'Data Entry'!$Ĳ$316)</f>
      </c>
      <c r="II316">
        <f>IF(ISBLANK('Data Entry'!$ĳ$316), "", 'Data Entry'!$ĳ$316)</f>
      </c>
      <c r="IJ316">
        <f>IF(ISBLANK('Data Entry'!$Ĵ$316), "", 'Data Entry'!$Ĵ$316)</f>
      </c>
      <c r="IK316">
        <f>IF(ISBLANK('Data Entry'!$ĵ$316), "", 'Data Entry'!$ĵ$316)</f>
      </c>
      <c r="IL316">
        <f>IF(ISBLANK('Data Entry'!$Ķ$316), "", 'Data Entry'!$Ķ$316)</f>
      </c>
      <c r="IM316">
        <f>IF(ISBLANK('Data Entry'!$ķ$316), "", 'Data Entry'!$ķ$316)</f>
      </c>
      <c r="IN316">
        <f>IF(ISBLANK('Data Entry'!$ĸ$316), "", 'Data Entry'!$ĸ$316)</f>
      </c>
      <c r="IO316">
        <f>IF(ISBLANK('Data Entry'!$Ĺ$316), "", 'Data Entry'!$Ĺ$316)</f>
      </c>
      <c r="IP316">
        <f>IF(ISBLANK('Data Entry'!$ĺ$316), "", 'Data Entry'!$ĺ$316)</f>
      </c>
      <c r="IQ316">
        <f>IF(ISBLANK('Data Entry'!$Ļ$316), "", 'Data Entry'!$Ļ$316)</f>
      </c>
      <c r="IR316">
        <f>IF(ISBLANK('Data Entry'!$ļ$316), "", 'Data Entry'!$ļ$316)</f>
      </c>
      <c r="IS316">
        <f>IF(ISBLANK('Data Entry'!$Ľ$316), "", 'Data Entry'!$Ľ$316)</f>
      </c>
      <c r="IT316">
        <f>IF(ISBLANK('Data Entry'!$ľ$316), "", 'Data Entry'!$ľ$316)</f>
      </c>
    </row>
    <row r="317" spans="1:254" x14ac:dyDescent="0.25">
      <c r="A317">
        <f>IF(ISBLANK('Data Entry'!$A$317), "", 'Data Entry'!$A$317)</f>
      </c>
      <c r="B317">
        <f>IF(ISBLANK('Data Entry'!$B$317), "", 'Data Entry'!$B$317)</f>
      </c>
      <c r="C317">
        <f>IF(ISBLANK('Data Entry'!$C$317), "", 'Data Entry'!$C$317)</f>
      </c>
      <c r="D317">
        <f>IF(ISBLANK('Data Entry'!$D$317), "", 'Data Entry'!$D$317)</f>
      </c>
      <c r="E317">
        <f>IF(ISBLANK('Data Entry'!$E$317), "", 'Data Entry'!$E$317)</f>
      </c>
      <c r="F317">
        <f>IF(ISBLANK('Data Entry'!$F$317), "", 'Data Entry'!$F$317)</f>
      </c>
      <c r="G317">
        <f>IF(ISBLANK('Data Entry'!$G$317), "", 'Data Entry'!$G$317)</f>
      </c>
      <c r="H317">
        <f>IF(ISBLANK('Data Entry'!$H$317), "", 'Data Entry'!$H$317)</f>
      </c>
      <c r="I317">
        <f>IF(ISBLANK('Data Entry'!$I$317), "", 'Data Entry'!$I$317)</f>
      </c>
      <c r="J317">
        <f>IF(ISBLANK('Data Entry'!$J$317), "", 'Data Entry'!$J$317)</f>
      </c>
      <c r="K317">
        <f>IF(ISBLANK('Data Entry'!$K$317), "", 'Data Entry'!$K$317)</f>
      </c>
      <c r="L317">
        <f>IF(ISBLANK('Data Entry'!$L$317), "", 'Data Entry'!$L$317)</f>
      </c>
      <c r="M317">
        <f>IF(ISBLANK('Data Entry'!$M$317), "", 'Data Entry'!$M$317)</f>
      </c>
      <c r="N317">
        <f>IF(ISBLANK('Data Entry'!$N$317), "", 'Data Entry'!$N$317)</f>
      </c>
      <c r="O317">
        <f>IF(ISBLANK('Data Entry'!$O$317), "", 'Data Entry'!$O$317)</f>
      </c>
      <c r="P317">
        <f>IF(ISBLANK('Data Entry'!$P$317), "", 'Data Entry'!$P$317)</f>
      </c>
      <c r="Q317">
        <f>IF(ISBLANK('Data Entry'!$Q$317), "", 'Data Entry'!$Q$317)</f>
      </c>
      <c r="R317">
        <f>IF(ISBLANK('Data Entry'!$R$317), "", 'Data Entry'!$R$317)</f>
      </c>
      <c r="S317">
        <f>IF(ISBLANK('Data Entry'!$S$317), "", 'Data Entry'!$S$317)</f>
      </c>
      <c r="T317">
        <f>IF(ISBLANK('Data Entry'!$T$317), "", 'Data Entry'!$T$317)</f>
      </c>
      <c r="U317">
        <f>IF(ISBLANK('Data Entry'!$U$317), "", 'Data Entry'!$U$317)</f>
      </c>
      <c r="V317">
        <f>IF(ISBLANK('Data Entry'!$V$317), "", 'Data Entry'!$V$317)</f>
      </c>
      <c r="W317">
        <f>IF(ISBLANK('Data Entry'!$W$317), "", 'Data Entry'!$W$317)</f>
      </c>
      <c r="X317">
        <f>IF(ISBLANK('Data Entry'!$X$317), "", 'Data Entry'!$X$317)</f>
      </c>
      <c r="Y317">
        <f>IF(ISBLANK('Data Entry'!$Y$317), "", 'Data Entry'!$Y$317)</f>
      </c>
      <c r="Z317">
        <f>IF(ISBLANK('Data Entry'!$Z$317), "", 'Data Entry'!$Z$317)</f>
      </c>
      <c r="AA317">
        <f>IF(ISBLANK('Data Entry'!$[$317), "", 'Data Entry'!$[$317)</f>
      </c>
      <c r="AB317">
        <f>IF(ISBLANK('Data Entry'!$\$317), "", 'Data Entry'!$\$317)</f>
      </c>
      <c r="AC317">
        <f>IF(ISBLANK('Data Entry'!$]$317), "", 'Data Entry'!$]$317)</f>
      </c>
      <c r="AD317">
        <f>IF(ISBLANK('Data Entry'!$^$317), "", 'Data Entry'!$^$317)</f>
      </c>
      <c r="AE317">
        <f>IF(ISBLANK('Data Entry'!$_$317), "", 'Data Entry'!$_$317)</f>
      </c>
      <c r="AF317">
        <f>IF(ISBLANK('Data Entry'!$`$317), "", 'Data Entry'!$`$317)</f>
      </c>
      <c r="AG317">
        <f>IF(ISBLANK('Data Entry'!$a$317), "", 'Data Entry'!$a$317)</f>
      </c>
      <c r="AH317">
        <f>IF(ISBLANK('Data Entry'!$b$317), "", 'Data Entry'!$b$317)</f>
      </c>
      <c r="AI317">
        <f>IF(ISBLANK('Data Entry'!$c$317), "", 'Data Entry'!$c$317)</f>
      </c>
      <c r="AJ317">
        <f>IF(ISBLANK('Data Entry'!$d$317), "", 'Data Entry'!$d$317)</f>
      </c>
      <c r="AK317">
        <f>IF(ISBLANK('Data Entry'!$e$317), "", 'Data Entry'!$e$317)</f>
      </c>
      <c r="AL317">
        <f>IF(ISBLANK('Data Entry'!$f$317), "", 'Data Entry'!$f$317)</f>
      </c>
      <c r="AM317">
        <f>IF(ISBLANK('Data Entry'!$g$317), "", 'Data Entry'!$g$317)</f>
      </c>
      <c r="AN317">
        <f>IF(ISBLANK('Data Entry'!$h$317), "", 'Data Entry'!$h$317)</f>
      </c>
      <c r="AO317">
        <f>IF(ISBLANK('Data Entry'!$i$317), "", 'Data Entry'!$i$317)</f>
      </c>
      <c r="AP317">
        <f>IF(ISBLANK('Data Entry'!$j$317), "", 'Data Entry'!$j$317)</f>
      </c>
      <c r="AQ317">
        <f>IF(ISBLANK('Data Entry'!$k$317), "", 'Data Entry'!$k$317)</f>
      </c>
      <c r="AR317">
        <f>IF(ISBLANK('Data Entry'!$l$317), "", 'Data Entry'!$l$317)</f>
      </c>
      <c r="AS317">
        <f>IF(ISBLANK('Data Entry'!$m$317), "", 'Data Entry'!$m$317)</f>
      </c>
      <c r="AT317">
        <f>IF(ISBLANK('Data Entry'!$n$317), "", 'Data Entry'!$n$317)</f>
      </c>
      <c r="AU317">
        <f>IF(ISBLANK('Data Entry'!$o$317), "", 'Data Entry'!$o$317)</f>
      </c>
      <c r="AV317">
        <f>IF(ISBLANK('Data Entry'!$p$317), "", 'Data Entry'!$p$317)</f>
      </c>
      <c r="AW317">
        <f>IF(ISBLANK('Data Entry'!$q$317), "", 'Data Entry'!$q$317)</f>
      </c>
      <c r="AX317">
        <f>IF(ISBLANK('Data Entry'!$r$317), "", 'Data Entry'!$r$317)</f>
      </c>
      <c r="AY317">
        <f>IF(ISBLANK('Data Entry'!$s$317), "", 'Data Entry'!$s$317)</f>
      </c>
      <c r="AZ317">
        <f>IF(ISBLANK('Data Entry'!$t$317), "", 'Data Entry'!$t$317)</f>
      </c>
      <c r="BA317">
        <f>IF(ISBLANK('Data Entry'!$u$317), "", 'Data Entry'!$u$317)</f>
      </c>
      <c r="BB317">
        <f>IF(ISBLANK('Data Entry'!$v$317), "", 'Data Entry'!$v$317)</f>
      </c>
      <c r="BC317">
        <f>IF(ISBLANK('Data Entry'!$w$317), "", 'Data Entry'!$w$317)</f>
      </c>
      <c r="BD317">
        <f>IF(ISBLANK('Data Entry'!$x$317), "", 'Data Entry'!$x$317)</f>
      </c>
      <c r="BE317">
        <f>IF(ISBLANK('Data Entry'!$y$317), "", 'Data Entry'!$y$317)</f>
      </c>
      <c r="BF317">
        <f>IF(ISBLANK('Data Entry'!$z$317), "", 'Data Entry'!$z$317)</f>
      </c>
      <c r="BG317">
        <f>IF(ISBLANK('Data Entry'!${$317), "", 'Data Entry'!${$317)</f>
      </c>
      <c r="BH317">
        <f>IF(ISBLANK('Data Entry'!$|$317), "", 'Data Entry'!$|$317)</f>
      </c>
      <c r="BI317">
        <f>IF(ISBLANK('Data Entry'!$}$317), "", 'Data Entry'!$}$317)</f>
      </c>
      <c r="BJ317">
        <f>IF(ISBLANK('Data Entry'!$~$317), "", 'Data Entry'!$~$317)</f>
      </c>
      <c r="BK317">
        <f>IF(ISBLANK('Data Entry'!$$317), "", 'Data Entry'!$$317)</f>
      </c>
      <c r="BL317">
        <f>IF(ISBLANK('Data Entry'!$$317), "", 'Data Entry'!$$317)</f>
      </c>
      <c r="BM317">
        <f>IF(ISBLANK('Data Entry'!$$317), "", 'Data Entry'!$$317)</f>
      </c>
      <c r="BN317">
        <f>IF(ISBLANK('Data Entry'!$$317), "", 'Data Entry'!$$317)</f>
      </c>
      <c r="BO317">
        <f>IF(ISBLANK('Data Entry'!$$317), "", 'Data Entry'!$$317)</f>
      </c>
      <c r="BP317">
        <f>IF(ISBLANK('Data Entry'!$$317), "", 'Data Entry'!$$317)</f>
      </c>
      <c r="BQ317">
        <f>IF(ISBLANK('Data Entry'!$$317), "", 'Data Entry'!$$317)</f>
      </c>
      <c r="BR317">
        <f>IF(ISBLANK('Data Entry'!$$317), "", 'Data Entry'!$$317)</f>
      </c>
      <c r="BS317">
        <f>IF(ISBLANK('Data Entry'!$$317), "", 'Data Entry'!$$317)</f>
      </c>
      <c r="BT317">
        <f>IF(ISBLANK('Data Entry'!$$317), "", 'Data Entry'!$$317)</f>
      </c>
      <c r="BU317">
        <f>IF(ISBLANK('Data Entry'!$$317), "", 'Data Entry'!$$317)</f>
      </c>
      <c r="BV317">
        <f>IF(ISBLANK('Data Entry'!$$317), "", 'Data Entry'!$$317)</f>
      </c>
      <c r="BW317">
        <f>IF(ISBLANK('Data Entry'!$$317), "", 'Data Entry'!$$317)</f>
      </c>
      <c r="BX317">
        <f>IF(ISBLANK('Data Entry'!$$317), "", 'Data Entry'!$$317)</f>
      </c>
      <c r="BY317">
        <f>IF(ISBLANK('Data Entry'!$$317), "", 'Data Entry'!$$317)</f>
      </c>
      <c r="BZ317">
        <f>IF(ISBLANK('Data Entry'!$$317), "", 'Data Entry'!$$317)</f>
      </c>
      <c r="CA317">
        <f>IF(ISBLANK('Data Entry'!$$317), "", 'Data Entry'!$$317)</f>
      </c>
      <c r="CB317">
        <f>IF(ISBLANK('Data Entry'!$$317), "", 'Data Entry'!$$317)</f>
      </c>
      <c r="CC317">
        <f>IF(ISBLANK('Data Entry'!$$317), "", 'Data Entry'!$$317)</f>
      </c>
      <c r="CD317">
        <f>IF(ISBLANK('Data Entry'!$$317), "", 'Data Entry'!$$317)</f>
      </c>
      <c r="CE317">
        <f>IF(ISBLANK('Data Entry'!$$317), "", 'Data Entry'!$$317)</f>
      </c>
      <c r="CF317">
        <f>IF(ISBLANK('Data Entry'!$$317), "", 'Data Entry'!$$317)</f>
      </c>
      <c r="CG317">
        <f>IF(ISBLANK('Data Entry'!$$317), "", 'Data Entry'!$$317)</f>
      </c>
      <c r="CH317">
        <f>IF(ISBLANK('Data Entry'!$$317), "", 'Data Entry'!$$317)</f>
      </c>
      <c r="CI317">
        <f>IF(ISBLANK('Data Entry'!$$317), "", 'Data Entry'!$$317)</f>
      </c>
      <c r="CJ317">
        <f>IF(ISBLANK('Data Entry'!$$317), "", 'Data Entry'!$$317)</f>
      </c>
      <c r="CK317">
        <f>IF(ISBLANK('Data Entry'!$$317), "", 'Data Entry'!$$317)</f>
      </c>
      <c r="CL317">
        <f>IF(ISBLANK('Data Entry'!$$317), "", 'Data Entry'!$$317)</f>
      </c>
      <c r="CM317">
        <f>IF(ISBLANK('Data Entry'!$$317), "", 'Data Entry'!$$317)</f>
      </c>
      <c r="CN317">
        <f>IF(ISBLANK('Data Entry'!$$317), "", 'Data Entry'!$$317)</f>
      </c>
      <c r="CO317">
        <f>IF(ISBLANK('Data Entry'!$$317), "", 'Data Entry'!$$317)</f>
      </c>
      <c r="CP317">
        <f>IF(ISBLANK('Data Entry'!$$317), "", 'Data Entry'!$$317)</f>
      </c>
      <c r="CQ317">
        <f>IF(ISBLANK('Data Entry'!$$317), "", 'Data Entry'!$$317)</f>
      </c>
      <c r="CR317">
        <f>IF(ISBLANK('Data Entry'!$ $317), "", 'Data Entry'!$ $317)</f>
      </c>
      <c r="CS317">
        <f>IF(ISBLANK('Data Entry'!$¡$317), "", 'Data Entry'!$¡$317)</f>
      </c>
      <c r="CT317">
        <f>IF(ISBLANK('Data Entry'!$¢$317), "", 'Data Entry'!$¢$317)</f>
      </c>
      <c r="CU317">
        <f>IF(ISBLANK('Data Entry'!$£$317), "", 'Data Entry'!$£$317)</f>
      </c>
      <c r="CV317">
        <f>IF(ISBLANK('Data Entry'!$¤$317), "", 'Data Entry'!$¤$317)</f>
      </c>
      <c r="CW317">
        <f>IF(ISBLANK('Data Entry'!$¥$317), "", 'Data Entry'!$¥$317)</f>
      </c>
      <c r="CX317">
        <f>IF(ISBLANK('Data Entry'!$¦$317), "", 'Data Entry'!$¦$317)</f>
      </c>
      <c r="CY317">
        <f>IF(ISBLANK('Data Entry'!$§$317), "", 'Data Entry'!$§$317)</f>
      </c>
      <c r="CZ317">
        <f>IF(ISBLANK('Data Entry'!$¨$317), "", 'Data Entry'!$¨$317)</f>
      </c>
      <c r="DA317">
        <f>IF(ISBLANK('Data Entry'!$©$317), "", 'Data Entry'!$©$317)</f>
      </c>
      <c r="DB317">
        <f>IF(ISBLANK('Data Entry'!$ª$317), "", 'Data Entry'!$ª$317)</f>
      </c>
      <c r="DC317">
        <f>IF(ISBLANK('Data Entry'!$«$317), "", 'Data Entry'!$«$317)</f>
      </c>
      <c r="DD317">
        <f>IF(ISBLANK('Data Entry'!$¬$317), "", 'Data Entry'!$¬$317)</f>
      </c>
      <c r="DE317">
        <f>IF(ISBLANK('Data Entry'!$­$317), "", 'Data Entry'!$­$317)</f>
      </c>
      <c r="DF317">
        <f>IF(ISBLANK('Data Entry'!$®$317), "", 'Data Entry'!$®$317)</f>
      </c>
      <c r="DG317">
        <f>IF(ISBLANK('Data Entry'!$¯$317), "", 'Data Entry'!$¯$317)</f>
      </c>
      <c r="DH317">
        <f>IF(ISBLANK('Data Entry'!$°$317), "", 'Data Entry'!$°$317)</f>
      </c>
      <c r="DI317">
        <f>IF(ISBLANK('Data Entry'!$±$317), "", 'Data Entry'!$±$317)</f>
      </c>
      <c r="DJ317">
        <f>IF(ISBLANK('Data Entry'!$²$317), "", 'Data Entry'!$²$317)</f>
      </c>
      <c r="DK317">
        <f>IF(ISBLANK('Data Entry'!$³$317), "", 'Data Entry'!$³$317)</f>
      </c>
      <c r="DL317">
        <f>IF(ISBLANK('Data Entry'!$´$317), "", 'Data Entry'!$´$317)</f>
      </c>
      <c r="DM317">
        <f>IF(ISBLANK('Data Entry'!$µ$317), "", 'Data Entry'!$µ$317)</f>
      </c>
      <c r="DN317">
        <f>IF(ISBLANK('Data Entry'!$¶$317), "", 'Data Entry'!$¶$317)</f>
      </c>
      <c r="DO317">
        <f>IF(ISBLANK('Data Entry'!$·$317), "", 'Data Entry'!$·$317)</f>
      </c>
      <c r="DP317">
        <f>IF(ISBLANK('Data Entry'!$¸$317), "", 'Data Entry'!$¸$317)</f>
      </c>
      <c r="DQ317">
        <f>IF(ISBLANK('Data Entry'!$¹$317), "", 'Data Entry'!$¹$317)</f>
      </c>
      <c r="DR317">
        <f>IF(ISBLANK('Data Entry'!$º$317), "", 'Data Entry'!$º$317)</f>
      </c>
      <c r="DS317">
        <f>IF(ISBLANK('Data Entry'!$»$317), "", 'Data Entry'!$»$317)</f>
      </c>
      <c r="DT317">
        <f>IF(ISBLANK('Data Entry'!$¼$317), "", 'Data Entry'!$¼$317)</f>
      </c>
      <c r="DU317">
        <f>IF(ISBLANK('Data Entry'!$½$317), "", 'Data Entry'!$½$317)</f>
      </c>
      <c r="DV317">
        <f>IF(ISBLANK('Data Entry'!$¾$317), "", 'Data Entry'!$¾$317)</f>
      </c>
      <c r="DW317">
        <f>IF(ISBLANK('Data Entry'!$¿$317), "", 'Data Entry'!$¿$317)</f>
      </c>
      <c r="DX317">
        <f>IF(ISBLANK('Data Entry'!$À$317), "", 'Data Entry'!$À$317)</f>
      </c>
      <c r="DY317">
        <f>IF(ISBLANK('Data Entry'!$Á$317), "", 'Data Entry'!$Á$317)</f>
      </c>
      <c r="DZ317">
        <f>IF(ISBLANK('Data Entry'!$Â$317), "", 'Data Entry'!$Â$317)</f>
      </c>
      <c r="EA317">
        <f>IF(ISBLANK('Data Entry'!$Ã$317), "", 'Data Entry'!$Ã$317)</f>
      </c>
      <c r="EB317">
        <f>IF(ISBLANK('Data Entry'!$Ä$317), "", 'Data Entry'!$Ä$317)</f>
      </c>
      <c r="EC317">
        <f>IF(ISBLANK('Data Entry'!$Å$317), "", 'Data Entry'!$Å$317)</f>
      </c>
      <c r="ED317">
        <f>IF(ISBLANK('Data Entry'!$Æ$317), "", 'Data Entry'!$Æ$317)</f>
      </c>
      <c r="EE317">
        <f>IF(ISBLANK('Data Entry'!$Ç$317), "", 'Data Entry'!$Ç$317)</f>
      </c>
      <c r="EF317">
        <f>IF(ISBLANK('Data Entry'!$È$317), "", 'Data Entry'!$È$317)</f>
      </c>
      <c r="EG317">
        <f>IF(ISBLANK('Data Entry'!$É$317), "", 'Data Entry'!$É$317)</f>
      </c>
      <c r="EH317">
        <f>IF(ISBLANK('Data Entry'!$Ê$317), "", 'Data Entry'!$Ê$317)</f>
      </c>
      <c r="EI317">
        <f>IF(ISBLANK('Data Entry'!$Ë$317), "", 'Data Entry'!$Ë$317)</f>
      </c>
      <c r="EJ317">
        <f>IF(ISBLANK('Data Entry'!$Ì$317), "", 'Data Entry'!$Ì$317)</f>
      </c>
      <c r="EK317">
        <f>IF(ISBLANK('Data Entry'!$Í$317), "", 'Data Entry'!$Í$317)</f>
      </c>
      <c r="EL317">
        <f>IF(ISBLANK('Data Entry'!$Î$317), "", 'Data Entry'!$Î$317)</f>
      </c>
      <c r="EM317">
        <f>IF(ISBLANK('Data Entry'!$Ï$317), "", 'Data Entry'!$Ï$317)</f>
      </c>
      <c r="EN317">
        <f>IF(ISBLANK('Data Entry'!$Ð$317), "", 'Data Entry'!$Ð$317)</f>
      </c>
      <c r="EO317">
        <f>IF(ISBLANK('Data Entry'!$Ñ$317), "", 'Data Entry'!$Ñ$317)</f>
      </c>
      <c r="EP317">
        <f>IF(ISBLANK('Data Entry'!$Ò$317), "", 'Data Entry'!$Ò$317)</f>
      </c>
      <c r="EQ317">
        <f>IF(ISBLANK('Data Entry'!$Ó$317), "", 'Data Entry'!$Ó$317)</f>
      </c>
      <c r="ER317">
        <f>IF(ISBLANK('Data Entry'!$Ô$317), "", 'Data Entry'!$Ô$317)</f>
      </c>
      <c r="ES317">
        <f>IF(ISBLANK('Data Entry'!$Õ$317), "", 'Data Entry'!$Õ$317)</f>
      </c>
      <c r="ET317">
        <f>IF(ISBLANK('Data Entry'!$Ö$317), "", 'Data Entry'!$Ö$317)</f>
      </c>
      <c r="EU317">
        <f>IF(ISBLANK('Data Entry'!$×$317), "", 'Data Entry'!$×$317)</f>
      </c>
      <c r="EV317">
        <f>IF(ISBLANK('Data Entry'!$Ø$317), "", 'Data Entry'!$Ø$317)</f>
      </c>
      <c r="EW317">
        <f>IF(ISBLANK('Data Entry'!$Ù$317), "", 'Data Entry'!$Ù$317)</f>
      </c>
      <c r="EX317">
        <f>IF(ISBLANK('Data Entry'!$Ú$317), "", 'Data Entry'!$Ú$317)</f>
      </c>
      <c r="EY317">
        <f>IF(ISBLANK('Data Entry'!$Û$317), "", 'Data Entry'!$Û$317)</f>
      </c>
      <c r="EZ317">
        <f>IF(ISBLANK('Data Entry'!$Ü$317), "", 'Data Entry'!$Ü$317)</f>
      </c>
      <c r="FA317">
        <f>IF(ISBLANK('Data Entry'!$Ý$317), "", 'Data Entry'!$Ý$317)</f>
      </c>
      <c r="FB317">
        <f>IF(ISBLANK('Data Entry'!$Þ$317), "", 'Data Entry'!$Þ$317)</f>
      </c>
      <c r="FC317">
        <f>IF(ISBLANK('Data Entry'!$ß$317), "", 'Data Entry'!$ß$317)</f>
      </c>
      <c r="FD317">
        <f>IF(ISBLANK('Data Entry'!$à$317), "", 'Data Entry'!$à$317)</f>
      </c>
      <c r="FE317">
        <f>IF(ISBLANK('Data Entry'!$á$317), "", 'Data Entry'!$á$317)</f>
      </c>
      <c r="FF317">
        <f>IF(ISBLANK('Data Entry'!$â$317), "", 'Data Entry'!$â$317)</f>
      </c>
      <c r="FG317">
        <f>IF(ISBLANK('Data Entry'!$ã$317), "", 'Data Entry'!$ã$317)</f>
      </c>
      <c r="FH317">
        <f>IF(ISBLANK('Data Entry'!$ä$317), "", 'Data Entry'!$ä$317)</f>
      </c>
      <c r="FI317">
        <f>IF(ISBLANK('Data Entry'!$å$317), "", 'Data Entry'!$å$317)</f>
      </c>
      <c r="FJ317">
        <f>IF(ISBLANK('Data Entry'!$æ$317), "", 'Data Entry'!$æ$317)</f>
      </c>
      <c r="FK317">
        <f>IF(ISBLANK('Data Entry'!$ç$317), "", 'Data Entry'!$ç$317)</f>
      </c>
      <c r="FL317">
        <f>IF(ISBLANK('Data Entry'!$è$317), "", 'Data Entry'!$è$317)</f>
      </c>
      <c r="FM317">
        <f>IF(ISBLANK('Data Entry'!$é$317), "", 'Data Entry'!$é$317)</f>
      </c>
      <c r="FN317">
        <f>IF(ISBLANK('Data Entry'!$ê$317), "", 'Data Entry'!$ê$317)</f>
      </c>
      <c r="FO317">
        <f>IF(ISBLANK('Data Entry'!$ë$317), "", 'Data Entry'!$ë$317)</f>
      </c>
      <c r="FP317">
        <f>IF(ISBLANK('Data Entry'!$ì$317), "", 'Data Entry'!$ì$317)</f>
      </c>
      <c r="FQ317">
        <f>IF(ISBLANK('Data Entry'!$í$317), "", 'Data Entry'!$í$317)</f>
      </c>
      <c r="FR317">
        <f>IF(ISBLANK('Data Entry'!$î$317), "", 'Data Entry'!$î$317)</f>
      </c>
      <c r="FS317">
        <f>IF(ISBLANK('Data Entry'!$ï$317), "", 'Data Entry'!$ï$317)</f>
      </c>
      <c r="FT317">
        <f>IF(ISBLANK('Data Entry'!$ð$317), "", 'Data Entry'!$ð$317)</f>
      </c>
      <c r="FU317">
        <f>IF(ISBLANK('Data Entry'!$ñ$317), "", 'Data Entry'!$ñ$317)</f>
      </c>
      <c r="FV317">
        <f>IF(ISBLANK('Data Entry'!$ò$317), "", 'Data Entry'!$ò$317)</f>
      </c>
      <c r="FW317">
        <f>IF(ISBLANK('Data Entry'!$ó$317), "", 'Data Entry'!$ó$317)</f>
      </c>
      <c r="FX317">
        <f>IF(ISBLANK('Data Entry'!$ô$317), "", 'Data Entry'!$ô$317)</f>
      </c>
      <c r="FY317">
        <f>IF(ISBLANK('Data Entry'!$õ$317), "", 'Data Entry'!$õ$317)</f>
      </c>
      <c r="FZ317">
        <f>IF(ISBLANK('Data Entry'!$ö$317), "", 'Data Entry'!$ö$317)</f>
      </c>
      <c r="GA317">
        <f>IF(ISBLANK('Data Entry'!$÷$317), "", 'Data Entry'!$÷$317)</f>
      </c>
      <c r="GB317">
        <f>IF(ISBLANK('Data Entry'!$ø$317), "", 'Data Entry'!$ø$317)</f>
      </c>
      <c r="GC317">
        <f>IF(ISBLANK('Data Entry'!$ù$317), "", 'Data Entry'!$ù$317)</f>
      </c>
      <c r="GD317">
        <f>IF(ISBLANK('Data Entry'!$ú$317), "", 'Data Entry'!$ú$317)</f>
      </c>
      <c r="GE317">
        <f>IF(ISBLANK('Data Entry'!$û$317), "", 'Data Entry'!$û$317)</f>
      </c>
      <c r="GF317">
        <f>IF(ISBLANK('Data Entry'!$ü$317), "", 'Data Entry'!$ü$317)</f>
      </c>
      <c r="GG317">
        <f>IF(ISBLANK('Data Entry'!$ý$317), "", 'Data Entry'!$ý$317)</f>
      </c>
      <c r="GH317">
        <f>IF(ISBLANK('Data Entry'!$þ$317), "", 'Data Entry'!$þ$317)</f>
      </c>
      <c r="GI317">
        <f>IF(ISBLANK('Data Entry'!$ÿ$317), "", 'Data Entry'!$ÿ$317)</f>
      </c>
      <c r="GJ317">
        <f>IF(ISBLANK('Data Entry'!$Ā$317), "", 'Data Entry'!$Ā$317)</f>
      </c>
      <c r="GK317">
        <f>IF(ISBLANK('Data Entry'!$ā$317), "", 'Data Entry'!$ā$317)</f>
      </c>
      <c r="GL317">
        <f>IF(ISBLANK('Data Entry'!$Ă$317), "", 'Data Entry'!$Ă$317)</f>
      </c>
      <c r="GM317">
        <f>IF(ISBLANK('Data Entry'!$ă$317), "", 'Data Entry'!$ă$317)</f>
      </c>
      <c r="GN317">
        <f>IF(ISBLANK('Data Entry'!$Ą$317), "", 'Data Entry'!$Ą$317)</f>
      </c>
      <c r="GO317">
        <f>IF(ISBLANK('Data Entry'!$ą$317), "", 'Data Entry'!$ą$317)</f>
      </c>
      <c r="GP317">
        <f>IF(ISBLANK('Data Entry'!$Ć$317), "", 'Data Entry'!$Ć$317)</f>
      </c>
      <c r="GQ317">
        <f>IF(ISBLANK('Data Entry'!$ć$317), "", 'Data Entry'!$ć$317)</f>
      </c>
      <c r="GR317">
        <f>IF(ISBLANK('Data Entry'!$Ĉ$317), "", 'Data Entry'!$Ĉ$317)</f>
      </c>
      <c r="GS317">
        <f>IF(ISBLANK('Data Entry'!$ĉ$317), "", 'Data Entry'!$ĉ$317)</f>
      </c>
      <c r="GT317">
        <f>IF(ISBLANK('Data Entry'!$Ċ$317), "", 'Data Entry'!$Ċ$317)</f>
      </c>
      <c r="GU317">
        <f>IF(ISBLANK('Data Entry'!$ċ$317), "", 'Data Entry'!$ċ$317)</f>
      </c>
      <c r="GV317">
        <f>IF(ISBLANK('Data Entry'!$Č$317), "", 'Data Entry'!$Č$317)</f>
      </c>
      <c r="GW317">
        <f>IF(ISBLANK('Data Entry'!$č$317), "", 'Data Entry'!$č$317)</f>
      </c>
      <c r="GX317">
        <f>IF(ISBLANK('Data Entry'!$Ď$317), "", 'Data Entry'!$Ď$317)</f>
      </c>
      <c r="GY317">
        <f>IF(ISBLANK('Data Entry'!$ď$317), "", 'Data Entry'!$ď$317)</f>
      </c>
      <c r="GZ317">
        <f>IF(ISBLANK('Data Entry'!$Đ$317), "", 'Data Entry'!$Đ$317)</f>
      </c>
      <c r="HA317">
        <f>IF(ISBLANK('Data Entry'!$đ$317), "", 'Data Entry'!$đ$317)</f>
      </c>
      <c r="HB317">
        <f>IF(ISBLANK('Data Entry'!$Ē$317), "", 'Data Entry'!$Ē$317)</f>
      </c>
      <c r="HC317">
        <f>IF(ISBLANK('Data Entry'!$ē$317), "", 'Data Entry'!$ē$317)</f>
      </c>
      <c r="HD317">
        <f>IF(ISBLANK('Data Entry'!$Ĕ$317), "", 'Data Entry'!$Ĕ$317)</f>
      </c>
      <c r="HE317">
        <f>IF(ISBLANK('Data Entry'!$ĕ$317), "", 'Data Entry'!$ĕ$317)</f>
      </c>
      <c r="HF317">
        <f>IF(ISBLANK('Data Entry'!$Ė$317), "", 'Data Entry'!$Ė$317)</f>
      </c>
      <c r="HG317">
        <f>IF(ISBLANK('Data Entry'!$ė$317), "", 'Data Entry'!$ė$317)</f>
      </c>
      <c r="HH317">
        <f>IF(ISBLANK('Data Entry'!$Ę$317), "", 'Data Entry'!$Ę$317)</f>
      </c>
      <c r="HI317">
        <f>IF(ISBLANK('Data Entry'!$ę$317), "", 'Data Entry'!$ę$317)</f>
      </c>
      <c r="HJ317">
        <f>IF(ISBLANK('Data Entry'!$Ě$317), "", 'Data Entry'!$Ě$317)</f>
      </c>
      <c r="HK317">
        <f>IF(ISBLANK('Data Entry'!$ě$317), "", 'Data Entry'!$ě$317)</f>
      </c>
      <c r="HL317">
        <f>IF(ISBLANK('Data Entry'!$Ĝ$317), "", 'Data Entry'!$Ĝ$317)</f>
      </c>
      <c r="HM317">
        <f>IF(ISBLANK('Data Entry'!$ĝ$317), "", 'Data Entry'!$ĝ$317)</f>
      </c>
      <c r="HN317">
        <f>IF(ISBLANK('Data Entry'!$Ğ$317), "", 'Data Entry'!$Ğ$317)</f>
      </c>
      <c r="HO317">
        <f>IF(ISBLANK('Data Entry'!$ğ$317), "", 'Data Entry'!$ğ$317)</f>
      </c>
      <c r="HP317">
        <f>IF(ISBLANK('Data Entry'!$Ġ$317), "", 'Data Entry'!$Ġ$317)</f>
      </c>
      <c r="HQ317">
        <f>IF(ISBLANK('Data Entry'!$ġ$317), "", 'Data Entry'!$ġ$317)</f>
      </c>
      <c r="HR317">
        <f>IF(ISBLANK('Data Entry'!$Ģ$317), "", 'Data Entry'!$Ģ$317)</f>
      </c>
      <c r="HS317">
        <f>IF(ISBLANK('Data Entry'!$ģ$317), "", 'Data Entry'!$ģ$317)</f>
      </c>
      <c r="HT317">
        <f>IF(ISBLANK('Data Entry'!$Ĥ$317), "", 'Data Entry'!$Ĥ$317)</f>
      </c>
      <c r="HU317">
        <f>IF(ISBLANK('Data Entry'!$ĥ$317), "", 'Data Entry'!$ĥ$317)</f>
      </c>
      <c r="HV317">
        <f>IF(ISBLANK('Data Entry'!$Ħ$317), "", 'Data Entry'!$Ħ$317)</f>
      </c>
      <c r="HW317">
        <f>IF(ISBLANK('Data Entry'!$ħ$317), "", 'Data Entry'!$ħ$317)</f>
      </c>
      <c r="HX317">
        <f>IF(ISBLANK('Data Entry'!$Ĩ$317), "", 'Data Entry'!$Ĩ$317)</f>
      </c>
      <c r="HY317">
        <f>IF(ISBLANK('Data Entry'!$ĩ$317), "", 'Data Entry'!$ĩ$317)</f>
      </c>
      <c r="HZ317">
        <f>IF(ISBLANK('Data Entry'!$Ī$317), "", 'Data Entry'!$Ī$317)</f>
      </c>
      <c r="IA317">
        <f>IF(ISBLANK('Data Entry'!$ī$317), "", 'Data Entry'!$ī$317)</f>
      </c>
      <c r="IB317">
        <f>IF(ISBLANK('Data Entry'!$Ĭ$317), "", 'Data Entry'!$Ĭ$317)</f>
      </c>
      <c r="IC317">
        <f>IF(ISBLANK('Data Entry'!$ĭ$317), "", 'Data Entry'!$ĭ$317)</f>
      </c>
      <c r="ID317">
        <f>IF(ISBLANK('Data Entry'!$Į$317), "", 'Data Entry'!$Į$317)</f>
      </c>
      <c r="IE317">
        <f>IF(ISBLANK('Data Entry'!$į$317), "", 'Data Entry'!$į$317)</f>
      </c>
      <c r="IF317">
        <f>IF(ISBLANK('Data Entry'!$İ$317), "", 'Data Entry'!$İ$317)</f>
      </c>
      <c r="IG317">
        <f>IF(ISBLANK('Data Entry'!$ı$317), "", 'Data Entry'!$ı$317)</f>
      </c>
      <c r="IH317">
        <f>IF(ISBLANK('Data Entry'!$Ĳ$317), "", 'Data Entry'!$Ĳ$317)</f>
      </c>
      <c r="II317">
        <f>IF(ISBLANK('Data Entry'!$ĳ$317), "", 'Data Entry'!$ĳ$317)</f>
      </c>
      <c r="IJ317">
        <f>IF(ISBLANK('Data Entry'!$Ĵ$317), "", 'Data Entry'!$Ĵ$317)</f>
      </c>
      <c r="IK317">
        <f>IF(ISBLANK('Data Entry'!$ĵ$317), "", 'Data Entry'!$ĵ$317)</f>
      </c>
      <c r="IL317">
        <f>IF(ISBLANK('Data Entry'!$Ķ$317), "", 'Data Entry'!$Ķ$317)</f>
      </c>
      <c r="IM317">
        <f>IF(ISBLANK('Data Entry'!$ķ$317), "", 'Data Entry'!$ķ$317)</f>
      </c>
      <c r="IN317">
        <f>IF(ISBLANK('Data Entry'!$ĸ$317), "", 'Data Entry'!$ĸ$317)</f>
      </c>
      <c r="IO317">
        <f>IF(ISBLANK('Data Entry'!$Ĺ$317), "", 'Data Entry'!$Ĺ$317)</f>
      </c>
      <c r="IP317">
        <f>IF(ISBLANK('Data Entry'!$ĺ$317), "", 'Data Entry'!$ĺ$317)</f>
      </c>
      <c r="IQ317">
        <f>IF(ISBLANK('Data Entry'!$Ļ$317), "", 'Data Entry'!$Ļ$317)</f>
      </c>
      <c r="IR317">
        <f>IF(ISBLANK('Data Entry'!$ļ$317), "", 'Data Entry'!$ļ$317)</f>
      </c>
      <c r="IS317">
        <f>IF(ISBLANK('Data Entry'!$Ľ$317), "", 'Data Entry'!$Ľ$317)</f>
      </c>
      <c r="IT317">
        <f>IF(ISBLANK('Data Entry'!$ľ$317), "", 'Data Entry'!$ľ$317)</f>
      </c>
    </row>
    <row r="318" spans="1:254" x14ac:dyDescent="0.25">
      <c r="A318">
        <f>IF(ISBLANK('Data Entry'!$A$318), "", 'Data Entry'!$A$318)</f>
      </c>
      <c r="B318">
        <f>IF(ISBLANK('Data Entry'!$B$318), "", 'Data Entry'!$B$318)</f>
      </c>
      <c r="C318">
        <f>IF(ISBLANK('Data Entry'!$C$318), "", 'Data Entry'!$C$318)</f>
      </c>
      <c r="D318">
        <f>IF(ISBLANK('Data Entry'!$D$318), "", 'Data Entry'!$D$318)</f>
      </c>
      <c r="E318">
        <f>IF(ISBLANK('Data Entry'!$E$318), "", 'Data Entry'!$E$318)</f>
      </c>
      <c r="F318">
        <f>IF(ISBLANK('Data Entry'!$F$318), "", 'Data Entry'!$F$318)</f>
      </c>
      <c r="G318">
        <f>IF(ISBLANK('Data Entry'!$G$318), "", 'Data Entry'!$G$318)</f>
      </c>
      <c r="H318">
        <f>IF(ISBLANK('Data Entry'!$H$318), "", 'Data Entry'!$H$318)</f>
      </c>
      <c r="I318">
        <f>IF(ISBLANK('Data Entry'!$I$318), "", 'Data Entry'!$I$318)</f>
      </c>
      <c r="J318">
        <f>IF(ISBLANK('Data Entry'!$J$318), "", 'Data Entry'!$J$318)</f>
      </c>
      <c r="K318">
        <f>IF(ISBLANK('Data Entry'!$K$318), "", 'Data Entry'!$K$318)</f>
      </c>
      <c r="L318">
        <f>IF(ISBLANK('Data Entry'!$L$318), "", 'Data Entry'!$L$318)</f>
      </c>
      <c r="M318">
        <f>IF(ISBLANK('Data Entry'!$M$318), "", 'Data Entry'!$M$318)</f>
      </c>
      <c r="N318">
        <f>IF(ISBLANK('Data Entry'!$N$318), "", 'Data Entry'!$N$318)</f>
      </c>
      <c r="O318">
        <f>IF(ISBLANK('Data Entry'!$O$318), "", 'Data Entry'!$O$318)</f>
      </c>
      <c r="P318">
        <f>IF(ISBLANK('Data Entry'!$P$318), "", 'Data Entry'!$P$318)</f>
      </c>
      <c r="Q318">
        <f>IF(ISBLANK('Data Entry'!$Q$318), "", 'Data Entry'!$Q$318)</f>
      </c>
      <c r="R318">
        <f>IF(ISBLANK('Data Entry'!$R$318), "", 'Data Entry'!$R$318)</f>
      </c>
      <c r="S318">
        <f>IF(ISBLANK('Data Entry'!$S$318), "", 'Data Entry'!$S$318)</f>
      </c>
      <c r="T318">
        <f>IF(ISBLANK('Data Entry'!$T$318), "", 'Data Entry'!$T$318)</f>
      </c>
      <c r="U318">
        <f>IF(ISBLANK('Data Entry'!$U$318), "", 'Data Entry'!$U$318)</f>
      </c>
      <c r="V318">
        <f>IF(ISBLANK('Data Entry'!$V$318), "", 'Data Entry'!$V$318)</f>
      </c>
      <c r="W318">
        <f>IF(ISBLANK('Data Entry'!$W$318), "", 'Data Entry'!$W$318)</f>
      </c>
      <c r="X318">
        <f>IF(ISBLANK('Data Entry'!$X$318), "", 'Data Entry'!$X$318)</f>
      </c>
      <c r="Y318">
        <f>IF(ISBLANK('Data Entry'!$Y$318), "", 'Data Entry'!$Y$318)</f>
      </c>
      <c r="Z318">
        <f>IF(ISBLANK('Data Entry'!$Z$318), "", 'Data Entry'!$Z$318)</f>
      </c>
      <c r="AA318">
        <f>IF(ISBLANK('Data Entry'!$[$318), "", 'Data Entry'!$[$318)</f>
      </c>
      <c r="AB318">
        <f>IF(ISBLANK('Data Entry'!$\$318), "", 'Data Entry'!$\$318)</f>
      </c>
      <c r="AC318">
        <f>IF(ISBLANK('Data Entry'!$]$318), "", 'Data Entry'!$]$318)</f>
      </c>
      <c r="AD318">
        <f>IF(ISBLANK('Data Entry'!$^$318), "", 'Data Entry'!$^$318)</f>
      </c>
      <c r="AE318">
        <f>IF(ISBLANK('Data Entry'!$_$318), "", 'Data Entry'!$_$318)</f>
      </c>
      <c r="AF318">
        <f>IF(ISBLANK('Data Entry'!$`$318), "", 'Data Entry'!$`$318)</f>
      </c>
      <c r="AG318">
        <f>IF(ISBLANK('Data Entry'!$a$318), "", 'Data Entry'!$a$318)</f>
      </c>
      <c r="AH318">
        <f>IF(ISBLANK('Data Entry'!$b$318), "", 'Data Entry'!$b$318)</f>
      </c>
      <c r="AI318">
        <f>IF(ISBLANK('Data Entry'!$c$318), "", 'Data Entry'!$c$318)</f>
      </c>
      <c r="AJ318">
        <f>IF(ISBLANK('Data Entry'!$d$318), "", 'Data Entry'!$d$318)</f>
      </c>
      <c r="AK318">
        <f>IF(ISBLANK('Data Entry'!$e$318), "", 'Data Entry'!$e$318)</f>
      </c>
      <c r="AL318">
        <f>IF(ISBLANK('Data Entry'!$f$318), "", 'Data Entry'!$f$318)</f>
      </c>
      <c r="AM318">
        <f>IF(ISBLANK('Data Entry'!$g$318), "", 'Data Entry'!$g$318)</f>
      </c>
      <c r="AN318">
        <f>IF(ISBLANK('Data Entry'!$h$318), "", 'Data Entry'!$h$318)</f>
      </c>
      <c r="AO318">
        <f>IF(ISBLANK('Data Entry'!$i$318), "", 'Data Entry'!$i$318)</f>
      </c>
      <c r="AP318">
        <f>IF(ISBLANK('Data Entry'!$j$318), "", 'Data Entry'!$j$318)</f>
      </c>
      <c r="AQ318">
        <f>IF(ISBLANK('Data Entry'!$k$318), "", 'Data Entry'!$k$318)</f>
      </c>
      <c r="AR318">
        <f>IF(ISBLANK('Data Entry'!$l$318), "", 'Data Entry'!$l$318)</f>
      </c>
      <c r="AS318">
        <f>IF(ISBLANK('Data Entry'!$m$318), "", 'Data Entry'!$m$318)</f>
      </c>
      <c r="AT318">
        <f>IF(ISBLANK('Data Entry'!$n$318), "", 'Data Entry'!$n$318)</f>
      </c>
      <c r="AU318">
        <f>IF(ISBLANK('Data Entry'!$o$318), "", 'Data Entry'!$o$318)</f>
      </c>
      <c r="AV318">
        <f>IF(ISBLANK('Data Entry'!$p$318), "", 'Data Entry'!$p$318)</f>
      </c>
      <c r="AW318">
        <f>IF(ISBLANK('Data Entry'!$q$318), "", 'Data Entry'!$q$318)</f>
      </c>
      <c r="AX318">
        <f>IF(ISBLANK('Data Entry'!$r$318), "", 'Data Entry'!$r$318)</f>
      </c>
      <c r="AY318">
        <f>IF(ISBLANK('Data Entry'!$s$318), "", 'Data Entry'!$s$318)</f>
      </c>
      <c r="AZ318">
        <f>IF(ISBLANK('Data Entry'!$t$318), "", 'Data Entry'!$t$318)</f>
      </c>
      <c r="BA318">
        <f>IF(ISBLANK('Data Entry'!$u$318), "", 'Data Entry'!$u$318)</f>
      </c>
      <c r="BB318">
        <f>IF(ISBLANK('Data Entry'!$v$318), "", 'Data Entry'!$v$318)</f>
      </c>
      <c r="BC318">
        <f>IF(ISBLANK('Data Entry'!$w$318), "", 'Data Entry'!$w$318)</f>
      </c>
      <c r="BD318">
        <f>IF(ISBLANK('Data Entry'!$x$318), "", 'Data Entry'!$x$318)</f>
      </c>
      <c r="BE318">
        <f>IF(ISBLANK('Data Entry'!$y$318), "", 'Data Entry'!$y$318)</f>
      </c>
      <c r="BF318">
        <f>IF(ISBLANK('Data Entry'!$z$318), "", 'Data Entry'!$z$318)</f>
      </c>
      <c r="BG318">
        <f>IF(ISBLANK('Data Entry'!${$318), "", 'Data Entry'!${$318)</f>
      </c>
      <c r="BH318">
        <f>IF(ISBLANK('Data Entry'!$|$318), "", 'Data Entry'!$|$318)</f>
      </c>
      <c r="BI318">
        <f>IF(ISBLANK('Data Entry'!$}$318), "", 'Data Entry'!$}$318)</f>
      </c>
      <c r="BJ318">
        <f>IF(ISBLANK('Data Entry'!$~$318), "", 'Data Entry'!$~$318)</f>
      </c>
      <c r="BK318">
        <f>IF(ISBLANK('Data Entry'!$$318), "", 'Data Entry'!$$318)</f>
      </c>
      <c r="BL318">
        <f>IF(ISBLANK('Data Entry'!$$318), "", 'Data Entry'!$$318)</f>
      </c>
      <c r="BM318">
        <f>IF(ISBLANK('Data Entry'!$$318), "", 'Data Entry'!$$318)</f>
      </c>
      <c r="BN318">
        <f>IF(ISBLANK('Data Entry'!$$318), "", 'Data Entry'!$$318)</f>
      </c>
      <c r="BO318">
        <f>IF(ISBLANK('Data Entry'!$$318), "", 'Data Entry'!$$318)</f>
      </c>
      <c r="BP318">
        <f>IF(ISBLANK('Data Entry'!$$318), "", 'Data Entry'!$$318)</f>
      </c>
      <c r="BQ318">
        <f>IF(ISBLANK('Data Entry'!$$318), "", 'Data Entry'!$$318)</f>
      </c>
      <c r="BR318">
        <f>IF(ISBLANK('Data Entry'!$$318), "", 'Data Entry'!$$318)</f>
      </c>
      <c r="BS318">
        <f>IF(ISBLANK('Data Entry'!$$318), "", 'Data Entry'!$$318)</f>
      </c>
      <c r="BT318">
        <f>IF(ISBLANK('Data Entry'!$$318), "", 'Data Entry'!$$318)</f>
      </c>
      <c r="BU318">
        <f>IF(ISBLANK('Data Entry'!$$318), "", 'Data Entry'!$$318)</f>
      </c>
      <c r="BV318">
        <f>IF(ISBLANK('Data Entry'!$$318), "", 'Data Entry'!$$318)</f>
      </c>
      <c r="BW318">
        <f>IF(ISBLANK('Data Entry'!$$318), "", 'Data Entry'!$$318)</f>
      </c>
      <c r="BX318">
        <f>IF(ISBLANK('Data Entry'!$$318), "", 'Data Entry'!$$318)</f>
      </c>
      <c r="BY318">
        <f>IF(ISBLANK('Data Entry'!$$318), "", 'Data Entry'!$$318)</f>
      </c>
      <c r="BZ318">
        <f>IF(ISBLANK('Data Entry'!$$318), "", 'Data Entry'!$$318)</f>
      </c>
      <c r="CA318">
        <f>IF(ISBLANK('Data Entry'!$$318), "", 'Data Entry'!$$318)</f>
      </c>
      <c r="CB318">
        <f>IF(ISBLANK('Data Entry'!$$318), "", 'Data Entry'!$$318)</f>
      </c>
      <c r="CC318">
        <f>IF(ISBLANK('Data Entry'!$$318), "", 'Data Entry'!$$318)</f>
      </c>
      <c r="CD318">
        <f>IF(ISBLANK('Data Entry'!$$318), "", 'Data Entry'!$$318)</f>
      </c>
      <c r="CE318">
        <f>IF(ISBLANK('Data Entry'!$$318), "", 'Data Entry'!$$318)</f>
      </c>
      <c r="CF318">
        <f>IF(ISBLANK('Data Entry'!$$318), "", 'Data Entry'!$$318)</f>
      </c>
      <c r="CG318">
        <f>IF(ISBLANK('Data Entry'!$$318), "", 'Data Entry'!$$318)</f>
      </c>
      <c r="CH318">
        <f>IF(ISBLANK('Data Entry'!$$318), "", 'Data Entry'!$$318)</f>
      </c>
      <c r="CI318">
        <f>IF(ISBLANK('Data Entry'!$$318), "", 'Data Entry'!$$318)</f>
      </c>
      <c r="CJ318">
        <f>IF(ISBLANK('Data Entry'!$$318), "", 'Data Entry'!$$318)</f>
      </c>
      <c r="CK318">
        <f>IF(ISBLANK('Data Entry'!$$318), "", 'Data Entry'!$$318)</f>
      </c>
      <c r="CL318">
        <f>IF(ISBLANK('Data Entry'!$$318), "", 'Data Entry'!$$318)</f>
      </c>
      <c r="CM318">
        <f>IF(ISBLANK('Data Entry'!$$318), "", 'Data Entry'!$$318)</f>
      </c>
      <c r="CN318">
        <f>IF(ISBLANK('Data Entry'!$$318), "", 'Data Entry'!$$318)</f>
      </c>
      <c r="CO318">
        <f>IF(ISBLANK('Data Entry'!$$318), "", 'Data Entry'!$$318)</f>
      </c>
      <c r="CP318">
        <f>IF(ISBLANK('Data Entry'!$$318), "", 'Data Entry'!$$318)</f>
      </c>
      <c r="CQ318">
        <f>IF(ISBLANK('Data Entry'!$$318), "", 'Data Entry'!$$318)</f>
      </c>
      <c r="CR318">
        <f>IF(ISBLANK('Data Entry'!$ $318), "", 'Data Entry'!$ $318)</f>
      </c>
      <c r="CS318">
        <f>IF(ISBLANK('Data Entry'!$¡$318), "", 'Data Entry'!$¡$318)</f>
      </c>
      <c r="CT318">
        <f>IF(ISBLANK('Data Entry'!$¢$318), "", 'Data Entry'!$¢$318)</f>
      </c>
      <c r="CU318">
        <f>IF(ISBLANK('Data Entry'!$£$318), "", 'Data Entry'!$£$318)</f>
      </c>
      <c r="CV318">
        <f>IF(ISBLANK('Data Entry'!$¤$318), "", 'Data Entry'!$¤$318)</f>
      </c>
      <c r="CW318">
        <f>IF(ISBLANK('Data Entry'!$¥$318), "", 'Data Entry'!$¥$318)</f>
      </c>
      <c r="CX318">
        <f>IF(ISBLANK('Data Entry'!$¦$318), "", 'Data Entry'!$¦$318)</f>
      </c>
      <c r="CY318">
        <f>IF(ISBLANK('Data Entry'!$§$318), "", 'Data Entry'!$§$318)</f>
      </c>
      <c r="CZ318">
        <f>IF(ISBLANK('Data Entry'!$¨$318), "", 'Data Entry'!$¨$318)</f>
      </c>
      <c r="DA318">
        <f>IF(ISBLANK('Data Entry'!$©$318), "", 'Data Entry'!$©$318)</f>
      </c>
      <c r="DB318">
        <f>IF(ISBLANK('Data Entry'!$ª$318), "", 'Data Entry'!$ª$318)</f>
      </c>
      <c r="DC318">
        <f>IF(ISBLANK('Data Entry'!$«$318), "", 'Data Entry'!$«$318)</f>
      </c>
      <c r="DD318">
        <f>IF(ISBLANK('Data Entry'!$¬$318), "", 'Data Entry'!$¬$318)</f>
      </c>
      <c r="DE318">
        <f>IF(ISBLANK('Data Entry'!$­$318), "", 'Data Entry'!$­$318)</f>
      </c>
      <c r="DF318">
        <f>IF(ISBLANK('Data Entry'!$®$318), "", 'Data Entry'!$®$318)</f>
      </c>
      <c r="DG318">
        <f>IF(ISBLANK('Data Entry'!$¯$318), "", 'Data Entry'!$¯$318)</f>
      </c>
      <c r="DH318">
        <f>IF(ISBLANK('Data Entry'!$°$318), "", 'Data Entry'!$°$318)</f>
      </c>
      <c r="DI318">
        <f>IF(ISBLANK('Data Entry'!$±$318), "", 'Data Entry'!$±$318)</f>
      </c>
      <c r="DJ318">
        <f>IF(ISBLANK('Data Entry'!$²$318), "", 'Data Entry'!$²$318)</f>
      </c>
      <c r="DK318">
        <f>IF(ISBLANK('Data Entry'!$³$318), "", 'Data Entry'!$³$318)</f>
      </c>
      <c r="DL318">
        <f>IF(ISBLANK('Data Entry'!$´$318), "", 'Data Entry'!$´$318)</f>
      </c>
      <c r="DM318">
        <f>IF(ISBLANK('Data Entry'!$µ$318), "", 'Data Entry'!$µ$318)</f>
      </c>
      <c r="DN318">
        <f>IF(ISBLANK('Data Entry'!$¶$318), "", 'Data Entry'!$¶$318)</f>
      </c>
      <c r="DO318">
        <f>IF(ISBLANK('Data Entry'!$·$318), "", 'Data Entry'!$·$318)</f>
      </c>
      <c r="DP318">
        <f>IF(ISBLANK('Data Entry'!$¸$318), "", 'Data Entry'!$¸$318)</f>
      </c>
      <c r="DQ318">
        <f>IF(ISBLANK('Data Entry'!$¹$318), "", 'Data Entry'!$¹$318)</f>
      </c>
      <c r="DR318">
        <f>IF(ISBLANK('Data Entry'!$º$318), "", 'Data Entry'!$º$318)</f>
      </c>
      <c r="DS318">
        <f>IF(ISBLANK('Data Entry'!$»$318), "", 'Data Entry'!$»$318)</f>
      </c>
      <c r="DT318">
        <f>IF(ISBLANK('Data Entry'!$¼$318), "", 'Data Entry'!$¼$318)</f>
      </c>
      <c r="DU318">
        <f>IF(ISBLANK('Data Entry'!$½$318), "", 'Data Entry'!$½$318)</f>
      </c>
      <c r="DV318">
        <f>IF(ISBLANK('Data Entry'!$¾$318), "", 'Data Entry'!$¾$318)</f>
      </c>
      <c r="DW318">
        <f>IF(ISBLANK('Data Entry'!$¿$318), "", 'Data Entry'!$¿$318)</f>
      </c>
      <c r="DX318">
        <f>IF(ISBLANK('Data Entry'!$À$318), "", 'Data Entry'!$À$318)</f>
      </c>
      <c r="DY318">
        <f>IF(ISBLANK('Data Entry'!$Á$318), "", 'Data Entry'!$Á$318)</f>
      </c>
      <c r="DZ318">
        <f>IF(ISBLANK('Data Entry'!$Â$318), "", 'Data Entry'!$Â$318)</f>
      </c>
      <c r="EA318">
        <f>IF(ISBLANK('Data Entry'!$Ã$318), "", 'Data Entry'!$Ã$318)</f>
      </c>
      <c r="EB318">
        <f>IF(ISBLANK('Data Entry'!$Ä$318), "", 'Data Entry'!$Ä$318)</f>
      </c>
      <c r="EC318">
        <f>IF(ISBLANK('Data Entry'!$Å$318), "", 'Data Entry'!$Å$318)</f>
      </c>
      <c r="ED318">
        <f>IF(ISBLANK('Data Entry'!$Æ$318), "", 'Data Entry'!$Æ$318)</f>
      </c>
      <c r="EE318">
        <f>IF(ISBLANK('Data Entry'!$Ç$318), "", 'Data Entry'!$Ç$318)</f>
      </c>
      <c r="EF318">
        <f>IF(ISBLANK('Data Entry'!$È$318), "", 'Data Entry'!$È$318)</f>
      </c>
      <c r="EG318">
        <f>IF(ISBLANK('Data Entry'!$É$318), "", 'Data Entry'!$É$318)</f>
      </c>
      <c r="EH318">
        <f>IF(ISBLANK('Data Entry'!$Ê$318), "", 'Data Entry'!$Ê$318)</f>
      </c>
      <c r="EI318">
        <f>IF(ISBLANK('Data Entry'!$Ë$318), "", 'Data Entry'!$Ë$318)</f>
      </c>
      <c r="EJ318">
        <f>IF(ISBLANK('Data Entry'!$Ì$318), "", 'Data Entry'!$Ì$318)</f>
      </c>
      <c r="EK318">
        <f>IF(ISBLANK('Data Entry'!$Í$318), "", 'Data Entry'!$Í$318)</f>
      </c>
      <c r="EL318">
        <f>IF(ISBLANK('Data Entry'!$Î$318), "", 'Data Entry'!$Î$318)</f>
      </c>
      <c r="EM318">
        <f>IF(ISBLANK('Data Entry'!$Ï$318), "", 'Data Entry'!$Ï$318)</f>
      </c>
      <c r="EN318">
        <f>IF(ISBLANK('Data Entry'!$Ð$318), "", 'Data Entry'!$Ð$318)</f>
      </c>
      <c r="EO318">
        <f>IF(ISBLANK('Data Entry'!$Ñ$318), "", 'Data Entry'!$Ñ$318)</f>
      </c>
      <c r="EP318">
        <f>IF(ISBLANK('Data Entry'!$Ò$318), "", 'Data Entry'!$Ò$318)</f>
      </c>
      <c r="EQ318">
        <f>IF(ISBLANK('Data Entry'!$Ó$318), "", 'Data Entry'!$Ó$318)</f>
      </c>
      <c r="ER318">
        <f>IF(ISBLANK('Data Entry'!$Ô$318), "", 'Data Entry'!$Ô$318)</f>
      </c>
      <c r="ES318">
        <f>IF(ISBLANK('Data Entry'!$Õ$318), "", 'Data Entry'!$Õ$318)</f>
      </c>
      <c r="ET318">
        <f>IF(ISBLANK('Data Entry'!$Ö$318), "", 'Data Entry'!$Ö$318)</f>
      </c>
      <c r="EU318">
        <f>IF(ISBLANK('Data Entry'!$×$318), "", 'Data Entry'!$×$318)</f>
      </c>
      <c r="EV318">
        <f>IF(ISBLANK('Data Entry'!$Ø$318), "", 'Data Entry'!$Ø$318)</f>
      </c>
      <c r="EW318">
        <f>IF(ISBLANK('Data Entry'!$Ù$318), "", 'Data Entry'!$Ù$318)</f>
      </c>
      <c r="EX318">
        <f>IF(ISBLANK('Data Entry'!$Ú$318), "", 'Data Entry'!$Ú$318)</f>
      </c>
      <c r="EY318">
        <f>IF(ISBLANK('Data Entry'!$Û$318), "", 'Data Entry'!$Û$318)</f>
      </c>
      <c r="EZ318">
        <f>IF(ISBLANK('Data Entry'!$Ü$318), "", 'Data Entry'!$Ü$318)</f>
      </c>
      <c r="FA318">
        <f>IF(ISBLANK('Data Entry'!$Ý$318), "", 'Data Entry'!$Ý$318)</f>
      </c>
      <c r="FB318">
        <f>IF(ISBLANK('Data Entry'!$Þ$318), "", 'Data Entry'!$Þ$318)</f>
      </c>
      <c r="FC318">
        <f>IF(ISBLANK('Data Entry'!$ß$318), "", 'Data Entry'!$ß$318)</f>
      </c>
      <c r="FD318">
        <f>IF(ISBLANK('Data Entry'!$à$318), "", 'Data Entry'!$à$318)</f>
      </c>
      <c r="FE318">
        <f>IF(ISBLANK('Data Entry'!$á$318), "", 'Data Entry'!$á$318)</f>
      </c>
      <c r="FF318">
        <f>IF(ISBLANK('Data Entry'!$â$318), "", 'Data Entry'!$â$318)</f>
      </c>
      <c r="FG318">
        <f>IF(ISBLANK('Data Entry'!$ã$318), "", 'Data Entry'!$ã$318)</f>
      </c>
      <c r="FH318">
        <f>IF(ISBLANK('Data Entry'!$ä$318), "", 'Data Entry'!$ä$318)</f>
      </c>
      <c r="FI318">
        <f>IF(ISBLANK('Data Entry'!$å$318), "", 'Data Entry'!$å$318)</f>
      </c>
      <c r="FJ318">
        <f>IF(ISBLANK('Data Entry'!$æ$318), "", 'Data Entry'!$æ$318)</f>
      </c>
      <c r="FK318">
        <f>IF(ISBLANK('Data Entry'!$ç$318), "", 'Data Entry'!$ç$318)</f>
      </c>
      <c r="FL318">
        <f>IF(ISBLANK('Data Entry'!$è$318), "", 'Data Entry'!$è$318)</f>
      </c>
      <c r="FM318">
        <f>IF(ISBLANK('Data Entry'!$é$318), "", 'Data Entry'!$é$318)</f>
      </c>
      <c r="FN318">
        <f>IF(ISBLANK('Data Entry'!$ê$318), "", 'Data Entry'!$ê$318)</f>
      </c>
      <c r="FO318">
        <f>IF(ISBLANK('Data Entry'!$ë$318), "", 'Data Entry'!$ë$318)</f>
      </c>
      <c r="FP318">
        <f>IF(ISBLANK('Data Entry'!$ì$318), "", 'Data Entry'!$ì$318)</f>
      </c>
      <c r="FQ318">
        <f>IF(ISBLANK('Data Entry'!$í$318), "", 'Data Entry'!$í$318)</f>
      </c>
      <c r="FR318">
        <f>IF(ISBLANK('Data Entry'!$î$318), "", 'Data Entry'!$î$318)</f>
      </c>
      <c r="FS318">
        <f>IF(ISBLANK('Data Entry'!$ï$318), "", 'Data Entry'!$ï$318)</f>
      </c>
      <c r="FT318">
        <f>IF(ISBLANK('Data Entry'!$ð$318), "", 'Data Entry'!$ð$318)</f>
      </c>
      <c r="FU318">
        <f>IF(ISBLANK('Data Entry'!$ñ$318), "", 'Data Entry'!$ñ$318)</f>
      </c>
      <c r="FV318">
        <f>IF(ISBLANK('Data Entry'!$ò$318), "", 'Data Entry'!$ò$318)</f>
      </c>
      <c r="FW318">
        <f>IF(ISBLANK('Data Entry'!$ó$318), "", 'Data Entry'!$ó$318)</f>
      </c>
      <c r="FX318">
        <f>IF(ISBLANK('Data Entry'!$ô$318), "", 'Data Entry'!$ô$318)</f>
      </c>
      <c r="FY318">
        <f>IF(ISBLANK('Data Entry'!$õ$318), "", 'Data Entry'!$õ$318)</f>
      </c>
      <c r="FZ318">
        <f>IF(ISBLANK('Data Entry'!$ö$318), "", 'Data Entry'!$ö$318)</f>
      </c>
      <c r="GA318">
        <f>IF(ISBLANK('Data Entry'!$÷$318), "", 'Data Entry'!$÷$318)</f>
      </c>
      <c r="GB318">
        <f>IF(ISBLANK('Data Entry'!$ø$318), "", 'Data Entry'!$ø$318)</f>
      </c>
      <c r="GC318">
        <f>IF(ISBLANK('Data Entry'!$ù$318), "", 'Data Entry'!$ù$318)</f>
      </c>
      <c r="GD318">
        <f>IF(ISBLANK('Data Entry'!$ú$318), "", 'Data Entry'!$ú$318)</f>
      </c>
      <c r="GE318">
        <f>IF(ISBLANK('Data Entry'!$û$318), "", 'Data Entry'!$û$318)</f>
      </c>
      <c r="GF318">
        <f>IF(ISBLANK('Data Entry'!$ü$318), "", 'Data Entry'!$ü$318)</f>
      </c>
      <c r="GG318">
        <f>IF(ISBLANK('Data Entry'!$ý$318), "", 'Data Entry'!$ý$318)</f>
      </c>
      <c r="GH318">
        <f>IF(ISBLANK('Data Entry'!$þ$318), "", 'Data Entry'!$þ$318)</f>
      </c>
      <c r="GI318">
        <f>IF(ISBLANK('Data Entry'!$ÿ$318), "", 'Data Entry'!$ÿ$318)</f>
      </c>
      <c r="GJ318">
        <f>IF(ISBLANK('Data Entry'!$Ā$318), "", 'Data Entry'!$Ā$318)</f>
      </c>
      <c r="GK318">
        <f>IF(ISBLANK('Data Entry'!$ā$318), "", 'Data Entry'!$ā$318)</f>
      </c>
      <c r="GL318">
        <f>IF(ISBLANK('Data Entry'!$Ă$318), "", 'Data Entry'!$Ă$318)</f>
      </c>
      <c r="GM318">
        <f>IF(ISBLANK('Data Entry'!$ă$318), "", 'Data Entry'!$ă$318)</f>
      </c>
      <c r="GN318">
        <f>IF(ISBLANK('Data Entry'!$Ą$318), "", 'Data Entry'!$Ą$318)</f>
      </c>
      <c r="GO318">
        <f>IF(ISBLANK('Data Entry'!$ą$318), "", 'Data Entry'!$ą$318)</f>
      </c>
      <c r="GP318">
        <f>IF(ISBLANK('Data Entry'!$Ć$318), "", 'Data Entry'!$Ć$318)</f>
      </c>
      <c r="GQ318">
        <f>IF(ISBLANK('Data Entry'!$ć$318), "", 'Data Entry'!$ć$318)</f>
      </c>
      <c r="GR318">
        <f>IF(ISBLANK('Data Entry'!$Ĉ$318), "", 'Data Entry'!$Ĉ$318)</f>
      </c>
      <c r="GS318">
        <f>IF(ISBLANK('Data Entry'!$ĉ$318), "", 'Data Entry'!$ĉ$318)</f>
      </c>
      <c r="GT318">
        <f>IF(ISBLANK('Data Entry'!$Ċ$318), "", 'Data Entry'!$Ċ$318)</f>
      </c>
      <c r="GU318">
        <f>IF(ISBLANK('Data Entry'!$ċ$318), "", 'Data Entry'!$ċ$318)</f>
      </c>
      <c r="GV318">
        <f>IF(ISBLANK('Data Entry'!$Č$318), "", 'Data Entry'!$Č$318)</f>
      </c>
      <c r="GW318">
        <f>IF(ISBLANK('Data Entry'!$č$318), "", 'Data Entry'!$č$318)</f>
      </c>
      <c r="GX318">
        <f>IF(ISBLANK('Data Entry'!$Ď$318), "", 'Data Entry'!$Ď$318)</f>
      </c>
      <c r="GY318">
        <f>IF(ISBLANK('Data Entry'!$ď$318), "", 'Data Entry'!$ď$318)</f>
      </c>
      <c r="GZ318">
        <f>IF(ISBLANK('Data Entry'!$Đ$318), "", 'Data Entry'!$Đ$318)</f>
      </c>
      <c r="HA318">
        <f>IF(ISBLANK('Data Entry'!$đ$318), "", 'Data Entry'!$đ$318)</f>
      </c>
      <c r="HB318">
        <f>IF(ISBLANK('Data Entry'!$Ē$318), "", 'Data Entry'!$Ē$318)</f>
      </c>
      <c r="HC318">
        <f>IF(ISBLANK('Data Entry'!$ē$318), "", 'Data Entry'!$ē$318)</f>
      </c>
      <c r="HD318">
        <f>IF(ISBLANK('Data Entry'!$Ĕ$318), "", 'Data Entry'!$Ĕ$318)</f>
      </c>
      <c r="HE318">
        <f>IF(ISBLANK('Data Entry'!$ĕ$318), "", 'Data Entry'!$ĕ$318)</f>
      </c>
      <c r="HF318">
        <f>IF(ISBLANK('Data Entry'!$Ė$318), "", 'Data Entry'!$Ė$318)</f>
      </c>
      <c r="HG318">
        <f>IF(ISBLANK('Data Entry'!$ė$318), "", 'Data Entry'!$ė$318)</f>
      </c>
      <c r="HH318">
        <f>IF(ISBLANK('Data Entry'!$Ę$318), "", 'Data Entry'!$Ę$318)</f>
      </c>
      <c r="HI318">
        <f>IF(ISBLANK('Data Entry'!$ę$318), "", 'Data Entry'!$ę$318)</f>
      </c>
      <c r="HJ318">
        <f>IF(ISBLANK('Data Entry'!$Ě$318), "", 'Data Entry'!$Ě$318)</f>
      </c>
      <c r="HK318">
        <f>IF(ISBLANK('Data Entry'!$ě$318), "", 'Data Entry'!$ě$318)</f>
      </c>
      <c r="HL318">
        <f>IF(ISBLANK('Data Entry'!$Ĝ$318), "", 'Data Entry'!$Ĝ$318)</f>
      </c>
      <c r="HM318">
        <f>IF(ISBLANK('Data Entry'!$ĝ$318), "", 'Data Entry'!$ĝ$318)</f>
      </c>
      <c r="HN318">
        <f>IF(ISBLANK('Data Entry'!$Ğ$318), "", 'Data Entry'!$Ğ$318)</f>
      </c>
      <c r="HO318">
        <f>IF(ISBLANK('Data Entry'!$ğ$318), "", 'Data Entry'!$ğ$318)</f>
      </c>
      <c r="HP318">
        <f>IF(ISBLANK('Data Entry'!$Ġ$318), "", 'Data Entry'!$Ġ$318)</f>
      </c>
      <c r="HQ318">
        <f>IF(ISBLANK('Data Entry'!$ġ$318), "", 'Data Entry'!$ġ$318)</f>
      </c>
      <c r="HR318">
        <f>IF(ISBLANK('Data Entry'!$Ģ$318), "", 'Data Entry'!$Ģ$318)</f>
      </c>
      <c r="HS318">
        <f>IF(ISBLANK('Data Entry'!$ģ$318), "", 'Data Entry'!$ģ$318)</f>
      </c>
      <c r="HT318">
        <f>IF(ISBLANK('Data Entry'!$Ĥ$318), "", 'Data Entry'!$Ĥ$318)</f>
      </c>
      <c r="HU318">
        <f>IF(ISBLANK('Data Entry'!$ĥ$318), "", 'Data Entry'!$ĥ$318)</f>
      </c>
      <c r="HV318">
        <f>IF(ISBLANK('Data Entry'!$Ħ$318), "", 'Data Entry'!$Ħ$318)</f>
      </c>
      <c r="HW318">
        <f>IF(ISBLANK('Data Entry'!$ħ$318), "", 'Data Entry'!$ħ$318)</f>
      </c>
      <c r="HX318">
        <f>IF(ISBLANK('Data Entry'!$Ĩ$318), "", 'Data Entry'!$Ĩ$318)</f>
      </c>
      <c r="HY318">
        <f>IF(ISBLANK('Data Entry'!$ĩ$318), "", 'Data Entry'!$ĩ$318)</f>
      </c>
      <c r="HZ318">
        <f>IF(ISBLANK('Data Entry'!$Ī$318), "", 'Data Entry'!$Ī$318)</f>
      </c>
      <c r="IA318">
        <f>IF(ISBLANK('Data Entry'!$ī$318), "", 'Data Entry'!$ī$318)</f>
      </c>
      <c r="IB318">
        <f>IF(ISBLANK('Data Entry'!$Ĭ$318), "", 'Data Entry'!$Ĭ$318)</f>
      </c>
      <c r="IC318">
        <f>IF(ISBLANK('Data Entry'!$ĭ$318), "", 'Data Entry'!$ĭ$318)</f>
      </c>
      <c r="ID318">
        <f>IF(ISBLANK('Data Entry'!$Į$318), "", 'Data Entry'!$Į$318)</f>
      </c>
      <c r="IE318">
        <f>IF(ISBLANK('Data Entry'!$į$318), "", 'Data Entry'!$į$318)</f>
      </c>
      <c r="IF318">
        <f>IF(ISBLANK('Data Entry'!$İ$318), "", 'Data Entry'!$İ$318)</f>
      </c>
      <c r="IG318">
        <f>IF(ISBLANK('Data Entry'!$ı$318), "", 'Data Entry'!$ı$318)</f>
      </c>
      <c r="IH318">
        <f>IF(ISBLANK('Data Entry'!$Ĳ$318), "", 'Data Entry'!$Ĳ$318)</f>
      </c>
      <c r="II318">
        <f>IF(ISBLANK('Data Entry'!$ĳ$318), "", 'Data Entry'!$ĳ$318)</f>
      </c>
      <c r="IJ318">
        <f>IF(ISBLANK('Data Entry'!$Ĵ$318), "", 'Data Entry'!$Ĵ$318)</f>
      </c>
      <c r="IK318">
        <f>IF(ISBLANK('Data Entry'!$ĵ$318), "", 'Data Entry'!$ĵ$318)</f>
      </c>
      <c r="IL318">
        <f>IF(ISBLANK('Data Entry'!$Ķ$318), "", 'Data Entry'!$Ķ$318)</f>
      </c>
      <c r="IM318">
        <f>IF(ISBLANK('Data Entry'!$ķ$318), "", 'Data Entry'!$ķ$318)</f>
      </c>
      <c r="IN318">
        <f>IF(ISBLANK('Data Entry'!$ĸ$318), "", 'Data Entry'!$ĸ$318)</f>
      </c>
      <c r="IO318">
        <f>IF(ISBLANK('Data Entry'!$Ĺ$318), "", 'Data Entry'!$Ĺ$318)</f>
      </c>
      <c r="IP318">
        <f>IF(ISBLANK('Data Entry'!$ĺ$318), "", 'Data Entry'!$ĺ$318)</f>
      </c>
      <c r="IQ318">
        <f>IF(ISBLANK('Data Entry'!$Ļ$318), "", 'Data Entry'!$Ļ$318)</f>
      </c>
      <c r="IR318">
        <f>IF(ISBLANK('Data Entry'!$ļ$318), "", 'Data Entry'!$ļ$318)</f>
      </c>
      <c r="IS318">
        <f>IF(ISBLANK('Data Entry'!$Ľ$318), "", 'Data Entry'!$Ľ$318)</f>
      </c>
      <c r="IT318">
        <f>IF(ISBLANK('Data Entry'!$ľ$318), "", 'Data Entry'!$ľ$318)</f>
      </c>
    </row>
    <row r="319" spans="1:254" x14ac:dyDescent="0.25">
      <c r="A319">
        <f>IF(ISBLANK('Data Entry'!$A$319), "", 'Data Entry'!$A$319)</f>
      </c>
      <c r="B319">
        <f>IF(ISBLANK('Data Entry'!$B$319), "", 'Data Entry'!$B$319)</f>
      </c>
      <c r="C319">
        <f>IF(ISBLANK('Data Entry'!$C$319), "", 'Data Entry'!$C$319)</f>
      </c>
      <c r="D319">
        <f>IF(ISBLANK('Data Entry'!$D$319), "", 'Data Entry'!$D$319)</f>
      </c>
      <c r="E319">
        <f>IF(ISBLANK('Data Entry'!$E$319), "", 'Data Entry'!$E$319)</f>
      </c>
      <c r="F319">
        <f>IF(ISBLANK('Data Entry'!$F$319), "", 'Data Entry'!$F$319)</f>
      </c>
      <c r="G319">
        <f>IF(ISBLANK('Data Entry'!$G$319), "", 'Data Entry'!$G$319)</f>
      </c>
      <c r="H319">
        <f>IF(ISBLANK('Data Entry'!$H$319), "", 'Data Entry'!$H$319)</f>
      </c>
      <c r="I319">
        <f>IF(ISBLANK('Data Entry'!$I$319), "", 'Data Entry'!$I$319)</f>
      </c>
      <c r="J319">
        <f>IF(ISBLANK('Data Entry'!$J$319), "", 'Data Entry'!$J$319)</f>
      </c>
      <c r="K319">
        <f>IF(ISBLANK('Data Entry'!$K$319), "", 'Data Entry'!$K$319)</f>
      </c>
      <c r="L319">
        <f>IF(ISBLANK('Data Entry'!$L$319), "", 'Data Entry'!$L$319)</f>
      </c>
      <c r="M319">
        <f>IF(ISBLANK('Data Entry'!$M$319), "", 'Data Entry'!$M$319)</f>
      </c>
      <c r="N319">
        <f>IF(ISBLANK('Data Entry'!$N$319), "", 'Data Entry'!$N$319)</f>
      </c>
      <c r="O319">
        <f>IF(ISBLANK('Data Entry'!$O$319), "", 'Data Entry'!$O$319)</f>
      </c>
      <c r="P319">
        <f>IF(ISBLANK('Data Entry'!$P$319), "", 'Data Entry'!$P$319)</f>
      </c>
      <c r="Q319">
        <f>IF(ISBLANK('Data Entry'!$Q$319), "", 'Data Entry'!$Q$319)</f>
      </c>
      <c r="R319">
        <f>IF(ISBLANK('Data Entry'!$R$319), "", 'Data Entry'!$R$319)</f>
      </c>
      <c r="S319">
        <f>IF(ISBLANK('Data Entry'!$S$319), "", 'Data Entry'!$S$319)</f>
      </c>
      <c r="T319">
        <f>IF(ISBLANK('Data Entry'!$T$319), "", 'Data Entry'!$T$319)</f>
      </c>
      <c r="U319">
        <f>IF(ISBLANK('Data Entry'!$U$319), "", 'Data Entry'!$U$319)</f>
      </c>
      <c r="V319">
        <f>IF(ISBLANK('Data Entry'!$V$319), "", 'Data Entry'!$V$319)</f>
      </c>
      <c r="W319">
        <f>IF(ISBLANK('Data Entry'!$W$319), "", 'Data Entry'!$W$319)</f>
      </c>
      <c r="X319">
        <f>IF(ISBLANK('Data Entry'!$X$319), "", 'Data Entry'!$X$319)</f>
      </c>
      <c r="Y319">
        <f>IF(ISBLANK('Data Entry'!$Y$319), "", 'Data Entry'!$Y$319)</f>
      </c>
      <c r="Z319">
        <f>IF(ISBLANK('Data Entry'!$Z$319), "", 'Data Entry'!$Z$319)</f>
      </c>
      <c r="AA319">
        <f>IF(ISBLANK('Data Entry'!$[$319), "", 'Data Entry'!$[$319)</f>
      </c>
      <c r="AB319">
        <f>IF(ISBLANK('Data Entry'!$\$319), "", 'Data Entry'!$\$319)</f>
      </c>
      <c r="AC319">
        <f>IF(ISBLANK('Data Entry'!$]$319), "", 'Data Entry'!$]$319)</f>
      </c>
      <c r="AD319">
        <f>IF(ISBLANK('Data Entry'!$^$319), "", 'Data Entry'!$^$319)</f>
      </c>
      <c r="AE319">
        <f>IF(ISBLANK('Data Entry'!$_$319), "", 'Data Entry'!$_$319)</f>
      </c>
      <c r="AF319">
        <f>IF(ISBLANK('Data Entry'!$`$319), "", 'Data Entry'!$`$319)</f>
      </c>
      <c r="AG319">
        <f>IF(ISBLANK('Data Entry'!$a$319), "", 'Data Entry'!$a$319)</f>
      </c>
      <c r="AH319">
        <f>IF(ISBLANK('Data Entry'!$b$319), "", 'Data Entry'!$b$319)</f>
      </c>
      <c r="AI319">
        <f>IF(ISBLANK('Data Entry'!$c$319), "", 'Data Entry'!$c$319)</f>
      </c>
      <c r="AJ319">
        <f>IF(ISBLANK('Data Entry'!$d$319), "", 'Data Entry'!$d$319)</f>
      </c>
      <c r="AK319">
        <f>IF(ISBLANK('Data Entry'!$e$319), "", 'Data Entry'!$e$319)</f>
      </c>
      <c r="AL319">
        <f>IF(ISBLANK('Data Entry'!$f$319), "", 'Data Entry'!$f$319)</f>
      </c>
      <c r="AM319">
        <f>IF(ISBLANK('Data Entry'!$g$319), "", 'Data Entry'!$g$319)</f>
      </c>
      <c r="AN319">
        <f>IF(ISBLANK('Data Entry'!$h$319), "", 'Data Entry'!$h$319)</f>
      </c>
      <c r="AO319">
        <f>IF(ISBLANK('Data Entry'!$i$319), "", 'Data Entry'!$i$319)</f>
      </c>
      <c r="AP319">
        <f>IF(ISBLANK('Data Entry'!$j$319), "", 'Data Entry'!$j$319)</f>
      </c>
      <c r="AQ319">
        <f>IF(ISBLANK('Data Entry'!$k$319), "", 'Data Entry'!$k$319)</f>
      </c>
      <c r="AR319">
        <f>IF(ISBLANK('Data Entry'!$l$319), "", 'Data Entry'!$l$319)</f>
      </c>
      <c r="AS319">
        <f>IF(ISBLANK('Data Entry'!$m$319), "", 'Data Entry'!$m$319)</f>
      </c>
      <c r="AT319">
        <f>IF(ISBLANK('Data Entry'!$n$319), "", 'Data Entry'!$n$319)</f>
      </c>
      <c r="AU319">
        <f>IF(ISBLANK('Data Entry'!$o$319), "", 'Data Entry'!$o$319)</f>
      </c>
      <c r="AV319">
        <f>IF(ISBLANK('Data Entry'!$p$319), "", 'Data Entry'!$p$319)</f>
      </c>
      <c r="AW319">
        <f>IF(ISBLANK('Data Entry'!$q$319), "", 'Data Entry'!$q$319)</f>
      </c>
      <c r="AX319">
        <f>IF(ISBLANK('Data Entry'!$r$319), "", 'Data Entry'!$r$319)</f>
      </c>
      <c r="AY319">
        <f>IF(ISBLANK('Data Entry'!$s$319), "", 'Data Entry'!$s$319)</f>
      </c>
      <c r="AZ319">
        <f>IF(ISBLANK('Data Entry'!$t$319), "", 'Data Entry'!$t$319)</f>
      </c>
      <c r="BA319">
        <f>IF(ISBLANK('Data Entry'!$u$319), "", 'Data Entry'!$u$319)</f>
      </c>
      <c r="BB319">
        <f>IF(ISBLANK('Data Entry'!$v$319), "", 'Data Entry'!$v$319)</f>
      </c>
      <c r="BC319">
        <f>IF(ISBLANK('Data Entry'!$w$319), "", 'Data Entry'!$w$319)</f>
      </c>
      <c r="BD319">
        <f>IF(ISBLANK('Data Entry'!$x$319), "", 'Data Entry'!$x$319)</f>
      </c>
      <c r="BE319">
        <f>IF(ISBLANK('Data Entry'!$y$319), "", 'Data Entry'!$y$319)</f>
      </c>
      <c r="BF319">
        <f>IF(ISBLANK('Data Entry'!$z$319), "", 'Data Entry'!$z$319)</f>
      </c>
      <c r="BG319">
        <f>IF(ISBLANK('Data Entry'!${$319), "", 'Data Entry'!${$319)</f>
      </c>
      <c r="BH319">
        <f>IF(ISBLANK('Data Entry'!$|$319), "", 'Data Entry'!$|$319)</f>
      </c>
      <c r="BI319">
        <f>IF(ISBLANK('Data Entry'!$}$319), "", 'Data Entry'!$}$319)</f>
      </c>
      <c r="BJ319">
        <f>IF(ISBLANK('Data Entry'!$~$319), "", 'Data Entry'!$~$319)</f>
      </c>
      <c r="BK319">
        <f>IF(ISBLANK('Data Entry'!$$319), "", 'Data Entry'!$$319)</f>
      </c>
      <c r="BL319">
        <f>IF(ISBLANK('Data Entry'!$$319), "", 'Data Entry'!$$319)</f>
      </c>
      <c r="BM319">
        <f>IF(ISBLANK('Data Entry'!$$319), "", 'Data Entry'!$$319)</f>
      </c>
      <c r="BN319">
        <f>IF(ISBLANK('Data Entry'!$$319), "", 'Data Entry'!$$319)</f>
      </c>
      <c r="BO319">
        <f>IF(ISBLANK('Data Entry'!$$319), "", 'Data Entry'!$$319)</f>
      </c>
      <c r="BP319">
        <f>IF(ISBLANK('Data Entry'!$$319), "", 'Data Entry'!$$319)</f>
      </c>
      <c r="BQ319">
        <f>IF(ISBLANK('Data Entry'!$$319), "", 'Data Entry'!$$319)</f>
      </c>
      <c r="BR319">
        <f>IF(ISBLANK('Data Entry'!$$319), "", 'Data Entry'!$$319)</f>
      </c>
      <c r="BS319">
        <f>IF(ISBLANK('Data Entry'!$$319), "", 'Data Entry'!$$319)</f>
      </c>
      <c r="BT319">
        <f>IF(ISBLANK('Data Entry'!$$319), "", 'Data Entry'!$$319)</f>
      </c>
      <c r="BU319">
        <f>IF(ISBLANK('Data Entry'!$$319), "", 'Data Entry'!$$319)</f>
      </c>
      <c r="BV319">
        <f>IF(ISBLANK('Data Entry'!$$319), "", 'Data Entry'!$$319)</f>
      </c>
      <c r="BW319">
        <f>IF(ISBLANK('Data Entry'!$$319), "", 'Data Entry'!$$319)</f>
      </c>
      <c r="BX319">
        <f>IF(ISBLANK('Data Entry'!$$319), "", 'Data Entry'!$$319)</f>
      </c>
      <c r="BY319">
        <f>IF(ISBLANK('Data Entry'!$$319), "", 'Data Entry'!$$319)</f>
      </c>
      <c r="BZ319">
        <f>IF(ISBLANK('Data Entry'!$$319), "", 'Data Entry'!$$319)</f>
      </c>
      <c r="CA319">
        <f>IF(ISBLANK('Data Entry'!$$319), "", 'Data Entry'!$$319)</f>
      </c>
      <c r="CB319">
        <f>IF(ISBLANK('Data Entry'!$$319), "", 'Data Entry'!$$319)</f>
      </c>
      <c r="CC319">
        <f>IF(ISBLANK('Data Entry'!$$319), "", 'Data Entry'!$$319)</f>
      </c>
      <c r="CD319">
        <f>IF(ISBLANK('Data Entry'!$$319), "", 'Data Entry'!$$319)</f>
      </c>
      <c r="CE319">
        <f>IF(ISBLANK('Data Entry'!$$319), "", 'Data Entry'!$$319)</f>
      </c>
      <c r="CF319">
        <f>IF(ISBLANK('Data Entry'!$$319), "", 'Data Entry'!$$319)</f>
      </c>
      <c r="CG319">
        <f>IF(ISBLANK('Data Entry'!$$319), "", 'Data Entry'!$$319)</f>
      </c>
      <c r="CH319">
        <f>IF(ISBLANK('Data Entry'!$$319), "", 'Data Entry'!$$319)</f>
      </c>
      <c r="CI319">
        <f>IF(ISBLANK('Data Entry'!$$319), "", 'Data Entry'!$$319)</f>
      </c>
      <c r="CJ319">
        <f>IF(ISBLANK('Data Entry'!$$319), "", 'Data Entry'!$$319)</f>
      </c>
      <c r="CK319">
        <f>IF(ISBLANK('Data Entry'!$$319), "", 'Data Entry'!$$319)</f>
      </c>
      <c r="CL319">
        <f>IF(ISBLANK('Data Entry'!$$319), "", 'Data Entry'!$$319)</f>
      </c>
      <c r="CM319">
        <f>IF(ISBLANK('Data Entry'!$$319), "", 'Data Entry'!$$319)</f>
      </c>
      <c r="CN319">
        <f>IF(ISBLANK('Data Entry'!$$319), "", 'Data Entry'!$$319)</f>
      </c>
      <c r="CO319">
        <f>IF(ISBLANK('Data Entry'!$$319), "", 'Data Entry'!$$319)</f>
      </c>
      <c r="CP319">
        <f>IF(ISBLANK('Data Entry'!$$319), "", 'Data Entry'!$$319)</f>
      </c>
      <c r="CQ319">
        <f>IF(ISBLANK('Data Entry'!$$319), "", 'Data Entry'!$$319)</f>
      </c>
      <c r="CR319">
        <f>IF(ISBLANK('Data Entry'!$ $319), "", 'Data Entry'!$ $319)</f>
      </c>
      <c r="CS319">
        <f>IF(ISBLANK('Data Entry'!$¡$319), "", 'Data Entry'!$¡$319)</f>
      </c>
      <c r="CT319">
        <f>IF(ISBLANK('Data Entry'!$¢$319), "", 'Data Entry'!$¢$319)</f>
      </c>
      <c r="CU319">
        <f>IF(ISBLANK('Data Entry'!$£$319), "", 'Data Entry'!$£$319)</f>
      </c>
      <c r="CV319">
        <f>IF(ISBLANK('Data Entry'!$¤$319), "", 'Data Entry'!$¤$319)</f>
      </c>
      <c r="CW319">
        <f>IF(ISBLANK('Data Entry'!$¥$319), "", 'Data Entry'!$¥$319)</f>
      </c>
      <c r="CX319">
        <f>IF(ISBLANK('Data Entry'!$¦$319), "", 'Data Entry'!$¦$319)</f>
      </c>
      <c r="CY319">
        <f>IF(ISBLANK('Data Entry'!$§$319), "", 'Data Entry'!$§$319)</f>
      </c>
      <c r="CZ319">
        <f>IF(ISBLANK('Data Entry'!$¨$319), "", 'Data Entry'!$¨$319)</f>
      </c>
      <c r="DA319">
        <f>IF(ISBLANK('Data Entry'!$©$319), "", 'Data Entry'!$©$319)</f>
      </c>
      <c r="DB319">
        <f>IF(ISBLANK('Data Entry'!$ª$319), "", 'Data Entry'!$ª$319)</f>
      </c>
      <c r="DC319">
        <f>IF(ISBLANK('Data Entry'!$«$319), "", 'Data Entry'!$«$319)</f>
      </c>
      <c r="DD319">
        <f>IF(ISBLANK('Data Entry'!$¬$319), "", 'Data Entry'!$¬$319)</f>
      </c>
      <c r="DE319">
        <f>IF(ISBLANK('Data Entry'!$­$319), "", 'Data Entry'!$­$319)</f>
      </c>
      <c r="DF319">
        <f>IF(ISBLANK('Data Entry'!$®$319), "", 'Data Entry'!$®$319)</f>
      </c>
      <c r="DG319">
        <f>IF(ISBLANK('Data Entry'!$¯$319), "", 'Data Entry'!$¯$319)</f>
      </c>
      <c r="DH319">
        <f>IF(ISBLANK('Data Entry'!$°$319), "", 'Data Entry'!$°$319)</f>
      </c>
      <c r="DI319">
        <f>IF(ISBLANK('Data Entry'!$±$319), "", 'Data Entry'!$±$319)</f>
      </c>
      <c r="DJ319">
        <f>IF(ISBLANK('Data Entry'!$²$319), "", 'Data Entry'!$²$319)</f>
      </c>
      <c r="DK319">
        <f>IF(ISBLANK('Data Entry'!$³$319), "", 'Data Entry'!$³$319)</f>
      </c>
      <c r="DL319">
        <f>IF(ISBLANK('Data Entry'!$´$319), "", 'Data Entry'!$´$319)</f>
      </c>
      <c r="DM319">
        <f>IF(ISBLANK('Data Entry'!$µ$319), "", 'Data Entry'!$µ$319)</f>
      </c>
      <c r="DN319">
        <f>IF(ISBLANK('Data Entry'!$¶$319), "", 'Data Entry'!$¶$319)</f>
      </c>
      <c r="DO319">
        <f>IF(ISBLANK('Data Entry'!$·$319), "", 'Data Entry'!$·$319)</f>
      </c>
      <c r="DP319">
        <f>IF(ISBLANK('Data Entry'!$¸$319), "", 'Data Entry'!$¸$319)</f>
      </c>
      <c r="DQ319">
        <f>IF(ISBLANK('Data Entry'!$¹$319), "", 'Data Entry'!$¹$319)</f>
      </c>
      <c r="DR319">
        <f>IF(ISBLANK('Data Entry'!$º$319), "", 'Data Entry'!$º$319)</f>
      </c>
      <c r="DS319">
        <f>IF(ISBLANK('Data Entry'!$»$319), "", 'Data Entry'!$»$319)</f>
      </c>
      <c r="DT319">
        <f>IF(ISBLANK('Data Entry'!$¼$319), "", 'Data Entry'!$¼$319)</f>
      </c>
      <c r="DU319">
        <f>IF(ISBLANK('Data Entry'!$½$319), "", 'Data Entry'!$½$319)</f>
      </c>
      <c r="DV319">
        <f>IF(ISBLANK('Data Entry'!$¾$319), "", 'Data Entry'!$¾$319)</f>
      </c>
      <c r="DW319">
        <f>IF(ISBLANK('Data Entry'!$¿$319), "", 'Data Entry'!$¿$319)</f>
      </c>
      <c r="DX319">
        <f>IF(ISBLANK('Data Entry'!$À$319), "", 'Data Entry'!$À$319)</f>
      </c>
      <c r="DY319">
        <f>IF(ISBLANK('Data Entry'!$Á$319), "", 'Data Entry'!$Á$319)</f>
      </c>
      <c r="DZ319">
        <f>IF(ISBLANK('Data Entry'!$Â$319), "", 'Data Entry'!$Â$319)</f>
      </c>
      <c r="EA319">
        <f>IF(ISBLANK('Data Entry'!$Ã$319), "", 'Data Entry'!$Ã$319)</f>
      </c>
      <c r="EB319">
        <f>IF(ISBLANK('Data Entry'!$Ä$319), "", 'Data Entry'!$Ä$319)</f>
      </c>
      <c r="EC319">
        <f>IF(ISBLANK('Data Entry'!$Å$319), "", 'Data Entry'!$Å$319)</f>
      </c>
      <c r="ED319">
        <f>IF(ISBLANK('Data Entry'!$Æ$319), "", 'Data Entry'!$Æ$319)</f>
      </c>
      <c r="EE319">
        <f>IF(ISBLANK('Data Entry'!$Ç$319), "", 'Data Entry'!$Ç$319)</f>
      </c>
      <c r="EF319">
        <f>IF(ISBLANK('Data Entry'!$È$319), "", 'Data Entry'!$È$319)</f>
      </c>
      <c r="EG319">
        <f>IF(ISBLANK('Data Entry'!$É$319), "", 'Data Entry'!$É$319)</f>
      </c>
      <c r="EH319">
        <f>IF(ISBLANK('Data Entry'!$Ê$319), "", 'Data Entry'!$Ê$319)</f>
      </c>
      <c r="EI319">
        <f>IF(ISBLANK('Data Entry'!$Ë$319), "", 'Data Entry'!$Ë$319)</f>
      </c>
      <c r="EJ319">
        <f>IF(ISBLANK('Data Entry'!$Ì$319), "", 'Data Entry'!$Ì$319)</f>
      </c>
      <c r="EK319">
        <f>IF(ISBLANK('Data Entry'!$Í$319), "", 'Data Entry'!$Í$319)</f>
      </c>
      <c r="EL319">
        <f>IF(ISBLANK('Data Entry'!$Î$319), "", 'Data Entry'!$Î$319)</f>
      </c>
      <c r="EM319">
        <f>IF(ISBLANK('Data Entry'!$Ï$319), "", 'Data Entry'!$Ï$319)</f>
      </c>
      <c r="EN319">
        <f>IF(ISBLANK('Data Entry'!$Ð$319), "", 'Data Entry'!$Ð$319)</f>
      </c>
      <c r="EO319">
        <f>IF(ISBLANK('Data Entry'!$Ñ$319), "", 'Data Entry'!$Ñ$319)</f>
      </c>
      <c r="EP319">
        <f>IF(ISBLANK('Data Entry'!$Ò$319), "", 'Data Entry'!$Ò$319)</f>
      </c>
      <c r="EQ319">
        <f>IF(ISBLANK('Data Entry'!$Ó$319), "", 'Data Entry'!$Ó$319)</f>
      </c>
      <c r="ER319">
        <f>IF(ISBLANK('Data Entry'!$Ô$319), "", 'Data Entry'!$Ô$319)</f>
      </c>
      <c r="ES319">
        <f>IF(ISBLANK('Data Entry'!$Õ$319), "", 'Data Entry'!$Õ$319)</f>
      </c>
      <c r="ET319">
        <f>IF(ISBLANK('Data Entry'!$Ö$319), "", 'Data Entry'!$Ö$319)</f>
      </c>
      <c r="EU319">
        <f>IF(ISBLANK('Data Entry'!$×$319), "", 'Data Entry'!$×$319)</f>
      </c>
      <c r="EV319">
        <f>IF(ISBLANK('Data Entry'!$Ø$319), "", 'Data Entry'!$Ø$319)</f>
      </c>
      <c r="EW319">
        <f>IF(ISBLANK('Data Entry'!$Ù$319), "", 'Data Entry'!$Ù$319)</f>
      </c>
      <c r="EX319">
        <f>IF(ISBLANK('Data Entry'!$Ú$319), "", 'Data Entry'!$Ú$319)</f>
      </c>
      <c r="EY319">
        <f>IF(ISBLANK('Data Entry'!$Û$319), "", 'Data Entry'!$Û$319)</f>
      </c>
      <c r="EZ319">
        <f>IF(ISBLANK('Data Entry'!$Ü$319), "", 'Data Entry'!$Ü$319)</f>
      </c>
      <c r="FA319">
        <f>IF(ISBLANK('Data Entry'!$Ý$319), "", 'Data Entry'!$Ý$319)</f>
      </c>
      <c r="FB319">
        <f>IF(ISBLANK('Data Entry'!$Þ$319), "", 'Data Entry'!$Þ$319)</f>
      </c>
      <c r="FC319">
        <f>IF(ISBLANK('Data Entry'!$ß$319), "", 'Data Entry'!$ß$319)</f>
      </c>
      <c r="FD319">
        <f>IF(ISBLANK('Data Entry'!$à$319), "", 'Data Entry'!$à$319)</f>
      </c>
      <c r="FE319">
        <f>IF(ISBLANK('Data Entry'!$á$319), "", 'Data Entry'!$á$319)</f>
      </c>
      <c r="FF319">
        <f>IF(ISBLANK('Data Entry'!$â$319), "", 'Data Entry'!$â$319)</f>
      </c>
      <c r="FG319">
        <f>IF(ISBLANK('Data Entry'!$ã$319), "", 'Data Entry'!$ã$319)</f>
      </c>
      <c r="FH319">
        <f>IF(ISBLANK('Data Entry'!$ä$319), "", 'Data Entry'!$ä$319)</f>
      </c>
      <c r="FI319">
        <f>IF(ISBLANK('Data Entry'!$å$319), "", 'Data Entry'!$å$319)</f>
      </c>
      <c r="FJ319">
        <f>IF(ISBLANK('Data Entry'!$æ$319), "", 'Data Entry'!$æ$319)</f>
      </c>
      <c r="FK319">
        <f>IF(ISBLANK('Data Entry'!$ç$319), "", 'Data Entry'!$ç$319)</f>
      </c>
      <c r="FL319">
        <f>IF(ISBLANK('Data Entry'!$è$319), "", 'Data Entry'!$è$319)</f>
      </c>
      <c r="FM319">
        <f>IF(ISBLANK('Data Entry'!$é$319), "", 'Data Entry'!$é$319)</f>
      </c>
      <c r="FN319">
        <f>IF(ISBLANK('Data Entry'!$ê$319), "", 'Data Entry'!$ê$319)</f>
      </c>
      <c r="FO319">
        <f>IF(ISBLANK('Data Entry'!$ë$319), "", 'Data Entry'!$ë$319)</f>
      </c>
      <c r="FP319">
        <f>IF(ISBLANK('Data Entry'!$ì$319), "", 'Data Entry'!$ì$319)</f>
      </c>
      <c r="FQ319">
        <f>IF(ISBLANK('Data Entry'!$í$319), "", 'Data Entry'!$í$319)</f>
      </c>
      <c r="FR319">
        <f>IF(ISBLANK('Data Entry'!$î$319), "", 'Data Entry'!$î$319)</f>
      </c>
      <c r="FS319">
        <f>IF(ISBLANK('Data Entry'!$ï$319), "", 'Data Entry'!$ï$319)</f>
      </c>
      <c r="FT319">
        <f>IF(ISBLANK('Data Entry'!$ð$319), "", 'Data Entry'!$ð$319)</f>
      </c>
      <c r="FU319">
        <f>IF(ISBLANK('Data Entry'!$ñ$319), "", 'Data Entry'!$ñ$319)</f>
      </c>
      <c r="FV319">
        <f>IF(ISBLANK('Data Entry'!$ò$319), "", 'Data Entry'!$ò$319)</f>
      </c>
      <c r="FW319">
        <f>IF(ISBLANK('Data Entry'!$ó$319), "", 'Data Entry'!$ó$319)</f>
      </c>
      <c r="FX319">
        <f>IF(ISBLANK('Data Entry'!$ô$319), "", 'Data Entry'!$ô$319)</f>
      </c>
      <c r="FY319">
        <f>IF(ISBLANK('Data Entry'!$õ$319), "", 'Data Entry'!$õ$319)</f>
      </c>
      <c r="FZ319">
        <f>IF(ISBLANK('Data Entry'!$ö$319), "", 'Data Entry'!$ö$319)</f>
      </c>
      <c r="GA319">
        <f>IF(ISBLANK('Data Entry'!$÷$319), "", 'Data Entry'!$÷$319)</f>
      </c>
      <c r="GB319">
        <f>IF(ISBLANK('Data Entry'!$ø$319), "", 'Data Entry'!$ø$319)</f>
      </c>
      <c r="GC319">
        <f>IF(ISBLANK('Data Entry'!$ù$319), "", 'Data Entry'!$ù$319)</f>
      </c>
      <c r="GD319">
        <f>IF(ISBLANK('Data Entry'!$ú$319), "", 'Data Entry'!$ú$319)</f>
      </c>
      <c r="GE319">
        <f>IF(ISBLANK('Data Entry'!$û$319), "", 'Data Entry'!$û$319)</f>
      </c>
      <c r="GF319">
        <f>IF(ISBLANK('Data Entry'!$ü$319), "", 'Data Entry'!$ü$319)</f>
      </c>
      <c r="GG319">
        <f>IF(ISBLANK('Data Entry'!$ý$319), "", 'Data Entry'!$ý$319)</f>
      </c>
      <c r="GH319">
        <f>IF(ISBLANK('Data Entry'!$þ$319), "", 'Data Entry'!$þ$319)</f>
      </c>
      <c r="GI319">
        <f>IF(ISBLANK('Data Entry'!$ÿ$319), "", 'Data Entry'!$ÿ$319)</f>
      </c>
      <c r="GJ319">
        <f>IF(ISBLANK('Data Entry'!$Ā$319), "", 'Data Entry'!$Ā$319)</f>
      </c>
      <c r="GK319">
        <f>IF(ISBLANK('Data Entry'!$ā$319), "", 'Data Entry'!$ā$319)</f>
      </c>
      <c r="GL319">
        <f>IF(ISBLANK('Data Entry'!$Ă$319), "", 'Data Entry'!$Ă$319)</f>
      </c>
      <c r="GM319">
        <f>IF(ISBLANK('Data Entry'!$ă$319), "", 'Data Entry'!$ă$319)</f>
      </c>
      <c r="GN319">
        <f>IF(ISBLANK('Data Entry'!$Ą$319), "", 'Data Entry'!$Ą$319)</f>
      </c>
      <c r="GO319">
        <f>IF(ISBLANK('Data Entry'!$ą$319), "", 'Data Entry'!$ą$319)</f>
      </c>
      <c r="GP319">
        <f>IF(ISBLANK('Data Entry'!$Ć$319), "", 'Data Entry'!$Ć$319)</f>
      </c>
      <c r="GQ319">
        <f>IF(ISBLANK('Data Entry'!$ć$319), "", 'Data Entry'!$ć$319)</f>
      </c>
      <c r="GR319">
        <f>IF(ISBLANK('Data Entry'!$Ĉ$319), "", 'Data Entry'!$Ĉ$319)</f>
      </c>
      <c r="GS319">
        <f>IF(ISBLANK('Data Entry'!$ĉ$319), "", 'Data Entry'!$ĉ$319)</f>
      </c>
      <c r="GT319">
        <f>IF(ISBLANK('Data Entry'!$Ċ$319), "", 'Data Entry'!$Ċ$319)</f>
      </c>
      <c r="GU319">
        <f>IF(ISBLANK('Data Entry'!$ċ$319), "", 'Data Entry'!$ċ$319)</f>
      </c>
      <c r="GV319">
        <f>IF(ISBLANK('Data Entry'!$Č$319), "", 'Data Entry'!$Č$319)</f>
      </c>
      <c r="GW319">
        <f>IF(ISBLANK('Data Entry'!$č$319), "", 'Data Entry'!$č$319)</f>
      </c>
      <c r="GX319">
        <f>IF(ISBLANK('Data Entry'!$Ď$319), "", 'Data Entry'!$Ď$319)</f>
      </c>
      <c r="GY319">
        <f>IF(ISBLANK('Data Entry'!$ď$319), "", 'Data Entry'!$ď$319)</f>
      </c>
      <c r="GZ319">
        <f>IF(ISBLANK('Data Entry'!$Đ$319), "", 'Data Entry'!$Đ$319)</f>
      </c>
      <c r="HA319">
        <f>IF(ISBLANK('Data Entry'!$đ$319), "", 'Data Entry'!$đ$319)</f>
      </c>
      <c r="HB319">
        <f>IF(ISBLANK('Data Entry'!$Ē$319), "", 'Data Entry'!$Ē$319)</f>
      </c>
      <c r="HC319">
        <f>IF(ISBLANK('Data Entry'!$ē$319), "", 'Data Entry'!$ē$319)</f>
      </c>
      <c r="HD319">
        <f>IF(ISBLANK('Data Entry'!$Ĕ$319), "", 'Data Entry'!$Ĕ$319)</f>
      </c>
      <c r="HE319">
        <f>IF(ISBLANK('Data Entry'!$ĕ$319), "", 'Data Entry'!$ĕ$319)</f>
      </c>
      <c r="HF319">
        <f>IF(ISBLANK('Data Entry'!$Ė$319), "", 'Data Entry'!$Ė$319)</f>
      </c>
      <c r="HG319">
        <f>IF(ISBLANK('Data Entry'!$ė$319), "", 'Data Entry'!$ė$319)</f>
      </c>
      <c r="HH319">
        <f>IF(ISBLANK('Data Entry'!$Ę$319), "", 'Data Entry'!$Ę$319)</f>
      </c>
      <c r="HI319">
        <f>IF(ISBLANK('Data Entry'!$ę$319), "", 'Data Entry'!$ę$319)</f>
      </c>
      <c r="HJ319">
        <f>IF(ISBLANK('Data Entry'!$Ě$319), "", 'Data Entry'!$Ě$319)</f>
      </c>
      <c r="HK319">
        <f>IF(ISBLANK('Data Entry'!$ě$319), "", 'Data Entry'!$ě$319)</f>
      </c>
      <c r="HL319">
        <f>IF(ISBLANK('Data Entry'!$Ĝ$319), "", 'Data Entry'!$Ĝ$319)</f>
      </c>
      <c r="HM319">
        <f>IF(ISBLANK('Data Entry'!$ĝ$319), "", 'Data Entry'!$ĝ$319)</f>
      </c>
      <c r="HN319">
        <f>IF(ISBLANK('Data Entry'!$Ğ$319), "", 'Data Entry'!$Ğ$319)</f>
      </c>
      <c r="HO319">
        <f>IF(ISBLANK('Data Entry'!$ğ$319), "", 'Data Entry'!$ğ$319)</f>
      </c>
      <c r="HP319">
        <f>IF(ISBLANK('Data Entry'!$Ġ$319), "", 'Data Entry'!$Ġ$319)</f>
      </c>
      <c r="HQ319">
        <f>IF(ISBLANK('Data Entry'!$ġ$319), "", 'Data Entry'!$ġ$319)</f>
      </c>
      <c r="HR319">
        <f>IF(ISBLANK('Data Entry'!$Ģ$319), "", 'Data Entry'!$Ģ$319)</f>
      </c>
      <c r="HS319">
        <f>IF(ISBLANK('Data Entry'!$ģ$319), "", 'Data Entry'!$ģ$319)</f>
      </c>
      <c r="HT319">
        <f>IF(ISBLANK('Data Entry'!$Ĥ$319), "", 'Data Entry'!$Ĥ$319)</f>
      </c>
      <c r="HU319">
        <f>IF(ISBLANK('Data Entry'!$ĥ$319), "", 'Data Entry'!$ĥ$319)</f>
      </c>
      <c r="HV319">
        <f>IF(ISBLANK('Data Entry'!$Ħ$319), "", 'Data Entry'!$Ħ$319)</f>
      </c>
      <c r="HW319">
        <f>IF(ISBLANK('Data Entry'!$ħ$319), "", 'Data Entry'!$ħ$319)</f>
      </c>
      <c r="HX319">
        <f>IF(ISBLANK('Data Entry'!$Ĩ$319), "", 'Data Entry'!$Ĩ$319)</f>
      </c>
      <c r="HY319">
        <f>IF(ISBLANK('Data Entry'!$ĩ$319), "", 'Data Entry'!$ĩ$319)</f>
      </c>
      <c r="HZ319">
        <f>IF(ISBLANK('Data Entry'!$Ī$319), "", 'Data Entry'!$Ī$319)</f>
      </c>
      <c r="IA319">
        <f>IF(ISBLANK('Data Entry'!$ī$319), "", 'Data Entry'!$ī$319)</f>
      </c>
      <c r="IB319">
        <f>IF(ISBLANK('Data Entry'!$Ĭ$319), "", 'Data Entry'!$Ĭ$319)</f>
      </c>
      <c r="IC319">
        <f>IF(ISBLANK('Data Entry'!$ĭ$319), "", 'Data Entry'!$ĭ$319)</f>
      </c>
      <c r="ID319">
        <f>IF(ISBLANK('Data Entry'!$Į$319), "", 'Data Entry'!$Į$319)</f>
      </c>
      <c r="IE319">
        <f>IF(ISBLANK('Data Entry'!$į$319), "", 'Data Entry'!$į$319)</f>
      </c>
      <c r="IF319">
        <f>IF(ISBLANK('Data Entry'!$İ$319), "", 'Data Entry'!$İ$319)</f>
      </c>
      <c r="IG319">
        <f>IF(ISBLANK('Data Entry'!$ı$319), "", 'Data Entry'!$ı$319)</f>
      </c>
      <c r="IH319">
        <f>IF(ISBLANK('Data Entry'!$Ĳ$319), "", 'Data Entry'!$Ĳ$319)</f>
      </c>
      <c r="II319">
        <f>IF(ISBLANK('Data Entry'!$ĳ$319), "", 'Data Entry'!$ĳ$319)</f>
      </c>
      <c r="IJ319">
        <f>IF(ISBLANK('Data Entry'!$Ĵ$319), "", 'Data Entry'!$Ĵ$319)</f>
      </c>
      <c r="IK319">
        <f>IF(ISBLANK('Data Entry'!$ĵ$319), "", 'Data Entry'!$ĵ$319)</f>
      </c>
      <c r="IL319">
        <f>IF(ISBLANK('Data Entry'!$Ķ$319), "", 'Data Entry'!$Ķ$319)</f>
      </c>
      <c r="IM319">
        <f>IF(ISBLANK('Data Entry'!$ķ$319), "", 'Data Entry'!$ķ$319)</f>
      </c>
      <c r="IN319">
        <f>IF(ISBLANK('Data Entry'!$ĸ$319), "", 'Data Entry'!$ĸ$319)</f>
      </c>
      <c r="IO319">
        <f>IF(ISBLANK('Data Entry'!$Ĺ$319), "", 'Data Entry'!$Ĺ$319)</f>
      </c>
      <c r="IP319">
        <f>IF(ISBLANK('Data Entry'!$ĺ$319), "", 'Data Entry'!$ĺ$319)</f>
      </c>
      <c r="IQ319">
        <f>IF(ISBLANK('Data Entry'!$Ļ$319), "", 'Data Entry'!$Ļ$319)</f>
      </c>
      <c r="IR319">
        <f>IF(ISBLANK('Data Entry'!$ļ$319), "", 'Data Entry'!$ļ$319)</f>
      </c>
      <c r="IS319">
        <f>IF(ISBLANK('Data Entry'!$Ľ$319), "", 'Data Entry'!$Ľ$319)</f>
      </c>
      <c r="IT319">
        <f>IF(ISBLANK('Data Entry'!$ľ$319), "", 'Data Entry'!$ľ$319)</f>
      </c>
    </row>
    <row r="320" spans="1:254" x14ac:dyDescent="0.25">
      <c r="A320">
        <f>IF(ISBLANK('Data Entry'!$A$320), "", 'Data Entry'!$A$320)</f>
      </c>
      <c r="B320">
        <f>IF(ISBLANK('Data Entry'!$B$320), "", 'Data Entry'!$B$320)</f>
      </c>
      <c r="C320">
        <f>IF(ISBLANK('Data Entry'!$C$320), "", 'Data Entry'!$C$320)</f>
      </c>
      <c r="D320">
        <f>IF(ISBLANK('Data Entry'!$D$320), "", 'Data Entry'!$D$320)</f>
      </c>
      <c r="E320">
        <f>IF(ISBLANK('Data Entry'!$E$320), "", 'Data Entry'!$E$320)</f>
      </c>
      <c r="F320">
        <f>IF(ISBLANK('Data Entry'!$F$320), "", 'Data Entry'!$F$320)</f>
      </c>
      <c r="G320">
        <f>IF(ISBLANK('Data Entry'!$G$320), "", 'Data Entry'!$G$320)</f>
      </c>
      <c r="H320">
        <f>IF(ISBLANK('Data Entry'!$H$320), "", 'Data Entry'!$H$320)</f>
      </c>
      <c r="I320">
        <f>IF(ISBLANK('Data Entry'!$I$320), "", 'Data Entry'!$I$320)</f>
      </c>
      <c r="J320">
        <f>IF(ISBLANK('Data Entry'!$J$320), "", 'Data Entry'!$J$320)</f>
      </c>
      <c r="K320">
        <f>IF(ISBLANK('Data Entry'!$K$320), "", 'Data Entry'!$K$320)</f>
      </c>
      <c r="L320">
        <f>IF(ISBLANK('Data Entry'!$L$320), "", 'Data Entry'!$L$320)</f>
      </c>
      <c r="M320">
        <f>IF(ISBLANK('Data Entry'!$M$320), "", 'Data Entry'!$M$320)</f>
      </c>
      <c r="N320">
        <f>IF(ISBLANK('Data Entry'!$N$320), "", 'Data Entry'!$N$320)</f>
      </c>
      <c r="O320">
        <f>IF(ISBLANK('Data Entry'!$O$320), "", 'Data Entry'!$O$320)</f>
      </c>
      <c r="P320">
        <f>IF(ISBLANK('Data Entry'!$P$320), "", 'Data Entry'!$P$320)</f>
      </c>
      <c r="Q320">
        <f>IF(ISBLANK('Data Entry'!$Q$320), "", 'Data Entry'!$Q$320)</f>
      </c>
      <c r="R320">
        <f>IF(ISBLANK('Data Entry'!$R$320), "", 'Data Entry'!$R$320)</f>
      </c>
      <c r="S320">
        <f>IF(ISBLANK('Data Entry'!$S$320), "", 'Data Entry'!$S$320)</f>
      </c>
      <c r="T320">
        <f>IF(ISBLANK('Data Entry'!$T$320), "", 'Data Entry'!$T$320)</f>
      </c>
      <c r="U320">
        <f>IF(ISBLANK('Data Entry'!$U$320), "", 'Data Entry'!$U$320)</f>
      </c>
      <c r="V320">
        <f>IF(ISBLANK('Data Entry'!$V$320), "", 'Data Entry'!$V$320)</f>
      </c>
      <c r="W320">
        <f>IF(ISBLANK('Data Entry'!$W$320), "", 'Data Entry'!$W$320)</f>
      </c>
      <c r="X320">
        <f>IF(ISBLANK('Data Entry'!$X$320), "", 'Data Entry'!$X$320)</f>
      </c>
      <c r="Y320">
        <f>IF(ISBLANK('Data Entry'!$Y$320), "", 'Data Entry'!$Y$320)</f>
      </c>
      <c r="Z320">
        <f>IF(ISBLANK('Data Entry'!$Z$320), "", 'Data Entry'!$Z$320)</f>
      </c>
      <c r="AA320">
        <f>IF(ISBLANK('Data Entry'!$[$320), "", 'Data Entry'!$[$320)</f>
      </c>
      <c r="AB320">
        <f>IF(ISBLANK('Data Entry'!$\$320), "", 'Data Entry'!$\$320)</f>
      </c>
      <c r="AC320">
        <f>IF(ISBLANK('Data Entry'!$]$320), "", 'Data Entry'!$]$320)</f>
      </c>
      <c r="AD320">
        <f>IF(ISBLANK('Data Entry'!$^$320), "", 'Data Entry'!$^$320)</f>
      </c>
      <c r="AE320">
        <f>IF(ISBLANK('Data Entry'!$_$320), "", 'Data Entry'!$_$320)</f>
      </c>
      <c r="AF320">
        <f>IF(ISBLANK('Data Entry'!$`$320), "", 'Data Entry'!$`$320)</f>
      </c>
      <c r="AG320">
        <f>IF(ISBLANK('Data Entry'!$a$320), "", 'Data Entry'!$a$320)</f>
      </c>
      <c r="AH320">
        <f>IF(ISBLANK('Data Entry'!$b$320), "", 'Data Entry'!$b$320)</f>
      </c>
      <c r="AI320">
        <f>IF(ISBLANK('Data Entry'!$c$320), "", 'Data Entry'!$c$320)</f>
      </c>
      <c r="AJ320">
        <f>IF(ISBLANK('Data Entry'!$d$320), "", 'Data Entry'!$d$320)</f>
      </c>
      <c r="AK320">
        <f>IF(ISBLANK('Data Entry'!$e$320), "", 'Data Entry'!$e$320)</f>
      </c>
      <c r="AL320">
        <f>IF(ISBLANK('Data Entry'!$f$320), "", 'Data Entry'!$f$320)</f>
      </c>
      <c r="AM320">
        <f>IF(ISBLANK('Data Entry'!$g$320), "", 'Data Entry'!$g$320)</f>
      </c>
      <c r="AN320">
        <f>IF(ISBLANK('Data Entry'!$h$320), "", 'Data Entry'!$h$320)</f>
      </c>
      <c r="AO320">
        <f>IF(ISBLANK('Data Entry'!$i$320), "", 'Data Entry'!$i$320)</f>
      </c>
      <c r="AP320">
        <f>IF(ISBLANK('Data Entry'!$j$320), "", 'Data Entry'!$j$320)</f>
      </c>
      <c r="AQ320">
        <f>IF(ISBLANK('Data Entry'!$k$320), "", 'Data Entry'!$k$320)</f>
      </c>
      <c r="AR320">
        <f>IF(ISBLANK('Data Entry'!$l$320), "", 'Data Entry'!$l$320)</f>
      </c>
      <c r="AS320">
        <f>IF(ISBLANK('Data Entry'!$m$320), "", 'Data Entry'!$m$320)</f>
      </c>
      <c r="AT320">
        <f>IF(ISBLANK('Data Entry'!$n$320), "", 'Data Entry'!$n$320)</f>
      </c>
      <c r="AU320">
        <f>IF(ISBLANK('Data Entry'!$o$320), "", 'Data Entry'!$o$320)</f>
      </c>
      <c r="AV320">
        <f>IF(ISBLANK('Data Entry'!$p$320), "", 'Data Entry'!$p$320)</f>
      </c>
      <c r="AW320">
        <f>IF(ISBLANK('Data Entry'!$q$320), "", 'Data Entry'!$q$320)</f>
      </c>
      <c r="AX320">
        <f>IF(ISBLANK('Data Entry'!$r$320), "", 'Data Entry'!$r$320)</f>
      </c>
      <c r="AY320">
        <f>IF(ISBLANK('Data Entry'!$s$320), "", 'Data Entry'!$s$320)</f>
      </c>
      <c r="AZ320">
        <f>IF(ISBLANK('Data Entry'!$t$320), "", 'Data Entry'!$t$320)</f>
      </c>
      <c r="BA320">
        <f>IF(ISBLANK('Data Entry'!$u$320), "", 'Data Entry'!$u$320)</f>
      </c>
      <c r="BB320">
        <f>IF(ISBLANK('Data Entry'!$v$320), "", 'Data Entry'!$v$320)</f>
      </c>
      <c r="BC320">
        <f>IF(ISBLANK('Data Entry'!$w$320), "", 'Data Entry'!$w$320)</f>
      </c>
      <c r="BD320">
        <f>IF(ISBLANK('Data Entry'!$x$320), "", 'Data Entry'!$x$320)</f>
      </c>
      <c r="BE320">
        <f>IF(ISBLANK('Data Entry'!$y$320), "", 'Data Entry'!$y$320)</f>
      </c>
      <c r="BF320">
        <f>IF(ISBLANK('Data Entry'!$z$320), "", 'Data Entry'!$z$320)</f>
      </c>
      <c r="BG320">
        <f>IF(ISBLANK('Data Entry'!${$320), "", 'Data Entry'!${$320)</f>
      </c>
      <c r="BH320">
        <f>IF(ISBLANK('Data Entry'!$|$320), "", 'Data Entry'!$|$320)</f>
      </c>
      <c r="BI320">
        <f>IF(ISBLANK('Data Entry'!$}$320), "", 'Data Entry'!$}$320)</f>
      </c>
      <c r="BJ320">
        <f>IF(ISBLANK('Data Entry'!$~$320), "", 'Data Entry'!$~$320)</f>
      </c>
      <c r="BK320">
        <f>IF(ISBLANK('Data Entry'!$$320), "", 'Data Entry'!$$320)</f>
      </c>
      <c r="BL320">
        <f>IF(ISBLANK('Data Entry'!$$320), "", 'Data Entry'!$$320)</f>
      </c>
      <c r="BM320">
        <f>IF(ISBLANK('Data Entry'!$$320), "", 'Data Entry'!$$320)</f>
      </c>
      <c r="BN320">
        <f>IF(ISBLANK('Data Entry'!$$320), "", 'Data Entry'!$$320)</f>
      </c>
      <c r="BO320">
        <f>IF(ISBLANK('Data Entry'!$$320), "", 'Data Entry'!$$320)</f>
      </c>
      <c r="BP320">
        <f>IF(ISBLANK('Data Entry'!$$320), "", 'Data Entry'!$$320)</f>
      </c>
      <c r="BQ320">
        <f>IF(ISBLANK('Data Entry'!$$320), "", 'Data Entry'!$$320)</f>
      </c>
      <c r="BR320">
        <f>IF(ISBLANK('Data Entry'!$$320), "", 'Data Entry'!$$320)</f>
      </c>
      <c r="BS320">
        <f>IF(ISBLANK('Data Entry'!$$320), "", 'Data Entry'!$$320)</f>
      </c>
      <c r="BT320">
        <f>IF(ISBLANK('Data Entry'!$$320), "", 'Data Entry'!$$320)</f>
      </c>
      <c r="BU320">
        <f>IF(ISBLANK('Data Entry'!$$320), "", 'Data Entry'!$$320)</f>
      </c>
      <c r="BV320">
        <f>IF(ISBLANK('Data Entry'!$$320), "", 'Data Entry'!$$320)</f>
      </c>
      <c r="BW320">
        <f>IF(ISBLANK('Data Entry'!$$320), "", 'Data Entry'!$$320)</f>
      </c>
      <c r="BX320">
        <f>IF(ISBLANK('Data Entry'!$$320), "", 'Data Entry'!$$320)</f>
      </c>
      <c r="BY320">
        <f>IF(ISBLANK('Data Entry'!$$320), "", 'Data Entry'!$$320)</f>
      </c>
      <c r="BZ320">
        <f>IF(ISBLANK('Data Entry'!$$320), "", 'Data Entry'!$$320)</f>
      </c>
      <c r="CA320">
        <f>IF(ISBLANK('Data Entry'!$$320), "", 'Data Entry'!$$320)</f>
      </c>
      <c r="CB320">
        <f>IF(ISBLANK('Data Entry'!$$320), "", 'Data Entry'!$$320)</f>
      </c>
      <c r="CC320">
        <f>IF(ISBLANK('Data Entry'!$$320), "", 'Data Entry'!$$320)</f>
      </c>
      <c r="CD320">
        <f>IF(ISBLANK('Data Entry'!$$320), "", 'Data Entry'!$$320)</f>
      </c>
      <c r="CE320">
        <f>IF(ISBLANK('Data Entry'!$$320), "", 'Data Entry'!$$320)</f>
      </c>
      <c r="CF320">
        <f>IF(ISBLANK('Data Entry'!$$320), "", 'Data Entry'!$$320)</f>
      </c>
      <c r="CG320">
        <f>IF(ISBLANK('Data Entry'!$$320), "", 'Data Entry'!$$320)</f>
      </c>
      <c r="CH320">
        <f>IF(ISBLANK('Data Entry'!$$320), "", 'Data Entry'!$$320)</f>
      </c>
      <c r="CI320">
        <f>IF(ISBLANK('Data Entry'!$$320), "", 'Data Entry'!$$320)</f>
      </c>
      <c r="CJ320">
        <f>IF(ISBLANK('Data Entry'!$$320), "", 'Data Entry'!$$320)</f>
      </c>
      <c r="CK320">
        <f>IF(ISBLANK('Data Entry'!$$320), "", 'Data Entry'!$$320)</f>
      </c>
      <c r="CL320">
        <f>IF(ISBLANK('Data Entry'!$$320), "", 'Data Entry'!$$320)</f>
      </c>
      <c r="CM320">
        <f>IF(ISBLANK('Data Entry'!$$320), "", 'Data Entry'!$$320)</f>
      </c>
      <c r="CN320">
        <f>IF(ISBLANK('Data Entry'!$$320), "", 'Data Entry'!$$320)</f>
      </c>
      <c r="CO320">
        <f>IF(ISBLANK('Data Entry'!$$320), "", 'Data Entry'!$$320)</f>
      </c>
      <c r="CP320">
        <f>IF(ISBLANK('Data Entry'!$$320), "", 'Data Entry'!$$320)</f>
      </c>
      <c r="CQ320">
        <f>IF(ISBLANK('Data Entry'!$$320), "", 'Data Entry'!$$320)</f>
      </c>
      <c r="CR320">
        <f>IF(ISBLANK('Data Entry'!$ $320), "", 'Data Entry'!$ $320)</f>
      </c>
      <c r="CS320">
        <f>IF(ISBLANK('Data Entry'!$¡$320), "", 'Data Entry'!$¡$320)</f>
      </c>
      <c r="CT320">
        <f>IF(ISBLANK('Data Entry'!$¢$320), "", 'Data Entry'!$¢$320)</f>
      </c>
      <c r="CU320">
        <f>IF(ISBLANK('Data Entry'!$£$320), "", 'Data Entry'!$£$320)</f>
      </c>
      <c r="CV320">
        <f>IF(ISBLANK('Data Entry'!$¤$320), "", 'Data Entry'!$¤$320)</f>
      </c>
      <c r="CW320">
        <f>IF(ISBLANK('Data Entry'!$¥$320), "", 'Data Entry'!$¥$320)</f>
      </c>
      <c r="CX320">
        <f>IF(ISBLANK('Data Entry'!$¦$320), "", 'Data Entry'!$¦$320)</f>
      </c>
      <c r="CY320">
        <f>IF(ISBLANK('Data Entry'!$§$320), "", 'Data Entry'!$§$320)</f>
      </c>
      <c r="CZ320">
        <f>IF(ISBLANK('Data Entry'!$¨$320), "", 'Data Entry'!$¨$320)</f>
      </c>
      <c r="DA320">
        <f>IF(ISBLANK('Data Entry'!$©$320), "", 'Data Entry'!$©$320)</f>
      </c>
      <c r="DB320">
        <f>IF(ISBLANK('Data Entry'!$ª$320), "", 'Data Entry'!$ª$320)</f>
      </c>
      <c r="DC320">
        <f>IF(ISBLANK('Data Entry'!$«$320), "", 'Data Entry'!$«$320)</f>
      </c>
      <c r="DD320">
        <f>IF(ISBLANK('Data Entry'!$¬$320), "", 'Data Entry'!$¬$320)</f>
      </c>
      <c r="DE320">
        <f>IF(ISBLANK('Data Entry'!$­$320), "", 'Data Entry'!$­$320)</f>
      </c>
      <c r="DF320">
        <f>IF(ISBLANK('Data Entry'!$®$320), "", 'Data Entry'!$®$320)</f>
      </c>
      <c r="DG320">
        <f>IF(ISBLANK('Data Entry'!$¯$320), "", 'Data Entry'!$¯$320)</f>
      </c>
      <c r="DH320">
        <f>IF(ISBLANK('Data Entry'!$°$320), "", 'Data Entry'!$°$320)</f>
      </c>
      <c r="DI320">
        <f>IF(ISBLANK('Data Entry'!$±$320), "", 'Data Entry'!$±$320)</f>
      </c>
      <c r="DJ320">
        <f>IF(ISBLANK('Data Entry'!$²$320), "", 'Data Entry'!$²$320)</f>
      </c>
      <c r="DK320">
        <f>IF(ISBLANK('Data Entry'!$³$320), "", 'Data Entry'!$³$320)</f>
      </c>
      <c r="DL320">
        <f>IF(ISBLANK('Data Entry'!$´$320), "", 'Data Entry'!$´$320)</f>
      </c>
      <c r="DM320">
        <f>IF(ISBLANK('Data Entry'!$µ$320), "", 'Data Entry'!$µ$320)</f>
      </c>
      <c r="DN320">
        <f>IF(ISBLANK('Data Entry'!$¶$320), "", 'Data Entry'!$¶$320)</f>
      </c>
      <c r="DO320">
        <f>IF(ISBLANK('Data Entry'!$·$320), "", 'Data Entry'!$·$320)</f>
      </c>
      <c r="DP320">
        <f>IF(ISBLANK('Data Entry'!$¸$320), "", 'Data Entry'!$¸$320)</f>
      </c>
      <c r="DQ320">
        <f>IF(ISBLANK('Data Entry'!$¹$320), "", 'Data Entry'!$¹$320)</f>
      </c>
      <c r="DR320">
        <f>IF(ISBLANK('Data Entry'!$º$320), "", 'Data Entry'!$º$320)</f>
      </c>
      <c r="DS320">
        <f>IF(ISBLANK('Data Entry'!$»$320), "", 'Data Entry'!$»$320)</f>
      </c>
      <c r="DT320">
        <f>IF(ISBLANK('Data Entry'!$¼$320), "", 'Data Entry'!$¼$320)</f>
      </c>
      <c r="DU320">
        <f>IF(ISBLANK('Data Entry'!$½$320), "", 'Data Entry'!$½$320)</f>
      </c>
      <c r="DV320">
        <f>IF(ISBLANK('Data Entry'!$¾$320), "", 'Data Entry'!$¾$320)</f>
      </c>
      <c r="DW320">
        <f>IF(ISBLANK('Data Entry'!$¿$320), "", 'Data Entry'!$¿$320)</f>
      </c>
      <c r="DX320">
        <f>IF(ISBLANK('Data Entry'!$À$320), "", 'Data Entry'!$À$320)</f>
      </c>
      <c r="DY320">
        <f>IF(ISBLANK('Data Entry'!$Á$320), "", 'Data Entry'!$Á$320)</f>
      </c>
      <c r="DZ320">
        <f>IF(ISBLANK('Data Entry'!$Â$320), "", 'Data Entry'!$Â$320)</f>
      </c>
      <c r="EA320">
        <f>IF(ISBLANK('Data Entry'!$Ã$320), "", 'Data Entry'!$Ã$320)</f>
      </c>
      <c r="EB320">
        <f>IF(ISBLANK('Data Entry'!$Ä$320), "", 'Data Entry'!$Ä$320)</f>
      </c>
      <c r="EC320">
        <f>IF(ISBLANK('Data Entry'!$Å$320), "", 'Data Entry'!$Å$320)</f>
      </c>
      <c r="ED320">
        <f>IF(ISBLANK('Data Entry'!$Æ$320), "", 'Data Entry'!$Æ$320)</f>
      </c>
      <c r="EE320">
        <f>IF(ISBLANK('Data Entry'!$Ç$320), "", 'Data Entry'!$Ç$320)</f>
      </c>
      <c r="EF320">
        <f>IF(ISBLANK('Data Entry'!$È$320), "", 'Data Entry'!$È$320)</f>
      </c>
      <c r="EG320">
        <f>IF(ISBLANK('Data Entry'!$É$320), "", 'Data Entry'!$É$320)</f>
      </c>
      <c r="EH320">
        <f>IF(ISBLANK('Data Entry'!$Ê$320), "", 'Data Entry'!$Ê$320)</f>
      </c>
      <c r="EI320">
        <f>IF(ISBLANK('Data Entry'!$Ë$320), "", 'Data Entry'!$Ë$320)</f>
      </c>
      <c r="EJ320">
        <f>IF(ISBLANK('Data Entry'!$Ì$320), "", 'Data Entry'!$Ì$320)</f>
      </c>
      <c r="EK320">
        <f>IF(ISBLANK('Data Entry'!$Í$320), "", 'Data Entry'!$Í$320)</f>
      </c>
      <c r="EL320">
        <f>IF(ISBLANK('Data Entry'!$Î$320), "", 'Data Entry'!$Î$320)</f>
      </c>
      <c r="EM320">
        <f>IF(ISBLANK('Data Entry'!$Ï$320), "", 'Data Entry'!$Ï$320)</f>
      </c>
      <c r="EN320">
        <f>IF(ISBLANK('Data Entry'!$Ð$320), "", 'Data Entry'!$Ð$320)</f>
      </c>
      <c r="EO320">
        <f>IF(ISBLANK('Data Entry'!$Ñ$320), "", 'Data Entry'!$Ñ$320)</f>
      </c>
      <c r="EP320">
        <f>IF(ISBLANK('Data Entry'!$Ò$320), "", 'Data Entry'!$Ò$320)</f>
      </c>
      <c r="EQ320">
        <f>IF(ISBLANK('Data Entry'!$Ó$320), "", 'Data Entry'!$Ó$320)</f>
      </c>
      <c r="ER320">
        <f>IF(ISBLANK('Data Entry'!$Ô$320), "", 'Data Entry'!$Ô$320)</f>
      </c>
      <c r="ES320">
        <f>IF(ISBLANK('Data Entry'!$Õ$320), "", 'Data Entry'!$Õ$320)</f>
      </c>
      <c r="ET320">
        <f>IF(ISBLANK('Data Entry'!$Ö$320), "", 'Data Entry'!$Ö$320)</f>
      </c>
      <c r="EU320">
        <f>IF(ISBLANK('Data Entry'!$×$320), "", 'Data Entry'!$×$320)</f>
      </c>
      <c r="EV320">
        <f>IF(ISBLANK('Data Entry'!$Ø$320), "", 'Data Entry'!$Ø$320)</f>
      </c>
      <c r="EW320">
        <f>IF(ISBLANK('Data Entry'!$Ù$320), "", 'Data Entry'!$Ù$320)</f>
      </c>
      <c r="EX320">
        <f>IF(ISBLANK('Data Entry'!$Ú$320), "", 'Data Entry'!$Ú$320)</f>
      </c>
      <c r="EY320">
        <f>IF(ISBLANK('Data Entry'!$Û$320), "", 'Data Entry'!$Û$320)</f>
      </c>
      <c r="EZ320">
        <f>IF(ISBLANK('Data Entry'!$Ü$320), "", 'Data Entry'!$Ü$320)</f>
      </c>
      <c r="FA320">
        <f>IF(ISBLANK('Data Entry'!$Ý$320), "", 'Data Entry'!$Ý$320)</f>
      </c>
      <c r="FB320">
        <f>IF(ISBLANK('Data Entry'!$Þ$320), "", 'Data Entry'!$Þ$320)</f>
      </c>
      <c r="FC320">
        <f>IF(ISBLANK('Data Entry'!$ß$320), "", 'Data Entry'!$ß$320)</f>
      </c>
      <c r="FD320">
        <f>IF(ISBLANK('Data Entry'!$à$320), "", 'Data Entry'!$à$320)</f>
      </c>
      <c r="FE320">
        <f>IF(ISBLANK('Data Entry'!$á$320), "", 'Data Entry'!$á$320)</f>
      </c>
      <c r="FF320">
        <f>IF(ISBLANK('Data Entry'!$â$320), "", 'Data Entry'!$â$320)</f>
      </c>
      <c r="FG320">
        <f>IF(ISBLANK('Data Entry'!$ã$320), "", 'Data Entry'!$ã$320)</f>
      </c>
      <c r="FH320">
        <f>IF(ISBLANK('Data Entry'!$ä$320), "", 'Data Entry'!$ä$320)</f>
      </c>
      <c r="FI320">
        <f>IF(ISBLANK('Data Entry'!$å$320), "", 'Data Entry'!$å$320)</f>
      </c>
      <c r="FJ320">
        <f>IF(ISBLANK('Data Entry'!$æ$320), "", 'Data Entry'!$æ$320)</f>
      </c>
      <c r="FK320">
        <f>IF(ISBLANK('Data Entry'!$ç$320), "", 'Data Entry'!$ç$320)</f>
      </c>
      <c r="FL320">
        <f>IF(ISBLANK('Data Entry'!$è$320), "", 'Data Entry'!$è$320)</f>
      </c>
      <c r="FM320">
        <f>IF(ISBLANK('Data Entry'!$é$320), "", 'Data Entry'!$é$320)</f>
      </c>
      <c r="FN320">
        <f>IF(ISBLANK('Data Entry'!$ê$320), "", 'Data Entry'!$ê$320)</f>
      </c>
      <c r="FO320">
        <f>IF(ISBLANK('Data Entry'!$ë$320), "", 'Data Entry'!$ë$320)</f>
      </c>
      <c r="FP320">
        <f>IF(ISBLANK('Data Entry'!$ì$320), "", 'Data Entry'!$ì$320)</f>
      </c>
      <c r="FQ320">
        <f>IF(ISBLANK('Data Entry'!$í$320), "", 'Data Entry'!$í$320)</f>
      </c>
      <c r="FR320">
        <f>IF(ISBLANK('Data Entry'!$î$320), "", 'Data Entry'!$î$320)</f>
      </c>
      <c r="FS320">
        <f>IF(ISBLANK('Data Entry'!$ï$320), "", 'Data Entry'!$ï$320)</f>
      </c>
      <c r="FT320">
        <f>IF(ISBLANK('Data Entry'!$ð$320), "", 'Data Entry'!$ð$320)</f>
      </c>
      <c r="FU320">
        <f>IF(ISBLANK('Data Entry'!$ñ$320), "", 'Data Entry'!$ñ$320)</f>
      </c>
      <c r="FV320">
        <f>IF(ISBLANK('Data Entry'!$ò$320), "", 'Data Entry'!$ò$320)</f>
      </c>
      <c r="FW320">
        <f>IF(ISBLANK('Data Entry'!$ó$320), "", 'Data Entry'!$ó$320)</f>
      </c>
      <c r="FX320">
        <f>IF(ISBLANK('Data Entry'!$ô$320), "", 'Data Entry'!$ô$320)</f>
      </c>
      <c r="FY320">
        <f>IF(ISBLANK('Data Entry'!$õ$320), "", 'Data Entry'!$õ$320)</f>
      </c>
      <c r="FZ320">
        <f>IF(ISBLANK('Data Entry'!$ö$320), "", 'Data Entry'!$ö$320)</f>
      </c>
      <c r="GA320">
        <f>IF(ISBLANK('Data Entry'!$÷$320), "", 'Data Entry'!$÷$320)</f>
      </c>
      <c r="GB320">
        <f>IF(ISBLANK('Data Entry'!$ø$320), "", 'Data Entry'!$ø$320)</f>
      </c>
      <c r="GC320">
        <f>IF(ISBLANK('Data Entry'!$ù$320), "", 'Data Entry'!$ù$320)</f>
      </c>
      <c r="GD320">
        <f>IF(ISBLANK('Data Entry'!$ú$320), "", 'Data Entry'!$ú$320)</f>
      </c>
      <c r="GE320">
        <f>IF(ISBLANK('Data Entry'!$û$320), "", 'Data Entry'!$û$320)</f>
      </c>
      <c r="GF320">
        <f>IF(ISBLANK('Data Entry'!$ü$320), "", 'Data Entry'!$ü$320)</f>
      </c>
      <c r="GG320">
        <f>IF(ISBLANK('Data Entry'!$ý$320), "", 'Data Entry'!$ý$320)</f>
      </c>
      <c r="GH320">
        <f>IF(ISBLANK('Data Entry'!$þ$320), "", 'Data Entry'!$þ$320)</f>
      </c>
      <c r="GI320">
        <f>IF(ISBLANK('Data Entry'!$ÿ$320), "", 'Data Entry'!$ÿ$320)</f>
      </c>
      <c r="GJ320">
        <f>IF(ISBLANK('Data Entry'!$Ā$320), "", 'Data Entry'!$Ā$320)</f>
      </c>
      <c r="GK320">
        <f>IF(ISBLANK('Data Entry'!$ā$320), "", 'Data Entry'!$ā$320)</f>
      </c>
      <c r="GL320">
        <f>IF(ISBLANK('Data Entry'!$Ă$320), "", 'Data Entry'!$Ă$320)</f>
      </c>
      <c r="GM320">
        <f>IF(ISBLANK('Data Entry'!$ă$320), "", 'Data Entry'!$ă$320)</f>
      </c>
      <c r="GN320">
        <f>IF(ISBLANK('Data Entry'!$Ą$320), "", 'Data Entry'!$Ą$320)</f>
      </c>
      <c r="GO320">
        <f>IF(ISBLANK('Data Entry'!$ą$320), "", 'Data Entry'!$ą$320)</f>
      </c>
      <c r="GP320">
        <f>IF(ISBLANK('Data Entry'!$Ć$320), "", 'Data Entry'!$Ć$320)</f>
      </c>
      <c r="GQ320">
        <f>IF(ISBLANK('Data Entry'!$ć$320), "", 'Data Entry'!$ć$320)</f>
      </c>
      <c r="GR320">
        <f>IF(ISBLANK('Data Entry'!$Ĉ$320), "", 'Data Entry'!$Ĉ$320)</f>
      </c>
      <c r="GS320">
        <f>IF(ISBLANK('Data Entry'!$ĉ$320), "", 'Data Entry'!$ĉ$320)</f>
      </c>
      <c r="GT320">
        <f>IF(ISBLANK('Data Entry'!$Ċ$320), "", 'Data Entry'!$Ċ$320)</f>
      </c>
      <c r="GU320">
        <f>IF(ISBLANK('Data Entry'!$ċ$320), "", 'Data Entry'!$ċ$320)</f>
      </c>
      <c r="GV320">
        <f>IF(ISBLANK('Data Entry'!$Č$320), "", 'Data Entry'!$Č$320)</f>
      </c>
      <c r="GW320">
        <f>IF(ISBLANK('Data Entry'!$č$320), "", 'Data Entry'!$č$320)</f>
      </c>
      <c r="GX320">
        <f>IF(ISBLANK('Data Entry'!$Ď$320), "", 'Data Entry'!$Ď$320)</f>
      </c>
      <c r="GY320">
        <f>IF(ISBLANK('Data Entry'!$ď$320), "", 'Data Entry'!$ď$320)</f>
      </c>
      <c r="GZ320">
        <f>IF(ISBLANK('Data Entry'!$Đ$320), "", 'Data Entry'!$Đ$320)</f>
      </c>
      <c r="HA320">
        <f>IF(ISBLANK('Data Entry'!$đ$320), "", 'Data Entry'!$đ$320)</f>
      </c>
      <c r="HB320">
        <f>IF(ISBLANK('Data Entry'!$Ē$320), "", 'Data Entry'!$Ē$320)</f>
      </c>
      <c r="HC320">
        <f>IF(ISBLANK('Data Entry'!$ē$320), "", 'Data Entry'!$ē$320)</f>
      </c>
      <c r="HD320">
        <f>IF(ISBLANK('Data Entry'!$Ĕ$320), "", 'Data Entry'!$Ĕ$320)</f>
      </c>
      <c r="HE320">
        <f>IF(ISBLANK('Data Entry'!$ĕ$320), "", 'Data Entry'!$ĕ$320)</f>
      </c>
      <c r="HF320">
        <f>IF(ISBLANK('Data Entry'!$Ė$320), "", 'Data Entry'!$Ė$320)</f>
      </c>
      <c r="HG320">
        <f>IF(ISBLANK('Data Entry'!$ė$320), "", 'Data Entry'!$ė$320)</f>
      </c>
      <c r="HH320">
        <f>IF(ISBLANK('Data Entry'!$Ę$320), "", 'Data Entry'!$Ę$320)</f>
      </c>
      <c r="HI320">
        <f>IF(ISBLANK('Data Entry'!$ę$320), "", 'Data Entry'!$ę$320)</f>
      </c>
      <c r="HJ320">
        <f>IF(ISBLANK('Data Entry'!$Ě$320), "", 'Data Entry'!$Ě$320)</f>
      </c>
      <c r="HK320">
        <f>IF(ISBLANK('Data Entry'!$ě$320), "", 'Data Entry'!$ě$320)</f>
      </c>
      <c r="HL320">
        <f>IF(ISBLANK('Data Entry'!$Ĝ$320), "", 'Data Entry'!$Ĝ$320)</f>
      </c>
      <c r="HM320">
        <f>IF(ISBLANK('Data Entry'!$ĝ$320), "", 'Data Entry'!$ĝ$320)</f>
      </c>
      <c r="HN320">
        <f>IF(ISBLANK('Data Entry'!$Ğ$320), "", 'Data Entry'!$Ğ$320)</f>
      </c>
      <c r="HO320">
        <f>IF(ISBLANK('Data Entry'!$ğ$320), "", 'Data Entry'!$ğ$320)</f>
      </c>
      <c r="HP320">
        <f>IF(ISBLANK('Data Entry'!$Ġ$320), "", 'Data Entry'!$Ġ$320)</f>
      </c>
      <c r="HQ320">
        <f>IF(ISBLANK('Data Entry'!$ġ$320), "", 'Data Entry'!$ġ$320)</f>
      </c>
      <c r="HR320">
        <f>IF(ISBLANK('Data Entry'!$Ģ$320), "", 'Data Entry'!$Ģ$320)</f>
      </c>
      <c r="HS320">
        <f>IF(ISBLANK('Data Entry'!$ģ$320), "", 'Data Entry'!$ģ$320)</f>
      </c>
      <c r="HT320">
        <f>IF(ISBLANK('Data Entry'!$Ĥ$320), "", 'Data Entry'!$Ĥ$320)</f>
      </c>
      <c r="HU320">
        <f>IF(ISBLANK('Data Entry'!$ĥ$320), "", 'Data Entry'!$ĥ$320)</f>
      </c>
      <c r="HV320">
        <f>IF(ISBLANK('Data Entry'!$Ħ$320), "", 'Data Entry'!$Ħ$320)</f>
      </c>
      <c r="HW320">
        <f>IF(ISBLANK('Data Entry'!$ħ$320), "", 'Data Entry'!$ħ$320)</f>
      </c>
      <c r="HX320">
        <f>IF(ISBLANK('Data Entry'!$Ĩ$320), "", 'Data Entry'!$Ĩ$320)</f>
      </c>
      <c r="HY320">
        <f>IF(ISBLANK('Data Entry'!$ĩ$320), "", 'Data Entry'!$ĩ$320)</f>
      </c>
      <c r="HZ320">
        <f>IF(ISBLANK('Data Entry'!$Ī$320), "", 'Data Entry'!$Ī$320)</f>
      </c>
      <c r="IA320">
        <f>IF(ISBLANK('Data Entry'!$ī$320), "", 'Data Entry'!$ī$320)</f>
      </c>
      <c r="IB320">
        <f>IF(ISBLANK('Data Entry'!$Ĭ$320), "", 'Data Entry'!$Ĭ$320)</f>
      </c>
      <c r="IC320">
        <f>IF(ISBLANK('Data Entry'!$ĭ$320), "", 'Data Entry'!$ĭ$320)</f>
      </c>
      <c r="ID320">
        <f>IF(ISBLANK('Data Entry'!$Į$320), "", 'Data Entry'!$Į$320)</f>
      </c>
      <c r="IE320">
        <f>IF(ISBLANK('Data Entry'!$į$320), "", 'Data Entry'!$į$320)</f>
      </c>
      <c r="IF320">
        <f>IF(ISBLANK('Data Entry'!$İ$320), "", 'Data Entry'!$İ$320)</f>
      </c>
      <c r="IG320">
        <f>IF(ISBLANK('Data Entry'!$ı$320), "", 'Data Entry'!$ı$320)</f>
      </c>
      <c r="IH320">
        <f>IF(ISBLANK('Data Entry'!$Ĳ$320), "", 'Data Entry'!$Ĳ$320)</f>
      </c>
      <c r="II320">
        <f>IF(ISBLANK('Data Entry'!$ĳ$320), "", 'Data Entry'!$ĳ$320)</f>
      </c>
      <c r="IJ320">
        <f>IF(ISBLANK('Data Entry'!$Ĵ$320), "", 'Data Entry'!$Ĵ$320)</f>
      </c>
      <c r="IK320">
        <f>IF(ISBLANK('Data Entry'!$ĵ$320), "", 'Data Entry'!$ĵ$320)</f>
      </c>
      <c r="IL320">
        <f>IF(ISBLANK('Data Entry'!$Ķ$320), "", 'Data Entry'!$Ķ$320)</f>
      </c>
      <c r="IM320">
        <f>IF(ISBLANK('Data Entry'!$ķ$320), "", 'Data Entry'!$ķ$320)</f>
      </c>
      <c r="IN320">
        <f>IF(ISBLANK('Data Entry'!$ĸ$320), "", 'Data Entry'!$ĸ$320)</f>
      </c>
      <c r="IO320">
        <f>IF(ISBLANK('Data Entry'!$Ĺ$320), "", 'Data Entry'!$Ĺ$320)</f>
      </c>
      <c r="IP320">
        <f>IF(ISBLANK('Data Entry'!$ĺ$320), "", 'Data Entry'!$ĺ$320)</f>
      </c>
      <c r="IQ320">
        <f>IF(ISBLANK('Data Entry'!$Ļ$320), "", 'Data Entry'!$Ļ$320)</f>
      </c>
      <c r="IR320">
        <f>IF(ISBLANK('Data Entry'!$ļ$320), "", 'Data Entry'!$ļ$320)</f>
      </c>
      <c r="IS320">
        <f>IF(ISBLANK('Data Entry'!$Ľ$320), "", 'Data Entry'!$Ľ$320)</f>
      </c>
      <c r="IT320">
        <f>IF(ISBLANK('Data Entry'!$ľ$320), "", 'Data Entry'!$ľ$320)</f>
      </c>
    </row>
    <row r="321" spans="1:254" x14ac:dyDescent="0.25">
      <c r="A321">
        <f>IF(ISBLANK('Data Entry'!$A$321), "", 'Data Entry'!$A$321)</f>
      </c>
      <c r="B321">
        <f>IF(ISBLANK('Data Entry'!$B$321), "", 'Data Entry'!$B$321)</f>
      </c>
      <c r="C321">
        <f>IF(ISBLANK('Data Entry'!$C$321), "", 'Data Entry'!$C$321)</f>
      </c>
      <c r="D321">
        <f>IF(ISBLANK('Data Entry'!$D$321), "", 'Data Entry'!$D$321)</f>
      </c>
      <c r="E321">
        <f>IF(ISBLANK('Data Entry'!$E$321), "", 'Data Entry'!$E$321)</f>
      </c>
      <c r="F321">
        <f>IF(ISBLANK('Data Entry'!$F$321), "", 'Data Entry'!$F$321)</f>
      </c>
      <c r="G321">
        <f>IF(ISBLANK('Data Entry'!$G$321), "", 'Data Entry'!$G$321)</f>
      </c>
      <c r="H321">
        <f>IF(ISBLANK('Data Entry'!$H$321), "", 'Data Entry'!$H$321)</f>
      </c>
      <c r="I321">
        <f>IF(ISBLANK('Data Entry'!$I$321), "", 'Data Entry'!$I$321)</f>
      </c>
      <c r="J321">
        <f>IF(ISBLANK('Data Entry'!$J$321), "", 'Data Entry'!$J$321)</f>
      </c>
      <c r="K321">
        <f>IF(ISBLANK('Data Entry'!$K$321), "", 'Data Entry'!$K$321)</f>
      </c>
      <c r="L321">
        <f>IF(ISBLANK('Data Entry'!$L$321), "", 'Data Entry'!$L$321)</f>
      </c>
      <c r="M321">
        <f>IF(ISBLANK('Data Entry'!$M$321), "", 'Data Entry'!$M$321)</f>
      </c>
      <c r="N321">
        <f>IF(ISBLANK('Data Entry'!$N$321), "", 'Data Entry'!$N$321)</f>
      </c>
      <c r="O321">
        <f>IF(ISBLANK('Data Entry'!$O$321), "", 'Data Entry'!$O$321)</f>
      </c>
      <c r="P321">
        <f>IF(ISBLANK('Data Entry'!$P$321), "", 'Data Entry'!$P$321)</f>
      </c>
      <c r="Q321">
        <f>IF(ISBLANK('Data Entry'!$Q$321), "", 'Data Entry'!$Q$321)</f>
      </c>
      <c r="R321">
        <f>IF(ISBLANK('Data Entry'!$R$321), "", 'Data Entry'!$R$321)</f>
      </c>
      <c r="S321">
        <f>IF(ISBLANK('Data Entry'!$S$321), "", 'Data Entry'!$S$321)</f>
      </c>
      <c r="T321">
        <f>IF(ISBLANK('Data Entry'!$T$321), "", 'Data Entry'!$T$321)</f>
      </c>
      <c r="U321">
        <f>IF(ISBLANK('Data Entry'!$U$321), "", 'Data Entry'!$U$321)</f>
      </c>
      <c r="V321">
        <f>IF(ISBLANK('Data Entry'!$V$321), "", 'Data Entry'!$V$321)</f>
      </c>
      <c r="W321">
        <f>IF(ISBLANK('Data Entry'!$W$321), "", 'Data Entry'!$W$321)</f>
      </c>
      <c r="X321">
        <f>IF(ISBLANK('Data Entry'!$X$321), "", 'Data Entry'!$X$321)</f>
      </c>
      <c r="Y321">
        <f>IF(ISBLANK('Data Entry'!$Y$321), "", 'Data Entry'!$Y$321)</f>
      </c>
      <c r="Z321">
        <f>IF(ISBLANK('Data Entry'!$Z$321), "", 'Data Entry'!$Z$321)</f>
      </c>
      <c r="AA321">
        <f>IF(ISBLANK('Data Entry'!$[$321), "", 'Data Entry'!$[$321)</f>
      </c>
      <c r="AB321">
        <f>IF(ISBLANK('Data Entry'!$\$321), "", 'Data Entry'!$\$321)</f>
      </c>
      <c r="AC321">
        <f>IF(ISBLANK('Data Entry'!$]$321), "", 'Data Entry'!$]$321)</f>
      </c>
      <c r="AD321">
        <f>IF(ISBLANK('Data Entry'!$^$321), "", 'Data Entry'!$^$321)</f>
      </c>
      <c r="AE321">
        <f>IF(ISBLANK('Data Entry'!$_$321), "", 'Data Entry'!$_$321)</f>
      </c>
      <c r="AF321">
        <f>IF(ISBLANK('Data Entry'!$`$321), "", 'Data Entry'!$`$321)</f>
      </c>
      <c r="AG321">
        <f>IF(ISBLANK('Data Entry'!$a$321), "", 'Data Entry'!$a$321)</f>
      </c>
      <c r="AH321">
        <f>IF(ISBLANK('Data Entry'!$b$321), "", 'Data Entry'!$b$321)</f>
      </c>
      <c r="AI321">
        <f>IF(ISBLANK('Data Entry'!$c$321), "", 'Data Entry'!$c$321)</f>
      </c>
      <c r="AJ321">
        <f>IF(ISBLANK('Data Entry'!$d$321), "", 'Data Entry'!$d$321)</f>
      </c>
      <c r="AK321">
        <f>IF(ISBLANK('Data Entry'!$e$321), "", 'Data Entry'!$e$321)</f>
      </c>
      <c r="AL321">
        <f>IF(ISBLANK('Data Entry'!$f$321), "", 'Data Entry'!$f$321)</f>
      </c>
      <c r="AM321">
        <f>IF(ISBLANK('Data Entry'!$g$321), "", 'Data Entry'!$g$321)</f>
      </c>
      <c r="AN321">
        <f>IF(ISBLANK('Data Entry'!$h$321), "", 'Data Entry'!$h$321)</f>
      </c>
      <c r="AO321">
        <f>IF(ISBLANK('Data Entry'!$i$321), "", 'Data Entry'!$i$321)</f>
      </c>
      <c r="AP321">
        <f>IF(ISBLANK('Data Entry'!$j$321), "", 'Data Entry'!$j$321)</f>
      </c>
      <c r="AQ321">
        <f>IF(ISBLANK('Data Entry'!$k$321), "", 'Data Entry'!$k$321)</f>
      </c>
      <c r="AR321">
        <f>IF(ISBLANK('Data Entry'!$l$321), "", 'Data Entry'!$l$321)</f>
      </c>
      <c r="AS321">
        <f>IF(ISBLANK('Data Entry'!$m$321), "", 'Data Entry'!$m$321)</f>
      </c>
      <c r="AT321">
        <f>IF(ISBLANK('Data Entry'!$n$321), "", 'Data Entry'!$n$321)</f>
      </c>
      <c r="AU321">
        <f>IF(ISBLANK('Data Entry'!$o$321), "", 'Data Entry'!$o$321)</f>
      </c>
      <c r="AV321">
        <f>IF(ISBLANK('Data Entry'!$p$321), "", 'Data Entry'!$p$321)</f>
      </c>
      <c r="AW321">
        <f>IF(ISBLANK('Data Entry'!$q$321), "", 'Data Entry'!$q$321)</f>
      </c>
      <c r="AX321">
        <f>IF(ISBLANK('Data Entry'!$r$321), "", 'Data Entry'!$r$321)</f>
      </c>
      <c r="AY321">
        <f>IF(ISBLANK('Data Entry'!$s$321), "", 'Data Entry'!$s$321)</f>
      </c>
      <c r="AZ321">
        <f>IF(ISBLANK('Data Entry'!$t$321), "", 'Data Entry'!$t$321)</f>
      </c>
      <c r="BA321">
        <f>IF(ISBLANK('Data Entry'!$u$321), "", 'Data Entry'!$u$321)</f>
      </c>
      <c r="BB321">
        <f>IF(ISBLANK('Data Entry'!$v$321), "", 'Data Entry'!$v$321)</f>
      </c>
      <c r="BC321">
        <f>IF(ISBLANK('Data Entry'!$w$321), "", 'Data Entry'!$w$321)</f>
      </c>
      <c r="BD321">
        <f>IF(ISBLANK('Data Entry'!$x$321), "", 'Data Entry'!$x$321)</f>
      </c>
      <c r="BE321">
        <f>IF(ISBLANK('Data Entry'!$y$321), "", 'Data Entry'!$y$321)</f>
      </c>
      <c r="BF321">
        <f>IF(ISBLANK('Data Entry'!$z$321), "", 'Data Entry'!$z$321)</f>
      </c>
      <c r="BG321">
        <f>IF(ISBLANK('Data Entry'!${$321), "", 'Data Entry'!${$321)</f>
      </c>
      <c r="BH321">
        <f>IF(ISBLANK('Data Entry'!$|$321), "", 'Data Entry'!$|$321)</f>
      </c>
      <c r="BI321">
        <f>IF(ISBLANK('Data Entry'!$}$321), "", 'Data Entry'!$}$321)</f>
      </c>
      <c r="BJ321">
        <f>IF(ISBLANK('Data Entry'!$~$321), "", 'Data Entry'!$~$321)</f>
      </c>
      <c r="BK321">
        <f>IF(ISBLANK('Data Entry'!$$321), "", 'Data Entry'!$$321)</f>
      </c>
      <c r="BL321">
        <f>IF(ISBLANK('Data Entry'!$$321), "", 'Data Entry'!$$321)</f>
      </c>
      <c r="BM321">
        <f>IF(ISBLANK('Data Entry'!$$321), "", 'Data Entry'!$$321)</f>
      </c>
      <c r="BN321">
        <f>IF(ISBLANK('Data Entry'!$$321), "", 'Data Entry'!$$321)</f>
      </c>
      <c r="BO321">
        <f>IF(ISBLANK('Data Entry'!$$321), "", 'Data Entry'!$$321)</f>
      </c>
      <c r="BP321">
        <f>IF(ISBLANK('Data Entry'!$$321), "", 'Data Entry'!$$321)</f>
      </c>
      <c r="BQ321">
        <f>IF(ISBLANK('Data Entry'!$$321), "", 'Data Entry'!$$321)</f>
      </c>
      <c r="BR321">
        <f>IF(ISBLANK('Data Entry'!$$321), "", 'Data Entry'!$$321)</f>
      </c>
      <c r="BS321">
        <f>IF(ISBLANK('Data Entry'!$$321), "", 'Data Entry'!$$321)</f>
      </c>
      <c r="BT321">
        <f>IF(ISBLANK('Data Entry'!$$321), "", 'Data Entry'!$$321)</f>
      </c>
      <c r="BU321">
        <f>IF(ISBLANK('Data Entry'!$$321), "", 'Data Entry'!$$321)</f>
      </c>
      <c r="BV321">
        <f>IF(ISBLANK('Data Entry'!$$321), "", 'Data Entry'!$$321)</f>
      </c>
      <c r="BW321">
        <f>IF(ISBLANK('Data Entry'!$$321), "", 'Data Entry'!$$321)</f>
      </c>
      <c r="BX321">
        <f>IF(ISBLANK('Data Entry'!$$321), "", 'Data Entry'!$$321)</f>
      </c>
      <c r="BY321">
        <f>IF(ISBLANK('Data Entry'!$$321), "", 'Data Entry'!$$321)</f>
      </c>
      <c r="BZ321">
        <f>IF(ISBLANK('Data Entry'!$$321), "", 'Data Entry'!$$321)</f>
      </c>
      <c r="CA321">
        <f>IF(ISBLANK('Data Entry'!$$321), "", 'Data Entry'!$$321)</f>
      </c>
      <c r="CB321">
        <f>IF(ISBLANK('Data Entry'!$$321), "", 'Data Entry'!$$321)</f>
      </c>
      <c r="CC321">
        <f>IF(ISBLANK('Data Entry'!$$321), "", 'Data Entry'!$$321)</f>
      </c>
      <c r="CD321">
        <f>IF(ISBLANK('Data Entry'!$$321), "", 'Data Entry'!$$321)</f>
      </c>
      <c r="CE321">
        <f>IF(ISBLANK('Data Entry'!$$321), "", 'Data Entry'!$$321)</f>
      </c>
      <c r="CF321">
        <f>IF(ISBLANK('Data Entry'!$$321), "", 'Data Entry'!$$321)</f>
      </c>
      <c r="CG321">
        <f>IF(ISBLANK('Data Entry'!$$321), "", 'Data Entry'!$$321)</f>
      </c>
      <c r="CH321">
        <f>IF(ISBLANK('Data Entry'!$$321), "", 'Data Entry'!$$321)</f>
      </c>
      <c r="CI321">
        <f>IF(ISBLANK('Data Entry'!$$321), "", 'Data Entry'!$$321)</f>
      </c>
      <c r="CJ321">
        <f>IF(ISBLANK('Data Entry'!$$321), "", 'Data Entry'!$$321)</f>
      </c>
      <c r="CK321">
        <f>IF(ISBLANK('Data Entry'!$$321), "", 'Data Entry'!$$321)</f>
      </c>
      <c r="CL321">
        <f>IF(ISBLANK('Data Entry'!$$321), "", 'Data Entry'!$$321)</f>
      </c>
      <c r="CM321">
        <f>IF(ISBLANK('Data Entry'!$$321), "", 'Data Entry'!$$321)</f>
      </c>
      <c r="CN321">
        <f>IF(ISBLANK('Data Entry'!$$321), "", 'Data Entry'!$$321)</f>
      </c>
      <c r="CO321">
        <f>IF(ISBLANK('Data Entry'!$$321), "", 'Data Entry'!$$321)</f>
      </c>
      <c r="CP321">
        <f>IF(ISBLANK('Data Entry'!$$321), "", 'Data Entry'!$$321)</f>
      </c>
      <c r="CQ321">
        <f>IF(ISBLANK('Data Entry'!$$321), "", 'Data Entry'!$$321)</f>
      </c>
      <c r="CR321">
        <f>IF(ISBLANK('Data Entry'!$ $321), "", 'Data Entry'!$ $321)</f>
      </c>
      <c r="CS321">
        <f>IF(ISBLANK('Data Entry'!$¡$321), "", 'Data Entry'!$¡$321)</f>
      </c>
      <c r="CT321">
        <f>IF(ISBLANK('Data Entry'!$¢$321), "", 'Data Entry'!$¢$321)</f>
      </c>
      <c r="CU321">
        <f>IF(ISBLANK('Data Entry'!$£$321), "", 'Data Entry'!$£$321)</f>
      </c>
      <c r="CV321">
        <f>IF(ISBLANK('Data Entry'!$¤$321), "", 'Data Entry'!$¤$321)</f>
      </c>
      <c r="CW321">
        <f>IF(ISBLANK('Data Entry'!$¥$321), "", 'Data Entry'!$¥$321)</f>
      </c>
      <c r="CX321">
        <f>IF(ISBLANK('Data Entry'!$¦$321), "", 'Data Entry'!$¦$321)</f>
      </c>
      <c r="CY321">
        <f>IF(ISBLANK('Data Entry'!$§$321), "", 'Data Entry'!$§$321)</f>
      </c>
      <c r="CZ321">
        <f>IF(ISBLANK('Data Entry'!$¨$321), "", 'Data Entry'!$¨$321)</f>
      </c>
      <c r="DA321">
        <f>IF(ISBLANK('Data Entry'!$©$321), "", 'Data Entry'!$©$321)</f>
      </c>
      <c r="DB321">
        <f>IF(ISBLANK('Data Entry'!$ª$321), "", 'Data Entry'!$ª$321)</f>
      </c>
      <c r="DC321">
        <f>IF(ISBLANK('Data Entry'!$«$321), "", 'Data Entry'!$«$321)</f>
      </c>
      <c r="DD321">
        <f>IF(ISBLANK('Data Entry'!$¬$321), "", 'Data Entry'!$¬$321)</f>
      </c>
      <c r="DE321">
        <f>IF(ISBLANK('Data Entry'!$­$321), "", 'Data Entry'!$­$321)</f>
      </c>
      <c r="DF321">
        <f>IF(ISBLANK('Data Entry'!$®$321), "", 'Data Entry'!$®$321)</f>
      </c>
      <c r="DG321">
        <f>IF(ISBLANK('Data Entry'!$¯$321), "", 'Data Entry'!$¯$321)</f>
      </c>
      <c r="DH321">
        <f>IF(ISBLANK('Data Entry'!$°$321), "", 'Data Entry'!$°$321)</f>
      </c>
      <c r="DI321">
        <f>IF(ISBLANK('Data Entry'!$±$321), "", 'Data Entry'!$±$321)</f>
      </c>
      <c r="DJ321">
        <f>IF(ISBLANK('Data Entry'!$²$321), "", 'Data Entry'!$²$321)</f>
      </c>
      <c r="DK321">
        <f>IF(ISBLANK('Data Entry'!$³$321), "", 'Data Entry'!$³$321)</f>
      </c>
      <c r="DL321">
        <f>IF(ISBLANK('Data Entry'!$´$321), "", 'Data Entry'!$´$321)</f>
      </c>
      <c r="DM321">
        <f>IF(ISBLANK('Data Entry'!$µ$321), "", 'Data Entry'!$µ$321)</f>
      </c>
      <c r="DN321">
        <f>IF(ISBLANK('Data Entry'!$¶$321), "", 'Data Entry'!$¶$321)</f>
      </c>
      <c r="DO321">
        <f>IF(ISBLANK('Data Entry'!$·$321), "", 'Data Entry'!$·$321)</f>
      </c>
      <c r="DP321">
        <f>IF(ISBLANK('Data Entry'!$¸$321), "", 'Data Entry'!$¸$321)</f>
      </c>
      <c r="DQ321">
        <f>IF(ISBLANK('Data Entry'!$¹$321), "", 'Data Entry'!$¹$321)</f>
      </c>
      <c r="DR321">
        <f>IF(ISBLANK('Data Entry'!$º$321), "", 'Data Entry'!$º$321)</f>
      </c>
      <c r="DS321">
        <f>IF(ISBLANK('Data Entry'!$»$321), "", 'Data Entry'!$»$321)</f>
      </c>
      <c r="DT321">
        <f>IF(ISBLANK('Data Entry'!$¼$321), "", 'Data Entry'!$¼$321)</f>
      </c>
      <c r="DU321">
        <f>IF(ISBLANK('Data Entry'!$½$321), "", 'Data Entry'!$½$321)</f>
      </c>
      <c r="DV321">
        <f>IF(ISBLANK('Data Entry'!$¾$321), "", 'Data Entry'!$¾$321)</f>
      </c>
      <c r="DW321">
        <f>IF(ISBLANK('Data Entry'!$¿$321), "", 'Data Entry'!$¿$321)</f>
      </c>
      <c r="DX321">
        <f>IF(ISBLANK('Data Entry'!$À$321), "", 'Data Entry'!$À$321)</f>
      </c>
      <c r="DY321">
        <f>IF(ISBLANK('Data Entry'!$Á$321), "", 'Data Entry'!$Á$321)</f>
      </c>
      <c r="DZ321">
        <f>IF(ISBLANK('Data Entry'!$Â$321), "", 'Data Entry'!$Â$321)</f>
      </c>
      <c r="EA321">
        <f>IF(ISBLANK('Data Entry'!$Ã$321), "", 'Data Entry'!$Ã$321)</f>
      </c>
      <c r="EB321">
        <f>IF(ISBLANK('Data Entry'!$Ä$321), "", 'Data Entry'!$Ä$321)</f>
      </c>
      <c r="EC321">
        <f>IF(ISBLANK('Data Entry'!$Å$321), "", 'Data Entry'!$Å$321)</f>
      </c>
      <c r="ED321">
        <f>IF(ISBLANK('Data Entry'!$Æ$321), "", 'Data Entry'!$Æ$321)</f>
      </c>
      <c r="EE321">
        <f>IF(ISBLANK('Data Entry'!$Ç$321), "", 'Data Entry'!$Ç$321)</f>
      </c>
      <c r="EF321">
        <f>IF(ISBLANK('Data Entry'!$È$321), "", 'Data Entry'!$È$321)</f>
      </c>
      <c r="EG321">
        <f>IF(ISBLANK('Data Entry'!$É$321), "", 'Data Entry'!$É$321)</f>
      </c>
      <c r="EH321">
        <f>IF(ISBLANK('Data Entry'!$Ê$321), "", 'Data Entry'!$Ê$321)</f>
      </c>
      <c r="EI321">
        <f>IF(ISBLANK('Data Entry'!$Ë$321), "", 'Data Entry'!$Ë$321)</f>
      </c>
      <c r="EJ321">
        <f>IF(ISBLANK('Data Entry'!$Ì$321), "", 'Data Entry'!$Ì$321)</f>
      </c>
      <c r="EK321">
        <f>IF(ISBLANK('Data Entry'!$Í$321), "", 'Data Entry'!$Í$321)</f>
      </c>
      <c r="EL321">
        <f>IF(ISBLANK('Data Entry'!$Î$321), "", 'Data Entry'!$Î$321)</f>
      </c>
      <c r="EM321">
        <f>IF(ISBLANK('Data Entry'!$Ï$321), "", 'Data Entry'!$Ï$321)</f>
      </c>
      <c r="EN321">
        <f>IF(ISBLANK('Data Entry'!$Ð$321), "", 'Data Entry'!$Ð$321)</f>
      </c>
      <c r="EO321">
        <f>IF(ISBLANK('Data Entry'!$Ñ$321), "", 'Data Entry'!$Ñ$321)</f>
      </c>
      <c r="EP321">
        <f>IF(ISBLANK('Data Entry'!$Ò$321), "", 'Data Entry'!$Ò$321)</f>
      </c>
      <c r="EQ321">
        <f>IF(ISBLANK('Data Entry'!$Ó$321), "", 'Data Entry'!$Ó$321)</f>
      </c>
      <c r="ER321">
        <f>IF(ISBLANK('Data Entry'!$Ô$321), "", 'Data Entry'!$Ô$321)</f>
      </c>
      <c r="ES321">
        <f>IF(ISBLANK('Data Entry'!$Õ$321), "", 'Data Entry'!$Õ$321)</f>
      </c>
      <c r="ET321">
        <f>IF(ISBLANK('Data Entry'!$Ö$321), "", 'Data Entry'!$Ö$321)</f>
      </c>
      <c r="EU321">
        <f>IF(ISBLANK('Data Entry'!$×$321), "", 'Data Entry'!$×$321)</f>
      </c>
      <c r="EV321">
        <f>IF(ISBLANK('Data Entry'!$Ø$321), "", 'Data Entry'!$Ø$321)</f>
      </c>
      <c r="EW321">
        <f>IF(ISBLANK('Data Entry'!$Ù$321), "", 'Data Entry'!$Ù$321)</f>
      </c>
      <c r="EX321">
        <f>IF(ISBLANK('Data Entry'!$Ú$321), "", 'Data Entry'!$Ú$321)</f>
      </c>
      <c r="EY321">
        <f>IF(ISBLANK('Data Entry'!$Û$321), "", 'Data Entry'!$Û$321)</f>
      </c>
      <c r="EZ321">
        <f>IF(ISBLANK('Data Entry'!$Ü$321), "", 'Data Entry'!$Ü$321)</f>
      </c>
      <c r="FA321">
        <f>IF(ISBLANK('Data Entry'!$Ý$321), "", 'Data Entry'!$Ý$321)</f>
      </c>
      <c r="FB321">
        <f>IF(ISBLANK('Data Entry'!$Þ$321), "", 'Data Entry'!$Þ$321)</f>
      </c>
      <c r="FC321">
        <f>IF(ISBLANK('Data Entry'!$ß$321), "", 'Data Entry'!$ß$321)</f>
      </c>
      <c r="FD321">
        <f>IF(ISBLANK('Data Entry'!$à$321), "", 'Data Entry'!$à$321)</f>
      </c>
      <c r="FE321">
        <f>IF(ISBLANK('Data Entry'!$á$321), "", 'Data Entry'!$á$321)</f>
      </c>
      <c r="FF321">
        <f>IF(ISBLANK('Data Entry'!$â$321), "", 'Data Entry'!$â$321)</f>
      </c>
      <c r="FG321">
        <f>IF(ISBLANK('Data Entry'!$ã$321), "", 'Data Entry'!$ã$321)</f>
      </c>
      <c r="FH321">
        <f>IF(ISBLANK('Data Entry'!$ä$321), "", 'Data Entry'!$ä$321)</f>
      </c>
      <c r="FI321">
        <f>IF(ISBLANK('Data Entry'!$å$321), "", 'Data Entry'!$å$321)</f>
      </c>
      <c r="FJ321">
        <f>IF(ISBLANK('Data Entry'!$æ$321), "", 'Data Entry'!$æ$321)</f>
      </c>
      <c r="FK321">
        <f>IF(ISBLANK('Data Entry'!$ç$321), "", 'Data Entry'!$ç$321)</f>
      </c>
      <c r="FL321">
        <f>IF(ISBLANK('Data Entry'!$è$321), "", 'Data Entry'!$è$321)</f>
      </c>
      <c r="FM321">
        <f>IF(ISBLANK('Data Entry'!$é$321), "", 'Data Entry'!$é$321)</f>
      </c>
      <c r="FN321">
        <f>IF(ISBLANK('Data Entry'!$ê$321), "", 'Data Entry'!$ê$321)</f>
      </c>
      <c r="FO321">
        <f>IF(ISBLANK('Data Entry'!$ë$321), "", 'Data Entry'!$ë$321)</f>
      </c>
      <c r="FP321">
        <f>IF(ISBLANK('Data Entry'!$ì$321), "", 'Data Entry'!$ì$321)</f>
      </c>
      <c r="FQ321">
        <f>IF(ISBLANK('Data Entry'!$í$321), "", 'Data Entry'!$í$321)</f>
      </c>
      <c r="FR321">
        <f>IF(ISBLANK('Data Entry'!$î$321), "", 'Data Entry'!$î$321)</f>
      </c>
      <c r="FS321">
        <f>IF(ISBLANK('Data Entry'!$ï$321), "", 'Data Entry'!$ï$321)</f>
      </c>
      <c r="FT321">
        <f>IF(ISBLANK('Data Entry'!$ð$321), "", 'Data Entry'!$ð$321)</f>
      </c>
      <c r="FU321">
        <f>IF(ISBLANK('Data Entry'!$ñ$321), "", 'Data Entry'!$ñ$321)</f>
      </c>
      <c r="FV321">
        <f>IF(ISBLANK('Data Entry'!$ò$321), "", 'Data Entry'!$ò$321)</f>
      </c>
      <c r="FW321">
        <f>IF(ISBLANK('Data Entry'!$ó$321), "", 'Data Entry'!$ó$321)</f>
      </c>
      <c r="FX321">
        <f>IF(ISBLANK('Data Entry'!$ô$321), "", 'Data Entry'!$ô$321)</f>
      </c>
      <c r="FY321">
        <f>IF(ISBLANK('Data Entry'!$õ$321), "", 'Data Entry'!$õ$321)</f>
      </c>
      <c r="FZ321">
        <f>IF(ISBLANK('Data Entry'!$ö$321), "", 'Data Entry'!$ö$321)</f>
      </c>
      <c r="GA321">
        <f>IF(ISBLANK('Data Entry'!$÷$321), "", 'Data Entry'!$÷$321)</f>
      </c>
      <c r="GB321">
        <f>IF(ISBLANK('Data Entry'!$ø$321), "", 'Data Entry'!$ø$321)</f>
      </c>
      <c r="GC321">
        <f>IF(ISBLANK('Data Entry'!$ù$321), "", 'Data Entry'!$ù$321)</f>
      </c>
      <c r="GD321">
        <f>IF(ISBLANK('Data Entry'!$ú$321), "", 'Data Entry'!$ú$321)</f>
      </c>
      <c r="GE321">
        <f>IF(ISBLANK('Data Entry'!$û$321), "", 'Data Entry'!$û$321)</f>
      </c>
      <c r="GF321">
        <f>IF(ISBLANK('Data Entry'!$ü$321), "", 'Data Entry'!$ü$321)</f>
      </c>
      <c r="GG321">
        <f>IF(ISBLANK('Data Entry'!$ý$321), "", 'Data Entry'!$ý$321)</f>
      </c>
      <c r="GH321">
        <f>IF(ISBLANK('Data Entry'!$þ$321), "", 'Data Entry'!$þ$321)</f>
      </c>
      <c r="GI321">
        <f>IF(ISBLANK('Data Entry'!$ÿ$321), "", 'Data Entry'!$ÿ$321)</f>
      </c>
      <c r="GJ321">
        <f>IF(ISBLANK('Data Entry'!$Ā$321), "", 'Data Entry'!$Ā$321)</f>
      </c>
      <c r="GK321">
        <f>IF(ISBLANK('Data Entry'!$ā$321), "", 'Data Entry'!$ā$321)</f>
      </c>
      <c r="GL321">
        <f>IF(ISBLANK('Data Entry'!$Ă$321), "", 'Data Entry'!$Ă$321)</f>
      </c>
      <c r="GM321">
        <f>IF(ISBLANK('Data Entry'!$ă$321), "", 'Data Entry'!$ă$321)</f>
      </c>
      <c r="GN321">
        <f>IF(ISBLANK('Data Entry'!$Ą$321), "", 'Data Entry'!$Ą$321)</f>
      </c>
      <c r="GO321">
        <f>IF(ISBLANK('Data Entry'!$ą$321), "", 'Data Entry'!$ą$321)</f>
      </c>
      <c r="GP321">
        <f>IF(ISBLANK('Data Entry'!$Ć$321), "", 'Data Entry'!$Ć$321)</f>
      </c>
      <c r="GQ321">
        <f>IF(ISBLANK('Data Entry'!$ć$321), "", 'Data Entry'!$ć$321)</f>
      </c>
      <c r="GR321">
        <f>IF(ISBLANK('Data Entry'!$Ĉ$321), "", 'Data Entry'!$Ĉ$321)</f>
      </c>
      <c r="GS321">
        <f>IF(ISBLANK('Data Entry'!$ĉ$321), "", 'Data Entry'!$ĉ$321)</f>
      </c>
      <c r="GT321">
        <f>IF(ISBLANK('Data Entry'!$Ċ$321), "", 'Data Entry'!$Ċ$321)</f>
      </c>
      <c r="GU321">
        <f>IF(ISBLANK('Data Entry'!$ċ$321), "", 'Data Entry'!$ċ$321)</f>
      </c>
      <c r="GV321">
        <f>IF(ISBLANK('Data Entry'!$Č$321), "", 'Data Entry'!$Č$321)</f>
      </c>
      <c r="GW321">
        <f>IF(ISBLANK('Data Entry'!$č$321), "", 'Data Entry'!$č$321)</f>
      </c>
      <c r="GX321">
        <f>IF(ISBLANK('Data Entry'!$Ď$321), "", 'Data Entry'!$Ď$321)</f>
      </c>
      <c r="GY321">
        <f>IF(ISBLANK('Data Entry'!$ď$321), "", 'Data Entry'!$ď$321)</f>
      </c>
      <c r="GZ321">
        <f>IF(ISBLANK('Data Entry'!$Đ$321), "", 'Data Entry'!$Đ$321)</f>
      </c>
      <c r="HA321">
        <f>IF(ISBLANK('Data Entry'!$đ$321), "", 'Data Entry'!$đ$321)</f>
      </c>
      <c r="HB321">
        <f>IF(ISBLANK('Data Entry'!$Ē$321), "", 'Data Entry'!$Ē$321)</f>
      </c>
      <c r="HC321">
        <f>IF(ISBLANK('Data Entry'!$ē$321), "", 'Data Entry'!$ē$321)</f>
      </c>
      <c r="HD321">
        <f>IF(ISBLANK('Data Entry'!$Ĕ$321), "", 'Data Entry'!$Ĕ$321)</f>
      </c>
      <c r="HE321">
        <f>IF(ISBLANK('Data Entry'!$ĕ$321), "", 'Data Entry'!$ĕ$321)</f>
      </c>
      <c r="HF321">
        <f>IF(ISBLANK('Data Entry'!$Ė$321), "", 'Data Entry'!$Ė$321)</f>
      </c>
      <c r="HG321">
        <f>IF(ISBLANK('Data Entry'!$ė$321), "", 'Data Entry'!$ė$321)</f>
      </c>
      <c r="HH321">
        <f>IF(ISBLANK('Data Entry'!$Ę$321), "", 'Data Entry'!$Ę$321)</f>
      </c>
      <c r="HI321">
        <f>IF(ISBLANK('Data Entry'!$ę$321), "", 'Data Entry'!$ę$321)</f>
      </c>
      <c r="HJ321">
        <f>IF(ISBLANK('Data Entry'!$Ě$321), "", 'Data Entry'!$Ě$321)</f>
      </c>
      <c r="HK321">
        <f>IF(ISBLANK('Data Entry'!$ě$321), "", 'Data Entry'!$ě$321)</f>
      </c>
      <c r="HL321">
        <f>IF(ISBLANK('Data Entry'!$Ĝ$321), "", 'Data Entry'!$Ĝ$321)</f>
      </c>
      <c r="HM321">
        <f>IF(ISBLANK('Data Entry'!$ĝ$321), "", 'Data Entry'!$ĝ$321)</f>
      </c>
      <c r="HN321">
        <f>IF(ISBLANK('Data Entry'!$Ğ$321), "", 'Data Entry'!$Ğ$321)</f>
      </c>
      <c r="HO321">
        <f>IF(ISBLANK('Data Entry'!$ğ$321), "", 'Data Entry'!$ğ$321)</f>
      </c>
      <c r="HP321">
        <f>IF(ISBLANK('Data Entry'!$Ġ$321), "", 'Data Entry'!$Ġ$321)</f>
      </c>
      <c r="HQ321">
        <f>IF(ISBLANK('Data Entry'!$ġ$321), "", 'Data Entry'!$ġ$321)</f>
      </c>
      <c r="HR321">
        <f>IF(ISBLANK('Data Entry'!$Ģ$321), "", 'Data Entry'!$Ģ$321)</f>
      </c>
      <c r="HS321">
        <f>IF(ISBLANK('Data Entry'!$ģ$321), "", 'Data Entry'!$ģ$321)</f>
      </c>
      <c r="HT321">
        <f>IF(ISBLANK('Data Entry'!$Ĥ$321), "", 'Data Entry'!$Ĥ$321)</f>
      </c>
      <c r="HU321">
        <f>IF(ISBLANK('Data Entry'!$ĥ$321), "", 'Data Entry'!$ĥ$321)</f>
      </c>
      <c r="HV321">
        <f>IF(ISBLANK('Data Entry'!$Ħ$321), "", 'Data Entry'!$Ħ$321)</f>
      </c>
      <c r="HW321">
        <f>IF(ISBLANK('Data Entry'!$ħ$321), "", 'Data Entry'!$ħ$321)</f>
      </c>
      <c r="HX321">
        <f>IF(ISBLANK('Data Entry'!$Ĩ$321), "", 'Data Entry'!$Ĩ$321)</f>
      </c>
      <c r="HY321">
        <f>IF(ISBLANK('Data Entry'!$ĩ$321), "", 'Data Entry'!$ĩ$321)</f>
      </c>
      <c r="HZ321">
        <f>IF(ISBLANK('Data Entry'!$Ī$321), "", 'Data Entry'!$Ī$321)</f>
      </c>
      <c r="IA321">
        <f>IF(ISBLANK('Data Entry'!$ī$321), "", 'Data Entry'!$ī$321)</f>
      </c>
      <c r="IB321">
        <f>IF(ISBLANK('Data Entry'!$Ĭ$321), "", 'Data Entry'!$Ĭ$321)</f>
      </c>
      <c r="IC321">
        <f>IF(ISBLANK('Data Entry'!$ĭ$321), "", 'Data Entry'!$ĭ$321)</f>
      </c>
      <c r="ID321">
        <f>IF(ISBLANK('Data Entry'!$Į$321), "", 'Data Entry'!$Į$321)</f>
      </c>
      <c r="IE321">
        <f>IF(ISBLANK('Data Entry'!$į$321), "", 'Data Entry'!$į$321)</f>
      </c>
      <c r="IF321">
        <f>IF(ISBLANK('Data Entry'!$İ$321), "", 'Data Entry'!$İ$321)</f>
      </c>
      <c r="IG321">
        <f>IF(ISBLANK('Data Entry'!$ı$321), "", 'Data Entry'!$ı$321)</f>
      </c>
      <c r="IH321">
        <f>IF(ISBLANK('Data Entry'!$Ĳ$321), "", 'Data Entry'!$Ĳ$321)</f>
      </c>
      <c r="II321">
        <f>IF(ISBLANK('Data Entry'!$ĳ$321), "", 'Data Entry'!$ĳ$321)</f>
      </c>
      <c r="IJ321">
        <f>IF(ISBLANK('Data Entry'!$Ĵ$321), "", 'Data Entry'!$Ĵ$321)</f>
      </c>
      <c r="IK321">
        <f>IF(ISBLANK('Data Entry'!$ĵ$321), "", 'Data Entry'!$ĵ$321)</f>
      </c>
      <c r="IL321">
        <f>IF(ISBLANK('Data Entry'!$Ķ$321), "", 'Data Entry'!$Ķ$321)</f>
      </c>
      <c r="IM321">
        <f>IF(ISBLANK('Data Entry'!$ķ$321), "", 'Data Entry'!$ķ$321)</f>
      </c>
      <c r="IN321">
        <f>IF(ISBLANK('Data Entry'!$ĸ$321), "", 'Data Entry'!$ĸ$321)</f>
      </c>
      <c r="IO321">
        <f>IF(ISBLANK('Data Entry'!$Ĺ$321), "", 'Data Entry'!$Ĺ$321)</f>
      </c>
      <c r="IP321">
        <f>IF(ISBLANK('Data Entry'!$ĺ$321), "", 'Data Entry'!$ĺ$321)</f>
      </c>
      <c r="IQ321">
        <f>IF(ISBLANK('Data Entry'!$Ļ$321), "", 'Data Entry'!$Ļ$321)</f>
      </c>
      <c r="IR321">
        <f>IF(ISBLANK('Data Entry'!$ļ$321), "", 'Data Entry'!$ļ$321)</f>
      </c>
      <c r="IS321">
        <f>IF(ISBLANK('Data Entry'!$Ľ$321), "", 'Data Entry'!$Ľ$321)</f>
      </c>
      <c r="IT321">
        <f>IF(ISBLANK('Data Entry'!$ľ$321), "", 'Data Entry'!$ľ$321)</f>
      </c>
    </row>
    <row r="322" spans="1:254" x14ac:dyDescent="0.25">
      <c r="A322">
        <f>IF(ISBLANK('Data Entry'!$A$322), "", 'Data Entry'!$A$322)</f>
      </c>
      <c r="B322">
        <f>IF(ISBLANK('Data Entry'!$B$322), "", 'Data Entry'!$B$322)</f>
      </c>
      <c r="C322">
        <f>IF(ISBLANK('Data Entry'!$C$322), "", 'Data Entry'!$C$322)</f>
      </c>
      <c r="D322">
        <f>IF(ISBLANK('Data Entry'!$D$322), "", 'Data Entry'!$D$322)</f>
      </c>
      <c r="E322">
        <f>IF(ISBLANK('Data Entry'!$E$322), "", 'Data Entry'!$E$322)</f>
      </c>
      <c r="F322">
        <f>IF(ISBLANK('Data Entry'!$F$322), "", 'Data Entry'!$F$322)</f>
      </c>
      <c r="G322">
        <f>IF(ISBLANK('Data Entry'!$G$322), "", 'Data Entry'!$G$322)</f>
      </c>
      <c r="H322">
        <f>IF(ISBLANK('Data Entry'!$H$322), "", 'Data Entry'!$H$322)</f>
      </c>
      <c r="I322">
        <f>IF(ISBLANK('Data Entry'!$I$322), "", 'Data Entry'!$I$322)</f>
      </c>
      <c r="J322">
        <f>IF(ISBLANK('Data Entry'!$J$322), "", 'Data Entry'!$J$322)</f>
      </c>
      <c r="K322">
        <f>IF(ISBLANK('Data Entry'!$K$322), "", 'Data Entry'!$K$322)</f>
      </c>
      <c r="L322">
        <f>IF(ISBLANK('Data Entry'!$L$322), "", 'Data Entry'!$L$322)</f>
      </c>
      <c r="M322">
        <f>IF(ISBLANK('Data Entry'!$M$322), "", 'Data Entry'!$M$322)</f>
      </c>
      <c r="N322">
        <f>IF(ISBLANK('Data Entry'!$N$322), "", 'Data Entry'!$N$322)</f>
      </c>
      <c r="O322">
        <f>IF(ISBLANK('Data Entry'!$O$322), "", 'Data Entry'!$O$322)</f>
      </c>
      <c r="P322">
        <f>IF(ISBLANK('Data Entry'!$P$322), "", 'Data Entry'!$P$322)</f>
      </c>
      <c r="Q322">
        <f>IF(ISBLANK('Data Entry'!$Q$322), "", 'Data Entry'!$Q$322)</f>
      </c>
      <c r="R322">
        <f>IF(ISBLANK('Data Entry'!$R$322), "", 'Data Entry'!$R$322)</f>
      </c>
      <c r="S322">
        <f>IF(ISBLANK('Data Entry'!$S$322), "", 'Data Entry'!$S$322)</f>
      </c>
      <c r="T322">
        <f>IF(ISBLANK('Data Entry'!$T$322), "", 'Data Entry'!$T$322)</f>
      </c>
      <c r="U322">
        <f>IF(ISBLANK('Data Entry'!$U$322), "", 'Data Entry'!$U$322)</f>
      </c>
      <c r="V322">
        <f>IF(ISBLANK('Data Entry'!$V$322), "", 'Data Entry'!$V$322)</f>
      </c>
      <c r="W322">
        <f>IF(ISBLANK('Data Entry'!$W$322), "", 'Data Entry'!$W$322)</f>
      </c>
      <c r="X322">
        <f>IF(ISBLANK('Data Entry'!$X$322), "", 'Data Entry'!$X$322)</f>
      </c>
      <c r="Y322">
        <f>IF(ISBLANK('Data Entry'!$Y$322), "", 'Data Entry'!$Y$322)</f>
      </c>
      <c r="Z322">
        <f>IF(ISBLANK('Data Entry'!$Z$322), "", 'Data Entry'!$Z$322)</f>
      </c>
      <c r="AA322">
        <f>IF(ISBLANK('Data Entry'!$[$322), "", 'Data Entry'!$[$322)</f>
      </c>
      <c r="AB322">
        <f>IF(ISBLANK('Data Entry'!$\$322), "", 'Data Entry'!$\$322)</f>
      </c>
      <c r="AC322">
        <f>IF(ISBLANK('Data Entry'!$]$322), "", 'Data Entry'!$]$322)</f>
      </c>
      <c r="AD322">
        <f>IF(ISBLANK('Data Entry'!$^$322), "", 'Data Entry'!$^$322)</f>
      </c>
      <c r="AE322">
        <f>IF(ISBLANK('Data Entry'!$_$322), "", 'Data Entry'!$_$322)</f>
      </c>
      <c r="AF322">
        <f>IF(ISBLANK('Data Entry'!$`$322), "", 'Data Entry'!$`$322)</f>
      </c>
      <c r="AG322">
        <f>IF(ISBLANK('Data Entry'!$a$322), "", 'Data Entry'!$a$322)</f>
      </c>
      <c r="AH322">
        <f>IF(ISBLANK('Data Entry'!$b$322), "", 'Data Entry'!$b$322)</f>
      </c>
      <c r="AI322">
        <f>IF(ISBLANK('Data Entry'!$c$322), "", 'Data Entry'!$c$322)</f>
      </c>
      <c r="AJ322">
        <f>IF(ISBLANK('Data Entry'!$d$322), "", 'Data Entry'!$d$322)</f>
      </c>
      <c r="AK322">
        <f>IF(ISBLANK('Data Entry'!$e$322), "", 'Data Entry'!$e$322)</f>
      </c>
      <c r="AL322">
        <f>IF(ISBLANK('Data Entry'!$f$322), "", 'Data Entry'!$f$322)</f>
      </c>
      <c r="AM322">
        <f>IF(ISBLANK('Data Entry'!$g$322), "", 'Data Entry'!$g$322)</f>
      </c>
      <c r="AN322">
        <f>IF(ISBLANK('Data Entry'!$h$322), "", 'Data Entry'!$h$322)</f>
      </c>
      <c r="AO322">
        <f>IF(ISBLANK('Data Entry'!$i$322), "", 'Data Entry'!$i$322)</f>
      </c>
      <c r="AP322">
        <f>IF(ISBLANK('Data Entry'!$j$322), "", 'Data Entry'!$j$322)</f>
      </c>
      <c r="AQ322">
        <f>IF(ISBLANK('Data Entry'!$k$322), "", 'Data Entry'!$k$322)</f>
      </c>
      <c r="AR322">
        <f>IF(ISBLANK('Data Entry'!$l$322), "", 'Data Entry'!$l$322)</f>
      </c>
      <c r="AS322">
        <f>IF(ISBLANK('Data Entry'!$m$322), "", 'Data Entry'!$m$322)</f>
      </c>
      <c r="AT322">
        <f>IF(ISBLANK('Data Entry'!$n$322), "", 'Data Entry'!$n$322)</f>
      </c>
      <c r="AU322">
        <f>IF(ISBLANK('Data Entry'!$o$322), "", 'Data Entry'!$o$322)</f>
      </c>
      <c r="AV322">
        <f>IF(ISBLANK('Data Entry'!$p$322), "", 'Data Entry'!$p$322)</f>
      </c>
      <c r="AW322">
        <f>IF(ISBLANK('Data Entry'!$q$322), "", 'Data Entry'!$q$322)</f>
      </c>
      <c r="AX322">
        <f>IF(ISBLANK('Data Entry'!$r$322), "", 'Data Entry'!$r$322)</f>
      </c>
      <c r="AY322">
        <f>IF(ISBLANK('Data Entry'!$s$322), "", 'Data Entry'!$s$322)</f>
      </c>
      <c r="AZ322">
        <f>IF(ISBLANK('Data Entry'!$t$322), "", 'Data Entry'!$t$322)</f>
      </c>
      <c r="BA322">
        <f>IF(ISBLANK('Data Entry'!$u$322), "", 'Data Entry'!$u$322)</f>
      </c>
      <c r="BB322">
        <f>IF(ISBLANK('Data Entry'!$v$322), "", 'Data Entry'!$v$322)</f>
      </c>
      <c r="BC322">
        <f>IF(ISBLANK('Data Entry'!$w$322), "", 'Data Entry'!$w$322)</f>
      </c>
      <c r="BD322">
        <f>IF(ISBLANK('Data Entry'!$x$322), "", 'Data Entry'!$x$322)</f>
      </c>
      <c r="BE322">
        <f>IF(ISBLANK('Data Entry'!$y$322), "", 'Data Entry'!$y$322)</f>
      </c>
      <c r="BF322">
        <f>IF(ISBLANK('Data Entry'!$z$322), "", 'Data Entry'!$z$322)</f>
      </c>
      <c r="BG322">
        <f>IF(ISBLANK('Data Entry'!${$322), "", 'Data Entry'!${$322)</f>
      </c>
      <c r="BH322">
        <f>IF(ISBLANK('Data Entry'!$|$322), "", 'Data Entry'!$|$322)</f>
      </c>
      <c r="BI322">
        <f>IF(ISBLANK('Data Entry'!$}$322), "", 'Data Entry'!$}$322)</f>
      </c>
      <c r="BJ322">
        <f>IF(ISBLANK('Data Entry'!$~$322), "", 'Data Entry'!$~$322)</f>
      </c>
      <c r="BK322">
        <f>IF(ISBLANK('Data Entry'!$$322), "", 'Data Entry'!$$322)</f>
      </c>
      <c r="BL322">
        <f>IF(ISBLANK('Data Entry'!$$322), "", 'Data Entry'!$$322)</f>
      </c>
      <c r="BM322">
        <f>IF(ISBLANK('Data Entry'!$$322), "", 'Data Entry'!$$322)</f>
      </c>
      <c r="BN322">
        <f>IF(ISBLANK('Data Entry'!$$322), "", 'Data Entry'!$$322)</f>
      </c>
      <c r="BO322">
        <f>IF(ISBLANK('Data Entry'!$$322), "", 'Data Entry'!$$322)</f>
      </c>
      <c r="BP322">
        <f>IF(ISBLANK('Data Entry'!$$322), "", 'Data Entry'!$$322)</f>
      </c>
      <c r="BQ322">
        <f>IF(ISBLANK('Data Entry'!$$322), "", 'Data Entry'!$$322)</f>
      </c>
      <c r="BR322">
        <f>IF(ISBLANK('Data Entry'!$$322), "", 'Data Entry'!$$322)</f>
      </c>
      <c r="BS322">
        <f>IF(ISBLANK('Data Entry'!$$322), "", 'Data Entry'!$$322)</f>
      </c>
      <c r="BT322">
        <f>IF(ISBLANK('Data Entry'!$$322), "", 'Data Entry'!$$322)</f>
      </c>
      <c r="BU322">
        <f>IF(ISBLANK('Data Entry'!$$322), "", 'Data Entry'!$$322)</f>
      </c>
      <c r="BV322">
        <f>IF(ISBLANK('Data Entry'!$$322), "", 'Data Entry'!$$322)</f>
      </c>
      <c r="BW322">
        <f>IF(ISBLANK('Data Entry'!$$322), "", 'Data Entry'!$$322)</f>
      </c>
      <c r="BX322">
        <f>IF(ISBLANK('Data Entry'!$$322), "", 'Data Entry'!$$322)</f>
      </c>
      <c r="BY322">
        <f>IF(ISBLANK('Data Entry'!$$322), "", 'Data Entry'!$$322)</f>
      </c>
      <c r="BZ322">
        <f>IF(ISBLANK('Data Entry'!$$322), "", 'Data Entry'!$$322)</f>
      </c>
      <c r="CA322">
        <f>IF(ISBLANK('Data Entry'!$$322), "", 'Data Entry'!$$322)</f>
      </c>
      <c r="CB322">
        <f>IF(ISBLANK('Data Entry'!$$322), "", 'Data Entry'!$$322)</f>
      </c>
      <c r="CC322">
        <f>IF(ISBLANK('Data Entry'!$$322), "", 'Data Entry'!$$322)</f>
      </c>
      <c r="CD322">
        <f>IF(ISBLANK('Data Entry'!$$322), "", 'Data Entry'!$$322)</f>
      </c>
      <c r="CE322">
        <f>IF(ISBLANK('Data Entry'!$$322), "", 'Data Entry'!$$322)</f>
      </c>
      <c r="CF322">
        <f>IF(ISBLANK('Data Entry'!$$322), "", 'Data Entry'!$$322)</f>
      </c>
      <c r="CG322">
        <f>IF(ISBLANK('Data Entry'!$$322), "", 'Data Entry'!$$322)</f>
      </c>
      <c r="CH322">
        <f>IF(ISBLANK('Data Entry'!$$322), "", 'Data Entry'!$$322)</f>
      </c>
      <c r="CI322">
        <f>IF(ISBLANK('Data Entry'!$$322), "", 'Data Entry'!$$322)</f>
      </c>
      <c r="CJ322">
        <f>IF(ISBLANK('Data Entry'!$$322), "", 'Data Entry'!$$322)</f>
      </c>
      <c r="CK322">
        <f>IF(ISBLANK('Data Entry'!$$322), "", 'Data Entry'!$$322)</f>
      </c>
      <c r="CL322">
        <f>IF(ISBLANK('Data Entry'!$$322), "", 'Data Entry'!$$322)</f>
      </c>
      <c r="CM322">
        <f>IF(ISBLANK('Data Entry'!$$322), "", 'Data Entry'!$$322)</f>
      </c>
      <c r="CN322">
        <f>IF(ISBLANK('Data Entry'!$$322), "", 'Data Entry'!$$322)</f>
      </c>
      <c r="CO322">
        <f>IF(ISBLANK('Data Entry'!$$322), "", 'Data Entry'!$$322)</f>
      </c>
      <c r="CP322">
        <f>IF(ISBLANK('Data Entry'!$$322), "", 'Data Entry'!$$322)</f>
      </c>
      <c r="CQ322">
        <f>IF(ISBLANK('Data Entry'!$$322), "", 'Data Entry'!$$322)</f>
      </c>
      <c r="CR322">
        <f>IF(ISBLANK('Data Entry'!$ $322), "", 'Data Entry'!$ $322)</f>
      </c>
      <c r="CS322">
        <f>IF(ISBLANK('Data Entry'!$¡$322), "", 'Data Entry'!$¡$322)</f>
      </c>
      <c r="CT322">
        <f>IF(ISBLANK('Data Entry'!$¢$322), "", 'Data Entry'!$¢$322)</f>
      </c>
      <c r="CU322">
        <f>IF(ISBLANK('Data Entry'!$£$322), "", 'Data Entry'!$£$322)</f>
      </c>
      <c r="CV322">
        <f>IF(ISBLANK('Data Entry'!$¤$322), "", 'Data Entry'!$¤$322)</f>
      </c>
      <c r="CW322">
        <f>IF(ISBLANK('Data Entry'!$¥$322), "", 'Data Entry'!$¥$322)</f>
      </c>
      <c r="CX322">
        <f>IF(ISBLANK('Data Entry'!$¦$322), "", 'Data Entry'!$¦$322)</f>
      </c>
      <c r="CY322">
        <f>IF(ISBLANK('Data Entry'!$§$322), "", 'Data Entry'!$§$322)</f>
      </c>
      <c r="CZ322">
        <f>IF(ISBLANK('Data Entry'!$¨$322), "", 'Data Entry'!$¨$322)</f>
      </c>
      <c r="DA322">
        <f>IF(ISBLANK('Data Entry'!$©$322), "", 'Data Entry'!$©$322)</f>
      </c>
      <c r="DB322">
        <f>IF(ISBLANK('Data Entry'!$ª$322), "", 'Data Entry'!$ª$322)</f>
      </c>
      <c r="DC322">
        <f>IF(ISBLANK('Data Entry'!$«$322), "", 'Data Entry'!$«$322)</f>
      </c>
      <c r="DD322">
        <f>IF(ISBLANK('Data Entry'!$¬$322), "", 'Data Entry'!$¬$322)</f>
      </c>
      <c r="DE322">
        <f>IF(ISBLANK('Data Entry'!$­$322), "", 'Data Entry'!$­$322)</f>
      </c>
      <c r="DF322">
        <f>IF(ISBLANK('Data Entry'!$®$322), "", 'Data Entry'!$®$322)</f>
      </c>
      <c r="DG322">
        <f>IF(ISBLANK('Data Entry'!$¯$322), "", 'Data Entry'!$¯$322)</f>
      </c>
      <c r="DH322">
        <f>IF(ISBLANK('Data Entry'!$°$322), "", 'Data Entry'!$°$322)</f>
      </c>
      <c r="DI322">
        <f>IF(ISBLANK('Data Entry'!$±$322), "", 'Data Entry'!$±$322)</f>
      </c>
      <c r="DJ322">
        <f>IF(ISBLANK('Data Entry'!$²$322), "", 'Data Entry'!$²$322)</f>
      </c>
      <c r="DK322">
        <f>IF(ISBLANK('Data Entry'!$³$322), "", 'Data Entry'!$³$322)</f>
      </c>
      <c r="DL322">
        <f>IF(ISBLANK('Data Entry'!$´$322), "", 'Data Entry'!$´$322)</f>
      </c>
      <c r="DM322">
        <f>IF(ISBLANK('Data Entry'!$µ$322), "", 'Data Entry'!$µ$322)</f>
      </c>
      <c r="DN322">
        <f>IF(ISBLANK('Data Entry'!$¶$322), "", 'Data Entry'!$¶$322)</f>
      </c>
      <c r="DO322">
        <f>IF(ISBLANK('Data Entry'!$·$322), "", 'Data Entry'!$·$322)</f>
      </c>
      <c r="DP322">
        <f>IF(ISBLANK('Data Entry'!$¸$322), "", 'Data Entry'!$¸$322)</f>
      </c>
      <c r="DQ322">
        <f>IF(ISBLANK('Data Entry'!$¹$322), "", 'Data Entry'!$¹$322)</f>
      </c>
      <c r="DR322">
        <f>IF(ISBLANK('Data Entry'!$º$322), "", 'Data Entry'!$º$322)</f>
      </c>
      <c r="DS322">
        <f>IF(ISBLANK('Data Entry'!$»$322), "", 'Data Entry'!$»$322)</f>
      </c>
      <c r="DT322">
        <f>IF(ISBLANK('Data Entry'!$¼$322), "", 'Data Entry'!$¼$322)</f>
      </c>
      <c r="DU322">
        <f>IF(ISBLANK('Data Entry'!$½$322), "", 'Data Entry'!$½$322)</f>
      </c>
      <c r="DV322">
        <f>IF(ISBLANK('Data Entry'!$¾$322), "", 'Data Entry'!$¾$322)</f>
      </c>
      <c r="DW322">
        <f>IF(ISBLANK('Data Entry'!$¿$322), "", 'Data Entry'!$¿$322)</f>
      </c>
      <c r="DX322">
        <f>IF(ISBLANK('Data Entry'!$À$322), "", 'Data Entry'!$À$322)</f>
      </c>
      <c r="DY322">
        <f>IF(ISBLANK('Data Entry'!$Á$322), "", 'Data Entry'!$Á$322)</f>
      </c>
      <c r="DZ322">
        <f>IF(ISBLANK('Data Entry'!$Â$322), "", 'Data Entry'!$Â$322)</f>
      </c>
      <c r="EA322">
        <f>IF(ISBLANK('Data Entry'!$Ã$322), "", 'Data Entry'!$Ã$322)</f>
      </c>
      <c r="EB322">
        <f>IF(ISBLANK('Data Entry'!$Ä$322), "", 'Data Entry'!$Ä$322)</f>
      </c>
      <c r="EC322">
        <f>IF(ISBLANK('Data Entry'!$Å$322), "", 'Data Entry'!$Å$322)</f>
      </c>
      <c r="ED322">
        <f>IF(ISBLANK('Data Entry'!$Æ$322), "", 'Data Entry'!$Æ$322)</f>
      </c>
      <c r="EE322">
        <f>IF(ISBLANK('Data Entry'!$Ç$322), "", 'Data Entry'!$Ç$322)</f>
      </c>
      <c r="EF322">
        <f>IF(ISBLANK('Data Entry'!$È$322), "", 'Data Entry'!$È$322)</f>
      </c>
      <c r="EG322">
        <f>IF(ISBLANK('Data Entry'!$É$322), "", 'Data Entry'!$É$322)</f>
      </c>
      <c r="EH322">
        <f>IF(ISBLANK('Data Entry'!$Ê$322), "", 'Data Entry'!$Ê$322)</f>
      </c>
      <c r="EI322">
        <f>IF(ISBLANK('Data Entry'!$Ë$322), "", 'Data Entry'!$Ë$322)</f>
      </c>
      <c r="EJ322">
        <f>IF(ISBLANK('Data Entry'!$Ì$322), "", 'Data Entry'!$Ì$322)</f>
      </c>
      <c r="EK322">
        <f>IF(ISBLANK('Data Entry'!$Í$322), "", 'Data Entry'!$Í$322)</f>
      </c>
      <c r="EL322">
        <f>IF(ISBLANK('Data Entry'!$Î$322), "", 'Data Entry'!$Î$322)</f>
      </c>
      <c r="EM322">
        <f>IF(ISBLANK('Data Entry'!$Ï$322), "", 'Data Entry'!$Ï$322)</f>
      </c>
      <c r="EN322">
        <f>IF(ISBLANK('Data Entry'!$Ð$322), "", 'Data Entry'!$Ð$322)</f>
      </c>
      <c r="EO322">
        <f>IF(ISBLANK('Data Entry'!$Ñ$322), "", 'Data Entry'!$Ñ$322)</f>
      </c>
      <c r="EP322">
        <f>IF(ISBLANK('Data Entry'!$Ò$322), "", 'Data Entry'!$Ò$322)</f>
      </c>
      <c r="EQ322">
        <f>IF(ISBLANK('Data Entry'!$Ó$322), "", 'Data Entry'!$Ó$322)</f>
      </c>
      <c r="ER322">
        <f>IF(ISBLANK('Data Entry'!$Ô$322), "", 'Data Entry'!$Ô$322)</f>
      </c>
      <c r="ES322">
        <f>IF(ISBLANK('Data Entry'!$Õ$322), "", 'Data Entry'!$Õ$322)</f>
      </c>
      <c r="ET322">
        <f>IF(ISBLANK('Data Entry'!$Ö$322), "", 'Data Entry'!$Ö$322)</f>
      </c>
      <c r="EU322">
        <f>IF(ISBLANK('Data Entry'!$×$322), "", 'Data Entry'!$×$322)</f>
      </c>
      <c r="EV322">
        <f>IF(ISBLANK('Data Entry'!$Ø$322), "", 'Data Entry'!$Ø$322)</f>
      </c>
      <c r="EW322">
        <f>IF(ISBLANK('Data Entry'!$Ù$322), "", 'Data Entry'!$Ù$322)</f>
      </c>
      <c r="EX322">
        <f>IF(ISBLANK('Data Entry'!$Ú$322), "", 'Data Entry'!$Ú$322)</f>
      </c>
      <c r="EY322">
        <f>IF(ISBLANK('Data Entry'!$Û$322), "", 'Data Entry'!$Û$322)</f>
      </c>
      <c r="EZ322">
        <f>IF(ISBLANK('Data Entry'!$Ü$322), "", 'Data Entry'!$Ü$322)</f>
      </c>
      <c r="FA322">
        <f>IF(ISBLANK('Data Entry'!$Ý$322), "", 'Data Entry'!$Ý$322)</f>
      </c>
      <c r="FB322">
        <f>IF(ISBLANK('Data Entry'!$Þ$322), "", 'Data Entry'!$Þ$322)</f>
      </c>
      <c r="FC322">
        <f>IF(ISBLANK('Data Entry'!$ß$322), "", 'Data Entry'!$ß$322)</f>
      </c>
      <c r="FD322">
        <f>IF(ISBLANK('Data Entry'!$à$322), "", 'Data Entry'!$à$322)</f>
      </c>
      <c r="FE322">
        <f>IF(ISBLANK('Data Entry'!$á$322), "", 'Data Entry'!$á$322)</f>
      </c>
      <c r="FF322">
        <f>IF(ISBLANK('Data Entry'!$â$322), "", 'Data Entry'!$â$322)</f>
      </c>
      <c r="FG322">
        <f>IF(ISBLANK('Data Entry'!$ã$322), "", 'Data Entry'!$ã$322)</f>
      </c>
      <c r="FH322">
        <f>IF(ISBLANK('Data Entry'!$ä$322), "", 'Data Entry'!$ä$322)</f>
      </c>
      <c r="FI322">
        <f>IF(ISBLANK('Data Entry'!$å$322), "", 'Data Entry'!$å$322)</f>
      </c>
      <c r="FJ322">
        <f>IF(ISBLANK('Data Entry'!$æ$322), "", 'Data Entry'!$æ$322)</f>
      </c>
      <c r="FK322">
        <f>IF(ISBLANK('Data Entry'!$ç$322), "", 'Data Entry'!$ç$322)</f>
      </c>
      <c r="FL322">
        <f>IF(ISBLANK('Data Entry'!$è$322), "", 'Data Entry'!$è$322)</f>
      </c>
      <c r="FM322">
        <f>IF(ISBLANK('Data Entry'!$é$322), "", 'Data Entry'!$é$322)</f>
      </c>
      <c r="FN322">
        <f>IF(ISBLANK('Data Entry'!$ê$322), "", 'Data Entry'!$ê$322)</f>
      </c>
      <c r="FO322">
        <f>IF(ISBLANK('Data Entry'!$ë$322), "", 'Data Entry'!$ë$322)</f>
      </c>
      <c r="FP322">
        <f>IF(ISBLANK('Data Entry'!$ì$322), "", 'Data Entry'!$ì$322)</f>
      </c>
      <c r="FQ322">
        <f>IF(ISBLANK('Data Entry'!$í$322), "", 'Data Entry'!$í$322)</f>
      </c>
      <c r="FR322">
        <f>IF(ISBLANK('Data Entry'!$î$322), "", 'Data Entry'!$î$322)</f>
      </c>
      <c r="FS322">
        <f>IF(ISBLANK('Data Entry'!$ï$322), "", 'Data Entry'!$ï$322)</f>
      </c>
      <c r="FT322">
        <f>IF(ISBLANK('Data Entry'!$ð$322), "", 'Data Entry'!$ð$322)</f>
      </c>
      <c r="FU322">
        <f>IF(ISBLANK('Data Entry'!$ñ$322), "", 'Data Entry'!$ñ$322)</f>
      </c>
      <c r="FV322">
        <f>IF(ISBLANK('Data Entry'!$ò$322), "", 'Data Entry'!$ò$322)</f>
      </c>
      <c r="FW322">
        <f>IF(ISBLANK('Data Entry'!$ó$322), "", 'Data Entry'!$ó$322)</f>
      </c>
      <c r="FX322">
        <f>IF(ISBLANK('Data Entry'!$ô$322), "", 'Data Entry'!$ô$322)</f>
      </c>
      <c r="FY322">
        <f>IF(ISBLANK('Data Entry'!$õ$322), "", 'Data Entry'!$õ$322)</f>
      </c>
      <c r="FZ322">
        <f>IF(ISBLANK('Data Entry'!$ö$322), "", 'Data Entry'!$ö$322)</f>
      </c>
      <c r="GA322">
        <f>IF(ISBLANK('Data Entry'!$÷$322), "", 'Data Entry'!$÷$322)</f>
      </c>
      <c r="GB322">
        <f>IF(ISBLANK('Data Entry'!$ø$322), "", 'Data Entry'!$ø$322)</f>
      </c>
      <c r="GC322">
        <f>IF(ISBLANK('Data Entry'!$ù$322), "", 'Data Entry'!$ù$322)</f>
      </c>
      <c r="GD322">
        <f>IF(ISBLANK('Data Entry'!$ú$322), "", 'Data Entry'!$ú$322)</f>
      </c>
      <c r="GE322">
        <f>IF(ISBLANK('Data Entry'!$û$322), "", 'Data Entry'!$û$322)</f>
      </c>
      <c r="GF322">
        <f>IF(ISBLANK('Data Entry'!$ü$322), "", 'Data Entry'!$ü$322)</f>
      </c>
      <c r="GG322">
        <f>IF(ISBLANK('Data Entry'!$ý$322), "", 'Data Entry'!$ý$322)</f>
      </c>
      <c r="GH322">
        <f>IF(ISBLANK('Data Entry'!$þ$322), "", 'Data Entry'!$þ$322)</f>
      </c>
      <c r="GI322">
        <f>IF(ISBLANK('Data Entry'!$ÿ$322), "", 'Data Entry'!$ÿ$322)</f>
      </c>
      <c r="GJ322">
        <f>IF(ISBLANK('Data Entry'!$Ā$322), "", 'Data Entry'!$Ā$322)</f>
      </c>
      <c r="GK322">
        <f>IF(ISBLANK('Data Entry'!$ā$322), "", 'Data Entry'!$ā$322)</f>
      </c>
      <c r="GL322">
        <f>IF(ISBLANK('Data Entry'!$Ă$322), "", 'Data Entry'!$Ă$322)</f>
      </c>
      <c r="GM322">
        <f>IF(ISBLANK('Data Entry'!$ă$322), "", 'Data Entry'!$ă$322)</f>
      </c>
      <c r="GN322">
        <f>IF(ISBLANK('Data Entry'!$Ą$322), "", 'Data Entry'!$Ą$322)</f>
      </c>
      <c r="GO322">
        <f>IF(ISBLANK('Data Entry'!$ą$322), "", 'Data Entry'!$ą$322)</f>
      </c>
      <c r="GP322">
        <f>IF(ISBLANK('Data Entry'!$Ć$322), "", 'Data Entry'!$Ć$322)</f>
      </c>
      <c r="GQ322">
        <f>IF(ISBLANK('Data Entry'!$ć$322), "", 'Data Entry'!$ć$322)</f>
      </c>
      <c r="GR322">
        <f>IF(ISBLANK('Data Entry'!$Ĉ$322), "", 'Data Entry'!$Ĉ$322)</f>
      </c>
      <c r="GS322">
        <f>IF(ISBLANK('Data Entry'!$ĉ$322), "", 'Data Entry'!$ĉ$322)</f>
      </c>
      <c r="GT322">
        <f>IF(ISBLANK('Data Entry'!$Ċ$322), "", 'Data Entry'!$Ċ$322)</f>
      </c>
      <c r="GU322">
        <f>IF(ISBLANK('Data Entry'!$ċ$322), "", 'Data Entry'!$ċ$322)</f>
      </c>
      <c r="GV322">
        <f>IF(ISBLANK('Data Entry'!$Č$322), "", 'Data Entry'!$Č$322)</f>
      </c>
      <c r="GW322">
        <f>IF(ISBLANK('Data Entry'!$č$322), "", 'Data Entry'!$č$322)</f>
      </c>
      <c r="GX322">
        <f>IF(ISBLANK('Data Entry'!$Ď$322), "", 'Data Entry'!$Ď$322)</f>
      </c>
      <c r="GY322">
        <f>IF(ISBLANK('Data Entry'!$ď$322), "", 'Data Entry'!$ď$322)</f>
      </c>
      <c r="GZ322">
        <f>IF(ISBLANK('Data Entry'!$Đ$322), "", 'Data Entry'!$Đ$322)</f>
      </c>
      <c r="HA322">
        <f>IF(ISBLANK('Data Entry'!$đ$322), "", 'Data Entry'!$đ$322)</f>
      </c>
      <c r="HB322">
        <f>IF(ISBLANK('Data Entry'!$Ē$322), "", 'Data Entry'!$Ē$322)</f>
      </c>
      <c r="HC322">
        <f>IF(ISBLANK('Data Entry'!$ē$322), "", 'Data Entry'!$ē$322)</f>
      </c>
      <c r="HD322">
        <f>IF(ISBLANK('Data Entry'!$Ĕ$322), "", 'Data Entry'!$Ĕ$322)</f>
      </c>
      <c r="HE322">
        <f>IF(ISBLANK('Data Entry'!$ĕ$322), "", 'Data Entry'!$ĕ$322)</f>
      </c>
      <c r="HF322">
        <f>IF(ISBLANK('Data Entry'!$Ė$322), "", 'Data Entry'!$Ė$322)</f>
      </c>
      <c r="HG322">
        <f>IF(ISBLANK('Data Entry'!$ė$322), "", 'Data Entry'!$ė$322)</f>
      </c>
      <c r="HH322">
        <f>IF(ISBLANK('Data Entry'!$Ę$322), "", 'Data Entry'!$Ę$322)</f>
      </c>
      <c r="HI322">
        <f>IF(ISBLANK('Data Entry'!$ę$322), "", 'Data Entry'!$ę$322)</f>
      </c>
      <c r="HJ322">
        <f>IF(ISBLANK('Data Entry'!$Ě$322), "", 'Data Entry'!$Ě$322)</f>
      </c>
      <c r="HK322">
        <f>IF(ISBLANK('Data Entry'!$ě$322), "", 'Data Entry'!$ě$322)</f>
      </c>
      <c r="HL322">
        <f>IF(ISBLANK('Data Entry'!$Ĝ$322), "", 'Data Entry'!$Ĝ$322)</f>
      </c>
      <c r="HM322">
        <f>IF(ISBLANK('Data Entry'!$ĝ$322), "", 'Data Entry'!$ĝ$322)</f>
      </c>
      <c r="HN322">
        <f>IF(ISBLANK('Data Entry'!$Ğ$322), "", 'Data Entry'!$Ğ$322)</f>
      </c>
      <c r="HO322">
        <f>IF(ISBLANK('Data Entry'!$ğ$322), "", 'Data Entry'!$ğ$322)</f>
      </c>
      <c r="HP322">
        <f>IF(ISBLANK('Data Entry'!$Ġ$322), "", 'Data Entry'!$Ġ$322)</f>
      </c>
      <c r="HQ322">
        <f>IF(ISBLANK('Data Entry'!$ġ$322), "", 'Data Entry'!$ġ$322)</f>
      </c>
      <c r="HR322">
        <f>IF(ISBLANK('Data Entry'!$Ģ$322), "", 'Data Entry'!$Ģ$322)</f>
      </c>
      <c r="HS322">
        <f>IF(ISBLANK('Data Entry'!$ģ$322), "", 'Data Entry'!$ģ$322)</f>
      </c>
      <c r="HT322">
        <f>IF(ISBLANK('Data Entry'!$Ĥ$322), "", 'Data Entry'!$Ĥ$322)</f>
      </c>
      <c r="HU322">
        <f>IF(ISBLANK('Data Entry'!$ĥ$322), "", 'Data Entry'!$ĥ$322)</f>
      </c>
      <c r="HV322">
        <f>IF(ISBLANK('Data Entry'!$Ħ$322), "", 'Data Entry'!$Ħ$322)</f>
      </c>
      <c r="HW322">
        <f>IF(ISBLANK('Data Entry'!$ħ$322), "", 'Data Entry'!$ħ$322)</f>
      </c>
      <c r="HX322">
        <f>IF(ISBLANK('Data Entry'!$Ĩ$322), "", 'Data Entry'!$Ĩ$322)</f>
      </c>
      <c r="HY322">
        <f>IF(ISBLANK('Data Entry'!$ĩ$322), "", 'Data Entry'!$ĩ$322)</f>
      </c>
      <c r="HZ322">
        <f>IF(ISBLANK('Data Entry'!$Ī$322), "", 'Data Entry'!$Ī$322)</f>
      </c>
      <c r="IA322">
        <f>IF(ISBLANK('Data Entry'!$ī$322), "", 'Data Entry'!$ī$322)</f>
      </c>
      <c r="IB322">
        <f>IF(ISBLANK('Data Entry'!$Ĭ$322), "", 'Data Entry'!$Ĭ$322)</f>
      </c>
      <c r="IC322">
        <f>IF(ISBLANK('Data Entry'!$ĭ$322), "", 'Data Entry'!$ĭ$322)</f>
      </c>
      <c r="ID322">
        <f>IF(ISBLANK('Data Entry'!$Į$322), "", 'Data Entry'!$Į$322)</f>
      </c>
      <c r="IE322">
        <f>IF(ISBLANK('Data Entry'!$į$322), "", 'Data Entry'!$į$322)</f>
      </c>
      <c r="IF322">
        <f>IF(ISBLANK('Data Entry'!$İ$322), "", 'Data Entry'!$İ$322)</f>
      </c>
      <c r="IG322">
        <f>IF(ISBLANK('Data Entry'!$ı$322), "", 'Data Entry'!$ı$322)</f>
      </c>
      <c r="IH322">
        <f>IF(ISBLANK('Data Entry'!$Ĳ$322), "", 'Data Entry'!$Ĳ$322)</f>
      </c>
      <c r="II322">
        <f>IF(ISBLANK('Data Entry'!$ĳ$322), "", 'Data Entry'!$ĳ$322)</f>
      </c>
      <c r="IJ322">
        <f>IF(ISBLANK('Data Entry'!$Ĵ$322), "", 'Data Entry'!$Ĵ$322)</f>
      </c>
      <c r="IK322">
        <f>IF(ISBLANK('Data Entry'!$ĵ$322), "", 'Data Entry'!$ĵ$322)</f>
      </c>
      <c r="IL322">
        <f>IF(ISBLANK('Data Entry'!$Ķ$322), "", 'Data Entry'!$Ķ$322)</f>
      </c>
      <c r="IM322">
        <f>IF(ISBLANK('Data Entry'!$ķ$322), "", 'Data Entry'!$ķ$322)</f>
      </c>
      <c r="IN322">
        <f>IF(ISBLANK('Data Entry'!$ĸ$322), "", 'Data Entry'!$ĸ$322)</f>
      </c>
      <c r="IO322">
        <f>IF(ISBLANK('Data Entry'!$Ĺ$322), "", 'Data Entry'!$Ĺ$322)</f>
      </c>
      <c r="IP322">
        <f>IF(ISBLANK('Data Entry'!$ĺ$322), "", 'Data Entry'!$ĺ$322)</f>
      </c>
      <c r="IQ322">
        <f>IF(ISBLANK('Data Entry'!$Ļ$322), "", 'Data Entry'!$Ļ$322)</f>
      </c>
      <c r="IR322">
        <f>IF(ISBLANK('Data Entry'!$ļ$322), "", 'Data Entry'!$ļ$322)</f>
      </c>
      <c r="IS322">
        <f>IF(ISBLANK('Data Entry'!$Ľ$322), "", 'Data Entry'!$Ľ$322)</f>
      </c>
      <c r="IT322">
        <f>IF(ISBLANK('Data Entry'!$ľ$322), "", 'Data Entry'!$ľ$322)</f>
      </c>
    </row>
    <row r="323" spans="1:254" x14ac:dyDescent="0.25">
      <c r="A323">
        <f>IF(ISBLANK('Data Entry'!$A$323), "", 'Data Entry'!$A$323)</f>
      </c>
      <c r="B323">
        <f>IF(ISBLANK('Data Entry'!$B$323), "", 'Data Entry'!$B$323)</f>
      </c>
      <c r="C323">
        <f>IF(ISBLANK('Data Entry'!$C$323), "", 'Data Entry'!$C$323)</f>
      </c>
      <c r="D323">
        <f>IF(ISBLANK('Data Entry'!$D$323), "", 'Data Entry'!$D$323)</f>
      </c>
      <c r="E323">
        <f>IF(ISBLANK('Data Entry'!$E$323), "", 'Data Entry'!$E$323)</f>
      </c>
      <c r="F323">
        <f>IF(ISBLANK('Data Entry'!$F$323), "", 'Data Entry'!$F$323)</f>
      </c>
      <c r="G323">
        <f>IF(ISBLANK('Data Entry'!$G$323), "", 'Data Entry'!$G$323)</f>
      </c>
      <c r="H323">
        <f>IF(ISBLANK('Data Entry'!$H$323), "", 'Data Entry'!$H$323)</f>
      </c>
      <c r="I323">
        <f>IF(ISBLANK('Data Entry'!$I$323), "", 'Data Entry'!$I$323)</f>
      </c>
      <c r="J323">
        <f>IF(ISBLANK('Data Entry'!$J$323), "", 'Data Entry'!$J$323)</f>
      </c>
      <c r="K323">
        <f>IF(ISBLANK('Data Entry'!$K$323), "", 'Data Entry'!$K$323)</f>
      </c>
      <c r="L323">
        <f>IF(ISBLANK('Data Entry'!$L$323), "", 'Data Entry'!$L$323)</f>
      </c>
      <c r="M323">
        <f>IF(ISBLANK('Data Entry'!$M$323), "", 'Data Entry'!$M$323)</f>
      </c>
      <c r="N323">
        <f>IF(ISBLANK('Data Entry'!$N$323), "", 'Data Entry'!$N$323)</f>
      </c>
      <c r="O323">
        <f>IF(ISBLANK('Data Entry'!$O$323), "", 'Data Entry'!$O$323)</f>
      </c>
      <c r="P323">
        <f>IF(ISBLANK('Data Entry'!$P$323), "", 'Data Entry'!$P$323)</f>
      </c>
      <c r="Q323">
        <f>IF(ISBLANK('Data Entry'!$Q$323), "", 'Data Entry'!$Q$323)</f>
      </c>
      <c r="R323">
        <f>IF(ISBLANK('Data Entry'!$R$323), "", 'Data Entry'!$R$323)</f>
      </c>
      <c r="S323">
        <f>IF(ISBLANK('Data Entry'!$S$323), "", 'Data Entry'!$S$323)</f>
      </c>
      <c r="T323">
        <f>IF(ISBLANK('Data Entry'!$T$323), "", 'Data Entry'!$T$323)</f>
      </c>
      <c r="U323">
        <f>IF(ISBLANK('Data Entry'!$U$323), "", 'Data Entry'!$U$323)</f>
      </c>
      <c r="V323">
        <f>IF(ISBLANK('Data Entry'!$V$323), "", 'Data Entry'!$V$323)</f>
      </c>
      <c r="W323">
        <f>IF(ISBLANK('Data Entry'!$W$323), "", 'Data Entry'!$W$323)</f>
      </c>
      <c r="X323">
        <f>IF(ISBLANK('Data Entry'!$X$323), "", 'Data Entry'!$X$323)</f>
      </c>
      <c r="Y323">
        <f>IF(ISBLANK('Data Entry'!$Y$323), "", 'Data Entry'!$Y$323)</f>
      </c>
      <c r="Z323">
        <f>IF(ISBLANK('Data Entry'!$Z$323), "", 'Data Entry'!$Z$323)</f>
      </c>
      <c r="AA323">
        <f>IF(ISBLANK('Data Entry'!$[$323), "", 'Data Entry'!$[$323)</f>
      </c>
      <c r="AB323">
        <f>IF(ISBLANK('Data Entry'!$\$323), "", 'Data Entry'!$\$323)</f>
      </c>
      <c r="AC323">
        <f>IF(ISBLANK('Data Entry'!$]$323), "", 'Data Entry'!$]$323)</f>
      </c>
      <c r="AD323">
        <f>IF(ISBLANK('Data Entry'!$^$323), "", 'Data Entry'!$^$323)</f>
      </c>
      <c r="AE323">
        <f>IF(ISBLANK('Data Entry'!$_$323), "", 'Data Entry'!$_$323)</f>
      </c>
      <c r="AF323">
        <f>IF(ISBLANK('Data Entry'!$`$323), "", 'Data Entry'!$`$323)</f>
      </c>
      <c r="AG323">
        <f>IF(ISBLANK('Data Entry'!$a$323), "", 'Data Entry'!$a$323)</f>
      </c>
      <c r="AH323">
        <f>IF(ISBLANK('Data Entry'!$b$323), "", 'Data Entry'!$b$323)</f>
      </c>
      <c r="AI323">
        <f>IF(ISBLANK('Data Entry'!$c$323), "", 'Data Entry'!$c$323)</f>
      </c>
      <c r="AJ323">
        <f>IF(ISBLANK('Data Entry'!$d$323), "", 'Data Entry'!$d$323)</f>
      </c>
      <c r="AK323">
        <f>IF(ISBLANK('Data Entry'!$e$323), "", 'Data Entry'!$e$323)</f>
      </c>
      <c r="AL323">
        <f>IF(ISBLANK('Data Entry'!$f$323), "", 'Data Entry'!$f$323)</f>
      </c>
      <c r="AM323">
        <f>IF(ISBLANK('Data Entry'!$g$323), "", 'Data Entry'!$g$323)</f>
      </c>
      <c r="AN323">
        <f>IF(ISBLANK('Data Entry'!$h$323), "", 'Data Entry'!$h$323)</f>
      </c>
      <c r="AO323">
        <f>IF(ISBLANK('Data Entry'!$i$323), "", 'Data Entry'!$i$323)</f>
      </c>
      <c r="AP323">
        <f>IF(ISBLANK('Data Entry'!$j$323), "", 'Data Entry'!$j$323)</f>
      </c>
      <c r="AQ323">
        <f>IF(ISBLANK('Data Entry'!$k$323), "", 'Data Entry'!$k$323)</f>
      </c>
      <c r="AR323">
        <f>IF(ISBLANK('Data Entry'!$l$323), "", 'Data Entry'!$l$323)</f>
      </c>
      <c r="AS323">
        <f>IF(ISBLANK('Data Entry'!$m$323), "", 'Data Entry'!$m$323)</f>
      </c>
      <c r="AT323">
        <f>IF(ISBLANK('Data Entry'!$n$323), "", 'Data Entry'!$n$323)</f>
      </c>
      <c r="AU323">
        <f>IF(ISBLANK('Data Entry'!$o$323), "", 'Data Entry'!$o$323)</f>
      </c>
      <c r="AV323">
        <f>IF(ISBLANK('Data Entry'!$p$323), "", 'Data Entry'!$p$323)</f>
      </c>
      <c r="AW323">
        <f>IF(ISBLANK('Data Entry'!$q$323), "", 'Data Entry'!$q$323)</f>
      </c>
      <c r="AX323">
        <f>IF(ISBLANK('Data Entry'!$r$323), "", 'Data Entry'!$r$323)</f>
      </c>
      <c r="AY323">
        <f>IF(ISBLANK('Data Entry'!$s$323), "", 'Data Entry'!$s$323)</f>
      </c>
      <c r="AZ323">
        <f>IF(ISBLANK('Data Entry'!$t$323), "", 'Data Entry'!$t$323)</f>
      </c>
      <c r="BA323">
        <f>IF(ISBLANK('Data Entry'!$u$323), "", 'Data Entry'!$u$323)</f>
      </c>
      <c r="BB323">
        <f>IF(ISBLANK('Data Entry'!$v$323), "", 'Data Entry'!$v$323)</f>
      </c>
      <c r="BC323">
        <f>IF(ISBLANK('Data Entry'!$w$323), "", 'Data Entry'!$w$323)</f>
      </c>
      <c r="BD323">
        <f>IF(ISBLANK('Data Entry'!$x$323), "", 'Data Entry'!$x$323)</f>
      </c>
      <c r="BE323">
        <f>IF(ISBLANK('Data Entry'!$y$323), "", 'Data Entry'!$y$323)</f>
      </c>
      <c r="BF323">
        <f>IF(ISBLANK('Data Entry'!$z$323), "", 'Data Entry'!$z$323)</f>
      </c>
      <c r="BG323">
        <f>IF(ISBLANK('Data Entry'!${$323), "", 'Data Entry'!${$323)</f>
      </c>
      <c r="BH323">
        <f>IF(ISBLANK('Data Entry'!$|$323), "", 'Data Entry'!$|$323)</f>
      </c>
      <c r="BI323">
        <f>IF(ISBLANK('Data Entry'!$}$323), "", 'Data Entry'!$}$323)</f>
      </c>
      <c r="BJ323">
        <f>IF(ISBLANK('Data Entry'!$~$323), "", 'Data Entry'!$~$323)</f>
      </c>
      <c r="BK323">
        <f>IF(ISBLANK('Data Entry'!$$323), "", 'Data Entry'!$$323)</f>
      </c>
      <c r="BL323">
        <f>IF(ISBLANK('Data Entry'!$$323), "", 'Data Entry'!$$323)</f>
      </c>
      <c r="BM323">
        <f>IF(ISBLANK('Data Entry'!$$323), "", 'Data Entry'!$$323)</f>
      </c>
      <c r="BN323">
        <f>IF(ISBLANK('Data Entry'!$$323), "", 'Data Entry'!$$323)</f>
      </c>
      <c r="BO323">
        <f>IF(ISBLANK('Data Entry'!$$323), "", 'Data Entry'!$$323)</f>
      </c>
      <c r="BP323">
        <f>IF(ISBLANK('Data Entry'!$$323), "", 'Data Entry'!$$323)</f>
      </c>
      <c r="BQ323">
        <f>IF(ISBLANK('Data Entry'!$$323), "", 'Data Entry'!$$323)</f>
      </c>
      <c r="BR323">
        <f>IF(ISBLANK('Data Entry'!$$323), "", 'Data Entry'!$$323)</f>
      </c>
      <c r="BS323">
        <f>IF(ISBLANK('Data Entry'!$$323), "", 'Data Entry'!$$323)</f>
      </c>
      <c r="BT323">
        <f>IF(ISBLANK('Data Entry'!$$323), "", 'Data Entry'!$$323)</f>
      </c>
      <c r="BU323">
        <f>IF(ISBLANK('Data Entry'!$$323), "", 'Data Entry'!$$323)</f>
      </c>
      <c r="BV323">
        <f>IF(ISBLANK('Data Entry'!$$323), "", 'Data Entry'!$$323)</f>
      </c>
      <c r="BW323">
        <f>IF(ISBLANK('Data Entry'!$$323), "", 'Data Entry'!$$323)</f>
      </c>
      <c r="BX323">
        <f>IF(ISBLANK('Data Entry'!$$323), "", 'Data Entry'!$$323)</f>
      </c>
      <c r="BY323">
        <f>IF(ISBLANK('Data Entry'!$$323), "", 'Data Entry'!$$323)</f>
      </c>
      <c r="BZ323">
        <f>IF(ISBLANK('Data Entry'!$$323), "", 'Data Entry'!$$323)</f>
      </c>
      <c r="CA323">
        <f>IF(ISBLANK('Data Entry'!$$323), "", 'Data Entry'!$$323)</f>
      </c>
      <c r="CB323">
        <f>IF(ISBLANK('Data Entry'!$$323), "", 'Data Entry'!$$323)</f>
      </c>
      <c r="CC323">
        <f>IF(ISBLANK('Data Entry'!$$323), "", 'Data Entry'!$$323)</f>
      </c>
      <c r="CD323">
        <f>IF(ISBLANK('Data Entry'!$$323), "", 'Data Entry'!$$323)</f>
      </c>
      <c r="CE323">
        <f>IF(ISBLANK('Data Entry'!$$323), "", 'Data Entry'!$$323)</f>
      </c>
      <c r="CF323">
        <f>IF(ISBLANK('Data Entry'!$$323), "", 'Data Entry'!$$323)</f>
      </c>
      <c r="CG323">
        <f>IF(ISBLANK('Data Entry'!$$323), "", 'Data Entry'!$$323)</f>
      </c>
      <c r="CH323">
        <f>IF(ISBLANK('Data Entry'!$$323), "", 'Data Entry'!$$323)</f>
      </c>
      <c r="CI323">
        <f>IF(ISBLANK('Data Entry'!$$323), "", 'Data Entry'!$$323)</f>
      </c>
      <c r="CJ323">
        <f>IF(ISBLANK('Data Entry'!$$323), "", 'Data Entry'!$$323)</f>
      </c>
      <c r="CK323">
        <f>IF(ISBLANK('Data Entry'!$$323), "", 'Data Entry'!$$323)</f>
      </c>
      <c r="CL323">
        <f>IF(ISBLANK('Data Entry'!$$323), "", 'Data Entry'!$$323)</f>
      </c>
      <c r="CM323">
        <f>IF(ISBLANK('Data Entry'!$$323), "", 'Data Entry'!$$323)</f>
      </c>
      <c r="CN323">
        <f>IF(ISBLANK('Data Entry'!$$323), "", 'Data Entry'!$$323)</f>
      </c>
      <c r="CO323">
        <f>IF(ISBLANK('Data Entry'!$$323), "", 'Data Entry'!$$323)</f>
      </c>
      <c r="CP323">
        <f>IF(ISBLANK('Data Entry'!$$323), "", 'Data Entry'!$$323)</f>
      </c>
      <c r="CQ323">
        <f>IF(ISBLANK('Data Entry'!$$323), "", 'Data Entry'!$$323)</f>
      </c>
      <c r="CR323">
        <f>IF(ISBLANK('Data Entry'!$ $323), "", 'Data Entry'!$ $323)</f>
      </c>
      <c r="CS323">
        <f>IF(ISBLANK('Data Entry'!$¡$323), "", 'Data Entry'!$¡$323)</f>
      </c>
      <c r="CT323">
        <f>IF(ISBLANK('Data Entry'!$¢$323), "", 'Data Entry'!$¢$323)</f>
      </c>
      <c r="CU323">
        <f>IF(ISBLANK('Data Entry'!$£$323), "", 'Data Entry'!$£$323)</f>
      </c>
      <c r="CV323">
        <f>IF(ISBLANK('Data Entry'!$¤$323), "", 'Data Entry'!$¤$323)</f>
      </c>
      <c r="CW323">
        <f>IF(ISBLANK('Data Entry'!$¥$323), "", 'Data Entry'!$¥$323)</f>
      </c>
      <c r="CX323">
        <f>IF(ISBLANK('Data Entry'!$¦$323), "", 'Data Entry'!$¦$323)</f>
      </c>
      <c r="CY323">
        <f>IF(ISBLANK('Data Entry'!$§$323), "", 'Data Entry'!$§$323)</f>
      </c>
      <c r="CZ323">
        <f>IF(ISBLANK('Data Entry'!$¨$323), "", 'Data Entry'!$¨$323)</f>
      </c>
      <c r="DA323">
        <f>IF(ISBLANK('Data Entry'!$©$323), "", 'Data Entry'!$©$323)</f>
      </c>
      <c r="DB323">
        <f>IF(ISBLANK('Data Entry'!$ª$323), "", 'Data Entry'!$ª$323)</f>
      </c>
      <c r="DC323">
        <f>IF(ISBLANK('Data Entry'!$«$323), "", 'Data Entry'!$«$323)</f>
      </c>
      <c r="DD323">
        <f>IF(ISBLANK('Data Entry'!$¬$323), "", 'Data Entry'!$¬$323)</f>
      </c>
      <c r="DE323">
        <f>IF(ISBLANK('Data Entry'!$­$323), "", 'Data Entry'!$­$323)</f>
      </c>
      <c r="DF323">
        <f>IF(ISBLANK('Data Entry'!$®$323), "", 'Data Entry'!$®$323)</f>
      </c>
      <c r="DG323">
        <f>IF(ISBLANK('Data Entry'!$¯$323), "", 'Data Entry'!$¯$323)</f>
      </c>
      <c r="DH323">
        <f>IF(ISBLANK('Data Entry'!$°$323), "", 'Data Entry'!$°$323)</f>
      </c>
      <c r="DI323">
        <f>IF(ISBLANK('Data Entry'!$±$323), "", 'Data Entry'!$±$323)</f>
      </c>
      <c r="DJ323">
        <f>IF(ISBLANK('Data Entry'!$²$323), "", 'Data Entry'!$²$323)</f>
      </c>
      <c r="DK323">
        <f>IF(ISBLANK('Data Entry'!$³$323), "", 'Data Entry'!$³$323)</f>
      </c>
      <c r="DL323">
        <f>IF(ISBLANK('Data Entry'!$´$323), "", 'Data Entry'!$´$323)</f>
      </c>
      <c r="DM323">
        <f>IF(ISBLANK('Data Entry'!$µ$323), "", 'Data Entry'!$µ$323)</f>
      </c>
      <c r="DN323">
        <f>IF(ISBLANK('Data Entry'!$¶$323), "", 'Data Entry'!$¶$323)</f>
      </c>
      <c r="DO323">
        <f>IF(ISBLANK('Data Entry'!$·$323), "", 'Data Entry'!$·$323)</f>
      </c>
      <c r="DP323">
        <f>IF(ISBLANK('Data Entry'!$¸$323), "", 'Data Entry'!$¸$323)</f>
      </c>
      <c r="DQ323">
        <f>IF(ISBLANK('Data Entry'!$¹$323), "", 'Data Entry'!$¹$323)</f>
      </c>
      <c r="DR323">
        <f>IF(ISBLANK('Data Entry'!$º$323), "", 'Data Entry'!$º$323)</f>
      </c>
      <c r="DS323">
        <f>IF(ISBLANK('Data Entry'!$»$323), "", 'Data Entry'!$»$323)</f>
      </c>
      <c r="DT323">
        <f>IF(ISBLANK('Data Entry'!$¼$323), "", 'Data Entry'!$¼$323)</f>
      </c>
      <c r="DU323">
        <f>IF(ISBLANK('Data Entry'!$½$323), "", 'Data Entry'!$½$323)</f>
      </c>
      <c r="DV323">
        <f>IF(ISBLANK('Data Entry'!$¾$323), "", 'Data Entry'!$¾$323)</f>
      </c>
      <c r="DW323">
        <f>IF(ISBLANK('Data Entry'!$¿$323), "", 'Data Entry'!$¿$323)</f>
      </c>
      <c r="DX323">
        <f>IF(ISBLANK('Data Entry'!$À$323), "", 'Data Entry'!$À$323)</f>
      </c>
      <c r="DY323">
        <f>IF(ISBLANK('Data Entry'!$Á$323), "", 'Data Entry'!$Á$323)</f>
      </c>
      <c r="DZ323">
        <f>IF(ISBLANK('Data Entry'!$Â$323), "", 'Data Entry'!$Â$323)</f>
      </c>
      <c r="EA323">
        <f>IF(ISBLANK('Data Entry'!$Ã$323), "", 'Data Entry'!$Ã$323)</f>
      </c>
      <c r="EB323">
        <f>IF(ISBLANK('Data Entry'!$Ä$323), "", 'Data Entry'!$Ä$323)</f>
      </c>
      <c r="EC323">
        <f>IF(ISBLANK('Data Entry'!$Å$323), "", 'Data Entry'!$Å$323)</f>
      </c>
      <c r="ED323">
        <f>IF(ISBLANK('Data Entry'!$Æ$323), "", 'Data Entry'!$Æ$323)</f>
      </c>
      <c r="EE323">
        <f>IF(ISBLANK('Data Entry'!$Ç$323), "", 'Data Entry'!$Ç$323)</f>
      </c>
      <c r="EF323">
        <f>IF(ISBLANK('Data Entry'!$È$323), "", 'Data Entry'!$È$323)</f>
      </c>
      <c r="EG323">
        <f>IF(ISBLANK('Data Entry'!$É$323), "", 'Data Entry'!$É$323)</f>
      </c>
      <c r="EH323">
        <f>IF(ISBLANK('Data Entry'!$Ê$323), "", 'Data Entry'!$Ê$323)</f>
      </c>
      <c r="EI323">
        <f>IF(ISBLANK('Data Entry'!$Ë$323), "", 'Data Entry'!$Ë$323)</f>
      </c>
      <c r="EJ323">
        <f>IF(ISBLANK('Data Entry'!$Ì$323), "", 'Data Entry'!$Ì$323)</f>
      </c>
      <c r="EK323">
        <f>IF(ISBLANK('Data Entry'!$Í$323), "", 'Data Entry'!$Í$323)</f>
      </c>
      <c r="EL323">
        <f>IF(ISBLANK('Data Entry'!$Î$323), "", 'Data Entry'!$Î$323)</f>
      </c>
      <c r="EM323">
        <f>IF(ISBLANK('Data Entry'!$Ï$323), "", 'Data Entry'!$Ï$323)</f>
      </c>
      <c r="EN323">
        <f>IF(ISBLANK('Data Entry'!$Ð$323), "", 'Data Entry'!$Ð$323)</f>
      </c>
      <c r="EO323">
        <f>IF(ISBLANK('Data Entry'!$Ñ$323), "", 'Data Entry'!$Ñ$323)</f>
      </c>
      <c r="EP323">
        <f>IF(ISBLANK('Data Entry'!$Ò$323), "", 'Data Entry'!$Ò$323)</f>
      </c>
      <c r="EQ323">
        <f>IF(ISBLANK('Data Entry'!$Ó$323), "", 'Data Entry'!$Ó$323)</f>
      </c>
      <c r="ER323">
        <f>IF(ISBLANK('Data Entry'!$Ô$323), "", 'Data Entry'!$Ô$323)</f>
      </c>
      <c r="ES323">
        <f>IF(ISBLANK('Data Entry'!$Õ$323), "", 'Data Entry'!$Õ$323)</f>
      </c>
      <c r="ET323">
        <f>IF(ISBLANK('Data Entry'!$Ö$323), "", 'Data Entry'!$Ö$323)</f>
      </c>
      <c r="EU323">
        <f>IF(ISBLANK('Data Entry'!$×$323), "", 'Data Entry'!$×$323)</f>
      </c>
      <c r="EV323">
        <f>IF(ISBLANK('Data Entry'!$Ø$323), "", 'Data Entry'!$Ø$323)</f>
      </c>
      <c r="EW323">
        <f>IF(ISBLANK('Data Entry'!$Ù$323), "", 'Data Entry'!$Ù$323)</f>
      </c>
      <c r="EX323">
        <f>IF(ISBLANK('Data Entry'!$Ú$323), "", 'Data Entry'!$Ú$323)</f>
      </c>
      <c r="EY323">
        <f>IF(ISBLANK('Data Entry'!$Û$323), "", 'Data Entry'!$Û$323)</f>
      </c>
      <c r="EZ323">
        <f>IF(ISBLANK('Data Entry'!$Ü$323), "", 'Data Entry'!$Ü$323)</f>
      </c>
      <c r="FA323">
        <f>IF(ISBLANK('Data Entry'!$Ý$323), "", 'Data Entry'!$Ý$323)</f>
      </c>
      <c r="FB323">
        <f>IF(ISBLANK('Data Entry'!$Þ$323), "", 'Data Entry'!$Þ$323)</f>
      </c>
      <c r="FC323">
        <f>IF(ISBLANK('Data Entry'!$ß$323), "", 'Data Entry'!$ß$323)</f>
      </c>
      <c r="FD323">
        <f>IF(ISBLANK('Data Entry'!$à$323), "", 'Data Entry'!$à$323)</f>
      </c>
      <c r="FE323">
        <f>IF(ISBLANK('Data Entry'!$á$323), "", 'Data Entry'!$á$323)</f>
      </c>
      <c r="FF323">
        <f>IF(ISBLANK('Data Entry'!$â$323), "", 'Data Entry'!$â$323)</f>
      </c>
      <c r="FG323">
        <f>IF(ISBLANK('Data Entry'!$ã$323), "", 'Data Entry'!$ã$323)</f>
      </c>
      <c r="FH323">
        <f>IF(ISBLANK('Data Entry'!$ä$323), "", 'Data Entry'!$ä$323)</f>
      </c>
      <c r="FI323">
        <f>IF(ISBLANK('Data Entry'!$å$323), "", 'Data Entry'!$å$323)</f>
      </c>
      <c r="FJ323">
        <f>IF(ISBLANK('Data Entry'!$æ$323), "", 'Data Entry'!$æ$323)</f>
      </c>
      <c r="FK323">
        <f>IF(ISBLANK('Data Entry'!$ç$323), "", 'Data Entry'!$ç$323)</f>
      </c>
      <c r="FL323">
        <f>IF(ISBLANK('Data Entry'!$è$323), "", 'Data Entry'!$è$323)</f>
      </c>
      <c r="FM323">
        <f>IF(ISBLANK('Data Entry'!$é$323), "", 'Data Entry'!$é$323)</f>
      </c>
      <c r="FN323">
        <f>IF(ISBLANK('Data Entry'!$ê$323), "", 'Data Entry'!$ê$323)</f>
      </c>
      <c r="FO323">
        <f>IF(ISBLANK('Data Entry'!$ë$323), "", 'Data Entry'!$ë$323)</f>
      </c>
      <c r="FP323">
        <f>IF(ISBLANK('Data Entry'!$ì$323), "", 'Data Entry'!$ì$323)</f>
      </c>
      <c r="FQ323">
        <f>IF(ISBLANK('Data Entry'!$í$323), "", 'Data Entry'!$í$323)</f>
      </c>
      <c r="FR323">
        <f>IF(ISBLANK('Data Entry'!$î$323), "", 'Data Entry'!$î$323)</f>
      </c>
      <c r="FS323">
        <f>IF(ISBLANK('Data Entry'!$ï$323), "", 'Data Entry'!$ï$323)</f>
      </c>
      <c r="FT323">
        <f>IF(ISBLANK('Data Entry'!$ð$323), "", 'Data Entry'!$ð$323)</f>
      </c>
      <c r="FU323">
        <f>IF(ISBLANK('Data Entry'!$ñ$323), "", 'Data Entry'!$ñ$323)</f>
      </c>
      <c r="FV323">
        <f>IF(ISBLANK('Data Entry'!$ò$323), "", 'Data Entry'!$ò$323)</f>
      </c>
      <c r="FW323">
        <f>IF(ISBLANK('Data Entry'!$ó$323), "", 'Data Entry'!$ó$323)</f>
      </c>
      <c r="FX323">
        <f>IF(ISBLANK('Data Entry'!$ô$323), "", 'Data Entry'!$ô$323)</f>
      </c>
      <c r="FY323">
        <f>IF(ISBLANK('Data Entry'!$õ$323), "", 'Data Entry'!$õ$323)</f>
      </c>
      <c r="FZ323">
        <f>IF(ISBLANK('Data Entry'!$ö$323), "", 'Data Entry'!$ö$323)</f>
      </c>
      <c r="GA323">
        <f>IF(ISBLANK('Data Entry'!$÷$323), "", 'Data Entry'!$÷$323)</f>
      </c>
      <c r="GB323">
        <f>IF(ISBLANK('Data Entry'!$ø$323), "", 'Data Entry'!$ø$323)</f>
      </c>
      <c r="GC323">
        <f>IF(ISBLANK('Data Entry'!$ù$323), "", 'Data Entry'!$ù$323)</f>
      </c>
      <c r="GD323">
        <f>IF(ISBLANK('Data Entry'!$ú$323), "", 'Data Entry'!$ú$323)</f>
      </c>
      <c r="GE323">
        <f>IF(ISBLANK('Data Entry'!$û$323), "", 'Data Entry'!$û$323)</f>
      </c>
      <c r="GF323">
        <f>IF(ISBLANK('Data Entry'!$ü$323), "", 'Data Entry'!$ü$323)</f>
      </c>
      <c r="GG323">
        <f>IF(ISBLANK('Data Entry'!$ý$323), "", 'Data Entry'!$ý$323)</f>
      </c>
      <c r="GH323">
        <f>IF(ISBLANK('Data Entry'!$þ$323), "", 'Data Entry'!$þ$323)</f>
      </c>
      <c r="GI323">
        <f>IF(ISBLANK('Data Entry'!$ÿ$323), "", 'Data Entry'!$ÿ$323)</f>
      </c>
      <c r="GJ323">
        <f>IF(ISBLANK('Data Entry'!$Ā$323), "", 'Data Entry'!$Ā$323)</f>
      </c>
      <c r="GK323">
        <f>IF(ISBLANK('Data Entry'!$ā$323), "", 'Data Entry'!$ā$323)</f>
      </c>
      <c r="GL323">
        <f>IF(ISBLANK('Data Entry'!$Ă$323), "", 'Data Entry'!$Ă$323)</f>
      </c>
      <c r="GM323">
        <f>IF(ISBLANK('Data Entry'!$ă$323), "", 'Data Entry'!$ă$323)</f>
      </c>
      <c r="GN323">
        <f>IF(ISBLANK('Data Entry'!$Ą$323), "", 'Data Entry'!$Ą$323)</f>
      </c>
      <c r="GO323">
        <f>IF(ISBLANK('Data Entry'!$ą$323), "", 'Data Entry'!$ą$323)</f>
      </c>
      <c r="GP323">
        <f>IF(ISBLANK('Data Entry'!$Ć$323), "", 'Data Entry'!$Ć$323)</f>
      </c>
      <c r="GQ323">
        <f>IF(ISBLANK('Data Entry'!$ć$323), "", 'Data Entry'!$ć$323)</f>
      </c>
      <c r="GR323">
        <f>IF(ISBLANK('Data Entry'!$Ĉ$323), "", 'Data Entry'!$Ĉ$323)</f>
      </c>
      <c r="GS323">
        <f>IF(ISBLANK('Data Entry'!$ĉ$323), "", 'Data Entry'!$ĉ$323)</f>
      </c>
      <c r="GT323">
        <f>IF(ISBLANK('Data Entry'!$Ċ$323), "", 'Data Entry'!$Ċ$323)</f>
      </c>
      <c r="GU323">
        <f>IF(ISBLANK('Data Entry'!$ċ$323), "", 'Data Entry'!$ċ$323)</f>
      </c>
      <c r="GV323">
        <f>IF(ISBLANK('Data Entry'!$Č$323), "", 'Data Entry'!$Č$323)</f>
      </c>
      <c r="GW323">
        <f>IF(ISBLANK('Data Entry'!$č$323), "", 'Data Entry'!$č$323)</f>
      </c>
      <c r="GX323">
        <f>IF(ISBLANK('Data Entry'!$Ď$323), "", 'Data Entry'!$Ď$323)</f>
      </c>
      <c r="GY323">
        <f>IF(ISBLANK('Data Entry'!$ď$323), "", 'Data Entry'!$ď$323)</f>
      </c>
      <c r="GZ323">
        <f>IF(ISBLANK('Data Entry'!$Đ$323), "", 'Data Entry'!$Đ$323)</f>
      </c>
      <c r="HA323">
        <f>IF(ISBLANK('Data Entry'!$đ$323), "", 'Data Entry'!$đ$323)</f>
      </c>
      <c r="HB323">
        <f>IF(ISBLANK('Data Entry'!$Ē$323), "", 'Data Entry'!$Ē$323)</f>
      </c>
      <c r="HC323">
        <f>IF(ISBLANK('Data Entry'!$ē$323), "", 'Data Entry'!$ē$323)</f>
      </c>
      <c r="HD323">
        <f>IF(ISBLANK('Data Entry'!$Ĕ$323), "", 'Data Entry'!$Ĕ$323)</f>
      </c>
      <c r="HE323">
        <f>IF(ISBLANK('Data Entry'!$ĕ$323), "", 'Data Entry'!$ĕ$323)</f>
      </c>
      <c r="HF323">
        <f>IF(ISBLANK('Data Entry'!$Ė$323), "", 'Data Entry'!$Ė$323)</f>
      </c>
      <c r="HG323">
        <f>IF(ISBLANK('Data Entry'!$ė$323), "", 'Data Entry'!$ė$323)</f>
      </c>
      <c r="HH323">
        <f>IF(ISBLANK('Data Entry'!$Ę$323), "", 'Data Entry'!$Ę$323)</f>
      </c>
      <c r="HI323">
        <f>IF(ISBLANK('Data Entry'!$ę$323), "", 'Data Entry'!$ę$323)</f>
      </c>
      <c r="HJ323">
        <f>IF(ISBLANK('Data Entry'!$Ě$323), "", 'Data Entry'!$Ě$323)</f>
      </c>
      <c r="HK323">
        <f>IF(ISBLANK('Data Entry'!$ě$323), "", 'Data Entry'!$ě$323)</f>
      </c>
      <c r="HL323">
        <f>IF(ISBLANK('Data Entry'!$Ĝ$323), "", 'Data Entry'!$Ĝ$323)</f>
      </c>
      <c r="HM323">
        <f>IF(ISBLANK('Data Entry'!$ĝ$323), "", 'Data Entry'!$ĝ$323)</f>
      </c>
      <c r="HN323">
        <f>IF(ISBLANK('Data Entry'!$Ğ$323), "", 'Data Entry'!$Ğ$323)</f>
      </c>
      <c r="HO323">
        <f>IF(ISBLANK('Data Entry'!$ğ$323), "", 'Data Entry'!$ğ$323)</f>
      </c>
      <c r="HP323">
        <f>IF(ISBLANK('Data Entry'!$Ġ$323), "", 'Data Entry'!$Ġ$323)</f>
      </c>
      <c r="HQ323">
        <f>IF(ISBLANK('Data Entry'!$ġ$323), "", 'Data Entry'!$ġ$323)</f>
      </c>
      <c r="HR323">
        <f>IF(ISBLANK('Data Entry'!$Ģ$323), "", 'Data Entry'!$Ģ$323)</f>
      </c>
      <c r="HS323">
        <f>IF(ISBLANK('Data Entry'!$ģ$323), "", 'Data Entry'!$ģ$323)</f>
      </c>
      <c r="HT323">
        <f>IF(ISBLANK('Data Entry'!$Ĥ$323), "", 'Data Entry'!$Ĥ$323)</f>
      </c>
      <c r="HU323">
        <f>IF(ISBLANK('Data Entry'!$ĥ$323), "", 'Data Entry'!$ĥ$323)</f>
      </c>
      <c r="HV323">
        <f>IF(ISBLANK('Data Entry'!$Ħ$323), "", 'Data Entry'!$Ħ$323)</f>
      </c>
      <c r="HW323">
        <f>IF(ISBLANK('Data Entry'!$ħ$323), "", 'Data Entry'!$ħ$323)</f>
      </c>
      <c r="HX323">
        <f>IF(ISBLANK('Data Entry'!$Ĩ$323), "", 'Data Entry'!$Ĩ$323)</f>
      </c>
      <c r="HY323">
        <f>IF(ISBLANK('Data Entry'!$ĩ$323), "", 'Data Entry'!$ĩ$323)</f>
      </c>
      <c r="HZ323">
        <f>IF(ISBLANK('Data Entry'!$Ī$323), "", 'Data Entry'!$Ī$323)</f>
      </c>
      <c r="IA323">
        <f>IF(ISBLANK('Data Entry'!$ī$323), "", 'Data Entry'!$ī$323)</f>
      </c>
      <c r="IB323">
        <f>IF(ISBLANK('Data Entry'!$Ĭ$323), "", 'Data Entry'!$Ĭ$323)</f>
      </c>
      <c r="IC323">
        <f>IF(ISBLANK('Data Entry'!$ĭ$323), "", 'Data Entry'!$ĭ$323)</f>
      </c>
      <c r="ID323">
        <f>IF(ISBLANK('Data Entry'!$Į$323), "", 'Data Entry'!$Į$323)</f>
      </c>
      <c r="IE323">
        <f>IF(ISBLANK('Data Entry'!$į$323), "", 'Data Entry'!$į$323)</f>
      </c>
      <c r="IF323">
        <f>IF(ISBLANK('Data Entry'!$İ$323), "", 'Data Entry'!$İ$323)</f>
      </c>
      <c r="IG323">
        <f>IF(ISBLANK('Data Entry'!$ı$323), "", 'Data Entry'!$ı$323)</f>
      </c>
      <c r="IH323">
        <f>IF(ISBLANK('Data Entry'!$Ĳ$323), "", 'Data Entry'!$Ĳ$323)</f>
      </c>
      <c r="II323">
        <f>IF(ISBLANK('Data Entry'!$ĳ$323), "", 'Data Entry'!$ĳ$323)</f>
      </c>
      <c r="IJ323">
        <f>IF(ISBLANK('Data Entry'!$Ĵ$323), "", 'Data Entry'!$Ĵ$323)</f>
      </c>
      <c r="IK323">
        <f>IF(ISBLANK('Data Entry'!$ĵ$323), "", 'Data Entry'!$ĵ$323)</f>
      </c>
      <c r="IL323">
        <f>IF(ISBLANK('Data Entry'!$Ķ$323), "", 'Data Entry'!$Ķ$323)</f>
      </c>
      <c r="IM323">
        <f>IF(ISBLANK('Data Entry'!$ķ$323), "", 'Data Entry'!$ķ$323)</f>
      </c>
      <c r="IN323">
        <f>IF(ISBLANK('Data Entry'!$ĸ$323), "", 'Data Entry'!$ĸ$323)</f>
      </c>
      <c r="IO323">
        <f>IF(ISBLANK('Data Entry'!$Ĺ$323), "", 'Data Entry'!$Ĺ$323)</f>
      </c>
      <c r="IP323">
        <f>IF(ISBLANK('Data Entry'!$ĺ$323), "", 'Data Entry'!$ĺ$323)</f>
      </c>
      <c r="IQ323">
        <f>IF(ISBLANK('Data Entry'!$Ļ$323), "", 'Data Entry'!$Ļ$323)</f>
      </c>
      <c r="IR323">
        <f>IF(ISBLANK('Data Entry'!$ļ$323), "", 'Data Entry'!$ļ$323)</f>
      </c>
      <c r="IS323">
        <f>IF(ISBLANK('Data Entry'!$Ľ$323), "", 'Data Entry'!$Ľ$323)</f>
      </c>
      <c r="IT323">
        <f>IF(ISBLANK('Data Entry'!$ľ$323), "", 'Data Entry'!$ľ$323)</f>
      </c>
    </row>
    <row r="324" spans="1:254" x14ac:dyDescent="0.25">
      <c r="A324">
        <f>IF(ISBLANK('Data Entry'!$A$324), "", 'Data Entry'!$A$324)</f>
      </c>
      <c r="B324">
        <f>IF(ISBLANK('Data Entry'!$B$324), "", 'Data Entry'!$B$324)</f>
      </c>
      <c r="C324">
        <f>IF(ISBLANK('Data Entry'!$C$324), "", 'Data Entry'!$C$324)</f>
      </c>
      <c r="D324">
        <f>IF(ISBLANK('Data Entry'!$D$324), "", 'Data Entry'!$D$324)</f>
      </c>
      <c r="E324">
        <f>IF(ISBLANK('Data Entry'!$E$324), "", 'Data Entry'!$E$324)</f>
      </c>
      <c r="F324">
        <f>IF(ISBLANK('Data Entry'!$F$324), "", 'Data Entry'!$F$324)</f>
      </c>
      <c r="G324">
        <f>IF(ISBLANK('Data Entry'!$G$324), "", 'Data Entry'!$G$324)</f>
      </c>
      <c r="H324">
        <f>IF(ISBLANK('Data Entry'!$H$324), "", 'Data Entry'!$H$324)</f>
      </c>
      <c r="I324">
        <f>IF(ISBLANK('Data Entry'!$I$324), "", 'Data Entry'!$I$324)</f>
      </c>
      <c r="J324">
        <f>IF(ISBLANK('Data Entry'!$J$324), "", 'Data Entry'!$J$324)</f>
      </c>
      <c r="K324">
        <f>IF(ISBLANK('Data Entry'!$K$324), "", 'Data Entry'!$K$324)</f>
      </c>
      <c r="L324">
        <f>IF(ISBLANK('Data Entry'!$L$324), "", 'Data Entry'!$L$324)</f>
      </c>
      <c r="M324">
        <f>IF(ISBLANK('Data Entry'!$M$324), "", 'Data Entry'!$M$324)</f>
      </c>
      <c r="N324">
        <f>IF(ISBLANK('Data Entry'!$N$324), "", 'Data Entry'!$N$324)</f>
      </c>
      <c r="O324">
        <f>IF(ISBLANK('Data Entry'!$O$324), "", 'Data Entry'!$O$324)</f>
      </c>
      <c r="P324">
        <f>IF(ISBLANK('Data Entry'!$P$324), "", 'Data Entry'!$P$324)</f>
      </c>
      <c r="Q324">
        <f>IF(ISBLANK('Data Entry'!$Q$324), "", 'Data Entry'!$Q$324)</f>
      </c>
      <c r="R324">
        <f>IF(ISBLANK('Data Entry'!$R$324), "", 'Data Entry'!$R$324)</f>
      </c>
      <c r="S324">
        <f>IF(ISBLANK('Data Entry'!$S$324), "", 'Data Entry'!$S$324)</f>
      </c>
      <c r="T324">
        <f>IF(ISBLANK('Data Entry'!$T$324), "", 'Data Entry'!$T$324)</f>
      </c>
      <c r="U324">
        <f>IF(ISBLANK('Data Entry'!$U$324), "", 'Data Entry'!$U$324)</f>
      </c>
      <c r="V324">
        <f>IF(ISBLANK('Data Entry'!$V$324), "", 'Data Entry'!$V$324)</f>
      </c>
      <c r="W324">
        <f>IF(ISBLANK('Data Entry'!$W$324), "", 'Data Entry'!$W$324)</f>
      </c>
      <c r="X324">
        <f>IF(ISBLANK('Data Entry'!$X$324), "", 'Data Entry'!$X$324)</f>
      </c>
      <c r="Y324">
        <f>IF(ISBLANK('Data Entry'!$Y$324), "", 'Data Entry'!$Y$324)</f>
      </c>
      <c r="Z324">
        <f>IF(ISBLANK('Data Entry'!$Z$324), "", 'Data Entry'!$Z$324)</f>
      </c>
      <c r="AA324">
        <f>IF(ISBLANK('Data Entry'!$[$324), "", 'Data Entry'!$[$324)</f>
      </c>
      <c r="AB324">
        <f>IF(ISBLANK('Data Entry'!$\$324), "", 'Data Entry'!$\$324)</f>
      </c>
      <c r="AC324">
        <f>IF(ISBLANK('Data Entry'!$]$324), "", 'Data Entry'!$]$324)</f>
      </c>
      <c r="AD324">
        <f>IF(ISBLANK('Data Entry'!$^$324), "", 'Data Entry'!$^$324)</f>
      </c>
      <c r="AE324">
        <f>IF(ISBLANK('Data Entry'!$_$324), "", 'Data Entry'!$_$324)</f>
      </c>
      <c r="AF324">
        <f>IF(ISBLANK('Data Entry'!$`$324), "", 'Data Entry'!$`$324)</f>
      </c>
      <c r="AG324">
        <f>IF(ISBLANK('Data Entry'!$a$324), "", 'Data Entry'!$a$324)</f>
      </c>
      <c r="AH324">
        <f>IF(ISBLANK('Data Entry'!$b$324), "", 'Data Entry'!$b$324)</f>
      </c>
      <c r="AI324">
        <f>IF(ISBLANK('Data Entry'!$c$324), "", 'Data Entry'!$c$324)</f>
      </c>
      <c r="AJ324">
        <f>IF(ISBLANK('Data Entry'!$d$324), "", 'Data Entry'!$d$324)</f>
      </c>
      <c r="AK324">
        <f>IF(ISBLANK('Data Entry'!$e$324), "", 'Data Entry'!$e$324)</f>
      </c>
      <c r="AL324">
        <f>IF(ISBLANK('Data Entry'!$f$324), "", 'Data Entry'!$f$324)</f>
      </c>
      <c r="AM324">
        <f>IF(ISBLANK('Data Entry'!$g$324), "", 'Data Entry'!$g$324)</f>
      </c>
      <c r="AN324">
        <f>IF(ISBLANK('Data Entry'!$h$324), "", 'Data Entry'!$h$324)</f>
      </c>
      <c r="AO324">
        <f>IF(ISBLANK('Data Entry'!$i$324), "", 'Data Entry'!$i$324)</f>
      </c>
      <c r="AP324">
        <f>IF(ISBLANK('Data Entry'!$j$324), "", 'Data Entry'!$j$324)</f>
      </c>
      <c r="AQ324">
        <f>IF(ISBLANK('Data Entry'!$k$324), "", 'Data Entry'!$k$324)</f>
      </c>
      <c r="AR324">
        <f>IF(ISBLANK('Data Entry'!$l$324), "", 'Data Entry'!$l$324)</f>
      </c>
      <c r="AS324">
        <f>IF(ISBLANK('Data Entry'!$m$324), "", 'Data Entry'!$m$324)</f>
      </c>
      <c r="AT324">
        <f>IF(ISBLANK('Data Entry'!$n$324), "", 'Data Entry'!$n$324)</f>
      </c>
      <c r="AU324">
        <f>IF(ISBLANK('Data Entry'!$o$324), "", 'Data Entry'!$o$324)</f>
      </c>
      <c r="AV324">
        <f>IF(ISBLANK('Data Entry'!$p$324), "", 'Data Entry'!$p$324)</f>
      </c>
      <c r="AW324">
        <f>IF(ISBLANK('Data Entry'!$q$324), "", 'Data Entry'!$q$324)</f>
      </c>
      <c r="AX324">
        <f>IF(ISBLANK('Data Entry'!$r$324), "", 'Data Entry'!$r$324)</f>
      </c>
      <c r="AY324">
        <f>IF(ISBLANK('Data Entry'!$s$324), "", 'Data Entry'!$s$324)</f>
      </c>
      <c r="AZ324">
        <f>IF(ISBLANK('Data Entry'!$t$324), "", 'Data Entry'!$t$324)</f>
      </c>
      <c r="BA324">
        <f>IF(ISBLANK('Data Entry'!$u$324), "", 'Data Entry'!$u$324)</f>
      </c>
      <c r="BB324">
        <f>IF(ISBLANK('Data Entry'!$v$324), "", 'Data Entry'!$v$324)</f>
      </c>
      <c r="BC324">
        <f>IF(ISBLANK('Data Entry'!$w$324), "", 'Data Entry'!$w$324)</f>
      </c>
      <c r="BD324">
        <f>IF(ISBLANK('Data Entry'!$x$324), "", 'Data Entry'!$x$324)</f>
      </c>
      <c r="BE324">
        <f>IF(ISBLANK('Data Entry'!$y$324), "", 'Data Entry'!$y$324)</f>
      </c>
      <c r="BF324">
        <f>IF(ISBLANK('Data Entry'!$z$324), "", 'Data Entry'!$z$324)</f>
      </c>
      <c r="BG324">
        <f>IF(ISBLANK('Data Entry'!${$324), "", 'Data Entry'!${$324)</f>
      </c>
      <c r="BH324">
        <f>IF(ISBLANK('Data Entry'!$|$324), "", 'Data Entry'!$|$324)</f>
      </c>
      <c r="BI324">
        <f>IF(ISBLANK('Data Entry'!$}$324), "", 'Data Entry'!$}$324)</f>
      </c>
      <c r="BJ324">
        <f>IF(ISBLANK('Data Entry'!$~$324), "", 'Data Entry'!$~$324)</f>
      </c>
      <c r="BK324">
        <f>IF(ISBLANK('Data Entry'!$$324), "", 'Data Entry'!$$324)</f>
      </c>
      <c r="BL324">
        <f>IF(ISBLANK('Data Entry'!$$324), "", 'Data Entry'!$$324)</f>
      </c>
      <c r="BM324">
        <f>IF(ISBLANK('Data Entry'!$$324), "", 'Data Entry'!$$324)</f>
      </c>
      <c r="BN324">
        <f>IF(ISBLANK('Data Entry'!$$324), "", 'Data Entry'!$$324)</f>
      </c>
      <c r="BO324">
        <f>IF(ISBLANK('Data Entry'!$$324), "", 'Data Entry'!$$324)</f>
      </c>
      <c r="BP324">
        <f>IF(ISBLANK('Data Entry'!$$324), "", 'Data Entry'!$$324)</f>
      </c>
      <c r="BQ324">
        <f>IF(ISBLANK('Data Entry'!$$324), "", 'Data Entry'!$$324)</f>
      </c>
      <c r="BR324">
        <f>IF(ISBLANK('Data Entry'!$$324), "", 'Data Entry'!$$324)</f>
      </c>
      <c r="BS324">
        <f>IF(ISBLANK('Data Entry'!$$324), "", 'Data Entry'!$$324)</f>
      </c>
      <c r="BT324">
        <f>IF(ISBLANK('Data Entry'!$$324), "", 'Data Entry'!$$324)</f>
      </c>
      <c r="BU324">
        <f>IF(ISBLANK('Data Entry'!$$324), "", 'Data Entry'!$$324)</f>
      </c>
      <c r="BV324">
        <f>IF(ISBLANK('Data Entry'!$$324), "", 'Data Entry'!$$324)</f>
      </c>
      <c r="BW324">
        <f>IF(ISBLANK('Data Entry'!$$324), "", 'Data Entry'!$$324)</f>
      </c>
      <c r="BX324">
        <f>IF(ISBLANK('Data Entry'!$$324), "", 'Data Entry'!$$324)</f>
      </c>
      <c r="BY324">
        <f>IF(ISBLANK('Data Entry'!$$324), "", 'Data Entry'!$$324)</f>
      </c>
      <c r="BZ324">
        <f>IF(ISBLANK('Data Entry'!$$324), "", 'Data Entry'!$$324)</f>
      </c>
      <c r="CA324">
        <f>IF(ISBLANK('Data Entry'!$$324), "", 'Data Entry'!$$324)</f>
      </c>
      <c r="CB324">
        <f>IF(ISBLANK('Data Entry'!$$324), "", 'Data Entry'!$$324)</f>
      </c>
      <c r="CC324">
        <f>IF(ISBLANK('Data Entry'!$$324), "", 'Data Entry'!$$324)</f>
      </c>
      <c r="CD324">
        <f>IF(ISBLANK('Data Entry'!$$324), "", 'Data Entry'!$$324)</f>
      </c>
      <c r="CE324">
        <f>IF(ISBLANK('Data Entry'!$$324), "", 'Data Entry'!$$324)</f>
      </c>
      <c r="CF324">
        <f>IF(ISBLANK('Data Entry'!$$324), "", 'Data Entry'!$$324)</f>
      </c>
      <c r="CG324">
        <f>IF(ISBLANK('Data Entry'!$$324), "", 'Data Entry'!$$324)</f>
      </c>
      <c r="CH324">
        <f>IF(ISBLANK('Data Entry'!$$324), "", 'Data Entry'!$$324)</f>
      </c>
      <c r="CI324">
        <f>IF(ISBLANK('Data Entry'!$$324), "", 'Data Entry'!$$324)</f>
      </c>
      <c r="CJ324">
        <f>IF(ISBLANK('Data Entry'!$$324), "", 'Data Entry'!$$324)</f>
      </c>
      <c r="CK324">
        <f>IF(ISBLANK('Data Entry'!$$324), "", 'Data Entry'!$$324)</f>
      </c>
      <c r="CL324">
        <f>IF(ISBLANK('Data Entry'!$$324), "", 'Data Entry'!$$324)</f>
      </c>
      <c r="CM324">
        <f>IF(ISBLANK('Data Entry'!$$324), "", 'Data Entry'!$$324)</f>
      </c>
      <c r="CN324">
        <f>IF(ISBLANK('Data Entry'!$$324), "", 'Data Entry'!$$324)</f>
      </c>
      <c r="CO324">
        <f>IF(ISBLANK('Data Entry'!$$324), "", 'Data Entry'!$$324)</f>
      </c>
      <c r="CP324">
        <f>IF(ISBLANK('Data Entry'!$$324), "", 'Data Entry'!$$324)</f>
      </c>
      <c r="CQ324">
        <f>IF(ISBLANK('Data Entry'!$$324), "", 'Data Entry'!$$324)</f>
      </c>
      <c r="CR324">
        <f>IF(ISBLANK('Data Entry'!$ $324), "", 'Data Entry'!$ $324)</f>
      </c>
      <c r="CS324">
        <f>IF(ISBLANK('Data Entry'!$¡$324), "", 'Data Entry'!$¡$324)</f>
      </c>
      <c r="CT324">
        <f>IF(ISBLANK('Data Entry'!$¢$324), "", 'Data Entry'!$¢$324)</f>
      </c>
      <c r="CU324">
        <f>IF(ISBLANK('Data Entry'!$£$324), "", 'Data Entry'!$£$324)</f>
      </c>
      <c r="CV324">
        <f>IF(ISBLANK('Data Entry'!$¤$324), "", 'Data Entry'!$¤$324)</f>
      </c>
      <c r="CW324">
        <f>IF(ISBLANK('Data Entry'!$¥$324), "", 'Data Entry'!$¥$324)</f>
      </c>
      <c r="CX324">
        <f>IF(ISBLANK('Data Entry'!$¦$324), "", 'Data Entry'!$¦$324)</f>
      </c>
      <c r="CY324">
        <f>IF(ISBLANK('Data Entry'!$§$324), "", 'Data Entry'!$§$324)</f>
      </c>
      <c r="CZ324">
        <f>IF(ISBLANK('Data Entry'!$¨$324), "", 'Data Entry'!$¨$324)</f>
      </c>
      <c r="DA324">
        <f>IF(ISBLANK('Data Entry'!$©$324), "", 'Data Entry'!$©$324)</f>
      </c>
      <c r="DB324">
        <f>IF(ISBLANK('Data Entry'!$ª$324), "", 'Data Entry'!$ª$324)</f>
      </c>
      <c r="DC324">
        <f>IF(ISBLANK('Data Entry'!$«$324), "", 'Data Entry'!$«$324)</f>
      </c>
      <c r="DD324">
        <f>IF(ISBLANK('Data Entry'!$¬$324), "", 'Data Entry'!$¬$324)</f>
      </c>
      <c r="DE324">
        <f>IF(ISBLANK('Data Entry'!$­$324), "", 'Data Entry'!$­$324)</f>
      </c>
      <c r="DF324">
        <f>IF(ISBLANK('Data Entry'!$®$324), "", 'Data Entry'!$®$324)</f>
      </c>
      <c r="DG324">
        <f>IF(ISBLANK('Data Entry'!$¯$324), "", 'Data Entry'!$¯$324)</f>
      </c>
      <c r="DH324">
        <f>IF(ISBLANK('Data Entry'!$°$324), "", 'Data Entry'!$°$324)</f>
      </c>
      <c r="DI324">
        <f>IF(ISBLANK('Data Entry'!$±$324), "", 'Data Entry'!$±$324)</f>
      </c>
      <c r="DJ324">
        <f>IF(ISBLANK('Data Entry'!$²$324), "", 'Data Entry'!$²$324)</f>
      </c>
      <c r="DK324">
        <f>IF(ISBLANK('Data Entry'!$³$324), "", 'Data Entry'!$³$324)</f>
      </c>
      <c r="DL324">
        <f>IF(ISBLANK('Data Entry'!$´$324), "", 'Data Entry'!$´$324)</f>
      </c>
      <c r="DM324">
        <f>IF(ISBLANK('Data Entry'!$µ$324), "", 'Data Entry'!$µ$324)</f>
      </c>
      <c r="DN324">
        <f>IF(ISBLANK('Data Entry'!$¶$324), "", 'Data Entry'!$¶$324)</f>
      </c>
      <c r="DO324">
        <f>IF(ISBLANK('Data Entry'!$·$324), "", 'Data Entry'!$·$324)</f>
      </c>
      <c r="DP324">
        <f>IF(ISBLANK('Data Entry'!$¸$324), "", 'Data Entry'!$¸$324)</f>
      </c>
      <c r="DQ324">
        <f>IF(ISBLANK('Data Entry'!$¹$324), "", 'Data Entry'!$¹$324)</f>
      </c>
      <c r="DR324">
        <f>IF(ISBLANK('Data Entry'!$º$324), "", 'Data Entry'!$º$324)</f>
      </c>
      <c r="DS324">
        <f>IF(ISBLANK('Data Entry'!$»$324), "", 'Data Entry'!$»$324)</f>
      </c>
      <c r="DT324">
        <f>IF(ISBLANK('Data Entry'!$¼$324), "", 'Data Entry'!$¼$324)</f>
      </c>
      <c r="DU324">
        <f>IF(ISBLANK('Data Entry'!$½$324), "", 'Data Entry'!$½$324)</f>
      </c>
      <c r="DV324">
        <f>IF(ISBLANK('Data Entry'!$¾$324), "", 'Data Entry'!$¾$324)</f>
      </c>
      <c r="DW324">
        <f>IF(ISBLANK('Data Entry'!$¿$324), "", 'Data Entry'!$¿$324)</f>
      </c>
      <c r="DX324">
        <f>IF(ISBLANK('Data Entry'!$À$324), "", 'Data Entry'!$À$324)</f>
      </c>
      <c r="DY324">
        <f>IF(ISBLANK('Data Entry'!$Á$324), "", 'Data Entry'!$Á$324)</f>
      </c>
      <c r="DZ324">
        <f>IF(ISBLANK('Data Entry'!$Â$324), "", 'Data Entry'!$Â$324)</f>
      </c>
      <c r="EA324">
        <f>IF(ISBLANK('Data Entry'!$Ã$324), "", 'Data Entry'!$Ã$324)</f>
      </c>
      <c r="EB324">
        <f>IF(ISBLANK('Data Entry'!$Ä$324), "", 'Data Entry'!$Ä$324)</f>
      </c>
      <c r="EC324">
        <f>IF(ISBLANK('Data Entry'!$Å$324), "", 'Data Entry'!$Å$324)</f>
      </c>
      <c r="ED324">
        <f>IF(ISBLANK('Data Entry'!$Æ$324), "", 'Data Entry'!$Æ$324)</f>
      </c>
      <c r="EE324">
        <f>IF(ISBLANK('Data Entry'!$Ç$324), "", 'Data Entry'!$Ç$324)</f>
      </c>
      <c r="EF324">
        <f>IF(ISBLANK('Data Entry'!$È$324), "", 'Data Entry'!$È$324)</f>
      </c>
      <c r="EG324">
        <f>IF(ISBLANK('Data Entry'!$É$324), "", 'Data Entry'!$É$324)</f>
      </c>
      <c r="EH324">
        <f>IF(ISBLANK('Data Entry'!$Ê$324), "", 'Data Entry'!$Ê$324)</f>
      </c>
      <c r="EI324">
        <f>IF(ISBLANK('Data Entry'!$Ë$324), "", 'Data Entry'!$Ë$324)</f>
      </c>
      <c r="EJ324">
        <f>IF(ISBLANK('Data Entry'!$Ì$324), "", 'Data Entry'!$Ì$324)</f>
      </c>
      <c r="EK324">
        <f>IF(ISBLANK('Data Entry'!$Í$324), "", 'Data Entry'!$Í$324)</f>
      </c>
      <c r="EL324">
        <f>IF(ISBLANK('Data Entry'!$Î$324), "", 'Data Entry'!$Î$324)</f>
      </c>
      <c r="EM324">
        <f>IF(ISBLANK('Data Entry'!$Ï$324), "", 'Data Entry'!$Ï$324)</f>
      </c>
      <c r="EN324">
        <f>IF(ISBLANK('Data Entry'!$Ð$324), "", 'Data Entry'!$Ð$324)</f>
      </c>
      <c r="EO324">
        <f>IF(ISBLANK('Data Entry'!$Ñ$324), "", 'Data Entry'!$Ñ$324)</f>
      </c>
      <c r="EP324">
        <f>IF(ISBLANK('Data Entry'!$Ò$324), "", 'Data Entry'!$Ò$324)</f>
      </c>
      <c r="EQ324">
        <f>IF(ISBLANK('Data Entry'!$Ó$324), "", 'Data Entry'!$Ó$324)</f>
      </c>
      <c r="ER324">
        <f>IF(ISBLANK('Data Entry'!$Ô$324), "", 'Data Entry'!$Ô$324)</f>
      </c>
      <c r="ES324">
        <f>IF(ISBLANK('Data Entry'!$Õ$324), "", 'Data Entry'!$Õ$324)</f>
      </c>
      <c r="ET324">
        <f>IF(ISBLANK('Data Entry'!$Ö$324), "", 'Data Entry'!$Ö$324)</f>
      </c>
      <c r="EU324">
        <f>IF(ISBLANK('Data Entry'!$×$324), "", 'Data Entry'!$×$324)</f>
      </c>
      <c r="EV324">
        <f>IF(ISBLANK('Data Entry'!$Ø$324), "", 'Data Entry'!$Ø$324)</f>
      </c>
      <c r="EW324">
        <f>IF(ISBLANK('Data Entry'!$Ù$324), "", 'Data Entry'!$Ù$324)</f>
      </c>
      <c r="EX324">
        <f>IF(ISBLANK('Data Entry'!$Ú$324), "", 'Data Entry'!$Ú$324)</f>
      </c>
      <c r="EY324">
        <f>IF(ISBLANK('Data Entry'!$Û$324), "", 'Data Entry'!$Û$324)</f>
      </c>
      <c r="EZ324">
        <f>IF(ISBLANK('Data Entry'!$Ü$324), "", 'Data Entry'!$Ü$324)</f>
      </c>
      <c r="FA324">
        <f>IF(ISBLANK('Data Entry'!$Ý$324), "", 'Data Entry'!$Ý$324)</f>
      </c>
      <c r="FB324">
        <f>IF(ISBLANK('Data Entry'!$Þ$324), "", 'Data Entry'!$Þ$324)</f>
      </c>
      <c r="FC324">
        <f>IF(ISBLANK('Data Entry'!$ß$324), "", 'Data Entry'!$ß$324)</f>
      </c>
      <c r="FD324">
        <f>IF(ISBLANK('Data Entry'!$à$324), "", 'Data Entry'!$à$324)</f>
      </c>
      <c r="FE324">
        <f>IF(ISBLANK('Data Entry'!$á$324), "", 'Data Entry'!$á$324)</f>
      </c>
      <c r="FF324">
        <f>IF(ISBLANK('Data Entry'!$â$324), "", 'Data Entry'!$â$324)</f>
      </c>
      <c r="FG324">
        <f>IF(ISBLANK('Data Entry'!$ã$324), "", 'Data Entry'!$ã$324)</f>
      </c>
      <c r="FH324">
        <f>IF(ISBLANK('Data Entry'!$ä$324), "", 'Data Entry'!$ä$324)</f>
      </c>
      <c r="FI324">
        <f>IF(ISBLANK('Data Entry'!$å$324), "", 'Data Entry'!$å$324)</f>
      </c>
      <c r="FJ324">
        <f>IF(ISBLANK('Data Entry'!$æ$324), "", 'Data Entry'!$æ$324)</f>
      </c>
      <c r="FK324">
        <f>IF(ISBLANK('Data Entry'!$ç$324), "", 'Data Entry'!$ç$324)</f>
      </c>
      <c r="FL324">
        <f>IF(ISBLANK('Data Entry'!$è$324), "", 'Data Entry'!$è$324)</f>
      </c>
      <c r="FM324">
        <f>IF(ISBLANK('Data Entry'!$é$324), "", 'Data Entry'!$é$324)</f>
      </c>
      <c r="FN324">
        <f>IF(ISBLANK('Data Entry'!$ê$324), "", 'Data Entry'!$ê$324)</f>
      </c>
      <c r="FO324">
        <f>IF(ISBLANK('Data Entry'!$ë$324), "", 'Data Entry'!$ë$324)</f>
      </c>
      <c r="FP324">
        <f>IF(ISBLANK('Data Entry'!$ì$324), "", 'Data Entry'!$ì$324)</f>
      </c>
      <c r="FQ324">
        <f>IF(ISBLANK('Data Entry'!$í$324), "", 'Data Entry'!$í$324)</f>
      </c>
      <c r="FR324">
        <f>IF(ISBLANK('Data Entry'!$î$324), "", 'Data Entry'!$î$324)</f>
      </c>
      <c r="FS324">
        <f>IF(ISBLANK('Data Entry'!$ï$324), "", 'Data Entry'!$ï$324)</f>
      </c>
      <c r="FT324">
        <f>IF(ISBLANK('Data Entry'!$ð$324), "", 'Data Entry'!$ð$324)</f>
      </c>
      <c r="FU324">
        <f>IF(ISBLANK('Data Entry'!$ñ$324), "", 'Data Entry'!$ñ$324)</f>
      </c>
      <c r="FV324">
        <f>IF(ISBLANK('Data Entry'!$ò$324), "", 'Data Entry'!$ò$324)</f>
      </c>
      <c r="FW324">
        <f>IF(ISBLANK('Data Entry'!$ó$324), "", 'Data Entry'!$ó$324)</f>
      </c>
      <c r="FX324">
        <f>IF(ISBLANK('Data Entry'!$ô$324), "", 'Data Entry'!$ô$324)</f>
      </c>
      <c r="FY324">
        <f>IF(ISBLANK('Data Entry'!$õ$324), "", 'Data Entry'!$õ$324)</f>
      </c>
      <c r="FZ324">
        <f>IF(ISBLANK('Data Entry'!$ö$324), "", 'Data Entry'!$ö$324)</f>
      </c>
      <c r="GA324">
        <f>IF(ISBLANK('Data Entry'!$÷$324), "", 'Data Entry'!$÷$324)</f>
      </c>
      <c r="GB324">
        <f>IF(ISBLANK('Data Entry'!$ø$324), "", 'Data Entry'!$ø$324)</f>
      </c>
      <c r="GC324">
        <f>IF(ISBLANK('Data Entry'!$ù$324), "", 'Data Entry'!$ù$324)</f>
      </c>
      <c r="GD324">
        <f>IF(ISBLANK('Data Entry'!$ú$324), "", 'Data Entry'!$ú$324)</f>
      </c>
      <c r="GE324">
        <f>IF(ISBLANK('Data Entry'!$û$324), "", 'Data Entry'!$û$324)</f>
      </c>
      <c r="GF324">
        <f>IF(ISBLANK('Data Entry'!$ü$324), "", 'Data Entry'!$ü$324)</f>
      </c>
      <c r="GG324">
        <f>IF(ISBLANK('Data Entry'!$ý$324), "", 'Data Entry'!$ý$324)</f>
      </c>
      <c r="GH324">
        <f>IF(ISBLANK('Data Entry'!$þ$324), "", 'Data Entry'!$þ$324)</f>
      </c>
      <c r="GI324">
        <f>IF(ISBLANK('Data Entry'!$ÿ$324), "", 'Data Entry'!$ÿ$324)</f>
      </c>
      <c r="GJ324">
        <f>IF(ISBLANK('Data Entry'!$Ā$324), "", 'Data Entry'!$Ā$324)</f>
      </c>
      <c r="GK324">
        <f>IF(ISBLANK('Data Entry'!$ā$324), "", 'Data Entry'!$ā$324)</f>
      </c>
      <c r="GL324">
        <f>IF(ISBLANK('Data Entry'!$Ă$324), "", 'Data Entry'!$Ă$324)</f>
      </c>
      <c r="GM324">
        <f>IF(ISBLANK('Data Entry'!$ă$324), "", 'Data Entry'!$ă$324)</f>
      </c>
      <c r="GN324">
        <f>IF(ISBLANK('Data Entry'!$Ą$324), "", 'Data Entry'!$Ą$324)</f>
      </c>
      <c r="GO324">
        <f>IF(ISBLANK('Data Entry'!$ą$324), "", 'Data Entry'!$ą$324)</f>
      </c>
      <c r="GP324">
        <f>IF(ISBLANK('Data Entry'!$Ć$324), "", 'Data Entry'!$Ć$324)</f>
      </c>
      <c r="GQ324">
        <f>IF(ISBLANK('Data Entry'!$ć$324), "", 'Data Entry'!$ć$324)</f>
      </c>
      <c r="GR324">
        <f>IF(ISBLANK('Data Entry'!$Ĉ$324), "", 'Data Entry'!$Ĉ$324)</f>
      </c>
      <c r="GS324">
        <f>IF(ISBLANK('Data Entry'!$ĉ$324), "", 'Data Entry'!$ĉ$324)</f>
      </c>
      <c r="GT324">
        <f>IF(ISBLANK('Data Entry'!$Ċ$324), "", 'Data Entry'!$Ċ$324)</f>
      </c>
      <c r="GU324">
        <f>IF(ISBLANK('Data Entry'!$ċ$324), "", 'Data Entry'!$ċ$324)</f>
      </c>
      <c r="GV324">
        <f>IF(ISBLANK('Data Entry'!$Č$324), "", 'Data Entry'!$Č$324)</f>
      </c>
      <c r="GW324">
        <f>IF(ISBLANK('Data Entry'!$č$324), "", 'Data Entry'!$č$324)</f>
      </c>
      <c r="GX324">
        <f>IF(ISBLANK('Data Entry'!$Ď$324), "", 'Data Entry'!$Ď$324)</f>
      </c>
      <c r="GY324">
        <f>IF(ISBLANK('Data Entry'!$ď$324), "", 'Data Entry'!$ď$324)</f>
      </c>
      <c r="GZ324">
        <f>IF(ISBLANK('Data Entry'!$Đ$324), "", 'Data Entry'!$Đ$324)</f>
      </c>
      <c r="HA324">
        <f>IF(ISBLANK('Data Entry'!$đ$324), "", 'Data Entry'!$đ$324)</f>
      </c>
      <c r="HB324">
        <f>IF(ISBLANK('Data Entry'!$Ē$324), "", 'Data Entry'!$Ē$324)</f>
      </c>
      <c r="HC324">
        <f>IF(ISBLANK('Data Entry'!$ē$324), "", 'Data Entry'!$ē$324)</f>
      </c>
      <c r="HD324">
        <f>IF(ISBLANK('Data Entry'!$Ĕ$324), "", 'Data Entry'!$Ĕ$324)</f>
      </c>
      <c r="HE324">
        <f>IF(ISBLANK('Data Entry'!$ĕ$324), "", 'Data Entry'!$ĕ$324)</f>
      </c>
      <c r="HF324">
        <f>IF(ISBLANK('Data Entry'!$Ė$324), "", 'Data Entry'!$Ė$324)</f>
      </c>
      <c r="HG324">
        <f>IF(ISBLANK('Data Entry'!$ė$324), "", 'Data Entry'!$ė$324)</f>
      </c>
      <c r="HH324">
        <f>IF(ISBLANK('Data Entry'!$Ę$324), "", 'Data Entry'!$Ę$324)</f>
      </c>
      <c r="HI324">
        <f>IF(ISBLANK('Data Entry'!$ę$324), "", 'Data Entry'!$ę$324)</f>
      </c>
      <c r="HJ324">
        <f>IF(ISBLANK('Data Entry'!$Ě$324), "", 'Data Entry'!$Ě$324)</f>
      </c>
      <c r="HK324">
        <f>IF(ISBLANK('Data Entry'!$ě$324), "", 'Data Entry'!$ě$324)</f>
      </c>
      <c r="HL324">
        <f>IF(ISBLANK('Data Entry'!$Ĝ$324), "", 'Data Entry'!$Ĝ$324)</f>
      </c>
      <c r="HM324">
        <f>IF(ISBLANK('Data Entry'!$ĝ$324), "", 'Data Entry'!$ĝ$324)</f>
      </c>
      <c r="HN324">
        <f>IF(ISBLANK('Data Entry'!$Ğ$324), "", 'Data Entry'!$Ğ$324)</f>
      </c>
      <c r="HO324">
        <f>IF(ISBLANK('Data Entry'!$ğ$324), "", 'Data Entry'!$ğ$324)</f>
      </c>
      <c r="HP324">
        <f>IF(ISBLANK('Data Entry'!$Ġ$324), "", 'Data Entry'!$Ġ$324)</f>
      </c>
      <c r="HQ324">
        <f>IF(ISBLANK('Data Entry'!$ġ$324), "", 'Data Entry'!$ġ$324)</f>
      </c>
      <c r="HR324">
        <f>IF(ISBLANK('Data Entry'!$Ģ$324), "", 'Data Entry'!$Ģ$324)</f>
      </c>
      <c r="HS324">
        <f>IF(ISBLANK('Data Entry'!$ģ$324), "", 'Data Entry'!$ģ$324)</f>
      </c>
      <c r="HT324">
        <f>IF(ISBLANK('Data Entry'!$Ĥ$324), "", 'Data Entry'!$Ĥ$324)</f>
      </c>
      <c r="HU324">
        <f>IF(ISBLANK('Data Entry'!$ĥ$324), "", 'Data Entry'!$ĥ$324)</f>
      </c>
      <c r="HV324">
        <f>IF(ISBLANK('Data Entry'!$Ħ$324), "", 'Data Entry'!$Ħ$324)</f>
      </c>
      <c r="HW324">
        <f>IF(ISBLANK('Data Entry'!$ħ$324), "", 'Data Entry'!$ħ$324)</f>
      </c>
      <c r="HX324">
        <f>IF(ISBLANK('Data Entry'!$Ĩ$324), "", 'Data Entry'!$Ĩ$324)</f>
      </c>
      <c r="HY324">
        <f>IF(ISBLANK('Data Entry'!$ĩ$324), "", 'Data Entry'!$ĩ$324)</f>
      </c>
      <c r="HZ324">
        <f>IF(ISBLANK('Data Entry'!$Ī$324), "", 'Data Entry'!$Ī$324)</f>
      </c>
      <c r="IA324">
        <f>IF(ISBLANK('Data Entry'!$ī$324), "", 'Data Entry'!$ī$324)</f>
      </c>
      <c r="IB324">
        <f>IF(ISBLANK('Data Entry'!$Ĭ$324), "", 'Data Entry'!$Ĭ$324)</f>
      </c>
      <c r="IC324">
        <f>IF(ISBLANK('Data Entry'!$ĭ$324), "", 'Data Entry'!$ĭ$324)</f>
      </c>
      <c r="ID324">
        <f>IF(ISBLANK('Data Entry'!$Į$324), "", 'Data Entry'!$Į$324)</f>
      </c>
      <c r="IE324">
        <f>IF(ISBLANK('Data Entry'!$į$324), "", 'Data Entry'!$į$324)</f>
      </c>
      <c r="IF324">
        <f>IF(ISBLANK('Data Entry'!$İ$324), "", 'Data Entry'!$İ$324)</f>
      </c>
      <c r="IG324">
        <f>IF(ISBLANK('Data Entry'!$ı$324), "", 'Data Entry'!$ı$324)</f>
      </c>
      <c r="IH324">
        <f>IF(ISBLANK('Data Entry'!$Ĳ$324), "", 'Data Entry'!$Ĳ$324)</f>
      </c>
      <c r="II324">
        <f>IF(ISBLANK('Data Entry'!$ĳ$324), "", 'Data Entry'!$ĳ$324)</f>
      </c>
      <c r="IJ324">
        <f>IF(ISBLANK('Data Entry'!$Ĵ$324), "", 'Data Entry'!$Ĵ$324)</f>
      </c>
      <c r="IK324">
        <f>IF(ISBLANK('Data Entry'!$ĵ$324), "", 'Data Entry'!$ĵ$324)</f>
      </c>
      <c r="IL324">
        <f>IF(ISBLANK('Data Entry'!$Ķ$324), "", 'Data Entry'!$Ķ$324)</f>
      </c>
      <c r="IM324">
        <f>IF(ISBLANK('Data Entry'!$ķ$324), "", 'Data Entry'!$ķ$324)</f>
      </c>
      <c r="IN324">
        <f>IF(ISBLANK('Data Entry'!$ĸ$324), "", 'Data Entry'!$ĸ$324)</f>
      </c>
      <c r="IO324">
        <f>IF(ISBLANK('Data Entry'!$Ĺ$324), "", 'Data Entry'!$Ĺ$324)</f>
      </c>
      <c r="IP324">
        <f>IF(ISBLANK('Data Entry'!$ĺ$324), "", 'Data Entry'!$ĺ$324)</f>
      </c>
      <c r="IQ324">
        <f>IF(ISBLANK('Data Entry'!$Ļ$324), "", 'Data Entry'!$Ļ$324)</f>
      </c>
      <c r="IR324">
        <f>IF(ISBLANK('Data Entry'!$ļ$324), "", 'Data Entry'!$ļ$324)</f>
      </c>
      <c r="IS324">
        <f>IF(ISBLANK('Data Entry'!$Ľ$324), "", 'Data Entry'!$Ľ$324)</f>
      </c>
      <c r="IT324">
        <f>IF(ISBLANK('Data Entry'!$ľ$324), "", 'Data Entry'!$ľ$324)</f>
      </c>
    </row>
    <row r="325" spans="1:254" x14ac:dyDescent="0.25">
      <c r="A325">
        <f>IF(ISBLANK('Data Entry'!$A$325), "", 'Data Entry'!$A$325)</f>
      </c>
      <c r="B325">
        <f>IF(ISBLANK('Data Entry'!$B$325), "", 'Data Entry'!$B$325)</f>
      </c>
      <c r="C325">
        <f>IF(ISBLANK('Data Entry'!$C$325), "", 'Data Entry'!$C$325)</f>
      </c>
      <c r="D325">
        <f>IF(ISBLANK('Data Entry'!$D$325), "", 'Data Entry'!$D$325)</f>
      </c>
      <c r="E325">
        <f>IF(ISBLANK('Data Entry'!$E$325), "", 'Data Entry'!$E$325)</f>
      </c>
      <c r="F325">
        <f>IF(ISBLANK('Data Entry'!$F$325), "", 'Data Entry'!$F$325)</f>
      </c>
      <c r="G325">
        <f>IF(ISBLANK('Data Entry'!$G$325), "", 'Data Entry'!$G$325)</f>
      </c>
      <c r="H325">
        <f>IF(ISBLANK('Data Entry'!$H$325), "", 'Data Entry'!$H$325)</f>
      </c>
      <c r="I325">
        <f>IF(ISBLANK('Data Entry'!$I$325), "", 'Data Entry'!$I$325)</f>
      </c>
      <c r="J325">
        <f>IF(ISBLANK('Data Entry'!$J$325), "", 'Data Entry'!$J$325)</f>
      </c>
      <c r="K325">
        <f>IF(ISBLANK('Data Entry'!$K$325), "", 'Data Entry'!$K$325)</f>
      </c>
      <c r="L325">
        <f>IF(ISBLANK('Data Entry'!$L$325), "", 'Data Entry'!$L$325)</f>
      </c>
      <c r="M325">
        <f>IF(ISBLANK('Data Entry'!$M$325), "", 'Data Entry'!$M$325)</f>
      </c>
      <c r="N325">
        <f>IF(ISBLANK('Data Entry'!$N$325), "", 'Data Entry'!$N$325)</f>
      </c>
      <c r="O325">
        <f>IF(ISBLANK('Data Entry'!$O$325), "", 'Data Entry'!$O$325)</f>
      </c>
      <c r="P325">
        <f>IF(ISBLANK('Data Entry'!$P$325), "", 'Data Entry'!$P$325)</f>
      </c>
      <c r="Q325">
        <f>IF(ISBLANK('Data Entry'!$Q$325), "", 'Data Entry'!$Q$325)</f>
      </c>
      <c r="R325">
        <f>IF(ISBLANK('Data Entry'!$R$325), "", 'Data Entry'!$R$325)</f>
      </c>
      <c r="S325">
        <f>IF(ISBLANK('Data Entry'!$S$325), "", 'Data Entry'!$S$325)</f>
      </c>
      <c r="T325">
        <f>IF(ISBLANK('Data Entry'!$T$325), "", 'Data Entry'!$T$325)</f>
      </c>
      <c r="U325">
        <f>IF(ISBLANK('Data Entry'!$U$325), "", 'Data Entry'!$U$325)</f>
      </c>
      <c r="V325">
        <f>IF(ISBLANK('Data Entry'!$V$325), "", 'Data Entry'!$V$325)</f>
      </c>
      <c r="W325">
        <f>IF(ISBLANK('Data Entry'!$W$325), "", 'Data Entry'!$W$325)</f>
      </c>
      <c r="X325">
        <f>IF(ISBLANK('Data Entry'!$X$325), "", 'Data Entry'!$X$325)</f>
      </c>
      <c r="Y325">
        <f>IF(ISBLANK('Data Entry'!$Y$325), "", 'Data Entry'!$Y$325)</f>
      </c>
      <c r="Z325">
        <f>IF(ISBLANK('Data Entry'!$Z$325), "", 'Data Entry'!$Z$325)</f>
      </c>
      <c r="AA325">
        <f>IF(ISBLANK('Data Entry'!$[$325), "", 'Data Entry'!$[$325)</f>
      </c>
      <c r="AB325">
        <f>IF(ISBLANK('Data Entry'!$\$325), "", 'Data Entry'!$\$325)</f>
      </c>
      <c r="AC325">
        <f>IF(ISBLANK('Data Entry'!$]$325), "", 'Data Entry'!$]$325)</f>
      </c>
      <c r="AD325">
        <f>IF(ISBLANK('Data Entry'!$^$325), "", 'Data Entry'!$^$325)</f>
      </c>
      <c r="AE325">
        <f>IF(ISBLANK('Data Entry'!$_$325), "", 'Data Entry'!$_$325)</f>
      </c>
      <c r="AF325">
        <f>IF(ISBLANK('Data Entry'!$`$325), "", 'Data Entry'!$`$325)</f>
      </c>
      <c r="AG325">
        <f>IF(ISBLANK('Data Entry'!$a$325), "", 'Data Entry'!$a$325)</f>
      </c>
      <c r="AH325">
        <f>IF(ISBLANK('Data Entry'!$b$325), "", 'Data Entry'!$b$325)</f>
      </c>
      <c r="AI325">
        <f>IF(ISBLANK('Data Entry'!$c$325), "", 'Data Entry'!$c$325)</f>
      </c>
      <c r="AJ325">
        <f>IF(ISBLANK('Data Entry'!$d$325), "", 'Data Entry'!$d$325)</f>
      </c>
      <c r="AK325">
        <f>IF(ISBLANK('Data Entry'!$e$325), "", 'Data Entry'!$e$325)</f>
      </c>
      <c r="AL325">
        <f>IF(ISBLANK('Data Entry'!$f$325), "", 'Data Entry'!$f$325)</f>
      </c>
      <c r="AM325">
        <f>IF(ISBLANK('Data Entry'!$g$325), "", 'Data Entry'!$g$325)</f>
      </c>
      <c r="AN325">
        <f>IF(ISBLANK('Data Entry'!$h$325), "", 'Data Entry'!$h$325)</f>
      </c>
      <c r="AO325">
        <f>IF(ISBLANK('Data Entry'!$i$325), "", 'Data Entry'!$i$325)</f>
      </c>
      <c r="AP325">
        <f>IF(ISBLANK('Data Entry'!$j$325), "", 'Data Entry'!$j$325)</f>
      </c>
      <c r="AQ325">
        <f>IF(ISBLANK('Data Entry'!$k$325), "", 'Data Entry'!$k$325)</f>
      </c>
      <c r="AR325">
        <f>IF(ISBLANK('Data Entry'!$l$325), "", 'Data Entry'!$l$325)</f>
      </c>
      <c r="AS325">
        <f>IF(ISBLANK('Data Entry'!$m$325), "", 'Data Entry'!$m$325)</f>
      </c>
      <c r="AT325">
        <f>IF(ISBLANK('Data Entry'!$n$325), "", 'Data Entry'!$n$325)</f>
      </c>
      <c r="AU325">
        <f>IF(ISBLANK('Data Entry'!$o$325), "", 'Data Entry'!$o$325)</f>
      </c>
      <c r="AV325">
        <f>IF(ISBLANK('Data Entry'!$p$325), "", 'Data Entry'!$p$325)</f>
      </c>
      <c r="AW325">
        <f>IF(ISBLANK('Data Entry'!$q$325), "", 'Data Entry'!$q$325)</f>
      </c>
      <c r="AX325">
        <f>IF(ISBLANK('Data Entry'!$r$325), "", 'Data Entry'!$r$325)</f>
      </c>
      <c r="AY325">
        <f>IF(ISBLANK('Data Entry'!$s$325), "", 'Data Entry'!$s$325)</f>
      </c>
      <c r="AZ325">
        <f>IF(ISBLANK('Data Entry'!$t$325), "", 'Data Entry'!$t$325)</f>
      </c>
      <c r="BA325">
        <f>IF(ISBLANK('Data Entry'!$u$325), "", 'Data Entry'!$u$325)</f>
      </c>
      <c r="BB325">
        <f>IF(ISBLANK('Data Entry'!$v$325), "", 'Data Entry'!$v$325)</f>
      </c>
      <c r="BC325">
        <f>IF(ISBLANK('Data Entry'!$w$325), "", 'Data Entry'!$w$325)</f>
      </c>
      <c r="BD325">
        <f>IF(ISBLANK('Data Entry'!$x$325), "", 'Data Entry'!$x$325)</f>
      </c>
      <c r="BE325">
        <f>IF(ISBLANK('Data Entry'!$y$325), "", 'Data Entry'!$y$325)</f>
      </c>
      <c r="BF325">
        <f>IF(ISBLANK('Data Entry'!$z$325), "", 'Data Entry'!$z$325)</f>
      </c>
      <c r="BG325">
        <f>IF(ISBLANK('Data Entry'!${$325), "", 'Data Entry'!${$325)</f>
      </c>
      <c r="BH325">
        <f>IF(ISBLANK('Data Entry'!$|$325), "", 'Data Entry'!$|$325)</f>
      </c>
      <c r="BI325">
        <f>IF(ISBLANK('Data Entry'!$}$325), "", 'Data Entry'!$}$325)</f>
      </c>
      <c r="BJ325">
        <f>IF(ISBLANK('Data Entry'!$~$325), "", 'Data Entry'!$~$325)</f>
      </c>
      <c r="BK325">
        <f>IF(ISBLANK('Data Entry'!$$325), "", 'Data Entry'!$$325)</f>
      </c>
      <c r="BL325">
        <f>IF(ISBLANK('Data Entry'!$$325), "", 'Data Entry'!$$325)</f>
      </c>
      <c r="BM325">
        <f>IF(ISBLANK('Data Entry'!$$325), "", 'Data Entry'!$$325)</f>
      </c>
      <c r="BN325">
        <f>IF(ISBLANK('Data Entry'!$$325), "", 'Data Entry'!$$325)</f>
      </c>
      <c r="BO325">
        <f>IF(ISBLANK('Data Entry'!$$325), "", 'Data Entry'!$$325)</f>
      </c>
      <c r="BP325">
        <f>IF(ISBLANK('Data Entry'!$$325), "", 'Data Entry'!$$325)</f>
      </c>
      <c r="BQ325">
        <f>IF(ISBLANK('Data Entry'!$$325), "", 'Data Entry'!$$325)</f>
      </c>
      <c r="BR325">
        <f>IF(ISBLANK('Data Entry'!$$325), "", 'Data Entry'!$$325)</f>
      </c>
      <c r="BS325">
        <f>IF(ISBLANK('Data Entry'!$$325), "", 'Data Entry'!$$325)</f>
      </c>
      <c r="BT325">
        <f>IF(ISBLANK('Data Entry'!$$325), "", 'Data Entry'!$$325)</f>
      </c>
      <c r="BU325">
        <f>IF(ISBLANK('Data Entry'!$$325), "", 'Data Entry'!$$325)</f>
      </c>
      <c r="BV325">
        <f>IF(ISBLANK('Data Entry'!$$325), "", 'Data Entry'!$$325)</f>
      </c>
      <c r="BW325">
        <f>IF(ISBLANK('Data Entry'!$$325), "", 'Data Entry'!$$325)</f>
      </c>
      <c r="BX325">
        <f>IF(ISBLANK('Data Entry'!$$325), "", 'Data Entry'!$$325)</f>
      </c>
      <c r="BY325">
        <f>IF(ISBLANK('Data Entry'!$$325), "", 'Data Entry'!$$325)</f>
      </c>
      <c r="BZ325">
        <f>IF(ISBLANK('Data Entry'!$$325), "", 'Data Entry'!$$325)</f>
      </c>
      <c r="CA325">
        <f>IF(ISBLANK('Data Entry'!$$325), "", 'Data Entry'!$$325)</f>
      </c>
      <c r="CB325">
        <f>IF(ISBLANK('Data Entry'!$$325), "", 'Data Entry'!$$325)</f>
      </c>
      <c r="CC325">
        <f>IF(ISBLANK('Data Entry'!$$325), "", 'Data Entry'!$$325)</f>
      </c>
      <c r="CD325">
        <f>IF(ISBLANK('Data Entry'!$$325), "", 'Data Entry'!$$325)</f>
      </c>
      <c r="CE325">
        <f>IF(ISBLANK('Data Entry'!$$325), "", 'Data Entry'!$$325)</f>
      </c>
      <c r="CF325">
        <f>IF(ISBLANK('Data Entry'!$$325), "", 'Data Entry'!$$325)</f>
      </c>
      <c r="CG325">
        <f>IF(ISBLANK('Data Entry'!$$325), "", 'Data Entry'!$$325)</f>
      </c>
      <c r="CH325">
        <f>IF(ISBLANK('Data Entry'!$$325), "", 'Data Entry'!$$325)</f>
      </c>
      <c r="CI325">
        <f>IF(ISBLANK('Data Entry'!$$325), "", 'Data Entry'!$$325)</f>
      </c>
      <c r="CJ325">
        <f>IF(ISBLANK('Data Entry'!$$325), "", 'Data Entry'!$$325)</f>
      </c>
      <c r="CK325">
        <f>IF(ISBLANK('Data Entry'!$$325), "", 'Data Entry'!$$325)</f>
      </c>
      <c r="CL325">
        <f>IF(ISBLANK('Data Entry'!$$325), "", 'Data Entry'!$$325)</f>
      </c>
      <c r="CM325">
        <f>IF(ISBLANK('Data Entry'!$$325), "", 'Data Entry'!$$325)</f>
      </c>
      <c r="CN325">
        <f>IF(ISBLANK('Data Entry'!$$325), "", 'Data Entry'!$$325)</f>
      </c>
      <c r="CO325">
        <f>IF(ISBLANK('Data Entry'!$$325), "", 'Data Entry'!$$325)</f>
      </c>
      <c r="CP325">
        <f>IF(ISBLANK('Data Entry'!$$325), "", 'Data Entry'!$$325)</f>
      </c>
      <c r="CQ325">
        <f>IF(ISBLANK('Data Entry'!$$325), "", 'Data Entry'!$$325)</f>
      </c>
      <c r="CR325">
        <f>IF(ISBLANK('Data Entry'!$ $325), "", 'Data Entry'!$ $325)</f>
      </c>
      <c r="CS325">
        <f>IF(ISBLANK('Data Entry'!$¡$325), "", 'Data Entry'!$¡$325)</f>
      </c>
      <c r="CT325">
        <f>IF(ISBLANK('Data Entry'!$¢$325), "", 'Data Entry'!$¢$325)</f>
      </c>
      <c r="CU325">
        <f>IF(ISBLANK('Data Entry'!$£$325), "", 'Data Entry'!$£$325)</f>
      </c>
      <c r="CV325">
        <f>IF(ISBLANK('Data Entry'!$¤$325), "", 'Data Entry'!$¤$325)</f>
      </c>
      <c r="CW325">
        <f>IF(ISBLANK('Data Entry'!$¥$325), "", 'Data Entry'!$¥$325)</f>
      </c>
      <c r="CX325">
        <f>IF(ISBLANK('Data Entry'!$¦$325), "", 'Data Entry'!$¦$325)</f>
      </c>
      <c r="CY325">
        <f>IF(ISBLANK('Data Entry'!$§$325), "", 'Data Entry'!$§$325)</f>
      </c>
      <c r="CZ325">
        <f>IF(ISBLANK('Data Entry'!$¨$325), "", 'Data Entry'!$¨$325)</f>
      </c>
      <c r="DA325">
        <f>IF(ISBLANK('Data Entry'!$©$325), "", 'Data Entry'!$©$325)</f>
      </c>
      <c r="DB325">
        <f>IF(ISBLANK('Data Entry'!$ª$325), "", 'Data Entry'!$ª$325)</f>
      </c>
      <c r="DC325">
        <f>IF(ISBLANK('Data Entry'!$«$325), "", 'Data Entry'!$«$325)</f>
      </c>
      <c r="DD325">
        <f>IF(ISBLANK('Data Entry'!$¬$325), "", 'Data Entry'!$¬$325)</f>
      </c>
      <c r="DE325">
        <f>IF(ISBLANK('Data Entry'!$­$325), "", 'Data Entry'!$­$325)</f>
      </c>
      <c r="DF325">
        <f>IF(ISBLANK('Data Entry'!$®$325), "", 'Data Entry'!$®$325)</f>
      </c>
      <c r="DG325">
        <f>IF(ISBLANK('Data Entry'!$¯$325), "", 'Data Entry'!$¯$325)</f>
      </c>
      <c r="DH325">
        <f>IF(ISBLANK('Data Entry'!$°$325), "", 'Data Entry'!$°$325)</f>
      </c>
      <c r="DI325">
        <f>IF(ISBLANK('Data Entry'!$±$325), "", 'Data Entry'!$±$325)</f>
      </c>
      <c r="DJ325">
        <f>IF(ISBLANK('Data Entry'!$²$325), "", 'Data Entry'!$²$325)</f>
      </c>
      <c r="DK325">
        <f>IF(ISBLANK('Data Entry'!$³$325), "", 'Data Entry'!$³$325)</f>
      </c>
      <c r="DL325">
        <f>IF(ISBLANK('Data Entry'!$´$325), "", 'Data Entry'!$´$325)</f>
      </c>
      <c r="DM325">
        <f>IF(ISBLANK('Data Entry'!$µ$325), "", 'Data Entry'!$µ$325)</f>
      </c>
      <c r="DN325">
        <f>IF(ISBLANK('Data Entry'!$¶$325), "", 'Data Entry'!$¶$325)</f>
      </c>
      <c r="DO325">
        <f>IF(ISBLANK('Data Entry'!$·$325), "", 'Data Entry'!$·$325)</f>
      </c>
      <c r="DP325">
        <f>IF(ISBLANK('Data Entry'!$¸$325), "", 'Data Entry'!$¸$325)</f>
      </c>
      <c r="DQ325">
        <f>IF(ISBLANK('Data Entry'!$¹$325), "", 'Data Entry'!$¹$325)</f>
      </c>
      <c r="DR325">
        <f>IF(ISBLANK('Data Entry'!$º$325), "", 'Data Entry'!$º$325)</f>
      </c>
      <c r="DS325">
        <f>IF(ISBLANK('Data Entry'!$»$325), "", 'Data Entry'!$»$325)</f>
      </c>
      <c r="DT325">
        <f>IF(ISBLANK('Data Entry'!$¼$325), "", 'Data Entry'!$¼$325)</f>
      </c>
      <c r="DU325">
        <f>IF(ISBLANK('Data Entry'!$½$325), "", 'Data Entry'!$½$325)</f>
      </c>
      <c r="DV325">
        <f>IF(ISBLANK('Data Entry'!$¾$325), "", 'Data Entry'!$¾$325)</f>
      </c>
      <c r="DW325">
        <f>IF(ISBLANK('Data Entry'!$¿$325), "", 'Data Entry'!$¿$325)</f>
      </c>
      <c r="DX325">
        <f>IF(ISBLANK('Data Entry'!$À$325), "", 'Data Entry'!$À$325)</f>
      </c>
      <c r="DY325">
        <f>IF(ISBLANK('Data Entry'!$Á$325), "", 'Data Entry'!$Á$325)</f>
      </c>
      <c r="DZ325">
        <f>IF(ISBLANK('Data Entry'!$Â$325), "", 'Data Entry'!$Â$325)</f>
      </c>
      <c r="EA325">
        <f>IF(ISBLANK('Data Entry'!$Ã$325), "", 'Data Entry'!$Ã$325)</f>
      </c>
      <c r="EB325">
        <f>IF(ISBLANK('Data Entry'!$Ä$325), "", 'Data Entry'!$Ä$325)</f>
      </c>
      <c r="EC325">
        <f>IF(ISBLANK('Data Entry'!$Å$325), "", 'Data Entry'!$Å$325)</f>
      </c>
      <c r="ED325">
        <f>IF(ISBLANK('Data Entry'!$Æ$325), "", 'Data Entry'!$Æ$325)</f>
      </c>
      <c r="EE325">
        <f>IF(ISBLANK('Data Entry'!$Ç$325), "", 'Data Entry'!$Ç$325)</f>
      </c>
      <c r="EF325">
        <f>IF(ISBLANK('Data Entry'!$È$325), "", 'Data Entry'!$È$325)</f>
      </c>
      <c r="EG325">
        <f>IF(ISBLANK('Data Entry'!$É$325), "", 'Data Entry'!$É$325)</f>
      </c>
      <c r="EH325">
        <f>IF(ISBLANK('Data Entry'!$Ê$325), "", 'Data Entry'!$Ê$325)</f>
      </c>
      <c r="EI325">
        <f>IF(ISBLANK('Data Entry'!$Ë$325), "", 'Data Entry'!$Ë$325)</f>
      </c>
      <c r="EJ325">
        <f>IF(ISBLANK('Data Entry'!$Ì$325), "", 'Data Entry'!$Ì$325)</f>
      </c>
      <c r="EK325">
        <f>IF(ISBLANK('Data Entry'!$Í$325), "", 'Data Entry'!$Í$325)</f>
      </c>
      <c r="EL325">
        <f>IF(ISBLANK('Data Entry'!$Î$325), "", 'Data Entry'!$Î$325)</f>
      </c>
      <c r="EM325">
        <f>IF(ISBLANK('Data Entry'!$Ï$325), "", 'Data Entry'!$Ï$325)</f>
      </c>
      <c r="EN325">
        <f>IF(ISBLANK('Data Entry'!$Ð$325), "", 'Data Entry'!$Ð$325)</f>
      </c>
      <c r="EO325">
        <f>IF(ISBLANK('Data Entry'!$Ñ$325), "", 'Data Entry'!$Ñ$325)</f>
      </c>
      <c r="EP325">
        <f>IF(ISBLANK('Data Entry'!$Ò$325), "", 'Data Entry'!$Ò$325)</f>
      </c>
      <c r="EQ325">
        <f>IF(ISBLANK('Data Entry'!$Ó$325), "", 'Data Entry'!$Ó$325)</f>
      </c>
      <c r="ER325">
        <f>IF(ISBLANK('Data Entry'!$Ô$325), "", 'Data Entry'!$Ô$325)</f>
      </c>
      <c r="ES325">
        <f>IF(ISBLANK('Data Entry'!$Õ$325), "", 'Data Entry'!$Õ$325)</f>
      </c>
      <c r="ET325">
        <f>IF(ISBLANK('Data Entry'!$Ö$325), "", 'Data Entry'!$Ö$325)</f>
      </c>
      <c r="EU325">
        <f>IF(ISBLANK('Data Entry'!$×$325), "", 'Data Entry'!$×$325)</f>
      </c>
      <c r="EV325">
        <f>IF(ISBLANK('Data Entry'!$Ø$325), "", 'Data Entry'!$Ø$325)</f>
      </c>
      <c r="EW325">
        <f>IF(ISBLANK('Data Entry'!$Ù$325), "", 'Data Entry'!$Ù$325)</f>
      </c>
      <c r="EX325">
        <f>IF(ISBLANK('Data Entry'!$Ú$325), "", 'Data Entry'!$Ú$325)</f>
      </c>
      <c r="EY325">
        <f>IF(ISBLANK('Data Entry'!$Û$325), "", 'Data Entry'!$Û$325)</f>
      </c>
      <c r="EZ325">
        <f>IF(ISBLANK('Data Entry'!$Ü$325), "", 'Data Entry'!$Ü$325)</f>
      </c>
      <c r="FA325">
        <f>IF(ISBLANK('Data Entry'!$Ý$325), "", 'Data Entry'!$Ý$325)</f>
      </c>
      <c r="FB325">
        <f>IF(ISBLANK('Data Entry'!$Þ$325), "", 'Data Entry'!$Þ$325)</f>
      </c>
      <c r="FC325">
        <f>IF(ISBLANK('Data Entry'!$ß$325), "", 'Data Entry'!$ß$325)</f>
      </c>
      <c r="FD325">
        <f>IF(ISBLANK('Data Entry'!$à$325), "", 'Data Entry'!$à$325)</f>
      </c>
      <c r="FE325">
        <f>IF(ISBLANK('Data Entry'!$á$325), "", 'Data Entry'!$á$325)</f>
      </c>
      <c r="FF325">
        <f>IF(ISBLANK('Data Entry'!$â$325), "", 'Data Entry'!$â$325)</f>
      </c>
      <c r="FG325">
        <f>IF(ISBLANK('Data Entry'!$ã$325), "", 'Data Entry'!$ã$325)</f>
      </c>
      <c r="FH325">
        <f>IF(ISBLANK('Data Entry'!$ä$325), "", 'Data Entry'!$ä$325)</f>
      </c>
      <c r="FI325">
        <f>IF(ISBLANK('Data Entry'!$å$325), "", 'Data Entry'!$å$325)</f>
      </c>
      <c r="FJ325">
        <f>IF(ISBLANK('Data Entry'!$æ$325), "", 'Data Entry'!$æ$325)</f>
      </c>
      <c r="FK325">
        <f>IF(ISBLANK('Data Entry'!$ç$325), "", 'Data Entry'!$ç$325)</f>
      </c>
      <c r="FL325">
        <f>IF(ISBLANK('Data Entry'!$è$325), "", 'Data Entry'!$è$325)</f>
      </c>
      <c r="FM325">
        <f>IF(ISBLANK('Data Entry'!$é$325), "", 'Data Entry'!$é$325)</f>
      </c>
      <c r="FN325">
        <f>IF(ISBLANK('Data Entry'!$ê$325), "", 'Data Entry'!$ê$325)</f>
      </c>
      <c r="FO325">
        <f>IF(ISBLANK('Data Entry'!$ë$325), "", 'Data Entry'!$ë$325)</f>
      </c>
      <c r="FP325">
        <f>IF(ISBLANK('Data Entry'!$ì$325), "", 'Data Entry'!$ì$325)</f>
      </c>
      <c r="FQ325">
        <f>IF(ISBLANK('Data Entry'!$í$325), "", 'Data Entry'!$í$325)</f>
      </c>
      <c r="FR325">
        <f>IF(ISBLANK('Data Entry'!$î$325), "", 'Data Entry'!$î$325)</f>
      </c>
      <c r="FS325">
        <f>IF(ISBLANK('Data Entry'!$ï$325), "", 'Data Entry'!$ï$325)</f>
      </c>
      <c r="FT325">
        <f>IF(ISBLANK('Data Entry'!$ð$325), "", 'Data Entry'!$ð$325)</f>
      </c>
      <c r="FU325">
        <f>IF(ISBLANK('Data Entry'!$ñ$325), "", 'Data Entry'!$ñ$325)</f>
      </c>
      <c r="FV325">
        <f>IF(ISBLANK('Data Entry'!$ò$325), "", 'Data Entry'!$ò$325)</f>
      </c>
      <c r="FW325">
        <f>IF(ISBLANK('Data Entry'!$ó$325), "", 'Data Entry'!$ó$325)</f>
      </c>
      <c r="FX325">
        <f>IF(ISBLANK('Data Entry'!$ô$325), "", 'Data Entry'!$ô$325)</f>
      </c>
      <c r="FY325">
        <f>IF(ISBLANK('Data Entry'!$õ$325), "", 'Data Entry'!$õ$325)</f>
      </c>
      <c r="FZ325">
        <f>IF(ISBLANK('Data Entry'!$ö$325), "", 'Data Entry'!$ö$325)</f>
      </c>
      <c r="GA325">
        <f>IF(ISBLANK('Data Entry'!$÷$325), "", 'Data Entry'!$÷$325)</f>
      </c>
      <c r="GB325">
        <f>IF(ISBLANK('Data Entry'!$ø$325), "", 'Data Entry'!$ø$325)</f>
      </c>
      <c r="GC325">
        <f>IF(ISBLANK('Data Entry'!$ù$325), "", 'Data Entry'!$ù$325)</f>
      </c>
      <c r="GD325">
        <f>IF(ISBLANK('Data Entry'!$ú$325), "", 'Data Entry'!$ú$325)</f>
      </c>
      <c r="GE325">
        <f>IF(ISBLANK('Data Entry'!$û$325), "", 'Data Entry'!$û$325)</f>
      </c>
      <c r="GF325">
        <f>IF(ISBLANK('Data Entry'!$ü$325), "", 'Data Entry'!$ü$325)</f>
      </c>
      <c r="GG325">
        <f>IF(ISBLANK('Data Entry'!$ý$325), "", 'Data Entry'!$ý$325)</f>
      </c>
      <c r="GH325">
        <f>IF(ISBLANK('Data Entry'!$þ$325), "", 'Data Entry'!$þ$325)</f>
      </c>
      <c r="GI325">
        <f>IF(ISBLANK('Data Entry'!$ÿ$325), "", 'Data Entry'!$ÿ$325)</f>
      </c>
      <c r="GJ325">
        <f>IF(ISBLANK('Data Entry'!$Ā$325), "", 'Data Entry'!$Ā$325)</f>
      </c>
      <c r="GK325">
        <f>IF(ISBLANK('Data Entry'!$ā$325), "", 'Data Entry'!$ā$325)</f>
      </c>
      <c r="GL325">
        <f>IF(ISBLANK('Data Entry'!$Ă$325), "", 'Data Entry'!$Ă$325)</f>
      </c>
      <c r="GM325">
        <f>IF(ISBLANK('Data Entry'!$ă$325), "", 'Data Entry'!$ă$325)</f>
      </c>
      <c r="GN325">
        <f>IF(ISBLANK('Data Entry'!$Ą$325), "", 'Data Entry'!$Ą$325)</f>
      </c>
      <c r="GO325">
        <f>IF(ISBLANK('Data Entry'!$ą$325), "", 'Data Entry'!$ą$325)</f>
      </c>
      <c r="GP325">
        <f>IF(ISBLANK('Data Entry'!$Ć$325), "", 'Data Entry'!$Ć$325)</f>
      </c>
      <c r="GQ325">
        <f>IF(ISBLANK('Data Entry'!$ć$325), "", 'Data Entry'!$ć$325)</f>
      </c>
      <c r="GR325">
        <f>IF(ISBLANK('Data Entry'!$Ĉ$325), "", 'Data Entry'!$Ĉ$325)</f>
      </c>
      <c r="GS325">
        <f>IF(ISBLANK('Data Entry'!$ĉ$325), "", 'Data Entry'!$ĉ$325)</f>
      </c>
      <c r="GT325">
        <f>IF(ISBLANK('Data Entry'!$Ċ$325), "", 'Data Entry'!$Ċ$325)</f>
      </c>
      <c r="GU325">
        <f>IF(ISBLANK('Data Entry'!$ċ$325), "", 'Data Entry'!$ċ$325)</f>
      </c>
      <c r="GV325">
        <f>IF(ISBLANK('Data Entry'!$Č$325), "", 'Data Entry'!$Č$325)</f>
      </c>
      <c r="GW325">
        <f>IF(ISBLANK('Data Entry'!$č$325), "", 'Data Entry'!$č$325)</f>
      </c>
      <c r="GX325">
        <f>IF(ISBLANK('Data Entry'!$Ď$325), "", 'Data Entry'!$Ď$325)</f>
      </c>
      <c r="GY325">
        <f>IF(ISBLANK('Data Entry'!$ď$325), "", 'Data Entry'!$ď$325)</f>
      </c>
      <c r="GZ325">
        <f>IF(ISBLANK('Data Entry'!$Đ$325), "", 'Data Entry'!$Đ$325)</f>
      </c>
      <c r="HA325">
        <f>IF(ISBLANK('Data Entry'!$đ$325), "", 'Data Entry'!$đ$325)</f>
      </c>
      <c r="HB325">
        <f>IF(ISBLANK('Data Entry'!$Ē$325), "", 'Data Entry'!$Ē$325)</f>
      </c>
      <c r="HC325">
        <f>IF(ISBLANK('Data Entry'!$ē$325), "", 'Data Entry'!$ē$325)</f>
      </c>
      <c r="HD325">
        <f>IF(ISBLANK('Data Entry'!$Ĕ$325), "", 'Data Entry'!$Ĕ$325)</f>
      </c>
      <c r="HE325">
        <f>IF(ISBLANK('Data Entry'!$ĕ$325), "", 'Data Entry'!$ĕ$325)</f>
      </c>
      <c r="HF325">
        <f>IF(ISBLANK('Data Entry'!$Ė$325), "", 'Data Entry'!$Ė$325)</f>
      </c>
      <c r="HG325">
        <f>IF(ISBLANK('Data Entry'!$ė$325), "", 'Data Entry'!$ė$325)</f>
      </c>
      <c r="HH325">
        <f>IF(ISBLANK('Data Entry'!$Ę$325), "", 'Data Entry'!$Ę$325)</f>
      </c>
      <c r="HI325">
        <f>IF(ISBLANK('Data Entry'!$ę$325), "", 'Data Entry'!$ę$325)</f>
      </c>
      <c r="HJ325">
        <f>IF(ISBLANK('Data Entry'!$Ě$325), "", 'Data Entry'!$Ě$325)</f>
      </c>
      <c r="HK325">
        <f>IF(ISBLANK('Data Entry'!$ě$325), "", 'Data Entry'!$ě$325)</f>
      </c>
      <c r="HL325">
        <f>IF(ISBLANK('Data Entry'!$Ĝ$325), "", 'Data Entry'!$Ĝ$325)</f>
      </c>
      <c r="HM325">
        <f>IF(ISBLANK('Data Entry'!$ĝ$325), "", 'Data Entry'!$ĝ$325)</f>
      </c>
      <c r="HN325">
        <f>IF(ISBLANK('Data Entry'!$Ğ$325), "", 'Data Entry'!$Ğ$325)</f>
      </c>
      <c r="HO325">
        <f>IF(ISBLANK('Data Entry'!$ğ$325), "", 'Data Entry'!$ğ$325)</f>
      </c>
      <c r="HP325">
        <f>IF(ISBLANK('Data Entry'!$Ġ$325), "", 'Data Entry'!$Ġ$325)</f>
      </c>
      <c r="HQ325">
        <f>IF(ISBLANK('Data Entry'!$ġ$325), "", 'Data Entry'!$ġ$325)</f>
      </c>
      <c r="HR325">
        <f>IF(ISBLANK('Data Entry'!$Ģ$325), "", 'Data Entry'!$Ģ$325)</f>
      </c>
      <c r="HS325">
        <f>IF(ISBLANK('Data Entry'!$ģ$325), "", 'Data Entry'!$ģ$325)</f>
      </c>
      <c r="HT325">
        <f>IF(ISBLANK('Data Entry'!$Ĥ$325), "", 'Data Entry'!$Ĥ$325)</f>
      </c>
      <c r="HU325">
        <f>IF(ISBLANK('Data Entry'!$ĥ$325), "", 'Data Entry'!$ĥ$325)</f>
      </c>
      <c r="HV325">
        <f>IF(ISBLANK('Data Entry'!$Ħ$325), "", 'Data Entry'!$Ħ$325)</f>
      </c>
      <c r="HW325">
        <f>IF(ISBLANK('Data Entry'!$ħ$325), "", 'Data Entry'!$ħ$325)</f>
      </c>
      <c r="HX325">
        <f>IF(ISBLANK('Data Entry'!$Ĩ$325), "", 'Data Entry'!$Ĩ$325)</f>
      </c>
      <c r="HY325">
        <f>IF(ISBLANK('Data Entry'!$ĩ$325), "", 'Data Entry'!$ĩ$325)</f>
      </c>
      <c r="HZ325">
        <f>IF(ISBLANK('Data Entry'!$Ī$325), "", 'Data Entry'!$Ī$325)</f>
      </c>
      <c r="IA325">
        <f>IF(ISBLANK('Data Entry'!$ī$325), "", 'Data Entry'!$ī$325)</f>
      </c>
      <c r="IB325">
        <f>IF(ISBLANK('Data Entry'!$Ĭ$325), "", 'Data Entry'!$Ĭ$325)</f>
      </c>
      <c r="IC325">
        <f>IF(ISBLANK('Data Entry'!$ĭ$325), "", 'Data Entry'!$ĭ$325)</f>
      </c>
      <c r="ID325">
        <f>IF(ISBLANK('Data Entry'!$Į$325), "", 'Data Entry'!$Į$325)</f>
      </c>
      <c r="IE325">
        <f>IF(ISBLANK('Data Entry'!$į$325), "", 'Data Entry'!$į$325)</f>
      </c>
      <c r="IF325">
        <f>IF(ISBLANK('Data Entry'!$İ$325), "", 'Data Entry'!$İ$325)</f>
      </c>
      <c r="IG325">
        <f>IF(ISBLANK('Data Entry'!$ı$325), "", 'Data Entry'!$ı$325)</f>
      </c>
      <c r="IH325">
        <f>IF(ISBLANK('Data Entry'!$Ĳ$325), "", 'Data Entry'!$Ĳ$325)</f>
      </c>
      <c r="II325">
        <f>IF(ISBLANK('Data Entry'!$ĳ$325), "", 'Data Entry'!$ĳ$325)</f>
      </c>
      <c r="IJ325">
        <f>IF(ISBLANK('Data Entry'!$Ĵ$325), "", 'Data Entry'!$Ĵ$325)</f>
      </c>
      <c r="IK325">
        <f>IF(ISBLANK('Data Entry'!$ĵ$325), "", 'Data Entry'!$ĵ$325)</f>
      </c>
      <c r="IL325">
        <f>IF(ISBLANK('Data Entry'!$Ķ$325), "", 'Data Entry'!$Ķ$325)</f>
      </c>
      <c r="IM325">
        <f>IF(ISBLANK('Data Entry'!$ķ$325), "", 'Data Entry'!$ķ$325)</f>
      </c>
      <c r="IN325">
        <f>IF(ISBLANK('Data Entry'!$ĸ$325), "", 'Data Entry'!$ĸ$325)</f>
      </c>
      <c r="IO325">
        <f>IF(ISBLANK('Data Entry'!$Ĺ$325), "", 'Data Entry'!$Ĺ$325)</f>
      </c>
      <c r="IP325">
        <f>IF(ISBLANK('Data Entry'!$ĺ$325), "", 'Data Entry'!$ĺ$325)</f>
      </c>
      <c r="IQ325">
        <f>IF(ISBLANK('Data Entry'!$Ļ$325), "", 'Data Entry'!$Ļ$325)</f>
      </c>
      <c r="IR325">
        <f>IF(ISBLANK('Data Entry'!$ļ$325), "", 'Data Entry'!$ļ$325)</f>
      </c>
      <c r="IS325">
        <f>IF(ISBLANK('Data Entry'!$Ľ$325), "", 'Data Entry'!$Ľ$325)</f>
      </c>
      <c r="IT325">
        <f>IF(ISBLANK('Data Entry'!$ľ$325), "", 'Data Entry'!$ľ$325)</f>
      </c>
    </row>
    <row r="326" spans="1:254" x14ac:dyDescent="0.25">
      <c r="A326">
        <f>IF(ISBLANK('Data Entry'!$A$326), "", 'Data Entry'!$A$326)</f>
      </c>
      <c r="B326">
        <f>IF(ISBLANK('Data Entry'!$B$326), "", 'Data Entry'!$B$326)</f>
      </c>
      <c r="C326">
        <f>IF(ISBLANK('Data Entry'!$C$326), "", 'Data Entry'!$C$326)</f>
      </c>
      <c r="D326">
        <f>IF(ISBLANK('Data Entry'!$D$326), "", 'Data Entry'!$D$326)</f>
      </c>
      <c r="E326">
        <f>IF(ISBLANK('Data Entry'!$E$326), "", 'Data Entry'!$E$326)</f>
      </c>
      <c r="F326">
        <f>IF(ISBLANK('Data Entry'!$F$326), "", 'Data Entry'!$F$326)</f>
      </c>
      <c r="G326">
        <f>IF(ISBLANK('Data Entry'!$G$326), "", 'Data Entry'!$G$326)</f>
      </c>
      <c r="H326">
        <f>IF(ISBLANK('Data Entry'!$H$326), "", 'Data Entry'!$H$326)</f>
      </c>
      <c r="I326">
        <f>IF(ISBLANK('Data Entry'!$I$326), "", 'Data Entry'!$I$326)</f>
      </c>
      <c r="J326">
        <f>IF(ISBLANK('Data Entry'!$J$326), "", 'Data Entry'!$J$326)</f>
      </c>
      <c r="K326">
        <f>IF(ISBLANK('Data Entry'!$K$326), "", 'Data Entry'!$K$326)</f>
      </c>
      <c r="L326">
        <f>IF(ISBLANK('Data Entry'!$L$326), "", 'Data Entry'!$L$326)</f>
      </c>
      <c r="M326">
        <f>IF(ISBLANK('Data Entry'!$M$326), "", 'Data Entry'!$M$326)</f>
      </c>
      <c r="N326">
        <f>IF(ISBLANK('Data Entry'!$N$326), "", 'Data Entry'!$N$326)</f>
      </c>
      <c r="O326">
        <f>IF(ISBLANK('Data Entry'!$O$326), "", 'Data Entry'!$O$326)</f>
      </c>
      <c r="P326">
        <f>IF(ISBLANK('Data Entry'!$P$326), "", 'Data Entry'!$P$326)</f>
      </c>
      <c r="Q326">
        <f>IF(ISBLANK('Data Entry'!$Q$326), "", 'Data Entry'!$Q$326)</f>
      </c>
      <c r="R326">
        <f>IF(ISBLANK('Data Entry'!$R$326), "", 'Data Entry'!$R$326)</f>
      </c>
      <c r="S326">
        <f>IF(ISBLANK('Data Entry'!$S$326), "", 'Data Entry'!$S$326)</f>
      </c>
      <c r="T326">
        <f>IF(ISBLANK('Data Entry'!$T$326), "", 'Data Entry'!$T$326)</f>
      </c>
      <c r="U326">
        <f>IF(ISBLANK('Data Entry'!$U$326), "", 'Data Entry'!$U$326)</f>
      </c>
      <c r="V326">
        <f>IF(ISBLANK('Data Entry'!$V$326), "", 'Data Entry'!$V$326)</f>
      </c>
      <c r="W326">
        <f>IF(ISBLANK('Data Entry'!$W$326), "", 'Data Entry'!$W$326)</f>
      </c>
      <c r="X326">
        <f>IF(ISBLANK('Data Entry'!$X$326), "", 'Data Entry'!$X$326)</f>
      </c>
      <c r="Y326">
        <f>IF(ISBLANK('Data Entry'!$Y$326), "", 'Data Entry'!$Y$326)</f>
      </c>
      <c r="Z326">
        <f>IF(ISBLANK('Data Entry'!$Z$326), "", 'Data Entry'!$Z$326)</f>
      </c>
      <c r="AA326">
        <f>IF(ISBLANK('Data Entry'!$[$326), "", 'Data Entry'!$[$326)</f>
      </c>
      <c r="AB326">
        <f>IF(ISBLANK('Data Entry'!$\$326), "", 'Data Entry'!$\$326)</f>
      </c>
      <c r="AC326">
        <f>IF(ISBLANK('Data Entry'!$]$326), "", 'Data Entry'!$]$326)</f>
      </c>
      <c r="AD326">
        <f>IF(ISBLANK('Data Entry'!$^$326), "", 'Data Entry'!$^$326)</f>
      </c>
      <c r="AE326">
        <f>IF(ISBLANK('Data Entry'!$_$326), "", 'Data Entry'!$_$326)</f>
      </c>
      <c r="AF326">
        <f>IF(ISBLANK('Data Entry'!$`$326), "", 'Data Entry'!$`$326)</f>
      </c>
      <c r="AG326">
        <f>IF(ISBLANK('Data Entry'!$a$326), "", 'Data Entry'!$a$326)</f>
      </c>
      <c r="AH326">
        <f>IF(ISBLANK('Data Entry'!$b$326), "", 'Data Entry'!$b$326)</f>
      </c>
      <c r="AI326">
        <f>IF(ISBLANK('Data Entry'!$c$326), "", 'Data Entry'!$c$326)</f>
      </c>
      <c r="AJ326">
        <f>IF(ISBLANK('Data Entry'!$d$326), "", 'Data Entry'!$d$326)</f>
      </c>
      <c r="AK326">
        <f>IF(ISBLANK('Data Entry'!$e$326), "", 'Data Entry'!$e$326)</f>
      </c>
      <c r="AL326">
        <f>IF(ISBLANK('Data Entry'!$f$326), "", 'Data Entry'!$f$326)</f>
      </c>
      <c r="AM326">
        <f>IF(ISBLANK('Data Entry'!$g$326), "", 'Data Entry'!$g$326)</f>
      </c>
      <c r="AN326">
        <f>IF(ISBLANK('Data Entry'!$h$326), "", 'Data Entry'!$h$326)</f>
      </c>
      <c r="AO326">
        <f>IF(ISBLANK('Data Entry'!$i$326), "", 'Data Entry'!$i$326)</f>
      </c>
      <c r="AP326">
        <f>IF(ISBLANK('Data Entry'!$j$326), "", 'Data Entry'!$j$326)</f>
      </c>
      <c r="AQ326">
        <f>IF(ISBLANK('Data Entry'!$k$326), "", 'Data Entry'!$k$326)</f>
      </c>
      <c r="AR326">
        <f>IF(ISBLANK('Data Entry'!$l$326), "", 'Data Entry'!$l$326)</f>
      </c>
      <c r="AS326">
        <f>IF(ISBLANK('Data Entry'!$m$326), "", 'Data Entry'!$m$326)</f>
      </c>
      <c r="AT326">
        <f>IF(ISBLANK('Data Entry'!$n$326), "", 'Data Entry'!$n$326)</f>
      </c>
      <c r="AU326">
        <f>IF(ISBLANK('Data Entry'!$o$326), "", 'Data Entry'!$o$326)</f>
      </c>
      <c r="AV326">
        <f>IF(ISBLANK('Data Entry'!$p$326), "", 'Data Entry'!$p$326)</f>
      </c>
      <c r="AW326">
        <f>IF(ISBLANK('Data Entry'!$q$326), "", 'Data Entry'!$q$326)</f>
      </c>
      <c r="AX326">
        <f>IF(ISBLANK('Data Entry'!$r$326), "", 'Data Entry'!$r$326)</f>
      </c>
      <c r="AY326">
        <f>IF(ISBLANK('Data Entry'!$s$326), "", 'Data Entry'!$s$326)</f>
      </c>
      <c r="AZ326">
        <f>IF(ISBLANK('Data Entry'!$t$326), "", 'Data Entry'!$t$326)</f>
      </c>
      <c r="BA326">
        <f>IF(ISBLANK('Data Entry'!$u$326), "", 'Data Entry'!$u$326)</f>
      </c>
      <c r="BB326">
        <f>IF(ISBLANK('Data Entry'!$v$326), "", 'Data Entry'!$v$326)</f>
      </c>
      <c r="BC326">
        <f>IF(ISBLANK('Data Entry'!$w$326), "", 'Data Entry'!$w$326)</f>
      </c>
      <c r="BD326">
        <f>IF(ISBLANK('Data Entry'!$x$326), "", 'Data Entry'!$x$326)</f>
      </c>
      <c r="BE326">
        <f>IF(ISBLANK('Data Entry'!$y$326), "", 'Data Entry'!$y$326)</f>
      </c>
      <c r="BF326">
        <f>IF(ISBLANK('Data Entry'!$z$326), "", 'Data Entry'!$z$326)</f>
      </c>
      <c r="BG326">
        <f>IF(ISBLANK('Data Entry'!${$326), "", 'Data Entry'!${$326)</f>
      </c>
      <c r="BH326">
        <f>IF(ISBLANK('Data Entry'!$|$326), "", 'Data Entry'!$|$326)</f>
      </c>
      <c r="BI326">
        <f>IF(ISBLANK('Data Entry'!$}$326), "", 'Data Entry'!$}$326)</f>
      </c>
      <c r="BJ326">
        <f>IF(ISBLANK('Data Entry'!$~$326), "", 'Data Entry'!$~$326)</f>
      </c>
      <c r="BK326">
        <f>IF(ISBLANK('Data Entry'!$$326), "", 'Data Entry'!$$326)</f>
      </c>
      <c r="BL326">
        <f>IF(ISBLANK('Data Entry'!$$326), "", 'Data Entry'!$$326)</f>
      </c>
      <c r="BM326">
        <f>IF(ISBLANK('Data Entry'!$$326), "", 'Data Entry'!$$326)</f>
      </c>
      <c r="BN326">
        <f>IF(ISBLANK('Data Entry'!$$326), "", 'Data Entry'!$$326)</f>
      </c>
      <c r="BO326">
        <f>IF(ISBLANK('Data Entry'!$$326), "", 'Data Entry'!$$326)</f>
      </c>
      <c r="BP326">
        <f>IF(ISBLANK('Data Entry'!$$326), "", 'Data Entry'!$$326)</f>
      </c>
      <c r="BQ326">
        <f>IF(ISBLANK('Data Entry'!$$326), "", 'Data Entry'!$$326)</f>
      </c>
      <c r="BR326">
        <f>IF(ISBLANK('Data Entry'!$$326), "", 'Data Entry'!$$326)</f>
      </c>
      <c r="BS326">
        <f>IF(ISBLANK('Data Entry'!$$326), "", 'Data Entry'!$$326)</f>
      </c>
      <c r="BT326">
        <f>IF(ISBLANK('Data Entry'!$$326), "", 'Data Entry'!$$326)</f>
      </c>
      <c r="BU326">
        <f>IF(ISBLANK('Data Entry'!$$326), "", 'Data Entry'!$$326)</f>
      </c>
      <c r="BV326">
        <f>IF(ISBLANK('Data Entry'!$$326), "", 'Data Entry'!$$326)</f>
      </c>
      <c r="BW326">
        <f>IF(ISBLANK('Data Entry'!$$326), "", 'Data Entry'!$$326)</f>
      </c>
      <c r="BX326">
        <f>IF(ISBLANK('Data Entry'!$$326), "", 'Data Entry'!$$326)</f>
      </c>
      <c r="BY326">
        <f>IF(ISBLANK('Data Entry'!$$326), "", 'Data Entry'!$$326)</f>
      </c>
      <c r="BZ326">
        <f>IF(ISBLANK('Data Entry'!$$326), "", 'Data Entry'!$$326)</f>
      </c>
      <c r="CA326">
        <f>IF(ISBLANK('Data Entry'!$$326), "", 'Data Entry'!$$326)</f>
      </c>
      <c r="CB326">
        <f>IF(ISBLANK('Data Entry'!$$326), "", 'Data Entry'!$$326)</f>
      </c>
      <c r="CC326">
        <f>IF(ISBLANK('Data Entry'!$$326), "", 'Data Entry'!$$326)</f>
      </c>
      <c r="CD326">
        <f>IF(ISBLANK('Data Entry'!$$326), "", 'Data Entry'!$$326)</f>
      </c>
      <c r="CE326">
        <f>IF(ISBLANK('Data Entry'!$$326), "", 'Data Entry'!$$326)</f>
      </c>
      <c r="CF326">
        <f>IF(ISBLANK('Data Entry'!$$326), "", 'Data Entry'!$$326)</f>
      </c>
      <c r="CG326">
        <f>IF(ISBLANK('Data Entry'!$$326), "", 'Data Entry'!$$326)</f>
      </c>
      <c r="CH326">
        <f>IF(ISBLANK('Data Entry'!$$326), "", 'Data Entry'!$$326)</f>
      </c>
      <c r="CI326">
        <f>IF(ISBLANK('Data Entry'!$$326), "", 'Data Entry'!$$326)</f>
      </c>
      <c r="CJ326">
        <f>IF(ISBLANK('Data Entry'!$$326), "", 'Data Entry'!$$326)</f>
      </c>
      <c r="CK326">
        <f>IF(ISBLANK('Data Entry'!$$326), "", 'Data Entry'!$$326)</f>
      </c>
      <c r="CL326">
        <f>IF(ISBLANK('Data Entry'!$$326), "", 'Data Entry'!$$326)</f>
      </c>
      <c r="CM326">
        <f>IF(ISBLANK('Data Entry'!$$326), "", 'Data Entry'!$$326)</f>
      </c>
      <c r="CN326">
        <f>IF(ISBLANK('Data Entry'!$$326), "", 'Data Entry'!$$326)</f>
      </c>
      <c r="CO326">
        <f>IF(ISBLANK('Data Entry'!$$326), "", 'Data Entry'!$$326)</f>
      </c>
      <c r="CP326">
        <f>IF(ISBLANK('Data Entry'!$$326), "", 'Data Entry'!$$326)</f>
      </c>
      <c r="CQ326">
        <f>IF(ISBLANK('Data Entry'!$$326), "", 'Data Entry'!$$326)</f>
      </c>
      <c r="CR326">
        <f>IF(ISBLANK('Data Entry'!$ $326), "", 'Data Entry'!$ $326)</f>
      </c>
      <c r="CS326">
        <f>IF(ISBLANK('Data Entry'!$¡$326), "", 'Data Entry'!$¡$326)</f>
      </c>
      <c r="CT326">
        <f>IF(ISBLANK('Data Entry'!$¢$326), "", 'Data Entry'!$¢$326)</f>
      </c>
      <c r="CU326">
        <f>IF(ISBLANK('Data Entry'!$£$326), "", 'Data Entry'!$£$326)</f>
      </c>
      <c r="CV326">
        <f>IF(ISBLANK('Data Entry'!$¤$326), "", 'Data Entry'!$¤$326)</f>
      </c>
      <c r="CW326">
        <f>IF(ISBLANK('Data Entry'!$¥$326), "", 'Data Entry'!$¥$326)</f>
      </c>
      <c r="CX326">
        <f>IF(ISBLANK('Data Entry'!$¦$326), "", 'Data Entry'!$¦$326)</f>
      </c>
      <c r="CY326">
        <f>IF(ISBLANK('Data Entry'!$§$326), "", 'Data Entry'!$§$326)</f>
      </c>
      <c r="CZ326">
        <f>IF(ISBLANK('Data Entry'!$¨$326), "", 'Data Entry'!$¨$326)</f>
      </c>
      <c r="DA326">
        <f>IF(ISBLANK('Data Entry'!$©$326), "", 'Data Entry'!$©$326)</f>
      </c>
      <c r="DB326">
        <f>IF(ISBLANK('Data Entry'!$ª$326), "", 'Data Entry'!$ª$326)</f>
      </c>
      <c r="DC326">
        <f>IF(ISBLANK('Data Entry'!$«$326), "", 'Data Entry'!$«$326)</f>
      </c>
      <c r="DD326">
        <f>IF(ISBLANK('Data Entry'!$¬$326), "", 'Data Entry'!$¬$326)</f>
      </c>
      <c r="DE326">
        <f>IF(ISBLANK('Data Entry'!$­$326), "", 'Data Entry'!$­$326)</f>
      </c>
      <c r="DF326">
        <f>IF(ISBLANK('Data Entry'!$®$326), "", 'Data Entry'!$®$326)</f>
      </c>
      <c r="DG326">
        <f>IF(ISBLANK('Data Entry'!$¯$326), "", 'Data Entry'!$¯$326)</f>
      </c>
      <c r="DH326">
        <f>IF(ISBLANK('Data Entry'!$°$326), "", 'Data Entry'!$°$326)</f>
      </c>
      <c r="DI326">
        <f>IF(ISBLANK('Data Entry'!$±$326), "", 'Data Entry'!$±$326)</f>
      </c>
      <c r="DJ326">
        <f>IF(ISBLANK('Data Entry'!$²$326), "", 'Data Entry'!$²$326)</f>
      </c>
      <c r="DK326">
        <f>IF(ISBLANK('Data Entry'!$³$326), "", 'Data Entry'!$³$326)</f>
      </c>
      <c r="DL326">
        <f>IF(ISBLANK('Data Entry'!$´$326), "", 'Data Entry'!$´$326)</f>
      </c>
      <c r="DM326">
        <f>IF(ISBLANK('Data Entry'!$µ$326), "", 'Data Entry'!$µ$326)</f>
      </c>
      <c r="DN326">
        <f>IF(ISBLANK('Data Entry'!$¶$326), "", 'Data Entry'!$¶$326)</f>
      </c>
      <c r="DO326">
        <f>IF(ISBLANK('Data Entry'!$·$326), "", 'Data Entry'!$·$326)</f>
      </c>
      <c r="DP326">
        <f>IF(ISBLANK('Data Entry'!$¸$326), "", 'Data Entry'!$¸$326)</f>
      </c>
      <c r="DQ326">
        <f>IF(ISBLANK('Data Entry'!$¹$326), "", 'Data Entry'!$¹$326)</f>
      </c>
      <c r="DR326">
        <f>IF(ISBLANK('Data Entry'!$º$326), "", 'Data Entry'!$º$326)</f>
      </c>
      <c r="DS326">
        <f>IF(ISBLANK('Data Entry'!$»$326), "", 'Data Entry'!$»$326)</f>
      </c>
      <c r="DT326">
        <f>IF(ISBLANK('Data Entry'!$¼$326), "", 'Data Entry'!$¼$326)</f>
      </c>
      <c r="DU326">
        <f>IF(ISBLANK('Data Entry'!$½$326), "", 'Data Entry'!$½$326)</f>
      </c>
      <c r="DV326">
        <f>IF(ISBLANK('Data Entry'!$¾$326), "", 'Data Entry'!$¾$326)</f>
      </c>
      <c r="DW326">
        <f>IF(ISBLANK('Data Entry'!$¿$326), "", 'Data Entry'!$¿$326)</f>
      </c>
      <c r="DX326">
        <f>IF(ISBLANK('Data Entry'!$À$326), "", 'Data Entry'!$À$326)</f>
      </c>
      <c r="DY326">
        <f>IF(ISBLANK('Data Entry'!$Á$326), "", 'Data Entry'!$Á$326)</f>
      </c>
      <c r="DZ326">
        <f>IF(ISBLANK('Data Entry'!$Â$326), "", 'Data Entry'!$Â$326)</f>
      </c>
      <c r="EA326">
        <f>IF(ISBLANK('Data Entry'!$Ã$326), "", 'Data Entry'!$Ã$326)</f>
      </c>
      <c r="EB326">
        <f>IF(ISBLANK('Data Entry'!$Ä$326), "", 'Data Entry'!$Ä$326)</f>
      </c>
      <c r="EC326">
        <f>IF(ISBLANK('Data Entry'!$Å$326), "", 'Data Entry'!$Å$326)</f>
      </c>
      <c r="ED326">
        <f>IF(ISBLANK('Data Entry'!$Æ$326), "", 'Data Entry'!$Æ$326)</f>
      </c>
      <c r="EE326">
        <f>IF(ISBLANK('Data Entry'!$Ç$326), "", 'Data Entry'!$Ç$326)</f>
      </c>
      <c r="EF326">
        <f>IF(ISBLANK('Data Entry'!$È$326), "", 'Data Entry'!$È$326)</f>
      </c>
      <c r="EG326">
        <f>IF(ISBLANK('Data Entry'!$É$326), "", 'Data Entry'!$É$326)</f>
      </c>
      <c r="EH326">
        <f>IF(ISBLANK('Data Entry'!$Ê$326), "", 'Data Entry'!$Ê$326)</f>
      </c>
      <c r="EI326">
        <f>IF(ISBLANK('Data Entry'!$Ë$326), "", 'Data Entry'!$Ë$326)</f>
      </c>
      <c r="EJ326">
        <f>IF(ISBLANK('Data Entry'!$Ì$326), "", 'Data Entry'!$Ì$326)</f>
      </c>
      <c r="EK326">
        <f>IF(ISBLANK('Data Entry'!$Í$326), "", 'Data Entry'!$Í$326)</f>
      </c>
      <c r="EL326">
        <f>IF(ISBLANK('Data Entry'!$Î$326), "", 'Data Entry'!$Î$326)</f>
      </c>
      <c r="EM326">
        <f>IF(ISBLANK('Data Entry'!$Ï$326), "", 'Data Entry'!$Ï$326)</f>
      </c>
      <c r="EN326">
        <f>IF(ISBLANK('Data Entry'!$Ð$326), "", 'Data Entry'!$Ð$326)</f>
      </c>
      <c r="EO326">
        <f>IF(ISBLANK('Data Entry'!$Ñ$326), "", 'Data Entry'!$Ñ$326)</f>
      </c>
      <c r="EP326">
        <f>IF(ISBLANK('Data Entry'!$Ò$326), "", 'Data Entry'!$Ò$326)</f>
      </c>
      <c r="EQ326">
        <f>IF(ISBLANK('Data Entry'!$Ó$326), "", 'Data Entry'!$Ó$326)</f>
      </c>
      <c r="ER326">
        <f>IF(ISBLANK('Data Entry'!$Ô$326), "", 'Data Entry'!$Ô$326)</f>
      </c>
      <c r="ES326">
        <f>IF(ISBLANK('Data Entry'!$Õ$326), "", 'Data Entry'!$Õ$326)</f>
      </c>
      <c r="ET326">
        <f>IF(ISBLANK('Data Entry'!$Ö$326), "", 'Data Entry'!$Ö$326)</f>
      </c>
      <c r="EU326">
        <f>IF(ISBLANK('Data Entry'!$×$326), "", 'Data Entry'!$×$326)</f>
      </c>
      <c r="EV326">
        <f>IF(ISBLANK('Data Entry'!$Ø$326), "", 'Data Entry'!$Ø$326)</f>
      </c>
      <c r="EW326">
        <f>IF(ISBLANK('Data Entry'!$Ù$326), "", 'Data Entry'!$Ù$326)</f>
      </c>
      <c r="EX326">
        <f>IF(ISBLANK('Data Entry'!$Ú$326), "", 'Data Entry'!$Ú$326)</f>
      </c>
      <c r="EY326">
        <f>IF(ISBLANK('Data Entry'!$Û$326), "", 'Data Entry'!$Û$326)</f>
      </c>
      <c r="EZ326">
        <f>IF(ISBLANK('Data Entry'!$Ü$326), "", 'Data Entry'!$Ü$326)</f>
      </c>
      <c r="FA326">
        <f>IF(ISBLANK('Data Entry'!$Ý$326), "", 'Data Entry'!$Ý$326)</f>
      </c>
      <c r="FB326">
        <f>IF(ISBLANK('Data Entry'!$Þ$326), "", 'Data Entry'!$Þ$326)</f>
      </c>
      <c r="FC326">
        <f>IF(ISBLANK('Data Entry'!$ß$326), "", 'Data Entry'!$ß$326)</f>
      </c>
      <c r="FD326">
        <f>IF(ISBLANK('Data Entry'!$à$326), "", 'Data Entry'!$à$326)</f>
      </c>
      <c r="FE326">
        <f>IF(ISBLANK('Data Entry'!$á$326), "", 'Data Entry'!$á$326)</f>
      </c>
      <c r="FF326">
        <f>IF(ISBLANK('Data Entry'!$â$326), "", 'Data Entry'!$â$326)</f>
      </c>
      <c r="FG326">
        <f>IF(ISBLANK('Data Entry'!$ã$326), "", 'Data Entry'!$ã$326)</f>
      </c>
      <c r="FH326">
        <f>IF(ISBLANK('Data Entry'!$ä$326), "", 'Data Entry'!$ä$326)</f>
      </c>
      <c r="FI326">
        <f>IF(ISBLANK('Data Entry'!$å$326), "", 'Data Entry'!$å$326)</f>
      </c>
      <c r="FJ326">
        <f>IF(ISBLANK('Data Entry'!$æ$326), "", 'Data Entry'!$æ$326)</f>
      </c>
      <c r="FK326">
        <f>IF(ISBLANK('Data Entry'!$ç$326), "", 'Data Entry'!$ç$326)</f>
      </c>
      <c r="FL326">
        <f>IF(ISBLANK('Data Entry'!$è$326), "", 'Data Entry'!$è$326)</f>
      </c>
      <c r="FM326">
        <f>IF(ISBLANK('Data Entry'!$é$326), "", 'Data Entry'!$é$326)</f>
      </c>
      <c r="FN326">
        <f>IF(ISBLANK('Data Entry'!$ê$326), "", 'Data Entry'!$ê$326)</f>
      </c>
      <c r="FO326">
        <f>IF(ISBLANK('Data Entry'!$ë$326), "", 'Data Entry'!$ë$326)</f>
      </c>
      <c r="FP326">
        <f>IF(ISBLANK('Data Entry'!$ì$326), "", 'Data Entry'!$ì$326)</f>
      </c>
      <c r="FQ326">
        <f>IF(ISBLANK('Data Entry'!$í$326), "", 'Data Entry'!$í$326)</f>
      </c>
      <c r="FR326">
        <f>IF(ISBLANK('Data Entry'!$î$326), "", 'Data Entry'!$î$326)</f>
      </c>
      <c r="FS326">
        <f>IF(ISBLANK('Data Entry'!$ï$326), "", 'Data Entry'!$ï$326)</f>
      </c>
      <c r="FT326">
        <f>IF(ISBLANK('Data Entry'!$ð$326), "", 'Data Entry'!$ð$326)</f>
      </c>
      <c r="FU326">
        <f>IF(ISBLANK('Data Entry'!$ñ$326), "", 'Data Entry'!$ñ$326)</f>
      </c>
      <c r="FV326">
        <f>IF(ISBLANK('Data Entry'!$ò$326), "", 'Data Entry'!$ò$326)</f>
      </c>
      <c r="FW326">
        <f>IF(ISBLANK('Data Entry'!$ó$326), "", 'Data Entry'!$ó$326)</f>
      </c>
      <c r="FX326">
        <f>IF(ISBLANK('Data Entry'!$ô$326), "", 'Data Entry'!$ô$326)</f>
      </c>
      <c r="FY326">
        <f>IF(ISBLANK('Data Entry'!$õ$326), "", 'Data Entry'!$õ$326)</f>
      </c>
      <c r="FZ326">
        <f>IF(ISBLANK('Data Entry'!$ö$326), "", 'Data Entry'!$ö$326)</f>
      </c>
      <c r="GA326">
        <f>IF(ISBLANK('Data Entry'!$÷$326), "", 'Data Entry'!$÷$326)</f>
      </c>
      <c r="GB326">
        <f>IF(ISBLANK('Data Entry'!$ø$326), "", 'Data Entry'!$ø$326)</f>
      </c>
      <c r="GC326">
        <f>IF(ISBLANK('Data Entry'!$ù$326), "", 'Data Entry'!$ù$326)</f>
      </c>
      <c r="GD326">
        <f>IF(ISBLANK('Data Entry'!$ú$326), "", 'Data Entry'!$ú$326)</f>
      </c>
      <c r="GE326">
        <f>IF(ISBLANK('Data Entry'!$û$326), "", 'Data Entry'!$û$326)</f>
      </c>
      <c r="GF326">
        <f>IF(ISBLANK('Data Entry'!$ü$326), "", 'Data Entry'!$ü$326)</f>
      </c>
      <c r="GG326">
        <f>IF(ISBLANK('Data Entry'!$ý$326), "", 'Data Entry'!$ý$326)</f>
      </c>
      <c r="GH326">
        <f>IF(ISBLANK('Data Entry'!$þ$326), "", 'Data Entry'!$þ$326)</f>
      </c>
      <c r="GI326">
        <f>IF(ISBLANK('Data Entry'!$ÿ$326), "", 'Data Entry'!$ÿ$326)</f>
      </c>
      <c r="GJ326">
        <f>IF(ISBLANK('Data Entry'!$Ā$326), "", 'Data Entry'!$Ā$326)</f>
      </c>
      <c r="GK326">
        <f>IF(ISBLANK('Data Entry'!$ā$326), "", 'Data Entry'!$ā$326)</f>
      </c>
      <c r="GL326">
        <f>IF(ISBLANK('Data Entry'!$Ă$326), "", 'Data Entry'!$Ă$326)</f>
      </c>
      <c r="GM326">
        <f>IF(ISBLANK('Data Entry'!$ă$326), "", 'Data Entry'!$ă$326)</f>
      </c>
      <c r="GN326">
        <f>IF(ISBLANK('Data Entry'!$Ą$326), "", 'Data Entry'!$Ą$326)</f>
      </c>
      <c r="GO326">
        <f>IF(ISBLANK('Data Entry'!$ą$326), "", 'Data Entry'!$ą$326)</f>
      </c>
      <c r="GP326">
        <f>IF(ISBLANK('Data Entry'!$Ć$326), "", 'Data Entry'!$Ć$326)</f>
      </c>
      <c r="GQ326">
        <f>IF(ISBLANK('Data Entry'!$ć$326), "", 'Data Entry'!$ć$326)</f>
      </c>
      <c r="GR326">
        <f>IF(ISBLANK('Data Entry'!$Ĉ$326), "", 'Data Entry'!$Ĉ$326)</f>
      </c>
      <c r="GS326">
        <f>IF(ISBLANK('Data Entry'!$ĉ$326), "", 'Data Entry'!$ĉ$326)</f>
      </c>
      <c r="GT326">
        <f>IF(ISBLANK('Data Entry'!$Ċ$326), "", 'Data Entry'!$Ċ$326)</f>
      </c>
      <c r="GU326">
        <f>IF(ISBLANK('Data Entry'!$ċ$326), "", 'Data Entry'!$ċ$326)</f>
      </c>
      <c r="GV326">
        <f>IF(ISBLANK('Data Entry'!$Č$326), "", 'Data Entry'!$Č$326)</f>
      </c>
      <c r="GW326">
        <f>IF(ISBLANK('Data Entry'!$č$326), "", 'Data Entry'!$č$326)</f>
      </c>
      <c r="GX326">
        <f>IF(ISBLANK('Data Entry'!$Ď$326), "", 'Data Entry'!$Ď$326)</f>
      </c>
      <c r="GY326">
        <f>IF(ISBLANK('Data Entry'!$ď$326), "", 'Data Entry'!$ď$326)</f>
      </c>
      <c r="GZ326">
        <f>IF(ISBLANK('Data Entry'!$Đ$326), "", 'Data Entry'!$Đ$326)</f>
      </c>
      <c r="HA326">
        <f>IF(ISBLANK('Data Entry'!$đ$326), "", 'Data Entry'!$đ$326)</f>
      </c>
      <c r="HB326">
        <f>IF(ISBLANK('Data Entry'!$Ē$326), "", 'Data Entry'!$Ē$326)</f>
      </c>
      <c r="HC326">
        <f>IF(ISBLANK('Data Entry'!$ē$326), "", 'Data Entry'!$ē$326)</f>
      </c>
      <c r="HD326">
        <f>IF(ISBLANK('Data Entry'!$Ĕ$326), "", 'Data Entry'!$Ĕ$326)</f>
      </c>
      <c r="HE326">
        <f>IF(ISBLANK('Data Entry'!$ĕ$326), "", 'Data Entry'!$ĕ$326)</f>
      </c>
      <c r="HF326">
        <f>IF(ISBLANK('Data Entry'!$Ė$326), "", 'Data Entry'!$Ė$326)</f>
      </c>
      <c r="HG326">
        <f>IF(ISBLANK('Data Entry'!$ė$326), "", 'Data Entry'!$ė$326)</f>
      </c>
      <c r="HH326">
        <f>IF(ISBLANK('Data Entry'!$Ę$326), "", 'Data Entry'!$Ę$326)</f>
      </c>
      <c r="HI326">
        <f>IF(ISBLANK('Data Entry'!$ę$326), "", 'Data Entry'!$ę$326)</f>
      </c>
      <c r="HJ326">
        <f>IF(ISBLANK('Data Entry'!$Ě$326), "", 'Data Entry'!$Ě$326)</f>
      </c>
      <c r="HK326">
        <f>IF(ISBLANK('Data Entry'!$ě$326), "", 'Data Entry'!$ě$326)</f>
      </c>
      <c r="HL326">
        <f>IF(ISBLANK('Data Entry'!$Ĝ$326), "", 'Data Entry'!$Ĝ$326)</f>
      </c>
      <c r="HM326">
        <f>IF(ISBLANK('Data Entry'!$ĝ$326), "", 'Data Entry'!$ĝ$326)</f>
      </c>
      <c r="HN326">
        <f>IF(ISBLANK('Data Entry'!$Ğ$326), "", 'Data Entry'!$Ğ$326)</f>
      </c>
      <c r="HO326">
        <f>IF(ISBLANK('Data Entry'!$ğ$326), "", 'Data Entry'!$ğ$326)</f>
      </c>
      <c r="HP326">
        <f>IF(ISBLANK('Data Entry'!$Ġ$326), "", 'Data Entry'!$Ġ$326)</f>
      </c>
      <c r="HQ326">
        <f>IF(ISBLANK('Data Entry'!$ġ$326), "", 'Data Entry'!$ġ$326)</f>
      </c>
      <c r="HR326">
        <f>IF(ISBLANK('Data Entry'!$Ģ$326), "", 'Data Entry'!$Ģ$326)</f>
      </c>
      <c r="HS326">
        <f>IF(ISBLANK('Data Entry'!$ģ$326), "", 'Data Entry'!$ģ$326)</f>
      </c>
      <c r="HT326">
        <f>IF(ISBLANK('Data Entry'!$Ĥ$326), "", 'Data Entry'!$Ĥ$326)</f>
      </c>
      <c r="HU326">
        <f>IF(ISBLANK('Data Entry'!$ĥ$326), "", 'Data Entry'!$ĥ$326)</f>
      </c>
      <c r="HV326">
        <f>IF(ISBLANK('Data Entry'!$Ħ$326), "", 'Data Entry'!$Ħ$326)</f>
      </c>
      <c r="HW326">
        <f>IF(ISBLANK('Data Entry'!$ħ$326), "", 'Data Entry'!$ħ$326)</f>
      </c>
      <c r="HX326">
        <f>IF(ISBLANK('Data Entry'!$Ĩ$326), "", 'Data Entry'!$Ĩ$326)</f>
      </c>
      <c r="HY326">
        <f>IF(ISBLANK('Data Entry'!$ĩ$326), "", 'Data Entry'!$ĩ$326)</f>
      </c>
      <c r="HZ326">
        <f>IF(ISBLANK('Data Entry'!$Ī$326), "", 'Data Entry'!$Ī$326)</f>
      </c>
      <c r="IA326">
        <f>IF(ISBLANK('Data Entry'!$ī$326), "", 'Data Entry'!$ī$326)</f>
      </c>
      <c r="IB326">
        <f>IF(ISBLANK('Data Entry'!$Ĭ$326), "", 'Data Entry'!$Ĭ$326)</f>
      </c>
      <c r="IC326">
        <f>IF(ISBLANK('Data Entry'!$ĭ$326), "", 'Data Entry'!$ĭ$326)</f>
      </c>
      <c r="ID326">
        <f>IF(ISBLANK('Data Entry'!$Į$326), "", 'Data Entry'!$Į$326)</f>
      </c>
      <c r="IE326">
        <f>IF(ISBLANK('Data Entry'!$į$326), "", 'Data Entry'!$į$326)</f>
      </c>
      <c r="IF326">
        <f>IF(ISBLANK('Data Entry'!$İ$326), "", 'Data Entry'!$İ$326)</f>
      </c>
      <c r="IG326">
        <f>IF(ISBLANK('Data Entry'!$ı$326), "", 'Data Entry'!$ı$326)</f>
      </c>
      <c r="IH326">
        <f>IF(ISBLANK('Data Entry'!$Ĳ$326), "", 'Data Entry'!$Ĳ$326)</f>
      </c>
      <c r="II326">
        <f>IF(ISBLANK('Data Entry'!$ĳ$326), "", 'Data Entry'!$ĳ$326)</f>
      </c>
      <c r="IJ326">
        <f>IF(ISBLANK('Data Entry'!$Ĵ$326), "", 'Data Entry'!$Ĵ$326)</f>
      </c>
      <c r="IK326">
        <f>IF(ISBLANK('Data Entry'!$ĵ$326), "", 'Data Entry'!$ĵ$326)</f>
      </c>
      <c r="IL326">
        <f>IF(ISBLANK('Data Entry'!$Ķ$326), "", 'Data Entry'!$Ķ$326)</f>
      </c>
      <c r="IM326">
        <f>IF(ISBLANK('Data Entry'!$ķ$326), "", 'Data Entry'!$ķ$326)</f>
      </c>
      <c r="IN326">
        <f>IF(ISBLANK('Data Entry'!$ĸ$326), "", 'Data Entry'!$ĸ$326)</f>
      </c>
      <c r="IO326">
        <f>IF(ISBLANK('Data Entry'!$Ĺ$326), "", 'Data Entry'!$Ĺ$326)</f>
      </c>
      <c r="IP326">
        <f>IF(ISBLANK('Data Entry'!$ĺ$326), "", 'Data Entry'!$ĺ$326)</f>
      </c>
      <c r="IQ326">
        <f>IF(ISBLANK('Data Entry'!$Ļ$326), "", 'Data Entry'!$Ļ$326)</f>
      </c>
      <c r="IR326">
        <f>IF(ISBLANK('Data Entry'!$ļ$326), "", 'Data Entry'!$ļ$326)</f>
      </c>
      <c r="IS326">
        <f>IF(ISBLANK('Data Entry'!$Ľ$326), "", 'Data Entry'!$Ľ$326)</f>
      </c>
      <c r="IT326">
        <f>IF(ISBLANK('Data Entry'!$ľ$326), "", 'Data Entry'!$ľ$326)</f>
      </c>
    </row>
    <row r="327" spans="1:254" x14ac:dyDescent="0.25">
      <c r="A327">
        <f>IF(ISBLANK('Data Entry'!$A$327), "", 'Data Entry'!$A$327)</f>
      </c>
      <c r="B327">
        <f>IF(ISBLANK('Data Entry'!$B$327), "", 'Data Entry'!$B$327)</f>
      </c>
      <c r="C327">
        <f>IF(ISBLANK('Data Entry'!$C$327), "", 'Data Entry'!$C$327)</f>
      </c>
      <c r="D327">
        <f>IF(ISBLANK('Data Entry'!$D$327), "", 'Data Entry'!$D$327)</f>
      </c>
      <c r="E327">
        <f>IF(ISBLANK('Data Entry'!$E$327), "", 'Data Entry'!$E$327)</f>
      </c>
      <c r="F327">
        <f>IF(ISBLANK('Data Entry'!$F$327), "", 'Data Entry'!$F$327)</f>
      </c>
      <c r="G327">
        <f>IF(ISBLANK('Data Entry'!$G$327), "", 'Data Entry'!$G$327)</f>
      </c>
      <c r="H327">
        <f>IF(ISBLANK('Data Entry'!$H$327), "", 'Data Entry'!$H$327)</f>
      </c>
      <c r="I327">
        <f>IF(ISBLANK('Data Entry'!$I$327), "", 'Data Entry'!$I$327)</f>
      </c>
      <c r="J327">
        <f>IF(ISBLANK('Data Entry'!$J$327), "", 'Data Entry'!$J$327)</f>
      </c>
      <c r="K327">
        <f>IF(ISBLANK('Data Entry'!$K$327), "", 'Data Entry'!$K$327)</f>
      </c>
      <c r="L327">
        <f>IF(ISBLANK('Data Entry'!$L$327), "", 'Data Entry'!$L$327)</f>
      </c>
      <c r="M327">
        <f>IF(ISBLANK('Data Entry'!$M$327), "", 'Data Entry'!$M$327)</f>
      </c>
      <c r="N327">
        <f>IF(ISBLANK('Data Entry'!$N$327), "", 'Data Entry'!$N$327)</f>
      </c>
      <c r="O327">
        <f>IF(ISBLANK('Data Entry'!$O$327), "", 'Data Entry'!$O$327)</f>
      </c>
      <c r="P327">
        <f>IF(ISBLANK('Data Entry'!$P$327), "", 'Data Entry'!$P$327)</f>
      </c>
      <c r="Q327">
        <f>IF(ISBLANK('Data Entry'!$Q$327), "", 'Data Entry'!$Q$327)</f>
      </c>
      <c r="R327">
        <f>IF(ISBLANK('Data Entry'!$R$327), "", 'Data Entry'!$R$327)</f>
      </c>
      <c r="S327">
        <f>IF(ISBLANK('Data Entry'!$S$327), "", 'Data Entry'!$S$327)</f>
      </c>
      <c r="T327">
        <f>IF(ISBLANK('Data Entry'!$T$327), "", 'Data Entry'!$T$327)</f>
      </c>
      <c r="U327">
        <f>IF(ISBLANK('Data Entry'!$U$327), "", 'Data Entry'!$U$327)</f>
      </c>
      <c r="V327">
        <f>IF(ISBLANK('Data Entry'!$V$327), "", 'Data Entry'!$V$327)</f>
      </c>
      <c r="W327">
        <f>IF(ISBLANK('Data Entry'!$W$327), "", 'Data Entry'!$W$327)</f>
      </c>
      <c r="X327">
        <f>IF(ISBLANK('Data Entry'!$X$327), "", 'Data Entry'!$X$327)</f>
      </c>
      <c r="Y327">
        <f>IF(ISBLANK('Data Entry'!$Y$327), "", 'Data Entry'!$Y$327)</f>
      </c>
      <c r="Z327">
        <f>IF(ISBLANK('Data Entry'!$Z$327), "", 'Data Entry'!$Z$327)</f>
      </c>
      <c r="AA327">
        <f>IF(ISBLANK('Data Entry'!$[$327), "", 'Data Entry'!$[$327)</f>
      </c>
      <c r="AB327">
        <f>IF(ISBLANK('Data Entry'!$\$327), "", 'Data Entry'!$\$327)</f>
      </c>
      <c r="AC327">
        <f>IF(ISBLANK('Data Entry'!$]$327), "", 'Data Entry'!$]$327)</f>
      </c>
      <c r="AD327">
        <f>IF(ISBLANK('Data Entry'!$^$327), "", 'Data Entry'!$^$327)</f>
      </c>
      <c r="AE327">
        <f>IF(ISBLANK('Data Entry'!$_$327), "", 'Data Entry'!$_$327)</f>
      </c>
      <c r="AF327">
        <f>IF(ISBLANK('Data Entry'!$`$327), "", 'Data Entry'!$`$327)</f>
      </c>
      <c r="AG327">
        <f>IF(ISBLANK('Data Entry'!$a$327), "", 'Data Entry'!$a$327)</f>
      </c>
      <c r="AH327">
        <f>IF(ISBLANK('Data Entry'!$b$327), "", 'Data Entry'!$b$327)</f>
      </c>
      <c r="AI327">
        <f>IF(ISBLANK('Data Entry'!$c$327), "", 'Data Entry'!$c$327)</f>
      </c>
      <c r="AJ327">
        <f>IF(ISBLANK('Data Entry'!$d$327), "", 'Data Entry'!$d$327)</f>
      </c>
      <c r="AK327">
        <f>IF(ISBLANK('Data Entry'!$e$327), "", 'Data Entry'!$e$327)</f>
      </c>
      <c r="AL327">
        <f>IF(ISBLANK('Data Entry'!$f$327), "", 'Data Entry'!$f$327)</f>
      </c>
      <c r="AM327">
        <f>IF(ISBLANK('Data Entry'!$g$327), "", 'Data Entry'!$g$327)</f>
      </c>
      <c r="AN327">
        <f>IF(ISBLANK('Data Entry'!$h$327), "", 'Data Entry'!$h$327)</f>
      </c>
      <c r="AO327">
        <f>IF(ISBLANK('Data Entry'!$i$327), "", 'Data Entry'!$i$327)</f>
      </c>
      <c r="AP327">
        <f>IF(ISBLANK('Data Entry'!$j$327), "", 'Data Entry'!$j$327)</f>
      </c>
      <c r="AQ327">
        <f>IF(ISBLANK('Data Entry'!$k$327), "", 'Data Entry'!$k$327)</f>
      </c>
      <c r="AR327">
        <f>IF(ISBLANK('Data Entry'!$l$327), "", 'Data Entry'!$l$327)</f>
      </c>
      <c r="AS327">
        <f>IF(ISBLANK('Data Entry'!$m$327), "", 'Data Entry'!$m$327)</f>
      </c>
      <c r="AT327">
        <f>IF(ISBLANK('Data Entry'!$n$327), "", 'Data Entry'!$n$327)</f>
      </c>
      <c r="AU327">
        <f>IF(ISBLANK('Data Entry'!$o$327), "", 'Data Entry'!$o$327)</f>
      </c>
      <c r="AV327">
        <f>IF(ISBLANK('Data Entry'!$p$327), "", 'Data Entry'!$p$327)</f>
      </c>
      <c r="AW327">
        <f>IF(ISBLANK('Data Entry'!$q$327), "", 'Data Entry'!$q$327)</f>
      </c>
      <c r="AX327">
        <f>IF(ISBLANK('Data Entry'!$r$327), "", 'Data Entry'!$r$327)</f>
      </c>
      <c r="AY327">
        <f>IF(ISBLANK('Data Entry'!$s$327), "", 'Data Entry'!$s$327)</f>
      </c>
      <c r="AZ327">
        <f>IF(ISBLANK('Data Entry'!$t$327), "", 'Data Entry'!$t$327)</f>
      </c>
      <c r="BA327">
        <f>IF(ISBLANK('Data Entry'!$u$327), "", 'Data Entry'!$u$327)</f>
      </c>
      <c r="BB327">
        <f>IF(ISBLANK('Data Entry'!$v$327), "", 'Data Entry'!$v$327)</f>
      </c>
      <c r="BC327">
        <f>IF(ISBLANK('Data Entry'!$w$327), "", 'Data Entry'!$w$327)</f>
      </c>
      <c r="BD327">
        <f>IF(ISBLANK('Data Entry'!$x$327), "", 'Data Entry'!$x$327)</f>
      </c>
      <c r="BE327">
        <f>IF(ISBLANK('Data Entry'!$y$327), "", 'Data Entry'!$y$327)</f>
      </c>
      <c r="BF327">
        <f>IF(ISBLANK('Data Entry'!$z$327), "", 'Data Entry'!$z$327)</f>
      </c>
      <c r="BG327">
        <f>IF(ISBLANK('Data Entry'!${$327), "", 'Data Entry'!${$327)</f>
      </c>
      <c r="BH327">
        <f>IF(ISBLANK('Data Entry'!$|$327), "", 'Data Entry'!$|$327)</f>
      </c>
      <c r="BI327">
        <f>IF(ISBLANK('Data Entry'!$}$327), "", 'Data Entry'!$}$327)</f>
      </c>
      <c r="BJ327">
        <f>IF(ISBLANK('Data Entry'!$~$327), "", 'Data Entry'!$~$327)</f>
      </c>
      <c r="BK327">
        <f>IF(ISBLANK('Data Entry'!$$327), "", 'Data Entry'!$$327)</f>
      </c>
      <c r="BL327">
        <f>IF(ISBLANK('Data Entry'!$$327), "", 'Data Entry'!$$327)</f>
      </c>
      <c r="BM327">
        <f>IF(ISBLANK('Data Entry'!$$327), "", 'Data Entry'!$$327)</f>
      </c>
      <c r="BN327">
        <f>IF(ISBLANK('Data Entry'!$$327), "", 'Data Entry'!$$327)</f>
      </c>
      <c r="BO327">
        <f>IF(ISBLANK('Data Entry'!$$327), "", 'Data Entry'!$$327)</f>
      </c>
      <c r="BP327">
        <f>IF(ISBLANK('Data Entry'!$$327), "", 'Data Entry'!$$327)</f>
      </c>
      <c r="BQ327">
        <f>IF(ISBLANK('Data Entry'!$$327), "", 'Data Entry'!$$327)</f>
      </c>
      <c r="BR327">
        <f>IF(ISBLANK('Data Entry'!$$327), "", 'Data Entry'!$$327)</f>
      </c>
      <c r="BS327">
        <f>IF(ISBLANK('Data Entry'!$$327), "", 'Data Entry'!$$327)</f>
      </c>
      <c r="BT327">
        <f>IF(ISBLANK('Data Entry'!$$327), "", 'Data Entry'!$$327)</f>
      </c>
      <c r="BU327">
        <f>IF(ISBLANK('Data Entry'!$$327), "", 'Data Entry'!$$327)</f>
      </c>
      <c r="BV327">
        <f>IF(ISBLANK('Data Entry'!$$327), "", 'Data Entry'!$$327)</f>
      </c>
      <c r="BW327">
        <f>IF(ISBLANK('Data Entry'!$$327), "", 'Data Entry'!$$327)</f>
      </c>
      <c r="BX327">
        <f>IF(ISBLANK('Data Entry'!$$327), "", 'Data Entry'!$$327)</f>
      </c>
      <c r="BY327">
        <f>IF(ISBLANK('Data Entry'!$$327), "", 'Data Entry'!$$327)</f>
      </c>
      <c r="BZ327">
        <f>IF(ISBLANK('Data Entry'!$$327), "", 'Data Entry'!$$327)</f>
      </c>
      <c r="CA327">
        <f>IF(ISBLANK('Data Entry'!$$327), "", 'Data Entry'!$$327)</f>
      </c>
      <c r="CB327">
        <f>IF(ISBLANK('Data Entry'!$$327), "", 'Data Entry'!$$327)</f>
      </c>
      <c r="CC327">
        <f>IF(ISBLANK('Data Entry'!$$327), "", 'Data Entry'!$$327)</f>
      </c>
      <c r="CD327">
        <f>IF(ISBLANK('Data Entry'!$$327), "", 'Data Entry'!$$327)</f>
      </c>
      <c r="CE327">
        <f>IF(ISBLANK('Data Entry'!$$327), "", 'Data Entry'!$$327)</f>
      </c>
      <c r="CF327">
        <f>IF(ISBLANK('Data Entry'!$$327), "", 'Data Entry'!$$327)</f>
      </c>
      <c r="CG327">
        <f>IF(ISBLANK('Data Entry'!$$327), "", 'Data Entry'!$$327)</f>
      </c>
      <c r="CH327">
        <f>IF(ISBLANK('Data Entry'!$$327), "", 'Data Entry'!$$327)</f>
      </c>
      <c r="CI327">
        <f>IF(ISBLANK('Data Entry'!$$327), "", 'Data Entry'!$$327)</f>
      </c>
      <c r="CJ327">
        <f>IF(ISBLANK('Data Entry'!$$327), "", 'Data Entry'!$$327)</f>
      </c>
      <c r="CK327">
        <f>IF(ISBLANK('Data Entry'!$$327), "", 'Data Entry'!$$327)</f>
      </c>
      <c r="CL327">
        <f>IF(ISBLANK('Data Entry'!$$327), "", 'Data Entry'!$$327)</f>
      </c>
      <c r="CM327">
        <f>IF(ISBLANK('Data Entry'!$$327), "", 'Data Entry'!$$327)</f>
      </c>
      <c r="CN327">
        <f>IF(ISBLANK('Data Entry'!$$327), "", 'Data Entry'!$$327)</f>
      </c>
      <c r="CO327">
        <f>IF(ISBLANK('Data Entry'!$$327), "", 'Data Entry'!$$327)</f>
      </c>
      <c r="CP327">
        <f>IF(ISBLANK('Data Entry'!$$327), "", 'Data Entry'!$$327)</f>
      </c>
      <c r="CQ327">
        <f>IF(ISBLANK('Data Entry'!$$327), "", 'Data Entry'!$$327)</f>
      </c>
      <c r="CR327">
        <f>IF(ISBLANK('Data Entry'!$ $327), "", 'Data Entry'!$ $327)</f>
      </c>
      <c r="CS327">
        <f>IF(ISBLANK('Data Entry'!$¡$327), "", 'Data Entry'!$¡$327)</f>
      </c>
      <c r="CT327">
        <f>IF(ISBLANK('Data Entry'!$¢$327), "", 'Data Entry'!$¢$327)</f>
      </c>
      <c r="CU327">
        <f>IF(ISBLANK('Data Entry'!$£$327), "", 'Data Entry'!$£$327)</f>
      </c>
      <c r="CV327">
        <f>IF(ISBLANK('Data Entry'!$¤$327), "", 'Data Entry'!$¤$327)</f>
      </c>
      <c r="CW327">
        <f>IF(ISBLANK('Data Entry'!$¥$327), "", 'Data Entry'!$¥$327)</f>
      </c>
      <c r="CX327">
        <f>IF(ISBLANK('Data Entry'!$¦$327), "", 'Data Entry'!$¦$327)</f>
      </c>
      <c r="CY327">
        <f>IF(ISBLANK('Data Entry'!$§$327), "", 'Data Entry'!$§$327)</f>
      </c>
      <c r="CZ327">
        <f>IF(ISBLANK('Data Entry'!$¨$327), "", 'Data Entry'!$¨$327)</f>
      </c>
      <c r="DA327">
        <f>IF(ISBLANK('Data Entry'!$©$327), "", 'Data Entry'!$©$327)</f>
      </c>
      <c r="DB327">
        <f>IF(ISBLANK('Data Entry'!$ª$327), "", 'Data Entry'!$ª$327)</f>
      </c>
      <c r="DC327">
        <f>IF(ISBLANK('Data Entry'!$«$327), "", 'Data Entry'!$«$327)</f>
      </c>
      <c r="DD327">
        <f>IF(ISBLANK('Data Entry'!$¬$327), "", 'Data Entry'!$¬$327)</f>
      </c>
      <c r="DE327">
        <f>IF(ISBLANK('Data Entry'!$­$327), "", 'Data Entry'!$­$327)</f>
      </c>
      <c r="DF327">
        <f>IF(ISBLANK('Data Entry'!$®$327), "", 'Data Entry'!$®$327)</f>
      </c>
      <c r="DG327">
        <f>IF(ISBLANK('Data Entry'!$¯$327), "", 'Data Entry'!$¯$327)</f>
      </c>
      <c r="DH327">
        <f>IF(ISBLANK('Data Entry'!$°$327), "", 'Data Entry'!$°$327)</f>
      </c>
      <c r="DI327">
        <f>IF(ISBLANK('Data Entry'!$±$327), "", 'Data Entry'!$±$327)</f>
      </c>
      <c r="DJ327">
        <f>IF(ISBLANK('Data Entry'!$²$327), "", 'Data Entry'!$²$327)</f>
      </c>
      <c r="DK327">
        <f>IF(ISBLANK('Data Entry'!$³$327), "", 'Data Entry'!$³$327)</f>
      </c>
      <c r="DL327">
        <f>IF(ISBLANK('Data Entry'!$´$327), "", 'Data Entry'!$´$327)</f>
      </c>
      <c r="DM327">
        <f>IF(ISBLANK('Data Entry'!$µ$327), "", 'Data Entry'!$µ$327)</f>
      </c>
      <c r="DN327">
        <f>IF(ISBLANK('Data Entry'!$¶$327), "", 'Data Entry'!$¶$327)</f>
      </c>
      <c r="DO327">
        <f>IF(ISBLANK('Data Entry'!$·$327), "", 'Data Entry'!$·$327)</f>
      </c>
      <c r="DP327">
        <f>IF(ISBLANK('Data Entry'!$¸$327), "", 'Data Entry'!$¸$327)</f>
      </c>
      <c r="DQ327">
        <f>IF(ISBLANK('Data Entry'!$¹$327), "", 'Data Entry'!$¹$327)</f>
      </c>
      <c r="DR327">
        <f>IF(ISBLANK('Data Entry'!$º$327), "", 'Data Entry'!$º$327)</f>
      </c>
      <c r="DS327">
        <f>IF(ISBLANK('Data Entry'!$»$327), "", 'Data Entry'!$»$327)</f>
      </c>
      <c r="DT327">
        <f>IF(ISBLANK('Data Entry'!$¼$327), "", 'Data Entry'!$¼$327)</f>
      </c>
      <c r="DU327">
        <f>IF(ISBLANK('Data Entry'!$½$327), "", 'Data Entry'!$½$327)</f>
      </c>
      <c r="DV327">
        <f>IF(ISBLANK('Data Entry'!$¾$327), "", 'Data Entry'!$¾$327)</f>
      </c>
      <c r="DW327">
        <f>IF(ISBLANK('Data Entry'!$¿$327), "", 'Data Entry'!$¿$327)</f>
      </c>
      <c r="DX327">
        <f>IF(ISBLANK('Data Entry'!$À$327), "", 'Data Entry'!$À$327)</f>
      </c>
      <c r="DY327">
        <f>IF(ISBLANK('Data Entry'!$Á$327), "", 'Data Entry'!$Á$327)</f>
      </c>
      <c r="DZ327">
        <f>IF(ISBLANK('Data Entry'!$Â$327), "", 'Data Entry'!$Â$327)</f>
      </c>
      <c r="EA327">
        <f>IF(ISBLANK('Data Entry'!$Ã$327), "", 'Data Entry'!$Ã$327)</f>
      </c>
      <c r="EB327">
        <f>IF(ISBLANK('Data Entry'!$Ä$327), "", 'Data Entry'!$Ä$327)</f>
      </c>
      <c r="EC327">
        <f>IF(ISBLANK('Data Entry'!$Å$327), "", 'Data Entry'!$Å$327)</f>
      </c>
      <c r="ED327">
        <f>IF(ISBLANK('Data Entry'!$Æ$327), "", 'Data Entry'!$Æ$327)</f>
      </c>
      <c r="EE327">
        <f>IF(ISBLANK('Data Entry'!$Ç$327), "", 'Data Entry'!$Ç$327)</f>
      </c>
      <c r="EF327">
        <f>IF(ISBLANK('Data Entry'!$È$327), "", 'Data Entry'!$È$327)</f>
      </c>
      <c r="EG327">
        <f>IF(ISBLANK('Data Entry'!$É$327), "", 'Data Entry'!$É$327)</f>
      </c>
      <c r="EH327">
        <f>IF(ISBLANK('Data Entry'!$Ê$327), "", 'Data Entry'!$Ê$327)</f>
      </c>
      <c r="EI327">
        <f>IF(ISBLANK('Data Entry'!$Ë$327), "", 'Data Entry'!$Ë$327)</f>
      </c>
      <c r="EJ327">
        <f>IF(ISBLANK('Data Entry'!$Ì$327), "", 'Data Entry'!$Ì$327)</f>
      </c>
      <c r="EK327">
        <f>IF(ISBLANK('Data Entry'!$Í$327), "", 'Data Entry'!$Í$327)</f>
      </c>
      <c r="EL327">
        <f>IF(ISBLANK('Data Entry'!$Î$327), "", 'Data Entry'!$Î$327)</f>
      </c>
      <c r="EM327">
        <f>IF(ISBLANK('Data Entry'!$Ï$327), "", 'Data Entry'!$Ï$327)</f>
      </c>
      <c r="EN327">
        <f>IF(ISBLANK('Data Entry'!$Ð$327), "", 'Data Entry'!$Ð$327)</f>
      </c>
      <c r="EO327">
        <f>IF(ISBLANK('Data Entry'!$Ñ$327), "", 'Data Entry'!$Ñ$327)</f>
      </c>
      <c r="EP327">
        <f>IF(ISBLANK('Data Entry'!$Ò$327), "", 'Data Entry'!$Ò$327)</f>
      </c>
      <c r="EQ327">
        <f>IF(ISBLANK('Data Entry'!$Ó$327), "", 'Data Entry'!$Ó$327)</f>
      </c>
      <c r="ER327">
        <f>IF(ISBLANK('Data Entry'!$Ô$327), "", 'Data Entry'!$Ô$327)</f>
      </c>
      <c r="ES327">
        <f>IF(ISBLANK('Data Entry'!$Õ$327), "", 'Data Entry'!$Õ$327)</f>
      </c>
      <c r="ET327">
        <f>IF(ISBLANK('Data Entry'!$Ö$327), "", 'Data Entry'!$Ö$327)</f>
      </c>
      <c r="EU327">
        <f>IF(ISBLANK('Data Entry'!$×$327), "", 'Data Entry'!$×$327)</f>
      </c>
      <c r="EV327">
        <f>IF(ISBLANK('Data Entry'!$Ø$327), "", 'Data Entry'!$Ø$327)</f>
      </c>
      <c r="EW327">
        <f>IF(ISBLANK('Data Entry'!$Ù$327), "", 'Data Entry'!$Ù$327)</f>
      </c>
      <c r="EX327">
        <f>IF(ISBLANK('Data Entry'!$Ú$327), "", 'Data Entry'!$Ú$327)</f>
      </c>
      <c r="EY327">
        <f>IF(ISBLANK('Data Entry'!$Û$327), "", 'Data Entry'!$Û$327)</f>
      </c>
      <c r="EZ327">
        <f>IF(ISBLANK('Data Entry'!$Ü$327), "", 'Data Entry'!$Ü$327)</f>
      </c>
      <c r="FA327">
        <f>IF(ISBLANK('Data Entry'!$Ý$327), "", 'Data Entry'!$Ý$327)</f>
      </c>
      <c r="FB327">
        <f>IF(ISBLANK('Data Entry'!$Þ$327), "", 'Data Entry'!$Þ$327)</f>
      </c>
      <c r="FC327">
        <f>IF(ISBLANK('Data Entry'!$ß$327), "", 'Data Entry'!$ß$327)</f>
      </c>
      <c r="FD327">
        <f>IF(ISBLANK('Data Entry'!$à$327), "", 'Data Entry'!$à$327)</f>
      </c>
      <c r="FE327">
        <f>IF(ISBLANK('Data Entry'!$á$327), "", 'Data Entry'!$á$327)</f>
      </c>
      <c r="FF327">
        <f>IF(ISBLANK('Data Entry'!$â$327), "", 'Data Entry'!$â$327)</f>
      </c>
      <c r="FG327">
        <f>IF(ISBLANK('Data Entry'!$ã$327), "", 'Data Entry'!$ã$327)</f>
      </c>
      <c r="FH327">
        <f>IF(ISBLANK('Data Entry'!$ä$327), "", 'Data Entry'!$ä$327)</f>
      </c>
      <c r="FI327">
        <f>IF(ISBLANK('Data Entry'!$å$327), "", 'Data Entry'!$å$327)</f>
      </c>
      <c r="FJ327">
        <f>IF(ISBLANK('Data Entry'!$æ$327), "", 'Data Entry'!$æ$327)</f>
      </c>
      <c r="FK327">
        <f>IF(ISBLANK('Data Entry'!$ç$327), "", 'Data Entry'!$ç$327)</f>
      </c>
      <c r="FL327">
        <f>IF(ISBLANK('Data Entry'!$è$327), "", 'Data Entry'!$è$327)</f>
      </c>
      <c r="FM327">
        <f>IF(ISBLANK('Data Entry'!$é$327), "", 'Data Entry'!$é$327)</f>
      </c>
      <c r="FN327">
        <f>IF(ISBLANK('Data Entry'!$ê$327), "", 'Data Entry'!$ê$327)</f>
      </c>
      <c r="FO327">
        <f>IF(ISBLANK('Data Entry'!$ë$327), "", 'Data Entry'!$ë$327)</f>
      </c>
      <c r="FP327">
        <f>IF(ISBLANK('Data Entry'!$ì$327), "", 'Data Entry'!$ì$327)</f>
      </c>
      <c r="FQ327">
        <f>IF(ISBLANK('Data Entry'!$í$327), "", 'Data Entry'!$í$327)</f>
      </c>
      <c r="FR327">
        <f>IF(ISBLANK('Data Entry'!$î$327), "", 'Data Entry'!$î$327)</f>
      </c>
      <c r="FS327">
        <f>IF(ISBLANK('Data Entry'!$ï$327), "", 'Data Entry'!$ï$327)</f>
      </c>
      <c r="FT327">
        <f>IF(ISBLANK('Data Entry'!$ð$327), "", 'Data Entry'!$ð$327)</f>
      </c>
      <c r="FU327">
        <f>IF(ISBLANK('Data Entry'!$ñ$327), "", 'Data Entry'!$ñ$327)</f>
      </c>
      <c r="FV327">
        <f>IF(ISBLANK('Data Entry'!$ò$327), "", 'Data Entry'!$ò$327)</f>
      </c>
      <c r="FW327">
        <f>IF(ISBLANK('Data Entry'!$ó$327), "", 'Data Entry'!$ó$327)</f>
      </c>
      <c r="FX327">
        <f>IF(ISBLANK('Data Entry'!$ô$327), "", 'Data Entry'!$ô$327)</f>
      </c>
      <c r="FY327">
        <f>IF(ISBLANK('Data Entry'!$õ$327), "", 'Data Entry'!$õ$327)</f>
      </c>
      <c r="FZ327">
        <f>IF(ISBLANK('Data Entry'!$ö$327), "", 'Data Entry'!$ö$327)</f>
      </c>
      <c r="GA327">
        <f>IF(ISBLANK('Data Entry'!$÷$327), "", 'Data Entry'!$÷$327)</f>
      </c>
      <c r="GB327">
        <f>IF(ISBLANK('Data Entry'!$ø$327), "", 'Data Entry'!$ø$327)</f>
      </c>
      <c r="GC327">
        <f>IF(ISBLANK('Data Entry'!$ù$327), "", 'Data Entry'!$ù$327)</f>
      </c>
      <c r="GD327">
        <f>IF(ISBLANK('Data Entry'!$ú$327), "", 'Data Entry'!$ú$327)</f>
      </c>
      <c r="GE327">
        <f>IF(ISBLANK('Data Entry'!$û$327), "", 'Data Entry'!$û$327)</f>
      </c>
      <c r="GF327">
        <f>IF(ISBLANK('Data Entry'!$ü$327), "", 'Data Entry'!$ü$327)</f>
      </c>
      <c r="GG327">
        <f>IF(ISBLANK('Data Entry'!$ý$327), "", 'Data Entry'!$ý$327)</f>
      </c>
      <c r="GH327">
        <f>IF(ISBLANK('Data Entry'!$þ$327), "", 'Data Entry'!$þ$327)</f>
      </c>
      <c r="GI327">
        <f>IF(ISBLANK('Data Entry'!$ÿ$327), "", 'Data Entry'!$ÿ$327)</f>
      </c>
      <c r="GJ327">
        <f>IF(ISBLANK('Data Entry'!$Ā$327), "", 'Data Entry'!$Ā$327)</f>
      </c>
      <c r="GK327">
        <f>IF(ISBLANK('Data Entry'!$ā$327), "", 'Data Entry'!$ā$327)</f>
      </c>
      <c r="GL327">
        <f>IF(ISBLANK('Data Entry'!$Ă$327), "", 'Data Entry'!$Ă$327)</f>
      </c>
      <c r="GM327">
        <f>IF(ISBLANK('Data Entry'!$ă$327), "", 'Data Entry'!$ă$327)</f>
      </c>
      <c r="GN327">
        <f>IF(ISBLANK('Data Entry'!$Ą$327), "", 'Data Entry'!$Ą$327)</f>
      </c>
      <c r="GO327">
        <f>IF(ISBLANK('Data Entry'!$ą$327), "", 'Data Entry'!$ą$327)</f>
      </c>
      <c r="GP327">
        <f>IF(ISBLANK('Data Entry'!$Ć$327), "", 'Data Entry'!$Ć$327)</f>
      </c>
      <c r="GQ327">
        <f>IF(ISBLANK('Data Entry'!$ć$327), "", 'Data Entry'!$ć$327)</f>
      </c>
      <c r="GR327">
        <f>IF(ISBLANK('Data Entry'!$Ĉ$327), "", 'Data Entry'!$Ĉ$327)</f>
      </c>
      <c r="GS327">
        <f>IF(ISBLANK('Data Entry'!$ĉ$327), "", 'Data Entry'!$ĉ$327)</f>
      </c>
      <c r="GT327">
        <f>IF(ISBLANK('Data Entry'!$Ċ$327), "", 'Data Entry'!$Ċ$327)</f>
      </c>
      <c r="GU327">
        <f>IF(ISBLANK('Data Entry'!$ċ$327), "", 'Data Entry'!$ċ$327)</f>
      </c>
      <c r="GV327">
        <f>IF(ISBLANK('Data Entry'!$Č$327), "", 'Data Entry'!$Č$327)</f>
      </c>
      <c r="GW327">
        <f>IF(ISBLANK('Data Entry'!$č$327), "", 'Data Entry'!$č$327)</f>
      </c>
      <c r="GX327">
        <f>IF(ISBLANK('Data Entry'!$Ď$327), "", 'Data Entry'!$Ď$327)</f>
      </c>
      <c r="GY327">
        <f>IF(ISBLANK('Data Entry'!$ď$327), "", 'Data Entry'!$ď$327)</f>
      </c>
      <c r="GZ327">
        <f>IF(ISBLANK('Data Entry'!$Đ$327), "", 'Data Entry'!$Đ$327)</f>
      </c>
      <c r="HA327">
        <f>IF(ISBLANK('Data Entry'!$đ$327), "", 'Data Entry'!$đ$327)</f>
      </c>
      <c r="HB327">
        <f>IF(ISBLANK('Data Entry'!$Ē$327), "", 'Data Entry'!$Ē$327)</f>
      </c>
      <c r="HC327">
        <f>IF(ISBLANK('Data Entry'!$ē$327), "", 'Data Entry'!$ē$327)</f>
      </c>
      <c r="HD327">
        <f>IF(ISBLANK('Data Entry'!$Ĕ$327), "", 'Data Entry'!$Ĕ$327)</f>
      </c>
      <c r="HE327">
        <f>IF(ISBLANK('Data Entry'!$ĕ$327), "", 'Data Entry'!$ĕ$327)</f>
      </c>
      <c r="HF327">
        <f>IF(ISBLANK('Data Entry'!$Ė$327), "", 'Data Entry'!$Ė$327)</f>
      </c>
      <c r="HG327">
        <f>IF(ISBLANK('Data Entry'!$ė$327), "", 'Data Entry'!$ė$327)</f>
      </c>
      <c r="HH327">
        <f>IF(ISBLANK('Data Entry'!$Ę$327), "", 'Data Entry'!$Ę$327)</f>
      </c>
      <c r="HI327">
        <f>IF(ISBLANK('Data Entry'!$ę$327), "", 'Data Entry'!$ę$327)</f>
      </c>
      <c r="HJ327">
        <f>IF(ISBLANK('Data Entry'!$Ě$327), "", 'Data Entry'!$Ě$327)</f>
      </c>
      <c r="HK327">
        <f>IF(ISBLANK('Data Entry'!$ě$327), "", 'Data Entry'!$ě$327)</f>
      </c>
      <c r="HL327">
        <f>IF(ISBLANK('Data Entry'!$Ĝ$327), "", 'Data Entry'!$Ĝ$327)</f>
      </c>
      <c r="HM327">
        <f>IF(ISBLANK('Data Entry'!$ĝ$327), "", 'Data Entry'!$ĝ$327)</f>
      </c>
      <c r="HN327">
        <f>IF(ISBLANK('Data Entry'!$Ğ$327), "", 'Data Entry'!$Ğ$327)</f>
      </c>
      <c r="HO327">
        <f>IF(ISBLANK('Data Entry'!$ğ$327), "", 'Data Entry'!$ğ$327)</f>
      </c>
      <c r="HP327">
        <f>IF(ISBLANK('Data Entry'!$Ġ$327), "", 'Data Entry'!$Ġ$327)</f>
      </c>
      <c r="HQ327">
        <f>IF(ISBLANK('Data Entry'!$ġ$327), "", 'Data Entry'!$ġ$327)</f>
      </c>
      <c r="HR327">
        <f>IF(ISBLANK('Data Entry'!$Ģ$327), "", 'Data Entry'!$Ģ$327)</f>
      </c>
      <c r="HS327">
        <f>IF(ISBLANK('Data Entry'!$ģ$327), "", 'Data Entry'!$ģ$327)</f>
      </c>
      <c r="HT327">
        <f>IF(ISBLANK('Data Entry'!$Ĥ$327), "", 'Data Entry'!$Ĥ$327)</f>
      </c>
      <c r="HU327">
        <f>IF(ISBLANK('Data Entry'!$ĥ$327), "", 'Data Entry'!$ĥ$327)</f>
      </c>
      <c r="HV327">
        <f>IF(ISBLANK('Data Entry'!$Ħ$327), "", 'Data Entry'!$Ħ$327)</f>
      </c>
      <c r="HW327">
        <f>IF(ISBLANK('Data Entry'!$ħ$327), "", 'Data Entry'!$ħ$327)</f>
      </c>
      <c r="HX327">
        <f>IF(ISBLANK('Data Entry'!$Ĩ$327), "", 'Data Entry'!$Ĩ$327)</f>
      </c>
      <c r="HY327">
        <f>IF(ISBLANK('Data Entry'!$ĩ$327), "", 'Data Entry'!$ĩ$327)</f>
      </c>
      <c r="HZ327">
        <f>IF(ISBLANK('Data Entry'!$Ī$327), "", 'Data Entry'!$Ī$327)</f>
      </c>
      <c r="IA327">
        <f>IF(ISBLANK('Data Entry'!$ī$327), "", 'Data Entry'!$ī$327)</f>
      </c>
      <c r="IB327">
        <f>IF(ISBLANK('Data Entry'!$Ĭ$327), "", 'Data Entry'!$Ĭ$327)</f>
      </c>
      <c r="IC327">
        <f>IF(ISBLANK('Data Entry'!$ĭ$327), "", 'Data Entry'!$ĭ$327)</f>
      </c>
      <c r="ID327">
        <f>IF(ISBLANK('Data Entry'!$Į$327), "", 'Data Entry'!$Į$327)</f>
      </c>
      <c r="IE327">
        <f>IF(ISBLANK('Data Entry'!$į$327), "", 'Data Entry'!$į$327)</f>
      </c>
      <c r="IF327">
        <f>IF(ISBLANK('Data Entry'!$İ$327), "", 'Data Entry'!$İ$327)</f>
      </c>
      <c r="IG327">
        <f>IF(ISBLANK('Data Entry'!$ı$327), "", 'Data Entry'!$ı$327)</f>
      </c>
      <c r="IH327">
        <f>IF(ISBLANK('Data Entry'!$Ĳ$327), "", 'Data Entry'!$Ĳ$327)</f>
      </c>
      <c r="II327">
        <f>IF(ISBLANK('Data Entry'!$ĳ$327), "", 'Data Entry'!$ĳ$327)</f>
      </c>
      <c r="IJ327">
        <f>IF(ISBLANK('Data Entry'!$Ĵ$327), "", 'Data Entry'!$Ĵ$327)</f>
      </c>
      <c r="IK327">
        <f>IF(ISBLANK('Data Entry'!$ĵ$327), "", 'Data Entry'!$ĵ$327)</f>
      </c>
      <c r="IL327">
        <f>IF(ISBLANK('Data Entry'!$Ķ$327), "", 'Data Entry'!$Ķ$327)</f>
      </c>
      <c r="IM327">
        <f>IF(ISBLANK('Data Entry'!$ķ$327), "", 'Data Entry'!$ķ$327)</f>
      </c>
      <c r="IN327">
        <f>IF(ISBLANK('Data Entry'!$ĸ$327), "", 'Data Entry'!$ĸ$327)</f>
      </c>
      <c r="IO327">
        <f>IF(ISBLANK('Data Entry'!$Ĺ$327), "", 'Data Entry'!$Ĺ$327)</f>
      </c>
      <c r="IP327">
        <f>IF(ISBLANK('Data Entry'!$ĺ$327), "", 'Data Entry'!$ĺ$327)</f>
      </c>
      <c r="IQ327">
        <f>IF(ISBLANK('Data Entry'!$Ļ$327), "", 'Data Entry'!$Ļ$327)</f>
      </c>
      <c r="IR327">
        <f>IF(ISBLANK('Data Entry'!$ļ$327), "", 'Data Entry'!$ļ$327)</f>
      </c>
      <c r="IS327">
        <f>IF(ISBLANK('Data Entry'!$Ľ$327), "", 'Data Entry'!$Ľ$327)</f>
      </c>
      <c r="IT327">
        <f>IF(ISBLANK('Data Entry'!$ľ$327), "", 'Data Entry'!$ľ$327)</f>
      </c>
    </row>
    <row r="328" spans="1:254" x14ac:dyDescent="0.25">
      <c r="A328">
        <f>IF(ISBLANK('Data Entry'!$A$328), "", 'Data Entry'!$A$328)</f>
      </c>
      <c r="B328">
        <f>IF(ISBLANK('Data Entry'!$B$328), "", 'Data Entry'!$B$328)</f>
      </c>
      <c r="C328">
        <f>IF(ISBLANK('Data Entry'!$C$328), "", 'Data Entry'!$C$328)</f>
      </c>
      <c r="D328">
        <f>IF(ISBLANK('Data Entry'!$D$328), "", 'Data Entry'!$D$328)</f>
      </c>
      <c r="E328">
        <f>IF(ISBLANK('Data Entry'!$E$328), "", 'Data Entry'!$E$328)</f>
      </c>
      <c r="F328">
        <f>IF(ISBLANK('Data Entry'!$F$328), "", 'Data Entry'!$F$328)</f>
      </c>
      <c r="G328">
        <f>IF(ISBLANK('Data Entry'!$G$328), "", 'Data Entry'!$G$328)</f>
      </c>
      <c r="H328">
        <f>IF(ISBLANK('Data Entry'!$H$328), "", 'Data Entry'!$H$328)</f>
      </c>
      <c r="I328">
        <f>IF(ISBLANK('Data Entry'!$I$328), "", 'Data Entry'!$I$328)</f>
      </c>
      <c r="J328">
        <f>IF(ISBLANK('Data Entry'!$J$328), "", 'Data Entry'!$J$328)</f>
      </c>
      <c r="K328">
        <f>IF(ISBLANK('Data Entry'!$K$328), "", 'Data Entry'!$K$328)</f>
      </c>
      <c r="L328">
        <f>IF(ISBLANK('Data Entry'!$L$328), "", 'Data Entry'!$L$328)</f>
      </c>
      <c r="M328">
        <f>IF(ISBLANK('Data Entry'!$M$328), "", 'Data Entry'!$M$328)</f>
      </c>
      <c r="N328">
        <f>IF(ISBLANK('Data Entry'!$N$328), "", 'Data Entry'!$N$328)</f>
      </c>
      <c r="O328">
        <f>IF(ISBLANK('Data Entry'!$O$328), "", 'Data Entry'!$O$328)</f>
      </c>
      <c r="P328">
        <f>IF(ISBLANK('Data Entry'!$P$328), "", 'Data Entry'!$P$328)</f>
      </c>
      <c r="Q328">
        <f>IF(ISBLANK('Data Entry'!$Q$328), "", 'Data Entry'!$Q$328)</f>
      </c>
      <c r="R328">
        <f>IF(ISBLANK('Data Entry'!$R$328), "", 'Data Entry'!$R$328)</f>
      </c>
      <c r="S328">
        <f>IF(ISBLANK('Data Entry'!$S$328), "", 'Data Entry'!$S$328)</f>
      </c>
      <c r="T328">
        <f>IF(ISBLANK('Data Entry'!$T$328), "", 'Data Entry'!$T$328)</f>
      </c>
      <c r="U328">
        <f>IF(ISBLANK('Data Entry'!$U$328), "", 'Data Entry'!$U$328)</f>
      </c>
      <c r="V328">
        <f>IF(ISBLANK('Data Entry'!$V$328), "", 'Data Entry'!$V$328)</f>
      </c>
      <c r="W328">
        <f>IF(ISBLANK('Data Entry'!$W$328), "", 'Data Entry'!$W$328)</f>
      </c>
      <c r="X328">
        <f>IF(ISBLANK('Data Entry'!$X$328), "", 'Data Entry'!$X$328)</f>
      </c>
      <c r="Y328">
        <f>IF(ISBLANK('Data Entry'!$Y$328), "", 'Data Entry'!$Y$328)</f>
      </c>
      <c r="Z328">
        <f>IF(ISBLANK('Data Entry'!$Z$328), "", 'Data Entry'!$Z$328)</f>
      </c>
      <c r="AA328">
        <f>IF(ISBLANK('Data Entry'!$[$328), "", 'Data Entry'!$[$328)</f>
      </c>
      <c r="AB328">
        <f>IF(ISBLANK('Data Entry'!$\$328), "", 'Data Entry'!$\$328)</f>
      </c>
      <c r="AC328">
        <f>IF(ISBLANK('Data Entry'!$]$328), "", 'Data Entry'!$]$328)</f>
      </c>
      <c r="AD328">
        <f>IF(ISBLANK('Data Entry'!$^$328), "", 'Data Entry'!$^$328)</f>
      </c>
      <c r="AE328">
        <f>IF(ISBLANK('Data Entry'!$_$328), "", 'Data Entry'!$_$328)</f>
      </c>
      <c r="AF328">
        <f>IF(ISBLANK('Data Entry'!$`$328), "", 'Data Entry'!$`$328)</f>
      </c>
      <c r="AG328">
        <f>IF(ISBLANK('Data Entry'!$a$328), "", 'Data Entry'!$a$328)</f>
      </c>
      <c r="AH328">
        <f>IF(ISBLANK('Data Entry'!$b$328), "", 'Data Entry'!$b$328)</f>
      </c>
      <c r="AI328">
        <f>IF(ISBLANK('Data Entry'!$c$328), "", 'Data Entry'!$c$328)</f>
      </c>
      <c r="AJ328">
        <f>IF(ISBLANK('Data Entry'!$d$328), "", 'Data Entry'!$d$328)</f>
      </c>
      <c r="AK328">
        <f>IF(ISBLANK('Data Entry'!$e$328), "", 'Data Entry'!$e$328)</f>
      </c>
      <c r="AL328">
        <f>IF(ISBLANK('Data Entry'!$f$328), "", 'Data Entry'!$f$328)</f>
      </c>
      <c r="AM328">
        <f>IF(ISBLANK('Data Entry'!$g$328), "", 'Data Entry'!$g$328)</f>
      </c>
      <c r="AN328">
        <f>IF(ISBLANK('Data Entry'!$h$328), "", 'Data Entry'!$h$328)</f>
      </c>
      <c r="AO328">
        <f>IF(ISBLANK('Data Entry'!$i$328), "", 'Data Entry'!$i$328)</f>
      </c>
      <c r="AP328">
        <f>IF(ISBLANK('Data Entry'!$j$328), "", 'Data Entry'!$j$328)</f>
      </c>
      <c r="AQ328">
        <f>IF(ISBLANK('Data Entry'!$k$328), "", 'Data Entry'!$k$328)</f>
      </c>
      <c r="AR328">
        <f>IF(ISBLANK('Data Entry'!$l$328), "", 'Data Entry'!$l$328)</f>
      </c>
      <c r="AS328">
        <f>IF(ISBLANK('Data Entry'!$m$328), "", 'Data Entry'!$m$328)</f>
      </c>
      <c r="AT328">
        <f>IF(ISBLANK('Data Entry'!$n$328), "", 'Data Entry'!$n$328)</f>
      </c>
      <c r="AU328">
        <f>IF(ISBLANK('Data Entry'!$o$328), "", 'Data Entry'!$o$328)</f>
      </c>
      <c r="AV328">
        <f>IF(ISBLANK('Data Entry'!$p$328), "", 'Data Entry'!$p$328)</f>
      </c>
      <c r="AW328">
        <f>IF(ISBLANK('Data Entry'!$q$328), "", 'Data Entry'!$q$328)</f>
      </c>
      <c r="AX328">
        <f>IF(ISBLANK('Data Entry'!$r$328), "", 'Data Entry'!$r$328)</f>
      </c>
      <c r="AY328">
        <f>IF(ISBLANK('Data Entry'!$s$328), "", 'Data Entry'!$s$328)</f>
      </c>
      <c r="AZ328">
        <f>IF(ISBLANK('Data Entry'!$t$328), "", 'Data Entry'!$t$328)</f>
      </c>
      <c r="BA328">
        <f>IF(ISBLANK('Data Entry'!$u$328), "", 'Data Entry'!$u$328)</f>
      </c>
      <c r="BB328">
        <f>IF(ISBLANK('Data Entry'!$v$328), "", 'Data Entry'!$v$328)</f>
      </c>
      <c r="BC328">
        <f>IF(ISBLANK('Data Entry'!$w$328), "", 'Data Entry'!$w$328)</f>
      </c>
      <c r="BD328">
        <f>IF(ISBLANK('Data Entry'!$x$328), "", 'Data Entry'!$x$328)</f>
      </c>
      <c r="BE328">
        <f>IF(ISBLANK('Data Entry'!$y$328), "", 'Data Entry'!$y$328)</f>
      </c>
      <c r="BF328">
        <f>IF(ISBLANK('Data Entry'!$z$328), "", 'Data Entry'!$z$328)</f>
      </c>
      <c r="BG328">
        <f>IF(ISBLANK('Data Entry'!${$328), "", 'Data Entry'!${$328)</f>
      </c>
      <c r="BH328">
        <f>IF(ISBLANK('Data Entry'!$|$328), "", 'Data Entry'!$|$328)</f>
      </c>
      <c r="BI328">
        <f>IF(ISBLANK('Data Entry'!$}$328), "", 'Data Entry'!$}$328)</f>
      </c>
      <c r="BJ328">
        <f>IF(ISBLANK('Data Entry'!$~$328), "", 'Data Entry'!$~$328)</f>
      </c>
      <c r="BK328">
        <f>IF(ISBLANK('Data Entry'!$$328), "", 'Data Entry'!$$328)</f>
      </c>
      <c r="BL328">
        <f>IF(ISBLANK('Data Entry'!$$328), "", 'Data Entry'!$$328)</f>
      </c>
      <c r="BM328">
        <f>IF(ISBLANK('Data Entry'!$$328), "", 'Data Entry'!$$328)</f>
      </c>
      <c r="BN328">
        <f>IF(ISBLANK('Data Entry'!$$328), "", 'Data Entry'!$$328)</f>
      </c>
      <c r="BO328">
        <f>IF(ISBLANK('Data Entry'!$$328), "", 'Data Entry'!$$328)</f>
      </c>
      <c r="BP328">
        <f>IF(ISBLANK('Data Entry'!$$328), "", 'Data Entry'!$$328)</f>
      </c>
      <c r="BQ328">
        <f>IF(ISBLANK('Data Entry'!$$328), "", 'Data Entry'!$$328)</f>
      </c>
      <c r="BR328">
        <f>IF(ISBLANK('Data Entry'!$$328), "", 'Data Entry'!$$328)</f>
      </c>
      <c r="BS328">
        <f>IF(ISBLANK('Data Entry'!$$328), "", 'Data Entry'!$$328)</f>
      </c>
      <c r="BT328">
        <f>IF(ISBLANK('Data Entry'!$$328), "", 'Data Entry'!$$328)</f>
      </c>
      <c r="BU328">
        <f>IF(ISBLANK('Data Entry'!$$328), "", 'Data Entry'!$$328)</f>
      </c>
      <c r="BV328">
        <f>IF(ISBLANK('Data Entry'!$$328), "", 'Data Entry'!$$328)</f>
      </c>
      <c r="BW328">
        <f>IF(ISBLANK('Data Entry'!$$328), "", 'Data Entry'!$$328)</f>
      </c>
      <c r="BX328">
        <f>IF(ISBLANK('Data Entry'!$$328), "", 'Data Entry'!$$328)</f>
      </c>
      <c r="BY328">
        <f>IF(ISBLANK('Data Entry'!$$328), "", 'Data Entry'!$$328)</f>
      </c>
      <c r="BZ328">
        <f>IF(ISBLANK('Data Entry'!$$328), "", 'Data Entry'!$$328)</f>
      </c>
      <c r="CA328">
        <f>IF(ISBLANK('Data Entry'!$$328), "", 'Data Entry'!$$328)</f>
      </c>
      <c r="CB328">
        <f>IF(ISBLANK('Data Entry'!$$328), "", 'Data Entry'!$$328)</f>
      </c>
      <c r="CC328">
        <f>IF(ISBLANK('Data Entry'!$$328), "", 'Data Entry'!$$328)</f>
      </c>
      <c r="CD328">
        <f>IF(ISBLANK('Data Entry'!$$328), "", 'Data Entry'!$$328)</f>
      </c>
      <c r="CE328">
        <f>IF(ISBLANK('Data Entry'!$$328), "", 'Data Entry'!$$328)</f>
      </c>
      <c r="CF328">
        <f>IF(ISBLANK('Data Entry'!$$328), "", 'Data Entry'!$$328)</f>
      </c>
      <c r="CG328">
        <f>IF(ISBLANK('Data Entry'!$$328), "", 'Data Entry'!$$328)</f>
      </c>
      <c r="CH328">
        <f>IF(ISBLANK('Data Entry'!$$328), "", 'Data Entry'!$$328)</f>
      </c>
      <c r="CI328">
        <f>IF(ISBLANK('Data Entry'!$$328), "", 'Data Entry'!$$328)</f>
      </c>
      <c r="CJ328">
        <f>IF(ISBLANK('Data Entry'!$$328), "", 'Data Entry'!$$328)</f>
      </c>
      <c r="CK328">
        <f>IF(ISBLANK('Data Entry'!$$328), "", 'Data Entry'!$$328)</f>
      </c>
      <c r="CL328">
        <f>IF(ISBLANK('Data Entry'!$$328), "", 'Data Entry'!$$328)</f>
      </c>
      <c r="CM328">
        <f>IF(ISBLANK('Data Entry'!$$328), "", 'Data Entry'!$$328)</f>
      </c>
      <c r="CN328">
        <f>IF(ISBLANK('Data Entry'!$$328), "", 'Data Entry'!$$328)</f>
      </c>
      <c r="CO328">
        <f>IF(ISBLANK('Data Entry'!$$328), "", 'Data Entry'!$$328)</f>
      </c>
      <c r="CP328">
        <f>IF(ISBLANK('Data Entry'!$$328), "", 'Data Entry'!$$328)</f>
      </c>
      <c r="CQ328">
        <f>IF(ISBLANK('Data Entry'!$$328), "", 'Data Entry'!$$328)</f>
      </c>
      <c r="CR328">
        <f>IF(ISBLANK('Data Entry'!$ $328), "", 'Data Entry'!$ $328)</f>
      </c>
      <c r="CS328">
        <f>IF(ISBLANK('Data Entry'!$¡$328), "", 'Data Entry'!$¡$328)</f>
      </c>
      <c r="CT328">
        <f>IF(ISBLANK('Data Entry'!$¢$328), "", 'Data Entry'!$¢$328)</f>
      </c>
      <c r="CU328">
        <f>IF(ISBLANK('Data Entry'!$£$328), "", 'Data Entry'!$£$328)</f>
      </c>
      <c r="CV328">
        <f>IF(ISBLANK('Data Entry'!$¤$328), "", 'Data Entry'!$¤$328)</f>
      </c>
      <c r="CW328">
        <f>IF(ISBLANK('Data Entry'!$¥$328), "", 'Data Entry'!$¥$328)</f>
      </c>
      <c r="CX328">
        <f>IF(ISBLANK('Data Entry'!$¦$328), "", 'Data Entry'!$¦$328)</f>
      </c>
      <c r="CY328">
        <f>IF(ISBLANK('Data Entry'!$§$328), "", 'Data Entry'!$§$328)</f>
      </c>
      <c r="CZ328">
        <f>IF(ISBLANK('Data Entry'!$¨$328), "", 'Data Entry'!$¨$328)</f>
      </c>
      <c r="DA328">
        <f>IF(ISBLANK('Data Entry'!$©$328), "", 'Data Entry'!$©$328)</f>
      </c>
      <c r="DB328">
        <f>IF(ISBLANK('Data Entry'!$ª$328), "", 'Data Entry'!$ª$328)</f>
      </c>
      <c r="DC328">
        <f>IF(ISBLANK('Data Entry'!$«$328), "", 'Data Entry'!$«$328)</f>
      </c>
      <c r="DD328">
        <f>IF(ISBLANK('Data Entry'!$¬$328), "", 'Data Entry'!$¬$328)</f>
      </c>
      <c r="DE328">
        <f>IF(ISBLANK('Data Entry'!$­$328), "", 'Data Entry'!$­$328)</f>
      </c>
      <c r="DF328">
        <f>IF(ISBLANK('Data Entry'!$®$328), "", 'Data Entry'!$®$328)</f>
      </c>
      <c r="DG328">
        <f>IF(ISBLANK('Data Entry'!$¯$328), "", 'Data Entry'!$¯$328)</f>
      </c>
      <c r="DH328">
        <f>IF(ISBLANK('Data Entry'!$°$328), "", 'Data Entry'!$°$328)</f>
      </c>
      <c r="DI328">
        <f>IF(ISBLANK('Data Entry'!$±$328), "", 'Data Entry'!$±$328)</f>
      </c>
      <c r="DJ328">
        <f>IF(ISBLANK('Data Entry'!$²$328), "", 'Data Entry'!$²$328)</f>
      </c>
      <c r="DK328">
        <f>IF(ISBLANK('Data Entry'!$³$328), "", 'Data Entry'!$³$328)</f>
      </c>
      <c r="DL328">
        <f>IF(ISBLANK('Data Entry'!$´$328), "", 'Data Entry'!$´$328)</f>
      </c>
      <c r="DM328">
        <f>IF(ISBLANK('Data Entry'!$µ$328), "", 'Data Entry'!$µ$328)</f>
      </c>
      <c r="DN328">
        <f>IF(ISBLANK('Data Entry'!$¶$328), "", 'Data Entry'!$¶$328)</f>
      </c>
      <c r="DO328">
        <f>IF(ISBLANK('Data Entry'!$·$328), "", 'Data Entry'!$·$328)</f>
      </c>
      <c r="DP328">
        <f>IF(ISBLANK('Data Entry'!$¸$328), "", 'Data Entry'!$¸$328)</f>
      </c>
      <c r="DQ328">
        <f>IF(ISBLANK('Data Entry'!$¹$328), "", 'Data Entry'!$¹$328)</f>
      </c>
      <c r="DR328">
        <f>IF(ISBLANK('Data Entry'!$º$328), "", 'Data Entry'!$º$328)</f>
      </c>
      <c r="DS328">
        <f>IF(ISBLANK('Data Entry'!$»$328), "", 'Data Entry'!$»$328)</f>
      </c>
      <c r="DT328">
        <f>IF(ISBLANK('Data Entry'!$¼$328), "", 'Data Entry'!$¼$328)</f>
      </c>
      <c r="DU328">
        <f>IF(ISBLANK('Data Entry'!$½$328), "", 'Data Entry'!$½$328)</f>
      </c>
      <c r="DV328">
        <f>IF(ISBLANK('Data Entry'!$¾$328), "", 'Data Entry'!$¾$328)</f>
      </c>
      <c r="DW328">
        <f>IF(ISBLANK('Data Entry'!$¿$328), "", 'Data Entry'!$¿$328)</f>
      </c>
      <c r="DX328">
        <f>IF(ISBLANK('Data Entry'!$À$328), "", 'Data Entry'!$À$328)</f>
      </c>
      <c r="DY328">
        <f>IF(ISBLANK('Data Entry'!$Á$328), "", 'Data Entry'!$Á$328)</f>
      </c>
      <c r="DZ328">
        <f>IF(ISBLANK('Data Entry'!$Â$328), "", 'Data Entry'!$Â$328)</f>
      </c>
      <c r="EA328">
        <f>IF(ISBLANK('Data Entry'!$Ã$328), "", 'Data Entry'!$Ã$328)</f>
      </c>
      <c r="EB328">
        <f>IF(ISBLANK('Data Entry'!$Ä$328), "", 'Data Entry'!$Ä$328)</f>
      </c>
      <c r="EC328">
        <f>IF(ISBLANK('Data Entry'!$Å$328), "", 'Data Entry'!$Å$328)</f>
      </c>
      <c r="ED328">
        <f>IF(ISBLANK('Data Entry'!$Æ$328), "", 'Data Entry'!$Æ$328)</f>
      </c>
      <c r="EE328">
        <f>IF(ISBLANK('Data Entry'!$Ç$328), "", 'Data Entry'!$Ç$328)</f>
      </c>
      <c r="EF328">
        <f>IF(ISBLANK('Data Entry'!$È$328), "", 'Data Entry'!$È$328)</f>
      </c>
      <c r="EG328">
        <f>IF(ISBLANK('Data Entry'!$É$328), "", 'Data Entry'!$É$328)</f>
      </c>
      <c r="EH328">
        <f>IF(ISBLANK('Data Entry'!$Ê$328), "", 'Data Entry'!$Ê$328)</f>
      </c>
      <c r="EI328">
        <f>IF(ISBLANK('Data Entry'!$Ë$328), "", 'Data Entry'!$Ë$328)</f>
      </c>
      <c r="EJ328">
        <f>IF(ISBLANK('Data Entry'!$Ì$328), "", 'Data Entry'!$Ì$328)</f>
      </c>
      <c r="EK328">
        <f>IF(ISBLANK('Data Entry'!$Í$328), "", 'Data Entry'!$Í$328)</f>
      </c>
      <c r="EL328">
        <f>IF(ISBLANK('Data Entry'!$Î$328), "", 'Data Entry'!$Î$328)</f>
      </c>
      <c r="EM328">
        <f>IF(ISBLANK('Data Entry'!$Ï$328), "", 'Data Entry'!$Ï$328)</f>
      </c>
      <c r="EN328">
        <f>IF(ISBLANK('Data Entry'!$Ð$328), "", 'Data Entry'!$Ð$328)</f>
      </c>
      <c r="EO328">
        <f>IF(ISBLANK('Data Entry'!$Ñ$328), "", 'Data Entry'!$Ñ$328)</f>
      </c>
      <c r="EP328">
        <f>IF(ISBLANK('Data Entry'!$Ò$328), "", 'Data Entry'!$Ò$328)</f>
      </c>
      <c r="EQ328">
        <f>IF(ISBLANK('Data Entry'!$Ó$328), "", 'Data Entry'!$Ó$328)</f>
      </c>
      <c r="ER328">
        <f>IF(ISBLANK('Data Entry'!$Ô$328), "", 'Data Entry'!$Ô$328)</f>
      </c>
      <c r="ES328">
        <f>IF(ISBLANK('Data Entry'!$Õ$328), "", 'Data Entry'!$Õ$328)</f>
      </c>
      <c r="ET328">
        <f>IF(ISBLANK('Data Entry'!$Ö$328), "", 'Data Entry'!$Ö$328)</f>
      </c>
      <c r="EU328">
        <f>IF(ISBLANK('Data Entry'!$×$328), "", 'Data Entry'!$×$328)</f>
      </c>
      <c r="EV328">
        <f>IF(ISBLANK('Data Entry'!$Ø$328), "", 'Data Entry'!$Ø$328)</f>
      </c>
      <c r="EW328">
        <f>IF(ISBLANK('Data Entry'!$Ù$328), "", 'Data Entry'!$Ù$328)</f>
      </c>
      <c r="EX328">
        <f>IF(ISBLANK('Data Entry'!$Ú$328), "", 'Data Entry'!$Ú$328)</f>
      </c>
      <c r="EY328">
        <f>IF(ISBLANK('Data Entry'!$Û$328), "", 'Data Entry'!$Û$328)</f>
      </c>
      <c r="EZ328">
        <f>IF(ISBLANK('Data Entry'!$Ü$328), "", 'Data Entry'!$Ü$328)</f>
      </c>
      <c r="FA328">
        <f>IF(ISBLANK('Data Entry'!$Ý$328), "", 'Data Entry'!$Ý$328)</f>
      </c>
      <c r="FB328">
        <f>IF(ISBLANK('Data Entry'!$Þ$328), "", 'Data Entry'!$Þ$328)</f>
      </c>
      <c r="FC328">
        <f>IF(ISBLANK('Data Entry'!$ß$328), "", 'Data Entry'!$ß$328)</f>
      </c>
      <c r="FD328">
        <f>IF(ISBLANK('Data Entry'!$à$328), "", 'Data Entry'!$à$328)</f>
      </c>
      <c r="FE328">
        <f>IF(ISBLANK('Data Entry'!$á$328), "", 'Data Entry'!$á$328)</f>
      </c>
      <c r="FF328">
        <f>IF(ISBLANK('Data Entry'!$â$328), "", 'Data Entry'!$â$328)</f>
      </c>
      <c r="FG328">
        <f>IF(ISBLANK('Data Entry'!$ã$328), "", 'Data Entry'!$ã$328)</f>
      </c>
      <c r="FH328">
        <f>IF(ISBLANK('Data Entry'!$ä$328), "", 'Data Entry'!$ä$328)</f>
      </c>
      <c r="FI328">
        <f>IF(ISBLANK('Data Entry'!$å$328), "", 'Data Entry'!$å$328)</f>
      </c>
      <c r="FJ328">
        <f>IF(ISBLANK('Data Entry'!$æ$328), "", 'Data Entry'!$æ$328)</f>
      </c>
      <c r="FK328">
        <f>IF(ISBLANK('Data Entry'!$ç$328), "", 'Data Entry'!$ç$328)</f>
      </c>
      <c r="FL328">
        <f>IF(ISBLANK('Data Entry'!$è$328), "", 'Data Entry'!$è$328)</f>
      </c>
      <c r="FM328">
        <f>IF(ISBLANK('Data Entry'!$é$328), "", 'Data Entry'!$é$328)</f>
      </c>
      <c r="FN328">
        <f>IF(ISBLANK('Data Entry'!$ê$328), "", 'Data Entry'!$ê$328)</f>
      </c>
      <c r="FO328">
        <f>IF(ISBLANK('Data Entry'!$ë$328), "", 'Data Entry'!$ë$328)</f>
      </c>
      <c r="FP328">
        <f>IF(ISBLANK('Data Entry'!$ì$328), "", 'Data Entry'!$ì$328)</f>
      </c>
      <c r="FQ328">
        <f>IF(ISBLANK('Data Entry'!$í$328), "", 'Data Entry'!$í$328)</f>
      </c>
      <c r="FR328">
        <f>IF(ISBLANK('Data Entry'!$î$328), "", 'Data Entry'!$î$328)</f>
      </c>
      <c r="FS328">
        <f>IF(ISBLANK('Data Entry'!$ï$328), "", 'Data Entry'!$ï$328)</f>
      </c>
      <c r="FT328">
        <f>IF(ISBLANK('Data Entry'!$ð$328), "", 'Data Entry'!$ð$328)</f>
      </c>
      <c r="FU328">
        <f>IF(ISBLANK('Data Entry'!$ñ$328), "", 'Data Entry'!$ñ$328)</f>
      </c>
      <c r="FV328">
        <f>IF(ISBLANK('Data Entry'!$ò$328), "", 'Data Entry'!$ò$328)</f>
      </c>
      <c r="FW328">
        <f>IF(ISBLANK('Data Entry'!$ó$328), "", 'Data Entry'!$ó$328)</f>
      </c>
      <c r="FX328">
        <f>IF(ISBLANK('Data Entry'!$ô$328), "", 'Data Entry'!$ô$328)</f>
      </c>
      <c r="FY328">
        <f>IF(ISBLANK('Data Entry'!$õ$328), "", 'Data Entry'!$õ$328)</f>
      </c>
      <c r="FZ328">
        <f>IF(ISBLANK('Data Entry'!$ö$328), "", 'Data Entry'!$ö$328)</f>
      </c>
      <c r="GA328">
        <f>IF(ISBLANK('Data Entry'!$÷$328), "", 'Data Entry'!$÷$328)</f>
      </c>
      <c r="GB328">
        <f>IF(ISBLANK('Data Entry'!$ø$328), "", 'Data Entry'!$ø$328)</f>
      </c>
      <c r="GC328">
        <f>IF(ISBLANK('Data Entry'!$ù$328), "", 'Data Entry'!$ù$328)</f>
      </c>
      <c r="GD328">
        <f>IF(ISBLANK('Data Entry'!$ú$328), "", 'Data Entry'!$ú$328)</f>
      </c>
      <c r="GE328">
        <f>IF(ISBLANK('Data Entry'!$û$328), "", 'Data Entry'!$û$328)</f>
      </c>
      <c r="GF328">
        <f>IF(ISBLANK('Data Entry'!$ü$328), "", 'Data Entry'!$ü$328)</f>
      </c>
      <c r="GG328">
        <f>IF(ISBLANK('Data Entry'!$ý$328), "", 'Data Entry'!$ý$328)</f>
      </c>
      <c r="GH328">
        <f>IF(ISBLANK('Data Entry'!$þ$328), "", 'Data Entry'!$þ$328)</f>
      </c>
      <c r="GI328">
        <f>IF(ISBLANK('Data Entry'!$ÿ$328), "", 'Data Entry'!$ÿ$328)</f>
      </c>
      <c r="GJ328">
        <f>IF(ISBLANK('Data Entry'!$Ā$328), "", 'Data Entry'!$Ā$328)</f>
      </c>
      <c r="GK328">
        <f>IF(ISBLANK('Data Entry'!$ā$328), "", 'Data Entry'!$ā$328)</f>
      </c>
      <c r="GL328">
        <f>IF(ISBLANK('Data Entry'!$Ă$328), "", 'Data Entry'!$Ă$328)</f>
      </c>
      <c r="GM328">
        <f>IF(ISBLANK('Data Entry'!$ă$328), "", 'Data Entry'!$ă$328)</f>
      </c>
      <c r="GN328">
        <f>IF(ISBLANK('Data Entry'!$Ą$328), "", 'Data Entry'!$Ą$328)</f>
      </c>
      <c r="GO328">
        <f>IF(ISBLANK('Data Entry'!$ą$328), "", 'Data Entry'!$ą$328)</f>
      </c>
      <c r="GP328">
        <f>IF(ISBLANK('Data Entry'!$Ć$328), "", 'Data Entry'!$Ć$328)</f>
      </c>
      <c r="GQ328">
        <f>IF(ISBLANK('Data Entry'!$ć$328), "", 'Data Entry'!$ć$328)</f>
      </c>
      <c r="GR328">
        <f>IF(ISBLANK('Data Entry'!$Ĉ$328), "", 'Data Entry'!$Ĉ$328)</f>
      </c>
      <c r="GS328">
        <f>IF(ISBLANK('Data Entry'!$ĉ$328), "", 'Data Entry'!$ĉ$328)</f>
      </c>
      <c r="GT328">
        <f>IF(ISBLANK('Data Entry'!$Ċ$328), "", 'Data Entry'!$Ċ$328)</f>
      </c>
      <c r="GU328">
        <f>IF(ISBLANK('Data Entry'!$ċ$328), "", 'Data Entry'!$ċ$328)</f>
      </c>
      <c r="GV328">
        <f>IF(ISBLANK('Data Entry'!$Č$328), "", 'Data Entry'!$Č$328)</f>
      </c>
      <c r="GW328">
        <f>IF(ISBLANK('Data Entry'!$č$328), "", 'Data Entry'!$č$328)</f>
      </c>
      <c r="GX328">
        <f>IF(ISBLANK('Data Entry'!$Ď$328), "", 'Data Entry'!$Ď$328)</f>
      </c>
      <c r="GY328">
        <f>IF(ISBLANK('Data Entry'!$ď$328), "", 'Data Entry'!$ď$328)</f>
      </c>
      <c r="GZ328">
        <f>IF(ISBLANK('Data Entry'!$Đ$328), "", 'Data Entry'!$Đ$328)</f>
      </c>
      <c r="HA328">
        <f>IF(ISBLANK('Data Entry'!$đ$328), "", 'Data Entry'!$đ$328)</f>
      </c>
      <c r="HB328">
        <f>IF(ISBLANK('Data Entry'!$Ē$328), "", 'Data Entry'!$Ē$328)</f>
      </c>
      <c r="HC328">
        <f>IF(ISBLANK('Data Entry'!$ē$328), "", 'Data Entry'!$ē$328)</f>
      </c>
      <c r="HD328">
        <f>IF(ISBLANK('Data Entry'!$Ĕ$328), "", 'Data Entry'!$Ĕ$328)</f>
      </c>
      <c r="HE328">
        <f>IF(ISBLANK('Data Entry'!$ĕ$328), "", 'Data Entry'!$ĕ$328)</f>
      </c>
      <c r="HF328">
        <f>IF(ISBLANK('Data Entry'!$Ė$328), "", 'Data Entry'!$Ė$328)</f>
      </c>
      <c r="HG328">
        <f>IF(ISBLANK('Data Entry'!$ė$328), "", 'Data Entry'!$ė$328)</f>
      </c>
      <c r="HH328">
        <f>IF(ISBLANK('Data Entry'!$Ę$328), "", 'Data Entry'!$Ę$328)</f>
      </c>
      <c r="HI328">
        <f>IF(ISBLANK('Data Entry'!$ę$328), "", 'Data Entry'!$ę$328)</f>
      </c>
      <c r="HJ328">
        <f>IF(ISBLANK('Data Entry'!$Ě$328), "", 'Data Entry'!$Ě$328)</f>
      </c>
      <c r="HK328">
        <f>IF(ISBLANK('Data Entry'!$ě$328), "", 'Data Entry'!$ě$328)</f>
      </c>
      <c r="HL328">
        <f>IF(ISBLANK('Data Entry'!$Ĝ$328), "", 'Data Entry'!$Ĝ$328)</f>
      </c>
      <c r="HM328">
        <f>IF(ISBLANK('Data Entry'!$ĝ$328), "", 'Data Entry'!$ĝ$328)</f>
      </c>
      <c r="HN328">
        <f>IF(ISBLANK('Data Entry'!$Ğ$328), "", 'Data Entry'!$Ğ$328)</f>
      </c>
      <c r="HO328">
        <f>IF(ISBLANK('Data Entry'!$ğ$328), "", 'Data Entry'!$ğ$328)</f>
      </c>
      <c r="HP328">
        <f>IF(ISBLANK('Data Entry'!$Ġ$328), "", 'Data Entry'!$Ġ$328)</f>
      </c>
      <c r="HQ328">
        <f>IF(ISBLANK('Data Entry'!$ġ$328), "", 'Data Entry'!$ġ$328)</f>
      </c>
      <c r="HR328">
        <f>IF(ISBLANK('Data Entry'!$Ģ$328), "", 'Data Entry'!$Ģ$328)</f>
      </c>
      <c r="HS328">
        <f>IF(ISBLANK('Data Entry'!$ģ$328), "", 'Data Entry'!$ģ$328)</f>
      </c>
      <c r="HT328">
        <f>IF(ISBLANK('Data Entry'!$Ĥ$328), "", 'Data Entry'!$Ĥ$328)</f>
      </c>
      <c r="HU328">
        <f>IF(ISBLANK('Data Entry'!$ĥ$328), "", 'Data Entry'!$ĥ$328)</f>
      </c>
      <c r="HV328">
        <f>IF(ISBLANK('Data Entry'!$Ħ$328), "", 'Data Entry'!$Ħ$328)</f>
      </c>
      <c r="HW328">
        <f>IF(ISBLANK('Data Entry'!$ħ$328), "", 'Data Entry'!$ħ$328)</f>
      </c>
      <c r="HX328">
        <f>IF(ISBLANK('Data Entry'!$Ĩ$328), "", 'Data Entry'!$Ĩ$328)</f>
      </c>
      <c r="HY328">
        <f>IF(ISBLANK('Data Entry'!$ĩ$328), "", 'Data Entry'!$ĩ$328)</f>
      </c>
      <c r="HZ328">
        <f>IF(ISBLANK('Data Entry'!$Ī$328), "", 'Data Entry'!$Ī$328)</f>
      </c>
      <c r="IA328">
        <f>IF(ISBLANK('Data Entry'!$ī$328), "", 'Data Entry'!$ī$328)</f>
      </c>
      <c r="IB328">
        <f>IF(ISBLANK('Data Entry'!$Ĭ$328), "", 'Data Entry'!$Ĭ$328)</f>
      </c>
      <c r="IC328">
        <f>IF(ISBLANK('Data Entry'!$ĭ$328), "", 'Data Entry'!$ĭ$328)</f>
      </c>
      <c r="ID328">
        <f>IF(ISBLANK('Data Entry'!$Į$328), "", 'Data Entry'!$Į$328)</f>
      </c>
      <c r="IE328">
        <f>IF(ISBLANK('Data Entry'!$į$328), "", 'Data Entry'!$į$328)</f>
      </c>
      <c r="IF328">
        <f>IF(ISBLANK('Data Entry'!$İ$328), "", 'Data Entry'!$İ$328)</f>
      </c>
      <c r="IG328">
        <f>IF(ISBLANK('Data Entry'!$ı$328), "", 'Data Entry'!$ı$328)</f>
      </c>
      <c r="IH328">
        <f>IF(ISBLANK('Data Entry'!$Ĳ$328), "", 'Data Entry'!$Ĳ$328)</f>
      </c>
      <c r="II328">
        <f>IF(ISBLANK('Data Entry'!$ĳ$328), "", 'Data Entry'!$ĳ$328)</f>
      </c>
      <c r="IJ328">
        <f>IF(ISBLANK('Data Entry'!$Ĵ$328), "", 'Data Entry'!$Ĵ$328)</f>
      </c>
      <c r="IK328">
        <f>IF(ISBLANK('Data Entry'!$ĵ$328), "", 'Data Entry'!$ĵ$328)</f>
      </c>
      <c r="IL328">
        <f>IF(ISBLANK('Data Entry'!$Ķ$328), "", 'Data Entry'!$Ķ$328)</f>
      </c>
      <c r="IM328">
        <f>IF(ISBLANK('Data Entry'!$ķ$328), "", 'Data Entry'!$ķ$328)</f>
      </c>
      <c r="IN328">
        <f>IF(ISBLANK('Data Entry'!$ĸ$328), "", 'Data Entry'!$ĸ$328)</f>
      </c>
      <c r="IO328">
        <f>IF(ISBLANK('Data Entry'!$Ĺ$328), "", 'Data Entry'!$Ĺ$328)</f>
      </c>
      <c r="IP328">
        <f>IF(ISBLANK('Data Entry'!$ĺ$328), "", 'Data Entry'!$ĺ$328)</f>
      </c>
      <c r="IQ328">
        <f>IF(ISBLANK('Data Entry'!$Ļ$328), "", 'Data Entry'!$Ļ$328)</f>
      </c>
      <c r="IR328">
        <f>IF(ISBLANK('Data Entry'!$ļ$328), "", 'Data Entry'!$ļ$328)</f>
      </c>
      <c r="IS328">
        <f>IF(ISBLANK('Data Entry'!$Ľ$328), "", 'Data Entry'!$Ľ$328)</f>
      </c>
      <c r="IT328">
        <f>IF(ISBLANK('Data Entry'!$ľ$328), "", 'Data Entry'!$ľ$328)</f>
      </c>
    </row>
    <row r="329" spans="1:254" x14ac:dyDescent="0.25">
      <c r="A329">
        <f>IF(ISBLANK('Data Entry'!$A$329), "", 'Data Entry'!$A$329)</f>
      </c>
      <c r="B329">
        <f>IF(ISBLANK('Data Entry'!$B$329), "", 'Data Entry'!$B$329)</f>
      </c>
      <c r="C329">
        <f>IF(ISBLANK('Data Entry'!$C$329), "", 'Data Entry'!$C$329)</f>
      </c>
      <c r="D329">
        <f>IF(ISBLANK('Data Entry'!$D$329), "", 'Data Entry'!$D$329)</f>
      </c>
      <c r="E329">
        <f>IF(ISBLANK('Data Entry'!$E$329), "", 'Data Entry'!$E$329)</f>
      </c>
      <c r="F329">
        <f>IF(ISBLANK('Data Entry'!$F$329), "", 'Data Entry'!$F$329)</f>
      </c>
      <c r="G329">
        <f>IF(ISBLANK('Data Entry'!$G$329), "", 'Data Entry'!$G$329)</f>
      </c>
      <c r="H329">
        <f>IF(ISBLANK('Data Entry'!$H$329), "", 'Data Entry'!$H$329)</f>
      </c>
      <c r="I329">
        <f>IF(ISBLANK('Data Entry'!$I$329), "", 'Data Entry'!$I$329)</f>
      </c>
      <c r="J329">
        <f>IF(ISBLANK('Data Entry'!$J$329), "", 'Data Entry'!$J$329)</f>
      </c>
      <c r="K329">
        <f>IF(ISBLANK('Data Entry'!$K$329), "", 'Data Entry'!$K$329)</f>
      </c>
      <c r="L329">
        <f>IF(ISBLANK('Data Entry'!$L$329), "", 'Data Entry'!$L$329)</f>
      </c>
      <c r="M329">
        <f>IF(ISBLANK('Data Entry'!$M$329), "", 'Data Entry'!$M$329)</f>
      </c>
      <c r="N329">
        <f>IF(ISBLANK('Data Entry'!$N$329), "", 'Data Entry'!$N$329)</f>
      </c>
      <c r="O329">
        <f>IF(ISBLANK('Data Entry'!$O$329), "", 'Data Entry'!$O$329)</f>
      </c>
      <c r="P329">
        <f>IF(ISBLANK('Data Entry'!$P$329), "", 'Data Entry'!$P$329)</f>
      </c>
      <c r="Q329">
        <f>IF(ISBLANK('Data Entry'!$Q$329), "", 'Data Entry'!$Q$329)</f>
      </c>
      <c r="R329">
        <f>IF(ISBLANK('Data Entry'!$R$329), "", 'Data Entry'!$R$329)</f>
      </c>
      <c r="S329">
        <f>IF(ISBLANK('Data Entry'!$S$329), "", 'Data Entry'!$S$329)</f>
      </c>
      <c r="T329">
        <f>IF(ISBLANK('Data Entry'!$T$329), "", 'Data Entry'!$T$329)</f>
      </c>
      <c r="U329">
        <f>IF(ISBLANK('Data Entry'!$U$329), "", 'Data Entry'!$U$329)</f>
      </c>
      <c r="V329">
        <f>IF(ISBLANK('Data Entry'!$V$329), "", 'Data Entry'!$V$329)</f>
      </c>
      <c r="W329">
        <f>IF(ISBLANK('Data Entry'!$W$329), "", 'Data Entry'!$W$329)</f>
      </c>
      <c r="X329">
        <f>IF(ISBLANK('Data Entry'!$X$329), "", 'Data Entry'!$X$329)</f>
      </c>
      <c r="Y329">
        <f>IF(ISBLANK('Data Entry'!$Y$329), "", 'Data Entry'!$Y$329)</f>
      </c>
      <c r="Z329">
        <f>IF(ISBLANK('Data Entry'!$Z$329), "", 'Data Entry'!$Z$329)</f>
      </c>
      <c r="AA329">
        <f>IF(ISBLANK('Data Entry'!$[$329), "", 'Data Entry'!$[$329)</f>
      </c>
      <c r="AB329">
        <f>IF(ISBLANK('Data Entry'!$\$329), "", 'Data Entry'!$\$329)</f>
      </c>
      <c r="AC329">
        <f>IF(ISBLANK('Data Entry'!$]$329), "", 'Data Entry'!$]$329)</f>
      </c>
      <c r="AD329">
        <f>IF(ISBLANK('Data Entry'!$^$329), "", 'Data Entry'!$^$329)</f>
      </c>
      <c r="AE329">
        <f>IF(ISBLANK('Data Entry'!$_$329), "", 'Data Entry'!$_$329)</f>
      </c>
      <c r="AF329">
        <f>IF(ISBLANK('Data Entry'!$`$329), "", 'Data Entry'!$`$329)</f>
      </c>
      <c r="AG329">
        <f>IF(ISBLANK('Data Entry'!$a$329), "", 'Data Entry'!$a$329)</f>
      </c>
      <c r="AH329">
        <f>IF(ISBLANK('Data Entry'!$b$329), "", 'Data Entry'!$b$329)</f>
      </c>
      <c r="AI329">
        <f>IF(ISBLANK('Data Entry'!$c$329), "", 'Data Entry'!$c$329)</f>
      </c>
      <c r="AJ329">
        <f>IF(ISBLANK('Data Entry'!$d$329), "", 'Data Entry'!$d$329)</f>
      </c>
      <c r="AK329">
        <f>IF(ISBLANK('Data Entry'!$e$329), "", 'Data Entry'!$e$329)</f>
      </c>
      <c r="AL329">
        <f>IF(ISBLANK('Data Entry'!$f$329), "", 'Data Entry'!$f$329)</f>
      </c>
      <c r="AM329">
        <f>IF(ISBLANK('Data Entry'!$g$329), "", 'Data Entry'!$g$329)</f>
      </c>
      <c r="AN329">
        <f>IF(ISBLANK('Data Entry'!$h$329), "", 'Data Entry'!$h$329)</f>
      </c>
      <c r="AO329">
        <f>IF(ISBLANK('Data Entry'!$i$329), "", 'Data Entry'!$i$329)</f>
      </c>
      <c r="AP329">
        <f>IF(ISBLANK('Data Entry'!$j$329), "", 'Data Entry'!$j$329)</f>
      </c>
      <c r="AQ329">
        <f>IF(ISBLANK('Data Entry'!$k$329), "", 'Data Entry'!$k$329)</f>
      </c>
      <c r="AR329">
        <f>IF(ISBLANK('Data Entry'!$l$329), "", 'Data Entry'!$l$329)</f>
      </c>
      <c r="AS329">
        <f>IF(ISBLANK('Data Entry'!$m$329), "", 'Data Entry'!$m$329)</f>
      </c>
      <c r="AT329">
        <f>IF(ISBLANK('Data Entry'!$n$329), "", 'Data Entry'!$n$329)</f>
      </c>
      <c r="AU329">
        <f>IF(ISBLANK('Data Entry'!$o$329), "", 'Data Entry'!$o$329)</f>
      </c>
      <c r="AV329">
        <f>IF(ISBLANK('Data Entry'!$p$329), "", 'Data Entry'!$p$329)</f>
      </c>
      <c r="AW329">
        <f>IF(ISBLANK('Data Entry'!$q$329), "", 'Data Entry'!$q$329)</f>
      </c>
      <c r="AX329">
        <f>IF(ISBLANK('Data Entry'!$r$329), "", 'Data Entry'!$r$329)</f>
      </c>
      <c r="AY329">
        <f>IF(ISBLANK('Data Entry'!$s$329), "", 'Data Entry'!$s$329)</f>
      </c>
      <c r="AZ329">
        <f>IF(ISBLANK('Data Entry'!$t$329), "", 'Data Entry'!$t$329)</f>
      </c>
      <c r="BA329">
        <f>IF(ISBLANK('Data Entry'!$u$329), "", 'Data Entry'!$u$329)</f>
      </c>
      <c r="BB329">
        <f>IF(ISBLANK('Data Entry'!$v$329), "", 'Data Entry'!$v$329)</f>
      </c>
      <c r="BC329">
        <f>IF(ISBLANK('Data Entry'!$w$329), "", 'Data Entry'!$w$329)</f>
      </c>
      <c r="BD329">
        <f>IF(ISBLANK('Data Entry'!$x$329), "", 'Data Entry'!$x$329)</f>
      </c>
      <c r="BE329">
        <f>IF(ISBLANK('Data Entry'!$y$329), "", 'Data Entry'!$y$329)</f>
      </c>
      <c r="BF329">
        <f>IF(ISBLANK('Data Entry'!$z$329), "", 'Data Entry'!$z$329)</f>
      </c>
      <c r="BG329">
        <f>IF(ISBLANK('Data Entry'!${$329), "", 'Data Entry'!${$329)</f>
      </c>
      <c r="BH329">
        <f>IF(ISBLANK('Data Entry'!$|$329), "", 'Data Entry'!$|$329)</f>
      </c>
      <c r="BI329">
        <f>IF(ISBLANK('Data Entry'!$}$329), "", 'Data Entry'!$}$329)</f>
      </c>
      <c r="BJ329">
        <f>IF(ISBLANK('Data Entry'!$~$329), "", 'Data Entry'!$~$329)</f>
      </c>
      <c r="BK329">
        <f>IF(ISBLANK('Data Entry'!$$329), "", 'Data Entry'!$$329)</f>
      </c>
      <c r="BL329">
        <f>IF(ISBLANK('Data Entry'!$$329), "", 'Data Entry'!$$329)</f>
      </c>
      <c r="BM329">
        <f>IF(ISBLANK('Data Entry'!$$329), "", 'Data Entry'!$$329)</f>
      </c>
      <c r="BN329">
        <f>IF(ISBLANK('Data Entry'!$$329), "", 'Data Entry'!$$329)</f>
      </c>
      <c r="BO329">
        <f>IF(ISBLANK('Data Entry'!$$329), "", 'Data Entry'!$$329)</f>
      </c>
      <c r="BP329">
        <f>IF(ISBLANK('Data Entry'!$$329), "", 'Data Entry'!$$329)</f>
      </c>
      <c r="BQ329">
        <f>IF(ISBLANK('Data Entry'!$$329), "", 'Data Entry'!$$329)</f>
      </c>
      <c r="BR329">
        <f>IF(ISBLANK('Data Entry'!$$329), "", 'Data Entry'!$$329)</f>
      </c>
      <c r="BS329">
        <f>IF(ISBLANK('Data Entry'!$$329), "", 'Data Entry'!$$329)</f>
      </c>
      <c r="BT329">
        <f>IF(ISBLANK('Data Entry'!$$329), "", 'Data Entry'!$$329)</f>
      </c>
      <c r="BU329">
        <f>IF(ISBLANK('Data Entry'!$$329), "", 'Data Entry'!$$329)</f>
      </c>
      <c r="BV329">
        <f>IF(ISBLANK('Data Entry'!$$329), "", 'Data Entry'!$$329)</f>
      </c>
      <c r="BW329">
        <f>IF(ISBLANK('Data Entry'!$$329), "", 'Data Entry'!$$329)</f>
      </c>
      <c r="BX329">
        <f>IF(ISBLANK('Data Entry'!$$329), "", 'Data Entry'!$$329)</f>
      </c>
      <c r="BY329">
        <f>IF(ISBLANK('Data Entry'!$$329), "", 'Data Entry'!$$329)</f>
      </c>
      <c r="BZ329">
        <f>IF(ISBLANK('Data Entry'!$$329), "", 'Data Entry'!$$329)</f>
      </c>
      <c r="CA329">
        <f>IF(ISBLANK('Data Entry'!$$329), "", 'Data Entry'!$$329)</f>
      </c>
      <c r="CB329">
        <f>IF(ISBLANK('Data Entry'!$$329), "", 'Data Entry'!$$329)</f>
      </c>
      <c r="CC329">
        <f>IF(ISBLANK('Data Entry'!$$329), "", 'Data Entry'!$$329)</f>
      </c>
      <c r="CD329">
        <f>IF(ISBLANK('Data Entry'!$$329), "", 'Data Entry'!$$329)</f>
      </c>
      <c r="CE329">
        <f>IF(ISBLANK('Data Entry'!$$329), "", 'Data Entry'!$$329)</f>
      </c>
      <c r="CF329">
        <f>IF(ISBLANK('Data Entry'!$$329), "", 'Data Entry'!$$329)</f>
      </c>
      <c r="CG329">
        <f>IF(ISBLANK('Data Entry'!$$329), "", 'Data Entry'!$$329)</f>
      </c>
      <c r="CH329">
        <f>IF(ISBLANK('Data Entry'!$$329), "", 'Data Entry'!$$329)</f>
      </c>
      <c r="CI329">
        <f>IF(ISBLANK('Data Entry'!$$329), "", 'Data Entry'!$$329)</f>
      </c>
      <c r="CJ329">
        <f>IF(ISBLANK('Data Entry'!$$329), "", 'Data Entry'!$$329)</f>
      </c>
      <c r="CK329">
        <f>IF(ISBLANK('Data Entry'!$$329), "", 'Data Entry'!$$329)</f>
      </c>
      <c r="CL329">
        <f>IF(ISBLANK('Data Entry'!$$329), "", 'Data Entry'!$$329)</f>
      </c>
      <c r="CM329">
        <f>IF(ISBLANK('Data Entry'!$$329), "", 'Data Entry'!$$329)</f>
      </c>
      <c r="CN329">
        <f>IF(ISBLANK('Data Entry'!$$329), "", 'Data Entry'!$$329)</f>
      </c>
      <c r="CO329">
        <f>IF(ISBLANK('Data Entry'!$$329), "", 'Data Entry'!$$329)</f>
      </c>
      <c r="CP329">
        <f>IF(ISBLANK('Data Entry'!$$329), "", 'Data Entry'!$$329)</f>
      </c>
      <c r="CQ329">
        <f>IF(ISBLANK('Data Entry'!$$329), "", 'Data Entry'!$$329)</f>
      </c>
      <c r="CR329">
        <f>IF(ISBLANK('Data Entry'!$ $329), "", 'Data Entry'!$ $329)</f>
      </c>
      <c r="CS329">
        <f>IF(ISBLANK('Data Entry'!$¡$329), "", 'Data Entry'!$¡$329)</f>
      </c>
      <c r="CT329">
        <f>IF(ISBLANK('Data Entry'!$¢$329), "", 'Data Entry'!$¢$329)</f>
      </c>
      <c r="CU329">
        <f>IF(ISBLANK('Data Entry'!$£$329), "", 'Data Entry'!$£$329)</f>
      </c>
      <c r="CV329">
        <f>IF(ISBLANK('Data Entry'!$¤$329), "", 'Data Entry'!$¤$329)</f>
      </c>
      <c r="CW329">
        <f>IF(ISBLANK('Data Entry'!$¥$329), "", 'Data Entry'!$¥$329)</f>
      </c>
      <c r="CX329">
        <f>IF(ISBLANK('Data Entry'!$¦$329), "", 'Data Entry'!$¦$329)</f>
      </c>
      <c r="CY329">
        <f>IF(ISBLANK('Data Entry'!$§$329), "", 'Data Entry'!$§$329)</f>
      </c>
      <c r="CZ329">
        <f>IF(ISBLANK('Data Entry'!$¨$329), "", 'Data Entry'!$¨$329)</f>
      </c>
      <c r="DA329">
        <f>IF(ISBLANK('Data Entry'!$©$329), "", 'Data Entry'!$©$329)</f>
      </c>
      <c r="DB329">
        <f>IF(ISBLANK('Data Entry'!$ª$329), "", 'Data Entry'!$ª$329)</f>
      </c>
      <c r="DC329">
        <f>IF(ISBLANK('Data Entry'!$«$329), "", 'Data Entry'!$«$329)</f>
      </c>
      <c r="DD329">
        <f>IF(ISBLANK('Data Entry'!$¬$329), "", 'Data Entry'!$¬$329)</f>
      </c>
      <c r="DE329">
        <f>IF(ISBLANK('Data Entry'!$­$329), "", 'Data Entry'!$­$329)</f>
      </c>
      <c r="DF329">
        <f>IF(ISBLANK('Data Entry'!$®$329), "", 'Data Entry'!$®$329)</f>
      </c>
      <c r="DG329">
        <f>IF(ISBLANK('Data Entry'!$¯$329), "", 'Data Entry'!$¯$329)</f>
      </c>
      <c r="DH329">
        <f>IF(ISBLANK('Data Entry'!$°$329), "", 'Data Entry'!$°$329)</f>
      </c>
      <c r="DI329">
        <f>IF(ISBLANK('Data Entry'!$±$329), "", 'Data Entry'!$±$329)</f>
      </c>
      <c r="DJ329">
        <f>IF(ISBLANK('Data Entry'!$²$329), "", 'Data Entry'!$²$329)</f>
      </c>
      <c r="DK329">
        <f>IF(ISBLANK('Data Entry'!$³$329), "", 'Data Entry'!$³$329)</f>
      </c>
      <c r="DL329">
        <f>IF(ISBLANK('Data Entry'!$´$329), "", 'Data Entry'!$´$329)</f>
      </c>
      <c r="DM329">
        <f>IF(ISBLANK('Data Entry'!$µ$329), "", 'Data Entry'!$µ$329)</f>
      </c>
      <c r="DN329">
        <f>IF(ISBLANK('Data Entry'!$¶$329), "", 'Data Entry'!$¶$329)</f>
      </c>
      <c r="DO329">
        <f>IF(ISBLANK('Data Entry'!$·$329), "", 'Data Entry'!$·$329)</f>
      </c>
      <c r="DP329">
        <f>IF(ISBLANK('Data Entry'!$¸$329), "", 'Data Entry'!$¸$329)</f>
      </c>
      <c r="DQ329">
        <f>IF(ISBLANK('Data Entry'!$¹$329), "", 'Data Entry'!$¹$329)</f>
      </c>
      <c r="DR329">
        <f>IF(ISBLANK('Data Entry'!$º$329), "", 'Data Entry'!$º$329)</f>
      </c>
      <c r="DS329">
        <f>IF(ISBLANK('Data Entry'!$»$329), "", 'Data Entry'!$»$329)</f>
      </c>
      <c r="DT329">
        <f>IF(ISBLANK('Data Entry'!$¼$329), "", 'Data Entry'!$¼$329)</f>
      </c>
      <c r="DU329">
        <f>IF(ISBLANK('Data Entry'!$½$329), "", 'Data Entry'!$½$329)</f>
      </c>
      <c r="DV329">
        <f>IF(ISBLANK('Data Entry'!$¾$329), "", 'Data Entry'!$¾$329)</f>
      </c>
      <c r="DW329">
        <f>IF(ISBLANK('Data Entry'!$¿$329), "", 'Data Entry'!$¿$329)</f>
      </c>
      <c r="DX329">
        <f>IF(ISBLANK('Data Entry'!$À$329), "", 'Data Entry'!$À$329)</f>
      </c>
      <c r="DY329">
        <f>IF(ISBLANK('Data Entry'!$Á$329), "", 'Data Entry'!$Á$329)</f>
      </c>
      <c r="DZ329">
        <f>IF(ISBLANK('Data Entry'!$Â$329), "", 'Data Entry'!$Â$329)</f>
      </c>
      <c r="EA329">
        <f>IF(ISBLANK('Data Entry'!$Ã$329), "", 'Data Entry'!$Ã$329)</f>
      </c>
      <c r="EB329">
        <f>IF(ISBLANK('Data Entry'!$Ä$329), "", 'Data Entry'!$Ä$329)</f>
      </c>
      <c r="EC329">
        <f>IF(ISBLANK('Data Entry'!$Å$329), "", 'Data Entry'!$Å$329)</f>
      </c>
      <c r="ED329">
        <f>IF(ISBLANK('Data Entry'!$Æ$329), "", 'Data Entry'!$Æ$329)</f>
      </c>
      <c r="EE329">
        <f>IF(ISBLANK('Data Entry'!$Ç$329), "", 'Data Entry'!$Ç$329)</f>
      </c>
      <c r="EF329">
        <f>IF(ISBLANK('Data Entry'!$È$329), "", 'Data Entry'!$È$329)</f>
      </c>
      <c r="EG329">
        <f>IF(ISBLANK('Data Entry'!$É$329), "", 'Data Entry'!$É$329)</f>
      </c>
      <c r="EH329">
        <f>IF(ISBLANK('Data Entry'!$Ê$329), "", 'Data Entry'!$Ê$329)</f>
      </c>
      <c r="EI329">
        <f>IF(ISBLANK('Data Entry'!$Ë$329), "", 'Data Entry'!$Ë$329)</f>
      </c>
      <c r="EJ329">
        <f>IF(ISBLANK('Data Entry'!$Ì$329), "", 'Data Entry'!$Ì$329)</f>
      </c>
      <c r="EK329">
        <f>IF(ISBLANK('Data Entry'!$Í$329), "", 'Data Entry'!$Í$329)</f>
      </c>
      <c r="EL329">
        <f>IF(ISBLANK('Data Entry'!$Î$329), "", 'Data Entry'!$Î$329)</f>
      </c>
      <c r="EM329">
        <f>IF(ISBLANK('Data Entry'!$Ï$329), "", 'Data Entry'!$Ï$329)</f>
      </c>
      <c r="EN329">
        <f>IF(ISBLANK('Data Entry'!$Ð$329), "", 'Data Entry'!$Ð$329)</f>
      </c>
      <c r="EO329">
        <f>IF(ISBLANK('Data Entry'!$Ñ$329), "", 'Data Entry'!$Ñ$329)</f>
      </c>
      <c r="EP329">
        <f>IF(ISBLANK('Data Entry'!$Ò$329), "", 'Data Entry'!$Ò$329)</f>
      </c>
      <c r="EQ329">
        <f>IF(ISBLANK('Data Entry'!$Ó$329), "", 'Data Entry'!$Ó$329)</f>
      </c>
      <c r="ER329">
        <f>IF(ISBLANK('Data Entry'!$Ô$329), "", 'Data Entry'!$Ô$329)</f>
      </c>
      <c r="ES329">
        <f>IF(ISBLANK('Data Entry'!$Õ$329), "", 'Data Entry'!$Õ$329)</f>
      </c>
      <c r="ET329">
        <f>IF(ISBLANK('Data Entry'!$Ö$329), "", 'Data Entry'!$Ö$329)</f>
      </c>
      <c r="EU329">
        <f>IF(ISBLANK('Data Entry'!$×$329), "", 'Data Entry'!$×$329)</f>
      </c>
      <c r="EV329">
        <f>IF(ISBLANK('Data Entry'!$Ø$329), "", 'Data Entry'!$Ø$329)</f>
      </c>
      <c r="EW329">
        <f>IF(ISBLANK('Data Entry'!$Ù$329), "", 'Data Entry'!$Ù$329)</f>
      </c>
      <c r="EX329">
        <f>IF(ISBLANK('Data Entry'!$Ú$329), "", 'Data Entry'!$Ú$329)</f>
      </c>
      <c r="EY329">
        <f>IF(ISBLANK('Data Entry'!$Û$329), "", 'Data Entry'!$Û$329)</f>
      </c>
      <c r="EZ329">
        <f>IF(ISBLANK('Data Entry'!$Ü$329), "", 'Data Entry'!$Ü$329)</f>
      </c>
      <c r="FA329">
        <f>IF(ISBLANK('Data Entry'!$Ý$329), "", 'Data Entry'!$Ý$329)</f>
      </c>
      <c r="FB329">
        <f>IF(ISBLANK('Data Entry'!$Þ$329), "", 'Data Entry'!$Þ$329)</f>
      </c>
      <c r="FC329">
        <f>IF(ISBLANK('Data Entry'!$ß$329), "", 'Data Entry'!$ß$329)</f>
      </c>
      <c r="FD329">
        <f>IF(ISBLANK('Data Entry'!$à$329), "", 'Data Entry'!$à$329)</f>
      </c>
      <c r="FE329">
        <f>IF(ISBLANK('Data Entry'!$á$329), "", 'Data Entry'!$á$329)</f>
      </c>
      <c r="FF329">
        <f>IF(ISBLANK('Data Entry'!$â$329), "", 'Data Entry'!$â$329)</f>
      </c>
      <c r="FG329">
        <f>IF(ISBLANK('Data Entry'!$ã$329), "", 'Data Entry'!$ã$329)</f>
      </c>
      <c r="FH329">
        <f>IF(ISBLANK('Data Entry'!$ä$329), "", 'Data Entry'!$ä$329)</f>
      </c>
      <c r="FI329">
        <f>IF(ISBLANK('Data Entry'!$å$329), "", 'Data Entry'!$å$329)</f>
      </c>
      <c r="FJ329">
        <f>IF(ISBLANK('Data Entry'!$æ$329), "", 'Data Entry'!$æ$329)</f>
      </c>
      <c r="FK329">
        <f>IF(ISBLANK('Data Entry'!$ç$329), "", 'Data Entry'!$ç$329)</f>
      </c>
      <c r="FL329">
        <f>IF(ISBLANK('Data Entry'!$è$329), "", 'Data Entry'!$è$329)</f>
      </c>
      <c r="FM329">
        <f>IF(ISBLANK('Data Entry'!$é$329), "", 'Data Entry'!$é$329)</f>
      </c>
      <c r="FN329">
        <f>IF(ISBLANK('Data Entry'!$ê$329), "", 'Data Entry'!$ê$329)</f>
      </c>
      <c r="FO329">
        <f>IF(ISBLANK('Data Entry'!$ë$329), "", 'Data Entry'!$ë$329)</f>
      </c>
      <c r="FP329">
        <f>IF(ISBLANK('Data Entry'!$ì$329), "", 'Data Entry'!$ì$329)</f>
      </c>
      <c r="FQ329">
        <f>IF(ISBLANK('Data Entry'!$í$329), "", 'Data Entry'!$í$329)</f>
      </c>
      <c r="FR329">
        <f>IF(ISBLANK('Data Entry'!$î$329), "", 'Data Entry'!$î$329)</f>
      </c>
      <c r="FS329">
        <f>IF(ISBLANK('Data Entry'!$ï$329), "", 'Data Entry'!$ï$329)</f>
      </c>
      <c r="FT329">
        <f>IF(ISBLANK('Data Entry'!$ð$329), "", 'Data Entry'!$ð$329)</f>
      </c>
      <c r="FU329">
        <f>IF(ISBLANK('Data Entry'!$ñ$329), "", 'Data Entry'!$ñ$329)</f>
      </c>
      <c r="FV329">
        <f>IF(ISBLANK('Data Entry'!$ò$329), "", 'Data Entry'!$ò$329)</f>
      </c>
      <c r="FW329">
        <f>IF(ISBLANK('Data Entry'!$ó$329), "", 'Data Entry'!$ó$329)</f>
      </c>
      <c r="FX329">
        <f>IF(ISBLANK('Data Entry'!$ô$329), "", 'Data Entry'!$ô$329)</f>
      </c>
      <c r="FY329">
        <f>IF(ISBLANK('Data Entry'!$õ$329), "", 'Data Entry'!$õ$329)</f>
      </c>
      <c r="FZ329">
        <f>IF(ISBLANK('Data Entry'!$ö$329), "", 'Data Entry'!$ö$329)</f>
      </c>
      <c r="GA329">
        <f>IF(ISBLANK('Data Entry'!$÷$329), "", 'Data Entry'!$÷$329)</f>
      </c>
      <c r="GB329">
        <f>IF(ISBLANK('Data Entry'!$ø$329), "", 'Data Entry'!$ø$329)</f>
      </c>
      <c r="GC329">
        <f>IF(ISBLANK('Data Entry'!$ù$329), "", 'Data Entry'!$ù$329)</f>
      </c>
      <c r="GD329">
        <f>IF(ISBLANK('Data Entry'!$ú$329), "", 'Data Entry'!$ú$329)</f>
      </c>
      <c r="GE329">
        <f>IF(ISBLANK('Data Entry'!$û$329), "", 'Data Entry'!$û$329)</f>
      </c>
      <c r="GF329">
        <f>IF(ISBLANK('Data Entry'!$ü$329), "", 'Data Entry'!$ü$329)</f>
      </c>
      <c r="GG329">
        <f>IF(ISBLANK('Data Entry'!$ý$329), "", 'Data Entry'!$ý$329)</f>
      </c>
      <c r="GH329">
        <f>IF(ISBLANK('Data Entry'!$þ$329), "", 'Data Entry'!$þ$329)</f>
      </c>
      <c r="GI329">
        <f>IF(ISBLANK('Data Entry'!$ÿ$329), "", 'Data Entry'!$ÿ$329)</f>
      </c>
      <c r="GJ329">
        <f>IF(ISBLANK('Data Entry'!$Ā$329), "", 'Data Entry'!$Ā$329)</f>
      </c>
      <c r="GK329">
        <f>IF(ISBLANK('Data Entry'!$ā$329), "", 'Data Entry'!$ā$329)</f>
      </c>
      <c r="GL329">
        <f>IF(ISBLANK('Data Entry'!$Ă$329), "", 'Data Entry'!$Ă$329)</f>
      </c>
      <c r="GM329">
        <f>IF(ISBLANK('Data Entry'!$ă$329), "", 'Data Entry'!$ă$329)</f>
      </c>
      <c r="GN329">
        <f>IF(ISBLANK('Data Entry'!$Ą$329), "", 'Data Entry'!$Ą$329)</f>
      </c>
      <c r="GO329">
        <f>IF(ISBLANK('Data Entry'!$ą$329), "", 'Data Entry'!$ą$329)</f>
      </c>
      <c r="GP329">
        <f>IF(ISBLANK('Data Entry'!$Ć$329), "", 'Data Entry'!$Ć$329)</f>
      </c>
      <c r="GQ329">
        <f>IF(ISBLANK('Data Entry'!$ć$329), "", 'Data Entry'!$ć$329)</f>
      </c>
      <c r="GR329">
        <f>IF(ISBLANK('Data Entry'!$Ĉ$329), "", 'Data Entry'!$Ĉ$329)</f>
      </c>
      <c r="GS329">
        <f>IF(ISBLANK('Data Entry'!$ĉ$329), "", 'Data Entry'!$ĉ$329)</f>
      </c>
      <c r="GT329">
        <f>IF(ISBLANK('Data Entry'!$Ċ$329), "", 'Data Entry'!$Ċ$329)</f>
      </c>
      <c r="GU329">
        <f>IF(ISBLANK('Data Entry'!$ċ$329), "", 'Data Entry'!$ċ$329)</f>
      </c>
      <c r="GV329">
        <f>IF(ISBLANK('Data Entry'!$Č$329), "", 'Data Entry'!$Č$329)</f>
      </c>
      <c r="GW329">
        <f>IF(ISBLANK('Data Entry'!$č$329), "", 'Data Entry'!$č$329)</f>
      </c>
      <c r="GX329">
        <f>IF(ISBLANK('Data Entry'!$Ď$329), "", 'Data Entry'!$Ď$329)</f>
      </c>
      <c r="GY329">
        <f>IF(ISBLANK('Data Entry'!$ď$329), "", 'Data Entry'!$ď$329)</f>
      </c>
      <c r="GZ329">
        <f>IF(ISBLANK('Data Entry'!$Đ$329), "", 'Data Entry'!$Đ$329)</f>
      </c>
      <c r="HA329">
        <f>IF(ISBLANK('Data Entry'!$đ$329), "", 'Data Entry'!$đ$329)</f>
      </c>
      <c r="HB329">
        <f>IF(ISBLANK('Data Entry'!$Ē$329), "", 'Data Entry'!$Ē$329)</f>
      </c>
      <c r="HC329">
        <f>IF(ISBLANK('Data Entry'!$ē$329), "", 'Data Entry'!$ē$329)</f>
      </c>
      <c r="HD329">
        <f>IF(ISBLANK('Data Entry'!$Ĕ$329), "", 'Data Entry'!$Ĕ$329)</f>
      </c>
      <c r="HE329">
        <f>IF(ISBLANK('Data Entry'!$ĕ$329), "", 'Data Entry'!$ĕ$329)</f>
      </c>
      <c r="HF329">
        <f>IF(ISBLANK('Data Entry'!$Ė$329), "", 'Data Entry'!$Ė$329)</f>
      </c>
      <c r="HG329">
        <f>IF(ISBLANK('Data Entry'!$ė$329), "", 'Data Entry'!$ė$329)</f>
      </c>
      <c r="HH329">
        <f>IF(ISBLANK('Data Entry'!$Ę$329), "", 'Data Entry'!$Ę$329)</f>
      </c>
      <c r="HI329">
        <f>IF(ISBLANK('Data Entry'!$ę$329), "", 'Data Entry'!$ę$329)</f>
      </c>
      <c r="HJ329">
        <f>IF(ISBLANK('Data Entry'!$Ě$329), "", 'Data Entry'!$Ě$329)</f>
      </c>
      <c r="HK329">
        <f>IF(ISBLANK('Data Entry'!$ě$329), "", 'Data Entry'!$ě$329)</f>
      </c>
      <c r="HL329">
        <f>IF(ISBLANK('Data Entry'!$Ĝ$329), "", 'Data Entry'!$Ĝ$329)</f>
      </c>
      <c r="HM329">
        <f>IF(ISBLANK('Data Entry'!$ĝ$329), "", 'Data Entry'!$ĝ$329)</f>
      </c>
      <c r="HN329">
        <f>IF(ISBLANK('Data Entry'!$Ğ$329), "", 'Data Entry'!$Ğ$329)</f>
      </c>
      <c r="HO329">
        <f>IF(ISBLANK('Data Entry'!$ğ$329), "", 'Data Entry'!$ğ$329)</f>
      </c>
      <c r="HP329">
        <f>IF(ISBLANK('Data Entry'!$Ġ$329), "", 'Data Entry'!$Ġ$329)</f>
      </c>
      <c r="HQ329">
        <f>IF(ISBLANK('Data Entry'!$ġ$329), "", 'Data Entry'!$ġ$329)</f>
      </c>
      <c r="HR329">
        <f>IF(ISBLANK('Data Entry'!$Ģ$329), "", 'Data Entry'!$Ģ$329)</f>
      </c>
      <c r="HS329">
        <f>IF(ISBLANK('Data Entry'!$ģ$329), "", 'Data Entry'!$ģ$329)</f>
      </c>
      <c r="HT329">
        <f>IF(ISBLANK('Data Entry'!$Ĥ$329), "", 'Data Entry'!$Ĥ$329)</f>
      </c>
      <c r="HU329">
        <f>IF(ISBLANK('Data Entry'!$ĥ$329), "", 'Data Entry'!$ĥ$329)</f>
      </c>
      <c r="HV329">
        <f>IF(ISBLANK('Data Entry'!$Ħ$329), "", 'Data Entry'!$Ħ$329)</f>
      </c>
      <c r="HW329">
        <f>IF(ISBLANK('Data Entry'!$ħ$329), "", 'Data Entry'!$ħ$329)</f>
      </c>
      <c r="HX329">
        <f>IF(ISBLANK('Data Entry'!$Ĩ$329), "", 'Data Entry'!$Ĩ$329)</f>
      </c>
      <c r="HY329">
        <f>IF(ISBLANK('Data Entry'!$ĩ$329), "", 'Data Entry'!$ĩ$329)</f>
      </c>
      <c r="HZ329">
        <f>IF(ISBLANK('Data Entry'!$Ī$329), "", 'Data Entry'!$Ī$329)</f>
      </c>
      <c r="IA329">
        <f>IF(ISBLANK('Data Entry'!$ī$329), "", 'Data Entry'!$ī$329)</f>
      </c>
      <c r="IB329">
        <f>IF(ISBLANK('Data Entry'!$Ĭ$329), "", 'Data Entry'!$Ĭ$329)</f>
      </c>
      <c r="IC329">
        <f>IF(ISBLANK('Data Entry'!$ĭ$329), "", 'Data Entry'!$ĭ$329)</f>
      </c>
      <c r="ID329">
        <f>IF(ISBLANK('Data Entry'!$Į$329), "", 'Data Entry'!$Į$329)</f>
      </c>
      <c r="IE329">
        <f>IF(ISBLANK('Data Entry'!$į$329), "", 'Data Entry'!$į$329)</f>
      </c>
      <c r="IF329">
        <f>IF(ISBLANK('Data Entry'!$İ$329), "", 'Data Entry'!$İ$329)</f>
      </c>
      <c r="IG329">
        <f>IF(ISBLANK('Data Entry'!$ı$329), "", 'Data Entry'!$ı$329)</f>
      </c>
      <c r="IH329">
        <f>IF(ISBLANK('Data Entry'!$Ĳ$329), "", 'Data Entry'!$Ĳ$329)</f>
      </c>
      <c r="II329">
        <f>IF(ISBLANK('Data Entry'!$ĳ$329), "", 'Data Entry'!$ĳ$329)</f>
      </c>
      <c r="IJ329">
        <f>IF(ISBLANK('Data Entry'!$Ĵ$329), "", 'Data Entry'!$Ĵ$329)</f>
      </c>
      <c r="IK329">
        <f>IF(ISBLANK('Data Entry'!$ĵ$329), "", 'Data Entry'!$ĵ$329)</f>
      </c>
      <c r="IL329">
        <f>IF(ISBLANK('Data Entry'!$Ķ$329), "", 'Data Entry'!$Ķ$329)</f>
      </c>
      <c r="IM329">
        <f>IF(ISBLANK('Data Entry'!$ķ$329), "", 'Data Entry'!$ķ$329)</f>
      </c>
      <c r="IN329">
        <f>IF(ISBLANK('Data Entry'!$ĸ$329), "", 'Data Entry'!$ĸ$329)</f>
      </c>
      <c r="IO329">
        <f>IF(ISBLANK('Data Entry'!$Ĺ$329), "", 'Data Entry'!$Ĺ$329)</f>
      </c>
      <c r="IP329">
        <f>IF(ISBLANK('Data Entry'!$ĺ$329), "", 'Data Entry'!$ĺ$329)</f>
      </c>
      <c r="IQ329">
        <f>IF(ISBLANK('Data Entry'!$Ļ$329), "", 'Data Entry'!$Ļ$329)</f>
      </c>
      <c r="IR329">
        <f>IF(ISBLANK('Data Entry'!$ļ$329), "", 'Data Entry'!$ļ$329)</f>
      </c>
      <c r="IS329">
        <f>IF(ISBLANK('Data Entry'!$Ľ$329), "", 'Data Entry'!$Ľ$329)</f>
      </c>
      <c r="IT329">
        <f>IF(ISBLANK('Data Entry'!$ľ$329), "", 'Data Entry'!$ľ$329)</f>
      </c>
    </row>
    <row r="330" spans="1:254" x14ac:dyDescent="0.25">
      <c r="A330">
        <f>IF(ISBLANK('Data Entry'!$A$330), "", 'Data Entry'!$A$330)</f>
      </c>
      <c r="B330">
        <f>IF(ISBLANK('Data Entry'!$B$330), "", 'Data Entry'!$B$330)</f>
      </c>
      <c r="C330">
        <f>IF(ISBLANK('Data Entry'!$C$330), "", 'Data Entry'!$C$330)</f>
      </c>
      <c r="D330">
        <f>IF(ISBLANK('Data Entry'!$D$330), "", 'Data Entry'!$D$330)</f>
      </c>
      <c r="E330">
        <f>IF(ISBLANK('Data Entry'!$E$330), "", 'Data Entry'!$E$330)</f>
      </c>
      <c r="F330">
        <f>IF(ISBLANK('Data Entry'!$F$330), "", 'Data Entry'!$F$330)</f>
      </c>
      <c r="G330">
        <f>IF(ISBLANK('Data Entry'!$G$330), "", 'Data Entry'!$G$330)</f>
      </c>
      <c r="H330">
        <f>IF(ISBLANK('Data Entry'!$H$330), "", 'Data Entry'!$H$330)</f>
      </c>
      <c r="I330">
        <f>IF(ISBLANK('Data Entry'!$I$330), "", 'Data Entry'!$I$330)</f>
      </c>
      <c r="J330">
        <f>IF(ISBLANK('Data Entry'!$J$330), "", 'Data Entry'!$J$330)</f>
      </c>
      <c r="K330">
        <f>IF(ISBLANK('Data Entry'!$K$330), "", 'Data Entry'!$K$330)</f>
      </c>
      <c r="L330">
        <f>IF(ISBLANK('Data Entry'!$L$330), "", 'Data Entry'!$L$330)</f>
      </c>
      <c r="M330">
        <f>IF(ISBLANK('Data Entry'!$M$330), "", 'Data Entry'!$M$330)</f>
      </c>
      <c r="N330">
        <f>IF(ISBLANK('Data Entry'!$N$330), "", 'Data Entry'!$N$330)</f>
      </c>
      <c r="O330">
        <f>IF(ISBLANK('Data Entry'!$O$330), "", 'Data Entry'!$O$330)</f>
      </c>
      <c r="P330">
        <f>IF(ISBLANK('Data Entry'!$P$330), "", 'Data Entry'!$P$330)</f>
      </c>
      <c r="Q330">
        <f>IF(ISBLANK('Data Entry'!$Q$330), "", 'Data Entry'!$Q$330)</f>
      </c>
      <c r="R330">
        <f>IF(ISBLANK('Data Entry'!$R$330), "", 'Data Entry'!$R$330)</f>
      </c>
      <c r="S330">
        <f>IF(ISBLANK('Data Entry'!$S$330), "", 'Data Entry'!$S$330)</f>
      </c>
      <c r="T330">
        <f>IF(ISBLANK('Data Entry'!$T$330), "", 'Data Entry'!$T$330)</f>
      </c>
      <c r="U330">
        <f>IF(ISBLANK('Data Entry'!$U$330), "", 'Data Entry'!$U$330)</f>
      </c>
      <c r="V330">
        <f>IF(ISBLANK('Data Entry'!$V$330), "", 'Data Entry'!$V$330)</f>
      </c>
      <c r="W330">
        <f>IF(ISBLANK('Data Entry'!$W$330), "", 'Data Entry'!$W$330)</f>
      </c>
      <c r="X330">
        <f>IF(ISBLANK('Data Entry'!$X$330), "", 'Data Entry'!$X$330)</f>
      </c>
      <c r="Y330">
        <f>IF(ISBLANK('Data Entry'!$Y$330), "", 'Data Entry'!$Y$330)</f>
      </c>
      <c r="Z330">
        <f>IF(ISBLANK('Data Entry'!$Z$330), "", 'Data Entry'!$Z$330)</f>
      </c>
      <c r="AA330">
        <f>IF(ISBLANK('Data Entry'!$[$330), "", 'Data Entry'!$[$330)</f>
      </c>
      <c r="AB330">
        <f>IF(ISBLANK('Data Entry'!$\$330), "", 'Data Entry'!$\$330)</f>
      </c>
      <c r="AC330">
        <f>IF(ISBLANK('Data Entry'!$]$330), "", 'Data Entry'!$]$330)</f>
      </c>
      <c r="AD330">
        <f>IF(ISBLANK('Data Entry'!$^$330), "", 'Data Entry'!$^$330)</f>
      </c>
      <c r="AE330">
        <f>IF(ISBLANK('Data Entry'!$_$330), "", 'Data Entry'!$_$330)</f>
      </c>
      <c r="AF330">
        <f>IF(ISBLANK('Data Entry'!$`$330), "", 'Data Entry'!$`$330)</f>
      </c>
      <c r="AG330">
        <f>IF(ISBLANK('Data Entry'!$a$330), "", 'Data Entry'!$a$330)</f>
      </c>
      <c r="AH330">
        <f>IF(ISBLANK('Data Entry'!$b$330), "", 'Data Entry'!$b$330)</f>
      </c>
      <c r="AI330">
        <f>IF(ISBLANK('Data Entry'!$c$330), "", 'Data Entry'!$c$330)</f>
      </c>
      <c r="AJ330">
        <f>IF(ISBLANK('Data Entry'!$d$330), "", 'Data Entry'!$d$330)</f>
      </c>
      <c r="AK330">
        <f>IF(ISBLANK('Data Entry'!$e$330), "", 'Data Entry'!$e$330)</f>
      </c>
      <c r="AL330">
        <f>IF(ISBLANK('Data Entry'!$f$330), "", 'Data Entry'!$f$330)</f>
      </c>
      <c r="AM330">
        <f>IF(ISBLANK('Data Entry'!$g$330), "", 'Data Entry'!$g$330)</f>
      </c>
      <c r="AN330">
        <f>IF(ISBLANK('Data Entry'!$h$330), "", 'Data Entry'!$h$330)</f>
      </c>
      <c r="AO330">
        <f>IF(ISBLANK('Data Entry'!$i$330), "", 'Data Entry'!$i$330)</f>
      </c>
      <c r="AP330">
        <f>IF(ISBLANK('Data Entry'!$j$330), "", 'Data Entry'!$j$330)</f>
      </c>
      <c r="AQ330">
        <f>IF(ISBLANK('Data Entry'!$k$330), "", 'Data Entry'!$k$330)</f>
      </c>
      <c r="AR330">
        <f>IF(ISBLANK('Data Entry'!$l$330), "", 'Data Entry'!$l$330)</f>
      </c>
      <c r="AS330">
        <f>IF(ISBLANK('Data Entry'!$m$330), "", 'Data Entry'!$m$330)</f>
      </c>
      <c r="AT330">
        <f>IF(ISBLANK('Data Entry'!$n$330), "", 'Data Entry'!$n$330)</f>
      </c>
      <c r="AU330">
        <f>IF(ISBLANK('Data Entry'!$o$330), "", 'Data Entry'!$o$330)</f>
      </c>
      <c r="AV330">
        <f>IF(ISBLANK('Data Entry'!$p$330), "", 'Data Entry'!$p$330)</f>
      </c>
      <c r="AW330">
        <f>IF(ISBLANK('Data Entry'!$q$330), "", 'Data Entry'!$q$330)</f>
      </c>
      <c r="AX330">
        <f>IF(ISBLANK('Data Entry'!$r$330), "", 'Data Entry'!$r$330)</f>
      </c>
      <c r="AY330">
        <f>IF(ISBLANK('Data Entry'!$s$330), "", 'Data Entry'!$s$330)</f>
      </c>
      <c r="AZ330">
        <f>IF(ISBLANK('Data Entry'!$t$330), "", 'Data Entry'!$t$330)</f>
      </c>
      <c r="BA330">
        <f>IF(ISBLANK('Data Entry'!$u$330), "", 'Data Entry'!$u$330)</f>
      </c>
      <c r="BB330">
        <f>IF(ISBLANK('Data Entry'!$v$330), "", 'Data Entry'!$v$330)</f>
      </c>
      <c r="BC330">
        <f>IF(ISBLANK('Data Entry'!$w$330), "", 'Data Entry'!$w$330)</f>
      </c>
      <c r="BD330">
        <f>IF(ISBLANK('Data Entry'!$x$330), "", 'Data Entry'!$x$330)</f>
      </c>
      <c r="BE330">
        <f>IF(ISBLANK('Data Entry'!$y$330), "", 'Data Entry'!$y$330)</f>
      </c>
      <c r="BF330">
        <f>IF(ISBLANK('Data Entry'!$z$330), "", 'Data Entry'!$z$330)</f>
      </c>
      <c r="BG330">
        <f>IF(ISBLANK('Data Entry'!${$330), "", 'Data Entry'!${$330)</f>
      </c>
      <c r="BH330">
        <f>IF(ISBLANK('Data Entry'!$|$330), "", 'Data Entry'!$|$330)</f>
      </c>
      <c r="BI330">
        <f>IF(ISBLANK('Data Entry'!$}$330), "", 'Data Entry'!$}$330)</f>
      </c>
      <c r="BJ330">
        <f>IF(ISBLANK('Data Entry'!$~$330), "", 'Data Entry'!$~$330)</f>
      </c>
      <c r="BK330">
        <f>IF(ISBLANK('Data Entry'!$$330), "", 'Data Entry'!$$330)</f>
      </c>
      <c r="BL330">
        <f>IF(ISBLANK('Data Entry'!$$330), "", 'Data Entry'!$$330)</f>
      </c>
      <c r="BM330">
        <f>IF(ISBLANK('Data Entry'!$$330), "", 'Data Entry'!$$330)</f>
      </c>
      <c r="BN330">
        <f>IF(ISBLANK('Data Entry'!$$330), "", 'Data Entry'!$$330)</f>
      </c>
      <c r="BO330">
        <f>IF(ISBLANK('Data Entry'!$$330), "", 'Data Entry'!$$330)</f>
      </c>
      <c r="BP330">
        <f>IF(ISBLANK('Data Entry'!$$330), "", 'Data Entry'!$$330)</f>
      </c>
      <c r="BQ330">
        <f>IF(ISBLANK('Data Entry'!$$330), "", 'Data Entry'!$$330)</f>
      </c>
      <c r="BR330">
        <f>IF(ISBLANK('Data Entry'!$$330), "", 'Data Entry'!$$330)</f>
      </c>
      <c r="BS330">
        <f>IF(ISBLANK('Data Entry'!$$330), "", 'Data Entry'!$$330)</f>
      </c>
      <c r="BT330">
        <f>IF(ISBLANK('Data Entry'!$$330), "", 'Data Entry'!$$330)</f>
      </c>
      <c r="BU330">
        <f>IF(ISBLANK('Data Entry'!$$330), "", 'Data Entry'!$$330)</f>
      </c>
      <c r="BV330">
        <f>IF(ISBLANK('Data Entry'!$$330), "", 'Data Entry'!$$330)</f>
      </c>
      <c r="BW330">
        <f>IF(ISBLANK('Data Entry'!$$330), "", 'Data Entry'!$$330)</f>
      </c>
      <c r="BX330">
        <f>IF(ISBLANK('Data Entry'!$$330), "", 'Data Entry'!$$330)</f>
      </c>
      <c r="BY330">
        <f>IF(ISBLANK('Data Entry'!$$330), "", 'Data Entry'!$$330)</f>
      </c>
      <c r="BZ330">
        <f>IF(ISBLANK('Data Entry'!$$330), "", 'Data Entry'!$$330)</f>
      </c>
      <c r="CA330">
        <f>IF(ISBLANK('Data Entry'!$$330), "", 'Data Entry'!$$330)</f>
      </c>
      <c r="CB330">
        <f>IF(ISBLANK('Data Entry'!$$330), "", 'Data Entry'!$$330)</f>
      </c>
      <c r="CC330">
        <f>IF(ISBLANK('Data Entry'!$$330), "", 'Data Entry'!$$330)</f>
      </c>
      <c r="CD330">
        <f>IF(ISBLANK('Data Entry'!$$330), "", 'Data Entry'!$$330)</f>
      </c>
      <c r="CE330">
        <f>IF(ISBLANK('Data Entry'!$$330), "", 'Data Entry'!$$330)</f>
      </c>
      <c r="CF330">
        <f>IF(ISBLANK('Data Entry'!$$330), "", 'Data Entry'!$$330)</f>
      </c>
      <c r="CG330">
        <f>IF(ISBLANK('Data Entry'!$$330), "", 'Data Entry'!$$330)</f>
      </c>
      <c r="CH330">
        <f>IF(ISBLANK('Data Entry'!$$330), "", 'Data Entry'!$$330)</f>
      </c>
      <c r="CI330">
        <f>IF(ISBLANK('Data Entry'!$$330), "", 'Data Entry'!$$330)</f>
      </c>
      <c r="CJ330">
        <f>IF(ISBLANK('Data Entry'!$$330), "", 'Data Entry'!$$330)</f>
      </c>
      <c r="CK330">
        <f>IF(ISBLANK('Data Entry'!$$330), "", 'Data Entry'!$$330)</f>
      </c>
      <c r="CL330">
        <f>IF(ISBLANK('Data Entry'!$$330), "", 'Data Entry'!$$330)</f>
      </c>
      <c r="CM330">
        <f>IF(ISBLANK('Data Entry'!$$330), "", 'Data Entry'!$$330)</f>
      </c>
      <c r="CN330">
        <f>IF(ISBLANK('Data Entry'!$$330), "", 'Data Entry'!$$330)</f>
      </c>
      <c r="CO330">
        <f>IF(ISBLANK('Data Entry'!$$330), "", 'Data Entry'!$$330)</f>
      </c>
      <c r="CP330">
        <f>IF(ISBLANK('Data Entry'!$$330), "", 'Data Entry'!$$330)</f>
      </c>
      <c r="CQ330">
        <f>IF(ISBLANK('Data Entry'!$$330), "", 'Data Entry'!$$330)</f>
      </c>
      <c r="CR330">
        <f>IF(ISBLANK('Data Entry'!$ $330), "", 'Data Entry'!$ $330)</f>
      </c>
      <c r="CS330">
        <f>IF(ISBLANK('Data Entry'!$¡$330), "", 'Data Entry'!$¡$330)</f>
      </c>
      <c r="CT330">
        <f>IF(ISBLANK('Data Entry'!$¢$330), "", 'Data Entry'!$¢$330)</f>
      </c>
      <c r="CU330">
        <f>IF(ISBLANK('Data Entry'!$£$330), "", 'Data Entry'!$£$330)</f>
      </c>
      <c r="CV330">
        <f>IF(ISBLANK('Data Entry'!$¤$330), "", 'Data Entry'!$¤$330)</f>
      </c>
      <c r="CW330">
        <f>IF(ISBLANK('Data Entry'!$¥$330), "", 'Data Entry'!$¥$330)</f>
      </c>
      <c r="CX330">
        <f>IF(ISBLANK('Data Entry'!$¦$330), "", 'Data Entry'!$¦$330)</f>
      </c>
      <c r="CY330">
        <f>IF(ISBLANK('Data Entry'!$§$330), "", 'Data Entry'!$§$330)</f>
      </c>
      <c r="CZ330">
        <f>IF(ISBLANK('Data Entry'!$¨$330), "", 'Data Entry'!$¨$330)</f>
      </c>
      <c r="DA330">
        <f>IF(ISBLANK('Data Entry'!$©$330), "", 'Data Entry'!$©$330)</f>
      </c>
      <c r="DB330">
        <f>IF(ISBLANK('Data Entry'!$ª$330), "", 'Data Entry'!$ª$330)</f>
      </c>
      <c r="DC330">
        <f>IF(ISBLANK('Data Entry'!$«$330), "", 'Data Entry'!$«$330)</f>
      </c>
      <c r="DD330">
        <f>IF(ISBLANK('Data Entry'!$¬$330), "", 'Data Entry'!$¬$330)</f>
      </c>
      <c r="DE330">
        <f>IF(ISBLANK('Data Entry'!$­$330), "", 'Data Entry'!$­$330)</f>
      </c>
      <c r="DF330">
        <f>IF(ISBLANK('Data Entry'!$®$330), "", 'Data Entry'!$®$330)</f>
      </c>
      <c r="DG330">
        <f>IF(ISBLANK('Data Entry'!$¯$330), "", 'Data Entry'!$¯$330)</f>
      </c>
      <c r="DH330">
        <f>IF(ISBLANK('Data Entry'!$°$330), "", 'Data Entry'!$°$330)</f>
      </c>
      <c r="DI330">
        <f>IF(ISBLANK('Data Entry'!$±$330), "", 'Data Entry'!$±$330)</f>
      </c>
      <c r="DJ330">
        <f>IF(ISBLANK('Data Entry'!$²$330), "", 'Data Entry'!$²$330)</f>
      </c>
      <c r="DK330">
        <f>IF(ISBLANK('Data Entry'!$³$330), "", 'Data Entry'!$³$330)</f>
      </c>
      <c r="DL330">
        <f>IF(ISBLANK('Data Entry'!$´$330), "", 'Data Entry'!$´$330)</f>
      </c>
      <c r="DM330">
        <f>IF(ISBLANK('Data Entry'!$µ$330), "", 'Data Entry'!$µ$330)</f>
      </c>
      <c r="DN330">
        <f>IF(ISBLANK('Data Entry'!$¶$330), "", 'Data Entry'!$¶$330)</f>
      </c>
      <c r="DO330">
        <f>IF(ISBLANK('Data Entry'!$·$330), "", 'Data Entry'!$·$330)</f>
      </c>
      <c r="DP330">
        <f>IF(ISBLANK('Data Entry'!$¸$330), "", 'Data Entry'!$¸$330)</f>
      </c>
      <c r="DQ330">
        <f>IF(ISBLANK('Data Entry'!$¹$330), "", 'Data Entry'!$¹$330)</f>
      </c>
      <c r="DR330">
        <f>IF(ISBLANK('Data Entry'!$º$330), "", 'Data Entry'!$º$330)</f>
      </c>
      <c r="DS330">
        <f>IF(ISBLANK('Data Entry'!$»$330), "", 'Data Entry'!$»$330)</f>
      </c>
      <c r="DT330">
        <f>IF(ISBLANK('Data Entry'!$¼$330), "", 'Data Entry'!$¼$330)</f>
      </c>
      <c r="DU330">
        <f>IF(ISBLANK('Data Entry'!$½$330), "", 'Data Entry'!$½$330)</f>
      </c>
      <c r="DV330">
        <f>IF(ISBLANK('Data Entry'!$¾$330), "", 'Data Entry'!$¾$330)</f>
      </c>
      <c r="DW330">
        <f>IF(ISBLANK('Data Entry'!$¿$330), "", 'Data Entry'!$¿$330)</f>
      </c>
      <c r="DX330">
        <f>IF(ISBLANK('Data Entry'!$À$330), "", 'Data Entry'!$À$330)</f>
      </c>
      <c r="DY330">
        <f>IF(ISBLANK('Data Entry'!$Á$330), "", 'Data Entry'!$Á$330)</f>
      </c>
      <c r="DZ330">
        <f>IF(ISBLANK('Data Entry'!$Â$330), "", 'Data Entry'!$Â$330)</f>
      </c>
      <c r="EA330">
        <f>IF(ISBLANK('Data Entry'!$Ã$330), "", 'Data Entry'!$Ã$330)</f>
      </c>
      <c r="EB330">
        <f>IF(ISBLANK('Data Entry'!$Ä$330), "", 'Data Entry'!$Ä$330)</f>
      </c>
      <c r="EC330">
        <f>IF(ISBLANK('Data Entry'!$Å$330), "", 'Data Entry'!$Å$330)</f>
      </c>
      <c r="ED330">
        <f>IF(ISBLANK('Data Entry'!$Æ$330), "", 'Data Entry'!$Æ$330)</f>
      </c>
      <c r="EE330">
        <f>IF(ISBLANK('Data Entry'!$Ç$330), "", 'Data Entry'!$Ç$330)</f>
      </c>
      <c r="EF330">
        <f>IF(ISBLANK('Data Entry'!$È$330), "", 'Data Entry'!$È$330)</f>
      </c>
      <c r="EG330">
        <f>IF(ISBLANK('Data Entry'!$É$330), "", 'Data Entry'!$É$330)</f>
      </c>
      <c r="EH330">
        <f>IF(ISBLANK('Data Entry'!$Ê$330), "", 'Data Entry'!$Ê$330)</f>
      </c>
      <c r="EI330">
        <f>IF(ISBLANK('Data Entry'!$Ë$330), "", 'Data Entry'!$Ë$330)</f>
      </c>
      <c r="EJ330">
        <f>IF(ISBLANK('Data Entry'!$Ì$330), "", 'Data Entry'!$Ì$330)</f>
      </c>
      <c r="EK330">
        <f>IF(ISBLANK('Data Entry'!$Í$330), "", 'Data Entry'!$Í$330)</f>
      </c>
      <c r="EL330">
        <f>IF(ISBLANK('Data Entry'!$Î$330), "", 'Data Entry'!$Î$330)</f>
      </c>
      <c r="EM330">
        <f>IF(ISBLANK('Data Entry'!$Ï$330), "", 'Data Entry'!$Ï$330)</f>
      </c>
      <c r="EN330">
        <f>IF(ISBLANK('Data Entry'!$Ð$330), "", 'Data Entry'!$Ð$330)</f>
      </c>
      <c r="EO330">
        <f>IF(ISBLANK('Data Entry'!$Ñ$330), "", 'Data Entry'!$Ñ$330)</f>
      </c>
      <c r="EP330">
        <f>IF(ISBLANK('Data Entry'!$Ò$330), "", 'Data Entry'!$Ò$330)</f>
      </c>
      <c r="EQ330">
        <f>IF(ISBLANK('Data Entry'!$Ó$330), "", 'Data Entry'!$Ó$330)</f>
      </c>
      <c r="ER330">
        <f>IF(ISBLANK('Data Entry'!$Ô$330), "", 'Data Entry'!$Ô$330)</f>
      </c>
      <c r="ES330">
        <f>IF(ISBLANK('Data Entry'!$Õ$330), "", 'Data Entry'!$Õ$330)</f>
      </c>
      <c r="ET330">
        <f>IF(ISBLANK('Data Entry'!$Ö$330), "", 'Data Entry'!$Ö$330)</f>
      </c>
      <c r="EU330">
        <f>IF(ISBLANK('Data Entry'!$×$330), "", 'Data Entry'!$×$330)</f>
      </c>
      <c r="EV330">
        <f>IF(ISBLANK('Data Entry'!$Ø$330), "", 'Data Entry'!$Ø$330)</f>
      </c>
      <c r="EW330">
        <f>IF(ISBLANK('Data Entry'!$Ù$330), "", 'Data Entry'!$Ù$330)</f>
      </c>
      <c r="EX330">
        <f>IF(ISBLANK('Data Entry'!$Ú$330), "", 'Data Entry'!$Ú$330)</f>
      </c>
      <c r="EY330">
        <f>IF(ISBLANK('Data Entry'!$Û$330), "", 'Data Entry'!$Û$330)</f>
      </c>
      <c r="EZ330">
        <f>IF(ISBLANK('Data Entry'!$Ü$330), "", 'Data Entry'!$Ü$330)</f>
      </c>
      <c r="FA330">
        <f>IF(ISBLANK('Data Entry'!$Ý$330), "", 'Data Entry'!$Ý$330)</f>
      </c>
      <c r="FB330">
        <f>IF(ISBLANK('Data Entry'!$Þ$330), "", 'Data Entry'!$Þ$330)</f>
      </c>
      <c r="FC330">
        <f>IF(ISBLANK('Data Entry'!$ß$330), "", 'Data Entry'!$ß$330)</f>
      </c>
      <c r="FD330">
        <f>IF(ISBLANK('Data Entry'!$à$330), "", 'Data Entry'!$à$330)</f>
      </c>
      <c r="FE330">
        <f>IF(ISBLANK('Data Entry'!$á$330), "", 'Data Entry'!$á$330)</f>
      </c>
      <c r="FF330">
        <f>IF(ISBLANK('Data Entry'!$â$330), "", 'Data Entry'!$â$330)</f>
      </c>
      <c r="FG330">
        <f>IF(ISBLANK('Data Entry'!$ã$330), "", 'Data Entry'!$ã$330)</f>
      </c>
      <c r="FH330">
        <f>IF(ISBLANK('Data Entry'!$ä$330), "", 'Data Entry'!$ä$330)</f>
      </c>
      <c r="FI330">
        <f>IF(ISBLANK('Data Entry'!$å$330), "", 'Data Entry'!$å$330)</f>
      </c>
      <c r="FJ330">
        <f>IF(ISBLANK('Data Entry'!$æ$330), "", 'Data Entry'!$æ$330)</f>
      </c>
      <c r="FK330">
        <f>IF(ISBLANK('Data Entry'!$ç$330), "", 'Data Entry'!$ç$330)</f>
      </c>
      <c r="FL330">
        <f>IF(ISBLANK('Data Entry'!$è$330), "", 'Data Entry'!$è$330)</f>
      </c>
      <c r="FM330">
        <f>IF(ISBLANK('Data Entry'!$é$330), "", 'Data Entry'!$é$330)</f>
      </c>
      <c r="FN330">
        <f>IF(ISBLANK('Data Entry'!$ê$330), "", 'Data Entry'!$ê$330)</f>
      </c>
      <c r="FO330">
        <f>IF(ISBLANK('Data Entry'!$ë$330), "", 'Data Entry'!$ë$330)</f>
      </c>
      <c r="FP330">
        <f>IF(ISBLANK('Data Entry'!$ì$330), "", 'Data Entry'!$ì$330)</f>
      </c>
      <c r="FQ330">
        <f>IF(ISBLANK('Data Entry'!$í$330), "", 'Data Entry'!$í$330)</f>
      </c>
      <c r="FR330">
        <f>IF(ISBLANK('Data Entry'!$î$330), "", 'Data Entry'!$î$330)</f>
      </c>
      <c r="FS330">
        <f>IF(ISBLANK('Data Entry'!$ï$330), "", 'Data Entry'!$ï$330)</f>
      </c>
      <c r="FT330">
        <f>IF(ISBLANK('Data Entry'!$ð$330), "", 'Data Entry'!$ð$330)</f>
      </c>
      <c r="FU330">
        <f>IF(ISBLANK('Data Entry'!$ñ$330), "", 'Data Entry'!$ñ$330)</f>
      </c>
      <c r="FV330">
        <f>IF(ISBLANK('Data Entry'!$ò$330), "", 'Data Entry'!$ò$330)</f>
      </c>
      <c r="FW330">
        <f>IF(ISBLANK('Data Entry'!$ó$330), "", 'Data Entry'!$ó$330)</f>
      </c>
      <c r="FX330">
        <f>IF(ISBLANK('Data Entry'!$ô$330), "", 'Data Entry'!$ô$330)</f>
      </c>
      <c r="FY330">
        <f>IF(ISBLANK('Data Entry'!$õ$330), "", 'Data Entry'!$õ$330)</f>
      </c>
      <c r="FZ330">
        <f>IF(ISBLANK('Data Entry'!$ö$330), "", 'Data Entry'!$ö$330)</f>
      </c>
      <c r="GA330">
        <f>IF(ISBLANK('Data Entry'!$÷$330), "", 'Data Entry'!$÷$330)</f>
      </c>
      <c r="GB330">
        <f>IF(ISBLANK('Data Entry'!$ø$330), "", 'Data Entry'!$ø$330)</f>
      </c>
      <c r="GC330">
        <f>IF(ISBLANK('Data Entry'!$ù$330), "", 'Data Entry'!$ù$330)</f>
      </c>
      <c r="GD330">
        <f>IF(ISBLANK('Data Entry'!$ú$330), "", 'Data Entry'!$ú$330)</f>
      </c>
      <c r="GE330">
        <f>IF(ISBLANK('Data Entry'!$û$330), "", 'Data Entry'!$û$330)</f>
      </c>
      <c r="GF330">
        <f>IF(ISBLANK('Data Entry'!$ü$330), "", 'Data Entry'!$ü$330)</f>
      </c>
      <c r="GG330">
        <f>IF(ISBLANK('Data Entry'!$ý$330), "", 'Data Entry'!$ý$330)</f>
      </c>
      <c r="GH330">
        <f>IF(ISBLANK('Data Entry'!$þ$330), "", 'Data Entry'!$þ$330)</f>
      </c>
      <c r="GI330">
        <f>IF(ISBLANK('Data Entry'!$ÿ$330), "", 'Data Entry'!$ÿ$330)</f>
      </c>
      <c r="GJ330">
        <f>IF(ISBLANK('Data Entry'!$Ā$330), "", 'Data Entry'!$Ā$330)</f>
      </c>
      <c r="GK330">
        <f>IF(ISBLANK('Data Entry'!$ā$330), "", 'Data Entry'!$ā$330)</f>
      </c>
      <c r="GL330">
        <f>IF(ISBLANK('Data Entry'!$Ă$330), "", 'Data Entry'!$Ă$330)</f>
      </c>
      <c r="GM330">
        <f>IF(ISBLANK('Data Entry'!$ă$330), "", 'Data Entry'!$ă$330)</f>
      </c>
      <c r="GN330">
        <f>IF(ISBLANK('Data Entry'!$Ą$330), "", 'Data Entry'!$Ą$330)</f>
      </c>
      <c r="GO330">
        <f>IF(ISBLANK('Data Entry'!$ą$330), "", 'Data Entry'!$ą$330)</f>
      </c>
      <c r="GP330">
        <f>IF(ISBLANK('Data Entry'!$Ć$330), "", 'Data Entry'!$Ć$330)</f>
      </c>
      <c r="GQ330">
        <f>IF(ISBLANK('Data Entry'!$ć$330), "", 'Data Entry'!$ć$330)</f>
      </c>
      <c r="GR330">
        <f>IF(ISBLANK('Data Entry'!$Ĉ$330), "", 'Data Entry'!$Ĉ$330)</f>
      </c>
      <c r="GS330">
        <f>IF(ISBLANK('Data Entry'!$ĉ$330), "", 'Data Entry'!$ĉ$330)</f>
      </c>
      <c r="GT330">
        <f>IF(ISBLANK('Data Entry'!$Ċ$330), "", 'Data Entry'!$Ċ$330)</f>
      </c>
      <c r="GU330">
        <f>IF(ISBLANK('Data Entry'!$ċ$330), "", 'Data Entry'!$ċ$330)</f>
      </c>
      <c r="GV330">
        <f>IF(ISBLANK('Data Entry'!$Č$330), "", 'Data Entry'!$Č$330)</f>
      </c>
      <c r="GW330">
        <f>IF(ISBLANK('Data Entry'!$č$330), "", 'Data Entry'!$č$330)</f>
      </c>
      <c r="GX330">
        <f>IF(ISBLANK('Data Entry'!$Ď$330), "", 'Data Entry'!$Ď$330)</f>
      </c>
      <c r="GY330">
        <f>IF(ISBLANK('Data Entry'!$ď$330), "", 'Data Entry'!$ď$330)</f>
      </c>
      <c r="GZ330">
        <f>IF(ISBLANK('Data Entry'!$Đ$330), "", 'Data Entry'!$Đ$330)</f>
      </c>
      <c r="HA330">
        <f>IF(ISBLANK('Data Entry'!$đ$330), "", 'Data Entry'!$đ$330)</f>
      </c>
      <c r="HB330">
        <f>IF(ISBLANK('Data Entry'!$Ē$330), "", 'Data Entry'!$Ē$330)</f>
      </c>
      <c r="HC330">
        <f>IF(ISBLANK('Data Entry'!$ē$330), "", 'Data Entry'!$ē$330)</f>
      </c>
      <c r="HD330">
        <f>IF(ISBLANK('Data Entry'!$Ĕ$330), "", 'Data Entry'!$Ĕ$330)</f>
      </c>
      <c r="HE330">
        <f>IF(ISBLANK('Data Entry'!$ĕ$330), "", 'Data Entry'!$ĕ$330)</f>
      </c>
      <c r="HF330">
        <f>IF(ISBLANK('Data Entry'!$Ė$330), "", 'Data Entry'!$Ė$330)</f>
      </c>
      <c r="HG330">
        <f>IF(ISBLANK('Data Entry'!$ė$330), "", 'Data Entry'!$ė$330)</f>
      </c>
      <c r="HH330">
        <f>IF(ISBLANK('Data Entry'!$Ę$330), "", 'Data Entry'!$Ę$330)</f>
      </c>
      <c r="HI330">
        <f>IF(ISBLANK('Data Entry'!$ę$330), "", 'Data Entry'!$ę$330)</f>
      </c>
      <c r="HJ330">
        <f>IF(ISBLANK('Data Entry'!$Ě$330), "", 'Data Entry'!$Ě$330)</f>
      </c>
      <c r="HK330">
        <f>IF(ISBLANK('Data Entry'!$ě$330), "", 'Data Entry'!$ě$330)</f>
      </c>
      <c r="HL330">
        <f>IF(ISBLANK('Data Entry'!$Ĝ$330), "", 'Data Entry'!$Ĝ$330)</f>
      </c>
      <c r="HM330">
        <f>IF(ISBLANK('Data Entry'!$ĝ$330), "", 'Data Entry'!$ĝ$330)</f>
      </c>
      <c r="HN330">
        <f>IF(ISBLANK('Data Entry'!$Ğ$330), "", 'Data Entry'!$Ğ$330)</f>
      </c>
      <c r="HO330">
        <f>IF(ISBLANK('Data Entry'!$ğ$330), "", 'Data Entry'!$ğ$330)</f>
      </c>
      <c r="HP330">
        <f>IF(ISBLANK('Data Entry'!$Ġ$330), "", 'Data Entry'!$Ġ$330)</f>
      </c>
      <c r="HQ330">
        <f>IF(ISBLANK('Data Entry'!$ġ$330), "", 'Data Entry'!$ġ$330)</f>
      </c>
      <c r="HR330">
        <f>IF(ISBLANK('Data Entry'!$Ģ$330), "", 'Data Entry'!$Ģ$330)</f>
      </c>
      <c r="HS330">
        <f>IF(ISBLANK('Data Entry'!$ģ$330), "", 'Data Entry'!$ģ$330)</f>
      </c>
      <c r="HT330">
        <f>IF(ISBLANK('Data Entry'!$Ĥ$330), "", 'Data Entry'!$Ĥ$330)</f>
      </c>
      <c r="HU330">
        <f>IF(ISBLANK('Data Entry'!$ĥ$330), "", 'Data Entry'!$ĥ$330)</f>
      </c>
      <c r="HV330">
        <f>IF(ISBLANK('Data Entry'!$Ħ$330), "", 'Data Entry'!$Ħ$330)</f>
      </c>
      <c r="HW330">
        <f>IF(ISBLANK('Data Entry'!$ħ$330), "", 'Data Entry'!$ħ$330)</f>
      </c>
      <c r="HX330">
        <f>IF(ISBLANK('Data Entry'!$Ĩ$330), "", 'Data Entry'!$Ĩ$330)</f>
      </c>
      <c r="HY330">
        <f>IF(ISBLANK('Data Entry'!$ĩ$330), "", 'Data Entry'!$ĩ$330)</f>
      </c>
      <c r="HZ330">
        <f>IF(ISBLANK('Data Entry'!$Ī$330), "", 'Data Entry'!$Ī$330)</f>
      </c>
      <c r="IA330">
        <f>IF(ISBLANK('Data Entry'!$ī$330), "", 'Data Entry'!$ī$330)</f>
      </c>
      <c r="IB330">
        <f>IF(ISBLANK('Data Entry'!$Ĭ$330), "", 'Data Entry'!$Ĭ$330)</f>
      </c>
      <c r="IC330">
        <f>IF(ISBLANK('Data Entry'!$ĭ$330), "", 'Data Entry'!$ĭ$330)</f>
      </c>
      <c r="ID330">
        <f>IF(ISBLANK('Data Entry'!$Į$330), "", 'Data Entry'!$Į$330)</f>
      </c>
      <c r="IE330">
        <f>IF(ISBLANK('Data Entry'!$į$330), "", 'Data Entry'!$į$330)</f>
      </c>
      <c r="IF330">
        <f>IF(ISBLANK('Data Entry'!$İ$330), "", 'Data Entry'!$İ$330)</f>
      </c>
      <c r="IG330">
        <f>IF(ISBLANK('Data Entry'!$ı$330), "", 'Data Entry'!$ı$330)</f>
      </c>
      <c r="IH330">
        <f>IF(ISBLANK('Data Entry'!$Ĳ$330), "", 'Data Entry'!$Ĳ$330)</f>
      </c>
      <c r="II330">
        <f>IF(ISBLANK('Data Entry'!$ĳ$330), "", 'Data Entry'!$ĳ$330)</f>
      </c>
      <c r="IJ330">
        <f>IF(ISBLANK('Data Entry'!$Ĵ$330), "", 'Data Entry'!$Ĵ$330)</f>
      </c>
      <c r="IK330">
        <f>IF(ISBLANK('Data Entry'!$ĵ$330), "", 'Data Entry'!$ĵ$330)</f>
      </c>
      <c r="IL330">
        <f>IF(ISBLANK('Data Entry'!$Ķ$330), "", 'Data Entry'!$Ķ$330)</f>
      </c>
      <c r="IM330">
        <f>IF(ISBLANK('Data Entry'!$ķ$330), "", 'Data Entry'!$ķ$330)</f>
      </c>
      <c r="IN330">
        <f>IF(ISBLANK('Data Entry'!$ĸ$330), "", 'Data Entry'!$ĸ$330)</f>
      </c>
      <c r="IO330">
        <f>IF(ISBLANK('Data Entry'!$Ĺ$330), "", 'Data Entry'!$Ĺ$330)</f>
      </c>
      <c r="IP330">
        <f>IF(ISBLANK('Data Entry'!$ĺ$330), "", 'Data Entry'!$ĺ$330)</f>
      </c>
      <c r="IQ330">
        <f>IF(ISBLANK('Data Entry'!$Ļ$330), "", 'Data Entry'!$Ļ$330)</f>
      </c>
      <c r="IR330">
        <f>IF(ISBLANK('Data Entry'!$ļ$330), "", 'Data Entry'!$ļ$330)</f>
      </c>
      <c r="IS330">
        <f>IF(ISBLANK('Data Entry'!$Ľ$330), "", 'Data Entry'!$Ľ$330)</f>
      </c>
      <c r="IT330">
        <f>IF(ISBLANK('Data Entry'!$ľ$330), "", 'Data Entry'!$ľ$330)</f>
      </c>
    </row>
    <row r="331" spans="1:254" x14ac:dyDescent="0.25">
      <c r="A331">
        <f>IF(ISBLANK('Data Entry'!$A$331), "", 'Data Entry'!$A$331)</f>
      </c>
      <c r="B331">
        <f>IF(ISBLANK('Data Entry'!$B$331), "", 'Data Entry'!$B$331)</f>
      </c>
      <c r="C331">
        <f>IF(ISBLANK('Data Entry'!$C$331), "", 'Data Entry'!$C$331)</f>
      </c>
      <c r="D331">
        <f>IF(ISBLANK('Data Entry'!$D$331), "", 'Data Entry'!$D$331)</f>
      </c>
      <c r="E331">
        <f>IF(ISBLANK('Data Entry'!$E$331), "", 'Data Entry'!$E$331)</f>
      </c>
      <c r="F331">
        <f>IF(ISBLANK('Data Entry'!$F$331), "", 'Data Entry'!$F$331)</f>
      </c>
      <c r="G331">
        <f>IF(ISBLANK('Data Entry'!$G$331), "", 'Data Entry'!$G$331)</f>
      </c>
      <c r="H331">
        <f>IF(ISBLANK('Data Entry'!$H$331), "", 'Data Entry'!$H$331)</f>
      </c>
      <c r="I331">
        <f>IF(ISBLANK('Data Entry'!$I$331), "", 'Data Entry'!$I$331)</f>
      </c>
      <c r="J331">
        <f>IF(ISBLANK('Data Entry'!$J$331), "", 'Data Entry'!$J$331)</f>
      </c>
      <c r="K331">
        <f>IF(ISBLANK('Data Entry'!$K$331), "", 'Data Entry'!$K$331)</f>
      </c>
      <c r="L331">
        <f>IF(ISBLANK('Data Entry'!$L$331), "", 'Data Entry'!$L$331)</f>
      </c>
      <c r="M331">
        <f>IF(ISBLANK('Data Entry'!$M$331), "", 'Data Entry'!$M$331)</f>
      </c>
      <c r="N331">
        <f>IF(ISBLANK('Data Entry'!$N$331), "", 'Data Entry'!$N$331)</f>
      </c>
      <c r="O331">
        <f>IF(ISBLANK('Data Entry'!$O$331), "", 'Data Entry'!$O$331)</f>
      </c>
      <c r="P331">
        <f>IF(ISBLANK('Data Entry'!$P$331), "", 'Data Entry'!$P$331)</f>
      </c>
      <c r="Q331">
        <f>IF(ISBLANK('Data Entry'!$Q$331), "", 'Data Entry'!$Q$331)</f>
      </c>
      <c r="R331">
        <f>IF(ISBLANK('Data Entry'!$R$331), "", 'Data Entry'!$R$331)</f>
      </c>
      <c r="S331">
        <f>IF(ISBLANK('Data Entry'!$S$331), "", 'Data Entry'!$S$331)</f>
      </c>
      <c r="T331">
        <f>IF(ISBLANK('Data Entry'!$T$331), "", 'Data Entry'!$T$331)</f>
      </c>
      <c r="U331">
        <f>IF(ISBLANK('Data Entry'!$U$331), "", 'Data Entry'!$U$331)</f>
      </c>
      <c r="V331">
        <f>IF(ISBLANK('Data Entry'!$V$331), "", 'Data Entry'!$V$331)</f>
      </c>
      <c r="W331">
        <f>IF(ISBLANK('Data Entry'!$W$331), "", 'Data Entry'!$W$331)</f>
      </c>
      <c r="X331">
        <f>IF(ISBLANK('Data Entry'!$X$331), "", 'Data Entry'!$X$331)</f>
      </c>
      <c r="Y331">
        <f>IF(ISBLANK('Data Entry'!$Y$331), "", 'Data Entry'!$Y$331)</f>
      </c>
      <c r="Z331">
        <f>IF(ISBLANK('Data Entry'!$Z$331), "", 'Data Entry'!$Z$331)</f>
      </c>
      <c r="AA331">
        <f>IF(ISBLANK('Data Entry'!$[$331), "", 'Data Entry'!$[$331)</f>
      </c>
      <c r="AB331">
        <f>IF(ISBLANK('Data Entry'!$\$331), "", 'Data Entry'!$\$331)</f>
      </c>
      <c r="AC331">
        <f>IF(ISBLANK('Data Entry'!$]$331), "", 'Data Entry'!$]$331)</f>
      </c>
      <c r="AD331">
        <f>IF(ISBLANK('Data Entry'!$^$331), "", 'Data Entry'!$^$331)</f>
      </c>
      <c r="AE331">
        <f>IF(ISBLANK('Data Entry'!$_$331), "", 'Data Entry'!$_$331)</f>
      </c>
      <c r="AF331">
        <f>IF(ISBLANK('Data Entry'!$`$331), "", 'Data Entry'!$`$331)</f>
      </c>
      <c r="AG331">
        <f>IF(ISBLANK('Data Entry'!$a$331), "", 'Data Entry'!$a$331)</f>
      </c>
      <c r="AH331">
        <f>IF(ISBLANK('Data Entry'!$b$331), "", 'Data Entry'!$b$331)</f>
      </c>
      <c r="AI331">
        <f>IF(ISBLANK('Data Entry'!$c$331), "", 'Data Entry'!$c$331)</f>
      </c>
      <c r="AJ331">
        <f>IF(ISBLANK('Data Entry'!$d$331), "", 'Data Entry'!$d$331)</f>
      </c>
      <c r="AK331">
        <f>IF(ISBLANK('Data Entry'!$e$331), "", 'Data Entry'!$e$331)</f>
      </c>
      <c r="AL331">
        <f>IF(ISBLANK('Data Entry'!$f$331), "", 'Data Entry'!$f$331)</f>
      </c>
      <c r="AM331">
        <f>IF(ISBLANK('Data Entry'!$g$331), "", 'Data Entry'!$g$331)</f>
      </c>
      <c r="AN331">
        <f>IF(ISBLANK('Data Entry'!$h$331), "", 'Data Entry'!$h$331)</f>
      </c>
      <c r="AO331">
        <f>IF(ISBLANK('Data Entry'!$i$331), "", 'Data Entry'!$i$331)</f>
      </c>
      <c r="AP331">
        <f>IF(ISBLANK('Data Entry'!$j$331), "", 'Data Entry'!$j$331)</f>
      </c>
      <c r="AQ331">
        <f>IF(ISBLANK('Data Entry'!$k$331), "", 'Data Entry'!$k$331)</f>
      </c>
      <c r="AR331">
        <f>IF(ISBLANK('Data Entry'!$l$331), "", 'Data Entry'!$l$331)</f>
      </c>
      <c r="AS331">
        <f>IF(ISBLANK('Data Entry'!$m$331), "", 'Data Entry'!$m$331)</f>
      </c>
      <c r="AT331">
        <f>IF(ISBLANK('Data Entry'!$n$331), "", 'Data Entry'!$n$331)</f>
      </c>
      <c r="AU331">
        <f>IF(ISBLANK('Data Entry'!$o$331), "", 'Data Entry'!$o$331)</f>
      </c>
      <c r="AV331">
        <f>IF(ISBLANK('Data Entry'!$p$331), "", 'Data Entry'!$p$331)</f>
      </c>
      <c r="AW331">
        <f>IF(ISBLANK('Data Entry'!$q$331), "", 'Data Entry'!$q$331)</f>
      </c>
      <c r="AX331">
        <f>IF(ISBLANK('Data Entry'!$r$331), "", 'Data Entry'!$r$331)</f>
      </c>
      <c r="AY331">
        <f>IF(ISBLANK('Data Entry'!$s$331), "", 'Data Entry'!$s$331)</f>
      </c>
      <c r="AZ331">
        <f>IF(ISBLANK('Data Entry'!$t$331), "", 'Data Entry'!$t$331)</f>
      </c>
      <c r="BA331">
        <f>IF(ISBLANK('Data Entry'!$u$331), "", 'Data Entry'!$u$331)</f>
      </c>
      <c r="BB331">
        <f>IF(ISBLANK('Data Entry'!$v$331), "", 'Data Entry'!$v$331)</f>
      </c>
      <c r="BC331">
        <f>IF(ISBLANK('Data Entry'!$w$331), "", 'Data Entry'!$w$331)</f>
      </c>
      <c r="BD331">
        <f>IF(ISBLANK('Data Entry'!$x$331), "", 'Data Entry'!$x$331)</f>
      </c>
      <c r="BE331">
        <f>IF(ISBLANK('Data Entry'!$y$331), "", 'Data Entry'!$y$331)</f>
      </c>
      <c r="BF331">
        <f>IF(ISBLANK('Data Entry'!$z$331), "", 'Data Entry'!$z$331)</f>
      </c>
      <c r="BG331">
        <f>IF(ISBLANK('Data Entry'!${$331), "", 'Data Entry'!${$331)</f>
      </c>
      <c r="BH331">
        <f>IF(ISBLANK('Data Entry'!$|$331), "", 'Data Entry'!$|$331)</f>
      </c>
      <c r="BI331">
        <f>IF(ISBLANK('Data Entry'!$}$331), "", 'Data Entry'!$}$331)</f>
      </c>
      <c r="BJ331">
        <f>IF(ISBLANK('Data Entry'!$~$331), "", 'Data Entry'!$~$331)</f>
      </c>
      <c r="BK331">
        <f>IF(ISBLANK('Data Entry'!$$331), "", 'Data Entry'!$$331)</f>
      </c>
      <c r="BL331">
        <f>IF(ISBLANK('Data Entry'!$$331), "", 'Data Entry'!$$331)</f>
      </c>
      <c r="BM331">
        <f>IF(ISBLANK('Data Entry'!$$331), "", 'Data Entry'!$$331)</f>
      </c>
      <c r="BN331">
        <f>IF(ISBLANK('Data Entry'!$$331), "", 'Data Entry'!$$331)</f>
      </c>
      <c r="BO331">
        <f>IF(ISBLANK('Data Entry'!$$331), "", 'Data Entry'!$$331)</f>
      </c>
      <c r="BP331">
        <f>IF(ISBLANK('Data Entry'!$$331), "", 'Data Entry'!$$331)</f>
      </c>
      <c r="BQ331">
        <f>IF(ISBLANK('Data Entry'!$$331), "", 'Data Entry'!$$331)</f>
      </c>
      <c r="BR331">
        <f>IF(ISBLANK('Data Entry'!$$331), "", 'Data Entry'!$$331)</f>
      </c>
      <c r="BS331">
        <f>IF(ISBLANK('Data Entry'!$$331), "", 'Data Entry'!$$331)</f>
      </c>
      <c r="BT331">
        <f>IF(ISBLANK('Data Entry'!$$331), "", 'Data Entry'!$$331)</f>
      </c>
      <c r="BU331">
        <f>IF(ISBLANK('Data Entry'!$$331), "", 'Data Entry'!$$331)</f>
      </c>
      <c r="BV331">
        <f>IF(ISBLANK('Data Entry'!$$331), "", 'Data Entry'!$$331)</f>
      </c>
      <c r="BW331">
        <f>IF(ISBLANK('Data Entry'!$$331), "", 'Data Entry'!$$331)</f>
      </c>
      <c r="BX331">
        <f>IF(ISBLANK('Data Entry'!$$331), "", 'Data Entry'!$$331)</f>
      </c>
      <c r="BY331">
        <f>IF(ISBLANK('Data Entry'!$$331), "", 'Data Entry'!$$331)</f>
      </c>
      <c r="BZ331">
        <f>IF(ISBLANK('Data Entry'!$$331), "", 'Data Entry'!$$331)</f>
      </c>
      <c r="CA331">
        <f>IF(ISBLANK('Data Entry'!$$331), "", 'Data Entry'!$$331)</f>
      </c>
      <c r="CB331">
        <f>IF(ISBLANK('Data Entry'!$$331), "", 'Data Entry'!$$331)</f>
      </c>
      <c r="CC331">
        <f>IF(ISBLANK('Data Entry'!$$331), "", 'Data Entry'!$$331)</f>
      </c>
      <c r="CD331">
        <f>IF(ISBLANK('Data Entry'!$$331), "", 'Data Entry'!$$331)</f>
      </c>
      <c r="CE331">
        <f>IF(ISBLANK('Data Entry'!$$331), "", 'Data Entry'!$$331)</f>
      </c>
      <c r="CF331">
        <f>IF(ISBLANK('Data Entry'!$$331), "", 'Data Entry'!$$331)</f>
      </c>
      <c r="CG331">
        <f>IF(ISBLANK('Data Entry'!$$331), "", 'Data Entry'!$$331)</f>
      </c>
      <c r="CH331">
        <f>IF(ISBLANK('Data Entry'!$$331), "", 'Data Entry'!$$331)</f>
      </c>
      <c r="CI331">
        <f>IF(ISBLANK('Data Entry'!$$331), "", 'Data Entry'!$$331)</f>
      </c>
      <c r="CJ331">
        <f>IF(ISBLANK('Data Entry'!$$331), "", 'Data Entry'!$$331)</f>
      </c>
      <c r="CK331">
        <f>IF(ISBLANK('Data Entry'!$$331), "", 'Data Entry'!$$331)</f>
      </c>
      <c r="CL331">
        <f>IF(ISBLANK('Data Entry'!$$331), "", 'Data Entry'!$$331)</f>
      </c>
      <c r="CM331">
        <f>IF(ISBLANK('Data Entry'!$$331), "", 'Data Entry'!$$331)</f>
      </c>
      <c r="CN331">
        <f>IF(ISBLANK('Data Entry'!$$331), "", 'Data Entry'!$$331)</f>
      </c>
      <c r="CO331">
        <f>IF(ISBLANK('Data Entry'!$$331), "", 'Data Entry'!$$331)</f>
      </c>
      <c r="CP331">
        <f>IF(ISBLANK('Data Entry'!$$331), "", 'Data Entry'!$$331)</f>
      </c>
      <c r="CQ331">
        <f>IF(ISBLANK('Data Entry'!$$331), "", 'Data Entry'!$$331)</f>
      </c>
      <c r="CR331">
        <f>IF(ISBLANK('Data Entry'!$ $331), "", 'Data Entry'!$ $331)</f>
      </c>
      <c r="CS331">
        <f>IF(ISBLANK('Data Entry'!$¡$331), "", 'Data Entry'!$¡$331)</f>
      </c>
      <c r="CT331">
        <f>IF(ISBLANK('Data Entry'!$¢$331), "", 'Data Entry'!$¢$331)</f>
      </c>
      <c r="CU331">
        <f>IF(ISBLANK('Data Entry'!$£$331), "", 'Data Entry'!$£$331)</f>
      </c>
      <c r="CV331">
        <f>IF(ISBLANK('Data Entry'!$¤$331), "", 'Data Entry'!$¤$331)</f>
      </c>
      <c r="CW331">
        <f>IF(ISBLANK('Data Entry'!$¥$331), "", 'Data Entry'!$¥$331)</f>
      </c>
      <c r="CX331">
        <f>IF(ISBLANK('Data Entry'!$¦$331), "", 'Data Entry'!$¦$331)</f>
      </c>
      <c r="CY331">
        <f>IF(ISBLANK('Data Entry'!$§$331), "", 'Data Entry'!$§$331)</f>
      </c>
      <c r="CZ331">
        <f>IF(ISBLANK('Data Entry'!$¨$331), "", 'Data Entry'!$¨$331)</f>
      </c>
      <c r="DA331">
        <f>IF(ISBLANK('Data Entry'!$©$331), "", 'Data Entry'!$©$331)</f>
      </c>
      <c r="DB331">
        <f>IF(ISBLANK('Data Entry'!$ª$331), "", 'Data Entry'!$ª$331)</f>
      </c>
      <c r="DC331">
        <f>IF(ISBLANK('Data Entry'!$«$331), "", 'Data Entry'!$«$331)</f>
      </c>
      <c r="DD331">
        <f>IF(ISBLANK('Data Entry'!$¬$331), "", 'Data Entry'!$¬$331)</f>
      </c>
      <c r="DE331">
        <f>IF(ISBLANK('Data Entry'!$­$331), "", 'Data Entry'!$­$331)</f>
      </c>
      <c r="DF331">
        <f>IF(ISBLANK('Data Entry'!$®$331), "", 'Data Entry'!$®$331)</f>
      </c>
      <c r="DG331">
        <f>IF(ISBLANK('Data Entry'!$¯$331), "", 'Data Entry'!$¯$331)</f>
      </c>
      <c r="DH331">
        <f>IF(ISBLANK('Data Entry'!$°$331), "", 'Data Entry'!$°$331)</f>
      </c>
      <c r="DI331">
        <f>IF(ISBLANK('Data Entry'!$±$331), "", 'Data Entry'!$±$331)</f>
      </c>
      <c r="DJ331">
        <f>IF(ISBLANK('Data Entry'!$²$331), "", 'Data Entry'!$²$331)</f>
      </c>
      <c r="DK331">
        <f>IF(ISBLANK('Data Entry'!$³$331), "", 'Data Entry'!$³$331)</f>
      </c>
      <c r="DL331">
        <f>IF(ISBLANK('Data Entry'!$´$331), "", 'Data Entry'!$´$331)</f>
      </c>
      <c r="DM331">
        <f>IF(ISBLANK('Data Entry'!$µ$331), "", 'Data Entry'!$µ$331)</f>
      </c>
      <c r="DN331">
        <f>IF(ISBLANK('Data Entry'!$¶$331), "", 'Data Entry'!$¶$331)</f>
      </c>
      <c r="DO331">
        <f>IF(ISBLANK('Data Entry'!$·$331), "", 'Data Entry'!$·$331)</f>
      </c>
      <c r="DP331">
        <f>IF(ISBLANK('Data Entry'!$¸$331), "", 'Data Entry'!$¸$331)</f>
      </c>
      <c r="DQ331">
        <f>IF(ISBLANK('Data Entry'!$¹$331), "", 'Data Entry'!$¹$331)</f>
      </c>
      <c r="DR331">
        <f>IF(ISBLANK('Data Entry'!$º$331), "", 'Data Entry'!$º$331)</f>
      </c>
      <c r="DS331">
        <f>IF(ISBLANK('Data Entry'!$»$331), "", 'Data Entry'!$»$331)</f>
      </c>
      <c r="DT331">
        <f>IF(ISBLANK('Data Entry'!$¼$331), "", 'Data Entry'!$¼$331)</f>
      </c>
      <c r="DU331">
        <f>IF(ISBLANK('Data Entry'!$½$331), "", 'Data Entry'!$½$331)</f>
      </c>
      <c r="DV331">
        <f>IF(ISBLANK('Data Entry'!$¾$331), "", 'Data Entry'!$¾$331)</f>
      </c>
      <c r="DW331">
        <f>IF(ISBLANK('Data Entry'!$¿$331), "", 'Data Entry'!$¿$331)</f>
      </c>
      <c r="DX331">
        <f>IF(ISBLANK('Data Entry'!$À$331), "", 'Data Entry'!$À$331)</f>
      </c>
      <c r="DY331">
        <f>IF(ISBLANK('Data Entry'!$Á$331), "", 'Data Entry'!$Á$331)</f>
      </c>
      <c r="DZ331">
        <f>IF(ISBLANK('Data Entry'!$Â$331), "", 'Data Entry'!$Â$331)</f>
      </c>
      <c r="EA331">
        <f>IF(ISBLANK('Data Entry'!$Ã$331), "", 'Data Entry'!$Ã$331)</f>
      </c>
      <c r="EB331">
        <f>IF(ISBLANK('Data Entry'!$Ä$331), "", 'Data Entry'!$Ä$331)</f>
      </c>
      <c r="EC331">
        <f>IF(ISBLANK('Data Entry'!$Å$331), "", 'Data Entry'!$Å$331)</f>
      </c>
      <c r="ED331">
        <f>IF(ISBLANK('Data Entry'!$Æ$331), "", 'Data Entry'!$Æ$331)</f>
      </c>
      <c r="EE331">
        <f>IF(ISBLANK('Data Entry'!$Ç$331), "", 'Data Entry'!$Ç$331)</f>
      </c>
      <c r="EF331">
        <f>IF(ISBLANK('Data Entry'!$È$331), "", 'Data Entry'!$È$331)</f>
      </c>
      <c r="EG331">
        <f>IF(ISBLANK('Data Entry'!$É$331), "", 'Data Entry'!$É$331)</f>
      </c>
      <c r="EH331">
        <f>IF(ISBLANK('Data Entry'!$Ê$331), "", 'Data Entry'!$Ê$331)</f>
      </c>
      <c r="EI331">
        <f>IF(ISBLANK('Data Entry'!$Ë$331), "", 'Data Entry'!$Ë$331)</f>
      </c>
      <c r="EJ331">
        <f>IF(ISBLANK('Data Entry'!$Ì$331), "", 'Data Entry'!$Ì$331)</f>
      </c>
      <c r="EK331">
        <f>IF(ISBLANK('Data Entry'!$Í$331), "", 'Data Entry'!$Í$331)</f>
      </c>
      <c r="EL331">
        <f>IF(ISBLANK('Data Entry'!$Î$331), "", 'Data Entry'!$Î$331)</f>
      </c>
      <c r="EM331">
        <f>IF(ISBLANK('Data Entry'!$Ï$331), "", 'Data Entry'!$Ï$331)</f>
      </c>
      <c r="EN331">
        <f>IF(ISBLANK('Data Entry'!$Ð$331), "", 'Data Entry'!$Ð$331)</f>
      </c>
      <c r="EO331">
        <f>IF(ISBLANK('Data Entry'!$Ñ$331), "", 'Data Entry'!$Ñ$331)</f>
      </c>
      <c r="EP331">
        <f>IF(ISBLANK('Data Entry'!$Ò$331), "", 'Data Entry'!$Ò$331)</f>
      </c>
      <c r="EQ331">
        <f>IF(ISBLANK('Data Entry'!$Ó$331), "", 'Data Entry'!$Ó$331)</f>
      </c>
      <c r="ER331">
        <f>IF(ISBLANK('Data Entry'!$Ô$331), "", 'Data Entry'!$Ô$331)</f>
      </c>
      <c r="ES331">
        <f>IF(ISBLANK('Data Entry'!$Õ$331), "", 'Data Entry'!$Õ$331)</f>
      </c>
      <c r="ET331">
        <f>IF(ISBLANK('Data Entry'!$Ö$331), "", 'Data Entry'!$Ö$331)</f>
      </c>
      <c r="EU331">
        <f>IF(ISBLANK('Data Entry'!$×$331), "", 'Data Entry'!$×$331)</f>
      </c>
      <c r="EV331">
        <f>IF(ISBLANK('Data Entry'!$Ø$331), "", 'Data Entry'!$Ø$331)</f>
      </c>
      <c r="EW331">
        <f>IF(ISBLANK('Data Entry'!$Ù$331), "", 'Data Entry'!$Ù$331)</f>
      </c>
      <c r="EX331">
        <f>IF(ISBLANK('Data Entry'!$Ú$331), "", 'Data Entry'!$Ú$331)</f>
      </c>
      <c r="EY331">
        <f>IF(ISBLANK('Data Entry'!$Û$331), "", 'Data Entry'!$Û$331)</f>
      </c>
      <c r="EZ331">
        <f>IF(ISBLANK('Data Entry'!$Ü$331), "", 'Data Entry'!$Ü$331)</f>
      </c>
      <c r="FA331">
        <f>IF(ISBLANK('Data Entry'!$Ý$331), "", 'Data Entry'!$Ý$331)</f>
      </c>
      <c r="FB331">
        <f>IF(ISBLANK('Data Entry'!$Þ$331), "", 'Data Entry'!$Þ$331)</f>
      </c>
      <c r="FC331">
        <f>IF(ISBLANK('Data Entry'!$ß$331), "", 'Data Entry'!$ß$331)</f>
      </c>
      <c r="FD331">
        <f>IF(ISBLANK('Data Entry'!$à$331), "", 'Data Entry'!$à$331)</f>
      </c>
      <c r="FE331">
        <f>IF(ISBLANK('Data Entry'!$á$331), "", 'Data Entry'!$á$331)</f>
      </c>
      <c r="FF331">
        <f>IF(ISBLANK('Data Entry'!$â$331), "", 'Data Entry'!$â$331)</f>
      </c>
      <c r="FG331">
        <f>IF(ISBLANK('Data Entry'!$ã$331), "", 'Data Entry'!$ã$331)</f>
      </c>
      <c r="FH331">
        <f>IF(ISBLANK('Data Entry'!$ä$331), "", 'Data Entry'!$ä$331)</f>
      </c>
      <c r="FI331">
        <f>IF(ISBLANK('Data Entry'!$å$331), "", 'Data Entry'!$å$331)</f>
      </c>
      <c r="FJ331">
        <f>IF(ISBLANK('Data Entry'!$æ$331), "", 'Data Entry'!$æ$331)</f>
      </c>
      <c r="FK331">
        <f>IF(ISBLANK('Data Entry'!$ç$331), "", 'Data Entry'!$ç$331)</f>
      </c>
      <c r="FL331">
        <f>IF(ISBLANK('Data Entry'!$è$331), "", 'Data Entry'!$è$331)</f>
      </c>
      <c r="FM331">
        <f>IF(ISBLANK('Data Entry'!$é$331), "", 'Data Entry'!$é$331)</f>
      </c>
      <c r="FN331">
        <f>IF(ISBLANK('Data Entry'!$ê$331), "", 'Data Entry'!$ê$331)</f>
      </c>
      <c r="FO331">
        <f>IF(ISBLANK('Data Entry'!$ë$331), "", 'Data Entry'!$ë$331)</f>
      </c>
      <c r="FP331">
        <f>IF(ISBLANK('Data Entry'!$ì$331), "", 'Data Entry'!$ì$331)</f>
      </c>
      <c r="FQ331">
        <f>IF(ISBLANK('Data Entry'!$í$331), "", 'Data Entry'!$í$331)</f>
      </c>
      <c r="FR331">
        <f>IF(ISBLANK('Data Entry'!$î$331), "", 'Data Entry'!$î$331)</f>
      </c>
      <c r="FS331">
        <f>IF(ISBLANK('Data Entry'!$ï$331), "", 'Data Entry'!$ï$331)</f>
      </c>
      <c r="FT331">
        <f>IF(ISBLANK('Data Entry'!$ð$331), "", 'Data Entry'!$ð$331)</f>
      </c>
      <c r="FU331">
        <f>IF(ISBLANK('Data Entry'!$ñ$331), "", 'Data Entry'!$ñ$331)</f>
      </c>
      <c r="FV331">
        <f>IF(ISBLANK('Data Entry'!$ò$331), "", 'Data Entry'!$ò$331)</f>
      </c>
      <c r="FW331">
        <f>IF(ISBLANK('Data Entry'!$ó$331), "", 'Data Entry'!$ó$331)</f>
      </c>
      <c r="FX331">
        <f>IF(ISBLANK('Data Entry'!$ô$331), "", 'Data Entry'!$ô$331)</f>
      </c>
      <c r="FY331">
        <f>IF(ISBLANK('Data Entry'!$õ$331), "", 'Data Entry'!$õ$331)</f>
      </c>
      <c r="FZ331">
        <f>IF(ISBLANK('Data Entry'!$ö$331), "", 'Data Entry'!$ö$331)</f>
      </c>
      <c r="GA331">
        <f>IF(ISBLANK('Data Entry'!$÷$331), "", 'Data Entry'!$÷$331)</f>
      </c>
      <c r="GB331">
        <f>IF(ISBLANK('Data Entry'!$ø$331), "", 'Data Entry'!$ø$331)</f>
      </c>
      <c r="GC331">
        <f>IF(ISBLANK('Data Entry'!$ù$331), "", 'Data Entry'!$ù$331)</f>
      </c>
      <c r="GD331">
        <f>IF(ISBLANK('Data Entry'!$ú$331), "", 'Data Entry'!$ú$331)</f>
      </c>
      <c r="GE331">
        <f>IF(ISBLANK('Data Entry'!$û$331), "", 'Data Entry'!$û$331)</f>
      </c>
      <c r="GF331">
        <f>IF(ISBLANK('Data Entry'!$ü$331), "", 'Data Entry'!$ü$331)</f>
      </c>
      <c r="GG331">
        <f>IF(ISBLANK('Data Entry'!$ý$331), "", 'Data Entry'!$ý$331)</f>
      </c>
      <c r="GH331">
        <f>IF(ISBLANK('Data Entry'!$þ$331), "", 'Data Entry'!$þ$331)</f>
      </c>
      <c r="GI331">
        <f>IF(ISBLANK('Data Entry'!$ÿ$331), "", 'Data Entry'!$ÿ$331)</f>
      </c>
      <c r="GJ331">
        <f>IF(ISBLANK('Data Entry'!$Ā$331), "", 'Data Entry'!$Ā$331)</f>
      </c>
      <c r="GK331">
        <f>IF(ISBLANK('Data Entry'!$ā$331), "", 'Data Entry'!$ā$331)</f>
      </c>
      <c r="GL331">
        <f>IF(ISBLANK('Data Entry'!$Ă$331), "", 'Data Entry'!$Ă$331)</f>
      </c>
      <c r="GM331">
        <f>IF(ISBLANK('Data Entry'!$ă$331), "", 'Data Entry'!$ă$331)</f>
      </c>
      <c r="GN331">
        <f>IF(ISBLANK('Data Entry'!$Ą$331), "", 'Data Entry'!$Ą$331)</f>
      </c>
      <c r="GO331">
        <f>IF(ISBLANK('Data Entry'!$ą$331), "", 'Data Entry'!$ą$331)</f>
      </c>
      <c r="GP331">
        <f>IF(ISBLANK('Data Entry'!$Ć$331), "", 'Data Entry'!$Ć$331)</f>
      </c>
      <c r="GQ331">
        <f>IF(ISBLANK('Data Entry'!$ć$331), "", 'Data Entry'!$ć$331)</f>
      </c>
      <c r="GR331">
        <f>IF(ISBLANK('Data Entry'!$Ĉ$331), "", 'Data Entry'!$Ĉ$331)</f>
      </c>
      <c r="GS331">
        <f>IF(ISBLANK('Data Entry'!$ĉ$331), "", 'Data Entry'!$ĉ$331)</f>
      </c>
      <c r="GT331">
        <f>IF(ISBLANK('Data Entry'!$Ċ$331), "", 'Data Entry'!$Ċ$331)</f>
      </c>
      <c r="GU331">
        <f>IF(ISBLANK('Data Entry'!$ċ$331), "", 'Data Entry'!$ċ$331)</f>
      </c>
      <c r="GV331">
        <f>IF(ISBLANK('Data Entry'!$Č$331), "", 'Data Entry'!$Č$331)</f>
      </c>
      <c r="GW331">
        <f>IF(ISBLANK('Data Entry'!$č$331), "", 'Data Entry'!$č$331)</f>
      </c>
      <c r="GX331">
        <f>IF(ISBLANK('Data Entry'!$Ď$331), "", 'Data Entry'!$Ď$331)</f>
      </c>
      <c r="GY331">
        <f>IF(ISBLANK('Data Entry'!$ď$331), "", 'Data Entry'!$ď$331)</f>
      </c>
      <c r="GZ331">
        <f>IF(ISBLANK('Data Entry'!$Đ$331), "", 'Data Entry'!$Đ$331)</f>
      </c>
      <c r="HA331">
        <f>IF(ISBLANK('Data Entry'!$đ$331), "", 'Data Entry'!$đ$331)</f>
      </c>
      <c r="HB331">
        <f>IF(ISBLANK('Data Entry'!$Ē$331), "", 'Data Entry'!$Ē$331)</f>
      </c>
      <c r="HC331">
        <f>IF(ISBLANK('Data Entry'!$ē$331), "", 'Data Entry'!$ē$331)</f>
      </c>
      <c r="HD331">
        <f>IF(ISBLANK('Data Entry'!$Ĕ$331), "", 'Data Entry'!$Ĕ$331)</f>
      </c>
      <c r="HE331">
        <f>IF(ISBLANK('Data Entry'!$ĕ$331), "", 'Data Entry'!$ĕ$331)</f>
      </c>
      <c r="HF331">
        <f>IF(ISBLANK('Data Entry'!$Ė$331), "", 'Data Entry'!$Ė$331)</f>
      </c>
      <c r="HG331">
        <f>IF(ISBLANK('Data Entry'!$ė$331), "", 'Data Entry'!$ė$331)</f>
      </c>
      <c r="HH331">
        <f>IF(ISBLANK('Data Entry'!$Ę$331), "", 'Data Entry'!$Ę$331)</f>
      </c>
      <c r="HI331">
        <f>IF(ISBLANK('Data Entry'!$ę$331), "", 'Data Entry'!$ę$331)</f>
      </c>
      <c r="HJ331">
        <f>IF(ISBLANK('Data Entry'!$Ě$331), "", 'Data Entry'!$Ě$331)</f>
      </c>
      <c r="HK331">
        <f>IF(ISBLANK('Data Entry'!$ě$331), "", 'Data Entry'!$ě$331)</f>
      </c>
      <c r="HL331">
        <f>IF(ISBLANK('Data Entry'!$Ĝ$331), "", 'Data Entry'!$Ĝ$331)</f>
      </c>
      <c r="HM331">
        <f>IF(ISBLANK('Data Entry'!$ĝ$331), "", 'Data Entry'!$ĝ$331)</f>
      </c>
      <c r="HN331">
        <f>IF(ISBLANK('Data Entry'!$Ğ$331), "", 'Data Entry'!$Ğ$331)</f>
      </c>
      <c r="HO331">
        <f>IF(ISBLANK('Data Entry'!$ğ$331), "", 'Data Entry'!$ğ$331)</f>
      </c>
      <c r="HP331">
        <f>IF(ISBLANK('Data Entry'!$Ġ$331), "", 'Data Entry'!$Ġ$331)</f>
      </c>
      <c r="HQ331">
        <f>IF(ISBLANK('Data Entry'!$ġ$331), "", 'Data Entry'!$ġ$331)</f>
      </c>
      <c r="HR331">
        <f>IF(ISBLANK('Data Entry'!$Ģ$331), "", 'Data Entry'!$Ģ$331)</f>
      </c>
      <c r="HS331">
        <f>IF(ISBLANK('Data Entry'!$ģ$331), "", 'Data Entry'!$ģ$331)</f>
      </c>
      <c r="HT331">
        <f>IF(ISBLANK('Data Entry'!$Ĥ$331), "", 'Data Entry'!$Ĥ$331)</f>
      </c>
      <c r="HU331">
        <f>IF(ISBLANK('Data Entry'!$ĥ$331), "", 'Data Entry'!$ĥ$331)</f>
      </c>
      <c r="HV331">
        <f>IF(ISBLANK('Data Entry'!$Ħ$331), "", 'Data Entry'!$Ħ$331)</f>
      </c>
      <c r="HW331">
        <f>IF(ISBLANK('Data Entry'!$ħ$331), "", 'Data Entry'!$ħ$331)</f>
      </c>
      <c r="HX331">
        <f>IF(ISBLANK('Data Entry'!$Ĩ$331), "", 'Data Entry'!$Ĩ$331)</f>
      </c>
      <c r="HY331">
        <f>IF(ISBLANK('Data Entry'!$ĩ$331), "", 'Data Entry'!$ĩ$331)</f>
      </c>
      <c r="HZ331">
        <f>IF(ISBLANK('Data Entry'!$Ī$331), "", 'Data Entry'!$Ī$331)</f>
      </c>
      <c r="IA331">
        <f>IF(ISBLANK('Data Entry'!$ī$331), "", 'Data Entry'!$ī$331)</f>
      </c>
      <c r="IB331">
        <f>IF(ISBLANK('Data Entry'!$Ĭ$331), "", 'Data Entry'!$Ĭ$331)</f>
      </c>
      <c r="IC331">
        <f>IF(ISBLANK('Data Entry'!$ĭ$331), "", 'Data Entry'!$ĭ$331)</f>
      </c>
      <c r="ID331">
        <f>IF(ISBLANK('Data Entry'!$Į$331), "", 'Data Entry'!$Į$331)</f>
      </c>
      <c r="IE331">
        <f>IF(ISBLANK('Data Entry'!$į$331), "", 'Data Entry'!$į$331)</f>
      </c>
      <c r="IF331">
        <f>IF(ISBLANK('Data Entry'!$İ$331), "", 'Data Entry'!$İ$331)</f>
      </c>
      <c r="IG331">
        <f>IF(ISBLANK('Data Entry'!$ı$331), "", 'Data Entry'!$ı$331)</f>
      </c>
      <c r="IH331">
        <f>IF(ISBLANK('Data Entry'!$Ĳ$331), "", 'Data Entry'!$Ĳ$331)</f>
      </c>
      <c r="II331">
        <f>IF(ISBLANK('Data Entry'!$ĳ$331), "", 'Data Entry'!$ĳ$331)</f>
      </c>
      <c r="IJ331">
        <f>IF(ISBLANK('Data Entry'!$Ĵ$331), "", 'Data Entry'!$Ĵ$331)</f>
      </c>
      <c r="IK331">
        <f>IF(ISBLANK('Data Entry'!$ĵ$331), "", 'Data Entry'!$ĵ$331)</f>
      </c>
      <c r="IL331">
        <f>IF(ISBLANK('Data Entry'!$Ķ$331), "", 'Data Entry'!$Ķ$331)</f>
      </c>
      <c r="IM331">
        <f>IF(ISBLANK('Data Entry'!$ķ$331), "", 'Data Entry'!$ķ$331)</f>
      </c>
      <c r="IN331">
        <f>IF(ISBLANK('Data Entry'!$ĸ$331), "", 'Data Entry'!$ĸ$331)</f>
      </c>
      <c r="IO331">
        <f>IF(ISBLANK('Data Entry'!$Ĺ$331), "", 'Data Entry'!$Ĺ$331)</f>
      </c>
      <c r="IP331">
        <f>IF(ISBLANK('Data Entry'!$ĺ$331), "", 'Data Entry'!$ĺ$331)</f>
      </c>
      <c r="IQ331">
        <f>IF(ISBLANK('Data Entry'!$Ļ$331), "", 'Data Entry'!$Ļ$331)</f>
      </c>
      <c r="IR331">
        <f>IF(ISBLANK('Data Entry'!$ļ$331), "", 'Data Entry'!$ļ$331)</f>
      </c>
      <c r="IS331">
        <f>IF(ISBLANK('Data Entry'!$Ľ$331), "", 'Data Entry'!$Ľ$331)</f>
      </c>
      <c r="IT331">
        <f>IF(ISBLANK('Data Entry'!$ľ$331), "", 'Data Entry'!$ľ$331)</f>
      </c>
    </row>
    <row r="332" spans="1:254" x14ac:dyDescent="0.25">
      <c r="A332">
        <f>IF(ISBLANK('Data Entry'!$A$332), "", 'Data Entry'!$A$332)</f>
      </c>
      <c r="B332">
        <f>IF(ISBLANK('Data Entry'!$B$332), "", 'Data Entry'!$B$332)</f>
      </c>
      <c r="C332">
        <f>IF(ISBLANK('Data Entry'!$C$332), "", 'Data Entry'!$C$332)</f>
      </c>
      <c r="D332">
        <f>IF(ISBLANK('Data Entry'!$D$332), "", 'Data Entry'!$D$332)</f>
      </c>
      <c r="E332">
        <f>IF(ISBLANK('Data Entry'!$E$332), "", 'Data Entry'!$E$332)</f>
      </c>
      <c r="F332">
        <f>IF(ISBLANK('Data Entry'!$F$332), "", 'Data Entry'!$F$332)</f>
      </c>
      <c r="G332">
        <f>IF(ISBLANK('Data Entry'!$G$332), "", 'Data Entry'!$G$332)</f>
      </c>
      <c r="H332">
        <f>IF(ISBLANK('Data Entry'!$H$332), "", 'Data Entry'!$H$332)</f>
      </c>
      <c r="I332">
        <f>IF(ISBLANK('Data Entry'!$I$332), "", 'Data Entry'!$I$332)</f>
      </c>
      <c r="J332">
        <f>IF(ISBLANK('Data Entry'!$J$332), "", 'Data Entry'!$J$332)</f>
      </c>
      <c r="K332">
        <f>IF(ISBLANK('Data Entry'!$K$332), "", 'Data Entry'!$K$332)</f>
      </c>
      <c r="L332">
        <f>IF(ISBLANK('Data Entry'!$L$332), "", 'Data Entry'!$L$332)</f>
      </c>
      <c r="M332">
        <f>IF(ISBLANK('Data Entry'!$M$332), "", 'Data Entry'!$M$332)</f>
      </c>
      <c r="N332">
        <f>IF(ISBLANK('Data Entry'!$N$332), "", 'Data Entry'!$N$332)</f>
      </c>
      <c r="O332">
        <f>IF(ISBLANK('Data Entry'!$O$332), "", 'Data Entry'!$O$332)</f>
      </c>
      <c r="P332">
        <f>IF(ISBLANK('Data Entry'!$P$332), "", 'Data Entry'!$P$332)</f>
      </c>
      <c r="Q332">
        <f>IF(ISBLANK('Data Entry'!$Q$332), "", 'Data Entry'!$Q$332)</f>
      </c>
      <c r="R332">
        <f>IF(ISBLANK('Data Entry'!$R$332), "", 'Data Entry'!$R$332)</f>
      </c>
      <c r="S332">
        <f>IF(ISBLANK('Data Entry'!$S$332), "", 'Data Entry'!$S$332)</f>
      </c>
      <c r="T332">
        <f>IF(ISBLANK('Data Entry'!$T$332), "", 'Data Entry'!$T$332)</f>
      </c>
      <c r="U332">
        <f>IF(ISBLANK('Data Entry'!$U$332), "", 'Data Entry'!$U$332)</f>
      </c>
      <c r="V332">
        <f>IF(ISBLANK('Data Entry'!$V$332), "", 'Data Entry'!$V$332)</f>
      </c>
      <c r="W332">
        <f>IF(ISBLANK('Data Entry'!$W$332), "", 'Data Entry'!$W$332)</f>
      </c>
      <c r="X332">
        <f>IF(ISBLANK('Data Entry'!$X$332), "", 'Data Entry'!$X$332)</f>
      </c>
      <c r="Y332">
        <f>IF(ISBLANK('Data Entry'!$Y$332), "", 'Data Entry'!$Y$332)</f>
      </c>
      <c r="Z332">
        <f>IF(ISBLANK('Data Entry'!$Z$332), "", 'Data Entry'!$Z$332)</f>
      </c>
      <c r="AA332">
        <f>IF(ISBLANK('Data Entry'!$[$332), "", 'Data Entry'!$[$332)</f>
      </c>
      <c r="AB332">
        <f>IF(ISBLANK('Data Entry'!$\$332), "", 'Data Entry'!$\$332)</f>
      </c>
      <c r="AC332">
        <f>IF(ISBLANK('Data Entry'!$]$332), "", 'Data Entry'!$]$332)</f>
      </c>
      <c r="AD332">
        <f>IF(ISBLANK('Data Entry'!$^$332), "", 'Data Entry'!$^$332)</f>
      </c>
      <c r="AE332">
        <f>IF(ISBLANK('Data Entry'!$_$332), "", 'Data Entry'!$_$332)</f>
      </c>
      <c r="AF332">
        <f>IF(ISBLANK('Data Entry'!$`$332), "", 'Data Entry'!$`$332)</f>
      </c>
      <c r="AG332">
        <f>IF(ISBLANK('Data Entry'!$a$332), "", 'Data Entry'!$a$332)</f>
      </c>
      <c r="AH332">
        <f>IF(ISBLANK('Data Entry'!$b$332), "", 'Data Entry'!$b$332)</f>
      </c>
      <c r="AI332">
        <f>IF(ISBLANK('Data Entry'!$c$332), "", 'Data Entry'!$c$332)</f>
      </c>
      <c r="AJ332">
        <f>IF(ISBLANK('Data Entry'!$d$332), "", 'Data Entry'!$d$332)</f>
      </c>
      <c r="AK332">
        <f>IF(ISBLANK('Data Entry'!$e$332), "", 'Data Entry'!$e$332)</f>
      </c>
      <c r="AL332">
        <f>IF(ISBLANK('Data Entry'!$f$332), "", 'Data Entry'!$f$332)</f>
      </c>
      <c r="AM332">
        <f>IF(ISBLANK('Data Entry'!$g$332), "", 'Data Entry'!$g$332)</f>
      </c>
      <c r="AN332">
        <f>IF(ISBLANK('Data Entry'!$h$332), "", 'Data Entry'!$h$332)</f>
      </c>
      <c r="AO332">
        <f>IF(ISBLANK('Data Entry'!$i$332), "", 'Data Entry'!$i$332)</f>
      </c>
      <c r="AP332">
        <f>IF(ISBLANK('Data Entry'!$j$332), "", 'Data Entry'!$j$332)</f>
      </c>
      <c r="AQ332">
        <f>IF(ISBLANK('Data Entry'!$k$332), "", 'Data Entry'!$k$332)</f>
      </c>
      <c r="AR332">
        <f>IF(ISBLANK('Data Entry'!$l$332), "", 'Data Entry'!$l$332)</f>
      </c>
      <c r="AS332">
        <f>IF(ISBLANK('Data Entry'!$m$332), "", 'Data Entry'!$m$332)</f>
      </c>
      <c r="AT332">
        <f>IF(ISBLANK('Data Entry'!$n$332), "", 'Data Entry'!$n$332)</f>
      </c>
      <c r="AU332">
        <f>IF(ISBLANK('Data Entry'!$o$332), "", 'Data Entry'!$o$332)</f>
      </c>
      <c r="AV332">
        <f>IF(ISBLANK('Data Entry'!$p$332), "", 'Data Entry'!$p$332)</f>
      </c>
      <c r="AW332">
        <f>IF(ISBLANK('Data Entry'!$q$332), "", 'Data Entry'!$q$332)</f>
      </c>
      <c r="AX332">
        <f>IF(ISBLANK('Data Entry'!$r$332), "", 'Data Entry'!$r$332)</f>
      </c>
      <c r="AY332">
        <f>IF(ISBLANK('Data Entry'!$s$332), "", 'Data Entry'!$s$332)</f>
      </c>
      <c r="AZ332">
        <f>IF(ISBLANK('Data Entry'!$t$332), "", 'Data Entry'!$t$332)</f>
      </c>
      <c r="BA332">
        <f>IF(ISBLANK('Data Entry'!$u$332), "", 'Data Entry'!$u$332)</f>
      </c>
      <c r="BB332">
        <f>IF(ISBLANK('Data Entry'!$v$332), "", 'Data Entry'!$v$332)</f>
      </c>
      <c r="BC332">
        <f>IF(ISBLANK('Data Entry'!$w$332), "", 'Data Entry'!$w$332)</f>
      </c>
      <c r="BD332">
        <f>IF(ISBLANK('Data Entry'!$x$332), "", 'Data Entry'!$x$332)</f>
      </c>
      <c r="BE332">
        <f>IF(ISBLANK('Data Entry'!$y$332), "", 'Data Entry'!$y$332)</f>
      </c>
      <c r="BF332">
        <f>IF(ISBLANK('Data Entry'!$z$332), "", 'Data Entry'!$z$332)</f>
      </c>
      <c r="BG332">
        <f>IF(ISBLANK('Data Entry'!${$332), "", 'Data Entry'!${$332)</f>
      </c>
      <c r="BH332">
        <f>IF(ISBLANK('Data Entry'!$|$332), "", 'Data Entry'!$|$332)</f>
      </c>
      <c r="BI332">
        <f>IF(ISBLANK('Data Entry'!$}$332), "", 'Data Entry'!$}$332)</f>
      </c>
      <c r="BJ332">
        <f>IF(ISBLANK('Data Entry'!$~$332), "", 'Data Entry'!$~$332)</f>
      </c>
      <c r="BK332">
        <f>IF(ISBLANK('Data Entry'!$$332), "", 'Data Entry'!$$332)</f>
      </c>
      <c r="BL332">
        <f>IF(ISBLANK('Data Entry'!$$332), "", 'Data Entry'!$$332)</f>
      </c>
      <c r="BM332">
        <f>IF(ISBLANK('Data Entry'!$$332), "", 'Data Entry'!$$332)</f>
      </c>
      <c r="BN332">
        <f>IF(ISBLANK('Data Entry'!$$332), "", 'Data Entry'!$$332)</f>
      </c>
      <c r="BO332">
        <f>IF(ISBLANK('Data Entry'!$$332), "", 'Data Entry'!$$332)</f>
      </c>
      <c r="BP332">
        <f>IF(ISBLANK('Data Entry'!$$332), "", 'Data Entry'!$$332)</f>
      </c>
      <c r="BQ332">
        <f>IF(ISBLANK('Data Entry'!$$332), "", 'Data Entry'!$$332)</f>
      </c>
      <c r="BR332">
        <f>IF(ISBLANK('Data Entry'!$$332), "", 'Data Entry'!$$332)</f>
      </c>
      <c r="BS332">
        <f>IF(ISBLANK('Data Entry'!$$332), "", 'Data Entry'!$$332)</f>
      </c>
      <c r="BT332">
        <f>IF(ISBLANK('Data Entry'!$$332), "", 'Data Entry'!$$332)</f>
      </c>
      <c r="BU332">
        <f>IF(ISBLANK('Data Entry'!$$332), "", 'Data Entry'!$$332)</f>
      </c>
      <c r="BV332">
        <f>IF(ISBLANK('Data Entry'!$$332), "", 'Data Entry'!$$332)</f>
      </c>
      <c r="BW332">
        <f>IF(ISBLANK('Data Entry'!$$332), "", 'Data Entry'!$$332)</f>
      </c>
      <c r="BX332">
        <f>IF(ISBLANK('Data Entry'!$$332), "", 'Data Entry'!$$332)</f>
      </c>
      <c r="BY332">
        <f>IF(ISBLANK('Data Entry'!$$332), "", 'Data Entry'!$$332)</f>
      </c>
      <c r="BZ332">
        <f>IF(ISBLANK('Data Entry'!$$332), "", 'Data Entry'!$$332)</f>
      </c>
      <c r="CA332">
        <f>IF(ISBLANK('Data Entry'!$$332), "", 'Data Entry'!$$332)</f>
      </c>
      <c r="CB332">
        <f>IF(ISBLANK('Data Entry'!$$332), "", 'Data Entry'!$$332)</f>
      </c>
      <c r="CC332">
        <f>IF(ISBLANK('Data Entry'!$$332), "", 'Data Entry'!$$332)</f>
      </c>
      <c r="CD332">
        <f>IF(ISBLANK('Data Entry'!$$332), "", 'Data Entry'!$$332)</f>
      </c>
      <c r="CE332">
        <f>IF(ISBLANK('Data Entry'!$$332), "", 'Data Entry'!$$332)</f>
      </c>
      <c r="CF332">
        <f>IF(ISBLANK('Data Entry'!$$332), "", 'Data Entry'!$$332)</f>
      </c>
      <c r="CG332">
        <f>IF(ISBLANK('Data Entry'!$$332), "", 'Data Entry'!$$332)</f>
      </c>
      <c r="CH332">
        <f>IF(ISBLANK('Data Entry'!$$332), "", 'Data Entry'!$$332)</f>
      </c>
      <c r="CI332">
        <f>IF(ISBLANK('Data Entry'!$$332), "", 'Data Entry'!$$332)</f>
      </c>
      <c r="CJ332">
        <f>IF(ISBLANK('Data Entry'!$$332), "", 'Data Entry'!$$332)</f>
      </c>
      <c r="CK332">
        <f>IF(ISBLANK('Data Entry'!$$332), "", 'Data Entry'!$$332)</f>
      </c>
      <c r="CL332">
        <f>IF(ISBLANK('Data Entry'!$$332), "", 'Data Entry'!$$332)</f>
      </c>
      <c r="CM332">
        <f>IF(ISBLANK('Data Entry'!$$332), "", 'Data Entry'!$$332)</f>
      </c>
      <c r="CN332">
        <f>IF(ISBLANK('Data Entry'!$$332), "", 'Data Entry'!$$332)</f>
      </c>
      <c r="CO332">
        <f>IF(ISBLANK('Data Entry'!$$332), "", 'Data Entry'!$$332)</f>
      </c>
      <c r="CP332">
        <f>IF(ISBLANK('Data Entry'!$$332), "", 'Data Entry'!$$332)</f>
      </c>
      <c r="CQ332">
        <f>IF(ISBLANK('Data Entry'!$$332), "", 'Data Entry'!$$332)</f>
      </c>
      <c r="CR332">
        <f>IF(ISBLANK('Data Entry'!$ $332), "", 'Data Entry'!$ $332)</f>
      </c>
      <c r="CS332">
        <f>IF(ISBLANK('Data Entry'!$¡$332), "", 'Data Entry'!$¡$332)</f>
      </c>
      <c r="CT332">
        <f>IF(ISBLANK('Data Entry'!$¢$332), "", 'Data Entry'!$¢$332)</f>
      </c>
      <c r="CU332">
        <f>IF(ISBLANK('Data Entry'!$£$332), "", 'Data Entry'!$£$332)</f>
      </c>
      <c r="CV332">
        <f>IF(ISBLANK('Data Entry'!$¤$332), "", 'Data Entry'!$¤$332)</f>
      </c>
      <c r="CW332">
        <f>IF(ISBLANK('Data Entry'!$¥$332), "", 'Data Entry'!$¥$332)</f>
      </c>
      <c r="CX332">
        <f>IF(ISBLANK('Data Entry'!$¦$332), "", 'Data Entry'!$¦$332)</f>
      </c>
      <c r="CY332">
        <f>IF(ISBLANK('Data Entry'!$§$332), "", 'Data Entry'!$§$332)</f>
      </c>
      <c r="CZ332">
        <f>IF(ISBLANK('Data Entry'!$¨$332), "", 'Data Entry'!$¨$332)</f>
      </c>
      <c r="DA332">
        <f>IF(ISBLANK('Data Entry'!$©$332), "", 'Data Entry'!$©$332)</f>
      </c>
      <c r="DB332">
        <f>IF(ISBLANK('Data Entry'!$ª$332), "", 'Data Entry'!$ª$332)</f>
      </c>
      <c r="DC332">
        <f>IF(ISBLANK('Data Entry'!$«$332), "", 'Data Entry'!$«$332)</f>
      </c>
      <c r="DD332">
        <f>IF(ISBLANK('Data Entry'!$¬$332), "", 'Data Entry'!$¬$332)</f>
      </c>
      <c r="DE332">
        <f>IF(ISBLANK('Data Entry'!$­$332), "", 'Data Entry'!$­$332)</f>
      </c>
      <c r="DF332">
        <f>IF(ISBLANK('Data Entry'!$®$332), "", 'Data Entry'!$®$332)</f>
      </c>
      <c r="DG332">
        <f>IF(ISBLANK('Data Entry'!$¯$332), "", 'Data Entry'!$¯$332)</f>
      </c>
      <c r="DH332">
        <f>IF(ISBLANK('Data Entry'!$°$332), "", 'Data Entry'!$°$332)</f>
      </c>
      <c r="DI332">
        <f>IF(ISBLANK('Data Entry'!$±$332), "", 'Data Entry'!$±$332)</f>
      </c>
      <c r="DJ332">
        <f>IF(ISBLANK('Data Entry'!$²$332), "", 'Data Entry'!$²$332)</f>
      </c>
      <c r="DK332">
        <f>IF(ISBLANK('Data Entry'!$³$332), "", 'Data Entry'!$³$332)</f>
      </c>
      <c r="DL332">
        <f>IF(ISBLANK('Data Entry'!$´$332), "", 'Data Entry'!$´$332)</f>
      </c>
      <c r="DM332">
        <f>IF(ISBLANK('Data Entry'!$µ$332), "", 'Data Entry'!$µ$332)</f>
      </c>
      <c r="DN332">
        <f>IF(ISBLANK('Data Entry'!$¶$332), "", 'Data Entry'!$¶$332)</f>
      </c>
      <c r="DO332">
        <f>IF(ISBLANK('Data Entry'!$·$332), "", 'Data Entry'!$·$332)</f>
      </c>
      <c r="DP332">
        <f>IF(ISBLANK('Data Entry'!$¸$332), "", 'Data Entry'!$¸$332)</f>
      </c>
      <c r="DQ332">
        <f>IF(ISBLANK('Data Entry'!$¹$332), "", 'Data Entry'!$¹$332)</f>
      </c>
      <c r="DR332">
        <f>IF(ISBLANK('Data Entry'!$º$332), "", 'Data Entry'!$º$332)</f>
      </c>
      <c r="DS332">
        <f>IF(ISBLANK('Data Entry'!$»$332), "", 'Data Entry'!$»$332)</f>
      </c>
      <c r="DT332">
        <f>IF(ISBLANK('Data Entry'!$¼$332), "", 'Data Entry'!$¼$332)</f>
      </c>
      <c r="DU332">
        <f>IF(ISBLANK('Data Entry'!$½$332), "", 'Data Entry'!$½$332)</f>
      </c>
      <c r="DV332">
        <f>IF(ISBLANK('Data Entry'!$¾$332), "", 'Data Entry'!$¾$332)</f>
      </c>
      <c r="DW332">
        <f>IF(ISBLANK('Data Entry'!$¿$332), "", 'Data Entry'!$¿$332)</f>
      </c>
      <c r="DX332">
        <f>IF(ISBLANK('Data Entry'!$À$332), "", 'Data Entry'!$À$332)</f>
      </c>
      <c r="DY332">
        <f>IF(ISBLANK('Data Entry'!$Á$332), "", 'Data Entry'!$Á$332)</f>
      </c>
      <c r="DZ332">
        <f>IF(ISBLANK('Data Entry'!$Â$332), "", 'Data Entry'!$Â$332)</f>
      </c>
      <c r="EA332">
        <f>IF(ISBLANK('Data Entry'!$Ã$332), "", 'Data Entry'!$Ã$332)</f>
      </c>
      <c r="EB332">
        <f>IF(ISBLANK('Data Entry'!$Ä$332), "", 'Data Entry'!$Ä$332)</f>
      </c>
      <c r="EC332">
        <f>IF(ISBLANK('Data Entry'!$Å$332), "", 'Data Entry'!$Å$332)</f>
      </c>
      <c r="ED332">
        <f>IF(ISBLANK('Data Entry'!$Æ$332), "", 'Data Entry'!$Æ$332)</f>
      </c>
      <c r="EE332">
        <f>IF(ISBLANK('Data Entry'!$Ç$332), "", 'Data Entry'!$Ç$332)</f>
      </c>
      <c r="EF332">
        <f>IF(ISBLANK('Data Entry'!$È$332), "", 'Data Entry'!$È$332)</f>
      </c>
      <c r="EG332">
        <f>IF(ISBLANK('Data Entry'!$É$332), "", 'Data Entry'!$É$332)</f>
      </c>
      <c r="EH332">
        <f>IF(ISBLANK('Data Entry'!$Ê$332), "", 'Data Entry'!$Ê$332)</f>
      </c>
      <c r="EI332">
        <f>IF(ISBLANK('Data Entry'!$Ë$332), "", 'Data Entry'!$Ë$332)</f>
      </c>
      <c r="EJ332">
        <f>IF(ISBLANK('Data Entry'!$Ì$332), "", 'Data Entry'!$Ì$332)</f>
      </c>
      <c r="EK332">
        <f>IF(ISBLANK('Data Entry'!$Í$332), "", 'Data Entry'!$Í$332)</f>
      </c>
      <c r="EL332">
        <f>IF(ISBLANK('Data Entry'!$Î$332), "", 'Data Entry'!$Î$332)</f>
      </c>
      <c r="EM332">
        <f>IF(ISBLANK('Data Entry'!$Ï$332), "", 'Data Entry'!$Ï$332)</f>
      </c>
      <c r="EN332">
        <f>IF(ISBLANK('Data Entry'!$Ð$332), "", 'Data Entry'!$Ð$332)</f>
      </c>
      <c r="EO332">
        <f>IF(ISBLANK('Data Entry'!$Ñ$332), "", 'Data Entry'!$Ñ$332)</f>
      </c>
      <c r="EP332">
        <f>IF(ISBLANK('Data Entry'!$Ò$332), "", 'Data Entry'!$Ò$332)</f>
      </c>
      <c r="EQ332">
        <f>IF(ISBLANK('Data Entry'!$Ó$332), "", 'Data Entry'!$Ó$332)</f>
      </c>
      <c r="ER332">
        <f>IF(ISBLANK('Data Entry'!$Ô$332), "", 'Data Entry'!$Ô$332)</f>
      </c>
      <c r="ES332">
        <f>IF(ISBLANK('Data Entry'!$Õ$332), "", 'Data Entry'!$Õ$332)</f>
      </c>
      <c r="ET332">
        <f>IF(ISBLANK('Data Entry'!$Ö$332), "", 'Data Entry'!$Ö$332)</f>
      </c>
      <c r="EU332">
        <f>IF(ISBLANK('Data Entry'!$×$332), "", 'Data Entry'!$×$332)</f>
      </c>
      <c r="EV332">
        <f>IF(ISBLANK('Data Entry'!$Ø$332), "", 'Data Entry'!$Ø$332)</f>
      </c>
      <c r="EW332">
        <f>IF(ISBLANK('Data Entry'!$Ù$332), "", 'Data Entry'!$Ù$332)</f>
      </c>
      <c r="EX332">
        <f>IF(ISBLANK('Data Entry'!$Ú$332), "", 'Data Entry'!$Ú$332)</f>
      </c>
      <c r="EY332">
        <f>IF(ISBLANK('Data Entry'!$Û$332), "", 'Data Entry'!$Û$332)</f>
      </c>
      <c r="EZ332">
        <f>IF(ISBLANK('Data Entry'!$Ü$332), "", 'Data Entry'!$Ü$332)</f>
      </c>
      <c r="FA332">
        <f>IF(ISBLANK('Data Entry'!$Ý$332), "", 'Data Entry'!$Ý$332)</f>
      </c>
      <c r="FB332">
        <f>IF(ISBLANK('Data Entry'!$Þ$332), "", 'Data Entry'!$Þ$332)</f>
      </c>
      <c r="FC332">
        <f>IF(ISBLANK('Data Entry'!$ß$332), "", 'Data Entry'!$ß$332)</f>
      </c>
      <c r="FD332">
        <f>IF(ISBLANK('Data Entry'!$à$332), "", 'Data Entry'!$à$332)</f>
      </c>
      <c r="FE332">
        <f>IF(ISBLANK('Data Entry'!$á$332), "", 'Data Entry'!$á$332)</f>
      </c>
      <c r="FF332">
        <f>IF(ISBLANK('Data Entry'!$â$332), "", 'Data Entry'!$â$332)</f>
      </c>
      <c r="FG332">
        <f>IF(ISBLANK('Data Entry'!$ã$332), "", 'Data Entry'!$ã$332)</f>
      </c>
      <c r="FH332">
        <f>IF(ISBLANK('Data Entry'!$ä$332), "", 'Data Entry'!$ä$332)</f>
      </c>
      <c r="FI332">
        <f>IF(ISBLANK('Data Entry'!$å$332), "", 'Data Entry'!$å$332)</f>
      </c>
      <c r="FJ332">
        <f>IF(ISBLANK('Data Entry'!$æ$332), "", 'Data Entry'!$æ$332)</f>
      </c>
      <c r="FK332">
        <f>IF(ISBLANK('Data Entry'!$ç$332), "", 'Data Entry'!$ç$332)</f>
      </c>
      <c r="FL332">
        <f>IF(ISBLANK('Data Entry'!$è$332), "", 'Data Entry'!$è$332)</f>
      </c>
      <c r="FM332">
        <f>IF(ISBLANK('Data Entry'!$é$332), "", 'Data Entry'!$é$332)</f>
      </c>
      <c r="FN332">
        <f>IF(ISBLANK('Data Entry'!$ê$332), "", 'Data Entry'!$ê$332)</f>
      </c>
      <c r="FO332">
        <f>IF(ISBLANK('Data Entry'!$ë$332), "", 'Data Entry'!$ë$332)</f>
      </c>
      <c r="FP332">
        <f>IF(ISBLANK('Data Entry'!$ì$332), "", 'Data Entry'!$ì$332)</f>
      </c>
      <c r="FQ332">
        <f>IF(ISBLANK('Data Entry'!$í$332), "", 'Data Entry'!$í$332)</f>
      </c>
      <c r="FR332">
        <f>IF(ISBLANK('Data Entry'!$î$332), "", 'Data Entry'!$î$332)</f>
      </c>
      <c r="FS332">
        <f>IF(ISBLANK('Data Entry'!$ï$332), "", 'Data Entry'!$ï$332)</f>
      </c>
      <c r="FT332">
        <f>IF(ISBLANK('Data Entry'!$ð$332), "", 'Data Entry'!$ð$332)</f>
      </c>
      <c r="FU332">
        <f>IF(ISBLANK('Data Entry'!$ñ$332), "", 'Data Entry'!$ñ$332)</f>
      </c>
      <c r="FV332">
        <f>IF(ISBLANK('Data Entry'!$ò$332), "", 'Data Entry'!$ò$332)</f>
      </c>
      <c r="FW332">
        <f>IF(ISBLANK('Data Entry'!$ó$332), "", 'Data Entry'!$ó$332)</f>
      </c>
      <c r="FX332">
        <f>IF(ISBLANK('Data Entry'!$ô$332), "", 'Data Entry'!$ô$332)</f>
      </c>
      <c r="FY332">
        <f>IF(ISBLANK('Data Entry'!$õ$332), "", 'Data Entry'!$õ$332)</f>
      </c>
      <c r="FZ332">
        <f>IF(ISBLANK('Data Entry'!$ö$332), "", 'Data Entry'!$ö$332)</f>
      </c>
      <c r="GA332">
        <f>IF(ISBLANK('Data Entry'!$÷$332), "", 'Data Entry'!$÷$332)</f>
      </c>
      <c r="GB332">
        <f>IF(ISBLANK('Data Entry'!$ø$332), "", 'Data Entry'!$ø$332)</f>
      </c>
      <c r="GC332">
        <f>IF(ISBLANK('Data Entry'!$ù$332), "", 'Data Entry'!$ù$332)</f>
      </c>
      <c r="GD332">
        <f>IF(ISBLANK('Data Entry'!$ú$332), "", 'Data Entry'!$ú$332)</f>
      </c>
      <c r="GE332">
        <f>IF(ISBLANK('Data Entry'!$û$332), "", 'Data Entry'!$û$332)</f>
      </c>
      <c r="GF332">
        <f>IF(ISBLANK('Data Entry'!$ü$332), "", 'Data Entry'!$ü$332)</f>
      </c>
      <c r="GG332">
        <f>IF(ISBLANK('Data Entry'!$ý$332), "", 'Data Entry'!$ý$332)</f>
      </c>
      <c r="GH332">
        <f>IF(ISBLANK('Data Entry'!$þ$332), "", 'Data Entry'!$þ$332)</f>
      </c>
      <c r="GI332">
        <f>IF(ISBLANK('Data Entry'!$ÿ$332), "", 'Data Entry'!$ÿ$332)</f>
      </c>
      <c r="GJ332">
        <f>IF(ISBLANK('Data Entry'!$Ā$332), "", 'Data Entry'!$Ā$332)</f>
      </c>
      <c r="GK332">
        <f>IF(ISBLANK('Data Entry'!$ā$332), "", 'Data Entry'!$ā$332)</f>
      </c>
      <c r="GL332">
        <f>IF(ISBLANK('Data Entry'!$Ă$332), "", 'Data Entry'!$Ă$332)</f>
      </c>
      <c r="GM332">
        <f>IF(ISBLANK('Data Entry'!$ă$332), "", 'Data Entry'!$ă$332)</f>
      </c>
      <c r="GN332">
        <f>IF(ISBLANK('Data Entry'!$Ą$332), "", 'Data Entry'!$Ą$332)</f>
      </c>
      <c r="GO332">
        <f>IF(ISBLANK('Data Entry'!$ą$332), "", 'Data Entry'!$ą$332)</f>
      </c>
      <c r="GP332">
        <f>IF(ISBLANK('Data Entry'!$Ć$332), "", 'Data Entry'!$Ć$332)</f>
      </c>
      <c r="GQ332">
        <f>IF(ISBLANK('Data Entry'!$ć$332), "", 'Data Entry'!$ć$332)</f>
      </c>
      <c r="GR332">
        <f>IF(ISBLANK('Data Entry'!$Ĉ$332), "", 'Data Entry'!$Ĉ$332)</f>
      </c>
      <c r="GS332">
        <f>IF(ISBLANK('Data Entry'!$ĉ$332), "", 'Data Entry'!$ĉ$332)</f>
      </c>
      <c r="GT332">
        <f>IF(ISBLANK('Data Entry'!$Ċ$332), "", 'Data Entry'!$Ċ$332)</f>
      </c>
      <c r="GU332">
        <f>IF(ISBLANK('Data Entry'!$ċ$332), "", 'Data Entry'!$ċ$332)</f>
      </c>
      <c r="GV332">
        <f>IF(ISBLANK('Data Entry'!$Č$332), "", 'Data Entry'!$Č$332)</f>
      </c>
      <c r="GW332">
        <f>IF(ISBLANK('Data Entry'!$č$332), "", 'Data Entry'!$č$332)</f>
      </c>
      <c r="GX332">
        <f>IF(ISBLANK('Data Entry'!$Ď$332), "", 'Data Entry'!$Ď$332)</f>
      </c>
      <c r="GY332">
        <f>IF(ISBLANK('Data Entry'!$ď$332), "", 'Data Entry'!$ď$332)</f>
      </c>
      <c r="GZ332">
        <f>IF(ISBLANK('Data Entry'!$Đ$332), "", 'Data Entry'!$Đ$332)</f>
      </c>
      <c r="HA332">
        <f>IF(ISBLANK('Data Entry'!$đ$332), "", 'Data Entry'!$đ$332)</f>
      </c>
      <c r="HB332">
        <f>IF(ISBLANK('Data Entry'!$Ē$332), "", 'Data Entry'!$Ē$332)</f>
      </c>
      <c r="HC332">
        <f>IF(ISBLANK('Data Entry'!$ē$332), "", 'Data Entry'!$ē$332)</f>
      </c>
      <c r="HD332">
        <f>IF(ISBLANK('Data Entry'!$Ĕ$332), "", 'Data Entry'!$Ĕ$332)</f>
      </c>
      <c r="HE332">
        <f>IF(ISBLANK('Data Entry'!$ĕ$332), "", 'Data Entry'!$ĕ$332)</f>
      </c>
      <c r="HF332">
        <f>IF(ISBLANK('Data Entry'!$Ė$332), "", 'Data Entry'!$Ė$332)</f>
      </c>
      <c r="HG332">
        <f>IF(ISBLANK('Data Entry'!$ė$332), "", 'Data Entry'!$ė$332)</f>
      </c>
      <c r="HH332">
        <f>IF(ISBLANK('Data Entry'!$Ę$332), "", 'Data Entry'!$Ę$332)</f>
      </c>
      <c r="HI332">
        <f>IF(ISBLANK('Data Entry'!$ę$332), "", 'Data Entry'!$ę$332)</f>
      </c>
      <c r="HJ332">
        <f>IF(ISBLANK('Data Entry'!$Ě$332), "", 'Data Entry'!$Ě$332)</f>
      </c>
      <c r="HK332">
        <f>IF(ISBLANK('Data Entry'!$ě$332), "", 'Data Entry'!$ě$332)</f>
      </c>
      <c r="HL332">
        <f>IF(ISBLANK('Data Entry'!$Ĝ$332), "", 'Data Entry'!$Ĝ$332)</f>
      </c>
      <c r="HM332">
        <f>IF(ISBLANK('Data Entry'!$ĝ$332), "", 'Data Entry'!$ĝ$332)</f>
      </c>
      <c r="HN332">
        <f>IF(ISBLANK('Data Entry'!$Ğ$332), "", 'Data Entry'!$Ğ$332)</f>
      </c>
      <c r="HO332">
        <f>IF(ISBLANK('Data Entry'!$ğ$332), "", 'Data Entry'!$ğ$332)</f>
      </c>
      <c r="HP332">
        <f>IF(ISBLANK('Data Entry'!$Ġ$332), "", 'Data Entry'!$Ġ$332)</f>
      </c>
      <c r="HQ332">
        <f>IF(ISBLANK('Data Entry'!$ġ$332), "", 'Data Entry'!$ġ$332)</f>
      </c>
      <c r="HR332">
        <f>IF(ISBLANK('Data Entry'!$Ģ$332), "", 'Data Entry'!$Ģ$332)</f>
      </c>
      <c r="HS332">
        <f>IF(ISBLANK('Data Entry'!$ģ$332), "", 'Data Entry'!$ģ$332)</f>
      </c>
      <c r="HT332">
        <f>IF(ISBLANK('Data Entry'!$Ĥ$332), "", 'Data Entry'!$Ĥ$332)</f>
      </c>
      <c r="HU332">
        <f>IF(ISBLANK('Data Entry'!$ĥ$332), "", 'Data Entry'!$ĥ$332)</f>
      </c>
      <c r="HV332">
        <f>IF(ISBLANK('Data Entry'!$Ħ$332), "", 'Data Entry'!$Ħ$332)</f>
      </c>
      <c r="HW332">
        <f>IF(ISBLANK('Data Entry'!$ħ$332), "", 'Data Entry'!$ħ$332)</f>
      </c>
      <c r="HX332">
        <f>IF(ISBLANK('Data Entry'!$Ĩ$332), "", 'Data Entry'!$Ĩ$332)</f>
      </c>
      <c r="HY332">
        <f>IF(ISBLANK('Data Entry'!$ĩ$332), "", 'Data Entry'!$ĩ$332)</f>
      </c>
      <c r="HZ332">
        <f>IF(ISBLANK('Data Entry'!$Ī$332), "", 'Data Entry'!$Ī$332)</f>
      </c>
      <c r="IA332">
        <f>IF(ISBLANK('Data Entry'!$ī$332), "", 'Data Entry'!$ī$332)</f>
      </c>
      <c r="IB332">
        <f>IF(ISBLANK('Data Entry'!$Ĭ$332), "", 'Data Entry'!$Ĭ$332)</f>
      </c>
      <c r="IC332">
        <f>IF(ISBLANK('Data Entry'!$ĭ$332), "", 'Data Entry'!$ĭ$332)</f>
      </c>
      <c r="ID332">
        <f>IF(ISBLANK('Data Entry'!$Į$332), "", 'Data Entry'!$Į$332)</f>
      </c>
      <c r="IE332">
        <f>IF(ISBLANK('Data Entry'!$į$332), "", 'Data Entry'!$į$332)</f>
      </c>
      <c r="IF332">
        <f>IF(ISBLANK('Data Entry'!$İ$332), "", 'Data Entry'!$İ$332)</f>
      </c>
      <c r="IG332">
        <f>IF(ISBLANK('Data Entry'!$ı$332), "", 'Data Entry'!$ı$332)</f>
      </c>
      <c r="IH332">
        <f>IF(ISBLANK('Data Entry'!$Ĳ$332), "", 'Data Entry'!$Ĳ$332)</f>
      </c>
      <c r="II332">
        <f>IF(ISBLANK('Data Entry'!$ĳ$332), "", 'Data Entry'!$ĳ$332)</f>
      </c>
      <c r="IJ332">
        <f>IF(ISBLANK('Data Entry'!$Ĵ$332), "", 'Data Entry'!$Ĵ$332)</f>
      </c>
      <c r="IK332">
        <f>IF(ISBLANK('Data Entry'!$ĵ$332), "", 'Data Entry'!$ĵ$332)</f>
      </c>
      <c r="IL332">
        <f>IF(ISBLANK('Data Entry'!$Ķ$332), "", 'Data Entry'!$Ķ$332)</f>
      </c>
      <c r="IM332">
        <f>IF(ISBLANK('Data Entry'!$ķ$332), "", 'Data Entry'!$ķ$332)</f>
      </c>
      <c r="IN332">
        <f>IF(ISBLANK('Data Entry'!$ĸ$332), "", 'Data Entry'!$ĸ$332)</f>
      </c>
      <c r="IO332">
        <f>IF(ISBLANK('Data Entry'!$Ĺ$332), "", 'Data Entry'!$Ĺ$332)</f>
      </c>
      <c r="IP332">
        <f>IF(ISBLANK('Data Entry'!$ĺ$332), "", 'Data Entry'!$ĺ$332)</f>
      </c>
      <c r="IQ332">
        <f>IF(ISBLANK('Data Entry'!$Ļ$332), "", 'Data Entry'!$Ļ$332)</f>
      </c>
      <c r="IR332">
        <f>IF(ISBLANK('Data Entry'!$ļ$332), "", 'Data Entry'!$ļ$332)</f>
      </c>
      <c r="IS332">
        <f>IF(ISBLANK('Data Entry'!$Ľ$332), "", 'Data Entry'!$Ľ$332)</f>
      </c>
      <c r="IT332">
        <f>IF(ISBLANK('Data Entry'!$ľ$332), "", 'Data Entry'!$ľ$332)</f>
      </c>
    </row>
    <row r="333" spans="1:254" x14ac:dyDescent="0.25">
      <c r="A333">
        <f>IF(ISBLANK('Data Entry'!$A$333), "", 'Data Entry'!$A$333)</f>
      </c>
      <c r="B333">
        <f>IF(ISBLANK('Data Entry'!$B$333), "", 'Data Entry'!$B$333)</f>
      </c>
      <c r="C333">
        <f>IF(ISBLANK('Data Entry'!$C$333), "", 'Data Entry'!$C$333)</f>
      </c>
      <c r="D333">
        <f>IF(ISBLANK('Data Entry'!$D$333), "", 'Data Entry'!$D$333)</f>
      </c>
      <c r="E333">
        <f>IF(ISBLANK('Data Entry'!$E$333), "", 'Data Entry'!$E$333)</f>
      </c>
      <c r="F333">
        <f>IF(ISBLANK('Data Entry'!$F$333), "", 'Data Entry'!$F$333)</f>
      </c>
      <c r="G333">
        <f>IF(ISBLANK('Data Entry'!$G$333), "", 'Data Entry'!$G$333)</f>
      </c>
      <c r="H333">
        <f>IF(ISBLANK('Data Entry'!$H$333), "", 'Data Entry'!$H$333)</f>
      </c>
      <c r="I333">
        <f>IF(ISBLANK('Data Entry'!$I$333), "", 'Data Entry'!$I$333)</f>
      </c>
      <c r="J333">
        <f>IF(ISBLANK('Data Entry'!$J$333), "", 'Data Entry'!$J$333)</f>
      </c>
      <c r="K333">
        <f>IF(ISBLANK('Data Entry'!$K$333), "", 'Data Entry'!$K$333)</f>
      </c>
      <c r="L333">
        <f>IF(ISBLANK('Data Entry'!$L$333), "", 'Data Entry'!$L$333)</f>
      </c>
      <c r="M333">
        <f>IF(ISBLANK('Data Entry'!$M$333), "", 'Data Entry'!$M$333)</f>
      </c>
      <c r="N333">
        <f>IF(ISBLANK('Data Entry'!$N$333), "", 'Data Entry'!$N$333)</f>
      </c>
      <c r="O333">
        <f>IF(ISBLANK('Data Entry'!$O$333), "", 'Data Entry'!$O$333)</f>
      </c>
      <c r="P333">
        <f>IF(ISBLANK('Data Entry'!$P$333), "", 'Data Entry'!$P$333)</f>
      </c>
      <c r="Q333">
        <f>IF(ISBLANK('Data Entry'!$Q$333), "", 'Data Entry'!$Q$333)</f>
      </c>
      <c r="R333">
        <f>IF(ISBLANK('Data Entry'!$R$333), "", 'Data Entry'!$R$333)</f>
      </c>
      <c r="S333">
        <f>IF(ISBLANK('Data Entry'!$S$333), "", 'Data Entry'!$S$333)</f>
      </c>
      <c r="T333">
        <f>IF(ISBLANK('Data Entry'!$T$333), "", 'Data Entry'!$T$333)</f>
      </c>
      <c r="U333">
        <f>IF(ISBLANK('Data Entry'!$U$333), "", 'Data Entry'!$U$333)</f>
      </c>
      <c r="V333">
        <f>IF(ISBLANK('Data Entry'!$V$333), "", 'Data Entry'!$V$333)</f>
      </c>
      <c r="W333">
        <f>IF(ISBLANK('Data Entry'!$W$333), "", 'Data Entry'!$W$333)</f>
      </c>
      <c r="X333">
        <f>IF(ISBLANK('Data Entry'!$X$333), "", 'Data Entry'!$X$333)</f>
      </c>
      <c r="Y333">
        <f>IF(ISBLANK('Data Entry'!$Y$333), "", 'Data Entry'!$Y$333)</f>
      </c>
      <c r="Z333">
        <f>IF(ISBLANK('Data Entry'!$Z$333), "", 'Data Entry'!$Z$333)</f>
      </c>
      <c r="AA333">
        <f>IF(ISBLANK('Data Entry'!$[$333), "", 'Data Entry'!$[$333)</f>
      </c>
      <c r="AB333">
        <f>IF(ISBLANK('Data Entry'!$\$333), "", 'Data Entry'!$\$333)</f>
      </c>
      <c r="AC333">
        <f>IF(ISBLANK('Data Entry'!$]$333), "", 'Data Entry'!$]$333)</f>
      </c>
      <c r="AD333">
        <f>IF(ISBLANK('Data Entry'!$^$333), "", 'Data Entry'!$^$333)</f>
      </c>
      <c r="AE333">
        <f>IF(ISBLANK('Data Entry'!$_$333), "", 'Data Entry'!$_$333)</f>
      </c>
      <c r="AF333">
        <f>IF(ISBLANK('Data Entry'!$`$333), "", 'Data Entry'!$`$333)</f>
      </c>
      <c r="AG333">
        <f>IF(ISBLANK('Data Entry'!$a$333), "", 'Data Entry'!$a$333)</f>
      </c>
      <c r="AH333">
        <f>IF(ISBLANK('Data Entry'!$b$333), "", 'Data Entry'!$b$333)</f>
      </c>
      <c r="AI333">
        <f>IF(ISBLANK('Data Entry'!$c$333), "", 'Data Entry'!$c$333)</f>
      </c>
      <c r="AJ333">
        <f>IF(ISBLANK('Data Entry'!$d$333), "", 'Data Entry'!$d$333)</f>
      </c>
      <c r="AK333">
        <f>IF(ISBLANK('Data Entry'!$e$333), "", 'Data Entry'!$e$333)</f>
      </c>
      <c r="AL333">
        <f>IF(ISBLANK('Data Entry'!$f$333), "", 'Data Entry'!$f$333)</f>
      </c>
      <c r="AM333">
        <f>IF(ISBLANK('Data Entry'!$g$333), "", 'Data Entry'!$g$333)</f>
      </c>
      <c r="AN333">
        <f>IF(ISBLANK('Data Entry'!$h$333), "", 'Data Entry'!$h$333)</f>
      </c>
      <c r="AO333">
        <f>IF(ISBLANK('Data Entry'!$i$333), "", 'Data Entry'!$i$333)</f>
      </c>
      <c r="AP333">
        <f>IF(ISBLANK('Data Entry'!$j$333), "", 'Data Entry'!$j$333)</f>
      </c>
      <c r="AQ333">
        <f>IF(ISBLANK('Data Entry'!$k$333), "", 'Data Entry'!$k$333)</f>
      </c>
      <c r="AR333">
        <f>IF(ISBLANK('Data Entry'!$l$333), "", 'Data Entry'!$l$333)</f>
      </c>
      <c r="AS333">
        <f>IF(ISBLANK('Data Entry'!$m$333), "", 'Data Entry'!$m$333)</f>
      </c>
      <c r="AT333">
        <f>IF(ISBLANK('Data Entry'!$n$333), "", 'Data Entry'!$n$333)</f>
      </c>
      <c r="AU333">
        <f>IF(ISBLANK('Data Entry'!$o$333), "", 'Data Entry'!$o$333)</f>
      </c>
      <c r="AV333">
        <f>IF(ISBLANK('Data Entry'!$p$333), "", 'Data Entry'!$p$333)</f>
      </c>
      <c r="AW333">
        <f>IF(ISBLANK('Data Entry'!$q$333), "", 'Data Entry'!$q$333)</f>
      </c>
      <c r="AX333">
        <f>IF(ISBLANK('Data Entry'!$r$333), "", 'Data Entry'!$r$333)</f>
      </c>
      <c r="AY333">
        <f>IF(ISBLANK('Data Entry'!$s$333), "", 'Data Entry'!$s$333)</f>
      </c>
      <c r="AZ333">
        <f>IF(ISBLANK('Data Entry'!$t$333), "", 'Data Entry'!$t$333)</f>
      </c>
      <c r="BA333">
        <f>IF(ISBLANK('Data Entry'!$u$333), "", 'Data Entry'!$u$333)</f>
      </c>
      <c r="BB333">
        <f>IF(ISBLANK('Data Entry'!$v$333), "", 'Data Entry'!$v$333)</f>
      </c>
      <c r="BC333">
        <f>IF(ISBLANK('Data Entry'!$w$333), "", 'Data Entry'!$w$333)</f>
      </c>
      <c r="BD333">
        <f>IF(ISBLANK('Data Entry'!$x$333), "", 'Data Entry'!$x$333)</f>
      </c>
      <c r="BE333">
        <f>IF(ISBLANK('Data Entry'!$y$333), "", 'Data Entry'!$y$333)</f>
      </c>
      <c r="BF333">
        <f>IF(ISBLANK('Data Entry'!$z$333), "", 'Data Entry'!$z$333)</f>
      </c>
      <c r="BG333">
        <f>IF(ISBLANK('Data Entry'!${$333), "", 'Data Entry'!${$333)</f>
      </c>
      <c r="BH333">
        <f>IF(ISBLANK('Data Entry'!$|$333), "", 'Data Entry'!$|$333)</f>
      </c>
      <c r="BI333">
        <f>IF(ISBLANK('Data Entry'!$}$333), "", 'Data Entry'!$}$333)</f>
      </c>
      <c r="BJ333">
        <f>IF(ISBLANK('Data Entry'!$~$333), "", 'Data Entry'!$~$333)</f>
      </c>
      <c r="BK333">
        <f>IF(ISBLANK('Data Entry'!$$333), "", 'Data Entry'!$$333)</f>
      </c>
      <c r="BL333">
        <f>IF(ISBLANK('Data Entry'!$$333), "", 'Data Entry'!$$333)</f>
      </c>
      <c r="BM333">
        <f>IF(ISBLANK('Data Entry'!$$333), "", 'Data Entry'!$$333)</f>
      </c>
      <c r="BN333">
        <f>IF(ISBLANK('Data Entry'!$$333), "", 'Data Entry'!$$333)</f>
      </c>
      <c r="BO333">
        <f>IF(ISBLANK('Data Entry'!$$333), "", 'Data Entry'!$$333)</f>
      </c>
      <c r="BP333">
        <f>IF(ISBLANK('Data Entry'!$$333), "", 'Data Entry'!$$333)</f>
      </c>
      <c r="BQ333">
        <f>IF(ISBLANK('Data Entry'!$$333), "", 'Data Entry'!$$333)</f>
      </c>
      <c r="BR333">
        <f>IF(ISBLANK('Data Entry'!$$333), "", 'Data Entry'!$$333)</f>
      </c>
      <c r="BS333">
        <f>IF(ISBLANK('Data Entry'!$$333), "", 'Data Entry'!$$333)</f>
      </c>
      <c r="BT333">
        <f>IF(ISBLANK('Data Entry'!$$333), "", 'Data Entry'!$$333)</f>
      </c>
      <c r="BU333">
        <f>IF(ISBLANK('Data Entry'!$$333), "", 'Data Entry'!$$333)</f>
      </c>
      <c r="BV333">
        <f>IF(ISBLANK('Data Entry'!$$333), "", 'Data Entry'!$$333)</f>
      </c>
      <c r="BW333">
        <f>IF(ISBLANK('Data Entry'!$$333), "", 'Data Entry'!$$333)</f>
      </c>
      <c r="BX333">
        <f>IF(ISBLANK('Data Entry'!$$333), "", 'Data Entry'!$$333)</f>
      </c>
      <c r="BY333">
        <f>IF(ISBLANK('Data Entry'!$$333), "", 'Data Entry'!$$333)</f>
      </c>
      <c r="BZ333">
        <f>IF(ISBLANK('Data Entry'!$$333), "", 'Data Entry'!$$333)</f>
      </c>
      <c r="CA333">
        <f>IF(ISBLANK('Data Entry'!$$333), "", 'Data Entry'!$$333)</f>
      </c>
      <c r="CB333">
        <f>IF(ISBLANK('Data Entry'!$$333), "", 'Data Entry'!$$333)</f>
      </c>
      <c r="CC333">
        <f>IF(ISBLANK('Data Entry'!$$333), "", 'Data Entry'!$$333)</f>
      </c>
      <c r="CD333">
        <f>IF(ISBLANK('Data Entry'!$$333), "", 'Data Entry'!$$333)</f>
      </c>
      <c r="CE333">
        <f>IF(ISBLANK('Data Entry'!$$333), "", 'Data Entry'!$$333)</f>
      </c>
      <c r="CF333">
        <f>IF(ISBLANK('Data Entry'!$$333), "", 'Data Entry'!$$333)</f>
      </c>
      <c r="CG333">
        <f>IF(ISBLANK('Data Entry'!$$333), "", 'Data Entry'!$$333)</f>
      </c>
      <c r="CH333">
        <f>IF(ISBLANK('Data Entry'!$$333), "", 'Data Entry'!$$333)</f>
      </c>
      <c r="CI333">
        <f>IF(ISBLANK('Data Entry'!$$333), "", 'Data Entry'!$$333)</f>
      </c>
      <c r="CJ333">
        <f>IF(ISBLANK('Data Entry'!$$333), "", 'Data Entry'!$$333)</f>
      </c>
      <c r="CK333">
        <f>IF(ISBLANK('Data Entry'!$$333), "", 'Data Entry'!$$333)</f>
      </c>
      <c r="CL333">
        <f>IF(ISBLANK('Data Entry'!$$333), "", 'Data Entry'!$$333)</f>
      </c>
      <c r="CM333">
        <f>IF(ISBLANK('Data Entry'!$$333), "", 'Data Entry'!$$333)</f>
      </c>
      <c r="CN333">
        <f>IF(ISBLANK('Data Entry'!$$333), "", 'Data Entry'!$$333)</f>
      </c>
      <c r="CO333">
        <f>IF(ISBLANK('Data Entry'!$$333), "", 'Data Entry'!$$333)</f>
      </c>
      <c r="CP333">
        <f>IF(ISBLANK('Data Entry'!$$333), "", 'Data Entry'!$$333)</f>
      </c>
      <c r="CQ333">
        <f>IF(ISBLANK('Data Entry'!$$333), "", 'Data Entry'!$$333)</f>
      </c>
      <c r="CR333">
        <f>IF(ISBLANK('Data Entry'!$ $333), "", 'Data Entry'!$ $333)</f>
      </c>
      <c r="CS333">
        <f>IF(ISBLANK('Data Entry'!$¡$333), "", 'Data Entry'!$¡$333)</f>
      </c>
      <c r="CT333">
        <f>IF(ISBLANK('Data Entry'!$¢$333), "", 'Data Entry'!$¢$333)</f>
      </c>
      <c r="CU333">
        <f>IF(ISBLANK('Data Entry'!$£$333), "", 'Data Entry'!$£$333)</f>
      </c>
      <c r="CV333">
        <f>IF(ISBLANK('Data Entry'!$¤$333), "", 'Data Entry'!$¤$333)</f>
      </c>
      <c r="CW333">
        <f>IF(ISBLANK('Data Entry'!$¥$333), "", 'Data Entry'!$¥$333)</f>
      </c>
      <c r="CX333">
        <f>IF(ISBLANK('Data Entry'!$¦$333), "", 'Data Entry'!$¦$333)</f>
      </c>
      <c r="CY333">
        <f>IF(ISBLANK('Data Entry'!$§$333), "", 'Data Entry'!$§$333)</f>
      </c>
      <c r="CZ333">
        <f>IF(ISBLANK('Data Entry'!$¨$333), "", 'Data Entry'!$¨$333)</f>
      </c>
      <c r="DA333">
        <f>IF(ISBLANK('Data Entry'!$©$333), "", 'Data Entry'!$©$333)</f>
      </c>
      <c r="DB333">
        <f>IF(ISBLANK('Data Entry'!$ª$333), "", 'Data Entry'!$ª$333)</f>
      </c>
      <c r="DC333">
        <f>IF(ISBLANK('Data Entry'!$«$333), "", 'Data Entry'!$«$333)</f>
      </c>
      <c r="DD333">
        <f>IF(ISBLANK('Data Entry'!$¬$333), "", 'Data Entry'!$¬$333)</f>
      </c>
      <c r="DE333">
        <f>IF(ISBLANK('Data Entry'!$­$333), "", 'Data Entry'!$­$333)</f>
      </c>
      <c r="DF333">
        <f>IF(ISBLANK('Data Entry'!$®$333), "", 'Data Entry'!$®$333)</f>
      </c>
      <c r="DG333">
        <f>IF(ISBLANK('Data Entry'!$¯$333), "", 'Data Entry'!$¯$333)</f>
      </c>
      <c r="DH333">
        <f>IF(ISBLANK('Data Entry'!$°$333), "", 'Data Entry'!$°$333)</f>
      </c>
      <c r="DI333">
        <f>IF(ISBLANK('Data Entry'!$±$333), "", 'Data Entry'!$±$333)</f>
      </c>
      <c r="DJ333">
        <f>IF(ISBLANK('Data Entry'!$²$333), "", 'Data Entry'!$²$333)</f>
      </c>
      <c r="DK333">
        <f>IF(ISBLANK('Data Entry'!$³$333), "", 'Data Entry'!$³$333)</f>
      </c>
      <c r="DL333">
        <f>IF(ISBLANK('Data Entry'!$´$333), "", 'Data Entry'!$´$333)</f>
      </c>
      <c r="DM333">
        <f>IF(ISBLANK('Data Entry'!$µ$333), "", 'Data Entry'!$µ$333)</f>
      </c>
      <c r="DN333">
        <f>IF(ISBLANK('Data Entry'!$¶$333), "", 'Data Entry'!$¶$333)</f>
      </c>
      <c r="DO333">
        <f>IF(ISBLANK('Data Entry'!$·$333), "", 'Data Entry'!$·$333)</f>
      </c>
      <c r="DP333">
        <f>IF(ISBLANK('Data Entry'!$¸$333), "", 'Data Entry'!$¸$333)</f>
      </c>
      <c r="DQ333">
        <f>IF(ISBLANK('Data Entry'!$¹$333), "", 'Data Entry'!$¹$333)</f>
      </c>
      <c r="DR333">
        <f>IF(ISBLANK('Data Entry'!$º$333), "", 'Data Entry'!$º$333)</f>
      </c>
      <c r="DS333">
        <f>IF(ISBLANK('Data Entry'!$»$333), "", 'Data Entry'!$»$333)</f>
      </c>
      <c r="DT333">
        <f>IF(ISBLANK('Data Entry'!$¼$333), "", 'Data Entry'!$¼$333)</f>
      </c>
      <c r="DU333">
        <f>IF(ISBLANK('Data Entry'!$½$333), "", 'Data Entry'!$½$333)</f>
      </c>
      <c r="DV333">
        <f>IF(ISBLANK('Data Entry'!$¾$333), "", 'Data Entry'!$¾$333)</f>
      </c>
      <c r="DW333">
        <f>IF(ISBLANK('Data Entry'!$¿$333), "", 'Data Entry'!$¿$333)</f>
      </c>
      <c r="DX333">
        <f>IF(ISBLANK('Data Entry'!$À$333), "", 'Data Entry'!$À$333)</f>
      </c>
      <c r="DY333">
        <f>IF(ISBLANK('Data Entry'!$Á$333), "", 'Data Entry'!$Á$333)</f>
      </c>
      <c r="DZ333">
        <f>IF(ISBLANK('Data Entry'!$Â$333), "", 'Data Entry'!$Â$333)</f>
      </c>
      <c r="EA333">
        <f>IF(ISBLANK('Data Entry'!$Ã$333), "", 'Data Entry'!$Ã$333)</f>
      </c>
      <c r="EB333">
        <f>IF(ISBLANK('Data Entry'!$Ä$333), "", 'Data Entry'!$Ä$333)</f>
      </c>
      <c r="EC333">
        <f>IF(ISBLANK('Data Entry'!$Å$333), "", 'Data Entry'!$Å$333)</f>
      </c>
      <c r="ED333">
        <f>IF(ISBLANK('Data Entry'!$Æ$333), "", 'Data Entry'!$Æ$333)</f>
      </c>
      <c r="EE333">
        <f>IF(ISBLANK('Data Entry'!$Ç$333), "", 'Data Entry'!$Ç$333)</f>
      </c>
      <c r="EF333">
        <f>IF(ISBLANK('Data Entry'!$È$333), "", 'Data Entry'!$È$333)</f>
      </c>
      <c r="EG333">
        <f>IF(ISBLANK('Data Entry'!$É$333), "", 'Data Entry'!$É$333)</f>
      </c>
      <c r="EH333">
        <f>IF(ISBLANK('Data Entry'!$Ê$333), "", 'Data Entry'!$Ê$333)</f>
      </c>
      <c r="EI333">
        <f>IF(ISBLANK('Data Entry'!$Ë$333), "", 'Data Entry'!$Ë$333)</f>
      </c>
      <c r="EJ333">
        <f>IF(ISBLANK('Data Entry'!$Ì$333), "", 'Data Entry'!$Ì$333)</f>
      </c>
      <c r="EK333">
        <f>IF(ISBLANK('Data Entry'!$Í$333), "", 'Data Entry'!$Í$333)</f>
      </c>
      <c r="EL333">
        <f>IF(ISBLANK('Data Entry'!$Î$333), "", 'Data Entry'!$Î$333)</f>
      </c>
      <c r="EM333">
        <f>IF(ISBLANK('Data Entry'!$Ï$333), "", 'Data Entry'!$Ï$333)</f>
      </c>
      <c r="EN333">
        <f>IF(ISBLANK('Data Entry'!$Ð$333), "", 'Data Entry'!$Ð$333)</f>
      </c>
      <c r="EO333">
        <f>IF(ISBLANK('Data Entry'!$Ñ$333), "", 'Data Entry'!$Ñ$333)</f>
      </c>
      <c r="EP333">
        <f>IF(ISBLANK('Data Entry'!$Ò$333), "", 'Data Entry'!$Ò$333)</f>
      </c>
      <c r="EQ333">
        <f>IF(ISBLANK('Data Entry'!$Ó$333), "", 'Data Entry'!$Ó$333)</f>
      </c>
      <c r="ER333">
        <f>IF(ISBLANK('Data Entry'!$Ô$333), "", 'Data Entry'!$Ô$333)</f>
      </c>
      <c r="ES333">
        <f>IF(ISBLANK('Data Entry'!$Õ$333), "", 'Data Entry'!$Õ$333)</f>
      </c>
      <c r="ET333">
        <f>IF(ISBLANK('Data Entry'!$Ö$333), "", 'Data Entry'!$Ö$333)</f>
      </c>
      <c r="EU333">
        <f>IF(ISBLANK('Data Entry'!$×$333), "", 'Data Entry'!$×$333)</f>
      </c>
      <c r="EV333">
        <f>IF(ISBLANK('Data Entry'!$Ø$333), "", 'Data Entry'!$Ø$333)</f>
      </c>
      <c r="EW333">
        <f>IF(ISBLANK('Data Entry'!$Ù$333), "", 'Data Entry'!$Ù$333)</f>
      </c>
      <c r="EX333">
        <f>IF(ISBLANK('Data Entry'!$Ú$333), "", 'Data Entry'!$Ú$333)</f>
      </c>
      <c r="EY333">
        <f>IF(ISBLANK('Data Entry'!$Û$333), "", 'Data Entry'!$Û$333)</f>
      </c>
      <c r="EZ333">
        <f>IF(ISBLANK('Data Entry'!$Ü$333), "", 'Data Entry'!$Ü$333)</f>
      </c>
      <c r="FA333">
        <f>IF(ISBLANK('Data Entry'!$Ý$333), "", 'Data Entry'!$Ý$333)</f>
      </c>
      <c r="FB333">
        <f>IF(ISBLANK('Data Entry'!$Þ$333), "", 'Data Entry'!$Þ$333)</f>
      </c>
      <c r="FC333">
        <f>IF(ISBLANK('Data Entry'!$ß$333), "", 'Data Entry'!$ß$333)</f>
      </c>
      <c r="FD333">
        <f>IF(ISBLANK('Data Entry'!$à$333), "", 'Data Entry'!$à$333)</f>
      </c>
      <c r="FE333">
        <f>IF(ISBLANK('Data Entry'!$á$333), "", 'Data Entry'!$á$333)</f>
      </c>
      <c r="FF333">
        <f>IF(ISBLANK('Data Entry'!$â$333), "", 'Data Entry'!$â$333)</f>
      </c>
      <c r="FG333">
        <f>IF(ISBLANK('Data Entry'!$ã$333), "", 'Data Entry'!$ã$333)</f>
      </c>
      <c r="FH333">
        <f>IF(ISBLANK('Data Entry'!$ä$333), "", 'Data Entry'!$ä$333)</f>
      </c>
      <c r="FI333">
        <f>IF(ISBLANK('Data Entry'!$å$333), "", 'Data Entry'!$å$333)</f>
      </c>
      <c r="FJ333">
        <f>IF(ISBLANK('Data Entry'!$æ$333), "", 'Data Entry'!$æ$333)</f>
      </c>
      <c r="FK333">
        <f>IF(ISBLANK('Data Entry'!$ç$333), "", 'Data Entry'!$ç$333)</f>
      </c>
      <c r="FL333">
        <f>IF(ISBLANK('Data Entry'!$è$333), "", 'Data Entry'!$è$333)</f>
      </c>
      <c r="FM333">
        <f>IF(ISBLANK('Data Entry'!$é$333), "", 'Data Entry'!$é$333)</f>
      </c>
      <c r="FN333">
        <f>IF(ISBLANK('Data Entry'!$ê$333), "", 'Data Entry'!$ê$333)</f>
      </c>
      <c r="FO333">
        <f>IF(ISBLANK('Data Entry'!$ë$333), "", 'Data Entry'!$ë$333)</f>
      </c>
      <c r="FP333">
        <f>IF(ISBLANK('Data Entry'!$ì$333), "", 'Data Entry'!$ì$333)</f>
      </c>
      <c r="FQ333">
        <f>IF(ISBLANK('Data Entry'!$í$333), "", 'Data Entry'!$í$333)</f>
      </c>
      <c r="FR333">
        <f>IF(ISBLANK('Data Entry'!$î$333), "", 'Data Entry'!$î$333)</f>
      </c>
      <c r="FS333">
        <f>IF(ISBLANK('Data Entry'!$ï$333), "", 'Data Entry'!$ï$333)</f>
      </c>
      <c r="FT333">
        <f>IF(ISBLANK('Data Entry'!$ð$333), "", 'Data Entry'!$ð$333)</f>
      </c>
      <c r="FU333">
        <f>IF(ISBLANK('Data Entry'!$ñ$333), "", 'Data Entry'!$ñ$333)</f>
      </c>
      <c r="FV333">
        <f>IF(ISBLANK('Data Entry'!$ò$333), "", 'Data Entry'!$ò$333)</f>
      </c>
      <c r="FW333">
        <f>IF(ISBLANK('Data Entry'!$ó$333), "", 'Data Entry'!$ó$333)</f>
      </c>
      <c r="FX333">
        <f>IF(ISBLANK('Data Entry'!$ô$333), "", 'Data Entry'!$ô$333)</f>
      </c>
      <c r="FY333">
        <f>IF(ISBLANK('Data Entry'!$õ$333), "", 'Data Entry'!$õ$333)</f>
      </c>
      <c r="FZ333">
        <f>IF(ISBLANK('Data Entry'!$ö$333), "", 'Data Entry'!$ö$333)</f>
      </c>
      <c r="GA333">
        <f>IF(ISBLANK('Data Entry'!$÷$333), "", 'Data Entry'!$÷$333)</f>
      </c>
      <c r="GB333">
        <f>IF(ISBLANK('Data Entry'!$ø$333), "", 'Data Entry'!$ø$333)</f>
      </c>
      <c r="GC333">
        <f>IF(ISBLANK('Data Entry'!$ù$333), "", 'Data Entry'!$ù$333)</f>
      </c>
      <c r="GD333">
        <f>IF(ISBLANK('Data Entry'!$ú$333), "", 'Data Entry'!$ú$333)</f>
      </c>
      <c r="GE333">
        <f>IF(ISBLANK('Data Entry'!$û$333), "", 'Data Entry'!$û$333)</f>
      </c>
      <c r="GF333">
        <f>IF(ISBLANK('Data Entry'!$ü$333), "", 'Data Entry'!$ü$333)</f>
      </c>
      <c r="GG333">
        <f>IF(ISBLANK('Data Entry'!$ý$333), "", 'Data Entry'!$ý$333)</f>
      </c>
      <c r="GH333">
        <f>IF(ISBLANK('Data Entry'!$þ$333), "", 'Data Entry'!$þ$333)</f>
      </c>
      <c r="GI333">
        <f>IF(ISBLANK('Data Entry'!$ÿ$333), "", 'Data Entry'!$ÿ$333)</f>
      </c>
      <c r="GJ333">
        <f>IF(ISBLANK('Data Entry'!$Ā$333), "", 'Data Entry'!$Ā$333)</f>
      </c>
      <c r="GK333">
        <f>IF(ISBLANK('Data Entry'!$ā$333), "", 'Data Entry'!$ā$333)</f>
      </c>
      <c r="GL333">
        <f>IF(ISBLANK('Data Entry'!$Ă$333), "", 'Data Entry'!$Ă$333)</f>
      </c>
      <c r="GM333">
        <f>IF(ISBLANK('Data Entry'!$ă$333), "", 'Data Entry'!$ă$333)</f>
      </c>
      <c r="GN333">
        <f>IF(ISBLANK('Data Entry'!$Ą$333), "", 'Data Entry'!$Ą$333)</f>
      </c>
      <c r="GO333">
        <f>IF(ISBLANK('Data Entry'!$ą$333), "", 'Data Entry'!$ą$333)</f>
      </c>
      <c r="GP333">
        <f>IF(ISBLANK('Data Entry'!$Ć$333), "", 'Data Entry'!$Ć$333)</f>
      </c>
      <c r="GQ333">
        <f>IF(ISBLANK('Data Entry'!$ć$333), "", 'Data Entry'!$ć$333)</f>
      </c>
      <c r="GR333">
        <f>IF(ISBLANK('Data Entry'!$Ĉ$333), "", 'Data Entry'!$Ĉ$333)</f>
      </c>
      <c r="GS333">
        <f>IF(ISBLANK('Data Entry'!$ĉ$333), "", 'Data Entry'!$ĉ$333)</f>
      </c>
      <c r="GT333">
        <f>IF(ISBLANK('Data Entry'!$Ċ$333), "", 'Data Entry'!$Ċ$333)</f>
      </c>
      <c r="GU333">
        <f>IF(ISBLANK('Data Entry'!$ċ$333), "", 'Data Entry'!$ċ$333)</f>
      </c>
      <c r="GV333">
        <f>IF(ISBLANK('Data Entry'!$Č$333), "", 'Data Entry'!$Č$333)</f>
      </c>
      <c r="GW333">
        <f>IF(ISBLANK('Data Entry'!$č$333), "", 'Data Entry'!$č$333)</f>
      </c>
      <c r="GX333">
        <f>IF(ISBLANK('Data Entry'!$Ď$333), "", 'Data Entry'!$Ď$333)</f>
      </c>
      <c r="GY333">
        <f>IF(ISBLANK('Data Entry'!$ď$333), "", 'Data Entry'!$ď$333)</f>
      </c>
      <c r="GZ333">
        <f>IF(ISBLANK('Data Entry'!$Đ$333), "", 'Data Entry'!$Đ$333)</f>
      </c>
      <c r="HA333">
        <f>IF(ISBLANK('Data Entry'!$đ$333), "", 'Data Entry'!$đ$333)</f>
      </c>
      <c r="HB333">
        <f>IF(ISBLANK('Data Entry'!$Ē$333), "", 'Data Entry'!$Ē$333)</f>
      </c>
      <c r="HC333">
        <f>IF(ISBLANK('Data Entry'!$ē$333), "", 'Data Entry'!$ē$333)</f>
      </c>
      <c r="HD333">
        <f>IF(ISBLANK('Data Entry'!$Ĕ$333), "", 'Data Entry'!$Ĕ$333)</f>
      </c>
      <c r="HE333">
        <f>IF(ISBLANK('Data Entry'!$ĕ$333), "", 'Data Entry'!$ĕ$333)</f>
      </c>
      <c r="HF333">
        <f>IF(ISBLANK('Data Entry'!$Ė$333), "", 'Data Entry'!$Ė$333)</f>
      </c>
      <c r="HG333">
        <f>IF(ISBLANK('Data Entry'!$ė$333), "", 'Data Entry'!$ė$333)</f>
      </c>
      <c r="HH333">
        <f>IF(ISBLANK('Data Entry'!$Ę$333), "", 'Data Entry'!$Ę$333)</f>
      </c>
      <c r="HI333">
        <f>IF(ISBLANK('Data Entry'!$ę$333), "", 'Data Entry'!$ę$333)</f>
      </c>
      <c r="HJ333">
        <f>IF(ISBLANK('Data Entry'!$Ě$333), "", 'Data Entry'!$Ě$333)</f>
      </c>
      <c r="HK333">
        <f>IF(ISBLANK('Data Entry'!$ě$333), "", 'Data Entry'!$ě$333)</f>
      </c>
      <c r="HL333">
        <f>IF(ISBLANK('Data Entry'!$Ĝ$333), "", 'Data Entry'!$Ĝ$333)</f>
      </c>
      <c r="HM333">
        <f>IF(ISBLANK('Data Entry'!$ĝ$333), "", 'Data Entry'!$ĝ$333)</f>
      </c>
      <c r="HN333">
        <f>IF(ISBLANK('Data Entry'!$Ğ$333), "", 'Data Entry'!$Ğ$333)</f>
      </c>
      <c r="HO333">
        <f>IF(ISBLANK('Data Entry'!$ğ$333), "", 'Data Entry'!$ğ$333)</f>
      </c>
      <c r="HP333">
        <f>IF(ISBLANK('Data Entry'!$Ġ$333), "", 'Data Entry'!$Ġ$333)</f>
      </c>
      <c r="HQ333">
        <f>IF(ISBLANK('Data Entry'!$ġ$333), "", 'Data Entry'!$ġ$333)</f>
      </c>
      <c r="HR333">
        <f>IF(ISBLANK('Data Entry'!$Ģ$333), "", 'Data Entry'!$Ģ$333)</f>
      </c>
      <c r="HS333">
        <f>IF(ISBLANK('Data Entry'!$ģ$333), "", 'Data Entry'!$ģ$333)</f>
      </c>
      <c r="HT333">
        <f>IF(ISBLANK('Data Entry'!$Ĥ$333), "", 'Data Entry'!$Ĥ$333)</f>
      </c>
      <c r="HU333">
        <f>IF(ISBLANK('Data Entry'!$ĥ$333), "", 'Data Entry'!$ĥ$333)</f>
      </c>
      <c r="HV333">
        <f>IF(ISBLANK('Data Entry'!$Ħ$333), "", 'Data Entry'!$Ħ$333)</f>
      </c>
      <c r="HW333">
        <f>IF(ISBLANK('Data Entry'!$ħ$333), "", 'Data Entry'!$ħ$333)</f>
      </c>
      <c r="HX333">
        <f>IF(ISBLANK('Data Entry'!$Ĩ$333), "", 'Data Entry'!$Ĩ$333)</f>
      </c>
      <c r="HY333">
        <f>IF(ISBLANK('Data Entry'!$ĩ$333), "", 'Data Entry'!$ĩ$333)</f>
      </c>
      <c r="HZ333">
        <f>IF(ISBLANK('Data Entry'!$Ī$333), "", 'Data Entry'!$Ī$333)</f>
      </c>
      <c r="IA333">
        <f>IF(ISBLANK('Data Entry'!$ī$333), "", 'Data Entry'!$ī$333)</f>
      </c>
      <c r="IB333">
        <f>IF(ISBLANK('Data Entry'!$Ĭ$333), "", 'Data Entry'!$Ĭ$333)</f>
      </c>
      <c r="IC333">
        <f>IF(ISBLANK('Data Entry'!$ĭ$333), "", 'Data Entry'!$ĭ$333)</f>
      </c>
      <c r="ID333">
        <f>IF(ISBLANK('Data Entry'!$Į$333), "", 'Data Entry'!$Į$333)</f>
      </c>
      <c r="IE333">
        <f>IF(ISBLANK('Data Entry'!$į$333), "", 'Data Entry'!$į$333)</f>
      </c>
      <c r="IF333">
        <f>IF(ISBLANK('Data Entry'!$İ$333), "", 'Data Entry'!$İ$333)</f>
      </c>
      <c r="IG333">
        <f>IF(ISBLANK('Data Entry'!$ı$333), "", 'Data Entry'!$ı$333)</f>
      </c>
      <c r="IH333">
        <f>IF(ISBLANK('Data Entry'!$Ĳ$333), "", 'Data Entry'!$Ĳ$333)</f>
      </c>
      <c r="II333">
        <f>IF(ISBLANK('Data Entry'!$ĳ$333), "", 'Data Entry'!$ĳ$333)</f>
      </c>
      <c r="IJ333">
        <f>IF(ISBLANK('Data Entry'!$Ĵ$333), "", 'Data Entry'!$Ĵ$333)</f>
      </c>
      <c r="IK333">
        <f>IF(ISBLANK('Data Entry'!$ĵ$333), "", 'Data Entry'!$ĵ$333)</f>
      </c>
      <c r="IL333">
        <f>IF(ISBLANK('Data Entry'!$Ķ$333), "", 'Data Entry'!$Ķ$333)</f>
      </c>
      <c r="IM333">
        <f>IF(ISBLANK('Data Entry'!$ķ$333), "", 'Data Entry'!$ķ$333)</f>
      </c>
      <c r="IN333">
        <f>IF(ISBLANK('Data Entry'!$ĸ$333), "", 'Data Entry'!$ĸ$333)</f>
      </c>
      <c r="IO333">
        <f>IF(ISBLANK('Data Entry'!$Ĺ$333), "", 'Data Entry'!$Ĺ$333)</f>
      </c>
      <c r="IP333">
        <f>IF(ISBLANK('Data Entry'!$ĺ$333), "", 'Data Entry'!$ĺ$333)</f>
      </c>
      <c r="IQ333">
        <f>IF(ISBLANK('Data Entry'!$Ļ$333), "", 'Data Entry'!$Ļ$333)</f>
      </c>
      <c r="IR333">
        <f>IF(ISBLANK('Data Entry'!$ļ$333), "", 'Data Entry'!$ļ$333)</f>
      </c>
      <c r="IS333">
        <f>IF(ISBLANK('Data Entry'!$Ľ$333), "", 'Data Entry'!$Ľ$333)</f>
      </c>
      <c r="IT333">
        <f>IF(ISBLANK('Data Entry'!$ľ$333), "", 'Data Entry'!$ľ$333)</f>
      </c>
    </row>
    <row r="334" spans="1:254" x14ac:dyDescent="0.25">
      <c r="A334">
        <f>IF(ISBLANK('Data Entry'!$A$334), "", 'Data Entry'!$A$334)</f>
      </c>
      <c r="B334">
        <f>IF(ISBLANK('Data Entry'!$B$334), "", 'Data Entry'!$B$334)</f>
      </c>
      <c r="C334">
        <f>IF(ISBLANK('Data Entry'!$C$334), "", 'Data Entry'!$C$334)</f>
      </c>
      <c r="D334">
        <f>IF(ISBLANK('Data Entry'!$D$334), "", 'Data Entry'!$D$334)</f>
      </c>
      <c r="E334">
        <f>IF(ISBLANK('Data Entry'!$E$334), "", 'Data Entry'!$E$334)</f>
      </c>
      <c r="F334">
        <f>IF(ISBLANK('Data Entry'!$F$334), "", 'Data Entry'!$F$334)</f>
      </c>
      <c r="G334">
        <f>IF(ISBLANK('Data Entry'!$G$334), "", 'Data Entry'!$G$334)</f>
      </c>
      <c r="H334">
        <f>IF(ISBLANK('Data Entry'!$H$334), "", 'Data Entry'!$H$334)</f>
      </c>
      <c r="I334">
        <f>IF(ISBLANK('Data Entry'!$I$334), "", 'Data Entry'!$I$334)</f>
      </c>
      <c r="J334">
        <f>IF(ISBLANK('Data Entry'!$J$334), "", 'Data Entry'!$J$334)</f>
      </c>
      <c r="K334">
        <f>IF(ISBLANK('Data Entry'!$K$334), "", 'Data Entry'!$K$334)</f>
      </c>
      <c r="L334">
        <f>IF(ISBLANK('Data Entry'!$L$334), "", 'Data Entry'!$L$334)</f>
      </c>
      <c r="M334">
        <f>IF(ISBLANK('Data Entry'!$M$334), "", 'Data Entry'!$M$334)</f>
      </c>
      <c r="N334">
        <f>IF(ISBLANK('Data Entry'!$N$334), "", 'Data Entry'!$N$334)</f>
      </c>
      <c r="O334">
        <f>IF(ISBLANK('Data Entry'!$O$334), "", 'Data Entry'!$O$334)</f>
      </c>
      <c r="P334">
        <f>IF(ISBLANK('Data Entry'!$P$334), "", 'Data Entry'!$P$334)</f>
      </c>
      <c r="Q334">
        <f>IF(ISBLANK('Data Entry'!$Q$334), "", 'Data Entry'!$Q$334)</f>
      </c>
      <c r="R334">
        <f>IF(ISBLANK('Data Entry'!$R$334), "", 'Data Entry'!$R$334)</f>
      </c>
      <c r="S334">
        <f>IF(ISBLANK('Data Entry'!$S$334), "", 'Data Entry'!$S$334)</f>
      </c>
      <c r="T334">
        <f>IF(ISBLANK('Data Entry'!$T$334), "", 'Data Entry'!$T$334)</f>
      </c>
      <c r="U334">
        <f>IF(ISBLANK('Data Entry'!$U$334), "", 'Data Entry'!$U$334)</f>
      </c>
      <c r="V334">
        <f>IF(ISBLANK('Data Entry'!$V$334), "", 'Data Entry'!$V$334)</f>
      </c>
      <c r="W334">
        <f>IF(ISBLANK('Data Entry'!$W$334), "", 'Data Entry'!$W$334)</f>
      </c>
      <c r="X334">
        <f>IF(ISBLANK('Data Entry'!$X$334), "", 'Data Entry'!$X$334)</f>
      </c>
      <c r="Y334">
        <f>IF(ISBLANK('Data Entry'!$Y$334), "", 'Data Entry'!$Y$334)</f>
      </c>
      <c r="Z334">
        <f>IF(ISBLANK('Data Entry'!$Z$334), "", 'Data Entry'!$Z$334)</f>
      </c>
      <c r="AA334">
        <f>IF(ISBLANK('Data Entry'!$[$334), "", 'Data Entry'!$[$334)</f>
      </c>
      <c r="AB334">
        <f>IF(ISBLANK('Data Entry'!$\$334), "", 'Data Entry'!$\$334)</f>
      </c>
      <c r="AC334">
        <f>IF(ISBLANK('Data Entry'!$]$334), "", 'Data Entry'!$]$334)</f>
      </c>
      <c r="AD334">
        <f>IF(ISBLANK('Data Entry'!$^$334), "", 'Data Entry'!$^$334)</f>
      </c>
      <c r="AE334">
        <f>IF(ISBLANK('Data Entry'!$_$334), "", 'Data Entry'!$_$334)</f>
      </c>
      <c r="AF334">
        <f>IF(ISBLANK('Data Entry'!$`$334), "", 'Data Entry'!$`$334)</f>
      </c>
      <c r="AG334">
        <f>IF(ISBLANK('Data Entry'!$a$334), "", 'Data Entry'!$a$334)</f>
      </c>
      <c r="AH334">
        <f>IF(ISBLANK('Data Entry'!$b$334), "", 'Data Entry'!$b$334)</f>
      </c>
      <c r="AI334">
        <f>IF(ISBLANK('Data Entry'!$c$334), "", 'Data Entry'!$c$334)</f>
      </c>
      <c r="AJ334">
        <f>IF(ISBLANK('Data Entry'!$d$334), "", 'Data Entry'!$d$334)</f>
      </c>
      <c r="AK334">
        <f>IF(ISBLANK('Data Entry'!$e$334), "", 'Data Entry'!$e$334)</f>
      </c>
      <c r="AL334">
        <f>IF(ISBLANK('Data Entry'!$f$334), "", 'Data Entry'!$f$334)</f>
      </c>
      <c r="AM334">
        <f>IF(ISBLANK('Data Entry'!$g$334), "", 'Data Entry'!$g$334)</f>
      </c>
      <c r="AN334">
        <f>IF(ISBLANK('Data Entry'!$h$334), "", 'Data Entry'!$h$334)</f>
      </c>
      <c r="AO334">
        <f>IF(ISBLANK('Data Entry'!$i$334), "", 'Data Entry'!$i$334)</f>
      </c>
      <c r="AP334">
        <f>IF(ISBLANK('Data Entry'!$j$334), "", 'Data Entry'!$j$334)</f>
      </c>
      <c r="AQ334">
        <f>IF(ISBLANK('Data Entry'!$k$334), "", 'Data Entry'!$k$334)</f>
      </c>
      <c r="AR334">
        <f>IF(ISBLANK('Data Entry'!$l$334), "", 'Data Entry'!$l$334)</f>
      </c>
      <c r="AS334">
        <f>IF(ISBLANK('Data Entry'!$m$334), "", 'Data Entry'!$m$334)</f>
      </c>
      <c r="AT334">
        <f>IF(ISBLANK('Data Entry'!$n$334), "", 'Data Entry'!$n$334)</f>
      </c>
      <c r="AU334">
        <f>IF(ISBLANK('Data Entry'!$o$334), "", 'Data Entry'!$o$334)</f>
      </c>
      <c r="AV334">
        <f>IF(ISBLANK('Data Entry'!$p$334), "", 'Data Entry'!$p$334)</f>
      </c>
      <c r="AW334">
        <f>IF(ISBLANK('Data Entry'!$q$334), "", 'Data Entry'!$q$334)</f>
      </c>
      <c r="AX334">
        <f>IF(ISBLANK('Data Entry'!$r$334), "", 'Data Entry'!$r$334)</f>
      </c>
      <c r="AY334">
        <f>IF(ISBLANK('Data Entry'!$s$334), "", 'Data Entry'!$s$334)</f>
      </c>
      <c r="AZ334">
        <f>IF(ISBLANK('Data Entry'!$t$334), "", 'Data Entry'!$t$334)</f>
      </c>
      <c r="BA334">
        <f>IF(ISBLANK('Data Entry'!$u$334), "", 'Data Entry'!$u$334)</f>
      </c>
      <c r="BB334">
        <f>IF(ISBLANK('Data Entry'!$v$334), "", 'Data Entry'!$v$334)</f>
      </c>
      <c r="BC334">
        <f>IF(ISBLANK('Data Entry'!$w$334), "", 'Data Entry'!$w$334)</f>
      </c>
      <c r="BD334">
        <f>IF(ISBLANK('Data Entry'!$x$334), "", 'Data Entry'!$x$334)</f>
      </c>
      <c r="BE334">
        <f>IF(ISBLANK('Data Entry'!$y$334), "", 'Data Entry'!$y$334)</f>
      </c>
      <c r="BF334">
        <f>IF(ISBLANK('Data Entry'!$z$334), "", 'Data Entry'!$z$334)</f>
      </c>
      <c r="BG334">
        <f>IF(ISBLANK('Data Entry'!${$334), "", 'Data Entry'!${$334)</f>
      </c>
      <c r="BH334">
        <f>IF(ISBLANK('Data Entry'!$|$334), "", 'Data Entry'!$|$334)</f>
      </c>
      <c r="BI334">
        <f>IF(ISBLANK('Data Entry'!$}$334), "", 'Data Entry'!$}$334)</f>
      </c>
      <c r="BJ334">
        <f>IF(ISBLANK('Data Entry'!$~$334), "", 'Data Entry'!$~$334)</f>
      </c>
      <c r="BK334">
        <f>IF(ISBLANK('Data Entry'!$$334), "", 'Data Entry'!$$334)</f>
      </c>
      <c r="BL334">
        <f>IF(ISBLANK('Data Entry'!$$334), "", 'Data Entry'!$$334)</f>
      </c>
      <c r="BM334">
        <f>IF(ISBLANK('Data Entry'!$$334), "", 'Data Entry'!$$334)</f>
      </c>
      <c r="BN334">
        <f>IF(ISBLANK('Data Entry'!$$334), "", 'Data Entry'!$$334)</f>
      </c>
      <c r="BO334">
        <f>IF(ISBLANK('Data Entry'!$$334), "", 'Data Entry'!$$334)</f>
      </c>
      <c r="BP334">
        <f>IF(ISBLANK('Data Entry'!$$334), "", 'Data Entry'!$$334)</f>
      </c>
      <c r="BQ334">
        <f>IF(ISBLANK('Data Entry'!$$334), "", 'Data Entry'!$$334)</f>
      </c>
      <c r="BR334">
        <f>IF(ISBLANK('Data Entry'!$$334), "", 'Data Entry'!$$334)</f>
      </c>
      <c r="BS334">
        <f>IF(ISBLANK('Data Entry'!$$334), "", 'Data Entry'!$$334)</f>
      </c>
      <c r="BT334">
        <f>IF(ISBLANK('Data Entry'!$$334), "", 'Data Entry'!$$334)</f>
      </c>
      <c r="BU334">
        <f>IF(ISBLANK('Data Entry'!$$334), "", 'Data Entry'!$$334)</f>
      </c>
      <c r="BV334">
        <f>IF(ISBLANK('Data Entry'!$$334), "", 'Data Entry'!$$334)</f>
      </c>
      <c r="BW334">
        <f>IF(ISBLANK('Data Entry'!$$334), "", 'Data Entry'!$$334)</f>
      </c>
      <c r="BX334">
        <f>IF(ISBLANK('Data Entry'!$$334), "", 'Data Entry'!$$334)</f>
      </c>
      <c r="BY334">
        <f>IF(ISBLANK('Data Entry'!$$334), "", 'Data Entry'!$$334)</f>
      </c>
      <c r="BZ334">
        <f>IF(ISBLANK('Data Entry'!$$334), "", 'Data Entry'!$$334)</f>
      </c>
      <c r="CA334">
        <f>IF(ISBLANK('Data Entry'!$$334), "", 'Data Entry'!$$334)</f>
      </c>
      <c r="CB334">
        <f>IF(ISBLANK('Data Entry'!$$334), "", 'Data Entry'!$$334)</f>
      </c>
      <c r="CC334">
        <f>IF(ISBLANK('Data Entry'!$$334), "", 'Data Entry'!$$334)</f>
      </c>
      <c r="CD334">
        <f>IF(ISBLANK('Data Entry'!$$334), "", 'Data Entry'!$$334)</f>
      </c>
      <c r="CE334">
        <f>IF(ISBLANK('Data Entry'!$$334), "", 'Data Entry'!$$334)</f>
      </c>
      <c r="CF334">
        <f>IF(ISBLANK('Data Entry'!$$334), "", 'Data Entry'!$$334)</f>
      </c>
      <c r="CG334">
        <f>IF(ISBLANK('Data Entry'!$$334), "", 'Data Entry'!$$334)</f>
      </c>
      <c r="CH334">
        <f>IF(ISBLANK('Data Entry'!$$334), "", 'Data Entry'!$$334)</f>
      </c>
      <c r="CI334">
        <f>IF(ISBLANK('Data Entry'!$$334), "", 'Data Entry'!$$334)</f>
      </c>
      <c r="CJ334">
        <f>IF(ISBLANK('Data Entry'!$$334), "", 'Data Entry'!$$334)</f>
      </c>
      <c r="CK334">
        <f>IF(ISBLANK('Data Entry'!$$334), "", 'Data Entry'!$$334)</f>
      </c>
      <c r="CL334">
        <f>IF(ISBLANK('Data Entry'!$$334), "", 'Data Entry'!$$334)</f>
      </c>
      <c r="CM334">
        <f>IF(ISBLANK('Data Entry'!$$334), "", 'Data Entry'!$$334)</f>
      </c>
      <c r="CN334">
        <f>IF(ISBLANK('Data Entry'!$$334), "", 'Data Entry'!$$334)</f>
      </c>
      <c r="CO334">
        <f>IF(ISBLANK('Data Entry'!$$334), "", 'Data Entry'!$$334)</f>
      </c>
      <c r="CP334">
        <f>IF(ISBLANK('Data Entry'!$$334), "", 'Data Entry'!$$334)</f>
      </c>
      <c r="CQ334">
        <f>IF(ISBLANK('Data Entry'!$$334), "", 'Data Entry'!$$334)</f>
      </c>
      <c r="CR334">
        <f>IF(ISBLANK('Data Entry'!$ $334), "", 'Data Entry'!$ $334)</f>
      </c>
      <c r="CS334">
        <f>IF(ISBLANK('Data Entry'!$¡$334), "", 'Data Entry'!$¡$334)</f>
      </c>
      <c r="CT334">
        <f>IF(ISBLANK('Data Entry'!$¢$334), "", 'Data Entry'!$¢$334)</f>
      </c>
      <c r="CU334">
        <f>IF(ISBLANK('Data Entry'!$£$334), "", 'Data Entry'!$£$334)</f>
      </c>
      <c r="CV334">
        <f>IF(ISBLANK('Data Entry'!$¤$334), "", 'Data Entry'!$¤$334)</f>
      </c>
      <c r="CW334">
        <f>IF(ISBLANK('Data Entry'!$¥$334), "", 'Data Entry'!$¥$334)</f>
      </c>
      <c r="CX334">
        <f>IF(ISBLANK('Data Entry'!$¦$334), "", 'Data Entry'!$¦$334)</f>
      </c>
      <c r="CY334">
        <f>IF(ISBLANK('Data Entry'!$§$334), "", 'Data Entry'!$§$334)</f>
      </c>
      <c r="CZ334">
        <f>IF(ISBLANK('Data Entry'!$¨$334), "", 'Data Entry'!$¨$334)</f>
      </c>
      <c r="DA334">
        <f>IF(ISBLANK('Data Entry'!$©$334), "", 'Data Entry'!$©$334)</f>
      </c>
      <c r="DB334">
        <f>IF(ISBLANK('Data Entry'!$ª$334), "", 'Data Entry'!$ª$334)</f>
      </c>
      <c r="DC334">
        <f>IF(ISBLANK('Data Entry'!$«$334), "", 'Data Entry'!$«$334)</f>
      </c>
      <c r="DD334">
        <f>IF(ISBLANK('Data Entry'!$¬$334), "", 'Data Entry'!$¬$334)</f>
      </c>
      <c r="DE334">
        <f>IF(ISBLANK('Data Entry'!$­$334), "", 'Data Entry'!$­$334)</f>
      </c>
      <c r="DF334">
        <f>IF(ISBLANK('Data Entry'!$®$334), "", 'Data Entry'!$®$334)</f>
      </c>
      <c r="DG334">
        <f>IF(ISBLANK('Data Entry'!$¯$334), "", 'Data Entry'!$¯$334)</f>
      </c>
      <c r="DH334">
        <f>IF(ISBLANK('Data Entry'!$°$334), "", 'Data Entry'!$°$334)</f>
      </c>
      <c r="DI334">
        <f>IF(ISBLANK('Data Entry'!$±$334), "", 'Data Entry'!$±$334)</f>
      </c>
      <c r="DJ334">
        <f>IF(ISBLANK('Data Entry'!$²$334), "", 'Data Entry'!$²$334)</f>
      </c>
      <c r="DK334">
        <f>IF(ISBLANK('Data Entry'!$³$334), "", 'Data Entry'!$³$334)</f>
      </c>
      <c r="DL334">
        <f>IF(ISBLANK('Data Entry'!$´$334), "", 'Data Entry'!$´$334)</f>
      </c>
      <c r="DM334">
        <f>IF(ISBLANK('Data Entry'!$µ$334), "", 'Data Entry'!$µ$334)</f>
      </c>
      <c r="DN334">
        <f>IF(ISBLANK('Data Entry'!$¶$334), "", 'Data Entry'!$¶$334)</f>
      </c>
      <c r="DO334">
        <f>IF(ISBLANK('Data Entry'!$·$334), "", 'Data Entry'!$·$334)</f>
      </c>
      <c r="DP334">
        <f>IF(ISBLANK('Data Entry'!$¸$334), "", 'Data Entry'!$¸$334)</f>
      </c>
      <c r="DQ334">
        <f>IF(ISBLANK('Data Entry'!$¹$334), "", 'Data Entry'!$¹$334)</f>
      </c>
      <c r="DR334">
        <f>IF(ISBLANK('Data Entry'!$º$334), "", 'Data Entry'!$º$334)</f>
      </c>
      <c r="DS334">
        <f>IF(ISBLANK('Data Entry'!$»$334), "", 'Data Entry'!$»$334)</f>
      </c>
      <c r="DT334">
        <f>IF(ISBLANK('Data Entry'!$¼$334), "", 'Data Entry'!$¼$334)</f>
      </c>
      <c r="DU334">
        <f>IF(ISBLANK('Data Entry'!$½$334), "", 'Data Entry'!$½$334)</f>
      </c>
      <c r="DV334">
        <f>IF(ISBLANK('Data Entry'!$¾$334), "", 'Data Entry'!$¾$334)</f>
      </c>
      <c r="DW334">
        <f>IF(ISBLANK('Data Entry'!$¿$334), "", 'Data Entry'!$¿$334)</f>
      </c>
      <c r="DX334">
        <f>IF(ISBLANK('Data Entry'!$À$334), "", 'Data Entry'!$À$334)</f>
      </c>
      <c r="DY334">
        <f>IF(ISBLANK('Data Entry'!$Á$334), "", 'Data Entry'!$Á$334)</f>
      </c>
      <c r="DZ334">
        <f>IF(ISBLANK('Data Entry'!$Â$334), "", 'Data Entry'!$Â$334)</f>
      </c>
      <c r="EA334">
        <f>IF(ISBLANK('Data Entry'!$Ã$334), "", 'Data Entry'!$Ã$334)</f>
      </c>
      <c r="EB334">
        <f>IF(ISBLANK('Data Entry'!$Ä$334), "", 'Data Entry'!$Ä$334)</f>
      </c>
      <c r="EC334">
        <f>IF(ISBLANK('Data Entry'!$Å$334), "", 'Data Entry'!$Å$334)</f>
      </c>
      <c r="ED334">
        <f>IF(ISBLANK('Data Entry'!$Æ$334), "", 'Data Entry'!$Æ$334)</f>
      </c>
      <c r="EE334">
        <f>IF(ISBLANK('Data Entry'!$Ç$334), "", 'Data Entry'!$Ç$334)</f>
      </c>
      <c r="EF334">
        <f>IF(ISBLANK('Data Entry'!$È$334), "", 'Data Entry'!$È$334)</f>
      </c>
      <c r="EG334">
        <f>IF(ISBLANK('Data Entry'!$É$334), "", 'Data Entry'!$É$334)</f>
      </c>
      <c r="EH334">
        <f>IF(ISBLANK('Data Entry'!$Ê$334), "", 'Data Entry'!$Ê$334)</f>
      </c>
      <c r="EI334">
        <f>IF(ISBLANK('Data Entry'!$Ë$334), "", 'Data Entry'!$Ë$334)</f>
      </c>
      <c r="EJ334">
        <f>IF(ISBLANK('Data Entry'!$Ì$334), "", 'Data Entry'!$Ì$334)</f>
      </c>
      <c r="EK334">
        <f>IF(ISBLANK('Data Entry'!$Í$334), "", 'Data Entry'!$Í$334)</f>
      </c>
      <c r="EL334">
        <f>IF(ISBLANK('Data Entry'!$Î$334), "", 'Data Entry'!$Î$334)</f>
      </c>
      <c r="EM334">
        <f>IF(ISBLANK('Data Entry'!$Ï$334), "", 'Data Entry'!$Ï$334)</f>
      </c>
      <c r="EN334">
        <f>IF(ISBLANK('Data Entry'!$Ð$334), "", 'Data Entry'!$Ð$334)</f>
      </c>
      <c r="EO334">
        <f>IF(ISBLANK('Data Entry'!$Ñ$334), "", 'Data Entry'!$Ñ$334)</f>
      </c>
      <c r="EP334">
        <f>IF(ISBLANK('Data Entry'!$Ò$334), "", 'Data Entry'!$Ò$334)</f>
      </c>
      <c r="EQ334">
        <f>IF(ISBLANK('Data Entry'!$Ó$334), "", 'Data Entry'!$Ó$334)</f>
      </c>
      <c r="ER334">
        <f>IF(ISBLANK('Data Entry'!$Ô$334), "", 'Data Entry'!$Ô$334)</f>
      </c>
      <c r="ES334">
        <f>IF(ISBLANK('Data Entry'!$Õ$334), "", 'Data Entry'!$Õ$334)</f>
      </c>
      <c r="ET334">
        <f>IF(ISBLANK('Data Entry'!$Ö$334), "", 'Data Entry'!$Ö$334)</f>
      </c>
      <c r="EU334">
        <f>IF(ISBLANK('Data Entry'!$×$334), "", 'Data Entry'!$×$334)</f>
      </c>
      <c r="EV334">
        <f>IF(ISBLANK('Data Entry'!$Ø$334), "", 'Data Entry'!$Ø$334)</f>
      </c>
      <c r="EW334">
        <f>IF(ISBLANK('Data Entry'!$Ù$334), "", 'Data Entry'!$Ù$334)</f>
      </c>
      <c r="EX334">
        <f>IF(ISBLANK('Data Entry'!$Ú$334), "", 'Data Entry'!$Ú$334)</f>
      </c>
      <c r="EY334">
        <f>IF(ISBLANK('Data Entry'!$Û$334), "", 'Data Entry'!$Û$334)</f>
      </c>
      <c r="EZ334">
        <f>IF(ISBLANK('Data Entry'!$Ü$334), "", 'Data Entry'!$Ü$334)</f>
      </c>
      <c r="FA334">
        <f>IF(ISBLANK('Data Entry'!$Ý$334), "", 'Data Entry'!$Ý$334)</f>
      </c>
      <c r="FB334">
        <f>IF(ISBLANK('Data Entry'!$Þ$334), "", 'Data Entry'!$Þ$334)</f>
      </c>
      <c r="FC334">
        <f>IF(ISBLANK('Data Entry'!$ß$334), "", 'Data Entry'!$ß$334)</f>
      </c>
      <c r="FD334">
        <f>IF(ISBLANK('Data Entry'!$à$334), "", 'Data Entry'!$à$334)</f>
      </c>
      <c r="FE334">
        <f>IF(ISBLANK('Data Entry'!$á$334), "", 'Data Entry'!$á$334)</f>
      </c>
      <c r="FF334">
        <f>IF(ISBLANK('Data Entry'!$â$334), "", 'Data Entry'!$â$334)</f>
      </c>
      <c r="FG334">
        <f>IF(ISBLANK('Data Entry'!$ã$334), "", 'Data Entry'!$ã$334)</f>
      </c>
      <c r="FH334">
        <f>IF(ISBLANK('Data Entry'!$ä$334), "", 'Data Entry'!$ä$334)</f>
      </c>
      <c r="FI334">
        <f>IF(ISBLANK('Data Entry'!$å$334), "", 'Data Entry'!$å$334)</f>
      </c>
      <c r="FJ334">
        <f>IF(ISBLANK('Data Entry'!$æ$334), "", 'Data Entry'!$æ$334)</f>
      </c>
      <c r="FK334">
        <f>IF(ISBLANK('Data Entry'!$ç$334), "", 'Data Entry'!$ç$334)</f>
      </c>
      <c r="FL334">
        <f>IF(ISBLANK('Data Entry'!$è$334), "", 'Data Entry'!$è$334)</f>
      </c>
      <c r="FM334">
        <f>IF(ISBLANK('Data Entry'!$é$334), "", 'Data Entry'!$é$334)</f>
      </c>
      <c r="FN334">
        <f>IF(ISBLANK('Data Entry'!$ê$334), "", 'Data Entry'!$ê$334)</f>
      </c>
      <c r="FO334">
        <f>IF(ISBLANK('Data Entry'!$ë$334), "", 'Data Entry'!$ë$334)</f>
      </c>
      <c r="FP334">
        <f>IF(ISBLANK('Data Entry'!$ì$334), "", 'Data Entry'!$ì$334)</f>
      </c>
      <c r="FQ334">
        <f>IF(ISBLANK('Data Entry'!$í$334), "", 'Data Entry'!$í$334)</f>
      </c>
      <c r="FR334">
        <f>IF(ISBLANK('Data Entry'!$î$334), "", 'Data Entry'!$î$334)</f>
      </c>
      <c r="FS334">
        <f>IF(ISBLANK('Data Entry'!$ï$334), "", 'Data Entry'!$ï$334)</f>
      </c>
      <c r="FT334">
        <f>IF(ISBLANK('Data Entry'!$ð$334), "", 'Data Entry'!$ð$334)</f>
      </c>
      <c r="FU334">
        <f>IF(ISBLANK('Data Entry'!$ñ$334), "", 'Data Entry'!$ñ$334)</f>
      </c>
      <c r="FV334">
        <f>IF(ISBLANK('Data Entry'!$ò$334), "", 'Data Entry'!$ò$334)</f>
      </c>
      <c r="FW334">
        <f>IF(ISBLANK('Data Entry'!$ó$334), "", 'Data Entry'!$ó$334)</f>
      </c>
      <c r="FX334">
        <f>IF(ISBLANK('Data Entry'!$ô$334), "", 'Data Entry'!$ô$334)</f>
      </c>
      <c r="FY334">
        <f>IF(ISBLANK('Data Entry'!$õ$334), "", 'Data Entry'!$õ$334)</f>
      </c>
      <c r="FZ334">
        <f>IF(ISBLANK('Data Entry'!$ö$334), "", 'Data Entry'!$ö$334)</f>
      </c>
      <c r="GA334">
        <f>IF(ISBLANK('Data Entry'!$÷$334), "", 'Data Entry'!$÷$334)</f>
      </c>
      <c r="GB334">
        <f>IF(ISBLANK('Data Entry'!$ø$334), "", 'Data Entry'!$ø$334)</f>
      </c>
      <c r="GC334">
        <f>IF(ISBLANK('Data Entry'!$ù$334), "", 'Data Entry'!$ù$334)</f>
      </c>
      <c r="GD334">
        <f>IF(ISBLANK('Data Entry'!$ú$334), "", 'Data Entry'!$ú$334)</f>
      </c>
      <c r="GE334">
        <f>IF(ISBLANK('Data Entry'!$û$334), "", 'Data Entry'!$û$334)</f>
      </c>
      <c r="GF334">
        <f>IF(ISBLANK('Data Entry'!$ü$334), "", 'Data Entry'!$ü$334)</f>
      </c>
      <c r="GG334">
        <f>IF(ISBLANK('Data Entry'!$ý$334), "", 'Data Entry'!$ý$334)</f>
      </c>
      <c r="GH334">
        <f>IF(ISBLANK('Data Entry'!$þ$334), "", 'Data Entry'!$þ$334)</f>
      </c>
      <c r="GI334">
        <f>IF(ISBLANK('Data Entry'!$ÿ$334), "", 'Data Entry'!$ÿ$334)</f>
      </c>
      <c r="GJ334">
        <f>IF(ISBLANK('Data Entry'!$Ā$334), "", 'Data Entry'!$Ā$334)</f>
      </c>
      <c r="GK334">
        <f>IF(ISBLANK('Data Entry'!$ā$334), "", 'Data Entry'!$ā$334)</f>
      </c>
      <c r="GL334">
        <f>IF(ISBLANK('Data Entry'!$Ă$334), "", 'Data Entry'!$Ă$334)</f>
      </c>
      <c r="GM334">
        <f>IF(ISBLANK('Data Entry'!$ă$334), "", 'Data Entry'!$ă$334)</f>
      </c>
      <c r="GN334">
        <f>IF(ISBLANK('Data Entry'!$Ą$334), "", 'Data Entry'!$Ą$334)</f>
      </c>
      <c r="GO334">
        <f>IF(ISBLANK('Data Entry'!$ą$334), "", 'Data Entry'!$ą$334)</f>
      </c>
      <c r="GP334">
        <f>IF(ISBLANK('Data Entry'!$Ć$334), "", 'Data Entry'!$Ć$334)</f>
      </c>
      <c r="GQ334">
        <f>IF(ISBLANK('Data Entry'!$ć$334), "", 'Data Entry'!$ć$334)</f>
      </c>
      <c r="GR334">
        <f>IF(ISBLANK('Data Entry'!$Ĉ$334), "", 'Data Entry'!$Ĉ$334)</f>
      </c>
      <c r="GS334">
        <f>IF(ISBLANK('Data Entry'!$ĉ$334), "", 'Data Entry'!$ĉ$334)</f>
      </c>
      <c r="GT334">
        <f>IF(ISBLANK('Data Entry'!$Ċ$334), "", 'Data Entry'!$Ċ$334)</f>
      </c>
      <c r="GU334">
        <f>IF(ISBLANK('Data Entry'!$ċ$334), "", 'Data Entry'!$ċ$334)</f>
      </c>
      <c r="GV334">
        <f>IF(ISBLANK('Data Entry'!$Č$334), "", 'Data Entry'!$Č$334)</f>
      </c>
      <c r="GW334">
        <f>IF(ISBLANK('Data Entry'!$č$334), "", 'Data Entry'!$č$334)</f>
      </c>
      <c r="GX334">
        <f>IF(ISBLANK('Data Entry'!$Ď$334), "", 'Data Entry'!$Ď$334)</f>
      </c>
      <c r="GY334">
        <f>IF(ISBLANK('Data Entry'!$ď$334), "", 'Data Entry'!$ď$334)</f>
      </c>
      <c r="GZ334">
        <f>IF(ISBLANK('Data Entry'!$Đ$334), "", 'Data Entry'!$Đ$334)</f>
      </c>
      <c r="HA334">
        <f>IF(ISBLANK('Data Entry'!$đ$334), "", 'Data Entry'!$đ$334)</f>
      </c>
      <c r="HB334">
        <f>IF(ISBLANK('Data Entry'!$Ē$334), "", 'Data Entry'!$Ē$334)</f>
      </c>
      <c r="HC334">
        <f>IF(ISBLANK('Data Entry'!$ē$334), "", 'Data Entry'!$ē$334)</f>
      </c>
      <c r="HD334">
        <f>IF(ISBLANK('Data Entry'!$Ĕ$334), "", 'Data Entry'!$Ĕ$334)</f>
      </c>
      <c r="HE334">
        <f>IF(ISBLANK('Data Entry'!$ĕ$334), "", 'Data Entry'!$ĕ$334)</f>
      </c>
      <c r="HF334">
        <f>IF(ISBLANK('Data Entry'!$Ė$334), "", 'Data Entry'!$Ė$334)</f>
      </c>
      <c r="HG334">
        <f>IF(ISBLANK('Data Entry'!$ė$334), "", 'Data Entry'!$ė$334)</f>
      </c>
      <c r="HH334">
        <f>IF(ISBLANK('Data Entry'!$Ę$334), "", 'Data Entry'!$Ę$334)</f>
      </c>
      <c r="HI334">
        <f>IF(ISBLANK('Data Entry'!$ę$334), "", 'Data Entry'!$ę$334)</f>
      </c>
      <c r="HJ334">
        <f>IF(ISBLANK('Data Entry'!$Ě$334), "", 'Data Entry'!$Ě$334)</f>
      </c>
      <c r="HK334">
        <f>IF(ISBLANK('Data Entry'!$ě$334), "", 'Data Entry'!$ě$334)</f>
      </c>
      <c r="HL334">
        <f>IF(ISBLANK('Data Entry'!$Ĝ$334), "", 'Data Entry'!$Ĝ$334)</f>
      </c>
      <c r="HM334">
        <f>IF(ISBLANK('Data Entry'!$ĝ$334), "", 'Data Entry'!$ĝ$334)</f>
      </c>
      <c r="HN334">
        <f>IF(ISBLANK('Data Entry'!$Ğ$334), "", 'Data Entry'!$Ğ$334)</f>
      </c>
      <c r="HO334">
        <f>IF(ISBLANK('Data Entry'!$ğ$334), "", 'Data Entry'!$ğ$334)</f>
      </c>
      <c r="HP334">
        <f>IF(ISBLANK('Data Entry'!$Ġ$334), "", 'Data Entry'!$Ġ$334)</f>
      </c>
      <c r="HQ334">
        <f>IF(ISBLANK('Data Entry'!$ġ$334), "", 'Data Entry'!$ġ$334)</f>
      </c>
      <c r="HR334">
        <f>IF(ISBLANK('Data Entry'!$Ģ$334), "", 'Data Entry'!$Ģ$334)</f>
      </c>
      <c r="HS334">
        <f>IF(ISBLANK('Data Entry'!$ģ$334), "", 'Data Entry'!$ģ$334)</f>
      </c>
      <c r="HT334">
        <f>IF(ISBLANK('Data Entry'!$Ĥ$334), "", 'Data Entry'!$Ĥ$334)</f>
      </c>
      <c r="HU334">
        <f>IF(ISBLANK('Data Entry'!$ĥ$334), "", 'Data Entry'!$ĥ$334)</f>
      </c>
      <c r="HV334">
        <f>IF(ISBLANK('Data Entry'!$Ħ$334), "", 'Data Entry'!$Ħ$334)</f>
      </c>
      <c r="HW334">
        <f>IF(ISBLANK('Data Entry'!$ħ$334), "", 'Data Entry'!$ħ$334)</f>
      </c>
      <c r="HX334">
        <f>IF(ISBLANK('Data Entry'!$Ĩ$334), "", 'Data Entry'!$Ĩ$334)</f>
      </c>
      <c r="HY334">
        <f>IF(ISBLANK('Data Entry'!$ĩ$334), "", 'Data Entry'!$ĩ$334)</f>
      </c>
      <c r="HZ334">
        <f>IF(ISBLANK('Data Entry'!$Ī$334), "", 'Data Entry'!$Ī$334)</f>
      </c>
      <c r="IA334">
        <f>IF(ISBLANK('Data Entry'!$ī$334), "", 'Data Entry'!$ī$334)</f>
      </c>
      <c r="IB334">
        <f>IF(ISBLANK('Data Entry'!$Ĭ$334), "", 'Data Entry'!$Ĭ$334)</f>
      </c>
      <c r="IC334">
        <f>IF(ISBLANK('Data Entry'!$ĭ$334), "", 'Data Entry'!$ĭ$334)</f>
      </c>
      <c r="ID334">
        <f>IF(ISBLANK('Data Entry'!$Į$334), "", 'Data Entry'!$Į$334)</f>
      </c>
      <c r="IE334">
        <f>IF(ISBLANK('Data Entry'!$į$334), "", 'Data Entry'!$į$334)</f>
      </c>
      <c r="IF334">
        <f>IF(ISBLANK('Data Entry'!$İ$334), "", 'Data Entry'!$İ$334)</f>
      </c>
      <c r="IG334">
        <f>IF(ISBLANK('Data Entry'!$ı$334), "", 'Data Entry'!$ı$334)</f>
      </c>
      <c r="IH334">
        <f>IF(ISBLANK('Data Entry'!$Ĳ$334), "", 'Data Entry'!$Ĳ$334)</f>
      </c>
      <c r="II334">
        <f>IF(ISBLANK('Data Entry'!$ĳ$334), "", 'Data Entry'!$ĳ$334)</f>
      </c>
      <c r="IJ334">
        <f>IF(ISBLANK('Data Entry'!$Ĵ$334), "", 'Data Entry'!$Ĵ$334)</f>
      </c>
      <c r="IK334">
        <f>IF(ISBLANK('Data Entry'!$ĵ$334), "", 'Data Entry'!$ĵ$334)</f>
      </c>
      <c r="IL334">
        <f>IF(ISBLANK('Data Entry'!$Ķ$334), "", 'Data Entry'!$Ķ$334)</f>
      </c>
      <c r="IM334">
        <f>IF(ISBLANK('Data Entry'!$ķ$334), "", 'Data Entry'!$ķ$334)</f>
      </c>
      <c r="IN334">
        <f>IF(ISBLANK('Data Entry'!$ĸ$334), "", 'Data Entry'!$ĸ$334)</f>
      </c>
      <c r="IO334">
        <f>IF(ISBLANK('Data Entry'!$Ĺ$334), "", 'Data Entry'!$Ĺ$334)</f>
      </c>
      <c r="IP334">
        <f>IF(ISBLANK('Data Entry'!$ĺ$334), "", 'Data Entry'!$ĺ$334)</f>
      </c>
      <c r="IQ334">
        <f>IF(ISBLANK('Data Entry'!$Ļ$334), "", 'Data Entry'!$Ļ$334)</f>
      </c>
      <c r="IR334">
        <f>IF(ISBLANK('Data Entry'!$ļ$334), "", 'Data Entry'!$ļ$334)</f>
      </c>
      <c r="IS334">
        <f>IF(ISBLANK('Data Entry'!$Ľ$334), "", 'Data Entry'!$Ľ$334)</f>
      </c>
      <c r="IT334">
        <f>IF(ISBLANK('Data Entry'!$ľ$334), "", 'Data Entry'!$ľ$334)</f>
      </c>
    </row>
    <row r="335" spans="1:254" x14ac:dyDescent="0.25">
      <c r="A335">
        <f>IF(ISBLANK('Data Entry'!$A$335), "", 'Data Entry'!$A$335)</f>
      </c>
      <c r="B335">
        <f>IF(ISBLANK('Data Entry'!$B$335), "", 'Data Entry'!$B$335)</f>
      </c>
      <c r="C335">
        <f>IF(ISBLANK('Data Entry'!$C$335), "", 'Data Entry'!$C$335)</f>
      </c>
      <c r="D335">
        <f>IF(ISBLANK('Data Entry'!$D$335), "", 'Data Entry'!$D$335)</f>
      </c>
      <c r="E335">
        <f>IF(ISBLANK('Data Entry'!$E$335), "", 'Data Entry'!$E$335)</f>
      </c>
      <c r="F335">
        <f>IF(ISBLANK('Data Entry'!$F$335), "", 'Data Entry'!$F$335)</f>
      </c>
      <c r="G335">
        <f>IF(ISBLANK('Data Entry'!$G$335), "", 'Data Entry'!$G$335)</f>
      </c>
      <c r="H335">
        <f>IF(ISBLANK('Data Entry'!$H$335), "", 'Data Entry'!$H$335)</f>
      </c>
      <c r="I335">
        <f>IF(ISBLANK('Data Entry'!$I$335), "", 'Data Entry'!$I$335)</f>
      </c>
      <c r="J335">
        <f>IF(ISBLANK('Data Entry'!$J$335), "", 'Data Entry'!$J$335)</f>
      </c>
      <c r="K335">
        <f>IF(ISBLANK('Data Entry'!$K$335), "", 'Data Entry'!$K$335)</f>
      </c>
      <c r="L335">
        <f>IF(ISBLANK('Data Entry'!$L$335), "", 'Data Entry'!$L$335)</f>
      </c>
      <c r="M335">
        <f>IF(ISBLANK('Data Entry'!$M$335), "", 'Data Entry'!$M$335)</f>
      </c>
      <c r="N335">
        <f>IF(ISBLANK('Data Entry'!$N$335), "", 'Data Entry'!$N$335)</f>
      </c>
      <c r="O335">
        <f>IF(ISBLANK('Data Entry'!$O$335), "", 'Data Entry'!$O$335)</f>
      </c>
      <c r="P335">
        <f>IF(ISBLANK('Data Entry'!$P$335), "", 'Data Entry'!$P$335)</f>
      </c>
      <c r="Q335">
        <f>IF(ISBLANK('Data Entry'!$Q$335), "", 'Data Entry'!$Q$335)</f>
      </c>
      <c r="R335">
        <f>IF(ISBLANK('Data Entry'!$R$335), "", 'Data Entry'!$R$335)</f>
      </c>
      <c r="S335">
        <f>IF(ISBLANK('Data Entry'!$S$335), "", 'Data Entry'!$S$335)</f>
      </c>
      <c r="T335">
        <f>IF(ISBLANK('Data Entry'!$T$335), "", 'Data Entry'!$T$335)</f>
      </c>
      <c r="U335">
        <f>IF(ISBLANK('Data Entry'!$U$335), "", 'Data Entry'!$U$335)</f>
      </c>
      <c r="V335">
        <f>IF(ISBLANK('Data Entry'!$V$335), "", 'Data Entry'!$V$335)</f>
      </c>
      <c r="W335">
        <f>IF(ISBLANK('Data Entry'!$W$335), "", 'Data Entry'!$W$335)</f>
      </c>
      <c r="X335">
        <f>IF(ISBLANK('Data Entry'!$X$335), "", 'Data Entry'!$X$335)</f>
      </c>
      <c r="Y335">
        <f>IF(ISBLANK('Data Entry'!$Y$335), "", 'Data Entry'!$Y$335)</f>
      </c>
      <c r="Z335">
        <f>IF(ISBLANK('Data Entry'!$Z$335), "", 'Data Entry'!$Z$335)</f>
      </c>
      <c r="AA335">
        <f>IF(ISBLANK('Data Entry'!$[$335), "", 'Data Entry'!$[$335)</f>
      </c>
      <c r="AB335">
        <f>IF(ISBLANK('Data Entry'!$\$335), "", 'Data Entry'!$\$335)</f>
      </c>
      <c r="AC335">
        <f>IF(ISBLANK('Data Entry'!$]$335), "", 'Data Entry'!$]$335)</f>
      </c>
      <c r="AD335">
        <f>IF(ISBLANK('Data Entry'!$^$335), "", 'Data Entry'!$^$335)</f>
      </c>
      <c r="AE335">
        <f>IF(ISBLANK('Data Entry'!$_$335), "", 'Data Entry'!$_$335)</f>
      </c>
      <c r="AF335">
        <f>IF(ISBLANK('Data Entry'!$`$335), "", 'Data Entry'!$`$335)</f>
      </c>
      <c r="AG335">
        <f>IF(ISBLANK('Data Entry'!$a$335), "", 'Data Entry'!$a$335)</f>
      </c>
      <c r="AH335">
        <f>IF(ISBLANK('Data Entry'!$b$335), "", 'Data Entry'!$b$335)</f>
      </c>
      <c r="AI335">
        <f>IF(ISBLANK('Data Entry'!$c$335), "", 'Data Entry'!$c$335)</f>
      </c>
      <c r="AJ335">
        <f>IF(ISBLANK('Data Entry'!$d$335), "", 'Data Entry'!$d$335)</f>
      </c>
      <c r="AK335">
        <f>IF(ISBLANK('Data Entry'!$e$335), "", 'Data Entry'!$e$335)</f>
      </c>
      <c r="AL335">
        <f>IF(ISBLANK('Data Entry'!$f$335), "", 'Data Entry'!$f$335)</f>
      </c>
      <c r="AM335">
        <f>IF(ISBLANK('Data Entry'!$g$335), "", 'Data Entry'!$g$335)</f>
      </c>
      <c r="AN335">
        <f>IF(ISBLANK('Data Entry'!$h$335), "", 'Data Entry'!$h$335)</f>
      </c>
      <c r="AO335">
        <f>IF(ISBLANK('Data Entry'!$i$335), "", 'Data Entry'!$i$335)</f>
      </c>
      <c r="AP335">
        <f>IF(ISBLANK('Data Entry'!$j$335), "", 'Data Entry'!$j$335)</f>
      </c>
      <c r="AQ335">
        <f>IF(ISBLANK('Data Entry'!$k$335), "", 'Data Entry'!$k$335)</f>
      </c>
      <c r="AR335">
        <f>IF(ISBLANK('Data Entry'!$l$335), "", 'Data Entry'!$l$335)</f>
      </c>
      <c r="AS335">
        <f>IF(ISBLANK('Data Entry'!$m$335), "", 'Data Entry'!$m$335)</f>
      </c>
      <c r="AT335">
        <f>IF(ISBLANK('Data Entry'!$n$335), "", 'Data Entry'!$n$335)</f>
      </c>
      <c r="AU335">
        <f>IF(ISBLANK('Data Entry'!$o$335), "", 'Data Entry'!$o$335)</f>
      </c>
      <c r="AV335">
        <f>IF(ISBLANK('Data Entry'!$p$335), "", 'Data Entry'!$p$335)</f>
      </c>
      <c r="AW335">
        <f>IF(ISBLANK('Data Entry'!$q$335), "", 'Data Entry'!$q$335)</f>
      </c>
      <c r="AX335">
        <f>IF(ISBLANK('Data Entry'!$r$335), "", 'Data Entry'!$r$335)</f>
      </c>
      <c r="AY335">
        <f>IF(ISBLANK('Data Entry'!$s$335), "", 'Data Entry'!$s$335)</f>
      </c>
      <c r="AZ335">
        <f>IF(ISBLANK('Data Entry'!$t$335), "", 'Data Entry'!$t$335)</f>
      </c>
      <c r="BA335">
        <f>IF(ISBLANK('Data Entry'!$u$335), "", 'Data Entry'!$u$335)</f>
      </c>
      <c r="BB335">
        <f>IF(ISBLANK('Data Entry'!$v$335), "", 'Data Entry'!$v$335)</f>
      </c>
      <c r="BC335">
        <f>IF(ISBLANK('Data Entry'!$w$335), "", 'Data Entry'!$w$335)</f>
      </c>
      <c r="BD335">
        <f>IF(ISBLANK('Data Entry'!$x$335), "", 'Data Entry'!$x$335)</f>
      </c>
      <c r="BE335">
        <f>IF(ISBLANK('Data Entry'!$y$335), "", 'Data Entry'!$y$335)</f>
      </c>
      <c r="BF335">
        <f>IF(ISBLANK('Data Entry'!$z$335), "", 'Data Entry'!$z$335)</f>
      </c>
      <c r="BG335">
        <f>IF(ISBLANK('Data Entry'!${$335), "", 'Data Entry'!${$335)</f>
      </c>
      <c r="BH335">
        <f>IF(ISBLANK('Data Entry'!$|$335), "", 'Data Entry'!$|$335)</f>
      </c>
      <c r="BI335">
        <f>IF(ISBLANK('Data Entry'!$}$335), "", 'Data Entry'!$}$335)</f>
      </c>
      <c r="BJ335">
        <f>IF(ISBLANK('Data Entry'!$~$335), "", 'Data Entry'!$~$335)</f>
      </c>
      <c r="BK335">
        <f>IF(ISBLANK('Data Entry'!$$335), "", 'Data Entry'!$$335)</f>
      </c>
      <c r="BL335">
        <f>IF(ISBLANK('Data Entry'!$$335), "", 'Data Entry'!$$335)</f>
      </c>
      <c r="BM335">
        <f>IF(ISBLANK('Data Entry'!$$335), "", 'Data Entry'!$$335)</f>
      </c>
      <c r="BN335">
        <f>IF(ISBLANK('Data Entry'!$$335), "", 'Data Entry'!$$335)</f>
      </c>
      <c r="BO335">
        <f>IF(ISBLANK('Data Entry'!$$335), "", 'Data Entry'!$$335)</f>
      </c>
      <c r="BP335">
        <f>IF(ISBLANK('Data Entry'!$$335), "", 'Data Entry'!$$335)</f>
      </c>
      <c r="BQ335">
        <f>IF(ISBLANK('Data Entry'!$$335), "", 'Data Entry'!$$335)</f>
      </c>
      <c r="BR335">
        <f>IF(ISBLANK('Data Entry'!$$335), "", 'Data Entry'!$$335)</f>
      </c>
      <c r="BS335">
        <f>IF(ISBLANK('Data Entry'!$$335), "", 'Data Entry'!$$335)</f>
      </c>
      <c r="BT335">
        <f>IF(ISBLANK('Data Entry'!$$335), "", 'Data Entry'!$$335)</f>
      </c>
      <c r="BU335">
        <f>IF(ISBLANK('Data Entry'!$$335), "", 'Data Entry'!$$335)</f>
      </c>
      <c r="BV335">
        <f>IF(ISBLANK('Data Entry'!$$335), "", 'Data Entry'!$$335)</f>
      </c>
      <c r="BW335">
        <f>IF(ISBLANK('Data Entry'!$$335), "", 'Data Entry'!$$335)</f>
      </c>
      <c r="BX335">
        <f>IF(ISBLANK('Data Entry'!$$335), "", 'Data Entry'!$$335)</f>
      </c>
      <c r="BY335">
        <f>IF(ISBLANK('Data Entry'!$$335), "", 'Data Entry'!$$335)</f>
      </c>
      <c r="BZ335">
        <f>IF(ISBLANK('Data Entry'!$$335), "", 'Data Entry'!$$335)</f>
      </c>
      <c r="CA335">
        <f>IF(ISBLANK('Data Entry'!$$335), "", 'Data Entry'!$$335)</f>
      </c>
      <c r="CB335">
        <f>IF(ISBLANK('Data Entry'!$$335), "", 'Data Entry'!$$335)</f>
      </c>
      <c r="CC335">
        <f>IF(ISBLANK('Data Entry'!$$335), "", 'Data Entry'!$$335)</f>
      </c>
      <c r="CD335">
        <f>IF(ISBLANK('Data Entry'!$$335), "", 'Data Entry'!$$335)</f>
      </c>
      <c r="CE335">
        <f>IF(ISBLANK('Data Entry'!$$335), "", 'Data Entry'!$$335)</f>
      </c>
      <c r="CF335">
        <f>IF(ISBLANK('Data Entry'!$$335), "", 'Data Entry'!$$335)</f>
      </c>
      <c r="CG335">
        <f>IF(ISBLANK('Data Entry'!$$335), "", 'Data Entry'!$$335)</f>
      </c>
      <c r="CH335">
        <f>IF(ISBLANK('Data Entry'!$$335), "", 'Data Entry'!$$335)</f>
      </c>
      <c r="CI335">
        <f>IF(ISBLANK('Data Entry'!$$335), "", 'Data Entry'!$$335)</f>
      </c>
      <c r="CJ335">
        <f>IF(ISBLANK('Data Entry'!$$335), "", 'Data Entry'!$$335)</f>
      </c>
      <c r="CK335">
        <f>IF(ISBLANK('Data Entry'!$$335), "", 'Data Entry'!$$335)</f>
      </c>
      <c r="CL335">
        <f>IF(ISBLANK('Data Entry'!$$335), "", 'Data Entry'!$$335)</f>
      </c>
      <c r="CM335">
        <f>IF(ISBLANK('Data Entry'!$$335), "", 'Data Entry'!$$335)</f>
      </c>
      <c r="CN335">
        <f>IF(ISBLANK('Data Entry'!$$335), "", 'Data Entry'!$$335)</f>
      </c>
      <c r="CO335">
        <f>IF(ISBLANK('Data Entry'!$$335), "", 'Data Entry'!$$335)</f>
      </c>
      <c r="CP335">
        <f>IF(ISBLANK('Data Entry'!$$335), "", 'Data Entry'!$$335)</f>
      </c>
      <c r="CQ335">
        <f>IF(ISBLANK('Data Entry'!$$335), "", 'Data Entry'!$$335)</f>
      </c>
      <c r="CR335">
        <f>IF(ISBLANK('Data Entry'!$ $335), "", 'Data Entry'!$ $335)</f>
      </c>
      <c r="CS335">
        <f>IF(ISBLANK('Data Entry'!$¡$335), "", 'Data Entry'!$¡$335)</f>
      </c>
      <c r="CT335">
        <f>IF(ISBLANK('Data Entry'!$¢$335), "", 'Data Entry'!$¢$335)</f>
      </c>
      <c r="CU335">
        <f>IF(ISBLANK('Data Entry'!$£$335), "", 'Data Entry'!$£$335)</f>
      </c>
      <c r="CV335">
        <f>IF(ISBLANK('Data Entry'!$¤$335), "", 'Data Entry'!$¤$335)</f>
      </c>
      <c r="CW335">
        <f>IF(ISBLANK('Data Entry'!$¥$335), "", 'Data Entry'!$¥$335)</f>
      </c>
      <c r="CX335">
        <f>IF(ISBLANK('Data Entry'!$¦$335), "", 'Data Entry'!$¦$335)</f>
      </c>
      <c r="CY335">
        <f>IF(ISBLANK('Data Entry'!$§$335), "", 'Data Entry'!$§$335)</f>
      </c>
      <c r="CZ335">
        <f>IF(ISBLANK('Data Entry'!$¨$335), "", 'Data Entry'!$¨$335)</f>
      </c>
      <c r="DA335">
        <f>IF(ISBLANK('Data Entry'!$©$335), "", 'Data Entry'!$©$335)</f>
      </c>
      <c r="DB335">
        <f>IF(ISBLANK('Data Entry'!$ª$335), "", 'Data Entry'!$ª$335)</f>
      </c>
      <c r="DC335">
        <f>IF(ISBLANK('Data Entry'!$«$335), "", 'Data Entry'!$«$335)</f>
      </c>
      <c r="DD335">
        <f>IF(ISBLANK('Data Entry'!$¬$335), "", 'Data Entry'!$¬$335)</f>
      </c>
      <c r="DE335">
        <f>IF(ISBLANK('Data Entry'!$­$335), "", 'Data Entry'!$­$335)</f>
      </c>
      <c r="DF335">
        <f>IF(ISBLANK('Data Entry'!$®$335), "", 'Data Entry'!$®$335)</f>
      </c>
      <c r="DG335">
        <f>IF(ISBLANK('Data Entry'!$¯$335), "", 'Data Entry'!$¯$335)</f>
      </c>
      <c r="DH335">
        <f>IF(ISBLANK('Data Entry'!$°$335), "", 'Data Entry'!$°$335)</f>
      </c>
      <c r="DI335">
        <f>IF(ISBLANK('Data Entry'!$±$335), "", 'Data Entry'!$±$335)</f>
      </c>
      <c r="DJ335">
        <f>IF(ISBLANK('Data Entry'!$²$335), "", 'Data Entry'!$²$335)</f>
      </c>
      <c r="DK335">
        <f>IF(ISBLANK('Data Entry'!$³$335), "", 'Data Entry'!$³$335)</f>
      </c>
      <c r="DL335">
        <f>IF(ISBLANK('Data Entry'!$´$335), "", 'Data Entry'!$´$335)</f>
      </c>
      <c r="DM335">
        <f>IF(ISBLANK('Data Entry'!$µ$335), "", 'Data Entry'!$µ$335)</f>
      </c>
      <c r="DN335">
        <f>IF(ISBLANK('Data Entry'!$¶$335), "", 'Data Entry'!$¶$335)</f>
      </c>
      <c r="DO335">
        <f>IF(ISBLANK('Data Entry'!$·$335), "", 'Data Entry'!$·$335)</f>
      </c>
      <c r="DP335">
        <f>IF(ISBLANK('Data Entry'!$¸$335), "", 'Data Entry'!$¸$335)</f>
      </c>
      <c r="DQ335">
        <f>IF(ISBLANK('Data Entry'!$¹$335), "", 'Data Entry'!$¹$335)</f>
      </c>
      <c r="DR335">
        <f>IF(ISBLANK('Data Entry'!$º$335), "", 'Data Entry'!$º$335)</f>
      </c>
      <c r="DS335">
        <f>IF(ISBLANK('Data Entry'!$»$335), "", 'Data Entry'!$»$335)</f>
      </c>
      <c r="DT335">
        <f>IF(ISBLANK('Data Entry'!$¼$335), "", 'Data Entry'!$¼$335)</f>
      </c>
      <c r="DU335">
        <f>IF(ISBLANK('Data Entry'!$½$335), "", 'Data Entry'!$½$335)</f>
      </c>
      <c r="DV335">
        <f>IF(ISBLANK('Data Entry'!$¾$335), "", 'Data Entry'!$¾$335)</f>
      </c>
      <c r="DW335">
        <f>IF(ISBLANK('Data Entry'!$¿$335), "", 'Data Entry'!$¿$335)</f>
      </c>
      <c r="DX335">
        <f>IF(ISBLANK('Data Entry'!$À$335), "", 'Data Entry'!$À$335)</f>
      </c>
      <c r="DY335">
        <f>IF(ISBLANK('Data Entry'!$Á$335), "", 'Data Entry'!$Á$335)</f>
      </c>
      <c r="DZ335">
        <f>IF(ISBLANK('Data Entry'!$Â$335), "", 'Data Entry'!$Â$335)</f>
      </c>
      <c r="EA335">
        <f>IF(ISBLANK('Data Entry'!$Ã$335), "", 'Data Entry'!$Ã$335)</f>
      </c>
      <c r="EB335">
        <f>IF(ISBLANK('Data Entry'!$Ä$335), "", 'Data Entry'!$Ä$335)</f>
      </c>
      <c r="EC335">
        <f>IF(ISBLANK('Data Entry'!$Å$335), "", 'Data Entry'!$Å$335)</f>
      </c>
      <c r="ED335">
        <f>IF(ISBLANK('Data Entry'!$Æ$335), "", 'Data Entry'!$Æ$335)</f>
      </c>
      <c r="EE335">
        <f>IF(ISBLANK('Data Entry'!$Ç$335), "", 'Data Entry'!$Ç$335)</f>
      </c>
      <c r="EF335">
        <f>IF(ISBLANK('Data Entry'!$È$335), "", 'Data Entry'!$È$335)</f>
      </c>
      <c r="EG335">
        <f>IF(ISBLANK('Data Entry'!$É$335), "", 'Data Entry'!$É$335)</f>
      </c>
      <c r="EH335">
        <f>IF(ISBLANK('Data Entry'!$Ê$335), "", 'Data Entry'!$Ê$335)</f>
      </c>
      <c r="EI335">
        <f>IF(ISBLANK('Data Entry'!$Ë$335), "", 'Data Entry'!$Ë$335)</f>
      </c>
      <c r="EJ335">
        <f>IF(ISBLANK('Data Entry'!$Ì$335), "", 'Data Entry'!$Ì$335)</f>
      </c>
      <c r="EK335">
        <f>IF(ISBLANK('Data Entry'!$Í$335), "", 'Data Entry'!$Í$335)</f>
      </c>
      <c r="EL335">
        <f>IF(ISBLANK('Data Entry'!$Î$335), "", 'Data Entry'!$Î$335)</f>
      </c>
      <c r="EM335">
        <f>IF(ISBLANK('Data Entry'!$Ï$335), "", 'Data Entry'!$Ï$335)</f>
      </c>
      <c r="EN335">
        <f>IF(ISBLANK('Data Entry'!$Ð$335), "", 'Data Entry'!$Ð$335)</f>
      </c>
      <c r="EO335">
        <f>IF(ISBLANK('Data Entry'!$Ñ$335), "", 'Data Entry'!$Ñ$335)</f>
      </c>
      <c r="EP335">
        <f>IF(ISBLANK('Data Entry'!$Ò$335), "", 'Data Entry'!$Ò$335)</f>
      </c>
      <c r="EQ335">
        <f>IF(ISBLANK('Data Entry'!$Ó$335), "", 'Data Entry'!$Ó$335)</f>
      </c>
      <c r="ER335">
        <f>IF(ISBLANK('Data Entry'!$Ô$335), "", 'Data Entry'!$Ô$335)</f>
      </c>
      <c r="ES335">
        <f>IF(ISBLANK('Data Entry'!$Õ$335), "", 'Data Entry'!$Õ$335)</f>
      </c>
      <c r="ET335">
        <f>IF(ISBLANK('Data Entry'!$Ö$335), "", 'Data Entry'!$Ö$335)</f>
      </c>
      <c r="EU335">
        <f>IF(ISBLANK('Data Entry'!$×$335), "", 'Data Entry'!$×$335)</f>
      </c>
      <c r="EV335">
        <f>IF(ISBLANK('Data Entry'!$Ø$335), "", 'Data Entry'!$Ø$335)</f>
      </c>
      <c r="EW335">
        <f>IF(ISBLANK('Data Entry'!$Ù$335), "", 'Data Entry'!$Ù$335)</f>
      </c>
      <c r="EX335">
        <f>IF(ISBLANK('Data Entry'!$Ú$335), "", 'Data Entry'!$Ú$335)</f>
      </c>
      <c r="EY335">
        <f>IF(ISBLANK('Data Entry'!$Û$335), "", 'Data Entry'!$Û$335)</f>
      </c>
      <c r="EZ335">
        <f>IF(ISBLANK('Data Entry'!$Ü$335), "", 'Data Entry'!$Ü$335)</f>
      </c>
      <c r="FA335">
        <f>IF(ISBLANK('Data Entry'!$Ý$335), "", 'Data Entry'!$Ý$335)</f>
      </c>
      <c r="FB335">
        <f>IF(ISBLANK('Data Entry'!$Þ$335), "", 'Data Entry'!$Þ$335)</f>
      </c>
      <c r="FC335">
        <f>IF(ISBLANK('Data Entry'!$ß$335), "", 'Data Entry'!$ß$335)</f>
      </c>
      <c r="FD335">
        <f>IF(ISBLANK('Data Entry'!$à$335), "", 'Data Entry'!$à$335)</f>
      </c>
      <c r="FE335">
        <f>IF(ISBLANK('Data Entry'!$á$335), "", 'Data Entry'!$á$335)</f>
      </c>
      <c r="FF335">
        <f>IF(ISBLANK('Data Entry'!$â$335), "", 'Data Entry'!$â$335)</f>
      </c>
      <c r="FG335">
        <f>IF(ISBLANK('Data Entry'!$ã$335), "", 'Data Entry'!$ã$335)</f>
      </c>
      <c r="FH335">
        <f>IF(ISBLANK('Data Entry'!$ä$335), "", 'Data Entry'!$ä$335)</f>
      </c>
      <c r="FI335">
        <f>IF(ISBLANK('Data Entry'!$å$335), "", 'Data Entry'!$å$335)</f>
      </c>
      <c r="FJ335">
        <f>IF(ISBLANK('Data Entry'!$æ$335), "", 'Data Entry'!$æ$335)</f>
      </c>
      <c r="FK335">
        <f>IF(ISBLANK('Data Entry'!$ç$335), "", 'Data Entry'!$ç$335)</f>
      </c>
      <c r="FL335">
        <f>IF(ISBLANK('Data Entry'!$è$335), "", 'Data Entry'!$è$335)</f>
      </c>
      <c r="FM335">
        <f>IF(ISBLANK('Data Entry'!$é$335), "", 'Data Entry'!$é$335)</f>
      </c>
      <c r="FN335">
        <f>IF(ISBLANK('Data Entry'!$ê$335), "", 'Data Entry'!$ê$335)</f>
      </c>
      <c r="FO335">
        <f>IF(ISBLANK('Data Entry'!$ë$335), "", 'Data Entry'!$ë$335)</f>
      </c>
      <c r="FP335">
        <f>IF(ISBLANK('Data Entry'!$ì$335), "", 'Data Entry'!$ì$335)</f>
      </c>
      <c r="FQ335">
        <f>IF(ISBLANK('Data Entry'!$í$335), "", 'Data Entry'!$í$335)</f>
      </c>
      <c r="FR335">
        <f>IF(ISBLANK('Data Entry'!$î$335), "", 'Data Entry'!$î$335)</f>
      </c>
      <c r="FS335">
        <f>IF(ISBLANK('Data Entry'!$ï$335), "", 'Data Entry'!$ï$335)</f>
      </c>
      <c r="FT335">
        <f>IF(ISBLANK('Data Entry'!$ð$335), "", 'Data Entry'!$ð$335)</f>
      </c>
      <c r="FU335">
        <f>IF(ISBLANK('Data Entry'!$ñ$335), "", 'Data Entry'!$ñ$335)</f>
      </c>
      <c r="FV335">
        <f>IF(ISBLANK('Data Entry'!$ò$335), "", 'Data Entry'!$ò$335)</f>
      </c>
      <c r="FW335">
        <f>IF(ISBLANK('Data Entry'!$ó$335), "", 'Data Entry'!$ó$335)</f>
      </c>
      <c r="FX335">
        <f>IF(ISBLANK('Data Entry'!$ô$335), "", 'Data Entry'!$ô$335)</f>
      </c>
      <c r="FY335">
        <f>IF(ISBLANK('Data Entry'!$õ$335), "", 'Data Entry'!$õ$335)</f>
      </c>
      <c r="FZ335">
        <f>IF(ISBLANK('Data Entry'!$ö$335), "", 'Data Entry'!$ö$335)</f>
      </c>
      <c r="GA335">
        <f>IF(ISBLANK('Data Entry'!$÷$335), "", 'Data Entry'!$÷$335)</f>
      </c>
      <c r="GB335">
        <f>IF(ISBLANK('Data Entry'!$ø$335), "", 'Data Entry'!$ø$335)</f>
      </c>
      <c r="GC335">
        <f>IF(ISBLANK('Data Entry'!$ù$335), "", 'Data Entry'!$ù$335)</f>
      </c>
      <c r="GD335">
        <f>IF(ISBLANK('Data Entry'!$ú$335), "", 'Data Entry'!$ú$335)</f>
      </c>
      <c r="GE335">
        <f>IF(ISBLANK('Data Entry'!$û$335), "", 'Data Entry'!$û$335)</f>
      </c>
      <c r="GF335">
        <f>IF(ISBLANK('Data Entry'!$ü$335), "", 'Data Entry'!$ü$335)</f>
      </c>
      <c r="GG335">
        <f>IF(ISBLANK('Data Entry'!$ý$335), "", 'Data Entry'!$ý$335)</f>
      </c>
      <c r="GH335">
        <f>IF(ISBLANK('Data Entry'!$þ$335), "", 'Data Entry'!$þ$335)</f>
      </c>
      <c r="GI335">
        <f>IF(ISBLANK('Data Entry'!$ÿ$335), "", 'Data Entry'!$ÿ$335)</f>
      </c>
      <c r="GJ335">
        <f>IF(ISBLANK('Data Entry'!$Ā$335), "", 'Data Entry'!$Ā$335)</f>
      </c>
      <c r="GK335">
        <f>IF(ISBLANK('Data Entry'!$ā$335), "", 'Data Entry'!$ā$335)</f>
      </c>
      <c r="GL335">
        <f>IF(ISBLANK('Data Entry'!$Ă$335), "", 'Data Entry'!$Ă$335)</f>
      </c>
      <c r="GM335">
        <f>IF(ISBLANK('Data Entry'!$ă$335), "", 'Data Entry'!$ă$335)</f>
      </c>
      <c r="GN335">
        <f>IF(ISBLANK('Data Entry'!$Ą$335), "", 'Data Entry'!$Ą$335)</f>
      </c>
      <c r="GO335">
        <f>IF(ISBLANK('Data Entry'!$ą$335), "", 'Data Entry'!$ą$335)</f>
      </c>
      <c r="GP335">
        <f>IF(ISBLANK('Data Entry'!$Ć$335), "", 'Data Entry'!$Ć$335)</f>
      </c>
      <c r="GQ335">
        <f>IF(ISBLANK('Data Entry'!$ć$335), "", 'Data Entry'!$ć$335)</f>
      </c>
      <c r="GR335">
        <f>IF(ISBLANK('Data Entry'!$Ĉ$335), "", 'Data Entry'!$Ĉ$335)</f>
      </c>
      <c r="GS335">
        <f>IF(ISBLANK('Data Entry'!$ĉ$335), "", 'Data Entry'!$ĉ$335)</f>
      </c>
      <c r="GT335">
        <f>IF(ISBLANK('Data Entry'!$Ċ$335), "", 'Data Entry'!$Ċ$335)</f>
      </c>
      <c r="GU335">
        <f>IF(ISBLANK('Data Entry'!$ċ$335), "", 'Data Entry'!$ċ$335)</f>
      </c>
      <c r="GV335">
        <f>IF(ISBLANK('Data Entry'!$Č$335), "", 'Data Entry'!$Č$335)</f>
      </c>
      <c r="GW335">
        <f>IF(ISBLANK('Data Entry'!$č$335), "", 'Data Entry'!$č$335)</f>
      </c>
      <c r="GX335">
        <f>IF(ISBLANK('Data Entry'!$Ď$335), "", 'Data Entry'!$Ď$335)</f>
      </c>
      <c r="GY335">
        <f>IF(ISBLANK('Data Entry'!$ď$335), "", 'Data Entry'!$ď$335)</f>
      </c>
      <c r="GZ335">
        <f>IF(ISBLANK('Data Entry'!$Đ$335), "", 'Data Entry'!$Đ$335)</f>
      </c>
      <c r="HA335">
        <f>IF(ISBLANK('Data Entry'!$đ$335), "", 'Data Entry'!$đ$335)</f>
      </c>
      <c r="HB335">
        <f>IF(ISBLANK('Data Entry'!$Ē$335), "", 'Data Entry'!$Ē$335)</f>
      </c>
      <c r="HC335">
        <f>IF(ISBLANK('Data Entry'!$ē$335), "", 'Data Entry'!$ē$335)</f>
      </c>
      <c r="HD335">
        <f>IF(ISBLANK('Data Entry'!$Ĕ$335), "", 'Data Entry'!$Ĕ$335)</f>
      </c>
      <c r="HE335">
        <f>IF(ISBLANK('Data Entry'!$ĕ$335), "", 'Data Entry'!$ĕ$335)</f>
      </c>
      <c r="HF335">
        <f>IF(ISBLANK('Data Entry'!$Ė$335), "", 'Data Entry'!$Ė$335)</f>
      </c>
      <c r="HG335">
        <f>IF(ISBLANK('Data Entry'!$ė$335), "", 'Data Entry'!$ė$335)</f>
      </c>
      <c r="HH335">
        <f>IF(ISBLANK('Data Entry'!$Ę$335), "", 'Data Entry'!$Ę$335)</f>
      </c>
      <c r="HI335">
        <f>IF(ISBLANK('Data Entry'!$ę$335), "", 'Data Entry'!$ę$335)</f>
      </c>
      <c r="HJ335">
        <f>IF(ISBLANK('Data Entry'!$Ě$335), "", 'Data Entry'!$Ě$335)</f>
      </c>
      <c r="HK335">
        <f>IF(ISBLANK('Data Entry'!$ě$335), "", 'Data Entry'!$ě$335)</f>
      </c>
      <c r="HL335">
        <f>IF(ISBLANK('Data Entry'!$Ĝ$335), "", 'Data Entry'!$Ĝ$335)</f>
      </c>
      <c r="HM335">
        <f>IF(ISBLANK('Data Entry'!$ĝ$335), "", 'Data Entry'!$ĝ$335)</f>
      </c>
      <c r="HN335">
        <f>IF(ISBLANK('Data Entry'!$Ğ$335), "", 'Data Entry'!$Ğ$335)</f>
      </c>
      <c r="HO335">
        <f>IF(ISBLANK('Data Entry'!$ğ$335), "", 'Data Entry'!$ğ$335)</f>
      </c>
      <c r="HP335">
        <f>IF(ISBLANK('Data Entry'!$Ġ$335), "", 'Data Entry'!$Ġ$335)</f>
      </c>
      <c r="HQ335">
        <f>IF(ISBLANK('Data Entry'!$ġ$335), "", 'Data Entry'!$ġ$335)</f>
      </c>
      <c r="HR335">
        <f>IF(ISBLANK('Data Entry'!$Ģ$335), "", 'Data Entry'!$Ģ$335)</f>
      </c>
      <c r="HS335">
        <f>IF(ISBLANK('Data Entry'!$ģ$335), "", 'Data Entry'!$ģ$335)</f>
      </c>
      <c r="HT335">
        <f>IF(ISBLANK('Data Entry'!$Ĥ$335), "", 'Data Entry'!$Ĥ$335)</f>
      </c>
      <c r="HU335">
        <f>IF(ISBLANK('Data Entry'!$ĥ$335), "", 'Data Entry'!$ĥ$335)</f>
      </c>
      <c r="HV335">
        <f>IF(ISBLANK('Data Entry'!$Ħ$335), "", 'Data Entry'!$Ħ$335)</f>
      </c>
      <c r="HW335">
        <f>IF(ISBLANK('Data Entry'!$ħ$335), "", 'Data Entry'!$ħ$335)</f>
      </c>
      <c r="HX335">
        <f>IF(ISBLANK('Data Entry'!$Ĩ$335), "", 'Data Entry'!$Ĩ$335)</f>
      </c>
      <c r="HY335">
        <f>IF(ISBLANK('Data Entry'!$ĩ$335), "", 'Data Entry'!$ĩ$335)</f>
      </c>
      <c r="HZ335">
        <f>IF(ISBLANK('Data Entry'!$Ī$335), "", 'Data Entry'!$Ī$335)</f>
      </c>
      <c r="IA335">
        <f>IF(ISBLANK('Data Entry'!$ī$335), "", 'Data Entry'!$ī$335)</f>
      </c>
      <c r="IB335">
        <f>IF(ISBLANK('Data Entry'!$Ĭ$335), "", 'Data Entry'!$Ĭ$335)</f>
      </c>
      <c r="IC335">
        <f>IF(ISBLANK('Data Entry'!$ĭ$335), "", 'Data Entry'!$ĭ$335)</f>
      </c>
      <c r="ID335">
        <f>IF(ISBLANK('Data Entry'!$Į$335), "", 'Data Entry'!$Į$335)</f>
      </c>
      <c r="IE335">
        <f>IF(ISBLANK('Data Entry'!$į$335), "", 'Data Entry'!$į$335)</f>
      </c>
      <c r="IF335">
        <f>IF(ISBLANK('Data Entry'!$İ$335), "", 'Data Entry'!$İ$335)</f>
      </c>
      <c r="IG335">
        <f>IF(ISBLANK('Data Entry'!$ı$335), "", 'Data Entry'!$ı$335)</f>
      </c>
      <c r="IH335">
        <f>IF(ISBLANK('Data Entry'!$Ĳ$335), "", 'Data Entry'!$Ĳ$335)</f>
      </c>
      <c r="II335">
        <f>IF(ISBLANK('Data Entry'!$ĳ$335), "", 'Data Entry'!$ĳ$335)</f>
      </c>
      <c r="IJ335">
        <f>IF(ISBLANK('Data Entry'!$Ĵ$335), "", 'Data Entry'!$Ĵ$335)</f>
      </c>
      <c r="IK335">
        <f>IF(ISBLANK('Data Entry'!$ĵ$335), "", 'Data Entry'!$ĵ$335)</f>
      </c>
      <c r="IL335">
        <f>IF(ISBLANK('Data Entry'!$Ķ$335), "", 'Data Entry'!$Ķ$335)</f>
      </c>
      <c r="IM335">
        <f>IF(ISBLANK('Data Entry'!$ķ$335), "", 'Data Entry'!$ķ$335)</f>
      </c>
      <c r="IN335">
        <f>IF(ISBLANK('Data Entry'!$ĸ$335), "", 'Data Entry'!$ĸ$335)</f>
      </c>
      <c r="IO335">
        <f>IF(ISBLANK('Data Entry'!$Ĺ$335), "", 'Data Entry'!$Ĺ$335)</f>
      </c>
      <c r="IP335">
        <f>IF(ISBLANK('Data Entry'!$ĺ$335), "", 'Data Entry'!$ĺ$335)</f>
      </c>
      <c r="IQ335">
        <f>IF(ISBLANK('Data Entry'!$Ļ$335), "", 'Data Entry'!$Ļ$335)</f>
      </c>
      <c r="IR335">
        <f>IF(ISBLANK('Data Entry'!$ļ$335), "", 'Data Entry'!$ļ$335)</f>
      </c>
      <c r="IS335">
        <f>IF(ISBLANK('Data Entry'!$Ľ$335), "", 'Data Entry'!$Ľ$335)</f>
      </c>
      <c r="IT335">
        <f>IF(ISBLANK('Data Entry'!$ľ$335), "", 'Data Entry'!$ľ$335)</f>
      </c>
    </row>
    <row r="336" spans="1:254" x14ac:dyDescent="0.25">
      <c r="A336">
        <f>IF(ISBLANK('Data Entry'!$A$336), "", 'Data Entry'!$A$336)</f>
      </c>
      <c r="B336">
        <f>IF(ISBLANK('Data Entry'!$B$336), "", 'Data Entry'!$B$336)</f>
      </c>
      <c r="C336">
        <f>IF(ISBLANK('Data Entry'!$C$336), "", 'Data Entry'!$C$336)</f>
      </c>
      <c r="D336">
        <f>IF(ISBLANK('Data Entry'!$D$336), "", 'Data Entry'!$D$336)</f>
      </c>
      <c r="E336">
        <f>IF(ISBLANK('Data Entry'!$E$336), "", 'Data Entry'!$E$336)</f>
      </c>
      <c r="F336">
        <f>IF(ISBLANK('Data Entry'!$F$336), "", 'Data Entry'!$F$336)</f>
      </c>
      <c r="G336">
        <f>IF(ISBLANK('Data Entry'!$G$336), "", 'Data Entry'!$G$336)</f>
      </c>
      <c r="H336">
        <f>IF(ISBLANK('Data Entry'!$H$336), "", 'Data Entry'!$H$336)</f>
      </c>
      <c r="I336">
        <f>IF(ISBLANK('Data Entry'!$I$336), "", 'Data Entry'!$I$336)</f>
      </c>
      <c r="J336">
        <f>IF(ISBLANK('Data Entry'!$J$336), "", 'Data Entry'!$J$336)</f>
      </c>
      <c r="K336">
        <f>IF(ISBLANK('Data Entry'!$K$336), "", 'Data Entry'!$K$336)</f>
      </c>
      <c r="L336">
        <f>IF(ISBLANK('Data Entry'!$L$336), "", 'Data Entry'!$L$336)</f>
      </c>
      <c r="M336">
        <f>IF(ISBLANK('Data Entry'!$M$336), "", 'Data Entry'!$M$336)</f>
      </c>
      <c r="N336">
        <f>IF(ISBLANK('Data Entry'!$N$336), "", 'Data Entry'!$N$336)</f>
      </c>
      <c r="O336">
        <f>IF(ISBLANK('Data Entry'!$O$336), "", 'Data Entry'!$O$336)</f>
      </c>
      <c r="P336">
        <f>IF(ISBLANK('Data Entry'!$P$336), "", 'Data Entry'!$P$336)</f>
      </c>
      <c r="Q336">
        <f>IF(ISBLANK('Data Entry'!$Q$336), "", 'Data Entry'!$Q$336)</f>
      </c>
      <c r="R336">
        <f>IF(ISBLANK('Data Entry'!$R$336), "", 'Data Entry'!$R$336)</f>
      </c>
      <c r="S336">
        <f>IF(ISBLANK('Data Entry'!$S$336), "", 'Data Entry'!$S$336)</f>
      </c>
      <c r="T336">
        <f>IF(ISBLANK('Data Entry'!$T$336), "", 'Data Entry'!$T$336)</f>
      </c>
      <c r="U336">
        <f>IF(ISBLANK('Data Entry'!$U$336), "", 'Data Entry'!$U$336)</f>
      </c>
      <c r="V336">
        <f>IF(ISBLANK('Data Entry'!$V$336), "", 'Data Entry'!$V$336)</f>
      </c>
      <c r="W336">
        <f>IF(ISBLANK('Data Entry'!$W$336), "", 'Data Entry'!$W$336)</f>
      </c>
      <c r="X336">
        <f>IF(ISBLANK('Data Entry'!$X$336), "", 'Data Entry'!$X$336)</f>
      </c>
      <c r="Y336">
        <f>IF(ISBLANK('Data Entry'!$Y$336), "", 'Data Entry'!$Y$336)</f>
      </c>
      <c r="Z336">
        <f>IF(ISBLANK('Data Entry'!$Z$336), "", 'Data Entry'!$Z$336)</f>
      </c>
      <c r="AA336">
        <f>IF(ISBLANK('Data Entry'!$[$336), "", 'Data Entry'!$[$336)</f>
      </c>
      <c r="AB336">
        <f>IF(ISBLANK('Data Entry'!$\$336), "", 'Data Entry'!$\$336)</f>
      </c>
      <c r="AC336">
        <f>IF(ISBLANK('Data Entry'!$]$336), "", 'Data Entry'!$]$336)</f>
      </c>
      <c r="AD336">
        <f>IF(ISBLANK('Data Entry'!$^$336), "", 'Data Entry'!$^$336)</f>
      </c>
      <c r="AE336">
        <f>IF(ISBLANK('Data Entry'!$_$336), "", 'Data Entry'!$_$336)</f>
      </c>
      <c r="AF336">
        <f>IF(ISBLANK('Data Entry'!$`$336), "", 'Data Entry'!$`$336)</f>
      </c>
      <c r="AG336">
        <f>IF(ISBLANK('Data Entry'!$a$336), "", 'Data Entry'!$a$336)</f>
      </c>
      <c r="AH336">
        <f>IF(ISBLANK('Data Entry'!$b$336), "", 'Data Entry'!$b$336)</f>
      </c>
      <c r="AI336">
        <f>IF(ISBLANK('Data Entry'!$c$336), "", 'Data Entry'!$c$336)</f>
      </c>
      <c r="AJ336">
        <f>IF(ISBLANK('Data Entry'!$d$336), "", 'Data Entry'!$d$336)</f>
      </c>
      <c r="AK336">
        <f>IF(ISBLANK('Data Entry'!$e$336), "", 'Data Entry'!$e$336)</f>
      </c>
      <c r="AL336">
        <f>IF(ISBLANK('Data Entry'!$f$336), "", 'Data Entry'!$f$336)</f>
      </c>
      <c r="AM336">
        <f>IF(ISBLANK('Data Entry'!$g$336), "", 'Data Entry'!$g$336)</f>
      </c>
      <c r="AN336">
        <f>IF(ISBLANK('Data Entry'!$h$336), "", 'Data Entry'!$h$336)</f>
      </c>
      <c r="AO336">
        <f>IF(ISBLANK('Data Entry'!$i$336), "", 'Data Entry'!$i$336)</f>
      </c>
      <c r="AP336">
        <f>IF(ISBLANK('Data Entry'!$j$336), "", 'Data Entry'!$j$336)</f>
      </c>
      <c r="AQ336">
        <f>IF(ISBLANK('Data Entry'!$k$336), "", 'Data Entry'!$k$336)</f>
      </c>
      <c r="AR336">
        <f>IF(ISBLANK('Data Entry'!$l$336), "", 'Data Entry'!$l$336)</f>
      </c>
      <c r="AS336">
        <f>IF(ISBLANK('Data Entry'!$m$336), "", 'Data Entry'!$m$336)</f>
      </c>
      <c r="AT336">
        <f>IF(ISBLANK('Data Entry'!$n$336), "", 'Data Entry'!$n$336)</f>
      </c>
      <c r="AU336">
        <f>IF(ISBLANK('Data Entry'!$o$336), "", 'Data Entry'!$o$336)</f>
      </c>
      <c r="AV336">
        <f>IF(ISBLANK('Data Entry'!$p$336), "", 'Data Entry'!$p$336)</f>
      </c>
      <c r="AW336">
        <f>IF(ISBLANK('Data Entry'!$q$336), "", 'Data Entry'!$q$336)</f>
      </c>
      <c r="AX336">
        <f>IF(ISBLANK('Data Entry'!$r$336), "", 'Data Entry'!$r$336)</f>
      </c>
      <c r="AY336">
        <f>IF(ISBLANK('Data Entry'!$s$336), "", 'Data Entry'!$s$336)</f>
      </c>
      <c r="AZ336">
        <f>IF(ISBLANK('Data Entry'!$t$336), "", 'Data Entry'!$t$336)</f>
      </c>
      <c r="BA336">
        <f>IF(ISBLANK('Data Entry'!$u$336), "", 'Data Entry'!$u$336)</f>
      </c>
      <c r="BB336">
        <f>IF(ISBLANK('Data Entry'!$v$336), "", 'Data Entry'!$v$336)</f>
      </c>
      <c r="BC336">
        <f>IF(ISBLANK('Data Entry'!$w$336), "", 'Data Entry'!$w$336)</f>
      </c>
      <c r="BD336">
        <f>IF(ISBLANK('Data Entry'!$x$336), "", 'Data Entry'!$x$336)</f>
      </c>
      <c r="BE336">
        <f>IF(ISBLANK('Data Entry'!$y$336), "", 'Data Entry'!$y$336)</f>
      </c>
      <c r="BF336">
        <f>IF(ISBLANK('Data Entry'!$z$336), "", 'Data Entry'!$z$336)</f>
      </c>
      <c r="BG336">
        <f>IF(ISBLANK('Data Entry'!${$336), "", 'Data Entry'!${$336)</f>
      </c>
      <c r="BH336">
        <f>IF(ISBLANK('Data Entry'!$|$336), "", 'Data Entry'!$|$336)</f>
      </c>
      <c r="BI336">
        <f>IF(ISBLANK('Data Entry'!$}$336), "", 'Data Entry'!$}$336)</f>
      </c>
      <c r="BJ336">
        <f>IF(ISBLANK('Data Entry'!$~$336), "", 'Data Entry'!$~$336)</f>
      </c>
      <c r="BK336">
        <f>IF(ISBLANK('Data Entry'!$$336), "", 'Data Entry'!$$336)</f>
      </c>
      <c r="BL336">
        <f>IF(ISBLANK('Data Entry'!$$336), "", 'Data Entry'!$$336)</f>
      </c>
      <c r="BM336">
        <f>IF(ISBLANK('Data Entry'!$$336), "", 'Data Entry'!$$336)</f>
      </c>
      <c r="BN336">
        <f>IF(ISBLANK('Data Entry'!$$336), "", 'Data Entry'!$$336)</f>
      </c>
      <c r="BO336">
        <f>IF(ISBLANK('Data Entry'!$$336), "", 'Data Entry'!$$336)</f>
      </c>
      <c r="BP336">
        <f>IF(ISBLANK('Data Entry'!$$336), "", 'Data Entry'!$$336)</f>
      </c>
      <c r="BQ336">
        <f>IF(ISBLANK('Data Entry'!$$336), "", 'Data Entry'!$$336)</f>
      </c>
      <c r="BR336">
        <f>IF(ISBLANK('Data Entry'!$$336), "", 'Data Entry'!$$336)</f>
      </c>
      <c r="BS336">
        <f>IF(ISBLANK('Data Entry'!$$336), "", 'Data Entry'!$$336)</f>
      </c>
      <c r="BT336">
        <f>IF(ISBLANK('Data Entry'!$$336), "", 'Data Entry'!$$336)</f>
      </c>
      <c r="BU336">
        <f>IF(ISBLANK('Data Entry'!$$336), "", 'Data Entry'!$$336)</f>
      </c>
      <c r="BV336">
        <f>IF(ISBLANK('Data Entry'!$$336), "", 'Data Entry'!$$336)</f>
      </c>
      <c r="BW336">
        <f>IF(ISBLANK('Data Entry'!$$336), "", 'Data Entry'!$$336)</f>
      </c>
      <c r="BX336">
        <f>IF(ISBLANK('Data Entry'!$$336), "", 'Data Entry'!$$336)</f>
      </c>
      <c r="BY336">
        <f>IF(ISBLANK('Data Entry'!$$336), "", 'Data Entry'!$$336)</f>
      </c>
      <c r="BZ336">
        <f>IF(ISBLANK('Data Entry'!$$336), "", 'Data Entry'!$$336)</f>
      </c>
      <c r="CA336">
        <f>IF(ISBLANK('Data Entry'!$$336), "", 'Data Entry'!$$336)</f>
      </c>
      <c r="CB336">
        <f>IF(ISBLANK('Data Entry'!$$336), "", 'Data Entry'!$$336)</f>
      </c>
      <c r="CC336">
        <f>IF(ISBLANK('Data Entry'!$$336), "", 'Data Entry'!$$336)</f>
      </c>
      <c r="CD336">
        <f>IF(ISBLANK('Data Entry'!$$336), "", 'Data Entry'!$$336)</f>
      </c>
      <c r="CE336">
        <f>IF(ISBLANK('Data Entry'!$$336), "", 'Data Entry'!$$336)</f>
      </c>
      <c r="CF336">
        <f>IF(ISBLANK('Data Entry'!$$336), "", 'Data Entry'!$$336)</f>
      </c>
      <c r="CG336">
        <f>IF(ISBLANK('Data Entry'!$$336), "", 'Data Entry'!$$336)</f>
      </c>
      <c r="CH336">
        <f>IF(ISBLANK('Data Entry'!$$336), "", 'Data Entry'!$$336)</f>
      </c>
      <c r="CI336">
        <f>IF(ISBLANK('Data Entry'!$$336), "", 'Data Entry'!$$336)</f>
      </c>
      <c r="CJ336">
        <f>IF(ISBLANK('Data Entry'!$$336), "", 'Data Entry'!$$336)</f>
      </c>
      <c r="CK336">
        <f>IF(ISBLANK('Data Entry'!$$336), "", 'Data Entry'!$$336)</f>
      </c>
      <c r="CL336">
        <f>IF(ISBLANK('Data Entry'!$$336), "", 'Data Entry'!$$336)</f>
      </c>
      <c r="CM336">
        <f>IF(ISBLANK('Data Entry'!$$336), "", 'Data Entry'!$$336)</f>
      </c>
      <c r="CN336">
        <f>IF(ISBLANK('Data Entry'!$$336), "", 'Data Entry'!$$336)</f>
      </c>
      <c r="CO336">
        <f>IF(ISBLANK('Data Entry'!$$336), "", 'Data Entry'!$$336)</f>
      </c>
      <c r="CP336">
        <f>IF(ISBLANK('Data Entry'!$$336), "", 'Data Entry'!$$336)</f>
      </c>
      <c r="CQ336">
        <f>IF(ISBLANK('Data Entry'!$$336), "", 'Data Entry'!$$336)</f>
      </c>
      <c r="CR336">
        <f>IF(ISBLANK('Data Entry'!$ $336), "", 'Data Entry'!$ $336)</f>
      </c>
      <c r="CS336">
        <f>IF(ISBLANK('Data Entry'!$¡$336), "", 'Data Entry'!$¡$336)</f>
      </c>
      <c r="CT336">
        <f>IF(ISBLANK('Data Entry'!$¢$336), "", 'Data Entry'!$¢$336)</f>
      </c>
      <c r="CU336">
        <f>IF(ISBLANK('Data Entry'!$£$336), "", 'Data Entry'!$£$336)</f>
      </c>
      <c r="CV336">
        <f>IF(ISBLANK('Data Entry'!$¤$336), "", 'Data Entry'!$¤$336)</f>
      </c>
      <c r="CW336">
        <f>IF(ISBLANK('Data Entry'!$¥$336), "", 'Data Entry'!$¥$336)</f>
      </c>
      <c r="CX336">
        <f>IF(ISBLANK('Data Entry'!$¦$336), "", 'Data Entry'!$¦$336)</f>
      </c>
      <c r="CY336">
        <f>IF(ISBLANK('Data Entry'!$§$336), "", 'Data Entry'!$§$336)</f>
      </c>
      <c r="CZ336">
        <f>IF(ISBLANK('Data Entry'!$¨$336), "", 'Data Entry'!$¨$336)</f>
      </c>
      <c r="DA336">
        <f>IF(ISBLANK('Data Entry'!$©$336), "", 'Data Entry'!$©$336)</f>
      </c>
      <c r="DB336">
        <f>IF(ISBLANK('Data Entry'!$ª$336), "", 'Data Entry'!$ª$336)</f>
      </c>
      <c r="DC336">
        <f>IF(ISBLANK('Data Entry'!$«$336), "", 'Data Entry'!$«$336)</f>
      </c>
      <c r="DD336">
        <f>IF(ISBLANK('Data Entry'!$¬$336), "", 'Data Entry'!$¬$336)</f>
      </c>
      <c r="DE336">
        <f>IF(ISBLANK('Data Entry'!$­$336), "", 'Data Entry'!$­$336)</f>
      </c>
      <c r="DF336">
        <f>IF(ISBLANK('Data Entry'!$®$336), "", 'Data Entry'!$®$336)</f>
      </c>
      <c r="DG336">
        <f>IF(ISBLANK('Data Entry'!$¯$336), "", 'Data Entry'!$¯$336)</f>
      </c>
      <c r="DH336">
        <f>IF(ISBLANK('Data Entry'!$°$336), "", 'Data Entry'!$°$336)</f>
      </c>
      <c r="DI336">
        <f>IF(ISBLANK('Data Entry'!$±$336), "", 'Data Entry'!$±$336)</f>
      </c>
      <c r="DJ336">
        <f>IF(ISBLANK('Data Entry'!$²$336), "", 'Data Entry'!$²$336)</f>
      </c>
      <c r="DK336">
        <f>IF(ISBLANK('Data Entry'!$³$336), "", 'Data Entry'!$³$336)</f>
      </c>
      <c r="DL336">
        <f>IF(ISBLANK('Data Entry'!$´$336), "", 'Data Entry'!$´$336)</f>
      </c>
      <c r="DM336">
        <f>IF(ISBLANK('Data Entry'!$µ$336), "", 'Data Entry'!$µ$336)</f>
      </c>
      <c r="DN336">
        <f>IF(ISBLANK('Data Entry'!$¶$336), "", 'Data Entry'!$¶$336)</f>
      </c>
      <c r="DO336">
        <f>IF(ISBLANK('Data Entry'!$·$336), "", 'Data Entry'!$·$336)</f>
      </c>
      <c r="DP336">
        <f>IF(ISBLANK('Data Entry'!$¸$336), "", 'Data Entry'!$¸$336)</f>
      </c>
      <c r="DQ336">
        <f>IF(ISBLANK('Data Entry'!$¹$336), "", 'Data Entry'!$¹$336)</f>
      </c>
      <c r="DR336">
        <f>IF(ISBLANK('Data Entry'!$º$336), "", 'Data Entry'!$º$336)</f>
      </c>
      <c r="DS336">
        <f>IF(ISBLANK('Data Entry'!$»$336), "", 'Data Entry'!$»$336)</f>
      </c>
      <c r="DT336">
        <f>IF(ISBLANK('Data Entry'!$¼$336), "", 'Data Entry'!$¼$336)</f>
      </c>
      <c r="DU336">
        <f>IF(ISBLANK('Data Entry'!$½$336), "", 'Data Entry'!$½$336)</f>
      </c>
      <c r="DV336">
        <f>IF(ISBLANK('Data Entry'!$¾$336), "", 'Data Entry'!$¾$336)</f>
      </c>
      <c r="DW336">
        <f>IF(ISBLANK('Data Entry'!$¿$336), "", 'Data Entry'!$¿$336)</f>
      </c>
      <c r="DX336">
        <f>IF(ISBLANK('Data Entry'!$À$336), "", 'Data Entry'!$À$336)</f>
      </c>
      <c r="DY336">
        <f>IF(ISBLANK('Data Entry'!$Á$336), "", 'Data Entry'!$Á$336)</f>
      </c>
      <c r="DZ336">
        <f>IF(ISBLANK('Data Entry'!$Â$336), "", 'Data Entry'!$Â$336)</f>
      </c>
      <c r="EA336">
        <f>IF(ISBLANK('Data Entry'!$Ã$336), "", 'Data Entry'!$Ã$336)</f>
      </c>
      <c r="EB336">
        <f>IF(ISBLANK('Data Entry'!$Ä$336), "", 'Data Entry'!$Ä$336)</f>
      </c>
      <c r="EC336">
        <f>IF(ISBLANK('Data Entry'!$Å$336), "", 'Data Entry'!$Å$336)</f>
      </c>
      <c r="ED336">
        <f>IF(ISBLANK('Data Entry'!$Æ$336), "", 'Data Entry'!$Æ$336)</f>
      </c>
      <c r="EE336">
        <f>IF(ISBLANK('Data Entry'!$Ç$336), "", 'Data Entry'!$Ç$336)</f>
      </c>
      <c r="EF336">
        <f>IF(ISBLANK('Data Entry'!$È$336), "", 'Data Entry'!$È$336)</f>
      </c>
      <c r="EG336">
        <f>IF(ISBLANK('Data Entry'!$É$336), "", 'Data Entry'!$É$336)</f>
      </c>
      <c r="EH336">
        <f>IF(ISBLANK('Data Entry'!$Ê$336), "", 'Data Entry'!$Ê$336)</f>
      </c>
      <c r="EI336">
        <f>IF(ISBLANK('Data Entry'!$Ë$336), "", 'Data Entry'!$Ë$336)</f>
      </c>
      <c r="EJ336">
        <f>IF(ISBLANK('Data Entry'!$Ì$336), "", 'Data Entry'!$Ì$336)</f>
      </c>
      <c r="EK336">
        <f>IF(ISBLANK('Data Entry'!$Í$336), "", 'Data Entry'!$Í$336)</f>
      </c>
      <c r="EL336">
        <f>IF(ISBLANK('Data Entry'!$Î$336), "", 'Data Entry'!$Î$336)</f>
      </c>
      <c r="EM336">
        <f>IF(ISBLANK('Data Entry'!$Ï$336), "", 'Data Entry'!$Ï$336)</f>
      </c>
      <c r="EN336">
        <f>IF(ISBLANK('Data Entry'!$Ð$336), "", 'Data Entry'!$Ð$336)</f>
      </c>
      <c r="EO336">
        <f>IF(ISBLANK('Data Entry'!$Ñ$336), "", 'Data Entry'!$Ñ$336)</f>
      </c>
      <c r="EP336">
        <f>IF(ISBLANK('Data Entry'!$Ò$336), "", 'Data Entry'!$Ò$336)</f>
      </c>
      <c r="EQ336">
        <f>IF(ISBLANK('Data Entry'!$Ó$336), "", 'Data Entry'!$Ó$336)</f>
      </c>
      <c r="ER336">
        <f>IF(ISBLANK('Data Entry'!$Ô$336), "", 'Data Entry'!$Ô$336)</f>
      </c>
      <c r="ES336">
        <f>IF(ISBLANK('Data Entry'!$Õ$336), "", 'Data Entry'!$Õ$336)</f>
      </c>
      <c r="ET336">
        <f>IF(ISBLANK('Data Entry'!$Ö$336), "", 'Data Entry'!$Ö$336)</f>
      </c>
      <c r="EU336">
        <f>IF(ISBLANK('Data Entry'!$×$336), "", 'Data Entry'!$×$336)</f>
      </c>
      <c r="EV336">
        <f>IF(ISBLANK('Data Entry'!$Ø$336), "", 'Data Entry'!$Ø$336)</f>
      </c>
      <c r="EW336">
        <f>IF(ISBLANK('Data Entry'!$Ù$336), "", 'Data Entry'!$Ù$336)</f>
      </c>
      <c r="EX336">
        <f>IF(ISBLANK('Data Entry'!$Ú$336), "", 'Data Entry'!$Ú$336)</f>
      </c>
      <c r="EY336">
        <f>IF(ISBLANK('Data Entry'!$Û$336), "", 'Data Entry'!$Û$336)</f>
      </c>
      <c r="EZ336">
        <f>IF(ISBLANK('Data Entry'!$Ü$336), "", 'Data Entry'!$Ü$336)</f>
      </c>
      <c r="FA336">
        <f>IF(ISBLANK('Data Entry'!$Ý$336), "", 'Data Entry'!$Ý$336)</f>
      </c>
      <c r="FB336">
        <f>IF(ISBLANK('Data Entry'!$Þ$336), "", 'Data Entry'!$Þ$336)</f>
      </c>
      <c r="FC336">
        <f>IF(ISBLANK('Data Entry'!$ß$336), "", 'Data Entry'!$ß$336)</f>
      </c>
      <c r="FD336">
        <f>IF(ISBLANK('Data Entry'!$à$336), "", 'Data Entry'!$à$336)</f>
      </c>
      <c r="FE336">
        <f>IF(ISBLANK('Data Entry'!$á$336), "", 'Data Entry'!$á$336)</f>
      </c>
      <c r="FF336">
        <f>IF(ISBLANK('Data Entry'!$â$336), "", 'Data Entry'!$â$336)</f>
      </c>
      <c r="FG336">
        <f>IF(ISBLANK('Data Entry'!$ã$336), "", 'Data Entry'!$ã$336)</f>
      </c>
      <c r="FH336">
        <f>IF(ISBLANK('Data Entry'!$ä$336), "", 'Data Entry'!$ä$336)</f>
      </c>
      <c r="FI336">
        <f>IF(ISBLANK('Data Entry'!$å$336), "", 'Data Entry'!$å$336)</f>
      </c>
      <c r="FJ336">
        <f>IF(ISBLANK('Data Entry'!$æ$336), "", 'Data Entry'!$æ$336)</f>
      </c>
      <c r="FK336">
        <f>IF(ISBLANK('Data Entry'!$ç$336), "", 'Data Entry'!$ç$336)</f>
      </c>
      <c r="FL336">
        <f>IF(ISBLANK('Data Entry'!$è$336), "", 'Data Entry'!$è$336)</f>
      </c>
      <c r="FM336">
        <f>IF(ISBLANK('Data Entry'!$é$336), "", 'Data Entry'!$é$336)</f>
      </c>
      <c r="FN336">
        <f>IF(ISBLANK('Data Entry'!$ê$336), "", 'Data Entry'!$ê$336)</f>
      </c>
      <c r="FO336">
        <f>IF(ISBLANK('Data Entry'!$ë$336), "", 'Data Entry'!$ë$336)</f>
      </c>
      <c r="FP336">
        <f>IF(ISBLANK('Data Entry'!$ì$336), "", 'Data Entry'!$ì$336)</f>
      </c>
      <c r="FQ336">
        <f>IF(ISBLANK('Data Entry'!$í$336), "", 'Data Entry'!$í$336)</f>
      </c>
      <c r="FR336">
        <f>IF(ISBLANK('Data Entry'!$î$336), "", 'Data Entry'!$î$336)</f>
      </c>
      <c r="FS336">
        <f>IF(ISBLANK('Data Entry'!$ï$336), "", 'Data Entry'!$ï$336)</f>
      </c>
      <c r="FT336">
        <f>IF(ISBLANK('Data Entry'!$ð$336), "", 'Data Entry'!$ð$336)</f>
      </c>
      <c r="FU336">
        <f>IF(ISBLANK('Data Entry'!$ñ$336), "", 'Data Entry'!$ñ$336)</f>
      </c>
      <c r="FV336">
        <f>IF(ISBLANK('Data Entry'!$ò$336), "", 'Data Entry'!$ò$336)</f>
      </c>
      <c r="FW336">
        <f>IF(ISBLANK('Data Entry'!$ó$336), "", 'Data Entry'!$ó$336)</f>
      </c>
      <c r="FX336">
        <f>IF(ISBLANK('Data Entry'!$ô$336), "", 'Data Entry'!$ô$336)</f>
      </c>
      <c r="FY336">
        <f>IF(ISBLANK('Data Entry'!$õ$336), "", 'Data Entry'!$õ$336)</f>
      </c>
      <c r="FZ336">
        <f>IF(ISBLANK('Data Entry'!$ö$336), "", 'Data Entry'!$ö$336)</f>
      </c>
      <c r="GA336">
        <f>IF(ISBLANK('Data Entry'!$÷$336), "", 'Data Entry'!$÷$336)</f>
      </c>
      <c r="GB336">
        <f>IF(ISBLANK('Data Entry'!$ø$336), "", 'Data Entry'!$ø$336)</f>
      </c>
      <c r="GC336">
        <f>IF(ISBLANK('Data Entry'!$ù$336), "", 'Data Entry'!$ù$336)</f>
      </c>
      <c r="GD336">
        <f>IF(ISBLANK('Data Entry'!$ú$336), "", 'Data Entry'!$ú$336)</f>
      </c>
      <c r="GE336">
        <f>IF(ISBLANK('Data Entry'!$û$336), "", 'Data Entry'!$û$336)</f>
      </c>
      <c r="GF336">
        <f>IF(ISBLANK('Data Entry'!$ü$336), "", 'Data Entry'!$ü$336)</f>
      </c>
      <c r="GG336">
        <f>IF(ISBLANK('Data Entry'!$ý$336), "", 'Data Entry'!$ý$336)</f>
      </c>
      <c r="GH336">
        <f>IF(ISBLANK('Data Entry'!$þ$336), "", 'Data Entry'!$þ$336)</f>
      </c>
      <c r="GI336">
        <f>IF(ISBLANK('Data Entry'!$ÿ$336), "", 'Data Entry'!$ÿ$336)</f>
      </c>
      <c r="GJ336">
        <f>IF(ISBLANK('Data Entry'!$Ā$336), "", 'Data Entry'!$Ā$336)</f>
      </c>
      <c r="GK336">
        <f>IF(ISBLANK('Data Entry'!$ā$336), "", 'Data Entry'!$ā$336)</f>
      </c>
      <c r="GL336">
        <f>IF(ISBLANK('Data Entry'!$Ă$336), "", 'Data Entry'!$Ă$336)</f>
      </c>
      <c r="GM336">
        <f>IF(ISBLANK('Data Entry'!$ă$336), "", 'Data Entry'!$ă$336)</f>
      </c>
      <c r="GN336">
        <f>IF(ISBLANK('Data Entry'!$Ą$336), "", 'Data Entry'!$Ą$336)</f>
      </c>
      <c r="GO336">
        <f>IF(ISBLANK('Data Entry'!$ą$336), "", 'Data Entry'!$ą$336)</f>
      </c>
      <c r="GP336">
        <f>IF(ISBLANK('Data Entry'!$Ć$336), "", 'Data Entry'!$Ć$336)</f>
      </c>
      <c r="GQ336">
        <f>IF(ISBLANK('Data Entry'!$ć$336), "", 'Data Entry'!$ć$336)</f>
      </c>
      <c r="GR336">
        <f>IF(ISBLANK('Data Entry'!$Ĉ$336), "", 'Data Entry'!$Ĉ$336)</f>
      </c>
      <c r="GS336">
        <f>IF(ISBLANK('Data Entry'!$ĉ$336), "", 'Data Entry'!$ĉ$336)</f>
      </c>
      <c r="GT336">
        <f>IF(ISBLANK('Data Entry'!$Ċ$336), "", 'Data Entry'!$Ċ$336)</f>
      </c>
      <c r="GU336">
        <f>IF(ISBLANK('Data Entry'!$ċ$336), "", 'Data Entry'!$ċ$336)</f>
      </c>
      <c r="GV336">
        <f>IF(ISBLANK('Data Entry'!$Č$336), "", 'Data Entry'!$Č$336)</f>
      </c>
      <c r="GW336">
        <f>IF(ISBLANK('Data Entry'!$č$336), "", 'Data Entry'!$č$336)</f>
      </c>
      <c r="GX336">
        <f>IF(ISBLANK('Data Entry'!$Ď$336), "", 'Data Entry'!$Ď$336)</f>
      </c>
      <c r="GY336">
        <f>IF(ISBLANK('Data Entry'!$ď$336), "", 'Data Entry'!$ď$336)</f>
      </c>
      <c r="GZ336">
        <f>IF(ISBLANK('Data Entry'!$Đ$336), "", 'Data Entry'!$Đ$336)</f>
      </c>
      <c r="HA336">
        <f>IF(ISBLANK('Data Entry'!$đ$336), "", 'Data Entry'!$đ$336)</f>
      </c>
      <c r="HB336">
        <f>IF(ISBLANK('Data Entry'!$Ē$336), "", 'Data Entry'!$Ē$336)</f>
      </c>
      <c r="HC336">
        <f>IF(ISBLANK('Data Entry'!$ē$336), "", 'Data Entry'!$ē$336)</f>
      </c>
      <c r="HD336">
        <f>IF(ISBLANK('Data Entry'!$Ĕ$336), "", 'Data Entry'!$Ĕ$336)</f>
      </c>
      <c r="HE336">
        <f>IF(ISBLANK('Data Entry'!$ĕ$336), "", 'Data Entry'!$ĕ$336)</f>
      </c>
      <c r="HF336">
        <f>IF(ISBLANK('Data Entry'!$Ė$336), "", 'Data Entry'!$Ė$336)</f>
      </c>
      <c r="HG336">
        <f>IF(ISBLANK('Data Entry'!$ė$336), "", 'Data Entry'!$ė$336)</f>
      </c>
      <c r="HH336">
        <f>IF(ISBLANK('Data Entry'!$Ę$336), "", 'Data Entry'!$Ę$336)</f>
      </c>
      <c r="HI336">
        <f>IF(ISBLANK('Data Entry'!$ę$336), "", 'Data Entry'!$ę$336)</f>
      </c>
      <c r="HJ336">
        <f>IF(ISBLANK('Data Entry'!$Ě$336), "", 'Data Entry'!$Ě$336)</f>
      </c>
      <c r="HK336">
        <f>IF(ISBLANK('Data Entry'!$ě$336), "", 'Data Entry'!$ě$336)</f>
      </c>
      <c r="HL336">
        <f>IF(ISBLANK('Data Entry'!$Ĝ$336), "", 'Data Entry'!$Ĝ$336)</f>
      </c>
      <c r="HM336">
        <f>IF(ISBLANK('Data Entry'!$ĝ$336), "", 'Data Entry'!$ĝ$336)</f>
      </c>
      <c r="HN336">
        <f>IF(ISBLANK('Data Entry'!$Ğ$336), "", 'Data Entry'!$Ğ$336)</f>
      </c>
      <c r="HO336">
        <f>IF(ISBLANK('Data Entry'!$ğ$336), "", 'Data Entry'!$ğ$336)</f>
      </c>
      <c r="HP336">
        <f>IF(ISBLANK('Data Entry'!$Ġ$336), "", 'Data Entry'!$Ġ$336)</f>
      </c>
      <c r="HQ336">
        <f>IF(ISBLANK('Data Entry'!$ġ$336), "", 'Data Entry'!$ġ$336)</f>
      </c>
      <c r="HR336">
        <f>IF(ISBLANK('Data Entry'!$Ģ$336), "", 'Data Entry'!$Ģ$336)</f>
      </c>
      <c r="HS336">
        <f>IF(ISBLANK('Data Entry'!$ģ$336), "", 'Data Entry'!$ģ$336)</f>
      </c>
      <c r="HT336">
        <f>IF(ISBLANK('Data Entry'!$Ĥ$336), "", 'Data Entry'!$Ĥ$336)</f>
      </c>
      <c r="HU336">
        <f>IF(ISBLANK('Data Entry'!$ĥ$336), "", 'Data Entry'!$ĥ$336)</f>
      </c>
      <c r="HV336">
        <f>IF(ISBLANK('Data Entry'!$Ħ$336), "", 'Data Entry'!$Ħ$336)</f>
      </c>
      <c r="HW336">
        <f>IF(ISBLANK('Data Entry'!$ħ$336), "", 'Data Entry'!$ħ$336)</f>
      </c>
      <c r="HX336">
        <f>IF(ISBLANK('Data Entry'!$Ĩ$336), "", 'Data Entry'!$Ĩ$336)</f>
      </c>
      <c r="HY336">
        <f>IF(ISBLANK('Data Entry'!$ĩ$336), "", 'Data Entry'!$ĩ$336)</f>
      </c>
      <c r="HZ336">
        <f>IF(ISBLANK('Data Entry'!$Ī$336), "", 'Data Entry'!$Ī$336)</f>
      </c>
      <c r="IA336">
        <f>IF(ISBLANK('Data Entry'!$ī$336), "", 'Data Entry'!$ī$336)</f>
      </c>
      <c r="IB336">
        <f>IF(ISBLANK('Data Entry'!$Ĭ$336), "", 'Data Entry'!$Ĭ$336)</f>
      </c>
      <c r="IC336">
        <f>IF(ISBLANK('Data Entry'!$ĭ$336), "", 'Data Entry'!$ĭ$336)</f>
      </c>
      <c r="ID336">
        <f>IF(ISBLANK('Data Entry'!$Į$336), "", 'Data Entry'!$Į$336)</f>
      </c>
      <c r="IE336">
        <f>IF(ISBLANK('Data Entry'!$į$336), "", 'Data Entry'!$į$336)</f>
      </c>
      <c r="IF336">
        <f>IF(ISBLANK('Data Entry'!$İ$336), "", 'Data Entry'!$İ$336)</f>
      </c>
      <c r="IG336">
        <f>IF(ISBLANK('Data Entry'!$ı$336), "", 'Data Entry'!$ı$336)</f>
      </c>
      <c r="IH336">
        <f>IF(ISBLANK('Data Entry'!$Ĳ$336), "", 'Data Entry'!$Ĳ$336)</f>
      </c>
      <c r="II336">
        <f>IF(ISBLANK('Data Entry'!$ĳ$336), "", 'Data Entry'!$ĳ$336)</f>
      </c>
      <c r="IJ336">
        <f>IF(ISBLANK('Data Entry'!$Ĵ$336), "", 'Data Entry'!$Ĵ$336)</f>
      </c>
      <c r="IK336">
        <f>IF(ISBLANK('Data Entry'!$ĵ$336), "", 'Data Entry'!$ĵ$336)</f>
      </c>
      <c r="IL336">
        <f>IF(ISBLANK('Data Entry'!$Ķ$336), "", 'Data Entry'!$Ķ$336)</f>
      </c>
      <c r="IM336">
        <f>IF(ISBLANK('Data Entry'!$ķ$336), "", 'Data Entry'!$ķ$336)</f>
      </c>
      <c r="IN336">
        <f>IF(ISBLANK('Data Entry'!$ĸ$336), "", 'Data Entry'!$ĸ$336)</f>
      </c>
      <c r="IO336">
        <f>IF(ISBLANK('Data Entry'!$Ĺ$336), "", 'Data Entry'!$Ĺ$336)</f>
      </c>
      <c r="IP336">
        <f>IF(ISBLANK('Data Entry'!$ĺ$336), "", 'Data Entry'!$ĺ$336)</f>
      </c>
      <c r="IQ336">
        <f>IF(ISBLANK('Data Entry'!$Ļ$336), "", 'Data Entry'!$Ļ$336)</f>
      </c>
      <c r="IR336">
        <f>IF(ISBLANK('Data Entry'!$ļ$336), "", 'Data Entry'!$ļ$336)</f>
      </c>
      <c r="IS336">
        <f>IF(ISBLANK('Data Entry'!$Ľ$336), "", 'Data Entry'!$Ľ$336)</f>
      </c>
      <c r="IT336">
        <f>IF(ISBLANK('Data Entry'!$ľ$336), "", 'Data Entry'!$ľ$336)</f>
      </c>
    </row>
    <row r="337" spans="1:254" x14ac:dyDescent="0.25">
      <c r="A337">
        <f>IF(ISBLANK('Data Entry'!$A$337), "", 'Data Entry'!$A$337)</f>
      </c>
      <c r="B337">
        <f>IF(ISBLANK('Data Entry'!$B$337), "", 'Data Entry'!$B$337)</f>
      </c>
      <c r="C337">
        <f>IF(ISBLANK('Data Entry'!$C$337), "", 'Data Entry'!$C$337)</f>
      </c>
      <c r="D337">
        <f>IF(ISBLANK('Data Entry'!$D$337), "", 'Data Entry'!$D$337)</f>
      </c>
      <c r="E337">
        <f>IF(ISBLANK('Data Entry'!$E$337), "", 'Data Entry'!$E$337)</f>
      </c>
      <c r="F337">
        <f>IF(ISBLANK('Data Entry'!$F$337), "", 'Data Entry'!$F$337)</f>
      </c>
      <c r="G337">
        <f>IF(ISBLANK('Data Entry'!$G$337), "", 'Data Entry'!$G$337)</f>
      </c>
      <c r="H337">
        <f>IF(ISBLANK('Data Entry'!$H$337), "", 'Data Entry'!$H$337)</f>
      </c>
      <c r="I337">
        <f>IF(ISBLANK('Data Entry'!$I$337), "", 'Data Entry'!$I$337)</f>
      </c>
      <c r="J337">
        <f>IF(ISBLANK('Data Entry'!$J$337), "", 'Data Entry'!$J$337)</f>
      </c>
      <c r="K337">
        <f>IF(ISBLANK('Data Entry'!$K$337), "", 'Data Entry'!$K$337)</f>
      </c>
      <c r="L337">
        <f>IF(ISBLANK('Data Entry'!$L$337), "", 'Data Entry'!$L$337)</f>
      </c>
      <c r="M337">
        <f>IF(ISBLANK('Data Entry'!$M$337), "", 'Data Entry'!$M$337)</f>
      </c>
      <c r="N337">
        <f>IF(ISBLANK('Data Entry'!$N$337), "", 'Data Entry'!$N$337)</f>
      </c>
      <c r="O337">
        <f>IF(ISBLANK('Data Entry'!$O$337), "", 'Data Entry'!$O$337)</f>
      </c>
      <c r="P337">
        <f>IF(ISBLANK('Data Entry'!$P$337), "", 'Data Entry'!$P$337)</f>
      </c>
      <c r="Q337">
        <f>IF(ISBLANK('Data Entry'!$Q$337), "", 'Data Entry'!$Q$337)</f>
      </c>
      <c r="R337">
        <f>IF(ISBLANK('Data Entry'!$R$337), "", 'Data Entry'!$R$337)</f>
      </c>
      <c r="S337">
        <f>IF(ISBLANK('Data Entry'!$S$337), "", 'Data Entry'!$S$337)</f>
      </c>
      <c r="T337">
        <f>IF(ISBLANK('Data Entry'!$T$337), "", 'Data Entry'!$T$337)</f>
      </c>
      <c r="U337">
        <f>IF(ISBLANK('Data Entry'!$U$337), "", 'Data Entry'!$U$337)</f>
      </c>
      <c r="V337">
        <f>IF(ISBLANK('Data Entry'!$V$337), "", 'Data Entry'!$V$337)</f>
      </c>
      <c r="W337">
        <f>IF(ISBLANK('Data Entry'!$W$337), "", 'Data Entry'!$W$337)</f>
      </c>
      <c r="X337">
        <f>IF(ISBLANK('Data Entry'!$X$337), "", 'Data Entry'!$X$337)</f>
      </c>
      <c r="Y337">
        <f>IF(ISBLANK('Data Entry'!$Y$337), "", 'Data Entry'!$Y$337)</f>
      </c>
      <c r="Z337">
        <f>IF(ISBLANK('Data Entry'!$Z$337), "", 'Data Entry'!$Z$337)</f>
      </c>
      <c r="AA337">
        <f>IF(ISBLANK('Data Entry'!$[$337), "", 'Data Entry'!$[$337)</f>
      </c>
      <c r="AB337">
        <f>IF(ISBLANK('Data Entry'!$\$337), "", 'Data Entry'!$\$337)</f>
      </c>
      <c r="AC337">
        <f>IF(ISBLANK('Data Entry'!$]$337), "", 'Data Entry'!$]$337)</f>
      </c>
      <c r="AD337">
        <f>IF(ISBLANK('Data Entry'!$^$337), "", 'Data Entry'!$^$337)</f>
      </c>
      <c r="AE337">
        <f>IF(ISBLANK('Data Entry'!$_$337), "", 'Data Entry'!$_$337)</f>
      </c>
      <c r="AF337">
        <f>IF(ISBLANK('Data Entry'!$`$337), "", 'Data Entry'!$`$337)</f>
      </c>
      <c r="AG337">
        <f>IF(ISBLANK('Data Entry'!$a$337), "", 'Data Entry'!$a$337)</f>
      </c>
      <c r="AH337">
        <f>IF(ISBLANK('Data Entry'!$b$337), "", 'Data Entry'!$b$337)</f>
      </c>
      <c r="AI337">
        <f>IF(ISBLANK('Data Entry'!$c$337), "", 'Data Entry'!$c$337)</f>
      </c>
      <c r="AJ337">
        <f>IF(ISBLANK('Data Entry'!$d$337), "", 'Data Entry'!$d$337)</f>
      </c>
      <c r="AK337">
        <f>IF(ISBLANK('Data Entry'!$e$337), "", 'Data Entry'!$e$337)</f>
      </c>
      <c r="AL337">
        <f>IF(ISBLANK('Data Entry'!$f$337), "", 'Data Entry'!$f$337)</f>
      </c>
      <c r="AM337">
        <f>IF(ISBLANK('Data Entry'!$g$337), "", 'Data Entry'!$g$337)</f>
      </c>
      <c r="AN337">
        <f>IF(ISBLANK('Data Entry'!$h$337), "", 'Data Entry'!$h$337)</f>
      </c>
      <c r="AO337">
        <f>IF(ISBLANK('Data Entry'!$i$337), "", 'Data Entry'!$i$337)</f>
      </c>
      <c r="AP337">
        <f>IF(ISBLANK('Data Entry'!$j$337), "", 'Data Entry'!$j$337)</f>
      </c>
      <c r="AQ337">
        <f>IF(ISBLANK('Data Entry'!$k$337), "", 'Data Entry'!$k$337)</f>
      </c>
      <c r="AR337">
        <f>IF(ISBLANK('Data Entry'!$l$337), "", 'Data Entry'!$l$337)</f>
      </c>
      <c r="AS337">
        <f>IF(ISBLANK('Data Entry'!$m$337), "", 'Data Entry'!$m$337)</f>
      </c>
      <c r="AT337">
        <f>IF(ISBLANK('Data Entry'!$n$337), "", 'Data Entry'!$n$337)</f>
      </c>
      <c r="AU337">
        <f>IF(ISBLANK('Data Entry'!$o$337), "", 'Data Entry'!$o$337)</f>
      </c>
      <c r="AV337">
        <f>IF(ISBLANK('Data Entry'!$p$337), "", 'Data Entry'!$p$337)</f>
      </c>
      <c r="AW337">
        <f>IF(ISBLANK('Data Entry'!$q$337), "", 'Data Entry'!$q$337)</f>
      </c>
      <c r="AX337">
        <f>IF(ISBLANK('Data Entry'!$r$337), "", 'Data Entry'!$r$337)</f>
      </c>
      <c r="AY337">
        <f>IF(ISBLANK('Data Entry'!$s$337), "", 'Data Entry'!$s$337)</f>
      </c>
      <c r="AZ337">
        <f>IF(ISBLANK('Data Entry'!$t$337), "", 'Data Entry'!$t$337)</f>
      </c>
      <c r="BA337">
        <f>IF(ISBLANK('Data Entry'!$u$337), "", 'Data Entry'!$u$337)</f>
      </c>
      <c r="BB337">
        <f>IF(ISBLANK('Data Entry'!$v$337), "", 'Data Entry'!$v$337)</f>
      </c>
      <c r="BC337">
        <f>IF(ISBLANK('Data Entry'!$w$337), "", 'Data Entry'!$w$337)</f>
      </c>
      <c r="BD337">
        <f>IF(ISBLANK('Data Entry'!$x$337), "", 'Data Entry'!$x$337)</f>
      </c>
      <c r="BE337">
        <f>IF(ISBLANK('Data Entry'!$y$337), "", 'Data Entry'!$y$337)</f>
      </c>
      <c r="BF337">
        <f>IF(ISBLANK('Data Entry'!$z$337), "", 'Data Entry'!$z$337)</f>
      </c>
      <c r="BG337">
        <f>IF(ISBLANK('Data Entry'!${$337), "", 'Data Entry'!${$337)</f>
      </c>
      <c r="BH337">
        <f>IF(ISBLANK('Data Entry'!$|$337), "", 'Data Entry'!$|$337)</f>
      </c>
      <c r="BI337">
        <f>IF(ISBLANK('Data Entry'!$}$337), "", 'Data Entry'!$}$337)</f>
      </c>
      <c r="BJ337">
        <f>IF(ISBLANK('Data Entry'!$~$337), "", 'Data Entry'!$~$337)</f>
      </c>
      <c r="BK337">
        <f>IF(ISBLANK('Data Entry'!$$337), "", 'Data Entry'!$$337)</f>
      </c>
      <c r="BL337">
        <f>IF(ISBLANK('Data Entry'!$$337), "", 'Data Entry'!$$337)</f>
      </c>
      <c r="BM337">
        <f>IF(ISBLANK('Data Entry'!$$337), "", 'Data Entry'!$$337)</f>
      </c>
      <c r="BN337">
        <f>IF(ISBLANK('Data Entry'!$$337), "", 'Data Entry'!$$337)</f>
      </c>
      <c r="BO337">
        <f>IF(ISBLANK('Data Entry'!$$337), "", 'Data Entry'!$$337)</f>
      </c>
      <c r="BP337">
        <f>IF(ISBLANK('Data Entry'!$$337), "", 'Data Entry'!$$337)</f>
      </c>
      <c r="BQ337">
        <f>IF(ISBLANK('Data Entry'!$$337), "", 'Data Entry'!$$337)</f>
      </c>
      <c r="BR337">
        <f>IF(ISBLANK('Data Entry'!$$337), "", 'Data Entry'!$$337)</f>
      </c>
      <c r="BS337">
        <f>IF(ISBLANK('Data Entry'!$$337), "", 'Data Entry'!$$337)</f>
      </c>
      <c r="BT337">
        <f>IF(ISBLANK('Data Entry'!$$337), "", 'Data Entry'!$$337)</f>
      </c>
      <c r="BU337">
        <f>IF(ISBLANK('Data Entry'!$$337), "", 'Data Entry'!$$337)</f>
      </c>
      <c r="BV337">
        <f>IF(ISBLANK('Data Entry'!$$337), "", 'Data Entry'!$$337)</f>
      </c>
      <c r="BW337">
        <f>IF(ISBLANK('Data Entry'!$$337), "", 'Data Entry'!$$337)</f>
      </c>
      <c r="BX337">
        <f>IF(ISBLANK('Data Entry'!$$337), "", 'Data Entry'!$$337)</f>
      </c>
      <c r="BY337">
        <f>IF(ISBLANK('Data Entry'!$$337), "", 'Data Entry'!$$337)</f>
      </c>
      <c r="BZ337">
        <f>IF(ISBLANK('Data Entry'!$$337), "", 'Data Entry'!$$337)</f>
      </c>
      <c r="CA337">
        <f>IF(ISBLANK('Data Entry'!$$337), "", 'Data Entry'!$$337)</f>
      </c>
      <c r="CB337">
        <f>IF(ISBLANK('Data Entry'!$$337), "", 'Data Entry'!$$337)</f>
      </c>
      <c r="CC337">
        <f>IF(ISBLANK('Data Entry'!$$337), "", 'Data Entry'!$$337)</f>
      </c>
      <c r="CD337">
        <f>IF(ISBLANK('Data Entry'!$$337), "", 'Data Entry'!$$337)</f>
      </c>
      <c r="CE337">
        <f>IF(ISBLANK('Data Entry'!$$337), "", 'Data Entry'!$$337)</f>
      </c>
      <c r="CF337">
        <f>IF(ISBLANK('Data Entry'!$$337), "", 'Data Entry'!$$337)</f>
      </c>
      <c r="CG337">
        <f>IF(ISBLANK('Data Entry'!$$337), "", 'Data Entry'!$$337)</f>
      </c>
      <c r="CH337">
        <f>IF(ISBLANK('Data Entry'!$$337), "", 'Data Entry'!$$337)</f>
      </c>
      <c r="CI337">
        <f>IF(ISBLANK('Data Entry'!$$337), "", 'Data Entry'!$$337)</f>
      </c>
      <c r="CJ337">
        <f>IF(ISBLANK('Data Entry'!$$337), "", 'Data Entry'!$$337)</f>
      </c>
      <c r="CK337">
        <f>IF(ISBLANK('Data Entry'!$$337), "", 'Data Entry'!$$337)</f>
      </c>
      <c r="CL337">
        <f>IF(ISBLANK('Data Entry'!$$337), "", 'Data Entry'!$$337)</f>
      </c>
      <c r="CM337">
        <f>IF(ISBLANK('Data Entry'!$$337), "", 'Data Entry'!$$337)</f>
      </c>
      <c r="CN337">
        <f>IF(ISBLANK('Data Entry'!$$337), "", 'Data Entry'!$$337)</f>
      </c>
      <c r="CO337">
        <f>IF(ISBLANK('Data Entry'!$$337), "", 'Data Entry'!$$337)</f>
      </c>
      <c r="CP337">
        <f>IF(ISBLANK('Data Entry'!$$337), "", 'Data Entry'!$$337)</f>
      </c>
      <c r="CQ337">
        <f>IF(ISBLANK('Data Entry'!$$337), "", 'Data Entry'!$$337)</f>
      </c>
      <c r="CR337">
        <f>IF(ISBLANK('Data Entry'!$ $337), "", 'Data Entry'!$ $337)</f>
      </c>
      <c r="CS337">
        <f>IF(ISBLANK('Data Entry'!$¡$337), "", 'Data Entry'!$¡$337)</f>
      </c>
      <c r="CT337">
        <f>IF(ISBLANK('Data Entry'!$¢$337), "", 'Data Entry'!$¢$337)</f>
      </c>
      <c r="CU337">
        <f>IF(ISBLANK('Data Entry'!$£$337), "", 'Data Entry'!$£$337)</f>
      </c>
      <c r="CV337">
        <f>IF(ISBLANK('Data Entry'!$¤$337), "", 'Data Entry'!$¤$337)</f>
      </c>
      <c r="CW337">
        <f>IF(ISBLANK('Data Entry'!$¥$337), "", 'Data Entry'!$¥$337)</f>
      </c>
      <c r="CX337">
        <f>IF(ISBLANK('Data Entry'!$¦$337), "", 'Data Entry'!$¦$337)</f>
      </c>
      <c r="CY337">
        <f>IF(ISBLANK('Data Entry'!$§$337), "", 'Data Entry'!$§$337)</f>
      </c>
      <c r="CZ337">
        <f>IF(ISBLANK('Data Entry'!$¨$337), "", 'Data Entry'!$¨$337)</f>
      </c>
      <c r="DA337">
        <f>IF(ISBLANK('Data Entry'!$©$337), "", 'Data Entry'!$©$337)</f>
      </c>
      <c r="DB337">
        <f>IF(ISBLANK('Data Entry'!$ª$337), "", 'Data Entry'!$ª$337)</f>
      </c>
      <c r="DC337">
        <f>IF(ISBLANK('Data Entry'!$«$337), "", 'Data Entry'!$«$337)</f>
      </c>
      <c r="DD337">
        <f>IF(ISBLANK('Data Entry'!$¬$337), "", 'Data Entry'!$¬$337)</f>
      </c>
      <c r="DE337">
        <f>IF(ISBLANK('Data Entry'!$­$337), "", 'Data Entry'!$­$337)</f>
      </c>
      <c r="DF337">
        <f>IF(ISBLANK('Data Entry'!$®$337), "", 'Data Entry'!$®$337)</f>
      </c>
      <c r="DG337">
        <f>IF(ISBLANK('Data Entry'!$¯$337), "", 'Data Entry'!$¯$337)</f>
      </c>
      <c r="DH337">
        <f>IF(ISBLANK('Data Entry'!$°$337), "", 'Data Entry'!$°$337)</f>
      </c>
      <c r="DI337">
        <f>IF(ISBLANK('Data Entry'!$±$337), "", 'Data Entry'!$±$337)</f>
      </c>
      <c r="DJ337">
        <f>IF(ISBLANK('Data Entry'!$²$337), "", 'Data Entry'!$²$337)</f>
      </c>
      <c r="DK337">
        <f>IF(ISBLANK('Data Entry'!$³$337), "", 'Data Entry'!$³$337)</f>
      </c>
      <c r="DL337">
        <f>IF(ISBLANK('Data Entry'!$´$337), "", 'Data Entry'!$´$337)</f>
      </c>
      <c r="DM337">
        <f>IF(ISBLANK('Data Entry'!$µ$337), "", 'Data Entry'!$µ$337)</f>
      </c>
      <c r="DN337">
        <f>IF(ISBLANK('Data Entry'!$¶$337), "", 'Data Entry'!$¶$337)</f>
      </c>
      <c r="DO337">
        <f>IF(ISBLANK('Data Entry'!$·$337), "", 'Data Entry'!$·$337)</f>
      </c>
      <c r="DP337">
        <f>IF(ISBLANK('Data Entry'!$¸$337), "", 'Data Entry'!$¸$337)</f>
      </c>
      <c r="DQ337">
        <f>IF(ISBLANK('Data Entry'!$¹$337), "", 'Data Entry'!$¹$337)</f>
      </c>
      <c r="DR337">
        <f>IF(ISBLANK('Data Entry'!$º$337), "", 'Data Entry'!$º$337)</f>
      </c>
      <c r="DS337">
        <f>IF(ISBLANK('Data Entry'!$»$337), "", 'Data Entry'!$»$337)</f>
      </c>
      <c r="DT337">
        <f>IF(ISBLANK('Data Entry'!$¼$337), "", 'Data Entry'!$¼$337)</f>
      </c>
      <c r="DU337">
        <f>IF(ISBLANK('Data Entry'!$½$337), "", 'Data Entry'!$½$337)</f>
      </c>
      <c r="DV337">
        <f>IF(ISBLANK('Data Entry'!$¾$337), "", 'Data Entry'!$¾$337)</f>
      </c>
      <c r="DW337">
        <f>IF(ISBLANK('Data Entry'!$¿$337), "", 'Data Entry'!$¿$337)</f>
      </c>
      <c r="DX337">
        <f>IF(ISBLANK('Data Entry'!$À$337), "", 'Data Entry'!$À$337)</f>
      </c>
      <c r="DY337">
        <f>IF(ISBLANK('Data Entry'!$Á$337), "", 'Data Entry'!$Á$337)</f>
      </c>
      <c r="DZ337">
        <f>IF(ISBLANK('Data Entry'!$Â$337), "", 'Data Entry'!$Â$337)</f>
      </c>
      <c r="EA337">
        <f>IF(ISBLANK('Data Entry'!$Ã$337), "", 'Data Entry'!$Ã$337)</f>
      </c>
      <c r="EB337">
        <f>IF(ISBLANK('Data Entry'!$Ä$337), "", 'Data Entry'!$Ä$337)</f>
      </c>
      <c r="EC337">
        <f>IF(ISBLANK('Data Entry'!$Å$337), "", 'Data Entry'!$Å$337)</f>
      </c>
      <c r="ED337">
        <f>IF(ISBLANK('Data Entry'!$Æ$337), "", 'Data Entry'!$Æ$337)</f>
      </c>
      <c r="EE337">
        <f>IF(ISBLANK('Data Entry'!$Ç$337), "", 'Data Entry'!$Ç$337)</f>
      </c>
      <c r="EF337">
        <f>IF(ISBLANK('Data Entry'!$È$337), "", 'Data Entry'!$È$337)</f>
      </c>
      <c r="EG337">
        <f>IF(ISBLANK('Data Entry'!$É$337), "", 'Data Entry'!$É$337)</f>
      </c>
      <c r="EH337">
        <f>IF(ISBLANK('Data Entry'!$Ê$337), "", 'Data Entry'!$Ê$337)</f>
      </c>
      <c r="EI337">
        <f>IF(ISBLANK('Data Entry'!$Ë$337), "", 'Data Entry'!$Ë$337)</f>
      </c>
      <c r="EJ337">
        <f>IF(ISBLANK('Data Entry'!$Ì$337), "", 'Data Entry'!$Ì$337)</f>
      </c>
      <c r="EK337">
        <f>IF(ISBLANK('Data Entry'!$Í$337), "", 'Data Entry'!$Í$337)</f>
      </c>
      <c r="EL337">
        <f>IF(ISBLANK('Data Entry'!$Î$337), "", 'Data Entry'!$Î$337)</f>
      </c>
      <c r="EM337">
        <f>IF(ISBLANK('Data Entry'!$Ï$337), "", 'Data Entry'!$Ï$337)</f>
      </c>
      <c r="EN337">
        <f>IF(ISBLANK('Data Entry'!$Ð$337), "", 'Data Entry'!$Ð$337)</f>
      </c>
      <c r="EO337">
        <f>IF(ISBLANK('Data Entry'!$Ñ$337), "", 'Data Entry'!$Ñ$337)</f>
      </c>
      <c r="EP337">
        <f>IF(ISBLANK('Data Entry'!$Ò$337), "", 'Data Entry'!$Ò$337)</f>
      </c>
      <c r="EQ337">
        <f>IF(ISBLANK('Data Entry'!$Ó$337), "", 'Data Entry'!$Ó$337)</f>
      </c>
      <c r="ER337">
        <f>IF(ISBLANK('Data Entry'!$Ô$337), "", 'Data Entry'!$Ô$337)</f>
      </c>
      <c r="ES337">
        <f>IF(ISBLANK('Data Entry'!$Õ$337), "", 'Data Entry'!$Õ$337)</f>
      </c>
      <c r="ET337">
        <f>IF(ISBLANK('Data Entry'!$Ö$337), "", 'Data Entry'!$Ö$337)</f>
      </c>
      <c r="EU337">
        <f>IF(ISBLANK('Data Entry'!$×$337), "", 'Data Entry'!$×$337)</f>
      </c>
      <c r="EV337">
        <f>IF(ISBLANK('Data Entry'!$Ø$337), "", 'Data Entry'!$Ø$337)</f>
      </c>
      <c r="EW337">
        <f>IF(ISBLANK('Data Entry'!$Ù$337), "", 'Data Entry'!$Ù$337)</f>
      </c>
      <c r="EX337">
        <f>IF(ISBLANK('Data Entry'!$Ú$337), "", 'Data Entry'!$Ú$337)</f>
      </c>
      <c r="EY337">
        <f>IF(ISBLANK('Data Entry'!$Û$337), "", 'Data Entry'!$Û$337)</f>
      </c>
      <c r="EZ337">
        <f>IF(ISBLANK('Data Entry'!$Ü$337), "", 'Data Entry'!$Ü$337)</f>
      </c>
      <c r="FA337">
        <f>IF(ISBLANK('Data Entry'!$Ý$337), "", 'Data Entry'!$Ý$337)</f>
      </c>
      <c r="FB337">
        <f>IF(ISBLANK('Data Entry'!$Þ$337), "", 'Data Entry'!$Þ$337)</f>
      </c>
      <c r="FC337">
        <f>IF(ISBLANK('Data Entry'!$ß$337), "", 'Data Entry'!$ß$337)</f>
      </c>
      <c r="FD337">
        <f>IF(ISBLANK('Data Entry'!$à$337), "", 'Data Entry'!$à$337)</f>
      </c>
      <c r="FE337">
        <f>IF(ISBLANK('Data Entry'!$á$337), "", 'Data Entry'!$á$337)</f>
      </c>
      <c r="FF337">
        <f>IF(ISBLANK('Data Entry'!$â$337), "", 'Data Entry'!$â$337)</f>
      </c>
      <c r="FG337">
        <f>IF(ISBLANK('Data Entry'!$ã$337), "", 'Data Entry'!$ã$337)</f>
      </c>
      <c r="FH337">
        <f>IF(ISBLANK('Data Entry'!$ä$337), "", 'Data Entry'!$ä$337)</f>
      </c>
      <c r="FI337">
        <f>IF(ISBLANK('Data Entry'!$å$337), "", 'Data Entry'!$å$337)</f>
      </c>
      <c r="FJ337">
        <f>IF(ISBLANK('Data Entry'!$æ$337), "", 'Data Entry'!$æ$337)</f>
      </c>
      <c r="FK337">
        <f>IF(ISBLANK('Data Entry'!$ç$337), "", 'Data Entry'!$ç$337)</f>
      </c>
      <c r="FL337">
        <f>IF(ISBLANK('Data Entry'!$è$337), "", 'Data Entry'!$è$337)</f>
      </c>
      <c r="FM337">
        <f>IF(ISBLANK('Data Entry'!$é$337), "", 'Data Entry'!$é$337)</f>
      </c>
      <c r="FN337">
        <f>IF(ISBLANK('Data Entry'!$ê$337), "", 'Data Entry'!$ê$337)</f>
      </c>
      <c r="FO337">
        <f>IF(ISBLANK('Data Entry'!$ë$337), "", 'Data Entry'!$ë$337)</f>
      </c>
      <c r="FP337">
        <f>IF(ISBLANK('Data Entry'!$ì$337), "", 'Data Entry'!$ì$337)</f>
      </c>
      <c r="FQ337">
        <f>IF(ISBLANK('Data Entry'!$í$337), "", 'Data Entry'!$í$337)</f>
      </c>
      <c r="FR337">
        <f>IF(ISBLANK('Data Entry'!$î$337), "", 'Data Entry'!$î$337)</f>
      </c>
      <c r="FS337">
        <f>IF(ISBLANK('Data Entry'!$ï$337), "", 'Data Entry'!$ï$337)</f>
      </c>
      <c r="FT337">
        <f>IF(ISBLANK('Data Entry'!$ð$337), "", 'Data Entry'!$ð$337)</f>
      </c>
      <c r="FU337">
        <f>IF(ISBLANK('Data Entry'!$ñ$337), "", 'Data Entry'!$ñ$337)</f>
      </c>
      <c r="FV337">
        <f>IF(ISBLANK('Data Entry'!$ò$337), "", 'Data Entry'!$ò$337)</f>
      </c>
      <c r="FW337">
        <f>IF(ISBLANK('Data Entry'!$ó$337), "", 'Data Entry'!$ó$337)</f>
      </c>
      <c r="FX337">
        <f>IF(ISBLANK('Data Entry'!$ô$337), "", 'Data Entry'!$ô$337)</f>
      </c>
      <c r="FY337">
        <f>IF(ISBLANK('Data Entry'!$õ$337), "", 'Data Entry'!$õ$337)</f>
      </c>
      <c r="FZ337">
        <f>IF(ISBLANK('Data Entry'!$ö$337), "", 'Data Entry'!$ö$337)</f>
      </c>
      <c r="GA337">
        <f>IF(ISBLANK('Data Entry'!$÷$337), "", 'Data Entry'!$÷$337)</f>
      </c>
      <c r="GB337">
        <f>IF(ISBLANK('Data Entry'!$ø$337), "", 'Data Entry'!$ø$337)</f>
      </c>
      <c r="GC337">
        <f>IF(ISBLANK('Data Entry'!$ù$337), "", 'Data Entry'!$ù$337)</f>
      </c>
      <c r="GD337">
        <f>IF(ISBLANK('Data Entry'!$ú$337), "", 'Data Entry'!$ú$337)</f>
      </c>
      <c r="GE337">
        <f>IF(ISBLANK('Data Entry'!$û$337), "", 'Data Entry'!$û$337)</f>
      </c>
      <c r="GF337">
        <f>IF(ISBLANK('Data Entry'!$ü$337), "", 'Data Entry'!$ü$337)</f>
      </c>
      <c r="GG337">
        <f>IF(ISBLANK('Data Entry'!$ý$337), "", 'Data Entry'!$ý$337)</f>
      </c>
      <c r="GH337">
        <f>IF(ISBLANK('Data Entry'!$þ$337), "", 'Data Entry'!$þ$337)</f>
      </c>
      <c r="GI337">
        <f>IF(ISBLANK('Data Entry'!$ÿ$337), "", 'Data Entry'!$ÿ$337)</f>
      </c>
      <c r="GJ337">
        <f>IF(ISBLANK('Data Entry'!$Ā$337), "", 'Data Entry'!$Ā$337)</f>
      </c>
      <c r="GK337">
        <f>IF(ISBLANK('Data Entry'!$ā$337), "", 'Data Entry'!$ā$337)</f>
      </c>
      <c r="GL337">
        <f>IF(ISBLANK('Data Entry'!$Ă$337), "", 'Data Entry'!$Ă$337)</f>
      </c>
      <c r="GM337">
        <f>IF(ISBLANK('Data Entry'!$ă$337), "", 'Data Entry'!$ă$337)</f>
      </c>
      <c r="GN337">
        <f>IF(ISBLANK('Data Entry'!$Ą$337), "", 'Data Entry'!$Ą$337)</f>
      </c>
      <c r="GO337">
        <f>IF(ISBLANK('Data Entry'!$ą$337), "", 'Data Entry'!$ą$337)</f>
      </c>
      <c r="GP337">
        <f>IF(ISBLANK('Data Entry'!$Ć$337), "", 'Data Entry'!$Ć$337)</f>
      </c>
      <c r="GQ337">
        <f>IF(ISBLANK('Data Entry'!$ć$337), "", 'Data Entry'!$ć$337)</f>
      </c>
      <c r="GR337">
        <f>IF(ISBLANK('Data Entry'!$Ĉ$337), "", 'Data Entry'!$Ĉ$337)</f>
      </c>
      <c r="GS337">
        <f>IF(ISBLANK('Data Entry'!$ĉ$337), "", 'Data Entry'!$ĉ$337)</f>
      </c>
      <c r="GT337">
        <f>IF(ISBLANK('Data Entry'!$Ċ$337), "", 'Data Entry'!$Ċ$337)</f>
      </c>
      <c r="GU337">
        <f>IF(ISBLANK('Data Entry'!$ċ$337), "", 'Data Entry'!$ċ$337)</f>
      </c>
      <c r="GV337">
        <f>IF(ISBLANK('Data Entry'!$Č$337), "", 'Data Entry'!$Č$337)</f>
      </c>
      <c r="GW337">
        <f>IF(ISBLANK('Data Entry'!$č$337), "", 'Data Entry'!$č$337)</f>
      </c>
      <c r="GX337">
        <f>IF(ISBLANK('Data Entry'!$Ď$337), "", 'Data Entry'!$Ď$337)</f>
      </c>
      <c r="GY337">
        <f>IF(ISBLANK('Data Entry'!$ď$337), "", 'Data Entry'!$ď$337)</f>
      </c>
      <c r="GZ337">
        <f>IF(ISBLANK('Data Entry'!$Đ$337), "", 'Data Entry'!$Đ$337)</f>
      </c>
      <c r="HA337">
        <f>IF(ISBLANK('Data Entry'!$đ$337), "", 'Data Entry'!$đ$337)</f>
      </c>
      <c r="HB337">
        <f>IF(ISBLANK('Data Entry'!$Ē$337), "", 'Data Entry'!$Ē$337)</f>
      </c>
      <c r="HC337">
        <f>IF(ISBLANK('Data Entry'!$ē$337), "", 'Data Entry'!$ē$337)</f>
      </c>
      <c r="HD337">
        <f>IF(ISBLANK('Data Entry'!$Ĕ$337), "", 'Data Entry'!$Ĕ$337)</f>
      </c>
      <c r="HE337">
        <f>IF(ISBLANK('Data Entry'!$ĕ$337), "", 'Data Entry'!$ĕ$337)</f>
      </c>
      <c r="HF337">
        <f>IF(ISBLANK('Data Entry'!$Ė$337), "", 'Data Entry'!$Ė$337)</f>
      </c>
      <c r="HG337">
        <f>IF(ISBLANK('Data Entry'!$ė$337), "", 'Data Entry'!$ė$337)</f>
      </c>
      <c r="HH337">
        <f>IF(ISBLANK('Data Entry'!$Ę$337), "", 'Data Entry'!$Ę$337)</f>
      </c>
      <c r="HI337">
        <f>IF(ISBLANK('Data Entry'!$ę$337), "", 'Data Entry'!$ę$337)</f>
      </c>
      <c r="HJ337">
        <f>IF(ISBLANK('Data Entry'!$Ě$337), "", 'Data Entry'!$Ě$337)</f>
      </c>
      <c r="HK337">
        <f>IF(ISBLANK('Data Entry'!$ě$337), "", 'Data Entry'!$ě$337)</f>
      </c>
      <c r="HL337">
        <f>IF(ISBLANK('Data Entry'!$Ĝ$337), "", 'Data Entry'!$Ĝ$337)</f>
      </c>
      <c r="HM337">
        <f>IF(ISBLANK('Data Entry'!$ĝ$337), "", 'Data Entry'!$ĝ$337)</f>
      </c>
      <c r="HN337">
        <f>IF(ISBLANK('Data Entry'!$Ğ$337), "", 'Data Entry'!$Ğ$337)</f>
      </c>
      <c r="HO337">
        <f>IF(ISBLANK('Data Entry'!$ğ$337), "", 'Data Entry'!$ğ$337)</f>
      </c>
      <c r="HP337">
        <f>IF(ISBLANK('Data Entry'!$Ġ$337), "", 'Data Entry'!$Ġ$337)</f>
      </c>
      <c r="HQ337">
        <f>IF(ISBLANK('Data Entry'!$ġ$337), "", 'Data Entry'!$ġ$337)</f>
      </c>
      <c r="HR337">
        <f>IF(ISBLANK('Data Entry'!$Ģ$337), "", 'Data Entry'!$Ģ$337)</f>
      </c>
      <c r="HS337">
        <f>IF(ISBLANK('Data Entry'!$ģ$337), "", 'Data Entry'!$ģ$337)</f>
      </c>
      <c r="HT337">
        <f>IF(ISBLANK('Data Entry'!$Ĥ$337), "", 'Data Entry'!$Ĥ$337)</f>
      </c>
      <c r="HU337">
        <f>IF(ISBLANK('Data Entry'!$ĥ$337), "", 'Data Entry'!$ĥ$337)</f>
      </c>
      <c r="HV337">
        <f>IF(ISBLANK('Data Entry'!$Ħ$337), "", 'Data Entry'!$Ħ$337)</f>
      </c>
      <c r="HW337">
        <f>IF(ISBLANK('Data Entry'!$ħ$337), "", 'Data Entry'!$ħ$337)</f>
      </c>
      <c r="HX337">
        <f>IF(ISBLANK('Data Entry'!$Ĩ$337), "", 'Data Entry'!$Ĩ$337)</f>
      </c>
      <c r="HY337">
        <f>IF(ISBLANK('Data Entry'!$ĩ$337), "", 'Data Entry'!$ĩ$337)</f>
      </c>
      <c r="HZ337">
        <f>IF(ISBLANK('Data Entry'!$Ī$337), "", 'Data Entry'!$Ī$337)</f>
      </c>
      <c r="IA337">
        <f>IF(ISBLANK('Data Entry'!$ī$337), "", 'Data Entry'!$ī$337)</f>
      </c>
      <c r="IB337">
        <f>IF(ISBLANK('Data Entry'!$Ĭ$337), "", 'Data Entry'!$Ĭ$337)</f>
      </c>
      <c r="IC337">
        <f>IF(ISBLANK('Data Entry'!$ĭ$337), "", 'Data Entry'!$ĭ$337)</f>
      </c>
      <c r="ID337">
        <f>IF(ISBLANK('Data Entry'!$Į$337), "", 'Data Entry'!$Į$337)</f>
      </c>
      <c r="IE337">
        <f>IF(ISBLANK('Data Entry'!$į$337), "", 'Data Entry'!$į$337)</f>
      </c>
      <c r="IF337">
        <f>IF(ISBLANK('Data Entry'!$İ$337), "", 'Data Entry'!$İ$337)</f>
      </c>
      <c r="IG337">
        <f>IF(ISBLANK('Data Entry'!$ı$337), "", 'Data Entry'!$ı$337)</f>
      </c>
      <c r="IH337">
        <f>IF(ISBLANK('Data Entry'!$Ĳ$337), "", 'Data Entry'!$Ĳ$337)</f>
      </c>
      <c r="II337">
        <f>IF(ISBLANK('Data Entry'!$ĳ$337), "", 'Data Entry'!$ĳ$337)</f>
      </c>
      <c r="IJ337">
        <f>IF(ISBLANK('Data Entry'!$Ĵ$337), "", 'Data Entry'!$Ĵ$337)</f>
      </c>
      <c r="IK337">
        <f>IF(ISBLANK('Data Entry'!$ĵ$337), "", 'Data Entry'!$ĵ$337)</f>
      </c>
      <c r="IL337">
        <f>IF(ISBLANK('Data Entry'!$Ķ$337), "", 'Data Entry'!$Ķ$337)</f>
      </c>
      <c r="IM337">
        <f>IF(ISBLANK('Data Entry'!$ķ$337), "", 'Data Entry'!$ķ$337)</f>
      </c>
      <c r="IN337">
        <f>IF(ISBLANK('Data Entry'!$ĸ$337), "", 'Data Entry'!$ĸ$337)</f>
      </c>
      <c r="IO337">
        <f>IF(ISBLANK('Data Entry'!$Ĺ$337), "", 'Data Entry'!$Ĺ$337)</f>
      </c>
      <c r="IP337">
        <f>IF(ISBLANK('Data Entry'!$ĺ$337), "", 'Data Entry'!$ĺ$337)</f>
      </c>
      <c r="IQ337">
        <f>IF(ISBLANK('Data Entry'!$Ļ$337), "", 'Data Entry'!$Ļ$337)</f>
      </c>
      <c r="IR337">
        <f>IF(ISBLANK('Data Entry'!$ļ$337), "", 'Data Entry'!$ļ$337)</f>
      </c>
      <c r="IS337">
        <f>IF(ISBLANK('Data Entry'!$Ľ$337), "", 'Data Entry'!$Ľ$337)</f>
      </c>
      <c r="IT337">
        <f>IF(ISBLANK('Data Entry'!$ľ$337), "", 'Data Entry'!$ľ$337)</f>
      </c>
    </row>
    <row r="338" spans="1:254" x14ac:dyDescent="0.25">
      <c r="A338">
        <f>IF(ISBLANK('Data Entry'!$A$338), "", 'Data Entry'!$A$338)</f>
      </c>
      <c r="B338">
        <f>IF(ISBLANK('Data Entry'!$B$338), "", 'Data Entry'!$B$338)</f>
      </c>
      <c r="C338">
        <f>IF(ISBLANK('Data Entry'!$C$338), "", 'Data Entry'!$C$338)</f>
      </c>
      <c r="D338">
        <f>IF(ISBLANK('Data Entry'!$D$338), "", 'Data Entry'!$D$338)</f>
      </c>
      <c r="E338">
        <f>IF(ISBLANK('Data Entry'!$E$338), "", 'Data Entry'!$E$338)</f>
      </c>
      <c r="F338">
        <f>IF(ISBLANK('Data Entry'!$F$338), "", 'Data Entry'!$F$338)</f>
      </c>
      <c r="G338">
        <f>IF(ISBLANK('Data Entry'!$G$338), "", 'Data Entry'!$G$338)</f>
      </c>
      <c r="H338">
        <f>IF(ISBLANK('Data Entry'!$H$338), "", 'Data Entry'!$H$338)</f>
      </c>
      <c r="I338">
        <f>IF(ISBLANK('Data Entry'!$I$338), "", 'Data Entry'!$I$338)</f>
      </c>
      <c r="J338">
        <f>IF(ISBLANK('Data Entry'!$J$338), "", 'Data Entry'!$J$338)</f>
      </c>
      <c r="K338">
        <f>IF(ISBLANK('Data Entry'!$K$338), "", 'Data Entry'!$K$338)</f>
      </c>
      <c r="L338">
        <f>IF(ISBLANK('Data Entry'!$L$338), "", 'Data Entry'!$L$338)</f>
      </c>
      <c r="M338">
        <f>IF(ISBLANK('Data Entry'!$M$338), "", 'Data Entry'!$M$338)</f>
      </c>
      <c r="N338">
        <f>IF(ISBLANK('Data Entry'!$N$338), "", 'Data Entry'!$N$338)</f>
      </c>
      <c r="O338">
        <f>IF(ISBLANK('Data Entry'!$O$338), "", 'Data Entry'!$O$338)</f>
      </c>
      <c r="P338">
        <f>IF(ISBLANK('Data Entry'!$P$338), "", 'Data Entry'!$P$338)</f>
      </c>
      <c r="Q338">
        <f>IF(ISBLANK('Data Entry'!$Q$338), "", 'Data Entry'!$Q$338)</f>
      </c>
      <c r="R338">
        <f>IF(ISBLANK('Data Entry'!$R$338), "", 'Data Entry'!$R$338)</f>
      </c>
      <c r="S338">
        <f>IF(ISBLANK('Data Entry'!$S$338), "", 'Data Entry'!$S$338)</f>
      </c>
      <c r="T338">
        <f>IF(ISBLANK('Data Entry'!$T$338), "", 'Data Entry'!$T$338)</f>
      </c>
      <c r="U338">
        <f>IF(ISBLANK('Data Entry'!$U$338), "", 'Data Entry'!$U$338)</f>
      </c>
      <c r="V338">
        <f>IF(ISBLANK('Data Entry'!$V$338), "", 'Data Entry'!$V$338)</f>
      </c>
      <c r="W338">
        <f>IF(ISBLANK('Data Entry'!$W$338), "", 'Data Entry'!$W$338)</f>
      </c>
      <c r="X338">
        <f>IF(ISBLANK('Data Entry'!$X$338), "", 'Data Entry'!$X$338)</f>
      </c>
      <c r="Y338">
        <f>IF(ISBLANK('Data Entry'!$Y$338), "", 'Data Entry'!$Y$338)</f>
      </c>
      <c r="Z338">
        <f>IF(ISBLANK('Data Entry'!$Z$338), "", 'Data Entry'!$Z$338)</f>
      </c>
      <c r="AA338">
        <f>IF(ISBLANK('Data Entry'!$[$338), "", 'Data Entry'!$[$338)</f>
      </c>
      <c r="AB338">
        <f>IF(ISBLANK('Data Entry'!$\$338), "", 'Data Entry'!$\$338)</f>
      </c>
      <c r="AC338">
        <f>IF(ISBLANK('Data Entry'!$]$338), "", 'Data Entry'!$]$338)</f>
      </c>
      <c r="AD338">
        <f>IF(ISBLANK('Data Entry'!$^$338), "", 'Data Entry'!$^$338)</f>
      </c>
      <c r="AE338">
        <f>IF(ISBLANK('Data Entry'!$_$338), "", 'Data Entry'!$_$338)</f>
      </c>
      <c r="AF338">
        <f>IF(ISBLANK('Data Entry'!$`$338), "", 'Data Entry'!$`$338)</f>
      </c>
      <c r="AG338">
        <f>IF(ISBLANK('Data Entry'!$a$338), "", 'Data Entry'!$a$338)</f>
      </c>
      <c r="AH338">
        <f>IF(ISBLANK('Data Entry'!$b$338), "", 'Data Entry'!$b$338)</f>
      </c>
      <c r="AI338">
        <f>IF(ISBLANK('Data Entry'!$c$338), "", 'Data Entry'!$c$338)</f>
      </c>
      <c r="AJ338">
        <f>IF(ISBLANK('Data Entry'!$d$338), "", 'Data Entry'!$d$338)</f>
      </c>
      <c r="AK338">
        <f>IF(ISBLANK('Data Entry'!$e$338), "", 'Data Entry'!$e$338)</f>
      </c>
      <c r="AL338">
        <f>IF(ISBLANK('Data Entry'!$f$338), "", 'Data Entry'!$f$338)</f>
      </c>
      <c r="AM338">
        <f>IF(ISBLANK('Data Entry'!$g$338), "", 'Data Entry'!$g$338)</f>
      </c>
      <c r="AN338">
        <f>IF(ISBLANK('Data Entry'!$h$338), "", 'Data Entry'!$h$338)</f>
      </c>
      <c r="AO338">
        <f>IF(ISBLANK('Data Entry'!$i$338), "", 'Data Entry'!$i$338)</f>
      </c>
      <c r="AP338">
        <f>IF(ISBLANK('Data Entry'!$j$338), "", 'Data Entry'!$j$338)</f>
      </c>
      <c r="AQ338">
        <f>IF(ISBLANK('Data Entry'!$k$338), "", 'Data Entry'!$k$338)</f>
      </c>
      <c r="AR338">
        <f>IF(ISBLANK('Data Entry'!$l$338), "", 'Data Entry'!$l$338)</f>
      </c>
      <c r="AS338">
        <f>IF(ISBLANK('Data Entry'!$m$338), "", 'Data Entry'!$m$338)</f>
      </c>
      <c r="AT338">
        <f>IF(ISBLANK('Data Entry'!$n$338), "", 'Data Entry'!$n$338)</f>
      </c>
      <c r="AU338">
        <f>IF(ISBLANK('Data Entry'!$o$338), "", 'Data Entry'!$o$338)</f>
      </c>
      <c r="AV338">
        <f>IF(ISBLANK('Data Entry'!$p$338), "", 'Data Entry'!$p$338)</f>
      </c>
      <c r="AW338">
        <f>IF(ISBLANK('Data Entry'!$q$338), "", 'Data Entry'!$q$338)</f>
      </c>
      <c r="AX338">
        <f>IF(ISBLANK('Data Entry'!$r$338), "", 'Data Entry'!$r$338)</f>
      </c>
      <c r="AY338">
        <f>IF(ISBLANK('Data Entry'!$s$338), "", 'Data Entry'!$s$338)</f>
      </c>
      <c r="AZ338">
        <f>IF(ISBLANK('Data Entry'!$t$338), "", 'Data Entry'!$t$338)</f>
      </c>
      <c r="BA338">
        <f>IF(ISBLANK('Data Entry'!$u$338), "", 'Data Entry'!$u$338)</f>
      </c>
      <c r="BB338">
        <f>IF(ISBLANK('Data Entry'!$v$338), "", 'Data Entry'!$v$338)</f>
      </c>
      <c r="BC338">
        <f>IF(ISBLANK('Data Entry'!$w$338), "", 'Data Entry'!$w$338)</f>
      </c>
      <c r="BD338">
        <f>IF(ISBLANK('Data Entry'!$x$338), "", 'Data Entry'!$x$338)</f>
      </c>
      <c r="BE338">
        <f>IF(ISBLANK('Data Entry'!$y$338), "", 'Data Entry'!$y$338)</f>
      </c>
      <c r="BF338">
        <f>IF(ISBLANK('Data Entry'!$z$338), "", 'Data Entry'!$z$338)</f>
      </c>
      <c r="BG338">
        <f>IF(ISBLANK('Data Entry'!${$338), "", 'Data Entry'!${$338)</f>
      </c>
      <c r="BH338">
        <f>IF(ISBLANK('Data Entry'!$|$338), "", 'Data Entry'!$|$338)</f>
      </c>
      <c r="BI338">
        <f>IF(ISBLANK('Data Entry'!$}$338), "", 'Data Entry'!$}$338)</f>
      </c>
      <c r="BJ338">
        <f>IF(ISBLANK('Data Entry'!$~$338), "", 'Data Entry'!$~$338)</f>
      </c>
      <c r="BK338">
        <f>IF(ISBLANK('Data Entry'!$$338), "", 'Data Entry'!$$338)</f>
      </c>
      <c r="BL338">
        <f>IF(ISBLANK('Data Entry'!$$338), "", 'Data Entry'!$$338)</f>
      </c>
      <c r="BM338">
        <f>IF(ISBLANK('Data Entry'!$$338), "", 'Data Entry'!$$338)</f>
      </c>
      <c r="BN338">
        <f>IF(ISBLANK('Data Entry'!$$338), "", 'Data Entry'!$$338)</f>
      </c>
      <c r="BO338">
        <f>IF(ISBLANK('Data Entry'!$$338), "", 'Data Entry'!$$338)</f>
      </c>
      <c r="BP338">
        <f>IF(ISBLANK('Data Entry'!$$338), "", 'Data Entry'!$$338)</f>
      </c>
      <c r="BQ338">
        <f>IF(ISBLANK('Data Entry'!$$338), "", 'Data Entry'!$$338)</f>
      </c>
      <c r="BR338">
        <f>IF(ISBLANK('Data Entry'!$$338), "", 'Data Entry'!$$338)</f>
      </c>
      <c r="BS338">
        <f>IF(ISBLANK('Data Entry'!$$338), "", 'Data Entry'!$$338)</f>
      </c>
      <c r="BT338">
        <f>IF(ISBLANK('Data Entry'!$$338), "", 'Data Entry'!$$338)</f>
      </c>
      <c r="BU338">
        <f>IF(ISBLANK('Data Entry'!$$338), "", 'Data Entry'!$$338)</f>
      </c>
      <c r="BV338">
        <f>IF(ISBLANK('Data Entry'!$$338), "", 'Data Entry'!$$338)</f>
      </c>
      <c r="BW338">
        <f>IF(ISBLANK('Data Entry'!$$338), "", 'Data Entry'!$$338)</f>
      </c>
      <c r="BX338">
        <f>IF(ISBLANK('Data Entry'!$$338), "", 'Data Entry'!$$338)</f>
      </c>
      <c r="BY338">
        <f>IF(ISBLANK('Data Entry'!$$338), "", 'Data Entry'!$$338)</f>
      </c>
      <c r="BZ338">
        <f>IF(ISBLANK('Data Entry'!$$338), "", 'Data Entry'!$$338)</f>
      </c>
      <c r="CA338">
        <f>IF(ISBLANK('Data Entry'!$$338), "", 'Data Entry'!$$338)</f>
      </c>
      <c r="CB338">
        <f>IF(ISBLANK('Data Entry'!$$338), "", 'Data Entry'!$$338)</f>
      </c>
      <c r="CC338">
        <f>IF(ISBLANK('Data Entry'!$$338), "", 'Data Entry'!$$338)</f>
      </c>
      <c r="CD338">
        <f>IF(ISBLANK('Data Entry'!$$338), "", 'Data Entry'!$$338)</f>
      </c>
      <c r="CE338">
        <f>IF(ISBLANK('Data Entry'!$$338), "", 'Data Entry'!$$338)</f>
      </c>
      <c r="CF338">
        <f>IF(ISBLANK('Data Entry'!$$338), "", 'Data Entry'!$$338)</f>
      </c>
      <c r="CG338">
        <f>IF(ISBLANK('Data Entry'!$$338), "", 'Data Entry'!$$338)</f>
      </c>
      <c r="CH338">
        <f>IF(ISBLANK('Data Entry'!$$338), "", 'Data Entry'!$$338)</f>
      </c>
      <c r="CI338">
        <f>IF(ISBLANK('Data Entry'!$$338), "", 'Data Entry'!$$338)</f>
      </c>
      <c r="CJ338">
        <f>IF(ISBLANK('Data Entry'!$$338), "", 'Data Entry'!$$338)</f>
      </c>
      <c r="CK338">
        <f>IF(ISBLANK('Data Entry'!$$338), "", 'Data Entry'!$$338)</f>
      </c>
      <c r="CL338">
        <f>IF(ISBLANK('Data Entry'!$$338), "", 'Data Entry'!$$338)</f>
      </c>
      <c r="CM338">
        <f>IF(ISBLANK('Data Entry'!$$338), "", 'Data Entry'!$$338)</f>
      </c>
      <c r="CN338">
        <f>IF(ISBLANK('Data Entry'!$$338), "", 'Data Entry'!$$338)</f>
      </c>
      <c r="CO338">
        <f>IF(ISBLANK('Data Entry'!$$338), "", 'Data Entry'!$$338)</f>
      </c>
      <c r="CP338">
        <f>IF(ISBLANK('Data Entry'!$$338), "", 'Data Entry'!$$338)</f>
      </c>
      <c r="CQ338">
        <f>IF(ISBLANK('Data Entry'!$$338), "", 'Data Entry'!$$338)</f>
      </c>
      <c r="CR338">
        <f>IF(ISBLANK('Data Entry'!$ $338), "", 'Data Entry'!$ $338)</f>
      </c>
      <c r="CS338">
        <f>IF(ISBLANK('Data Entry'!$¡$338), "", 'Data Entry'!$¡$338)</f>
      </c>
      <c r="CT338">
        <f>IF(ISBLANK('Data Entry'!$¢$338), "", 'Data Entry'!$¢$338)</f>
      </c>
      <c r="CU338">
        <f>IF(ISBLANK('Data Entry'!$£$338), "", 'Data Entry'!$£$338)</f>
      </c>
      <c r="CV338">
        <f>IF(ISBLANK('Data Entry'!$¤$338), "", 'Data Entry'!$¤$338)</f>
      </c>
      <c r="CW338">
        <f>IF(ISBLANK('Data Entry'!$¥$338), "", 'Data Entry'!$¥$338)</f>
      </c>
      <c r="CX338">
        <f>IF(ISBLANK('Data Entry'!$¦$338), "", 'Data Entry'!$¦$338)</f>
      </c>
      <c r="CY338">
        <f>IF(ISBLANK('Data Entry'!$§$338), "", 'Data Entry'!$§$338)</f>
      </c>
      <c r="CZ338">
        <f>IF(ISBLANK('Data Entry'!$¨$338), "", 'Data Entry'!$¨$338)</f>
      </c>
      <c r="DA338">
        <f>IF(ISBLANK('Data Entry'!$©$338), "", 'Data Entry'!$©$338)</f>
      </c>
      <c r="DB338">
        <f>IF(ISBLANK('Data Entry'!$ª$338), "", 'Data Entry'!$ª$338)</f>
      </c>
      <c r="DC338">
        <f>IF(ISBLANK('Data Entry'!$«$338), "", 'Data Entry'!$«$338)</f>
      </c>
      <c r="DD338">
        <f>IF(ISBLANK('Data Entry'!$¬$338), "", 'Data Entry'!$¬$338)</f>
      </c>
      <c r="DE338">
        <f>IF(ISBLANK('Data Entry'!$­$338), "", 'Data Entry'!$­$338)</f>
      </c>
      <c r="DF338">
        <f>IF(ISBLANK('Data Entry'!$®$338), "", 'Data Entry'!$®$338)</f>
      </c>
      <c r="DG338">
        <f>IF(ISBLANK('Data Entry'!$¯$338), "", 'Data Entry'!$¯$338)</f>
      </c>
      <c r="DH338">
        <f>IF(ISBLANK('Data Entry'!$°$338), "", 'Data Entry'!$°$338)</f>
      </c>
      <c r="DI338">
        <f>IF(ISBLANK('Data Entry'!$±$338), "", 'Data Entry'!$±$338)</f>
      </c>
      <c r="DJ338">
        <f>IF(ISBLANK('Data Entry'!$²$338), "", 'Data Entry'!$²$338)</f>
      </c>
      <c r="DK338">
        <f>IF(ISBLANK('Data Entry'!$³$338), "", 'Data Entry'!$³$338)</f>
      </c>
      <c r="DL338">
        <f>IF(ISBLANK('Data Entry'!$´$338), "", 'Data Entry'!$´$338)</f>
      </c>
      <c r="DM338">
        <f>IF(ISBLANK('Data Entry'!$µ$338), "", 'Data Entry'!$µ$338)</f>
      </c>
      <c r="DN338">
        <f>IF(ISBLANK('Data Entry'!$¶$338), "", 'Data Entry'!$¶$338)</f>
      </c>
      <c r="DO338">
        <f>IF(ISBLANK('Data Entry'!$·$338), "", 'Data Entry'!$·$338)</f>
      </c>
      <c r="DP338">
        <f>IF(ISBLANK('Data Entry'!$¸$338), "", 'Data Entry'!$¸$338)</f>
      </c>
      <c r="DQ338">
        <f>IF(ISBLANK('Data Entry'!$¹$338), "", 'Data Entry'!$¹$338)</f>
      </c>
      <c r="DR338">
        <f>IF(ISBLANK('Data Entry'!$º$338), "", 'Data Entry'!$º$338)</f>
      </c>
      <c r="DS338">
        <f>IF(ISBLANK('Data Entry'!$»$338), "", 'Data Entry'!$»$338)</f>
      </c>
      <c r="DT338">
        <f>IF(ISBLANK('Data Entry'!$¼$338), "", 'Data Entry'!$¼$338)</f>
      </c>
      <c r="DU338">
        <f>IF(ISBLANK('Data Entry'!$½$338), "", 'Data Entry'!$½$338)</f>
      </c>
      <c r="DV338">
        <f>IF(ISBLANK('Data Entry'!$¾$338), "", 'Data Entry'!$¾$338)</f>
      </c>
      <c r="DW338">
        <f>IF(ISBLANK('Data Entry'!$¿$338), "", 'Data Entry'!$¿$338)</f>
      </c>
      <c r="DX338">
        <f>IF(ISBLANK('Data Entry'!$À$338), "", 'Data Entry'!$À$338)</f>
      </c>
      <c r="DY338">
        <f>IF(ISBLANK('Data Entry'!$Á$338), "", 'Data Entry'!$Á$338)</f>
      </c>
      <c r="DZ338">
        <f>IF(ISBLANK('Data Entry'!$Â$338), "", 'Data Entry'!$Â$338)</f>
      </c>
      <c r="EA338">
        <f>IF(ISBLANK('Data Entry'!$Ã$338), "", 'Data Entry'!$Ã$338)</f>
      </c>
      <c r="EB338">
        <f>IF(ISBLANK('Data Entry'!$Ä$338), "", 'Data Entry'!$Ä$338)</f>
      </c>
      <c r="EC338">
        <f>IF(ISBLANK('Data Entry'!$Å$338), "", 'Data Entry'!$Å$338)</f>
      </c>
      <c r="ED338">
        <f>IF(ISBLANK('Data Entry'!$Æ$338), "", 'Data Entry'!$Æ$338)</f>
      </c>
      <c r="EE338">
        <f>IF(ISBLANK('Data Entry'!$Ç$338), "", 'Data Entry'!$Ç$338)</f>
      </c>
      <c r="EF338">
        <f>IF(ISBLANK('Data Entry'!$È$338), "", 'Data Entry'!$È$338)</f>
      </c>
      <c r="EG338">
        <f>IF(ISBLANK('Data Entry'!$É$338), "", 'Data Entry'!$É$338)</f>
      </c>
      <c r="EH338">
        <f>IF(ISBLANK('Data Entry'!$Ê$338), "", 'Data Entry'!$Ê$338)</f>
      </c>
      <c r="EI338">
        <f>IF(ISBLANK('Data Entry'!$Ë$338), "", 'Data Entry'!$Ë$338)</f>
      </c>
      <c r="EJ338">
        <f>IF(ISBLANK('Data Entry'!$Ì$338), "", 'Data Entry'!$Ì$338)</f>
      </c>
      <c r="EK338">
        <f>IF(ISBLANK('Data Entry'!$Í$338), "", 'Data Entry'!$Í$338)</f>
      </c>
      <c r="EL338">
        <f>IF(ISBLANK('Data Entry'!$Î$338), "", 'Data Entry'!$Î$338)</f>
      </c>
      <c r="EM338">
        <f>IF(ISBLANK('Data Entry'!$Ï$338), "", 'Data Entry'!$Ï$338)</f>
      </c>
      <c r="EN338">
        <f>IF(ISBLANK('Data Entry'!$Ð$338), "", 'Data Entry'!$Ð$338)</f>
      </c>
      <c r="EO338">
        <f>IF(ISBLANK('Data Entry'!$Ñ$338), "", 'Data Entry'!$Ñ$338)</f>
      </c>
      <c r="EP338">
        <f>IF(ISBLANK('Data Entry'!$Ò$338), "", 'Data Entry'!$Ò$338)</f>
      </c>
      <c r="EQ338">
        <f>IF(ISBLANK('Data Entry'!$Ó$338), "", 'Data Entry'!$Ó$338)</f>
      </c>
      <c r="ER338">
        <f>IF(ISBLANK('Data Entry'!$Ô$338), "", 'Data Entry'!$Ô$338)</f>
      </c>
      <c r="ES338">
        <f>IF(ISBLANK('Data Entry'!$Õ$338), "", 'Data Entry'!$Õ$338)</f>
      </c>
      <c r="ET338">
        <f>IF(ISBLANK('Data Entry'!$Ö$338), "", 'Data Entry'!$Ö$338)</f>
      </c>
      <c r="EU338">
        <f>IF(ISBLANK('Data Entry'!$×$338), "", 'Data Entry'!$×$338)</f>
      </c>
      <c r="EV338">
        <f>IF(ISBLANK('Data Entry'!$Ø$338), "", 'Data Entry'!$Ø$338)</f>
      </c>
      <c r="EW338">
        <f>IF(ISBLANK('Data Entry'!$Ù$338), "", 'Data Entry'!$Ù$338)</f>
      </c>
      <c r="EX338">
        <f>IF(ISBLANK('Data Entry'!$Ú$338), "", 'Data Entry'!$Ú$338)</f>
      </c>
      <c r="EY338">
        <f>IF(ISBLANK('Data Entry'!$Û$338), "", 'Data Entry'!$Û$338)</f>
      </c>
      <c r="EZ338">
        <f>IF(ISBLANK('Data Entry'!$Ü$338), "", 'Data Entry'!$Ü$338)</f>
      </c>
      <c r="FA338">
        <f>IF(ISBLANK('Data Entry'!$Ý$338), "", 'Data Entry'!$Ý$338)</f>
      </c>
      <c r="FB338">
        <f>IF(ISBLANK('Data Entry'!$Þ$338), "", 'Data Entry'!$Þ$338)</f>
      </c>
      <c r="FC338">
        <f>IF(ISBLANK('Data Entry'!$ß$338), "", 'Data Entry'!$ß$338)</f>
      </c>
      <c r="FD338">
        <f>IF(ISBLANK('Data Entry'!$à$338), "", 'Data Entry'!$à$338)</f>
      </c>
      <c r="FE338">
        <f>IF(ISBLANK('Data Entry'!$á$338), "", 'Data Entry'!$á$338)</f>
      </c>
      <c r="FF338">
        <f>IF(ISBLANK('Data Entry'!$â$338), "", 'Data Entry'!$â$338)</f>
      </c>
      <c r="FG338">
        <f>IF(ISBLANK('Data Entry'!$ã$338), "", 'Data Entry'!$ã$338)</f>
      </c>
      <c r="FH338">
        <f>IF(ISBLANK('Data Entry'!$ä$338), "", 'Data Entry'!$ä$338)</f>
      </c>
      <c r="FI338">
        <f>IF(ISBLANK('Data Entry'!$å$338), "", 'Data Entry'!$å$338)</f>
      </c>
      <c r="FJ338">
        <f>IF(ISBLANK('Data Entry'!$æ$338), "", 'Data Entry'!$æ$338)</f>
      </c>
      <c r="FK338">
        <f>IF(ISBLANK('Data Entry'!$ç$338), "", 'Data Entry'!$ç$338)</f>
      </c>
      <c r="FL338">
        <f>IF(ISBLANK('Data Entry'!$è$338), "", 'Data Entry'!$è$338)</f>
      </c>
      <c r="FM338">
        <f>IF(ISBLANK('Data Entry'!$é$338), "", 'Data Entry'!$é$338)</f>
      </c>
      <c r="FN338">
        <f>IF(ISBLANK('Data Entry'!$ê$338), "", 'Data Entry'!$ê$338)</f>
      </c>
      <c r="FO338">
        <f>IF(ISBLANK('Data Entry'!$ë$338), "", 'Data Entry'!$ë$338)</f>
      </c>
      <c r="FP338">
        <f>IF(ISBLANK('Data Entry'!$ì$338), "", 'Data Entry'!$ì$338)</f>
      </c>
      <c r="FQ338">
        <f>IF(ISBLANK('Data Entry'!$í$338), "", 'Data Entry'!$í$338)</f>
      </c>
      <c r="FR338">
        <f>IF(ISBLANK('Data Entry'!$î$338), "", 'Data Entry'!$î$338)</f>
      </c>
      <c r="FS338">
        <f>IF(ISBLANK('Data Entry'!$ï$338), "", 'Data Entry'!$ï$338)</f>
      </c>
      <c r="FT338">
        <f>IF(ISBLANK('Data Entry'!$ð$338), "", 'Data Entry'!$ð$338)</f>
      </c>
      <c r="FU338">
        <f>IF(ISBLANK('Data Entry'!$ñ$338), "", 'Data Entry'!$ñ$338)</f>
      </c>
      <c r="FV338">
        <f>IF(ISBLANK('Data Entry'!$ò$338), "", 'Data Entry'!$ò$338)</f>
      </c>
      <c r="FW338">
        <f>IF(ISBLANK('Data Entry'!$ó$338), "", 'Data Entry'!$ó$338)</f>
      </c>
      <c r="FX338">
        <f>IF(ISBLANK('Data Entry'!$ô$338), "", 'Data Entry'!$ô$338)</f>
      </c>
      <c r="FY338">
        <f>IF(ISBLANK('Data Entry'!$õ$338), "", 'Data Entry'!$õ$338)</f>
      </c>
      <c r="FZ338">
        <f>IF(ISBLANK('Data Entry'!$ö$338), "", 'Data Entry'!$ö$338)</f>
      </c>
      <c r="GA338">
        <f>IF(ISBLANK('Data Entry'!$÷$338), "", 'Data Entry'!$÷$338)</f>
      </c>
      <c r="GB338">
        <f>IF(ISBLANK('Data Entry'!$ø$338), "", 'Data Entry'!$ø$338)</f>
      </c>
      <c r="GC338">
        <f>IF(ISBLANK('Data Entry'!$ù$338), "", 'Data Entry'!$ù$338)</f>
      </c>
      <c r="GD338">
        <f>IF(ISBLANK('Data Entry'!$ú$338), "", 'Data Entry'!$ú$338)</f>
      </c>
      <c r="GE338">
        <f>IF(ISBLANK('Data Entry'!$û$338), "", 'Data Entry'!$û$338)</f>
      </c>
      <c r="GF338">
        <f>IF(ISBLANK('Data Entry'!$ü$338), "", 'Data Entry'!$ü$338)</f>
      </c>
      <c r="GG338">
        <f>IF(ISBLANK('Data Entry'!$ý$338), "", 'Data Entry'!$ý$338)</f>
      </c>
      <c r="GH338">
        <f>IF(ISBLANK('Data Entry'!$þ$338), "", 'Data Entry'!$þ$338)</f>
      </c>
      <c r="GI338">
        <f>IF(ISBLANK('Data Entry'!$ÿ$338), "", 'Data Entry'!$ÿ$338)</f>
      </c>
      <c r="GJ338">
        <f>IF(ISBLANK('Data Entry'!$Ā$338), "", 'Data Entry'!$Ā$338)</f>
      </c>
      <c r="GK338">
        <f>IF(ISBLANK('Data Entry'!$ā$338), "", 'Data Entry'!$ā$338)</f>
      </c>
      <c r="GL338">
        <f>IF(ISBLANK('Data Entry'!$Ă$338), "", 'Data Entry'!$Ă$338)</f>
      </c>
      <c r="GM338">
        <f>IF(ISBLANK('Data Entry'!$ă$338), "", 'Data Entry'!$ă$338)</f>
      </c>
      <c r="GN338">
        <f>IF(ISBLANK('Data Entry'!$Ą$338), "", 'Data Entry'!$Ą$338)</f>
      </c>
      <c r="GO338">
        <f>IF(ISBLANK('Data Entry'!$ą$338), "", 'Data Entry'!$ą$338)</f>
      </c>
      <c r="GP338">
        <f>IF(ISBLANK('Data Entry'!$Ć$338), "", 'Data Entry'!$Ć$338)</f>
      </c>
      <c r="GQ338">
        <f>IF(ISBLANK('Data Entry'!$ć$338), "", 'Data Entry'!$ć$338)</f>
      </c>
      <c r="GR338">
        <f>IF(ISBLANK('Data Entry'!$Ĉ$338), "", 'Data Entry'!$Ĉ$338)</f>
      </c>
      <c r="GS338">
        <f>IF(ISBLANK('Data Entry'!$ĉ$338), "", 'Data Entry'!$ĉ$338)</f>
      </c>
      <c r="GT338">
        <f>IF(ISBLANK('Data Entry'!$Ċ$338), "", 'Data Entry'!$Ċ$338)</f>
      </c>
      <c r="GU338">
        <f>IF(ISBLANK('Data Entry'!$ċ$338), "", 'Data Entry'!$ċ$338)</f>
      </c>
      <c r="GV338">
        <f>IF(ISBLANK('Data Entry'!$Č$338), "", 'Data Entry'!$Č$338)</f>
      </c>
      <c r="GW338">
        <f>IF(ISBLANK('Data Entry'!$č$338), "", 'Data Entry'!$č$338)</f>
      </c>
      <c r="GX338">
        <f>IF(ISBLANK('Data Entry'!$Ď$338), "", 'Data Entry'!$Ď$338)</f>
      </c>
      <c r="GY338">
        <f>IF(ISBLANK('Data Entry'!$ď$338), "", 'Data Entry'!$ď$338)</f>
      </c>
      <c r="GZ338">
        <f>IF(ISBLANK('Data Entry'!$Đ$338), "", 'Data Entry'!$Đ$338)</f>
      </c>
      <c r="HA338">
        <f>IF(ISBLANK('Data Entry'!$đ$338), "", 'Data Entry'!$đ$338)</f>
      </c>
      <c r="HB338">
        <f>IF(ISBLANK('Data Entry'!$Ē$338), "", 'Data Entry'!$Ē$338)</f>
      </c>
      <c r="HC338">
        <f>IF(ISBLANK('Data Entry'!$ē$338), "", 'Data Entry'!$ē$338)</f>
      </c>
      <c r="HD338">
        <f>IF(ISBLANK('Data Entry'!$Ĕ$338), "", 'Data Entry'!$Ĕ$338)</f>
      </c>
      <c r="HE338">
        <f>IF(ISBLANK('Data Entry'!$ĕ$338), "", 'Data Entry'!$ĕ$338)</f>
      </c>
      <c r="HF338">
        <f>IF(ISBLANK('Data Entry'!$Ė$338), "", 'Data Entry'!$Ė$338)</f>
      </c>
      <c r="HG338">
        <f>IF(ISBLANK('Data Entry'!$ė$338), "", 'Data Entry'!$ė$338)</f>
      </c>
      <c r="HH338">
        <f>IF(ISBLANK('Data Entry'!$Ę$338), "", 'Data Entry'!$Ę$338)</f>
      </c>
      <c r="HI338">
        <f>IF(ISBLANK('Data Entry'!$ę$338), "", 'Data Entry'!$ę$338)</f>
      </c>
      <c r="HJ338">
        <f>IF(ISBLANK('Data Entry'!$Ě$338), "", 'Data Entry'!$Ě$338)</f>
      </c>
      <c r="HK338">
        <f>IF(ISBLANK('Data Entry'!$ě$338), "", 'Data Entry'!$ě$338)</f>
      </c>
      <c r="HL338">
        <f>IF(ISBLANK('Data Entry'!$Ĝ$338), "", 'Data Entry'!$Ĝ$338)</f>
      </c>
      <c r="HM338">
        <f>IF(ISBLANK('Data Entry'!$ĝ$338), "", 'Data Entry'!$ĝ$338)</f>
      </c>
      <c r="HN338">
        <f>IF(ISBLANK('Data Entry'!$Ğ$338), "", 'Data Entry'!$Ğ$338)</f>
      </c>
      <c r="HO338">
        <f>IF(ISBLANK('Data Entry'!$ğ$338), "", 'Data Entry'!$ğ$338)</f>
      </c>
      <c r="HP338">
        <f>IF(ISBLANK('Data Entry'!$Ġ$338), "", 'Data Entry'!$Ġ$338)</f>
      </c>
      <c r="HQ338">
        <f>IF(ISBLANK('Data Entry'!$ġ$338), "", 'Data Entry'!$ġ$338)</f>
      </c>
      <c r="HR338">
        <f>IF(ISBLANK('Data Entry'!$Ģ$338), "", 'Data Entry'!$Ģ$338)</f>
      </c>
      <c r="HS338">
        <f>IF(ISBLANK('Data Entry'!$ģ$338), "", 'Data Entry'!$ģ$338)</f>
      </c>
      <c r="HT338">
        <f>IF(ISBLANK('Data Entry'!$Ĥ$338), "", 'Data Entry'!$Ĥ$338)</f>
      </c>
      <c r="HU338">
        <f>IF(ISBLANK('Data Entry'!$ĥ$338), "", 'Data Entry'!$ĥ$338)</f>
      </c>
      <c r="HV338">
        <f>IF(ISBLANK('Data Entry'!$Ħ$338), "", 'Data Entry'!$Ħ$338)</f>
      </c>
      <c r="HW338">
        <f>IF(ISBLANK('Data Entry'!$ħ$338), "", 'Data Entry'!$ħ$338)</f>
      </c>
      <c r="HX338">
        <f>IF(ISBLANK('Data Entry'!$Ĩ$338), "", 'Data Entry'!$Ĩ$338)</f>
      </c>
      <c r="HY338">
        <f>IF(ISBLANK('Data Entry'!$ĩ$338), "", 'Data Entry'!$ĩ$338)</f>
      </c>
      <c r="HZ338">
        <f>IF(ISBLANK('Data Entry'!$Ī$338), "", 'Data Entry'!$Ī$338)</f>
      </c>
      <c r="IA338">
        <f>IF(ISBLANK('Data Entry'!$ī$338), "", 'Data Entry'!$ī$338)</f>
      </c>
      <c r="IB338">
        <f>IF(ISBLANK('Data Entry'!$Ĭ$338), "", 'Data Entry'!$Ĭ$338)</f>
      </c>
      <c r="IC338">
        <f>IF(ISBLANK('Data Entry'!$ĭ$338), "", 'Data Entry'!$ĭ$338)</f>
      </c>
      <c r="ID338">
        <f>IF(ISBLANK('Data Entry'!$Į$338), "", 'Data Entry'!$Į$338)</f>
      </c>
      <c r="IE338">
        <f>IF(ISBLANK('Data Entry'!$į$338), "", 'Data Entry'!$į$338)</f>
      </c>
      <c r="IF338">
        <f>IF(ISBLANK('Data Entry'!$İ$338), "", 'Data Entry'!$İ$338)</f>
      </c>
      <c r="IG338">
        <f>IF(ISBLANK('Data Entry'!$ı$338), "", 'Data Entry'!$ı$338)</f>
      </c>
      <c r="IH338">
        <f>IF(ISBLANK('Data Entry'!$Ĳ$338), "", 'Data Entry'!$Ĳ$338)</f>
      </c>
      <c r="II338">
        <f>IF(ISBLANK('Data Entry'!$ĳ$338), "", 'Data Entry'!$ĳ$338)</f>
      </c>
      <c r="IJ338">
        <f>IF(ISBLANK('Data Entry'!$Ĵ$338), "", 'Data Entry'!$Ĵ$338)</f>
      </c>
      <c r="IK338">
        <f>IF(ISBLANK('Data Entry'!$ĵ$338), "", 'Data Entry'!$ĵ$338)</f>
      </c>
      <c r="IL338">
        <f>IF(ISBLANK('Data Entry'!$Ķ$338), "", 'Data Entry'!$Ķ$338)</f>
      </c>
      <c r="IM338">
        <f>IF(ISBLANK('Data Entry'!$ķ$338), "", 'Data Entry'!$ķ$338)</f>
      </c>
      <c r="IN338">
        <f>IF(ISBLANK('Data Entry'!$ĸ$338), "", 'Data Entry'!$ĸ$338)</f>
      </c>
      <c r="IO338">
        <f>IF(ISBLANK('Data Entry'!$Ĺ$338), "", 'Data Entry'!$Ĺ$338)</f>
      </c>
      <c r="IP338">
        <f>IF(ISBLANK('Data Entry'!$ĺ$338), "", 'Data Entry'!$ĺ$338)</f>
      </c>
      <c r="IQ338">
        <f>IF(ISBLANK('Data Entry'!$Ļ$338), "", 'Data Entry'!$Ļ$338)</f>
      </c>
      <c r="IR338">
        <f>IF(ISBLANK('Data Entry'!$ļ$338), "", 'Data Entry'!$ļ$338)</f>
      </c>
      <c r="IS338">
        <f>IF(ISBLANK('Data Entry'!$Ľ$338), "", 'Data Entry'!$Ľ$338)</f>
      </c>
      <c r="IT338">
        <f>IF(ISBLANK('Data Entry'!$ľ$338), "", 'Data Entry'!$ľ$338)</f>
      </c>
    </row>
    <row r="339" spans="1:254" x14ac:dyDescent="0.25">
      <c r="A339">
        <f>IF(ISBLANK('Data Entry'!$A$339), "", 'Data Entry'!$A$339)</f>
      </c>
      <c r="B339">
        <f>IF(ISBLANK('Data Entry'!$B$339), "", 'Data Entry'!$B$339)</f>
      </c>
      <c r="C339">
        <f>IF(ISBLANK('Data Entry'!$C$339), "", 'Data Entry'!$C$339)</f>
      </c>
      <c r="D339">
        <f>IF(ISBLANK('Data Entry'!$D$339), "", 'Data Entry'!$D$339)</f>
      </c>
      <c r="E339">
        <f>IF(ISBLANK('Data Entry'!$E$339), "", 'Data Entry'!$E$339)</f>
      </c>
      <c r="F339">
        <f>IF(ISBLANK('Data Entry'!$F$339), "", 'Data Entry'!$F$339)</f>
      </c>
      <c r="G339">
        <f>IF(ISBLANK('Data Entry'!$G$339), "", 'Data Entry'!$G$339)</f>
      </c>
      <c r="H339">
        <f>IF(ISBLANK('Data Entry'!$H$339), "", 'Data Entry'!$H$339)</f>
      </c>
      <c r="I339">
        <f>IF(ISBLANK('Data Entry'!$I$339), "", 'Data Entry'!$I$339)</f>
      </c>
      <c r="J339">
        <f>IF(ISBLANK('Data Entry'!$J$339), "", 'Data Entry'!$J$339)</f>
      </c>
      <c r="K339">
        <f>IF(ISBLANK('Data Entry'!$K$339), "", 'Data Entry'!$K$339)</f>
      </c>
      <c r="L339">
        <f>IF(ISBLANK('Data Entry'!$L$339), "", 'Data Entry'!$L$339)</f>
      </c>
      <c r="M339">
        <f>IF(ISBLANK('Data Entry'!$M$339), "", 'Data Entry'!$M$339)</f>
      </c>
      <c r="N339">
        <f>IF(ISBLANK('Data Entry'!$N$339), "", 'Data Entry'!$N$339)</f>
      </c>
      <c r="O339">
        <f>IF(ISBLANK('Data Entry'!$O$339), "", 'Data Entry'!$O$339)</f>
      </c>
      <c r="P339">
        <f>IF(ISBLANK('Data Entry'!$P$339), "", 'Data Entry'!$P$339)</f>
      </c>
      <c r="Q339">
        <f>IF(ISBLANK('Data Entry'!$Q$339), "", 'Data Entry'!$Q$339)</f>
      </c>
      <c r="R339">
        <f>IF(ISBLANK('Data Entry'!$R$339), "", 'Data Entry'!$R$339)</f>
      </c>
      <c r="S339">
        <f>IF(ISBLANK('Data Entry'!$S$339), "", 'Data Entry'!$S$339)</f>
      </c>
      <c r="T339">
        <f>IF(ISBLANK('Data Entry'!$T$339), "", 'Data Entry'!$T$339)</f>
      </c>
      <c r="U339">
        <f>IF(ISBLANK('Data Entry'!$U$339), "", 'Data Entry'!$U$339)</f>
      </c>
      <c r="V339">
        <f>IF(ISBLANK('Data Entry'!$V$339), "", 'Data Entry'!$V$339)</f>
      </c>
      <c r="W339">
        <f>IF(ISBLANK('Data Entry'!$W$339), "", 'Data Entry'!$W$339)</f>
      </c>
      <c r="X339">
        <f>IF(ISBLANK('Data Entry'!$X$339), "", 'Data Entry'!$X$339)</f>
      </c>
      <c r="Y339">
        <f>IF(ISBLANK('Data Entry'!$Y$339), "", 'Data Entry'!$Y$339)</f>
      </c>
      <c r="Z339">
        <f>IF(ISBLANK('Data Entry'!$Z$339), "", 'Data Entry'!$Z$339)</f>
      </c>
      <c r="AA339">
        <f>IF(ISBLANK('Data Entry'!$[$339), "", 'Data Entry'!$[$339)</f>
      </c>
      <c r="AB339">
        <f>IF(ISBLANK('Data Entry'!$\$339), "", 'Data Entry'!$\$339)</f>
      </c>
      <c r="AC339">
        <f>IF(ISBLANK('Data Entry'!$]$339), "", 'Data Entry'!$]$339)</f>
      </c>
      <c r="AD339">
        <f>IF(ISBLANK('Data Entry'!$^$339), "", 'Data Entry'!$^$339)</f>
      </c>
      <c r="AE339">
        <f>IF(ISBLANK('Data Entry'!$_$339), "", 'Data Entry'!$_$339)</f>
      </c>
      <c r="AF339">
        <f>IF(ISBLANK('Data Entry'!$`$339), "", 'Data Entry'!$`$339)</f>
      </c>
      <c r="AG339">
        <f>IF(ISBLANK('Data Entry'!$a$339), "", 'Data Entry'!$a$339)</f>
      </c>
      <c r="AH339">
        <f>IF(ISBLANK('Data Entry'!$b$339), "", 'Data Entry'!$b$339)</f>
      </c>
      <c r="AI339">
        <f>IF(ISBLANK('Data Entry'!$c$339), "", 'Data Entry'!$c$339)</f>
      </c>
      <c r="AJ339">
        <f>IF(ISBLANK('Data Entry'!$d$339), "", 'Data Entry'!$d$339)</f>
      </c>
      <c r="AK339">
        <f>IF(ISBLANK('Data Entry'!$e$339), "", 'Data Entry'!$e$339)</f>
      </c>
      <c r="AL339">
        <f>IF(ISBLANK('Data Entry'!$f$339), "", 'Data Entry'!$f$339)</f>
      </c>
      <c r="AM339">
        <f>IF(ISBLANK('Data Entry'!$g$339), "", 'Data Entry'!$g$339)</f>
      </c>
      <c r="AN339">
        <f>IF(ISBLANK('Data Entry'!$h$339), "", 'Data Entry'!$h$339)</f>
      </c>
      <c r="AO339">
        <f>IF(ISBLANK('Data Entry'!$i$339), "", 'Data Entry'!$i$339)</f>
      </c>
      <c r="AP339">
        <f>IF(ISBLANK('Data Entry'!$j$339), "", 'Data Entry'!$j$339)</f>
      </c>
      <c r="AQ339">
        <f>IF(ISBLANK('Data Entry'!$k$339), "", 'Data Entry'!$k$339)</f>
      </c>
      <c r="AR339">
        <f>IF(ISBLANK('Data Entry'!$l$339), "", 'Data Entry'!$l$339)</f>
      </c>
      <c r="AS339">
        <f>IF(ISBLANK('Data Entry'!$m$339), "", 'Data Entry'!$m$339)</f>
      </c>
      <c r="AT339">
        <f>IF(ISBLANK('Data Entry'!$n$339), "", 'Data Entry'!$n$339)</f>
      </c>
      <c r="AU339">
        <f>IF(ISBLANK('Data Entry'!$o$339), "", 'Data Entry'!$o$339)</f>
      </c>
      <c r="AV339">
        <f>IF(ISBLANK('Data Entry'!$p$339), "", 'Data Entry'!$p$339)</f>
      </c>
      <c r="AW339">
        <f>IF(ISBLANK('Data Entry'!$q$339), "", 'Data Entry'!$q$339)</f>
      </c>
      <c r="AX339">
        <f>IF(ISBLANK('Data Entry'!$r$339), "", 'Data Entry'!$r$339)</f>
      </c>
      <c r="AY339">
        <f>IF(ISBLANK('Data Entry'!$s$339), "", 'Data Entry'!$s$339)</f>
      </c>
      <c r="AZ339">
        <f>IF(ISBLANK('Data Entry'!$t$339), "", 'Data Entry'!$t$339)</f>
      </c>
      <c r="BA339">
        <f>IF(ISBLANK('Data Entry'!$u$339), "", 'Data Entry'!$u$339)</f>
      </c>
      <c r="BB339">
        <f>IF(ISBLANK('Data Entry'!$v$339), "", 'Data Entry'!$v$339)</f>
      </c>
      <c r="BC339">
        <f>IF(ISBLANK('Data Entry'!$w$339), "", 'Data Entry'!$w$339)</f>
      </c>
      <c r="BD339">
        <f>IF(ISBLANK('Data Entry'!$x$339), "", 'Data Entry'!$x$339)</f>
      </c>
      <c r="BE339">
        <f>IF(ISBLANK('Data Entry'!$y$339), "", 'Data Entry'!$y$339)</f>
      </c>
      <c r="BF339">
        <f>IF(ISBLANK('Data Entry'!$z$339), "", 'Data Entry'!$z$339)</f>
      </c>
      <c r="BG339">
        <f>IF(ISBLANK('Data Entry'!${$339), "", 'Data Entry'!${$339)</f>
      </c>
      <c r="BH339">
        <f>IF(ISBLANK('Data Entry'!$|$339), "", 'Data Entry'!$|$339)</f>
      </c>
      <c r="BI339">
        <f>IF(ISBLANK('Data Entry'!$}$339), "", 'Data Entry'!$}$339)</f>
      </c>
      <c r="BJ339">
        <f>IF(ISBLANK('Data Entry'!$~$339), "", 'Data Entry'!$~$339)</f>
      </c>
      <c r="BK339">
        <f>IF(ISBLANK('Data Entry'!$$339), "", 'Data Entry'!$$339)</f>
      </c>
      <c r="BL339">
        <f>IF(ISBLANK('Data Entry'!$$339), "", 'Data Entry'!$$339)</f>
      </c>
      <c r="BM339">
        <f>IF(ISBLANK('Data Entry'!$$339), "", 'Data Entry'!$$339)</f>
      </c>
      <c r="BN339">
        <f>IF(ISBLANK('Data Entry'!$$339), "", 'Data Entry'!$$339)</f>
      </c>
      <c r="BO339">
        <f>IF(ISBLANK('Data Entry'!$$339), "", 'Data Entry'!$$339)</f>
      </c>
      <c r="BP339">
        <f>IF(ISBLANK('Data Entry'!$$339), "", 'Data Entry'!$$339)</f>
      </c>
      <c r="BQ339">
        <f>IF(ISBLANK('Data Entry'!$$339), "", 'Data Entry'!$$339)</f>
      </c>
      <c r="BR339">
        <f>IF(ISBLANK('Data Entry'!$$339), "", 'Data Entry'!$$339)</f>
      </c>
      <c r="BS339">
        <f>IF(ISBLANK('Data Entry'!$$339), "", 'Data Entry'!$$339)</f>
      </c>
      <c r="BT339">
        <f>IF(ISBLANK('Data Entry'!$$339), "", 'Data Entry'!$$339)</f>
      </c>
      <c r="BU339">
        <f>IF(ISBLANK('Data Entry'!$$339), "", 'Data Entry'!$$339)</f>
      </c>
      <c r="BV339">
        <f>IF(ISBLANK('Data Entry'!$$339), "", 'Data Entry'!$$339)</f>
      </c>
      <c r="BW339">
        <f>IF(ISBLANK('Data Entry'!$$339), "", 'Data Entry'!$$339)</f>
      </c>
      <c r="BX339">
        <f>IF(ISBLANK('Data Entry'!$$339), "", 'Data Entry'!$$339)</f>
      </c>
      <c r="BY339">
        <f>IF(ISBLANK('Data Entry'!$$339), "", 'Data Entry'!$$339)</f>
      </c>
      <c r="BZ339">
        <f>IF(ISBLANK('Data Entry'!$$339), "", 'Data Entry'!$$339)</f>
      </c>
      <c r="CA339">
        <f>IF(ISBLANK('Data Entry'!$$339), "", 'Data Entry'!$$339)</f>
      </c>
      <c r="CB339">
        <f>IF(ISBLANK('Data Entry'!$$339), "", 'Data Entry'!$$339)</f>
      </c>
      <c r="CC339">
        <f>IF(ISBLANK('Data Entry'!$$339), "", 'Data Entry'!$$339)</f>
      </c>
      <c r="CD339">
        <f>IF(ISBLANK('Data Entry'!$$339), "", 'Data Entry'!$$339)</f>
      </c>
      <c r="CE339">
        <f>IF(ISBLANK('Data Entry'!$$339), "", 'Data Entry'!$$339)</f>
      </c>
      <c r="CF339">
        <f>IF(ISBLANK('Data Entry'!$$339), "", 'Data Entry'!$$339)</f>
      </c>
      <c r="CG339">
        <f>IF(ISBLANK('Data Entry'!$$339), "", 'Data Entry'!$$339)</f>
      </c>
      <c r="CH339">
        <f>IF(ISBLANK('Data Entry'!$$339), "", 'Data Entry'!$$339)</f>
      </c>
      <c r="CI339">
        <f>IF(ISBLANK('Data Entry'!$$339), "", 'Data Entry'!$$339)</f>
      </c>
      <c r="CJ339">
        <f>IF(ISBLANK('Data Entry'!$$339), "", 'Data Entry'!$$339)</f>
      </c>
      <c r="CK339">
        <f>IF(ISBLANK('Data Entry'!$$339), "", 'Data Entry'!$$339)</f>
      </c>
      <c r="CL339">
        <f>IF(ISBLANK('Data Entry'!$$339), "", 'Data Entry'!$$339)</f>
      </c>
      <c r="CM339">
        <f>IF(ISBLANK('Data Entry'!$$339), "", 'Data Entry'!$$339)</f>
      </c>
      <c r="CN339">
        <f>IF(ISBLANK('Data Entry'!$$339), "", 'Data Entry'!$$339)</f>
      </c>
      <c r="CO339">
        <f>IF(ISBLANK('Data Entry'!$$339), "", 'Data Entry'!$$339)</f>
      </c>
      <c r="CP339">
        <f>IF(ISBLANK('Data Entry'!$$339), "", 'Data Entry'!$$339)</f>
      </c>
      <c r="CQ339">
        <f>IF(ISBLANK('Data Entry'!$$339), "", 'Data Entry'!$$339)</f>
      </c>
      <c r="CR339">
        <f>IF(ISBLANK('Data Entry'!$ $339), "", 'Data Entry'!$ $339)</f>
      </c>
      <c r="CS339">
        <f>IF(ISBLANK('Data Entry'!$¡$339), "", 'Data Entry'!$¡$339)</f>
      </c>
      <c r="CT339">
        <f>IF(ISBLANK('Data Entry'!$¢$339), "", 'Data Entry'!$¢$339)</f>
      </c>
      <c r="CU339">
        <f>IF(ISBLANK('Data Entry'!$£$339), "", 'Data Entry'!$£$339)</f>
      </c>
      <c r="CV339">
        <f>IF(ISBLANK('Data Entry'!$¤$339), "", 'Data Entry'!$¤$339)</f>
      </c>
      <c r="CW339">
        <f>IF(ISBLANK('Data Entry'!$¥$339), "", 'Data Entry'!$¥$339)</f>
      </c>
      <c r="CX339">
        <f>IF(ISBLANK('Data Entry'!$¦$339), "", 'Data Entry'!$¦$339)</f>
      </c>
      <c r="CY339">
        <f>IF(ISBLANK('Data Entry'!$§$339), "", 'Data Entry'!$§$339)</f>
      </c>
      <c r="CZ339">
        <f>IF(ISBLANK('Data Entry'!$¨$339), "", 'Data Entry'!$¨$339)</f>
      </c>
      <c r="DA339">
        <f>IF(ISBLANK('Data Entry'!$©$339), "", 'Data Entry'!$©$339)</f>
      </c>
      <c r="DB339">
        <f>IF(ISBLANK('Data Entry'!$ª$339), "", 'Data Entry'!$ª$339)</f>
      </c>
      <c r="DC339">
        <f>IF(ISBLANK('Data Entry'!$«$339), "", 'Data Entry'!$«$339)</f>
      </c>
      <c r="DD339">
        <f>IF(ISBLANK('Data Entry'!$¬$339), "", 'Data Entry'!$¬$339)</f>
      </c>
      <c r="DE339">
        <f>IF(ISBLANK('Data Entry'!$­$339), "", 'Data Entry'!$­$339)</f>
      </c>
      <c r="DF339">
        <f>IF(ISBLANK('Data Entry'!$®$339), "", 'Data Entry'!$®$339)</f>
      </c>
      <c r="DG339">
        <f>IF(ISBLANK('Data Entry'!$¯$339), "", 'Data Entry'!$¯$339)</f>
      </c>
      <c r="DH339">
        <f>IF(ISBLANK('Data Entry'!$°$339), "", 'Data Entry'!$°$339)</f>
      </c>
      <c r="DI339">
        <f>IF(ISBLANK('Data Entry'!$±$339), "", 'Data Entry'!$±$339)</f>
      </c>
      <c r="DJ339">
        <f>IF(ISBLANK('Data Entry'!$²$339), "", 'Data Entry'!$²$339)</f>
      </c>
      <c r="DK339">
        <f>IF(ISBLANK('Data Entry'!$³$339), "", 'Data Entry'!$³$339)</f>
      </c>
      <c r="DL339">
        <f>IF(ISBLANK('Data Entry'!$´$339), "", 'Data Entry'!$´$339)</f>
      </c>
      <c r="DM339">
        <f>IF(ISBLANK('Data Entry'!$µ$339), "", 'Data Entry'!$µ$339)</f>
      </c>
      <c r="DN339">
        <f>IF(ISBLANK('Data Entry'!$¶$339), "", 'Data Entry'!$¶$339)</f>
      </c>
      <c r="DO339">
        <f>IF(ISBLANK('Data Entry'!$·$339), "", 'Data Entry'!$·$339)</f>
      </c>
      <c r="DP339">
        <f>IF(ISBLANK('Data Entry'!$¸$339), "", 'Data Entry'!$¸$339)</f>
      </c>
      <c r="DQ339">
        <f>IF(ISBLANK('Data Entry'!$¹$339), "", 'Data Entry'!$¹$339)</f>
      </c>
      <c r="DR339">
        <f>IF(ISBLANK('Data Entry'!$º$339), "", 'Data Entry'!$º$339)</f>
      </c>
      <c r="DS339">
        <f>IF(ISBLANK('Data Entry'!$»$339), "", 'Data Entry'!$»$339)</f>
      </c>
      <c r="DT339">
        <f>IF(ISBLANK('Data Entry'!$¼$339), "", 'Data Entry'!$¼$339)</f>
      </c>
      <c r="DU339">
        <f>IF(ISBLANK('Data Entry'!$½$339), "", 'Data Entry'!$½$339)</f>
      </c>
      <c r="DV339">
        <f>IF(ISBLANK('Data Entry'!$¾$339), "", 'Data Entry'!$¾$339)</f>
      </c>
      <c r="DW339">
        <f>IF(ISBLANK('Data Entry'!$¿$339), "", 'Data Entry'!$¿$339)</f>
      </c>
      <c r="DX339">
        <f>IF(ISBLANK('Data Entry'!$À$339), "", 'Data Entry'!$À$339)</f>
      </c>
      <c r="DY339">
        <f>IF(ISBLANK('Data Entry'!$Á$339), "", 'Data Entry'!$Á$339)</f>
      </c>
      <c r="DZ339">
        <f>IF(ISBLANK('Data Entry'!$Â$339), "", 'Data Entry'!$Â$339)</f>
      </c>
      <c r="EA339">
        <f>IF(ISBLANK('Data Entry'!$Ã$339), "", 'Data Entry'!$Ã$339)</f>
      </c>
      <c r="EB339">
        <f>IF(ISBLANK('Data Entry'!$Ä$339), "", 'Data Entry'!$Ä$339)</f>
      </c>
      <c r="EC339">
        <f>IF(ISBLANK('Data Entry'!$Å$339), "", 'Data Entry'!$Å$339)</f>
      </c>
      <c r="ED339">
        <f>IF(ISBLANK('Data Entry'!$Æ$339), "", 'Data Entry'!$Æ$339)</f>
      </c>
      <c r="EE339">
        <f>IF(ISBLANK('Data Entry'!$Ç$339), "", 'Data Entry'!$Ç$339)</f>
      </c>
      <c r="EF339">
        <f>IF(ISBLANK('Data Entry'!$È$339), "", 'Data Entry'!$È$339)</f>
      </c>
      <c r="EG339">
        <f>IF(ISBLANK('Data Entry'!$É$339), "", 'Data Entry'!$É$339)</f>
      </c>
      <c r="EH339">
        <f>IF(ISBLANK('Data Entry'!$Ê$339), "", 'Data Entry'!$Ê$339)</f>
      </c>
      <c r="EI339">
        <f>IF(ISBLANK('Data Entry'!$Ë$339), "", 'Data Entry'!$Ë$339)</f>
      </c>
      <c r="EJ339">
        <f>IF(ISBLANK('Data Entry'!$Ì$339), "", 'Data Entry'!$Ì$339)</f>
      </c>
      <c r="EK339">
        <f>IF(ISBLANK('Data Entry'!$Í$339), "", 'Data Entry'!$Í$339)</f>
      </c>
      <c r="EL339">
        <f>IF(ISBLANK('Data Entry'!$Î$339), "", 'Data Entry'!$Î$339)</f>
      </c>
      <c r="EM339">
        <f>IF(ISBLANK('Data Entry'!$Ï$339), "", 'Data Entry'!$Ï$339)</f>
      </c>
      <c r="EN339">
        <f>IF(ISBLANK('Data Entry'!$Ð$339), "", 'Data Entry'!$Ð$339)</f>
      </c>
      <c r="EO339">
        <f>IF(ISBLANK('Data Entry'!$Ñ$339), "", 'Data Entry'!$Ñ$339)</f>
      </c>
      <c r="EP339">
        <f>IF(ISBLANK('Data Entry'!$Ò$339), "", 'Data Entry'!$Ò$339)</f>
      </c>
      <c r="EQ339">
        <f>IF(ISBLANK('Data Entry'!$Ó$339), "", 'Data Entry'!$Ó$339)</f>
      </c>
      <c r="ER339">
        <f>IF(ISBLANK('Data Entry'!$Ô$339), "", 'Data Entry'!$Ô$339)</f>
      </c>
      <c r="ES339">
        <f>IF(ISBLANK('Data Entry'!$Õ$339), "", 'Data Entry'!$Õ$339)</f>
      </c>
      <c r="ET339">
        <f>IF(ISBLANK('Data Entry'!$Ö$339), "", 'Data Entry'!$Ö$339)</f>
      </c>
      <c r="EU339">
        <f>IF(ISBLANK('Data Entry'!$×$339), "", 'Data Entry'!$×$339)</f>
      </c>
      <c r="EV339">
        <f>IF(ISBLANK('Data Entry'!$Ø$339), "", 'Data Entry'!$Ø$339)</f>
      </c>
      <c r="EW339">
        <f>IF(ISBLANK('Data Entry'!$Ù$339), "", 'Data Entry'!$Ù$339)</f>
      </c>
      <c r="EX339">
        <f>IF(ISBLANK('Data Entry'!$Ú$339), "", 'Data Entry'!$Ú$339)</f>
      </c>
      <c r="EY339">
        <f>IF(ISBLANK('Data Entry'!$Û$339), "", 'Data Entry'!$Û$339)</f>
      </c>
      <c r="EZ339">
        <f>IF(ISBLANK('Data Entry'!$Ü$339), "", 'Data Entry'!$Ü$339)</f>
      </c>
      <c r="FA339">
        <f>IF(ISBLANK('Data Entry'!$Ý$339), "", 'Data Entry'!$Ý$339)</f>
      </c>
      <c r="FB339">
        <f>IF(ISBLANK('Data Entry'!$Þ$339), "", 'Data Entry'!$Þ$339)</f>
      </c>
      <c r="FC339">
        <f>IF(ISBLANK('Data Entry'!$ß$339), "", 'Data Entry'!$ß$339)</f>
      </c>
      <c r="FD339">
        <f>IF(ISBLANK('Data Entry'!$à$339), "", 'Data Entry'!$à$339)</f>
      </c>
      <c r="FE339">
        <f>IF(ISBLANK('Data Entry'!$á$339), "", 'Data Entry'!$á$339)</f>
      </c>
      <c r="FF339">
        <f>IF(ISBLANK('Data Entry'!$â$339), "", 'Data Entry'!$â$339)</f>
      </c>
      <c r="FG339">
        <f>IF(ISBLANK('Data Entry'!$ã$339), "", 'Data Entry'!$ã$339)</f>
      </c>
      <c r="FH339">
        <f>IF(ISBLANK('Data Entry'!$ä$339), "", 'Data Entry'!$ä$339)</f>
      </c>
      <c r="FI339">
        <f>IF(ISBLANK('Data Entry'!$å$339), "", 'Data Entry'!$å$339)</f>
      </c>
      <c r="FJ339">
        <f>IF(ISBLANK('Data Entry'!$æ$339), "", 'Data Entry'!$æ$339)</f>
      </c>
      <c r="FK339">
        <f>IF(ISBLANK('Data Entry'!$ç$339), "", 'Data Entry'!$ç$339)</f>
      </c>
      <c r="FL339">
        <f>IF(ISBLANK('Data Entry'!$è$339), "", 'Data Entry'!$è$339)</f>
      </c>
      <c r="FM339">
        <f>IF(ISBLANK('Data Entry'!$é$339), "", 'Data Entry'!$é$339)</f>
      </c>
      <c r="FN339">
        <f>IF(ISBLANK('Data Entry'!$ê$339), "", 'Data Entry'!$ê$339)</f>
      </c>
      <c r="FO339">
        <f>IF(ISBLANK('Data Entry'!$ë$339), "", 'Data Entry'!$ë$339)</f>
      </c>
      <c r="FP339">
        <f>IF(ISBLANK('Data Entry'!$ì$339), "", 'Data Entry'!$ì$339)</f>
      </c>
      <c r="FQ339">
        <f>IF(ISBLANK('Data Entry'!$í$339), "", 'Data Entry'!$í$339)</f>
      </c>
      <c r="FR339">
        <f>IF(ISBLANK('Data Entry'!$î$339), "", 'Data Entry'!$î$339)</f>
      </c>
      <c r="FS339">
        <f>IF(ISBLANK('Data Entry'!$ï$339), "", 'Data Entry'!$ï$339)</f>
      </c>
      <c r="FT339">
        <f>IF(ISBLANK('Data Entry'!$ð$339), "", 'Data Entry'!$ð$339)</f>
      </c>
      <c r="FU339">
        <f>IF(ISBLANK('Data Entry'!$ñ$339), "", 'Data Entry'!$ñ$339)</f>
      </c>
      <c r="FV339">
        <f>IF(ISBLANK('Data Entry'!$ò$339), "", 'Data Entry'!$ò$339)</f>
      </c>
      <c r="FW339">
        <f>IF(ISBLANK('Data Entry'!$ó$339), "", 'Data Entry'!$ó$339)</f>
      </c>
      <c r="FX339">
        <f>IF(ISBLANK('Data Entry'!$ô$339), "", 'Data Entry'!$ô$339)</f>
      </c>
      <c r="FY339">
        <f>IF(ISBLANK('Data Entry'!$õ$339), "", 'Data Entry'!$õ$339)</f>
      </c>
      <c r="FZ339">
        <f>IF(ISBLANK('Data Entry'!$ö$339), "", 'Data Entry'!$ö$339)</f>
      </c>
      <c r="GA339">
        <f>IF(ISBLANK('Data Entry'!$÷$339), "", 'Data Entry'!$÷$339)</f>
      </c>
      <c r="GB339">
        <f>IF(ISBLANK('Data Entry'!$ø$339), "", 'Data Entry'!$ø$339)</f>
      </c>
      <c r="GC339">
        <f>IF(ISBLANK('Data Entry'!$ù$339), "", 'Data Entry'!$ù$339)</f>
      </c>
      <c r="GD339">
        <f>IF(ISBLANK('Data Entry'!$ú$339), "", 'Data Entry'!$ú$339)</f>
      </c>
      <c r="GE339">
        <f>IF(ISBLANK('Data Entry'!$û$339), "", 'Data Entry'!$û$339)</f>
      </c>
      <c r="GF339">
        <f>IF(ISBLANK('Data Entry'!$ü$339), "", 'Data Entry'!$ü$339)</f>
      </c>
      <c r="GG339">
        <f>IF(ISBLANK('Data Entry'!$ý$339), "", 'Data Entry'!$ý$339)</f>
      </c>
      <c r="GH339">
        <f>IF(ISBLANK('Data Entry'!$þ$339), "", 'Data Entry'!$þ$339)</f>
      </c>
      <c r="GI339">
        <f>IF(ISBLANK('Data Entry'!$ÿ$339), "", 'Data Entry'!$ÿ$339)</f>
      </c>
      <c r="GJ339">
        <f>IF(ISBLANK('Data Entry'!$Ā$339), "", 'Data Entry'!$Ā$339)</f>
      </c>
      <c r="GK339">
        <f>IF(ISBLANK('Data Entry'!$ā$339), "", 'Data Entry'!$ā$339)</f>
      </c>
      <c r="GL339">
        <f>IF(ISBLANK('Data Entry'!$Ă$339), "", 'Data Entry'!$Ă$339)</f>
      </c>
      <c r="GM339">
        <f>IF(ISBLANK('Data Entry'!$ă$339), "", 'Data Entry'!$ă$339)</f>
      </c>
      <c r="GN339">
        <f>IF(ISBLANK('Data Entry'!$Ą$339), "", 'Data Entry'!$Ą$339)</f>
      </c>
      <c r="GO339">
        <f>IF(ISBLANK('Data Entry'!$ą$339), "", 'Data Entry'!$ą$339)</f>
      </c>
      <c r="GP339">
        <f>IF(ISBLANK('Data Entry'!$Ć$339), "", 'Data Entry'!$Ć$339)</f>
      </c>
      <c r="GQ339">
        <f>IF(ISBLANK('Data Entry'!$ć$339), "", 'Data Entry'!$ć$339)</f>
      </c>
      <c r="GR339">
        <f>IF(ISBLANK('Data Entry'!$Ĉ$339), "", 'Data Entry'!$Ĉ$339)</f>
      </c>
      <c r="GS339">
        <f>IF(ISBLANK('Data Entry'!$ĉ$339), "", 'Data Entry'!$ĉ$339)</f>
      </c>
      <c r="GT339">
        <f>IF(ISBLANK('Data Entry'!$Ċ$339), "", 'Data Entry'!$Ċ$339)</f>
      </c>
      <c r="GU339">
        <f>IF(ISBLANK('Data Entry'!$ċ$339), "", 'Data Entry'!$ċ$339)</f>
      </c>
      <c r="GV339">
        <f>IF(ISBLANK('Data Entry'!$Č$339), "", 'Data Entry'!$Č$339)</f>
      </c>
      <c r="GW339">
        <f>IF(ISBLANK('Data Entry'!$č$339), "", 'Data Entry'!$č$339)</f>
      </c>
      <c r="GX339">
        <f>IF(ISBLANK('Data Entry'!$Ď$339), "", 'Data Entry'!$Ď$339)</f>
      </c>
      <c r="GY339">
        <f>IF(ISBLANK('Data Entry'!$ď$339), "", 'Data Entry'!$ď$339)</f>
      </c>
      <c r="GZ339">
        <f>IF(ISBLANK('Data Entry'!$Đ$339), "", 'Data Entry'!$Đ$339)</f>
      </c>
      <c r="HA339">
        <f>IF(ISBLANK('Data Entry'!$đ$339), "", 'Data Entry'!$đ$339)</f>
      </c>
      <c r="HB339">
        <f>IF(ISBLANK('Data Entry'!$Ē$339), "", 'Data Entry'!$Ē$339)</f>
      </c>
      <c r="HC339">
        <f>IF(ISBLANK('Data Entry'!$ē$339), "", 'Data Entry'!$ē$339)</f>
      </c>
      <c r="HD339">
        <f>IF(ISBLANK('Data Entry'!$Ĕ$339), "", 'Data Entry'!$Ĕ$339)</f>
      </c>
      <c r="HE339">
        <f>IF(ISBLANK('Data Entry'!$ĕ$339), "", 'Data Entry'!$ĕ$339)</f>
      </c>
      <c r="HF339">
        <f>IF(ISBLANK('Data Entry'!$Ė$339), "", 'Data Entry'!$Ė$339)</f>
      </c>
      <c r="HG339">
        <f>IF(ISBLANK('Data Entry'!$ė$339), "", 'Data Entry'!$ė$339)</f>
      </c>
      <c r="HH339">
        <f>IF(ISBLANK('Data Entry'!$Ę$339), "", 'Data Entry'!$Ę$339)</f>
      </c>
      <c r="HI339">
        <f>IF(ISBLANK('Data Entry'!$ę$339), "", 'Data Entry'!$ę$339)</f>
      </c>
      <c r="HJ339">
        <f>IF(ISBLANK('Data Entry'!$Ě$339), "", 'Data Entry'!$Ě$339)</f>
      </c>
      <c r="HK339">
        <f>IF(ISBLANK('Data Entry'!$ě$339), "", 'Data Entry'!$ě$339)</f>
      </c>
      <c r="HL339">
        <f>IF(ISBLANK('Data Entry'!$Ĝ$339), "", 'Data Entry'!$Ĝ$339)</f>
      </c>
      <c r="HM339">
        <f>IF(ISBLANK('Data Entry'!$ĝ$339), "", 'Data Entry'!$ĝ$339)</f>
      </c>
      <c r="HN339">
        <f>IF(ISBLANK('Data Entry'!$Ğ$339), "", 'Data Entry'!$Ğ$339)</f>
      </c>
      <c r="HO339">
        <f>IF(ISBLANK('Data Entry'!$ğ$339), "", 'Data Entry'!$ğ$339)</f>
      </c>
      <c r="HP339">
        <f>IF(ISBLANK('Data Entry'!$Ġ$339), "", 'Data Entry'!$Ġ$339)</f>
      </c>
      <c r="HQ339">
        <f>IF(ISBLANK('Data Entry'!$ġ$339), "", 'Data Entry'!$ġ$339)</f>
      </c>
      <c r="HR339">
        <f>IF(ISBLANK('Data Entry'!$Ģ$339), "", 'Data Entry'!$Ģ$339)</f>
      </c>
      <c r="HS339">
        <f>IF(ISBLANK('Data Entry'!$ģ$339), "", 'Data Entry'!$ģ$339)</f>
      </c>
      <c r="HT339">
        <f>IF(ISBLANK('Data Entry'!$Ĥ$339), "", 'Data Entry'!$Ĥ$339)</f>
      </c>
      <c r="HU339">
        <f>IF(ISBLANK('Data Entry'!$ĥ$339), "", 'Data Entry'!$ĥ$339)</f>
      </c>
      <c r="HV339">
        <f>IF(ISBLANK('Data Entry'!$Ħ$339), "", 'Data Entry'!$Ħ$339)</f>
      </c>
      <c r="HW339">
        <f>IF(ISBLANK('Data Entry'!$ħ$339), "", 'Data Entry'!$ħ$339)</f>
      </c>
      <c r="HX339">
        <f>IF(ISBLANK('Data Entry'!$Ĩ$339), "", 'Data Entry'!$Ĩ$339)</f>
      </c>
      <c r="HY339">
        <f>IF(ISBLANK('Data Entry'!$ĩ$339), "", 'Data Entry'!$ĩ$339)</f>
      </c>
      <c r="HZ339">
        <f>IF(ISBLANK('Data Entry'!$Ī$339), "", 'Data Entry'!$Ī$339)</f>
      </c>
      <c r="IA339">
        <f>IF(ISBLANK('Data Entry'!$ī$339), "", 'Data Entry'!$ī$339)</f>
      </c>
      <c r="IB339">
        <f>IF(ISBLANK('Data Entry'!$Ĭ$339), "", 'Data Entry'!$Ĭ$339)</f>
      </c>
      <c r="IC339">
        <f>IF(ISBLANK('Data Entry'!$ĭ$339), "", 'Data Entry'!$ĭ$339)</f>
      </c>
      <c r="ID339">
        <f>IF(ISBLANK('Data Entry'!$Į$339), "", 'Data Entry'!$Į$339)</f>
      </c>
      <c r="IE339">
        <f>IF(ISBLANK('Data Entry'!$į$339), "", 'Data Entry'!$į$339)</f>
      </c>
      <c r="IF339">
        <f>IF(ISBLANK('Data Entry'!$İ$339), "", 'Data Entry'!$İ$339)</f>
      </c>
      <c r="IG339">
        <f>IF(ISBLANK('Data Entry'!$ı$339), "", 'Data Entry'!$ı$339)</f>
      </c>
      <c r="IH339">
        <f>IF(ISBLANK('Data Entry'!$Ĳ$339), "", 'Data Entry'!$Ĳ$339)</f>
      </c>
      <c r="II339">
        <f>IF(ISBLANK('Data Entry'!$ĳ$339), "", 'Data Entry'!$ĳ$339)</f>
      </c>
      <c r="IJ339">
        <f>IF(ISBLANK('Data Entry'!$Ĵ$339), "", 'Data Entry'!$Ĵ$339)</f>
      </c>
      <c r="IK339">
        <f>IF(ISBLANK('Data Entry'!$ĵ$339), "", 'Data Entry'!$ĵ$339)</f>
      </c>
      <c r="IL339">
        <f>IF(ISBLANK('Data Entry'!$Ķ$339), "", 'Data Entry'!$Ķ$339)</f>
      </c>
      <c r="IM339">
        <f>IF(ISBLANK('Data Entry'!$ķ$339), "", 'Data Entry'!$ķ$339)</f>
      </c>
      <c r="IN339">
        <f>IF(ISBLANK('Data Entry'!$ĸ$339), "", 'Data Entry'!$ĸ$339)</f>
      </c>
      <c r="IO339">
        <f>IF(ISBLANK('Data Entry'!$Ĺ$339), "", 'Data Entry'!$Ĺ$339)</f>
      </c>
      <c r="IP339">
        <f>IF(ISBLANK('Data Entry'!$ĺ$339), "", 'Data Entry'!$ĺ$339)</f>
      </c>
      <c r="IQ339">
        <f>IF(ISBLANK('Data Entry'!$Ļ$339), "", 'Data Entry'!$Ļ$339)</f>
      </c>
      <c r="IR339">
        <f>IF(ISBLANK('Data Entry'!$ļ$339), "", 'Data Entry'!$ļ$339)</f>
      </c>
      <c r="IS339">
        <f>IF(ISBLANK('Data Entry'!$Ľ$339), "", 'Data Entry'!$Ľ$339)</f>
      </c>
      <c r="IT339">
        <f>IF(ISBLANK('Data Entry'!$ľ$339), "", 'Data Entry'!$ľ$339)</f>
      </c>
    </row>
    <row r="340" spans="1:254" x14ac:dyDescent="0.25">
      <c r="A340">
        <f>IF(ISBLANK('Data Entry'!$A$340), "", 'Data Entry'!$A$340)</f>
      </c>
      <c r="B340">
        <f>IF(ISBLANK('Data Entry'!$B$340), "", 'Data Entry'!$B$340)</f>
      </c>
      <c r="C340">
        <f>IF(ISBLANK('Data Entry'!$C$340), "", 'Data Entry'!$C$340)</f>
      </c>
      <c r="D340">
        <f>IF(ISBLANK('Data Entry'!$D$340), "", 'Data Entry'!$D$340)</f>
      </c>
      <c r="E340">
        <f>IF(ISBLANK('Data Entry'!$E$340), "", 'Data Entry'!$E$340)</f>
      </c>
      <c r="F340">
        <f>IF(ISBLANK('Data Entry'!$F$340), "", 'Data Entry'!$F$340)</f>
      </c>
      <c r="G340">
        <f>IF(ISBLANK('Data Entry'!$G$340), "", 'Data Entry'!$G$340)</f>
      </c>
      <c r="H340">
        <f>IF(ISBLANK('Data Entry'!$H$340), "", 'Data Entry'!$H$340)</f>
      </c>
      <c r="I340">
        <f>IF(ISBLANK('Data Entry'!$I$340), "", 'Data Entry'!$I$340)</f>
      </c>
      <c r="J340">
        <f>IF(ISBLANK('Data Entry'!$J$340), "", 'Data Entry'!$J$340)</f>
      </c>
      <c r="K340">
        <f>IF(ISBLANK('Data Entry'!$K$340), "", 'Data Entry'!$K$340)</f>
      </c>
      <c r="L340">
        <f>IF(ISBLANK('Data Entry'!$L$340), "", 'Data Entry'!$L$340)</f>
      </c>
      <c r="M340">
        <f>IF(ISBLANK('Data Entry'!$M$340), "", 'Data Entry'!$M$340)</f>
      </c>
      <c r="N340">
        <f>IF(ISBLANK('Data Entry'!$N$340), "", 'Data Entry'!$N$340)</f>
      </c>
      <c r="O340">
        <f>IF(ISBLANK('Data Entry'!$O$340), "", 'Data Entry'!$O$340)</f>
      </c>
      <c r="P340">
        <f>IF(ISBLANK('Data Entry'!$P$340), "", 'Data Entry'!$P$340)</f>
      </c>
      <c r="Q340">
        <f>IF(ISBLANK('Data Entry'!$Q$340), "", 'Data Entry'!$Q$340)</f>
      </c>
      <c r="R340">
        <f>IF(ISBLANK('Data Entry'!$R$340), "", 'Data Entry'!$R$340)</f>
      </c>
      <c r="S340">
        <f>IF(ISBLANK('Data Entry'!$S$340), "", 'Data Entry'!$S$340)</f>
      </c>
      <c r="T340">
        <f>IF(ISBLANK('Data Entry'!$T$340), "", 'Data Entry'!$T$340)</f>
      </c>
      <c r="U340">
        <f>IF(ISBLANK('Data Entry'!$U$340), "", 'Data Entry'!$U$340)</f>
      </c>
      <c r="V340">
        <f>IF(ISBLANK('Data Entry'!$V$340), "", 'Data Entry'!$V$340)</f>
      </c>
      <c r="W340">
        <f>IF(ISBLANK('Data Entry'!$W$340), "", 'Data Entry'!$W$340)</f>
      </c>
      <c r="X340">
        <f>IF(ISBLANK('Data Entry'!$X$340), "", 'Data Entry'!$X$340)</f>
      </c>
      <c r="Y340">
        <f>IF(ISBLANK('Data Entry'!$Y$340), "", 'Data Entry'!$Y$340)</f>
      </c>
      <c r="Z340">
        <f>IF(ISBLANK('Data Entry'!$Z$340), "", 'Data Entry'!$Z$340)</f>
      </c>
      <c r="AA340">
        <f>IF(ISBLANK('Data Entry'!$[$340), "", 'Data Entry'!$[$340)</f>
      </c>
      <c r="AB340">
        <f>IF(ISBLANK('Data Entry'!$\$340), "", 'Data Entry'!$\$340)</f>
      </c>
      <c r="AC340">
        <f>IF(ISBLANK('Data Entry'!$]$340), "", 'Data Entry'!$]$340)</f>
      </c>
      <c r="AD340">
        <f>IF(ISBLANK('Data Entry'!$^$340), "", 'Data Entry'!$^$340)</f>
      </c>
      <c r="AE340">
        <f>IF(ISBLANK('Data Entry'!$_$340), "", 'Data Entry'!$_$340)</f>
      </c>
      <c r="AF340">
        <f>IF(ISBLANK('Data Entry'!$`$340), "", 'Data Entry'!$`$340)</f>
      </c>
      <c r="AG340">
        <f>IF(ISBLANK('Data Entry'!$a$340), "", 'Data Entry'!$a$340)</f>
      </c>
      <c r="AH340">
        <f>IF(ISBLANK('Data Entry'!$b$340), "", 'Data Entry'!$b$340)</f>
      </c>
      <c r="AI340">
        <f>IF(ISBLANK('Data Entry'!$c$340), "", 'Data Entry'!$c$340)</f>
      </c>
      <c r="AJ340">
        <f>IF(ISBLANK('Data Entry'!$d$340), "", 'Data Entry'!$d$340)</f>
      </c>
      <c r="AK340">
        <f>IF(ISBLANK('Data Entry'!$e$340), "", 'Data Entry'!$e$340)</f>
      </c>
      <c r="AL340">
        <f>IF(ISBLANK('Data Entry'!$f$340), "", 'Data Entry'!$f$340)</f>
      </c>
      <c r="AM340">
        <f>IF(ISBLANK('Data Entry'!$g$340), "", 'Data Entry'!$g$340)</f>
      </c>
      <c r="AN340">
        <f>IF(ISBLANK('Data Entry'!$h$340), "", 'Data Entry'!$h$340)</f>
      </c>
      <c r="AO340">
        <f>IF(ISBLANK('Data Entry'!$i$340), "", 'Data Entry'!$i$340)</f>
      </c>
      <c r="AP340">
        <f>IF(ISBLANK('Data Entry'!$j$340), "", 'Data Entry'!$j$340)</f>
      </c>
      <c r="AQ340">
        <f>IF(ISBLANK('Data Entry'!$k$340), "", 'Data Entry'!$k$340)</f>
      </c>
      <c r="AR340">
        <f>IF(ISBLANK('Data Entry'!$l$340), "", 'Data Entry'!$l$340)</f>
      </c>
      <c r="AS340">
        <f>IF(ISBLANK('Data Entry'!$m$340), "", 'Data Entry'!$m$340)</f>
      </c>
      <c r="AT340">
        <f>IF(ISBLANK('Data Entry'!$n$340), "", 'Data Entry'!$n$340)</f>
      </c>
      <c r="AU340">
        <f>IF(ISBLANK('Data Entry'!$o$340), "", 'Data Entry'!$o$340)</f>
      </c>
      <c r="AV340">
        <f>IF(ISBLANK('Data Entry'!$p$340), "", 'Data Entry'!$p$340)</f>
      </c>
      <c r="AW340">
        <f>IF(ISBLANK('Data Entry'!$q$340), "", 'Data Entry'!$q$340)</f>
      </c>
      <c r="AX340">
        <f>IF(ISBLANK('Data Entry'!$r$340), "", 'Data Entry'!$r$340)</f>
      </c>
      <c r="AY340">
        <f>IF(ISBLANK('Data Entry'!$s$340), "", 'Data Entry'!$s$340)</f>
      </c>
      <c r="AZ340">
        <f>IF(ISBLANK('Data Entry'!$t$340), "", 'Data Entry'!$t$340)</f>
      </c>
      <c r="BA340">
        <f>IF(ISBLANK('Data Entry'!$u$340), "", 'Data Entry'!$u$340)</f>
      </c>
      <c r="BB340">
        <f>IF(ISBLANK('Data Entry'!$v$340), "", 'Data Entry'!$v$340)</f>
      </c>
      <c r="BC340">
        <f>IF(ISBLANK('Data Entry'!$w$340), "", 'Data Entry'!$w$340)</f>
      </c>
      <c r="BD340">
        <f>IF(ISBLANK('Data Entry'!$x$340), "", 'Data Entry'!$x$340)</f>
      </c>
      <c r="BE340">
        <f>IF(ISBLANK('Data Entry'!$y$340), "", 'Data Entry'!$y$340)</f>
      </c>
      <c r="BF340">
        <f>IF(ISBLANK('Data Entry'!$z$340), "", 'Data Entry'!$z$340)</f>
      </c>
      <c r="BG340">
        <f>IF(ISBLANK('Data Entry'!${$340), "", 'Data Entry'!${$340)</f>
      </c>
      <c r="BH340">
        <f>IF(ISBLANK('Data Entry'!$|$340), "", 'Data Entry'!$|$340)</f>
      </c>
      <c r="BI340">
        <f>IF(ISBLANK('Data Entry'!$}$340), "", 'Data Entry'!$}$340)</f>
      </c>
      <c r="BJ340">
        <f>IF(ISBLANK('Data Entry'!$~$340), "", 'Data Entry'!$~$340)</f>
      </c>
      <c r="BK340">
        <f>IF(ISBLANK('Data Entry'!$$340), "", 'Data Entry'!$$340)</f>
      </c>
      <c r="BL340">
        <f>IF(ISBLANK('Data Entry'!$$340), "", 'Data Entry'!$$340)</f>
      </c>
      <c r="BM340">
        <f>IF(ISBLANK('Data Entry'!$$340), "", 'Data Entry'!$$340)</f>
      </c>
      <c r="BN340">
        <f>IF(ISBLANK('Data Entry'!$$340), "", 'Data Entry'!$$340)</f>
      </c>
      <c r="BO340">
        <f>IF(ISBLANK('Data Entry'!$$340), "", 'Data Entry'!$$340)</f>
      </c>
      <c r="BP340">
        <f>IF(ISBLANK('Data Entry'!$$340), "", 'Data Entry'!$$340)</f>
      </c>
      <c r="BQ340">
        <f>IF(ISBLANK('Data Entry'!$$340), "", 'Data Entry'!$$340)</f>
      </c>
      <c r="BR340">
        <f>IF(ISBLANK('Data Entry'!$$340), "", 'Data Entry'!$$340)</f>
      </c>
      <c r="BS340">
        <f>IF(ISBLANK('Data Entry'!$$340), "", 'Data Entry'!$$340)</f>
      </c>
      <c r="BT340">
        <f>IF(ISBLANK('Data Entry'!$$340), "", 'Data Entry'!$$340)</f>
      </c>
      <c r="BU340">
        <f>IF(ISBLANK('Data Entry'!$$340), "", 'Data Entry'!$$340)</f>
      </c>
      <c r="BV340">
        <f>IF(ISBLANK('Data Entry'!$$340), "", 'Data Entry'!$$340)</f>
      </c>
      <c r="BW340">
        <f>IF(ISBLANK('Data Entry'!$$340), "", 'Data Entry'!$$340)</f>
      </c>
      <c r="BX340">
        <f>IF(ISBLANK('Data Entry'!$$340), "", 'Data Entry'!$$340)</f>
      </c>
      <c r="BY340">
        <f>IF(ISBLANK('Data Entry'!$$340), "", 'Data Entry'!$$340)</f>
      </c>
      <c r="BZ340">
        <f>IF(ISBLANK('Data Entry'!$$340), "", 'Data Entry'!$$340)</f>
      </c>
      <c r="CA340">
        <f>IF(ISBLANK('Data Entry'!$$340), "", 'Data Entry'!$$340)</f>
      </c>
      <c r="CB340">
        <f>IF(ISBLANK('Data Entry'!$$340), "", 'Data Entry'!$$340)</f>
      </c>
      <c r="CC340">
        <f>IF(ISBLANK('Data Entry'!$$340), "", 'Data Entry'!$$340)</f>
      </c>
      <c r="CD340">
        <f>IF(ISBLANK('Data Entry'!$$340), "", 'Data Entry'!$$340)</f>
      </c>
      <c r="CE340">
        <f>IF(ISBLANK('Data Entry'!$$340), "", 'Data Entry'!$$340)</f>
      </c>
      <c r="CF340">
        <f>IF(ISBLANK('Data Entry'!$$340), "", 'Data Entry'!$$340)</f>
      </c>
      <c r="CG340">
        <f>IF(ISBLANK('Data Entry'!$$340), "", 'Data Entry'!$$340)</f>
      </c>
      <c r="CH340">
        <f>IF(ISBLANK('Data Entry'!$$340), "", 'Data Entry'!$$340)</f>
      </c>
      <c r="CI340">
        <f>IF(ISBLANK('Data Entry'!$$340), "", 'Data Entry'!$$340)</f>
      </c>
      <c r="CJ340">
        <f>IF(ISBLANK('Data Entry'!$$340), "", 'Data Entry'!$$340)</f>
      </c>
      <c r="CK340">
        <f>IF(ISBLANK('Data Entry'!$$340), "", 'Data Entry'!$$340)</f>
      </c>
      <c r="CL340">
        <f>IF(ISBLANK('Data Entry'!$$340), "", 'Data Entry'!$$340)</f>
      </c>
      <c r="CM340">
        <f>IF(ISBLANK('Data Entry'!$$340), "", 'Data Entry'!$$340)</f>
      </c>
      <c r="CN340">
        <f>IF(ISBLANK('Data Entry'!$$340), "", 'Data Entry'!$$340)</f>
      </c>
      <c r="CO340">
        <f>IF(ISBLANK('Data Entry'!$$340), "", 'Data Entry'!$$340)</f>
      </c>
      <c r="CP340">
        <f>IF(ISBLANK('Data Entry'!$$340), "", 'Data Entry'!$$340)</f>
      </c>
      <c r="CQ340">
        <f>IF(ISBLANK('Data Entry'!$$340), "", 'Data Entry'!$$340)</f>
      </c>
      <c r="CR340">
        <f>IF(ISBLANK('Data Entry'!$ $340), "", 'Data Entry'!$ $340)</f>
      </c>
      <c r="CS340">
        <f>IF(ISBLANK('Data Entry'!$¡$340), "", 'Data Entry'!$¡$340)</f>
      </c>
      <c r="CT340">
        <f>IF(ISBLANK('Data Entry'!$¢$340), "", 'Data Entry'!$¢$340)</f>
      </c>
      <c r="CU340">
        <f>IF(ISBLANK('Data Entry'!$£$340), "", 'Data Entry'!$£$340)</f>
      </c>
      <c r="CV340">
        <f>IF(ISBLANK('Data Entry'!$¤$340), "", 'Data Entry'!$¤$340)</f>
      </c>
      <c r="CW340">
        <f>IF(ISBLANK('Data Entry'!$¥$340), "", 'Data Entry'!$¥$340)</f>
      </c>
      <c r="CX340">
        <f>IF(ISBLANK('Data Entry'!$¦$340), "", 'Data Entry'!$¦$340)</f>
      </c>
      <c r="CY340">
        <f>IF(ISBLANK('Data Entry'!$§$340), "", 'Data Entry'!$§$340)</f>
      </c>
      <c r="CZ340">
        <f>IF(ISBLANK('Data Entry'!$¨$340), "", 'Data Entry'!$¨$340)</f>
      </c>
      <c r="DA340">
        <f>IF(ISBLANK('Data Entry'!$©$340), "", 'Data Entry'!$©$340)</f>
      </c>
      <c r="DB340">
        <f>IF(ISBLANK('Data Entry'!$ª$340), "", 'Data Entry'!$ª$340)</f>
      </c>
      <c r="DC340">
        <f>IF(ISBLANK('Data Entry'!$«$340), "", 'Data Entry'!$«$340)</f>
      </c>
      <c r="DD340">
        <f>IF(ISBLANK('Data Entry'!$¬$340), "", 'Data Entry'!$¬$340)</f>
      </c>
      <c r="DE340">
        <f>IF(ISBLANK('Data Entry'!$­$340), "", 'Data Entry'!$­$340)</f>
      </c>
      <c r="DF340">
        <f>IF(ISBLANK('Data Entry'!$®$340), "", 'Data Entry'!$®$340)</f>
      </c>
      <c r="DG340">
        <f>IF(ISBLANK('Data Entry'!$¯$340), "", 'Data Entry'!$¯$340)</f>
      </c>
      <c r="DH340">
        <f>IF(ISBLANK('Data Entry'!$°$340), "", 'Data Entry'!$°$340)</f>
      </c>
      <c r="DI340">
        <f>IF(ISBLANK('Data Entry'!$±$340), "", 'Data Entry'!$±$340)</f>
      </c>
      <c r="DJ340">
        <f>IF(ISBLANK('Data Entry'!$²$340), "", 'Data Entry'!$²$340)</f>
      </c>
      <c r="DK340">
        <f>IF(ISBLANK('Data Entry'!$³$340), "", 'Data Entry'!$³$340)</f>
      </c>
      <c r="DL340">
        <f>IF(ISBLANK('Data Entry'!$´$340), "", 'Data Entry'!$´$340)</f>
      </c>
      <c r="DM340">
        <f>IF(ISBLANK('Data Entry'!$µ$340), "", 'Data Entry'!$µ$340)</f>
      </c>
      <c r="DN340">
        <f>IF(ISBLANK('Data Entry'!$¶$340), "", 'Data Entry'!$¶$340)</f>
      </c>
      <c r="DO340">
        <f>IF(ISBLANK('Data Entry'!$·$340), "", 'Data Entry'!$·$340)</f>
      </c>
      <c r="DP340">
        <f>IF(ISBLANK('Data Entry'!$¸$340), "", 'Data Entry'!$¸$340)</f>
      </c>
      <c r="DQ340">
        <f>IF(ISBLANK('Data Entry'!$¹$340), "", 'Data Entry'!$¹$340)</f>
      </c>
      <c r="DR340">
        <f>IF(ISBLANK('Data Entry'!$º$340), "", 'Data Entry'!$º$340)</f>
      </c>
      <c r="DS340">
        <f>IF(ISBLANK('Data Entry'!$»$340), "", 'Data Entry'!$»$340)</f>
      </c>
      <c r="DT340">
        <f>IF(ISBLANK('Data Entry'!$¼$340), "", 'Data Entry'!$¼$340)</f>
      </c>
      <c r="DU340">
        <f>IF(ISBLANK('Data Entry'!$½$340), "", 'Data Entry'!$½$340)</f>
      </c>
      <c r="DV340">
        <f>IF(ISBLANK('Data Entry'!$¾$340), "", 'Data Entry'!$¾$340)</f>
      </c>
      <c r="DW340">
        <f>IF(ISBLANK('Data Entry'!$¿$340), "", 'Data Entry'!$¿$340)</f>
      </c>
      <c r="DX340">
        <f>IF(ISBLANK('Data Entry'!$À$340), "", 'Data Entry'!$À$340)</f>
      </c>
      <c r="DY340">
        <f>IF(ISBLANK('Data Entry'!$Á$340), "", 'Data Entry'!$Á$340)</f>
      </c>
      <c r="DZ340">
        <f>IF(ISBLANK('Data Entry'!$Â$340), "", 'Data Entry'!$Â$340)</f>
      </c>
      <c r="EA340">
        <f>IF(ISBLANK('Data Entry'!$Ã$340), "", 'Data Entry'!$Ã$340)</f>
      </c>
      <c r="EB340">
        <f>IF(ISBLANK('Data Entry'!$Ä$340), "", 'Data Entry'!$Ä$340)</f>
      </c>
      <c r="EC340">
        <f>IF(ISBLANK('Data Entry'!$Å$340), "", 'Data Entry'!$Å$340)</f>
      </c>
      <c r="ED340">
        <f>IF(ISBLANK('Data Entry'!$Æ$340), "", 'Data Entry'!$Æ$340)</f>
      </c>
      <c r="EE340">
        <f>IF(ISBLANK('Data Entry'!$Ç$340), "", 'Data Entry'!$Ç$340)</f>
      </c>
      <c r="EF340">
        <f>IF(ISBLANK('Data Entry'!$È$340), "", 'Data Entry'!$È$340)</f>
      </c>
      <c r="EG340">
        <f>IF(ISBLANK('Data Entry'!$É$340), "", 'Data Entry'!$É$340)</f>
      </c>
      <c r="EH340">
        <f>IF(ISBLANK('Data Entry'!$Ê$340), "", 'Data Entry'!$Ê$340)</f>
      </c>
      <c r="EI340">
        <f>IF(ISBLANK('Data Entry'!$Ë$340), "", 'Data Entry'!$Ë$340)</f>
      </c>
      <c r="EJ340">
        <f>IF(ISBLANK('Data Entry'!$Ì$340), "", 'Data Entry'!$Ì$340)</f>
      </c>
      <c r="EK340">
        <f>IF(ISBLANK('Data Entry'!$Í$340), "", 'Data Entry'!$Í$340)</f>
      </c>
      <c r="EL340">
        <f>IF(ISBLANK('Data Entry'!$Î$340), "", 'Data Entry'!$Î$340)</f>
      </c>
      <c r="EM340">
        <f>IF(ISBLANK('Data Entry'!$Ï$340), "", 'Data Entry'!$Ï$340)</f>
      </c>
      <c r="EN340">
        <f>IF(ISBLANK('Data Entry'!$Ð$340), "", 'Data Entry'!$Ð$340)</f>
      </c>
      <c r="EO340">
        <f>IF(ISBLANK('Data Entry'!$Ñ$340), "", 'Data Entry'!$Ñ$340)</f>
      </c>
      <c r="EP340">
        <f>IF(ISBLANK('Data Entry'!$Ò$340), "", 'Data Entry'!$Ò$340)</f>
      </c>
      <c r="EQ340">
        <f>IF(ISBLANK('Data Entry'!$Ó$340), "", 'Data Entry'!$Ó$340)</f>
      </c>
      <c r="ER340">
        <f>IF(ISBLANK('Data Entry'!$Ô$340), "", 'Data Entry'!$Ô$340)</f>
      </c>
      <c r="ES340">
        <f>IF(ISBLANK('Data Entry'!$Õ$340), "", 'Data Entry'!$Õ$340)</f>
      </c>
      <c r="ET340">
        <f>IF(ISBLANK('Data Entry'!$Ö$340), "", 'Data Entry'!$Ö$340)</f>
      </c>
      <c r="EU340">
        <f>IF(ISBLANK('Data Entry'!$×$340), "", 'Data Entry'!$×$340)</f>
      </c>
      <c r="EV340">
        <f>IF(ISBLANK('Data Entry'!$Ø$340), "", 'Data Entry'!$Ø$340)</f>
      </c>
      <c r="EW340">
        <f>IF(ISBLANK('Data Entry'!$Ù$340), "", 'Data Entry'!$Ù$340)</f>
      </c>
      <c r="EX340">
        <f>IF(ISBLANK('Data Entry'!$Ú$340), "", 'Data Entry'!$Ú$340)</f>
      </c>
      <c r="EY340">
        <f>IF(ISBLANK('Data Entry'!$Û$340), "", 'Data Entry'!$Û$340)</f>
      </c>
      <c r="EZ340">
        <f>IF(ISBLANK('Data Entry'!$Ü$340), "", 'Data Entry'!$Ü$340)</f>
      </c>
      <c r="FA340">
        <f>IF(ISBLANK('Data Entry'!$Ý$340), "", 'Data Entry'!$Ý$340)</f>
      </c>
      <c r="FB340">
        <f>IF(ISBLANK('Data Entry'!$Þ$340), "", 'Data Entry'!$Þ$340)</f>
      </c>
      <c r="FC340">
        <f>IF(ISBLANK('Data Entry'!$ß$340), "", 'Data Entry'!$ß$340)</f>
      </c>
      <c r="FD340">
        <f>IF(ISBLANK('Data Entry'!$à$340), "", 'Data Entry'!$à$340)</f>
      </c>
      <c r="FE340">
        <f>IF(ISBLANK('Data Entry'!$á$340), "", 'Data Entry'!$á$340)</f>
      </c>
      <c r="FF340">
        <f>IF(ISBLANK('Data Entry'!$â$340), "", 'Data Entry'!$â$340)</f>
      </c>
      <c r="FG340">
        <f>IF(ISBLANK('Data Entry'!$ã$340), "", 'Data Entry'!$ã$340)</f>
      </c>
      <c r="FH340">
        <f>IF(ISBLANK('Data Entry'!$ä$340), "", 'Data Entry'!$ä$340)</f>
      </c>
      <c r="FI340">
        <f>IF(ISBLANK('Data Entry'!$å$340), "", 'Data Entry'!$å$340)</f>
      </c>
      <c r="FJ340">
        <f>IF(ISBLANK('Data Entry'!$æ$340), "", 'Data Entry'!$æ$340)</f>
      </c>
      <c r="FK340">
        <f>IF(ISBLANK('Data Entry'!$ç$340), "", 'Data Entry'!$ç$340)</f>
      </c>
      <c r="FL340">
        <f>IF(ISBLANK('Data Entry'!$è$340), "", 'Data Entry'!$è$340)</f>
      </c>
      <c r="FM340">
        <f>IF(ISBLANK('Data Entry'!$é$340), "", 'Data Entry'!$é$340)</f>
      </c>
      <c r="FN340">
        <f>IF(ISBLANK('Data Entry'!$ê$340), "", 'Data Entry'!$ê$340)</f>
      </c>
      <c r="FO340">
        <f>IF(ISBLANK('Data Entry'!$ë$340), "", 'Data Entry'!$ë$340)</f>
      </c>
      <c r="FP340">
        <f>IF(ISBLANK('Data Entry'!$ì$340), "", 'Data Entry'!$ì$340)</f>
      </c>
      <c r="FQ340">
        <f>IF(ISBLANK('Data Entry'!$í$340), "", 'Data Entry'!$í$340)</f>
      </c>
      <c r="FR340">
        <f>IF(ISBLANK('Data Entry'!$î$340), "", 'Data Entry'!$î$340)</f>
      </c>
      <c r="FS340">
        <f>IF(ISBLANK('Data Entry'!$ï$340), "", 'Data Entry'!$ï$340)</f>
      </c>
      <c r="FT340">
        <f>IF(ISBLANK('Data Entry'!$ð$340), "", 'Data Entry'!$ð$340)</f>
      </c>
      <c r="FU340">
        <f>IF(ISBLANK('Data Entry'!$ñ$340), "", 'Data Entry'!$ñ$340)</f>
      </c>
      <c r="FV340">
        <f>IF(ISBLANK('Data Entry'!$ò$340), "", 'Data Entry'!$ò$340)</f>
      </c>
      <c r="FW340">
        <f>IF(ISBLANK('Data Entry'!$ó$340), "", 'Data Entry'!$ó$340)</f>
      </c>
      <c r="FX340">
        <f>IF(ISBLANK('Data Entry'!$ô$340), "", 'Data Entry'!$ô$340)</f>
      </c>
      <c r="FY340">
        <f>IF(ISBLANK('Data Entry'!$õ$340), "", 'Data Entry'!$õ$340)</f>
      </c>
      <c r="FZ340">
        <f>IF(ISBLANK('Data Entry'!$ö$340), "", 'Data Entry'!$ö$340)</f>
      </c>
      <c r="GA340">
        <f>IF(ISBLANK('Data Entry'!$÷$340), "", 'Data Entry'!$÷$340)</f>
      </c>
      <c r="GB340">
        <f>IF(ISBLANK('Data Entry'!$ø$340), "", 'Data Entry'!$ø$340)</f>
      </c>
      <c r="GC340">
        <f>IF(ISBLANK('Data Entry'!$ù$340), "", 'Data Entry'!$ù$340)</f>
      </c>
      <c r="GD340">
        <f>IF(ISBLANK('Data Entry'!$ú$340), "", 'Data Entry'!$ú$340)</f>
      </c>
      <c r="GE340">
        <f>IF(ISBLANK('Data Entry'!$û$340), "", 'Data Entry'!$û$340)</f>
      </c>
      <c r="GF340">
        <f>IF(ISBLANK('Data Entry'!$ü$340), "", 'Data Entry'!$ü$340)</f>
      </c>
      <c r="GG340">
        <f>IF(ISBLANK('Data Entry'!$ý$340), "", 'Data Entry'!$ý$340)</f>
      </c>
      <c r="GH340">
        <f>IF(ISBLANK('Data Entry'!$þ$340), "", 'Data Entry'!$þ$340)</f>
      </c>
      <c r="GI340">
        <f>IF(ISBLANK('Data Entry'!$ÿ$340), "", 'Data Entry'!$ÿ$340)</f>
      </c>
      <c r="GJ340">
        <f>IF(ISBLANK('Data Entry'!$Ā$340), "", 'Data Entry'!$Ā$340)</f>
      </c>
      <c r="GK340">
        <f>IF(ISBLANK('Data Entry'!$ā$340), "", 'Data Entry'!$ā$340)</f>
      </c>
      <c r="GL340">
        <f>IF(ISBLANK('Data Entry'!$Ă$340), "", 'Data Entry'!$Ă$340)</f>
      </c>
      <c r="GM340">
        <f>IF(ISBLANK('Data Entry'!$ă$340), "", 'Data Entry'!$ă$340)</f>
      </c>
      <c r="GN340">
        <f>IF(ISBLANK('Data Entry'!$Ą$340), "", 'Data Entry'!$Ą$340)</f>
      </c>
      <c r="GO340">
        <f>IF(ISBLANK('Data Entry'!$ą$340), "", 'Data Entry'!$ą$340)</f>
      </c>
      <c r="GP340">
        <f>IF(ISBLANK('Data Entry'!$Ć$340), "", 'Data Entry'!$Ć$340)</f>
      </c>
      <c r="GQ340">
        <f>IF(ISBLANK('Data Entry'!$ć$340), "", 'Data Entry'!$ć$340)</f>
      </c>
      <c r="GR340">
        <f>IF(ISBLANK('Data Entry'!$Ĉ$340), "", 'Data Entry'!$Ĉ$340)</f>
      </c>
      <c r="GS340">
        <f>IF(ISBLANK('Data Entry'!$ĉ$340), "", 'Data Entry'!$ĉ$340)</f>
      </c>
      <c r="GT340">
        <f>IF(ISBLANK('Data Entry'!$Ċ$340), "", 'Data Entry'!$Ċ$340)</f>
      </c>
      <c r="GU340">
        <f>IF(ISBLANK('Data Entry'!$ċ$340), "", 'Data Entry'!$ċ$340)</f>
      </c>
      <c r="GV340">
        <f>IF(ISBLANK('Data Entry'!$Č$340), "", 'Data Entry'!$Č$340)</f>
      </c>
      <c r="GW340">
        <f>IF(ISBLANK('Data Entry'!$č$340), "", 'Data Entry'!$č$340)</f>
      </c>
      <c r="GX340">
        <f>IF(ISBLANK('Data Entry'!$Ď$340), "", 'Data Entry'!$Ď$340)</f>
      </c>
      <c r="GY340">
        <f>IF(ISBLANK('Data Entry'!$ď$340), "", 'Data Entry'!$ď$340)</f>
      </c>
      <c r="GZ340">
        <f>IF(ISBLANK('Data Entry'!$Đ$340), "", 'Data Entry'!$Đ$340)</f>
      </c>
      <c r="HA340">
        <f>IF(ISBLANK('Data Entry'!$đ$340), "", 'Data Entry'!$đ$340)</f>
      </c>
      <c r="HB340">
        <f>IF(ISBLANK('Data Entry'!$Ē$340), "", 'Data Entry'!$Ē$340)</f>
      </c>
      <c r="HC340">
        <f>IF(ISBLANK('Data Entry'!$ē$340), "", 'Data Entry'!$ē$340)</f>
      </c>
      <c r="HD340">
        <f>IF(ISBLANK('Data Entry'!$Ĕ$340), "", 'Data Entry'!$Ĕ$340)</f>
      </c>
      <c r="HE340">
        <f>IF(ISBLANK('Data Entry'!$ĕ$340), "", 'Data Entry'!$ĕ$340)</f>
      </c>
      <c r="HF340">
        <f>IF(ISBLANK('Data Entry'!$Ė$340), "", 'Data Entry'!$Ė$340)</f>
      </c>
      <c r="HG340">
        <f>IF(ISBLANK('Data Entry'!$ė$340), "", 'Data Entry'!$ė$340)</f>
      </c>
      <c r="HH340">
        <f>IF(ISBLANK('Data Entry'!$Ę$340), "", 'Data Entry'!$Ę$340)</f>
      </c>
      <c r="HI340">
        <f>IF(ISBLANK('Data Entry'!$ę$340), "", 'Data Entry'!$ę$340)</f>
      </c>
      <c r="HJ340">
        <f>IF(ISBLANK('Data Entry'!$Ě$340), "", 'Data Entry'!$Ě$340)</f>
      </c>
      <c r="HK340">
        <f>IF(ISBLANK('Data Entry'!$ě$340), "", 'Data Entry'!$ě$340)</f>
      </c>
      <c r="HL340">
        <f>IF(ISBLANK('Data Entry'!$Ĝ$340), "", 'Data Entry'!$Ĝ$340)</f>
      </c>
      <c r="HM340">
        <f>IF(ISBLANK('Data Entry'!$ĝ$340), "", 'Data Entry'!$ĝ$340)</f>
      </c>
      <c r="HN340">
        <f>IF(ISBLANK('Data Entry'!$Ğ$340), "", 'Data Entry'!$Ğ$340)</f>
      </c>
      <c r="HO340">
        <f>IF(ISBLANK('Data Entry'!$ğ$340), "", 'Data Entry'!$ğ$340)</f>
      </c>
      <c r="HP340">
        <f>IF(ISBLANK('Data Entry'!$Ġ$340), "", 'Data Entry'!$Ġ$340)</f>
      </c>
      <c r="HQ340">
        <f>IF(ISBLANK('Data Entry'!$ġ$340), "", 'Data Entry'!$ġ$340)</f>
      </c>
      <c r="HR340">
        <f>IF(ISBLANK('Data Entry'!$Ģ$340), "", 'Data Entry'!$Ģ$340)</f>
      </c>
      <c r="HS340">
        <f>IF(ISBLANK('Data Entry'!$ģ$340), "", 'Data Entry'!$ģ$340)</f>
      </c>
      <c r="HT340">
        <f>IF(ISBLANK('Data Entry'!$Ĥ$340), "", 'Data Entry'!$Ĥ$340)</f>
      </c>
      <c r="HU340">
        <f>IF(ISBLANK('Data Entry'!$ĥ$340), "", 'Data Entry'!$ĥ$340)</f>
      </c>
      <c r="HV340">
        <f>IF(ISBLANK('Data Entry'!$Ħ$340), "", 'Data Entry'!$Ħ$340)</f>
      </c>
      <c r="HW340">
        <f>IF(ISBLANK('Data Entry'!$ħ$340), "", 'Data Entry'!$ħ$340)</f>
      </c>
      <c r="HX340">
        <f>IF(ISBLANK('Data Entry'!$Ĩ$340), "", 'Data Entry'!$Ĩ$340)</f>
      </c>
      <c r="HY340">
        <f>IF(ISBLANK('Data Entry'!$ĩ$340), "", 'Data Entry'!$ĩ$340)</f>
      </c>
      <c r="HZ340">
        <f>IF(ISBLANK('Data Entry'!$Ī$340), "", 'Data Entry'!$Ī$340)</f>
      </c>
      <c r="IA340">
        <f>IF(ISBLANK('Data Entry'!$ī$340), "", 'Data Entry'!$ī$340)</f>
      </c>
      <c r="IB340">
        <f>IF(ISBLANK('Data Entry'!$Ĭ$340), "", 'Data Entry'!$Ĭ$340)</f>
      </c>
      <c r="IC340">
        <f>IF(ISBLANK('Data Entry'!$ĭ$340), "", 'Data Entry'!$ĭ$340)</f>
      </c>
      <c r="ID340">
        <f>IF(ISBLANK('Data Entry'!$Į$340), "", 'Data Entry'!$Į$340)</f>
      </c>
      <c r="IE340">
        <f>IF(ISBLANK('Data Entry'!$į$340), "", 'Data Entry'!$į$340)</f>
      </c>
      <c r="IF340">
        <f>IF(ISBLANK('Data Entry'!$İ$340), "", 'Data Entry'!$İ$340)</f>
      </c>
      <c r="IG340">
        <f>IF(ISBLANK('Data Entry'!$ı$340), "", 'Data Entry'!$ı$340)</f>
      </c>
      <c r="IH340">
        <f>IF(ISBLANK('Data Entry'!$Ĳ$340), "", 'Data Entry'!$Ĳ$340)</f>
      </c>
      <c r="II340">
        <f>IF(ISBLANK('Data Entry'!$ĳ$340), "", 'Data Entry'!$ĳ$340)</f>
      </c>
      <c r="IJ340">
        <f>IF(ISBLANK('Data Entry'!$Ĵ$340), "", 'Data Entry'!$Ĵ$340)</f>
      </c>
      <c r="IK340">
        <f>IF(ISBLANK('Data Entry'!$ĵ$340), "", 'Data Entry'!$ĵ$340)</f>
      </c>
      <c r="IL340">
        <f>IF(ISBLANK('Data Entry'!$Ķ$340), "", 'Data Entry'!$Ķ$340)</f>
      </c>
      <c r="IM340">
        <f>IF(ISBLANK('Data Entry'!$ķ$340), "", 'Data Entry'!$ķ$340)</f>
      </c>
      <c r="IN340">
        <f>IF(ISBLANK('Data Entry'!$ĸ$340), "", 'Data Entry'!$ĸ$340)</f>
      </c>
      <c r="IO340">
        <f>IF(ISBLANK('Data Entry'!$Ĺ$340), "", 'Data Entry'!$Ĺ$340)</f>
      </c>
      <c r="IP340">
        <f>IF(ISBLANK('Data Entry'!$ĺ$340), "", 'Data Entry'!$ĺ$340)</f>
      </c>
      <c r="IQ340">
        <f>IF(ISBLANK('Data Entry'!$Ļ$340), "", 'Data Entry'!$Ļ$340)</f>
      </c>
      <c r="IR340">
        <f>IF(ISBLANK('Data Entry'!$ļ$340), "", 'Data Entry'!$ļ$340)</f>
      </c>
      <c r="IS340">
        <f>IF(ISBLANK('Data Entry'!$Ľ$340), "", 'Data Entry'!$Ľ$340)</f>
      </c>
      <c r="IT340">
        <f>IF(ISBLANK('Data Entry'!$ľ$340), "", 'Data Entry'!$ľ$340)</f>
      </c>
    </row>
    <row r="341" spans="1:254" x14ac:dyDescent="0.25">
      <c r="A341">
        <f>IF(ISBLANK('Data Entry'!$A$341), "", 'Data Entry'!$A$341)</f>
      </c>
      <c r="B341">
        <f>IF(ISBLANK('Data Entry'!$B$341), "", 'Data Entry'!$B$341)</f>
      </c>
      <c r="C341">
        <f>IF(ISBLANK('Data Entry'!$C$341), "", 'Data Entry'!$C$341)</f>
      </c>
      <c r="D341">
        <f>IF(ISBLANK('Data Entry'!$D$341), "", 'Data Entry'!$D$341)</f>
      </c>
      <c r="E341">
        <f>IF(ISBLANK('Data Entry'!$E$341), "", 'Data Entry'!$E$341)</f>
      </c>
      <c r="F341">
        <f>IF(ISBLANK('Data Entry'!$F$341), "", 'Data Entry'!$F$341)</f>
      </c>
      <c r="G341">
        <f>IF(ISBLANK('Data Entry'!$G$341), "", 'Data Entry'!$G$341)</f>
      </c>
      <c r="H341">
        <f>IF(ISBLANK('Data Entry'!$H$341), "", 'Data Entry'!$H$341)</f>
      </c>
      <c r="I341">
        <f>IF(ISBLANK('Data Entry'!$I$341), "", 'Data Entry'!$I$341)</f>
      </c>
      <c r="J341">
        <f>IF(ISBLANK('Data Entry'!$J$341), "", 'Data Entry'!$J$341)</f>
      </c>
      <c r="K341">
        <f>IF(ISBLANK('Data Entry'!$K$341), "", 'Data Entry'!$K$341)</f>
      </c>
      <c r="L341">
        <f>IF(ISBLANK('Data Entry'!$L$341), "", 'Data Entry'!$L$341)</f>
      </c>
      <c r="M341">
        <f>IF(ISBLANK('Data Entry'!$M$341), "", 'Data Entry'!$M$341)</f>
      </c>
      <c r="N341">
        <f>IF(ISBLANK('Data Entry'!$N$341), "", 'Data Entry'!$N$341)</f>
      </c>
      <c r="O341">
        <f>IF(ISBLANK('Data Entry'!$O$341), "", 'Data Entry'!$O$341)</f>
      </c>
      <c r="P341">
        <f>IF(ISBLANK('Data Entry'!$P$341), "", 'Data Entry'!$P$341)</f>
      </c>
      <c r="Q341">
        <f>IF(ISBLANK('Data Entry'!$Q$341), "", 'Data Entry'!$Q$341)</f>
      </c>
      <c r="R341">
        <f>IF(ISBLANK('Data Entry'!$R$341), "", 'Data Entry'!$R$341)</f>
      </c>
      <c r="S341">
        <f>IF(ISBLANK('Data Entry'!$S$341), "", 'Data Entry'!$S$341)</f>
      </c>
      <c r="T341">
        <f>IF(ISBLANK('Data Entry'!$T$341), "", 'Data Entry'!$T$341)</f>
      </c>
      <c r="U341">
        <f>IF(ISBLANK('Data Entry'!$U$341), "", 'Data Entry'!$U$341)</f>
      </c>
      <c r="V341">
        <f>IF(ISBLANK('Data Entry'!$V$341), "", 'Data Entry'!$V$341)</f>
      </c>
      <c r="W341">
        <f>IF(ISBLANK('Data Entry'!$W$341), "", 'Data Entry'!$W$341)</f>
      </c>
      <c r="X341">
        <f>IF(ISBLANK('Data Entry'!$X$341), "", 'Data Entry'!$X$341)</f>
      </c>
      <c r="Y341">
        <f>IF(ISBLANK('Data Entry'!$Y$341), "", 'Data Entry'!$Y$341)</f>
      </c>
      <c r="Z341">
        <f>IF(ISBLANK('Data Entry'!$Z$341), "", 'Data Entry'!$Z$341)</f>
      </c>
      <c r="AA341">
        <f>IF(ISBLANK('Data Entry'!$[$341), "", 'Data Entry'!$[$341)</f>
      </c>
      <c r="AB341">
        <f>IF(ISBLANK('Data Entry'!$\$341), "", 'Data Entry'!$\$341)</f>
      </c>
      <c r="AC341">
        <f>IF(ISBLANK('Data Entry'!$]$341), "", 'Data Entry'!$]$341)</f>
      </c>
      <c r="AD341">
        <f>IF(ISBLANK('Data Entry'!$^$341), "", 'Data Entry'!$^$341)</f>
      </c>
      <c r="AE341">
        <f>IF(ISBLANK('Data Entry'!$_$341), "", 'Data Entry'!$_$341)</f>
      </c>
      <c r="AF341">
        <f>IF(ISBLANK('Data Entry'!$`$341), "", 'Data Entry'!$`$341)</f>
      </c>
      <c r="AG341">
        <f>IF(ISBLANK('Data Entry'!$a$341), "", 'Data Entry'!$a$341)</f>
      </c>
      <c r="AH341">
        <f>IF(ISBLANK('Data Entry'!$b$341), "", 'Data Entry'!$b$341)</f>
      </c>
      <c r="AI341">
        <f>IF(ISBLANK('Data Entry'!$c$341), "", 'Data Entry'!$c$341)</f>
      </c>
      <c r="AJ341">
        <f>IF(ISBLANK('Data Entry'!$d$341), "", 'Data Entry'!$d$341)</f>
      </c>
      <c r="AK341">
        <f>IF(ISBLANK('Data Entry'!$e$341), "", 'Data Entry'!$e$341)</f>
      </c>
      <c r="AL341">
        <f>IF(ISBLANK('Data Entry'!$f$341), "", 'Data Entry'!$f$341)</f>
      </c>
      <c r="AM341">
        <f>IF(ISBLANK('Data Entry'!$g$341), "", 'Data Entry'!$g$341)</f>
      </c>
      <c r="AN341">
        <f>IF(ISBLANK('Data Entry'!$h$341), "", 'Data Entry'!$h$341)</f>
      </c>
      <c r="AO341">
        <f>IF(ISBLANK('Data Entry'!$i$341), "", 'Data Entry'!$i$341)</f>
      </c>
      <c r="AP341">
        <f>IF(ISBLANK('Data Entry'!$j$341), "", 'Data Entry'!$j$341)</f>
      </c>
      <c r="AQ341">
        <f>IF(ISBLANK('Data Entry'!$k$341), "", 'Data Entry'!$k$341)</f>
      </c>
      <c r="AR341">
        <f>IF(ISBLANK('Data Entry'!$l$341), "", 'Data Entry'!$l$341)</f>
      </c>
      <c r="AS341">
        <f>IF(ISBLANK('Data Entry'!$m$341), "", 'Data Entry'!$m$341)</f>
      </c>
      <c r="AT341">
        <f>IF(ISBLANK('Data Entry'!$n$341), "", 'Data Entry'!$n$341)</f>
      </c>
      <c r="AU341">
        <f>IF(ISBLANK('Data Entry'!$o$341), "", 'Data Entry'!$o$341)</f>
      </c>
      <c r="AV341">
        <f>IF(ISBLANK('Data Entry'!$p$341), "", 'Data Entry'!$p$341)</f>
      </c>
      <c r="AW341">
        <f>IF(ISBLANK('Data Entry'!$q$341), "", 'Data Entry'!$q$341)</f>
      </c>
      <c r="AX341">
        <f>IF(ISBLANK('Data Entry'!$r$341), "", 'Data Entry'!$r$341)</f>
      </c>
      <c r="AY341">
        <f>IF(ISBLANK('Data Entry'!$s$341), "", 'Data Entry'!$s$341)</f>
      </c>
      <c r="AZ341">
        <f>IF(ISBLANK('Data Entry'!$t$341), "", 'Data Entry'!$t$341)</f>
      </c>
      <c r="BA341">
        <f>IF(ISBLANK('Data Entry'!$u$341), "", 'Data Entry'!$u$341)</f>
      </c>
      <c r="BB341">
        <f>IF(ISBLANK('Data Entry'!$v$341), "", 'Data Entry'!$v$341)</f>
      </c>
      <c r="BC341">
        <f>IF(ISBLANK('Data Entry'!$w$341), "", 'Data Entry'!$w$341)</f>
      </c>
      <c r="BD341">
        <f>IF(ISBLANK('Data Entry'!$x$341), "", 'Data Entry'!$x$341)</f>
      </c>
      <c r="BE341">
        <f>IF(ISBLANK('Data Entry'!$y$341), "", 'Data Entry'!$y$341)</f>
      </c>
      <c r="BF341">
        <f>IF(ISBLANK('Data Entry'!$z$341), "", 'Data Entry'!$z$341)</f>
      </c>
      <c r="BG341">
        <f>IF(ISBLANK('Data Entry'!${$341), "", 'Data Entry'!${$341)</f>
      </c>
      <c r="BH341">
        <f>IF(ISBLANK('Data Entry'!$|$341), "", 'Data Entry'!$|$341)</f>
      </c>
      <c r="BI341">
        <f>IF(ISBLANK('Data Entry'!$}$341), "", 'Data Entry'!$}$341)</f>
      </c>
      <c r="BJ341">
        <f>IF(ISBLANK('Data Entry'!$~$341), "", 'Data Entry'!$~$341)</f>
      </c>
      <c r="BK341">
        <f>IF(ISBLANK('Data Entry'!$$341), "", 'Data Entry'!$$341)</f>
      </c>
      <c r="BL341">
        <f>IF(ISBLANK('Data Entry'!$$341), "", 'Data Entry'!$$341)</f>
      </c>
      <c r="BM341">
        <f>IF(ISBLANK('Data Entry'!$$341), "", 'Data Entry'!$$341)</f>
      </c>
      <c r="BN341">
        <f>IF(ISBLANK('Data Entry'!$$341), "", 'Data Entry'!$$341)</f>
      </c>
      <c r="BO341">
        <f>IF(ISBLANK('Data Entry'!$$341), "", 'Data Entry'!$$341)</f>
      </c>
      <c r="BP341">
        <f>IF(ISBLANK('Data Entry'!$$341), "", 'Data Entry'!$$341)</f>
      </c>
      <c r="BQ341">
        <f>IF(ISBLANK('Data Entry'!$$341), "", 'Data Entry'!$$341)</f>
      </c>
      <c r="BR341">
        <f>IF(ISBLANK('Data Entry'!$$341), "", 'Data Entry'!$$341)</f>
      </c>
      <c r="BS341">
        <f>IF(ISBLANK('Data Entry'!$$341), "", 'Data Entry'!$$341)</f>
      </c>
      <c r="BT341">
        <f>IF(ISBLANK('Data Entry'!$$341), "", 'Data Entry'!$$341)</f>
      </c>
      <c r="BU341">
        <f>IF(ISBLANK('Data Entry'!$$341), "", 'Data Entry'!$$341)</f>
      </c>
      <c r="BV341">
        <f>IF(ISBLANK('Data Entry'!$$341), "", 'Data Entry'!$$341)</f>
      </c>
      <c r="BW341">
        <f>IF(ISBLANK('Data Entry'!$$341), "", 'Data Entry'!$$341)</f>
      </c>
      <c r="BX341">
        <f>IF(ISBLANK('Data Entry'!$$341), "", 'Data Entry'!$$341)</f>
      </c>
      <c r="BY341">
        <f>IF(ISBLANK('Data Entry'!$$341), "", 'Data Entry'!$$341)</f>
      </c>
      <c r="BZ341">
        <f>IF(ISBLANK('Data Entry'!$$341), "", 'Data Entry'!$$341)</f>
      </c>
      <c r="CA341">
        <f>IF(ISBLANK('Data Entry'!$$341), "", 'Data Entry'!$$341)</f>
      </c>
      <c r="CB341">
        <f>IF(ISBLANK('Data Entry'!$$341), "", 'Data Entry'!$$341)</f>
      </c>
      <c r="CC341">
        <f>IF(ISBLANK('Data Entry'!$$341), "", 'Data Entry'!$$341)</f>
      </c>
      <c r="CD341">
        <f>IF(ISBLANK('Data Entry'!$$341), "", 'Data Entry'!$$341)</f>
      </c>
      <c r="CE341">
        <f>IF(ISBLANK('Data Entry'!$$341), "", 'Data Entry'!$$341)</f>
      </c>
      <c r="CF341">
        <f>IF(ISBLANK('Data Entry'!$$341), "", 'Data Entry'!$$341)</f>
      </c>
      <c r="CG341">
        <f>IF(ISBLANK('Data Entry'!$$341), "", 'Data Entry'!$$341)</f>
      </c>
      <c r="CH341">
        <f>IF(ISBLANK('Data Entry'!$$341), "", 'Data Entry'!$$341)</f>
      </c>
      <c r="CI341">
        <f>IF(ISBLANK('Data Entry'!$$341), "", 'Data Entry'!$$341)</f>
      </c>
      <c r="CJ341">
        <f>IF(ISBLANK('Data Entry'!$$341), "", 'Data Entry'!$$341)</f>
      </c>
      <c r="CK341">
        <f>IF(ISBLANK('Data Entry'!$$341), "", 'Data Entry'!$$341)</f>
      </c>
      <c r="CL341">
        <f>IF(ISBLANK('Data Entry'!$$341), "", 'Data Entry'!$$341)</f>
      </c>
      <c r="CM341">
        <f>IF(ISBLANK('Data Entry'!$$341), "", 'Data Entry'!$$341)</f>
      </c>
      <c r="CN341">
        <f>IF(ISBLANK('Data Entry'!$$341), "", 'Data Entry'!$$341)</f>
      </c>
      <c r="CO341">
        <f>IF(ISBLANK('Data Entry'!$$341), "", 'Data Entry'!$$341)</f>
      </c>
      <c r="CP341">
        <f>IF(ISBLANK('Data Entry'!$$341), "", 'Data Entry'!$$341)</f>
      </c>
      <c r="CQ341">
        <f>IF(ISBLANK('Data Entry'!$$341), "", 'Data Entry'!$$341)</f>
      </c>
      <c r="CR341">
        <f>IF(ISBLANK('Data Entry'!$ $341), "", 'Data Entry'!$ $341)</f>
      </c>
      <c r="CS341">
        <f>IF(ISBLANK('Data Entry'!$¡$341), "", 'Data Entry'!$¡$341)</f>
      </c>
      <c r="CT341">
        <f>IF(ISBLANK('Data Entry'!$¢$341), "", 'Data Entry'!$¢$341)</f>
      </c>
      <c r="CU341">
        <f>IF(ISBLANK('Data Entry'!$£$341), "", 'Data Entry'!$£$341)</f>
      </c>
      <c r="CV341">
        <f>IF(ISBLANK('Data Entry'!$¤$341), "", 'Data Entry'!$¤$341)</f>
      </c>
      <c r="CW341">
        <f>IF(ISBLANK('Data Entry'!$¥$341), "", 'Data Entry'!$¥$341)</f>
      </c>
      <c r="CX341">
        <f>IF(ISBLANK('Data Entry'!$¦$341), "", 'Data Entry'!$¦$341)</f>
      </c>
      <c r="CY341">
        <f>IF(ISBLANK('Data Entry'!$§$341), "", 'Data Entry'!$§$341)</f>
      </c>
      <c r="CZ341">
        <f>IF(ISBLANK('Data Entry'!$¨$341), "", 'Data Entry'!$¨$341)</f>
      </c>
      <c r="DA341">
        <f>IF(ISBLANK('Data Entry'!$©$341), "", 'Data Entry'!$©$341)</f>
      </c>
      <c r="DB341">
        <f>IF(ISBLANK('Data Entry'!$ª$341), "", 'Data Entry'!$ª$341)</f>
      </c>
      <c r="DC341">
        <f>IF(ISBLANK('Data Entry'!$«$341), "", 'Data Entry'!$«$341)</f>
      </c>
      <c r="DD341">
        <f>IF(ISBLANK('Data Entry'!$¬$341), "", 'Data Entry'!$¬$341)</f>
      </c>
      <c r="DE341">
        <f>IF(ISBLANK('Data Entry'!$­$341), "", 'Data Entry'!$­$341)</f>
      </c>
      <c r="DF341">
        <f>IF(ISBLANK('Data Entry'!$®$341), "", 'Data Entry'!$®$341)</f>
      </c>
      <c r="DG341">
        <f>IF(ISBLANK('Data Entry'!$¯$341), "", 'Data Entry'!$¯$341)</f>
      </c>
      <c r="DH341">
        <f>IF(ISBLANK('Data Entry'!$°$341), "", 'Data Entry'!$°$341)</f>
      </c>
      <c r="DI341">
        <f>IF(ISBLANK('Data Entry'!$±$341), "", 'Data Entry'!$±$341)</f>
      </c>
      <c r="DJ341">
        <f>IF(ISBLANK('Data Entry'!$²$341), "", 'Data Entry'!$²$341)</f>
      </c>
      <c r="DK341">
        <f>IF(ISBLANK('Data Entry'!$³$341), "", 'Data Entry'!$³$341)</f>
      </c>
      <c r="DL341">
        <f>IF(ISBLANK('Data Entry'!$´$341), "", 'Data Entry'!$´$341)</f>
      </c>
      <c r="DM341">
        <f>IF(ISBLANK('Data Entry'!$µ$341), "", 'Data Entry'!$µ$341)</f>
      </c>
      <c r="DN341">
        <f>IF(ISBLANK('Data Entry'!$¶$341), "", 'Data Entry'!$¶$341)</f>
      </c>
      <c r="DO341">
        <f>IF(ISBLANK('Data Entry'!$·$341), "", 'Data Entry'!$·$341)</f>
      </c>
      <c r="DP341">
        <f>IF(ISBLANK('Data Entry'!$¸$341), "", 'Data Entry'!$¸$341)</f>
      </c>
      <c r="DQ341">
        <f>IF(ISBLANK('Data Entry'!$¹$341), "", 'Data Entry'!$¹$341)</f>
      </c>
      <c r="DR341">
        <f>IF(ISBLANK('Data Entry'!$º$341), "", 'Data Entry'!$º$341)</f>
      </c>
      <c r="DS341">
        <f>IF(ISBLANK('Data Entry'!$»$341), "", 'Data Entry'!$»$341)</f>
      </c>
      <c r="DT341">
        <f>IF(ISBLANK('Data Entry'!$¼$341), "", 'Data Entry'!$¼$341)</f>
      </c>
      <c r="DU341">
        <f>IF(ISBLANK('Data Entry'!$½$341), "", 'Data Entry'!$½$341)</f>
      </c>
      <c r="DV341">
        <f>IF(ISBLANK('Data Entry'!$¾$341), "", 'Data Entry'!$¾$341)</f>
      </c>
      <c r="DW341">
        <f>IF(ISBLANK('Data Entry'!$¿$341), "", 'Data Entry'!$¿$341)</f>
      </c>
      <c r="DX341">
        <f>IF(ISBLANK('Data Entry'!$À$341), "", 'Data Entry'!$À$341)</f>
      </c>
      <c r="DY341">
        <f>IF(ISBLANK('Data Entry'!$Á$341), "", 'Data Entry'!$Á$341)</f>
      </c>
      <c r="DZ341">
        <f>IF(ISBLANK('Data Entry'!$Â$341), "", 'Data Entry'!$Â$341)</f>
      </c>
      <c r="EA341">
        <f>IF(ISBLANK('Data Entry'!$Ã$341), "", 'Data Entry'!$Ã$341)</f>
      </c>
      <c r="EB341">
        <f>IF(ISBLANK('Data Entry'!$Ä$341), "", 'Data Entry'!$Ä$341)</f>
      </c>
      <c r="EC341">
        <f>IF(ISBLANK('Data Entry'!$Å$341), "", 'Data Entry'!$Å$341)</f>
      </c>
      <c r="ED341">
        <f>IF(ISBLANK('Data Entry'!$Æ$341), "", 'Data Entry'!$Æ$341)</f>
      </c>
      <c r="EE341">
        <f>IF(ISBLANK('Data Entry'!$Ç$341), "", 'Data Entry'!$Ç$341)</f>
      </c>
      <c r="EF341">
        <f>IF(ISBLANK('Data Entry'!$È$341), "", 'Data Entry'!$È$341)</f>
      </c>
      <c r="EG341">
        <f>IF(ISBLANK('Data Entry'!$É$341), "", 'Data Entry'!$É$341)</f>
      </c>
      <c r="EH341">
        <f>IF(ISBLANK('Data Entry'!$Ê$341), "", 'Data Entry'!$Ê$341)</f>
      </c>
      <c r="EI341">
        <f>IF(ISBLANK('Data Entry'!$Ë$341), "", 'Data Entry'!$Ë$341)</f>
      </c>
      <c r="EJ341">
        <f>IF(ISBLANK('Data Entry'!$Ì$341), "", 'Data Entry'!$Ì$341)</f>
      </c>
      <c r="EK341">
        <f>IF(ISBLANK('Data Entry'!$Í$341), "", 'Data Entry'!$Í$341)</f>
      </c>
      <c r="EL341">
        <f>IF(ISBLANK('Data Entry'!$Î$341), "", 'Data Entry'!$Î$341)</f>
      </c>
      <c r="EM341">
        <f>IF(ISBLANK('Data Entry'!$Ï$341), "", 'Data Entry'!$Ï$341)</f>
      </c>
      <c r="EN341">
        <f>IF(ISBLANK('Data Entry'!$Ð$341), "", 'Data Entry'!$Ð$341)</f>
      </c>
      <c r="EO341">
        <f>IF(ISBLANK('Data Entry'!$Ñ$341), "", 'Data Entry'!$Ñ$341)</f>
      </c>
      <c r="EP341">
        <f>IF(ISBLANK('Data Entry'!$Ò$341), "", 'Data Entry'!$Ò$341)</f>
      </c>
      <c r="EQ341">
        <f>IF(ISBLANK('Data Entry'!$Ó$341), "", 'Data Entry'!$Ó$341)</f>
      </c>
      <c r="ER341">
        <f>IF(ISBLANK('Data Entry'!$Ô$341), "", 'Data Entry'!$Ô$341)</f>
      </c>
      <c r="ES341">
        <f>IF(ISBLANK('Data Entry'!$Õ$341), "", 'Data Entry'!$Õ$341)</f>
      </c>
      <c r="ET341">
        <f>IF(ISBLANK('Data Entry'!$Ö$341), "", 'Data Entry'!$Ö$341)</f>
      </c>
      <c r="EU341">
        <f>IF(ISBLANK('Data Entry'!$×$341), "", 'Data Entry'!$×$341)</f>
      </c>
      <c r="EV341">
        <f>IF(ISBLANK('Data Entry'!$Ø$341), "", 'Data Entry'!$Ø$341)</f>
      </c>
      <c r="EW341">
        <f>IF(ISBLANK('Data Entry'!$Ù$341), "", 'Data Entry'!$Ù$341)</f>
      </c>
      <c r="EX341">
        <f>IF(ISBLANK('Data Entry'!$Ú$341), "", 'Data Entry'!$Ú$341)</f>
      </c>
      <c r="EY341">
        <f>IF(ISBLANK('Data Entry'!$Û$341), "", 'Data Entry'!$Û$341)</f>
      </c>
      <c r="EZ341">
        <f>IF(ISBLANK('Data Entry'!$Ü$341), "", 'Data Entry'!$Ü$341)</f>
      </c>
      <c r="FA341">
        <f>IF(ISBLANK('Data Entry'!$Ý$341), "", 'Data Entry'!$Ý$341)</f>
      </c>
      <c r="FB341">
        <f>IF(ISBLANK('Data Entry'!$Þ$341), "", 'Data Entry'!$Þ$341)</f>
      </c>
      <c r="FC341">
        <f>IF(ISBLANK('Data Entry'!$ß$341), "", 'Data Entry'!$ß$341)</f>
      </c>
      <c r="FD341">
        <f>IF(ISBLANK('Data Entry'!$à$341), "", 'Data Entry'!$à$341)</f>
      </c>
      <c r="FE341">
        <f>IF(ISBLANK('Data Entry'!$á$341), "", 'Data Entry'!$á$341)</f>
      </c>
      <c r="FF341">
        <f>IF(ISBLANK('Data Entry'!$â$341), "", 'Data Entry'!$â$341)</f>
      </c>
      <c r="FG341">
        <f>IF(ISBLANK('Data Entry'!$ã$341), "", 'Data Entry'!$ã$341)</f>
      </c>
      <c r="FH341">
        <f>IF(ISBLANK('Data Entry'!$ä$341), "", 'Data Entry'!$ä$341)</f>
      </c>
      <c r="FI341">
        <f>IF(ISBLANK('Data Entry'!$å$341), "", 'Data Entry'!$å$341)</f>
      </c>
      <c r="FJ341">
        <f>IF(ISBLANK('Data Entry'!$æ$341), "", 'Data Entry'!$æ$341)</f>
      </c>
      <c r="FK341">
        <f>IF(ISBLANK('Data Entry'!$ç$341), "", 'Data Entry'!$ç$341)</f>
      </c>
      <c r="FL341">
        <f>IF(ISBLANK('Data Entry'!$è$341), "", 'Data Entry'!$è$341)</f>
      </c>
      <c r="FM341">
        <f>IF(ISBLANK('Data Entry'!$é$341), "", 'Data Entry'!$é$341)</f>
      </c>
      <c r="FN341">
        <f>IF(ISBLANK('Data Entry'!$ê$341), "", 'Data Entry'!$ê$341)</f>
      </c>
      <c r="FO341">
        <f>IF(ISBLANK('Data Entry'!$ë$341), "", 'Data Entry'!$ë$341)</f>
      </c>
      <c r="FP341">
        <f>IF(ISBLANK('Data Entry'!$ì$341), "", 'Data Entry'!$ì$341)</f>
      </c>
      <c r="FQ341">
        <f>IF(ISBLANK('Data Entry'!$í$341), "", 'Data Entry'!$í$341)</f>
      </c>
      <c r="FR341">
        <f>IF(ISBLANK('Data Entry'!$î$341), "", 'Data Entry'!$î$341)</f>
      </c>
      <c r="FS341">
        <f>IF(ISBLANK('Data Entry'!$ï$341), "", 'Data Entry'!$ï$341)</f>
      </c>
      <c r="FT341">
        <f>IF(ISBLANK('Data Entry'!$ð$341), "", 'Data Entry'!$ð$341)</f>
      </c>
      <c r="FU341">
        <f>IF(ISBLANK('Data Entry'!$ñ$341), "", 'Data Entry'!$ñ$341)</f>
      </c>
      <c r="FV341">
        <f>IF(ISBLANK('Data Entry'!$ò$341), "", 'Data Entry'!$ò$341)</f>
      </c>
      <c r="FW341">
        <f>IF(ISBLANK('Data Entry'!$ó$341), "", 'Data Entry'!$ó$341)</f>
      </c>
      <c r="FX341">
        <f>IF(ISBLANK('Data Entry'!$ô$341), "", 'Data Entry'!$ô$341)</f>
      </c>
      <c r="FY341">
        <f>IF(ISBLANK('Data Entry'!$õ$341), "", 'Data Entry'!$õ$341)</f>
      </c>
      <c r="FZ341">
        <f>IF(ISBLANK('Data Entry'!$ö$341), "", 'Data Entry'!$ö$341)</f>
      </c>
      <c r="GA341">
        <f>IF(ISBLANK('Data Entry'!$÷$341), "", 'Data Entry'!$÷$341)</f>
      </c>
      <c r="GB341">
        <f>IF(ISBLANK('Data Entry'!$ø$341), "", 'Data Entry'!$ø$341)</f>
      </c>
      <c r="GC341">
        <f>IF(ISBLANK('Data Entry'!$ù$341), "", 'Data Entry'!$ù$341)</f>
      </c>
      <c r="GD341">
        <f>IF(ISBLANK('Data Entry'!$ú$341), "", 'Data Entry'!$ú$341)</f>
      </c>
      <c r="GE341">
        <f>IF(ISBLANK('Data Entry'!$û$341), "", 'Data Entry'!$û$341)</f>
      </c>
      <c r="GF341">
        <f>IF(ISBLANK('Data Entry'!$ü$341), "", 'Data Entry'!$ü$341)</f>
      </c>
      <c r="GG341">
        <f>IF(ISBLANK('Data Entry'!$ý$341), "", 'Data Entry'!$ý$341)</f>
      </c>
      <c r="GH341">
        <f>IF(ISBLANK('Data Entry'!$þ$341), "", 'Data Entry'!$þ$341)</f>
      </c>
      <c r="GI341">
        <f>IF(ISBLANK('Data Entry'!$ÿ$341), "", 'Data Entry'!$ÿ$341)</f>
      </c>
      <c r="GJ341">
        <f>IF(ISBLANK('Data Entry'!$Ā$341), "", 'Data Entry'!$Ā$341)</f>
      </c>
      <c r="GK341">
        <f>IF(ISBLANK('Data Entry'!$ā$341), "", 'Data Entry'!$ā$341)</f>
      </c>
      <c r="GL341">
        <f>IF(ISBLANK('Data Entry'!$Ă$341), "", 'Data Entry'!$Ă$341)</f>
      </c>
      <c r="GM341">
        <f>IF(ISBLANK('Data Entry'!$ă$341), "", 'Data Entry'!$ă$341)</f>
      </c>
      <c r="GN341">
        <f>IF(ISBLANK('Data Entry'!$Ą$341), "", 'Data Entry'!$Ą$341)</f>
      </c>
      <c r="GO341">
        <f>IF(ISBLANK('Data Entry'!$ą$341), "", 'Data Entry'!$ą$341)</f>
      </c>
      <c r="GP341">
        <f>IF(ISBLANK('Data Entry'!$Ć$341), "", 'Data Entry'!$Ć$341)</f>
      </c>
      <c r="GQ341">
        <f>IF(ISBLANK('Data Entry'!$ć$341), "", 'Data Entry'!$ć$341)</f>
      </c>
      <c r="GR341">
        <f>IF(ISBLANK('Data Entry'!$Ĉ$341), "", 'Data Entry'!$Ĉ$341)</f>
      </c>
      <c r="GS341">
        <f>IF(ISBLANK('Data Entry'!$ĉ$341), "", 'Data Entry'!$ĉ$341)</f>
      </c>
      <c r="GT341">
        <f>IF(ISBLANK('Data Entry'!$Ċ$341), "", 'Data Entry'!$Ċ$341)</f>
      </c>
      <c r="GU341">
        <f>IF(ISBLANK('Data Entry'!$ċ$341), "", 'Data Entry'!$ċ$341)</f>
      </c>
      <c r="GV341">
        <f>IF(ISBLANK('Data Entry'!$Č$341), "", 'Data Entry'!$Č$341)</f>
      </c>
      <c r="GW341">
        <f>IF(ISBLANK('Data Entry'!$č$341), "", 'Data Entry'!$č$341)</f>
      </c>
      <c r="GX341">
        <f>IF(ISBLANK('Data Entry'!$Ď$341), "", 'Data Entry'!$Ď$341)</f>
      </c>
      <c r="GY341">
        <f>IF(ISBLANK('Data Entry'!$ď$341), "", 'Data Entry'!$ď$341)</f>
      </c>
      <c r="GZ341">
        <f>IF(ISBLANK('Data Entry'!$Đ$341), "", 'Data Entry'!$Đ$341)</f>
      </c>
      <c r="HA341">
        <f>IF(ISBLANK('Data Entry'!$đ$341), "", 'Data Entry'!$đ$341)</f>
      </c>
      <c r="HB341">
        <f>IF(ISBLANK('Data Entry'!$Ē$341), "", 'Data Entry'!$Ē$341)</f>
      </c>
      <c r="HC341">
        <f>IF(ISBLANK('Data Entry'!$ē$341), "", 'Data Entry'!$ē$341)</f>
      </c>
      <c r="HD341">
        <f>IF(ISBLANK('Data Entry'!$Ĕ$341), "", 'Data Entry'!$Ĕ$341)</f>
      </c>
      <c r="HE341">
        <f>IF(ISBLANK('Data Entry'!$ĕ$341), "", 'Data Entry'!$ĕ$341)</f>
      </c>
      <c r="HF341">
        <f>IF(ISBLANK('Data Entry'!$Ė$341), "", 'Data Entry'!$Ė$341)</f>
      </c>
      <c r="HG341">
        <f>IF(ISBLANK('Data Entry'!$ė$341), "", 'Data Entry'!$ė$341)</f>
      </c>
      <c r="HH341">
        <f>IF(ISBLANK('Data Entry'!$Ę$341), "", 'Data Entry'!$Ę$341)</f>
      </c>
      <c r="HI341">
        <f>IF(ISBLANK('Data Entry'!$ę$341), "", 'Data Entry'!$ę$341)</f>
      </c>
      <c r="HJ341">
        <f>IF(ISBLANK('Data Entry'!$Ě$341), "", 'Data Entry'!$Ě$341)</f>
      </c>
      <c r="HK341">
        <f>IF(ISBLANK('Data Entry'!$ě$341), "", 'Data Entry'!$ě$341)</f>
      </c>
      <c r="HL341">
        <f>IF(ISBLANK('Data Entry'!$Ĝ$341), "", 'Data Entry'!$Ĝ$341)</f>
      </c>
      <c r="HM341">
        <f>IF(ISBLANK('Data Entry'!$ĝ$341), "", 'Data Entry'!$ĝ$341)</f>
      </c>
      <c r="HN341">
        <f>IF(ISBLANK('Data Entry'!$Ğ$341), "", 'Data Entry'!$Ğ$341)</f>
      </c>
      <c r="HO341">
        <f>IF(ISBLANK('Data Entry'!$ğ$341), "", 'Data Entry'!$ğ$341)</f>
      </c>
      <c r="HP341">
        <f>IF(ISBLANK('Data Entry'!$Ġ$341), "", 'Data Entry'!$Ġ$341)</f>
      </c>
      <c r="HQ341">
        <f>IF(ISBLANK('Data Entry'!$ġ$341), "", 'Data Entry'!$ġ$341)</f>
      </c>
      <c r="HR341">
        <f>IF(ISBLANK('Data Entry'!$Ģ$341), "", 'Data Entry'!$Ģ$341)</f>
      </c>
      <c r="HS341">
        <f>IF(ISBLANK('Data Entry'!$ģ$341), "", 'Data Entry'!$ģ$341)</f>
      </c>
      <c r="HT341">
        <f>IF(ISBLANK('Data Entry'!$Ĥ$341), "", 'Data Entry'!$Ĥ$341)</f>
      </c>
      <c r="HU341">
        <f>IF(ISBLANK('Data Entry'!$ĥ$341), "", 'Data Entry'!$ĥ$341)</f>
      </c>
      <c r="HV341">
        <f>IF(ISBLANK('Data Entry'!$Ħ$341), "", 'Data Entry'!$Ħ$341)</f>
      </c>
      <c r="HW341">
        <f>IF(ISBLANK('Data Entry'!$ħ$341), "", 'Data Entry'!$ħ$341)</f>
      </c>
      <c r="HX341">
        <f>IF(ISBLANK('Data Entry'!$Ĩ$341), "", 'Data Entry'!$Ĩ$341)</f>
      </c>
      <c r="HY341">
        <f>IF(ISBLANK('Data Entry'!$ĩ$341), "", 'Data Entry'!$ĩ$341)</f>
      </c>
      <c r="HZ341">
        <f>IF(ISBLANK('Data Entry'!$Ī$341), "", 'Data Entry'!$Ī$341)</f>
      </c>
      <c r="IA341">
        <f>IF(ISBLANK('Data Entry'!$ī$341), "", 'Data Entry'!$ī$341)</f>
      </c>
      <c r="IB341">
        <f>IF(ISBLANK('Data Entry'!$Ĭ$341), "", 'Data Entry'!$Ĭ$341)</f>
      </c>
      <c r="IC341">
        <f>IF(ISBLANK('Data Entry'!$ĭ$341), "", 'Data Entry'!$ĭ$341)</f>
      </c>
      <c r="ID341">
        <f>IF(ISBLANK('Data Entry'!$Į$341), "", 'Data Entry'!$Į$341)</f>
      </c>
      <c r="IE341">
        <f>IF(ISBLANK('Data Entry'!$į$341), "", 'Data Entry'!$į$341)</f>
      </c>
      <c r="IF341">
        <f>IF(ISBLANK('Data Entry'!$İ$341), "", 'Data Entry'!$İ$341)</f>
      </c>
      <c r="IG341">
        <f>IF(ISBLANK('Data Entry'!$ı$341), "", 'Data Entry'!$ı$341)</f>
      </c>
      <c r="IH341">
        <f>IF(ISBLANK('Data Entry'!$Ĳ$341), "", 'Data Entry'!$Ĳ$341)</f>
      </c>
      <c r="II341">
        <f>IF(ISBLANK('Data Entry'!$ĳ$341), "", 'Data Entry'!$ĳ$341)</f>
      </c>
      <c r="IJ341">
        <f>IF(ISBLANK('Data Entry'!$Ĵ$341), "", 'Data Entry'!$Ĵ$341)</f>
      </c>
      <c r="IK341">
        <f>IF(ISBLANK('Data Entry'!$ĵ$341), "", 'Data Entry'!$ĵ$341)</f>
      </c>
      <c r="IL341">
        <f>IF(ISBLANK('Data Entry'!$Ķ$341), "", 'Data Entry'!$Ķ$341)</f>
      </c>
      <c r="IM341">
        <f>IF(ISBLANK('Data Entry'!$ķ$341), "", 'Data Entry'!$ķ$341)</f>
      </c>
      <c r="IN341">
        <f>IF(ISBLANK('Data Entry'!$ĸ$341), "", 'Data Entry'!$ĸ$341)</f>
      </c>
      <c r="IO341">
        <f>IF(ISBLANK('Data Entry'!$Ĺ$341), "", 'Data Entry'!$Ĺ$341)</f>
      </c>
      <c r="IP341">
        <f>IF(ISBLANK('Data Entry'!$ĺ$341), "", 'Data Entry'!$ĺ$341)</f>
      </c>
      <c r="IQ341">
        <f>IF(ISBLANK('Data Entry'!$Ļ$341), "", 'Data Entry'!$Ļ$341)</f>
      </c>
      <c r="IR341">
        <f>IF(ISBLANK('Data Entry'!$ļ$341), "", 'Data Entry'!$ļ$341)</f>
      </c>
      <c r="IS341">
        <f>IF(ISBLANK('Data Entry'!$Ľ$341), "", 'Data Entry'!$Ľ$341)</f>
      </c>
      <c r="IT341">
        <f>IF(ISBLANK('Data Entry'!$ľ$341), "", 'Data Entry'!$ľ$341)</f>
      </c>
    </row>
    <row r="342" spans="1:254" x14ac:dyDescent="0.25">
      <c r="A342">
        <f>IF(ISBLANK('Data Entry'!$A$342), "", 'Data Entry'!$A$342)</f>
      </c>
      <c r="B342">
        <f>IF(ISBLANK('Data Entry'!$B$342), "", 'Data Entry'!$B$342)</f>
      </c>
      <c r="C342">
        <f>IF(ISBLANK('Data Entry'!$C$342), "", 'Data Entry'!$C$342)</f>
      </c>
      <c r="D342">
        <f>IF(ISBLANK('Data Entry'!$D$342), "", 'Data Entry'!$D$342)</f>
      </c>
      <c r="E342">
        <f>IF(ISBLANK('Data Entry'!$E$342), "", 'Data Entry'!$E$342)</f>
      </c>
      <c r="F342">
        <f>IF(ISBLANK('Data Entry'!$F$342), "", 'Data Entry'!$F$342)</f>
      </c>
      <c r="G342">
        <f>IF(ISBLANK('Data Entry'!$G$342), "", 'Data Entry'!$G$342)</f>
      </c>
      <c r="H342">
        <f>IF(ISBLANK('Data Entry'!$H$342), "", 'Data Entry'!$H$342)</f>
      </c>
      <c r="I342">
        <f>IF(ISBLANK('Data Entry'!$I$342), "", 'Data Entry'!$I$342)</f>
      </c>
      <c r="J342">
        <f>IF(ISBLANK('Data Entry'!$J$342), "", 'Data Entry'!$J$342)</f>
      </c>
      <c r="K342">
        <f>IF(ISBLANK('Data Entry'!$K$342), "", 'Data Entry'!$K$342)</f>
      </c>
      <c r="L342">
        <f>IF(ISBLANK('Data Entry'!$L$342), "", 'Data Entry'!$L$342)</f>
      </c>
      <c r="M342">
        <f>IF(ISBLANK('Data Entry'!$M$342), "", 'Data Entry'!$M$342)</f>
      </c>
      <c r="N342">
        <f>IF(ISBLANK('Data Entry'!$N$342), "", 'Data Entry'!$N$342)</f>
      </c>
      <c r="O342">
        <f>IF(ISBLANK('Data Entry'!$O$342), "", 'Data Entry'!$O$342)</f>
      </c>
      <c r="P342">
        <f>IF(ISBLANK('Data Entry'!$P$342), "", 'Data Entry'!$P$342)</f>
      </c>
      <c r="Q342">
        <f>IF(ISBLANK('Data Entry'!$Q$342), "", 'Data Entry'!$Q$342)</f>
      </c>
      <c r="R342">
        <f>IF(ISBLANK('Data Entry'!$R$342), "", 'Data Entry'!$R$342)</f>
      </c>
      <c r="S342">
        <f>IF(ISBLANK('Data Entry'!$S$342), "", 'Data Entry'!$S$342)</f>
      </c>
      <c r="T342">
        <f>IF(ISBLANK('Data Entry'!$T$342), "", 'Data Entry'!$T$342)</f>
      </c>
      <c r="U342">
        <f>IF(ISBLANK('Data Entry'!$U$342), "", 'Data Entry'!$U$342)</f>
      </c>
      <c r="V342">
        <f>IF(ISBLANK('Data Entry'!$V$342), "", 'Data Entry'!$V$342)</f>
      </c>
      <c r="W342">
        <f>IF(ISBLANK('Data Entry'!$W$342), "", 'Data Entry'!$W$342)</f>
      </c>
      <c r="X342">
        <f>IF(ISBLANK('Data Entry'!$X$342), "", 'Data Entry'!$X$342)</f>
      </c>
      <c r="Y342">
        <f>IF(ISBLANK('Data Entry'!$Y$342), "", 'Data Entry'!$Y$342)</f>
      </c>
      <c r="Z342">
        <f>IF(ISBLANK('Data Entry'!$Z$342), "", 'Data Entry'!$Z$342)</f>
      </c>
      <c r="AA342">
        <f>IF(ISBLANK('Data Entry'!$[$342), "", 'Data Entry'!$[$342)</f>
      </c>
      <c r="AB342">
        <f>IF(ISBLANK('Data Entry'!$\$342), "", 'Data Entry'!$\$342)</f>
      </c>
      <c r="AC342">
        <f>IF(ISBLANK('Data Entry'!$]$342), "", 'Data Entry'!$]$342)</f>
      </c>
      <c r="AD342">
        <f>IF(ISBLANK('Data Entry'!$^$342), "", 'Data Entry'!$^$342)</f>
      </c>
      <c r="AE342">
        <f>IF(ISBLANK('Data Entry'!$_$342), "", 'Data Entry'!$_$342)</f>
      </c>
      <c r="AF342">
        <f>IF(ISBLANK('Data Entry'!$`$342), "", 'Data Entry'!$`$342)</f>
      </c>
      <c r="AG342">
        <f>IF(ISBLANK('Data Entry'!$a$342), "", 'Data Entry'!$a$342)</f>
      </c>
      <c r="AH342">
        <f>IF(ISBLANK('Data Entry'!$b$342), "", 'Data Entry'!$b$342)</f>
      </c>
      <c r="AI342">
        <f>IF(ISBLANK('Data Entry'!$c$342), "", 'Data Entry'!$c$342)</f>
      </c>
      <c r="AJ342">
        <f>IF(ISBLANK('Data Entry'!$d$342), "", 'Data Entry'!$d$342)</f>
      </c>
      <c r="AK342">
        <f>IF(ISBLANK('Data Entry'!$e$342), "", 'Data Entry'!$e$342)</f>
      </c>
      <c r="AL342">
        <f>IF(ISBLANK('Data Entry'!$f$342), "", 'Data Entry'!$f$342)</f>
      </c>
      <c r="AM342">
        <f>IF(ISBLANK('Data Entry'!$g$342), "", 'Data Entry'!$g$342)</f>
      </c>
      <c r="AN342">
        <f>IF(ISBLANK('Data Entry'!$h$342), "", 'Data Entry'!$h$342)</f>
      </c>
      <c r="AO342">
        <f>IF(ISBLANK('Data Entry'!$i$342), "", 'Data Entry'!$i$342)</f>
      </c>
      <c r="AP342">
        <f>IF(ISBLANK('Data Entry'!$j$342), "", 'Data Entry'!$j$342)</f>
      </c>
      <c r="AQ342">
        <f>IF(ISBLANK('Data Entry'!$k$342), "", 'Data Entry'!$k$342)</f>
      </c>
      <c r="AR342">
        <f>IF(ISBLANK('Data Entry'!$l$342), "", 'Data Entry'!$l$342)</f>
      </c>
      <c r="AS342">
        <f>IF(ISBLANK('Data Entry'!$m$342), "", 'Data Entry'!$m$342)</f>
      </c>
      <c r="AT342">
        <f>IF(ISBLANK('Data Entry'!$n$342), "", 'Data Entry'!$n$342)</f>
      </c>
      <c r="AU342">
        <f>IF(ISBLANK('Data Entry'!$o$342), "", 'Data Entry'!$o$342)</f>
      </c>
      <c r="AV342">
        <f>IF(ISBLANK('Data Entry'!$p$342), "", 'Data Entry'!$p$342)</f>
      </c>
      <c r="AW342">
        <f>IF(ISBLANK('Data Entry'!$q$342), "", 'Data Entry'!$q$342)</f>
      </c>
      <c r="AX342">
        <f>IF(ISBLANK('Data Entry'!$r$342), "", 'Data Entry'!$r$342)</f>
      </c>
      <c r="AY342">
        <f>IF(ISBLANK('Data Entry'!$s$342), "", 'Data Entry'!$s$342)</f>
      </c>
      <c r="AZ342">
        <f>IF(ISBLANK('Data Entry'!$t$342), "", 'Data Entry'!$t$342)</f>
      </c>
      <c r="BA342">
        <f>IF(ISBLANK('Data Entry'!$u$342), "", 'Data Entry'!$u$342)</f>
      </c>
      <c r="BB342">
        <f>IF(ISBLANK('Data Entry'!$v$342), "", 'Data Entry'!$v$342)</f>
      </c>
      <c r="BC342">
        <f>IF(ISBLANK('Data Entry'!$w$342), "", 'Data Entry'!$w$342)</f>
      </c>
      <c r="BD342">
        <f>IF(ISBLANK('Data Entry'!$x$342), "", 'Data Entry'!$x$342)</f>
      </c>
      <c r="BE342">
        <f>IF(ISBLANK('Data Entry'!$y$342), "", 'Data Entry'!$y$342)</f>
      </c>
      <c r="BF342">
        <f>IF(ISBLANK('Data Entry'!$z$342), "", 'Data Entry'!$z$342)</f>
      </c>
      <c r="BG342">
        <f>IF(ISBLANK('Data Entry'!${$342), "", 'Data Entry'!${$342)</f>
      </c>
      <c r="BH342">
        <f>IF(ISBLANK('Data Entry'!$|$342), "", 'Data Entry'!$|$342)</f>
      </c>
      <c r="BI342">
        <f>IF(ISBLANK('Data Entry'!$}$342), "", 'Data Entry'!$}$342)</f>
      </c>
      <c r="BJ342">
        <f>IF(ISBLANK('Data Entry'!$~$342), "", 'Data Entry'!$~$342)</f>
      </c>
      <c r="BK342">
        <f>IF(ISBLANK('Data Entry'!$$342), "", 'Data Entry'!$$342)</f>
      </c>
      <c r="BL342">
        <f>IF(ISBLANK('Data Entry'!$$342), "", 'Data Entry'!$$342)</f>
      </c>
      <c r="BM342">
        <f>IF(ISBLANK('Data Entry'!$$342), "", 'Data Entry'!$$342)</f>
      </c>
      <c r="BN342">
        <f>IF(ISBLANK('Data Entry'!$$342), "", 'Data Entry'!$$342)</f>
      </c>
      <c r="BO342">
        <f>IF(ISBLANK('Data Entry'!$$342), "", 'Data Entry'!$$342)</f>
      </c>
      <c r="BP342">
        <f>IF(ISBLANK('Data Entry'!$$342), "", 'Data Entry'!$$342)</f>
      </c>
      <c r="BQ342">
        <f>IF(ISBLANK('Data Entry'!$$342), "", 'Data Entry'!$$342)</f>
      </c>
      <c r="BR342">
        <f>IF(ISBLANK('Data Entry'!$$342), "", 'Data Entry'!$$342)</f>
      </c>
      <c r="BS342">
        <f>IF(ISBLANK('Data Entry'!$$342), "", 'Data Entry'!$$342)</f>
      </c>
      <c r="BT342">
        <f>IF(ISBLANK('Data Entry'!$$342), "", 'Data Entry'!$$342)</f>
      </c>
      <c r="BU342">
        <f>IF(ISBLANK('Data Entry'!$$342), "", 'Data Entry'!$$342)</f>
      </c>
      <c r="BV342">
        <f>IF(ISBLANK('Data Entry'!$$342), "", 'Data Entry'!$$342)</f>
      </c>
      <c r="BW342">
        <f>IF(ISBLANK('Data Entry'!$$342), "", 'Data Entry'!$$342)</f>
      </c>
      <c r="BX342">
        <f>IF(ISBLANK('Data Entry'!$$342), "", 'Data Entry'!$$342)</f>
      </c>
      <c r="BY342">
        <f>IF(ISBLANK('Data Entry'!$$342), "", 'Data Entry'!$$342)</f>
      </c>
      <c r="BZ342">
        <f>IF(ISBLANK('Data Entry'!$$342), "", 'Data Entry'!$$342)</f>
      </c>
      <c r="CA342">
        <f>IF(ISBLANK('Data Entry'!$$342), "", 'Data Entry'!$$342)</f>
      </c>
      <c r="CB342">
        <f>IF(ISBLANK('Data Entry'!$$342), "", 'Data Entry'!$$342)</f>
      </c>
      <c r="CC342">
        <f>IF(ISBLANK('Data Entry'!$$342), "", 'Data Entry'!$$342)</f>
      </c>
      <c r="CD342">
        <f>IF(ISBLANK('Data Entry'!$$342), "", 'Data Entry'!$$342)</f>
      </c>
      <c r="CE342">
        <f>IF(ISBLANK('Data Entry'!$$342), "", 'Data Entry'!$$342)</f>
      </c>
      <c r="CF342">
        <f>IF(ISBLANK('Data Entry'!$$342), "", 'Data Entry'!$$342)</f>
      </c>
      <c r="CG342">
        <f>IF(ISBLANK('Data Entry'!$$342), "", 'Data Entry'!$$342)</f>
      </c>
      <c r="CH342">
        <f>IF(ISBLANK('Data Entry'!$$342), "", 'Data Entry'!$$342)</f>
      </c>
      <c r="CI342">
        <f>IF(ISBLANK('Data Entry'!$$342), "", 'Data Entry'!$$342)</f>
      </c>
      <c r="CJ342">
        <f>IF(ISBLANK('Data Entry'!$$342), "", 'Data Entry'!$$342)</f>
      </c>
      <c r="CK342">
        <f>IF(ISBLANK('Data Entry'!$$342), "", 'Data Entry'!$$342)</f>
      </c>
      <c r="CL342">
        <f>IF(ISBLANK('Data Entry'!$$342), "", 'Data Entry'!$$342)</f>
      </c>
      <c r="CM342">
        <f>IF(ISBLANK('Data Entry'!$$342), "", 'Data Entry'!$$342)</f>
      </c>
      <c r="CN342">
        <f>IF(ISBLANK('Data Entry'!$$342), "", 'Data Entry'!$$342)</f>
      </c>
      <c r="CO342">
        <f>IF(ISBLANK('Data Entry'!$$342), "", 'Data Entry'!$$342)</f>
      </c>
      <c r="CP342">
        <f>IF(ISBLANK('Data Entry'!$$342), "", 'Data Entry'!$$342)</f>
      </c>
      <c r="CQ342">
        <f>IF(ISBLANK('Data Entry'!$$342), "", 'Data Entry'!$$342)</f>
      </c>
      <c r="CR342">
        <f>IF(ISBLANK('Data Entry'!$ $342), "", 'Data Entry'!$ $342)</f>
      </c>
      <c r="CS342">
        <f>IF(ISBLANK('Data Entry'!$¡$342), "", 'Data Entry'!$¡$342)</f>
      </c>
      <c r="CT342">
        <f>IF(ISBLANK('Data Entry'!$¢$342), "", 'Data Entry'!$¢$342)</f>
      </c>
      <c r="CU342">
        <f>IF(ISBLANK('Data Entry'!$£$342), "", 'Data Entry'!$£$342)</f>
      </c>
      <c r="CV342">
        <f>IF(ISBLANK('Data Entry'!$¤$342), "", 'Data Entry'!$¤$342)</f>
      </c>
      <c r="CW342">
        <f>IF(ISBLANK('Data Entry'!$¥$342), "", 'Data Entry'!$¥$342)</f>
      </c>
      <c r="CX342">
        <f>IF(ISBLANK('Data Entry'!$¦$342), "", 'Data Entry'!$¦$342)</f>
      </c>
      <c r="CY342">
        <f>IF(ISBLANK('Data Entry'!$§$342), "", 'Data Entry'!$§$342)</f>
      </c>
      <c r="CZ342">
        <f>IF(ISBLANK('Data Entry'!$¨$342), "", 'Data Entry'!$¨$342)</f>
      </c>
      <c r="DA342">
        <f>IF(ISBLANK('Data Entry'!$©$342), "", 'Data Entry'!$©$342)</f>
      </c>
      <c r="DB342">
        <f>IF(ISBLANK('Data Entry'!$ª$342), "", 'Data Entry'!$ª$342)</f>
      </c>
      <c r="DC342">
        <f>IF(ISBLANK('Data Entry'!$«$342), "", 'Data Entry'!$«$342)</f>
      </c>
      <c r="DD342">
        <f>IF(ISBLANK('Data Entry'!$¬$342), "", 'Data Entry'!$¬$342)</f>
      </c>
      <c r="DE342">
        <f>IF(ISBLANK('Data Entry'!$­$342), "", 'Data Entry'!$­$342)</f>
      </c>
      <c r="DF342">
        <f>IF(ISBLANK('Data Entry'!$®$342), "", 'Data Entry'!$®$342)</f>
      </c>
      <c r="DG342">
        <f>IF(ISBLANK('Data Entry'!$¯$342), "", 'Data Entry'!$¯$342)</f>
      </c>
      <c r="DH342">
        <f>IF(ISBLANK('Data Entry'!$°$342), "", 'Data Entry'!$°$342)</f>
      </c>
      <c r="DI342">
        <f>IF(ISBLANK('Data Entry'!$±$342), "", 'Data Entry'!$±$342)</f>
      </c>
      <c r="DJ342">
        <f>IF(ISBLANK('Data Entry'!$²$342), "", 'Data Entry'!$²$342)</f>
      </c>
      <c r="DK342">
        <f>IF(ISBLANK('Data Entry'!$³$342), "", 'Data Entry'!$³$342)</f>
      </c>
      <c r="DL342">
        <f>IF(ISBLANK('Data Entry'!$´$342), "", 'Data Entry'!$´$342)</f>
      </c>
      <c r="DM342">
        <f>IF(ISBLANK('Data Entry'!$µ$342), "", 'Data Entry'!$µ$342)</f>
      </c>
      <c r="DN342">
        <f>IF(ISBLANK('Data Entry'!$¶$342), "", 'Data Entry'!$¶$342)</f>
      </c>
      <c r="DO342">
        <f>IF(ISBLANK('Data Entry'!$·$342), "", 'Data Entry'!$·$342)</f>
      </c>
      <c r="DP342">
        <f>IF(ISBLANK('Data Entry'!$¸$342), "", 'Data Entry'!$¸$342)</f>
      </c>
      <c r="DQ342">
        <f>IF(ISBLANK('Data Entry'!$¹$342), "", 'Data Entry'!$¹$342)</f>
      </c>
      <c r="DR342">
        <f>IF(ISBLANK('Data Entry'!$º$342), "", 'Data Entry'!$º$342)</f>
      </c>
      <c r="DS342">
        <f>IF(ISBLANK('Data Entry'!$»$342), "", 'Data Entry'!$»$342)</f>
      </c>
      <c r="DT342">
        <f>IF(ISBLANK('Data Entry'!$¼$342), "", 'Data Entry'!$¼$342)</f>
      </c>
      <c r="DU342">
        <f>IF(ISBLANK('Data Entry'!$½$342), "", 'Data Entry'!$½$342)</f>
      </c>
      <c r="DV342">
        <f>IF(ISBLANK('Data Entry'!$¾$342), "", 'Data Entry'!$¾$342)</f>
      </c>
      <c r="DW342">
        <f>IF(ISBLANK('Data Entry'!$¿$342), "", 'Data Entry'!$¿$342)</f>
      </c>
      <c r="DX342">
        <f>IF(ISBLANK('Data Entry'!$À$342), "", 'Data Entry'!$À$342)</f>
      </c>
      <c r="DY342">
        <f>IF(ISBLANK('Data Entry'!$Á$342), "", 'Data Entry'!$Á$342)</f>
      </c>
      <c r="DZ342">
        <f>IF(ISBLANK('Data Entry'!$Â$342), "", 'Data Entry'!$Â$342)</f>
      </c>
      <c r="EA342">
        <f>IF(ISBLANK('Data Entry'!$Ã$342), "", 'Data Entry'!$Ã$342)</f>
      </c>
      <c r="EB342">
        <f>IF(ISBLANK('Data Entry'!$Ä$342), "", 'Data Entry'!$Ä$342)</f>
      </c>
      <c r="EC342">
        <f>IF(ISBLANK('Data Entry'!$Å$342), "", 'Data Entry'!$Å$342)</f>
      </c>
      <c r="ED342">
        <f>IF(ISBLANK('Data Entry'!$Æ$342), "", 'Data Entry'!$Æ$342)</f>
      </c>
      <c r="EE342">
        <f>IF(ISBLANK('Data Entry'!$Ç$342), "", 'Data Entry'!$Ç$342)</f>
      </c>
      <c r="EF342">
        <f>IF(ISBLANK('Data Entry'!$È$342), "", 'Data Entry'!$È$342)</f>
      </c>
      <c r="EG342">
        <f>IF(ISBLANK('Data Entry'!$É$342), "", 'Data Entry'!$É$342)</f>
      </c>
      <c r="EH342">
        <f>IF(ISBLANK('Data Entry'!$Ê$342), "", 'Data Entry'!$Ê$342)</f>
      </c>
      <c r="EI342">
        <f>IF(ISBLANK('Data Entry'!$Ë$342), "", 'Data Entry'!$Ë$342)</f>
      </c>
      <c r="EJ342">
        <f>IF(ISBLANK('Data Entry'!$Ì$342), "", 'Data Entry'!$Ì$342)</f>
      </c>
      <c r="EK342">
        <f>IF(ISBLANK('Data Entry'!$Í$342), "", 'Data Entry'!$Í$342)</f>
      </c>
      <c r="EL342">
        <f>IF(ISBLANK('Data Entry'!$Î$342), "", 'Data Entry'!$Î$342)</f>
      </c>
      <c r="EM342">
        <f>IF(ISBLANK('Data Entry'!$Ï$342), "", 'Data Entry'!$Ï$342)</f>
      </c>
      <c r="EN342">
        <f>IF(ISBLANK('Data Entry'!$Ð$342), "", 'Data Entry'!$Ð$342)</f>
      </c>
      <c r="EO342">
        <f>IF(ISBLANK('Data Entry'!$Ñ$342), "", 'Data Entry'!$Ñ$342)</f>
      </c>
      <c r="EP342">
        <f>IF(ISBLANK('Data Entry'!$Ò$342), "", 'Data Entry'!$Ò$342)</f>
      </c>
      <c r="EQ342">
        <f>IF(ISBLANK('Data Entry'!$Ó$342), "", 'Data Entry'!$Ó$342)</f>
      </c>
      <c r="ER342">
        <f>IF(ISBLANK('Data Entry'!$Ô$342), "", 'Data Entry'!$Ô$342)</f>
      </c>
      <c r="ES342">
        <f>IF(ISBLANK('Data Entry'!$Õ$342), "", 'Data Entry'!$Õ$342)</f>
      </c>
      <c r="ET342">
        <f>IF(ISBLANK('Data Entry'!$Ö$342), "", 'Data Entry'!$Ö$342)</f>
      </c>
      <c r="EU342">
        <f>IF(ISBLANK('Data Entry'!$×$342), "", 'Data Entry'!$×$342)</f>
      </c>
      <c r="EV342">
        <f>IF(ISBLANK('Data Entry'!$Ø$342), "", 'Data Entry'!$Ø$342)</f>
      </c>
      <c r="EW342">
        <f>IF(ISBLANK('Data Entry'!$Ù$342), "", 'Data Entry'!$Ù$342)</f>
      </c>
      <c r="EX342">
        <f>IF(ISBLANK('Data Entry'!$Ú$342), "", 'Data Entry'!$Ú$342)</f>
      </c>
      <c r="EY342">
        <f>IF(ISBLANK('Data Entry'!$Û$342), "", 'Data Entry'!$Û$342)</f>
      </c>
      <c r="EZ342">
        <f>IF(ISBLANK('Data Entry'!$Ü$342), "", 'Data Entry'!$Ü$342)</f>
      </c>
      <c r="FA342">
        <f>IF(ISBLANK('Data Entry'!$Ý$342), "", 'Data Entry'!$Ý$342)</f>
      </c>
      <c r="FB342">
        <f>IF(ISBLANK('Data Entry'!$Þ$342), "", 'Data Entry'!$Þ$342)</f>
      </c>
      <c r="FC342">
        <f>IF(ISBLANK('Data Entry'!$ß$342), "", 'Data Entry'!$ß$342)</f>
      </c>
      <c r="FD342">
        <f>IF(ISBLANK('Data Entry'!$à$342), "", 'Data Entry'!$à$342)</f>
      </c>
      <c r="FE342">
        <f>IF(ISBLANK('Data Entry'!$á$342), "", 'Data Entry'!$á$342)</f>
      </c>
      <c r="FF342">
        <f>IF(ISBLANK('Data Entry'!$â$342), "", 'Data Entry'!$â$342)</f>
      </c>
      <c r="FG342">
        <f>IF(ISBLANK('Data Entry'!$ã$342), "", 'Data Entry'!$ã$342)</f>
      </c>
      <c r="FH342">
        <f>IF(ISBLANK('Data Entry'!$ä$342), "", 'Data Entry'!$ä$342)</f>
      </c>
      <c r="FI342">
        <f>IF(ISBLANK('Data Entry'!$å$342), "", 'Data Entry'!$å$342)</f>
      </c>
      <c r="FJ342">
        <f>IF(ISBLANK('Data Entry'!$æ$342), "", 'Data Entry'!$æ$342)</f>
      </c>
      <c r="FK342">
        <f>IF(ISBLANK('Data Entry'!$ç$342), "", 'Data Entry'!$ç$342)</f>
      </c>
      <c r="FL342">
        <f>IF(ISBLANK('Data Entry'!$è$342), "", 'Data Entry'!$è$342)</f>
      </c>
      <c r="FM342">
        <f>IF(ISBLANK('Data Entry'!$é$342), "", 'Data Entry'!$é$342)</f>
      </c>
      <c r="FN342">
        <f>IF(ISBLANK('Data Entry'!$ê$342), "", 'Data Entry'!$ê$342)</f>
      </c>
      <c r="FO342">
        <f>IF(ISBLANK('Data Entry'!$ë$342), "", 'Data Entry'!$ë$342)</f>
      </c>
      <c r="FP342">
        <f>IF(ISBLANK('Data Entry'!$ì$342), "", 'Data Entry'!$ì$342)</f>
      </c>
      <c r="FQ342">
        <f>IF(ISBLANK('Data Entry'!$í$342), "", 'Data Entry'!$í$342)</f>
      </c>
      <c r="FR342">
        <f>IF(ISBLANK('Data Entry'!$î$342), "", 'Data Entry'!$î$342)</f>
      </c>
      <c r="FS342">
        <f>IF(ISBLANK('Data Entry'!$ï$342), "", 'Data Entry'!$ï$342)</f>
      </c>
      <c r="FT342">
        <f>IF(ISBLANK('Data Entry'!$ð$342), "", 'Data Entry'!$ð$342)</f>
      </c>
      <c r="FU342">
        <f>IF(ISBLANK('Data Entry'!$ñ$342), "", 'Data Entry'!$ñ$342)</f>
      </c>
      <c r="FV342">
        <f>IF(ISBLANK('Data Entry'!$ò$342), "", 'Data Entry'!$ò$342)</f>
      </c>
      <c r="FW342">
        <f>IF(ISBLANK('Data Entry'!$ó$342), "", 'Data Entry'!$ó$342)</f>
      </c>
      <c r="FX342">
        <f>IF(ISBLANK('Data Entry'!$ô$342), "", 'Data Entry'!$ô$342)</f>
      </c>
      <c r="FY342">
        <f>IF(ISBLANK('Data Entry'!$õ$342), "", 'Data Entry'!$õ$342)</f>
      </c>
      <c r="FZ342">
        <f>IF(ISBLANK('Data Entry'!$ö$342), "", 'Data Entry'!$ö$342)</f>
      </c>
      <c r="GA342">
        <f>IF(ISBLANK('Data Entry'!$÷$342), "", 'Data Entry'!$÷$342)</f>
      </c>
      <c r="GB342">
        <f>IF(ISBLANK('Data Entry'!$ø$342), "", 'Data Entry'!$ø$342)</f>
      </c>
      <c r="GC342">
        <f>IF(ISBLANK('Data Entry'!$ù$342), "", 'Data Entry'!$ù$342)</f>
      </c>
      <c r="GD342">
        <f>IF(ISBLANK('Data Entry'!$ú$342), "", 'Data Entry'!$ú$342)</f>
      </c>
      <c r="GE342">
        <f>IF(ISBLANK('Data Entry'!$û$342), "", 'Data Entry'!$û$342)</f>
      </c>
      <c r="GF342">
        <f>IF(ISBLANK('Data Entry'!$ü$342), "", 'Data Entry'!$ü$342)</f>
      </c>
      <c r="GG342">
        <f>IF(ISBLANK('Data Entry'!$ý$342), "", 'Data Entry'!$ý$342)</f>
      </c>
      <c r="GH342">
        <f>IF(ISBLANK('Data Entry'!$þ$342), "", 'Data Entry'!$þ$342)</f>
      </c>
      <c r="GI342">
        <f>IF(ISBLANK('Data Entry'!$ÿ$342), "", 'Data Entry'!$ÿ$342)</f>
      </c>
      <c r="GJ342">
        <f>IF(ISBLANK('Data Entry'!$Ā$342), "", 'Data Entry'!$Ā$342)</f>
      </c>
      <c r="GK342">
        <f>IF(ISBLANK('Data Entry'!$ā$342), "", 'Data Entry'!$ā$342)</f>
      </c>
      <c r="GL342">
        <f>IF(ISBLANK('Data Entry'!$Ă$342), "", 'Data Entry'!$Ă$342)</f>
      </c>
      <c r="GM342">
        <f>IF(ISBLANK('Data Entry'!$ă$342), "", 'Data Entry'!$ă$342)</f>
      </c>
      <c r="GN342">
        <f>IF(ISBLANK('Data Entry'!$Ą$342), "", 'Data Entry'!$Ą$342)</f>
      </c>
      <c r="GO342">
        <f>IF(ISBLANK('Data Entry'!$ą$342), "", 'Data Entry'!$ą$342)</f>
      </c>
      <c r="GP342">
        <f>IF(ISBLANK('Data Entry'!$Ć$342), "", 'Data Entry'!$Ć$342)</f>
      </c>
      <c r="GQ342">
        <f>IF(ISBLANK('Data Entry'!$ć$342), "", 'Data Entry'!$ć$342)</f>
      </c>
      <c r="GR342">
        <f>IF(ISBLANK('Data Entry'!$Ĉ$342), "", 'Data Entry'!$Ĉ$342)</f>
      </c>
      <c r="GS342">
        <f>IF(ISBLANK('Data Entry'!$ĉ$342), "", 'Data Entry'!$ĉ$342)</f>
      </c>
      <c r="GT342">
        <f>IF(ISBLANK('Data Entry'!$Ċ$342), "", 'Data Entry'!$Ċ$342)</f>
      </c>
      <c r="GU342">
        <f>IF(ISBLANK('Data Entry'!$ċ$342), "", 'Data Entry'!$ċ$342)</f>
      </c>
      <c r="GV342">
        <f>IF(ISBLANK('Data Entry'!$Č$342), "", 'Data Entry'!$Č$342)</f>
      </c>
      <c r="GW342">
        <f>IF(ISBLANK('Data Entry'!$č$342), "", 'Data Entry'!$č$342)</f>
      </c>
      <c r="GX342">
        <f>IF(ISBLANK('Data Entry'!$Ď$342), "", 'Data Entry'!$Ď$342)</f>
      </c>
      <c r="GY342">
        <f>IF(ISBLANK('Data Entry'!$ď$342), "", 'Data Entry'!$ď$342)</f>
      </c>
      <c r="GZ342">
        <f>IF(ISBLANK('Data Entry'!$Đ$342), "", 'Data Entry'!$Đ$342)</f>
      </c>
      <c r="HA342">
        <f>IF(ISBLANK('Data Entry'!$đ$342), "", 'Data Entry'!$đ$342)</f>
      </c>
      <c r="HB342">
        <f>IF(ISBLANK('Data Entry'!$Ē$342), "", 'Data Entry'!$Ē$342)</f>
      </c>
      <c r="HC342">
        <f>IF(ISBLANK('Data Entry'!$ē$342), "", 'Data Entry'!$ē$342)</f>
      </c>
      <c r="HD342">
        <f>IF(ISBLANK('Data Entry'!$Ĕ$342), "", 'Data Entry'!$Ĕ$342)</f>
      </c>
      <c r="HE342">
        <f>IF(ISBLANK('Data Entry'!$ĕ$342), "", 'Data Entry'!$ĕ$342)</f>
      </c>
      <c r="HF342">
        <f>IF(ISBLANK('Data Entry'!$Ė$342), "", 'Data Entry'!$Ė$342)</f>
      </c>
      <c r="HG342">
        <f>IF(ISBLANK('Data Entry'!$ė$342), "", 'Data Entry'!$ė$342)</f>
      </c>
      <c r="HH342">
        <f>IF(ISBLANK('Data Entry'!$Ę$342), "", 'Data Entry'!$Ę$342)</f>
      </c>
      <c r="HI342">
        <f>IF(ISBLANK('Data Entry'!$ę$342), "", 'Data Entry'!$ę$342)</f>
      </c>
      <c r="HJ342">
        <f>IF(ISBLANK('Data Entry'!$Ě$342), "", 'Data Entry'!$Ě$342)</f>
      </c>
      <c r="HK342">
        <f>IF(ISBLANK('Data Entry'!$ě$342), "", 'Data Entry'!$ě$342)</f>
      </c>
      <c r="HL342">
        <f>IF(ISBLANK('Data Entry'!$Ĝ$342), "", 'Data Entry'!$Ĝ$342)</f>
      </c>
      <c r="HM342">
        <f>IF(ISBLANK('Data Entry'!$ĝ$342), "", 'Data Entry'!$ĝ$342)</f>
      </c>
      <c r="HN342">
        <f>IF(ISBLANK('Data Entry'!$Ğ$342), "", 'Data Entry'!$Ğ$342)</f>
      </c>
      <c r="HO342">
        <f>IF(ISBLANK('Data Entry'!$ğ$342), "", 'Data Entry'!$ğ$342)</f>
      </c>
      <c r="HP342">
        <f>IF(ISBLANK('Data Entry'!$Ġ$342), "", 'Data Entry'!$Ġ$342)</f>
      </c>
      <c r="HQ342">
        <f>IF(ISBLANK('Data Entry'!$ġ$342), "", 'Data Entry'!$ġ$342)</f>
      </c>
      <c r="HR342">
        <f>IF(ISBLANK('Data Entry'!$Ģ$342), "", 'Data Entry'!$Ģ$342)</f>
      </c>
      <c r="HS342">
        <f>IF(ISBLANK('Data Entry'!$ģ$342), "", 'Data Entry'!$ģ$342)</f>
      </c>
      <c r="HT342">
        <f>IF(ISBLANK('Data Entry'!$Ĥ$342), "", 'Data Entry'!$Ĥ$342)</f>
      </c>
      <c r="HU342">
        <f>IF(ISBLANK('Data Entry'!$ĥ$342), "", 'Data Entry'!$ĥ$342)</f>
      </c>
      <c r="HV342">
        <f>IF(ISBLANK('Data Entry'!$Ħ$342), "", 'Data Entry'!$Ħ$342)</f>
      </c>
      <c r="HW342">
        <f>IF(ISBLANK('Data Entry'!$ħ$342), "", 'Data Entry'!$ħ$342)</f>
      </c>
      <c r="HX342">
        <f>IF(ISBLANK('Data Entry'!$Ĩ$342), "", 'Data Entry'!$Ĩ$342)</f>
      </c>
      <c r="HY342">
        <f>IF(ISBLANK('Data Entry'!$ĩ$342), "", 'Data Entry'!$ĩ$342)</f>
      </c>
      <c r="HZ342">
        <f>IF(ISBLANK('Data Entry'!$Ī$342), "", 'Data Entry'!$Ī$342)</f>
      </c>
      <c r="IA342">
        <f>IF(ISBLANK('Data Entry'!$ī$342), "", 'Data Entry'!$ī$342)</f>
      </c>
      <c r="IB342">
        <f>IF(ISBLANK('Data Entry'!$Ĭ$342), "", 'Data Entry'!$Ĭ$342)</f>
      </c>
      <c r="IC342">
        <f>IF(ISBLANK('Data Entry'!$ĭ$342), "", 'Data Entry'!$ĭ$342)</f>
      </c>
      <c r="ID342">
        <f>IF(ISBLANK('Data Entry'!$Į$342), "", 'Data Entry'!$Į$342)</f>
      </c>
      <c r="IE342">
        <f>IF(ISBLANK('Data Entry'!$į$342), "", 'Data Entry'!$į$342)</f>
      </c>
      <c r="IF342">
        <f>IF(ISBLANK('Data Entry'!$İ$342), "", 'Data Entry'!$İ$342)</f>
      </c>
      <c r="IG342">
        <f>IF(ISBLANK('Data Entry'!$ı$342), "", 'Data Entry'!$ı$342)</f>
      </c>
      <c r="IH342">
        <f>IF(ISBLANK('Data Entry'!$Ĳ$342), "", 'Data Entry'!$Ĳ$342)</f>
      </c>
      <c r="II342">
        <f>IF(ISBLANK('Data Entry'!$ĳ$342), "", 'Data Entry'!$ĳ$342)</f>
      </c>
      <c r="IJ342">
        <f>IF(ISBLANK('Data Entry'!$Ĵ$342), "", 'Data Entry'!$Ĵ$342)</f>
      </c>
      <c r="IK342">
        <f>IF(ISBLANK('Data Entry'!$ĵ$342), "", 'Data Entry'!$ĵ$342)</f>
      </c>
      <c r="IL342">
        <f>IF(ISBLANK('Data Entry'!$Ķ$342), "", 'Data Entry'!$Ķ$342)</f>
      </c>
      <c r="IM342">
        <f>IF(ISBLANK('Data Entry'!$ķ$342), "", 'Data Entry'!$ķ$342)</f>
      </c>
      <c r="IN342">
        <f>IF(ISBLANK('Data Entry'!$ĸ$342), "", 'Data Entry'!$ĸ$342)</f>
      </c>
      <c r="IO342">
        <f>IF(ISBLANK('Data Entry'!$Ĺ$342), "", 'Data Entry'!$Ĺ$342)</f>
      </c>
      <c r="IP342">
        <f>IF(ISBLANK('Data Entry'!$ĺ$342), "", 'Data Entry'!$ĺ$342)</f>
      </c>
      <c r="IQ342">
        <f>IF(ISBLANK('Data Entry'!$Ļ$342), "", 'Data Entry'!$Ļ$342)</f>
      </c>
      <c r="IR342">
        <f>IF(ISBLANK('Data Entry'!$ļ$342), "", 'Data Entry'!$ļ$342)</f>
      </c>
      <c r="IS342">
        <f>IF(ISBLANK('Data Entry'!$Ľ$342), "", 'Data Entry'!$Ľ$342)</f>
      </c>
      <c r="IT342">
        <f>IF(ISBLANK('Data Entry'!$ľ$342), "", 'Data Entry'!$ľ$342)</f>
      </c>
    </row>
    <row r="343" spans="1:254" x14ac:dyDescent="0.25">
      <c r="A343">
        <f>IF(ISBLANK('Data Entry'!$A$343), "", 'Data Entry'!$A$343)</f>
      </c>
      <c r="B343">
        <f>IF(ISBLANK('Data Entry'!$B$343), "", 'Data Entry'!$B$343)</f>
      </c>
      <c r="C343">
        <f>IF(ISBLANK('Data Entry'!$C$343), "", 'Data Entry'!$C$343)</f>
      </c>
      <c r="D343">
        <f>IF(ISBLANK('Data Entry'!$D$343), "", 'Data Entry'!$D$343)</f>
      </c>
      <c r="E343">
        <f>IF(ISBLANK('Data Entry'!$E$343), "", 'Data Entry'!$E$343)</f>
      </c>
      <c r="F343">
        <f>IF(ISBLANK('Data Entry'!$F$343), "", 'Data Entry'!$F$343)</f>
      </c>
      <c r="G343">
        <f>IF(ISBLANK('Data Entry'!$G$343), "", 'Data Entry'!$G$343)</f>
      </c>
      <c r="H343">
        <f>IF(ISBLANK('Data Entry'!$H$343), "", 'Data Entry'!$H$343)</f>
      </c>
      <c r="I343">
        <f>IF(ISBLANK('Data Entry'!$I$343), "", 'Data Entry'!$I$343)</f>
      </c>
      <c r="J343">
        <f>IF(ISBLANK('Data Entry'!$J$343), "", 'Data Entry'!$J$343)</f>
      </c>
      <c r="K343">
        <f>IF(ISBLANK('Data Entry'!$K$343), "", 'Data Entry'!$K$343)</f>
      </c>
      <c r="L343">
        <f>IF(ISBLANK('Data Entry'!$L$343), "", 'Data Entry'!$L$343)</f>
      </c>
      <c r="M343">
        <f>IF(ISBLANK('Data Entry'!$M$343), "", 'Data Entry'!$M$343)</f>
      </c>
      <c r="N343">
        <f>IF(ISBLANK('Data Entry'!$N$343), "", 'Data Entry'!$N$343)</f>
      </c>
      <c r="O343">
        <f>IF(ISBLANK('Data Entry'!$O$343), "", 'Data Entry'!$O$343)</f>
      </c>
      <c r="P343">
        <f>IF(ISBLANK('Data Entry'!$P$343), "", 'Data Entry'!$P$343)</f>
      </c>
      <c r="Q343">
        <f>IF(ISBLANK('Data Entry'!$Q$343), "", 'Data Entry'!$Q$343)</f>
      </c>
      <c r="R343">
        <f>IF(ISBLANK('Data Entry'!$R$343), "", 'Data Entry'!$R$343)</f>
      </c>
      <c r="S343">
        <f>IF(ISBLANK('Data Entry'!$S$343), "", 'Data Entry'!$S$343)</f>
      </c>
      <c r="T343">
        <f>IF(ISBLANK('Data Entry'!$T$343), "", 'Data Entry'!$T$343)</f>
      </c>
      <c r="U343">
        <f>IF(ISBLANK('Data Entry'!$U$343), "", 'Data Entry'!$U$343)</f>
      </c>
      <c r="V343">
        <f>IF(ISBLANK('Data Entry'!$V$343), "", 'Data Entry'!$V$343)</f>
      </c>
      <c r="W343">
        <f>IF(ISBLANK('Data Entry'!$W$343), "", 'Data Entry'!$W$343)</f>
      </c>
      <c r="X343">
        <f>IF(ISBLANK('Data Entry'!$X$343), "", 'Data Entry'!$X$343)</f>
      </c>
      <c r="Y343">
        <f>IF(ISBLANK('Data Entry'!$Y$343), "", 'Data Entry'!$Y$343)</f>
      </c>
      <c r="Z343">
        <f>IF(ISBLANK('Data Entry'!$Z$343), "", 'Data Entry'!$Z$343)</f>
      </c>
      <c r="AA343">
        <f>IF(ISBLANK('Data Entry'!$[$343), "", 'Data Entry'!$[$343)</f>
      </c>
      <c r="AB343">
        <f>IF(ISBLANK('Data Entry'!$\$343), "", 'Data Entry'!$\$343)</f>
      </c>
      <c r="AC343">
        <f>IF(ISBLANK('Data Entry'!$]$343), "", 'Data Entry'!$]$343)</f>
      </c>
      <c r="AD343">
        <f>IF(ISBLANK('Data Entry'!$^$343), "", 'Data Entry'!$^$343)</f>
      </c>
      <c r="AE343">
        <f>IF(ISBLANK('Data Entry'!$_$343), "", 'Data Entry'!$_$343)</f>
      </c>
      <c r="AF343">
        <f>IF(ISBLANK('Data Entry'!$`$343), "", 'Data Entry'!$`$343)</f>
      </c>
      <c r="AG343">
        <f>IF(ISBLANK('Data Entry'!$a$343), "", 'Data Entry'!$a$343)</f>
      </c>
      <c r="AH343">
        <f>IF(ISBLANK('Data Entry'!$b$343), "", 'Data Entry'!$b$343)</f>
      </c>
      <c r="AI343">
        <f>IF(ISBLANK('Data Entry'!$c$343), "", 'Data Entry'!$c$343)</f>
      </c>
      <c r="AJ343">
        <f>IF(ISBLANK('Data Entry'!$d$343), "", 'Data Entry'!$d$343)</f>
      </c>
      <c r="AK343">
        <f>IF(ISBLANK('Data Entry'!$e$343), "", 'Data Entry'!$e$343)</f>
      </c>
      <c r="AL343">
        <f>IF(ISBLANK('Data Entry'!$f$343), "", 'Data Entry'!$f$343)</f>
      </c>
      <c r="AM343">
        <f>IF(ISBLANK('Data Entry'!$g$343), "", 'Data Entry'!$g$343)</f>
      </c>
      <c r="AN343">
        <f>IF(ISBLANK('Data Entry'!$h$343), "", 'Data Entry'!$h$343)</f>
      </c>
      <c r="AO343">
        <f>IF(ISBLANK('Data Entry'!$i$343), "", 'Data Entry'!$i$343)</f>
      </c>
      <c r="AP343">
        <f>IF(ISBLANK('Data Entry'!$j$343), "", 'Data Entry'!$j$343)</f>
      </c>
      <c r="AQ343">
        <f>IF(ISBLANK('Data Entry'!$k$343), "", 'Data Entry'!$k$343)</f>
      </c>
      <c r="AR343">
        <f>IF(ISBLANK('Data Entry'!$l$343), "", 'Data Entry'!$l$343)</f>
      </c>
      <c r="AS343">
        <f>IF(ISBLANK('Data Entry'!$m$343), "", 'Data Entry'!$m$343)</f>
      </c>
      <c r="AT343">
        <f>IF(ISBLANK('Data Entry'!$n$343), "", 'Data Entry'!$n$343)</f>
      </c>
      <c r="AU343">
        <f>IF(ISBLANK('Data Entry'!$o$343), "", 'Data Entry'!$o$343)</f>
      </c>
      <c r="AV343">
        <f>IF(ISBLANK('Data Entry'!$p$343), "", 'Data Entry'!$p$343)</f>
      </c>
      <c r="AW343">
        <f>IF(ISBLANK('Data Entry'!$q$343), "", 'Data Entry'!$q$343)</f>
      </c>
      <c r="AX343">
        <f>IF(ISBLANK('Data Entry'!$r$343), "", 'Data Entry'!$r$343)</f>
      </c>
      <c r="AY343">
        <f>IF(ISBLANK('Data Entry'!$s$343), "", 'Data Entry'!$s$343)</f>
      </c>
      <c r="AZ343">
        <f>IF(ISBLANK('Data Entry'!$t$343), "", 'Data Entry'!$t$343)</f>
      </c>
      <c r="BA343">
        <f>IF(ISBLANK('Data Entry'!$u$343), "", 'Data Entry'!$u$343)</f>
      </c>
      <c r="BB343">
        <f>IF(ISBLANK('Data Entry'!$v$343), "", 'Data Entry'!$v$343)</f>
      </c>
      <c r="BC343">
        <f>IF(ISBLANK('Data Entry'!$w$343), "", 'Data Entry'!$w$343)</f>
      </c>
      <c r="BD343">
        <f>IF(ISBLANK('Data Entry'!$x$343), "", 'Data Entry'!$x$343)</f>
      </c>
      <c r="BE343">
        <f>IF(ISBLANK('Data Entry'!$y$343), "", 'Data Entry'!$y$343)</f>
      </c>
      <c r="BF343">
        <f>IF(ISBLANK('Data Entry'!$z$343), "", 'Data Entry'!$z$343)</f>
      </c>
      <c r="BG343">
        <f>IF(ISBLANK('Data Entry'!${$343), "", 'Data Entry'!${$343)</f>
      </c>
      <c r="BH343">
        <f>IF(ISBLANK('Data Entry'!$|$343), "", 'Data Entry'!$|$343)</f>
      </c>
      <c r="BI343">
        <f>IF(ISBLANK('Data Entry'!$}$343), "", 'Data Entry'!$}$343)</f>
      </c>
      <c r="BJ343">
        <f>IF(ISBLANK('Data Entry'!$~$343), "", 'Data Entry'!$~$343)</f>
      </c>
      <c r="BK343">
        <f>IF(ISBLANK('Data Entry'!$$343), "", 'Data Entry'!$$343)</f>
      </c>
      <c r="BL343">
        <f>IF(ISBLANK('Data Entry'!$$343), "", 'Data Entry'!$$343)</f>
      </c>
      <c r="BM343">
        <f>IF(ISBLANK('Data Entry'!$$343), "", 'Data Entry'!$$343)</f>
      </c>
      <c r="BN343">
        <f>IF(ISBLANK('Data Entry'!$$343), "", 'Data Entry'!$$343)</f>
      </c>
      <c r="BO343">
        <f>IF(ISBLANK('Data Entry'!$$343), "", 'Data Entry'!$$343)</f>
      </c>
      <c r="BP343">
        <f>IF(ISBLANK('Data Entry'!$$343), "", 'Data Entry'!$$343)</f>
      </c>
      <c r="BQ343">
        <f>IF(ISBLANK('Data Entry'!$$343), "", 'Data Entry'!$$343)</f>
      </c>
      <c r="BR343">
        <f>IF(ISBLANK('Data Entry'!$$343), "", 'Data Entry'!$$343)</f>
      </c>
      <c r="BS343">
        <f>IF(ISBLANK('Data Entry'!$$343), "", 'Data Entry'!$$343)</f>
      </c>
      <c r="BT343">
        <f>IF(ISBLANK('Data Entry'!$$343), "", 'Data Entry'!$$343)</f>
      </c>
      <c r="BU343">
        <f>IF(ISBLANK('Data Entry'!$$343), "", 'Data Entry'!$$343)</f>
      </c>
      <c r="BV343">
        <f>IF(ISBLANK('Data Entry'!$$343), "", 'Data Entry'!$$343)</f>
      </c>
      <c r="BW343">
        <f>IF(ISBLANK('Data Entry'!$$343), "", 'Data Entry'!$$343)</f>
      </c>
      <c r="BX343">
        <f>IF(ISBLANK('Data Entry'!$$343), "", 'Data Entry'!$$343)</f>
      </c>
      <c r="BY343">
        <f>IF(ISBLANK('Data Entry'!$$343), "", 'Data Entry'!$$343)</f>
      </c>
      <c r="BZ343">
        <f>IF(ISBLANK('Data Entry'!$$343), "", 'Data Entry'!$$343)</f>
      </c>
      <c r="CA343">
        <f>IF(ISBLANK('Data Entry'!$$343), "", 'Data Entry'!$$343)</f>
      </c>
      <c r="CB343">
        <f>IF(ISBLANK('Data Entry'!$$343), "", 'Data Entry'!$$343)</f>
      </c>
      <c r="CC343">
        <f>IF(ISBLANK('Data Entry'!$$343), "", 'Data Entry'!$$343)</f>
      </c>
      <c r="CD343">
        <f>IF(ISBLANK('Data Entry'!$$343), "", 'Data Entry'!$$343)</f>
      </c>
      <c r="CE343">
        <f>IF(ISBLANK('Data Entry'!$$343), "", 'Data Entry'!$$343)</f>
      </c>
      <c r="CF343">
        <f>IF(ISBLANK('Data Entry'!$$343), "", 'Data Entry'!$$343)</f>
      </c>
      <c r="CG343">
        <f>IF(ISBLANK('Data Entry'!$$343), "", 'Data Entry'!$$343)</f>
      </c>
      <c r="CH343">
        <f>IF(ISBLANK('Data Entry'!$$343), "", 'Data Entry'!$$343)</f>
      </c>
      <c r="CI343">
        <f>IF(ISBLANK('Data Entry'!$$343), "", 'Data Entry'!$$343)</f>
      </c>
      <c r="CJ343">
        <f>IF(ISBLANK('Data Entry'!$$343), "", 'Data Entry'!$$343)</f>
      </c>
      <c r="CK343">
        <f>IF(ISBLANK('Data Entry'!$$343), "", 'Data Entry'!$$343)</f>
      </c>
      <c r="CL343">
        <f>IF(ISBLANK('Data Entry'!$$343), "", 'Data Entry'!$$343)</f>
      </c>
      <c r="CM343">
        <f>IF(ISBLANK('Data Entry'!$$343), "", 'Data Entry'!$$343)</f>
      </c>
      <c r="CN343">
        <f>IF(ISBLANK('Data Entry'!$$343), "", 'Data Entry'!$$343)</f>
      </c>
      <c r="CO343">
        <f>IF(ISBLANK('Data Entry'!$$343), "", 'Data Entry'!$$343)</f>
      </c>
      <c r="CP343">
        <f>IF(ISBLANK('Data Entry'!$$343), "", 'Data Entry'!$$343)</f>
      </c>
      <c r="CQ343">
        <f>IF(ISBLANK('Data Entry'!$$343), "", 'Data Entry'!$$343)</f>
      </c>
      <c r="CR343">
        <f>IF(ISBLANK('Data Entry'!$ $343), "", 'Data Entry'!$ $343)</f>
      </c>
      <c r="CS343">
        <f>IF(ISBLANK('Data Entry'!$¡$343), "", 'Data Entry'!$¡$343)</f>
      </c>
      <c r="CT343">
        <f>IF(ISBLANK('Data Entry'!$¢$343), "", 'Data Entry'!$¢$343)</f>
      </c>
      <c r="CU343">
        <f>IF(ISBLANK('Data Entry'!$£$343), "", 'Data Entry'!$£$343)</f>
      </c>
      <c r="CV343">
        <f>IF(ISBLANK('Data Entry'!$¤$343), "", 'Data Entry'!$¤$343)</f>
      </c>
      <c r="CW343">
        <f>IF(ISBLANK('Data Entry'!$¥$343), "", 'Data Entry'!$¥$343)</f>
      </c>
      <c r="CX343">
        <f>IF(ISBLANK('Data Entry'!$¦$343), "", 'Data Entry'!$¦$343)</f>
      </c>
      <c r="CY343">
        <f>IF(ISBLANK('Data Entry'!$§$343), "", 'Data Entry'!$§$343)</f>
      </c>
      <c r="CZ343">
        <f>IF(ISBLANK('Data Entry'!$¨$343), "", 'Data Entry'!$¨$343)</f>
      </c>
      <c r="DA343">
        <f>IF(ISBLANK('Data Entry'!$©$343), "", 'Data Entry'!$©$343)</f>
      </c>
      <c r="DB343">
        <f>IF(ISBLANK('Data Entry'!$ª$343), "", 'Data Entry'!$ª$343)</f>
      </c>
      <c r="DC343">
        <f>IF(ISBLANK('Data Entry'!$«$343), "", 'Data Entry'!$«$343)</f>
      </c>
      <c r="DD343">
        <f>IF(ISBLANK('Data Entry'!$¬$343), "", 'Data Entry'!$¬$343)</f>
      </c>
      <c r="DE343">
        <f>IF(ISBLANK('Data Entry'!$­$343), "", 'Data Entry'!$­$343)</f>
      </c>
      <c r="DF343">
        <f>IF(ISBLANK('Data Entry'!$®$343), "", 'Data Entry'!$®$343)</f>
      </c>
      <c r="DG343">
        <f>IF(ISBLANK('Data Entry'!$¯$343), "", 'Data Entry'!$¯$343)</f>
      </c>
      <c r="DH343">
        <f>IF(ISBLANK('Data Entry'!$°$343), "", 'Data Entry'!$°$343)</f>
      </c>
      <c r="DI343">
        <f>IF(ISBLANK('Data Entry'!$±$343), "", 'Data Entry'!$±$343)</f>
      </c>
      <c r="DJ343">
        <f>IF(ISBLANK('Data Entry'!$²$343), "", 'Data Entry'!$²$343)</f>
      </c>
      <c r="DK343">
        <f>IF(ISBLANK('Data Entry'!$³$343), "", 'Data Entry'!$³$343)</f>
      </c>
      <c r="DL343">
        <f>IF(ISBLANK('Data Entry'!$´$343), "", 'Data Entry'!$´$343)</f>
      </c>
      <c r="DM343">
        <f>IF(ISBLANK('Data Entry'!$µ$343), "", 'Data Entry'!$µ$343)</f>
      </c>
      <c r="DN343">
        <f>IF(ISBLANK('Data Entry'!$¶$343), "", 'Data Entry'!$¶$343)</f>
      </c>
      <c r="DO343">
        <f>IF(ISBLANK('Data Entry'!$·$343), "", 'Data Entry'!$·$343)</f>
      </c>
      <c r="DP343">
        <f>IF(ISBLANK('Data Entry'!$¸$343), "", 'Data Entry'!$¸$343)</f>
      </c>
      <c r="DQ343">
        <f>IF(ISBLANK('Data Entry'!$¹$343), "", 'Data Entry'!$¹$343)</f>
      </c>
      <c r="DR343">
        <f>IF(ISBLANK('Data Entry'!$º$343), "", 'Data Entry'!$º$343)</f>
      </c>
      <c r="DS343">
        <f>IF(ISBLANK('Data Entry'!$»$343), "", 'Data Entry'!$»$343)</f>
      </c>
      <c r="DT343">
        <f>IF(ISBLANK('Data Entry'!$¼$343), "", 'Data Entry'!$¼$343)</f>
      </c>
      <c r="DU343">
        <f>IF(ISBLANK('Data Entry'!$½$343), "", 'Data Entry'!$½$343)</f>
      </c>
      <c r="DV343">
        <f>IF(ISBLANK('Data Entry'!$¾$343), "", 'Data Entry'!$¾$343)</f>
      </c>
      <c r="DW343">
        <f>IF(ISBLANK('Data Entry'!$¿$343), "", 'Data Entry'!$¿$343)</f>
      </c>
      <c r="DX343">
        <f>IF(ISBLANK('Data Entry'!$À$343), "", 'Data Entry'!$À$343)</f>
      </c>
      <c r="DY343">
        <f>IF(ISBLANK('Data Entry'!$Á$343), "", 'Data Entry'!$Á$343)</f>
      </c>
      <c r="DZ343">
        <f>IF(ISBLANK('Data Entry'!$Â$343), "", 'Data Entry'!$Â$343)</f>
      </c>
      <c r="EA343">
        <f>IF(ISBLANK('Data Entry'!$Ã$343), "", 'Data Entry'!$Ã$343)</f>
      </c>
      <c r="EB343">
        <f>IF(ISBLANK('Data Entry'!$Ä$343), "", 'Data Entry'!$Ä$343)</f>
      </c>
      <c r="EC343">
        <f>IF(ISBLANK('Data Entry'!$Å$343), "", 'Data Entry'!$Å$343)</f>
      </c>
      <c r="ED343">
        <f>IF(ISBLANK('Data Entry'!$Æ$343), "", 'Data Entry'!$Æ$343)</f>
      </c>
      <c r="EE343">
        <f>IF(ISBLANK('Data Entry'!$Ç$343), "", 'Data Entry'!$Ç$343)</f>
      </c>
      <c r="EF343">
        <f>IF(ISBLANK('Data Entry'!$È$343), "", 'Data Entry'!$È$343)</f>
      </c>
      <c r="EG343">
        <f>IF(ISBLANK('Data Entry'!$É$343), "", 'Data Entry'!$É$343)</f>
      </c>
      <c r="EH343">
        <f>IF(ISBLANK('Data Entry'!$Ê$343), "", 'Data Entry'!$Ê$343)</f>
      </c>
      <c r="EI343">
        <f>IF(ISBLANK('Data Entry'!$Ë$343), "", 'Data Entry'!$Ë$343)</f>
      </c>
      <c r="EJ343">
        <f>IF(ISBLANK('Data Entry'!$Ì$343), "", 'Data Entry'!$Ì$343)</f>
      </c>
      <c r="EK343">
        <f>IF(ISBLANK('Data Entry'!$Í$343), "", 'Data Entry'!$Í$343)</f>
      </c>
      <c r="EL343">
        <f>IF(ISBLANK('Data Entry'!$Î$343), "", 'Data Entry'!$Î$343)</f>
      </c>
      <c r="EM343">
        <f>IF(ISBLANK('Data Entry'!$Ï$343), "", 'Data Entry'!$Ï$343)</f>
      </c>
      <c r="EN343">
        <f>IF(ISBLANK('Data Entry'!$Ð$343), "", 'Data Entry'!$Ð$343)</f>
      </c>
      <c r="EO343">
        <f>IF(ISBLANK('Data Entry'!$Ñ$343), "", 'Data Entry'!$Ñ$343)</f>
      </c>
      <c r="EP343">
        <f>IF(ISBLANK('Data Entry'!$Ò$343), "", 'Data Entry'!$Ò$343)</f>
      </c>
      <c r="EQ343">
        <f>IF(ISBLANK('Data Entry'!$Ó$343), "", 'Data Entry'!$Ó$343)</f>
      </c>
      <c r="ER343">
        <f>IF(ISBLANK('Data Entry'!$Ô$343), "", 'Data Entry'!$Ô$343)</f>
      </c>
      <c r="ES343">
        <f>IF(ISBLANK('Data Entry'!$Õ$343), "", 'Data Entry'!$Õ$343)</f>
      </c>
      <c r="ET343">
        <f>IF(ISBLANK('Data Entry'!$Ö$343), "", 'Data Entry'!$Ö$343)</f>
      </c>
      <c r="EU343">
        <f>IF(ISBLANK('Data Entry'!$×$343), "", 'Data Entry'!$×$343)</f>
      </c>
      <c r="EV343">
        <f>IF(ISBLANK('Data Entry'!$Ø$343), "", 'Data Entry'!$Ø$343)</f>
      </c>
      <c r="EW343">
        <f>IF(ISBLANK('Data Entry'!$Ù$343), "", 'Data Entry'!$Ù$343)</f>
      </c>
      <c r="EX343">
        <f>IF(ISBLANK('Data Entry'!$Ú$343), "", 'Data Entry'!$Ú$343)</f>
      </c>
      <c r="EY343">
        <f>IF(ISBLANK('Data Entry'!$Û$343), "", 'Data Entry'!$Û$343)</f>
      </c>
      <c r="EZ343">
        <f>IF(ISBLANK('Data Entry'!$Ü$343), "", 'Data Entry'!$Ü$343)</f>
      </c>
      <c r="FA343">
        <f>IF(ISBLANK('Data Entry'!$Ý$343), "", 'Data Entry'!$Ý$343)</f>
      </c>
      <c r="FB343">
        <f>IF(ISBLANK('Data Entry'!$Þ$343), "", 'Data Entry'!$Þ$343)</f>
      </c>
      <c r="FC343">
        <f>IF(ISBLANK('Data Entry'!$ß$343), "", 'Data Entry'!$ß$343)</f>
      </c>
      <c r="FD343">
        <f>IF(ISBLANK('Data Entry'!$à$343), "", 'Data Entry'!$à$343)</f>
      </c>
      <c r="FE343">
        <f>IF(ISBLANK('Data Entry'!$á$343), "", 'Data Entry'!$á$343)</f>
      </c>
      <c r="FF343">
        <f>IF(ISBLANK('Data Entry'!$â$343), "", 'Data Entry'!$â$343)</f>
      </c>
      <c r="FG343">
        <f>IF(ISBLANK('Data Entry'!$ã$343), "", 'Data Entry'!$ã$343)</f>
      </c>
      <c r="FH343">
        <f>IF(ISBLANK('Data Entry'!$ä$343), "", 'Data Entry'!$ä$343)</f>
      </c>
      <c r="FI343">
        <f>IF(ISBLANK('Data Entry'!$å$343), "", 'Data Entry'!$å$343)</f>
      </c>
      <c r="FJ343">
        <f>IF(ISBLANK('Data Entry'!$æ$343), "", 'Data Entry'!$æ$343)</f>
      </c>
      <c r="FK343">
        <f>IF(ISBLANK('Data Entry'!$ç$343), "", 'Data Entry'!$ç$343)</f>
      </c>
      <c r="FL343">
        <f>IF(ISBLANK('Data Entry'!$è$343), "", 'Data Entry'!$è$343)</f>
      </c>
      <c r="FM343">
        <f>IF(ISBLANK('Data Entry'!$é$343), "", 'Data Entry'!$é$343)</f>
      </c>
      <c r="FN343">
        <f>IF(ISBLANK('Data Entry'!$ê$343), "", 'Data Entry'!$ê$343)</f>
      </c>
      <c r="FO343">
        <f>IF(ISBLANK('Data Entry'!$ë$343), "", 'Data Entry'!$ë$343)</f>
      </c>
      <c r="FP343">
        <f>IF(ISBLANK('Data Entry'!$ì$343), "", 'Data Entry'!$ì$343)</f>
      </c>
      <c r="FQ343">
        <f>IF(ISBLANK('Data Entry'!$í$343), "", 'Data Entry'!$í$343)</f>
      </c>
      <c r="FR343">
        <f>IF(ISBLANK('Data Entry'!$î$343), "", 'Data Entry'!$î$343)</f>
      </c>
      <c r="FS343">
        <f>IF(ISBLANK('Data Entry'!$ï$343), "", 'Data Entry'!$ï$343)</f>
      </c>
      <c r="FT343">
        <f>IF(ISBLANK('Data Entry'!$ð$343), "", 'Data Entry'!$ð$343)</f>
      </c>
      <c r="FU343">
        <f>IF(ISBLANK('Data Entry'!$ñ$343), "", 'Data Entry'!$ñ$343)</f>
      </c>
      <c r="FV343">
        <f>IF(ISBLANK('Data Entry'!$ò$343), "", 'Data Entry'!$ò$343)</f>
      </c>
      <c r="FW343">
        <f>IF(ISBLANK('Data Entry'!$ó$343), "", 'Data Entry'!$ó$343)</f>
      </c>
      <c r="FX343">
        <f>IF(ISBLANK('Data Entry'!$ô$343), "", 'Data Entry'!$ô$343)</f>
      </c>
      <c r="FY343">
        <f>IF(ISBLANK('Data Entry'!$õ$343), "", 'Data Entry'!$õ$343)</f>
      </c>
      <c r="FZ343">
        <f>IF(ISBLANK('Data Entry'!$ö$343), "", 'Data Entry'!$ö$343)</f>
      </c>
      <c r="GA343">
        <f>IF(ISBLANK('Data Entry'!$÷$343), "", 'Data Entry'!$÷$343)</f>
      </c>
      <c r="GB343">
        <f>IF(ISBLANK('Data Entry'!$ø$343), "", 'Data Entry'!$ø$343)</f>
      </c>
      <c r="GC343">
        <f>IF(ISBLANK('Data Entry'!$ù$343), "", 'Data Entry'!$ù$343)</f>
      </c>
      <c r="GD343">
        <f>IF(ISBLANK('Data Entry'!$ú$343), "", 'Data Entry'!$ú$343)</f>
      </c>
      <c r="GE343">
        <f>IF(ISBLANK('Data Entry'!$û$343), "", 'Data Entry'!$û$343)</f>
      </c>
      <c r="GF343">
        <f>IF(ISBLANK('Data Entry'!$ü$343), "", 'Data Entry'!$ü$343)</f>
      </c>
      <c r="GG343">
        <f>IF(ISBLANK('Data Entry'!$ý$343), "", 'Data Entry'!$ý$343)</f>
      </c>
      <c r="GH343">
        <f>IF(ISBLANK('Data Entry'!$þ$343), "", 'Data Entry'!$þ$343)</f>
      </c>
      <c r="GI343">
        <f>IF(ISBLANK('Data Entry'!$ÿ$343), "", 'Data Entry'!$ÿ$343)</f>
      </c>
      <c r="GJ343">
        <f>IF(ISBLANK('Data Entry'!$Ā$343), "", 'Data Entry'!$Ā$343)</f>
      </c>
      <c r="GK343">
        <f>IF(ISBLANK('Data Entry'!$ā$343), "", 'Data Entry'!$ā$343)</f>
      </c>
      <c r="GL343">
        <f>IF(ISBLANK('Data Entry'!$Ă$343), "", 'Data Entry'!$Ă$343)</f>
      </c>
      <c r="GM343">
        <f>IF(ISBLANK('Data Entry'!$ă$343), "", 'Data Entry'!$ă$343)</f>
      </c>
      <c r="GN343">
        <f>IF(ISBLANK('Data Entry'!$Ą$343), "", 'Data Entry'!$Ą$343)</f>
      </c>
      <c r="GO343">
        <f>IF(ISBLANK('Data Entry'!$ą$343), "", 'Data Entry'!$ą$343)</f>
      </c>
      <c r="GP343">
        <f>IF(ISBLANK('Data Entry'!$Ć$343), "", 'Data Entry'!$Ć$343)</f>
      </c>
      <c r="GQ343">
        <f>IF(ISBLANK('Data Entry'!$ć$343), "", 'Data Entry'!$ć$343)</f>
      </c>
      <c r="GR343">
        <f>IF(ISBLANK('Data Entry'!$Ĉ$343), "", 'Data Entry'!$Ĉ$343)</f>
      </c>
      <c r="GS343">
        <f>IF(ISBLANK('Data Entry'!$ĉ$343), "", 'Data Entry'!$ĉ$343)</f>
      </c>
      <c r="GT343">
        <f>IF(ISBLANK('Data Entry'!$Ċ$343), "", 'Data Entry'!$Ċ$343)</f>
      </c>
      <c r="GU343">
        <f>IF(ISBLANK('Data Entry'!$ċ$343), "", 'Data Entry'!$ċ$343)</f>
      </c>
      <c r="GV343">
        <f>IF(ISBLANK('Data Entry'!$Č$343), "", 'Data Entry'!$Č$343)</f>
      </c>
      <c r="GW343">
        <f>IF(ISBLANK('Data Entry'!$č$343), "", 'Data Entry'!$č$343)</f>
      </c>
      <c r="GX343">
        <f>IF(ISBLANK('Data Entry'!$Ď$343), "", 'Data Entry'!$Ď$343)</f>
      </c>
      <c r="GY343">
        <f>IF(ISBLANK('Data Entry'!$ď$343), "", 'Data Entry'!$ď$343)</f>
      </c>
      <c r="GZ343">
        <f>IF(ISBLANK('Data Entry'!$Đ$343), "", 'Data Entry'!$Đ$343)</f>
      </c>
      <c r="HA343">
        <f>IF(ISBLANK('Data Entry'!$đ$343), "", 'Data Entry'!$đ$343)</f>
      </c>
      <c r="HB343">
        <f>IF(ISBLANK('Data Entry'!$Ē$343), "", 'Data Entry'!$Ē$343)</f>
      </c>
      <c r="HC343">
        <f>IF(ISBLANK('Data Entry'!$ē$343), "", 'Data Entry'!$ē$343)</f>
      </c>
      <c r="HD343">
        <f>IF(ISBLANK('Data Entry'!$Ĕ$343), "", 'Data Entry'!$Ĕ$343)</f>
      </c>
      <c r="HE343">
        <f>IF(ISBLANK('Data Entry'!$ĕ$343), "", 'Data Entry'!$ĕ$343)</f>
      </c>
      <c r="HF343">
        <f>IF(ISBLANK('Data Entry'!$Ė$343), "", 'Data Entry'!$Ė$343)</f>
      </c>
      <c r="HG343">
        <f>IF(ISBLANK('Data Entry'!$ė$343), "", 'Data Entry'!$ė$343)</f>
      </c>
      <c r="HH343">
        <f>IF(ISBLANK('Data Entry'!$Ę$343), "", 'Data Entry'!$Ę$343)</f>
      </c>
      <c r="HI343">
        <f>IF(ISBLANK('Data Entry'!$ę$343), "", 'Data Entry'!$ę$343)</f>
      </c>
      <c r="HJ343">
        <f>IF(ISBLANK('Data Entry'!$Ě$343), "", 'Data Entry'!$Ě$343)</f>
      </c>
      <c r="HK343">
        <f>IF(ISBLANK('Data Entry'!$ě$343), "", 'Data Entry'!$ě$343)</f>
      </c>
      <c r="HL343">
        <f>IF(ISBLANK('Data Entry'!$Ĝ$343), "", 'Data Entry'!$Ĝ$343)</f>
      </c>
      <c r="HM343">
        <f>IF(ISBLANK('Data Entry'!$ĝ$343), "", 'Data Entry'!$ĝ$343)</f>
      </c>
      <c r="HN343">
        <f>IF(ISBLANK('Data Entry'!$Ğ$343), "", 'Data Entry'!$Ğ$343)</f>
      </c>
      <c r="HO343">
        <f>IF(ISBLANK('Data Entry'!$ğ$343), "", 'Data Entry'!$ğ$343)</f>
      </c>
      <c r="HP343">
        <f>IF(ISBLANK('Data Entry'!$Ġ$343), "", 'Data Entry'!$Ġ$343)</f>
      </c>
      <c r="HQ343">
        <f>IF(ISBLANK('Data Entry'!$ġ$343), "", 'Data Entry'!$ġ$343)</f>
      </c>
      <c r="HR343">
        <f>IF(ISBLANK('Data Entry'!$Ģ$343), "", 'Data Entry'!$Ģ$343)</f>
      </c>
      <c r="HS343">
        <f>IF(ISBLANK('Data Entry'!$ģ$343), "", 'Data Entry'!$ģ$343)</f>
      </c>
      <c r="HT343">
        <f>IF(ISBLANK('Data Entry'!$Ĥ$343), "", 'Data Entry'!$Ĥ$343)</f>
      </c>
      <c r="HU343">
        <f>IF(ISBLANK('Data Entry'!$ĥ$343), "", 'Data Entry'!$ĥ$343)</f>
      </c>
      <c r="HV343">
        <f>IF(ISBLANK('Data Entry'!$Ħ$343), "", 'Data Entry'!$Ħ$343)</f>
      </c>
      <c r="HW343">
        <f>IF(ISBLANK('Data Entry'!$ħ$343), "", 'Data Entry'!$ħ$343)</f>
      </c>
      <c r="HX343">
        <f>IF(ISBLANK('Data Entry'!$Ĩ$343), "", 'Data Entry'!$Ĩ$343)</f>
      </c>
      <c r="HY343">
        <f>IF(ISBLANK('Data Entry'!$ĩ$343), "", 'Data Entry'!$ĩ$343)</f>
      </c>
      <c r="HZ343">
        <f>IF(ISBLANK('Data Entry'!$Ī$343), "", 'Data Entry'!$Ī$343)</f>
      </c>
      <c r="IA343">
        <f>IF(ISBLANK('Data Entry'!$ī$343), "", 'Data Entry'!$ī$343)</f>
      </c>
      <c r="IB343">
        <f>IF(ISBLANK('Data Entry'!$Ĭ$343), "", 'Data Entry'!$Ĭ$343)</f>
      </c>
      <c r="IC343">
        <f>IF(ISBLANK('Data Entry'!$ĭ$343), "", 'Data Entry'!$ĭ$343)</f>
      </c>
      <c r="ID343">
        <f>IF(ISBLANK('Data Entry'!$Į$343), "", 'Data Entry'!$Į$343)</f>
      </c>
      <c r="IE343">
        <f>IF(ISBLANK('Data Entry'!$į$343), "", 'Data Entry'!$į$343)</f>
      </c>
      <c r="IF343">
        <f>IF(ISBLANK('Data Entry'!$İ$343), "", 'Data Entry'!$İ$343)</f>
      </c>
      <c r="IG343">
        <f>IF(ISBLANK('Data Entry'!$ı$343), "", 'Data Entry'!$ı$343)</f>
      </c>
      <c r="IH343">
        <f>IF(ISBLANK('Data Entry'!$Ĳ$343), "", 'Data Entry'!$Ĳ$343)</f>
      </c>
      <c r="II343">
        <f>IF(ISBLANK('Data Entry'!$ĳ$343), "", 'Data Entry'!$ĳ$343)</f>
      </c>
      <c r="IJ343">
        <f>IF(ISBLANK('Data Entry'!$Ĵ$343), "", 'Data Entry'!$Ĵ$343)</f>
      </c>
      <c r="IK343">
        <f>IF(ISBLANK('Data Entry'!$ĵ$343), "", 'Data Entry'!$ĵ$343)</f>
      </c>
      <c r="IL343">
        <f>IF(ISBLANK('Data Entry'!$Ķ$343), "", 'Data Entry'!$Ķ$343)</f>
      </c>
      <c r="IM343">
        <f>IF(ISBLANK('Data Entry'!$ķ$343), "", 'Data Entry'!$ķ$343)</f>
      </c>
      <c r="IN343">
        <f>IF(ISBLANK('Data Entry'!$ĸ$343), "", 'Data Entry'!$ĸ$343)</f>
      </c>
      <c r="IO343">
        <f>IF(ISBLANK('Data Entry'!$Ĺ$343), "", 'Data Entry'!$Ĺ$343)</f>
      </c>
      <c r="IP343">
        <f>IF(ISBLANK('Data Entry'!$ĺ$343), "", 'Data Entry'!$ĺ$343)</f>
      </c>
      <c r="IQ343">
        <f>IF(ISBLANK('Data Entry'!$Ļ$343), "", 'Data Entry'!$Ļ$343)</f>
      </c>
      <c r="IR343">
        <f>IF(ISBLANK('Data Entry'!$ļ$343), "", 'Data Entry'!$ļ$343)</f>
      </c>
      <c r="IS343">
        <f>IF(ISBLANK('Data Entry'!$Ľ$343), "", 'Data Entry'!$Ľ$343)</f>
      </c>
      <c r="IT343">
        <f>IF(ISBLANK('Data Entry'!$ľ$343), "", 'Data Entry'!$ľ$343)</f>
      </c>
    </row>
    <row r="344" spans="1:254" x14ac:dyDescent="0.25">
      <c r="A344">
        <f>IF(ISBLANK('Data Entry'!$A$344), "", 'Data Entry'!$A$344)</f>
      </c>
      <c r="B344">
        <f>IF(ISBLANK('Data Entry'!$B$344), "", 'Data Entry'!$B$344)</f>
      </c>
      <c r="C344">
        <f>IF(ISBLANK('Data Entry'!$C$344), "", 'Data Entry'!$C$344)</f>
      </c>
      <c r="D344">
        <f>IF(ISBLANK('Data Entry'!$D$344), "", 'Data Entry'!$D$344)</f>
      </c>
      <c r="E344">
        <f>IF(ISBLANK('Data Entry'!$E$344), "", 'Data Entry'!$E$344)</f>
      </c>
      <c r="F344">
        <f>IF(ISBLANK('Data Entry'!$F$344), "", 'Data Entry'!$F$344)</f>
      </c>
      <c r="G344">
        <f>IF(ISBLANK('Data Entry'!$G$344), "", 'Data Entry'!$G$344)</f>
      </c>
      <c r="H344">
        <f>IF(ISBLANK('Data Entry'!$H$344), "", 'Data Entry'!$H$344)</f>
      </c>
      <c r="I344">
        <f>IF(ISBLANK('Data Entry'!$I$344), "", 'Data Entry'!$I$344)</f>
      </c>
      <c r="J344">
        <f>IF(ISBLANK('Data Entry'!$J$344), "", 'Data Entry'!$J$344)</f>
      </c>
      <c r="K344">
        <f>IF(ISBLANK('Data Entry'!$K$344), "", 'Data Entry'!$K$344)</f>
      </c>
      <c r="L344">
        <f>IF(ISBLANK('Data Entry'!$L$344), "", 'Data Entry'!$L$344)</f>
      </c>
      <c r="M344">
        <f>IF(ISBLANK('Data Entry'!$M$344), "", 'Data Entry'!$M$344)</f>
      </c>
      <c r="N344">
        <f>IF(ISBLANK('Data Entry'!$N$344), "", 'Data Entry'!$N$344)</f>
      </c>
      <c r="O344">
        <f>IF(ISBLANK('Data Entry'!$O$344), "", 'Data Entry'!$O$344)</f>
      </c>
      <c r="P344">
        <f>IF(ISBLANK('Data Entry'!$P$344), "", 'Data Entry'!$P$344)</f>
      </c>
      <c r="Q344">
        <f>IF(ISBLANK('Data Entry'!$Q$344), "", 'Data Entry'!$Q$344)</f>
      </c>
      <c r="R344">
        <f>IF(ISBLANK('Data Entry'!$R$344), "", 'Data Entry'!$R$344)</f>
      </c>
      <c r="S344">
        <f>IF(ISBLANK('Data Entry'!$S$344), "", 'Data Entry'!$S$344)</f>
      </c>
      <c r="T344">
        <f>IF(ISBLANK('Data Entry'!$T$344), "", 'Data Entry'!$T$344)</f>
      </c>
      <c r="U344">
        <f>IF(ISBLANK('Data Entry'!$U$344), "", 'Data Entry'!$U$344)</f>
      </c>
      <c r="V344">
        <f>IF(ISBLANK('Data Entry'!$V$344), "", 'Data Entry'!$V$344)</f>
      </c>
      <c r="W344">
        <f>IF(ISBLANK('Data Entry'!$W$344), "", 'Data Entry'!$W$344)</f>
      </c>
      <c r="X344">
        <f>IF(ISBLANK('Data Entry'!$X$344), "", 'Data Entry'!$X$344)</f>
      </c>
      <c r="Y344">
        <f>IF(ISBLANK('Data Entry'!$Y$344), "", 'Data Entry'!$Y$344)</f>
      </c>
      <c r="Z344">
        <f>IF(ISBLANK('Data Entry'!$Z$344), "", 'Data Entry'!$Z$344)</f>
      </c>
      <c r="AA344">
        <f>IF(ISBLANK('Data Entry'!$[$344), "", 'Data Entry'!$[$344)</f>
      </c>
      <c r="AB344">
        <f>IF(ISBLANK('Data Entry'!$\$344), "", 'Data Entry'!$\$344)</f>
      </c>
      <c r="AC344">
        <f>IF(ISBLANK('Data Entry'!$]$344), "", 'Data Entry'!$]$344)</f>
      </c>
      <c r="AD344">
        <f>IF(ISBLANK('Data Entry'!$^$344), "", 'Data Entry'!$^$344)</f>
      </c>
      <c r="AE344">
        <f>IF(ISBLANK('Data Entry'!$_$344), "", 'Data Entry'!$_$344)</f>
      </c>
      <c r="AF344">
        <f>IF(ISBLANK('Data Entry'!$`$344), "", 'Data Entry'!$`$344)</f>
      </c>
      <c r="AG344">
        <f>IF(ISBLANK('Data Entry'!$a$344), "", 'Data Entry'!$a$344)</f>
      </c>
      <c r="AH344">
        <f>IF(ISBLANK('Data Entry'!$b$344), "", 'Data Entry'!$b$344)</f>
      </c>
      <c r="AI344">
        <f>IF(ISBLANK('Data Entry'!$c$344), "", 'Data Entry'!$c$344)</f>
      </c>
      <c r="AJ344">
        <f>IF(ISBLANK('Data Entry'!$d$344), "", 'Data Entry'!$d$344)</f>
      </c>
      <c r="AK344">
        <f>IF(ISBLANK('Data Entry'!$e$344), "", 'Data Entry'!$e$344)</f>
      </c>
      <c r="AL344">
        <f>IF(ISBLANK('Data Entry'!$f$344), "", 'Data Entry'!$f$344)</f>
      </c>
      <c r="AM344">
        <f>IF(ISBLANK('Data Entry'!$g$344), "", 'Data Entry'!$g$344)</f>
      </c>
      <c r="AN344">
        <f>IF(ISBLANK('Data Entry'!$h$344), "", 'Data Entry'!$h$344)</f>
      </c>
      <c r="AO344">
        <f>IF(ISBLANK('Data Entry'!$i$344), "", 'Data Entry'!$i$344)</f>
      </c>
      <c r="AP344">
        <f>IF(ISBLANK('Data Entry'!$j$344), "", 'Data Entry'!$j$344)</f>
      </c>
      <c r="AQ344">
        <f>IF(ISBLANK('Data Entry'!$k$344), "", 'Data Entry'!$k$344)</f>
      </c>
      <c r="AR344">
        <f>IF(ISBLANK('Data Entry'!$l$344), "", 'Data Entry'!$l$344)</f>
      </c>
      <c r="AS344">
        <f>IF(ISBLANK('Data Entry'!$m$344), "", 'Data Entry'!$m$344)</f>
      </c>
      <c r="AT344">
        <f>IF(ISBLANK('Data Entry'!$n$344), "", 'Data Entry'!$n$344)</f>
      </c>
      <c r="AU344">
        <f>IF(ISBLANK('Data Entry'!$o$344), "", 'Data Entry'!$o$344)</f>
      </c>
      <c r="AV344">
        <f>IF(ISBLANK('Data Entry'!$p$344), "", 'Data Entry'!$p$344)</f>
      </c>
      <c r="AW344">
        <f>IF(ISBLANK('Data Entry'!$q$344), "", 'Data Entry'!$q$344)</f>
      </c>
      <c r="AX344">
        <f>IF(ISBLANK('Data Entry'!$r$344), "", 'Data Entry'!$r$344)</f>
      </c>
      <c r="AY344">
        <f>IF(ISBLANK('Data Entry'!$s$344), "", 'Data Entry'!$s$344)</f>
      </c>
      <c r="AZ344">
        <f>IF(ISBLANK('Data Entry'!$t$344), "", 'Data Entry'!$t$344)</f>
      </c>
      <c r="BA344">
        <f>IF(ISBLANK('Data Entry'!$u$344), "", 'Data Entry'!$u$344)</f>
      </c>
      <c r="BB344">
        <f>IF(ISBLANK('Data Entry'!$v$344), "", 'Data Entry'!$v$344)</f>
      </c>
      <c r="BC344">
        <f>IF(ISBLANK('Data Entry'!$w$344), "", 'Data Entry'!$w$344)</f>
      </c>
      <c r="BD344">
        <f>IF(ISBLANK('Data Entry'!$x$344), "", 'Data Entry'!$x$344)</f>
      </c>
      <c r="BE344">
        <f>IF(ISBLANK('Data Entry'!$y$344), "", 'Data Entry'!$y$344)</f>
      </c>
      <c r="BF344">
        <f>IF(ISBLANK('Data Entry'!$z$344), "", 'Data Entry'!$z$344)</f>
      </c>
      <c r="BG344">
        <f>IF(ISBLANK('Data Entry'!${$344), "", 'Data Entry'!${$344)</f>
      </c>
      <c r="BH344">
        <f>IF(ISBLANK('Data Entry'!$|$344), "", 'Data Entry'!$|$344)</f>
      </c>
      <c r="BI344">
        <f>IF(ISBLANK('Data Entry'!$}$344), "", 'Data Entry'!$}$344)</f>
      </c>
      <c r="BJ344">
        <f>IF(ISBLANK('Data Entry'!$~$344), "", 'Data Entry'!$~$344)</f>
      </c>
      <c r="BK344">
        <f>IF(ISBLANK('Data Entry'!$$344), "", 'Data Entry'!$$344)</f>
      </c>
      <c r="BL344">
        <f>IF(ISBLANK('Data Entry'!$$344), "", 'Data Entry'!$$344)</f>
      </c>
      <c r="BM344">
        <f>IF(ISBLANK('Data Entry'!$$344), "", 'Data Entry'!$$344)</f>
      </c>
      <c r="BN344">
        <f>IF(ISBLANK('Data Entry'!$$344), "", 'Data Entry'!$$344)</f>
      </c>
      <c r="BO344">
        <f>IF(ISBLANK('Data Entry'!$$344), "", 'Data Entry'!$$344)</f>
      </c>
      <c r="BP344">
        <f>IF(ISBLANK('Data Entry'!$$344), "", 'Data Entry'!$$344)</f>
      </c>
      <c r="BQ344">
        <f>IF(ISBLANK('Data Entry'!$$344), "", 'Data Entry'!$$344)</f>
      </c>
      <c r="BR344">
        <f>IF(ISBLANK('Data Entry'!$$344), "", 'Data Entry'!$$344)</f>
      </c>
      <c r="BS344">
        <f>IF(ISBLANK('Data Entry'!$$344), "", 'Data Entry'!$$344)</f>
      </c>
      <c r="BT344">
        <f>IF(ISBLANK('Data Entry'!$$344), "", 'Data Entry'!$$344)</f>
      </c>
      <c r="BU344">
        <f>IF(ISBLANK('Data Entry'!$$344), "", 'Data Entry'!$$344)</f>
      </c>
      <c r="BV344">
        <f>IF(ISBLANK('Data Entry'!$$344), "", 'Data Entry'!$$344)</f>
      </c>
      <c r="BW344">
        <f>IF(ISBLANK('Data Entry'!$$344), "", 'Data Entry'!$$344)</f>
      </c>
      <c r="BX344">
        <f>IF(ISBLANK('Data Entry'!$$344), "", 'Data Entry'!$$344)</f>
      </c>
      <c r="BY344">
        <f>IF(ISBLANK('Data Entry'!$$344), "", 'Data Entry'!$$344)</f>
      </c>
      <c r="BZ344">
        <f>IF(ISBLANK('Data Entry'!$$344), "", 'Data Entry'!$$344)</f>
      </c>
      <c r="CA344">
        <f>IF(ISBLANK('Data Entry'!$$344), "", 'Data Entry'!$$344)</f>
      </c>
      <c r="CB344">
        <f>IF(ISBLANK('Data Entry'!$$344), "", 'Data Entry'!$$344)</f>
      </c>
      <c r="CC344">
        <f>IF(ISBLANK('Data Entry'!$$344), "", 'Data Entry'!$$344)</f>
      </c>
      <c r="CD344">
        <f>IF(ISBLANK('Data Entry'!$$344), "", 'Data Entry'!$$344)</f>
      </c>
      <c r="CE344">
        <f>IF(ISBLANK('Data Entry'!$$344), "", 'Data Entry'!$$344)</f>
      </c>
      <c r="CF344">
        <f>IF(ISBLANK('Data Entry'!$$344), "", 'Data Entry'!$$344)</f>
      </c>
      <c r="CG344">
        <f>IF(ISBLANK('Data Entry'!$$344), "", 'Data Entry'!$$344)</f>
      </c>
      <c r="CH344">
        <f>IF(ISBLANK('Data Entry'!$$344), "", 'Data Entry'!$$344)</f>
      </c>
      <c r="CI344">
        <f>IF(ISBLANK('Data Entry'!$$344), "", 'Data Entry'!$$344)</f>
      </c>
      <c r="CJ344">
        <f>IF(ISBLANK('Data Entry'!$$344), "", 'Data Entry'!$$344)</f>
      </c>
      <c r="CK344">
        <f>IF(ISBLANK('Data Entry'!$$344), "", 'Data Entry'!$$344)</f>
      </c>
      <c r="CL344">
        <f>IF(ISBLANK('Data Entry'!$$344), "", 'Data Entry'!$$344)</f>
      </c>
      <c r="CM344">
        <f>IF(ISBLANK('Data Entry'!$$344), "", 'Data Entry'!$$344)</f>
      </c>
      <c r="CN344">
        <f>IF(ISBLANK('Data Entry'!$$344), "", 'Data Entry'!$$344)</f>
      </c>
      <c r="CO344">
        <f>IF(ISBLANK('Data Entry'!$$344), "", 'Data Entry'!$$344)</f>
      </c>
      <c r="CP344">
        <f>IF(ISBLANK('Data Entry'!$$344), "", 'Data Entry'!$$344)</f>
      </c>
      <c r="CQ344">
        <f>IF(ISBLANK('Data Entry'!$$344), "", 'Data Entry'!$$344)</f>
      </c>
      <c r="CR344">
        <f>IF(ISBLANK('Data Entry'!$ $344), "", 'Data Entry'!$ $344)</f>
      </c>
      <c r="CS344">
        <f>IF(ISBLANK('Data Entry'!$¡$344), "", 'Data Entry'!$¡$344)</f>
      </c>
      <c r="CT344">
        <f>IF(ISBLANK('Data Entry'!$¢$344), "", 'Data Entry'!$¢$344)</f>
      </c>
      <c r="CU344">
        <f>IF(ISBLANK('Data Entry'!$£$344), "", 'Data Entry'!$£$344)</f>
      </c>
      <c r="CV344">
        <f>IF(ISBLANK('Data Entry'!$¤$344), "", 'Data Entry'!$¤$344)</f>
      </c>
      <c r="CW344">
        <f>IF(ISBLANK('Data Entry'!$¥$344), "", 'Data Entry'!$¥$344)</f>
      </c>
      <c r="CX344">
        <f>IF(ISBLANK('Data Entry'!$¦$344), "", 'Data Entry'!$¦$344)</f>
      </c>
      <c r="CY344">
        <f>IF(ISBLANK('Data Entry'!$§$344), "", 'Data Entry'!$§$344)</f>
      </c>
      <c r="CZ344">
        <f>IF(ISBLANK('Data Entry'!$¨$344), "", 'Data Entry'!$¨$344)</f>
      </c>
      <c r="DA344">
        <f>IF(ISBLANK('Data Entry'!$©$344), "", 'Data Entry'!$©$344)</f>
      </c>
      <c r="DB344">
        <f>IF(ISBLANK('Data Entry'!$ª$344), "", 'Data Entry'!$ª$344)</f>
      </c>
      <c r="DC344">
        <f>IF(ISBLANK('Data Entry'!$«$344), "", 'Data Entry'!$«$344)</f>
      </c>
      <c r="DD344">
        <f>IF(ISBLANK('Data Entry'!$¬$344), "", 'Data Entry'!$¬$344)</f>
      </c>
      <c r="DE344">
        <f>IF(ISBLANK('Data Entry'!$­$344), "", 'Data Entry'!$­$344)</f>
      </c>
      <c r="DF344">
        <f>IF(ISBLANK('Data Entry'!$®$344), "", 'Data Entry'!$®$344)</f>
      </c>
      <c r="DG344">
        <f>IF(ISBLANK('Data Entry'!$¯$344), "", 'Data Entry'!$¯$344)</f>
      </c>
      <c r="DH344">
        <f>IF(ISBLANK('Data Entry'!$°$344), "", 'Data Entry'!$°$344)</f>
      </c>
      <c r="DI344">
        <f>IF(ISBLANK('Data Entry'!$±$344), "", 'Data Entry'!$±$344)</f>
      </c>
      <c r="DJ344">
        <f>IF(ISBLANK('Data Entry'!$²$344), "", 'Data Entry'!$²$344)</f>
      </c>
      <c r="DK344">
        <f>IF(ISBLANK('Data Entry'!$³$344), "", 'Data Entry'!$³$344)</f>
      </c>
      <c r="DL344">
        <f>IF(ISBLANK('Data Entry'!$´$344), "", 'Data Entry'!$´$344)</f>
      </c>
      <c r="DM344">
        <f>IF(ISBLANK('Data Entry'!$µ$344), "", 'Data Entry'!$µ$344)</f>
      </c>
      <c r="DN344">
        <f>IF(ISBLANK('Data Entry'!$¶$344), "", 'Data Entry'!$¶$344)</f>
      </c>
      <c r="DO344">
        <f>IF(ISBLANK('Data Entry'!$·$344), "", 'Data Entry'!$·$344)</f>
      </c>
      <c r="DP344">
        <f>IF(ISBLANK('Data Entry'!$¸$344), "", 'Data Entry'!$¸$344)</f>
      </c>
      <c r="DQ344">
        <f>IF(ISBLANK('Data Entry'!$¹$344), "", 'Data Entry'!$¹$344)</f>
      </c>
      <c r="DR344">
        <f>IF(ISBLANK('Data Entry'!$º$344), "", 'Data Entry'!$º$344)</f>
      </c>
      <c r="DS344">
        <f>IF(ISBLANK('Data Entry'!$»$344), "", 'Data Entry'!$»$344)</f>
      </c>
      <c r="DT344">
        <f>IF(ISBLANK('Data Entry'!$¼$344), "", 'Data Entry'!$¼$344)</f>
      </c>
      <c r="DU344">
        <f>IF(ISBLANK('Data Entry'!$½$344), "", 'Data Entry'!$½$344)</f>
      </c>
      <c r="DV344">
        <f>IF(ISBLANK('Data Entry'!$¾$344), "", 'Data Entry'!$¾$344)</f>
      </c>
      <c r="DW344">
        <f>IF(ISBLANK('Data Entry'!$¿$344), "", 'Data Entry'!$¿$344)</f>
      </c>
      <c r="DX344">
        <f>IF(ISBLANK('Data Entry'!$À$344), "", 'Data Entry'!$À$344)</f>
      </c>
      <c r="DY344">
        <f>IF(ISBLANK('Data Entry'!$Á$344), "", 'Data Entry'!$Á$344)</f>
      </c>
      <c r="DZ344">
        <f>IF(ISBLANK('Data Entry'!$Â$344), "", 'Data Entry'!$Â$344)</f>
      </c>
      <c r="EA344">
        <f>IF(ISBLANK('Data Entry'!$Ã$344), "", 'Data Entry'!$Ã$344)</f>
      </c>
      <c r="EB344">
        <f>IF(ISBLANK('Data Entry'!$Ä$344), "", 'Data Entry'!$Ä$344)</f>
      </c>
      <c r="EC344">
        <f>IF(ISBLANK('Data Entry'!$Å$344), "", 'Data Entry'!$Å$344)</f>
      </c>
      <c r="ED344">
        <f>IF(ISBLANK('Data Entry'!$Æ$344), "", 'Data Entry'!$Æ$344)</f>
      </c>
      <c r="EE344">
        <f>IF(ISBLANK('Data Entry'!$Ç$344), "", 'Data Entry'!$Ç$344)</f>
      </c>
      <c r="EF344">
        <f>IF(ISBLANK('Data Entry'!$È$344), "", 'Data Entry'!$È$344)</f>
      </c>
      <c r="EG344">
        <f>IF(ISBLANK('Data Entry'!$É$344), "", 'Data Entry'!$É$344)</f>
      </c>
      <c r="EH344">
        <f>IF(ISBLANK('Data Entry'!$Ê$344), "", 'Data Entry'!$Ê$344)</f>
      </c>
      <c r="EI344">
        <f>IF(ISBLANK('Data Entry'!$Ë$344), "", 'Data Entry'!$Ë$344)</f>
      </c>
      <c r="EJ344">
        <f>IF(ISBLANK('Data Entry'!$Ì$344), "", 'Data Entry'!$Ì$344)</f>
      </c>
      <c r="EK344">
        <f>IF(ISBLANK('Data Entry'!$Í$344), "", 'Data Entry'!$Í$344)</f>
      </c>
      <c r="EL344">
        <f>IF(ISBLANK('Data Entry'!$Î$344), "", 'Data Entry'!$Î$344)</f>
      </c>
      <c r="EM344">
        <f>IF(ISBLANK('Data Entry'!$Ï$344), "", 'Data Entry'!$Ï$344)</f>
      </c>
      <c r="EN344">
        <f>IF(ISBLANK('Data Entry'!$Ð$344), "", 'Data Entry'!$Ð$344)</f>
      </c>
      <c r="EO344">
        <f>IF(ISBLANK('Data Entry'!$Ñ$344), "", 'Data Entry'!$Ñ$344)</f>
      </c>
      <c r="EP344">
        <f>IF(ISBLANK('Data Entry'!$Ò$344), "", 'Data Entry'!$Ò$344)</f>
      </c>
      <c r="EQ344">
        <f>IF(ISBLANK('Data Entry'!$Ó$344), "", 'Data Entry'!$Ó$344)</f>
      </c>
      <c r="ER344">
        <f>IF(ISBLANK('Data Entry'!$Ô$344), "", 'Data Entry'!$Ô$344)</f>
      </c>
      <c r="ES344">
        <f>IF(ISBLANK('Data Entry'!$Õ$344), "", 'Data Entry'!$Õ$344)</f>
      </c>
      <c r="ET344">
        <f>IF(ISBLANK('Data Entry'!$Ö$344), "", 'Data Entry'!$Ö$344)</f>
      </c>
      <c r="EU344">
        <f>IF(ISBLANK('Data Entry'!$×$344), "", 'Data Entry'!$×$344)</f>
      </c>
      <c r="EV344">
        <f>IF(ISBLANK('Data Entry'!$Ø$344), "", 'Data Entry'!$Ø$344)</f>
      </c>
      <c r="EW344">
        <f>IF(ISBLANK('Data Entry'!$Ù$344), "", 'Data Entry'!$Ù$344)</f>
      </c>
      <c r="EX344">
        <f>IF(ISBLANK('Data Entry'!$Ú$344), "", 'Data Entry'!$Ú$344)</f>
      </c>
      <c r="EY344">
        <f>IF(ISBLANK('Data Entry'!$Û$344), "", 'Data Entry'!$Û$344)</f>
      </c>
      <c r="EZ344">
        <f>IF(ISBLANK('Data Entry'!$Ü$344), "", 'Data Entry'!$Ü$344)</f>
      </c>
      <c r="FA344">
        <f>IF(ISBLANK('Data Entry'!$Ý$344), "", 'Data Entry'!$Ý$344)</f>
      </c>
      <c r="FB344">
        <f>IF(ISBLANK('Data Entry'!$Þ$344), "", 'Data Entry'!$Þ$344)</f>
      </c>
      <c r="FC344">
        <f>IF(ISBLANK('Data Entry'!$ß$344), "", 'Data Entry'!$ß$344)</f>
      </c>
      <c r="FD344">
        <f>IF(ISBLANK('Data Entry'!$à$344), "", 'Data Entry'!$à$344)</f>
      </c>
      <c r="FE344">
        <f>IF(ISBLANK('Data Entry'!$á$344), "", 'Data Entry'!$á$344)</f>
      </c>
      <c r="FF344">
        <f>IF(ISBLANK('Data Entry'!$â$344), "", 'Data Entry'!$â$344)</f>
      </c>
      <c r="FG344">
        <f>IF(ISBLANK('Data Entry'!$ã$344), "", 'Data Entry'!$ã$344)</f>
      </c>
      <c r="FH344">
        <f>IF(ISBLANK('Data Entry'!$ä$344), "", 'Data Entry'!$ä$344)</f>
      </c>
      <c r="FI344">
        <f>IF(ISBLANK('Data Entry'!$å$344), "", 'Data Entry'!$å$344)</f>
      </c>
      <c r="FJ344">
        <f>IF(ISBLANK('Data Entry'!$æ$344), "", 'Data Entry'!$æ$344)</f>
      </c>
      <c r="FK344">
        <f>IF(ISBLANK('Data Entry'!$ç$344), "", 'Data Entry'!$ç$344)</f>
      </c>
      <c r="FL344">
        <f>IF(ISBLANK('Data Entry'!$è$344), "", 'Data Entry'!$è$344)</f>
      </c>
      <c r="FM344">
        <f>IF(ISBLANK('Data Entry'!$é$344), "", 'Data Entry'!$é$344)</f>
      </c>
      <c r="FN344">
        <f>IF(ISBLANK('Data Entry'!$ê$344), "", 'Data Entry'!$ê$344)</f>
      </c>
      <c r="FO344">
        <f>IF(ISBLANK('Data Entry'!$ë$344), "", 'Data Entry'!$ë$344)</f>
      </c>
      <c r="FP344">
        <f>IF(ISBLANK('Data Entry'!$ì$344), "", 'Data Entry'!$ì$344)</f>
      </c>
      <c r="FQ344">
        <f>IF(ISBLANK('Data Entry'!$í$344), "", 'Data Entry'!$í$344)</f>
      </c>
      <c r="FR344">
        <f>IF(ISBLANK('Data Entry'!$î$344), "", 'Data Entry'!$î$344)</f>
      </c>
      <c r="FS344">
        <f>IF(ISBLANK('Data Entry'!$ï$344), "", 'Data Entry'!$ï$344)</f>
      </c>
      <c r="FT344">
        <f>IF(ISBLANK('Data Entry'!$ð$344), "", 'Data Entry'!$ð$344)</f>
      </c>
      <c r="FU344">
        <f>IF(ISBLANK('Data Entry'!$ñ$344), "", 'Data Entry'!$ñ$344)</f>
      </c>
      <c r="FV344">
        <f>IF(ISBLANK('Data Entry'!$ò$344), "", 'Data Entry'!$ò$344)</f>
      </c>
      <c r="FW344">
        <f>IF(ISBLANK('Data Entry'!$ó$344), "", 'Data Entry'!$ó$344)</f>
      </c>
      <c r="FX344">
        <f>IF(ISBLANK('Data Entry'!$ô$344), "", 'Data Entry'!$ô$344)</f>
      </c>
      <c r="FY344">
        <f>IF(ISBLANK('Data Entry'!$õ$344), "", 'Data Entry'!$õ$344)</f>
      </c>
      <c r="FZ344">
        <f>IF(ISBLANK('Data Entry'!$ö$344), "", 'Data Entry'!$ö$344)</f>
      </c>
      <c r="GA344">
        <f>IF(ISBLANK('Data Entry'!$÷$344), "", 'Data Entry'!$÷$344)</f>
      </c>
      <c r="GB344">
        <f>IF(ISBLANK('Data Entry'!$ø$344), "", 'Data Entry'!$ø$344)</f>
      </c>
      <c r="GC344">
        <f>IF(ISBLANK('Data Entry'!$ù$344), "", 'Data Entry'!$ù$344)</f>
      </c>
      <c r="GD344">
        <f>IF(ISBLANK('Data Entry'!$ú$344), "", 'Data Entry'!$ú$344)</f>
      </c>
      <c r="GE344">
        <f>IF(ISBLANK('Data Entry'!$û$344), "", 'Data Entry'!$û$344)</f>
      </c>
      <c r="GF344">
        <f>IF(ISBLANK('Data Entry'!$ü$344), "", 'Data Entry'!$ü$344)</f>
      </c>
      <c r="GG344">
        <f>IF(ISBLANK('Data Entry'!$ý$344), "", 'Data Entry'!$ý$344)</f>
      </c>
      <c r="GH344">
        <f>IF(ISBLANK('Data Entry'!$þ$344), "", 'Data Entry'!$þ$344)</f>
      </c>
      <c r="GI344">
        <f>IF(ISBLANK('Data Entry'!$ÿ$344), "", 'Data Entry'!$ÿ$344)</f>
      </c>
      <c r="GJ344">
        <f>IF(ISBLANK('Data Entry'!$Ā$344), "", 'Data Entry'!$Ā$344)</f>
      </c>
      <c r="GK344">
        <f>IF(ISBLANK('Data Entry'!$ā$344), "", 'Data Entry'!$ā$344)</f>
      </c>
      <c r="GL344">
        <f>IF(ISBLANK('Data Entry'!$Ă$344), "", 'Data Entry'!$Ă$344)</f>
      </c>
      <c r="GM344">
        <f>IF(ISBLANK('Data Entry'!$ă$344), "", 'Data Entry'!$ă$344)</f>
      </c>
      <c r="GN344">
        <f>IF(ISBLANK('Data Entry'!$Ą$344), "", 'Data Entry'!$Ą$344)</f>
      </c>
      <c r="GO344">
        <f>IF(ISBLANK('Data Entry'!$ą$344), "", 'Data Entry'!$ą$344)</f>
      </c>
      <c r="GP344">
        <f>IF(ISBLANK('Data Entry'!$Ć$344), "", 'Data Entry'!$Ć$344)</f>
      </c>
      <c r="GQ344">
        <f>IF(ISBLANK('Data Entry'!$ć$344), "", 'Data Entry'!$ć$344)</f>
      </c>
      <c r="GR344">
        <f>IF(ISBLANK('Data Entry'!$Ĉ$344), "", 'Data Entry'!$Ĉ$344)</f>
      </c>
      <c r="GS344">
        <f>IF(ISBLANK('Data Entry'!$ĉ$344), "", 'Data Entry'!$ĉ$344)</f>
      </c>
      <c r="GT344">
        <f>IF(ISBLANK('Data Entry'!$Ċ$344), "", 'Data Entry'!$Ċ$344)</f>
      </c>
      <c r="GU344">
        <f>IF(ISBLANK('Data Entry'!$ċ$344), "", 'Data Entry'!$ċ$344)</f>
      </c>
      <c r="GV344">
        <f>IF(ISBLANK('Data Entry'!$Č$344), "", 'Data Entry'!$Č$344)</f>
      </c>
      <c r="GW344">
        <f>IF(ISBLANK('Data Entry'!$č$344), "", 'Data Entry'!$č$344)</f>
      </c>
      <c r="GX344">
        <f>IF(ISBLANK('Data Entry'!$Ď$344), "", 'Data Entry'!$Ď$344)</f>
      </c>
      <c r="GY344">
        <f>IF(ISBLANK('Data Entry'!$ď$344), "", 'Data Entry'!$ď$344)</f>
      </c>
      <c r="GZ344">
        <f>IF(ISBLANK('Data Entry'!$Đ$344), "", 'Data Entry'!$Đ$344)</f>
      </c>
      <c r="HA344">
        <f>IF(ISBLANK('Data Entry'!$đ$344), "", 'Data Entry'!$đ$344)</f>
      </c>
      <c r="HB344">
        <f>IF(ISBLANK('Data Entry'!$Ē$344), "", 'Data Entry'!$Ē$344)</f>
      </c>
      <c r="HC344">
        <f>IF(ISBLANK('Data Entry'!$ē$344), "", 'Data Entry'!$ē$344)</f>
      </c>
      <c r="HD344">
        <f>IF(ISBLANK('Data Entry'!$Ĕ$344), "", 'Data Entry'!$Ĕ$344)</f>
      </c>
      <c r="HE344">
        <f>IF(ISBLANK('Data Entry'!$ĕ$344), "", 'Data Entry'!$ĕ$344)</f>
      </c>
      <c r="HF344">
        <f>IF(ISBLANK('Data Entry'!$Ė$344), "", 'Data Entry'!$Ė$344)</f>
      </c>
      <c r="HG344">
        <f>IF(ISBLANK('Data Entry'!$ė$344), "", 'Data Entry'!$ė$344)</f>
      </c>
      <c r="HH344">
        <f>IF(ISBLANK('Data Entry'!$Ę$344), "", 'Data Entry'!$Ę$344)</f>
      </c>
      <c r="HI344">
        <f>IF(ISBLANK('Data Entry'!$ę$344), "", 'Data Entry'!$ę$344)</f>
      </c>
      <c r="HJ344">
        <f>IF(ISBLANK('Data Entry'!$Ě$344), "", 'Data Entry'!$Ě$344)</f>
      </c>
      <c r="HK344">
        <f>IF(ISBLANK('Data Entry'!$ě$344), "", 'Data Entry'!$ě$344)</f>
      </c>
      <c r="HL344">
        <f>IF(ISBLANK('Data Entry'!$Ĝ$344), "", 'Data Entry'!$Ĝ$344)</f>
      </c>
      <c r="HM344">
        <f>IF(ISBLANK('Data Entry'!$ĝ$344), "", 'Data Entry'!$ĝ$344)</f>
      </c>
      <c r="HN344">
        <f>IF(ISBLANK('Data Entry'!$Ğ$344), "", 'Data Entry'!$Ğ$344)</f>
      </c>
      <c r="HO344">
        <f>IF(ISBLANK('Data Entry'!$ğ$344), "", 'Data Entry'!$ğ$344)</f>
      </c>
      <c r="HP344">
        <f>IF(ISBLANK('Data Entry'!$Ġ$344), "", 'Data Entry'!$Ġ$344)</f>
      </c>
      <c r="HQ344">
        <f>IF(ISBLANK('Data Entry'!$ġ$344), "", 'Data Entry'!$ġ$344)</f>
      </c>
      <c r="HR344">
        <f>IF(ISBLANK('Data Entry'!$Ģ$344), "", 'Data Entry'!$Ģ$344)</f>
      </c>
      <c r="HS344">
        <f>IF(ISBLANK('Data Entry'!$ģ$344), "", 'Data Entry'!$ģ$344)</f>
      </c>
      <c r="HT344">
        <f>IF(ISBLANK('Data Entry'!$Ĥ$344), "", 'Data Entry'!$Ĥ$344)</f>
      </c>
      <c r="HU344">
        <f>IF(ISBLANK('Data Entry'!$ĥ$344), "", 'Data Entry'!$ĥ$344)</f>
      </c>
      <c r="HV344">
        <f>IF(ISBLANK('Data Entry'!$Ħ$344), "", 'Data Entry'!$Ħ$344)</f>
      </c>
      <c r="HW344">
        <f>IF(ISBLANK('Data Entry'!$ħ$344), "", 'Data Entry'!$ħ$344)</f>
      </c>
      <c r="HX344">
        <f>IF(ISBLANK('Data Entry'!$Ĩ$344), "", 'Data Entry'!$Ĩ$344)</f>
      </c>
      <c r="HY344">
        <f>IF(ISBLANK('Data Entry'!$ĩ$344), "", 'Data Entry'!$ĩ$344)</f>
      </c>
      <c r="HZ344">
        <f>IF(ISBLANK('Data Entry'!$Ī$344), "", 'Data Entry'!$Ī$344)</f>
      </c>
      <c r="IA344">
        <f>IF(ISBLANK('Data Entry'!$ī$344), "", 'Data Entry'!$ī$344)</f>
      </c>
      <c r="IB344">
        <f>IF(ISBLANK('Data Entry'!$Ĭ$344), "", 'Data Entry'!$Ĭ$344)</f>
      </c>
      <c r="IC344">
        <f>IF(ISBLANK('Data Entry'!$ĭ$344), "", 'Data Entry'!$ĭ$344)</f>
      </c>
      <c r="ID344">
        <f>IF(ISBLANK('Data Entry'!$Į$344), "", 'Data Entry'!$Į$344)</f>
      </c>
      <c r="IE344">
        <f>IF(ISBLANK('Data Entry'!$į$344), "", 'Data Entry'!$į$344)</f>
      </c>
      <c r="IF344">
        <f>IF(ISBLANK('Data Entry'!$İ$344), "", 'Data Entry'!$İ$344)</f>
      </c>
      <c r="IG344">
        <f>IF(ISBLANK('Data Entry'!$ı$344), "", 'Data Entry'!$ı$344)</f>
      </c>
      <c r="IH344">
        <f>IF(ISBLANK('Data Entry'!$Ĳ$344), "", 'Data Entry'!$Ĳ$344)</f>
      </c>
      <c r="II344">
        <f>IF(ISBLANK('Data Entry'!$ĳ$344), "", 'Data Entry'!$ĳ$344)</f>
      </c>
      <c r="IJ344">
        <f>IF(ISBLANK('Data Entry'!$Ĵ$344), "", 'Data Entry'!$Ĵ$344)</f>
      </c>
      <c r="IK344">
        <f>IF(ISBLANK('Data Entry'!$ĵ$344), "", 'Data Entry'!$ĵ$344)</f>
      </c>
      <c r="IL344">
        <f>IF(ISBLANK('Data Entry'!$Ķ$344), "", 'Data Entry'!$Ķ$344)</f>
      </c>
      <c r="IM344">
        <f>IF(ISBLANK('Data Entry'!$ķ$344), "", 'Data Entry'!$ķ$344)</f>
      </c>
      <c r="IN344">
        <f>IF(ISBLANK('Data Entry'!$ĸ$344), "", 'Data Entry'!$ĸ$344)</f>
      </c>
      <c r="IO344">
        <f>IF(ISBLANK('Data Entry'!$Ĺ$344), "", 'Data Entry'!$Ĺ$344)</f>
      </c>
      <c r="IP344">
        <f>IF(ISBLANK('Data Entry'!$ĺ$344), "", 'Data Entry'!$ĺ$344)</f>
      </c>
      <c r="IQ344">
        <f>IF(ISBLANK('Data Entry'!$Ļ$344), "", 'Data Entry'!$Ļ$344)</f>
      </c>
      <c r="IR344">
        <f>IF(ISBLANK('Data Entry'!$ļ$344), "", 'Data Entry'!$ļ$344)</f>
      </c>
      <c r="IS344">
        <f>IF(ISBLANK('Data Entry'!$Ľ$344), "", 'Data Entry'!$Ľ$344)</f>
      </c>
      <c r="IT344">
        <f>IF(ISBLANK('Data Entry'!$ľ$344), "", 'Data Entry'!$ľ$344)</f>
      </c>
    </row>
    <row r="345" spans="1:254" x14ac:dyDescent="0.25">
      <c r="A345">
        <f>IF(ISBLANK('Data Entry'!$A$345), "", 'Data Entry'!$A$345)</f>
      </c>
      <c r="B345">
        <f>IF(ISBLANK('Data Entry'!$B$345), "", 'Data Entry'!$B$345)</f>
      </c>
      <c r="C345">
        <f>IF(ISBLANK('Data Entry'!$C$345), "", 'Data Entry'!$C$345)</f>
      </c>
      <c r="D345">
        <f>IF(ISBLANK('Data Entry'!$D$345), "", 'Data Entry'!$D$345)</f>
      </c>
      <c r="E345">
        <f>IF(ISBLANK('Data Entry'!$E$345), "", 'Data Entry'!$E$345)</f>
      </c>
      <c r="F345">
        <f>IF(ISBLANK('Data Entry'!$F$345), "", 'Data Entry'!$F$345)</f>
      </c>
      <c r="G345">
        <f>IF(ISBLANK('Data Entry'!$G$345), "", 'Data Entry'!$G$345)</f>
      </c>
      <c r="H345">
        <f>IF(ISBLANK('Data Entry'!$H$345), "", 'Data Entry'!$H$345)</f>
      </c>
      <c r="I345">
        <f>IF(ISBLANK('Data Entry'!$I$345), "", 'Data Entry'!$I$345)</f>
      </c>
      <c r="J345">
        <f>IF(ISBLANK('Data Entry'!$J$345), "", 'Data Entry'!$J$345)</f>
      </c>
      <c r="K345">
        <f>IF(ISBLANK('Data Entry'!$K$345), "", 'Data Entry'!$K$345)</f>
      </c>
      <c r="L345">
        <f>IF(ISBLANK('Data Entry'!$L$345), "", 'Data Entry'!$L$345)</f>
      </c>
      <c r="M345">
        <f>IF(ISBLANK('Data Entry'!$M$345), "", 'Data Entry'!$M$345)</f>
      </c>
      <c r="N345">
        <f>IF(ISBLANK('Data Entry'!$N$345), "", 'Data Entry'!$N$345)</f>
      </c>
      <c r="O345">
        <f>IF(ISBLANK('Data Entry'!$O$345), "", 'Data Entry'!$O$345)</f>
      </c>
      <c r="P345">
        <f>IF(ISBLANK('Data Entry'!$P$345), "", 'Data Entry'!$P$345)</f>
      </c>
      <c r="Q345">
        <f>IF(ISBLANK('Data Entry'!$Q$345), "", 'Data Entry'!$Q$345)</f>
      </c>
      <c r="R345">
        <f>IF(ISBLANK('Data Entry'!$R$345), "", 'Data Entry'!$R$345)</f>
      </c>
      <c r="S345">
        <f>IF(ISBLANK('Data Entry'!$S$345), "", 'Data Entry'!$S$345)</f>
      </c>
      <c r="T345">
        <f>IF(ISBLANK('Data Entry'!$T$345), "", 'Data Entry'!$T$345)</f>
      </c>
      <c r="U345">
        <f>IF(ISBLANK('Data Entry'!$U$345), "", 'Data Entry'!$U$345)</f>
      </c>
      <c r="V345">
        <f>IF(ISBLANK('Data Entry'!$V$345), "", 'Data Entry'!$V$345)</f>
      </c>
      <c r="W345">
        <f>IF(ISBLANK('Data Entry'!$W$345), "", 'Data Entry'!$W$345)</f>
      </c>
      <c r="X345">
        <f>IF(ISBLANK('Data Entry'!$X$345), "", 'Data Entry'!$X$345)</f>
      </c>
      <c r="Y345">
        <f>IF(ISBLANK('Data Entry'!$Y$345), "", 'Data Entry'!$Y$345)</f>
      </c>
      <c r="Z345">
        <f>IF(ISBLANK('Data Entry'!$Z$345), "", 'Data Entry'!$Z$345)</f>
      </c>
      <c r="AA345">
        <f>IF(ISBLANK('Data Entry'!$[$345), "", 'Data Entry'!$[$345)</f>
      </c>
      <c r="AB345">
        <f>IF(ISBLANK('Data Entry'!$\$345), "", 'Data Entry'!$\$345)</f>
      </c>
      <c r="AC345">
        <f>IF(ISBLANK('Data Entry'!$]$345), "", 'Data Entry'!$]$345)</f>
      </c>
      <c r="AD345">
        <f>IF(ISBLANK('Data Entry'!$^$345), "", 'Data Entry'!$^$345)</f>
      </c>
      <c r="AE345">
        <f>IF(ISBLANK('Data Entry'!$_$345), "", 'Data Entry'!$_$345)</f>
      </c>
      <c r="AF345">
        <f>IF(ISBLANK('Data Entry'!$`$345), "", 'Data Entry'!$`$345)</f>
      </c>
      <c r="AG345">
        <f>IF(ISBLANK('Data Entry'!$a$345), "", 'Data Entry'!$a$345)</f>
      </c>
      <c r="AH345">
        <f>IF(ISBLANK('Data Entry'!$b$345), "", 'Data Entry'!$b$345)</f>
      </c>
      <c r="AI345">
        <f>IF(ISBLANK('Data Entry'!$c$345), "", 'Data Entry'!$c$345)</f>
      </c>
      <c r="AJ345">
        <f>IF(ISBLANK('Data Entry'!$d$345), "", 'Data Entry'!$d$345)</f>
      </c>
      <c r="AK345">
        <f>IF(ISBLANK('Data Entry'!$e$345), "", 'Data Entry'!$e$345)</f>
      </c>
      <c r="AL345">
        <f>IF(ISBLANK('Data Entry'!$f$345), "", 'Data Entry'!$f$345)</f>
      </c>
      <c r="AM345">
        <f>IF(ISBLANK('Data Entry'!$g$345), "", 'Data Entry'!$g$345)</f>
      </c>
      <c r="AN345">
        <f>IF(ISBLANK('Data Entry'!$h$345), "", 'Data Entry'!$h$345)</f>
      </c>
      <c r="AO345">
        <f>IF(ISBLANK('Data Entry'!$i$345), "", 'Data Entry'!$i$345)</f>
      </c>
      <c r="AP345">
        <f>IF(ISBLANK('Data Entry'!$j$345), "", 'Data Entry'!$j$345)</f>
      </c>
      <c r="AQ345">
        <f>IF(ISBLANK('Data Entry'!$k$345), "", 'Data Entry'!$k$345)</f>
      </c>
      <c r="AR345">
        <f>IF(ISBLANK('Data Entry'!$l$345), "", 'Data Entry'!$l$345)</f>
      </c>
      <c r="AS345">
        <f>IF(ISBLANK('Data Entry'!$m$345), "", 'Data Entry'!$m$345)</f>
      </c>
      <c r="AT345">
        <f>IF(ISBLANK('Data Entry'!$n$345), "", 'Data Entry'!$n$345)</f>
      </c>
      <c r="AU345">
        <f>IF(ISBLANK('Data Entry'!$o$345), "", 'Data Entry'!$o$345)</f>
      </c>
      <c r="AV345">
        <f>IF(ISBLANK('Data Entry'!$p$345), "", 'Data Entry'!$p$345)</f>
      </c>
      <c r="AW345">
        <f>IF(ISBLANK('Data Entry'!$q$345), "", 'Data Entry'!$q$345)</f>
      </c>
      <c r="AX345">
        <f>IF(ISBLANK('Data Entry'!$r$345), "", 'Data Entry'!$r$345)</f>
      </c>
      <c r="AY345">
        <f>IF(ISBLANK('Data Entry'!$s$345), "", 'Data Entry'!$s$345)</f>
      </c>
      <c r="AZ345">
        <f>IF(ISBLANK('Data Entry'!$t$345), "", 'Data Entry'!$t$345)</f>
      </c>
      <c r="BA345">
        <f>IF(ISBLANK('Data Entry'!$u$345), "", 'Data Entry'!$u$345)</f>
      </c>
      <c r="BB345">
        <f>IF(ISBLANK('Data Entry'!$v$345), "", 'Data Entry'!$v$345)</f>
      </c>
      <c r="BC345">
        <f>IF(ISBLANK('Data Entry'!$w$345), "", 'Data Entry'!$w$345)</f>
      </c>
      <c r="BD345">
        <f>IF(ISBLANK('Data Entry'!$x$345), "", 'Data Entry'!$x$345)</f>
      </c>
      <c r="BE345">
        <f>IF(ISBLANK('Data Entry'!$y$345), "", 'Data Entry'!$y$345)</f>
      </c>
      <c r="BF345">
        <f>IF(ISBLANK('Data Entry'!$z$345), "", 'Data Entry'!$z$345)</f>
      </c>
      <c r="BG345">
        <f>IF(ISBLANK('Data Entry'!${$345), "", 'Data Entry'!${$345)</f>
      </c>
      <c r="BH345">
        <f>IF(ISBLANK('Data Entry'!$|$345), "", 'Data Entry'!$|$345)</f>
      </c>
      <c r="BI345">
        <f>IF(ISBLANK('Data Entry'!$}$345), "", 'Data Entry'!$}$345)</f>
      </c>
      <c r="BJ345">
        <f>IF(ISBLANK('Data Entry'!$~$345), "", 'Data Entry'!$~$345)</f>
      </c>
      <c r="BK345">
        <f>IF(ISBLANK('Data Entry'!$$345), "", 'Data Entry'!$$345)</f>
      </c>
      <c r="BL345">
        <f>IF(ISBLANK('Data Entry'!$$345), "", 'Data Entry'!$$345)</f>
      </c>
      <c r="BM345">
        <f>IF(ISBLANK('Data Entry'!$$345), "", 'Data Entry'!$$345)</f>
      </c>
      <c r="BN345">
        <f>IF(ISBLANK('Data Entry'!$$345), "", 'Data Entry'!$$345)</f>
      </c>
      <c r="BO345">
        <f>IF(ISBLANK('Data Entry'!$$345), "", 'Data Entry'!$$345)</f>
      </c>
      <c r="BP345">
        <f>IF(ISBLANK('Data Entry'!$$345), "", 'Data Entry'!$$345)</f>
      </c>
      <c r="BQ345">
        <f>IF(ISBLANK('Data Entry'!$$345), "", 'Data Entry'!$$345)</f>
      </c>
      <c r="BR345">
        <f>IF(ISBLANK('Data Entry'!$$345), "", 'Data Entry'!$$345)</f>
      </c>
      <c r="BS345">
        <f>IF(ISBLANK('Data Entry'!$$345), "", 'Data Entry'!$$345)</f>
      </c>
      <c r="BT345">
        <f>IF(ISBLANK('Data Entry'!$$345), "", 'Data Entry'!$$345)</f>
      </c>
      <c r="BU345">
        <f>IF(ISBLANK('Data Entry'!$$345), "", 'Data Entry'!$$345)</f>
      </c>
      <c r="BV345">
        <f>IF(ISBLANK('Data Entry'!$$345), "", 'Data Entry'!$$345)</f>
      </c>
      <c r="BW345">
        <f>IF(ISBLANK('Data Entry'!$$345), "", 'Data Entry'!$$345)</f>
      </c>
      <c r="BX345">
        <f>IF(ISBLANK('Data Entry'!$$345), "", 'Data Entry'!$$345)</f>
      </c>
      <c r="BY345">
        <f>IF(ISBLANK('Data Entry'!$$345), "", 'Data Entry'!$$345)</f>
      </c>
      <c r="BZ345">
        <f>IF(ISBLANK('Data Entry'!$$345), "", 'Data Entry'!$$345)</f>
      </c>
      <c r="CA345">
        <f>IF(ISBLANK('Data Entry'!$$345), "", 'Data Entry'!$$345)</f>
      </c>
      <c r="CB345">
        <f>IF(ISBLANK('Data Entry'!$$345), "", 'Data Entry'!$$345)</f>
      </c>
      <c r="CC345">
        <f>IF(ISBLANK('Data Entry'!$$345), "", 'Data Entry'!$$345)</f>
      </c>
      <c r="CD345">
        <f>IF(ISBLANK('Data Entry'!$$345), "", 'Data Entry'!$$345)</f>
      </c>
      <c r="CE345">
        <f>IF(ISBLANK('Data Entry'!$$345), "", 'Data Entry'!$$345)</f>
      </c>
      <c r="CF345">
        <f>IF(ISBLANK('Data Entry'!$$345), "", 'Data Entry'!$$345)</f>
      </c>
      <c r="CG345">
        <f>IF(ISBLANK('Data Entry'!$$345), "", 'Data Entry'!$$345)</f>
      </c>
      <c r="CH345">
        <f>IF(ISBLANK('Data Entry'!$$345), "", 'Data Entry'!$$345)</f>
      </c>
      <c r="CI345">
        <f>IF(ISBLANK('Data Entry'!$$345), "", 'Data Entry'!$$345)</f>
      </c>
      <c r="CJ345">
        <f>IF(ISBLANK('Data Entry'!$$345), "", 'Data Entry'!$$345)</f>
      </c>
      <c r="CK345">
        <f>IF(ISBLANK('Data Entry'!$$345), "", 'Data Entry'!$$345)</f>
      </c>
      <c r="CL345">
        <f>IF(ISBLANK('Data Entry'!$$345), "", 'Data Entry'!$$345)</f>
      </c>
      <c r="CM345">
        <f>IF(ISBLANK('Data Entry'!$$345), "", 'Data Entry'!$$345)</f>
      </c>
      <c r="CN345">
        <f>IF(ISBLANK('Data Entry'!$$345), "", 'Data Entry'!$$345)</f>
      </c>
      <c r="CO345">
        <f>IF(ISBLANK('Data Entry'!$$345), "", 'Data Entry'!$$345)</f>
      </c>
      <c r="CP345">
        <f>IF(ISBLANK('Data Entry'!$$345), "", 'Data Entry'!$$345)</f>
      </c>
      <c r="CQ345">
        <f>IF(ISBLANK('Data Entry'!$$345), "", 'Data Entry'!$$345)</f>
      </c>
      <c r="CR345">
        <f>IF(ISBLANK('Data Entry'!$ $345), "", 'Data Entry'!$ $345)</f>
      </c>
      <c r="CS345">
        <f>IF(ISBLANK('Data Entry'!$¡$345), "", 'Data Entry'!$¡$345)</f>
      </c>
      <c r="CT345">
        <f>IF(ISBLANK('Data Entry'!$¢$345), "", 'Data Entry'!$¢$345)</f>
      </c>
      <c r="CU345">
        <f>IF(ISBLANK('Data Entry'!$£$345), "", 'Data Entry'!$£$345)</f>
      </c>
      <c r="CV345">
        <f>IF(ISBLANK('Data Entry'!$¤$345), "", 'Data Entry'!$¤$345)</f>
      </c>
      <c r="CW345">
        <f>IF(ISBLANK('Data Entry'!$¥$345), "", 'Data Entry'!$¥$345)</f>
      </c>
      <c r="CX345">
        <f>IF(ISBLANK('Data Entry'!$¦$345), "", 'Data Entry'!$¦$345)</f>
      </c>
      <c r="CY345">
        <f>IF(ISBLANK('Data Entry'!$§$345), "", 'Data Entry'!$§$345)</f>
      </c>
      <c r="CZ345">
        <f>IF(ISBLANK('Data Entry'!$¨$345), "", 'Data Entry'!$¨$345)</f>
      </c>
      <c r="DA345">
        <f>IF(ISBLANK('Data Entry'!$©$345), "", 'Data Entry'!$©$345)</f>
      </c>
      <c r="DB345">
        <f>IF(ISBLANK('Data Entry'!$ª$345), "", 'Data Entry'!$ª$345)</f>
      </c>
      <c r="DC345">
        <f>IF(ISBLANK('Data Entry'!$«$345), "", 'Data Entry'!$«$345)</f>
      </c>
      <c r="DD345">
        <f>IF(ISBLANK('Data Entry'!$¬$345), "", 'Data Entry'!$¬$345)</f>
      </c>
      <c r="DE345">
        <f>IF(ISBLANK('Data Entry'!$­$345), "", 'Data Entry'!$­$345)</f>
      </c>
      <c r="DF345">
        <f>IF(ISBLANK('Data Entry'!$®$345), "", 'Data Entry'!$®$345)</f>
      </c>
      <c r="DG345">
        <f>IF(ISBLANK('Data Entry'!$¯$345), "", 'Data Entry'!$¯$345)</f>
      </c>
      <c r="DH345">
        <f>IF(ISBLANK('Data Entry'!$°$345), "", 'Data Entry'!$°$345)</f>
      </c>
      <c r="DI345">
        <f>IF(ISBLANK('Data Entry'!$±$345), "", 'Data Entry'!$±$345)</f>
      </c>
      <c r="DJ345">
        <f>IF(ISBLANK('Data Entry'!$²$345), "", 'Data Entry'!$²$345)</f>
      </c>
      <c r="DK345">
        <f>IF(ISBLANK('Data Entry'!$³$345), "", 'Data Entry'!$³$345)</f>
      </c>
      <c r="DL345">
        <f>IF(ISBLANK('Data Entry'!$´$345), "", 'Data Entry'!$´$345)</f>
      </c>
      <c r="DM345">
        <f>IF(ISBLANK('Data Entry'!$µ$345), "", 'Data Entry'!$µ$345)</f>
      </c>
      <c r="DN345">
        <f>IF(ISBLANK('Data Entry'!$¶$345), "", 'Data Entry'!$¶$345)</f>
      </c>
      <c r="DO345">
        <f>IF(ISBLANK('Data Entry'!$·$345), "", 'Data Entry'!$·$345)</f>
      </c>
      <c r="DP345">
        <f>IF(ISBLANK('Data Entry'!$¸$345), "", 'Data Entry'!$¸$345)</f>
      </c>
      <c r="DQ345">
        <f>IF(ISBLANK('Data Entry'!$¹$345), "", 'Data Entry'!$¹$345)</f>
      </c>
      <c r="DR345">
        <f>IF(ISBLANK('Data Entry'!$º$345), "", 'Data Entry'!$º$345)</f>
      </c>
      <c r="DS345">
        <f>IF(ISBLANK('Data Entry'!$»$345), "", 'Data Entry'!$»$345)</f>
      </c>
      <c r="DT345">
        <f>IF(ISBLANK('Data Entry'!$¼$345), "", 'Data Entry'!$¼$345)</f>
      </c>
      <c r="DU345">
        <f>IF(ISBLANK('Data Entry'!$½$345), "", 'Data Entry'!$½$345)</f>
      </c>
      <c r="DV345">
        <f>IF(ISBLANK('Data Entry'!$¾$345), "", 'Data Entry'!$¾$345)</f>
      </c>
      <c r="DW345">
        <f>IF(ISBLANK('Data Entry'!$¿$345), "", 'Data Entry'!$¿$345)</f>
      </c>
      <c r="DX345">
        <f>IF(ISBLANK('Data Entry'!$À$345), "", 'Data Entry'!$À$345)</f>
      </c>
      <c r="DY345">
        <f>IF(ISBLANK('Data Entry'!$Á$345), "", 'Data Entry'!$Á$345)</f>
      </c>
      <c r="DZ345">
        <f>IF(ISBLANK('Data Entry'!$Â$345), "", 'Data Entry'!$Â$345)</f>
      </c>
      <c r="EA345">
        <f>IF(ISBLANK('Data Entry'!$Ã$345), "", 'Data Entry'!$Ã$345)</f>
      </c>
      <c r="EB345">
        <f>IF(ISBLANK('Data Entry'!$Ä$345), "", 'Data Entry'!$Ä$345)</f>
      </c>
      <c r="EC345">
        <f>IF(ISBLANK('Data Entry'!$Å$345), "", 'Data Entry'!$Å$345)</f>
      </c>
      <c r="ED345">
        <f>IF(ISBLANK('Data Entry'!$Æ$345), "", 'Data Entry'!$Æ$345)</f>
      </c>
      <c r="EE345">
        <f>IF(ISBLANK('Data Entry'!$Ç$345), "", 'Data Entry'!$Ç$345)</f>
      </c>
      <c r="EF345">
        <f>IF(ISBLANK('Data Entry'!$È$345), "", 'Data Entry'!$È$345)</f>
      </c>
      <c r="EG345">
        <f>IF(ISBLANK('Data Entry'!$É$345), "", 'Data Entry'!$É$345)</f>
      </c>
      <c r="EH345">
        <f>IF(ISBLANK('Data Entry'!$Ê$345), "", 'Data Entry'!$Ê$345)</f>
      </c>
      <c r="EI345">
        <f>IF(ISBLANK('Data Entry'!$Ë$345), "", 'Data Entry'!$Ë$345)</f>
      </c>
      <c r="EJ345">
        <f>IF(ISBLANK('Data Entry'!$Ì$345), "", 'Data Entry'!$Ì$345)</f>
      </c>
      <c r="EK345">
        <f>IF(ISBLANK('Data Entry'!$Í$345), "", 'Data Entry'!$Í$345)</f>
      </c>
      <c r="EL345">
        <f>IF(ISBLANK('Data Entry'!$Î$345), "", 'Data Entry'!$Î$345)</f>
      </c>
      <c r="EM345">
        <f>IF(ISBLANK('Data Entry'!$Ï$345), "", 'Data Entry'!$Ï$345)</f>
      </c>
      <c r="EN345">
        <f>IF(ISBLANK('Data Entry'!$Ð$345), "", 'Data Entry'!$Ð$345)</f>
      </c>
      <c r="EO345">
        <f>IF(ISBLANK('Data Entry'!$Ñ$345), "", 'Data Entry'!$Ñ$345)</f>
      </c>
      <c r="EP345">
        <f>IF(ISBLANK('Data Entry'!$Ò$345), "", 'Data Entry'!$Ò$345)</f>
      </c>
      <c r="EQ345">
        <f>IF(ISBLANK('Data Entry'!$Ó$345), "", 'Data Entry'!$Ó$345)</f>
      </c>
      <c r="ER345">
        <f>IF(ISBLANK('Data Entry'!$Ô$345), "", 'Data Entry'!$Ô$345)</f>
      </c>
      <c r="ES345">
        <f>IF(ISBLANK('Data Entry'!$Õ$345), "", 'Data Entry'!$Õ$345)</f>
      </c>
      <c r="ET345">
        <f>IF(ISBLANK('Data Entry'!$Ö$345), "", 'Data Entry'!$Ö$345)</f>
      </c>
      <c r="EU345">
        <f>IF(ISBLANK('Data Entry'!$×$345), "", 'Data Entry'!$×$345)</f>
      </c>
      <c r="EV345">
        <f>IF(ISBLANK('Data Entry'!$Ø$345), "", 'Data Entry'!$Ø$345)</f>
      </c>
      <c r="EW345">
        <f>IF(ISBLANK('Data Entry'!$Ù$345), "", 'Data Entry'!$Ù$345)</f>
      </c>
      <c r="EX345">
        <f>IF(ISBLANK('Data Entry'!$Ú$345), "", 'Data Entry'!$Ú$345)</f>
      </c>
      <c r="EY345">
        <f>IF(ISBLANK('Data Entry'!$Û$345), "", 'Data Entry'!$Û$345)</f>
      </c>
      <c r="EZ345">
        <f>IF(ISBLANK('Data Entry'!$Ü$345), "", 'Data Entry'!$Ü$345)</f>
      </c>
      <c r="FA345">
        <f>IF(ISBLANK('Data Entry'!$Ý$345), "", 'Data Entry'!$Ý$345)</f>
      </c>
      <c r="FB345">
        <f>IF(ISBLANK('Data Entry'!$Þ$345), "", 'Data Entry'!$Þ$345)</f>
      </c>
      <c r="FC345">
        <f>IF(ISBLANK('Data Entry'!$ß$345), "", 'Data Entry'!$ß$345)</f>
      </c>
      <c r="FD345">
        <f>IF(ISBLANK('Data Entry'!$à$345), "", 'Data Entry'!$à$345)</f>
      </c>
      <c r="FE345">
        <f>IF(ISBLANK('Data Entry'!$á$345), "", 'Data Entry'!$á$345)</f>
      </c>
      <c r="FF345">
        <f>IF(ISBLANK('Data Entry'!$â$345), "", 'Data Entry'!$â$345)</f>
      </c>
      <c r="FG345">
        <f>IF(ISBLANK('Data Entry'!$ã$345), "", 'Data Entry'!$ã$345)</f>
      </c>
      <c r="FH345">
        <f>IF(ISBLANK('Data Entry'!$ä$345), "", 'Data Entry'!$ä$345)</f>
      </c>
      <c r="FI345">
        <f>IF(ISBLANK('Data Entry'!$å$345), "", 'Data Entry'!$å$345)</f>
      </c>
      <c r="FJ345">
        <f>IF(ISBLANK('Data Entry'!$æ$345), "", 'Data Entry'!$æ$345)</f>
      </c>
      <c r="FK345">
        <f>IF(ISBLANK('Data Entry'!$ç$345), "", 'Data Entry'!$ç$345)</f>
      </c>
      <c r="FL345">
        <f>IF(ISBLANK('Data Entry'!$è$345), "", 'Data Entry'!$è$345)</f>
      </c>
      <c r="FM345">
        <f>IF(ISBLANK('Data Entry'!$é$345), "", 'Data Entry'!$é$345)</f>
      </c>
      <c r="FN345">
        <f>IF(ISBLANK('Data Entry'!$ê$345), "", 'Data Entry'!$ê$345)</f>
      </c>
      <c r="FO345">
        <f>IF(ISBLANK('Data Entry'!$ë$345), "", 'Data Entry'!$ë$345)</f>
      </c>
      <c r="FP345">
        <f>IF(ISBLANK('Data Entry'!$ì$345), "", 'Data Entry'!$ì$345)</f>
      </c>
      <c r="FQ345">
        <f>IF(ISBLANK('Data Entry'!$í$345), "", 'Data Entry'!$í$345)</f>
      </c>
      <c r="FR345">
        <f>IF(ISBLANK('Data Entry'!$î$345), "", 'Data Entry'!$î$345)</f>
      </c>
      <c r="FS345">
        <f>IF(ISBLANK('Data Entry'!$ï$345), "", 'Data Entry'!$ï$345)</f>
      </c>
      <c r="FT345">
        <f>IF(ISBLANK('Data Entry'!$ð$345), "", 'Data Entry'!$ð$345)</f>
      </c>
      <c r="FU345">
        <f>IF(ISBLANK('Data Entry'!$ñ$345), "", 'Data Entry'!$ñ$345)</f>
      </c>
      <c r="FV345">
        <f>IF(ISBLANK('Data Entry'!$ò$345), "", 'Data Entry'!$ò$345)</f>
      </c>
      <c r="FW345">
        <f>IF(ISBLANK('Data Entry'!$ó$345), "", 'Data Entry'!$ó$345)</f>
      </c>
      <c r="FX345">
        <f>IF(ISBLANK('Data Entry'!$ô$345), "", 'Data Entry'!$ô$345)</f>
      </c>
      <c r="FY345">
        <f>IF(ISBLANK('Data Entry'!$õ$345), "", 'Data Entry'!$õ$345)</f>
      </c>
      <c r="FZ345">
        <f>IF(ISBLANK('Data Entry'!$ö$345), "", 'Data Entry'!$ö$345)</f>
      </c>
      <c r="GA345">
        <f>IF(ISBLANK('Data Entry'!$÷$345), "", 'Data Entry'!$÷$345)</f>
      </c>
      <c r="GB345">
        <f>IF(ISBLANK('Data Entry'!$ø$345), "", 'Data Entry'!$ø$345)</f>
      </c>
      <c r="GC345">
        <f>IF(ISBLANK('Data Entry'!$ù$345), "", 'Data Entry'!$ù$345)</f>
      </c>
      <c r="GD345">
        <f>IF(ISBLANK('Data Entry'!$ú$345), "", 'Data Entry'!$ú$345)</f>
      </c>
      <c r="GE345">
        <f>IF(ISBLANK('Data Entry'!$û$345), "", 'Data Entry'!$û$345)</f>
      </c>
      <c r="GF345">
        <f>IF(ISBLANK('Data Entry'!$ü$345), "", 'Data Entry'!$ü$345)</f>
      </c>
      <c r="GG345">
        <f>IF(ISBLANK('Data Entry'!$ý$345), "", 'Data Entry'!$ý$345)</f>
      </c>
      <c r="GH345">
        <f>IF(ISBLANK('Data Entry'!$þ$345), "", 'Data Entry'!$þ$345)</f>
      </c>
      <c r="GI345">
        <f>IF(ISBLANK('Data Entry'!$ÿ$345), "", 'Data Entry'!$ÿ$345)</f>
      </c>
      <c r="GJ345">
        <f>IF(ISBLANK('Data Entry'!$Ā$345), "", 'Data Entry'!$Ā$345)</f>
      </c>
      <c r="GK345">
        <f>IF(ISBLANK('Data Entry'!$ā$345), "", 'Data Entry'!$ā$345)</f>
      </c>
      <c r="GL345">
        <f>IF(ISBLANK('Data Entry'!$Ă$345), "", 'Data Entry'!$Ă$345)</f>
      </c>
      <c r="GM345">
        <f>IF(ISBLANK('Data Entry'!$ă$345), "", 'Data Entry'!$ă$345)</f>
      </c>
      <c r="GN345">
        <f>IF(ISBLANK('Data Entry'!$Ą$345), "", 'Data Entry'!$Ą$345)</f>
      </c>
      <c r="GO345">
        <f>IF(ISBLANK('Data Entry'!$ą$345), "", 'Data Entry'!$ą$345)</f>
      </c>
      <c r="GP345">
        <f>IF(ISBLANK('Data Entry'!$Ć$345), "", 'Data Entry'!$Ć$345)</f>
      </c>
      <c r="GQ345">
        <f>IF(ISBLANK('Data Entry'!$ć$345), "", 'Data Entry'!$ć$345)</f>
      </c>
      <c r="GR345">
        <f>IF(ISBLANK('Data Entry'!$Ĉ$345), "", 'Data Entry'!$Ĉ$345)</f>
      </c>
      <c r="GS345">
        <f>IF(ISBLANK('Data Entry'!$ĉ$345), "", 'Data Entry'!$ĉ$345)</f>
      </c>
      <c r="GT345">
        <f>IF(ISBLANK('Data Entry'!$Ċ$345), "", 'Data Entry'!$Ċ$345)</f>
      </c>
      <c r="GU345">
        <f>IF(ISBLANK('Data Entry'!$ċ$345), "", 'Data Entry'!$ċ$345)</f>
      </c>
      <c r="GV345">
        <f>IF(ISBLANK('Data Entry'!$Č$345), "", 'Data Entry'!$Č$345)</f>
      </c>
      <c r="GW345">
        <f>IF(ISBLANK('Data Entry'!$č$345), "", 'Data Entry'!$č$345)</f>
      </c>
      <c r="GX345">
        <f>IF(ISBLANK('Data Entry'!$Ď$345), "", 'Data Entry'!$Ď$345)</f>
      </c>
      <c r="GY345">
        <f>IF(ISBLANK('Data Entry'!$ď$345), "", 'Data Entry'!$ď$345)</f>
      </c>
      <c r="GZ345">
        <f>IF(ISBLANK('Data Entry'!$Đ$345), "", 'Data Entry'!$Đ$345)</f>
      </c>
      <c r="HA345">
        <f>IF(ISBLANK('Data Entry'!$đ$345), "", 'Data Entry'!$đ$345)</f>
      </c>
      <c r="HB345">
        <f>IF(ISBLANK('Data Entry'!$Ē$345), "", 'Data Entry'!$Ē$345)</f>
      </c>
      <c r="HC345">
        <f>IF(ISBLANK('Data Entry'!$ē$345), "", 'Data Entry'!$ē$345)</f>
      </c>
      <c r="HD345">
        <f>IF(ISBLANK('Data Entry'!$Ĕ$345), "", 'Data Entry'!$Ĕ$345)</f>
      </c>
      <c r="HE345">
        <f>IF(ISBLANK('Data Entry'!$ĕ$345), "", 'Data Entry'!$ĕ$345)</f>
      </c>
      <c r="HF345">
        <f>IF(ISBLANK('Data Entry'!$Ė$345), "", 'Data Entry'!$Ė$345)</f>
      </c>
      <c r="HG345">
        <f>IF(ISBLANK('Data Entry'!$ė$345), "", 'Data Entry'!$ė$345)</f>
      </c>
      <c r="HH345">
        <f>IF(ISBLANK('Data Entry'!$Ę$345), "", 'Data Entry'!$Ę$345)</f>
      </c>
      <c r="HI345">
        <f>IF(ISBLANK('Data Entry'!$ę$345), "", 'Data Entry'!$ę$345)</f>
      </c>
      <c r="HJ345">
        <f>IF(ISBLANK('Data Entry'!$Ě$345), "", 'Data Entry'!$Ě$345)</f>
      </c>
      <c r="HK345">
        <f>IF(ISBLANK('Data Entry'!$ě$345), "", 'Data Entry'!$ě$345)</f>
      </c>
      <c r="HL345">
        <f>IF(ISBLANK('Data Entry'!$Ĝ$345), "", 'Data Entry'!$Ĝ$345)</f>
      </c>
      <c r="HM345">
        <f>IF(ISBLANK('Data Entry'!$ĝ$345), "", 'Data Entry'!$ĝ$345)</f>
      </c>
      <c r="HN345">
        <f>IF(ISBLANK('Data Entry'!$Ğ$345), "", 'Data Entry'!$Ğ$345)</f>
      </c>
      <c r="HO345">
        <f>IF(ISBLANK('Data Entry'!$ğ$345), "", 'Data Entry'!$ğ$345)</f>
      </c>
      <c r="HP345">
        <f>IF(ISBLANK('Data Entry'!$Ġ$345), "", 'Data Entry'!$Ġ$345)</f>
      </c>
      <c r="HQ345">
        <f>IF(ISBLANK('Data Entry'!$ġ$345), "", 'Data Entry'!$ġ$345)</f>
      </c>
      <c r="HR345">
        <f>IF(ISBLANK('Data Entry'!$Ģ$345), "", 'Data Entry'!$Ģ$345)</f>
      </c>
      <c r="HS345">
        <f>IF(ISBLANK('Data Entry'!$ģ$345), "", 'Data Entry'!$ģ$345)</f>
      </c>
      <c r="HT345">
        <f>IF(ISBLANK('Data Entry'!$Ĥ$345), "", 'Data Entry'!$Ĥ$345)</f>
      </c>
      <c r="HU345">
        <f>IF(ISBLANK('Data Entry'!$ĥ$345), "", 'Data Entry'!$ĥ$345)</f>
      </c>
      <c r="HV345">
        <f>IF(ISBLANK('Data Entry'!$Ħ$345), "", 'Data Entry'!$Ħ$345)</f>
      </c>
      <c r="HW345">
        <f>IF(ISBLANK('Data Entry'!$ħ$345), "", 'Data Entry'!$ħ$345)</f>
      </c>
      <c r="HX345">
        <f>IF(ISBLANK('Data Entry'!$Ĩ$345), "", 'Data Entry'!$Ĩ$345)</f>
      </c>
      <c r="HY345">
        <f>IF(ISBLANK('Data Entry'!$ĩ$345), "", 'Data Entry'!$ĩ$345)</f>
      </c>
      <c r="HZ345">
        <f>IF(ISBLANK('Data Entry'!$Ī$345), "", 'Data Entry'!$Ī$345)</f>
      </c>
      <c r="IA345">
        <f>IF(ISBLANK('Data Entry'!$ī$345), "", 'Data Entry'!$ī$345)</f>
      </c>
      <c r="IB345">
        <f>IF(ISBLANK('Data Entry'!$Ĭ$345), "", 'Data Entry'!$Ĭ$345)</f>
      </c>
      <c r="IC345">
        <f>IF(ISBLANK('Data Entry'!$ĭ$345), "", 'Data Entry'!$ĭ$345)</f>
      </c>
      <c r="ID345">
        <f>IF(ISBLANK('Data Entry'!$Į$345), "", 'Data Entry'!$Į$345)</f>
      </c>
      <c r="IE345">
        <f>IF(ISBLANK('Data Entry'!$į$345), "", 'Data Entry'!$į$345)</f>
      </c>
      <c r="IF345">
        <f>IF(ISBLANK('Data Entry'!$İ$345), "", 'Data Entry'!$İ$345)</f>
      </c>
      <c r="IG345">
        <f>IF(ISBLANK('Data Entry'!$ı$345), "", 'Data Entry'!$ı$345)</f>
      </c>
      <c r="IH345">
        <f>IF(ISBLANK('Data Entry'!$Ĳ$345), "", 'Data Entry'!$Ĳ$345)</f>
      </c>
      <c r="II345">
        <f>IF(ISBLANK('Data Entry'!$ĳ$345), "", 'Data Entry'!$ĳ$345)</f>
      </c>
      <c r="IJ345">
        <f>IF(ISBLANK('Data Entry'!$Ĵ$345), "", 'Data Entry'!$Ĵ$345)</f>
      </c>
      <c r="IK345">
        <f>IF(ISBLANK('Data Entry'!$ĵ$345), "", 'Data Entry'!$ĵ$345)</f>
      </c>
      <c r="IL345">
        <f>IF(ISBLANK('Data Entry'!$Ķ$345), "", 'Data Entry'!$Ķ$345)</f>
      </c>
      <c r="IM345">
        <f>IF(ISBLANK('Data Entry'!$ķ$345), "", 'Data Entry'!$ķ$345)</f>
      </c>
      <c r="IN345">
        <f>IF(ISBLANK('Data Entry'!$ĸ$345), "", 'Data Entry'!$ĸ$345)</f>
      </c>
      <c r="IO345">
        <f>IF(ISBLANK('Data Entry'!$Ĺ$345), "", 'Data Entry'!$Ĺ$345)</f>
      </c>
      <c r="IP345">
        <f>IF(ISBLANK('Data Entry'!$ĺ$345), "", 'Data Entry'!$ĺ$345)</f>
      </c>
      <c r="IQ345">
        <f>IF(ISBLANK('Data Entry'!$Ļ$345), "", 'Data Entry'!$Ļ$345)</f>
      </c>
      <c r="IR345">
        <f>IF(ISBLANK('Data Entry'!$ļ$345), "", 'Data Entry'!$ļ$345)</f>
      </c>
      <c r="IS345">
        <f>IF(ISBLANK('Data Entry'!$Ľ$345), "", 'Data Entry'!$Ľ$345)</f>
      </c>
      <c r="IT345">
        <f>IF(ISBLANK('Data Entry'!$ľ$345), "", 'Data Entry'!$ľ$345)</f>
      </c>
    </row>
    <row r="346" spans="1:254" x14ac:dyDescent="0.25">
      <c r="A346">
        <f>IF(ISBLANK('Data Entry'!$A$346), "", 'Data Entry'!$A$346)</f>
      </c>
      <c r="B346">
        <f>IF(ISBLANK('Data Entry'!$B$346), "", 'Data Entry'!$B$346)</f>
      </c>
      <c r="C346">
        <f>IF(ISBLANK('Data Entry'!$C$346), "", 'Data Entry'!$C$346)</f>
      </c>
      <c r="D346">
        <f>IF(ISBLANK('Data Entry'!$D$346), "", 'Data Entry'!$D$346)</f>
      </c>
      <c r="E346">
        <f>IF(ISBLANK('Data Entry'!$E$346), "", 'Data Entry'!$E$346)</f>
      </c>
      <c r="F346">
        <f>IF(ISBLANK('Data Entry'!$F$346), "", 'Data Entry'!$F$346)</f>
      </c>
      <c r="G346">
        <f>IF(ISBLANK('Data Entry'!$G$346), "", 'Data Entry'!$G$346)</f>
      </c>
      <c r="H346">
        <f>IF(ISBLANK('Data Entry'!$H$346), "", 'Data Entry'!$H$346)</f>
      </c>
      <c r="I346">
        <f>IF(ISBLANK('Data Entry'!$I$346), "", 'Data Entry'!$I$346)</f>
      </c>
      <c r="J346">
        <f>IF(ISBLANK('Data Entry'!$J$346), "", 'Data Entry'!$J$346)</f>
      </c>
      <c r="K346">
        <f>IF(ISBLANK('Data Entry'!$K$346), "", 'Data Entry'!$K$346)</f>
      </c>
      <c r="L346">
        <f>IF(ISBLANK('Data Entry'!$L$346), "", 'Data Entry'!$L$346)</f>
      </c>
      <c r="M346">
        <f>IF(ISBLANK('Data Entry'!$M$346), "", 'Data Entry'!$M$346)</f>
      </c>
      <c r="N346">
        <f>IF(ISBLANK('Data Entry'!$N$346), "", 'Data Entry'!$N$346)</f>
      </c>
      <c r="O346">
        <f>IF(ISBLANK('Data Entry'!$O$346), "", 'Data Entry'!$O$346)</f>
      </c>
      <c r="P346">
        <f>IF(ISBLANK('Data Entry'!$P$346), "", 'Data Entry'!$P$346)</f>
      </c>
      <c r="Q346">
        <f>IF(ISBLANK('Data Entry'!$Q$346), "", 'Data Entry'!$Q$346)</f>
      </c>
      <c r="R346">
        <f>IF(ISBLANK('Data Entry'!$R$346), "", 'Data Entry'!$R$346)</f>
      </c>
      <c r="S346">
        <f>IF(ISBLANK('Data Entry'!$S$346), "", 'Data Entry'!$S$346)</f>
      </c>
      <c r="T346">
        <f>IF(ISBLANK('Data Entry'!$T$346), "", 'Data Entry'!$T$346)</f>
      </c>
      <c r="U346">
        <f>IF(ISBLANK('Data Entry'!$U$346), "", 'Data Entry'!$U$346)</f>
      </c>
      <c r="V346">
        <f>IF(ISBLANK('Data Entry'!$V$346), "", 'Data Entry'!$V$346)</f>
      </c>
      <c r="W346">
        <f>IF(ISBLANK('Data Entry'!$W$346), "", 'Data Entry'!$W$346)</f>
      </c>
      <c r="X346">
        <f>IF(ISBLANK('Data Entry'!$X$346), "", 'Data Entry'!$X$346)</f>
      </c>
      <c r="Y346">
        <f>IF(ISBLANK('Data Entry'!$Y$346), "", 'Data Entry'!$Y$346)</f>
      </c>
      <c r="Z346">
        <f>IF(ISBLANK('Data Entry'!$Z$346), "", 'Data Entry'!$Z$346)</f>
      </c>
      <c r="AA346">
        <f>IF(ISBLANK('Data Entry'!$[$346), "", 'Data Entry'!$[$346)</f>
      </c>
      <c r="AB346">
        <f>IF(ISBLANK('Data Entry'!$\$346), "", 'Data Entry'!$\$346)</f>
      </c>
      <c r="AC346">
        <f>IF(ISBLANK('Data Entry'!$]$346), "", 'Data Entry'!$]$346)</f>
      </c>
      <c r="AD346">
        <f>IF(ISBLANK('Data Entry'!$^$346), "", 'Data Entry'!$^$346)</f>
      </c>
      <c r="AE346">
        <f>IF(ISBLANK('Data Entry'!$_$346), "", 'Data Entry'!$_$346)</f>
      </c>
      <c r="AF346">
        <f>IF(ISBLANK('Data Entry'!$`$346), "", 'Data Entry'!$`$346)</f>
      </c>
      <c r="AG346">
        <f>IF(ISBLANK('Data Entry'!$a$346), "", 'Data Entry'!$a$346)</f>
      </c>
      <c r="AH346">
        <f>IF(ISBLANK('Data Entry'!$b$346), "", 'Data Entry'!$b$346)</f>
      </c>
      <c r="AI346">
        <f>IF(ISBLANK('Data Entry'!$c$346), "", 'Data Entry'!$c$346)</f>
      </c>
      <c r="AJ346">
        <f>IF(ISBLANK('Data Entry'!$d$346), "", 'Data Entry'!$d$346)</f>
      </c>
      <c r="AK346">
        <f>IF(ISBLANK('Data Entry'!$e$346), "", 'Data Entry'!$e$346)</f>
      </c>
      <c r="AL346">
        <f>IF(ISBLANK('Data Entry'!$f$346), "", 'Data Entry'!$f$346)</f>
      </c>
      <c r="AM346">
        <f>IF(ISBLANK('Data Entry'!$g$346), "", 'Data Entry'!$g$346)</f>
      </c>
      <c r="AN346">
        <f>IF(ISBLANK('Data Entry'!$h$346), "", 'Data Entry'!$h$346)</f>
      </c>
      <c r="AO346">
        <f>IF(ISBLANK('Data Entry'!$i$346), "", 'Data Entry'!$i$346)</f>
      </c>
      <c r="AP346">
        <f>IF(ISBLANK('Data Entry'!$j$346), "", 'Data Entry'!$j$346)</f>
      </c>
      <c r="AQ346">
        <f>IF(ISBLANK('Data Entry'!$k$346), "", 'Data Entry'!$k$346)</f>
      </c>
      <c r="AR346">
        <f>IF(ISBLANK('Data Entry'!$l$346), "", 'Data Entry'!$l$346)</f>
      </c>
      <c r="AS346">
        <f>IF(ISBLANK('Data Entry'!$m$346), "", 'Data Entry'!$m$346)</f>
      </c>
      <c r="AT346">
        <f>IF(ISBLANK('Data Entry'!$n$346), "", 'Data Entry'!$n$346)</f>
      </c>
      <c r="AU346">
        <f>IF(ISBLANK('Data Entry'!$o$346), "", 'Data Entry'!$o$346)</f>
      </c>
      <c r="AV346">
        <f>IF(ISBLANK('Data Entry'!$p$346), "", 'Data Entry'!$p$346)</f>
      </c>
      <c r="AW346">
        <f>IF(ISBLANK('Data Entry'!$q$346), "", 'Data Entry'!$q$346)</f>
      </c>
      <c r="AX346">
        <f>IF(ISBLANK('Data Entry'!$r$346), "", 'Data Entry'!$r$346)</f>
      </c>
      <c r="AY346">
        <f>IF(ISBLANK('Data Entry'!$s$346), "", 'Data Entry'!$s$346)</f>
      </c>
      <c r="AZ346">
        <f>IF(ISBLANK('Data Entry'!$t$346), "", 'Data Entry'!$t$346)</f>
      </c>
      <c r="BA346">
        <f>IF(ISBLANK('Data Entry'!$u$346), "", 'Data Entry'!$u$346)</f>
      </c>
      <c r="BB346">
        <f>IF(ISBLANK('Data Entry'!$v$346), "", 'Data Entry'!$v$346)</f>
      </c>
      <c r="BC346">
        <f>IF(ISBLANK('Data Entry'!$w$346), "", 'Data Entry'!$w$346)</f>
      </c>
      <c r="BD346">
        <f>IF(ISBLANK('Data Entry'!$x$346), "", 'Data Entry'!$x$346)</f>
      </c>
      <c r="BE346">
        <f>IF(ISBLANK('Data Entry'!$y$346), "", 'Data Entry'!$y$346)</f>
      </c>
      <c r="BF346">
        <f>IF(ISBLANK('Data Entry'!$z$346), "", 'Data Entry'!$z$346)</f>
      </c>
      <c r="BG346">
        <f>IF(ISBLANK('Data Entry'!${$346), "", 'Data Entry'!${$346)</f>
      </c>
      <c r="BH346">
        <f>IF(ISBLANK('Data Entry'!$|$346), "", 'Data Entry'!$|$346)</f>
      </c>
      <c r="BI346">
        <f>IF(ISBLANK('Data Entry'!$}$346), "", 'Data Entry'!$}$346)</f>
      </c>
      <c r="BJ346">
        <f>IF(ISBLANK('Data Entry'!$~$346), "", 'Data Entry'!$~$346)</f>
      </c>
      <c r="BK346">
        <f>IF(ISBLANK('Data Entry'!$$346), "", 'Data Entry'!$$346)</f>
      </c>
      <c r="BL346">
        <f>IF(ISBLANK('Data Entry'!$$346), "", 'Data Entry'!$$346)</f>
      </c>
      <c r="BM346">
        <f>IF(ISBLANK('Data Entry'!$$346), "", 'Data Entry'!$$346)</f>
      </c>
      <c r="BN346">
        <f>IF(ISBLANK('Data Entry'!$$346), "", 'Data Entry'!$$346)</f>
      </c>
      <c r="BO346">
        <f>IF(ISBLANK('Data Entry'!$$346), "", 'Data Entry'!$$346)</f>
      </c>
      <c r="BP346">
        <f>IF(ISBLANK('Data Entry'!$$346), "", 'Data Entry'!$$346)</f>
      </c>
      <c r="BQ346">
        <f>IF(ISBLANK('Data Entry'!$$346), "", 'Data Entry'!$$346)</f>
      </c>
      <c r="BR346">
        <f>IF(ISBLANK('Data Entry'!$$346), "", 'Data Entry'!$$346)</f>
      </c>
      <c r="BS346">
        <f>IF(ISBLANK('Data Entry'!$$346), "", 'Data Entry'!$$346)</f>
      </c>
      <c r="BT346">
        <f>IF(ISBLANK('Data Entry'!$$346), "", 'Data Entry'!$$346)</f>
      </c>
      <c r="BU346">
        <f>IF(ISBLANK('Data Entry'!$$346), "", 'Data Entry'!$$346)</f>
      </c>
      <c r="BV346">
        <f>IF(ISBLANK('Data Entry'!$$346), "", 'Data Entry'!$$346)</f>
      </c>
      <c r="BW346">
        <f>IF(ISBLANK('Data Entry'!$$346), "", 'Data Entry'!$$346)</f>
      </c>
      <c r="BX346">
        <f>IF(ISBLANK('Data Entry'!$$346), "", 'Data Entry'!$$346)</f>
      </c>
      <c r="BY346">
        <f>IF(ISBLANK('Data Entry'!$$346), "", 'Data Entry'!$$346)</f>
      </c>
      <c r="BZ346">
        <f>IF(ISBLANK('Data Entry'!$$346), "", 'Data Entry'!$$346)</f>
      </c>
      <c r="CA346">
        <f>IF(ISBLANK('Data Entry'!$$346), "", 'Data Entry'!$$346)</f>
      </c>
      <c r="CB346">
        <f>IF(ISBLANK('Data Entry'!$$346), "", 'Data Entry'!$$346)</f>
      </c>
      <c r="CC346">
        <f>IF(ISBLANK('Data Entry'!$$346), "", 'Data Entry'!$$346)</f>
      </c>
      <c r="CD346">
        <f>IF(ISBLANK('Data Entry'!$$346), "", 'Data Entry'!$$346)</f>
      </c>
      <c r="CE346">
        <f>IF(ISBLANK('Data Entry'!$$346), "", 'Data Entry'!$$346)</f>
      </c>
      <c r="CF346">
        <f>IF(ISBLANK('Data Entry'!$$346), "", 'Data Entry'!$$346)</f>
      </c>
      <c r="CG346">
        <f>IF(ISBLANK('Data Entry'!$$346), "", 'Data Entry'!$$346)</f>
      </c>
      <c r="CH346">
        <f>IF(ISBLANK('Data Entry'!$$346), "", 'Data Entry'!$$346)</f>
      </c>
      <c r="CI346">
        <f>IF(ISBLANK('Data Entry'!$$346), "", 'Data Entry'!$$346)</f>
      </c>
      <c r="CJ346">
        <f>IF(ISBLANK('Data Entry'!$$346), "", 'Data Entry'!$$346)</f>
      </c>
      <c r="CK346">
        <f>IF(ISBLANK('Data Entry'!$$346), "", 'Data Entry'!$$346)</f>
      </c>
      <c r="CL346">
        <f>IF(ISBLANK('Data Entry'!$$346), "", 'Data Entry'!$$346)</f>
      </c>
      <c r="CM346">
        <f>IF(ISBLANK('Data Entry'!$$346), "", 'Data Entry'!$$346)</f>
      </c>
      <c r="CN346">
        <f>IF(ISBLANK('Data Entry'!$$346), "", 'Data Entry'!$$346)</f>
      </c>
      <c r="CO346">
        <f>IF(ISBLANK('Data Entry'!$$346), "", 'Data Entry'!$$346)</f>
      </c>
      <c r="CP346">
        <f>IF(ISBLANK('Data Entry'!$$346), "", 'Data Entry'!$$346)</f>
      </c>
      <c r="CQ346">
        <f>IF(ISBLANK('Data Entry'!$$346), "", 'Data Entry'!$$346)</f>
      </c>
      <c r="CR346">
        <f>IF(ISBLANK('Data Entry'!$ $346), "", 'Data Entry'!$ $346)</f>
      </c>
      <c r="CS346">
        <f>IF(ISBLANK('Data Entry'!$¡$346), "", 'Data Entry'!$¡$346)</f>
      </c>
      <c r="CT346">
        <f>IF(ISBLANK('Data Entry'!$¢$346), "", 'Data Entry'!$¢$346)</f>
      </c>
      <c r="CU346">
        <f>IF(ISBLANK('Data Entry'!$£$346), "", 'Data Entry'!$£$346)</f>
      </c>
      <c r="CV346">
        <f>IF(ISBLANK('Data Entry'!$¤$346), "", 'Data Entry'!$¤$346)</f>
      </c>
      <c r="CW346">
        <f>IF(ISBLANK('Data Entry'!$¥$346), "", 'Data Entry'!$¥$346)</f>
      </c>
      <c r="CX346">
        <f>IF(ISBLANK('Data Entry'!$¦$346), "", 'Data Entry'!$¦$346)</f>
      </c>
      <c r="CY346">
        <f>IF(ISBLANK('Data Entry'!$§$346), "", 'Data Entry'!$§$346)</f>
      </c>
      <c r="CZ346">
        <f>IF(ISBLANK('Data Entry'!$¨$346), "", 'Data Entry'!$¨$346)</f>
      </c>
      <c r="DA346">
        <f>IF(ISBLANK('Data Entry'!$©$346), "", 'Data Entry'!$©$346)</f>
      </c>
      <c r="DB346">
        <f>IF(ISBLANK('Data Entry'!$ª$346), "", 'Data Entry'!$ª$346)</f>
      </c>
      <c r="DC346">
        <f>IF(ISBLANK('Data Entry'!$«$346), "", 'Data Entry'!$«$346)</f>
      </c>
      <c r="DD346">
        <f>IF(ISBLANK('Data Entry'!$¬$346), "", 'Data Entry'!$¬$346)</f>
      </c>
      <c r="DE346">
        <f>IF(ISBLANK('Data Entry'!$­$346), "", 'Data Entry'!$­$346)</f>
      </c>
      <c r="DF346">
        <f>IF(ISBLANK('Data Entry'!$®$346), "", 'Data Entry'!$®$346)</f>
      </c>
      <c r="DG346">
        <f>IF(ISBLANK('Data Entry'!$¯$346), "", 'Data Entry'!$¯$346)</f>
      </c>
      <c r="DH346">
        <f>IF(ISBLANK('Data Entry'!$°$346), "", 'Data Entry'!$°$346)</f>
      </c>
      <c r="DI346">
        <f>IF(ISBLANK('Data Entry'!$±$346), "", 'Data Entry'!$±$346)</f>
      </c>
      <c r="DJ346">
        <f>IF(ISBLANK('Data Entry'!$²$346), "", 'Data Entry'!$²$346)</f>
      </c>
      <c r="DK346">
        <f>IF(ISBLANK('Data Entry'!$³$346), "", 'Data Entry'!$³$346)</f>
      </c>
      <c r="DL346">
        <f>IF(ISBLANK('Data Entry'!$´$346), "", 'Data Entry'!$´$346)</f>
      </c>
      <c r="DM346">
        <f>IF(ISBLANK('Data Entry'!$µ$346), "", 'Data Entry'!$µ$346)</f>
      </c>
      <c r="DN346">
        <f>IF(ISBLANK('Data Entry'!$¶$346), "", 'Data Entry'!$¶$346)</f>
      </c>
      <c r="DO346">
        <f>IF(ISBLANK('Data Entry'!$·$346), "", 'Data Entry'!$·$346)</f>
      </c>
      <c r="DP346">
        <f>IF(ISBLANK('Data Entry'!$¸$346), "", 'Data Entry'!$¸$346)</f>
      </c>
      <c r="DQ346">
        <f>IF(ISBLANK('Data Entry'!$¹$346), "", 'Data Entry'!$¹$346)</f>
      </c>
      <c r="DR346">
        <f>IF(ISBLANK('Data Entry'!$º$346), "", 'Data Entry'!$º$346)</f>
      </c>
      <c r="DS346">
        <f>IF(ISBLANK('Data Entry'!$»$346), "", 'Data Entry'!$»$346)</f>
      </c>
      <c r="DT346">
        <f>IF(ISBLANK('Data Entry'!$¼$346), "", 'Data Entry'!$¼$346)</f>
      </c>
      <c r="DU346">
        <f>IF(ISBLANK('Data Entry'!$½$346), "", 'Data Entry'!$½$346)</f>
      </c>
      <c r="DV346">
        <f>IF(ISBLANK('Data Entry'!$¾$346), "", 'Data Entry'!$¾$346)</f>
      </c>
      <c r="DW346">
        <f>IF(ISBLANK('Data Entry'!$¿$346), "", 'Data Entry'!$¿$346)</f>
      </c>
      <c r="DX346">
        <f>IF(ISBLANK('Data Entry'!$À$346), "", 'Data Entry'!$À$346)</f>
      </c>
      <c r="DY346">
        <f>IF(ISBLANK('Data Entry'!$Á$346), "", 'Data Entry'!$Á$346)</f>
      </c>
      <c r="DZ346">
        <f>IF(ISBLANK('Data Entry'!$Â$346), "", 'Data Entry'!$Â$346)</f>
      </c>
      <c r="EA346">
        <f>IF(ISBLANK('Data Entry'!$Ã$346), "", 'Data Entry'!$Ã$346)</f>
      </c>
      <c r="EB346">
        <f>IF(ISBLANK('Data Entry'!$Ä$346), "", 'Data Entry'!$Ä$346)</f>
      </c>
      <c r="EC346">
        <f>IF(ISBLANK('Data Entry'!$Å$346), "", 'Data Entry'!$Å$346)</f>
      </c>
      <c r="ED346">
        <f>IF(ISBLANK('Data Entry'!$Æ$346), "", 'Data Entry'!$Æ$346)</f>
      </c>
      <c r="EE346">
        <f>IF(ISBLANK('Data Entry'!$Ç$346), "", 'Data Entry'!$Ç$346)</f>
      </c>
      <c r="EF346">
        <f>IF(ISBLANK('Data Entry'!$È$346), "", 'Data Entry'!$È$346)</f>
      </c>
      <c r="EG346">
        <f>IF(ISBLANK('Data Entry'!$É$346), "", 'Data Entry'!$É$346)</f>
      </c>
      <c r="EH346">
        <f>IF(ISBLANK('Data Entry'!$Ê$346), "", 'Data Entry'!$Ê$346)</f>
      </c>
      <c r="EI346">
        <f>IF(ISBLANK('Data Entry'!$Ë$346), "", 'Data Entry'!$Ë$346)</f>
      </c>
      <c r="EJ346">
        <f>IF(ISBLANK('Data Entry'!$Ì$346), "", 'Data Entry'!$Ì$346)</f>
      </c>
      <c r="EK346">
        <f>IF(ISBLANK('Data Entry'!$Í$346), "", 'Data Entry'!$Í$346)</f>
      </c>
      <c r="EL346">
        <f>IF(ISBLANK('Data Entry'!$Î$346), "", 'Data Entry'!$Î$346)</f>
      </c>
      <c r="EM346">
        <f>IF(ISBLANK('Data Entry'!$Ï$346), "", 'Data Entry'!$Ï$346)</f>
      </c>
      <c r="EN346">
        <f>IF(ISBLANK('Data Entry'!$Ð$346), "", 'Data Entry'!$Ð$346)</f>
      </c>
      <c r="EO346">
        <f>IF(ISBLANK('Data Entry'!$Ñ$346), "", 'Data Entry'!$Ñ$346)</f>
      </c>
      <c r="EP346">
        <f>IF(ISBLANK('Data Entry'!$Ò$346), "", 'Data Entry'!$Ò$346)</f>
      </c>
      <c r="EQ346">
        <f>IF(ISBLANK('Data Entry'!$Ó$346), "", 'Data Entry'!$Ó$346)</f>
      </c>
      <c r="ER346">
        <f>IF(ISBLANK('Data Entry'!$Ô$346), "", 'Data Entry'!$Ô$346)</f>
      </c>
      <c r="ES346">
        <f>IF(ISBLANK('Data Entry'!$Õ$346), "", 'Data Entry'!$Õ$346)</f>
      </c>
      <c r="ET346">
        <f>IF(ISBLANK('Data Entry'!$Ö$346), "", 'Data Entry'!$Ö$346)</f>
      </c>
      <c r="EU346">
        <f>IF(ISBLANK('Data Entry'!$×$346), "", 'Data Entry'!$×$346)</f>
      </c>
      <c r="EV346">
        <f>IF(ISBLANK('Data Entry'!$Ø$346), "", 'Data Entry'!$Ø$346)</f>
      </c>
      <c r="EW346">
        <f>IF(ISBLANK('Data Entry'!$Ù$346), "", 'Data Entry'!$Ù$346)</f>
      </c>
      <c r="EX346">
        <f>IF(ISBLANK('Data Entry'!$Ú$346), "", 'Data Entry'!$Ú$346)</f>
      </c>
      <c r="EY346">
        <f>IF(ISBLANK('Data Entry'!$Û$346), "", 'Data Entry'!$Û$346)</f>
      </c>
      <c r="EZ346">
        <f>IF(ISBLANK('Data Entry'!$Ü$346), "", 'Data Entry'!$Ü$346)</f>
      </c>
      <c r="FA346">
        <f>IF(ISBLANK('Data Entry'!$Ý$346), "", 'Data Entry'!$Ý$346)</f>
      </c>
      <c r="FB346">
        <f>IF(ISBLANK('Data Entry'!$Þ$346), "", 'Data Entry'!$Þ$346)</f>
      </c>
      <c r="FC346">
        <f>IF(ISBLANK('Data Entry'!$ß$346), "", 'Data Entry'!$ß$346)</f>
      </c>
      <c r="FD346">
        <f>IF(ISBLANK('Data Entry'!$à$346), "", 'Data Entry'!$à$346)</f>
      </c>
      <c r="FE346">
        <f>IF(ISBLANK('Data Entry'!$á$346), "", 'Data Entry'!$á$346)</f>
      </c>
      <c r="FF346">
        <f>IF(ISBLANK('Data Entry'!$â$346), "", 'Data Entry'!$â$346)</f>
      </c>
      <c r="FG346">
        <f>IF(ISBLANK('Data Entry'!$ã$346), "", 'Data Entry'!$ã$346)</f>
      </c>
      <c r="FH346">
        <f>IF(ISBLANK('Data Entry'!$ä$346), "", 'Data Entry'!$ä$346)</f>
      </c>
      <c r="FI346">
        <f>IF(ISBLANK('Data Entry'!$å$346), "", 'Data Entry'!$å$346)</f>
      </c>
      <c r="FJ346">
        <f>IF(ISBLANK('Data Entry'!$æ$346), "", 'Data Entry'!$æ$346)</f>
      </c>
      <c r="FK346">
        <f>IF(ISBLANK('Data Entry'!$ç$346), "", 'Data Entry'!$ç$346)</f>
      </c>
      <c r="FL346">
        <f>IF(ISBLANK('Data Entry'!$è$346), "", 'Data Entry'!$è$346)</f>
      </c>
      <c r="FM346">
        <f>IF(ISBLANK('Data Entry'!$é$346), "", 'Data Entry'!$é$346)</f>
      </c>
      <c r="FN346">
        <f>IF(ISBLANK('Data Entry'!$ê$346), "", 'Data Entry'!$ê$346)</f>
      </c>
      <c r="FO346">
        <f>IF(ISBLANK('Data Entry'!$ë$346), "", 'Data Entry'!$ë$346)</f>
      </c>
      <c r="FP346">
        <f>IF(ISBLANK('Data Entry'!$ì$346), "", 'Data Entry'!$ì$346)</f>
      </c>
      <c r="FQ346">
        <f>IF(ISBLANK('Data Entry'!$í$346), "", 'Data Entry'!$í$346)</f>
      </c>
      <c r="FR346">
        <f>IF(ISBLANK('Data Entry'!$î$346), "", 'Data Entry'!$î$346)</f>
      </c>
      <c r="FS346">
        <f>IF(ISBLANK('Data Entry'!$ï$346), "", 'Data Entry'!$ï$346)</f>
      </c>
      <c r="FT346">
        <f>IF(ISBLANK('Data Entry'!$ð$346), "", 'Data Entry'!$ð$346)</f>
      </c>
      <c r="FU346">
        <f>IF(ISBLANK('Data Entry'!$ñ$346), "", 'Data Entry'!$ñ$346)</f>
      </c>
      <c r="FV346">
        <f>IF(ISBLANK('Data Entry'!$ò$346), "", 'Data Entry'!$ò$346)</f>
      </c>
      <c r="FW346">
        <f>IF(ISBLANK('Data Entry'!$ó$346), "", 'Data Entry'!$ó$346)</f>
      </c>
      <c r="FX346">
        <f>IF(ISBLANK('Data Entry'!$ô$346), "", 'Data Entry'!$ô$346)</f>
      </c>
      <c r="FY346">
        <f>IF(ISBLANK('Data Entry'!$õ$346), "", 'Data Entry'!$õ$346)</f>
      </c>
      <c r="FZ346">
        <f>IF(ISBLANK('Data Entry'!$ö$346), "", 'Data Entry'!$ö$346)</f>
      </c>
      <c r="GA346">
        <f>IF(ISBLANK('Data Entry'!$÷$346), "", 'Data Entry'!$÷$346)</f>
      </c>
      <c r="GB346">
        <f>IF(ISBLANK('Data Entry'!$ø$346), "", 'Data Entry'!$ø$346)</f>
      </c>
      <c r="GC346">
        <f>IF(ISBLANK('Data Entry'!$ù$346), "", 'Data Entry'!$ù$346)</f>
      </c>
      <c r="GD346">
        <f>IF(ISBLANK('Data Entry'!$ú$346), "", 'Data Entry'!$ú$346)</f>
      </c>
      <c r="GE346">
        <f>IF(ISBLANK('Data Entry'!$û$346), "", 'Data Entry'!$û$346)</f>
      </c>
      <c r="GF346">
        <f>IF(ISBLANK('Data Entry'!$ü$346), "", 'Data Entry'!$ü$346)</f>
      </c>
      <c r="GG346">
        <f>IF(ISBLANK('Data Entry'!$ý$346), "", 'Data Entry'!$ý$346)</f>
      </c>
      <c r="GH346">
        <f>IF(ISBLANK('Data Entry'!$þ$346), "", 'Data Entry'!$þ$346)</f>
      </c>
      <c r="GI346">
        <f>IF(ISBLANK('Data Entry'!$ÿ$346), "", 'Data Entry'!$ÿ$346)</f>
      </c>
      <c r="GJ346">
        <f>IF(ISBLANK('Data Entry'!$Ā$346), "", 'Data Entry'!$Ā$346)</f>
      </c>
      <c r="GK346">
        <f>IF(ISBLANK('Data Entry'!$ā$346), "", 'Data Entry'!$ā$346)</f>
      </c>
      <c r="GL346">
        <f>IF(ISBLANK('Data Entry'!$Ă$346), "", 'Data Entry'!$Ă$346)</f>
      </c>
      <c r="GM346">
        <f>IF(ISBLANK('Data Entry'!$ă$346), "", 'Data Entry'!$ă$346)</f>
      </c>
      <c r="GN346">
        <f>IF(ISBLANK('Data Entry'!$Ą$346), "", 'Data Entry'!$Ą$346)</f>
      </c>
      <c r="GO346">
        <f>IF(ISBLANK('Data Entry'!$ą$346), "", 'Data Entry'!$ą$346)</f>
      </c>
      <c r="GP346">
        <f>IF(ISBLANK('Data Entry'!$Ć$346), "", 'Data Entry'!$Ć$346)</f>
      </c>
      <c r="GQ346">
        <f>IF(ISBLANK('Data Entry'!$ć$346), "", 'Data Entry'!$ć$346)</f>
      </c>
      <c r="GR346">
        <f>IF(ISBLANK('Data Entry'!$Ĉ$346), "", 'Data Entry'!$Ĉ$346)</f>
      </c>
      <c r="GS346">
        <f>IF(ISBLANK('Data Entry'!$ĉ$346), "", 'Data Entry'!$ĉ$346)</f>
      </c>
      <c r="GT346">
        <f>IF(ISBLANK('Data Entry'!$Ċ$346), "", 'Data Entry'!$Ċ$346)</f>
      </c>
      <c r="GU346">
        <f>IF(ISBLANK('Data Entry'!$ċ$346), "", 'Data Entry'!$ċ$346)</f>
      </c>
      <c r="GV346">
        <f>IF(ISBLANK('Data Entry'!$Č$346), "", 'Data Entry'!$Č$346)</f>
      </c>
      <c r="GW346">
        <f>IF(ISBLANK('Data Entry'!$č$346), "", 'Data Entry'!$č$346)</f>
      </c>
      <c r="GX346">
        <f>IF(ISBLANK('Data Entry'!$Ď$346), "", 'Data Entry'!$Ď$346)</f>
      </c>
      <c r="GY346">
        <f>IF(ISBLANK('Data Entry'!$ď$346), "", 'Data Entry'!$ď$346)</f>
      </c>
      <c r="GZ346">
        <f>IF(ISBLANK('Data Entry'!$Đ$346), "", 'Data Entry'!$Đ$346)</f>
      </c>
      <c r="HA346">
        <f>IF(ISBLANK('Data Entry'!$đ$346), "", 'Data Entry'!$đ$346)</f>
      </c>
      <c r="HB346">
        <f>IF(ISBLANK('Data Entry'!$Ē$346), "", 'Data Entry'!$Ē$346)</f>
      </c>
      <c r="HC346">
        <f>IF(ISBLANK('Data Entry'!$ē$346), "", 'Data Entry'!$ē$346)</f>
      </c>
      <c r="HD346">
        <f>IF(ISBLANK('Data Entry'!$Ĕ$346), "", 'Data Entry'!$Ĕ$346)</f>
      </c>
      <c r="HE346">
        <f>IF(ISBLANK('Data Entry'!$ĕ$346), "", 'Data Entry'!$ĕ$346)</f>
      </c>
      <c r="HF346">
        <f>IF(ISBLANK('Data Entry'!$Ė$346), "", 'Data Entry'!$Ė$346)</f>
      </c>
      <c r="HG346">
        <f>IF(ISBLANK('Data Entry'!$ė$346), "", 'Data Entry'!$ė$346)</f>
      </c>
      <c r="HH346">
        <f>IF(ISBLANK('Data Entry'!$Ę$346), "", 'Data Entry'!$Ę$346)</f>
      </c>
      <c r="HI346">
        <f>IF(ISBLANK('Data Entry'!$ę$346), "", 'Data Entry'!$ę$346)</f>
      </c>
      <c r="HJ346">
        <f>IF(ISBLANK('Data Entry'!$Ě$346), "", 'Data Entry'!$Ě$346)</f>
      </c>
      <c r="HK346">
        <f>IF(ISBLANK('Data Entry'!$ě$346), "", 'Data Entry'!$ě$346)</f>
      </c>
      <c r="HL346">
        <f>IF(ISBLANK('Data Entry'!$Ĝ$346), "", 'Data Entry'!$Ĝ$346)</f>
      </c>
      <c r="HM346">
        <f>IF(ISBLANK('Data Entry'!$ĝ$346), "", 'Data Entry'!$ĝ$346)</f>
      </c>
      <c r="HN346">
        <f>IF(ISBLANK('Data Entry'!$Ğ$346), "", 'Data Entry'!$Ğ$346)</f>
      </c>
      <c r="HO346">
        <f>IF(ISBLANK('Data Entry'!$ğ$346), "", 'Data Entry'!$ğ$346)</f>
      </c>
      <c r="HP346">
        <f>IF(ISBLANK('Data Entry'!$Ġ$346), "", 'Data Entry'!$Ġ$346)</f>
      </c>
      <c r="HQ346">
        <f>IF(ISBLANK('Data Entry'!$ġ$346), "", 'Data Entry'!$ġ$346)</f>
      </c>
      <c r="HR346">
        <f>IF(ISBLANK('Data Entry'!$Ģ$346), "", 'Data Entry'!$Ģ$346)</f>
      </c>
      <c r="HS346">
        <f>IF(ISBLANK('Data Entry'!$ģ$346), "", 'Data Entry'!$ģ$346)</f>
      </c>
      <c r="HT346">
        <f>IF(ISBLANK('Data Entry'!$Ĥ$346), "", 'Data Entry'!$Ĥ$346)</f>
      </c>
      <c r="HU346">
        <f>IF(ISBLANK('Data Entry'!$ĥ$346), "", 'Data Entry'!$ĥ$346)</f>
      </c>
      <c r="HV346">
        <f>IF(ISBLANK('Data Entry'!$Ħ$346), "", 'Data Entry'!$Ħ$346)</f>
      </c>
      <c r="HW346">
        <f>IF(ISBLANK('Data Entry'!$ħ$346), "", 'Data Entry'!$ħ$346)</f>
      </c>
      <c r="HX346">
        <f>IF(ISBLANK('Data Entry'!$Ĩ$346), "", 'Data Entry'!$Ĩ$346)</f>
      </c>
      <c r="HY346">
        <f>IF(ISBLANK('Data Entry'!$ĩ$346), "", 'Data Entry'!$ĩ$346)</f>
      </c>
      <c r="HZ346">
        <f>IF(ISBLANK('Data Entry'!$Ī$346), "", 'Data Entry'!$Ī$346)</f>
      </c>
      <c r="IA346">
        <f>IF(ISBLANK('Data Entry'!$ī$346), "", 'Data Entry'!$ī$346)</f>
      </c>
      <c r="IB346">
        <f>IF(ISBLANK('Data Entry'!$Ĭ$346), "", 'Data Entry'!$Ĭ$346)</f>
      </c>
      <c r="IC346">
        <f>IF(ISBLANK('Data Entry'!$ĭ$346), "", 'Data Entry'!$ĭ$346)</f>
      </c>
      <c r="ID346">
        <f>IF(ISBLANK('Data Entry'!$Į$346), "", 'Data Entry'!$Į$346)</f>
      </c>
      <c r="IE346">
        <f>IF(ISBLANK('Data Entry'!$į$346), "", 'Data Entry'!$į$346)</f>
      </c>
      <c r="IF346">
        <f>IF(ISBLANK('Data Entry'!$İ$346), "", 'Data Entry'!$İ$346)</f>
      </c>
      <c r="IG346">
        <f>IF(ISBLANK('Data Entry'!$ı$346), "", 'Data Entry'!$ı$346)</f>
      </c>
      <c r="IH346">
        <f>IF(ISBLANK('Data Entry'!$Ĳ$346), "", 'Data Entry'!$Ĳ$346)</f>
      </c>
      <c r="II346">
        <f>IF(ISBLANK('Data Entry'!$ĳ$346), "", 'Data Entry'!$ĳ$346)</f>
      </c>
      <c r="IJ346">
        <f>IF(ISBLANK('Data Entry'!$Ĵ$346), "", 'Data Entry'!$Ĵ$346)</f>
      </c>
      <c r="IK346">
        <f>IF(ISBLANK('Data Entry'!$ĵ$346), "", 'Data Entry'!$ĵ$346)</f>
      </c>
      <c r="IL346">
        <f>IF(ISBLANK('Data Entry'!$Ķ$346), "", 'Data Entry'!$Ķ$346)</f>
      </c>
      <c r="IM346">
        <f>IF(ISBLANK('Data Entry'!$ķ$346), "", 'Data Entry'!$ķ$346)</f>
      </c>
      <c r="IN346">
        <f>IF(ISBLANK('Data Entry'!$ĸ$346), "", 'Data Entry'!$ĸ$346)</f>
      </c>
      <c r="IO346">
        <f>IF(ISBLANK('Data Entry'!$Ĺ$346), "", 'Data Entry'!$Ĺ$346)</f>
      </c>
      <c r="IP346">
        <f>IF(ISBLANK('Data Entry'!$ĺ$346), "", 'Data Entry'!$ĺ$346)</f>
      </c>
      <c r="IQ346">
        <f>IF(ISBLANK('Data Entry'!$Ļ$346), "", 'Data Entry'!$Ļ$346)</f>
      </c>
      <c r="IR346">
        <f>IF(ISBLANK('Data Entry'!$ļ$346), "", 'Data Entry'!$ļ$346)</f>
      </c>
      <c r="IS346">
        <f>IF(ISBLANK('Data Entry'!$Ľ$346), "", 'Data Entry'!$Ľ$346)</f>
      </c>
      <c r="IT346">
        <f>IF(ISBLANK('Data Entry'!$ľ$346), "", 'Data Entry'!$ľ$346)</f>
      </c>
    </row>
    <row r="347" spans="1:254" x14ac:dyDescent="0.25">
      <c r="A347">
        <f>IF(ISBLANK('Data Entry'!$A$347), "", 'Data Entry'!$A$347)</f>
      </c>
      <c r="B347">
        <f>IF(ISBLANK('Data Entry'!$B$347), "", 'Data Entry'!$B$347)</f>
      </c>
      <c r="C347">
        <f>IF(ISBLANK('Data Entry'!$C$347), "", 'Data Entry'!$C$347)</f>
      </c>
      <c r="D347">
        <f>IF(ISBLANK('Data Entry'!$D$347), "", 'Data Entry'!$D$347)</f>
      </c>
      <c r="E347">
        <f>IF(ISBLANK('Data Entry'!$E$347), "", 'Data Entry'!$E$347)</f>
      </c>
      <c r="F347">
        <f>IF(ISBLANK('Data Entry'!$F$347), "", 'Data Entry'!$F$347)</f>
      </c>
      <c r="G347">
        <f>IF(ISBLANK('Data Entry'!$G$347), "", 'Data Entry'!$G$347)</f>
      </c>
      <c r="H347">
        <f>IF(ISBLANK('Data Entry'!$H$347), "", 'Data Entry'!$H$347)</f>
      </c>
      <c r="I347">
        <f>IF(ISBLANK('Data Entry'!$I$347), "", 'Data Entry'!$I$347)</f>
      </c>
      <c r="J347">
        <f>IF(ISBLANK('Data Entry'!$J$347), "", 'Data Entry'!$J$347)</f>
      </c>
      <c r="K347">
        <f>IF(ISBLANK('Data Entry'!$K$347), "", 'Data Entry'!$K$347)</f>
      </c>
      <c r="L347">
        <f>IF(ISBLANK('Data Entry'!$L$347), "", 'Data Entry'!$L$347)</f>
      </c>
      <c r="M347">
        <f>IF(ISBLANK('Data Entry'!$M$347), "", 'Data Entry'!$M$347)</f>
      </c>
      <c r="N347">
        <f>IF(ISBLANK('Data Entry'!$N$347), "", 'Data Entry'!$N$347)</f>
      </c>
      <c r="O347">
        <f>IF(ISBLANK('Data Entry'!$O$347), "", 'Data Entry'!$O$347)</f>
      </c>
      <c r="P347">
        <f>IF(ISBLANK('Data Entry'!$P$347), "", 'Data Entry'!$P$347)</f>
      </c>
      <c r="Q347">
        <f>IF(ISBLANK('Data Entry'!$Q$347), "", 'Data Entry'!$Q$347)</f>
      </c>
      <c r="R347">
        <f>IF(ISBLANK('Data Entry'!$R$347), "", 'Data Entry'!$R$347)</f>
      </c>
      <c r="S347">
        <f>IF(ISBLANK('Data Entry'!$S$347), "", 'Data Entry'!$S$347)</f>
      </c>
      <c r="T347">
        <f>IF(ISBLANK('Data Entry'!$T$347), "", 'Data Entry'!$T$347)</f>
      </c>
      <c r="U347">
        <f>IF(ISBLANK('Data Entry'!$U$347), "", 'Data Entry'!$U$347)</f>
      </c>
      <c r="V347">
        <f>IF(ISBLANK('Data Entry'!$V$347), "", 'Data Entry'!$V$347)</f>
      </c>
      <c r="W347">
        <f>IF(ISBLANK('Data Entry'!$W$347), "", 'Data Entry'!$W$347)</f>
      </c>
      <c r="X347">
        <f>IF(ISBLANK('Data Entry'!$X$347), "", 'Data Entry'!$X$347)</f>
      </c>
      <c r="Y347">
        <f>IF(ISBLANK('Data Entry'!$Y$347), "", 'Data Entry'!$Y$347)</f>
      </c>
      <c r="Z347">
        <f>IF(ISBLANK('Data Entry'!$Z$347), "", 'Data Entry'!$Z$347)</f>
      </c>
      <c r="AA347">
        <f>IF(ISBLANK('Data Entry'!$[$347), "", 'Data Entry'!$[$347)</f>
      </c>
      <c r="AB347">
        <f>IF(ISBLANK('Data Entry'!$\$347), "", 'Data Entry'!$\$347)</f>
      </c>
      <c r="AC347">
        <f>IF(ISBLANK('Data Entry'!$]$347), "", 'Data Entry'!$]$347)</f>
      </c>
      <c r="AD347">
        <f>IF(ISBLANK('Data Entry'!$^$347), "", 'Data Entry'!$^$347)</f>
      </c>
      <c r="AE347">
        <f>IF(ISBLANK('Data Entry'!$_$347), "", 'Data Entry'!$_$347)</f>
      </c>
      <c r="AF347">
        <f>IF(ISBLANK('Data Entry'!$`$347), "", 'Data Entry'!$`$347)</f>
      </c>
      <c r="AG347">
        <f>IF(ISBLANK('Data Entry'!$a$347), "", 'Data Entry'!$a$347)</f>
      </c>
      <c r="AH347">
        <f>IF(ISBLANK('Data Entry'!$b$347), "", 'Data Entry'!$b$347)</f>
      </c>
      <c r="AI347">
        <f>IF(ISBLANK('Data Entry'!$c$347), "", 'Data Entry'!$c$347)</f>
      </c>
      <c r="AJ347">
        <f>IF(ISBLANK('Data Entry'!$d$347), "", 'Data Entry'!$d$347)</f>
      </c>
      <c r="AK347">
        <f>IF(ISBLANK('Data Entry'!$e$347), "", 'Data Entry'!$e$347)</f>
      </c>
      <c r="AL347">
        <f>IF(ISBLANK('Data Entry'!$f$347), "", 'Data Entry'!$f$347)</f>
      </c>
      <c r="AM347">
        <f>IF(ISBLANK('Data Entry'!$g$347), "", 'Data Entry'!$g$347)</f>
      </c>
      <c r="AN347">
        <f>IF(ISBLANK('Data Entry'!$h$347), "", 'Data Entry'!$h$347)</f>
      </c>
      <c r="AO347">
        <f>IF(ISBLANK('Data Entry'!$i$347), "", 'Data Entry'!$i$347)</f>
      </c>
      <c r="AP347">
        <f>IF(ISBLANK('Data Entry'!$j$347), "", 'Data Entry'!$j$347)</f>
      </c>
      <c r="AQ347">
        <f>IF(ISBLANK('Data Entry'!$k$347), "", 'Data Entry'!$k$347)</f>
      </c>
      <c r="AR347">
        <f>IF(ISBLANK('Data Entry'!$l$347), "", 'Data Entry'!$l$347)</f>
      </c>
      <c r="AS347">
        <f>IF(ISBLANK('Data Entry'!$m$347), "", 'Data Entry'!$m$347)</f>
      </c>
      <c r="AT347">
        <f>IF(ISBLANK('Data Entry'!$n$347), "", 'Data Entry'!$n$347)</f>
      </c>
      <c r="AU347">
        <f>IF(ISBLANK('Data Entry'!$o$347), "", 'Data Entry'!$o$347)</f>
      </c>
      <c r="AV347">
        <f>IF(ISBLANK('Data Entry'!$p$347), "", 'Data Entry'!$p$347)</f>
      </c>
      <c r="AW347">
        <f>IF(ISBLANK('Data Entry'!$q$347), "", 'Data Entry'!$q$347)</f>
      </c>
      <c r="AX347">
        <f>IF(ISBLANK('Data Entry'!$r$347), "", 'Data Entry'!$r$347)</f>
      </c>
      <c r="AY347">
        <f>IF(ISBLANK('Data Entry'!$s$347), "", 'Data Entry'!$s$347)</f>
      </c>
      <c r="AZ347">
        <f>IF(ISBLANK('Data Entry'!$t$347), "", 'Data Entry'!$t$347)</f>
      </c>
      <c r="BA347">
        <f>IF(ISBLANK('Data Entry'!$u$347), "", 'Data Entry'!$u$347)</f>
      </c>
      <c r="BB347">
        <f>IF(ISBLANK('Data Entry'!$v$347), "", 'Data Entry'!$v$347)</f>
      </c>
      <c r="BC347">
        <f>IF(ISBLANK('Data Entry'!$w$347), "", 'Data Entry'!$w$347)</f>
      </c>
      <c r="BD347">
        <f>IF(ISBLANK('Data Entry'!$x$347), "", 'Data Entry'!$x$347)</f>
      </c>
      <c r="BE347">
        <f>IF(ISBLANK('Data Entry'!$y$347), "", 'Data Entry'!$y$347)</f>
      </c>
      <c r="BF347">
        <f>IF(ISBLANK('Data Entry'!$z$347), "", 'Data Entry'!$z$347)</f>
      </c>
      <c r="BG347">
        <f>IF(ISBLANK('Data Entry'!${$347), "", 'Data Entry'!${$347)</f>
      </c>
      <c r="BH347">
        <f>IF(ISBLANK('Data Entry'!$|$347), "", 'Data Entry'!$|$347)</f>
      </c>
      <c r="BI347">
        <f>IF(ISBLANK('Data Entry'!$}$347), "", 'Data Entry'!$}$347)</f>
      </c>
      <c r="BJ347">
        <f>IF(ISBLANK('Data Entry'!$~$347), "", 'Data Entry'!$~$347)</f>
      </c>
      <c r="BK347">
        <f>IF(ISBLANK('Data Entry'!$$347), "", 'Data Entry'!$$347)</f>
      </c>
      <c r="BL347">
        <f>IF(ISBLANK('Data Entry'!$$347), "", 'Data Entry'!$$347)</f>
      </c>
      <c r="BM347">
        <f>IF(ISBLANK('Data Entry'!$$347), "", 'Data Entry'!$$347)</f>
      </c>
      <c r="BN347">
        <f>IF(ISBLANK('Data Entry'!$$347), "", 'Data Entry'!$$347)</f>
      </c>
      <c r="BO347">
        <f>IF(ISBLANK('Data Entry'!$$347), "", 'Data Entry'!$$347)</f>
      </c>
      <c r="BP347">
        <f>IF(ISBLANK('Data Entry'!$$347), "", 'Data Entry'!$$347)</f>
      </c>
      <c r="BQ347">
        <f>IF(ISBLANK('Data Entry'!$$347), "", 'Data Entry'!$$347)</f>
      </c>
      <c r="BR347">
        <f>IF(ISBLANK('Data Entry'!$$347), "", 'Data Entry'!$$347)</f>
      </c>
      <c r="BS347">
        <f>IF(ISBLANK('Data Entry'!$$347), "", 'Data Entry'!$$347)</f>
      </c>
      <c r="BT347">
        <f>IF(ISBLANK('Data Entry'!$$347), "", 'Data Entry'!$$347)</f>
      </c>
      <c r="BU347">
        <f>IF(ISBLANK('Data Entry'!$$347), "", 'Data Entry'!$$347)</f>
      </c>
      <c r="BV347">
        <f>IF(ISBLANK('Data Entry'!$$347), "", 'Data Entry'!$$347)</f>
      </c>
      <c r="BW347">
        <f>IF(ISBLANK('Data Entry'!$$347), "", 'Data Entry'!$$347)</f>
      </c>
      <c r="BX347">
        <f>IF(ISBLANK('Data Entry'!$$347), "", 'Data Entry'!$$347)</f>
      </c>
      <c r="BY347">
        <f>IF(ISBLANK('Data Entry'!$$347), "", 'Data Entry'!$$347)</f>
      </c>
      <c r="BZ347">
        <f>IF(ISBLANK('Data Entry'!$$347), "", 'Data Entry'!$$347)</f>
      </c>
      <c r="CA347">
        <f>IF(ISBLANK('Data Entry'!$$347), "", 'Data Entry'!$$347)</f>
      </c>
      <c r="CB347">
        <f>IF(ISBLANK('Data Entry'!$$347), "", 'Data Entry'!$$347)</f>
      </c>
      <c r="CC347">
        <f>IF(ISBLANK('Data Entry'!$$347), "", 'Data Entry'!$$347)</f>
      </c>
      <c r="CD347">
        <f>IF(ISBLANK('Data Entry'!$$347), "", 'Data Entry'!$$347)</f>
      </c>
      <c r="CE347">
        <f>IF(ISBLANK('Data Entry'!$$347), "", 'Data Entry'!$$347)</f>
      </c>
      <c r="CF347">
        <f>IF(ISBLANK('Data Entry'!$$347), "", 'Data Entry'!$$347)</f>
      </c>
      <c r="CG347">
        <f>IF(ISBLANK('Data Entry'!$$347), "", 'Data Entry'!$$347)</f>
      </c>
      <c r="CH347">
        <f>IF(ISBLANK('Data Entry'!$$347), "", 'Data Entry'!$$347)</f>
      </c>
      <c r="CI347">
        <f>IF(ISBLANK('Data Entry'!$$347), "", 'Data Entry'!$$347)</f>
      </c>
      <c r="CJ347">
        <f>IF(ISBLANK('Data Entry'!$$347), "", 'Data Entry'!$$347)</f>
      </c>
      <c r="CK347">
        <f>IF(ISBLANK('Data Entry'!$$347), "", 'Data Entry'!$$347)</f>
      </c>
      <c r="CL347">
        <f>IF(ISBLANK('Data Entry'!$$347), "", 'Data Entry'!$$347)</f>
      </c>
      <c r="CM347">
        <f>IF(ISBLANK('Data Entry'!$$347), "", 'Data Entry'!$$347)</f>
      </c>
      <c r="CN347">
        <f>IF(ISBLANK('Data Entry'!$$347), "", 'Data Entry'!$$347)</f>
      </c>
      <c r="CO347">
        <f>IF(ISBLANK('Data Entry'!$$347), "", 'Data Entry'!$$347)</f>
      </c>
      <c r="CP347">
        <f>IF(ISBLANK('Data Entry'!$$347), "", 'Data Entry'!$$347)</f>
      </c>
      <c r="CQ347">
        <f>IF(ISBLANK('Data Entry'!$$347), "", 'Data Entry'!$$347)</f>
      </c>
      <c r="CR347">
        <f>IF(ISBLANK('Data Entry'!$ $347), "", 'Data Entry'!$ $347)</f>
      </c>
      <c r="CS347">
        <f>IF(ISBLANK('Data Entry'!$¡$347), "", 'Data Entry'!$¡$347)</f>
      </c>
      <c r="CT347">
        <f>IF(ISBLANK('Data Entry'!$¢$347), "", 'Data Entry'!$¢$347)</f>
      </c>
      <c r="CU347">
        <f>IF(ISBLANK('Data Entry'!$£$347), "", 'Data Entry'!$£$347)</f>
      </c>
      <c r="CV347">
        <f>IF(ISBLANK('Data Entry'!$¤$347), "", 'Data Entry'!$¤$347)</f>
      </c>
      <c r="CW347">
        <f>IF(ISBLANK('Data Entry'!$¥$347), "", 'Data Entry'!$¥$347)</f>
      </c>
      <c r="CX347">
        <f>IF(ISBLANK('Data Entry'!$¦$347), "", 'Data Entry'!$¦$347)</f>
      </c>
      <c r="CY347">
        <f>IF(ISBLANK('Data Entry'!$§$347), "", 'Data Entry'!$§$347)</f>
      </c>
      <c r="CZ347">
        <f>IF(ISBLANK('Data Entry'!$¨$347), "", 'Data Entry'!$¨$347)</f>
      </c>
      <c r="DA347">
        <f>IF(ISBLANK('Data Entry'!$©$347), "", 'Data Entry'!$©$347)</f>
      </c>
      <c r="DB347">
        <f>IF(ISBLANK('Data Entry'!$ª$347), "", 'Data Entry'!$ª$347)</f>
      </c>
      <c r="DC347">
        <f>IF(ISBLANK('Data Entry'!$«$347), "", 'Data Entry'!$«$347)</f>
      </c>
      <c r="DD347">
        <f>IF(ISBLANK('Data Entry'!$¬$347), "", 'Data Entry'!$¬$347)</f>
      </c>
      <c r="DE347">
        <f>IF(ISBLANK('Data Entry'!$­$347), "", 'Data Entry'!$­$347)</f>
      </c>
      <c r="DF347">
        <f>IF(ISBLANK('Data Entry'!$®$347), "", 'Data Entry'!$®$347)</f>
      </c>
      <c r="DG347">
        <f>IF(ISBLANK('Data Entry'!$¯$347), "", 'Data Entry'!$¯$347)</f>
      </c>
      <c r="DH347">
        <f>IF(ISBLANK('Data Entry'!$°$347), "", 'Data Entry'!$°$347)</f>
      </c>
      <c r="DI347">
        <f>IF(ISBLANK('Data Entry'!$±$347), "", 'Data Entry'!$±$347)</f>
      </c>
      <c r="DJ347">
        <f>IF(ISBLANK('Data Entry'!$²$347), "", 'Data Entry'!$²$347)</f>
      </c>
      <c r="DK347">
        <f>IF(ISBLANK('Data Entry'!$³$347), "", 'Data Entry'!$³$347)</f>
      </c>
      <c r="DL347">
        <f>IF(ISBLANK('Data Entry'!$´$347), "", 'Data Entry'!$´$347)</f>
      </c>
      <c r="DM347">
        <f>IF(ISBLANK('Data Entry'!$µ$347), "", 'Data Entry'!$µ$347)</f>
      </c>
      <c r="DN347">
        <f>IF(ISBLANK('Data Entry'!$¶$347), "", 'Data Entry'!$¶$347)</f>
      </c>
      <c r="DO347">
        <f>IF(ISBLANK('Data Entry'!$·$347), "", 'Data Entry'!$·$347)</f>
      </c>
      <c r="DP347">
        <f>IF(ISBLANK('Data Entry'!$¸$347), "", 'Data Entry'!$¸$347)</f>
      </c>
      <c r="DQ347">
        <f>IF(ISBLANK('Data Entry'!$¹$347), "", 'Data Entry'!$¹$347)</f>
      </c>
      <c r="DR347">
        <f>IF(ISBLANK('Data Entry'!$º$347), "", 'Data Entry'!$º$347)</f>
      </c>
      <c r="DS347">
        <f>IF(ISBLANK('Data Entry'!$»$347), "", 'Data Entry'!$»$347)</f>
      </c>
      <c r="DT347">
        <f>IF(ISBLANK('Data Entry'!$¼$347), "", 'Data Entry'!$¼$347)</f>
      </c>
      <c r="DU347">
        <f>IF(ISBLANK('Data Entry'!$½$347), "", 'Data Entry'!$½$347)</f>
      </c>
      <c r="DV347">
        <f>IF(ISBLANK('Data Entry'!$¾$347), "", 'Data Entry'!$¾$347)</f>
      </c>
      <c r="DW347">
        <f>IF(ISBLANK('Data Entry'!$¿$347), "", 'Data Entry'!$¿$347)</f>
      </c>
      <c r="DX347">
        <f>IF(ISBLANK('Data Entry'!$À$347), "", 'Data Entry'!$À$347)</f>
      </c>
      <c r="DY347">
        <f>IF(ISBLANK('Data Entry'!$Á$347), "", 'Data Entry'!$Á$347)</f>
      </c>
      <c r="DZ347">
        <f>IF(ISBLANK('Data Entry'!$Â$347), "", 'Data Entry'!$Â$347)</f>
      </c>
      <c r="EA347">
        <f>IF(ISBLANK('Data Entry'!$Ã$347), "", 'Data Entry'!$Ã$347)</f>
      </c>
      <c r="EB347">
        <f>IF(ISBLANK('Data Entry'!$Ä$347), "", 'Data Entry'!$Ä$347)</f>
      </c>
      <c r="EC347">
        <f>IF(ISBLANK('Data Entry'!$Å$347), "", 'Data Entry'!$Å$347)</f>
      </c>
      <c r="ED347">
        <f>IF(ISBLANK('Data Entry'!$Æ$347), "", 'Data Entry'!$Æ$347)</f>
      </c>
      <c r="EE347">
        <f>IF(ISBLANK('Data Entry'!$Ç$347), "", 'Data Entry'!$Ç$347)</f>
      </c>
      <c r="EF347">
        <f>IF(ISBLANK('Data Entry'!$È$347), "", 'Data Entry'!$È$347)</f>
      </c>
      <c r="EG347">
        <f>IF(ISBLANK('Data Entry'!$É$347), "", 'Data Entry'!$É$347)</f>
      </c>
      <c r="EH347">
        <f>IF(ISBLANK('Data Entry'!$Ê$347), "", 'Data Entry'!$Ê$347)</f>
      </c>
      <c r="EI347">
        <f>IF(ISBLANK('Data Entry'!$Ë$347), "", 'Data Entry'!$Ë$347)</f>
      </c>
      <c r="EJ347">
        <f>IF(ISBLANK('Data Entry'!$Ì$347), "", 'Data Entry'!$Ì$347)</f>
      </c>
      <c r="EK347">
        <f>IF(ISBLANK('Data Entry'!$Í$347), "", 'Data Entry'!$Í$347)</f>
      </c>
      <c r="EL347">
        <f>IF(ISBLANK('Data Entry'!$Î$347), "", 'Data Entry'!$Î$347)</f>
      </c>
      <c r="EM347">
        <f>IF(ISBLANK('Data Entry'!$Ï$347), "", 'Data Entry'!$Ï$347)</f>
      </c>
      <c r="EN347">
        <f>IF(ISBLANK('Data Entry'!$Ð$347), "", 'Data Entry'!$Ð$347)</f>
      </c>
      <c r="EO347">
        <f>IF(ISBLANK('Data Entry'!$Ñ$347), "", 'Data Entry'!$Ñ$347)</f>
      </c>
      <c r="EP347">
        <f>IF(ISBLANK('Data Entry'!$Ò$347), "", 'Data Entry'!$Ò$347)</f>
      </c>
      <c r="EQ347">
        <f>IF(ISBLANK('Data Entry'!$Ó$347), "", 'Data Entry'!$Ó$347)</f>
      </c>
      <c r="ER347">
        <f>IF(ISBLANK('Data Entry'!$Ô$347), "", 'Data Entry'!$Ô$347)</f>
      </c>
      <c r="ES347">
        <f>IF(ISBLANK('Data Entry'!$Õ$347), "", 'Data Entry'!$Õ$347)</f>
      </c>
      <c r="ET347">
        <f>IF(ISBLANK('Data Entry'!$Ö$347), "", 'Data Entry'!$Ö$347)</f>
      </c>
      <c r="EU347">
        <f>IF(ISBLANK('Data Entry'!$×$347), "", 'Data Entry'!$×$347)</f>
      </c>
      <c r="EV347">
        <f>IF(ISBLANK('Data Entry'!$Ø$347), "", 'Data Entry'!$Ø$347)</f>
      </c>
      <c r="EW347">
        <f>IF(ISBLANK('Data Entry'!$Ù$347), "", 'Data Entry'!$Ù$347)</f>
      </c>
      <c r="EX347">
        <f>IF(ISBLANK('Data Entry'!$Ú$347), "", 'Data Entry'!$Ú$347)</f>
      </c>
      <c r="EY347">
        <f>IF(ISBLANK('Data Entry'!$Û$347), "", 'Data Entry'!$Û$347)</f>
      </c>
      <c r="EZ347">
        <f>IF(ISBLANK('Data Entry'!$Ü$347), "", 'Data Entry'!$Ü$347)</f>
      </c>
      <c r="FA347">
        <f>IF(ISBLANK('Data Entry'!$Ý$347), "", 'Data Entry'!$Ý$347)</f>
      </c>
      <c r="FB347">
        <f>IF(ISBLANK('Data Entry'!$Þ$347), "", 'Data Entry'!$Þ$347)</f>
      </c>
      <c r="FC347">
        <f>IF(ISBLANK('Data Entry'!$ß$347), "", 'Data Entry'!$ß$347)</f>
      </c>
      <c r="FD347">
        <f>IF(ISBLANK('Data Entry'!$à$347), "", 'Data Entry'!$à$347)</f>
      </c>
      <c r="FE347">
        <f>IF(ISBLANK('Data Entry'!$á$347), "", 'Data Entry'!$á$347)</f>
      </c>
      <c r="FF347">
        <f>IF(ISBLANK('Data Entry'!$â$347), "", 'Data Entry'!$â$347)</f>
      </c>
      <c r="FG347">
        <f>IF(ISBLANK('Data Entry'!$ã$347), "", 'Data Entry'!$ã$347)</f>
      </c>
      <c r="FH347">
        <f>IF(ISBLANK('Data Entry'!$ä$347), "", 'Data Entry'!$ä$347)</f>
      </c>
      <c r="FI347">
        <f>IF(ISBLANK('Data Entry'!$å$347), "", 'Data Entry'!$å$347)</f>
      </c>
      <c r="FJ347">
        <f>IF(ISBLANK('Data Entry'!$æ$347), "", 'Data Entry'!$æ$347)</f>
      </c>
      <c r="FK347">
        <f>IF(ISBLANK('Data Entry'!$ç$347), "", 'Data Entry'!$ç$347)</f>
      </c>
      <c r="FL347">
        <f>IF(ISBLANK('Data Entry'!$è$347), "", 'Data Entry'!$è$347)</f>
      </c>
      <c r="FM347">
        <f>IF(ISBLANK('Data Entry'!$é$347), "", 'Data Entry'!$é$347)</f>
      </c>
      <c r="FN347">
        <f>IF(ISBLANK('Data Entry'!$ê$347), "", 'Data Entry'!$ê$347)</f>
      </c>
      <c r="FO347">
        <f>IF(ISBLANK('Data Entry'!$ë$347), "", 'Data Entry'!$ë$347)</f>
      </c>
      <c r="FP347">
        <f>IF(ISBLANK('Data Entry'!$ì$347), "", 'Data Entry'!$ì$347)</f>
      </c>
      <c r="FQ347">
        <f>IF(ISBLANK('Data Entry'!$í$347), "", 'Data Entry'!$í$347)</f>
      </c>
      <c r="FR347">
        <f>IF(ISBLANK('Data Entry'!$î$347), "", 'Data Entry'!$î$347)</f>
      </c>
      <c r="FS347">
        <f>IF(ISBLANK('Data Entry'!$ï$347), "", 'Data Entry'!$ï$347)</f>
      </c>
      <c r="FT347">
        <f>IF(ISBLANK('Data Entry'!$ð$347), "", 'Data Entry'!$ð$347)</f>
      </c>
      <c r="FU347">
        <f>IF(ISBLANK('Data Entry'!$ñ$347), "", 'Data Entry'!$ñ$347)</f>
      </c>
      <c r="FV347">
        <f>IF(ISBLANK('Data Entry'!$ò$347), "", 'Data Entry'!$ò$347)</f>
      </c>
      <c r="FW347">
        <f>IF(ISBLANK('Data Entry'!$ó$347), "", 'Data Entry'!$ó$347)</f>
      </c>
      <c r="FX347">
        <f>IF(ISBLANK('Data Entry'!$ô$347), "", 'Data Entry'!$ô$347)</f>
      </c>
      <c r="FY347">
        <f>IF(ISBLANK('Data Entry'!$õ$347), "", 'Data Entry'!$õ$347)</f>
      </c>
      <c r="FZ347">
        <f>IF(ISBLANK('Data Entry'!$ö$347), "", 'Data Entry'!$ö$347)</f>
      </c>
      <c r="GA347">
        <f>IF(ISBLANK('Data Entry'!$÷$347), "", 'Data Entry'!$÷$347)</f>
      </c>
      <c r="GB347">
        <f>IF(ISBLANK('Data Entry'!$ø$347), "", 'Data Entry'!$ø$347)</f>
      </c>
      <c r="GC347">
        <f>IF(ISBLANK('Data Entry'!$ù$347), "", 'Data Entry'!$ù$347)</f>
      </c>
      <c r="GD347">
        <f>IF(ISBLANK('Data Entry'!$ú$347), "", 'Data Entry'!$ú$347)</f>
      </c>
      <c r="GE347">
        <f>IF(ISBLANK('Data Entry'!$û$347), "", 'Data Entry'!$û$347)</f>
      </c>
      <c r="GF347">
        <f>IF(ISBLANK('Data Entry'!$ü$347), "", 'Data Entry'!$ü$347)</f>
      </c>
      <c r="GG347">
        <f>IF(ISBLANK('Data Entry'!$ý$347), "", 'Data Entry'!$ý$347)</f>
      </c>
      <c r="GH347">
        <f>IF(ISBLANK('Data Entry'!$þ$347), "", 'Data Entry'!$þ$347)</f>
      </c>
      <c r="GI347">
        <f>IF(ISBLANK('Data Entry'!$ÿ$347), "", 'Data Entry'!$ÿ$347)</f>
      </c>
      <c r="GJ347">
        <f>IF(ISBLANK('Data Entry'!$Ā$347), "", 'Data Entry'!$Ā$347)</f>
      </c>
      <c r="GK347">
        <f>IF(ISBLANK('Data Entry'!$ā$347), "", 'Data Entry'!$ā$347)</f>
      </c>
      <c r="GL347">
        <f>IF(ISBLANK('Data Entry'!$Ă$347), "", 'Data Entry'!$Ă$347)</f>
      </c>
      <c r="GM347">
        <f>IF(ISBLANK('Data Entry'!$ă$347), "", 'Data Entry'!$ă$347)</f>
      </c>
      <c r="GN347">
        <f>IF(ISBLANK('Data Entry'!$Ą$347), "", 'Data Entry'!$Ą$347)</f>
      </c>
      <c r="GO347">
        <f>IF(ISBLANK('Data Entry'!$ą$347), "", 'Data Entry'!$ą$347)</f>
      </c>
      <c r="GP347">
        <f>IF(ISBLANK('Data Entry'!$Ć$347), "", 'Data Entry'!$Ć$347)</f>
      </c>
      <c r="GQ347">
        <f>IF(ISBLANK('Data Entry'!$ć$347), "", 'Data Entry'!$ć$347)</f>
      </c>
      <c r="GR347">
        <f>IF(ISBLANK('Data Entry'!$Ĉ$347), "", 'Data Entry'!$Ĉ$347)</f>
      </c>
      <c r="GS347">
        <f>IF(ISBLANK('Data Entry'!$ĉ$347), "", 'Data Entry'!$ĉ$347)</f>
      </c>
      <c r="GT347">
        <f>IF(ISBLANK('Data Entry'!$Ċ$347), "", 'Data Entry'!$Ċ$347)</f>
      </c>
      <c r="GU347">
        <f>IF(ISBLANK('Data Entry'!$ċ$347), "", 'Data Entry'!$ċ$347)</f>
      </c>
      <c r="GV347">
        <f>IF(ISBLANK('Data Entry'!$Č$347), "", 'Data Entry'!$Č$347)</f>
      </c>
      <c r="GW347">
        <f>IF(ISBLANK('Data Entry'!$č$347), "", 'Data Entry'!$č$347)</f>
      </c>
      <c r="GX347">
        <f>IF(ISBLANK('Data Entry'!$Ď$347), "", 'Data Entry'!$Ď$347)</f>
      </c>
      <c r="GY347">
        <f>IF(ISBLANK('Data Entry'!$ď$347), "", 'Data Entry'!$ď$347)</f>
      </c>
      <c r="GZ347">
        <f>IF(ISBLANK('Data Entry'!$Đ$347), "", 'Data Entry'!$Đ$347)</f>
      </c>
      <c r="HA347">
        <f>IF(ISBLANK('Data Entry'!$đ$347), "", 'Data Entry'!$đ$347)</f>
      </c>
      <c r="HB347">
        <f>IF(ISBLANK('Data Entry'!$Ē$347), "", 'Data Entry'!$Ē$347)</f>
      </c>
      <c r="HC347">
        <f>IF(ISBLANK('Data Entry'!$ē$347), "", 'Data Entry'!$ē$347)</f>
      </c>
      <c r="HD347">
        <f>IF(ISBLANK('Data Entry'!$Ĕ$347), "", 'Data Entry'!$Ĕ$347)</f>
      </c>
      <c r="HE347">
        <f>IF(ISBLANK('Data Entry'!$ĕ$347), "", 'Data Entry'!$ĕ$347)</f>
      </c>
      <c r="HF347">
        <f>IF(ISBLANK('Data Entry'!$Ė$347), "", 'Data Entry'!$Ė$347)</f>
      </c>
      <c r="HG347">
        <f>IF(ISBLANK('Data Entry'!$ė$347), "", 'Data Entry'!$ė$347)</f>
      </c>
      <c r="HH347">
        <f>IF(ISBLANK('Data Entry'!$Ę$347), "", 'Data Entry'!$Ę$347)</f>
      </c>
      <c r="HI347">
        <f>IF(ISBLANK('Data Entry'!$ę$347), "", 'Data Entry'!$ę$347)</f>
      </c>
      <c r="HJ347">
        <f>IF(ISBLANK('Data Entry'!$Ě$347), "", 'Data Entry'!$Ě$347)</f>
      </c>
      <c r="HK347">
        <f>IF(ISBLANK('Data Entry'!$ě$347), "", 'Data Entry'!$ě$347)</f>
      </c>
      <c r="HL347">
        <f>IF(ISBLANK('Data Entry'!$Ĝ$347), "", 'Data Entry'!$Ĝ$347)</f>
      </c>
      <c r="HM347">
        <f>IF(ISBLANK('Data Entry'!$ĝ$347), "", 'Data Entry'!$ĝ$347)</f>
      </c>
      <c r="HN347">
        <f>IF(ISBLANK('Data Entry'!$Ğ$347), "", 'Data Entry'!$Ğ$347)</f>
      </c>
      <c r="HO347">
        <f>IF(ISBLANK('Data Entry'!$ğ$347), "", 'Data Entry'!$ğ$347)</f>
      </c>
      <c r="HP347">
        <f>IF(ISBLANK('Data Entry'!$Ġ$347), "", 'Data Entry'!$Ġ$347)</f>
      </c>
      <c r="HQ347">
        <f>IF(ISBLANK('Data Entry'!$ġ$347), "", 'Data Entry'!$ġ$347)</f>
      </c>
      <c r="HR347">
        <f>IF(ISBLANK('Data Entry'!$Ģ$347), "", 'Data Entry'!$Ģ$347)</f>
      </c>
      <c r="HS347">
        <f>IF(ISBLANK('Data Entry'!$ģ$347), "", 'Data Entry'!$ģ$347)</f>
      </c>
      <c r="HT347">
        <f>IF(ISBLANK('Data Entry'!$Ĥ$347), "", 'Data Entry'!$Ĥ$347)</f>
      </c>
      <c r="HU347">
        <f>IF(ISBLANK('Data Entry'!$ĥ$347), "", 'Data Entry'!$ĥ$347)</f>
      </c>
      <c r="HV347">
        <f>IF(ISBLANK('Data Entry'!$Ħ$347), "", 'Data Entry'!$Ħ$347)</f>
      </c>
      <c r="HW347">
        <f>IF(ISBLANK('Data Entry'!$ħ$347), "", 'Data Entry'!$ħ$347)</f>
      </c>
      <c r="HX347">
        <f>IF(ISBLANK('Data Entry'!$Ĩ$347), "", 'Data Entry'!$Ĩ$347)</f>
      </c>
      <c r="HY347">
        <f>IF(ISBLANK('Data Entry'!$ĩ$347), "", 'Data Entry'!$ĩ$347)</f>
      </c>
      <c r="HZ347">
        <f>IF(ISBLANK('Data Entry'!$Ī$347), "", 'Data Entry'!$Ī$347)</f>
      </c>
      <c r="IA347">
        <f>IF(ISBLANK('Data Entry'!$ī$347), "", 'Data Entry'!$ī$347)</f>
      </c>
      <c r="IB347">
        <f>IF(ISBLANK('Data Entry'!$Ĭ$347), "", 'Data Entry'!$Ĭ$347)</f>
      </c>
      <c r="IC347">
        <f>IF(ISBLANK('Data Entry'!$ĭ$347), "", 'Data Entry'!$ĭ$347)</f>
      </c>
      <c r="ID347">
        <f>IF(ISBLANK('Data Entry'!$Į$347), "", 'Data Entry'!$Į$347)</f>
      </c>
      <c r="IE347">
        <f>IF(ISBLANK('Data Entry'!$į$347), "", 'Data Entry'!$į$347)</f>
      </c>
      <c r="IF347">
        <f>IF(ISBLANK('Data Entry'!$İ$347), "", 'Data Entry'!$İ$347)</f>
      </c>
      <c r="IG347">
        <f>IF(ISBLANK('Data Entry'!$ı$347), "", 'Data Entry'!$ı$347)</f>
      </c>
      <c r="IH347">
        <f>IF(ISBLANK('Data Entry'!$Ĳ$347), "", 'Data Entry'!$Ĳ$347)</f>
      </c>
      <c r="II347">
        <f>IF(ISBLANK('Data Entry'!$ĳ$347), "", 'Data Entry'!$ĳ$347)</f>
      </c>
      <c r="IJ347">
        <f>IF(ISBLANK('Data Entry'!$Ĵ$347), "", 'Data Entry'!$Ĵ$347)</f>
      </c>
      <c r="IK347">
        <f>IF(ISBLANK('Data Entry'!$ĵ$347), "", 'Data Entry'!$ĵ$347)</f>
      </c>
      <c r="IL347">
        <f>IF(ISBLANK('Data Entry'!$Ķ$347), "", 'Data Entry'!$Ķ$347)</f>
      </c>
      <c r="IM347">
        <f>IF(ISBLANK('Data Entry'!$ķ$347), "", 'Data Entry'!$ķ$347)</f>
      </c>
      <c r="IN347">
        <f>IF(ISBLANK('Data Entry'!$ĸ$347), "", 'Data Entry'!$ĸ$347)</f>
      </c>
      <c r="IO347">
        <f>IF(ISBLANK('Data Entry'!$Ĺ$347), "", 'Data Entry'!$Ĺ$347)</f>
      </c>
      <c r="IP347">
        <f>IF(ISBLANK('Data Entry'!$ĺ$347), "", 'Data Entry'!$ĺ$347)</f>
      </c>
      <c r="IQ347">
        <f>IF(ISBLANK('Data Entry'!$Ļ$347), "", 'Data Entry'!$Ļ$347)</f>
      </c>
      <c r="IR347">
        <f>IF(ISBLANK('Data Entry'!$ļ$347), "", 'Data Entry'!$ļ$347)</f>
      </c>
      <c r="IS347">
        <f>IF(ISBLANK('Data Entry'!$Ľ$347), "", 'Data Entry'!$Ľ$347)</f>
      </c>
      <c r="IT347">
        <f>IF(ISBLANK('Data Entry'!$ľ$347), "", 'Data Entry'!$ľ$347)</f>
      </c>
    </row>
    <row r="348" spans="1:254" x14ac:dyDescent="0.25">
      <c r="A348">
        <f>IF(ISBLANK('Data Entry'!$A$348), "", 'Data Entry'!$A$348)</f>
      </c>
      <c r="B348">
        <f>IF(ISBLANK('Data Entry'!$B$348), "", 'Data Entry'!$B$348)</f>
      </c>
      <c r="C348">
        <f>IF(ISBLANK('Data Entry'!$C$348), "", 'Data Entry'!$C$348)</f>
      </c>
      <c r="D348">
        <f>IF(ISBLANK('Data Entry'!$D$348), "", 'Data Entry'!$D$348)</f>
      </c>
      <c r="E348">
        <f>IF(ISBLANK('Data Entry'!$E$348), "", 'Data Entry'!$E$348)</f>
      </c>
      <c r="F348">
        <f>IF(ISBLANK('Data Entry'!$F$348), "", 'Data Entry'!$F$348)</f>
      </c>
      <c r="G348">
        <f>IF(ISBLANK('Data Entry'!$G$348), "", 'Data Entry'!$G$348)</f>
      </c>
      <c r="H348">
        <f>IF(ISBLANK('Data Entry'!$H$348), "", 'Data Entry'!$H$348)</f>
      </c>
      <c r="I348">
        <f>IF(ISBLANK('Data Entry'!$I$348), "", 'Data Entry'!$I$348)</f>
      </c>
      <c r="J348">
        <f>IF(ISBLANK('Data Entry'!$J$348), "", 'Data Entry'!$J$348)</f>
      </c>
      <c r="K348">
        <f>IF(ISBLANK('Data Entry'!$K$348), "", 'Data Entry'!$K$348)</f>
      </c>
      <c r="L348">
        <f>IF(ISBLANK('Data Entry'!$L$348), "", 'Data Entry'!$L$348)</f>
      </c>
      <c r="M348">
        <f>IF(ISBLANK('Data Entry'!$M$348), "", 'Data Entry'!$M$348)</f>
      </c>
      <c r="N348">
        <f>IF(ISBLANK('Data Entry'!$N$348), "", 'Data Entry'!$N$348)</f>
      </c>
      <c r="O348">
        <f>IF(ISBLANK('Data Entry'!$O$348), "", 'Data Entry'!$O$348)</f>
      </c>
      <c r="P348">
        <f>IF(ISBLANK('Data Entry'!$P$348), "", 'Data Entry'!$P$348)</f>
      </c>
      <c r="Q348">
        <f>IF(ISBLANK('Data Entry'!$Q$348), "", 'Data Entry'!$Q$348)</f>
      </c>
      <c r="R348">
        <f>IF(ISBLANK('Data Entry'!$R$348), "", 'Data Entry'!$R$348)</f>
      </c>
      <c r="S348">
        <f>IF(ISBLANK('Data Entry'!$S$348), "", 'Data Entry'!$S$348)</f>
      </c>
      <c r="T348">
        <f>IF(ISBLANK('Data Entry'!$T$348), "", 'Data Entry'!$T$348)</f>
      </c>
      <c r="U348">
        <f>IF(ISBLANK('Data Entry'!$U$348), "", 'Data Entry'!$U$348)</f>
      </c>
      <c r="V348">
        <f>IF(ISBLANK('Data Entry'!$V$348), "", 'Data Entry'!$V$348)</f>
      </c>
      <c r="W348">
        <f>IF(ISBLANK('Data Entry'!$W$348), "", 'Data Entry'!$W$348)</f>
      </c>
      <c r="X348">
        <f>IF(ISBLANK('Data Entry'!$X$348), "", 'Data Entry'!$X$348)</f>
      </c>
      <c r="Y348">
        <f>IF(ISBLANK('Data Entry'!$Y$348), "", 'Data Entry'!$Y$348)</f>
      </c>
      <c r="Z348">
        <f>IF(ISBLANK('Data Entry'!$Z$348), "", 'Data Entry'!$Z$348)</f>
      </c>
      <c r="AA348">
        <f>IF(ISBLANK('Data Entry'!$[$348), "", 'Data Entry'!$[$348)</f>
      </c>
      <c r="AB348">
        <f>IF(ISBLANK('Data Entry'!$\$348), "", 'Data Entry'!$\$348)</f>
      </c>
      <c r="AC348">
        <f>IF(ISBLANK('Data Entry'!$]$348), "", 'Data Entry'!$]$348)</f>
      </c>
      <c r="AD348">
        <f>IF(ISBLANK('Data Entry'!$^$348), "", 'Data Entry'!$^$348)</f>
      </c>
      <c r="AE348">
        <f>IF(ISBLANK('Data Entry'!$_$348), "", 'Data Entry'!$_$348)</f>
      </c>
      <c r="AF348">
        <f>IF(ISBLANK('Data Entry'!$`$348), "", 'Data Entry'!$`$348)</f>
      </c>
      <c r="AG348">
        <f>IF(ISBLANK('Data Entry'!$a$348), "", 'Data Entry'!$a$348)</f>
      </c>
      <c r="AH348">
        <f>IF(ISBLANK('Data Entry'!$b$348), "", 'Data Entry'!$b$348)</f>
      </c>
      <c r="AI348">
        <f>IF(ISBLANK('Data Entry'!$c$348), "", 'Data Entry'!$c$348)</f>
      </c>
      <c r="AJ348">
        <f>IF(ISBLANK('Data Entry'!$d$348), "", 'Data Entry'!$d$348)</f>
      </c>
      <c r="AK348">
        <f>IF(ISBLANK('Data Entry'!$e$348), "", 'Data Entry'!$e$348)</f>
      </c>
      <c r="AL348">
        <f>IF(ISBLANK('Data Entry'!$f$348), "", 'Data Entry'!$f$348)</f>
      </c>
      <c r="AM348">
        <f>IF(ISBLANK('Data Entry'!$g$348), "", 'Data Entry'!$g$348)</f>
      </c>
      <c r="AN348">
        <f>IF(ISBLANK('Data Entry'!$h$348), "", 'Data Entry'!$h$348)</f>
      </c>
      <c r="AO348">
        <f>IF(ISBLANK('Data Entry'!$i$348), "", 'Data Entry'!$i$348)</f>
      </c>
      <c r="AP348">
        <f>IF(ISBLANK('Data Entry'!$j$348), "", 'Data Entry'!$j$348)</f>
      </c>
      <c r="AQ348">
        <f>IF(ISBLANK('Data Entry'!$k$348), "", 'Data Entry'!$k$348)</f>
      </c>
      <c r="AR348">
        <f>IF(ISBLANK('Data Entry'!$l$348), "", 'Data Entry'!$l$348)</f>
      </c>
      <c r="AS348">
        <f>IF(ISBLANK('Data Entry'!$m$348), "", 'Data Entry'!$m$348)</f>
      </c>
      <c r="AT348">
        <f>IF(ISBLANK('Data Entry'!$n$348), "", 'Data Entry'!$n$348)</f>
      </c>
      <c r="AU348">
        <f>IF(ISBLANK('Data Entry'!$o$348), "", 'Data Entry'!$o$348)</f>
      </c>
      <c r="AV348">
        <f>IF(ISBLANK('Data Entry'!$p$348), "", 'Data Entry'!$p$348)</f>
      </c>
      <c r="AW348">
        <f>IF(ISBLANK('Data Entry'!$q$348), "", 'Data Entry'!$q$348)</f>
      </c>
      <c r="AX348">
        <f>IF(ISBLANK('Data Entry'!$r$348), "", 'Data Entry'!$r$348)</f>
      </c>
      <c r="AY348">
        <f>IF(ISBLANK('Data Entry'!$s$348), "", 'Data Entry'!$s$348)</f>
      </c>
      <c r="AZ348">
        <f>IF(ISBLANK('Data Entry'!$t$348), "", 'Data Entry'!$t$348)</f>
      </c>
      <c r="BA348">
        <f>IF(ISBLANK('Data Entry'!$u$348), "", 'Data Entry'!$u$348)</f>
      </c>
      <c r="BB348">
        <f>IF(ISBLANK('Data Entry'!$v$348), "", 'Data Entry'!$v$348)</f>
      </c>
      <c r="BC348">
        <f>IF(ISBLANK('Data Entry'!$w$348), "", 'Data Entry'!$w$348)</f>
      </c>
      <c r="BD348">
        <f>IF(ISBLANK('Data Entry'!$x$348), "", 'Data Entry'!$x$348)</f>
      </c>
      <c r="BE348">
        <f>IF(ISBLANK('Data Entry'!$y$348), "", 'Data Entry'!$y$348)</f>
      </c>
      <c r="BF348">
        <f>IF(ISBLANK('Data Entry'!$z$348), "", 'Data Entry'!$z$348)</f>
      </c>
      <c r="BG348">
        <f>IF(ISBLANK('Data Entry'!${$348), "", 'Data Entry'!${$348)</f>
      </c>
      <c r="BH348">
        <f>IF(ISBLANK('Data Entry'!$|$348), "", 'Data Entry'!$|$348)</f>
      </c>
      <c r="BI348">
        <f>IF(ISBLANK('Data Entry'!$}$348), "", 'Data Entry'!$}$348)</f>
      </c>
      <c r="BJ348">
        <f>IF(ISBLANK('Data Entry'!$~$348), "", 'Data Entry'!$~$348)</f>
      </c>
      <c r="BK348">
        <f>IF(ISBLANK('Data Entry'!$$348), "", 'Data Entry'!$$348)</f>
      </c>
      <c r="BL348">
        <f>IF(ISBLANK('Data Entry'!$$348), "", 'Data Entry'!$$348)</f>
      </c>
      <c r="BM348">
        <f>IF(ISBLANK('Data Entry'!$$348), "", 'Data Entry'!$$348)</f>
      </c>
      <c r="BN348">
        <f>IF(ISBLANK('Data Entry'!$$348), "", 'Data Entry'!$$348)</f>
      </c>
      <c r="BO348">
        <f>IF(ISBLANK('Data Entry'!$$348), "", 'Data Entry'!$$348)</f>
      </c>
      <c r="BP348">
        <f>IF(ISBLANK('Data Entry'!$$348), "", 'Data Entry'!$$348)</f>
      </c>
      <c r="BQ348">
        <f>IF(ISBLANK('Data Entry'!$$348), "", 'Data Entry'!$$348)</f>
      </c>
      <c r="BR348">
        <f>IF(ISBLANK('Data Entry'!$$348), "", 'Data Entry'!$$348)</f>
      </c>
      <c r="BS348">
        <f>IF(ISBLANK('Data Entry'!$$348), "", 'Data Entry'!$$348)</f>
      </c>
      <c r="BT348">
        <f>IF(ISBLANK('Data Entry'!$$348), "", 'Data Entry'!$$348)</f>
      </c>
      <c r="BU348">
        <f>IF(ISBLANK('Data Entry'!$$348), "", 'Data Entry'!$$348)</f>
      </c>
      <c r="BV348">
        <f>IF(ISBLANK('Data Entry'!$$348), "", 'Data Entry'!$$348)</f>
      </c>
      <c r="BW348">
        <f>IF(ISBLANK('Data Entry'!$$348), "", 'Data Entry'!$$348)</f>
      </c>
      <c r="BX348">
        <f>IF(ISBLANK('Data Entry'!$$348), "", 'Data Entry'!$$348)</f>
      </c>
      <c r="BY348">
        <f>IF(ISBLANK('Data Entry'!$$348), "", 'Data Entry'!$$348)</f>
      </c>
      <c r="BZ348">
        <f>IF(ISBLANK('Data Entry'!$$348), "", 'Data Entry'!$$348)</f>
      </c>
      <c r="CA348">
        <f>IF(ISBLANK('Data Entry'!$$348), "", 'Data Entry'!$$348)</f>
      </c>
      <c r="CB348">
        <f>IF(ISBLANK('Data Entry'!$$348), "", 'Data Entry'!$$348)</f>
      </c>
      <c r="CC348">
        <f>IF(ISBLANK('Data Entry'!$$348), "", 'Data Entry'!$$348)</f>
      </c>
      <c r="CD348">
        <f>IF(ISBLANK('Data Entry'!$$348), "", 'Data Entry'!$$348)</f>
      </c>
      <c r="CE348">
        <f>IF(ISBLANK('Data Entry'!$$348), "", 'Data Entry'!$$348)</f>
      </c>
      <c r="CF348">
        <f>IF(ISBLANK('Data Entry'!$$348), "", 'Data Entry'!$$348)</f>
      </c>
      <c r="CG348">
        <f>IF(ISBLANK('Data Entry'!$$348), "", 'Data Entry'!$$348)</f>
      </c>
      <c r="CH348">
        <f>IF(ISBLANK('Data Entry'!$$348), "", 'Data Entry'!$$348)</f>
      </c>
      <c r="CI348">
        <f>IF(ISBLANK('Data Entry'!$$348), "", 'Data Entry'!$$348)</f>
      </c>
      <c r="CJ348">
        <f>IF(ISBLANK('Data Entry'!$$348), "", 'Data Entry'!$$348)</f>
      </c>
      <c r="CK348">
        <f>IF(ISBLANK('Data Entry'!$$348), "", 'Data Entry'!$$348)</f>
      </c>
      <c r="CL348">
        <f>IF(ISBLANK('Data Entry'!$$348), "", 'Data Entry'!$$348)</f>
      </c>
      <c r="CM348">
        <f>IF(ISBLANK('Data Entry'!$$348), "", 'Data Entry'!$$348)</f>
      </c>
      <c r="CN348">
        <f>IF(ISBLANK('Data Entry'!$$348), "", 'Data Entry'!$$348)</f>
      </c>
      <c r="CO348">
        <f>IF(ISBLANK('Data Entry'!$$348), "", 'Data Entry'!$$348)</f>
      </c>
      <c r="CP348">
        <f>IF(ISBLANK('Data Entry'!$$348), "", 'Data Entry'!$$348)</f>
      </c>
      <c r="CQ348">
        <f>IF(ISBLANK('Data Entry'!$$348), "", 'Data Entry'!$$348)</f>
      </c>
      <c r="CR348">
        <f>IF(ISBLANK('Data Entry'!$ $348), "", 'Data Entry'!$ $348)</f>
      </c>
      <c r="CS348">
        <f>IF(ISBLANK('Data Entry'!$¡$348), "", 'Data Entry'!$¡$348)</f>
      </c>
      <c r="CT348">
        <f>IF(ISBLANK('Data Entry'!$¢$348), "", 'Data Entry'!$¢$348)</f>
      </c>
      <c r="CU348">
        <f>IF(ISBLANK('Data Entry'!$£$348), "", 'Data Entry'!$£$348)</f>
      </c>
      <c r="CV348">
        <f>IF(ISBLANK('Data Entry'!$¤$348), "", 'Data Entry'!$¤$348)</f>
      </c>
      <c r="CW348">
        <f>IF(ISBLANK('Data Entry'!$¥$348), "", 'Data Entry'!$¥$348)</f>
      </c>
      <c r="CX348">
        <f>IF(ISBLANK('Data Entry'!$¦$348), "", 'Data Entry'!$¦$348)</f>
      </c>
      <c r="CY348">
        <f>IF(ISBLANK('Data Entry'!$§$348), "", 'Data Entry'!$§$348)</f>
      </c>
      <c r="CZ348">
        <f>IF(ISBLANK('Data Entry'!$¨$348), "", 'Data Entry'!$¨$348)</f>
      </c>
      <c r="DA348">
        <f>IF(ISBLANK('Data Entry'!$©$348), "", 'Data Entry'!$©$348)</f>
      </c>
      <c r="DB348">
        <f>IF(ISBLANK('Data Entry'!$ª$348), "", 'Data Entry'!$ª$348)</f>
      </c>
      <c r="DC348">
        <f>IF(ISBLANK('Data Entry'!$«$348), "", 'Data Entry'!$«$348)</f>
      </c>
      <c r="DD348">
        <f>IF(ISBLANK('Data Entry'!$¬$348), "", 'Data Entry'!$¬$348)</f>
      </c>
      <c r="DE348">
        <f>IF(ISBLANK('Data Entry'!$­$348), "", 'Data Entry'!$­$348)</f>
      </c>
      <c r="DF348">
        <f>IF(ISBLANK('Data Entry'!$®$348), "", 'Data Entry'!$®$348)</f>
      </c>
      <c r="DG348">
        <f>IF(ISBLANK('Data Entry'!$¯$348), "", 'Data Entry'!$¯$348)</f>
      </c>
      <c r="DH348">
        <f>IF(ISBLANK('Data Entry'!$°$348), "", 'Data Entry'!$°$348)</f>
      </c>
      <c r="DI348">
        <f>IF(ISBLANK('Data Entry'!$±$348), "", 'Data Entry'!$±$348)</f>
      </c>
      <c r="DJ348">
        <f>IF(ISBLANK('Data Entry'!$²$348), "", 'Data Entry'!$²$348)</f>
      </c>
      <c r="DK348">
        <f>IF(ISBLANK('Data Entry'!$³$348), "", 'Data Entry'!$³$348)</f>
      </c>
      <c r="DL348">
        <f>IF(ISBLANK('Data Entry'!$´$348), "", 'Data Entry'!$´$348)</f>
      </c>
      <c r="DM348">
        <f>IF(ISBLANK('Data Entry'!$µ$348), "", 'Data Entry'!$µ$348)</f>
      </c>
      <c r="DN348">
        <f>IF(ISBLANK('Data Entry'!$¶$348), "", 'Data Entry'!$¶$348)</f>
      </c>
      <c r="DO348">
        <f>IF(ISBLANK('Data Entry'!$·$348), "", 'Data Entry'!$·$348)</f>
      </c>
      <c r="DP348">
        <f>IF(ISBLANK('Data Entry'!$¸$348), "", 'Data Entry'!$¸$348)</f>
      </c>
      <c r="DQ348">
        <f>IF(ISBLANK('Data Entry'!$¹$348), "", 'Data Entry'!$¹$348)</f>
      </c>
      <c r="DR348">
        <f>IF(ISBLANK('Data Entry'!$º$348), "", 'Data Entry'!$º$348)</f>
      </c>
      <c r="DS348">
        <f>IF(ISBLANK('Data Entry'!$»$348), "", 'Data Entry'!$»$348)</f>
      </c>
      <c r="DT348">
        <f>IF(ISBLANK('Data Entry'!$¼$348), "", 'Data Entry'!$¼$348)</f>
      </c>
      <c r="DU348">
        <f>IF(ISBLANK('Data Entry'!$½$348), "", 'Data Entry'!$½$348)</f>
      </c>
      <c r="DV348">
        <f>IF(ISBLANK('Data Entry'!$¾$348), "", 'Data Entry'!$¾$348)</f>
      </c>
      <c r="DW348">
        <f>IF(ISBLANK('Data Entry'!$¿$348), "", 'Data Entry'!$¿$348)</f>
      </c>
      <c r="DX348">
        <f>IF(ISBLANK('Data Entry'!$À$348), "", 'Data Entry'!$À$348)</f>
      </c>
      <c r="DY348">
        <f>IF(ISBLANK('Data Entry'!$Á$348), "", 'Data Entry'!$Á$348)</f>
      </c>
      <c r="DZ348">
        <f>IF(ISBLANK('Data Entry'!$Â$348), "", 'Data Entry'!$Â$348)</f>
      </c>
      <c r="EA348">
        <f>IF(ISBLANK('Data Entry'!$Ã$348), "", 'Data Entry'!$Ã$348)</f>
      </c>
      <c r="EB348">
        <f>IF(ISBLANK('Data Entry'!$Ä$348), "", 'Data Entry'!$Ä$348)</f>
      </c>
      <c r="EC348">
        <f>IF(ISBLANK('Data Entry'!$Å$348), "", 'Data Entry'!$Å$348)</f>
      </c>
      <c r="ED348">
        <f>IF(ISBLANK('Data Entry'!$Æ$348), "", 'Data Entry'!$Æ$348)</f>
      </c>
      <c r="EE348">
        <f>IF(ISBLANK('Data Entry'!$Ç$348), "", 'Data Entry'!$Ç$348)</f>
      </c>
      <c r="EF348">
        <f>IF(ISBLANK('Data Entry'!$È$348), "", 'Data Entry'!$È$348)</f>
      </c>
      <c r="EG348">
        <f>IF(ISBLANK('Data Entry'!$É$348), "", 'Data Entry'!$É$348)</f>
      </c>
      <c r="EH348">
        <f>IF(ISBLANK('Data Entry'!$Ê$348), "", 'Data Entry'!$Ê$348)</f>
      </c>
      <c r="EI348">
        <f>IF(ISBLANK('Data Entry'!$Ë$348), "", 'Data Entry'!$Ë$348)</f>
      </c>
      <c r="EJ348">
        <f>IF(ISBLANK('Data Entry'!$Ì$348), "", 'Data Entry'!$Ì$348)</f>
      </c>
      <c r="EK348">
        <f>IF(ISBLANK('Data Entry'!$Í$348), "", 'Data Entry'!$Í$348)</f>
      </c>
      <c r="EL348">
        <f>IF(ISBLANK('Data Entry'!$Î$348), "", 'Data Entry'!$Î$348)</f>
      </c>
      <c r="EM348">
        <f>IF(ISBLANK('Data Entry'!$Ï$348), "", 'Data Entry'!$Ï$348)</f>
      </c>
      <c r="EN348">
        <f>IF(ISBLANK('Data Entry'!$Ð$348), "", 'Data Entry'!$Ð$348)</f>
      </c>
      <c r="EO348">
        <f>IF(ISBLANK('Data Entry'!$Ñ$348), "", 'Data Entry'!$Ñ$348)</f>
      </c>
      <c r="EP348">
        <f>IF(ISBLANK('Data Entry'!$Ò$348), "", 'Data Entry'!$Ò$348)</f>
      </c>
      <c r="EQ348">
        <f>IF(ISBLANK('Data Entry'!$Ó$348), "", 'Data Entry'!$Ó$348)</f>
      </c>
      <c r="ER348">
        <f>IF(ISBLANK('Data Entry'!$Ô$348), "", 'Data Entry'!$Ô$348)</f>
      </c>
      <c r="ES348">
        <f>IF(ISBLANK('Data Entry'!$Õ$348), "", 'Data Entry'!$Õ$348)</f>
      </c>
      <c r="ET348">
        <f>IF(ISBLANK('Data Entry'!$Ö$348), "", 'Data Entry'!$Ö$348)</f>
      </c>
      <c r="EU348">
        <f>IF(ISBLANK('Data Entry'!$×$348), "", 'Data Entry'!$×$348)</f>
      </c>
      <c r="EV348">
        <f>IF(ISBLANK('Data Entry'!$Ø$348), "", 'Data Entry'!$Ø$348)</f>
      </c>
      <c r="EW348">
        <f>IF(ISBLANK('Data Entry'!$Ù$348), "", 'Data Entry'!$Ù$348)</f>
      </c>
      <c r="EX348">
        <f>IF(ISBLANK('Data Entry'!$Ú$348), "", 'Data Entry'!$Ú$348)</f>
      </c>
      <c r="EY348">
        <f>IF(ISBLANK('Data Entry'!$Û$348), "", 'Data Entry'!$Û$348)</f>
      </c>
      <c r="EZ348">
        <f>IF(ISBLANK('Data Entry'!$Ü$348), "", 'Data Entry'!$Ü$348)</f>
      </c>
      <c r="FA348">
        <f>IF(ISBLANK('Data Entry'!$Ý$348), "", 'Data Entry'!$Ý$348)</f>
      </c>
      <c r="FB348">
        <f>IF(ISBLANK('Data Entry'!$Þ$348), "", 'Data Entry'!$Þ$348)</f>
      </c>
      <c r="FC348">
        <f>IF(ISBLANK('Data Entry'!$ß$348), "", 'Data Entry'!$ß$348)</f>
      </c>
      <c r="FD348">
        <f>IF(ISBLANK('Data Entry'!$à$348), "", 'Data Entry'!$à$348)</f>
      </c>
      <c r="FE348">
        <f>IF(ISBLANK('Data Entry'!$á$348), "", 'Data Entry'!$á$348)</f>
      </c>
      <c r="FF348">
        <f>IF(ISBLANK('Data Entry'!$â$348), "", 'Data Entry'!$â$348)</f>
      </c>
      <c r="FG348">
        <f>IF(ISBLANK('Data Entry'!$ã$348), "", 'Data Entry'!$ã$348)</f>
      </c>
      <c r="FH348">
        <f>IF(ISBLANK('Data Entry'!$ä$348), "", 'Data Entry'!$ä$348)</f>
      </c>
      <c r="FI348">
        <f>IF(ISBLANK('Data Entry'!$å$348), "", 'Data Entry'!$å$348)</f>
      </c>
      <c r="FJ348">
        <f>IF(ISBLANK('Data Entry'!$æ$348), "", 'Data Entry'!$æ$348)</f>
      </c>
      <c r="FK348">
        <f>IF(ISBLANK('Data Entry'!$ç$348), "", 'Data Entry'!$ç$348)</f>
      </c>
      <c r="FL348">
        <f>IF(ISBLANK('Data Entry'!$è$348), "", 'Data Entry'!$è$348)</f>
      </c>
      <c r="FM348">
        <f>IF(ISBLANK('Data Entry'!$é$348), "", 'Data Entry'!$é$348)</f>
      </c>
      <c r="FN348">
        <f>IF(ISBLANK('Data Entry'!$ê$348), "", 'Data Entry'!$ê$348)</f>
      </c>
      <c r="FO348">
        <f>IF(ISBLANK('Data Entry'!$ë$348), "", 'Data Entry'!$ë$348)</f>
      </c>
      <c r="FP348">
        <f>IF(ISBLANK('Data Entry'!$ì$348), "", 'Data Entry'!$ì$348)</f>
      </c>
      <c r="FQ348">
        <f>IF(ISBLANK('Data Entry'!$í$348), "", 'Data Entry'!$í$348)</f>
      </c>
      <c r="FR348">
        <f>IF(ISBLANK('Data Entry'!$î$348), "", 'Data Entry'!$î$348)</f>
      </c>
      <c r="FS348">
        <f>IF(ISBLANK('Data Entry'!$ï$348), "", 'Data Entry'!$ï$348)</f>
      </c>
      <c r="FT348">
        <f>IF(ISBLANK('Data Entry'!$ð$348), "", 'Data Entry'!$ð$348)</f>
      </c>
      <c r="FU348">
        <f>IF(ISBLANK('Data Entry'!$ñ$348), "", 'Data Entry'!$ñ$348)</f>
      </c>
      <c r="FV348">
        <f>IF(ISBLANK('Data Entry'!$ò$348), "", 'Data Entry'!$ò$348)</f>
      </c>
      <c r="FW348">
        <f>IF(ISBLANK('Data Entry'!$ó$348), "", 'Data Entry'!$ó$348)</f>
      </c>
      <c r="FX348">
        <f>IF(ISBLANK('Data Entry'!$ô$348), "", 'Data Entry'!$ô$348)</f>
      </c>
      <c r="FY348">
        <f>IF(ISBLANK('Data Entry'!$õ$348), "", 'Data Entry'!$õ$348)</f>
      </c>
      <c r="FZ348">
        <f>IF(ISBLANK('Data Entry'!$ö$348), "", 'Data Entry'!$ö$348)</f>
      </c>
      <c r="GA348">
        <f>IF(ISBLANK('Data Entry'!$÷$348), "", 'Data Entry'!$÷$348)</f>
      </c>
      <c r="GB348">
        <f>IF(ISBLANK('Data Entry'!$ø$348), "", 'Data Entry'!$ø$348)</f>
      </c>
      <c r="GC348">
        <f>IF(ISBLANK('Data Entry'!$ù$348), "", 'Data Entry'!$ù$348)</f>
      </c>
      <c r="GD348">
        <f>IF(ISBLANK('Data Entry'!$ú$348), "", 'Data Entry'!$ú$348)</f>
      </c>
      <c r="GE348">
        <f>IF(ISBLANK('Data Entry'!$û$348), "", 'Data Entry'!$û$348)</f>
      </c>
      <c r="GF348">
        <f>IF(ISBLANK('Data Entry'!$ü$348), "", 'Data Entry'!$ü$348)</f>
      </c>
      <c r="GG348">
        <f>IF(ISBLANK('Data Entry'!$ý$348), "", 'Data Entry'!$ý$348)</f>
      </c>
      <c r="GH348">
        <f>IF(ISBLANK('Data Entry'!$þ$348), "", 'Data Entry'!$þ$348)</f>
      </c>
      <c r="GI348">
        <f>IF(ISBLANK('Data Entry'!$ÿ$348), "", 'Data Entry'!$ÿ$348)</f>
      </c>
      <c r="GJ348">
        <f>IF(ISBLANK('Data Entry'!$Ā$348), "", 'Data Entry'!$Ā$348)</f>
      </c>
      <c r="GK348">
        <f>IF(ISBLANK('Data Entry'!$ā$348), "", 'Data Entry'!$ā$348)</f>
      </c>
      <c r="GL348">
        <f>IF(ISBLANK('Data Entry'!$Ă$348), "", 'Data Entry'!$Ă$348)</f>
      </c>
      <c r="GM348">
        <f>IF(ISBLANK('Data Entry'!$ă$348), "", 'Data Entry'!$ă$348)</f>
      </c>
      <c r="GN348">
        <f>IF(ISBLANK('Data Entry'!$Ą$348), "", 'Data Entry'!$Ą$348)</f>
      </c>
      <c r="GO348">
        <f>IF(ISBLANK('Data Entry'!$ą$348), "", 'Data Entry'!$ą$348)</f>
      </c>
      <c r="GP348">
        <f>IF(ISBLANK('Data Entry'!$Ć$348), "", 'Data Entry'!$Ć$348)</f>
      </c>
      <c r="GQ348">
        <f>IF(ISBLANK('Data Entry'!$ć$348), "", 'Data Entry'!$ć$348)</f>
      </c>
      <c r="GR348">
        <f>IF(ISBLANK('Data Entry'!$Ĉ$348), "", 'Data Entry'!$Ĉ$348)</f>
      </c>
      <c r="GS348">
        <f>IF(ISBLANK('Data Entry'!$ĉ$348), "", 'Data Entry'!$ĉ$348)</f>
      </c>
      <c r="GT348">
        <f>IF(ISBLANK('Data Entry'!$Ċ$348), "", 'Data Entry'!$Ċ$348)</f>
      </c>
      <c r="GU348">
        <f>IF(ISBLANK('Data Entry'!$ċ$348), "", 'Data Entry'!$ċ$348)</f>
      </c>
      <c r="GV348">
        <f>IF(ISBLANK('Data Entry'!$Č$348), "", 'Data Entry'!$Č$348)</f>
      </c>
      <c r="GW348">
        <f>IF(ISBLANK('Data Entry'!$č$348), "", 'Data Entry'!$č$348)</f>
      </c>
      <c r="GX348">
        <f>IF(ISBLANK('Data Entry'!$Ď$348), "", 'Data Entry'!$Ď$348)</f>
      </c>
      <c r="GY348">
        <f>IF(ISBLANK('Data Entry'!$ď$348), "", 'Data Entry'!$ď$348)</f>
      </c>
      <c r="GZ348">
        <f>IF(ISBLANK('Data Entry'!$Đ$348), "", 'Data Entry'!$Đ$348)</f>
      </c>
      <c r="HA348">
        <f>IF(ISBLANK('Data Entry'!$đ$348), "", 'Data Entry'!$đ$348)</f>
      </c>
      <c r="HB348">
        <f>IF(ISBLANK('Data Entry'!$Ē$348), "", 'Data Entry'!$Ē$348)</f>
      </c>
      <c r="HC348">
        <f>IF(ISBLANK('Data Entry'!$ē$348), "", 'Data Entry'!$ē$348)</f>
      </c>
      <c r="HD348">
        <f>IF(ISBLANK('Data Entry'!$Ĕ$348), "", 'Data Entry'!$Ĕ$348)</f>
      </c>
      <c r="HE348">
        <f>IF(ISBLANK('Data Entry'!$ĕ$348), "", 'Data Entry'!$ĕ$348)</f>
      </c>
      <c r="HF348">
        <f>IF(ISBLANK('Data Entry'!$Ė$348), "", 'Data Entry'!$Ė$348)</f>
      </c>
      <c r="HG348">
        <f>IF(ISBLANK('Data Entry'!$ė$348), "", 'Data Entry'!$ė$348)</f>
      </c>
      <c r="HH348">
        <f>IF(ISBLANK('Data Entry'!$Ę$348), "", 'Data Entry'!$Ę$348)</f>
      </c>
      <c r="HI348">
        <f>IF(ISBLANK('Data Entry'!$ę$348), "", 'Data Entry'!$ę$348)</f>
      </c>
      <c r="HJ348">
        <f>IF(ISBLANK('Data Entry'!$Ě$348), "", 'Data Entry'!$Ě$348)</f>
      </c>
      <c r="HK348">
        <f>IF(ISBLANK('Data Entry'!$ě$348), "", 'Data Entry'!$ě$348)</f>
      </c>
      <c r="HL348">
        <f>IF(ISBLANK('Data Entry'!$Ĝ$348), "", 'Data Entry'!$Ĝ$348)</f>
      </c>
      <c r="HM348">
        <f>IF(ISBLANK('Data Entry'!$ĝ$348), "", 'Data Entry'!$ĝ$348)</f>
      </c>
      <c r="HN348">
        <f>IF(ISBLANK('Data Entry'!$Ğ$348), "", 'Data Entry'!$Ğ$348)</f>
      </c>
      <c r="HO348">
        <f>IF(ISBLANK('Data Entry'!$ğ$348), "", 'Data Entry'!$ğ$348)</f>
      </c>
      <c r="HP348">
        <f>IF(ISBLANK('Data Entry'!$Ġ$348), "", 'Data Entry'!$Ġ$348)</f>
      </c>
      <c r="HQ348">
        <f>IF(ISBLANK('Data Entry'!$ġ$348), "", 'Data Entry'!$ġ$348)</f>
      </c>
      <c r="HR348">
        <f>IF(ISBLANK('Data Entry'!$Ģ$348), "", 'Data Entry'!$Ģ$348)</f>
      </c>
      <c r="HS348">
        <f>IF(ISBLANK('Data Entry'!$ģ$348), "", 'Data Entry'!$ģ$348)</f>
      </c>
      <c r="HT348">
        <f>IF(ISBLANK('Data Entry'!$Ĥ$348), "", 'Data Entry'!$Ĥ$348)</f>
      </c>
      <c r="HU348">
        <f>IF(ISBLANK('Data Entry'!$ĥ$348), "", 'Data Entry'!$ĥ$348)</f>
      </c>
      <c r="HV348">
        <f>IF(ISBLANK('Data Entry'!$Ħ$348), "", 'Data Entry'!$Ħ$348)</f>
      </c>
      <c r="HW348">
        <f>IF(ISBLANK('Data Entry'!$ħ$348), "", 'Data Entry'!$ħ$348)</f>
      </c>
      <c r="HX348">
        <f>IF(ISBLANK('Data Entry'!$Ĩ$348), "", 'Data Entry'!$Ĩ$348)</f>
      </c>
      <c r="HY348">
        <f>IF(ISBLANK('Data Entry'!$ĩ$348), "", 'Data Entry'!$ĩ$348)</f>
      </c>
      <c r="HZ348">
        <f>IF(ISBLANK('Data Entry'!$Ī$348), "", 'Data Entry'!$Ī$348)</f>
      </c>
      <c r="IA348">
        <f>IF(ISBLANK('Data Entry'!$ī$348), "", 'Data Entry'!$ī$348)</f>
      </c>
      <c r="IB348">
        <f>IF(ISBLANK('Data Entry'!$Ĭ$348), "", 'Data Entry'!$Ĭ$348)</f>
      </c>
      <c r="IC348">
        <f>IF(ISBLANK('Data Entry'!$ĭ$348), "", 'Data Entry'!$ĭ$348)</f>
      </c>
      <c r="ID348">
        <f>IF(ISBLANK('Data Entry'!$Į$348), "", 'Data Entry'!$Į$348)</f>
      </c>
      <c r="IE348">
        <f>IF(ISBLANK('Data Entry'!$į$348), "", 'Data Entry'!$į$348)</f>
      </c>
      <c r="IF348">
        <f>IF(ISBLANK('Data Entry'!$İ$348), "", 'Data Entry'!$İ$348)</f>
      </c>
      <c r="IG348">
        <f>IF(ISBLANK('Data Entry'!$ı$348), "", 'Data Entry'!$ı$348)</f>
      </c>
      <c r="IH348">
        <f>IF(ISBLANK('Data Entry'!$Ĳ$348), "", 'Data Entry'!$Ĳ$348)</f>
      </c>
      <c r="II348">
        <f>IF(ISBLANK('Data Entry'!$ĳ$348), "", 'Data Entry'!$ĳ$348)</f>
      </c>
      <c r="IJ348">
        <f>IF(ISBLANK('Data Entry'!$Ĵ$348), "", 'Data Entry'!$Ĵ$348)</f>
      </c>
      <c r="IK348">
        <f>IF(ISBLANK('Data Entry'!$ĵ$348), "", 'Data Entry'!$ĵ$348)</f>
      </c>
      <c r="IL348">
        <f>IF(ISBLANK('Data Entry'!$Ķ$348), "", 'Data Entry'!$Ķ$348)</f>
      </c>
      <c r="IM348">
        <f>IF(ISBLANK('Data Entry'!$ķ$348), "", 'Data Entry'!$ķ$348)</f>
      </c>
      <c r="IN348">
        <f>IF(ISBLANK('Data Entry'!$ĸ$348), "", 'Data Entry'!$ĸ$348)</f>
      </c>
      <c r="IO348">
        <f>IF(ISBLANK('Data Entry'!$Ĺ$348), "", 'Data Entry'!$Ĺ$348)</f>
      </c>
      <c r="IP348">
        <f>IF(ISBLANK('Data Entry'!$ĺ$348), "", 'Data Entry'!$ĺ$348)</f>
      </c>
      <c r="IQ348">
        <f>IF(ISBLANK('Data Entry'!$Ļ$348), "", 'Data Entry'!$Ļ$348)</f>
      </c>
      <c r="IR348">
        <f>IF(ISBLANK('Data Entry'!$ļ$348), "", 'Data Entry'!$ļ$348)</f>
      </c>
      <c r="IS348">
        <f>IF(ISBLANK('Data Entry'!$Ľ$348), "", 'Data Entry'!$Ľ$348)</f>
      </c>
      <c r="IT348">
        <f>IF(ISBLANK('Data Entry'!$ľ$348), "", 'Data Entry'!$ľ$348)</f>
      </c>
    </row>
    <row r="349" spans="1:254" x14ac:dyDescent="0.25">
      <c r="A349">
        <f>IF(ISBLANK('Data Entry'!$A$349), "", 'Data Entry'!$A$349)</f>
      </c>
      <c r="B349">
        <f>IF(ISBLANK('Data Entry'!$B$349), "", 'Data Entry'!$B$349)</f>
      </c>
      <c r="C349">
        <f>IF(ISBLANK('Data Entry'!$C$349), "", 'Data Entry'!$C$349)</f>
      </c>
      <c r="D349">
        <f>IF(ISBLANK('Data Entry'!$D$349), "", 'Data Entry'!$D$349)</f>
      </c>
      <c r="E349">
        <f>IF(ISBLANK('Data Entry'!$E$349), "", 'Data Entry'!$E$349)</f>
      </c>
      <c r="F349">
        <f>IF(ISBLANK('Data Entry'!$F$349), "", 'Data Entry'!$F$349)</f>
      </c>
      <c r="G349">
        <f>IF(ISBLANK('Data Entry'!$G$349), "", 'Data Entry'!$G$349)</f>
      </c>
      <c r="H349">
        <f>IF(ISBLANK('Data Entry'!$H$349), "", 'Data Entry'!$H$349)</f>
      </c>
      <c r="I349">
        <f>IF(ISBLANK('Data Entry'!$I$349), "", 'Data Entry'!$I$349)</f>
      </c>
      <c r="J349">
        <f>IF(ISBLANK('Data Entry'!$J$349), "", 'Data Entry'!$J$349)</f>
      </c>
      <c r="K349">
        <f>IF(ISBLANK('Data Entry'!$K$349), "", 'Data Entry'!$K$349)</f>
      </c>
      <c r="L349">
        <f>IF(ISBLANK('Data Entry'!$L$349), "", 'Data Entry'!$L$349)</f>
      </c>
      <c r="M349">
        <f>IF(ISBLANK('Data Entry'!$M$349), "", 'Data Entry'!$M$349)</f>
      </c>
      <c r="N349">
        <f>IF(ISBLANK('Data Entry'!$N$349), "", 'Data Entry'!$N$349)</f>
      </c>
      <c r="O349">
        <f>IF(ISBLANK('Data Entry'!$O$349), "", 'Data Entry'!$O$349)</f>
      </c>
      <c r="P349">
        <f>IF(ISBLANK('Data Entry'!$P$349), "", 'Data Entry'!$P$349)</f>
      </c>
      <c r="Q349">
        <f>IF(ISBLANK('Data Entry'!$Q$349), "", 'Data Entry'!$Q$349)</f>
      </c>
      <c r="R349">
        <f>IF(ISBLANK('Data Entry'!$R$349), "", 'Data Entry'!$R$349)</f>
      </c>
      <c r="S349">
        <f>IF(ISBLANK('Data Entry'!$S$349), "", 'Data Entry'!$S$349)</f>
      </c>
      <c r="T349">
        <f>IF(ISBLANK('Data Entry'!$T$349), "", 'Data Entry'!$T$349)</f>
      </c>
      <c r="U349">
        <f>IF(ISBLANK('Data Entry'!$U$349), "", 'Data Entry'!$U$349)</f>
      </c>
      <c r="V349">
        <f>IF(ISBLANK('Data Entry'!$V$349), "", 'Data Entry'!$V$349)</f>
      </c>
      <c r="W349">
        <f>IF(ISBLANK('Data Entry'!$W$349), "", 'Data Entry'!$W$349)</f>
      </c>
      <c r="X349">
        <f>IF(ISBLANK('Data Entry'!$X$349), "", 'Data Entry'!$X$349)</f>
      </c>
      <c r="Y349">
        <f>IF(ISBLANK('Data Entry'!$Y$349), "", 'Data Entry'!$Y$349)</f>
      </c>
      <c r="Z349">
        <f>IF(ISBLANK('Data Entry'!$Z$349), "", 'Data Entry'!$Z$349)</f>
      </c>
      <c r="AA349">
        <f>IF(ISBLANK('Data Entry'!$[$349), "", 'Data Entry'!$[$349)</f>
      </c>
      <c r="AB349">
        <f>IF(ISBLANK('Data Entry'!$\$349), "", 'Data Entry'!$\$349)</f>
      </c>
      <c r="AC349">
        <f>IF(ISBLANK('Data Entry'!$]$349), "", 'Data Entry'!$]$349)</f>
      </c>
      <c r="AD349">
        <f>IF(ISBLANK('Data Entry'!$^$349), "", 'Data Entry'!$^$349)</f>
      </c>
      <c r="AE349">
        <f>IF(ISBLANK('Data Entry'!$_$349), "", 'Data Entry'!$_$349)</f>
      </c>
      <c r="AF349">
        <f>IF(ISBLANK('Data Entry'!$`$349), "", 'Data Entry'!$`$349)</f>
      </c>
      <c r="AG349">
        <f>IF(ISBLANK('Data Entry'!$a$349), "", 'Data Entry'!$a$349)</f>
      </c>
      <c r="AH349">
        <f>IF(ISBLANK('Data Entry'!$b$349), "", 'Data Entry'!$b$349)</f>
      </c>
      <c r="AI349">
        <f>IF(ISBLANK('Data Entry'!$c$349), "", 'Data Entry'!$c$349)</f>
      </c>
      <c r="AJ349">
        <f>IF(ISBLANK('Data Entry'!$d$349), "", 'Data Entry'!$d$349)</f>
      </c>
      <c r="AK349">
        <f>IF(ISBLANK('Data Entry'!$e$349), "", 'Data Entry'!$e$349)</f>
      </c>
      <c r="AL349">
        <f>IF(ISBLANK('Data Entry'!$f$349), "", 'Data Entry'!$f$349)</f>
      </c>
      <c r="AM349">
        <f>IF(ISBLANK('Data Entry'!$g$349), "", 'Data Entry'!$g$349)</f>
      </c>
      <c r="AN349">
        <f>IF(ISBLANK('Data Entry'!$h$349), "", 'Data Entry'!$h$349)</f>
      </c>
      <c r="AO349">
        <f>IF(ISBLANK('Data Entry'!$i$349), "", 'Data Entry'!$i$349)</f>
      </c>
      <c r="AP349">
        <f>IF(ISBLANK('Data Entry'!$j$349), "", 'Data Entry'!$j$349)</f>
      </c>
      <c r="AQ349">
        <f>IF(ISBLANK('Data Entry'!$k$349), "", 'Data Entry'!$k$349)</f>
      </c>
      <c r="AR349">
        <f>IF(ISBLANK('Data Entry'!$l$349), "", 'Data Entry'!$l$349)</f>
      </c>
      <c r="AS349">
        <f>IF(ISBLANK('Data Entry'!$m$349), "", 'Data Entry'!$m$349)</f>
      </c>
      <c r="AT349">
        <f>IF(ISBLANK('Data Entry'!$n$349), "", 'Data Entry'!$n$349)</f>
      </c>
      <c r="AU349">
        <f>IF(ISBLANK('Data Entry'!$o$349), "", 'Data Entry'!$o$349)</f>
      </c>
      <c r="AV349">
        <f>IF(ISBLANK('Data Entry'!$p$349), "", 'Data Entry'!$p$349)</f>
      </c>
      <c r="AW349">
        <f>IF(ISBLANK('Data Entry'!$q$349), "", 'Data Entry'!$q$349)</f>
      </c>
      <c r="AX349">
        <f>IF(ISBLANK('Data Entry'!$r$349), "", 'Data Entry'!$r$349)</f>
      </c>
      <c r="AY349">
        <f>IF(ISBLANK('Data Entry'!$s$349), "", 'Data Entry'!$s$349)</f>
      </c>
      <c r="AZ349">
        <f>IF(ISBLANK('Data Entry'!$t$349), "", 'Data Entry'!$t$349)</f>
      </c>
      <c r="BA349">
        <f>IF(ISBLANK('Data Entry'!$u$349), "", 'Data Entry'!$u$349)</f>
      </c>
      <c r="BB349">
        <f>IF(ISBLANK('Data Entry'!$v$349), "", 'Data Entry'!$v$349)</f>
      </c>
      <c r="BC349">
        <f>IF(ISBLANK('Data Entry'!$w$349), "", 'Data Entry'!$w$349)</f>
      </c>
      <c r="BD349">
        <f>IF(ISBLANK('Data Entry'!$x$349), "", 'Data Entry'!$x$349)</f>
      </c>
      <c r="BE349">
        <f>IF(ISBLANK('Data Entry'!$y$349), "", 'Data Entry'!$y$349)</f>
      </c>
      <c r="BF349">
        <f>IF(ISBLANK('Data Entry'!$z$349), "", 'Data Entry'!$z$349)</f>
      </c>
      <c r="BG349">
        <f>IF(ISBLANK('Data Entry'!${$349), "", 'Data Entry'!${$349)</f>
      </c>
      <c r="BH349">
        <f>IF(ISBLANK('Data Entry'!$|$349), "", 'Data Entry'!$|$349)</f>
      </c>
      <c r="BI349">
        <f>IF(ISBLANK('Data Entry'!$}$349), "", 'Data Entry'!$}$349)</f>
      </c>
      <c r="BJ349">
        <f>IF(ISBLANK('Data Entry'!$~$349), "", 'Data Entry'!$~$349)</f>
      </c>
      <c r="BK349">
        <f>IF(ISBLANK('Data Entry'!$$349), "", 'Data Entry'!$$349)</f>
      </c>
      <c r="BL349">
        <f>IF(ISBLANK('Data Entry'!$$349), "", 'Data Entry'!$$349)</f>
      </c>
      <c r="BM349">
        <f>IF(ISBLANK('Data Entry'!$$349), "", 'Data Entry'!$$349)</f>
      </c>
      <c r="BN349">
        <f>IF(ISBLANK('Data Entry'!$$349), "", 'Data Entry'!$$349)</f>
      </c>
      <c r="BO349">
        <f>IF(ISBLANK('Data Entry'!$$349), "", 'Data Entry'!$$349)</f>
      </c>
      <c r="BP349">
        <f>IF(ISBLANK('Data Entry'!$$349), "", 'Data Entry'!$$349)</f>
      </c>
      <c r="BQ349">
        <f>IF(ISBLANK('Data Entry'!$$349), "", 'Data Entry'!$$349)</f>
      </c>
      <c r="BR349">
        <f>IF(ISBLANK('Data Entry'!$$349), "", 'Data Entry'!$$349)</f>
      </c>
      <c r="BS349">
        <f>IF(ISBLANK('Data Entry'!$$349), "", 'Data Entry'!$$349)</f>
      </c>
      <c r="BT349">
        <f>IF(ISBLANK('Data Entry'!$$349), "", 'Data Entry'!$$349)</f>
      </c>
      <c r="BU349">
        <f>IF(ISBLANK('Data Entry'!$$349), "", 'Data Entry'!$$349)</f>
      </c>
      <c r="BV349">
        <f>IF(ISBLANK('Data Entry'!$$349), "", 'Data Entry'!$$349)</f>
      </c>
      <c r="BW349">
        <f>IF(ISBLANK('Data Entry'!$$349), "", 'Data Entry'!$$349)</f>
      </c>
      <c r="BX349">
        <f>IF(ISBLANK('Data Entry'!$$349), "", 'Data Entry'!$$349)</f>
      </c>
      <c r="BY349">
        <f>IF(ISBLANK('Data Entry'!$$349), "", 'Data Entry'!$$349)</f>
      </c>
      <c r="BZ349">
        <f>IF(ISBLANK('Data Entry'!$$349), "", 'Data Entry'!$$349)</f>
      </c>
      <c r="CA349">
        <f>IF(ISBLANK('Data Entry'!$$349), "", 'Data Entry'!$$349)</f>
      </c>
      <c r="CB349">
        <f>IF(ISBLANK('Data Entry'!$$349), "", 'Data Entry'!$$349)</f>
      </c>
      <c r="CC349">
        <f>IF(ISBLANK('Data Entry'!$$349), "", 'Data Entry'!$$349)</f>
      </c>
      <c r="CD349">
        <f>IF(ISBLANK('Data Entry'!$$349), "", 'Data Entry'!$$349)</f>
      </c>
      <c r="CE349">
        <f>IF(ISBLANK('Data Entry'!$$349), "", 'Data Entry'!$$349)</f>
      </c>
      <c r="CF349">
        <f>IF(ISBLANK('Data Entry'!$$349), "", 'Data Entry'!$$349)</f>
      </c>
      <c r="CG349">
        <f>IF(ISBLANK('Data Entry'!$$349), "", 'Data Entry'!$$349)</f>
      </c>
      <c r="CH349">
        <f>IF(ISBLANK('Data Entry'!$$349), "", 'Data Entry'!$$349)</f>
      </c>
      <c r="CI349">
        <f>IF(ISBLANK('Data Entry'!$$349), "", 'Data Entry'!$$349)</f>
      </c>
      <c r="CJ349">
        <f>IF(ISBLANK('Data Entry'!$$349), "", 'Data Entry'!$$349)</f>
      </c>
      <c r="CK349">
        <f>IF(ISBLANK('Data Entry'!$$349), "", 'Data Entry'!$$349)</f>
      </c>
      <c r="CL349">
        <f>IF(ISBLANK('Data Entry'!$$349), "", 'Data Entry'!$$349)</f>
      </c>
      <c r="CM349">
        <f>IF(ISBLANK('Data Entry'!$$349), "", 'Data Entry'!$$349)</f>
      </c>
      <c r="CN349">
        <f>IF(ISBLANK('Data Entry'!$$349), "", 'Data Entry'!$$349)</f>
      </c>
      <c r="CO349">
        <f>IF(ISBLANK('Data Entry'!$$349), "", 'Data Entry'!$$349)</f>
      </c>
      <c r="CP349">
        <f>IF(ISBLANK('Data Entry'!$$349), "", 'Data Entry'!$$349)</f>
      </c>
      <c r="CQ349">
        <f>IF(ISBLANK('Data Entry'!$$349), "", 'Data Entry'!$$349)</f>
      </c>
      <c r="CR349">
        <f>IF(ISBLANK('Data Entry'!$ $349), "", 'Data Entry'!$ $349)</f>
      </c>
      <c r="CS349">
        <f>IF(ISBLANK('Data Entry'!$¡$349), "", 'Data Entry'!$¡$349)</f>
      </c>
      <c r="CT349">
        <f>IF(ISBLANK('Data Entry'!$¢$349), "", 'Data Entry'!$¢$349)</f>
      </c>
      <c r="CU349">
        <f>IF(ISBLANK('Data Entry'!$£$349), "", 'Data Entry'!$£$349)</f>
      </c>
      <c r="CV349">
        <f>IF(ISBLANK('Data Entry'!$¤$349), "", 'Data Entry'!$¤$349)</f>
      </c>
      <c r="CW349">
        <f>IF(ISBLANK('Data Entry'!$¥$349), "", 'Data Entry'!$¥$349)</f>
      </c>
      <c r="CX349">
        <f>IF(ISBLANK('Data Entry'!$¦$349), "", 'Data Entry'!$¦$349)</f>
      </c>
      <c r="CY349">
        <f>IF(ISBLANK('Data Entry'!$§$349), "", 'Data Entry'!$§$349)</f>
      </c>
      <c r="CZ349">
        <f>IF(ISBLANK('Data Entry'!$¨$349), "", 'Data Entry'!$¨$349)</f>
      </c>
      <c r="DA349">
        <f>IF(ISBLANK('Data Entry'!$©$349), "", 'Data Entry'!$©$349)</f>
      </c>
      <c r="DB349">
        <f>IF(ISBLANK('Data Entry'!$ª$349), "", 'Data Entry'!$ª$349)</f>
      </c>
      <c r="DC349">
        <f>IF(ISBLANK('Data Entry'!$«$349), "", 'Data Entry'!$«$349)</f>
      </c>
      <c r="DD349">
        <f>IF(ISBLANK('Data Entry'!$¬$349), "", 'Data Entry'!$¬$349)</f>
      </c>
      <c r="DE349">
        <f>IF(ISBLANK('Data Entry'!$­$349), "", 'Data Entry'!$­$349)</f>
      </c>
      <c r="DF349">
        <f>IF(ISBLANK('Data Entry'!$®$349), "", 'Data Entry'!$®$349)</f>
      </c>
      <c r="DG349">
        <f>IF(ISBLANK('Data Entry'!$¯$349), "", 'Data Entry'!$¯$349)</f>
      </c>
      <c r="DH349">
        <f>IF(ISBLANK('Data Entry'!$°$349), "", 'Data Entry'!$°$349)</f>
      </c>
      <c r="DI349">
        <f>IF(ISBLANK('Data Entry'!$±$349), "", 'Data Entry'!$±$349)</f>
      </c>
      <c r="DJ349">
        <f>IF(ISBLANK('Data Entry'!$²$349), "", 'Data Entry'!$²$349)</f>
      </c>
      <c r="DK349">
        <f>IF(ISBLANK('Data Entry'!$³$349), "", 'Data Entry'!$³$349)</f>
      </c>
      <c r="DL349">
        <f>IF(ISBLANK('Data Entry'!$´$349), "", 'Data Entry'!$´$349)</f>
      </c>
      <c r="DM349">
        <f>IF(ISBLANK('Data Entry'!$µ$349), "", 'Data Entry'!$µ$349)</f>
      </c>
      <c r="DN349">
        <f>IF(ISBLANK('Data Entry'!$¶$349), "", 'Data Entry'!$¶$349)</f>
      </c>
      <c r="DO349">
        <f>IF(ISBLANK('Data Entry'!$·$349), "", 'Data Entry'!$·$349)</f>
      </c>
      <c r="DP349">
        <f>IF(ISBLANK('Data Entry'!$¸$349), "", 'Data Entry'!$¸$349)</f>
      </c>
      <c r="DQ349">
        <f>IF(ISBLANK('Data Entry'!$¹$349), "", 'Data Entry'!$¹$349)</f>
      </c>
      <c r="DR349">
        <f>IF(ISBLANK('Data Entry'!$º$349), "", 'Data Entry'!$º$349)</f>
      </c>
      <c r="DS349">
        <f>IF(ISBLANK('Data Entry'!$»$349), "", 'Data Entry'!$»$349)</f>
      </c>
      <c r="DT349">
        <f>IF(ISBLANK('Data Entry'!$¼$349), "", 'Data Entry'!$¼$349)</f>
      </c>
      <c r="DU349">
        <f>IF(ISBLANK('Data Entry'!$½$349), "", 'Data Entry'!$½$349)</f>
      </c>
      <c r="DV349">
        <f>IF(ISBLANK('Data Entry'!$¾$349), "", 'Data Entry'!$¾$349)</f>
      </c>
      <c r="DW349">
        <f>IF(ISBLANK('Data Entry'!$¿$349), "", 'Data Entry'!$¿$349)</f>
      </c>
      <c r="DX349">
        <f>IF(ISBLANK('Data Entry'!$À$349), "", 'Data Entry'!$À$349)</f>
      </c>
      <c r="DY349">
        <f>IF(ISBLANK('Data Entry'!$Á$349), "", 'Data Entry'!$Á$349)</f>
      </c>
      <c r="DZ349">
        <f>IF(ISBLANK('Data Entry'!$Â$349), "", 'Data Entry'!$Â$349)</f>
      </c>
      <c r="EA349">
        <f>IF(ISBLANK('Data Entry'!$Ã$349), "", 'Data Entry'!$Ã$349)</f>
      </c>
      <c r="EB349">
        <f>IF(ISBLANK('Data Entry'!$Ä$349), "", 'Data Entry'!$Ä$349)</f>
      </c>
      <c r="EC349">
        <f>IF(ISBLANK('Data Entry'!$Å$349), "", 'Data Entry'!$Å$349)</f>
      </c>
      <c r="ED349">
        <f>IF(ISBLANK('Data Entry'!$Æ$349), "", 'Data Entry'!$Æ$349)</f>
      </c>
      <c r="EE349">
        <f>IF(ISBLANK('Data Entry'!$Ç$349), "", 'Data Entry'!$Ç$349)</f>
      </c>
      <c r="EF349">
        <f>IF(ISBLANK('Data Entry'!$È$349), "", 'Data Entry'!$È$349)</f>
      </c>
      <c r="EG349">
        <f>IF(ISBLANK('Data Entry'!$É$349), "", 'Data Entry'!$É$349)</f>
      </c>
      <c r="EH349">
        <f>IF(ISBLANK('Data Entry'!$Ê$349), "", 'Data Entry'!$Ê$349)</f>
      </c>
      <c r="EI349">
        <f>IF(ISBLANK('Data Entry'!$Ë$349), "", 'Data Entry'!$Ë$349)</f>
      </c>
      <c r="EJ349">
        <f>IF(ISBLANK('Data Entry'!$Ì$349), "", 'Data Entry'!$Ì$349)</f>
      </c>
      <c r="EK349">
        <f>IF(ISBLANK('Data Entry'!$Í$349), "", 'Data Entry'!$Í$349)</f>
      </c>
      <c r="EL349">
        <f>IF(ISBLANK('Data Entry'!$Î$349), "", 'Data Entry'!$Î$349)</f>
      </c>
      <c r="EM349">
        <f>IF(ISBLANK('Data Entry'!$Ï$349), "", 'Data Entry'!$Ï$349)</f>
      </c>
      <c r="EN349">
        <f>IF(ISBLANK('Data Entry'!$Ð$349), "", 'Data Entry'!$Ð$349)</f>
      </c>
      <c r="EO349">
        <f>IF(ISBLANK('Data Entry'!$Ñ$349), "", 'Data Entry'!$Ñ$349)</f>
      </c>
      <c r="EP349">
        <f>IF(ISBLANK('Data Entry'!$Ò$349), "", 'Data Entry'!$Ò$349)</f>
      </c>
      <c r="EQ349">
        <f>IF(ISBLANK('Data Entry'!$Ó$349), "", 'Data Entry'!$Ó$349)</f>
      </c>
      <c r="ER349">
        <f>IF(ISBLANK('Data Entry'!$Ô$349), "", 'Data Entry'!$Ô$349)</f>
      </c>
      <c r="ES349">
        <f>IF(ISBLANK('Data Entry'!$Õ$349), "", 'Data Entry'!$Õ$349)</f>
      </c>
      <c r="ET349">
        <f>IF(ISBLANK('Data Entry'!$Ö$349), "", 'Data Entry'!$Ö$349)</f>
      </c>
      <c r="EU349">
        <f>IF(ISBLANK('Data Entry'!$×$349), "", 'Data Entry'!$×$349)</f>
      </c>
      <c r="EV349">
        <f>IF(ISBLANK('Data Entry'!$Ø$349), "", 'Data Entry'!$Ø$349)</f>
      </c>
      <c r="EW349">
        <f>IF(ISBLANK('Data Entry'!$Ù$349), "", 'Data Entry'!$Ù$349)</f>
      </c>
      <c r="EX349">
        <f>IF(ISBLANK('Data Entry'!$Ú$349), "", 'Data Entry'!$Ú$349)</f>
      </c>
      <c r="EY349">
        <f>IF(ISBLANK('Data Entry'!$Û$349), "", 'Data Entry'!$Û$349)</f>
      </c>
      <c r="EZ349">
        <f>IF(ISBLANK('Data Entry'!$Ü$349), "", 'Data Entry'!$Ü$349)</f>
      </c>
      <c r="FA349">
        <f>IF(ISBLANK('Data Entry'!$Ý$349), "", 'Data Entry'!$Ý$349)</f>
      </c>
      <c r="FB349">
        <f>IF(ISBLANK('Data Entry'!$Þ$349), "", 'Data Entry'!$Þ$349)</f>
      </c>
      <c r="FC349">
        <f>IF(ISBLANK('Data Entry'!$ß$349), "", 'Data Entry'!$ß$349)</f>
      </c>
      <c r="FD349">
        <f>IF(ISBLANK('Data Entry'!$à$349), "", 'Data Entry'!$à$349)</f>
      </c>
      <c r="FE349">
        <f>IF(ISBLANK('Data Entry'!$á$349), "", 'Data Entry'!$á$349)</f>
      </c>
      <c r="FF349">
        <f>IF(ISBLANK('Data Entry'!$â$349), "", 'Data Entry'!$â$349)</f>
      </c>
      <c r="FG349">
        <f>IF(ISBLANK('Data Entry'!$ã$349), "", 'Data Entry'!$ã$349)</f>
      </c>
      <c r="FH349">
        <f>IF(ISBLANK('Data Entry'!$ä$349), "", 'Data Entry'!$ä$349)</f>
      </c>
      <c r="FI349">
        <f>IF(ISBLANK('Data Entry'!$å$349), "", 'Data Entry'!$å$349)</f>
      </c>
      <c r="FJ349">
        <f>IF(ISBLANK('Data Entry'!$æ$349), "", 'Data Entry'!$æ$349)</f>
      </c>
      <c r="FK349">
        <f>IF(ISBLANK('Data Entry'!$ç$349), "", 'Data Entry'!$ç$349)</f>
      </c>
      <c r="FL349">
        <f>IF(ISBLANK('Data Entry'!$è$349), "", 'Data Entry'!$è$349)</f>
      </c>
      <c r="FM349">
        <f>IF(ISBLANK('Data Entry'!$é$349), "", 'Data Entry'!$é$349)</f>
      </c>
      <c r="FN349">
        <f>IF(ISBLANK('Data Entry'!$ê$349), "", 'Data Entry'!$ê$349)</f>
      </c>
      <c r="FO349">
        <f>IF(ISBLANK('Data Entry'!$ë$349), "", 'Data Entry'!$ë$349)</f>
      </c>
      <c r="FP349">
        <f>IF(ISBLANK('Data Entry'!$ì$349), "", 'Data Entry'!$ì$349)</f>
      </c>
      <c r="FQ349">
        <f>IF(ISBLANK('Data Entry'!$í$349), "", 'Data Entry'!$í$349)</f>
      </c>
      <c r="FR349">
        <f>IF(ISBLANK('Data Entry'!$î$349), "", 'Data Entry'!$î$349)</f>
      </c>
      <c r="FS349">
        <f>IF(ISBLANK('Data Entry'!$ï$349), "", 'Data Entry'!$ï$349)</f>
      </c>
      <c r="FT349">
        <f>IF(ISBLANK('Data Entry'!$ð$349), "", 'Data Entry'!$ð$349)</f>
      </c>
      <c r="FU349">
        <f>IF(ISBLANK('Data Entry'!$ñ$349), "", 'Data Entry'!$ñ$349)</f>
      </c>
      <c r="FV349">
        <f>IF(ISBLANK('Data Entry'!$ò$349), "", 'Data Entry'!$ò$349)</f>
      </c>
      <c r="FW349">
        <f>IF(ISBLANK('Data Entry'!$ó$349), "", 'Data Entry'!$ó$349)</f>
      </c>
      <c r="FX349">
        <f>IF(ISBLANK('Data Entry'!$ô$349), "", 'Data Entry'!$ô$349)</f>
      </c>
      <c r="FY349">
        <f>IF(ISBLANK('Data Entry'!$õ$349), "", 'Data Entry'!$õ$349)</f>
      </c>
      <c r="FZ349">
        <f>IF(ISBLANK('Data Entry'!$ö$349), "", 'Data Entry'!$ö$349)</f>
      </c>
      <c r="GA349">
        <f>IF(ISBLANK('Data Entry'!$÷$349), "", 'Data Entry'!$÷$349)</f>
      </c>
      <c r="GB349">
        <f>IF(ISBLANK('Data Entry'!$ø$349), "", 'Data Entry'!$ø$349)</f>
      </c>
      <c r="GC349">
        <f>IF(ISBLANK('Data Entry'!$ù$349), "", 'Data Entry'!$ù$349)</f>
      </c>
      <c r="GD349">
        <f>IF(ISBLANK('Data Entry'!$ú$349), "", 'Data Entry'!$ú$349)</f>
      </c>
      <c r="GE349">
        <f>IF(ISBLANK('Data Entry'!$û$349), "", 'Data Entry'!$û$349)</f>
      </c>
      <c r="GF349">
        <f>IF(ISBLANK('Data Entry'!$ü$349), "", 'Data Entry'!$ü$349)</f>
      </c>
      <c r="GG349">
        <f>IF(ISBLANK('Data Entry'!$ý$349), "", 'Data Entry'!$ý$349)</f>
      </c>
      <c r="GH349">
        <f>IF(ISBLANK('Data Entry'!$þ$349), "", 'Data Entry'!$þ$349)</f>
      </c>
      <c r="GI349">
        <f>IF(ISBLANK('Data Entry'!$ÿ$349), "", 'Data Entry'!$ÿ$349)</f>
      </c>
      <c r="GJ349">
        <f>IF(ISBLANK('Data Entry'!$Ā$349), "", 'Data Entry'!$Ā$349)</f>
      </c>
      <c r="GK349">
        <f>IF(ISBLANK('Data Entry'!$ā$349), "", 'Data Entry'!$ā$349)</f>
      </c>
      <c r="GL349">
        <f>IF(ISBLANK('Data Entry'!$Ă$349), "", 'Data Entry'!$Ă$349)</f>
      </c>
      <c r="GM349">
        <f>IF(ISBLANK('Data Entry'!$ă$349), "", 'Data Entry'!$ă$349)</f>
      </c>
      <c r="GN349">
        <f>IF(ISBLANK('Data Entry'!$Ą$349), "", 'Data Entry'!$Ą$349)</f>
      </c>
      <c r="GO349">
        <f>IF(ISBLANK('Data Entry'!$ą$349), "", 'Data Entry'!$ą$349)</f>
      </c>
      <c r="GP349">
        <f>IF(ISBLANK('Data Entry'!$Ć$349), "", 'Data Entry'!$Ć$349)</f>
      </c>
      <c r="GQ349">
        <f>IF(ISBLANK('Data Entry'!$ć$349), "", 'Data Entry'!$ć$349)</f>
      </c>
      <c r="GR349">
        <f>IF(ISBLANK('Data Entry'!$Ĉ$349), "", 'Data Entry'!$Ĉ$349)</f>
      </c>
      <c r="GS349">
        <f>IF(ISBLANK('Data Entry'!$ĉ$349), "", 'Data Entry'!$ĉ$349)</f>
      </c>
      <c r="GT349">
        <f>IF(ISBLANK('Data Entry'!$Ċ$349), "", 'Data Entry'!$Ċ$349)</f>
      </c>
      <c r="GU349">
        <f>IF(ISBLANK('Data Entry'!$ċ$349), "", 'Data Entry'!$ċ$349)</f>
      </c>
      <c r="GV349">
        <f>IF(ISBLANK('Data Entry'!$Č$349), "", 'Data Entry'!$Č$349)</f>
      </c>
      <c r="GW349">
        <f>IF(ISBLANK('Data Entry'!$č$349), "", 'Data Entry'!$č$349)</f>
      </c>
      <c r="GX349">
        <f>IF(ISBLANK('Data Entry'!$Ď$349), "", 'Data Entry'!$Ď$349)</f>
      </c>
      <c r="GY349">
        <f>IF(ISBLANK('Data Entry'!$ď$349), "", 'Data Entry'!$ď$349)</f>
      </c>
      <c r="GZ349">
        <f>IF(ISBLANK('Data Entry'!$Đ$349), "", 'Data Entry'!$Đ$349)</f>
      </c>
      <c r="HA349">
        <f>IF(ISBLANK('Data Entry'!$đ$349), "", 'Data Entry'!$đ$349)</f>
      </c>
      <c r="HB349">
        <f>IF(ISBLANK('Data Entry'!$Ē$349), "", 'Data Entry'!$Ē$349)</f>
      </c>
      <c r="HC349">
        <f>IF(ISBLANK('Data Entry'!$ē$349), "", 'Data Entry'!$ē$349)</f>
      </c>
      <c r="HD349">
        <f>IF(ISBLANK('Data Entry'!$Ĕ$349), "", 'Data Entry'!$Ĕ$349)</f>
      </c>
      <c r="HE349">
        <f>IF(ISBLANK('Data Entry'!$ĕ$349), "", 'Data Entry'!$ĕ$349)</f>
      </c>
      <c r="HF349">
        <f>IF(ISBLANK('Data Entry'!$Ė$349), "", 'Data Entry'!$Ė$349)</f>
      </c>
      <c r="HG349">
        <f>IF(ISBLANK('Data Entry'!$ė$349), "", 'Data Entry'!$ė$349)</f>
      </c>
      <c r="HH349">
        <f>IF(ISBLANK('Data Entry'!$Ę$349), "", 'Data Entry'!$Ę$349)</f>
      </c>
      <c r="HI349">
        <f>IF(ISBLANK('Data Entry'!$ę$349), "", 'Data Entry'!$ę$349)</f>
      </c>
      <c r="HJ349">
        <f>IF(ISBLANK('Data Entry'!$Ě$349), "", 'Data Entry'!$Ě$349)</f>
      </c>
      <c r="HK349">
        <f>IF(ISBLANK('Data Entry'!$ě$349), "", 'Data Entry'!$ě$349)</f>
      </c>
      <c r="HL349">
        <f>IF(ISBLANK('Data Entry'!$Ĝ$349), "", 'Data Entry'!$Ĝ$349)</f>
      </c>
      <c r="HM349">
        <f>IF(ISBLANK('Data Entry'!$ĝ$349), "", 'Data Entry'!$ĝ$349)</f>
      </c>
      <c r="HN349">
        <f>IF(ISBLANK('Data Entry'!$Ğ$349), "", 'Data Entry'!$Ğ$349)</f>
      </c>
      <c r="HO349">
        <f>IF(ISBLANK('Data Entry'!$ğ$349), "", 'Data Entry'!$ğ$349)</f>
      </c>
      <c r="HP349">
        <f>IF(ISBLANK('Data Entry'!$Ġ$349), "", 'Data Entry'!$Ġ$349)</f>
      </c>
      <c r="HQ349">
        <f>IF(ISBLANK('Data Entry'!$ġ$349), "", 'Data Entry'!$ġ$349)</f>
      </c>
      <c r="HR349">
        <f>IF(ISBLANK('Data Entry'!$Ģ$349), "", 'Data Entry'!$Ģ$349)</f>
      </c>
      <c r="HS349">
        <f>IF(ISBLANK('Data Entry'!$ģ$349), "", 'Data Entry'!$ģ$349)</f>
      </c>
      <c r="HT349">
        <f>IF(ISBLANK('Data Entry'!$Ĥ$349), "", 'Data Entry'!$Ĥ$349)</f>
      </c>
      <c r="HU349">
        <f>IF(ISBLANK('Data Entry'!$ĥ$349), "", 'Data Entry'!$ĥ$349)</f>
      </c>
      <c r="HV349">
        <f>IF(ISBLANK('Data Entry'!$Ħ$349), "", 'Data Entry'!$Ħ$349)</f>
      </c>
      <c r="HW349">
        <f>IF(ISBLANK('Data Entry'!$ħ$349), "", 'Data Entry'!$ħ$349)</f>
      </c>
      <c r="HX349">
        <f>IF(ISBLANK('Data Entry'!$Ĩ$349), "", 'Data Entry'!$Ĩ$349)</f>
      </c>
      <c r="HY349">
        <f>IF(ISBLANK('Data Entry'!$ĩ$349), "", 'Data Entry'!$ĩ$349)</f>
      </c>
      <c r="HZ349">
        <f>IF(ISBLANK('Data Entry'!$Ī$349), "", 'Data Entry'!$Ī$349)</f>
      </c>
      <c r="IA349">
        <f>IF(ISBLANK('Data Entry'!$ī$349), "", 'Data Entry'!$ī$349)</f>
      </c>
      <c r="IB349">
        <f>IF(ISBLANK('Data Entry'!$Ĭ$349), "", 'Data Entry'!$Ĭ$349)</f>
      </c>
      <c r="IC349">
        <f>IF(ISBLANK('Data Entry'!$ĭ$349), "", 'Data Entry'!$ĭ$349)</f>
      </c>
      <c r="ID349">
        <f>IF(ISBLANK('Data Entry'!$Į$349), "", 'Data Entry'!$Į$349)</f>
      </c>
      <c r="IE349">
        <f>IF(ISBLANK('Data Entry'!$į$349), "", 'Data Entry'!$į$349)</f>
      </c>
      <c r="IF349">
        <f>IF(ISBLANK('Data Entry'!$İ$349), "", 'Data Entry'!$İ$349)</f>
      </c>
      <c r="IG349">
        <f>IF(ISBLANK('Data Entry'!$ı$349), "", 'Data Entry'!$ı$349)</f>
      </c>
      <c r="IH349">
        <f>IF(ISBLANK('Data Entry'!$Ĳ$349), "", 'Data Entry'!$Ĳ$349)</f>
      </c>
      <c r="II349">
        <f>IF(ISBLANK('Data Entry'!$ĳ$349), "", 'Data Entry'!$ĳ$349)</f>
      </c>
      <c r="IJ349">
        <f>IF(ISBLANK('Data Entry'!$Ĵ$349), "", 'Data Entry'!$Ĵ$349)</f>
      </c>
      <c r="IK349">
        <f>IF(ISBLANK('Data Entry'!$ĵ$349), "", 'Data Entry'!$ĵ$349)</f>
      </c>
      <c r="IL349">
        <f>IF(ISBLANK('Data Entry'!$Ķ$349), "", 'Data Entry'!$Ķ$349)</f>
      </c>
      <c r="IM349">
        <f>IF(ISBLANK('Data Entry'!$ķ$349), "", 'Data Entry'!$ķ$349)</f>
      </c>
      <c r="IN349">
        <f>IF(ISBLANK('Data Entry'!$ĸ$349), "", 'Data Entry'!$ĸ$349)</f>
      </c>
      <c r="IO349">
        <f>IF(ISBLANK('Data Entry'!$Ĺ$349), "", 'Data Entry'!$Ĺ$349)</f>
      </c>
      <c r="IP349">
        <f>IF(ISBLANK('Data Entry'!$ĺ$349), "", 'Data Entry'!$ĺ$349)</f>
      </c>
      <c r="IQ349">
        <f>IF(ISBLANK('Data Entry'!$Ļ$349), "", 'Data Entry'!$Ļ$349)</f>
      </c>
      <c r="IR349">
        <f>IF(ISBLANK('Data Entry'!$ļ$349), "", 'Data Entry'!$ļ$349)</f>
      </c>
      <c r="IS349">
        <f>IF(ISBLANK('Data Entry'!$Ľ$349), "", 'Data Entry'!$Ľ$349)</f>
      </c>
      <c r="IT349">
        <f>IF(ISBLANK('Data Entry'!$ľ$349), "", 'Data Entry'!$ľ$349)</f>
      </c>
    </row>
    <row r="350" spans="1:254" x14ac:dyDescent="0.25">
      <c r="A350">
        <f>IF(ISBLANK('Data Entry'!$A$350), "", 'Data Entry'!$A$350)</f>
      </c>
      <c r="B350">
        <f>IF(ISBLANK('Data Entry'!$B$350), "", 'Data Entry'!$B$350)</f>
      </c>
      <c r="C350">
        <f>IF(ISBLANK('Data Entry'!$C$350), "", 'Data Entry'!$C$350)</f>
      </c>
      <c r="D350">
        <f>IF(ISBLANK('Data Entry'!$D$350), "", 'Data Entry'!$D$350)</f>
      </c>
      <c r="E350">
        <f>IF(ISBLANK('Data Entry'!$E$350), "", 'Data Entry'!$E$350)</f>
      </c>
      <c r="F350">
        <f>IF(ISBLANK('Data Entry'!$F$350), "", 'Data Entry'!$F$350)</f>
      </c>
      <c r="G350">
        <f>IF(ISBLANK('Data Entry'!$G$350), "", 'Data Entry'!$G$350)</f>
      </c>
      <c r="H350">
        <f>IF(ISBLANK('Data Entry'!$H$350), "", 'Data Entry'!$H$350)</f>
      </c>
      <c r="I350">
        <f>IF(ISBLANK('Data Entry'!$I$350), "", 'Data Entry'!$I$350)</f>
      </c>
      <c r="J350">
        <f>IF(ISBLANK('Data Entry'!$J$350), "", 'Data Entry'!$J$350)</f>
      </c>
      <c r="K350">
        <f>IF(ISBLANK('Data Entry'!$K$350), "", 'Data Entry'!$K$350)</f>
      </c>
      <c r="L350">
        <f>IF(ISBLANK('Data Entry'!$L$350), "", 'Data Entry'!$L$350)</f>
      </c>
      <c r="M350">
        <f>IF(ISBLANK('Data Entry'!$M$350), "", 'Data Entry'!$M$350)</f>
      </c>
      <c r="N350">
        <f>IF(ISBLANK('Data Entry'!$N$350), "", 'Data Entry'!$N$350)</f>
      </c>
      <c r="O350">
        <f>IF(ISBLANK('Data Entry'!$O$350), "", 'Data Entry'!$O$350)</f>
      </c>
      <c r="P350">
        <f>IF(ISBLANK('Data Entry'!$P$350), "", 'Data Entry'!$P$350)</f>
      </c>
      <c r="Q350">
        <f>IF(ISBLANK('Data Entry'!$Q$350), "", 'Data Entry'!$Q$350)</f>
      </c>
      <c r="R350">
        <f>IF(ISBLANK('Data Entry'!$R$350), "", 'Data Entry'!$R$350)</f>
      </c>
      <c r="S350">
        <f>IF(ISBLANK('Data Entry'!$S$350), "", 'Data Entry'!$S$350)</f>
      </c>
      <c r="T350">
        <f>IF(ISBLANK('Data Entry'!$T$350), "", 'Data Entry'!$T$350)</f>
      </c>
      <c r="U350">
        <f>IF(ISBLANK('Data Entry'!$U$350), "", 'Data Entry'!$U$350)</f>
      </c>
      <c r="V350">
        <f>IF(ISBLANK('Data Entry'!$V$350), "", 'Data Entry'!$V$350)</f>
      </c>
      <c r="W350">
        <f>IF(ISBLANK('Data Entry'!$W$350), "", 'Data Entry'!$W$350)</f>
      </c>
      <c r="X350">
        <f>IF(ISBLANK('Data Entry'!$X$350), "", 'Data Entry'!$X$350)</f>
      </c>
      <c r="Y350">
        <f>IF(ISBLANK('Data Entry'!$Y$350), "", 'Data Entry'!$Y$350)</f>
      </c>
      <c r="Z350">
        <f>IF(ISBLANK('Data Entry'!$Z$350), "", 'Data Entry'!$Z$350)</f>
      </c>
      <c r="AA350">
        <f>IF(ISBLANK('Data Entry'!$[$350), "", 'Data Entry'!$[$350)</f>
      </c>
      <c r="AB350">
        <f>IF(ISBLANK('Data Entry'!$\$350), "", 'Data Entry'!$\$350)</f>
      </c>
      <c r="AC350">
        <f>IF(ISBLANK('Data Entry'!$]$350), "", 'Data Entry'!$]$350)</f>
      </c>
      <c r="AD350">
        <f>IF(ISBLANK('Data Entry'!$^$350), "", 'Data Entry'!$^$350)</f>
      </c>
      <c r="AE350">
        <f>IF(ISBLANK('Data Entry'!$_$350), "", 'Data Entry'!$_$350)</f>
      </c>
      <c r="AF350">
        <f>IF(ISBLANK('Data Entry'!$`$350), "", 'Data Entry'!$`$350)</f>
      </c>
      <c r="AG350">
        <f>IF(ISBLANK('Data Entry'!$a$350), "", 'Data Entry'!$a$350)</f>
      </c>
      <c r="AH350">
        <f>IF(ISBLANK('Data Entry'!$b$350), "", 'Data Entry'!$b$350)</f>
      </c>
      <c r="AI350">
        <f>IF(ISBLANK('Data Entry'!$c$350), "", 'Data Entry'!$c$350)</f>
      </c>
      <c r="AJ350">
        <f>IF(ISBLANK('Data Entry'!$d$350), "", 'Data Entry'!$d$350)</f>
      </c>
      <c r="AK350">
        <f>IF(ISBLANK('Data Entry'!$e$350), "", 'Data Entry'!$e$350)</f>
      </c>
      <c r="AL350">
        <f>IF(ISBLANK('Data Entry'!$f$350), "", 'Data Entry'!$f$350)</f>
      </c>
      <c r="AM350">
        <f>IF(ISBLANK('Data Entry'!$g$350), "", 'Data Entry'!$g$350)</f>
      </c>
      <c r="AN350">
        <f>IF(ISBLANK('Data Entry'!$h$350), "", 'Data Entry'!$h$350)</f>
      </c>
      <c r="AO350">
        <f>IF(ISBLANK('Data Entry'!$i$350), "", 'Data Entry'!$i$350)</f>
      </c>
      <c r="AP350">
        <f>IF(ISBLANK('Data Entry'!$j$350), "", 'Data Entry'!$j$350)</f>
      </c>
      <c r="AQ350">
        <f>IF(ISBLANK('Data Entry'!$k$350), "", 'Data Entry'!$k$350)</f>
      </c>
      <c r="AR350">
        <f>IF(ISBLANK('Data Entry'!$l$350), "", 'Data Entry'!$l$350)</f>
      </c>
      <c r="AS350">
        <f>IF(ISBLANK('Data Entry'!$m$350), "", 'Data Entry'!$m$350)</f>
      </c>
      <c r="AT350">
        <f>IF(ISBLANK('Data Entry'!$n$350), "", 'Data Entry'!$n$350)</f>
      </c>
      <c r="AU350">
        <f>IF(ISBLANK('Data Entry'!$o$350), "", 'Data Entry'!$o$350)</f>
      </c>
      <c r="AV350">
        <f>IF(ISBLANK('Data Entry'!$p$350), "", 'Data Entry'!$p$350)</f>
      </c>
      <c r="AW350">
        <f>IF(ISBLANK('Data Entry'!$q$350), "", 'Data Entry'!$q$350)</f>
      </c>
      <c r="AX350">
        <f>IF(ISBLANK('Data Entry'!$r$350), "", 'Data Entry'!$r$350)</f>
      </c>
      <c r="AY350">
        <f>IF(ISBLANK('Data Entry'!$s$350), "", 'Data Entry'!$s$350)</f>
      </c>
      <c r="AZ350">
        <f>IF(ISBLANK('Data Entry'!$t$350), "", 'Data Entry'!$t$350)</f>
      </c>
      <c r="BA350">
        <f>IF(ISBLANK('Data Entry'!$u$350), "", 'Data Entry'!$u$350)</f>
      </c>
      <c r="BB350">
        <f>IF(ISBLANK('Data Entry'!$v$350), "", 'Data Entry'!$v$350)</f>
      </c>
      <c r="BC350">
        <f>IF(ISBLANK('Data Entry'!$w$350), "", 'Data Entry'!$w$350)</f>
      </c>
      <c r="BD350">
        <f>IF(ISBLANK('Data Entry'!$x$350), "", 'Data Entry'!$x$350)</f>
      </c>
      <c r="BE350">
        <f>IF(ISBLANK('Data Entry'!$y$350), "", 'Data Entry'!$y$350)</f>
      </c>
      <c r="BF350">
        <f>IF(ISBLANK('Data Entry'!$z$350), "", 'Data Entry'!$z$350)</f>
      </c>
      <c r="BG350">
        <f>IF(ISBLANK('Data Entry'!${$350), "", 'Data Entry'!${$350)</f>
      </c>
      <c r="BH350">
        <f>IF(ISBLANK('Data Entry'!$|$350), "", 'Data Entry'!$|$350)</f>
      </c>
      <c r="BI350">
        <f>IF(ISBLANK('Data Entry'!$}$350), "", 'Data Entry'!$}$350)</f>
      </c>
      <c r="BJ350">
        <f>IF(ISBLANK('Data Entry'!$~$350), "", 'Data Entry'!$~$350)</f>
      </c>
      <c r="BK350">
        <f>IF(ISBLANK('Data Entry'!$$350), "", 'Data Entry'!$$350)</f>
      </c>
      <c r="BL350">
        <f>IF(ISBLANK('Data Entry'!$$350), "", 'Data Entry'!$$350)</f>
      </c>
      <c r="BM350">
        <f>IF(ISBLANK('Data Entry'!$$350), "", 'Data Entry'!$$350)</f>
      </c>
      <c r="BN350">
        <f>IF(ISBLANK('Data Entry'!$$350), "", 'Data Entry'!$$350)</f>
      </c>
      <c r="BO350">
        <f>IF(ISBLANK('Data Entry'!$$350), "", 'Data Entry'!$$350)</f>
      </c>
      <c r="BP350">
        <f>IF(ISBLANK('Data Entry'!$$350), "", 'Data Entry'!$$350)</f>
      </c>
      <c r="BQ350">
        <f>IF(ISBLANK('Data Entry'!$$350), "", 'Data Entry'!$$350)</f>
      </c>
      <c r="BR350">
        <f>IF(ISBLANK('Data Entry'!$$350), "", 'Data Entry'!$$350)</f>
      </c>
      <c r="BS350">
        <f>IF(ISBLANK('Data Entry'!$$350), "", 'Data Entry'!$$350)</f>
      </c>
      <c r="BT350">
        <f>IF(ISBLANK('Data Entry'!$$350), "", 'Data Entry'!$$350)</f>
      </c>
      <c r="BU350">
        <f>IF(ISBLANK('Data Entry'!$$350), "", 'Data Entry'!$$350)</f>
      </c>
      <c r="BV350">
        <f>IF(ISBLANK('Data Entry'!$$350), "", 'Data Entry'!$$350)</f>
      </c>
      <c r="BW350">
        <f>IF(ISBLANK('Data Entry'!$$350), "", 'Data Entry'!$$350)</f>
      </c>
      <c r="BX350">
        <f>IF(ISBLANK('Data Entry'!$$350), "", 'Data Entry'!$$350)</f>
      </c>
      <c r="BY350">
        <f>IF(ISBLANK('Data Entry'!$$350), "", 'Data Entry'!$$350)</f>
      </c>
      <c r="BZ350">
        <f>IF(ISBLANK('Data Entry'!$$350), "", 'Data Entry'!$$350)</f>
      </c>
      <c r="CA350">
        <f>IF(ISBLANK('Data Entry'!$$350), "", 'Data Entry'!$$350)</f>
      </c>
      <c r="CB350">
        <f>IF(ISBLANK('Data Entry'!$$350), "", 'Data Entry'!$$350)</f>
      </c>
      <c r="CC350">
        <f>IF(ISBLANK('Data Entry'!$$350), "", 'Data Entry'!$$350)</f>
      </c>
      <c r="CD350">
        <f>IF(ISBLANK('Data Entry'!$$350), "", 'Data Entry'!$$350)</f>
      </c>
      <c r="CE350">
        <f>IF(ISBLANK('Data Entry'!$$350), "", 'Data Entry'!$$350)</f>
      </c>
      <c r="CF350">
        <f>IF(ISBLANK('Data Entry'!$$350), "", 'Data Entry'!$$350)</f>
      </c>
      <c r="CG350">
        <f>IF(ISBLANK('Data Entry'!$$350), "", 'Data Entry'!$$350)</f>
      </c>
      <c r="CH350">
        <f>IF(ISBLANK('Data Entry'!$$350), "", 'Data Entry'!$$350)</f>
      </c>
      <c r="CI350">
        <f>IF(ISBLANK('Data Entry'!$$350), "", 'Data Entry'!$$350)</f>
      </c>
      <c r="CJ350">
        <f>IF(ISBLANK('Data Entry'!$$350), "", 'Data Entry'!$$350)</f>
      </c>
      <c r="CK350">
        <f>IF(ISBLANK('Data Entry'!$$350), "", 'Data Entry'!$$350)</f>
      </c>
      <c r="CL350">
        <f>IF(ISBLANK('Data Entry'!$$350), "", 'Data Entry'!$$350)</f>
      </c>
      <c r="CM350">
        <f>IF(ISBLANK('Data Entry'!$$350), "", 'Data Entry'!$$350)</f>
      </c>
      <c r="CN350">
        <f>IF(ISBLANK('Data Entry'!$$350), "", 'Data Entry'!$$350)</f>
      </c>
      <c r="CO350">
        <f>IF(ISBLANK('Data Entry'!$$350), "", 'Data Entry'!$$350)</f>
      </c>
      <c r="CP350">
        <f>IF(ISBLANK('Data Entry'!$$350), "", 'Data Entry'!$$350)</f>
      </c>
      <c r="CQ350">
        <f>IF(ISBLANK('Data Entry'!$$350), "", 'Data Entry'!$$350)</f>
      </c>
      <c r="CR350">
        <f>IF(ISBLANK('Data Entry'!$ $350), "", 'Data Entry'!$ $350)</f>
      </c>
      <c r="CS350">
        <f>IF(ISBLANK('Data Entry'!$¡$350), "", 'Data Entry'!$¡$350)</f>
      </c>
      <c r="CT350">
        <f>IF(ISBLANK('Data Entry'!$¢$350), "", 'Data Entry'!$¢$350)</f>
      </c>
      <c r="CU350">
        <f>IF(ISBLANK('Data Entry'!$£$350), "", 'Data Entry'!$£$350)</f>
      </c>
      <c r="CV350">
        <f>IF(ISBLANK('Data Entry'!$¤$350), "", 'Data Entry'!$¤$350)</f>
      </c>
      <c r="CW350">
        <f>IF(ISBLANK('Data Entry'!$¥$350), "", 'Data Entry'!$¥$350)</f>
      </c>
      <c r="CX350">
        <f>IF(ISBLANK('Data Entry'!$¦$350), "", 'Data Entry'!$¦$350)</f>
      </c>
      <c r="CY350">
        <f>IF(ISBLANK('Data Entry'!$§$350), "", 'Data Entry'!$§$350)</f>
      </c>
      <c r="CZ350">
        <f>IF(ISBLANK('Data Entry'!$¨$350), "", 'Data Entry'!$¨$350)</f>
      </c>
      <c r="DA350">
        <f>IF(ISBLANK('Data Entry'!$©$350), "", 'Data Entry'!$©$350)</f>
      </c>
      <c r="DB350">
        <f>IF(ISBLANK('Data Entry'!$ª$350), "", 'Data Entry'!$ª$350)</f>
      </c>
      <c r="DC350">
        <f>IF(ISBLANK('Data Entry'!$«$350), "", 'Data Entry'!$«$350)</f>
      </c>
      <c r="DD350">
        <f>IF(ISBLANK('Data Entry'!$¬$350), "", 'Data Entry'!$¬$350)</f>
      </c>
      <c r="DE350">
        <f>IF(ISBLANK('Data Entry'!$­$350), "", 'Data Entry'!$­$350)</f>
      </c>
      <c r="DF350">
        <f>IF(ISBLANK('Data Entry'!$®$350), "", 'Data Entry'!$®$350)</f>
      </c>
      <c r="DG350">
        <f>IF(ISBLANK('Data Entry'!$¯$350), "", 'Data Entry'!$¯$350)</f>
      </c>
      <c r="DH350">
        <f>IF(ISBLANK('Data Entry'!$°$350), "", 'Data Entry'!$°$350)</f>
      </c>
      <c r="DI350">
        <f>IF(ISBLANK('Data Entry'!$±$350), "", 'Data Entry'!$±$350)</f>
      </c>
      <c r="DJ350">
        <f>IF(ISBLANK('Data Entry'!$²$350), "", 'Data Entry'!$²$350)</f>
      </c>
      <c r="DK350">
        <f>IF(ISBLANK('Data Entry'!$³$350), "", 'Data Entry'!$³$350)</f>
      </c>
      <c r="DL350">
        <f>IF(ISBLANK('Data Entry'!$´$350), "", 'Data Entry'!$´$350)</f>
      </c>
      <c r="DM350">
        <f>IF(ISBLANK('Data Entry'!$µ$350), "", 'Data Entry'!$µ$350)</f>
      </c>
      <c r="DN350">
        <f>IF(ISBLANK('Data Entry'!$¶$350), "", 'Data Entry'!$¶$350)</f>
      </c>
      <c r="DO350">
        <f>IF(ISBLANK('Data Entry'!$·$350), "", 'Data Entry'!$·$350)</f>
      </c>
      <c r="DP350">
        <f>IF(ISBLANK('Data Entry'!$¸$350), "", 'Data Entry'!$¸$350)</f>
      </c>
      <c r="DQ350">
        <f>IF(ISBLANK('Data Entry'!$¹$350), "", 'Data Entry'!$¹$350)</f>
      </c>
      <c r="DR350">
        <f>IF(ISBLANK('Data Entry'!$º$350), "", 'Data Entry'!$º$350)</f>
      </c>
      <c r="DS350">
        <f>IF(ISBLANK('Data Entry'!$»$350), "", 'Data Entry'!$»$350)</f>
      </c>
      <c r="DT350">
        <f>IF(ISBLANK('Data Entry'!$¼$350), "", 'Data Entry'!$¼$350)</f>
      </c>
      <c r="DU350">
        <f>IF(ISBLANK('Data Entry'!$½$350), "", 'Data Entry'!$½$350)</f>
      </c>
      <c r="DV350">
        <f>IF(ISBLANK('Data Entry'!$¾$350), "", 'Data Entry'!$¾$350)</f>
      </c>
      <c r="DW350">
        <f>IF(ISBLANK('Data Entry'!$¿$350), "", 'Data Entry'!$¿$350)</f>
      </c>
      <c r="DX350">
        <f>IF(ISBLANK('Data Entry'!$À$350), "", 'Data Entry'!$À$350)</f>
      </c>
      <c r="DY350">
        <f>IF(ISBLANK('Data Entry'!$Á$350), "", 'Data Entry'!$Á$350)</f>
      </c>
      <c r="DZ350">
        <f>IF(ISBLANK('Data Entry'!$Â$350), "", 'Data Entry'!$Â$350)</f>
      </c>
      <c r="EA350">
        <f>IF(ISBLANK('Data Entry'!$Ã$350), "", 'Data Entry'!$Ã$350)</f>
      </c>
      <c r="EB350">
        <f>IF(ISBLANK('Data Entry'!$Ä$350), "", 'Data Entry'!$Ä$350)</f>
      </c>
      <c r="EC350">
        <f>IF(ISBLANK('Data Entry'!$Å$350), "", 'Data Entry'!$Å$350)</f>
      </c>
      <c r="ED350">
        <f>IF(ISBLANK('Data Entry'!$Æ$350), "", 'Data Entry'!$Æ$350)</f>
      </c>
      <c r="EE350">
        <f>IF(ISBLANK('Data Entry'!$Ç$350), "", 'Data Entry'!$Ç$350)</f>
      </c>
      <c r="EF350">
        <f>IF(ISBLANK('Data Entry'!$È$350), "", 'Data Entry'!$È$350)</f>
      </c>
      <c r="EG350">
        <f>IF(ISBLANK('Data Entry'!$É$350), "", 'Data Entry'!$É$350)</f>
      </c>
      <c r="EH350">
        <f>IF(ISBLANK('Data Entry'!$Ê$350), "", 'Data Entry'!$Ê$350)</f>
      </c>
      <c r="EI350">
        <f>IF(ISBLANK('Data Entry'!$Ë$350), "", 'Data Entry'!$Ë$350)</f>
      </c>
      <c r="EJ350">
        <f>IF(ISBLANK('Data Entry'!$Ì$350), "", 'Data Entry'!$Ì$350)</f>
      </c>
      <c r="EK350">
        <f>IF(ISBLANK('Data Entry'!$Í$350), "", 'Data Entry'!$Í$350)</f>
      </c>
      <c r="EL350">
        <f>IF(ISBLANK('Data Entry'!$Î$350), "", 'Data Entry'!$Î$350)</f>
      </c>
      <c r="EM350">
        <f>IF(ISBLANK('Data Entry'!$Ï$350), "", 'Data Entry'!$Ï$350)</f>
      </c>
      <c r="EN350">
        <f>IF(ISBLANK('Data Entry'!$Ð$350), "", 'Data Entry'!$Ð$350)</f>
      </c>
      <c r="EO350">
        <f>IF(ISBLANK('Data Entry'!$Ñ$350), "", 'Data Entry'!$Ñ$350)</f>
      </c>
      <c r="EP350">
        <f>IF(ISBLANK('Data Entry'!$Ò$350), "", 'Data Entry'!$Ò$350)</f>
      </c>
      <c r="EQ350">
        <f>IF(ISBLANK('Data Entry'!$Ó$350), "", 'Data Entry'!$Ó$350)</f>
      </c>
      <c r="ER350">
        <f>IF(ISBLANK('Data Entry'!$Ô$350), "", 'Data Entry'!$Ô$350)</f>
      </c>
      <c r="ES350">
        <f>IF(ISBLANK('Data Entry'!$Õ$350), "", 'Data Entry'!$Õ$350)</f>
      </c>
      <c r="ET350">
        <f>IF(ISBLANK('Data Entry'!$Ö$350), "", 'Data Entry'!$Ö$350)</f>
      </c>
      <c r="EU350">
        <f>IF(ISBLANK('Data Entry'!$×$350), "", 'Data Entry'!$×$350)</f>
      </c>
      <c r="EV350">
        <f>IF(ISBLANK('Data Entry'!$Ø$350), "", 'Data Entry'!$Ø$350)</f>
      </c>
      <c r="EW350">
        <f>IF(ISBLANK('Data Entry'!$Ù$350), "", 'Data Entry'!$Ù$350)</f>
      </c>
      <c r="EX350">
        <f>IF(ISBLANK('Data Entry'!$Ú$350), "", 'Data Entry'!$Ú$350)</f>
      </c>
      <c r="EY350">
        <f>IF(ISBLANK('Data Entry'!$Û$350), "", 'Data Entry'!$Û$350)</f>
      </c>
      <c r="EZ350">
        <f>IF(ISBLANK('Data Entry'!$Ü$350), "", 'Data Entry'!$Ü$350)</f>
      </c>
      <c r="FA350">
        <f>IF(ISBLANK('Data Entry'!$Ý$350), "", 'Data Entry'!$Ý$350)</f>
      </c>
      <c r="FB350">
        <f>IF(ISBLANK('Data Entry'!$Þ$350), "", 'Data Entry'!$Þ$350)</f>
      </c>
      <c r="FC350">
        <f>IF(ISBLANK('Data Entry'!$ß$350), "", 'Data Entry'!$ß$350)</f>
      </c>
      <c r="FD350">
        <f>IF(ISBLANK('Data Entry'!$à$350), "", 'Data Entry'!$à$350)</f>
      </c>
      <c r="FE350">
        <f>IF(ISBLANK('Data Entry'!$á$350), "", 'Data Entry'!$á$350)</f>
      </c>
      <c r="FF350">
        <f>IF(ISBLANK('Data Entry'!$â$350), "", 'Data Entry'!$â$350)</f>
      </c>
      <c r="FG350">
        <f>IF(ISBLANK('Data Entry'!$ã$350), "", 'Data Entry'!$ã$350)</f>
      </c>
      <c r="FH350">
        <f>IF(ISBLANK('Data Entry'!$ä$350), "", 'Data Entry'!$ä$350)</f>
      </c>
      <c r="FI350">
        <f>IF(ISBLANK('Data Entry'!$å$350), "", 'Data Entry'!$å$350)</f>
      </c>
      <c r="FJ350">
        <f>IF(ISBLANK('Data Entry'!$æ$350), "", 'Data Entry'!$æ$350)</f>
      </c>
      <c r="FK350">
        <f>IF(ISBLANK('Data Entry'!$ç$350), "", 'Data Entry'!$ç$350)</f>
      </c>
      <c r="FL350">
        <f>IF(ISBLANK('Data Entry'!$è$350), "", 'Data Entry'!$è$350)</f>
      </c>
      <c r="FM350">
        <f>IF(ISBLANK('Data Entry'!$é$350), "", 'Data Entry'!$é$350)</f>
      </c>
      <c r="FN350">
        <f>IF(ISBLANK('Data Entry'!$ê$350), "", 'Data Entry'!$ê$350)</f>
      </c>
      <c r="FO350">
        <f>IF(ISBLANK('Data Entry'!$ë$350), "", 'Data Entry'!$ë$350)</f>
      </c>
      <c r="FP350">
        <f>IF(ISBLANK('Data Entry'!$ì$350), "", 'Data Entry'!$ì$350)</f>
      </c>
      <c r="FQ350">
        <f>IF(ISBLANK('Data Entry'!$í$350), "", 'Data Entry'!$í$350)</f>
      </c>
      <c r="FR350">
        <f>IF(ISBLANK('Data Entry'!$î$350), "", 'Data Entry'!$î$350)</f>
      </c>
      <c r="FS350">
        <f>IF(ISBLANK('Data Entry'!$ï$350), "", 'Data Entry'!$ï$350)</f>
      </c>
      <c r="FT350">
        <f>IF(ISBLANK('Data Entry'!$ð$350), "", 'Data Entry'!$ð$350)</f>
      </c>
      <c r="FU350">
        <f>IF(ISBLANK('Data Entry'!$ñ$350), "", 'Data Entry'!$ñ$350)</f>
      </c>
      <c r="FV350">
        <f>IF(ISBLANK('Data Entry'!$ò$350), "", 'Data Entry'!$ò$350)</f>
      </c>
      <c r="FW350">
        <f>IF(ISBLANK('Data Entry'!$ó$350), "", 'Data Entry'!$ó$350)</f>
      </c>
      <c r="FX350">
        <f>IF(ISBLANK('Data Entry'!$ô$350), "", 'Data Entry'!$ô$350)</f>
      </c>
      <c r="FY350">
        <f>IF(ISBLANK('Data Entry'!$õ$350), "", 'Data Entry'!$õ$350)</f>
      </c>
      <c r="FZ350">
        <f>IF(ISBLANK('Data Entry'!$ö$350), "", 'Data Entry'!$ö$350)</f>
      </c>
      <c r="GA350">
        <f>IF(ISBLANK('Data Entry'!$÷$350), "", 'Data Entry'!$÷$350)</f>
      </c>
      <c r="GB350">
        <f>IF(ISBLANK('Data Entry'!$ø$350), "", 'Data Entry'!$ø$350)</f>
      </c>
      <c r="GC350">
        <f>IF(ISBLANK('Data Entry'!$ù$350), "", 'Data Entry'!$ù$350)</f>
      </c>
      <c r="GD350">
        <f>IF(ISBLANK('Data Entry'!$ú$350), "", 'Data Entry'!$ú$350)</f>
      </c>
      <c r="GE350">
        <f>IF(ISBLANK('Data Entry'!$û$350), "", 'Data Entry'!$û$350)</f>
      </c>
      <c r="GF350">
        <f>IF(ISBLANK('Data Entry'!$ü$350), "", 'Data Entry'!$ü$350)</f>
      </c>
      <c r="GG350">
        <f>IF(ISBLANK('Data Entry'!$ý$350), "", 'Data Entry'!$ý$350)</f>
      </c>
      <c r="GH350">
        <f>IF(ISBLANK('Data Entry'!$þ$350), "", 'Data Entry'!$þ$350)</f>
      </c>
      <c r="GI350">
        <f>IF(ISBLANK('Data Entry'!$ÿ$350), "", 'Data Entry'!$ÿ$350)</f>
      </c>
      <c r="GJ350">
        <f>IF(ISBLANK('Data Entry'!$Ā$350), "", 'Data Entry'!$Ā$350)</f>
      </c>
      <c r="GK350">
        <f>IF(ISBLANK('Data Entry'!$ā$350), "", 'Data Entry'!$ā$350)</f>
      </c>
      <c r="GL350">
        <f>IF(ISBLANK('Data Entry'!$Ă$350), "", 'Data Entry'!$Ă$350)</f>
      </c>
      <c r="GM350">
        <f>IF(ISBLANK('Data Entry'!$ă$350), "", 'Data Entry'!$ă$350)</f>
      </c>
      <c r="GN350">
        <f>IF(ISBLANK('Data Entry'!$Ą$350), "", 'Data Entry'!$Ą$350)</f>
      </c>
      <c r="GO350">
        <f>IF(ISBLANK('Data Entry'!$ą$350), "", 'Data Entry'!$ą$350)</f>
      </c>
      <c r="GP350">
        <f>IF(ISBLANK('Data Entry'!$Ć$350), "", 'Data Entry'!$Ć$350)</f>
      </c>
      <c r="GQ350">
        <f>IF(ISBLANK('Data Entry'!$ć$350), "", 'Data Entry'!$ć$350)</f>
      </c>
      <c r="GR350">
        <f>IF(ISBLANK('Data Entry'!$Ĉ$350), "", 'Data Entry'!$Ĉ$350)</f>
      </c>
      <c r="GS350">
        <f>IF(ISBLANK('Data Entry'!$ĉ$350), "", 'Data Entry'!$ĉ$350)</f>
      </c>
      <c r="GT350">
        <f>IF(ISBLANK('Data Entry'!$Ċ$350), "", 'Data Entry'!$Ċ$350)</f>
      </c>
      <c r="GU350">
        <f>IF(ISBLANK('Data Entry'!$ċ$350), "", 'Data Entry'!$ċ$350)</f>
      </c>
      <c r="GV350">
        <f>IF(ISBLANK('Data Entry'!$Č$350), "", 'Data Entry'!$Č$350)</f>
      </c>
      <c r="GW350">
        <f>IF(ISBLANK('Data Entry'!$č$350), "", 'Data Entry'!$č$350)</f>
      </c>
      <c r="GX350">
        <f>IF(ISBLANK('Data Entry'!$Ď$350), "", 'Data Entry'!$Ď$350)</f>
      </c>
      <c r="GY350">
        <f>IF(ISBLANK('Data Entry'!$ď$350), "", 'Data Entry'!$ď$350)</f>
      </c>
      <c r="GZ350">
        <f>IF(ISBLANK('Data Entry'!$Đ$350), "", 'Data Entry'!$Đ$350)</f>
      </c>
      <c r="HA350">
        <f>IF(ISBLANK('Data Entry'!$đ$350), "", 'Data Entry'!$đ$350)</f>
      </c>
      <c r="HB350">
        <f>IF(ISBLANK('Data Entry'!$Ē$350), "", 'Data Entry'!$Ē$350)</f>
      </c>
      <c r="HC350">
        <f>IF(ISBLANK('Data Entry'!$ē$350), "", 'Data Entry'!$ē$350)</f>
      </c>
      <c r="HD350">
        <f>IF(ISBLANK('Data Entry'!$Ĕ$350), "", 'Data Entry'!$Ĕ$350)</f>
      </c>
      <c r="HE350">
        <f>IF(ISBLANK('Data Entry'!$ĕ$350), "", 'Data Entry'!$ĕ$350)</f>
      </c>
      <c r="HF350">
        <f>IF(ISBLANK('Data Entry'!$Ė$350), "", 'Data Entry'!$Ė$350)</f>
      </c>
      <c r="HG350">
        <f>IF(ISBLANK('Data Entry'!$ė$350), "", 'Data Entry'!$ė$350)</f>
      </c>
      <c r="HH350">
        <f>IF(ISBLANK('Data Entry'!$Ę$350), "", 'Data Entry'!$Ę$350)</f>
      </c>
      <c r="HI350">
        <f>IF(ISBLANK('Data Entry'!$ę$350), "", 'Data Entry'!$ę$350)</f>
      </c>
      <c r="HJ350">
        <f>IF(ISBLANK('Data Entry'!$Ě$350), "", 'Data Entry'!$Ě$350)</f>
      </c>
      <c r="HK350">
        <f>IF(ISBLANK('Data Entry'!$ě$350), "", 'Data Entry'!$ě$350)</f>
      </c>
      <c r="HL350">
        <f>IF(ISBLANK('Data Entry'!$Ĝ$350), "", 'Data Entry'!$Ĝ$350)</f>
      </c>
      <c r="HM350">
        <f>IF(ISBLANK('Data Entry'!$ĝ$350), "", 'Data Entry'!$ĝ$350)</f>
      </c>
      <c r="HN350">
        <f>IF(ISBLANK('Data Entry'!$Ğ$350), "", 'Data Entry'!$Ğ$350)</f>
      </c>
      <c r="HO350">
        <f>IF(ISBLANK('Data Entry'!$ğ$350), "", 'Data Entry'!$ğ$350)</f>
      </c>
      <c r="HP350">
        <f>IF(ISBLANK('Data Entry'!$Ġ$350), "", 'Data Entry'!$Ġ$350)</f>
      </c>
      <c r="HQ350">
        <f>IF(ISBLANK('Data Entry'!$ġ$350), "", 'Data Entry'!$ġ$350)</f>
      </c>
      <c r="HR350">
        <f>IF(ISBLANK('Data Entry'!$Ģ$350), "", 'Data Entry'!$Ģ$350)</f>
      </c>
      <c r="HS350">
        <f>IF(ISBLANK('Data Entry'!$ģ$350), "", 'Data Entry'!$ģ$350)</f>
      </c>
      <c r="HT350">
        <f>IF(ISBLANK('Data Entry'!$Ĥ$350), "", 'Data Entry'!$Ĥ$350)</f>
      </c>
      <c r="HU350">
        <f>IF(ISBLANK('Data Entry'!$ĥ$350), "", 'Data Entry'!$ĥ$350)</f>
      </c>
      <c r="HV350">
        <f>IF(ISBLANK('Data Entry'!$Ħ$350), "", 'Data Entry'!$Ħ$350)</f>
      </c>
      <c r="HW350">
        <f>IF(ISBLANK('Data Entry'!$ħ$350), "", 'Data Entry'!$ħ$350)</f>
      </c>
      <c r="HX350">
        <f>IF(ISBLANK('Data Entry'!$Ĩ$350), "", 'Data Entry'!$Ĩ$350)</f>
      </c>
      <c r="HY350">
        <f>IF(ISBLANK('Data Entry'!$ĩ$350), "", 'Data Entry'!$ĩ$350)</f>
      </c>
      <c r="HZ350">
        <f>IF(ISBLANK('Data Entry'!$Ī$350), "", 'Data Entry'!$Ī$350)</f>
      </c>
      <c r="IA350">
        <f>IF(ISBLANK('Data Entry'!$ī$350), "", 'Data Entry'!$ī$350)</f>
      </c>
      <c r="IB350">
        <f>IF(ISBLANK('Data Entry'!$Ĭ$350), "", 'Data Entry'!$Ĭ$350)</f>
      </c>
      <c r="IC350">
        <f>IF(ISBLANK('Data Entry'!$ĭ$350), "", 'Data Entry'!$ĭ$350)</f>
      </c>
      <c r="ID350">
        <f>IF(ISBLANK('Data Entry'!$Į$350), "", 'Data Entry'!$Į$350)</f>
      </c>
      <c r="IE350">
        <f>IF(ISBLANK('Data Entry'!$į$350), "", 'Data Entry'!$į$350)</f>
      </c>
      <c r="IF350">
        <f>IF(ISBLANK('Data Entry'!$İ$350), "", 'Data Entry'!$İ$350)</f>
      </c>
      <c r="IG350">
        <f>IF(ISBLANK('Data Entry'!$ı$350), "", 'Data Entry'!$ı$350)</f>
      </c>
      <c r="IH350">
        <f>IF(ISBLANK('Data Entry'!$Ĳ$350), "", 'Data Entry'!$Ĳ$350)</f>
      </c>
      <c r="II350">
        <f>IF(ISBLANK('Data Entry'!$ĳ$350), "", 'Data Entry'!$ĳ$350)</f>
      </c>
      <c r="IJ350">
        <f>IF(ISBLANK('Data Entry'!$Ĵ$350), "", 'Data Entry'!$Ĵ$350)</f>
      </c>
      <c r="IK350">
        <f>IF(ISBLANK('Data Entry'!$ĵ$350), "", 'Data Entry'!$ĵ$350)</f>
      </c>
      <c r="IL350">
        <f>IF(ISBLANK('Data Entry'!$Ķ$350), "", 'Data Entry'!$Ķ$350)</f>
      </c>
      <c r="IM350">
        <f>IF(ISBLANK('Data Entry'!$ķ$350), "", 'Data Entry'!$ķ$350)</f>
      </c>
      <c r="IN350">
        <f>IF(ISBLANK('Data Entry'!$ĸ$350), "", 'Data Entry'!$ĸ$350)</f>
      </c>
      <c r="IO350">
        <f>IF(ISBLANK('Data Entry'!$Ĺ$350), "", 'Data Entry'!$Ĺ$350)</f>
      </c>
      <c r="IP350">
        <f>IF(ISBLANK('Data Entry'!$ĺ$350), "", 'Data Entry'!$ĺ$350)</f>
      </c>
      <c r="IQ350">
        <f>IF(ISBLANK('Data Entry'!$Ļ$350), "", 'Data Entry'!$Ļ$350)</f>
      </c>
      <c r="IR350">
        <f>IF(ISBLANK('Data Entry'!$ļ$350), "", 'Data Entry'!$ļ$350)</f>
      </c>
      <c r="IS350">
        <f>IF(ISBLANK('Data Entry'!$Ľ$350), "", 'Data Entry'!$Ľ$350)</f>
      </c>
      <c r="IT350">
        <f>IF(ISBLANK('Data Entry'!$ľ$350), "", 'Data Entry'!$ľ$350)</f>
      </c>
    </row>
    <row r="351" spans="1:254" x14ac:dyDescent="0.25">
      <c r="A351">
        <f>IF(ISBLANK('Data Entry'!$A$351), "", 'Data Entry'!$A$351)</f>
      </c>
      <c r="B351">
        <f>IF(ISBLANK('Data Entry'!$B$351), "", 'Data Entry'!$B$351)</f>
      </c>
      <c r="C351">
        <f>IF(ISBLANK('Data Entry'!$C$351), "", 'Data Entry'!$C$351)</f>
      </c>
      <c r="D351">
        <f>IF(ISBLANK('Data Entry'!$D$351), "", 'Data Entry'!$D$351)</f>
      </c>
      <c r="E351">
        <f>IF(ISBLANK('Data Entry'!$E$351), "", 'Data Entry'!$E$351)</f>
      </c>
      <c r="F351">
        <f>IF(ISBLANK('Data Entry'!$F$351), "", 'Data Entry'!$F$351)</f>
      </c>
      <c r="G351">
        <f>IF(ISBLANK('Data Entry'!$G$351), "", 'Data Entry'!$G$351)</f>
      </c>
      <c r="H351">
        <f>IF(ISBLANK('Data Entry'!$H$351), "", 'Data Entry'!$H$351)</f>
      </c>
      <c r="I351">
        <f>IF(ISBLANK('Data Entry'!$I$351), "", 'Data Entry'!$I$351)</f>
      </c>
      <c r="J351">
        <f>IF(ISBLANK('Data Entry'!$J$351), "", 'Data Entry'!$J$351)</f>
      </c>
      <c r="K351">
        <f>IF(ISBLANK('Data Entry'!$K$351), "", 'Data Entry'!$K$351)</f>
      </c>
      <c r="L351">
        <f>IF(ISBLANK('Data Entry'!$L$351), "", 'Data Entry'!$L$351)</f>
      </c>
      <c r="M351">
        <f>IF(ISBLANK('Data Entry'!$M$351), "", 'Data Entry'!$M$351)</f>
      </c>
      <c r="N351">
        <f>IF(ISBLANK('Data Entry'!$N$351), "", 'Data Entry'!$N$351)</f>
      </c>
      <c r="O351">
        <f>IF(ISBLANK('Data Entry'!$O$351), "", 'Data Entry'!$O$351)</f>
      </c>
      <c r="P351">
        <f>IF(ISBLANK('Data Entry'!$P$351), "", 'Data Entry'!$P$351)</f>
      </c>
      <c r="Q351">
        <f>IF(ISBLANK('Data Entry'!$Q$351), "", 'Data Entry'!$Q$351)</f>
      </c>
      <c r="R351">
        <f>IF(ISBLANK('Data Entry'!$R$351), "", 'Data Entry'!$R$351)</f>
      </c>
      <c r="S351">
        <f>IF(ISBLANK('Data Entry'!$S$351), "", 'Data Entry'!$S$351)</f>
      </c>
      <c r="T351">
        <f>IF(ISBLANK('Data Entry'!$T$351), "", 'Data Entry'!$T$351)</f>
      </c>
      <c r="U351">
        <f>IF(ISBLANK('Data Entry'!$U$351), "", 'Data Entry'!$U$351)</f>
      </c>
      <c r="V351">
        <f>IF(ISBLANK('Data Entry'!$V$351), "", 'Data Entry'!$V$351)</f>
      </c>
      <c r="W351">
        <f>IF(ISBLANK('Data Entry'!$W$351), "", 'Data Entry'!$W$351)</f>
      </c>
      <c r="X351">
        <f>IF(ISBLANK('Data Entry'!$X$351), "", 'Data Entry'!$X$351)</f>
      </c>
      <c r="Y351">
        <f>IF(ISBLANK('Data Entry'!$Y$351), "", 'Data Entry'!$Y$351)</f>
      </c>
      <c r="Z351">
        <f>IF(ISBLANK('Data Entry'!$Z$351), "", 'Data Entry'!$Z$351)</f>
      </c>
      <c r="AA351">
        <f>IF(ISBLANK('Data Entry'!$[$351), "", 'Data Entry'!$[$351)</f>
      </c>
      <c r="AB351">
        <f>IF(ISBLANK('Data Entry'!$\$351), "", 'Data Entry'!$\$351)</f>
      </c>
      <c r="AC351">
        <f>IF(ISBLANK('Data Entry'!$]$351), "", 'Data Entry'!$]$351)</f>
      </c>
      <c r="AD351">
        <f>IF(ISBLANK('Data Entry'!$^$351), "", 'Data Entry'!$^$351)</f>
      </c>
      <c r="AE351">
        <f>IF(ISBLANK('Data Entry'!$_$351), "", 'Data Entry'!$_$351)</f>
      </c>
      <c r="AF351">
        <f>IF(ISBLANK('Data Entry'!$`$351), "", 'Data Entry'!$`$351)</f>
      </c>
      <c r="AG351">
        <f>IF(ISBLANK('Data Entry'!$a$351), "", 'Data Entry'!$a$351)</f>
      </c>
      <c r="AH351">
        <f>IF(ISBLANK('Data Entry'!$b$351), "", 'Data Entry'!$b$351)</f>
      </c>
      <c r="AI351">
        <f>IF(ISBLANK('Data Entry'!$c$351), "", 'Data Entry'!$c$351)</f>
      </c>
      <c r="AJ351">
        <f>IF(ISBLANK('Data Entry'!$d$351), "", 'Data Entry'!$d$351)</f>
      </c>
      <c r="AK351">
        <f>IF(ISBLANK('Data Entry'!$e$351), "", 'Data Entry'!$e$351)</f>
      </c>
      <c r="AL351">
        <f>IF(ISBLANK('Data Entry'!$f$351), "", 'Data Entry'!$f$351)</f>
      </c>
      <c r="AM351">
        <f>IF(ISBLANK('Data Entry'!$g$351), "", 'Data Entry'!$g$351)</f>
      </c>
      <c r="AN351">
        <f>IF(ISBLANK('Data Entry'!$h$351), "", 'Data Entry'!$h$351)</f>
      </c>
      <c r="AO351">
        <f>IF(ISBLANK('Data Entry'!$i$351), "", 'Data Entry'!$i$351)</f>
      </c>
      <c r="AP351">
        <f>IF(ISBLANK('Data Entry'!$j$351), "", 'Data Entry'!$j$351)</f>
      </c>
      <c r="AQ351">
        <f>IF(ISBLANK('Data Entry'!$k$351), "", 'Data Entry'!$k$351)</f>
      </c>
      <c r="AR351">
        <f>IF(ISBLANK('Data Entry'!$l$351), "", 'Data Entry'!$l$351)</f>
      </c>
      <c r="AS351">
        <f>IF(ISBLANK('Data Entry'!$m$351), "", 'Data Entry'!$m$351)</f>
      </c>
      <c r="AT351">
        <f>IF(ISBLANK('Data Entry'!$n$351), "", 'Data Entry'!$n$351)</f>
      </c>
      <c r="AU351">
        <f>IF(ISBLANK('Data Entry'!$o$351), "", 'Data Entry'!$o$351)</f>
      </c>
      <c r="AV351">
        <f>IF(ISBLANK('Data Entry'!$p$351), "", 'Data Entry'!$p$351)</f>
      </c>
      <c r="AW351">
        <f>IF(ISBLANK('Data Entry'!$q$351), "", 'Data Entry'!$q$351)</f>
      </c>
      <c r="AX351">
        <f>IF(ISBLANK('Data Entry'!$r$351), "", 'Data Entry'!$r$351)</f>
      </c>
      <c r="AY351">
        <f>IF(ISBLANK('Data Entry'!$s$351), "", 'Data Entry'!$s$351)</f>
      </c>
      <c r="AZ351">
        <f>IF(ISBLANK('Data Entry'!$t$351), "", 'Data Entry'!$t$351)</f>
      </c>
      <c r="BA351">
        <f>IF(ISBLANK('Data Entry'!$u$351), "", 'Data Entry'!$u$351)</f>
      </c>
      <c r="BB351">
        <f>IF(ISBLANK('Data Entry'!$v$351), "", 'Data Entry'!$v$351)</f>
      </c>
      <c r="BC351">
        <f>IF(ISBLANK('Data Entry'!$w$351), "", 'Data Entry'!$w$351)</f>
      </c>
      <c r="BD351">
        <f>IF(ISBLANK('Data Entry'!$x$351), "", 'Data Entry'!$x$351)</f>
      </c>
      <c r="BE351">
        <f>IF(ISBLANK('Data Entry'!$y$351), "", 'Data Entry'!$y$351)</f>
      </c>
      <c r="BF351">
        <f>IF(ISBLANK('Data Entry'!$z$351), "", 'Data Entry'!$z$351)</f>
      </c>
      <c r="BG351">
        <f>IF(ISBLANK('Data Entry'!${$351), "", 'Data Entry'!${$351)</f>
      </c>
      <c r="BH351">
        <f>IF(ISBLANK('Data Entry'!$|$351), "", 'Data Entry'!$|$351)</f>
      </c>
      <c r="BI351">
        <f>IF(ISBLANK('Data Entry'!$}$351), "", 'Data Entry'!$}$351)</f>
      </c>
      <c r="BJ351">
        <f>IF(ISBLANK('Data Entry'!$~$351), "", 'Data Entry'!$~$351)</f>
      </c>
      <c r="BK351">
        <f>IF(ISBLANK('Data Entry'!$$351), "", 'Data Entry'!$$351)</f>
      </c>
      <c r="BL351">
        <f>IF(ISBLANK('Data Entry'!$$351), "", 'Data Entry'!$$351)</f>
      </c>
      <c r="BM351">
        <f>IF(ISBLANK('Data Entry'!$$351), "", 'Data Entry'!$$351)</f>
      </c>
      <c r="BN351">
        <f>IF(ISBLANK('Data Entry'!$$351), "", 'Data Entry'!$$351)</f>
      </c>
      <c r="BO351">
        <f>IF(ISBLANK('Data Entry'!$$351), "", 'Data Entry'!$$351)</f>
      </c>
      <c r="BP351">
        <f>IF(ISBLANK('Data Entry'!$$351), "", 'Data Entry'!$$351)</f>
      </c>
      <c r="BQ351">
        <f>IF(ISBLANK('Data Entry'!$$351), "", 'Data Entry'!$$351)</f>
      </c>
      <c r="BR351">
        <f>IF(ISBLANK('Data Entry'!$$351), "", 'Data Entry'!$$351)</f>
      </c>
      <c r="BS351">
        <f>IF(ISBLANK('Data Entry'!$$351), "", 'Data Entry'!$$351)</f>
      </c>
      <c r="BT351">
        <f>IF(ISBLANK('Data Entry'!$$351), "", 'Data Entry'!$$351)</f>
      </c>
      <c r="BU351">
        <f>IF(ISBLANK('Data Entry'!$$351), "", 'Data Entry'!$$351)</f>
      </c>
      <c r="BV351">
        <f>IF(ISBLANK('Data Entry'!$$351), "", 'Data Entry'!$$351)</f>
      </c>
      <c r="BW351">
        <f>IF(ISBLANK('Data Entry'!$$351), "", 'Data Entry'!$$351)</f>
      </c>
      <c r="BX351">
        <f>IF(ISBLANK('Data Entry'!$$351), "", 'Data Entry'!$$351)</f>
      </c>
      <c r="BY351">
        <f>IF(ISBLANK('Data Entry'!$$351), "", 'Data Entry'!$$351)</f>
      </c>
      <c r="BZ351">
        <f>IF(ISBLANK('Data Entry'!$$351), "", 'Data Entry'!$$351)</f>
      </c>
      <c r="CA351">
        <f>IF(ISBLANK('Data Entry'!$$351), "", 'Data Entry'!$$351)</f>
      </c>
      <c r="CB351">
        <f>IF(ISBLANK('Data Entry'!$$351), "", 'Data Entry'!$$351)</f>
      </c>
      <c r="CC351">
        <f>IF(ISBLANK('Data Entry'!$$351), "", 'Data Entry'!$$351)</f>
      </c>
      <c r="CD351">
        <f>IF(ISBLANK('Data Entry'!$$351), "", 'Data Entry'!$$351)</f>
      </c>
      <c r="CE351">
        <f>IF(ISBLANK('Data Entry'!$$351), "", 'Data Entry'!$$351)</f>
      </c>
      <c r="CF351">
        <f>IF(ISBLANK('Data Entry'!$$351), "", 'Data Entry'!$$351)</f>
      </c>
      <c r="CG351">
        <f>IF(ISBLANK('Data Entry'!$$351), "", 'Data Entry'!$$351)</f>
      </c>
      <c r="CH351">
        <f>IF(ISBLANK('Data Entry'!$$351), "", 'Data Entry'!$$351)</f>
      </c>
      <c r="CI351">
        <f>IF(ISBLANK('Data Entry'!$$351), "", 'Data Entry'!$$351)</f>
      </c>
      <c r="CJ351">
        <f>IF(ISBLANK('Data Entry'!$$351), "", 'Data Entry'!$$351)</f>
      </c>
      <c r="CK351">
        <f>IF(ISBLANK('Data Entry'!$$351), "", 'Data Entry'!$$351)</f>
      </c>
      <c r="CL351">
        <f>IF(ISBLANK('Data Entry'!$$351), "", 'Data Entry'!$$351)</f>
      </c>
      <c r="CM351">
        <f>IF(ISBLANK('Data Entry'!$$351), "", 'Data Entry'!$$351)</f>
      </c>
      <c r="CN351">
        <f>IF(ISBLANK('Data Entry'!$$351), "", 'Data Entry'!$$351)</f>
      </c>
      <c r="CO351">
        <f>IF(ISBLANK('Data Entry'!$$351), "", 'Data Entry'!$$351)</f>
      </c>
      <c r="CP351">
        <f>IF(ISBLANK('Data Entry'!$$351), "", 'Data Entry'!$$351)</f>
      </c>
      <c r="CQ351">
        <f>IF(ISBLANK('Data Entry'!$$351), "", 'Data Entry'!$$351)</f>
      </c>
      <c r="CR351">
        <f>IF(ISBLANK('Data Entry'!$ $351), "", 'Data Entry'!$ $351)</f>
      </c>
      <c r="CS351">
        <f>IF(ISBLANK('Data Entry'!$¡$351), "", 'Data Entry'!$¡$351)</f>
      </c>
      <c r="CT351">
        <f>IF(ISBLANK('Data Entry'!$¢$351), "", 'Data Entry'!$¢$351)</f>
      </c>
      <c r="CU351">
        <f>IF(ISBLANK('Data Entry'!$£$351), "", 'Data Entry'!$£$351)</f>
      </c>
      <c r="CV351">
        <f>IF(ISBLANK('Data Entry'!$¤$351), "", 'Data Entry'!$¤$351)</f>
      </c>
      <c r="CW351">
        <f>IF(ISBLANK('Data Entry'!$¥$351), "", 'Data Entry'!$¥$351)</f>
      </c>
      <c r="CX351">
        <f>IF(ISBLANK('Data Entry'!$¦$351), "", 'Data Entry'!$¦$351)</f>
      </c>
      <c r="CY351">
        <f>IF(ISBLANK('Data Entry'!$§$351), "", 'Data Entry'!$§$351)</f>
      </c>
      <c r="CZ351">
        <f>IF(ISBLANK('Data Entry'!$¨$351), "", 'Data Entry'!$¨$351)</f>
      </c>
      <c r="DA351">
        <f>IF(ISBLANK('Data Entry'!$©$351), "", 'Data Entry'!$©$351)</f>
      </c>
      <c r="DB351">
        <f>IF(ISBLANK('Data Entry'!$ª$351), "", 'Data Entry'!$ª$351)</f>
      </c>
      <c r="DC351">
        <f>IF(ISBLANK('Data Entry'!$«$351), "", 'Data Entry'!$«$351)</f>
      </c>
      <c r="DD351">
        <f>IF(ISBLANK('Data Entry'!$¬$351), "", 'Data Entry'!$¬$351)</f>
      </c>
      <c r="DE351">
        <f>IF(ISBLANK('Data Entry'!$­$351), "", 'Data Entry'!$­$351)</f>
      </c>
      <c r="DF351">
        <f>IF(ISBLANK('Data Entry'!$®$351), "", 'Data Entry'!$®$351)</f>
      </c>
      <c r="DG351">
        <f>IF(ISBLANK('Data Entry'!$¯$351), "", 'Data Entry'!$¯$351)</f>
      </c>
      <c r="DH351">
        <f>IF(ISBLANK('Data Entry'!$°$351), "", 'Data Entry'!$°$351)</f>
      </c>
      <c r="DI351">
        <f>IF(ISBLANK('Data Entry'!$±$351), "", 'Data Entry'!$±$351)</f>
      </c>
      <c r="DJ351">
        <f>IF(ISBLANK('Data Entry'!$²$351), "", 'Data Entry'!$²$351)</f>
      </c>
      <c r="DK351">
        <f>IF(ISBLANK('Data Entry'!$³$351), "", 'Data Entry'!$³$351)</f>
      </c>
      <c r="DL351">
        <f>IF(ISBLANK('Data Entry'!$´$351), "", 'Data Entry'!$´$351)</f>
      </c>
      <c r="DM351">
        <f>IF(ISBLANK('Data Entry'!$µ$351), "", 'Data Entry'!$µ$351)</f>
      </c>
      <c r="DN351">
        <f>IF(ISBLANK('Data Entry'!$¶$351), "", 'Data Entry'!$¶$351)</f>
      </c>
      <c r="DO351">
        <f>IF(ISBLANK('Data Entry'!$·$351), "", 'Data Entry'!$·$351)</f>
      </c>
      <c r="DP351">
        <f>IF(ISBLANK('Data Entry'!$¸$351), "", 'Data Entry'!$¸$351)</f>
      </c>
      <c r="DQ351">
        <f>IF(ISBLANK('Data Entry'!$¹$351), "", 'Data Entry'!$¹$351)</f>
      </c>
      <c r="DR351">
        <f>IF(ISBLANK('Data Entry'!$º$351), "", 'Data Entry'!$º$351)</f>
      </c>
      <c r="DS351">
        <f>IF(ISBLANK('Data Entry'!$»$351), "", 'Data Entry'!$»$351)</f>
      </c>
      <c r="DT351">
        <f>IF(ISBLANK('Data Entry'!$¼$351), "", 'Data Entry'!$¼$351)</f>
      </c>
      <c r="DU351">
        <f>IF(ISBLANK('Data Entry'!$½$351), "", 'Data Entry'!$½$351)</f>
      </c>
      <c r="DV351">
        <f>IF(ISBLANK('Data Entry'!$¾$351), "", 'Data Entry'!$¾$351)</f>
      </c>
      <c r="DW351">
        <f>IF(ISBLANK('Data Entry'!$¿$351), "", 'Data Entry'!$¿$351)</f>
      </c>
      <c r="DX351">
        <f>IF(ISBLANK('Data Entry'!$À$351), "", 'Data Entry'!$À$351)</f>
      </c>
      <c r="DY351">
        <f>IF(ISBLANK('Data Entry'!$Á$351), "", 'Data Entry'!$Á$351)</f>
      </c>
      <c r="DZ351">
        <f>IF(ISBLANK('Data Entry'!$Â$351), "", 'Data Entry'!$Â$351)</f>
      </c>
      <c r="EA351">
        <f>IF(ISBLANK('Data Entry'!$Ã$351), "", 'Data Entry'!$Ã$351)</f>
      </c>
      <c r="EB351">
        <f>IF(ISBLANK('Data Entry'!$Ä$351), "", 'Data Entry'!$Ä$351)</f>
      </c>
      <c r="EC351">
        <f>IF(ISBLANK('Data Entry'!$Å$351), "", 'Data Entry'!$Å$351)</f>
      </c>
      <c r="ED351">
        <f>IF(ISBLANK('Data Entry'!$Æ$351), "", 'Data Entry'!$Æ$351)</f>
      </c>
      <c r="EE351">
        <f>IF(ISBLANK('Data Entry'!$Ç$351), "", 'Data Entry'!$Ç$351)</f>
      </c>
      <c r="EF351">
        <f>IF(ISBLANK('Data Entry'!$È$351), "", 'Data Entry'!$È$351)</f>
      </c>
      <c r="EG351">
        <f>IF(ISBLANK('Data Entry'!$É$351), "", 'Data Entry'!$É$351)</f>
      </c>
      <c r="EH351">
        <f>IF(ISBLANK('Data Entry'!$Ê$351), "", 'Data Entry'!$Ê$351)</f>
      </c>
      <c r="EI351">
        <f>IF(ISBLANK('Data Entry'!$Ë$351), "", 'Data Entry'!$Ë$351)</f>
      </c>
      <c r="EJ351">
        <f>IF(ISBLANK('Data Entry'!$Ì$351), "", 'Data Entry'!$Ì$351)</f>
      </c>
      <c r="EK351">
        <f>IF(ISBLANK('Data Entry'!$Í$351), "", 'Data Entry'!$Í$351)</f>
      </c>
      <c r="EL351">
        <f>IF(ISBLANK('Data Entry'!$Î$351), "", 'Data Entry'!$Î$351)</f>
      </c>
      <c r="EM351">
        <f>IF(ISBLANK('Data Entry'!$Ï$351), "", 'Data Entry'!$Ï$351)</f>
      </c>
      <c r="EN351">
        <f>IF(ISBLANK('Data Entry'!$Ð$351), "", 'Data Entry'!$Ð$351)</f>
      </c>
      <c r="EO351">
        <f>IF(ISBLANK('Data Entry'!$Ñ$351), "", 'Data Entry'!$Ñ$351)</f>
      </c>
      <c r="EP351">
        <f>IF(ISBLANK('Data Entry'!$Ò$351), "", 'Data Entry'!$Ò$351)</f>
      </c>
      <c r="EQ351">
        <f>IF(ISBLANK('Data Entry'!$Ó$351), "", 'Data Entry'!$Ó$351)</f>
      </c>
      <c r="ER351">
        <f>IF(ISBLANK('Data Entry'!$Ô$351), "", 'Data Entry'!$Ô$351)</f>
      </c>
      <c r="ES351">
        <f>IF(ISBLANK('Data Entry'!$Õ$351), "", 'Data Entry'!$Õ$351)</f>
      </c>
      <c r="ET351">
        <f>IF(ISBLANK('Data Entry'!$Ö$351), "", 'Data Entry'!$Ö$351)</f>
      </c>
      <c r="EU351">
        <f>IF(ISBLANK('Data Entry'!$×$351), "", 'Data Entry'!$×$351)</f>
      </c>
      <c r="EV351">
        <f>IF(ISBLANK('Data Entry'!$Ø$351), "", 'Data Entry'!$Ø$351)</f>
      </c>
      <c r="EW351">
        <f>IF(ISBLANK('Data Entry'!$Ù$351), "", 'Data Entry'!$Ù$351)</f>
      </c>
      <c r="EX351">
        <f>IF(ISBLANK('Data Entry'!$Ú$351), "", 'Data Entry'!$Ú$351)</f>
      </c>
      <c r="EY351">
        <f>IF(ISBLANK('Data Entry'!$Û$351), "", 'Data Entry'!$Û$351)</f>
      </c>
      <c r="EZ351">
        <f>IF(ISBLANK('Data Entry'!$Ü$351), "", 'Data Entry'!$Ü$351)</f>
      </c>
      <c r="FA351">
        <f>IF(ISBLANK('Data Entry'!$Ý$351), "", 'Data Entry'!$Ý$351)</f>
      </c>
      <c r="FB351">
        <f>IF(ISBLANK('Data Entry'!$Þ$351), "", 'Data Entry'!$Þ$351)</f>
      </c>
      <c r="FC351">
        <f>IF(ISBLANK('Data Entry'!$ß$351), "", 'Data Entry'!$ß$351)</f>
      </c>
      <c r="FD351">
        <f>IF(ISBLANK('Data Entry'!$à$351), "", 'Data Entry'!$à$351)</f>
      </c>
      <c r="FE351">
        <f>IF(ISBLANK('Data Entry'!$á$351), "", 'Data Entry'!$á$351)</f>
      </c>
      <c r="FF351">
        <f>IF(ISBLANK('Data Entry'!$â$351), "", 'Data Entry'!$â$351)</f>
      </c>
      <c r="FG351">
        <f>IF(ISBLANK('Data Entry'!$ã$351), "", 'Data Entry'!$ã$351)</f>
      </c>
      <c r="FH351">
        <f>IF(ISBLANK('Data Entry'!$ä$351), "", 'Data Entry'!$ä$351)</f>
      </c>
      <c r="FI351">
        <f>IF(ISBLANK('Data Entry'!$å$351), "", 'Data Entry'!$å$351)</f>
      </c>
      <c r="FJ351">
        <f>IF(ISBLANK('Data Entry'!$æ$351), "", 'Data Entry'!$æ$351)</f>
      </c>
      <c r="FK351">
        <f>IF(ISBLANK('Data Entry'!$ç$351), "", 'Data Entry'!$ç$351)</f>
      </c>
      <c r="FL351">
        <f>IF(ISBLANK('Data Entry'!$è$351), "", 'Data Entry'!$è$351)</f>
      </c>
      <c r="FM351">
        <f>IF(ISBLANK('Data Entry'!$é$351), "", 'Data Entry'!$é$351)</f>
      </c>
      <c r="FN351">
        <f>IF(ISBLANK('Data Entry'!$ê$351), "", 'Data Entry'!$ê$351)</f>
      </c>
      <c r="FO351">
        <f>IF(ISBLANK('Data Entry'!$ë$351), "", 'Data Entry'!$ë$351)</f>
      </c>
      <c r="FP351">
        <f>IF(ISBLANK('Data Entry'!$ì$351), "", 'Data Entry'!$ì$351)</f>
      </c>
      <c r="FQ351">
        <f>IF(ISBLANK('Data Entry'!$í$351), "", 'Data Entry'!$í$351)</f>
      </c>
      <c r="FR351">
        <f>IF(ISBLANK('Data Entry'!$î$351), "", 'Data Entry'!$î$351)</f>
      </c>
      <c r="FS351">
        <f>IF(ISBLANK('Data Entry'!$ï$351), "", 'Data Entry'!$ï$351)</f>
      </c>
      <c r="FT351">
        <f>IF(ISBLANK('Data Entry'!$ð$351), "", 'Data Entry'!$ð$351)</f>
      </c>
      <c r="FU351">
        <f>IF(ISBLANK('Data Entry'!$ñ$351), "", 'Data Entry'!$ñ$351)</f>
      </c>
      <c r="FV351">
        <f>IF(ISBLANK('Data Entry'!$ò$351), "", 'Data Entry'!$ò$351)</f>
      </c>
      <c r="FW351">
        <f>IF(ISBLANK('Data Entry'!$ó$351), "", 'Data Entry'!$ó$351)</f>
      </c>
      <c r="FX351">
        <f>IF(ISBLANK('Data Entry'!$ô$351), "", 'Data Entry'!$ô$351)</f>
      </c>
      <c r="FY351">
        <f>IF(ISBLANK('Data Entry'!$õ$351), "", 'Data Entry'!$õ$351)</f>
      </c>
      <c r="FZ351">
        <f>IF(ISBLANK('Data Entry'!$ö$351), "", 'Data Entry'!$ö$351)</f>
      </c>
      <c r="GA351">
        <f>IF(ISBLANK('Data Entry'!$÷$351), "", 'Data Entry'!$÷$351)</f>
      </c>
      <c r="GB351">
        <f>IF(ISBLANK('Data Entry'!$ø$351), "", 'Data Entry'!$ø$351)</f>
      </c>
      <c r="GC351">
        <f>IF(ISBLANK('Data Entry'!$ù$351), "", 'Data Entry'!$ù$351)</f>
      </c>
      <c r="GD351">
        <f>IF(ISBLANK('Data Entry'!$ú$351), "", 'Data Entry'!$ú$351)</f>
      </c>
      <c r="GE351">
        <f>IF(ISBLANK('Data Entry'!$û$351), "", 'Data Entry'!$û$351)</f>
      </c>
      <c r="GF351">
        <f>IF(ISBLANK('Data Entry'!$ü$351), "", 'Data Entry'!$ü$351)</f>
      </c>
      <c r="GG351">
        <f>IF(ISBLANK('Data Entry'!$ý$351), "", 'Data Entry'!$ý$351)</f>
      </c>
      <c r="GH351">
        <f>IF(ISBLANK('Data Entry'!$þ$351), "", 'Data Entry'!$þ$351)</f>
      </c>
      <c r="GI351">
        <f>IF(ISBLANK('Data Entry'!$ÿ$351), "", 'Data Entry'!$ÿ$351)</f>
      </c>
      <c r="GJ351">
        <f>IF(ISBLANK('Data Entry'!$Ā$351), "", 'Data Entry'!$Ā$351)</f>
      </c>
      <c r="GK351">
        <f>IF(ISBLANK('Data Entry'!$ā$351), "", 'Data Entry'!$ā$351)</f>
      </c>
      <c r="GL351">
        <f>IF(ISBLANK('Data Entry'!$Ă$351), "", 'Data Entry'!$Ă$351)</f>
      </c>
      <c r="GM351">
        <f>IF(ISBLANK('Data Entry'!$ă$351), "", 'Data Entry'!$ă$351)</f>
      </c>
      <c r="GN351">
        <f>IF(ISBLANK('Data Entry'!$Ą$351), "", 'Data Entry'!$Ą$351)</f>
      </c>
      <c r="GO351">
        <f>IF(ISBLANK('Data Entry'!$ą$351), "", 'Data Entry'!$ą$351)</f>
      </c>
      <c r="GP351">
        <f>IF(ISBLANK('Data Entry'!$Ć$351), "", 'Data Entry'!$Ć$351)</f>
      </c>
      <c r="GQ351">
        <f>IF(ISBLANK('Data Entry'!$ć$351), "", 'Data Entry'!$ć$351)</f>
      </c>
      <c r="GR351">
        <f>IF(ISBLANK('Data Entry'!$Ĉ$351), "", 'Data Entry'!$Ĉ$351)</f>
      </c>
      <c r="GS351">
        <f>IF(ISBLANK('Data Entry'!$ĉ$351), "", 'Data Entry'!$ĉ$351)</f>
      </c>
      <c r="GT351">
        <f>IF(ISBLANK('Data Entry'!$Ċ$351), "", 'Data Entry'!$Ċ$351)</f>
      </c>
      <c r="GU351">
        <f>IF(ISBLANK('Data Entry'!$ċ$351), "", 'Data Entry'!$ċ$351)</f>
      </c>
      <c r="GV351">
        <f>IF(ISBLANK('Data Entry'!$Č$351), "", 'Data Entry'!$Č$351)</f>
      </c>
      <c r="GW351">
        <f>IF(ISBLANK('Data Entry'!$č$351), "", 'Data Entry'!$č$351)</f>
      </c>
      <c r="GX351">
        <f>IF(ISBLANK('Data Entry'!$Ď$351), "", 'Data Entry'!$Ď$351)</f>
      </c>
      <c r="GY351">
        <f>IF(ISBLANK('Data Entry'!$ď$351), "", 'Data Entry'!$ď$351)</f>
      </c>
      <c r="GZ351">
        <f>IF(ISBLANK('Data Entry'!$Đ$351), "", 'Data Entry'!$Đ$351)</f>
      </c>
      <c r="HA351">
        <f>IF(ISBLANK('Data Entry'!$đ$351), "", 'Data Entry'!$đ$351)</f>
      </c>
      <c r="HB351">
        <f>IF(ISBLANK('Data Entry'!$Ē$351), "", 'Data Entry'!$Ē$351)</f>
      </c>
      <c r="HC351">
        <f>IF(ISBLANK('Data Entry'!$ē$351), "", 'Data Entry'!$ē$351)</f>
      </c>
      <c r="HD351">
        <f>IF(ISBLANK('Data Entry'!$Ĕ$351), "", 'Data Entry'!$Ĕ$351)</f>
      </c>
      <c r="HE351">
        <f>IF(ISBLANK('Data Entry'!$ĕ$351), "", 'Data Entry'!$ĕ$351)</f>
      </c>
      <c r="HF351">
        <f>IF(ISBLANK('Data Entry'!$Ė$351), "", 'Data Entry'!$Ė$351)</f>
      </c>
      <c r="HG351">
        <f>IF(ISBLANK('Data Entry'!$ė$351), "", 'Data Entry'!$ė$351)</f>
      </c>
      <c r="HH351">
        <f>IF(ISBLANK('Data Entry'!$Ę$351), "", 'Data Entry'!$Ę$351)</f>
      </c>
      <c r="HI351">
        <f>IF(ISBLANK('Data Entry'!$ę$351), "", 'Data Entry'!$ę$351)</f>
      </c>
      <c r="HJ351">
        <f>IF(ISBLANK('Data Entry'!$Ě$351), "", 'Data Entry'!$Ě$351)</f>
      </c>
      <c r="HK351">
        <f>IF(ISBLANK('Data Entry'!$ě$351), "", 'Data Entry'!$ě$351)</f>
      </c>
      <c r="HL351">
        <f>IF(ISBLANK('Data Entry'!$Ĝ$351), "", 'Data Entry'!$Ĝ$351)</f>
      </c>
      <c r="HM351">
        <f>IF(ISBLANK('Data Entry'!$ĝ$351), "", 'Data Entry'!$ĝ$351)</f>
      </c>
      <c r="HN351">
        <f>IF(ISBLANK('Data Entry'!$Ğ$351), "", 'Data Entry'!$Ğ$351)</f>
      </c>
      <c r="HO351">
        <f>IF(ISBLANK('Data Entry'!$ğ$351), "", 'Data Entry'!$ğ$351)</f>
      </c>
      <c r="HP351">
        <f>IF(ISBLANK('Data Entry'!$Ġ$351), "", 'Data Entry'!$Ġ$351)</f>
      </c>
      <c r="HQ351">
        <f>IF(ISBLANK('Data Entry'!$ġ$351), "", 'Data Entry'!$ġ$351)</f>
      </c>
      <c r="HR351">
        <f>IF(ISBLANK('Data Entry'!$Ģ$351), "", 'Data Entry'!$Ģ$351)</f>
      </c>
      <c r="HS351">
        <f>IF(ISBLANK('Data Entry'!$ģ$351), "", 'Data Entry'!$ģ$351)</f>
      </c>
      <c r="HT351">
        <f>IF(ISBLANK('Data Entry'!$Ĥ$351), "", 'Data Entry'!$Ĥ$351)</f>
      </c>
      <c r="HU351">
        <f>IF(ISBLANK('Data Entry'!$ĥ$351), "", 'Data Entry'!$ĥ$351)</f>
      </c>
      <c r="HV351">
        <f>IF(ISBLANK('Data Entry'!$Ħ$351), "", 'Data Entry'!$Ħ$351)</f>
      </c>
      <c r="HW351">
        <f>IF(ISBLANK('Data Entry'!$ħ$351), "", 'Data Entry'!$ħ$351)</f>
      </c>
      <c r="HX351">
        <f>IF(ISBLANK('Data Entry'!$Ĩ$351), "", 'Data Entry'!$Ĩ$351)</f>
      </c>
      <c r="HY351">
        <f>IF(ISBLANK('Data Entry'!$ĩ$351), "", 'Data Entry'!$ĩ$351)</f>
      </c>
      <c r="HZ351">
        <f>IF(ISBLANK('Data Entry'!$Ī$351), "", 'Data Entry'!$Ī$351)</f>
      </c>
      <c r="IA351">
        <f>IF(ISBLANK('Data Entry'!$ī$351), "", 'Data Entry'!$ī$351)</f>
      </c>
      <c r="IB351">
        <f>IF(ISBLANK('Data Entry'!$Ĭ$351), "", 'Data Entry'!$Ĭ$351)</f>
      </c>
      <c r="IC351">
        <f>IF(ISBLANK('Data Entry'!$ĭ$351), "", 'Data Entry'!$ĭ$351)</f>
      </c>
      <c r="ID351">
        <f>IF(ISBLANK('Data Entry'!$Į$351), "", 'Data Entry'!$Į$351)</f>
      </c>
      <c r="IE351">
        <f>IF(ISBLANK('Data Entry'!$į$351), "", 'Data Entry'!$į$351)</f>
      </c>
      <c r="IF351">
        <f>IF(ISBLANK('Data Entry'!$İ$351), "", 'Data Entry'!$İ$351)</f>
      </c>
      <c r="IG351">
        <f>IF(ISBLANK('Data Entry'!$ı$351), "", 'Data Entry'!$ı$351)</f>
      </c>
      <c r="IH351">
        <f>IF(ISBLANK('Data Entry'!$Ĳ$351), "", 'Data Entry'!$Ĳ$351)</f>
      </c>
      <c r="II351">
        <f>IF(ISBLANK('Data Entry'!$ĳ$351), "", 'Data Entry'!$ĳ$351)</f>
      </c>
      <c r="IJ351">
        <f>IF(ISBLANK('Data Entry'!$Ĵ$351), "", 'Data Entry'!$Ĵ$351)</f>
      </c>
      <c r="IK351">
        <f>IF(ISBLANK('Data Entry'!$ĵ$351), "", 'Data Entry'!$ĵ$351)</f>
      </c>
      <c r="IL351">
        <f>IF(ISBLANK('Data Entry'!$Ķ$351), "", 'Data Entry'!$Ķ$351)</f>
      </c>
      <c r="IM351">
        <f>IF(ISBLANK('Data Entry'!$ķ$351), "", 'Data Entry'!$ķ$351)</f>
      </c>
      <c r="IN351">
        <f>IF(ISBLANK('Data Entry'!$ĸ$351), "", 'Data Entry'!$ĸ$351)</f>
      </c>
      <c r="IO351">
        <f>IF(ISBLANK('Data Entry'!$Ĺ$351), "", 'Data Entry'!$Ĺ$351)</f>
      </c>
      <c r="IP351">
        <f>IF(ISBLANK('Data Entry'!$ĺ$351), "", 'Data Entry'!$ĺ$351)</f>
      </c>
      <c r="IQ351">
        <f>IF(ISBLANK('Data Entry'!$Ļ$351), "", 'Data Entry'!$Ļ$351)</f>
      </c>
      <c r="IR351">
        <f>IF(ISBLANK('Data Entry'!$ļ$351), "", 'Data Entry'!$ļ$351)</f>
      </c>
      <c r="IS351">
        <f>IF(ISBLANK('Data Entry'!$Ľ$351), "", 'Data Entry'!$Ľ$351)</f>
      </c>
      <c r="IT351">
        <f>IF(ISBLANK('Data Entry'!$ľ$351), "", 'Data Entry'!$ľ$351)</f>
      </c>
    </row>
    <row r="352" spans="1:254" x14ac:dyDescent="0.25">
      <c r="A352">
        <f>IF(ISBLANK('Data Entry'!$A$352), "", 'Data Entry'!$A$352)</f>
      </c>
      <c r="B352">
        <f>IF(ISBLANK('Data Entry'!$B$352), "", 'Data Entry'!$B$352)</f>
      </c>
      <c r="C352">
        <f>IF(ISBLANK('Data Entry'!$C$352), "", 'Data Entry'!$C$352)</f>
      </c>
      <c r="D352">
        <f>IF(ISBLANK('Data Entry'!$D$352), "", 'Data Entry'!$D$352)</f>
      </c>
      <c r="E352">
        <f>IF(ISBLANK('Data Entry'!$E$352), "", 'Data Entry'!$E$352)</f>
      </c>
      <c r="F352">
        <f>IF(ISBLANK('Data Entry'!$F$352), "", 'Data Entry'!$F$352)</f>
      </c>
      <c r="G352">
        <f>IF(ISBLANK('Data Entry'!$G$352), "", 'Data Entry'!$G$352)</f>
      </c>
      <c r="H352">
        <f>IF(ISBLANK('Data Entry'!$H$352), "", 'Data Entry'!$H$352)</f>
      </c>
      <c r="I352">
        <f>IF(ISBLANK('Data Entry'!$I$352), "", 'Data Entry'!$I$352)</f>
      </c>
      <c r="J352">
        <f>IF(ISBLANK('Data Entry'!$J$352), "", 'Data Entry'!$J$352)</f>
      </c>
      <c r="K352">
        <f>IF(ISBLANK('Data Entry'!$K$352), "", 'Data Entry'!$K$352)</f>
      </c>
      <c r="L352">
        <f>IF(ISBLANK('Data Entry'!$L$352), "", 'Data Entry'!$L$352)</f>
      </c>
      <c r="M352">
        <f>IF(ISBLANK('Data Entry'!$M$352), "", 'Data Entry'!$M$352)</f>
      </c>
      <c r="N352">
        <f>IF(ISBLANK('Data Entry'!$N$352), "", 'Data Entry'!$N$352)</f>
      </c>
      <c r="O352">
        <f>IF(ISBLANK('Data Entry'!$O$352), "", 'Data Entry'!$O$352)</f>
      </c>
      <c r="P352">
        <f>IF(ISBLANK('Data Entry'!$P$352), "", 'Data Entry'!$P$352)</f>
      </c>
      <c r="Q352">
        <f>IF(ISBLANK('Data Entry'!$Q$352), "", 'Data Entry'!$Q$352)</f>
      </c>
      <c r="R352">
        <f>IF(ISBLANK('Data Entry'!$R$352), "", 'Data Entry'!$R$352)</f>
      </c>
      <c r="S352">
        <f>IF(ISBLANK('Data Entry'!$S$352), "", 'Data Entry'!$S$352)</f>
      </c>
      <c r="T352">
        <f>IF(ISBLANK('Data Entry'!$T$352), "", 'Data Entry'!$T$352)</f>
      </c>
      <c r="U352">
        <f>IF(ISBLANK('Data Entry'!$U$352), "", 'Data Entry'!$U$352)</f>
      </c>
      <c r="V352">
        <f>IF(ISBLANK('Data Entry'!$V$352), "", 'Data Entry'!$V$352)</f>
      </c>
      <c r="W352">
        <f>IF(ISBLANK('Data Entry'!$W$352), "", 'Data Entry'!$W$352)</f>
      </c>
      <c r="X352">
        <f>IF(ISBLANK('Data Entry'!$X$352), "", 'Data Entry'!$X$352)</f>
      </c>
      <c r="Y352">
        <f>IF(ISBLANK('Data Entry'!$Y$352), "", 'Data Entry'!$Y$352)</f>
      </c>
      <c r="Z352">
        <f>IF(ISBLANK('Data Entry'!$Z$352), "", 'Data Entry'!$Z$352)</f>
      </c>
      <c r="AA352">
        <f>IF(ISBLANK('Data Entry'!$[$352), "", 'Data Entry'!$[$352)</f>
      </c>
      <c r="AB352">
        <f>IF(ISBLANK('Data Entry'!$\$352), "", 'Data Entry'!$\$352)</f>
      </c>
      <c r="AC352">
        <f>IF(ISBLANK('Data Entry'!$]$352), "", 'Data Entry'!$]$352)</f>
      </c>
      <c r="AD352">
        <f>IF(ISBLANK('Data Entry'!$^$352), "", 'Data Entry'!$^$352)</f>
      </c>
      <c r="AE352">
        <f>IF(ISBLANK('Data Entry'!$_$352), "", 'Data Entry'!$_$352)</f>
      </c>
      <c r="AF352">
        <f>IF(ISBLANK('Data Entry'!$`$352), "", 'Data Entry'!$`$352)</f>
      </c>
      <c r="AG352">
        <f>IF(ISBLANK('Data Entry'!$a$352), "", 'Data Entry'!$a$352)</f>
      </c>
      <c r="AH352">
        <f>IF(ISBLANK('Data Entry'!$b$352), "", 'Data Entry'!$b$352)</f>
      </c>
      <c r="AI352">
        <f>IF(ISBLANK('Data Entry'!$c$352), "", 'Data Entry'!$c$352)</f>
      </c>
      <c r="AJ352">
        <f>IF(ISBLANK('Data Entry'!$d$352), "", 'Data Entry'!$d$352)</f>
      </c>
      <c r="AK352">
        <f>IF(ISBLANK('Data Entry'!$e$352), "", 'Data Entry'!$e$352)</f>
      </c>
      <c r="AL352">
        <f>IF(ISBLANK('Data Entry'!$f$352), "", 'Data Entry'!$f$352)</f>
      </c>
      <c r="AM352">
        <f>IF(ISBLANK('Data Entry'!$g$352), "", 'Data Entry'!$g$352)</f>
      </c>
      <c r="AN352">
        <f>IF(ISBLANK('Data Entry'!$h$352), "", 'Data Entry'!$h$352)</f>
      </c>
      <c r="AO352">
        <f>IF(ISBLANK('Data Entry'!$i$352), "", 'Data Entry'!$i$352)</f>
      </c>
      <c r="AP352">
        <f>IF(ISBLANK('Data Entry'!$j$352), "", 'Data Entry'!$j$352)</f>
      </c>
      <c r="AQ352">
        <f>IF(ISBLANK('Data Entry'!$k$352), "", 'Data Entry'!$k$352)</f>
      </c>
      <c r="AR352">
        <f>IF(ISBLANK('Data Entry'!$l$352), "", 'Data Entry'!$l$352)</f>
      </c>
      <c r="AS352">
        <f>IF(ISBLANK('Data Entry'!$m$352), "", 'Data Entry'!$m$352)</f>
      </c>
      <c r="AT352">
        <f>IF(ISBLANK('Data Entry'!$n$352), "", 'Data Entry'!$n$352)</f>
      </c>
      <c r="AU352">
        <f>IF(ISBLANK('Data Entry'!$o$352), "", 'Data Entry'!$o$352)</f>
      </c>
      <c r="AV352">
        <f>IF(ISBLANK('Data Entry'!$p$352), "", 'Data Entry'!$p$352)</f>
      </c>
      <c r="AW352">
        <f>IF(ISBLANK('Data Entry'!$q$352), "", 'Data Entry'!$q$352)</f>
      </c>
      <c r="AX352">
        <f>IF(ISBLANK('Data Entry'!$r$352), "", 'Data Entry'!$r$352)</f>
      </c>
      <c r="AY352">
        <f>IF(ISBLANK('Data Entry'!$s$352), "", 'Data Entry'!$s$352)</f>
      </c>
      <c r="AZ352">
        <f>IF(ISBLANK('Data Entry'!$t$352), "", 'Data Entry'!$t$352)</f>
      </c>
      <c r="BA352">
        <f>IF(ISBLANK('Data Entry'!$u$352), "", 'Data Entry'!$u$352)</f>
      </c>
      <c r="BB352">
        <f>IF(ISBLANK('Data Entry'!$v$352), "", 'Data Entry'!$v$352)</f>
      </c>
      <c r="BC352">
        <f>IF(ISBLANK('Data Entry'!$w$352), "", 'Data Entry'!$w$352)</f>
      </c>
      <c r="BD352">
        <f>IF(ISBLANK('Data Entry'!$x$352), "", 'Data Entry'!$x$352)</f>
      </c>
      <c r="BE352">
        <f>IF(ISBLANK('Data Entry'!$y$352), "", 'Data Entry'!$y$352)</f>
      </c>
      <c r="BF352">
        <f>IF(ISBLANK('Data Entry'!$z$352), "", 'Data Entry'!$z$352)</f>
      </c>
      <c r="BG352">
        <f>IF(ISBLANK('Data Entry'!${$352), "", 'Data Entry'!${$352)</f>
      </c>
      <c r="BH352">
        <f>IF(ISBLANK('Data Entry'!$|$352), "", 'Data Entry'!$|$352)</f>
      </c>
      <c r="BI352">
        <f>IF(ISBLANK('Data Entry'!$}$352), "", 'Data Entry'!$}$352)</f>
      </c>
      <c r="BJ352">
        <f>IF(ISBLANK('Data Entry'!$~$352), "", 'Data Entry'!$~$352)</f>
      </c>
      <c r="BK352">
        <f>IF(ISBLANK('Data Entry'!$$352), "", 'Data Entry'!$$352)</f>
      </c>
      <c r="BL352">
        <f>IF(ISBLANK('Data Entry'!$$352), "", 'Data Entry'!$$352)</f>
      </c>
      <c r="BM352">
        <f>IF(ISBLANK('Data Entry'!$$352), "", 'Data Entry'!$$352)</f>
      </c>
      <c r="BN352">
        <f>IF(ISBLANK('Data Entry'!$$352), "", 'Data Entry'!$$352)</f>
      </c>
      <c r="BO352">
        <f>IF(ISBLANK('Data Entry'!$$352), "", 'Data Entry'!$$352)</f>
      </c>
      <c r="BP352">
        <f>IF(ISBLANK('Data Entry'!$$352), "", 'Data Entry'!$$352)</f>
      </c>
      <c r="BQ352">
        <f>IF(ISBLANK('Data Entry'!$$352), "", 'Data Entry'!$$352)</f>
      </c>
      <c r="BR352">
        <f>IF(ISBLANK('Data Entry'!$$352), "", 'Data Entry'!$$352)</f>
      </c>
      <c r="BS352">
        <f>IF(ISBLANK('Data Entry'!$$352), "", 'Data Entry'!$$352)</f>
      </c>
      <c r="BT352">
        <f>IF(ISBLANK('Data Entry'!$$352), "", 'Data Entry'!$$352)</f>
      </c>
      <c r="BU352">
        <f>IF(ISBLANK('Data Entry'!$$352), "", 'Data Entry'!$$352)</f>
      </c>
      <c r="BV352">
        <f>IF(ISBLANK('Data Entry'!$$352), "", 'Data Entry'!$$352)</f>
      </c>
      <c r="BW352">
        <f>IF(ISBLANK('Data Entry'!$$352), "", 'Data Entry'!$$352)</f>
      </c>
      <c r="BX352">
        <f>IF(ISBLANK('Data Entry'!$$352), "", 'Data Entry'!$$352)</f>
      </c>
      <c r="BY352">
        <f>IF(ISBLANK('Data Entry'!$$352), "", 'Data Entry'!$$352)</f>
      </c>
      <c r="BZ352">
        <f>IF(ISBLANK('Data Entry'!$$352), "", 'Data Entry'!$$352)</f>
      </c>
      <c r="CA352">
        <f>IF(ISBLANK('Data Entry'!$$352), "", 'Data Entry'!$$352)</f>
      </c>
      <c r="CB352">
        <f>IF(ISBLANK('Data Entry'!$$352), "", 'Data Entry'!$$352)</f>
      </c>
      <c r="CC352">
        <f>IF(ISBLANK('Data Entry'!$$352), "", 'Data Entry'!$$352)</f>
      </c>
      <c r="CD352">
        <f>IF(ISBLANK('Data Entry'!$$352), "", 'Data Entry'!$$352)</f>
      </c>
      <c r="CE352">
        <f>IF(ISBLANK('Data Entry'!$$352), "", 'Data Entry'!$$352)</f>
      </c>
      <c r="CF352">
        <f>IF(ISBLANK('Data Entry'!$$352), "", 'Data Entry'!$$352)</f>
      </c>
      <c r="CG352">
        <f>IF(ISBLANK('Data Entry'!$$352), "", 'Data Entry'!$$352)</f>
      </c>
      <c r="CH352">
        <f>IF(ISBLANK('Data Entry'!$$352), "", 'Data Entry'!$$352)</f>
      </c>
      <c r="CI352">
        <f>IF(ISBLANK('Data Entry'!$$352), "", 'Data Entry'!$$352)</f>
      </c>
      <c r="CJ352">
        <f>IF(ISBLANK('Data Entry'!$$352), "", 'Data Entry'!$$352)</f>
      </c>
      <c r="CK352">
        <f>IF(ISBLANK('Data Entry'!$$352), "", 'Data Entry'!$$352)</f>
      </c>
      <c r="CL352">
        <f>IF(ISBLANK('Data Entry'!$$352), "", 'Data Entry'!$$352)</f>
      </c>
      <c r="CM352">
        <f>IF(ISBLANK('Data Entry'!$$352), "", 'Data Entry'!$$352)</f>
      </c>
      <c r="CN352">
        <f>IF(ISBLANK('Data Entry'!$$352), "", 'Data Entry'!$$352)</f>
      </c>
      <c r="CO352">
        <f>IF(ISBLANK('Data Entry'!$$352), "", 'Data Entry'!$$352)</f>
      </c>
      <c r="CP352">
        <f>IF(ISBLANK('Data Entry'!$$352), "", 'Data Entry'!$$352)</f>
      </c>
      <c r="CQ352">
        <f>IF(ISBLANK('Data Entry'!$$352), "", 'Data Entry'!$$352)</f>
      </c>
      <c r="CR352">
        <f>IF(ISBLANK('Data Entry'!$ $352), "", 'Data Entry'!$ $352)</f>
      </c>
      <c r="CS352">
        <f>IF(ISBLANK('Data Entry'!$¡$352), "", 'Data Entry'!$¡$352)</f>
      </c>
      <c r="CT352">
        <f>IF(ISBLANK('Data Entry'!$¢$352), "", 'Data Entry'!$¢$352)</f>
      </c>
      <c r="CU352">
        <f>IF(ISBLANK('Data Entry'!$£$352), "", 'Data Entry'!$£$352)</f>
      </c>
      <c r="CV352">
        <f>IF(ISBLANK('Data Entry'!$¤$352), "", 'Data Entry'!$¤$352)</f>
      </c>
      <c r="CW352">
        <f>IF(ISBLANK('Data Entry'!$¥$352), "", 'Data Entry'!$¥$352)</f>
      </c>
      <c r="CX352">
        <f>IF(ISBLANK('Data Entry'!$¦$352), "", 'Data Entry'!$¦$352)</f>
      </c>
      <c r="CY352">
        <f>IF(ISBLANK('Data Entry'!$§$352), "", 'Data Entry'!$§$352)</f>
      </c>
      <c r="CZ352">
        <f>IF(ISBLANK('Data Entry'!$¨$352), "", 'Data Entry'!$¨$352)</f>
      </c>
      <c r="DA352">
        <f>IF(ISBLANK('Data Entry'!$©$352), "", 'Data Entry'!$©$352)</f>
      </c>
      <c r="DB352">
        <f>IF(ISBLANK('Data Entry'!$ª$352), "", 'Data Entry'!$ª$352)</f>
      </c>
      <c r="DC352">
        <f>IF(ISBLANK('Data Entry'!$«$352), "", 'Data Entry'!$«$352)</f>
      </c>
      <c r="DD352">
        <f>IF(ISBLANK('Data Entry'!$¬$352), "", 'Data Entry'!$¬$352)</f>
      </c>
      <c r="DE352">
        <f>IF(ISBLANK('Data Entry'!$­$352), "", 'Data Entry'!$­$352)</f>
      </c>
      <c r="DF352">
        <f>IF(ISBLANK('Data Entry'!$®$352), "", 'Data Entry'!$®$352)</f>
      </c>
      <c r="DG352">
        <f>IF(ISBLANK('Data Entry'!$¯$352), "", 'Data Entry'!$¯$352)</f>
      </c>
      <c r="DH352">
        <f>IF(ISBLANK('Data Entry'!$°$352), "", 'Data Entry'!$°$352)</f>
      </c>
      <c r="DI352">
        <f>IF(ISBLANK('Data Entry'!$±$352), "", 'Data Entry'!$±$352)</f>
      </c>
      <c r="DJ352">
        <f>IF(ISBLANK('Data Entry'!$²$352), "", 'Data Entry'!$²$352)</f>
      </c>
      <c r="DK352">
        <f>IF(ISBLANK('Data Entry'!$³$352), "", 'Data Entry'!$³$352)</f>
      </c>
      <c r="DL352">
        <f>IF(ISBLANK('Data Entry'!$´$352), "", 'Data Entry'!$´$352)</f>
      </c>
      <c r="DM352">
        <f>IF(ISBLANK('Data Entry'!$µ$352), "", 'Data Entry'!$µ$352)</f>
      </c>
      <c r="DN352">
        <f>IF(ISBLANK('Data Entry'!$¶$352), "", 'Data Entry'!$¶$352)</f>
      </c>
      <c r="DO352">
        <f>IF(ISBLANK('Data Entry'!$·$352), "", 'Data Entry'!$·$352)</f>
      </c>
      <c r="DP352">
        <f>IF(ISBLANK('Data Entry'!$¸$352), "", 'Data Entry'!$¸$352)</f>
      </c>
      <c r="DQ352">
        <f>IF(ISBLANK('Data Entry'!$¹$352), "", 'Data Entry'!$¹$352)</f>
      </c>
      <c r="DR352">
        <f>IF(ISBLANK('Data Entry'!$º$352), "", 'Data Entry'!$º$352)</f>
      </c>
      <c r="DS352">
        <f>IF(ISBLANK('Data Entry'!$»$352), "", 'Data Entry'!$»$352)</f>
      </c>
      <c r="DT352">
        <f>IF(ISBLANK('Data Entry'!$¼$352), "", 'Data Entry'!$¼$352)</f>
      </c>
      <c r="DU352">
        <f>IF(ISBLANK('Data Entry'!$½$352), "", 'Data Entry'!$½$352)</f>
      </c>
      <c r="DV352">
        <f>IF(ISBLANK('Data Entry'!$¾$352), "", 'Data Entry'!$¾$352)</f>
      </c>
      <c r="DW352">
        <f>IF(ISBLANK('Data Entry'!$¿$352), "", 'Data Entry'!$¿$352)</f>
      </c>
      <c r="DX352">
        <f>IF(ISBLANK('Data Entry'!$À$352), "", 'Data Entry'!$À$352)</f>
      </c>
      <c r="DY352">
        <f>IF(ISBLANK('Data Entry'!$Á$352), "", 'Data Entry'!$Á$352)</f>
      </c>
      <c r="DZ352">
        <f>IF(ISBLANK('Data Entry'!$Â$352), "", 'Data Entry'!$Â$352)</f>
      </c>
      <c r="EA352">
        <f>IF(ISBLANK('Data Entry'!$Ã$352), "", 'Data Entry'!$Ã$352)</f>
      </c>
      <c r="EB352">
        <f>IF(ISBLANK('Data Entry'!$Ä$352), "", 'Data Entry'!$Ä$352)</f>
      </c>
      <c r="EC352">
        <f>IF(ISBLANK('Data Entry'!$Å$352), "", 'Data Entry'!$Å$352)</f>
      </c>
      <c r="ED352">
        <f>IF(ISBLANK('Data Entry'!$Æ$352), "", 'Data Entry'!$Æ$352)</f>
      </c>
      <c r="EE352">
        <f>IF(ISBLANK('Data Entry'!$Ç$352), "", 'Data Entry'!$Ç$352)</f>
      </c>
      <c r="EF352">
        <f>IF(ISBLANK('Data Entry'!$È$352), "", 'Data Entry'!$È$352)</f>
      </c>
      <c r="EG352">
        <f>IF(ISBLANK('Data Entry'!$É$352), "", 'Data Entry'!$É$352)</f>
      </c>
      <c r="EH352">
        <f>IF(ISBLANK('Data Entry'!$Ê$352), "", 'Data Entry'!$Ê$352)</f>
      </c>
      <c r="EI352">
        <f>IF(ISBLANK('Data Entry'!$Ë$352), "", 'Data Entry'!$Ë$352)</f>
      </c>
      <c r="EJ352">
        <f>IF(ISBLANK('Data Entry'!$Ì$352), "", 'Data Entry'!$Ì$352)</f>
      </c>
      <c r="EK352">
        <f>IF(ISBLANK('Data Entry'!$Í$352), "", 'Data Entry'!$Í$352)</f>
      </c>
      <c r="EL352">
        <f>IF(ISBLANK('Data Entry'!$Î$352), "", 'Data Entry'!$Î$352)</f>
      </c>
      <c r="EM352">
        <f>IF(ISBLANK('Data Entry'!$Ï$352), "", 'Data Entry'!$Ï$352)</f>
      </c>
      <c r="EN352">
        <f>IF(ISBLANK('Data Entry'!$Ð$352), "", 'Data Entry'!$Ð$352)</f>
      </c>
      <c r="EO352">
        <f>IF(ISBLANK('Data Entry'!$Ñ$352), "", 'Data Entry'!$Ñ$352)</f>
      </c>
      <c r="EP352">
        <f>IF(ISBLANK('Data Entry'!$Ò$352), "", 'Data Entry'!$Ò$352)</f>
      </c>
      <c r="EQ352">
        <f>IF(ISBLANK('Data Entry'!$Ó$352), "", 'Data Entry'!$Ó$352)</f>
      </c>
      <c r="ER352">
        <f>IF(ISBLANK('Data Entry'!$Ô$352), "", 'Data Entry'!$Ô$352)</f>
      </c>
      <c r="ES352">
        <f>IF(ISBLANK('Data Entry'!$Õ$352), "", 'Data Entry'!$Õ$352)</f>
      </c>
      <c r="ET352">
        <f>IF(ISBLANK('Data Entry'!$Ö$352), "", 'Data Entry'!$Ö$352)</f>
      </c>
      <c r="EU352">
        <f>IF(ISBLANK('Data Entry'!$×$352), "", 'Data Entry'!$×$352)</f>
      </c>
      <c r="EV352">
        <f>IF(ISBLANK('Data Entry'!$Ø$352), "", 'Data Entry'!$Ø$352)</f>
      </c>
      <c r="EW352">
        <f>IF(ISBLANK('Data Entry'!$Ù$352), "", 'Data Entry'!$Ù$352)</f>
      </c>
      <c r="EX352">
        <f>IF(ISBLANK('Data Entry'!$Ú$352), "", 'Data Entry'!$Ú$352)</f>
      </c>
      <c r="EY352">
        <f>IF(ISBLANK('Data Entry'!$Û$352), "", 'Data Entry'!$Û$352)</f>
      </c>
      <c r="EZ352">
        <f>IF(ISBLANK('Data Entry'!$Ü$352), "", 'Data Entry'!$Ü$352)</f>
      </c>
      <c r="FA352">
        <f>IF(ISBLANK('Data Entry'!$Ý$352), "", 'Data Entry'!$Ý$352)</f>
      </c>
      <c r="FB352">
        <f>IF(ISBLANK('Data Entry'!$Þ$352), "", 'Data Entry'!$Þ$352)</f>
      </c>
      <c r="FC352">
        <f>IF(ISBLANK('Data Entry'!$ß$352), "", 'Data Entry'!$ß$352)</f>
      </c>
      <c r="FD352">
        <f>IF(ISBLANK('Data Entry'!$à$352), "", 'Data Entry'!$à$352)</f>
      </c>
      <c r="FE352">
        <f>IF(ISBLANK('Data Entry'!$á$352), "", 'Data Entry'!$á$352)</f>
      </c>
      <c r="FF352">
        <f>IF(ISBLANK('Data Entry'!$â$352), "", 'Data Entry'!$â$352)</f>
      </c>
      <c r="FG352">
        <f>IF(ISBLANK('Data Entry'!$ã$352), "", 'Data Entry'!$ã$352)</f>
      </c>
      <c r="FH352">
        <f>IF(ISBLANK('Data Entry'!$ä$352), "", 'Data Entry'!$ä$352)</f>
      </c>
      <c r="FI352">
        <f>IF(ISBLANK('Data Entry'!$å$352), "", 'Data Entry'!$å$352)</f>
      </c>
      <c r="FJ352">
        <f>IF(ISBLANK('Data Entry'!$æ$352), "", 'Data Entry'!$æ$352)</f>
      </c>
      <c r="FK352">
        <f>IF(ISBLANK('Data Entry'!$ç$352), "", 'Data Entry'!$ç$352)</f>
      </c>
      <c r="FL352">
        <f>IF(ISBLANK('Data Entry'!$è$352), "", 'Data Entry'!$è$352)</f>
      </c>
      <c r="FM352">
        <f>IF(ISBLANK('Data Entry'!$é$352), "", 'Data Entry'!$é$352)</f>
      </c>
      <c r="FN352">
        <f>IF(ISBLANK('Data Entry'!$ê$352), "", 'Data Entry'!$ê$352)</f>
      </c>
      <c r="FO352">
        <f>IF(ISBLANK('Data Entry'!$ë$352), "", 'Data Entry'!$ë$352)</f>
      </c>
      <c r="FP352">
        <f>IF(ISBLANK('Data Entry'!$ì$352), "", 'Data Entry'!$ì$352)</f>
      </c>
      <c r="FQ352">
        <f>IF(ISBLANK('Data Entry'!$í$352), "", 'Data Entry'!$í$352)</f>
      </c>
      <c r="FR352">
        <f>IF(ISBLANK('Data Entry'!$î$352), "", 'Data Entry'!$î$352)</f>
      </c>
      <c r="FS352">
        <f>IF(ISBLANK('Data Entry'!$ï$352), "", 'Data Entry'!$ï$352)</f>
      </c>
      <c r="FT352">
        <f>IF(ISBLANK('Data Entry'!$ð$352), "", 'Data Entry'!$ð$352)</f>
      </c>
      <c r="FU352">
        <f>IF(ISBLANK('Data Entry'!$ñ$352), "", 'Data Entry'!$ñ$352)</f>
      </c>
      <c r="FV352">
        <f>IF(ISBLANK('Data Entry'!$ò$352), "", 'Data Entry'!$ò$352)</f>
      </c>
      <c r="FW352">
        <f>IF(ISBLANK('Data Entry'!$ó$352), "", 'Data Entry'!$ó$352)</f>
      </c>
      <c r="FX352">
        <f>IF(ISBLANK('Data Entry'!$ô$352), "", 'Data Entry'!$ô$352)</f>
      </c>
      <c r="FY352">
        <f>IF(ISBLANK('Data Entry'!$õ$352), "", 'Data Entry'!$õ$352)</f>
      </c>
      <c r="FZ352">
        <f>IF(ISBLANK('Data Entry'!$ö$352), "", 'Data Entry'!$ö$352)</f>
      </c>
      <c r="GA352">
        <f>IF(ISBLANK('Data Entry'!$÷$352), "", 'Data Entry'!$÷$352)</f>
      </c>
      <c r="GB352">
        <f>IF(ISBLANK('Data Entry'!$ø$352), "", 'Data Entry'!$ø$352)</f>
      </c>
      <c r="GC352">
        <f>IF(ISBLANK('Data Entry'!$ù$352), "", 'Data Entry'!$ù$352)</f>
      </c>
      <c r="GD352">
        <f>IF(ISBLANK('Data Entry'!$ú$352), "", 'Data Entry'!$ú$352)</f>
      </c>
      <c r="GE352">
        <f>IF(ISBLANK('Data Entry'!$û$352), "", 'Data Entry'!$û$352)</f>
      </c>
      <c r="GF352">
        <f>IF(ISBLANK('Data Entry'!$ü$352), "", 'Data Entry'!$ü$352)</f>
      </c>
      <c r="GG352">
        <f>IF(ISBLANK('Data Entry'!$ý$352), "", 'Data Entry'!$ý$352)</f>
      </c>
      <c r="GH352">
        <f>IF(ISBLANK('Data Entry'!$þ$352), "", 'Data Entry'!$þ$352)</f>
      </c>
      <c r="GI352">
        <f>IF(ISBLANK('Data Entry'!$ÿ$352), "", 'Data Entry'!$ÿ$352)</f>
      </c>
      <c r="GJ352">
        <f>IF(ISBLANK('Data Entry'!$Ā$352), "", 'Data Entry'!$Ā$352)</f>
      </c>
      <c r="GK352">
        <f>IF(ISBLANK('Data Entry'!$ā$352), "", 'Data Entry'!$ā$352)</f>
      </c>
      <c r="GL352">
        <f>IF(ISBLANK('Data Entry'!$Ă$352), "", 'Data Entry'!$Ă$352)</f>
      </c>
      <c r="GM352">
        <f>IF(ISBLANK('Data Entry'!$ă$352), "", 'Data Entry'!$ă$352)</f>
      </c>
      <c r="GN352">
        <f>IF(ISBLANK('Data Entry'!$Ą$352), "", 'Data Entry'!$Ą$352)</f>
      </c>
      <c r="GO352">
        <f>IF(ISBLANK('Data Entry'!$ą$352), "", 'Data Entry'!$ą$352)</f>
      </c>
      <c r="GP352">
        <f>IF(ISBLANK('Data Entry'!$Ć$352), "", 'Data Entry'!$Ć$352)</f>
      </c>
      <c r="GQ352">
        <f>IF(ISBLANK('Data Entry'!$ć$352), "", 'Data Entry'!$ć$352)</f>
      </c>
      <c r="GR352">
        <f>IF(ISBLANK('Data Entry'!$Ĉ$352), "", 'Data Entry'!$Ĉ$352)</f>
      </c>
      <c r="GS352">
        <f>IF(ISBLANK('Data Entry'!$ĉ$352), "", 'Data Entry'!$ĉ$352)</f>
      </c>
      <c r="GT352">
        <f>IF(ISBLANK('Data Entry'!$Ċ$352), "", 'Data Entry'!$Ċ$352)</f>
      </c>
      <c r="GU352">
        <f>IF(ISBLANK('Data Entry'!$ċ$352), "", 'Data Entry'!$ċ$352)</f>
      </c>
      <c r="GV352">
        <f>IF(ISBLANK('Data Entry'!$Č$352), "", 'Data Entry'!$Č$352)</f>
      </c>
      <c r="GW352">
        <f>IF(ISBLANK('Data Entry'!$č$352), "", 'Data Entry'!$č$352)</f>
      </c>
      <c r="GX352">
        <f>IF(ISBLANK('Data Entry'!$Ď$352), "", 'Data Entry'!$Ď$352)</f>
      </c>
      <c r="GY352">
        <f>IF(ISBLANK('Data Entry'!$ď$352), "", 'Data Entry'!$ď$352)</f>
      </c>
      <c r="GZ352">
        <f>IF(ISBLANK('Data Entry'!$Đ$352), "", 'Data Entry'!$Đ$352)</f>
      </c>
      <c r="HA352">
        <f>IF(ISBLANK('Data Entry'!$đ$352), "", 'Data Entry'!$đ$352)</f>
      </c>
      <c r="HB352">
        <f>IF(ISBLANK('Data Entry'!$Ē$352), "", 'Data Entry'!$Ē$352)</f>
      </c>
      <c r="HC352">
        <f>IF(ISBLANK('Data Entry'!$ē$352), "", 'Data Entry'!$ē$352)</f>
      </c>
      <c r="HD352">
        <f>IF(ISBLANK('Data Entry'!$Ĕ$352), "", 'Data Entry'!$Ĕ$352)</f>
      </c>
      <c r="HE352">
        <f>IF(ISBLANK('Data Entry'!$ĕ$352), "", 'Data Entry'!$ĕ$352)</f>
      </c>
      <c r="HF352">
        <f>IF(ISBLANK('Data Entry'!$Ė$352), "", 'Data Entry'!$Ė$352)</f>
      </c>
      <c r="HG352">
        <f>IF(ISBLANK('Data Entry'!$ė$352), "", 'Data Entry'!$ė$352)</f>
      </c>
      <c r="HH352">
        <f>IF(ISBLANK('Data Entry'!$Ę$352), "", 'Data Entry'!$Ę$352)</f>
      </c>
      <c r="HI352">
        <f>IF(ISBLANK('Data Entry'!$ę$352), "", 'Data Entry'!$ę$352)</f>
      </c>
      <c r="HJ352">
        <f>IF(ISBLANK('Data Entry'!$Ě$352), "", 'Data Entry'!$Ě$352)</f>
      </c>
      <c r="HK352">
        <f>IF(ISBLANK('Data Entry'!$ě$352), "", 'Data Entry'!$ě$352)</f>
      </c>
      <c r="HL352">
        <f>IF(ISBLANK('Data Entry'!$Ĝ$352), "", 'Data Entry'!$Ĝ$352)</f>
      </c>
      <c r="HM352">
        <f>IF(ISBLANK('Data Entry'!$ĝ$352), "", 'Data Entry'!$ĝ$352)</f>
      </c>
      <c r="HN352">
        <f>IF(ISBLANK('Data Entry'!$Ğ$352), "", 'Data Entry'!$Ğ$352)</f>
      </c>
      <c r="HO352">
        <f>IF(ISBLANK('Data Entry'!$ğ$352), "", 'Data Entry'!$ğ$352)</f>
      </c>
      <c r="HP352">
        <f>IF(ISBLANK('Data Entry'!$Ġ$352), "", 'Data Entry'!$Ġ$352)</f>
      </c>
      <c r="HQ352">
        <f>IF(ISBLANK('Data Entry'!$ġ$352), "", 'Data Entry'!$ġ$352)</f>
      </c>
      <c r="HR352">
        <f>IF(ISBLANK('Data Entry'!$Ģ$352), "", 'Data Entry'!$Ģ$352)</f>
      </c>
      <c r="HS352">
        <f>IF(ISBLANK('Data Entry'!$ģ$352), "", 'Data Entry'!$ģ$352)</f>
      </c>
      <c r="HT352">
        <f>IF(ISBLANK('Data Entry'!$Ĥ$352), "", 'Data Entry'!$Ĥ$352)</f>
      </c>
      <c r="HU352">
        <f>IF(ISBLANK('Data Entry'!$ĥ$352), "", 'Data Entry'!$ĥ$352)</f>
      </c>
      <c r="HV352">
        <f>IF(ISBLANK('Data Entry'!$Ħ$352), "", 'Data Entry'!$Ħ$352)</f>
      </c>
      <c r="HW352">
        <f>IF(ISBLANK('Data Entry'!$ħ$352), "", 'Data Entry'!$ħ$352)</f>
      </c>
      <c r="HX352">
        <f>IF(ISBLANK('Data Entry'!$Ĩ$352), "", 'Data Entry'!$Ĩ$352)</f>
      </c>
      <c r="HY352">
        <f>IF(ISBLANK('Data Entry'!$ĩ$352), "", 'Data Entry'!$ĩ$352)</f>
      </c>
      <c r="HZ352">
        <f>IF(ISBLANK('Data Entry'!$Ī$352), "", 'Data Entry'!$Ī$352)</f>
      </c>
      <c r="IA352">
        <f>IF(ISBLANK('Data Entry'!$ī$352), "", 'Data Entry'!$ī$352)</f>
      </c>
      <c r="IB352">
        <f>IF(ISBLANK('Data Entry'!$Ĭ$352), "", 'Data Entry'!$Ĭ$352)</f>
      </c>
      <c r="IC352">
        <f>IF(ISBLANK('Data Entry'!$ĭ$352), "", 'Data Entry'!$ĭ$352)</f>
      </c>
      <c r="ID352">
        <f>IF(ISBLANK('Data Entry'!$Į$352), "", 'Data Entry'!$Į$352)</f>
      </c>
      <c r="IE352">
        <f>IF(ISBLANK('Data Entry'!$į$352), "", 'Data Entry'!$į$352)</f>
      </c>
      <c r="IF352">
        <f>IF(ISBLANK('Data Entry'!$İ$352), "", 'Data Entry'!$İ$352)</f>
      </c>
      <c r="IG352">
        <f>IF(ISBLANK('Data Entry'!$ı$352), "", 'Data Entry'!$ı$352)</f>
      </c>
      <c r="IH352">
        <f>IF(ISBLANK('Data Entry'!$Ĳ$352), "", 'Data Entry'!$Ĳ$352)</f>
      </c>
      <c r="II352">
        <f>IF(ISBLANK('Data Entry'!$ĳ$352), "", 'Data Entry'!$ĳ$352)</f>
      </c>
      <c r="IJ352">
        <f>IF(ISBLANK('Data Entry'!$Ĵ$352), "", 'Data Entry'!$Ĵ$352)</f>
      </c>
      <c r="IK352">
        <f>IF(ISBLANK('Data Entry'!$ĵ$352), "", 'Data Entry'!$ĵ$352)</f>
      </c>
      <c r="IL352">
        <f>IF(ISBLANK('Data Entry'!$Ķ$352), "", 'Data Entry'!$Ķ$352)</f>
      </c>
      <c r="IM352">
        <f>IF(ISBLANK('Data Entry'!$ķ$352), "", 'Data Entry'!$ķ$352)</f>
      </c>
      <c r="IN352">
        <f>IF(ISBLANK('Data Entry'!$ĸ$352), "", 'Data Entry'!$ĸ$352)</f>
      </c>
      <c r="IO352">
        <f>IF(ISBLANK('Data Entry'!$Ĺ$352), "", 'Data Entry'!$Ĺ$352)</f>
      </c>
      <c r="IP352">
        <f>IF(ISBLANK('Data Entry'!$ĺ$352), "", 'Data Entry'!$ĺ$352)</f>
      </c>
      <c r="IQ352">
        <f>IF(ISBLANK('Data Entry'!$Ļ$352), "", 'Data Entry'!$Ļ$352)</f>
      </c>
      <c r="IR352">
        <f>IF(ISBLANK('Data Entry'!$ļ$352), "", 'Data Entry'!$ļ$352)</f>
      </c>
      <c r="IS352">
        <f>IF(ISBLANK('Data Entry'!$Ľ$352), "", 'Data Entry'!$Ľ$352)</f>
      </c>
      <c r="IT352">
        <f>IF(ISBLANK('Data Entry'!$ľ$352), "", 'Data Entry'!$ľ$352)</f>
      </c>
    </row>
    <row r="353" spans="1:254" x14ac:dyDescent="0.25">
      <c r="A353">
        <f>IF(ISBLANK('Data Entry'!$A$353), "", 'Data Entry'!$A$353)</f>
      </c>
      <c r="B353">
        <f>IF(ISBLANK('Data Entry'!$B$353), "", 'Data Entry'!$B$353)</f>
      </c>
      <c r="C353">
        <f>IF(ISBLANK('Data Entry'!$C$353), "", 'Data Entry'!$C$353)</f>
      </c>
      <c r="D353">
        <f>IF(ISBLANK('Data Entry'!$D$353), "", 'Data Entry'!$D$353)</f>
      </c>
      <c r="E353">
        <f>IF(ISBLANK('Data Entry'!$E$353), "", 'Data Entry'!$E$353)</f>
      </c>
      <c r="F353">
        <f>IF(ISBLANK('Data Entry'!$F$353), "", 'Data Entry'!$F$353)</f>
      </c>
      <c r="G353">
        <f>IF(ISBLANK('Data Entry'!$G$353), "", 'Data Entry'!$G$353)</f>
      </c>
      <c r="H353">
        <f>IF(ISBLANK('Data Entry'!$H$353), "", 'Data Entry'!$H$353)</f>
      </c>
      <c r="I353">
        <f>IF(ISBLANK('Data Entry'!$I$353), "", 'Data Entry'!$I$353)</f>
      </c>
      <c r="J353">
        <f>IF(ISBLANK('Data Entry'!$J$353), "", 'Data Entry'!$J$353)</f>
      </c>
      <c r="K353">
        <f>IF(ISBLANK('Data Entry'!$K$353), "", 'Data Entry'!$K$353)</f>
      </c>
      <c r="L353">
        <f>IF(ISBLANK('Data Entry'!$L$353), "", 'Data Entry'!$L$353)</f>
      </c>
      <c r="M353">
        <f>IF(ISBLANK('Data Entry'!$M$353), "", 'Data Entry'!$M$353)</f>
      </c>
      <c r="N353">
        <f>IF(ISBLANK('Data Entry'!$N$353), "", 'Data Entry'!$N$353)</f>
      </c>
      <c r="O353">
        <f>IF(ISBLANK('Data Entry'!$O$353), "", 'Data Entry'!$O$353)</f>
      </c>
      <c r="P353">
        <f>IF(ISBLANK('Data Entry'!$P$353), "", 'Data Entry'!$P$353)</f>
      </c>
      <c r="Q353">
        <f>IF(ISBLANK('Data Entry'!$Q$353), "", 'Data Entry'!$Q$353)</f>
      </c>
      <c r="R353">
        <f>IF(ISBLANK('Data Entry'!$R$353), "", 'Data Entry'!$R$353)</f>
      </c>
      <c r="S353">
        <f>IF(ISBLANK('Data Entry'!$S$353), "", 'Data Entry'!$S$353)</f>
      </c>
      <c r="T353">
        <f>IF(ISBLANK('Data Entry'!$T$353), "", 'Data Entry'!$T$353)</f>
      </c>
      <c r="U353">
        <f>IF(ISBLANK('Data Entry'!$U$353), "", 'Data Entry'!$U$353)</f>
      </c>
      <c r="V353">
        <f>IF(ISBLANK('Data Entry'!$V$353), "", 'Data Entry'!$V$353)</f>
      </c>
      <c r="W353">
        <f>IF(ISBLANK('Data Entry'!$W$353), "", 'Data Entry'!$W$353)</f>
      </c>
      <c r="X353">
        <f>IF(ISBLANK('Data Entry'!$X$353), "", 'Data Entry'!$X$353)</f>
      </c>
      <c r="Y353">
        <f>IF(ISBLANK('Data Entry'!$Y$353), "", 'Data Entry'!$Y$353)</f>
      </c>
      <c r="Z353">
        <f>IF(ISBLANK('Data Entry'!$Z$353), "", 'Data Entry'!$Z$353)</f>
      </c>
      <c r="AA353">
        <f>IF(ISBLANK('Data Entry'!$[$353), "", 'Data Entry'!$[$353)</f>
      </c>
      <c r="AB353">
        <f>IF(ISBLANK('Data Entry'!$\$353), "", 'Data Entry'!$\$353)</f>
      </c>
      <c r="AC353">
        <f>IF(ISBLANK('Data Entry'!$]$353), "", 'Data Entry'!$]$353)</f>
      </c>
      <c r="AD353">
        <f>IF(ISBLANK('Data Entry'!$^$353), "", 'Data Entry'!$^$353)</f>
      </c>
      <c r="AE353">
        <f>IF(ISBLANK('Data Entry'!$_$353), "", 'Data Entry'!$_$353)</f>
      </c>
      <c r="AF353">
        <f>IF(ISBLANK('Data Entry'!$`$353), "", 'Data Entry'!$`$353)</f>
      </c>
      <c r="AG353">
        <f>IF(ISBLANK('Data Entry'!$a$353), "", 'Data Entry'!$a$353)</f>
      </c>
      <c r="AH353">
        <f>IF(ISBLANK('Data Entry'!$b$353), "", 'Data Entry'!$b$353)</f>
      </c>
      <c r="AI353">
        <f>IF(ISBLANK('Data Entry'!$c$353), "", 'Data Entry'!$c$353)</f>
      </c>
      <c r="AJ353">
        <f>IF(ISBLANK('Data Entry'!$d$353), "", 'Data Entry'!$d$353)</f>
      </c>
      <c r="AK353">
        <f>IF(ISBLANK('Data Entry'!$e$353), "", 'Data Entry'!$e$353)</f>
      </c>
      <c r="AL353">
        <f>IF(ISBLANK('Data Entry'!$f$353), "", 'Data Entry'!$f$353)</f>
      </c>
      <c r="AM353">
        <f>IF(ISBLANK('Data Entry'!$g$353), "", 'Data Entry'!$g$353)</f>
      </c>
      <c r="AN353">
        <f>IF(ISBLANK('Data Entry'!$h$353), "", 'Data Entry'!$h$353)</f>
      </c>
      <c r="AO353">
        <f>IF(ISBLANK('Data Entry'!$i$353), "", 'Data Entry'!$i$353)</f>
      </c>
      <c r="AP353">
        <f>IF(ISBLANK('Data Entry'!$j$353), "", 'Data Entry'!$j$353)</f>
      </c>
      <c r="AQ353">
        <f>IF(ISBLANK('Data Entry'!$k$353), "", 'Data Entry'!$k$353)</f>
      </c>
      <c r="AR353">
        <f>IF(ISBLANK('Data Entry'!$l$353), "", 'Data Entry'!$l$353)</f>
      </c>
      <c r="AS353">
        <f>IF(ISBLANK('Data Entry'!$m$353), "", 'Data Entry'!$m$353)</f>
      </c>
      <c r="AT353">
        <f>IF(ISBLANK('Data Entry'!$n$353), "", 'Data Entry'!$n$353)</f>
      </c>
      <c r="AU353">
        <f>IF(ISBLANK('Data Entry'!$o$353), "", 'Data Entry'!$o$353)</f>
      </c>
      <c r="AV353">
        <f>IF(ISBLANK('Data Entry'!$p$353), "", 'Data Entry'!$p$353)</f>
      </c>
      <c r="AW353">
        <f>IF(ISBLANK('Data Entry'!$q$353), "", 'Data Entry'!$q$353)</f>
      </c>
      <c r="AX353">
        <f>IF(ISBLANK('Data Entry'!$r$353), "", 'Data Entry'!$r$353)</f>
      </c>
      <c r="AY353">
        <f>IF(ISBLANK('Data Entry'!$s$353), "", 'Data Entry'!$s$353)</f>
      </c>
      <c r="AZ353">
        <f>IF(ISBLANK('Data Entry'!$t$353), "", 'Data Entry'!$t$353)</f>
      </c>
      <c r="BA353">
        <f>IF(ISBLANK('Data Entry'!$u$353), "", 'Data Entry'!$u$353)</f>
      </c>
      <c r="BB353">
        <f>IF(ISBLANK('Data Entry'!$v$353), "", 'Data Entry'!$v$353)</f>
      </c>
      <c r="BC353">
        <f>IF(ISBLANK('Data Entry'!$w$353), "", 'Data Entry'!$w$353)</f>
      </c>
      <c r="BD353">
        <f>IF(ISBLANK('Data Entry'!$x$353), "", 'Data Entry'!$x$353)</f>
      </c>
      <c r="BE353">
        <f>IF(ISBLANK('Data Entry'!$y$353), "", 'Data Entry'!$y$353)</f>
      </c>
      <c r="BF353">
        <f>IF(ISBLANK('Data Entry'!$z$353), "", 'Data Entry'!$z$353)</f>
      </c>
      <c r="BG353">
        <f>IF(ISBLANK('Data Entry'!${$353), "", 'Data Entry'!${$353)</f>
      </c>
      <c r="BH353">
        <f>IF(ISBLANK('Data Entry'!$|$353), "", 'Data Entry'!$|$353)</f>
      </c>
      <c r="BI353">
        <f>IF(ISBLANK('Data Entry'!$}$353), "", 'Data Entry'!$}$353)</f>
      </c>
      <c r="BJ353">
        <f>IF(ISBLANK('Data Entry'!$~$353), "", 'Data Entry'!$~$353)</f>
      </c>
      <c r="BK353">
        <f>IF(ISBLANK('Data Entry'!$$353), "", 'Data Entry'!$$353)</f>
      </c>
      <c r="BL353">
        <f>IF(ISBLANK('Data Entry'!$$353), "", 'Data Entry'!$$353)</f>
      </c>
      <c r="BM353">
        <f>IF(ISBLANK('Data Entry'!$$353), "", 'Data Entry'!$$353)</f>
      </c>
      <c r="BN353">
        <f>IF(ISBLANK('Data Entry'!$$353), "", 'Data Entry'!$$353)</f>
      </c>
      <c r="BO353">
        <f>IF(ISBLANK('Data Entry'!$$353), "", 'Data Entry'!$$353)</f>
      </c>
      <c r="BP353">
        <f>IF(ISBLANK('Data Entry'!$$353), "", 'Data Entry'!$$353)</f>
      </c>
      <c r="BQ353">
        <f>IF(ISBLANK('Data Entry'!$$353), "", 'Data Entry'!$$353)</f>
      </c>
      <c r="BR353">
        <f>IF(ISBLANK('Data Entry'!$$353), "", 'Data Entry'!$$353)</f>
      </c>
      <c r="BS353">
        <f>IF(ISBLANK('Data Entry'!$$353), "", 'Data Entry'!$$353)</f>
      </c>
      <c r="BT353">
        <f>IF(ISBLANK('Data Entry'!$$353), "", 'Data Entry'!$$353)</f>
      </c>
      <c r="BU353">
        <f>IF(ISBLANK('Data Entry'!$$353), "", 'Data Entry'!$$353)</f>
      </c>
      <c r="BV353">
        <f>IF(ISBLANK('Data Entry'!$$353), "", 'Data Entry'!$$353)</f>
      </c>
      <c r="BW353">
        <f>IF(ISBLANK('Data Entry'!$$353), "", 'Data Entry'!$$353)</f>
      </c>
      <c r="BX353">
        <f>IF(ISBLANK('Data Entry'!$$353), "", 'Data Entry'!$$353)</f>
      </c>
      <c r="BY353">
        <f>IF(ISBLANK('Data Entry'!$$353), "", 'Data Entry'!$$353)</f>
      </c>
      <c r="BZ353">
        <f>IF(ISBLANK('Data Entry'!$$353), "", 'Data Entry'!$$353)</f>
      </c>
      <c r="CA353">
        <f>IF(ISBLANK('Data Entry'!$$353), "", 'Data Entry'!$$353)</f>
      </c>
      <c r="CB353">
        <f>IF(ISBLANK('Data Entry'!$$353), "", 'Data Entry'!$$353)</f>
      </c>
      <c r="CC353">
        <f>IF(ISBLANK('Data Entry'!$$353), "", 'Data Entry'!$$353)</f>
      </c>
      <c r="CD353">
        <f>IF(ISBLANK('Data Entry'!$$353), "", 'Data Entry'!$$353)</f>
      </c>
      <c r="CE353">
        <f>IF(ISBLANK('Data Entry'!$$353), "", 'Data Entry'!$$353)</f>
      </c>
      <c r="CF353">
        <f>IF(ISBLANK('Data Entry'!$$353), "", 'Data Entry'!$$353)</f>
      </c>
      <c r="CG353">
        <f>IF(ISBLANK('Data Entry'!$$353), "", 'Data Entry'!$$353)</f>
      </c>
      <c r="CH353">
        <f>IF(ISBLANK('Data Entry'!$$353), "", 'Data Entry'!$$353)</f>
      </c>
      <c r="CI353">
        <f>IF(ISBLANK('Data Entry'!$$353), "", 'Data Entry'!$$353)</f>
      </c>
      <c r="CJ353">
        <f>IF(ISBLANK('Data Entry'!$$353), "", 'Data Entry'!$$353)</f>
      </c>
      <c r="CK353">
        <f>IF(ISBLANK('Data Entry'!$$353), "", 'Data Entry'!$$353)</f>
      </c>
      <c r="CL353">
        <f>IF(ISBLANK('Data Entry'!$$353), "", 'Data Entry'!$$353)</f>
      </c>
      <c r="CM353">
        <f>IF(ISBLANK('Data Entry'!$$353), "", 'Data Entry'!$$353)</f>
      </c>
      <c r="CN353">
        <f>IF(ISBLANK('Data Entry'!$$353), "", 'Data Entry'!$$353)</f>
      </c>
      <c r="CO353">
        <f>IF(ISBLANK('Data Entry'!$$353), "", 'Data Entry'!$$353)</f>
      </c>
      <c r="CP353">
        <f>IF(ISBLANK('Data Entry'!$$353), "", 'Data Entry'!$$353)</f>
      </c>
      <c r="CQ353">
        <f>IF(ISBLANK('Data Entry'!$$353), "", 'Data Entry'!$$353)</f>
      </c>
      <c r="CR353">
        <f>IF(ISBLANK('Data Entry'!$ $353), "", 'Data Entry'!$ $353)</f>
      </c>
      <c r="CS353">
        <f>IF(ISBLANK('Data Entry'!$¡$353), "", 'Data Entry'!$¡$353)</f>
      </c>
      <c r="CT353">
        <f>IF(ISBLANK('Data Entry'!$¢$353), "", 'Data Entry'!$¢$353)</f>
      </c>
      <c r="CU353">
        <f>IF(ISBLANK('Data Entry'!$£$353), "", 'Data Entry'!$£$353)</f>
      </c>
      <c r="CV353">
        <f>IF(ISBLANK('Data Entry'!$¤$353), "", 'Data Entry'!$¤$353)</f>
      </c>
      <c r="CW353">
        <f>IF(ISBLANK('Data Entry'!$¥$353), "", 'Data Entry'!$¥$353)</f>
      </c>
      <c r="CX353">
        <f>IF(ISBLANK('Data Entry'!$¦$353), "", 'Data Entry'!$¦$353)</f>
      </c>
      <c r="CY353">
        <f>IF(ISBLANK('Data Entry'!$§$353), "", 'Data Entry'!$§$353)</f>
      </c>
      <c r="CZ353">
        <f>IF(ISBLANK('Data Entry'!$¨$353), "", 'Data Entry'!$¨$353)</f>
      </c>
      <c r="DA353">
        <f>IF(ISBLANK('Data Entry'!$©$353), "", 'Data Entry'!$©$353)</f>
      </c>
      <c r="DB353">
        <f>IF(ISBLANK('Data Entry'!$ª$353), "", 'Data Entry'!$ª$353)</f>
      </c>
      <c r="DC353">
        <f>IF(ISBLANK('Data Entry'!$«$353), "", 'Data Entry'!$«$353)</f>
      </c>
      <c r="DD353">
        <f>IF(ISBLANK('Data Entry'!$¬$353), "", 'Data Entry'!$¬$353)</f>
      </c>
      <c r="DE353">
        <f>IF(ISBLANK('Data Entry'!$­$353), "", 'Data Entry'!$­$353)</f>
      </c>
      <c r="DF353">
        <f>IF(ISBLANK('Data Entry'!$®$353), "", 'Data Entry'!$®$353)</f>
      </c>
      <c r="DG353">
        <f>IF(ISBLANK('Data Entry'!$¯$353), "", 'Data Entry'!$¯$353)</f>
      </c>
      <c r="DH353">
        <f>IF(ISBLANK('Data Entry'!$°$353), "", 'Data Entry'!$°$353)</f>
      </c>
      <c r="DI353">
        <f>IF(ISBLANK('Data Entry'!$±$353), "", 'Data Entry'!$±$353)</f>
      </c>
      <c r="DJ353">
        <f>IF(ISBLANK('Data Entry'!$²$353), "", 'Data Entry'!$²$353)</f>
      </c>
      <c r="DK353">
        <f>IF(ISBLANK('Data Entry'!$³$353), "", 'Data Entry'!$³$353)</f>
      </c>
      <c r="DL353">
        <f>IF(ISBLANK('Data Entry'!$´$353), "", 'Data Entry'!$´$353)</f>
      </c>
      <c r="DM353">
        <f>IF(ISBLANK('Data Entry'!$µ$353), "", 'Data Entry'!$µ$353)</f>
      </c>
      <c r="DN353">
        <f>IF(ISBLANK('Data Entry'!$¶$353), "", 'Data Entry'!$¶$353)</f>
      </c>
      <c r="DO353">
        <f>IF(ISBLANK('Data Entry'!$·$353), "", 'Data Entry'!$·$353)</f>
      </c>
      <c r="DP353">
        <f>IF(ISBLANK('Data Entry'!$¸$353), "", 'Data Entry'!$¸$353)</f>
      </c>
      <c r="DQ353">
        <f>IF(ISBLANK('Data Entry'!$¹$353), "", 'Data Entry'!$¹$353)</f>
      </c>
      <c r="DR353">
        <f>IF(ISBLANK('Data Entry'!$º$353), "", 'Data Entry'!$º$353)</f>
      </c>
      <c r="DS353">
        <f>IF(ISBLANK('Data Entry'!$»$353), "", 'Data Entry'!$»$353)</f>
      </c>
      <c r="DT353">
        <f>IF(ISBLANK('Data Entry'!$¼$353), "", 'Data Entry'!$¼$353)</f>
      </c>
      <c r="DU353">
        <f>IF(ISBLANK('Data Entry'!$½$353), "", 'Data Entry'!$½$353)</f>
      </c>
      <c r="DV353">
        <f>IF(ISBLANK('Data Entry'!$¾$353), "", 'Data Entry'!$¾$353)</f>
      </c>
      <c r="DW353">
        <f>IF(ISBLANK('Data Entry'!$¿$353), "", 'Data Entry'!$¿$353)</f>
      </c>
      <c r="DX353">
        <f>IF(ISBLANK('Data Entry'!$À$353), "", 'Data Entry'!$À$353)</f>
      </c>
      <c r="DY353">
        <f>IF(ISBLANK('Data Entry'!$Á$353), "", 'Data Entry'!$Á$353)</f>
      </c>
      <c r="DZ353">
        <f>IF(ISBLANK('Data Entry'!$Â$353), "", 'Data Entry'!$Â$353)</f>
      </c>
      <c r="EA353">
        <f>IF(ISBLANK('Data Entry'!$Ã$353), "", 'Data Entry'!$Ã$353)</f>
      </c>
      <c r="EB353">
        <f>IF(ISBLANK('Data Entry'!$Ä$353), "", 'Data Entry'!$Ä$353)</f>
      </c>
      <c r="EC353">
        <f>IF(ISBLANK('Data Entry'!$Å$353), "", 'Data Entry'!$Å$353)</f>
      </c>
      <c r="ED353">
        <f>IF(ISBLANK('Data Entry'!$Æ$353), "", 'Data Entry'!$Æ$353)</f>
      </c>
      <c r="EE353">
        <f>IF(ISBLANK('Data Entry'!$Ç$353), "", 'Data Entry'!$Ç$353)</f>
      </c>
      <c r="EF353">
        <f>IF(ISBLANK('Data Entry'!$È$353), "", 'Data Entry'!$È$353)</f>
      </c>
      <c r="EG353">
        <f>IF(ISBLANK('Data Entry'!$É$353), "", 'Data Entry'!$É$353)</f>
      </c>
      <c r="EH353">
        <f>IF(ISBLANK('Data Entry'!$Ê$353), "", 'Data Entry'!$Ê$353)</f>
      </c>
      <c r="EI353">
        <f>IF(ISBLANK('Data Entry'!$Ë$353), "", 'Data Entry'!$Ë$353)</f>
      </c>
      <c r="EJ353">
        <f>IF(ISBLANK('Data Entry'!$Ì$353), "", 'Data Entry'!$Ì$353)</f>
      </c>
      <c r="EK353">
        <f>IF(ISBLANK('Data Entry'!$Í$353), "", 'Data Entry'!$Í$353)</f>
      </c>
      <c r="EL353">
        <f>IF(ISBLANK('Data Entry'!$Î$353), "", 'Data Entry'!$Î$353)</f>
      </c>
      <c r="EM353">
        <f>IF(ISBLANK('Data Entry'!$Ï$353), "", 'Data Entry'!$Ï$353)</f>
      </c>
      <c r="EN353">
        <f>IF(ISBLANK('Data Entry'!$Ð$353), "", 'Data Entry'!$Ð$353)</f>
      </c>
      <c r="EO353">
        <f>IF(ISBLANK('Data Entry'!$Ñ$353), "", 'Data Entry'!$Ñ$353)</f>
      </c>
      <c r="EP353">
        <f>IF(ISBLANK('Data Entry'!$Ò$353), "", 'Data Entry'!$Ò$353)</f>
      </c>
      <c r="EQ353">
        <f>IF(ISBLANK('Data Entry'!$Ó$353), "", 'Data Entry'!$Ó$353)</f>
      </c>
      <c r="ER353">
        <f>IF(ISBLANK('Data Entry'!$Ô$353), "", 'Data Entry'!$Ô$353)</f>
      </c>
      <c r="ES353">
        <f>IF(ISBLANK('Data Entry'!$Õ$353), "", 'Data Entry'!$Õ$353)</f>
      </c>
      <c r="ET353">
        <f>IF(ISBLANK('Data Entry'!$Ö$353), "", 'Data Entry'!$Ö$353)</f>
      </c>
      <c r="EU353">
        <f>IF(ISBLANK('Data Entry'!$×$353), "", 'Data Entry'!$×$353)</f>
      </c>
      <c r="EV353">
        <f>IF(ISBLANK('Data Entry'!$Ø$353), "", 'Data Entry'!$Ø$353)</f>
      </c>
      <c r="EW353">
        <f>IF(ISBLANK('Data Entry'!$Ù$353), "", 'Data Entry'!$Ù$353)</f>
      </c>
      <c r="EX353">
        <f>IF(ISBLANK('Data Entry'!$Ú$353), "", 'Data Entry'!$Ú$353)</f>
      </c>
      <c r="EY353">
        <f>IF(ISBLANK('Data Entry'!$Û$353), "", 'Data Entry'!$Û$353)</f>
      </c>
      <c r="EZ353">
        <f>IF(ISBLANK('Data Entry'!$Ü$353), "", 'Data Entry'!$Ü$353)</f>
      </c>
      <c r="FA353">
        <f>IF(ISBLANK('Data Entry'!$Ý$353), "", 'Data Entry'!$Ý$353)</f>
      </c>
      <c r="FB353">
        <f>IF(ISBLANK('Data Entry'!$Þ$353), "", 'Data Entry'!$Þ$353)</f>
      </c>
      <c r="FC353">
        <f>IF(ISBLANK('Data Entry'!$ß$353), "", 'Data Entry'!$ß$353)</f>
      </c>
      <c r="FD353">
        <f>IF(ISBLANK('Data Entry'!$à$353), "", 'Data Entry'!$à$353)</f>
      </c>
      <c r="FE353">
        <f>IF(ISBLANK('Data Entry'!$á$353), "", 'Data Entry'!$á$353)</f>
      </c>
      <c r="FF353">
        <f>IF(ISBLANK('Data Entry'!$â$353), "", 'Data Entry'!$â$353)</f>
      </c>
      <c r="FG353">
        <f>IF(ISBLANK('Data Entry'!$ã$353), "", 'Data Entry'!$ã$353)</f>
      </c>
      <c r="FH353">
        <f>IF(ISBLANK('Data Entry'!$ä$353), "", 'Data Entry'!$ä$353)</f>
      </c>
      <c r="FI353">
        <f>IF(ISBLANK('Data Entry'!$å$353), "", 'Data Entry'!$å$353)</f>
      </c>
      <c r="FJ353">
        <f>IF(ISBLANK('Data Entry'!$æ$353), "", 'Data Entry'!$æ$353)</f>
      </c>
      <c r="FK353">
        <f>IF(ISBLANK('Data Entry'!$ç$353), "", 'Data Entry'!$ç$353)</f>
      </c>
      <c r="FL353">
        <f>IF(ISBLANK('Data Entry'!$è$353), "", 'Data Entry'!$è$353)</f>
      </c>
      <c r="FM353">
        <f>IF(ISBLANK('Data Entry'!$é$353), "", 'Data Entry'!$é$353)</f>
      </c>
      <c r="FN353">
        <f>IF(ISBLANK('Data Entry'!$ê$353), "", 'Data Entry'!$ê$353)</f>
      </c>
      <c r="FO353">
        <f>IF(ISBLANK('Data Entry'!$ë$353), "", 'Data Entry'!$ë$353)</f>
      </c>
      <c r="FP353">
        <f>IF(ISBLANK('Data Entry'!$ì$353), "", 'Data Entry'!$ì$353)</f>
      </c>
      <c r="FQ353">
        <f>IF(ISBLANK('Data Entry'!$í$353), "", 'Data Entry'!$í$353)</f>
      </c>
      <c r="FR353">
        <f>IF(ISBLANK('Data Entry'!$î$353), "", 'Data Entry'!$î$353)</f>
      </c>
      <c r="FS353">
        <f>IF(ISBLANK('Data Entry'!$ï$353), "", 'Data Entry'!$ï$353)</f>
      </c>
      <c r="FT353">
        <f>IF(ISBLANK('Data Entry'!$ð$353), "", 'Data Entry'!$ð$353)</f>
      </c>
      <c r="FU353">
        <f>IF(ISBLANK('Data Entry'!$ñ$353), "", 'Data Entry'!$ñ$353)</f>
      </c>
      <c r="FV353">
        <f>IF(ISBLANK('Data Entry'!$ò$353), "", 'Data Entry'!$ò$353)</f>
      </c>
      <c r="FW353">
        <f>IF(ISBLANK('Data Entry'!$ó$353), "", 'Data Entry'!$ó$353)</f>
      </c>
      <c r="FX353">
        <f>IF(ISBLANK('Data Entry'!$ô$353), "", 'Data Entry'!$ô$353)</f>
      </c>
      <c r="FY353">
        <f>IF(ISBLANK('Data Entry'!$õ$353), "", 'Data Entry'!$õ$353)</f>
      </c>
      <c r="FZ353">
        <f>IF(ISBLANK('Data Entry'!$ö$353), "", 'Data Entry'!$ö$353)</f>
      </c>
      <c r="GA353">
        <f>IF(ISBLANK('Data Entry'!$÷$353), "", 'Data Entry'!$÷$353)</f>
      </c>
      <c r="GB353">
        <f>IF(ISBLANK('Data Entry'!$ø$353), "", 'Data Entry'!$ø$353)</f>
      </c>
      <c r="GC353">
        <f>IF(ISBLANK('Data Entry'!$ù$353), "", 'Data Entry'!$ù$353)</f>
      </c>
      <c r="GD353">
        <f>IF(ISBLANK('Data Entry'!$ú$353), "", 'Data Entry'!$ú$353)</f>
      </c>
      <c r="GE353">
        <f>IF(ISBLANK('Data Entry'!$û$353), "", 'Data Entry'!$û$353)</f>
      </c>
      <c r="GF353">
        <f>IF(ISBLANK('Data Entry'!$ü$353), "", 'Data Entry'!$ü$353)</f>
      </c>
      <c r="GG353">
        <f>IF(ISBLANK('Data Entry'!$ý$353), "", 'Data Entry'!$ý$353)</f>
      </c>
      <c r="GH353">
        <f>IF(ISBLANK('Data Entry'!$þ$353), "", 'Data Entry'!$þ$353)</f>
      </c>
      <c r="GI353">
        <f>IF(ISBLANK('Data Entry'!$ÿ$353), "", 'Data Entry'!$ÿ$353)</f>
      </c>
      <c r="GJ353">
        <f>IF(ISBLANK('Data Entry'!$Ā$353), "", 'Data Entry'!$Ā$353)</f>
      </c>
      <c r="GK353">
        <f>IF(ISBLANK('Data Entry'!$ā$353), "", 'Data Entry'!$ā$353)</f>
      </c>
      <c r="GL353">
        <f>IF(ISBLANK('Data Entry'!$Ă$353), "", 'Data Entry'!$Ă$353)</f>
      </c>
      <c r="GM353">
        <f>IF(ISBLANK('Data Entry'!$ă$353), "", 'Data Entry'!$ă$353)</f>
      </c>
      <c r="GN353">
        <f>IF(ISBLANK('Data Entry'!$Ą$353), "", 'Data Entry'!$Ą$353)</f>
      </c>
      <c r="GO353">
        <f>IF(ISBLANK('Data Entry'!$ą$353), "", 'Data Entry'!$ą$353)</f>
      </c>
      <c r="GP353">
        <f>IF(ISBLANK('Data Entry'!$Ć$353), "", 'Data Entry'!$Ć$353)</f>
      </c>
      <c r="GQ353">
        <f>IF(ISBLANK('Data Entry'!$ć$353), "", 'Data Entry'!$ć$353)</f>
      </c>
      <c r="GR353">
        <f>IF(ISBLANK('Data Entry'!$Ĉ$353), "", 'Data Entry'!$Ĉ$353)</f>
      </c>
      <c r="GS353">
        <f>IF(ISBLANK('Data Entry'!$ĉ$353), "", 'Data Entry'!$ĉ$353)</f>
      </c>
      <c r="GT353">
        <f>IF(ISBLANK('Data Entry'!$Ċ$353), "", 'Data Entry'!$Ċ$353)</f>
      </c>
      <c r="GU353">
        <f>IF(ISBLANK('Data Entry'!$ċ$353), "", 'Data Entry'!$ċ$353)</f>
      </c>
      <c r="GV353">
        <f>IF(ISBLANK('Data Entry'!$Č$353), "", 'Data Entry'!$Č$353)</f>
      </c>
      <c r="GW353">
        <f>IF(ISBLANK('Data Entry'!$č$353), "", 'Data Entry'!$č$353)</f>
      </c>
      <c r="GX353">
        <f>IF(ISBLANK('Data Entry'!$Ď$353), "", 'Data Entry'!$Ď$353)</f>
      </c>
      <c r="GY353">
        <f>IF(ISBLANK('Data Entry'!$ď$353), "", 'Data Entry'!$ď$353)</f>
      </c>
      <c r="GZ353">
        <f>IF(ISBLANK('Data Entry'!$Đ$353), "", 'Data Entry'!$Đ$353)</f>
      </c>
      <c r="HA353">
        <f>IF(ISBLANK('Data Entry'!$đ$353), "", 'Data Entry'!$đ$353)</f>
      </c>
      <c r="HB353">
        <f>IF(ISBLANK('Data Entry'!$Ē$353), "", 'Data Entry'!$Ē$353)</f>
      </c>
      <c r="HC353">
        <f>IF(ISBLANK('Data Entry'!$ē$353), "", 'Data Entry'!$ē$353)</f>
      </c>
      <c r="HD353">
        <f>IF(ISBLANK('Data Entry'!$Ĕ$353), "", 'Data Entry'!$Ĕ$353)</f>
      </c>
      <c r="HE353">
        <f>IF(ISBLANK('Data Entry'!$ĕ$353), "", 'Data Entry'!$ĕ$353)</f>
      </c>
      <c r="HF353">
        <f>IF(ISBLANK('Data Entry'!$Ė$353), "", 'Data Entry'!$Ė$353)</f>
      </c>
      <c r="HG353">
        <f>IF(ISBLANK('Data Entry'!$ė$353), "", 'Data Entry'!$ė$353)</f>
      </c>
      <c r="HH353">
        <f>IF(ISBLANK('Data Entry'!$Ę$353), "", 'Data Entry'!$Ę$353)</f>
      </c>
      <c r="HI353">
        <f>IF(ISBLANK('Data Entry'!$ę$353), "", 'Data Entry'!$ę$353)</f>
      </c>
      <c r="HJ353">
        <f>IF(ISBLANK('Data Entry'!$Ě$353), "", 'Data Entry'!$Ě$353)</f>
      </c>
      <c r="HK353">
        <f>IF(ISBLANK('Data Entry'!$ě$353), "", 'Data Entry'!$ě$353)</f>
      </c>
      <c r="HL353">
        <f>IF(ISBLANK('Data Entry'!$Ĝ$353), "", 'Data Entry'!$Ĝ$353)</f>
      </c>
      <c r="HM353">
        <f>IF(ISBLANK('Data Entry'!$ĝ$353), "", 'Data Entry'!$ĝ$353)</f>
      </c>
      <c r="HN353">
        <f>IF(ISBLANK('Data Entry'!$Ğ$353), "", 'Data Entry'!$Ğ$353)</f>
      </c>
      <c r="HO353">
        <f>IF(ISBLANK('Data Entry'!$ğ$353), "", 'Data Entry'!$ğ$353)</f>
      </c>
      <c r="HP353">
        <f>IF(ISBLANK('Data Entry'!$Ġ$353), "", 'Data Entry'!$Ġ$353)</f>
      </c>
      <c r="HQ353">
        <f>IF(ISBLANK('Data Entry'!$ġ$353), "", 'Data Entry'!$ġ$353)</f>
      </c>
      <c r="HR353">
        <f>IF(ISBLANK('Data Entry'!$Ģ$353), "", 'Data Entry'!$Ģ$353)</f>
      </c>
      <c r="HS353">
        <f>IF(ISBLANK('Data Entry'!$ģ$353), "", 'Data Entry'!$ģ$353)</f>
      </c>
      <c r="HT353">
        <f>IF(ISBLANK('Data Entry'!$Ĥ$353), "", 'Data Entry'!$Ĥ$353)</f>
      </c>
      <c r="HU353">
        <f>IF(ISBLANK('Data Entry'!$ĥ$353), "", 'Data Entry'!$ĥ$353)</f>
      </c>
      <c r="HV353">
        <f>IF(ISBLANK('Data Entry'!$Ħ$353), "", 'Data Entry'!$Ħ$353)</f>
      </c>
      <c r="HW353">
        <f>IF(ISBLANK('Data Entry'!$ħ$353), "", 'Data Entry'!$ħ$353)</f>
      </c>
      <c r="HX353">
        <f>IF(ISBLANK('Data Entry'!$Ĩ$353), "", 'Data Entry'!$Ĩ$353)</f>
      </c>
      <c r="HY353">
        <f>IF(ISBLANK('Data Entry'!$ĩ$353), "", 'Data Entry'!$ĩ$353)</f>
      </c>
      <c r="HZ353">
        <f>IF(ISBLANK('Data Entry'!$Ī$353), "", 'Data Entry'!$Ī$353)</f>
      </c>
      <c r="IA353">
        <f>IF(ISBLANK('Data Entry'!$ī$353), "", 'Data Entry'!$ī$353)</f>
      </c>
      <c r="IB353">
        <f>IF(ISBLANK('Data Entry'!$Ĭ$353), "", 'Data Entry'!$Ĭ$353)</f>
      </c>
      <c r="IC353">
        <f>IF(ISBLANK('Data Entry'!$ĭ$353), "", 'Data Entry'!$ĭ$353)</f>
      </c>
      <c r="ID353">
        <f>IF(ISBLANK('Data Entry'!$Į$353), "", 'Data Entry'!$Į$353)</f>
      </c>
      <c r="IE353">
        <f>IF(ISBLANK('Data Entry'!$į$353), "", 'Data Entry'!$į$353)</f>
      </c>
      <c r="IF353">
        <f>IF(ISBLANK('Data Entry'!$İ$353), "", 'Data Entry'!$İ$353)</f>
      </c>
      <c r="IG353">
        <f>IF(ISBLANK('Data Entry'!$ı$353), "", 'Data Entry'!$ı$353)</f>
      </c>
      <c r="IH353">
        <f>IF(ISBLANK('Data Entry'!$Ĳ$353), "", 'Data Entry'!$Ĳ$353)</f>
      </c>
      <c r="II353">
        <f>IF(ISBLANK('Data Entry'!$ĳ$353), "", 'Data Entry'!$ĳ$353)</f>
      </c>
      <c r="IJ353">
        <f>IF(ISBLANK('Data Entry'!$Ĵ$353), "", 'Data Entry'!$Ĵ$353)</f>
      </c>
      <c r="IK353">
        <f>IF(ISBLANK('Data Entry'!$ĵ$353), "", 'Data Entry'!$ĵ$353)</f>
      </c>
      <c r="IL353">
        <f>IF(ISBLANK('Data Entry'!$Ķ$353), "", 'Data Entry'!$Ķ$353)</f>
      </c>
      <c r="IM353">
        <f>IF(ISBLANK('Data Entry'!$ķ$353), "", 'Data Entry'!$ķ$353)</f>
      </c>
      <c r="IN353">
        <f>IF(ISBLANK('Data Entry'!$ĸ$353), "", 'Data Entry'!$ĸ$353)</f>
      </c>
      <c r="IO353">
        <f>IF(ISBLANK('Data Entry'!$Ĺ$353), "", 'Data Entry'!$Ĺ$353)</f>
      </c>
      <c r="IP353">
        <f>IF(ISBLANK('Data Entry'!$ĺ$353), "", 'Data Entry'!$ĺ$353)</f>
      </c>
      <c r="IQ353">
        <f>IF(ISBLANK('Data Entry'!$Ļ$353), "", 'Data Entry'!$Ļ$353)</f>
      </c>
      <c r="IR353">
        <f>IF(ISBLANK('Data Entry'!$ļ$353), "", 'Data Entry'!$ļ$353)</f>
      </c>
      <c r="IS353">
        <f>IF(ISBLANK('Data Entry'!$Ľ$353), "", 'Data Entry'!$Ľ$353)</f>
      </c>
      <c r="IT353">
        <f>IF(ISBLANK('Data Entry'!$ľ$353), "", 'Data Entry'!$ľ$353)</f>
      </c>
    </row>
    <row r="354" spans="1:254" x14ac:dyDescent="0.25">
      <c r="A354">
        <f>IF(ISBLANK('Data Entry'!$A$354), "", 'Data Entry'!$A$354)</f>
      </c>
      <c r="B354">
        <f>IF(ISBLANK('Data Entry'!$B$354), "", 'Data Entry'!$B$354)</f>
      </c>
      <c r="C354">
        <f>IF(ISBLANK('Data Entry'!$C$354), "", 'Data Entry'!$C$354)</f>
      </c>
      <c r="D354">
        <f>IF(ISBLANK('Data Entry'!$D$354), "", 'Data Entry'!$D$354)</f>
      </c>
      <c r="E354">
        <f>IF(ISBLANK('Data Entry'!$E$354), "", 'Data Entry'!$E$354)</f>
      </c>
      <c r="F354">
        <f>IF(ISBLANK('Data Entry'!$F$354), "", 'Data Entry'!$F$354)</f>
      </c>
      <c r="G354">
        <f>IF(ISBLANK('Data Entry'!$G$354), "", 'Data Entry'!$G$354)</f>
      </c>
      <c r="H354">
        <f>IF(ISBLANK('Data Entry'!$H$354), "", 'Data Entry'!$H$354)</f>
      </c>
      <c r="I354">
        <f>IF(ISBLANK('Data Entry'!$I$354), "", 'Data Entry'!$I$354)</f>
      </c>
      <c r="J354">
        <f>IF(ISBLANK('Data Entry'!$J$354), "", 'Data Entry'!$J$354)</f>
      </c>
      <c r="K354">
        <f>IF(ISBLANK('Data Entry'!$K$354), "", 'Data Entry'!$K$354)</f>
      </c>
      <c r="L354">
        <f>IF(ISBLANK('Data Entry'!$L$354), "", 'Data Entry'!$L$354)</f>
      </c>
      <c r="M354">
        <f>IF(ISBLANK('Data Entry'!$M$354), "", 'Data Entry'!$M$354)</f>
      </c>
      <c r="N354">
        <f>IF(ISBLANK('Data Entry'!$N$354), "", 'Data Entry'!$N$354)</f>
      </c>
      <c r="O354">
        <f>IF(ISBLANK('Data Entry'!$O$354), "", 'Data Entry'!$O$354)</f>
      </c>
      <c r="P354">
        <f>IF(ISBLANK('Data Entry'!$P$354), "", 'Data Entry'!$P$354)</f>
      </c>
      <c r="Q354">
        <f>IF(ISBLANK('Data Entry'!$Q$354), "", 'Data Entry'!$Q$354)</f>
      </c>
      <c r="R354">
        <f>IF(ISBLANK('Data Entry'!$R$354), "", 'Data Entry'!$R$354)</f>
      </c>
      <c r="S354">
        <f>IF(ISBLANK('Data Entry'!$S$354), "", 'Data Entry'!$S$354)</f>
      </c>
      <c r="T354">
        <f>IF(ISBLANK('Data Entry'!$T$354), "", 'Data Entry'!$T$354)</f>
      </c>
      <c r="U354">
        <f>IF(ISBLANK('Data Entry'!$U$354), "", 'Data Entry'!$U$354)</f>
      </c>
      <c r="V354">
        <f>IF(ISBLANK('Data Entry'!$V$354), "", 'Data Entry'!$V$354)</f>
      </c>
      <c r="W354">
        <f>IF(ISBLANK('Data Entry'!$W$354), "", 'Data Entry'!$W$354)</f>
      </c>
      <c r="X354">
        <f>IF(ISBLANK('Data Entry'!$X$354), "", 'Data Entry'!$X$354)</f>
      </c>
      <c r="Y354">
        <f>IF(ISBLANK('Data Entry'!$Y$354), "", 'Data Entry'!$Y$354)</f>
      </c>
      <c r="Z354">
        <f>IF(ISBLANK('Data Entry'!$Z$354), "", 'Data Entry'!$Z$354)</f>
      </c>
      <c r="AA354">
        <f>IF(ISBLANK('Data Entry'!$[$354), "", 'Data Entry'!$[$354)</f>
      </c>
      <c r="AB354">
        <f>IF(ISBLANK('Data Entry'!$\$354), "", 'Data Entry'!$\$354)</f>
      </c>
      <c r="AC354">
        <f>IF(ISBLANK('Data Entry'!$]$354), "", 'Data Entry'!$]$354)</f>
      </c>
      <c r="AD354">
        <f>IF(ISBLANK('Data Entry'!$^$354), "", 'Data Entry'!$^$354)</f>
      </c>
      <c r="AE354">
        <f>IF(ISBLANK('Data Entry'!$_$354), "", 'Data Entry'!$_$354)</f>
      </c>
      <c r="AF354">
        <f>IF(ISBLANK('Data Entry'!$`$354), "", 'Data Entry'!$`$354)</f>
      </c>
      <c r="AG354">
        <f>IF(ISBLANK('Data Entry'!$a$354), "", 'Data Entry'!$a$354)</f>
      </c>
      <c r="AH354">
        <f>IF(ISBLANK('Data Entry'!$b$354), "", 'Data Entry'!$b$354)</f>
      </c>
      <c r="AI354">
        <f>IF(ISBLANK('Data Entry'!$c$354), "", 'Data Entry'!$c$354)</f>
      </c>
      <c r="AJ354">
        <f>IF(ISBLANK('Data Entry'!$d$354), "", 'Data Entry'!$d$354)</f>
      </c>
      <c r="AK354">
        <f>IF(ISBLANK('Data Entry'!$e$354), "", 'Data Entry'!$e$354)</f>
      </c>
      <c r="AL354">
        <f>IF(ISBLANK('Data Entry'!$f$354), "", 'Data Entry'!$f$354)</f>
      </c>
      <c r="AM354">
        <f>IF(ISBLANK('Data Entry'!$g$354), "", 'Data Entry'!$g$354)</f>
      </c>
      <c r="AN354">
        <f>IF(ISBLANK('Data Entry'!$h$354), "", 'Data Entry'!$h$354)</f>
      </c>
      <c r="AO354">
        <f>IF(ISBLANK('Data Entry'!$i$354), "", 'Data Entry'!$i$354)</f>
      </c>
      <c r="AP354">
        <f>IF(ISBLANK('Data Entry'!$j$354), "", 'Data Entry'!$j$354)</f>
      </c>
      <c r="AQ354">
        <f>IF(ISBLANK('Data Entry'!$k$354), "", 'Data Entry'!$k$354)</f>
      </c>
      <c r="AR354">
        <f>IF(ISBLANK('Data Entry'!$l$354), "", 'Data Entry'!$l$354)</f>
      </c>
      <c r="AS354">
        <f>IF(ISBLANK('Data Entry'!$m$354), "", 'Data Entry'!$m$354)</f>
      </c>
      <c r="AT354">
        <f>IF(ISBLANK('Data Entry'!$n$354), "", 'Data Entry'!$n$354)</f>
      </c>
      <c r="AU354">
        <f>IF(ISBLANK('Data Entry'!$o$354), "", 'Data Entry'!$o$354)</f>
      </c>
      <c r="AV354">
        <f>IF(ISBLANK('Data Entry'!$p$354), "", 'Data Entry'!$p$354)</f>
      </c>
      <c r="AW354">
        <f>IF(ISBLANK('Data Entry'!$q$354), "", 'Data Entry'!$q$354)</f>
      </c>
      <c r="AX354">
        <f>IF(ISBLANK('Data Entry'!$r$354), "", 'Data Entry'!$r$354)</f>
      </c>
      <c r="AY354">
        <f>IF(ISBLANK('Data Entry'!$s$354), "", 'Data Entry'!$s$354)</f>
      </c>
      <c r="AZ354">
        <f>IF(ISBLANK('Data Entry'!$t$354), "", 'Data Entry'!$t$354)</f>
      </c>
      <c r="BA354">
        <f>IF(ISBLANK('Data Entry'!$u$354), "", 'Data Entry'!$u$354)</f>
      </c>
      <c r="BB354">
        <f>IF(ISBLANK('Data Entry'!$v$354), "", 'Data Entry'!$v$354)</f>
      </c>
      <c r="BC354">
        <f>IF(ISBLANK('Data Entry'!$w$354), "", 'Data Entry'!$w$354)</f>
      </c>
      <c r="BD354">
        <f>IF(ISBLANK('Data Entry'!$x$354), "", 'Data Entry'!$x$354)</f>
      </c>
      <c r="BE354">
        <f>IF(ISBLANK('Data Entry'!$y$354), "", 'Data Entry'!$y$354)</f>
      </c>
      <c r="BF354">
        <f>IF(ISBLANK('Data Entry'!$z$354), "", 'Data Entry'!$z$354)</f>
      </c>
      <c r="BG354">
        <f>IF(ISBLANK('Data Entry'!${$354), "", 'Data Entry'!${$354)</f>
      </c>
      <c r="BH354">
        <f>IF(ISBLANK('Data Entry'!$|$354), "", 'Data Entry'!$|$354)</f>
      </c>
      <c r="BI354">
        <f>IF(ISBLANK('Data Entry'!$}$354), "", 'Data Entry'!$}$354)</f>
      </c>
      <c r="BJ354">
        <f>IF(ISBLANK('Data Entry'!$~$354), "", 'Data Entry'!$~$354)</f>
      </c>
      <c r="BK354">
        <f>IF(ISBLANK('Data Entry'!$$354), "", 'Data Entry'!$$354)</f>
      </c>
      <c r="BL354">
        <f>IF(ISBLANK('Data Entry'!$$354), "", 'Data Entry'!$$354)</f>
      </c>
      <c r="BM354">
        <f>IF(ISBLANK('Data Entry'!$$354), "", 'Data Entry'!$$354)</f>
      </c>
      <c r="BN354">
        <f>IF(ISBLANK('Data Entry'!$$354), "", 'Data Entry'!$$354)</f>
      </c>
      <c r="BO354">
        <f>IF(ISBLANK('Data Entry'!$$354), "", 'Data Entry'!$$354)</f>
      </c>
      <c r="BP354">
        <f>IF(ISBLANK('Data Entry'!$$354), "", 'Data Entry'!$$354)</f>
      </c>
      <c r="BQ354">
        <f>IF(ISBLANK('Data Entry'!$$354), "", 'Data Entry'!$$354)</f>
      </c>
      <c r="BR354">
        <f>IF(ISBLANK('Data Entry'!$$354), "", 'Data Entry'!$$354)</f>
      </c>
      <c r="BS354">
        <f>IF(ISBLANK('Data Entry'!$$354), "", 'Data Entry'!$$354)</f>
      </c>
      <c r="BT354">
        <f>IF(ISBLANK('Data Entry'!$$354), "", 'Data Entry'!$$354)</f>
      </c>
      <c r="BU354">
        <f>IF(ISBLANK('Data Entry'!$$354), "", 'Data Entry'!$$354)</f>
      </c>
      <c r="BV354">
        <f>IF(ISBLANK('Data Entry'!$$354), "", 'Data Entry'!$$354)</f>
      </c>
      <c r="BW354">
        <f>IF(ISBLANK('Data Entry'!$$354), "", 'Data Entry'!$$354)</f>
      </c>
      <c r="BX354">
        <f>IF(ISBLANK('Data Entry'!$$354), "", 'Data Entry'!$$354)</f>
      </c>
      <c r="BY354">
        <f>IF(ISBLANK('Data Entry'!$$354), "", 'Data Entry'!$$354)</f>
      </c>
      <c r="BZ354">
        <f>IF(ISBLANK('Data Entry'!$$354), "", 'Data Entry'!$$354)</f>
      </c>
      <c r="CA354">
        <f>IF(ISBLANK('Data Entry'!$$354), "", 'Data Entry'!$$354)</f>
      </c>
      <c r="CB354">
        <f>IF(ISBLANK('Data Entry'!$$354), "", 'Data Entry'!$$354)</f>
      </c>
      <c r="CC354">
        <f>IF(ISBLANK('Data Entry'!$$354), "", 'Data Entry'!$$354)</f>
      </c>
      <c r="CD354">
        <f>IF(ISBLANK('Data Entry'!$$354), "", 'Data Entry'!$$354)</f>
      </c>
      <c r="CE354">
        <f>IF(ISBLANK('Data Entry'!$$354), "", 'Data Entry'!$$354)</f>
      </c>
      <c r="CF354">
        <f>IF(ISBLANK('Data Entry'!$$354), "", 'Data Entry'!$$354)</f>
      </c>
      <c r="CG354">
        <f>IF(ISBLANK('Data Entry'!$$354), "", 'Data Entry'!$$354)</f>
      </c>
      <c r="CH354">
        <f>IF(ISBLANK('Data Entry'!$$354), "", 'Data Entry'!$$354)</f>
      </c>
      <c r="CI354">
        <f>IF(ISBLANK('Data Entry'!$$354), "", 'Data Entry'!$$354)</f>
      </c>
      <c r="CJ354">
        <f>IF(ISBLANK('Data Entry'!$$354), "", 'Data Entry'!$$354)</f>
      </c>
      <c r="CK354">
        <f>IF(ISBLANK('Data Entry'!$$354), "", 'Data Entry'!$$354)</f>
      </c>
      <c r="CL354">
        <f>IF(ISBLANK('Data Entry'!$$354), "", 'Data Entry'!$$354)</f>
      </c>
      <c r="CM354">
        <f>IF(ISBLANK('Data Entry'!$$354), "", 'Data Entry'!$$354)</f>
      </c>
      <c r="CN354">
        <f>IF(ISBLANK('Data Entry'!$$354), "", 'Data Entry'!$$354)</f>
      </c>
      <c r="CO354">
        <f>IF(ISBLANK('Data Entry'!$$354), "", 'Data Entry'!$$354)</f>
      </c>
      <c r="CP354">
        <f>IF(ISBLANK('Data Entry'!$$354), "", 'Data Entry'!$$354)</f>
      </c>
      <c r="CQ354">
        <f>IF(ISBLANK('Data Entry'!$$354), "", 'Data Entry'!$$354)</f>
      </c>
      <c r="CR354">
        <f>IF(ISBLANK('Data Entry'!$ $354), "", 'Data Entry'!$ $354)</f>
      </c>
      <c r="CS354">
        <f>IF(ISBLANK('Data Entry'!$¡$354), "", 'Data Entry'!$¡$354)</f>
      </c>
      <c r="CT354">
        <f>IF(ISBLANK('Data Entry'!$¢$354), "", 'Data Entry'!$¢$354)</f>
      </c>
      <c r="CU354">
        <f>IF(ISBLANK('Data Entry'!$£$354), "", 'Data Entry'!$£$354)</f>
      </c>
      <c r="CV354">
        <f>IF(ISBLANK('Data Entry'!$¤$354), "", 'Data Entry'!$¤$354)</f>
      </c>
      <c r="CW354">
        <f>IF(ISBLANK('Data Entry'!$¥$354), "", 'Data Entry'!$¥$354)</f>
      </c>
      <c r="CX354">
        <f>IF(ISBLANK('Data Entry'!$¦$354), "", 'Data Entry'!$¦$354)</f>
      </c>
      <c r="CY354">
        <f>IF(ISBLANK('Data Entry'!$§$354), "", 'Data Entry'!$§$354)</f>
      </c>
      <c r="CZ354">
        <f>IF(ISBLANK('Data Entry'!$¨$354), "", 'Data Entry'!$¨$354)</f>
      </c>
      <c r="DA354">
        <f>IF(ISBLANK('Data Entry'!$©$354), "", 'Data Entry'!$©$354)</f>
      </c>
      <c r="DB354">
        <f>IF(ISBLANK('Data Entry'!$ª$354), "", 'Data Entry'!$ª$354)</f>
      </c>
      <c r="DC354">
        <f>IF(ISBLANK('Data Entry'!$«$354), "", 'Data Entry'!$«$354)</f>
      </c>
      <c r="DD354">
        <f>IF(ISBLANK('Data Entry'!$¬$354), "", 'Data Entry'!$¬$354)</f>
      </c>
      <c r="DE354">
        <f>IF(ISBLANK('Data Entry'!$­$354), "", 'Data Entry'!$­$354)</f>
      </c>
      <c r="DF354">
        <f>IF(ISBLANK('Data Entry'!$®$354), "", 'Data Entry'!$®$354)</f>
      </c>
      <c r="DG354">
        <f>IF(ISBLANK('Data Entry'!$¯$354), "", 'Data Entry'!$¯$354)</f>
      </c>
      <c r="DH354">
        <f>IF(ISBLANK('Data Entry'!$°$354), "", 'Data Entry'!$°$354)</f>
      </c>
      <c r="DI354">
        <f>IF(ISBLANK('Data Entry'!$±$354), "", 'Data Entry'!$±$354)</f>
      </c>
      <c r="DJ354">
        <f>IF(ISBLANK('Data Entry'!$²$354), "", 'Data Entry'!$²$354)</f>
      </c>
      <c r="DK354">
        <f>IF(ISBLANK('Data Entry'!$³$354), "", 'Data Entry'!$³$354)</f>
      </c>
      <c r="DL354">
        <f>IF(ISBLANK('Data Entry'!$´$354), "", 'Data Entry'!$´$354)</f>
      </c>
      <c r="DM354">
        <f>IF(ISBLANK('Data Entry'!$µ$354), "", 'Data Entry'!$µ$354)</f>
      </c>
      <c r="DN354">
        <f>IF(ISBLANK('Data Entry'!$¶$354), "", 'Data Entry'!$¶$354)</f>
      </c>
      <c r="DO354">
        <f>IF(ISBLANK('Data Entry'!$·$354), "", 'Data Entry'!$·$354)</f>
      </c>
      <c r="DP354">
        <f>IF(ISBLANK('Data Entry'!$¸$354), "", 'Data Entry'!$¸$354)</f>
      </c>
      <c r="DQ354">
        <f>IF(ISBLANK('Data Entry'!$¹$354), "", 'Data Entry'!$¹$354)</f>
      </c>
      <c r="DR354">
        <f>IF(ISBLANK('Data Entry'!$º$354), "", 'Data Entry'!$º$354)</f>
      </c>
      <c r="DS354">
        <f>IF(ISBLANK('Data Entry'!$»$354), "", 'Data Entry'!$»$354)</f>
      </c>
      <c r="DT354">
        <f>IF(ISBLANK('Data Entry'!$¼$354), "", 'Data Entry'!$¼$354)</f>
      </c>
      <c r="DU354">
        <f>IF(ISBLANK('Data Entry'!$½$354), "", 'Data Entry'!$½$354)</f>
      </c>
      <c r="DV354">
        <f>IF(ISBLANK('Data Entry'!$¾$354), "", 'Data Entry'!$¾$354)</f>
      </c>
      <c r="DW354">
        <f>IF(ISBLANK('Data Entry'!$¿$354), "", 'Data Entry'!$¿$354)</f>
      </c>
      <c r="DX354">
        <f>IF(ISBLANK('Data Entry'!$À$354), "", 'Data Entry'!$À$354)</f>
      </c>
      <c r="DY354">
        <f>IF(ISBLANK('Data Entry'!$Á$354), "", 'Data Entry'!$Á$354)</f>
      </c>
      <c r="DZ354">
        <f>IF(ISBLANK('Data Entry'!$Â$354), "", 'Data Entry'!$Â$354)</f>
      </c>
      <c r="EA354">
        <f>IF(ISBLANK('Data Entry'!$Ã$354), "", 'Data Entry'!$Ã$354)</f>
      </c>
      <c r="EB354">
        <f>IF(ISBLANK('Data Entry'!$Ä$354), "", 'Data Entry'!$Ä$354)</f>
      </c>
      <c r="EC354">
        <f>IF(ISBLANK('Data Entry'!$Å$354), "", 'Data Entry'!$Å$354)</f>
      </c>
      <c r="ED354">
        <f>IF(ISBLANK('Data Entry'!$Æ$354), "", 'Data Entry'!$Æ$354)</f>
      </c>
      <c r="EE354">
        <f>IF(ISBLANK('Data Entry'!$Ç$354), "", 'Data Entry'!$Ç$354)</f>
      </c>
      <c r="EF354">
        <f>IF(ISBLANK('Data Entry'!$È$354), "", 'Data Entry'!$È$354)</f>
      </c>
      <c r="EG354">
        <f>IF(ISBLANK('Data Entry'!$É$354), "", 'Data Entry'!$É$354)</f>
      </c>
      <c r="EH354">
        <f>IF(ISBLANK('Data Entry'!$Ê$354), "", 'Data Entry'!$Ê$354)</f>
      </c>
      <c r="EI354">
        <f>IF(ISBLANK('Data Entry'!$Ë$354), "", 'Data Entry'!$Ë$354)</f>
      </c>
      <c r="EJ354">
        <f>IF(ISBLANK('Data Entry'!$Ì$354), "", 'Data Entry'!$Ì$354)</f>
      </c>
      <c r="EK354">
        <f>IF(ISBLANK('Data Entry'!$Í$354), "", 'Data Entry'!$Í$354)</f>
      </c>
      <c r="EL354">
        <f>IF(ISBLANK('Data Entry'!$Î$354), "", 'Data Entry'!$Î$354)</f>
      </c>
      <c r="EM354">
        <f>IF(ISBLANK('Data Entry'!$Ï$354), "", 'Data Entry'!$Ï$354)</f>
      </c>
      <c r="EN354">
        <f>IF(ISBLANK('Data Entry'!$Ð$354), "", 'Data Entry'!$Ð$354)</f>
      </c>
      <c r="EO354">
        <f>IF(ISBLANK('Data Entry'!$Ñ$354), "", 'Data Entry'!$Ñ$354)</f>
      </c>
      <c r="EP354">
        <f>IF(ISBLANK('Data Entry'!$Ò$354), "", 'Data Entry'!$Ò$354)</f>
      </c>
      <c r="EQ354">
        <f>IF(ISBLANK('Data Entry'!$Ó$354), "", 'Data Entry'!$Ó$354)</f>
      </c>
      <c r="ER354">
        <f>IF(ISBLANK('Data Entry'!$Ô$354), "", 'Data Entry'!$Ô$354)</f>
      </c>
      <c r="ES354">
        <f>IF(ISBLANK('Data Entry'!$Õ$354), "", 'Data Entry'!$Õ$354)</f>
      </c>
      <c r="ET354">
        <f>IF(ISBLANK('Data Entry'!$Ö$354), "", 'Data Entry'!$Ö$354)</f>
      </c>
      <c r="EU354">
        <f>IF(ISBLANK('Data Entry'!$×$354), "", 'Data Entry'!$×$354)</f>
      </c>
      <c r="EV354">
        <f>IF(ISBLANK('Data Entry'!$Ø$354), "", 'Data Entry'!$Ø$354)</f>
      </c>
      <c r="EW354">
        <f>IF(ISBLANK('Data Entry'!$Ù$354), "", 'Data Entry'!$Ù$354)</f>
      </c>
      <c r="EX354">
        <f>IF(ISBLANK('Data Entry'!$Ú$354), "", 'Data Entry'!$Ú$354)</f>
      </c>
      <c r="EY354">
        <f>IF(ISBLANK('Data Entry'!$Û$354), "", 'Data Entry'!$Û$354)</f>
      </c>
      <c r="EZ354">
        <f>IF(ISBLANK('Data Entry'!$Ü$354), "", 'Data Entry'!$Ü$354)</f>
      </c>
      <c r="FA354">
        <f>IF(ISBLANK('Data Entry'!$Ý$354), "", 'Data Entry'!$Ý$354)</f>
      </c>
      <c r="FB354">
        <f>IF(ISBLANK('Data Entry'!$Þ$354), "", 'Data Entry'!$Þ$354)</f>
      </c>
      <c r="FC354">
        <f>IF(ISBLANK('Data Entry'!$ß$354), "", 'Data Entry'!$ß$354)</f>
      </c>
      <c r="FD354">
        <f>IF(ISBLANK('Data Entry'!$à$354), "", 'Data Entry'!$à$354)</f>
      </c>
      <c r="FE354">
        <f>IF(ISBLANK('Data Entry'!$á$354), "", 'Data Entry'!$á$354)</f>
      </c>
      <c r="FF354">
        <f>IF(ISBLANK('Data Entry'!$â$354), "", 'Data Entry'!$â$354)</f>
      </c>
      <c r="FG354">
        <f>IF(ISBLANK('Data Entry'!$ã$354), "", 'Data Entry'!$ã$354)</f>
      </c>
      <c r="FH354">
        <f>IF(ISBLANK('Data Entry'!$ä$354), "", 'Data Entry'!$ä$354)</f>
      </c>
      <c r="FI354">
        <f>IF(ISBLANK('Data Entry'!$å$354), "", 'Data Entry'!$å$354)</f>
      </c>
      <c r="FJ354">
        <f>IF(ISBLANK('Data Entry'!$æ$354), "", 'Data Entry'!$æ$354)</f>
      </c>
      <c r="FK354">
        <f>IF(ISBLANK('Data Entry'!$ç$354), "", 'Data Entry'!$ç$354)</f>
      </c>
      <c r="FL354">
        <f>IF(ISBLANK('Data Entry'!$è$354), "", 'Data Entry'!$è$354)</f>
      </c>
      <c r="FM354">
        <f>IF(ISBLANK('Data Entry'!$é$354), "", 'Data Entry'!$é$354)</f>
      </c>
      <c r="FN354">
        <f>IF(ISBLANK('Data Entry'!$ê$354), "", 'Data Entry'!$ê$354)</f>
      </c>
      <c r="FO354">
        <f>IF(ISBLANK('Data Entry'!$ë$354), "", 'Data Entry'!$ë$354)</f>
      </c>
      <c r="FP354">
        <f>IF(ISBLANK('Data Entry'!$ì$354), "", 'Data Entry'!$ì$354)</f>
      </c>
      <c r="FQ354">
        <f>IF(ISBLANK('Data Entry'!$í$354), "", 'Data Entry'!$í$354)</f>
      </c>
      <c r="FR354">
        <f>IF(ISBLANK('Data Entry'!$î$354), "", 'Data Entry'!$î$354)</f>
      </c>
      <c r="FS354">
        <f>IF(ISBLANK('Data Entry'!$ï$354), "", 'Data Entry'!$ï$354)</f>
      </c>
      <c r="FT354">
        <f>IF(ISBLANK('Data Entry'!$ð$354), "", 'Data Entry'!$ð$354)</f>
      </c>
      <c r="FU354">
        <f>IF(ISBLANK('Data Entry'!$ñ$354), "", 'Data Entry'!$ñ$354)</f>
      </c>
      <c r="FV354">
        <f>IF(ISBLANK('Data Entry'!$ò$354), "", 'Data Entry'!$ò$354)</f>
      </c>
      <c r="FW354">
        <f>IF(ISBLANK('Data Entry'!$ó$354), "", 'Data Entry'!$ó$354)</f>
      </c>
      <c r="FX354">
        <f>IF(ISBLANK('Data Entry'!$ô$354), "", 'Data Entry'!$ô$354)</f>
      </c>
      <c r="FY354">
        <f>IF(ISBLANK('Data Entry'!$õ$354), "", 'Data Entry'!$õ$354)</f>
      </c>
      <c r="FZ354">
        <f>IF(ISBLANK('Data Entry'!$ö$354), "", 'Data Entry'!$ö$354)</f>
      </c>
      <c r="GA354">
        <f>IF(ISBLANK('Data Entry'!$÷$354), "", 'Data Entry'!$÷$354)</f>
      </c>
      <c r="GB354">
        <f>IF(ISBLANK('Data Entry'!$ø$354), "", 'Data Entry'!$ø$354)</f>
      </c>
      <c r="GC354">
        <f>IF(ISBLANK('Data Entry'!$ù$354), "", 'Data Entry'!$ù$354)</f>
      </c>
      <c r="GD354">
        <f>IF(ISBLANK('Data Entry'!$ú$354), "", 'Data Entry'!$ú$354)</f>
      </c>
      <c r="GE354">
        <f>IF(ISBLANK('Data Entry'!$û$354), "", 'Data Entry'!$û$354)</f>
      </c>
      <c r="GF354">
        <f>IF(ISBLANK('Data Entry'!$ü$354), "", 'Data Entry'!$ü$354)</f>
      </c>
      <c r="GG354">
        <f>IF(ISBLANK('Data Entry'!$ý$354), "", 'Data Entry'!$ý$354)</f>
      </c>
      <c r="GH354">
        <f>IF(ISBLANK('Data Entry'!$þ$354), "", 'Data Entry'!$þ$354)</f>
      </c>
      <c r="GI354">
        <f>IF(ISBLANK('Data Entry'!$ÿ$354), "", 'Data Entry'!$ÿ$354)</f>
      </c>
      <c r="GJ354">
        <f>IF(ISBLANK('Data Entry'!$Ā$354), "", 'Data Entry'!$Ā$354)</f>
      </c>
      <c r="GK354">
        <f>IF(ISBLANK('Data Entry'!$ā$354), "", 'Data Entry'!$ā$354)</f>
      </c>
      <c r="GL354">
        <f>IF(ISBLANK('Data Entry'!$Ă$354), "", 'Data Entry'!$Ă$354)</f>
      </c>
      <c r="GM354">
        <f>IF(ISBLANK('Data Entry'!$ă$354), "", 'Data Entry'!$ă$354)</f>
      </c>
      <c r="GN354">
        <f>IF(ISBLANK('Data Entry'!$Ą$354), "", 'Data Entry'!$Ą$354)</f>
      </c>
      <c r="GO354">
        <f>IF(ISBLANK('Data Entry'!$ą$354), "", 'Data Entry'!$ą$354)</f>
      </c>
      <c r="GP354">
        <f>IF(ISBLANK('Data Entry'!$Ć$354), "", 'Data Entry'!$Ć$354)</f>
      </c>
      <c r="GQ354">
        <f>IF(ISBLANK('Data Entry'!$ć$354), "", 'Data Entry'!$ć$354)</f>
      </c>
      <c r="GR354">
        <f>IF(ISBLANK('Data Entry'!$Ĉ$354), "", 'Data Entry'!$Ĉ$354)</f>
      </c>
      <c r="GS354">
        <f>IF(ISBLANK('Data Entry'!$ĉ$354), "", 'Data Entry'!$ĉ$354)</f>
      </c>
      <c r="GT354">
        <f>IF(ISBLANK('Data Entry'!$Ċ$354), "", 'Data Entry'!$Ċ$354)</f>
      </c>
      <c r="GU354">
        <f>IF(ISBLANK('Data Entry'!$ċ$354), "", 'Data Entry'!$ċ$354)</f>
      </c>
      <c r="GV354">
        <f>IF(ISBLANK('Data Entry'!$Č$354), "", 'Data Entry'!$Č$354)</f>
      </c>
      <c r="GW354">
        <f>IF(ISBLANK('Data Entry'!$č$354), "", 'Data Entry'!$č$354)</f>
      </c>
      <c r="GX354">
        <f>IF(ISBLANK('Data Entry'!$Ď$354), "", 'Data Entry'!$Ď$354)</f>
      </c>
      <c r="GY354">
        <f>IF(ISBLANK('Data Entry'!$ď$354), "", 'Data Entry'!$ď$354)</f>
      </c>
      <c r="GZ354">
        <f>IF(ISBLANK('Data Entry'!$Đ$354), "", 'Data Entry'!$Đ$354)</f>
      </c>
      <c r="HA354">
        <f>IF(ISBLANK('Data Entry'!$đ$354), "", 'Data Entry'!$đ$354)</f>
      </c>
      <c r="HB354">
        <f>IF(ISBLANK('Data Entry'!$Ē$354), "", 'Data Entry'!$Ē$354)</f>
      </c>
      <c r="HC354">
        <f>IF(ISBLANK('Data Entry'!$ē$354), "", 'Data Entry'!$ē$354)</f>
      </c>
      <c r="HD354">
        <f>IF(ISBLANK('Data Entry'!$Ĕ$354), "", 'Data Entry'!$Ĕ$354)</f>
      </c>
      <c r="HE354">
        <f>IF(ISBLANK('Data Entry'!$ĕ$354), "", 'Data Entry'!$ĕ$354)</f>
      </c>
      <c r="HF354">
        <f>IF(ISBLANK('Data Entry'!$Ė$354), "", 'Data Entry'!$Ė$354)</f>
      </c>
      <c r="HG354">
        <f>IF(ISBLANK('Data Entry'!$ė$354), "", 'Data Entry'!$ė$354)</f>
      </c>
      <c r="HH354">
        <f>IF(ISBLANK('Data Entry'!$Ę$354), "", 'Data Entry'!$Ę$354)</f>
      </c>
      <c r="HI354">
        <f>IF(ISBLANK('Data Entry'!$ę$354), "", 'Data Entry'!$ę$354)</f>
      </c>
      <c r="HJ354">
        <f>IF(ISBLANK('Data Entry'!$Ě$354), "", 'Data Entry'!$Ě$354)</f>
      </c>
      <c r="HK354">
        <f>IF(ISBLANK('Data Entry'!$ě$354), "", 'Data Entry'!$ě$354)</f>
      </c>
      <c r="HL354">
        <f>IF(ISBLANK('Data Entry'!$Ĝ$354), "", 'Data Entry'!$Ĝ$354)</f>
      </c>
      <c r="HM354">
        <f>IF(ISBLANK('Data Entry'!$ĝ$354), "", 'Data Entry'!$ĝ$354)</f>
      </c>
      <c r="HN354">
        <f>IF(ISBLANK('Data Entry'!$Ğ$354), "", 'Data Entry'!$Ğ$354)</f>
      </c>
      <c r="HO354">
        <f>IF(ISBLANK('Data Entry'!$ğ$354), "", 'Data Entry'!$ğ$354)</f>
      </c>
      <c r="HP354">
        <f>IF(ISBLANK('Data Entry'!$Ġ$354), "", 'Data Entry'!$Ġ$354)</f>
      </c>
      <c r="HQ354">
        <f>IF(ISBLANK('Data Entry'!$ġ$354), "", 'Data Entry'!$ġ$354)</f>
      </c>
      <c r="HR354">
        <f>IF(ISBLANK('Data Entry'!$Ģ$354), "", 'Data Entry'!$Ģ$354)</f>
      </c>
      <c r="HS354">
        <f>IF(ISBLANK('Data Entry'!$ģ$354), "", 'Data Entry'!$ģ$354)</f>
      </c>
      <c r="HT354">
        <f>IF(ISBLANK('Data Entry'!$Ĥ$354), "", 'Data Entry'!$Ĥ$354)</f>
      </c>
      <c r="HU354">
        <f>IF(ISBLANK('Data Entry'!$ĥ$354), "", 'Data Entry'!$ĥ$354)</f>
      </c>
      <c r="HV354">
        <f>IF(ISBLANK('Data Entry'!$Ħ$354), "", 'Data Entry'!$Ħ$354)</f>
      </c>
      <c r="HW354">
        <f>IF(ISBLANK('Data Entry'!$ħ$354), "", 'Data Entry'!$ħ$354)</f>
      </c>
      <c r="HX354">
        <f>IF(ISBLANK('Data Entry'!$Ĩ$354), "", 'Data Entry'!$Ĩ$354)</f>
      </c>
      <c r="HY354">
        <f>IF(ISBLANK('Data Entry'!$ĩ$354), "", 'Data Entry'!$ĩ$354)</f>
      </c>
      <c r="HZ354">
        <f>IF(ISBLANK('Data Entry'!$Ī$354), "", 'Data Entry'!$Ī$354)</f>
      </c>
      <c r="IA354">
        <f>IF(ISBLANK('Data Entry'!$ī$354), "", 'Data Entry'!$ī$354)</f>
      </c>
      <c r="IB354">
        <f>IF(ISBLANK('Data Entry'!$Ĭ$354), "", 'Data Entry'!$Ĭ$354)</f>
      </c>
      <c r="IC354">
        <f>IF(ISBLANK('Data Entry'!$ĭ$354), "", 'Data Entry'!$ĭ$354)</f>
      </c>
      <c r="ID354">
        <f>IF(ISBLANK('Data Entry'!$Į$354), "", 'Data Entry'!$Į$354)</f>
      </c>
      <c r="IE354">
        <f>IF(ISBLANK('Data Entry'!$į$354), "", 'Data Entry'!$į$354)</f>
      </c>
      <c r="IF354">
        <f>IF(ISBLANK('Data Entry'!$İ$354), "", 'Data Entry'!$İ$354)</f>
      </c>
      <c r="IG354">
        <f>IF(ISBLANK('Data Entry'!$ı$354), "", 'Data Entry'!$ı$354)</f>
      </c>
      <c r="IH354">
        <f>IF(ISBLANK('Data Entry'!$Ĳ$354), "", 'Data Entry'!$Ĳ$354)</f>
      </c>
      <c r="II354">
        <f>IF(ISBLANK('Data Entry'!$ĳ$354), "", 'Data Entry'!$ĳ$354)</f>
      </c>
      <c r="IJ354">
        <f>IF(ISBLANK('Data Entry'!$Ĵ$354), "", 'Data Entry'!$Ĵ$354)</f>
      </c>
      <c r="IK354">
        <f>IF(ISBLANK('Data Entry'!$ĵ$354), "", 'Data Entry'!$ĵ$354)</f>
      </c>
      <c r="IL354">
        <f>IF(ISBLANK('Data Entry'!$Ķ$354), "", 'Data Entry'!$Ķ$354)</f>
      </c>
      <c r="IM354">
        <f>IF(ISBLANK('Data Entry'!$ķ$354), "", 'Data Entry'!$ķ$354)</f>
      </c>
      <c r="IN354">
        <f>IF(ISBLANK('Data Entry'!$ĸ$354), "", 'Data Entry'!$ĸ$354)</f>
      </c>
      <c r="IO354">
        <f>IF(ISBLANK('Data Entry'!$Ĺ$354), "", 'Data Entry'!$Ĺ$354)</f>
      </c>
      <c r="IP354">
        <f>IF(ISBLANK('Data Entry'!$ĺ$354), "", 'Data Entry'!$ĺ$354)</f>
      </c>
      <c r="IQ354">
        <f>IF(ISBLANK('Data Entry'!$Ļ$354), "", 'Data Entry'!$Ļ$354)</f>
      </c>
      <c r="IR354">
        <f>IF(ISBLANK('Data Entry'!$ļ$354), "", 'Data Entry'!$ļ$354)</f>
      </c>
      <c r="IS354">
        <f>IF(ISBLANK('Data Entry'!$Ľ$354), "", 'Data Entry'!$Ľ$354)</f>
      </c>
      <c r="IT354">
        <f>IF(ISBLANK('Data Entry'!$ľ$354), "", 'Data Entry'!$ľ$354)</f>
      </c>
    </row>
    <row r="355" spans="1:254" x14ac:dyDescent="0.25">
      <c r="A355">
        <f>IF(ISBLANK('Data Entry'!$A$355), "", 'Data Entry'!$A$355)</f>
      </c>
      <c r="B355">
        <f>IF(ISBLANK('Data Entry'!$B$355), "", 'Data Entry'!$B$355)</f>
      </c>
      <c r="C355">
        <f>IF(ISBLANK('Data Entry'!$C$355), "", 'Data Entry'!$C$355)</f>
      </c>
      <c r="D355">
        <f>IF(ISBLANK('Data Entry'!$D$355), "", 'Data Entry'!$D$355)</f>
      </c>
      <c r="E355">
        <f>IF(ISBLANK('Data Entry'!$E$355), "", 'Data Entry'!$E$355)</f>
      </c>
      <c r="F355">
        <f>IF(ISBLANK('Data Entry'!$F$355), "", 'Data Entry'!$F$355)</f>
      </c>
      <c r="G355">
        <f>IF(ISBLANK('Data Entry'!$G$355), "", 'Data Entry'!$G$355)</f>
      </c>
      <c r="H355">
        <f>IF(ISBLANK('Data Entry'!$H$355), "", 'Data Entry'!$H$355)</f>
      </c>
      <c r="I355">
        <f>IF(ISBLANK('Data Entry'!$I$355), "", 'Data Entry'!$I$355)</f>
      </c>
      <c r="J355">
        <f>IF(ISBLANK('Data Entry'!$J$355), "", 'Data Entry'!$J$355)</f>
      </c>
      <c r="K355">
        <f>IF(ISBLANK('Data Entry'!$K$355), "", 'Data Entry'!$K$355)</f>
      </c>
      <c r="L355">
        <f>IF(ISBLANK('Data Entry'!$L$355), "", 'Data Entry'!$L$355)</f>
      </c>
      <c r="M355">
        <f>IF(ISBLANK('Data Entry'!$M$355), "", 'Data Entry'!$M$355)</f>
      </c>
      <c r="N355">
        <f>IF(ISBLANK('Data Entry'!$N$355), "", 'Data Entry'!$N$355)</f>
      </c>
      <c r="O355">
        <f>IF(ISBLANK('Data Entry'!$O$355), "", 'Data Entry'!$O$355)</f>
      </c>
      <c r="P355">
        <f>IF(ISBLANK('Data Entry'!$P$355), "", 'Data Entry'!$P$355)</f>
      </c>
      <c r="Q355">
        <f>IF(ISBLANK('Data Entry'!$Q$355), "", 'Data Entry'!$Q$355)</f>
      </c>
      <c r="R355">
        <f>IF(ISBLANK('Data Entry'!$R$355), "", 'Data Entry'!$R$355)</f>
      </c>
      <c r="S355">
        <f>IF(ISBLANK('Data Entry'!$S$355), "", 'Data Entry'!$S$355)</f>
      </c>
      <c r="T355">
        <f>IF(ISBLANK('Data Entry'!$T$355), "", 'Data Entry'!$T$355)</f>
      </c>
      <c r="U355">
        <f>IF(ISBLANK('Data Entry'!$U$355), "", 'Data Entry'!$U$355)</f>
      </c>
      <c r="V355">
        <f>IF(ISBLANK('Data Entry'!$V$355), "", 'Data Entry'!$V$355)</f>
      </c>
      <c r="W355">
        <f>IF(ISBLANK('Data Entry'!$W$355), "", 'Data Entry'!$W$355)</f>
      </c>
      <c r="X355">
        <f>IF(ISBLANK('Data Entry'!$X$355), "", 'Data Entry'!$X$355)</f>
      </c>
      <c r="Y355">
        <f>IF(ISBLANK('Data Entry'!$Y$355), "", 'Data Entry'!$Y$355)</f>
      </c>
      <c r="Z355">
        <f>IF(ISBLANK('Data Entry'!$Z$355), "", 'Data Entry'!$Z$355)</f>
      </c>
      <c r="AA355">
        <f>IF(ISBLANK('Data Entry'!$[$355), "", 'Data Entry'!$[$355)</f>
      </c>
      <c r="AB355">
        <f>IF(ISBLANK('Data Entry'!$\$355), "", 'Data Entry'!$\$355)</f>
      </c>
      <c r="AC355">
        <f>IF(ISBLANK('Data Entry'!$]$355), "", 'Data Entry'!$]$355)</f>
      </c>
      <c r="AD355">
        <f>IF(ISBLANK('Data Entry'!$^$355), "", 'Data Entry'!$^$355)</f>
      </c>
      <c r="AE355">
        <f>IF(ISBLANK('Data Entry'!$_$355), "", 'Data Entry'!$_$355)</f>
      </c>
      <c r="AF355">
        <f>IF(ISBLANK('Data Entry'!$`$355), "", 'Data Entry'!$`$355)</f>
      </c>
      <c r="AG355">
        <f>IF(ISBLANK('Data Entry'!$a$355), "", 'Data Entry'!$a$355)</f>
      </c>
      <c r="AH355">
        <f>IF(ISBLANK('Data Entry'!$b$355), "", 'Data Entry'!$b$355)</f>
      </c>
      <c r="AI355">
        <f>IF(ISBLANK('Data Entry'!$c$355), "", 'Data Entry'!$c$355)</f>
      </c>
      <c r="AJ355">
        <f>IF(ISBLANK('Data Entry'!$d$355), "", 'Data Entry'!$d$355)</f>
      </c>
      <c r="AK355">
        <f>IF(ISBLANK('Data Entry'!$e$355), "", 'Data Entry'!$e$355)</f>
      </c>
      <c r="AL355">
        <f>IF(ISBLANK('Data Entry'!$f$355), "", 'Data Entry'!$f$355)</f>
      </c>
      <c r="AM355">
        <f>IF(ISBLANK('Data Entry'!$g$355), "", 'Data Entry'!$g$355)</f>
      </c>
      <c r="AN355">
        <f>IF(ISBLANK('Data Entry'!$h$355), "", 'Data Entry'!$h$355)</f>
      </c>
      <c r="AO355">
        <f>IF(ISBLANK('Data Entry'!$i$355), "", 'Data Entry'!$i$355)</f>
      </c>
      <c r="AP355">
        <f>IF(ISBLANK('Data Entry'!$j$355), "", 'Data Entry'!$j$355)</f>
      </c>
      <c r="AQ355">
        <f>IF(ISBLANK('Data Entry'!$k$355), "", 'Data Entry'!$k$355)</f>
      </c>
      <c r="AR355">
        <f>IF(ISBLANK('Data Entry'!$l$355), "", 'Data Entry'!$l$355)</f>
      </c>
      <c r="AS355">
        <f>IF(ISBLANK('Data Entry'!$m$355), "", 'Data Entry'!$m$355)</f>
      </c>
      <c r="AT355">
        <f>IF(ISBLANK('Data Entry'!$n$355), "", 'Data Entry'!$n$355)</f>
      </c>
      <c r="AU355">
        <f>IF(ISBLANK('Data Entry'!$o$355), "", 'Data Entry'!$o$355)</f>
      </c>
      <c r="AV355">
        <f>IF(ISBLANK('Data Entry'!$p$355), "", 'Data Entry'!$p$355)</f>
      </c>
      <c r="AW355">
        <f>IF(ISBLANK('Data Entry'!$q$355), "", 'Data Entry'!$q$355)</f>
      </c>
      <c r="AX355">
        <f>IF(ISBLANK('Data Entry'!$r$355), "", 'Data Entry'!$r$355)</f>
      </c>
      <c r="AY355">
        <f>IF(ISBLANK('Data Entry'!$s$355), "", 'Data Entry'!$s$355)</f>
      </c>
      <c r="AZ355">
        <f>IF(ISBLANK('Data Entry'!$t$355), "", 'Data Entry'!$t$355)</f>
      </c>
      <c r="BA355">
        <f>IF(ISBLANK('Data Entry'!$u$355), "", 'Data Entry'!$u$355)</f>
      </c>
      <c r="BB355">
        <f>IF(ISBLANK('Data Entry'!$v$355), "", 'Data Entry'!$v$355)</f>
      </c>
      <c r="BC355">
        <f>IF(ISBLANK('Data Entry'!$w$355), "", 'Data Entry'!$w$355)</f>
      </c>
      <c r="BD355">
        <f>IF(ISBLANK('Data Entry'!$x$355), "", 'Data Entry'!$x$355)</f>
      </c>
      <c r="BE355">
        <f>IF(ISBLANK('Data Entry'!$y$355), "", 'Data Entry'!$y$355)</f>
      </c>
      <c r="BF355">
        <f>IF(ISBLANK('Data Entry'!$z$355), "", 'Data Entry'!$z$355)</f>
      </c>
      <c r="BG355">
        <f>IF(ISBLANK('Data Entry'!${$355), "", 'Data Entry'!${$355)</f>
      </c>
      <c r="BH355">
        <f>IF(ISBLANK('Data Entry'!$|$355), "", 'Data Entry'!$|$355)</f>
      </c>
      <c r="BI355">
        <f>IF(ISBLANK('Data Entry'!$}$355), "", 'Data Entry'!$}$355)</f>
      </c>
      <c r="BJ355">
        <f>IF(ISBLANK('Data Entry'!$~$355), "", 'Data Entry'!$~$355)</f>
      </c>
      <c r="BK355">
        <f>IF(ISBLANK('Data Entry'!$$355), "", 'Data Entry'!$$355)</f>
      </c>
      <c r="BL355">
        <f>IF(ISBLANK('Data Entry'!$$355), "", 'Data Entry'!$$355)</f>
      </c>
      <c r="BM355">
        <f>IF(ISBLANK('Data Entry'!$$355), "", 'Data Entry'!$$355)</f>
      </c>
      <c r="BN355">
        <f>IF(ISBLANK('Data Entry'!$$355), "", 'Data Entry'!$$355)</f>
      </c>
      <c r="BO355">
        <f>IF(ISBLANK('Data Entry'!$$355), "", 'Data Entry'!$$355)</f>
      </c>
      <c r="BP355">
        <f>IF(ISBLANK('Data Entry'!$$355), "", 'Data Entry'!$$355)</f>
      </c>
      <c r="BQ355">
        <f>IF(ISBLANK('Data Entry'!$$355), "", 'Data Entry'!$$355)</f>
      </c>
      <c r="BR355">
        <f>IF(ISBLANK('Data Entry'!$$355), "", 'Data Entry'!$$355)</f>
      </c>
      <c r="BS355">
        <f>IF(ISBLANK('Data Entry'!$$355), "", 'Data Entry'!$$355)</f>
      </c>
      <c r="BT355">
        <f>IF(ISBLANK('Data Entry'!$$355), "", 'Data Entry'!$$355)</f>
      </c>
      <c r="BU355">
        <f>IF(ISBLANK('Data Entry'!$$355), "", 'Data Entry'!$$355)</f>
      </c>
      <c r="BV355">
        <f>IF(ISBLANK('Data Entry'!$$355), "", 'Data Entry'!$$355)</f>
      </c>
      <c r="BW355">
        <f>IF(ISBLANK('Data Entry'!$$355), "", 'Data Entry'!$$355)</f>
      </c>
      <c r="BX355">
        <f>IF(ISBLANK('Data Entry'!$$355), "", 'Data Entry'!$$355)</f>
      </c>
      <c r="BY355">
        <f>IF(ISBLANK('Data Entry'!$$355), "", 'Data Entry'!$$355)</f>
      </c>
      <c r="BZ355">
        <f>IF(ISBLANK('Data Entry'!$$355), "", 'Data Entry'!$$355)</f>
      </c>
      <c r="CA355">
        <f>IF(ISBLANK('Data Entry'!$$355), "", 'Data Entry'!$$355)</f>
      </c>
      <c r="CB355">
        <f>IF(ISBLANK('Data Entry'!$$355), "", 'Data Entry'!$$355)</f>
      </c>
      <c r="CC355">
        <f>IF(ISBLANK('Data Entry'!$$355), "", 'Data Entry'!$$355)</f>
      </c>
      <c r="CD355">
        <f>IF(ISBLANK('Data Entry'!$$355), "", 'Data Entry'!$$355)</f>
      </c>
      <c r="CE355">
        <f>IF(ISBLANK('Data Entry'!$$355), "", 'Data Entry'!$$355)</f>
      </c>
      <c r="CF355">
        <f>IF(ISBLANK('Data Entry'!$$355), "", 'Data Entry'!$$355)</f>
      </c>
      <c r="CG355">
        <f>IF(ISBLANK('Data Entry'!$$355), "", 'Data Entry'!$$355)</f>
      </c>
      <c r="CH355">
        <f>IF(ISBLANK('Data Entry'!$$355), "", 'Data Entry'!$$355)</f>
      </c>
      <c r="CI355">
        <f>IF(ISBLANK('Data Entry'!$$355), "", 'Data Entry'!$$355)</f>
      </c>
      <c r="CJ355">
        <f>IF(ISBLANK('Data Entry'!$$355), "", 'Data Entry'!$$355)</f>
      </c>
      <c r="CK355">
        <f>IF(ISBLANK('Data Entry'!$$355), "", 'Data Entry'!$$355)</f>
      </c>
      <c r="CL355">
        <f>IF(ISBLANK('Data Entry'!$$355), "", 'Data Entry'!$$355)</f>
      </c>
      <c r="CM355">
        <f>IF(ISBLANK('Data Entry'!$$355), "", 'Data Entry'!$$355)</f>
      </c>
      <c r="CN355">
        <f>IF(ISBLANK('Data Entry'!$$355), "", 'Data Entry'!$$355)</f>
      </c>
      <c r="CO355">
        <f>IF(ISBLANK('Data Entry'!$$355), "", 'Data Entry'!$$355)</f>
      </c>
      <c r="CP355">
        <f>IF(ISBLANK('Data Entry'!$$355), "", 'Data Entry'!$$355)</f>
      </c>
      <c r="CQ355">
        <f>IF(ISBLANK('Data Entry'!$$355), "", 'Data Entry'!$$355)</f>
      </c>
      <c r="CR355">
        <f>IF(ISBLANK('Data Entry'!$ $355), "", 'Data Entry'!$ $355)</f>
      </c>
      <c r="CS355">
        <f>IF(ISBLANK('Data Entry'!$¡$355), "", 'Data Entry'!$¡$355)</f>
      </c>
      <c r="CT355">
        <f>IF(ISBLANK('Data Entry'!$¢$355), "", 'Data Entry'!$¢$355)</f>
      </c>
      <c r="CU355">
        <f>IF(ISBLANK('Data Entry'!$£$355), "", 'Data Entry'!$£$355)</f>
      </c>
      <c r="CV355">
        <f>IF(ISBLANK('Data Entry'!$¤$355), "", 'Data Entry'!$¤$355)</f>
      </c>
      <c r="CW355">
        <f>IF(ISBLANK('Data Entry'!$¥$355), "", 'Data Entry'!$¥$355)</f>
      </c>
      <c r="CX355">
        <f>IF(ISBLANK('Data Entry'!$¦$355), "", 'Data Entry'!$¦$355)</f>
      </c>
      <c r="CY355">
        <f>IF(ISBLANK('Data Entry'!$§$355), "", 'Data Entry'!$§$355)</f>
      </c>
      <c r="CZ355">
        <f>IF(ISBLANK('Data Entry'!$¨$355), "", 'Data Entry'!$¨$355)</f>
      </c>
      <c r="DA355">
        <f>IF(ISBLANK('Data Entry'!$©$355), "", 'Data Entry'!$©$355)</f>
      </c>
      <c r="DB355">
        <f>IF(ISBLANK('Data Entry'!$ª$355), "", 'Data Entry'!$ª$355)</f>
      </c>
      <c r="DC355">
        <f>IF(ISBLANK('Data Entry'!$«$355), "", 'Data Entry'!$«$355)</f>
      </c>
      <c r="DD355">
        <f>IF(ISBLANK('Data Entry'!$¬$355), "", 'Data Entry'!$¬$355)</f>
      </c>
      <c r="DE355">
        <f>IF(ISBLANK('Data Entry'!$­$355), "", 'Data Entry'!$­$355)</f>
      </c>
      <c r="DF355">
        <f>IF(ISBLANK('Data Entry'!$®$355), "", 'Data Entry'!$®$355)</f>
      </c>
      <c r="DG355">
        <f>IF(ISBLANK('Data Entry'!$¯$355), "", 'Data Entry'!$¯$355)</f>
      </c>
      <c r="DH355">
        <f>IF(ISBLANK('Data Entry'!$°$355), "", 'Data Entry'!$°$355)</f>
      </c>
      <c r="DI355">
        <f>IF(ISBLANK('Data Entry'!$±$355), "", 'Data Entry'!$±$355)</f>
      </c>
      <c r="DJ355">
        <f>IF(ISBLANK('Data Entry'!$²$355), "", 'Data Entry'!$²$355)</f>
      </c>
      <c r="DK355">
        <f>IF(ISBLANK('Data Entry'!$³$355), "", 'Data Entry'!$³$355)</f>
      </c>
      <c r="DL355">
        <f>IF(ISBLANK('Data Entry'!$´$355), "", 'Data Entry'!$´$355)</f>
      </c>
      <c r="DM355">
        <f>IF(ISBLANK('Data Entry'!$µ$355), "", 'Data Entry'!$µ$355)</f>
      </c>
      <c r="DN355">
        <f>IF(ISBLANK('Data Entry'!$¶$355), "", 'Data Entry'!$¶$355)</f>
      </c>
      <c r="DO355">
        <f>IF(ISBLANK('Data Entry'!$·$355), "", 'Data Entry'!$·$355)</f>
      </c>
      <c r="DP355">
        <f>IF(ISBLANK('Data Entry'!$¸$355), "", 'Data Entry'!$¸$355)</f>
      </c>
      <c r="DQ355">
        <f>IF(ISBLANK('Data Entry'!$¹$355), "", 'Data Entry'!$¹$355)</f>
      </c>
      <c r="DR355">
        <f>IF(ISBLANK('Data Entry'!$º$355), "", 'Data Entry'!$º$355)</f>
      </c>
      <c r="DS355">
        <f>IF(ISBLANK('Data Entry'!$»$355), "", 'Data Entry'!$»$355)</f>
      </c>
      <c r="DT355">
        <f>IF(ISBLANK('Data Entry'!$¼$355), "", 'Data Entry'!$¼$355)</f>
      </c>
      <c r="DU355">
        <f>IF(ISBLANK('Data Entry'!$½$355), "", 'Data Entry'!$½$355)</f>
      </c>
      <c r="DV355">
        <f>IF(ISBLANK('Data Entry'!$¾$355), "", 'Data Entry'!$¾$355)</f>
      </c>
      <c r="DW355">
        <f>IF(ISBLANK('Data Entry'!$¿$355), "", 'Data Entry'!$¿$355)</f>
      </c>
      <c r="DX355">
        <f>IF(ISBLANK('Data Entry'!$À$355), "", 'Data Entry'!$À$355)</f>
      </c>
      <c r="DY355">
        <f>IF(ISBLANK('Data Entry'!$Á$355), "", 'Data Entry'!$Á$355)</f>
      </c>
      <c r="DZ355">
        <f>IF(ISBLANK('Data Entry'!$Â$355), "", 'Data Entry'!$Â$355)</f>
      </c>
      <c r="EA355">
        <f>IF(ISBLANK('Data Entry'!$Ã$355), "", 'Data Entry'!$Ã$355)</f>
      </c>
      <c r="EB355">
        <f>IF(ISBLANK('Data Entry'!$Ä$355), "", 'Data Entry'!$Ä$355)</f>
      </c>
      <c r="EC355">
        <f>IF(ISBLANK('Data Entry'!$Å$355), "", 'Data Entry'!$Å$355)</f>
      </c>
      <c r="ED355">
        <f>IF(ISBLANK('Data Entry'!$Æ$355), "", 'Data Entry'!$Æ$355)</f>
      </c>
      <c r="EE355">
        <f>IF(ISBLANK('Data Entry'!$Ç$355), "", 'Data Entry'!$Ç$355)</f>
      </c>
      <c r="EF355">
        <f>IF(ISBLANK('Data Entry'!$È$355), "", 'Data Entry'!$È$355)</f>
      </c>
      <c r="EG355">
        <f>IF(ISBLANK('Data Entry'!$É$355), "", 'Data Entry'!$É$355)</f>
      </c>
      <c r="EH355">
        <f>IF(ISBLANK('Data Entry'!$Ê$355), "", 'Data Entry'!$Ê$355)</f>
      </c>
      <c r="EI355">
        <f>IF(ISBLANK('Data Entry'!$Ë$355), "", 'Data Entry'!$Ë$355)</f>
      </c>
      <c r="EJ355">
        <f>IF(ISBLANK('Data Entry'!$Ì$355), "", 'Data Entry'!$Ì$355)</f>
      </c>
      <c r="EK355">
        <f>IF(ISBLANK('Data Entry'!$Í$355), "", 'Data Entry'!$Í$355)</f>
      </c>
      <c r="EL355">
        <f>IF(ISBLANK('Data Entry'!$Î$355), "", 'Data Entry'!$Î$355)</f>
      </c>
      <c r="EM355">
        <f>IF(ISBLANK('Data Entry'!$Ï$355), "", 'Data Entry'!$Ï$355)</f>
      </c>
      <c r="EN355">
        <f>IF(ISBLANK('Data Entry'!$Ð$355), "", 'Data Entry'!$Ð$355)</f>
      </c>
      <c r="EO355">
        <f>IF(ISBLANK('Data Entry'!$Ñ$355), "", 'Data Entry'!$Ñ$355)</f>
      </c>
      <c r="EP355">
        <f>IF(ISBLANK('Data Entry'!$Ò$355), "", 'Data Entry'!$Ò$355)</f>
      </c>
      <c r="EQ355">
        <f>IF(ISBLANK('Data Entry'!$Ó$355), "", 'Data Entry'!$Ó$355)</f>
      </c>
      <c r="ER355">
        <f>IF(ISBLANK('Data Entry'!$Ô$355), "", 'Data Entry'!$Ô$355)</f>
      </c>
      <c r="ES355">
        <f>IF(ISBLANK('Data Entry'!$Õ$355), "", 'Data Entry'!$Õ$355)</f>
      </c>
      <c r="ET355">
        <f>IF(ISBLANK('Data Entry'!$Ö$355), "", 'Data Entry'!$Ö$355)</f>
      </c>
      <c r="EU355">
        <f>IF(ISBLANK('Data Entry'!$×$355), "", 'Data Entry'!$×$355)</f>
      </c>
      <c r="EV355">
        <f>IF(ISBLANK('Data Entry'!$Ø$355), "", 'Data Entry'!$Ø$355)</f>
      </c>
      <c r="EW355">
        <f>IF(ISBLANK('Data Entry'!$Ù$355), "", 'Data Entry'!$Ù$355)</f>
      </c>
      <c r="EX355">
        <f>IF(ISBLANK('Data Entry'!$Ú$355), "", 'Data Entry'!$Ú$355)</f>
      </c>
      <c r="EY355">
        <f>IF(ISBLANK('Data Entry'!$Û$355), "", 'Data Entry'!$Û$355)</f>
      </c>
      <c r="EZ355">
        <f>IF(ISBLANK('Data Entry'!$Ü$355), "", 'Data Entry'!$Ü$355)</f>
      </c>
      <c r="FA355">
        <f>IF(ISBLANK('Data Entry'!$Ý$355), "", 'Data Entry'!$Ý$355)</f>
      </c>
      <c r="FB355">
        <f>IF(ISBLANK('Data Entry'!$Þ$355), "", 'Data Entry'!$Þ$355)</f>
      </c>
      <c r="FC355">
        <f>IF(ISBLANK('Data Entry'!$ß$355), "", 'Data Entry'!$ß$355)</f>
      </c>
      <c r="FD355">
        <f>IF(ISBLANK('Data Entry'!$à$355), "", 'Data Entry'!$à$355)</f>
      </c>
      <c r="FE355">
        <f>IF(ISBLANK('Data Entry'!$á$355), "", 'Data Entry'!$á$355)</f>
      </c>
      <c r="FF355">
        <f>IF(ISBLANK('Data Entry'!$â$355), "", 'Data Entry'!$â$355)</f>
      </c>
      <c r="FG355">
        <f>IF(ISBLANK('Data Entry'!$ã$355), "", 'Data Entry'!$ã$355)</f>
      </c>
      <c r="FH355">
        <f>IF(ISBLANK('Data Entry'!$ä$355), "", 'Data Entry'!$ä$355)</f>
      </c>
      <c r="FI355">
        <f>IF(ISBLANK('Data Entry'!$å$355), "", 'Data Entry'!$å$355)</f>
      </c>
      <c r="FJ355">
        <f>IF(ISBLANK('Data Entry'!$æ$355), "", 'Data Entry'!$æ$355)</f>
      </c>
      <c r="FK355">
        <f>IF(ISBLANK('Data Entry'!$ç$355), "", 'Data Entry'!$ç$355)</f>
      </c>
      <c r="FL355">
        <f>IF(ISBLANK('Data Entry'!$è$355), "", 'Data Entry'!$è$355)</f>
      </c>
      <c r="FM355">
        <f>IF(ISBLANK('Data Entry'!$é$355), "", 'Data Entry'!$é$355)</f>
      </c>
      <c r="FN355">
        <f>IF(ISBLANK('Data Entry'!$ê$355), "", 'Data Entry'!$ê$355)</f>
      </c>
      <c r="FO355">
        <f>IF(ISBLANK('Data Entry'!$ë$355), "", 'Data Entry'!$ë$355)</f>
      </c>
      <c r="FP355">
        <f>IF(ISBLANK('Data Entry'!$ì$355), "", 'Data Entry'!$ì$355)</f>
      </c>
      <c r="FQ355">
        <f>IF(ISBLANK('Data Entry'!$í$355), "", 'Data Entry'!$í$355)</f>
      </c>
      <c r="FR355">
        <f>IF(ISBLANK('Data Entry'!$î$355), "", 'Data Entry'!$î$355)</f>
      </c>
      <c r="FS355">
        <f>IF(ISBLANK('Data Entry'!$ï$355), "", 'Data Entry'!$ï$355)</f>
      </c>
      <c r="FT355">
        <f>IF(ISBLANK('Data Entry'!$ð$355), "", 'Data Entry'!$ð$355)</f>
      </c>
      <c r="FU355">
        <f>IF(ISBLANK('Data Entry'!$ñ$355), "", 'Data Entry'!$ñ$355)</f>
      </c>
      <c r="FV355">
        <f>IF(ISBLANK('Data Entry'!$ò$355), "", 'Data Entry'!$ò$355)</f>
      </c>
      <c r="FW355">
        <f>IF(ISBLANK('Data Entry'!$ó$355), "", 'Data Entry'!$ó$355)</f>
      </c>
      <c r="FX355">
        <f>IF(ISBLANK('Data Entry'!$ô$355), "", 'Data Entry'!$ô$355)</f>
      </c>
      <c r="FY355">
        <f>IF(ISBLANK('Data Entry'!$õ$355), "", 'Data Entry'!$õ$355)</f>
      </c>
      <c r="FZ355">
        <f>IF(ISBLANK('Data Entry'!$ö$355), "", 'Data Entry'!$ö$355)</f>
      </c>
      <c r="GA355">
        <f>IF(ISBLANK('Data Entry'!$÷$355), "", 'Data Entry'!$÷$355)</f>
      </c>
      <c r="GB355">
        <f>IF(ISBLANK('Data Entry'!$ø$355), "", 'Data Entry'!$ø$355)</f>
      </c>
      <c r="GC355">
        <f>IF(ISBLANK('Data Entry'!$ù$355), "", 'Data Entry'!$ù$355)</f>
      </c>
      <c r="GD355">
        <f>IF(ISBLANK('Data Entry'!$ú$355), "", 'Data Entry'!$ú$355)</f>
      </c>
      <c r="GE355">
        <f>IF(ISBLANK('Data Entry'!$û$355), "", 'Data Entry'!$û$355)</f>
      </c>
      <c r="GF355">
        <f>IF(ISBLANK('Data Entry'!$ü$355), "", 'Data Entry'!$ü$355)</f>
      </c>
      <c r="GG355">
        <f>IF(ISBLANK('Data Entry'!$ý$355), "", 'Data Entry'!$ý$355)</f>
      </c>
      <c r="GH355">
        <f>IF(ISBLANK('Data Entry'!$þ$355), "", 'Data Entry'!$þ$355)</f>
      </c>
      <c r="GI355">
        <f>IF(ISBLANK('Data Entry'!$ÿ$355), "", 'Data Entry'!$ÿ$355)</f>
      </c>
      <c r="GJ355">
        <f>IF(ISBLANK('Data Entry'!$Ā$355), "", 'Data Entry'!$Ā$355)</f>
      </c>
      <c r="GK355">
        <f>IF(ISBLANK('Data Entry'!$ā$355), "", 'Data Entry'!$ā$355)</f>
      </c>
      <c r="GL355">
        <f>IF(ISBLANK('Data Entry'!$Ă$355), "", 'Data Entry'!$Ă$355)</f>
      </c>
      <c r="GM355">
        <f>IF(ISBLANK('Data Entry'!$ă$355), "", 'Data Entry'!$ă$355)</f>
      </c>
      <c r="GN355">
        <f>IF(ISBLANK('Data Entry'!$Ą$355), "", 'Data Entry'!$Ą$355)</f>
      </c>
      <c r="GO355">
        <f>IF(ISBLANK('Data Entry'!$ą$355), "", 'Data Entry'!$ą$355)</f>
      </c>
      <c r="GP355">
        <f>IF(ISBLANK('Data Entry'!$Ć$355), "", 'Data Entry'!$Ć$355)</f>
      </c>
      <c r="GQ355">
        <f>IF(ISBLANK('Data Entry'!$ć$355), "", 'Data Entry'!$ć$355)</f>
      </c>
      <c r="GR355">
        <f>IF(ISBLANK('Data Entry'!$Ĉ$355), "", 'Data Entry'!$Ĉ$355)</f>
      </c>
      <c r="GS355">
        <f>IF(ISBLANK('Data Entry'!$ĉ$355), "", 'Data Entry'!$ĉ$355)</f>
      </c>
      <c r="GT355">
        <f>IF(ISBLANK('Data Entry'!$Ċ$355), "", 'Data Entry'!$Ċ$355)</f>
      </c>
      <c r="GU355">
        <f>IF(ISBLANK('Data Entry'!$ċ$355), "", 'Data Entry'!$ċ$355)</f>
      </c>
      <c r="GV355">
        <f>IF(ISBLANK('Data Entry'!$Č$355), "", 'Data Entry'!$Č$355)</f>
      </c>
      <c r="GW355">
        <f>IF(ISBLANK('Data Entry'!$č$355), "", 'Data Entry'!$č$355)</f>
      </c>
      <c r="GX355">
        <f>IF(ISBLANK('Data Entry'!$Ď$355), "", 'Data Entry'!$Ď$355)</f>
      </c>
      <c r="GY355">
        <f>IF(ISBLANK('Data Entry'!$ď$355), "", 'Data Entry'!$ď$355)</f>
      </c>
      <c r="GZ355">
        <f>IF(ISBLANK('Data Entry'!$Đ$355), "", 'Data Entry'!$Đ$355)</f>
      </c>
      <c r="HA355">
        <f>IF(ISBLANK('Data Entry'!$đ$355), "", 'Data Entry'!$đ$355)</f>
      </c>
      <c r="HB355">
        <f>IF(ISBLANK('Data Entry'!$Ē$355), "", 'Data Entry'!$Ē$355)</f>
      </c>
      <c r="HC355">
        <f>IF(ISBLANK('Data Entry'!$ē$355), "", 'Data Entry'!$ē$355)</f>
      </c>
      <c r="HD355">
        <f>IF(ISBLANK('Data Entry'!$Ĕ$355), "", 'Data Entry'!$Ĕ$355)</f>
      </c>
      <c r="HE355">
        <f>IF(ISBLANK('Data Entry'!$ĕ$355), "", 'Data Entry'!$ĕ$355)</f>
      </c>
      <c r="HF355">
        <f>IF(ISBLANK('Data Entry'!$Ė$355), "", 'Data Entry'!$Ė$355)</f>
      </c>
      <c r="HG355">
        <f>IF(ISBLANK('Data Entry'!$ė$355), "", 'Data Entry'!$ė$355)</f>
      </c>
      <c r="HH355">
        <f>IF(ISBLANK('Data Entry'!$Ę$355), "", 'Data Entry'!$Ę$355)</f>
      </c>
      <c r="HI355">
        <f>IF(ISBLANK('Data Entry'!$ę$355), "", 'Data Entry'!$ę$355)</f>
      </c>
      <c r="HJ355">
        <f>IF(ISBLANK('Data Entry'!$Ě$355), "", 'Data Entry'!$Ě$355)</f>
      </c>
      <c r="HK355">
        <f>IF(ISBLANK('Data Entry'!$ě$355), "", 'Data Entry'!$ě$355)</f>
      </c>
      <c r="HL355">
        <f>IF(ISBLANK('Data Entry'!$Ĝ$355), "", 'Data Entry'!$Ĝ$355)</f>
      </c>
      <c r="HM355">
        <f>IF(ISBLANK('Data Entry'!$ĝ$355), "", 'Data Entry'!$ĝ$355)</f>
      </c>
      <c r="HN355">
        <f>IF(ISBLANK('Data Entry'!$Ğ$355), "", 'Data Entry'!$Ğ$355)</f>
      </c>
      <c r="HO355">
        <f>IF(ISBLANK('Data Entry'!$ğ$355), "", 'Data Entry'!$ğ$355)</f>
      </c>
      <c r="HP355">
        <f>IF(ISBLANK('Data Entry'!$Ġ$355), "", 'Data Entry'!$Ġ$355)</f>
      </c>
      <c r="HQ355">
        <f>IF(ISBLANK('Data Entry'!$ġ$355), "", 'Data Entry'!$ġ$355)</f>
      </c>
      <c r="HR355">
        <f>IF(ISBLANK('Data Entry'!$Ģ$355), "", 'Data Entry'!$Ģ$355)</f>
      </c>
      <c r="HS355">
        <f>IF(ISBLANK('Data Entry'!$ģ$355), "", 'Data Entry'!$ģ$355)</f>
      </c>
      <c r="HT355">
        <f>IF(ISBLANK('Data Entry'!$Ĥ$355), "", 'Data Entry'!$Ĥ$355)</f>
      </c>
      <c r="HU355">
        <f>IF(ISBLANK('Data Entry'!$ĥ$355), "", 'Data Entry'!$ĥ$355)</f>
      </c>
      <c r="HV355">
        <f>IF(ISBLANK('Data Entry'!$Ħ$355), "", 'Data Entry'!$Ħ$355)</f>
      </c>
      <c r="HW355">
        <f>IF(ISBLANK('Data Entry'!$ħ$355), "", 'Data Entry'!$ħ$355)</f>
      </c>
      <c r="HX355">
        <f>IF(ISBLANK('Data Entry'!$Ĩ$355), "", 'Data Entry'!$Ĩ$355)</f>
      </c>
      <c r="HY355">
        <f>IF(ISBLANK('Data Entry'!$ĩ$355), "", 'Data Entry'!$ĩ$355)</f>
      </c>
      <c r="HZ355">
        <f>IF(ISBLANK('Data Entry'!$Ī$355), "", 'Data Entry'!$Ī$355)</f>
      </c>
      <c r="IA355">
        <f>IF(ISBLANK('Data Entry'!$ī$355), "", 'Data Entry'!$ī$355)</f>
      </c>
      <c r="IB355">
        <f>IF(ISBLANK('Data Entry'!$Ĭ$355), "", 'Data Entry'!$Ĭ$355)</f>
      </c>
      <c r="IC355">
        <f>IF(ISBLANK('Data Entry'!$ĭ$355), "", 'Data Entry'!$ĭ$355)</f>
      </c>
      <c r="ID355">
        <f>IF(ISBLANK('Data Entry'!$Į$355), "", 'Data Entry'!$Į$355)</f>
      </c>
      <c r="IE355">
        <f>IF(ISBLANK('Data Entry'!$į$355), "", 'Data Entry'!$į$355)</f>
      </c>
      <c r="IF355">
        <f>IF(ISBLANK('Data Entry'!$İ$355), "", 'Data Entry'!$İ$355)</f>
      </c>
      <c r="IG355">
        <f>IF(ISBLANK('Data Entry'!$ı$355), "", 'Data Entry'!$ı$355)</f>
      </c>
      <c r="IH355">
        <f>IF(ISBLANK('Data Entry'!$Ĳ$355), "", 'Data Entry'!$Ĳ$355)</f>
      </c>
      <c r="II355">
        <f>IF(ISBLANK('Data Entry'!$ĳ$355), "", 'Data Entry'!$ĳ$355)</f>
      </c>
      <c r="IJ355">
        <f>IF(ISBLANK('Data Entry'!$Ĵ$355), "", 'Data Entry'!$Ĵ$355)</f>
      </c>
      <c r="IK355">
        <f>IF(ISBLANK('Data Entry'!$ĵ$355), "", 'Data Entry'!$ĵ$355)</f>
      </c>
      <c r="IL355">
        <f>IF(ISBLANK('Data Entry'!$Ķ$355), "", 'Data Entry'!$Ķ$355)</f>
      </c>
      <c r="IM355">
        <f>IF(ISBLANK('Data Entry'!$ķ$355), "", 'Data Entry'!$ķ$355)</f>
      </c>
      <c r="IN355">
        <f>IF(ISBLANK('Data Entry'!$ĸ$355), "", 'Data Entry'!$ĸ$355)</f>
      </c>
      <c r="IO355">
        <f>IF(ISBLANK('Data Entry'!$Ĺ$355), "", 'Data Entry'!$Ĺ$355)</f>
      </c>
      <c r="IP355">
        <f>IF(ISBLANK('Data Entry'!$ĺ$355), "", 'Data Entry'!$ĺ$355)</f>
      </c>
      <c r="IQ355">
        <f>IF(ISBLANK('Data Entry'!$Ļ$355), "", 'Data Entry'!$Ļ$355)</f>
      </c>
      <c r="IR355">
        <f>IF(ISBLANK('Data Entry'!$ļ$355), "", 'Data Entry'!$ļ$355)</f>
      </c>
      <c r="IS355">
        <f>IF(ISBLANK('Data Entry'!$Ľ$355), "", 'Data Entry'!$Ľ$355)</f>
      </c>
      <c r="IT355">
        <f>IF(ISBLANK('Data Entry'!$ľ$355), "", 'Data Entry'!$ľ$355)</f>
      </c>
    </row>
    <row r="356" spans="1:254" x14ac:dyDescent="0.25">
      <c r="A356">
        <f>IF(ISBLANK('Data Entry'!$A$356), "", 'Data Entry'!$A$356)</f>
      </c>
      <c r="B356">
        <f>IF(ISBLANK('Data Entry'!$B$356), "", 'Data Entry'!$B$356)</f>
      </c>
      <c r="C356">
        <f>IF(ISBLANK('Data Entry'!$C$356), "", 'Data Entry'!$C$356)</f>
      </c>
      <c r="D356">
        <f>IF(ISBLANK('Data Entry'!$D$356), "", 'Data Entry'!$D$356)</f>
      </c>
      <c r="E356">
        <f>IF(ISBLANK('Data Entry'!$E$356), "", 'Data Entry'!$E$356)</f>
      </c>
      <c r="F356">
        <f>IF(ISBLANK('Data Entry'!$F$356), "", 'Data Entry'!$F$356)</f>
      </c>
      <c r="G356">
        <f>IF(ISBLANK('Data Entry'!$G$356), "", 'Data Entry'!$G$356)</f>
      </c>
      <c r="H356">
        <f>IF(ISBLANK('Data Entry'!$H$356), "", 'Data Entry'!$H$356)</f>
      </c>
      <c r="I356">
        <f>IF(ISBLANK('Data Entry'!$I$356), "", 'Data Entry'!$I$356)</f>
      </c>
      <c r="J356">
        <f>IF(ISBLANK('Data Entry'!$J$356), "", 'Data Entry'!$J$356)</f>
      </c>
      <c r="K356">
        <f>IF(ISBLANK('Data Entry'!$K$356), "", 'Data Entry'!$K$356)</f>
      </c>
      <c r="L356">
        <f>IF(ISBLANK('Data Entry'!$L$356), "", 'Data Entry'!$L$356)</f>
      </c>
      <c r="M356">
        <f>IF(ISBLANK('Data Entry'!$M$356), "", 'Data Entry'!$M$356)</f>
      </c>
      <c r="N356">
        <f>IF(ISBLANK('Data Entry'!$N$356), "", 'Data Entry'!$N$356)</f>
      </c>
      <c r="O356">
        <f>IF(ISBLANK('Data Entry'!$O$356), "", 'Data Entry'!$O$356)</f>
      </c>
      <c r="P356">
        <f>IF(ISBLANK('Data Entry'!$P$356), "", 'Data Entry'!$P$356)</f>
      </c>
      <c r="Q356">
        <f>IF(ISBLANK('Data Entry'!$Q$356), "", 'Data Entry'!$Q$356)</f>
      </c>
      <c r="R356">
        <f>IF(ISBLANK('Data Entry'!$R$356), "", 'Data Entry'!$R$356)</f>
      </c>
      <c r="S356">
        <f>IF(ISBLANK('Data Entry'!$S$356), "", 'Data Entry'!$S$356)</f>
      </c>
      <c r="T356">
        <f>IF(ISBLANK('Data Entry'!$T$356), "", 'Data Entry'!$T$356)</f>
      </c>
      <c r="U356">
        <f>IF(ISBLANK('Data Entry'!$U$356), "", 'Data Entry'!$U$356)</f>
      </c>
      <c r="V356">
        <f>IF(ISBLANK('Data Entry'!$V$356), "", 'Data Entry'!$V$356)</f>
      </c>
      <c r="W356">
        <f>IF(ISBLANK('Data Entry'!$W$356), "", 'Data Entry'!$W$356)</f>
      </c>
      <c r="X356">
        <f>IF(ISBLANK('Data Entry'!$X$356), "", 'Data Entry'!$X$356)</f>
      </c>
      <c r="Y356">
        <f>IF(ISBLANK('Data Entry'!$Y$356), "", 'Data Entry'!$Y$356)</f>
      </c>
      <c r="Z356">
        <f>IF(ISBLANK('Data Entry'!$Z$356), "", 'Data Entry'!$Z$356)</f>
      </c>
      <c r="AA356">
        <f>IF(ISBLANK('Data Entry'!$[$356), "", 'Data Entry'!$[$356)</f>
      </c>
      <c r="AB356">
        <f>IF(ISBLANK('Data Entry'!$\$356), "", 'Data Entry'!$\$356)</f>
      </c>
      <c r="AC356">
        <f>IF(ISBLANK('Data Entry'!$]$356), "", 'Data Entry'!$]$356)</f>
      </c>
      <c r="AD356">
        <f>IF(ISBLANK('Data Entry'!$^$356), "", 'Data Entry'!$^$356)</f>
      </c>
      <c r="AE356">
        <f>IF(ISBLANK('Data Entry'!$_$356), "", 'Data Entry'!$_$356)</f>
      </c>
      <c r="AF356">
        <f>IF(ISBLANK('Data Entry'!$`$356), "", 'Data Entry'!$`$356)</f>
      </c>
      <c r="AG356">
        <f>IF(ISBLANK('Data Entry'!$a$356), "", 'Data Entry'!$a$356)</f>
      </c>
      <c r="AH356">
        <f>IF(ISBLANK('Data Entry'!$b$356), "", 'Data Entry'!$b$356)</f>
      </c>
      <c r="AI356">
        <f>IF(ISBLANK('Data Entry'!$c$356), "", 'Data Entry'!$c$356)</f>
      </c>
      <c r="AJ356">
        <f>IF(ISBLANK('Data Entry'!$d$356), "", 'Data Entry'!$d$356)</f>
      </c>
      <c r="AK356">
        <f>IF(ISBLANK('Data Entry'!$e$356), "", 'Data Entry'!$e$356)</f>
      </c>
      <c r="AL356">
        <f>IF(ISBLANK('Data Entry'!$f$356), "", 'Data Entry'!$f$356)</f>
      </c>
      <c r="AM356">
        <f>IF(ISBLANK('Data Entry'!$g$356), "", 'Data Entry'!$g$356)</f>
      </c>
      <c r="AN356">
        <f>IF(ISBLANK('Data Entry'!$h$356), "", 'Data Entry'!$h$356)</f>
      </c>
      <c r="AO356">
        <f>IF(ISBLANK('Data Entry'!$i$356), "", 'Data Entry'!$i$356)</f>
      </c>
      <c r="AP356">
        <f>IF(ISBLANK('Data Entry'!$j$356), "", 'Data Entry'!$j$356)</f>
      </c>
      <c r="AQ356">
        <f>IF(ISBLANK('Data Entry'!$k$356), "", 'Data Entry'!$k$356)</f>
      </c>
      <c r="AR356">
        <f>IF(ISBLANK('Data Entry'!$l$356), "", 'Data Entry'!$l$356)</f>
      </c>
      <c r="AS356">
        <f>IF(ISBLANK('Data Entry'!$m$356), "", 'Data Entry'!$m$356)</f>
      </c>
      <c r="AT356">
        <f>IF(ISBLANK('Data Entry'!$n$356), "", 'Data Entry'!$n$356)</f>
      </c>
      <c r="AU356">
        <f>IF(ISBLANK('Data Entry'!$o$356), "", 'Data Entry'!$o$356)</f>
      </c>
      <c r="AV356">
        <f>IF(ISBLANK('Data Entry'!$p$356), "", 'Data Entry'!$p$356)</f>
      </c>
      <c r="AW356">
        <f>IF(ISBLANK('Data Entry'!$q$356), "", 'Data Entry'!$q$356)</f>
      </c>
      <c r="AX356">
        <f>IF(ISBLANK('Data Entry'!$r$356), "", 'Data Entry'!$r$356)</f>
      </c>
      <c r="AY356">
        <f>IF(ISBLANK('Data Entry'!$s$356), "", 'Data Entry'!$s$356)</f>
      </c>
      <c r="AZ356">
        <f>IF(ISBLANK('Data Entry'!$t$356), "", 'Data Entry'!$t$356)</f>
      </c>
      <c r="BA356">
        <f>IF(ISBLANK('Data Entry'!$u$356), "", 'Data Entry'!$u$356)</f>
      </c>
      <c r="BB356">
        <f>IF(ISBLANK('Data Entry'!$v$356), "", 'Data Entry'!$v$356)</f>
      </c>
      <c r="BC356">
        <f>IF(ISBLANK('Data Entry'!$w$356), "", 'Data Entry'!$w$356)</f>
      </c>
      <c r="BD356">
        <f>IF(ISBLANK('Data Entry'!$x$356), "", 'Data Entry'!$x$356)</f>
      </c>
      <c r="BE356">
        <f>IF(ISBLANK('Data Entry'!$y$356), "", 'Data Entry'!$y$356)</f>
      </c>
      <c r="BF356">
        <f>IF(ISBLANK('Data Entry'!$z$356), "", 'Data Entry'!$z$356)</f>
      </c>
      <c r="BG356">
        <f>IF(ISBLANK('Data Entry'!${$356), "", 'Data Entry'!${$356)</f>
      </c>
      <c r="BH356">
        <f>IF(ISBLANK('Data Entry'!$|$356), "", 'Data Entry'!$|$356)</f>
      </c>
      <c r="BI356">
        <f>IF(ISBLANK('Data Entry'!$}$356), "", 'Data Entry'!$}$356)</f>
      </c>
      <c r="BJ356">
        <f>IF(ISBLANK('Data Entry'!$~$356), "", 'Data Entry'!$~$356)</f>
      </c>
      <c r="BK356">
        <f>IF(ISBLANK('Data Entry'!$$356), "", 'Data Entry'!$$356)</f>
      </c>
      <c r="BL356">
        <f>IF(ISBLANK('Data Entry'!$$356), "", 'Data Entry'!$$356)</f>
      </c>
      <c r="BM356">
        <f>IF(ISBLANK('Data Entry'!$$356), "", 'Data Entry'!$$356)</f>
      </c>
      <c r="BN356">
        <f>IF(ISBLANK('Data Entry'!$$356), "", 'Data Entry'!$$356)</f>
      </c>
      <c r="BO356">
        <f>IF(ISBLANK('Data Entry'!$$356), "", 'Data Entry'!$$356)</f>
      </c>
      <c r="BP356">
        <f>IF(ISBLANK('Data Entry'!$$356), "", 'Data Entry'!$$356)</f>
      </c>
      <c r="BQ356">
        <f>IF(ISBLANK('Data Entry'!$$356), "", 'Data Entry'!$$356)</f>
      </c>
      <c r="BR356">
        <f>IF(ISBLANK('Data Entry'!$$356), "", 'Data Entry'!$$356)</f>
      </c>
      <c r="BS356">
        <f>IF(ISBLANK('Data Entry'!$$356), "", 'Data Entry'!$$356)</f>
      </c>
      <c r="BT356">
        <f>IF(ISBLANK('Data Entry'!$$356), "", 'Data Entry'!$$356)</f>
      </c>
      <c r="BU356">
        <f>IF(ISBLANK('Data Entry'!$$356), "", 'Data Entry'!$$356)</f>
      </c>
      <c r="BV356">
        <f>IF(ISBLANK('Data Entry'!$$356), "", 'Data Entry'!$$356)</f>
      </c>
      <c r="BW356">
        <f>IF(ISBLANK('Data Entry'!$$356), "", 'Data Entry'!$$356)</f>
      </c>
      <c r="BX356">
        <f>IF(ISBLANK('Data Entry'!$$356), "", 'Data Entry'!$$356)</f>
      </c>
      <c r="BY356">
        <f>IF(ISBLANK('Data Entry'!$$356), "", 'Data Entry'!$$356)</f>
      </c>
      <c r="BZ356">
        <f>IF(ISBLANK('Data Entry'!$$356), "", 'Data Entry'!$$356)</f>
      </c>
      <c r="CA356">
        <f>IF(ISBLANK('Data Entry'!$$356), "", 'Data Entry'!$$356)</f>
      </c>
      <c r="CB356">
        <f>IF(ISBLANK('Data Entry'!$$356), "", 'Data Entry'!$$356)</f>
      </c>
      <c r="CC356">
        <f>IF(ISBLANK('Data Entry'!$$356), "", 'Data Entry'!$$356)</f>
      </c>
      <c r="CD356">
        <f>IF(ISBLANK('Data Entry'!$$356), "", 'Data Entry'!$$356)</f>
      </c>
      <c r="CE356">
        <f>IF(ISBLANK('Data Entry'!$$356), "", 'Data Entry'!$$356)</f>
      </c>
      <c r="CF356">
        <f>IF(ISBLANK('Data Entry'!$$356), "", 'Data Entry'!$$356)</f>
      </c>
      <c r="CG356">
        <f>IF(ISBLANK('Data Entry'!$$356), "", 'Data Entry'!$$356)</f>
      </c>
      <c r="CH356">
        <f>IF(ISBLANK('Data Entry'!$$356), "", 'Data Entry'!$$356)</f>
      </c>
      <c r="CI356">
        <f>IF(ISBLANK('Data Entry'!$$356), "", 'Data Entry'!$$356)</f>
      </c>
      <c r="CJ356">
        <f>IF(ISBLANK('Data Entry'!$$356), "", 'Data Entry'!$$356)</f>
      </c>
      <c r="CK356">
        <f>IF(ISBLANK('Data Entry'!$$356), "", 'Data Entry'!$$356)</f>
      </c>
      <c r="CL356">
        <f>IF(ISBLANK('Data Entry'!$$356), "", 'Data Entry'!$$356)</f>
      </c>
      <c r="CM356">
        <f>IF(ISBLANK('Data Entry'!$$356), "", 'Data Entry'!$$356)</f>
      </c>
      <c r="CN356">
        <f>IF(ISBLANK('Data Entry'!$$356), "", 'Data Entry'!$$356)</f>
      </c>
      <c r="CO356">
        <f>IF(ISBLANK('Data Entry'!$$356), "", 'Data Entry'!$$356)</f>
      </c>
      <c r="CP356">
        <f>IF(ISBLANK('Data Entry'!$$356), "", 'Data Entry'!$$356)</f>
      </c>
      <c r="CQ356">
        <f>IF(ISBLANK('Data Entry'!$$356), "", 'Data Entry'!$$356)</f>
      </c>
      <c r="CR356">
        <f>IF(ISBLANK('Data Entry'!$ $356), "", 'Data Entry'!$ $356)</f>
      </c>
      <c r="CS356">
        <f>IF(ISBLANK('Data Entry'!$¡$356), "", 'Data Entry'!$¡$356)</f>
      </c>
      <c r="CT356">
        <f>IF(ISBLANK('Data Entry'!$¢$356), "", 'Data Entry'!$¢$356)</f>
      </c>
      <c r="CU356">
        <f>IF(ISBLANK('Data Entry'!$£$356), "", 'Data Entry'!$£$356)</f>
      </c>
      <c r="CV356">
        <f>IF(ISBLANK('Data Entry'!$¤$356), "", 'Data Entry'!$¤$356)</f>
      </c>
      <c r="CW356">
        <f>IF(ISBLANK('Data Entry'!$¥$356), "", 'Data Entry'!$¥$356)</f>
      </c>
      <c r="CX356">
        <f>IF(ISBLANK('Data Entry'!$¦$356), "", 'Data Entry'!$¦$356)</f>
      </c>
      <c r="CY356">
        <f>IF(ISBLANK('Data Entry'!$§$356), "", 'Data Entry'!$§$356)</f>
      </c>
      <c r="CZ356">
        <f>IF(ISBLANK('Data Entry'!$¨$356), "", 'Data Entry'!$¨$356)</f>
      </c>
      <c r="DA356">
        <f>IF(ISBLANK('Data Entry'!$©$356), "", 'Data Entry'!$©$356)</f>
      </c>
      <c r="DB356">
        <f>IF(ISBLANK('Data Entry'!$ª$356), "", 'Data Entry'!$ª$356)</f>
      </c>
      <c r="DC356">
        <f>IF(ISBLANK('Data Entry'!$«$356), "", 'Data Entry'!$«$356)</f>
      </c>
      <c r="DD356">
        <f>IF(ISBLANK('Data Entry'!$¬$356), "", 'Data Entry'!$¬$356)</f>
      </c>
      <c r="DE356">
        <f>IF(ISBLANK('Data Entry'!$­$356), "", 'Data Entry'!$­$356)</f>
      </c>
      <c r="DF356">
        <f>IF(ISBLANK('Data Entry'!$®$356), "", 'Data Entry'!$®$356)</f>
      </c>
      <c r="DG356">
        <f>IF(ISBLANK('Data Entry'!$¯$356), "", 'Data Entry'!$¯$356)</f>
      </c>
      <c r="DH356">
        <f>IF(ISBLANK('Data Entry'!$°$356), "", 'Data Entry'!$°$356)</f>
      </c>
      <c r="DI356">
        <f>IF(ISBLANK('Data Entry'!$±$356), "", 'Data Entry'!$±$356)</f>
      </c>
      <c r="DJ356">
        <f>IF(ISBLANK('Data Entry'!$²$356), "", 'Data Entry'!$²$356)</f>
      </c>
      <c r="DK356">
        <f>IF(ISBLANK('Data Entry'!$³$356), "", 'Data Entry'!$³$356)</f>
      </c>
      <c r="DL356">
        <f>IF(ISBLANK('Data Entry'!$´$356), "", 'Data Entry'!$´$356)</f>
      </c>
      <c r="DM356">
        <f>IF(ISBLANK('Data Entry'!$µ$356), "", 'Data Entry'!$µ$356)</f>
      </c>
      <c r="DN356">
        <f>IF(ISBLANK('Data Entry'!$¶$356), "", 'Data Entry'!$¶$356)</f>
      </c>
      <c r="DO356">
        <f>IF(ISBLANK('Data Entry'!$·$356), "", 'Data Entry'!$·$356)</f>
      </c>
      <c r="DP356">
        <f>IF(ISBLANK('Data Entry'!$¸$356), "", 'Data Entry'!$¸$356)</f>
      </c>
      <c r="DQ356">
        <f>IF(ISBLANK('Data Entry'!$¹$356), "", 'Data Entry'!$¹$356)</f>
      </c>
      <c r="DR356">
        <f>IF(ISBLANK('Data Entry'!$º$356), "", 'Data Entry'!$º$356)</f>
      </c>
      <c r="DS356">
        <f>IF(ISBLANK('Data Entry'!$»$356), "", 'Data Entry'!$»$356)</f>
      </c>
      <c r="DT356">
        <f>IF(ISBLANK('Data Entry'!$¼$356), "", 'Data Entry'!$¼$356)</f>
      </c>
      <c r="DU356">
        <f>IF(ISBLANK('Data Entry'!$½$356), "", 'Data Entry'!$½$356)</f>
      </c>
      <c r="DV356">
        <f>IF(ISBLANK('Data Entry'!$¾$356), "", 'Data Entry'!$¾$356)</f>
      </c>
      <c r="DW356">
        <f>IF(ISBLANK('Data Entry'!$¿$356), "", 'Data Entry'!$¿$356)</f>
      </c>
      <c r="DX356">
        <f>IF(ISBLANK('Data Entry'!$À$356), "", 'Data Entry'!$À$356)</f>
      </c>
      <c r="DY356">
        <f>IF(ISBLANK('Data Entry'!$Á$356), "", 'Data Entry'!$Á$356)</f>
      </c>
      <c r="DZ356">
        <f>IF(ISBLANK('Data Entry'!$Â$356), "", 'Data Entry'!$Â$356)</f>
      </c>
      <c r="EA356">
        <f>IF(ISBLANK('Data Entry'!$Ã$356), "", 'Data Entry'!$Ã$356)</f>
      </c>
      <c r="EB356">
        <f>IF(ISBLANK('Data Entry'!$Ä$356), "", 'Data Entry'!$Ä$356)</f>
      </c>
      <c r="EC356">
        <f>IF(ISBLANK('Data Entry'!$Å$356), "", 'Data Entry'!$Å$356)</f>
      </c>
      <c r="ED356">
        <f>IF(ISBLANK('Data Entry'!$Æ$356), "", 'Data Entry'!$Æ$356)</f>
      </c>
      <c r="EE356">
        <f>IF(ISBLANK('Data Entry'!$Ç$356), "", 'Data Entry'!$Ç$356)</f>
      </c>
      <c r="EF356">
        <f>IF(ISBLANK('Data Entry'!$È$356), "", 'Data Entry'!$È$356)</f>
      </c>
      <c r="EG356">
        <f>IF(ISBLANK('Data Entry'!$É$356), "", 'Data Entry'!$É$356)</f>
      </c>
      <c r="EH356">
        <f>IF(ISBLANK('Data Entry'!$Ê$356), "", 'Data Entry'!$Ê$356)</f>
      </c>
      <c r="EI356">
        <f>IF(ISBLANK('Data Entry'!$Ë$356), "", 'Data Entry'!$Ë$356)</f>
      </c>
      <c r="EJ356">
        <f>IF(ISBLANK('Data Entry'!$Ì$356), "", 'Data Entry'!$Ì$356)</f>
      </c>
      <c r="EK356">
        <f>IF(ISBLANK('Data Entry'!$Í$356), "", 'Data Entry'!$Í$356)</f>
      </c>
      <c r="EL356">
        <f>IF(ISBLANK('Data Entry'!$Î$356), "", 'Data Entry'!$Î$356)</f>
      </c>
      <c r="EM356">
        <f>IF(ISBLANK('Data Entry'!$Ï$356), "", 'Data Entry'!$Ï$356)</f>
      </c>
      <c r="EN356">
        <f>IF(ISBLANK('Data Entry'!$Ð$356), "", 'Data Entry'!$Ð$356)</f>
      </c>
      <c r="EO356">
        <f>IF(ISBLANK('Data Entry'!$Ñ$356), "", 'Data Entry'!$Ñ$356)</f>
      </c>
      <c r="EP356">
        <f>IF(ISBLANK('Data Entry'!$Ò$356), "", 'Data Entry'!$Ò$356)</f>
      </c>
      <c r="EQ356">
        <f>IF(ISBLANK('Data Entry'!$Ó$356), "", 'Data Entry'!$Ó$356)</f>
      </c>
      <c r="ER356">
        <f>IF(ISBLANK('Data Entry'!$Ô$356), "", 'Data Entry'!$Ô$356)</f>
      </c>
      <c r="ES356">
        <f>IF(ISBLANK('Data Entry'!$Õ$356), "", 'Data Entry'!$Õ$356)</f>
      </c>
      <c r="ET356">
        <f>IF(ISBLANK('Data Entry'!$Ö$356), "", 'Data Entry'!$Ö$356)</f>
      </c>
      <c r="EU356">
        <f>IF(ISBLANK('Data Entry'!$×$356), "", 'Data Entry'!$×$356)</f>
      </c>
      <c r="EV356">
        <f>IF(ISBLANK('Data Entry'!$Ø$356), "", 'Data Entry'!$Ø$356)</f>
      </c>
      <c r="EW356">
        <f>IF(ISBLANK('Data Entry'!$Ù$356), "", 'Data Entry'!$Ù$356)</f>
      </c>
      <c r="EX356">
        <f>IF(ISBLANK('Data Entry'!$Ú$356), "", 'Data Entry'!$Ú$356)</f>
      </c>
      <c r="EY356">
        <f>IF(ISBLANK('Data Entry'!$Û$356), "", 'Data Entry'!$Û$356)</f>
      </c>
      <c r="EZ356">
        <f>IF(ISBLANK('Data Entry'!$Ü$356), "", 'Data Entry'!$Ü$356)</f>
      </c>
      <c r="FA356">
        <f>IF(ISBLANK('Data Entry'!$Ý$356), "", 'Data Entry'!$Ý$356)</f>
      </c>
      <c r="FB356">
        <f>IF(ISBLANK('Data Entry'!$Þ$356), "", 'Data Entry'!$Þ$356)</f>
      </c>
      <c r="FC356">
        <f>IF(ISBLANK('Data Entry'!$ß$356), "", 'Data Entry'!$ß$356)</f>
      </c>
      <c r="FD356">
        <f>IF(ISBLANK('Data Entry'!$à$356), "", 'Data Entry'!$à$356)</f>
      </c>
      <c r="FE356">
        <f>IF(ISBLANK('Data Entry'!$á$356), "", 'Data Entry'!$á$356)</f>
      </c>
      <c r="FF356">
        <f>IF(ISBLANK('Data Entry'!$â$356), "", 'Data Entry'!$â$356)</f>
      </c>
      <c r="FG356">
        <f>IF(ISBLANK('Data Entry'!$ã$356), "", 'Data Entry'!$ã$356)</f>
      </c>
      <c r="FH356">
        <f>IF(ISBLANK('Data Entry'!$ä$356), "", 'Data Entry'!$ä$356)</f>
      </c>
      <c r="FI356">
        <f>IF(ISBLANK('Data Entry'!$å$356), "", 'Data Entry'!$å$356)</f>
      </c>
      <c r="FJ356">
        <f>IF(ISBLANK('Data Entry'!$æ$356), "", 'Data Entry'!$æ$356)</f>
      </c>
      <c r="FK356">
        <f>IF(ISBLANK('Data Entry'!$ç$356), "", 'Data Entry'!$ç$356)</f>
      </c>
      <c r="FL356">
        <f>IF(ISBLANK('Data Entry'!$è$356), "", 'Data Entry'!$è$356)</f>
      </c>
      <c r="FM356">
        <f>IF(ISBLANK('Data Entry'!$é$356), "", 'Data Entry'!$é$356)</f>
      </c>
      <c r="FN356">
        <f>IF(ISBLANK('Data Entry'!$ê$356), "", 'Data Entry'!$ê$356)</f>
      </c>
      <c r="FO356">
        <f>IF(ISBLANK('Data Entry'!$ë$356), "", 'Data Entry'!$ë$356)</f>
      </c>
      <c r="FP356">
        <f>IF(ISBLANK('Data Entry'!$ì$356), "", 'Data Entry'!$ì$356)</f>
      </c>
      <c r="FQ356">
        <f>IF(ISBLANK('Data Entry'!$í$356), "", 'Data Entry'!$í$356)</f>
      </c>
      <c r="FR356">
        <f>IF(ISBLANK('Data Entry'!$î$356), "", 'Data Entry'!$î$356)</f>
      </c>
      <c r="FS356">
        <f>IF(ISBLANK('Data Entry'!$ï$356), "", 'Data Entry'!$ï$356)</f>
      </c>
      <c r="FT356">
        <f>IF(ISBLANK('Data Entry'!$ð$356), "", 'Data Entry'!$ð$356)</f>
      </c>
      <c r="FU356">
        <f>IF(ISBLANK('Data Entry'!$ñ$356), "", 'Data Entry'!$ñ$356)</f>
      </c>
      <c r="FV356">
        <f>IF(ISBLANK('Data Entry'!$ò$356), "", 'Data Entry'!$ò$356)</f>
      </c>
      <c r="FW356">
        <f>IF(ISBLANK('Data Entry'!$ó$356), "", 'Data Entry'!$ó$356)</f>
      </c>
      <c r="FX356">
        <f>IF(ISBLANK('Data Entry'!$ô$356), "", 'Data Entry'!$ô$356)</f>
      </c>
      <c r="FY356">
        <f>IF(ISBLANK('Data Entry'!$õ$356), "", 'Data Entry'!$õ$356)</f>
      </c>
      <c r="FZ356">
        <f>IF(ISBLANK('Data Entry'!$ö$356), "", 'Data Entry'!$ö$356)</f>
      </c>
      <c r="GA356">
        <f>IF(ISBLANK('Data Entry'!$÷$356), "", 'Data Entry'!$÷$356)</f>
      </c>
      <c r="GB356">
        <f>IF(ISBLANK('Data Entry'!$ø$356), "", 'Data Entry'!$ø$356)</f>
      </c>
      <c r="GC356">
        <f>IF(ISBLANK('Data Entry'!$ù$356), "", 'Data Entry'!$ù$356)</f>
      </c>
      <c r="GD356">
        <f>IF(ISBLANK('Data Entry'!$ú$356), "", 'Data Entry'!$ú$356)</f>
      </c>
      <c r="GE356">
        <f>IF(ISBLANK('Data Entry'!$û$356), "", 'Data Entry'!$û$356)</f>
      </c>
      <c r="GF356">
        <f>IF(ISBLANK('Data Entry'!$ü$356), "", 'Data Entry'!$ü$356)</f>
      </c>
      <c r="GG356">
        <f>IF(ISBLANK('Data Entry'!$ý$356), "", 'Data Entry'!$ý$356)</f>
      </c>
      <c r="GH356">
        <f>IF(ISBLANK('Data Entry'!$þ$356), "", 'Data Entry'!$þ$356)</f>
      </c>
      <c r="GI356">
        <f>IF(ISBLANK('Data Entry'!$ÿ$356), "", 'Data Entry'!$ÿ$356)</f>
      </c>
      <c r="GJ356">
        <f>IF(ISBLANK('Data Entry'!$Ā$356), "", 'Data Entry'!$Ā$356)</f>
      </c>
      <c r="GK356">
        <f>IF(ISBLANK('Data Entry'!$ā$356), "", 'Data Entry'!$ā$356)</f>
      </c>
      <c r="GL356">
        <f>IF(ISBLANK('Data Entry'!$Ă$356), "", 'Data Entry'!$Ă$356)</f>
      </c>
      <c r="GM356">
        <f>IF(ISBLANK('Data Entry'!$ă$356), "", 'Data Entry'!$ă$356)</f>
      </c>
      <c r="GN356">
        <f>IF(ISBLANK('Data Entry'!$Ą$356), "", 'Data Entry'!$Ą$356)</f>
      </c>
      <c r="GO356">
        <f>IF(ISBLANK('Data Entry'!$ą$356), "", 'Data Entry'!$ą$356)</f>
      </c>
      <c r="GP356">
        <f>IF(ISBLANK('Data Entry'!$Ć$356), "", 'Data Entry'!$Ć$356)</f>
      </c>
      <c r="GQ356">
        <f>IF(ISBLANK('Data Entry'!$ć$356), "", 'Data Entry'!$ć$356)</f>
      </c>
      <c r="GR356">
        <f>IF(ISBLANK('Data Entry'!$Ĉ$356), "", 'Data Entry'!$Ĉ$356)</f>
      </c>
      <c r="GS356">
        <f>IF(ISBLANK('Data Entry'!$ĉ$356), "", 'Data Entry'!$ĉ$356)</f>
      </c>
      <c r="GT356">
        <f>IF(ISBLANK('Data Entry'!$Ċ$356), "", 'Data Entry'!$Ċ$356)</f>
      </c>
      <c r="GU356">
        <f>IF(ISBLANK('Data Entry'!$ċ$356), "", 'Data Entry'!$ċ$356)</f>
      </c>
      <c r="GV356">
        <f>IF(ISBLANK('Data Entry'!$Č$356), "", 'Data Entry'!$Č$356)</f>
      </c>
      <c r="GW356">
        <f>IF(ISBLANK('Data Entry'!$č$356), "", 'Data Entry'!$č$356)</f>
      </c>
      <c r="GX356">
        <f>IF(ISBLANK('Data Entry'!$Ď$356), "", 'Data Entry'!$Ď$356)</f>
      </c>
      <c r="GY356">
        <f>IF(ISBLANK('Data Entry'!$ď$356), "", 'Data Entry'!$ď$356)</f>
      </c>
      <c r="GZ356">
        <f>IF(ISBLANK('Data Entry'!$Đ$356), "", 'Data Entry'!$Đ$356)</f>
      </c>
      <c r="HA356">
        <f>IF(ISBLANK('Data Entry'!$đ$356), "", 'Data Entry'!$đ$356)</f>
      </c>
      <c r="HB356">
        <f>IF(ISBLANK('Data Entry'!$Ē$356), "", 'Data Entry'!$Ē$356)</f>
      </c>
      <c r="HC356">
        <f>IF(ISBLANK('Data Entry'!$ē$356), "", 'Data Entry'!$ē$356)</f>
      </c>
      <c r="HD356">
        <f>IF(ISBLANK('Data Entry'!$Ĕ$356), "", 'Data Entry'!$Ĕ$356)</f>
      </c>
      <c r="HE356">
        <f>IF(ISBLANK('Data Entry'!$ĕ$356), "", 'Data Entry'!$ĕ$356)</f>
      </c>
      <c r="HF356">
        <f>IF(ISBLANK('Data Entry'!$Ė$356), "", 'Data Entry'!$Ė$356)</f>
      </c>
      <c r="HG356">
        <f>IF(ISBLANK('Data Entry'!$ė$356), "", 'Data Entry'!$ė$356)</f>
      </c>
      <c r="HH356">
        <f>IF(ISBLANK('Data Entry'!$Ę$356), "", 'Data Entry'!$Ę$356)</f>
      </c>
      <c r="HI356">
        <f>IF(ISBLANK('Data Entry'!$ę$356), "", 'Data Entry'!$ę$356)</f>
      </c>
      <c r="HJ356">
        <f>IF(ISBLANK('Data Entry'!$Ě$356), "", 'Data Entry'!$Ě$356)</f>
      </c>
      <c r="HK356">
        <f>IF(ISBLANK('Data Entry'!$ě$356), "", 'Data Entry'!$ě$356)</f>
      </c>
      <c r="HL356">
        <f>IF(ISBLANK('Data Entry'!$Ĝ$356), "", 'Data Entry'!$Ĝ$356)</f>
      </c>
      <c r="HM356">
        <f>IF(ISBLANK('Data Entry'!$ĝ$356), "", 'Data Entry'!$ĝ$356)</f>
      </c>
      <c r="HN356">
        <f>IF(ISBLANK('Data Entry'!$Ğ$356), "", 'Data Entry'!$Ğ$356)</f>
      </c>
      <c r="HO356">
        <f>IF(ISBLANK('Data Entry'!$ğ$356), "", 'Data Entry'!$ğ$356)</f>
      </c>
      <c r="HP356">
        <f>IF(ISBLANK('Data Entry'!$Ġ$356), "", 'Data Entry'!$Ġ$356)</f>
      </c>
      <c r="HQ356">
        <f>IF(ISBLANK('Data Entry'!$ġ$356), "", 'Data Entry'!$ġ$356)</f>
      </c>
      <c r="HR356">
        <f>IF(ISBLANK('Data Entry'!$Ģ$356), "", 'Data Entry'!$Ģ$356)</f>
      </c>
      <c r="HS356">
        <f>IF(ISBLANK('Data Entry'!$ģ$356), "", 'Data Entry'!$ģ$356)</f>
      </c>
      <c r="HT356">
        <f>IF(ISBLANK('Data Entry'!$Ĥ$356), "", 'Data Entry'!$Ĥ$356)</f>
      </c>
      <c r="HU356">
        <f>IF(ISBLANK('Data Entry'!$ĥ$356), "", 'Data Entry'!$ĥ$356)</f>
      </c>
      <c r="HV356">
        <f>IF(ISBLANK('Data Entry'!$Ħ$356), "", 'Data Entry'!$Ħ$356)</f>
      </c>
      <c r="HW356">
        <f>IF(ISBLANK('Data Entry'!$ħ$356), "", 'Data Entry'!$ħ$356)</f>
      </c>
      <c r="HX356">
        <f>IF(ISBLANK('Data Entry'!$Ĩ$356), "", 'Data Entry'!$Ĩ$356)</f>
      </c>
      <c r="HY356">
        <f>IF(ISBLANK('Data Entry'!$ĩ$356), "", 'Data Entry'!$ĩ$356)</f>
      </c>
      <c r="HZ356">
        <f>IF(ISBLANK('Data Entry'!$Ī$356), "", 'Data Entry'!$Ī$356)</f>
      </c>
      <c r="IA356">
        <f>IF(ISBLANK('Data Entry'!$ī$356), "", 'Data Entry'!$ī$356)</f>
      </c>
      <c r="IB356">
        <f>IF(ISBLANK('Data Entry'!$Ĭ$356), "", 'Data Entry'!$Ĭ$356)</f>
      </c>
      <c r="IC356">
        <f>IF(ISBLANK('Data Entry'!$ĭ$356), "", 'Data Entry'!$ĭ$356)</f>
      </c>
      <c r="ID356">
        <f>IF(ISBLANK('Data Entry'!$Į$356), "", 'Data Entry'!$Į$356)</f>
      </c>
      <c r="IE356">
        <f>IF(ISBLANK('Data Entry'!$į$356), "", 'Data Entry'!$į$356)</f>
      </c>
      <c r="IF356">
        <f>IF(ISBLANK('Data Entry'!$İ$356), "", 'Data Entry'!$İ$356)</f>
      </c>
      <c r="IG356">
        <f>IF(ISBLANK('Data Entry'!$ı$356), "", 'Data Entry'!$ı$356)</f>
      </c>
      <c r="IH356">
        <f>IF(ISBLANK('Data Entry'!$Ĳ$356), "", 'Data Entry'!$Ĳ$356)</f>
      </c>
      <c r="II356">
        <f>IF(ISBLANK('Data Entry'!$ĳ$356), "", 'Data Entry'!$ĳ$356)</f>
      </c>
      <c r="IJ356">
        <f>IF(ISBLANK('Data Entry'!$Ĵ$356), "", 'Data Entry'!$Ĵ$356)</f>
      </c>
      <c r="IK356">
        <f>IF(ISBLANK('Data Entry'!$ĵ$356), "", 'Data Entry'!$ĵ$356)</f>
      </c>
      <c r="IL356">
        <f>IF(ISBLANK('Data Entry'!$Ķ$356), "", 'Data Entry'!$Ķ$356)</f>
      </c>
      <c r="IM356">
        <f>IF(ISBLANK('Data Entry'!$ķ$356), "", 'Data Entry'!$ķ$356)</f>
      </c>
      <c r="IN356">
        <f>IF(ISBLANK('Data Entry'!$ĸ$356), "", 'Data Entry'!$ĸ$356)</f>
      </c>
      <c r="IO356">
        <f>IF(ISBLANK('Data Entry'!$Ĺ$356), "", 'Data Entry'!$Ĺ$356)</f>
      </c>
      <c r="IP356">
        <f>IF(ISBLANK('Data Entry'!$ĺ$356), "", 'Data Entry'!$ĺ$356)</f>
      </c>
      <c r="IQ356">
        <f>IF(ISBLANK('Data Entry'!$Ļ$356), "", 'Data Entry'!$Ļ$356)</f>
      </c>
      <c r="IR356">
        <f>IF(ISBLANK('Data Entry'!$ļ$356), "", 'Data Entry'!$ļ$356)</f>
      </c>
      <c r="IS356">
        <f>IF(ISBLANK('Data Entry'!$Ľ$356), "", 'Data Entry'!$Ľ$356)</f>
      </c>
      <c r="IT356">
        <f>IF(ISBLANK('Data Entry'!$ľ$356), "", 'Data Entry'!$ľ$356)</f>
      </c>
    </row>
    <row r="357" spans="1:254" x14ac:dyDescent="0.25">
      <c r="A357">
        <f>IF(ISBLANK('Data Entry'!$A$357), "", 'Data Entry'!$A$357)</f>
      </c>
      <c r="B357">
        <f>IF(ISBLANK('Data Entry'!$B$357), "", 'Data Entry'!$B$357)</f>
      </c>
      <c r="C357">
        <f>IF(ISBLANK('Data Entry'!$C$357), "", 'Data Entry'!$C$357)</f>
      </c>
      <c r="D357">
        <f>IF(ISBLANK('Data Entry'!$D$357), "", 'Data Entry'!$D$357)</f>
      </c>
      <c r="E357">
        <f>IF(ISBLANK('Data Entry'!$E$357), "", 'Data Entry'!$E$357)</f>
      </c>
      <c r="F357">
        <f>IF(ISBLANK('Data Entry'!$F$357), "", 'Data Entry'!$F$357)</f>
      </c>
      <c r="G357">
        <f>IF(ISBLANK('Data Entry'!$G$357), "", 'Data Entry'!$G$357)</f>
      </c>
      <c r="H357">
        <f>IF(ISBLANK('Data Entry'!$H$357), "", 'Data Entry'!$H$357)</f>
      </c>
      <c r="I357">
        <f>IF(ISBLANK('Data Entry'!$I$357), "", 'Data Entry'!$I$357)</f>
      </c>
      <c r="J357">
        <f>IF(ISBLANK('Data Entry'!$J$357), "", 'Data Entry'!$J$357)</f>
      </c>
      <c r="K357">
        <f>IF(ISBLANK('Data Entry'!$K$357), "", 'Data Entry'!$K$357)</f>
      </c>
      <c r="L357">
        <f>IF(ISBLANK('Data Entry'!$L$357), "", 'Data Entry'!$L$357)</f>
      </c>
      <c r="M357">
        <f>IF(ISBLANK('Data Entry'!$M$357), "", 'Data Entry'!$M$357)</f>
      </c>
      <c r="N357">
        <f>IF(ISBLANK('Data Entry'!$N$357), "", 'Data Entry'!$N$357)</f>
      </c>
      <c r="O357">
        <f>IF(ISBLANK('Data Entry'!$O$357), "", 'Data Entry'!$O$357)</f>
      </c>
      <c r="P357">
        <f>IF(ISBLANK('Data Entry'!$P$357), "", 'Data Entry'!$P$357)</f>
      </c>
      <c r="Q357">
        <f>IF(ISBLANK('Data Entry'!$Q$357), "", 'Data Entry'!$Q$357)</f>
      </c>
      <c r="R357">
        <f>IF(ISBLANK('Data Entry'!$R$357), "", 'Data Entry'!$R$357)</f>
      </c>
      <c r="S357">
        <f>IF(ISBLANK('Data Entry'!$S$357), "", 'Data Entry'!$S$357)</f>
      </c>
      <c r="T357">
        <f>IF(ISBLANK('Data Entry'!$T$357), "", 'Data Entry'!$T$357)</f>
      </c>
      <c r="U357">
        <f>IF(ISBLANK('Data Entry'!$U$357), "", 'Data Entry'!$U$357)</f>
      </c>
      <c r="V357">
        <f>IF(ISBLANK('Data Entry'!$V$357), "", 'Data Entry'!$V$357)</f>
      </c>
      <c r="W357">
        <f>IF(ISBLANK('Data Entry'!$W$357), "", 'Data Entry'!$W$357)</f>
      </c>
      <c r="X357">
        <f>IF(ISBLANK('Data Entry'!$X$357), "", 'Data Entry'!$X$357)</f>
      </c>
      <c r="Y357">
        <f>IF(ISBLANK('Data Entry'!$Y$357), "", 'Data Entry'!$Y$357)</f>
      </c>
      <c r="Z357">
        <f>IF(ISBLANK('Data Entry'!$Z$357), "", 'Data Entry'!$Z$357)</f>
      </c>
      <c r="AA357">
        <f>IF(ISBLANK('Data Entry'!$[$357), "", 'Data Entry'!$[$357)</f>
      </c>
      <c r="AB357">
        <f>IF(ISBLANK('Data Entry'!$\$357), "", 'Data Entry'!$\$357)</f>
      </c>
      <c r="AC357">
        <f>IF(ISBLANK('Data Entry'!$]$357), "", 'Data Entry'!$]$357)</f>
      </c>
      <c r="AD357">
        <f>IF(ISBLANK('Data Entry'!$^$357), "", 'Data Entry'!$^$357)</f>
      </c>
      <c r="AE357">
        <f>IF(ISBLANK('Data Entry'!$_$357), "", 'Data Entry'!$_$357)</f>
      </c>
      <c r="AF357">
        <f>IF(ISBLANK('Data Entry'!$`$357), "", 'Data Entry'!$`$357)</f>
      </c>
      <c r="AG357">
        <f>IF(ISBLANK('Data Entry'!$a$357), "", 'Data Entry'!$a$357)</f>
      </c>
      <c r="AH357">
        <f>IF(ISBLANK('Data Entry'!$b$357), "", 'Data Entry'!$b$357)</f>
      </c>
      <c r="AI357">
        <f>IF(ISBLANK('Data Entry'!$c$357), "", 'Data Entry'!$c$357)</f>
      </c>
      <c r="AJ357">
        <f>IF(ISBLANK('Data Entry'!$d$357), "", 'Data Entry'!$d$357)</f>
      </c>
      <c r="AK357">
        <f>IF(ISBLANK('Data Entry'!$e$357), "", 'Data Entry'!$e$357)</f>
      </c>
      <c r="AL357">
        <f>IF(ISBLANK('Data Entry'!$f$357), "", 'Data Entry'!$f$357)</f>
      </c>
      <c r="AM357">
        <f>IF(ISBLANK('Data Entry'!$g$357), "", 'Data Entry'!$g$357)</f>
      </c>
      <c r="AN357">
        <f>IF(ISBLANK('Data Entry'!$h$357), "", 'Data Entry'!$h$357)</f>
      </c>
      <c r="AO357">
        <f>IF(ISBLANK('Data Entry'!$i$357), "", 'Data Entry'!$i$357)</f>
      </c>
      <c r="AP357">
        <f>IF(ISBLANK('Data Entry'!$j$357), "", 'Data Entry'!$j$357)</f>
      </c>
      <c r="AQ357">
        <f>IF(ISBLANK('Data Entry'!$k$357), "", 'Data Entry'!$k$357)</f>
      </c>
      <c r="AR357">
        <f>IF(ISBLANK('Data Entry'!$l$357), "", 'Data Entry'!$l$357)</f>
      </c>
      <c r="AS357">
        <f>IF(ISBLANK('Data Entry'!$m$357), "", 'Data Entry'!$m$357)</f>
      </c>
      <c r="AT357">
        <f>IF(ISBLANK('Data Entry'!$n$357), "", 'Data Entry'!$n$357)</f>
      </c>
      <c r="AU357">
        <f>IF(ISBLANK('Data Entry'!$o$357), "", 'Data Entry'!$o$357)</f>
      </c>
      <c r="AV357">
        <f>IF(ISBLANK('Data Entry'!$p$357), "", 'Data Entry'!$p$357)</f>
      </c>
      <c r="AW357">
        <f>IF(ISBLANK('Data Entry'!$q$357), "", 'Data Entry'!$q$357)</f>
      </c>
      <c r="AX357">
        <f>IF(ISBLANK('Data Entry'!$r$357), "", 'Data Entry'!$r$357)</f>
      </c>
      <c r="AY357">
        <f>IF(ISBLANK('Data Entry'!$s$357), "", 'Data Entry'!$s$357)</f>
      </c>
      <c r="AZ357">
        <f>IF(ISBLANK('Data Entry'!$t$357), "", 'Data Entry'!$t$357)</f>
      </c>
      <c r="BA357">
        <f>IF(ISBLANK('Data Entry'!$u$357), "", 'Data Entry'!$u$357)</f>
      </c>
      <c r="BB357">
        <f>IF(ISBLANK('Data Entry'!$v$357), "", 'Data Entry'!$v$357)</f>
      </c>
      <c r="BC357">
        <f>IF(ISBLANK('Data Entry'!$w$357), "", 'Data Entry'!$w$357)</f>
      </c>
      <c r="BD357">
        <f>IF(ISBLANK('Data Entry'!$x$357), "", 'Data Entry'!$x$357)</f>
      </c>
      <c r="BE357">
        <f>IF(ISBLANK('Data Entry'!$y$357), "", 'Data Entry'!$y$357)</f>
      </c>
      <c r="BF357">
        <f>IF(ISBLANK('Data Entry'!$z$357), "", 'Data Entry'!$z$357)</f>
      </c>
      <c r="BG357">
        <f>IF(ISBLANK('Data Entry'!${$357), "", 'Data Entry'!${$357)</f>
      </c>
      <c r="BH357">
        <f>IF(ISBLANK('Data Entry'!$|$357), "", 'Data Entry'!$|$357)</f>
      </c>
      <c r="BI357">
        <f>IF(ISBLANK('Data Entry'!$}$357), "", 'Data Entry'!$}$357)</f>
      </c>
      <c r="BJ357">
        <f>IF(ISBLANK('Data Entry'!$~$357), "", 'Data Entry'!$~$357)</f>
      </c>
      <c r="BK357">
        <f>IF(ISBLANK('Data Entry'!$$357), "", 'Data Entry'!$$357)</f>
      </c>
      <c r="BL357">
        <f>IF(ISBLANK('Data Entry'!$$357), "", 'Data Entry'!$$357)</f>
      </c>
      <c r="BM357">
        <f>IF(ISBLANK('Data Entry'!$$357), "", 'Data Entry'!$$357)</f>
      </c>
      <c r="BN357">
        <f>IF(ISBLANK('Data Entry'!$$357), "", 'Data Entry'!$$357)</f>
      </c>
      <c r="BO357">
        <f>IF(ISBLANK('Data Entry'!$$357), "", 'Data Entry'!$$357)</f>
      </c>
      <c r="BP357">
        <f>IF(ISBLANK('Data Entry'!$$357), "", 'Data Entry'!$$357)</f>
      </c>
      <c r="BQ357">
        <f>IF(ISBLANK('Data Entry'!$$357), "", 'Data Entry'!$$357)</f>
      </c>
      <c r="BR357">
        <f>IF(ISBLANK('Data Entry'!$$357), "", 'Data Entry'!$$357)</f>
      </c>
      <c r="BS357">
        <f>IF(ISBLANK('Data Entry'!$$357), "", 'Data Entry'!$$357)</f>
      </c>
      <c r="BT357">
        <f>IF(ISBLANK('Data Entry'!$$357), "", 'Data Entry'!$$357)</f>
      </c>
      <c r="BU357">
        <f>IF(ISBLANK('Data Entry'!$$357), "", 'Data Entry'!$$357)</f>
      </c>
      <c r="BV357">
        <f>IF(ISBLANK('Data Entry'!$$357), "", 'Data Entry'!$$357)</f>
      </c>
      <c r="BW357">
        <f>IF(ISBLANK('Data Entry'!$$357), "", 'Data Entry'!$$357)</f>
      </c>
      <c r="BX357">
        <f>IF(ISBLANK('Data Entry'!$$357), "", 'Data Entry'!$$357)</f>
      </c>
      <c r="BY357">
        <f>IF(ISBLANK('Data Entry'!$$357), "", 'Data Entry'!$$357)</f>
      </c>
      <c r="BZ357">
        <f>IF(ISBLANK('Data Entry'!$$357), "", 'Data Entry'!$$357)</f>
      </c>
      <c r="CA357">
        <f>IF(ISBLANK('Data Entry'!$$357), "", 'Data Entry'!$$357)</f>
      </c>
      <c r="CB357">
        <f>IF(ISBLANK('Data Entry'!$$357), "", 'Data Entry'!$$357)</f>
      </c>
      <c r="CC357">
        <f>IF(ISBLANK('Data Entry'!$$357), "", 'Data Entry'!$$357)</f>
      </c>
      <c r="CD357">
        <f>IF(ISBLANK('Data Entry'!$$357), "", 'Data Entry'!$$357)</f>
      </c>
      <c r="CE357">
        <f>IF(ISBLANK('Data Entry'!$$357), "", 'Data Entry'!$$357)</f>
      </c>
      <c r="CF357">
        <f>IF(ISBLANK('Data Entry'!$$357), "", 'Data Entry'!$$357)</f>
      </c>
      <c r="CG357">
        <f>IF(ISBLANK('Data Entry'!$$357), "", 'Data Entry'!$$357)</f>
      </c>
      <c r="CH357">
        <f>IF(ISBLANK('Data Entry'!$$357), "", 'Data Entry'!$$357)</f>
      </c>
      <c r="CI357">
        <f>IF(ISBLANK('Data Entry'!$$357), "", 'Data Entry'!$$357)</f>
      </c>
      <c r="CJ357">
        <f>IF(ISBLANK('Data Entry'!$$357), "", 'Data Entry'!$$357)</f>
      </c>
      <c r="CK357">
        <f>IF(ISBLANK('Data Entry'!$$357), "", 'Data Entry'!$$357)</f>
      </c>
      <c r="CL357">
        <f>IF(ISBLANK('Data Entry'!$$357), "", 'Data Entry'!$$357)</f>
      </c>
      <c r="CM357">
        <f>IF(ISBLANK('Data Entry'!$$357), "", 'Data Entry'!$$357)</f>
      </c>
      <c r="CN357">
        <f>IF(ISBLANK('Data Entry'!$$357), "", 'Data Entry'!$$357)</f>
      </c>
      <c r="CO357">
        <f>IF(ISBLANK('Data Entry'!$$357), "", 'Data Entry'!$$357)</f>
      </c>
      <c r="CP357">
        <f>IF(ISBLANK('Data Entry'!$$357), "", 'Data Entry'!$$357)</f>
      </c>
      <c r="CQ357">
        <f>IF(ISBLANK('Data Entry'!$$357), "", 'Data Entry'!$$357)</f>
      </c>
      <c r="CR357">
        <f>IF(ISBLANK('Data Entry'!$ $357), "", 'Data Entry'!$ $357)</f>
      </c>
      <c r="CS357">
        <f>IF(ISBLANK('Data Entry'!$¡$357), "", 'Data Entry'!$¡$357)</f>
      </c>
      <c r="CT357">
        <f>IF(ISBLANK('Data Entry'!$¢$357), "", 'Data Entry'!$¢$357)</f>
      </c>
      <c r="CU357">
        <f>IF(ISBLANK('Data Entry'!$£$357), "", 'Data Entry'!$£$357)</f>
      </c>
      <c r="CV357">
        <f>IF(ISBLANK('Data Entry'!$¤$357), "", 'Data Entry'!$¤$357)</f>
      </c>
      <c r="CW357">
        <f>IF(ISBLANK('Data Entry'!$¥$357), "", 'Data Entry'!$¥$357)</f>
      </c>
      <c r="CX357">
        <f>IF(ISBLANK('Data Entry'!$¦$357), "", 'Data Entry'!$¦$357)</f>
      </c>
      <c r="CY357">
        <f>IF(ISBLANK('Data Entry'!$§$357), "", 'Data Entry'!$§$357)</f>
      </c>
      <c r="CZ357">
        <f>IF(ISBLANK('Data Entry'!$¨$357), "", 'Data Entry'!$¨$357)</f>
      </c>
      <c r="DA357">
        <f>IF(ISBLANK('Data Entry'!$©$357), "", 'Data Entry'!$©$357)</f>
      </c>
      <c r="DB357">
        <f>IF(ISBLANK('Data Entry'!$ª$357), "", 'Data Entry'!$ª$357)</f>
      </c>
      <c r="DC357">
        <f>IF(ISBLANK('Data Entry'!$«$357), "", 'Data Entry'!$«$357)</f>
      </c>
      <c r="DD357">
        <f>IF(ISBLANK('Data Entry'!$¬$357), "", 'Data Entry'!$¬$357)</f>
      </c>
      <c r="DE357">
        <f>IF(ISBLANK('Data Entry'!$­$357), "", 'Data Entry'!$­$357)</f>
      </c>
      <c r="DF357">
        <f>IF(ISBLANK('Data Entry'!$®$357), "", 'Data Entry'!$®$357)</f>
      </c>
      <c r="DG357">
        <f>IF(ISBLANK('Data Entry'!$¯$357), "", 'Data Entry'!$¯$357)</f>
      </c>
      <c r="DH357">
        <f>IF(ISBLANK('Data Entry'!$°$357), "", 'Data Entry'!$°$357)</f>
      </c>
      <c r="DI357">
        <f>IF(ISBLANK('Data Entry'!$±$357), "", 'Data Entry'!$±$357)</f>
      </c>
      <c r="DJ357">
        <f>IF(ISBLANK('Data Entry'!$²$357), "", 'Data Entry'!$²$357)</f>
      </c>
      <c r="DK357">
        <f>IF(ISBLANK('Data Entry'!$³$357), "", 'Data Entry'!$³$357)</f>
      </c>
      <c r="DL357">
        <f>IF(ISBLANK('Data Entry'!$´$357), "", 'Data Entry'!$´$357)</f>
      </c>
      <c r="DM357">
        <f>IF(ISBLANK('Data Entry'!$µ$357), "", 'Data Entry'!$µ$357)</f>
      </c>
      <c r="DN357">
        <f>IF(ISBLANK('Data Entry'!$¶$357), "", 'Data Entry'!$¶$357)</f>
      </c>
      <c r="DO357">
        <f>IF(ISBLANK('Data Entry'!$·$357), "", 'Data Entry'!$·$357)</f>
      </c>
      <c r="DP357">
        <f>IF(ISBLANK('Data Entry'!$¸$357), "", 'Data Entry'!$¸$357)</f>
      </c>
      <c r="DQ357">
        <f>IF(ISBLANK('Data Entry'!$¹$357), "", 'Data Entry'!$¹$357)</f>
      </c>
      <c r="DR357">
        <f>IF(ISBLANK('Data Entry'!$º$357), "", 'Data Entry'!$º$357)</f>
      </c>
      <c r="DS357">
        <f>IF(ISBLANK('Data Entry'!$»$357), "", 'Data Entry'!$»$357)</f>
      </c>
      <c r="DT357">
        <f>IF(ISBLANK('Data Entry'!$¼$357), "", 'Data Entry'!$¼$357)</f>
      </c>
      <c r="DU357">
        <f>IF(ISBLANK('Data Entry'!$½$357), "", 'Data Entry'!$½$357)</f>
      </c>
      <c r="DV357">
        <f>IF(ISBLANK('Data Entry'!$¾$357), "", 'Data Entry'!$¾$357)</f>
      </c>
      <c r="DW357">
        <f>IF(ISBLANK('Data Entry'!$¿$357), "", 'Data Entry'!$¿$357)</f>
      </c>
      <c r="DX357">
        <f>IF(ISBLANK('Data Entry'!$À$357), "", 'Data Entry'!$À$357)</f>
      </c>
      <c r="DY357">
        <f>IF(ISBLANK('Data Entry'!$Á$357), "", 'Data Entry'!$Á$357)</f>
      </c>
      <c r="DZ357">
        <f>IF(ISBLANK('Data Entry'!$Â$357), "", 'Data Entry'!$Â$357)</f>
      </c>
      <c r="EA357">
        <f>IF(ISBLANK('Data Entry'!$Ã$357), "", 'Data Entry'!$Ã$357)</f>
      </c>
      <c r="EB357">
        <f>IF(ISBLANK('Data Entry'!$Ä$357), "", 'Data Entry'!$Ä$357)</f>
      </c>
      <c r="EC357">
        <f>IF(ISBLANK('Data Entry'!$Å$357), "", 'Data Entry'!$Å$357)</f>
      </c>
      <c r="ED357">
        <f>IF(ISBLANK('Data Entry'!$Æ$357), "", 'Data Entry'!$Æ$357)</f>
      </c>
      <c r="EE357">
        <f>IF(ISBLANK('Data Entry'!$Ç$357), "", 'Data Entry'!$Ç$357)</f>
      </c>
      <c r="EF357">
        <f>IF(ISBLANK('Data Entry'!$È$357), "", 'Data Entry'!$È$357)</f>
      </c>
      <c r="EG357">
        <f>IF(ISBLANK('Data Entry'!$É$357), "", 'Data Entry'!$É$357)</f>
      </c>
      <c r="EH357">
        <f>IF(ISBLANK('Data Entry'!$Ê$357), "", 'Data Entry'!$Ê$357)</f>
      </c>
      <c r="EI357">
        <f>IF(ISBLANK('Data Entry'!$Ë$357), "", 'Data Entry'!$Ë$357)</f>
      </c>
      <c r="EJ357">
        <f>IF(ISBLANK('Data Entry'!$Ì$357), "", 'Data Entry'!$Ì$357)</f>
      </c>
      <c r="EK357">
        <f>IF(ISBLANK('Data Entry'!$Í$357), "", 'Data Entry'!$Í$357)</f>
      </c>
      <c r="EL357">
        <f>IF(ISBLANK('Data Entry'!$Î$357), "", 'Data Entry'!$Î$357)</f>
      </c>
      <c r="EM357">
        <f>IF(ISBLANK('Data Entry'!$Ï$357), "", 'Data Entry'!$Ï$357)</f>
      </c>
      <c r="EN357">
        <f>IF(ISBLANK('Data Entry'!$Ð$357), "", 'Data Entry'!$Ð$357)</f>
      </c>
      <c r="EO357">
        <f>IF(ISBLANK('Data Entry'!$Ñ$357), "", 'Data Entry'!$Ñ$357)</f>
      </c>
      <c r="EP357">
        <f>IF(ISBLANK('Data Entry'!$Ò$357), "", 'Data Entry'!$Ò$357)</f>
      </c>
      <c r="EQ357">
        <f>IF(ISBLANK('Data Entry'!$Ó$357), "", 'Data Entry'!$Ó$357)</f>
      </c>
      <c r="ER357">
        <f>IF(ISBLANK('Data Entry'!$Ô$357), "", 'Data Entry'!$Ô$357)</f>
      </c>
      <c r="ES357">
        <f>IF(ISBLANK('Data Entry'!$Õ$357), "", 'Data Entry'!$Õ$357)</f>
      </c>
      <c r="ET357">
        <f>IF(ISBLANK('Data Entry'!$Ö$357), "", 'Data Entry'!$Ö$357)</f>
      </c>
      <c r="EU357">
        <f>IF(ISBLANK('Data Entry'!$×$357), "", 'Data Entry'!$×$357)</f>
      </c>
      <c r="EV357">
        <f>IF(ISBLANK('Data Entry'!$Ø$357), "", 'Data Entry'!$Ø$357)</f>
      </c>
      <c r="EW357">
        <f>IF(ISBLANK('Data Entry'!$Ù$357), "", 'Data Entry'!$Ù$357)</f>
      </c>
      <c r="EX357">
        <f>IF(ISBLANK('Data Entry'!$Ú$357), "", 'Data Entry'!$Ú$357)</f>
      </c>
      <c r="EY357">
        <f>IF(ISBLANK('Data Entry'!$Û$357), "", 'Data Entry'!$Û$357)</f>
      </c>
      <c r="EZ357">
        <f>IF(ISBLANK('Data Entry'!$Ü$357), "", 'Data Entry'!$Ü$357)</f>
      </c>
      <c r="FA357">
        <f>IF(ISBLANK('Data Entry'!$Ý$357), "", 'Data Entry'!$Ý$357)</f>
      </c>
      <c r="FB357">
        <f>IF(ISBLANK('Data Entry'!$Þ$357), "", 'Data Entry'!$Þ$357)</f>
      </c>
      <c r="FC357">
        <f>IF(ISBLANK('Data Entry'!$ß$357), "", 'Data Entry'!$ß$357)</f>
      </c>
      <c r="FD357">
        <f>IF(ISBLANK('Data Entry'!$à$357), "", 'Data Entry'!$à$357)</f>
      </c>
      <c r="FE357">
        <f>IF(ISBLANK('Data Entry'!$á$357), "", 'Data Entry'!$á$357)</f>
      </c>
      <c r="FF357">
        <f>IF(ISBLANK('Data Entry'!$â$357), "", 'Data Entry'!$â$357)</f>
      </c>
      <c r="FG357">
        <f>IF(ISBLANK('Data Entry'!$ã$357), "", 'Data Entry'!$ã$357)</f>
      </c>
      <c r="FH357">
        <f>IF(ISBLANK('Data Entry'!$ä$357), "", 'Data Entry'!$ä$357)</f>
      </c>
      <c r="FI357">
        <f>IF(ISBLANK('Data Entry'!$å$357), "", 'Data Entry'!$å$357)</f>
      </c>
      <c r="FJ357">
        <f>IF(ISBLANK('Data Entry'!$æ$357), "", 'Data Entry'!$æ$357)</f>
      </c>
      <c r="FK357">
        <f>IF(ISBLANK('Data Entry'!$ç$357), "", 'Data Entry'!$ç$357)</f>
      </c>
      <c r="FL357">
        <f>IF(ISBLANK('Data Entry'!$è$357), "", 'Data Entry'!$è$357)</f>
      </c>
      <c r="FM357">
        <f>IF(ISBLANK('Data Entry'!$é$357), "", 'Data Entry'!$é$357)</f>
      </c>
      <c r="FN357">
        <f>IF(ISBLANK('Data Entry'!$ê$357), "", 'Data Entry'!$ê$357)</f>
      </c>
      <c r="FO357">
        <f>IF(ISBLANK('Data Entry'!$ë$357), "", 'Data Entry'!$ë$357)</f>
      </c>
      <c r="FP357">
        <f>IF(ISBLANK('Data Entry'!$ì$357), "", 'Data Entry'!$ì$357)</f>
      </c>
      <c r="FQ357">
        <f>IF(ISBLANK('Data Entry'!$í$357), "", 'Data Entry'!$í$357)</f>
      </c>
      <c r="FR357">
        <f>IF(ISBLANK('Data Entry'!$î$357), "", 'Data Entry'!$î$357)</f>
      </c>
      <c r="FS357">
        <f>IF(ISBLANK('Data Entry'!$ï$357), "", 'Data Entry'!$ï$357)</f>
      </c>
      <c r="FT357">
        <f>IF(ISBLANK('Data Entry'!$ð$357), "", 'Data Entry'!$ð$357)</f>
      </c>
      <c r="FU357">
        <f>IF(ISBLANK('Data Entry'!$ñ$357), "", 'Data Entry'!$ñ$357)</f>
      </c>
      <c r="FV357">
        <f>IF(ISBLANK('Data Entry'!$ò$357), "", 'Data Entry'!$ò$357)</f>
      </c>
      <c r="FW357">
        <f>IF(ISBLANK('Data Entry'!$ó$357), "", 'Data Entry'!$ó$357)</f>
      </c>
      <c r="FX357">
        <f>IF(ISBLANK('Data Entry'!$ô$357), "", 'Data Entry'!$ô$357)</f>
      </c>
      <c r="FY357">
        <f>IF(ISBLANK('Data Entry'!$õ$357), "", 'Data Entry'!$õ$357)</f>
      </c>
      <c r="FZ357">
        <f>IF(ISBLANK('Data Entry'!$ö$357), "", 'Data Entry'!$ö$357)</f>
      </c>
      <c r="GA357">
        <f>IF(ISBLANK('Data Entry'!$÷$357), "", 'Data Entry'!$÷$357)</f>
      </c>
      <c r="GB357">
        <f>IF(ISBLANK('Data Entry'!$ø$357), "", 'Data Entry'!$ø$357)</f>
      </c>
      <c r="GC357">
        <f>IF(ISBLANK('Data Entry'!$ù$357), "", 'Data Entry'!$ù$357)</f>
      </c>
      <c r="GD357">
        <f>IF(ISBLANK('Data Entry'!$ú$357), "", 'Data Entry'!$ú$357)</f>
      </c>
      <c r="GE357">
        <f>IF(ISBLANK('Data Entry'!$û$357), "", 'Data Entry'!$û$357)</f>
      </c>
      <c r="GF357">
        <f>IF(ISBLANK('Data Entry'!$ü$357), "", 'Data Entry'!$ü$357)</f>
      </c>
      <c r="GG357">
        <f>IF(ISBLANK('Data Entry'!$ý$357), "", 'Data Entry'!$ý$357)</f>
      </c>
      <c r="GH357">
        <f>IF(ISBLANK('Data Entry'!$þ$357), "", 'Data Entry'!$þ$357)</f>
      </c>
      <c r="GI357">
        <f>IF(ISBLANK('Data Entry'!$ÿ$357), "", 'Data Entry'!$ÿ$357)</f>
      </c>
      <c r="GJ357">
        <f>IF(ISBLANK('Data Entry'!$Ā$357), "", 'Data Entry'!$Ā$357)</f>
      </c>
      <c r="GK357">
        <f>IF(ISBLANK('Data Entry'!$ā$357), "", 'Data Entry'!$ā$357)</f>
      </c>
      <c r="GL357">
        <f>IF(ISBLANK('Data Entry'!$Ă$357), "", 'Data Entry'!$Ă$357)</f>
      </c>
      <c r="GM357">
        <f>IF(ISBLANK('Data Entry'!$ă$357), "", 'Data Entry'!$ă$357)</f>
      </c>
      <c r="GN357">
        <f>IF(ISBLANK('Data Entry'!$Ą$357), "", 'Data Entry'!$Ą$357)</f>
      </c>
      <c r="GO357">
        <f>IF(ISBLANK('Data Entry'!$ą$357), "", 'Data Entry'!$ą$357)</f>
      </c>
      <c r="GP357">
        <f>IF(ISBLANK('Data Entry'!$Ć$357), "", 'Data Entry'!$Ć$357)</f>
      </c>
      <c r="GQ357">
        <f>IF(ISBLANK('Data Entry'!$ć$357), "", 'Data Entry'!$ć$357)</f>
      </c>
      <c r="GR357">
        <f>IF(ISBLANK('Data Entry'!$Ĉ$357), "", 'Data Entry'!$Ĉ$357)</f>
      </c>
      <c r="GS357">
        <f>IF(ISBLANK('Data Entry'!$ĉ$357), "", 'Data Entry'!$ĉ$357)</f>
      </c>
      <c r="GT357">
        <f>IF(ISBLANK('Data Entry'!$Ċ$357), "", 'Data Entry'!$Ċ$357)</f>
      </c>
      <c r="GU357">
        <f>IF(ISBLANK('Data Entry'!$ċ$357), "", 'Data Entry'!$ċ$357)</f>
      </c>
      <c r="GV357">
        <f>IF(ISBLANK('Data Entry'!$Č$357), "", 'Data Entry'!$Č$357)</f>
      </c>
      <c r="GW357">
        <f>IF(ISBLANK('Data Entry'!$č$357), "", 'Data Entry'!$č$357)</f>
      </c>
      <c r="GX357">
        <f>IF(ISBLANK('Data Entry'!$Ď$357), "", 'Data Entry'!$Ď$357)</f>
      </c>
      <c r="GY357">
        <f>IF(ISBLANK('Data Entry'!$ď$357), "", 'Data Entry'!$ď$357)</f>
      </c>
      <c r="GZ357">
        <f>IF(ISBLANK('Data Entry'!$Đ$357), "", 'Data Entry'!$Đ$357)</f>
      </c>
      <c r="HA357">
        <f>IF(ISBLANK('Data Entry'!$đ$357), "", 'Data Entry'!$đ$357)</f>
      </c>
      <c r="HB357">
        <f>IF(ISBLANK('Data Entry'!$Ē$357), "", 'Data Entry'!$Ē$357)</f>
      </c>
      <c r="HC357">
        <f>IF(ISBLANK('Data Entry'!$ē$357), "", 'Data Entry'!$ē$357)</f>
      </c>
      <c r="HD357">
        <f>IF(ISBLANK('Data Entry'!$Ĕ$357), "", 'Data Entry'!$Ĕ$357)</f>
      </c>
      <c r="HE357">
        <f>IF(ISBLANK('Data Entry'!$ĕ$357), "", 'Data Entry'!$ĕ$357)</f>
      </c>
      <c r="HF357">
        <f>IF(ISBLANK('Data Entry'!$Ė$357), "", 'Data Entry'!$Ė$357)</f>
      </c>
      <c r="HG357">
        <f>IF(ISBLANK('Data Entry'!$ė$357), "", 'Data Entry'!$ė$357)</f>
      </c>
      <c r="HH357">
        <f>IF(ISBLANK('Data Entry'!$Ę$357), "", 'Data Entry'!$Ę$357)</f>
      </c>
      <c r="HI357">
        <f>IF(ISBLANK('Data Entry'!$ę$357), "", 'Data Entry'!$ę$357)</f>
      </c>
      <c r="HJ357">
        <f>IF(ISBLANK('Data Entry'!$Ě$357), "", 'Data Entry'!$Ě$357)</f>
      </c>
      <c r="HK357">
        <f>IF(ISBLANK('Data Entry'!$ě$357), "", 'Data Entry'!$ě$357)</f>
      </c>
      <c r="HL357">
        <f>IF(ISBLANK('Data Entry'!$Ĝ$357), "", 'Data Entry'!$Ĝ$357)</f>
      </c>
      <c r="HM357">
        <f>IF(ISBLANK('Data Entry'!$ĝ$357), "", 'Data Entry'!$ĝ$357)</f>
      </c>
      <c r="HN357">
        <f>IF(ISBLANK('Data Entry'!$Ğ$357), "", 'Data Entry'!$Ğ$357)</f>
      </c>
      <c r="HO357">
        <f>IF(ISBLANK('Data Entry'!$ğ$357), "", 'Data Entry'!$ğ$357)</f>
      </c>
      <c r="HP357">
        <f>IF(ISBLANK('Data Entry'!$Ġ$357), "", 'Data Entry'!$Ġ$357)</f>
      </c>
      <c r="HQ357">
        <f>IF(ISBLANK('Data Entry'!$ġ$357), "", 'Data Entry'!$ġ$357)</f>
      </c>
      <c r="HR357">
        <f>IF(ISBLANK('Data Entry'!$Ģ$357), "", 'Data Entry'!$Ģ$357)</f>
      </c>
      <c r="HS357">
        <f>IF(ISBLANK('Data Entry'!$ģ$357), "", 'Data Entry'!$ģ$357)</f>
      </c>
      <c r="HT357">
        <f>IF(ISBLANK('Data Entry'!$Ĥ$357), "", 'Data Entry'!$Ĥ$357)</f>
      </c>
      <c r="HU357">
        <f>IF(ISBLANK('Data Entry'!$ĥ$357), "", 'Data Entry'!$ĥ$357)</f>
      </c>
      <c r="HV357">
        <f>IF(ISBLANK('Data Entry'!$Ħ$357), "", 'Data Entry'!$Ħ$357)</f>
      </c>
      <c r="HW357">
        <f>IF(ISBLANK('Data Entry'!$ħ$357), "", 'Data Entry'!$ħ$357)</f>
      </c>
      <c r="HX357">
        <f>IF(ISBLANK('Data Entry'!$Ĩ$357), "", 'Data Entry'!$Ĩ$357)</f>
      </c>
      <c r="HY357">
        <f>IF(ISBLANK('Data Entry'!$ĩ$357), "", 'Data Entry'!$ĩ$357)</f>
      </c>
      <c r="HZ357">
        <f>IF(ISBLANK('Data Entry'!$Ī$357), "", 'Data Entry'!$Ī$357)</f>
      </c>
      <c r="IA357">
        <f>IF(ISBLANK('Data Entry'!$ī$357), "", 'Data Entry'!$ī$357)</f>
      </c>
      <c r="IB357">
        <f>IF(ISBLANK('Data Entry'!$Ĭ$357), "", 'Data Entry'!$Ĭ$357)</f>
      </c>
      <c r="IC357">
        <f>IF(ISBLANK('Data Entry'!$ĭ$357), "", 'Data Entry'!$ĭ$357)</f>
      </c>
      <c r="ID357">
        <f>IF(ISBLANK('Data Entry'!$Į$357), "", 'Data Entry'!$Į$357)</f>
      </c>
      <c r="IE357">
        <f>IF(ISBLANK('Data Entry'!$į$357), "", 'Data Entry'!$į$357)</f>
      </c>
      <c r="IF357">
        <f>IF(ISBLANK('Data Entry'!$İ$357), "", 'Data Entry'!$İ$357)</f>
      </c>
      <c r="IG357">
        <f>IF(ISBLANK('Data Entry'!$ı$357), "", 'Data Entry'!$ı$357)</f>
      </c>
      <c r="IH357">
        <f>IF(ISBLANK('Data Entry'!$Ĳ$357), "", 'Data Entry'!$Ĳ$357)</f>
      </c>
      <c r="II357">
        <f>IF(ISBLANK('Data Entry'!$ĳ$357), "", 'Data Entry'!$ĳ$357)</f>
      </c>
      <c r="IJ357">
        <f>IF(ISBLANK('Data Entry'!$Ĵ$357), "", 'Data Entry'!$Ĵ$357)</f>
      </c>
      <c r="IK357">
        <f>IF(ISBLANK('Data Entry'!$ĵ$357), "", 'Data Entry'!$ĵ$357)</f>
      </c>
      <c r="IL357">
        <f>IF(ISBLANK('Data Entry'!$Ķ$357), "", 'Data Entry'!$Ķ$357)</f>
      </c>
      <c r="IM357">
        <f>IF(ISBLANK('Data Entry'!$ķ$357), "", 'Data Entry'!$ķ$357)</f>
      </c>
      <c r="IN357">
        <f>IF(ISBLANK('Data Entry'!$ĸ$357), "", 'Data Entry'!$ĸ$357)</f>
      </c>
      <c r="IO357">
        <f>IF(ISBLANK('Data Entry'!$Ĺ$357), "", 'Data Entry'!$Ĺ$357)</f>
      </c>
      <c r="IP357">
        <f>IF(ISBLANK('Data Entry'!$ĺ$357), "", 'Data Entry'!$ĺ$357)</f>
      </c>
      <c r="IQ357">
        <f>IF(ISBLANK('Data Entry'!$Ļ$357), "", 'Data Entry'!$Ļ$357)</f>
      </c>
      <c r="IR357">
        <f>IF(ISBLANK('Data Entry'!$ļ$357), "", 'Data Entry'!$ļ$357)</f>
      </c>
      <c r="IS357">
        <f>IF(ISBLANK('Data Entry'!$Ľ$357), "", 'Data Entry'!$Ľ$357)</f>
      </c>
      <c r="IT357">
        <f>IF(ISBLANK('Data Entry'!$ľ$357), "", 'Data Entry'!$ľ$357)</f>
      </c>
    </row>
    <row r="358" spans="1:254" x14ac:dyDescent="0.25">
      <c r="A358">
        <f>IF(ISBLANK('Data Entry'!$A$358), "", 'Data Entry'!$A$358)</f>
      </c>
      <c r="B358">
        <f>IF(ISBLANK('Data Entry'!$B$358), "", 'Data Entry'!$B$358)</f>
      </c>
      <c r="C358">
        <f>IF(ISBLANK('Data Entry'!$C$358), "", 'Data Entry'!$C$358)</f>
      </c>
      <c r="D358">
        <f>IF(ISBLANK('Data Entry'!$D$358), "", 'Data Entry'!$D$358)</f>
      </c>
      <c r="E358">
        <f>IF(ISBLANK('Data Entry'!$E$358), "", 'Data Entry'!$E$358)</f>
      </c>
      <c r="F358">
        <f>IF(ISBLANK('Data Entry'!$F$358), "", 'Data Entry'!$F$358)</f>
      </c>
      <c r="G358">
        <f>IF(ISBLANK('Data Entry'!$G$358), "", 'Data Entry'!$G$358)</f>
      </c>
      <c r="H358">
        <f>IF(ISBLANK('Data Entry'!$H$358), "", 'Data Entry'!$H$358)</f>
      </c>
      <c r="I358">
        <f>IF(ISBLANK('Data Entry'!$I$358), "", 'Data Entry'!$I$358)</f>
      </c>
      <c r="J358">
        <f>IF(ISBLANK('Data Entry'!$J$358), "", 'Data Entry'!$J$358)</f>
      </c>
      <c r="K358">
        <f>IF(ISBLANK('Data Entry'!$K$358), "", 'Data Entry'!$K$358)</f>
      </c>
      <c r="L358">
        <f>IF(ISBLANK('Data Entry'!$L$358), "", 'Data Entry'!$L$358)</f>
      </c>
      <c r="M358">
        <f>IF(ISBLANK('Data Entry'!$M$358), "", 'Data Entry'!$M$358)</f>
      </c>
      <c r="N358">
        <f>IF(ISBLANK('Data Entry'!$N$358), "", 'Data Entry'!$N$358)</f>
      </c>
      <c r="O358">
        <f>IF(ISBLANK('Data Entry'!$O$358), "", 'Data Entry'!$O$358)</f>
      </c>
      <c r="P358">
        <f>IF(ISBLANK('Data Entry'!$P$358), "", 'Data Entry'!$P$358)</f>
      </c>
      <c r="Q358">
        <f>IF(ISBLANK('Data Entry'!$Q$358), "", 'Data Entry'!$Q$358)</f>
      </c>
      <c r="R358">
        <f>IF(ISBLANK('Data Entry'!$R$358), "", 'Data Entry'!$R$358)</f>
      </c>
      <c r="S358">
        <f>IF(ISBLANK('Data Entry'!$S$358), "", 'Data Entry'!$S$358)</f>
      </c>
      <c r="T358">
        <f>IF(ISBLANK('Data Entry'!$T$358), "", 'Data Entry'!$T$358)</f>
      </c>
      <c r="U358">
        <f>IF(ISBLANK('Data Entry'!$U$358), "", 'Data Entry'!$U$358)</f>
      </c>
      <c r="V358">
        <f>IF(ISBLANK('Data Entry'!$V$358), "", 'Data Entry'!$V$358)</f>
      </c>
      <c r="W358">
        <f>IF(ISBLANK('Data Entry'!$W$358), "", 'Data Entry'!$W$358)</f>
      </c>
      <c r="X358">
        <f>IF(ISBLANK('Data Entry'!$X$358), "", 'Data Entry'!$X$358)</f>
      </c>
      <c r="Y358">
        <f>IF(ISBLANK('Data Entry'!$Y$358), "", 'Data Entry'!$Y$358)</f>
      </c>
      <c r="Z358">
        <f>IF(ISBLANK('Data Entry'!$Z$358), "", 'Data Entry'!$Z$358)</f>
      </c>
      <c r="AA358">
        <f>IF(ISBLANK('Data Entry'!$[$358), "", 'Data Entry'!$[$358)</f>
      </c>
      <c r="AB358">
        <f>IF(ISBLANK('Data Entry'!$\$358), "", 'Data Entry'!$\$358)</f>
      </c>
      <c r="AC358">
        <f>IF(ISBLANK('Data Entry'!$]$358), "", 'Data Entry'!$]$358)</f>
      </c>
      <c r="AD358">
        <f>IF(ISBLANK('Data Entry'!$^$358), "", 'Data Entry'!$^$358)</f>
      </c>
      <c r="AE358">
        <f>IF(ISBLANK('Data Entry'!$_$358), "", 'Data Entry'!$_$358)</f>
      </c>
      <c r="AF358">
        <f>IF(ISBLANK('Data Entry'!$`$358), "", 'Data Entry'!$`$358)</f>
      </c>
      <c r="AG358">
        <f>IF(ISBLANK('Data Entry'!$a$358), "", 'Data Entry'!$a$358)</f>
      </c>
      <c r="AH358">
        <f>IF(ISBLANK('Data Entry'!$b$358), "", 'Data Entry'!$b$358)</f>
      </c>
      <c r="AI358">
        <f>IF(ISBLANK('Data Entry'!$c$358), "", 'Data Entry'!$c$358)</f>
      </c>
      <c r="AJ358">
        <f>IF(ISBLANK('Data Entry'!$d$358), "", 'Data Entry'!$d$358)</f>
      </c>
      <c r="AK358">
        <f>IF(ISBLANK('Data Entry'!$e$358), "", 'Data Entry'!$e$358)</f>
      </c>
      <c r="AL358">
        <f>IF(ISBLANK('Data Entry'!$f$358), "", 'Data Entry'!$f$358)</f>
      </c>
      <c r="AM358">
        <f>IF(ISBLANK('Data Entry'!$g$358), "", 'Data Entry'!$g$358)</f>
      </c>
      <c r="AN358">
        <f>IF(ISBLANK('Data Entry'!$h$358), "", 'Data Entry'!$h$358)</f>
      </c>
      <c r="AO358">
        <f>IF(ISBLANK('Data Entry'!$i$358), "", 'Data Entry'!$i$358)</f>
      </c>
      <c r="AP358">
        <f>IF(ISBLANK('Data Entry'!$j$358), "", 'Data Entry'!$j$358)</f>
      </c>
      <c r="AQ358">
        <f>IF(ISBLANK('Data Entry'!$k$358), "", 'Data Entry'!$k$358)</f>
      </c>
      <c r="AR358">
        <f>IF(ISBLANK('Data Entry'!$l$358), "", 'Data Entry'!$l$358)</f>
      </c>
      <c r="AS358">
        <f>IF(ISBLANK('Data Entry'!$m$358), "", 'Data Entry'!$m$358)</f>
      </c>
      <c r="AT358">
        <f>IF(ISBLANK('Data Entry'!$n$358), "", 'Data Entry'!$n$358)</f>
      </c>
      <c r="AU358">
        <f>IF(ISBLANK('Data Entry'!$o$358), "", 'Data Entry'!$o$358)</f>
      </c>
      <c r="AV358">
        <f>IF(ISBLANK('Data Entry'!$p$358), "", 'Data Entry'!$p$358)</f>
      </c>
      <c r="AW358">
        <f>IF(ISBLANK('Data Entry'!$q$358), "", 'Data Entry'!$q$358)</f>
      </c>
      <c r="AX358">
        <f>IF(ISBLANK('Data Entry'!$r$358), "", 'Data Entry'!$r$358)</f>
      </c>
      <c r="AY358">
        <f>IF(ISBLANK('Data Entry'!$s$358), "", 'Data Entry'!$s$358)</f>
      </c>
      <c r="AZ358">
        <f>IF(ISBLANK('Data Entry'!$t$358), "", 'Data Entry'!$t$358)</f>
      </c>
      <c r="BA358">
        <f>IF(ISBLANK('Data Entry'!$u$358), "", 'Data Entry'!$u$358)</f>
      </c>
      <c r="BB358">
        <f>IF(ISBLANK('Data Entry'!$v$358), "", 'Data Entry'!$v$358)</f>
      </c>
      <c r="BC358">
        <f>IF(ISBLANK('Data Entry'!$w$358), "", 'Data Entry'!$w$358)</f>
      </c>
      <c r="BD358">
        <f>IF(ISBLANK('Data Entry'!$x$358), "", 'Data Entry'!$x$358)</f>
      </c>
      <c r="BE358">
        <f>IF(ISBLANK('Data Entry'!$y$358), "", 'Data Entry'!$y$358)</f>
      </c>
      <c r="BF358">
        <f>IF(ISBLANK('Data Entry'!$z$358), "", 'Data Entry'!$z$358)</f>
      </c>
      <c r="BG358">
        <f>IF(ISBLANK('Data Entry'!${$358), "", 'Data Entry'!${$358)</f>
      </c>
      <c r="BH358">
        <f>IF(ISBLANK('Data Entry'!$|$358), "", 'Data Entry'!$|$358)</f>
      </c>
      <c r="BI358">
        <f>IF(ISBLANK('Data Entry'!$}$358), "", 'Data Entry'!$}$358)</f>
      </c>
      <c r="BJ358">
        <f>IF(ISBLANK('Data Entry'!$~$358), "", 'Data Entry'!$~$358)</f>
      </c>
      <c r="BK358">
        <f>IF(ISBLANK('Data Entry'!$$358), "", 'Data Entry'!$$358)</f>
      </c>
      <c r="BL358">
        <f>IF(ISBLANK('Data Entry'!$$358), "", 'Data Entry'!$$358)</f>
      </c>
      <c r="BM358">
        <f>IF(ISBLANK('Data Entry'!$$358), "", 'Data Entry'!$$358)</f>
      </c>
      <c r="BN358">
        <f>IF(ISBLANK('Data Entry'!$$358), "", 'Data Entry'!$$358)</f>
      </c>
      <c r="BO358">
        <f>IF(ISBLANK('Data Entry'!$$358), "", 'Data Entry'!$$358)</f>
      </c>
      <c r="BP358">
        <f>IF(ISBLANK('Data Entry'!$$358), "", 'Data Entry'!$$358)</f>
      </c>
      <c r="BQ358">
        <f>IF(ISBLANK('Data Entry'!$$358), "", 'Data Entry'!$$358)</f>
      </c>
      <c r="BR358">
        <f>IF(ISBLANK('Data Entry'!$$358), "", 'Data Entry'!$$358)</f>
      </c>
      <c r="BS358">
        <f>IF(ISBLANK('Data Entry'!$$358), "", 'Data Entry'!$$358)</f>
      </c>
      <c r="BT358">
        <f>IF(ISBLANK('Data Entry'!$$358), "", 'Data Entry'!$$358)</f>
      </c>
      <c r="BU358">
        <f>IF(ISBLANK('Data Entry'!$$358), "", 'Data Entry'!$$358)</f>
      </c>
      <c r="BV358">
        <f>IF(ISBLANK('Data Entry'!$$358), "", 'Data Entry'!$$358)</f>
      </c>
      <c r="BW358">
        <f>IF(ISBLANK('Data Entry'!$$358), "", 'Data Entry'!$$358)</f>
      </c>
      <c r="BX358">
        <f>IF(ISBLANK('Data Entry'!$$358), "", 'Data Entry'!$$358)</f>
      </c>
      <c r="BY358">
        <f>IF(ISBLANK('Data Entry'!$$358), "", 'Data Entry'!$$358)</f>
      </c>
      <c r="BZ358">
        <f>IF(ISBLANK('Data Entry'!$$358), "", 'Data Entry'!$$358)</f>
      </c>
      <c r="CA358">
        <f>IF(ISBLANK('Data Entry'!$$358), "", 'Data Entry'!$$358)</f>
      </c>
      <c r="CB358">
        <f>IF(ISBLANK('Data Entry'!$$358), "", 'Data Entry'!$$358)</f>
      </c>
      <c r="CC358">
        <f>IF(ISBLANK('Data Entry'!$$358), "", 'Data Entry'!$$358)</f>
      </c>
      <c r="CD358">
        <f>IF(ISBLANK('Data Entry'!$$358), "", 'Data Entry'!$$358)</f>
      </c>
      <c r="CE358">
        <f>IF(ISBLANK('Data Entry'!$$358), "", 'Data Entry'!$$358)</f>
      </c>
      <c r="CF358">
        <f>IF(ISBLANK('Data Entry'!$$358), "", 'Data Entry'!$$358)</f>
      </c>
      <c r="CG358">
        <f>IF(ISBLANK('Data Entry'!$$358), "", 'Data Entry'!$$358)</f>
      </c>
      <c r="CH358">
        <f>IF(ISBLANK('Data Entry'!$$358), "", 'Data Entry'!$$358)</f>
      </c>
      <c r="CI358">
        <f>IF(ISBLANK('Data Entry'!$$358), "", 'Data Entry'!$$358)</f>
      </c>
      <c r="CJ358">
        <f>IF(ISBLANK('Data Entry'!$$358), "", 'Data Entry'!$$358)</f>
      </c>
      <c r="CK358">
        <f>IF(ISBLANK('Data Entry'!$$358), "", 'Data Entry'!$$358)</f>
      </c>
      <c r="CL358">
        <f>IF(ISBLANK('Data Entry'!$$358), "", 'Data Entry'!$$358)</f>
      </c>
      <c r="CM358">
        <f>IF(ISBLANK('Data Entry'!$$358), "", 'Data Entry'!$$358)</f>
      </c>
      <c r="CN358">
        <f>IF(ISBLANK('Data Entry'!$$358), "", 'Data Entry'!$$358)</f>
      </c>
      <c r="CO358">
        <f>IF(ISBLANK('Data Entry'!$$358), "", 'Data Entry'!$$358)</f>
      </c>
      <c r="CP358">
        <f>IF(ISBLANK('Data Entry'!$$358), "", 'Data Entry'!$$358)</f>
      </c>
      <c r="CQ358">
        <f>IF(ISBLANK('Data Entry'!$$358), "", 'Data Entry'!$$358)</f>
      </c>
      <c r="CR358">
        <f>IF(ISBLANK('Data Entry'!$ $358), "", 'Data Entry'!$ $358)</f>
      </c>
      <c r="CS358">
        <f>IF(ISBLANK('Data Entry'!$¡$358), "", 'Data Entry'!$¡$358)</f>
      </c>
      <c r="CT358">
        <f>IF(ISBLANK('Data Entry'!$¢$358), "", 'Data Entry'!$¢$358)</f>
      </c>
      <c r="CU358">
        <f>IF(ISBLANK('Data Entry'!$£$358), "", 'Data Entry'!$£$358)</f>
      </c>
      <c r="CV358">
        <f>IF(ISBLANK('Data Entry'!$¤$358), "", 'Data Entry'!$¤$358)</f>
      </c>
      <c r="CW358">
        <f>IF(ISBLANK('Data Entry'!$¥$358), "", 'Data Entry'!$¥$358)</f>
      </c>
      <c r="CX358">
        <f>IF(ISBLANK('Data Entry'!$¦$358), "", 'Data Entry'!$¦$358)</f>
      </c>
      <c r="CY358">
        <f>IF(ISBLANK('Data Entry'!$§$358), "", 'Data Entry'!$§$358)</f>
      </c>
      <c r="CZ358">
        <f>IF(ISBLANK('Data Entry'!$¨$358), "", 'Data Entry'!$¨$358)</f>
      </c>
      <c r="DA358">
        <f>IF(ISBLANK('Data Entry'!$©$358), "", 'Data Entry'!$©$358)</f>
      </c>
      <c r="DB358">
        <f>IF(ISBLANK('Data Entry'!$ª$358), "", 'Data Entry'!$ª$358)</f>
      </c>
      <c r="DC358">
        <f>IF(ISBLANK('Data Entry'!$«$358), "", 'Data Entry'!$«$358)</f>
      </c>
      <c r="DD358">
        <f>IF(ISBLANK('Data Entry'!$¬$358), "", 'Data Entry'!$¬$358)</f>
      </c>
      <c r="DE358">
        <f>IF(ISBLANK('Data Entry'!$­$358), "", 'Data Entry'!$­$358)</f>
      </c>
      <c r="DF358">
        <f>IF(ISBLANK('Data Entry'!$®$358), "", 'Data Entry'!$®$358)</f>
      </c>
      <c r="DG358">
        <f>IF(ISBLANK('Data Entry'!$¯$358), "", 'Data Entry'!$¯$358)</f>
      </c>
      <c r="DH358">
        <f>IF(ISBLANK('Data Entry'!$°$358), "", 'Data Entry'!$°$358)</f>
      </c>
      <c r="DI358">
        <f>IF(ISBLANK('Data Entry'!$±$358), "", 'Data Entry'!$±$358)</f>
      </c>
      <c r="DJ358">
        <f>IF(ISBLANK('Data Entry'!$²$358), "", 'Data Entry'!$²$358)</f>
      </c>
      <c r="DK358">
        <f>IF(ISBLANK('Data Entry'!$³$358), "", 'Data Entry'!$³$358)</f>
      </c>
      <c r="DL358">
        <f>IF(ISBLANK('Data Entry'!$´$358), "", 'Data Entry'!$´$358)</f>
      </c>
      <c r="DM358">
        <f>IF(ISBLANK('Data Entry'!$µ$358), "", 'Data Entry'!$µ$358)</f>
      </c>
      <c r="DN358">
        <f>IF(ISBLANK('Data Entry'!$¶$358), "", 'Data Entry'!$¶$358)</f>
      </c>
      <c r="DO358">
        <f>IF(ISBLANK('Data Entry'!$·$358), "", 'Data Entry'!$·$358)</f>
      </c>
      <c r="DP358">
        <f>IF(ISBLANK('Data Entry'!$¸$358), "", 'Data Entry'!$¸$358)</f>
      </c>
      <c r="DQ358">
        <f>IF(ISBLANK('Data Entry'!$¹$358), "", 'Data Entry'!$¹$358)</f>
      </c>
      <c r="DR358">
        <f>IF(ISBLANK('Data Entry'!$º$358), "", 'Data Entry'!$º$358)</f>
      </c>
      <c r="DS358">
        <f>IF(ISBLANK('Data Entry'!$»$358), "", 'Data Entry'!$»$358)</f>
      </c>
      <c r="DT358">
        <f>IF(ISBLANK('Data Entry'!$¼$358), "", 'Data Entry'!$¼$358)</f>
      </c>
      <c r="DU358">
        <f>IF(ISBLANK('Data Entry'!$½$358), "", 'Data Entry'!$½$358)</f>
      </c>
      <c r="DV358">
        <f>IF(ISBLANK('Data Entry'!$¾$358), "", 'Data Entry'!$¾$358)</f>
      </c>
      <c r="DW358">
        <f>IF(ISBLANK('Data Entry'!$¿$358), "", 'Data Entry'!$¿$358)</f>
      </c>
      <c r="DX358">
        <f>IF(ISBLANK('Data Entry'!$À$358), "", 'Data Entry'!$À$358)</f>
      </c>
      <c r="DY358">
        <f>IF(ISBLANK('Data Entry'!$Á$358), "", 'Data Entry'!$Á$358)</f>
      </c>
      <c r="DZ358">
        <f>IF(ISBLANK('Data Entry'!$Â$358), "", 'Data Entry'!$Â$358)</f>
      </c>
      <c r="EA358">
        <f>IF(ISBLANK('Data Entry'!$Ã$358), "", 'Data Entry'!$Ã$358)</f>
      </c>
      <c r="EB358">
        <f>IF(ISBLANK('Data Entry'!$Ä$358), "", 'Data Entry'!$Ä$358)</f>
      </c>
      <c r="EC358">
        <f>IF(ISBLANK('Data Entry'!$Å$358), "", 'Data Entry'!$Å$358)</f>
      </c>
      <c r="ED358">
        <f>IF(ISBLANK('Data Entry'!$Æ$358), "", 'Data Entry'!$Æ$358)</f>
      </c>
      <c r="EE358">
        <f>IF(ISBLANK('Data Entry'!$Ç$358), "", 'Data Entry'!$Ç$358)</f>
      </c>
      <c r="EF358">
        <f>IF(ISBLANK('Data Entry'!$È$358), "", 'Data Entry'!$È$358)</f>
      </c>
      <c r="EG358">
        <f>IF(ISBLANK('Data Entry'!$É$358), "", 'Data Entry'!$É$358)</f>
      </c>
      <c r="EH358">
        <f>IF(ISBLANK('Data Entry'!$Ê$358), "", 'Data Entry'!$Ê$358)</f>
      </c>
      <c r="EI358">
        <f>IF(ISBLANK('Data Entry'!$Ë$358), "", 'Data Entry'!$Ë$358)</f>
      </c>
      <c r="EJ358">
        <f>IF(ISBLANK('Data Entry'!$Ì$358), "", 'Data Entry'!$Ì$358)</f>
      </c>
      <c r="EK358">
        <f>IF(ISBLANK('Data Entry'!$Í$358), "", 'Data Entry'!$Í$358)</f>
      </c>
      <c r="EL358">
        <f>IF(ISBLANK('Data Entry'!$Î$358), "", 'Data Entry'!$Î$358)</f>
      </c>
      <c r="EM358">
        <f>IF(ISBLANK('Data Entry'!$Ï$358), "", 'Data Entry'!$Ï$358)</f>
      </c>
      <c r="EN358">
        <f>IF(ISBLANK('Data Entry'!$Ð$358), "", 'Data Entry'!$Ð$358)</f>
      </c>
      <c r="EO358">
        <f>IF(ISBLANK('Data Entry'!$Ñ$358), "", 'Data Entry'!$Ñ$358)</f>
      </c>
      <c r="EP358">
        <f>IF(ISBLANK('Data Entry'!$Ò$358), "", 'Data Entry'!$Ò$358)</f>
      </c>
      <c r="EQ358">
        <f>IF(ISBLANK('Data Entry'!$Ó$358), "", 'Data Entry'!$Ó$358)</f>
      </c>
      <c r="ER358">
        <f>IF(ISBLANK('Data Entry'!$Ô$358), "", 'Data Entry'!$Ô$358)</f>
      </c>
      <c r="ES358">
        <f>IF(ISBLANK('Data Entry'!$Õ$358), "", 'Data Entry'!$Õ$358)</f>
      </c>
      <c r="ET358">
        <f>IF(ISBLANK('Data Entry'!$Ö$358), "", 'Data Entry'!$Ö$358)</f>
      </c>
      <c r="EU358">
        <f>IF(ISBLANK('Data Entry'!$×$358), "", 'Data Entry'!$×$358)</f>
      </c>
      <c r="EV358">
        <f>IF(ISBLANK('Data Entry'!$Ø$358), "", 'Data Entry'!$Ø$358)</f>
      </c>
      <c r="EW358">
        <f>IF(ISBLANK('Data Entry'!$Ù$358), "", 'Data Entry'!$Ù$358)</f>
      </c>
      <c r="EX358">
        <f>IF(ISBLANK('Data Entry'!$Ú$358), "", 'Data Entry'!$Ú$358)</f>
      </c>
      <c r="EY358">
        <f>IF(ISBLANK('Data Entry'!$Û$358), "", 'Data Entry'!$Û$358)</f>
      </c>
      <c r="EZ358">
        <f>IF(ISBLANK('Data Entry'!$Ü$358), "", 'Data Entry'!$Ü$358)</f>
      </c>
      <c r="FA358">
        <f>IF(ISBLANK('Data Entry'!$Ý$358), "", 'Data Entry'!$Ý$358)</f>
      </c>
      <c r="FB358">
        <f>IF(ISBLANK('Data Entry'!$Þ$358), "", 'Data Entry'!$Þ$358)</f>
      </c>
      <c r="FC358">
        <f>IF(ISBLANK('Data Entry'!$ß$358), "", 'Data Entry'!$ß$358)</f>
      </c>
      <c r="FD358">
        <f>IF(ISBLANK('Data Entry'!$à$358), "", 'Data Entry'!$à$358)</f>
      </c>
      <c r="FE358">
        <f>IF(ISBLANK('Data Entry'!$á$358), "", 'Data Entry'!$á$358)</f>
      </c>
      <c r="FF358">
        <f>IF(ISBLANK('Data Entry'!$â$358), "", 'Data Entry'!$â$358)</f>
      </c>
      <c r="FG358">
        <f>IF(ISBLANK('Data Entry'!$ã$358), "", 'Data Entry'!$ã$358)</f>
      </c>
      <c r="FH358">
        <f>IF(ISBLANK('Data Entry'!$ä$358), "", 'Data Entry'!$ä$358)</f>
      </c>
      <c r="FI358">
        <f>IF(ISBLANK('Data Entry'!$å$358), "", 'Data Entry'!$å$358)</f>
      </c>
      <c r="FJ358">
        <f>IF(ISBLANK('Data Entry'!$æ$358), "", 'Data Entry'!$æ$358)</f>
      </c>
      <c r="FK358">
        <f>IF(ISBLANK('Data Entry'!$ç$358), "", 'Data Entry'!$ç$358)</f>
      </c>
      <c r="FL358">
        <f>IF(ISBLANK('Data Entry'!$è$358), "", 'Data Entry'!$è$358)</f>
      </c>
      <c r="FM358">
        <f>IF(ISBLANK('Data Entry'!$é$358), "", 'Data Entry'!$é$358)</f>
      </c>
      <c r="FN358">
        <f>IF(ISBLANK('Data Entry'!$ê$358), "", 'Data Entry'!$ê$358)</f>
      </c>
      <c r="FO358">
        <f>IF(ISBLANK('Data Entry'!$ë$358), "", 'Data Entry'!$ë$358)</f>
      </c>
      <c r="FP358">
        <f>IF(ISBLANK('Data Entry'!$ì$358), "", 'Data Entry'!$ì$358)</f>
      </c>
      <c r="FQ358">
        <f>IF(ISBLANK('Data Entry'!$í$358), "", 'Data Entry'!$í$358)</f>
      </c>
      <c r="FR358">
        <f>IF(ISBLANK('Data Entry'!$î$358), "", 'Data Entry'!$î$358)</f>
      </c>
      <c r="FS358">
        <f>IF(ISBLANK('Data Entry'!$ï$358), "", 'Data Entry'!$ï$358)</f>
      </c>
      <c r="FT358">
        <f>IF(ISBLANK('Data Entry'!$ð$358), "", 'Data Entry'!$ð$358)</f>
      </c>
      <c r="FU358">
        <f>IF(ISBLANK('Data Entry'!$ñ$358), "", 'Data Entry'!$ñ$358)</f>
      </c>
      <c r="FV358">
        <f>IF(ISBLANK('Data Entry'!$ò$358), "", 'Data Entry'!$ò$358)</f>
      </c>
      <c r="FW358">
        <f>IF(ISBLANK('Data Entry'!$ó$358), "", 'Data Entry'!$ó$358)</f>
      </c>
      <c r="FX358">
        <f>IF(ISBLANK('Data Entry'!$ô$358), "", 'Data Entry'!$ô$358)</f>
      </c>
      <c r="FY358">
        <f>IF(ISBLANK('Data Entry'!$õ$358), "", 'Data Entry'!$õ$358)</f>
      </c>
      <c r="FZ358">
        <f>IF(ISBLANK('Data Entry'!$ö$358), "", 'Data Entry'!$ö$358)</f>
      </c>
      <c r="GA358">
        <f>IF(ISBLANK('Data Entry'!$÷$358), "", 'Data Entry'!$÷$358)</f>
      </c>
      <c r="GB358">
        <f>IF(ISBLANK('Data Entry'!$ø$358), "", 'Data Entry'!$ø$358)</f>
      </c>
      <c r="GC358">
        <f>IF(ISBLANK('Data Entry'!$ù$358), "", 'Data Entry'!$ù$358)</f>
      </c>
      <c r="GD358">
        <f>IF(ISBLANK('Data Entry'!$ú$358), "", 'Data Entry'!$ú$358)</f>
      </c>
      <c r="GE358">
        <f>IF(ISBLANK('Data Entry'!$û$358), "", 'Data Entry'!$û$358)</f>
      </c>
      <c r="GF358">
        <f>IF(ISBLANK('Data Entry'!$ü$358), "", 'Data Entry'!$ü$358)</f>
      </c>
      <c r="GG358">
        <f>IF(ISBLANK('Data Entry'!$ý$358), "", 'Data Entry'!$ý$358)</f>
      </c>
      <c r="GH358">
        <f>IF(ISBLANK('Data Entry'!$þ$358), "", 'Data Entry'!$þ$358)</f>
      </c>
      <c r="GI358">
        <f>IF(ISBLANK('Data Entry'!$ÿ$358), "", 'Data Entry'!$ÿ$358)</f>
      </c>
      <c r="GJ358">
        <f>IF(ISBLANK('Data Entry'!$Ā$358), "", 'Data Entry'!$Ā$358)</f>
      </c>
      <c r="GK358">
        <f>IF(ISBLANK('Data Entry'!$ā$358), "", 'Data Entry'!$ā$358)</f>
      </c>
      <c r="GL358">
        <f>IF(ISBLANK('Data Entry'!$Ă$358), "", 'Data Entry'!$Ă$358)</f>
      </c>
      <c r="GM358">
        <f>IF(ISBLANK('Data Entry'!$ă$358), "", 'Data Entry'!$ă$358)</f>
      </c>
      <c r="GN358">
        <f>IF(ISBLANK('Data Entry'!$Ą$358), "", 'Data Entry'!$Ą$358)</f>
      </c>
      <c r="GO358">
        <f>IF(ISBLANK('Data Entry'!$ą$358), "", 'Data Entry'!$ą$358)</f>
      </c>
      <c r="GP358">
        <f>IF(ISBLANK('Data Entry'!$Ć$358), "", 'Data Entry'!$Ć$358)</f>
      </c>
      <c r="GQ358">
        <f>IF(ISBLANK('Data Entry'!$ć$358), "", 'Data Entry'!$ć$358)</f>
      </c>
      <c r="GR358">
        <f>IF(ISBLANK('Data Entry'!$Ĉ$358), "", 'Data Entry'!$Ĉ$358)</f>
      </c>
      <c r="GS358">
        <f>IF(ISBLANK('Data Entry'!$ĉ$358), "", 'Data Entry'!$ĉ$358)</f>
      </c>
      <c r="GT358">
        <f>IF(ISBLANK('Data Entry'!$Ċ$358), "", 'Data Entry'!$Ċ$358)</f>
      </c>
      <c r="GU358">
        <f>IF(ISBLANK('Data Entry'!$ċ$358), "", 'Data Entry'!$ċ$358)</f>
      </c>
      <c r="GV358">
        <f>IF(ISBLANK('Data Entry'!$Č$358), "", 'Data Entry'!$Č$358)</f>
      </c>
      <c r="GW358">
        <f>IF(ISBLANK('Data Entry'!$č$358), "", 'Data Entry'!$č$358)</f>
      </c>
      <c r="GX358">
        <f>IF(ISBLANK('Data Entry'!$Ď$358), "", 'Data Entry'!$Ď$358)</f>
      </c>
      <c r="GY358">
        <f>IF(ISBLANK('Data Entry'!$ď$358), "", 'Data Entry'!$ď$358)</f>
      </c>
      <c r="GZ358">
        <f>IF(ISBLANK('Data Entry'!$Đ$358), "", 'Data Entry'!$Đ$358)</f>
      </c>
      <c r="HA358">
        <f>IF(ISBLANK('Data Entry'!$đ$358), "", 'Data Entry'!$đ$358)</f>
      </c>
      <c r="HB358">
        <f>IF(ISBLANK('Data Entry'!$Ē$358), "", 'Data Entry'!$Ē$358)</f>
      </c>
      <c r="HC358">
        <f>IF(ISBLANK('Data Entry'!$ē$358), "", 'Data Entry'!$ē$358)</f>
      </c>
      <c r="HD358">
        <f>IF(ISBLANK('Data Entry'!$Ĕ$358), "", 'Data Entry'!$Ĕ$358)</f>
      </c>
      <c r="HE358">
        <f>IF(ISBLANK('Data Entry'!$ĕ$358), "", 'Data Entry'!$ĕ$358)</f>
      </c>
      <c r="HF358">
        <f>IF(ISBLANK('Data Entry'!$Ė$358), "", 'Data Entry'!$Ė$358)</f>
      </c>
      <c r="HG358">
        <f>IF(ISBLANK('Data Entry'!$ė$358), "", 'Data Entry'!$ė$358)</f>
      </c>
      <c r="HH358">
        <f>IF(ISBLANK('Data Entry'!$Ę$358), "", 'Data Entry'!$Ę$358)</f>
      </c>
      <c r="HI358">
        <f>IF(ISBLANK('Data Entry'!$ę$358), "", 'Data Entry'!$ę$358)</f>
      </c>
      <c r="HJ358">
        <f>IF(ISBLANK('Data Entry'!$Ě$358), "", 'Data Entry'!$Ě$358)</f>
      </c>
      <c r="HK358">
        <f>IF(ISBLANK('Data Entry'!$ě$358), "", 'Data Entry'!$ě$358)</f>
      </c>
      <c r="HL358">
        <f>IF(ISBLANK('Data Entry'!$Ĝ$358), "", 'Data Entry'!$Ĝ$358)</f>
      </c>
      <c r="HM358">
        <f>IF(ISBLANK('Data Entry'!$ĝ$358), "", 'Data Entry'!$ĝ$358)</f>
      </c>
      <c r="HN358">
        <f>IF(ISBLANK('Data Entry'!$Ğ$358), "", 'Data Entry'!$Ğ$358)</f>
      </c>
      <c r="HO358">
        <f>IF(ISBLANK('Data Entry'!$ğ$358), "", 'Data Entry'!$ğ$358)</f>
      </c>
      <c r="HP358">
        <f>IF(ISBLANK('Data Entry'!$Ġ$358), "", 'Data Entry'!$Ġ$358)</f>
      </c>
      <c r="HQ358">
        <f>IF(ISBLANK('Data Entry'!$ġ$358), "", 'Data Entry'!$ġ$358)</f>
      </c>
      <c r="HR358">
        <f>IF(ISBLANK('Data Entry'!$Ģ$358), "", 'Data Entry'!$Ģ$358)</f>
      </c>
      <c r="HS358">
        <f>IF(ISBLANK('Data Entry'!$ģ$358), "", 'Data Entry'!$ģ$358)</f>
      </c>
      <c r="HT358">
        <f>IF(ISBLANK('Data Entry'!$Ĥ$358), "", 'Data Entry'!$Ĥ$358)</f>
      </c>
      <c r="HU358">
        <f>IF(ISBLANK('Data Entry'!$ĥ$358), "", 'Data Entry'!$ĥ$358)</f>
      </c>
      <c r="HV358">
        <f>IF(ISBLANK('Data Entry'!$Ħ$358), "", 'Data Entry'!$Ħ$358)</f>
      </c>
      <c r="HW358">
        <f>IF(ISBLANK('Data Entry'!$ħ$358), "", 'Data Entry'!$ħ$358)</f>
      </c>
      <c r="HX358">
        <f>IF(ISBLANK('Data Entry'!$Ĩ$358), "", 'Data Entry'!$Ĩ$358)</f>
      </c>
      <c r="HY358">
        <f>IF(ISBLANK('Data Entry'!$ĩ$358), "", 'Data Entry'!$ĩ$358)</f>
      </c>
      <c r="HZ358">
        <f>IF(ISBLANK('Data Entry'!$Ī$358), "", 'Data Entry'!$Ī$358)</f>
      </c>
      <c r="IA358">
        <f>IF(ISBLANK('Data Entry'!$ī$358), "", 'Data Entry'!$ī$358)</f>
      </c>
      <c r="IB358">
        <f>IF(ISBLANK('Data Entry'!$Ĭ$358), "", 'Data Entry'!$Ĭ$358)</f>
      </c>
      <c r="IC358">
        <f>IF(ISBLANK('Data Entry'!$ĭ$358), "", 'Data Entry'!$ĭ$358)</f>
      </c>
      <c r="ID358">
        <f>IF(ISBLANK('Data Entry'!$Į$358), "", 'Data Entry'!$Į$358)</f>
      </c>
      <c r="IE358">
        <f>IF(ISBLANK('Data Entry'!$į$358), "", 'Data Entry'!$į$358)</f>
      </c>
      <c r="IF358">
        <f>IF(ISBLANK('Data Entry'!$İ$358), "", 'Data Entry'!$İ$358)</f>
      </c>
      <c r="IG358">
        <f>IF(ISBLANK('Data Entry'!$ı$358), "", 'Data Entry'!$ı$358)</f>
      </c>
      <c r="IH358">
        <f>IF(ISBLANK('Data Entry'!$Ĳ$358), "", 'Data Entry'!$Ĳ$358)</f>
      </c>
      <c r="II358">
        <f>IF(ISBLANK('Data Entry'!$ĳ$358), "", 'Data Entry'!$ĳ$358)</f>
      </c>
      <c r="IJ358">
        <f>IF(ISBLANK('Data Entry'!$Ĵ$358), "", 'Data Entry'!$Ĵ$358)</f>
      </c>
      <c r="IK358">
        <f>IF(ISBLANK('Data Entry'!$ĵ$358), "", 'Data Entry'!$ĵ$358)</f>
      </c>
      <c r="IL358">
        <f>IF(ISBLANK('Data Entry'!$Ķ$358), "", 'Data Entry'!$Ķ$358)</f>
      </c>
      <c r="IM358">
        <f>IF(ISBLANK('Data Entry'!$ķ$358), "", 'Data Entry'!$ķ$358)</f>
      </c>
      <c r="IN358">
        <f>IF(ISBLANK('Data Entry'!$ĸ$358), "", 'Data Entry'!$ĸ$358)</f>
      </c>
      <c r="IO358">
        <f>IF(ISBLANK('Data Entry'!$Ĺ$358), "", 'Data Entry'!$Ĺ$358)</f>
      </c>
      <c r="IP358">
        <f>IF(ISBLANK('Data Entry'!$ĺ$358), "", 'Data Entry'!$ĺ$358)</f>
      </c>
      <c r="IQ358">
        <f>IF(ISBLANK('Data Entry'!$Ļ$358), "", 'Data Entry'!$Ļ$358)</f>
      </c>
      <c r="IR358">
        <f>IF(ISBLANK('Data Entry'!$ļ$358), "", 'Data Entry'!$ļ$358)</f>
      </c>
      <c r="IS358">
        <f>IF(ISBLANK('Data Entry'!$Ľ$358), "", 'Data Entry'!$Ľ$358)</f>
      </c>
      <c r="IT358">
        <f>IF(ISBLANK('Data Entry'!$ľ$358), "", 'Data Entry'!$ľ$358)</f>
      </c>
    </row>
    <row r="359" spans="1:254" x14ac:dyDescent="0.25">
      <c r="A359">
        <f>IF(ISBLANK('Data Entry'!$A$359), "", 'Data Entry'!$A$359)</f>
      </c>
      <c r="B359">
        <f>IF(ISBLANK('Data Entry'!$B$359), "", 'Data Entry'!$B$359)</f>
      </c>
      <c r="C359">
        <f>IF(ISBLANK('Data Entry'!$C$359), "", 'Data Entry'!$C$359)</f>
      </c>
      <c r="D359">
        <f>IF(ISBLANK('Data Entry'!$D$359), "", 'Data Entry'!$D$359)</f>
      </c>
      <c r="E359">
        <f>IF(ISBLANK('Data Entry'!$E$359), "", 'Data Entry'!$E$359)</f>
      </c>
      <c r="F359">
        <f>IF(ISBLANK('Data Entry'!$F$359), "", 'Data Entry'!$F$359)</f>
      </c>
      <c r="G359">
        <f>IF(ISBLANK('Data Entry'!$G$359), "", 'Data Entry'!$G$359)</f>
      </c>
      <c r="H359">
        <f>IF(ISBLANK('Data Entry'!$H$359), "", 'Data Entry'!$H$359)</f>
      </c>
      <c r="I359">
        <f>IF(ISBLANK('Data Entry'!$I$359), "", 'Data Entry'!$I$359)</f>
      </c>
      <c r="J359">
        <f>IF(ISBLANK('Data Entry'!$J$359), "", 'Data Entry'!$J$359)</f>
      </c>
      <c r="K359">
        <f>IF(ISBLANK('Data Entry'!$K$359), "", 'Data Entry'!$K$359)</f>
      </c>
      <c r="L359">
        <f>IF(ISBLANK('Data Entry'!$L$359), "", 'Data Entry'!$L$359)</f>
      </c>
      <c r="M359">
        <f>IF(ISBLANK('Data Entry'!$M$359), "", 'Data Entry'!$M$359)</f>
      </c>
      <c r="N359">
        <f>IF(ISBLANK('Data Entry'!$N$359), "", 'Data Entry'!$N$359)</f>
      </c>
      <c r="O359">
        <f>IF(ISBLANK('Data Entry'!$O$359), "", 'Data Entry'!$O$359)</f>
      </c>
      <c r="P359">
        <f>IF(ISBLANK('Data Entry'!$P$359), "", 'Data Entry'!$P$359)</f>
      </c>
      <c r="Q359">
        <f>IF(ISBLANK('Data Entry'!$Q$359), "", 'Data Entry'!$Q$359)</f>
      </c>
      <c r="R359">
        <f>IF(ISBLANK('Data Entry'!$R$359), "", 'Data Entry'!$R$359)</f>
      </c>
      <c r="S359">
        <f>IF(ISBLANK('Data Entry'!$S$359), "", 'Data Entry'!$S$359)</f>
      </c>
      <c r="T359">
        <f>IF(ISBLANK('Data Entry'!$T$359), "", 'Data Entry'!$T$359)</f>
      </c>
      <c r="U359">
        <f>IF(ISBLANK('Data Entry'!$U$359), "", 'Data Entry'!$U$359)</f>
      </c>
      <c r="V359">
        <f>IF(ISBLANK('Data Entry'!$V$359), "", 'Data Entry'!$V$359)</f>
      </c>
      <c r="W359">
        <f>IF(ISBLANK('Data Entry'!$W$359), "", 'Data Entry'!$W$359)</f>
      </c>
      <c r="X359">
        <f>IF(ISBLANK('Data Entry'!$X$359), "", 'Data Entry'!$X$359)</f>
      </c>
      <c r="Y359">
        <f>IF(ISBLANK('Data Entry'!$Y$359), "", 'Data Entry'!$Y$359)</f>
      </c>
      <c r="Z359">
        <f>IF(ISBLANK('Data Entry'!$Z$359), "", 'Data Entry'!$Z$359)</f>
      </c>
      <c r="AA359">
        <f>IF(ISBLANK('Data Entry'!$[$359), "", 'Data Entry'!$[$359)</f>
      </c>
      <c r="AB359">
        <f>IF(ISBLANK('Data Entry'!$\$359), "", 'Data Entry'!$\$359)</f>
      </c>
      <c r="AC359">
        <f>IF(ISBLANK('Data Entry'!$]$359), "", 'Data Entry'!$]$359)</f>
      </c>
      <c r="AD359">
        <f>IF(ISBLANK('Data Entry'!$^$359), "", 'Data Entry'!$^$359)</f>
      </c>
      <c r="AE359">
        <f>IF(ISBLANK('Data Entry'!$_$359), "", 'Data Entry'!$_$359)</f>
      </c>
      <c r="AF359">
        <f>IF(ISBLANK('Data Entry'!$`$359), "", 'Data Entry'!$`$359)</f>
      </c>
      <c r="AG359">
        <f>IF(ISBLANK('Data Entry'!$a$359), "", 'Data Entry'!$a$359)</f>
      </c>
      <c r="AH359">
        <f>IF(ISBLANK('Data Entry'!$b$359), "", 'Data Entry'!$b$359)</f>
      </c>
      <c r="AI359">
        <f>IF(ISBLANK('Data Entry'!$c$359), "", 'Data Entry'!$c$359)</f>
      </c>
      <c r="AJ359">
        <f>IF(ISBLANK('Data Entry'!$d$359), "", 'Data Entry'!$d$359)</f>
      </c>
      <c r="AK359">
        <f>IF(ISBLANK('Data Entry'!$e$359), "", 'Data Entry'!$e$359)</f>
      </c>
      <c r="AL359">
        <f>IF(ISBLANK('Data Entry'!$f$359), "", 'Data Entry'!$f$359)</f>
      </c>
      <c r="AM359">
        <f>IF(ISBLANK('Data Entry'!$g$359), "", 'Data Entry'!$g$359)</f>
      </c>
      <c r="AN359">
        <f>IF(ISBLANK('Data Entry'!$h$359), "", 'Data Entry'!$h$359)</f>
      </c>
      <c r="AO359">
        <f>IF(ISBLANK('Data Entry'!$i$359), "", 'Data Entry'!$i$359)</f>
      </c>
      <c r="AP359">
        <f>IF(ISBLANK('Data Entry'!$j$359), "", 'Data Entry'!$j$359)</f>
      </c>
      <c r="AQ359">
        <f>IF(ISBLANK('Data Entry'!$k$359), "", 'Data Entry'!$k$359)</f>
      </c>
      <c r="AR359">
        <f>IF(ISBLANK('Data Entry'!$l$359), "", 'Data Entry'!$l$359)</f>
      </c>
      <c r="AS359">
        <f>IF(ISBLANK('Data Entry'!$m$359), "", 'Data Entry'!$m$359)</f>
      </c>
      <c r="AT359">
        <f>IF(ISBLANK('Data Entry'!$n$359), "", 'Data Entry'!$n$359)</f>
      </c>
      <c r="AU359">
        <f>IF(ISBLANK('Data Entry'!$o$359), "", 'Data Entry'!$o$359)</f>
      </c>
      <c r="AV359">
        <f>IF(ISBLANK('Data Entry'!$p$359), "", 'Data Entry'!$p$359)</f>
      </c>
      <c r="AW359">
        <f>IF(ISBLANK('Data Entry'!$q$359), "", 'Data Entry'!$q$359)</f>
      </c>
      <c r="AX359">
        <f>IF(ISBLANK('Data Entry'!$r$359), "", 'Data Entry'!$r$359)</f>
      </c>
      <c r="AY359">
        <f>IF(ISBLANK('Data Entry'!$s$359), "", 'Data Entry'!$s$359)</f>
      </c>
      <c r="AZ359">
        <f>IF(ISBLANK('Data Entry'!$t$359), "", 'Data Entry'!$t$359)</f>
      </c>
      <c r="BA359">
        <f>IF(ISBLANK('Data Entry'!$u$359), "", 'Data Entry'!$u$359)</f>
      </c>
      <c r="BB359">
        <f>IF(ISBLANK('Data Entry'!$v$359), "", 'Data Entry'!$v$359)</f>
      </c>
      <c r="BC359">
        <f>IF(ISBLANK('Data Entry'!$w$359), "", 'Data Entry'!$w$359)</f>
      </c>
      <c r="BD359">
        <f>IF(ISBLANK('Data Entry'!$x$359), "", 'Data Entry'!$x$359)</f>
      </c>
      <c r="BE359">
        <f>IF(ISBLANK('Data Entry'!$y$359), "", 'Data Entry'!$y$359)</f>
      </c>
      <c r="BF359">
        <f>IF(ISBLANK('Data Entry'!$z$359), "", 'Data Entry'!$z$359)</f>
      </c>
      <c r="BG359">
        <f>IF(ISBLANK('Data Entry'!${$359), "", 'Data Entry'!${$359)</f>
      </c>
      <c r="BH359">
        <f>IF(ISBLANK('Data Entry'!$|$359), "", 'Data Entry'!$|$359)</f>
      </c>
      <c r="BI359">
        <f>IF(ISBLANK('Data Entry'!$}$359), "", 'Data Entry'!$}$359)</f>
      </c>
      <c r="BJ359">
        <f>IF(ISBLANK('Data Entry'!$~$359), "", 'Data Entry'!$~$359)</f>
      </c>
      <c r="BK359">
        <f>IF(ISBLANK('Data Entry'!$$359), "", 'Data Entry'!$$359)</f>
      </c>
      <c r="BL359">
        <f>IF(ISBLANK('Data Entry'!$$359), "", 'Data Entry'!$$359)</f>
      </c>
      <c r="BM359">
        <f>IF(ISBLANK('Data Entry'!$$359), "", 'Data Entry'!$$359)</f>
      </c>
      <c r="BN359">
        <f>IF(ISBLANK('Data Entry'!$$359), "", 'Data Entry'!$$359)</f>
      </c>
      <c r="BO359">
        <f>IF(ISBLANK('Data Entry'!$$359), "", 'Data Entry'!$$359)</f>
      </c>
      <c r="BP359">
        <f>IF(ISBLANK('Data Entry'!$$359), "", 'Data Entry'!$$359)</f>
      </c>
      <c r="BQ359">
        <f>IF(ISBLANK('Data Entry'!$$359), "", 'Data Entry'!$$359)</f>
      </c>
      <c r="BR359">
        <f>IF(ISBLANK('Data Entry'!$$359), "", 'Data Entry'!$$359)</f>
      </c>
      <c r="BS359">
        <f>IF(ISBLANK('Data Entry'!$$359), "", 'Data Entry'!$$359)</f>
      </c>
      <c r="BT359">
        <f>IF(ISBLANK('Data Entry'!$$359), "", 'Data Entry'!$$359)</f>
      </c>
      <c r="BU359">
        <f>IF(ISBLANK('Data Entry'!$$359), "", 'Data Entry'!$$359)</f>
      </c>
      <c r="BV359">
        <f>IF(ISBLANK('Data Entry'!$$359), "", 'Data Entry'!$$359)</f>
      </c>
      <c r="BW359">
        <f>IF(ISBLANK('Data Entry'!$$359), "", 'Data Entry'!$$359)</f>
      </c>
      <c r="BX359">
        <f>IF(ISBLANK('Data Entry'!$$359), "", 'Data Entry'!$$359)</f>
      </c>
      <c r="BY359">
        <f>IF(ISBLANK('Data Entry'!$$359), "", 'Data Entry'!$$359)</f>
      </c>
      <c r="BZ359">
        <f>IF(ISBLANK('Data Entry'!$$359), "", 'Data Entry'!$$359)</f>
      </c>
      <c r="CA359">
        <f>IF(ISBLANK('Data Entry'!$$359), "", 'Data Entry'!$$359)</f>
      </c>
      <c r="CB359">
        <f>IF(ISBLANK('Data Entry'!$$359), "", 'Data Entry'!$$359)</f>
      </c>
      <c r="CC359">
        <f>IF(ISBLANK('Data Entry'!$$359), "", 'Data Entry'!$$359)</f>
      </c>
      <c r="CD359">
        <f>IF(ISBLANK('Data Entry'!$$359), "", 'Data Entry'!$$359)</f>
      </c>
      <c r="CE359">
        <f>IF(ISBLANK('Data Entry'!$$359), "", 'Data Entry'!$$359)</f>
      </c>
      <c r="CF359">
        <f>IF(ISBLANK('Data Entry'!$$359), "", 'Data Entry'!$$359)</f>
      </c>
      <c r="CG359">
        <f>IF(ISBLANK('Data Entry'!$$359), "", 'Data Entry'!$$359)</f>
      </c>
      <c r="CH359">
        <f>IF(ISBLANK('Data Entry'!$$359), "", 'Data Entry'!$$359)</f>
      </c>
      <c r="CI359">
        <f>IF(ISBLANK('Data Entry'!$$359), "", 'Data Entry'!$$359)</f>
      </c>
      <c r="CJ359">
        <f>IF(ISBLANK('Data Entry'!$$359), "", 'Data Entry'!$$359)</f>
      </c>
      <c r="CK359">
        <f>IF(ISBLANK('Data Entry'!$$359), "", 'Data Entry'!$$359)</f>
      </c>
      <c r="CL359">
        <f>IF(ISBLANK('Data Entry'!$$359), "", 'Data Entry'!$$359)</f>
      </c>
      <c r="CM359">
        <f>IF(ISBLANK('Data Entry'!$$359), "", 'Data Entry'!$$359)</f>
      </c>
      <c r="CN359">
        <f>IF(ISBLANK('Data Entry'!$$359), "", 'Data Entry'!$$359)</f>
      </c>
      <c r="CO359">
        <f>IF(ISBLANK('Data Entry'!$$359), "", 'Data Entry'!$$359)</f>
      </c>
      <c r="CP359">
        <f>IF(ISBLANK('Data Entry'!$$359), "", 'Data Entry'!$$359)</f>
      </c>
      <c r="CQ359">
        <f>IF(ISBLANK('Data Entry'!$$359), "", 'Data Entry'!$$359)</f>
      </c>
      <c r="CR359">
        <f>IF(ISBLANK('Data Entry'!$ $359), "", 'Data Entry'!$ $359)</f>
      </c>
      <c r="CS359">
        <f>IF(ISBLANK('Data Entry'!$¡$359), "", 'Data Entry'!$¡$359)</f>
      </c>
      <c r="CT359">
        <f>IF(ISBLANK('Data Entry'!$¢$359), "", 'Data Entry'!$¢$359)</f>
      </c>
      <c r="CU359">
        <f>IF(ISBLANK('Data Entry'!$£$359), "", 'Data Entry'!$£$359)</f>
      </c>
      <c r="CV359">
        <f>IF(ISBLANK('Data Entry'!$¤$359), "", 'Data Entry'!$¤$359)</f>
      </c>
      <c r="CW359">
        <f>IF(ISBLANK('Data Entry'!$¥$359), "", 'Data Entry'!$¥$359)</f>
      </c>
      <c r="CX359">
        <f>IF(ISBLANK('Data Entry'!$¦$359), "", 'Data Entry'!$¦$359)</f>
      </c>
      <c r="CY359">
        <f>IF(ISBLANK('Data Entry'!$§$359), "", 'Data Entry'!$§$359)</f>
      </c>
      <c r="CZ359">
        <f>IF(ISBLANK('Data Entry'!$¨$359), "", 'Data Entry'!$¨$359)</f>
      </c>
      <c r="DA359">
        <f>IF(ISBLANK('Data Entry'!$©$359), "", 'Data Entry'!$©$359)</f>
      </c>
      <c r="DB359">
        <f>IF(ISBLANK('Data Entry'!$ª$359), "", 'Data Entry'!$ª$359)</f>
      </c>
      <c r="DC359">
        <f>IF(ISBLANK('Data Entry'!$«$359), "", 'Data Entry'!$«$359)</f>
      </c>
      <c r="DD359">
        <f>IF(ISBLANK('Data Entry'!$¬$359), "", 'Data Entry'!$¬$359)</f>
      </c>
      <c r="DE359">
        <f>IF(ISBLANK('Data Entry'!$­$359), "", 'Data Entry'!$­$359)</f>
      </c>
      <c r="DF359">
        <f>IF(ISBLANK('Data Entry'!$®$359), "", 'Data Entry'!$®$359)</f>
      </c>
      <c r="DG359">
        <f>IF(ISBLANK('Data Entry'!$¯$359), "", 'Data Entry'!$¯$359)</f>
      </c>
      <c r="DH359">
        <f>IF(ISBLANK('Data Entry'!$°$359), "", 'Data Entry'!$°$359)</f>
      </c>
      <c r="DI359">
        <f>IF(ISBLANK('Data Entry'!$±$359), "", 'Data Entry'!$±$359)</f>
      </c>
      <c r="DJ359">
        <f>IF(ISBLANK('Data Entry'!$²$359), "", 'Data Entry'!$²$359)</f>
      </c>
      <c r="DK359">
        <f>IF(ISBLANK('Data Entry'!$³$359), "", 'Data Entry'!$³$359)</f>
      </c>
      <c r="DL359">
        <f>IF(ISBLANK('Data Entry'!$´$359), "", 'Data Entry'!$´$359)</f>
      </c>
      <c r="DM359">
        <f>IF(ISBLANK('Data Entry'!$µ$359), "", 'Data Entry'!$µ$359)</f>
      </c>
      <c r="DN359">
        <f>IF(ISBLANK('Data Entry'!$¶$359), "", 'Data Entry'!$¶$359)</f>
      </c>
      <c r="DO359">
        <f>IF(ISBLANK('Data Entry'!$·$359), "", 'Data Entry'!$·$359)</f>
      </c>
      <c r="DP359">
        <f>IF(ISBLANK('Data Entry'!$¸$359), "", 'Data Entry'!$¸$359)</f>
      </c>
      <c r="DQ359">
        <f>IF(ISBLANK('Data Entry'!$¹$359), "", 'Data Entry'!$¹$359)</f>
      </c>
      <c r="DR359">
        <f>IF(ISBLANK('Data Entry'!$º$359), "", 'Data Entry'!$º$359)</f>
      </c>
      <c r="DS359">
        <f>IF(ISBLANK('Data Entry'!$»$359), "", 'Data Entry'!$»$359)</f>
      </c>
      <c r="DT359">
        <f>IF(ISBLANK('Data Entry'!$¼$359), "", 'Data Entry'!$¼$359)</f>
      </c>
      <c r="DU359">
        <f>IF(ISBLANK('Data Entry'!$½$359), "", 'Data Entry'!$½$359)</f>
      </c>
      <c r="DV359">
        <f>IF(ISBLANK('Data Entry'!$¾$359), "", 'Data Entry'!$¾$359)</f>
      </c>
      <c r="DW359">
        <f>IF(ISBLANK('Data Entry'!$¿$359), "", 'Data Entry'!$¿$359)</f>
      </c>
      <c r="DX359">
        <f>IF(ISBLANK('Data Entry'!$À$359), "", 'Data Entry'!$À$359)</f>
      </c>
      <c r="DY359">
        <f>IF(ISBLANK('Data Entry'!$Á$359), "", 'Data Entry'!$Á$359)</f>
      </c>
      <c r="DZ359">
        <f>IF(ISBLANK('Data Entry'!$Â$359), "", 'Data Entry'!$Â$359)</f>
      </c>
      <c r="EA359">
        <f>IF(ISBLANK('Data Entry'!$Ã$359), "", 'Data Entry'!$Ã$359)</f>
      </c>
      <c r="EB359">
        <f>IF(ISBLANK('Data Entry'!$Ä$359), "", 'Data Entry'!$Ä$359)</f>
      </c>
      <c r="EC359">
        <f>IF(ISBLANK('Data Entry'!$Å$359), "", 'Data Entry'!$Å$359)</f>
      </c>
      <c r="ED359">
        <f>IF(ISBLANK('Data Entry'!$Æ$359), "", 'Data Entry'!$Æ$359)</f>
      </c>
      <c r="EE359">
        <f>IF(ISBLANK('Data Entry'!$Ç$359), "", 'Data Entry'!$Ç$359)</f>
      </c>
      <c r="EF359">
        <f>IF(ISBLANK('Data Entry'!$È$359), "", 'Data Entry'!$È$359)</f>
      </c>
      <c r="EG359">
        <f>IF(ISBLANK('Data Entry'!$É$359), "", 'Data Entry'!$É$359)</f>
      </c>
      <c r="EH359">
        <f>IF(ISBLANK('Data Entry'!$Ê$359), "", 'Data Entry'!$Ê$359)</f>
      </c>
      <c r="EI359">
        <f>IF(ISBLANK('Data Entry'!$Ë$359), "", 'Data Entry'!$Ë$359)</f>
      </c>
      <c r="EJ359">
        <f>IF(ISBLANK('Data Entry'!$Ì$359), "", 'Data Entry'!$Ì$359)</f>
      </c>
      <c r="EK359">
        <f>IF(ISBLANK('Data Entry'!$Í$359), "", 'Data Entry'!$Í$359)</f>
      </c>
      <c r="EL359">
        <f>IF(ISBLANK('Data Entry'!$Î$359), "", 'Data Entry'!$Î$359)</f>
      </c>
      <c r="EM359">
        <f>IF(ISBLANK('Data Entry'!$Ï$359), "", 'Data Entry'!$Ï$359)</f>
      </c>
      <c r="EN359">
        <f>IF(ISBLANK('Data Entry'!$Ð$359), "", 'Data Entry'!$Ð$359)</f>
      </c>
      <c r="EO359">
        <f>IF(ISBLANK('Data Entry'!$Ñ$359), "", 'Data Entry'!$Ñ$359)</f>
      </c>
      <c r="EP359">
        <f>IF(ISBLANK('Data Entry'!$Ò$359), "", 'Data Entry'!$Ò$359)</f>
      </c>
      <c r="EQ359">
        <f>IF(ISBLANK('Data Entry'!$Ó$359), "", 'Data Entry'!$Ó$359)</f>
      </c>
      <c r="ER359">
        <f>IF(ISBLANK('Data Entry'!$Ô$359), "", 'Data Entry'!$Ô$359)</f>
      </c>
      <c r="ES359">
        <f>IF(ISBLANK('Data Entry'!$Õ$359), "", 'Data Entry'!$Õ$359)</f>
      </c>
      <c r="ET359">
        <f>IF(ISBLANK('Data Entry'!$Ö$359), "", 'Data Entry'!$Ö$359)</f>
      </c>
      <c r="EU359">
        <f>IF(ISBLANK('Data Entry'!$×$359), "", 'Data Entry'!$×$359)</f>
      </c>
      <c r="EV359">
        <f>IF(ISBLANK('Data Entry'!$Ø$359), "", 'Data Entry'!$Ø$359)</f>
      </c>
      <c r="EW359">
        <f>IF(ISBLANK('Data Entry'!$Ù$359), "", 'Data Entry'!$Ù$359)</f>
      </c>
      <c r="EX359">
        <f>IF(ISBLANK('Data Entry'!$Ú$359), "", 'Data Entry'!$Ú$359)</f>
      </c>
      <c r="EY359">
        <f>IF(ISBLANK('Data Entry'!$Û$359), "", 'Data Entry'!$Û$359)</f>
      </c>
      <c r="EZ359">
        <f>IF(ISBLANK('Data Entry'!$Ü$359), "", 'Data Entry'!$Ü$359)</f>
      </c>
      <c r="FA359">
        <f>IF(ISBLANK('Data Entry'!$Ý$359), "", 'Data Entry'!$Ý$359)</f>
      </c>
      <c r="FB359">
        <f>IF(ISBLANK('Data Entry'!$Þ$359), "", 'Data Entry'!$Þ$359)</f>
      </c>
      <c r="FC359">
        <f>IF(ISBLANK('Data Entry'!$ß$359), "", 'Data Entry'!$ß$359)</f>
      </c>
      <c r="FD359">
        <f>IF(ISBLANK('Data Entry'!$à$359), "", 'Data Entry'!$à$359)</f>
      </c>
      <c r="FE359">
        <f>IF(ISBLANK('Data Entry'!$á$359), "", 'Data Entry'!$á$359)</f>
      </c>
      <c r="FF359">
        <f>IF(ISBLANK('Data Entry'!$â$359), "", 'Data Entry'!$â$359)</f>
      </c>
      <c r="FG359">
        <f>IF(ISBLANK('Data Entry'!$ã$359), "", 'Data Entry'!$ã$359)</f>
      </c>
      <c r="FH359">
        <f>IF(ISBLANK('Data Entry'!$ä$359), "", 'Data Entry'!$ä$359)</f>
      </c>
      <c r="FI359">
        <f>IF(ISBLANK('Data Entry'!$å$359), "", 'Data Entry'!$å$359)</f>
      </c>
      <c r="FJ359">
        <f>IF(ISBLANK('Data Entry'!$æ$359), "", 'Data Entry'!$æ$359)</f>
      </c>
      <c r="FK359">
        <f>IF(ISBLANK('Data Entry'!$ç$359), "", 'Data Entry'!$ç$359)</f>
      </c>
      <c r="FL359">
        <f>IF(ISBLANK('Data Entry'!$è$359), "", 'Data Entry'!$è$359)</f>
      </c>
      <c r="FM359">
        <f>IF(ISBLANK('Data Entry'!$é$359), "", 'Data Entry'!$é$359)</f>
      </c>
      <c r="FN359">
        <f>IF(ISBLANK('Data Entry'!$ê$359), "", 'Data Entry'!$ê$359)</f>
      </c>
      <c r="FO359">
        <f>IF(ISBLANK('Data Entry'!$ë$359), "", 'Data Entry'!$ë$359)</f>
      </c>
      <c r="FP359">
        <f>IF(ISBLANK('Data Entry'!$ì$359), "", 'Data Entry'!$ì$359)</f>
      </c>
      <c r="FQ359">
        <f>IF(ISBLANK('Data Entry'!$í$359), "", 'Data Entry'!$í$359)</f>
      </c>
      <c r="FR359">
        <f>IF(ISBLANK('Data Entry'!$î$359), "", 'Data Entry'!$î$359)</f>
      </c>
      <c r="FS359">
        <f>IF(ISBLANK('Data Entry'!$ï$359), "", 'Data Entry'!$ï$359)</f>
      </c>
      <c r="FT359">
        <f>IF(ISBLANK('Data Entry'!$ð$359), "", 'Data Entry'!$ð$359)</f>
      </c>
      <c r="FU359">
        <f>IF(ISBLANK('Data Entry'!$ñ$359), "", 'Data Entry'!$ñ$359)</f>
      </c>
      <c r="FV359">
        <f>IF(ISBLANK('Data Entry'!$ò$359), "", 'Data Entry'!$ò$359)</f>
      </c>
      <c r="FW359">
        <f>IF(ISBLANK('Data Entry'!$ó$359), "", 'Data Entry'!$ó$359)</f>
      </c>
      <c r="FX359">
        <f>IF(ISBLANK('Data Entry'!$ô$359), "", 'Data Entry'!$ô$359)</f>
      </c>
      <c r="FY359">
        <f>IF(ISBLANK('Data Entry'!$õ$359), "", 'Data Entry'!$õ$359)</f>
      </c>
      <c r="FZ359">
        <f>IF(ISBLANK('Data Entry'!$ö$359), "", 'Data Entry'!$ö$359)</f>
      </c>
      <c r="GA359">
        <f>IF(ISBLANK('Data Entry'!$÷$359), "", 'Data Entry'!$÷$359)</f>
      </c>
      <c r="GB359">
        <f>IF(ISBLANK('Data Entry'!$ø$359), "", 'Data Entry'!$ø$359)</f>
      </c>
      <c r="GC359">
        <f>IF(ISBLANK('Data Entry'!$ù$359), "", 'Data Entry'!$ù$359)</f>
      </c>
      <c r="GD359">
        <f>IF(ISBLANK('Data Entry'!$ú$359), "", 'Data Entry'!$ú$359)</f>
      </c>
      <c r="GE359">
        <f>IF(ISBLANK('Data Entry'!$û$359), "", 'Data Entry'!$û$359)</f>
      </c>
      <c r="GF359">
        <f>IF(ISBLANK('Data Entry'!$ü$359), "", 'Data Entry'!$ü$359)</f>
      </c>
      <c r="GG359">
        <f>IF(ISBLANK('Data Entry'!$ý$359), "", 'Data Entry'!$ý$359)</f>
      </c>
      <c r="GH359">
        <f>IF(ISBLANK('Data Entry'!$þ$359), "", 'Data Entry'!$þ$359)</f>
      </c>
      <c r="GI359">
        <f>IF(ISBLANK('Data Entry'!$ÿ$359), "", 'Data Entry'!$ÿ$359)</f>
      </c>
      <c r="GJ359">
        <f>IF(ISBLANK('Data Entry'!$Ā$359), "", 'Data Entry'!$Ā$359)</f>
      </c>
      <c r="GK359">
        <f>IF(ISBLANK('Data Entry'!$ā$359), "", 'Data Entry'!$ā$359)</f>
      </c>
      <c r="GL359">
        <f>IF(ISBLANK('Data Entry'!$Ă$359), "", 'Data Entry'!$Ă$359)</f>
      </c>
      <c r="GM359">
        <f>IF(ISBLANK('Data Entry'!$ă$359), "", 'Data Entry'!$ă$359)</f>
      </c>
      <c r="GN359">
        <f>IF(ISBLANK('Data Entry'!$Ą$359), "", 'Data Entry'!$Ą$359)</f>
      </c>
      <c r="GO359">
        <f>IF(ISBLANK('Data Entry'!$ą$359), "", 'Data Entry'!$ą$359)</f>
      </c>
      <c r="GP359">
        <f>IF(ISBLANK('Data Entry'!$Ć$359), "", 'Data Entry'!$Ć$359)</f>
      </c>
      <c r="GQ359">
        <f>IF(ISBLANK('Data Entry'!$ć$359), "", 'Data Entry'!$ć$359)</f>
      </c>
      <c r="GR359">
        <f>IF(ISBLANK('Data Entry'!$Ĉ$359), "", 'Data Entry'!$Ĉ$359)</f>
      </c>
      <c r="GS359">
        <f>IF(ISBLANK('Data Entry'!$ĉ$359), "", 'Data Entry'!$ĉ$359)</f>
      </c>
      <c r="GT359">
        <f>IF(ISBLANK('Data Entry'!$Ċ$359), "", 'Data Entry'!$Ċ$359)</f>
      </c>
      <c r="GU359">
        <f>IF(ISBLANK('Data Entry'!$ċ$359), "", 'Data Entry'!$ċ$359)</f>
      </c>
      <c r="GV359">
        <f>IF(ISBLANK('Data Entry'!$Č$359), "", 'Data Entry'!$Č$359)</f>
      </c>
      <c r="GW359">
        <f>IF(ISBLANK('Data Entry'!$č$359), "", 'Data Entry'!$č$359)</f>
      </c>
      <c r="GX359">
        <f>IF(ISBLANK('Data Entry'!$Ď$359), "", 'Data Entry'!$Ď$359)</f>
      </c>
      <c r="GY359">
        <f>IF(ISBLANK('Data Entry'!$ď$359), "", 'Data Entry'!$ď$359)</f>
      </c>
      <c r="GZ359">
        <f>IF(ISBLANK('Data Entry'!$Đ$359), "", 'Data Entry'!$Đ$359)</f>
      </c>
      <c r="HA359">
        <f>IF(ISBLANK('Data Entry'!$đ$359), "", 'Data Entry'!$đ$359)</f>
      </c>
      <c r="HB359">
        <f>IF(ISBLANK('Data Entry'!$Ē$359), "", 'Data Entry'!$Ē$359)</f>
      </c>
      <c r="HC359">
        <f>IF(ISBLANK('Data Entry'!$ē$359), "", 'Data Entry'!$ē$359)</f>
      </c>
      <c r="HD359">
        <f>IF(ISBLANK('Data Entry'!$Ĕ$359), "", 'Data Entry'!$Ĕ$359)</f>
      </c>
      <c r="HE359">
        <f>IF(ISBLANK('Data Entry'!$ĕ$359), "", 'Data Entry'!$ĕ$359)</f>
      </c>
      <c r="HF359">
        <f>IF(ISBLANK('Data Entry'!$Ė$359), "", 'Data Entry'!$Ė$359)</f>
      </c>
      <c r="HG359">
        <f>IF(ISBLANK('Data Entry'!$ė$359), "", 'Data Entry'!$ė$359)</f>
      </c>
      <c r="HH359">
        <f>IF(ISBLANK('Data Entry'!$Ę$359), "", 'Data Entry'!$Ę$359)</f>
      </c>
      <c r="HI359">
        <f>IF(ISBLANK('Data Entry'!$ę$359), "", 'Data Entry'!$ę$359)</f>
      </c>
      <c r="HJ359">
        <f>IF(ISBLANK('Data Entry'!$Ě$359), "", 'Data Entry'!$Ě$359)</f>
      </c>
      <c r="HK359">
        <f>IF(ISBLANK('Data Entry'!$ě$359), "", 'Data Entry'!$ě$359)</f>
      </c>
      <c r="HL359">
        <f>IF(ISBLANK('Data Entry'!$Ĝ$359), "", 'Data Entry'!$Ĝ$359)</f>
      </c>
      <c r="HM359">
        <f>IF(ISBLANK('Data Entry'!$ĝ$359), "", 'Data Entry'!$ĝ$359)</f>
      </c>
      <c r="HN359">
        <f>IF(ISBLANK('Data Entry'!$Ğ$359), "", 'Data Entry'!$Ğ$359)</f>
      </c>
      <c r="HO359">
        <f>IF(ISBLANK('Data Entry'!$ğ$359), "", 'Data Entry'!$ğ$359)</f>
      </c>
      <c r="HP359">
        <f>IF(ISBLANK('Data Entry'!$Ġ$359), "", 'Data Entry'!$Ġ$359)</f>
      </c>
      <c r="HQ359">
        <f>IF(ISBLANK('Data Entry'!$ġ$359), "", 'Data Entry'!$ġ$359)</f>
      </c>
      <c r="HR359">
        <f>IF(ISBLANK('Data Entry'!$Ģ$359), "", 'Data Entry'!$Ģ$359)</f>
      </c>
      <c r="HS359">
        <f>IF(ISBLANK('Data Entry'!$ģ$359), "", 'Data Entry'!$ģ$359)</f>
      </c>
      <c r="HT359">
        <f>IF(ISBLANK('Data Entry'!$Ĥ$359), "", 'Data Entry'!$Ĥ$359)</f>
      </c>
      <c r="HU359">
        <f>IF(ISBLANK('Data Entry'!$ĥ$359), "", 'Data Entry'!$ĥ$359)</f>
      </c>
      <c r="HV359">
        <f>IF(ISBLANK('Data Entry'!$Ħ$359), "", 'Data Entry'!$Ħ$359)</f>
      </c>
      <c r="HW359">
        <f>IF(ISBLANK('Data Entry'!$ħ$359), "", 'Data Entry'!$ħ$359)</f>
      </c>
      <c r="HX359">
        <f>IF(ISBLANK('Data Entry'!$Ĩ$359), "", 'Data Entry'!$Ĩ$359)</f>
      </c>
      <c r="HY359">
        <f>IF(ISBLANK('Data Entry'!$ĩ$359), "", 'Data Entry'!$ĩ$359)</f>
      </c>
      <c r="HZ359">
        <f>IF(ISBLANK('Data Entry'!$Ī$359), "", 'Data Entry'!$Ī$359)</f>
      </c>
      <c r="IA359">
        <f>IF(ISBLANK('Data Entry'!$ī$359), "", 'Data Entry'!$ī$359)</f>
      </c>
      <c r="IB359">
        <f>IF(ISBLANK('Data Entry'!$Ĭ$359), "", 'Data Entry'!$Ĭ$359)</f>
      </c>
      <c r="IC359">
        <f>IF(ISBLANK('Data Entry'!$ĭ$359), "", 'Data Entry'!$ĭ$359)</f>
      </c>
      <c r="ID359">
        <f>IF(ISBLANK('Data Entry'!$Į$359), "", 'Data Entry'!$Į$359)</f>
      </c>
      <c r="IE359">
        <f>IF(ISBLANK('Data Entry'!$į$359), "", 'Data Entry'!$į$359)</f>
      </c>
      <c r="IF359">
        <f>IF(ISBLANK('Data Entry'!$İ$359), "", 'Data Entry'!$İ$359)</f>
      </c>
      <c r="IG359">
        <f>IF(ISBLANK('Data Entry'!$ı$359), "", 'Data Entry'!$ı$359)</f>
      </c>
      <c r="IH359">
        <f>IF(ISBLANK('Data Entry'!$Ĳ$359), "", 'Data Entry'!$Ĳ$359)</f>
      </c>
      <c r="II359">
        <f>IF(ISBLANK('Data Entry'!$ĳ$359), "", 'Data Entry'!$ĳ$359)</f>
      </c>
      <c r="IJ359">
        <f>IF(ISBLANK('Data Entry'!$Ĵ$359), "", 'Data Entry'!$Ĵ$359)</f>
      </c>
      <c r="IK359">
        <f>IF(ISBLANK('Data Entry'!$ĵ$359), "", 'Data Entry'!$ĵ$359)</f>
      </c>
      <c r="IL359">
        <f>IF(ISBLANK('Data Entry'!$Ķ$359), "", 'Data Entry'!$Ķ$359)</f>
      </c>
      <c r="IM359">
        <f>IF(ISBLANK('Data Entry'!$ķ$359), "", 'Data Entry'!$ķ$359)</f>
      </c>
      <c r="IN359">
        <f>IF(ISBLANK('Data Entry'!$ĸ$359), "", 'Data Entry'!$ĸ$359)</f>
      </c>
      <c r="IO359">
        <f>IF(ISBLANK('Data Entry'!$Ĺ$359), "", 'Data Entry'!$Ĺ$359)</f>
      </c>
      <c r="IP359">
        <f>IF(ISBLANK('Data Entry'!$ĺ$359), "", 'Data Entry'!$ĺ$359)</f>
      </c>
      <c r="IQ359">
        <f>IF(ISBLANK('Data Entry'!$Ļ$359), "", 'Data Entry'!$Ļ$359)</f>
      </c>
      <c r="IR359">
        <f>IF(ISBLANK('Data Entry'!$ļ$359), "", 'Data Entry'!$ļ$359)</f>
      </c>
      <c r="IS359">
        <f>IF(ISBLANK('Data Entry'!$Ľ$359), "", 'Data Entry'!$Ľ$359)</f>
      </c>
      <c r="IT359">
        <f>IF(ISBLANK('Data Entry'!$ľ$359), "", 'Data Entry'!$ľ$359)</f>
      </c>
    </row>
    <row r="360" spans="1:254" x14ac:dyDescent="0.25">
      <c r="A360">
        <f>IF(ISBLANK('Data Entry'!$A$360), "", 'Data Entry'!$A$360)</f>
      </c>
      <c r="B360">
        <f>IF(ISBLANK('Data Entry'!$B$360), "", 'Data Entry'!$B$360)</f>
      </c>
      <c r="C360">
        <f>IF(ISBLANK('Data Entry'!$C$360), "", 'Data Entry'!$C$360)</f>
      </c>
      <c r="D360">
        <f>IF(ISBLANK('Data Entry'!$D$360), "", 'Data Entry'!$D$360)</f>
      </c>
      <c r="E360">
        <f>IF(ISBLANK('Data Entry'!$E$360), "", 'Data Entry'!$E$360)</f>
      </c>
      <c r="F360">
        <f>IF(ISBLANK('Data Entry'!$F$360), "", 'Data Entry'!$F$360)</f>
      </c>
      <c r="G360">
        <f>IF(ISBLANK('Data Entry'!$G$360), "", 'Data Entry'!$G$360)</f>
      </c>
      <c r="H360">
        <f>IF(ISBLANK('Data Entry'!$H$360), "", 'Data Entry'!$H$360)</f>
      </c>
      <c r="I360">
        <f>IF(ISBLANK('Data Entry'!$I$360), "", 'Data Entry'!$I$360)</f>
      </c>
      <c r="J360">
        <f>IF(ISBLANK('Data Entry'!$J$360), "", 'Data Entry'!$J$360)</f>
      </c>
      <c r="K360">
        <f>IF(ISBLANK('Data Entry'!$K$360), "", 'Data Entry'!$K$360)</f>
      </c>
      <c r="L360">
        <f>IF(ISBLANK('Data Entry'!$L$360), "", 'Data Entry'!$L$360)</f>
      </c>
      <c r="M360">
        <f>IF(ISBLANK('Data Entry'!$M$360), "", 'Data Entry'!$M$360)</f>
      </c>
      <c r="N360">
        <f>IF(ISBLANK('Data Entry'!$N$360), "", 'Data Entry'!$N$360)</f>
      </c>
      <c r="O360">
        <f>IF(ISBLANK('Data Entry'!$O$360), "", 'Data Entry'!$O$360)</f>
      </c>
      <c r="P360">
        <f>IF(ISBLANK('Data Entry'!$P$360), "", 'Data Entry'!$P$360)</f>
      </c>
      <c r="Q360">
        <f>IF(ISBLANK('Data Entry'!$Q$360), "", 'Data Entry'!$Q$360)</f>
      </c>
      <c r="R360">
        <f>IF(ISBLANK('Data Entry'!$R$360), "", 'Data Entry'!$R$360)</f>
      </c>
      <c r="S360">
        <f>IF(ISBLANK('Data Entry'!$S$360), "", 'Data Entry'!$S$360)</f>
      </c>
      <c r="T360">
        <f>IF(ISBLANK('Data Entry'!$T$360), "", 'Data Entry'!$T$360)</f>
      </c>
      <c r="U360">
        <f>IF(ISBLANK('Data Entry'!$U$360), "", 'Data Entry'!$U$360)</f>
      </c>
      <c r="V360">
        <f>IF(ISBLANK('Data Entry'!$V$360), "", 'Data Entry'!$V$360)</f>
      </c>
      <c r="W360">
        <f>IF(ISBLANK('Data Entry'!$W$360), "", 'Data Entry'!$W$360)</f>
      </c>
      <c r="X360">
        <f>IF(ISBLANK('Data Entry'!$X$360), "", 'Data Entry'!$X$360)</f>
      </c>
      <c r="Y360">
        <f>IF(ISBLANK('Data Entry'!$Y$360), "", 'Data Entry'!$Y$360)</f>
      </c>
      <c r="Z360">
        <f>IF(ISBLANK('Data Entry'!$Z$360), "", 'Data Entry'!$Z$360)</f>
      </c>
      <c r="AA360">
        <f>IF(ISBLANK('Data Entry'!$[$360), "", 'Data Entry'!$[$360)</f>
      </c>
      <c r="AB360">
        <f>IF(ISBLANK('Data Entry'!$\$360), "", 'Data Entry'!$\$360)</f>
      </c>
      <c r="AC360">
        <f>IF(ISBLANK('Data Entry'!$]$360), "", 'Data Entry'!$]$360)</f>
      </c>
      <c r="AD360">
        <f>IF(ISBLANK('Data Entry'!$^$360), "", 'Data Entry'!$^$360)</f>
      </c>
      <c r="AE360">
        <f>IF(ISBLANK('Data Entry'!$_$360), "", 'Data Entry'!$_$360)</f>
      </c>
      <c r="AF360">
        <f>IF(ISBLANK('Data Entry'!$`$360), "", 'Data Entry'!$`$360)</f>
      </c>
      <c r="AG360">
        <f>IF(ISBLANK('Data Entry'!$a$360), "", 'Data Entry'!$a$360)</f>
      </c>
      <c r="AH360">
        <f>IF(ISBLANK('Data Entry'!$b$360), "", 'Data Entry'!$b$360)</f>
      </c>
      <c r="AI360">
        <f>IF(ISBLANK('Data Entry'!$c$360), "", 'Data Entry'!$c$360)</f>
      </c>
      <c r="AJ360">
        <f>IF(ISBLANK('Data Entry'!$d$360), "", 'Data Entry'!$d$360)</f>
      </c>
      <c r="AK360">
        <f>IF(ISBLANK('Data Entry'!$e$360), "", 'Data Entry'!$e$360)</f>
      </c>
      <c r="AL360">
        <f>IF(ISBLANK('Data Entry'!$f$360), "", 'Data Entry'!$f$360)</f>
      </c>
      <c r="AM360">
        <f>IF(ISBLANK('Data Entry'!$g$360), "", 'Data Entry'!$g$360)</f>
      </c>
      <c r="AN360">
        <f>IF(ISBLANK('Data Entry'!$h$360), "", 'Data Entry'!$h$360)</f>
      </c>
      <c r="AO360">
        <f>IF(ISBLANK('Data Entry'!$i$360), "", 'Data Entry'!$i$360)</f>
      </c>
      <c r="AP360">
        <f>IF(ISBLANK('Data Entry'!$j$360), "", 'Data Entry'!$j$360)</f>
      </c>
      <c r="AQ360">
        <f>IF(ISBLANK('Data Entry'!$k$360), "", 'Data Entry'!$k$360)</f>
      </c>
      <c r="AR360">
        <f>IF(ISBLANK('Data Entry'!$l$360), "", 'Data Entry'!$l$360)</f>
      </c>
      <c r="AS360">
        <f>IF(ISBLANK('Data Entry'!$m$360), "", 'Data Entry'!$m$360)</f>
      </c>
      <c r="AT360">
        <f>IF(ISBLANK('Data Entry'!$n$360), "", 'Data Entry'!$n$360)</f>
      </c>
      <c r="AU360">
        <f>IF(ISBLANK('Data Entry'!$o$360), "", 'Data Entry'!$o$360)</f>
      </c>
      <c r="AV360">
        <f>IF(ISBLANK('Data Entry'!$p$360), "", 'Data Entry'!$p$360)</f>
      </c>
      <c r="AW360">
        <f>IF(ISBLANK('Data Entry'!$q$360), "", 'Data Entry'!$q$360)</f>
      </c>
      <c r="AX360">
        <f>IF(ISBLANK('Data Entry'!$r$360), "", 'Data Entry'!$r$360)</f>
      </c>
      <c r="AY360">
        <f>IF(ISBLANK('Data Entry'!$s$360), "", 'Data Entry'!$s$360)</f>
      </c>
      <c r="AZ360">
        <f>IF(ISBLANK('Data Entry'!$t$360), "", 'Data Entry'!$t$360)</f>
      </c>
      <c r="BA360">
        <f>IF(ISBLANK('Data Entry'!$u$360), "", 'Data Entry'!$u$360)</f>
      </c>
      <c r="BB360">
        <f>IF(ISBLANK('Data Entry'!$v$360), "", 'Data Entry'!$v$360)</f>
      </c>
      <c r="BC360">
        <f>IF(ISBLANK('Data Entry'!$w$360), "", 'Data Entry'!$w$360)</f>
      </c>
      <c r="BD360">
        <f>IF(ISBLANK('Data Entry'!$x$360), "", 'Data Entry'!$x$360)</f>
      </c>
      <c r="BE360">
        <f>IF(ISBLANK('Data Entry'!$y$360), "", 'Data Entry'!$y$360)</f>
      </c>
      <c r="BF360">
        <f>IF(ISBLANK('Data Entry'!$z$360), "", 'Data Entry'!$z$360)</f>
      </c>
      <c r="BG360">
        <f>IF(ISBLANK('Data Entry'!${$360), "", 'Data Entry'!${$360)</f>
      </c>
      <c r="BH360">
        <f>IF(ISBLANK('Data Entry'!$|$360), "", 'Data Entry'!$|$360)</f>
      </c>
      <c r="BI360">
        <f>IF(ISBLANK('Data Entry'!$}$360), "", 'Data Entry'!$}$360)</f>
      </c>
      <c r="BJ360">
        <f>IF(ISBLANK('Data Entry'!$~$360), "", 'Data Entry'!$~$360)</f>
      </c>
      <c r="BK360">
        <f>IF(ISBLANK('Data Entry'!$$360), "", 'Data Entry'!$$360)</f>
      </c>
      <c r="BL360">
        <f>IF(ISBLANK('Data Entry'!$$360), "", 'Data Entry'!$$360)</f>
      </c>
      <c r="BM360">
        <f>IF(ISBLANK('Data Entry'!$$360), "", 'Data Entry'!$$360)</f>
      </c>
      <c r="BN360">
        <f>IF(ISBLANK('Data Entry'!$$360), "", 'Data Entry'!$$360)</f>
      </c>
      <c r="BO360">
        <f>IF(ISBLANK('Data Entry'!$$360), "", 'Data Entry'!$$360)</f>
      </c>
      <c r="BP360">
        <f>IF(ISBLANK('Data Entry'!$$360), "", 'Data Entry'!$$360)</f>
      </c>
      <c r="BQ360">
        <f>IF(ISBLANK('Data Entry'!$$360), "", 'Data Entry'!$$360)</f>
      </c>
      <c r="BR360">
        <f>IF(ISBLANK('Data Entry'!$$360), "", 'Data Entry'!$$360)</f>
      </c>
      <c r="BS360">
        <f>IF(ISBLANK('Data Entry'!$$360), "", 'Data Entry'!$$360)</f>
      </c>
      <c r="BT360">
        <f>IF(ISBLANK('Data Entry'!$$360), "", 'Data Entry'!$$360)</f>
      </c>
      <c r="BU360">
        <f>IF(ISBLANK('Data Entry'!$$360), "", 'Data Entry'!$$360)</f>
      </c>
      <c r="BV360">
        <f>IF(ISBLANK('Data Entry'!$$360), "", 'Data Entry'!$$360)</f>
      </c>
      <c r="BW360">
        <f>IF(ISBLANK('Data Entry'!$$360), "", 'Data Entry'!$$360)</f>
      </c>
      <c r="BX360">
        <f>IF(ISBLANK('Data Entry'!$$360), "", 'Data Entry'!$$360)</f>
      </c>
      <c r="BY360">
        <f>IF(ISBLANK('Data Entry'!$$360), "", 'Data Entry'!$$360)</f>
      </c>
      <c r="BZ360">
        <f>IF(ISBLANK('Data Entry'!$$360), "", 'Data Entry'!$$360)</f>
      </c>
      <c r="CA360">
        <f>IF(ISBLANK('Data Entry'!$$360), "", 'Data Entry'!$$360)</f>
      </c>
      <c r="CB360">
        <f>IF(ISBLANK('Data Entry'!$$360), "", 'Data Entry'!$$360)</f>
      </c>
      <c r="CC360">
        <f>IF(ISBLANK('Data Entry'!$$360), "", 'Data Entry'!$$360)</f>
      </c>
      <c r="CD360">
        <f>IF(ISBLANK('Data Entry'!$$360), "", 'Data Entry'!$$360)</f>
      </c>
      <c r="CE360">
        <f>IF(ISBLANK('Data Entry'!$$360), "", 'Data Entry'!$$360)</f>
      </c>
      <c r="CF360">
        <f>IF(ISBLANK('Data Entry'!$$360), "", 'Data Entry'!$$360)</f>
      </c>
      <c r="CG360">
        <f>IF(ISBLANK('Data Entry'!$$360), "", 'Data Entry'!$$360)</f>
      </c>
      <c r="CH360">
        <f>IF(ISBLANK('Data Entry'!$$360), "", 'Data Entry'!$$360)</f>
      </c>
      <c r="CI360">
        <f>IF(ISBLANK('Data Entry'!$$360), "", 'Data Entry'!$$360)</f>
      </c>
      <c r="CJ360">
        <f>IF(ISBLANK('Data Entry'!$$360), "", 'Data Entry'!$$360)</f>
      </c>
      <c r="CK360">
        <f>IF(ISBLANK('Data Entry'!$$360), "", 'Data Entry'!$$360)</f>
      </c>
      <c r="CL360">
        <f>IF(ISBLANK('Data Entry'!$$360), "", 'Data Entry'!$$360)</f>
      </c>
      <c r="CM360">
        <f>IF(ISBLANK('Data Entry'!$$360), "", 'Data Entry'!$$360)</f>
      </c>
      <c r="CN360">
        <f>IF(ISBLANK('Data Entry'!$$360), "", 'Data Entry'!$$360)</f>
      </c>
      <c r="CO360">
        <f>IF(ISBLANK('Data Entry'!$$360), "", 'Data Entry'!$$360)</f>
      </c>
      <c r="CP360">
        <f>IF(ISBLANK('Data Entry'!$$360), "", 'Data Entry'!$$360)</f>
      </c>
      <c r="CQ360">
        <f>IF(ISBLANK('Data Entry'!$$360), "", 'Data Entry'!$$360)</f>
      </c>
      <c r="CR360">
        <f>IF(ISBLANK('Data Entry'!$ $360), "", 'Data Entry'!$ $360)</f>
      </c>
      <c r="CS360">
        <f>IF(ISBLANK('Data Entry'!$¡$360), "", 'Data Entry'!$¡$360)</f>
      </c>
      <c r="CT360">
        <f>IF(ISBLANK('Data Entry'!$¢$360), "", 'Data Entry'!$¢$360)</f>
      </c>
      <c r="CU360">
        <f>IF(ISBLANK('Data Entry'!$£$360), "", 'Data Entry'!$£$360)</f>
      </c>
      <c r="CV360">
        <f>IF(ISBLANK('Data Entry'!$¤$360), "", 'Data Entry'!$¤$360)</f>
      </c>
      <c r="CW360">
        <f>IF(ISBLANK('Data Entry'!$¥$360), "", 'Data Entry'!$¥$360)</f>
      </c>
      <c r="CX360">
        <f>IF(ISBLANK('Data Entry'!$¦$360), "", 'Data Entry'!$¦$360)</f>
      </c>
      <c r="CY360">
        <f>IF(ISBLANK('Data Entry'!$§$360), "", 'Data Entry'!$§$360)</f>
      </c>
      <c r="CZ360">
        <f>IF(ISBLANK('Data Entry'!$¨$360), "", 'Data Entry'!$¨$360)</f>
      </c>
      <c r="DA360">
        <f>IF(ISBLANK('Data Entry'!$©$360), "", 'Data Entry'!$©$360)</f>
      </c>
      <c r="DB360">
        <f>IF(ISBLANK('Data Entry'!$ª$360), "", 'Data Entry'!$ª$360)</f>
      </c>
      <c r="DC360">
        <f>IF(ISBLANK('Data Entry'!$«$360), "", 'Data Entry'!$«$360)</f>
      </c>
      <c r="DD360">
        <f>IF(ISBLANK('Data Entry'!$¬$360), "", 'Data Entry'!$¬$360)</f>
      </c>
      <c r="DE360">
        <f>IF(ISBLANK('Data Entry'!$­$360), "", 'Data Entry'!$­$360)</f>
      </c>
      <c r="DF360">
        <f>IF(ISBLANK('Data Entry'!$®$360), "", 'Data Entry'!$®$360)</f>
      </c>
      <c r="DG360">
        <f>IF(ISBLANK('Data Entry'!$¯$360), "", 'Data Entry'!$¯$360)</f>
      </c>
      <c r="DH360">
        <f>IF(ISBLANK('Data Entry'!$°$360), "", 'Data Entry'!$°$360)</f>
      </c>
      <c r="DI360">
        <f>IF(ISBLANK('Data Entry'!$±$360), "", 'Data Entry'!$±$360)</f>
      </c>
      <c r="DJ360">
        <f>IF(ISBLANK('Data Entry'!$²$360), "", 'Data Entry'!$²$360)</f>
      </c>
      <c r="DK360">
        <f>IF(ISBLANK('Data Entry'!$³$360), "", 'Data Entry'!$³$360)</f>
      </c>
      <c r="DL360">
        <f>IF(ISBLANK('Data Entry'!$´$360), "", 'Data Entry'!$´$360)</f>
      </c>
      <c r="DM360">
        <f>IF(ISBLANK('Data Entry'!$µ$360), "", 'Data Entry'!$µ$360)</f>
      </c>
      <c r="DN360">
        <f>IF(ISBLANK('Data Entry'!$¶$360), "", 'Data Entry'!$¶$360)</f>
      </c>
      <c r="DO360">
        <f>IF(ISBLANK('Data Entry'!$·$360), "", 'Data Entry'!$·$360)</f>
      </c>
      <c r="DP360">
        <f>IF(ISBLANK('Data Entry'!$¸$360), "", 'Data Entry'!$¸$360)</f>
      </c>
      <c r="DQ360">
        <f>IF(ISBLANK('Data Entry'!$¹$360), "", 'Data Entry'!$¹$360)</f>
      </c>
      <c r="DR360">
        <f>IF(ISBLANK('Data Entry'!$º$360), "", 'Data Entry'!$º$360)</f>
      </c>
      <c r="DS360">
        <f>IF(ISBLANK('Data Entry'!$»$360), "", 'Data Entry'!$»$360)</f>
      </c>
      <c r="DT360">
        <f>IF(ISBLANK('Data Entry'!$¼$360), "", 'Data Entry'!$¼$360)</f>
      </c>
      <c r="DU360">
        <f>IF(ISBLANK('Data Entry'!$½$360), "", 'Data Entry'!$½$360)</f>
      </c>
      <c r="DV360">
        <f>IF(ISBLANK('Data Entry'!$¾$360), "", 'Data Entry'!$¾$360)</f>
      </c>
      <c r="DW360">
        <f>IF(ISBLANK('Data Entry'!$¿$360), "", 'Data Entry'!$¿$360)</f>
      </c>
      <c r="DX360">
        <f>IF(ISBLANK('Data Entry'!$À$360), "", 'Data Entry'!$À$360)</f>
      </c>
      <c r="DY360">
        <f>IF(ISBLANK('Data Entry'!$Á$360), "", 'Data Entry'!$Á$360)</f>
      </c>
      <c r="DZ360">
        <f>IF(ISBLANK('Data Entry'!$Â$360), "", 'Data Entry'!$Â$360)</f>
      </c>
      <c r="EA360">
        <f>IF(ISBLANK('Data Entry'!$Ã$360), "", 'Data Entry'!$Ã$360)</f>
      </c>
      <c r="EB360">
        <f>IF(ISBLANK('Data Entry'!$Ä$360), "", 'Data Entry'!$Ä$360)</f>
      </c>
      <c r="EC360">
        <f>IF(ISBLANK('Data Entry'!$Å$360), "", 'Data Entry'!$Å$360)</f>
      </c>
      <c r="ED360">
        <f>IF(ISBLANK('Data Entry'!$Æ$360), "", 'Data Entry'!$Æ$360)</f>
      </c>
      <c r="EE360">
        <f>IF(ISBLANK('Data Entry'!$Ç$360), "", 'Data Entry'!$Ç$360)</f>
      </c>
      <c r="EF360">
        <f>IF(ISBLANK('Data Entry'!$È$360), "", 'Data Entry'!$È$360)</f>
      </c>
      <c r="EG360">
        <f>IF(ISBLANK('Data Entry'!$É$360), "", 'Data Entry'!$É$360)</f>
      </c>
      <c r="EH360">
        <f>IF(ISBLANK('Data Entry'!$Ê$360), "", 'Data Entry'!$Ê$360)</f>
      </c>
      <c r="EI360">
        <f>IF(ISBLANK('Data Entry'!$Ë$360), "", 'Data Entry'!$Ë$360)</f>
      </c>
      <c r="EJ360">
        <f>IF(ISBLANK('Data Entry'!$Ì$360), "", 'Data Entry'!$Ì$360)</f>
      </c>
      <c r="EK360">
        <f>IF(ISBLANK('Data Entry'!$Í$360), "", 'Data Entry'!$Í$360)</f>
      </c>
      <c r="EL360">
        <f>IF(ISBLANK('Data Entry'!$Î$360), "", 'Data Entry'!$Î$360)</f>
      </c>
      <c r="EM360">
        <f>IF(ISBLANK('Data Entry'!$Ï$360), "", 'Data Entry'!$Ï$360)</f>
      </c>
      <c r="EN360">
        <f>IF(ISBLANK('Data Entry'!$Ð$360), "", 'Data Entry'!$Ð$360)</f>
      </c>
      <c r="EO360">
        <f>IF(ISBLANK('Data Entry'!$Ñ$360), "", 'Data Entry'!$Ñ$360)</f>
      </c>
      <c r="EP360">
        <f>IF(ISBLANK('Data Entry'!$Ò$360), "", 'Data Entry'!$Ò$360)</f>
      </c>
      <c r="EQ360">
        <f>IF(ISBLANK('Data Entry'!$Ó$360), "", 'Data Entry'!$Ó$360)</f>
      </c>
      <c r="ER360">
        <f>IF(ISBLANK('Data Entry'!$Ô$360), "", 'Data Entry'!$Ô$360)</f>
      </c>
      <c r="ES360">
        <f>IF(ISBLANK('Data Entry'!$Õ$360), "", 'Data Entry'!$Õ$360)</f>
      </c>
      <c r="ET360">
        <f>IF(ISBLANK('Data Entry'!$Ö$360), "", 'Data Entry'!$Ö$360)</f>
      </c>
      <c r="EU360">
        <f>IF(ISBLANK('Data Entry'!$×$360), "", 'Data Entry'!$×$360)</f>
      </c>
      <c r="EV360">
        <f>IF(ISBLANK('Data Entry'!$Ø$360), "", 'Data Entry'!$Ø$360)</f>
      </c>
      <c r="EW360">
        <f>IF(ISBLANK('Data Entry'!$Ù$360), "", 'Data Entry'!$Ù$360)</f>
      </c>
      <c r="EX360">
        <f>IF(ISBLANK('Data Entry'!$Ú$360), "", 'Data Entry'!$Ú$360)</f>
      </c>
      <c r="EY360">
        <f>IF(ISBLANK('Data Entry'!$Û$360), "", 'Data Entry'!$Û$360)</f>
      </c>
      <c r="EZ360">
        <f>IF(ISBLANK('Data Entry'!$Ü$360), "", 'Data Entry'!$Ü$360)</f>
      </c>
      <c r="FA360">
        <f>IF(ISBLANK('Data Entry'!$Ý$360), "", 'Data Entry'!$Ý$360)</f>
      </c>
      <c r="FB360">
        <f>IF(ISBLANK('Data Entry'!$Þ$360), "", 'Data Entry'!$Þ$360)</f>
      </c>
      <c r="FC360">
        <f>IF(ISBLANK('Data Entry'!$ß$360), "", 'Data Entry'!$ß$360)</f>
      </c>
      <c r="FD360">
        <f>IF(ISBLANK('Data Entry'!$à$360), "", 'Data Entry'!$à$360)</f>
      </c>
      <c r="FE360">
        <f>IF(ISBLANK('Data Entry'!$á$360), "", 'Data Entry'!$á$360)</f>
      </c>
      <c r="FF360">
        <f>IF(ISBLANK('Data Entry'!$â$360), "", 'Data Entry'!$â$360)</f>
      </c>
      <c r="FG360">
        <f>IF(ISBLANK('Data Entry'!$ã$360), "", 'Data Entry'!$ã$360)</f>
      </c>
      <c r="FH360">
        <f>IF(ISBLANK('Data Entry'!$ä$360), "", 'Data Entry'!$ä$360)</f>
      </c>
      <c r="FI360">
        <f>IF(ISBLANK('Data Entry'!$å$360), "", 'Data Entry'!$å$360)</f>
      </c>
      <c r="FJ360">
        <f>IF(ISBLANK('Data Entry'!$æ$360), "", 'Data Entry'!$æ$360)</f>
      </c>
      <c r="FK360">
        <f>IF(ISBLANK('Data Entry'!$ç$360), "", 'Data Entry'!$ç$360)</f>
      </c>
      <c r="FL360">
        <f>IF(ISBLANK('Data Entry'!$è$360), "", 'Data Entry'!$è$360)</f>
      </c>
      <c r="FM360">
        <f>IF(ISBLANK('Data Entry'!$é$360), "", 'Data Entry'!$é$360)</f>
      </c>
      <c r="FN360">
        <f>IF(ISBLANK('Data Entry'!$ê$360), "", 'Data Entry'!$ê$360)</f>
      </c>
      <c r="FO360">
        <f>IF(ISBLANK('Data Entry'!$ë$360), "", 'Data Entry'!$ë$360)</f>
      </c>
      <c r="FP360">
        <f>IF(ISBLANK('Data Entry'!$ì$360), "", 'Data Entry'!$ì$360)</f>
      </c>
      <c r="FQ360">
        <f>IF(ISBLANK('Data Entry'!$í$360), "", 'Data Entry'!$í$360)</f>
      </c>
      <c r="FR360">
        <f>IF(ISBLANK('Data Entry'!$î$360), "", 'Data Entry'!$î$360)</f>
      </c>
      <c r="FS360">
        <f>IF(ISBLANK('Data Entry'!$ï$360), "", 'Data Entry'!$ï$360)</f>
      </c>
      <c r="FT360">
        <f>IF(ISBLANK('Data Entry'!$ð$360), "", 'Data Entry'!$ð$360)</f>
      </c>
      <c r="FU360">
        <f>IF(ISBLANK('Data Entry'!$ñ$360), "", 'Data Entry'!$ñ$360)</f>
      </c>
      <c r="FV360">
        <f>IF(ISBLANK('Data Entry'!$ò$360), "", 'Data Entry'!$ò$360)</f>
      </c>
      <c r="FW360">
        <f>IF(ISBLANK('Data Entry'!$ó$360), "", 'Data Entry'!$ó$360)</f>
      </c>
      <c r="FX360">
        <f>IF(ISBLANK('Data Entry'!$ô$360), "", 'Data Entry'!$ô$360)</f>
      </c>
      <c r="FY360">
        <f>IF(ISBLANK('Data Entry'!$õ$360), "", 'Data Entry'!$õ$360)</f>
      </c>
      <c r="FZ360">
        <f>IF(ISBLANK('Data Entry'!$ö$360), "", 'Data Entry'!$ö$360)</f>
      </c>
      <c r="GA360">
        <f>IF(ISBLANK('Data Entry'!$÷$360), "", 'Data Entry'!$÷$360)</f>
      </c>
      <c r="GB360">
        <f>IF(ISBLANK('Data Entry'!$ø$360), "", 'Data Entry'!$ø$360)</f>
      </c>
      <c r="GC360">
        <f>IF(ISBLANK('Data Entry'!$ù$360), "", 'Data Entry'!$ù$360)</f>
      </c>
      <c r="GD360">
        <f>IF(ISBLANK('Data Entry'!$ú$360), "", 'Data Entry'!$ú$360)</f>
      </c>
      <c r="GE360">
        <f>IF(ISBLANK('Data Entry'!$û$360), "", 'Data Entry'!$û$360)</f>
      </c>
      <c r="GF360">
        <f>IF(ISBLANK('Data Entry'!$ü$360), "", 'Data Entry'!$ü$360)</f>
      </c>
      <c r="GG360">
        <f>IF(ISBLANK('Data Entry'!$ý$360), "", 'Data Entry'!$ý$360)</f>
      </c>
      <c r="GH360">
        <f>IF(ISBLANK('Data Entry'!$þ$360), "", 'Data Entry'!$þ$360)</f>
      </c>
      <c r="GI360">
        <f>IF(ISBLANK('Data Entry'!$ÿ$360), "", 'Data Entry'!$ÿ$360)</f>
      </c>
      <c r="GJ360">
        <f>IF(ISBLANK('Data Entry'!$Ā$360), "", 'Data Entry'!$Ā$360)</f>
      </c>
      <c r="GK360">
        <f>IF(ISBLANK('Data Entry'!$ā$360), "", 'Data Entry'!$ā$360)</f>
      </c>
      <c r="GL360">
        <f>IF(ISBLANK('Data Entry'!$Ă$360), "", 'Data Entry'!$Ă$360)</f>
      </c>
      <c r="GM360">
        <f>IF(ISBLANK('Data Entry'!$ă$360), "", 'Data Entry'!$ă$360)</f>
      </c>
      <c r="GN360">
        <f>IF(ISBLANK('Data Entry'!$Ą$360), "", 'Data Entry'!$Ą$360)</f>
      </c>
      <c r="GO360">
        <f>IF(ISBLANK('Data Entry'!$ą$360), "", 'Data Entry'!$ą$360)</f>
      </c>
      <c r="GP360">
        <f>IF(ISBLANK('Data Entry'!$Ć$360), "", 'Data Entry'!$Ć$360)</f>
      </c>
      <c r="GQ360">
        <f>IF(ISBLANK('Data Entry'!$ć$360), "", 'Data Entry'!$ć$360)</f>
      </c>
      <c r="GR360">
        <f>IF(ISBLANK('Data Entry'!$Ĉ$360), "", 'Data Entry'!$Ĉ$360)</f>
      </c>
      <c r="GS360">
        <f>IF(ISBLANK('Data Entry'!$ĉ$360), "", 'Data Entry'!$ĉ$360)</f>
      </c>
      <c r="GT360">
        <f>IF(ISBLANK('Data Entry'!$Ċ$360), "", 'Data Entry'!$Ċ$360)</f>
      </c>
      <c r="GU360">
        <f>IF(ISBLANK('Data Entry'!$ċ$360), "", 'Data Entry'!$ċ$360)</f>
      </c>
      <c r="GV360">
        <f>IF(ISBLANK('Data Entry'!$Č$360), "", 'Data Entry'!$Č$360)</f>
      </c>
      <c r="GW360">
        <f>IF(ISBLANK('Data Entry'!$č$360), "", 'Data Entry'!$č$360)</f>
      </c>
      <c r="GX360">
        <f>IF(ISBLANK('Data Entry'!$Ď$360), "", 'Data Entry'!$Ď$360)</f>
      </c>
      <c r="GY360">
        <f>IF(ISBLANK('Data Entry'!$ď$360), "", 'Data Entry'!$ď$360)</f>
      </c>
      <c r="GZ360">
        <f>IF(ISBLANK('Data Entry'!$Đ$360), "", 'Data Entry'!$Đ$360)</f>
      </c>
      <c r="HA360">
        <f>IF(ISBLANK('Data Entry'!$đ$360), "", 'Data Entry'!$đ$360)</f>
      </c>
      <c r="HB360">
        <f>IF(ISBLANK('Data Entry'!$Ē$360), "", 'Data Entry'!$Ē$360)</f>
      </c>
      <c r="HC360">
        <f>IF(ISBLANK('Data Entry'!$ē$360), "", 'Data Entry'!$ē$360)</f>
      </c>
      <c r="HD360">
        <f>IF(ISBLANK('Data Entry'!$Ĕ$360), "", 'Data Entry'!$Ĕ$360)</f>
      </c>
      <c r="HE360">
        <f>IF(ISBLANK('Data Entry'!$ĕ$360), "", 'Data Entry'!$ĕ$360)</f>
      </c>
      <c r="HF360">
        <f>IF(ISBLANK('Data Entry'!$Ė$360), "", 'Data Entry'!$Ė$360)</f>
      </c>
      <c r="HG360">
        <f>IF(ISBLANK('Data Entry'!$ė$360), "", 'Data Entry'!$ė$360)</f>
      </c>
      <c r="HH360">
        <f>IF(ISBLANK('Data Entry'!$Ę$360), "", 'Data Entry'!$Ę$360)</f>
      </c>
      <c r="HI360">
        <f>IF(ISBLANK('Data Entry'!$ę$360), "", 'Data Entry'!$ę$360)</f>
      </c>
      <c r="HJ360">
        <f>IF(ISBLANK('Data Entry'!$Ě$360), "", 'Data Entry'!$Ě$360)</f>
      </c>
      <c r="HK360">
        <f>IF(ISBLANK('Data Entry'!$ě$360), "", 'Data Entry'!$ě$360)</f>
      </c>
      <c r="HL360">
        <f>IF(ISBLANK('Data Entry'!$Ĝ$360), "", 'Data Entry'!$Ĝ$360)</f>
      </c>
      <c r="HM360">
        <f>IF(ISBLANK('Data Entry'!$ĝ$360), "", 'Data Entry'!$ĝ$360)</f>
      </c>
      <c r="HN360">
        <f>IF(ISBLANK('Data Entry'!$Ğ$360), "", 'Data Entry'!$Ğ$360)</f>
      </c>
      <c r="HO360">
        <f>IF(ISBLANK('Data Entry'!$ğ$360), "", 'Data Entry'!$ğ$360)</f>
      </c>
      <c r="HP360">
        <f>IF(ISBLANK('Data Entry'!$Ġ$360), "", 'Data Entry'!$Ġ$360)</f>
      </c>
      <c r="HQ360">
        <f>IF(ISBLANK('Data Entry'!$ġ$360), "", 'Data Entry'!$ġ$360)</f>
      </c>
      <c r="HR360">
        <f>IF(ISBLANK('Data Entry'!$Ģ$360), "", 'Data Entry'!$Ģ$360)</f>
      </c>
      <c r="HS360">
        <f>IF(ISBLANK('Data Entry'!$ģ$360), "", 'Data Entry'!$ģ$360)</f>
      </c>
      <c r="HT360">
        <f>IF(ISBLANK('Data Entry'!$Ĥ$360), "", 'Data Entry'!$Ĥ$360)</f>
      </c>
      <c r="HU360">
        <f>IF(ISBLANK('Data Entry'!$ĥ$360), "", 'Data Entry'!$ĥ$360)</f>
      </c>
      <c r="HV360">
        <f>IF(ISBLANK('Data Entry'!$Ħ$360), "", 'Data Entry'!$Ħ$360)</f>
      </c>
      <c r="HW360">
        <f>IF(ISBLANK('Data Entry'!$ħ$360), "", 'Data Entry'!$ħ$360)</f>
      </c>
      <c r="HX360">
        <f>IF(ISBLANK('Data Entry'!$Ĩ$360), "", 'Data Entry'!$Ĩ$360)</f>
      </c>
      <c r="HY360">
        <f>IF(ISBLANK('Data Entry'!$ĩ$360), "", 'Data Entry'!$ĩ$360)</f>
      </c>
      <c r="HZ360">
        <f>IF(ISBLANK('Data Entry'!$Ī$360), "", 'Data Entry'!$Ī$360)</f>
      </c>
      <c r="IA360">
        <f>IF(ISBLANK('Data Entry'!$ī$360), "", 'Data Entry'!$ī$360)</f>
      </c>
      <c r="IB360">
        <f>IF(ISBLANK('Data Entry'!$Ĭ$360), "", 'Data Entry'!$Ĭ$360)</f>
      </c>
      <c r="IC360">
        <f>IF(ISBLANK('Data Entry'!$ĭ$360), "", 'Data Entry'!$ĭ$360)</f>
      </c>
      <c r="ID360">
        <f>IF(ISBLANK('Data Entry'!$Į$360), "", 'Data Entry'!$Į$360)</f>
      </c>
      <c r="IE360">
        <f>IF(ISBLANK('Data Entry'!$į$360), "", 'Data Entry'!$į$360)</f>
      </c>
      <c r="IF360">
        <f>IF(ISBLANK('Data Entry'!$İ$360), "", 'Data Entry'!$İ$360)</f>
      </c>
      <c r="IG360">
        <f>IF(ISBLANK('Data Entry'!$ı$360), "", 'Data Entry'!$ı$360)</f>
      </c>
      <c r="IH360">
        <f>IF(ISBLANK('Data Entry'!$Ĳ$360), "", 'Data Entry'!$Ĳ$360)</f>
      </c>
      <c r="II360">
        <f>IF(ISBLANK('Data Entry'!$ĳ$360), "", 'Data Entry'!$ĳ$360)</f>
      </c>
      <c r="IJ360">
        <f>IF(ISBLANK('Data Entry'!$Ĵ$360), "", 'Data Entry'!$Ĵ$360)</f>
      </c>
      <c r="IK360">
        <f>IF(ISBLANK('Data Entry'!$ĵ$360), "", 'Data Entry'!$ĵ$360)</f>
      </c>
      <c r="IL360">
        <f>IF(ISBLANK('Data Entry'!$Ķ$360), "", 'Data Entry'!$Ķ$360)</f>
      </c>
      <c r="IM360">
        <f>IF(ISBLANK('Data Entry'!$ķ$360), "", 'Data Entry'!$ķ$360)</f>
      </c>
      <c r="IN360">
        <f>IF(ISBLANK('Data Entry'!$ĸ$360), "", 'Data Entry'!$ĸ$360)</f>
      </c>
      <c r="IO360">
        <f>IF(ISBLANK('Data Entry'!$Ĺ$360), "", 'Data Entry'!$Ĺ$360)</f>
      </c>
      <c r="IP360">
        <f>IF(ISBLANK('Data Entry'!$ĺ$360), "", 'Data Entry'!$ĺ$360)</f>
      </c>
      <c r="IQ360">
        <f>IF(ISBLANK('Data Entry'!$Ļ$360), "", 'Data Entry'!$Ļ$360)</f>
      </c>
      <c r="IR360">
        <f>IF(ISBLANK('Data Entry'!$ļ$360), "", 'Data Entry'!$ļ$360)</f>
      </c>
      <c r="IS360">
        <f>IF(ISBLANK('Data Entry'!$Ľ$360), "", 'Data Entry'!$Ľ$360)</f>
      </c>
      <c r="IT360">
        <f>IF(ISBLANK('Data Entry'!$ľ$360), "", 'Data Entry'!$ľ$360)</f>
      </c>
    </row>
    <row r="361" spans="1:254" x14ac:dyDescent="0.25">
      <c r="A361">
        <f>IF(ISBLANK('Data Entry'!$A$361), "", 'Data Entry'!$A$361)</f>
      </c>
      <c r="B361">
        <f>IF(ISBLANK('Data Entry'!$B$361), "", 'Data Entry'!$B$361)</f>
      </c>
      <c r="C361">
        <f>IF(ISBLANK('Data Entry'!$C$361), "", 'Data Entry'!$C$361)</f>
      </c>
      <c r="D361">
        <f>IF(ISBLANK('Data Entry'!$D$361), "", 'Data Entry'!$D$361)</f>
      </c>
      <c r="E361">
        <f>IF(ISBLANK('Data Entry'!$E$361), "", 'Data Entry'!$E$361)</f>
      </c>
      <c r="F361">
        <f>IF(ISBLANK('Data Entry'!$F$361), "", 'Data Entry'!$F$361)</f>
      </c>
      <c r="G361">
        <f>IF(ISBLANK('Data Entry'!$G$361), "", 'Data Entry'!$G$361)</f>
      </c>
      <c r="H361">
        <f>IF(ISBLANK('Data Entry'!$H$361), "", 'Data Entry'!$H$361)</f>
      </c>
      <c r="I361">
        <f>IF(ISBLANK('Data Entry'!$I$361), "", 'Data Entry'!$I$361)</f>
      </c>
      <c r="J361">
        <f>IF(ISBLANK('Data Entry'!$J$361), "", 'Data Entry'!$J$361)</f>
      </c>
      <c r="K361">
        <f>IF(ISBLANK('Data Entry'!$K$361), "", 'Data Entry'!$K$361)</f>
      </c>
      <c r="L361">
        <f>IF(ISBLANK('Data Entry'!$L$361), "", 'Data Entry'!$L$361)</f>
      </c>
      <c r="M361">
        <f>IF(ISBLANK('Data Entry'!$M$361), "", 'Data Entry'!$M$361)</f>
      </c>
      <c r="N361">
        <f>IF(ISBLANK('Data Entry'!$N$361), "", 'Data Entry'!$N$361)</f>
      </c>
      <c r="O361">
        <f>IF(ISBLANK('Data Entry'!$O$361), "", 'Data Entry'!$O$361)</f>
      </c>
      <c r="P361">
        <f>IF(ISBLANK('Data Entry'!$P$361), "", 'Data Entry'!$P$361)</f>
      </c>
      <c r="Q361">
        <f>IF(ISBLANK('Data Entry'!$Q$361), "", 'Data Entry'!$Q$361)</f>
      </c>
      <c r="R361">
        <f>IF(ISBLANK('Data Entry'!$R$361), "", 'Data Entry'!$R$361)</f>
      </c>
      <c r="S361">
        <f>IF(ISBLANK('Data Entry'!$S$361), "", 'Data Entry'!$S$361)</f>
      </c>
      <c r="T361">
        <f>IF(ISBLANK('Data Entry'!$T$361), "", 'Data Entry'!$T$361)</f>
      </c>
      <c r="U361">
        <f>IF(ISBLANK('Data Entry'!$U$361), "", 'Data Entry'!$U$361)</f>
      </c>
      <c r="V361">
        <f>IF(ISBLANK('Data Entry'!$V$361), "", 'Data Entry'!$V$361)</f>
      </c>
      <c r="W361">
        <f>IF(ISBLANK('Data Entry'!$W$361), "", 'Data Entry'!$W$361)</f>
      </c>
      <c r="X361">
        <f>IF(ISBLANK('Data Entry'!$X$361), "", 'Data Entry'!$X$361)</f>
      </c>
      <c r="Y361">
        <f>IF(ISBLANK('Data Entry'!$Y$361), "", 'Data Entry'!$Y$361)</f>
      </c>
      <c r="Z361">
        <f>IF(ISBLANK('Data Entry'!$Z$361), "", 'Data Entry'!$Z$361)</f>
      </c>
      <c r="AA361">
        <f>IF(ISBLANK('Data Entry'!$[$361), "", 'Data Entry'!$[$361)</f>
      </c>
      <c r="AB361">
        <f>IF(ISBLANK('Data Entry'!$\$361), "", 'Data Entry'!$\$361)</f>
      </c>
      <c r="AC361">
        <f>IF(ISBLANK('Data Entry'!$]$361), "", 'Data Entry'!$]$361)</f>
      </c>
      <c r="AD361">
        <f>IF(ISBLANK('Data Entry'!$^$361), "", 'Data Entry'!$^$361)</f>
      </c>
      <c r="AE361">
        <f>IF(ISBLANK('Data Entry'!$_$361), "", 'Data Entry'!$_$361)</f>
      </c>
      <c r="AF361">
        <f>IF(ISBLANK('Data Entry'!$`$361), "", 'Data Entry'!$`$361)</f>
      </c>
      <c r="AG361">
        <f>IF(ISBLANK('Data Entry'!$a$361), "", 'Data Entry'!$a$361)</f>
      </c>
      <c r="AH361">
        <f>IF(ISBLANK('Data Entry'!$b$361), "", 'Data Entry'!$b$361)</f>
      </c>
      <c r="AI361">
        <f>IF(ISBLANK('Data Entry'!$c$361), "", 'Data Entry'!$c$361)</f>
      </c>
      <c r="AJ361">
        <f>IF(ISBLANK('Data Entry'!$d$361), "", 'Data Entry'!$d$361)</f>
      </c>
      <c r="AK361">
        <f>IF(ISBLANK('Data Entry'!$e$361), "", 'Data Entry'!$e$361)</f>
      </c>
      <c r="AL361">
        <f>IF(ISBLANK('Data Entry'!$f$361), "", 'Data Entry'!$f$361)</f>
      </c>
      <c r="AM361">
        <f>IF(ISBLANK('Data Entry'!$g$361), "", 'Data Entry'!$g$361)</f>
      </c>
      <c r="AN361">
        <f>IF(ISBLANK('Data Entry'!$h$361), "", 'Data Entry'!$h$361)</f>
      </c>
      <c r="AO361">
        <f>IF(ISBLANK('Data Entry'!$i$361), "", 'Data Entry'!$i$361)</f>
      </c>
      <c r="AP361">
        <f>IF(ISBLANK('Data Entry'!$j$361), "", 'Data Entry'!$j$361)</f>
      </c>
      <c r="AQ361">
        <f>IF(ISBLANK('Data Entry'!$k$361), "", 'Data Entry'!$k$361)</f>
      </c>
      <c r="AR361">
        <f>IF(ISBLANK('Data Entry'!$l$361), "", 'Data Entry'!$l$361)</f>
      </c>
      <c r="AS361">
        <f>IF(ISBLANK('Data Entry'!$m$361), "", 'Data Entry'!$m$361)</f>
      </c>
      <c r="AT361">
        <f>IF(ISBLANK('Data Entry'!$n$361), "", 'Data Entry'!$n$361)</f>
      </c>
      <c r="AU361">
        <f>IF(ISBLANK('Data Entry'!$o$361), "", 'Data Entry'!$o$361)</f>
      </c>
      <c r="AV361">
        <f>IF(ISBLANK('Data Entry'!$p$361), "", 'Data Entry'!$p$361)</f>
      </c>
      <c r="AW361">
        <f>IF(ISBLANK('Data Entry'!$q$361), "", 'Data Entry'!$q$361)</f>
      </c>
      <c r="AX361">
        <f>IF(ISBLANK('Data Entry'!$r$361), "", 'Data Entry'!$r$361)</f>
      </c>
      <c r="AY361">
        <f>IF(ISBLANK('Data Entry'!$s$361), "", 'Data Entry'!$s$361)</f>
      </c>
      <c r="AZ361">
        <f>IF(ISBLANK('Data Entry'!$t$361), "", 'Data Entry'!$t$361)</f>
      </c>
      <c r="BA361">
        <f>IF(ISBLANK('Data Entry'!$u$361), "", 'Data Entry'!$u$361)</f>
      </c>
      <c r="BB361">
        <f>IF(ISBLANK('Data Entry'!$v$361), "", 'Data Entry'!$v$361)</f>
      </c>
      <c r="BC361">
        <f>IF(ISBLANK('Data Entry'!$w$361), "", 'Data Entry'!$w$361)</f>
      </c>
      <c r="BD361">
        <f>IF(ISBLANK('Data Entry'!$x$361), "", 'Data Entry'!$x$361)</f>
      </c>
      <c r="BE361">
        <f>IF(ISBLANK('Data Entry'!$y$361), "", 'Data Entry'!$y$361)</f>
      </c>
      <c r="BF361">
        <f>IF(ISBLANK('Data Entry'!$z$361), "", 'Data Entry'!$z$361)</f>
      </c>
      <c r="BG361">
        <f>IF(ISBLANK('Data Entry'!${$361), "", 'Data Entry'!${$361)</f>
      </c>
      <c r="BH361">
        <f>IF(ISBLANK('Data Entry'!$|$361), "", 'Data Entry'!$|$361)</f>
      </c>
      <c r="BI361">
        <f>IF(ISBLANK('Data Entry'!$}$361), "", 'Data Entry'!$}$361)</f>
      </c>
      <c r="BJ361">
        <f>IF(ISBLANK('Data Entry'!$~$361), "", 'Data Entry'!$~$361)</f>
      </c>
      <c r="BK361">
        <f>IF(ISBLANK('Data Entry'!$$361), "", 'Data Entry'!$$361)</f>
      </c>
      <c r="BL361">
        <f>IF(ISBLANK('Data Entry'!$$361), "", 'Data Entry'!$$361)</f>
      </c>
      <c r="BM361">
        <f>IF(ISBLANK('Data Entry'!$$361), "", 'Data Entry'!$$361)</f>
      </c>
      <c r="BN361">
        <f>IF(ISBLANK('Data Entry'!$$361), "", 'Data Entry'!$$361)</f>
      </c>
      <c r="BO361">
        <f>IF(ISBLANK('Data Entry'!$$361), "", 'Data Entry'!$$361)</f>
      </c>
      <c r="BP361">
        <f>IF(ISBLANK('Data Entry'!$$361), "", 'Data Entry'!$$361)</f>
      </c>
      <c r="BQ361">
        <f>IF(ISBLANK('Data Entry'!$$361), "", 'Data Entry'!$$361)</f>
      </c>
      <c r="BR361">
        <f>IF(ISBLANK('Data Entry'!$$361), "", 'Data Entry'!$$361)</f>
      </c>
      <c r="BS361">
        <f>IF(ISBLANK('Data Entry'!$$361), "", 'Data Entry'!$$361)</f>
      </c>
      <c r="BT361">
        <f>IF(ISBLANK('Data Entry'!$$361), "", 'Data Entry'!$$361)</f>
      </c>
      <c r="BU361">
        <f>IF(ISBLANK('Data Entry'!$$361), "", 'Data Entry'!$$361)</f>
      </c>
      <c r="BV361">
        <f>IF(ISBLANK('Data Entry'!$$361), "", 'Data Entry'!$$361)</f>
      </c>
      <c r="BW361">
        <f>IF(ISBLANK('Data Entry'!$$361), "", 'Data Entry'!$$361)</f>
      </c>
      <c r="BX361">
        <f>IF(ISBLANK('Data Entry'!$$361), "", 'Data Entry'!$$361)</f>
      </c>
      <c r="BY361">
        <f>IF(ISBLANK('Data Entry'!$$361), "", 'Data Entry'!$$361)</f>
      </c>
      <c r="BZ361">
        <f>IF(ISBLANK('Data Entry'!$$361), "", 'Data Entry'!$$361)</f>
      </c>
      <c r="CA361">
        <f>IF(ISBLANK('Data Entry'!$$361), "", 'Data Entry'!$$361)</f>
      </c>
      <c r="CB361">
        <f>IF(ISBLANK('Data Entry'!$$361), "", 'Data Entry'!$$361)</f>
      </c>
      <c r="CC361">
        <f>IF(ISBLANK('Data Entry'!$$361), "", 'Data Entry'!$$361)</f>
      </c>
      <c r="CD361">
        <f>IF(ISBLANK('Data Entry'!$$361), "", 'Data Entry'!$$361)</f>
      </c>
      <c r="CE361">
        <f>IF(ISBLANK('Data Entry'!$$361), "", 'Data Entry'!$$361)</f>
      </c>
      <c r="CF361">
        <f>IF(ISBLANK('Data Entry'!$$361), "", 'Data Entry'!$$361)</f>
      </c>
      <c r="CG361">
        <f>IF(ISBLANK('Data Entry'!$$361), "", 'Data Entry'!$$361)</f>
      </c>
      <c r="CH361">
        <f>IF(ISBLANK('Data Entry'!$$361), "", 'Data Entry'!$$361)</f>
      </c>
      <c r="CI361">
        <f>IF(ISBLANK('Data Entry'!$$361), "", 'Data Entry'!$$361)</f>
      </c>
      <c r="CJ361">
        <f>IF(ISBLANK('Data Entry'!$$361), "", 'Data Entry'!$$361)</f>
      </c>
      <c r="CK361">
        <f>IF(ISBLANK('Data Entry'!$$361), "", 'Data Entry'!$$361)</f>
      </c>
      <c r="CL361">
        <f>IF(ISBLANK('Data Entry'!$$361), "", 'Data Entry'!$$361)</f>
      </c>
      <c r="CM361">
        <f>IF(ISBLANK('Data Entry'!$$361), "", 'Data Entry'!$$361)</f>
      </c>
      <c r="CN361">
        <f>IF(ISBLANK('Data Entry'!$$361), "", 'Data Entry'!$$361)</f>
      </c>
      <c r="CO361">
        <f>IF(ISBLANK('Data Entry'!$$361), "", 'Data Entry'!$$361)</f>
      </c>
      <c r="CP361">
        <f>IF(ISBLANK('Data Entry'!$$361), "", 'Data Entry'!$$361)</f>
      </c>
      <c r="CQ361">
        <f>IF(ISBLANK('Data Entry'!$$361), "", 'Data Entry'!$$361)</f>
      </c>
      <c r="CR361">
        <f>IF(ISBLANK('Data Entry'!$ $361), "", 'Data Entry'!$ $361)</f>
      </c>
      <c r="CS361">
        <f>IF(ISBLANK('Data Entry'!$¡$361), "", 'Data Entry'!$¡$361)</f>
      </c>
      <c r="CT361">
        <f>IF(ISBLANK('Data Entry'!$¢$361), "", 'Data Entry'!$¢$361)</f>
      </c>
      <c r="CU361">
        <f>IF(ISBLANK('Data Entry'!$£$361), "", 'Data Entry'!$£$361)</f>
      </c>
      <c r="CV361">
        <f>IF(ISBLANK('Data Entry'!$¤$361), "", 'Data Entry'!$¤$361)</f>
      </c>
      <c r="CW361">
        <f>IF(ISBLANK('Data Entry'!$¥$361), "", 'Data Entry'!$¥$361)</f>
      </c>
      <c r="CX361">
        <f>IF(ISBLANK('Data Entry'!$¦$361), "", 'Data Entry'!$¦$361)</f>
      </c>
      <c r="CY361">
        <f>IF(ISBLANK('Data Entry'!$§$361), "", 'Data Entry'!$§$361)</f>
      </c>
      <c r="CZ361">
        <f>IF(ISBLANK('Data Entry'!$¨$361), "", 'Data Entry'!$¨$361)</f>
      </c>
      <c r="DA361">
        <f>IF(ISBLANK('Data Entry'!$©$361), "", 'Data Entry'!$©$361)</f>
      </c>
      <c r="DB361">
        <f>IF(ISBLANK('Data Entry'!$ª$361), "", 'Data Entry'!$ª$361)</f>
      </c>
      <c r="DC361">
        <f>IF(ISBLANK('Data Entry'!$«$361), "", 'Data Entry'!$«$361)</f>
      </c>
      <c r="DD361">
        <f>IF(ISBLANK('Data Entry'!$¬$361), "", 'Data Entry'!$¬$361)</f>
      </c>
      <c r="DE361">
        <f>IF(ISBLANK('Data Entry'!$­$361), "", 'Data Entry'!$­$361)</f>
      </c>
      <c r="DF361">
        <f>IF(ISBLANK('Data Entry'!$®$361), "", 'Data Entry'!$®$361)</f>
      </c>
      <c r="DG361">
        <f>IF(ISBLANK('Data Entry'!$¯$361), "", 'Data Entry'!$¯$361)</f>
      </c>
      <c r="DH361">
        <f>IF(ISBLANK('Data Entry'!$°$361), "", 'Data Entry'!$°$361)</f>
      </c>
      <c r="DI361">
        <f>IF(ISBLANK('Data Entry'!$±$361), "", 'Data Entry'!$±$361)</f>
      </c>
      <c r="DJ361">
        <f>IF(ISBLANK('Data Entry'!$²$361), "", 'Data Entry'!$²$361)</f>
      </c>
      <c r="DK361">
        <f>IF(ISBLANK('Data Entry'!$³$361), "", 'Data Entry'!$³$361)</f>
      </c>
      <c r="DL361">
        <f>IF(ISBLANK('Data Entry'!$´$361), "", 'Data Entry'!$´$361)</f>
      </c>
      <c r="DM361">
        <f>IF(ISBLANK('Data Entry'!$µ$361), "", 'Data Entry'!$µ$361)</f>
      </c>
      <c r="DN361">
        <f>IF(ISBLANK('Data Entry'!$¶$361), "", 'Data Entry'!$¶$361)</f>
      </c>
      <c r="DO361">
        <f>IF(ISBLANK('Data Entry'!$·$361), "", 'Data Entry'!$·$361)</f>
      </c>
      <c r="DP361">
        <f>IF(ISBLANK('Data Entry'!$¸$361), "", 'Data Entry'!$¸$361)</f>
      </c>
      <c r="DQ361">
        <f>IF(ISBLANK('Data Entry'!$¹$361), "", 'Data Entry'!$¹$361)</f>
      </c>
      <c r="DR361">
        <f>IF(ISBLANK('Data Entry'!$º$361), "", 'Data Entry'!$º$361)</f>
      </c>
      <c r="DS361">
        <f>IF(ISBLANK('Data Entry'!$»$361), "", 'Data Entry'!$»$361)</f>
      </c>
      <c r="DT361">
        <f>IF(ISBLANK('Data Entry'!$¼$361), "", 'Data Entry'!$¼$361)</f>
      </c>
      <c r="DU361">
        <f>IF(ISBLANK('Data Entry'!$½$361), "", 'Data Entry'!$½$361)</f>
      </c>
      <c r="DV361">
        <f>IF(ISBLANK('Data Entry'!$¾$361), "", 'Data Entry'!$¾$361)</f>
      </c>
      <c r="DW361">
        <f>IF(ISBLANK('Data Entry'!$¿$361), "", 'Data Entry'!$¿$361)</f>
      </c>
      <c r="DX361">
        <f>IF(ISBLANK('Data Entry'!$À$361), "", 'Data Entry'!$À$361)</f>
      </c>
      <c r="DY361">
        <f>IF(ISBLANK('Data Entry'!$Á$361), "", 'Data Entry'!$Á$361)</f>
      </c>
      <c r="DZ361">
        <f>IF(ISBLANK('Data Entry'!$Â$361), "", 'Data Entry'!$Â$361)</f>
      </c>
      <c r="EA361">
        <f>IF(ISBLANK('Data Entry'!$Ã$361), "", 'Data Entry'!$Ã$361)</f>
      </c>
      <c r="EB361">
        <f>IF(ISBLANK('Data Entry'!$Ä$361), "", 'Data Entry'!$Ä$361)</f>
      </c>
      <c r="EC361">
        <f>IF(ISBLANK('Data Entry'!$Å$361), "", 'Data Entry'!$Å$361)</f>
      </c>
      <c r="ED361">
        <f>IF(ISBLANK('Data Entry'!$Æ$361), "", 'Data Entry'!$Æ$361)</f>
      </c>
      <c r="EE361">
        <f>IF(ISBLANK('Data Entry'!$Ç$361), "", 'Data Entry'!$Ç$361)</f>
      </c>
      <c r="EF361">
        <f>IF(ISBLANK('Data Entry'!$È$361), "", 'Data Entry'!$È$361)</f>
      </c>
      <c r="EG361">
        <f>IF(ISBLANK('Data Entry'!$É$361), "", 'Data Entry'!$É$361)</f>
      </c>
      <c r="EH361">
        <f>IF(ISBLANK('Data Entry'!$Ê$361), "", 'Data Entry'!$Ê$361)</f>
      </c>
      <c r="EI361">
        <f>IF(ISBLANK('Data Entry'!$Ë$361), "", 'Data Entry'!$Ë$361)</f>
      </c>
      <c r="EJ361">
        <f>IF(ISBLANK('Data Entry'!$Ì$361), "", 'Data Entry'!$Ì$361)</f>
      </c>
      <c r="EK361">
        <f>IF(ISBLANK('Data Entry'!$Í$361), "", 'Data Entry'!$Í$361)</f>
      </c>
      <c r="EL361">
        <f>IF(ISBLANK('Data Entry'!$Î$361), "", 'Data Entry'!$Î$361)</f>
      </c>
      <c r="EM361">
        <f>IF(ISBLANK('Data Entry'!$Ï$361), "", 'Data Entry'!$Ï$361)</f>
      </c>
      <c r="EN361">
        <f>IF(ISBLANK('Data Entry'!$Ð$361), "", 'Data Entry'!$Ð$361)</f>
      </c>
      <c r="EO361">
        <f>IF(ISBLANK('Data Entry'!$Ñ$361), "", 'Data Entry'!$Ñ$361)</f>
      </c>
      <c r="EP361">
        <f>IF(ISBLANK('Data Entry'!$Ò$361), "", 'Data Entry'!$Ò$361)</f>
      </c>
      <c r="EQ361">
        <f>IF(ISBLANK('Data Entry'!$Ó$361), "", 'Data Entry'!$Ó$361)</f>
      </c>
      <c r="ER361">
        <f>IF(ISBLANK('Data Entry'!$Ô$361), "", 'Data Entry'!$Ô$361)</f>
      </c>
      <c r="ES361">
        <f>IF(ISBLANK('Data Entry'!$Õ$361), "", 'Data Entry'!$Õ$361)</f>
      </c>
      <c r="ET361">
        <f>IF(ISBLANK('Data Entry'!$Ö$361), "", 'Data Entry'!$Ö$361)</f>
      </c>
      <c r="EU361">
        <f>IF(ISBLANK('Data Entry'!$×$361), "", 'Data Entry'!$×$361)</f>
      </c>
      <c r="EV361">
        <f>IF(ISBLANK('Data Entry'!$Ø$361), "", 'Data Entry'!$Ø$361)</f>
      </c>
      <c r="EW361">
        <f>IF(ISBLANK('Data Entry'!$Ù$361), "", 'Data Entry'!$Ù$361)</f>
      </c>
      <c r="EX361">
        <f>IF(ISBLANK('Data Entry'!$Ú$361), "", 'Data Entry'!$Ú$361)</f>
      </c>
      <c r="EY361">
        <f>IF(ISBLANK('Data Entry'!$Û$361), "", 'Data Entry'!$Û$361)</f>
      </c>
      <c r="EZ361">
        <f>IF(ISBLANK('Data Entry'!$Ü$361), "", 'Data Entry'!$Ü$361)</f>
      </c>
      <c r="FA361">
        <f>IF(ISBLANK('Data Entry'!$Ý$361), "", 'Data Entry'!$Ý$361)</f>
      </c>
      <c r="FB361">
        <f>IF(ISBLANK('Data Entry'!$Þ$361), "", 'Data Entry'!$Þ$361)</f>
      </c>
      <c r="FC361">
        <f>IF(ISBLANK('Data Entry'!$ß$361), "", 'Data Entry'!$ß$361)</f>
      </c>
      <c r="FD361">
        <f>IF(ISBLANK('Data Entry'!$à$361), "", 'Data Entry'!$à$361)</f>
      </c>
      <c r="FE361">
        <f>IF(ISBLANK('Data Entry'!$á$361), "", 'Data Entry'!$á$361)</f>
      </c>
      <c r="FF361">
        <f>IF(ISBLANK('Data Entry'!$â$361), "", 'Data Entry'!$â$361)</f>
      </c>
      <c r="FG361">
        <f>IF(ISBLANK('Data Entry'!$ã$361), "", 'Data Entry'!$ã$361)</f>
      </c>
      <c r="FH361">
        <f>IF(ISBLANK('Data Entry'!$ä$361), "", 'Data Entry'!$ä$361)</f>
      </c>
      <c r="FI361">
        <f>IF(ISBLANK('Data Entry'!$å$361), "", 'Data Entry'!$å$361)</f>
      </c>
      <c r="FJ361">
        <f>IF(ISBLANK('Data Entry'!$æ$361), "", 'Data Entry'!$æ$361)</f>
      </c>
      <c r="FK361">
        <f>IF(ISBLANK('Data Entry'!$ç$361), "", 'Data Entry'!$ç$361)</f>
      </c>
      <c r="FL361">
        <f>IF(ISBLANK('Data Entry'!$è$361), "", 'Data Entry'!$è$361)</f>
      </c>
      <c r="FM361">
        <f>IF(ISBLANK('Data Entry'!$é$361), "", 'Data Entry'!$é$361)</f>
      </c>
      <c r="FN361">
        <f>IF(ISBLANK('Data Entry'!$ê$361), "", 'Data Entry'!$ê$361)</f>
      </c>
      <c r="FO361">
        <f>IF(ISBLANK('Data Entry'!$ë$361), "", 'Data Entry'!$ë$361)</f>
      </c>
      <c r="FP361">
        <f>IF(ISBLANK('Data Entry'!$ì$361), "", 'Data Entry'!$ì$361)</f>
      </c>
      <c r="FQ361">
        <f>IF(ISBLANK('Data Entry'!$í$361), "", 'Data Entry'!$í$361)</f>
      </c>
      <c r="FR361">
        <f>IF(ISBLANK('Data Entry'!$î$361), "", 'Data Entry'!$î$361)</f>
      </c>
      <c r="FS361">
        <f>IF(ISBLANK('Data Entry'!$ï$361), "", 'Data Entry'!$ï$361)</f>
      </c>
      <c r="FT361">
        <f>IF(ISBLANK('Data Entry'!$ð$361), "", 'Data Entry'!$ð$361)</f>
      </c>
      <c r="FU361">
        <f>IF(ISBLANK('Data Entry'!$ñ$361), "", 'Data Entry'!$ñ$361)</f>
      </c>
      <c r="FV361">
        <f>IF(ISBLANK('Data Entry'!$ò$361), "", 'Data Entry'!$ò$361)</f>
      </c>
      <c r="FW361">
        <f>IF(ISBLANK('Data Entry'!$ó$361), "", 'Data Entry'!$ó$361)</f>
      </c>
      <c r="FX361">
        <f>IF(ISBLANK('Data Entry'!$ô$361), "", 'Data Entry'!$ô$361)</f>
      </c>
      <c r="FY361">
        <f>IF(ISBLANK('Data Entry'!$õ$361), "", 'Data Entry'!$õ$361)</f>
      </c>
      <c r="FZ361">
        <f>IF(ISBLANK('Data Entry'!$ö$361), "", 'Data Entry'!$ö$361)</f>
      </c>
      <c r="GA361">
        <f>IF(ISBLANK('Data Entry'!$÷$361), "", 'Data Entry'!$÷$361)</f>
      </c>
      <c r="GB361">
        <f>IF(ISBLANK('Data Entry'!$ø$361), "", 'Data Entry'!$ø$361)</f>
      </c>
      <c r="GC361">
        <f>IF(ISBLANK('Data Entry'!$ù$361), "", 'Data Entry'!$ù$361)</f>
      </c>
      <c r="GD361">
        <f>IF(ISBLANK('Data Entry'!$ú$361), "", 'Data Entry'!$ú$361)</f>
      </c>
      <c r="GE361">
        <f>IF(ISBLANK('Data Entry'!$û$361), "", 'Data Entry'!$û$361)</f>
      </c>
      <c r="GF361">
        <f>IF(ISBLANK('Data Entry'!$ü$361), "", 'Data Entry'!$ü$361)</f>
      </c>
      <c r="GG361">
        <f>IF(ISBLANK('Data Entry'!$ý$361), "", 'Data Entry'!$ý$361)</f>
      </c>
      <c r="GH361">
        <f>IF(ISBLANK('Data Entry'!$þ$361), "", 'Data Entry'!$þ$361)</f>
      </c>
      <c r="GI361">
        <f>IF(ISBLANK('Data Entry'!$ÿ$361), "", 'Data Entry'!$ÿ$361)</f>
      </c>
      <c r="GJ361">
        <f>IF(ISBLANK('Data Entry'!$Ā$361), "", 'Data Entry'!$Ā$361)</f>
      </c>
      <c r="GK361">
        <f>IF(ISBLANK('Data Entry'!$ā$361), "", 'Data Entry'!$ā$361)</f>
      </c>
      <c r="GL361">
        <f>IF(ISBLANK('Data Entry'!$Ă$361), "", 'Data Entry'!$Ă$361)</f>
      </c>
      <c r="GM361">
        <f>IF(ISBLANK('Data Entry'!$ă$361), "", 'Data Entry'!$ă$361)</f>
      </c>
      <c r="GN361">
        <f>IF(ISBLANK('Data Entry'!$Ą$361), "", 'Data Entry'!$Ą$361)</f>
      </c>
      <c r="GO361">
        <f>IF(ISBLANK('Data Entry'!$ą$361), "", 'Data Entry'!$ą$361)</f>
      </c>
      <c r="GP361">
        <f>IF(ISBLANK('Data Entry'!$Ć$361), "", 'Data Entry'!$Ć$361)</f>
      </c>
      <c r="GQ361">
        <f>IF(ISBLANK('Data Entry'!$ć$361), "", 'Data Entry'!$ć$361)</f>
      </c>
      <c r="GR361">
        <f>IF(ISBLANK('Data Entry'!$Ĉ$361), "", 'Data Entry'!$Ĉ$361)</f>
      </c>
      <c r="GS361">
        <f>IF(ISBLANK('Data Entry'!$ĉ$361), "", 'Data Entry'!$ĉ$361)</f>
      </c>
      <c r="GT361">
        <f>IF(ISBLANK('Data Entry'!$Ċ$361), "", 'Data Entry'!$Ċ$361)</f>
      </c>
      <c r="GU361">
        <f>IF(ISBLANK('Data Entry'!$ċ$361), "", 'Data Entry'!$ċ$361)</f>
      </c>
      <c r="GV361">
        <f>IF(ISBLANK('Data Entry'!$Č$361), "", 'Data Entry'!$Č$361)</f>
      </c>
      <c r="GW361">
        <f>IF(ISBLANK('Data Entry'!$č$361), "", 'Data Entry'!$č$361)</f>
      </c>
      <c r="GX361">
        <f>IF(ISBLANK('Data Entry'!$Ď$361), "", 'Data Entry'!$Ď$361)</f>
      </c>
      <c r="GY361">
        <f>IF(ISBLANK('Data Entry'!$ď$361), "", 'Data Entry'!$ď$361)</f>
      </c>
      <c r="GZ361">
        <f>IF(ISBLANK('Data Entry'!$Đ$361), "", 'Data Entry'!$Đ$361)</f>
      </c>
      <c r="HA361">
        <f>IF(ISBLANK('Data Entry'!$đ$361), "", 'Data Entry'!$đ$361)</f>
      </c>
      <c r="HB361">
        <f>IF(ISBLANK('Data Entry'!$Ē$361), "", 'Data Entry'!$Ē$361)</f>
      </c>
      <c r="HC361">
        <f>IF(ISBLANK('Data Entry'!$ē$361), "", 'Data Entry'!$ē$361)</f>
      </c>
      <c r="HD361">
        <f>IF(ISBLANK('Data Entry'!$Ĕ$361), "", 'Data Entry'!$Ĕ$361)</f>
      </c>
      <c r="HE361">
        <f>IF(ISBLANK('Data Entry'!$ĕ$361), "", 'Data Entry'!$ĕ$361)</f>
      </c>
      <c r="HF361">
        <f>IF(ISBLANK('Data Entry'!$Ė$361), "", 'Data Entry'!$Ė$361)</f>
      </c>
      <c r="HG361">
        <f>IF(ISBLANK('Data Entry'!$ė$361), "", 'Data Entry'!$ė$361)</f>
      </c>
      <c r="HH361">
        <f>IF(ISBLANK('Data Entry'!$Ę$361), "", 'Data Entry'!$Ę$361)</f>
      </c>
      <c r="HI361">
        <f>IF(ISBLANK('Data Entry'!$ę$361), "", 'Data Entry'!$ę$361)</f>
      </c>
      <c r="HJ361">
        <f>IF(ISBLANK('Data Entry'!$Ě$361), "", 'Data Entry'!$Ě$361)</f>
      </c>
      <c r="HK361">
        <f>IF(ISBLANK('Data Entry'!$ě$361), "", 'Data Entry'!$ě$361)</f>
      </c>
      <c r="HL361">
        <f>IF(ISBLANK('Data Entry'!$Ĝ$361), "", 'Data Entry'!$Ĝ$361)</f>
      </c>
      <c r="HM361">
        <f>IF(ISBLANK('Data Entry'!$ĝ$361), "", 'Data Entry'!$ĝ$361)</f>
      </c>
      <c r="HN361">
        <f>IF(ISBLANK('Data Entry'!$Ğ$361), "", 'Data Entry'!$Ğ$361)</f>
      </c>
      <c r="HO361">
        <f>IF(ISBLANK('Data Entry'!$ğ$361), "", 'Data Entry'!$ğ$361)</f>
      </c>
      <c r="HP361">
        <f>IF(ISBLANK('Data Entry'!$Ġ$361), "", 'Data Entry'!$Ġ$361)</f>
      </c>
      <c r="HQ361">
        <f>IF(ISBLANK('Data Entry'!$ġ$361), "", 'Data Entry'!$ġ$361)</f>
      </c>
      <c r="HR361">
        <f>IF(ISBLANK('Data Entry'!$Ģ$361), "", 'Data Entry'!$Ģ$361)</f>
      </c>
      <c r="HS361">
        <f>IF(ISBLANK('Data Entry'!$ģ$361), "", 'Data Entry'!$ģ$361)</f>
      </c>
      <c r="HT361">
        <f>IF(ISBLANK('Data Entry'!$Ĥ$361), "", 'Data Entry'!$Ĥ$361)</f>
      </c>
      <c r="HU361">
        <f>IF(ISBLANK('Data Entry'!$ĥ$361), "", 'Data Entry'!$ĥ$361)</f>
      </c>
      <c r="HV361">
        <f>IF(ISBLANK('Data Entry'!$Ħ$361), "", 'Data Entry'!$Ħ$361)</f>
      </c>
      <c r="HW361">
        <f>IF(ISBLANK('Data Entry'!$ħ$361), "", 'Data Entry'!$ħ$361)</f>
      </c>
      <c r="HX361">
        <f>IF(ISBLANK('Data Entry'!$Ĩ$361), "", 'Data Entry'!$Ĩ$361)</f>
      </c>
      <c r="HY361">
        <f>IF(ISBLANK('Data Entry'!$ĩ$361), "", 'Data Entry'!$ĩ$361)</f>
      </c>
      <c r="HZ361">
        <f>IF(ISBLANK('Data Entry'!$Ī$361), "", 'Data Entry'!$Ī$361)</f>
      </c>
      <c r="IA361">
        <f>IF(ISBLANK('Data Entry'!$ī$361), "", 'Data Entry'!$ī$361)</f>
      </c>
      <c r="IB361">
        <f>IF(ISBLANK('Data Entry'!$Ĭ$361), "", 'Data Entry'!$Ĭ$361)</f>
      </c>
      <c r="IC361">
        <f>IF(ISBLANK('Data Entry'!$ĭ$361), "", 'Data Entry'!$ĭ$361)</f>
      </c>
      <c r="ID361">
        <f>IF(ISBLANK('Data Entry'!$Į$361), "", 'Data Entry'!$Į$361)</f>
      </c>
      <c r="IE361">
        <f>IF(ISBLANK('Data Entry'!$į$361), "", 'Data Entry'!$į$361)</f>
      </c>
      <c r="IF361">
        <f>IF(ISBLANK('Data Entry'!$İ$361), "", 'Data Entry'!$İ$361)</f>
      </c>
      <c r="IG361">
        <f>IF(ISBLANK('Data Entry'!$ı$361), "", 'Data Entry'!$ı$361)</f>
      </c>
      <c r="IH361">
        <f>IF(ISBLANK('Data Entry'!$Ĳ$361), "", 'Data Entry'!$Ĳ$361)</f>
      </c>
      <c r="II361">
        <f>IF(ISBLANK('Data Entry'!$ĳ$361), "", 'Data Entry'!$ĳ$361)</f>
      </c>
      <c r="IJ361">
        <f>IF(ISBLANK('Data Entry'!$Ĵ$361), "", 'Data Entry'!$Ĵ$361)</f>
      </c>
      <c r="IK361">
        <f>IF(ISBLANK('Data Entry'!$ĵ$361), "", 'Data Entry'!$ĵ$361)</f>
      </c>
      <c r="IL361">
        <f>IF(ISBLANK('Data Entry'!$Ķ$361), "", 'Data Entry'!$Ķ$361)</f>
      </c>
      <c r="IM361">
        <f>IF(ISBLANK('Data Entry'!$ķ$361), "", 'Data Entry'!$ķ$361)</f>
      </c>
      <c r="IN361">
        <f>IF(ISBLANK('Data Entry'!$ĸ$361), "", 'Data Entry'!$ĸ$361)</f>
      </c>
      <c r="IO361">
        <f>IF(ISBLANK('Data Entry'!$Ĺ$361), "", 'Data Entry'!$Ĺ$361)</f>
      </c>
      <c r="IP361">
        <f>IF(ISBLANK('Data Entry'!$ĺ$361), "", 'Data Entry'!$ĺ$361)</f>
      </c>
      <c r="IQ361">
        <f>IF(ISBLANK('Data Entry'!$Ļ$361), "", 'Data Entry'!$Ļ$361)</f>
      </c>
      <c r="IR361">
        <f>IF(ISBLANK('Data Entry'!$ļ$361), "", 'Data Entry'!$ļ$361)</f>
      </c>
      <c r="IS361">
        <f>IF(ISBLANK('Data Entry'!$Ľ$361), "", 'Data Entry'!$Ľ$361)</f>
      </c>
      <c r="IT361">
        <f>IF(ISBLANK('Data Entry'!$ľ$361), "", 'Data Entry'!$ľ$361)</f>
      </c>
    </row>
    <row r="362" spans="1:254" x14ac:dyDescent="0.25">
      <c r="A362">
        <f>IF(ISBLANK('Data Entry'!$A$362), "", 'Data Entry'!$A$362)</f>
      </c>
      <c r="B362">
        <f>IF(ISBLANK('Data Entry'!$B$362), "", 'Data Entry'!$B$362)</f>
      </c>
      <c r="C362">
        <f>IF(ISBLANK('Data Entry'!$C$362), "", 'Data Entry'!$C$362)</f>
      </c>
      <c r="D362">
        <f>IF(ISBLANK('Data Entry'!$D$362), "", 'Data Entry'!$D$362)</f>
      </c>
      <c r="E362">
        <f>IF(ISBLANK('Data Entry'!$E$362), "", 'Data Entry'!$E$362)</f>
      </c>
      <c r="F362">
        <f>IF(ISBLANK('Data Entry'!$F$362), "", 'Data Entry'!$F$362)</f>
      </c>
      <c r="G362">
        <f>IF(ISBLANK('Data Entry'!$G$362), "", 'Data Entry'!$G$362)</f>
      </c>
      <c r="H362">
        <f>IF(ISBLANK('Data Entry'!$H$362), "", 'Data Entry'!$H$362)</f>
      </c>
      <c r="I362">
        <f>IF(ISBLANK('Data Entry'!$I$362), "", 'Data Entry'!$I$362)</f>
      </c>
      <c r="J362">
        <f>IF(ISBLANK('Data Entry'!$J$362), "", 'Data Entry'!$J$362)</f>
      </c>
      <c r="K362">
        <f>IF(ISBLANK('Data Entry'!$K$362), "", 'Data Entry'!$K$362)</f>
      </c>
      <c r="L362">
        <f>IF(ISBLANK('Data Entry'!$L$362), "", 'Data Entry'!$L$362)</f>
      </c>
      <c r="M362">
        <f>IF(ISBLANK('Data Entry'!$M$362), "", 'Data Entry'!$M$362)</f>
      </c>
      <c r="N362">
        <f>IF(ISBLANK('Data Entry'!$N$362), "", 'Data Entry'!$N$362)</f>
      </c>
      <c r="O362">
        <f>IF(ISBLANK('Data Entry'!$O$362), "", 'Data Entry'!$O$362)</f>
      </c>
      <c r="P362">
        <f>IF(ISBLANK('Data Entry'!$P$362), "", 'Data Entry'!$P$362)</f>
      </c>
      <c r="Q362">
        <f>IF(ISBLANK('Data Entry'!$Q$362), "", 'Data Entry'!$Q$362)</f>
      </c>
      <c r="R362">
        <f>IF(ISBLANK('Data Entry'!$R$362), "", 'Data Entry'!$R$362)</f>
      </c>
      <c r="S362">
        <f>IF(ISBLANK('Data Entry'!$S$362), "", 'Data Entry'!$S$362)</f>
      </c>
      <c r="T362">
        <f>IF(ISBLANK('Data Entry'!$T$362), "", 'Data Entry'!$T$362)</f>
      </c>
      <c r="U362">
        <f>IF(ISBLANK('Data Entry'!$U$362), "", 'Data Entry'!$U$362)</f>
      </c>
      <c r="V362">
        <f>IF(ISBLANK('Data Entry'!$V$362), "", 'Data Entry'!$V$362)</f>
      </c>
      <c r="W362">
        <f>IF(ISBLANK('Data Entry'!$W$362), "", 'Data Entry'!$W$362)</f>
      </c>
      <c r="X362">
        <f>IF(ISBLANK('Data Entry'!$X$362), "", 'Data Entry'!$X$362)</f>
      </c>
      <c r="Y362">
        <f>IF(ISBLANK('Data Entry'!$Y$362), "", 'Data Entry'!$Y$362)</f>
      </c>
      <c r="Z362">
        <f>IF(ISBLANK('Data Entry'!$Z$362), "", 'Data Entry'!$Z$362)</f>
      </c>
      <c r="AA362">
        <f>IF(ISBLANK('Data Entry'!$[$362), "", 'Data Entry'!$[$362)</f>
      </c>
      <c r="AB362">
        <f>IF(ISBLANK('Data Entry'!$\$362), "", 'Data Entry'!$\$362)</f>
      </c>
      <c r="AC362">
        <f>IF(ISBLANK('Data Entry'!$]$362), "", 'Data Entry'!$]$362)</f>
      </c>
      <c r="AD362">
        <f>IF(ISBLANK('Data Entry'!$^$362), "", 'Data Entry'!$^$362)</f>
      </c>
      <c r="AE362">
        <f>IF(ISBLANK('Data Entry'!$_$362), "", 'Data Entry'!$_$362)</f>
      </c>
      <c r="AF362">
        <f>IF(ISBLANK('Data Entry'!$`$362), "", 'Data Entry'!$`$362)</f>
      </c>
      <c r="AG362">
        <f>IF(ISBLANK('Data Entry'!$a$362), "", 'Data Entry'!$a$362)</f>
      </c>
      <c r="AH362">
        <f>IF(ISBLANK('Data Entry'!$b$362), "", 'Data Entry'!$b$362)</f>
      </c>
      <c r="AI362">
        <f>IF(ISBLANK('Data Entry'!$c$362), "", 'Data Entry'!$c$362)</f>
      </c>
      <c r="AJ362">
        <f>IF(ISBLANK('Data Entry'!$d$362), "", 'Data Entry'!$d$362)</f>
      </c>
      <c r="AK362">
        <f>IF(ISBLANK('Data Entry'!$e$362), "", 'Data Entry'!$e$362)</f>
      </c>
      <c r="AL362">
        <f>IF(ISBLANK('Data Entry'!$f$362), "", 'Data Entry'!$f$362)</f>
      </c>
      <c r="AM362">
        <f>IF(ISBLANK('Data Entry'!$g$362), "", 'Data Entry'!$g$362)</f>
      </c>
      <c r="AN362">
        <f>IF(ISBLANK('Data Entry'!$h$362), "", 'Data Entry'!$h$362)</f>
      </c>
      <c r="AO362">
        <f>IF(ISBLANK('Data Entry'!$i$362), "", 'Data Entry'!$i$362)</f>
      </c>
      <c r="AP362">
        <f>IF(ISBLANK('Data Entry'!$j$362), "", 'Data Entry'!$j$362)</f>
      </c>
      <c r="AQ362">
        <f>IF(ISBLANK('Data Entry'!$k$362), "", 'Data Entry'!$k$362)</f>
      </c>
      <c r="AR362">
        <f>IF(ISBLANK('Data Entry'!$l$362), "", 'Data Entry'!$l$362)</f>
      </c>
      <c r="AS362">
        <f>IF(ISBLANK('Data Entry'!$m$362), "", 'Data Entry'!$m$362)</f>
      </c>
      <c r="AT362">
        <f>IF(ISBLANK('Data Entry'!$n$362), "", 'Data Entry'!$n$362)</f>
      </c>
      <c r="AU362">
        <f>IF(ISBLANK('Data Entry'!$o$362), "", 'Data Entry'!$o$362)</f>
      </c>
      <c r="AV362">
        <f>IF(ISBLANK('Data Entry'!$p$362), "", 'Data Entry'!$p$362)</f>
      </c>
      <c r="AW362">
        <f>IF(ISBLANK('Data Entry'!$q$362), "", 'Data Entry'!$q$362)</f>
      </c>
      <c r="AX362">
        <f>IF(ISBLANK('Data Entry'!$r$362), "", 'Data Entry'!$r$362)</f>
      </c>
      <c r="AY362">
        <f>IF(ISBLANK('Data Entry'!$s$362), "", 'Data Entry'!$s$362)</f>
      </c>
      <c r="AZ362">
        <f>IF(ISBLANK('Data Entry'!$t$362), "", 'Data Entry'!$t$362)</f>
      </c>
      <c r="BA362">
        <f>IF(ISBLANK('Data Entry'!$u$362), "", 'Data Entry'!$u$362)</f>
      </c>
      <c r="BB362">
        <f>IF(ISBLANK('Data Entry'!$v$362), "", 'Data Entry'!$v$362)</f>
      </c>
      <c r="BC362">
        <f>IF(ISBLANK('Data Entry'!$w$362), "", 'Data Entry'!$w$362)</f>
      </c>
      <c r="BD362">
        <f>IF(ISBLANK('Data Entry'!$x$362), "", 'Data Entry'!$x$362)</f>
      </c>
      <c r="BE362">
        <f>IF(ISBLANK('Data Entry'!$y$362), "", 'Data Entry'!$y$362)</f>
      </c>
      <c r="BF362">
        <f>IF(ISBLANK('Data Entry'!$z$362), "", 'Data Entry'!$z$362)</f>
      </c>
      <c r="BG362">
        <f>IF(ISBLANK('Data Entry'!${$362), "", 'Data Entry'!${$362)</f>
      </c>
      <c r="BH362">
        <f>IF(ISBLANK('Data Entry'!$|$362), "", 'Data Entry'!$|$362)</f>
      </c>
      <c r="BI362">
        <f>IF(ISBLANK('Data Entry'!$}$362), "", 'Data Entry'!$}$362)</f>
      </c>
      <c r="BJ362">
        <f>IF(ISBLANK('Data Entry'!$~$362), "", 'Data Entry'!$~$362)</f>
      </c>
      <c r="BK362">
        <f>IF(ISBLANK('Data Entry'!$$362), "", 'Data Entry'!$$362)</f>
      </c>
      <c r="BL362">
        <f>IF(ISBLANK('Data Entry'!$$362), "", 'Data Entry'!$$362)</f>
      </c>
      <c r="BM362">
        <f>IF(ISBLANK('Data Entry'!$$362), "", 'Data Entry'!$$362)</f>
      </c>
      <c r="BN362">
        <f>IF(ISBLANK('Data Entry'!$$362), "", 'Data Entry'!$$362)</f>
      </c>
      <c r="BO362">
        <f>IF(ISBLANK('Data Entry'!$$362), "", 'Data Entry'!$$362)</f>
      </c>
      <c r="BP362">
        <f>IF(ISBLANK('Data Entry'!$$362), "", 'Data Entry'!$$362)</f>
      </c>
      <c r="BQ362">
        <f>IF(ISBLANK('Data Entry'!$$362), "", 'Data Entry'!$$362)</f>
      </c>
      <c r="BR362">
        <f>IF(ISBLANK('Data Entry'!$$362), "", 'Data Entry'!$$362)</f>
      </c>
      <c r="BS362">
        <f>IF(ISBLANK('Data Entry'!$$362), "", 'Data Entry'!$$362)</f>
      </c>
      <c r="BT362">
        <f>IF(ISBLANK('Data Entry'!$$362), "", 'Data Entry'!$$362)</f>
      </c>
      <c r="BU362">
        <f>IF(ISBLANK('Data Entry'!$$362), "", 'Data Entry'!$$362)</f>
      </c>
      <c r="BV362">
        <f>IF(ISBLANK('Data Entry'!$$362), "", 'Data Entry'!$$362)</f>
      </c>
      <c r="BW362">
        <f>IF(ISBLANK('Data Entry'!$$362), "", 'Data Entry'!$$362)</f>
      </c>
      <c r="BX362">
        <f>IF(ISBLANK('Data Entry'!$$362), "", 'Data Entry'!$$362)</f>
      </c>
      <c r="BY362">
        <f>IF(ISBLANK('Data Entry'!$$362), "", 'Data Entry'!$$362)</f>
      </c>
      <c r="BZ362">
        <f>IF(ISBLANK('Data Entry'!$$362), "", 'Data Entry'!$$362)</f>
      </c>
      <c r="CA362">
        <f>IF(ISBLANK('Data Entry'!$$362), "", 'Data Entry'!$$362)</f>
      </c>
      <c r="CB362">
        <f>IF(ISBLANK('Data Entry'!$$362), "", 'Data Entry'!$$362)</f>
      </c>
      <c r="CC362">
        <f>IF(ISBLANK('Data Entry'!$$362), "", 'Data Entry'!$$362)</f>
      </c>
      <c r="CD362">
        <f>IF(ISBLANK('Data Entry'!$$362), "", 'Data Entry'!$$362)</f>
      </c>
      <c r="CE362">
        <f>IF(ISBLANK('Data Entry'!$$362), "", 'Data Entry'!$$362)</f>
      </c>
      <c r="CF362">
        <f>IF(ISBLANK('Data Entry'!$$362), "", 'Data Entry'!$$362)</f>
      </c>
      <c r="CG362">
        <f>IF(ISBLANK('Data Entry'!$$362), "", 'Data Entry'!$$362)</f>
      </c>
      <c r="CH362">
        <f>IF(ISBLANK('Data Entry'!$$362), "", 'Data Entry'!$$362)</f>
      </c>
      <c r="CI362">
        <f>IF(ISBLANK('Data Entry'!$$362), "", 'Data Entry'!$$362)</f>
      </c>
      <c r="CJ362">
        <f>IF(ISBLANK('Data Entry'!$$362), "", 'Data Entry'!$$362)</f>
      </c>
      <c r="CK362">
        <f>IF(ISBLANK('Data Entry'!$$362), "", 'Data Entry'!$$362)</f>
      </c>
      <c r="CL362">
        <f>IF(ISBLANK('Data Entry'!$$362), "", 'Data Entry'!$$362)</f>
      </c>
      <c r="CM362">
        <f>IF(ISBLANK('Data Entry'!$$362), "", 'Data Entry'!$$362)</f>
      </c>
      <c r="CN362">
        <f>IF(ISBLANK('Data Entry'!$$362), "", 'Data Entry'!$$362)</f>
      </c>
      <c r="CO362">
        <f>IF(ISBLANK('Data Entry'!$$362), "", 'Data Entry'!$$362)</f>
      </c>
      <c r="CP362">
        <f>IF(ISBLANK('Data Entry'!$$362), "", 'Data Entry'!$$362)</f>
      </c>
      <c r="CQ362">
        <f>IF(ISBLANK('Data Entry'!$$362), "", 'Data Entry'!$$362)</f>
      </c>
      <c r="CR362">
        <f>IF(ISBLANK('Data Entry'!$ $362), "", 'Data Entry'!$ $362)</f>
      </c>
      <c r="CS362">
        <f>IF(ISBLANK('Data Entry'!$¡$362), "", 'Data Entry'!$¡$362)</f>
      </c>
      <c r="CT362">
        <f>IF(ISBLANK('Data Entry'!$¢$362), "", 'Data Entry'!$¢$362)</f>
      </c>
      <c r="CU362">
        <f>IF(ISBLANK('Data Entry'!$£$362), "", 'Data Entry'!$£$362)</f>
      </c>
      <c r="CV362">
        <f>IF(ISBLANK('Data Entry'!$¤$362), "", 'Data Entry'!$¤$362)</f>
      </c>
      <c r="CW362">
        <f>IF(ISBLANK('Data Entry'!$¥$362), "", 'Data Entry'!$¥$362)</f>
      </c>
      <c r="CX362">
        <f>IF(ISBLANK('Data Entry'!$¦$362), "", 'Data Entry'!$¦$362)</f>
      </c>
      <c r="CY362">
        <f>IF(ISBLANK('Data Entry'!$§$362), "", 'Data Entry'!$§$362)</f>
      </c>
      <c r="CZ362">
        <f>IF(ISBLANK('Data Entry'!$¨$362), "", 'Data Entry'!$¨$362)</f>
      </c>
      <c r="DA362">
        <f>IF(ISBLANK('Data Entry'!$©$362), "", 'Data Entry'!$©$362)</f>
      </c>
      <c r="DB362">
        <f>IF(ISBLANK('Data Entry'!$ª$362), "", 'Data Entry'!$ª$362)</f>
      </c>
      <c r="DC362">
        <f>IF(ISBLANK('Data Entry'!$«$362), "", 'Data Entry'!$«$362)</f>
      </c>
      <c r="DD362">
        <f>IF(ISBLANK('Data Entry'!$¬$362), "", 'Data Entry'!$¬$362)</f>
      </c>
      <c r="DE362">
        <f>IF(ISBLANK('Data Entry'!$­$362), "", 'Data Entry'!$­$362)</f>
      </c>
      <c r="DF362">
        <f>IF(ISBLANK('Data Entry'!$®$362), "", 'Data Entry'!$®$362)</f>
      </c>
      <c r="DG362">
        <f>IF(ISBLANK('Data Entry'!$¯$362), "", 'Data Entry'!$¯$362)</f>
      </c>
      <c r="DH362">
        <f>IF(ISBLANK('Data Entry'!$°$362), "", 'Data Entry'!$°$362)</f>
      </c>
      <c r="DI362">
        <f>IF(ISBLANK('Data Entry'!$±$362), "", 'Data Entry'!$±$362)</f>
      </c>
      <c r="DJ362">
        <f>IF(ISBLANK('Data Entry'!$²$362), "", 'Data Entry'!$²$362)</f>
      </c>
      <c r="DK362">
        <f>IF(ISBLANK('Data Entry'!$³$362), "", 'Data Entry'!$³$362)</f>
      </c>
      <c r="DL362">
        <f>IF(ISBLANK('Data Entry'!$´$362), "", 'Data Entry'!$´$362)</f>
      </c>
      <c r="DM362">
        <f>IF(ISBLANK('Data Entry'!$µ$362), "", 'Data Entry'!$µ$362)</f>
      </c>
      <c r="DN362">
        <f>IF(ISBLANK('Data Entry'!$¶$362), "", 'Data Entry'!$¶$362)</f>
      </c>
      <c r="DO362">
        <f>IF(ISBLANK('Data Entry'!$·$362), "", 'Data Entry'!$·$362)</f>
      </c>
      <c r="DP362">
        <f>IF(ISBLANK('Data Entry'!$¸$362), "", 'Data Entry'!$¸$362)</f>
      </c>
      <c r="DQ362">
        <f>IF(ISBLANK('Data Entry'!$¹$362), "", 'Data Entry'!$¹$362)</f>
      </c>
      <c r="DR362">
        <f>IF(ISBLANK('Data Entry'!$º$362), "", 'Data Entry'!$º$362)</f>
      </c>
      <c r="DS362">
        <f>IF(ISBLANK('Data Entry'!$»$362), "", 'Data Entry'!$»$362)</f>
      </c>
      <c r="DT362">
        <f>IF(ISBLANK('Data Entry'!$¼$362), "", 'Data Entry'!$¼$362)</f>
      </c>
      <c r="DU362">
        <f>IF(ISBLANK('Data Entry'!$½$362), "", 'Data Entry'!$½$362)</f>
      </c>
      <c r="DV362">
        <f>IF(ISBLANK('Data Entry'!$¾$362), "", 'Data Entry'!$¾$362)</f>
      </c>
      <c r="DW362">
        <f>IF(ISBLANK('Data Entry'!$¿$362), "", 'Data Entry'!$¿$362)</f>
      </c>
      <c r="DX362">
        <f>IF(ISBLANK('Data Entry'!$À$362), "", 'Data Entry'!$À$362)</f>
      </c>
      <c r="DY362">
        <f>IF(ISBLANK('Data Entry'!$Á$362), "", 'Data Entry'!$Á$362)</f>
      </c>
      <c r="DZ362">
        <f>IF(ISBLANK('Data Entry'!$Â$362), "", 'Data Entry'!$Â$362)</f>
      </c>
      <c r="EA362">
        <f>IF(ISBLANK('Data Entry'!$Ã$362), "", 'Data Entry'!$Ã$362)</f>
      </c>
      <c r="EB362">
        <f>IF(ISBLANK('Data Entry'!$Ä$362), "", 'Data Entry'!$Ä$362)</f>
      </c>
      <c r="EC362">
        <f>IF(ISBLANK('Data Entry'!$Å$362), "", 'Data Entry'!$Å$362)</f>
      </c>
      <c r="ED362">
        <f>IF(ISBLANK('Data Entry'!$Æ$362), "", 'Data Entry'!$Æ$362)</f>
      </c>
      <c r="EE362">
        <f>IF(ISBLANK('Data Entry'!$Ç$362), "", 'Data Entry'!$Ç$362)</f>
      </c>
      <c r="EF362">
        <f>IF(ISBLANK('Data Entry'!$È$362), "", 'Data Entry'!$È$362)</f>
      </c>
      <c r="EG362">
        <f>IF(ISBLANK('Data Entry'!$É$362), "", 'Data Entry'!$É$362)</f>
      </c>
      <c r="EH362">
        <f>IF(ISBLANK('Data Entry'!$Ê$362), "", 'Data Entry'!$Ê$362)</f>
      </c>
      <c r="EI362">
        <f>IF(ISBLANK('Data Entry'!$Ë$362), "", 'Data Entry'!$Ë$362)</f>
      </c>
      <c r="EJ362">
        <f>IF(ISBLANK('Data Entry'!$Ì$362), "", 'Data Entry'!$Ì$362)</f>
      </c>
      <c r="EK362">
        <f>IF(ISBLANK('Data Entry'!$Í$362), "", 'Data Entry'!$Í$362)</f>
      </c>
      <c r="EL362">
        <f>IF(ISBLANK('Data Entry'!$Î$362), "", 'Data Entry'!$Î$362)</f>
      </c>
      <c r="EM362">
        <f>IF(ISBLANK('Data Entry'!$Ï$362), "", 'Data Entry'!$Ï$362)</f>
      </c>
      <c r="EN362">
        <f>IF(ISBLANK('Data Entry'!$Ð$362), "", 'Data Entry'!$Ð$362)</f>
      </c>
      <c r="EO362">
        <f>IF(ISBLANK('Data Entry'!$Ñ$362), "", 'Data Entry'!$Ñ$362)</f>
      </c>
      <c r="EP362">
        <f>IF(ISBLANK('Data Entry'!$Ò$362), "", 'Data Entry'!$Ò$362)</f>
      </c>
      <c r="EQ362">
        <f>IF(ISBLANK('Data Entry'!$Ó$362), "", 'Data Entry'!$Ó$362)</f>
      </c>
      <c r="ER362">
        <f>IF(ISBLANK('Data Entry'!$Ô$362), "", 'Data Entry'!$Ô$362)</f>
      </c>
      <c r="ES362">
        <f>IF(ISBLANK('Data Entry'!$Õ$362), "", 'Data Entry'!$Õ$362)</f>
      </c>
      <c r="ET362">
        <f>IF(ISBLANK('Data Entry'!$Ö$362), "", 'Data Entry'!$Ö$362)</f>
      </c>
      <c r="EU362">
        <f>IF(ISBLANK('Data Entry'!$×$362), "", 'Data Entry'!$×$362)</f>
      </c>
      <c r="EV362">
        <f>IF(ISBLANK('Data Entry'!$Ø$362), "", 'Data Entry'!$Ø$362)</f>
      </c>
      <c r="EW362">
        <f>IF(ISBLANK('Data Entry'!$Ù$362), "", 'Data Entry'!$Ù$362)</f>
      </c>
      <c r="EX362">
        <f>IF(ISBLANK('Data Entry'!$Ú$362), "", 'Data Entry'!$Ú$362)</f>
      </c>
      <c r="EY362">
        <f>IF(ISBLANK('Data Entry'!$Û$362), "", 'Data Entry'!$Û$362)</f>
      </c>
      <c r="EZ362">
        <f>IF(ISBLANK('Data Entry'!$Ü$362), "", 'Data Entry'!$Ü$362)</f>
      </c>
      <c r="FA362">
        <f>IF(ISBLANK('Data Entry'!$Ý$362), "", 'Data Entry'!$Ý$362)</f>
      </c>
      <c r="FB362">
        <f>IF(ISBLANK('Data Entry'!$Þ$362), "", 'Data Entry'!$Þ$362)</f>
      </c>
      <c r="FC362">
        <f>IF(ISBLANK('Data Entry'!$ß$362), "", 'Data Entry'!$ß$362)</f>
      </c>
      <c r="FD362">
        <f>IF(ISBLANK('Data Entry'!$à$362), "", 'Data Entry'!$à$362)</f>
      </c>
      <c r="FE362">
        <f>IF(ISBLANK('Data Entry'!$á$362), "", 'Data Entry'!$á$362)</f>
      </c>
      <c r="FF362">
        <f>IF(ISBLANK('Data Entry'!$â$362), "", 'Data Entry'!$â$362)</f>
      </c>
      <c r="FG362">
        <f>IF(ISBLANK('Data Entry'!$ã$362), "", 'Data Entry'!$ã$362)</f>
      </c>
      <c r="FH362">
        <f>IF(ISBLANK('Data Entry'!$ä$362), "", 'Data Entry'!$ä$362)</f>
      </c>
      <c r="FI362">
        <f>IF(ISBLANK('Data Entry'!$å$362), "", 'Data Entry'!$å$362)</f>
      </c>
      <c r="FJ362">
        <f>IF(ISBLANK('Data Entry'!$æ$362), "", 'Data Entry'!$æ$362)</f>
      </c>
      <c r="FK362">
        <f>IF(ISBLANK('Data Entry'!$ç$362), "", 'Data Entry'!$ç$362)</f>
      </c>
      <c r="FL362">
        <f>IF(ISBLANK('Data Entry'!$è$362), "", 'Data Entry'!$è$362)</f>
      </c>
      <c r="FM362">
        <f>IF(ISBLANK('Data Entry'!$é$362), "", 'Data Entry'!$é$362)</f>
      </c>
      <c r="FN362">
        <f>IF(ISBLANK('Data Entry'!$ê$362), "", 'Data Entry'!$ê$362)</f>
      </c>
      <c r="FO362">
        <f>IF(ISBLANK('Data Entry'!$ë$362), "", 'Data Entry'!$ë$362)</f>
      </c>
      <c r="FP362">
        <f>IF(ISBLANK('Data Entry'!$ì$362), "", 'Data Entry'!$ì$362)</f>
      </c>
      <c r="FQ362">
        <f>IF(ISBLANK('Data Entry'!$í$362), "", 'Data Entry'!$í$362)</f>
      </c>
      <c r="FR362">
        <f>IF(ISBLANK('Data Entry'!$î$362), "", 'Data Entry'!$î$362)</f>
      </c>
      <c r="FS362">
        <f>IF(ISBLANK('Data Entry'!$ï$362), "", 'Data Entry'!$ï$362)</f>
      </c>
      <c r="FT362">
        <f>IF(ISBLANK('Data Entry'!$ð$362), "", 'Data Entry'!$ð$362)</f>
      </c>
      <c r="FU362">
        <f>IF(ISBLANK('Data Entry'!$ñ$362), "", 'Data Entry'!$ñ$362)</f>
      </c>
      <c r="FV362">
        <f>IF(ISBLANK('Data Entry'!$ò$362), "", 'Data Entry'!$ò$362)</f>
      </c>
      <c r="FW362">
        <f>IF(ISBLANK('Data Entry'!$ó$362), "", 'Data Entry'!$ó$362)</f>
      </c>
      <c r="FX362">
        <f>IF(ISBLANK('Data Entry'!$ô$362), "", 'Data Entry'!$ô$362)</f>
      </c>
      <c r="FY362">
        <f>IF(ISBLANK('Data Entry'!$õ$362), "", 'Data Entry'!$õ$362)</f>
      </c>
      <c r="FZ362">
        <f>IF(ISBLANK('Data Entry'!$ö$362), "", 'Data Entry'!$ö$362)</f>
      </c>
      <c r="GA362">
        <f>IF(ISBLANK('Data Entry'!$÷$362), "", 'Data Entry'!$÷$362)</f>
      </c>
      <c r="GB362">
        <f>IF(ISBLANK('Data Entry'!$ø$362), "", 'Data Entry'!$ø$362)</f>
      </c>
      <c r="GC362">
        <f>IF(ISBLANK('Data Entry'!$ù$362), "", 'Data Entry'!$ù$362)</f>
      </c>
      <c r="GD362">
        <f>IF(ISBLANK('Data Entry'!$ú$362), "", 'Data Entry'!$ú$362)</f>
      </c>
      <c r="GE362">
        <f>IF(ISBLANK('Data Entry'!$û$362), "", 'Data Entry'!$û$362)</f>
      </c>
      <c r="GF362">
        <f>IF(ISBLANK('Data Entry'!$ü$362), "", 'Data Entry'!$ü$362)</f>
      </c>
      <c r="GG362">
        <f>IF(ISBLANK('Data Entry'!$ý$362), "", 'Data Entry'!$ý$362)</f>
      </c>
      <c r="GH362">
        <f>IF(ISBLANK('Data Entry'!$þ$362), "", 'Data Entry'!$þ$362)</f>
      </c>
      <c r="GI362">
        <f>IF(ISBLANK('Data Entry'!$ÿ$362), "", 'Data Entry'!$ÿ$362)</f>
      </c>
      <c r="GJ362">
        <f>IF(ISBLANK('Data Entry'!$Ā$362), "", 'Data Entry'!$Ā$362)</f>
      </c>
      <c r="GK362">
        <f>IF(ISBLANK('Data Entry'!$ā$362), "", 'Data Entry'!$ā$362)</f>
      </c>
      <c r="GL362">
        <f>IF(ISBLANK('Data Entry'!$Ă$362), "", 'Data Entry'!$Ă$362)</f>
      </c>
      <c r="GM362">
        <f>IF(ISBLANK('Data Entry'!$ă$362), "", 'Data Entry'!$ă$362)</f>
      </c>
      <c r="GN362">
        <f>IF(ISBLANK('Data Entry'!$Ą$362), "", 'Data Entry'!$Ą$362)</f>
      </c>
      <c r="GO362">
        <f>IF(ISBLANK('Data Entry'!$ą$362), "", 'Data Entry'!$ą$362)</f>
      </c>
      <c r="GP362">
        <f>IF(ISBLANK('Data Entry'!$Ć$362), "", 'Data Entry'!$Ć$362)</f>
      </c>
      <c r="GQ362">
        <f>IF(ISBLANK('Data Entry'!$ć$362), "", 'Data Entry'!$ć$362)</f>
      </c>
      <c r="GR362">
        <f>IF(ISBLANK('Data Entry'!$Ĉ$362), "", 'Data Entry'!$Ĉ$362)</f>
      </c>
      <c r="GS362">
        <f>IF(ISBLANK('Data Entry'!$ĉ$362), "", 'Data Entry'!$ĉ$362)</f>
      </c>
      <c r="GT362">
        <f>IF(ISBLANK('Data Entry'!$Ċ$362), "", 'Data Entry'!$Ċ$362)</f>
      </c>
      <c r="GU362">
        <f>IF(ISBLANK('Data Entry'!$ċ$362), "", 'Data Entry'!$ċ$362)</f>
      </c>
      <c r="GV362">
        <f>IF(ISBLANK('Data Entry'!$Č$362), "", 'Data Entry'!$Č$362)</f>
      </c>
      <c r="GW362">
        <f>IF(ISBLANK('Data Entry'!$č$362), "", 'Data Entry'!$č$362)</f>
      </c>
      <c r="GX362">
        <f>IF(ISBLANK('Data Entry'!$Ď$362), "", 'Data Entry'!$Ď$362)</f>
      </c>
      <c r="GY362">
        <f>IF(ISBLANK('Data Entry'!$ď$362), "", 'Data Entry'!$ď$362)</f>
      </c>
      <c r="GZ362">
        <f>IF(ISBLANK('Data Entry'!$Đ$362), "", 'Data Entry'!$Đ$362)</f>
      </c>
      <c r="HA362">
        <f>IF(ISBLANK('Data Entry'!$đ$362), "", 'Data Entry'!$đ$362)</f>
      </c>
      <c r="HB362">
        <f>IF(ISBLANK('Data Entry'!$Ē$362), "", 'Data Entry'!$Ē$362)</f>
      </c>
      <c r="HC362">
        <f>IF(ISBLANK('Data Entry'!$ē$362), "", 'Data Entry'!$ē$362)</f>
      </c>
      <c r="HD362">
        <f>IF(ISBLANK('Data Entry'!$Ĕ$362), "", 'Data Entry'!$Ĕ$362)</f>
      </c>
      <c r="HE362">
        <f>IF(ISBLANK('Data Entry'!$ĕ$362), "", 'Data Entry'!$ĕ$362)</f>
      </c>
      <c r="HF362">
        <f>IF(ISBLANK('Data Entry'!$Ė$362), "", 'Data Entry'!$Ė$362)</f>
      </c>
      <c r="HG362">
        <f>IF(ISBLANK('Data Entry'!$ė$362), "", 'Data Entry'!$ė$362)</f>
      </c>
      <c r="HH362">
        <f>IF(ISBLANK('Data Entry'!$Ę$362), "", 'Data Entry'!$Ę$362)</f>
      </c>
      <c r="HI362">
        <f>IF(ISBLANK('Data Entry'!$ę$362), "", 'Data Entry'!$ę$362)</f>
      </c>
      <c r="HJ362">
        <f>IF(ISBLANK('Data Entry'!$Ě$362), "", 'Data Entry'!$Ě$362)</f>
      </c>
      <c r="HK362">
        <f>IF(ISBLANK('Data Entry'!$ě$362), "", 'Data Entry'!$ě$362)</f>
      </c>
      <c r="HL362">
        <f>IF(ISBLANK('Data Entry'!$Ĝ$362), "", 'Data Entry'!$Ĝ$362)</f>
      </c>
      <c r="HM362">
        <f>IF(ISBLANK('Data Entry'!$ĝ$362), "", 'Data Entry'!$ĝ$362)</f>
      </c>
      <c r="HN362">
        <f>IF(ISBLANK('Data Entry'!$Ğ$362), "", 'Data Entry'!$Ğ$362)</f>
      </c>
      <c r="HO362">
        <f>IF(ISBLANK('Data Entry'!$ğ$362), "", 'Data Entry'!$ğ$362)</f>
      </c>
      <c r="HP362">
        <f>IF(ISBLANK('Data Entry'!$Ġ$362), "", 'Data Entry'!$Ġ$362)</f>
      </c>
      <c r="HQ362">
        <f>IF(ISBLANK('Data Entry'!$ġ$362), "", 'Data Entry'!$ġ$362)</f>
      </c>
      <c r="HR362">
        <f>IF(ISBLANK('Data Entry'!$Ģ$362), "", 'Data Entry'!$Ģ$362)</f>
      </c>
      <c r="HS362">
        <f>IF(ISBLANK('Data Entry'!$ģ$362), "", 'Data Entry'!$ģ$362)</f>
      </c>
      <c r="HT362">
        <f>IF(ISBLANK('Data Entry'!$Ĥ$362), "", 'Data Entry'!$Ĥ$362)</f>
      </c>
      <c r="HU362">
        <f>IF(ISBLANK('Data Entry'!$ĥ$362), "", 'Data Entry'!$ĥ$362)</f>
      </c>
      <c r="HV362">
        <f>IF(ISBLANK('Data Entry'!$Ħ$362), "", 'Data Entry'!$Ħ$362)</f>
      </c>
      <c r="HW362">
        <f>IF(ISBLANK('Data Entry'!$ħ$362), "", 'Data Entry'!$ħ$362)</f>
      </c>
      <c r="HX362">
        <f>IF(ISBLANK('Data Entry'!$Ĩ$362), "", 'Data Entry'!$Ĩ$362)</f>
      </c>
      <c r="HY362">
        <f>IF(ISBLANK('Data Entry'!$ĩ$362), "", 'Data Entry'!$ĩ$362)</f>
      </c>
      <c r="HZ362">
        <f>IF(ISBLANK('Data Entry'!$Ī$362), "", 'Data Entry'!$Ī$362)</f>
      </c>
      <c r="IA362">
        <f>IF(ISBLANK('Data Entry'!$ī$362), "", 'Data Entry'!$ī$362)</f>
      </c>
      <c r="IB362">
        <f>IF(ISBLANK('Data Entry'!$Ĭ$362), "", 'Data Entry'!$Ĭ$362)</f>
      </c>
      <c r="IC362">
        <f>IF(ISBLANK('Data Entry'!$ĭ$362), "", 'Data Entry'!$ĭ$362)</f>
      </c>
      <c r="ID362">
        <f>IF(ISBLANK('Data Entry'!$Į$362), "", 'Data Entry'!$Į$362)</f>
      </c>
      <c r="IE362">
        <f>IF(ISBLANK('Data Entry'!$į$362), "", 'Data Entry'!$į$362)</f>
      </c>
      <c r="IF362">
        <f>IF(ISBLANK('Data Entry'!$İ$362), "", 'Data Entry'!$İ$362)</f>
      </c>
      <c r="IG362">
        <f>IF(ISBLANK('Data Entry'!$ı$362), "", 'Data Entry'!$ı$362)</f>
      </c>
      <c r="IH362">
        <f>IF(ISBLANK('Data Entry'!$Ĳ$362), "", 'Data Entry'!$Ĳ$362)</f>
      </c>
      <c r="II362">
        <f>IF(ISBLANK('Data Entry'!$ĳ$362), "", 'Data Entry'!$ĳ$362)</f>
      </c>
      <c r="IJ362">
        <f>IF(ISBLANK('Data Entry'!$Ĵ$362), "", 'Data Entry'!$Ĵ$362)</f>
      </c>
      <c r="IK362">
        <f>IF(ISBLANK('Data Entry'!$ĵ$362), "", 'Data Entry'!$ĵ$362)</f>
      </c>
      <c r="IL362">
        <f>IF(ISBLANK('Data Entry'!$Ķ$362), "", 'Data Entry'!$Ķ$362)</f>
      </c>
      <c r="IM362">
        <f>IF(ISBLANK('Data Entry'!$ķ$362), "", 'Data Entry'!$ķ$362)</f>
      </c>
      <c r="IN362">
        <f>IF(ISBLANK('Data Entry'!$ĸ$362), "", 'Data Entry'!$ĸ$362)</f>
      </c>
      <c r="IO362">
        <f>IF(ISBLANK('Data Entry'!$Ĺ$362), "", 'Data Entry'!$Ĺ$362)</f>
      </c>
      <c r="IP362">
        <f>IF(ISBLANK('Data Entry'!$ĺ$362), "", 'Data Entry'!$ĺ$362)</f>
      </c>
      <c r="IQ362">
        <f>IF(ISBLANK('Data Entry'!$Ļ$362), "", 'Data Entry'!$Ļ$362)</f>
      </c>
      <c r="IR362">
        <f>IF(ISBLANK('Data Entry'!$ļ$362), "", 'Data Entry'!$ļ$362)</f>
      </c>
      <c r="IS362">
        <f>IF(ISBLANK('Data Entry'!$Ľ$362), "", 'Data Entry'!$Ľ$362)</f>
      </c>
      <c r="IT362">
        <f>IF(ISBLANK('Data Entry'!$ľ$362), "", 'Data Entry'!$ľ$362)</f>
      </c>
    </row>
    <row r="363" spans="1:254" x14ac:dyDescent="0.25">
      <c r="A363">
        <f>IF(ISBLANK('Data Entry'!$A$363), "", 'Data Entry'!$A$363)</f>
      </c>
      <c r="B363">
        <f>IF(ISBLANK('Data Entry'!$B$363), "", 'Data Entry'!$B$363)</f>
      </c>
      <c r="C363">
        <f>IF(ISBLANK('Data Entry'!$C$363), "", 'Data Entry'!$C$363)</f>
      </c>
      <c r="D363">
        <f>IF(ISBLANK('Data Entry'!$D$363), "", 'Data Entry'!$D$363)</f>
      </c>
      <c r="E363">
        <f>IF(ISBLANK('Data Entry'!$E$363), "", 'Data Entry'!$E$363)</f>
      </c>
      <c r="F363">
        <f>IF(ISBLANK('Data Entry'!$F$363), "", 'Data Entry'!$F$363)</f>
      </c>
      <c r="G363">
        <f>IF(ISBLANK('Data Entry'!$G$363), "", 'Data Entry'!$G$363)</f>
      </c>
      <c r="H363">
        <f>IF(ISBLANK('Data Entry'!$H$363), "", 'Data Entry'!$H$363)</f>
      </c>
      <c r="I363">
        <f>IF(ISBLANK('Data Entry'!$I$363), "", 'Data Entry'!$I$363)</f>
      </c>
      <c r="J363">
        <f>IF(ISBLANK('Data Entry'!$J$363), "", 'Data Entry'!$J$363)</f>
      </c>
      <c r="K363">
        <f>IF(ISBLANK('Data Entry'!$K$363), "", 'Data Entry'!$K$363)</f>
      </c>
      <c r="L363">
        <f>IF(ISBLANK('Data Entry'!$L$363), "", 'Data Entry'!$L$363)</f>
      </c>
      <c r="M363">
        <f>IF(ISBLANK('Data Entry'!$M$363), "", 'Data Entry'!$M$363)</f>
      </c>
      <c r="N363">
        <f>IF(ISBLANK('Data Entry'!$N$363), "", 'Data Entry'!$N$363)</f>
      </c>
      <c r="O363">
        <f>IF(ISBLANK('Data Entry'!$O$363), "", 'Data Entry'!$O$363)</f>
      </c>
      <c r="P363">
        <f>IF(ISBLANK('Data Entry'!$P$363), "", 'Data Entry'!$P$363)</f>
      </c>
      <c r="Q363">
        <f>IF(ISBLANK('Data Entry'!$Q$363), "", 'Data Entry'!$Q$363)</f>
      </c>
      <c r="R363">
        <f>IF(ISBLANK('Data Entry'!$R$363), "", 'Data Entry'!$R$363)</f>
      </c>
      <c r="S363">
        <f>IF(ISBLANK('Data Entry'!$S$363), "", 'Data Entry'!$S$363)</f>
      </c>
      <c r="T363">
        <f>IF(ISBLANK('Data Entry'!$T$363), "", 'Data Entry'!$T$363)</f>
      </c>
      <c r="U363">
        <f>IF(ISBLANK('Data Entry'!$U$363), "", 'Data Entry'!$U$363)</f>
      </c>
      <c r="V363">
        <f>IF(ISBLANK('Data Entry'!$V$363), "", 'Data Entry'!$V$363)</f>
      </c>
      <c r="W363">
        <f>IF(ISBLANK('Data Entry'!$W$363), "", 'Data Entry'!$W$363)</f>
      </c>
      <c r="X363">
        <f>IF(ISBLANK('Data Entry'!$X$363), "", 'Data Entry'!$X$363)</f>
      </c>
      <c r="Y363">
        <f>IF(ISBLANK('Data Entry'!$Y$363), "", 'Data Entry'!$Y$363)</f>
      </c>
      <c r="Z363">
        <f>IF(ISBLANK('Data Entry'!$Z$363), "", 'Data Entry'!$Z$363)</f>
      </c>
      <c r="AA363">
        <f>IF(ISBLANK('Data Entry'!$[$363), "", 'Data Entry'!$[$363)</f>
      </c>
      <c r="AB363">
        <f>IF(ISBLANK('Data Entry'!$\$363), "", 'Data Entry'!$\$363)</f>
      </c>
      <c r="AC363">
        <f>IF(ISBLANK('Data Entry'!$]$363), "", 'Data Entry'!$]$363)</f>
      </c>
      <c r="AD363">
        <f>IF(ISBLANK('Data Entry'!$^$363), "", 'Data Entry'!$^$363)</f>
      </c>
      <c r="AE363">
        <f>IF(ISBLANK('Data Entry'!$_$363), "", 'Data Entry'!$_$363)</f>
      </c>
      <c r="AF363">
        <f>IF(ISBLANK('Data Entry'!$`$363), "", 'Data Entry'!$`$363)</f>
      </c>
      <c r="AG363">
        <f>IF(ISBLANK('Data Entry'!$a$363), "", 'Data Entry'!$a$363)</f>
      </c>
      <c r="AH363">
        <f>IF(ISBLANK('Data Entry'!$b$363), "", 'Data Entry'!$b$363)</f>
      </c>
      <c r="AI363">
        <f>IF(ISBLANK('Data Entry'!$c$363), "", 'Data Entry'!$c$363)</f>
      </c>
      <c r="AJ363">
        <f>IF(ISBLANK('Data Entry'!$d$363), "", 'Data Entry'!$d$363)</f>
      </c>
      <c r="AK363">
        <f>IF(ISBLANK('Data Entry'!$e$363), "", 'Data Entry'!$e$363)</f>
      </c>
      <c r="AL363">
        <f>IF(ISBLANK('Data Entry'!$f$363), "", 'Data Entry'!$f$363)</f>
      </c>
      <c r="AM363">
        <f>IF(ISBLANK('Data Entry'!$g$363), "", 'Data Entry'!$g$363)</f>
      </c>
      <c r="AN363">
        <f>IF(ISBLANK('Data Entry'!$h$363), "", 'Data Entry'!$h$363)</f>
      </c>
      <c r="AO363">
        <f>IF(ISBLANK('Data Entry'!$i$363), "", 'Data Entry'!$i$363)</f>
      </c>
      <c r="AP363">
        <f>IF(ISBLANK('Data Entry'!$j$363), "", 'Data Entry'!$j$363)</f>
      </c>
      <c r="AQ363">
        <f>IF(ISBLANK('Data Entry'!$k$363), "", 'Data Entry'!$k$363)</f>
      </c>
      <c r="AR363">
        <f>IF(ISBLANK('Data Entry'!$l$363), "", 'Data Entry'!$l$363)</f>
      </c>
      <c r="AS363">
        <f>IF(ISBLANK('Data Entry'!$m$363), "", 'Data Entry'!$m$363)</f>
      </c>
      <c r="AT363">
        <f>IF(ISBLANK('Data Entry'!$n$363), "", 'Data Entry'!$n$363)</f>
      </c>
      <c r="AU363">
        <f>IF(ISBLANK('Data Entry'!$o$363), "", 'Data Entry'!$o$363)</f>
      </c>
      <c r="AV363">
        <f>IF(ISBLANK('Data Entry'!$p$363), "", 'Data Entry'!$p$363)</f>
      </c>
      <c r="AW363">
        <f>IF(ISBLANK('Data Entry'!$q$363), "", 'Data Entry'!$q$363)</f>
      </c>
      <c r="AX363">
        <f>IF(ISBLANK('Data Entry'!$r$363), "", 'Data Entry'!$r$363)</f>
      </c>
      <c r="AY363">
        <f>IF(ISBLANK('Data Entry'!$s$363), "", 'Data Entry'!$s$363)</f>
      </c>
      <c r="AZ363">
        <f>IF(ISBLANK('Data Entry'!$t$363), "", 'Data Entry'!$t$363)</f>
      </c>
      <c r="BA363">
        <f>IF(ISBLANK('Data Entry'!$u$363), "", 'Data Entry'!$u$363)</f>
      </c>
      <c r="BB363">
        <f>IF(ISBLANK('Data Entry'!$v$363), "", 'Data Entry'!$v$363)</f>
      </c>
      <c r="BC363">
        <f>IF(ISBLANK('Data Entry'!$w$363), "", 'Data Entry'!$w$363)</f>
      </c>
      <c r="BD363">
        <f>IF(ISBLANK('Data Entry'!$x$363), "", 'Data Entry'!$x$363)</f>
      </c>
      <c r="BE363">
        <f>IF(ISBLANK('Data Entry'!$y$363), "", 'Data Entry'!$y$363)</f>
      </c>
      <c r="BF363">
        <f>IF(ISBLANK('Data Entry'!$z$363), "", 'Data Entry'!$z$363)</f>
      </c>
      <c r="BG363">
        <f>IF(ISBLANK('Data Entry'!${$363), "", 'Data Entry'!${$363)</f>
      </c>
      <c r="BH363">
        <f>IF(ISBLANK('Data Entry'!$|$363), "", 'Data Entry'!$|$363)</f>
      </c>
      <c r="BI363">
        <f>IF(ISBLANK('Data Entry'!$}$363), "", 'Data Entry'!$}$363)</f>
      </c>
      <c r="BJ363">
        <f>IF(ISBLANK('Data Entry'!$~$363), "", 'Data Entry'!$~$363)</f>
      </c>
      <c r="BK363">
        <f>IF(ISBLANK('Data Entry'!$$363), "", 'Data Entry'!$$363)</f>
      </c>
      <c r="BL363">
        <f>IF(ISBLANK('Data Entry'!$$363), "", 'Data Entry'!$$363)</f>
      </c>
      <c r="BM363">
        <f>IF(ISBLANK('Data Entry'!$$363), "", 'Data Entry'!$$363)</f>
      </c>
      <c r="BN363">
        <f>IF(ISBLANK('Data Entry'!$$363), "", 'Data Entry'!$$363)</f>
      </c>
      <c r="BO363">
        <f>IF(ISBLANK('Data Entry'!$$363), "", 'Data Entry'!$$363)</f>
      </c>
      <c r="BP363">
        <f>IF(ISBLANK('Data Entry'!$$363), "", 'Data Entry'!$$363)</f>
      </c>
      <c r="BQ363">
        <f>IF(ISBLANK('Data Entry'!$$363), "", 'Data Entry'!$$363)</f>
      </c>
      <c r="BR363">
        <f>IF(ISBLANK('Data Entry'!$$363), "", 'Data Entry'!$$363)</f>
      </c>
      <c r="BS363">
        <f>IF(ISBLANK('Data Entry'!$$363), "", 'Data Entry'!$$363)</f>
      </c>
      <c r="BT363">
        <f>IF(ISBLANK('Data Entry'!$$363), "", 'Data Entry'!$$363)</f>
      </c>
      <c r="BU363">
        <f>IF(ISBLANK('Data Entry'!$$363), "", 'Data Entry'!$$363)</f>
      </c>
      <c r="BV363">
        <f>IF(ISBLANK('Data Entry'!$$363), "", 'Data Entry'!$$363)</f>
      </c>
      <c r="BW363">
        <f>IF(ISBLANK('Data Entry'!$$363), "", 'Data Entry'!$$363)</f>
      </c>
      <c r="BX363">
        <f>IF(ISBLANK('Data Entry'!$$363), "", 'Data Entry'!$$363)</f>
      </c>
      <c r="BY363">
        <f>IF(ISBLANK('Data Entry'!$$363), "", 'Data Entry'!$$363)</f>
      </c>
      <c r="BZ363">
        <f>IF(ISBLANK('Data Entry'!$$363), "", 'Data Entry'!$$363)</f>
      </c>
      <c r="CA363">
        <f>IF(ISBLANK('Data Entry'!$$363), "", 'Data Entry'!$$363)</f>
      </c>
      <c r="CB363">
        <f>IF(ISBLANK('Data Entry'!$$363), "", 'Data Entry'!$$363)</f>
      </c>
      <c r="CC363">
        <f>IF(ISBLANK('Data Entry'!$$363), "", 'Data Entry'!$$363)</f>
      </c>
      <c r="CD363">
        <f>IF(ISBLANK('Data Entry'!$$363), "", 'Data Entry'!$$363)</f>
      </c>
      <c r="CE363">
        <f>IF(ISBLANK('Data Entry'!$$363), "", 'Data Entry'!$$363)</f>
      </c>
      <c r="CF363">
        <f>IF(ISBLANK('Data Entry'!$$363), "", 'Data Entry'!$$363)</f>
      </c>
      <c r="CG363">
        <f>IF(ISBLANK('Data Entry'!$$363), "", 'Data Entry'!$$363)</f>
      </c>
      <c r="CH363">
        <f>IF(ISBLANK('Data Entry'!$$363), "", 'Data Entry'!$$363)</f>
      </c>
      <c r="CI363">
        <f>IF(ISBLANK('Data Entry'!$$363), "", 'Data Entry'!$$363)</f>
      </c>
      <c r="CJ363">
        <f>IF(ISBLANK('Data Entry'!$$363), "", 'Data Entry'!$$363)</f>
      </c>
      <c r="CK363">
        <f>IF(ISBLANK('Data Entry'!$$363), "", 'Data Entry'!$$363)</f>
      </c>
      <c r="CL363">
        <f>IF(ISBLANK('Data Entry'!$$363), "", 'Data Entry'!$$363)</f>
      </c>
      <c r="CM363">
        <f>IF(ISBLANK('Data Entry'!$$363), "", 'Data Entry'!$$363)</f>
      </c>
      <c r="CN363">
        <f>IF(ISBLANK('Data Entry'!$$363), "", 'Data Entry'!$$363)</f>
      </c>
      <c r="CO363">
        <f>IF(ISBLANK('Data Entry'!$$363), "", 'Data Entry'!$$363)</f>
      </c>
      <c r="CP363">
        <f>IF(ISBLANK('Data Entry'!$$363), "", 'Data Entry'!$$363)</f>
      </c>
      <c r="CQ363">
        <f>IF(ISBLANK('Data Entry'!$$363), "", 'Data Entry'!$$363)</f>
      </c>
      <c r="CR363">
        <f>IF(ISBLANK('Data Entry'!$ $363), "", 'Data Entry'!$ $363)</f>
      </c>
      <c r="CS363">
        <f>IF(ISBLANK('Data Entry'!$¡$363), "", 'Data Entry'!$¡$363)</f>
      </c>
      <c r="CT363">
        <f>IF(ISBLANK('Data Entry'!$¢$363), "", 'Data Entry'!$¢$363)</f>
      </c>
      <c r="CU363">
        <f>IF(ISBLANK('Data Entry'!$£$363), "", 'Data Entry'!$£$363)</f>
      </c>
      <c r="CV363">
        <f>IF(ISBLANK('Data Entry'!$¤$363), "", 'Data Entry'!$¤$363)</f>
      </c>
      <c r="CW363">
        <f>IF(ISBLANK('Data Entry'!$¥$363), "", 'Data Entry'!$¥$363)</f>
      </c>
      <c r="CX363">
        <f>IF(ISBLANK('Data Entry'!$¦$363), "", 'Data Entry'!$¦$363)</f>
      </c>
      <c r="CY363">
        <f>IF(ISBLANK('Data Entry'!$§$363), "", 'Data Entry'!$§$363)</f>
      </c>
      <c r="CZ363">
        <f>IF(ISBLANK('Data Entry'!$¨$363), "", 'Data Entry'!$¨$363)</f>
      </c>
      <c r="DA363">
        <f>IF(ISBLANK('Data Entry'!$©$363), "", 'Data Entry'!$©$363)</f>
      </c>
      <c r="DB363">
        <f>IF(ISBLANK('Data Entry'!$ª$363), "", 'Data Entry'!$ª$363)</f>
      </c>
      <c r="DC363">
        <f>IF(ISBLANK('Data Entry'!$«$363), "", 'Data Entry'!$«$363)</f>
      </c>
      <c r="DD363">
        <f>IF(ISBLANK('Data Entry'!$¬$363), "", 'Data Entry'!$¬$363)</f>
      </c>
      <c r="DE363">
        <f>IF(ISBLANK('Data Entry'!$­$363), "", 'Data Entry'!$­$363)</f>
      </c>
      <c r="DF363">
        <f>IF(ISBLANK('Data Entry'!$®$363), "", 'Data Entry'!$®$363)</f>
      </c>
      <c r="DG363">
        <f>IF(ISBLANK('Data Entry'!$¯$363), "", 'Data Entry'!$¯$363)</f>
      </c>
      <c r="DH363">
        <f>IF(ISBLANK('Data Entry'!$°$363), "", 'Data Entry'!$°$363)</f>
      </c>
      <c r="DI363">
        <f>IF(ISBLANK('Data Entry'!$±$363), "", 'Data Entry'!$±$363)</f>
      </c>
      <c r="DJ363">
        <f>IF(ISBLANK('Data Entry'!$²$363), "", 'Data Entry'!$²$363)</f>
      </c>
      <c r="DK363">
        <f>IF(ISBLANK('Data Entry'!$³$363), "", 'Data Entry'!$³$363)</f>
      </c>
      <c r="DL363">
        <f>IF(ISBLANK('Data Entry'!$´$363), "", 'Data Entry'!$´$363)</f>
      </c>
      <c r="DM363">
        <f>IF(ISBLANK('Data Entry'!$µ$363), "", 'Data Entry'!$µ$363)</f>
      </c>
      <c r="DN363">
        <f>IF(ISBLANK('Data Entry'!$¶$363), "", 'Data Entry'!$¶$363)</f>
      </c>
      <c r="DO363">
        <f>IF(ISBLANK('Data Entry'!$·$363), "", 'Data Entry'!$·$363)</f>
      </c>
      <c r="DP363">
        <f>IF(ISBLANK('Data Entry'!$¸$363), "", 'Data Entry'!$¸$363)</f>
      </c>
      <c r="DQ363">
        <f>IF(ISBLANK('Data Entry'!$¹$363), "", 'Data Entry'!$¹$363)</f>
      </c>
      <c r="DR363">
        <f>IF(ISBLANK('Data Entry'!$º$363), "", 'Data Entry'!$º$363)</f>
      </c>
      <c r="DS363">
        <f>IF(ISBLANK('Data Entry'!$»$363), "", 'Data Entry'!$»$363)</f>
      </c>
      <c r="DT363">
        <f>IF(ISBLANK('Data Entry'!$¼$363), "", 'Data Entry'!$¼$363)</f>
      </c>
      <c r="DU363">
        <f>IF(ISBLANK('Data Entry'!$½$363), "", 'Data Entry'!$½$363)</f>
      </c>
      <c r="DV363">
        <f>IF(ISBLANK('Data Entry'!$¾$363), "", 'Data Entry'!$¾$363)</f>
      </c>
      <c r="DW363">
        <f>IF(ISBLANK('Data Entry'!$¿$363), "", 'Data Entry'!$¿$363)</f>
      </c>
      <c r="DX363">
        <f>IF(ISBLANK('Data Entry'!$À$363), "", 'Data Entry'!$À$363)</f>
      </c>
      <c r="DY363">
        <f>IF(ISBLANK('Data Entry'!$Á$363), "", 'Data Entry'!$Á$363)</f>
      </c>
      <c r="DZ363">
        <f>IF(ISBLANK('Data Entry'!$Â$363), "", 'Data Entry'!$Â$363)</f>
      </c>
      <c r="EA363">
        <f>IF(ISBLANK('Data Entry'!$Ã$363), "", 'Data Entry'!$Ã$363)</f>
      </c>
      <c r="EB363">
        <f>IF(ISBLANK('Data Entry'!$Ä$363), "", 'Data Entry'!$Ä$363)</f>
      </c>
      <c r="EC363">
        <f>IF(ISBLANK('Data Entry'!$Å$363), "", 'Data Entry'!$Å$363)</f>
      </c>
      <c r="ED363">
        <f>IF(ISBLANK('Data Entry'!$Æ$363), "", 'Data Entry'!$Æ$363)</f>
      </c>
      <c r="EE363">
        <f>IF(ISBLANK('Data Entry'!$Ç$363), "", 'Data Entry'!$Ç$363)</f>
      </c>
      <c r="EF363">
        <f>IF(ISBLANK('Data Entry'!$È$363), "", 'Data Entry'!$È$363)</f>
      </c>
      <c r="EG363">
        <f>IF(ISBLANK('Data Entry'!$É$363), "", 'Data Entry'!$É$363)</f>
      </c>
      <c r="EH363">
        <f>IF(ISBLANK('Data Entry'!$Ê$363), "", 'Data Entry'!$Ê$363)</f>
      </c>
      <c r="EI363">
        <f>IF(ISBLANK('Data Entry'!$Ë$363), "", 'Data Entry'!$Ë$363)</f>
      </c>
      <c r="EJ363">
        <f>IF(ISBLANK('Data Entry'!$Ì$363), "", 'Data Entry'!$Ì$363)</f>
      </c>
      <c r="EK363">
        <f>IF(ISBLANK('Data Entry'!$Í$363), "", 'Data Entry'!$Í$363)</f>
      </c>
      <c r="EL363">
        <f>IF(ISBLANK('Data Entry'!$Î$363), "", 'Data Entry'!$Î$363)</f>
      </c>
      <c r="EM363">
        <f>IF(ISBLANK('Data Entry'!$Ï$363), "", 'Data Entry'!$Ï$363)</f>
      </c>
      <c r="EN363">
        <f>IF(ISBLANK('Data Entry'!$Ð$363), "", 'Data Entry'!$Ð$363)</f>
      </c>
      <c r="EO363">
        <f>IF(ISBLANK('Data Entry'!$Ñ$363), "", 'Data Entry'!$Ñ$363)</f>
      </c>
      <c r="EP363">
        <f>IF(ISBLANK('Data Entry'!$Ò$363), "", 'Data Entry'!$Ò$363)</f>
      </c>
      <c r="EQ363">
        <f>IF(ISBLANK('Data Entry'!$Ó$363), "", 'Data Entry'!$Ó$363)</f>
      </c>
      <c r="ER363">
        <f>IF(ISBLANK('Data Entry'!$Ô$363), "", 'Data Entry'!$Ô$363)</f>
      </c>
      <c r="ES363">
        <f>IF(ISBLANK('Data Entry'!$Õ$363), "", 'Data Entry'!$Õ$363)</f>
      </c>
      <c r="ET363">
        <f>IF(ISBLANK('Data Entry'!$Ö$363), "", 'Data Entry'!$Ö$363)</f>
      </c>
      <c r="EU363">
        <f>IF(ISBLANK('Data Entry'!$×$363), "", 'Data Entry'!$×$363)</f>
      </c>
      <c r="EV363">
        <f>IF(ISBLANK('Data Entry'!$Ø$363), "", 'Data Entry'!$Ø$363)</f>
      </c>
      <c r="EW363">
        <f>IF(ISBLANK('Data Entry'!$Ù$363), "", 'Data Entry'!$Ù$363)</f>
      </c>
      <c r="EX363">
        <f>IF(ISBLANK('Data Entry'!$Ú$363), "", 'Data Entry'!$Ú$363)</f>
      </c>
      <c r="EY363">
        <f>IF(ISBLANK('Data Entry'!$Û$363), "", 'Data Entry'!$Û$363)</f>
      </c>
      <c r="EZ363">
        <f>IF(ISBLANK('Data Entry'!$Ü$363), "", 'Data Entry'!$Ü$363)</f>
      </c>
      <c r="FA363">
        <f>IF(ISBLANK('Data Entry'!$Ý$363), "", 'Data Entry'!$Ý$363)</f>
      </c>
      <c r="FB363">
        <f>IF(ISBLANK('Data Entry'!$Þ$363), "", 'Data Entry'!$Þ$363)</f>
      </c>
      <c r="FC363">
        <f>IF(ISBLANK('Data Entry'!$ß$363), "", 'Data Entry'!$ß$363)</f>
      </c>
      <c r="FD363">
        <f>IF(ISBLANK('Data Entry'!$à$363), "", 'Data Entry'!$à$363)</f>
      </c>
      <c r="FE363">
        <f>IF(ISBLANK('Data Entry'!$á$363), "", 'Data Entry'!$á$363)</f>
      </c>
      <c r="FF363">
        <f>IF(ISBLANK('Data Entry'!$â$363), "", 'Data Entry'!$â$363)</f>
      </c>
      <c r="FG363">
        <f>IF(ISBLANK('Data Entry'!$ã$363), "", 'Data Entry'!$ã$363)</f>
      </c>
      <c r="FH363">
        <f>IF(ISBLANK('Data Entry'!$ä$363), "", 'Data Entry'!$ä$363)</f>
      </c>
      <c r="FI363">
        <f>IF(ISBLANK('Data Entry'!$å$363), "", 'Data Entry'!$å$363)</f>
      </c>
      <c r="FJ363">
        <f>IF(ISBLANK('Data Entry'!$æ$363), "", 'Data Entry'!$æ$363)</f>
      </c>
      <c r="FK363">
        <f>IF(ISBLANK('Data Entry'!$ç$363), "", 'Data Entry'!$ç$363)</f>
      </c>
      <c r="FL363">
        <f>IF(ISBLANK('Data Entry'!$è$363), "", 'Data Entry'!$è$363)</f>
      </c>
      <c r="FM363">
        <f>IF(ISBLANK('Data Entry'!$é$363), "", 'Data Entry'!$é$363)</f>
      </c>
      <c r="FN363">
        <f>IF(ISBLANK('Data Entry'!$ê$363), "", 'Data Entry'!$ê$363)</f>
      </c>
      <c r="FO363">
        <f>IF(ISBLANK('Data Entry'!$ë$363), "", 'Data Entry'!$ë$363)</f>
      </c>
      <c r="FP363">
        <f>IF(ISBLANK('Data Entry'!$ì$363), "", 'Data Entry'!$ì$363)</f>
      </c>
      <c r="FQ363">
        <f>IF(ISBLANK('Data Entry'!$í$363), "", 'Data Entry'!$í$363)</f>
      </c>
      <c r="FR363">
        <f>IF(ISBLANK('Data Entry'!$î$363), "", 'Data Entry'!$î$363)</f>
      </c>
      <c r="FS363">
        <f>IF(ISBLANK('Data Entry'!$ï$363), "", 'Data Entry'!$ï$363)</f>
      </c>
      <c r="FT363">
        <f>IF(ISBLANK('Data Entry'!$ð$363), "", 'Data Entry'!$ð$363)</f>
      </c>
      <c r="FU363">
        <f>IF(ISBLANK('Data Entry'!$ñ$363), "", 'Data Entry'!$ñ$363)</f>
      </c>
      <c r="FV363">
        <f>IF(ISBLANK('Data Entry'!$ò$363), "", 'Data Entry'!$ò$363)</f>
      </c>
      <c r="FW363">
        <f>IF(ISBLANK('Data Entry'!$ó$363), "", 'Data Entry'!$ó$363)</f>
      </c>
      <c r="FX363">
        <f>IF(ISBLANK('Data Entry'!$ô$363), "", 'Data Entry'!$ô$363)</f>
      </c>
      <c r="FY363">
        <f>IF(ISBLANK('Data Entry'!$õ$363), "", 'Data Entry'!$õ$363)</f>
      </c>
      <c r="FZ363">
        <f>IF(ISBLANK('Data Entry'!$ö$363), "", 'Data Entry'!$ö$363)</f>
      </c>
      <c r="GA363">
        <f>IF(ISBLANK('Data Entry'!$÷$363), "", 'Data Entry'!$÷$363)</f>
      </c>
      <c r="GB363">
        <f>IF(ISBLANK('Data Entry'!$ø$363), "", 'Data Entry'!$ø$363)</f>
      </c>
      <c r="GC363">
        <f>IF(ISBLANK('Data Entry'!$ù$363), "", 'Data Entry'!$ù$363)</f>
      </c>
      <c r="GD363">
        <f>IF(ISBLANK('Data Entry'!$ú$363), "", 'Data Entry'!$ú$363)</f>
      </c>
      <c r="GE363">
        <f>IF(ISBLANK('Data Entry'!$û$363), "", 'Data Entry'!$û$363)</f>
      </c>
      <c r="GF363">
        <f>IF(ISBLANK('Data Entry'!$ü$363), "", 'Data Entry'!$ü$363)</f>
      </c>
      <c r="GG363">
        <f>IF(ISBLANK('Data Entry'!$ý$363), "", 'Data Entry'!$ý$363)</f>
      </c>
      <c r="GH363">
        <f>IF(ISBLANK('Data Entry'!$þ$363), "", 'Data Entry'!$þ$363)</f>
      </c>
      <c r="GI363">
        <f>IF(ISBLANK('Data Entry'!$ÿ$363), "", 'Data Entry'!$ÿ$363)</f>
      </c>
      <c r="GJ363">
        <f>IF(ISBLANK('Data Entry'!$Ā$363), "", 'Data Entry'!$Ā$363)</f>
      </c>
      <c r="GK363">
        <f>IF(ISBLANK('Data Entry'!$ā$363), "", 'Data Entry'!$ā$363)</f>
      </c>
      <c r="GL363">
        <f>IF(ISBLANK('Data Entry'!$Ă$363), "", 'Data Entry'!$Ă$363)</f>
      </c>
      <c r="GM363">
        <f>IF(ISBLANK('Data Entry'!$ă$363), "", 'Data Entry'!$ă$363)</f>
      </c>
      <c r="GN363">
        <f>IF(ISBLANK('Data Entry'!$Ą$363), "", 'Data Entry'!$Ą$363)</f>
      </c>
      <c r="GO363">
        <f>IF(ISBLANK('Data Entry'!$ą$363), "", 'Data Entry'!$ą$363)</f>
      </c>
      <c r="GP363">
        <f>IF(ISBLANK('Data Entry'!$Ć$363), "", 'Data Entry'!$Ć$363)</f>
      </c>
      <c r="GQ363">
        <f>IF(ISBLANK('Data Entry'!$ć$363), "", 'Data Entry'!$ć$363)</f>
      </c>
      <c r="GR363">
        <f>IF(ISBLANK('Data Entry'!$Ĉ$363), "", 'Data Entry'!$Ĉ$363)</f>
      </c>
      <c r="GS363">
        <f>IF(ISBLANK('Data Entry'!$ĉ$363), "", 'Data Entry'!$ĉ$363)</f>
      </c>
      <c r="GT363">
        <f>IF(ISBLANK('Data Entry'!$Ċ$363), "", 'Data Entry'!$Ċ$363)</f>
      </c>
      <c r="GU363">
        <f>IF(ISBLANK('Data Entry'!$ċ$363), "", 'Data Entry'!$ċ$363)</f>
      </c>
      <c r="GV363">
        <f>IF(ISBLANK('Data Entry'!$Č$363), "", 'Data Entry'!$Č$363)</f>
      </c>
      <c r="GW363">
        <f>IF(ISBLANK('Data Entry'!$č$363), "", 'Data Entry'!$č$363)</f>
      </c>
      <c r="GX363">
        <f>IF(ISBLANK('Data Entry'!$Ď$363), "", 'Data Entry'!$Ď$363)</f>
      </c>
      <c r="GY363">
        <f>IF(ISBLANK('Data Entry'!$ď$363), "", 'Data Entry'!$ď$363)</f>
      </c>
      <c r="GZ363">
        <f>IF(ISBLANK('Data Entry'!$Đ$363), "", 'Data Entry'!$Đ$363)</f>
      </c>
      <c r="HA363">
        <f>IF(ISBLANK('Data Entry'!$đ$363), "", 'Data Entry'!$đ$363)</f>
      </c>
      <c r="HB363">
        <f>IF(ISBLANK('Data Entry'!$Ē$363), "", 'Data Entry'!$Ē$363)</f>
      </c>
      <c r="HC363">
        <f>IF(ISBLANK('Data Entry'!$ē$363), "", 'Data Entry'!$ē$363)</f>
      </c>
      <c r="HD363">
        <f>IF(ISBLANK('Data Entry'!$Ĕ$363), "", 'Data Entry'!$Ĕ$363)</f>
      </c>
      <c r="HE363">
        <f>IF(ISBLANK('Data Entry'!$ĕ$363), "", 'Data Entry'!$ĕ$363)</f>
      </c>
      <c r="HF363">
        <f>IF(ISBLANK('Data Entry'!$Ė$363), "", 'Data Entry'!$Ė$363)</f>
      </c>
      <c r="HG363">
        <f>IF(ISBLANK('Data Entry'!$ė$363), "", 'Data Entry'!$ė$363)</f>
      </c>
      <c r="HH363">
        <f>IF(ISBLANK('Data Entry'!$Ę$363), "", 'Data Entry'!$Ę$363)</f>
      </c>
      <c r="HI363">
        <f>IF(ISBLANK('Data Entry'!$ę$363), "", 'Data Entry'!$ę$363)</f>
      </c>
      <c r="HJ363">
        <f>IF(ISBLANK('Data Entry'!$Ě$363), "", 'Data Entry'!$Ě$363)</f>
      </c>
      <c r="HK363">
        <f>IF(ISBLANK('Data Entry'!$ě$363), "", 'Data Entry'!$ě$363)</f>
      </c>
      <c r="HL363">
        <f>IF(ISBLANK('Data Entry'!$Ĝ$363), "", 'Data Entry'!$Ĝ$363)</f>
      </c>
      <c r="HM363">
        <f>IF(ISBLANK('Data Entry'!$ĝ$363), "", 'Data Entry'!$ĝ$363)</f>
      </c>
      <c r="HN363">
        <f>IF(ISBLANK('Data Entry'!$Ğ$363), "", 'Data Entry'!$Ğ$363)</f>
      </c>
      <c r="HO363">
        <f>IF(ISBLANK('Data Entry'!$ğ$363), "", 'Data Entry'!$ğ$363)</f>
      </c>
      <c r="HP363">
        <f>IF(ISBLANK('Data Entry'!$Ġ$363), "", 'Data Entry'!$Ġ$363)</f>
      </c>
      <c r="HQ363">
        <f>IF(ISBLANK('Data Entry'!$ġ$363), "", 'Data Entry'!$ġ$363)</f>
      </c>
      <c r="HR363">
        <f>IF(ISBLANK('Data Entry'!$Ģ$363), "", 'Data Entry'!$Ģ$363)</f>
      </c>
      <c r="HS363">
        <f>IF(ISBLANK('Data Entry'!$ģ$363), "", 'Data Entry'!$ģ$363)</f>
      </c>
      <c r="HT363">
        <f>IF(ISBLANK('Data Entry'!$Ĥ$363), "", 'Data Entry'!$Ĥ$363)</f>
      </c>
      <c r="HU363">
        <f>IF(ISBLANK('Data Entry'!$ĥ$363), "", 'Data Entry'!$ĥ$363)</f>
      </c>
      <c r="HV363">
        <f>IF(ISBLANK('Data Entry'!$Ħ$363), "", 'Data Entry'!$Ħ$363)</f>
      </c>
      <c r="HW363">
        <f>IF(ISBLANK('Data Entry'!$ħ$363), "", 'Data Entry'!$ħ$363)</f>
      </c>
      <c r="HX363">
        <f>IF(ISBLANK('Data Entry'!$Ĩ$363), "", 'Data Entry'!$Ĩ$363)</f>
      </c>
      <c r="HY363">
        <f>IF(ISBLANK('Data Entry'!$ĩ$363), "", 'Data Entry'!$ĩ$363)</f>
      </c>
      <c r="HZ363">
        <f>IF(ISBLANK('Data Entry'!$Ī$363), "", 'Data Entry'!$Ī$363)</f>
      </c>
      <c r="IA363">
        <f>IF(ISBLANK('Data Entry'!$ī$363), "", 'Data Entry'!$ī$363)</f>
      </c>
      <c r="IB363">
        <f>IF(ISBLANK('Data Entry'!$Ĭ$363), "", 'Data Entry'!$Ĭ$363)</f>
      </c>
      <c r="IC363">
        <f>IF(ISBLANK('Data Entry'!$ĭ$363), "", 'Data Entry'!$ĭ$363)</f>
      </c>
      <c r="ID363">
        <f>IF(ISBLANK('Data Entry'!$Į$363), "", 'Data Entry'!$Į$363)</f>
      </c>
      <c r="IE363">
        <f>IF(ISBLANK('Data Entry'!$į$363), "", 'Data Entry'!$į$363)</f>
      </c>
      <c r="IF363">
        <f>IF(ISBLANK('Data Entry'!$İ$363), "", 'Data Entry'!$İ$363)</f>
      </c>
      <c r="IG363">
        <f>IF(ISBLANK('Data Entry'!$ı$363), "", 'Data Entry'!$ı$363)</f>
      </c>
      <c r="IH363">
        <f>IF(ISBLANK('Data Entry'!$Ĳ$363), "", 'Data Entry'!$Ĳ$363)</f>
      </c>
      <c r="II363">
        <f>IF(ISBLANK('Data Entry'!$ĳ$363), "", 'Data Entry'!$ĳ$363)</f>
      </c>
      <c r="IJ363">
        <f>IF(ISBLANK('Data Entry'!$Ĵ$363), "", 'Data Entry'!$Ĵ$363)</f>
      </c>
      <c r="IK363">
        <f>IF(ISBLANK('Data Entry'!$ĵ$363), "", 'Data Entry'!$ĵ$363)</f>
      </c>
      <c r="IL363">
        <f>IF(ISBLANK('Data Entry'!$Ķ$363), "", 'Data Entry'!$Ķ$363)</f>
      </c>
      <c r="IM363">
        <f>IF(ISBLANK('Data Entry'!$ķ$363), "", 'Data Entry'!$ķ$363)</f>
      </c>
      <c r="IN363">
        <f>IF(ISBLANK('Data Entry'!$ĸ$363), "", 'Data Entry'!$ĸ$363)</f>
      </c>
      <c r="IO363">
        <f>IF(ISBLANK('Data Entry'!$Ĺ$363), "", 'Data Entry'!$Ĺ$363)</f>
      </c>
      <c r="IP363">
        <f>IF(ISBLANK('Data Entry'!$ĺ$363), "", 'Data Entry'!$ĺ$363)</f>
      </c>
      <c r="IQ363">
        <f>IF(ISBLANK('Data Entry'!$Ļ$363), "", 'Data Entry'!$Ļ$363)</f>
      </c>
      <c r="IR363">
        <f>IF(ISBLANK('Data Entry'!$ļ$363), "", 'Data Entry'!$ļ$363)</f>
      </c>
      <c r="IS363">
        <f>IF(ISBLANK('Data Entry'!$Ľ$363), "", 'Data Entry'!$Ľ$363)</f>
      </c>
      <c r="IT363">
        <f>IF(ISBLANK('Data Entry'!$ľ$363), "", 'Data Entry'!$ľ$363)</f>
      </c>
    </row>
    <row r="364" spans="1:254" x14ac:dyDescent="0.25">
      <c r="A364">
        <f>IF(ISBLANK('Data Entry'!$A$364), "", 'Data Entry'!$A$364)</f>
      </c>
      <c r="B364">
        <f>IF(ISBLANK('Data Entry'!$B$364), "", 'Data Entry'!$B$364)</f>
      </c>
      <c r="C364">
        <f>IF(ISBLANK('Data Entry'!$C$364), "", 'Data Entry'!$C$364)</f>
      </c>
      <c r="D364">
        <f>IF(ISBLANK('Data Entry'!$D$364), "", 'Data Entry'!$D$364)</f>
      </c>
      <c r="E364">
        <f>IF(ISBLANK('Data Entry'!$E$364), "", 'Data Entry'!$E$364)</f>
      </c>
      <c r="F364">
        <f>IF(ISBLANK('Data Entry'!$F$364), "", 'Data Entry'!$F$364)</f>
      </c>
      <c r="G364">
        <f>IF(ISBLANK('Data Entry'!$G$364), "", 'Data Entry'!$G$364)</f>
      </c>
      <c r="H364">
        <f>IF(ISBLANK('Data Entry'!$H$364), "", 'Data Entry'!$H$364)</f>
      </c>
      <c r="I364">
        <f>IF(ISBLANK('Data Entry'!$I$364), "", 'Data Entry'!$I$364)</f>
      </c>
      <c r="J364">
        <f>IF(ISBLANK('Data Entry'!$J$364), "", 'Data Entry'!$J$364)</f>
      </c>
      <c r="K364">
        <f>IF(ISBLANK('Data Entry'!$K$364), "", 'Data Entry'!$K$364)</f>
      </c>
      <c r="L364">
        <f>IF(ISBLANK('Data Entry'!$L$364), "", 'Data Entry'!$L$364)</f>
      </c>
      <c r="M364">
        <f>IF(ISBLANK('Data Entry'!$M$364), "", 'Data Entry'!$M$364)</f>
      </c>
      <c r="N364">
        <f>IF(ISBLANK('Data Entry'!$N$364), "", 'Data Entry'!$N$364)</f>
      </c>
      <c r="O364">
        <f>IF(ISBLANK('Data Entry'!$O$364), "", 'Data Entry'!$O$364)</f>
      </c>
      <c r="P364">
        <f>IF(ISBLANK('Data Entry'!$P$364), "", 'Data Entry'!$P$364)</f>
      </c>
      <c r="Q364">
        <f>IF(ISBLANK('Data Entry'!$Q$364), "", 'Data Entry'!$Q$364)</f>
      </c>
      <c r="R364">
        <f>IF(ISBLANK('Data Entry'!$R$364), "", 'Data Entry'!$R$364)</f>
      </c>
      <c r="S364">
        <f>IF(ISBLANK('Data Entry'!$S$364), "", 'Data Entry'!$S$364)</f>
      </c>
      <c r="T364">
        <f>IF(ISBLANK('Data Entry'!$T$364), "", 'Data Entry'!$T$364)</f>
      </c>
      <c r="U364">
        <f>IF(ISBLANK('Data Entry'!$U$364), "", 'Data Entry'!$U$364)</f>
      </c>
      <c r="V364">
        <f>IF(ISBLANK('Data Entry'!$V$364), "", 'Data Entry'!$V$364)</f>
      </c>
      <c r="W364">
        <f>IF(ISBLANK('Data Entry'!$W$364), "", 'Data Entry'!$W$364)</f>
      </c>
      <c r="X364">
        <f>IF(ISBLANK('Data Entry'!$X$364), "", 'Data Entry'!$X$364)</f>
      </c>
      <c r="Y364">
        <f>IF(ISBLANK('Data Entry'!$Y$364), "", 'Data Entry'!$Y$364)</f>
      </c>
      <c r="Z364">
        <f>IF(ISBLANK('Data Entry'!$Z$364), "", 'Data Entry'!$Z$364)</f>
      </c>
      <c r="AA364">
        <f>IF(ISBLANK('Data Entry'!$[$364), "", 'Data Entry'!$[$364)</f>
      </c>
      <c r="AB364">
        <f>IF(ISBLANK('Data Entry'!$\$364), "", 'Data Entry'!$\$364)</f>
      </c>
      <c r="AC364">
        <f>IF(ISBLANK('Data Entry'!$]$364), "", 'Data Entry'!$]$364)</f>
      </c>
      <c r="AD364">
        <f>IF(ISBLANK('Data Entry'!$^$364), "", 'Data Entry'!$^$364)</f>
      </c>
      <c r="AE364">
        <f>IF(ISBLANK('Data Entry'!$_$364), "", 'Data Entry'!$_$364)</f>
      </c>
      <c r="AF364">
        <f>IF(ISBLANK('Data Entry'!$`$364), "", 'Data Entry'!$`$364)</f>
      </c>
      <c r="AG364">
        <f>IF(ISBLANK('Data Entry'!$a$364), "", 'Data Entry'!$a$364)</f>
      </c>
      <c r="AH364">
        <f>IF(ISBLANK('Data Entry'!$b$364), "", 'Data Entry'!$b$364)</f>
      </c>
      <c r="AI364">
        <f>IF(ISBLANK('Data Entry'!$c$364), "", 'Data Entry'!$c$364)</f>
      </c>
      <c r="AJ364">
        <f>IF(ISBLANK('Data Entry'!$d$364), "", 'Data Entry'!$d$364)</f>
      </c>
      <c r="AK364">
        <f>IF(ISBLANK('Data Entry'!$e$364), "", 'Data Entry'!$e$364)</f>
      </c>
      <c r="AL364">
        <f>IF(ISBLANK('Data Entry'!$f$364), "", 'Data Entry'!$f$364)</f>
      </c>
      <c r="AM364">
        <f>IF(ISBLANK('Data Entry'!$g$364), "", 'Data Entry'!$g$364)</f>
      </c>
      <c r="AN364">
        <f>IF(ISBLANK('Data Entry'!$h$364), "", 'Data Entry'!$h$364)</f>
      </c>
      <c r="AO364">
        <f>IF(ISBLANK('Data Entry'!$i$364), "", 'Data Entry'!$i$364)</f>
      </c>
      <c r="AP364">
        <f>IF(ISBLANK('Data Entry'!$j$364), "", 'Data Entry'!$j$364)</f>
      </c>
      <c r="AQ364">
        <f>IF(ISBLANK('Data Entry'!$k$364), "", 'Data Entry'!$k$364)</f>
      </c>
      <c r="AR364">
        <f>IF(ISBLANK('Data Entry'!$l$364), "", 'Data Entry'!$l$364)</f>
      </c>
      <c r="AS364">
        <f>IF(ISBLANK('Data Entry'!$m$364), "", 'Data Entry'!$m$364)</f>
      </c>
      <c r="AT364">
        <f>IF(ISBLANK('Data Entry'!$n$364), "", 'Data Entry'!$n$364)</f>
      </c>
      <c r="AU364">
        <f>IF(ISBLANK('Data Entry'!$o$364), "", 'Data Entry'!$o$364)</f>
      </c>
      <c r="AV364">
        <f>IF(ISBLANK('Data Entry'!$p$364), "", 'Data Entry'!$p$364)</f>
      </c>
      <c r="AW364">
        <f>IF(ISBLANK('Data Entry'!$q$364), "", 'Data Entry'!$q$364)</f>
      </c>
      <c r="AX364">
        <f>IF(ISBLANK('Data Entry'!$r$364), "", 'Data Entry'!$r$364)</f>
      </c>
      <c r="AY364">
        <f>IF(ISBLANK('Data Entry'!$s$364), "", 'Data Entry'!$s$364)</f>
      </c>
      <c r="AZ364">
        <f>IF(ISBLANK('Data Entry'!$t$364), "", 'Data Entry'!$t$364)</f>
      </c>
      <c r="BA364">
        <f>IF(ISBLANK('Data Entry'!$u$364), "", 'Data Entry'!$u$364)</f>
      </c>
      <c r="BB364">
        <f>IF(ISBLANK('Data Entry'!$v$364), "", 'Data Entry'!$v$364)</f>
      </c>
      <c r="BC364">
        <f>IF(ISBLANK('Data Entry'!$w$364), "", 'Data Entry'!$w$364)</f>
      </c>
      <c r="BD364">
        <f>IF(ISBLANK('Data Entry'!$x$364), "", 'Data Entry'!$x$364)</f>
      </c>
      <c r="BE364">
        <f>IF(ISBLANK('Data Entry'!$y$364), "", 'Data Entry'!$y$364)</f>
      </c>
      <c r="BF364">
        <f>IF(ISBLANK('Data Entry'!$z$364), "", 'Data Entry'!$z$364)</f>
      </c>
      <c r="BG364">
        <f>IF(ISBLANK('Data Entry'!${$364), "", 'Data Entry'!${$364)</f>
      </c>
      <c r="BH364">
        <f>IF(ISBLANK('Data Entry'!$|$364), "", 'Data Entry'!$|$364)</f>
      </c>
      <c r="BI364">
        <f>IF(ISBLANK('Data Entry'!$}$364), "", 'Data Entry'!$}$364)</f>
      </c>
      <c r="BJ364">
        <f>IF(ISBLANK('Data Entry'!$~$364), "", 'Data Entry'!$~$364)</f>
      </c>
      <c r="BK364">
        <f>IF(ISBLANK('Data Entry'!$$364), "", 'Data Entry'!$$364)</f>
      </c>
      <c r="BL364">
        <f>IF(ISBLANK('Data Entry'!$$364), "", 'Data Entry'!$$364)</f>
      </c>
      <c r="BM364">
        <f>IF(ISBLANK('Data Entry'!$$364), "", 'Data Entry'!$$364)</f>
      </c>
      <c r="BN364">
        <f>IF(ISBLANK('Data Entry'!$$364), "", 'Data Entry'!$$364)</f>
      </c>
      <c r="BO364">
        <f>IF(ISBLANK('Data Entry'!$$364), "", 'Data Entry'!$$364)</f>
      </c>
      <c r="BP364">
        <f>IF(ISBLANK('Data Entry'!$$364), "", 'Data Entry'!$$364)</f>
      </c>
      <c r="BQ364">
        <f>IF(ISBLANK('Data Entry'!$$364), "", 'Data Entry'!$$364)</f>
      </c>
      <c r="BR364">
        <f>IF(ISBLANK('Data Entry'!$$364), "", 'Data Entry'!$$364)</f>
      </c>
      <c r="BS364">
        <f>IF(ISBLANK('Data Entry'!$$364), "", 'Data Entry'!$$364)</f>
      </c>
      <c r="BT364">
        <f>IF(ISBLANK('Data Entry'!$$364), "", 'Data Entry'!$$364)</f>
      </c>
      <c r="BU364">
        <f>IF(ISBLANK('Data Entry'!$$364), "", 'Data Entry'!$$364)</f>
      </c>
      <c r="BV364">
        <f>IF(ISBLANK('Data Entry'!$$364), "", 'Data Entry'!$$364)</f>
      </c>
      <c r="BW364">
        <f>IF(ISBLANK('Data Entry'!$$364), "", 'Data Entry'!$$364)</f>
      </c>
      <c r="BX364">
        <f>IF(ISBLANK('Data Entry'!$$364), "", 'Data Entry'!$$364)</f>
      </c>
      <c r="BY364">
        <f>IF(ISBLANK('Data Entry'!$$364), "", 'Data Entry'!$$364)</f>
      </c>
      <c r="BZ364">
        <f>IF(ISBLANK('Data Entry'!$$364), "", 'Data Entry'!$$364)</f>
      </c>
      <c r="CA364">
        <f>IF(ISBLANK('Data Entry'!$$364), "", 'Data Entry'!$$364)</f>
      </c>
      <c r="CB364">
        <f>IF(ISBLANK('Data Entry'!$$364), "", 'Data Entry'!$$364)</f>
      </c>
      <c r="CC364">
        <f>IF(ISBLANK('Data Entry'!$$364), "", 'Data Entry'!$$364)</f>
      </c>
      <c r="CD364">
        <f>IF(ISBLANK('Data Entry'!$$364), "", 'Data Entry'!$$364)</f>
      </c>
      <c r="CE364">
        <f>IF(ISBLANK('Data Entry'!$$364), "", 'Data Entry'!$$364)</f>
      </c>
      <c r="CF364">
        <f>IF(ISBLANK('Data Entry'!$$364), "", 'Data Entry'!$$364)</f>
      </c>
      <c r="CG364">
        <f>IF(ISBLANK('Data Entry'!$$364), "", 'Data Entry'!$$364)</f>
      </c>
      <c r="CH364">
        <f>IF(ISBLANK('Data Entry'!$$364), "", 'Data Entry'!$$364)</f>
      </c>
      <c r="CI364">
        <f>IF(ISBLANK('Data Entry'!$$364), "", 'Data Entry'!$$364)</f>
      </c>
      <c r="CJ364">
        <f>IF(ISBLANK('Data Entry'!$$364), "", 'Data Entry'!$$364)</f>
      </c>
      <c r="CK364">
        <f>IF(ISBLANK('Data Entry'!$$364), "", 'Data Entry'!$$364)</f>
      </c>
      <c r="CL364">
        <f>IF(ISBLANK('Data Entry'!$$364), "", 'Data Entry'!$$364)</f>
      </c>
      <c r="CM364">
        <f>IF(ISBLANK('Data Entry'!$$364), "", 'Data Entry'!$$364)</f>
      </c>
      <c r="CN364">
        <f>IF(ISBLANK('Data Entry'!$$364), "", 'Data Entry'!$$364)</f>
      </c>
      <c r="CO364">
        <f>IF(ISBLANK('Data Entry'!$$364), "", 'Data Entry'!$$364)</f>
      </c>
      <c r="CP364">
        <f>IF(ISBLANK('Data Entry'!$$364), "", 'Data Entry'!$$364)</f>
      </c>
      <c r="CQ364">
        <f>IF(ISBLANK('Data Entry'!$$364), "", 'Data Entry'!$$364)</f>
      </c>
      <c r="CR364">
        <f>IF(ISBLANK('Data Entry'!$ $364), "", 'Data Entry'!$ $364)</f>
      </c>
      <c r="CS364">
        <f>IF(ISBLANK('Data Entry'!$¡$364), "", 'Data Entry'!$¡$364)</f>
      </c>
      <c r="CT364">
        <f>IF(ISBLANK('Data Entry'!$¢$364), "", 'Data Entry'!$¢$364)</f>
      </c>
      <c r="CU364">
        <f>IF(ISBLANK('Data Entry'!$£$364), "", 'Data Entry'!$£$364)</f>
      </c>
      <c r="CV364">
        <f>IF(ISBLANK('Data Entry'!$¤$364), "", 'Data Entry'!$¤$364)</f>
      </c>
      <c r="CW364">
        <f>IF(ISBLANK('Data Entry'!$¥$364), "", 'Data Entry'!$¥$364)</f>
      </c>
      <c r="CX364">
        <f>IF(ISBLANK('Data Entry'!$¦$364), "", 'Data Entry'!$¦$364)</f>
      </c>
      <c r="CY364">
        <f>IF(ISBLANK('Data Entry'!$§$364), "", 'Data Entry'!$§$364)</f>
      </c>
      <c r="CZ364">
        <f>IF(ISBLANK('Data Entry'!$¨$364), "", 'Data Entry'!$¨$364)</f>
      </c>
      <c r="DA364">
        <f>IF(ISBLANK('Data Entry'!$©$364), "", 'Data Entry'!$©$364)</f>
      </c>
      <c r="DB364">
        <f>IF(ISBLANK('Data Entry'!$ª$364), "", 'Data Entry'!$ª$364)</f>
      </c>
      <c r="DC364">
        <f>IF(ISBLANK('Data Entry'!$«$364), "", 'Data Entry'!$«$364)</f>
      </c>
      <c r="DD364">
        <f>IF(ISBLANK('Data Entry'!$¬$364), "", 'Data Entry'!$¬$364)</f>
      </c>
      <c r="DE364">
        <f>IF(ISBLANK('Data Entry'!$­$364), "", 'Data Entry'!$­$364)</f>
      </c>
      <c r="DF364">
        <f>IF(ISBLANK('Data Entry'!$®$364), "", 'Data Entry'!$®$364)</f>
      </c>
      <c r="DG364">
        <f>IF(ISBLANK('Data Entry'!$¯$364), "", 'Data Entry'!$¯$364)</f>
      </c>
      <c r="DH364">
        <f>IF(ISBLANK('Data Entry'!$°$364), "", 'Data Entry'!$°$364)</f>
      </c>
      <c r="DI364">
        <f>IF(ISBLANK('Data Entry'!$±$364), "", 'Data Entry'!$±$364)</f>
      </c>
      <c r="DJ364">
        <f>IF(ISBLANK('Data Entry'!$²$364), "", 'Data Entry'!$²$364)</f>
      </c>
      <c r="DK364">
        <f>IF(ISBLANK('Data Entry'!$³$364), "", 'Data Entry'!$³$364)</f>
      </c>
      <c r="DL364">
        <f>IF(ISBLANK('Data Entry'!$´$364), "", 'Data Entry'!$´$364)</f>
      </c>
      <c r="DM364">
        <f>IF(ISBLANK('Data Entry'!$µ$364), "", 'Data Entry'!$µ$364)</f>
      </c>
      <c r="DN364">
        <f>IF(ISBLANK('Data Entry'!$¶$364), "", 'Data Entry'!$¶$364)</f>
      </c>
      <c r="DO364">
        <f>IF(ISBLANK('Data Entry'!$·$364), "", 'Data Entry'!$·$364)</f>
      </c>
      <c r="DP364">
        <f>IF(ISBLANK('Data Entry'!$¸$364), "", 'Data Entry'!$¸$364)</f>
      </c>
      <c r="DQ364">
        <f>IF(ISBLANK('Data Entry'!$¹$364), "", 'Data Entry'!$¹$364)</f>
      </c>
      <c r="DR364">
        <f>IF(ISBLANK('Data Entry'!$º$364), "", 'Data Entry'!$º$364)</f>
      </c>
      <c r="DS364">
        <f>IF(ISBLANK('Data Entry'!$»$364), "", 'Data Entry'!$»$364)</f>
      </c>
      <c r="DT364">
        <f>IF(ISBLANK('Data Entry'!$¼$364), "", 'Data Entry'!$¼$364)</f>
      </c>
      <c r="DU364">
        <f>IF(ISBLANK('Data Entry'!$½$364), "", 'Data Entry'!$½$364)</f>
      </c>
      <c r="DV364">
        <f>IF(ISBLANK('Data Entry'!$¾$364), "", 'Data Entry'!$¾$364)</f>
      </c>
      <c r="DW364">
        <f>IF(ISBLANK('Data Entry'!$¿$364), "", 'Data Entry'!$¿$364)</f>
      </c>
      <c r="DX364">
        <f>IF(ISBLANK('Data Entry'!$À$364), "", 'Data Entry'!$À$364)</f>
      </c>
      <c r="DY364">
        <f>IF(ISBLANK('Data Entry'!$Á$364), "", 'Data Entry'!$Á$364)</f>
      </c>
      <c r="DZ364">
        <f>IF(ISBLANK('Data Entry'!$Â$364), "", 'Data Entry'!$Â$364)</f>
      </c>
      <c r="EA364">
        <f>IF(ISBLANK('Data Entry'!$Ã$364), "", 'Data Entry'!$Ã$364)</f>
      </c>
      <c r="EB364">
        <f>IF(ISBLANK('Data Entry'!$Ä$364), "", 'Data Entry'!$Ä$364)</f>
      </c>
      <c r="EC364">
        <f>IF(ISBLANK('Data Entry'!$Å$364), "", 'Data Entry'!$Å$364)</f>
      </c>
      <c r="ED364">
        <f>IF(ISBLANK('Data Entry'!$Æ$364), "", 'Data Entry'!$Æ$364)</f>
      </c>
      <c r="EE364">
        <f>IF(ISBLANK('Data Entry'!$Ç$364), "", 'Data Entry'!$Ç$364)</f>
      </c>
      <c r="EF364">
        <f>IF(ISBLANK('Data Entry'!$È$364), "", 'Data Entry'!$È$364)</f>
      </c>
      <c r="EG364">
        <f>IF(ISBLANK('Data Entry'!$É$364), "", 'Data Entry'!$É$364)</f>
      </c>
      <c r="EH364">
        <f>IF(ISBLANK('Data Entry'!$Ê$364), "", 'Data Entry'!$Ê$364)</f>
      </c>
      <c r="EI364">
        <f>IF(ISBLANK('Data Entry'!$Ë$364), "", 'Data Entry'!$Ë$364)</f>
      </c>
      <c r="EJ364">
        <f>IF(ISBLANK('Data Entry'!$Ì$364), "", 'Data Entry'!$Ì$364)</f>
      </c>
      <c r="EK364">
        <f>IF(ISBLANK('Data Entry'!$Í$364), "", 'Data Entry'!$Í$364)</f>
      </c>
      <c r="EL364">
        <f>IF(ISBLANK('Data Entry'!$Î$364), "", 'Data Entry'!$Î$364)</f>
      </c>
      <c r="EM364">
        <f>IF(ISBLANK('Data Entry'!$Ï$364), "", 'Data Entry'!$Ï$364)</f>
      </c>
      <c r="EN364">
        <f>IF(ISBLANK('Data Entry'!$Ð$364), "", 'Data Entry'!$Ð$364)</f>
      </c>
      <c r="EO364">
        <f>IF(ISBLANK('Data Entry'!$Ñ$364), "", 'Data Entry'!$Ñ$364)</f>
      </c>
      <c r="EP364">
        <f>IF(ISBLANK('Data Entry'!$Ò$364), "", 'Data Entry'!$Ò$364)</f>
      </c>
      <c r="EQ364">
        <f>IF(ISBLANK('Data Entry'!$Ó$364), "", 'Data Entry'!$Ó$364)</f>
      </c>
      <c r="ER364">
        <f>IF(ISBLANK('Data Entry'!$Ô$364), "", 'Data Entry'!$Ô$364)</f>
      </c>
      <c r="ES364">
        <f>IF(ISBLANK('Data Entry'!$Õ$364), "", 'Data Entry'!$Õ$364)</f>
      </c>
      <c r="ET364">
        <f>IF(ISBLANK('Data Entry'!$Ö$364), "", 'Data Entry'!$Ö$364)</f>
      </c>
      <c r="EU364">
        <f>IF(ISBLANK('Data Entry'!$×$364), "", 'Data Entry'!$×$364)</f>
      </c>
      <c r="EV364">
        <f>IF(ISBLANK('Data Entry'!$Ø$364), "", 'Data Entry'!$Ø$364)</f>
      </c>
      <c r="EW364">
        <f>IF(ISBLANK('Data Entry'!$Ù$364), "", 'Data Entry'!$Ù$364)</f>
      </c>
      <c r="EX364">
        <f>IF(ISBLANK('Data Entry'!$Ú$364), "", 'Data Entry'!$Ú$364)</f>
      </c>
      <c r="EY364">
        <f>IF(ISBLANK('Data Entry'!$Û$364), "", 'Data Entry'!$Û$364)</f>
      </c>
      <c r="EZ364">
        <f>IF(ISBLANK('Data Entry'!$Ü$364), "", 'Data Entry'!$Ü$364)</f>
      </c>
      <c r="FA364">
        <f>IF(ISBLANK('Data Entry'!$Ý$364), "", 'Data Entry'!$Ý$364)</f>
      </c>
      <c r="FB364">
        <f>IF(ISBLANK('Data Entry'!$Þ$364), "", 'Data Entry'!$Þ$364)</f>
      </c>
      <c r="FC364">
        <f>IF(ISBLANK('Data Entry'!$ß$364), "", 'Data Entry'!$ß$364)</f>
      </c>
      <c r="FD364">
        <f>IF(ISBLANK('Data Entry'!$à$364), "", 'Data Entry'!$à$364)</f>
      </c>
      <c r="FE364">
        <f>IF(ISBLANK('Data Entry'!$á$364), "", 'Data Entry'!$á$364)</f>
      </c>
      <c r="FF364">
        <f>IF(ISBLANK('Data Entry'!$â$364), "", 'Data Entry'!$â$364)</f>
      </c>
      <c r="FG364">
        <f>IF(ISBLANK('Data Entry'!$ã$364), "", 'Data Entry'!$ã$364)</f>
      </c>
      <c r="FH364">
        <f>IF(ISBLANK('Data Entry'!$ä$364), "", 'Data Entry'!$ä$364)</f>
      </c>
      <c r="FI364">
        <f>IF(ISBLANK('Data Entry'!$å$364), "", 'Data Entry'!$å$364)</f>
      </c>
      <c r="FJ364">
        <f>IF(ISBLANK('Data Entry'!$æ$364), "", 'Data Entry'!$æ$364)</f>
      </c>
      <c r="FK364">
        <f>IF(ISBLANK('Data Entry'!$ç$364), "", 'Data Entry'!$ç$364)</f>
      </c>
      <c r="FL364">
        <f>IF(ISBLANK('Data Entry'!$è$364), "", 'Data Entry'!$è$364)</f>
      </c>
      <c r="FM364">
        <f>IF(ISBLANK('Data Entry'!$é$364), "", 'Data Entry'!$é$364)</f>
      </c>
      <c r="FN364">
        <f>IF(ISBLANK('Data Entry'!$ê$364), "", 'Data Entry'!$ê$364)</f>
      </c>
      <c r="FO364">
        <f>IF(ISBLANK('Data Entry'!$ë$364), "", 'Data Entry'!$ë$364)</f>
      </c>
      <c r="FP364">
        <f>IF(ISBLANK('Data Entry'!$ì$364), "", 'Data Entry'!$ì$364)</f>
      </c>
      <c r="FQ364">
        <f>IF(ISBLANK('Data Entry'!$í$364), "", 'Data Entry'!$í$364)</f>
      </c>
      <c r="FR364">
        <f>IF(ISBLANK('Data Entry'!$î$364), "", 'Data Entry'!$î$364)</f>
      </c>
      <c r="FS364">
        <f>IF(ISBLANK('Data Entry'!$ï$364), "", 'Data Entry'!$ï$364)</f>
      </c>
      <c r="FT364">
        <f>IF(ISBLANK('Data Entry'!$ð$364), "", 'Data Entry'!$ð$364)</f>
      </c>
      <c r="FU364">
        <f>IF(ISBLANK('Data Entry'!$ñ$364), "", 'Data Entry'!$ñ$364)</f>
      </c>
      <c r="FV364">
        <f>IF(ISBLANK('Data Entry'!$ò$364), "", 'Data Entry'!$ò$364)</f>
      </c>
      <c r="FW364">
        <f>IF(ISBLANK('Data Entry'!$ó$364), "", 'Data Entry'!$ó$364)</f>
      </c>
      <c r="FX364">
        <f>IF(ISBLANK('Data Entry'!$ô$364), "", 'Data Entry'!$ô$364)</f>
      </c>
      <c r="FY364">
        <f>IF(ISBLANK('Data Entry'!$õ$364), "", 'Data Entry'!$õ$364)</f>
      </c>
      <c r="FZ364">
        <f>IF(ISBLANK('Data Entry'!$ö$364), "", 'Data Entry'!$ö$364)</f>
      </c>
      <c r="GA364">
        <f>IF(ISBLANK('Data Entry'!$÷$364), "", 'Data Entry'!$÷$364)</f>
      </c>
      <c r="GB364">
        <f>IF(ISBLANK('Data Entry'!$ø$364), "", 'Data Entry'!$ø$364)</f>
      </c>
      <c r="GC364">
        <f>IF(ISBLANK('Data Entry'!$ù$364), "", 'Data Entry'!$ù$364)</f>
      </c>
      <c r="GD364">
        <f>IF(ISBLANK('Data Entry'!$ú$364), "", 'Data Entry'!$ú$364)</f>
      </c>
      <c r="GE364">
        <f>IF(ISBLANK('Data Entry'!$û$364), "", 'Data Entry'!$û$364)</f>
      </c>
      <c r="GF364">
        <f>IF(ISBLANK('Data Entry'!$ü$364), "", 'Data Entry'!$ü$364)</f>
      </c>
      <c r="GG364">
        <f>IF(ISBLANK('Data Entry'!$ý$364), "", 'Data Entry'!$ý$364)</f>
      </c>
      <c r="GH364">
        <f>IF(ISBLANK('Data Entry'!$þ$364), "", 'Data Entry'!$þ$364)</f>
      </c>
      <c r="GI364">
        <f>IF(ISBLANK('Data Entry'!$ÿ$364), "", 'Data Entry'!$ÿ$364)</f>
      </c>
      <c r="GJ364">
        <f>IF(ISBLANK('Data Entry'!$Ā$364), "", 'Data Entry'!$Ā$364)</f>
      </c>
      <c r="GK364">
        <f>IF(ISBLANK('Data Entry'!$ā$364), "", 'Data Entry'!$ā$364)</f>
      </c>
      <c r="GL364">
        <f>IF(ISBLANK('Data Entry'!$Ă$364), "", 'Data Entry'!$Ă$364)</f>
      </c>
      <c r="GM364">
        <f>IF(ISBLANK('Data Entry'!$ă$364), "", 'Data Entry'!$ă$364)</f>
      </c>
      <c r="GN364">
        <f>IF(ISBLANK('Data Entry'!$Ą$364), "", 'Data Entry'!$Ą$364)</f>
      </c>
      <c r="GO364">
        <f>IF(ISBLANK('Data Entry'!$ą$364), "", 'Data Entry'!$ą$364)</f>
      </c>
      <c r="GP364">
        <f>IF(ISBLANK('Data Entry'!$Ć$364), "", 'Data Entry'!$Ć$364)</f>
      </c>
      <c r="GQ364">
        <f>IF(ISBLANK('Data Entry'!$ć$364), "", 'Data Entry'!$ć$364)</f>
      </c>
      <c r="GR364">
        <f>IF(ISBLANK('Data Entry'!$Ĉ$364), "", 'Data Entry'!$Ĉ$364)</f>
      </c>
      <c r="GS364">
        <f>IF(ISBLANK('Data Entry'!$ĉ$364), "", 'Data Entry'!$ĉ$364)</f>
      </c>
      <c r="GT364">
        <f>IF(ISBLANK('Data Entry'!$Ċ$364), "", 'Data Entry'!$Ċ$364)</f>
      </c>
      <c r="GU364">
        <f>IF(ISBLANK('Data Entry'!$ċ$364), "", 'Data Entry'!$ċ$364)</f>
      </c>
      <c r="GV364">
        <f>IF(ISBLANK('Data Entry'!$Č$364), "", 'Data Entry'!$Č$364)</f>
      </c>
      <c r="GW364">
        <f>IF(ISBLANK('Data Entry'!$č$364), "", 'Data Entry'!$č$364)</f>
      </c>
      <c r="GX364">
        <f>IF(ISBLANK('Data Entry'!$Ď$364), "", 'Data Entry'!$Ď$364)</f>
      </c>
      <c r="GY364">
        <f>IF(ISBLANK('Data Entry'!$ď$364), "", 'Data Entry'!$ď$364)</f>
      </c>
      <c r="GZ364">
        <f>IF(ISBLANK('Data Entry'!$Đ$364), "", 'Data Entry'!$Đ$364)</f>
      </c>
      <c r="HA364">
        <f>IF(ISBLANK('Data Entry'!$đ$364), "", 'Data Entry'!$đ$364)</f>
      </c>
      <c r="HB364">
        <f>IF(ISBLANK('Data Entry'!$Ē$364), "", 'Data Entry'!$Ē$364)</f>
      </c>
      <c r="HC364">
        <f>IF(ISBLANK('Data Entry'!$ē$364), "", 'Data Entry'!$ē$364)</f>
      </c>
      <c r="HD364">
        <f>IF(ISBLANK('Data Entry'!$Ĕ$364), "", 'Data Entry'!$Ĕ$364)</f>
      </c>
      <c r="HE364">
        <f>IF(ISBLANK('Data Entry'!$ĕ$364), "", 'Data Entry'!$ĕ$364)</f>
      </c>
      <c r="HF364">
        <f>IF(ISBLANK('Data Entry'!$Ė$364), "", 'Data Entry'!$Ė$364)</f>
      </c>
      <c r="HG364">
        <f>IF(ISBLANK('Data Entry'!$ė$364), "", 'Data Entry'!$ė$364)</f>
      </c>
      <c r="HH364">
        <f>IF(ISBLANK('Data Entry'!$Ę$364), "", 'Data Entry'!$Ę$364)</f>
      </c>
      <c r="HI364">
        <f>IF(ISBLANK('Data Entry'!$ę$364), "", 'Data Entry'!$ę$364)</f>
      </c>
      <c r="HJ364">
        <f>IF(ISBLANK('Data Entry'!$Ě$364), "", 'Data Entry'!$Ě$364)</f>
      </c>
      <c r="HK364">
        <f>IF(ISBLANK('Data Entry'!$ě$364), "", 'Data Entry'!$ě$364)</f>
      </c>
      <c r="HL364">
        <f>IF(ISBLANK('Data Entry'!$Ĝ$364), "", 'Data Entry'!$Ĝ$364)</f>
      </c>
      <c r="HM364">
        <f>IF(ISBLANK('Data Entry'!$ĝ$364), "", 'Data Entry'!$ĝ$364)</f>
      </c>
      <c r="HN364">
        <f>IF(ISBLANK('Data Entry'!$Ğ$364), "", 'Data Entry'!$Ğ$364)</f>
      </c>
      <c r="HO364">
        <f>IF(ISBLANK('Data Entry'!$ğ$364), "", 'Data Entry'!$ğ$364)</f>
      </c>
      <c r="HP364">
        <f>IF(ISBLANK('Data Entry'!$Ġ$364), "", 'Data Entry'!$Ġ$364)</f>
      </c>
      <c r="HQ364">
        <f>IF(ISBLANK('Data Entry'!$ġ$364), "", 'Data Entry'!$ġ$364)</f>
      </c>
      <c r="HR364">
        <f>IF(ISBLANK('Data Entry'!$Ģ$364), "", 'Data Entry'!$Ģ$364)</f>
      </c>
      <c r="HS364">
        <f>IF(ISBLANK('Data Entry'!$ģ$364), "", 'Data Entry'!$ģ$364)</f>
      </c>
      <c r="HT364">
        <f>IF(ISBLANK('Data Entry'!$Ĥ$364), "", 'Data Entry'!$Ĥ$364)</f>
      </c>
      <c r="HU364">
        <f>IF(ISBLANK('Data Entry'!$ĥ$364), "", 'Data Entry'!$ĥ$364)</f>
      </c>
      <c r="HV364">
        <f>IF(ISBLANK('Data Entry'!$Ħ$364), "", 'Data Entry'!$Ħ$364)</f>
      </c>
      <c r="HW364">
        <f>IF(ISBLANK('Data Entry'!$ħ$364), "", 'Data Entry'!$ħ$364)</f>
      </c>
      <c r="HX364">
        <f>IF(ISBLANK('Data Entry'!$Ĩ$364), "", 'Data Entry'!$Ĩ$364)</f>
      </c>
      <c r="HY364">
        <f>IF(ISBLANK('Data Entry'!$ĩ$364), "", 'Data Entry'!$ĩ$364)</f>
      </c>
      <c r="HZ364">
        <f>IF(ISBLANK('Data Entry'!$Ī$364), "", 'Data Entry'!$Ī$364)</f>
      </c>
      <c r="IA364">
        <f>IF(ISBLANK('Data Entry'!$ī$364), "", 'Data Entry'!$ī$364)</f>
      </c>
      <c r="IB364">
        <f>IF(ISBLANK('Data Entry'!$Ĭ$364), "", 'Data Entry'!$Ĭ$364)</f>
      </c>
      <c r="IC364">
        <f>IF(ISBLANK('Data Entry'!$ĭ$364), "", 'Data Entry'!$ĭ$364)</f>
      </c>
      <c r="ID364">
        <f>IF(ISBLANK('Data Entry'!$Į$364), "", 'Data Entry'!$Į$364)</f>
      </c>
      <c r="IE364">
        <f>IF(ISBLANK('Data Entry'!$į$364), "", 'Data Entry'!$į$364)</f>
      </c>
      <c r="IF364">
        <f>IF(ISBLANK('Data Entry'!$İ$364), "", 'Data Entry'!$İ$364)</f>
      </c>
      <c r="IG364">
        <f>IF(ISBLANK('Data Entry'!$ı$364), "", 'Data Entry'!$ı$364)</f>
      </c>
      <c r="IH364">
        <f>IF(ISBLANK('Data Entry'!$Ĳ$364), "", 'Data Entry'!$Ĳ$364)</f>
      </c>
      <c r="II364">
        <f>IF(ISBLANK('Data Entry'!$ĳ$364), "", 'Data Entry'!$ĳ$364)</f>
      </c>
      <c r="IJ364">
        <f>IF(ISBLANK('Data Entry'!$Ĵ$364), "", 'Data Entry'!$Ĵ$364)</f>
      </c>
      <c r="IK364">
        <f>IF(ISBLANK('Data Entry'!$ĵ$364), "", 'Data Entry'!$ĵ$364)</f>
      </c>
      <c r="IL364">
        <f>IF(ISBLANK('Data Entry'!$Ķ$364), "", 'Data Entry'!$Ķ$364)</f>
      </c>
      <c r="IM364">
        <f>IF(ISBLANK('Data Entry'!$ķ$364), "", 'Data Entry'!$ķ$364)</f>
      </c>
      <c r="IN364">
        <f>IF(ISBLANK('Data Entry'!$ĸ$364), "", 'Data Entry'!$ĸ$364)</f>
      </c>
      <c r="IO364">
        <f>IF(ISBLANK('Data Entry'!$Ĺ$364), "", 'Data Entry'!$Ĺ$364)</f>
      </c>
      <c r="IP364">
        <f>IF(ISBLANK('Data Entry'!$ĺ$364), "", 'Data Entry'!$ĺ$364)</f>
      </c>
      <c r="IQ364">
        <f>IF(ISBLANK('Data Entry'!$Ļ$364), "", 'Data Entry'!$Ļ$364)</f>
      </c>
      <c r="IR364">
        <f>IF(ISBLANK('Data Entry'!$ļ$364), "", 'Data Entry'!$ļ$364)</f>
      </c>
      <c r="IS364">
        <f>IF(ISBLANK('Data Entry'!$Ľ$364), "", 'Data Entry'!$Ľ$364)</f>
      </c>
      <c r="IT364">
        <f>IF(ISBLANK('Data Entry'!$ľ$364), "", 'Data Entry'!$ľ$364)</f>
      </c>
    </row>
    <row r="365" spans="1:254" x14ac:dyDescent="0.25">
      <c r="A365">
        <f>IF(ISBLANK('Data Entry'!$A$365), "", 'Data Entry'!$A$365)</f>
      </c>
      <c r="B365">
        <f>IF(ISBLANK('Data Entry'!$B$365), "", 'Data Entry'!$B$365)</f>
      </c>
      <c r="C365">
        <f>IF(ISBLANK('Data Entry'!$C$365), "", 'Data Entry'!$C$365)</f>
      </c>
      <c r="D365">
        <f>IF(ISBLANK('Data Entry'!$D$365), "", 'Data Entry'!$D$365)</f>
      </c>
      <c r="E365">
        <f>IF(ISBLANK('Data Entry'!$E$365), "", 'Data Entry'!$E$365)</f>
      </c>
      <c r="F365">
        <f>IF(ISBLANK('Data Entry'!$F$365), "", 'Data Entry'!$F$365)</f>
      </c>
      <c r="G365">
        <f>IF(ISBLANK('Data Entry'!$G$365), "", 'Data Entry'!$G$365)</f>
      </c>
      <c r="H365">
        <f>IF(ISBLANK('Data Entry'!$H$365), "", 'Data Entry'!$H$365)</f>
      </c>
      <c r="I365">
        <f>IF(ISBLANK('Data Entry'!$I$365), "", 'Data Entry'!$I$365)</f>
      </c>
      <c r="J365">
        <f>IF(ISBLANK('Data Entry'!$J$365), "", 'Data Entry'!$J$365)</f>
      </c>
      <c r="K365">
        <f>IF(ISBLANK('Data Entry'!$K$365), "", 'Data Entry'!$K$365)</f>
      </c>
      <c r="L365">
        <f>IF(ISBLANK('Data Entry'!$L$365), "", 'Data Entry'!$L$365)</f>
      </c>
      <c r="M365">
        <f>IF(ISBLANK('Data Entry'!$M$365), "", 'Data Entry'!$M$365)</f>
      </c>
      <c r="N365">
        <f>IF(ISBLANK('Data Entry'!$N$365), "", 'Data Entry'!$N$365)</f>
      </c>
      <c r="O365">
        <f>IF(ISBLANK('Data Entry'!$O$365), "", 'Data Entry'!$O$365)</f>
      </c>
      <c r="P365">
        <f>IF(ISBLANK('Data Entry'!$P$365), "", 'Data Entry'!$P$365)</f>
      </c>
      <c r="Q365">
        <f>IF(ISBLANK('Data Entry'!$Q$365), "", 'Data Entry'!$Q$365)</f>
      </c>
      <c r="R365">
        <f>IF(ISBLANK('Data Entry'!$R$365), "", 'Data Entry'!$R$365)</f>
      </c>
      <c r="S365">
        <f>IF(ISBLANK('Data Entry'!$S$365), "", 'Data Entry'!$S$365)</f>
      </c>
      <c r="T365">
        <f>IF(ISBLANK('Data Entry'!$T$365), "", 'Data Entry'!$T$365)</f>
      </c>
      <c r="U365">
        <f>IF(ISBLANK('Data Entry'!$U$365), "", 'Data Entry'!$U$365)</f>
      </c>
      <c r="V365">
        <f>IF(ISBLANK('Data Entry'!$V$365), "", 'Data Entry'!$V$365)</f>
      </c>
      <c r="W365">
        <f>IF(ISBLANK('Data Entry'!$W$365), "", 'Data Entry'!$W$365)</f>
      </c>
      <c r="X365">
        <f>IF(ISBLANK('Data Entry'!$X$365), "", 'Data Entry'!$X$365)</f>
      </c>
      <c r="Y365">
        <f>IF(ISBLANK('Data Entry'!$Y$365), "", 'Data Entry'!$Y$365)</f>
      </c>
      <c r="Z365">
        <f>IF(ISBLANK('Data Entry'!$Z$365), "", 'Data Entry'!$Z$365)</f>
      </c>
      <c r="AA365">
        <f>IF(ISBLANK('Data Entry'!$[$365), "", 'Data Entry'!$[$365)</f>
      </c>
      <c r="AB365">
        <f>IF(ISBLANK('Data Entry'!$\$365), "", 'Data Entry'!$\$365)</f>
      </c>
      <c r="AC365">
        <f>IF(ISBLANK('Data Entry'!$]$365), "", 'Data Entry'!$]$365)</f>
      </c>
      <c r="AD365">
        <f>IF(ISBLANK('Data Entry'!$^$365), "", 'Data Entry'!$^$365)</f>
      </c>
      <c r="AE365">
        <f>IF(ISBLANK('Data Entry'!$_$365), "", 'Data Entry'!$_$365)</f>
      </c>
      <c r="AF365">
        <f>IF(ISBLANK('Data Entry'!$`$365), "", 'Data Entry'!$`$365)</f>
      </c>
      <c r="AG365">
        <f>IF(ISBLANK('Data Entry'!$a$365), "", 'Data Entry'!$a$365)</f>
      </c>
      <c r="AH365">
        <f>IF(ISBLANK('Data Entry'!$b$365), "", 'Data Entry'!$b$365)</f>
      </c>
      <c r="AI365">
        <f>IF(ISBLANK('Data Entry'!$c$365), "", 'Data Entry'!$c$365)</f>
      </c>
      <c r="AJ365">
        <f>IF(ISBLANK('Data Entry'!$d$365), "", 'Data Entry'!$d$365)</f>
      </c>
      <c r="AK365">
        <f>IF(ISBLANK('Data Entry'!$e$365), "", 'Data Entry'!$e$365)</f>
      </c>
      <c r="AL365">
        <f>IF(ISBLANK('Data Entry'!$f$365), "", 'Data Entry'!$f$365)</f>
      </c>
      <c r="AM365">
        <f>IF(ISBLANK('Data Entry'!$g$365), "", 'Data Entry'!$g$365)</f>
      </c>
      <c r="AN365">
        <f>IF(ISBLANK('Data Entry'!$h$365), "", 'Data Entry'!$h$365)</f>
      </c>
      <c r="AO365">
        <f>IF(ISBLANK('Data Entry'!$i$365), "", 'Data Entry'!$i$365)</f>
      </c>
      <c r="AP365">
        <f>IF(ISBLANK('Data Entry'!$j$365), "", 'Data Entry'!$j$365)</f>
      </c>
      <c r="AQ365">
        <f>IF(ISBLANK('Data Entry'!$k$365), "", 'Data Entry'!$k$365)</f>
      </c>
      <c r="AR365">
        <f>IF(ISBLANK('Data Entry'!$l$365), "", 'Data Entry'!$l$365)</f>
      </c>
      <c r="AS365">
        <f>IF(ISBLANK('Data Entry'!$m$365), "", 'Data Entry'!$m$365)</f>
      </c>
      <c r="AT365">
        <f>IF(ISBLANK('Data Entry'!$n$365), "", 'Data Entry'!$n$365)</f>
      </c>
      <c r="AU365">
        <f>IF(ISBLANK('Data Entry'!$o$365), "", 'Data Entry'!$o$365)</f>
      </c>
      <c r="AV365">
        <f>IF(ISBLANK('Data Entry'!$p$365), "", 'Data Entry'!$p$365)</f>
      </c>
      <c r="AW365">
        <f>IF(ISBLANK('Data Entry'!$q$365), "", 'Data Entry'!$q$365)</f>
      </c>
      <c r="AX365">
        <f>IF(ISBLANK('Data Entry'!$r$365), "", 'Data Entry'!$r$365)</f>
      </c>
      <c r="AY365">
        <f>IF(ISBLANK('Data Entry'!$s$365), "", 'Data Entry'!$s$365)</f>
      </c>
      <c r="AZ365">
        <f>IF(ISBLANK('Data Entry'!$t$365), "", 'Data Entry'!$t$365)</f>
      </c>
      <c r="BA365">
        <f>IF(ISBLANK('Data Entry'!$u$365), "", 'Data Entry'!$u$365)</f>
      </c>
      <c r="BB365">
        <f>IF(ISBLANK('Data Entry'!$v$365), "", 'Data Entry'!$v$365)</f>
      </c>
      <c r="BC365">
        <f>IF(ISBLANK('Data Entry'!$w$365), "", 'Data Entry'!$w$365)</f>
      </c>
      <c r="BD365">
        <f>IF(ISBLANK('Data Entry'!$x$365), "", 'Data Entry'!$x$365)</f>
      </c>
      <c r="BE365">
        <f>IF(ISBLANK('Data Entry'!$y$365), "", 'Data Entry'!$y$365)</f>
      </c>
      <c r="BF365">
        <f>IF(ISBLANK('Data Entry'!$z$365), "", 'Data Entry'!$z$365)</f>
      </c>
      <c r="BG365">
        <f>IF(ISBLANK('Data Entry'!${$365), "", 'Data Entry'!${$365)</f>
      </c>
      <c r="BH365">
        <f>IF(ISBLANK('Data Entry'!$|$365), "", 'Data Entry'!$|$365)</f>
      </c>
      <c r="BI365">
        <f>IF(ISBLANK('Data Entry'!$}$365), "", 'Data Entry'!$}$365)</f>
      </c>
      <c r="BJ365">
        <f>IF(ISBLANK('Data Entry'!$~$365), "", 'Data Entry'!$~$365)</f>
      </c>
      <c r="BK365">
        <f>IF(ISBLANK('Data Entry'!$$365), "", 'Data Entry'!$$365)</f>
      </c>
      <c r="BL365">
        <f>IF(ISBLANK('Data Entry'!$$365), "", 'Data Entry'!$$365)</f>
      </c>
      <c r="BM365">
        <f>IF(ISBLANK('Data Entry'!$$365), "", 'Data Entry'!$$365)</f>
      </c>
      <c r="BN365">
        <f>IF(ISBLANK('Data Entry'!$$365), "", 'Data Entry'!$$365)</f>
      </c>
      <c r="BO365">
        <f>IF(ISBLANK('Data Entry'!$$365), "", 'Data Entry'!$$365)</f>
      </c>
      <c r="BP365">
        <f>IF(ISBLANK('Data Entry'!$$365), "", 'Data Entry'!$$365)</f>
      </c>
      <c r="BQ365">
        <f>IF(ISBLANK('Data Entry'!$$365), "", 'Data Entry'!$$365)</f>
      </c>
      <c r="BR365">
        <f>IF(ISBLANK('Data Entry'!$$365), "", 'Data Entry'!$$365)</f>
      </c>
      <c r="BS365">
        <f>IF(ISBLANK('Data Entry'!$$365), "", 'Data Entry'!$$365)</f>
      </c>
      <c r="BT365">
        <f>IF(ISBLANK('Data Entry'!$$365), "", 'Data Entry'!$$365)</f>
      </c>
      <c r="BU365">
        <f>IF(ISBLANK('Data Entry'!$$365), "", 'Data Entry'!$$365)</f>
      </c>
      <c r="BV365">
        <f>IF(ISBLANK('Data Entry'!$$365), "", 'Data Entry'!$$365)</f>
      </c>
      <c r="BW365">
        <f>IF(ISBLANK('Data Entry'!$$365), "", 'Data Entry'!$$365)</f>
      </c>
      <c r="BX365">
        <f>IF(ISBLANK('Data Entry'!$$365), "", 'Data Entry'!$$365)</f>
      </c>
      <c r="BY365">
        <f>IF(ISBLANK('Data Entry'!$$365), "", 'Data Entry'!$$365)</f>
      </c>
      <c r="BZ365">
        <f>IF(ISBLANK('Data Entry'!$$365), "", 'Data Entry'!$$365)</f>
      </c>
      <c r="CA365">
        <f>IF(ISBLANK('Data Entry'!$$365), "", 'Data Entry'!$$365)</f>
      </c>
      <c r="CB365">
        <f>IF(ISBLANK('Data Entry'!$$365), "", 'Data Entry'!$$365)</f>
      </c>
      <c r="CC365">
        <f>IF(ISBLANK('Data Entry'!$$365), "", 'Data Entry'!$$365)</f>
      </c>
      <c r="CD365">
        <f>IF(ISBLANK('Data Entry'!$$365), "", 'Data Entry'!$$365)</f>
      </c>
      <c r="CE365">
        <f>IF(ISBLANK('Data Entry'!$$365), "", 'Data Entry'!$$365)</f>
      </c>
      <c r="CF365">
        <f>IF(ISBLANK('Data Entry'!$$365), "", 'Data Entry'!$$365)</f>
      </c>
      <c r="CG365">
        <f>IF(ISBLANK('Data Entry'!$$365), "", 'Data Entry'!$$365)</f>
      </c>
      <c r="CH365">
        <f>IF(ISBLANK('Data Entry'!$$365), "", 'Data Entry'!$$365)</f>
      </c>
      <c r="CI365">
        <f>IF(ISBLANK('Data Entry'!$$365), "", 'Data Entry'!$$365)</f>
      </c>
      <c r="CJ365">
        <f>IF(ISBLANK('Data Entry'!$$365), "", 'Data Entry'!$$365)</f>
      </c>
      <c r="CK365">
        <f>IF(ISBLANK('Data Entry'!$$365), "", 'Data Entry'!$$365)</f>
      </c>
      <c r="CL365">
        <f>IF(ISBLANK('Data Entry'!$$365), "", 'Data Entry'!$$365)</f>
      </c>
      <c r="CM365">
        <f>IF(ISBLANK('Data Entry'!$$365), "", 'Data Entry'!$$365)</f>
      </c>
      <c r="CN365">
        <f>IF(ISBLANK('Data Entry'!$$365), "", 'Data Entry'!$$365)</f>
      </c>
      <c r="CO365">
        <f>IF(ISBLANK('Data Entry'!$$365), "", 'Data Entry'!$$365)</f>
      </c>
      <c r="CP365">
        <f>IF(ISBLANK('Data Entry'!$$365), "", 'Data Entry'!$$365)</f>
      </c>
      <c r="CQ365">
        <f>IF(ISBLANK('Data Entry'!$$365), "", 'Data Entry'!$$365)</f>
      </c>
      <c r="CR365">
        <f>IF(ISBLANK('Data Entry'!$ $365), "", 'Data Entry'!$ $365)</f>
      </c>
      <c r="CS365">
        <f>IF(ISBLANK('Data Entry'!$¡$365), "", 'Data Entry'!$¡$365)</f>
      </c>
      <c r="CT365">
        <f>IF(ISBLANK('Data Entry'!$¢$365), "", 'Data Entry'!$¢$365)</f>
      </c>
      <c r="CU365">
        <f>IF(ISBLANK('Data Entry'!$£$365), "", 'Data Entry'!$£$365)</f>
      </c>
      <c r="CV365">
        <f>IF(ISBLANK('Data Entry'!$¤$365), "", 'Data Entry'!$¤$365)</f>
      </c>
      <c r="CW365">
        <f>IF(ISBLANK('Data Entry'!$¥$365), "", 'Data Entry'!$¥$365)</f>
      </c>
      <c r="CX365">
        <f>IF(ISBLANK('Data Entry'!$¦$365), "", 'Data Entry'!$¦$365)</f>
      </c>
      <c r="CY365">
        <f>IF(ISBLANK('Data Entry'!$§$365), "", 'Data Entry'!$§$365)</f>
      </c>
      <c r="CZ365">
        <f>IF(ISBLANK('Data Entry'!$¨$365), "", 'Data Entry'!$¨$365)</f>
      </c>
      <c r="DA365">
        <f>IF(ISBLANK('Data Entry'!$©$365), "", 'Data Entry'!$©$365)</f>
      </c>
      <c r="DB365">
        <f>IF(ISBLANK('Data Entry'!$ª$365), "", 'Data Entry'!$ª$365)</f>
      </c>
      <c r="DC365">
        <f>IF(ISBLANK('Data Entry'!$«$365), "", 'Data Entry'!$«$365)</f>
      </c>
      <c r="DD365">
        <f>IF(ISBLANK('Data Entry'!$¬$365), "", 'Data Entry'!$¬$365)</f>
      </c>
      <c r="DE365">
        <f>IF(ISBLANK('Data Entry'!$­$365), "", 'Data Entry'!$­$365)</f>
      </c>
      <c r="DF365">
        <f>IF(ISBLANK('Data Entry'!$®$365), "", 'Data Entry'!$®$365)</f>
      </c>
      <c r="DG365">
        <f>IF(ISBLANK('Data Entry'!$¯$365), "", 'Data Entry'!$¯$365)</f>
      </c>
      <c r="DH365">
        <f>IF(ISBLANK('Data Entry'!$°$365), "", 'Data Entry'!$°$365)</f>
      </c>
      <c r="DI365">
        <f>IF(ISBLANK('Data Entry'!$±$365), "", 'Data Entry'!$±$365)</f>
      </c>
      <c r="DJ365">
        <f>IF(ISBLANK('Data Entry'!$²$365), "", 'Data Entry'!$²$365)</f>
      </c>
      <c r="DK365">
        <f>IF(ISBLANK('Data Entry'!$³$365), "", 'Data Entry'!$³$365)</f>
      </c>
      <c r="DL365">
        <f>IF(ISBLANK('Data Entry'!$´$365), "", 'Data Entry'!$´$365)</f>
      </c>
      <c r="DM365">
        <f>IF(ISBLANK('Data Entry'!$µ$365), "", 'Data Entry'!$µ$365)</f>
      </c>
      <c r="DN365">
        <f>IF(ISBLANK('Data Entry'!$¶$365), "", 'Data Entry'!$¶$365)</f>
      </c>
      <c r="DO365">
        <f>IF(ISBLANK('Data Entry'!$·$365), "", 'Data Entry'!$·$365)</f>
      </c>
      <c r="DP365">
        <f>IF(ISBLANK('Data Entry'!$¸$365), "", 'Data Entry'!$¸$365)</f>
      </c>
      <c r="DQ365">
        <f>IF(ISBLANK('Data Entry'!$¹$365), "", 'Data Entry'!$¹$365)</f>
      </c>
      <c r="DR365">
        <f>IF(ISBLANK('Data Entry'!$º$365), "", 'Data Entry'!$º$365)</f>
      </c>
      <c r="DS365">
        <f>IF(ISBLANK('Data Entry'!$»$365), "", 'Data Entry'!$»$365)</f>
      </c>
      <c r="DT365">
        <f>IF(ISBLANK('Data Entry'!$¼$365), "", 'Data Entry'!$¼$365)</f>
      </c>
      <c r="DU365">
        <f>IF(ISBLANK('Data Entry'!$½$365), "", 'Data Entry'!$½$365)</f>
      </c>
      <c r="DV365">
        <f>IF(ISBLANK('Data Entry'!$¾$365), "", 'Data Entry'!$¾$365)</f>
      </c>
      <c r="DW365">
        <f>IF(ISBLANK('Data Entry'!$¿$365), "", 'Data Entry'!$¿$365)</f>
      </c>
      <c r="DX365">
        <f>IF(ISBLANK('Data Entry'!$À$365), "", 'Data Entry'!$À$365)</f>
      </c>
      <c r="DY365">
        <f>IF(ISBLANK('Data Entry'!$Á$365), "", 'Data Entry'!$Á$365)</f>
      </c>
      <c r="DZ365">
        <f>IF(ISBLANK('Data Entry'!$Â$365), "", 'Data Entry'!$Â$365)</f>
      </c>
      <c r="EA365">
        <f>IF(ISBLANK('Data Entry'!$Ã$365), "", 'Data Entry'!$Ã$365)</f>
      </c>
      <c r="EB365">
        <f>IF(ISBLANK('Data Entry'!$Ä$365), "", 'Data Entry'!$Ä$365)</f>
      </c>
      <c r="EC365">
        <f>IF(ISBLANK('Data Entry'!$Å$365), "", 'Data Entry'!$Å$365)</f>
      </c>
      <c r="ED365">
        <f>IF(ISBLANK('Data Entry'!$Æ$365), "", 'Data Entry'!$Æ$365)</f>
      </c>
      <c r="EE365">
        <f>IF(ISBLANK('Data Entry'!$Ç$365), "", 'Data Entry'!$Ç$365)</f>
      </c>
      <c r="EF365">
        <f>IF(ISBLANK('Data Entry'!$È$365), "", 'Data Entry'!$È$365)</f>
      </c>
      <c r="EG365">
        <f>IF(ISBLANK('Data Entry'!$É$365), "", 'Data Entry'!$É$365)</f>
      </c>
      <c r="EH365">
        <f>IF(ISBLANK('Data Entry'!$Ê$365), "", 'Data Entry'!$Ê$365)</f>
      </c>
      <c r="EI365">
        <f>IF(ISBLANK('Data Entry'!$Ë$365), "", 'Data Entry'!$Ë$365)</f>
      </c>
      <c r="EJ365">
        <f>IF(ISBLANK('Data Entry'!$Ì$365), "", 'Data Entry'!$Ì$365)</f>
      </c>
      <c r="EK365">
        <f>IF(ISBLANK('Data Entry'!$Í$365), "", 'Data Entry'!$Í$365)</f>
      </c>
      <c r="EL365">
        <f>IF(ISBLANK('Data Entry'!$Î$365), "", 'Data Entry'!$Î$365)</f>
      </c>
      <c r="EM365">
        <f>IF(ISBLANK('Data Entry'!$Ï$365), "", 'Data Entry'!$Ï$365)</f>
      </c>
      <c r="EN365">
        <f>IF(ISBLANK('Data Entry'!$Ð$365), "", 'Data Entry'!$Ð$365)</f>
      </c>
      <c r="EO365">
        <f>IF(ISBLANK('Data Entry'!$Ñ$365), "", 'Data Entry'!$Ñ$365)</f>
      </c>
      <c r="EP365">
        <f>IF(ISBLANK('Data Entry'!$Ò$365), "", 'Data Entry'!$Ò$365)</f>
      </c>
      <c r="EQ365">
        <f>IF(ISBLANK('Data Entry'!$Ó$365), "", 'Data Entry'!$Ó$365)</f>
      </c>
      <c r="ER365">
        <f>IF(ISBLANK('Data Entry'!$Ô$365), "", 'Data Entry'!$Ô$365)</f>
      </c>
      <c r="ES365">
        <f>IF(ISBLANK('Data Entry'!$Õ$365), "", 'Data Entry'!$Õ$365)</f>
      </c>
      <c r="ET365">
        <f>IF(ISBLANK('Data Entry'!$Ö$365), "", 'Data Entry'!$Ö$365)</f>
      </c>
      <c r="EU365">
        <f>IF(ISBLANK('Data Entry'!$×$365), "", 'Data Entry'!$×$365)</f>
      </c>
      <c r="EV365">
        <f>IF(ISBLANK('Data Entry'!$Ø$365), "", 'Data Entry'!$Ø$365)</f>
      </c>
      <c r="EW365">
        <f>IF(ISBLANK('Data Entry'!$Ù$365), "", 'Data Entry'!$Ù$365)</f>
      </c>
      <c r="EX365">
        <f>IF(ISBLANK('Data Entry'!$Ú$365), "", 'Data Entry'!$Ú$365)</f>
      </c>
      <c r="EY365">
        <f>IF(ISBLANK('Data Entry'!$Û$365), "", 'Data Entry'!$Û$365)</f>
      </c>
      <c r="EZ365">
        <f>IF(ISBLANK('Data Entry'!$Ü$365), "", 'Data Entry'!$Ü$365)</f>
      </c>
      <c r="FA365">
        <f>IF(ISBLANK('Data Entry'!$Ý$365), "", 'Data Entry'!$Ý$365)</f>
      </c>
      <c r="FB365">
        <f>IF(ISBLANK('Data Entry'!$Þ$365), "", 'Data Entry'!$Þ$365)</f>
      </c>
      <c r="FC365">
        <f>IF(ISBLANK('Data Entry'!$ß$365), "", 'Data Entry'!$ß$365)</f>
      </c>
      <c r="FD365">
        <f>IF(ISBLANK('Data Entry'!$à$365), "", 'Data Entry'!$à$365)</f>
      </c>
      <c r="FE365">
        <f>IF(ISBLANK('Data Entry'!$á$365), "", 'Data Entry'!$á$365)</f>
      </c>
      <c r="FF365">
        <f>IF(ISBLANK('Data Entry'!$â$365), "", 'Data Entry'!$â$365)</f>
      </c>
      <c r="FG365">
        <f>IF(ISBLANK('Data Entry'!$ã$365), "", 'Data Entry'!$ã$365)</f>
      </c>
      <c r="FH365">
        <f>IF(ISBLANK('Data Entry'!$ä$365), "", 'Data Entry'!$ä$365)</f>
      </c>
      <c r="FI365">
        <f>IF(ISBLANK('Data Entry'!$å$365), "", 'Data Entry'!$å$365)</f>
      </c>
      <c r="FJ365">
        <f>IF(ISBLANK('Data Entry'!$æ$365), "", 'Data Entry'!$æ$365)</f>
      </c>
      <c r="FK365">
        <f>IF(ISBLANK('Data Entry'!$ç$365), "", 'Data Entry'!$ç$365)</f>
      </c>
      <c r="FL365">
        <f>IF(ISBLANK('Data Entry'!$è$365), "", 'Data Entry'!$è$365)</f>
      </c>
      <c r="FM365">
        <f>IF(ISBLANK('Data Entry'!$é$365), "", 'Data Entry'!$é$365)</f>
      </c>
      <c r="FN365">
        <f>IF(ISBLANK('Data Entry'!$ê$365), "", 'Data Entry'!$ê$365)</f>
      </c>
      <c r="FO365">
        <f>IF(ISBLANK('Data Entry'!$ë$365), "", 'Data Entry'!$ë$365)</f>
      </c>
      <c r="FP365">
        <f>IF(ISBLANK('Data Entry'!$ì$365), "", 'Data Entry'!$ì$365)</f>
      </c>
      <c r="FQ365">
        <f>IF(ISBLANK('Data Entry'!$í$365), "", 'Data Entry'!$í$365)</f>
      </c>
      <c r="FR365">
        <f>IF(ISBLANK('Data Entry'!$î$365), "", 'Data Entry'!$î$365)</f>
      </c>
      <c r="FS365">
        <f>IF(ISBLANK('Data Entry'!$ï$365), "", 'Data Entry'!$ï$365)</f>
      </c>
      <c r="FT365">
        <f>IF(ISBLANK('Data Entry'!$ð$365), "", 'Data Entry'!$ð$365)</f>
      </c>
      <c r="FU365">
        <f>IF(ISBLANK('Data Entry'!$ñ$365), "", 'Data Entry'!$ñ$365)</f>
      </c>
      <c r="FV365">
        <f>IF(ISBLANK('Data Entry'!$ò$365), "", 'Data Entry'!$ò$365)</f>
      </c>
      <c r="FW365">
        <f>IF(ISBLANK('Data Entry'!$ó$365), "", 'Data Entry'!$ó$365)</f>
      </c>
      <c r="FX365">
        <f>IF(ISBLANK('Data Entry'!$ô$365), "", 'Data Entry'!$ô$365)</f>
      </c>
      <c r="FY365">
        <f>IF(ISBLANK('Data Entry'!$õ$365), "", 'Data Entry'!$õ$365)</f>
      </c>
      <c r="FZ365">
        <f>IF(ISBLANK('Data Entry'!$ö$365), "", 'Data Entry'!$ö$365)</f>
      </c>
      <c r="GA365">
        <f>IF(ISBLANK('Data Entry'!$÷$365), "", 'Data Entry'!$÷$365)</f>
      </c>
      <c r="GB365">
        <f>IF(ISBLANK('Data Entry'!$ø$365), "", 'Data Entry'!$ø$365)</f>
      </c>
      <c r="GC365">
        <f>IF(ISBLANK('Data Entry'!$ù$365), "", 'Data Entry'!$ù$365)</f>
      </c>
      <c r="GD365">
        <f>IF(ISBLANK('Data Entry'!$ú$365), "", 'Data Entry'!$ú$365)</f>
      </c>
      <c r="GE365">
        <f>IF(ISBLANK('Data Entry'!$û$365), "", 'Data Entry'!$û$365)</f>
      </c>
      <c r="GF365">
        <f>IF(ISBLANK('Data Entry'!$ü$365), "", 'Data Entry'!$ü$365)</f>
      </c>
      <c r="GG365">
        <f>IF(ISBLANK('Data Entry'!$ý$365), "", 'Data Entry'!$ý$365)</f>
      </c>
      <c r="GH365">
        <f>IF(ISBLANK('Data Entry'!$þ$365), "", 'Data Entry'!$þ$365)</f>
      </c>
      <c r="GI365">
        <f>IF(ISBLANK('Data Entry'!$ÿ$365), "", 'Data Entry'!$ÿ$365)</f>
      </c>
      <c r="GJ365">
        <f>IF(ISBLANK('Data Entry'!$Ā$365), "", 'Data Entry'!$Ā$365)</f>
      </c>
      <c r="GK365">
        <f>IF(ISBLANK('Data Entry'!$ā$365), "", 'Data Entry'!$ā$365)</f>
      </c>
      <c r="GL365">
        <f>IF(ISBLANK('Data Entry'!$Ă$365), "", 'Data Entry'!$Ă$365)</f>
      </c>
      <c r="GM365">
        <f>IF(ISBLANK('Data Entry'!$ă$365), "", 'Data Entry'!$ă$365)</f>
      </c>
      <c r="GN365">
        <f>IF(ISBLANK('Data Entry'!$Ą$365), "", 'Data Entry'!$Ą$365)</f>
      </c>
      <c r="GO365">
        <f>IF(ISBLANK('Data Entry'!$ą$365), "", 'Data Entry'!$ą$365)</f>
      </c>
      <c r="GP365">
        <f>IF(ISBLANK('Data Entry'!$Ć$365), "", 'Data Entry'!$Ć$365)</f>
      </c>
      <c r="GQ365">
        <f>IF(ISBLANK('Data Entry'!$ć$365), "", 'Data Entry'!$ć$365)</f>
      </c>
      <c r="GR365">
        <f>IF(ISBLANK('Data Entry'!$Ĉ$365), "", 'Data Entry'!$Ĉ$365)</f>
      </c>
      <c r="GS365">
        <f>IF(ISBLANK('Data Entry'!$ĉ$365), "", 'Data Entry'!$ĉ$365)</f>
      </c>
      <c r="GT365">
        <f>IF(ISBLANK('Data Entry'!$Ċ$365), "", 'Data Entry'!$Ċ$365)</f>
      </c>
      <c r="GU365">
        <f>IF(ISBLANK('Data Entry'!$ċ$365), "", 'Data Entry'!$ċ$365)</f>
      </c>
      <c r="GV365">
        <f>IF(ISBLANK('Data Entry'!$Č$365), "", 'Data Entry'!$Č$365)</f>
      </c>
      <c r="GW365">
        <f>IF(ISBLANK('Data Entry'!$č$365), "", 'Data Entry'!$č$365)</f>
      </c>
      <c r="GX365">
        <f>IF(ISBLANK('Data Entry'!$Ď$365), "", 'Data Entry'!$Ď$365)</f>
      </c>
      <c r="GY365">
        <f>IF(ISBLANK('Data Entry'!$ď$365), "", 'Data Entry'!$ď$365)</f>
      </c>
      <c r="GZ365">
        <f>IF(ISBLANK('Data Entry'!$Đ$365), "", 'Data Entry'!$Đ$365)</f>
      </c>
      <c r="HA365">
        <f>IF(ISBLANK('Data Entry'!$đ$365), "", 'Data Entry'!$đ$365)</f>
      </c>
      <c r="HB365">
        <f>IF(ISBLANK('Data Entry'!$Ē$365), "", 'Data Entry'!$Ē$365)</f>
      </c>
      <c r="HC365">
        <f>IF(ISBLANK('Data Entry'!$ē$365), "", 'Data Entry'!$ē$365)</f>
      </c>
      <c r="HD365">
        <f>IF(ISBLANK('Data Entry'!$Ĕ$365), "", 'Data Entry'!$Ĕ$365)</f>
      </c>
      <c r="HE365">
        <f>IF(ISBLANK('Data Entry'!$ĕ$365), "", 'Data Entry'!$ĕ$365)</f>
      </c>
      <c r="HF365">
        <f>IF(ISBLANK('Data Entry'!$Ė$365), "", 'Data Entry'!$Ė$365)</f>
      </c>
      <c r="HG365">
        <f>IF(ISBLANK('Data Entry'!$ė$365), "", 'Data Entry'!$ė$365)</f>
      </c>
      <c r="HH365">
        <f>IF(ISBLANK('Data Entry'!$Ę$365), "", 'Data Entry'!$Ę$365)</f>
      </c>
      <c r="HI365">
        <f>IF(ISBLANK('Data Entry'!$ę$365), "", 'Data Entry'!$ę$365)</f>
      </c>
      <c r="HJ365">
        <f>IF(ISBLANK('Data Entry'!$Ě$365), "", 'Data Entry'!$Ě$365)</f>
      </c>
      <c r="HK365">
        <f>IF(ISBLANK('Data Entry'!$ě$365), "", 'Data Entry'!$ě$365)</f>
      </c>
      <c r="HL365">
        <f>IF(ISBLANK('Data Entry'!$Ĝ$365), "", 'Data Entry'!$Ĝ$365)</f>
      </c>
      <c r="HM365">
        <f>IF(ISBLANK('Data Entry'!$ĝ$365), "", 'Data Entry'!$ĝ$365)</f>
      </c>
      <c r="HN365">
        <f>IF(ISBLANK('Data Entry'!$Ğ$365), "", 'Data Entry'!$Ğ$365)</f>
      </c>
      <c r="HO365">
        <f>IF(ISBLANK('Data Entry'!$ğ$365), "", 'Data Entry'!$ğ$365)</f>
      </c>
      <c r="HP365">
        <f>IF(ISBLANK('Data Entry'!$Ġ$365), "", 'Data Entry'!$Ġ$365)</f>
      </c>
      <c r="HQ365">
        <f>IF(ISBLANK('Data Entry'!$ġ$365), "", 'Data Entry'!$ġ$365)</f>
      </c>
      <c r="HR365">
        <f>IF(ISBLANK('Data Entry'!$Ģ$365), "", 'Data Entry'!$Ģ$365)</f>
      </c>
      <c r="HS365">
        <f>IF(ISBLANK('Data Entry'!$ģ$365), "", 'Data Entry'!$ģ$365)</f>
      </c>
      <c r="HT365">
        <f>IF(ISBLANK('Data Entry'!$Ĥ$365), "", 'Data Entry'!$Ĥ$365)</f>
      </c>
      <c r="HU365">
        <f>IF(ISBLANK('Data Entry'!$ĥ$365), "", 'Data Entry'!$ĥ$365)</f>
      </c>
      <c r="HV365">
        <f>IF(ISBLANK('Data Entry'!$Ħ$365), "", 'Data Entry'!$Ħ$365)</f>
      </c>
      <c r="HW365">
        <f>IF(ISBLANK('Data Entry'!$ħ$365), "", 'Data Entry'!$ħ$365)</f>
      </c>
      <c r="HX365">
        <f>IF(ISBLANK('Data Entry'!$Ĩ$365), "", 'Data Entry'!$Ĩ$365)</f>
      </c>
      <c r="HY365">
        <f>IF(ISBLANK('Data Entry'!$ĩ$365), "", 'Data Entry'!$ĩ$365)</f>
      </c>
      <c r="HZ365">
        <f>IF(ISBLANK('Data Entry'!$Ī$365), "", 'Data Entry'!$Ī$365)</f>
      </c>
      <c r="IA365">
        <f>IF(ISBLANK('Data Entry'!$ī$365), "", 'Data Entry'!$ī$365)</f>
      </c>
      <c r="IB365">
        <f>IF(ISBLANK('Data Entry'!$Ĭ$365), "", 'Data Entry'!$Ĭ$365)</f>
      </c>
      <c r="IC365">
        <f>IF(ISBLANK('Data Entry'!$ĭ$365), "", 'Data Entry'!$ĭ$365)</f>
      </c>
      <c r="ID365">
        <f>IF(ISBLANK('Data Entry'!$Į$365), "", 'Data Entry'!$Į$365)</f>
      </c>
      <c r="IE365">
        <f>IF(ISBLANK('Data Entry'!$į$365), "", 'Data Entry'!$į$365)</f>
      </c>
      <c r="IF365">
        <f>IF(ISBLANK('Data Entry'!$İ$365), "", 'Data Entry'!$İ$365)</f>
      </c>
      <c r="IG365">
        <f>IF(ISBLANK('Data Entry'!$ı$365), "", 'Data Entry'!$ı$365)</f>
      </c>
      <c r="IH365">
        <f>IF(ISBLANK('Data Entry'!$Ĳ$365), "", 'Data Entry'!$Ĳ$365)</f>
      </c>
      <c r="II365">
        <f>IF(ISBLANK('Data Entry'!$ĳ$365), "", 'Data Entry'!$ĳ$365)</f>
      </c>
      <c r="IJ365">
        <f>IF(ISBLANK('Data Entry'!$Ĵ$365), "", 'Data Entry'!$Ĵ$365)</f>
      </c>
      <c r="IK365">
        <f>IF(ISBLANK('Data Entry'!$ĵ$365), "", 'Data Entry'!$ĵ$365)</f>
      </c>
      <c r="IL365">
        <f>IF(ISBLANK('Data Entry'!$Ķ$365), "", 'Data Entry'!$Ķ$365)</f>
      </c>
      <c r="IM365">
        <f>IF(ISBLANK('Data Entry'!$ķ$365), "", 'Data Entry'!$ķ$365)</f>
      </c>
      <c r="IN365">
        <f>IF(ISBLANK('Data Entry'!$ĸ$365), "", 'Data Entry'!$ĸ$365)</f>
      </c>
      <c r="IO365">
        <f>IF(ISBLANK('Data Entry'!$Ĺ$365), "", 'Data Entry'!$Ĺ$365)</f>
      </c>
      <c r="IP365">
        <f>IF(ISBLANK('Data Entry'!$ĺ$365), "", 'Data Entry'!$ĺ$365)</f>
      </c>
      <c r="IQ365">
        <f>IF(ISBLANK('Data Entry'!$Ļ$365), "", 'Data Entry'!$Ļ$365)</f>
      </c>
      <c r="IR365">
        <f>IF(ISBLANK('Data Entry'!$ļ$365), "", 'Data Entry'!$ļ$365)</f>
      </c>
      <c r="IS365">
        <f>IF(ISBLANK('Data Entry'!$Ľ$365), "", 'Data Entry'!$Ľ$365)</f>
      </c>
      <c r="IT365">
        <f>IF(ISBLANK('Data Entry'!$ľ$365), "", 'Data Entry'!$ľ$365)</f>
      </c>
    </row>
    <row r="366" spans="1:254" x14ac:dyDescent="0.25">
      <c r="A366">
        <f>IF(ISBLANK('Data Entry'!$A$366), "", 'Data Entry'!$A$366)</f>
      </c>
      <c r="B366">
        <f>IF(ISBLANK('Data Entry'!$B$366), "", 'Data Entry'!$B$366)</f>
      </c>
      <c r="C366">
        <f>IF(ISBLANK('Data Entry'!$C$366), "", 'Data Entry'!$C$366)</f>
      </c>
      <c r="D366">
        <f>IF(ISBLANK('Data Entry'!$D$366), "", 'Data Entry'!$D$366)</f>
      </c>
      <c r="E366">
        <f>IF(ISBLANK('Data Entry'!$E$366), "", 'Data Entry'!$E$366)</f>
      </c>
      <c r="F366">
        <f>IF(ISBLANK('Data Entry'!$F$366), "", 'Data Entry'!$F$366)</f>
      </c>
      <c r="G366">
        <f>IF(ISBLANK('Data Entry'!$G$366), "", 'Data Entry'!$G$366)</f>
      </c>
      <c r="H366">
        <f>IF(ISBLANK('Data Entry'!$H$366), "", 'Data Entry'!$H$366)</f>
      </c>
      <c r="I366">
        <f>IF(ISBLANK('Data Entry'!$I$366), "", 'Data Entry'!$I$366)</f>
      </c>
      <c r="J366">
        <f>IF(ISBLANK('Data Entry'!$J$366), "", 'Data Entry'!$J$366)</f>
      </c>
      <c r="K366">
        <f>IF(ISBLANK('Data Entry'!$K$366), "", 'Data Entry'!$K$366)</f>
      </c>
      <c r="L366">
        <f>IF(ISBLANK('Data Entry'!$L$366), "", 'Data Entry'!$L$366)</f>
      </c>
      <c r="M366">
        <f>IF(ISBLANK('Data Entry'!$M$366), "", 'Data Entry'!$M$366)</f>
      </c>
      <c r="N366">
        <f>IF(ISBLANK('Data Entry'!$N$366), "", 'Data Entry'!$N$366)</f>
      </c>
      <c r="O366">
        <f>IF(ISBLANK('Data Entry'!$O$366), "", 'Data Entry'!$O$366)</f>
      </c>
      <c r="P366">
        <f>IF(ISBLANK('Data Entry'!$P$366), "", 'Data Entry'!$P$366)</f>
      </c>
      <c r="Q366">
        <f>IF(ISBLANK('Data Entry'!$Q$366), "", 'Data Entry'!$Q$366)</f>
      </c>
      <c r="R366">
        <f>IF(ISBLANK('Data Entry'!$R$366), "", 'Data Entry'!$R$366)</f>
      </c>
      <c r="S366">
        <f>IF(ISBLANK('Data Entry'!$S$366), "", 'Data Entry'!$S$366)</f>
      </c>
      <c r="T366">
        <f>IF(ISBLANK('Data Entry'!$T$366), "", 'Data Entry'!$T$366)</f>
      </c>
      <c r="U366">
        <f>IF(ISBLANK('Data Entry'!$U$366), "", 'Data Entry'!$U$366)</f>
      </c>
      <c r="V366">
        <f>IF(ISBLANK('Data Entry'!$V$366), "", 'Data Entry'!$V$366)</f>
      </c>
      <c r="W366">
        <f>IF(ISBLANK('Data Entry'!$W$366), "", 'Data Entry'!$W$366)</f>
      </c>
      <c r="X366">
        <f>IF(ISBLANK('Data Entry'!$X$366), "", 'Data Entry'!$X$366)</f>
      </c>
      <c r="Y366">
        <f>IF(ISBLANK('Data Entry'!$Y$366), "", 'Data Entry'!$Y$366)</f>
      </c>
      <c r="Z366">
        <f>IF(ISBLANK('Data Entry'!$Z$366), "", 'Data Entry'!$Z$366)</f>
      </c>
      <c r="AA366">
        <f>IF(ISBLANK('Data Entry'!$[$366), "", 'Data Entry'!$[$366)</f>
      </c>
      <c r="AB366">
        <f>IF(ISBLANK('Data Entry'!$\$366), "", 'Data Entry'!$\$366)</f>
      </c>
      <c r="AC366">
        <f>IF(ISBLANK('Data Entry'!$]$366), "", 'Data Entry'!$]$366)</f>
      </c>
      <c r="AD366">
        <f>IF(ISBLANK('Data Entry'!$^$366), "", 'Data Entry'!$^$366)</f>
      </c>
      <c r="AE366">
        <f>IF(ISBLANK('Data Entry'!$_$366), "", 'Data Entry'!$_$366)</f>
      </c>
      <c r="AF366">
        <f>IF(ISBLANK('Data Entry'!$`$366), "", 'Data Entry'!$`$366)</f>
      </c>
      <c r="AG366">
        <f>IF(ISBLANK('Data Entry'!$a$366), "", 'Data Entry'!$a$366)</f>
      </c>
      <c r="AH366">
        <f>IF(ISBLANK('Data Entry'!$b$366), "", 'Data Entry'!$b$366)</f>
      </c>
      <c r="AI366">
        <f>IF(ISBLANK('Data Entry'!$c$366), "", 'Data Entry'!$c$366)</f>
      </c>
      <c r="AJ366">
        <f>IF(ISBLANK('Data Entry'!$d$366), "", 'Data Entry'!$d$366)</f>
      </c>
      <c r="AK366">
        <f>IF(ISBLANK('Data Entry'!$e$366), "", 'Data Entry'!$e$366)</f>
      </c>
      <c r="AL366">
        <f>IF(ISBLANK('Data Entry'!$f$366), "", 'Data Entry'!$f$366)</f>
      </c>
      <c r="AM366">
        <f>IF(ISBLANK('Data Entry'!$g$366), "", 'Data Entry'!$g$366)</f>
      </c>
      <c r="AN366">
        <f>IF(ISBLANK('Data Entry'!$h$366), "", 'Data Entry'!$h$366)</f>
      </c>
      <c r="AO366">
        <f>IF(ISBLANK('Data Entry'!$i$366), "", 'Data Entry'!$i$366)</f>
      </c>
      <c r="AP366">
        <f>IF(ISBLANK('Data Entry'!$j$366), "", 'Data Entry'!$j$366)</f>
      </c>
      <c r="AQ366">
        <f>IF(ISBLANK('Data Entry'!$k$366), "", 'Data Entry'!$k$366)</f>
      </c>
      <c r="AR366">
        <f>IF(ISBLANK('Data Entry'!$l$366), "", 'Data Entry'!$l$366)</f>
      </c>
      <c r="AS366">
        <f>IF(ISBLANK('Data Entry'!$m$366), "", 'Data Entry'!$m$366)</f>
      </c>
      <c r="AT366">
        <f>IF(ISBLANK('Data Entry'!$n$366), "", 'Data Entry'!$n$366)</f>
      </c>
      <c r="AU366">
        <f>IF(ISBLANK('Data Entry'!$o$366), "", 'Data Entry'!$o$366)</f>
      </c>
      <c r="AV366">
        <f>IF(ISBLANK('Data Entry'!$p$366), "", 'Data Entry'!$p$366)</f>
      </c>
      <c r="AW366">
        <f>IF(ISBLANK('Data Entry'!$q$366), "", 'Data Entry'!$q$366)</f>
      </c>
      <c r="AX366">
        <f>IF(ISBLANK('Data Entry'!$r$366), "", 'Data Entry'!$r$366)</f>
      </c>
      <c r="AY366">
        <f>IF(ISBLANK('Data Entry'!$s$366), "", 'Data Entry'!$s$366)</f>
      </c>
      <c r="AZ366">
        <f>IF(ISBLANK('Data Entry'!$t$366), "", 'Data Entry'!$t$366)</f>
      </c>
      <c r="BA366">
        <f>IF(ISBLANK('Data Entry'!$u$366), "", 'Data Entry'!$u$366)</f>
      </c>
      <c r="BB366">
        <f>IF(ISBLANK('Data Entry'!$v$366), "", 'Data Entry'!$v$366)</f>
      </c>
      <c r="BC366">
        <f>IF(ISBLANK('Data Entry'!$w$366), "", 'Data Entry'!$w$366)</f>
      </c>
      <c r="BD366">
        <f>IF(ISBLANK('Data Entry'!$x$366), "", 'Data Entry'!$x$366)</f>
      </c>
      <c r="BE366">
        <f>IF(ISBLANK('Data Entry'!$y$366), "", 'Data Entry'!$y$366)</f>
      </c>
      <c r="BF366">
        <f>IF(ISBLANK('Data Entry'!$z$366), "", 'Data Entry'!$z$366)</f>
      </c>
      <c r="BG366">
        <f>IF(ISBLANK('Data Entry'!${$366), "", 'Data Entry'!${$366)</f>
      </c>
      <c r="BH366">
        <f>IF(ISBLANK('Data Entry'!$|$366), "", 'Data Entry'!$|$366)</f>
      </c>
      <c r="BI366">
        <f>IF(ISBLANK('Data Entry'!$}$366), "", 'Data Entry'!$}$366)</f>
      </c>
      <c r="BJ366">
        <f>IF(ISBLANK('Data Entry'!$~$366), "", 'Data Entry'!$~$366)</f>
      </c>
      <c r="BK366">
        <f>IF(ISBLANK('Data Entry'!$$366), "", 'Data Entry'!$$366)</f>
      </c>
      <c r="BL366">
        <f>IF(ISBLANK('Data Entry'!$$366), "", 'Data Entry'!$$366)</f>
      </c>
      <c r="BM366">
        <f>IF(ISBLANK('Data Entry'!$$366), "", 'Data Entry'!$$366)</f>
      </c>
      <c r="BN366">
        <f>IF(ISBLANK('Data Entry'!$$366), "", 'Data Entry'!$$366)</f>
      </c>
      <c r="BO366">
        <f>IF(ISBLANK('Data Entry'!$$366), "", 'Data Entry'!$$366)</f>
      </c>
      <c r="BP366">
        <f>IF(ISBLANK('Data Entry'!$$366), "", 'Data Entry'!$$366)</f>
      </c>
      <c r="BQ366">
        <f>IF(ISBLANK('Data Entry'!$$366), "", 'Data Entry'!$$366)</f>
      </c>
      <c r="BR366">
        <f>IF(ISBLANK('Data Entry'!$$366), "", 'Data Entry'!$$366)</f>
      </c>
      <c r="BS366">
        <f>IF(ISBLANK('Data Entry'!$$366), "", 'Data Entry'!$$366)</f>
      </c>
      <c r="BT366">
        <f>IF(ISBLANK('Data Entry'!$$366), "", 'Data Entry'!$$366)</f>
      </c>
      <c r="BU366">
        <f>IF(ISBLANK('Data Entry'!$$366), "", 'Data Entry'!$$366)</f>
      </c>
      <c r="BV366">
        <f>IF(ISBLANK('Data Entry'!$$366), "", 'Data Entry'!$$366)</f>
      </c>
      <c r="BW366">
        <f>IF(ISBLANK('Data Entry'!$$366), "", 'Data Entry'!$$366)</f>
      </c>
      <c r="BX366">
        <f>IF(ISBLANK('Data Entry'!$$366), "", 'Data Entry'!$$366)</f>
      </c>
      <c r="BY366">
        <f>IF(ISBLANK('Data Entry'!$$366), "", 'Data Entry'!$$366)</f>
      </c>
      <c r="BZ366">
        <f>IF(ISBLANK('Data Entry'!$$366), "", 'Data Entry'!$$366)</f>
      </c>
      <c r="CA366">
        <f>IF(ISBLANK('Data Entry'!$$366), "", 'Data Entry'!$$366)</f>
      </c>
      <c r="CB366">
        <f>IF(ISBLANK('Data Entry'!$$366), "", 'Data Entry'!$$366)</f>
      </c>
      <c r="CC366">
        <f>IF(ISBLANK('Data Entry'!$$366), "", 'Data Entry'!$$366)</f>
      </c>
      <c r="CD366">
        <f>IF(ISBLANK('Data Entry'!$$366), "", 'Data Entry'!$$366)</f>
      </c>
      <c r="CE366">
        <f>IF(ISBLANK('Data Entry'!$$366), "", 'Data Entry'!$$366)</f>
      </c>
      <c r="CF366">
        <f>IF(ISBLANK('Data Entry'!$$366), "", 'Data Entry'!$$366)</f>
      </c>
      <c r="CG366">
        <f>IF(ISBLANK('Data Entry'!$$366), "", 'Data Entry'!$$366)</f>
      </c>
      <c r="CH366">
        <f>IF(ISBLANK('Data Entry'!$$366), "", 'Data Entry'!$$366)</f>
      </c>
      <c r="CI366">
        <f>IF(ISBLANK('Data Entry'!$$366), "", 'Data Entry'!$$366)</f>
      </c>
      <c r="CJ366">
        <f>IF(ISBLANK('Data Entry'!$$366), "", 'Data Entry'!$$366)</f>
      </c>
      <c r="CK366">
        <f>IF(ISBLANK('Data Entry'!$$366), "", 'Data Entry'!$$366)</f>
      </c>
      <c r="CL366">
        <f>IF(ISBLANK('Data Entry'!$$366), "", 'Data Entry'!$$366)</f>
      </c>
      <c r="CM366">
        <f>IF(ISBLANK('Data Entry'!$$366), "", 'Data Entry'!$$366)</f>
      </c>
      <c r="CN366">
        <f>IF(ISBLANK('Data Entry'!$$366), "", 'Data Entry'!$$366)</f>
      </c>
      <c r="CO366">
        <f>IF(ISBLANK('Data Entry'!$$366), "", 'Data Entry'!$$366)</f>
      </c>
      <c r="CP366">
        <f>IF(ISBLANK('Data Entry'!$$366), "", 'Data Entry'!$$366)</f>
      </c>
      <c r="CQ366">
        <f>IF(ISBLANK('Data Entry'!$$366), "", 'Data Entry'!$$366)</f>
      </c>
      <c r="CR366">
        <f>IF(ISBLANK('Data Entry'!$ $366), "", 'Data Entry'!$ $366)</f>
      </c>
      <c r="CS366">
        <f>IF(ISBLANK('Data Entry'!$¡$366), "", 'Data Entry'!$¡$366)</f>
      </c>
      <c r="CT366">
        <f>IF(ISBLANK('Data Entry'!$¢$366), "", 'Data Entry'!$¢$366)</f>
      </c>
      <c r="CU366">
        <f>IF(ISBLANK('Data Entry'!$£$366), "", 'Data Entry'!$£$366)</f>
      </c>
      <c r="CV366">
        <f>IF(ISBLANK('Data Entry'!$¤$366), "", 'Data Entry'!$¤$366)</f>
      </c>
      <c r="CW366">
        <f>IF(ISBLANK('Data Entry'!$¥$366), "", 'Data Entry'!$¥$366)</f>
      </c>
      <c r="CX366">
        <f>IF(ISBLANK('Data Entry'!$¦$366), "", 'Data Entry'!$¦$366)</f>
      </c>
      <c r="CY366">
        <f>IF(ISBLANK('Data Entry'!$§$366), "", 'Data Entry'!$§$366)</f>
      </c>
      <c r="CZ366">
        <f>IF(ISBLANK('Data Entry'!$¨$366), "", 'Data Entry'!$¨$366)</f>
      </c>
      <c r="DA366">
        <f>IF(ISBLANK('Data Entry'!$©$366), "", 'Data Entry'!$©$366)</f>
      </c>
      <c r="DB366">
        <f>IF(ISBLANK('Data Entry'!$ª$366), "", 'Data Entry'!$ª$366)</f>
      </c>
      <c r="DC366">
        <f>IF(ISBLANK('Data Entry'!$«$366), "", 'Data Entry'!$«$366)</f>
      </c>
      <c r="DD366">
        <f>IF(ISBLANK('Data Entry'!$¬$366), "", 'Data Entry'!$¬$366)</f>
      </c>
      <c r="DE366">
        <f>IF(ISBLANK('Data Entry'!$­$366), "", 'Data Entry'!$­$366)</f>
      </c>
      <c r="DF366">
        <f>IF(ISBLANK('Data Entry'!$®$366), "", 'Data Entry'!$®$366)</f>
      </c>
      <c r="DG366">
        <f>IF(ISBLANK('Data Entry'!$¯$366), "", 'Data Entry'!$¯$366)</f>
      </c>
      <c r="DH366">
        <f>IF(ISBLANK('Data Entry'!$°$366), "", 'Data Entry'!$°$366)</f>
      </c>
      <c r="DI366">
        <f>IF(ISBLANK('Data Entry'!$±$366), "", 'Data Entry'!$±$366)</f>
      </c>
      <c r="DJ366">
        <f>IF(ISBLANK('Data Entry'!$²$366), "", 'Data Entry'!$²$366)</f>
      </c>
      <c r="DK366">
        <f>IF(ISBLANK('Data Entry'!$³$366), "", 'Data Entry'!$³$366)</f>
      </c>
      <c r="DL366">
        <f>IF(ISBLANK('Data Entry'!$´$366), "", 'Data Entry'!$´$366)</f>
      </c>
      <c r="DM366">
        <f>IF(ISBLANK('Data Entry'!$µ$366), "", 'Data Entry'!$µ$366)</f>
      </c>
      <c r="DN366">
        <f>IF(ISBLANK('Data Entry'!$¶$366), "", 'Data Entry'!$¶$366)</f>
      </c>
      <c r="DO366">
        <f>IF(ISBLANK('Data Entry'!$·$366), "", 'Data Entry'!$·$366)</f>
      </c>
      <c r="DP366">
        <f>IF(ISBLANK('Data Entry'!$¸$366), "", 'Data Entry'!$¸$366)</f>
      </c>
      <c r="DQ366">
        <f>IF(ISBLANK('Data Entry'!$¹$366), "", 'Data Entry'!$¹$366)</f>
      </c>
      <c r="DR366">
        <f>IF(ISBLANK('Data Entry'!$º$366), "", 'Data Entry'!$º$366)</f>
      </c>
      <c r="DS366">
        <f>IF(ISBLANK('Data Entry'!$»$366), "", 'Data Entry'!$»$366)</f>
      </c>
      <c r="DT366">
        <f>IF(ISBLANK('Data Entry'!$¼$366), "", 'Data Entry'!$¼$366)</f>
      </c>
      <c r="DU366">
        <f>IF(ISBLANK('Data Entry'!$½$366), "", 'Data Entry'!$½$366)</f>
      </c>
      <c r="DV366">
        <f>IF(ISBLANK('Data Entry'!$¾$366), "", 'Data Entry'!$¾$366)</f>
      </c>
      <c r="DW366">
        <f>IF(ISBLANK('Data Entry'!$¿$366), "", 'Data Entry'!$¿$366)</f>
      </c>
      <c r="DX366">
        <f>IF(ISBLANK('Data Entry'!$À$366), "", 'Data Entry'!$À$366)</f>
      </c>
      <c r="DY366">
        <f>IF(ISBLANK('Data Entry'!$Á$366), "", 'Data Entry'!$Á$366)</f>
      </c>
      <c r="DZ366">
        <f>IF(ISBLANK('Data Entry'!$Â$366), "", 'Data Entry'!$Â$366)</f>
      </c>
      <c r="EA366">
        <f>IF(ISBLANK('Data Entry'!$Ã$366), "", 'Data Entry'!$Ã$366)</f>
      </c>
      <c r="EB366">
        <f>IF(ISBLANK('Data Entry'!$Ä$366), "", 'Data Entry'!$Ä$366)</f>
      </c>
      <c r="EC366">
        <f>IF(ISBLANK('Data Entry'!$Å$366), "", 'Data Entry'!$Å$366)</f>
      </c>
      <c r="ED366">
        <f>IF(ISBLANK('Data Entry'!$Æ$366), "", 'Data Entry'!$Æ$366)</f>
      </c>
      <c r="EE366">
        <f>IF(ISBLANK('Data Entry'!$Ç$366), "", 'Data Entry'!$Ç$366)</f>
      </c>
      <c r="EF366">
        <f>IF(ISBLANK('Data Entry'!$È$366), "", 'Data Entry'!$È$366)</f>
      </c>
      <c r="EG366">
        <f>IF(ISBLANK('Data Entry'!$É$366), "", 'Data Entry'!$É$366)</f>
      </c>
      <c r="EH366">
        <f>IF(ISBLANK('Data Entry'!$Ê$366), "", 'Data Entry'!$Ê$366)</f>
      </c>
      <c r="EI366">
        <f>IF(ISBLANK('Data Entry'!$Ë$366), "", 'Data Entry'!$Ë$366)</f>
      </c>
      <c r="EJ366">
        <f>IF(ISBLANK('Data Entry'!$Ì$366), "", 'Data Entry'!$Ì$366)</f>
      </c>
      <c r="EK366">
        <f>IF(ISBLANK('Data Entry'!$Í$366), "", 'Data Entry'!$Í$366)</f>
      </c>
      <c r="EL366">
        <f>IF(ISBLANK('Data Entry'!$Î$366), "", 'Data Entry'!$Î$366)</f>
      </c>
      <c r="EM366">
        <f>IF(ISBLANK('Data Entry'!$Ï$366), "", 'Data Entry'!$Ï$366)</f>
      </c>
      <c r="EN366">
        <f>IF(ISBLANK('Data Entry'!$Ð$366), "", 'Data Entry'!$Ð$366)</f>
      </c>
      <c r="EO366">
        <f>IF(ISBLANK('Data Entry'!$Ñ$366), "", 'Data Entry'!$Ñ$366)</f>
      </c>
      <c r="EP366">
        <f>IF(ISBLANK('Data Entry'!$Ò$366), "", 'Data Entry'!$Ò$366)</f>
      </c>
      <c r="EQ366">
        <f>IF(ISBLANK('Data Entry'!$Ó$366), "", 'Data Entry'!$Ó$366)</f>
      </c>
      <c r="ER366">
        <f>IF(ISBLANK('Data Entry'!$Ô$366), "", 'Data Entry'!$Ô$366)</f>
      </c>
      <c r="ES366">
        <f>IF(ISBLANK('Data Entry'!$Õ$366), "", 'Data Entry'!$Õ$366)</f>
      </c>
      <c r="ET366">
        <f>IF(ISBLANK('Data Entry'!$Ö$366), "", 'Data Entry'!$Ö$366)</f>
      </c>
      <c r="EU366">
        <f>IF(ISBLANK('Data Entry'!$×$366), "", 'Data Entry'!$×$366)</f>
      </c>
      <c r="EV366">
        <f>IF(ISBLANK('Data Entry'!$Ø$366), "", 'Data Entry'!$Ø$366)</f>
      </c>
      <c r="EW366">
        <f>IF(ISBLANK('Data Entry'!$Ù$366), "", 'Data Entry'!$Ù$366)</f>
      </c>
      <c r="EX366">
        <f>IF(ISBLANK('Data Entry'!$Ú$366), "", 'Data Entry'!$Ú$366)</f>
      </c>
      <c r="EY366">
        <f>IF(ISBLANK('Data Entry'!$Û$366), "", 'Data Entry'!$Û$366)</f>
      </c>
      <c r="EZ366">
        <f>IF(ISBLANK('Data Entry'!$Ü$366), "", 'Data Entry'!$Ü$366)</f>
      </c>
      <c r="FA366">
        <f>IF(ISBLANK('Data Entry'!$Ý$366), "", 'Data Entry'!$Ý$366)</f>
      </c>
      <c r="FB366">
        <f>IF(ISBLANK('Data Entry'!$Þ$366), "", 'Data Entry'!$Þ$366)</f>
      </c>
      <c r="FC366">
        <f>IF(ISBLANK('Data Entry'!$ß$366), "", 'Data Entry'!$ß$366)</f>
      </c>
      <c r="FD366">
        <f>IF(ISBLANK('Data Entry'!$à$366), "", 'Data Entry'!$à$366)</f>
      </c>
      <c r="FE366">
        <f>IF(ISBLANK('Data Entry'!$á$366), "", 'Data Entry'!$á$366)</f>
      </c>
      <c r="FF366">
        <f>IF(ISBLANK('Data Entry'!$â$366), "", 'Data Entry'!$â$366)</f>
      </c>
      <c r="FG366">
        <f>IF(ISBLANK('Data Entry'!$ã$366), "", 'Data Entry'!$ã$366)</f>
      </c>
      <c r="FH366">
        <f>IF(ISBLANK('Data Entry'!$ä$366), "", 'Data Entry'!$ä$366)</f>
      </c>
      <c r="FI366">
        <f>IF(ISBLANK('Data Entry'!$å$366), "", 'Data Entry'!$å$366)</f>
      </c>
      <c r="FJ366">
        <f>IF(ISBLANK('Data Entry'!$æ$366), "", 'Data Entry'!$æ$366)</f>
      </c>
      <c r="FK366">
        <f>IF(ISBLANK('Data Entry'!$ç$366), "", 'Data Entry'!$ç$366)</f>
      </c>
      <c r="FL366">
        <f>IF(ISBLANK('Data Entry'!$è$366), "", 'Data Entry'!$è$366)</f>
      </c>
      <c r="FM366">
        <f>IF(ISBLANK('Data Entry'!$é$366), "", 'Data Entry'!$é$366)</f>
      </c>
      <c r="FN366">
        <f>IF(ISBLANK('Data Entry'!$ê$366), "", 'Data Entry'!$ê$366)</f>
      </c>
      <c r="FO366">
        <f>IF(ISBLANK('Data Entry'!$ë$366), "", 'Data Entry'!$ë$366)</f>
      </c>
      <c r="FP366">
        <f>IF(ISBLANK('Data Entry'!$ì$366), "", 'Data Entry'!$ì$366)</f>
      </c>
      <c r="FQ366">
        <f>IF(ISBLANK('Data Entry'!$í$366), "", 'Data Entry'!$í$366)</f>
      </c>
      <c r="FR366">
        <f>IF(ISBLANK('Data Entry'!$î$366), "", 'Data Entry'!$î$366)</f>
      </c>
      <c r="FS366">
        <f>IF(ISBLANK('Data Entry'!$ï$366), "", 'Data Entry'!$ï$366)</f>
      </c>
      <c r="FT366">
        <f>IF(ISBLANK('Data Entry'!$ð$366), "", 'Data Entry'!$ð$366)</f>
      </c>
      <c r="FU366">
        <f>IF(ISBLANK('Data Entry'!$ñ$366), "", 'Data Entry'!$ñ$366)</f>
      </c>
      <c r="FV366">
        <f>IF(ISBLANK('Data Entry'!$ò$366), "", 'Data Entry'!$ò$366)</f>
      </c>
      <c r="FW366">
        <f>IF(ISBLANK('Data Entry'!$ó$366), "", 'Data Entry'!$ó$366)</f>
      </c>
      <c r="FX366">
        <f>IF(ISBLANK('Data Entry'!$ô$366), "", 'Data Entry'!$ô$366)</f>
      </c>
      <c r="FY366">
        <f>IF(ISBLANK('Data Entry'!$õ$366), "", 'Data Entry'!$õ$366)</f>
      </c>
      <c r="FZ366">
        <f>IF(ISBLANK('Data Entry'!$ö$366), "", 'Data Entry'!$ö$366)</f>
      </c>
      <c r="GA366">
        <f>IF(ISBLANK('Data Entry'!$÷$366), "", 'Data Entry'!$÷$366)</f>
      </c>
      <c r="GB366">
        <f>IF(ISBLANK('Data Entry'!$ø$366), "", 'Data Entry'!$ø$366)</f>
      </c>
      <c r="GC366">
        <f>IF(ISBLANK('Data Entry'!$ù$366), "", 'Data Entry'!$ù$366)</f>
      </c>
      <c r="GD366">
        <f>IF(ISBLANK('Data Entry'!$ú$366), "", 'Data Entry'!$ú$366)</f>
      </c>
      <c r="GE366">
        <f>IF(ISBLANK('Data Entry'!$û$366), "", 'Data Entry'!$û$366)</f>
      </c>
      <c r="GF366">
        <f>IF(ISBLANK('Data Entry'!$ü$366), "", 'Data Entry'!$ü$366)</f>
      </c>
      <c r="GG366">
        <f>IF(ISBLANK('Data Entry'!$ý$366), "", 'Data Entry'!$ý$366)</f>
      </c>
      <c r="GH366">
        <f>IF(ISBLANK('Data Entry'!$þ$366), "", 'Data Entry'!$þ$366)</f>
      </c>
      <c r="GI366">
        <f>IF(ISBLANK('Data Entry'!$ÿ$366), "", 'Data Entry'!$ÿ$366)</f>
      </c>
      <c r="GJ366">
        <f>IF(ISBLANK('Data Entry'!$Ā$366), "", 'Data Entry'!$Ā$366)</f>
      </c>
      <c r="GK366">
        <f>IF(ISBLANK('Data Entry'!$ā$366), "", 'Data Entry'!$ā$366)</f>
      </c>
      <c r="GL366">
        <f>IF(ISBLANK('Data Entry'!$Ă$366), "", 'Data Entry'!$Ă$366)</f>
      </c>
      <c r="GM366">
        <f>IF(ISBLANK('Data Entry'!$ă$366), "", 'Data Entry'!$ă$366)</f>
      </c>
      <c r="GN366">
        <f>IF(ISBLANK('Data Entry'!$Ą$366), "", 'Data Entry'!$Ą$366)</f>
      </c>
      <c r="GO366">
        <f>IF(ISBLANK('Data Entry'!$ą$366), "", 'Data Entry'!$ą$366)</f>
      </c>
      <c r="GP366">
        <f>IF(ISBLANK('Data Entry'!$Ć$366), "", 'Data Entry'!$Ć$366)</f>
      </c>
      <c r="GQ366">
        <f>IF(ISBLANK('Data Entry'!$ć$366), "", 'Data Entry'!$ć$366)</f>
      </c>
      <c r="GR366">
        <f>IF(ISBLANK('Data Entry'!$Ĉ$366), "", 'Data Entry'!$Ĉ$366)</f>
      </c>
      <c r="GS366">
        <f>IF(ISBLANK('Data Entry'!$ĉ$366), "", 'Data Entry'!$ĉ$366)</f>
      </c>
      <c r="GT366">
        <f>IF(ISBLANK('Data Entry'!$Ċ$366), "", 'Data Entry'!$Ċ$366)</f>
      </c>
      <c r="GU366">
        <f>IF(ISBLANK('Data Entry'!$ċ$366), "", 'Data Entry'!$ċ$366)</f>
      </c>
      <c r="GV366">
        <f>IF(ISBLANK('Data Entry'!$Č$366), "", 'Data Entry'!$Č$366)</f>
      </c>
      <c r="GW366">
        <f>IF(ISBLANK('Data Entry'!$č$366), "", 'Data Entry'!$č$366)</f>
      </c>
      <c r="GX366">
        <f>IF(ISBLANK('Data Entry'!$Ď$366), "", 'Data Entry'!$Ď$366)</f>
      </c>
      <c r="GY366">
        <f>IF(ISBLANK('Data Entry'!$ď$366), "", 'Data Entry'!$ď$366)</f>
      </c>
      <c r="GZ366">
        <f>IF(ISBLANK('Data Entry'!$Đ$366), "", 'Data Entry'!$Đ$366)</f>
      </c>
      <c r="HA366">
        <f>IF(ISBLANK('Data Entry'!$đ$366), "", 'Data Entry'!$đ$366)</f>
      </c>
      <c r="HB366">
        <f>IF(ISBLANK('Data Entry'!$Ē$366), "", 'Data Entry'!$Ē$366)</f>
      </c>
      <c r="HC366">
        <f>IF(ISBLANK('Data Entry'!$ē$366), "", 'Data Entry'!$ē$366)</f>
      </c>
      <c r="HD366">
        <f>IF(ISBLANK('Data Entry'!$Ĕ$366), "", 'Data Entry'!$Ĕ$366)</f>
      </c>
      <c r="HE366">
        <f>IF(ISBLANK('Data Entry'!$ĕ$366), "", 'Data Entry'!$ĕ$366)</f>
      </c>
      <c r="HF366">
        <f>IF(ISBLANK('Data Entry'!$Ė$366), "", 'Data Entry'!$Ė$366)</f>
      </c>
      <c r="HG366">
        <f>IF(ISBLANK('Data Entry'!$ė$366), "", 'Data Entry'!$ė$366)</f>
      </c>
      <c r="HH366">
        <f>IF(ISBLANK('Data Entry'!$Ę$366), "", 'Data Entry'!$Ę$366)</f>
      </c>
      <c r="HI366">
        <f>IF(ISBLANK('Data Entry'!$ę$366), "", 'Data Entry'!$ę$366)</f>
      </c>
      <c r="HJ366">
        <f>IF(ISBLANK('Data Entry'!$Ě$366), "", 'Data Entry'!$Ě$366)</f>
      </c>
      <c r="HK366">
        <f>IF(ISBLANK('Data Entry'!$ě$366), "", 'Data Entry'!$ě$366)</f>
      </c>
      <c r="HL366">
        <f>IF(ISBLANK('Data Entry'!$Ĝ$366), "", 'Data Entry'!$Ĝ$366)</f>
      </c>
      <c r="HM366">
        <f>IF(ISBLANK('Data Entry'!$ĝ$366), "", 'Data Entry'!$ĝ$366)</f>
      </c>
      <c r="HN366">
        <f>IF(ISBLANK('Data Entry'!$Ğ$366), "", 'Data Entry'!$Ğ$366)</f>
      </c>
      <c r="HO366">
        <f>IF(ISBLANK('Data Entry'!$ğ$366), "", 'Data Entry'!$ğ$366)</f>
      </c>
      <c r="HP366">
        <f>IF(ISBLANK('Data Entry'!$Ġ$366), "", 'Data Entry'!$Ġ$366)</f>
      </c>
      <c r="HQ366">
        <f>IF(ISBLANK('Data Entry'!$ġ$366), "", 'Data Entry'!$ġ$366)</f>
      </c>
      <c r="HR366">
        <f>IF(ISBLANK('Data Entry'!$Ģ$366), "", 'Data Entry'!$Ģ$366)</f>
      </c>
      <c r="HS366">
        <f>IF(ISBLANK('Data Entry'!$ģ$366), "", 'Data Entry'!$ģ$366)</f>
      </c>
      <c r="HT366">
        <f>IF(ISBLANK('Data Entry'!$Ĥ$366), "", 'Data Entry'!$Ĥ$366)</f>
      </c>
      <c r="HU366">
        <f>IF(ISBLANK('Data Entry'!$ĥ$366), "", 'Data Entry'!$ĥ$366)</f>
      </c>
      <c r="HV366">
        <f>IF(ISBLANK('Data Entry'!$Ħ$366), "", 'Data Entry'!$Ħ$366)</f>
      </c>
      <c r="HW366">
        <f>IF(ISBLANK('Data Entry'!$ħ$366), "", 'Data Entry'!$ħ$366)</f>
      </c>
      <c r="HX366">
        <f>IF(ISBLANK('Data Entry'!$Ĩ$366), "", 'Data Entry'!$Ĩ$366)</f>
      </c>
      <c r="HY366">
        <f>IF(ISBLANK('Data Entry'!$ĩ$366), "", 'Data Entry'!$ĩ$366)</f>
      </c>
      <c r="HZ366">
        <f>IF(ISBLANK('Data Entry'!$Ī$366), "", 'Data Entry'!$Ī$366)</f>
      </c>
      <c r="IA366">
        <f>IF(ISBLANK('Data Entry'!$ī$366), "", 'Data Entry'!$ī$366)</f>
      </c>
      <c r="IB366">
        <f>IF(ISBLANK('Data Entry'!$Ĭ$366), "", 'Data Entry'!$Ĭ$366)</f>
      </c>
      <c r="IC366">
        <f>IF(ISBLANK('Data Entry'!$ĭ$366), "", 'Data Entry'!$ĭ$366)</f>
      </c>
      <c r="ID366">
        <f>IF(ISBLANK('Data Entry'!$Į$366), "", 'Data Entry'!$Į$366)</f>
      </c>
      <c r="IE366">
        <f>IF(ISBLANK('Data Entry'!$į$366), "", 'Data Entry'!$į$366)</f>
      </c>
      <c r="IF366">
        <f>IF(ISBLANK('Data Entry'!$İ$366), "", 'Data Entry'!$İ$366)</f>
      </c>
      <c r="IG366">
        <f>IF(ISBLANK('Data Entry'!$ı$366), "", 'Data Entry'!$ı$366)</f>
      </c>
      <c r="IH366">
        <f>IF(ISBLANK('Data Entry'!$Ĳ$366), "", 'Data Entry'!$Ĳ$366)</f>
      </c>
      <c r="II366">
        <f>IF(ISBLANK('Data Entry'!$ĳ$366), "", 'Data Entry'!$ĳ$366)</f>
      </c>
      <c r="IJ366">
        <f>IF(ISBLANK('Data Entry'!$Ĵ$366), "", 'Data Entry'!$Ĵ$366)</f>
      </c>
      <c r="IK366">
        <f>IF(ISBLANK('Data Entry'!$ĵ$366), "", 'Data Entry'!$ĵ$366)</f>
      </c>
      <c r="IL366">
        <f>IF(ISBLANK('Data Entry'!$Ķ$366), "", 'Data Entry'!$Ķ$366)</f>
      </c>
      <c r="IM366">
        <f>IF(ISBLANK('Data Entry'!$ķ$366), "", 'Data Entry'!$ķ$366)</f>
      </c>
      <c r="IN366">
        <f>IF(ISBLANK('Data Entry'!$ĸ$366), "", 'Data Entry'!$ĸ$366)</f>
      </c>
      <c r="IO366">
        <f>IF(ISBLANK('Data Entry'!$Ĺ$366), "", 'Data Entry'!$Ĺ$366)</f>
      </c>
      <c r="IP366">
        <f>IF(ISBLANK('Data Entry'!$ĺ$366), "", 'Data Entry'!$ĺ$366)</f>
      </c>
      <c r="IQ366">
        <f>IF(ISBLANK('Data Entry'!$Ļ$366), "", 'Data Entry'!$Ļ$366)</f>
      </c>
      <c r="IR366">
        <f>IF(ISBLANK('Data Entry'!$ļ$366), "", 'Data Entry'!$ļ$366)</f>
      </c>
      <c r="IS366">
        <f>IF(ISBLANK('Data Entry'!$Ľ$366), "", 'Data Entry'!$Ľ$366)</f>
      </c>
      <c r="IT366">
        <f>IF(ISBLANK('Data Entry'!$ľ$366), "", 'Data Entry'!$ľ$366)</f>
      </c>
    </row>
    <row r="367" spans="1:254" x14ac:dyDescent="0.25">
      <c r="A367">
        <f>IF(ISBLANK('Data Entry'!$A$367), "", 'Data Entry'!$A$367)</f>
      </c>
      <c r="B367">
        <f>IF(ISBLANK('Data Entry'!$B$367), "", 'Data Entry'!$B$367)</f>
      </c>
      <c r="C367">
        <f>IF(ISBLANK('Data Entry'!$C$367), "", 'Data Entry'!$C$367)</f>
      </c>
      <c r="D367">
        <f>IF(ISBLANK('Data Entry'!$D$367), "", 'Data Entry'!$D$367)</f>
      </c>
      <c r="E367">
        <f>IF(ISBLANK('Data Entry'!$E$367), "", 'Data Entry'!$E$367)</f>
      </c>
      <c r="F367">
        <f>IF(ISBLANK('Data Entry'!$F$367), "", 'Data Entry'!$F$367)</f>
      </c>
      <c r="G367">
        <f>IF(ISBLANK('Data Entry'!$G$367), "", 'Data Entry'!$G$367)</f>
      </c>
      <c r="H367">
        <f>IF(ISBLANK('Data Entry'!$H$367), "", 'Data Entry'!$H$367)</f>
      </c>
      <c r="I367">
        <f>IF(ISBLANK('Data Entry'!$I$367), "", 'Data Entry'!$I$367)</f>
      </c>
      <c r="J367">
        <f>IF(ISBLANK('Data Entry'!$J$367), "", 'Data Entry'!$J$367)</f>
      </c>
      <c r="K367">
        <f>IF(ISBLANK('Data Entry'!$K$367), "", 'Data Entry'!$K$367)</f>
      </c>
      <c r="L367">
        <f>IF(ISBLANK('Data Entry'!$L$367), "", 'Data Entry'!$L$367)</f>
      </c>
      <c r="M367">
        <f>IF(ISBLANK('Data Entry'!$M$367), "", 'Data Entry'!$M$367)</f>
      </c>
      <c r="N367">
        <f>IF(ISBLANK('Data Entry'!$N$367), "", 'Data Entry'!$N$367)</f>
      </c>
      <c r="O367">
        <f>IF(ISBLANK('Data Entry'!$O$367), "", 'Data Entry'!$O$367)</f>
      </c>
      <c r="P367">
        <f>IF(ISBLANK('Data Entry'!$P$367), "", 'Data Entry'!$P$367)</f>
      </c>
      <c r="Q367">
        <f>IF(ISBLANK('Data Entry'!$Q$367), "", 'Data Entry'!$Q$367)</f>
      </c>
      <c r="R367">
        <f>IF(ISBLANK('Data Entry'!$R$367), "", 'Data Entry'!$R$367)</f>
      </c>
      <c r="S367">
        <f>IF(ISBLANK('Data Entry'!$S$367), "", 'Data Entry'!$S$367)</f>
      </c>
      <c r="T367">
        <f>IF(ISBLANK('Data Entry'!$T$367), "", 'Data Entry'!$T$367)</f>
      </c>
      <c r="U367">
        <f>IF(ISBLANK('Data Entry'!$U$367), "", 'Data Entry'!$U$367)</f>
      </c>
      <c r="V367">
        <f>IF(ISBLANK('Data Entry'!$V$367), "", 'Data Entry'!$V$367)</f>
      </c>
      <c r="W367">
        <f>IF(ISBLANK('Data Entry'!$W$367), "", 'Data Entry'!$W$367)</f>
      </c>
      <c r="X367">
        <f>IF(ISBLANK('Data Entry'!$X$367), "", 'Data Entry'!$X$367)</f>
      </c>
      <c r="Y367">
        <f>IF(ISBLANK('Data Entry'!$Y$367), "", 'Data Entry'!$Y$367)</f>
      </c>
      <c r="Z367">
        <f>IF(ISBLANK('Data Entry'!$Z$367), "", 'Data Entry'!$Z$367)</f>
      </c>
      <c r="AA367">
        <f>IF(ISBLANK('Data Entry'!$[$367), "", 'Data Entry'!$[$367)</f>
      </c>
      <c r="AB367">
        <f>IF(ISBLANK('Data Entry'!$\$367), "", 'Data Entry'!$\$367)</f>
      </c>
      <c r="AC367">
        <f>IF(ISBLANK('Data Entry'!$]$367), "", 'Data Entry'!$]$367)</f>
      </c>
      <c r="AD367">
        <f>IF(ISBLANK('Data Entry'!$^$367), "", 'Data Entry'!$^$367)</f>
      </c>
      <c r="AE367">
        <f>IF(ISBLANK('Data Entry'!$_$367), "", 'Data Entry'!$_$367)</f>
      </c>
      <c r="AF367">
        <f>IF(ISBLANK('Data Entry'!$`$367), "", 'Data Entry'!$`$367)</f>
      </c>
      <c r="AG367">
        <f>IF(ISBLANK('Data Entry'!$a$367), "", 'Data Entry'!$a$367)</f>
      </c>
      <c r="AH367">
        <f>IF(ISBLANK('Data Entry'!$b$367), "", 'Data Entry'!$b$367)</f>
      </c>
      <c r="AI367">
        <f>IF(ISBLANK('Data Entry'!$c$367), "", 'Data Entry'!$c$367)</f>
      </c>
      <c r="AJ367">
        <f>IF(ISBLANK('Data Entry'!$d$367), "", 'Data Entry'!$d$367)</f>
      </c>
      <c r="AK367">
        <f>IF(ISBLANK('Data Entry'!$e$367), "", 'Data Entry'!$e$367)</f>
      </c>
      <c r="AL367">
        <f>IF(ISBLANK('Data Entry'!$f$367), "", 'Data Entry'!$f$367)</f>
      </c>
      <c r="AM367">
        <f>IF(ISBLANK('Data Entry'!$g$367), "", 'Data Entry'!$g$367)</f>
      </c>
      <c r="AN367">
        <f>IF(ISBLANK('Data Entry'!$h$367), "", 'Data Entry'!$h$367)</f>
      </c>
      <c r="AO367">
        <f>IF(ISBLANK('Data Entry'!$i$367), "", 'Data Entry'!$i$367)</f>
      </c>
      <c r="AP367">
        <f>IF(ISBLANK('Data Entry'!$j$367), "", 'Data Entry'!$j$367)</f>
      </c>
      <c r="AQ367">
        <f>IF(ISBLANK('Data Entry'!$k$367), "", 'Data Entry'!$k$367)</f>
      </c>
      <c r="AR367">
        <f>IF(ISBLANK('Data Entry'!$l$367), "", 'Data Entry'!$l$367)</f>
      </c>
      <c r="AS367">
        <f>IF(ISBLANK('Data Entry'!$m$367), "", 'Data Entry'!$m$367)</f>
      </c>
      <c r="AT367">
        <f>IF(ISBLANK('Data Entry'!$n$367), "", 'Data Entry'!$n$367)</f>
      </c>
      <c r="AU367">
        <f>IF(ISBLANK('Data Entry'!$o$367), "", 'Data Entry'!$o$367)</f>
      </c>
      <c r="AV367">
        <f>IF(ISBLANK('Data Entry'!$p$367), "", 'Data Entry'!$p$367)</f>
      </c>
      <c r="AW367">
        <f>IF(ISBLANK('Data Entry'!$q$367), "", 'Data Entry'!$q$367)</f>
      </c>
      <c r="AX367">
        <f>IF(ISBLANK('Data Entry'!$r$367), "", 'Data Entry'!$r$367)</f>
      </c>
      <c r="AY367">
        <f>IF(ISBLANK('Data Entry'!$s$367), "", 'Data Entry'!$s$367)</f>
      </c>
      <c r="AZ367">
        <f>IF(ISBLANK('Data Entry'!$t$367), "", 'Data Entry'!$t$367)</f>
      </c>
      <c r="BA367">
        <f>IF(ISBLANK('Data Entry'!$u$367), "", 'Data Entry'!$u$367)</f>
      </c>
      <c r="BB367">
        <f>IF(ISBLANK('Data Entry'!$v$367), "", 'Data Entry'!$v$367)</f>
      </c>
      <c r="BC367">
        <f>IF(ISBLANK('Data Entry'!$w$367), "", 'Data Entry'!$w$367)</f>
      </c>
      <c r="BD367">
        <f>IF(ISBLANK('Data Entry'!$x$367), "", 'Data Entry'!$x$367)</f>
      </c>
      <c r="BE367">
        <f>IF(ISBLANK('Data Entry'!$y$367), "", 'Data Entry'!$y$367)</f>
      </c>
      <c r="BF367">
        <f>IF(ISBLANK('Data Entry'!$z$367), "", 'Data Entry'!$z$367)</f>
      </c>
      <c r="BG367">
        <f>IF(ISBLANK('Data Entry'!${$367), "", 'Data Entry'!${$367)</f>
      </c>
      <c r="BH367">
        <f>IF(ISBLANK('Data Entry'!$|$367), "", 'Data Entry'!$|$367)</f>
      </c>
      <c r="BI367">
        <f>IF(ISBLANK('Data Entry'!$}$367), "", 'Data Entry'!$}$367)</f>
      </c>
      <c r="BJ367">
        <f>IF(ISBLANK('Data Entry'!$~$367), "", 'Data Entry'!$~$367)</f>
      </c>
      <c r="BK367">
        <f>IF(ISBLANK('Data Entry'!$$367), "", 'Data Entry'!$$367)</f>
      </c>
      <c r="BL367">
        <f>IF(ISBLANK('Data Entry'!$$367), "", 'Data Entry'!$$367)</f>
      </c>
      <c r="BM367">
        <f>IF(ISBLANK('Data Entry'!$$367), "", 'Data Entry'!$$367)</f>
      </c>
      <c r="BN367">
        <f>IF(ISBLANK('Data Entry'!$$367), "", 'Data Entry'!$$367)</f>
      </c>
      <c r="BO367">
        <f>IF(ISBLANK('Data Entry'!$$367), "", 'Data Entry'!$$367)</f>
      </c>
      <c r="BP367">
        <f>IF(ISBLANK('Data Entry'!$$367), "", 'Data Entry'!$$367)</f>
      </c>
      <c r="BQ367">
        <f>IF(ISBLANK('Data Entry'!$$367), "", 'Data Entry'!$$367)</f>
      </c>
      <c r="BR367">
        <f>IF(ISBLANK('Data Entry'!$$367), "", 'Data Entry'!$$367)</f>
      </c>
      <c r="BS367">
        <f>IF(ISBLANK('Data Entry'!$$367), "", 'Data Entry'!$$367)</f>
      </c>
      <c r="BT367">
        <f>IF(ISBLANK('Data Entry'!$$367), "", 'Data Entry'!$$367)</f>
      </c>
      <c r="BU367">
        <f>IF(ISBLANK('Data Entry'!$$367), "", 'Data Entry'!$$367)</f>
      </c>
      <c r="BV367">
        <f>IF(ISBLANK('Data Entry'!$$367), "", 'Data Entry'!$$367)</f>
      </c>
      <c r="BW367">
        <f>IF(ISBLANK('Data Entry'!$$367), "", 'Data Entry'!$$367)</f>
      </c>
      <c r="BX367">
        <f>IF(ISBLANK('Data Entry'!$$367), "", 'Data Entry'!$$367)</f>
      </c>
      <c r="BY367">
        <f>IF(ISBLANK('Data Entry'!$$367), "", 'Data Entry'!$$367)</f>
      </c>
      <c r="BZ367">
        <f>IF(ISBLANK('Data Entry'!$$367), "", 'Data Entry'!$$367)</f>
      </c>
      <c r="CA367">
        <f>IF(ISBLANK('Data Entry'!$$367), "", 'Data Entry'!$$367)</f>
      </c>
      <c r="CB367">
        <f>IF(ISBLANK('Data Entry'!$$367), "", 'Data Entry'!$$367)</f>
      </c>
      <c r="CC367">
        <f>IF(ISBLANK('Data Entry'!$$367), "", 'Data Entry'!$$367)</f>
      </c>
      <c r="CD367">
        <f>IF(ISBLANK('Data Entry'!$$367), "", 'Data Entry'!$$367)</f>
      </c>
      <c r="CE367">
        <f>IF(ISBLANK('Data Entry'!$$367), "", 'Data Entry'!$$367)</f>
      </c>
      <c r="CF367">
        <f>IF(ISBLANK('Data Entry'!$$367), "", 'Data Entry'!$$367)</f>
      </c>
      <c r="CG367">
        <f>IF(ISBLANK('Data Entry'!$$367), "", 'Data Entry'!$$367)</f>
      </c>
      <c r="CH367">
        <f>IF(ISBLANK('Data Entry'!$$367), "", 'Data Entry'!$$367)</f>
      </c>
      <c r="CI367">
        <f>IF(ISBLANK('Data Entry'!$$367), "", 'Data Entry'!$$367)</f>
      </c>
      <c r="CJ367">
        <f>IF(ISBLANK('Data Entry'!$$367), "", 'Data Entry'!$$367)</f>
      </c>
      <c r="CK367">
        <f>IF(ISBLANK('Data Entry'!$$367), "", 'Data Entry'!$$367)</f>
      </c>
      <c r="CL367">
        <f>IF(ISBLANK('Data Entry'!$$367), "", 'Data Entry'!$$367)</f>
      </c>
      <c r="CM367">
        <f>IF(ISBLANK('Data Entry'!$$367), "", 'Data Entry'!$$367)</f>
      </c>
      <c r="CN367">
        <f>IF(ISBLANK('Data Entry'!$$367), "", 'Data Entry'!$$367)</f>
      </c>
      <c r="CO367">
        <f>IF(ISBLANK('Data Entry'!$$367), "", 'Data Entry'!$$367)</f>
      </c>
      <c r="CP367">
        <f>IF(ISBLANK('Data Entry'!$$367), "", 'Data Entry'!$$367)</f>
      </c>
      <c r="CQ367">
        <f>IF(ISBLANK('Data Entry'!$$367), "", 'Data Entry'!$$367)</f>
      </c>
      <c r="CR367">
        <f>IF(ISBLANK('Data Entry'!$ $367), "", 'Data Entry'!$ $367)</f>
      </c>
      <c r="CS367">
        <f>IF(ISBLANK('Data Entry'!$¡$367), "", 'Data Entry'!$¡$367)</f>
      </c>
      <c r="CT367">
        <f>IF(ISBLANK('Data Entry'!$¢$367), "", 'Data Entry'!$¢$367)</f>
      </c>
      <c r="CU367">
        <f>IF(ISBLANK('Data Entry'!$£$367), "", 'Data Entry'!$£$367)</f>
      </c>
      <c r="CV367">
        <f>IF(ISBLANK('Data Entry'!$¤$367), "", 'Data Entry'!$¤$367)</f>
      </c>
      <c r="CW367">
        <f>IF(ISBLANK('Data Entry'!$¥$367), "", 'Data Entry'!$¥$367)</f>
      </c>
      <c r="CX367">
        <f>IF(ISBLANK('Data Entry'!$¦$367), "", 'Data Entry'!$¦$367)</f>
      </c>
      <c r="CY367">
        <f>IF(ISBLANK('Data Entry'!$§$367), "", 'Data Entry'!$§$367)</f>
      </c>
      <c r="CZ367">
        <f>IF(ISBLANK('Data Entry'!$¨$367), "", 'Data Entry'!$¨$367)</f>
      </c>
      <c r="DA367">
        <f>IF(ISBLANK('Data Entry'!$©$367), "", 'Data Entry'!$©$367)</f>
      </c>
      <c r="DB367">
        <f>IF(ISBLANK('Data Entry'!$ª$367), "", 'Data Entry'!$ª$367)</f>
      </c>
      <c r="DC367">
        <f>IF(ISBLANK('Data Entry'!$«$367), "", 'Data Entry'!$«$367)</f>
      </c>
      <c r="DD367">
        <f>IF(ISBLANK('Data Entry'!$¬$367), "", 'Data Entry'!$¬$367)</f>
      </c>
      <c r="DE367">
        <f>IF(ISBLANK('Data Entry'!$­$367), "", 'Data Entry'!$­$367)</f>
      </c>
      <c r="DF367">
        <f>IF(ISBLANK('Data Entry'!$®$367), "", 'Data Entry'!$®$367)</f>
      </c>
      <c r="DG367">
        <f>IF(ISBLANK('Data Entry'!$¯$367), "", 'Data Entry'!$¯$367)</f>
      </c>
      <c r="DH367">
        <f>IF(ISBLANK('Data Entry'!$°$367), "", 'Data Entry'!$°$367)</f>
      </c>
      <c r="DI367">
        <f>IF(ISBLANK('Data Entry'!$±$367), "", 'Data Entry'!$±$367)</f>
      </c>
      <c r="DJ367">
        <f>IF(ISBLANK('Data Entry'!$²$367), "", 'Data Entry'!$²$367)</f>
      </c>
      <c r="DK367">
        <f>IF(ISBLANK('Data Entry'!$³$367), "", 'Data Entry'!$³$367)</f>
      </c>
      <c r="DL367">
        <f>IF(ISBLANK('Data Entry'!$´$367), "", 'Data Entry'!$´$367)</f>
      </c>
      <c r="DM367">
        <f>IF(ISBLANK('Data Entry'!$µ$367), "", 'Data Entry'!$µ$367)</f>
      </c>
      <c r="DN367">
        <f>IF(ISBLANK('Data Entry'!$¶$367), "", 'Data Entry'!$¶$367)</f>
      </c>
      <c r="DO367">
        <f>IF(ISBLANK('Data Entry'!$·$367), "", 'Data Entry'!$·$367)</f>
      </c>
      <c r="DP367">
        <f>IF(ISBLANK('Data Entry'!$¸$367), "", 'Data Entry'!$¸$367)</f>
      </c>
      <c r="DQ367">
        <f>IF(ISBLANK('Data Entry'!$¹$367), "", 'Data Entry'!$¹$367)</f>
      </c>
      <c r="DR367">
        <f>IF(ISBLANK('Data Entry'!$º$367), "", 'Data Entry'!$º$367)</f>
      </c>
      <c r="DS367">
        <f>IF(ISBLANK('Data Entry'!$»$367), "", 'Data Entry'!$»$367)</f>
      </c>
      <c r="DT367">
        <f>IF(ISBLANK('Data Entry'!$¼$367), "", 'Data Entry'!$¼$367)</f>
      </c>
      <c r="DU367">
        <f>IF(ISBLANK('Data Entry'!$½$367), "", 'Data Entry'!$½$367)</f>
      </c>
      <c r="DV367">
        <f>IF(ISBLANK('Data Entry'!$¾$367), "", 'Data Entry'!$¾$367)</f>
      </c>
      <c r="DW367">
        <f>IF(ISBLANK('Data Entry'!$¿$367), "", 'Data Entry'!$¿$367)</f>
      </c>
      <c r="DX367">
        <f>IF(ISBLANK('Data Entry'!$À$367), "", 'Data Entry'!$À$367)</f>
      </c>
      <c r="DY367">
        <f>IF(ISBLANK('Data Entry'!$Á$367), "", 'Data Entry'!$Á$367)</f>
      </c>
      <c r="DZ367">
        <f>IF(ISBLANK('Data Entry'!$Â$367), "", 'Data Entry'!$Â$367)</f>
      </c>
      <c r="EA367">
        <f>IF(ISBLANK('Data Entry'!$Ã$367), "", 'Data Entry'!$Ã$367)</f>
      </c>
      <c r="EB367">
        <f>IF(ISBLANK('Data Entry'!$Ä$367), "", 'Data Entry'!$Ä$367)</f>
      </c>
      <c r="EC367">
        <f>IF(ISBLANK('Data Entry'!$Å$367), "", 'Data Entry'!$Å$367)</f>
      </c>
      <c r="ED367">
        <f>IF(ISBLANK('Data Entry'!$Æ$367), "", 'Data Entry'!$Æ$367)</f>
      </c>
      <c r="EE367">
        <f>IF(ISBLANK('Data Entry'!$Ç$367), "", 'Data Entry'!$Ç$367)</f>
      </c>
      <c r="EF367">
        <f>IF(ISBLANK('Data Entry'!$È$367), "", 'Data Entry'!$È$367)</f>
      </c>
      <c r="EG367">
        <f>IF(ISBLANK('Data Entry'!$É$367), "", 'Data Entry'!$É$367)</f>
      </c>
      <c r="EH367">
        <f>IF(ISBLANK('Data Entry'!$Ê$367), "", 'Data Entry'!$Ê$367)</f>
      </c>
      <c r="EI367">
        <f>IF(ISBLANK('Data Entry'!$Ë$367), "", 'Data Entry'!$Ë$367)</f>
      </c>
      <c r="EJ367">
        <f>IF(ISBLANK('Data Entry'!$Ì$367), "", 'Data Entry'!$Ì$367)</f>
      </c>
      <c r="EK367">
        <f>IF(ISBLANK('Data Entry'!$Í$367), "", 'Data Entry'!$Í$367)</f>
      </c>
      <c r="EL367">
        <f>IF(ISBLANK('Data Entry'!$Î$367), "", 'Data Entry'!$Î$367)</f>
      </c>
      <c r="EM367">
        <f>IF(ISBLANK('Data Entry'!$Ï$367), "", 'Data Entry'!$Ï$367)</f>
      </c>
      <c r="EN367">
        <f>IF(ISBLANK('Data Entry'!$Ð$367), "", 'Data Entry'!$Ð$367)</f>
      </c>
      <c r="EO367">
        <f>IF(ISBLANK('Data Entry'!$Ñ$367), "", 'Data Entry'!$Ñ$367)</f>
      </c>
      <c r="EP367">
        <f>IF(ISBLANK('Data Entry'!$Ò$367), "", 'Data Entry'!$Ò$367)</f>
      </c>
      <c r="EQ367">
        <f>IF(ISBLANK('Data Entry'!$Ó$367), "", 'Data Entry'!$Ó$367)</f>
      </c>
      <c r="ER367">
        <f>IF(ISBLANK('Data Entry'!$Ô$367), "", 'Data Entry'!$Ô$367)</f>
      </c>
      <c r="ES367">
        <f>IF(ISBLANK('Data Entry'!$Õ$367), "", 'Data Entry'!$Õ$367)</f>
      </c>
      <c r="ET367">
        <f>IF(ISBLANK('Data Entry'!$Ö$367), "", 'Data Entry'!$Ö$367)</f>
      </c>
      <c r="EU367">
        <f>IF(ISBLANK('Data Entry'!$×$367), "", 'Data Entry'!$×$367)</f>
      </c>
      <c r="EV367">
        <f>IF(ISBLANK('Data Entry'!$Ø$367), "", 'Data Entry'!$Ø$367)</f>
      </c>
      <c r="EW367">
        <f>IF(ISBLANK('Data Entry'!$Ù$367), "", 'Data Entry'!$Ù$367)</f>
      </c>
      <c r="EX367">
        <f>IF(ISBLANK('Data Entry'!$Ú$367), "", 'Data Entry'!$Ú$367)</f>
      </c>
      <c r="EY367">
        <f>IF(ISBLANK('Data Entry'!$Û$367), "", 'Data Entry'!$Û$367)</f>
      </c>
      <c r="EZ367">
        <f>IF(ISBLANK('Data Entry'!$Ü$367), "", 'Data Entry'!$Ü$367)</f>
      </c>
      <c r="FA367">
        <f>IF(ISBLANK('Data Entry'!$Ý$367), "", 'Data Entry'!$Ý$367)</f>
      </c>
      <c r="FB367">
        <f>IF(ISBLANK('Data Entry'!$Þ$367), "", 'Data Entry'!$Þ$367)</f>
      </c>
      <c r="FC367">
        <f>IF(ISBLANK('Data Entry'!$ß$367), "", 'Data Entry'!$ß$367)</f>
      </c>
      <c r="FD367">
        <f>IF(ISBLANK('Data Entry'!$à$367), "", 'Data Entry'!$à$367)</f>
      </c>
      <c r="FE367">
        <f>IF(ISBLANK('Data Entry'!$á$367), "", 'Data Entry'!$á$367)</f>
      </c>
      <c r="FF367">
        <f>IF(ISBLANK('Data Entry'!$â$367), "", 'Data Entry'!$â$367)</f>
      </c>
      <c r="FG367">
        <f>IF(ISBLANK('Data Entry'!$ã$367), "", 'Data Entry'!$ã$367)</f>
      </c>
      <c r="FH367">
        <f>IF(ISBLANK('Data Entry'!$ä$367), "", 'Data Entry'!$ä$367)</f>
      </c>
      <c r="FI367">
        <f>IF(ISBLANK('Data Entry'!$å$367), "", 'Data Entry'!$å$367)</f>
      </c>
      <c r="FJ367">
        <f>IF(ISBLANK('Data Entry'!$æ$367), "", 'Data Entry'!$æ$367)</f>
      </c>
      <c r="FK367">
        <f>IF(ISBLANK('Data Entry'!$ç$367), "", 'Data Entry'!$ç$367)</f>
      </c>
      <c r="FL367">
        <f>IF(ISBLANK('Data Entry'!$è$367), "", 'Data Entry'!$è$367)</f>
      </c>
      <c r="FM367">
        <f>IF(ISBLANK('Data Entry'!$é$367), "", 'Data Entry'!$é$367)</f>
      </c>
      <c r="FN367">
        <f>IF(ISBLANK('Data Entry'!$ê$367), "", 'Data Entry'!$ê$367)</f>
      </c>
      <c r="FO367">
        <f>IF(ISBLANK('Data Entry'!$ë$367), "", 'Data Entry'!$ë$367)</f>
      </c>
      <c r="FP367">
        <f>IF(ISBLANK('Data Entry'!$ì$367), "", 'Data Entry'!$ì$367)</f>
      </c>
      <c r="FQ367">
        <f>IF(ISBLANK('Data Entry'!$í$367), "", 'Data Entry'!$í$367)</f>
      </c>
      <c r="FR367">
        <f>IF(ISBLANK('Data Entry'!$î$367), "", 'Data Entry'!$î$367)</f>
      </c>
      <c r="FS367">
        <f>IF(ISBLANK('Data Entry'!$ï$367), "", 'Data Entry'!$ï$367)</f>
      </c>
      <c r="FT367">
        <f>IF(ISBLANK('Data Entry'!$ð$367), "", 'Data Entry'!$ð$367)</f>
      </c>
      <c r="FU367">
        <f>IF(ISBLANK('Data Entry'!$ñ$367), "", 'Data Entry'!$ñ$367)</f>
      </c>
      <c r="FV367">
        <f>IF(ISBLANK('Data Entry'!$ò$367), "", 'Data Entry'!$ò$367)</f>
      </c>
      <c r="FW367">
        <f>IF(ISBLANK('Data Entry'!$ó$367), "", 'Data Entry'!$ó$367)</f>
      </c>
      <c r="FX367">
        <f>IF(ISBLANK('Data Entry'!$ô$367), "", 'Data Entry'!$ô$367)</f>
      </c>
      <c r="FY367">
        <f>IF(ISBLANK('Data Entry'!$õ$367), "", 'Data Entry'!$õ$367)</f>
      </c>
      <c r="FZ367">
        <f>IF(ISBLANK('Data Entry'!$ö$367), "", 'Data Entry'!$ö$367)</f>
      </c>
      <c r="GA367">
        <f>IF(ISBLANK('Data Entry'!$÷$367), "", 'Data Entry'!$÷$367)</f>
      </c>
      <c r="GB367">
        <f>IF(ISBLANK('Data Entry'!$ø$367), "", 'Data Entry'!$ø$367)</f>
      </c>
      <c r="GC367">
        <f>IF(ISBLANK('Data Entry'!$ù$367), "", 'Data Entry'!$ù$367)</f>
      </c>
      <c r="GD367">
        <f>IF(ISBLANK('Data Entry'!$ú$367), "", 'Data Entry'!$ú$367)</f>
      </c>
      <c r="GE367">
        <f>IF(ISBLANK('Data Entry'!$û$367), "", 'Data Entry'!$û$367)</f>
      </c>
      <c r="GF367">
        <f>IF(ISBLANK('Data Entry'!$ü$367), "", 'Data Entry'!$ü$367)</f>
      </c>
      <c r="GG367">
        <f>IF(ISBLANK('Data Entry'!$ý$367), "", 'Data Entry'!$ý$367)</f>
      </c>
      <c r="GH367">
        <f>IF(ISBLANK('Data Entry'!$þ$367), "", 'Data Entry'!$þ$367)</f>
      </c>
      <c r="GI367">
        <f>IF(ISBLANK('Data Entry'!$ÿ$367), "", 'Data Entry'!$ÿ$367)</f>
      </c>
      <c r="GJ367">
        <f>IF(ISBLANK('Data Entry'!$Ā$367), "", 'Data Entry'!$Ā$367)</f>
      </c>
      <c r="GK367">
        <f>IF(ISBLANK('Data Entry'!$ā$367), "", 'Data Entry'!$ā$367)</f>
      </c>
      <c r="GL367">
        <f>IF(ISBLANK('Data Entry'!$Ă$367), "", 'Data Entry'!$Ă$367)</f>
      </c>
      <c r="GM367">
        <f>IF(ISBLANK('Data Entry'!$ă$367), "", 'Data Entry'!$ă$367)</f>
      </c>
      <c r="GN367">
        <f>IF(ISBLANK('Data Entry'!$Ą$367), "", 'Data Entry'!$Ą$367)</f>
      </c>
      <c r="GO367">
        <f>IF(ISBLANK('Data Entry'!$ą$367), "", 'Data Entry'!$ą$367)</f>
      </c>
      <c r="GP367">
        <f>IF(ISBLANK('Data Entry'!$Ć$367), "", 'Data Entry'!$Ć$367)</f>
      </c>
      <c r="GQ367">
        <f>IF(ISBLANK('Data Entry'!$ć$367), "", 'Data Entry'!$ć$367)</f>
      </c>
      <c r="GR367">
        <f>IF(ISBLANK('Data Entry'!$Ĉ$367), "", 'Data Entry'!$Ĉ$367)</f>
      </c>
      <c r="GS367">
        <f>IF(ISBLANK('Data Entry'!$ĉ$367), "", 'Data Entry'!$ĉ$367)</f>
      </c>
      <c r="GT367">
        <f>IF(ISBLANK('Data Entry'!$Ċ$367), "", 'Data Entry'!$Ċ$367)</f>
      </c>
      <c r="GU367">
        <f>IF(ISBLANK('Data Entry'!$ċ$367), "", 'Data Entry'!$ċ$367)</f>
      </c>
      <c r="GV367">
        <f>IF(ISBLANK('Data Entry'!$Č$367), "", 'Data Entry'!$Č$367)</f>
      </c>
      <c r="GW367">
        <f>IF(ISBLANK('Data Entry'!$č$367), "", 'Data Entry'!$č$367)</f>
      </c>
      <c r="GX367">
        <f>IF(ISBLANK('Data Entry'!$Ď$367), "", 'Data Entry'!$Ď$367)</f>
      </c>
      <c r="GY367">
        <f>IF(ISBLANK('Data Entry'!$ď$367), "", 'Data Entry'!$ď$367)</f>
      </c>
      <c r="GZ367">
        <f>IF(ISBLANK('Data Entry'!$Đ$367), "", 'Data Entry'!$Đ$367)</f>
      </c>
      <c r="HA367">
        <f>IF(ISBLANK('Data Entry'!$đ$367), "", 'Data Entry'!$đ$367)</f>
      </c>
      <c r="HB367">
        <f>IF(ISBLANK('Data Entry'!$Ē$367), "", 'Data Entry'!$Ē$367)</f>
      </c>
      <c r="HC367">
        <f>IF(ISBLANK('Data Entry'!$ē$367), "", 'Data Entry'!$ē$367)</f>
      </c>
      <c r="HD367">
        <f>IF(ISBLANK('Data Entry'!$Ĕ$367), "", 'Data Entry'!$Ĕ$367)</f>
      </c>
      <c r="HE367">
        <f>IF(ISBLANK('Data Entry'!$ĕ$367), "", 'Data Entry'!$ĕ$367)</f>
      </c>
      <c r="HF367">
        <f>IF(ISBLANK('Data Entry'!$Ė$367), "", 'Data Entry'!$Ė$367)</f>
      </c>
      <c r="HG367">
        <f>IF(ISBLANK('Data Entry'!$ė$367), "", 'Data Entry'!$ė$367)</f>
      </c>
      <c r="HH367">
        <f>IF(ISBLANK('Data Entry'!$Ę$367), "", 'Data Entry'!$Ę$367)</f>
      </c>
      <c r="HI367">
        <f>IF(ISBLANK('Data Entry'!$ę$367), "", 'Data Entry'!$ę$367)</f>
      </c>
      <c r="HJ367">
        <f>IF(ISBLANK('Data Entry'!$Ě$367), "", 'Data Entry'!$Ě$367)</f>
      </c>
      <c r="HK367">
        <f>IF(ISBLANK('Data Entry'!$ě$367), "", 'Data Entry'!$ě$367)</f>
      </c>
      <c r="HL367">
        <f>IF(ISBLANK('Data Entry'!$Ĝ$367), "", 'Data Entry'!$Ĝ$367)</f>
      </c>
      <c r="HM367">
        <f>IF(ISBLANK('Data Entry'!$ĝ$367), "", 'Data Entry'!$ĝ$367)</f>
      </c>
      <c r="HN367">
        <f>IF(ISBLANK('Data Entry'!$Ğ$367), "", 'Data Entry'!$Ğ$367)</f>
      </c>
      <c r="HO367">
        <f>IF(ISBLANK('Data Entry'!$ğ$367), "", 'Data Entry'!$ğ$367)</f>
      </c>
      <c r="HP367">
        <f>IF(ISBLANK('Data Entry'!$Ġ$367), "", 'Data Entry'!$Ġ$367)</f>
      </c>
      <c r="HQ367">
        <f>IF(ISBLANK('Data Entry'!$ġ$367), "", 'Data Entry'!$ġ$367)</f>
      </c>
      <c r="HR367">
        <f>IF(ISBLANK('Data Entry'!$Ģ$367), "", 'Data Entry'!$Ģ$367)</f>
      </c>
      <c r="HS367">
        <f>IF(ISBLANK('Data Entry'!$ģ$367), "", 'Data Entry'!$ģ$367)</f>
      </c>
      <c r="HT367">
        <f>IF(ISBLANK('Data Entry'!$Ĥ$367), "", 'Data Entry'!$Ĥ$367)</f>
      </c>
      <c r="HU367">
        <f>IF(ISBLANK('Data Entry'!$ĥ$367), "", 'Data Entry'!$ĥ$367)</f>
      </c>
      <c r="HV367">
        <f>IF(ISBLANK('Data Entry'!$Ħ$367), "", 'Data Entry'!$Ħ$367)</f>
      </c>
      <c r="HW367">
        <f>IF(ISBLANK('Data Entry'!$ħ$367), "", 'Data Entry'!$ħ$367)</f>
      </c>
      <c r="HX367">
        <f>IF(ISBLANK('Data Entry'!$Ĩ$367), "", 'Data Entry'!$Ĩ$367)</f>
      </c>
      <c r="HY367">
        <f>IF(ISBLANK('Data Entry'!$ĩ$367), "", 'Data Entry'!$ĩ$367)</f>
      </c>
      <c r="HZ367">
        <f>IF(ISBLANK('Data Entry'!$Ī$367), "", 'Data Entry'!$Ī$367)</f>
      </c>
      <c r="IA367">
        <f>IF(ISBLANK('Data Entry'!$ī$367), "", 'Data Entry'!$ī$367)</f>
      </c>
      <c r="IB367">
        <f>IF(ISBLANK('Data Entry'!$Ĭ$367), "", 'Data Entry'!$Ĭ$367)</f>
      </c>
      <c r="IC367">
        <f>IF(ISBLANK('Data Entry'!$ĭ$367), "", 'Data Entry'!$ĭ$367)</f>
      </c>
      <c r="ID367">
        <f>IF(ISBLANK('Data Entry'!$Į$367), "", 'Data Entry'!$Į$367)</f>
      </c>
      <c r="IE367">
        <f>IF(ISBLANK('Data Entry'!$į$367), "", 'Data Entry'!$į$367)</f>
      </c>
      <c r="IF367">
        <f>IF(ISBLANK('Data Entry'!$İ$367), "", 'Data Entry'!$İ$367)</f>
      </c>
      <c r="IG367">
        <f>IF(ISBLANK('Data Entry'!$ı$367), "", 'Data Entry'!$ı$367)</f>
      </c>
      <c r="IH367">
        <f>IF(ISBLANK('Data Entry'!$Ĳ$367), "", 'Data Entry'!$Ĳ$367)</f>
      </c>
      <c r="II367">
        <f>IF(ISBLANK('Data Entry'!$ĳ$367), "", 'Data Entry'!$ĳ$367)</f>
      </c>
      <c r="IJ367">
        <f>IF(ISBLANK('Data Entry'!$Ĵ$367), "", 'Data Entry'!$Ĵ$367)</f>
      </c>
      <c r="IK367">
        <f>IF(ISBLANK('Data Entry'!$ĵ$367), "", 'Data Entry'!$ĵ$367)</f>
      </c>
      <c r="IL367">
        <f>IF(ISBLANK('Data Entry'!$Ķ$367), "", 'Data Entry'!$Ķ$367)</f>
      </c>
      <c r="IM367">
        <f>IF(ISBLANK('Data Entry'!$ķ$367), "", 'Data Entry'!$ķ$367)</f>
      </c>
      <c r="IN367">
        <f>IF(ISBLANK('Data Entry'!$ĸ$367), "", 'Data Entry'!$ĸ$367)</f>
      </c>
      <c r="IO367">
        <f>IF(ISBLANK('Data Entry'!$Ĺ$367), "", 'Data Entry'!$Ĺ$367)</f>
      </c>
      <c r="IP367">
        <f>IF(ISBLANK('Data Entry'!$ĺ$367), "", 'Data Entry'!$ĺ$367)</f>
      </c>
      <c r="IQ367">
        <f>IF(ISBLANK('Data Entry'!$Ļ$367), "", 'Data Entry'!$Ļ$367)</f>
      </c>
      <c r="IR367">
        <f>IF(ISBLANK('Data Entry'!$ļ$367), "", 'Data Entry'!$ļ$367)</f>
      </c>
      <c r="IS367">
        <f>IF(ISBLANK('Data Entry'!$Ľ$367), "", 'Data Entry'!$Ľ$367)</f>
      </c>
      <c r="IT367">
        <f>IF(ISBLANK('Data Entry'!$ľ$367), "", 'Data Entry'!$ľ$367)</f>
      </c>
    </row>
    <row r="368" spans="1:254" x14ac:dyDescent="0.25">
      <c r="A368">
        <f>IF(ISBLANK('Data Entry'!$A$368), "", 'Data Entry'!$A$368)</f>
      </c>
      <c r="B368">
        <f>IF(ISBLANK('Data Entry'!$B$368), "", 'Data Entry'!$B$368)</f>
      </c>
      <c r="C368">
        <f>IF(ISBLANK('Data Entry'!$C$368), "", 'Data Entry'!$C$368)</f>
      </c>
      <c r="D368">
        <f>IF(ISBLANK('Data Entry'!$D$368), "", 'Data Entry'!$D$368)</f>
      </c>
      <c r="E368">
        <f>IF(ISBLANK('Data Entry'!$E$368), "", 'Data Entry'!$E$368)</f>
      </c>
      <c r="F368">
        <f>IF(ISBLANK('Data Entry'!$F$368), "", 'Data Entry'!$F$368)</f>
      </c>
      <c r="G368">
        <f>IF(ISBLANK('Data Entry'!$G$368), "", 'Data Entry'!$G$368)</f>
      </c>
      <c r="H368">
        <f>IF(ISBLANK('Data Entry'!$H$368), "", 'Data Entry'!$H$368)</f>
      </c>
      <c r="I368">
        <f>IF(ISBLANK('Data Entry'!$I$368), "", 'Data Entry'!$I$368)</f>
      </c>
      <c r="J368">
        <f>IF(ISBLANK('Data Entry'!$J$368), "", 'Data Entry'!$J$368)</f>
      </c>
      <c r="K368">
        <f>IF(ISBLANK('Data Entry'!$K$368), "", 'Data Entry'!$K$368)</f>
      </c>
      <c r="L368">
        <f>IF(ISBLANK('Data Entry'!$L$368), "", 'Data Entry'!$L$368)</f>
      </c>
      <c r="M368">
        <f>IF(ISBLANK('Data Entry'!$M$368), "", 'Data Entry'!$M$368)</f>
      </c>
      <c r="N368">
        <f>IF(ISBLANK('Data Entry'!$N$368), "", 'Data Entry'!$N$368)</f>
      </c>
      <c r="O368">
        <f>IF(ISBLANK('Data Entry'!$O$368), "", 'Data Entry'!$O$368)</f>
      </c>
      <c r="P368">
        <f>IF(ISBLANK('Data Entry'!$P$368), "", 'Data Entry'!$P$368)</f>
      </c>
      <c r="Q368">
        <f>IF(ISBLANK('Data Entry'!$Q$368), "", 'Data Entry'!$Q$368)</f>
      </c>
      <c r="R368">
        <f>IF(ISBLANK('Data Entry'!$R$368), "", 'Data Entry'!$R$368)</f>
      </c>
      <c r="S368">
        <f>IF(ISBLANK('Data Entry'!$S$368), "", 'Data Entry'!$S$368)</f>
      </c>
      <c r="T368">
        <f>IF(ISBLANK('Data Entry'!$T$368), "", 'Data Entry'!$T$368)</f>
      </c>
      <c r="U368">
        <f>IF(ISBLANK('Data Entry'!$U$368), "", 'Data Entry'!$U$368)</f>
      </c>
      <c r="V368">
        <f>IF(ISBLANK('Data Entry'!$V$368), "", 'Data Entry'!$V$368)</f>
      </c>
      <c r="W368">
        <f>IF(ISBLANK('Data Entry'!$W$368), "", 'Data Entry'!$W$368)</f>
      </c>
      <c r="X368">
        <f>IF(ISBLANK('Data Entry'!$X$368), "", 'Data Entry'!$X$368)</f>
      </c>
      <c r="Y368">
        <f>IF(ISBLANK('Data Entry'!$Y$368), "", 'Data Entry'!$Y$368)</f>
      </c>
      <c r="Z368">
        <f>IF(ISBLANK('Data Entry'!$Z$368), "", 'Data Entry'!$Z$368)</f>
      </c>
      <c r="AA368">
        <f>IF(ISBLANK('Data Entry'!$[$368), "", 'Data Entry'!$[$368)</f>
      </c>
      <c r="AB368">
        <f>IF(ISBLANK('Data Entry'!$\$368), "", 'Data Entry'!$\$368)</f>
      </c>
      <c r="AC368">
        <f>IF(ISBLANK('Data Entry'!$]$368), "", 'Data Entry'!$]$368)</f>
      </c>
      <c r="AD368">
        <f>IF(ISBLANK('Data Entry'!$^$368), "", 'Data Entry'!$^$368)</f>
      </c>
      <c r="AE368">
        <f>IF(ISBLANK('Data Entry'!$_$368), "", 'Data Entry'!$_$368)</f>
      </c>
      <c r="AF368">
        <f>IF(ISBLANK('Data Entry'!$`$368), "", 'Data Entry'!$`$368)</f>
      </c>
      <c r="AG368">
        <f>IF(ISBLANK('Data Entry'!$a$368), "", 'Data Entry'!$a$368)</f>
      </c>
      <c r="AH368">
        <f>IF(ISBLANK('Data Entry'!$b$368), "", 'Data Entry'!$b$368)</f>
      </c>
      <c r="AI368">
        <f>IF(ISBLANK('Data Entry'!$c$368), "", 'Data Entry'!$c$368)</f>
      </c>
      <c r="AJ368">
        <f>IF(ISBLANK('Data Entry'!$d$368), "", 'Data Entry'!$d$368)</f>
      </c>
      <c r="AK368">
        <f>IF(ISBLANK('Data Entry'!$e$368), "", 'Data Entry'!$e$368)</f>
      </c>
      <c r="AL368">
        <f>IF(ISBLANK('Data Entry'!$f$368), "", 'Data Entry'!$f$368)</f>
      </c>
      <c r="AM368">
        <f>IF(ISBLANK('Data Entry'!$g$368), "", 'Data Entry'!$g$368)</f>
      </c>
      <c r="AN368">
        <f>IF(ISBLANK('Data Entry'!$h$368), "", 'Data Entry'!$h$368)</f>
      </c>
      <c r="AO368">
        <f>IF(ISBLANK('Data Entry'!$i$368), "", 'Data Entry'!$i$368)</f>
      </c>
      <c r="AP368">
        <f>IF(ISBLANK('Data Entry'!$j$368), "", 'Data Entry'!$j$368)</f>
      </c>
      <c r="AQ368">
        <f>IF(ISBLANK('Data Entry'!$k$368), "", 'Data Entry'!$k$368)</f>
      </c>
      <c r="AR368">
        <f>IF(ISBLANK('Data Entry'!$l$368), "", 'Data Entry'!$l$368)</f>
      </c>
      <c r="AS368">
        <f>IF(ISBLANK('Data Entry'!$m$368), "", 'Data Entry'!$m$368)</f>
      </c>
      <c r="AT368">
        <f>IF(ISBLANK('Data Entry'!$n$368), "", 'Data Entry'!$n$368)</f>
      </c>
      <c r="AU368">
        <f>IF(ISBLANK('Data Entry'!$o$368), "", 'Data Entry'!$o$368)</f>
      </c>
      <c r="AV368">
        <f>IF(ISBLANK('Data Entry'!$p$368), "", 'Data Entry'!$p$368)</f>
      </c>
      <c r="AW368">
        <f>IF(ISBLANK('Data Entry'!$q$368), "", 'Data Entry'!$q$368)</f>
      </c>
      <c r="AX368">
        <f>IF(ISBLANK('Data Entry'!$r$368), "", 'Data Entry'!$r$368)</f>
      </c>
      <c r="AY368">
        <f>IF(ISBLANK('Data Entry'!$s$368), "", 'Data Entry'!$s$368)</f>
      </c>
      <c r="AZ368">
        <f>IF(ISBLANK('Data Entry'!$t$368), "", 'Data Entry'!$t$368)</f>
      </c>
      <c r="BA368">
        <f>IF(ISBLANK('Data Entry'!$u$368), "", 'Data Entry'!$u$368)</f>
      </c>
      <c r="BB368">
        <f>IF(ISBLANK('Data Entry'!$v$368), "", 'Data Entry'!$v$368)</f>
      </c>
      <c r="BC368">
        <f>IF(ISBLANK('Data Entry'!$w$368), "", 'Data Entry'!$w$368)</f>
      </c>
      <c r="BD368">
        <f>IF(ISBLANK('Data Entry'!$x$368), "", 'Data Entry'!$x$368)</f>
      </c>
      <c r="BE368">
        <f>IF(ISBLANK('Data Entry'!$y$368), "", 'Data Entry'!$y$368)</f>
      </c>
      <c r="BF368">
        <f>IF(ISBLANK('Data Entry'!$z$368), "", 'Data Entry'!$z$368)</f>
      </c>
      <c r="BG368">
        <f>IF(ISBLANK('Data Entry'!${$368), "", 'Data Entry'!${$368)</f>
      </c>
      <c r="BH368">
        <f>IF(ISBLANK('Data Entry'!$|$368), "", 'Data Entry'!$|$368)</f>
      </c>
      <c r="BI368">
        <f>IF(ISBLANK('Data Entry'!$}$368), "", 'Data Entry'!$}$368)</f>
      </c>
      <c r="BJ368">
        <f>IF(ISBLANK('Data Entry'!$~$368), "", 'Data Entry'!$~$368)</f>
      </c>
      <c r="BK368">
        <f>IF(ISBLANK('Data Entry'!$$368), "", 'Data Entry'!$$368)</f>
      </c>
      <c r="BL368">
        <f>IF(ISBLANK('Data Entry'!$$368), "", 'Data Entry'!$$368)</f>
      </c>
      <c r="BM368">
        <f>IF(ISBLANK('Data Entry'!$$368), "", 'Data Entry'!$$368)</f>
      </c>
      <c r="BN368">
        <f>IF(ISBLANK('Data Entry'!$$368), "", 'Data Entry'!$$368)</f>
      </c>
      <c r="BO368">
        <f>IF(ISBLANK('Data Entry'!$$368), "", 'Data Entry'!$$368)</f>
      </c>
      <c r="BP368">
        <f>IF(ISBLANK('Data Entry'!$$368), "", 'Data Entry'!$$368)</f>
      </c>
      <c r="BQ368">
        <f>IF(ISBLANK('Data Entry'!$$368), "", 'Data Entry'!$$368)</f>
      </c>
      <c r="BR368">
        <f>IF(ISBLANK('Data Entry'!$$368), "", 'Data Entry'!$$368)</f>
      </c>
      <c r="BS368">
        <f>IF(ISBLANK('Data Entry'!$$368), "", 'Data Entry'!$$368)</f>
      </c>
      <c r="BT368">
        <f>IF(ISBLANK('Data Entry'!$$368), "", 'Data Entry'!$$368)</f>
      </c>
      <c r="BU368">
        <f>IF(ISBLANK('Data Entry'!$$368), "", 'Data Entry'!$$368)</f>
      </c>
      <c r="BV368">
        <f>IF(ISBLANK('Data Entry'!$$368), "", 'Data Entry'!$$368)</f>
      </c>
      <c r="BW368">
        <f>IF(ISBLANK('Data Entry'!$$368), "", 'Data Entry'!$$368)</f>
      </c>
      <c r="BX368">
        <f>IF(ISBLANK('Data Entry'!$$368), "", 'Data Entry'!$$368)</f>
      </c>
      <c r="BY368">
        <f>IF(ISBLANK('Data Entry'!$$368), "", 'Data Entry'!$$368)</f>
      </c>
      <c r="BZ368">
        <f>IF(ISBLANK('Data Entry'!$$368), "", 'Data Entry'!$$368)</f>
      </c>
      <c r="CA368">
        <f>IF(ISBLANK('Data Entry'!$$368), "", 'Data Entry'!$$368)</f>
      </c>
      <c r="CB368">
        <f>IF(ISBLANK('Data Entry'!$$368), "", 'Data Entry'!$$368)</f>
      </c>
      <c r="CC368">
        <f>IF(ISBLANK('Data Entry'!$$368), "", 'Data Entry'!$$368)</f>
      </c>
      <c r="CD368">
        <f>IF(ISBLANK('Data Entry'!$$368), "", 'Data Entry'!$$368)</f>
      </c>
      <c r="CE368">
        <f>IF(ISBLANK('Data Entry'!$$368), "", 'Data Entry'!$$368)</f>
      </c>
      <c r="CF368">
        <f>IF(ISBLANK('Data Entry'!$$368), "", 'Data Entry'!$$368)</f>
      </c>
      <c r="CG368">
        <f>IF(ISBLANK('Data Entry'!$$368), "", 'Data Entry'!$$368)</f>
      </c>
      <c r="CH368">
        <f>IF(ISBLANK('Data Entry'!$$368), "", 'Data Entry'!$$368)</f>
      </c>
      <c r="CI368">
        <f>IF(ISBLANK('Data Entry'!$$368), "", 'Data Entry'!$$368)</f>
      </c>
      <c r="CJ368">
        <f>IF(ISBLANK('Data Entry'!$$368), "", 'Data Entry'!$$368)</f>
      </c>
      <c r="CK368">
        <f>IF(ISBLANK('Data Entry'!$$368), "", 'Data Entry'!$$368)</f>
      </c>
      <c r="CL368">
        <f>IF(ISBLANK('Data Entry'!$$368), "", 'Data Entry'!$$368)</f>
      </c>
      <c r="CM368">
        <f>IF(ISBLANK('Data Entry'!$$368), "", 'Data Entry'!$$368)</f>
      </c>
      <c r="CN368">
        <f>IF(ISBLANK('Data Entry'!$$368), "", 'Data Entry'!$$368)</f>
      </c>
      <c r="CO368">
        <f>IF(ISBLANK('Data Entry'!$$368), "", 'Data Entry'!$$368)</f>
      </c>
      <c r="CP368">
        <f>IF(ISBLANK('Data Entry'!$$368), "", 'Data Entry'!$$368)</f>
      </c>
      <c r="CQ368">
        <f>IF(ISBLANK('Data Entry'!$$368), "", 'Data Entry'!$$368)</f>
      </c>
      <c r="CR368">
        <f>IF(ISBLANK('Data Entry'!$ $368), "", 'Data Entry'!$ $368)</f>
      </c>
      <c r="CS368">
        <f>IF(ISBLANK('Data Entry'!$¡$368), "", 'Data Entry'!$¡$368)</f>
      </c>
      <c r="CT368">
        <f>IF(ISBLANK('Data Entry'!$¢$368), "", 'Data Entry'!$¢$368)</f>
      </c>
      <c r="CU368">
        <f>IF(ISBLANK('Data Entry'!$£$368), "", 'Data Entry'!$£$368)</f>
      </c>
      <c r="CV368">
        <f>IF(ISBLANK('Data Entry'!$¤$368), "", 'Data Entry'!$¤$368)</f>
      </c>
      <c r="CW368">
        <f>IF(ISBLANK('Data Entry'!$¥$368), "", 'Data Entry'!$¥$368)</f>
      </c>
      <c r="CX368">
        <f>IF(ISBLANK('Data Entry'!$¦$368), "", 'Data Entry'!$¦$368)</f>
      </c>
      <c r="CY368">
        <f>IF(ISBLANK('Data Entry'!$§$368), "", 'Data Entry'!$§$368)</f>
      </c>
      <c r="CZ368">
        <f>IF(ISBLANK('Data Entry'!$¨$368), "", 'Data Entry'!$¨$368)</f>
      </c>
      <c r="DA368">
        <f>IF(ISBLANK('Data Entry'!$©$368), "", 'Data Entry'!$©$368)</f>
      </c>
      <c r="DB368">
        <f>IF(ISBLANK('Data Entry'!$ª$368), "", 'Data Entry'!$ª$368)</f>
      </c>
      <c r="DC368">
        <f>IF(ISBLANK('Data Entry'!$«$368), "", 'Data Entry'!$«$368)</f>
      </c>
      <c r="DD368">
        <f>IF(ISBLANK('Data Entry'!$¬$368), "", 'Data Entry'!$¬$368)</f>
      </c>
      <c r="DE368">
        <f>IF(ISBLANK('Data Entry'!$­$368), "", 'Data Entry'!$­$368)</f>
      </c>
      <c r="DF368">
        <f>IF(ISBLANK('Data Entry'!$®$368), "", 'Data Entry'!$®$368)</f>
      </c>
      <c r="DG368">
        <f>IF(ISBLANK('Data Entry'!$¯$368), "", 'Data Entry'!$¯$368)</f>
      </c>
      <c r="DH368">
        <f>IF(ISBLANK('Data Entry'!$°$368), "", 'Data Entry'!$°$368)</f>
      </c>
      <c r="DI368">
        <f>IF(ISBLANK('Data Entry'!$±$368), "", 'Data Entry'!$±$368)</f>
      </c>
      <c r="DJ368">
        <f>IF(ISBLANK('Data Entry'!$²$368), "", 'Data Entry'!$²$368)</f>
      </c>
      <c r="DK368">
        <f>IF(ISBLANK('Data Entry'!$³$368), "", 'Data Entry'!$³$368)</f>
      </c>
      <c r="DL368">
        <f>IF(ISBLANK('Data Entry'!$´$368), "", 'Data Entry'!$´$368)</f>
      </c>
      <c r="DM368">
        <f>IF(ISBLANK('Data Entry'!$µ$368), "", 'Data Entry'!$µ$368)</f>
      </c>
      <c r="DN368">
        <f>IF(ISBLANK('Data Entry'!$¶$368), "", 'Data Entry'!$¶$368)</f>
      </c>
      <c r="DO368">
        <f>IF(ISBLANK('Data Entry'!$·$368), "", 'Data Entry'!$·$368)</f>
      </c>
      <c r="DP368">
        <f>IF(ISBLANK('Data Entry'!$¸$368), "", 'Data Entry'!$¸$368)</f>
      </c>
      <c r="DQ368">
        <f>IF(ISBLANK('Data Entry'!$¹$368), "", 'Data Entry'!$¹$368)</f>
      </c>
      <c r="DR368">
        <f>IF(ISBLANK('Data Entry'!$º$368), "", 'Data Entry'!$º$368)</f>
      </c>
      <c r="DS368">
        <f>IF(ISBLANK('Data Entry'!$»$368), "", 'Data Entry'!$»$368)</f>
      </c>
      <c r="DT368">
        <f>IF(ISBLANK('Data Entry'!$¼$368), "", 'Data Entry'!$¼$368)</f>
      </c>
      <c r="DU368">
        <f>IF(ISBLANK('Data Entry'!$½$368), "", 'Data Entry'!$½$368)</f>
      </c>
      <c r="DV368">
        <f>IF(ISBLANK('Data Entry'!$¾$368), "", 'Data Entry'!$¾$368)</f>
      </c>
      <c r="DW368">
        <f>IF(ISBLANK('Data Entry'!$¿$368), "", 'Data Entry'!$¿$368)</f>
      </c>
      <c r="DX368">
        <f>IF(ISBLANK('Data Entry'!$À$368), "", 'Data Entry'!$À$368)</f>
      </c>
      <c r="DY368">
        <f>IF(ISBLANK('Data Entry'!$Á$368), "", 'Data Entry'!$Á$368)</f>
      </c>
      <c r="DZ368">
        <f>IF(ISBLANK('Data Entry'!$Â$368), "", 'Data Entry'!$Â$368)</f>
      </c>
      <c r="EA368">
        <f>IF(ISBLANK('Data Entry'!$Ã$368), "", 'Data Entry'!$Ã$368)</f>
      </c>
      <c r="EB368">
        <f>IF(ISBLANK('Data Entry'!$Ä$368), "", 'Data Entry'!$Ä$368)</f>
      </c>
      <c r="EC368">
        <f>IF(ISBLANK('Data Entry'!$Å$368), "", 'Data Entry'!$Å$368)</f>
      </c>
      <c r="ED368">
        <f>IF(ISBLANK('Data Entry'!$Æ$368), "", 'Data Entry'!$Æ$368)</f>
      </c>
      <c r="EE368">
        <f>IF(ISBLANK('Data Entry'!$Ç$368), "", 'Data Entry'!$Ç$368)</f>
      </c>
      <c r="EF368">
        <f>IF(ISBLANK('Data Entry'!$È$368), "", 'Data Entry'!$È$368)</f>
      </c>
      <c r="EG368">
        <f>IF(ISBLANK('Data Entry'!$É$368), "", 'Data Entry'!$É$368)</f>
      </c>
      <c r="EH368">
        <f>IF(ISBLANK('Data Entry'!$Ê$368), "", 'Data Entry'!$Ê$368)</f>
      </c>
      <c r="EI368">
        <f>IF(ISBLANK('Data Entry'!$Ë$368), "", 'Data Entry'!$Ë$368)</f>
      </c>
      <c r="EJ368">
        <f>IF(ISBLANK('Data Entry'!$Ì$368), "", 'Data Entry'!$Ì$368)</f>
      </c>
      <c r="EK368">
        <f>IF(ISBLANK('Data Entry'!$Í$368), "", 'Data Entry'!$Í$368)</f>
      </c>
      <c r="EL368">
        <f>IF(ISBLANK('Data Entry'!$Î$368), "", 'Data Entry'!$Î$368)</f>
      </c>
      <c r="EM368">
        <f>IF(ISBLANK('Data Entry'!$Ï$368), "", 'Data Entry'!$Ï$368)</f>
      </c>
      <c r="EN368">
        <f>IF(ISBLANK('Data Entry'!$Ð$368), "", 'Data Entry'!$Ð$368)</f>
      </c>
      <c r="EO368">
        <f>IF(ISBLANK('Data Entry'!$Ñ$368), "", 'Data Entry'!$Ñ$368)</f>
      </c>
      <c r="EP368">
        <f>IF(ISBLANK('Data Entry'!$Ò$368), "", 'Data Entry'!$Ò$368)</f>
      </c>
      <c r="EQ368">
        <f>IF(ISBLANK('Data Entry'!$Ó$368), "", 'Data Entry'!$Ó$368)</f>
      </c>
      <c r="ER368">
        <f>IF(ISBLANK('Data Entry'!$Ô$368), "", 'Data Entry'!$Ô$368)</f>
      </c>
      <c r="ES368">
        <f>IF(ISBLANK('Data Entry'!$Õ$368), "", 'Data Entry'!$Õ$368)</f>
      </c>
      <c r="ET368">
        <f>IF(ISBLANK('Data Entry'!$Ö$368), "", 'Data Entry'!$Ö$368)</f>
      </c>
      <c r="EU368">
        <f>IF(ISBLANK('Data Entry'!$×$368), "", 'Data Entry'!$×$368)</f>
      </c>
      <c r="EV368">
        <f>IF(ISBLANK('Data Entry'!$Ø$368), "", 'Data Entry'!$Ø$368)</f>
      </c>
      <c r="EW368">
        <f>IF(ISBLANK('Data Entry'!$Ù$368), "", 'Data Entry'!$Ù$368)</f>
      </c>
      <c r="EX368">
        <f>IF(ISBLANK('Data Entry'!$Ú$368), "", 'Data Entry'!$Ú$368)</f>
      </c>
      <c r="EY368">
        <f>IF(ISBLANK('Data Entry'!$Û$368), "", 'Data Entry'!$Û$368)</f>
      </c>
      <c r="EZ368">
        <f>IF(ISBLANK('Data Entry'!$Ü$368), "", 'Data Entry'!$Ü$368)</f>
      </c>
      <c r="FA368">
        <f>IF(ISBLANK('Data Entry'!$Ý$368), "", 'Data Entry'!$Ý$368)</f>
      </c>
      <c r="FB368">
        <f>IF(ISBLANK('Data Entry'!$Þ$368), "", 'Data Entry'!$Þ$368)</f>
      </c>
      <c r="FC368">
        <f>IF(ISBLANK('Data Entry'!$ß$368), "", 'Data Entry'!$ß$368)</f>
      </c>
      <c r="FD368">
        <f>IF(ISBLANK('Data Entry'!$à$368), "", 'Data Entry'!$à$368)</f>
      </c>
      <c r="FE368">
        <f>IF(ISBLANK('Data Entry'!$á$368), "", 'Data Entry'!$á$368)</f>
      </c>
      <c r="FF368">
        <f>IF(ISBLANK('Data Entry'!$â$368), "", 'Data Entry'!$â$368)</f>
      </c>
      <c r="FG368">
        <f>IF(ISBLANK('Data Entry'!$ã$368), "", 'Data Entry'!$ã$368)</f>
      </c>
      <c r="FH368">
        <f>IF(ISBLANK('Data Entry'!$ä$368), "", 'Data Entry'!$ä$368)</f>
      </c>
      <c r="FI368">
        <f>IF(ISBLANK('Data Entry'!$å$368), "", 'Data Entry'!$å$368)</f>
      </c>
      <c r="FJ368">
        <f>IF(ISBLANK('Data Entry'!$æ$368), "", 'Data Entry'!$æ$368)</f>
      </c>
      <c r="FK368">
        <f>IF(ISBLANK('Data Entry'!$ç$368), "", 'Data Entry'!$ç$368)</f>
      </c>
      <c r="FL368">
        <f>IF(ISBLANK('Data Entry'!$è$368), "", 'Data Entry'!$è$368)</f>
      </c>
      <c r="FM368">
        <f>IF(ISBLANK('Data Entry'!$é$368), "", 'Data Entry'!$é$368)</f>
      </c>
      <c r="FN368">
        <f>IF(ISBLANK('Data Entry'!$ê$368), "", 'Data Entry'!$ê$368)</f>
      </c>
      <c r="FO368">
        <f>IF(ISBLANK('Data Entry'!$ë$368), "", 'Data Entry'!$ë$368)</f>
      </c>
      <c r="FP368">
        <f>IF(ISBLANK('Data Entry'!$ì$368), "", 'Data Entry'!$ì$368)</f>
      </c>
      <c r="FQ368">
        <f>IF(ISBLANK('Data Entry'!$í$368), "", 'Data Entry'!$í$368)</f>
      </c>
      <c r="FR368">
        <f>IF(ISBLANK('Data Entry'!$î$368), "", 'Data Entry'!$î$368)</f>
      </c>
      <c r="FS368">
        <f>IF(ISBLANK('Data Entry'!$ï$368), "", 'Data Entry'!$ï$368)</f>
      </c>
      <c r="FT368">
        <f>IF(ISBLANK('Data Entry'!$ð$368), "", 'Data Entry'!$ð$368)</f>
      </c>
      <c r="FU368">
        <f>IF(ISBLANK('Data Entry'!$ñ$368), "", 'Data Entry'!$ñ$368)</f>
      </c>
      <c r="FV368">
        <f>IF(ISBLANK('Data Entry'!$ò$368), "", 'Data Entry'!$ò$368)</f>
      </c>
      <c r="FW368">
        <f>IF(ISBLANK('Data Entry'!$ó$368), "", 'Data Entry'!$ó$368)</f>
      </c>
      <c r="FX368">
        <f>IF(ISBLANK('Data Entry'!$ô$368), "", 'Data Entry'!$ô$368)</f>
      </c>
      <c r="FY368">
        <f>IF(ISBLANK('Data Entry'!$õ$368), "", 'Data Entry'!$õ$368)</f>
      </c>
      <c r="FZ368">
        <f>IF(ISBLANK('Data Entry'!$ö$368), "", 'Data Entry'!$ö$368)</f>
      </c>
      <c r="GA368">
        <f>IF(ISBLANK('Data Entry'!$÷$368), "", 'Data Entry'!$÷$368)</f>
      </c>
      <c r="GB368">
        <f>IF(ISBLANK('Data Entry'!$ø$368), "", 'Data Entry'!$ø$368)</f>
      </c>
      <c r="GC368">
        <f>IF(ISBLANK('Data Entry'!$ù$368), "", 'Data Entry'!$ù$368)</f>
      </c>
      <c r="GD368">
        <f>IF(ISBLANK('Data Entry'!$ú$368), "", 'Data Entry'!$ú$368)</f>
      </c>
      <c r="GE368">
        <f>IF(ISBLANK('Data Entry'!$û$368), "", 'Data Entry'!$û$368)</f>
      </c>
      <c r="GF368">
        <f>IF(ISBLANK('Data Entry'!$ü$368), "", 'Data Entry'!$ü$368)</f>
      </c>
      <c r="GG368">
        <f>IF(ISBLANK('Data Entry'!$ý$368), "", 'Data Entry'!$ý$368)</f>
      </c>
      <c r="GH368">
        <f>IF(ISBLANK('Data Entry'!$þ$368), "", 'Data Entry'!$þ$368)</f>
      </c>
      <c r="GI368">
        <f>IF(ISBLANK('Data Entry'!$ÿ$368), "", 'Data Entry'!$ÿ$368)</f>
      </c>
      <c r="GJ368">
        <f>IF(ISBLANK('Data Entry'!$Ā$368), "", 'Data Entry'!$Ā$368)</f>
      </c>
      <c r="GK368">
        <f>IF(ISBLANK('Data Entry'!$ā$368), "", 'Data Entry'!$ā$368)</f>
      </c>
      <c r="GL368">
        <f>IF(ISBLANK('Data Entry'!$Ă$368), "", 'Data Entry'!$Ă$368)</f>
      </c>
      <c r="GM368">
        <f>IF(ISBLANK('Data Entry'!$ă$368), "", 'Data Entry'!$ă$368)</f>
      </c>
      <c r="GN368">
        <f>IF(ISBLANK('Data Entry'!$Ą$368), "", 'Data Entry'!$Ą$368)</f>
      </c>
      <c r="GO368">
        <f>IF(ISBLANK('Data Entry'!$ą$368), "", 'Data Entry'!$ą$368)</f>
      </c>
      <c r="GP368">
        <f>IF(ISBLANK('Data Entry'!$Ć$368), "", 'Data Entry'!$Ć$368)</f>
      </c>
      <c r="GQ368">
        <f>IF(ISBLANK('Data Entry'!$ć$368), "", 'Data Entry'!$ć$368)</f>
      </c>
      <c r="GR368">
        <f>IF(ISBLANK('Data Entry'!$Ĉ$368), "", 'Data Entry'!$Ĉ$368)</f>
      </c>
      <c r="GS368">
        <f>IF(ISBLANK('Data Entry'!$ĉ$368), "", 'Data Entry'!$ĉ$368)</f>
      </c>
      <c r="GT368">
        <f>IF(ISBLANK('Data Entry'!$Ċ$368), "", 'Data Entry'!$Ċ$368)</f>
      </c>
      <c r="GU368">
        <f>IF(ISBLANK('Data Entry'!$ċ$368), "", 'Data Entry'!$ċ$368)</f>
      </c>
      <c r="GV368">
        <f>IF(ISBLANK('Data Entry'!$Č$368), "", 'Data Entry'!$Č$368)</f>
      </c>
      <c r="GW368">
        <f>IF(ISBLANK('Data Entry'!$č$368), "", 'Data Entry'!$č$368)</f>
      </c>
      <c r="GX368">
        <f>IF(ISBLANK('Data Entry'!$Ď$368), "", 'Data Entry'!$Ď$368)</f>
      </c>
      <c r="GY368">
        <f>IF(ISBLANK('Data Entry'!$ď$368), "", 'Data Entry'!$ď$368)</f>
      </c>
      <c r="GZ368">
        <f>IF(ISBLANK('Data Entry'!$Đ$368), "", 'Data Entry'!$Đ$368)</f>
      </c>
      <c r="HA368">
        <f>IF(ISBLANK('Data Entry'!$đ$368), "", 'Data Entry'!$đ$368)</f>
      </c>
      <c r="HB368">
        <f>IF(ISBLANK('Data Entry'!$Ē$368), "", 'Data Entry'!$Ē$368)</f>
      </c>
      <c r="HC368">
        <f>IF(ISBLANK('Data Entry'!$ē$368), "", 'Data Entry'!$ē$368)</f>
      </c>
      <c r="HD368">
        <f>IF(ISBLANK('Data Entry'!$Ĕ$368), "", 'Data Entry'!$Ĕ$368)</f>
      </c>
      <c r="HE368">
        <f>IF(ISBLANK('Data Entry'!$ĕ$368), "", 'Data Entry'!$ĕ$368)</f>
      </c>
      <c r="HF368">
        <f>IF(ISBLANK('Data Entry'!$Ė$368), "", 'Data Entry'!$Ė$368)</f>
      </c>
      <c r="HG368">
        <f>IF(ISBLANK('Data Entry'!$ė$368), "", 'Data Entry'!$ė$368)</f>
      </c>
      <c r="HH368">
        <f>IF(ISBLANK('Data Entry'!$Ę$368), "", 'Data Entry'!$Ę$368)</f>
      </c>
      <c r="HI368">
        <f>IF(ISBLANK('Data Entry'!$ę$368), "", 'Data Entry'!$ę$368)</f>
      </c>
      <c r="HJ368">
        <f>IF(ISBLANK('Data Entry'!$Ě$368), "", 'Data Entry'!$Ě$368)</f>
      </c>
      <c r="HK368">
        <f>IF(ISBLANK('Data Entry'!$ě$368), "", 'Data Entry'!$ě$368)</f>
      </c>
      <c r="HL368">
        <f>IF(ISBLANK('Data Entry'!$Ĝ$368), "", 'Data Entry'!$Ĝ$368)</f>
      </c>
      <c r="HM368">
        <f>IF(ISBLANK('Data Entry'!$ĝ$368), "", 'Data Entry'!$ĝ$368)</f>
      </c>
      <c r="HN368">
        <f>IF(ISBLANK('Data Entry'!$Ğ$368), "", 'Data Entry'!$Ğ$368)</f>
      </c>
      <c r="HO368">
        <f>IF(ISBLANK('Data Entry'!$ğ$368), "", 'Data Entry'!$ğ$368)</f>
      </c>
      <c r="HP368">
        <f>IF(ISBLANK('Data Entry'!$Ġ$368), "", 'Data Entry'!$Ġ$368)</f>
      </c>
      <c r="HQ368">
        <f>IF(ISBLANK('Data Entry'!$ġ$368), "", 'Data Entry'!$ġ$368)</f>
      </c>
      <c r="HR368">
        <f>IF(ISBLANK('Data Entry'!$Ģ$368), "", 'Data Entry'!$Ģ$368)</f>
      </c>
      <c r="HS368">
        <f>IF(ISBLANK('Data Entry'!$ģ$368), "", 'Data Entry'!$ģ$368)</f>
      </c>
      <c r="HT368">
        <f>IF(ISBLANK('Data Entry'!$Ĥ$368), "", 'Data Entry'!$Ĥ$368)</f>
      </c>
      <c r="HU368">
        <f>IF(ISBLANK('Data Entry'!$ĥ$368), "", 'Data Entry'!$ĥ$368)</f>
      </c>
      <c r="HV368">
        <f>IF(ISBLANK('Data Entry'!$Ħ$368), "", 'Data Entry'!$Ħ$368)</f>
      </c>
      <c r="HW368">
        <f>IF(ISBLANK('Data Entry'!$ħ$368), "", 'Data Entry'!$ħ$368)</f>
      </c>
      <c r="HX368">
        <f>IF(ISBLANK('Data Entry'!$Ĩ$368), "", 'Data Entry'!$Ĩ$368)</f>
      </c>
      <c r="HY368">
        <f>IF(ISBLANK('Data Entry'!$ĩ$368), "", 'Data Entry'!$ĩ$368)</f>
      </c>
      <c r="HZ368">
        <f>IF(ISBLANK('Data Entry'!$Ī$368), "", 'Data Entry'!$Ī$368)</f>
      </c>
      <c r="IA368">
        <f>IF(ISBLANK('Data Entry'!$ī$368), "", 'Data Entry'!$ī$368)</f>
      </c>
      <c r="IB368">
        <f>IF(ISBLANK('Data Entry'!$Ĭ$368), "", 'Data Entry'!$Ĭ$368)</f>
      </c>
      <c r="IC368">
        <f>IF(ISBLANK('Data Entry'!$ĭ$368), "", 'Data Entry'!$ĭ$368)</f>
      </c>
      <c r="ID368">
        <f>IF(ISBLANK('Data Entry'!$Į$368), "", 'Data Entry'!$Į$368)</f>
      </c>
      <c r="IE368">
        <f>IF(ISBLANK('Data Entry'!$į$368), "", 'Data Entry'!$į$368)</f>
      </c>
      <c r="IF368">
        <f>IF(ISBLANK('Data Entry'!$İ$368), "", 'Data Entry'!$İ$368)</f>
      </c>
      <c r="IG368">
        <f>IF(ISBLANK('Data Entry'!$ı$368), "", 'Data Entry'!$ı$368)</f>
      </c>
      <c r="IH368">
        <f>IF(ISBLANK('Data Entry'!$Ĳ$368), "", 'Data Entry'!$Ĳ$368)</f>
      </c>
      <c r="II368">
        <f>IF(ISBLANK('Data Entry'!$ĳ$368), "", 'Data Entry'!$ĳ$368)</f>
      </c>
      <c r="IJ368">
        <f>IF(ISBLANK('Data Entry'!$Ĵ$368), "", 'Data Entry'!$Ĵ$368)</f>
      </c>
      <c r="IK368">
        <f>IF(ISBLANK('Data Entry'!$ĵ$368), "", 'Data Entry'!$ĵ$368)</f>
      </c>
      <c r="IL368">
        <f>IF(ISBLANK('Data Entry'!$Ķ$368), "", 'Data Entry'!$Ķ$368)</f>
      </c>
      <c r="IM368">
        <f>IF(ISBLANK('Data Entry'!$ķ$368), "", 'Data Entry'!$ķ$368)</f>
      </c>
      <c r="IN368">
        <f>IF(ISBLANK('Data Entry'!$ĸ$368), "", 'Data Entry'!$ĸ$368)</f>
      </c>
      <c r="IO368">
        <f>IF(ISBLANK('Data Entry'!$Ĺ$368), "", 'Data Entry'!$Ĺ$368)</f>
      </c>
      <c r="IP368">
        <f>IF(ISBLANK('Data Entry'!$ĺ$368), "", 'Data Entry'!$ĺ$368)</f>
      </c>
      <c r="IQ368">
        <f>IF(ISBLANK('Data Entry'!$Ļ$368), "", 'Data Entry'!$Ļ$368)</f>
      </c>
      <c r="IR368">
        <f>IF(ISBLANK('Data Entry'!$ļ$368), "", 'Data Entry'!$ļ$368)</f>
      </c>
      <c r="IS368">
        <f>IF(ISBLANK('Data Entry'!$Ľ$368), "", 'Data Entry'!$Ľ$368)</f>
      </c>
      <c r="IT368">
        <f>IF(ISBLANK('Data Entry'!$ľ$368), "", 'Data Entry'!$ľ$368)</f>
      </c>
    </row>
    <row r="369" spans="1:254" x14ac:dyDescent="0.25">
      <c r="A369">
        <f>IF(ISBLANK('Data Entry'!$A$369), "", 'Data Entry'!$A$369)</f>
      </c>
      <c r="B369">
        <f>IF(ISBLANK('Data Entry'!$B$369), "", 'Data Entry'!$B$369)</f>
      </c>
      <c r="C369">
        <f>IF(ISBLANK('Data Entry'!$C$369), "", 'Data Entry'!$C$369)</f>
      </c>
      <c r="D369">
        <f>IF(ISBLANK('Data Entry'!$D$369), "", 'Data Entry'!$D$369)</f>
      </c>
      <c r="E369">
        <f>IF(ISBLANK('Data Entry'!$E$369), "", 'Data Entry'!$E$369)</f>
      </c>
      <c r="F369">
        <f>IF(ISBLANK('Data Entry'!$F$369), "", 'Data Entry'!$F$369)</f>
      </c>
      <c r="G369">
        <f>IF(ISBLANK('Data Entry'!$G$369), "", 'Data Entry'!$G$369)</f>
      </c>
      <c r="H369">
        <f>IF(ISBLANK('Data Entry'!$H$369), "", 'Data Entry'!$H$369)</f>
      </c>
      <c r="I369">
        <f>IF(ISBLANK('Data Entry'!$I$369), "", 'Data Entry'!$I$369)</f>
      </c>
      <c r="J369">
        <f>IF(ISBLANK('Data Entry'!$J$369), "", 'Data Entry'!$J$369)</f>
      </c>
      <c r="K369">
        <f>IF(ISBLANK('Data Entry'!$K$369), "", 'Data Entry'!$K$369)</f>
      </c>
      <c r="L369">
        <f>IF(ISBLANK('Data Entry'!$L$369), "", 'Data Entry'!$L$369)</f>
      </c>
      <c r="M369">
        <f>IF(ISBLANK('Data Entry'!$M$369), "", 'Data Entry'!$M$369)</f>
      </c>
      <c r="N369">
        <f>IF(ISBLANK('Data Entry'!$N$369), "", 'Data Entry'!$N$369)</f>
      </c>
      <c r="O369">
        <f>IF(ISBLANK('Data Entry'!$O$369), "", 'Data Entry'!$O$369)</f>
      </c>
      <c r="P369">
        <f>IF(ISBLANK('Data Entry'!$P$369), "", 'Data Entry'!$P$369)</f>
      </c>
      <c r="Q369">
        <f>IF(ISBLANK('Data Entry'!$Q$369), "", 'Data Entry'!$Q$369)</f>
      </c>
      <c r="R369">
        <f>IF(ISBLANK('Data Entry'!$R$369), "", 'Data Entry'!$R$369)</f>
      </c>
      <c r="S369">
        <f>IF(ISBLANK('Data Entry'!$S$369), "", 'Data Entry'!$S$369)</f>
      </c>
      <c r="T369">
        <f>IF(ISBLANK('Data Entry'!$T$369), "", 'Data Entry'!$T$369)</f>
      </c>
      <c r="U369">
        <f>IF(ISBLANK('Data Entry'!$U$369), "", 'Data Entry'!$U$369)</f>
      </c>
      <c r="V369">
        <f>IF(ISBLANK('Data Entry'!$V$369), "", 'Data Entry'!$V$369)</f>
      </c>
      <c r="W369">
        <f>IF(ISBLANK('Data Entry'!$W$369), "", 'Data Entry'!$W$369)</f>
      </c>
      <c r="X369">
        <f>IF(ISBLANK('Data Entry'!$X$369), "", 'Data Entry'!$X$369)</f>
      </c>
      <c r="Y369">
        <f>IF(ISBLANK('Data Entry'!$Y$369), "", 'Data Entry'!$Y$369)</f>
      </c>
      <c r="Z369">
        <f>IF(ISBLANK('Data Entry'!$Z$369), "", 'Data Entry'!$Z$369)</f>
      </c>
      <c r="AA369">
        <f>IF(ISBLANK('Data Entry'!$[$369), "", 'Data Entry'!$[$369)</f>
      </c>
      <c r="AB369">
        <f>IF(ISBLANK('Data Entry'!$\$369), "", 'Data Entry'!$\$369)</f>
      </c>
      <c r="AC369">
        <f>IF(ISBLANK('Data Entry'!$]$369), "", 'Data Entry'!$]$369)</f>
      </c>
      <c r="AD369">
        <f>IF(ISBLANK('Data Entry'!$^$369), "", 'Data Entry'!$^$369)</f>
      </c>
      <c r="AE369">
        <f>IF(ISBLANK('Data Entry'!$_$369), "", 'Data Entry'!$_$369)</f>
      </c>
      <c r="AF369">
        <f>IF(ISBLANK('Data Entry'!$`$369), "", 'Data Entry'!$`$369)</f>
      </c>
      <c r="AG369">
        <f>IF(ISBLANK('Data Entry'!$a$369), "", 'Data Entry'!$a$369)</f>
      </c>
      <c r="AH369">
        <f>IF(ISBLANK('Data Entry'!$b$369), "", 'Data Entry'!$b$369)</f>
      </c>
      <c r="AI369">
        <f>IF(ISBLANK('Data Entry'!$c$369), "", 'Data Entry'!$c$369)</f>
      </c>
      <c r="AJ369">
        <f>IF(ISBLANK('Data Entry'!$d$369), "", 'Data Entry'!$d$369)</f>
      </c>
      <c r="AK369">
        <f>IF(ISBLANK('Data Entry'!$e$369), "", 'Data Entry'!$e$369)</f>
      </c>
      <c r="AL369">
        <f>IF(ISBLANK('Data Entry'!$f$369), "", 'Data Entry'!$f$369)</f>
      </c>
      <c r="AM369">
        <f>IF(ISBLANK('Data Entry'!$g$369), "", 'Data Entry'!$g$369)</f>
      </c>
      <c r="AN369">
        <f>IF(ISBLANK('Data Entry'!$h$369), "", 'Data Entry'!$h$369)</f>
      </c>
      <c r="AO369">
        <f>IF(ISBLANK('Data Entry'!$i$369), "", 'Data Entry'!$i$369)</f>
      </c>
      <c r="AP369">
        <f>IF(ISBLANK('Data Entry'!$j$369), "", 'Data Entry'!$j$369)</f>
      </c>
      <c r="AQ369">
        <f>IF(ISBLANK('Data Entry'!$k$369), "", 'Data Entry'!$k$369)</f>
      </c>
      <c r="AR369">
        <f>IF(ISBLANK('Data Entry'!$l$369), "", 'Data Entry'!$l$369)</f>
      </c>
      <c r="AS369">
        <f>IF(ISBLANK('Data Entry'!$m$369), "", 'Data Entry'!$m$369)</f>
      </c>
      <c r="AT369">
        <f>IF(ISBLANK('Data Entry'!$n$369), "", 'Data Entry'!$n$369)</f>
      </c>
      <c r="AU369">
        <f>IF(ISBLANK('Data Entry'!$o$369), "", 'Data Entry'!$o$369)</f>
      </c>
      <c r="AV369">
        <f>IF(ISBLANK('Data Entry'!$p$369), "", 'Data Entry'!$p$369)</f>
      </c>
      <c r="AW369">
        <f>IF(ISBLANK('Data Entry'!$q$369), "", 'Data Entry'!$q$369)</f>
      </c>
      <c r="AX369">
        <f>IF(ISBLANK('Data Entry'!$r$369), "", 'Data Entry'!$r$369)</f>
      </c>
      <c r="AY369">
        <f>IF(ISBLANK('Data Entry'!$s$369), "", 'Data Entry'!$s$369)</f>
      </c>
      <c r="AZ369">
        <f>IF(ISBLANK('Data Entry'!$t$369), "", 'Data Entry'!$t$369)</f>
      </c>
      <c r="BA369">
        <f>IF(ISBLANK('Data Entry'!$u$369), "", 'Data Entry'!$u$369)</f>
      </c>
      <c r="BB369">
        <f>IF(ISBLANK('Data Entry'!$v$369), "", 'Data Entry'!$v$369)</f>
      </c>
      <c r="BC369">
        <f>IF(ISBLANK('Data Entry'!$w$369), "", 'Data Entry'!$w$369)</f>
      </c>
      <c r="BD369">
        <f>IF(ISBLANK('Data Entry'!$x$369), "", 'Data Entry'!$x$369)</f>
      </c>
      <c r="BE369">
        <f>IF(ISBLANK('Data Entry'!$y$369), "", 'Data Entry'!$y$369)</f>
      </c>
      <c r="BF369">
        <f>IF(ISBLANK('Data Entry'!$z$369), "", 'Data Entry'!$z$369)</f>
      </c>
      <c r="BG369">
        <f>IF(ISBLANK('Data Entry'!${$369), "", 'Data Entry'!${$369)</f>
      </c>
      <c r="BH369">
        <f>IF(ISBLANK('Data Entry'!$|$369), "", 'Data Entry'!$|$369)</f>
      </c>
      <c r="BI369">
        <f>IF(ISBLANK('Data Entry'!$}$369), "", 'Data Entry'!$}$369)</f>
      </c>
      <c r="BJ369">
        <f>IF(ISBLANK('Data Entry'!$~$369), "", 'Data Entry'!$~$369)</f>
      </c>
      <c r="BK369">
        <f>IF(ISBLANK('Data Entry'!$$369), "", 'Data Entry'!$$369)</f>
      </c>
      <c r="BL369">
        <f>IF(ISBLANK('Data Entry'!$$369), "", 'Data Entry'!$$369)</f>
      </c>
      <c r="BM369">
        <f>IF(ISBLANK('Data Entry'!$$369), "", 'Data Entry'!$$369)</f>
      </c>
      <c r="BN369">
        <f>IF(ISBLANK('Data Entry'!$$369), "", 'Data Entry'!$$369)</f>
      </c>
      <c r="BO369">
        <f>IF(ISBLANK('Data Entry'!$$369), "", 'Data Entry'!$$369)</f>
      </c>
      <c r="BP369">
        <f>IF(ISBLANK('Data Entry'!$$369), "", 'Data Entry'!$$369)</f>
      </c>
      <c r="BQ369">
        <f>IF(ISBLANK('Data Entry'!$$369), "", 'Data Entry'!$$369)</f>
      </c>
      <c r="BR369">
        <f>IF(ISBLANK('Data Entry'!$$369), "", 'Data Entry'!$$369)</f>
      </c>
      <c r="BS369">
        <f>IF(ISBLANK('Data Entry'!$$369), "", 'Data Entry'!$$369)</f>
      </c>
      <c r="BT369">
        <f>IF(ISBLANK('Data Entry'!$$369), "", 'Data Entry'!$$369)</f>
      </c>
      <c r="BU369">
        <f>IF(ISBLANK('Data Entry'!$$369), "", 'Data Entry'!$$369)</f>
      </c>
      <c r="BV369">
        <f>IF(ISBLANK('Data Entry'!$$369), "", 'Data Entry'!$$369)</f>
      </c>
      <c r="BW369">
        <f>IF(ISBLANK('Data Entry'!$$369), "", 'Data Entry'!$$369)</f>
      </c>
      <c r="BX369">
        <f>IF(ISBLANK('Data Entry'!$$369), "", 'Data Entry'!$$369)</f>
      </c>
      <c r="BY369">
        <f>IF(ISBLANK('Data Entry'!$$369), "", 'Data Entry'!$$369)</f>
      </c>
      <c r="BZ369">
        <f>IF(ISBLANK('Data Entry'!$$369), "", 'Data Entry'!$$369)</f>
      </c>
      <c r="CA369">
        <f>IF(ISBLANK('Data Entry'!$$369), "", 'Data Entry'!$$369)</f>
      </c>
      <c r="CB369">
        <f>IF(ISBLANK('Data Entry'!$$369), "", 'Data Entry'!$$369)</f>
      </c>
      <c r="CC369">
        <f>IF(ISBLANK('Data Entry'!$$369), "", 'Data Entry'!$$369)</f>
      </c>
      <c r="CD369">
        <f>IF(ISBLANK('Data Entry'!$$369), "", 'Data Entry'!$$369)</f>
      </c>
      <c r="CE369">
        <f>IF(ISBLANK('Data Entry'!$$369), "", 'Data Entry'!$$369)</f>
      </c>
      <c r="CF369">
        <f>IF(ISBLANK('Data Entry'!$$369), "", 'Data Entry'!$$369)</f>
      </c>
      <c r="CG369">
        <f>IF(ISBLANK('Data Entry'!$$369), "", 'Data Entry'!$$369)</f>
      </c>
      <c r="CH369">
        <f>IF(ISBLANK('Data Entry'!$$369), "", 'Data Entry'!$$369)</f>
      </c>
      <c r="CI369">
        <f>IF(ISBLANK('Data Entry'!$$369), "", 'Data Entry'!$$369)</f>
      </c>
      <c r="CJ369">
        <f>IF(ISBLANK('Data Entry'!$$369), "", 'Data Entry'!$$369)</f>
      </c>
      <c r="CK369">
        <f>IF(ISBLANK('Data Entry'!$$369), "", 'Data Entry'!$$369)</f>
      </c>
      <c r="CL369">
        <f>IF(ISBLANK('Data Entry'!$$369), "", 'Data Entry'!$$369)</f>
      </c>
      <c r="CM369">
        <f>IF(ISBLANK('Data Entry'!$$369), "", 'Data Entry'!$$369)</f>
      </c>
      <c r="CN369">
        <f>IF(ISBLANK('Data Entry'!$$369), "", 'Data Entry'!$$369)</f>
      </c>
      <c r="CO369">
        <f>IF(ISBLANK('Data Entry'!$$369), "", 'Data Entry'!$$369)</f>
      </c>
      <c r="CP369">
        <f>IF(ISBLANK('Data Entry'!$$369), "", 'Data Entry'!$$369)</f>
      </c>
      <c r="CQ369">
        <f>IF(ISBLANK('Data Entry'!$$369), "", 'Data Entry'!$$369)</f>
      </c>
      <c r="CR369">
        <f>IF(ISBLANK('Data Entry'!$ $369), "", 'Data Entry'!$ $369)</f>
      </c>
      <c r="CS369">
        <f>IF(ISBLANK('Data Entry'!$¡$369), "", 'Data Entry'!$¡$369)</f>
      </c>
      <c r="CT369">
        <f>IF(ISBLANK('Data Entry'!$¢$369), "", 'Data Entry'!$¢$369)</f>
      </c>
      <c r="CU369">
        <f>IF(ISBLANK('Data Entry'!$£$369), "", 'Data Entry'!$£$369)</f>
      </c>
      <c r="CV369">
        <f>IF(ISBLANK('Data Entry'!$¤$369), "", 'Data Entry'!$¤$369)</f>
      </c>
      <c r="CW369">
        <f>IF(ISBLANK('Data Entry'!$¥$369), "", 'Data Entry'!$¥$369)</f>
      </c>
      <c r="CX369">
        <f>IF(ISBLANK('Data Entry'!$¦$369), "", 'Data Entry'!$¦$369)</f>
      </c>
      <c r="CY369">
        <f>IF(ISBLANK('Data Entry'!$§$369), "", 'Data Entry'!$§$369)</f>
      </c>
      <c r="CZ369">
        <f>IF(ISBLANK('Data Entry'!$¨$369), "", 'Data Entry'!$¨$369)</f>
      </c>
      <c r="DA369">
        <f>IF(ISBLANK('Data Entry'!$©$369), "", 'Data Entry'!$©$369)</f>
      </c>
      <c r="DB369">
        <f>IF(ISBLANK('Data Entry'!$ª$369), "", 'Data Entry'!$ª$369)</f>
      </c>
      <c r="DC369">
        <f>IF(ISBLANK('Data Entry'!$«$369), "", 'Data Entry'!$«$369)</f>
      </c>
      <c r="DD369">
        <f>IF(ISBLANK('Data Entry'!$¬$369), "", 'Data Entry'!$¬$369)</f>
      </c>
      <c r="DE369">
        <f>IF(ISBLANK('Data Entry'!$­$369), "", 'Data Entry'!$­$369)</f>
      </c>
      <c r="DF369">
        <f>IF(ISBLANK('Data Entry'!$®$369), "", 'Data Entry'!$®$369)</f>
      </c>
      <c r="DG369">
        <f>IF(ISBLANK('Data Entry'!$¯$369), "", 'Data Entry'!$¯$369)</f>
      </c>
      <c r="DH369">
        <f>IF(ISBLANK('Data Entry'!$°$369), "", 'Data Entry'!$°$369)</f>
      </c>
      <c r="DI369">
        <f>IF(ISBLANK('Data Entry'!$±$369), "", 'Data Entry'!$±$369)</f>
      </c>
      <c r="DJ369">
        <f>IF(ISBLANK('Data Entry'!$²$369), "", 'Data Entry'!$²$369)</f>
      </c>
      <c r="DK369">
        <f>IF(ISBLANK('Data Entry'!$³$369), "", 'Data Entry'!$³$369)</f>
      </c>
      <c r="DL369">
        <f>IF(ISBLANK('Data Entry'!$´$369), "", 'Data Entry'!$´$369)</f>
      </c>
      <c r="DM369">
        <f>IF(ISBLANK('Data Entry'!$µ$369), "", 'Data Entry'!$µ$369)</f>
      </c>
      <c r="DN369">
        <f>IF(ISBLANK('Data Entry'!$¶$369), "", 'Data Entry'!$¶$369)</f>
      </c>
      <c r="DO369">
        <f>IF(ISBLANK('Data Entry'!$·$369), "", 'Data Entry'!$·$369)</f>
      </c>
      <c r="DP369">
        <f>IF(ISBLANK('Data Entry'!$¸$369), "", 'Data Entry'!$¸$369)</f>
      </c>
      <c r="DQ369">
        <f>IF(ISBLANK('Data Entry'!$¹$369), "", 'Data Entry'!$¹$369)</f>
      </c>
      <c r="DR369">
        <f>IF(ISBLANK('Data Entry'!$º$369), "", 'Data Entry'!$º$369)</f>
      </c>
      <c r="DS369">
        <f>IF(ISBLANK('Data Entry'!$»$369), "", 'Data Entry'!$»$369)</f>
      </c>
      <c r="DT369">
        <f>IF(ISBLANK('Data Entry'!$¼$369), "", 'Data Entry'!$¼$369)</f>
      </c>
      <c r="DU369">
        <f>IF(ISBLANK('Data Entry'!$½$369), "", 'Data Entry'!$½$369)</f>
      </c>
      <c r="DV369">
        <f>IF(ISBLANK('Data Entry'!$¾$369), "", 'Data Entry'!$¾$369)</f>
      </c>
      <c r="DW369">
        <f>IF(ISBLANK('Data Entry'!$¿$369), "", 'Data Entry'!$¿$369)</f>
      </c>
      <c r="DX369">
        <f>IF(ISBLANK('Data Entry'!$À$369), "", 'Data Entry'!$À$369)</f>
      </c>
      <c r="DY369">
        <f>IF(ISBLANK('Data Entry'!$Á$369), "", 'Data Entry'!$Á$369)</f>
      </c>
      <c r="DZ369">
        <f>IF(ISBLANK('Data Entry'!$Â$369), "", 'Data Entry'!$Â$369)</f>
      </c>
      <c r="EA369">
        <f>IF(ISBLANK('Data Entry'!$Ã$369), "", 'Data Entry'!$Ã$369)</f>
      </c>
      <c r="EB369">
        <f>IF(ISBLANK('Data Entry'!$Ä$369), "", 'Data Entry'!$Ä$369)</f>
      </c>
      <c r="EC369">
        <f>IF(ISBLANK('Data Entry'!$Å$369), "", 'Data Entry'!$Å$369)</f>
      </c>
      <c r="ED369">
        <f>IF(ISBLANK('Data Entry'!$Æ$369), "", 'Data Entry'!$Æ$369)</f>
      </c>
      <c r="EE369">
        <f>IF(ISBLANK('Data Entry'!$Ç$369), "", 'Data Entry'!$Ç$369)</f>
      </c>
      <c r="EF369">
        <f>IF(ISBLANK('Data Entry'!$È$369), "", 'Data Entry'!$È$369)</f>
      </c>
      <c r="EG369">
        <f>IF(ISBLANK('Data Entry'!$É$369), "", 'Data Entry'!$É$369)</f>
      </c>
      <c r="EH369">
        <f>IF(ISBLANK('Data Entry'!$Ê$369), "", 'Data Entry'!$Ê$369)</f>
      </c>
      <c r="EI369">
        <f>IF(ISBLANK('Data Entry'!$Ë$369), "", 'Data Entry'!$Ë$369)</f>
      </c>
      <c r="EJ369">
        <f>IF(ISBLANK('Data Entry'!$Ì$369), "", 'Data Entry'!$Ì$369)</f>
      </c>
      <c r="EK369">
        <f>IF(ISBLANK('Data Entry'!$Í$369), "", 'Data Entry'!$Í$369)</f>
      </c>
      <c r="EL369">
        <f>IF(ISBLANK('Data Entry'!$Î$369), "", 'Data Entry'!$Î$369)</f>
      </c>
      <c r="EM369">
        <f>IF(ISBLANK('Data Entry'!$Ï$369), "", 'Data Entry'!$Ï$369)</f>
      </c>
      <c r="EN369">
        <f>IF(ISBLANK('Data Entry'!$Ð$369), "", 'Data Entry'!$Ð$369)</f>
      </c>
      <c r="EO369">
        <f>IF(ISBLANK('Data Entry'!$Ñ$369), "", 'Data Entry'!$Ñ$369)</f>
      </c>
      <c r="EP369">
        <f>IF(ISBLANK('Data Entry'!$Ò$369), "", 'Data Entry'!$Ò$369)</f>
      </c>
      <c r="EQ369">
        <f>IF(ISBLANK('Data Entry'!$Ó$369), "", 'Data Entry'!$Ó$369)</f>
      </c>
      <c r="ER369">
        <f>IF(ISBLANK('Data Entry'!$Ô$369), "", 'Data Entry'!$Ô$369)</f>
      </c>
      <c r="ES369">
        <f>IF(ISBLANK('Data Entry'!$Õ$369), "", 'Data Entry'!$Õ$369)</f>
      </c>
      <c r="ET369">
        <f>IF(ISBLANK('Data Entry'!$Ö$369), "", 'Data Entry'!$Ö$369)</f>
      </c>
      <c r="EU369">
        <f>IF(ISBLANK('Data Entry'!$×$369), "", 'Data Entry'!$×$369)</f>
      </c>
      <c r="EV369">
        <f>IF(ISBLANK('Data Entry'!$Ø$369), "", 'Data Entry'!$Ø$369)</f>
      </c>
      <c r="EW369">
        <f>IF(ISBLANK('Data Entry'!$Ù$369), "", 'Data Entry'!$Ù$369)</f>
      </c>
      <c r="EX369">
        <f>IF(ISBLANK('Data Entry'!$Ú$369), "", 'Data Entry'!$Ú$369)</f>
      </c>
      <c r="EY369">
        <f>IF(ISBLANK('Data Entry'!$Û$369), "", 'Data Entry'!$Û$369)</f>
      </c>
      <c r="EZ369">
        <f>IF(ISBLANK('Data Entry'!$Ü$369), "", 'Data Entry'!$Ü$369)</f>
      </c>
      <c r="FA369">
        <f>IF(ISBLANK('Data Entry'!$Ý$369), "", 'Data Entry'!$Ý$369)</f>
      </c>
      <c r="FB369">
        <f>IF(ISBLANK('Data Entry'!$Þ$369), "", 'Data Entry'!$Þ$369)</f>
      </c>
      <c r="FC369">
        <f>IF(ISBLANK('Data Entry'!$ß$369), "", 'Data Entry'!$ß$369)</f>
      </c>
      <c r="FD369">
        <f>IF(ISBLANK('Data Entry'!$à$369), "", 'Data Entry'!$à$369)</f>
      </c>
      <c r="FE369">
        <f>IF(ISBLANK('Data Entry'!$á$369), "", 'Data Entry'!$á$369)</f>
      </c>
      <c r="FF369">
        <f>IF(ISBLANK('Data Entry'!$â$369), "", 'Data Entry'!$â$369)</f>
      </c>
      <c r="FG369">
        <f>IF(ISBLANK('Data Entry'!$ã$369), "", 'Data Entry'!$ã$369)</f>
      </c>
      <c r="FH369">
        <f>IF(ISBLANK('Data Entry'!$ä$369), "", 'Data Entry'!$ä$369)</f>
      </c>
      <c r="FI369">
        <f>IF(ISBLANK('Data Entry'!$å$369), "", 'Data Entry'!$å$369)</f>
      </c>
      <c r="FJ369">
        <f>IF(ISBLANK('Data Entry'!$æ$369), "", 'Data Entry'!$æ$369)</f>
      </c>
      <c r="FK369">
        <f>IF(ISBLANK('Data Entry'!$ç$369), "", 'Data Entry'!$ç$369)</f>
      </c>
      <c r="FL369">
        <f>IF(ISBLANK('Data Entry'!$è$369), "", 'Data Entry'!$è$369)</f>
      </c>
      <c r="FM369">
        <f>IF(ISBLANK('Data Entry'!$é$369), "", 'Data Entry'!$é$369)</f>
      </c>
      <c r="FN369">
        <f>IF(ISBLANK('Data Entry'!$ê$369), "", 'Data Entry'!$ê$369)</f>
      </c>
      <c r="FO369">
        <f>IF(ISBLANK('Data Entry'!$ë$369), "", 'Data Entry'!$ë$369)</f>
      </c>
      <c r="FP369">
        <f>IF(ISBLANK('Data Entry'!$ì$369), "", 'Data Entry'!$ì$369)</f>
      </c>
      <c r="FQ369">
        <f>IF(ISBLANK('Data Entry'!$í$369), "", 'Data Entry'!$í$369)</f>
      </c>
      <c r="FR369">
        <f>IF(ISBLANK('Data Entry'!$î$369), "", 'Data Entry'!$î$369)</f>
      </c>
      <c r="FS369">
        <f>IF(ISBLANK('Data Entry'!$ï$369), "", 'Data Entry'!$ï$369)</f>
      </c>
      <c r="FT369">
        <f>IF(ISBLANK('Data Entry'!$ð$369), "", 'Data Entry'!$ð$369)</f>
      </c>
      <c r="FU369">
        <f>IF(ISBLANK('Data Entry'!$ñ$369), "", 'Data Entry'!$ñ$369)</f>
      </c>
      <c r="FV369">
        <f>IF(ISBLANK('Data Entry'!$ò$369), "", 'Data Entry'!$ò$369)</f>
      </c>
      <c r="FW369">
        <f>IF(ISBLANK('Data Entry'!$ó$369), "", 'Data Entry'!$ó$369)</f>
      </c>
      <c r="FX369">
        <f>IF(ISBLANK('Data Entry'!$ô$369), "", 'Data Entry'!$ô$369)</f>
      </c>
      <c r="FY369">
        <f>IF(ISBLANK('Data Entry'!$õ$369), "", 'Data Entry'!$õ$369)</f>
      </c>
      <c r="FZ369">
        <f>IF(ISBLANK('Data Entry'!$ö$369), "", 'Data Entry'!$ö$369)</f>
      </c>
      <c r="GA369">
        <f>IF(ISBLANK('Data Entry'!$÷$369), "", 'Data Entry'!$÷$369)</f>
      </c>
      <c r="GB369">
        <f>IF(ISBLANK('Data Entry'!$ø$369), "", 'Data Entry'!$ø$369)</f>
      </c>
      <c r="GC369">
        <f>IF(ISBLANK('Data Entry'!$ù$369), "", 'Data Entry'!$ù$369)</f>
      </c>
      <c r="GD369">
        <f>IF(ISBLANK('Data Entry'!$ú$369), "", 'Data Entry'!$ú$369)</f>
      </c>
      <c r="GE369">
        <f>IF(ISBLANK('Data Entry'!$û$369), "", 'Data Entry'!$û$369)</f>
      </c>
      <c r="GF369">
        <f>IF(ISBLANK('Data Entry'!$ü$369), "", 'Data Entry'!$ü$369)</f>
      </c>
      <c r="GG369">
        <f>IF(ISBLANK('Data Entry'!$ý$369), "", 'Data Entry'!$ý$369)</f>
      </c>
      <c r="GH369">
        <f>IF(ISBLANK('Data Entry'!$þ$369), "", 'Data Entry'!$þ$369)</f>
      </c>
      <c r="GI369">
        <f>IF(ISBLANK('Data Entry'!$ÿ$369), "", 'Data Entry'!$ÿ$369)</f>
      </c>
      <c r="GJ369">
        <f>IF(ISBLANK('Data Entry'!$Ā$369), "", 'Data Entry'!$Ā$369)</f>
      </c>
      <c r="GK369">
        <f>IF(ISBLANK('Data Entry'!$ā$369), "", 'Data Entry'!$ā$369)</f>
      </c>
      <c r="GL369">
        <f>IF(ISBLANK('Data Entry'!$Ă$369), "", 'Data Entry'!$Ă$369)</f>
      </c>
      <c r="GM369">
        <f>IF(ISBLANK('Data Entry'!$ă$369), "", 'Data Entry'!$ă$369)</f>
      </c>
      <c r="GN369">
        <f>IF(ISBLANK('Data Entry'!$Ą$369), "", 'Data Entry'!$Ą$369)</f>
      </c>
      <c r="GO369">
        <f>IF(ISBLANK('Data Entry'!$ą$369), "", 'Data Entry'!$ą$369)</f>
      </c>
      <c r="GP369">
        <f>IF(ISBLANK('Data Entry'!$Ć$369), "", 'Data Entry'!$Ć$369)</f>
      </c>
      <c r="GQ369">
        <f>IF(ISBLANK('Data Entry'!$ć$369), "", 'Data Entry'!$ć$369)</f>
      </c>
      <c r="GR369">
        <f>IF(ISBLANK('Data Entry'!$Ĉ$369), "", 'Data Entry'!$Ĉ$369)</f>
      </c>
      <c r="GS369">
        <f>IF(ISBLANK('Data Entry'!$ĉ$369), "", 'Data Entry'!$ĉ$369)</f>
      </c>
      <c r="GT369">
        <f>IF(ISBLANK('Data Entry'!$Ċ$369), "", 'Data Entry'!$Ċ$369)</f>
      </c>
      <c r="GU369">
        <f>IF(ISBLANK('Data Entry'!$ċ$369), "", 'Data Entry'!$ċ$369)</f>
      </c>
      <c r="GV369">
        <f>IF(ISBLANK('Data Entry'!$Č$369), "", 'Data Entry'!$Č$369)</f>
      </c>
      <c r="GW369">
        <f>IF(ISBLANK('Data Entry'!$č$369), "", 'Data Entry'!$č$369)</f>
      </c>
      <c r="GX369">
        <f>IF(ISBLANK('Data Entry'!$Ď$369), "", 'Data Entry'!$Ď$369)</f>
      </c>
      <c r="GY369">
        <f>IF(ISBLANK('Data Entry'!$ď$369), "", 'Data Entry'!$ď$369)</f>
      </c>
      <c r="GZ369">
        <f>IF(ISBLANK('Data Entry'!$Đ$369), "", 'Data Entry'!$Đ$369)</f>
      </c>
      <c r="HA369">
        <f>IF(ISBLANK('Data Entry'!$đ$369), "", 'Data Entry'!$đ$369)</f>
      </c>
      <c r="HB369">
        <f>IF(ISBLANK('Data Entry'!$Ē$369), "", 'Data Entry'!$Ē$369)</f>
      </c>
      <c r="HC369">
        <f>IF(ISBLANK('Data Entry'!$ē$369), "", 'Data Entry'!$ē$369)</f>
      </c>
      <c r="HD369">
        <f>IF(ISBLANK('Data Entry'!$Ĕ$369), "", 'Data Entry'!$Ĕ$369)</f>
      </c>
      <c r="HE369">
        <f>IF(ISBLANK('Data Entry'!$ĕ$369), "", 'Data Entry'!$ĕ$369)</f>
      </c>
      <c r="HF369">
        <f>IF(ISBLANK('Data Entry'!$Ė$369), "", 'Data Entry'!$Ė$369)</f>
      </c>
      <c r="HG369">
        <f>IF(ISBLANK('Data Entry'!$ė$369), "", 'Data Entry'!$ė$369)</f>
      </c>
      <c r="HH369">
        <f>IF(ISBLANK('Data Entry'!$Ę$369), "", 'Data Entry'!$Ę$369)</f>
      </c>
      <c r="HI369">
        <f>IF(ISBLANK('Data Entry'!$ę$369), "", 'Data Entry'!$ę$369)</f>
      </c>
      <c r="HJ369">
        <f>IF(ISBLANK('Data Entry'!$Ě$369), "", 'Data Entry'!$Ě$369)</f>
      </c>
      <c r="HK369">
        <f>IF(ISBLANK('Data Entry'!$ě$369), "", 'Data Entry'!$ě$369)</f>
      </c>
      <c r="HL369">
        <f>IF(ISBLANK('Data Entry'!$Ĝ$369), "", 'Data Entry'!$Ĝ$369)</f>
      </c>
      <c r="HM369">
        <f>IF(ISBLANK('Data Entry'!$ĝ$369), "", 'Data Entry'!$ĝ$369)</f>
      </c>
      <c r="HN369">
        <f>IF(ISBLANK('Data Entry'!$Ğ$369), "", 'Data Entry'!$Ğ$369)</f>
      </c>
      <c r="HO369">
        <f>IF(ISBLANK('Data Entry'!$ğ$369), "", 'Data Entry'!$ğ$369)</f>
      </c>
      <c r="HP369">
        <f>IF(ISBLANK('Data Entry'!$Ġ$369), "", 'Data Entry'!$Ġ$369)</f>
      </c>
      <c r="HQ369">
        <f>IF(ISBLANK('Data Entry'!$ġ$369), "", 'Data Entry'!$ġ$369)</f>
      </c>
      <c r="HR369">
        <f>IF(ISBLANK('Data Entry'!$Ģ$369), "", 'Data Entry'!$Ģ$369)</f>
      </c>
      <c r="HS369">
        <f>IF(ISBLANK('Data Entry'!$ģ$369), "", 'Data Entry'!$ģ$369)</f>
      </c>
      <c r="HT369">
        <f>IF(ISBLANK('Data Entry'!$Ĥ$369), "", 'Data Entry'!$Ĥ$369)</f>
      </c>
      <c r="HU369">
        <f>IF(ISBLANK('Data Entry'!$ĥ$369), "", 'Data Entry'!$ĥ$369)</f>
      </c>
      <c r="HV369">
        <f>IF(ISBLANK('Data Entry'!$Ħ$369), "", 'Data Entry'!$Ħ$369)</f>
      </c>
      <c r="HW369">
        <f>IF(ISBLANK('Data Entry'!$ħ$369), "", 'Data Entry'!$ħ$369)</f>
      </c>
      <c r="HX369">
        <f>IF(ISBLANK('Data Entry'!$Ĩ$369), "", 'Data Entry'!$Ĩ$369)</f>
      </c>
      <c r="HY369">
        <f>IF(ISBLANK('Data Entry'!$ĩ$369), "", 'Data Entry'!$ĩ$369)</f>
      </c>
      <c r="HZ369">
        <f>IF(ISBLANK('Data Entry'!$Ī$369), "", 'Data Entry'!$Ī$369)</f>
      </c>
      <c r="IA369">
        <f>IF(ISBLANK('Data Entry'!$ī$369), "", 'Data Entry'!$ī$369)</f>
      </c>
      <c r="IB369">
        <f>IF(ISBLANK('Data Entry'!$Ĭ$369), "", 'Data Entry'!$Ĭ$369)</f>
      </c>
      <c r="IC369">
        <f>IF(ISBLANK('Data Entry'!$ĭ$369), "", 'Data Entry'!$ĭ$369)</f>
      </c>
      <c r="ID369">
        <f>IF(ISBLANK('Data Entry'!$Į$369), "", 'Data Entry'!$Į$369)</f>
      </c>
      <c r="IE369">
        <f>IF(ISBLANK('Data Entry'!$į$369), "", 'Data Entry'!$į$369)</f>
      </c>
      <c r="IF369">
        <f>IF(ISBLANK('Data Entry'!$İ$369), "", 'Data Entry'!$İ$369)</f>
      </c>
      <c r="IG369">
        <f>IF(ISBLANK('Data Entry'!$ı$369), "", 'Data Entry'!$ı$369)</f>
      </c>
      <c r="IH369">
        <f>IF(ISBLANK('Data Entry'!$Ĳ$369), "", 'Data Entry'!$Ĳ$369)</f>
      </c>
      <c r="II369">
        <f>IF(ISBLANK('Data Entry'!$ĳ$369), "", 'Data Entry'!$ĳ$369)</f>
      </c>
      <c r="IJ369">
        <f>IF(ISBLANK('Data Entry'!$Ĵ$369), "", 'Data Entry'!$Ĵ$369)</f>
      </c>
      <c r="IK369">
        <f>IF(ISBLANK('Data Entry'!$ĵ$369), "", 'Data Entry'!$ĵ$369)</f>
      </c>
      <c r="IL369">
        <f>IF(ISBLANK('Data Entry'!$Ķ$369), "", 'Data Entry'!$Ķ$369)</f>
      </c>
      <c r="IM369">
        <f>IF(ISBLANK('Data Entry'!$ķ$369), "", 'Data Entry'!$ķ$369)</f>
      </c>
      <c r="IN369">
        <f>IF(ISBLANK('Data Entry'!$ĸ$369), "", 'Data Entry'!$ĸ$369)</f>
      </c>
      <c r="IO369">
        <f>IF(ISBLANK('Data Entry'!$Ĺ$369), "", 'Data Entry'!$Ĺ$369)</f>
      </c>
      <c r="IP369">
        <f>IF(ISBLANK('Data Entry'!$ĺ$369), "", 'Data Entry'!$ĺ$369)</f>
      </c>
      <c r="IQ369">
        <f>IF(ISBLANK('Data Entry'!$Ļ$369), "", 'Data Entry'!$Ļ$369)</f>
      </c>
      <c r="IR369">
        <f>IF(ISBLANK('Data Entry'!$ļ$369), "", 'Data Entry'!$ļ$369)</f>
      </c>
      <c r="IS369">
        <f>IF(ISBLANK('Data Entry'!$Ľ$369), "", 'Data Entry'!$Ľ$369)</f>
      </c>
      <c r="IT369">
        <f>IF(ISBLANK('Data Entry'!$ľ$369), "", 'Data Entry'!$ľ$369)</f>
      </c>
    </row>
    <row r="370" spans="1:254" x14ac:dyDescent="0.25">
      <c r="A370">
        <f>IF(ISBLANK('Data Entry'!$A$370), "", 'Data Entry'!$A$370)</f>
      </c>
      <c r="B370">
        <f>IF(ISBLANK('Data Entry'!$B$370), "", 'Data Entry'!$B$370)</f>
      </c>
      <c r="C370">
        <f>IF(ISBLANK('Data Entry'!$C$370), "", 'Data Entry'!$C$370)</f>
      </c>
      <c r="D370">
        <f>IF(ISBLANK('Data Entry'!$D$370), "", 'Data Entry'!$D$370)</f>
      </c>
      <c r="E370">
        <f>IF(ISBLANK('Data Entry'!$E$370), "", 'Data Entry'!$E$370)</f>
      </c>
      <c r="F370">
        <f>IF(ISBLANK('Data Entry'!$F$370), "", 'Data Entry'!$F$370)</f>
      </c>
      <c r="G370">
        <f>IF(ISBLANK('Data Entry'!$G$370), "", 'Data Entry'!$G$370)</f>
      </c>
      <c r="H370">
        <f>IF(ISBLANK('Data Entry'!$H$370), "", 'Data Entry'!$H$370)</f>
      </c>
      <c r="I370">
        <f>IF(ISBLANK('Data Entry'!$I$370), "", 'Data Entry'!$I$370)</f>
      </c>
      <c r="J370">
        <f>IF(ISBLANK('Data Entry'!$J$370), "", 'Data Entry'!$J$370)</f>
      </c>
      <c r="K370">
        <f>IF(ISBLANK('Data Entry'!$K$370), "", 'Data Entry'!$K$370)</f>
      </c>
      <c r="L370">
        <f>IF(ISBLANK('Data Entry'!$L$370), "", 'Data Entry'!$L$370)</f>
      </c>
      <c r="M370">
        <f>IF(ISBLANK('Data Entry'!$M$370), "", 'Data Entry'!$M$370)</f>
      </c>
      <c r="N370">
        <f>IF(ISBLANK('Data Entry'!$N$370), "", 'Data Entry'!$N$370)</f>
      </c>
      <c r="O370">
        <f>IF(ISBLANK('Data Entry'!$O$370), "", 'Data Entry'!$O$370)</f>
      </c>
      <c r="P370">
        <f>IF(ISBLANK('Data Entry'!$P$370), "", 'Data Entry'!$P$370)</f>
      </c>
      <c r="Q370">
        <f>IF(ISBLANK('Data Entry'!$Q$370), "", 'Data Entry'!$Q$370)</f>
      </c>
      <c r="R370">
        <f>IF(ISBLANK('Data Entry'!$R$370), "", 'Data Entry'!$R$370)</f>
      </c>
      <c r="S370">
        <f>IF(ISBLANK('Data Entry'!$S$370), "", 'Data Entry'!$S$370)</f>
      </c>
      <c r="T370">
        <f>IF(ISBLANK('Data Entry'!$T$370), "", 'Data Entry'!$T$370)</f>
      </c>
      <c r="U370">
        <f>IF(ISBLANK('Data Entry'!$U$370), "", 'Data Entry'!$U$370)</f>
      </c>
      <c r="V370">
        <f>IF(ISBLANK('Data Entry'!$V$370), "", 'Data Entry'!$V$370)</f>
      </c>
      <c r="W370">
        <f>IF(ISBLANK('Data Entry'!$W$370), "", 'Data Entry'!$W$370)</f>
      </c>
      <c r="X370">
        <f>IF(ISBLANK('Data Entry'!$X$370), "", 'Data Entry'!$X$370)</f>
      </c>
      <c r="Y370">
        <f>IF(ISBLANK('Data Entry'!$Y$370), "", 'Data Entry'!$Y$370)</f>
      </c>
      <c r="Z370">
        <f>IF(ISBLANK('Data Entry'!$Z$370), "", 'Data Entry'!$Z$370)</f>
      </c>
      <c r="AA370">
        <f>IF(ISBLANK('Data Entry'!$[$370), "", 'Data Entry'!$[$370)</f>
      </c>
      <c r="AB370">
        <f>IF(ISBLANK('Data Entry'!$\$370), "", 'Data Entry'!$\$370)</f>
      </c>
      <c r="AC370">
        <f>IF(ISBLANK('Data Entry'!$]$370), "", 'Data Entry'!$]$370)</f>
      </c>
      <c r="AD370">
        <f>IF(ISBLANK('Data Entry'!$^$370), "", 'Data Entry'!$^$370)</f>
      </c>
      <c r="AE370">
        <f>IF(ISBLANK('Data Entry'!$_$370), "", 'Data Entry'!$_$370)</f>
      </c>
      <c r="AF370">
        <f>IF(ISBLANK('Data Entry'!$`$370), "", 'Data Entry'!$`$370)</f>
      </c>
      <c r="AG370">
        <f>IF(ISBLANK('Data Entry'!$a$370), "", 'Data Entry'!$a$370)</f>
      </c>
      <c r="AH370">
        <f>IF(ISBLANK('Data Entry'!$b$370), "", 'Data Entry'!$b$370)</f>
      </c>
      <c r="AI370">
        <f>IF(ISBLANK('Data Entry'!$c$370), "", 'Data Entry'!$c$370)</f>
      </c>
      <c r="AJ370">
        <f>IF(ISBLANK('Data Entry'!$d$370), "", 'Data Entry'!$d$370)</f>
      </c>
      <c r="AK370">
        <f>IF(ISBLANK('Data Entry'!$e$370), "", 'Data Entry'!$e$370)</f>
      </c>
      <c r="AL370">
        <f>IF(ISBLANK('Data Entry'!$f$370), "", 'Data Entry'!$f$370)</f>
      </c>
      <c r="AM370">
        <f>IF(ISBLANK('Data Entry'!$g$370), "", 'Data Entry'!$g$370)</f>
      </c>
      <c r="AN370">
        <f>IF(ISBLANK('Data Entry'!$h$370), "", 'Data Entry'!$h$370)</f>
      </c>
      <c r="AO370">
        <f>IF(ISBLANK('Data Entry'!$i$370), "", 'Data Entry'!$i$370)</f>
      </c>
      <c r="AP370">
        <f>IF(ISBLANK('Data Entry'!$j$370), "", 'Data Entry'!$j$370)</f>
      </c>
      <c r="AQ370">
        <f>IF(ISBLANK('Data Entry'!$k$370), "", 'Data Entry'!$k$370)</f>
      </c>
      <c r="AR370">
        <f>IF(ISBLANK('Data Entry'!$l$370), "", 'Data Entry'!$l$370)</f>
      </c>
      <c r="AS370">
        <f>IF(ISBLANK('Data Entry'!$m$370), "", 'Data Entry'!$m$370)</f>
      </c>
      <c r="AT370">
        <f>IF(ISBLANK('Data Entry'!$n$370), "", 'Data Entry'!$n$370)</f>
      </c>
      <c r="AU370">
        <f>IF(ISBLANK('Data Entry'!$o$370), "", 'Data Entry'!$o$370)</f>
      </c>
      <c r="AV370">
        <f>IF(ISBLANK('Data Entry'!$p$370), "", 'Data Entry'!$p$370)</f>
      </c>
      <c r="AW370">
        <f>IF(ISBLANK('Data Entry'!$q$370), "", 'Data Entry'!$q$370)</f>
      </c>
      <c r="AX370">
        <f>IF(ISBLANK('Data Entry'!$r$370), "", 'Data Entry'!$r$370)</f>
      </c>
      <c r="AY370">
        <f>IF(ISBLANK('Data Entry'!$s$370), "", 'Data Entry'!$s$370)</f>
      </c>
      <c r="AZ370">
        <f>IF(ISBLANK('Data Entry'!$t$370), "", 'Data Entry'!$t$370)</f>
      </c>
      <c r="BA370">
        <f>IF(ISBLANK('Data Entry'!$u$370), "", 'Data Entry'!$u$370)</f>
      </c>
      <c r="BB370">
        <f>IF(ISBLANK('Data Entry'!$v$370), "", 'Data Entry'!$v$370)</f>
      </c>
      <c r="BC370">
        <f>IF(ISBLANK('Data Entry'!$w$370), "", 'Data Entry'!$w$370)</f>
      </c>
      <c r="BD370">
        <f>IF(ISBLANK('Data Entry'!$x$370), "", 'Data Entry'!$x$370)</f>
      </c>
      <c r="BE370">
        <f>IF(ISBLANK('Data Entry'!$y$370), "", 'Data Entry'!$y$370)</f>
      </c>
      <c r="BF370">
        <f>IF(ISBLANK('Data Entry'!$z$370), "", 'Data Entry'!$z$370)</f>
      </c>
      <c r="BG370">
        <f>IF(ISBLANK('Data Entry'!${$370), "", 'Data Entry'!${$370)</f>
      </c>
      <c r="BH370">
        <f>IF(ISBLANK('Data Entry'!$|$370), "", 'Data Entry'!$|$370)</f>
      </c>
      <c r="BI370">
        <f>IF(ISBLANK('Data Entry'!$}$370), "", 'Data Entry'!$}$370)</f>
      </c>
      <c r="BJ370">
        <f>IF(ISBLANK('Data Entry'!$~$370), "", 'Data Entry'!$~$370)</f>
      </c>
      <c r="BK370">
        <f>IF(ISBLANK('Data Entry'!$$370), "", 'Data Entry'!$$370)</f>
      </c>
      <c r="BL370">
        <f>IF(ISBLANK('Data Entry'!$$370), "", 'Data Entry'!$$370)</f>
      </c>
      <c r="BM370">
        <f>IF(ISBLANK('Data Entry'!$$370), "", 'Data Entry'!$$370)</f>
      </c>
      <c r="BN370">
        <f>IF(ISBLANK('Data Entry'!$$370), "", 'Data Entry'!$$370)</f>
      </c>
      <c r="BO370">
        <f>IF(ISBLANK('Data Entry'!$$370), "", 'Data Entry'!$$370)</f>
      </c>
      <c r="BP370">
        <f>IF(ISBLANK('Data Entry'!$$370), "", 'Data Entry'!$$370)</f>
      </c>
      <c r="BQ370">
        <f>IF(ISBLANK('Data Entry'!$$370), "", 'Data Entry'!$$370)</f>
      </c>
      <c r="BR370">
        <f>IF(ISBLANK('Data Entry'!$$370), "", 'Data Entry'!$$370)</f>
      </c>
      <c r="BS370">
        <f>IF(ISBLANK('Data Entry'!$$370), "", 'Data Entry'!$$370)</f>
      </c>
      <c r="BT370">
        <f>IF(ISBLANK('Data Entry'!$$370), "", 'Data Entry'!$$370)</f>
      </c>
      <c r="BU370">
        <f>IF(ISBLANK('Data Entry'!$$370), "", 'Data Entry'!$$370)</f>
      </c>
      <c r="BV370">
        <f>IF(ISBLANK('Data Entry'!$$370), "", 'Data Entry'!$$370)</f>
      </c>
      <c r="BW370">
        <f>IF(ISBLANK('Data Entry'!$$370), "", 'Data Entry'!$$370)</f>
      </c>
      <c r="BX370">
        <f>IF(ISBLANK('Data Entry'!$$370), "", 'Data Entry'!$$370)</f>
      </c>
      <c r="BY370">
        <f>IF(ISBLANK('Data Entry'!$$370), "", 'Data Entry'!$$370)</f>
      </c>
      <c r="BZ370">
        <f>IF(ISBLANK('Data Entry'!$$370), "", 'Data Entry'!$$370)</f>
      </c>
      <c r="CA370">
        <f>IF(ISBLANK('Data Entry'!$$370), "", 'Data Entry'!$$370)</f>
      </c>
      <c r="CB370">
        <f>IF(ISBLANK('Data Entry'!$$370), "", 'Data Entry'!$$370)</f>
      </c>
      <c r="CC370">
        <f>IF(ISBLANK('Data Entry'!$$370), "", 'Data Entry'!$$370)</f>
      </c>
      <c r="CD370">
        <f>IF(ISBLANK('Data Entry'!$$370), "", 'Data Entry'!$$370)</f>
      </c>
      <c r="CE370">
        <f>IF(ISBLANK('Data Entry'!$$370), "", 'Data Entry'!$$370)</f>
      </c>
      <c r="CF370">
        <f>IF(ISBLANK('Data Entry'!$$370), "", 'Data Entry'!$$370)</f>
      </c>
      <c r="CG370">
        <f>IF(ISBLANK('Data Entry'!$$370), "", 'Data Entry'!$$370)</f>
      </c>
      <c r="CH370">
        <f>IF(ISBLANK('Data Entry'!$$370), "", 'Data Entry'!$$370)</f>
      </c>
      <c r="CI370">
        <f>IF(ISBLANK('Data Entry'!$$370), "", 'Data Entry'!$$370)</f>
      </c>
      <c r="CJ370">
        <f>IF(ISBLANK('Data Entry'!$$370), "", 'Data Entry'!$$370)</f>
      </c>
      <c r="CK370">
        <f>IF(ISBLANK('Data Entry'!$$370), "", 'Data Entry'!$$370)</f>
      </c>
      <c r="CL370">
        <f>IF(ISBLANK('Data Entry'!$$370), "", 'Data Entry'!$$370)</f>
      </c>
      <c r="CM370">
        <f>IF(ISBLANK('Data Entry'!$$370), "", 'Data Entry'!$$370)</f>
      </c>
      <c r="CN370">
        <f>IF(ISBLANK('Data Entry'!$$370), "", 'Data Entry'!$$370)</f>
      </c>
      <c r="CO370">
        <f>IF(ISBLANK('Data Entry'!$$370), "", 'Data Entry'!$$370)</f>
      </c>
      <c r="CP370">
        <f>IF(ISBLANK('Data Entry'!$$370), "", 'Data Entry'!$$370)</f>
      </c>
      <c r="CQ370">
        <f>IF(ISBLANK('Data Entry'!$$370), "", 'Data Entry'!$$370)</f>
      </c>
      <c r="CR370">
        <f>IF(ISBLANK('Data Entry'!$ $370), "", 'Data Entry'!$ $370)</f>
      </c>
      <c r="CS370">
        <f>IF(ISBLANK('Data Entry'!$¡$370), "", 'Data Entry'!$¡$370)</f>
      </c>
      <c r="CT370">
        <f>IF(ISBLANK('Data Entry'!$¢$370), "", 'Data Entry'!$¢$370)</f>
      </c>
      <c r="CU370">
        <f>IF(ISBLANK('Data Entry'!$£$370), "", 'Data Entry'!$£$370)</f>
      </c>
      <c r="CV370">
        <f>IF(ISBLANK('Data Entry'!$¤$370), "", 'Data Entry'!$¤$370)</f>
      </c>
      <c r="CW370">
        <f>IF(ISBLANK('Data Entry'!$¥$370), "", 'Data Entry'!$¥$370)</f>
      </c>
      <c r="CX370">
        <f>IF(ISBLANK('Data Entry'!$¦$370), "", 'Data Entry'!$¦$370)</f>
      </c>
      <c r="CY370">
        <f>IF(ISBLANK('Data Entry'!$§$370), "", 'Data Entry'!$§$370)</f>
      </c>
      <c r="CZ370">
        <f>IF(ISBLANK('Data Entry'!$¨$370), "", 'Data Entry'!$¨$370)</f>
      </c>
      <c r="DA370">
        <f>IF(ISBLANK('Data Entry'!$©$370), "", 'Data Entry'!$©$370)</f>
      </c>
      <c r="DB370">
        <f>IF(ISBLANK('Data Entry'!$ª$370), "", 'Data Entry'!$ª$370)</f>
      </c>
      <c r="DC370">
        <f>IF(ISBLANK('Data Entry'!$«$370), "", 'Data Entry'!$«$370)</f>
      </c>
      <c r="DD370">
        <f>IF(ISBLANK('Data Entry'!$¬$370), "", 'Data Entry'!$¬$370)</f>
      </c>
      <c r="DE370">
        <f>IF(ISBLANK('Data Entry'!$­$370), "", 'Data Entry'!$­$370)</f>
      </c>
      <c r="DF370">
        <f>IF(ISBLANK('Data Entry'!$®$370), "", 'Data Entry'!$®$370)</f>
      </c>
      <c r="DG370">
        <f>IF(ISBLANK('Data Entry'!$¯$370), "", 'Data Entry'!$¯$370)</f>
      </c>
      <c r="DH370">
        <f>IF(ISBLANK('Data Entry'!$°$370), "", 'Data Entry'!$°$370)</f>
      </c>
      <c r="DI370">
        <f>IF(ISBLANK('Data Entry'!$±$370), "", 'Data Entry'!$±$370)</f>
      </c>
      <c r="DJ370">
        <f>IF(ISBLANK('Data Entry'!$²$370), "", 'Data Entry'!$²$370)</f>
      </c>
      <c r="DK370">
        <f>IF(ISBLANK('Data Entry'!$³$370), "", 'Data Entry'!$³$370)</f>
      </c>
      <c r="DL370">
        <f>IF(ISBLANK('Data Entry'!$´$370), "", 'Data Entry'!$´$370)</f>
      </c>
      <c r="DM370">
        <f>IF(ISBLANK('Data Entry'!$µ$370), "", 'Data Entry'!$µ$370)</f>
      </c>
      <c r="DN370">
        <f>IF(ISBLANK('Data Entry'!$¶$370), "", 'Data Entry'!$¶$370)</f>
      </c>
      <c r="DO370">
        <f>IF(ISBLANK('Data Entry'!$·$370), "", 'Data Entry'!$·$370)</f>
      </c>
      <c r="DP370">
        <f>IF(ISBLANK('Data Entry'!$¸$370), "", 'Data Entry'!$¸$370)</f>
      </c>
      <c r="DQ370">
        <f>IF(ISBLANK('Data Entry'!$¹$370), "", 'Data Entry'!$¹$370)</f>
      </c>
      <c r="DR370">
        <f>IF(ISBLANK('Data Entry'!$º$370), "", 'Data Entry'!$º$370)</f>
      </c>
      <c r="DS370">
        <f>IF(ISBLANK('Data Entry'!$»$370), "", 'Data Entry'!$»$370)</f>
      </c>
      <c r="DT370">
        <f>IF(ISBLANK('Data Entry'!$¼$370), "", 'Data Entry'!$¼$370)</f>
      </c>
      <c r="DU370">
        <f>IF(ISBLANK('Data Entry'!$½$370), "", 'Data Entry'!$½$370)</f>
      </c>
      <c r="DV370">
        <f>IF(ISBLANK('Data Entry'!$¾$370), "", 'Data Entry'!$¾$370)</f>
      </c>
      <c r="DW370">
        <f>IF(ISBLANK('Data Entry'!$¿$370), "", 'Data Entry'!$¿$370)</f>
      </c>
      <c r="DX370">
        <f>IF(ISBLANK('Data Entry'!$À$370), "", 'Data Entry'!$À$370)</f>
      </c>
      <c r="DY370">
        <f>IF(ISBLANK('Data Entry'!$Á$370), "", 'Data Entry'!$Á$370)</f>
      </c>
      <c r="DZ370">
        <f>IF(ISBLANK('Data Entry'!$Â$370), "", 'Data Entry'!$Â$370)</f>
      </c>
      <c r="EA370">
        <f>IF(ISBLANK('Data Entry'!$Ã$370), "", 'Data Entry'!$Ã$370)</f>
      </c>
      <c r="EB370">
        <f>IF(ISBLANK('Data Entry'!$Ä$370), "", 'Data Entry'!$Ä$370)</f>
      </c>
      <c r="EC370">
        <f>IF(ISBLANK('Data Entry'!$Å$370), "", 'Data Entry'!$Å$370)</f>
      </c>
      <c r="ED370">
        <f>IF(ISBLANK('Data Entry'!$Æ$370), "", 'Data Entry'!$Æ$370)</f>
      </c>
      <c r="EE370">
        <f>IF(ISBLANK('Data Entry'!$Ç$370), "", 'Data Entry'!$Ç$370)</f>
      </c>
      <c r="EF370">
        <f>IF(ISBLANK('Data Entry'!$È$370), "", 'Data Entry'!$È$370)</f>
      </c>
      <c r="EG370">
        <f>IF(ISBLANK('Data Entry'!$É$370), "", 'Data Entry'!$É$370)</f>
      </c>
      <c r="EH370">
        <f>IF(ISBLANK('Data Entry'!$Ê$370), "", 'Data Entry'!$Ê$370)</f>
      </c>
      <c r="EI370">
        <f>IF(ISBLANK('Data Entry'!$Ë$370), "", 'Data Entry'!$Ë$370)</f>
      </c>
      <c r="EJ370">
        <f>IF(ISBLANK('Data Entry'!$Ì$370), "", 'Data Entry'!$Ì$370)</f>
      </c>
      <c r="EK370">
        <f>IF(ISBLANK('Data Entry'!$Í$370), "", 'Data Entry'!$Í$370)</f>
      </c>
      <c r="EL370">
        <f>IF(ISBLANK('Data Entry'!$Î$370), "", 'Data Entry'!$Î$370)</f>
      </c>
      <c r="EM370">
        <f>IF(ISBLANK('Data Entry'!$Ï$370), "", 'Data Entry'!$Ï$370)</f>
      </c>
      <c r="EN370">
        <f>IF(ISBLANK('Data Entry'!$Ð$370), "", 'Data Entry'!$Ð$370)</f>
      </c>
      <c r="EO370">
        <f>IF(ISBLANK('Data Entry'!$Ñ$370), "", 'Data Entry'!$Ñ$370)</f>
      </c>
      <c r="EP370">
        <f>IF(ISBLANK('Data Entry'!$Ò$370), "", 'Data Entry'!$Ò$370)</f>
      </c>
      <c r="EQ370">
        <f>IF(ISBLANK('Data Entry'!$Ó$370), "", 'Data Entry'!$Ó$370)</f>
      </c>
      <c r="ER370">
        <f>IF(ISBLANK('Data Entry'!$Ô$370), "", 'Data Entry'!$Ô$370)</f>
      </c>
      <c r="ES370">
        <f>IF(ISBLANK('Data Entry'!$Õ$370), "", 'Data Entry'!$Õ$370)</f>
      </c>
      <c r="ET370">
        <f>IF(ISBLANK('Data Entry'!$Ö$370), "", 'Data Entry'!$Ö$370)</f>
      </c>
      <c r="EU370">
        <f>IF(ISBLANK('Data Entry'!$×$370), "", 'Data Entry'!$×$370)</f>
      </c>
      <c r="EV370">
        <f>IF(ISBLANK('Data Entry'!$Ø$370), "", 'Data Entry'!$Ø$370)</f>
      </c>
      <c r="EW370">
        <f>IF(ISBLANK('Data Entry'!$Ù$370), "", 'Data Entry'!$Ù$370)</f>
      </c>
      <c r="EX370">
        <f>IF(ISBLANK('Data Entry'!$Ú$370), "", 'Data Entry'!$Ú$370)</f>
      </c>
      <c r="EY370">
        <f>IF(ISBLANK('Data Entry'!$Û$370), "", 'Data Entry'!$Û$370)</f>
      </c>
      <c r="EZ370">
        <f>IF(ISBLANK('Data Entry'!$Ü$370), "", 'Data Entry'!$Ü$370)</f>
      </c>
      <c r="FA370">
        <f>IF(ISBLANK('Data Entry'!$Ý$370), "", 'Data Entry'!$Ý$370)</f>
      </c>
      <c r="FB370">
        <f>IF(ISBLANK('Data Entry'!$Þ$370), "", 'Data Entry'!$Þ$370)</f>
      </c>
      <c r="FC370">
        <f>IF(ISBLANK('Data Entry'!$ß$370), "", 'Data Entry'!$ß$370)</f>
      </c>
      <c r="FD370">
        <f>IF(ISBLANK('Data Entry'!$à$370), "", 'Data Entry'!$à$370)</f>
      </c>
      <c r="FE370">
        <f>IF(ISBLANK('Data Entry'!$á$370), "", 'Data Entry'!$á$370)</f>
      </c>
      <c r="FF370">
        <f>IF(ISBLANK('Data Entry'!$â$370), "", 'Data Entry'!$â$370)</f>
      </c>
      <c r="FG370">
        <f>IF(ISBLANK('Data Entry'!$ã$370), "", 'Data Entry'!$ã$370)</f>
      </c>
      <c r="FH370">
        <f>IF(ISBLANK('Data Entry'!$ä$370), "", 'Data Entry'!$ä$370)</f>
      </c>
      <c r="FI370">
        <f>IF(ISBLANK('Data Entry'!$å$370), "", 'Data Entry'!$å$370)</f>
      </c>
      <c r="FJ370">
        <f>IF(ISBLANK('Data Entry'!$æ$370), "", 'Data Entry'!$æ$370)</f>
      </c>
      <c r="FK370">
        <f>IF(ISBLANK('Data Entry'!$ç$370), "", 'Data Entry'!$ç$370)</f>
      </c>
      <c r="FL370">
        <f>IF(ISBLANK('Data Entry'!$è$370), "", 'Data Entry'!$è$370)</f>
      </c>
      <c r="FM370">
        <f>IF(ISBLANK('Data Entry'!$é$370), "", 'Data Entry'!$é$370)</f>
      </c>
      <c r="FN370">
        <f>IF(ISBLANK('Data Entry'!$ê$370), "", 'Data Entry'!$ê$370)</f>
      </c>
      <c r="FO370">
        <f>IF(ISBLANK('Data Entry'!$ë$370), "", 'Data Entry'!$ë$370)</f>
      </c>
      <c r="FP370">
        <f>IF(ISBLANK('Data Entry'!$ì$370), "", 'Data Entry'!$ì$370)</f>
      </c>
      <c r="FQ370">
        <f>IF(ISBLANK('Data Entry'!$í$370), "", 'Data Entry'!$í$370)</f>
      </c>
      <c r="FR370">
        <f>IF(ISBLANK('Data Entry'!$î$370), "", 'Data Entry'!$î$370)</f>
      </c>
      <c r="FS370">
        <f>IF(ISBLANK('Data Entry'!$ï$370), "", 'Data Entry'!$ï$370)</f>
      </c>
      <c r="FT370">
        <f>IF(ISBLANK('Data Entry'!$ð$370), "", 'Data Entry'!$ð$370)</f>
      </c>
      <c r="FU370">
        <f>IF(ISBLANK('Data Entry'!$ñ$370), "", 'Data Entry'!$ñ$370)</f>
      </c>
      <c r="FV370">
        <f>IF(ISBLANK('Data Entry'!$ò$370), "", 'Data Entry'!$ò$370)</f>
      </c>
      <c r="FW370">
        <f>IF(ISBLANK('Data Entry'!$ó$370), "", 'Data Entry'!$ó$370)</f>
      </c>
      <c r="FX370">
        <f>IF(ISBLANK('Data Entry'!$ô$370), "", 'Data Entry'!$ô$370)</f>
      </c>
      <c r="FY370">
        <f>IF(ISBLANK('Data Entry'!$õ$370), "", 'Data Entry'!$õ$370)</f>
      </c>
      <c r="FZ370">
        <f>IF(ISBLANK('Data Entry'!$ö$370), "", 'Data Entry'!$ö$370)</f>
      </c>
      <c r="GA370">
        <f>IF(ISBLANK('Data Entry'!$÷$370), "", 'Data Entry'!$÷$370)</f>
      </c>
      <c r="GB370">
        <f>IF(ISBLANK('Data Entry'!$ø$370), "", 'Data Entry'!$ø$370)</f>
      </c>
      <c r="GC370">
        <f>IF(ISBLANK('Data Entry'!$ù$370), "", 'Data Entry'!$ù$370)</f>
      </c>
      <c r="GD370">
        <f>IF(ISBLANK('Data Entry'!$ú$370), "", 'Data Entry'!$ú$370)</f>
      </c>
      <c r="GE370">
        <f>IF(ISBLANK('Data Entry'!$û$370), "", 'Data Entry'!$û$370)</f>
      </c>
      <c r="GF370">
        <f>IF(ISBLANK('Data Entry'!$ü$370), "", 'Data Entry'!$ü$370)</f>
      </c>
      <c r="GG370">
        <f>IF(ISBLANK('Data Entry'!$ý$370), "", 'Data Entry'!$ý$370)</f>
      </c>
      <c r="GH370">
        <f>IF(ISBLANK('Data Entry'!$þ$370), "", 'Data Entry'!$þ$370)</f>
      </c>
      <c r="GI370">
        <f>IF(ISBLANK('Data Entry'!$ÿ$370), "", 'Data Entry'!$ÿ$370)</f>
      </c>
      <c r="GJ370">
        <f>IF(ISBLANK('Data Entry'!$Ā$370), "", 'Data Entry'!$Ā$370)</f>
      </c>
      <c r="GK370">
        <f>IF(ISBLANK('Data Entry'!$ā$370), "", 'Data Entry'!$ā$370)</f>
      </c>
      <c r="GL370">
        <f>IF(ISBLANK('Data Entry'!$Ă$370), "", 'Data Entry'!$Ă$370)</f>
      </c>
      <c r="GM370">
        <f>IF(ISBLANK('Data Entry'!$ă$370), "", 'Data Entry'!$ă$370)</f>
      </c>
      <c r="GN370">
        <f>IF(ISBLANK('Data Entry'!$Ą$370), "", 'Data Entry'!$Ą$370)</f>
      </c>
      <c r="GO370">
        <f>IF(ISBLANK('Data Entry'!$ą$370), "", 'Data Entry'!$ą$370)</f>
      </c>
      <c r="GP370">
        <f>IF(ISBLANK('Data Entry'!$Ć$370), "", 'Data Entry'!$Ć$370)</f>
      </c>
      <c r="GQ370">
        <f>IF(ISBLANK('Data Entry'!$ć$370), "", 'Data Entry'!$ć$370)</f>
      </c>
      <c r="GR370">
        <f>IF(ISBLANK('Data Entry'!$Ĉ$370), "", 'Data Entry'!$Ĉ$370)</f>
      </c>
      <c r="GS370">
        <f>IF(ISBLANK('Data Entry'!$ĉ$370), "", 'Data Entry'!$ĉ$370)</f>
      </c>
      <c r="GT370">
        <f>IF(ISBLANK('Data Entry'!$Ċ$370), "", 'Data Entry'!$Ċ$370)</f>
      </c>
      <c r="GU370">
        <f>IF(ISBLANK('Data Entry'!$ċ$370), "", 'Data Entry'!$ċ$370)</f>
      </c>
      <c r="GV370">
        <f>IF(ISBLANK('Data Entry'!$Č$370), "", 'Data Entry'!$Č$370)</f>
      </c>
      <c r="GW370">
        <f>IF(ISBLANK('Data Entry'!$č$370), "", 'Data Entry'!$č$370)</f>
      </c>
      <c r="GX370">
        <f>IF(ISBLANK('Data Entry'!$Ď$370), "", 'Data Entry'!$Ď$370)</f>
      </c>
      <c r="GY370">
        <f>IF(ISBLANK('Data Entry'!$ď$370), "", 'Data Entry'!$ď$370)</f>
      </c>
      <c r="GZ370">
        <f>IF(ISBLANK('Data Entry'!$Đ$370), "", 'Data Entry'!$Đ$370)</f>
      </c>
      <c r="HA370">
        <f>IF(ISBLANK('Data Entry'!$đ$370), "", 'Data Entry'!$đ$370)</f>
      </c>
      <c r="HB370">
        <f>IF(ISBLANK('Data Entry'!$Ē$370), "", 'Data Entry'!$Ē$370)</f>
      </c>
      <c r="HC370">
        <f>IF(ISBLANK('Data Entry'!$ē$370), "", 'Data Entry'!$ē$370)</f>
      </c>
      <c r="HD370">
        <f>IF(ISBLANK('Data Entry'!$Ĕ$370), "", 'Data Entry'!$Ĕ$370)</f>
      </c>
      <c r="HE370">
        <f>IF(ISBLANK('Data Entry'!$ĕ$370), "", 'Data Entry'!$ĕ$370)</f>
      </c>
      <c r="HF370">
        <f>IF(ISBLANK('Data Entry'!$Ė$370), "", 'Data Entry'!$Ė$370)</f>
      </c>
      <c r="HG370">
        <f>IF(ISBLANK('Data Entry'!$ė$370), "", 'Data Entry'!$ė$370)</f>
      </c>
      <c r="HH370">
        <f>IF(ISBLANK('Data Entry'!$Ę$370), "", 'Data Entry'!$Ę$370)</f>
      </c>
      <c r="HI370">
        <f>IF(ISBLANK('Data Entry'!$ę$370), "", 'Data Entry'!$ę$370)</f>
      </c>
      <c r="HJ370">
        <f>IF(ISBLANK('Data Entry'!$Ě$370), "", 'Data Entry'!$Ě$370)</f>
      </c>
      <c r="HK370">
        <f>IF(ISBLANK('Data Entry'!$ě$370), "", 'Data Entry'!$ě$370)</f>
      </c>
      <c r="HL370">
        <f>IF(ISBLANK('Data Entry'!$Ĝ$370), "", 'Data Entry'!$Ĝ$370)</f>
      </c>
      <c r="HM370">
        <f>IF(ISBLANK('Data Entry'!$ĝ$370), "", 'Data Entry'!$ĝ$370)</f>
      </c>
      <c r="HN370">
        <f>IF(ISBLANK('Data Entry'!$Ğ$370), "", 'Data Entry'!$Ğ$370)</f>
      </c>
      <c r="HO370">
        <f>IF(ISBLANK('Data Entry'!$ğ$370), "", 'Data Entry'!$ğ$370)</f>
      </c>
      <c r="HP370">
        <f>IF(ISBLANK('Data Entry'!$Ġ$370), "", 'Data Entry'!$Ġ$370)</f>
      </c>
      <c r="HQ370">
        <f>IF(ISBLANK('Data Entry'!$ġ$370), "", 'Data Entry'!$ġ$370)</f>
      </c>
      <c r="HR370">
        <f>IF(ISBLANK('Data Entry'!$Ģ$370), "", 'Data Entry'!$Ģ$370)</f>
      </c>
      <c r="HS370">
        <f>IF(ISBLANK('Data Entry'!$ģ$370), "", 'Data Entry'!$ģ$370)</f>
      </c>
      <c r="HT370">
        <f>IF(ISBLANK('Data Entry'!$Ĥ$370), "", 'Data Entry'!$Ĥ$370)</f>
      </c>
      <c r="HU370">
        <f>IF(ISBLANK('Data Entry'!$ĥ$370), "", 'Data Entry'!$ĥ$370)</f>
      </c>
      <c r="HV370">
        <f>IF(ISBLANK('Data Entry'!$Ħ$370), "", 'Data Entry'!$Ħ$370)</f>
      </c>
      <c r="HW370">
        <f>IF(ISBLANK('Data Entry'!$ħ$370), "", 'Data Entry'!$ħ$370)</f>
      </c>
      <c r="HX370">
        <f>IF(ISBLANK('Data Entry'!$Ĩ$370), "", 'Data Entry'!$Ĩ$370)</f>
      </c>
      <c r="HY370">
        <f>IF(ISBLANK('Data Entry'!$ĩ$370), "", 'Data Entry'!$ĩ$370)</f>
      </c>
      <c r="HZ370">
        <f>IF(ISBLANK('Data Entry'!$Ī$370), "", 'Data Entry'!$Ī$370)</f>
      </c>
      <c r="IA370">
        <f>IF(ISBLANK('Data Entry'!$ī$370), "", 'Data Entry'!$ī$370)</f>
      </c>
      <c r="IB370">
        <f>IF(ISBLANK('Data Entry'!$Ĭ$370), "", 'Data Entry'!$Ĭ$370)</f>
      </c>
      <c r="IC370">
        <f>IF(ISBLANK('Data Entry'!$ĭ$370), "", 'Data Entry'!$ĭ$370)</f>
      </c>
      <c r="ID370">
        <f>IF(ISBLANK('Data Entry'!$Į$370), "", 'Data Entry'!$Į$370)</f>
      </c>
      <c r="IE370">
        <f>IF(ISBLANK('Data Entry'!$į$370), "", 'Data Entry'!$į$370)</f>
      </c>
      <c r="IF370">
        <f>IF(ISBLANK('Data Entry'!$İ$370), "", 'Data Entry'!$İ$370)</f>
      </c>
      <c r="IG370">
        <f>IF(ISBLANK('Data Entry'!$ı$370), "", 'Data Entry'!$ı$370)</f>
      </c>
      <c r="IH370">
        <f>IF(ISBLANK('Data Entry'!$Ĳ$370), "", 'Data Entry'!$Ĳ$370)</f>
      </c>
      <c r="II370">
        <f>IF(ISBLANK('Data Entry'!$ĳ$370), "", 'Data Entry'!$ĳ$370)</f>
      </c>
      <c r="IJ370">
        <f>IF(ISBLANK('Data Entry'!$Ĵ$370), "", 'Data Entry'!$Ĵ$370)</f>
      </c>
      <c r="IK370">
        <f>IF(ISBLANK('Data Entry'!$ĵ$370), "", 'Data Entry'!$ĵ$370)</f>
      </c>
      <c r="IL370">
        <f>IF(ISBLANK('Data Entry'!$Ķ$370), "", 'Data Entry'!$Ķ$370)</f>
      </c>
      <c r="IM370">
        <f>IF(ISBLANK('Data Entry'!$ķ$370), "", 'Data Entry'!$ķ$370)</f>
      </c>
      <c r="IN370">
        <f>IF(ISBLANK('Data Entry'!$ĸ$370), "", 'Data Entry'!$ĸ$370)</f>
      </c>
      <c r="IO370">
        <f>IF(ISBLANK('Data Entry'!$Ĺ$370), "", 'Data Entry'!$Ĺ$370)</f>
      </c>
      <c r="IP370">
        <f>IF(ISBLANK('Data Entry'!$ĺ$370), "", 'Data Entry'!$ĺ$370)</f>
      </c>
      <c r="IQ370">
        <f>IF(ISBLANK('Data Entry'!$Ļ$370), "", 'Data Entry'!$Ļ$370)</f>
      </c>
      <c r="IR370">
        <f>IF(ISBLANK('Data Entry'!$ļ$370), "", 'Data Entry'!$ļ$370)</f>
      </c>
      <c r="IS370">
        <f>IF(ISBLANK('Data Entry'!$Ľ$370), "", 'Data Entry'!$Ľ$370)</f>
      </c>
      <c r="IT370">
        <f>IF(ISBLANK('Data Entry'!$ľ$370), "", 'Data Entry'!$ľ$370)</f>
      </c>
    </row>
    <row r="371" spans="1:254" x14ac:dyDescent="0.25">
      <c r="A371">
        <f>IF(ISBLANK('Data Entry'!$A$371), "", 'Data Entry'!$A$371)</f>
      </c>
      <c r="B371">
        <f>IF(ISBLANK('Data Entry'!$B$371), "", 'Data Entry'!$B$371)</f>
      </c>
      <c r="C371">
        <f>IF(ISBLANK('Data Entry'!$C$371), "", 'Data Entry'!$C$371)</f>
      </c>
      <c r="D371">
        <f>IF(ISBLANK('Data Entry'!$D$371), "", 'Data Entry'!$D$371)</f>
      </c>
      <c r="E371">
        <f>IF(ISBLANK('Data Entry'!$E$371), "", 'Data Entry'!$E$371)</f>
      </c>
      <c r="F371">
        <f>IF(ISBLANK('Data Entry'!$F$371), "", 'Data Entry'!$F$371)</f>
      </c>
      <c r="G371">
        <f>IF(ISBLANK('Data Entry'!$G$371), "", 'Data Entry'!$G$371)</f>
      </c>
      <c r="H371">
        <f>IF(ISBLANK('Data Entry'!$H$371), "", 'Data Entry'!$H$371)</f>
      </c>
      <c r="I371">
        <f>IF(ISBLANK('Data Entry'!$I$371), "", 'Data Entry'!$I$371)</f>
      </c>
      <c r="J371">
        <f>IF(ISBLANK('Data Entry'!$J$371), "", 'Data Entry'!$J$371)</f>
      </c>
      <c r="K371">
        <f>IF(ISBLANK('Data Entry'!$K$371), "", 'Data Entry'!$K$371)</f>
      </c>
      <c r="L371">
        <f>IF(ISBLANK('Data Entry'!$L$371), "", 'Data Entry'!$L$371)</f>
      </c>
      <c r="M371">
        <f>IF(ISBLANK('Data Entry'!$M$371), "", 'Data Entry'!$M$371)</f>
      </c>
      <c r="N371">
        <f>IF(ISBLANK('Data Entry'!$N$371), "", 'Data Entry'!$N$371)</f>
      </c>
      <c r="O371">
        <f>IF(ISBLANK('Data Entry'!$O$371), "", 'Data Entry'!$O$371)</f>
      </c>
      <c r="P371">
        <f>IF(ISBLANK('Data Entry'!$P$371), "", 'Data Entry'!$P$371)</f>
      </c>
      <c r="Q371">
        <f>IF(ISBLANK('Data Entry'!$Q$371), "", 'Data Entry'!$Q$371)</f>
      </c>
      <c r="R371">
        <f>IF(ISBLANK('Data Entry'!$R$371), "", 'Data Entry'!$R$371)</f>
      </c>
      <c r="S371">
        <f>IF(ISBLANK('Data Entry'!$S$371), "", 'Data Entry'!$S$371)</f>
      </c>
      <c r="T371">
        <f>IF(ISBLANK('Data Entry'!$T$371), "", 'Data Entry'!$T$371)</f>
      </c>
      <c r="U371">
        <f>IF(ISBLANK('Data Entry'!$U$371), "", 'Data Entry'!$U$371)</f>
      </c>
      <c r="V371">
        <f>IF(ISBLANK('Data Entry'!$V$371), "", 'Data Entry'!$V$371)</f>
      </c>
      <c r="W371">
        <f>IF(ISBLANK('Data Entry'!$W$371), "", 'Data Entry'!$W$371)</f>
      </c>
      <c r="X371">
        <f>IF(ISBLANK('Data Entry'!$X$371), "", 'Data Entry'!$X$371)</f>
      </c>
      <c r="Y371">
        <f>IF(ISBLANK('Data Entry'!$Y$371), "", 'Data Entry'!$Y$371)</f>
      </c>
      <c r="Z371">
        <f>IF(ISBLANK('Data Entry'!$Z$371), "", 'Data Entry'!$Z$371)</f>
      </c>
      <c r="AA371">
        <f>IF(ISBLANK('Data Entry'!$[$371), "", 'Data Entry'!$[$371)</f>
      </c>
      <c r="AB371">
        <f>IF(ISBLANK('Data Entry'!$\$371), "", 'Data Entry'!$\$371)</f>
      </c>
      <c r="AC371">
        <f>IF(ISBLANK('Data Entry'!$]$371), "", 'Data Entry'!$]$371)</f>
      </c>
      <c r="AD371">
        <f>IF(ISBLANK('Data Entry'!$^$371), "", 'Data Entry'!$^$371)</f>
      </c>
      <c r="AE371">
        <f>IF(ISBLANK('Data Entry'!$_$371), "", 'Data Entry'!$_$371)</f>
      </c>
      <c r="AF371">
        <f>IF(ISBLANK('Data Entry'!$`$371), "", 'Data Entry'!$`$371)</f>
      </c>
      <c r="AG371">
        <f>IF(ISBLANK('Data Entry'!$a$371), "", 'Data Entry'!$a$371)</f>
      </c>
      <c r="AH371">
        <f>IF(ISBLANK('Data Entry'!$b$371), "", 'Data Entry'!$b$371)</f>
      </c>
      <c r="AI371">
        <f>IF(ISBLANK('Data Entry'!$c$371), "", 'Data Entry'!$c$371)</f>
      </c>
      <c r="AJ371">
        <f>IF(ISBLANK('Data Entry'!$d$371), "", 'Data Entry'!$d$371)</f>
      </c>
      <c r="AK371">
        <f>IF(ISBLANK('Data Entry'!$e$371), "", 'Data Entry'!$e$371)</f>
      </c>
      <c r="AL371">
        <f>IF(ISBLANK('Data Entry'!$f$371), "", 'Data Entry'!$f$371)</f>
      </c>
      <c r="AM371">
        <f>IF(ISBLANK('Data Entry'!$g$371), "", 'Data Entry'!$g$371)</f>
      </c>
      <c r="AN371">
        <f>IF(ISBLANK('Data Entry'!$h$371), "", 'Data Entry'!$h$371)</f>
      </c>
      <c r="AO371">
        <f>IF(ISBLANK('Data Entry'!$i$371), "", 'Data Entry'!$i$371)</f>
      </c>
      <c r="AP371">
        <f>IF(ISBLANK('Data Entry'!$j$371), "", 'Data Entry'!$j$371)</f>
      </c>
      <c r="AQ371">
        <f>IF(ISBLANK('Data Entry'!$k$371), "", 'Data Entry'!$k$371)</f>
      </c>
      <c r="AR371">
        <f>IF(ISBLANK('Data Entry'!$l$371), "", 'Data Entry'!$l$371)</f>
      </c>
      <c r="AS371">
        <f>IF(ISBLANK('Data Entry'!$m$371), "", 'Data Entry'!$m$371)</f>
      </c>
      <c r="AT371">
        <f>IF(ISBLANK('Data Entry'!$n$371), "", 'Data Entry'!$n$371)</f>
      </c>
      <c r="AU371">
        <f>IF(ISBLANK('Data Entry'!$o$371), "", 'Data Entry'!$o$371)</f>
      </c>
      <c r="AV371">
        <f>IF(ISBLANK('Data Entry'!$p$371), "", 'Data Entry'!$p$371)</f>
      </c>
      <c r="AW371">
        <f>IF(ISBLANK('Data Entry'!$q$371), "", 'Data Entry'!$q$371)</f>
      </c>
      <c r="AX371">
        <f>IF(ISBLANK('Data Entry'!$r$371), "", 'Data Entry'!$r$371)</f>
      </c>
      <c r="AY371">
        <f>IF(ISBLANK('Data Entry'!$s$371), "", 'Data Entry'!$s$371)</f>
      </c>
      <c r="AZ371">
        <f>IF(ISBLANK('Data Entry'!$t$371), "", 'Data Entry'!$t$371)</f>
      </c>
      <c r="BA371">
        <f>IF(ISBLANK('Data Entry'!$u$371), "", 'Data Entry'!$u$371)</f>
      </c>
      <c r="BB371">
        <f>IF(ISBLANK('Data Entry'!$v$371), "", 'Data Entry'!$v$371)</f>
      </c>
      <c r="BC371">
        <f>IF(ISBLANK('Data Entry'!$w$371), "", 'Data Entry'!$w$371)</f>
      </c>
      <c r="BD371">
        <f>IF(ISBLANK('Data Entry'!$x$371), "", 'Data Entry'!$x$371)</f>
      </c>
      <c r="BE371">
        <f>IF(ISBLANK('Data Entry'!$y$371), "", 'Data Entry'!$y$371)</f>
      </c>
      <c r="BF371">
        <f>IF(ISBLANK('Data Entry'!$z$371), "", 'Data Entry'!$z$371)</f>
      </c>
      <c r="BG371">
        <f>IF(ISBLANK('Data Entry'!${$371), "", 'Data Entry'!${$371)</f>
      </c>
      <c r="BH371">
        <f>IF(ISBLANK('Data Entry'!$|$371), "", 'Data Entry'!$|$371)</f>
      </c>
      <c r="BI371">
        <f>IF(ISBLANK('Data Entry'!$}$371), "", 'Data Entry'!$}$371)</f>
      </c>
      <c r="BJ371">
        <f>IF(ISBLANK('Data Entry'!$~$371), "", 'Data Entry'!$~$371)</f>
      </c>
      <c r="BK371">
        <f>IF(ISBLANK('Data Entry'!$$371), "", 'Data Entry'!$$371)</f>
      </c>
      <c r="BL371">
        <f>IF(ISBLANK('Data Entry'!$$371), "", 'Data Entry'!$$371)</f>
      </c>
      <c r="BM371">
        <f>IF(ISBLANK('Data Entry'!$$371), "", 'Data Entry'!$$371)</f>
      </c>
      <c r="BN371">
        <f>IF(ISBLANK('Data Entry'!$$371), "", 'Data Entry'!$$371)</f>
      </c>
      <c r="BO371">
        <f>IF(ISBLANK('Data Entry'!$$371), "", 'Data Entry'!$$371)</f>
      </c>
      <c r="BP371">
        <f>IF(ISBLANK('Data Entry'!$$371), "", 'Data Entry'!$$371)</f>
      </c>
      <c r="BQ371">
        <f>IF(ISBLANK('Data Entry'!$$371), "", 'Data Entry'!$$371)</f>
      </c>
      <c r="BR371">
        <f>IF(ISBLANK('Data Entry'!$$371), "", 'Data Entry'!$$371)</f>
      </c>
      <c r="BS371">
        <f>IF(ISBLANK('Data Entry'!$$371), "", 'Data Entry'!$$371)</f>
      </c>
      <c r="BT371">
        <f>IF(ISBLANK('Data Entry'!$$371), "", 'Data Entry'!$$371)</f>
      </c>
      <c r="BU371">
        <f>IF(ISBLANK('Data Entry'!$$371), "", 'Data Entry'!$$371)</f>
      </c>
      <c r="BV371">
        <f>IF(ISBLANK('Data Entry'!$$371), "", 'Data Entry'!$$371)</f>
      </c>
      <c r="BW371">
        <f>IF(ISBLANK('Data Entry'!$$371), "", 'Data Entry'!$$371)</f>
      </c>
      <c r="BX371">
        <f>IF(ISBLANK('Data Entry'!$$371), "", 'Data Entry'!$$371)</f>
      </c>
      <c r="BY371">
        <f>IF(ISBLANK('Data Entry'!$$371), "", 'Data Entry'!$$371)</f>
      </c>
      <c r="BZ371">
        <f>IF(ISBLANK('Data Entry'!$$371), "", 'Data Entry'!$$371)</f>
      </c>
      <c r="CA371">
        <f>IF(ISBLANK('Data Entry'!$$371), "", 'Data Entry'!$$371)</f>
      </c>
      <c r="CB371">
        <f>IF(ISBLANK('Data Entry'!$$371), "", 'Data Entry'!$$371)</f>
      </c>
      <c r="CC371">
        <f>IF(ISBLANK('Data Entry'!$$371), "", 'Data Entry'!$$371)</f>
      </c>
      <c r="CD371">
        <f>IF(ISBLANK('Data Entry'!$$371), "", 'Data Entry'!$$371)</f>
      </c>
      <c r="CE371">
        <f>IF(ISBLANK('Data Entry'!$$371), "", 'Data Entry'!$$371)</f>
      </c>
      <c r="CF371">
        <f>IF(ISBLANK('Data Entry'!$$371), "", 'Data Entry'!$$371)</f>
      </c>
      <c r="CG371">
        <f>IF(ISBLANK('Data Entry'!$$371), "", 'Data Entry'!$$371)</f>
      </c>
      <c r="CH371">
        <f>IF(ISBLANK('Data Entry'!$$371), "", 'Data Entry'!$$371)</f>
      </c>
      <c r="CI371">
        <f>IF(ISBLANK('Data Entry'!$$371), "", 'Data Entry'!$$371)</f>
      </c>
      <c r="CJ371">
        <f>IF(ISBLANK('Data Entry'!$$371), "", 'Data Entry'!$$371)</f>
      </c>
      <c r="CK371">
        <f>IF(ISBLANK('Data Entry'!$$371), "", 'Data Entry'!$$371)</f>
      </c>
      <c r="CL371">
        <f>IF(ISBLANK('Data Entry'!$$371), "", 'Data Entry'!$$371)</f>
      </c>
      <c r="CM371">
        <f>IF(ISBLANK('Data Entry'!$$371), "", 'Data Entry'!$$371)</f>
      </c>
      <c r="CN371">
        <f>IF(ISBLANK('Data Entry'!$$371), "", 'Data Entry'!$$371)</f>
      </c>
      <c r="CO371">
        <f>IF(ISBLANK('Data Entry'!$$371), "", 'Data Entry'!$$371)</f>
      </c>
      <c r="CP371">
        <f>IF(ISBLANK('Data Entry'!$$371), "", 'Data Entry'!$$371)</f>
      </c>
      <c r="CQ371">
        <f>IF(ISBLANK('Data Entry'!$$371), "", 'Data Entry'!$$371)</f>
      </c>
      <c r="CR371">
        <f>IF(ISBLANK('Data Entry'!$ $371), "", 'Data Entry'!$ $371)</f>
      </c>
      <c r="CS371">
        <f>IF(ISBLANK('Data Entry'!$¡$371), "", 'Data Entry'!$¡$371)</f>
      </c>
      <c r="CT371">
        <f>IF(ISBLANK('Data Entry'!$¢$371), "", 'Data Entry'!$¢$371)</f>
      </c>
      <c r="CU371">
        <f>IF(ISBLANK('Data Entry'!$£$371), "", 'Data Entry'!$£$371)</f>
      </c>
      <c r="CV371">
        <f>IF(ISBLANK('Data Entry'!$¤$371), "", 'Data Entry'!$¤$371)</f>
      </c>
      <c r="CW371">
        <f>IF(ISBLANK('Data Entry'!$¥$371), "", 'Data Entry'!$¥$371)</f>
      </c>
      <c r="CX371">
        <f>IF(ISBLANK('Data Entry'!$¦$371), "", 'Data Entry'!$¦$371)</f>
      </c>
      <c r="CY371">
        <f>IF(ISBLANK('Data Entry'!$§$371), "", 'Data Entry'!$§$371)</f>
      </c>
      <c r="CZ371">
        <f>IF(ISBLANK('Data Entry'!$¨$371), "", 'Data Entry'!$¨$371)</f>
      </c>
      <c r="DA371">
        <f>IF(ISBLANK('Data Entry'!$©$371), "", 'Data Entry'!$©$371)</f>
      </c>
      <c r="DB371">
        <f>IF(ISBLANK('Data Entry'!$ª$371), "", 'Data Entry'!$ª$371)</f>
      </c>
      <c r="DC371">
        <f>IF(ISBLANK('Data Entry'!$«$371), "", 'Data Entry'!$«$371)</f>
      </c>
      <c r="DD371">
        <f>IF(ISBLANK('Data Entry'!$¬$371), "", 'Data Entry'!$¬$371)</f>
      </c>
      <c r="DE371">
        <f>IF(ISBLANK('Data Entry'!$­$371), "", 'Data Entry'!$­$371)</f>
      </c>
      <c r="DF371">
        <f>IF(ISBLANK('Data Entry'!$®$371), "", 'Data Entry'!$®$371)</f>
      </c>
      <c r="DG371">
        <f>IF(ISBLANK('Data Entry'!$¯$371), "", 'Data Entry'!$¯$371)</f>
      </c>
      <c r="DH371">
        <f>IF(ISBLANK('Data Entry'!$°$371), "", 'Data Entry'!$°$371)</f>
      </c>
      <c r="DI371">
        <f>IF(ISBLANK('Data Entry'!$±$371), "", 'Data Entry'!$±$371)</f>
      </c>
      <c r="DJ371">
        <f>IF(ISBLANK('Data Entry'!$²$371), "", 'Data Entry'!$²$371)</f>
      </c>
      <c r="DK371">
        <f>IF(ISBLANK('Data Entry'!$³$371), "", 'Data Entry'!$³$371)</f>
      </c>
      <c r="DL371">
        <f>IF(ISBLANK('Data Entry'!$´$371), "", 'Data Entry'!$´$371)</f>
      </c>
      <c r="DM371">
        <f>IF(ISBLANK('Data Entry'!$µ$371), "", 'Data Entry'!$µ$371)</f>
      </c>
      <c r="DN371">
        <f>IF(ISBLANK('Data Entry'!$¶$371), "", 'Data Entry'!$¶$371)</f>
      </c>
      <c r="DO371">
        <f>IF(ISBLANK('Data Entry'!$·$371), "", 'Data Entry'!$·$371)</f>
      </c>
      <c r="DP371">
        <f>IF(ISBLANK('Data Entry'!$¸$371), "", 'Data Entry'!$¸$371)</f>
      </c>
      <c r="DQ371">
        <f>IF(ISBLANK('Data Entry'!$¹$371), "", 'Data Entry'!$¹$371)</f>
      </c>
      <c r="DR371">
        <f>IF(ISBLANK('Data Entry'!$º$371), "", 'Data Entry'!$º$371)</f>
      </c>
      <c r="DS371">
        <f>IF(ISBLANK('Data Entry'!$»$371), "", 'Data Entry'!$»$371)</f>
      </c>
      <c r="DT371">
        <f>IF(ISBLANK('Data Entry'!$¼$371), "", 'Data Entry'!$¼$371)</f>
      </c>
      <c r="DU371">
        <f>IF(ISBLANK('Data Entry'!$½$371), "", 'Data Entry'!$½$371)</f>
      </c>
      <c r="DV371">
        <f>IF(ISBLANK('Data Entry'!$¾$371), "", 'Data Entry'!$¾$371)</f>
      </c>
      <c r="DW371">
        <f>IF(ISBLANK('Data Entry'!$¿$371), "", 'Data Entry'!$¿$371)</f>
      </c>
      <c r="DX371">
        <f>IF(ISBLANK('Data Entry'!$À$371), "", 'Data Entry'!$À$371)</f>
      </c>
      <c r="DY371">
        <f>IF(ISBLANK('Data Entry'!$Á$371), "", 'Data Entry'!$Á$371)</f>
      </c>
      <c r="DZ371">
        <f>IF(ISBLANK('Data Entry'!$Â$371), "", 'Data Entry'!$Â$371)</f>
      </c>
      <c r="EA371">
        <f>IF(ISBLANK('Data Entry'!$Ã$371), "", 'Data Entry'!$Ã$371)</f>
      </c>
      <c r="EB371">
        <f>IF(ISBLANK('Data Entry'!$Ä$371), "", 'Data Entry'!$Ä$371)</f>
      </c>
      <c r="EC371">
        <f>IF(ISBLANK('Data Entry'!$Å$371), "", 'Data Entry'!$Å$371)</f>
      </c>
      <c r="ED371">
        <f>IF(ISBLANK('Data Entry'!$Æ$371), "", 'Data Entry'!$Æ$371)</f>
      </c>
      <c r="EE371">
        <f>IF(ISBLANK('Data Entry'!$Ç$371), "", 'Data Entry'!$Ç$371)</f>
      </c>
      <c r="EF371">
        <f>IF(ISBLANK('Data Entry'!$È$371), "", 'Data Entry'!$È$371)</f>
      </c>
      <c r="EG371">
        <f>IF(ISBLANK('Data Entry'!$É$371), "", 'Data Entry'!$É$371)</f>
      </c>
      <c r="EH371">
        <f>IF(ISBLANK('Data Entry'!$Ê$371), "", 'Data Entry'!$Ê$371)</f>
      </c>
      <c r="EI371">
        <f>IF(ISBLANK('Data Entry'!$Ë$371), "", 'Data Entry'!$Ë$371)</f>
      </c>
      <c r="EJ371">
        <f>IF(ISBLANK('Data Entry'!$Ì$371), "", 'Data Entry'!$Ì$371)</f>
      </c>
      <c r="EK371">
        <f>IF(ISBLANK('Data Entry'!$Í$371), "", 'Data Entry'!$Í$371)</f>
      </c>
      <c r="EL371">
        <f>IF(ISBLANK('Data Entry'!$Î$371), "", 'Data Entry'!$Î$371)</f>
      </c>
      <c r="EM371">
        <f>IF(ISBLANK('Data Entry'!$Ï$371), "", 'Data Entry'!$Ï$371)</f>
      </c>
      <c r="EN371">
        <f>IF(ISBLANK('Data Entry'!$Ð$371), "", 'Data Entry'!$Ð$371)</f>
      </c>
      <c r="EO371">
        <f>IF(ISBLANK('Data Entry'!$Ñ$371), "", 'Data Entry'!$Ñ$371)</f>
      </c>
      <c r="EP371">
        <f>IF(ISBLANK('Data Entry'!$Ò$371), "", 'Data Entry'!$Ò$371)</f>
      </c>
      <c r="EQ371">
        <f>IF(ISBLANK('Data Entry'!$Ó$371), "", 'Data Entry'!$Ó$371)</f>
      </c>
      <c r="ER371">
        <f>IF(ISBLANK('Data Entry'!$Ô$371), "", 'Data Entry'!$Ô$371)</f>
      </c>
      <c r="ES371">
        <f>IF(ISBLANK('Data Entry'!$Õ$371), "", 'Data Entry'!$Õ$371)</f>
      </c>
      <c r="ET371">
        <f>IF(ISBLANK('Data Entry'!$Ö$371), "", 'Data Entry'!$Ö$371)</f>
      </c>
      <c r="EU371">
        <f>IF(ISBLANK('Data Entry'!$×$371), "", 'Data Entry'!$×$371)</f>
      </c>
      <c r="EV371">
        <f>IF(ISBLANK('Data Entry'!$Ø$371), "", 'Data Entry'!$Ø$371)</f>
      </c>
      <c r="EW371">
        <f>IF(ISBLANK('Data Entry'!$Ù$371), "", 'Data Entry'!$Ù$371)</f>
      </c>
      <c r="EX371">
        <f>IF(ISBLANK('Data Entry'!$Ú$371), "", 'Data Entry'!$Ú$371)</f>
      </c>
      <c r="EY371">
        <f>IF(ISBLANK('Data Entry'!$Û$371), "", 'Data Entry'!$Û$371)</f>
      </c>
      <c r="EZ371">
        <f>IF(ISBLANK('Data Entry'!$Ü$371), "", 'Data Entry'!$Ü$371)</f>
      </c>
      <c r="FA371">
        <f>IF(ISBLANK('Data Entry'!$Ý$371), "", 'Data Entry'!$Ý$371)</f>
      </c>
      <c r="FB371">
        <f>IF(ISBLANK('Data Entry'!$Þ$371), "", 'Data Entry'!$Þ$371)</f>
      </c>
      <c r="FC371">
        <f>IF(ISBLANK('Data Entry'!$ß$371), "", 'Data Entry'!$ß$371)</f>
      </c>
      <c r="FD371">
        <f>IF(ISBLANK('Data Entry'!$à$371), "", 'Data Entry'!$à$371)</f>
      </c>
      <c r="FE371">
        <f>IF(ISBLANK('Data Entry'!$á$371), "", 'Data Entry'!$á$371)</f>
      </c>
      <c r="FF371">
        <f>IF(ISBLANK('Data Entry'!$â$371), "", 'Data Entry'!$â$371)</f>
      </c>
      <c r="FG371">
        <f>IF(ISBLANK('Data Entry'!$ã$371), "", 'Data Entry'!$ã$371)</f>
      </c>
      <c r="FH371">
        <f>IF(ISBLANK('Data Entry'!$ä$371), "", 'Data Entry'!$ä$371)</f>
      </c>
      <c r="FI371">
        <f>IF(ISBLANK('Data Entry'!$å$371), "", 'Data Entry'!$å$371)</f>
      </c>
      <c r="FJ371">
        <f>IF(ISBLANK('Data Entry'!$æ$371), "", 'Data Entry'!$æ$371)</f>
      </c>
      <c r="FK371">
        <f>IF(ISBLANK('Data Entry'!$ç$371), "", 'Data Entry'!$ç$371)</f>
      </c>
      <c r="FL371">
        <f>IF(ISBLANK('Data Entry'!$è$371), "", 'Data Entry'!$è$371)</f>
      </c>
      <c r="FM371">
        <f>IF(ISBLANK('Data Entry'!$é$371), "", 'Data Entry'!$é$371)</f>
      </c>
      <c r="FN371">
        <f>IF(ISBLANK('Data Entry'!$ê$371), "", 'Data Entry'!$ê$371)</f>
      </c>
      <c r="FO371">
        <f>IF(ISBLANK('Data Entry'!$ë$371), "", 'Data Entry'!$ë$371)</f>
      </c>
      <c r="FP371">
        <f>IF(ISBLANK('Data Entry'!$ì$371), "", 'Data Entry'!$ì$371)</f>
      </c>
      <c r="FQ371">
        <f>IF(ISBLANK('Data Entry'!$í$371), "", 'Data Entry'!$í$371)</f>
      </c>
      <c r="FR371">
        <f>IF(ISBLANK('Data Entry'!$î$371), "", 'Data Entry'!$î$371)</f>
      </c>
      <c r="FS371">
        <f>IF(ISBLANK('Data Entry'!$ï$371), "", 'Data Entry'!$ï$371)</f>
      </c>
      <c r="FT371">
        <f>IF(ISBLANK('Data Entry'!$ð$371), "", 'Data Entry'!$ð$371)</f>
      </c>
      <c r="FU371">
        <f>IF(ISBLANK('Data Entry'!$ñ$371), "", 'Data Entry'!$ñ$371)</f>
      </c>
      <c r="FV371">
        <f>IF(ISBLANK('Data Entry'!$ò$371), "", 'Data Entry'!$ò$371)</f>
      </c>
      <c r="FW371">
        <f>IF(ISBLANK('Data Entry'!$ó$371), "", 'Data Entry'!$ó$371)</f>
      </c>
      <c r="FX371">
        <f>IF(ISBLANK('Data Entry'!$ô$371), "", 'Data Entry'!$ô$371)</f>
      </c>
      <c r="FY371">
        <f>IF(ISBLANK('Data Entry'!$õ$371), "", 'Data Entry'!$õ$371)</f>
      </c>
      <c r="FZ371">
        <f>IF(ISBLANK('Data Entry'!$ö$371), "", 'Data Entry'!$ö$371)</f>
      </c>
      <c r="GA371">
        <f>IF(ISBLANK('Data Entry'!$÷$371), "", 'Data Entry'!$÷$371)</f>
      </c>
      <c r="GB371">
        <f>IF(ISBLANK('Data Entry'!$ø$371), "", 'Data Entry'!$ø$371)</f>
      </c>
      <c r="GC371">
        <f>IF(ISBLANK('Data Entry'!$ù$371), "", 'Data Entry'!$ù$371)</f>
      </c>
      <c r="GD371">
        <f>IF(ISBLANK('Data Entry'!$ú$371), "", 'Data Entry'!$ú$371)</f>
      </c>
      <c r="GE371">
        <f>IF(ISBLANK('Data Entry'!$û$371), "", 'Data Entry'!$û$371)</f>
      </c>
      <c r="GF371">
        <f>IF(ISBLANK('Data Entry'!$ü$371), "", 'Data Entry'!$ü$371)</f>
      </c>
      <c r="GG371">
        <f>IF(ISBLANK('Data Entry'!$ý$371), "", 'Data Entry'!$ý$371)</f>
      </c>
      <c r="GH371">
        <f>IF(ISBLANK('Data Entry'!$þ$371), "", 'Data Entry'!$þ$371)</f>
      </c>
      <c r="GI371">
        <f>IF(ISBLANK('Data Entry'!$ÿ$371), "", 'Data Entry'!$ÿ$371)</f>
      </c>
      <c r="GJ371">
        <f>IF(ISBLANK('Data Entry'!$Ā$371), "", 'Data Entry'!$Ā$371)</f>
      </c>
      <c r="GK371">
        <f>IF(ISBLANK('Data Entry'!$ā$371), "", 'Data Entry'!$ā$371)</f>
      </c>
      <c r="GL371">
        <f>IF(ISBLANK('Data Entry'!$Ă$371), "", 'Data Entry'!$Ă$371)</f>
      </c>
      <c r="GM371">
        <f>IF(ISBLANK('Data Entry'!$ă$371), "", 'Data Entry'!$ă$371)</f>
      </c>
      <c r="GN371">
        <f>IF(ISBLANK('Data Entry'!$Ą$371), "", 'Data Entry'!$Ą$371)</f>
      </c>
      <c r="GO371">
        <f>IF(ISBLANK('Data Entry'!$ą$371), "", 'Data Entry'!$ą$371)</f>
      </c>
      <c r="GP371">
        <f>IF(ISBLANK('Data Entry'!$Ć$371), "", 'Data Entry'!$Ć$371)</f>
      </c>
      <c r="GQ371">
        <f>IF(ISBLANK('Data Entry'!$ć$371), "", 'Data Entry'!$ć$371)</f>
      </c>
      <c r="GR371">
        <f>IF(ISBLANK('Data Entry'!$Ĉ$371), "", 'Data Entry'!$Ĉ$371)</f>
      </c>
      <c r="GS371">
        <f>IF(ISBLANK('Data Entry'!$ĉ$371), "", 'Data Entry'!$ĉ$371)</f>
      </c>
      <c r="GT371">
        <f>IF(ISBLANK('Data Entry'!$Ċ$371), "", 'Data Entry'!$Ċ$371)</f>
      </c>
      <c r="GU371">
        <f>IF(ISBLANK('Data Entry'!$ċ$371), "", 'Data Entry'!$ċ$371)</f>
      </c>
      <c r="GV371">
        <f>IF(ISBLANK('Data Entry'!$Č$371), "", 'Data Entry'!$Č$371)</f>
      </c>
      <c r="GW371">
        <f>IF(ISBLANK('Data Entry'!$č$371), "", 'Data Entry'!$č$371)</f>
      </c>
      <c r="GX371">
        <f>IF(ISBLANK('Data Entry'!$Ď$371), "", 'Data Entry'!$Ď$371)</f>
      </c>
      <c r="GY371">
        <f>IF(ISBLANK('Data Entry'!$ď$371), "", 'Data Entry'!$ď$371)</f>
      </c>
      <c r="GZ371">
        <f>IF(ISBLANK('Data Entry'!$Đ$371), "", 'Data Entry'!$Đ$371)</f>
      </c>
      <c r="HA371">
        <f>IF(ISBLANK('Data Entry'!$đ$371), "", 'Data Entry'!$đ$371)</f>
      </c>
      <c r="HB371">
        <f>IF(ISBLANK('Data Entry'!$Ē$371), "", 'Data Entry'!$Ē$371)</f>
      </c>
      <c r="HC371">
        <f>IF(ISBLANK('Data Entry'!$ē$371), "", 'Data Entry'!$ē$371)</f>
      </c>
      <c r="HD371">
        <f>IF(ISBLANK('Data Entry'!$Ĕ$371), "", 'Data Entry'!$Ĕ$371)</f>
      </c>
      <c r="HE371">
        <f>IF(ISBLANK('Data Entry'!$ĕ$371), "", 'Data Entry'!$ĕ$371)</f>
      </c>
      <c r="HF371">
        <f>IF(ISBLANK('Data Entry'!$Ė$371), "", 'Data Entry'!$Ė$371)</f>
      </c>
      <c r="HG371">
        <f>IF(ISBLANK('Data Entry'!$ė$371), "", 'Data Entry'!$ė$371)</f>
      </c>
      <c r="HH371">
        <f>IF(ISBLANK('Data Entry'!$Ę$371), "", 'Data Entry'!$Ę$371)</f>
      </c>
      <c r="HI371">
        <f>IF(ISBLANK('Data Entry'!$ę$371), "", 'Data Entry'!$ę$371)</f>
      </c>
      <c r="HJ371">
        <f>IF(ISBLANK('Data Entry'!$Ě$371), "", 'Data Entry'!$Ě$371)</f>
      </c>
      <c r="HK371">
        <f>IF(ISBLANK('Data Entry'!$ě$371), "", 'Data Entry'!$ě$371)</f>
      </c>
      <c r="HL371">
        <f>IF(ISBLANK('Data Entry'!$Ĝ$371), "", 'Data Entry'!$Ĝ$371)</f>
      </c>
      <c r="HM371">
        <f>IF(ISBLANK('Data Entry'!$ĝ$371), "", 'Data Entry'!$ĝ$371)</f>
      </c>
      <c r="HN371">
        <f>IF(ISBLANK('Data Entry'!$Ğ$371), "", 'Data Entry'!$Ğ$371)</f>
      </c>
      <c r="HO371">
        <f>IF(ISBLANK('Data Entry'!$ğ$371), "", 'Data Entry'!$ğ$371)</f>
      </c>
      <c r="HP371">
        <f>IF(ISBLANK('Data Entry'!$Ġ$371), "", 'Data Entry'!$Ġ$371)</f>
      </c>
      <c r="HQ371">
        <f>IF(ISBLANK('Data Entry'!$ġ$371), "", 'Data Entry'!$ġ$371)</f>
      </c>
      <c r="HR371">
        <f>IF(ISBLANK('Data Entry'!$Ģ$371), "", 'Data Entry'!$Ģ$371)</f>
      </c>
      <c r="HS371">
        <f>IF(ISBLANK('Data Entry'!$ģ$371), "", 'Data Entry'!$ģ$371)</f>
      </c>
      <c r="HT371">
        <f>IF(ISBLANK('Data Entry'!$Ĥ$371), "", 'Data Entry'!$Ĥ$371)</f>
      </c>
      <c r="HU371">
        <f>IF(ISBLANK('Data Entry'!$ĥ$371), "", 'Data Entry'!$ĥ$371)</f>
      </c>
      <c r="HV371">
        <f>IF(ISBLANK('Data Entry'!$Ħ$371), "", 'Data Entry'!$Ħ$371)</f>
      </c>
      <c r="HW371">
        <f>IF(ISBLANK('Data Entry'!$ħ$371), "", 'Data Entry'!$ħ$371)</f>
      </c>
      <c r="HX371">
        <f>IF(ISBLANK('Data Entry'!$Ĩ$371), "", 'Data Entry'!$Ĩ$371)</f>
      </c>
      <c r="HY371">
        <f>IF(ISBLANK('Data Entry'!$ĩ$371), "", 'Data Entry'!$ĩ$371)</f>
      </c>
      <c r="HZ371">
        <f>IF(ISBLANK('Data Entry'!$Ī$371), "", 'Data Entry'!$Ī$371)</f>
      </c>
      <c r="IA371">
        <f>IF(ISBLANK('Data Entry'!$ī$371), "", 'Data Entry'!$ī$371)</f>
      </c>
      <c r="IB371">
        <f>IF(ISBLANK('Data Entry'!$Ĭ$371), "", 'Data Entry'!$Ĭ$371)</f>
      </c>
      <c r="IC371">
        <f>IF(ISBLANK('Data Entry'!$ĭ$371), "", 'Data Entry'!$ĭ$371)</f>
      </c>
      <c r="ID371">
        <f>IF(ISBLANK('Data Entry'!$Į$371), "", 'Data Entry'!$Į$371)</f>
      </c>
      <c r="IE371">
        <f>IF(ISBLANK('Data Entry'!$į$371), "", 'Data Entry'!$į$371)</f>
      </c>
      <c r="IF371">
        <f>IF(ISBLANK('Data Entry'!$İ$371), "", 'Data Entry'!$İ$371)</f>
      </c>
      <c r="IG371">
        <f>IF(ISBLANK('Data Entry'!$ı$371), "", 'Data Entry'!$ı$371)</f>
      </c>
      <c r="IH371">
        <f>IF(ISBLANK('Data Entry'!$Ĳ$371), "", 'Data Entry'!$Ĳ$371)</f>
      </c>
      <c r="II371">
        <f>IF(ISBLANK('Data Entry'!$ĳ$371), "", 'Data Entry'!$ĳ$371)</f>
      </c>
      <c r="IJ371">
        <f>IF(ISBLANK('Data Entry'!$Ĵ$371), "", 'Data Entry'!$Ĵ$371)</f>
      </c>
      <c r="IK371">
        <f>IF(ISBLANK('Data Entry'!$ĵ$371), "", 'Data Entry'!$ĵ$371)</f>
      </c>
      <c r="IL371">
        <f>IF(ISBLANK('Data Entry'!$Ķ$371), "", 'Data Entry'!$Ķ$371)</f>
      </c>
      <c r="IM371">
        <f>IF(ISBLANK('Data Entry'!$ķ$371), "", 'Data Entry'!$ķ$371)</f>
      </c>
      <c r="IN371">
        <f>IF(ISBLANK('Data Entry'!$ĸ$371), "", 'Data Entry'!$ĸ$371)</f>
      </c>
      <c r="IO371">
        <f>IF(ISBLANK('Data Entry'!$Ĺ$371), "", 'Data Entry'!$Ĺ$371)</f>
      </c>
      <c r="IP371">
        <f>IF(ISBLANK('Data Entry'!$ĺ$371), "", 'Data Entry'!$ĺ$371)</f>
      </c>
      <c r="IQ371">
        <f>IF(ISBLANK('Data Entry'!$Ļ$371), "", 'Data Entry'!$Ļ$371)</f>
      </c>
      <c r="IR371">
        <f>IF(ISBLANK('Data Entry'!$ļ$371), "", 'Data Entry'!$ļ$371)</f>
      </c>
      <c r="IS371">
        <f>IF(ISBLANK('Data Entry'!$Ľ$371), "", 'Data Entry'!$Ľ$371)</f>
      </c>
      <c r="IT371">
        <f>IF(ISBLANK('Data Entry'!$ľ$371), "", 'Data Entry'!$ľ$371)</f>
      </c>
    </row>
    <row r="372" spans="1:254" x14ac:dyDescent="0.25">
      <c r="A372">
        <f>IF(ISBLANK('Data Entry'!$A$372), "", 'Data Entry'!$A$372)</f>
      </c>
      <c r="B372">
        <f>IF(ISBLANK('Data Entry'!$B$372), "", 'Data Entry'!$B$372)</f>
      </c>
      <c r="C372">
        <f>IF(ISBLANK('Data Entry'!$C$372), "", 'Data Entry'!$C$372)</f>
      </c>
      <c r="D372">
        <f>IF(ISBLANK('Data Entry'!$D$372), "", 'Data Entry'!$D$372)</f>
      </c>
      <c r="E372">
        <f>IF(ISBLANK('Data Entry'!$E$372), "", 'Data Entry'!$E$372)</f>
      </c>
      <c r="F372">
        <f>IF(ISBLANK('Data Entry'!$F$372), "", 'Data Entry'!$F$372)</f>
      </c>
      <c r="G372">
        <f>IF(ISBLANK('Data Entry'!$G$372), "", 'Data Entry'!$G$372)</f>
      </c>
      <c r="H372">
        <f>IF(ISBLANK('Data Entry'!$H$372), "", 'Data Entry'!$H$372)</f>
      </c>
      <c r="I372">
        <f>IF(ISBLANK('Data Entry'!$I$372), "", 'Data Entry'!$I$372)</f>
      </c>
      <c r="J372">
        <f>IF(ISBLANK('Data Entry'!$J$372), "", 'Data Entry'!$J$372)</f>
      </c>
      <c r="K372">
        <f>IF(ISBLANK('Data Entry'!$K$372), "", 'Data Entry'!$K$372)</f>
      </c>
      <c r="L372">
        <f>IF(ISBLANK('Data Entry'!$L$372), "", 'Data Entry'!$L$372)</f>
      </c>
      <c r="M372">
        <f>IF(ISBLANK('Data Entry'!$M$372), "", 'Data Entry'!$M$372)</f>
      </c>
      <c r="N372">
        <f>IF(ISBLANK('Data Entry'!$N$372), "", 'Data Entry'!$N$372)</f>
      </c>
      <c r="O372">
        <f>IF(ISBLANK('Data Entry'!$O$372), "", 'Data Entry'!$O$372)</f>
      </c>
      <c r="P372">
        <f>IF(ISBLANK('Data Entry'!$P$372), "", 'Data Entry'!$P$372)</f>
      </c>
      <c r="Q372">
        <f>IF(ISBLANK('Data Entry'!$Q$372), "", 'Data Entry'!$Q$372)</f>
      </c>
      <c r="R372">
        <f>IF(ISBLANK('Data Entry'!$R$372), "", 'Data Entry'!$R$372)</f>
      </c>
      <c r="S372">
        <f>IF(ISBLANK('Data Entry'!$S$372), "", 'Data Entry'!$S$372)</f>
      </c>
      <c r="T372">
        <f>IF(ISBLANK('Data Entry'!$T$372), "", 'Data Entry'!$T$372)</f>
      </c>
      <c r="U372">
        <f>IF(ISBLANK('Data Entry'!$U$372), "", 'Data Entry'!$U$372)</f>
      </c>
      <c r="V372">
        <f>IF(ISBLANK('Data Entry'!$V$372), "", 'Data Entry'!$V$372)</f>
      </c>
      <c r="W372">
        <f>IF(ISBLANK('Data Entry'!$W$372), "", 'Data Entry'!$W$372)</f>
      </c>
      <c r="X372">
        <f>IF(ISBLANK('Data Entry'!$X$372), "", 'Data Entry'!$X$372)</f>
      </c>
      <c r="Y372">
        <f>IF(ISBLANK('Data Entry'!$Y$372), "", 'Data Entry'!$Y$372)</f>
      </c>
      <c r="Z372">
        <f>IF(ISBLANK('Data Entry'!$Z$372), "", 'Data Entry'!$Z$372)</f>
      </c>
      <c r="AA372">
        <f>IF(ISBLANK('Data Entry'!$[$372), "", 'Data Entry'!$[$372)</f>
      </c>
      <c r="AB372">
        <f>IF(ISBLANK('Data Entry'!$\$372), "", 'Data Entry'!$\$372)</f>
      </c>
      <c r="AC372">
        <f>IF(ISBLANK('Data Entry'!$]$372), "", 'Data Entry'!$]$372)</f>
      </c>
      <c r="AD372">
        <f>IF(ISBLANK('Data Entry'!$^$372), "", 'Data Entry'!$^$372)</f>
      </c>
      <c r="AE372">
        <f>IF(ISBLANK('Data Entry'!$_$372), "", 'Data Entry'!$_$372)</f>
      </c>
      <c r="AF372">
        <f>IF(ISBLANK('Data Entry'!$`$372), "", 'Data Entry'!$`$372)</f>
      </c>
      <c r="AG372">
        <f>IF(ISBLANK('Data Entry'!$a$372), "", 'Data Entry'!$a$372)</f>
      </c>
      <c r="AH372">
        <f>IF(ISBLANK('Data Entry'!$b$372), "", 'Data Entry'!$b$372)</f>
      </c>
      <c r="AI372">
        <f>IF(ISBLANK('Data Entry'!$c$372), "", 'Data Entry'!$c$372)</f>
      </c>
      <c r="AJ372">
        <f>IF(ISBLANK('Data Entry'!$d$372), "", 'Data Entry'!$d$372)</f>
      </c>
      <c r="AK372">
        <f>IF(ISBLANK('Data Entry'!$e$372), "", 'Data Entry'!$e$372)</f>
      </c>
      <c r="AL372">
        <f>IF(ISBLANK('Data Entry'!$f$372), "", 'Data Entry'!$f$372)</f>
      </c>
      <c r="AM372">
        <f>IF(ISBLANK('Data Entry'!$g$372), "", 'Data Entry'!$g$372)</f>
      </c>
      <c r="AN372">
        <f>IF(ISBLANK('Data Entry'!$h$372), "", 'Data Entry'!$h$372)</f>
      </c>
      <c r="AO372">
        <f>IF(ISBLANK('Data Entry'!$i$372), "", 'Data Entry'!$i$372)</f>
      </c>
      <c r="AP372">
        <f>IF(ISBLANK('Data Entry'!$j$372), "", 'Data Entry'!$j$372)</f>
      </c>
      <c r="AQ372">
        <f>IF(ISBLANK('Data Entry'!$k$372), "", 'Data Entry'!$k$372)</f>
      </c>
      <c r="AR372">
        <f>IF(ISBLANK('Data Entry'!$l$372), "", 'Data Entry'!$l$372)</f>
      </c>
      <c r="AS372">
        <f>IF(ISBLANK('Data Entry'!$m$372), "", 'Data Entry'!$m$372)</f>
      </c>
      <c r="AT372">
        <f>IF(ISBLANK('Data Entry'!$n$372), "", 'Data Entry'!$n$372)</f>
      </c>
      <c r="AU372">
        <f>IF(ISBLANK('Data Entry'!$o$372), "", 'Data Entry'!$o$372)</f>
      </c>
      <c r="AV372">
        <f>IF(ISBLANK('Data Entry'!$p$372), "", 'Data Entry'!$p$372)</f>
      </c>
      <c r="AW372">
        <f>IF(ISBLANK('Data Entry'!$q$372), "", 'Data Entry'!$q$372)</f>
      </c>
      <c r="AX372">
        <f>IF(ISBLANK('Data Entry'!$r$372), "", 'Data Entry'!$r$372)</f>
      </c>
      <c r="AY372">
        <f>IF(ISBLANK('Data Entry'!$s$372), "", 'Data Entry'!$s$372)</f>
      </c>
      <c r="AZ372">
        <f>IF(ISBLANK('Data Entry'!$t$372), "", 'Data Entry'!$t$372)</f>
      </c>
      <c r="BA372">
        <f>IF(ISBLANK('Data Entry'!$u$372), "", 'Data Entry'!$u$372)</f>
      </c>
      <c r="BB372">
        <f>IF(ISBLANK('Data Entry'!$v$372), "", 'Data Entry'!$v$372)</f>
      </c>
      <c r="BC372">
        <f>IF(ISBLANK('Data Entry'!$w$372), "", 'Data Entry'!$w$372)</f>
      </c>
      <c r="BD372">
        <f>IF(ISBLANK('Data Entry'!$x$372), "", 'Data Entry'!$x$372)</f>
      </c>
      <c r="BE372">
        <f>IF(ISBLANK('Data Entry'!$y$372), "", 'Data Entry'!$y$372)</f>
      </c>
      <c r="BF372">
        <f>IF(ISBLANK('Data Entry'!$z$372), "", 'Data Entry'!$z$372)</f>
      </c>
      <c r="BG372">
        <f>IF(ISBLANK('Data Entry'!${$372), "", 'Data Entry'!${$372)</f>
      </c>
      <c r="BH372">
        <f>IF(ISBLANK('Data Entry'!$|$372), "", 'Data Entry'!$|$372)</f>
      </c>
      <c r="BI372">
        <f>IF(ISBLANK('Data Entry'!$}$372), "", 'Data Entry'!$}$372)</f>
      </c>
      <c r="BJ372">
        <f>IF(ISBLANK('Data Entry'!$~$372), "", 'Data Entry'!$~$372)</f>
      </c>
      <c r="BK372">
        <f>IF(ISBLANK('Data Entry'!$$372), "", 'Data Entry'!$$372)</f>
      </c>
      <c r="BL372">
        <f>IF(ISBLANK('Data Entry'!$$372), "", 'Data Entry'!$$372)</f>
      </c>
      <c r="BM372">
        <f>IF(ISBLANK('Data Entry'!$$372), "", 'Data Entry'!$$372)</f>
      </c>
      <c r="BN372">
        <f>IF(ISBLANK('Data Entry'!$$372), "", 'Data Entry'!$$372)</f>
      </c>
      <c r="BO372">
        <f>IF(ISBLANK('Data Entry'!$$372), "", 'Data Entry'!$$372)</f>
      </c>
      <c r="BP372">
        <f>IF(ISBLANK('Data Entry'!$$372), "", 'Data Entry'!$$372)</f>
      </c>
      <c r="BQ372">
        <f>IF(ISBLANK('Data Entry'!$$372), "", 'Data Entry'!$$372)</f>
      </c>
      <c r="BR372">
        <f>IF(ISBLANK('Data Entry'!$$372), "", 'Data Entry'!$$372)</f>
      </c>
      <c r="BS372">
        <f>IF(ISBLANK('Data Entry'!$$372), "", 'Data Entry'!$$372)</f>
      </c>
      <c r="BT372">
        <f>IF(ISBLANK('Data Entry'!$$372), "", 'Data Entry'!$$372)</f>
      </c>
      <c r="BU372">
        <f>IF(ISBLANK('Data Entry'!$$372), "", 'Data Entry'!$$372)</f>
      </c>
      <c r="BV372">
        <f>IF(ISBLANK('Data Entry'!$$372), "", 'Data Entry'!$$372)</f>
      </c>
      <c r="BW372">
        <f>IF(ISBLANK('Data Entry'!$$372), "", 'Data Entry'!$$372)</f>
      </c>
      <c r="BX372">
        <f>IF(ISBLANK('Data Entry'!$$372), "", 'Data Entry'!$$372)</f>
      </c>
      <c r="BY372">
        <f>IF(ISBLANK('Data Entry'!$$372), "", 'Data Entry'!$$372)</f>
      </c>
      <c r="BZ372">
        <f>IF(ISBLANK('Data Entry'!$$372), "", 'Data Entry'!$$372)</f>
      </c>
      <c r="CA372">
        <f>IF(ISBLANK('Data Entry'!$$372), "", 'Data Entry'!$$372)</f>
      </c>
      <c r="CB372">
        <f>IF(ISBLANK('Data Entry'!$$372), "", 'Data Entry'!$$372)</f>
      </c>
      <c r="CC372">
        <f>IF(ISBLANK('Data Entry'!$$372), "", 'Data Entry'!$$372)</f>
      </c>
      <c r="CD372">
        <f>IF(ISBLANK('Data Entry'!$$372), "", 'Data Entry'!$$372)</f>
      </c>
      <c r="CE372">
        <f>IF(ISBLANK('Data Entry'!$$372), "", 'Data Entry'!$$372)</f>
      </c>
      <c r="CF372">
        <f>IF(ISBLANK('Data Entry'!$$372), "", 'Data Entry'!$$372)</f>
      </c>
      <c r="CG372">
        <f>IF(ISBLANK('Data Entry'!$$372), "", 'Data Entry'!$$372)</f>
      </c>
      <c r="CH372">
        <f>IF(ISBLANK('Data Entry'!$$372), "", 'Data Entry'!$$372)</f>
      </c>
      <c r="CI372">
        <f>IF(ISBLANK('Data Entry'!$$372), "", 'Data Entry'!$$372)</f>
      </c>
      <c r="CJ372">
        <f>IF(ISBLANK('Data Entry'!$$372), "", 'Data Entry'!$$372)</f>
      </c>
      <c r="CK372">
        <f>IF(ISBLANK('Data Entry'!$$372), "", 'Data Entry'!$$372)</f>
      </c>
      <c r="CL372">
        <f>IF(ISBLANK('Data Entry'!$$372), "", 'Data Entry'!$$372)</f>
      </c>
      <c r="CM372">
        <f>IF(ISBLANK('Data Entry'!$$372), "", 'Data Entry'!$$372)</f>
      </c>
      <c r="CN372">
        <f>IF(ISBLANK('Data Entry'!$$372), "", 'Data Entry'!$$372)</f>
      </c>
      <c r="CO372">
        <f>IF(ISBLANK('Data Entry'!$$372), "", 'Data Entry'!$$372)</f>
      </c>
      <c r="CP372">
        <f>IF(ISBLANK('Data Entry'!$$372), "", 'Data Entry'!$$372)</f>
      </c>
      <c r="CQ372">
        <f>IF(ISBLANK('Data Entry'!$$372), "", 'Data Entry'!$$372)</f>
      </c>
      <c r="CR372">
        <f>IF(ISBLANK('Data Entry'!$ $372), "", 'Data Entry'!$ $372)</f>
      </c>
      <c r="CS372">
        <f>IF(ISBLANK('Data Entry'!$¡$372), "", 'Data Entry'!$¡$372)</f>
      </c>
      <c r="CT372">
        <f>IF(ISBLANK('Data Entry'!$¢$372), "", 'Data Entry'!$¢$372)</f>
      </c>
      <c r="CU372">
        <f>IF(ISBLANK('Data Entry'!$£$372), "", 'Data Entry'!$£$372)</f>
      </c>
      <c r="CV372">
        <f>IF(ISBLANK('Data Entry'!$¤$372), "", 'Data Entry'!$¤$372)</f>
      </c>
      <c r="CW372">
        <f>IF(ISBLANK('Data Entry'!$¥$372), "", 'Data Entry'!$¥$372)</f>
      </c>
      <c r="CX372">
        <f>IF(ISBLANK('Data Entry'!$¦$372), "", 'Data Entry'!$¦$372)</f>
      </c>
      <c r="CY372">
        <f>IF(ISBLANK('Data Entry'!$§$372), "", 'Data Entry'!$§$372)</f>
      </c>
      <c r="CZ372">
        <f>IF(ISBLANK('Data Entry'!$¨$372), "", 'Data Entry'!$¨$372)</f>
      </c>
      <c r="DA372">
        <f>IF(ISBLANK('Data Entry'!$©$372), "", 'Data Entry'!$©$372)</f>
      </c>
      <c r="DB372">
        <f>IF(ISBLANK('Data Entry'!$ª$372), "", 'Data Entry'!$ª$372)</f>
      </c>
      <c r="DC372">
        <f>IF(ISBLANK('Data Entry'!$«$372), "", 'Data Entry'!$«$372)</f>
      </c>
      <c r="DD372">
        <f>IF(ISBLANK('Data Entry'!$¬$372), "", 'Data Entry'!$¬$372)</f>
      </c>
      <c r="DE372">
        <f>IF(ISBLANK('Data Entry'!$­$372), "", 'Data Entry'!$­$372)</f>
      </c>
      <c r="DF372">
        <f>IF(ISBLANK('Data Entry'!$®$372), "", 'Data Entry'!$®$372)</f>
      </c>
      <c r="DG372">
        <f>IF(ISBLANK('Data Entry'!$¯$372), "", 'Data Entry'!$¯$372)</f>
      </c>
      <c r="DH372">
        <f>IF(ISBLANK('Data Entry'!$°$372), "", 'Data Entry'!$°$372)</f>
      </c>
      <c r="DI372">
        <f>IF(ISBLANK('Data Entry'!$±$372), "", 'Data Entry'!$±$372)</f>
      </c>
      <c r="DJ372">
        <f>IF(ISBLANK('Data Entry'!$²$372), "", 'Data Entry'!$²$372)</f>
      </c>
      <c r="DK372">
        <f>IF(ISBLANK('Data Entry'!$³$372), "", 'Data Entry'!$³$372)</f>
      </c>
      <c r="DL372">
        <f>IF(ISBLANK('Data Entry'!$´$372), "", 'Data Entry'!$´$372)</f>
      </c>
      <c r="DM372">
        <f>IF(ISBLANK('Data Entry'!$µ$372), "", 'Data Entry'!$µ$372)</f>
      </c>
      <c r="DN372">
        <f>IF(ISBLANK('Data Entry'!$¶$372), "", 'Data Entry'!$¶$372)</f>
      </c>
      <c r="DO372">
        <f>IF(ISBLANK('Data Entry'!$·$372), "", 'Data Entry'!$·$372)</f>
      </c>
      <c r="DP372">
        <f>IF(ISBLANK('Data Entry'!$¸$372), "", 'Data Entry'!$¸$372)</f>
      </c>
      <c r="DQ372">
        <f>IF(ISBLANK('Data Entry'!$¹$372), "", 'Data Entry'!$¹$372)</f>
      </c>
      <c r="DR372">
        <f>IF(ISBLANK('Data Entry'!$º$372), "", 'Data Entry'!$º$372)</f>
      </c>
      <c r="DS372">
        <f>IF(ISBLANK('Data Entry'!$»$372), "", 'Data Entry'!$»$372)</f>
      </c>
      <c r="DT372">
        <f>IF(ISBLANK('Data Entry'!$¼$372), "", 'Data Entry'!$¼$372)</f>
      </c>
      <c r="DU372">
        <f>IF(ISBLANK('Data Entry'!$½$372), "", 'Data Entry'!$½$372)</f>
      </c>
      <c r="DV372">
        <f>IF(ISBLANK('Data Entry'!$¾$372), "", 'Data Entry'!$¾$372)</f>
      </c>
      <c r="DW372">
        <f>IF(ISBLANK('Data Entry'!$¿$372), "", 'Data Entry'!$¿$372)</f>
      </c>
      <c r="DX372">
        <f>IF(ISBLANK('Data Entry'!$À$372), "", 'Data Entry'!$À$372)</f>
      </c>
      <c r="DY372">
        <f>IF(ISBLANK('Data Entry'!$Á$372), "", 'Data Entry'!$Á$372)</f>
      </c>
      <c r="DZ372">
        <f>IF(ISBLANK('Data Entry'!$Â$372), "", 'Data Entry'!$Â$372)</f>
      </c>
      <c r="EA372">
        <f>IF(ISBLANK('Data Entry'!$Ã$372), "", 'Data Entry'!$Ã$372)</f>
      </c>
      <c r="EB372">
        <f>IF(ISBLANK('Data Entry'!$Ä$372), "", 'Data Entry'!$Ä$372)</f>
      </c>
      <c r="EC372">
        <f>IF(ISBLANK('Data Entry'!$Å$372), "", 'Data Entry'!$Å$372)</f>
      </c>
      <c r="ED372">
        <f>IF(ISBLANK('Data Entry'!$Æ$372), "", 'Data Entry'!$Æ$372)</f>
      </c>
      <c r="EE372">
        <f>IF(ISBLANK('Data Entry'!$Ç$372), "", 'Data Entry'!$Ç$372)</f>
      </c>
      <c r="EF372">
        <f>IF(ISBLANK('Data Entry'!$È$372), "", 'Data Entry'!$È$372)</f>
      </c>
      <c r="EG372">
        <f>IF(ISBLANK('Data Entry'!$É$372), "", 'Data Entry'!$É$372)</f>
      </c>
      <c r="EH372">
        <f>IF(ISBLANK('Data Entry'!$Ê$372), "", 'Data Entry'!$Ê$372)</f>
      </c>
      <c r="EI372">
        <f>IF(ISBLANK('Data Entry'!$Ë$372), "", 'Data Entry'!$Ë$372)</f>
      </c>
      <c r="EJ372">
        <f>IF(ISBLANK('Data Entry'!$Ì$372), "", 'Data Entry'!$Ì$372)</f>
      </c>
      <c r="EK372">
        <f>IF(ISBLANK('Data Entry'!$Í$372), "", 'Data Entry'!$Í$372)</f>
      </c>
      <c r="EL372">
        <f>IF(ISBLANK('Data Entry'!$Î$372), "", 'Data Entry'!$Î$372)</f>
      </c>
      <c r="EM372">
        <f>IF(ISBLANK('Data Entry'!$Ï$372), "", 'Data Entry'!$Ï$372)</f>
      </c>
      <c r="EN372">
        <f>IF(ISBLANK('Data Entry'!$Ð$372), "", 'Data Entry'!$Ð$372)</f>
      </c>
      <c r="EO372">
        <f>IF(ISBLANK('Data Entry'!$Ñ$372), "", 'Data Entry'!$Ñ$372)</f>
      </c>
      <c r="EP372">
        <f>IF(ISBLANK('Data Entry'!$Ò$372), "", 'Data Entry'!$Ò$372)</f>
      </c>
      <c r="EQ372">
        <f>IF(ISBLANK('Data Entry'!$Ó$372), "", 'Data Entry'!$Ó$372)</f>
      </c>
      <c r="ER372">
        <f>IF(ISBLANK('Data Entry'!$Ô$372), "", 'Data Entry'!$Ô$372)</f>
      </c>
      <c r="ES372">
        <f>IF(ISBLANK('Data Entry'!$Õ$372), "", 'Data Entry'!$Õ$372)</f>
      </c>
      <c r="ET372">
        <f>IF(ISBLANK('Data Entry'!$Ö$372), "", 'Data Entry'!$Ö$372)</f>
      </c>
      <c r="EU372">
        <f>IF(ISBLANK('Data Entry'!$×$372), "", 'Data Entry'!$×$372)</f>
      </c>
      <c r="EV372">
        <f>IF(ISBLANK('Data Entry'!$Ø$372), "", 'Data Entry'!$Ø$372)</f>
      </c>
      <c r="EW372">
        <f>IF(ISBLANK('Data Entry'!$Ù$372), "", 'Data Entry'!$Ù$372)</f>
      </c>
      <c r="EX372">
        <f>IF(ISBLANK('Data Entry'!$Ú$372), "", 'Data Entry'!$Ú$372)</f>
      </c>
      <c r="EY372">
        <f>IF(ISBLANK('Data Entry'!$Û$372), "", 'Data Entry'!$Û$372)</f>
      </c>
      <c r="EZ372">
        <f>IF(ISBLANK('Data Entry'!$Ü$372), "", 'Data Entry'!$Ü$372)</f>
      </c>
      <c r="FA372">
        <f>IF(ISBLANK('Data Entry'!$Ý$372), "", 'Data Entry'!$Ý$372)</f>
      </c>
      <c r="FB372">
        <f>IF(ISBLANK('Data Entry'!$Þ$372), "", 'Data Entry'!$Þ$372)</f>
      </c>
      <c r="FC372">
        <f>IF(ISBLANK('Data Entry'!$ß$372), "", 'Data Entry'!$ß$372)</f>
      </c>
      <c r="FD372">
        <f>IF(ISBLANK('Data Entry'!$à$372), "", 'Data Entry'!$à$372)</f>
      </c>
      <c r="FE372">
        <f>IF(ISBLANK('Data Entry'!$á$372), "", 'Data Entry'!$á$372)</f>
      </c>
      <c r="FF372">
        <f>IF(ISBLANK('Data Entry'!$â$372), "", 'Data Entry'!$â$372)</f>
      </c>
      <c r="FG372">
        <f>IF(ISBLANK('Data Entry'!$ã$372), "", 'Data Entry'!$ã$372)</f>
      </c>
      <c r="FH372">
        <f>IF(ISBLANK('Data Entry'!$ä$372), "", 'Data Entry'!$ä$372)</f>
      </c>
      <c r="FI372">
        <f>IF(ISBLANK('Data Entry'!$å$372), "", 'Data Entry'!$å$372)</f>
      </c>
      <c r="FJ372">
        <f>IF(ISBLANK('Data Entry'!$æ$372), "", 'Data Entry'!$æ$372)</f>
      </c>
      <c r="FK372">
        <f>IF(ISBLANK('Data Entry'!$ç$372), "", 'Data Entry'!$ç$372)</f>
      </c>
      <c r="FL372">
        <f>IF(ISBLANK('Data Entry'!$è$372), "", 'Data Entry'!$è$372)</f>
      </c>
      <c r="FM372">
        <f>IF(ISBLANK('Data Entry'!$é$372), "", 'Data Entry'!$é$372)</f>
      </c>
      <c r="FN372">
        <f>IF(ISBLANK('Data Entry'!$ê$372), "", 'Data Entry'!$ê$372)</f>
      </c>
      <c r="FO372">
        <f>IF(ISBLANK('Data Entry'!$ë$372), "", 'Data Entry'!$ë$372)</f>
      </c>
      <c r="FP372">
        <f>IF(ISBLANK('Data Entry'!$ì$372), "", 'Data Entry'!$ì$372)</f>
      </c>
      <c r="FQ372">
        <f>IF(ISBLANK('Data Entry'!$í$372), "", 'Data Entry'!$í$372)</f>
      </c>
      <c r="FR372">
        <f>IF(ISBLANK('Data Entry'!$î$372), "", 'Data Entry'!$î$372)</f>
      </c>
      <c r="FS372">
        <f>IF(ISBLANK('Data Entry'!$ï$372), "", 'Data Entry'!$ï$372)</f>
      </c>
      <c r="FT372">
        <f>IF(ISBLANK('Data Entry'!$ð$372), "", 'Data Entry'!$ð$372)</f>
      </c>
      <c r="FU372">
        <f>IF(ISBLANK('Data Entry'!$ñ$372), "", 'Data Entry'!$ñ$372)</f>
      </c>
      <c r="FV372">
        <f>IF(ISBLANK('Data Entry'!$ò$372), "", 'Data Entry'!$ò$372)</f>
      </c>
      <c r="FW372">
        <f>IF(ISBLANK('Data Entry'!$ó$372), "", 'Data Entry'!$ó$372)</f>
      </c>
      <c r="FX372">
        <f>IF(ISBLANK('Data Entry'!$ô$372), "", 'Data Entry'!$ô$372)</f>
      </c>
      <c r="FY372">
        <f>IF(ISBLANK('Data Entry'!$õ$372), "", 'Data Entry'!$õ$372)</f>
      </c>
      <c r="FZ372">
        <f>IF(ISBLANK('Data Entry'!$ö$372), "", 'Data Entry'!$ö$372)</f>
      </c>
      <c r="GA372">
        <f>IF(ISBLANK('Data Entry'!$÷$372), "", 'Data Entry'!$÷$372)</f>
      </c>
      <c r="GB372">
        <f>IF(ISBLANK('Data Entry'!$ø$372), "", 'Data Entry'!$ø$372)</f>
      </c>
      <c r="GC372">
        <f>IF(ISBLANK('Data Entry'!$ù$372), "", 'Data Entry'!$ù$372)</f>
      </c>
      <c r="GD372">
        <f>IF(ISBLANK('Data Entry'!$ú$372), "", 'Data Entry'!$ú$372)</f>
      </c>
      <c r="GE372">
        <f>IF(ISBLANK('Data Entry'!$û$372), "", 'Data Entry'!$û$372)</f>
      </c>
      <c r="GF372">
        <f>IF(ISBLANK('Data Entry'!$ü$372), "", 'Data Entry'!$ü$372)</f>
      </c>
      <c r="GG372">
        <f>IF(ISBLANK('Data Entry'!$ý$372), "", 'Data Entry'!$ý$372)</f>
      </c>
      <c r="GH372">
        <f>IF(ISBLANK('Data Entry'!$þ$372), "", 'Data Entry'!$þ$372)</f>
      </c>
      <c r="GI372">
        <f>IF(ISBLANK('Data Entry'!$ÿ$372), "", 'Data Entry'!$ÿ$372)</f>
      </c>
      <c r="GJ372">
        <f>IF(ISBLANK('Data Entry'!$Ā$372), "", 'Data Entry'!$Ā$372)</f>
      </c>
      <c r="GK372">
        <f>IF(ISBLANK('Data Entry'!$ā$372), "", 'Data Entry'!$ā$372)</f>
      </c>
      <c r="GL372">
        <f>IF(ISBLANK('Data Entry'!$Ă$372), "", 'Data Entry'!$Ă$372)</f>
      </c>
      <c r="GM372">
        <f>IF(ISBLANK('Data Entry'!$ă$372), "", 'Data Entry'!$ă$372)</f>
      </c>
      <c r="GN372">
        <f>IF(ISBLANK('Data Entry'!$Ą$372), "", 'Data Entry'!$Ą$372)</f>
      </c>
      <c r="GO372">
        <f>IF(ISBLANK('Data Entry'!$ą$372), "", 'Data Entry'!$ą$372)</f>
      </c>
      <c r="GP372">
        <f>IF(ISBLANK('Data Entry'!$Ć$372), "", 'Data Entry'!$Ć$372)</f>
      </c>
      <c r="GQ372">
        <f>IF(ISBLANK('Data Entry'!$ć$372), "", 'Data Entry'!$ć$372)</f>
      </c>
      <c r="GR372">
        <f>IF(ISBLANK('Data Entry'!$Ĉ$372), "", 'Data Entry'!$Ĉ$372)</f>
      </c>
      <c r="GS372">
        <f>IF(ISBLANK('Data Entry'!$ĉ$372), "", 'Data Entry'!$ĉ$372)</f>
      </c>
      <c r="GT372">
        <f>IF(ISBLANK('Data Entry'!$Ċ$372), "", 'Data Entry'!$Ċ$372)</f>
      </c>
      <c r="GU372">
        <f>IF(ISBLANK('Data Entry'!$ċ$372), "", 'Data Entry'!$ċ$372)</f>
      </c>
      <c r="GV372">
        <f>IF(ISBLANK('Data Entry'!$Č$372), "", 'Data Entry'!$Č$372)</f>
      </c>
      <c r="GW372">
        <f>IF(ISBLANK('Data Entry'!$č$372), "", 'Data Entry'!$č$372)</f>
      </c>
      <c r="GX372">
        <f>IF(ISBLANK('Data Entry'!$Ď$372), "", 'Data Entry'!$Ď$372)</f>
      </c>
      <c r="GY372">
        <f>IF(ISBLANK('Data Entry'!$ď$372), "", 'Data Entry'!$ď$372)</f>
      </c>
      <c r="GZ372">
        <f>IF(ISBLANK('Data Entry'!$Đ$372), "", 'Data Entry'!$Đ$372)</f>
      </c>
      <c r="HA372">
        <f>IF(ISBLANK('Data Entry'!$đ$372), "", 'Data Entry'!$đ$372)</f>
      </c>
      <c r="HB372">
        <f>IF(ISBLANK('Data Entry'!$Ē$372), "", 'Data Entry'!$Ē$372)</f>
      </c>
      <c r="HC372">
        <f>IF(ISBLANK('Data Entry'!$ē$372), "", 'Data Entry'!$ē$372)</f>
      </c>
      <c r="HD372">
        <f>IF(ISBLANK('Data Entry'!$Ĕ$372), "", 'Data Entry'!$Ĕ$372)</f>
      </c>
      <c r="HE372">
        <f>IF(ISBLANK('Data Entry'!$ĕ$372), "", 'Data Entry'!$ĕ$372)</f>
      </c>
      <c r="HF372">
        <f>IF(ISBLANK('Data Entry'!$Ė$372), "", 'Data Entry'!$Ė$372)</f>
      </c>
      <c r="HG372">
        <f>IF(ISBLANK('Data Entry'!$ė$372), "", 'Data Entry'!$ė$372)</f>
      </c>
      <c r="HH372">
        <f>IF(ISBLANK('Data Entry'!$Ę$372), "", 'Data Entry'!$Ę$372)</f>
      </c>
      <c r="HI372">
        <f>IF(ISBLANK('Data Entry'!$ę$372), "", 'Data Entry'!$ę$372)</f>
      </c>
      <c r="HJ372">
        <f>IF(ISBLANK('Data Entry'!$Ě$372), "", 'Data Entry'!$Ě$372)</f>
      </c>
      <c r="HK372">
        <f>IF(ISBLANK('Data Entry'!$ě$372), "", 'Data Entry'!$ě$372)</f>
      </c>
      <c r="HL372">
        <f>IF(ISBLANK('Data Entry'!$Ĝ$372), "", 'Data Entry'!$Ĝ$372)</f>
      </c>
      <c r="HM372">
        <f>IF(ISBLANK('Data Entry'!$ĝ$372), "", 'Data Entry'!$ĝ$372)</f>
      </c>
      <c r="HN372">
        <f>IF(ISBLANK('Data Entry'!$Ğ$372), "", 'Data Entry'!$Ğ$372)</f>
      </c>
      <c r="HO372">
        <f>IF(ISBLANK('Data Entry'!$ğ$372), "", 'Data Entry'!$ğ$372)</f>
      </c>
      <c r="HP372">
        <f>IF(ISBLANK('Data Entry'!$Ġ$372), "", 'Data Entry'!$Ġ$372)</f>
      </c>
      <c r="HQ372">
        <f>IF(ISBLANK('Data Entry'!$ġ$372), "", 'Data Entry'!$ġ$372)</f>
      </c>
      <c r="HR372">
        <f>IF(ISBLANK('Data Entry'!$Ģ$372), "", 'Data Entry'!$Ģ$372)</f>
      </c>
      <c r="HS372">
        <f>IF(ISBLANK('Data Entry'!$ģ$372), "", 'Data Entry'!$ģ$372)</f>
      </c>
      <c r="HT372">
        <f>IF(ISBLANK('Data Entry'!$Ĥ$372), "", 'Data Entry'!$Ĥ$372)</f>
      </c>
      <c r="HU372">
        <f>IF(ISBLANK('Data Entry'!$ĥ$372), "", 'Data Entry'!$ĥ$372)</f>
      </c>
      <c r="HV372">
        <f>IF(ISBLANK('Data Entry'!$Ħ$372), "", 'Data Entry'!$Ħ$372)</f>
      </c>
      <c r="HW372">
        <f>IF(ISBLANK('Data Entry'!$ħ$372), "", 'Data Entry'!$ħ$372)</f>
      </c>
      <c r="HX372">
        <f>IF(ISBLANK('Data Entry'!$Ĩ$372), "", 'Data Entry'!$Ĩ$372)</f>
      </c>
      <c r="HY372">
        <f>IF(ISBLANK('Data Entry'!$ĩ$372), "", 'Data Entry'!$ĩ$372)</f>
      </c>
      <c r="HZ372">
        <f>IF(ISBLANK('Data Entry'!$Ī$372), "", 'Data Entry'!$Ī$372)</f>
      </c>
      <c r="IA372">
        <f>IF(ISBLANK('Data Entry'!$ī$372), "", 'Data Entry'!$ī$372)</f>
      </c>
      <c r="IB372">
        <f>IF(ISBLANK('Data Entry'!$Ĭ$372), "", 'Data Entry'!$Ĭ$372)</f>
      </c>
      <c r="IC372">
        <f>IF(ISBLANK('Data Entry'!$ĭ$372), "", 'Data Entry'!$ĭ$372)</f>
      </c>
      <c r="ID372">
        <f>IF(ISBLANK('Data Entry'!$Į$372), "", 'Data Entry'!$Į$372)</f>
      </c>
      <c r="IE372">
        <f>IF(ISBLANK('Data Entry'!$į$372), "", 'Data Entry'!$į$372)</f>
      </c>
      <c r="IF372">
        <f>IF(ISBLANK('Data Entry'!$İ$372), "", 'Data Entry'!$İ$372)</f>
      </c>
      <c r="IG372">
        <f>IF(ISBLANK('Data Entry'!$ı$372), "", 'Data Entry'!$ı$372)</f>
      </c>
      <c r="IH372">
        <f>IF(ISBLANK('Data Entry'!$Ĳ$372), "", 'Data Entry'!$Ĳ$372)</f>
      </c>
      <c r="II372">
        <f>IF(ISBLANK('Data Entry'!$ĳ$372), "", 'Data Entry'!$ĳ$372)</f>
      </c>
      <c r="IJ372">
        <f>IF(ISBLANK('Data Entry'!$Ĵ$372), "", 'Data Entry'!$Ĵ$372)</f>
      </c>
      <c r="IK372">
        <f>IF(ISBLANK('Data Entry'!$ĵ$372), "", 'Data Entry'!$ĵ$372)</f>
      </c>
      <c r="IL372">
        <f>IF(ISBLANK('Data Entry'!$Ķ$372), "", 'Data Entry'!$Ķ$372)</f>
      </c>
      <c r="IM372">
        <f>IF(ISBLANK('Data Entry'!$ķ$372), "", 'Data Entry'!$ķ$372)</f>
      </c>
      <c r="IN372">
        <f>IF(ISBLANK('Data Entry'!$ĸ$372), "", 'Data Entry'!$ĸ$372)</f>
      </c>
      <c r="IO372">
        <f>IF(ISBLANK('Data Entry'!$Ĺ$372), "", 'Data Entry'!$Ĺ$372)</f>
      </c>
      <c r="IP372">
        <f>IF(ISBLANK('Data Entry'!$ĺ$372), "", 'Data Entry'!$ĺ$372)</f>
      </c>
      <c r="IQ372">
        <f>IF(ISBLANK('Data Entry'!$Ļ$372), "", 'Data Entry'!$Ļ$372)</f>
      </c>
      <c r="IR372">
        <f>IF(ISBLANK('Data Entry'!$ļ$372), "", 'Data Entry'!$ļ$372)</f>
      </c>
      <c r="IS372">
        <f>IF(ISBLANK('Data Entry'!$Ľ$372), "", 'Data Entry'!$Ľ$372)</f>
      </c>
      <c r="IT372">
        <f>IF(ISBLANK('Data Entry'!$ľ$372), "", 'Data Entry'!$ľ$372)</f>
      </c>
    </row>
    <row r="373" spans="1:254" x14ac:dyDescent="0.25">
      <c r="A373">
        <f>IF(ISBLANK('Data Entry'!$A$373), "", 'Data Entry'!$A$373)</f>
      </c>
      <c r="B373">
        <f>IF(ISBLANK('Data Entry'!$B$373), "", 'Data Entry'!$B$373)</f>
      </c>
      <c r="C373">
        <f>IF(ISBLANK('Data Entry'!$C$373), "", 'Data Entry'!$C$373)</f>
      </c>
      <c r="D373">
        <f>IF(ISBLANK('Data Entry'!$D$373), "", 'Data Entry'!$D$373)</f>
      </c>
      <c r="E373">
        <f>IF(ISBLANK('Data Entry'!$E$373), "", 'Data Entry'!$E$373)</f>
      </c>
      <c r="F373">
        <f>IF(ISBLANK('Data Entry'!$F$373), "", 'Data Entry'!$F$373)</f>
      </c>
      <c r="G373">
        <f>IF(ISBLANK('Data Entry'!$G$373), "", 'Data Entry'!$G$373)</f>
      </c>
      <c r="H373">
        <f>IF(ISBLANK('Data Entry'!$H$373), "", 'Data Entry'!$H$373)</f>
      </c>
      <c r="I373">
        <f>IF(ISBLANK('Data Entry'!$I$373), "", 'Data Entry'!$I$373)</f>
      </c>
      <c r="J373">
        <f>IF(ISBLANK('Data Entry'!$J$373), "", 'Data Entry'!$J$373)</f>
      </c>
      <c r="K373">
        <f>IF(ISBLANK('Data Entry'!$K$373), "", 'Data Entry'!$K$373)</f>
      </c>
      <c r="L373">
        <f>IF(ISBLANK('Data Entry'!$L$373), "", 'Data Entry'!$L$373)</f>
      </c>
      <c r="M373">
        <f>IF(ISBLANK('Data Entry'!$M$373), "", 'Data Entry'!$M$373)</f>
      </c>
      <c r="N373">
        <f>IF(ISBLANK('Data Entry'!$N$373), "", 'Data Entry'!$N$373)</f>
      </c>
      <c r="O373">
        <f>IF(ISBLANK('Data Entry'!$O$373), "", 'Data Entry'!$O$373)</f>
      </c>
      <c r="P373">
        <f>IF(ISBLANK('Data Entry'!$P$373), "", 'Data Entry'!$P$373)</f>
      </c>
      <c r="Q373">
        <f>IF(ISBLANK('Data Entry'!$Q$373), "", 'Data Entry'!$Q$373)</f>
      </c>
      <c r="R373">
        <f>IF(ISBLANK('Data Entry'!$R$373), "", 'Data Entry'!$R$373)</f>
      </c>
      <c r="S373">
        <f>IF(ISBLANK('Data Entry'!$S$373), "", 'Data Entry'!$S$373)</f>
      </c>
      <c r="T373">
        <f>IF(ISBLANK('Data Entry'!$T$373), "", 'Data Entry'!$T$373)</f>
      </c>
      <c r="U373">
        <f>IF(ISBLANK('Data Entry'!$U$373), "", 'Data Entry'!$U$373)</f>
      </c>
      <c r="V373">
        <f>IF(ISBLANK('Data Entry'!$V$373), "", 'Data Entry'!$V$373)</f>
      </c>
      <c r="W373">
        <f>IF(ISBLANK('Data Entry'!$W$373), "", 'Data Entry'!$W$373)</f>
      </c>
      <c r="X373">
        <f>IF(ISBLANK('Data Entry'!$X$373), "", 'Data Entry'!$X$373)</f>
      </c>
      <c r="Y373">
        <f>IF(ISBLANK('Data Entry'!$Y$373), "", 'Data Entry'!$Y$373)</f>
      </c>
      <c r="Z373">
        <f>IF(ISBLANK('Data Entry'!$Z$373), "", 'Data Entry'!$Z$373)</f>
      </c>
      <c r="AA373">
        <f>IF(ISBLANK('Data Entry'!$[$373), "", 'Data Entry'!$[$373)</f>
      </c>
      <c r="AB373">
        <f>IF(ISBLANK('Data Entry'!$\$373), "", 'Data Entry'!$\$373)</f>
      </c>
      <c r="AC373">
        <f>IF(ISBLANK('Data Entry'!$]$373), "", 'Data Entry'!$]$373)</f>
      </c>
      <c r="AD373">
        <f>IF(ISBLANK('Data Entry'!$^$373), "", 'Data Entry'!$^$373)</f>
      </c>
      <c r="AE373">
        <f>IF(ISBLANK('Data Entry'!$_$373), "", 'Data Entry'!$_$373)</f>
      </c>
      <c r="AF373">
        <f>IF(ISBLANK('Data Entry'!$`$373), "", 'Data Entry'!$`$373)</f>
      </c>
      <c r="AG373">
        <f>IF(ISBLANK('Data Entry'!$a$373), "", 'Data Entry'!$a$373)</f>
      </c>
      <c r="AH373">
        <f>IF(ISBLANK('Data Entry'!$b$373), "", 'Data Entry'!$b$373)</f>
      </c>
      <c r="AI373">
        <f>IF(ISBLANK('Data Entry'!$c$373), "", 'Data Entry'!$c$373)</f>
      </c>
      <c r="AJ373">
        <f>IF(ISBLANK('Data Entry'!$d$373), "", 'Data Entry'!$d$373)</f>
      </c>
      <c r="AK373">
        <f>IF(ISBLANK('Data Entry'!$e$373), "", 'Data Entry'!$e$373)</f>
      </c>
      <c r="AL373">
        <f>IF(ISBLANK('Data Entry'!$f$373), "", 'Data Entry'!$f$373)</f>
      </c>
      <c r="AM373">
        <f>IF(ISBLANK('Data Entry'!$g$373), "", 'Data Entry'!$g$373)</f>
      </c>
      <c r="AN373">
        <f>IF(ISBLANK('Data Entry'!$h$373), "", 'Data Entry'!$h$373)</f>
      </c>
      <c r="AO373">
        <f>IF(ISBLANK('Data Entry'!$i$373), "", 'Data Entry'!$i$373)</f>
      </c>
      <c r="AP373">
        <f>IF(ISBLANK('Data Entry'!$j$373), "", 'Data Entry'!$j$373)</f>
      </c>
      <c r="AQ373">
        <f>IF(ISBLANK('Data Entry'!$k$373), "", 'Data Entry'!$k$373)</f>
      </c>
      <c r="AR373">
        <f>IF(ISBLANK('Data Entry'!$l$373), "", 'Data Entry'!$l$373)</f>
      </c>
      <c r="AS373">
        <f>IF(ISBLANK('Data Entry'!$m$373), "", 'Data Entry'!$m$373)</f>
      </c>
      <c r="AT373">
        <f>IF(ISBLANK('Data Entry'!$n$373), "", 'Data Entry'!$n$373)</f>
      </c>
      <c r="AU373">
        <f>IF(ISBLANK('Data Entry'!$o$373), "", 'Data Entry'!$o$373)</f>
      </c>
      <c r="AV373">
        <f>IF(ISBLANK('Data Entry'!$p$373), "", 'Data Entry'!$p$373)</f>
      </c>
      <c r="AW373">
        <f>IF(ISBLANK('Data Entry'!$q$373), "", 'Data Entry'!$q$373)</f>
      </c>
      <c r="AX373">
        <f>IF(ISBLANK('Data Entry'!$r$373), "", 'Data Entry'!$r$373)</f>
      </c>
      <c r="AY373">
        <f>IF(ISBLANK('Data Entry'!$s$373), "", 'Data Entry'!$s$373)</f>
      </c>
      <c r="AZ373">
        <f>IF(ISBLANK('Data Entry'!$t$373), "", 'Data Entry'!$t$373)</f>
      </c>
      <c r="BA373">
        <f>IF(ISBLANK('Data Entry'!$u$373), "", 'Data Entry'!$u$373)</f>
      </c>
      <c r="BB373">
        <f>IF(ISBLANK('Data Entry'!$v$373), "", 'Data Entry'!$v$373)</f>
      </c>
      <c r="BC373">
        <f>IF(ISBLANK('Data Entry'!$w$373), "", 'Data Entry'!$w$373)</f>
      </c>
      <c r="BD373">
        <f>IF(ISBLANK('Data Entry'!$x$373), "", 'Data Entry'!$x$373)</f>
      </c>
      <c r="BE373">
        <f>IF(ISBLANK('Data Entry'!$y$373), "", 'Data Entry'!$y$373)</f>
      </c>
      <c r="BF373">
        <f>IF(ISBLANK('Data Entry'!$z$373), "", 'Data Entry'!$z$373)</f>
      </c>
      <c r="BG373">
        <f>IF(ISBLANK('Data Entry'!${$373), "", 'Data Entry'!${$373)</f>
      </c>
      <c r="BH373">
        <f>IF(ISBLANK('Data Entry'!$|$373), "", 'Data Entry'!$|$373)</f>
      </c>
      <c r="BI373">
        <f>IF(ISBLANK('Data Entry'!$}$373), "", 'Data Entry'!$}$373)</f>
      </c>
      <c r="BJ373">
        <f>IF(ISBLANK('Data Entry'!$~$373), "", 'Data Entry'!$~$373)</f>
      </c>
      <c r="BK373">
        <f>IF(ISBLANK('Data Entry'!$$373), "", 'Data Entry'!$$373)</f>
      </c>
      <c r="BL373">
        <f>IF(ISBLANK('Data Entry'!$$373), "", 'Data Entry'!$$373)</f>
      </c>
      <c r="BM373">
        <f>IF(ISBLANK('Data Entry'!$$373), "", 'Data Entry'!$$373)</f>
      </c>
      <c r="BN373">
        <f>IF(ISBLANK('Data Entry'!$$373), "", 'Data Entry'!$$373)</f>
      </c>
      <c r="BO373">
        <f>IF(ISBLANK('Data Entry'!$$373), "", 'Data Entry'!$$373)</f>
      </c>
      <c r="BP373">
        <f>IF(ISBLANK('Data Entry'!$$373), "", 'Data Entry'!$$373)</f>
      </c>
      <c r="BQ373">
        <f>IF(ISBLANK('Data Entry'!$$373), "", 'Data Entry'!$$373)</f>
      </c>
      <c r="BR373">
        <f>IF(ISBLANK('Data Entry'!$$373), "", 'Data Entry'!$$373)</f>
      </c>
      <c r="BS373">
        <f>IF(ISBLANK('Data Entry'!$$373), "", 'Data Entry'!$$373)</f>
      </c>
      <c r="BT373">
        <f>IF(ISBLANK('Data Entry'!$$373), "", 'Data Entry'!$$373)</f>
      </c>
      <c r="BU373">
        <f>IF(ISBLANK('Data Entry'!$$373), "", 'Data Entry'!$$373)</f>
      </c>
      <c r="BV373">
        <f>IF(ISBLANK('Data Entry'!$$373), "", 'Data Entry'!$$373)</f>
      </c>
      <c r="BW373">
        <f>IF(ISBLANK('Data Entry'!$$373), "", 'Data Entry'!$$373)</f>
      </c>
      <c r="BX373">
        <f>IF(ISBLANK('Data Entry'!$$373), "", 'Data Entry'!$$373)</f>
      </c>
      <c r="BY373">
        <f>IF(ISBLANK('Data Entry'!$$373), "", 'Data Entry'!$$373)</f>
      </c>
      <c r="BZ373">
        <f>IF(ISBLANK('Data Entry'!$$373), "", 'Data Entry'!$$373)</f>
      </c>
      <c r="CA373">
        <f>IF(ISBLANK('Data Entry'!$$373), "", 'Data Entry'!$$373)</f>
      </c>
      <c r="CB373">
        <f>IF(ISBLANK('Data Entry'!$$373), "", 'Data Entry'!$$373)</f>
      </c>
      <c r="CC373">
        <f>IF(ISBLANK('Data Entry'!$$373), "", 'Data Entry'!$$373)</f>
      </c>
      <c r="CD373">
        <f>IF(ISBLANK('Data Entry'!$$373), "", 'Data Entry'!$$373)</f>
      </c>
      <c r="CE373">
        <f>IF(ISBLANK('Data Entry'!$$373), "", 'Data Entry'!$$373)</f>
      </c>
      <c r="CF373">
        <f>IF(ISBLANK('Data Entry'!$$373), "", 'Data Entry'!$$373)</f>
      </c>
      <c r="CG373">
        <f>IF(ISBLANK('Data Entry'!$$373), "", 'Data Entry'!$$373)</f>
      </c>
      <c r="CH373">
        <f>IF(ISBLANK('Data Entry'!$$373), "", 'Data Entry'!$$373)</f>
      </c>
      <c r="CI373">
        <f>IF(ISBLANK('Data Entry'!$$373), "", 'Data Entry'!$$373)</f>
      </c>
      <c r="CJ373">
        <f>IF(ISBLANK('Data Entry'!$$373), "", 'Data Entry'!$$373)</f>
      </c>
      <c r="CK373">
        <f>IF(ISBLANK('Data Entry'!$$373), "", 'Data Entry'!$$373)</f>
      </c>
      <c r="CL373">
        <f>IF(ISBLANK('Data Entry'!$$373), "", 'Data Entry'!$$373)</f>
      </c>
      <c r="CM373">
        <f>IF(ISBLANK('Data Entry'!$$373), "", 'Data Entry'!$$373)</f>
      </c>
      <c r="CN373">
        <f>IF(ISBLANK('Data Entry'!$$373), "", 'Data Entry'!$$373)</f>
      </c>
      <c r="CO373">
        <f>IF(ISBLANK('Data Entry'!$$373), "", 'Data Entry'!$$373)</f>
      </c>
      <c r="CP373">
        <f>IF(ISBLANK('Data Entry'!$$373), "", 'Data Entry'!$$373)</f>
      </c>
      <c r="CQ373">
        <f>IF(ISBLANK('Data Entry'!$$373), "", 'Data Entry'!$$373)</f>
      </c>
      <c r="CR373">
        <f>IF(ISBLANK('Data Entry'!$ $373), "", 'Data Entry'!$ $373)</f>
      </c>
      <c r="CS373">
        <f>IF(ISBLANK('Data Entry'!$¡$373), "", 'Data Entry'!$¡$373)</f>
      </c>
      <c r="CT373">
        <f>IF(ISBLANK('Data Entry'!$¢$373), "", 'Data Entry'!$¢$373)</f>
      </c>
      <c r="CU373">
        <f>IF(ISBLANK('Data Entry'!$£$373), "", 'Data Entry'!$£$373)</f>
      </c>
      <c r="CV373">
        <f>IF(ISBLANK('Data Entry'!$¤$373), "", 'Data Entry'!$¤$373)</f>
      </c>
      <c r="CW373">
        <f>IF(ISBLANK('Data Entry'!$¥$373), "", 'Data Entry'!$¥$373)</f>
      </c>
      <c r="CX373">
        <f>IF(ISBLANK('Data Entry'!$¦$373), "", 'Data Entry'!$¦$373)</f>
      </c>
      <c r="CY373">
        <f>IF(ISBLANK('Data Entry'!$§$373), "", 'Data Entry'!$§$373)</f>
      </c>
      <c r="CZ373">
        <f>IF(ISBLANK('Data Entry'!$¨$373), "", 'Data Entry'!$¨$373)</f>
      </c>
      <c r="DA373">
        <f>IF(ISBLANK('Data Entry'!$©$373), "", 'Data Entry'!$©$373)</f>
      </c>
      <c r="DB373">
        <f>IF(ISBLANK('Data Entry'!$ª$373), "", 'Data Entry'!$ª$373)</f>
      </c>
      <c r="DC373">
        <f>IF(ISBLANK('Data Entry'!$«$373), "", 'Data Entry'!$«$373)</f>
      </c>
      <c r="DD373">
        <f>IF(ISBLANK('Data Entry'!$¬$373), "", 'Data Entry'!$¬$373)</f>
      </c>
      <c r="DE373">
        <f>IF(ISBLANK('Data Entry'!$­$373), "", 'Data Entry'!$­$373)</f>
      </c>
      <c r="DF373">
        <f>IF(ISBLANK('Data Entry'!$®$373), "", 'Data Entry'!$®$373)</f>
      </c>
      <c r="DG373">
        <f>IF(ISBLANK('Data Entry'!$¯$373), "", 'Data Entry'!$¯$373)</f>
      </c>
      <c r="DH373">
        <f>IF(ISBLANK('Data Entry'!$°$373), "", 'Data Entry'!$°$373)</f>
      </c>
      <c r="DI373">
        <f>IF(ISBLANK('Data Entry'!$±$373), "", 'Data Entry'!$±$373)</f>
      </c>
      <c r="DJ373">
        <f>IF(ISBLANK('Data Entry'!$²$373), "", 'Data Entry'!$²$373)</f>
      </c>
      <c r="DK373">
        <f>IF(ISBLANK('Data Entry'!$³$373), "", 'Data Entry'!$³$373)</f>
      </c>
      <c r="DL373">
        <f>IF(ISBLANK('Data Entry'!$´$373), "", 'Data Entry'!$´$373)</f>
      </c>
      <c r="DM373">
        <f>IF(ISBLANK('Data Entry'!$µ$373), "", 'Data Entry'!$µ$373)</f>
      </c>
      <c r="DN373">
        <f>IF(ISBLANK('Data Entry'!$¶$373), "", 'Data Entry'!$¶$373)</f>
      </c>
      <c r="DO373">
        <f>IF(ISBLANK('Data Entry'!$·$373), "", 'Data Entry'!$·$373)</f>
      </c>
      <c r="DP373">
        <f>IF(ISBLANK('Data Entry'!$¸$373), "", 'Data Entry'!$¸$373)</f>
      </c>
      <c r="DQ373">
        <f>IF(ISBLANK('Data Entry'!$¹$373), "", 'Data Entry'!$¹$373)</f>
      </c>
      <c r="DR373">
        <f>IF(ISBLANK('Data Entry'!$º$373), "", 'Data Entry'!$º$373)</f>
      </c>
      <c r="DS373">
        <f>IF(ISBLANK('Data Entry'!$»$373), "", 'Data Entry'!$»$373)</f>
      </c>
      <c r="DT373">
        <f>IF(ISBLANK('Data Entry'!$¼$373), "", 'Data Entry'!$¼$373)</f>
      </c>
      <c r="DU373">
        <f>IF(ISBLANK('Data Entry'!$½$373), "", 'Data Entry'!$½$373)</f>
      </c>
      <c r="DV373">
        <f>IF(ISBLANK('Data Entry'!$¾$373), "", 'Data Entry'!$¾$373)</f>
      </c>
      <c r="DW373">
        <f>IF(ISBLANK('Data Entry'!$¿$373), "", 'Data Entry'!$¿$373)</f>
      </c>
      <c r="DX373">
        <f>IF(ISBLANK('Data Entry'!$À$373), "", 'Data Entry'!$À$373)</f>
      </c>
      <c r="DY373">
        <f>IF(ISBLANK('Data Entry'!$Á$373), "", 'Data Entry'!$Á$373)</f>
      </c>
      <c r="DZ373">
        <f>IF(ISBLANK('Data Entry'!$Â$373), "", 'Data Entry'!$Â$373)</f>
      </c>
      <c r="EA373">
        <f>IF(ISBLANK('Data Entry'!$Ã$373), "", 'Data Entry'!$Ã$373)</f>
      </c>
      <c r="EB373">
        <f>IF(ISBLANK('Data Entry'!$Ä$373), "", 'Data Entry'!$Ä$373)</f>
      </c>
      <c r="EC373">
        <f>IF(ISBLANK('Data Entry'!$Å$373), "", 'Data Entry'!$Å$373)</f>
      </c>
      <c r="ED373">
        <f>IF(ISBLANK('Data Entry'!$Æ$373), "", 'Data Entry'!$Æ$373)</f>
      </c>
      <c r="EE373">
        <f>IF(ISBLANK('Data Entry'!$Ç$373), "", 'Data Entry'!$Ç$373)</f>
      </c>
      <c r="EF373">
        <f>IF(ISBLANK('Data Entry'!$È$373), "", 'Data Entry'!$È$373)</f>
      </c>
      <c r="EG373">
        <f>IF(ISBLANK('Data Entry'!$É$373), "", 'Data Entry'!$É$373)</f>
      </c>
      <c r="EH373">
        <f>IF(ISBLANK('Data Entry'!$Ê$373), "", 'Data Entry'!$Ê$373)</f>
      </c>
      <c r="EI373">
        <f>IF(ISBLANK('Data Entry'!$Ë$373), "", 'Data Entry'!$Ë$373)</f>
      </c>
      <c r="EJ373">
        <f>IF(ISBLANK('Data Entry'!$Ì$373), "", 'Data Entry'!$Ì$373)</f>
      </c>
      <c r="EK373">
        <f>IF(ISBLANK('Data Entry'!$Í$373), "", 'Data Entry'!$Í$373)</f>
      </c>
      <c r="EL373">
        <f>IF(ISBLANK('Data Entry'!$Î$373), "", 'Data Entry'!$Î$373)</f>
      </c>
      <c r="EM373">
        <f>IF(ISBLANK('Data Entry'!$Ï$373), "", 'Data Entry'!$Ï$373)</f>
      </c>
      <c r="EN373">
        <f>IF(ISBLANK('Data Entry'!$Ð$373), "", 'Data Entry'!$Ð$373)</f>
      </c>
      <c r="EO373">
        <f>IF(ISBLANK('Data Entry'!$Ñ$373), "", 'Data Entry'!$Ñ$373)</f>
      </c>
      <c r="EP373">
        <f>IF(ISBLANK('Data Entry'!$Ò$373), "", 'Data Entry'!$Ò$373)</f>
      </c>
      <c r="EQ373">
        <f>IF(ISBLANK('Data Entry'!$Ó$373), "", 'Data Entry'!$Ó$373)</f>
      </c>
      <c r="ER373">
        <f>IF(ISBLANK('Data Entry'!$Ô$373), "", 'Data Entry'!$Ô$373)</f>
      </c>
      <c r="ES373">
        <f>IF(ISBLANK('Data Entry'!$Õ$373), "", 'Data Entry'!$Õ$373)</f>
      </c>
      <c r="ET373">
        <f>IF(ISBLANK('Data Entry'!$Ö$373), "", 'Data Entry'!$Ö$373)</f>
      </c>
      <c r="EU373">
        <f>IF(ISBLANK('Data Entry'!$×$373), "", 'Data Entry'!$×$373)</f>
      </c>
      <c r="EV373">
        <f>IF(ISBLANK('Data Entry'!$Ø$373), "", 'Data Entry'!$Ø$373)</f>
      </c>
      <c r="EW373">
        <f>IF(ISBLANK('Data Entry'!$Ù$373), "", 'Data Entry'!$Ù$373)</f>
      </c>
      <c r="EX373">
        <f>IF(ISBLANK('Data Entry'!$Ú$373), "", 'Data Entry'!$Ú$373)</f>
      </c>
      <c r="EY373">
        <f>IF(ISBLANK('Data Entry'!$Û$373), "", 'Data Entry'!$Û$373)</f>
      </c>
      <c r="EZ373">
        <f>IF(ISBLANK('Data Entry'!$Ü$373), "", 'Data Entry'!$Ü$373)</f>
      </c>
      <c r="FA373">
        <f>IF(ISBLANK('Data Entry'!$Ý$373), "", 'Data Entry'!$Ý$373)</f>
      </c>
      <c r="FB373">
        <f>IF(ISBLANK('Data Entry'!$Þ$373), "", 'Data Entry'!$Þ$373)</f>
      </c>
      <c r="FC373">
        <f>IF(ISBLANK('Data Entry'!$ß$373), "", 'Data Entry'!$ß$373)</f>
      </c>
      <c r="FD373">
        <f>IF(ISBLANK('Data Entry'!$à$373), "", 'Data Entry'!$à$373)</f>
      </c>
      <c r="FE373">
        <f>IF(ISBLANK('Data Entry'!$á$373), "", 'Data Entry'!$á$373)</f>
      </c>
      <c r="FF373">
        <f>IF(ISBLANK('Data Entry'!$â$373), "", 'Data Entry'!$â$373)</f>
      </c>
      <c r="FG373">
        <f>IF(ISBLANK('Data Entry'!$ã$373), "", 'Data Entry'!$ã$373)</f>
      </c>
      <c r="FH373">
        <f>IF(ISBLANK('Data Entry'!$ä$373), "", 'Data Entry'!$ä$373)</f>
      </c>
      <c r="FI373">
        <f>IF(ISBLANK('Data Entry'!$å$373), "", 'Data Entry'!$å$373)</f>
      </c>
      <c r="FJ373">
        <f>IF(ISBLANK('Data Entry'!$æ$373), "", 'Data Entry'!$æ$373)</f>
      </c>
      <c r="FK373">
        <f>IF(ISBLANK('Data Entry'!$ç$373), "", 'Data Entry'!$ç$373)</f>
      </c>
      <c r="FL373">
        <f>IF(ISBLANK('Data Entry'!$è$373), "", 'Data Entry'!$è$373)</f>
      </c>
      <c r="FM373">
        <f>IF(ISBLANK('Data Entry'!$é$373), "", 'Data Entry'!$é$373)</f>
      </c>
      <c r="FN373">
        <f>IF(ISBLANK('Data Entry'!$ê$373), "", 'Data Entry'!$ê$373)</f>
      </c>
      <c r="FO373">
        <f>IF(ISBLANK('Data Entry'!$ë$373), "", 'Data Entry'!$ë$373)</f>
      </c>
      <c r="FP373">
        <f>IF(ISBLANK('Data Entry'!$ì$373), "", 'Data Entry'!$ì$373)</f>
      </c>
      <c r="FQ373">
        <f>IF(ISBLANK('Data Entry'!$í$373), "", 'Data Entry'!$í$373)</f>
      </c>
      <c r="FR373">
        <f>IF(ISBLANK('Data Entry'!$î$373), "", 'Data Entry'!$î$373)</f>
      </c>
      <c r="FS373">
        <f>IF(ISBLANK('Data Entry'!$ï$373), "", 'Data Entry'!$ï$373)</f>
      </c>
      <c r="FT373">
        <f>IF(ISBLANK('Data Entry'!$ð$373), "", 'Data Entry'!$ð$373)</f>
      </c>
      <c r="FU373">
        <f>IF(ISBLANK('Data Entry'!$ñ$373), "", 'Data Entry'!$ñ$373)</f>
      </c>
      <c r="FV373">
        <f>IF(ISBLANK('Data Entry'!$ò$373), "", 'Data Entry'!$ò$373)</f>
      </c>
      <c r="FW373">
        <f>IF(ISBLANK('Data Entry'!$ó$373), "", 'Data Entry'!$ó$373)</f>
      </c>
      <c r="FX373">
        <f>IF(ISBLANK('Data Entry'!$ô$373), "", 'Data Entry'!$ô$373)</f>
      </c>
      <c r="FY373">
        <f>IF(ISBLANK('Data Entry'!$õ$373), "", 'Data Entry'!$õ$373)</f>
      </c>
      <c r="FZ373">
        <f>IF(ISBLANK('Data Entry'!$ö$373), "", 'Data Entry'!$ö$373)</f>
      </c>
      <c r="GA373">
        <f>IF(ISBLANK('Data Entry'!$÷$373), "", 'Data Entry'!$÷$373)</f>
      </c>
      <c r="GB373">
        <f>IF(ISBLANK('Data Entry'!$ø$373), "", 'Data Entry'!$ø$373)</f>
      </c>
      <c r="GC373">
        <f>IF(ISBLANK('Data Entry'!$ù$373), "", 'Data Entry'!$ù$373)</f>
      </c>
      <c r="GD373">
        <f>IF(ISBLANK('Data Entry'!$ú$373), "", 'Data Entry'!$ú$373)</f>
      </c>
      <c r="GE373">
        <f>IF(ISBLANK('Data Entry'!$û$373), "", 'Data Entry'!$û$373)</f>
      </c>
      <c r="GF373">
        <f>IF(ISBLANK('Data Entry'!$ü$373), "", 'Data Entry'!$ü$373)</f>
      </c>
      <c r="GG373">
        <f>IF(ISBLANK('Data Entry'!$ý$373), "", 'Data Entry'!$ý$373)</f>
      </c>
      <c r="GH373">
        <f>IF(ISBLANK('Data Entry'!$þ$373), "", 'Data Entry'!$þ$373)</f>
      </c>
      <c r="GI373">
        <f>IF(ISBLANK('Data Entry'!$ÿ$373), "", 'Data Entry'!$ÿ$373)</f>
      </c>
      <c r="GJ373">
        <f>IF(ISBLANK('Data Entry'!$Ā$373), "", 'Data Entry'!$Ā$373)</f>
      </c>
      <c r="GK373">
        <f>IF(ISBLANK('Data Entry'!$ā$373), "", 'Data Entry'!$ā$373)</f>
      </c>
      <c r="GL373">
        <f>IF(ISBLANK('Data Entry'!$Ă$373), "", 'Data Entry'!$Ă$373)</f>
      </c>
      <c r="GM373">
        <f>IF(ISBLANK('Data Entry'!$ă$373), "", 'Data Entry'!$ă$373)</f>
      </c>
      <c r="GN373">
        <f>IF(ISBLANK('Data Entry'!$Ą$373), "", 'Data Entry'!$Ą$373)</f>
      </c>
      <c r="GO373">
        <f>IF(ISBLANK('Data Entry'!$ą$373), "", 'Data Entry'!$ą$373)</f>
      </c>
      <c r="GP373">
        <f>IF(ISBLANK('Data Entry'!$Ć$373), "", 'Data Entry'!$Ć$373)</f>
      </c>
      <c r="GQ373">
        <f>IF(ISBLANK('Data Entry'!$ć$373), "", 'Data Entry'!$ć$373)</f>
      </c>
      <c r="GR373">
        <f>IF(ISBLANK('Data Entry'!$Ĉ$373), "", 'Data Entry'!$Ĉ$373)</f>
      </c>
      <c r="GS373">
        <f>IF(ISBLANK('Data Entry'!$ĉ$373), "", 'Data Entry'!$ĉ$373)</f>
      </c>
      <c r="GT373">
        <f>IF(ISBLANK('Data Entry'!$Ċ$373), "", 'Data Entry'!$Ċ$373)</f>
      </c>
      <c r="GU373">
        <f>IF(ISBLANK('Data Entry'!$ċ$373), "", 'Data Entry'!$ċ$373)</f>
      </c>
      <c r="GV373">
        <f>IF(ISBLANK('Data Entry'!$Č$373), "", 'Data Entry'!$Č$373)</f>
      </c>
      <c r="GW373">
        <f>IF(ISBLANK('Data Entry'!$č$373), "", 'Data Entry'!$č$373)</f>
      </c>
      <c r="GX373">
        <f>IF(ISBLANK('Data Entry'!$Ď$373), "", 'Data Entry'!$Ď$373)</f>
      </c>
      <c r="GY373">
        <f>IF(ISBLANK('Data Entry'!$ď$373), "", 'Data Entry'!$ď$373)</f>
      </c>
      <c r="GZ373">
        <f>IF(ISBLANK('Data Entry'!$Đ$373), "", 'Data Entry'!$Đ$373)</f>
      </c>
      <c r="HA373">
        <f>IF(ISBLANK('Data Entry'!$đ$373), "", 'Data Entry'!$đ$373)</f>
      </c>
      <c r="HB373">
        <f>IF(ISBLANK('Data Entry'!$Ē$373), "", 'Data Entry'!$Ē$373)</f>
      </c>
      <c r="HC373">
        <f>IF(ISBLANK('Data Entry'!$ē$373), "", 'Data Entry'!$ē$373)</f>
      </c>
      <c r="HD373">
        <f>IF(ISBLANK('Data Entry'!$Ĕ$373), "", 'Data Entry'!$Ĕ$373)</f>
      </c>
      <c r="HE373">
        <f>IF(ISBLANK('Data Entry'!$ĕ$373), "", 'Data Entry'!$ĕ$373)</f>
      </c>
      <c r="HF373">
        <f>IF(ISBLANK('Data Entry'!$Ė$373), "", 'Data Entry'!$Ė$373)</f>
      </c>
      <c r="HG373">
        <f>IF(ISBLANK('Data Entry'!$ė$373), "", 'Data Entry'!$ė$373)</f>
      </c>
      <c r="HH373">
        <f>IF(ISBLANK('Data Entry'!$Ę$373), "", 'Data Entry'!$Ę$373)</f>
      </c>
      <c r="HI373">
        <f>IF(ISBLANK('Data Entry'!$ę$373), "", 'Data Entry'!$ę$373)</f>
      </c>
      <c r="HJ373">
        <f>IF(ISBLANK('Data Entry'!$Ě$373), "", 'Data Entry'!$Ě$373)</f>
      </c>
      <c r="HK373">
        <f>IF(ISBLANK('Data Entry'!$ě$373), "", 'Data Entry'!$ě$373)</f>
      </c>
      <c r="HL373">
        <f>IF(ISBLANK('Data Entry'!$Ĝ$373), "", 'Data Entry'!$Ĝ$373)</f>
      </c>
      <c r="HM373">
        <f>IF(ISBLANK('Data Entry'!$ĝ$373), "", 'Data Entry'!$ĝ$373)</f>
      </c>
      <c r="HN373">
        <f>IF(ISBLANK('Data Entry'!$Ğ$373), "", 'Data Entry'!$Ğ$373)</f>
      </c>
      <c r="HO373">
        <f>IF(ISBLANK('Data Entry'!$ğ$373), "", 'Data Entry'!$ğ$373)</f>
      </c>
      <c r="HP373">
        <f>IF(ISBLANK('Data Entry'!$Ġ$373), "", 'Data Entry'!$Ġ$373)</f>
      </c>
      <c r="HQ373">
        <f>IF(ISBLANK('Data Entry'!$ġ$373), "", 'Data Entry'!$ġ$373)</f>
      </c>
      <c r="HR373">
        <f>IF(ISBLANK('Data Entry'!$Ģ$373), "", 'Data Entry'!$Ģ$373)</f>
      </c>
      <c r="HS373">
        <f>IF(ISBLANK('Data Entry'!$ģ$373), "", 'Data Entry'!$ģ$373)</f>
      </c>
      <c r="HT373">
        <f>IF(ISBLANK('Data Entry'!$Ĥ$373), "", 'Data Entry'!$Ĥ$373)</f>
      </c>
      <c r="HU373">
        <f>IF(ISBLANK('Data Entry'!$ĥ$373), "", 'Data Entry'!$ĥ$373)</f>
      </c>
      <c r="HV373">
        <f>IF(ISBLANK('Data Entry'!$Ħ$373), "", 'Data Entry'!$Ħ$373)</f>
      </c>
      <c r="HW373">
        <f>IF(ISBLANK('Data Entry'!$ħ$373), "", 'Data Entry'!$ħ$373)</f>
      </c>
      <c r="HX373">
        <f>IF(ISBLANK('Data Entry'!$Ĩ$373), "", 'Data Entry'!$Ĩ$373)</f>
      </c>
      <c r="HY373">
        <f>IF(ISBLANK('Data Entry'!$ĩ$373), "", 'Data Entry'!$ĩ$373)</f>
      </c>
      <c r="HZ373">
        <f>IF(ISBLANK('Data Entry'!$Ī$373), "", 'Data Entry'!$Ī$373)</f>
      </c>
      <c r="IA373">
        <f>IF(ISBLANK('Data Entry'!$ī$373), "", 'Data Entry'!$ī$373)</f>
      </c>
      <c r="IB373">
        <f>IF(ISBLANK('Data Entry'!$Ĭ$373), "", 'Data Entry'!$Ĭ$373)</f>
      </c>
      <c r="IC373">
        <f>IF(ISBLANK('Data Entry'!$ĭ$373), "", 'Data Entry'!$ĭ$373)</f>
      </c>
      <c r="ID373">
        <f>IF(ISBLANK('Data Entry'!$Į$373), "", 'Data Entry'!$Į$373)</f>
      </c>
      <c r="IE373">
        <f>IF(ISBLANK('Data Entry'!$į$373), "", 'Data Entry'!$į$373)</f>
      </c>
      <c r="IF373">
        <f>IF(ISBLANK('Data Entry'!$İ$373), "", 'Data Entry'!$İ$373)</f>
      </c>
      <c r="IG373">
        <f>IF(ISBLANK('Data Entry'!$ı$373), "", 'Data Entry'!$ı$373)</f>
      </c>
      <c r="IH373">
        <f>IF(ISBLANK('Data Entry'!$Ĳ$373), "", 'Data Entry'!$Ĳ$373)</f>
      </c>
      <c r="II373">
        <f>IF(ISBLANK('Data Entry'!$ĳ$373), "", 'Data Entry'!$ĳ$373)</f>
      </c>
      <c r="IJ373">
        <f>IF(ISBLANK('Data Entry'!$Ĵ$373), "", 'Data Entry'!$Ĵ$373)</f>
      </c>
      <c r="IK373">
        <f>IF(ISBLANK('Data Entry'!$ĵ$373), "", 'Data Entry'!$ĵ$373)</f>
      </c>
      <c r="IL373">
        <f>IF(ISBLANK('Data Entry'!$Ķ$373), "", 'Data Entry'!$Ķ$373)</f>
      </c>
      <c r="IM373">
        <f>IF(ISBLANK('Data Entry'!$ķ$373), "", 'Data Entry'!$ķ$373)</f>
      </c>
      <c r="IN373">
        <f>IF(ISBLANK('Data Entry'!$ĸ$373), "", 'Data Entry'!$ĸ$373)</f>
      </c>
      <c r="IO373">
        <f>IF(ISBLANK('Data Entry'!$Ĺ$373), "", 'Data Entry'!$Ĺ$373)</f>
      </c>
      <c r="IP373">
        <f>IF(ISBLANK('Data Entry'!$ĺ$373), "", 'Data Entry'!$ĺ$373)</f>
      </c>
      <c r="IQ373">
        <f>IF(ISBLANK('Data Entry'!$Ļ$373), "", 'Data Entry'!$Ļ$373)</f>
      </c>
      <c r="IR373">
        <f>IF(ISBLANK('Data Entry'!$ļ$373), "", 'Data Entry'!$ļ$373)</f>
      </c>
      <c r="IS373">
        <f>IF(ISBLANK('Data Entry'!$Ľ$373), "", 'Data Entry'!$Ľ$373)</f>
      </c>
      <c r="IT373">
        <f>IF(ISBLANK('Data Entry'!$ľ$373), "", 'Data Entry'!$ľ$373)</f>
      </c>
    </row>
    <row r="374" spans="1:254" x14ac:dyDescent="0.25">
      <c r="A374">
        <f>IF(ISBLANK('Data Entry'!$A$374), "", 'Data Entry'!$A$374)</f>
      </c>
      <c r="B374">
        <f>IF(ISBLANK('Data Entry'!$B$374), "", 'Data Entry'!$B$374)</f>
      </c>
      <c r="C374">
        <f>IF(ISBLANK('Data Entry'!$C$374), "", 'Data Entry'!$C$374)</f>
      </c>
      <c r="D374">
        <f>IF(ISBLANK('Data Entry'!$D$374), "", 'Data Entry'!$D$374)</f>
      </c>
      <c r="E374">
        <f>IF(ISBLANK('Data Entry'!$E$374), "", 'Data Entry'!$E$374)</f>
      </c>
      <c r="F374">
        <f>IF(ISBLANK('Data Entry'!$F$374), "", 'Data Entry'!$F$374)</f>
      </c>
      <c r="G374">
        <f>IF(ISBLANK('Data Entry'!$G$374), "", 'Data Entry'!$G$374)</f>
      </c>
      <c r="H374">
        <f>IF(ISBLANK('Data Entry'!$H$374), "", 'Data Entry'!$H$374)</f>
      </c>
      <c r="I374">
        <f>IF(ISBLANK('Data Entry'!$I$374), "", 'Data Entry'!$I$374)</f>
      </c>
      <c r="J374">
        <f>IF(ISBLANK('Data Entry'!$J$374), "", 'Data Entry'!$J$374)</f>
      </c>
      <c r="K374">
        <f>IF(ISBLANK('Data Entry'!$K$374), "", 'Data Entry'!$K$374)</f>
      </c>
      <c r="L374">
        <f>IF(ISBLANK('Data Entry'!$L$374), "", 'Data Entry'!$L$374)</f>
      </c>
      <c r="M374">
        <f>IF(ISBLANK('Data Entry'!$M$374), "", 'Data Entry'!$M$374)</f>
      </c>
      <c r="N374">
        <f>IF(ISBLANK('Data Entry'!$N$374), "", 'Data Entry'!$N$374)</f>
      </c>
      <c r="O374">
        <f>IF(ISBLANK('Data Entry'!$O$374), "", 'Data Entry'!$O$374)</f>
      </c>
      <c r="P374">
        <f>IF(ISBLANK('Data Entry'!$P$374), "", 'Data Entry'!$P$374)</f>
      </c>
      <c r="Q374">
        <f>IF(ISBLANK('Data Entry'!$Q$374), "", 'Data Entry'!$Q$374)</f>
      </c>
      <c r="R374">
        <f>IF(ISBLANK('Data Entry'!$R$374), "", 'Data Entry'!$R$374)</f>
      </c>
      <c r="S374">
        <f>IF(ISBLANK('Data Entry'!$S$374), "", 'Data Entry'!$S$374)</f>
      </c>
      <c r="T374">
        <f>IF(ISBLANK('Data Entry'!$T$374), "", 'Data Entry'!$T$374)</f>
      </c>
      <c r="U374">
        <f>IF(ISBLANK('Data Entry'!$U$374), "", 'Data Entry'!$U$374)</f>
      </c>
      <c r="V374">
        <f>IF(ISBLANK('Data Entry'!$V$374), "", 'Data Entry'!$V$374)</f>
      </c>
      <c r="W374">
        <f>IF(ISBLANK('Data Entry'!$W$374), "", 'Data Entry'!$W$374)</f>
      </c>
      <c r="X374">
        <f>IF(ISBLANK('Data Entry'!$X$374), "", 'Data Entry'!$X$374)</f>
      </c>
      <c r="Y374">
        <f>IF(ISBLANK('Data Entry'!$Y$374), "", 'Data Entry'!$Y$374)</f>
      </c>
      <c r="Z374">
        <f>IF(ISBLANK('Data Entry'!$Z$374), "", 'Data Entry'!$Z$374)</f>
      </c>
      <c r="AA374">
        <f>IF(ISBLANK('Data Entry'!$[$374), "", 'Data Entry'!$[$374)</f>
      </c>
      <c r="AB374">
        <f>IF(ISBLANK('Data Entry'!$\$374), "", 'Data Entry'!$\$374)</f>
      </c>
      <c r="AC374">
        <f>IF(ISBLANK('Data Entry'!$]$374), "", 'Data Entry'!$]$374)</f>
      </c>
      <c r="AD374">
        <f>IF(ISBLANK('Data Entry'!$^$374), "", 'Data Entry'!$^$374)</f>
      </c>
      <c r="AE374">
        <f>IF(ISBLANK('Data Entry'!$_$374), "", 'Data Entry'!$_$374)</f>
      </c>
      <c r="AF374">
        <f>IF(ISBLANK('Data Entry'!$`$374), "", 'Data Entry'!$`$374)</f>
      </c>
      <c r="AG374">
        <f>IF(ISBLANK('Data Entry'!$a$374), "", 'Data Entry'!$a$374)</f>
      </c>
      <c r="AH374">
        <f>IF(ISBLANK('Data Entry'!$b$374), "", 'Data Entry'!$b$374)</f>
      </c>
      <c r="AI374">
        <f>IF(ISBLANK('Data Entry'!$c$374), "", 'Data Entry'!$c$374)</f>
      </c>
      <c r="AJ374">
        <f>IF(ISBLANK('Data Entry'!$d$374), "", 'Data Entry'!$d$374)</f>
      </c>
      <c r="AK374">
        <f>IF(ISBLANK('Data Entry'!$e$374), "", 'Data Entry'!$e$374)</f>
      </c>
      <c r="AL374">
        <f>IF(ISBLANK('Data Entry'!$f$374), "", 'Data Entry'!$f$374)</f>
      </c>
      <c r="AM374">
        <f>IF(ISBLANK('Data Entry'!$g$374), "", 'Data Entry'!$g$374)</f>
      </c>
      <c r="AN374">
        <f>IF(ISBLANK('Data Entry'!$h$374), "", 'Data Entry'!$h$374)</f>
      </c>
      <c r="AO374">
        <f>IF(ISBLANK('Data Entry'!$i$374), "", 'Data Entry'!$i$374)</f>
      </c>
      <c r="AP374">
        <f>IF(ISBLANK('Data Entry'!$j$374), "", 'Data Entry'!$j$374)</f>
      </c>
      <c r="AQ374">
        <f>IF(ISBLANK('Data Entry'!$k$374), "", 'Data Entry'!$k$374)</f>
      </c>
      <c r="AR374">
        <f>IF(ISBLANK('Data Entry'!$l$374), "", 'Data Entry'!$l$374)</f>
      </c>
      <c r="AS374">
        <f>IF(ISBLANK('Data Entry'!$m$374), "", 'Data Entry'!$m$374)</f>
      </c>
      <c r="AT374">
        <f>IF(ISBLANK('Data Entry'!$n$374), "", 'Data Entry'!$n$374)</f>
      </c>
      <c r="AU374">
        <f>IF(ISBLANK('Data Entry'!$o$374), "", 'Data Entry'!$o$374)</f>
      </c>
      <c r="AV374">
        <f>IF(ISBLANK('Data Entry'!$p$374), "", 'Data Entry'!$p$374)</f>
      </c>
      <c r="AW374">
        <f>IF(ISBLANK('Data Entry'!$q$374), "", 'Data Entry'!$q$374)</f>
      </c>
      <c r="AX374">
        <f>IF(ISBLANK('Data Entry'!$r$374), "", 'Data Entry'!$r$374)</f>
      </c>
      <c r="AY374">
        <f>IF(ISBLANK('Data Entry'!$s$374), "", 'Data Entry'!$s$374)</f>
      </c>
      <c r="AZ374">
        <f>IF(ISBLANK('Data Entry'!$t$374), "", 'Data Entry'!$t$374)</f>
      </c>
      <c r="BA374">
        <f>IF(ISBLANK('Data Entry'!$u$374), "", 'Data Entry'!$u$374)</f>
      </c>
      <c r="BB374">
        <f>IF(ISBLANK('Data Entry'!$v$374), "", 'Data Entry'!$v$374)</f>
      </c>
      <c r="BC374">
        <f>IF(ISBLANK('Data Entry'!$w$374), "", 'Data Entry'!$w$374)</f>
      </c>
      <c r="BD374">
        <f>IF(ISBLANK('Data Entry'!$x$374), "", 'Data Entry'!$x$374)</f>
      </c>
      <c r="BE374">
        <f>IF(ISBLANK('Data Entry'!$y$374), "", 'Data Entry'!$y$374)</f>
      </c>
      <c r="BF374">
        <f>IF(ISBLANK('Data Entry'!$z$374), "", 'Data Entry'!$z$374)</f>
      </c>
      <c r="BG374">
        <f>IF(ISBLANK('Data Entry'!${$374), "", 'Data Entry'!${$374)</f>
      </c>
      <c r="BH374">
        <f>IF(ISBLANK('Data Entry'!$|$374), "", 'Data Entry'!$|$374)</f>
      </c>
      <c r="BI374">
        <f>IF(ISBLANK('Data Entry'!$}$374), "", 'Data Entry'!$}$374)</f>
      </c>
      <c r="BJ374">
        <f>IF(ISBLANK('Data Entry'!$~$374), "", 'Data Entry'!$~$374)</f>
      </c>
      <c r="BK374">
        <f>IF(ISBLANK('Data Entry'!$$374), "", 'Data Entry'!$$374)</f>
      </c>
      <c r="BL374">
        <f>IF(ISBLANK('Data Entry'!$$374), "", 'Data Entry'!$$374)</f>
      </c>
      <c r="BM374">
        <f>IF(ISBLANK('Data Entry'!$$374), "", 'Data Entry'!$$374)</f>
      </c>
      <c r="BN374">
        <f>IF(ISBLANK('Data Entry'!$$374), "", 'Data Entry'!$$374)</f>
      </c>
      <c r="BO374">
        <f>IF(ISBLANK('Data Entry'!$$374), "", 'Data Entry'!$$374)</f>
      </c>
      <c r="BP374">
        <f>IF(ISBLANK('Data Entry'!$$374), "", 'Data Entry'!$$374)</f>
      </c>
      <c r="BQ374">
        <f>IF(ISBLANK('Data Entry'!$$374), "", 'Data Entry'!$$374)</f>
      </c>
      <c r="BR374">
        <f>IF(ISBLANK('Data Entry'!$$374), "", 'Data Entry'!$$374)</f>
      </c>
      <c r="BS374">
        <f>IF(ISBLANK('Data Entry'!$$374), "", 'Data Entry'!$$374)</f>
      </c>
      <c r="BT374">
        <f>IF(ISBLANK('Data Entry'!$$374), "", 'Data Entry'!$$374)</f>
      </c>
      <c r="BU374">
        <f>IF(ISBLANK('Data Entry'!$$374), "", 'Data Entry'!$$374)</f>
      </c>
      <c r="BV374">
        <f>IF(ISBLANK('Data Entry'!$$374), "", 'Data Entry'!$$374)</f>
      </c>
      <c r="BW374">
        <f>IF(ISBLANK('Data Entry'!$$374), "", 'Data Entry'!$$374)</f>
      </c>
      <c r="BX374">
        <f>IF(ISBLANK('Data Entry'!$$374), "", 'Data Entry'!$$374)</f>
      </c>
      <c r="BY374">
        <f>IF(ISBLANK('Data Entry'!$$374), "", 'Data Entry'!$$374)</f>
      </c>
      <c r="BZ374">
        <f>IF(ISBLANK('Data Entry'!$$374), "", 'Data Entry'!$$374)</f>
      </c>
      <c r="CA374">
        <f>IF(ISBLANK('Data Entry'!$$374), "", 'Data Entry'!$$374)</f>
      </c>
      <c r="CB374">
        <f>IF(ISBLANK('Data Entry'!$$374), "", 'Data Entry'!$$374)</f>
      </c>
      <c r="CC374">
        <f>IF(ISBLANK('Data Entry'!$$374), "", 'Data Entry'!$$374)</f>
      </c>
      <c r="CD374">
        <f>IF(ISBLANK('Data Entry'!$$374), "", 'Data Entry'!$$374)</f>
      </c>
      <c r="CE374">
        <f>IF(ISBLANK('Data Entry'!$$374), "", 'Data Entry'!$$374)</f>
      </c>
      <c r="CF374">
        <f>IF(ISBLANK('Data Entry'!$$374), "", 'Data Entry'!$$374)</f>
      </c>
      <c r="CG374">
        <f>IF(ISBLANK('Data Entry'!$$374), "", 'Data Entry'!$$374)</f>
      </c>
      <c r="CH374">
        <f>IF(ISBLANK('Data Entry'!$$374), "", 'Data Entry'!$$374)</f>
      </c>
      <c r="CI374">
        <f>IF(ISBLANK('Data Entry'!$$374), "", 'Data Entry'!$$374)</f>
      </c>
      <c r="CJ374">
        <f>IF(ISBLANK('Data Entry'!$$374), "", 'Data Entry'!$$374)</f>
      </c>
      <c r="CK374">
        <f>IF(ISBLANK('Data Entry'!$$374), "", 'Data Entry'!$$374)</f>
      </c>
      <c r="CL374">
        <f>IF(ISBLANK('Data Entry'!$$374), "", 'Data Entry'!$$374)</f>
      </c>
      <c r="CM374">
        <f>IF(ISBLANK('Data Entry'!$$374), "", 'Data Entry'!$$374)</f>
      </c>
      <c r="CN374">
        <f>IF(ISBLANK('Data Entry'!$$374), "", 'Data Entry'!$$374)</f>
      </c>
      <c r="CO374">
        <f>IF(ISBLANK('Data Entry'!$$374), "", 'Data Entry'!$$374)</f>
      </c>
      <c r="CP374">
        <f>IF(ISBLANK('Data Entry'!$$374), "", 'Data Entry'!$$374)</f>
      </c>
      <c r="CQ374">
        <f>IF(ISBLANK('Data Entry'!$$374), "", 'Data Entry'!$$374)</f>
      </c>
      <c r="CR374">
        <f>IF(ISBLANK('Data Entry'!$ $374), "", 'Data Entry'!$ $374)</f>
      </c>
      <c r="CS374">
        <f>IF(ISBLANK('Data Entry'!$¡$374), "", 'Data Entry'!$¡$374)</f>
      </c>
      <c r="CT374">
        <f>IF(ISBLANK('Data Entry'!$¢$374), "", 'Data Entry'!$¢$374)</f>
      </c>
      <c r="CU374">
        <f>IF(ISBLANK('Data Entry'!$£$374), "", 'Data Entry'!$£$374)</f>
      </c>
      <c r="CV374">
        <f>IF(ISBLANK('Data Entry'!$¤$374), "", 'Data Entry'!$¤$374)</f>
      </c>
      <c r="CW374">
        <f>IF(ISBLANK('Data Entry'!$¥$374), "", 'Data Entry'!$¥$374)</f>
      </c>
      <c r="CX374">
        <f>IF(ISBLANK('Data Entry'!$¦$374), "", 'Data Entry'!$¦$374)</f>
      </c>
      <c r="CY374">
        <f>IF(ISBLANK('Data Entry'!$§$374), "", 'Data Entry'!$§$374)</f>
      </c>
      <c r="CZ374">
        <f>IF(ISBLANK('Data Entry'!$¨$374), "", 'Data Entry'!$¨$374)</f>
      </c>
      <c r="DA374">
        <f>IF(ISBLANK('Data Entry'!$©$374), "", 'Data Entry'!$©$374)</f>
      </c>
      <c r="DB374">
        <f>IF(ISBLANK('Data Entry'!$ª$374), "", 'Data Entry'!$ª$374)</f>
      </c>
      <c r="DC374">
        <f>IF(ISBLANK('Data Entry'!$«$374), "", 'Data Entry'!$«$374)</f>
      </c>
      <c r="DD374">
        <f>IF(ISBLANK('Data Entry'!$¬$374), "", 'Data Entry'!$¬$374)</f>
      </c>
      <c r="DE374">
        <f>IF(ISBLANK('Data Entry'!$­$374), "", 'Data Entry'!$­$374)</f>
      </c>
      <c r="DF374">
        <f>IF(ISBLANK('Data Entry'!$®$374), "", 'Data Entry'!$®$374)</f>
      </c>
      <c r="DG374">
        <f>IF(ISBLANK('Data Entry'!$¯$374), "", 'Data Entry'!$¯$374)</f>
      </c>
      <c r="DH374">
        <f>IF(ISBLANK('Data Entry'!$°$374), "", 'Data Entry'!$°$374)</f>
      </c>
      <c r="DI374">
        <f>IF(ISBLANK('Data Entry'!$±$374), "", 'Data Entry'!$±$374)</f>
      </c>
      <c r="DJ374">
        <f>IF(ISBLANK('Data Entry'!$²$374), "", 'Data Entry'!$²$374)</f>
      </c>
      <c r="DK374">
        <f>IF(ISBLANK('Data Entry'!$³$374), "", 'Data Entry'!$³$374)</f>
      </c>
      <c r="DL374">
        <f>IF(ISBLANK('Data Entry'!$´$374), "", 'Data Entry'!$´$374)</f>
      </c>
      <c r="DM374">
        <f>IF(ISBLANK('Data Entry'!$µ$374), "", 'Data Entry'!$µ$374)</f>
      </c>
      <c r="DN374">
        <f>IF(ISBLANK('Data Entry'!$¶$374), "", 'Data Entry'!$¶$374)</f>
      </c>
      <c r="DO374">
        <f>IF(ISBLANK('Data Entry'!$·$374), "", 'Data Entry'!$·$374)</f>
      </c>
      <c r="DP374">
        <f>IF(ISBLANK('Data Entry'!$¸$374), "", 'Data Entry'!$¸$374)</f>
      </c>
      <c r="DQ374">
        <f>IF(ISBLANK('Data Entry'!$¹$374), "", 'Data Entry'!$¹$374)</f>
      </c>
      <c r="DR374">
        <f>IF(ISBLANK('Data Entry'!$º$374), "", 'Data Entry'!$º$374)</f>
      </c>
      <c r="DS374">
        <f>IF(ISBLANK('Data Entry'!$»$374), "", 'Data Entry'!$»$374)</f>
      </c>
      <c r="DT374">
        <f>IF(ISBLANK('Data Entry'!$¼$374), "", 'Data Entry'!$¼$374)</f>
      </c>
      <c r="DU374">
        <f>IF(ISBLANK('Data Entry'!$½$374), "", 'Data Entry'!$½$374)</f>
      </c>
      <c r="DV374">
        <f>IF(ISBLANK('Data Entry'!$¾$374), "", 'Data Entry'!$¾$374)</f>
      </c>
      <c r="DW374">
        <f>IF(ISBLANK('Data Entry'!$¿$374), "", 'Data Entry'!$¿$374)</f>
      </c>
      <c r="DX374">
        <f>IF(ISBLANK('Data Entry'!$À$374), "", 'Data Entry'!$À$374)</f>
      </c>
      <c r="DY374">
        <f>IF(ISBLANK('Data Entry'!$Á$374), "", 'Data Entry'!$Á$374)</f>
      </c>
      <c r="DZ374">
        <f>IF(ISBLANK('Data Entry'!$Â$374), "", 'Data Entry'!$Â$374)</f>
      </c>
      <c r="EA374">
        <f>IF(ISBLANK('Data Entry'!$Ã$374), "", 'Data Entry'!$Ã$374)</f>
      </c>
      <c r="EB374">
        <f>IF(ISBLANK('Data Entry'!$Ä$374), "", 'Data Entry'!$Ä$374)</f>
      </c>
      <c r="EC374">
        <f>IF(ISBLANK('Data Entry'!$Å$374), "", 'Data Entry'!$Å$374)</f>
      </c>
      <c r="ED374">
        <f>IF(ISBLANK('Data Entry'!$Æ$374), "", 'Data Entry'!$Æ$374)</f>
      </c>
      <c r="EE374">
        <f>IF(ISBLANK('Data Entry'!$Ç$374), "", 'Data Entry'!$Ç$374)</f>
      </c>
      <c r="EF374">
        <f>IF(ISBLANK('Data Entry'!$È$374), "", 'Data Entry'!$È$374)</f>
      </c>
      <c r="EG374">
        <f>IF(ISBLANK('Data Entry'!$É$374), "", 'Data Entry'!$É$374)</f>
      </c>
      <c r="EH374">
        <f>IF(ISBLANK('Data Entry'!$Ê$374), "", 'Data Entry'!$Ê$374)</f>
      </c>
      <c r="EI374">
        <f>IF(ISBLANK('Data Entry'!$Ë$374), "", 'Data Entry'!$Ë$374)</f>
      </c>
      <c r="EJ374">
        <f>IF(ISBLANK('Data Entry'!$Ì$374), "", 'Data Entry'!$Ì$374)</f>
      </c>
      <c r="EK374">
        <f>IF(ISBLANK('Data Entry'!$Í$374), "", 'Data Entry'!$Í$374)</f>
      </c>
      <c r="EL374">
        <f>IF(ISBLANK('Data Entry'!$Î$374), "", 'Data Entry'!$Î$374)</f>
      </c>
      <c r="EM374">
        <f>IF(ISBLANK('Data Entry'!$Ï$374), "", 'Data Entry'!$Ï$374)</f>
      </c>
      <c r="EN374">
        <f>IF(ISBLANK('Data Entry'!$Ð$374), "", 'Data Entry'!$Ð$374)</f>
      </c>
      <c r="EO374">
        <f>IF(ISBLANK('Data Entry'!$Ñ$374), "", 'Data Entry'!$Ñ$374)</f>
      </c>
      <c r="EP374">
        <f>IF(ISBLANK('Data Entry'!$Ò$374), "", 'Data Entry'!$Ò$374)</f>
      </c>
      <c r="EQ374">
        <f>IF(ISBLANK('Data Entry'!$Ó$374), "", 'Data Entry'!$Ó$374)</f>
      </c>
      <c r="ER374">
        <f>IF(ISBLANK('Data Entry'!$Ô$374), "", 'Data Entry'!$Ô$374)</f>
      </c>
      <c r="ES374">
        <f>IF(ISBLANK('Data Entry'!$Õ$374), "", 'Data Entry'!$Õ$374)</f>
      </c>
      <c r="ET374">
        <f>IF(ISBLANK('Data Entry'!$Ö$374), "", 'Data Entry'!$Ö$374)</f>
      </c>
      <c r="EU374">
        <f>IF(ISBLANK('Data Entry'!$×$374), "", 'Data Entry'!$×$374)</f>
      </c>
      <c r="EV374">
        <f>IF(ISBLANK('Data Entry'!$Ø$374), "", 'Data Entry'!$Ø$374)</f>
      </c>
      <c r="EW374">
        <f>IF(ISBLANK('Data Entry'!$Ù$374), "", 'Data Entry'!$Ù$374)</f>
      </c>
      <c r="EX374">
        <f>IF(ISBLANK('Data Entry'!$Ú$374), "", 'Data Entry'!$Ú$374)</f>
      </c>
      <c r="EY374">
        <f>IF(ISBLANK('Data Entry'!$Û$374), "", 'Data Entry'!$Û$374)</f>
      </c>
      <c r="EZ374">
        <f>IF(ISBLANK('Data Entry'!$Ü$374), "", 'Data Entry'!$Ü$374)</f>
      </c>
      <c r="FA374">
        <f>IF(ISBLANK('Data Entry'!$Ý$374), "", 'Data Entry'!$Ý$374)</f>
      </c>
      <c r="FB374">
        <f>IF(ISBLANK('Data Entry'!$Þ$374), "", 'Data Entry'!$Þ$374)</f>
      </c>
      <c r="FC374">
        <f>IF(ISBLANK('Data Entry'!$ß$374), "", 'Data Entry'!$ß$374)</f>
      </c>
      <c r="FD374">
        <f>IF(ISBLANK('Data Entry'!$à$374), "", 'Data Entry'!$à$374)</f>
      </c>
      <c r="FE374">
        <f>IF(ISBLANK('Data Entry'!$á$374), "", 'Data Entry'!$á$374)</f>
      </c>
      <c r="FF374">
        <f>IF(ISBLANK('Data Entry'!$â$374), "", 'Data Entry'!$â$374)</f>
      </c>
      <c r="FG374">
        <f>IF(ISBLANK('Data Entry'!$ã$374), "", 'Data Entry'!$ã$374)</f>
      </c>
      <c r="FH374">
        <f>IF(ISBLANK('Data Entry'!$ä$374), "", 'Data Entry'!$ä$374)</f>
      </c>
      <c r="FI374">
        <f>IF(ISBLANK('Data Entry'!$å$374), "", 'Data Entry'!$å$374)</f>
      </c>
      <c r="FJ374">
        <f>IF(ISBLANK('Data Entry'!$æ$374), "", 'Data Entry'!$æ$374)</f>
      </c>
      <c r="FK374">
        <f>IF(ISBLANK('Data Entry'!$ç$374), "", 'Data Entry'!$ç$374)</f>
      </c>
      <c r="FL374">
        <f>IF(ISBLANK('Data Entry'!$è$374), "", 'Data Entry'!$è$374)</f>
      </c>
      <c r="FM374">
        <f>IF(ISBLANK('Data Entry'!$é$374), "", 'Data Entry'!$é$374)</f>
      </c>
      <c r="FN374">
        <f>IF(ISBLANK('Data Entry'!$ê$374), "", 'Data Entry'!$ê$374)</f>
      </c>
      <c r="FO374">
        <f>IF(ISBLANK('Data Entry'!$ë$374), "", 'Data Entry'!$ë$374)</f>
      </c>
      <c r="FP374">
        <f>IF(ISBLANK('Data Entry'!$ì$374), "", 'Data Entry'!$ì$374)</f>
      </c>
      <c r="FQ374">
        <f>IF(ISBLANK('Data Entry'!$í$374), "", 'Data Entry'!$í$374)</f>
      </c>
      <c r="FR374">
        <f>IF(ISBLANK('Data Entry'!$î$374), "", 'Data Entry'!$î$374)</f>
      </c>
      <c r="FS374">
        <f>IF(ISBLANK('Data Entry'!$ï$374), "", 'Data Entry'!$ï$374)</f>
      </c>
      <c r="FT374">
        <f>IF(ISBLANK('Data Entry'!$ð$374), "", 'Data Entry'!$ð$374)</f>
      </c>
      <c r="FU374">
        <f>IF(ISBLANK('Data Entry'!$ñ$374), "", 'Data Entry'!$ñ$374)</f>
      </c>
      <c r="FV374">
        <f>IF(ISBLANK('Data Entry'!$ò$374), "", 'Data Entry'!$ò$374)</f>
      </c>
      <c r="FW374">
        <f>IF(ISBLANK('Data Entry'!$ó$374), "", 'Data Entry'!$ó$374)</f>
      </c>
      <c r="FX374">
        <f>IF(ISBLANK('Data Entry'!$ô$374), "", 'Data Entry'!$ô$374)</f>
      </c>
      <c r="FY374">
        <f>IF(ISBLANK('Data Entry'!$õ$374), "", 'Data Entry'!$õ$374)</f>
      </c>
      <c r="FZ374">
        <f>IF(ISBLANK('Data Entry'!$ö$374), "", 'Data Entry'!$ö$374)</f>
      </c>
      <c r="GA374">
        <f>IF(ISBLANK('Data Entry'!$÷$374), "", 'Data Entry'!$÷$374)</f>
      </c>
      <c r="GB374">
        <f>IF(ISBLANK('Data Entry'!$ø$374), "", 'Data Entry'!$ø$374)</f>
      </c>
      <c r="GC374">
        <f>IF(ISBLANK('Data Entry'!$ù$374), "", 'Data Entry'!$ù$374)</f>
      </c>
      <c r="GD374">
        <f>IF(ISBLANK('Data Entry'!$ú$374), "", 'Data Entry'!$ú$374)</f>
      </c>
      <c r="GE374">
        <f>IF(ISBLANK('Data Entry'!$û$374), "", 'Data Entry'!$û$374)</f>
      </c>
      <c r="GF374">
        <f>IF(ISBLANK('Data Entry'!$ü$374), "", 'Data Entry'!$ü$374)</f>
      </c>
      <c r="GG374">
        <f>IF(ISBLANK('Data Entry'!$ý$374), "", 'Data Entry'!$ý$374)</f>
      </c>
      <c r="GH374">
        <f>IF(ISBLANK('Data Entry'!$þ$374), "", 'Data Entry'!$þ$374)</f>
      </c>
      <c r="GI374">
        <f>IF(ISBLANK('Data Entry'!$ÿ$374), "", 'Data Entry'!$ÿ$374)</f>
      </c>
      <c r="GJ374">
        <f>IF(ISBLANK('Data Entry'!$Ā$374), "", 'Data Entry'!$Ā$374)</f>
      </c>
      <c r="GK374">
        <f>IF(ISBLANK('Data Entry'!$ā$374), "", 'Data Entry'!$ā$374)</f>
      </c>
      <c r="GL374">
        <f>IF(ISBLANK('Data Entry'!$Ă$374), "", 'Data Entry'!$Ă$374)</f>
      </c>
      <c r="GM374">
        <f>IF(ISBLANK('Data Entry'!$ă$374), "", 'Data Entry'!$ă$374)</f>
      </c>
      <c r="GN374">
        <f>IF(ISBLANK('Data Entry'!$Ą$374), "", 'Data Entry'!$Ą$374)</f>
      </c>
      <c r="GO374">
        <f>IF(ISBLANK('Data Entry'!$ą$374), "", 'Data Entry'!$ą$374)</f>
      </c>
      <c r="GP374">
        <f>IF(ISBLANK('Data Entry'!$Ć$374), "", 'Data Entry'!$Ć$374)</f>
      </c>
      <c r="GQ374">
        <f>IF(ISBLANK('Data Entry'!$ć$374), "", 'Data Entry'!$ć$374)</f>
      </c>
      <c r="GR374">
        <f>IF(ISBLANK('Data Entry'!$Ĉ$374), "", 'Data Entry'!$Ĉ$374)</f>
      </c>
      <c r="GS374">
        <f>IF(ISBLANK('Data Entry'!$ĉ$374), "", 'Data Entry'!$ĉ$374)</f>
      </c>
      <c r="GT374">
        <f>IF(ISBLANK('Data Entry'!$Ċ$374), "", 'Data Entry'!$Ċ$374)</f>
      </c>
      <c r="GU374">
        <f>IF(ISBLANK('Data Entry'!$ċ$374), "", 'Data Entry'!$ċ$374)</f>
      </c>
      <c r="GV374">
        <f>IF(ISBLANK('Data Entry'!$Č$374), "", 'Data Entry'!$Č$374)</f>
      </c>
      <c r="GW374">
        <f>IF(ISBLANK('Data Entry'!$č$374), "", 'Data Entry'!$č$374)</f>
      </c>
      <c r="GX374">
        <f>IF(ISBLANK('Data Entry'!$Ď$374), "", 'Data Entry'!$Ď$374)</f>
      </c>
      <c r="GY374">
        <f>IF(ISBLANK('Data Entry'!$ď$374), "", 'Data Entry'!$ď$374)</f>
      </c>
      <c r="GZ374">
        <f>IF(ISBLANK('Data Entry'!$Đ$374), "", 'Data Entry'!$Đ$374)</f>
      </c>
      <c r="HA374">
        <f>IF(ISBLANK('Data Entry'!$đ$374), "", 'Data Entry'!$đ$374)</f>
      </c>
      <c r="HB374">
        <f>IF(ISBLANK('Data Entry'!$Ē$374), "", 'Data Entry'!$Ē$374)</f>
      </c>
      <c r="HC374">
        <f>IF(ISBLANK('Data Entry'!$ē$374), "", 'Data Entry'!$ē$374)</f>
      </c>
      <c r="HD374">
        <f>IF(ISBLANK('Data Entry'!$Ĕ$374), "", 'Data Entry'!$Ĕ$374)</f>
      </c>
      <c r="HE374">
        <f>IF(ISBLANK('Data Entry'!$ĕ$374), "", 'Data Entry'!$ĕ$374)</f>
      </c>
      <c r="HF374">
        <f>IF(ISBLANK('Data Entry'!$Ė$374), "", 'Data Entry'!$Ė$374)</f>
      </c>
      <c r="HG374">
        <f>IF(ISBLANK('Data Entry'!$ė$374), "", 'Data Entry'!$ė$374)</f>
      </c>
      <c r="HH374">
        <f>IF(ISBLANK('Data Entry'!$Ę$374), "", 'Data Entry'!$Ę$374)</f>
      </c>
      <c r="HI374">
        <f>IF(ISBLANK('Data Entry'!$ę$374), "", 'Data Entry'!$ę$374)</f>
      </c>
      <c r="HJ374">
        <f>IF(ISBLANK('Data Entry'!$Ě$374), "", 'Data Entry'!$Ě$374)</f>
      </c>
      <c r="HK374">
        <f>IF(ISBLANK('Data Entry'!$ě$374), "", 'Data Entry'!$ě$374)</f>
      </c>
      <c r="HL374">
        <f>IF(ISBLANK('Data Entry'!$Ĝ$374), "", 'Data Entry'!$Ĝ$374)</f>
      </c>
      <c r="HM374">
        <f>IF(ISBLANK('Data Entry'!$ĝ$374), "", 'Data Entry'!$ĝ$374)</f>
      </c>
      <c r="HN374">
        <f>IF(ISBLANK('Data Entry'!$Ğ$374), "", 'Data Entry'!$Ğ$374)</f>
      </c>
      <c r="HO374">
        <f>IF(ISBLANK('Data Entry'!$ğ$374), "", 'Data Entry'!$ğ$374)</f>
      </c>
      <c r="HP374">
        <f>IF(ISBLANK('Data Entry'!$Ġ$374), "", 'Data Entry'!$Ġ$374)</f>
      </c>
      <c r="HQ374">
        <f>IF(ISBLANK('Data Entry'!$ġ$374), "", 'Data Entry'!$ġ$374)</f>
      </c>
      <c r="HR374">
        <f>IF(ISBLANK('Data Entry'!$Ģ$374), "", 'Data Entry'!$Ģ$374)</f>
      </c>
      <c r="HS374">
        <f>IF(ISBLANK('Data Entry'!$ģ$374), "", 'Data Entry'!$ģ$374)</f>
      </c>
      <c r="HT374">
        <f>IF(ISBLANK('Data Entry'!$Ĥ$374), "", 'Data Entry'!$Ĥ$374)</f>
      </c>
      <c r="HU374">
        <f>IF(ISBLANK('Data Entry'!$ĥ$374), "", 'Data Entry'!$ĥ$374)</f>
      </c>
      <c r="HV374">
        <f>IF(ISBLANK('Data Entry'!$Ħ$374), "", 'Data Entry'!$Ħ$374)</f>
      </c>
      <c r="HW374">
        <f>IF(ISBLANK('Data Entry'!$ħ$374), "", 'Data Entry'!$ħ$374)</f>
      </c>
      <c r="HX374">
        <f>IF(ISBLANK('Data Entry'!$Ĩ$374), "", 'Data Entry'!$Ĩ$374)</f>
      </c>
      <c r="HY374">
        <f>IF(ISBLANK('Data Entry'!$ĩ$374), "", 'Data Entry'!$ĩ$374)</f>
      </c>
      <c r="HZ374">
        <f>IF(ISBLANK('Data Entry'!$Ī$374), "", 'Data Entry'!$Ī$374)</f>
      </c>
      <c r="IA374">
        <f>IF(ISBLANK('Data Entry'!$ī$374), "", 'Data Entry'!$ī$374)</f>
      </c>
      <c r="IB374">
        <f>IF(ISBLANK('Data Entry'!$Ĭ$374), "", 'Data Entry'!$Ĭ$374)</f>
      </c>
      <c r="IC374">
        <f>IF(ISBLANK('Data Entry'!$ĭ$374), "", 'Data Entry'!$ĭ$374)</f>
      </c>
      <c r="ID374">
        <f>IF(ISBLANK('Data Entry'!$Į$374), "", 'Data Entry'!$Į$374)</f>
      </c>
      <c r="IE374">
        <f>IF(ISBLANK('Data Entry'!$į$374), "", 'Data Entry'!$į$374)</f>
      </c>
      <c r="IF374">
        <f>IF(ISBLANK('Data Entry'!$İ$374), "", 'Data Entry'!$İ$374)</f>
      </c>
      <c r="IG374">
        <f>IF(ISBLANK('Data Entry'!$ı$374), "", 'Data Entry'!$ı$374)</f>
      </c>
      <c r="IH374">
        <f>IF(ISBLANK('Data Entry'!$Ĳ$374), "", 'Data Entry'!$Ĳ$374)</f>
      </c>
      <c r="II374">
        <f>IF(ISBLANK('Data Entry'!$ĳ$374), "", 'Data Entry'!$ĳ$374)</f>
      </c>
      <c r="IJ374">
        <f>IF(ISBLANK('Data Entry'!$Ĵ$374), "", 'Data Entry'!$Ĵ$374)</f>
      </c>
      <c r="IK374">
        <f>IF(ISBLANK('Data Entry'!$ĵ$374), "", 'Data Entry'!$ĵ$374)</f>
      </c>
      <c r="IL374">
        <f>IF(ISBLANK('Data Entry'!$Ķ$374), "", 'Data Entry'!$Ķ$374)</f>
      </c>
      <c r="IM374">
        <f>IF(ISBLANK('Data Entry'!$ķ$374), "", 'Data Entry'!$ķ$374)</f>
      </c>
      <c r="IN374">
        <f>IF(ISBLANK('Data Entry'!$ĸ$374), "", 'Data Entry'!$ĸ$374)</f>
      </c>
      <c r="IO374">
        <f>IF(ISBLANK('Data Entry'!$Ĺ$374), "", 'Data Entry'!$Ĺ$374)</f>
      </c>
      <c r="IP374">
        <f>IF(ISBLANK('Data Entry'!$ĺ$374), "", 'Data Entry'!$ĺ$374)</f>
      </c>
      <c r="IQ374">
        <f>IF(ISBLANK('Data Entry'!$Ļ$374), "", 'Data Entry'!$Ļ$374)</f>
      </c>
      <c r="IR374">
        <f>IF(ISBLANK('Data Entry'!$ļ$374), "", 'Data Entry'!$ļ$374)</f>
      </c>
      <c r="IS374">
        <f>IF(ISBLANK('Data Entry'!$Ľ$374), "", 'Data Entry'!$Ľ$374)</f>
      </c>
      <c r="IT374">
        <f>IF(ISBLANK('Data Entry'!$ľ$374), "", 'Data Entry'!$ľ$374)</f>
      </c>
    </row>
    <row r="375" spans="1:254" x14ac:dyDescent="0.25">
      <c r="A375">
        <f>IF(ISBLANK('Data Entry'!$A$375), "", 'Data Entry'!$A$375)</f>
      </c>
      <c r="B375">
        <f>IF(ISBLANK('Data Entry'!$B$375), "", 'Data Entry'!$B$375)</f>
      </c>
      <c r="C375">
        <f>IF(ISBLANK('Data Entry'!$C$375), "", 'Data Entry'!$C$375)</f>
      </c>
      <c r="D375">
        <f>IF(ISBLANK('Data Entry'!$D$375), "", 'Data Entry'!$D$375)</f>
      </c>
      <c r="E375">
        <f>IF(ISBLANK('Data Entry'!$E$375), "", 'Data Entry'!$E$375)</f>
      </c>
      <c r="F375">
        <f>IF(ISBLANK('Data Entry'!$F$375), "", 'Data Entry'!$F$375)</f>
      </c>
      <c r="G375">
        <f>IF(ISBLANK('Data Entry'!$G$375), "", 'Data Entry'!$G$375)</f>
      </c>
      <c r="H375">
        <f>IF(ISBLANK('Data Entry'!$H$375), "", 'Data Entry'!$H$375)</f>
      </c>
      <c r="I375">
        <f>IF(ISBLANK('Data Entry'!$I$375), "", 'Data Entry'!$I$375)</f>
      </c>
      <c r="J375">
        <f>IF(ISBLANK('Data Entry'!$J$375), "", 'Data Entry'!$J$375)</f>
      </c>
      <c r="K375">
        <f>IF(ISBLANK('Data Entry'!$K$375), "", 'Data Entry'!$K$375)</f>
      </c>
      <c r="L375">
        <f>IF(ISBLANK('Data Entry'!$L$375), "", 'Data Entry'!$L$375)</f>
      </c>
      <c r="M375">
        <f>IF(ISBLANK('Data Entry'!$M$375), "", 'Data Entry'!$M$375)</f>
      </c>
      <c r="N375">
        <f>IF(ISBLANK('Data Entry'!$N$375), "", 'Data Entry'!$N$375)</f>
      </c>
      <c r="O375">
        <f>IF(ISBLANK('Data Entry'!$O$375), "", 'Data Entry'!$O$375)</f>
      </c>
      <c r="P375">
        <f>IF(ISBLANK('Data Entry'!$P$375), "", 'Data Entry'!$P$375)</f>
      </c>
      <c r="Q375">
        <f>IF(ISBLANK('Data Entry'!$Q$375), "", 'Data Entry'!$Q$375)</f>
      </c>
      <c r="R375">
        <f>IF(ISBLANK('Data Entry'!$R$375), "", 'Data Entry'!$R$375)</f>
      </c>
      <c r="S375">
        <f>IF(ISBLANK('Data Entry'!$S$375), "", 'Data Entry'!$S$375)</f>
      </c>
      <c r="T375">
        <f>IF(ISBLANK('Data Entry'!$T$375), "", 'Data Entry'!$T$375)</f>
      </c>
      <c r="U375">
        <f>IF(ISBLANK('Data Entry'!$U$375), "", 'Data Entry'!$U$375)</f>
      </c>
      <c r="V375">
        <f>IF(ISBLANK('Data Entry'!$V$375), "", 'Data Entry'!$V$375)</f>
      </c>
      <c r="W375">
        <f>IF(ISBLANK('Data Entry'!$W$375), "", 'Data Entry'!$W$375)</f>
      </c>
      <c r="X375">
        <f>IF(ISBLANK('Data Entry'!$X$375), "", 'Data Entry'!$X$375)</f>
      </c>
      <c r="Y375">
        <f>IF(ISBLANK('Data Entry'!$Y$375), "", 'Data Entry'!$Y$375)</f>
      </c>
      <c r="Z375">
        <f>IF(ISBLANK('Data Entry'!$Z$375), "", 'Data Entry'!$Z$375)</f>
      </c>
      <c r="AA375">
        <f>IF(ISBLANK('Data Entry'!$[$375), "", 'Data Entry'!$[$375)</f>
      </c>
      <c r="AB375">
        <f>IF(ISBLANK('Data Entry'!$\$375), "", 'Data Entry'!$\$375)</f>
      </c>
      <c r="AC375">
        <f>IF(ISBLANK('Data Entry'!$]$375), "", 'Data Entry'!$]$375)</f>
      </c>
      <c r="AD375">
        <f>IF(ISBLANK('Data Entry'!$^$375), "", 'Data Entry'!$^$375)</f>
      </c>
      <c r="AE375">
        <f>IF(ISBLANK('Data Entry'!$_$375), "", 'Data Entry'!$_$375)</f>
      </c>
      <c r="AF375">
        <f>IF(ISBLANK('Data Entry'!$`$375), "", 'Data Entry'!$`$375)</f>
      </c>
      <c r="AG375">
        <f>IF(ISBLANK('Data Entry'!$a$375), "", 'Data Entry'!$a$375)</f>
      </c>
      <c r="AH375">
        <f>IF(ISBLANK('Data Entry'!$b$375), "", 'Data Entry'!$b$375)</f>
      </c>
      <c r="AI375">
        <f>IF(ISBLANK('Data Entry'!$c$375), "", 'Data Entry'!$c$375)</f>
      </c>
      <c r="AJ375">
        <f>IF(ISBLANK('Data Entry'!$d$375), "", 'Data Entry'!$d$375)</f>
      </c>
      <c r="AK375">
        <f>IF(ISBLANK('Data Entry'!$e$375), "", 'Data Entry'!$e$375)</f>
      </c>
      <c r="AL375">
        <f>IF(ISBLANK('Data Entry'!$f$375), "", 'Data Entry'!$f$375)</f>
      </c>
      <c r="AM375">
        <f>IF(ISBLANK('Data Entry'!$g$375), "", 'Data Entry'!$g$375)</f>
      </c>
      <c r="AN375">
        <f>IF(ISBLANK('Data Entry'!$h$375), "", 'Data Entry'!$h$375)</f>
      </c>
      <c r="AO375">
        <f>IF(ISBLANK('Data Entry'!$i$375), "", 'Data Entry'!$i$375)</f>
      </c>
      <c r="AP375">
        <f>IF(ISBLANK('Data Entry'!$j$375), "", 'Data Entry'!$j$375)</f>
      </c>
      <c r="AQ375">
        <f>IF(ISBLANK('Data Entry'!$k$375), "", 'Data Entry'!$k$375)</f>
      </c>
      <c r="AR375">
        <f>IF(ISBLANK('Data Entry'!$l$375), "", 'Data Entry'!$l$375)</f>
      </c>
      <c r="AS375">
        <f>IF(ISBLANK('Data Entry'!$m$375), "", 'Data Entry'!$m$375)</f>
      </c>
      <c r="AT375">
        <f>IF(ISBLANK('Data Entry'!$n$375), "", 'Data Entry'!$n$375)</f>
      </c>
      <c r="AU375">
        <f>IF(ISBLANK('Data Entry'!$o$375), "", 'Data Entry'!$o$375)</f>
      </c>
      <c r="AV375">
        <f>IF(ISBLANK('Data Entry'!$p$375), "", 'Data Entry'!$p$375)</f>
      </c>
      <c r="AW375">
        <f>IF(ISBLANK('Data Entry'!$q$375), "", 'Data Entry'!$q$375)</f>
      </c>
      <c r="AX375">
        <f>IF(ISBLANK('Data Entry'!$r$375), "", 'Data Entry'!$r$375)</f>
      </c>
      <c r="AY375">
        <f>IF(ISBLANK('Data Entry'!$s$375), "", 'Data Entry'!$s$375)</f>
      </c>
      <c r="AZ375">
        <f>IF(ISBLANK('Data Entry'!$t$375), "", 'Data Entry'!$t$375)</f>
      </c>
      <c r="BA375">
        <f>IF(ISBLANK('Data Entry'!$u$375), "", 'Data Entry'!$u$375)</f>
      </c>
      <c r="BB375">
        <f>IF(ISBLANK('Data Entry'!$v$375), "", 'Data Entry'!$v$375)</f>
      </c>
      <c r="BC375">
        <f>IF(ISBLANK('Data Entry'!$w$375), "", 'Data Entry'!$w$375)</f>
      </c>
      <c r="BD375">
        <f>IF(ISBLANK('Data Entry'!$x$375), "", 'Data Entry'!$x$375)</f>
      </c>
      <c r="BE375">
        <f>IF(ISBLANK('Data Entry'!$y$375), "", 'Data Entry'!$y$375)</f>
      </c>
      <c r="BF375">
        <f>IF(ISBLANK('Data Entry'!$z$375), "", 'Data Entry'!$z$375)</f>
      </c>
      <c r="BG375">
        <f>IF(ISBLANK('Data Entry'!${$375), "", 'Data Entry'!${$375)</f>
      </c>
      <c r="BH375">
        <f>IF(ISBLANK('Data Entry'!$|$375), "", 'Data Entry'!$|$375)</f>
      </c>
      <c r="BI375">
        <f>IF(ISBLANK('Data Entry'!$}$375), "", 'Data Entry'!$}$375)</f>
      </c>
      <c r="BJ375">
        <f>IF(ISBLANK('Data Entry'!$~$375), "", 'Data Entry'!$~$375)</f>
      </c>
      <c r="BK375">
        <f>IF(ISBLANK('Data Entry'!$$375), "", 'Data Entry'!$$375)</f>
      </c>
      <c r="BL375">
        <f>IF(ISBLANK('Data Entry'!$$375), "", 'Data Entry'!$$375)</f>
      </c>
      <c r="BM375">
        <f>IF(ISBLANK('Data Entry'!$$375), "", 'Data Entry'!$$375)</f>
      </c>
      <c r="BN375">
        <f>IF(ISBLANK('Data Entry'!$$375), "", 'Data Entry'!$$375)</f>
      </c>
      <c r="BO375">
        <f>IF(ISBLANK('Data Entry'!$$375), "", 'Data Entry'!$$375)</f>
      </c>
      <c r="BP375">
        <f>IF(ISBLANK('Data Entry'!$$375), "", 'Data Entry'!$$375)</f>
      </c>
      <c r="BQ375">
        <f>IF(ISBLANK('Data Entry'!$$375), "", 'Data Entry'!$$375)</f>
      </c>
      <c r="BR375">
        <f>IF(ISBLANK('Data Entry'!$$375), "", 'Data Entry'!$$375)</f>
      </c>
      <c r="BS375">
        <f>IF(ISBLANK('Data Entry'!$$375), "", 'Data Entry'!$$375)</f>
      </c>
      <c r="BT375">
        <f>IF(ISBLANK('Data Entry'!$$375), "", 'Data Entry'!$$375)</f>
      </c>
      <c r="BU375">
        <f>IF(ISBLANK('Data Entry'!$$375), "", 'Data Entry'!$$375)</f>
      </c>
      <c r="BV375">
        <f>IF(ISBLANK('Data Entry'!$$375), "", 'Data Entry'!$$375)</f>
      </c>
      <c r="BW375">
        <f>IF(ISBLANK('Data Entry'!$$375), "", 'Data Entry'!$$375)</f>
      </c>
      <c r="BX375">
        <f>IF(ISBLANK('Data Entry'!$$375), "", 'Data Entry'!$$375)</f>
      </c>
      <c r="BY375">
        <f>IF(ISBLANK('Data Entry'!$$375), "", 'Data Entry'!$$375)</f>
      </c>
      <c r="BZ375">
        <f>IF(ISBLANK('Data Entry'!$$375), "", 'Data Entry'!$$375)</f>
      </c>
      <c r="CA375">
        <f>IF(ISBLANK('Data Entry'!$$375), "", 'Data Entry'!$$375)</f>
      </c>
      <c r="CB375">
        <f>IF(ISBLANK('Data Entry'!$$375), "", 'Data Entry'!$$375)</f>
      </c>
      <c r="CC375">
        <f>IF(ISBLANK('Data Entry'!$$375), "", 'Data Entry'!$$375)</f>
      </c>
      <c r="CD375">
        <f>IF(ISBLANK('Data Entry'!$$375), "", 'Data Entry'!$$375)</f>
      </c>
      <c r="CE375">
        <f>IF(ISBLANK('Data Entry'!$$375), "", 'Data Entry'!$$375)</f>
      </c>
      <c r="CF375">
        <f>IF(ISBLANK('Data Entry'!$$375), "", 'Data Entry'!$$375)</f>
      </c>
      <c r="CG375">
        <f>IF(ISBLANK('Data Entry'!$$375), "", 'Data Entry'!$$375)</f>
      </c>
      <c r="CH375">
        <f>IF(ISBLANK('Data Entry'!$$375), "", 'Data Entry'!$$375)</f>
      </c>
      <c r="CI375">
        <f>IF(ISBLANK('Data Entry'!$$375), "", 'Data Entry'!$$375)</f>
      </c>
      <c r="CJ375">
        <f>IF(ISBLANK('Data Entry'!$$375), "", 'Data Entry'!$$375)</f>
      </c>
      <c r="CK375">
        <f>IF(ISBLANK('Data Entry'!$$375), "", 'Data Entry'!$$375)</f>
      </c>
      <c r="CL375">
        <f>IF(ISBLANK('Data Entry'!$$375), "", 'Data Entry'!$$375)</f>
      </c>
      <c r="CM375">
        <f>IF(ISBLANK('Data Entry'!$$375), "", 'Data Entry'!$$375)</f>
      </c>
      <c r="CN375">
        <f>IF(ISBLANK('Data Entry'!$$375), "", 'Data Entry'!$$375)</f>
      </c>
      <c r="CO375">
        <f>IF(ISBLANK('Data Entry'!$$375), "", 'Data Entry'!$$375)</f>
      </c>
      <c r="CP375">
        <f>IF(ISBLANK('Data Entry'!$$375), "", 'Data Entry'!$$375)</f>
      </c>
      <c r="CQ375">
        <f>IF(ISBLANK('Data Entry'!$$375), "", 'Data Entry'!$$375)</f>
      </c>
      <c r="CR375">
        <f>IF(ISBLANK('Data Entry'!$ $375), "", 'Data Entry'!$ $375)</f>
      </c>
      <c r="CS375">
        <f>IF(ISBLANK('Data Entry'!$¡$375), "", 'Data Entry'!$¡$375)</f>
      </c>
      <c r="CT375">
        <f>IF(ISBLANK('Data Entry'!$¢$375), "", 'Data Entry'!$¢$375)</f>
      </c>
      <c r="CU375">
        <f>IF(ISBLANK('Data Entry'!$£$375), "", 'Data Entry'!$£$375)</f>
      </c>
      <c r="CV375">
        <f>IF(ISBLANK('Data Entry'!$¤$375), "", 'Data Entry'!$¤$375)</f>
      </c>
      <c r="CW375">
        <f>IF(ISBLANK('Data Entry'!$¥$375), "", 'Data Entry'!$¥$375)</f>
      </c>
      <c r="CX375">
        <f>IF(ISBLANK('Data Entry'!$¦$375), "", 'Data Entry'!$¦$375)</f>
      </c>
      <c r="CY375">
        <f>IF(ISBLANK('Data Entry'!$§$375), "", 'Data Entry'!$§$375)</f>
      </c>
      <c r="CZ375">
        <f>IF(ISBLANK('Data Entry'!$¨$375), "", 'Data Entry'!$¨$375)</f>
      </c>
      <c r="DA375">
        <f>IF(ISBLANK('Data Entry'!$©$375), "", 'Data Entry'!$©$375)</f>
      </c>
      <c r="DB375">
        <f>IF(ISBLANK('Data Entry'!$ª$375), "", 'Data Entry'!$ª$375)</f>
      </c>
      <c r="DC375">
        <f>IF(ISBLANK('Data Entry'!$«$375), "", 'Data Entry'!$«$375)</f>
      </c>
      <c r="DD375">
        <f>IF(ISBLANK('Data Entry'!$¬$375), "", 'Data Entry'!$¬$375)</f>
      </c>
      <c r="DE375">
        <f>IF(ISBLANK('Data Entry'!$­$375), "", 'Data Entry'!$­$375)</f>
      </c>
      <c r="DF375">
        <f>IF(ISBLANK('Data Entry'!$®$375), "", 'Data Entry'!$®$375)</f>
      </c>
      <c r="DG375">
        <f>IF(ISBLANK('Data Entry'!$¯$375), "", 'Data Entry'!$¯$375)</f>
      </c>
      <c r="DH375">
        <f>IF(ISBLANK('Data Entry'!$°$375), "", 'Data Entry'!$°$375)</f>
      </c>
      <c r="DI375">
        <f>IF(ISBLANK('Data Entry'!$±$375), "", 'Data Entry'!$±$375)</f>
      </c>
      <c r="DJ375">
        <f>IF(ISBLANK('Data Entry'!$²$375), "", 'Data Entry'!$²$375)</f>
      </c>
      <c r="DK375">
        <f>IF(ISBLANK('Data Entry'!$³$375), "", 'Data Entry'!$³$375)</f>
      </c>
      <c r="DL375">
        <f>IF(ISBLANK('Data Entry'!$´$375), "", 'Data Entry'!$´$375)</f>
      </c>
      <c r="DM375">
        <f>IF(ISBLANK('Data Entry'!$µ$375), "", 'Data Entry'!$µ$375)</f>
      </c>
      <c r="DN375">
        <f>IF(ISBLANK('Data Entry'!$¶$375), "", 'Data Entry'!$¶$375)</f>
      </c>
      <c r="DO375">
        <f>IF(ISBLANK('Data Entry'!$·$375), "", 'Data Entry'!$·$375)</f>
      </c>
      <c r="DP375">
        <f>IF(ISBLANK('Data Entry'!$¸$375), "", 'Data Entry'!$¸$375)</f>
      </c>
      <c r="DQ375">
        <f>IF(ISBLANK('Data Entry'!$¹$375), "", 'Data Entry'!$¹$375)</f>
      </c>
      <c r="DR375">
        <f>IF(ISBLANK('Data Entry'!$º$375), "", 'Data Entry'!$º$375)</f>
      </c>
      <c r="DS375">
        <f>IF(ISBLANK('Data Entry'!$»$375), "", 'Data Entry'!$»$375)</f>
      </c>
      <c r="DT375">
        <f>IF(ISBLANK('Data Entry'!$¼$375), "", 'Data Entry'!$¼$375)</f>
      </c>
      <c r="DU375">
        <f>IF(ISBLANK('Data Entry'!$½$375), "", 'Data Entry'!$½$375)</f>
      </c>
      <c r="DV375">
        <f>IF(ISBLANK('Data Entry'!$¾$375), "", 'Data Entry'!$¾$375)</f>
      </c>
      <c r="DW375">
        <f>IF(ISBLANK('Data Entry'!$¿$375), "", 'Data Entry'!$¿$375)</f>
      </c>
      <c r="DX375">
        <f>IF(ISBLANK('Data Entry'!$À$375), "", 'Data Entry'!$À$375)</f>
      </c>
      <c r="DY375">
        <f>IF(ISBLANK('Data Entry'!$Á$375), "", 'Data Entry'!$Á$375)</f>
      </c>
      <c r="DZ375">
        <f>IF(ISBLANK('Data Entry'!$Â$375), "", 'Data Entry'!$Â$375)</f>
      </c>
      <c r="EA375">
        <f>IF(ISBLANK('Data Entry'!$Ã$375), "", 'Data Entry'!$Ã$375)</f>
      </c>
      <c r="EB375">
        <f>IF(ISBLANK('Data Entry'!$Ä$375), "", 'Data Entry'!$Ä$375)</f>
      </c>
      <c r="EC375">
        <f>IF(ISBLANK('Data Entry'!$Å$375), "", 'Data Entry'!$Å$375)</f>
      </c>
      <c r="ED375">
        <f>IF(ISBLANK('Data Entry'!$Æ$375), "", 'Data Entry'!$Æ$375)</f>
      </c>
      <c r="EE375">
        <f>IF(ISBLANK('Data Entry'!$Ç$375), "", 'Data Entry'!$Ç$375)</f>
      </c>
      <c r="EF375">
        <f>IF(ISBLANK('Data Entry'!$È$375), "", 'Data Entry'!$È$375)</f>
      </c>
      <c r="EG375">
        <f>IF(ISBLANK('Data Entry'!$É$375), "", 'Data Entry'!$É$375)</f>
      </c>
      <c r="EH375">
        <f>IF(ISBLANK('Data Entry'!$Ê$375), "", 'Data Entry'!$Ê$375)</f>
      </c>
      <c r="EI375">
        <f>IF(ISBLANK('Data Entry'!$Ë$375), "", 'Data Entry'!$Ë$375)</f>
      </c>
      <c r="EJ375">
        <f>IF(ISBLANK('Data Entry'!$Ì$375), "", 'Data Entry'!$Ì$375)</f>
      </c>
      <c r="EK375">
        <f>IF(ISBLANK('Data Entry'!$Í$375), "", 'Data Entry'!$Í$375)</f>
      </c>
      <c r="EL375">
        <f>IF(ISBLANK('Data Entry'!$Î$375), "", 'Data Entry'!$Î$375)</f>
      </c>
      <c r="EM375">
        <f>IF(ISBLANK('Data Entry'!$Ï$375), "", 'Data Entry'!$Ï$375)</f>
      </c>
      <c r="EN375">
        <f>IF(ISBLANK('Data Entry'!$Ð$375), "", 'Data Entry'!$Ð$375)</f>
      </c>
      <c r="EO375">
        <f>IF(ISBLANK('Data Entry'!$Ñ$375), "", 'Data Entry'!$Ñ$375)</f>
      </c>
      <c r="EP375">
        <f>IF(ISBLANK('Data Entry'!$Ò$375), "", 'Data Entry'!$Ò$375)</f>
      </c>
      <c r="EQ375">
        <f>IF(ISBLANK('Data Entry'!$Ó$375), "", 'Data Entry'!$Ó$375)</f>
      </c>
      <c r="ER375">
        <f>IF(ISBLANK('Data Entry'!$Ô$375), "", 'Data Entry'!$Ô$375)</f>
      </c>
      <c r="ES375">
        <f>IF(ISBLANK('Data Entry'!$Õ$375), "", 'Data Entry'!$Õ$375)</f>
      </c>
      <c r="ET375">
        <f>IF(ISBLANK('Data Entry'!$Ö$375), "", 'Data Entry'!$Ö$375)</f>
      </c>
      <c r="EU375">
        <f>IF(ISBLANK('Data Entry'!$×$375), "", 'Data Entry'!$×$375)</f>
      </c>
      <c r="EV375">
        <f>IF(ISBLANK('Data Entry'!$Ø$375), "", 'Data Entry'!$Ø$375)</f>
      </c>
      <c r="EW375">
        <f>IF(ISBLANK('Data Entry'!$Ù$375), "", 'Data Entry'!$Ù$375)</f>
      </c>
      <c r="EX375">
        <f>IF(ISBLANK('Data Entry'!$Ú$375), "", 'Data Entry'!$Ú$375)</f>
      </c>
      <c r="EY375">
        <f>IF(ISBLANK('Data Entry'!$Û$375), "", 'Data Entry'!$Û$375)</f>
      </c>
      <c r="EZ375">
        <f>IF(ISBLANK('Data Entry'!$Ü$375), "", 'Data Entry'!$Ü$375)</f>
      </c>
      <c r="FA375">
        <f>IF(ISBLANK('Data Entry'!$Ý$375), "", 'Data Entry'!$Ý$375)</f>
      </c>
      <c r="FB375">
        <f>IF(ISBLANK('Data Entry'!$Þ$375), "", 'Data Entry'!$Þ$375)</f>
      </c>
      <c r="FC375">
        <f>IF(ISBLANK('Data Entry'!$ß$375), "", 'Data Entry'!$ß$375)</f>
      </c>
      <c r="FD375">
        <f>IF(ISBLANK('Data Entry'!$à$375), "", 'Data Entry'!$à$375)</f>
      </c>
      <c r="FE375">
        <f>IF(ISBLANK('Data Entry'!$á$375), "", 'Data Entry'!$á$375)</f>
      </c>
      <c r="FF375">
        <f>IF(ISBLANK('Data Entry'!$â$375), "", 'Data Entry'!$â$375)</f>
      </c>
      <c r="FG375">
        <f>IF(ISBLANK('Data Entry'!$ã$375), "", 'Data Entry'!$ã$375)</f>
      </c>
      <c r="FH375">
        <f>IF(ISBLANK('Data Entry'!$ä$375), "", 'Data Entry'!$ä$375)</f>
      </c>
      <c r="FI375">
        <f>IF(ISBLANK('Data Entry'!$å$375), "", 'Data Entry'!$å$375)</f>
      </c>
      <c r="FJ375">
        <f>IF(ISBLANK('Data Entry'!$æ$375), "", 'Data Entry'!$æ$375)</f>
      </c>
      <c r="FK375">
        <f>IF(ISBLANK('Data Entry'!$ç$375), "", 'Data Entry'!$ç$375)</f>
      </c>
      <c r="FL375">
        <f>IF(ISBLANK('Data Entry'!$è$375), "", 'Data Entry'!$è$375)</f>
      </c>
      <c r="FM375">
        <f>IF(ISBLANK('Data Entry'!$é$375), "", 'Data Entry'!$é$375)</f>
      </c>
      <c r="FN375">
        <f>IF(ISBLANK('Data Entry'!$ê$375), "", 'Data Entry'!$ê$375)</f>
      </c>
      <c r="FO375">
        <f>IF(ISBLANK('Data Entry'!$ë$375), "", 'Data Entry'!$ë$375)</f>
      </c>
      <c r="FP375">
        <f>IF(ISBLANK('Data Entry'!$ì$375), "", 'Data Entry'!$ì$375)</f>
      </c>
      <c r="FQ375">
        <f>IF(ISBLANK('Data Entry'!$í$375), "", 'Data Entry'!$í$375)</f>
      </c>
      <c r="FR375">
        <f>IF(ISBLANK('Data Entry'!$î$375), "", 'Data Entry'!$î$375)</f>
      </c>
      <c r="FS375">
        <f>IF(ISBLANK('Data Entry'!$ï$375), "", 'Data Entry'!$ï$375)</f>
      </c>
      <c r="FT375">
        <f>IF(ISBLANK('Data Entry'!$ð$375), "", 'Data Entry'!$ð$375)</f>
      </c>
      <c r="FU375">
        <f>IF(ISBLANK('Data Entry'!$ñ$375), "", 'Data Entry'!$ñ$375)</f>
      </c>
      <c r="FV375">
        <f>IF(ISBLANK('Data Entry'!$ò$375), "", 'Data Entry'!$ò$375)</f>
      </c>
      <c r="FW375">
        <f>IF(ISBLANK('Data Entry'!$ó$375), "", 'Data Entry'!$ó$375)</f>
      </c>
      <c r="FX375">
        <f>IF(ISBLANK('Data Entry'!$ô$375), "", 'Data Entry'!$ô$375)</f>
      </c>
      <c r="FY375">
        <f>IF(ISBLANK('Data Entry'!$õ$375), "", 'Data Entry'!$õ$375)</f>
      </c>
      <c r="FZ375">
        <f>IF(ISBLANK('Data Entry'!$ö$375), "", 'Data Entry'!$ö$375)</f>
      </c>
      <c r="GA375">
        <f>IF(ISBLANK('Data Entry'!$÷$375), "", 'Data Entry'!$÷$375)</f>
      </c>
      <c r="GB375">
        <f>IF(ISBLANK('Data Entry'!$ø$375), "", 'Data Entry'!$ø$375)</f>
      </c>
      <c r="GC375">
        <f>IF(ISBLANK('Data Entry'!$ù$375), "", 'Data Entry'!$ù$375)</f>
      </c>
      <c r="GD375">
        <f>IF(ISBLANK('Data Entry'!$ú$375), "", 'Data Entry'!$ú$375)</f>
      </c>
      <c r="GE375">
        <f>IF(ISBLANK('Data Entry'!$û$375), "", 'Data Entry'!$û$375)</f>
      </c>
      <c r="GF375">
        <f>IF(ISBLANK('Data Entry'!$ü$375), "", 'Data Entry'!$ü$375)</f>
      </c>
      <c r="GG375">
        <f>IF(ISBLANK('Data Entry'!$ý$375), "", 'Data Entry'!$ý$375)</f>
      </c>
      <c r="GH375">
        <f>IF(ISBLANK('Data Entry'!$þ$375), "", 'Data Entry'!$þ$375)</f>
      </c>
      <c r="GI375">
        <f>IF(ISBLANK('Data Entry'!$ÿ$375), "", 'Data Entry'!$ÿ$375)</f>
      </c>
      <c r="GJ375">
        <f>IF(ISBLANK('Data Entry'!$Ā$375), "", 'Data Entry'!$Ā$375)</f>
      </c>
      <c r="GK375">
        <f>IF(ISBLANK('Data Entry'!$ā$375), "", 'Data Entry'!$ā$375)</f>
      </c>
      <c r="GL375">
        <f>IF(ISBLANK('Data Entry'!$Ă$375), "", 'Data Entry'!$Ă$375)</f>
      </c>
      <c r="GM375">
        <f>IF(ISBLANK('Data Entry'!$ă$375), "", 'Data Entry'!$ă$375)</f>
      </c>
      <c r="GN375">
        <f>IF(ISBLANK('Data Entry'!$Ą$375), "", 'Data Entry'!$Ą$375)</f>
      </c>
      <c r="GO375">
        <f>IF(ISBLANK('Data Entry'!$ą$375), "", 'Data Entry'!$ą$375)</f>
      </c>
      <c r="GP375">
        <f>IF(ISBLANK('Data Entry'!$Ć$375), "", 'Data Entry'!$Ć$375)</f>
      </c>
      <c r="GQ375">
        <f>IF(ISBLANK('Data Entry'!$ć$375), "", 'Data Entry'!$ć$375)</f>
      </c>
      <c r="GR375">
        <f>IF(ISBLANK('Data Entry'!$Ĉ$375), "", 'Data Entry'!$Ĉ$375)</f>
      </c>
      <c r="GS375">
        <f>IF(ISBLANK('Data Entry'!$ĉ$375), "", 'Data Entry'!$ĉ$375)</f>
      </c>
      <c r="GT375">
        <f>IF(ISBLANK('Data Entry'!$Ċ$375), "", 'Data Entry'!$Ċ$375)</f>
      </c>
      <c r="GU375">
        <f>IF(ISBLANK('Data Entry'!$ċ$375), "", 'Data Entry'!$ċ$375)</f>
      </c>
      <c r="GV375">
        <f>IF(ISBLANK('Data Entry'!$Č$375), "", 'Data Entry'!$Č$375)</f>
      </c>
      <c r="GW375">
        <f>IF(ISBLANK('Data Entry'!$č$375), "", 'Data Entry'!$č$375)</f>
      </c>
      <c r="GX375">
        <f>IF(ISBLANK('Data Entry'!$Ď$375), "", 'Data Entry'!$Ď$375)</f>
      </c>
      <c r="GY375">
        <f>IF(ISBLANK('Data Entry'!$ď$375), "", 'Data Entry'!$ď$375)</f>
      </c>
      <c r="GZ375">
        <f>IF(ISBLANK('Data Entry'!$Đ$375), "", 'Data Entry'!$Đ$375)</f>
      </c>
      <c r="HA375">
        <f>IF(ISBLANK('Data Entry'!$đ$375), "", 'Data Entry'!$đ$375)</f>
      </c>
      <c r="HB375">
        <f>IF(ISBLANK('Data Entry'!$Ē$375), "", 'Data Entry'!$Ē$375)</f>
      </c>
      <c r="HC375">
        <f>IF(ISBLANK('Data Entry'!$ē$375), "", 'Data Entry'!$ē$375)</f>
      </c>
      <c r="HD375">
        <f>IF(ISBLANK('Data Entry'!$Ĕ$375), "", 'Data Entry'!$Ĕ$375)</f>
      </c>
      <c r="HE375">
        <f>IF(ISBLANK('Data Entry'!$ĕ$375), "", 'Data Entry'!$ĕ$375)</f>
      </c>
      <c r="HF375">
        <f>IF(ISBLANK('Data Entry'!$Ė$375), "", 'Data Entry'!$Ė$375)</f>
      </c>
      <c r="HG375">
        <f>IF(ISBLANK('Data Entry'!$ė$375), "", 'Data Entry'!$ė$375)</f>
      </c>
      <c r="HH375">
        <f>IF(ISBLANK('Data Entry'!$Ę$375), "", 'Data Entry'!$Ę$375)</f>
      </c>
      <c r="HI375">
        <f>IF(ISBLANK('Data Entry'!$ę$375), "", 'Data Entry'!$ę$375)</f>
      </c>
      <c r="HJ375">
        <f>IF(ISBLANK('Data Entry'!$Ě$375), "", 'Data Entry'!$Ě$375)</f>
      </c>
      <c r="HK375">
        <f>IF(ISBLANK('Data Entry'!$ě$375), "", 'Data Entry'!$ě$375)</f>
      </c>
      <c r="HL375">
        <f>IF(ISBLANK('Data Entry'!$Ĝ$375), "", 'Data Entry'!$Ĝ$375)</f>
      </c>
      <c r="HM375">
        <f>IF(ISBLANK('Data Entry'!$ĝ$375), "", 'Data Entry'!$ĝ$375)</f>
      </c>
      <c r="HN375">
        <f>IF(ISBLANK('Data Entry'!$Ğ$375), "", 'Data Entry'!$Ğ$375)</f>
      </c>
      <c r="HO375">
        <f>IF(ISBLANK('Data Entry'!$ğ$375), "", 'Data Entry'!$ğ$375)</f>
      </c>
      <c r="HP375">
        <f>IF(ISBLANK('Data Entry'!$Ġ$375), "", 'Data Entry'!$Ġ$375)</f>
      </c>
      <c r="HQ375">
        <f>IF(ISBLANK('Data Entry'!$ġ$375), "", 'Data Entry'!$ġ$375)</f>
      </c>
      <c r="HR375">
        <f>IF(ISBLANK('Data Entry'!$Ģ$375), "", 'Data Entry'!$Ģ$375)</f>
      </c>
      <c r="HS375">
        <f>IF(ISBLANK('Data Entry'!$ģ$375), "", 'Data Entry'!$ģ$375)</f>
      </c>
      <c r="HT375">
        <f>IF(ISBLANK('Data Entry'!$Ĥ$375), "", 'Data Entry'!$Ĥ$375)</f>
      </c>
      <c r="HU375">
        <f>IF(ISBLANK('Data Entry'!$ĥ$375), "", 'Data Entry'!$ĥ$375)</f>
      </c>
      <c r="HV375">
        <f>IF(ISBLANK('Data Entry'!$Ħ$375), "", 'Data Entry'!$Ħ$375)</f>
      </c>
      <c r="HW375">
        <f>IF(ISBLANK('Data Entry'!$ħ$375), "", 'Data Entry'!$ħ$375)</f>
      </c>
      <c r="HX375">
        <f>IF(ISBLANK('Data Entry'!$Ĩ$375), "", 'Data Entry'!$Ĩ$375)</f>
      </c>
      <c r="HY375">
        <f>IF(ISBLANK('Data Entry'!$ĩ$375), "", 'Data Entry'!$ĩ$375)</f>
      </c>
      <c r="HZ375">
        <f>IF(ISBLANK('Data Entry'!$Ī$375), "", 'Data Entry'!$Ī$375)</f>
      </c>
      <c r="IA375">
        <f>IF(ISBLANK('Data Entry'!$ī$375), "", 'Data Entry'!$ī$375)</f>
      </c>
      <c r="IB375">
        <f>IF(ISBLANK('Data Entry'!$Ĭ$375), "", 'Data Entry'!$Ĭ$375)</f>
      </c>
      <c r="IC375">
        <f>IF(ISBLANK('Data Entry'!$ĭ$375), "", 'Data Entry'!$ĭ$375)</f>
      </c>
      <c r="ID375">
        <f>IF(ISBLANK('Data Entry'!$Į$375), "", 'Data Entry'!$Į$375)</f>
      </c>
      <c r="IE375">
        <f>IF(ISBLANK('Data Entry'!$į$375), "", 'Data Entry'!$į$375)</f>
      </c>
      <c r="IF375">
        <f>IF(ISBLANK('Data Entry'!$İ$375), "", 'Data Entry'!$İ$375)</f>
      </c>
      <c r="IG375">
        <f>IF(ISBLANK('Data Entry'!$ı$375), "", 'Data Entry'!$ı$375)</f>
      </c>
      <c r="IH375">
        <f>IF(ISBLANK('Data Entry'!$Ĳ$375), "", 'Data Entry'!$Ĳ$375)</f>
      </c>
      <c r="II375">
        <f>IF(ISBLANK('Data Entry'!$ĳ$375), "", 'Data Entry'!$ĳ$375)</f>
      </c>
      <c r="IJ375">
        <f>IF(ISBLANK('Data Entry'!$Ĵ$375), "", 'Data Entry'!$Ĵ$375)</f>
      </c>
      <c r="IK375">
        <f>IF(ISBLANK('Data Entry'!$ĵ$375), "", 'Data Entry'!$ĵ$375)</f>
      </c>
      <c r="IL375">
        <f>IF(ISBLANK('Data Entry'!$Ķ$375), "", 'Data Entry'!$Ķ$375)</f>
      </c>
      <c r="IM375">
        <f>IF(ISBLANK('Data Entry'!$ķ$375), "", 'Data Entry'!$ķ$375)</f>
      </c>
      <c r="IN375">
        <f>IF(ISBLANK('Data Entry'!$ĸ$375), "", 'Data Entry'!$ĸ$375)</f>
      </c>
      <c r="IO375">
        <f>IF(ISBLANK('Data Entry'!$Ĺ$375), "", 'Data Entry'!$Ĺ$375)</f>
      </c>
      <c r="IP375">
        <f>IF(ISBLANK('Data Entry'!$ĺ$375), "", 'Data Entry'!$ĺ$375)</f>
      </c>
      <c r="IQ375">
        <f>IF(ISBLANK('Data Entry'!$Ļ$375), "", 'Data Entry'!$Ļ$375)</f>
      </c>
      <c r="IR375">
        <f>IF(ISBLANK('Data Entry'!$ļ$375), "", 'Data Entry'!$ļ$375)</f>
      </c>
      <c r="IS375">
        <f>IF(ISBLANK('Data Entry'!$Ľ$375), "", 'Data Entry'!$Ľ$375)</f>
      </c>
      <c r="IT375">
        <f>IF(ISBLANK('Data Entry'!$ľ$375), "", 'Data Entry'!$ľ$375)</f>
      </c>
    </row>
    <row r="376" spans="1:254" x14ac:dyDescent="0.25">
      <c r="A376">
        <f>IF(ISBLANK('Data Entry'!$A$376), "", 'Data Entry'!$A$376)</f>
      </c>
      <c r="B376">
        <f>IF(ISBLANK('Data Entry'!$B$376), "", 'Data Entry'!$B$376)</f>
      </c>
      <c r="C376">
        <f>IF(ISBLANK('Data Entry'!$C$376), "", 'Data Entry'!$C$376)</f>
      </c>
      <c r="D376">
        <f>IF(ISBLANK('Data Entry'!$D$376), "", 'Data Entry'!$D$376)</f>
      </c>
      <c r="E376">
        <f>IF(ISBLANK('Data Entry'!$E$376), "", 'Data Entry'!$E$376)</f>
      </c>
      <c r="F376">
        <f>IF(ISBLANK('Data Entry'!$F$376), "", 'Data Entry'!$F$376)</f>
      </c>
      <c r="G376">
        <f>IF(ISBLANK('Data Entry'!$G$376), "", 'Data Entry'!$G$376)</f>
      </c>
      <c r="H376">
        <f>IF(ISBLANK('Data Entry'!$H$376), "", 'Data Entry'!$H$376)</f>
      </c>
      <c r="I376">
        <f>IF(ISBLANK('Data Entry'!$I$376), "", 'Data Entry'!$I$376)</f>
      </c>
      <c r="J376">
        <f>IF(ISBLANK('Data Entry'!$J$376), "", 'Data Entry'!$J$376)</f>
      </c>
      <c r="K376">
        <f>IF(ISBLANK('Data Entry'!$K$376), "", 'Data Entry'!$K$376)</f>
      </c>
      <c r="L376">
        <f>IF(ISBLANK('Data Entry'!$L$376), "", 'Data Entry'!$L$376)</f>
      </c>
      <c r="M376">
        <f>IF(ISBLANK('Data Entry'!$M$376), "", 'Data Entry'!$M$376)</f>
      </c>
      <c r="N376">
        <f>IF(ISBLANK('Data Entry'!$N$376), "", 'Data Entry'!$N$376)</f>
      </c>
      <c r="O376">
        <f>IF(ISBLANK('Data Entry'!$O$376), "", 'Data Entry'!$O$376)</f>
      </c>
      <c r="P376">
        <f>IF(ISBLANK('Data Entry'!$P$376), "", 'Data Entry'!$P$376)</f>
      </c>
      <c r="Q376">
        <f>IF(ISBLANK('Data Entry'!$Q$376), "", 'Data Entry'!$Q$376)</f>
      </c>
      <c r="R376">
        <f>IF(ISBLANK('Data Entry'!$R$376), "", 'Data Entry'!$R$376)</f>
      </c>
      <c r="S376">
        <f>IF(ISBLANK('Data Entry'!$S$376), "", 'Data Entry'!$S$376)</f>
      </c>
      <c r="T376">
        <f>IF(ISBLANK('Data Entry'!$T$376), "", 'Data Entry'!$T$376)</f>
      </c>
      <c r="U376">
        <f>IF(ISBLANK('Data Entry'!$U$376), "", 'Data Entry'!$U$376)</f>
      </c>
      <c r="V376">
        <f>IF(ISBLANK('Data Entry'!$V$376), "", 'Data Entry'!$V$376)</f>
      </c>
      <c r="W376">
        <f>IF(ISBLANK('Data Entry'!$W$376), "", 'Data Entry'!$W$376)</f>
      </c>
      <c r="X376">
        <f>IF(ISBLANK('Data Entry'!$X$376), "", 'Data Entry'!$X$376)</f>
      </c>
      <c r="Y376">
        <f>IF(ISBLANK('Data Entry'!$Y$376), "", 'Data Entry'!$Y$376)</f>
      </c>
      <c r="Z376">
        <f>IF(ISBLANK('Data Entry'!$Z$376), "", 'Data Entry'!$Z$376)</f>
      </c>
      <c r="AA376">
        <f>IF(ISBLANK('Data Entry'!$[$376), "", 'Data Entry'!$[$376)</f>
      </c>
      <c r="AB376">
        <f>IF(ISBLANK('Data Entry'!$\$376), "", 'Data Entry'!$\$376)</f>
      </c>
      <c r="AC376">
        <f>IF(ISBLANK('Data Entry'!$]$376), "", 'Data Entry'!$]$376)</f>
      </c>
      <c r="AD376">
        <f>IF(ISBLANK('Data Entry'!$^$376), "", 'Data Entry'!$^$376)</f>
      </c>
      <c r="AE376">
        <f>IF(ISBLANK('Data Entry'!$_$376), "", 'Data Entry'!$_$376)</f>
      </c>
      <c r="AF376">
        <f>IF(ISBLANK('Data Entry'!$`$376), "", 'Data Entry'!$`$376)</f>
      </c>
      <c r="AG376">
        <f>IF(ISBLANK('Data Entry'!$a$376), "", 'Data Entry'!$a$376)</f>
      </c>
      <c r="AH376">
        <f>IF(ISBLANK('Data Entry'!$b$376), "", 'Data Entry'!$b$376)</f>
      </c>
      <c r="AI376">
        <f>IF(ISBLANK('Data Entry'!$c$376), "", 'Data Entry'!$c$376)</f>
      </c>
      <c r="AJ376">
        <f>IF(ISBLANK('Data Entry'!$d$376), "", 'Data Entry'!$d$376)</f>
      </c>
      <c r="AK376">
        <f>IF(ISBLANK('Data Entry'!$e$376), "", 'Data Entry'!$e$376)</f>
      </c>
      <c r="AL376">
        <f>IF(ISBLANK('Data Entry'!$f$376), "", 'Data Entry'!$f$376)</f>
      </c>
      <c r="AM376">
        <f>IF(ISBLANK('Data Entry'!$g$376), "", 'Data Entry'!$g$376)</f>
      </c>
      <c r="AN376">
        <f>IF(ISBLANK('Data Entry'!$h$376), "", 'Data Entry'!$h$376)</f>
      </c>
      <c r="AO376">
        <f>IF(ISBLANK('Data Entry'!$i$376), "", 'Data Entry'!$i$376)</f>
      </c>
      <c r="AP376">
        <f>IF(ISBLANK('Data Entry'!$j$376), "", 'Data Entry'!$j$376)</f>
      </c>
      <c r="AQ376">
        <f>IF(ISBLANK('Data Entry'!$k$376), "", 'Data Entry'!$k$376)</f>
      </c>
      <c r="AR376">
        <f>IF(ISBLANK('Data Entry'!$l$376), "", 'Data Entry'!$l$376)</f>
      </c>
      <c r="AS376">
        <f>IF(ISBLANK('Data Entry'!$m$376), "", 'Data Entry'!$m$376)</f>
      </c>
      <c r="AT376">
        <f>IF(ISBLANK('Data Entry'!$n$376), "", 'Data Entry'!$n$376)</f>
      </c>
      <c r="AU376">
        <f>IF(ISBLANK('Data Entry'!$o$376), "", 'Data Entry'!$o$376)</f>
      </c>
      <c r="AV376">
        <f>IF(ISBLANK('Data Entry'!$p$376), "", 'Data Entry'!$p$376)</f>
      </c>
      <c r="AW376">
        <f>IF(ISBLANK('Data Entry'!$q$376), "", 'Data Entry'!$q$376)</f>
      </c>
      <c r="AX376">
        <f>IF(ISBLANK('Data Entry'!$r$376), "", 'Data Entry'!$r$376)</f>
      </c>
      <c r="AY376">
        <f>IF(ISBLANK('Data Entry'!$s$376), "", 'Data Entry'!$s$376)</f>
      </c>
      <c r="AZ376">
        <f>IF(ISBLANK('Data Entry'!$t$376), "", 'Data Entry'!$t$376)</f>
      </c>
      <c r="BA376">
        <f>IF(ISBLANK('Data Entry'!$u$376), "", 'Data Entry'!$u$376)</f>
      </c>
      <c r="BB376">
        <f>IF(ISBLANK('Data Entry'!$v$376), "", 'Data Entry'!$v$376)</f>
      </c>
      <c r="BC376">
        <f>IF(ISBLANK('Data Entry'!$w$376), "", 'Data Entry'!$w$376)</f>
      </c>
      <c r="BD376">
        <f>IF(ISBLANK('Data Entry'!$x$376), "", 'Data Entry'!$x$376)</f>
      </c>
      <c r="BE376">
        <f>IF(ISBLANK('Data Entry'!$y$376), "", 'Data Entry'!$y$376)</f>
      </c>
      <c r="BF376">
        <f>IF(ISBLANK('Data Entry'!$z$376), "", 'Data Entry'!$z$376)</f>
      </c>
      <c r="BG376">
        <f>IF(ISBLANK('Data Entry'!${$376), "", 'Data Entry'!${$376)</f>
      </c>
      <c r="BH376">
        <f>IF(ISBLANK('Data Entry'!$|$376), "", 'Data Entry'!$|$376)</f>
      </c>
      <c r="BI376">
        <f>IF(ISBLANK('Data Entry'!$}$376), "", 'Data Entry'!$}$376)</f>
      </c>
      <c r="BJ376">
        <f>IF(ISBLANK('Data Entry'!$~$376), "", 'Data Entry'!$~$376)</f>
      </c>
      <c r="BK376">
        <f>IF(ISBLANK('Data Entry'!$$376), "", 'Data Entry'!$$376)</f>
      </c>
      <c r="BL376">
        <f>IF(ISBLANK('Data Entry'!$$376), "", 'Data Entry'!$$376)</f>
      </c>
      <c r="BM376">
        <f>IF(ISBLANK('Data Entry'!$$376), "", 'Data Entry'!$$376)</f>
      </c>
      <c r="BN376">
        <f>IF(ISBLANK('Data Entry'!$$376), "", 'Data Entry'!$$376)</f>
      </c>
      <c r="BO376">
        <f>IF(ISBLANK('Data Entry'!$$376), "", 'Data Entry'!$$376)</f>
      </c>
      <c r="BP376">
        <f>IF(ISBLANK('Data Entry'!$$376), "", 'Data Entry'!$$376)</f>
      </c>
      <c r="BQ376">
        <f>IF(ISBLANK('Data Entry'!$$376), "", 'Data Entry'!$$376)</f>
      </c>
      <c r="BR376">
        <f>IF(ISBLANK('Data Entry'!$$376), "", 'Data Entry'!$$376)</f>
      </c>
      <c r="BS376">
        <f>IF(ISBLANK('Data Entry'!$$376), "", 'Data Entry'!$$376)</f>
      </c>
      <c r="BT376">
        <f>IF(ISBLANK('Data Entry'!$$376), "", 'Data Entry'!$$376)</f>
      </c>
      <c r="BU376">
        <f>IF(ISBLANK('Data Entry'!$$376), "", 'Data Entry'!$$376)</f>
      </c>
      <c r="BV376">
        <f>IF(ISBLANK('Data Entry'!$$376), "", 'Data Entry'!$$376)</f>
      </c>
      <c r="BW376">
        <f>IF(ISBLANK('Data Entry'!$$376), "", 'Data Entry'!$$376)</f>
      </c>
      <c r="BX376">
        <f>IF(ISBLANK('Data Entry'!$$376), "", 'Data Entry'!$$376)</f>
      </c>
      <c r="BY376">
        <f>IF(ISBLANK('Data Entry'!$$376), "", 'Data Entry'!$$376)</f>
      </c>
      <c r="BZ376">
        <f>IF(ISBLANK('Data Entry'!$$376), "", 'Data Entry'!$$376)</f>
      </c>
      <c r="CA376">
        <f>IF(ISBLANK('Data Entry'!$$376), "", 'Data Entry'!$$376)</f>
      </c>
      <c r="CB376">
        <f>IF(ISBLANK('Data Entry'!$$376), "", 'Data Entry'!$$376)</f>
      </c>
      <c r="CC376">
        <f>IF(ISBLANK('Data Entry'!$$376), "", 'Data Entry'!$$376)</f>
      </c>
      <c r="CD376">
        <f>IF(ISBLANK('Data Entry'!$$376), "", 'Data Entry'!$$376)</f>
      </c>
      <c r="CE376">
        <f>IF(ISBLANK('Data Entry'!$$376), "", 'Data Entry'!$$376)</f>
      </c>
      <c r="CF376">
        <f>IF(ISBLANK('Data Entry'!$$376), "", 'Data Entry'!$$376)</f>
      </c>
      <c r="CG376">
        <f>IF(ISBLANK('Data Entry'!$$376), "", 'Data Entry'!$$376)</f>
      </c>
      <c r="CH376">
        <f>IF(ISBLANK('Data Entry'!$$376), "", 'Data Entry'!$$376)</f>
      </c>
      <c r="CI376">
        <f>IF(ISBLANK('Data Entry'!$$376), "", 'Data Entry'!$$376)</f>
      </c>
      <c r="CJ376">
        <f>IF(ISBLANK('Data Entry'!$$376), "", 'Data Entry'!$$376)</f>
      </c>
      <c r="CK376">
        <f>IF(ISBLANK('Data Entry'!$$376), "", 'Data Entry'!$$376)</f>
      </c>
      <c r="CL376">
        <f>IF(ISBLANK('Data Entry'!$$376), "", 'Data Entry'!$$376)</f>
      </c>
      <c r="CM376">
        <f>IF(ISBLANK('Data Entry'!$$376), "", 'Data Entry'!$$376)</f>
      </c>
      <c r="CN376">
        <f>IF(ISBLANK('Data Entry'!$$376), "", 'Data Entry'!$$376)</f>
      </c>
      <c r="CO376">
        <f>IF(ISBLANK('Data Entry'!$$376), "", 'Data Entry'!$$376)</f>
      </c>
      <c r="CP376">
        <f>IF(ISBLANK('Data Entry'!$$376), "", 'Data Entry'!$$376)</f>
      </c>
      <c r="CQ376">
        <f>IF(ISBLANK('Data Entry'!$$376), "", 'Data Entry'!$$376)</f>
      </c>
      <c r="CR376">
        <f>IF(ISBLANK('Data Entry'!$ $376), "", 'Data Entry'!$ $376)</f>
      </c>
      <c r="CS376">
        <f>IF(ISBLANK('Data Entry'!$¡$376), "", 'Data Entry'!$¡$376)</f>
      </c>
      <c r="CT376">
        <f>IF(ISBLANK('Data Entry'!$¢$376), "", 'Data Entry'!$¢$376)</f>
      </c>
      <c r="CU376">
        <f>IF(ISBLANK('Data Entry'!$£$376), "", 'Data Entry'!$£$376)</f>
      </c>
      <c r="CV376">
        <f>IF(ISBLANK('Data Entry'!$¤$376), "", 'Data Entry'!$¤$376)</f>
      </c>
      <c r="CW376">
        <f>IF(ISBLANK('Data Entry'!$¥$376), "", 'Data Entry'!$¥$376)</f>
      </c>
      <c r="CX376">
        <f>IF(ISBLANK('Data Entry'!$¦$376), "", 'Data Entry'!$¦$376)</f>
      </c>
      <c r="CY376">
        <f>IF(ISBLANK('Data Entry'!$§$376), "", 'Data Entry'!$§$376)</f>
      </c>
      <c r="CZ376">
        <f>IF(ISBLANK('Data Entry'!$¨$376), "", 'Data Entry'!$¨$376)</f>
      </c>
      <c r="DA376">
        <f>IF(ISBLANK('Data Entry'!$©$376), "", 'Data Entry'!$©$376)</f>
      </c>
      <c r="DB376">
        <f>IF(ISBLANK('Data Entry'!$ª$376), "", 'Data Entry'!$ª$376)</f>
      </c>
      <c r="DC376">
        <f>IF(ISBLANK('Data Entry'!$«$376), "", 'Data Entry'!$«$376)</f>
      </c>
      <c r="DD376">
        <f>IF(ISBLANK('Data Entry'!$¬$376), "", 'Data Entry'!$¬$376)</f>
      </c>
      <c r="DE376">
        <f>IF(ISBLANK('Data Entry'!$­$376), "", 'Data Entry'!$­$376)</f>
      </c>
      <c r="DF376">
        <f>IF(ISBLANK('Data Entry'!$®$376), "", 'Data Entry'!$®$376)</f>
      </c>
      <c r="DG376">
        <f>IF(ISBLANK('Data Entry'!$¯$376), "", 'Data Entry'!$¯$376)</f>
      </c>
      <c r="DH376">
        <f>IF(ISBLANK('Data Entry'!$°$376), "", 'Data Entry'!$°$376)</f>
      </c>
      <c r="DI376">
        <f>IF(ISBLANK('Data Entry'!$±$376), "", 'Data Entry'!$±$376)</f>
      </c>
      <c r="DJ376">
        <f>IF(ISBLANK('Data Entry'!$²$376), "", 'Data Entry'!$²$376)</f>
      </c>
      <c r="DK376">
        <f>IF(ISBLANK('Data Entry'!$³$376), "", 'Data Entry'!$³$376)</f>
      </c>
      <c r="DL376">
        <f>IF(ISBLANK('Data Entry'!$´$376), "", 'Data Entry'!$´$376)</f>
      </c>
      <c r="DM376">
        <f>IF(ISBLANK('Data Entry'!$µ$376), "", 'Data Entry'!$µ$376)</f>
      </c>
      <c r="DN376">
        <f>IF(ISBLANK('Data Entry'!$¶$376), "", 'Data Entry'!$¶$376)</f>
      </c>
      <c r="DO376">
        <f>IF(ISBLANK('Data Entry'!$·$376), "", 'Data Entry'!$·$376)</f>
      </c>
      <c r="DP376">
        <f>IF(ISBLANK('Data Entry'!$¸$376), "", 'Data Entry'!$¸$376)</f>
      </c>
      <c r="DQ376">
        <f>IF(ISBLANK('Data Entry'!$¹$376), "", 'Data Entry'!$¹$376)</f>
      </c>
      <c r="DR376">
        <f>IF(ISBLANK('Data Entry'!$º$376), "", 'Data Entry'!$º$376)</f>
      </c>
      <c r="DS376">
        <f>IF(ISBLANK('Data Entry'!$»$376), "", 'Data Entry'!$»$376)</f>
      </c>
      <c r="DT376">
        <f>IF(ISBLANK('Data Entry'!$¼$376), "", 'Data Entry'!$¼$376)</f>
      </c>
      <c r="DU376">
        <f>IF(ISBLANK('Data Entry'!$½$376), "", 'Data Entry'!$½$376)</f>
      </c>
      <c r="DV376">
        <f>IF(ISBLANK('Data Entry'!$¾$376), "", 'Data Entry'!$¾$376)</f>
      </c>
      <c r="DW376">
        <f>IF(ISBLANK('Data Entry'!$¿$376), "", 'Data Entry'!$¿$376)</f>
      </c>
      <c r="DX376">
        <f>IF(ISBLANK('Data Entry'!$À$376), "", 'Data Entry'!$À$376)</f>
      </c>
      <c r="DY376">
        <f>IF(ISBLANK('Data Entry'!$Á$376), "", 'Data Entry'!$Á$376)</f>
      </c>
      <c r="DZ376">
        <f>IF(ISBLANK('Data Entry'!$Â$376), "", 'Data Entry'!$Â$376)</f>
      </c>
      <c r="EA376">
        <f>IF(ISBLANK('Data Entry'!$Ã$376), "", 'Data Entry'!$Ã$376)</f>
      </c>
      <c r="EB376">
        <f>IF(ISBLANK('Data Entry'!$Ä$376), "", 'Data Entry'!$Ä$376)</f>
      </c>
      <c r="EC376">
        <f>IF(ISBLANK('Data Entry'!$Å$376), "", 'Data Entry'!$Å$376)</f>
      </c>
      <c r="ED376">
        <f>IF(ISBLANK('Data Entry'!$Æ$376), "", 'Data Entry'!$Æ$376)</f>
      </c>
      <c r="EE376">
        <f>IF(ISBLANK('Data Entry'!$Ç$376), "", 'Data Entry'!$Ç$376)</f>
      </c>
      <c r="EF376">
        <f>IF(ISBLANK('Data Entry'!$È$376), "", 'Data Entry'!$È$376)</f>
      </c>
      <c r="EG376">
        <f>IF(ISBLANK('Data Entry'!$É$376), "", 'Data Entry'!$É$376)</f>
      </c>
      <c r="EH376">
        <f>IF(ISBLANK('Data Entry'!$Ê$376), "", 'Data Entry'!$Ê$376)</f>
      </c>
      <c r="EI376">
        <f>IF(ISBLANK('Data Entry'!$Ë$376), "", 'Data Entry'!$Ë$376)</f>
      </c>
      <c r="EJ376">
        <f>IF(ISBLANK('Data Entry'!$Ì$376), "", 'Data Entry'!$Ì$376)</f>
      </c>
      <c r="EK376">
        <f>IF(ISBLANK('Data Entry'!$Í$376), "", 'Data Entry'!$Í$376)</f>
      </c>
      <c r="EL376">
        <f>IF(ISBLANK('Data Entry'!$Î$376), "", 'Data Entry'!$Î$376)</f>
      </c>
      <c r="EM376">
        <f>IF(ISBLANK('Data Entry'!$Ï$376), "", 'Data Entry'!$Ï$376)</f>
      </c>
      <c r="EN376">
        <f>IF(ISBLANK('Data Entry'!$Ð$376), "", 'Data Entry'!$Ð$376)</f>
      </c>
      <c r="EO376">
        <f>IF(ISBLANK('Data Entry'!$Ñ$376), "", 'Data Entry'!$Ñ$376)</f>
      </c>
      <c r="EP376">
        <f>IF(ISBLANK('Data Entry'!$Ò$376), "", 'Data Entry'!$Ò$376)</f>
      </c>
      <c r="EQ376">
        <f>IF(ISBLANK('Data Entry'!$Ó$376), "", 'Data Entry'!$Ó$376)</f>
      </c>
      <c r="ER376">
        <f>IF(ISBLANK('Data Entry'!$Ô$376), "", 'Data Entry'!$Ô$376)</f>
      </c>
      <c r="ES376">
        <f>IF(ISBLANK('Data Entry'!$Õ$376), "", 'Data Entry'!$Õ$376)</f>
      </c>
      <c r="ET376">
        <f>IF(ISBLANK('Data Entry'!$Ö$376), "", 'Data Entry'!$Ö$376)</f>
      </c>
      <c r="EU376">
        <f>IF(ISBLANK('Data Entry'!$×$376), "", 'Data Entry'!$×$376)</f>
      </c>
      <c r="EV376">
        <f>IF(ISBLANK('Data Entry'!$Ø$376), "", 'Data Entry'!$Ø$376)</f>
      </c>
      <c r="EW376">
        <f>IF(ISBLANK('Data Entry'!$Ù$376), "", 'Data Entry'!$Ù$376)</f>
      </c>
      <c r="EX376">
        <f>IF(ISBLANK('Data Entry'!$Ú$376), "", 'Data Entry'!$Ú$376)</f>
      </c>
      <c r="EY376">
        <f>IF(ISBLANK('Data Entry'!$Û$376), "", 'Data Entry'!$Û$376)</f>
      </c>
      <c r="EZ376">
        <f>IF(ISBLANK('Data Entry'!$Ü$376), "", 'Data Entry'!$Ü$376)</f>
      </c>
      <c r="FA376">
        <f>IF(ISBLANK('Data Entry'!$Ý$376), "", 'Data Entry'!$Ý$376)</f>
      </c>
      <c r="FB376">
        <f>IF(ISBLANK('Data Entry'!$Þ$376), "", 'Data Entry'!$Þ$376)</f>
      </c>
      <c r="FC376">
        <f>IF(ISBLANK('Data Entry'!$ß$376), "", 'Data Entry'!$ß$376)</f>
      </c>
      <c r="FD376">
        <f>IF(ISBLANK('Data Entry'!$à$376), "", 'Data Entry'!$à$376)</f>
      </c>
      <c r="FE376">
        <f>IF(ISBLANK('Data Entry'!$á$376), "", 'Data Entry'!$á$376)</f>
      </c>
      <c r="FF376">
        <f>IF(ISBLANK('Data Entry'!$â$376), "", 'Data Entry'!$â$376)</f>
      </c>
      <c r="FG376">
        <f>IF(ISBLANK('Data Entry'!$ã$376), "", 'Data Entry'!$ã$376)</f>
      </c>
      <c r="FH376">
        <f>IF(ISBLANK('Data Entry'!$ä$376), "", 'Data Entry'!$ä$376)</f>
      </c>
      <c r="FI376">
        <f>IF(ISBLANK('Data Entry'!$å$376), "", 'Data Entry'!$å$376)</f>
      </c>
      <c r="FJ376">
        <f>IF(ISBLANK('Data Entry'!$æ$376), "", 'Data Entry'!$æ$376)</f>
      </c>
      <c r="FK376">
        <f>IF(ISBLANK('Data Entry'!$ç$376), "", 'Data Entry'!$ç$376)</f>
      </c>
      <c r="FL376">
        <f>IF(ISBLANK('Data Entry'!$è$376), "", 'Data Entry'!$è$376)</f>
      </c>
      <c r="FM376">
        <f>IF(ISBLANK('Data Entry'!$é$376), "", 'Data Entry'!$é$376)</f>
      </c>
      <c r="FN376">
        <f>IF(ISBLANK('Data Entry'!$ê$376), "", 'Data Entry'!$ê$376)</f>
      </c>
      <c r="FO376">
        <f>IF(ISBLANK('Data Entry'!$ë$376), "", 'Data Entry'!$ë$376)</f>
      </c>
      <c r="FP376">
        <f>IF(ISBLANK('Data Entry'!$ì$376), "", 'Data Entry'!$ì$376)</f>
      </c>
      <c r="FQ376">
        <f>IF(ISBLANK('Data Entry'!$í$376), "", 'Data Entry'!$í$376)</f>
      </c>
      <c r="FR376">
        <f>IF(ISBLANK('Data Entry'!$î$376), "", 'Data Entry'!$î$376)</f>
      </c>
      <c r="FS376">
        <f>IF(ISBLANK('Data Entry'!$ï$376), "", 'Data Entry'!$ï$376)</f>
      </c>
      <c r="FT376">
        <f>IF(ISBLANK('Data Entry'!$ð$376), "", 'Data Entry'!$ð$376)</f>
      </c>
      <c r="FU376">
        <f>IF(ISBLANK('Data Entry'!$ñ$376), "", 'Data Entry'!$ñ$376)</f>
      </c>
      <c r="FV376">
        <f>IF(ISBLANK('Data Entry'!$ò$376), "", 'Data Entry'!$ò$376)</f>
      </c>
      <c r="FW376">
        <f>IF(ISBLANK('Data Entry'!$ó$376), "", 'Data Entry'!$ó$376)</f>
      </c>
      <c r="FX376">
        <f>IF(ISBLANK('Data Entry'!$ô$376), "", 'Data Entry'!$ô$376)</f>
      </c>
      <c r="FY376">
        <f>IF(ISBLANK('Data Entry'!$õ$376), "", 'Data Entry'!$õ$376)</f>
      </c>
      <c r="FZ376">
        <f>IF(ISBLANK('Data Entry'!$ö$376), "", 'Data Entry'!$ö$376)</f>
      </c>
      <c r="GA376">
        <f>IF(ISBLANK('Data Entry'!$÷$376), "", 'Data Entry'!$÷$376)</f>
      </c>
      <c r="GB376">
        <f>IF(ISBLANK('Data Entry'!$ø$376), "", 'Data Entry'!$ø$376)</f>
      </c>
      <c r="GC376">
        <f>IF(ISBLANK('Data Entry'!$ù$376), "", 'Data Entry'!$ù$376)</f>
      </c>
      <c r="GD376">
        <f>IF(ISBLANK('Data Entry'!$ú$376), "", 'Data Entry'!$ú$376)</f>
      </c>
      <c r="GE376">
        <f>IF(ISBLANK('Data Entry'!$û$376), "", 'Data Entry'!$û$376)</f>
      </c>
      <c r="GF376">
        <f>IF(ISBLANK('Data Entry'!$ü$376), "", 'Data Entry'!$ü$376)</f>
      </c>
      <c r="GG376">
        <f>IF(ISBLANK('Data Entry'!$ý$376), "", 'Data Entry'!$ý$376)</f>
      </c>
      <c r="GH376">
        <f>IF(ISBLANK('Data Entry'!$þ$376), "", 'Data Entry'!$þ$376)</f>
      </c>
      <c r="GI376">
        <f>IF(ISBLANK('Data Entry'!$ÿ$376), "", 'Data Entry'!$ÿ$376)</f>
      </c>
      <c r="GJ376">
        <f>IF(ISBLANK('Data Entry'!$Ā$376), "", 'Data Entry'!$Ā$376)</f>
      </c>
      <c r="GK376">
        <f>IF(ISBLANK('Data Entry'!$ā$376), "", 'Data Entry'!$ā$376)</f>
      </c>
      <c r="GL376">
        <f>IF(ISBLANK('Data Entry'!$Ă$376), "", 'Data Entry'!$Ă$376)</f>
      </c>
      <c r="GM376">
        <f>IF(ISBLANK('Data Entry'!$ă$376), "", 'Data Entry'!$ă$376)</f>
      </c>
      <c r="GN376">
        <f>IF(ISBLANK('Data Entry'!$Ą$376), "", 'Data Entry'!$Ą$376)</f>
      </c>
      <c r="GO376">
        <f>IF(ISBLANK('Data Entry'!$ą$376), "", 'Data Entry'!$ą$376)</f>
      </c>
      <c r="GP376">
        <f>IF(ISBLANK('Data Entry'!$Ć$376), "", 'Data Entry'!$Ć$376)</f>
      </c>
      <c r="GQ376">
        <f>IF(ISBLANK('Data Entry'!$ć$376), "", 'Data Entry'!$ć$376)</f>
      </c>
      <c r="GR376">
        <f>IF(ISBLANK('Data Entry'!$Ĉ$376), "", 'Data Entry'!$Ĉ$376)</f>
      </c>
      <c r="GS376">
        <f>IF(ISBLANK('Data Entry'!$ĉ$376), "", 'Data Entry'!$ĉ$376)</f>
      </c>
      <c r="GT376">
        <f>IF(ISBLANK('Data Entry'!$Ċ$376), "", 'Data Entry'!$Ċ$376)</f>
      </c>
      <c r="GU376">
        <f>IF(ISBLANK('Data Entry'!$ċ$376), "", 'Data Entry'!$ċ$376)</f>
      </c>
      <c r="GV376">
        <f>IF(ISBLANK('Data Entry'!$Č$376), "", 'Data Entry'!$Č$376)</f>
      </c>
      <c r="GW376">
        <f>IF(ISBLANK('Data Entry'!$č$376), "", 'Data Entry'!$č$376)</f>
      </c>
      <c r="GX376">
        <f>IF(ISBLANK('Data Entry'!$Ď$376), "", 'Data Entry'!$Ď$376)</f>
      </c>
      <c r="GY376">
        <f>IF(ISBLANK('Data Entry'!$ď$376), "", 'Data Entry'!$ď$376)</f>
      </c>
      <c r="GZ376">
        <f>IF(ISBLANK('Data Entry'!$Đ$376), "", 'Data Entry'!$Đ$376)</f>
      </c>
      <c r="HA376">
        <f>IF(ISBLANK('Data Entry'!$đ$376), "", 'Data Entry'!$đ$376)</f>
      </c>
      <c r="HB376">
        <f>IF(ISBLANK('Data Entry'!$Ē$376), "", 'Data Entry'!$Ē$376)</f>
      </c>
      <c r="HC376">
        <f>IF(ISBLANK('Data Entry'!$ē$376), "", 'Data Entry'!$ē$376)</f>
      </c>
      <c r="HD376">
        <f>IF(ISBLANK('Data Entry'!$Ĕ$376), "", 'Data Entry'!$Ĕ$376)</f>
      </c>
      <c r="HE376">
        <f>IF(ISBLANK('Data Entry'!$ĕ$376), "", 'Data Entry'!$ĕ$376)</f>
      </c>
      <c r="HF376">
        <f>IF(ISBLANK('Data Entry'!$Ė$376), "", 'Data Entry'!$Ė$376)</f>
      </c>
      <c r="HG376">
        <f>IF(ISBLANK('Data Entry'!$ė$376), "", 'Data Entry'!$ė$376)</f>
      </c>
      <c r="HH376">
        <f>IF(ISBLANK('Data Entry'!$Ę$376), "", 'Data Entry'!$Ę$376)</f>
      </c>
      <c r="HI376">
        <f>IF(ISBLANK('Data Entry'!$ę$376), "", 'Data Entry'!$ę$376)</f>
      </c>
      <c r="HJ376">
        <f>IF(ISBLANK('Data Entry'!$Ě$376), "", 'Data Entry'!$Ě$376)</f>
      </c>
      <c r="HK376">
        <f>IF(ISBLANK('Data Entry'!$ě$376), "", 'Data Entry'!$ě$376)</f>
      </c>
      <c r="HL376">
        <f>IF(ISBLANK('Data Entry'!$Ĝ$376), "", 'Data Entry'!$Ĝ$376)</f>
      </c>
      <c r="HM376">
        <f>IF(ISBLANK('Data Entry'!$ĝ$376), "", 'Data Entry'!$ĝ$376)</f>
      </c>
      <c r="HN376">
        <f>IF(ISBLANK('Data Entry'!$Ğ$376), "", 'Data Entry'!$Ğ$376)</f>
      </c>
      <c r="HO376">
        <f>IF(ISBLANK('Data Entry'!$ğ$376), "", 'Data Entry'!$ğ$376)</f>
      </c>
      <c r="HP376">
        <f>IF(ISBLANK('Data Entry'!$Ġ$376), "", 'Data Entry'!$Ġ$376)</f>
      </c>
      <c r="HQ376">
        <f>IF(ISBLANK('Data Entry'!$ġ$376), "", 'Data Entry'!$ġ$376)</f>
      </c>
      <c r="HR376">
        <f>IF(ISBLANK('Data Entry'!$Ģ$376), "", 'Data Entry'!$Ģ$376)</f>
      </c>
      <c r="HS376">
        <f>IF(ISBLANK('Data Entry'!$ģ$376), "", 'Data Entry'!$ģ$376)</f>
      </c>
      <c r="HT376">
        <f>IF(ISBLANK('Data Entry'!$Ĥ$376), "", 'Data Entry'!$Ĥ$376)</f>
      </c>
      <c r="HU376">
        <f>IF(ISBLANK('Data Entry'!$ĥ$376), "", 'Data Entry'!$ĥ$376)</f>
      </c>
      <c r="HV376">
        <f>IF(ISBLANK('Data Entry'!$Ħ$376), "", 'Data Entry'!$Ħ$376)</f>
      </c>
      <c r="HW376">
        <f>IF(ISBLANK('Data Entry'!$ħ$376), "", 'Data Entry'!$ħ$376)</f>
      </c>
      <c r="HX376">
        <f>IF(ISBLANK('Data Entry'!$Ĩ$376), "", 'Data Entry'!$Ĩ$376)</f>
      </c>
      <c r="HY376">
        <f>IF(ISBLANK('Data Entry'!$ĩ$376), "", 'Data Entry'!$ĩ$376)</f>
      </c>
      <c r="HZ376">
        <f>IF(ISBLANK('Data Entry'!$Ī$376), "", 'Data Entry'!$Ī$376)</f>
      </c>
      <c r="IA376">
        <f>IF(ISBLANK('Data Entry'!$ī$376), "", 'Data Entry'!$ī$376)</f>
      </c>
      <c r="IB376">
        <f>IF(ISBLANK('Data Entry'!$Ĭ$376), "", 'Data Entry'!$Ĭ$376)</f>
      </c>
      <c r="IC376">
        <f>IF(ISBLANK('Data Entry'!$ĭ$376), "", 'Data Entry'!$ĭ$376)</f>
      </c>
      <c r="ID376">
        <f>IF(ISBLANK('Data Entry'!$Į$376), "", 'Data Entry'!$Į$376)</f>
      </c>
      <c r="IE376">
        <f>IF(ISBLANK('Data Entry'!$į$376), "", 'Data Entry'!$į$376)</f>
      </c>
      <c r="IF376">
        <f>IF(ISBLANK('Data Entry'!$İ$376), "", 'Data Entry'!$İ$376)</f>
      </c>
      <c r="IG376">
        <f>IF(ISBLANK('Data Entry'!$ı$376), "", 'Data Entry'!$ı$376)</f>
      </c>
      <c r="IH376">
        <f>IF(ISBLANK('Data Entry'!$Ĳ$376), "", 'Data Entry'!$Ĳ$376)</f>
      </c>
      <c r="II376">
        <f>IF(ISBLANK('Data Entry'!$ĳ$376), "", 'Data Entry'!$ĳ$376)</f>
      </c>
      <c r="IJ376">
        <f>IF(ISBLANK('Data Entry'!$Ĵ$376), "", 'Data Entry'!$Ĵ$376)</f>
      </c>
      <c r="IK376">
        <f>IF(ISBLANK('Data Entry'!$ĵ$376), "", 'Data Entry'!$ĵ$376)</f>
      </c>
      <c r="IL376">
        <f>IF(ISBLANK('Data Entry'!$Ķ$376), "", 'Data Entry'!$Ķ$376)</f>
      </c>
      <c r="IM376">
        <f>IF(ISBLANK('Data Entry'!$ķ$376), "", 'Data Entry'!$ķ$376)</f>
      </c>
      <c r="IN376">
        <f>IF(ISBLANK('Data Entry'!$ĸ$376), "", 'Data Entry'!$ĸ$376)</f>
      </c>
      <c r="IO376">
        <f>IF(ISBLANK('Data Entry'!$Ĺ$376), "", 'Data Entry'!$Ĺ$376)</f>
      </c>
      <c r="IP376">
        <f>IF(ISBLANK('Data Entry'!$ĺ$376), "", 'Data Entry'!$ĺ$376)</f>
      </c>
      <c r="IQ376">
        <f>IF(ISBLANK('Data Entry'!$Ļ$376), "", 'Data Entry'!$Ļ$376)</f>
      </c>
      <c r="IR376">
        <f>IF(ISBLANK('Data Entry'!$ļ$376), "", 'Data Entry'!$ļ$376)</f>
      </c>
      <c r="IS376">
        <f>IF(ISBLANK('Data Entry'!$Ľ$376), "", 'Data Entry'!$Ľ$376)</f>
      </c>
      <c r="IT376">
        <f>IF(ISBLANK('Data Entry'!$ľ$376), "", 'Data Entry'!$ľ$376)</f>
      </c>
    </row>
    <row r="377" spans="1:254" x14ac:dyDescent="0.25">
      <c r="A377">
        <f>IF(ISBLANK('Data Entry'!$A$377), "", 'Data Entry'!$A$377)</f>
      </c>
      <c r="B377">
        <f>IF(ISBLANK('Data Entry'!$B$377), "", 'Data Entry'!$B$377)</f>
      </c>
      <c r="C377">
        <f>IF(ISBLANK('Data Entry'!$C$377), "", 'Data Entry'!$C$377)</f>
      </c>
      <c r="D377">
        <f>IF(ISBLANK('Data Entry'!$D$377), "", 'Data Entry'!$D$377)</f>
      </c>
      <c r="E377">
        <f>IF(ISBLANK('Data Entry'!$E$377), "", 'Data Entry'!$E$377)</f>
      </c>
      <c r="F377">
        <f>IF(ISBLANK('Data Entry'!$F$377), "", 'Data Entry'!$F$377)</f>
      </c>
      <c r="G377">
        <f>IF(ISBLANK('Data Entry'!$G$377), "", 'Data Entry'!$G$377)</f>
      </c>
      <c r="H377">
        <f>IF(ISBLANK('Data Entry'!$H$377), "", 'Data Entry'!$H$377)</f>
      </c>
      <c r="I377">
        <f>IF(ISBLANK('Data Entry'!$I$377), "", 'Data Entry'!$I$377)</f>
      </c>
      <c r="J377">
        <f>IF(ISBLANK('Data Entry'!$J$377), "", 'Data Entry'!$J$377)</f>
      </c>
      <c r="K377">
        <f>IF(ISBLANK('Data Entry'!$K$377), "", 'Data Entry'!$K$377)</f>
      </c>
      <c r="L377">
        <f>IF(ISBLANK('Data Entry'!$L$377), "", 'Data Entry'!$L$377)</f>
      </c>
      <c r="M377">
        <f>IF(ISBLANK('Data Entry'!$M$377), "", 'Data Entry'!$M$377)</f>
      </c>
      <c r="N377">
        <f>IF(ISBLANK('Data Entry'!$N$377), "", 'Data Entry'!$N$377)</f>
      </c>
      <c r="O377">
        <f>IF(ISBLANK('Data Entry'!$O$377), "", 'Data Entry'!$O$377)</f>
      </c>
      <c r="P377">
        <f>IF(ISBLANK('Data Entry'!$P$377), "", 'Data Entry'!$P$377)</f>
      </c>
      <c r="Q377">
        <f>IF(ISBLANK('Data Entry'!$Q$377), "", 'Data Entry'!$Q$377)</f>
      </c>
      <c r="R377">
        <f>IF(ISBLANK('Data Entry'!$R$377), "", 'Data Entry'!$R$377)</f>
      </c>
      <c r="S377">
        <f>IF(ISBLANK('Data Entry'!$S$377), "", 'Data Entry'!$S$377)</f>
      </c>
      <c r="T377">
        <f>IF(ISBLANK('Data Entry'!$T$377), "", 'Data Entry'!$T$377)</f>
      </c>
      <c r="U377">
        <f>IF(ISBLANK('Data Entry'!$U$377), "", 'Data Entry'!$U$377)</f>
      </c>
      <c r="V377">
        <f>IF(ISBLANK('Data Entry'!$V$377), "", 'Data Entry'!$V$377)</f>
      </c>
      <c r="W377">
        <f>IF(ISBLANK('Data Entry'!$W$377), "", 'Data Entry'!$W$377)</f>
      </c>
      <c r="X377">
        <f>IF(ISBLANK('Data Entry'!$X$377), "", 'Data Entry'!$X$377)</f>
      </c>
      <c r="Y377">
        <f>IF(ISBLANK('Data Entry'!$Y$377), "", 'Data Entry'!$Y$377)</f>
      </c>
      <c r="Z377">
        <f>IF(ISBLANK('Data Entry'!$Z$377), "", 'Data Entry'!$Z$377)</f>
      </c>
      <c r="AA377">
        <f>IF(ISBLANK('Data Entry'!$[$377), "", 'Data Entry'!$[$377)</f>
      </c>
      <c r="AB377">
        <f>IF(ISBLANK('Data Entry'!$\$377), "", 'Data Entry'!$\$377)</f>
      </c>
      <c r="AC377">
        <f>IF(ISBLANK('Data Entry'!$]$377), "", 'Data Entry'!$]$377)</f>
      </c>
      <c r="AD377">
        <f>IF(ISBLANK('Data Entry'!$^$377), "", 'Data Entry'!$^$377)</f>
      </c>
      <c r="AE377">
        <f>IF(ISBLANK('Data Entry'!$_$377), "", 'Data Entry'!$_$377)</f>
      </c>
      <c r="AF377">
        <f>IF(ISBLANK('Data Entry'!$`$377), "", 'Data Entry'!$`$377)</f>
      </c>
      <c r="AG377">
        <f>IF(ISBLANK('Data Entry'!$a$377), "", 'Data Entry'!$a$377)</f>
      </c>
      <c r="AH377">
        <f>IF(ISBLANK('Data Entry'!$b$377), "", 'Data Entry'!$b$377)</f>
      </c>
      <c r="AI377">
        <f>IF(ISBLANK('Data Entry'!$c$377), "", 'Data Entry'!$c$377)</f>
      </c>
      <c r="AJ377">
        <f>IF(ISBLANK('Data Entry'!$d$377), "", 'Data Entry'!$d$377)</f>
      </c>
      <c r="AK377">
        <f>IF(ISBLANK('Data Entry'!$e$377), "", 'Data Entry'!$e$377)</f>
      </c>
      <c r="AL377">
        <f>IF(ISBLANK('Data Entry'!$f$377), "", 'Data Entry'!$f$377)</f>
      </c>
      <c r="AM377">
        <f>IF(ISBLANK('Data Entry'!$g$377), "", 'Data Entry'!$g$377)</f>
      </c>
      <c r="AN377">
        <f>IF(ISBLANK('Data Entry'!$h$377), "", 'Data Entry'!$h$377)</f>
      </c>
      <c r="AO377">
        <f>IF(ISBLANK('Data Entry'!$i$377), "", 'Data Entry'!$i$377)</f>
      </c>
      <c r="AP377">
        <f>IF(ISBLANK('Data Entry'!$j$377), "", 'Data Entry'!$j$377)</f>
      </c>
      <c r="AQ377">
        <f>IF(ISBLANK('Data Entry'!$k$377), "", 'Data Entry'!$k$377)</f>
      </c>
      <c r="AR377">
        <f>IF(ISBLANK('Data Entry'!$l$377), "", 'Data Entry'!$l$377)</f>
      </c>
      <c r="AS377">
        <f>IF(ISBLANK('Data Entry'!$m$377), "", 'Data Entry'!$m$377)</f>
      </c>
      <c r="AT377">
        <f>IF(ISBLANK('Data Entry'!$n$377), "", 'Data Entry'!$n$377)</f>
      </c>
      <c r="AU377">
        <f>IF(ISBLANK('Data Entry'!$o$377), "", 'Data Entry'!$o$377)</f>
      </c>
      <c r="AV377">
        <f>IF(ISBLANK('Data Entry'!$p$377), "", 'Data Entry'!$p$377)</f>
      </c>
      <c r="AW377">
        <f>IF(ISBLANK('Data Entry'!$q$377), "", 'Data Entry'!$q$377)</f>
      </c>
      <c r="AX377">
        <f>IF(ISBLANK('Data Entry'!$r$377), "", 'Data Entry'!$r$377)</f>
      </c>
      <c r="AY377">
        <f>IF(ISBLANK('Data Entry'!$s$377), "", 'Data Entry'!$s$377)</f>
      </c>
      <c r="AZ377">
        <f>IF(ISBLANK('Data Entry'!$t$377), "", 'Data Entry'!$t$377)</f>
      </c>
      <c r="BA377">
        <f>IF(ISBLANK('Data Entry'!$u$377), "", 'Data Entry'!$u$377)</f>
      </c>
      <c r="BB377">
        <f>IF(ISBLANK('Data Entry'!$v$377), "", 'Data Entry'!$v$377)</f>
      </c>
      <c r="BC377">
        <f>IF(ISBLANK('Data Entry'!$w$377), "", 'Data Entry'!$w$377)</f>
      </c>
      <c r="BD377">
        <f>IF(ISBLANK('Data Entry'!$x$377), "", 'Data Entry'!$x$377)</f>
      </c>
      <c r="BE377">
        <f>IF(ISBLANK('Data Entry'!$y$377), "", 'Data Entry'!$y$377)</f>
      </c>
      <c r="BF377">
        <f>IF(ISBLANK('Data Entry'!$z$377), "", 'Data Entry'!$z$377)</f>
      </c>
      <c r="BG377">
        <f>IF(ISBLANK('Data Entry'!${$377), "", 'Data Entry'!${$377)</f>
      </c>
      <c r="BH377">
        <f>IF(ISBLANK('Data Entry'!$|$377), "", 'Data Entry'!$|$377)</f>
      </c>
      <c r="BI377">
        <f>IF(ISBLANK('Data Entry'!$}$377), "", 'Data Entry'!$}$377)</f>
      </c>
      <c r="BJ377">
        <f>IF(ISBLANK('Data Entry'!$~$377), "", 'Data Entry'!$~$377)</f>
      </c>
      <c r="BK377">
        <f>IF(ISBLANK('Data Entry'!$$377), "", 'Data Entry'!$$377)</f>
      </c>
      <c r="BL377">
        <f>IF(ISBLANK('Data Entry'!$$377), "", 'Data Entry'!$$377)</f>
      </c>
      <c r="BM377">
        <f>IF(ISBLANK('Data Entry'!$$377), "", 'Data Entry'!$$377)</f>
      </c>
      <c r="BN377">
        <f>IF(ISBLANK('Data Entry'!$$377), "", 'Data Entry'!$$377)</f>
      </c>
      <c r="BO377">
        <f>IF(ISBLANK('Data Entry'!$$377), "", 'Data Entry'!$$377)</f>
      </c>
      <c r="BP377">
        <f>IF(ISBLANK('Data Entry'!$$377), "", 'Data Entry'!$$377)</f>
      </c>
      <c r="BQ377">
        <f>IF(ISBLANK('Data Entry'!$$377), "", 'Data Entry'!$$377)</f>
      </c>
      <c r="BR377">
        <f>IF(ISBLANK('Data Entry'!$$377), "", 'Data Entry'!$$377)</f>
      </c>
      <c r="BS377">
        <f>IF(ISBLANK('Data Entry'!$$377), "", 'Data Entry'!$$377)</f>
      </c>
      <c r="BT377">
        <f>IF(ISBLANK('Data Entry'!$$377), "", 'Data Entry'!$$377)</f>
      </c>
      <c r="BU377">
        <f>IF(ISBLANK('Data Entry'!$$377), "", 'Data Entry'!$$377)</f>
      </c>
      <c r="BV377">
        <f>IF(ISBLANK('Data Entry'!$$377), "", 'Data Entry'!$$377)</f>
      </c>
      <c r="BW377">
        <f>IF(ISBLANK('Data Entry'!$$377), "", 'Data Entry'!$$377)</f>
      </c>
      <c r="BX377">
        <f>IF(ISBLANK('Data Entry'!$$377), "", 'Data Entry'!$$377)</f>
      </c>
      <c r="BY377">
        <f>IF(ISBLANK('Data Entry'!$$377), "", 'Data Entry'!$$377)</f>
      </c>
      <c r="BZ377">
        <f>IF(ISBLANK('Data Entry'!$$377), "", 'Data Entry'!$$377)</f>
      </c>
      <c r="CA377">
        <f>IF(ISBLANK('Data Entry'!$$377), "", 'Data Entry'!$$377)</f>
      </c>
      <c r="CB377">
        <f>IF(ISBLANK('Data Entry'!$$377), "", 'Data Entry'!$$377)</f>
      </c>
      <c r="CC377">
        <f>IF(ISBLANK('Data Entry'!$$377), "", 'Data Entry'!$$377)</f>
      </c>
      <c r="CD377">
        <f>IF(ISBLANK('Data Entry'!$$377), "", 'Data Entry'!$$377)</f>
      </c>
      <c r="CE377">
        <f>IF(ISBLANK('Data Entry'!$$377), "", 'Data Entry'!$$377)</f>
      </c>
      <c r="CF377">
        <f>IF(ISBLANK('Data Entry'!$$377), "", 'Data Entry'!$$377)</f>
      </c>
      <c r="CG377">
        <f>IF(ISBLANK('Data Entry'!$$377), "", 'Data Entry'!$$377)</f>
      </c>
      <c r="CH377">
        <f>IF(ISBLANK('Data Entry'!$$377), "", 'Data Entry'!$$377)</f>
      </c>
      <c r="CI377">
        <f>IF(ISBLANK('Data Entry'!$$377), "", 'Data Entry'!$$377)</f>
      </c>
      <c r="CJ377">
        <f>IF(ISBLANK('Data Entry'!$$377), "", 'Data Entry'!$$377)</f>
      </c>
      <c r="CK377">
        <f>IF(ISBLANK('Data Entry'!$$377), "", 'Data Entry'!$$377)</f>
      </c>
      <c r="CL377">
        <f>IF(ISBLANK('Data Entry'!$$377), "", 'Data Entry'!$$377)</f>
      </c>
      <c r="CM377">
        <f>IF(ISBLANK('Data Entry'!$$377), "", 'Data Entry'!$$377)</f>
      </c>
      <c r="CN377">
        <f>IF(ISBLANK('Data Entry'!$$377), "", 'Data Entry'!$$377)</f>
      </c>
      <c r="CO377">
        <f>IF(ISBLANK('Data Entry'!$$377), "", 'Data Entry'!$$377)</f>
      </c>
      <c r="CP377">
        <f>IF(ISBLANK('Data Entry'!$$377), "", 'Data Entry'!$$377)</f>
      </c>
      <c r="CQ377">
        <f>IF(ISBLANK('Data Entry'!$$377), "", 'Data Entry'!$$377)</f>
      </c>
      <c r="CR377">
        <f>IF(ISBLANK('Data Entry'!$ $377), "", 'Data Entry'!$ $377)</f>
      </c>
      <c r="CS377">
        <f>IF(ISBLANK('Data Entry'!$¡$377), "", 'Data Entry'!$¡$377)</f>
      </c>
      <c r="CT377">
        <f>IF(ISBLANK('Data Entry'!$¢$377), "", 'Data Entry'!$¢$377)</f>
      </c>
      <c r="CU377">
        <f>IF(ISBLANK('Data Entry'!$£$377), "", 'Data Entry'!$£$377)</f>
      </c>
      <c r="CV377">
        <f>IF(ISBLANK('Data Entry'!$¤$377), "", 'Data Entry'!$¤$377)</f>
      </c>
      <c r="CW377">
        <f>IF(ISBLANK('Data Entry'!$¥$377), "", 'Data Entry'!$¥$377)</f>
      </c>
      <c r="CX377">
        <f>IF(ISBLANK('Data Entry'!$¦$377), "", 'Data Entry'!$¦$377)</f>
      </c>
      <c r="CY377">
        <f>IF(ISBLANK('Data Entry'!$§$377), "", 'Data Entry'!$§$377)</f>
      </c>
      <c r="CZ377">
        <f>IF(ISBLANK('Data Entry'!$¨$377), "", 'Data Entry'!$¨$377)</f>
      </c>
      <c r="DA377">
        <f>IF(ISBLANK('Data Entry'!$©$377), "", 'Data Entry'!$©$377)</f>
      </c>
      <c r="DB377">
        <f>IF(ISBLANK('Data Entry'!$ª$377), "", 'Data Entry'!$ª$377)</f>
      </c>
      <c r="DC377">
        <f>IF(ISBLANK('Data Entry'!$«$377), "", 'Data Entry'!$«$377)</f>
      </c>
      <c r="DD377">
        <f>IF(ISBLANK('Data Entry'!$¬$377), "", 'Data Entry'!$¬$377)</f>
      </c>
      <c r="DE377">
        <f>IF(ISBLANK('Data Entry'!$­$377), "", 'Data Entry'!$­$377)</f>
      </c>
      <c r="DF377">
        <f>IF(ISBLANK('Data Entry'!$®$377), "", 'Data Entry'!$®$377)</f>
      </c>
      <c r="DG377">
        <f>IF(ISBLANK('Data Entry'!$¯$377), "", 'Data Entry'!$¯$377)</f>
      </c>
      <c r="DH377">
        <f>IF(ISBLANK('Data Entry'!$°$377), "", 'Data Entry'!$°$377)</f>
      </c>
      <c r="DI377">
        <f>IF(ISBLANK('Data Entry'!$±$377), "", 'Data Entry'!$±$377)</f>
      </c>
      <c r="DJ377">
        <f>IF(ISBLANK('Data Entry'!$²$377), "", 'Data Entry'!$²$377)</f>
      </c>
      <c r="DK377">
        <f>IF(ISBLANK('Data Entry'!$³$377), "", 'Data Entry'!$³$377)</f>
      </c>
      <c r="DL377">
        <f>IF(ISBLANK('Data Entry'!$´$377), "", 'Data Entry'!$´$377)</f>
      </c>
      <c r="DM377">
        <f>IF(ISBLANK('Data Entry'!$µ$377), "", 'Data Entry'!$µ$377)</f>
      </c>
      <c r="DN377">
        <f>IF(ISBLANK('Data Entry'!$¶$377), "", 'Data Entry'!$¶$377)</f>
      </c>
      <c r="DO377">
        <f>IF(ISBLANK('Data Entry'!$·$377), "", 'Data Entry'!$·$377)</f>
      </c>
      <c r="DP377">
        <f>IF(ISBLANK('Data Entry'!$¸$377), "", 'Data Entry'!$¸$377)</f>
      </c>
      <c r="DQ377">
        <f>IF(ISBLANK('Data Entry'!$¹$377), "", 'Data Entry'!$¹$377)</f>
      </c>
      <c r="DR377">
        <f>IF(ISBLANK('Data Entry'!$º$377), "", 'Data Entry'!$º$377)</f>
      </c>
      <c r="DS377">
        <f>IF(ISBLANK('Data Entry'!$»$377), "", 'Data Entry'!$»$377)</f>
      </c>
      <c r="DT377">
        <f>IF(ISBLANK('Data Entry'!$¼$377), "", 'Data Entry'!$¼$377)</f>
      </c>
      <c r="DU377">
        <f>IF(ISBLANK('Data Entry'!$½$377), "", 'Data Entry'!$½$377)</f>
      </c>
      <c r="DV377">
        <f>IF(ISBLANK('Data Entry'!$¾$377), "", 'Data Entry'!$¾$377)</f>
      </c>
      <c r="DW377">
        <f>IF(ISBLANK('Data Entry'!$¿$377), "", 'Data Entry'!$¿$377)</f>
      </c>
      <c r="DX377">
        <f>IF(ISBLANK('Data Entry'!$À$377), "", 'Data Entry'!$À$377)</f>
      </c>
      <c r="DY377">
        <f>IF(ISBLANK('Data Entry'!$Á$377), "", 'Data Entry'!$Á$377)</f>
      </c>
      <c r="DZ377">
        <f>IF(ISBLANK('Data Entry'!$Â$377), "", 'Data Entry'!$Â$377)</f>
      </c>
      <c r="EA377">
        <f>IF(ISBLANK('Data Entry'!$Ã$377), "", 'Data Entry'!$Ã$377)</f>
      </c>
      <c r="EB377">
        <f>IF(ISBLANK('Data Entry'!$Ä$377), "", 'Data Entry'!$Ä$377)</f>
      </c>
      <c r="EC377">
        <f>IF(ISBLANK('Data Entry'!$Å$377), "", 'Data Entry'!$Å$377)</f>
      </c>
      <c r="ED377">
        <f>IF(ISBLANK('Data Entry'!$Æ$377), "", 'Data Entry'!$Æ$377)</f>
      </c>
      <c r="EE377">
        <f>IF(ISBLANK('Data Entry'!$Ç$377), "", 'Data Entry'!$Ç$377)</f>
      </c>
      <c r="EF377">
        <f>IF(ISBLANK('Data Entry'!$È$377), "", 'Data Entry'!$È$377)</f>
      </c>
      <c r="EG377">
        <f>IF(ISBLANK('Data Entry'!$É$377), "", 'Data Entry'!$É$377)</f>
      </c>
      <c r="EH377">
        <f>IF(ISBLANK('Data Entry'!$Ê$377), "", 'Data Entry'!$Ê$377)</f>
      </c>
      <c r="EI377">
        <f>IF(ISBLANK('Data Entry'!$Ë$377), "", 'Data Entry'!$Ë$377)</f>
      </c>
      <c r="EJ377">
        <f>IF(ISBLANK('Data Entry'!$Ì$377), "", 'Data Entry'!$Ì$377)</f>
      </c>
      <c r="EK377">
        <f>IF(ISBLANK('Data Entry'!$Í$377), "", 'Data Entry'!$Í$377)</f>
      </c>
      <c r="EL377">
        <f>IF(ISBLANK('Data Entry'!$Î$377), "", 'Data Entry'!$Î$377)</f>
      </c>
      <c r="EM377">
        <f>IF(ISBLANK('Data Entry'!$Ï$377), "", 'Data Entry'!$Ï$377)</f>
      </c>
      <c r="EN377">
        <f>IF(ISBLANK('Data Entry'!$Ð$377), "", 'Data Entry'!$Ð$377)</f>
      </c>
      <c r="EO377">
        <f>IF(ISBLANK('Data Entry'!$Ñ$377), "", 'Data Entry'!$Ñ$377)</f>
      </c>
      <c r="EP377">
        <f>IF(ISBLANK('Data Entry'!$Ò$377), "", 'Data Entry'!$Ò$377)</f>
      </c>
      <c r="EQ377">
        <f>IF(ISBLANK('Data Entry'!$Ó$377), "", 'Data Entry'!$Ó$377)</f>
      </c>
      <c r="ER377">
        <f>IF(ISBLANK('Data Entry'!$Ô$377), "", 'Data Entry'!$Ô$377)</f>
      </c>
      <c r="ES377">
        <f>IF(ISBLANK('Data Entry'!$Õ$377), "", 'Data Entry'!$Õ$377)</f>
      </c>
      <c r="ET377">
        <f>IF(ISBLANK('Data Entry'!$Ö$377), "", 'Data Entry'!$Ö$377)</f>
      </c>
      <c r="EU377">
        <f>IF(ISBLANK('Data Entry'!$×$377), "", 'Data Entry'!$×$377)</f>
      </c>
      <c r="EV377">
        <f>IF(ISBLANK('Data Entry'!$Ø$377), "", 'Data Entry'!$Ø$377)</f>
      </c>
      <c r="EW377">
        <f>IF(ISBLANK('Data Entry'!$Ù$377), "", 'Data Entry'!$Ù$377)</f>
      </c>
      <c r="EX377">
        <f>IF(ISBLANK('Data Entry'!$Ú$377), "", 'Data Entry'!$Ú$377)</f>
      </c>
      <c r="EY377">
        <f>IF(ISBLANK('Data Entry'!$Û$377), "", 'Data Entry'!$Û$377)</f>
      </c>
      <c r="EZ377">
        <f>IF(ISBLANK('Data Entry'!$Ü$377), "", 'Data Entry'!$Ü$377)</f>
      </c>
      <c r="FA377">
        <f>IF(ISBLANK('Data Entry'!$Ý$377), "", 'Data Entry'!$Ý$377)</f>
      </c>
      <c r="FB377">
        <f>IF(ISBLANK('Data Entry'!$Þ$377), "", 'Data Entry'!$Þ$377)</f>
      </c>
      <c r="FC377">
        <f>IF(ISBLANK('Data Entry'!$ß$377), "", 'Data Entry'!$ß$377)</f>
      </c>
      <c r="FD377">
        <f>IF(ISBLANK('Data Entry'!$à$377), "", 'Data Entry'!$à$377)</f>
      </c>
      <c r="FE377">
        <f>IF(ISBLANK('Data Entry'!$á$377), "", 'Data Entry'!$á$377)</f>
      </c>
      <c r="FF377">
        <f>IF(ISBLANK('Data Entry'!$â$377), "", 'Data Entry'!$â$377)</f>
      </c>
      <c r="FG377">
        <f>IF(ISBLANK('Data Entry'!$ã$377), "", 'Data Entry'!$ã$377)</f>
      </c>
      <c r="FH377">
        <f>IF(ISBLANK('Data Entry'!$ä$377), "", 'Data Entry'!$ä$377)</f>
      </c>
      <c r="FI377">
        <f>IF(ISBLANK('Data Entry'!$å$377), "", 'Data Entry'!$å$377)</f>
      </c>
      <c r="FJ377">
        <f>IF(ISBLANK('Data Entry'!$æ$377), "", 'Data Entry'!$æ$377)</f>
      </c>
      <c r="FK377">
        <f>IF(ISBLANK('Data Entry'!$ç$377), "", 'Data Entry'!$ç$377)</f>
      </c>
      <c r="FL377">
        <f>IF(ISBLANK('Data Entry'!$è$377), "", 'Data Entry'!$è$377)</f>
      </c>
      <c r="FM377">
        <f>IF(ISBLANK('Data Entry'!$é$377), "", 'Data Entry'!$é$377)</f>
      </c>
      <c r="FN377">
        <f>IF(ISBLANK('Data Entry'!$ê$377), "", 'Data Entry'!$ê$377)</f>
      </c>
      <c r="FO377">
        <f>IF(ISBLANK('Data Entry'!$ë$377), "", 'Data Entry'!$ë$377)</f>
      </c>
      <c r="FP377">
        <f>IF(ISBLANK('Data Entry'!$ì$377), "", 'Data Entry'!$ì$377)</f>
      </c>
      <c r="FQ377">
        <f>IF(ISBLANK('Data Entry'!$í$377), "", 'Data Entry'!$í$377)</f>
      </c>
      <c r="FR377">
        <f>IF(ISBLANK('Data Entry'!$î$377), "", 'Data Entry'!$î$377)</f>
      </c>
      <c r="FS377">
        <f>IF(ISBLANK('Data Entry'!$ï$377), "", 'Data Entry'!$ï$377)</f>
      </c>
      <c r="FT377">
        <f>IF(ISBLANK('Data Entry'!$ð$377), "", 'Data Entry'!$ð$377)</f>
      </c>
      <c r="FU377">
        <f>IF(ISBLANK('Data Entry'!$ñ$377), "", 'Data Entry'!$ñ$377)</f>
      </c>
      <c r="FV377">
        <f>IF(ISBLANK('Data Entry'!$ò$377), "", 'Data Entry'!$ò$377)</f>
      </c>
      <c r="FW377">
        <f>IF(ISBLANK('Data Entry'!$ó$377), "", 'Data Entry'!$ó$377)</f>
      </c>
      <c r="FX377">
        <f>IF(ISBLANK('Data Entry'!$ô$377), "", 'Data Entry'!$ô$377)</f>
      </c>
      <c r="FY377">
        <f>IF(ISBLANK('Data Entry'!$õ$377), "", 'Data Entry'!$õ$377)</f>
      </c>
      <c r="FZ377">
        <f>IF(ISBLANK('Data Entry'!$ö$377), "", 'Data Entry'!$ö$377)</f>
      </c>
      <c r="GA377">
        <f>IF(ISBLANK('Data Entry'!$÷$377), "", 'Data Entry'!$÷$377)</f>
      </c>
      <c r="GB377">
        <f>IF(ISBLANK('Data Entry'!$ø$377), "", 'Data Entry'!$ø$377)</f>
      </c>
      <c r="GC377">
        <f>IF(ISBLANK('Data Entry'!$ù$377), "", 'Data Entry'!$ù$377)</f>
      </c>
      <c r="GD377">
        <f>IF(ISBLANK('Data Entry'!$ú$377), "", 'Data Entry'!$ú$377)</f>
      </c>
      <c r="GE377">
        <f>IF(ISBLANK('Data Entry'!$û$377), "", 'Data Entry'!$û$377)</f>
      </c>
      <c r="GF377">
        <f>IF(ISBLANK('Data Entry'!$ü$377), "", 'Data Entry'!$ü$377)</f>
      </c>
      <c r="GG377">
        <f>IF(ISBLANK('Data Entry'!$ý$377), "", 'Data Entry'!$ý$377)</f>
      </c>
      <c r="GH377">
        <f>IF(ISBLANK('Data Entry'!$þ$377), "", 'Data Entry'!$þ$377)</f>
      </c>
      <c r="GI377">
        <f>IF(ISBLANK('Data Entry'!$ÿ$377), "", 'Data Entry'!$ÿ$377)</f>
      </c>
      <c r="GJ377">
        <f>IF(ISBLANK('Data Entry'!$Ā$377), "", 'Data Entry'!$Ā$377)</f>
      </c>
      <c r="GK377">
        <f>IF(ISBLANK('Data Entry'!$ā$377), "", 'Data Entry'!$ā$377)</f>
      </c>
      <c r="GL377">
        <f>IF(ISBLANK('Data Entry'!$Ă$377), "", 'Data Entry'!$Ă$377)</f>
      </c>
      <c r="GM377">
        <f>IF(ISBLANK('Data Entry'!$ă$377), "", 'Data Entry'!$ă$377)</f>
      </c>
      <c r="GN377">
        <f>IF(ISBLANK('Data Entry'!$Ą$377), "", 'Data Entry'!$Ą$377)</f>
      </c>
      <c r="GO377">
        <f>IF(ISBLANK('Data Entry'!$ą$377), "", 'Data Entry'!$ą$377)</f>
      </c>
      <c r="GP377">
        <f>IF(ISBLANK('Data Entry'!$Ć$377), "", 'Data Entry'!$Ć$377)</f>
      </c>
      <c r="GQ377">
        <f>IF(ISBLANK('Data Entry'!$ć$377), "", 'Data Entry'!$ć$377)</f>
      </c>
      <c r="GR377">
        <f>IF(ISBLANK('Data Entry'!$Ĉ$377), "", 'Data Entry'!$Ĉ$377)</f>
      </c>
      <c r="GS377">
        <f>IF(ISBLANK('Data Entry'!$ĉ$377), "", 'Data Entry'!$ĉ$377)</f>
      </c>
      <c r="GT377">
        <f>IF(ISBLANK('Data Entry'!$Ċ$377), "", 'Data Entry'!$Ċ$377)</f>
      </c>
      <c r="GU377">
        <f>IF(ISBLANK('Data Entry'!$ċ$377), "", 'Data Entry'!$ċ$377)</f>
      </c>
      <c r="GV377">
        <f>IF(ISBLANK('Data Entry'!$Č$377), "", 'Data Entry'!$Č$377)</f>
      </c>
      <c r="GW377">
        <f>IF(ISBLANK('Data Entry'!$č$377), "", 'Data Entry'!$č$377)</f>
      </c>
      <c r="GX377">
        <f>IF(ISBLANK('Data Entry'!$Ď$377), "", 'Data Entry'!$Ď$377)</f>
      </c>
      <c r="GY377">
        <f>IF(ISBLANK('Data Entry'!$ď$377), "", 'Data Entry'!$ď$377)</f>
      </c>
      <c r="GZ377">
        <f>IF(ISBLANK('Data Entry'!$Đ$377), "", 'Data Entry'!$Đ$377)</f>
      </c>
      <c r="HA377">
        <f>IF(ISBLANK('Data Entry'!$đ$377), "", 'Data Entry'!$đ$377)</f>
      </c>
      <c r="HB377">
        <f>IF(ISBLANK('Data Entry'!$Ē$377), "", 'Data Entry'!$Ē$377)</f>
      </c>
      <c r="HC377">
        <f>IF(ISBLANK('Data Entry'!$ē$377), "", 'Data Entry'!$ē$377)</f>
      </c>
      <c r="HD377">
        <f>IF(ISBLANK('Data Entry'!$Ĕ$377), "", 'Data Entry'!$Ĕ$377)</f>
      </c>
      <c r="HE377">
        <f>IF(ISBLANK('Data Entry'!$ĕ$377), "", 'Data Entry'!$ĕ$377)</f>
      </c>
      <c r="HF377">
        <f>IF(ISBLANK('Data Entry'!$Ė$377), "", 'Data Entry'!$Ė$377)</f>
      </c>
      <c r="HG377">
        <f>IF(ISBLANK('Data Entry'!$ė$377), "", 'Data Entry'!$ė$377)</f>
      </c>
      <c r="HH377">
        <f>IF(ISBLANK('Data Entry'!$Ę$377), "", 'Data Entry'!$Ę$377)</f>
      </c>
      <c r="HI377">
        <f>IF(ISBLANK('Data Entry'!$ę$377), "", 'Data Entry'!$ę$377)</f>
      </c>
      <c r="HJ377">
        <f>IF(ISBLANK('Data Entry'!$Ě$377), "", 'Data Entry'!$Ě$377)</f>
      </c>
      <c r="HK377">
        <f>IF(ISBLANK('Data Entry'!$ě$377), "", 'Data Entry'!$ě$377)</f>
      </c>
      <c r="HL377">
        <f>IF(ISBLANK('Data Entry'!$Ĝ$377), "", 'Data Entry'!$Ĝ$377)</f>
      </c>
      <c r="HM377">
        <f>IF(ISBLANK('Data Entry'!$ĝ$377), "", 'Data Entry'!$ĝ$377)</f>
      </c>
      <c r="HN377">
        <f>IF(ISBLANK('Data Entry'!$Ğ$377), "", 'Data Entry'!$Ğ$377)</f>
      </c>
      <c r="HO377">
        <f>IF(ISBLANK('Data Entry'!$ğ$377), "", 'Data Entry'!$ğ$377)</f>
      </c>
      <c r="HP377">
        <f>IF(ISBLANK('Data Entry'!$Ġ$377), "", 'Data Entry'!$Ġ$377)</f>
      </c>
      <c r="HQ377">
        <f>IF(ISBLANK('Data Entry'!$ġ$377), "", 'Data Entry'!$ġ$377)</f>
      </c>
      <c r="HR377">
        <f>IF(ISBLANK('Data Entry'!$Ģ$377), "", 'Data Entry'!$Ģ$377)</f>
      </c>
      <c r="HS377">
        <f>IF(ISBLANK('Data Entry'!$ģ$377), "", 'Data Entry'!$ģ$377)</f>
      </c>
      <c r="HT377">
        <f>IF(ISBLANK('Data Entry'!$Ĥ$377), "", 'Data Entry'!$Ĥ$377)</f>
      </c>
      <c r="HU377">
        <f>IF(ISBLANK('Data Entry'!$ĥ$377), "", 'Data Entry'!$ĥ$377)</f>
      </c>
      <c r="HV377">
        <f>IF(ISBLANK('Data Entry'!$Ħ$377), "", 'Data Entry'!$Ħ$377)</f>
      </c>
      <c r="HW377">
        <f>IF(ISBLANK('Data Entry'!$ħ$377), "", 'Data Entry'!$ħ$377)</f>
      </c>
      <c r="HX377">
        <f>IF(ISBLANK('Data Entry'!$Ĩ$377), "", 'Data Entry'!$Ĩ$377)</f>
      </c>
      <c r="HY377">
        <f>IF(ISBLANK('Data Entry'!$ĩ$377), "", 'Data Entry'!$ĩ$377)</f>
      </c>
      <c r="HZ377">
        <f>IF(ISBLANK('Data Entry'!$Ī$377), "", 'Data Entry'!$Ī$377)</f>
      </c>
      <c r="IA377">
        <f>IF(ISBLANK('Data Entry'!$ī$377), "", 'Data Entry'!$ī$377)</f>
      </c>
      <c r="IB377">
        <f>IF(ISBLANK('Data Entry'!$Ĭ$377), "", 'Data Entry'!$Ĭ$377)</f>
      </c>
      <c r="IC377">
        <f>IF(ISBLANK('Data Entry'!$ĭ$377), "", 'Data Entry'!$ĭ$377)</f>
      </c>
      <c r="ID377">
        <f>IF(ISBLANK('Data Entry'!$Į$377), "", 'Data Entry'!$Į$377)</f>
      </c>
      <c r="IE377">
        <f>IF(ISBLANK('Data Entry'!$į$377), "", 'Data Entry'!$į$377)</f>
      </c>
      <c r="IF377">
        <f>IF(ISBLANK('Data Entry'!$İ$377), "", 'Data Entry'!$İ$377)</f>
      </c>
      <c r="IG377">
        <f>IF(ISBLANK('Data Entry'!$ı$377), "", 'Data Entry'!$ı$377)</f>
      </c>
      <c r="IH377">
        <f>IF(ISBLANK('Data Entry'!$Ĳ$377), "", 'Data Entry'!$Ĳ$377)</f>
      </c>
      <c r="II377">
        <f>IF(ISBLANK('Data Entry'!$ĳ$377), "", 'Data Entry'!$ĳ$377)</f>
      </c>
      <c r="IJ377">
        <f>IF(ISBLANK('Data Entry'!$Ĵ$377), "", 'Data Entry'!$Ĵ$377)</f>
      </c>
      <c r="IK377">
        <f>IF(ISBLANK('Data Entry'!$ĵ$377), "", 'Data Entry'!$ĵ$377)</f>
      </c>
      <c r="IL377">
        <f>IF(ISBLANK('Data Entry'!$Ķ$377), "", 'Data Entry'!$Ķ$377)</f>
      </c>
      <c r="IM377">
        <f>IF(ISBLANK('Data Entry'!$ķ$377), "", 'Data Entry'!$ķ$377)</f>
      </c>
      <c r="IN377">
        <f>IF(ISBLANK('Data Entry'!$ĸ$377), "", 'Data Entry'!$ĸ$377)</f>
      </c>
      <c r="IO377">
        <f>IF(ISBLANK('Data Entry'!$Ĺ$377), "", 'Data Entry'!$Ĺ$377)</f>
      </c>
      <c r="IP377">
        <f>IF(ISBLANK('Data Entry'!$ĺ$377), "", 'Data Entry'!$ĺ$377)</f>
      </c>
      <c r="IQ377">
        <f>IF(ISBLANK('Data Entry'!$Ļ$377), "", 'Data Entry'!$Ļ$377)</f>
      </c>
      <c r="IR377">
        <f>IF(ISBLANK('Data Entry'!$ļ$377), "", 'Data Entry'!$ļ$377)</f>
      </c>
      <c r="IS377">
        <f>IF(ISBLANK('Data Entry'!$Ľ$377), "", 'Data Entry'!$Ľ$377)</f>
      </c>
      <c r="IT377">
        <f>IF(ISBLANK('Data Entry'!$ľ$377), "", 'Data Entry'!$ľ$377)</f>
      </c>
    </row>
    <row r="378" spans="1:254" x14ac:dyDescent="0.25">
      <c r="A378">
        <f>IF(ISBLANK('Data Entry'!$A$378), "", 'Data Entry'!$A$378)</f>
      </c>
      <c r="B378">
        <f>IF(ISBLANK('Data Entry'!$B$378), "", 'Data Entry'!$B$378)</f>
      </c>
      <c r="C378">
        <f>IF(ISBLANK('Data Entry'!$C$378), "", 'Data Entry'!$C$378)</f>
      </c>
      <c r="D378">
        <f>IF(ISBLANK('Data Entry'!$D$378), "", 'Data Entry'!$D$378)</f>
      </c>
      <c r="E378">
        <f>IF(ISBLANK('Data Entry'!$E$378), "", 'Data Entry'!$E$378)</f>
      </c>
      <c r="F378">
        <f>IF(ISBLANK('Data Entry'!$F$378), "", 'Data Entry'!$F$378)</f>
      </c>
      <c r="G378">
        <f>IF(ISBLANK('Data Entry'!$G$378), "", 'Data Entry'!$G$378)</f>
      </c>
      <c r="H378">
        <f>IF(ISBLANK('Data Entry'!$H$378), "", 'Data Entry'!$H$378)</f>
      </c>
      <c r="I378">
        <f>IF(ISBLANK('Data Entry'!$I$378), "", 'Data Entry'!$I$378)</f>
      </c>
      <c r="J378">
        <f>IF(ISBLANK('Data Entry'!$J$378), "", 'Data Entry'!$J$378)</f>
      </c>
      <c r="K378">
        <f>IF(ISBLANK('Data Entry'!$K$378), "", 'Data Entry'!$K$378)</f>
      </c>
      <c r="L378">
        <f>IF(ISBLANK('Data Entry'!$L$378), "", 'Data Entry'!$L$378)</f>
      </c>
      <c r="M378">
        <f>IF(ISBLANK('Data Entry'!$M$378), "", 'Data Entry'!$M$378)</f>
      </c>
      <c r="N378">
        <f>IF(ISBLANK('Data Entry'!$N$378), "", 'Data Entry'!$N$378)</f>
      </c>
      <c r="O378">
        <f>IF(ISBLANK('Data Entry'!$O$378), "", 'Data Entry'!$O$378)</f>
      </c>
      <c r="P378">
        <f>IF(ISBLANK('Data Entry'!$P$378), "", 'Data Entry'!$P$378)</f>
      </c>
      <c r="Q378">
        <f>IF(ISBLANK('Data Entry'!$Q$378), "", 'Data Entry'!$Q$378)</f>
      </c>
      <c r="R378">
        <f>IF(ISBLANK('Data Entry'!$R$378), "", 'Data Entry'!$R$378)</f>
      </c>
      <c r="S378">
        <f>IF(ISBLANK('Data Entry'!$S$378), "", 'Data Entry'!$S$378)</f>
      </c>
      <c r="T378">
        <f>IF(ISBLANK('Data Entry'!$T$378), "", 'Data Entry'!$T$378)</f>
      </c>
      <c r="U378">
        <f>IF(ISBLANK('Data Entry'!$U$378), "", 'Data Entry'!$U$378)</f>
      </c>
      <c r="V378">
        <f>IF(ISBLANK('Data Entry'!$V$378), "", 'Data Entry'!$V$378)</f>
      </c>
      <c r="W378">
        <f>IF(ISBLANK('Data Entry'!$W$378), "", 'Data Entry'!$W$378)</f>
      </c>
      <c r="X378">
        <f>IF(ISBLANK('Data Entry'!$X$378), "", 'Data Entry'!$X$378)</f>
      </c>
      <c r="Y378">
        <f>IF(ISBLANK('Data Entry'!$Y$378), "", 'Data Entry'!$Y$378)</f>
      </c>
      <c r="Z378">
        <f>IF(ISBLANK('Data Entry'!$Z$378), "", 'Data Entry'!$Z$378)</f>
      </c>
      <c r="AA378">
        <f>IF(ISBLANK('Data Entry'!$[$378), "", 'Data Entry'!$[$378)</f>
      </c>
      <c r="AB378">
        <f>IF(ISBLANK('Data Entry'!$\$378), "", 'Data Entry'!$\$378)</f>
      </c>
      <c r="AC378">
        <f>IF(ISBLANK('Data Entry'!$]$378), "", 'Data Entry'!$]$378)</f>
      </c>
      <c r="AD378">
        <f>IF(ISBLANK('Data Entry'!$^$378), "", 'Data Entry'!$^$378)</f>
      </c>
      <c r="AE378">
        <f>IF(ISBLANK('Data Entry'!$_$378), "", 'Data Entry'!$_$378)</f>
      </c>
      <c r="AF378">
        <f>IF(ISBLANK('Data Entry'!$`$378), "", 'Data Entry'!$`$378)</f>
      </c>
      <c r="AG378">
        <f>IF(ISBLANK('Data Entry'!$a$378), "", 'Data Entry'!$a$378)</f>
      </c>
      <c r="AH378">
        <f>IF(ISBLANK('Data Entry'!$b$378), "", 'Data Entry'!$b$378)</f>
      </c>
      <c r="AI378">
        <f>IF(ISBLANK('Data Entry'!$c$378), "", 'Data Entry'!$c$378)</f>
      </c>
      <c r="AJ378">
        <f>IF(ISBLANK('Data Entry'!$d$378), "", 'Data Entry'!$d$378)</f>
      </c>
      <c r="AK378">
        <f>IF(ISBLANK('Data Entry'!$e$378), "", 'Data Entry'!$e$378)</f>
      </c>
      <c r="AL378">
        <f>IF(ISBLANK('Data Entry'!$f$378), "", 'Data Entry'!$f$378)</f>
      </c>
      <c r="AM378">
        <f>IF(ISBLANK('Data Entry'!$g$378), "", 'Data Entry'!$g$378)</f>
      </c>
      <c r="AN378">
        <f>IF(ISBLANK('Data Entry'!$h$378), "", 'Data Entry'!$h$378)</f>
      </c>
      <c r="AO378">
        <f>IF(ISBLANK('Data Entry'!$i$378), "", 'Data Entry'!$i$378)</f>
      </c>
      <c r="AP378">
        <f>IF(ISBLANK('Data Entry'!$j$378), "", 'Data Entry'!$j$378)</f>
      </c>
      <c r="AQ378">
        <f>IF(ISBLANK('Data Entry'!$k$378), "", 'Data Entry'!$k$378)</f>
      </c>
      <c r="AR378">
        <f>IF(ISBLANK('Data Entry'!$l$378), "", 'Data Entry'!$l$378)</f>
      </c>
      <c r="AS378">
        <f>IF(ISBLANK('Data Entry'!$m$378), "", 'Data Entry'!$m$378)</f>
      </c>
      <c r="AT378">
        <f>IF(ISBLANK('Data Entry'!$n$378), "", 'Data Entry'!$n$378)</f>
      </c>
      <c r="AU378">
        <f>IF(ISBLANK('Data Entry'!$o$378), "", 'Data Entry'!$o$378)</f>
      </c>
      <c r="AV378">
        <f>IF(ISBLANK('Data Entry'!$p$378), "", 'Data Entry'!$p$378)</f>
      </c>
      <c r="AW378">
        <f>IF(ISBLANK('Data Entry'!$q$378), "", 'Data Entry'!$q$378)</f>
      </c>
      <c r="AX378">
        <f>IF(ISBLANK('Data Entry'!$r$378), "", 'Data Entry'!$r$378)</f>
      </c>
      <c r="AY378">
        <f>IF(ISBLANK('Data Entry'!$s$378), "", 'Data Entry'!$s$378)</f>
      </c>
      <c r="AZ378">
        <f>IF(ISBLANK('Data Entry'!$t$378), "", 'Data Entry'!$t$378)</f>
      </c>
      <c r="BA378">
        <f>IF(ISBLANK('Data Entry'!$u$378), "", 'Data Entry'!$u$378)</f>
      </c>
      <c r="BB378">
        <f>IF(ISBLANK('Data Entry'!$v$378), "", 'Data Entry'!$v$378)</f>
      </c>
      <c r="BC378">
        <f>IF(ISBLANK('Data Entry'!$w$378), "", 'Data Entry'!$w$378)</f>
      </c>
      <c r="BD378">
        <f>IF(ISBLANK('Data Entry'!$x$378), "", 'Data Entry'!$x$378)</f>
      </c>
      <c r="BE378">
        <f>IF(ISBLANK('Data Entry'!$y$378), "", 'Data Entry'!$y$378)</f>
      </c>
      <c r="BF378">
        <f>IF(ISBLANK('Data Entry'!$z$378), "", 'Data Entry'!$z$378)</f>
      </c>
      <c r="BG378">
        <f>IF(ISBLANK('Data Entry'!${$378), "", 'Data Entry'!${$378)</f>
      </c>
      <c r="BH378">
        <f>IF(ISBLANK('Data Entry'!$|$378), "", 'Data Entry'!$|$378)</f>
      </c>
      <c r="BI378">
        <f>IF(ISBLANK('Data Entry'!$}$378), "", 'Data Entry'!$}$378)</f>
      </c>
      <c r="BJ378">
        <f>IF(ISBLANK('Data Entry'!$~$378), "", 'Data Entry'!$~$378)</f>
      </c>
      <c r="BK378">
        <f>IF(ISBLANK('Data Entry'!$$378), "", 'Data Entry'!$$378)</f>
      </c>
      <c r="BL378">
        <f>IF(ISBLANK('Data Entry'!$$378), "", 'Data Entry'!$$378)</f>
      </c>
      <c r="BM378">
        <f>IF(ISBLANK('Data Entry'!$$378), "", 'Data Entry'!$$378)</f>
      </c>
      <c r="BN378">
        <f>IF(ISBLANK('Data Entry'!$$378), "", 'Data Entry'!$$378)</f>
      </c>
      <c r="BO378">
        <f>IF(ISBLANK('Data Entry'!$$378), "", 'Data Entry'!$$378)</f>
      </c>
      <c r="BP378">
        <f>IF(ISBLANK('Data Entry'!$$378), "", 'Data Entry'!$$378)</f>
      </c>
      <c r="BQ378">
        <f>IF(ISBLANK('Data Entry'!$$378), "", 'Data Entry'!$$378)</f>
      </c>
      <c r="BR378">
        <f>IF(ISBLANK('Data Entry'!$$378), "", 'Data Entry'!$$378)</f>
      </c>
      <c r="BS378">
        <f>IF(ISBLANK('Data Entry'!$$378), "", 'Data Entry'!$$378)</f>
      </c>
      <c r="BT378">
        <f>IF(ISBLANK('Data Entry'!$$378), "", 'Data Entry'!$$378)</f>
      </c>
      <c r="BU378">
        <f>IF(ISBLANK('Data Entry'!$$378), "", 'Data Entry'!$$378)</f>
      </c>
      <c r="BV378">
        <f>IF(ISBLANK('Data Entry'!$$378), "", 'Data Entry'!$$378)</f>
      </c>
      <c r="BW378">
        <f>IF(ISBLANK('Data Entry'!$$378), "", 'Data Entry'!$$378)</f>
      </c>
      <c r="BX378">
        <f>IF(ISBLANK('Data Entry'!$$378), "", 'Data Entry'!$$378)</f>
      </c>
      <c r="BY378">
        <f>IF(ISBLANK('Data Entry'!$$378), "", 'Data Entry'!$$378)</f>
      </c>
      <c r="BZ378">
        <f>IF(ISBLANK('Data Entry'!$$378), "", 'Data Entry'!$$378)</f>
      </c>
      <c r="CA378">
        <f>IF(ISBLANK('Data Entry'!$$378), "", 'Data Entry'!$$378)</f>
      </c>
      <c r="CB378">
        <f>IF(ISBLANK('Data Entry'!$$378), "", 'Data Entry'!$$378)</f>
      </c>
      <c r="CC378">
        <f>IF(ISBLANK('Data Entry'!$$378), "", 'Data Entry'!$$378)</f>
      </c>
      <c r="CD378">
        <f>IF(ISBLANK('Data Entry'!$$378), "", 'Data Entry'!$$378)</f>
      </c>
      <c r="CE378">
        <f>IF(ISBLANK('Data Entry'!$$378), "", 'Data Entry'!$$378)</f>
      </c>
      <c r="CF378">
        <f>IF(ISBLANK('Data Entry'!$$378), "", 'Data Entry'!$$378)</f>
      </c>
      <c r="CG378">
        <f>IF(ISBLANK('Data Entry'!$$378), "", 'Data Entry'!$$378)</f>
      </c>
      <c r="CH378">
        <f>IF(ISBLANK('Data Entry'!$$378), "", 'Data Entry'!$$378)</f>
      </c>
      <c r="CI378">
        <f>IF(ISBLANK('Data Entry'!$$378), "", 'Data Entry'!$$378)</f>
      </c>
      <c r="CJ378">
        <f>IF(ISBLANK('Data Entry'!$$378), "", 'Data Entry'!$$378)</f>
      </c>
      <c r="CK378">
        <f>IF(ISBLANK('Data Entry'!$$378), "", 'Data Entry'!$$378)</f>
      </c>
      <c r="CL378">
        <f>IF(ISBLANK('Data Entry'!$$378), "", 'Data Entry'!$$378)</f>
      </c>
      <c r="CM378">
        <f>IF(ISBLANK('Data Entry'!$$378), "", 'Data Entry'!$$378)</f>
      </c>
      <c r="CN378">
        <f>IF(ISBLANK('Data Entry'!$$378), "", 'Data Entry'!$$378)</f>
      </c>
      <c r="CO378">
        <f>IF(ISBLANK('Data Entry'!$$378), "", 'Data Entry'!$$378)</f>
      </c>
      <c r="CP378">
        <f>IF(ISBLANK('Data Entry'!$$378), "", 'Data Entry'!$$378)</f>
      </c>
      <c r="CQ378">
        <f>IF(ISBLANK('Data Entry'!$$378), "", 'Data Entry'!$$378)</f>
      </c>
      <c r="CR378">
        <f>IF(ISBLANK('Data Entry'!$ $378), "", 'Data Entry'!$ $378)</f>
      </c>
      <c r="CS378">
        <f>IF(ISBLANK('Data Entry'!$¡$378), "", 'Data Entry'!$¡$378)</f>
      </c>
      <c r="CT378">
        <f>IF(ISBLANK('Data Entry'!$¢$378), "", 'Data Entry'!$¢$378)</f>
      </c>
      <c r="CU378">
        <f>IF(ISBLANK('Data Entry'!$£$378), "", 'Data Entry'!$£$378)</f>
      </c>
      <c r="CV378">
        <f>IF(ISBLANK('Data Entry'!$¤$378), "", 'Data Entry'!$¤$378)</f>
      </c>
      <c r="CW378">
        <f>IF(ISBLANK('Data Entry'!$¥$378), "", 'Data Entry'!$¥$378)</f>
      </c>
      <c r="CX378">
        <f>IF(ISBLANK('Data Entry'!$¦$378), "", 'Data Entry'!$¦$378)</f>
      </c>
      <c r="CY378">
        <f>IF(ISBLANK('Data Entry'!$§$378), "", 'Data Entry'!$§$378)</f>
      </c>
      <c r="CZ378">
        <f>IF(ISBLANK('Data Entry'!$¨$378), "", 'Data Entry'!$¨$378)</f>
      </c>
      <c r="DA378">
        <f>IF(ISBLANK('Data Entry'!$©$378), "", 'Data Entry'!$©$378)</f>
      </c>
      <c r="DB378">
        <f>IF(ISBLANK('Data Entry'!$ª$378), "", 'Data Entry'!$ª$378)</f>
      </c>
      <c r="DC378">
        <f>IF(ISBLANK('Data Entry'!$«$378), "", 'Data Entry'!$«$378)</f>
      </c>
      <c r="DD378">
        <f>IF(ISBLANK('Data Entry'!$¬$378), "", 'Data Entry'!$¬$378)</f>
      </c>
      <c r="DE378">
        <f>IF(ISBLANK('Data Entry'!$­$378), "", 'Data Entry'!$­$378)</f>
      </c>
      <c r="DF378">
        <f>IF(ISBLANK('Data Entry'!$®$378), "", 'Data Entry'!$®$378)</f>
      </c>
      <c r="DG378">
        <f>IF(ISBLANK('Data Entry'!$¯$378), "", 'Data Entry'!$¯$378)</f>
      </c>
      <c r="DH378">
        <f>IF(ISBLANK('Data Entry'!$°$378), "", 'Data Entry'!$°$378)</f>
      </c>
      <c r="DI378">
        <f>IF(ISBLANK('Data Entry'!$±$378), "", 'Data Entry'!$±$378)</f>
      </c>
      <c r="DJ378">
        <f>IF(ISBLANK('Data Entry'!$²$378), "", 'Data Entry'!$²$378)</f>
      </c>
      <c r="DK378">
        <f>IF(ISBLANK('Data Entry'!$³$378), "", 'Data Entry'!$³$378)</f>
      </c>
      <c r="DL378">
        <f>IF(ISBLANK('Data Entry'!$´$378), "", 'Data Entry'!$´$378)</f>
      </c>
      <c r="DM378">
        <f>IF(ISBLANK('Data Entry'!$µ$378), "", 'Data Entry'!$µ$378)</f>
      </c>
      <c r="DN378">
        <f>IF(ISBLANK('Data Entry'!$¶$378), "", 'Data Entry'!$¶$378)</f>
      </c>
      <c r="DO378">
        <f>IF(ISBLANK('Data Entry'!$·$378), "", 'Data Entry'!$·$378)</f>
      </c>
      <c r="DP378">
        <f>IF(ISBLANK('Data Entry'!$¸$378), "", 'Data Entry'!$¸$378)</f>
      </c>
      <c r="DQ378">
        <f>IF(ISBLANK('Data Entry'!$¹$378), "", 'Data Entry'!$¹$378)</f>
      </c>
      <c r="DR378">
        <f>IF(ISBLANK('Data Entry'!$º$378), "", 'Data Entry'!$º$378)</f>
      </c>
      <c r="DS378">
        <f>IF(ISBLANK('Data Entry'!$»$378), "", 'Data Entry'!$»$378)</f>
      </c>
      <c r="DT378">
        <f>IF(ISBLANK('Data Entry'!$¼$378), "", 'Data Entry'!$¼$378)</f>
      </c>
      <c r="DU378">
        <f>IF(ISBLANK('Data Entry'!$½$378), "", 'Data Entry'!$½$378)</f>
      </c>
      <c r="DV378">
        <f>IF(ISBLANK('Data Entry'!$¾$378), "", 'Data Entry'!$¾$378)</f>
      </c>
      <c r="DW378">
        <f>IF(ISBLANK('Data Entry'!$¿$378), "", 'Data Entry'!$¿$378)</f>
      </c>
      <c r="DX378">
        <f>IF(ISBLANK('Data Entry'!$À$378), "", 'Data Entry'!$À$378)</f>
      </c>
      <c r="DY378">
        <f>IF(ISBLANK('Data Entry'!$Á$378), "", 'Data Entry'!$Á$378)</f>
      </c>
      <c r="DZ378">
        <f>IF(ISBLANK('Data Entry'!$Â$378), "", 'Data Entry'!$Â$378)</f>
      </c>
      <c r="EA378">
        <f>IF(ISBLANK('Data Entry'!$Ã$378), "", 'Data Entry'!$Ã$378)</f>
      </c>
      <c r="EB378">
        <f>IF(ISBLANK('Data Entry'!$Ä$378), "", 'Data Entry'!$Ä$378)</f>
      </c>
      <c r="EC378">
        <f>IF(ISBLANK('Data Entry'!$Å$378), "", 'Data Entry'!$Å$378)</f>
      </c>
      <c r="ED378">
        <f>IF(ISBLANK('Data Entry'!$Æ$378), "", 'Data Entry'!$Æ$378)</f>
      </c>
      <c r="EE378">
        <f>IF(ISBLANK('Data Entry'!$Ç$378), "", 'Data Entry'!$Ç$378)</f>
      </c>
      <c r="EF378">
        <f>IF(ISBLANK('Data Entry'!$È$378), "", 'Data Entry'!$È$378)</f>
      </c>
      <c r="EG378">
        <f>IF(ISBLANK('Data Entry'!$É$378), "", 'Data Entry'!$É$378)</f>
      </c>
      <c r="EH378">
        <f>IF(ISBLANK('Data Entry'!$Ê$378), "", 'Data Entry'!$Ê$378)</f>
      </c>
      <c r="EI378">
        <f>IF(ISBLANK('Data Entry'!$Ë$378), "", 'Data Entry'!$Ë$378)</f>
      </c>
      <c r="EJ378">
        <f>IF(ISBLANK('Data Entry'!$Ì$378), "", 'Data Entry'!$Ì$378)</f>
      </c>
      <c r="EK378">
        <f>IF(ISBLANK('Data Entry'!$Í$378), "", 'Data Entry'!$Í$378)</f>
      </c>
      <c r="EL378">
        <f>IF(ISBLANK('Data Entry'!$Î$378), "", 'Data Entry'!$Î$378)</f>
      </c>
      <c r="EM378">
        <f>IF(ISBLANK('Data Entry'!$Ï$378), "", 'Data Entry'!$Ï$378)</f>
      </c>
      <c r="EN378">
        <f>IF(ISBLANK('Data Entry'!$Ð$378), "", 'Data Entry'!$Ð$378)</f>
      </c>
      <c r="EO378">
        <f>IF(ISBLANK('Data Entry'!$Ñ$378), "", 'Data Entry'!$Ñ$378)</f>
      </c>
      <c r="EP378">
        <f>IF(ISBLANK('Data Entry'!$Ò$378), "", 'Data Entry'!$Ò$378)</f>
      </c>
      <c r="EQ378">
        <f>IF(ISBLANK('Data Entry'!$Ó$378), "", 'Data Entry'!$Ó$378)</f>
      </c>
      <c r="ER378">
        <f>IF(ISBLANK('Data Entry'!$Ô$378), "", 'Data Entry'!$Ô$378)</f>
      </c>
      <c r="ES378">
        <f>IF(ISBLANK('Data Entry'!$Õ$378), "", 'Data Entry'!$Õ$378)</f>
      </c>
      <c r="ET378">
        <f>IF(ISBLANK('Data Entry'!$Ö$378), "", 'Data Entry'!$Ö$378)</f>
      </c>
      <c r="EU378">
        <f>IF(ISBLANK('Data Entry'!$×$378), "", 'Data Entry'!$×$378)</f>
      </c>
      <c r="EV378">
        <f>IF(ISBLANK('Data Entry'!$Ø$378), "", 'Data Entry'!$Ø$378)</f>
      </c>
      <c r="EW378">
        <f>IF(ISBLANK('Data Entry'!$Ù$378), "", 'Data Entry'!$Ù$378)</f>
      </c>
      <c r="EX378">
        <f>IF(ISBLANK('Data Entry'!$Ú$378), "", 'Data Entry'!$Ú$378)</f>
      </c>
      <c r="EY378">
        <f>IF(ISBLANK('Data Entry'!$Û$378), "", 'Data Entry'!$Û$378)</f>
      </c>
      <c r="EZ378">
        <f>IF(ISBLANK('Data Entry'!$Ü$378), "", 'Data Entry'!$Ü$378)</f>
      </c>
      <c r="FA378">
        <f>IF(ISBLANK('Data Entry'!$Ý$378), "", 'Data Entry'!$Ý$378)</f>
      </c>
      <c r="FB378">
        <f>IF(ISBLANK('Data Entry'!$Þ$378), "", 'Data Entry'!$Þ$378)</f>
      </c>
      <c r="FC378">
        <f>IF(ISBLANK('Data Entry'!$ß$378), "", 'Data Entry'!$ß$378)</f>
      </c>
      <c r="FD378">
        <f>IF(ISBLANK('Data Entry'!$à$378), "", 'Data Entry'!$à$378)</f>
      </c>
      <c r="FE378">
        <f>IF(ISBLANK('Data Entry'!$á$378), "", 'Data Entry'!$á$378)</f>
      </c>
      <c r="FF378">
        <f>IF(ISBLANK('Data Entry'!$â$378), "", 'Data Entry'!$â$378)</f>
      </c>
      <c r="FG378">
        <f>IF(ISBLANK('Data Entry'!$ã$378), "", 'Data Entry'!$ã$378)</f>
      </c>
      <c r="FH378">
        <f>IF(ISBLANK('Data Entry'!$ä$378), "", 'Data Entry'!$ä$378)</f>
      </c>
      <c r="FI378">
        <f>IF(ISBLANK('Data Entry'!$å$378), "", 'Data Entry'!$å$378)</f>
      </c>
      <c r="FJ378">
        <f>IF(ISBLANK('Data Entry'!$æ$378), "", 'Data Entry'!$æ$378)</f>
      </c>
      <c r="FK378">
        <f>IF(ISBLANK('Data Entry'!$ç$378), "", 'Data Entry'!$ç$378)</f>
      </c>
      <c r="FL378">
        <f>IF(ISBLANK('Data Entry'!$è$378), "", 'Data Entry'!$è$378)</f>
      </c>
      <c r="FM378">
        <f>IF(ISBLANK('Data Entry'!$é$378), "", 'Data Entry'!$é$378)</f>
      </c>
      <c r="FN378">
        <f>IF(ISBLANK('Data Entry'!$ê$378), "", 'Data Entry'!$ê$378)</f>
      </c>
      <c r="FO378">
        <f>IF(ISBLANK('Data Entry'!$ë$378), "", 'Data Entry'!$ë$378)</f>
      </c>
      <c r="FP378">
        <f>IF(ISBLANK('Data Entry'!$ì$378), "", 'Data Entry'!$ì$378)</f>
      </c>
      <c r="FQ378">
        <f>IF(ISBLANK('Data Entry'!$í$378), "", 'Data Entry'!$í$378)</f>
      </c>
      <c r="FR378">
        <f>IF(ISBLANK('Data Entry'!$î$378), "", 'Data Entry'!$î$378)</f>
      </c>
      <c r="FS378">
        <f>IF(ISBLANK('Data Entry'!$ï$378), "", 'Data Entry'!$ï$378)</f>
      </c>
      <c r="FT378">
        <f>IF(ISBLANK('Data Entry'!$ð$378), "", 'Data Entry'!$ð$378)</f>
      </c>
      <c r="FU378">
        <f>IF(ISBLANK('Data Entry'!$ñ$378), "", 'Data Entry'!$ñ$378)</f>
      </c>
      <c r="FV378">
        <f>IF(ISBLANK('Data Entry'!$ò$378), "", 'Data Entry'!$ò$378)</f>
      </c>
      <c r="FW378">
        <f>IF(ISBLANK('Data Entry'!$ó$378), "", 'Data Entry'!$ó$378)</f>
      </c>
      <c r="FX378">
        <f>IF(ISBLANK('Data Entry'!$ô$378), "", 'Data Entry'!$ô$378)</f>
      </c>
      <c r="FY378">
        <f>IF(ISBLANK('Data Entry'!$õ$378), "", 'Data Entry'!$õ$378)</f>
      </c>
      <c r="FZ378">
        <f>IF(ISBLANK('Data Entry'!$ö$378), "", 'Data Entry'!$ö$378)</f>
      </c>
      <c r="GA378">
        <f>IF(ISBLANK('Data Entry'!$÷$378), "", 'Data Entry'!$÷$378)</f>
      </c>
      <c r="GB378">
        <f>IF(ISBLANK('Data Entry'!$ø$378), "", 'Data Entry'!$ø$378)</f>
      </c>
      <c r="GC378">
        <f>IF(ISBLANK('Data Entry'!$ù$378), "", 'Data Entry'!$ù$378)</f>
      </c>
      <c r="GD378">
        <f>IF(ISBLANK('Data Entry'!$ú$378), "", 'Data Entry'!$ú$378)</f>
      </c>
      <c r="GE378">
        <f>IF(ISBLANK('Data Entry'!$û$378), "", 'Data Entry'!$û$378)</f>
      </c>
      <c r="GF378">
        <f>IF(ISBLANK('Data Entry'!$ü$378), "", 'Data Entry'!$ü$378)</f>
      </c>
      <c r="GG378">
        <f>IF(ISBLANK('Data Entry'!$ý$378), "", 'Data Entry'!$ý$378)</f>
      </c>
      <c r="GH378">
        <f>IF(ISBLANK('Data Entry'!$þ$378), "", 'Data Entry'!$þ$378)</f>
      </c>
      <c r="GI378">
        <f>IF(ISBLANK('Data Entry'!$ÿ$378), "", 'Data Entry'!$ÿ$378)</f>
      </c>
      <c r="GJ378">
        <f>IF(ISBLANK('Data Entry'!$Ā$378), "", 'Data Entry'!$Ā$378)</f>
      </c>
      <c r="GK378">
        <f>IF(ISBLANK('Data Entry'!$ā$378), "", 'Data Entry'!$ā$378)</f>
      </c>
      <c r="GL378">
        <f>IF(ISBLANK('Data Entry'!$Ă$378), "", 'Data Entry'!$Ă$378)</f>
      </c>
      <c r="GM378">
        <f>IF(ISBLANK('Data Entry'!$ă$378), "", 'Data Entry'!$ă$378)</f>
      </c>
      <c r="GN378">
        <f>IF(ISBLANK('Data Entry'!$Ą$378), "", 'Data Entry'!$Ą$378)</f>
      </c>
      <c r="GO378">
        <f>IF(ISBLANK('Data Entry'!$ą$378), "", 'Data Entry'!$ą$378)</f>
      </c>
      <c r="GP378">
        <f>IF(ISBLANK('Data Entry'!$Ć$378), "", 'Data Entry'!$Ć$378)</f>
      </c>
      <c r="GQ378">
        <f>IF(ISBLANK('Data Entry'!$ć$378), "", 'Data Entry'!$ć$378)</f>
      </c>
      <c r="GR378">
        <f>IF(ISBLANK('Data Entry'!$Ĉ$378), "", 'Data Entry'!$Ĉ$378)</f>
      </c>
      <c r="GS378">
        <f>IF(ISBLANK('Data Entry'!$ĉ$378), "", 'Data Entry'!$ĉ$378)</f>
      </c>
      <c r="GT378">
        <f>IF(ISBLANK('Data Entry'!$Ċ$378), "", 'Data Entry'!$Ċ$378)</f>
      </c>
      <c r="GU378">
        <f>IF(ISBLANK('Data Entry'!$ċ$378), "", 'Data Entry'!$ċ$378)</f>
      </c>
      <c r="GV378">
        <f>IF(ISBLANK('Data Entry'!$Č$378), "", 'Data Entry'!$Č$378)</f>
      </c>
      <c r="GW378">
        <f>IF(ISBLANK('Data Entry'!$č$378), "", 'Data Entry'!$č$378)</f>
      </c>
      <c r="GX378">
        <f>IF(ISBLANK('Data Entry'!$Ď$378), "", 'Data Entry'!$Ď$378)</f>
      </c>
      <c r="GY378">
        <f>IF(ISBLANK('Data Entry'!$ď$378), "", 'Data Entry'!$ď$378)</f>
      </c>
      <c r="GZ378">
        <f>IF(ISBLANK('Data Entry'!$Đ$378), "", 'Data Entry'!$Đ$378)</f>
      </c>
      <c r="HA378">
        <f>IF(ISBLANK('Data Entry'!$đ$378), "", 'Data Entry'!$đ$378)</f>
      </c>
      <c r="HB378">
        <f>IF(ISBLANK('Data Entry'!$Ē$378), "", 'Data Entry'!$Ē$378)</f>
      </c>
      <c r="HC378">
        <f>IF(ISBLANK('Data Entry'!$ē$378), "", 'Data Entry'!$ē$378)</f>
      </c>
      <c r="HD378">
        <f>IF(ISBLANK('Data Entry'!$Ĕ$378), "", 'Data Entry'!$Ĕ$378)</f>
      </c>
      <c r="HE378">
        <f>IF(ISBLANK('Data Entry'!$ĕ$378), "", 'Data Entry'!$ĕ$378)</f>
      </c>
      <c r="HF378">
        <f>IF(ISBLANK('Data Entry'!$Ė$378), "", 'Data Entry'!$Ė$378)</f>
      </c>
      <c r="HG378">
        <f>IF(ISBLANK('Data Entry'!$ė$378), "", 'Data Entry'!$ė$378)</f>
      </c>
      <c r="HH378">
        <f>IF(ISBLANK('Data Entry'!$Ę$378), "", 'Data Entry'!$Ę$378)</f>
      </c>
      <c r="HI378">
        <f>IF(ISBLANK('Data Entry'!$ę$378), "", 'Data Entry'!$ę$378)</f>
      </c>
      <c r="HJ378">
        <f>IF(ISBLANK('Data Entry'!$Ě$378), "", 'Data Entry'!$Ě$378)</f>
      </c>
      <c r="HK378">
        <f>IF(ISBLANK('Data Entry'!$ě$378), "", 'Data Entry'!$ě$378)</f>
      </c>
      <c r="HL378">
        <f>IF(ISBLANK('Data Entry'!$Ĝ$378), "", 'Data Entry'!$Ĝ$378)</f>
      </c>
      <c r="HM378">
        <f>IF(ISBLANK('Data Entry'!$ĝ$378), "", 'Data Entry'!$ĝ$378)</f>
      </c>
      <c r="HN378">
        <f>IF(ISBLANK('Data Entry'!$Ğ$378), "", 'Data Entry'!$Ğ$378)</f>
      </c>
      <c r="HO378">
        <f>IF(ISBLANK('Data Entry'!$ğ$378), "", 'Data Entry'!$ğ$378)</f>
      </c>
      <c r="HP378">
        <f>IF(ISBLANK('Data Entry'!$Ġ$378), "", 'Data Entry'!$Ġ$378)</f>
      </c>
      <c r="HQ378">
        <f>IF(ISBLANK('Data Entry'!$ġ$378), "", 'Data Entry'!$ġ$378)</f>
      </c>
      <c r="HR378">
        <f>IF(ISBLANK('Data Entry'!$Ģ$378), "", 'Data Entry'!$Ģ$378)</f>
      </c>
      <c r="HS378">
        <f>IF(ISBLANK('Data Entry'!$ģ$378), "", 'Data Entry'!$ģ$378)</f>
      </c>
      <c r="HT378">
        <f>IF(ISBLANK('Data Entry'!$Ĥ$378), "", 'Data Entry'!$Ĥ$378)</f>
      </c>
      <c r="HU378">
        <f>IF(ISBLANK('Data Entry'!$ĥ$378), "", 'Data Entry'!$ĥ$378)</f>
      </c>
      <c r="HV378">
        <f>IF(ISBLANK('Data Entry'!$Ħ$378), "", 'Data Entry'!$Ħ$378)</f>
      </c>
      <c r="HW378">
        <f>IF(ISBLANK('Data Entry'!$ħ$378), "", 'Data Entry'!$ħ$378)</f>
      </c>
      <c r="HX378">
        <f>IF(ISBLANK('Data Entry'!$Ĩ$378), "", 'Data Entry'!$Ĩ$378)</f>
      </c>
      <c r="HY378">
        <f>IF(ISBLANK('Data Entry'!$ĩ$378), "", 'Data Entry'!$ĩ$378)</f>
      </c>
      <c r="HZ378">
        <f>IF(ISBLANK('Data Entry'!$Ī$378), "", 'Data Entry'!$Ī$378)</f>
      </c>
      <c r="IA378">
        <f>IF(ISBLANK('Data Entry'!$ī$378), "", 'Data Entry'!$ī$378)</f>
      </c>
      <c r="IB378">
        <f>IF(ISBLANK('Data Entry'!$Ĭ$378), "", 'Data Entry'!$Ĭ$378)</f>
      </c>
      <c r="IC378">
        <f>IF(ISBLANK('Data Entry'!$ĭ$378), "", 'Data Entry'!$ĭ$378)</f>
      </c>
      <c r="ID378">
        <f>IF(ISBLANK('Data Entry'!$Į$378), "", 'Data Entry'!$Į$378)</f>
      </c>
      <c r="IE378">
        <f>IF(ISBLANK('Data Entry'!$į$378), "", 'Data Entry'!$į$378)</f>
      </c>
      <c r="IF378">
        <f>IF(ISBLANK('Data Entry'!$İ$378), "", 'Data Entry'!$İ$378)</f>
      </c>
      <c r="IG378">
        <f>IF(ISBLANK('Data Entry'!$ı$378), "", 'Data Entry'!$ı$378)</f>
      </c>
      <c r="IH378">
        <f>IF(ISBLANK('Data Entry'!$Ĳ$378), "", 'Data Entry'!$Ĳ$378)</f>
      </c>
      <c r="II378">
        <f>IF(ISBLANK('Data Entry'!$ĳ$378), "", 'Data Entry'!$ĳ$378)</f>
      </c>
      <c r="IJ378">
        <f>IF(ISBLANK('Data Entry'!$Ĵ$378), "", 'Data Entry'!$Ĵ$378)</f>
      </c>
      <c r="IK378">
        <f>IF(ISBLANK('Data Entry'!$ĵ$378), "", 'Data Entry'!$ĵ$378)</f>
      </c>
      <c r="IL378">
        <f>IF(ISBLANK('Data Entry'!$Ķ$378), "", 'Data Entry'!$Ķ$378)</f>
      </c>
      <c r="IM378">
        <f>IF(ISBLANK('Data Entry'!$ķ$378), "", 'Data Entry'!$ķ$378)</f>
      </c>
      <c r="IN378">
        <f>IF(ISBLANK('Data Entry'!$ĸ$378), "", 'Data Entry'!$ĸ$378)</f>
      </c>
      <c r="IO378">
        <f>IF(ISBLANK('Data Entry'!$Ĺ$378), "", 'Data Entry'!$Ĺ$378)</f>
      </c>
      <c r="IP378">
        <f>IF(ISBLANK('Data Entry'!$ĺ$378), "", 'Data Entry'!$ĺ$378)</f>
      </c>
      <c r="IQ378">
        <f>IF(ISBLANK('Data Entry'!$Ļ$378), "", 'Data Entry'!$Ļ$378)</f>
      </c>
      <c r="IR378">
        <f>IF(ISBLANK('Data Entry'!$ļ$378), "", 'Data Entry'!$ļ$378)</f>
      </c>
      <c r="IS378">
        <f>IF(ISBLANK('Data Entry'!$Ľ$378), "", 'Data Entry'!$Ľ$378)</f>
      </c>
      <c r="IT378">
        <f>IF(ISBLANK('Data Entry'!$ľ$378), "", 'Data Entry'!$ľ$378)</f>
      </c>
    </row>
    <row r="379" spans="1:254" x14ac:dyDescent="0.25">
      <c r="A379">
        <f>IF(ISBLANK('Data Entry'!$A$379), "", 'Data Entry'!$A$379)</f>
      </c>
      <c r="B379">
        <f>IF(ISBLANK('Data Entry'!$B$379), "", 'Data Entry'!$B$379)</f>
      </c>
      <c r="C379">
        <f>IF(ISBLANK('Data Entry'!$C$379), "", 'Data Entry'!$C$379)</f>
      </c>
      <c r="D379">
        <f>IF(ISBLANK('Data Entry'!$D$379), "", 'Data Entry'!$D$379)</f>
      </c>
      <c r="E379">
        <f>IF(ISBLANK('Data Entry'!$E$379), "", 'Data Entry'!$E$379)</f>
      </c>
      <c r="F379">
        <f>IF(ISBLANK('Data Entry'!$F$379), "", 'Data Entry'!$F$379)</f>
      </c>
      <c r="G379">
        <f>IF(ISBLANK('Data Entry'!$G$379), "", 'Data Entry'!$G$379)</f>
      </c>
      <c r="H379">
        <f>IF(ISBLANK('Data Entry'!$H$379), "", 'Data Entry'!$H$379)</f>
      </c>
      <c r="I379">
        <f>IF(ISBLANK('Data Entry'!$I$379), "", 'Data Entry'!$I$379)</f>
      </c>
      <c r="J379">
        <f>IF(ISBLANK('Data Entry'!$J$379), "", 'Data Entry'!$J$379)</f>
      </c>
      <c r="K379">
        <f>IF(ISBLANK('Data Entry'!$K$379), "", 'Data Entry'!$K$379)</f>
      </c>
      <c r="L379">
        <f>IF(ISBLANK('Data Entry'!$L$379), "", 'Data Entry'!$L$379)</f>
      </c>
      <c r="M379">
        <f>IF(ISBLANK('Data Entry'!$M$379), "", 'Data Entry'!$M$379)</f>
      </c>
      <c r="N379">
        <f>IF(ISBLANK('Data Entry'!$N$379), "", 'Data Entry'!$N$379)</f>
      </c>
      <c r="O379">
        <f>IF(ISBLANK('Data Entry'!$O$379), "", 'Data Entry'!$O$379)</f>
      </c>
      <c r="P379">
        <f>IF(ISBLANK('Data Entry'!$P$379), "", 'Data Entry'!$P$379)</f>
      </c>
      <c r="Q379">
        <f>IF(ISBLANK('Data Entry'!$Q$379), "", 'Data Entry'!$Q$379)</f>
      </c>
      <c r="R379">
        <f>IF(ISBLANK('Data Entry'!$R$379), "", 'Data Entry'!$R$379)</f>
      </c>
      <c r="S379">
        <f>IF(ISBLANK('Data Entry'!$S$379), "", 'Data Entry'!$S$379)</f>
      </c>
      <c r="T379">
        <f>IF(ISBLANK('Data Entry'!$T$379), "", 'Data Entry'!$T$379)</f>
      </c>
      <c r="U379">
        <f>IF(ISBLANK('Data Entry'!$U$379), "", 'Data Entry'!$U$379)</f>
      </c>
      <c r="V379">
        <f>IF(ISBLANK('Data Entry'!$V$379), "", 'Data Entry'!$V$379)</f>
      </c>
      <c r="W379">
        <f>IF(ISBLANK('Data Entry'!$W$379), "", 'Data Entry'!$W$379)</f>
      </c>
      <c r="X379">
        <f>IF(ISBLANK('Data Entry'!$X$379), "", 'Data Entry'!$X$379)</f>
      </c>
      <c r="Y379">
        <f>IF(ISBLANK('Data Entry'!$Y$379), "", 'Data Entry'!$Y$379)</f>
      </c>
      <c r="Z379">
        <f>IF(ISBLANK('Data Entry'!$Z$379), "", 'Data Entry'!$Z$379)</f>
      </c>
      <c r="AA379">
        <f>IF(ISBLANK('Data Entry'!$[$379), "", 'Data Entry'!$[$379)</f>
      </c>
      <c r="AB379">
        <f>IF(ISBLANK('Data Entry'!$\$379), "", 'Data Entry'!$\$379)</f>
      </c>
      <c r="AC379">
        <f>IF(ISBLANK('Data Entry'!$]$379), "", 'Data Entry'!$]$379)</f>
      </c>
      <c r="AD379">
        <f>IF(ISBLANK('Data Entry'!$^$379), "", 'Data Entry'!$^$379)</f>
      </c>
      <c r="AE379">
        <f>IF(ISBLANK('Data Entry'!$_$379), "", 'Data Entry'!$_$379)</f>
      </c>
      <c r="AF379">
        <f>IF(ISBLANK('Data Entry'!$`$379), "", 'Data Entry'!$`$379)</f>
      </c>
      <c r="AG379">
        <f>IF(ISBLANK('Data Entry'!$a$379), "", 'Data Entry'!$a$379)</f>
      </c>
      <c r="AH379">
        <f>IF(ISBLANK('Data Entry'!$b$379), "", 'Data Entry'!$b$379)</f>
      </c>
      <c r="AI379">
        <f>IF(ISBLANK('Data Entry'!$c$379), "", 'Data Entry'!$c$379)</f>
      </c>
      <c r="AJ379">
        <f>IF(ISBLANK('Data Entry'!$d$379), "", 'Data Entry'!$d$379)</f>
      </c>
      <c r="AK379">
        <f>IF(ISBLANK('Data Entry'!$e$379), "", 'Data Entry'!$e$379)</f>
      </c>
      <c r="AL379">
        <f>IF(ISBLANK('Data Entry'!$f$379), "", 'Data Entry'!$f$379)</f>
      </c>
      <c r="AM379">
        <f>IF(ISBLANK('Data Entry'!$g$379), "", 'Data Entry'!$g$379)</f>
      </c>
      <c r="AN379">
        <f>IF(ISBLANK('Data Entry'!$h$379), "", 'Data Entry'!$h$379)</f>
      </c>
      <c r="AO379">
        <f>IF(ISBLANK('Data Entry'!$i$379), "", 'Data Entry'!$i$379)</f>
      </c>
      <c r="AP379">
        <f>IF(ISBLANK('Data Entry'!$j$379), "", 'Data Entry'!$j$379)</f>
      </c>
      <c r="AQ379">
        <f>IF(ISBLANK('Data Entry'!$k$379), "", 'Data Entry'!$k$379)</f>
      </c>
      <c r="AR379">
        <f>IF(ISBLANK('Data Entry'!$l$379), "", 'Data Entry'!$l$379)</f>
      </c>
      <c r="AS379">
        <f>IF(ISBLANK('Data Entry'!$m$379), "", 'Data Entry'!$m$379)</f>
      </c>
      <c r="AT379">
        <f>IF(ISBLANK('Data Entry'!$n$379), "", 'Data Entry'!$n$379)</f>
      </c>
      <c r="AU379">
        <f>IF(ISBLANK('Data Entry'!$o$379), "", 'Data Entry'!$o$379)</f>
      </c>
      <c r="AV379">
        <f>IF(ISBLANK('Data Entry'!$p$379), "", 'Data Entry'!$p$379)</f>
      </c>
      <c r="AW379">
        <f>IF(ISBLANK('Data Entry'!$q$379), "", 'Data Entry'!$q$379)</f>
      </c>
      <c r="AX379">
        <f>IF(ISBLANK('Data Entry'!$r$379), "", 'Data Entry'!$r$379)</f>
      </c>
      <c r="AY379">
        <f>IF(ISBLANK('Data Entry'!$s$379), "", 'Data Entry'!$s$379)</f>
      </c>
      <c r="AZ379">
        <f>IF(ISBLANK('Data Entry'!$t$379), "", 'Data Entry'!$t$379)</f>
      </c>
      <c r="BA379">
        <f>IF(ISBLANK('Data Entry'!$u$379), "", 'Data Entry'!$u$379)</f>
      </c>
      <c r="BB379">
        <f>IF(ISBLANK('Data Entry'!$v$379), "", 'Data Entry'!$v$379)</f>
      </c>
      <c r="BC379">
        <f>IF(ISBLANK('Data Entry'!$w$379), "", 'Data Entry'!$w$379)</f>
      </c>
      <c r="BD379">
        <f>IF(ISBLANK('Data Entry'!$x$379), "", 'Data Entry'!$x$379)</f>
      </c>
      <c r="BE379">
        <f>IF(ISBLANK('Data Entry'!$y$379), "", 'Data Entry'!$y$379)</f>
      </c>
      <c r="BF379">
        <f>IF(ISBLANK('Data Entry'!$z$379), "", 'Data Entry'!$z$379)</f>
      </c>
      <c r="BG379">
        <f>IF(ISBLANK('Data Entry'!${$379), "", 'Data Entry'!${$379)</f>
      </c>
      <c r="BH379">
        <f>IF(ISBLANK('Data Entry'!$|$379), "", 'Data Entry'!$|$379)</f>
      </c>
      <c r="BI379">
        <f>IF(ISBLANK('Data Entry'!$}$379), "", 'Data Entry'!$}$379)</f>
      </c>
      <c r="BJ379">
        <f>IF(ISBLANK('Data Entry'!$~$379), "", 'Data Entry'!$~$379)</f>
      </c>
      <c r="BK379">
        <f>IF(ISBLANK('Data Entry'!$$379), "", 'Data Entry'!$$379)</f>
      </c>
      <c r="BL379">
        <f>IF(ISBLANK('Data Entry'!$$379), "", 'Data Entry'!$$379)</f>
      </c>
      <c r="BM379">
        <f>IF(ISBLANK('Data Entry'!$$379), "", 'Data Entry'!$$379)</f>
      </c>
      <c r="BN379">
        <f>IF(ISBLANK('Data Entry'!$$379), "", 'Data Entry'!$$379)</f>
      </c>
      <c r="BO379">
        <f>IF(ISBLANK('Data Entry'!$$379), "", 'Data Entry'!$$379)</f>
      </c>
      <c r="BP379">
        <f>IF(ISBLANK('Data Entry'!$$379), "", 'Data Entry'!$$379)</f>
      </c>
      <c r="BQ379">
        <f>IF(ISBLANK('Data Entry'!$$379), "", 'Data Entry'!$$379)</f>
      </c>
      <c r="BR379">
        <f>IF(ISBLANK('Data Entry'!$$379), "", 'Data Entry'!$$379)</f>
      </c>
      <c r="BS379">
        <f>IF(ISBLANK('Data Entry'!$$379), "", 'Data Entry'!$$379)</f>
      </c>
      <c r="BT379">
        <f>IF(ISBLANK('Data Entry'!$$379), "", 'Data Entry'!$$379)</f>
      </c>
      <c r="BU379">
        <f>IF(ISBLANK('Data Entry'!$$379), "", 'Data Entry'!$$379)</f>
      </c>
      <c r="BV379">
        <f>IF(ISBLANK('Data Entry'!$$379), "", 'Data Entry'!$$379)</f>
      </c>
      <c r="BW379">
        <f>IF(ISBLANK('Data Entry'!$$379), "", 'Data Entry'!$$379)</f>
      </c>
      <c r="BX379">
        <f>IF(ISBLANK('Data Entry'!$$379), "", 'Data Entry'!$$379)</f>
      </c>
      <c r="BY379">
        <f>IF(ISBLANK('Data Entry'!$$379), "", 'Data Entry'!$$379)</f>
      </c>
      <c r="BZ379">
        <f>IF(ISBLANK('Data Entry'!$$379), "", 'Data Entry'!$$379)</f>
      </c>
      <c r="CA379">
        <f>IF(ISBLANK('Data Entry'!$$379), "", 'Data Entry'!$$379)</f>
      </c>
      <c r="CB379">
        <f>IF(ISBLANK('Data Entry'!$$379), "", 'Data Entry'!$$379)</f>
      </c>
      <c r="CC379">
        <f>IF(ISBLANK('Data Entry'!$$379), "", 'Data Entry'!$$379)</f>
      </c>
      <c r="CD379">
        <f>IF(ISBLANK('Data Entry'!$$379), "", 'Data Entry'!$$379)</f>
      </c>
      <c r="CE379">
        <f>IF(ISBLANK('Data Entry'!$$379), "", 'Data Entry'!$$379)</f>
      </c>
      <c r="CF379">
        <f>IF(ISBLANK('Data Entry'!$$379), "", 'Data Entry'!$$379)</f>
      </c>
      <c r="CG379">
        <f>IF(ISBLANK('Data Entry'!$$379), "", 'Data Entry'!$$379)</f>
      </c>
      <c r="CH379">
        <f>IF(ISBLANK('Data Entry'!$$379), "", 'Data Entry'!$$379)</f>
      </c>
      <c r="CI379">
        <f>IF(ISBLANK('Data Entry'!$$379), "", 'Data Entry'!$$379)</f>
      </c>
      <c r="CJ379">
        <f>IF(ISBLANK('Data Entry'!$$379), "", 'Data Entry'!$$379)</f>
      </c>
      <c r="CK379">
        <f>IF(ISBLANK('Data Entry'!$$379), "", 'Data Entry'!$$379)</f>
      </c>
      <c r="CL379">
        <f>IF(ISBLANK('Data Entry'!$$379), "", 'Data Entry'!$$379)</f>
      </c>
      <c r="CM379">
        <f>IF(ISBLANK('Data Entry'!$$379), "", 'Data Entry'!$$379)</f>
      </c>
      <c r="CN379">
        <f>IF(ISBLANK('Data Entry'!$$379), "", 'Data Entry'!$$379)</f>
      </c>
      <c r="CO379">
        <f>IF(ISBLANK('Data Entry'!$$379), "", 'Data Entry'!$$379)</f>
      </c>
      <c r="CP379">
        <f>IF(ISBLANK('Data Entry'!$$379), "", 'Data Entry'!$$379)</f>
      </c>
      <c r="CQ379">
        <f>IF(ISBLANK('Data Entry'!$$379), "", 'Data Entry'!$$379)</f>
      </c>
      <c r="CR379">
        <f>IF(ISBLANK('Data Entry'!$ $379), "", 'Data Entry'!$ $379)</f>
      </c>
      <c r="CS379">
        <f>IF(ISBLANK('Data Entry'!$¡$379), "", 'Data Entry'!$¡$379)</f>
      </c>
      <c r="CT379">
        <f>IF(ISBLANK('Data Entry'!$¢$379), "", 'Data Entry'!$¢$379)</f>
      </c>
      <c r="CU379">
        <f>IF(ISBLANK('Data Entry'!$£$379), "", 'Data Entry'!$£$379)</f>
      </c>
      <c r="CV379">
        <f>IF(ISBLANK('Data Entry'!$¤$379), "", 'Data Entry'!$¤$379)</f>
      </c>
      <c r="CW379">
        <f>IF(ISBLANK('Data Entry'!$¥$379), "", 'Data Entry'!$¥$379)</f>
      </c>
      <c r="CX379">
        <f>IF(ISBLANK('Data Entry'!$¦$379), "", 'Data Entry'!$¦$379)</f>
      </c>
      <c r="CY379">
        <f>IF(ISBLANK('Data Entry'!$§$379), "", 'Data Entry'!$§$379)</f>
      </c>
      <c r="CZ379">
        <f>IF(ISBLANK('Data Entry'!$¨$379), "", 'Data Entry'!$¨$379)</f>
      </c>
      <c r="DA379">
        <f>IF(ISBLANK('Data Entry'!$©$379), "", 'Data Entry'!$©$379)</f>
      </c>
      <c r="DB379">
        <f>IF(ISBLANK('Data Entry'!$ª$379), "", 'Data Entry'!$ª$379)</f>
      </c>
      <c r="DC379">
        <f>IF(ISBLANK('Data Entry'!$«$379), "", 'Data Entry'!$«$379)</f>
      </c>
      <c r="DD379">
        <f>IF(ISBLANK('Data Entry'!$¬$379), "", 'Data Entry'!$¬$379)</f>
      </c>
      <c r="DE379">
        <f>IF(ISBLANK('Data Entry'!$­$379), "", 'Data Entry'!$­$379)</f>
      </c>
      <c r="DF379">
        <f>IF(ISBLANK('Data Entry'!$®$379), "", 'Data Entry'!$®$379)</f>
      </c>
      <c r="DG379">
        <f>IF(ISBLANK('Data Entry'!$¯$379), "", 'Data Entry'!$¯$379)</f>
      </c>
      <c r="DH379">
        <f>IF(ISBLANK('Data Entry'!$°$379), "", 'Data Entry'!$°$379)</f>
      </c>
      <c r="DI379">
        <f>IF(ISBLANK('Data Entry'!$±$379), "", 'Data Entry'!$±$379)</f>
      </c>
      <c r="DJ379">
        <f>IF(ISBLANK('Data Entry'!$²$379), "", 'Data Entry'!$²$379)</f>
      </c>
      <c r="DK379">
        <f>IF(ISBLANK('Data Entry'!$³$379), "", 'Data Entry'!$³$379)</f>
      </c>
      <c r="DL379">
        <f>IF(ISBLANK('Data Entry'!$´$379), "", 'Data Entry'!$´$379)</f>
      </c>
      <c r="DM379">
        <f>IF(ISBLANK('Data Entry'!$µ$379), "", 'Data Entry'!$µ$379)</f>
      </c>
      <c r="DN379">
        <f>IF(ISBLANK('Data Entry'!$¶$379), "", 'Data Entry'!$¶$379)</f>
      </c>
      <c r="DO379">
        <f>IF(ISBLANK('Data Entry'!$·$379), "", 'Data Entry'!$·$379)</f>
      </c>
      <c r="DP379">
        <f>IF(ISBLANK('Data Entry'!$¸$379), "", 'Data Entry'!$¸$379)</f>
      </c>
      <c r="DQ379">
        <f>IF(ISBLANK('Data Entry'!$¹$379), "", 'Data Entry'!$¹$379)</f>
      </c>
      <c r="DR379">
        <f>IF(ISBLANK('Data Entry'!$º$379), "", 'Data Entry'!$º$379)</f>
      </c>
      <c r="DS379">
        <f>IF(ISBLANK('Data Entry'!$»$379), "", 'Data Entry'!$»$379)</f>
      </c>
      <c r="DT379">
        <f>IF(ISBLANK('Data Entry'!$¼$379), "", 'Data Entry'!$¼$379)</f>
      </c>
      <c r="DU379">
        <f>IF(ISBLANK('Data Entry'!$½$379), "", 'Data Entry'!$½$379)</f>
      </c>
      <c r="DV379">
        <f>IF(ISBLANK('Data Entry'!$¾$379), "", 'Data Entry'!$¾$379)</f>
      </c>
      <c r="DW379">
        <f>IF(ISBLANK('Data Entry'!$¿$379), "", 'Data Entry'!$¿$379)</f>
      </c>
      <c r="DX379">
        <f>IF(ISBLANK('Data Entry'!$À$379), "", 'Data Entry'!$À$379)</f>
      </c>
      <c r="DY379">
        <f>IF(ISBLANK('Data Entry'!$Á$379), "", 'Data Entry'!$Á$379)</f>
      </c>
      <c r="DZ379">
        <f>IF(ISBLANK('Data Entry'!$Â$379), "", 'Data Entry'!$Â$379)</f>
      </c>
      <c r="EA379">
        <f>IF(ISBLANK('Data Entry'!$Ã$379), "", 'Data Entry'!$Ã$379)</f>
      </c>
      <c r="EB379">
        <f>IF(ISBLANK('Data Entry'!$Ä$379), "", 'Data Entry'!$Ä$379)</f>
      </c>
      <c r="EC379">
        <f>IF(ISBLANK('Data Entry'!$Å$379), "", 'Data Entry'!$Å$379)</f>
      </c>
      <c r="ED379">
        <f>IF(ISBLANK('Data Entry'!$Æ$379), "", 'Data Entry'!$Æ$379)</f>
      </c>
      <c r="EE379">
        <f>IF(ISBLANK('Data Entry'!$Ç$379), "", 'Data Entry'!$Ç$379)</f>
      </c>
      <c r="EF379">
        <f>IF(ISBLANK('Data Entry'!$È$379), "", 'Data Entry'!$È$379)</f>
      </c>
      <c r="EG379">
        <f>IF(ISBLANK('Data Entry'!$É$379), "", 'Data Entry'!$É$379)</f>
      </c>
      <c r="EH379">
        <f>IF(ISBLANK('Data Entry'!$Ê$379), "", 'Data Entry'!$Ê$379)</f>
      </c>
      <c r="EI379">
        <f>IF(ISBLANK('Data Entry'!$Ë$379), "", 'Data Entry'!$Ë$379)</f>
      </c>
      <c r="EJ379">
        <f>IF(ISBLANK('Data Entry'!$Ì$379), "", 'Data Entry'!$Ì$379)</f>
      </c>
      <c r="EK379">
        <f>IF(ISBLANK('Data Entry'!$Í$379), "", 'Data Entry'!$Í$379)</f>
      </c>
      <c r="EL379">
        <f>IF(ISBLANK('Data Entry'!$Î$379), "", 'Data Entry'!$Î$379)</f>
      </c>
      <c r="EM379">
        <f>IF(ISBLANK('Data Entry'!$Ï$379), "", 'Data Entry'!$Ï$379)</f>
      </c>
      <c r="EN379">
        <f>IF(ISBLANK('Data Entry'!$Ð$379), "", 'Data Entry'!$Ð$379)</f>
      </c>
      <c r="EO379">
        <f>IF(ISBLANK('Data Entry'!$Ñ$379), "", 'Data Entry'!$Ñ$379)</f>
      </c>
      <c r="EP379">
        <f>IF(ISBLANK('Data Entry'!$Ò$379), "", 'Data Entry'!$Ò$379)</f>
      </c>
      <c r="EQ379">
        <f>IF(ISBLANK('Data Entry'!$Ó$379), "", 'Data Entry'!$Ó$379)</f>
      </c>
      <c r="ER379">
        <f>IF(ISBLANK('Data Entry'!$Ô$379), "", 'Data Entry'!$Ô$379)</f>
      </c>
      <c r="ES379">
        <f>IF(ISBLANK('Data Entry'!$Õ$379), "", 'Data Entry'!$Õ$379)</f>
      </c>
      <c r="ET379">
        <f>IF(ISBLANK('Data Entry'!$Ö$379), "", 'Data Entry'!$Ö$379)</f>
      </c>
      <c r="EU379">
        <f>IF(ISBLANK('Data Entry'!$×$379), "", 'Data Entry'!$×$379)</f>
      </c>
      <c r="EV379">
        <f>IF(ISBLANK('Data Entry'!$Ø$379), "", 'Data Entry'!$Ø$379)</f>
      </c>
      <c r="EW379">
        <f>IF(ISBLANK('Data Entry'!$Ù$379), "", 'Data Entry'!$Ù$379)</f>
      </c>
      <c r="EX379">
        <f>IF(ISBLANK('Data Entry'!$Ú$379), "", 'Data Entry'!$Ú$379)</f>
      </c>
      <c r="EY379">
        <f>IF(ISBLANK('Data Entry'!$Û$379), "", 'Data Entry'!$Û$379)</f>
      </c>
      <c r="EZ379">
        <f>IF(ISBLANK('Data Entry'!$Ü$379), "", 'Data Entry'!$Ü$379)</f>
      </c>
      <c r="FA379">
        <f>IF(ISBLANK('Data Entry'!$Ý$379), "", 'Data Entry'!$Ý$379)</f>
      </c>
      <c r="FB379">
        <f>IF(ISBLANK('Data Entry'!$Þ$379), "", 'Data Entry'!$Þ$379)</f>
      </c>
      <c r="FC379">
        <f>IF(ISBLANK('Data Entry'!$ß$379), "", 'Data Entry'!$ß$379)</f>
      </c>
      <c r="FD379">
        <f>IF(ISBLANK('Data Entry'!$à$379), "", 'Data Entry'!$à$379)</f>
      </c>
      <c r="FE379">
        <f>IF(ISBLANK('Data Entry'!$á$379), "", 'Data Entry'!$á$379)</f>
      </c>
      <c r="FF379">
        <f>IF(ISBLANK('Data Entry'!$â$379), "", 'Data Entry'!$â$379)</f>
      </c>
      <c r="FG379">
        <f>IF(ISBLANK('Data Entry'!$ã$379), "", 'Data Entry'!$ã$379)</f>
      </c>
      <c r="FH379">
        <f>IF(ISBLANK('Data Entry'!$ä$379), "", 'Data Entry'!$ä$379)</f>
      </c>
      <c r="FI379">
        <f>IF(ISBLANK('Data Entry'!$å$379), "", 'Data Entry'!$å$379)</f>
      </c>
      <c r="FJ379">
        <f>IF(ISBLANK('Data Entry'!$æ$379), "", 'Data Entry'!$æ$379)</f>
      </c>
      <c r="FK379">
        <f>IF(ISBLANK('Data Entry'!$ç$379), "", 'Data Entry'!$ç$379)</f>
      </c>
      <c r="FL379">
        <f>IF(ISBLANK('Data Entry'!$è$379), "", 'Data Entry'!$è$379)</f>
      </c>
      <c r="FM379">
        <f>IF(ISBLANK('Data Entry'!$é$379), "", 'Data Entry'!$é$379)</f>
      </c>
      <c r="FN379">
        <f>IF(ISBLANK('Data Entry'!$ê$379), "", 'Data Entry'!$ê$379)</f>
      </c>
      <c r="FO379">
        <f>IF(ISBLANK('Data Entry'!$ë$379), "", 'Data Entry'!$ë$379)</f>
      </c>
      <c r="FP379">
        <f>IF(ISBLANK('Data Entry'!$ì$379), "", 'Data Entry'!$ì$379)</f>
      </c>
      <c r="FQ379">
        <f>IF(ISBLANK('Data Entry'!$í$379), "", 'Data Entry'!$í$379)</f>
      </c>
      <c r="FR379">
        <f>IF(ISBLANK('Data Entry'!$î$379), "", 'Data Entry'!$î$379)</f>
      </c>
      <c r="FS379">
        <f>IF(ISBLANK('Data Entry'!$ï$379), "", 'Data Entry'!$ï$379)</f>
      </c>
      <c r="FT379">
        <f>IF(ISBLANK('Data Entry'!$ð$379), "", 'Data Entry'!$ð$379)</f>
      </c>
      <c r="FU379">
        <f>IF(ISBLANK('Data Entry'!$ñ$379), "", 'Data Entry'!$ñ$379)</f>
      </c>
      <c r="FV379">
        <f>IF(ISBLANK('Data Entry'!$ò$379), "", 'Data Entry'!$ò$379)</f>
      </c>
      <c r="FW379">
        <f>IF(ISBLANK('Data Entry'!$ó$379), "", 'Data Entry'!$ó$379)</f>
      </c>
      <c r="FX379">
        <f>IF(ISBLANK('Data Entry'!$ô$379), "", 'Data Entry'!$ô$379)</f>
      </c>
      <c r="FY379">
        <f>IF(ISBLANK('Data Entry'!$õ$379), "", 'Data Entry'!$õ$379)</f>
      </c>
      <c r="FZ379">
        <f>IF(ISBLANK('Data Entry'!$ö$379), "", 'Data Entry'!$ö$379)</f>
      </c>
      <c r="GA379">
        <f>IF(ISBLANK('Data Entry'!$÷$379), "", 'Data Entry'!$÷$379)</f>
      </c>
      <c r="GB379">
        <f>IF(ISBLANK('Data Entry'!$ø$379), "", 'Data Entry'!$ø$379)</f>
      </c>
      <c r="GC379">
        <f>IF(ISBLANK('Data Entry'!$ù$379), "", 'Data Entry'!$ù$379)</f>
      </c>
      <c r="GD379">
        <f>IF(ISBLANK('Data Entry'!$ú$379), "", 'Data Entry'!$ú$379)</f>
      </c>
      <c r="GE379">
        <f>IF(ISBLANK('Data Entry'!$û$379), "", 'Data Entry'!$û$379)</f>
      </c>
      <c r="GF379">
        <f>IF(ISBLANK('Data Entry'!$ü$379), "", 'Data Entry'!$ü$379)</f>
      </c>
      <c r="GG379">
        <f>IF(ISBLANK('Data Entry'!$ý$379), "", 'Data Entry'!$ý$379)</f>
      </c>
      <c r="GH379">
        <f>IF(ISBLANK('Data Entry'!$þ$379), "", 'Data Entry'!$þ$379)</f>
      </c>
      <c r="GI379">
        <f>IF(ISBLANK('Data Entry'!$ÿ$379), "", 'Data Entry'!$ÿ$379)</f>
      </c>
      <c r="GJ379">
        <f>IF(ISBLANK('Data Entry'!$Ā$379), "", 'Data Entry'!$Ā$379)</f>
      </c>
      <c r="GK379">
        <f>IF(ISBLANK('Data Entry'!$ā$379), "", 'Data Entry'!$ā$379)</f>
      </c>
      <c r="GL379">
        <f>IF(ISBLANK('Data Entry'!$Ă$379), "", 'Data Entry'!$Ă$379)</f>
      </c>
      <c r="GM379">
        <f>IF(ISBLANK('Data Entry'!$ă$379), "", 'Data Entry'!$ă$379)</f>
      </c>
      <c r="GN379">
        <f>IF(ISBLANK('Data Entry'!$Ą$379), "", 'Data Entry'!$Ą$379)</f>
      </c>
      <c r="GO379">
        <f>IF(ISBLANK('Data Entry'!$ą$379), "", 'Data Entry'!$ą$379)</f>
      </c>
      <c r="GP379">
        <f>IF(ISBLANK('Data Entry'!$Ć$379), "", 'Data Entry'!$Ć$379)</f>
      </c>
      <c r="GQ379">
        <f>IF(ISBLANK('Data Entry'!$ć$379), "", 'Data Entry'!$ć$379)</f>
      </c>
      <c r="GR379">
        <f>IF(ISBLANK('Data Entry'!$Ĉ$379), "", 'Data Entry'!$Ĉ$379)</f>
      </c>
      <c r="GS379">
        <f>IF(ISBLANK('Data Entry'!$ĉ$379), "", 'Data Entry'!$ĉ$379)</f>
      </c>
      <c r="GT379">
        <f>IF(ISBLANK('Data Entry'!$Ċ$379), "", 'Data Entry'!$Ċ$379)</f>
      </c>
      <c r="GU379">
        <f>IF(ISBLANK('Data Entry'!$ċ$379), "", 'Data Entry'!$ċ$379)</f>
      </c>
      <c r="GV379">
        <f>IF(ISBLANK('Data Entry'!$Č$379), "", 'Data Entry'!$Č$379)</f>
      </c>
      <c r="GW379">
        <f>IF(ISBLANK('Data Entry'!$č$379), "", 'Data Entry'!$č$379)</f>
      </c>
      <c r="GX379">
        <f>IF(ISBLANK('Data Entry'!$Ď$379), "", 'Data Entry'!$Ď$379)</f>
      </c>
      <c r="GY379">
        <f>IF(ISBLANK('Data Entry'!$ď$379), "", 'Data Entry'!$ď$379)</f>
      </c>
      <c r="GZ379">
        <f>IF(ISBLANK('Data Entry'!$Đ$379), "", 'Data Entry'!$Đ$379)</f>
      </c>
      <c r="HA379">
        <f>IF(ISBLANK('Data Entry'!$đ$379), "", 'Data Entry'!$đ$379)</f>
      </c>
      <c r="HB379">
        <f>IF(ISBLANK('Data Entry'!$Ē$379), "", 'Data Entry'!$Ē$379)</f>
      </c>
      <c r="HC379">
        <f>IF(ISBLANK('Data Entry'!$ē$379), "", 'Data Entry'!$ē$379)</f>
      </c>
      <c r="HD379">
        <f>IF(ISBLANK('Data Entry'!$Ĕ$379), "", 'Data Entry'!$Ĕ$379)</f>
      </c>
      <c r="HE379">
        <f>IF(ISBLANK('Data Entry'!$ĕ$379), "", 'Data Entry'!$ĕ$379)</f>
      </c>
      <c r="HF379">
        <f>IF(ISBLANK('Data Entry'!$Ė$379), "", 'Data Entry'!$Ė$379)</f>
      </c>
      <c r="HG379">
        <f>IF(ISBLANK('Data Entry'!$ė$379), "", 'Data Entry'!$ė$379)</f>
      </c>
      <c r="HH379">
        <f>IF(ISBLANK('Data Entry'!$Ę$379), "", 'Data Entry'!$Ę$379)</f>
      </c>
      <c r="HI379">
        <f>IF(ISBLANK('Data Entry'!$ę$379), "", 'Data Entry'!$ę$379)</f>
      </c>
      <c r="HJ379">
        <f>IF(ISBLANK('Data Entry'!$Ě$379), "", 'Data Entry'!$Ě$379)</f>
      </c>
      <c r="HK379">
        <f>IF(ISBLANK('Data Entry'!$ě$379), "", 'Data Entry'!$ě$379)</f>
      </c>
      <c r="HL379">
        <f>IF(ISBLANK('Data Entry'!$Ĝ$379), "", 'Data Entry'!$Ĝ$379)</f>
      </c>
      <c r="HM379">
        <f>IF(ISBLANK('Data Entry'!$ĝ$379), "", 'Data Entry'!$ĝ$379)</f>
      </c>
      <c r="HN379">
        <f>IF(ISBLANK('Data Entry'!$Ğ$379), "", 'Data Entry'!$Ğ$379)</f>
      </c>
      <c r="HO379">
        <f>IF(ISBLANK('Data Entry'!$ğ$379), "", 'Data Entry'!$ğ$379)</f>
      </c>
      <c r="HP379">
        <f>IF(ISBLANK('Data Entry'!$Ġ$379), "", 'Data Entry'!$Ġ$379)</f>
      </c>
      <c r="HQ379">
        <f>IF(ISBLANK('Data Entry'!$ġ$379), "", 'Data Entry'!$ġ$379)</f>
      </c>
      <c r="HR379">
        <f>IF(ISBLANK('Data Entry'!$Ģ$379), "", 'Data Entry'!$Ģ$379)</f>
      </c>
      <c r="HS379">
        <f>IF(ISBLANK('Data Entry'!$ģ$379), "", 'Data Entry'!$ģ$379)</f>
      </c>
      <c r="HT379">
        <f>IF(ISBLANK('Data Entry'!$Ĥ$379), "", 'Data Entry'!$Ĥ$379)</f>
      </c>
      <c r="HU379">
        <f>IF(ISBLANK('Data Entry'!$ĥ$379), "", 'Data Entry'!$ĥ$379)</f>
      </c>
      <c r="HV379">
        <f>IF(ISBLANK('Data Entry'!$Ħ$379), "", 'Data Entry'!$Ħ$379)</f>
      </c>
      <c r="HW379">
        <f>IF(ISBLANK('Data Entry'!$ħ$379), "", 'Data Entry'!$ħ$379)</f>
      </c>
      <c r="HX379">
        <f>IF(ISBLANK('Data Entry'!$Ĩ$379), "", 'Data Entry'!$Ĩ$379)</f>
      </c>
      <c r="HY379">
        <f>IF(ISBLANK('Data Entry'!$ĩ$379), "", 'Data Entry'!$ĩ$379)</f>
      </c>
      <c r="HZ379">
        <f>IF(ISBLANK('Data Entry'!$Ī$379), "", 'Data Entry'!$Ī$379)</f>
      </c>
      <c r="IA379">
        <f>IF(ISBLANK('Data Entry'!$ī$379), "", 'Data Entry'!$ī$379)</f>
      </c>
      <c r="IB379">
        <f>IF(ISBLANK('Data Entry'!$Ĭ$379), "", 'Data Entry'!$Ĭ$379)</f>
      </c>
      <c r="IC379">
        <f>IF(ISBLANK('Data Entry'!$ĭ$379), "", 'Data Entry'!$ĭ$379)</f>
      </c>
      <c r="ID379">
        <f>IF(ISBLANK('Data Entry'!$Į$379), "", 'Data Entry'!$Į$379)</f>
      </c>
      <c r="IE379">
        <f>IF(ISBLANK('Data Entry'!$į$379), "", 'Data Entry'!$į$379)</f>
      </c>
      <c r="IF379">
        <f>IF(ISBLANK('Data Entry'!$İ$379), "", 'Data Entry'!$İ$379)</f>
      </c>
      <c r="IG379">
        <f>IF(ISBLANK('Data Entry'!$ı$379), "", 'Data Entry'!$ı$379)</f>
      </c>
      <c r="IH379">
        <f>IF(ISBLANK('Data Entry'!$Ĳ$379), "", 'Data Entry'!$Ĳ$379)</f>
      </c>
      <c r="II379">
        <f>IF(ISBLANK('Data Entry'!$ĳ$379), "", 'Data Entry'!$ĳ$379)</f>
      </c>
      <c r="IJ379">
        <f>IF(ISBLANK('Data Entry'!$Ĵ$379), "", 'Data Entry'!$Ĵ$379)</f>
      </c>
      <c r="IK379">
        <f>IF(ISBLANK('Data Entry'!$ĵ$379), "", 'Data Entry'!$ĵ$379)</f>
      </c>
      <c r="IL379">
        <f>IF(ISBLANK('Data Entry'!$Ķ$379), "", 'Data Entry'!$Ķ$379)</f>
      </c>
      <c r="IM379">
        <f>IF(ISBLANK('Data Entry'!$ķ$379), "", 'Data Entry'!$ķ$379)</f>
      </c>
      <c r="IN379">
        <f>IF(ISBLANK('Data Entry'!$ĸ$379), "", 'Data Entry'!$ĸ$379)</f>
      </c>
      <c r="IO379">
        <f>IF(ISBLANK('Data Entry'!$Ĺ$379), "", 'Data Entry'!$Ĺ$379)</f>
      </c>
      <c r="IP379">
        <f>IF(ISBLANK('Data Entry'!$ĺ$379), "", 'Data Entry'!$ĺ$379)</f>
      </c>
      <c r="IQ379">
        <f>IF(ISBLANK('Data Entry'!$Ļ$379), "", 'Data Entry'!$Ļ$379)</f>
      </c>
      <c r="IR379">
        <f>IF(ISBLANK('Data Entry'!$ļ$379), "", 'Data Entry'!$ļ$379)</f>
      </c>
      <c r="IS379">
        <f>IF(ISBLANK('Data Entry'!$Ľ$379), "", 'Data Entry'!$Ľ$379)</f>
      </c>
      <c r="IT379">
        <f>IF(ISBLANK('Data Entry'!$ľ$379), "", 'Data Entry'!$ľ$379)</f>
      </c>
    </row>
    <row r="380" spans="1:254" x14ac:dyDescent="0.25">
      <c r="A380">
        <f>IF(ISBLANK('Data Entry'!$A$380), "", 'Data Entry'!$A$380)</f>
      </c>
      <c r="B380">
        <f>IF(ISBLANK('Data Entry'!$B$380), "", 'Data Entry'!$B$380)</f>
      </c>
      <c r="C380">
        <f>IF(ISBLANK('Data Entry'!$C$380), "", 'Data Entry'!$C$380)</f>
      </c>
      <c r="D380">
        <f>IF(ISBLANK('Data Entry'!$D$380), "", 'Data Entry'!$D$380)</f>
      </c>
      <c r="E380">
        <f>IF(ISBLANK('Data Entry'!$E$380), "", 'Data Entry'!$E$380)</f>
      </c>
      <c r="F380">
        <f>IF(ISBLANK('Data Entry'!$F$380), "", 'Data Entry'!$F$380)</f>
      </c>
      <c r="G380">
        <f>IF(ISBLANK('Data Entry'!$G$380), "", 'Data Entry'!$G$380)</f>
      </c>
      <c r="H380">
        <f>IF(ISBLANK('Data Entry'!$H$380), "", 'Data Entry'!$H$380)</f>
      </c>
      <c r="I380">
        <f>IF(ISBLANK('Data Entry'!$I$380), "", 'Data Entry'!$I$380)</f>
      </c>
      <c r="J380">
        <f>IF(ISBLANK('Data Entry'!$J$380), "", 'Data Entry'!$J$380)</f>
      </c>
      <c r="K380">
        <f>IF(ISBLANK('Data Entry'!$K$380), "", 'Data Entry'!$K$380)</f>
      </c>
      <c r="L380">
        <f>IF(ISBLANK('Data Entry'!$L$380), "", 'Data Entry'!$L$380)</f>
      </c>
      <c r="M380">
        <f>IF(ISBLANK('Data Entry'!$M$380), "", 'Data Entry'!$M$380)</f>
      </c>
      <c r="N380">
        <f>IF(ISBLANK('Data Entry'!$N$380), "", 'Data Entry'!$N$380)</f>
      </c>
      <c r="O380">
        <f>IF(ISBLANK('Data Entry'!$O$380), "", 'Data Entry'!$O$380)</f>
      </c>
      <c r="P380">
        <f>IF(ISBLANK('Data Entry'!$P$380), "", 'Data Entry'!$P$380)</f>
      </c>
      <c r="Q380">
        <f>IF(ISBLANK('Data Entry'!$Q$380), "", 'Data Entry'!$Q$380)</f>
      </c>
      <c r="R380">
        <f>IF(ISBLANK('Data Entry'!$R$380), "", 'Data Entry'!$R$380)</f>
      </c>
      <c r="S380">
        <f>IF(ISBLANK('Data Entry'!$S$380), "", 'Data Entry'!$S$380)</f>
      </c>
      <c r="T380">
        <f>IF(ISBLANK('Data Entry'!$T$380), "", 'Data Entry'!$T$380)</f>
      </c>
      <c r="U380">
        <f>IF(ISBLANK('Data Entry'!$U$380), "", 'Data Entry'!$U$380)</f>
      </c>
      <c r="V380">
        <f>IF(ISBLANK('Data Entry'!$V$380), "", 'Data Entry'!$V$380)</f>
      </c>
      <c r="W380">
        <f>IF(ISBLANK('Data Entry'!$W$380), "", 'Data Entry'!$W$380)</f>
      </c>
      <c r="X380">
        <f>IF(ISBLANK('Data Entry'!$X$380), "", 'Data Entry'!$X$380)</f>
      </c>
      <c r="Y380">
        <f>IF(ISBLANK('Data Entry'!$Y$380), "", 'Data Entry'!$Y$380)</f>
      </c>
      <c r="Z380">
        <f>IF(ISBLANK('Data Entry'!$Z$380), "", 'Data Entry'!$Z$380)</f>
      </c>
      <c r="AA380">
        <f>IF(ISBLANK('Data Entry'!$[$380), "", 'Data Entry'!$[$380)</f>
      </c>
      <c r="AB380">
        <f>IF(ISBLANK('Data Entry'!$\$380), "", 'Data Entry'!$\$380)</f>
      </c>
      <c r="AC380">
        <f>IF(ISBLANK('Data Entry'!$]$380), "", 'Data Entry'!$]$380)</f>
      </c>
      <c r="AD380">
        <f>IF(ISBLANK('Data Entry'!$^$380), "", 'Data Entry'!$^$380)</f>
      </c>
      <c r="AE380">
        <f>IF(ISBLANK('Data Entry'!$_$380), "", 'Data Entry'!$_$380)</f>
      </c>
      <c r="AF380">
        <f>IF(ISBLANK('Data Entry'!$`$380), "", 'Data Entry'!$`$380)</f>
      </c>
      <c r="AG380">
        <f>IF(ISBLANK('Data Entry'!$a$380), "", 'Data Entry'!$a$380)</f>
      </c>
      <c r="AH380">
        <f>IF(ISBLANK('Data Entry'!$b$380), "", 'Data Entry'!$b$380)</f>
      </c>
      <c r="AI380">
        <f>IF(ISBLANK('Data Entry'!$c$380), "", 'Data Entry'!$c$380)</f>
      </c>
      <c r="AJ380">
        <f>IF(ISBLANK('Data Entry'!$d$380), "", 'Data Entry'!$d$380)</f>
      </c>
      <c r="AK380">
        <f>IF(ISBLANK('Data Entry'!$e$380), "", 'Data Entry'!$e$380)</f>
      </c>
      <c r="AL380">
        <f>IF(ISBLANK('Data Entry'!$f$380), "", 'Data Entry'!$f$380)</f>
      </c>
      <c r="AM380">
        <f>IF(ISBLANK('Data Entry'!$g$380), "", 'Data Entry'!$g$380)</f>
      </c>
      <c r="AN380">
        <f>IF(ISBLANK('Data Entry'!$h$380), "", 'Data Entry'!$h$380)</f>
      </c>
      <c r="AO380">
        <f>IF(ISBLANK('Data Entry'!$i$380), "", 'Data Entry'!$i$380)</f>
      </c>
      <c r="AP380">
        <f>IF(ISBLANK('Data Entry'!$j$380), "", 'Data Entry'!$j$380)</f>
      </c>
      <c r="AQ380">
        <f>IF(ISBLANK('Data Entry'!$k$380), "", 'Data Entry'!$k$380)</f>
      </c>
      <c r="AR380">
        <f>IF(ISBLANK('Data Entry'!$l$380), "", 'Data Entry'!$l$380)</f>
      </c>
      <c r="AS380">
        <f>IF(ISBLANK('Data Entry'!$m$380), "", 'Data Entry'!$m$380)</f>
      </c>
      <c r="AT380">
        <f>IF(ISBLANK('Data Entry'!$n$380), "", 'Data Entry'!$n$380)</f>
      </c>
      <c r="AU380">
        <f>IF(ISBLANK('Data Entry'!$o$380), "", 'Data Entry'!$o$380)</f>
      </c>
      <c r="AV380">
        <f>IF(ISBLANK('Data Entry'!$p$380), "", 'Data Entry'!$p$380)</f>
      </c>
      <c r="AW380">
        <f>IF(ISBLANK('Data Entry'!$q$380), "", 'Data Entry'!$q$380)</f>
      </c>
      <c r="AX380">
        <f>IF(ISBLANK('Data Entry'!$r$380), "", 'Data Entry'!$r$380)</f>
      </c>
      <c r="AY380">
        <f>IF(ISBLANK('Data Entry'!$s$380), "", 'Data Entry'!$s$380)</f>
      </c>
      <c r="AZ380">
        <f>IF(ISBLANK('Data Entry'!$t$380), "", 'Data Entry'!$t$380)</f>
      </c>
      <c r="BA380">
        <f>IF(ISBLANK('Data Entry'!$u$380), "", 'Data Entry'!$u$380)</f>
      </c>
      <c r="BB380">
        <f>IF(ISBLANK('Data Entry'!$v$380), "", 'Data Entry'!$v$380)</f>
      </c>
      <c r="BC380">
        <f>IF(ISBLANK('Data Entry'!$w$380), "", 'Data Entry'!$w$380)</f>
      </c>
      <c r="BD380">
        <f>IF(ISBLANK('Data Entry'!$x$380), "", 'Data Entry'!$x$380)</f>
      </c>
      <c r="BE380">
        <f>IF(ISBLANK('Data Entry'!$y$380), "", 'Data Entry'!$y$380)</f>
      </c>
      <c r="BF380">
        <f>IF(ISBLANK('Data Entry'!$z$380), "", 'Data Entry'!$z$380)</f>
      </c>
      <c r="BG380">
        <f>IF(ISBLANK('Data Entry'!${$380), "", 'Data Entry'!${$380)</f>
      </c>
      <c r="BH380">
        <f>IF(ISBLANK('Data Entry'!$|$380), "", 'Data Entry'!$|$380)</f>
      </c>
      <c r="BI380">
        <f>IF(ISBLANK('Data Entry'!$}$380), "", 'Data Entry'!$}$380)</f>
      </c>
      <c r="BJ380">
        <f>IF(ISBLANK('Data Entry'!$~$380), "", 'Data Entry'!$~$380)</f>
      </c>
      <c r="BK380">
        <f>IF(ISBLANK('Data Entry'!$$380), "", 'Data Entry'!$$380)</f>
      </c>
      <c r="BL380">
        <f>IF(ISBLANK('Data Entry'!$$380), "", 'Data Entry'!$$380)</f>
      </c>
      <c r="BM380">
        <f>IF(ISBLANK('Data Entry'!$$380), "", 'Data Entry'!$$380)</f>
      </c>
      <c r="BN380">
        <f>IF(ISBLANK('Data Entry'!$$380), "", 'Data Entry'!$$380)</f>
      </c>
      <c r="BO380">
        <f>IF(ISBLANK('Data Entry'!$$380), "", 'Data Entry'!$$380)</f>
      </c>
      <c r="BP380">
        <f>IF(ISBLANK('Data Entry'!$$380), "", 'Data Entry'!$$380)</f>
      </c>
      <c r="BQ380">
        <f>IF(ISBLANK('Data Entry'!$$380), "", 'Data Entry'!$$380)</f>
      </c>
      <c r="BR380">
        <f>IF(ISBLANK('Data Entry'!$$380), "", 'Data Entry'!$$380)</f>
      </c>
      <c r="BS380">
        <f>IF(ISBLANK('Data Entry'!$$380), "", 'Data Entry'!$$380)</f>
      </c>
      <c r="BT380">
        <f>IF(ISBLANK('Data Entry'!$$380), "", 'Data Entry'!$$380)</f>
      </c>
      <c r="BU380">
        <f>IF(ISBLANK('Data Entry'!$$380), "", 'Data Entry'!$$380)</f>
      </c>
      <c r="BV380">
        <f>IF(ISBLANK('Data Entry'!$$380), "", 'Data Entry'!$$380)</f>
      </c>
      <c r="BW380">
        <f>IF(ISBLANK('Data Entry'!$$380), "", 'Data Entry'!$$380)</f>
      </c>
      <c r="BX380">
        <f>IF(ISBLANK('Data Entry'!$$380), "", 'Data Entry'!$$380)</f>
      </c>
      <c r="BY380">
        <f>IF(ISBLANK('Data Entry'!$$380), "", 'Data Entry'!$$380)</f>
      </c>
      <c r="BZ380">
        <f>IF(ISBLANK('Data Entry'!$$380), "", 'Data Entry'!$$380)</f>
      </c>
      <c r="CA380">
        <f>IF(ISBLANK('Data Entry'!$$380), "", 'Data Entry'!$$380)</f>
      </c>
      <c r="CB380">
        <f>IF(ISBLANK('Data Entry'!$$380), "", 'Data Entry'!$$380)</f>
      </c>
      <c r="CC380">
        <f>IF(ISBLANK('Data Entry'!$$380), "", 'Data Entry'!$$380)</f>
      </c>
      <c r="CD380">
        <f>IF(ISBLANK('Data Entry'!$$380), "", 'Data Entry'!$$380)</f>
      </c>
      <c r="CE380">
        <f>IF(ISBLANK('Data Entry'!$$380), "", 'Data Entry'!$$380)</f>
      </c>
      <c r="CF380">
        <f>IF(ISBLANK('Data Entry'!$$380), "", 'Data Entry'!$$380)</f>
      </c>
      <c r="CG380">
        <f>IF(ISBLANK('Data Entry'!$$380), "", 'Data Entry'!$$380)</f>
      </c>
      <c r="CH380">
        <f>IF(ISBLANK('Data Entry'!$$380), "", 'Data Entry'!$$380)</f>
      </c>
      <c r="CI380">
        <f>IF(ISBLANK('Data Entry'!$$380), "", 'Data Entry'!$$380)</f>
      </c>
      <c r="CJ380">
        <f>IF(ISBLANK('Data Entry'!$$380), "", 'Data Entry'!$$380)</f>
      </c>
      <c r="CK380">
        <f>IF(ISBLANK('Data Entry'!$$380), "", 'Data Entry'!$$380)</f>
      </c>
      <c r="CL380">
        <f>IF(ISBLANK('Data Entry'!$$380), "", 'Data Entry'!$$380)</f>
      </c>
      <c r="CM380">
        <f>IF(ISBLANK('Data Entry'!$$380), "", 'Data Entry'!$$380)</f>
      </c>
      <c r="CN380">
        <f>IF(ISBLANK('Data Entry'!$$380), "", 'Data Entry'!$$380)</f>
      </c>
      <c r="CO380">
        <f>IF(ISBLANK('Data Entry'!$$380), "", 'Data Entry'!$$380)</f>
      </c>
      <c r="CP380">
        <f>IF(ISBLANK('Data Entry'!$$380), "", 'Data Entry'!$$380)</f>
      </c>
      <c r="CQ380">
        <f>IF(ISBLANK('Data Entry'!$$380), "", 'Data Entry'!$$380)</f>
      </c>
      <c r="CR380">
        <f>IF(ISBLANK('Data Entry'!$ $380), "", 'Data Entry'!$ $380)</f>
      </c>
      <c r="CS380">
        <f>IF(ISBLANK('Data Entry'!$¡$380), "", 'Data Entry'!$¡$380)</f>
      </c>
      <c r="CT380">
        <f>IF(ISBLANK('Data Entry'!$¢$380), "", 'Data Entry'!$¢$380)</f>
      </c>
      <c r="CU380">
        <f>IF(ISBLANK('Data Entry'!$£$380), "", 'Data Entry'!$£$380)</f>
      </c>
      <c r="CV380">
        <f>IF(ISBLANK('Data Entry'!$¤$380), "", 'Data Entry'!$¤$380)</f>
      </c>
      <c r="CW380">
        <f>IF(ISBLANK('Data Entry'!$¥$380), "", 'Data Entry'!$¥$380)</f>
      </c>
      <c r="CX380">
        <f>IF(ISBLANK('Data Entry'!$¦$380), "", 'Data Entry'!$¦$380)</f>
      </c>
      <c r="CY380">
        <f>IF(ISBLANK('Data Entry'!$§$380), "", 'Data Entry'!$§$380)</f>
      </c>
      <c r="CZ380">
        <f>IF(ISBLANK('Data Entry'!$¨$380), "", 'Data Entry'!$¨$380)</f>
      </c>
      <c r="DA380">
        <f>IF(ISBLANK('Data Entry'!$©$380), "", 'Data Entry'!$©$380)</f>
      </c>
      <c r="DB380">
        <f>IF(ISBLANK('Data Entry'!$ª$380), "", 'Data Entry'!$ª$380)</f>
      </c>
      <c r="DC380">
        <f>IF(ISBLANK('Data Entry'!$«$380), "", 'Data Entry'!$«$380)</f>
      </c>
      <c r="DD380">
        <f>IF(ISBLANK('Data Entry'!$¬$380), "", 'Data Entry'!$¬$380)</f>
      </c>
      <c r="DE380">
        <f>IF(ISBLANK('Data Entry'!$­$380), "", 'Data Entry'!$­$380)</f>
      </c>
      <c r="DF380">
        <f>IF(ISBLANK('Data Entry'!$®$380), "", 'Data Entry'!$®$380)</f>
      </c>
      <c r="DG380">
        <f>IF(ISBLANK('Data Entry'!$¯$380), "", 'Data Entry'!$¯$380)</f>
      </c>
      <c r="DH380">
        <f>IF(ISBLANK('Data Entry'!$°$380), "", 'Data Entry'!$°$380)</f>
      </c>
      <c r="DI380">
        <f>IF(ISBLANK('Data Entry'!$±$380), "", 'Data Entry'!$±$380)</f>
      </c>
      <c r="DJ380">
        <f>IF(ISBLANK('Data Entry'!$²$380), "", 'Data Entry'!$²$380)</f>
      </c>
      <c r="DK380">
        <f>IF(ISBLANK('Data Entry'!$³$380), "", 'Data Entry'!$³$380)</f>
      </c>
      <c r="DL380">
        <f>IF(ISBLANK('Data Entry'!$´$380), "", 'Data Entry'!$´$380)</f>
      </c>
      <c r="DM380">
        <f>IF(ISBLANK('Data Entry'!$µ$380), "", 'Data Entry'!$µ$380)</f>
      </c>
      <c r="DN380">
        <f>IF(ISBLANK('Data Entry'!$¶$380), "", 'Data Entry'!$¶$380)</f>
      </c>
      <c r="DO380">
        <f>IF(ISBLANK('Data Entry'!$·$380), "", 'Data Entry'!$·$380)</f>
      </c>
      <c r="DP380">
        <f>IF(ISBLANK('Data Entry'!$¸$380), "", 'Data Entry'!$¸$380)</f>
      </c>
      <c r="DQ380">
        <f>IF(ISBLANK('Data Entry'!$¹$380), "", 'Data Entry'!$¹$380)</f>
      </c>
      <c r="DR380">
        <f>IF(ISBLANK('Data Entry'!$º$380), "", 'Data Entry'!$º$380)</f>
      </c>
      <c r="DS380">
        <f>IF(ISBLANK('Data Entry'!$»$380), "", 'Data Entry'!$»$380)</f>
      </c>
      <c r="DT380">
        <f>IF(ISBLANK('Data Entry'!$¼$380), "", 'Data Entry'!$¼$380)</f>
      </c>
      <c r="DU380">
        <f>IF(ISBLANK('Data Entry'!$½$380), "", 'Data Entry'!$½$380)</f>
      </c>
      <c r="DV380">
        <f>IF(ISBLANK('Data Entry'!$¾$380), "", 'Data Entry'!$¾$380)</f>
      </c>
      <c r="DW380">
        <f>IF(ISBLANK('Data Entry'!$¿$380), "", 'Data Entry'!$¿$380)</f>
      </c>
      <c r="DX380">
        <f>IF(ISBLANK('Data Entry'!$À$380), "", 'Data Entry'!$À$380)</f>
      </c>
      <c r="DY380">
        <f>IF(ISBLANK('Data Entry'!$Á$380), "", 'Data Entry'!$Á$380)</f>
      </c>
      <c r="DZ380">
        <f>IF(ISBLANK('Data Entry'!$Â$380), "", 'Data Entry'!$Â$380)</f>
      </c>
      <c r="EA380">
        <f>IF(ISBLANK('Data Entry'!$Ã$380), "", 'Data Entry'!$Ã$380)</f>
      </c>
      <c r="EB380">
        <f>IF(ISBLANK('Data Entry'!$Ä$380), "", 'Data Entry'!$Ä$380)</f>
      </c>
      <c r="EC380">
        <f>IF(ISBLANK('Data Entry'!$Å$380), "", 'Data Entry'!$Å$380)</f>
      </c>
      <c r="ED380">
        <f>IF(ISBLANK('Data Entry'!$Æ$380), "", 'Data Entry'!$Æ$380)</f>
      </c>
      <c r="EE380">
        <f>IF(ISBLANK('Data Entry'!$Ç$380), "", 'Data Entry'!$Ç$380)</f>
      </c>
      <c r="EF380">
        <f>IF(ISBLANK('Data Entry'!$È$380), "", 'Data Entry'!$È$380)</f>
      </c>
      <c r="EG380">
        <f>IF(ISBLANK('Data Entry'!$É$380), "", 'Data Entry'!$É$380)</f>
      </c>
      <c r="EH380">
        <f>IF(ISBLANK('Data Entry'!$Ê$380), "", 'Data Entry'!$Ê$380)</f>
      </c>
      <c r="EI380">
        <f>IF(ISBLANK('Data Entry'!$Ë$380), "", 'Data Entry'!$Ë$380)</f>
      </c>
      <c r="EJ380">
        <f>IF(ISBLANK('Data Entry'!$Ì$380), "", 'Data Entry'!$Ì$380)</f>
      </c>
      <c r="EK380">
        <f>IF(ISBLANK('Data Entry'!$Í$380), "", 'Data Entry'!$Í$380)</f>
      </c>
      <c r="EL380">
        <f>IF(ISBLANK('Data Entry'!$Î$380), "", 'Data Entry'!$Î$380)</f>
      </c>
      <c r="EM380">
        <f>IF(ISBLANK('Data Entry'!$Ï$380), "", 'Data Entry'!$Ï$380)</f>
      </c>
      <c r="EN380">
        <f>IF(ISBLANK('Data Entry'!$Ð$380), "", 'Data Entry'!$Ð$380)</f>
      </c>
      <c r="EO380">
        <f>IF(ISBLANK('Data Entry'!$Ñ$380), "", 'Data Entry'!$Ñ$380)</f>
      </c>
      <c r="EP380">
        <f>IF(ISBLANK('Data Entry'!$Ò$380), "", 'Data Entry'!$Ò$380)</f>
      </c>
      <c r="EQ380">
        <f>IF(ISBLANK('Data Entry'!$Ó$380), "", 'Data Entry'!$Ó$380)</f>
      </c>
      <c r="ER380">
        <f>IF(ISBLANK('Data Entry'!$Ô$380), "", 'Data Entry'!$Ô$380)</f>
      </c>
      <c r="ES380">
        <f>IF(ISBLANK('Data Entry'!$Õ$380), "", 'Data Entry'!$Õ$380)</f>
      </c>
      <c r="ET380">
        <f>IF(ISBLANK('Data Entry'!$Ö$380), "", 'Data Entry'!$Ö$380)</f>
      </c>
      <c r="EU380">
        <f>IF(ISBLANK('Data Entry'!$×$380), "", 'Data Entry'!$×$380)</f>
      </c>
      <c r="EV380">
        <f>IF(ISBLANK('Data Entry'!$Ø$380), "", 'Data Entry'!$Ø$380)</f>
      </c>
      <c r="EW380">
        <f>IF(ISBLANK('Data Entry'!$Ù$380), "", 'Data Entry'!$Ù$380)</f>
      </c>
      <c r="EX380">
        <f>IF(ISBLANK('Data Entry'!$Ú$380), "", 'Data Entry'!$Ú$380)</f>
      </c>
      <c r="EY380">
        <f>IF(ISBLANK('Data Entry'!$Û$380), "", 'Data Entry'!$Û$380)</f>
      </c>
      <c r="EZ380">
        <f>IF(ISBLANK('Data Entry'!$Ü$380), "", 'Data Entry'!$Ü$380)</f>
      </c>
      <c r="FA380">
        <f>IF(ISBLANK('Data Entry'!$Ý$380), "", 'Data Entry'!$Ý$380)</f>
      </c>
      <c r="FB380">
        <f>IF(ISBLANK('Data Entry'!$Þ$380), "", 'Data Entry'!$Þ$380)</f>
      </c>
      <c r="FC380">
        <f>IF(ISBLANK('Data Entry'!$ß$380), "", 'Data Entry'!$ß$380)</f>
      </c>
      <c r="FD380">
        <f>IF(ISBLANK('Data Entry'!$à$380), "", 'Data Entry'!$à$380)</f>
      </c>
      <c r="FE380">
        <f>IF(ISBLANK('Data Entry'!$á$380), "", 'Data Entry'!$á$380)</f>
      </c>
      <c r="FF380">
        <f>IF(ISBLANK('Data Entry'!$â$380), "", 'Data Entry'!$â$380)</f>
      </c>
      <c r="FG380">
        <f>IF(ISBLANK('Data Entry'!$ã$380), "", 'Data Entry'!$ã$380)</f>
      </c>
      <c r="FH380">
        <f>IF(ISBLANK('Data Entry'!$ä$380), "", 'Data Entry'!$ä$380)</f>
      </c>
      <c r="FI380">
        <f>IF(ISBLANK('Data Entry'!$å$380), "", 'Data Entry'!$å$380)</f>
      </c>
      <c r="FJ380">
        <f>IF(ISBLANK('Data Entry'!$æ$380), "", 'Data Entry'!$æ$380)</f>
      </c>
      <c r="FK380">
        <f>IF(ISBLANK('Data Entry'!$ç$380), "", 'Data Entry'!$ç$380)</f>
      </c>
      <c r="FL380">
        <f>IF(ISBLANK('Data Entry'!$è$380), "", 'Data Entry'!$è$380)</f>
      </c>
      <c r="FM380">
        <f>IF(ISBLANK('Data Entry'!$é$380), "", 'Data Entry'!$é$380)</f>
      </c>
      <c r="FN380">
        <f>IF(ISBLANK('Data Entry'!$ê$380), "", 'Data Entry'!$ê$380)</f>
      </c>
      <c r="FO380">
        <f>IF(ISBLANK('Data Entry'!$ë$380), "", 'Data Entry'!$ë$380)</f>
      </c>
      <c r="FP380">
        <f>IF(ISBLANK('Data Entry'!$ì$380), "", 'Data Entry'!$ì$380)</f>
      </c>
      <c r="FQ380">
        <f>IF(ISBLANK('Data Entry'!$í$380), "", 'Data Entry'!$í$380)</f>
      </c>
      <c r="FR380">
        <f>IF(ISBLANK('Data Entry'!$î$380), "", 'Data Entry'!$î$380)</f>
      </c>
      <c r="FS380">
        <f>IF(ISBLANK('Data Entry'!$ï$380), "", 'Data Entry'!$ï$380)</f>
      </c>
      <c r="FT380">
        <f>IF(ISBLANK('Data Entry'!$ð$380), "", 'Data Entry'!$ð$380)</f>
      </c>
      <c r="FU380">
        <f>IF(ISBLANK('Data Entry'!$ñ$380), "", 'Data Entry'!$ñ$380)</f>
      </c>
      <c r="FV380">
        <f>IF(ISBLANK('Data Entry'!$ò$380), "", 'Data Entry'!$ò$380)</f>
      </c>
      <c r="FW380">
        <f>IF(ISBLANK('Data Entry'!$ó$380), "", 'Data Entry'!$ó$380)</f>
      </c>
      <c r="FX380">
        <f>IF(ISBLANK('Data Entry'!$ô$380), "", 'Data Entry'!$ô$380)</f>
      </c>
      <c r="FY380">
        <f>IF(ISBLANK('Data Entry'!$õ$380), "", 'Data Entry'!$õ$380)</f>
      </c>
      <c r="FZ380">
        <f>IF(ISBLANK('Data Entry'!$ö$380), "", 'Data Entry'!$ö$380)</f>
      </c>
      <c r="GA380">
        <f>IF(ISBLANK('Data Entry'!$÷$380), "", 'Data Entry'!$÷$380)</f>
      </c>
      <c r="GB380">
        <f>IF(ISBLANK('Data Entry'!$ø$380), "", 'Data Entry'!$ø$380)</f>
      </c>
      <c r="GC380">
        <f>IF(ISBLANK('Data Entry'!$ù$380), "", 'Data Entry'!$ù$380)</f>
      </c>
      <c r="GD380">
        <f>IF(ISBLANK('Data Entry'!$ú$380), "", 'Data Entry'!$ú$380)</f>
      </c>
      <c r="GE380">
        <f>IF(ISBLANK('Data Entry'!$û$380), "", 'Data Entry'!$û$380)</f>
      </c>
      <c r="GF380">
        <f>IF(ISBLANK('Data Entry'!$ü$380), "", 'Data Entry'!$ü$380)</f>
      </c>
      <c r="GG380">
        <f>IF(ISBLANK('Data Entry'!$ý$380), "", 'Data Entry'!$ý$380)</f>
      </c>
      <c r="GH380">
        <f>IF(ISBLANK('Data Entry'!$þ$380), "", 'Data Entry'!$þ$380)</f>
      </c>
      <c r="GI380">
        <f>IF(ISBLANK('Data Entry'!$ÿ$380), "", 'Data Entry'!$ÿ$380)</f>
      </c>
      <c r="GJ380">
        <f>IF(ISBLANK('Data Entry'!$Ā$380), "", 'Data Entry'!$Ā$380)</f>
      </c>
      <c r="GK380">
        <f>IF(ISBLANK('Data Entry'!$ā$380), "", 'Data Entry'!$ā$380)</f>
      </c>
      <c r="GL380">
        <f>IF(ISBLANK('Data Entry'!$Ă$380), "", 'Data Entry'!$Ă$380)</f>
      </c>
      <c r="GM380">
        <f>IF(ISBLANK('Data Entry'!$ă$380), "", 'Data Entry'!$ă$380)</f>
      </c>
      <c r="GN380">
        <f>IF(ISBLANK('Data Entry'!$Ą$380), "", 'Data Entry'!$Ą$380)</f>
      </c>
      <c r="GO380">
        <f>IF(ISBLANK('Data Entry'!$ą$380), "", 'Data Entry'!$ą$380)</f>
      </c>
      <c r="GP380">
        <f>IF(ISBLANK('Data Entry'!$Ć$380), "", 'Data Entry'!$Ć$380)</f>
      </c>
      <c r="GQ380">
        <f>IF(ISBLANK('Data Entry'!$ć$380), "", 'Data Entry'!$ć$380)</f>
      </c>
      <c r="GR380">
        <f>IF(ISBLANK('Data Entry'!$Ĉ$380), "", 'Data Entry'!$Ĉ$380)</f>
      </c>
      <c r="GS380">
        <f>IF(ISBLANK('Data Entry'!$ĉ$380), "", 'Data Entry'!$ĉ$380)</f>
      </c>
      <c r="GT380">
        <f>IF(ISBLANK('Data Entry'!$Ċ$380), "", 'Data Entry'!$Ċ$380)</f>
      </c>
      <c r="GU380">
        <f>IF(ISBLANK('Data Entry'!$ċ$380), "", 'Data Entry'!$ċ$380)</f>
      </c>
      <c r="GV380">
        <f>IF(ISBLANK('Data Entry'!$Č$380), "", 'Data Entry'!$Č$380)</f>
      </c>
      <c r="GW380">
        <f>IF(ISBLANK('Data Entry'!$č$380), "", 'Data Entry'!$č$380)</f>
      </c>
      <c r="GX380">
        <f>IF(ISBLANK('Data Entry'!$Ď$380), "", 'Data Entry'!$Ď$380)</f>
      </c>
      <c r="GY380">
        <f>IF(ISBLANK('Data Entry'!$ď$380), "", 'Data Entry'!$ď$380)</f>
      </c>
      <c r="GZ380">
        <f>IF(ISBLANK('Data Entry'!$Đ$380), "", 'Data Entry'!$Đ$380)</f>
      </c>
      <c r="HA380">
        <f>IF(ISBLANK('Data Entry'!$đ$380), "", 'Data Entry'!$đ$380)</f>
      </c>
      <c r="HB380">
        <f>IF(ISBLANK('Data Entry'!$Ē$380), "", 'Data Entry'!$Ē$380)</f>
      </c>
      <c r="HC380">
        <f>IF(ISBLANK('Data Entry'!$ē$380), "", 'Data Entry'!$ē$380)</f>
      </c>
      <c r="HD380">
        <f>IF(ISBLANK('Data Entry'!$Ĕ$380), "", 'Data Entry'!$Ĕ$380)</f>
      </c>
      <c r="HE380">
        <f>IF(ISBLANK('Data Entry'!$ĕ$380), "", 'Data Entry'!$ĕ$380)</f>
      </c>
      <c r="HF380">
        <f>IF(ISBLANK('Data Entry'!$Ė$380), "", 'Data Entry'!$Ė$380)</f>
      </c>
      <c r="HG380">
        <f>IF(ISBLANK('Data Entry'!$ė$380), "", 'Data Entry'!$ė$380)</f>
      </c>
      <c r="HH380">
        <f>IF(ISBLANK('Data Entry'!$Ę$380), "", 'Data Entry'!$Ę$380)</f>
      </c>
      <c r="HI380">
        <f>IF(ISBLANK('Data Entry'!$ę$380), "", 'Data Entry'!$ę$380)</f>
      </c>
      <c r="HJ380">
        <f>IF(ISBLANK('Data Entry'!$Ě$380), "", 'Data Entry'!$Ě$380)</f>
      </c>
      <c r="HK380">
        <f>IF(ISBLANK('Data Entry'!$ě$380), "", 'Data Entry'!$ě$380)</f>
      </c>
      <c r="HL380">
        <f>IF(ISBLANK('Data Entry'!$Ĝ$380), "", 'Data Entry'!$Ĝ$380)</f>
      </c>
      <c r="HM380">
        <f>IF(ISBLANK('Data Entry'!$ĝ$380), "", 'Data Entry'!$ĝ$380)</f>
      </c>
      <c r="HN380">
        <f>IF(ISBLANK('Data Entry'!$Ğ$380), "", 'Data Entry'!$Ğ$380)</f>
      </c>
      <c r="HO380">
        <f>IF(ISBLANK('Data Entry'!$ğ$380), "", 'Data Entry'!$ğ$380)</f>
      </c>
      <c r="HP380">
        <f>IF(ISBLANK('Data Entry'!$Ġ$380), "", 'Data Entry'!$Ġ$380)</f>
      </c>
      <c r="HQ380">
        <f>IF(ISBLANK('Data Entry'!$ġ$380), "", 'Data Entry'!$ġ$380)</f>
      </c>
      <c r="HR380">
        <f>IF(ISBLANK('Data Entry'!$Ģ$380), "", 'Data Entry'!$Ģ$380)</f>
      </c>
      <c r="HS380">
        <f>IF(ISBLANK('Data Entry'!$ģ$380), "", 'Data Entry'!$ģ$380)</f>
      </c>
      <c r="HT380">
        <f>IF(ISBLANK('Data Entry'!$Ĥ$380), "", 'Data Entry'!$Ĥ$380)</f>
      </c>
      <c r="HU380">
        <f>IF(ISBLANK('Data Entry'!$ĥ$380), "", 'Data Entry'!$ĥ$380)</f>
      </c>
      <c r="HV380">
        <f>IF(ISBLANK('Data Entry'!$Ħ$380), "", 'Data Entry'!$Ħ$380)</f>
      </c>
      <c r="HW380">
        <f>IF(ISBLANK('Data Entry'!$ħ$380), "", 'Data Entry'!$ħ$380)</f>
      </c>
      <c r="HX380">
        <f>IF(ISBLANK('Data Entry'!$Ĩ$380), "", 'Data Entry'!$Ĩ$380)</f>
      </c>
      <c r="HY380">
        <f>IF(ISBLANK('Data Entry'!$ĩ$380), "", 'Data Entry'!$ĩ$380)</f>
      </c>
      <c r="HZ380">
        <f>IF(ISBLANK('Data Entry'!$Ī$380), "", 'Data Entry'!$Ī$380)</f>
      </c>
      <c r="IA380">
        <f>IF(ISBLANK('Data Entry'!$ī$380), "", 'Data Entry'!$ī$380)</f>
      </c>
      <c r="IB380">
        <f>IF(ISBLANK('Data Entry'!$Ĭ$380), "", 'Data Entry'!$Ĭ$380)</f>
      </c>
      <c r="IC380">
        <f>IF(ISBLANK('Data Entry'!$ĭ$380), "", 'Data Entry'!$ĭ$380)</f>
      </c>
      <c r="ID380">
        <f>IF(ISBLANK('Data Entry'!$Į$380), "", 'Data Entry'!$Į$380)</f>
      </c>
      <c r="IE380">
        <f>IF(ISBLANK('Data Entry'!$į$380), "", 'Data Entry'!$į$380)</f>
      </c>
      <c r="IF380">
        <f>IF(ISBLANK('Data Entry'!$İ$380), "", 'Data Entry'!$İ$380)</f>
      </c>
      <c r="IG380">
        <f>IF(ISBLANK('Data Entry'!$ı$380), "", 'Data Entry'!$ı$380)</f>
      </c>
      <c r="IH380">
        <f>IF(ISBLANK('Data Entry'!$Ĳ$380), "", 'Data Entry'!$Ĳ$380)</f>
      </c>
      <c r="II380">
        <f>IF(ISBLANK('Data Entry'!$ĳ$380), "", 'Data Entry'!$ĳ$380)</f>
      </c>
      <c r="IJ380">
        <f>IF(ISBLANK('Data Entry'!$Ĵ$380), "", 'Data Entry'!$Ĵ$380)</f>
      </c>
      <c r="IK380">
        <f>IF(ISBLANK('Data Entry'!$ĵ$380), "", 'Data Entry'!$ĵ$380)</f>
      </c>
      <c r="IL380">
        <f>IF(ISBLANK('Data Entry'!$Ķ$380), "", 'Data Entry'!$Ķ$380)</f>
      </c>
      <c r="IM380">
        <f>IF(ISBLANK('Data Entry'!$ķ$380), "", 'Data Entry'!$ķ$380)</f>
      </c>
      <c r="IN380">
        <f>IF(ISBLANK('Data Entry'!$ĸ$380), "", 'Data Entry'!$ĸ$380)</f>
      </c>
      <c r="IO380">
        <f>IF(ISBLANK('Data Entry'!$Ĺ$380), "", 'Data Entry'!$Ĺ$380)</f>
      </c>
      <c r="IP380">
        <f>IF(ISBLANK('Data Entry'!$ĺ$380), "", 'Data Entry'!$ĺ$380)</f>
      </c>
      <c r="IQ380">
        <f>IF(ISBLANK('Data Entry'!$Ļ$380), "", 'Data Entry'!$Ļ$380)</f>
      </c>
      <c r="IR380">
        <f>IF(ISBLANK('Data Entry'!$ļ$380), "", 'Data Entry'!$ļ$380)</f>
      </c>
      <c r="IS380">
        <f>IF(ISBLANK('Data Entry'!$Ľ$380), "", 'Data Entry'!$Ľ$380)</f>
      </c>
      <c r="IT380">
        <f>IF(ISBLANK('Data Entry'!$ľ$380), "", 'Data Entry'!$ľ$380)</f>
      </c>
    </row>
    <row r="381" spans="1:254" x14ac:dyDescent="0.25">
      <c r="A381">
        <f>IF(ISBLANK('Data Entry'!$A$381), "", 'Data Entry'!$A$381)</f>
      </c>
      <c r="B381">
        <f>IF(ISBLANK('Data Entry'!$B$381), "", 'Data Entry'!$B$381)</f>
      </c>
      <c r="C381">
        <f>IF(ISBLANK('Data Entry'!$C$381), "", 'Data Entry'!$C$381)</f>
      </c>
      <c r="D381">
        <f>IF(ISBLANK('Data Entry'!$D$381), "", 'Data Entry'!$D$381)</f>
      </c>
      <c r="E381">
        <f>IF(ISBLANK('Data Entry'!$E$381), "", 'Data Entry'!$E$381)</f>
      </c>
      <c r="F381">
        <f>IF(ISBLANK('Data Entry'!$F$381), "", 'Data Entry'!$F$381)</f>
      </c>
      <c r="G381">
        <f>IF(ISBLANK('Data Entry'!$G$381), "", 'Data Entry'!$G$381)</f>
      </c>
      <c r="H381">
        <f>IF(ISBLANK('Data Entry'!$H$381), "", 'Data Entry'!$H$381)</f>
      </c>
      <c r="I381">
        <f>IF(ISBLANK('Data Entry'!$I$381), "", 'Data Entry'!$I$381)</f>
      </c>
      <c r="J381">
        <f>IF(ISBLANK('Data Entry'!$J$381), "", 'Data Entry'!$J$381)</f>
      </c>
      <c r="K381">
        <f>IF(ISBLANK('Data Entry'!$K$381), "", 'Data Entry'!$K$381)</f>
      </c>
      <c r="L381">
        <f>IF(ISBLANK('Data Entry'!$L$381), "", 'Data Entry'!$L$381)</f>
      </c>
      <c r="M381">
        <f>IF(ISBLANK('Data Entry'!$M$381), "", 'Data Entry'!$M$381)</f>
      </c>
      <c r="N381">
        <f>IF(ISBLANK('Data Entry'!$N$381), "", 'Data Entry'!$N$381)</f>
      </c>
      <c r="O381">
        <f>IF(ISBLANK('Data Entry'!$O$381), "", 'Data Entry'!$O$381)</f>
      </c>
      <c r="P381">
        <f>IF(ISBLANK('Data Entry'!$P$381), "", 'Data Entry'!$P$381)</f>
      </c>
      <c r="Q381">
        <f>IF(ISBLANK('Data Entry'!$Q$381), "", 'Data Entry'!$Q$381)</f>
      </c>
      <c r="R381">
        <f>IF(ISBLANK('Data Entry'!$R$381), "", 'Data Entry'!$R$381)</f>
      </c>
      <c r="S381">
        <f>IF(ISBLANK('Data Entry'!$S$381), "", 'Data Entry'!$S$381)</f>
      </c>
      <c r="T381">
        <f>IF(ISBLANK('Data Entry'!$T$381), "", 'Data Entry'!$T$381)</f>
      </c>
      <c r="U381">
        <f>IF(ISBLANK('Data Entry'!$U$381), "", 'Data Entry'!$U$381)</f>
      </c>
      <c r="V381">
        <f>IF(ISBLANK('Data Entry'!$V$381), "", 'Data Entry'!$V$381)</f>
      </c>
      <c r="W381">
        <f>IF(ISBLANK('Data Entry'!$W$381), "", 'Data Entry'!$W$381)</f>
      </c>
      <c r="X381">
        <f>IF(ISBLANK('Data Entry'!$X$381), "", 'Data Entry'!$X$381)</f>
      </c>
      <c r="Y381">
        <f>IF(ISBLANK('Data Entry'!$Y$381), "", 'Data Entry'!$Y$381)</f>
      </c>
      <c r="Z381">
        <f>IF(ISBLANK('Data Entry'!$Z$381), "", 'Data Entry'!$Z$381)</f>
      </c>
      <c r="AA381">
        <f>IF(ISBLANK('Data Entry'!$[$381), "", 'Data Entry'!$[$381)</f>
      </c>
      <c r="AB381">
        <f>IF(ISBLANK('Data Entry'!$\$381), "", 'Data Entry'!$\$381)</f>
      </c>
      <c r="AC381">
        <f>IF(ISBLANK('Data Entry'!$]$381), "", 'Data Entry'!$]$381)</f>
      </c>
      <c r="AD381">
        <f>IF(ISBLANK('Data Entry'!$^$381), "", 'Data Entry'!$^$381)</f>
      </c>
      <c r="AE381">
        <f>IF(ISBLANK('Data Entry'!$_$381), "", 'Data Entry'!$_$381)</f>
      </c>
      <c r="AF381">
        <f>IF(ISBLANK('Data Entry'!$`$381), "", 'Data Entry'!$`$381)</f>
      </c>
      <c r="AG381">
        <f>IF(ISBLANK('Data Entry'!$a$381), "", 'Data Entry'!$a$381)</f>
      </c>
      <c r="AH381">
        <f>IF(ISBLANK('Data Entry'!$b$381), "", 'Data Entry'!$b$381)</f>
      </c>
      <c r="AI381">
        <f>IF(ISBLANK('Data Entry'!$c$381), "", 'Data Entry'!$c$381)</f>
      </c>
      <c r="AJ381">
        <f>IF(ISBLANK('Data Entry'!$d$381), "", 'Data Entry'!$d$381)</f>
      </c>
      <c r="AK381">
        <f>IF(ISBLANK('Data Entry'!$e$381), "", 'Data Entry'!$e$381)</f>
      </c>
      <c r="AL381">
        <f>IF(ISBLANK('Data Entry'!$f$381), "", 'Data Entry'!$f$381)</f>
      </c>
      <c r="AM381">
        <f>IF(ISBLANK('Data Entry'!$g$381), "", 'Data Entry'!$g$381)</f>
      </c>
      <c r="AN381">
        <f>IF(ISBLANK('Data Entry'!$h$381), "", 'Data Entry'!$h$381)</f>
      </c>
      <c r="AO381">
        <f>IF(ISBLANK('Data Entry'!$i$381), "", 'Data Entry'!$i$381)</f>
      </c>
      <c r="AP381">
        <f>IF(ISBLANK('Data Entry'!$j$381), "", 'Data Entry'!$j$381)</f>
      </c>
      <c r="AQ381">
        <f>IF(ISBLANK('Data Entry'!$k$381), "", 'Data Entry'!$k$381)</f>
      </c>
      <c r="AR381">
        <f>IF(ISBLANK('Data Entry'!$l$381), "", 'Data Entry'!$l$381)</f>
      </c>
      <c r="AS381">
        <f>IF(ISBLANK('Data Entry'!$m$381), "", 'Data Entry'!$m$381)</f>
      </c>
      <c r="AT381">
        <f>IF(ISBLANK('Data Entry'!$n$381), "", 'Data Entry'!$n$381)</f>
      </c>
      <c r="AU381">
        <f>IF(ISBLANK('Data Entry'!$o$381), "", 'Data Entry'!$o$381)</f>
      </c>
      <c r="AV381">
        <f>IF(ISBLANK('Data Entry'!$p$381), "", 'Data Entry'!$p$381)</f>
      </c>
      <c r="AW381">
        <f>IF(ISBLANK('Data Entry'!$q$381), "", 'Data Entry'!$q$381)</f>
      </c>
      <c r="AX381">
        <f>IF(ISBLANK('Data Entry'!$r$381), "", 'Data Entry'!$r$381)</f>
      </c>
      <c r="AY381">
        <f>IF(ISBLANK('Data Entry'!$s$381), "", 'Data Entry'!$s$381)</f>
      </c>
      <c r="AZ381">
        <f>IF(ISBLANK('Data Entry'!$t$381), "", 'Data Entry'!$t$381)</f>
      </c>
      <c r="BA381">
        <f>IF(ISBLANK('Data Entry'!$u$381), "", 'Data Entry'!$u$381)</f>
      </c>
      <c r="BB381">
        <f>IF(ISBLANK('Data Entry'!$v$381), "", 'Data Entry'!$v$381)</f>
      </c>
      <c r="BC381">
        <f>IF(ISBLANK('Data Entry'!$w$381), "", 'Data Entry'!$w$381)</f>
      </c>
      <c r="BD381">
        <f>IF(ISBLANK('Data Entry'!$x$381), "", 'Data Entry'!$x$381)</f>
      </c>
      <c r="BE381">
        <f>IF(ISBLANK('Data Entry'!$y$381), "", 'Data Entry'!$y$381)</f>
      </c>
      <c r="BF381">
        <f>IF(ISBLANK('Data Entry'!$z$381), "", 'Data Entry'!$z$381)</f>
      </c>
      <c r="BG381">
        <f>IF(ISBLANK('Data Entry'!${$381), "", 'Data Entry'!${$381)</f>
      </c>
      <c r="BH381">
        <f>IF(ISBLANK('Data Entry'!$|$381), "", 'Data Entry'!$|$381)</f>
      </c>
      <c r="BI381">
        <f>IF(ISBLANK('Data Entry'!$}$381), "", 'Data Entry'!$}$381)</f>
      </c>
      <c r="BJ381">
        <f>IF(ISBLANK('Data Entry'!$~$381), "", 'Data Entry'!$~$381)</f>
      </c>
      <c r="BK381">
        <f>IF(ISBLANK('Data Entry'!$$381), "", 'Data Entry'!$$381)</f>
      </c>
      <c r="BL381">
        <f>IF(ISBLANK('Data Entry'!$$381), "", 'Data Entry'!$$381)</f>
      </c>
      <c r="BM381">
        <f>IF(ISBLANK('Data Entry'!$$381), "", 'Data Entry'!$$381)</f>
      </c>
      <c r="BN381">
        <f>IF(ISBLANK('Data Entry'!$$381), "", 'Data Entry'!$$381)</f>
      </c>
      <c r="BO381">
        <f>IF(ISBLANK('Data Entry'!$$381), "", 'Data Entry'!$$381)</f>
      </c>
      <c r="BP381">
        <f>IF(ISBLANK('Data Entry'!$$381), "", 'Data Entry'!$$381)</f>
      </c>
      <c r="BQ381">
        <f>IF(ISBLANK('Data Entry'!$$381), "", 'Data Entry'!$$381)</f>
      </c>
      <c r="BR381">
        <f>IF(ISBLANK('Data Entry'!$$381), "", 'Data Entry'!$$381)</f>
      </c>
      <c r="BS381">
        <f>IF(ISBLANK('Data Entry'!$$381), "", 'Data Entry'!$$381)</f>
      </c>
      <c r="BT381">
        <f>IF(ISBLANK('Data Entry'!$$381), "", 'Data Entry'!$$381)</f>
      </c>
      <c r="BU381">
        <f>IF(ISBLANK('Data Entry'!$$381), "", 'Data Entry'!$$381)</f>
      </c>
      <c r="BV381">
        <f>IF(ISBLANK('Data Entry'!$$381), "", 'Data Entry'!$$381)</f>
      </c>
      <c r="BW381">
        <f>IF(ISBLANK('Data Entry'!$$381), "", 'Data Entry'!$$381)</f>
      </c>
      <c r="BX381">
        <f>IF(ISBLANK('Data Entry'!$$381), "", 'Data Entry'!$$381)</f>
      </c>
      <c r="BY381">
        <f>IF(ISBLANK('Data Entry'!$$381), "", 'Data Entry'!$$381)</f>
      </c>
      <c r="BZ381">
        <f>IF(ISBLANK('Data Entry'!$$381), "", 'Data Entry'!$$381)</f>
      </c>
      <c r="CA381">
        <f>IF(ISBLANK('Data Entry'!$$381), "", 'Data Entry'!$$381)</f>
      </c>
      <c r="CB381">
        <f>IF(ISBLANK('Data Entry'!$$381), "", 'Data Entry'!$$381)</f>
      </c>
      <c r="CC381">
        <f>IF(ISBLANK('Data Entry'!$$381), "", 'Data Entry'!$$381)</f>
      </c>
      <c r="CD381">
        <f>IF(ISBLANK('Data Entry'!$$381), "", 'Data Entry'!$$381)</f>
      </c>
      <c r="CE381">
        <f>IF(ISBLANK('Data Entry'!$$381), "", 'Data Entry'!$$381)</f>
      </c>
      <c r="CF381">
        <f>IF(ISBLANK('Data Entry'!$$381), "", 'Data Entry'!$$381)</f>
      </c>
      <c r="CG381">
        <f>IF(ISBLANK('Data Entry'!$$381), "", 'Data Entry'!$$381)</f>
      </c>
      <c r="CH381">
        <f>IF(ISBLANK('Data Entry'!$$381), "", 'Data Entry'!$$381)</f>
      </c>
      <c r="CI381">
        <f>IF(ISBLANK('Data Entry'!$$381), "", 'Data Entry'!$$381)</f>
      </c>
      <c r="CJ381">
        <f>IF(ISBLANK('Data Entry'!$$381), "", 'Data Entry'!$$381)</f>
      </c>
      <c r="CK381">
        <f>IF(ISBLANK('Data Entry'!$$381), "", 'Data Entry'!$$381)</f>
      </c>
      <c r="CL381">
        <f>IF(ISBLANK('Data Entry'!$$381), "", 'Data Entry'!$$381)</f>
      </c>
      <c r="CM381">
        <f>IF(ISBLANK('Data Entry'!$$381), "", 'Data Entry'!$$381)</f>
      </c>
      <c r="CN381">
        <f>IF(ISBLANK('Data Entry'!$$381), "", 'Data Entry'!$$381)</f>
      </c>
      <c r="CO381">
        <f>IF(ISBLANK('Data Entry'!$$381), "", 'Data Entry'!$$381)</f>
      </c>
      <c r="CP381">
        <f>IF(ISBLANK('Data Entry'!$$381), "", 'Data Entry'!$$381)</f>
      </c>
      <c r="CQ381">
        <f>IF(ISBLANK('Data Entry'!$$381), "", 'Data Entry'!$$381)</f>
      </c>
      <c r="CR381">
        <f>IF(ISBLANK('Data Entry'!$ $381), "", 'Data Entry'!$ $381)</f>
      </c>
      <c r="CS381">
        <f>IF(ISBLANK('Data Entry'!$¡$381), "", 'Data Entry'!$¡$381)</f>
      </c>
      <c r="CT381">
        <f>IF(ISBLANK('Data Entry'!$¢$381), "", 'Data Entry'!$¢$381)</f>
      </c>
      <c r="CU381">
        <f>IF(ISBLANK('Data Entry'!$£$381), "", 'Data Entry'!$£$381)</f>
      </c>
      <c r="CV381">
        <f>IF(ISBLANK('Data Entry'!$¤$381), "", 'Data Entry'!$¤$381)</f>
      </c>
      <c r="CW381">
        <f>IF(ISBLANK('Data Entry'!$¥$381), "", 'Data Entry'!$¥$381)</f>
      </c>
      <c r="CX381">
        <f>IF(ISBLANK('Data Entry'!$¦$381), "", 'Data Entry'!$¦$381)</f>
      </c>
      <c r="CY381">
        <f>IF(ISBLANK('Data Entry'!$§$381), "", 'Data Entry'!$§$381)</f>
      </c>
      <c r="CZ381">
        <f>IF(ISBLANK('Data Entry'!$¨$381), "", 'Data Entry'!$¨$381)</f>
      </c>
      <c r="DA381">
        <f>IF(ISBLANK('Data Entry'!$©$381), "", 'Data Entry'!$©$381)</f>
      </c>
      <c r="DB381">
        <f>IF(ISBLANK('Data Entry'!$ª$381), "", 'Data Entry'!$ª$381)</f>
      </c>
      <c r="DC381">
        <f>IF(ISBLANK('Data Entry'!$«$381), "", 'Data Entry'!$«$381)</f>
      </c>
      <c r="DD381">
        <f>IF(ISBLANK('Data Entry'!$¬$381), "", 'Data Entry'!$¬$381)</f>
      </c>
      <c r="DE381">
        <f>IF(ISBLANK('Data Entry'!$­$381), "", 'Data Entry'!$­$381)</f>
      </c>
      <c r="DF381">
        <f>IF(ISBLANK('Data Entry'!$®$381), "", 'Data Entry'!$®$381)</f>
      </c>
      <c r="DG381">
        <f>IF(ISBLANK('Data Entry'!$¯$381), "", 'Data Entry'!$¯$381)</f>
      </c>
      <c r="DH381">
        <f>IF(ISBLANK('Data Entry'!$°$381), "", 'Data Entry'!$°$381)</f>
      </c>
      <c r="DI381">
        <f>IF(ISBLANK('Data Entry'!$±$381), "", 'Data Entry'!$±$381)</f>
      </c>
      <c r="DJ381">
        <f>IF(ISBLANK('Data Entry'!$²$381), "", 'Data Entry'!$²$381)</f>
      </c>
      <c r="DK381">
        <f>IF(ISBLANK('Data Entry'!$³$381), "", 'Data Entry'!$³$381)</f>
      </c>
      <c r="DL381">
        <f>IF(ISBLANK('Data Entry'!$´$381), "", 'Data Entry'!$´$381)</f>
      </c>
      <c r="DM381">
        <f>IF(ISBLANK('Data Entry'!$µ$381), "", 'Data Entry'!$µ$381)</f>
      </c>
      <c r="DN381">
        <f>IF(ISBLANK('Data Entry'!$¶$381), "", 'Data Entry'!$¶$381)</f>
      </c>
      <c r="DO381">
        <f>IF(ISBLANK('Data Entry'!$·$381), "", 'Data Entry'!$·$381)</f>
      </c>
      <c r="DP381">
        <f>IF(ISBLANK('Data Entry'!$¸$381), "", 'Data Entry'!$¸$381)</f>
      </c>
      <c r="DQ381">
        <f>IF(ISBLANK('Data Entry'!$¹$381), "", 'Data Entry'!$¹$381)</f>
      </c>
      <c r="DR381">
        <f>IF(ISBLANK('Data Entry'!$º$381), "", 'Data Entry'!$º$381)</f>
      </c>
      <c r="DS381">
        <f>IF(ISBLANK('Data Entry'!$»$381), "", 'Data Entry'!$»$381)</f>
      </c>
      <c r="DT381">
        <f>IF(ISBLANK('Data Entry'!$¼$381), "", 'Data Entry'!$¼$381)</f>
      </c>
      <c r="DU381">
        <f>IF(ISBLANK('Data Entry'!$½$381), "", 'Data Entry'!$½$381)</f>
      </c>
      <c r="DV381">
        <f>IF(ISBLANK('Data Entry'!$¾$381), "", 'Data Entry'!$¾$381)</f>
      </c>
      <c r="DW381">
        <f>IF(ISBLANK('Data Entry'!$¿$381), "", 'Data Entry'!$¿$381)</f>
      </c>
      <c r="DX381">
        <f>IF(ISBLANK('Data Entry'!$À$381), "", 'Data Entry'!$À$381)</f>
      </c>
      <c r="DY381">
        <f>IF(ISBLANK('Data Entry'!$Á$381), "", 'Data Entry'!$Á$381)</f>
      </c>
      <c r="DZ381">
        <f>IF(ISBLANK('Data Entry'!$Â$381), "", 'Data Entry'!$Â$381)</f>
      </c>
      <c r="EA381">
        <f>IF(ISBLANK('Data Entry'!$Ã$381), "", 'Data Entry'!$Ã$381)</f>
      </c>
      <c r="EB381">
        <f>IF(ISBLANK('Data Entry'!$Ä$381), "", 'Data Entry'!$Ä$381)</f>
      </c>
      <c r="EC381">
        <f>IF(ISBLANK('Data Entry'!$Å$381), "", 'Data Entry'!$Å$381)</f>
      </c>
      <c r="ED381">
        <f>IF(ISBLANK('Data Entry'!$Æ$381), "", 'Data Entry'!$Æ$381)</f>
      </c>
      <c r="EE381">
        <f>IF(ISBLANK('Data Entry'!$Ç$381), "", 'Data Entry'!$Ç$381)</f>
      </c>
      <c r="EF381">
        <f>IF(ISBLANK('Data Entry'!$È$381), "", 'Data Entry'!$È$381)</f>
      </c>
      <c r="EG381">
        <f>IF(ISBLANK('Data Entry'!$É$381), "", 'Data Entry'!$É$381)</f>
      </c>
      <c r="EH381">
        <f>IF(ISBLANK('Data Entry'!$Ê$381), "", 'Data Entry'!$Ê$381)</f>
      </c>
      <c r="EI381">
        <f>IF(ISBLANK('Data Entry'!$Ë$381), "", 'Data Entry'!$Ë$381)</f>
      </c>
      <c r="EJ381">
        <f>IF(ISBLANK('Data Entry'!$Ì$381), "", 'Data Entry'!$Ì$381)</f>
      </c>
      <c r="EK381">
        <f>IF(ISBLANK('Data Entry'!$Í$381), "", 'Data Entry'!$Í$381)</f>
      </c>
      <c r="EL381">
        <f>IF(ISBLANK('Data Entry'!$Î$381), "", 'Data Entry'!$Î$381)</f>
      </c>
      <c r="EM381">
        <f>IF(ISBLANK('Data Entry'!$Ï$381), "", 'Data Entry'!$Ï$381)</f>
      </c>
      <c r="EN381">
        <f>IF(ISBLANK('Data Entry'!$Ð$381), "", 'Data Entry'!$Ð$381)</f>
      </c>
      <c r="EO381">
        <f>IF(ISBLANK('Data Entry'!$Ñ$381), "", 'Data Entry'!$Ñ$381)</f>
      </c>
      <c r="EP381">
        <f>IF(ISBLANK('Data Entry'!$Ò$381), "", 'Data Entry'!$Ò$381)</f>
      </c>
      <c r="EQ381">
        <f>IF(ISBLANK('Data Entry'!$Ó$381), "", 'Data Entry'!$Ó$381)</f>
      </c>
      <c r="ER381">
        <f>IF(ISBLANK('Data Entry'!$Ô$381), "", 'Data Entry'!$Ô$381)</f>
      </c>
      <c r="ES381">
        <f>IF(ISBLANK('Data Entry'!$Õ$381), "", 'Data Entry'!$Õ$381)</f>
      </c>
      <c r="ET381">
        <f>IF(ISBLANK('Data Entry'!$Ö$381), "", 'Data Entry'!$Ö$381)</f>
      </c>
      <c r="EU381">
        <f>IF(ISBLANK('Data Entry'!$×$381), "", 'Data Entry'!$×$381)</f>
      </c>
      <c r="EV381">
        <f>IF(ISBLANK('Data Entry'!$Ø$381), "", 'Data Entry'!$Ø$381)</f>
      </c>
      <c r="EW381">
        <f>IF(ISBLANK('Data Entry'!$Ù$381), "", 'Data Entry'!$Ù$381)</f>
      </c>
      <c r="EX381">
        <f>IF(ISBLANK('Data Entry'!$Ú$381), "", 'Data Entry'!$Ú$381)</f>
      </c>
      <c r="EY381">
        <f>IF(ISBLANK('Data Entry'!$Û$381), "", 'Data Entry'!$Û$381)</f>
      </c>
      <c r="EZ381">
        <f>IF(ISBLANK('Data Entry'!$Ü$381), "", 'Data Entry'!$Ü$381)</f>
      </c>
      <c r="FA381">
        <f>IF(ISBLANK('Data Entry'!$Ý$381), "", 'Data Entry'!$Ý$381)</f>
      </c>
      <c r="FB381">
        <f>IF(ISBLANK('Data Entry'!$Þ$381), "", 'Data Entry'!$Þ$381)</f>
      </c>
      <c r="FC381">
        <f>IF(ISBLANK('Data Entry'!$ß$381), "", 'Data Entry'!$ß$381)</f>
      </c>
      <c r="FD381">
        <f>IF(ISBLANK('Data Entry'!$à$381), "", 'Data Entry'!$à$381)</f>
      </c>
      <c r="FE381">
        <f>IF(ISBLANK('Data Entry'!$á$381), "", 'Data Entry'!$á$381)</f>
      </c>
      <c r="FF381">
        <f>IF(ISBLANK('Data Entry'!$â$381), "", 'Data Entry'!$â$381)</f>
      </c>
      <c r="FG381">
        <f>IF(ISBLANK('Data Entry'!$ã$381), "", 'Data Entry'!$ã$381)</f>
      </c>
      <c r="FH381">
        <f>IF(ISBLANK('Data Entry'!$ä$381), "", 'Data Entry'!$ä$381)</f>
      </c>
      <c r="FI381">
        <f>IF(ISBLANK('Data Entry'!$å$381), "", 'Data Entry'!$å$381)</f>
      </c>
      <c r="FJ381">
        <f>IF(ISBLANK('Data Entry'!$æ$381), "", 'Data Entry'!$æ$381)</f>
      </c>
      <c r="FK381">
        <f>IF(ISBLANK('Data Entry'!$ç$381), "", 'Data Entry'!$ç$381)</f>
      </c>
      <c r="FL381">
        <f>IF(ISBLANK('Data Entry'!$è$381), "", 'Data Entry'!$è$381)</f>
      </c>
      <c r="FM381">
        <f>IF(ISBLANK('Data Entry'!$é$381), "", 'Data Entry'!$é$381)</f>
      </c>
      <c r="FN381">
        <f>IF(ISBLANK('Data Entry'!$ê$381), "", 'Data Entry'!$ê$381)</f>
      </c>
      <c r="FO381">
        <f>IF(ISBLANK('Data Entry'!$ë$381), "", 'Data Entry'!$ë$381)</f>
      </c>
      <c r="FP381">
        <f>IF(ISBLANK('Data Entry'!$ì$381), "", 'Data Entry'!$ì$381)</f>
      </c>
      <c r="FQ381">
        <f>IF(ISBLANK('Data Entry'!$í$381), "", 'Data Entry'!$í$381)</f>
      </c>
      <c r="FR381">
        <f>IF(ISBLANK('Data Entry'!$î$381), "", 'Data Entry'!$î$381)</f>
      </c>
      <c r="FS381">
        <f>IF(ISBLANK('Data Entry'!$ï$381), "", 'Data Entry'!$ï$381)</f>
      </c>
      <c r="FT381">
        <f>IF(ISBLANK('Data Entry'!$ð$381), "", 'Data Entry'!$ð$381)</f>
      </c>
      <c r="FU381">
        <f>IF(ISBLANK('Data Entry'!$ñ$381), "", 'Data Entry'!$ñ$381)</f>
      </c>
      <c r="FV381">
        <f>IF(ISBLANK('Data Entry'!$ò$381), "", 'Data Entry'!$ò$381)</f>
      </c>
      <c r="FW381">
        <f>IF(ISBLANK('Data Entry'!$ó$381), "", 'Data Entry'!$ó$381)</f>
      </c>
      <c r="FX381">
        <f>IF(ISBLANK('Data Entry'!$ô$381), "", 'Data Entry'!$ô$381)</f>
      </c>
      <c r="FY381">
        <f>IF(ISBLANK('Data Entry'!$õ$381), "", 'Data Entry'!$õ$381)</f>
      </c>
      <c r="FZ381">
        <f>IF(ISBLANK('Data Entry'!$ö$381), "", 'Data Entry'!$ö$381)</f>
      </c>
      <c r="GA381">
        <f>IF(ISBLANK('Data Entry'!$÷$381), "", 'Data Entry'!$÷$381)</f>
      </c>
      <c r="GB381">
        <f>IF(ISBLANK('Data Entry'!$ø$381), "", 'Data Entry'!$ø$381)</f>
      </c>
      <c r="GC381">
        <f>IF(ISBLANK('Data Entry'!$ù$381), "", 'Data Entry'!$ù$381)</f>
      </c>
      <c r="GD381">
        <f>IF(ISBLANK('Data Entry'!$ú$381), "", 'Data Entry'!$ú$381)</f>
      </c>
      <c r="GE381">
        <f>IF(ISBLANK('Data Entry'!$û$381), "", 'Data Entry'!$û$381)</f>
      </c>
      <c r="GF381">
        <f>IF(ISBLANK('Data Entry'!$ü$381), "", 'Data Entry'!$ü$381)</f>
      </c>
      <c r="GG381">
        <f>IF(ISBLANK('Data Entry'!$ý$381), "", 'Data Entry'!$ý$381)</f>
      </c>
      <c r="GH381">
        <f>IF(ISBLANK('Data Entry'!$þ$381), "", 'Data Entry'!$þ$381)</f>
      </c>
      <c r="GI381">
        <f>IF(ISBLANK('Data Entry'!$ÿ$381), "", 'Data Entry'!$ÿ$381)</f>
      </c>
      <c r="GJ381">
        <f>IF(ISBLANK('Data Entry'!$Ā$381), "", 'Data Entry'!$Ā$381)</f>
      </c>
      <c r="GK381">
        <f>IF(ISBLANK('Data Entry'!$ā$381), "", 'Data Entry'!$ā$381)</f>
      </c>
      <c r="GL381">
        <f>IF(ISBLANK('Data Entry'!$Ă$381), "", 'Data Entry'!$Ă$381)</f>
      </c>
      <c r="GM381">
        <f>IF(ISBLANK('Data Entry'!$ă$381), "", 'Data Entry'!$ă$381)</f>
      </c>
      <c r="GN381">
        <f>IF(ISBLANK('Data Entry'!$Ą$381), "", 'Data Entry'!$Ą$381)</f>
      </c>
      <c r="GO381">
        <f>IF(ISBLANK('Data Entry'!$ą$381), "", 'Data Entry'!$ą$381)</f>
      </c>
      <c r="GP381">
        <f>IF(ISBLANK('Data Entry'!$Ć$381), "", 'Data Entry'!$Ć$381)</f>
      </c>
      <c r="GQ381">
        <f>IF(ISBLANK('Data Entry'!$ć$381), "", 'Data Entry'!$ć$381)</f>
      </c>
      <c r="GR381">
        <f>IF(ISBLANK('Data Entry'!$Ĉ$381), "", 'Data Entry'!$Ĉ$381)</f>
      </c>
      <c r="GS381">
        <f>IF(ISBLANK('Data Entry'!$ĉ$381), "", 'Data Entry'!$ĉ$381)</f>
      </c>
      <c r="GT381">
        <f>IF(ISBLANK('Data Entry'!$Ċ$381), "", 'Data Entry'!$Ċ$381)</f>
      </c>
      <c r="GU381">
        <f>IF(ISBLANK('Data Entry'!$ċ$381), "", 'Data Entry'!$ċ$381)</f>
      </c>
      <c r="GV381">
        <f>IF(ISBLANK('Data Entry'!$Č$381), "", 'Data Entry'!$Č$381)</f>
      </c>
      <c r="GW381">
        <f>IF(ISBLANK('Data Entry'!$č$381), "", 'Data Entry'!$č$381)</f>
      </c>
      <c r="GX381">
        <f>IF(ISBLANK('Data Entry'!$Ď$381), "", 'Data Entry'!$Ď$381)</f>
      </c>
      <c r="GY381">
        <f>IF(ISBLANK('Data Entry'!$ď$381), "", 'Data Entry'!$ď$381)</f>
      </c>
      <c r="GZ381">
        <f>IF(ISBLANK('Data Entry'!$Đ$381), "", 'Data Entry'!$Đ$381)</f>
      </c>
      <c r="HA381">
        <f>IF(ISBLANK('Data Entry'!$đ$381), "", 'Data Entry'!$đ$381)</f>
      </c>
      <c r="HB381">
        <f>IF(ISBLANK('Data Entry'!$Ē$381), "", 'Data Entry'!$Ē$381)</f>
      </c>
      <c r="HC381">
        <f>IF(ISBLANK('Data Entry'!$ē$381), "", 'Data Entry'!$ē$381)</f>
      </c>
      <c r="HD381">
        <f>IF(ISBLANK('Data Entry'!$Ĕ$381), "", 'Data Entry'!$Ĕ$381)</f>
      </c>
      <c r="HE381">
        <f>IF(ISBLANK('Data Entry'!$ĕ$381), "", 'Data Entry'!$ĕ$381)</f>
      </c>
      <c r="HF381">
        <f>IF(ISBLANK('Data Entry'!$Ė$381), "", 'Data Entry'!$Ė$381)</f>
      </c>
      <c r="HG381">
        <f>IF(ISBLANK('Data Entry'!$ė$381), "", 'Data Entry'!$ė$381)</f>
      </c>
      <c r="HH381">
        <f>IF(ISBLANK('Data Entry'!$Ę$381), "", 'Data Entry'!$Ę$381)</f>
      </c>
      <c r="HI381">
        <f>IF(ISBLANK('Data Entry'!$ę$381), "", 'Data Entry'!$ę$381)</f>
      </c>
      <c r="HJ381">
        <f>IF(ISBLANK('Data Entry'!$Ě$381), "", 'Data Entry'!$Ě$381)</f>
      </c>
      <c r="HK381">
        <f>IF(ISBLANK('Data Entry'!$ě$381), "", 'Data Entry'!$ě$381)</f>
      </c>
      <c r="HL381">
        <f>IF(ISBLANK('Data Entry'!$Ĝ$381), "", 'Data Entry'!$Ĝ$381)</f>
      </c>
      <c r="HM381">
        <f>IF(ISBLANK('Data Entry'!$ĝ$381), "", 'Data Entry'!$ĝ$381)</f>
      </c>
      <c r="HN381">
        <f>IF(ISBLANK('Data Entry'!$Ğ$381), "", 'Data Entry'!$Ğ$381)</f>
      </c>
      <c r="HO381">
        <f>IF(ISBLANK('Data Entry'!$ğ$381), "", 'Data Entry'!$ğ$381)</f>
      </c>
      <c r="HP381">
        <f>IF(ISBLANK('Data Entry'!$Ġ$381), "", 'Data Entry'!$Ġ$381)</f>
      </c>
      <c r="HQ381">
        <f>IF(ISBLANK('Data Entry'!$ġ$381), "", 'Data Entry'!$ġ$381)</f>
      </c>
      <c r="HR381">
        <f>IF(ISBLANK('Data Entry'!$Ģ$381), "", 'Data Entry'!$Ģ$381)</f>
      </c>
      <c r="HS381">
        <f>IF(ISBLANK('Data Entry'!$ģ$381), "", 'Data Entry'!$ģ$381)</f>
      </c>
      <c r="HT381">
        <f>IF(ISBLANK('Data Entry'!$Ĥ$381), "", 'Data Entry'!$Ĥ$381)</f>
      </c>
      <c r="HU381">
        <f>IF(ISBLANK('Data Entry'!$ĥ$381), "", 'Data Entry'!$ĥ$381)</f>
      </c>
      <c r="HV381">
        <f>IF(ISBLANK('Data Entry'!$Ħ$381), "", 'Data Entry'!$Ħ$381)</f>
      </c>
      <c r="HW381">
        <f>IF(ISBLANK('Data Entry'!$ħ$381), "", 'Data Entry'!$ħ$381)</f>
      </c>
      <c r="HX381">
        <f>IF(ISBLANK('Data Entry'!$Ĩ$381), "", 'Data Entry'!$Ĩ$381)</f>
      </c>
      <c r="HY381">
        <f>IF(ISBLANK('Data Entry'!$ĩ$381), "", 'Data Entry'!$ĩ$381)</f>
      </c>
      <c r="HZ381">
        <f>IF(ISBLANK('Data Entry'!$Ī$381), "", 'Data Entry'!$Ī$381)</f>
      </c>
      <c r="IA381">
        <f>IF(ISBLANK('Data Entry'!$ī$381), "", 'Data Entry'!$ī$381)</f>
      </c>
      <c r="IB381">
        <f>IF(ISBLANK('Data Entry'!$Ĭ$381), "", 'Data Entry'!$Ĭ$381)</f>
      </c>
      <c r="IC381">
        <f>IF(ISBLANK('Data Entry'!$ĭ$381), "", 'Data Entry'!$ĭ$381)</f>
      </c>
      <c r="ID381">
        <f>IF(ISBLANK('Data Entry'!$Į$381), "", 'Data Entry'!$Į$381)</f>
      </c>
      <c r="IE381">
        <f>IF(ISBLANK('Data Entry'!$į$381), "", 'Data Entry'!$į$381)</f>
      </c>
      <c r="IF381">
        <f>IF(ISBLANK('Data Entry'!$İ$381), "", 'Data Entry'!$İ$381)</f>
      </c>
      <c r="IG381">
        <f>IF(ISBLANK('Data Entry'!$ı$381), "", 'Data Entry'!$ı$381)</f>
      </c>
      <c r="IH381">
        <f>IF(ISBLANK('Data Entry'!$Ĳ$381), "", 'Data Entry'!$Ĳ$381)</f>
      </c>
      <c r="II381">
        <f>IF(ISBLANK('Data Entry'!$ĳ$381), "", 'Data Entry'!$ĳ$381)</f>
      </c>
      <c r="IJ381">
        <f>IF(ISBLANK('Data Entry'!$Ĵ$381), "", 'Data Entry'!$Ĵ$381)</f>
      </c>
      <c r="IK381">
        <f>IF(ISBLANK('Data Entry'!$ĵ$381), "", 'Data Entry'!$ĵ$381)</f>
      </c>
      <c r="IL381">
        <f>IF(ISBLANK('Data Entry'!$Ķ$381), "", 'Data Entry'!$Ķ$381)</f>
      </c>
      <c r="IM381">
        <f>IF(ISBLANK('Data Entry'!$ķ$381), "", 'Data Entry'!$ķ$381)</f>
      </c>
      <c r="IN381">
        <f>IF(ISBLANK('Data Entry'!$ĸ$381), "", 'Data Entry'!$ĸ$381)</f>
      </c>
      <c r="IO381">
        <f>IF(ISBLANK('Data Entry'!$Ĺ$381), "", 'Data Entry'!$Ĺ$381)</f>
      </c>
      <c r="IP381">
        <f>IF(ISBLANK('Data Entry'!$ĺ$381), "", 'Data Entry'!$ĺ$381)</f>
      </c>
      <c r="IQ381">
        <f>IF(ISBLANK('Data Entry'!$Ļ$381), "", 'Data Entry'!$Ļ$381)</f>
      </c>
      <c r="IR381">
        <f>IF(ISBLANK('Data Entry'!$ļ$381), "", 'Data Entry'!$ļ$381)</f>
      </c>
      <c r="IS381">
        <f>IF(ISBLANK('Data Entry'!$Ľ$381), "", 'Data Entry'!$Ľ$381)</f>
      </c>
      <c r="IT381">
        <f>IF(ISBLANK('Data Entry'!$ľ$381), "", 'Data Entry'!$ľ$381)</f>
      </c>
    </row>
    <row r="382" spans="1:254" x14ac:dyDescent="0.25">
      <c r="A382">
        <f>IF(ISBLANK('Data Entry'!$A$382), "", 'Data Entry'!$A$382)</f>
      </c>
      <c r="B382">
        <f>IF(ISBLANK('Data Entry'!$B$382), "", 'Data Entry'!$B$382)</f>
      </c>
      <c r="C382">
        <f>IF(ISBLANK('Data Entry'!$C$382), "", 'Data Entry'!$C$382)</f>
      </c>
      <c r="D382">
        <f>IF(ISBLANK('Data Entry'!$D$382), "", 'Data Entry'!$D$382)</f>
      </c>
      <c r="E382">
        <f>IF(ISBLANK('Data Entry'!$E$382), "", 'Data Entry'!$E$382)</f>
      </c>
      <c r="F382">
        <f>IF(ISBLANK('Data Entry'!$F$382), "", 'Data Entry'!$F$382)</f>
      </c>
      <c r="G382">
        <f>IF(ISBLANK('Data Entry'!$G$382), "", 'Data Entry'!$G$382)</f>
      </c>
      <c r="H382">
        <f>IF(ISBLANK('Data Entry'!$H$382), "", 'Data Entry'!$H$382)</f>
      </c>
      <c r="I382">
        <f>IF(ISBLANK('Data Entry'!$I$382), "", 'Data Entry'!$I$382)</f>
      </c>
      <c r="J382">
        <f>IF(ISBLANK('Data Entry'!$J$382), "", 'Data Entry'!$J$382)</f>
      </c>
      <c r="K382">
        <f>IF(ISBLANK('Data Entry'!$K$382), "", 'Data Entry'!$K$382)</f>
      </c>
      <c r="L382">
        <f>IF(ISBLANK('Data Entry'!$L$382), "", 'Data Entry'!$L$382)</f>
      </c>
      <c r="M382">
        <f>IF(ISBLANK('Data Entry'!$M$382), "", 'Data Entry'!$M$382)</f>
      </c>
      <c r="N382">
        <f>IF(ISBLANK('Data Entry'!$N$382), "", 'Data Entry'!$N$382)</f>
      </c>
      <c r="O382">
        <f>IF(ISBLANK('Data Entry'!$O$382), "", 'Data Entry'!$O$382)</f>
      </c>
      <c r="P382">
        <f>IF(ISBLANK('Data Entry'!$P$382), "", 'Data Entry'!$P$382)</f>
      </c>
      <c r="Q382">
        <f>IF(ISBLANK('Data Entry'!$Q$382), "", 'Data Entry'!$Q$382)</f>
      </c>
      <c r="R382">
        <f>IF(ISBLANK('Data Entry'!$R$382), "", 'Data Entry'!$R$382)</f>
      </c>
      <c r="S382">
        <f>IF(ISBLANK('Data Entry'!$S$382), "", 'Data Entry'!$S$382)</f>
      </c>
      <c r="T382">
        <f>IF(ISBLANK('Data Entry'!$T$382), "", 'Data Entry'!$T$382)</f>
      </c>
      <c r="U382">
        <f>IF(ISBLANK('Data Entry'!$U$382), "", 'Data Entry'!$U$382)</f>
      </c>
      <c r="V382">
        <f>IF(ISBLANK('Data Entry'!$V$382), "", 'Data Entry'!$V$382)</f>
      </c>
      <c r="W382">
        <f>IF(ISBLANK('Data Entry'!$W$382), "", 'Data Entry'!$W$382)</f>
      </c>
      <c r="X382">
        <f>IF(ISBLANK('Data Entry'!$X$382), "", 'Data Entry'!$X$382)</f>
      </c>
      <c r="Y382">
        <f>IF(ISBLANK('Data Entry'!$Y$382), "", 'Data Entry'!$Y$382)</f>
      </c>
      <c r="Z382">
        <f>IF(ISBLANK('Data Entry'!$Z$382), "", 'Data Entry'!$Z$382)</f>
      </c>
      <c r="AA382">
        <f>IF(ISBLANK('Data Entry'!$[$382), "", 'Data Entry'!$[$382)</f>
      </c>
      <c r="AB382">
        <f>IF(ISBLANK('Data Entry'!$\$382), "", 'Data Entry'!$\$382)</f>
      </c>
      <c r="AC382">
        <f>IF(ISBLANK('Data Entry'!$]$382), "", 'Data Entry'!$]$382)</f>
      </c>
      <c r="AD382">
        <f>IF(ISBLANK('Data Entry'!$^$382), "", 'Data Entry'!$^$382)</f>
      </c>
      <c r="AE382">
        <f>IF(ISBLANK('Data Entry'!$_$382), "", 'Data Entry'!$_$382)</f>
      </c>
      <c r="AF382">
        <f>IF(ISBLANK('Data Entry'!$`$382), "", 'Data Entry'!$`$382)</f>
      </c>
      <c r="AG382">
        <f>IF(ISBLANK('Data Entry'!$a$382), "", 'Data Entry'!$a$382)</f>
      </c>
      <c r="AH382">
        <f>IF(ISBLANK('Data Entry'!$b$382), "", 'Data Entry'!$b$382)</f>
      </c>
      <c r="AI382">
        <f>IF(ISBLANK('Data Entry'!$c$382), "", 'Data Entry'!$c$382)</f>
      </c>
      <c r="AJ382">
        <f>IF(ISBLANK('Data Entry'!$d$382), "", 'Data Entry'!$d$382)</f>
      </c>
      <c r="AK382">
        <f>IF(ISBLANK('Data Entry'!$e$382), "", 'Data Entry'!$e$382)</f>
      </c>
      <c r="AL382">
        <f>IF(ISBLANK('Data Entry'!$f$382), "", 'Data Entry'!$f$382)</f>
      </c>
      <c r="AM382">
        <f>IF(ISBLANK('Data Entry'!$g$382), "", 'Data Entry'!$g$382)</f>
      </c>
      <c r="AN382">
        <f>IF(ISBLANK('Data Entry'!$h$382), "", 'Data Entry'!$h$382)</f>
      </c>
      <c r="AO382">
        <f>IF(ISBLANK('Data Entry'!$i$382), "", 'Data Entry'!$i$382)</f>
      </c>
      <c r="AP382">
        <f>IF(ISBLANK('Data Entry'!$j$382), "", 'Data Entry'!$j$382)</f>
      </c>
      <c r="AQ382">
        <f>IF(ISBLANK('Data Entry'!$k$382), "", 'Data Entry'!$k$382)</f>
      </c>
      <c r="AR382">
        <f>IF(ISBLANK('Data Entry'!$l$382), "", 'Data Entry'!$l$382)</f>
      </c>
      <c r="AS382">
        <f>IF(ISBLANK('Data Entry'!$m$382), "", 'Data Entry'!$m$382)</f>
      </c>
      <c r="AT382">
        <f>IF(ISBLANK('Data Entry'!$n$382), "", 'Data Entry'!$n$382)</f>
      </c>
      <c r="AU382">
        <f>IF(ISBLANK('Data Entry'!$o$382), "", 'Data Entry'!$o$382)</f>
      </c>
      <c r="AV382">
        <f>IF(ISBLANK('Data Entry'!$p$382), "", 'Data Entry'!$p$382)</f>
      </c>
      <c r="AW382">
        <f>IF(ISBLANK('Data Entry'!$q$382), "", 'Data Entry'!$q$382)</f>
      </c>
      <c r="AX382">
        <f>IF(ISBLANK('Data Entry'!$r$382), "", 'Data Entry'!$r$382)</f>
      </c>
      <c r="AY382">
        <f>IF(ISBLANK('Data Entry'!$s$382), "", 'Data Entry'!$s$382)</f>
      </c>
      <c r="AZ382">
        <f>IF(ISBLANK('Data Entry'!$t$382), "", 'Data Entry'!$t$382)</f>
      </c>
      <c r="BA382">
        <f>IF(ISBLANK('Data Entry'!$u$382), "", 'Data Entry'!$u$382)</f>
      </c>
      <c r="BB382">
        <f>IF(ISBLANK('Data Entry'!$v$382), "", 'Data Entry'!$v$382)</f>
      </c>
      <c r="BC382">
        <f>IF(ISBLANK('Data Entry'!$w$382), "", 'Data Entry'!$w$382)</f>
      </c>
      <c r="BD382">
        <f>IF(ISBLANK('Data Entry'!$x$382), "", 'Data Entry'!$x$382)</f>
      </c>
      <c r="BE382">
        <f>IF(ISBLANK('Data Entry'!$y$382), "", 'Data Entry'!$y$382)</f>
      </c>
      <c r="BF382">
        <f>IF(ISBLANK('Data Entry'!$z$382), "", 'Data Entry'!$z$382)</f>
      </c>
      <c r="BG382">
        <f>IF(ISBLANK('Data Entry'!${$382), "", 'Data Entry'!${$382)</f>
      </c>
      <c r="BH382">
        <f>IF(ISBLANK('Data Entry'!$|$382), "", 'Data Entry'!$|$382)</f>
      </c>
      <c r="BI382">
        <f>IF(ISBLANK('Data Entry'!$}$382), "", 'Data Entry'!$}$382)</f>
      </c>
      <c r="BJ382">
        <f>IF(ISBLANK('Data Entry'!$~$382), "", 'Data Entry'!$~$382)</f>
      </c>
      <c r="BK382">
        <f>IF(ISBLANK('Data Entry'!$$382), "", 'Data Entry'!$$382)</f>
      </c>
      <c r="BL382">
        <f>IF(ISBLANK('Data Entry'!$$382), "", 'Data Entry'!$$382)</f>
      </c>
      <c r="BM382">
        <f>IF(ISBLANK('Data Entry'!$$382), "", 'Data Entry'!$$382)</f>
      </c>
      <c r="BN382">
        <f>IF(ISBLANK('Data Entry'!$$382), "", 'Data Entry'!$$382)</f>
      </c>
      <c r="BO382">
        <f>IF(ISBLANK('Data Entry'!$$382), "", 'Data Entry'!$$382)</f>
      </c>
      <c r="BP382">
        <f>IF(ISBLANK('Data Entry'!$$382), "", 'Data Entry'!$$382)</f>
      </c>
      <c r="BQ382">
        <f>IF(ISBLANK('Data Entry'!$$382), "", 'Data Entry'!$$382)</f>
      </c>
      <c r="BR382">
        <f>IF(ISBLANK('Data Entry'!$$382), "", 'Data Entry'!$$382)</f>
      </c>
      <c r="BS382">
        <f>IF(ISBLANK('Data Entry'!$$382), "", 'Data Entry'!$$382)</f>
      </c>
      <c r="BT382">
        <f>IF(ISBLANK('Data Entry'!$$382), "", 'Data Entry'!$$382)</f>
      </c>
      <c r="BU382">
        <f>IF(ISBLANK('Data Entry'!$$382), "", 'Data Entry'!$$382)</f>
      </c>
      <c r="BV382">
        <f>IF(ISBLANK('Data Entry'!$$382), "", 'Data Entry'!$$382)</f>
      </c>
      <c r="BW382">
        <f>IF(ISBLANK('Data Entry'!$$382), "", 'Data Entry'!$$382)</f>
      </c>
      <c r="BX382">
        <f>IF(ISBLANK('Data Entry'!$$382), "", 'Data Entry'!$$382)</f>
      </c>
      <c r="BY382">
        <f>IF(ISBLANK('Data Entry'!$$382), "", 'Data Entry'!$$382)</f>
      </c>
      <c r="BZ382">
        <f>IF(ISBLANK('Data Entry'!$$382), "", 'Data Entry'!$$382)</f>
      </c>
      <c r="CA382">
        <f>IF(ISBLANK('Data Entry'!$$382), "", 'Data Entry'!$$382)</f>
      </c>
      <c r="CB382">
        <f>IF(ISBLANK('Data Entry'!$$382), "", 'Data Entry'!$$382)</f>
      </c>
      <c r="CC382">
        <f>IF(ISBLANK('Data Entry'!$$382), "", 'Data Entry'!$$382)</f>
      </c>
      <c r="CD382">
        <f>IF(ISBLANK('Data Entry'!$$382), "", 'Data Entry'!$$382)</f>
      </c>
      <c r="CE382">
        <f>IF(ISBLANK('Data Entry'!$$382), "", 'Data Entry'!$$382)</f>
      </c>
      <c r="CF382">
        <f>IF(ISBLANK('Data Entry'!$$382), "", 'Data Entry'!$$382)</f>
      </c>
      <c r="CG382">
        <f>IF(ISBLANK('Data Entry'!$$382), "", 'Data Entry'!$$382)</f>
      </c>
      <c r="CH382">
        <f>IF(ISBLANK('Data Entry'!$$382), "", 'Data Entry'!$$382)</f>
      </c>
      <c r="CI382">
        <f>IF(ISBLANK('Data Entry'!$$382), "", 'Data Entry'!$$382)</f>
      </c>
      <c r="CJ382">
        <f>IF(ISBLANK('Data Entry'!$$382), "", 'Data Entry'!$$382)</f>
      </c>
      <c r="CK382">
        <f>IF(ISBLANK('Data Entry'!$$382), "", 'Data Entry'!$$382)</f>
      </c>
      <c r="CL382">
        <f>IF(ISBLANK('Data Entry'!$$382), "", 'Data Entry'!$$382)</f>
      </c>
      <c r="CM382">
        <f>IF(ISBLANK('Data Entry'!$$382), "", 'Data Entry'!$$382)</f>
      </c>
      <c r="CN382">
        <f>IF(ISBLANK('Data Entry'!$$382), "", 'Data Entry'!$$382)</f>
      </c>
      <c r="CO382">
        <f>IF(ISBLANK('Data Entry'!$$382), "", 'Data Entry'!$$382)</f>
      </c>
      <c r="CP382">
        <f>IF(ISBLANK('Data Entry'!$$382), "", 'Data Entry'!$$382)</f>
      </c>
      <c r="CQ382">
        <f>IF(ISBLANK('Data Entry'!$$382), "", 'Data Entry'!$$382)</f>
      </c>
      <c r="CR382">
        <f>IF(ISBLANK('Data Entry'!$ $382), "", 'Data Entry'!$ $382)</f>
      </c>
      <c r="CS382">
        <f>IF(ISBLANK('Data Entry'!$¡$382), "", 'Data Entry'!$¡$382)</f>
      </c>
      <c r="CT382">
        <f>IF(ISBLANK('Data Entry'!$¢$382), "", 'Data Entry'!$¢$382)</f>
      </c>
      <c r="CU382">
        <f>IF(ISBLANK('Data Entry'!$£$382), "", 'Data Entry'!$£$382)</f>
      </c>
      <c r="CV382">
        <f>IF(ISBLANK('Data Entry'!$¤$382), "", 'Data Entry'!$¤$382)</f>
      </c>
      <c r="CW382">
        <f>IF(ISBLANK('Data Entry'!$¥$382), "", 'Data Entry'!$¥$382)</f>
      </c>
      <c r="CX382">
        <f>IF(ISBLANK('Data Entry'!$¦$382), "", 'Data Entry'!$¦$382)</f>
      </c>
      <c r="CY382">
        <f>IF(ISBLANK('Data Entry'!$§$382), "", 'Data Entry'!$§$382)</f>
      </c>
      <c r="CZ382">
        <f>IF(ISBLANK('Data Entry'!$¨$382), "", 'Data Entry'!$¨$382)</f>
      </c>
      <c r="DA382">
        <f>IF(ISBLANK('Data Entry'!$©$382), "", 'Data Entry'!$©$382)</f>
      </c>
      <c r="DB382">
        <f>IF(ISBLANK('Data Entry'!$ª$382), "", 'Data Entry'!$ª$382)</f>
      </c>
      <c r="DC382">
        <f>IF(ISBLANK('Data Entry'!$«$382), "", 'Data Entry'!$«$382)</f>
      </c>
      <c r="DD382">
        <f>IF(ISBLANK('Data Entry'!$¬$382), "", 'Data Entry'!$¬$382)</f>
      </c>
      <c r="DE382">
        <f>IF(ISBLANK('Data Entry'!$­$382), "", 'Data Entry'!$­$382)</f>
      </c>
      <c r="DF382">
        <f>IF(ISBLANK('Data Entry'!$®$382), "", 'Data Entry'!$®$382)</f>
      </c>
      <c r="DG382">
        <f>IF(ISBLANK('Data Entry'!$¯$382), "", 'Data Entry'!$¯$382)</f>
      </c>
      <c r="DH382">
        <f>IF(ISBLANK('Data Entry'!$°$382), "", 'Data Entry'!$°$382)</f>
      </c>
      <c r="DI382">
        <f>IF(ISBLANK('Data Entry'!$±$382), "", 'Data Entry'!$±$382)</f>
      </c>
      <c r="DJ382">
        <f>IF(ISBLANK('Data Entry'!$²$382), "", 'Data Entry'!$²$382)</f>
      </c>
      <c r="DK382">
        <f>IF(ISBLANK('Data Entry'!$³$382), "", 'Data Entry'!$³$382)</f>
      </c>
      <c r="DL382">
        <f>IF(ISBLANK('Data Entry'!$´$382), "", 'Data Entry'!$´$382)</f>
      </c>
      <c r="DM382">
        <f>IF(ISBLANK('Data Entry'!$µ$382), "", 'Data Entry'!$µ$382)</f>
      </c>
      <c r="DN382">
        <f>IF(ISBLANK('Data Entry'!$¶$382), "", 'Data Entry'!$¶$382)</f>
      </c>
      <c r="DO382">
        <f>IF(ISBLANK('Data Entry'!$·$382), "", 'Data Entry'!$·$382)</f>
      </c>
      <c r="DP382">
        <f>IF(ISBLANK('Data Entry'!$¸$382), "", 'Data Entry'!$¸$382)</f>
      </c>
      <c r="DQ382">
        <f>IF(ISBLANK('Data Entry'!$¹$382), "", 'Data Entry'!$¹$382)</f>
      </c>
      <c r="DR382">
        <f>IF(ISBLANK('Data Entry'!$º$382), "", 'Data Entry'!$º$382)</f>
      </c>
      <c r="DS382">
        <f>IF(ISBLANK('Data Entry'!$»$382), "", 'Data Entry'!$»$382)</f>
      </c>
      <c r="DT382">
        <f>IF(ISBLANK('Data Entry'!$¼$382), "", 'Data Entry'!$¼$382)</f>
      </c>
      <c r="DU382">
        <f>IF(ISBLANK('Data Entry'!$½$382), "", 'Data Entry'!$½$382)</f>
      </c>
      <c r="DV382">
        <f>IF(ISBLANK('Data Entry'!$¾$382), "", 'Data Entry'!$¾$382)</f>
      </c>
      <c r="DW382">
        <f>IF(ISBLANK('Data Entry'!$¿$382), "", 'Data Entry'!$¿$382)</f>
      </c>
      <c r="DX382">
        <f>IF(ISBLANK('Data Entry'!$À$382), "", 'Data Entry'!$À$382)</f>
      </c>
      <c r="DY382">
        <f>IF(ISBLANK('Data Entry'!$Á$382), "", 'Data Entry'!$Á$382)</f>
      </c>
      <c r="DZ382">
        <f>IF(ISBLANK('Data Entry'!$Â$382), "", 'Data Entry'!$Â$382)</f>
      </c>
      <c r="EA382">
        <f>IF(ISBLANK('Data Entry'!$Ã$382), "", 'Data Entry'!$Ã$382)</f>
      </c>
      <c r="EB382">
        <f>IF(ISBLANK('Data Entry'!$Ä$382), "", 'Data Entry'!$Ä$382)</f>
      </c>
      <c r="EC382">
        <f>IF(ISBLANK('Data Entry'!$Å$382), "", 'Data Entry'!$Å$382)</f>
      </c>
      <c r="ED382">
        <f>IF(ISBLANK('Data Entry'!$Æ$382), "", 'Data Entry'!$Æ$382)</f>
      </c>
      <c r="EE382">
        <f>IF(ISBLANK('Data Entry'!$Ç$382), "", 'Data Entry'!$Ç$382)</f>
      </c>
      <c r="EF382">
        <f>IF(ISBLANK('Data Entry'!$È$382), "", 'Data Entry'!$È$382)</f>
      </c>
      <c r="EG382">
        <f>IF(ISBLANK('Data Entry'!$É$382), "", 'Data Entry'!$É$382)</f>
      </c>
      <c r="EH382">
        <f>IF(ISBLANK('Data Entry'!$Ê$382), "", 'Data Entry'!$Ê$382)</f>
      </c>
      <c r="EI382">
        <f>IF(ISBLANK('Data Entry'!$Ë$382), "", 'Data Entry'!$Ë$382)</f>
      </c>
      <c r="EJ382">
        <f>IF(ISBLANK('Data Entry'!$Ì$382), "", 'Data Entry'!$Ì$382)</f>
      </c>
      <c r="EK382">
        <f>IF(ISBLANK('Data Entry'!$Í$382), "", 'Data Entry'!$Í$382)</f>
      </c>
      <c r="EL382">
        <f>IF(ISBLANK('Data Entry'!$Î$382), "", 'Data Entry'!$Î$382)</f>
      </c>
      <c r="EM382">
        <f>IF(ISBLANK('Data Entry'!$Ï$382), "", 'Data Entry'!$Ï$382)</f>
      </c>
      <c r="EN382">
        <f>IF(ISBLANK('Data Entry'!$Ð$382), "", 'Data Entry'!$Ð$382)</f>
      </c>
      <c r="EO382">
        <f>IF(ISBLANK('Data Entry'!$Ñ$382), "", 'Data Entry'!$Ñ$382)</f>
      </c>
      <c r="EP382">
        <f>IF(ISBLANK('Data Entry'!$Ò$382), "", 'Data Entry'!$Ò$382)</f>
      </c>
      <c r="EQ382">
        <f>IF(ISBLANK('Data Entry'!$Ó$382), "", 'Data Entry'!$Ó$382)</f>
      </c>
      <c r="ER382">
        <f>IF(ISBLANK('Data Entry'!$Ô$382), "", 'Data Entry'!$Ô$382)</f>
      </c>
      <c r="ES382">
        <f>IF(ISBLANK('Data Entry'!$Õ$382), "", 'Data Entry'!$Õ$382)</f>
      </c>
      <c r="ET382">
        <f>IF(ISBLANK('Data Entry'!$Ö$382), "", 'Data Entry'!$Ö$382)</f>
      </c>
      <c r="EU382">
        <f>IF(ISBLANK('Data Entry'!$×$382), "", 'Data Entry'!$×$382)</f>
      </c>
      <c r="EV382">
        <f>IF(ISBLANK('Data Entry'!$Ø$382), "", 'Data Entry'!$Ø$382)</f>
      </c>
      <c r="EW382">
        <f>IF(ISBLANK('Data Entry'!$Ù$382), "", 'Data Entry'!$Ù$382)</f>
      </c>
      <c r="EX382">
        <f>IF(ISBLANK('Data Entry'!$Ú$382), "", 'Data Entry'!$Ú$382)</f>
      </c>
      <c r="EY382">
        <f>IF(ISBLANK('Data Entry'!$Û$382), "", 'Data Entry'!$Û$382)</f>
      </c>
      <c r="EZ382">
        <f>IF(ISBLANK('Data Entry'!$Ü$382), "", 'Data Entry'!$Ü$382)</f>
      </c>
      <c r="FA382">
        <f>IF(ISBLANK('Data Entry'!$Ý$382), "", 'Data Entry'!$Ý$382)</f>
      </c>
      <c r="FB382">
        <f>IF(ISBLANK('Data Entry'!$Þ$382), "", 'Data Entry'!$Þ$382)</f>
      </c>
      <c r="FC382">
        <f>IF(ISBLANK('Data Entry'!$ß$382), "", 'Data Entry'!$ß$382)</f>
      </c>
      <c r="FD382">
        <f>IF(ISBLANK('Data Entry'!$à$382), "", 'Data Entry'!$à$382)</f>
      </c>
      <c r="FE382">
        <f>IF(ISBLANK('Data Entry'!$á$382), "", 'Data Entry'!$á$382)</f>
      </c>
      <c r="FF382">
        <f>IF(ISBLANK('Data Entry'!$â$382), "", 'Data Entry'!$â$382)</f>
      </c>
      <c r="FG382">
        <f>IF(ISBLANK('Data Entry'!$ã$382), "", 'Data Entry'!$ã$382)</f>
      </c>
      <c r="FH382">
        <f>IF(ISBLANK('Data Entry'!$ä$382), "", 'Data Entry'!$ä$382)</f>
      </c>
      <c r="FI382">
        <f>IF(ISBLANK('Data Entry'!$å$382), "", 'Data Entry'!$å$382)</f>
      </c>
      <c r="FJ382">
        <f>IF(ISBLANK('Data Entry'!$æ$382), "", 'Data Entry'!$æ$382)</f>
      </c>
      <c r="FK382">
        <f>IF(ISBLANK('Data Entry'!$ç$382), "", 'Data Entry'!$ç$382)</f>
      </c>
      <c r="FL382">
        <f>IF(ISBLANK('Data Entry'!$è$382), "", 'Data Entry'!$è$382)</f>
      </c>
      <c r="FM382">
        <f>IF(ISBLANK('Data Entry'!$é$382), "", 'Data Entry'!$é$382)</f>
      </c>
      <c r="FN382">
        <f>IF(ISBLANK('Data Entry'!$ê$382), "", 'Data Entry'!$ê$382)</f>
      </c>
      <c r="FO382">
        <f>IF(ISBLANK('Data Entry'!$ë$382), "", 'Data Entry'!$ë$382)</f>
      </c>
      <c r="FP382">
        <f>IF(ISBLANK('Data Entry'!$ì$382), "", 'Data Entry'!$ì$382)</f>
      </c>
      <c r="FQ382">
        <f>IF(ISBLANK('Data Entry'!$í$382), "", 'Data Entry'!$í$382)</f>
      </c>
      <c r="FR382">
        <f>IF(ISBLANK('Data Entry'!$î$382), "", 'Data Entry'!$î$382)</f>
      </c>
      <c r="FS382">
        <f>IF(ISBLANK('Data Entry'!$ï$382), "", 'Data Entry'!$ï$382)</f>
      </c>
      <c r="FT382">
        <f>IF(ISBLANK('Data Entry'!$ð$382), "", 'Data Entry'!$ð$382)</f>
      </c>
      <c r="FU382">
        <f>IF(ISBLANK('Data Entry'!$ñ$382), "", 'Data Entry'!$ñ$382)</f>
      </c>
      <c r="FV382">
        <f>IF(ISBLANK('Data Entry'!$ò$382), "", 'Data Entry'!$ò$382)</f>
      </c>
      <c r="FW382">
        <f>IF(ISBLANK('Data Entry'!$ó$382), "", 'Data Entry'!$ó$382)</f>
      </c>
      <c r="FX382">
        <f>IF(ISBLANK('Data Entry'!$ô$382), "", 'Data Entry'!$ô$382)</f>
      </c>
      <c r="FY382">
        <f>IF(ISBLANK('Data Entry'!$õ$382), "", 'Data Entry'!$õ$382)</f>
      </c>
      <c r="FZ382">
        <f>IF(ISBLANK('Data Entry'!$ö$382), "", 'Data Entry'!$ö$382)</f>
      </c>
      <c r="GA382">
        <f>IF(ISBLANK('Data Entry'!$÷$382), "", 'Data Entry'!$÷$382)</f>
      </c>
      <c r="GB382">
        <f>IF(ISBLANK('Data Entry'!$ø$382), "", 'Data Entry'!$ø$382)</f>
      </c>
      <c r="GC382">
        <f>IF(ISBLANK('Data Entry'!$ù$382), "", 'Data Entry'!$ù$382)</f>
      </c>
      <c r="GD382">
        <f>IF(ISBLANK('Data Entry'!$ú$382), "", 'Data Entry'!$ú$382)</f>
      </c>
      <c r="GE382">
        <f>IF(ISBLANK('Data Entry'!$û$382), "", 'Data Entry'!$û$382)</f>
      </c>
      <c r="GF382">
        <f>IF(ISBLANK('Data Entry'!$ü$382), "", 'Data Entry'!$ü$382)</f>
      </c>
      <c r="GG382">
        <f>IF(ISBLANK('Data Entry'!$ý$382), "", 'Data Entry'!$ý$382)</f>
      </c>
      <c r="GH382">
        <f>IF(ISBLANK('Data Entry'!$þ$382), "", 'Data Entry'!$þ$382)</f>
      </c>
      <c r="GI382">
        <f>IF(ISBLANK('Data Entry'!$ÿ$382), "", 'Data Entry'!$ÿ$382)</f>
      </c>
      <c r="GJ382">
        <f>IF(ISBLANK('Data Entry'!$Ā$382), "", 'Data Entry'!$Ā$382)</f>
      </c>
      <c r="GK382">
        <f>IF(ISBLANK('Data Entry'!$ā$382), "", 'Data Entry'!$ā$382)</f>
      </c>
      <c r="GL382">
        <f>IF(ISBLANK('Data Entry'!$Ă$382), "", 'Data Entry'!$Ă$382)</f>
      </c>
      <c r="GM382">
        <f>IF(ISBLANK('Data Entry'!$ă$382), "", 'Data Entry'!$ă$382)</f>
      </c>
      <c r="GN382">
        <f>IF(ISBLANK('Data Entry'!$Ą$382), "", 'Data Entry'!$Ą$382)</f>
      </c>
      <c r="GO382">
        <f>IF(ISBLANK('Data Entry'!$ą$382), "", 'Data Entry'!$ą$382)</f>
      </c>
      <c r="GP382">
        <f>IF(ISBLANK('Data Entry'!$Ć$382), "", 'Data Entry'!$Ć$382)</f>
      </c>
      <c r="GQ382">
        <f>IF(ISBLANK('Data Entry'!$ć$382), "", 'Data Entry'!$ć$382)</f>
      </c>
      <c r="GR382">
        <f>IF(ISBLANK('Data Entry'!$Ĉ$382), "", 'Data Entry'!$Ĉ$382)</f>
      </c>
      <c r="GS382">
        <f>IF(ISBLANK('Data Entry'!$ĉ$382), "", 'Data Entry'!$ĉ$382)</f>
      </c>
      <c r="GT382">
        <f>IF(ISBLANK('Data Entry'!$Ċ$382), "", 'Data Entry'!$Ċ$382)</f>
      </c>
      <c r="GU382">
        <f>IF(ISBLANK('Data Entry'!$ċ$382), "", 'Data Entry'!$ċ$382)</f>
      </c>
      <c r="GV382">
        <f>IF(ISBLANK('Data Entry'!$Č$382), "", 'Data Entry'!$Č$382)</f>
      </c>
      <c r="GW382">
        <f>IF(ISBLANK('Data Entry'!$č$382), "", 'Data Entry'!$č$382)</f>
      </c>
      <c r="GX382">
        <f>IF(ISBLANK('Data Entry'!$Ď$382), "", 'Data Entry'!$Ď$382)</f>
      </c>
      <c r="GY382">
        <f>IF(ISBLANK('Data Entry'!$ď$382), "", 'Data Entry'!$ď$382)</f>
      </c>
      <c r="GZ382">
        <f>IF(ISBLANK('Data Entry'!$Đ$382), "", 'Data Entry'!$Đ$382)</f>
      </c>
      <c r="HA382">
        <f>IF(ISBLANK('Data Entry'!$đ$382), "", 'Data Entry'!$đ$382)</f>
      </c>
      <c r="HB382">
        <f>IF(ISBLANK('Data Entry'!$Ē$382), "", 'Data Entry'!$Ē$382)</f>
      </c>
      <c r="HC382">
        <f>IF(ISBLANK('Data Entry'!$ē$382), "", 'Data Entry'!$ē$382)</f>
      </c>
      <c r="HD382">
        <f>IF(ISBLANK('Data Entry'!$Ĕ$382), "", 'Data Entry'!$Ĕ$382)</f>
      </c>
      <c r="HE382">
        <f>IF(ISBLANK('Data Entry'!$ĕ$382), "", 'Data Entry'!$ĕ$382)</f>
      </c>
      <c r="HF382">
        <f>IF(ISBLANK('Data Entry'!$Ė$382), "", 'Data Entry'!$Ė$382)</f>
      </c>
      <c r="HG382">
        <f>IF(ISBLANK('Data Entry'!$ė$382), "", 'Data Entry'!$ė$382)</f>
      </c>
      <c r="HH382">
        <f>IF(ISBLANK('Data Entry'!$Ę$382), "", 'Data Entry'!$Ę$382)</f>
      </c>
      <c r="HI382">
        <f>IF(ISBLANK('Data Entry'!$ę$382), "", 'Data Entry'!$ę$382)</f>
      </c>
      <c r="HJ382">
        <f>IF(ISBLANK('Data Entry'!$Ě$382), "", 'Data Entry'!$Ě$382)</f>
      </c>
      <c r="HK382">
        <f>IF(ISBLANK('Data Entry'!$ě$382), "", 'Data Entry'!$ě$382)</f>
      </c>
      <c r="HL382">
        <f>IF(ISBLANK('Data Entry'!$Ĝ$382), "", 'Data Entry'!$Ĝ$382)</f>
      </c>
      <c r="HM382">
        <f>IF(ISBLANK('Data Entry'!$ĝ$382), "", 'Data Entry'!$ĝ$382)</f>
      </c>
      <c r="HN382">
        <f>IF(ISBLANK('Data Entry'!$Ğ$382), "", 'Data Entry'!$Ğ$382)</f>
      </c>
      <c r="HO382">
        <f>IF(ISBLANK('Data Entry'!$ğ$382), "", 'Data Entry'!$ğ$382)</f>
      </c>
      <c r="HP382">
        <f>IF(ISBLANK('Data Entry'!$Ġ$382), "", 'Data Entry'!$Ġ$382)</f>
      </c>
      <c r="HQ382">
        <f>IF(ISBLANK('Data Entry'!$ġ$382), "", 'Data Entry'!$ġ$382)</f>
      </c>
      <c r="HR382">
        <f>IF(ISBLANK('Data Entry'!$Ģ$382), "", 'Data Entry'!$Ģ$382)</f>
      </c>
      <c r="HS382">
        <f>IF(ISBLANK('Data Entry'!$ģ$382), "", 'Data Entry'!$ģ$382)</f>
      </c>
      <c r="HT382">
        <f>IF(ISBLANK('Data Entry'!$Ĥ$382), "", 'Data Entry'!$Ĥ$382)</f>
      </c>
      <c r="HU382">
        <f>IF(ISBLANK('Data Entry'!$ĥ$382), "", 'Data Entry'!$ĥ$382)</f>
      </c>
      <c r="HV382">
        <f>IF(ISBLANK('Data Entry'!$Ħ$382), "", 'Data Entry'!$Ħ$382)</f>
      </c>
      <c r="HW382">
        <f>IF(ISBLANK('Data Entry'!$ħ$382), "", 'Data Entry'!$ħ$382)</f>
      </c>
      <c r="HX382">
        <f>IF(ISBLANK('Data Entry'!$Ĩ$382), "", 'Data Entry'!$Ĩ$382)</f>
      </c>
      <c r="HY382">
        <f>IF(ISBLANK('Data Entry'!$ĩ$382), "", 'Data Entry'!$ĩ$382)</f>
      </c>
      <c r="HZ382">
        <f>IF(ISBLANK('Data Entry'!$Ī$382), "", 'Data Entry'!$Ī$382)</f>
      </c>
      <c r="IA382">
        <f>IF(ISBLANK('Data Entry'!$ī$382), "", 'Data Entry'!$ī$382)</f>
      </c>
      <c r="IB382">
        <f>IF(ISBLANK('Data Entry'!$Ĭ$382), "", 'Data Entry'!$Ĭ$382)</f>
      </c>
      <c r="IC382">
        <f>IF(ISBLANK('Data Entry'!$ĭ$382), "", 'Data Entry'!$ĭ$382)</f>
      </c>
      <c r="ID382">
        <f>IF(ISBLANK('Data Entry'!$Į$382), "", 'Data Entry'!$Į$382)</f>
      </c>
      <c r="IE382">
        <f>IF(ISBLANK('Data Entry'!$į$382), "", 'Data Entry'!$į$382)</f>
      </c>
      <c r="IF382">
        <f>IF(ISBLANK('Data Entry'!$İ$382), "", 'Data Entry'!$İ$382)</f>
      </c>
      <c r="IG382">
        <f>IF(ISBLANK('Data Entry'!$ı$382), "", 'Data Entry'!$ı$382)</f>
      </c>
      <c r="IH382">
        <f>IF(ISBLANK('Data Entry'!$Ĳ$382), "", 'Data Entry'!$Ĳ$382)</f>
      </c>
      <c r="II382">
        <f>IF(ISBLANK('Data Entry'!$ĳ$382), "", 'Data Entry'!$ĳ$382)</f>
      </c>
      <c r="IJ382">
        <f>IF(ISBLANK('Data Entry'!$Ĵ$382), "", 'Data Entry'!$Ĵ$382)</f>
      </c>
      <c r="IK382">
        <f>IF(ISBLANK('Data Entry'!$ĵ$382), "", 'Data Entry'!$ĵ$382)</f>
      </c>
      <c r="IL382">
        <f>IF(ISBLANK('Data Entry'!$Ķ$382), "", 'Data Entry'!$Ķ$382)</f>
      </c>
      <c r="IM382">
        <f>IF(ISBLANK('Data Entry'!$ķ$382), "", 'Data Entry'!$ķ$382)</f>
      </c>
      <c r="IN382">
        <f>IF(ISBLANK('Data Entry'!$ĸ$382), "", 'Data Entry'!$ĸ$382)</f>
      </c>
      <c r="IO382">
        <f>IF(ISBLANK('Data Entry'!$Ĺ$382), "", 'Data Entry'!$Ĺ$382)</f>
      </c>
      <c r="IP382">
        <f>IF(ISBLANK('Data Entry'!$ĺ$382), "", 'Data Entry'!$ĺ$382)</f>
      </c>
      <c r="IQ382">
        <f>IF(ISBLANK('Data Entry'!$Ļ$382), "", 'Data Entry'!$Ļ$382)</f>
      </c>
      <c r="IR382">
        <f>IF(ISBLANK('Data Entry'!$ļ$382), "", 'Data Entry'!$ļ$382)</f>
      </c>
      <c r="IS382">
        <f>IF(ISBLANK('Data Entry'!$Ľ$382), "", 'Data Entry'!$Ľ$382)</f>
      </c>
      <c r="IT382">
        <f>IF(ISBLANK('Data Entry'!$ľ$382), "", 'Data Entry'!$ľ$382)</f>
      </c>
    </row>
    <row r="383" spans="1:254" x14ac:dyDescent="0.25">
      <c r="A383">
        <f>IF(ISBLANK('Data Entry'!$A$383), "", 'Data Entry'!$A$383)</f>
      </c>
      <c r="B383">
        <f>IF(ISBLANK('Data Entry'!$B$383), "", 'Data Entry'!$B$383)</f>
      </c>
      <c r="C383">
        <f>IF(ISBLANK('Data Entry'!$C$383), "", 'Data Entry'!$C$383)</f>
      </c>
      <c r="D383">
        <f>IF(ISBLANK('Data Entry'!$D$383), "", 'Data Entry'!$D$383)</f>
      </c>
      <c r="E383">
        <f>IF(ISBLANK('Data Entry'!$E$383), "", 'Data Entry'!$E$383)</f>
      </c>
      <c r="F383">
        <f>IF(ISBLANK('Data Entry'!$F$383), "", 'Data Entry'!$F$383)</f>
      </c>
      <c r="G383">
        <f>IF(ISBLANK('Data Entry'!$G$383), "", 'Data Entry'!$G$383)</f>
      </c>
      <c r="H383">
        <f>IF(ISBLANK('Data Entry'!$H$383), "", 'Data Entry'!$H$383)</f>
      </c>
      <c r="I383">
        <f>IF(ISBLANK('Data Entry'!$I$383), "", 'Data Entry'!$I$383)</f>
      </c>
      <c r="J383">
        <f>IF(ISBLANK('Data Entry'!$J$383), "", 'Data Entry'!$J$383)</f>
      </c>
      <c r="K383">
        <f>IF(ISBLANK('Data Entry'!$K$383), "", 'Data Entry'!$K$383)</f>
      </c>
      <c r="L383">
        <f>IF(ISBLANK('Data Entry'!$L$383), "", 'Data Entry'!$L$383)</f>
      </c>
      <c r="M383">
        <f>IF(ISBLANK('Data Entry'!$M$383), "", 'Data Entry'!$M$383)</f>
      </c>
      <c r="N383">
        <f>IF(ISBLANK('Data Entry'!$N$383), "", 'Data Entry'!$N$383)</f>
      </c>
      <c r="O383">
        <f>IF(ISBLANK('Data Entry'!$O$383), "", 'Data Entry'!$O$383)</f>
      </c>
      <c r="P383">
        <f>IF(ISBLANK('Data Entry'!$P$383), "", 'Data Entry'!$P$383)</f>
      </c>
      <c r="Q383">
        <f>IF(ISBLANK('Data Entry'!$Q$383), "", 'Data Entry'!$Q$383)</f>
      </c>
      <c r="R383">
        <f>IF(ISBLANK('Data Entry'!$R$383), "", 'Data Entry'!$R$383)</f>
      </c>
      <c r="S383">
        <f>IF(ISBLANK('Data Entry'!$S$383), "", 'Data Entry'!$S$383)</f>
      </c>
      <c r="T383">
        <f>IF(ISBLANK('Data Entry'!$T$383), "", 'Data Entry'!$T$383)</f>
      </c>
      <c r="U383">
        <f>IF(ISBLANK('Data Entry'!$U$383), "", 'Data Entry'!$U$383)</f>
      </c>
      <c r="V383">
        <f>IF(ISBLANK('Data Entry'!$V$383), "", 'Data Entry'!$V$383)</f>
      </c>
      <c r="W383">
        <f>IF(ISBLANK('Data Entry'!$W$383), "", 'Data Entry'!$W$383)</f>
      </c>
      <c r="X383">
        <f>IF(ISBLANK('Data Entry'!$X$383), "", 'Data Entry'!$X$383)</f>
      </c>
      <c r="Y383">
        <f>IF(ISBLANK('Data Entry'!$Y$383), "", 'Data Entry'!$Y$383)</f>
      </c>
      <c r="Z383">
        <f>IF(ISBLANK('Data Entry'!$Z$383), "", 'Data Entry'!$Z$383)</f>
      </c>
      <c r="AA383">
        <f>IF(ISBLANK('Data Entry'!$[$383), "", 'Data Entry'!$[$383)</f>
      </c>
      <c r="AB383">
        <f>IF(ISBLANK('Data Entry'!$\$383), "", 'Data Entry'!$\$383)</f>
      </c>
      <c r="AC383">
        <f>IF(ISBLANK('Data Entry'!$]$383), "", 'Data Entry'!$]$383)</f>
      </c>
      <c r="AD383">
        <f>IF(ISBLANK('Data Entry'!$^$383), "", 'Data Entry'!$^$383)</f>
      </c>
      <c r="AE383">
        <f>IF(ISBLANK('Data Entry'!$_$383), "", 'Data Entry'!$_$383)</f>
      </c>
      <c r="AF383">
        <f>IF(ISBLANK('Data Entry'!$`$383), "", 'Data Entry'!$`$383)</f>
      </c>
      <c r="AG383">
        <f>IF(ISBLANK('Data Entry'!$a$383), "", 'Data Entry'!$a$383)</f>
      </c>
      <c r="AH383">
        <f>IF(ISBLANK('Data Entry'!$b$383), "", 'Data Entry'!$b$383)</f>
      </c>
      <c r="AI383">
        <f>IF(ISBLANK('Data Entry'!$c$383), "", 'Data Entry'!$c$383)</f>
      </c>
      <c r="AJ383">
        <f>IF(ISBLANK('Data Entry'!$d$383), "", 'Data Entry'!$d$383)</f>
      </c>
      <c r="AK383">
        <f>IF(ISBLANK('Data Entry'!$e$383), "", 'Data Entry'!$e$383)</f>
      </c>
      <c r="AL383">
        <f>IF(ISBLANK('Data Entry'!$f$383), "", 'Data Entry'!$f$383)</f>
      </c>
      <c r="AM383">
        <f>IF(ISBLANK('Data Entry'!$g$383), "", 'Data Entry'!$g$383)</f>
      </c>
      <c r="AN383">
        <f>IF(ISBLANK('Data Entry'!$h$383), "", 'Data Entry'!$h$383)</f>
      </c>
      <c r="AO383">
        <f>IF(ISBLANK('Data Entry'!$i$383), "", 'Data Entry'!$i$383)</f>
      </c>
      <c r="AP383">
        <f>IF(ISBLANK('Data Entry'!$j$383), "", 'Data Entry'!$j$383)</f>
      </c>
      <c r="AQ383">
        <f>IF(ISBLANK('Data Entry'!$k$383), "", 'Data Entry'!$k$383)</f>
      </c>
      <c r="AR383">
        <f>IF(ISBLANK('Data Entry'!$l$383), "", 'Data Entry'!$l$383)</f>
      </c>
      <c r="AS383">
        <f>IF(ISBLANK('Data Entry'!$m$383), "", 'Data Entry'!$m$383)</f>
      </c>
      <c r="AT383">
        <f>IF(ISBLANK('Data Entry'!$n$383), "", 'Data Entry'!$n$383)</f>
      </c>
      <c r="AU383">
        <f>IF(ISBLANK('Data Entry'!$o$383), "", 'Data Entry'!$o$383)</f>
      </c>
      <c r="AV383">
        <f>IF(ISBLANK('Data Entry'!$p$383), "", 'Data Entry'!$p$383)</f>
      </c>
      <c r="AW383">
        <f>IF(ISBLANK('Data Entry'!$q$383), "", 'Data Entry'!$q$383)</f>
      </c>
      <c r="AX383">
        <f>IF(ISBLANK('Data Entry'!$r$383), "", 'Data Entry'!$r$383)</f>
      </c>
      <c r="AY383">
        <f>IF(ISBLANK('Data Entry'!$s$383), "", 'Data Entry'!$s$383)</f>
      </c>
      <c r="AZ383">
        <f>IF(ISBLANK('Data Entry'!$t$383), "", 'Data Entry'!$t$383)</f>
      </c>
      <c r="BA383">
        <f>IF(ISBLANK('Data Entry'!$u$383), "", 'Data Entry'!$u$383)</f>
      </c>
      <c r="BB383">
        <f>IF(ISBLANK('Data Entry'!$v$383), "", 'Data Entry'!$v$383)</f>
      </c>
      <c r="BC383">
        <f>IF(ISBLANK('Data Entry'!$w$383), "", 'Data Entry'!$w$383)</f>
      </c>
      <c r="BD383">
        <f>IF(ISBLANK('Data Entry'!$x$383), "", 'Data Entry'!$x$383)</f>
      </c>
      <c r="BE383">
        <f>IF(ISBLANK('Data Entry'!$y$383), "", 'Data Entry'!$y$383)</f>
      </c>
      <c r="BF383">
        <f>IF(ISBLANK('Data Entry'!$z$383), "", 'Data Entry'!$z$383)</f>
      </c>
      <c r="BG383">
        <f>IF(ISBLANK('Data Entry'!${$383), "", 'Data Entry'!${$383)</f>
      </c>
      <c r="BH383">
        <f>IF(ISBLANK('Data Entry'!$|$383), "", 'Data Entry'!$|$383)</f>
      </c>
      <c r="BI383">
        <f>IF(ISBLANK('Data Entry'!$}$383), "", 'Data Entry'!$}$383)</f>
      </c>
      <c r="BJ383">
        <f>IF(ISBLANK('Data Entry'!$~$383), "", 'Data Entry'!$~$383)</f>
      </c>
      <c r="BK383">
        <f>IF(ISBLANK('Data Entry'!$$383), "", 'Data Entry'!$$383)</f>
      </c>
      <c r="BL383">
        <f>IF(ISBLANK('Data Entry'!$$383), "", 'Data Entry'!$$383)</f>
      </c>
      <c r="BM383">
        <f>IF(ISBLANK('Data Entry'!$$383), "", 'Data Entry'!$$383)</f>
      </c>
      <c r="BN383">
        <f>IF(ISBLANK('Data Entry'!$$383), "", 'Data Entry'!$$383)</f>
      </c>
      <c r="BO383">
        <f>IF(ISBLANK('Data Entry'!$$383), "", 'Data Entry'!$$383)</f>
      </c>
      <c r="BP383">
        <f>IF(ISBLANK('Data Entry'!$$383), "", 'Data Entry'!$$383)</f>
      </c>
      <c r="BQ383">
        <f>IF(ISBLANK('Data Entry'!$$383), "", 'Data Entry'!$$383)</f>
      </c>
      <c r="BR383">
        <f>IF(ISBLANK('Data Entry'!$$383), "", 'Data Entry'!$$383)</f>
      </c>
      <c r="BS383">
        <f>IF(ISBLANK('Data Entry'!$$383), "", 'Data Entry'!$$383)</f>
      </c>
      <c r="BT383">
        <f>IF(ISBLANK('Data Entry'!$$383), "", 'Data Entry'!$$383)</f>
      </c>
      <c r="BU383">
        <f>IF(ISBLANK('Data Entry'!$$383), "", 'Data Entry'!$$383)</f>
      </c>
      <c r="BV383">
        <f>IF(ISBLANK('Data Entry'!$$383), "", 'Data Entry'!$$383)</f>
      </c>
      <c r="BW383">
        <f>IF(ISBLANK('Data Entry'!$$383), "", 'Data Entry'!$$383)</f>
      </c>
      <c r="BX383">
        <f>IF(ISBLANK('Data Entry'!$$383), "", 'Data Entry'!$$383)</f>
      </c>
      <c r="BY383">
        <f>IF(ISBLANK('Data Entry'!$$383), "", 'Data Entry'!$$383)</f>
      </c>
      <c r="BZ383">
        <f>IF(ISBLANK('Data Entry'!$$383), "", 'Data Entry'!$$383)</f>
      </c>
      <c r="CA383">
        <f>IF(ISBLANK('Data Entry'!$$383), "", 'Data Entry'!$$383)</f>
      </c>
      <c r="CB383">
        <f>IF(ISBLANK('Data Entry'!$$383), "", 'Data Entry'!$$383)</f>
      </c>
      <c r="CC383">
        <f>IF(ISBLANK('Data Entry'!$$383), "", 'Data Entry'!$$383)</f>
      </c>
      <c r="CD383">
        <f>IF(ISBLANK('Data Entry'!$$383), "", 'Data Entry'!$$383)</f>
      </c>
      <c r="CE383">
        <f>IF(ISBLANK('Data Entry'!$$383), "", 'Data Entry'!$$383)</f>
      </c>
      <c r="CF383">
        <f>IF(ISBLANK('Data Entry'!$$383), "", 'Data Entry'!$$383)</f>
      </c>
      <c r="CG383">
        <f>IF(ISBLANK('Data Entry'!$$383), "", 'Data Entry'!$$383)</f>
      </c>
      <c r="CH383">
        <f>IF(ISBLANK('Data Entry'!$$383), "", 'Data Entry'!$$383)</f>
      </c>
      <c r="CI383">
        <f>IF(ISBLANK('Data Entry'!$$383), "", 'Data Entry'!$$383)</f>
      </c>
      <c r="CJ383">
        <f>IF(ISBLANK('Data Entry'!$$383), "", 'Data Entry'!$$383)</f>
      </c>
      <c r="CK383">
        <f>IF(ISBLANK('Data Entry'!$$383), "", 'Data Entry'!$$383)</f>
      </c>
      <c r="CL383">
        <f>IF(ISBLANK('Data Entry'!$$383), "", 'Data Entry'!$$383)</f>
      </c>
      <c r="CM383">
        <f>IF(ISBLANK('Data Entry'!$$383), "", 'Data Entry'!$$383)</f>
      </c>
      <c r="CN383">
        <f>IF(ISBLANK('Data Entry'!$$383), "", 'Data Entry'!$$383)</f>
      </c>
      <c r="CO383">
        <f>IF(ISBLANK('Data Entry'!$$383), "", 'Data Entry'!$$383)</f>
      </c>
      <c r="CP383">
        <f>IF(ISBLANK('Data Entry'!$$383), "", 'Data Entry'!$$383)</f>
      </c>
      <c r="CQ383">
        <f>IF(ISBLANK('Data Entry'!$$383), "", 'Data Entry'!$$383)</f>
      </c>
      <c r="CR383">
        <f>IF(ISBLANK('Data Entry'!$ $383), "", 'Data Entry'!$ $383)</f>
      </c>
      <c r="CS383">
        <f>IF(ISBLANK('Data Entry'!$¡$383), "", 'Data Entry'!$¡$383)</f>
      </c>
      <c r="CT383">
        <f>IF(ISBLANK('Data Entry'!$¢$383), "", 'Data Entry'!$¢$383)</f>
      </c>
      <c r="CU383">
        <f>IF(ISBLANK('Data Entry'!$£$383), "", 'Data Entry'!$£$383)</f>
      </c>
      <c r="CV383">
        <f>IF(ISBLANK('Data Entry'!$¤$383), "", 'Data Entry'!$¤$383)</f>
      </c>
      <c r="CW383">
        <f>IF(ISBLANK('Data Entry'!$¥$383), "", 'Data Entry'!$¥$383)</f>
      </c>
      <c r="CX383">
        <f>IF(ISBLANK('Data Entry'!$¦$383), "", 'Data Entry'!$¦$383)</f>
      </c>
      <c r="CY383">
        <f>IF(ISBLANK('Data Entry'!$§$383), "", 'Data Entry'!$§$383)</f>
      </c>
      <c r="CZ383">
        <f>IF(ISBLANK('Data Entry'!$¨$383), "", 'Data Entry'!$¨$383)</f>
      </c>
      <c r="DA383">
        <f>IF(ISBLANK('Data Entry'!$©$383), "", 'Data Entry'!$©$383)</f>
      </c>
      <c r="DB383">
        <f>IF(ISBLANK('Data Entry'!$ª$383), "", 'Data Entry'!$ª$383)</f>
      </c>
      <c r="DC383">
        <f>IF(ISBLANK('Data Entry'!$«$383), "", 'Data Entry'!$«$383)</f>
      </c>
      <c r="DD383">
        <f>IF(ISBLANK('Data Entry'!$¬$383), "", 'Data Entry'!$¬$383)</f>
      </c>
      <c r="DE383">
        <f>IF(ISBLANK('Data Entry'!$­$383), "", 'Data Entry'!$­$383)</f>
      </c>
      <c r="DF383">
        <f>IF(ISBLANK('Data Entry'!$®$383), "", 'Data Entry'!$®$383)</f>
      </c>
      <c r="DG383">
        <f>IF(ISBLANK('Data Entry'!$¯$383), "", 'Data Entry'!$¯$383)</f>
      </c>
      <c r="DH383">
        <f>IF(ISBLANK('Data Entry'!$°$383), "", 'Data Entry'!$°$383)</f>
      </c>
      <c r="DI383">
        <f>IF(ISBLANK('Data Entry'!$±$383), "", 'Data Entry'!$±$383)</f>
      </c>
      <c r="DJ383">
        <f>IF(ISBLANK('Data Entry'!$²$383), "", 'Data Entry'!$²$383)</f>
      </c>
      <c r="DK383">
        <f>IF(ISBLANK('Data Entry'!$³$383), "", 'Data Entry'!$³$383)</f>
      </c>
      <c r="DL383">
        <f>IF(ISBLANK('Data Entry'!$´$383), "", 'Data Entry'!$´$383)</f>
      </c>
      <c r="DM383">
        <f>IF(ISBLANK('Data Entry'!$µ$383), "", 'Data Entry'!$µ$383)</f>
      </c>
      <c r="DN383">
        <f>IF(ISBLANK('Data Entry'!$¶$383), "", 'Data Entry'!$¶$383)</f>
      </c>
      <c r="DO383">
        <f>IF(ISBLANK('Data Entry'!$·$383), "", 'Data Entry'!$·$383)</f>
      </c>
      <c r="DP383">
        <f>IF(ISBLANK('Data Entry'!$¸$383), "", 'Data Entry'!$¸$383)</f>
      </c>
      <c r="DQ383">
        <f>IF(ISBLANK('Data Entry'!$¹$383), "", 'Data Entry'!$¹$383)</f>
      </c>
      <c r="DR383">
        <f>IF(ISBLANK('Data Entry'!$º$383), "", 'Data Entry'!$º$383)</f>
      </c>
      <c r="DS383">
        <f>IF(ISBLANK('Data Entry'!$»$383), "", 'Data Entry'!$»$383)</f>
      </c>
      <c r="DT383">
        <f>IF(ISBLANK('Data Entry'!$¼$383), "", 'Data Entry'!$¼$383)</f>
      </c>
      <c r="DU383">
        <f>IF(ISBLANK('Data Entry'!$½$383), "", 'Data Entry'!$½$383)</f>
      </c>
      <c r="DV383">
        <f>IF(ISBLANK('Data Entry'!$¾$383), "", 'Data Entry'!$¾$383)</f>
      </c>
      <c r="DW383">
        <f>IF(ISBLANK('Data Entry'!$¿$383), "", 'Data Entry'!$¿$383)</f>
      </c>
      <c r="DX383">
        <f>IF(ISBLANK('Data Entry'!$À$383), "", 'Data Entry'!$À$383)</f>
      </c>
      <c r="DY383">
        <f>IF(ISBLANK('Data Entry'!$Á$383), "", 'Data Entry'!$Á$383)</f>
      </c>
      <c r="DZ383">
        <f>IF(ISBLANK('Data Entry'!$Â$383), "", 'Data Entry'!$Â$383)</f>
      </c>
      <c r="EA383">
        <f>IF(ISBLANK('Data Entry'!$Ã$383), "", 'Data Entry'!$Ã$383)</f>
      </c>
      <c r="EB383">
        <f>IF(ISBLANK('Data Entry'!$Ä$383), "", 'Data Entry'!$Ä$383)</f>
      </c>
      <c r="EC383">
        <f>IF(ISBLANK('Data Entry'!$Å$383), "", 'Data Entry'!$Å$383)</f>
      </c>
      <c r="ED383">
        <f>IF(ISBLANK('Data Entry'!$Æ$383), "", 'Data Entry'!$Æ$383)</f>
      </c>
      <c r="EE383">
        <f>IF(ISBLANK('Data Entry'!$Ç$383), "", 'Data Entry'!$Ç$383)</f>
      </c>
      <c r="EF383">
        <f>IF(ISBLANK('Data Entry'!$È$383), "", 'Data Entry'!$È$383)</f>
      </c>
      <c r="EG383">
        <f>IF(ISBLANK('Data Entry'!$É$383), "", 'Data Entry'!$É$383)</f>
      </c>
      <c r="EH383">
        <f>IF(ISBLANK('Data Entry'!$Ê$383), "", 'Data Entry'!$Ê$383)</f>
      </c>
      <c r="EI383">
        <f>IF(ISBLANK('Data Entry'!$Ë$383), "", 'Data Entry'!$Ë$383)</f>
      </c>
      <c r="EJ383">
        <f>IF(ISBLANK('Data Entry'!$Ì$383), "", 'Data Entry'!$Ì$383)</f>
      </c>
      <c r="EK383">
        <f>IF(ISBLANK('Data Entry'!$Í$383), "", 'Data Entry'!$Í$383)</f>
      </c>
      <c r="EL383">
        <f>IF(ISBLANK('Data Entry'!$Î$383), "", 'Data Entry'!$Î$383)</f>
      </c>
      <c r="EM383">
        <f>IF(ISBLANK('Data Entry'!$Ï$383), "", 'Data Entry'!$Ï$383)</f>
      </c>
      <c r="EN383">
        <f>IF(ISBLANK('Data Entry'!$Ð$383), "", 'Data Entry'!$Ð$383)</f>
      </c>
      <c r="EO383">
        <f>IF(ISBLANK('Data Entry'!$Ñ$383), "", 'Data Entry'!$Ñ$383)</f>
      </c>
      <c r="EP383">
        <f>IF(ISBLANK('Data Entry'!$Ò$383), "", 'Data Entry'!$Ò$383)</f>
      </c>
      <c r="EQ383">
        <f>IF(ISBLANK('Data Entry'!$Ó$383), "", 'Data Entry'!$Ó$383)</f>
      </c>
      <c r="ER383">
        <f>IF(ISBLANK('Data Entry'!$Ô$383), "", 'Data Entry'!$Ô$383)</f>
      </c>
      <c r="ES383">
        <f>IF(ISBLANK('Data Entry'!$Õ$383), "", 'Data Entry'!$Õ$383)</f>
      </c>
      <c r="ET383">
        <f>IF(ISBLANK('Data Entry'!$Ö$383), "", 'Data Entry'!$Ö$383)</f>
      </c>
      <c r="EU383">
        <f>IF(ISBLANK('Data Entry'!$×$383), "", 'Data Entry'!$×$383)</f>
      </c>
      <c r="EV383">
        <f>IF(ISBLANK('Data Entry'!$Ø$383), "", 'Data Entry'!$Ø$383)</f>
      </c>
      <c r="EW383">
        <f>IF(ISBLANK('Data Entry'!$Ù$383), "", 'Data Entry'!$Ù$383)</f>
      </c>
      <c r="EX383">
        <f>IF(ISBLANK('Data Entry'!$Ú$383), "", 'Data Entry'!$Ú$383)</f>
      </c>
      <c r="EY383">
        <f>IF(ISBLANK('Data Entry'!$Û$383), "", 'Data Entry'!$Û$383)</f>
      </c>
      <c r="EZ383">
        <f>IF(ISBLANK('Data Entry'!$Ü$383), "", 'Data Entry'!$Ü$383)</f>
      </c>
      <c r="FA383">
        <f>IF(ISBLANK('Data Entry'!$Ý$383), "", 'Data Entry'!$Ý$383)</f>
      </c>
      <c r="FB383">
        <f>IF(ISBLANK('Data Entry'!$Þ$383), "", 'Data Entry'!$Þ$383)</f>
      </c>
      <c r="FC383">
        <f>IF(ISBLANK('Data Entry'!$ß$383), "", 'Data Entry'!$ß$383)</f>
      </c>
      <c r="FD383">
        <f>IF(ISBLANK('Data Entry'!$à$383), "", 'Data Entry'!$à$383)</f>
      </c>
      <c r="FE383">
        <f>IF(ISBLANK('Data Entry'!$á$383), "", 'Data Entry'!$á$383)</f>
      </c>
      <c r="FF383">
        <f>IF(ISBLANK('Data Entry'!$â$383), "", 'Data Entry'!$â$383)</f>
      </c>
      <c r="FG383">
        <f>IF(ISBLANK('Data Entry'!$ã$383), "", 'Data Entry'!$ã$383)</f>
      </c>
      <c r="FH383">
        <f>IF(ISBLANK('Data Entry'!$ä$383), "", 'Data Entry'!$ä$383)</f>
      </c>
      <c r="FI383">
        <f>IF(ISBLANK('Data Entry'!$å$383), "", 'Data Entry'!$å$383)</f>
      </c>
      <c r="FJ383">
        <f>IF(ISBLANK('Data Entry'!$æ$383), "", 'Data Entry'!$æ$383)</f>
      </c>
      <c r="FK383">
        <f>IF(ISBLANK('Data Entry'!$ç$383), "", 'Data Entry'!$ç$383)</f>
      </c>
      <c r="FL383">
        <f>IF(ISBLANK('Data Entry'!$è$383), "", 'Data Entry'!$è$383)</f>
      </c>
      <c r="FM383">
        <f>IF(ISBLANK('Data Entry'!$é$383), "", 'Data Entry'!$é$383)</f>
      </c>
      <c r="FN383">
        <f>IF(ISBLANK('Data Entry'!$ê$383), "", 'Data Entry'!$ê$383)</f>
      </c>
      <c r="FO383">
        <f>IF(ISBLANK('Data Entry'!$ë$383), "", 'Data Entry'!$ë$383)</f>
      </c>
      <c r="FP383">
        <f>IF(ISBLANK('Data Entry'!$ì$383), "", 'Data Entry'!$ì$383)</f>
      </c>
      <c r="FQ383">
        <f>IF(ISBLANK('Data Entry'!$í$383), "", 'Data Entry'!$í$383)</f>
      </c>
      <c r="FR383">
        <f>IF(ISBLANK('Data Entry'!$î$383), "", 'Data Entry'!$î$383)</f>
      </c>
      <c r="FS383">
        <f>IF(ISBLANK('Data Entry'!$ï$383), "", 'Data Entry'!$ï$383)</f>
      </c>
      <c r="FT383">
        <f>IF(ISBLANK('Data Entry'!$ð$383), "", 'Data Entry'!$ð$383)</f>
      </c>
      <c r="FU383">
        <f>IF(ISBLANK('Data Entry'!$ñ$383), "", 'Data Entry'!$ñ$383)</f>
      </c>
      <c r="FV383">
        <f>IF(ISBLANK('Data Entry'!$ò$383), "", 'Data Entry'!$ò$383)</f>
      </c>
      <c r="FW383">
        <f>IF(ISBLANK('Data Entry'!$ó$383), "", 'Data Entry'!$ó$383)</f>
      </c>
      <c r="FX383">
        <f>IF(ISBLANK('Data Entry'!$ô$383), "", 'Data Entry'!$ô$383)</f>
      </c>
      <c r="FY383">
        <f>IF(ISBLANK('Data Entry'!$õ$383), "", 'Data Entry'!$õ$383)</f>
      </c>
      <c r="FZ383">
        <f>IF(ISBLANK('Data Entry'!$ö$383), "", 'Data Entry'!$ö$383)</f>
      </c>
      <c r="GA383">
        <f>IF(ISBLANK('Data Entry'!$÷$383), "", 'Data Entry'!$÷$383)</f>
      </c>
      <c r="GB383">
        <f>IF(ISBLANK('Data Entry'!$ø$383), "", 'Data Entry'!$ø$383)</f>
      </c>
      <c r="GC383">
        <f>IF(ISBLANK('Data Entry'!$ù$383), "", 'Data Entry'!$ù$383)</f>
      </c>
      <c r="GD383">
        <f>IF(ISBLANK('Data Entry'!$ú$383), "", 'Data Entry'!$ú$383)</f>
      </c>
      <c r="GE383">
        <f>IF(ISBLANK('Data Entry'!$û$383), "", 'Data Entry'!$û$383)</f>
      </c>
      <c r="GF383">
        <f>IF(ISBLANK('Data Entry'!$ü$383), "", 'Data Entry'!$ü$383)</f>
      </c>
      <c r="GG383">
        <f>IF(ISBLANK('Data Entry'!$ý$383), "", 'Data Entry'!$ý$383)</f>
      </c>
      <c r="GH383">
        <f>IF(ISBLANK('Data Entry'!$þ$383), "", 'Data Entry'!$þ$383)</f>
      </c>
      <c r="GI383">
        <f>IF(ISBLANK('Data Entry'!$ÿ$383), "", 'Data Entry'!$ÿ$383)</f>
      </c>
      <c r="GJ383">
        <f>IF(ISBLANK('Data Entry'!$Ā$383), "", 'Data Entry'!$Ā$383)</f>
      </c>
      <c r="GK383">
        <f>IF(ISBLANK('Data Entry'!$ā$383), "", 'Data Entry'!$ā$383)</f>
      </c>
      <c r="GL383">
        <f>IF(ISBLANK('Data Entry'!$Ă$383), "", 'Data Entry'!$Ă$383)</f>
      </c>
      <c r="GM383">
        <f>IF(ISBLANK('Data Entry'!$ă$383), "", 'Data Entry'!$ă$383)</f>
      </c>
      <c r="GN383">
        <f>IF(ISBLANK('Data Entry'!$Ą$383), "", 'Data Entry'!$Ą$383)</f>
      </c>
      <c r="GO383">
        <f>IF(ISBLANK('Data Entry'!$ą$383), "", 'Data Entry'!$ą$383)</f>
      </c>
      <c r="GP383">
        <f>IF(ISBLANK('Data Entry'!$Ć$383), "", 'Data Entry'!$Ć$383)</f>
      </c>
      <c r="GQ383">
        <f>IF(ISBLANK('Data Entry'!$ć$383), "", 'Data Entry'!$ć$383)</f>
      </c>
      <c r="GR383">
        <f>IF(ISBLANK('Data Entry'!$Ĉ$383), "", 'Data Entry'!$Ĉ$383)</f>
      </c>
      <c r="GS383">
        <f>IF(ISBLANK('Data Entry'!$ĉ$383), "", 'Data Entry'!$ĉ$383)</f>
      </c>
      <c r="GT383">
        <f>IF(ISBLANK('Data Entry'!$Ċ$383), "", 'Data Entry'!$Ċ$383)</f>
      </c>
      <c r="GU383">
        <f>IF(ISBLANK('Data Entry'!$ċ$383), "", 'Data Entry'!$ċ$383)</f>
      </c>
      <c r="GV383">
        <f>IF(ISBLANK('Data Entry'!$Č$383), "", 'Data Entry'!$Č$383)</f>
      </c>
      <c r="GW383">
        <f>IF(ISBLANK('Data Entry'!$č$383), "", 'Data Entry'!$č$383)</f>
      </c>
      <c r="GX383">
        <f>IF(ISBLANK('Data Entry'!$Ď$383), "", 'Data Entry'!$Ď$383)</f>
      </c>
      <c r="GY383">
        <f>IF(ISBLANK('Data Entry'!$ď$383), "", 'Data Entry'!$ď$383)</f>
      </c>
      <c r="GZ383">
        <f>IF(ISBLANK('Data Entry'!$Đ$383), "", 'Data Entry'!$Đ$383)</f>
      </c>
      <c r="HA383">
        <f>IF(ISBLANK('Data Entry'!$đ$383), "", 'Data Entry'!$đ$383)</f>
      </c>
      <c r="HB383">
        <f>IF(ISBLANK('Data Entry'!$Ē$383), "", 'Data Entry'!$Ē$383)</f>
      </c>
      <c r="HC383">
        <f>IF(ISBLANK('Data Entry'!$ē$383), "", 'Data Entry'!$ē$383)</f>
      </c>
      <c r="HD383">
        <f>IF(ISBLANK('Data Entry'!$Ĕ$383), "", 'Data Entry'!$Ĕ$383)</f>
      </c>
      <c r="HE383">
        <f>IF(ISBLANK('Data Entry'!$ĕ$383), "", 'Data Entry'!$ĕ$383)</f>
      </c>
      <c r="HF383">
        <f>IF(ISBLANK('Data Entry'!$Ė$383), "", 'Data Entry'!$Ė$383)</f>
      </c>
      <c r="HG383">
        <f>IF(ISBLANK('Data Entry'!$ė$383), "", 'Data Entry'!$ė$383)</f>
      </c>
      <c r="HH383">
        <f>IF(ISBLANK('Data Entry'!$Ę$383), "", 'Data Entry'!$Ę$383)</f>
      </c>
      <c r="HI383">
        <f>IF(ISBLANK('Data Entry'!$ę$383), "", 'Data Entry'!$ę$383)</f>
      </c>
      <c r="HJ383">
        <f>IF(ISBLANK('Data Entry'!$Ě$383), "", 'Data Entry'!$Ě$383)</f>
      </c>
      <c r="HK383">
        <f>IF(ISBLANK('Data Entry'!$ě$383), "", 'Data Entry'!$ě$383)</f>
      </c>
      <c r="HL383">
        <f>IF(ISBLANK('Data Entry'!$Ĝ$383), "", 'Data Entry'!$Ĝ$383)</f>
      </c>
      <c r="HM383">
        <f>IF(ISBLANK('Data Entry'!$ĝ$383), "", 'Data Entry'!$ĝ$383)</f>
      </c>
      <c r="HN383">
        <f>IF(ISBLANK('Data Entry'!$Ğ$383), "", 'Data Entry'!$Ğ$383)</f>
      </c>
      <c r="HO383">
        <f>IF(ISBLANK('Data Entry'!$ğ$383), "", 'Data Entry'!$ğ$383)</f>
      </c>
      <c r="HP383">
        <f>IF(ISBLANK('Data Entry'!$Ġ$383), "", 'Data Entry'!$Ġ$383)</f>
      </c>
      <c r="HQ383">
        <f>IF(ISBLANK('Data Entry'!$ġ$383), "", 'Data Entry'!$ġ$383)</f>
      </c>
      <c r="HR383">
        <f>IF(ISBLANK('Data Entry'!$Ģ$383), "", 'Data Entry'!$Ģ$383)</f>
      </c>
      <c r="HS383">
        <f>IF(ISBLANK('Data Entry'!$ģ$383), "", 'Data Entry'!$ģ$383)</f>
      </c>
      <c r="HT383">
        <f>IF(ISBLANK('Data Entry'!$Ĥ$383), "", 'Data Entry'!$Ĥ$383)</f>
      </c>
      <c r="HU383">
        <f>IF(ISBLANK('Data Entry'!$ĥ$383), "", 'Data Entry'!$ĥ$383)</f>
      </c>
      <c r="HV383">
        <f>IF(ISBLANK('Data Entry'!$Ħ$383), "", 'Data Entry'!$Ħ$383)</f>
      </c>
      <c r="HW383">
        <f>IF(ISBLANK('Data Entry'!$ħ$383), "", 'Data Entry'!$ħ$383)</f>
      </c>
      <c r="HX383">
        <f>IF(ISBLANK('Data Entry'!$Ĩ$383), "", 'Data Entry'!$Ĩ$383)</f>
      </c>
      <c r="HY383">
        <f>IF(ISBLANK('Data Entry'!$ĩ$383), "", 'Data Entry'!$ĩ$383)</f>
      </c>
      <c r="HZ383">
        <f>IF(ISBLANK('Data Entry'!$Ī$383), "", 'Data Entry'!$Ī$383)</f>
      </c>
      <c r="IA383">
        <f>IF(ISBLANK('Data Entry'!$ī$383), "", 'Data Entry'!$ī$383)</f>
      </c>
      <c r="IB383">
        <f>IF(ISBLANK('Data Entry'!$Ĭ$383), "", 'Data Entry'!$Ĭ$383)</f>
      </c>
      <c r="IC383">
        <f>IF(ISBLANK('Data Entry'!$ĭ$383), "", 'Data Entry'!$ĭ$383)</f>
      </c>
      <c r="ID383">
        <f>IF(ISBLANK('Data Entry'!$Į$383), "", 'Data Entry'!$Į$383)</f>
      </c>
      <c r="IE383">
        <f>IF(ISBLANK('Data Entry'!$į$383), "", 'Data Entry'!$į$383)</f>
      </c>
      <c r="IF383">
        <f>IF(ISBLANK('Data Entry'!$İ$383), "", 'Data Entry'!$İ$383)</f>
      </c>
      <c r="IG383">
        <f>IF(ISBLANK('Data Entry'!$ı$383), "", 'Data Entry'!$ı$383)</f>
      </c>
      <c r="IH383">
        <f>IF(ISBLANK('Data Entry'!$Ĳ$383), "", 'Data Entry'!$Ĳ$383)</f>
      </c>
      <c r="II383">
        <f>IF(ISBLANK('Data Entry'!$ĳ$383), "", 'Data Entry'!$ĳ$383)</f>
      </c>
      <c r="IJ383">
        <f>IF(ISBLANK('Data Entry'!$Ĵ$383), "", 'Data Entry'!$Ĵ$383)</f>
      </c>
      <c r="IK383">
        <f>IF(ISBLANK('Data Entry'!$ĵ$383), "", 'Data Entry'!$ĵ$383)</f>
      </c>
      <c r="IL383">
        <f>IF(ISBLANK('Data Entry'!$Ķ$383), "", 'Data Entry'!$Ķ$383)</f>
      </c>
      <c r="IM383">
        <f>IF(ISBLANK('Data Entry'!$ķ$383), "", 'Data Entry'!$ķ$383)</f>
      </c>
      <c r="IN383">
        <f>IF(ISBLANK('Data Entry'!$ĸ$383), "", 'Data Entry'!$ĸ$383)</f>
      </c>
      <c r="IO383">
        <f>IF(ISBLANK('Data Entry'!$Ĺ$383), "", 'Data Entry'!$Ĺ$383)</f>
      </c>
      <c r="IP383">
        <f>IF(ISBLANK('Data Entry'!$ĺ$383), "", 'Data Entry'!$ĺ$383)</f>
      </c>
      <c r="IQ383">
        <f>IF(ISBLANK('Data Entry'!$Ļ$383), "", 'Data Entry'!$Ļ$383)</f>
      </c>
      <c r="IR383">
        <f>IF(ISBLANK('Data Entry'!$ļ$383), "", 'Data Entry'!$ļ$383)</f>
      </c>
      <c r="IS383">
        <f>IF(ISBLANK('Data Entry'!$Ľ$383), "", 'Data Entry'!$Ľ$383)</f>
      </c>
      <c r="IT383">
        <f>IF(ISBLANK('Data Entry'!$ľ$383), "", 'Data Entry'!$ľ$383)</f>
      </c>
    </row>
    <row r="384" spans="1:254" x14ac:dyDescent="0.25">
      <c r="A384">
        <f>IF(ISBLANK('Data Entry'!$A$384), "", 'Data Entry'!$A$384)</f>
      </c>
      <c r="B384">
        <f>IF(ISBLANK('Data Entry'!$B$384), "", 'Data Entry'!$B$384)</f>
      </c>
      <c r="C384">
        <f>IF(ISBLANK('Data Entry'!$C$384), "", 'Data Entry'!$C$384)</f>
      </c>
      <c r="D384">
        <f>IF(ISBLANK('Data Entry'!$D$384), "", 'Data Entry'!$D$384)</f>
      </c>
      <c r="E384">
        <f>IF(ISBLANK('Data Entry'!$E$384), "", 'Data Entry'!$E$384)</f>
      </c>
      <c r="F384">
        <f>IF(ISBLANK('Data Entry'!$F$384), "", 'Data Entry'!$F$384)</f>
      </c>
      <c r="G384">
        <f>IF(ISBLANK('Data Entry'!$G$384), "", 'Data Entry'!$G$384)</f>
      </c>
      <c r="H384">
        <f>IF(ISBLANK('Data Entry'!$H$384), "", 'Data Entry'!$H$384)</f>
      </c>
      <c r="I384">
        <f>IF(ISBLANK('Data Entry'!$I$384), "", 'Data Entry'!$I$384)</f>
      </c>
      <c r="J384">
        <f>IF(ISBLANK('Data Entry'!$J$384), "", 'Data Entry'!$J$384)</f>
      </c>
      <c r="K384">
        <f>IF(ISBLANK('Data Entry'!$K$384), "", 'Data Entry'!$K$384)</f>
      </c>
      <c r="L384">
        <f>IF(ISBLANK('Data Entry'!$L$384), "", 'Data Entry'!$L$384)</f>
      </c>
      <c r="M384">
        <f>IF(ISBLANK('Data Entry'!$M$384), "", 'Data Entry'!$M$384)</f>
      </c>
      <c r="N384">
        <f>IF(ISBLANK('Data Entry'!$N$384), "", 'Data Entry'!$N$384)</f>
      </c>
      <c r="O384">
        <f>IF(ISBLANK('Data Entry'!$O$384), "", 'Data Entry'!$O$384)</f>
      </c>
      <c r="P384">
        <f>IF(ISBLANK('Data Entry'!$P$384), "", 'Data Entry'!$P$384)</f>
      </c>
      <c r="Q384">
        <f>IF(ISBLANK('Data Entry'!$Q$384), "", 'Data Entry'!$Q$384)</f>
      </c>
      <c r="R384">
        <f>IF(ISBLANK('Data Entry'!$R$384), "", 'Data Entry'!$R$384)</f>
      </c>
      <c r="S384">
        <f>IF(ISBLANK('Data Entry'!$S$384), "", 'Data Entry'!$S$384)</f>
      </c>
      <c r="T384">
        <f>IF(ISBLANK('Data Entry'!$T$384), "", 'Data Entry'!$T$384)</f>
      </c>
      <c r="U384">
        <f>IF(ISBLANK('Data Entry'!$U$384), "", 'Data Entry'!$U$384)</f>
      </c>
      <c r="V384">
        <f>IF(ISBLANK('Data Entry'!$V$384), "", 'Data Entry'!$V$384)</f>
      </c>
      <c r="W384">
        <f>IF(ISBLANK('Data Entry'!$W$384), "", 'Data Entry'!$W$384)</f>
      </c>
      <c r="X384">
        <f>IF(ISBLANK('Data Entry'!$X$384), "", 'Data Entry'!$X$384)</f>
      </c>
      <c r="Y384">
        <f>IF(ISBLANK('Data Entry'!$Y$384), "", 'Data Entry'!$Y$384)</f>
      </c>
      <c r="Z384">
        <f>IF(ISBLANK('Data Entry'!$Z$384), "", 'Data Entry'!$Z$384)</f>
      </c>
      <c r="AA384">
        <f>IF(ISBLANK('Data Entry'!$[$384), "", 'Data Entry'!$[$384)</f>
      </c>
      <c r="AB384">
        <f>IF(ISBLANK('Data Entry'!$\$384), "", 'Data Entry'!$\$384)</f>
      </c>
      <c r="AC384">
        <f>IF(ISBLANK('Data Entry'!$]$384), "", 'Data Entry'!$]$384)</f>
      </c>
      <c r="AD384">
        <f>IF(ISBLANK('Data Entry'!$^$384), "", 'Data Entry'!$^$384)</f>
      </c>
      <c r="AE384">
        <f>IF(ISBLANK('Data Entry'!$_$384), "", 'Data Entry'!$_$384)</f>
      </c>
      <c r="AF384">
        <f>IF(ISBLANK('Data Entry'!$`$384), "", 'Data Entry'!$`$384)</f>
      </c>
      <c r="AG384">
        <f>IF(ISBLANK('Data Entry'!$a$384), "", 'Data Entry'!$a$384)</f>
      </c>
      <c r="AH384">
        <f>IF(ISBLANK('Data Entry'!$b$384), "", 'Data Entry'!$b$384)</f>
      </c>
      <c r="AI384">
        <f>IF(ISBLANK('Data Entry'!$c$384), "", 'Data Entry'!$c$384)</f>
      </c>
      <c r="AJ384">
        <f>IF(ISBLANK('Data Entry'!$d$384), "", 'Data Entry'!$d$384)</f>
      </c>
      <c r="AK384">
        <f>IF(ISBLANK('Data Entry'!$e$384), "", 'Data Entry'!$e$384)</f>
      </c>
      <c r="AL384">
        <f>IF(ISBLANK('Data Entry'!$f$384), "", 'Data Entry'!$f$384)</f>
      </c>
      <c r="AM384">
        <f>IF(ISBLANK('Data Entry'!$g$384), "", 'Data Entry'!$g$384)</f>
      </c>
      <c r="AN384">
        <f>IF(ISBLANK('Data Entry'!$h$384), "", 'Data Entry'!$h$384)</f>
      </c>
      <c r="AO384">
        <f>IF(ISBLANK('Data Entry'!$i$384), "", 'Data Entry'!$i$384)</f>
      </c>
      <c r="AP384">
        <f>IF(ISBLANK('Data Entry'!$j$384), "", 'Data Entry'!$j$384)</f>
      </c>
      <c r="AQ384">
        <f>IF(ISBLANK('Data Entry'!$k$384), "", 'Data Entry'!$k$384)</f>
      </c>
      <c r="AR384">
        <f>IF(ISBLANK('Data Entry'!$l$384), "", 'Data Entry'!$l$384)</f>
      </c>
      <c r="AS384">
        <f>IF(ISBLANK('Data Entry'!$m$384), "", 'Data Entry'!$m$384)</f>
      </c>
      <c r="AT384">
        <f>IF(ISBLANK('Data Entry'!$n$384), "", 'Data Entry'!$n$384)</f>
      </c>
      <c r="AU384">
        <f>IF(ISBLANK('Data Entry'!$o$384), "", 'Data Entry'!$o$384)</f>
      </c>
      <c r="AV384">
        <f>IF(ISBLANK('Data Entry'!$p$384), "", 'Data Entry'!$p$384)</f>
      </c>
      <c r="AW384">
        <f>IF(ISBLANK('Data Entry'!$q$384), "", 'Data Entry'!$q$384)</f>
      </c>
      <c r="AX384">
        <f>IF(ISBLANK('Data Entry'!$r$384), "", 'Data Entry'!$r$384)</f>
      </c>
      <c r="AY384">
        <f>IF(ISBLANK('Data Entry'!$s$384), "", 'Data Entry'!$s$384)</f>
      </c>
      <c r="AZ384">
        <f>IF(ISBLANK('Data Entry'!$t$384), "", 'Data Entry'!$t$384)</f>
      </c>
      <c r="BA384">
        <f>IF(ISBLANK('Data Entry'!$u$384), "", 'Data Entry'!$u$384)</f>
      </c>
      <c r="BB384">
        <f>IF(ISBLANK('Data Entry'!$v$384), "", 'Data Entry'!$v$384)</f>
      </c>
      <c r="BC384">
        <f>IF(ISBLANK('Data Entry'!$w$384), "", 'Data Entry'!$w$384)</f>
      </c>
      <c r="BD384">
        <f>IF(ISBLANK('Data Entry'!$x$384), "", 'Data Entry'!$x$384)</f>
      </c>
      <c r="BE384">
        <f>IF(ISBLANK('Data Entry'!$y$384), "", 'Data Entry'!$y$384)</f>
      </c>
      <c r="BF384">
        <f>IF(ISBLANK('Data Entry'!$z$384), "", 'Data Entry'!$z$384)</f>
      </c>
      <c r="BG384">
        <f>IF(ISBLANK('Data Entry'!${$384), "", 'Data Entry'!${$384)</f>
      </c>
      <c r="BH384">
        <f>IF(ISBLANK('Data Entry'!$|$384), "", 'Data Entry'!$|$384)</f>
      </c>
      <c r="BI384">
        <f>IF(ISBLANK('Data Entry'!$}$384), "", 'Data Entry'!$}$384)</f>
      </c>
      <c r="BJ384">
        <f>IF(ISBLANK('Data Entry'!$~$384), "", 'Data Entry'!$~$384)</f>
      </c>
      <c r="BK384">
        <f>IF(ISBLANK('Data Entry'!$$384), "", 'Data Entry'!$$384)</f>
      </c>
      <c r="BL384">
        <f>IF(ISBLANK('Data Entry'!$$384), "", 'Data Entry'!$$384)</f>
      </c>
      <c r="BM384">
        <f>IF(ISBLANK('Data Entry'!$$384), "", 'Data Entry'!$$384)</f>
      </c>
      <c r="BN384">
        <f>IF(ISBLANK('Data Entry'!$$384), "", 'Data Entry'!$$384)</f>
      </c>
      <c r="BO384">
        <f>IF(ISBLANK('Data Entry'!$$384), "", 'Data Entry'!$$384)</f>
      </c>
      <c r="BP384">
        <f>IF(ISBLANK('Data Entry'!$$384), "", 'Data Entry'!$$384)</f>
      </c>
      <c r="BQ384">
        <f>IF(ISBLANK('Data Entry'!$$384), "", 'Data Entry'!$$384)</f>
      </c>
      <c r="BR384">
        <f>IF(ISBLANK('Data Entry'!$$384), "", 'Data Entry'!$$384)</f>
      </c>
      <c r="BS384">
        <f>IF(ISBLANK('Data Entry'!$$384), "", 'Data Entry'!$$384)</f>
      </c>
      <c r="BT384">
        <f>IF(ISBLANK('Data Entry'!$$384), "", 'Data Entry'!$$384)</f>
      </c>
      <c r="BU384">
        <f>IF(ISBLANK('Data Entry'!$$384), "", 'Data Entry'!$$384)</f>
      </c>
      <c r="BV384">
        <f>IF(ISBLANK('Data Entry'!$$384), "", 'Data Entry'!$$384)</f>
      </c>
      <c r="BW384">
        <f>IF(ISBLANK('Data Entry'!$$384), "", 'Data Entry'!$$384)</f>
      </c>
      <c r="BX384">
        <f>IF(ISBLANK('Data Entry'!$$384), "", 'Data Entry'!$$384)</f>
      </c>
      <c r="BY384">
        <f>IF(ISBLANK('Data Entry'!$$384), "", 'Data Entry'!$$384)</f>
      </c>
      <c r="BZ384">
        <f>IF(ISBLANK('Data Entry'!$$384), "", 'Data Entry'!$$384)</f>
      </c>
      <c r="CA384">
        <f>IF(ISBLANK('Data Entry'!$$384), "", 'Data Entry'!$$384)</f>
      </c>
      <c r="CB384">
        <f>IF(ISBLANK('Data Entry'!$$384), "", 'Data Entry'!$$384)</f>
      </c>
      <c r="CC384">
        <f>IF(ISBLANK('Data Entry'!$$384), "", 'Data Entry'!$$384)</f>
      </c>
      <c r="CD384">
        <f>IF(ISBLANK('Data Entry'!$$384), "", 'Data Entry'!$$384)</f>
      </c>
      <c r="CE384">
        <f>IF(ISBLANK('Data Entry'!$$384), "", 'Data Entry'!$$384)</f>
      </c>
      <c r="CF384">
        <f>IF(ISBLANK('Data Entry'!$$384), "", 'Data Entry'!$$384)</f>
      </c>
      <c r="CG384">
        <f>IF(ISBLANK('Data Entry'!$$384), "", 'Data Entry'!$$384)</f>
      </c>
      <c r="CH384">
        <f>IF(ISBLANK('Data Entry'!$$384), "", 'Data Entry'!$$384)</f>
      </c>
      <c r="CI384">
        <f>IF(ISBLANK('Data Entry'!$$384), "", 'Data Entry'!$$384)</f>
      </c>
      <c r="CJ384">
        <f>IF(ISBLANK('Data Entry'!$$384), "", 'Data Entry'!$$384)</f>
      </c>
      <c r="CK384">
        <f>IF(ISBLANK('Data Entry'!$$384), "", 'Data Entry'!$$384)</f>
      </c>
      <c r="CL384">
        <f>IF(ISBLANK('Data Entry'!$$384), "", 'Data Entry'!$$384)</f>
      </c>
      <c r="CM384">
        <f>IF(ISBLANK('Data Entry'!$$384), "", 'Data Entry'!$$384)</f>
      </c>
      <c r="CN384">
        <f>IF(ISBLANK('Data Entry'!$$384), "", 'Data Entry'!$$384)</f>
      </c>
      <c r="CO384">
        <f>IF(ISBLANK('Data Entry'!$$384), "", 'Data Entry'!$$384)</f>
      </c>
      <c r="CP384">
        <f>IF(ISBLANK('Data Entry'!$$384), "", 'Data Entry'!$$384)</f>
      </c>
      <c r="CQ384">
        <f>IF(ISBLANK('Data Entry'!$$384), "", 'Data Entry'!$$384)</f>
      </c>
      <c r="CR384">
        <f>IF(ISBLANK('Data Entry'!$ $384), "", 'Data Entry'!$ $384)</f>
      </c>
      <c r="CS384">
        <f>IF(ISBLANK('Data Entry'!$¡$384), "", 'Data Entry'!$¡$384)</f>
      </c>
      <c r="CT384">
        <f>IF(ISBLANK('Data Entry'!$¢$384), "", 'Data Entry'!$¢$384)</f>
      </c>
      <c r="CU384">
        <f>IF(ISBLANK('Data Entry'!$£$384), "", 'Data Entry'!$£$384)</f>
      </c>
      <c r="CV384">
        <f>IF(ISBLANK('Data Entry'!$¤$384), "", 'Data Entry'!$¤$384)</f>
      </c>
      <c r="CW384">
        <f>IF(ISBLANK('Data Entry'!$¥$384), "", 'Data Entry'!$¥$384)</f>
      </c>
      <c r="CX384">
        <f>IF(ISBLANK('Data Entry'!$¦$384), "", 'Data Entry'!$¦$384)</f>
      </c>
      <c r="CY384">
        <f>IF(ISBLANK('Data Entry'!$§$384), "", 'Data Entry'!$§$384)</f>
      </c>
      <c r="CZ384">
        <f>IF(ISBLANK('Data Entry'!$¨$384), "", 'Data Entry'!$¨$384)</f>
      </c>
      <c r="DA384">
        <f>IF(ISBLANK('Data Entry'!$©$384), "", 'Data Entry'!$©$384)</f>
      </c>
      <c r="DB384">
        <f>IF(ISBLANK('Data Entry'!$ª$384), "", 'Data Entry'!$ª$384)</f>
      </c>
      <c r="DC384">
        <f>IF(ISBLANK('Data Entry'!$«$384), "", 'Data Entry'!$«$384)</f>
      </c>
      <c r="DD384">
        <f>IF(ISBLANK('Data Entry'!$¬$384), "", 'Data Entry'!$¬$384)</f>
      </c>
      <c r="DE384">
        <f>IF(ISBLANK('Data Entry'!$­$384), "", 'Data Entry'!$­$384)</f>
      </c>
      <c r="DF384">
        <f>IF(ISBLANK('Data Entry'!$®$384), "", 'Data Entry'!$®$384)</f>
      </c>
      <c r="DG384">
        <f>IF(ISBLANK('Data Entry'!$¯$384), "", 'Data Entry'!$¯$384)</f>
      </c>
      <c r="DH384">
        <f>IF(ISBLANK('Data Entry'!$°$384), "", 'Data Entry'!$°$384)</f>
      </c>
      <c r="DI384">
        <f>IF(ISBLANK('Data Entry'!$±$384), "", 'Data Entry'!$±$384)</f>
      </c>
      <c r="DJ384">
        <f>IF(ISBLANK('Data Entry'!$²$384), "", 'Data Entry'!$²$384)</f>
      </c>
      <c r="DK384">
        <f>IF(ISBLANK('Data Entry'!$³$384), "", 'Data Entry'!$³$384)</f>
      </c>
      <c r="DL384">
        <f>IF(ISBLANK('Data Entry'!$´$384), "", 'Data Entry'!$´$384)</f>
      </c>
      <c r="DM384">
        <f>IF(ISBLANK('Data Entry'!$µ$384), "", 'Data Entry'!$µ$384)</f>
      </c>
      <c r="DN384">
        <f>IF(ISBLANK('Data Entry'!$¶$384), "", 'Data Entry'!$¶$384)</f>
      </c>
      <c r="DO384">
        <f>IF(ISBLANK('Data Entry'!$·$384), "", 'Data Entry'!$·$384)</f>
      </c>
      <c r="DP384">
        <f>IF(ISBLANK('Data Entry'!$¸$384), "", 'Data Entry'!$¸$384)</f>
      </c>
      <c r="DQ384">
        <f>IF(ISBLANK('Data Entry'!$¹$384), "", 'Data Entry'!$¹$384)</f>
      </c>
      <c r="DR384">
        <f>IF(ISBLANK('Data Entry'!$º$384), "", 'Data Entry'!$º$384)</f>
      </c>
      <c r="DS384">
        <f>IF(ISBLANK('Data Entry'!$»$384), "", 'Data Entry'!$»$384)</f>
      </c>
      <c r="DT384">
        <f>IF(ISBLANK('Data Entry'!$¼$384), "", 'Data Entry'!$¼$384)</f>
      </c>
      <c r="DU384">
        <f>IF(ISBLANK('Data Entry'!$½$384), "", 'Data Entry'!$½$384)</f>
      </c>
      <c r="DV384">
        <f>IF(ISBLANK('Data Entry'!$¾$384), "", 'Data Entry'!$¾$384)</f>
      </c>
      <c r="DW384">
        <f>IF(ISBLANK('Data Entry'!$¿$384), "", 'Data Entry'!$¿$384)</f>
      </c>
      <c r="DX384">
        <f>IF(ISBLANK('Data Entry'!$À$384), "", 'Data Entry'!$À$384)</f>
      </c>
      <c r="DY384">
        <f>IF(ISBLANK('Data Entry'!$Á$384), "", 'Data Entry'!$Á$384)</f>
      </c>
      <c r="DZ384">
        <f>IF(ISBLANK('Data Entry'!$Â$384), "", 'Data Entry'!$Â$384)</f>
      </c>
      <c r="EA384">
        <f>IF(ISBLANK('Data Entry'!$Ã$384), "", 'Data Entry'!$Ã$384)</f>
      </c>
      <c r="EB384">
        <f>IF(ISBLANK('Data Entry'!$Ä$384), "", 'Data Entry'!$Ä$384)</f>
      </c>
      <c r="EC384">
        <f>IF(ISBLANK('Data Entry'!$Å$384), "", 'Data Entry'!$Å$384)</f>
      </c>
      <c r="ED384">
        <f>IF(ISBLANK('Data Entry'!$Æ$384), "", 'Data Entry'!$Æ$384)</f>
      </c>
      <c r="EE384">
        <f>IF(ISBLANK('Data Entry'!$Ç$384), "", 'Data Entry'!$Ç$384)</f>
      </c>
      <c r="EF384">
        <f>IF(ISBLANK('Data Entry'!$È$384), "", 'Data Entry'!$È$384)</f>
      </c>
      <c r="EG384">
        <f>IF(ISBLANK('Data Entry'!$É$384), "", 'Data Entry'!$É$384)</f>
      </c>
      <c r="EH384">
        <f>IF(ISBLANK('Data Entry'!$Ê$384), "", 'Data Entry'!$Ê$384)</f>
      </c>
      <c r="EI384">
        <f>IF(ISBLANK('Data Entry'!$Ë$384), "", 'Data Entry'!$Ë$384)</f>
      </c>
      <c r="EJ384">
        <f>IF(ISBLANK('Data Entry'!$Ì$384), "", 'Data Entry'!$Ì$384)</f>
      </c>
      <c r="EK384">
        <f>IF(ISBLANK('Data Entry'!$Í$384), "", 'Data Entry'!$Í$384)</f>
      </c>
      <c r="EL384">
        <f>IF(ISBLANK('Data Entry'!$Î$384), "", 'Data Entry'!$Î$384)</f>
      </c>
      <c r="EM384">
        <f>IF(ISBLANK('Data Entry'!$Ï$384), "", 'Data Entry'!$Ï$384)</f>
      </c>
      <c r="EN384">
        <f>IF(ISBLANK('Data Entry'!$Ð$384), "", 'Data Entry'!$Ð$384)</f>
      </c>
      <c r="EO384">
        <f>IF(ISBLANK('Data Entry'!$Ñ$384), "", 'Data Entry'!$Ñ$384)</f>
      </c>
      <c r="EP384">
        <f>IF(ISBLANK('Data Entry'!$Ò$384), "", 'Data Entry'!$Ò$384)</f>
      </c>
      <c r="EQ384">
        <f>IF(ISBLANK('Data Entry'!$Ó$384), "", 'Data Entry'!$Ó$384)</f>
      </c>
      <c r="ER384">
        <f>IF(ISBLANK('Data Entry'!$Ô$384), "", 'Data Entry'!$Ô$384)</f>
      </c>
      <c r="ES384">
        <f>IF(ISBLANK('Data Entry'!$Õ$384), "", 'Data Entry'!$Õ$384)</f>
      </c>
      <c r="ET384">
        <f>IF(ISBLANK('Data Entry'!$Ö$384), "", 'Data Entry'!$Ö$384)</f>
      </c>
      <c r="EU384">
        <f>IF(ISBLANK('Data Entry'!$×$384), "", 'Data Entry'!$×$384)</f>
      </c>
      <c r="EV384">
        <f>IF(ISBLANK('Data Entry'!$Ø$384), "", 'Data Entry'!$Ø$384)</f>
      </c>
      <c r="EW384">
        <f>IF(ISBLANK('Data Entry'!$Ù$384), "", 'Data Entry'!$Ù$384)</f>
      </c>
      <c r="EX384">
        <f>IF(ISBLANK('Data Entry'!$Ú$384), "", 'Data Entry'!$Ú$384)</f>
      </c>
      <c r="EY384">
        <f>IF(ISBLANK('Data Entry'!$Û$384), "", 'Data Entry'!$Û$384)</f>
      </c>
      <c r="EZ384">
        <f>IF(ISBLANK('Data Entry'!$Ü$384), "", 'Data Entry'!$Ü$384)</f>
      </c>
      <c r="FA384">
        <f>IF(ISBLANK('Data Entry'!$Ý$384), "", 'Data Entry'!$Ý$384)</f>
      </c>
      <c r="FB384">
        <f>IF(ISBLANK('Data Entry'!$Þ$384), "", 'Data Entry'!$Þ$384)</f>
      </c>
      <c r="FC384">
        <f>IF(ISBLANK('Data Entry'!$ß$384), "", 'Data Entry'!$ß$384)</f>
      </c>
      <c r="FD384">
        <f>IF(ISBLANK('Data Entry'!$à$384), "", 'Data Entry'!$à$384)</f>
      </c>
      <c r="FE384">
        <f>IF(ISBLANK('Data Entry'!$á$384), "", 'Data Entry'!$á$384)</f>
      </c>
      <c r="FF384">
        <f>IF(ISBLANK('Data Entry'!$â$384), "", 'Data Entry'!$â$384)</f>
      </c>
      <c r="FG384">
        <f>IF(ISBLANK('Data Entry'!$ã$384), "", 'Data Entry'!$ã$384)</f>
      </c>
      <c r="FH384">
        <f>IF(ISBLANK('Data Entry'!$ä$384), "", 'Data Entry'!$ä$384)</f>
      </c>
      <c r="FI384">
        <f>IF(ISBLANK('Data Entry'!$å$384), "", 'Data Entry'!$å$384)</f>
      </c>
      <c r="FJ384">
        <f>IF(ISBLANK('Data Entry'!$æ$384), "", 'Data Entry'!$æ$384)</f>
      </c>
      <c r="FK384">
        <f>IF(ISBLANK('Data Entry'!$ç$384), "", 'Data Entry'!$ç$384)</f>
      </c>
      <c r="FL384">
        <f>IF(ISBLANK('Data Entry'!$è$384), "", 'Data Entry'!$è$384)</f>
      </c>
      <c r="FM384">
        <f>IF(ISBLANK('Data Entry'!$é$384), "", 'Data Entry'!$é$384)</f>
      </c>
      <c r="FN384">
        <f>IF(ISBLANK('Data Entry'!$ê$384), "", 'Data Entry'!$ê$384)</f>
      </c>
      <c r="FO384">
        <f>IF(ISBLANK('Data Entry'!$ë$384), "", 'Data Entry'!$ë$384)</f>
      </c>
      <c r="FP384">
        <f>IF(ISBLANK('Data Entry'!$ì$384), "", 'Data Entry'!$ì$384)</f>
      </c>
      <c r="FQ384">
        <f>IF(ISBLANK('Data Entry'!$í$384), "", 'Data Entry'!$í$384)</f>
      </c>
      <c r="FR384">
        <f>IF(ISBLANK('Data Entry'!$î$384), "", 'Data Entry'!$î$384)</f>
      </c>
      <c r="FS384">
        <f>IF(ISBLANK('Data Entry'!$ï$384), "", 'Data Entry'!$ï$384)</f>
      </c>
      <c r="FT384">
        <f>IF(ISBLANK('Data Entry'!$ð$384), "", 'Data Entry'!$ð$384)</f>
      </c>
      <c r="FU384">
        <f>IF(ISBLANK('Data Entry'!$ñ$384), "", 'Data Entry'!$ñ$384)</f>
      </c>
      <c r="FV384">
        <f>IF(ISBLANK('Data Entry'!$ò$384), "", 'Data Entry'!$ò$384)</f>
      </c>
      <c r="FW384">
        <f>IF(ISBLANK('Data Entry'!$ó$384), "", 'Data Entry'!$ó$384)</f>
      </c>
      <c r="FX384">
        <f>IF(ISBLANK('Data Entry'!$ô$384), "", 'Data Entry'!$ô$384)</f>
      </c>
      <c r="FY384">
        <f>IF(ISBLANK('Data Entry'!$õ$384), "", 'Data Entry'!$õ$384)</f>
      </c>
      <c r="FZ384">
        <f>IF(ISBLANK('Data Entry'!$ö$384), "", 'Data Entry'!$ö$384)</f>
      </c>
      <c r="GA384">
        <f>IF(ISBLANK('Data Entry'!$÷$384), "", 'Data Entry'!$÷$384)</f>
      </c>
      <c r="GB384">
        <f>IF(ISBLANK('Data Entry'!$ø$384), "", 'Data Entry'!$ø$384)</f>
      </c>
      <c r="GC384">
        <f>IF(ISBLANK('Data Entry'!$ù$384), "", 'Data Entry'!$ù$384)</f>
      </c>
      <c r="GD384">
        <f>IF(ISBLANK('Data Entry'!$ú$384), "", 'Data Entry'!$ú$384)</f>
      </c>
      <c r="GE384">
        <f>IF(ISBLANK('Data Entry'!$û$384), "", 'Data Entry'!$û$384)</f>
      </c>
      <c r="GF384">
        <f>IF(ISBLANK('Data Entry'!$ü$384), "", 'Data Entry'!$ü$384)</f>
      </c>
      <c r="GG384">
        <f>IF(ISBLANK('Data Entry'!$ý$384), "", 'Data Entry'!$ý$384)</f>
      </c>
      <c r="GH384">
        <f>IF(ISBLANK('Data Entry'!$þ$384), "", 'Data Entry'!$þ$384)</f>
      </c>
      <c r="GI384">
        <f>IF(ISBLANK('Data Entry'!$ÿ$384), "", 'Data Entry'!$ÿ$384)</f>
      </c>
      <c r="GJ384">
        <f>IF(ISBLANK('Data Entry'!$Ā$384), "", 'Data Entry'!$Ā$384)</f>
      </c>
      <c r="GK384">
        <f>IF(ISBLANK('Data Entry'!$ā$384), "", 'Data Entry'!$ā$384)</f>
      </c>
      <c r="GL384">
        <f>IF(ISBLANK('Data Entry'!$Ă$384), "", 'Data Entry'!$Ă$384)</f>
      </c>
      <c r="GM384">
        <f>IF(ISBLANK('Data Entry'!$ă$384), "", 'Data Entry'!$ă$384)</f>
      </c>
      <c r="GN384">
        <f>IF(ISBLANK('Data Entry'!$Ą$384), "", 'Data Entry'!$Ą$384)</f>
      </c>
      <c r="GO384">
        <f>IF(ISBLANK('Data Entry'!$ą$384), "", 'Data Entry'!$ą$384)</f>
      </c>
      <c r="GP384">
        <f>IF(ISBLANK('Data Entry'!$Ć$384), "", 'Data Entry'!$Ć$384)</f>
      </c>
      <c r="GQ384">
        <f>IF(ISBLANK('Data Entry'!$ć$384), "", 'Data Entry'!$ć$384)</f>
      </c>
      <c r="GR384">
        <f>IF(ISBLANK('Data Entry'!$Ĉ$384), "", 'Data Entry'!$Ĉ$384)</f>
      </c>
      <c r="GS384">
        <f>IF(ISBLANK('Data Entry'!$ĉ$384), "", 'Data Entry'!$ĉ$384)</f>
      </c>
      <c r="GT384">
        <f>IF(ISBLANK('Data Entry'!$Ċ$384), "", 'Data Entry'!$Ċ$384)</f>
      </c>
      <c r="GU384">
        <f>IF(ISBLANK('Data Entry'!$ċ$384), "", 'Data Entry'!$ċ$384)</f>
      </c>
      <c r="GV384">
        <f>IF(ISBLANK('Data Entry'!$Č$384), "", 'Data Entry'!$Č$384)</f>
      </c>
      <c r="GW384">
        <f>IF(ISBLANK('Data Entry'!$č$384), "", 'Data Entry'!$č$384)</f>
      </c>
      <c r="GX384">
        <f>IF(ISBLANK('Data Entry'!$Ď$384), "", 'Data Entry'!$Ď$384)</f>
      </c>
      <c r="GY384">
        <f>IF(ISBLANK('Data Entry'!$ď$384), "", 'Data Entry'!$ď$384)</f>
      </c>
      <c r="GZ384">
        <f>IF(ISBLANK('Data Entry'!$Đ$384), "", 'Data Entry'!$Đ$384)</f>
      </c>
      <c r="HA384">
        <f>IF(ISBLANK('Data Entry'!$đ$384), "", 'Data Entry'!$đ$384)</f>
      </c>
      <c r="HB384">
        <f>IF(ISBLANK('Data Entry'!$Ē$384), "", 'Data Entry'!$Ē$384)</f>
      </c>
      <c r="HC384">
        <f>IF(ISBLANK('Data Entry'!$ē$384), "", 'Data Entry'!$ē$384)</f>
      </c>
      <c r="HD384">
        <f>IF(ISBLANK('Data Entry'!$Ĕ$384), "", 'Data Entry'!$Ĕ$384)</f>
      </c>
      <c r="HE384">
        <f>IF(ISBLANK('Data Entry'!$ĕ$384), "", 'Data Entry'!$ĕ$384)</f>
      </c>
      <c r="HF384">
        <f>IF(ISBLANK('Data Entry'!$Ė$384), "", 'Data Entry'!$Ė$384)</f>
      </c>
      <c r="HG384">
        <f>IF(ISBLANK('Data Entry'!$ė$384), "", 'Data Entry'!$ė$384)</f>
      </c>
      <c r="HH384">
        <f>IF(ISBLANK('Data Entry'!$Ę$384), "", 'Data Entry'!$Ę$384)</f>
      </c>
      <c r="HI384">
        <f>IF(ISBLANK('Data Entry'!$ę$384), "", 'Data Entry'!$ę$384)</f>
      </c>
      <c r="HJ384">
        <f>IF(ISBLANK('Data Entry'!$Ě$384), "", 'Data Entry'!$Ě$384)</f>
      </c>
      <c r="HK384">
        <f>IF(ISBLANK('Data Entry'!$ě$384), "", 'Data Entry'!$ě$384)</f>
      </c>
      <c r="HL384">
        <f>IF(ISBLANK('Data Entry'!$Ĝ$384), "", 'Data Entry'!$Ĝ$384)</f>
      </c>
      <c r="HM384">
        <f>IF(ISBLANK('Data Entry'!$ĝ$384), "", 'Data Entry'!$ĝ$384)</f>
      </c>
      <c r="HN384">
        <f>IF(ISBLANK('Data Entry'!$Ğ$384), "", 'Data Entry'!$Ğ$384)</f>
      </c>
      <c r="HO384">
        <f>IF(ISBLANK('Data Entry'!$ğ$384), "", 'Data Entry'!$ğ$384)</f>
      </c>
      <c r="HP384">
        <f>IF(ISBLANK('Data Entry'!$Ġ$384), "", 'Data Entry'!$Ġ$384)</f>
      </c>
      <c r="HQ384">
        <f>IF(ISBLANK('Data Entry'!$ġ$384), "", 'Data Entry'!$ġ$384)</f>
      </c>
      <c r="HR384">
        <f>IF(ISBLANK('Data Entry'!$Ģ$384), "", 'Data Entry'!$Ģ$384)</f>
      </c>
      <c r="HS384">
        <f>IF(ISBLANK('Data Entry'!$ģ$384), "", 'Data Entry'!$ģ$384)</f>
      </c>
      <c r="HT384">
        <f>IF(ISBLANK('Data Entry'!$Ĥ$384), "", 'Data Entry'!$Ĥ$384)</f>
      </c>
      <c r="HU384">
        <f>IF(ISBLANK('Data Entry'!$ĥ$384), "", 'Data Entry'!$ĥ$384)</f>
      </c>
      <c r="HV384">
        <f>IF(ISBLANK('Data Entry'!$Ħ$384), "", 'Data Entry'!$Ħ$384)</f>
      </c>
      <c r="HW384">
        <f>IF(ISBLANK('Data Entry'!$ħ$384), "", 'Data Entry'!$ħ$384)</f>
      </c>
      <c r="HX384">
        <f>IF(ISBLANK('Data Entry'!$Ĩ$384), "", 'Data Entry'!$Ĩ$384)</f>
      </c>
      <c r="HY384">
        <f>IF(ISBLANK('Data Entry'!$ĩ$384), "", 'Data Entry'!$ĩ$384)</f>
      </c>
      <c r="HZ384">
        <f>IF(ISBLANK('Data Entry'!$Ī$384), "", 'Data Entry'!$Ī$384)</f>
      </c>
      <c r="IA384">
        <f>IF(ISBLANK('Data Entry'!$ī$384), "", 'Data Entry'!$ī$384)</f>
      </c>
      <c r="IB384">
        <f>IF(ISBLANK('Data Entry'!$Ĭ$384), "", 'Data Entry'!$Ĭ$384)</f>
      </c>
      <c r="IC384">
        <f>IF(ISBLANK('Data Entry'!$ĭ$384), "", 'Data Entry'!$ĭ$384)</f>
      </c>
      <c r="ID384">
        <f>IF(ISBLANK('Data Entry'!$Į$384), "", 'Data Entry'!$Į$384)</f>
      </c>
      <c r="IE384">
        <f>IF(ISBLANK('Data Entry'!$į$384), "", 'Data Entry'!$į$384)</f>
      </c>
      <c r="IF384">
        <f>IF(ISBLANK('Data Entry'!$İ$384), "", 'Data Entry'!$İ$384)</f>
      </c>
      <c r="IG384">
        <f>IF(ISBLANK('Data Entry'!$ı$384), "", 'Data Entry'!$ı$384)</f>
      </c>
      <c r="IH384">
        <f>IF(ISBLANK('Data Entry'!$Ĳ$384), "", 'Data Entry'!$Ĳ$384)</f>
      </c>
      <c r="II384">
        <f>IF(ISBLANK('Data Entry'!$ĳ$384), "", 'Data Entry'!$ĳ$384)</f>
      </c>
      <c r="IJ384">
        <f>IF(ISBLANK('Data Entry'!$Ĵ$384), "", 'Data Entry'!$Ĵ$384)</f>
      </c>
      <c r="IK384">
        <f>IF(ISBLANK('Data Entry'!$ĵ$384), "", 'Data Entry'!$ĵ$384)</f>
      </c>
      <c r="IL384">
        <f>IF(ISBLANK('Data Entry'!$Ķ$384), "", 'Data Entry'!$Ķ$384)</f>
      </c>
      <c r="IM384">
        <f>IF(ISBLANK('Data Entry'!$ķ$384), "", 'Data Entry'!$ķ$384)</f>
      </c>
      <c r="IN384">
        <f>IF(ISBLANK('Data Entry'!$ĸ$384), "", 'Data Entry'!$ĸ$384)</f>
      </c>
      <c r="IO384">
        <f>IF(ISBLANK('Data Entry'!$Ĺ$384), "", 'Data Entry'!$Ĺ$384)</f>
      </c>
      <c r="IP384">
        <f>IF(ISBLANK('Data Entry'!$ĺ$384), "", 'Data Entry'!$ĺ$384)</f>
      </c>
      <c r="IQ384">
        <f>IF(ISBLANK('Data Entry'!$Ļ$384), "", 'Data Entry'!$Ļ$384)</f>
      </c>
      <c r="IR384">
        <f>IF(ISBLANK('Data Entry'!$ļ$384), "", 'Data Entry'!$ļ$384)</f>
      </c>
      <c r="IS384">
        <f>IF(ISBLANK('Data Entry'!$Ľ$384), "", 'Data Entry'!$Ľ$384)</f>
      </c>
      <c r="IT384">
        <f>IF(ISBLANK('Data Entry'!$ľ$384), "", 'Data Entry'!$ľ$384)</f>
      </c>
    </row>
    <row r="385" spans="1:254" x14ac:dyDescent="0.25">
      <c r="A385">
        <f>IF(ISBLANK('Data Entry'!$A$385), "", 'Data Entry'!$A$385)</f>
      </c>
      <c r="B385">
        <f>IF(ISBLANK('Data Entry'!$B$385), "", 'Data Entry'!$B$385)</f>
      </c>
      <c r="C385">
        <f>IF(ISBLANK('Data Entry'!$C$385), "", 'Data Entry'!$C$385)</f>
      </c>
      <c r="D385">
        <f>IF(ISBLANK('Data Entry'!$D$385), "", 'Data Entry'!$D$385)</f>
      </c>
      <c r="E385">
        <f>IF(ISBLANK('Data Entry'!$E$385), "", 'Data Entry'!$E$385)</f>
      </c>
      <c r="F385">
        <f>IF(ISBLANK('Data Entry'!$F$385), "", 'Data Entry'!$F$385)</f>
      </c>
      <c r="G385">
        <f>IF(ISBLANK('Data Entry'!$G$385), "", 'Data Entry'!$G$385)</f>
      </c>
      <c r="H385">
        <f>IF(ISBLANK('Data Entry'!$H$385), "", 'Data Entry'!$H$385)</f>
      </c>
      <c r="I385">
        <f>IF(ISBLANK('Data Entry'!$I$385), "", 'Data Entry'!$I$385)</f>
      </c>
      <c r="J385">
        <f>IF(ISBLANK('Data Entry'!$J$385), "", 'Data Entry'!$J$385)</f>
      </c>
      <c r="K385">
        <f>IF(ISBLANK('Data Entry'!$K$385), "", 'Data Entry'!$K$385)</f>
      </c>
      <c r="L385">
        <f>IF(ISBLANK('Data Entry'!$L$385), "", 'Data Entry'!$L$385)</f>
      </c>
      <c r="M385">
        <f>IF(ISBLANK('Data Entry'!$M$385), "", 'Data Entry'!$M$385)</f>
      </c>
      <c r="N385">
        <f>IF(ISBLANK('Data Entry'!$N$385), "", 'Data Entry'!$N$385)</f>
      </c>
      <c r="O385">
        <f>IF(ISBLANK('Data Entry'!$O$385), "", 'Data Entry'!$O$385)</f>
      </c>
      <c r="P385">
        <f>IF(ISBLANK('Data Entry'!$P$385), "", 'Data Entry'!$P$385)</f>
      </c>
      <c r="Q385">
        <f>IF(ISBLANK('Data Entry'!$Q$385), "", 'Data Entry'!$Q$385)</f>
      </c>
      <c r="R385">
        <f>IF(ISBLANK('Data Entry'!$R$385), "", 'Data Entry'!$R$385)</f>
      </c>
      <c r="S385">
        <f>IF(ISBLANK('Data Entry'!$S$385), "", 'Data Entry'!$S$385)</f>
      </c>
      <c r="T385">
        <f>IF(ISBLANK('Data Entry'!$T$385), "", 'Data Entry'!$T$385)</f>
      </c>
      <c r="U385">
        <f>IF(ISBLANK('Data Entry'!$U$385), "", 'Data Entry'!$U$385)</f>
      </c>
      <c r="V385">
        <f>IF(ISBLANK('Data Entry'!$V$385), "", 'Data Entry'!$V$385)</f>
      </c>
      <c r="W385">
        <f>IF(ISBLANK('Data Entry'!$W$385), "", 'Data Entry'!$W$385)</f>
      </c>
      <c r="X385">
        <f>IF(ISBLANK('Data Entry'!$X$385), "", 'Data Entry'!$X$385)</f>
      </c>
      <c r="Y385">
        <f>IF(ISBLANK('Data Entry'!$Y$385), "", 'Data Entry'!$Y$385)</f>
      </c>
      <c r="Z385">
        <f>IF(ISBLANK('Data Entry'!$Z$385), "", 'Data Entry'!$Z$385)</f>
      </c>
      <c r="AA385">
        <f>IF(ISBLANK('Data Entry'!$[$385), "", 'Data Entry'!$[$385)</f>
      </c>
      <c r="AB385">
        <f>IF(ISBLANK('Data Entry'!$\$385), "", 'Data Entry'!$\$385)</f>
      </c>
      <c r="AC385">
        <f>IF(ISBLANK('Data Entry'!$]$385), "", 'Data Entry'!$]$385)</f>
      </c>
      <c r="AD385">
        <f>IF(ISBLANK('Data Entry'!$^$385), "", 'Data Entry'!$^$385)</f>
      </c>
      <c r="AE385">
        <f>IF(ISBLANK('Data Entry'!$_$385), "", 'Data Entry'!$_$385)</f>
      </c>
      <c r="AF385">
        <f>IF(ISBLANK('Data Entry'!$`$385), "", 'Data Entry'!$`$385)</f>
      </c>
      <c r="AG385">
        <f>IF(ISBLANK('Data Entry'!$a$385), "", 'Data Entry'!$a$385)</f>
      </c>
      <c r="AH385">
        <f>IF(ISBLANK('Data Entry'!$b$385), "", 'Data Entry'!$b$385)</f>
      </c>
      <c r="AI385">
        <f>IF(ISBLANK('Data Entry'!$c$385), "", 'Data Entry'!$c$385)</f>
      </c>
      <c r="AJ385">
        <f>IF(ISBLANK('Data Entry'!$d$385), "", 'Data Entry'!$d$385)</f>
      </c>
      <c r="AK385">
        <f>IF(ISBLANK('Data Entry'!$e$385), "", 'Data Entry'!$e$385)</f>
      </c>
      <c r="AL385">
        <f>IF(ISBLANK('Data Entry'!$f$385), "", 'Data Entry'!$f$385)</f>
      </c>
      <c r="AM385">
        <f>IF(ISBLANK('Data Entry'!$g$385), "", 'Data Entry'!$g$385)</f>
      </c>
      <c r="AN385">
        <f>IF(ISBLANK('Data Entry'!$h$385), "", 'Data Entry'!$h$385)</f>
      </c>
      <c r="AO385">
        <f>IF(ISBLANK('Data Entry'!$i$385), "", 'Data Entry'!$i$385)</f>
      </c>
      <c r="AP385">
        <f>IF(ISBLANK('Data Entry'!$j$385), "", 'Data Entry'!$j$385)</f>
      </c>
      <c r="AQ385">
        <f>IF(ISBLANK('Data Entry'!$k$385), "", 'Data Entry'!$k$385)</f>
      </c>
      <c r="AR385">
        <f>IF(ISBLANK('Data Entry'!$l$385), "", 'Data Entry'!$l$385)</f>
      </c>
      <c r="AS385">
        <f>IF(ISBLANK('Data Entry'!$m$385), "", 'Data Entry'!$m$385)</f>
      </c>
      <c r="AT385">
        <f>IF(ISBLANK('Data Entry'!$n$385), "", 'Data Entry'!$n$385)</f>
      </c>
      <c r="AU385">
        <f>IF(ISBLANK('Data Entry'!$o$385), "", 'Data Entry'!$o$385)</f>
      </c>
      <c r="AV385">
        <f>IF(ISBLANK('Data Entry'!$p$385), "", 'Data Entry'!$p$385)</f>
      </c>
      <c r="AW385">
        <f>IF(ISBLANK('Data Entry'!$q$385), "", 'Data Entry'!$q$385)</f>
      </c>
      <c r="AX385">
        <f>IF(ISBLANK('Data Entry'!$r$385), "", 'Data Entry'!$r$385)</f>
      </c>
      <c r="AY385">
        <f>IF(ISBLANK('Data Entry'!$s$385), "", 'Data Entry'!$s$385)</f>
      </c>
      <c r="AZ385">
        <f>IF(ISBLANK('Data Entry'!$t$385), "", 'Data Entry'!$t$385)</f>
      </c>
      <c r="BA385">
        <f>IF(ISBLANK('Data Entry'!$u$385), "", 'Data Entry'!$u$385)</f>
      </c>
      <c r="BB385">
        <f>IF(ISBLANK('Data Entry'!$v$385), "", 'Data Entry'!$v$385)</f>
      </c>
      <c r="BC385">
        <f>IF(ISBLANK('Data Entry'!$w$385), "", 'Data Entry'!$w$385)</f>
      </c>
      <c r="BD385">
        <f>IF(ISBLANK('Data Entry'!$x$385), "", 'Data Entry'!$x$385)</f>
      </c>
      <c r="BE385">
        <f>IF(ISBLANK('Data Entry'!$y$385), "", 'Data Entry'!$y$385)</f>
      </c>
      <c r="BF385">
        <f>IF(ISBLANK('Data Entry'!$z$385), "", 'Data Entry'!$z$385)</f>
      </c>
      <c r="BG385">
        <f>IF(ISBLANK('Data Entry'!${$385), "", 'Data Entry'!${$385)</f>
      </c>
      <c r="BH385">
        <f>IF(ISBLANK('Data Entry'!$|$385), "", 'Data Entry'!$|$385)</f>
      </c>
      <c r="BI385">
        <f>IF(ISBLANK('Data Entry'!$}$385), "", 'Data Entry'!$}$385)</f>
      </c>
      <c r="BJ385">
        <f>IF(ISBLANK('Data Entry'!$~$385), "", 'Data Entry'!$~$385)</f>
      </c>
      <c r="BK385">
        <f>IF(ISBLANK('Data Entry'!$$385), "", 'Data Entry'!$$385)</f>
      </c>
      <c r="BL385">
        <f>IF(ISBLANK('Data Entry'!$$385), "", 'Data Entry'!$$385)</f>
      </c>
      <c r="BM385">
        <f>IF(ISBLANK('Data Entry'!$$385), "", 'Data Entry'!$$385)</f>
      </c>
      <c r="BN385">
        <f>IF(ISBLANK('Data Entry'!$$385), "", 'Data Entry'!$$385)</f>
      </c>
      <c r="BO385">
        <f>IF(ISBLANK('Data Entry'!$$385), "", 'Data Entry'!$$385)</f>
      </c>
      <c r="BP385">
        <f>IF(ISBLANK('Data Entry'!$$385), "", 'Data Entry'!$$385)</f>
      </c>
      <c r="BQ385">
        <f>IF(ISBLANK('Data Entry'!$$385), "", 'Data Entry'!$$385)</f>
      </c>
      <c r="BR385">
        <f>IF(ISBLANK('Data Entry'!$$385), "", 'Data Entry'!$$385)</f>
      </c>
      <c r="BS385">
        <f>IF(ISBLANK('Data Entry'!$$385), "", 'Data Entry'!$$385)</f>
      </c>
      <c r="BT385">
        <f>IF(ISBLANK('Data Entry'!$$385), "", 'Data Entry'!$$385)</f>
      </c>
      <c r="BU385">
        <f>IF(ISBLANK('Data Entry'!$$385), "", 'Data Entry'!$$385)</f>
      </c>
      <c r="BV385">
        <f>IF(ISBLANK('Data Entry'!$$385), "", 'Data Entry'!$$385)</f>
      </c>
      <c r="BW385">
        <f>IF(ISBLANK('Data Entry'!$$385), "", 'Data Entry'!$$385)</f>
      </c>
      <c r="BX385">
        <f>IF(ISBLANK('Data Entry'!$$385), "", 'Data Entry'!$$385)</f>
      </c>
      <c r="BY385">
        <f>IF(ISBLANK('Data Entry'!$$385), "", 'Data Entry'!$$385)</f>
      </c>
      <c r="BZ385">
        <f>IF(ISBLANK('Data Entry'!$$385), "", 'Data Entry'!$$385)</f>
      </c>
      <c r="CA385">
        <f>IF(ISBLANK('Data Entry'!$$385), "", 'Data Entry'!$$385)</f>
      </c>
      <c r="CB385">
        <f>IF(ISBLANK('Data Entry'!$$385), "", 'Data Entry'!$$385)</f>
      </c>
      <c r="CC385">
        <f>IF(ISBLANK('Data Entry'!$$385), "", 'Data Entry'!$$385)</f>
      </c>
      <c r="CD385">
        <f>IF(ISBLANK('Data Entry'!$$385), "", 'Data Entry'!$$385)</f>
      </c>
      <c r="CE385">
        <f>IF(ISBLANK('Data Entry'!$$385), "", 'Data Entry'!$$385)</f>
      </c>
      <c r="CF385">
        <f>IF(ISBLANK('Data Entry'!$$385), "", 'Data Entry'!$$385)</f>
      </c>
      <c r="CG385">
        <f>IF(ISBLANK('Data Entry'!$$385), "", 'Data Entry'!$$385)</f>
      </c>
      <c r="CH385">
        <f>IF(ISBLANK('Data Entry'!$$385), "", 'Data Entry'!$$385)</f>
      </c>
      <c r="CI385">
        <f>IF(ISBLANK('Data Entry'!$$385), "", 'Data Entry'!$$385)</f>
      </c>
      <c r="CJ385">
        <f>IF(ISBLANK('Data Entry'!$$385), "", 'Data Entry'!$$385)</f>
      </c>
      <c r="CK385">
        <f>IF(ISBLANK('Data Entry'!$$385), "", 'Data Entry'!$$385)</f>
      </c>
      <c r="CL385">
        <f>IF(ISBLANK('Data Entry'!$$385), "", 'Data Entry'!$$385)</f>
      </c>
      <c r="CM385">
        <f>IF(ISBLANK('Data Entry'!$$385), "", 'Data Entry'!$$385)</f>
      </c>
      <c r="CN385">
        <f>IF(ISBLANK('Data Entry'!$$385), "", 'Data Entry'!$$385)</f>
      </c>
      <c r="CO385">
        <f>IF(ISBLANK('Data Entry'!$$385), "", 'Data Entry'!$$385)</f>
      </c>
      <c r="CP385">
        <f>IF(ISBLANK('Data Entry'!$$385), "", 'Data Entry'!$$385)</f>
      </c>
      <c r="CQ385">
        <f>IF(ISBLANK('Data Entry'!$$385), "", 'Data Entry'!$$385)</f>
      </c>
      <c r="CR385">
        <f>IF(ISBLANK('Data Entry'!$ $385), "", 'Data Entry'!$ $385)</f>
      </c>
      <c r="CS385">
        <f>IF(ISBLANK('Data Entry'!$¡$385), "", 'Data Entry'!$¡$385)</f>
      </c>
      <c r="CT385">
        <f>IF(ISBLANK('Data Entry'!$¢$385), "", 'Data Entry'!$¢$385)</f>
      </c>
      <c r="CU385">
        <f>IF(ISBLANK('Data Entry'!$£$385), "", 'Data Entry'!$£$385)</f>
      </c>
      <c r="CV385">
        <f>IF(ISBLANK('Data Entry'!$¤$385), "", 'Data Entry'!$¤$385)</f>
      </c>
      <c r="CW385">
        <f>IF(ISBLANK('Data Entry'!$¥$385), "", 'Data Entry'!$¥$385)</f>
      </c>
      <c r="CX385">
        <f>IF(ISBLANK('Data Entry'!$¦$385), "", 'Data Entry'!$¦$385)</f>
      </c>
      <c r="CY385">
        <f>IF(ISBLANK('Data Entry'!$§$385), "", 'Data Entry'!$§$385)</f>
      </c>
      <c r="CZ385">
        <f>IF(ISBLANK('Data Entry'!$¨$385), "", 'Data Entry'!$¨$385)</f>
      </c>
      <c r="DA385">
        <f>IF(ISBLANK('Data Entry'!$©$385), "", 'Data Entry'!$©$385)</f>
      </c>
      <c r="DB385">
        <f>IF(ISBLANK('Data Entry'!$ª$385), "", 'Data Entry'!$ª$385)</f>
      </c>
      <c r="DC385">
        <f>IF(ISBLANK('Data Entry'!$«$385), "", 'Data Entry'!$«$385)</f>
      </c>
      <c r="DD385">
        <f>IF(ISBLANK('Data Entry'!$¬$385), "", 'Data Entry'!$¬$385)</f>
      </c>
      <c r="DE385">
        <f>IF(ISBLANK('Data Entry'!$­$385), "", 'Data Entry'!$­$385)</f>
      </c>
      <c r="DF385">
        <f>IF(ISBLANK('Data Entry'!$®$385), "", 'Data Entry'!$®$385)</f>
      </c>
      <c r="DG385">
        <f>IF(ISBLANK('Data Entry'!$¯$385), "", 'Data Entry'!$¯$385)</f>
      </c>
      <c r="DH385">
        <f>IF(ISBLANK('Data Entry'!$°$385), "", 'Data Entry'!$°$385)</f>
      </c>
      <c r="DI385">
        <f>IF(ISBLANK('Data Entry'!$±$385), "", 'Data Entry'!$±$385)</f>
      </c>
      <c r="DJ385">
        <f>IF(ISBLANK('Data Entry'!$²$385), "", 'Data Entry'!$²$385)</f>
      </c>
      <c r="DK385">
        <f>IF(ISBLANK('Data Entry'!$³$385), "", 'Data Entry'!$³$385)</f>
      </c>
      <c r="DL385">
        <f>IF(ISBLANK('Data Entry'!$´$385), "", 'Data Entry'!$´$385)</f>
      </c>
      <c r="DM385">
        <f>IF(ISBLANK('Data Entry'!$µ$385), "", 'Data Entry'!$µ$385)</f>
      </c>
      <c r="DN385">
        <f>IF(ISBLANK('Data Entry'!$¶$385), "", 'Data Entry'!$¶$385)</f>
      </c>
      <c r="DO385">
        <f>IF(ISBLANK('Data Entry'!$·$385), "", 'Data Entry'!$·$385)</f>
      </c>
      <c r="DP385">
        <f>IF(ISBLANK('Data Entry'!$¸$385), "", 'Data Entry'!$¸$385)</f>
      </c>
      <c r="DQ385">
        <f>IF(ISBLANK('Data Entry'!$¹$385), "", 'Data Entry'!$¹$385)</f>
      </c>
      <c r="DR385">
        <f>IF(ISBLANK('Data Entry'!$º$385), "", 'Data Entry'!$º$385)</f>
      </c>
      <c r="DS385">
        <f>IF(ISBLANK('Data Entry'!$»$385), "", 'Data Entry'!$»$385)</f>
      </c>
      <c r="DT385">
        <f>IF(ISBLANK('Data Entry'!$¼$385), "", 'Data Entry'!$¼$385)</f>
      </c>
      <c r="DU385">
        <f>IF(ISBLANK('Data Entry'!$½$385), "", 'Data Entry'!$½$385)</f>
      </c>
      <c r="DV385">
        <f>IF(ISBLANK('Data Entry'!$¾$385), "", 'Data Entry'!$¾$385)</f>
      </c>
      <c r="DW385">
        <f>IF(ISBLANK('Data Entry'!$¿$385), "", 'Data Entry'!$¿$385)</f>
      </c>
      <c r="DX385">
        <f>IF(ISBLANK('Data Entry'!$À$385), "", 'Data Entry'!$À$385)</f>
      </c>
      <c r="DY385">
        <f>IF(ISBLANK('Data Entry'!$Á$385), "", 'Data Entry'!$Á$385)</f>
      </c>
      <c r="DZ385">
        <f>IF(ISBLANK('Data Entry'!$Â$385), "", 'Data Entry'!$Â$385)</f>
      </c>
      <c r="EA385">
        <f>IF(ISBLANK('Data Entry'!$Ã$385), "", 'Data Entry'!$Ã$385)</f>
      </c>
      <c r="EB385">
        <f>IF(ISBLANK('Data Entry'!$Ä$385), "", 'Data Entry'!$Ä$385)</f>
      </c>
      <c r="EC385">
        <f>IF(ISBLANK('Data Entry'!$Å$385), "", 'Data Entry'!$Å$385)</f>
      </c>
      <c r="ED385">
        <f>IF(ISBLANK('Data Entry'!$Æ$385), "", 'Data Entry'!$Æ$385)</f>
      </c>
      <c r="EE385">
        <f>IF(ISBLANK('Data Entry'!$Ç$385), "", 'Data Entry'!$Ç$385)</f>
      </c>
      <c r="EF385">
        <f>IF(ISBLANK('Data Entry'!$È$385), "", 'Data Entry'!$È$385)</f>
      </c>
      <c r="EG385">
        <f>IF(ISBLANK('Data Entry'!$É$385), "", 'Data Entry'!$É$385)</f>
      </c>
      <c r="EH385">
        <f>IF(ISBLANK('Data Entry'!$Ê$385), "", 'Data Entry'!$Ê$385)</f>
      </c>
      <c r="EI385">
        <f>IF(ISBLANK('Data Entry'!$Ë$385), "", 'Data Entry'!$Ë$385)</f>
      </c>
      <c r="EJ385">
        <f>IF(ISBLANK('Data Entry'!$Ì$385), "", 'Data Entry'!$Ì$385)</f>
      </c>
      <c r="EK385">
        <f>IF(ISBLANK('Data Entry'!$Í$385), "", 'Data Entry'!$Í$385)</f>
      </c>
      <c r="EL385">
        <f>IF(ISBLANK('Data Entry'!$Î$385), "", 'Data Entry'!$Î$385)</f>
      </c>
      <c r="EM385">
        <f>IF(ISBLANK('Data Entry'!$Ï$385), "", 'Data Entry'!$Ï$385)</f>
      </c>
      <c r="EN385">
        <f>IF(ISBLANK('Data Entry'!$Ð$385), "", 'Data Entry'!$Ð$385)</f>
      </c>
      <c r="EO385">
        <f>IF(ISBLANK('Data Entry'!$Ñ$385), "", 'Data Entry'!$Ñ$385)</f>
      </c>
      <c r="EP385">
        <f>IF(ISBLANK('Data Entry'!$Ò$385), "", 'Data Entry'!$Ò$385)</f>
      </c>
      <c r="EQ385">
        <f>IF(ISBLANK('Data Entry'!$Ó$385), "", 'Data Entry'!$Ó$385)</f>
      </c>
      <c r="ER385">
        <f>IF(ISBLANK('Data Entry'!$Ô$385), "", 'Data Entry'!$Ô$385)</f>
      </c>
      <c r="ES385">
        <f>IF(ISBLANK('Data Entry'!$Õ$385), "", 'Data Entry'!$Õ$385)</f>
      </c>
      <c r="ET385">
        <f>IF(ISBLANK('Data Entry'!$Ö$385), "", 'Data Entry'!$Ö$385)</f>
      </c>
      <c r="EU385">
        <f>IF(ISBLANK('Data Entry'!$×$385), "", 'Data Entry'!$×$385)</f>
      </c>
      <c r="EV385">
        <f>IF(ISBLANK('Data Entry'!$Ø$385), "", 'Data Entry'!$Ø$385)</f>
      </c>
      <c r="EW385">
        <f>IF(ISBLANK('Data Entry'!$Ù$385), "", 'Data Entry'!$Ù$385)</f>
      </c>
      <c r="EX385">
        <f>IF(ISBLANK('Data Entry'!$Ú$385), "", 'Data Entry'!$Ú$385)</f>
      </c>
      <c r="EY385">
        <f>IF(ISBLANK('Data Entry'!$Û$385), "", 'Data Entry'!$Û$385)</f>
      </c>
      <c r="EZ385">
        <f>IF(ISBLANK('Data Entry'!$Ü$385), "", 'Data Entry'!$Ü$385)</f>
      </c>
      <c r="FA385">
        <f>IF(ISBLANK('Data Entry'!$Ý$385), "", 'Data Entry'!$Ý$385)</f>
      </c>
      <c r="FB385">
        <f>IF(ISBLANK('Data Entry'!$Þ$385), "", 'Data Entry'!$Þ$385)</f>
      </c>
      <c r="FC385">
        <f>IF(ISBLANK('Data Entry'!$ß$385), "", 'Data Entry'!$ß$385)</f>
      </c>
      <c r="FD385">
        <f>IF(ISBLANK('Data Entry'!$à$385), "", 'Data Entry'!$à$385)</f>
      </c>
      <c r="FE385">
        <f>IF(ISBLANK('Data Entry'!$á$385), "", 'Data Entry'!$á$385)</f>
      </c>
      <c r="FF385">
        <f>IF(ISBLANK('Data Entry'!$â$385), "", 'Data Entry'!$â$385)</f>
      </c>
      <c r="FG385">
        <f>IF(ISBLANK('Data Entry'!$ã$385), "", 'Data Entry'!$ã$385)</f>
      </c>
      <c r="FH385">
        <f>IF(ISBLANK('Data Entry'!$ä$385), "", 'Data Entry'!$ä$385)</f>
      </c>
      <c r="FI385">
        <f>IF(ISBLANK('Data Entry'!$å$385), "", 'Data Entry'!$å$385)</f>
      </c>
      <c r="FJ385">
        <f>IF(ISBLANK('Data Entry'!$æ$385), "", 'Data Entry'!$æ$385)</f>
      </c>
      <c r="FK385">
        <f>IF(ISBLANK('Data Entry'!$ç$385), "", 'Data Entry'!$ç$385)</f>
      </c>
      <c r="FL385">
        <f>IF(ISBLANK('Data Entry'!$è$385), "", 'Data Entry'!$è$385)</f>
      </c>
      <c r="FM385">
        <f>IF(ISBLANK('Data Entry'!$é$385), "", 'Data Entry'!$é$385)</f>
      </c>
      <c r="FN385">
        <f>IF(ISBLANK('Data Entry'!$ê$385), "", 'Data Entry'!$ê$385)</f>
      </c>
      <c r="FO385">
        <f>IF(ISBLANK('Data Entry'!$ë$385), "", 'Data Entry'!$ë$385)</f>
      </c>
      <c r="FP385">
        <f>IF(ISBLANK('Data Entry'!$ì$385), "", 'Data Entry'!$ì$385)</f>
      </c>
      <c r="FQ385">
        <f>IF(ISBLANK('Data Entry'!$í$385), "", 'Data Entry'!$í$385)</f>
      </c>
      <c r="FR385">
        <f>IF(ISBLANK('Data Entry'!$î$385), "", 'Data Entry'!$î$385)</f>
      </c>
      <c r="FS385">
        <f>IF(ISBLANK('Data Entry'!$ï$385), "", 'Data Entry'!$ï$385)</f>
      </c>
      <c r="FT385">
        <f>IF(ISBLANK('Data Entry'!$ð$385), "", 'Data Entry'!$ð$385)</f>
      </c>
      <c r="FU385">
        <f>IF(ISBLANK('Data Entry'!$ñ$385), "", 'Data Entry'!$ñ$385)</f>
      </c>
      <c r="FV385">
        <f>IF(ISBLANK('Data Entry'!$ò$385), "", 'Data Entry'!$ò$385)</f>
      </c>
      <c r="FW385">
        <f>IF(ISBLANK('Data Entry'!$ó$385), "", 'Data Entry'!$ó$385)</f>
      </c>
      <c r="FX385">
        <f>IF(ISBLANK('Data Entry'!$ô$385), "", 'Data Entry'!$ô$385)</f>
      </c>
      <c r="FY385">
        <f>IF(ISBLANK('Data Entry'!$õ$385), "", 'Data Entry'!$õ$385)</f>
      </c>
      <c r="FZ385">
        <f>IF(ISBLANK('Data Entry'!$ö$385), "", 'Data Entry'!$ö$385)</f>
      </c>
      <c r="GA385">
        <f>IF(ISBLANK('Data Entry'!$÷$385), "", 'Data Entry'!$÷$385)</f>
      </c>
      <c r="GB385">
        <f>IF(ISBLANK('Data Entry'!$ø$385), "", 'Data Entry'!$ø$385)</f>
      </c>
      <c r="GC385">
        <f>IF(ISBLANK('Data Entry'!$ù$385), "", 'Data Entry'!$ù$385)</f>
      </c>
      <c r="GD385">
        <f>IF(ISBLANK('Data Entry'!$ú$385), "", 'Data Entry'!$ú$385)</f>
      </c>
      <c r="GE385">
        <f>IF(ISBLANK('Data Entry'!$û$385), "", 'Data Entry'!$û$385)</f>
      </c>
      <c r="GF385">
        <f>IF(ISBLANK('Data Entry'!$ü$385), "", 'Data Entry'!$ü$385)</f>
      </c>
      <c r="GG385">
        <f>IF(ISBLANK('Data Entry'!$ý$385), "", 'Data Entry'!$ý$385)</f>
      </c>
      <c r="GH385">
        <f>IF(ISBLANK('Data Entry'!$þ$385), "", 'Data Entry'!$þ$385)</f>
      </c>
      <c r="GI385">
        <f>IF(ISBLANK('Data Entry'!$ÿ$385), "", 'Data Entry'!$ÿ$385)</f>
      </c>
      <c r="GJ385">
        <f>IF(ISBLANK('Data Entry'!$Ā$385), "", 'Data Entry'!$Ā$385)</f>
      </c>
      <c r="GK385">
        <f>IF(ISBLANK('Data Entry'!$ā$385), "", 'Data Entry'!$ā$385)</f>
      </c>
      <c r="GL385">
        <f>IF(ISBLANK('Data Entry'!$Ă$385), "", 'Data Entry'!$Ă$385)</f>
      </c>
      <c r="GM385">
        <f>IF(ISBLANK('Data Entry'!$ă$385), "", 'Data Entry'!$ă$385)</f>
      </c>
      <c r="GN385">
        <f>IF(ISBLANK('Data Entry'!$Ą$385), "", 'Data Entry'!$Ą$385)</f>
      </c>
      <c r="GO385">
        <f>IF(ISBLANK('Data Entry'!$ą$385), "", 'Data Entry'!$ą$385)</f>
      </c>
      <c r="GP385">
        <f>IF(ISBLANK('Data Entry'!$Ć$385), "", 'Data Entry'!$Ć$385)</f>
      </c>
      <c r="GQ385">
        <f>IF(ISBLANK('Data Entry'!$ć$385), "", 'Data Entry'!$ć$385)</f>
      </c>
      <c r="GR385">
        <f>IF(ISBLANK('Data Entry'!$Ĉ$385), "", 'Data Entry'!$Ĉ$385)</f>
      </c>
      <c r="GS385">
        <f>IF(ISBLANK('Data Entry'!$ĉ$385), "", 'Data Entry'!$ĉ$385)</f>
      </c>
      <c r="GT385">
        <f>IF(ISBLANK('Data Entry'!$Ċ$385), "", 'Data Entry'!$Ċ$385)</f>
      </c>
      <c r="GU385">
        <f>IF(ISBLANK('Data Entry'!$ċ$385), "", 'Data Entry'!$ċ$385)</f>
      </c>
      <c r="GV385">
        <f>IF(ISBLANK('Data Entry'!$Č$385), "", 'Data Entry'!$Č$385)</f>
      </c>
      <c r="GW385">
        <f>IF(ISBLANK('Data Entry'!$č$385), "", 'Data Entry'!$č$385)</f>
      </c>
      <c r="GX385">
        <f>IF(ISBLANK('Data Entry'!$Ď$385), "", 'Data Entry'!$Ď$385)</f>
      </c>
      <c r="GY385">
        <f>IF(ISBLANK('Data Entry'!$ď$385), "", 'Data Entry'!$ď$385)</f>
      </c>
      <c r="GZ385">
        <f>IF(ISBLANK('Data Entry'!$Đ$385), "", 'Data Entry'!$Đ$385)</f>
      </c>
      <c r="HA385">
        <f>IF(ISBLANK('Data Entry'!$đ$385), "", 'Data Entry'!$đ$385)</f>
      </c>
      <c r="HB385">
        <f>IF(ISBLANK('Data Entry'!$Ē$385), "", 'Data Entry'!$Ē$385)</f>
      </c>
      <c r="HC385">
        <f>IF(ISBLANK('Data Entry'!$ē$385), "", 'Data Entry'!$ē$385)</f>
      </c>
      <c r="HD385">
        <f>IF(ISBLANK('Data Entry'!$Ĕ$385), "", 'Data Entry'!$Ĕ$385)</f>
      </c>
      <c r="HE385">
        <f>IF(ISBLANK('Data Entry'!$ĕ$385), "", 'Data Entry'!$ĕ$385)</f>
      </c>
      <c r="HF385">
        <f>IF(ISBLANK('Data Entry'!$Ė$385), "", 'Data Entry'!$Ė$385)</f>
      </c>
      <c r="HG385">
        <f>IF(ISBLANK('Data Entry'!$ė$385), "", 'Data Entry'!$ė$385)</f>
      </c>
      <c r="HH385">
        <f>IF(ISBLANK('Data Entry'!$Ę$385), "", 'Data Entry'!$Ę$385)</f>
      </c>
      <c r="HI385">
        <f>IF(ISBLANK('Data Entry'!$ę$385), "", 'Data Entry'!$ę$385)</f>
      </c>
      <c r="HJ385">
        <f>IF(ISBLANK('Data Entry'!$Ě$385), "", 'Data Entry'!$Ě$385)</f>
      </c>
      <c r="HK385">
        <f>IF(ISBLANK('Data Entry'!$ě$385), "", 'Data Entry'!$ě$385)</f>
      </c>
      <c r="HL385">
        <f>IF(ISBLANK('Data Entry'!$Ĝ$385), "", 'Data Entry'!$Ĝ$385)</f>
      </c>
      <c r="HM385">
        <f>IF(ISBLANK('Data Entry'!$ĝ$385), "", 'Data Entry'!$ĝ$385)</f>
      </c>
      <c r="HN385">
        <f>IF(ISBLANK('Data Entry'!$Ğ$385), "", 'Data Entry'!$Ğ$385)</f>
      </c>
      <c r="HO385">
        <f>IF(ISBLANK('Data Entry'!$ğ$385), "", 'Data Entry'!$ğ$385)</f>
      </c>
      <c r="HP385">
        <f>IF(ISBLANK('Data Entry'!$Ġ$385), "", 'Data Entry'!$Ġ$385)</f>
      </c>
      <c r="HQ385">
        <f>IF(ISBLANK('Data Entry'!$ġ$385), "", 'Data Entry'!$ġ$385)</f>
      </c>
      <c r="HR385">
        <f>IF(ISBLANK('Data Entry'!$Ģ$385), "", 'Data Entry'!$Ģ$385)</f>
      </c>
      <c r="HS385">
        <f>IF(ISBLANK('Data Entry'!$ģ$385), "", 'Data Entry'!$ģ$385)</f>
      </c>
      <c r="HT385">
        <f>IF(ISBLANK('Data Entry'!$Ĥ$385), "", 'Data Entry'!$Ĥ$385)</f>
      </c>
      <c r="HU385">
        <f>IF(ISBLANK('Data Entry'!$ĥ$385), "", 'Data Entry'!$ĥ$385)</f>
      </c>
      <c r="HV385">
        <f>IF(ISBLANK('Data Entry'!$Ħ$385), "", 'Data Entry'!$Ħ$385)</f>
      </c>
      <c r="HW385">
        <f>IF(ISBLANK('Data Entry'!$ħ$385), "", 'Data Entry'!$ħ$385)</f>
      </c>
      <c r="HX385">
        <f>IF(ISBLANK('Data Entry'!$Ĩ$385), "", 'Data Entry'!$Ĩ$385)</f>
      </c>
      <c r="HY385">
        <f>IF(ISBLANK('Data Entry'!$ĩ$385), "", 'Data Entry'!$ĩ$385)</f>
      </c>
      <c r="HZ385">
        <f>IF(ISBLANK('Data Entry'!$Ī$385), "", 'Data Entry'!$Ī$385)</f>
      </c>
      <c r="IA385">
        <f>IF(ISBLANK('Data Entry'!$ī$385), "", 'Data Entry'!$ī$385)</f>
      </c>
      <c r="IB385">
        <f>IF(ISBLANK('Data Entry'!$Ĭ$385), "", 'Data Entry'!$Ĭ$385)</f>
      </c>
      <c r="IC385">
        <f>IF(ISBLANK('Data Entry'!$ĭ$385), "", 'Data Entry'!$ĭ$385)</f>
      </c>
      <c r="ID385">
        <f>IF(ISBLANK('Data Entry'!$Į$385), "", 'Data Entry'!$Į$385)</f>
      </c>
      <c r="IE385">
        <f>IF(ISBLANK('Data Entry'!$į$385), "", 'Data Entry'!$į$385)</f>
      </c>
      <c r="IF385">
        <f>IF(ISBLANK('Data Entry'!$İ$385), "", 'Data Entry'!$İ$385)</f>
      </c>
      <c r="IG385">
        <f>IF(ISBLANK('Data Entry'!$ı$385), "", 'Data Entry'!$ı$385)</f>
      </c>
      <c r="IH385">
        <f>IF(ISBLANK('Data Entry'!$Ĳ$385), "", 'Data Entry'!$Ĳ$385)</f>
      </c>
      <c r="II385">
        <f>IF(ISBLANK('Data Entry'!$ĳ$385), "", 'Data Entry'!$ĳ$385)</f>
      </c>
      <c r="IJ385">
        <f>IF(ISBLANK('Data Entry'!$Ĵ$385), "", 'Data Entry'!$Ĵ$385)</f>
      </c>
      <c r="IK385">
        <f>IF(ISBLANK('Data Entry'!$ĵ$385), "", 'Data Entry'!$ĵ$385)</f>
      </c>
      <c r="IL385">
        <f>IF(ISBLANK('Data Entry'!$Ķ$385), "", 'Data Entry'!$Ķ$385)</f>
      </c>
      <c r="IM385">
        <f>IF(ISBLANK('Data Entry'!$ķ$385), "", 'Data Entry'!$ķ$385)</f>
      </c>
      <c r="IN385">
        <f>IF(ISBLANK('Data Entry'!$ĸ$385), "", 'Data Entry'!$ĸ$385)</f>
      </c>
      <c r="IO385">
        <f>IF(ISBLANK('Data Entry'!$Ĺ$385), "", 'Data Entry'!$Ĺ$385)</f>
      </c>
      <c r="IP385">
        <f>IF(ISBLANK('Data Entry'!$ĺ$385), "", 'Data Entry'!$ĺ$385)</f>
      </c>
      <c r="IQ385">
        <f>IF(ISBLANK('Data Entry'!$Ļ$385), "", 'Data Entry'!$Ļ$385)</f>
      </c>
      <c r="IR385">
        <f>IF(ISBLANK('Data Entry'!$ļ$385), "", 'Data Entry'!$ļ$385)</f>
      </c>
      <c r="IS385">
        <f>IF(ISBLANK('Data Entry'!$Ľ$385), "", 'Data Entry'!$Ľ$385)</f>
      </c>
      <c r="IT385">
        <f>IF(ISBLANK('Data Entry'!$ľ$385), "", 'Data Entry'!$ľ$385)</f>
      </c>
    </row>
    <row r="386" spans="1:254" x14ac:dyDescent="0.25">
      <c r="A386">
        <f>IF(ISBLANK('Data Entry'!$A$386), "", 'Data Entry'!$A$386)</f>
      </c>
      <c r="B386">
        <f>IF(ISBLANK('Data Entry'!$B$386), "", 'Data Entry'!$B$386)</f>
      </c>
      <c r="C386">
        <f>IF(ISBLANK('Data Entry'!$C$386), "", 'Data Entry'!$C$386)</f>
      </c>
      <c r="D386">
        <f>IF(ISBLANK('Data Entry'!$D$386), "", 'Data Entry'!$D$386)</f>
      </c>
      <c r="E386">
        <f>IF(ISBLANK('Data Entry'!$E$386), "", 'Data Entry'!$E$386)</f>
      </c>
      <c r="F386">
        <f>IF(ISBLANK('Data Entry'!$F$386), "", 'Data Entry'!$F$386)</f>
      </c>
      <c r="G386">
        <f>IF(ISBLANK('Data Entry'!$G$386), "", 'Data Entry'!$G$386)</f>
      </c>
      <c r="H386">
        <f>IF(ISBLANK('Data Entry'!$H$386), "", 'Data Entry'!$H$386)</f>
      </c>
      <c r="I386">
        <f>IF(ISBLANK('Data Entry'!$I$386), "", 'Data Entry'!$I$386)</f>
      </c>
      <c r="J386">
        <f>IF(ISBLANK('Data Entry'!$J$386), "", 'Data Entry'!$J$386)</f>
      </c>
      <c r="K386">
        <f>IF(ISBLANK('Data Entry'!$K$386), "", 'Data Entry'!$K$386)</f>
      </c>
      <c r="L386">
        <f>IF(ISBLANK('Data Entry'!$L$386), "", 'Data Entry'!$L$386)</f>
      </c>
      <c r="M386">
        <f>IF(ISBLANK('Data Entry'!$M$386), "", 'Data Entry'!$M$386)</f>
      </c>
      <c r="N386">
        <f>IF(ISBLANK('Data Entry'!$N$386), "", 'Data Entry'!$N$386)</f>
      </c>
      <c r="O386">
        <f>IF(ISBLANK('Data Entry'!$O$386), "", 'Data Entry'!$O$386)</f>
      </c>
      <c r="P386">
        <f>IF(ISBLANK('Data Entry'!$P$386), "", 'Data Entry'!$P$386)</f>
      </c>
      <c r="Q386">
        <f>IF(ISBLANK('Data Entry'!$Q$386), "", 'Data Entry'!$Q$386)</f>
      </c>
      <c r="R386">
        <f>IF(ISBLANK('Data Entry'!$R$386), "", 'Data Entry'!$R$386)</f>
      </c>
      <c r="S386">
        <f>IF(ISBLANK('Data Entry'!$S$386), "", 'Data Entry'!$S$386)</f>
      </c>
      <c r="T386">
        <f>IF(ISBLANK('Data Entry'!$T$386), "", 'Data Entry'!$T$386)</f>
      </c>
      <c r="U386">
        <f>IF(ISBLANK('Data Entry'!$U$386), "", 'Data Entry'!$U$386)</f>
      </c>
      <c r="V386">
        <f>IF(ISBLANK('Data Entry'!$V$386), "", 'Data Entry'!$V$386)</f>
      </c>
      <c r="W386">
        <f>IF(ISBLANK('Data Entry'!$W$386), "", 'Data Entry'!$W$386)</f>
      </c>
      <c r="X386">
        <f>IF(ISBLANK('Data Entry'!$X$386), "", 'Data Entry'!$X$386)</f>
      </c>
      <c r="Y386">
        <f>IF(ISBLANK('Data Entry'!$Y$386), "", 'Data Entry'!$Y$386)</f>
      </c>
      <c r="Z386">
        <f>IF(ISBLANK('Data Entry'!$Z$386), "", 'Data Entry'!$Z$386)</f>
      </c>
      <c r="AA386">
        <f>IF(ISBLANK('Data Entry'!$[$386), "", 'Data Entry'!$[$386)</f>
      </c>
      <c r="AB386">
        <f>IF(ISBLANK('Data Entry'!$\$386), "", 'Data Entry'!$\$386)</f>
      </c>
      <c r="AC386">
        <f>IF(ISBLANK('Data Entry'!$]$386), "", 'Data Entry'!$]$386)</f>
      </c>
      <c r="AD386">
        <f>IF(ISBLANK('Data Entry'!$^$386), "", 'Data Entry'!$^$386)</f>
      </c>
      <c r="AE386">
        <f>IF(ISBLANK('Data Entry'!$_$386), "", 'Data Entry'!$_$386)</f>
      </c>
      <c r="AF386">
        <f>IF(ISBLANK('Data Entry'!$`$386), "", 'Data Entry'!$`$386)</f>
      </c>
      <c r="AG386">
        <f>IF(ISBLANK('Data Entry'!$a$386), "", 'Data Entry'!$a$386)</f>
      </c>
      <c r="AH386">
        <f>IF(ISBLANK('Data Entry'!$b$386), "", 'Data Entry'!$b$386)</f>
      </c>
      <c r="AI386">
        <f>IF(ISBLANK('Data Entry'!$c$386), "", 'Data Entry'!$c$386)</f>
      </c>
      <c r="AJ386">
        <f>IF(ISBLANK('Data Entry'!$d$386), "", 'Data Entry'!$d$386)</f>
      </c>
      <c r="AK386">
        <f>IF(ISBLANK('Data Entry'!$e$386), "", 'Data Entry'!$e$386)</f>
      </c>
      <c r="AL386">
        <f>IF(ISBLANK('Data Entry'!$f$386), "", 'Data Entry'!$f$386)</f>
      </c>
      <c r="AM386">
        <f>IF(ISBLANK('Data Entry'!$g$386), "", 'Data Entry'!$g$386)</f>
      </c>
      <c r="AN386">
        <f>IF(ISBLANK('Data Entry'!$h$386), "", 'Data Entry'!$h$386)</f>
      </c>
      <c r="AO386">
        <f>IF(ISBLANK('Data Entry'!$i$386), "", 'Data Entry'!$i$386)</f>
      </c>
      <c r="AP386">
        <f>IF(ISBLANK('Data Entry'!$j$386), "", 'Data Entry'!$j$386)</f>
      </c>
      <c r="AQ386">
        <f>IF(ISBLANK('Data Entry'!$k$386), "", 'Data Entry'!$k$386)</f>
      </c>
      <c r="AR386">
        <f>IF(ISBLANK('Data Entry'!$l$386), "", 'Data Entry'!$l$386)</f>
      </c>
      <c r="AS386">
        <f>IF(ISBLANK('Data Entry'!$m$386), "", 'Data Entry'!$m$386)</f>
      </c>
      <c r="AT386">
        <f>IF(ISBLANK('Data Entry'!$n$386), "", 'Data Entry'!$n$386)</f>
      </c>
      <c r="AU386">
        <f>IF(ISBLANK('Data Entry'!$o$386), "", 'Data Entry'!$o$386)</f>
      </c>
      <c r="AV386">
        <f>IF(ISBLANK('Data Entry'!$p$386), "", 'Data Entry'!$p$386)</f>
      </c>
      <c r="AW386">
        <f>IF(ISBLANK('Data Entry'!$q$386), "", 'Data Entry'!$q$386)</f>
      </c>
      <c r="AX386">
        <f>IF(ISBLANK('Data Entry'!$r$386), "", 'Data Entry'!$r$386)</f>
      </c>
      <c r="AY386">
        <f>IF(ISBLANK('Data Entry'!$s$386), "", 'Data Entry'!$s$386)</f>
      </c>
      <c r="AZ386">
        <f>IF(ISBLANK('Data Entry'!$t$386), "", 'Data Entry'!$t$386)</f>
      </c>
      <c r="BA386">
        <f>IF(ISBLANK('Data Entry'!$u$386), "", 'Data Entry'!$u$386)</f>
      </c>
      <c r="BB386">
        <f>IF(ISBLANK('Data Entry'!$v$386), "", 'Data Entry'!$v$386)</f>
      </c>
      <c r="BC386">
        <f>IF(ISBLANK('Data Entry'!$w$386), "", 'Data Entry'!$w$386)</f>
      </c>
      <c r="BD386">
        <f>IF(ISBLANK('Data Entry'!$x$386), "", 'Data Entry'!$x$386)</f>
      </c>
      <c r="BE386">
        <f>IF(ISBLANK('Data Entry'!$y$386), "", 'Data Entry'!$y$386)</f>
      </c>
      <c r="BF386">
        <f>IF(ISBLANK('Data Entry'!$z$386), "", 'Data Entry'!$z$386)</f>
      </c>
      <c r="BG386">
        <f>IF(ISBLANK('Data Entry'!${$386), "", 'Data Entry'!${$386)</f>
      </c>
      <c r="BH386">
        <f>IF(ISBLANK('Data Entry'!$|$386), "", 'Data Entry'!$|$386)</f>
      </c>
      <c r="BI386">
        <f>IF(ISBLANK('Data Entry'!$}$386), "", 'Data Entry'!$}$386)</f>
      </c>
      <c r="BJ386">
        <f>IF(ISBLANK('Data Entry'!$~$386), "", 'Data Entry'!$~$386)</f>
      </c>
      <c r="BK386">
        <f>IF(ISBLANK('Data Entry'!$$386), "", 'Data Entry'!$$386)</f>
      </c>
      <c r="BL386">
        <f>IF(ISBLANK('Data Entry'!$$386), "", 'Data Entry'!$$386)</f>
      </c>
      <c r="BM386">
        <f>IF(ISBLANK('Data Entry'!$$386), "", 'Data Entry'!$$386)</f>
      </c>
      <c r="BN386">
        <f>IF(ISBLANK('Data Entry'!$$386), "", 'Data Entry'!$$386)</f>
      </c>
      <c r="BO386">
        <f>IF(ISBLANK('Data Entry'!$$386), "", 'Data Entry'!$$386)</f>
      </c>
      <c r="BP386">
        <f>IF(ISBLANK('Data Entry'!$$386), "", 'Data Entry'!$$386)</f>
      </c>
      <c r="BQ386">
        <f>IF(ISBLANK('Data Entry'!$$386), "", 'Data Entry'!$$386)</f>
      </c>
      <c r="BR386">
        <f>IF(ISBLANK('Data Entry'!$$386), "", 'Data Entry'!$$386)</f>
      </c>
      <c r="BS386">
        <f>IF(ISBLANK('Data Entry'!$$386), "", 'Data Entry'!$$386)</f>
      </c>
      <c r="BT386">
        <f>IF(ISBLANK('Data Entry'!$$386), "", 'Data Entry'!$$386)</f>
      </c>
      <c r="BU386">
        <f>IF(ISBLANK('Data Entry'!$$386), "", 'Data Entry'!$$386)</f>
      </c>
      <c r="BV386">
        <f>IF(ISBLANK('Data Entry'!$$386), "", 'Data Entry'!$$386)</f>
      </c>
      <c r="BW386">
        <f>IF(ISBLANK('Data Entry'!$$386), "", 'Data Entry'!$$386)</f>
      </c>
      <c r="BX386">
        <f>IF(ISBLANK('Data Entry'!$$386), "", 'Data Entry'!$$386)</f>
      </c>
      <c r="BY386">
        <f>IF(ISBLANK('Data Entry'!$$386), "", 'Data Entry'!$$386)</f>
      </c>
      <c r="BZ386">
        <f>IF(ISBLANK('Data Entry'!$$386), "", 'Data Entry'!$$386)</f>
      </c>
      <c r="CA386">
        <f>IF(ISBLANK('Data Entry'!$$386), "", 'Data Entry'!$$386)</f>
      </c>
      <c r="CB386">
        <f>IF(ISBLANK('Data Entry'!$$386), "", 'Data Entry'!$$386)</f>
      </c>
      <c r="CC386">
        <f>IF(ISBLANK('Data Entry'!$$386), "", 'Data Entry'!$$386)</f>
      </c>
      <c r="CD386">
        <f>IF(ISBLANK('Data Entry'!$$386), "", 'Data Entry'!$$386)</f>
      </c>
      <c r="CE386">
        <f>IF(ISBLANK('Data Entry'!$$386), "", 'Data Entry'!$$386)</f>
      </c>
      <c r="CF386">
        <f>IF(ISBLANK('Data Entry'!$$386), "", 'Data Entry'!$$386)</f>
      </c>
      <c r="CG386">
        <f>IF(ISBLANK('Data Entry'!$$386), "", 'Data Entry'!$$386)</f>
      </c>
      <c r="CH386">
        <f>IF(ISBLANK('Data Entry'!$$386), "", 'Data Entry'!$$386)</f>
      </c>
      <c r="CI386">
        <f>IF(ISBLANK('Data Entry'!$$386), "", 'Data Entry'!$$386)</f>
      </c>
      <c r="CJ386">
        <f>IF(ISBLANK('Data Entry'!$$386), "", 'Data Entry'!$$386)</f>
      </c>
      <c r="CK386">
        <f>IF(ISBLANK('Data Entry'!$$386), "", 'Data Entry'!$$386)</f>
      </c>
      <c r="CL386">
        <f>IF(ISBLANK('Data Entry'!$$386), "", 'Data Entry'!$$386)</f>
      </c>
      <c r="CM386">
        <f>IF(ISBLANK('Data Entry'!$$386), "", 'Data Entry'!$$386)</f>
      </c>
      <c r="CN386">
        <f>IF(ISBLANK('Data Entry'!$$386), "", 'Data Entry'!$$386)</f>
      </c>
      <c r="CO386">
        <f>IF(ISBLANK('Data Entry'!$$386), "", 'Data Entry'!$$386)</f>
      </c>
      <c r="CP386">
        <f>IF(ISBLANK('Data Entry'!$$386), "", 'Data Entry'!$$386)</f>
      </c>
      <c r="CQ386">
        <f>IF(ISBLANK('Data Entry'!$$386), "", 'Data Entry'!$$386)</f>
      </c>
      <c r="CR386">
        <f>IF(ISBLANK('Data Entry'!$ $386), "", 'Data Entry'!$ $386)</f>
      </c>
      <c r="CS386">
        <f>IF(ISBLANK('Data Entry'!$¡$386), "", 'Data Entry'!$¡$386)</f>
      </c>
      <c r="CT386">
        <f>IF(ISBLANK('Data Entry'!$¢$386), "", 'Data Entry'!$¢$386)</f>
      </c>
      <c r="CU386">
        <f>IF(ISBLANK('Data Entry'!$£$386), "", 'Data Entry'!$£$386)</f>
      </c>
      <c r="CV386">
        <f>IF(ISBLANK('Data Entry'!$¤$386), "", 'Data Entry'!$¤$386)</f>
      </c>
      <c r="CW386">
        <f>IF(ISBLANK('Data Entry'!$¥$386), "", 'Data Entry'!$¥$386)</f>
      </c>
      <c r="CX386">
        <f>IF(ISBLANK('Data Entry'!$¦$386), "", 'Data Entry'!$¦$386)</f>
      </c>
      <c r="CY386">
        <f>IF(ISBLANK('Data Entry'!$§$386), "", 'Data Entry'!$§$386)</f>
      </c>
      <c r="CZ386">
        <f>IF(ISBLANK('Data Entry'!$¨$386), "", 'Data Entry'!$¨$386)</f>
      </c>
      <c r="DA386">
        <f>IF(ISBLANK('Data Entry'!$©$386), "", 'Data Entry'!$©$386)</f>
      </c>
      <c r="DB386">
        <f>IF(ISBLANK('Data Entry'!$ª$386), "", 'Data Entry'!$ª$386)</f>
      </c>
      <c r="DC386">
        <f>IF(ISBLANK('Data Entry'!$«$386), "", 'Data Entry'!$«$386)</f>
      </c>
      <c r="DD386">
        <f>IF(ISBLANK('Data Entry'!$¬$386), "", 'Data Entry'!$¬$386)</f>
      </c>
      <c r="DE386">
        <f>IF(ISBLANK('Data Entry'!$­$386), "", 'Data Entry'!$­$386)</f>
      </c>
      <c r="DF386">
        <f>IF(ISBLANK('Data Entry'!$®$386), "", 'Data Entry'!$®$386)</f>
      </c>
      <c r="DG386">
        <f>IF(ISBLANK('Data Entry'!$¯$386), "", 'Data Entry'!$¯$386)</f>
      </c>
      <c r="DH386">
        <f>IF(ISBLANK('Data Entry'!$°$386), "", 'Data Entry'!$°$386)</f>
      </c>
      <c r="DI386">
        <f>IF(ISBLANK('Data Entry'!$±$386), "", 'Data Entry'!$±$386)</f>
      </c>
      <c r="DJ386">
        <f>IF(ISBLANK('Data Entry'!$²$386), "", 'Data Entry'!$²$386)</f>
      </c>
      <c r="DK386">
        <f>IF(ISBLANK('Data Entry'!$³$386), "", 'Data Entry'!$³$386)</f>
      </c>
      <c r="DL386">
        <f>IF(ISBLANK('Data Entry'!$´$386), "", 'Data Entry'!$´$386)</f>
      </c>
      <c r="DM386">
        <f>IF(ISBLANK('Data Entry'!$µ$386), "", 'Data Entry'!$µ$386)</f>
      </c>
      <c r="DN386">
        <f>IF(ISBLANK('Data Entry'!$¶$386), "", 'Data Entry'!$¶$386)</f>
      </c>
      <c r="DO386">
        <f>IF(ISBLANK('Data Entry'!$·$386), "", 'Data Entry'!$·$386)</f>
      </c>
      <c r="DP386">
        <f>IF(ISBLANK('Data Entry'!$¸$386), "", 'Data Entry'!$¸$386)</f>
      </c>
      <c r="DQ386">
        <f>IF(ISBLANK('Data Entry'!$¹$386), "", 'Data Entry'!$¹$386)</f>
      </c>
      <c r="DR386">
        <f>IF(ISBLANK('Data Entry'!$º$386), "", 'Data Entry'!$º$386)</f>
      </c>
      <c r="DS386">
        <f>IF(ISBLANK('Data Entry'!$»$386), "", 'Data Entry'!$»$386)</f>
      </c>
      <c r="DT386">
        <f>IF(ISBLANK('Data Entry'!$¼$386), "", 'Data Entry'!$¼$386)</f>
      </c>
      <c r="DU386">
        <f>IF(ISBLANK('Data Entry'!$½$386), "", 'Data Entry'!$½$386)</f>
      </c>
      <c r="DV386">
        <f>IF(ISBLANK('Data Entry'!$¾$386), "", 'Data Entry'!$¾$386)</f>
      </c>
      <c r="DW386">
        <f>IF(ISBLANK('Data Entry'!$¿$386), "", 'Data Entry'!$¿$386)</f>
      </c>
      <c r="DX386">
        <f>IF(ISBLANK('Data Entry'!$À$386), "", 'Data Entry'!$À$386)</f>
      </c>
      <c r="DY386">
        <f>IF(ISBLANK('Data Entry'!$Á$386), "", 'Data Entry'!$Á$386)</f>
      </c>
      <c r="DZ386">
        <f>IF(ISBLANK('Data Entry'!$Â$386), "", 'Data Entry'!$Â$386)</f>
      </c>
      <c r="EA386">
        <f>IF(ISBLANK('Data Entry'!$Ã$386), "", 'Data Entry'!$Ã$386)</f>
      </c>
      <c r="EB386">
        <f>IF(ISBLANK('Data Entry'!$Ä$386), "", 'Data Entry'!$Ä$386)</f>
      </c>
      <c r="EC386">
        <f>IF(ISBLANK('Data Entry'!$Å$386), "", 'Data Entry'!$Å$386)</f>
      </c>
      <c r="ED386">
        <f>IF(ISBLANK('Data Entry'!$Æ$386), "", 'Data Entry'!$Æ$386)</f>
      </c>
      <c r="EE386">
        <f>IF(ISBLANK('Data Entry'!$Ç$386), "", 'Data Entry'!$Ç$386)</f>
      </c>
      <c r="EF386">
        <f>IF(ISBLANK('Data Entry'!$È$386), "", 'Data Entry'!$È$386)</f>
      </c>
      <c r="EG386">
        <f>IF(ISBLANK('Data Entry'!$É$386), "", 'Data Entry'!$É$386)</f>
      </c>
      <c r="EH386">
        <f>IF(ISBLANK('Data Entry'!$Ê$386), "", 'Data Entry'!$Ê$386)</f>
      </c>
      <c r="EI386">
        <f>IF(ISBLANK('Data Entry'!$Ë$386), "", 'Data Entry'!$Ë$386)</f>
      </c>
      <c r="EJ386">
        <f>IF(ISBLANK('Data Entry'!$Ì$386), "", 'Data Entry'!$Ì$386)</f>
      </c>
      <c r="EK386">
        <f>IF(ISBLANK('Data Entry'!$Í$386), "", 'Data Entry'!$Í$386)</f>
      </c>
      <c r="EL386">
        <f>IF(ISBLANK('Data Entry'!$Î$386), "", 'Data Entry'!$Î$386)</f>
      </c>
      <c r="EM386">
        <f>IF(ISBLANK('Data Entry'!$Ï$386), "", 'Data Entry'!$Ï$386)</f>
      </c>
      <c r="EN386">
        <f>IF(ISBLANK('Data Entry'!$Ð$386), "", 'Data Entry'!$Ð$386)</f>
      </c>
      <c r="EO386">
        <f>IF(ISBLANK('Data Entry'!$Ñ$386), "", 'Data Entry'!$Ñ$386)</f>
      </c>
      <c r="EP386">
        <f>IF(ISBLANK('Data Entry'!$Ò$386), "", 'Data Entry'!$Ò$386)</f>
      </c>
      <c r="EQ386">
        <f>IF(ISBLANK('Data Entry'!$Ó$386), "", 'Data Entry'!$Ó$386)</f>
      </c>
      <c r="ER386">
        <f>IF(ISBLANK('Data Entry'!$Ô$386), "", 'Data Entry'!$Ô$386)</f>
      </c>
      <c r="ES386">
        <f>IF(ISBLANK('Data Entry'!$Õ$386), "", 'Data Entry'!$Õ$386)</f>
      </c>
      <c r="ET386">
        <f>IF(ISBLANK('Data Entry'!$Ö$386), "", 'Data Entry'!$Ö$386)</f>
      </c>
      <c r="EU386">
        <f>IF(ISBLANK('Data Entry'!$×$386), "", 'Data Entry'!$×$386)</f>
      </c>
      <c r="EV386">
        <f>IF(ISBLANK('Data Entry'!$Ø$386), "", 'Data Entry'!$Ø$386)</f>
      </c>
      <c r="EW386">
        <f>IF(ISBLANK('Data Entry'!$Ù$386), "", 'Data Entry'!$Ù$386)</f>
      </c>
      <c r="EX386">
        <f>IF(ISBLANK('Data Entry'!$Ú$386), "", 'Data Entry'!$Ú$386)</f>
      </c>
      <c r="EY386">
        <f>IF(ISBLANK('Data Entry'!$Û$386), "", 'Data Entry'!$Û$386)</f>
      </c>
      <c r="EZ386">
        <f>IF(ISBLANK('Data Entry'!$Ü$386), "", 'Data Entry'!$Ü$386)</f>
      </c>
      <c r="FA386">
        <f>IF(ISBLANK('Data Entry'!$Ý$386), "", 'Data Entry'!$Ý$386)</f>
      </c>
      <c r="FB386">
        <f>IF(ISBLANK('Data Entry'!$Þ$386), "", 'Data Entry'!$Þ$386)</f>
      </c>
      <c r="FC386">
        <f>IF(ISBLANK('Data Entry'!$ß$386), "", 'Data Entry'!$ß$386)</f>
      </c>
      <c r="FD386">
        <f>IF(ISBLANK('Data Entry'!$à$386), "", 'Data Entry'!$à$386)</f>
      </c>
      <c r="FE386">
        <f>IF(ISBLANK('Data Entry'!$á$386), "", 'Data Entry'!$á$386)</f>
      </c>
      <c r="FF386">
        <f>IF(ISBLANK('Data Entry'!$â$386), "", 'Data Entry'!$â$386)</f>
      </c>
      <c r="FG386">
        <f>IF(ISBLANK('Data Entry'!$ã$386), "", 'Data Entry'!$ã$386)</f>
      </c>
      <c r="FH386">
        <f>IF(ISBLANK('Data Entry'!$ä$386), "", 'Data Entry'!$ä$386)</f>
      </c>
      <c r="FI386">
        <f>IF(ISBLANK('Data Entry'!$å$386), "", 'Data Entry'!$å$386)</f>
      </c>
      <c r="FJ386">
        <f>IF(ISBLANK('Data Entry'!$æ$386), "", 'Data Entry'!$æ$386)</f>
      </c>
      <c r="FK386">
        <f>IF(ISBLANK('Data Entry'!$ç$386), "", 'Data Entry'!$ç$386)</f>
      </c>
      <c r="FL386">
        <f>IF(ISBLANK('Data Entry'!$è$386), "", 'Data Entry'!$è$386)</f>
      </c>
      <c r="FM386">
        <f>IF(ISBLANK('Data Entry'!$é$386), "", 'Data Entry'!$é$386)</f>
      </c>
      <c r="FN386">
        <f>IF(ISBLANK('Data Entry'!$ê$386), "", 'Data Entry'!$ê$386)</f>
      </c>
      <c r="FO386">
        <f>IF(ISBLANK('Data Entry'!$ë$386), "", 'Data Entry'!$ë$386)</f>
      </c>
      <c r="FP386">
        <f>IF(ISBLANK('Data Entry'!$ì$386), "", 'Data Entry'!$ì$386)</f>
      </c>
      <c r="FQ386">
        <f>IF(ISBLANK('Data Entry'!$í$386), "", 'Data Entry'!$í$386)</f>
      </c>
      <c r="FR386">
        <f>IF(ISBLANK('Data Entry'!$î$386), "", 'Data Entry'!$î$386)</f>
      </c>
      <c r="FS386">
        <f>IF(ISBLANK('Data Entry'!$ï$386), "", 'Data Entry'!$ï$386)</f>
      </c>
      <c r="FT386">
        <f>IF(ISBLANK('Data Entry'!$ð$386), "", 'Data Entry'!$ð$386)</f>
      </c>
      <c r="FU386">
        <f>IF(ISBLANK('Data Entry'!$ñ$386), "", 'Data Entry'!$ñ$386)</f>
      </c>
      <c r="FV386">
        <f>IF(ISBLANK('Data Entry'!$ò$386), "", 'Data Entry'!$ò$386)</f>
      </c>
      <c r="FW386">
        <f>IF(ISBLANK('Data Entry'!$ó$386), "", 'Data Entry'!$ó$386)</f>
      </c>
      <c r="FX386">
        <f>IF(ISBLANK('Data Entry'!$ô$386), "", 'Data Entry'!$ô$386)</f>
      </c>
      <c r="FY386">
        <f>IF(ISBLANK('Data Entry'!$õ$386), "", 'Data Entry'!$õ$386)</f>
      </c>
      <c r="FZ386">
        <f>IF(ISBLANK('Data Entry'!$ö$386), "", 'Data Entry'!$ö$386)</f>
      </c>
      <c r="GA386">
        <f>IF(ISBLANK('Data Entry'!$÷$386), "", 'Data Entry'!$÷$386)</f>
      </c>
      <c r="GB386">
        <f>IF(ISBLANK('Data Entry'!$ø$386), "", 'Data Entry'!$ø$386)</f>
      </c>
      <c r="GC386">
        <f>IF(ISBLANK('Data Entry'!$ù$386), "", 'Data Entry'!$ù$386)</f>
      </c>
      <c r="GD386">
        <f>IF(ISBLANK('Data Entry'!$ú$386), "", 'Data Entry'!$ú$386)</f>
      </c>
      <c r="GE386">
        <f>IF(ISBLANK('Data Entry'!$û$386), "", 'Data Entry'!$û$386)</f>
      </c>
      <c r="GF386">
        <f>IF(ISBLANK('Data Entry'!$ü$386), "", 'Data Entry'!$ü$386)</f>
      </c>
      <c r="GG386">
        <f>IF(ISBLANK('Data Entry'!$ý$386), "", 'Data Entry'!$ý$386)</f>
      </c>
      <c r="GH386">
        <f>IF(ISBLANK('Data Entry'!$þ$386), "", 'Data Entry'!$þ$386)</f>
      </c>
      <c r="GI386">
        <f>IF(ISBLANK('Data Entry'!$ÿ$386), "", 'Data Entry'!$ÿ$386)</f>
      </c>
      <c r="GJ386">
        <f>IF(ISBLANK('Data Entry'!$Ā$386), "", 'Data Entry'!$Ā$386)</f>
      </c>
      <c r="GK386">
        <f>IF(ISBLANK('Data Entry'!$ā$386), "", 'Data Entry'!$ā$386)</f>
      </c>
      <c r="GL386">
        <f>IF(ISBLANK('Data Entry'!$Ă$386), "", 'Data Entry'!$Ă$386)</f>
      </c>
      <c r="GM386">
        <f>IF(ISBLANK('Data Entry'!$ă$386), "", 'Data Entry'!$ă$386)</f>
      </c>
      <c r="GN386">
        <f>IF(ISBLANK('Data Entry'!$Ą$386), "", 'Data Entry'!$Ą$386)</f>
      </c>
      <c r="GO386">
        <f>IF(ISBLANK('Data Entry'!$ą$386), "", 'Data Entry'!$ą$386)</f>
      </c>
      <c r="GP386">
        <f>IF(ISBLANK('Data Entry'!$Ć$386), "", 'Data Entry'!$Ć$386)</f>
      </c>
      <c r="GQ386">
        <f>IF(ISBLANK('Data Entry'!$ć$386), "", 'Data Entry'!$ć$386)</f>
      </c>
      <c r="GR386">
        <f>IF(ISBLANK('Data Entry'!$Ĉ$386), "", 'Data Entry'!$Ĉ$386)</f>
      </c>
      <c r="GS386">
        <f>IF(ISBLANK('Data Entry'!$ĉ$386), "", 'Data Entry'!$ĉ$386)</f>
      </c>
      <c r="GT386">
        <f>IF(ISBLANK('Data Entry'!$Ċ$386), "", 'Data Entry'!$Ċ$386)</f>
      </c>
      <c r="GU386">
        <f>IF(ISBLANK('Data Entry'!$ċ$386), "", 'Data Entry'!$ċ$386)</f>
      </c>
      <c r="GV386">
        <f>IF(ISBLANK('Data Entry'!$Č$386), "", 'Data Entry'!$Č$386)</f>
      </c>
      <c r="GW386">
        <f>IF(ISBLANK('Data Entry'!$č$386), "", 'Data Entry'!$č$386)</f>
      </c>
      <c r="GX386">
        <f>IF(ISBLANK('Data Entry'!$Ď$386), "", 'Data Entry'!$Ď$386)</f>
      </c>
      <c r="GY386">
        <f>IF(ISBLANK('Data Entry'!$ď$386), "", 'Data Entry'!$ď$386)</f>
      </c>
      <c r="GZ386">
        <f>IF(ISBLANK('Data Entry'!$Đ$386), "", 'Data Entry'!$Đ$386)</f>
      </c>
      <c r="HA386">
        <f>IF(ISBLANK('Data Entry'!$đ$386), "", 'Data Entry'!$đ$386)</f>
      </c>
      <c r="HB386">
        <f>IF(ISBLANK('Data Entry'!$Ē$386), "", 'Data Entry'!$Ē$386)</f>
      </c>
      <c r="HC386">
        <f>IF(ISBLANK('Data Entry'!$ē$386), "", 'Data Entry'!$ē$386)</f>
      </c>
      <c r="HD386">
        <f>IF(ISBLANK('Data Entry'!$Ĕ$386), "", 'Data Entry'!$Ĕ$386)</f>
      </c>
      <c r="HE386">
        <f>IF(ISBLANK('Data Entry'!$ĕ$386), "", 'Data Entry'!$ĕ$386)</f>
      </c>
      <c r="HF386">
        <f>IF(ISBLANK('Data Entry'!$Ė$386), "", 'Data Entry'!$Ė$386)</f>
      </c>
      <c r="HG386">
        <f>IF(ISBLANK('Data Entry'!$ė$386), "", 'Data Entry'!$ė$386)</f>
      </c>
      <c r="HH386">
        <f>IF(ISBLANK('Data Entry'!$Ę$386), "", 'Data Entry'!$Ę$386)</f>
      </c>
      <c r="HI386">
        <f>IF(ISBLANK('Data Entry'!$ę$386), "", 'Data Entry'!$ę$386)</f>
      </c>
      <c r="HJ386">
        <f>IF(ISBLANK('Data Entry'!$Ě$386), "", 'Data Entry'!$Ě$386)</f>
      </c>
      <c r="HK386">
        <f>IF(ISBLANK('Data Entry'!$ě$386), "", 'Data Entry'!$ě$386)</f>
      </c>
      <c r="HL386">
        <f>IF(ISBLANK('Data Entry'!$Ĝ$386), "", 'Data Entry'!$Ĝ$386)</f>
      </c>
      <c r="HM386">
        <f>IF(ISBLANK('Data Entry'!$ĝ$386), "", 'Data Entry'!$ĝ$386)</f>
      </c>
      <c r="HN386">
        <f>IF(ISBLANK('Data Entry'!$Ğ$386), "", 'Data Entry'!$Ğ$386)</f>
      </c>
      <c r="HO386">
        <f>IF(ISBLANK('Data Entry'!$ğ$386), "", 'Data Entry'!$ğ$386)</f>
      </c>
      <c r="HP386">
        <f>IF(ISBLANK('Data Entry'!$Ġ$386), "", 'Data Entry'!$Ġ$386)</f>
      </c>
      <c r="HQ386">
        <f>IF(ISBLANK('Data Entry'!$ġ$386), "", 'Data Entry'!$ġ$386)</f>
      </c>
      <c r="HR386">
        <f>IF(ISBLANK('Data Entry'!$Ģ$386), "", 'Data Entry'!$Ģ$386)</f>
      </c>
      <c r="HS386">
        <f>IF(ISBLANK('Data Entry'!$ģ$386), "", 'Data Entry'!$ģ$386)</f>
      </c>
      <c r="HT386">
        <f>IF(ISBLANK('Data Entry'!$Ĥ$386), "", 'Data Entry'!$Ĥ$386)</f>
      </c>
      <c r="HU386">
        <f>IF(ISBLANK('Data Entry'!$ĥ$386), "", 'Data Entry'!$ĥ$386)</f>
      </c>
      <c r="HV386">
        <f>IF(ISBLANK('Data Entry'!$Ħ$386), "", 'Data Entry'!$Ħ$386)</f>
      </c>
      <c r="HW386">
        <f>IF(ISBLANK('Data Entry'!$ħ$386), "", 'Data Entry'!$ħ$386)</f>
      </c>
      <c r="HX386">
        <f>IF(ISBLANK('Data Entry'!$Ĩ$386), "", 'Data Entry'!$Ĩ$386)</f>
      </c>
      <c r="HY386">
        <f>IF(ISBLANK('Data Entry'!$ĩ$386), "", 'Data Entry'!$ĩ$386)</f>
      </c>
      <c r="HZ386">
        <f>IF(ISBLANK('Data Entry'!$Ī$386), "", 'Data Entry'!$Ī$386)</f>
      </c>
      <c r="IA386">
        <f>IF(ISBLANK('Data Entry'!$ī$386), "", 'Data Entry'!$ī$386)</f>
      </c>
      <c r="IB386">
        <f>IF(ISBLANK('Data Entry'!$Ĭ$386), "", 'Data Entry'!$Ĭ$386)</f>
      </c>
      <c r="IC386">
        <f>IF(ISBLANK('Data Entry'!$ĭ$386), "", 'Data Entry'!$ĭ$386)</f>
      </c>
      <c r="ID386">
        <f>IF(ISBLANK('Data Entry'!$Į$386), "", 'Data Entry'!$Į$386)</f>
      </c>
      <c r="IE386">
        <f>IF(ISBLANK('Data Entry'!$į$386), "", 'Data Entry'!$į$386)</f>
      </c>
      <c r="IF386">
        <f>IF(ISBLANK('Data Entry'!$İ$386), "", 'Data Entry'!$İ$386)</f>
      </c>
      <c r="IG386">
        <f>IF(ISBLANK('Data Entry'!$ı$386), "", 'Data Entry'!$ı$386)</f>
      </c>
      <c r="IH386">
        <f>IF(ISBLANK('Data Entry'!$Ĳ$386), "", 'Data Entry'!$Ĳ$386)</f>
      </c>
      <c r="II386">
        <f>IF(ISBLANK('Data Entry'!$ĳ$386), "", 'Data Entry'!$ĳ$386)</f>
      </c>
      <c r="IJ386">
        <f>IF(ISBLANK('Data Entry'!$Ĵ$386), "", 'Data Entry'!$Ĵ$386)</f>
      </c>
      <c r="IK386">
        <f>IF(ISBLANK('Data Entry'!$ĵ$386), "", 'Data Entry'!$ĵ$386)</f>
      </c>
      <c r="IL386">
        <f>IF(ISBLANK('Data Entry'!$Ķ$386), "", 'Data Entry'!$Ķ$386)</f>
      </c>
      <c r="IM386">
        <f>IF(ISBLANK('Data Entry'!$ķ$386), "", 'Data Entry'!$ķ$386)</f>
      </c>
      <c r="IN386">
        <f>IF(ISBLANK('Data Entry'!$ĸ$386), "", 'Data Entry'!$ĸ$386)</f>
      </c>
      <c r="IO386">
        <f>IF(ISBLANK('Data Entry'!$Ĺ$386), "", 'Data Entry'!$Ĺ$386)</f>
      </c>
      <c r="IP386">
        <f>IF(ISBLANK('Data Entry'!$ĺ$386), "", 'Data Entry'!$ĺ$386)</f>
      </c>
      <c r="IQ386">
        <f>IF(ISBLANK('Data Entry'!$Ļ$386), "", 'Data Entry'!$Ļ$386)</f>
      </c>
      <c r="IR386">
        <f>IF(ISBLANK('Data Entry'!$ļ$386), "", 'Data Entry'!$ļ$386)</f>
      </c>
      <c r="IS386">
        <f>IF(ISBLANK('Data Entry'!$Ľ$386), "", 'Data Entry'!$Ľ$386)</f>
      </c>
      <c r="IT386">
        <f>IF(ISBLANK('Data Entry'!$ľ$386), "", 'Data Entry'!$ľ$386)</f>
      </c>
    </row>
    <row r="387" spans="1:254" x14ac:dyDescent="0.25">
      <c r="A387">
        <f>IF(ISBLANK('Data Entry'!$A$387), "", 'Data Entry'!$A$387)</f>
      </c>
      <c r="B387">
        <f>IF(ISBLANK('Data Entry'!$B$387), "", 'Data Entry'!$B$387)</f>
      </c>
      <c r="C387">
        <f>IF(ISBLANK('Data Entry'!$C$387), "", 'Data Entry'!$C$387)</f>
      </c>
      <c r="D387">
        <f>IF(ISBLANK('Data Entry'!$D$387), "", 'Data Entry'!$D$387)</f>
      </c>
      <c r="E387">
        <f>IF(ISBLANK('Data Entry'!$E$387), "", 'Data Entry'!$E$387)</f>
      </c>
      <c r="F387">
        <f>IF(ISBLANK('Data Entry'!$F$387), "", 'Data Entry'!$F$387)</f>
      </c>
      <c r="G387">
        <f>IF(ISBLANK('Data Entry'!$G$387), "", 'Data Entry'!$G$387)</f>
      </c>
      <c r="H387">
        <f>IF(ISBLANK('Data Entry'!$H$387), "", 'Data Entry'!$H$387)</f>
      </c>
      <c r="I387">
        <f>IF(ISBLANK('Data Entry'!$I$387), "", 'Data Entry'!$I$387)</f>
      </c>
      <c r="J387">
        <f>IF(ISBLANK('Data Entry'!$J$387), "", 'Data Entry'!$J$387)</f>
      </c>
      <c r="K387">
        <f>IF(ISBLANK('Data Entry'!$K$387), "", 'Data Entry'!$K$387)</f>
      </c>
      <c r="L387">
        <f>IF(ISBLANK('Data Entry'!$L$387), "", 'Data Entry'!$L$387)</f>
      </c>
      <c r="M387">
        <f>IF(ISBLANK('Data Entry'!$M$387), "", 'Data Entry'!$M$387)</f>
      </c>
      <c r="N387">
        <f>IF(ISBLANK('Data Entry'!$N$387), "", 'Data Entry'!$N$387)</f>
      </c>
      <c r="O387">
        <f>IF(ISBLANK('Data Entry'!$O$387), "", 'Data Entry'!$O$387)</f>
      </c>
      <c r="P387">
        <f>IF(ISBLANK('Data Entry'!$P$387), "", 'Data Entry'!$P$387)</f>
      </c>
      <c r="Q387">
        <f>IF(ISBLANK('Data Entry'!$Q$387), "", 'Data Entry'!$Q$387)</f>
      </c>
      <c r="R387">
        <f>IF(ISBLANK('Data Entry'!$R$387), "", 'Data Entry'!$R$387)</f>
      </c>
      <c r="S387">
        <f>IF(ISBLANK('Data Entry'!$S$387), "", 'Data Entry'!$S$387)</f>
      </c>
      <c r="T387">
        <f>IF(ISBLANK('Data Entry'!$T$387), "", 'Data Entry'!$T$387)</f>
      </c>
      <c r="U387">
        <f>IF(ISBLANK('Data Entry'!$U$387), "", 'Data Entry'!$U$387)</f>
      </c>
      <c r="V387">
        <f>IF(ISBLANK('Data Entry'!$V$387), "", 'Data Entry'!$V$387)</f>
      </c>
      <c r="W387">
        <f>IF(ISBLANK('Data Entry'!$W$387), "", 'Data Entry'!$W$387)</f>
      </c>
      <c r="X387">
        <f>IF(ISBLANK('Data Entry'!$X$387), "", 'Data Entry'!$X$387)</f>
      </c>
      <c r="Y387">
        <f>IF(ISBLANK('Data Entry'!$Y$387), "", 'Data Entry'!$Y$387)</f>
      </c>
      <c r="Z387">
        <f>IF(ISBLANK('Data Entry'!$Z$387), "", 'Data Entry'!$Z$387)</f>
      </c>
      <c r="AA387">
        <f>IF(ISBLANK('Data Entry'!$[$387), "", 'Data Entry'!$[$387)</f>
      </c>
      <c r="AB387">
        <f>IF(ISBLANK('Data Entry'!$\$387), "", 'Data Entry'!$\$387)</f>
      </c>
      <c r="AC387">
        <f>IF(ISBLANK('Data Entry'!$]$387), "", 'Data Entry'!$]$387)</f>
      </c>
      <c r="AD387">
        <f>IF(ISBLANK('Data Entry'!$^$387), "", 'Data Entry'!$^$387)</f>
      </c>
      <c r="AE387">
        <f>IF(ISBLANK('Data Entry'!$_$387), "", 'Data Entry'!$_$387)</f>
      </c>
      <c r="AF387">
        <f>IF(ISBLANK('Data Entry'!$`$387), "", 'Data Entry'!$`$387)</f>
      </c>
      <c r="AG387">
        <f>IF(ISBLANK('Data Entry'!$a$387), "", 'Data Entry'!$a$387)</f>
      </c>
      <c r="AH387">
        <f>IF(ISBLANK('Data Entry'!$b$387), "", 'Data Entry'!$b$387)</f>
      </c>
      <c r="AI387">
        <f>IF(ISBLANK('Data Entry'!$c$387), "", 'Data Entry'!$c$387)</f>
      </c>
      <c r="AJ387">
        <f>IF(ISBLANK('Data Entry'!$d$387), "", 'Data Entry'!$d$387)</f>
      </c>
      <c r="AK387">
        <f>IF(ISBLANK('Data Entry'!$e$387), "", 'Data Entry'!$e$387)</f>
      </c>
      <c r="AL387">
        <f>IF(ISBLANK('Data Entry'!$f$387), "", 'Data Entry'!$f$387)</f>
      </c>
      <c r="AM387">
        <f>IF(ISBLANK('Data Entry'!$g$387), "", 'Data Entry'!$g$387)</f>
      </c>
      <c r="AN387">
        <f>IF(ISBLANK('Data Entry'!$h$387), "", 'Data Entry'!$h$387)</f>
      </c>
      <c r="AO387">
        <f>IF(ISBLANK('Data Entry'!$i$387), "", 'Data Entry'!$i$387)</f>
      </c>
      <c r="AP387">
        <f>IF(ISBLANK('Data Entry'!$j$387), "", 'Data Entry'!$j$387)</f>
      </c>
      <c r="AQ387">
        <f>IF(ISBLANK('Data Entry'!$k$387), "", 'Data Entry'!$k$387)</f>
      </c>
      <c r="AR387">
        <f>IF(ISBLANK('Data Entry'!$l$387), "", 'Data Entry'!$l$387)</f>
      </c>
      <c r="AS387">
        <f>IF(ISBLANK('Data Entry'!$m$387), "", 'Data Entry'!$m$387)</f>
      </c>
      <c r="AT387">
        <f>IF(ISBLANK('Data Entry'!$n$387), "", 'Data Entry'!$n$387)</f>
      </c>
      <c r="AU387">
        <f>IF(ISBLANK('Data Entry'!$o$387), "", 'Data Entry'!$o$387)</f>
      </c>
      <c r="AV387">
        <f>IF(ISBLANK('Data Entry'!$p$387), "", 'Data Entry'!$p$387)</f>
      </c>
      <c r="AW387">
        <f>IF(ISBLANK('Data Entry'!$q$387), "", 'Data Entry'!$q$387)</f>
      </c>
      <c r="AX387">
        <f>IF(ISBLANK('Data Entry'!$r$387), "", 'Data Entry'!$r$387)</f>
      </c>
      <c r="AY387">
        <f>IF(ISBLANK('Data Entry'!$s$387), "", 'Data Entry'!$s$387)</f>
      </c>
      <c r="AZ387">
        <f>IF(ISBLANK('Data Entry'!$t$387), "", 'Data Entry'!$t$387)</f>
      </c>
      <c r="BA387">
        <f>IF(ISBLANK('Data Entry'!$u$387), "", 'Data Entry'!$u$387)</f>
      </c>
      <c r="BB387">
        <f>IF(ISBLANK('Data Entry'!$v$387), "", 'Data Entry'!$v$387)</f>
      </c>
      <c r="BC387">
        <f>IF(ISBLANK('Data Entry'!$w$387), "", 'Data Entry'!$w$387)</f>
      </c>
      <c r="BD387">
        <f>IF(ISBLANK('Data Entry'!$x$387), "", 'Data Entry'!$x$387)</f>
      </c>
      <c r="BE387">
        <f>IF(ISBLANK('Data Entry'!$y$387), "", 'Data Entry'!$y$387)</f>
      </c>
      <c r="BF387">
        <f>IF(ISBLANK('Data Entry'!$z$387), "", 'Data Entry'!$z$387)</f>
      </c>
      <c r="BG387">
        <f>IF(ISBLANK('Data Entry'!${$387), "", 'Data Entry'!${$387)</f>
      </c>
      <c r="BH387">
        <f>IF(ISBLANK('Data Entry'!$|$387), "", 'Data Entry'!$|$387)</f>
      </c>
      <c r="BI387">
        <f>IF(ISBLANK('Data Entry'!$}$387), "", 'Data Entry'!$}$387)</f>
      </c>
      <c r="BJ387">
        <f>IF(ISBLANK('Data Entry'!$~$387), "", 'Data Entry'!$~$387)</f>
      </c>
      <c r="BK387">
        <f>IF(ISBLANK('Data Entry'!$$387), "", 'Data Entry'!$$387)</f>
      </c>
      <c r="BL387">
        <f>IF(ISBLANK('Data Entry'!$$387), "", 'Data Entry'!$$387)</f>
      </c>
      <c r="BM387">
        <f>IF(ISBLANK('Data Entry'!$$387), "", 'Data Entry'!$$387)</f>
      </c>
      <c r="BN387">
        <f>IF(ISBLANK('Data Entry'!$$387), "", 'Data Entry'!$$387)</f>
      </c>
      <c r="BO387">
        <f>IF(ISBLANK('Data Entry'!$$387), "", 'Data Entry'!$$387)</f>
      </c>
      <c r="BP387">
        <f>IF(ISBLANK('Data Entry'!$$387), "", 'Data Entry'!$$387)</f>
      </c>
      <c r="BQ387">
        <f>IF(ISBLANK('Data Entry'!$$387), "", 'Data Entry'!$$387)</f>
      </c>
      <c r="BR387">
        <f>IF(ISBLANK('Data Entry'!$$387), "", 'Data Entry'!$$387)</f>
      </c>
      <c r="BS387">
        <f>IF(ISBLANK('Data Entry'!$$387), "", 'Data Entry'!$$387)</f>
      </c>
      <c r="BT387">
        <f>IF(ISBLANK('Data Entry'!$$387), "", 'Data Entry'!$$387)</f>
      </c>
      <c r="BU387">
        <f>IF(ISBLANK('Data Entry'!$$387), "", 'Data Entry'!$$387)</f>
      </c>
      <c r="BV387">
        <f>IF(ISBLANK('Data Entry'!$$387), "", 'Data Entry'!$$387)</f>
      </c>
      <c r="BW387">
        <f>IF(ISBLANK('Data Entry'!$$387), "", 'Data Entry'!$$387)</f>
      </c>
      <c r="BX387">
        <f>IF(ISBLANK('Data Entry'!$$387), "", 'Data Entry'!$$387)</f>
      </c>
      <c r="BY387">
        <f>IF(ISBLANK('Data Entry'!$$387), "", 'Data Entry'!$$387)</f>
      </c>
      <c r="BZ387">
        <f>IF(ISBLANK('Data Entry'!$$387), "", 'Data Entry'!$$387)</f>
      </c>
      <c r="CA387">
        <f>IF(ISBLANK('Data Entry'!$$387), "", 'Data Entry'!$$387)</f>
      </c>
      <c r="CB387">
        <f>IF(ISBLANK('Data Entry'!$$387), "", 'Data Entry'!$$387)</f>
      </c>
      <c r="CC387">
        <f>IF(ISBLANK('Data Entry'!$$387), "", 'Data Entry'!$$387)</f>
      </c>
      <c r="CD387">
        <f>IF(ISBLANK('Data Entry'!$$387), "", 'Data Entry'!$$387)</f>
      </c>
      <c r="CE387">
        <f>IF(ISBLANK('Data Entry'!$$387), "", 'Data Entry'!$$387)</f>
      </c>
      <c r="CF387">
        <f>IF(ISBLANK('Data Entry'!$$387), "", 'Data Entry'!$$387)</f>
      </c>
      <c r="CG387">
        <f>IF(ISBLANK('Data Entry'!$$387), "", 'Data Entry'!$$387)</f>
      </c>
      <c r="CH387">
        <f>IF(ISBLANK('Data Entry'!$$387), "", 'Data Entry'!$$387)</f>
      </c>
      <c r="CI387">
        <f>IF(ISBLANK('Data Entry'!$$387), "", 'Data Entry'!$$387)</f>
      </c>
      <c r="CJ387">
        <f>IF(ISBLANK('Data Entry'!$$387), "", 'Data Entry'!$$387)</f>
      </c>
      <c r="CK387">
        <f>IF(ISBLANK('Data Entry'!$$387), "", 'Data Entry'!$$387)</f>
      </c>
      <c r="CL387">
        <f>IF(ISBLANK('Data Entry'!$$387), "", 'Data Entry'!$$387)</f>
      </c>
      <c r="CM387">
        <f>IF(ISBLANK('Data Entry'!$$387), "", 'Data Entry'!$$387)</f>
      </c>
      <c r="CN387">
        <f>IF(ISBLANK('Data Entry'!$$387), "", 'Data Entry'!$$387)</f>
      </c>
      <c r="CO387">
        <f>IF(ISBLANK('Data Entry'!$$387), "", 'Data Entry'!$$387)</f>
      </c>
      <c r="CP387">
        <f>IF(ISBLANK('Data Entry'!$$387), "", 'Data Entry'!$$387)</f>
      </c>
      <c r="CQ387">
        <f>IF(ISBLANK('Data Entry'!$$387), "", 'Data Entry'!$$387)</f>
      </c>
      <c r="CR387">
        <f>IF(ISBLANK('Data Entry'!$ $387), "", 'Data Entry'!$ $387)</f>
      </c>
      <c r="CS387">
        <f>IF(ISBLANK('Data Entry'!$¡$387), "", 'Data Entry'!$¡$387)</f>
      </c>
      <c r="CT387">
        <f>IF(ISBLANK('Data Entry'!$¢$387), "", 'Data Entry'!$¢$387)</f>
      </c>
      <c r="CU387">
        <f>IF(ISBLANK('Data Entry'!$£$387), "", 'Data Entry'!$£$387)</f>
      </c>
      <c r="CV387">
        <f>IF(ISBLANK('Data Entry'!$¤$387), "", 'Data Entry'!$¤$387)</f>
      </c>
      <c r="CW387">
        <f>IF(ISBLANK('Data Entry'!$¥$387), "", 'Data Entry'!$¥$387)</f>
      </c>
      <c r="CX387">
        <f>IF(ISBLANK('Data Entry'!$¦$387), "", 'Data Entry'!$¦$387)</f>
      </c>
      <c r="CY387">
        <f>IF(ISBLANK('Data Entry'!$§$387), "", 'Data Entry'!$§$387)</f>
      </c>
      <c r="CZ387">
        <f>IF(ISBLANK('Data Entry'!$¨$387), "", 'Data Entry'!$¨$387)</f>
      </c>
      <c r="DA387">
        <f>IF(ISBLANK('Data Entry'!$©$387), "", 'Data Entry'!$©$387)</f>
      </c>
      <c r="DB387">
        <f>IF(ISBLANK('Data Entry'!$ª$387), "", 'Data Entry'!$ª$387)</f>
      </c>
      <c r="DC387">
        <f>IF(ISBLANK('Data Entry'!$«$387), "", 'Data Entry'!$«$387)</f>
      </c>
      <c r="DD387">
        <f>IF(ISBLANK('Data Entry'!$¬$387), "", 'Data Entry'!$¬$387)</f>
      </c>
      <c r="DE387">
        <f>IF(ISBLANK('Data Entry'!$­$387), "", 'Data Entry'!$­$387)</f>
      </c>
      <c r="DF387">
        <f>IF(ISBLANK('Data Entry'!$®$387), "", 'Data Entry'!$®$387)</f>
      </c>
      <c r="DG387">
        <f>IF(ISBLANK('Data Entry'!$¯$387), "", 'Data Entry'!$¯$387)</f>
      </c>
      <c r="DH387">
        <f>IF(ISBLANK('Data Entry'!$°$387), "", 'Data Entry'!$°$387)</f>
      </c>
      <c r="DI387">
        <f>IF(ISBLANK('Data Entry'!$±$387), "", 'Data Entry'!$±$387)</f>
      </c>
      <c r="DJ387">
        <f>IF(ISBLANK('Data Entry'!$²$387), "", 'Data Entry'!$²$387)</f>
      </c>
      <c r="DK387">
        <f>IF(ISBLANK('Data Entry'!$³$387), "", 'Data Entry'!$³$387)</f>
      </c>
      <c r="DL387">
        <f>IF(ISBLANK('Data Entry'!$´$387), "", 'Data Entry'!$´$387)</f>
      </c>
      <c r="DM387">
        <f>IF(ISBLANK('Data Entry'!$µ$387), "", 'Data Entry'!$µ$387)</f>
      </c>
      <c r="DN387">
        <f>IF(ISBLANK('Data Entry'!$¶$387), "", 'Data Entry'!$¶$387)</f>
      </c>
      <c r="DO387">
        <f>IF(ISBLANK('Data Entry'!$·$387), "", 'Data Entry'!$·$387)</f>
      </c>
      <c r="DP387">
        <f>IF(ISBLANK('Data Entry'!$¸$387), "", 'Data Entry'!$¸$387)</f>
      </c>
      <c r="DQ387">
        <f>IF(ISBLANK('Data Entry'!$¹$387), "", 'Data Entry'!$¹$387)</f>
      </c>
      <c r="DR387">
        <f>IF(ISBLANK('Data Entry'!$º$387), "", 'Data Entry'!$º$387)</f>
      </c>
      <c r="DS387">
        <f>IF(ISBLANK('Data Entry'!$»$387), "", 'Data Entry'!$»$387)</f>
      </c>
      <c r="DT387">
        <f>IF(ISBLANK('Data Entry'!$¼$387), "", 'Data Entry'!$¼$387)</f>
      </c>
      <c r="DU387">
        <f>IF(ISBLANK('Data Entry'!$½$387), "", 'Data Entry'!$½$387)</f>
      </c>
      <c r="DV387">
        <f>IF(ISBLANK('Data Entry'!$¾$387), "", 'Data Entry'!$¾$387)</f>
      </c>
      <c r="DW387">
        <f>IF(ISBLANK('Data Entry'!$¿$387), "", 'Data Entry'!$¿$387)</f>
      </c>
      <c r="DX387">
        <f>IF(ISBLANK('Data Entry'!$À$387), "", 'Data Entry'!$À$387)</f>
      </c>
      <c r="DY387">
        <f>IF(ISBLANK('Data Entry'!$Á$387), "", 'Data Entry'!$Á$387)</f>
      </c>
      <c r="DZ387">
        <f>IF(ISBLANK('Data Entry'!$Â$387), "", 'Data Entry'!$Â$387)</f>
      </c>
      <c r="EA387">
        <f>IF(ISBLANK('Data Entry'!$Ã$387), "", 'Data Entry'!$Ã$387)</f>
      </c>
      <c r="EB387">
        <f>IF(ISBLANK('Data Entry'!$Ä$387), "", 'Data Entry'!$Ä$387)</f>
      </c>
      <c r="EC387">
        <f>IF(ISBLANK('Data Entry'!$Å$387), "", 'Data Entry'!$Å$387)</f>
      </c>
      <c r="ED387">
        <f>IF(ISBLANK('Data Entry'!$Æ$387), "", 'Data Entry'!$Æ$387)</f>
      </c>
      <c r="EE387">
        <f>IF(ISBLANK('Data Entry'!$Ç$387), "", 'Data Entry'!$Ç$387)</f>
      </c>
      <c r="EF387">
        <f>IF(ISBLANK('Data Entry'!$È$387), "", 'Data Entry'!$È$387)</f>
      </c>
      <c r="EG387">
        <f>IF(ISBLANK('Data Entry'!$É$387), "", 'Data Entry'!$É$387)</f>
      </c>
      <c r="EH387">
        <f>IF(ISBLANK('Data Entry'!$Ê$387), "", 'Data Entry'!$Ê$387)</f>
      </c>
      <c r="EI387">
        <f>IF(ISBLANK('Data Entry'!$Ë$387), "", 'Data Entry'!$Ë$387)</f>
      </c>
      <c r="EJ387">
        <f>IF(ISBLANK('Data Entry'!$Ì$387), "", 'Data Entry'!$Ì$387)</f>
      </c>
      <c r="EK387">
        <f>IF(ISBLANK('Data Entry'!$Í$387), "", 'Data Entry'!$Í$387)</f>
      </c>
      <c r="EL387">
        <f>IF(ISBLANK('Data Entry'!$Î$387), "", 'Data Entry'!$Î$387)</f>
      </c>
      <c r="EM387">
        <f>IF(ISBLANK('Data Entry'!$Ï$387), "", 'Data Entry'!$Ï$387)</f>
      </c>
      <c r="EN387">
        <f>IF(ISBLANK('Data Entry'!$Ð$387), "", 'Data Entry'!$Ð$387)</f>
      </c>
      <c r="EO387">
        <f>IF(ISBLANK('Data Entry'!$Ñ$387), "", 'Data Entry'!$Ñ$387)</f>
      </c>
      <c r="EP387">
        <f>IF(ISBLANK('Data Entry'!$Ò$387), "", 'Data Entry'!$Ò$387)</f>
      </c>
      <c r="EQ387">
        <f>IF(ISBLANK('Data Entry'!$Ó$387), "", 'Data Entry'!$Ó$387)</f>
      </c>
      <c r="ER387">
        <f>IF(ISBLANK('Data Entry'!$Ô$387), "", 'Data Entry'!$Ô$387)</f>
      </c>
      <c r="ES387">
        <f>IF(ISBLANK('Data Entry'!$Õ$387), "", 'Data Entry'!$Õ$387)</f>
      </c>
      <c r="ET387">
        <f>IF(ISBLANK('Data Entry'!$Ö$387), "", 'Data Entry'!$Ö$387)</f>
      </c>
      <c r="EU387">
        <f>IF(ISBLANK('Data Entry'!$×$387), "", 'Data Entry'!$×$387)</f>
      </c>
      <c r="EV387">
        <f>IF(ISBLANK('Data Entry'!$Ø$387), "", 'Data Entry'!$Ø$387)</f>
      </c>
      <c r="EW387">
        <f>IF(ISBLANK('Data Entry'!$Ù$387), "", 'Data Entry'!$Ù$387)</f>
      </c>
      <c r="EX387">
        <f>IF(ISBLANK('Data Entry'!$Ú$387), "", 'Data Entry'!$Ú$387)</f>
      </c>
      <c r="EY387">
        <f>IF(ISBLANK('Data Entry'!$Û$387), "", 'Data Entry'!$Û$387)</f>
      </c>
      <c r="EZ387">
        <f>IF(ISBLANK('Data Entry'!$Ü$387), "", 'Data Entry'!$Ü$387)</f>
      </c>
      <c r="FA387">
        <f>IF(ISBLANK('Data Entry'!$Ý$387), "", 'Data Entry'!$Ý$387)</f>
      </c>
      <c r="FB387">
        <f>IF(ISBLANK('Data Entry'!$Þ$387), "", 'Data Entry'!$Þ$387)</f>
      </c>
      <c r="FC387">
        <f>IF(ISBLANK('Data Entry'!$ß$387), "", 'Data Entry'!$ß$387)</f>
      </c>
      <c r="FD387">
        <f>IF(ISBLANK('Data Entry'!$à$387), "", 'Data Entry'!$à$387)</f>
      </c>
      <c r="FE387">
        <f>IF(ISBLANK('Data Entry'!$á$387), "", 'Data Entry'!$á$387)</f>
      </c>
      <c r="FF387">
        <f>IF(ISBLANK('Data Entry'!$â$387), "", 'Data Entry'!$â$387)</f>
      </c>
      <c r="FG387">
        <f>IF(ISBLANK('Data Entry'!$ã$387), "", 'Data Entry'!$ã$387)</f>
      </c>
      <c r="FH387">
        <f>IF(ISBLANK('Data Entry'!$ä$387), "", 'Data Entry'!$ä$387)</f>
      </c>
      <c r="FI387">
        <f>IF(ISBLANK('Data Entry'!$å$387), "", 'Data Entry'!$å$387)</f>
      </c>
      <c r="FJ387">
        <f>IF(ISBLANK('Data Entry'!$æ$387), "", 'Data Entry'!$æ$387)</f>
      </c>
      <c r="FK387">
        <f>IF(ISBLANK('Data Entry'!$ç$387), "", 'Data Entry'!$ç$387)</f>
      </c>
      <c r="FL387">
        <f>IF(ISBLANK('Data Entry'!$è$387), "", 'Data Entry'!$è$387)</f>
      </c>
      <c r="FM387">
        <f>IF(ISBLANK('Data Entry'!$é$387), "", 'Data Entry'!$é$387)</f>
      </c>
      <c r="FN387">
        <f>IF(ISBLANK('Data Entry'!$ê$387), "", 'Data Entry'!$ê$387)</f>
      </c>
      <c r="FO387">
        <f>IF(ISBLANK('Data Entry'!$ë$387), "", 'Data Entry'!$ë$387)</f>
      </c>
      <c r="FP387">
        <f>IF(ISBLANK('Data Entry'!$ì$387), "", 'Data Entry'!$ì$387)</f>
      </c>
      <c r="FQ387">
        <f>IF(ISBLANK('Data Entry'!$í$387), "", 'Data Entry'!$í$387)</f>
      </c>
      <c r="FR387">
        <f>IF(ISBLANK('Data Entry'!$î$387), "", 'Data Entry'!$î$387)</f>
      </c>
      <c r="FS387">
        <f>IF(ISBLANK('Data Entry'!$ï$387), "", 'Data Entry'!$ï$387)</f>
      </c>
      <c r="FT387">
        <f>IF(ISBLANK('Data Entry'!$ð$387), "", 'Data Entry'!$ð$387)</f>
      </c>
      <c r="FU387">
        <f>IF(ISBLANK('Data Entry'!$ñ$387), "", 'Data Entry'!$ñ$387)</f>
      </c>
      <c r="FV387">
        <f>IF(ISBLANK('Data Entry'!$ò$387), "", 'Data Entry'!$ò$387)</f>
      </c>
      <c r="FW387">
        <f>IF(ISBLANK('Data Entry'!$ó$387), "", 'Data Entry'!$ó$387)</f>
      </c>
      <c r="FX387">
        <f>IF(ISBLANK('Data Entry'!$ô$387), "", 'Data Entry'!$ô$387)</f>
      </c>
      <c r="FY387">
        <f>IF(ISBLANK('Data Entry'!$õ$387), "", 'Data Entry'!$õ$387)</f>
      </c>
      <c r="FZ387">
        <f>IF(ISBLANK('Data Entry'!$ö$387), "", 'Data Entry'!$ö$387)</f>
      </c>
      <c r="GA387">
        <f>IF(ISBLANK('Data Entry'!$÷$387), "", 'Data Entry'!$÷$387)</f>
      </c>
      <c r="GB387">
        <f>IF(ISBLANK('Data Entry'!$ø$387), "", 'Data Entry'!$ø$387)</f>
      </c>
      <c r="GC387">
        <f>IF(ISBLANK('Data Entry'!$ù$387), "", 'Data Entry'!$ù$387)</f>
      </c>
      <c r="GD387">
        <f>IF(ISBLANK('Data Entry'!$ú$387), "", 'Data Entry'!$ú$387)</f>
      </c>
      <c r="GE387">
        <f>IF(ISBLANK('Data Entry'!$û$387), "", 'Data Entry'!$û$387)</f>
      </c>
      <c r="GF387">
        <f>IF(ISBLANK('Data Entry'!$ü$387), "", 'Data Entry'!$ü$387)</f>
      </c>
      <c r="GG387">
        <f>IF(ISBLANK('Data Entry'!$ý$387), "", 'Data Entry'!$ý$387)</f>
      </c>
      <c r="GH387">
        <f>IF(ISBLANK('Data Entry'!$þ$387), "", 'Data Entry'!$þ$387)</f>
      </c>
      <c r="GI387">
        <f>IF(ISBLANK('Data Entry'!$ÿ$387), "", 'Data Entry'!$ÿ$387)</f>
      </c>
      <c r="GJ387">
        <f>IF(ISBLANK('Data Entry'!$Ā$387), "", 'Data Entry'!$Ā$387)</f>
      </c>
      <c r="GK387">
        <f>IF(ISBLANK('Data Entry'!$ā$387), "", 'Data Entry'!$ā$387)</f>
      </c>
      <c r="GL387">
        <f>IF(ISBLANK('Data Entry'!$Ă$387), "", 'Data Entry'!$Ă$387)</f>
      </c>
      <c r="GM387">
        <f>IF(ISBLANK('Data Entry'!$ă$387), "", 'Data Entry'!$ă$387)</f>
      </c>
      <c r="GN387">
        <f>IF(ISBLANK('Data Entry'!$Ą$387), "", 'Data Entry'!$Ą$387)</f>
      </c>
      <c r="GO387">
        <f>IF(ISBLANK('Data Entry'!$ą$387), "", 'Data Entry'!$ą$387)</f>
      </c>
      <c r="GP387">
        <f>IF(ISBLANK('Data Entry'!$Ć$387), "", 'Data Entry'!$Ć$387)</f>
      </c>
      <c r="GQ387">
        <f>IF(ISBLANK('Data Entry'!$ć$387), "", 'Data Entry'!$ć$387)</f>
      </c>
      <c r="GR387">
        <f>IF(ISBLANK('Data Entry'!$Ĉ$387), "", 'Data Entry'!$Ĉ$387)</f>
      </c>
      <c r="GS387">
        <f>IF(ISBLANK('Data Entry'!$ĉ$387), "", 'Data Entry'!$ĉ$387)</f>
      </c>
      <c r="GT387">
        <f>IF(ISBLANK('Data Entry'!$Ċ$387), "", 'Data Entry'!$Ċ$387)</f>
      </c>
      <c r="GU387">
        <f>IF(ISBLANK('Data Entry'!$ċ$387), "", 'Data Entry'!$ċ$387)</f>
      </c>
      <c r="GV387">
        <f>IF(ISBLANK('Data Entry'!$Č$387), "", 'Data Entry'!$Č$387)</f>
      </c>
      <c r="GW387">
        <f>IF(ISBLANK('Data Entry'!$č$387), "", 'Data Entry'!$č$387)</f>
      </c>
      <c r="GX387">
        <f>IF(ISBLANK('Data Entry'!$Ď$387), "", 'Data Entry'!$Ď$387)</f>
      </c>
      <c r="GY387">
        <f>IF(ISBLANK('Data Entry'!$ď$387), "", 'Data Entry'!$ď$387)</f>
      </c>
      <c r="GZ387">
        <f>IF(ISBLANK('Data Entry'!$Đ$387), "", 'Data Entry'!$Đ$387)</f>
      </c>
      <c r="HA387">
        <f>IF(ISBLANK('Data Entry'!$đ$387), "", 'Data Entry'!$đ$387)</f>
      </c>
      <c r="HB387">
        <f>IF(ISBLANK('Data Entry'!$Ē$387), "", 'Data Entry'!$Ē$387)</f>
      </c>
      <c r="HC387">
        <f>IF(ISBLANK('Data Entry'!$ē$387), "", 'Data Entry'!$ē$387)</f>
      </c>
      <c r="HD387">
        <f>IF(ISBLANK('Data Entry'!$Ĕ$387), "", 'Data Entry'!$Ĕ$387)</f>
      </c>
      <c r="HE387">
        <f>IF(ISBLANK('Data Entry'!$ĕ$387), "", 'Data Entry'!$ĕ$387)</f>
      </c>
      <c r="HF387">
        <f>IF(ISBLANK('Data Entry'!$Ė$387), "", 'Data Entry'!$Ė$387)</f>
      </c>
      <c r="HG387">
        <f>IF(ISBLANK('Data Entry'!$ė$387), "", 'Data Entry'!$ė$387)</f>
      </c>
      <c r="HH387">
        <f>IF(ISBLANK('Data Entry'!$Ę$387), "", 'Data Entry'!$Ę$387)</f>
      </c>
      <c r="HI387">
        <f>IF(ISBLANK('Data Entry'!$ę$387), "", 'Data Entry'!$ę$387)</f>
      </c>
      <c r="HJ387">
        <f>IF(ISBLANK('Data Entry'!$Ě$387), "", 'Data Entry'!$Ě$387)</f>
      </c>
      <c r="HK387">
        <f>IF(ISBLANK('Data Entry'!$ě$387), "", 'Data Entry'!$ě$387)</f>
      </c>
      <c r="HL387">
        <f>IF(ISBLANK('Data Entry'!$Ĝ$387), "", 'Data Entry'!$Ĝ$387)</f>
      </c>
      <c r="HM387">
        <f>IF(ISBLANK('Data Entry'!$ĝ$387), "", 'Data Entry'!$ĝ$387)</f>
      </c>
      <c r="HN387">
        <f>IF(ISBLANK('Data Entry'!$Ğ$387), "", 'Data Entry'!$Ğ$387)</f>
      </c>
      <c r="HO387">
        <f>IF(ISBLANK('Data Entry'!$ğ$387), "", 'Data Entry'!$ğ$387)</f>
      </c>
      <c r="HP387">
        <f>IF(ISBLANK('Data Entry'!$Ġ$387), "", 'Data Entry'!$Ġ$387)</f>
      </c>
      <c r="HQ387">
        <f>IF(ISBLANK('Data Entry'!$ġ$387), "", 'Data Entry'!$ġ$387)</f>
      </c>
      <c r="HR387">
        <f>IF(ISBLANK('Data Entry'!$Ģ$387), "", 'Data Entry'!$Ģ$387)</f>
      </c>
      <c r="HS387">
        <f>IF(ISBLANK('Data Entry'!$ģ$387), "", 'Data Entry'!$ģ$387)</f>
      </c>
      <c r="HT387">
        <f>IF(ISBLANK('Data Entry'!$Ĥ$387), "", 'Data Entry'!$Ĥ$387)</f>
      </c>
      <c r="HU387">
        <f>IF(ISBLANK('Data Entry'!$ĥ$387), "", 'Data Entry'!$ĥ$387)</f>
      </c>
      <c r="HV387">
        <f>IF(ISBLANK('Data Entry'!$Ħ$387), "", 'Data Entry'!$Ħ$387)</f>
      </c>
      <c r="HW387">
        <f>IF(ISBLANK('Data Entry'!$ħ$387), "", 'Data Entry'!$ħ$387)</f>
      </c>
      <c r="HX387">
        <f>IF(ISBLANK('Data Entry'!$Ĩ$387), "", 'Data Entry'!$Ĩ$387)</f>
      </c>
      <c r="HY387">
        <f>IF(ISBLANK('Data Entry'!$ĩ$387), "", 'Data Entry'!$ĩ$387)</f>
      </c>
      <c r="HZ387">
        <f>IF(ISBLANK('Data Entry'!$Ī$387), "", 'Data Entry'!$Ī$387)</f>
      </c>
      <c r="IA387">
        <f>IF(ISBLANK('Data Entry'!$ī$387), "", 'Data Entry'!$ī$387)</f>
      </c>
      <c r="IB387">
        <f>IF(ISBLANK('Data Entry'!$Ĭ$387), "", 'Data Entry'!$Ĭ$387)</f>
      </c>
      <c r="IC387">
        <f>IF(ISBLANK('Data Entry'!$ĭ$387), "", 'Data Entry'!$ĭ$387)</f>
      </c>
      <c r="ID387">
        <f>IF(ISBLANK('Data Entry'!$Į$387), "", 'Data Entry'!$Į$387)</f>
      </c>
      <c r="IE387">
        <f>IF(ISBLANK('Data Entry'!$į$387), "", 'Data Entry'!$į$387)</f>
      </c>
      <c r="IF387">
        <f>IF(ISBLANK('Data Entry'!$İ$387), "", 'Data Entry'!$İ$387)</f>
      </c>
      <c r="IG387">
        <f>IF(ISBLANK('Data Entry'!$ı$387), "", 'Data Entry'!$ı$387)</f>
      </c>
      <c r="IH387">
        <f>IF(ISBLANK('Data Entry'!$Ĳ$387), "", 'Data Entry'!$Ĳ$387)</f>
      </c>
      <c r="II387">
        <f>IF(ISBLANK('Data Entry'!$ĳ$387), "", 'Data Entry'!$ĳ$387)</f>
      </c>
      <c r="IJ387">
        <f>IF(ISBLANK('Data Entry'!$Ĵ$387), "", 'Data Entry'!$Ĵ$387)</f>
      </c>
      <c r="IK387">
        <f>IF(ISBLANK('Data Entry'!$ĵ$387), "", 'Data Entry'!$ĵ$387)</f>
      </c>
      <c r="IL387">
        <f>IF(ISBLANK('Data Entry'!$Ķ$387), "", 'Data Entry'!$Ķ$387)</f>
      </c>
      <c r="IM387">
        <f>IF(ISBLANK('Data Entry'!$ķ$387), "", 'Data Entry'!$ķ$387)</f>
      </c>
      <c r="IN387">
        <f>IF(ISBLANK('Data Entry'!$ĸ$387), "", 'Data Entry'!$ĸ$387)</f>
      </c>
      <c r="IO387">
        <f>IF(ISBLANK('Data Entry'!$Ĺ$387), "", 'Data Entry'!$Ĺ$387)</f>
      </c>
      <c r="IP387">
        <f>IF(ISBLANK('Data Entry'!$ĺ$387), "", 'Data Entry'!$ĺ$387)</f>
      </c>
      <c r="IQ387">
        <f>IF(ISBLANK('Data Entry'!$Ļ$387), "", 'Data Entry'!$Ļ$387)</f>
      </c>
      <c r="IR387">
        <f>IF(ISBLANK('Data Entry'!$ļ$387), "", 'Data Entry'!$ļ$387)</f>
      </c>
      <c r="IS387">
        <f>IF(ISBLANK('Data Entry'!$Ľ$387), "", 'Data Entry'!$Ľ$387)</f>
      </c>
      <c r="IT387">
        <f>IF(ISBLANK('Data Entry'!$ľ$387), "", 'Data Entry'!$ľ$387)</f>
      </c>
    </row>
    <row r="388" spans="1:254" x14ac:dyDescent="0.25">
      <c r="A388">
        <f>IF(ISBLANK('Data Entry'!$A$388), "", 'Data Entry'!$A$388)</f>
      </c>
      <c r="B388">
        <f>IF(ISBLANK('Data Entry'!$B$388), "", 'Data Entry'!$B$388)</f>
      </c>
      <c r="C388">
        <f>IF(ISBLANK('Data Entry'!$C$388), "", 'Data Entry'!$C$388)</f>
      </c>
      <c r="D388">
        <f>IF(ISBLANK('Data Entry'!$D$388), "", 'Data Entry'!$D$388)</f>
      </c>
      <c r="E388">
        <f>IF(ISBLANK('Data Entry'!$E$388), "", 'Data Entry'!$E$388)</f>
      </c>
      <c r="F388">
        <f>IF(ISBLANK('Data Entry'!$F$388), "", 'Data Entry'!$F$388)</f>
      </c>
      <c r="G388">
        <f>IF(ISBLANK('Data Entry'!$G$388), "", 'Data Entry'!$G$388)</f>
      </c>
      <c r="H388">
        <f>IF(ISBLANK('Data Entry'!$H$388), "", 'Data Entry'!$H$388)</f>
      </c>
      <c r="I388">
        <f>IF(ISBLANK('Data Entry'!$I$388), "", 'Data Entry'!$I$388)</f>
      </c>
      <c r="J388">
        <f>IF(ISBLANK('Data Entry'!$J$388), "", 'Data Entry'!$J$388)</f>
      </c>
      <c r="K388">
        <f>IF(ISBLANK('Data Entry'!$K$388), "", 'Data Entry'!$K$388)</f>
      </c>
      <c r="L388">
        <f>IF(ISBLANK('Data Entry'!$L$388), "", 'Data Entry'!$L$388)</f>
      </c>
      <c r="M388">
        <f>IF(ISBLANK('Data Entry'!$M$388), "", 'Data Entry'!$M$388)</f>
      </c>
      <c r="N388">
        <f>IF(ISBLANK('Data Entry'!$N$388), "", 'Data Entry'!$N$388)</f>
      </c>
      <c r="O388">
        <f>IF(ISBLANK('Data Entry'!$O$388), "", 'Data Entry'!$O$388)</f>
      </c>
      <c r="P388">
        <f>IF(ISBLANK('Data Entry'!$P$388), "", 'Data Entry'!$P$388)</f>
      </c>
      <c r="Q388">
        <f>IF(ISBLANK('Data Entry'!$Q$388), "", 'Data Entry'!$Q$388)</f>
      </c>
      <c r="R388">
        <f>IF(ISBLANK('Data Entry'!$R$388), "", 'Data Entry'!$R$388)</f>
      </c>
      <c r="S388">
        <f>IF(ISBLANK('Data Entry'!$S$388), "", 'Data Entry'!$S$388)</f>
      </c>
      <c r="T388">
        <f>IF(ISBLANK('Data Entry'!$T$388), "", 'Data Entry'!$T$388)</f>
      </c>
      <c r="U388">
        <f>IF(ISBLANK('Data Entry'!$U$388), "", 'Data Entry'!$U$388)</f>
      </c>
      <c r="V388">
        <f>IF(ISBLANK('Data Entry'!$V$388), "", 'Data Entry'!$V$388)</f>
      </c>
      <c r="W388">
        <f>IF(ISBLANK('Data Entry'!$W$388), "", 'Data Entry'!$W$388)</f>
      </c>
      <c r="X388">
        <f>IF(ISBLANK('Data Entry'!$X$388), "", 'Data Entry'!$X$388)</f>
      </c>
      <c r="Y388">
        <f>IF(ISBLANK('Data Entry'!$Y$388), "", 'Data Entry'!$Y$388)</f>
      </c>
      <c r="Z388">
        <f>IF(ISBLANK('Data Entry'!$Z$388), "", 'Data Entry'!$Z$388)</f>
      </c>
      <c r="AA388">
        <f>IF(ISBLANK('Data Entry'!$[$388), "", 'Data Entry'!$[$388)</f>
      </c>
      <c r="AB388">
        <f>IF(ISBLANK('Data Entry'!$\$388), "", 'Data Entry'!$\$388)</f>
      </c>
      <c r="AC388">
        <f>IF(ISBLANK('Data Entry'!$]$388), "", 'Data Entry'!$]$388)</f>
      </c>
      <c r="AD388">
        <f>IF(ISBLANK('Data Entry'!$^$388), "", 'Data Entry'!$^$388)</f>
      </c>
      <c r="AE388">
        <f>IF(ISBLANK('Data Entry'!$_$388), "", 'Data Entry'!$_$388)</f>
      </c>
      <c r="AF388">
        <f>IF(ISBLANK('Data Entry'!$`$388), "", 'Data Entry'!$`$388)</f>
      </c>
      <c r="AG388">
        <f>IF(ISBLANK('Data Entry'!$a$388), "", 'Data Entry'!$a$388)</f>
      </c>
      <c r="AH388">
        <f>IF(ISBLANK('Data Entry'!$b$388), "", 'Data Entry'!$b$388)</f>
      </c>
      <c r="AI388">
        <f>IF(ISBLANK('Data Entry'!$c$388), "", 'Data Entry'!$c$388)</f>
      </c>
      <c r="AJ388">
        <f>IF(ISBLANK('Data Entry'!$d$388), "", 'Data Entry'!$d$388)</f>
      </c>
      <c r="AK388">
        <f>IF(ISBLANK('Data Entry'!$e$388), "", 'Data Entry'!$e$388)</f>
      </c>
      <c r="AL388">
        <f>IF(ISBLANK('Data Entry'!$f$388), "", 'Data Entry'!$f$388)</f>
      </c>
      <c r="AM388">
        <f>IF(ISBLANK('Data Entry'!$g$388), "", 'Data Entry'!$g$388)</f>
      </c>
      <c r="AN388">
        <f>IF(ISBLANK('Data Entry'!$h$388), "", 'Data Entry'!$h$388)</f>
      </c>
      <c r="AO388">
        <f>IF(ISBLANK('Data Entry'!$i$388), "", 'Data Entry'!$i$388)</f>
      </c>
      <c r="AP388">
        <f>IF(ISBLANK('Data Entry'!$j$388), "", 'Data Entry'!$j$388)</f>
      </c>
      <c r="AQ388">
        <f>IF(ISBLANK('Data Entry'!$k$388), "", 'Data Entry'!$k$388)</f>
      </c>
      <c r="AR388">
        <f>IF(ISBLANK('Data Entry'!$l$388), "", 'Data Entry'!$l$388)</f>
      </c>
      <c r="AS388">
        <f>IF(ISBLANK('Data Entry'!$m$388), "", 'Data Entry'!$m$388)</f>
      </c>
      <c r="AT388">
        <f>IF(ISBLANK('Data Entry'!$n$388), "", 'Data Entry'!$n$388)</f>
      </c>
      <c r="AU388">
        <f>IF(ISBLANK('Data Entry'!$o$388), "", 'Data Entry'!$o$388)</f>
      </c>
      <c r="AV388">
        <f>IF(ISBLANK('Data Entry'!$p$388), "", 'Data Entry'!$p$388)</f>
      </c>
      <c r="AW388">
        <f>IF(ISBLANK('Data Entry'!$q$388), "", 'Data Entry'!$q$388)</f>
      </c>
      <c r="AX388">
        <f>IF(ISBLANK('Data Entry'!$r$388), "", 'Data Entry'!$r$388)</f>
      </c>
      <c r="AY388">
        <f>IF(ISBLANK('Data Entry'!$s$388), "", 'Data Entry'!$s$388)</f>
      </c>
      <c r="AZ388">
        <f>IF(ISBLANK('Data Entry'!$t$388), "", 'Data Entry'!$t$388)</f>
      </c>
      <c r="BA388">
        <f>IF(ISBLANK('Data Entry'!$u$388), "", 'Data Entry'!$u$388)</f>
      </c>
      <c r="BB388">
        <f>IF(ISBLANK('Data Entry'!$v$388), "", 'Data Entry'!$v$388)</f>
      </c>
      <c r="BC388">
        <f>IF(ISBLANK('Data Entry'!$w$388), "", 'Data Entry'!$w$388)</f>
      </c>
      <c r="BD388">
        <f>IF(ISBLANK('Data Entry'!$x$388), "", 'Data Entry'!$x$388)</f>
      </c>
      <c r="BE388">
        <f>IF(ISBLANK('Data Entry'!$y$388), "", 'Data Entry'!$y$388)</f>
      </c>
      <c r="BF388">
        <f>IF(ISBLANK('Data Entry'!$z$388), "", 'Data Entry'!$z$388)</f>
      </c>
      <c r="BG388">
        <f>IF(ISBLANK('Data Entry'!${$388), "", 'Data Entry'!${$388)</f>
      </c>
      <c r="BH388">
        <f>IF(ISBLANK('Data Entry'!$|$388), "", 'Data Entry'!$|$388)</f>
      </c>
      <c r="BI388">
        <f>IF(ISBLANK('Data Entry'!$}$388), "", 'Data Entry'!$}$388)</f>
      </c>
      <c r="BJ388">
        <f>IF(ISBLANK('Data Entry'!$~$388), "", 'Data Entry'!$~$388)</f>
      </c>
      <c r="BK388">
        <f>IF(ISBLANK('Data Entry'!$$388), "", 'Data Entry'!$$388)</f>
      </c>
      <c r="BL388">
        <f>IF(ISBLANK('Data Entry'!$$388), "", 'Data Entry'!$$388)</f>
      </c>
      <c r="BM388">
        <f>IF(ISBLANK('Data Entry'!$$388), "", 'Data Entry'!$$388)</f>
      </c>
      <c r="BN388">
        <f>IF(ISBLANK('Data Entry'!$$388), "", 'Data Entry'!$$388)</f>
      </c>
      <c r="BO388">
        <f>IF(ISBLANK('Data Entry'!$$388), "", 'Data Entry'!$$388)</f>
      </c>
      <c r="BP388">
        <f>IF(ISBLANK('Data Entry'!$$388), "", 'Data Entry'!$$388)</f>
      </c>
      <c r="BQ388">
        <f>IF(ISBLANK('Data Entry'!$$388), "", 'Data Entry'!$$388)</f>
      </c>
      <c r="BR388">
        <f>IF(ISBLANK('Data Entry'!$$388), "", 'Data Entry'!$$388)</f>
      </c>
      <c r="BS388">
        <f>IF(ISBLANK('Data Entry'!$$388), "", 'Data Entry'!$$388)</f>
      </c>
      <c r="BT388">
        <f>IF(ISBLANK('Data Entry'!$$388), "", 'Data Entry'!$$388)</f>
      </c>
      <c r="BU388">
        <f>IF(ISBLANK('Data Entry'!$$388), "", 'Data Entry'!$$388)</f>
      </c>
      <c r="BV388">
        <f>IF(ISBLANK('Data Entry'!$$388), "", 'Data Entry'!$$388)</f>
      </c>
      <c r="BW388">
        <f>IF(ISBLANK('Data Entry'!$$388), "", 'Data Entry'!$$388)</f>
      </c>
      <c r="BX388">
        <f>IF(ISBLANK('Data Entry'!$$388), "", 'Data Entry'!$$388)</f>
      </c>
      <c r="BY388">
        <f>IF(ISBLANK('Data Entry'!$$388), "", 'Data Entry'!$$388)</f>
      </c>
      <c r="BZ388">
        <f>IF(ISBLANK('Data Entry'!$$388), "", 'Data Entry'!$$388)</f>
      </c>
      <c r="CA388">
        <f>IF(ISBLANK('Data Entry'!$$388), "", 'Data Entry'!$$388)</f>
      </c>
      <c r="CB388">
        <f>IF(ISBLANK('Data Entry'!$$388), "", 'Data Entry'!$$388)</f>
      </c>
      <c r="CC388">
        <f>IF(ISBLANK('Data Entry'!$$388), "", 'Data Entry'!$$388)</f>
      </c>
      <c r="CD388">
        <f>IF(ISBLANK('Data Entry'!$$388), "", 'Data Entry'!$$388)</f>
      </c>
      <c r="CE388">
        <f>IF(ISBLANK('Data Entry'!$$388), "", 'Data Entry'!$$388)</f>
      </c>
      <c r="CF388">
        <f>IF(ISBLANK('Data Entry'!$$388), "", 'Data Entry'!$$388)</f>
      </c>
      <c r="CG388">
        <f>IF(ISBLANK('Data Entry'!$$388), "", 'Data Entry'!$$388)</f>
      </c>
      <c r="CH388">
        <f>IF(ISBLANK('Data Entry'!$$388), "", 'Data Entry'!$$388)</f>
      </c>
      <c r="CI388">
        <f>IF(ISBLANK('Data Entry'!$$388), "", 'Data Entry'!$$388)</f>
      </c>
      <c r="CJ388">
        <f>IF(ISBLANK('Data Entry'!$$388), "", 'Data Entry'!$$388)</f>
      </c>
      <c r="CK388">
        <f>IF(ISBLANK('Data Entry'!$$388), "", 'Data Entry'!$$388)</f>
      </c>
      <c r="CL388">
        <f>IF(ISBLANK('Data Entry'!$$388), "", 'Data Entry'!$$388)</f>
      </c>
      <c r="CM388">
        <f>IF(ISBLANK('Data Entry'!$$388), "", 'Data Entry'!$$388)</f>
      </c>
      <c r="CN388">
        <f>IF(ISBLANK('Data Entry'!$$388), "", 'Data Entry'!$$388)</f>
      </c>
      <c r="CO388">
        <f>IF(ISBLANK('Data Entry'!$$388), "", 'Data Entry'!$$388)</f>
      </c>
      <c r="CP388">
        <f>IF(ISBLANK('Data Entry'!$$388), "", 'Data Entry'!$$388)</f>
      </c>
      <c r="CQ388">
        <f>IF(ISBLANK('Data Entry'!$$388), "", 'Data Entry'!$$388)</f>
      </c>
      <c r="CR388">
        <f>IF(ISBLANK('Data Entry'!$ $388), "", 'Data Entry'!$ $388)</f>
      </c>
      <c r="CS388">
        <f>IF(ISBLANK('Data Entry'!$¡$388), "", 'Data Entry'!$¡$388)</f>
      </c>
      <c r="CT388">
        <f>IF(ISBLANK('Data Entry'!$¢$388), "", 'Data Entry'!$¢$388)</f>
      </c>
      <c r="CU388">
        <f>IF(ISBLANK('Data Entry'!$£$388), "", 'Data Entry'!$£$388)</f>
      </c>
      <c r="CV388">
        <f>IF(ISBLANK('Data Entry'!$¤$388), "", 'Data Entry'!$¤$388)</f>
      </c>
      <c r="CW388">
        <f>IF(ISBLANK('Data Entry'!$¥$388), "", 'Data Entry'!$¥$388)</f>
      </c>
      <c r="CX388">
        <f>IF(ISBLANK('Data Entry'!$¦$388), "", 'Data Entry'!$¦$388)</f>
      </c>
      <c r="CY388">
        <f>IF(ISBLANK('Data Entry'!$§$388), "", 'Data Entry'!$§$388)</f>
      </c>
      <c r="CZ388">
        <f>IF(ISBLANK('Data Entry'!$¨$388), "", 'Data Entry'!$¨$388)</f>
      </c>
      <c r="DA388">
        <f>IF(ISBLANK('Data Entry'!$©$388), "", 'Data Entry'!$©$388)</f>
      </c>
      <c r="DB388">
        <f>IF(ISBLANK('Data Entry'!$ª$388), "", 'Data Entry'!$ª$388)</f>
      </c>
      <c r="DC388">
        <f>IF(ISBLANK('Data Entry'!$«$388), "", 'Data Entry'!$«$388)</f>
      </c>
      <c r="DD388">
        <f>IF(ISBLANK('Data Entry'!$¬$388), "", 'Data Entry'!$¬$388)</f>
      </c>
      <c r="DE388">
        <f>IF(ISBLANK('Data Entry'!$­$388), "", 'Data Entry'!$­$388)</f>
      </c>
      <c r="DF388">
        <f>IF(ISBLANK('Data Entry'!$®$388), "", 'Data Entry'!$®$388)</f>
      </c>
      <c r="DG388">
        <f>IF(ISBLANK('Data Entry'!$¯$388), "", 'Data Entry'!$¯$388)</f>
      </c>
      <c r="DH388">
        <f>IF(ISBLANK('Data Entry'!$°$388), "", 'Data Entry'!$°$388)</f>
      </c>
      <c r="DI388">
        <f>IF(ISBLANK('Data Entry'!$±$388), "", 'Data Entry'!$±$388)</f>
      </c>
      <c r="DJ388">
        <f>IF(ISBLANK('Data Entry'!$²$388), "", 'Data Entry'!$²$388)</f>
      </c>
      <c r="DK388">
        <f>IF(ISBLANK('Data Entry'!$³$388), "", 'Data Entry'!$³$388)</f>
      </c>
      <c r="DL388">
        <f>IF(ISBLANK('Data Entry'!$´$388), "", 'Data Entry'!$´$388)</f>
      </c>
      <c r="DM388">
        <f>IF(ISBLANK('Data Entry'!$µ$388), "", 'Data Entry'!$µ$388)</f>
      </c>
      <c r="DN388">
        <f>IF(ISBLANK('Data Entry'!$¶$388), "", 'Data Entry'!$¶$388)</f>
      </c>
      <c r="DO388">
        <f>IF(ISBLANK('Data Entry'!$·$388), "", 'Data Entry'!$·$388)</f>
      </c>
      <c r="DP388">
        <f>IF(ISBLANK('Data Entry'!$¸$388), "", 'Data Entry'!$¸$388)</f>
      </c>
      <c r="DQ388">
        <f>IF(ISBLANK('Data Entry'!$¹$388), "", 'Data Entry'!$¹$388)</f>
      </c>
      <c r="DR388">
        <f>IF(ISBLANK('Data Entry'!$º$388), "", 'Data Entry'!$º$388)</f>
      </c>
      <c r="DS388">
        <f>IF(ISBLANK('Data Entry'!$»$388), "", 'Data Entry'!$»$388)</f>
      </c>
      <c r="DT388">
        <f>IF(ISBLANK('Data Entry'!$¼$388), "", 'Data Entry'!$¼$388)</f>
      </c>
      <c r="DU388">
        <f>IF(ISBLANK('Data Entry'!$½$388), "", 'Data Entry'!$½$388)</f>
      </c>
      <c r="DV388">
        <f>IF(ISBLANK('Data Entry'!$¾$388), "", 'Data Entry'!$¾$388)</f>
      </c>
      <c r="DW388">
        <f>IF(ISBLANK('Data Entry'!$¿$388), "", 'Data Entry'!$¿$388)</f>
      </c>
      <c r="DX388">
        <f>IF(ISBLANK('Data Entry'!$À$388), "", 'Data Entry'!$À$388)</f>
      </c>
      <c r="DY388">
        <f>IF(ISBLANK('Data Entry'!$Á$388), "", 'Data Entry'!$Á$388)</f>
      </c>
      <c r="DZ388">
        <f>IF(ISBLANK('Data Entry'!$Â$388), "", 'Data Entry'!$Â$388)</f>
      </c>
      <c r="EA388">
        <f>IF(ISBLANK('Data Entry'!$Ã$388), "", 'Data Entry'!$Ã$388)</f>
      </c>
      <c r="EB388">
        <f>IF(ISBLANK('Data Entry'!$Ä$388), "", 'Data Entry'!$Ä$388)</f>
      </c>
      <c r="EC388">
        <f>IF(ISBLANK('Data Entry'!$Å$388), "", 'Data Entry'!$Å$388)</f>
      </c>
      <c r="ED388">
        <f>IF(ISBLANK('Data Entry'!$Æ$388), "", 'Data Entry'!$Æ$388)</f>
      </c>
      <c r="EE388">
        <f>IF(ISBLANK('Data Entry'!$Ç$388), "", 'Data Entry'!$Ç$388)</f>
      </c>
      <c r="EF388">
        <f>IF(ISBLANK('Data Entry'!$È$388), "", 'Data Entry'!$È$388)</f>
      </c>
      <c r="EG388">
        <f>IF(ISBLANK('Data Entry'!$É$388), "", 'Data Entry'!$É$388)</f>
      </c>
      <c r="EH388">
        <f>IF(ISBLANK('Data Entry'!$Ê$388), "", 'Data Entry'!$Ê$388)</f>
      </c>
      <c r="EI388">
        <f>IF(ISBLANK('Data Entry'!$Ë$388), "", 'Data Entry'!$Ë$388)</f>
      </c>
      <c r="EJ388">
        <f>IF(ISBLANK('Data Entry'!$Ì$388), "", 'Data Entry'!$Ì$388)</f>
      </c>
      <c r="EK388">
        <f>IF(ISBLANK('Data Entry'!$Í$388), "", 'Data Entry'!$Í$388)</f>
      </c>
      <c r="EL388">
        <f>IF(ISBLANK('Data Entry'!$Î$388), "", 'Data Entry'!$Î$388)</f>
      </c>
      <c r="EM388">
        <f>IF(ISBLANK('Data Entry'!$Ï$388), "", 'Data Entry'!$Ï$388)</f>
      </c>
      <c r="EN388">
        <f>IF(ISBLANK('Data Entry'!$Ð$388), "", 'Data Entry'!$Ð$388)</f>
      </c>
      <c r="EO388">
        <f>IF(ISBLANK('Data Entry'!$Ñ$388), "", 'Data Entry'!$Ñ$388)</f>
      </c>
      <c r="EP388">
        <f>IF(ISBLANK('Data Entry'!$Ò$388), "", 'Data Entry'!$Ò$388)</f>
      </c>
      <c r="EQ388">
        <f>IF(ISBLANK('Data Entry'!$Ó$388), "", 'Data Entry'!$Ó$388)</f>
      </c>
      <c r="ER388">
        <f>IF(ISBLANK('Data Entry'!$Ô$388), "", 'Data Entry'!$Ô$388)</f>
      </c>
      <c r="ES388">
        <f>IF(ISBLANK('Data Entry'!$Õ$388), "", 'Data Entry'!$Õ$388)</f>
      </c>
      <c r="ET388">
        <f>IF(ISBLANK('Data Entry'!$Ö$388), "", 'Data Entry'!$Ö$388)</f>
      </c>
      <c r="EU388">
        <f>IF(ISBLANK('Data Entry'!$×$388), "", 'Data Entry'!$×$388)</f>
      </c>
      <c r="EV388">
        <f>IF(ISBLANK('Data Entry'!$Ø$388), "", 'Data Entry'!$Ø$388)</f>
      </c>
      <c r="EW388">
        <f>IF(ISBLANK('Data Entry'!$Ù$388), "", 'Data Entry'!$Ù$388)</f>
      </c>
      <c r="EX388">
        <f>IF(ISBLANK('Data Entry'!$Ú$388), "", 'Data Entry'!$Ú$388)</f>
      </c>
      <c r="EY388">
        <f>IF(ISBLANK('Data Entry'!$Û$388), "", 'Data Entry'!$Û$388)</f>
      </c>
      <c r="EZ388">
        <f>IF(ISBLANK('Data Entry'!$Ü$388), "", 'Data Entry'!$Ü$388)</f>
      </c>
      <c r="FA388">
        <f>IF(ISBLANK('Data Entry'!$Ý$388), "", 'Data Entry'!$Ý$388)</f>
      </c>
      <c r="FB388">
        <f>IF(ISBLANK('Data Entry'!$Þ$388), "", 'Data Entry'!$Þ$388)</f>
      </c>
      <c r="FC388">
        <f>IF(ISBLANK('Data Entry'!$ß$388), "", 'Data Entry'!$ß$388)</f>
      </c>
      <c r="FD388">
        <f>IF(ISBLANK('Data Entry'!$à$388), "", 'Data Entry'!$à$388)</f>
      </c>
      <c r="FE388">
        <f>IF(ISBLANK('Data Entry'!$á$388), "", 'Data Entry'!$á$388)</f>
      </c>
      <c r="FF388">
        <f>IF(ISBLANK('Data Entry'!$â$388), "", 'Data Entry'!$â$388)</f>
      </c>
      <c r="FG388">
        <f>IF(ISBLANK('Data Entry'!$ã$388), "", 'Data Entry'!$ã$388)</f>
      </c>
      <c r="FH388">
        <f>IF(ISBLANK('Data Entry'!$ä$388), "", 'Data Entry'!$ä$388)</f>
      </c>
      <c r="FI388">
        <f>IF(ISBLANK('Data Entry'!$å$388), "", 'Data Entry'!$å$388)</f>
      </c>
      <c r="FJ388">
        <f>IF(ISBLANK('Data Entry'!$æ$388), "", 'Data Entry'!$æ$388)</f>
      </c>
      <c r="FK388">
        <f>IF(ISBLANK('Data Entry'!$ç$388), "", 'Data Entry'!$ç$388)</f>
      </c>
      <c r="FL388">
        <f>IF(ISBLANK('Data Entry'!$è$388), "", 'Data Entry'!$è$388)</f>
      </c>
      <c r="FM388">
        <f>IF(ISBLANK('Data Entry'!$é$388), "", 'Data Entry'!$é$388)</f>
      </c>
      <c r="FN388">
        <f>IF(ISBLANK('Data Entry'!$ê$388), "", 'Data Entry'!$ê$388)</f>
      </c>
      <c r="FO388">
        <f>IF(ISBLANK('Data Entry'!$ë$388), "", 'Data Entry'!$ë$388)</f>
      </c>
      <c r="FP388">
        <f>IF(ISBLANK('Data Entry'!$ì$388), "", 'Data Entry'!$ì$388)</f>
      </c>
      <c r="FQ388">
        <f>IF(ISBLANK('Data Entry'!$í$388), "", 'Data Entry'!$í$388)</f>
      </c>
      <c r="FR388">
        <f>IF(ISBLANK('Data Entry'!$î$388), "", 'Data Entry'!$î$388)</f>
      </c>
      <c r="FS388">
        <f>IF(ISBLANK('Data Entry'!$ï$388), "", 'Data Entry'!$ï$388)</f>
      </c>
      <c r="FT388">
        <f>IF(ISBLANK('Data Entry'!$ð$388), "", 'Data Entry'!$ð$388)</f>
      </c>
      <c r="FU388">
        <f>IF(ISBLANK('Data Entry'!$ñ$388), "", 'Data Entry'!$ñ$388)</f>
      </c>
      <c r="FV388">
        <f>IF(ISBLANK('Data Entry'!$ò$388), "", 'Data Entry'!$ò$388)</f>
      </c>
      <c r="FW388">
        <f>IF(ISBLANK('Data Entry'!$ó$388), "", 'Data Entry'!$ó$388)</f>
      </c>
      <c r="FX388">
        <f>IF(ISBLANK('Data Entry'!$ô$388), "", 'Data Entry'!$ô$388)</f>
      </c>
      <c r="FY388">
        <f>IF(ISBLANK('Data Entry'!$õ$388), "", 'Data Entry'!$õ$388)</f>
      </c>
      <c r="FZ388">
        <f>IF(ISBLANK('Data Entry'!$ö$388), "", 'Data Entry'!$ö$388)</f>
      </c>
      <c r="GA388">
        <f>IF(ISBLANK('Data Entry'!$÷$388), "", 'Data Entry'!$÷$388)</f>
      </c>
      <c r="GB388">
        <f>IF(ISBLANK('Data Entry'!$ø$388), "", 'Data Entry'!$ø$388)</f>
      </c>
      <c r="GC388">
        <f>IF(ISBLANK('Data Entry'!$ù$388), "", 'Data Entry'!$ù$388)</f>
      </c>
      <c r="GD388">
        <f>IF(ISBLANK('Data Entry'!$ú$388), "", 'Data Entry'!$ú$388)</f>
      </c>
      <c r="GE388">
        <f>IF(ISBLANK('Data Entry'!$û$388), "", 'Data Entry'!$û$388)</f>
      </c>
      <c r="GF388">
        <f>IF(ISBLANK('Data Entry'!$ü$388), "", 'Data Entry'!$ü$388)</f>
      </c>
      <c r="GG388">
        <f>IF(ISBLANK('Data Entry'!$ý$388), "", 'Data Entry'!$ý$388)</f>
      </c>
      <c r="GH388">
        <f>IF(ISBLANK('Data Entry'!$þ$388), "", 'Data Entry'!$þ$388)</f>
      </c>
      <c r="GI388">
        <f>IF(ISBLANK('Data Entry'!$ÿ$388), "", 'Data Entry'!$ÿ$388)</f>
      </c>
      <c r="GJ388">
        <f>IF(ISBLANK('Data Entry'!$Ā$388), "", 'Data Entry'!$Ā$388)</f>
      </c>
      <c r="GK388">
        <f>IF(ISBLANK('Data Entry'!$ā$388), "", 'Data Entry'!$ā$388)</f>
      </c>
      <c r="GL388">
        <f>IF(ISBLANK('Data Entry'!$Ă$388), "", 'Data Entry'!$Ă$388)</f>
      </c>
      <c r="GM388">
        <f>IF(ISBLANK('Data Entry'!$ă$388), "", 'Data Entry'!$ă$388)</f>
      </c>
      <c r="GN388">
        <f>IF(ISBLANK('Data Entry'!$Ą$388), "", 'Data Entry'!$Ą$388)</f>
      </c>
      <c r="GO388">
        <f>IF(ISBLANK('Data Entry'!$ą$388), "", 'Data Entry'!$ą$388)</f>
      </c>
      <c r="GP388">
        <f>IF(ISBLANK('Data Entry'!$Ć$388), "", 'Data Entry'!$Ć$388)</f>
      </c>
      <c r="GQ388">
        <f>IF(ISBLANK('Data Entry'!$ć$388), "", 'Data Entry'!$ć$388)</f>
      </c>
      <c r="GR388">
        <f>IF(ISBLANK('Data Entry'!$Ĉ$388), "", 'Data Entry'!$Ĉ$388)</f>
      </c>
      <c r="GS388">
        <f>IF(ISBLANK('Data Entry'!$ĉ$388), "", 'Data Entry'!$ĉ$388)</f>
      </c>
      <c r="GT388">
        <f>IF(ISBLANK('Data Entry'!$Ċ$388), "", 'Data Entry'!$Ċ$388)</f>
      </c>
      <c r="GU388">
        <f>IF(ISBLANK('Data Entry'!$ċ$388), "", 'Data Entry'!$ċ$388)</f>
      </c>
      <c r="GV388">
        <f>IF(ISBLANK('Data Entry'!$Č$388), "", 'Data Entry'!$Č$388)</f>
      </c>
      <c r="GW388">
        <f>IF(ISBLANK('Data Entry'!$č$388), "", 'Data Entry'!$č$388)</f>
      </c>
      <c r="GX388">
        <f>IF(ISBLANK('Data Entry'!$Ď$388), "", 'Data Entry'!$Ď$388)</f>
      </c>
      <c r="GY388">
        <f>IF(ISBLANK('Data Entry'!$ď$388), "", 'Data Entry'!$ď$388)</f>
      </c>
      <c r="GZ388">
        <f>IF(ISBLANK('Data Entry'!$Đ$388), "", 'Data Entry'!$Đ$388)</f>
      </c>
      <c r="HA388">
        <f>IF(ISBLANK('Data Entry'!$đ$388), "", 'Data Entry'!$đ$388)</f>
      </c>
      <c r="HB388">
        <f>IF(ISBLANK('Data Entry'!$Ē$388), "", 'Data Entry'!$Ē$388)</f>
      </c>
      <c r="HC388">
        <f>IF(ISBLANK('Data Entry'!$ē$388), "", 'Data Entry'!$ē$388)</f>
      </c>
      <c r="HD388">
        <f>IF(ISBLANK('Data Entry'!$Ĕ$388), "", 'Data Entry'!$Ĕ$388)</f>
      </c>
      <c r="HE388">
        <f>IF(ISBLANK('Data Entry'!$ĕ$388), "", 'Data Entry'!$ĕ$388)</f>
      </c>
      <c r="HF388">
        <f>IF(ISBLANK('Data Entry'!$Ė$388), "", 'Data Entry'!$Ė$388)</f>
      </c>
      <c r="HG388">
        <f>IF(ISBLANK('Data Entry'!$ė$388), "", 'Data Entry'!$ė$388)</f>
      </c>
      <c r="HH388">
        <f>IF(ISBLANK('Data Entry'!$Ę$388), "", 'Data Entry'!$Ę$388)</f>
      </c>
      <c r="HI388">
        <f>IF(ISBLANK('Data Entry'!$ę$388), "", 'Data Entry'!$ę$388)</f>
      </c>
      <c r="HJ388">
        <f>IF(ISBLANK('Data Entry'!$Ě$388), "", 'Data Entry'!$Ě$388)</f>
      </c>
      <c r="HK388">
        <f>IF(ISBLANK('Data Entry'!$ě$388), "", 'Data Entry'!$ě$388)</f>
      </c>
      <c r="HL388">
        <f>IF(ISBLANK('Data Entry'!$Ĝ$388), "", 'Data Entry'!$Ĝ$388)</f>
      </c>
      <c r="HM388">
        <f>IF(ISBLANK('Data Entry'!$ĝ$388), "", 'Data Entry'!$ĝ$388)</f>
      </c>
      <c r="HN388">
        <f>IF(ISBLANK('Data Entry'!$Ğ$388), "", 'Data Entry'!$Ğ$388)</f>
      </c>
      <c r="HO388">
        <f>IF(ISBLANK('Data Entry'!$ğ$388), "", 'Data Entry'!$ğ$388)</f>
      </c>
      <c r="HP388">
        <f>IF(ISBLANK('Data Entry'!$Ġ$388), "", 'Data Entry'!$Ġ$388)</f>
      </c>
      <c r="HQ388">
        <f>IF(ISBLANK('Data Entry'!$ġ$388), "", 'Data Entry'!$ġ$388)</f>
      </c>
      <c r="HR388">
        <f>IF(ISBLANK('Data Entry'!$Ģ$388), "", 'Data Entry'!$Ģ$388)</f>
      </c>
      <c r="HS388">
        <f>IF(ISBLANK('Data Entry'!$ģ$388), "", 'Data Entry'!$ģ$388)</f>
      </c>
      <c r="HT388">
        <f>IF(ISBLANK('Data Entry'!$Ĥ$388), "", 'Data Entry'!$Ĥ$388)</f>
      </c>
      <c r="HU388">
        <f>IF(ISBLANK('Data Entry'!$ĥ$388), "", 'Data Entry'!$ĥ$388)</f>
      </c>
      <c r="HV388">
        <f>IF(ISBLANK('Data Entry'!$Ħ$388), "", 'Data Entry'!$Ħ$388)</f>
      </c>
      <c r="HW388">
        <f>IF(ISBLANK('Data Entry'!$ħ$388), "", 'Data Entry'!$ħ$388)</f>
      </c>
      <c r="HX388">
        <f>IF(ISBLANK('Data Entry'!$Ĩ$388), "", 'Data Entry'!$Ĩ$388)</f>
      </c>
      <c r="HY388">
        <f>IF(ISBLANK('Data Entry'!$ĩ$388), "", 'Data Entry'!$ĩ$388)</f>
      </c>
      <c r="HZ388">
        <f>IF(ISBLANK('Data Entry'!$Ī$388), "", 'Data Entry'!$Ī$388)</f>
      </c>
      <c r="IA388">
        <f>IF(ISBLANK('Data Entry'!$ī$388), "", 'Data Entry'!$ī$388)</f>
      </c>
      <c r="IB388">
        <f>IF(ISBLANK('Data Entry'!$Ĭ$388), "", 'Data Entry'!$Ĭ$388)</f>
      </c>
      <c r="IC388">
        <f>IF(ISBLANK('Data Entry'!$ĭ$388), "", 'Data Entry'!$ĭ$388)</f>
      </c>
      <c r="ID388">
        <f>IF(ISBLANK('Data Entry'!$Į$388), "", 'Data Entry'!$Į$388)</f>
      </c>
      <c r="IE388">
        <f>IF(ISBLANK('Data Entry'!$į$388), "", 'Data Entry'!$į$388)</f>
      </c>
      <c r="IF388">
        <f>IF(ISBLANK('Data Entry'!$İ$388), "", 'Data Entry'!$İ$388)</f>
      </c>
      <c r="IG388">
        <f>IF(ISBLANK('Data Entry'!$ı$388), "", 'Data Entry'!$ı$388)</f>
      </c>
      <c r="IH388">
        <f>IF(ISBLANK('Data Entry'!$Ĳ$388), "", 'Data Entry'!$Ĳ$388)</f>
      </c>
      <c r="II388">
        <f>IF(ISBLANK('Data Entry'!$ĳ$388), "", 'Data Entry'!$ĳ$388)</f>
      </c>
      <c r="IJ388">
        <f>IF(ISBLANK('Data Entry'!$Ĵ$388), "", 'Data Entry'!$Ĵ$388)</f>
      </c>
      <c r="IK388">
        <f>IF(ISBLANK('Data Entry'!$ĵ$388), "", 'Data Entry'!$ĵ$388)</f>
      </c>
      <c r="IL388">
        <f>IF(ISBLANK('Data Entry'!$Ķ$388), "", 'Data Entry'!$Ķ$388)</f>
      </c>
      <c r="IM388">
        <f>IF(ISBLANK('Data Entry'!$ķ$388), "", 'Data Entry'!$ķ$388)</f>
      </c>
      <c r="IN388">
        <f>IF(ISBLANK('Data Entry'!$ĸ$388), "", 'Data Entry'!$ĸ$388)</f>
      </c>
      <c r="IO388">
        <f>IF(ISBLANK('Data Entry'!$Ĺ$388), "", 'Data Entry'!$Ĺ$388)</f>
      </c>
      <c r="IP388">
        <f>IF(ISBLANK('Data Entry'!$ĺ$388), "", 'Data Entry'!$ĺ$388)</f>
      </c>
      <c r="IQ388">
        <f>IF(ISBLANK('Data Entry'!$Ļ$388), "", 'Data Entry'!$Ļ$388)</f>
      </c>
      <c r="IR388">
        <f>IF(ISBLANK('Data Entry'!$ļ$388), "", 'Data Entry'!$ļ$388)</f>
      </c>
      <c r="IS388">
        <f>IF(ISBLANK('Data Entry'!$Ľ$388), "", 'Data Entry'!$Ľ$388)</f>
      </c>
      <c r="IT388">
        <f>IF(ISBLANK('Data Entry'!$ľ$388), "", 'Data Entry'!$ľ$388)</f>
      </c>
    </row>
    <row r="389" spans="1:254" x14ac:dyDescent="0.25">
      <c r="A389">
        <f>IF(ISBLANK('Data Entry'!$A$389), "", 'Data Entry'!$A$389)</f>
      </c>
      <c r="B389">
        <f>IF(ISBLANK('Data Entry'!$B$389), "", 'Data Entry'!$B$389)</f>
      </c>
      <c r="C389">
        <f>IF(ISBLANK('Data Entry'!$C$389), "", 'Data Entry'!$C$389)</f>
      </c>
      <c r="D389">
        <f>IF(ISBLANK('Data Entry'!$D$389), "", 'Data Entry'!$D$389)</f>
      </c>
      <c r="E389">
        <f>IF(ISBLANK('Data Entry'!$E$389), "", 'Data Entry'!$E$389)</f>
      </c>
      <c r="F389">
        <f>IF(ISBLANK('Data Entry'!$F$389), "", 'Data Entry'!$F$389)</f>
      </c>
      <c r="G389">
        <f>IF(ISBLANK('Data Entry'!$G$389), "", 'Data Entry'!$G$389)</f>
      </c>
      <c r="H389">
        <f>IF(ISBLANK('Data Entry'!$H$389), "", 'Data Entry'!$H$389)</f>
      </c>
      <c r="I389">
        <f>IF(ISBLANK('Data Entry'!$I$389), "", 'Data Entry'!$I$389)</f>
      </c>
      <c r="J389">
        <f>IF(ISBLANK('Data Entry'!$J$389), "", 'Data Entry'!$J$389)</f>
      </c>
      <c r="K389">
        <f>IF(ISBLANK('Data Entry'!$K$389), "", 'Data Entry'!$K$389)</f>
      </c>
      <c r="L389">
        <f>IF(ISBLANK('Data Entry'!$L$389), "", 'Data Entry'!$L$389)</f>
      </c>
      <c r="M389">
        <f>IF(ISBLANK('Data Entry'!$M$389), "", 'Data Entry'!$M$389)</f>
      </c>
      <c r="N389">
        <f>IF(ISBLANK('Data Entry'!$N$389), "", 'Data Entry'!$N$389)</f>
      </c>
      <c r="O389">
        <f>IF(ISBLANK('Data Entry'!$O$389), "", 'Data Entry'!$O$389)</f>
      </c>
      <c r="P389">
        <f>IF(ISBLANK('Data Entry'!$P$389), "", 'Data Entry'!$P$389)</f>
      </c>
      <c r="Q389">
        <f>IF(ISBLANK('Data Entry'!$Q$389), "", 'Data Entry'!$Q$389)</f>
      </c>
      <c r="R389">
        <f>IF(ISBLANK('Data Entry'!$R$389), "", 'Data Entry'!$R$389)</f>
      </c>
      <c r="S389">
        <f>IF(ISBLANK('Data Entry'!$S$389), "", 'Data Entry'!$S$389)</f>
      </c>
      <c r="T389">
        <f>IF(ISBLANK('Data Entry'!$T$389), "", 'Data Entry'!$T$389)</f>
      </c>
      <c r="U389">
        <f>IF(ISBLANK('Data Entry'!$U$389), "", 'Data Entry'!$U$389)</f>
      </c>
      <c r="V389">
        <f>IF(ISBLANK('Data Entry'!$V$389), "", 'Data Entry'!$V$389)</f>
      </c>
      <c r="W389">
        <f>IF(ISBLANK('Data Entry'!$W$389), "", 'Data Entry'!$W$389)</f>
      </c>
      <c r="X389">
        <f>IF(ISBLANK('Data Entry'!$X$389), "", 'Data Entry'!$X$389)</f>
      </c>
      <c r="Y389">
        <f>IF(ISBLANK('Data Entry'!$Y$389), "", 'Data Entry'!$Y$389)</f>
      </c>
      <c r="Z389">
        <f>IF(ISBLANK('Data Entry'!$Z$389), "", 'Data Entry'!$Z$389)</f>
      </c>
      <c r="AA389">
        <f>IF(ISBLANK('Data Entry'!$[$389), "", 'Data Entry'!$[$389)</f>
      </c>
      <c r="AB389">
        <f>IF(ISBLANK('Data Entry'!$\$389), "", 'Data Entry'!$\$389)</f>
      </c>
      <c r="AC389">
        <f>IF(ISBLANK('Data Entry'!$]$389), "", 'Data Entry'!$]$389)</f>
      </c>
      <c r="AD389">
        <f>IF(ISBLANK('Data Entry'!$^$389), "", 'Data Entry'!$^$389)</f>
      </c>
      <c r="AE389">
        <f>IF(ISBLANK('Data Entry'!$_$389), "", 'Data Entry'!$_$389)</f>
      </c>
      <c r="AF389">
        <f>IF(ISBLANK('Data Entry'!$`$389), "", 'Data Entry'!$`$389)</f>
      </c>
      <c r="AG389">
        <f>IF(ISBLANK('Data Entry'!$a$389), "", 'Data Entry'!$a$389)</f>
      </c>
      <c r="AH389">
        <f>IF(ISBLANK('Data Entry'!$b$389), "", 'Data Entry'!$b$389)</f>
      </c>
      <c r="AI389">
        <f>IF(ISBLANK('Data Entry'!$c$389), "", 'Data Entry'!$c$389)</f>
      </c>
      <c r="AJ389">
        <f>IF(ISBLANK('Data Entry'!$d$389), "", 'Data Entry'!$d$389)</f>
      </c>
      <c r="AK389">
        <f>IF(ISBLANK('Data Entry'!$e$389), "", 'Data Entry'!$e$389)</f>
      </c>
      <c r="AL389">
        <f>IF(ISBLANK('Data Entry'!$f$389), "", 'Data Entry'!$f$389)</f>
      </c>
      <c r="AM389">
        <f>IF(ISBLANK('Data Entry'!$g$389), "", 'Data Entry'!$g$389)</f>
      </c>
      <c r="AN389">
        <f>IF(ISBLANK('Data Entry'!$h$389), "", 'Data Entry'!$h$389)</f>
      </c>
      <c r="AO389">
        <f>IF(ISBLANK('Data Entry'!$i$389), "", 'Data Entry'!$i$389)</f>
      </c>
      <c r="AP389">
        <f>IF(ISBLANK('Data Entry'!$j$389), "", 'Data Entry'!$j$389)</f>
      </c>
      <c r="AQ389">
        <f>IF(ISBLANK('Data Entry'!$k$389), "", 'Data Entry'!$k$389)</f>
      </c>
      <c r="AR389">
        <f>IF(ISBLANK('Data Entry'!$l$389), "", 'Data Entry'!$l$389)</f>
      </c>
      <c r="AS389">
        <f>IF(ISBLANK('Data Entry'!$m$389), "", 'Data Entry'!$m$389)</f>
      </c>
      <c r="AT389">
        <f>IF(ISBLANK('Data Entry'!$n$389), "", 'Data Entry'!$n$389)</f>
      </c>
      <c r="AU389">
        <f>IF(ISBLANK('Data Entry'!$o$389), "", 'Data Entry'!$o$389)</f>
      </c>
      <c r="AV389">
        <f>IF(ISBLANK('Data Entry'!$p$389), "", 'Data Entry'!$p$389)</f>
      </c>
      <c r="AW389">
        <f>IF(ISBLANK('Data Entry'!$q$389), "", 'Data Entry'!$q$389)</f>
      </c>
      <c r="AX389">
        <f>IF(ISBLANK('Data Entry'!$r$389), "", 'Data Entry'!$r$389)</f>
      </c>
      <c r="AY389">
        <f>IF(ISBLANK('Data Entry'!$s$389), "", 'Data Entry'!$s$389)</f>
      </c>
      <c r="AZ389">
        <f>IF(ISBLANK('Data Entry'!$t$389), "", 'Data Entry'!$t$389)</f>
      </c>
      <c r="BA389">
        <f>IF(ISBLANK('Data Entry'!$u$389), "", 'Data Entry'!$u$389)</f>
      </c>
      <c r="BB389">
        <f>IF(ISBLANK('Data Entry'!$v$389), "", 'Data Entry'!$v$389)</f>
      </c>
      <c r="BC389">
        <f>IF(ISBLANK('Data Entry'!$w$389), "", 'Data Entry'!$w$389)</f>
      </c>
      <c r="BD389">
        <f>IF(ISBLANK('Data Entry'!$x$389), "", 'Data Entry'!$x$389)</f>
      </c>
      <c r="BE389">
        <f>IF(ISBLANK('Data Entry'!$y$389), "", 'Data Entry'!$y$389)</f>
      </c>
      <c r="BF389">
        <f>IF(ISBLANK('Data Entry'!$z$389), "", 'Data Entry'!$z$389)</f>
      </c>
      <c r="BG389">
        <f>IF(ISBLANK('Data Entry'!${$389), "", 'Data Entry'!${$389)</f>
      </c>
      <c r="BH389">
        <f>IF(ISBLANK('Data Entry'!$|$389), "", 'Data Entry'!$|$389)</f>
      </c>
      <c r="BI389">
        <f>IF(ISBLANK('Data Entry'!$}$389), "", 'Data Entry'!$}$389)</f>
      </c>
      <c r="BJ389">
        <f>IF(ISBLANK('Data Entry'!$~$389), "", 'Data Entry'!$~$389)</f>
      </c>
      <c r="BK389">
        <f>IF(ISBLANK('Data Entry'!$$389), "", 'Data Entry'!$$389)</f>
      </c>
      <c r="BL389">
        <f>IF(ISBLANK('Data Entry'!$$389), "", 'Data Entry'!$$389)</f>
      </c>
      <c r="BM389">
        <f>IF(ISBLANK('Data Entry'!$$389), "", 'Data Entry'!$$389)</f>
      </c>
      <c r="BN389">
        <f>IF(ISBLANK('Data Entry'!$$389), "", 'Data Entry'!$$389)</f>
      </c>
      <c r="BO389">
        <f>IF(ISBLANK('Data Entry'!$$389), "", 'Data Entry'!$$389)</f>
      </c>
      <c r="BP389">
        <f>IF(ISBLANK('Data Entry'!$$389), "", 'Data Entry'!$$389)</f>
      </c>
      <c r="BQ389">
        <f>IF(ISBLANK('Data Entry'!$$389), "", 'Data Entry'!$$389)</f>
      </c>
      <c r="BR389">
        <f>IF(ISBLANK('Data Entry'!$$389), "", 'Data Entry'!$$389)</f>
      </c>
      <c r="BS389">
        <f>IF(ISBLANK('Data Entry'!$$389), "", 'Data Entry'!$$389)</f>
      </c>
      <c r="BT389">
        <f>IF(ISBLANK('Data Entry'!$$389), "", 'Data Entry'!$$389)</f>
      </c>
      <c r="BU389">
        <f>IF(ISBLANK('Data Entry'!$$389), "", 'Data Entry'!$$389)</f>
      </c>
      <c r="BV389">
        <f>IF(ISBLANK('Data Entry'!$$389), "", 'Data Entry'!$$389)</f>
      </c>
      <c r="BW389">
        <f>IF(ISBLANK('Data Entry'!$$389), "", 'Data Entry'!$$389)</f>
      </c>
      <c r="BX389">
        <f>IF(ISBLANK('Data Entry'!$$389), "", 'Data Entry'!$$389)</f>
      </c>
      <c r="BY389">
        <f>IF(ISBLANK('Data Entry'!$$389), "", 'Data Entry'!$$389)</f>
      </c>
      <c r="BZ389">
        <f>IF(ISBLANK('Data Entry'!$$389), "", 'Data Entry'!$$389)</f>
      </c>
      <c r="CA389">
        <f>IF(ISBLANK('Data Entry'!$$389), "", 'Data Entry'!$$389)</f>
      </c>
      <c r="CB389">
        <f>IF(ISBLANK('Data Entry'!$$389), "", 'Data Entry'!$$389)</f>
      </c>
      <c r="CC389">
        <f>IF(ISBLANK('Data Entry'!$$389), "", 'Data Entry'!$$389)</f>
      </c>
      <c r="CD389">
        <f>IF(ISBLANK('Data Entry'!$$389), "", 'Data Entry'!$$389)</f>
      </c>
      <c r="CE389">
        <f>IF(ISBLANK('Data Entry'!$$389), "", 'Data Entry'!$$389)</f>
      </c>
      <c r="CF389">
        <f>IF(ISBLANK('Data Entry'!$$389), "", 'Data Entry'!$$389)</f>
      </c>
      <c r="CG389">
        <f>IF(ISBLANK('Data Entry'!$$389), "", 'Data Entry'!$$389)</f>
      </c>
      <c r="CH389">
        <f>IF(ISBLANK('Data Entry'!$$389), "", 'Data Entry'!$$389)</f>
      </c>
      <c r="CI389">
        <f>IF(ISBLANK('Data Entry'!$$389), "", 'Data Entry'!$$389)</f>
      </c>
      <c r="CJ389">
        <f>IF(ISBLANK('Data Entry'!$$389), "", 'Data Entry'!$$389)</f>
      </c>
      <c r="CK389">
        <f>IF(ISBLANK('Data Entry'!$$389), "", 'Data Entry'!$$389)</f>
      </c>
      <c r="CL389">
        <f>IF(ISBLANK('Data Entry'!$$389), "", 'Data Entry'!$$389)</f>
      </c>
      <c r="CM389">
        <f>IF(ISBLANK('Data Entry'!$$389), "", 'Data Entry'!$$389)</f>
      </c>
      <c r="CN389">
        <f>IF(ISBLANK('Data Entry'!$$389), "", 'Data Entry'!$$389)</f>
      </c>
      <c r="CO389">
        <f>IF(ISBLANK('Data Entry'!$$389), "", 'Data Entry'!$$389)</f>
      </c>
      <c r="CP389">
        <f>IF(ISBLANK('Data Entry'!$$389), "", 'Data Entry'!$$389)</f>
      </c>
      <c r="CQ389">
        <f>IF(ISBLANK('Data Entry'!$$389), "", 'Data Entry'!$$389)</f>
      </c>
      <c r="CR389">
        <f>IF(ISBLANK('Data Entry'!$ $389), "", 'Data Entry'!$ $389)</f>
      </c>
      <c r="CS389">
        <f>IF(ISBLANK('Data Entry'!$¡$389), "", 'Data Entry'!$¡$389)</f>
      </c>
      <c r="CT389">
        <f>IF(ISBLANK('Data Entry'!$¢$389), "", 'Data Entry'!$¢$389)</f>
      </c>
      <c r="CU389">
        <f>IF(ISBLANK('Data Entry'!$£$389), "", 'Data Entry'!$£$389)</f>
      </c>
      <c r="CV389">
        <f>IF(ISBLANK('Data Entry'!$¤$389), "", 'Data Entry'!$¤$389)</f>
      </c>
      <c r="CW389">
        <f>IF(ISBLANK('Data Entry'!$¥$389), "", 'Data Entry'!$¥$389)</f>
      </c>
      <c r="CX389">
        <f>IF(ISBLANK('Data Entry'!$¦$389), "", 'Data Entry'!$¦$389)</f>
      </c>
      <c r="CY389">
        <f>IF(ISBLANK('Data Entry'!$§$389), "", 'Data Entry'!$§$389)</f>
      </c>
      <c r="CZ389">
        <f>IF(ISBLANK('Data Entry'!$¨$389), "", 'Data Entry'!$¨$389)</f>
      </c>
      <c r="DA389">
        <f>IF(ISBLANK('Data Entry'!$©$389), "", 'Data Entry'!$©$389)</f>
      </c>
      <c r="DB389">
        <f>IF(ISBLANK('Data Entry'!$ª$389), "", 'Data Entry'!$ª$389)</f>
      </c>
      <c r="DC389">
        <f>IF(ISBLANK('Data Entry'!$«$389), "", 'Data Entry'!$«$389)</f>
      </c>
      <c r="DD389">
        <f>IF(ISBLANK('Data Entry'!$¬$389), "", 'Data Entry'!$¬$389)</f>
      </c>
      <c r="DE389">
        <f>IF(ISBLANK('Data Entry'!$­$389), "", 'Data Entry'!$­$389)</f>
      </c>
      <c r="DF389">
        <f>IF(ISBLANK('Data Entry'!$®$389), "", 'Data Entry'!$®$389)</f>
      </c>
      <c r="DG389">
        <f>IF(ISBLANK('Data Entry'!$¯$389), "", 'Data Entry'!$¯$389)</f>
      </c>
      <c r="DH389">
        <f>IF(ISBLANK('Data Entry'!$°$389), "", 'Data Entry'!$°$389)</f>
      </c>
      <c r="DI389">
        <f>IF(ISBLANK('Data Entry'!$±$389), "", 'Data Entry'!$±$389)</f>
      </c>
      <c r="DJ389">
        <f>IF(ISBLANK('Data Entry'!$²$389), "", 'Data Entry'!$²$389)</f>
      </c>
      <c r="DK389">
        <f>IF(ISBLANK('Data Entry'!$³$389), "", 'Data Entry'!$³$389)</f>
      </c>
      <c r="DL389">
        <f>IF(ISBLANK('Data Entry'!$´$389), "", 'Data Entry'!$´$389)</f>
      </c>
      <c r="DM389">
        <f>IF(ISBLANK('Data Entry'!$µ$389), "", 'Data Entry'!$µ$389)</f>
      </c>
      <c r="DN389">
        <f>IF(ISBLANK('Data Entry'!$¶$389), "", 'Data Entry'!$¶$389)</f>
      </c>
      <c r="DO389">
        <f>IF(ISBLANK('Data Entry'!$·$389), "", 'Data Entry'!$·$389)</f>
      </c>
      <c r="DP389">
        <f>IF(ISBLANK('Data Entry'!$¸$389), "", 'Data Entry'!$¸$389)</f>
      </c>
      <c r="DQ389">
        <f>IF(ISBLANK('Data Entry'!$¹$389), "", 'Data Entry'!$¹$389)</f>
      </c>
      <c r="DR389">
        <f>IF(ISBLANK('Data Entry'!$º$389), "", 'Data Entry'!$º$389)</f>
      </c>
      <c r="DS389">
        <f>IF(ISBLANK('Data Entry'!$»$389), "", 'Data Entry'!$»$389)</f>
      </c>
      <c r="DT389">
        <f>IF(ISBLANK('Data Entry'!$¼$389), "", 'Data Entry'!$¼$389)</f>
      </c>
      <c r="DU389">
        <f>IF(ISBLANK('Data Entry'!$½$389), "", 'Data Entry'!$½$389)</f>
      </c>
      <c r="DV389">
        <f>IF(ISBLANK('Data Entry'!$¾$389), "", 'Data Entry'!$¾$389)</f>
      </c>
      <c r="DW389">
        <f>IF(ISBLANK('Data Entry'!$¿$389), "", 'Data Entry'!$¿$389)</f>
      </c>
      <c r="DX389">
        <f>IF(ISBLANK('Data Entry'!$À$389), "", 'Data Entry'!$À$389)</f>
      </c>
      <c r="DY389">
        <f>IF(ISBLANK('Data Entry'!$Á$389), "", 'Data Entry'!$Á$389)</f>
      </c>
      <c r="DZ389">
        <f>IF(ISBLANK('Data Entry'!$Â$389), "", 'Data Entry'!$Â$389)</f>
      </c>
      <c r="EA389">
        <f>IF(ISBLANK('Data Entry'!$Ã$389), "", 'Data Entry'!$Ã$389)</f>
      </c>
      <c r="EB389">
        <f>IF(ISBLANK('Data Entry'!$Ä$389), "", 'Data Entry'!$Ä$389)</f>
      </c>
      <c r="EC389">
        <f>IF(ISBLANK('Data Entry'!$Å$389), "", 'Data Entry'!$Å$389)</f>
      </c>
      <c r="ED389">
        <f>IF(ISBLANK('Data Entry'!$Æ$389), "", 'Data Entry'!$Æ$389)</f>
      </c>
      <c r="EE389">
        <f>IF(ISBLANK('Data Entry'!$Ç$389), "", 'Data Entry'!$Ç$389)</f>
      </c>
      <c r="EF389">
        <f>IF(ISBLANK('Data Entry'!$È$389), "", 'Data Entry'!$È$389)</f>
      </c>
      <c r="EG389">
        <f>IF(ISBLANK('Data Entry'!$É$389), "", 'Data Entry'!$É$389)</f>
      </c>
      <c r="EH389">
        <f>IF(ISBLANK('Data Entry'!$Ê$389), "", 'Data Entry'!$Ê$389)</f>
      </c>
      <c r="EI389">
        <f>IF(ISBLANK('Data Entry'!$Ë$389), "", 'Data Entry'!$Ë$389)</f>
      </c>
      <c r="EJ389">
        <f>IF(ISBLANK('Data Entry'!$Ì$389), "", 'Data Entry'!$Ì$389)</f>
      </c>
      <c r="EK389">
        <f>IF(ISBLANK('Data Entry'!$Í$389), "", 'Data Entry'!$Í$389)</f>
      </c>
      <c r="EL389">
        <f>IF(ISBLANK('Data Entry'!$Î$389), "", 'Data Entry'!$Î$389)</f>
      </c>
      <c r="EM389">
        <f>IF(ISBLANK('Data Entry'!$Ï$389), "", 'Data Entry'!$Ï$389)</f>
      </c>
      <c r="EN389">
        <f>IF(ISBLANK('Data Entry'!$Ð$389), "", 'Data Entry'!$Ð$389)</f>
      </c>
      <c r="EO389">
        <f>IF(ISBLANK('Data Entry'!$Ñ$389), "", 'Data Entry'!$Ñ$389)</f>
      </c>
      <c r="EP389">
        <f>IF(ISBLANK('Data Entry'!$Ò$389), "", 'Data Entry'!$Ò$389)</f>
      </c>
      <c r="EQ389">
        <f>IF(ISBLANK('Data Entry'!$Ó$389), "", 'Data Entry'!$Ó$389)</f>
      </c>
      <c r="ER389">
        <f>IF(ISBLANK('Data Entry'!$Ô$389), "", 'Data Entry'!$Ô$389)</f>
      </c>
      <c r="ES389">
        <f>IF(ISBLANK('Data Entry'!$Õ$389), "", 'Data Entry'!$Õ$389)</f>
      </c>
      <c r="ET389">
        <f>IF(ISBLANK('Data Entry'!$Ö$389), "", 'Data Entry'!$Ö$389)</f>
      </c>
      <c r="EU389">
        <f>IF(ISBLANK('Data Entry'!$×$389), "", 'Data Entry'!$×$389)</f>
      </c>
      <c r="EV389">
        <f>IF(ISBLANK('Data Entry'!$Ø$389), "", 'Data Entry'!$Ø$389)</f>
      </c>
      <c r="EW389">
        <f>IF(ISBLANK('Data Entry'!$Ù$389), "", 'Data Entry'!$Ù$389)</f>
      </c>
      <c r="EX389">
        <f>IF(ISBLANK('Data Entry'!$Ú$389), "", 'Data Entry'!$Ú$389)</f>
      </c>
      <c r="EY389">
        <f>IF(ISBLANK('Data Entry'!$Û$389), "", 'Data Entry'!$Û$389)</f>
      </c>
      <c r="EZ389">
        <f>IF(ISBLANK('Data Entry'!$Ü$389), "", 'Data Entry'!$Ü$389)</f>
      </c>
      <c r="FA389">
        <f>IF(ISBLANK('Data Entry'!$Ý$389), "", 'Data Entry'!$Ý$389)</f>
      </c>
      <c r="FB389">
        <f>IF(ISBLANK('Data Entry'!$Þ$389), "", 'Data Entry'!$Þ$389)</f>
      </c>
      <c r="FC389">
        <f>IF(ISBLANK('Data Entry'!$ß$389), "", 'Data Entry'!$ß$389)</f>
      </c>
      <c r="FD389">
        <f>IF(ISBLANK('Data Entry'!$à$389), "", 'Data Entry'!$à$389)</f>
      </c>
      <c r="FE389">
        <f>IF(ISBLANK('Data Entry'!$á$389), "", 'Data Entry'!$á$389)</f>
      </c>
      <c r="FF389">
        <f>IF(ISBLANK('Data Entry'!$â$389), "", 'Data Entry'!$â$389)</f>
      </c>
      <c r="FG389">
        <f>IF(ISBLANK('Data Entry'!$ã$389), "", 'Data Entry'!$ã$389)</f>
      </c>
      <c r="FH389">
        <f>IF(ISBLANK('Data Entry'!$ä$389), "", 'Data Entry'!$ä$389)</f>
      </c>
      <c r="FI389">
        <f>IF(ISBLANK('Data Entry'!$å$389), "", 'Data Entry'!$å$389)</f>
      </c>
      <c r="FJ389">
        <f>IF(ISBLANK('Data Entry'!$æ$389), "", 'Data Entry'!$æ$389)</f>
      </c>
      <c r="FK389">
        <f>IF(ISBLANK('Data Entry'!$ç$389), "", 'Data Entry'!$ç$389)</f>
      </c>
      <c r="FL389">
        <f>IF(ISBLANK('Data Entry'!$è$389), "", 'Data Entry'!$è$389)</f>
      </c>
      <c r="FM389">
        <f>IF(ISBLANK('Data Entry'!$é$389), "", 'Data Entry'!$é$389)</f>
      </c>
      <c r="FN389">
        <f>IF(ISBLANK('Data Entry'!$ê$389), "", 'Data Entry'!$ê$389)</f>
      </c>
      <c r="FO389">
        <f>IF(ISBLANK('Data Entry'!$ë$389), "", 'Data Entry'!$ë$389)</f>
      </c>
      <c r="FP389">
        <f>IF(ISBLANK('Data Entry'!$ì$389), "", 'Data Entry'!$ì$389)</f>
      </c>
      <c r="FQ389">
        <f>IF(ISBLANK('Data Entry'!$í$389), "", 'Data Entry'!$í$389)</f>
      </c>
      <c r="FR389">
        <f>IF(ISBLANK('Data Entry'!$î$389), "", 'Data Entry'!$î$389)</f>
      </c>
      <c r="FS389">
        <f>IF(ISBLANK('Data Entry'!$ï$389), "", 'Data Entry'!$ï$389)</f>
      </c>
      <c r="FT389">
        <f>IF(ISBLANK('Data Entry'!$ð$389), "", 'Data Entry'!$ð$389)</f>
      </c>
      <c r="FU389">
        <f>IF(ISBLANK('Data Entry'!$ñ$389), "", 'Data Entry'!$ñ$389)</f>
      </c>
      <c r="FV389">
        <f>IF(ISBLANK('Data Entry'!$ò$389), "", 'Data Entry'!$ò$389)</f>
      </c>
      <c r="FW389">
        <f>IF(ISBLANK('Data Entry'!$ó$389), "", 'Data Entry'!$ó$389)</f>
      </c>
      <c r="FX389">
        <f>IF(ISBLANK('Data Entry'!$ô$389), "", 'Data Entry'!$ô$389)</f>
      </c>
      <c r="FY389">
        <f>IF(ISBLANK('Data Entry'!$õ$389), "", 'Data Entry'!$õ$389)</f>
      </c>
      <c r="FZ389">
        <f>IF(ISBLANK('Data Entry'!$ö$389), "", 'Data Entry'!$ö$389)</f>
      </c>
      <c r="GA389">
        <f>IF(ISBLANK('Data Entry'!$÷$389), "", 'Data Entry'!$÷$389)</f>
      </c>
      <c r="GB389">
        <f>IF(ISBLANK('Data Entry'!$ø$389), "", 'Data Entry'!$ø$389)</f>
      </c>
      <c r="GC389">
        <f>IF(ISBLANK('Data Entry'!$ù$389), "", 'Data Entry'!$ù$389)</f>
      </c>
      <c r="GD389">
        <f>IF(ISBLANK('Data Entry'!$ú$389), "", 'Data Entry'!$ú$389)</f>
      </c>
      <c r="GE389">
        <f>IF(ISBLANK('Data Entry'!$û$389), "", 'Data Entry'!$û$389)</f>
      </c>
      <c r="GF389">
        <f>IF(ISBLANK('Data Entry'!$ü$389), "", 'Data Entry'!$ü$389)</f>
      </c>
      <c r="GG389">
        <f>IF(ISBLANK('Data Entry'!$ý$389), "", 'Data Entry'!$ý$389)</f>
      </c>
      <c r="GH389">
        <f>IF(ISBLANK('Data Entry'!$þ$389), "", 'Data Entry'!$þ$389)</f>
      </c>
      <c r="GI389">
        <f>IF(ISBLANK('Data Entry'!$ÿ$389), "", 'Data Entry'!$ÿ$389)</f>
      </c>
      <c r="GJ389">
        <f>IF(ISBLANK('Data Entry'!$Ā$389), "", 'Data Entry'!$Ā$389)</f>
      </c>
      <c r="GK389">
        <f>IF(ISBLANK('Data Entry'!$ā$389), "", 'Data Entry'!$ā$389)</f>
      </c>
      <c r="GL389">
        <f>IF(ISBLANK('Data Entry'!$Ă$389), "", 'Data Entry'!$Ă$389)</f>
      </c>
      <c r="GM389">
        <f>IF(ISBLANK('Data Entry'!$ă$389), "", 'Data Entry'!$ă$389)</f>
      </c>
      <c r="GN389">
        <f>IF(ISBLANK('Data Entry'!$Ą$389), "", 'Data Entry'!$Ą$389)</f>
      </c>
      <c r="GO389">
        <f>IF(ISBLANK('Data Entry'!$ą$389), "", 'Data Entry'!$ą$389)</f>
      </c>
      <c r="GP389">
        <f>IF(ISBLANK('Data Entry'!$Ć$389), "", 'Data Entry'!$Ć$389)</f>
      </c>
      <c r="GQ389">
        <f>IF(ISBLANK('Data Entry'!$ć$389), "", 'Data Entry'!$ć$389)</f>
      </c>
      <c r="GR389">
        <f>IF(ISBLANK('Data Entry'!$Ĉ$389), "", 'Data Entry'!$Ĉ$389)</f>
      </c>
      <c r="GS389">
        <f>IF(ISBLANK('Data Entry'!$ĉ$389), "", 'Data Entry'!$ĉ$389)</f>
      </c>
      <c r="GT389">
        <f>IF(ISBLANK('Data Entry'!$Ċ$389), "", 'Data Entry'!$Ċ$389)</f>
      </c>
      <c r="GU389">
        <f>IF(ISBLANK('Data Entry'!$ċ$389), "", 'Data Entry'!$ċ$389)</f>
      </c>
      <c r="GV389">
        <f>IF(ISBLANK('Data Entry'!$Č$389), "", 'Data Entry'!$Č$389)</f>
      </c>
      <c r="GW389">
        <f>IF(ISBLANK('Data Entry'!$č$389), "", 'Data Entry'!$č$389)</f>
      </c>
      <c r="GX389">
        <f>IF(ISBLANK('Data Entry'!$Ď$389), "", 'Data Entry'!$Ď$389)</f>
      </c>
      <c r="GY389">
        <f>IF(ISBLANK('Data Entry'!$ď$389), "", 'Data Entry'!$ď$389)</f>
      </c>
      <c r="GZ389">
        <f>IF(ISBLANK('Data Entry'!$Đ$389), "", 'Data Entry'!$Đ$389)</f>
      </c>
      <c r="HA389">
        <f>IF(ISBLANK('Data Entry'!$đ$389), "", 'Data Entry'!$đ$389)</f>
      </c>
      <c r="HB389">
        <f>IF(ISBLANK('Data Entry'!$Ē$389), "", 'Data Entry'!$Ē$389)</f>
      </c>
      <c r="HC389">
        <f>IF(ISBLANK('Data Entry'!$ē$389), "", 'Data Entry'!$ē$389)</f>
      </c>
      <c r="HD389">
        <f>IF(ISBLANK('Data Entry'!$Ĕ$389), "", 'Data Entry'!$Ĕ$389)</f>
      </c>
      <c r="HE389">
        <f>IF(ISBLANK('Data Entry'!$ĕ$389), "", 'Data Entry'!$ĕ$389)</f>
      </c>
      <c r="HF389">
        <f>IF(ISBLANK('Data Entry'!$Ė$389), "", 'Data Entry'!$Ė$389)</f>
      </c>
      <c r="HG389">
        <f>IF(ISBLANK('Data Entry'!$ė$389), "", 'Data Entry'!$ė$389)</f>
      </c>
      <c r="HH389">
        <f>IF(ISBLANK('Data Entry'!$Ę$389), "", 'Data Entry'!$Ę$389)</f>
      </c>
      <c r="HI389">
        <f>IF(ISBLANK('Data Entry'!$ę$389), "", 'Data Entry'!$ę$389)</f>
      </c>
      <c r="HJ389">
        <f>IF(ISBLANK('Data Entry'!$Ě$389), "", 'Data Entry'!$Ě$389)</f>
      </c>
      <c r="HK389">
        <f>IF(ISBLANK('Data Entry'!$ě$389), "", 'Data Entry'!$ě$389)</f>
      </c>
      <c r="HL389">
        <f>IF(ISBLANK('Data Entry'!$Ĝ$389), "", 'Data Entry'!$Ĝ$389)</f>
      </c>
      <c r="HM389">
        <f>IF(ISBLANK('Data Entry'!$ĝ$389), "", 'Data Entry'!$ĝ$389)</f>
      </c>
      <c r="HN389">
        <f>IF(ISBLANK('Data Entry'!$Ğ$389), "", 'Data Entry'!$Ğ$389)</f>
      </c>
      <c r="HO389">
        <f>IF(ISBLANK('Data Entry'!$ğ$389), "", 'Data Entry'!$ğ$389)</f>
      </c>
      <c r="HP389">
        <f>IF(ISBLANK('Data Entry'!$Ġ$389), "", 'Data Entry'!$Ġ$389)</f>
      </c>
      <c r="HQ389">
        <f>IF(ISBLANK('Data Entry'!$ġ$389), "", 'Data Entry'!$ġ$389)</f>
      </c>
      <c r="HR389">
        <f>IF(ISBLANK('Data Entry'!$Ģ$389), "", 'Data Entry'!$Ģ$389)</f>
      </c>
      <c r="HS389">
        <f>IF(ISBLANK('Data Entry'!$ģ$389), "", 'Data Entry'!$ģ$389)</f>
      </c>
      <c r="HT389">
        <f>IF(ISBLANK('Data Entry'!$Ĥ$389), "", 'Data Entry'!$Ĥ$389)</f>
      </c>
      <c r="HU389">
        <f>IF(ISBLANK('Data Entry'!$ĥ$389), "", 'Data Entry'!$ĥ$389)</f>
      </c>
      <c r="HV389">
        <f>IF(ISBLANK('Data Entry'!$Ħ$389), "", 'Data Entry'!$Ħ$389)</f>
      </c>
      <c r="HW389">
        <f>IF(ISBLANK('Data Entry'!$ħ$389), "", 'Data Entry'!$ħ$389)</f>
      </c>
      <c r="HX389">
        <f>IF(ISBLANK('Data Entry'!$Ĩ$389), "", 'Data Entry'!$Ĩ$389)</f>
      </c>
      <c r="HY389">
        <f>IF(ISBLANK('Data Entry'!$ĩ$389), "", 'Data Entry'!$ĩ$389)</f>
      </c>
      <c r="HZ389">
        <f>IF(ISBLANK('Data Entry'!$Ī$389), "", 'Data Entry'!$Ī$389)</f>
      </c>
      <c r="IA389">
        <f>IF(ISBLANK('Data Entry'!$ī$389), "", 'Data Entry'!$ī$389)</f>
      </c>
      <c r="IB389">
        <f>IF(ISBLANK('Data Entry'!$Ĭ$389), "", 'Data Entry'!$Ĭ$389)</f>
      </c>
      <c r="IC389">
        <f>IF(ISBLANK('Data Entry'!$ĭ$389), "", 'Data Entry'!$ĭ$389)</f>
      </c>
      <c r="ID389">
        <f>IF(ISBLANK('Data Entry'!$Į$389), "", 'Data Entry'!$Į$389)</f>
      </c>
      <c r="IE389">
        <f>IF(ISBLANK('Data Entry'!$į$389), "", 'Data Entry'!$į$389)</f>
      </c>
      <c r="IF389">
        <f>IF(ISBLANK('Data Entry'!$İ$389), "", 'Data Entry'!$İ$389)</f>
      </c>
      <c r="IG389">
        <f>IF(ISBLANK('Data Entry'!$ı$389), "", 'Data Entry'!$ı$389)</f>
      </c>
      <c r="IH389">
        <f>IF(ISBLANK('Data Entry'!$Ĳ$389), "", 'Data Entry'!$Ĳ$389)</f>
      </c>
      <c r="II389">
        <f>IF(ISBLANK('Data Entry'!$ĳ$389), "", 'Data Entry'!$ĳ$389)</f>
      </c>
      <c r="IJ389">
        <f>IF(ISBLANK('Data Entry'!$Ĵ$389), "", 'Data Entry'!$Ĵ$389)</f>
      </c>
      <c r="IK389">
        <f>IF(ISBLANK('Data Entry'!$ĵ$389), "", 'Data Entry'!$ĵ$389)</f>
      </c>
      <c r="IL389">
        <f>IF(ISBLANK('Data Entry'!$Ķ$389), "", 'Data Entry'!$Ķ$389)</f>
      </c>
      <c r="IM389">
        <f>IF(ISBLANK('Data Entry'!$ķ$389), "", 'Data Entry'!$ķ$389)</f>
      </c>
      <c r="IN389">
        <f>IF(ISBLANK('Data Entry'!$ĸ$389), "", 'Data Entry'!$ĸ$389)</f>
      </c>
      <c r="IO389">
        <f>IF(ISBLANK('Data Entry'!$Ĺ$389), "", 'Data Entry'!$Ĺ$389)</f>
      </c>
      <c r="IP389">
        <f>IF(ISBLANK('Data Entry'!$ĺ$389), "", 'Data Entry'!$ĺ$389)</f>
      </c>
      <c r="IQ389">
        <f>IF(ISBLANK('Data Entry'!$Ļ$389), "", 'Data Entry'!$Ļ$389)</f>
      </c>
      <c r="IR389">
        <f>IF(ISBLANK('Data Entry'!$ļ$389), "", 'Data Entry'!$ļ$389)</f>
      </c>
      <c r="IS389">
        <f>IF(ISBLANK('Data Entry'!$Ľ$389), "", 'Data Entry'!$Ľ$389)</f>
      </c>
      <c r="IT389">
        <f>IF(ISBLANK('Data Entry'!$ľ$389), "", 'Data Entry'!$ľ$389)</f>
      </c>
    </row>
    <row r="390" spans="1:254" x14ac:dyDescent="0.25">
      <c r="A390">
        <f>IF(ISBLANK('Data Entry'!$A$390), "", 'Data Entry'!$A$390)</f>
      </c>
      <c r="B390">
        <f>IF(ISBLANK('Data Entry'!$B$390), "", 'Data Entry'!$B$390)</f>
      </c>
      <c r="C390">
        <f>IF(ISBLANK('Data Entry'!$C$390), "", 'Data Entry'!$C$390)</f>
      </c>
      <c r="D390">
        <f>IF(ISBLANK('Data Entry'!$D$390), "", 'Data Entry'!$D$390)</f>
      </c>
      <c r="E390">
        <f>IF(ISBLANK('Data Entry'!$E$390), "", 'Data Entry'!$E$390)</f>
      </c>
      <c r="F390">
        <f>IF(ISBLANK('Data Entry'!$F$390), "", 'Data Entry'!$F$390)</f>
      </c>
      <c r="G390">
        <f>IF(ISBLANK('Data Entry'!$G$390), "", 'Data Entry'!$G$390)</f>
      </c>
      <c r="H390">
        <f>IF(ISBLANK('Data Entry'!$H$390), "", 'Data Entry'!$H$390)</f>
      </c>
      <c r="I390">
        <f>IF(ISBLANK('Data Entry'!$I$390), "", 'Data Entry'!$I$390)</f>
      </c>
      <c r="J390">
        <f>IF(ISBLANK('Data Entry'!$J$390), "", 'Data Entry'!$J$390)</f>
      </c>
      <c r="K390">
        <f>IF(ISBLANK('Data Entry'!$K$390), "", 'Data Entry'!$K$390)</f>
      </c>
      <c r="L390">
        <f>IF(ISBLANK('Data Entry'!$L$390), "", 'Data Entry'!$L$390)</f>
      </c>
      <c r="M390">
        <f>IF(ISBLANK('Data Entry'!$M$390), "", 'Data Entry'!$M$390)</f>
      </c>
      <c r="N390">
        <f>IF(ISBLANK('Data Entry'!$N$390), "", 'Data Entry'!$N$390)</f>
      </c>
      <c r="O390">
        <f>IF(ISBLANK('Data Entry'!$O$390), "", 'Data Entry'!$O$390)</f>
      </c>
      <c r="P390">
        <f>IF(ISBLANK('Data Entry'!$P$390), "", 'Data Entry'!$P$390)</f>
      </c>
      <c r="Q390">
        <f>IF(ISBLANK('Data Entry'!$Q$390), "", 'Data Entry'!$Q$390)</f>
      </c>
      <c r="R390">
        <f>IF(ISBLANK('Data Entry'!$R$390), "", 'Data Entry'!$R$390)</f>
      </c>
      <c r="S390">
        <f>IF(ISBLANK('Data Entry'!$S$390), "", 'Data Entry'!$S$390)</f>
      </c>
      <c r="T390">
        <f>IF(ISBLANK('Data Entry'!$T$390), "", 'Data Entry'!$T$390)</f>
      </c>
      <c r="U390">
        <f>IF(ISBLANK('Data Entry'!$U$390), "", 'Data Entry'!$U$390)</f>
      </c>
      <c r="V390">
        <f>IF(ISBLANK('Data Entry'!$V$390), "", 'Data Entry'!$V$390)</f>
      </c>
      <c r="W390">
        <f>IF(ISBLANK('Data Entry'!$W$390), "", 'Data Entry'!$W$390)</f>
      </c>
      <c r="X390">
        <f>IF(ISBLANK('Data Entry'!$X$390), "", 'Data Entry'!$X$390)</f>
      </c>
      <c r="Y390">
        <f>IF(ISBLANK('Data Entry'!$Y$390), "", 'Data Entry'!$Y$390)</f>
      </c>
      <c r="Z390">
        <f>IF(ISBLANK('Data Entry'!$Z$390), "", 'Data Entry'!$Z$390)</f>
      </c>
      <c r="AA390">
        <f>IF(ISBLANK('Data Entry'!$[$390), "", 'Data Entry'!$[$390)</f>
      </c>
      <c r="AB390">
        <f>IF(ISBLANK('Data Entry'!$\$390), "", 'Data Entry'!$\$390)</f>
      </c>
      <c r="AC390">
        <f>IF(ISBLANK('Data Entry'!$]$390), "", 'Data Entry'!$]$390)</f>
      </c>
      <c r="AD390">
        <f>IF(ISBLANK('Data Entry'!$^$390), "", 'Data Entry'!$^$390)</f>
      </c>
      <c r="AE390">
        <f>IF(ISBLANK('Data Entry'!$_$390), "", 'Data Entry'!$_$390)</f>
      </c>
      <c r="AF390">
        <f>IF(ISBLANK('Data Entry'!$`$390), "", 'Data Entry'!$`$390)</f>
      </c>
      <c r="AG390">
        <f>IF(ISBLANK('Data Entry'!$a$390), "", 'Data Entry'!$a$390)</f>
      </c>
      <c r="AH390">
        <f>IF(ISBLANK('Data Entry'!$b$390), "", 'Data Entry'!$b$390)</f>
      </c>
      <c r="AI390">
        <f>IF(ISBLANK('Data Entry'!$c$390), "", 'Data Entry'!$c$390)</f>
      </c>
      <c r="AJ390">
        <f>IF(ISBLANK('Data Entry'!$d$390), "", 'Data Entry'!$d$390)</f>
      </c>
      <c r="AK390">
        <f>IF(ISBLANK('Data Entry'!$e$390), "", 'Data Entry'!$e$390)</f>
      </c>
      <c r="AL390">
        <f>IF(ISBLANK('Data Entry'!$f$390), "", 'Data Entry'!$f$390)</f>
      </c>
      <c r="AM390">
        <f>IF(ISBLANK('Data Entry'!$g$390), "", 'Data Entry'!$g$390)</f>
      </c>
      <c r="AN390">
        <f>IF(ISBLANK('Data Entry'!$h$390), "", 'Data Entry'!$h$390)</f>
      </c>
      <c r="AO390">
        <f>IF(ISBLANK('Data Entry'!$i$390), "", 'Data Entry'!$i$390)</f>
      </c>
      <c r="AP390">
        <f>IF(ISBLANK('Data Entry'!$j$390), "", 'Data Entry'!$j$390)</f>
      </c>
      <c r="AQ390">
        <f>IF(ISBLANK('Data Entry'!$k$390), "", 'Data Entry'!$k$390)</f>
      </c>
      <c r="AR390">
        <f>IF(ISBLANK('Data Entry'!$l$390), "", 'Data Entry'!$l$390)</f>
      </c>
      <c r="AS390">
        <f>IF(ISBLANK('Data Entry'!$m$390), "", 'Data Entry'!$m$390)</f>
      </c>
      <c r="AT390">
        <f>IF(ISBLANK('Data Entry'!$n$390), "", 'Data Entry'!$n$390)</f>
      </c>
      <c r="AU390">
        <f>IF(ISBLANK('Data Entry'!$o$390), "", 'Data Entry'!$o$390)</f>
      </c>
      <c r="AV390">
        <f>IF(ISBLANK('Data Entry'!$p$390), "", 'Data Entry'!$p$390)</f>
      </c>
      <c r="AW390">
        <f>IF(ISBLANK('Data Entry'!$q$390), "", 'Data Entry'!$q$390)</f>
      </c>
      <c r="AX390">
        <f>IF(ISBLANK('Data Entry'!$r$390), "", 'Data Entry'!$r$390)</f>
      </c>
      <c r="AY390">
        <f>IF(ISBLANK('Data Entry'!$s$390), "", 'Data Entry'!$s$390)</f>
      </c>
      <c r="AZ390">
        <f>IF(ISBLANK('Data Entry'!$t$390), "", 'Data Entry'!$t$390)</f>
      </c>
      <c r="BA390">
        <f>IF(ISBLANK('Data Entry'!$u$390), "", 'Data Entry'!$u$390)</f>
      </c>
      <c r="BB390">
        <f>IF(ISBLANK('Data Entry'!$v$390), "", 'Data Entry'!$v$390)</f>
      </c>
      <c r="BC390">
        <f>IF(ISBLANK('Data Entry'!$w$390), "", 'Data Entry'!$w$390)</f>
      </c>
      <c r="BD390">
        <f>IF(ISBLANK('Data Entry'!$x$390), "", 'Data Entry'!$x$390)</f>
      </c>
      <c r="BE390">
        <f>IF(ISBLANK('Data Entry'!$y$390), "", 'Data Entry'!$y$390)</f>
      </c>
      <c r="BF390">
        <f>IF(ISBLANK('Data Entry'!$z$390), "", 'Data Entry'!$z$390)</f>
      </c>
      <c r="BG390">
        <f>IF(ISBLANK('Data Entry'!${$390), "", 'Data Entry'!${$390)</f>
      </c>
      <c r="BH390">
        <f>IF(ISBLANK('Data Entry'!$|$390), "", 'Data Entry'!$|$390)</f>
      </c>
      <c r="BI390">
        <f>IF(ISBLANK('Data Entry'!$}$390), "", 'Data Entry'!$}$390)</f>
      </c>
      <c r="BJ390">
        <f>IF(ISBLANK('Data Entry'!$~$390), "", 'Data Entry'!$~$390)</f>
      </c>
      <c r="BK390">
        <f>IF(ISBLANK('Data Entry'!$$390), "", 'Data Entry'!$$390)</f>
      </c>
      <c r="BL390">
        <f>IF(ISBLANK('Data Entry'!$$390), "", 'Data Entry'!$$390)</f>
      </c>
      <c r="BM390">
        <f>IF(ISBLANK('Data Entry'!$$390), "", 'Data Entry'!$$390)</f>
      </c>
      <c r="BN390">
        <f>IF(ISBLANK('Data Entry'!$$390), "", 'Data Entry'!$$390)</f>
      </c>
      <c r="BO390">
        <f>IF(ISBLANK('Data Entry'!$$390), "", 'Data Entry'!$$390)</f>
      </c>
      <c r="BP390">
        <f>IF(ISBLANK('Data Entry'!$$390), "", 'Data Entry'!$$390)</f>
      </c>
      <c r="BQ390">
        <f>IF(ISBLANK('Data Entry'!$$390), "", 'Data Entry'!$$390)</f>
      </c>
      <c r="BR390">
        <f>IF(ISBLANK('Data Entry'!$$390), "", 'Data Entry'!$$390)</f>
      </c>
      <c r="BS390">
        <f>IF(ISBLANK('Data Entry'!$$390), "", 'Data Entry'!$$390)</f>
      </c>
      <c r="BT390">
        <f>IF(ISBLANK('Data Entry'!$$390), "", 'Data Entry'!$$390)</f>
      </c>
      <c r="BU390">
        <f>IF(ISBLANK('Data Entry'!$$390), "", 'Data Entry'!$$390)</f>
      </c>
      <c r="BV390">
        <f>IF(ISBLANK('Data Entry'!$$390), "", 'Data Entry'!$$390)</f>
      </c>
      <c r="BW390">
        <f>IF(ISBLANK('Data Entry'!$$390), "", 'Data Entry'!$$390)</f>
      </c>
      <c r="BX390">
        <f>IF(ISBLANK('Data Entry'!$$390), "", 'Data Entry'!$$390)</f>
      </c>
      <c r="BY390">
        <f>IF(ISBLANK('Data Entry'!$$390), "", 'Data Entry'!$$390)</f>
      </c>
      <c r="BZ390">
        <f>IF(ISBLANK('Data Entry'!$$390), "", 'Data Entry'!$$390)</f>
      </c>
      <c r="CA390">
        <f>IF(ISBLANK('Data Entry'!$$390), "", 'Data Entry'!$$390)</f>
      </c>
      <c r="CB390">
        <f>IF(ISBLANK('Data Entry'!$$390), "", 'Data Entry'!$$390)</f>
      </c>
      <c r="CC390">
        <f>IF(ISBLANK('Data Entry'!$$390), "", 'Data Entry'!$$390)</f>
      </c>
      <c r="CD390">
        <f>IF(ISBLANK('Data Entry'!$$390), "", 'Data Entry'!$$390)</f>
      </c>
      <c r="CE390">
        <f>IF(ISBLANK('Data Entry'!$$390), "", 'Data Entry'!$$390)</f>
      </c>
      <c r="CF390">
        <f>IF(ISBLANK('Data Entry'!$$390), "", 'Data Entry'!$$390)</f>
      </c>
      <c r="CG390">
        <f>IF(ISBLANK('Data Entry'!$$390), "", 'Data Entry'!$$390)</f>
      </c>
      <c r="CH390">
        <f>IF(ISBLANK('Data Entry'!$$390), "", 'Data Entry'!$$390)</f>
      </c>
      <c r="CI390">
        <f>IF(ISBLANK('Data Entry'!$$390), "", 'Data Entry'!$$390)</f>
      </c>
      <c r="CJ390">
        <f>IF(ISBLANK('Data Entry'!$$390), "", 'Data Entry'!$$390)</f>
      </c>
      <c r="CK390">
        <f>IF(ISBLANK('Data Entry'!$$390), "", 'Data Entry'!$$390)</f>
      </c>
      <c r="CL390">
        <f>IF(ISBLANK('Data Entry'!$$390), "", 'Data Entry'!$$390)</f>
      </c>
      <c r="CM390">
        <f>IF(ISBLANK('Data Entry'!$$390), "", 'Data Entry'!$$390)</f>
      </c>
      <c r="CN390">
        <f>IF(ISBLANK('Data Entry'!$$390), "", 'Data Entry'!$$390)</f>
      </c>
      <c r="CO390">
        <f>IF(ISBLANK('Data Entry'!$$390), "", 'Data Entry'!$$390)</f>
      </c>
      <c r="CP390">
        <f>IF(ISBLANK('Data Entry'!$$390), "", 'Data Entry'!$$390)</f>
      </c>
      <c r="CQ390">
        <f>IF(ISBLANK('Data Entry'!$$390), "", 'Data Entry'!$$390)</f>
      </c>
      <c r="CR390">
        <f>IF(ISBLANK('Data Entry'!$ $390), "", 'Data Entry'!$ $390)</f>
      </c>
      <c r="CS390">
        <f>IF(ISBLANK('Data Entry'!$¡$390), "", 'Data Entry'!$¡$390)</f>
      </c>
      <c r="CT390">
        <f>IF(ISBLANK('Data Entry'!$¢$390), "", 'Data Entry'!$¢$390)</f>
      </c>
      <c r="CU390">
        <f>IF(ISBLANK('Data Entry'!$£$390), "", 'Data Entry'!$£$390)</f>
      </c>
      <c r="CV390">
        <f>IF(ISBLANK('Data Entry'!$¤$390), "", 'Data Entry'!$¤$390)</f>
      </c>
      <c r="CW390">
        <f>IF(ISBLANK('Data Entry'!$¥$390), "", 'Data Entry'!$¥$390)</f>
      </c>
      <c r="CX390">
        <f>IF(ISBLANK('Data Entry'!$¦$390), "", 'Data Entry'!$¦$390)</f>
      </c>
      <c r="CY390">
        <f>IF(ISBLANK('Data Entry'!$§$390), "", 'Data Entry'!$§$390)</f>
      </c>
      <c r="CZ390">
        <f>IF(ISBLANK('Data Entry'!$¨$390), "", 'Data Entry'!$¨$390)</f>
      </c>
      <c r="DA390">
        <f>IF(ISBLANK('Data Entry'!$©$390), "", 'Data Entry'!$©$390)</f>
      </c>
      <c r="DB390">
        <f>IF(ISBLANK('Data Entry'!$ª$390), "", 'Data Entry'!$ª$390)</f>
      </c>
      <c r="DC390">
        <f>IF(ISBLANK('Data Entry'!$«$390), "", 'Data Entry'!$«$390)</f>
      </c>
      <c r="DD390">
        <f>IF(ISBLANK('Data Entry'!$¬$390), "", 'Data Entry'!$¬$390)</f>
      </c>
      <c r="DE390">
        <f>IF(ISBLANK('Data Entry'!$­$390), "", 'Data Entry'!$­$390)</f>
      </c>
      <c r="DF390">
        <f>IF(ISBLANK('Data Entry'!$®$390), "", 'Data Entry'!$®$390)</f>
      </c>
      <c r="DG390">
        <f>IF(ISBLANK('Data Entry'!$¯$390), "", 'Data Entry'!$¯$390)</f>
      </c>
      <c r="DH390">
        <f>IF(ISBLANK('Data Entry'!$°$390), "", 'Data Entry'!$°$390)</f>
      </c>
      <c r="DI390">
        <f>IF(ISBLANK('Data Entry'!$±$390), "", 'Data Entry'!$±$390)</f>
      </c>
      <c r="DJ390">
        <f>IF(ISBLANK('Data Entry'!$²$390), "", 'Data Entry'!$²$390)</f>
      </c>
      <c r="DK390">
        <f>IF(ISBLANK('Data Entry'!$³$390), "", 'Data Entry'!$³$390)</f>
      </c>
      <c r="DL390">
        <f>IF(ISBLANK('Data Entry'!$´$390), "", 'Data Entry'!$´$390)</f>
      </c>
      <c r="DM390">
        <f>IF(ISBLANK('Data Entry'!$µ$390), "", 'Data Entry'!$µ$390)</f>
      </c>
      <c r="DN390">
        <f>IF(ISBLANK('Data Entry'!$¶$390), "", 'Data Entry'!$¶$390)</f>
      </c>
      <c r="DO390">
        <f>IF(ISBLANK('Data Entry'!$·$390), "", 'Data Entry'!$·$390)</f>
      </c>
      <c r="DP390">
        <f>IF(ISBLANK('Data Entry'!$¸$390), "", 'Data Entry'!$¸$390)</f>
      </c>
      <c r="DQ390">
        <f>IF(ISBLANK('Data Entry'!$¹$390), "", 'Data Entry'!$¹$390)</f>
      </c>
      <c r="DR390">
        <f>IF(ISBLANK('Data Entry'!$º$390), "", 'Data Entry'!$º$390)</f>
      </c>
      <c r="DS390">
        <f>IF(ISBLANK('Data Entry'!$»$390), "", 'Data Entry'!$»$390)</f>
      </c>
      <c r="DT390">
        <f>IF(ISBLANK('Data Entry'!$¼$390), "", 'Data Entry'!$¼$390)</f>
      </c>
      <c r="DU390">
        <f>IF(ISBLANK('Data Entry'!$½$390), "", 'Data Entry'!$½$390)</f>
      </c>
      <c r="DV390">
        <f>IF(ISBLANK('Data Entry'!$¾$390), "", 'Data Entry'!$¾$390)</f>
      </c>
      <c r="DW390">
        <f>IF(ISBLANK('Data Entry'!$¿$390), "", 'Data Entry'!$¿$390)</f>
      </c>
      <c r="DX390">
        <f>IF(ISBLANK('Data Entry'!$À$390), "", 'Data Entry'!$À$390)</f>
      </c>
      <c r="DY390">
        <f>IF(ISBLANK('Data Entry'!$Á$390), "", 'Data Entry'!$Á$390)</f>
      </c>
      <c r="DZ390">
        <f>IF(ISBLANK('Data Entry'!$Â$390), "", 'Data Entry'!$Â$390)</f>
      </c>
      <c r="EA390">
        <f>IF(ISBLANK('Data Entry'!$Ã$390), "", 'Data Entry'!$Ã$390)</f>
      </c>
      <c r="EB390">
        <f>IF(ISBLANK('Data Entry'!$Ä$390), "", 'Data Entry'!$Ä$390)</f>
      </c>
      <c r="EC390">
        <f>IF(ISBLANK('Data Entry'!$Å$390), "", 'Data Entry'!$Å$390)</f>
      </c>
      <c r="ED390">
        <f>IF(ISBLANK('Data Entry'!$Æ$390), "", 'Data Entry'!$Æ$390)</f>
      </c>
      <c r="EE390">
        <f>IF(ISBLANK('Data Entry'!$Ç$390), "", 'Data Entry'!$Ç$390)</f>
      </c>
      <c r="EF390">
        <f>IF(ISBLANK('Data Entry'!$È$390), "", 'Data Entry'!$È$390)</f>
      </c>
      <c r="EG390">
        <f>IF(ISBLANK('Data Entry'!$É$390), "", 'Data Entry'!$É$390)</f>
      </c>
      <c r="EH390">
        <f>IF(ISBLANK('Data Entry'!$Ê$390), "", 'Data Entry'!$Ê$390)</f>
      </c>
      <c r="EI390">
        <f>IF(ISBLANK('Data Entry'!$Ë$390), "", 'Data Entry'!$Ë$390)</f>
      </c>
      <c r="EJ390">
        <f>IF(ISBLANK('Data Entry'!$Ì$390), "", 'Data Entry'!$Ì$390)</f>
      </c>
      <c r="EK390">
        <f>IF(ISBLANK('Data Entry'!$Í$390), "", 'Data Entry'!$Í$390)</f>
      </c>
      <c r="EL390">
        <f>IF(ISBLANK('Data Entry'!$Î$390), "", 'Data Entry'!$Î$390)</f>
      </c>
      <c r="EM390">
        <f>IF(ISBLANK('Data Entry'!$Ï$390), "", 'Data Entry'!$Ï$390)</f>
      </c>
      <c r="EN390">
        <f>IF(ISBLANK('Data Entry'!$Ð$390), "", 'Data Entry'!$Ð$390)</f>
      </c>
      <c r="EO390">
        <f>IF(ISBLANK('Data Entry'!$Ñ$390), "", 'Data Entry'!$Ñ$390)</f>
      </c>
      <c r="EP390">
        <f>IF(ISBLANK('Data Entry'!$Ò$390), "", 'Data Entry'!$Ò$390)</f>
      </c>
      <c r="EQ390">
        <f>IF(ISBLANK('Data Entry'!$Ó$390), "", 'Data Entry'!$Ó$390)</f>
      </c>
      <c r="ER390">
        <f>IF(ISBLANK('Data Entry'!$Ô$390), "", 'Data Entry'!$Ô$390)</f>
      </c>
      <c r="ES390">
        <f>IF(ISBLANK('Data Entry'!$Õ$390), "", 'Data Entry'!$Õ$390)</f>
      </c>
      <c r="ET390">
        <f>IF(ISBLANK('Data Entry'!$Ö$390), "", 'Data Entry'!$Ö$390)</f>
      </c>
      <c r="EU390">
        <f>IF(ISBLANK('Data Entry'!$×$390), "", 'Data Entry'!$×$390)</f>
      </c>
      <c r="EV390">
        <f>IF(ISBLANK('Data Entry'!$Ø$390), "", 'Data Entry'!$Ø$390)</f>
      </c>
      <c r="EW390">
        <f>IF(ISBLANK('Data Entry'!$Ù$390), "", 'Data Entry'!$Ù$390)</f>
      </c>
      <c r="EX390">
        <f>IF(ISBLANK('Data Entry'!$Ú$390), "", 'Data Entry'!$Ú$390)</f>
      </c>
      <c r="EY390">
        <f>IF(ISBLANK('Data Entry'!$Û$390), "", 'Data Entry'!$Û$390)</f>
      </c>
      <c r="EZ390">
        <f>IF(ISBLANK('Data Entry'!$Ü$390), "", 'Data Entry'!$Ü$390)</f>
      </c>
      <c r="FA390">
        <f>IF(ISBLANK('Data Entry'!$Ý$390), "", 'Data Entry'!$Ý$390)</f>
      </c>
      <c r="FB390">
        <f>IF(ISBLANK('Data Entry'!$Þ$390), "", 'Data Entry'!$Þ$390)</f>
      </c>
      <c r="FC390">
        <f>IF(ISBLANK('Data Entry'!$ß$390), "", 'Data Entry'!$ß$390)</f>
      </c>
      <c r="FD390">
        <f>IF(ISBLANK('Data Entry'!$à$390), "", 'Data Entry'!$à$390)</f>
      </c>
      <c r="FE390">
        <f>IF(ISBLANK('Data Entry'!$á$390), "", 'Data Entry'!$á$390)</f>
      </c>
      <c r="FF390">
        <f>IF(ISBLANK('Data Entry'!$â$390), "", 'Data Entry'!$â$390)</f>
      </c>
      <c r="FG390">
        <f>IF(ISBLANK('Data Entry'!$ã$390), "", 'Data Entry'!$ã$390)</f>
      </c>
      <c r="FH390">
        <f>IF(ISBLANK('Data Entry'!$ä$390), "", 'Data Entry'!$ä$390)</f>
      </c>
      <c r="FI390">
        <f>IF(ISBLANK('Data Entry'!$å$390), "", 'Data Entry'!$å$390)</f>
      </c>
      <c r="FJ390">
        <f>IF(ISBLANK('Data Entry'!$æ$390), "", 'Data Entry'!$æ$390)</f>
      </c>
      <c r="FK390">
        <f>IF(ISBLANK('Data Entry'!$ç$390), "", 'Data Entry'!$ç$390)</f>
      </c>
      <c r="FL390">
        <f>IF(ISBLANK('Data Entry'!$è$390), "", 'Data Entry'!$è$390)</f>
      </c>
      <c r="FM390">
        <f>IF(ISBLANK('Data Entry'!$é$390), "", 'Data Entry'!$é$390)</f>
      </c>
      <c r="FN390">
        <f>IF(ISBLANK('Data Entry'!$ê$390), "", 'Data Entry'!$ê$390)</f>
      </c>
      <c r="FO390">
        <f>IF(ISBLANK('Data Entry'!$ë$390), "", 'Data Entry'!$ë$390)</f>
      </c>
      <c r="FP390">
        <f>IF(ISBLANK('Data Entry'!$ì$390), "", 'Data Entry'!$ì$390)</f>
      </c>
      <c r="FQ390">
        <f>IF(ISBLANK('Data Entry'!$í$390), "", 'Data Entry'!$í$390)</f>
      </c>
      <c r="FR390">
        <f>IF(ISBLANK('Data Entry'!$î$390), "", 'Data Entry'!$î$390)</f>
      </c>
      <c r="FS390">
        <f>IF(ISBLANK('Data Entry'!$ï$390), "", 'Data Entry'!$ï$390)</f>
      </c>
      <c r="FT390">
        <f>IF(ISBLANK('Data Entry'!$ð$390), "", 'Data Entry'!$ð$390)</f>
      </c>
      <c r="FU390">
        <f>IF(ISBLANK('Data Entry'!$ñ$390), "", 'Data Entry'!$ñ$390)</f>
      </c>
      <c r="FV390">
        <f>IF(ISBLANK('Data Entry'!$ò$390), "", 'Data Entry'!$ò$390)</f>
      </c>
      <c r="FW390">
        <f>IF(ISBLANK('Data Entry'!$ó$390), "", 'Data Entry'!$ó$390)</f>
      </c>
      <c r="FX390">
        <f>IF(ISBLANK('Data Entry'!$ô$390), "", 'Data Entry'!$ô$390)</f>
      </c>
      <c r="FY390">
        <f>IF(ISBLANK('Data Entry'!$õ$390), "", 'Data Entry'!$õ$390)</f>
      </c>
      <c r="FZ390">
        <f>IF(ISBLANK('Data Entry'!$ö$390), "", 'Data Entry'!$ö$390)</f>
      </c>
      <c r="GA390">
        <f>IF(ISBLANK('Data Entry'!$÷$390), "", 'Data Entry'!$÷$390)</f>
      </c>
      <c r="GB390">
        <f>IF(ISBLANK('Data Entry'!$ø$390), "", 'Data Entry'!$ø$390)</f>
      </c>
      <c r="GC390">
        <f>IF(ISBLANK('Data Entry'!$ù$390), "", 'Data Entry'!$ù$390)</f>
      </c>
      <c r="GD390">
        <f>IF(ISBLANK('Data Entry'!$ú$390), "", 'Data Entry'!$ú$390)</f>
      </c>
      <c r="GE390">
        <f>IF(ISBLANK('Data Entry'!$û$390), "", 'Data Entry'!$û$390)</f>
      </c>
      <c r="GF390">
        <f>IF(ISBLANK('Data Entry'!$ü$390), "", 'Data Entry'!$ü$390)</f>
      </c>
      <c r="GG390">
        <f>IF(ISBLANK('Data Entry'!$ý$390), "", 'Data Entry'!$ý$390)</f>
      </c>
      <c r="GH390">
        <f>IF(ISBLANK('Data Entry'!$þ$390), "", 'Data Entry'!$þ$390)</f>
      </c>
      <c r="GI390">
        <f>IF(ISBLANK('Data Entry'!$ÿ$390), "", 'Data Entry'!$ÿ$390)</f>
      </c>
      <c r="GJ390">
        <f>IF(ISBLANK('Data Entry'!$Ā$390), "", 'Data Entry'!$Ā$390)</f>
      </c>
      <c r="GK390">
        <f>IF(ISBLANK('Data Entry'!$ā$390), "", 'Data Entry'!$ā$390)</f>
      </c>
      <c r="GL390">
        <f>IF(ISBLANK('Data Entry'!$Ă$390), "", 'Data Entry'!$Ă$390)</f>
      </c>
      <c r="GM390">
        <f>IF(ISBLANK('Data Entry'!$ă$390), "", 'Data Entry'!$ă$390)</f>
      </c>
      <c r="GN390">
        <f>IF(ISBLANK('Data Entry'!$Ą$390), "", 'Data Entry'!$Ą$390)</f>
      </c>
      <c r="GO390">
        <f>IF(ISBLANK('Data Entry'!$ą$390), "", 'Data Entry'!$ą$390)</f>
      </c>
      <c r="GP390">
        <f>IF(ISBLANK('Data Entry'!$Ć$390), "", 'Data Entry'!$Ć$390)</f>
      </c>
      <c r="GQ390">
        <f>IF(ISBLANK('Data Entry'!$ć$390), "", 'Data Entry'!$ć$390)</f>
      </c>
      <c r="GR390">
        <f>IF(ISBLANK('Data Entry'!$Ĉ$390), "", 'Data Entry'!$Ĉ$390)</f>
      </c>
      <c r="GS390">
        <f>IF(ISBLANK('Data Entry'!$ĉ$390), "", 'Data Entry'!$ĉ$390)</f>
      </c>
      <c r="GT390">
        <f>IF(ISBLANK('Data Entry'!$Ċ$390), "", 'Data Entry'!$Ċ$390)</f>
      </c>
      <c r="GU390">
        <f>IF(ISBLANK('Data Entry'!$ċ$390), "", 'Data Entry'!$ċ$390)</f>
      </c>
      <c r="GV390">
        <f>IF(ISBLANK('Data Entry'!$Č$390), "", 'Data Entry'!$Č$390)</f>
      </c>
      <c r="GW390">
        <f>IF(ISBLANK('Data Entry'!$č$390), "", 'Data Entry'!$č$390)</f>
      </c>
      <c r="GX390">
        <f>IF(ISBLANK('Data Entry'!$Ď$390), "", 'Data Entry'!$Ď$390)</f>
      </c>
      <c r="GY390">
        <f>IF(ISBLANK('Data Entry'!$ď$390), "", 'Data Entry'!$ď$390)</f>
      </c>
      <c r="GZ390">
        <f>IF(ISBLANK('Data Entry'!$Đ$390), "", 'Data Entry'!$Đ$390)</f>
      </c>
      <c r="HA390">
        <f>IF(ISBLANK('Data Entry'!$đ$390), "", 'Data Entry'!$đ$390)</f>
      </c>
      <c r="HB390">
        <f>IF(ISBLANK('Data Entry'!$Ē$390), "", 'Data Entry'!$Ē$390)</f>
      </c>
      <c r="HC390">
        <f>IF(ISBLANK('Data Entry'!$ē$390), "", 'Data Entry'!$ē$390)</f>
      </c>
      <c r="HD390">
        <f>IF(ISBLANK('Data Entry'!$Ĕ$390), "", 'Data Entry'!$Ĕ$390)</f>
      </c>
      <c r="HE390">
        <f>IF(ISBLANK('Data Entry'!$ĕ$390), "", 'Data Entry'!$ĕ$390)</f>
      </c>
      <c r="HF390">
        <f>IF(ISBLANK('Data Entry'!$Ė$390), "", 'Data Entry'!$Ė$390)</f>
      </c>
      <c r="HG390">
        <f>IF(ISBLANK('Data Entry'!$ė$390), "", 'Data Entry'!$ė$390)</f>
      </c>
      <c r="HH390">
        <f>IF(ISBLANK('Data Entry'!$Ę$390), "", 'Data Entry'!$Ę$390)</f>
      </c>
      <c r="HI390">
        <f>IF(ISBLANK('Data Entry'!$ę$390), "", 'Data Entry'!$ę$390)</f>
      </c>
      <c r="HJ390">
        <f>IF(ISBLANK('Data Entry'!$Ě$390), "", 'Data Entry'!$Ě$390)</f>
      </c>
      <c r="HK390">
        <f>IF(ISBLANK('Data Entry'!$ě$390), "", 'Data Entry'!$ě$390)</f>
      </c>
      <c r="HL390">
        <f>IF(ISBLANK('Data Entry'!$Ĝ$390), "", 'Data Entry'!$Ĝ$390)</f>
      </c>
      <c r="HM390">
        <f>IF(ISBLANK('Data Entry'!$ĝ$390), "", 'Data Entry'!$ĝ$390)</f>
      </c>
      <c r="HN390">
        <f>IF(ISBLANK('Data Entry'!$Ğ$390), "", 'Data Entry'!$Ğ$390)</f>
      </c>
      <c r="HO390">
        <f>IF(ISBLANK('Data Entry'!$ğ$390), "", 'Data Entry'!$ğ$390)</f>
      </c>
      <c r="HP390">
        <f>IF(ISBLANK('Data Entry'!$Ġ$390), "", 'Data Entry'!$Ġ$390)</f>
      </c>
      <c r="HQ390">
        <f>IF(ISBLANK('Data Entry'!$ġ$390), "", 'Data Entry'!$ġ$390)</f>
      </c>
      <c r="HR390">
        <f>IF(ISBLANK('Data Entry'!$Ģ$390), "", 'Data Entry'!$Ģ$390)</f>
      </c>
      <c r="HS390">
        <f>IF(ISBLANK('Data Entry'!$ģ$390), "", 'Data Entry'!$ģ$390)</f>
      </c>
      <c r="HT390">
        <f>IF(ISBLANK('Data Entry'!$Ĥ$390), "", 'Data Entry'!$Ĥ$390)</f>
      </c>
      <c r="HU390">
        <f>IF(ISBLANK('Data Entry'!$ĥ$390), "", 'Data Entry'!$ĥ$390)</f>
      </c>
      <c r="HV390">
        <f>IF(ISBLANK('Data Entry'!$Ħ$390), "", 'Data Entry'!$Ħ$390)</f>
      </c>
      <c r="HW390">
        <f>IF(ISBLANK('Data Entry'!$ħ$390), "", 'Data Entry'!$ħ$390)</f>
      </c>
      <c r="HX390">
        <f>IF(ISBLANK('Data Entry'!$Ĩ$390), "", 'Data Entry'!$Ĩ$390)</f>
      </c>
      <c r="HY390">
        <f>IF(ISBLANK('Data Entry'!$ĩ$390), "", 'Data Entry'!$ĩ$390)</f>
      </c>
      <c r="HZ390">
        <f>IF(ISBLANK('Data Entry'!$Ī$390), "", 'Data Entry'!$Ī$390)</f>
      </c>
      <c r="IA390">
        <f>IF(ISBLANK('Data Entry'!$ī$390), "", 'Data Entry'!$ī$390)</f>
      </c>
      <c r="IB390">
        <f>IF(ISBLANK('Data Entry'!$Ĭ$390), "", 'Data Entry'!$Ĭ$390)</f>
      </c>
      <c r="IC390">
        <f>IF(ISBLANK('Data Entry'!$ĭ$390), "", 'Data Entry'!$ĭ$390)</f>
      </c>
      <c r="ID390">
        <f>IF(ISBLANK('Data Entry'!$Į$390), "", 'Data Entry'!$Į$390)</f>
      </c>
      <c r="IE390">
        <f>IF(ISBLANK('Data Entry'!$į$390), "", 'Data Entry'!$į$390)</f>
      </c>
      <c r="IF390">
        <f>IF(ISBLANK('Data Entry'!$İ$390), "", 'Data Entry'!$İ$390)</f>
      </c>
      <c r="IG390">
        <f>IF(ISBLANK('Data Entry'!$ı$390), "", 'Data Entry'!$ı$390)</f>
      </c>
      <c r="IH390">
        <f>IF(ISBLANK('Data Entry'!$Ĳ$390), "", 'Data Entry'!$Ĳ$390)</f>
      </c>
      <c r="II390">
        <f>IF(ISBLANK('Data Entry'!$ĳ$390), "", 'Data Entry'!$ĳ$390)</f>
      </c>
      <c r="IJ390">
        <f>IF(ISBLANK('Data Entry'!$Ĵ$390), "", 'Data Entry'!$Ĵ$390)</f>
      </c>
      <c r="IK390">
        <f>IF(ISBLANK('Data Entry'!$ĵ$390), "", 'Data Entry'!$ĵ$390)</f>
      </c>
      <c r="IL390">
        <f>IF(ISBLANK('Data Entry'!$Ķ$390), "", 'Data Entry'!$Ķ$390)</f>
      </c>
      <c r="IM390">
        <f>IF(ISBLANK('Data Entry'!$ķ$390), "", 'Data Entry'!$ķ$390)</f>
      </c>
      <c r="IN390">
        <f>IF(ISBLANK('Data Entry'!$ĸ$390), "", 'Data Entry'!$ĸ$390)</f>
      </c>
      <c r="IO390">
        <f>IF(ISBLANK('Data Entry'!$Ĺ$390), "", 'Data Entry'!$Ĺ$390)</f>
      </c>
      <c r="IP390">
        <f>IF(ISBLANK('Data Entry'!$ĺ$390), "", 'Data Entry'!$ĺ$390)</f>
      </c>
      <c r="IQ390">
        <f>IF(ISBLANK('Data Entry'!$Ļ$390), "", 'Data Entry'!$Ļ$390)</f>
      </c>
      <c r="IR390">
        <f>IF(ISBLANK('Data Entry'!$ļ$390), "", 'Data Entry'!$ļ$390)</f>
      </c>
      <c r="IS390">
        <f>IF(ISBLANK('Data Entry'!$Ľ$390), "", 'Data Entry'!$Ľ$390)</f>
      </c>
      <c r="IT390">
        <f>IF(ISBLANK('Data Entry'!$ľ$390), "", 'Data Entry'!$ľ$390)</f>
      </c>
    </row>
    <row r="391" spans="1:254" x14ac:dyDescent="0.25">
      <c r="A391">
        <f>IF(ISBLANK('Data Entry'!$A$391), "", 'Data Entry'!$A$391)</f>
      </c>
      <c r="B391">
        <f>IF(ISBLANK('Data Entry'!$B$391), "", 'Data Entry'!$B$391)</f>
      </c>
      <c r="C391">
        <f>IF(ISBLANK('Data Entry'!$C$391), "", 'Data Entry'!$C$391)</f>
      </c>
      <c r="D391">
        <f>IF(ISBLANK('Data Entry'!$D$391), "", 'Data Entry'!$D$391)</f>
      </c>
      <c r="E391">
        <f>IF(ISBLANK('Data Entry'!$E$391), "", 'Data Entry'!$E$391)</f>
      </c>
      <c r="F391">
        <f>IF(ISBLANK('Data Entry'!$F$391), "", 'Data Entry'!$F$391)</f>
      </c>
      <c r="G391">
        <f>IF(ISBLANK('Data Entry'!$G$391), "", 'Data Entry'!$G$391)</f>
      </c>
      <c r="H391">
        <f>IF(ISBLANK('Data Entry'!$H$391), "", 'Data Entry'!$H$391)</f>
      </c>
      <c r="I391">
        <f>IF(ISBLANK('Data Entry'!$I$391), "", 'Data Entry'!$I$391)</f>
      </c>
      <c r="J391">
        <f>IF(ISBLANK('Data Entry'!$J$391), "", 'Data Entry'!$J$391)</f>
      </c>
      <c r="K391">
        <f>IF(ISBLANK('Data Entry'!$K$391), "", 'Data Entry'!$K$391)</f>
      </c>
      <c r="L391">
        <f>IF(ISBLANK('Data Entry'!$L$391), "", 'Data Entry'!$L$391)</f>
      </c>
      <c r="M391">
        <f>IF(ISBLANK('Data Entry'!$M$391), "", 'Data Entry'!$M$391)</f>
      </c>
      <c r="N391">
        <f>IF(ISBLANK('Data Entry'!$N$391), "", 'Data Entry'!$N$391)</f>
      </c>
      <c r="O391">
        <f>IF(ISBLANK('Data Entry'!$O$391), "", 'Data Entry'!$O$391)</f>
      </c>
      <c r="P391">
        <f>IF(ISBLANK('Data Entry'!$P$391), "", 'Data Entry'!$P$391)</f>
      </c>
      <c r="Q391">
        <f>IF(ISBLANK('Data Entry'!$Q$391), "", 'Data Entry'!$Q$391)</f>
      </c>
      <c r="R391">
        <f>IF(ISBLANK('Data Entry'!$R$391), "", 'Data Entry'!$R$391)</f>
      </c>
      <c r="S391">
        <f>IF(ISBLANK('Data Entry'!$S$391), "", 'Data Entry'!$S$391)</f>
      </c>
      <c r="T391">
        <f>IF(ISBLANK('Data Entry'!$T$391), "", 'Data Entry'!$T$391)</f>
      </c>
      <c r="U391">
        <f>IF(ISBLANK('Data Entry'!$U$391), "", 'Data Entry'!$U$391)</f>
      </c>
      <c r="V391">
        <f>IF(ISBLANK('Data Entry'!$V$391), "", 'Data Entry'!$V$391)</f>
      </c>
      <c r="W391">
        <f>IF(ISBLANK('Data Entry'!$W$391), "", 'Data Entry'!$W$391)</f>
      </c>
      <c r="X391">
        <f>IF(ISBLANK('Data Entry'!$X$391), "", 'Data Entry'!$X$391)</f>
      </c>
      <c r="Y391">
        <f>IF(ISBLANK('Data Entry'!$Y$391), "", 'Data Entry'!$Y$391)</f>
      </c>
      <c r="Z391">
        <f>IF(ISBLANK('Data Entry'!$Z$391), "", 'Data Entry'!$Z$391)</f>
      </c>
      <c r="AA391">
        <f>IF(ISBLANK('Data Entry'!$[$391), "", 'Data Entry'!$[$391)</f>
      </c>
      <c r="AB391">
        <f>IF(ISBLANK('Data Entry'!$\$391), "", 'Data Entry'!$\$391)</f>
      </c>
      <c r="AC391">
        <f>IF(ISBLANK('Data Entry'!$]$391), "", 'Data Entry'!$]$391)</f>
      </c>
      <c r="AD391">
        <f>IF(ISBLANK('Data Entry'!$^$391), "", 'Data Entry'!$^$391)</f>
      </c>
      <c r="AE391">
        <f>IF(ISBLANK('Data Entry'!$_$391), "", 'Data Entry'!$_$391)</f>
      </c>
      <c r="AF391">
        <f>IF(ISBLANK('Data Entry'!$`$391), "", 'Data Entry'!$`$391)</f>
      </c>
      <c r="AG391">
        <f>IF(ISBLANK('Data Entry'!$a$391), "", 'Data Entry'!$a$391)</f>
      </c>
      <c r="AH391">
        <f>IF(ISBLANK('Data Entry'!$b$391), "", 'Data Entry'!$b$391)</f>
      </c>
      <c r="AI391">
        <f>IF(ISBLANK('Data Entry'!$c$391), "", 'Data Entry'!$c$391)</f>
      </c>
      <c r="AJ391">
        <f>IF(ISBLANK('Data Entry'!$d$391), "", 'Data Entry'!$d$391)</f>
      </c>
      <c r="AK391">
        <f>IF(ISBLANK('Data Entry'!$e$391), "", 'Data Entry'!$e$391)</f>
      </c>
      <c r="AL391">
        <f>IF(ISBLANK('Data Entry'!$f$391), "", 'Data Entry'!$f$391)</f>
      </c>
      <c r="AM391">
        <f>IF(ISBLANK('Data Entry'!$g$391), "", 'Data Entry'!$g$391)</f>
      </c>
      <c r="AN391">
        <f>IF(ISBLANK('Data Entry'!$h$391), "", 'Data Entry'!$h$391)</f>
      </c>
      <c r="AO391">
        <f>IF(ISBLANK('Data Entry'!$i$391), "", 'Data Entry'!$i$391)</f>
      </c>
      <c r="AP391">
        <f>IF(ISBLANK('Data Entry'!$j$391), "", 'Data Entry'!$j$391)</f>
      </c>
      <c r="AQ391">
        <f>IF(ISBLANK('Data Entry'!$k$391), "", 'Data Entry'!$k$391)</f>
      </c>
      <c r="AR391">
        <f>IF(ISBLANK('Data Entry'!$l$391), "", 'Data Entry'!$l$391)</f>
      </c>
      <c r="AS391">
        <f>IF(ISBLANK('Data Entry'!$m$391), "", 'Data Entry'!$m$391)</f>
      </c>
      <c r="AT391">
        <f>IF(ISBLANK('Data Entry'!$n$391), "", 'Data Entry'!$n$391)</f>
      </c>
      <c r="AU391">
        <f>IF(ISBLANK('Data Entry'!$o$391), "", 'Data Entry'!$o$391)</f>
      </c>
      <c r="AV391">
        <f>IF(ISBLANK('Data Entry'!$p$391), "", 'Data Entry'!$p$391)</f>
      </c>
      <c r="AW391">
        <f>IF(ISBLANK('Data Entry'!$q$391), "", 'Data Entry'!$q$391)</f>
      </c>
      <c r="AX391">
        <f>IF(ISBLANK('Data Entry'!$r$391), "", 'Data Entry'!$r$391)</f>
      </c>
      <c r="AY391">
        <f>IF(ISBLANK('Data Entry'!$s$391), "", 'Data Entry'!$s$391)</f>
      </c>
      <c r="AZ391">
        <f>IF(ISBLANK('Data Entry'!$t$391), "", 'Data Entry'!$t$391)</f>
      </c>
      <c r="BA391">
        <f>IF(ISBLANK('Data Entry'!$u$391), "", 'Data Entry'!$u$391)</f>
      </c>
      <c r="BB391">
        <f>IF(ISBLANK('Data Entry'!$v$391), "", 'Data Entry'!$v$391)</f>
      </c>
      <c r="BC391">
        <f>IF(ISBLANK('Data Entry'!$w$391), "", 'Data Entry'!$w$391)</f>
      </c>
      <c r="BD391">
        <f>IF(ISBLANK('Data Entry'!$x$391), "", 'Data Entry'!$x$391)</f>
      </c>
      <c r="BE391">
        <f>IF(ISBLANK('Data Entry'!$y$391), "", 'Data Entry'!$y$391)</f>
      </c>
      <c r="BF391">
        <f>IF(ISBLANK('Data Entry'!$z$391), "", 'Data Entry'!$z$391)</f>
      </c>
      <c r="BG391">
        <f>IF(ISBLANK('Data Entry'!${$391), "", 'Data Entry'!${$391)</f>
      </c>
      <c r="BH391">
        <f>IF(ISBLANK('Data Entry'!$|$391), "", 'Data Entry'!$|$391)</f>
      </c>
      <c r="BI391">
        <f>IF(ISBLANK('Data Entry'!$}$391), "", 'Data Entry'!$}$391)</f>
      </c>
      <c r="BJ391">
        <f>IF(ISBLANK('Data Entry'!$~$391), "", 'Data Entry'!$~$391)</f>
      </c>
      <c r="BK391">
        <f>IF(ISBLANK('Data Entry'!$$391), "", 'Data Entry'!$$391)</f>
      </c>
      <c r="BL391">
        <f>IF(ISBLANK('Data Entry'!$$391), "", 'Data Entry'!$$391)</f>
      </c>
      <c r="BM391">
        <f>IF(ISBLANK('Data Entry'!$$391), "", 'Data Entry'!$$391)</f>
      </c>
      <c r="BN391">
        <f>IF(ISBLANK('Data Entry'!$$391), "", 'Data Entry'!$$391)</f>
      </c>
      <c r="BO391">
        <f>IF(ISBLANK('Data Entry'!$$391), "", 'Data Entry'!$$391)</f>
      </c>
      <c r="BP391">
        <f>IF(ISBLANK('Data Entry'!$$391), "", 'Data Entry'!$$391)</f>
      </c>
      <c r="BQ391">
        <f>IF(ISBLANK('Data Entry'!$$391), "", 'Data Entry'!$$391)</f>
      </c>
      <c r="BR391">
        <f>IF(ISBLANK('Data Entry'!$$391), "", 'Data Entry'!$$391)</f>
      </c>
      <c r="BS391">
        <f>IF(ISBLANK('Data Entry'!$$391), "", 'Data Entry'!$$391)</f>
      </c>
      <c r="BT391">
        <f>IF(ISBLANK('Data Entry'!$$391), "", 'Data Entry'!$$391)</f>
      </c>
      <c r="BU391">
        <f>IF(ISBLANK('Data Entry'!$$391), "", 'Data Entry'!$$391)</f>
      </c>
      <c r="BV391">
        <f>IF(ISBLANK('Data Entry'!$$391), "", 'Data Entry'!$$391)</f>
      </c>
      <c r="BW391">
        <f>IF(ISBLANK('Data Entry'!$$391), "", 'Data Entry'!$$391)</f>
      </c>
      <c r="BX391">
        <f>IF(ISBLANK('Data Entry'!$$391), "", 'Data Entry'!$$391)</f>
      </c>
      <c r="BY391">
        <f>IF(ISBLANK('Data Entry'!$$391), "", 'Data Entry'!$$391)</f>
      </c>
      <c r="BZ391">
        <f>IF(ISBLANK('Data Entry'!$$391), "", 'Data Entry'!$$391)</f>
      </c>
      <c r="CA391">
        <f>IF(ISBLANK('Data Entry'!$$391), "", 'Data Entry'!$$391)</f>
      </c>
      <c r="CB391">
        <f>IF(ISBLANK('Data Entry'!$$391), "", 'Data Entry'!$$391)</f>
      </c>
      <c r="CC391">
        <f>IF(ISBLANK('Data Entry'!$$391), "", 'Data Entry'!$$391)</f>
      </c>
      <c r="CD391">
        <f>IF(ISBLANK('Data Entry'!$$391), "", 'Data Entry'!$$391)</f>
      </c>
      <c r="CE391">
        <f>IF(ISBLANK('Data Entry'!$$391), "", 'Data Entry'!$$391)</f>
      </c>
      <c r="CF391">
        <f>IF(ISBLANK('Data Entry'!$$391), "", 'Data Entry'!$$391)</f>
      </c>
      <c r="CG391">
        <f>IF(ISBLANK('Data Entry'!$$391), "", 'Data Entry'!$$391)</f>
      </c>
      <c r="CH391">
        <f>IF(ISBLANK('Data Entry'!$$391), "", 'Data Entry'!$$391)</f>
      </c>
      <c r="CI391">
        <f>IF(ISBLANK('Data Entry'!$$391), "", 'Data Entry'!$$391)</f>
      </c>
      <c r="CJ391">
        <f>IF(ISBLANK('Data Entry'!$$391), "", 'Data Entry'!$$391)</f>
      </c>
      <c r="CK391">
        <f>IF(ISBLANK('Data Entry'!$$391), "", 'Data Entry'!$$391)</f>
      </c>
      <c r="CL391">
        <f>IF(ISBLANK('Data Entry'!$$391), "", 'Data Entry'!$$391)</f>
      </c>
      <c r="CM391">
        <f>IF(ISBLANK('Data Entry'!$$391), "", 'Data Entry'!$$391)</f>
      </c>
      <c r="CN391">
        <f>IF(ISBLANK('Data Entry'!$$391), "", 'Data Entry'!$$391)</f>
      </c>
      <c r="CO391">
        <f>IF(ISBLANK('Data Entry'!$$391), "", 'Data Entry'!$$391)</f>
      </c>
      <c r="CP391">
        <f>IF(ISBLANK('Data Entry'!$$391), "", 'Data Entry'!$$391)</f>
      </c>
      <c r="CQ391">
        <f>IF(ISBLANK('Data Entry'!$$391), "", 'Data Entry'!$$391)</f>
      </c>
      <c r="CR391">
        <f>IF(ISBLANK('Data Entry'!$ $391), "", 'Data Entry'!$ $391)</f>
      </c>
      <c r="CS391">
        <f>IF(ISBLANK('Data Entry'!$¡$391), "", 'Data Entry'!$¡$391)</f>
      </c>
      <c r="CT391">
        <f>IF(ISBLANK('Data Entry'!$¢$391), "", 'Data Entry'!$¢$391)</f>
      </c>
      <c r="CU391">
        <f>IF(ISBLANK('Data Entry'!$£$391), "", 'Data Entry'!$£$391)</f>
      </c>
      <c r="CV391">
        <f>IF(ISBLANK('Data Entry'!$¤$391), "", 'Data Entry'!$¤$391)</f>
      </c>
      <c r="CW391">
        <f>IF(ISBLANK('Data Entry'!$¥$391), "", 'Data Entry'!$¥$391)</f>
      </c>
      <c r="CX391">
        <f>IF(ISBLANK('Data Entry'!$¦$391), "", 'Data Entry'!$¦$391)</f>
      </c>
      <c r="CY391">
        <f>IF(ISBLANK('Data Entry'!$§$391), "", 'Data Entry'!$§$391)</f>
      </c>
      <c r="CZ391">
        <f>IF(ISBLANK('Data Entry'!$¨$391), "", 'Data Entry'!$¨$391)</f>
      </c>
      <c r="DA391">
        <f>IF(ISBLANK('Data Entry'!$©$391), "", 'Data Entry'!$©$391)</f>
      </c>
      <c r="DB391">
        <f>IF(ISBLANK('Data Entry'!$ª$391), "", 'Data Entry'!$ª$391)</f>
      </c>
      <c r="DC391">
        <f>IF(ISBLANK('Data Entry'!$«$391), "", 'Data Entry'!$«$391)</f>
      </c>
      <c r="DD391">
        <f>IF(ISBLANK('Data Entry'!$¬$391), "", 'Data Entry'!$¬$391)</f>
      </c>
      <c r="DE391">
        <f>IF(ISBLANK('Data Entry'!$­$391), "", 'Data Entry'!$­$391)</f>
      </c>
      <c r="DF391">
        <f>IF(ISBLANK('Data Entry'!$®$391), "", 'Data Entry'!$®$391)</f>
      </c>
      <c r="DG391">
        <f>IF(ISBLANK('Data Entry'!$¯$391), "", 'Data Entry'!$¯$391)</f>
      </c>
      <c r="DH391">
        <f>IF(ISBLANK('Data Entry'!$°$391), "", 'Data Entry'!$°$391)</f>
      </c>
      <c r="DI391">
        <f>IF(ISBLANK('Data Entry'!$±$391), "", 'Data Entry'!$±$391)</f>
      </c>
      <c r="DJ391">
        <f>IF(ISBLANK('Data Entry'!$²$391), "", 'Data Entry'!$²$391)</f>
      </c>
      <c r="DK391">
        <f>IF(ISBLANK('Data Entry'!$³$391), "", 'Data Entry'!$³$391)</f>
      </c>
      <c r="DL391">
        <f>IF(ISBLANK('Data Entry'!$´$391), "", 'Data Entry'!$´$391)</f>
      </c>
      <c r="DM391">
        <f>IF(ISBLANK('Data Entry'!$µ$391), "", 'Data Entry'!$µ$391)</f>
      </c>
      <c r="DN391">
        <f>IF(ISBLANK('Data Entry'!$¶$391), "", 'Data Entry'!$¶$391)</f>
      </c>
      <c r="DO391">
        <f>IF(ISBLANK('Data Entry'!$·$391), "", 'Data Entry'!$·$391)</f>
      </c>
      <c r="DP391">
        <f>IF(ISBLANK('Data Entry'!$¸$391), "", 'Data Entry'!$¸$391)</f>
      </c>
      <c r="DQ391">
        <f>IF(ISBLANK('Data Entry'!$¹$391), "", 'Data Entry'!$¹$391)</f>
      </c>
      <c r="DR391">
        <f>IF(ISBLANK('Data Entry'!$º$391), "", 'Data Entry'!$º$391)</f>
      </c>
      <c r="DS391">
        <f>IF(ISBLANK('Data Entry'!$»$391), "", 'Data Entry'!$»$391)</f>
      </c>
      <c r="DT391">
        <f>IF(ISBLANK('Data Entry'!$¼$391), "", 'Data Entry'!$¼$391)</f>
      </c>
      <c r="DU391">
        <f>IF(ISBLANK('Data Entry'!$½$391), "", 'Data Entry'!$½$391)</f>
      </c>
      <c r="DV391">
        <f>IF(ISBLANK('Data Entry'!$¾$391), "", 'Data Entry'!$¾$391)</f>
      </c>
      <c r="DW391">
        <f>IF(ISBLANK('Data Entry'!$¿$391), "", 'Data Entry'!$¿$391)</f>
      </c>
      <c r="DX391">
        <f>IF(ISBLANK('Data Entry'!$À$391), "", 'Data Entry'!$À$391)</f>
      </c>
      <c r="DY391">
        <f>IF(ISBLANK('Data Entry'!$Á$391), "", 'Data Entry'!$Á$391)</f>
      </c>
      <c r="DZ391">
        <f>IF(ISBLANK('Data Entry'!$Â$391), "", 'Data Entry'!$Â$391)</f>
      </c>
      <c r="EA391">
        <f>IF(ISBLANK('Data Entry'!$Ã$391), "", 'Data Entry'!$Ã$391)</f>
      </c>
      <c r="EB391">
        <f>IF(ISBLANK('Data Entry'!$Ä$391), "", 'Data Entry'!$Ä$391)</f>
      </c>
      <c r="EC391">
        <f>IF(ISBLANK('Data Entry'!$Å$391), "", 'Data Entry'!$Å$391)</f>
      </c>
      <c r="ED391">
        <f>IF(ISBLANK('Data Entry'!$Æ$391), "", 'Data Entry'!$Æ$391)</f>
      </c>
      <c r="EE391">
        <f>IF(ISBLANK('Data Entry'!$Ç$391), "", 'Data Entry'!$Ç$391)</f>
      </c>
      <c r="EF391">
        <f>IF(ISBLANK('Data Entry'!$È$391), "", 'Data Entry'!$È$391)</f>
      </c>
      <c r="EG391">
        <f>IF(ISBLANK('Data Entry'!$É$391), "", 'Data Entry'!$É$391)</f>
      </c>
      <c r="EH391">
        <f>IF(ISBLANK('Data Entry'!$Ê$391), "", 'Data Entry'!$Ê$391)</f>
      </c>
      <c r="EI391">
        <f>IF(ISBLANK('Data Entry'!$Ë$391), "", 'Data Entry'!$Ë$391)</f>
      </c>
      <c r="EJ391">
        <f>IF(ISBLANK('Data Entry'!$Ì$391), "", 'Data Entry'!$Ì$391)</f>
      </c>
      <c r="EK391">
        <f>IF(ISBLANK('Data Entry'!$Í$391), "", 'Data Entry'!$Í$391)</f>
      </c>
      <c r="EL391">
        <f>IF(ISBLANK('Data Entry'!$Î$391), "", 'Data Entry'!$Î$391)</f>
      </c>
      <c r="EM391">
        <f>IF(ISBLANK('Data Entry'!$Ï$391), "", 'Data Entry'!$Ï$391)</f>
      </c>
      <c r="EN391">
        <f>IF(ISBLANK('Data Entry'!$Ð$391), "", 'Data Entry'!$Ð$391)</f>
      </c>
      <c r="EO391">
        <f>IF(ISBLANK('Data Entry'!$Ñ$391), "", 'Data Entry'!$Ñ$391)</f>
      </c>
      <c r="EP391">
        <f>IF(ISBLANK('Data Entry'!$Ò$391), "", 'Data Entry'!$Ò$391)</f>
      </c>
      <c r="EQ391">
        <f>IF(ISBLANK('Data Entry'!$Ó$391), "", 'Data Entry'!$Ó$391)</f>
      </c>
      <c r="ER391">
        <f>IF(ISBLANK('Data Entry'!$Ô$391), "", 'Data Entry'!$Ô$391)</f>
      </c>
      <c r="ES391">
        <f>IF(ISBLANK('Data Entry'!$Õ$391), "", 'Data Entry'!$Õ$391)</f>
      </c>
      <c r="ET391">
        <f>IF(ISBLANK('Data Entry'!$Ö$391), "", 'Data Entry'!$Ö$391)</f>
      </c>
      <c r="EU391">
        <f>IF(ISBLANK('Data Entry'!$×$391), "", 'Data Entry'!$×$391)</f>
      </c>
      <c r="EV391">
        <f>IF(ISBLANK('Data Entry'!$Ø$391), "", 'Data Entry'!$Ø$391)</f>
      </c>
      <c r="EW391">
        <f>IF(ISBLANK('Data Entry'!$Ù$391), "", 'Data Entry'!$Ù$391)</f>
      </c>
      <c r="EX391">
        <f>IF(ISBLANK('Data Entry'!$Ú$391), "", 'Data Entry'!$Ú$391)</f>
      </c>
      <c r="EY391">
        <f>IF(ISBLANK('Data Entry'!$Û$391), "", 'Data Entry'!$Û$391)</f>
      </c>
      <c r="EZ391">
        <f>IF(ISBLANK('Data Entry'!$Ü$391), "", 'Data Entry'!$Ü$391)</f>
      </c>
      <c r="FA391">
        <f>IF(ISBLANK('Data Entry'!$Ý$391), "", 'Data Entry'!$Ý$391)</f>
      </c>
      <c r="FB391">
        <f>IF(ISBLANK('Data Entry'!$Þ$391), "", 'Data Entry'!$Þ$391)</f>
      </c>
      <c r="FC391">
        <f>IF(ISBLANK('Data Entry'!$ß$391), "", 'Data Entry'!$ß$391)</f>
      </c>
      <c r="FD391">
        <f>IF(ISBLANK('Data Entry'!$à$391), "", 'Data Entry'!$à$391)</f>
      </c>
      <c r="FE391">
        <f>IF(ISBLANK('Data Entry'!$á$391), "", 'Data Entry'!$á$391)</f>
      </c>
      <c r="FF391">
        <f>IF(ISBLANK('Data Entry'!$â$391), "", 'Data Entry'!$â$391)</f>
      </c>
      <c r="FG391">
        <f>IF(ISBLANK('Data Entry'!$ã$391), "", 'Data Entry'!$ã$391)</f>
      </c>
      <c r="FH391">
        <f>IF(ISBLANK('Data Entry'!$ä$391), "", 'Data Entry'!$ä$391)</f>
      </c>
      <c r="FI391">
        <f>IF(ISBLANK('Data Entry'!$å$391), "", 'Data Entry'!$å$391)</f>
      </c>
      <c r="FJ391">
        <f>IF(ISBLANK('Data Entry'!$æ$391), "", 'Data Entry'!$æ$391)</f>
      </c>
      <c r="FK391">
        <f>IF(ISBLANK('Data Entry'!$ç$391), "", 'Data Entry'!$ç$391)</f>
      </c>
      <c r="FL391">
        <f>IF(ISBLANK('Data Entry'!$è$391), "", 'Data Entry'!$è$391)</f>
      </c>
      <c r="FM391">
        <f>IF(ISBLANK('Data Entry'!$é$391), "", 'Data Entry'!$é$391)</f>
      </c>
      <c r="FN391">
        <f>IF(ISBLANK('Data Entry'!$ê$391), "", 'Data Entry'!$ê$391)</f>
      </c>
      <c r="FO391">
        <f>IF(ISBLANK('Data Entry'!$ë$391), "", 'Data Entry'!$ë$391)</f>
      </c>
      <c r="FP391">
        <f>IF(ISBLANK('Data Entry'!$ì$391), "", 'Data Entry'!$ì$391)</f>
      </c>
      <c r="FQ391">
        <f>IF(ISBLANK('Data Entry'!$í$391), "", 'Data Entry'!$í$391)</f>
      </c>
      <c r="FR391">
        <f>IF(ISBLANK('Data Entry'!$î$391), "", 'Data Entry'!$î$391)</f>
      </c>
      <c r="FS391">
        <f>IF(ISBLANK('Data Entry'!$ï$391), "", 'Data Entry'!$ï$391)</f>
      </c>
      <c r="FT391">
        <f>IF(ISBLANK('Data Entry'!$ð$391), "", 'Data Entry'!$ð$391)</f>
      </c>
      <c r="FU391">
        <f>IF(ISBLANK('Data Entry'!$ñ$391), "", 'Data Entry'!$ñ$391)</f>
      </c>
      <c r="FV391">
        <f>IF(ISBLANK('Data Entry'!$ò$391), "", 'Data Entry'!$ò$391)</f>
      </c>
      <c r="FW391">
        <f>IF(ISBLANK('Data Entry'!$ó$391), "", 'Data Entry'!$ó$391)</f>
      </c>
      <c r="FX391">
        <f>IF(ISBLANK('Data Entry'!$ô$391), "", 'Data Entry'!$ô$391)</f>
      </c>
      <c r="FY391">
        <f>IF(ISBLANK('Data Entry'!$õ$391), "", 'Data Entry'!$õ$391)</f>
      </c>
      <c r="FZ391">
        <f>IF(ISBLANK('Data Entry'!$ö$391), "", 'Data Entry'!$ö$391)</f>
      </c>
      <c r="GA391">
        <f>IF(ISBLANK('Data Entry'!$÷$391), "", 'Data Entry'!$÷$391)</f>
      </c>
      <c r="GB391">
        <f>IF(ISBLANK('Data Entry'!$ø$391), "", 'Data Entry'!$ø$391)</f>
      </c>
      <c r="GC391">
        <f>IF(ISBLANK('Data Entry'!$ù$391), "", 'Data Entry'!$ù$391)</f>
      </c>
      <c r="GD391">
        <f>IF(ISBLANK('Data Entry'!$ú$391), "", 'Data Entry'!$ú$391)</f>
      </c>
      <c r="GE391">
        <f>IF(ISBLANK('Data Entry'!$û$391), "", 'Data Entry'!$û$391)</f>
      </c>
      <c r="GF391">
        <f>IF(ISBLANK('Data Entry'!$ü$391), "", 'Data Entry'!$ü$391)</f>
      </c>
      <c r="GG391">
        <f>IF(ISBLANK('Data Entry'!$ý$391), "", 'Data Entry'!$ý$391)</f>
      </c>
      <c r="GH391">
        <f>IF(ISBLANK('Data Entry'!$þ$391), "", 'Data Entry'!$þ$391)</f>
      </c>
      <c r="GI391">
        <f>IF(ISBLANK('Data Entry'!$ÿ$391), "", 'Data Entry'!$ÿ$391)</f>
      </c>
      <c r="GJ391">
        <f>IF(ISBLANK('Data Entry'!$Ā$391), "", 'Data Entry'!$Ā$391)</f>
      </c>
      <c r="GK391">
        <f>IF(ISBLANK('Data Entry'!$ā$391), "", 'Data Entry'!$ā$391)</f>
      </c>
      <c r="GL391">
        <f>IF(ISBLANK('Data Entry'!$Ă$391), "", 'Data Entry'!$Ă$391)</f>
      </c>
      <c r="GM391">
        <f>IF(ISBLANK('Data Entry'!$ă$391), "", 'Data Entry'!$ă$391)</f>
      </c>
      <c r="GN391">
        <f>IF(ISBLANK('Data Entry'!$Ą$391), "", 'Data Entry'!$Ą$391)</f>
      </c>
      <c r="GO391">
        <f>IF(ISBLANK('Data Entry'!$ą$391), "", 'Data Entry'!$ą$391)</f>
      </c>
      <c r="GP391">
        <f>IF(ISBLANK('Data Entry'!$Ć$391), "", 'Data Entry'!$Ć$391)</f>
      </c>
      <c r="GQ391">
        <f>IF(ISBLANK('Data Entry'!$ć$391), "", 'Data Entry'!$ć$391)</f>
      </c>
      <c r="GR391">
        <f>IF(ISBLANK('Data Entry'!$Ĉ$391), "", 'Data Entry'!$Ĉ$391)</f>
      </c>
      <c r="GS391">
        <f>IF(ISBLANK('Data Entry'!$ĉ$391), "", 'Data Entry'!$ĉ$391)</f>
      </c>
      <c r="GT391">
        <f>IF(ISBLANK('Data Entry'!$Ċ$391), "", 'Data Entry'!$Ċ$391)</f>
      </c>
      <c r="GU391">
        <f>IF(ISBLANK('Data Entry'!$ċ$391), "", 'Data Entry'!$ċ$391)</f>
      </c>
      <c r="GV391">
        <f>IF(ISBLANK('Data Entry'!$Č$391), "", 'Data Entry'!$Č$391)</f>
      </c>
      <c r="GW391">
        <f>IF(ISBLANK('Data Entry'!$č$391), "", 'Data Entry'!$č$391)</f>
      </c>
      <c r="GX391">
        <f>IF(ISBLANK('Data Entry'!$Ď$391), "", 'Data Entry'!$Ď$391)</f>
      </c>
      <c r="GY391">
        <f>IF(ISBLANK('Data Entry'!$ď$391), "", 'Data Entry'!$ď$391)</f>
      </c>
      <c r="GZ391">
        <f>IF(ISBLANK('Data Entry'!$Đ$391), "", 'Data Entry'!$Đ$391)</f>
      </c>
      <c r="HA391">
        <f>IF(ISBLANK('Data Entry'!$đ$391), "", 'Data Entry'!$đ$391)</f>
      </c>
      <c r="HB391">
        <f>IF(ISBLANK('Data Entry'!$Ē$391), "", 'Data Entry'!$Ē$391)</f>
      </c>
      <c r="HC391">
        <f>IF(ISBLANK('Data Entry'!$ē$391), "", 'Data Entry'!$ē$391)</f>
      </c>
      <c r="HD391">
        <f>IF(ISBLANK('Data Entry'!$Ĕ$391), "", 'Data Entry'!$Ĕ$391)</f>
      </c>
      <c r="HE391">
        <f>IF(ISBLANK('Data Entry'!$ĕ$391), "", 'Data Entry'!$ĕ$391)</f>
      </c>
      <c r="HF391">
        <f>IF(ISBLANK('Data Entry'!$Ė$391), "", 'Data Entry'!$Ė$391)</f>
      </c>
      <c r="HG391">
        <f>IF(ISBLANK('Data Entry'!$ė$391), "", 'Data Entry'!$ė$391)</f>
      </c>
      <c r="HH391">
        <f>IF(ISBLANK('Data Entry'!$Ę$391), "", 'Data Entry'!$Ę$391)</f>
      </c>
      <c r="HI391">
        <f>IF(ISBLANK('Data Entry'!$ę$391), "", 'Data Entry'!$ę$391)</f>
      </c>
      <c r="HJ391">
        <f>IF(ISBLANK('Data Entry'!$Ě$391), "", 'Data Entry'!$Ě$391)</f>
      </c>
      <c r="HK391">
        <f>IF(ISBLANK('Data Entry'!$ě$391), "", 'Data Entry'!$ě$391)</f>
      </c>
      <c r="HL391">
        <f>IF(ISBLANK('Data Entry'!$Ĝ$391), "", 'Data Entry'!$Ĝ$391)</f>
      </c>
      <c r="HM391">
        <f>IF(ISBLANK('Data Entry'!$ĝ$391), "", 'Data Entry'!$ĝ$391)</f>
      </c>
      <c r="HN391">
        <f>IF(ISBLANK('Data Entry'!$Ğ$391), "", 'Data Entry'!$Ğ$391)</f>
      </c>
      <c r="HO391">
        <f>IF(ISBLANK('Data Entry'!$ğ$391), "", 'Data Entry'!$ğ$391)</f>
      </c>
      <c r="HP391">
        <f>IF(ISBLANK('Data Entry'!$Ġ$391), "", 'Data Entry'!$Ġ$391)</f>
      </c>
      <c r="HQ391">
        <f>IF(ISBLANK('Data Entry'!$ġ$391), "", 'Data Entry'!$ġ$391)</f>
      </c>
      <c r="HR391">
        <f>IF(ISBLANK('Data Entry'!$Ģ$391), "", 'Data Entry'!$Ģ$391)</f>
      </c>
      <c r="HS391">
        <f>IF(ISBLANK('Data Entry'!$ģ$391), "", 'Data Entry'!$ģ$391)</f>
      </c>
      <c r="HT391">
        <f>IF(ISBLANK('Data Entry'!$Ĥ$391), "", 'Data Entry'!$Ĥ$391)</f>
      </c>
      <c r="HU391">
        <f>IF(ISBLANK('Data Entry'!$ĥ$391), "", 'Data Entry'!$ĥ$391)</f>
      </c>
      <c r="HV391">
        <f>IF(ISBLANK('Data Entry'!$Ħ$391), "", 'Data Entry'!$Ħ$391)</f>
      </c>
      <c r="HW391">
        <f>IF(ISBLANK('Data Entry'!$ħ$391), "", 'Data Entry'!$ħ$391)</f>
      </c>
      <c r="HX391">
        <f>IF(ISBLANK('Data Entry'!$Ĩ$391), "", 'Data Entry'!$Ĩ$391)</f>
      </c>
      <c r="HY391">
        <f>IF(ISBLANK('Data Entry'!$ĩ$391), "", 'Data Entry'!$ĩ$391)</f>
      </c>
      <c r="HZ391">
        <f>IF(ISBLANK('Data Entry'!$Ī$391), "", 'Data Entry'!$Ī$391)</f>
      </c>
      <c r="IA391">
        <f>IF(ISBLANK('Data Entry'!$ī$391), "", 'Data Entry'!$ī$391)</f>
      </c>
      <c r="IB391">
        <f>IF(ISBLANK('Data Entry'!$Ĭ$391), "", 'Data Entry'!$Ĭ$391)</f>
      </c>
      <c r="IC391">
        <f>IF(ISBLANK('Data Entry'!$ĭ$391), "", 'Data Entry'!$ĭ$391)</f>
      </c>
      <c r="ID391">
        <f>IF(ISBLANK('Data Entry'!$Į$391), "", 'Data Entry'!$Į$391)</f>
      </c>
      <c r="IE391">
        <f>IF(ISBLANK('Data Entry'!$į$391), "", 'Data Entry'!$į$391)</f>
      </c>
      <c r="IF391">
        <f>IF(ISBLANK('Data Entry'!$İ$391), "", 'Data Entry'!$İ$391)</f>
      </c>
      <c r="IG391">
        <f>IF(ISBLANK('Data Entry'!$ı$391), "", 'Data Entry'!$ı$391)</f>
      </c>
      <c r="IH391">
        <f>IF(ISBLANK('Data Entry'!$Ĳ$391), "", 'Data Entry'!$Ĳ$391)</f>
      </c>
      <c r="II391">
        <f>IF(ISBLANK('Data Entry'!$ĳ$391), "", 'Data Entry'!$ĳ$391)</f>
      </c>
      <c r="IJ391">
        <f>IF(ISBLANK('Data Entry'!$Ĵ$391), "", 'Data Entry'!$Ĵ$391)</f>
      </c>
      <c r="IK391">
        <f>IF(ISBLANK('Data Entry'!$ĵ$391), "", 'Data Entry'!$ĵ$391)</f>
      </c>
      <c r="IL391">
        <f>IF(ISBLANK('Data Entry'!$Ķ$391), "", 'Data Entry'!$Ķ$391)</f>
      </c>
      <c r="IM391">
        <f>IF(ISBLANK('Data Entry'!$ķ$391), "", 'Data Entry'!$ķ$391)</f>
      </c>
      <c r="IN391">
        <f>IF(ISBLANK('Data Entry'!$ĸ$391), "", 'Data Entry'!$ĸ$391)</f>
      </c>
      <c r="IO391">
        <f>IF(ISBLANK('Data Entry'!$Ĺ$391), "", 'Data Entry'!$Ĺ$391)</f>
      </c>
      <c r="IP391">
        <f>IF(ISBLANK('Data Entry'!$ĺ$391), "", 'Data Entry'!$ĺ$391)</f>
      </c>
      <c r="IQ391">
        <f>IF(ISBLANK('Data Entry'!$Ļ$391), "", 'Data Entry'!$Ļ$391)</f>
      </c>
      <c r="IR391">
        <f>IF(ISBLANK('Data Entry'!$ļ$391), "", 'Data Entry'!$ļ$391)</f>
      </c>
      <c r="IS391">
        <f>IF(ISBLANK('Data Entry'!$Ľ$391), "", 'Data Entry'!$Ľ$391)</f>
      </c>
      <c r="IT391">
        <f>IF(ISBLANK('Data Entry'!$ľ$391), "", 'Data Entry'!$ľ$391)</f>
      </c>
    </row>
    <row r="392" spans="1:254" x14ac:dyDescent="0.25">
      <c r="A392">
        <f>IF(ISBLANK('Data Entry'!$A$392), "", 'Data Entry'!$A$392)</f>
      </c>
      <c r="B392">
        <f>IF(ISBLANK('Data Entry'!$B$392), "", 'Data Entry'!$B$392)</f>
      </c>
      <c r="C392">
        <f>IF(ISBLANK('Data Entry'!$C$392), "", 'Data Entry'!$C$392)</f>
      </c>
      <c r="D392">
        <f>IF(ISBLANK('Data Entry'!$D$392), "", 'Data Entry'!$D$392)</f>
      </c>
      <c r="E392">
        <f>IF(ISBLANK('Data Entry'!$E$392), "", 'Data Entry'!$E$392)</f>
      </c>
      <c r="F392">
        <f>IF(ISBLANK('Data Entry'!$F$392), "", 'Data Entry'!$F$392)</f>
      </c>
      <c r="G392">
        <f>IF(ISBLANK('Data Entry'!$G$392), "", 'Data Entry'!$G$392)</f>
      </c>
      <c r="H392">
        <f>IF(ISBLANK('Data Entry'!$H$392), "", 'Data Entry'!$H$392)</f>
      </c>
      <c r="I392">
        <f>IF(ISBLANK('Data Entry'!$I$392), "", 'Data Entry'!$I$392)</f>
      </c>
      <c r="J392">
        <f>IF(ISBLANK('Data Entry'!$J$392), "", 'Data Entry'!$J$392)</f>
      </c>
      <c r="K392">
        <f>IF(ISBLANK('Data Entry'!$K$392), "", 'Data Entry'!$K$392)</f>
      </c>
      <c r="L392">
        <f>IF(ISBLANK('Data Entry'!$L$392), "", 'Data Entry'!$L$392)</f>
      </c>
      <c r="M392">
        <f>IF(ISBLANK('Data Entry'!$M$392), "", 'Data Entry'!$M$392)</f>
      </c>
      <c r="N392">
        <f>IF(ISBLANK('Data Entry'!$N$392), "", 'Data Entry'!$N$392)</f>
      </c>
      <c r="O392">
        <f>IF(ISBLANK('Data Entry'!$O$392), "", 'Data Entry'!$O$392)</f>
      </c>
      <c r="P392">
        <f>IF(ISBLANK('Data Entry'!$P$392), "", 'Data Entry'!$P$392)</f>
      </c>
      <c r="Q392">
        <f>IF(ISBLANK('Data Entry'!$Q$392), "", 'Data Entry'!$Q$392)</f>
      </c>
      <c r="R392">
        <f>IF(ISBLANK('Data Entry'!$R$392), "", 'Data Entry'!$R$392)</f>
      </c>
      <c r="S392">
        <f>IF(ISBLANK('Data Entry'!$S$392), "", 'Data Entry'!$S$392)</f>
      </c>
      <c r="T392">
        <f>IF(ISBLANK('Data Entry'!$T$392), "", 'Data Entry'!$T$392)</f>
      </c>
      <c r="U392">
        <f>IF(ISBLANK('Data Entry'!$U$392), "", 'Data Entry'!$U$392)</f>
      </c>
      <c r="V392">
        <f>IF(ISBLANK('Data Entry'!$V$392), "", 'Data Entry'!$V$392)</f>
      </c>
      <c r="W392">
        <f>IF(ISBLANK('Data Entry'!$W$392), "", 'Data Entry'!$W$392)</f>
      </c>
      <c r="X392">
        <f>IF(ISBLANK('Data Entry'!$X$392), "", 'Data Entry'!$X$392)</f>
      </c>
      <c r="Y392">
        <f>IF(ISBLANK('Data Entry'!$Y$392), "", 'Data Entry'!$Y$392)</f>
      </c>
      <c r="Z392">
        <f>IF(ISBLANK('Data Entry'!$Z$392), "", 'Data Entry'!$Z$392)</f>
      </c>
      <c r="AA392">
        <f>IF(ISBLANK('Data Entry'!$[$392), "", 'Data Entry'!$[$392)</f>
      </c>
      <c r="AB392">
        <f>IF(ISBLANK('Data Entry'!$\$392), "", 'Data Entry'!$\$392)</f>
      </c>
      <c r="AC392">
        <f>IF(ISBLANK('Data Entry'!$]$392), "", 'Data Entry'!$]$392)</f>
      </c>
      <c r="AD392">
        <f>IF(ISBLANK('Data Entry'!$^$392), "", 'Data Entry'!$^$392)</f>
      </c>
      <c r="AE392">
        <f>IF(ISBLANK('Data Entry'!$_$392), "", 'Data Entry'!$_$392)</f>
      </c>
      <c r="AF392">
        <f>IF(ISBLANK('Data Entry'!$`$392), "", 'Data Entry'!$`$392)</f>
      </c>
      <c r="AG392">
        <f>IF(ISBLANK('Data Entry'!$a$392), "", 'Data Entry'!$a$392)</f>
      </c>
      <c r="AH392">
        <f>IF(ISBLANK('Data Entry'!$b$392), "", 'Data Entry'!$b$392)</f>
      </c>
      <c r="AI392">
        <f>IF(ISBLANK('Data Entry'!$c$392), "", 'Data Entry'!$c$392)</f>
      </c>
      <c r="AJ392">
        <f>IF(ISBLANK('Data Entry'!$d$392), "", 'Data Entry'!$d$392)</f>
      </c>
      <c r="AK392">
        <f>IF(ISBLANK('Data Entry'!$e$392), "", 'Data Entry'!$e$392)</f>
      </c>
      <c r="AL392">
        <f>IF(ISBLANK('Data Entry'!$f$392), "", 'Data Entry'!$f$392)</f>
      </c>
      <c r="AM392">
        <f>IF(ISBLANK('Data Entry'!$g$392), "", 'Data Entry'!$g$392)</f>
      </c>
      <c r="AN392">
        <f>IF(ISBLANK('Data Entry'!$h$392), "", 'Data Entry'!$h$392)</f>
      </c>
      <c r="AO392">
        <f>IF(ISBLANK('Data Entry'!$i$392), "", 'Data Entry'!$i$392)</f>
      </c>
      <c r="AP392">
        <f>IF(ISBLANK('Data Entry'!$j$392), "", 'Data Entry'!$j$392)</f>
      </c>
      <c r="AQ392">
        <f>IF(ISBLANK('Data Entry'!$k$392), "", 'Data Entry'!$k$392)</f>
      </c>
      <c r="AR392">
        <f>IF(ISBLANK('Data Entry'!$l$392), "", 'Data Entry'!$l$392)</f>
      </c>
      <c r="AS392">
        <f>IF(ISBLANK('Data Entry'!$m$392), "", 'Data Entry'!$m$392)</f>
      </c>
      <c r="AT392">
        <f>IF(ISBLANK('Data Entry'!$n$392), "", 'Data Entry'!$n$392)</f>
      </c>
      <c r="AU392">
        <f>IF(ISBLANK('Data Entry'!$o$392), "", 'Data Entry'!$o$392)</f>
      </c>
      <c r="AV392">
        <f>IF(ISBLANK('Data Entry'!$p$392), "", 'Data Entry'!$p$392)</f>
      </c>
      <c r="AW392">
        <f>IF(ISBLANK('Data Entry'!$q$392), "", 'Data Entry'!$q$392)</f>
      </c>
      <c r="AX392">
        <f>IF(ISBLANK('Data Entry'!$r$392), "", 'Data Entry'!$r$392)</f>
      </c>
      <c r="AY392">
        <f>IF(ISBLANK('Data Entry'!$s$392), "", 'Data Entry'!$s$392)</f>
      </c>
      <c r="AZ392">
        <f>IF(ISBLANK('Data Entry'!$t$392), "", 'Data Entry'!$t$392)</f>
      </c>
      <c r="BA392">
        <f>IF(ISBLANK('Data Entry'!$u$392), "", 'Data Entry'!$u$392)</f>
      </c>
      <c r="BB392">
        <f>IF(ISBLANK('Data Entry'!$v$392), "", 'Data Entry'!$v$392)</f>
      </c>
      <c r="BC392">
        <f>IF(ISBLANK('Data Entry'!$w$392), "", 'Data Entry'!$w$392)</f>
      </c>
      <c r="BD392">
        <f>IF(ISBLANK('Data Entry'!$x$392), "", 'Data Entry'!$x$392)</f>
      </c>
      <c r="BE392">
        <f>IF(ISBLANK('Data Entry'!$y$392), "", 'Data Entry'!$y$392)</f>
      </c>
      <c r="BF392">
        <f>IF(ISBLANK('Data Entry'!$z$392), "", 'Data Entry'!$z$392)</f>
      </c>
      <c r="BG392">
        <f>IF(ISBLANK('Data Entry'!${$392), "", 'Data Entry'!${$392)</f>
      </c>
      <c r="BH392">
        <f>IF(ISBLANK('Data Entry'!$|$392), "", 'Data Entry'!$|$392)</f>
      </c>
      <c r="BI392">
        <f>IF(ISBLANK('Data Entry'!$}$392), "", 'Data Entry'!$}$392)</f>
      </c>
      <c r="BJ392">
        <f>IF(ISBLANK('Data Entry'!$~$392), "", 'Data Entry'!$~$392)</f>
      </c>
      <c r="BK392">
        <f>IF(ISBLANK('Data Entry'!$$392), "", 'Data Entry'!$$392)</f>
      </c>
      <c r="BL392">
        <f>IF(ISBLANK('Data Entry'!$$392), "", 'Data Entry'!$$392)</f>
      </c>
      <c r="BM392">
        <f>IF(ISBLANK('Data Entry'!$$392), "", 'Data Entry'!$$392)</f>
      </c>
      <c r="BN392">
        <f>IF(ISBLANK('Data Entry'!$$392), "", 'Data Entry'!$$392)</f>
      </c>
      <c r="BO392">
        <f>IF(ISBLANK('Data Entry'!$$392), "", 'Data Entry'!$$392)</f>
      </c>
      <c r="BP392">
        <f>IF(ISBLANK('Data Entry'!$$392), "", 'Data Entry'!$$392)</f>
      </c>
      <c r="BQ392">
        <f>IF(ISBLANK('Data Entry'!$$392), "", 'Data Entry'!$$392)</f>
      </c>
      <c r="BR392">
        <f>IF(ISBLANK('Data Entry'!$$392), "", 'Data Entry'!$$392)</f>
      </c>
      <c r="BS392">
        <f>IF(ISBLANK('Data Entry'!$$392), "", 'Data Entry'!$$392)</f>
      </c>
      <c r="BT392">
        <f>IF(ISBLANK('Data Entry'!$$392), "", 'Data Entry'!$$392)</f>
      </c>
      <c r="BU392">
        <f>IF(ISBLANK('Data Entry'!$$392), "", 'Data Entry'!$$392)</f>
      </c>
      <c r="BV392">
        <f>IF(ISBLANK('Data Entry'!$$392), "", 'Data Entry'!$$392)</f>
      </c>
      <c r="BW392">
        <f>IF(ISBLANK('Data Entry'!$$392), "", 'Data Entry'!$$392)</f>
      </c>
      <c r="BX392">
        <f>IF(ISBLANK('Data Entry'!$$392), "", 'Data Entry'!$$392)</f>
      </c>
      <c r="BY392">
        <f>IF(ISBLANK('Data Entry'!$$392), "", 'Data Entry'!$$392)</f>
      </c>
      <c r="BZ392">
        <f>IF(ISBLANK('Data Entry'!$$392), "", 'Data Entry'!$$392)</f>
      </c>
      <c r="CA392">
        <f>IF(ISBLANK('Data Entry'!$$392), "", 'Data Entry'!$$392)</f>
      </c>
      <c r="CB392">
        <f>IF(ISBLANK('Data Entry'!$$392), "", 'Data Entry'!$$392)</f>
      </c>
      <c r="CC392">
        <f>IF(ISBLANK('Data Entry'!$$392), "", 'Data Entry'!$$392)</f>
      </c>
      <c r="CD392">
        <f>IF(ISBLANK('Data Entry'!$$392), "", 'Data Entry'!$$392)</f>
      </c>
      <c r="CE392">
        <f>IF(ISBLANK('Data Entry'!$$392), "", 'Data Entry'!$$392)</f>
      </c>
      <c r="CF392">
        <f>IF(ISBLANK('Data Entry'!$$392), "", 'Data Entry'!$$392)</f>
      </c>
      <c r="CG392">
        <f>IF(ISBLANK('Data Entry'!$$392), "", 'Data Entry'!$$392)</f>
      </c>
      <c r="CH392">
        <f>IF(ISBLANK('Data Entry'!$$392), "", 'Data Entry'!$$392)</f>
      </c>
      <c r="CI392">
        <f>IF(ISBLANK('Data Entry'!$$392), "", 'Data Entry'!$$392)</f>
      </c>
      <c r="CJ392">
        <f>IF(ISBLANK('Data Entry'!$$392), "", 'Data Entry'!$$392)</f>
      </c>
      <c r="CK392">
        <f>IF(ISBLANK('Data Entry'!$$392), "", 'Data Entry'!$$392)</f>
      </c>
      <c r="CL392">
        <f>IF(ISBLANK('Data Entry'!$$392), "", 'Data Entry'!$$392)</f>
      </c>
      <c r="CM392">
        <f>IF(ISBLANK('Data Entry'!$$392), "", 'Data Entry'!$$392)</f>
      </c>
      <c r="CN392">
        <f>IF(ISBLANK('Data Entry'!$$392), "", 'Data Entry'!$$392)</f>
      </c>
      <c r="CO392">
        <f>IF(ISBLANK('Data Entry'!$$392), "", 'Data Entry'!$$392)</f>
      </c>
      <c r="CP392">
        <f>IF(ISBLANK('Data Entry'!$$392), "", 'Data Entry'!$$392)</f>
      </c>
      <c r="CQ392">
        <f>IF(ISBLANK('Data Entry'!$$392), "", 'Data Entry'!$$392)</f>
      </c>
      <c r="CR392">
        <f>IF(ISBLANK('Data Entry'!$ $392), "", 'Data Entry'!$ $392)</f>
      </c>
      <c r="CS392">
        <f>IF(ISBLANK('Data Entry'!$¡$392), "", 'Data Entry'!$¡$392)</f>
      </c>
      <c r="CT392">
        <f>IF(ISBLANK('Data Entry'!$¢$392), "", 'Data Entry'!$¢$392)</f>
      </c>
      <c r="CU392">
        <f>IF(ISBLANK('Data Entry'!$£$392), "", 'Data Entry'!$£$392)</f>
      </c>
      <c r="CV392">
        <f>IF(ISBLANK('Data Entry'!$¤$392), "", 'Data Entry'!$¤$392)</f>
      </c>
      <c r="CW392">
        <f>IF(ISBLANK('Data Entry'!$¥$392), "", 'Data Entry'!$¥$392)</f>
      </c>
      <c r="CX392">
        <f>IF(ISBLANK('Data Entry'!$¦$392), "", 'Data Entry'!$¦$392)</f>
      </c>
      <c r="CY392">
        <f>IF(ISBLANK('Data Entry'!$§$392), "", 'Data Entry'!$§$392)</f>
      </c>
      <c r="CZ392">
        <f>IF(ISBLANK('Data Entry'!$¨$392), "", 'Data Entry'!$¨$392)</f>
      </c>
      <c r="DA392">
        <f>IF(ISBLANK('Data Entry'!$©$392), "", 'Data Entry'!$©$392)</f>
      </c>
      <c r="DB392">
        <f>IF(ISBLANK('Data Entry'!$ª$392), "", 'Data Entry'!$ª$392)</f>
      </c>
      <c r="DC392">
        <f>IF(ISBLANK('Data Entry'!$«$392), "", 'Data Entry'!$«$392)</f>
      </c>
      <c r="DD392">
        <f>IF(ISBLANK('Data Entry'!$¬$392), "", 'Data Entry'!$¬$392)</f>
      </c>
      <c r="DE392">
        <f>IF(ISBLANK('Data Entry'!$­$392), "", 'Data Entry'!$­$392)</f>
      </c>
      <c r="DF392">
        <f>IF(ISBLANK('Data Entry'!$®$392), "", 'Data Entry'!$®$392)</f>
      </c>
      <c r="DG392">
        <f>IF(ISBLANK('Data Entry'!$¯$392), "", 'Data Entry'!$¯$392)</f>
      </c>
      <c r="DH392">
        <f>IF(ISBLANK('Data Entry'!$°$392), "", 'Data Entry'!$°$392)</f>
      </c>
      <c r="DI392">
        <f>IF(ISBLANK('Data Entry'!$±$392), "", 'Data Entry'!$±$392)</f>
      </c>
      <c r="DJ392">
        <f>IF(ISBLANK('Data Entry'!$²$392), "", 'Data Entry'!$²$392)</f>
      </c>
      <c r="DK392">
        <f>IF(ISBLANK('Data Entry'!$³$392), "", 'Data Entry'!$³$392)</f>
      </c>
      <c r="DL392">
        <f>IF(ISBLANK('Data Entry'!$´$392), "", 'Data Entry'!$´$392)</f>
      </c>
      <c r="DM392">
        <f>IF(ISBLANK('Data Entry'!$µ$392), "", 'Data Entry'!$µ$392)</f>
      </c>
      <c r="DN392">
        <f>IF(ISBLANK('Data Entry'!$¶$392), "", 'Data Entry'!$¶$392)</f>
      </c>
      <c r="DO392">
        <f>IF(ISBLANK('Data Entry'!$·$392), "", 'Data Entry'!$·$392)</f>
      </c>
      <c r="DP392">
        <f>IF(ISBLANK('Data Entry'!$¸$392), "", 'Data Entry'!$¸$392)</f>
      </c>
      <c r="DQ392">
        <f>IF(ISBLANK('Data Entry'!$¹$392), "", 'Data Entry'!$¹$392)</f>
      </c>
      <c r="DR392">
        <f>IF(ISBLANK('Data Entry'!$º$392), "", 'Data Entry'!$º$392)</f>
      </c>
      <c r="DS392">
        <f>IF(ISBLANK('Data Entry'!$»$392), "", 'Data Entry'!$»$392)</f>
      </c>
      <c r="DT392">
        <f>IF(ISBLANK('Data Entry'!$¼$392), "", 'Data Entry'!$¼$392)</f>
      </c>
      <c r="DU392">
        <f>IF(ISBLANK('Data Entry'!$½$392), "", 'Data Entry'!$½$392)</f>
      </c>
      <c r="DV392">
        <f>IF(ISBLANK('Data Entry'!$¾$392), "", 'Data Entry'!$¾$392)</f>
      </c>
      <c r="DW392">
        <f>IF(ISBLANK('Data Entry'!$¿$392), "", 'Data Entry'!$¿$392)</f>
      </c>
      <c r="DX392">
        <f>IF(ISBLANK('Data Entry'!$À$392), "", 'Data Entry'!$À$392)</f>
      </c>
      <c r="DY392">
        <f>IF(ISBLANK('Data Entry'!$Á$392), "", 'Data Entry'!$Á$392)</f>
      </c>
      <c r="DZ392">
        <f>IF(ISBLANK('Data Entry'!$Â$392), "", 'Data Entry'!$Â$392)</f>
      </c>
      <c r="EA392">
        <f>IF(ISBLANK('Data Entry'!$Ã$392), "", 'Data Entry'!$Ã$392)</f>
      </c>
      <c r="EB392">
        <f>IF(ISBLANK('Data Entry'!$Ä$392), "", 'Data Entry'!$Ä$392)</f>
      </c>
      <c r="EC392">
        <f>IF(ISBLANK('Data Entry'!$Å$392), "", 'Data Entry'!$Å$392)</f>
      </c>
      <c r="ED392">
        <f>IF(ISBLANK('Data Entry'!$Æ$392), "", 'Data Entry'!$Æ$392)</f>
      </c>
      <c r="EE392">
        <f>IF(ISBLANK('Data Entry'!$Ç$392), "", 'Data Entry'!$Ç$392)</f>
      </c>
      <c r="EF392">
        <f>IF(ISBLANK('Data Entry'!$È$392), "", 'Data Entry'!$È$392)</f>
      </c>
      <c r="EG392">
        <f>IF(ISBLANK('Data Entry'!$É$392), "", 'Data Entry'!$É$392)</f>
      </c>
      <c r="EH392">
        <f>IF(ISBLANK('Data Entry'!$Ê$392), "", 'Data Entry'!$Ê$392)</f>
      </c>
      <c r="EI392">
        <f>IF(ISBLANK('Data Entry'!$Ë$392), "", 'Data Entry'!$Ë$392)</f>
      </c>
      <c r="EJ392">
        <f>IF(ISBLANK('Data Entry'!$Ì$392), "", 'Data Entry'!$Ì$392)</f>
      </c>
      <c r="EK392">
        <f>IF(ISBLANK('Data Entry'!$Í$392), "", 'Data Entry'!$Í$392)</f>
      </c>
      <c r="EL392">
        <f>IF(ISBLANK('Data Entry'!$Î$392), "", 'Data Entry'!$Î$392)</f>
      </c>
      <c r="EM392">
        <f>IF(ISBLANK('Data Entry'!$Ï$392), "", 'Data Entry'!$Ï$392)</f>
      </c>
      <c r="EN392">
        <f>IF(ISBLANK('Data Entry'!$Ð$392), "", 'Data Entry'!$Ð$392)</f>
      </c>
      <c r="EO392">
        <f>IF(ISBLANK('Data Entry'!$Ñ$392), "", 'Data Entry'!$Ñ$392)</f>
      </c>
      <c r="EP392">
        <f>IF(ISBLANK('Data Entry'!$Ò$392), "", 'Data Entry'!$Ò$392)</f>
      </c>
      <c r="EQ392">
        <f>IF(ISBLANK('Data Entry'!$Ó$392), "", 'Data Entry'!$Ó$392)</f>
      </c>
      <c r="ER392">
        <f>IF(ISBLANK('Data Entry'!$Ô$392), "", 'Data Entry'!$Ô$392)</f>
      </c>
      <c r="ES392">
        <f>IF(ISBLANK('Data Entry'!$Õ$392), "", 'Data Entry'!$Õ$392)</f>
      </c>
      <c r="ET392">
        <f>IF(ISBLANK('Data Entry'!$Ö$392), "", 'Data Entry'!$Ö$392)</f>
      </c>
      <c r="EU392">
        <f>IF(ISBLANK('Data Entry'!$×$392), "", 'Data Entry'!$×$392)</f>
      </c>
      <c r="EV392">
        <f>IF(ISBLANK('Data Entry'!$Ø$392), "", 'Data Entry'!$Ø$392)</f>
      </c>
      <c r="EW392">
        <f>IF(ISBLANK('Data Entry'!$Ù$392), "", 'Data Entry'!$Ù$392)</f>
      </c>
      <c r="EX392">
        <f>IF(ISBLANK('Data Entry'!$Ú$392), "", 'Data Entry'!$Ú$392)</f>
      </c>
      <c r="EY392">
        <f>IF(ISBLANK('Data Entry'!$Û$392), "", 'Data Entry'!$Û$392)</f>
      </c>
      <c r="EZ392">
        <f>IF(ISBLANK('Data Entry'!$Ü$392), "", 'Data Entry'!$Ü$392)</f>
      </c>
      <c r="FA392">
        <f>IF(ISBLANK('Data Entry'!$Ý$392), "", 'Data Entry'!$Ý$392)</f>
      </c>
      <c r="FB392">
        <f>IF(ISBLANK('Data Entry'!$Þ$392), "", 'Data Entry'!$Þ$392)</f>
      </c>
      <c r="FC392">
        <f>IF(ISBLANK('Data Entry'!$ß$392), "", 'Data Entry'!$ß$392)</f>
      </c>
      <c r="FD392">
        <f>IF(ISBLANK('Data Entry'!$à$392), "", 'Data Entry'!$à$392)</f>
      </c>
      <c r="FE392">
        <f>IF(ISBLANK('Data Entry'!$á$392), "", 'Data Entry'!$á$392)</f>
      </c>
      <c r="FF392">
        <f>IF(ISBLANK('Data Entry'!$â$392), "", 'Data Entry'!$â$392)</f>
      </c>
      <c r="FG392">
        <f>IF(ISBLANK('Data Entry'!$ã$392), "", 'Data Entry'!$ã$392)</f>
      </c>
      <c r="FH392">
        <f>IF(ISBLANK('Data Entry'!$ä$392), "", 'Data Entry'!$ä$392)</f>
      </c>
      <c r="FI392">
        <f>IF(ISBLANK('Data Entry'!$å$392), "", 'Data Entry'!$å$392)</f>
      </c>
      <c r="FJ392">
        <f>IF(ISBLANK('Data Entry'!$æ$392), "", 'Data Entry'!$æ$392)</f>
      </c>
      <c r="FK392">
        <f>IF(ISBLANK('Data Entry'!$ç$392), "", 'Data Entry'!$ç$392)</f>
      </c>
      <c r="FL392">
        <f>IF(ISBLANK('Data Entry'!$è$392), "", 'Data Entry'!$è$392)</f>
      </c>
      <c r="FM392">
        <f>IF(ISBLANK('Data Entry'!$é$392), "", 'Data Entry'!$é$392)</f>
      </c>
      <c r="FN392">
        <f>IF(ISBLANK('Data Entry'!$ê$392), "", 'Data Entry'!$ê$392)</f>
      </c>
      <c r="FO392">
        <f>IF(ISBLANK('Data Entry'!$ë$392), "", 'Data Entry'!$ë$392)</f>
      </c>
      <c r="FP392">
        <f>IF(ISBLANK('Data Entry'!$ì$392), "", 'Data Entry'!$ì$392)</f>
      </c>
      <c r="FQ392">
        <f>IF(ISBLANK('Data Entry'!$í$392), "", 'Data Entry'!$í$392)</f>
      </c>
      <c r="FR392">
        <f>IF(ISBLANK('Data Entry'!$î$392), "", 'Data Entry'!$î$392)</f>
      </c>
      <c r="FS392">
        <f>IF(ISBLANK('Data Entry'!$ï$392), "", 'Data Entry'!$ï$392)</f>
      </c>
      <c r="FT392">
        <f>IF(ISBLANK('Data Entry'!$ð$392), "", 'Data Entry'!$ð$392)</f>
      </c>
      <c r="FU392">
        <f>IF(ISBLANK('Data Entry'!$ñ$392), "", 'Data Entry'!$ñ$392)</f>
      </c>
      <c r="FV392">
        <f>IF(ISBLANK('Data Entry'!$ò$392), "", 'Data Entry'!$ò$392)</f>
      </c>
      <c r="FW392">
        <f>IF(ISBLANK('Data Entry'!$ó$392), "", 'Data Entry'!$ó$392)</f>
      </c>
      <c r="FX392">
        <f>IF(ISBLANK('Data Entry'!$ô$392), "", 'Data Entry'!$ô$392)</f>
      </c>
      <c r="FY392">
        <f>IF(ISBLANK('Data Entry'!$õ$392), "", 'Data Entry'!$õ$392)</f>
      </c>
      <c r="FZ392">
        <f>IF(ISBLANK('Data Entry'!$ö$392), "", 'Data Entry'!$ö$392)</f>
      </c>
      <c r="GA392">
        <f>IF(ISBLANK('Data Entry'!$÷$392), "", 'Data Entry'!$÷$392)</f>
      </c>
      <c r="GB392">
        <f>IF(ISBLANK('Data Entry'!$ø$392), "", 'Data Entry'!$ø$392)</f>
      </c>
      <c r="GC392">
        <f>IF(ISBLANK('Data Entry'!$ù$392), "", 'Data Entry'!$ù$392)</f>
      </c>
      <c r="GD392">
        <f>IF(ISBLANK('Data Entry'!$ú$392), "", 'Data Entry'!$ú$392)</f>
      </c>
      <c r="GE392">
        <f>IF(ISBLANK('Data Entry'!$û$392), "", 'Data Entry'!$û$392)</f>
      </c>
      <c r="GF392">
        <f>IF(ISBLANK('Data Entry'!$ü$392), "", 'Data Entry'!$ü$392)</f>
      </c>
      <c r="GG392">
        <f>IF(ISBLANK('Data Entry'!$ý$392), "", 'Data Entry'!$ý$392)</f>
      </c>
      <c r="GH392">
        <f>IF(ISBLANK('Data Entry'!$þ$392), "", 'Data Entry'!$þ$392)</f>
      </c>
      <c r="GI392">
        <f>IF(ISBLANK('Data Entry'!$ÿ$392), "", 'Data Entry'!$ÿ$392)</f>
      </c>
      <c r="GJ392">
        <f>IF(ISBLANK('Data Entry'!$Ā$392), "", 'Data Entry'!$Ā$392)</f>
      </c>
      <c r="GK392">
        <f>IF(ISBLANK('Data Entry'!$ā$392), "", 'Data Entry'!$ā$392)</f>
      </c>
      <c r="GL392">
        <f>IF(ISBLANK('Data Entry'!$Ă$392), "", 'Data Entry'!$Ă$392)</f>
      </c>
      <c r="GM392">
        <f>IF(ISBLANK('Data Entry'!$ă$392), "", 'Data Entry'!$ă$392)</f>
      </c>
      <c r="GN392">
        <f>IF(ISBLANK('Data Entry'!$Ą$392), "", 'Data Entry'!$Ą$392)</f>
      </c>
      <c r="GO392">
        <f>IF(ISBLANK('Data Entry'!$ą$392), "", 'Data Entry'!$ą$392)</f>
      </c>
      <c r="GP392">
        <f>IF(ISBLANK('Data Entry'!$Ć$392), "", 'Data Entry'!$Ć$392)</f>
      </c>
      <c r="GQ392">
        <f>IF(ISBLANK('Data Entry'!$ć$392), "", 'Data Entry'!$ć$392)</f>
      </c>
      <c r="GR392">
        <f>IF(ISBLANK('Data Entry'!$Ĉ$392), "", 'Data Entry'!$Ĉ$392)</f>
      </c>
      <c r="GS392">
        <f>IF(ISBLANK('Data Entry'!$ĉ$392), "", 'Data Entry'!$ĉ$392)</f>
      </c>
      <c r="GT392">
        <f>IF(ISBLANK('Data Entry'!$Ċ$392), "", 'Data Entry'!$Ċ$392)</f>
      </c>
      <c r="GU392">
        <f>IF(ISBLANK('Data Entry'!$ċ$392), "", 'Data Entry'!$ċ$392)</f>
      </c>
      <c r="GV392">
        <f>IF(ISBLANK('Data Entry'!$Č$392), "", 'Data Entry'!$Č$392)</f>
      </c>
      <c r="GW392">
        <f>IF(ISBLANK('Data Entry'!$č$392), "", 'Data Entry'!$č$392)</f>
      </c>
      <c r="GX392">
        <f>IF(ISBLANK('Data Entry'!$Ď$392), "", 'Data Entry'!$Ď$392)</f>
      </c>
      <c r="GY392">
        <f>IF(ISBLANK('Data Entry'!$ď$392), "", 'Data Entry'!$ď$392)</f>
      </c>
      <c r="GZ392">
        <f>IF(ISBLANK('Data Entry'!$Đ$392), "", 'Data Entry'!$Đ$392)</f>
      </c>
      <c r="HA392">
        <f>IF(ISBLANK('Data Entry'!$đ$392), "", 'Data Entry'!$đ$392)</f>
      </c>
      <c r="HB392">
        <f>IF(ISBLANK('Data Entry'!$Ē$392), "", 'Data Entry'!$Ē$392)</f>
      </c>
      <c r="HC392">
        <f>IF(ISBLANK('Data Entry'!$ē$392), "", 'Data Entry'!$ē$392)</f>
      </c>
      <c r="HD392">
        <f>IF(ISBLANK('Data Entry'!$Ĕ$392), "", 'Data Entry'!$Ĕ$392)</f>
      </c>
      <c r="HE392">
        <f>IF(ISBLANK('Data Entry'!$ĕ$392), "", 'Data Entry'!$ĕ$392)</f>
      </c>
      <c r="HF392">
        <f>IF(ISBLANK('Data Entry'!$Ė$392), "", 'Data Entry'!$Ė$392)</f>
      </c>
      <c r="HG392">
        <f>IF(ISBLANK('Data Entry'!$ė$392), "", 'Data Entry'!$ė$392)</f>
      </c>
      <c r="HH392">
        <f>IF(ISBLANK('Data Entry'!$Ę$392), "", 'Data Entry'!$Ę$392)</f>
      </c>
      <c r="HI392">
        <f>IF(ISBLANK('Data Entry'!$ę$392), "", 'Data Entry'!$ę$392)</f>
      </c>
      <c r="HJ392">
        <f>IF(ISBLANK('Data Entry'!$Ě$392), "", 'Data Entry'!$Ě$392)</f>
      </c>
      <c r="HK392">
        <f>IF(ISBLANK('Data Entry'!$ě$392), "", 'Data Entry'!$ě$392)</f>
      </c>
      <c r="HL392">
        <f>IF(ISBLANK('Data Entry'!$Ĝ$392), "", 'Data Entry'!$Ĝ$392)</f>
      </c>
      <c r="HM392">
        <f>IF(ISBLANK('Data Entry'!$ĝ$392), "", 'Data Entry'!$ĝ$392)</f>
      </c>
      <c r="HN392">
        <f>IF(ISBLANK('Data Entry'!$Ğ$392), "", 'Data Entry'!$Ğ$392)</f>
      </c>
      <c r="HO392">
        <f>IF(ISBLANK('Data Entry'!$ğ$392), "", 'Data Entry'!$ğ$392)</f>
      </c>
      <c r="HP392">
        <f>IF(ISBLANK('Data Entry'!$Ġ$392), "", 'Data Entry'!$Ġ$392)</f>
      </c>
      <c r="HQ392">
        <f>IF(ISBLANK('Data Entry'!$ġ$392), "", 'Data Entry'!$ġ$392)</f>
      </c>
      <c r="HR392">
        <f>IF(ISBLANK('Data Entry'!$Ģ$392), "", 'Data Entry'!$Ģ$392)</f>
      </c>
      <c r="HS392">
        <f>IF(ISBLANK('Data Entry'!$ģ$392), "", 'Data Entry'!$ģ$392)</f>
      </c>
      <c r="HT392">
        <f>IF(ISBLANK('Data Entry'!$Ĥ$392), "", 'Data Entry'!$Ĥ$392)</f>
      </c>
      <c r="HU392">
        <f>IF(ISBLANK('Data Entry'!$ĥ$392), "", 'Data Entry'!$ĥ$392)</f>
      </c>
      <c r="HV392">
        <f>IF(ISBLANK('Data Entry'!$Ħ$392), "", 'Data Entry'!$Ħ$392)</f>
      </c>
      <c r="HW392">
        <f>IF(ISBLANK('Data Entry'!$ħ$392), "", 'Data Entry'!$ħ$392)</f>
      </c>
      <c r="HX392">
        <f>IF(ISBLANK('Data Entry'!$Ĩ$392), "", 'Data Entry'!$Ĩ$392)</f>
      </c>
      <c r="HY392">
        <f>IF(ISBLANK('Data Entry'!$ĩ$392), "", 'Data Entry'!$ĩ$392)</f>
      </c>
      <c r="HZ392">
        <f>IF(ISBLANK('Data Entry'!$Ī$392), "", 'Data Entry'!$Ī$392)</f>
      </c>
      <c r="IA392">
        <f>IF(ISBLANK('Data Entry'!$ī$392), "", 'Data Entry'!$ī$392)</f>
      </c>
      <c r="IB392">
        <f>IF(ISBLANK('Data Entry'!$Ĭ$392), "", 'Data Entry'!$Ĭ$392)</f>
      </c>
      <c r="IC392">
        <f>IF(ISBLANK('Data Entry'!$ĭ$392), "", 'Data Entry'!$ĭ$392)</f>
      </c>
      <c r="ID392">
        <f>IF(ISBLANK('Data Entry'!$Į$392), "", 'Data Entry'!$Į$392)</f>
      </c>
      <c r="IE392">
        <f>IF(ISBLANK('Data Entry'!$į$392), "", 'Data Entry'!$į$392)</f>
      </c>
      <c r="IF392">
        <f>IF(ISBLANK('Data Entry'!$İ$392), "", 'Data Entry'!$İ$392)</f>
      </c>
      <c r="IG392">
        <f>IF(ISBLANK('Data Entry'!$ı$392), "", 'Data Entry'!$ı$392)</f>
      </c>
      <c r="IH392">
        <f>IF(ISBLANK('Data Entry'!$Ĳ$392), "", 'Data Entry'!$Ĳ$392)</f>
      </c>
      <c r="II392">
        <f>IF(ISBLANK('Data Entry'!$ĳ$392), "", 'Data Entry'!$ĳ$392)</f>
      </c>
      <c r="IJ392">
        <f>IF(ISBLANK('Data Entry'!$Ĵ$392), "", 'Data Entry'!$Ĵ$392)</f>
      </c>
      <c r="IK392">
        <f>IF(ISBLANK('Data Entry'!$ĵ$392), "", 'Data Entry'!$ĵ$392)</f>
      </c>
      <c r="IL392">
        <f>IF(ISBLANK('Data Entry'!$Ķ$392), "", 'Data Entry'!$Ķ$392)</f>
      </c>
      <c r="IM392">
        <f>IF(ISBLANK('Data Entry'!$ķ$392), "", 'Data Entry'!$ķ$392)</f>
      </c>
      <c r="IN392">
        <f>IF(ISBLANK('Data Entry'!$ĸ$392), "", 'Data Entry'!$ĸ$392)</f>
      </c>
      <c r="IO392">
        <f>IF(ISBLANK('Data Entry'!$Ĺ$392), "", 'Data Entry'!$Ĺ$392)</f>
      </c>
      <c r="IP392">
        <f>IF(ISBLANK('Data Entry'!$ĺ$392), "", 'Data Entry'!$ĺ$392)</f>
      </c>
      <c r="IQ392">
        <f>IF(ISBLANK('Data Entry'!$Ļ$392), "", 'Data Entry'!$Ļ$392)</f>
      </c>
      <c r="IR392">
        <f>IF(ISBLANK('Data Entry'!$ļ$392), "", 'Data Entry'!$ļ$392)</f>
      </c>
      <c r="IS392">
        <f>IF(ISBLANK('Data Entry'!$Ľ$392), "", 'Data Entry'!$Ľ$392)</f>
      </c>
      <c r="IT392">
        <f>IF(ISBLANK('Data Entry'!$ľ$392), "", 'Data Entry'!$ľ$392)</f>
      </c>
    </row>
    <row r="393" spans="1:254" x14ac:dyDescent="0.25">
      <c r="A393">
        <f>IF(ISBLANK('Data Entry'!$A$393), "", 'Data Entry'!$A$393)</f>
      </c>
      <c r="B393">
        <f>IF(ISBLANK('Data Entry'!$B$393), "", 'Data Entry'!$B$393)</f>
      </c>
      <c r="C393">
        <f>IF(ISBLANK('Data Entry'!$C$393), "", 'Data Entry'!$C$393)</f>
      </c>
      <c r="D393">
        <f>IF(ISBLANK('Data Entry'!$D$393), "", 'Data Entry'!$D$393)</f>
      </c>
      <c r="E393">
        <f>IF(ISBLANK('Data Entry'!$E$393), "", 'Data Entry'!$E$393)</f>
      </c>
      <c r="F393">
        <f>IF(ISBLANK('Data Entry'!$F$393), "", 'Data Entry'!$F$393)</f>
      </c>
      <c r="G393">
        <f>IF(ISBLANK('Data Entry'!$G$393), "", 'Data Entry'!$G$393)</f>
      </c>
      <c r="H393">
        <f>IF(ISBLANK('Data Entry'!$H$393), "", 'Data Entry'!$H$393)</f>
      </c>
      <c r="I393">
        <f>IF(ISBLANK('Data Entry'!$I$393), "", 'Data Entry'!$I$393)</f>
      </c>
      <c r="J393">
        <f>IF(ISBLANK('Data Entry'!$J$393), "", 'Data Entry'!$J$393)</f>
      </c>
      <c r="K393">
        <f>IF(ISBLANK('Data Entry'!$K$393), "", 'Data Entry'!$K$393)</f>
      </c>
      <c r="L393">
        <f>IF(ISBLANK('Data Entry'!$L$393), "", 'Data Entry'!$L$393)</f>
      </c>
      <c r="M393">
        <f>IF(ISBLANK('Data Entry'!$M$393), "", 'Data Entry'!$M$393)</f>
      </c>
      <c r="N393">
        <f>IF(ISBLANK('Data Entry'!$N$393), "", 'Data Entry'!$N$393)</f>
      </c>
      <c r="O393">
        <f>IF(ISBLANK('Data Entry'!$O$393), "", 'Data Entry'!$O$393)</f>
      </c>
      <c r="P393">
        <f>IF(ISBLANK('Data Entry'!$P$393), "", 'Data Entry'!$P$393)</f>
      </c>
      <c r="Q393">
        <f>IF(ISBLANK('Data Entry'!$Q$393), "", 'Data Entry'!$Q$393)</f>
      </c>
      <c r="R393">
        <f>IF(ISBLANK('Data Entry'!$R$393), "", 'Data Entry'!$R$393)</f>
      </c>
      <c r="S393">
        <f>IF(ISBLANK('Data Entry'!$S$393), "", 'Data Entry'!$S$393)</f>
      </c>
      <c r="T393">
        <f>IF(ISBLANK('Data Entry'!$T$393), "", 'Data Entry'!$T$393)</f>
      </c>
      <c r="U393">
        <f>IF(ISBLANK('Data Entry'!$U$393), "", 'Data Entry'!$U$393)</f>
      </c>
      <c r="V393">
        <f>IF(ISBLANK('Data Entry'!$V$393), "", 'Data Entry'!$V$393)</f>
      </c>
      <c r="W393">
        <f>IF(ISBLANK('Data Entry'!$W$393), "", 'Data Entry'!$W$393)</f>
      </c>
      <c r="X393">
        <f>IF(ISBLANK('Data Entry'!$X$393), "", 'Data Entry'!$X$393)</f>
      </c>
      <c r="Y393">
        <f>IF(ISBLANK('Data Entry'!$Y$393), "", 'Data Entry'!$Y$393)</f>
      </c>
      <c r="Z393">
        <f>IF(ISBLANK('Data Entry'!$Z$393), "", 'Data Entry'!$Z$393)</f>
      </c>
      <c r="AA393">
        <f>IF(ISBLANK('Data Entry'!$[$393), "", 'Data Entry'!$[$393)</f>
      </c>
      <c r="AB393">
        <f>IF(ISBLANK('Data Entry'!$\$393), "", 'Data Entry'!$\$393)</f>
      </c>
      <c r="AC393">
        <f>IF(ISBLANK('Data Entry'!$]$393), "", 'Data Entry'!$]$393)</f>
      </c>
      <c r="AD393">
        <f>IF(ISBLANK('Data Entry'!$^$393), "", 'Data Entry'!$^$393)</f>
      </c>
      <c r="AE393">
        <f>IF(ISBLANK('Data Entry'!$_$393), "", 'Data Entry'!$_$393)</f>
      </c>
      <c r="AF393">
        <f>IF(ISBLANK('Data Entry'!$`$393), "", 'Data Entry'!$`$393)</f>
      </c>
      <c r="AG393">
        <f>IF(ISBLANK('Data Entry'!$a$393), "", 'Data Entry'!$a$393)</f>
      </c>
      <c r="AH393">
        <f>IF(ISBLANK('Data Entry'!$b$393), "", 'Data Entry'!$b$393)</f>
      </c>
      <c r="AI393">
        <f>IF(ISBLANK('Data Entry'!$c$393), "", 'Data Entry'!$c$393)</f>
      </c>
      <c r="AJ393">
        <f>IF(ISBLANK('Data Entry'!$d$393), "", 'Data Entry'!$d$393)</f>
      </c>
      <c r="AK393">
        <f>IF(ISBLANK('Data Entry'!$e$393), "", 'Data Entry'!$e$393)</f>
      </c>
      <c r="AL393">
        <f>IF(ISBLANK('Data Entry'!$f$393), "", 'Data Entry'!$f$393)</f>
      </c>
      <c r="AM393">
        <f>IF(ISBLANK('Data Entry'!$g$393), "", 'Data Entry'!$g$393)</f>
      </c>
      <c r="AN393">
        <f>IF(ISBLANK('Data Entry'!$h$393), "", 'Data Entry'!$h$393)</f>
      </c>
      <c r="AO393">
        <f>IF(ISBLANK('Data Entry'!$i$393), "", 'Data Entry'!$i$393)</f>
      </c>
      <c r="AP393">
        <f>IF(ISBLANK('Data Entry'!$j$393), "", 'Data Entry'!$j$393)</f>
      </c>
      <c r="AQ393">
        <f>IF(ISBLANK('Data Entry'!$k$393), "", 'Data Entry'!$k$393)</f>
      </c>
      <c r="AR393">
        <f>IF(ISBLANK('Data Entry'!$l$393), "", 'Data Entry'!$l$393)</f>
      </c>
      <c r="AS393">
        <f>IF(ISBLANK('Data Entry'!$m$393), "", 'Data Entry'!$m$393)</f>
      </c>
      <c r="AT393">
        <f>IF(ISBLANK('Data Entry'!$n$393), "", 'Data Entry'!$n$393)</f>
      </c>
      <c r="AU393">
        <f>IF(ISBLANK('Data Entry'!$o$393), "", 'Data Entry'!$o$393)</f>
      </c>
      <c r="AV393">
        <f>IF(ISBLANK('Data Entry'!$p$393), "", 'Data Entry'!$p$393)</f>
      </c>
      <c r="AW393">
        <f>IF(ISBLANK('Data Entry'!$q$393), "", 'Data Entry'!$q$393)</f>
      </c>
      <c r="AX393">
        <f>IF(ISBLANK('Data Entry'!$r$393), "", 'Data Entry'!$r$393)</f>
      </c>
      <c r="AY393">
        <f>IF(ISBLANK('Data Entry'!$s$393), "", 'Data Entry'!$s$393)</f>
      </c>
      <c r="AZ393">
        <f>IF(ISBLANK('Data Entry'!$t$393), "", 'Data Entry'!$t$393)</f>
      </c>
      <c r="BA393">
        <f>IF(ISBLANK('Data Entry'!$u$393), "", 'Data Entry'!$u$393)</f>
      </c>
      <c r="BB393">
        <f>IF(ISBLANK('Data Entry'!$v$393), "", 'Data Entry'!$v$393)</f>
      </c>
      <c r="BC393">
        <f>IF(ISBLANK('Data Entry'!$w$393), "", 'Data Entry'!$w$393)</f>
      </c>
      <c r="BD393">
        <f>IF(ISBLANK('Data Entry'!$x$393), "", 'Data Entry'!$x$393)</f>
      </c>
      <c r="BE393">
        <f>IF(ISBLANK('Data Entry'!$y$393), "", 'Data Entry'!$y$393)</f>
      </c>
      <c r="BF393">
        <f>IF(ISBLANK('Data Entry'!$z$393), "", 'Data Entry'!$z$393)</f>
      </c>
      <c r="BG393">
        <f>IF(ISBLANK('Data Entry'!${$393), "", 'Data Entry'!${$393)</f>
      </c>
      <c r="BH393">
        <f>IF(ISBLANK('Data Entry'!$|$393), "", 'Data Entry'!$|$393)</f>
      </c>
      <c r="BI393">
        <f>IF(ISBLANK('Data Entry'!$}$393), "", 'Data Entry'!$}$393)</f>
      </c>
      <c r="BJ393">
        <f>IF(ISBLANK('Data Entry'!$~$393), "", 'Data Entry'!$~$393)</f>
      </c>
      <c r="BK393">
        <f>IF(ISBLANK('Data Entry'!$$393), "", 'Data Entry'!$$393)</f>
      </c>
      <c r="BL393">
        <f>IF(ISBLANK('Data Entry'!$$393), "", 'Data Entry'!$$393)</f>
      </c>
      <c r="BM393">
        <f>IF(ISBLANK('Data Entry'!$$393), "", 'Data Entry'!$$393)</f>
      </c>
      <c r="BN393">
        <f>IF(ISBLANK('Data Entry'!$$393), "", 'Data Entry'!$$393)</f>
      </c>
      <c r="BO393">
        <f>IF(ISBLANK('Data Entry'!$$393), "", 'Data Entry'!$$393)</f>
      </c>
      <c r="BP393">
        <f>IF(ISBLANK('Data Entry'!$$393), "", 'Data Entry'!$$393)</f>
      </c>
      <c r="BQ393">
        <f>IF(ISBLANK('Data Entry'!$$393), "", 'Data Entry'!$$393)</f>
      </c>
      <c r="BR393">
        <f>IF(ISBLANK('Data Entry'!$$393), "", 'Data Entry'!$$393)</f>
      </c>
      <c r="BS393">
        <f>IF(ISBLANK('Data Entry'!$$393), "", 'Data Entry'!$$393)</f>
      </c>
      <c r="BT393">
        <f>IF(ISBLANK('Data Entry'!$$393), "", 'Data Entry'!$$393)</f>
      </c>
      <c r="BU393">
        <f>IF(ISBLANK('Data Entry'!$$393), "", 'Data Entry'!$$393)</f>
      </c>
      <c r="BV393">
        <f>IF(ISBLANK('Data Entry'!$$393), "", 'Data Entry'!$$393)</f>
      </c>
      <c r="BW393">
        <f>IF(ISBLANK('Data Entry'!$$393), "", 'Data Entry'!$$393)</f>
      </c>
      <c r="BX393">
        <f>IF(ISBLANK('Data Entry'!$$393), "", 'Data Entry'!$$393)</f>
      </c>
      <c r="BY393">
        <f>IF(ISBLANK('Data Entry'!$$393), "", 'Data Entry'!$$393)</f>
      </c>
      <c r="BZ393">
        <f>IF(ISBLANK('Data Entry'!$$393), "", 'Data Entry'!$$393)</f>
      </c>
      <c r="CA393">
        <f>IF(ISBLANK('Data Entry'!$$393), "", 'Data Entry'!$$393)</f>
      </c>
      <c r="CB393">
        <f>IF(ISBLANK('Data Entry'!$$393), "", 'Data Entry'!$$393)</f>
      </c>
      <c r="CC393">
        <f>IF(ISBLANK('Data Entry'!$$393), "", 'Data Entry'!$$393)</f>
      </c>
      <c r="CD393">
        <f>IF(ISBLANK('Data Entry'!$$393), "", 'Data Entry'!$$393)</f>
      </c>
      <c r="CE393">
        <f>IF(ISBLANK('Data Entry'!$$393), "", 'Data Entry'!$$393)</f>
      </c>
      <c r="CF393">
        <f>IF(ISBLANK('Data Entry'!$$393), "", 'Data Entry'!$$393)</f>
      </c>
      <c r="CG393">
        <f>IF(ISBLANK('Data Entry'!$$393), "", 'Data Entry'!$$393)</f>
      </c>
      <c r="CH393">
        <f>IF(ISBLANK('Data Entry'!$$393), "", 'Data Entry'!$$393)</f>
      </c>
      <c r="CI393">
        <f>IF(ISBLANK('Data Entry'!$$393), "", 'Data Entry'!$$393)</f>
      </c>
      <c r="CJ393">
        <f>IF(ISBLANK('Data Entry'!$$393), "", 'Data Entry'!$$393)</f>
      </c>
      <c r="CK393">
        <f>IF(ISBLANK('Data Entry'!$$393), "", 'Data Entry'!$$393)</f>
      </c>
      <c r="CL393">
        <f>IF(ISBLANK('Data Entry'!$$393), "", 'Data Entry'!$$393)</f>
      </c>
      <c r="CM393">
        <f>IF(ISBLANK('Data Entry'!$$393), "", 'Data Entry'!$$393)</f>
      </c>
      <c r="CN393">
        <f>IF(ISBLANK('Data Entry'!$$393), "", 'Data Entry'!$$393)</f>
      </c>
      <c r="CO393">
        <f>IF(ISBLANK('Data Entry'!$$393), "", 'Data Entry'!$$393)</f>
      </c>
      <c r="CP393">
        <f>IF(ISBLANK('Data Entry'!$$393), "", 'Data Entry'!$$393)</f>
      </c>
      <c r="CQ393">
        <f>IF(ISBLANK('Data Entry'!$$393), "", 'Data Entry'!$$393)</f>
      </c>
      <c r="CR393">
        <f>IF(ISBLANK('Data Entry'!$ $393), "", 'Data Entry'!$ $393)</f>
      </c>
      <c r="CS393">
        <f>IF(ISBLANK('Data Entry'!$¡$393), "", 'Data Entry'!$¡$393)</f>
      </c>
      <c r="CT393">
        <f>IF(ISBLANK('Data Entry'!$¢$393), "", 'Data Entry'!$¢$393)</f>
      </c>
      <c r="CU393">
        <f>IF(ISBLANK('Data Entry'!$£$393), "", 'Data Entry'!$£$393)</f>
      </c>
      <c r="CV393">
        <f>IF(ISBLANK('Data Entry'!$¤$393), "", 'Data Entry'!$¤$393)</f>
      </c>
      <c r="CW393">
        <f>IF(ISBLANK('Data Entry'!$¥$393), "", 'Data Entry'!$¥$393)</f>
      </c>
      <c r="CX393">
        <f>IF(ISBLANK('Data Entry'!$¦$393), "", 'Data Entry'!$¦$393)</f>
      </c>
      <c r="CY393">
        <f>IF(ISBLANK('Data Entry'!$§$393), "", 'Data Entry'!$§$393)</f>
      </c>
      <c r="CZ393">
        <f>IF(ISBLANK('Data Entry'!$¨$393), "", 'Data Entry'!$¨$393)</f>
      </c>
      <c r="DA393">
        <f>IF(ISBLANK('Data Entry'!$©$393), "", 'Data Entry'!$©$393)</f>
      </c>
      <c r="DB393">
        <f>IF(ISBLANK('Data Entry'!$ª$393), "", 'Data Entry'!$ª$393)</f>
      </c>
      <c r="DC393">
        <f>IF(ISBLANK('Data Entry'!$«$393), "", 'Data Entry'!$«$393)</f>
      </c>
      <c r="DD393">
        <f>IF(ISBLANK('Data Entry'!$¬$393), "", 'Data Entry'!$¬$393)</f>
      </c>
      <c r="DE393">
        <f>IF(ISBLANK('Data Entry'!$­$393), "", 'Data Entry'!$­$393)</f>
      </c>
      <c r="DF393">
        <f>IF(ISBLANK('Data Entry'!$®$393), "", 'Data Entry'!$®$393)</f>
      </c>
      <c r="DG393">
        <f>IF(ISBLANK('Data Entry'!$¯$393), "", 'Data Entry'!$¯$393)</f>
      </c>
      <c r="DH393">
        <f>IF(ISBLANK('Data Entry'!$°$393), "", 'Data Entry'!$°$393)</f>
      </c>
      <c r="DI393">
        <f>IF(ISBLANK('Data Entry'!$±$393), "", 'Data Entry'!$±$393)</f>
      </c>
      <c r="DJ393">
        <f>IF(ISBLANK('Data Entry'!$²$393), "", 'Data Entry'!$²$393)</f>
      </c>
      <c r="DK393">
        <f>IF(ISBLANK('Data Entry'!$³$393), "", 'Data Entry'!$³$393)</f>
      </c>
      <c r="DL393">
        <f>IF(ISBLANK('Data Entry'!$´$393), "", 'Data Entry'!$´$393)</f>
      </c>
      <c r="DM393">
        <f>IF(ISBLANK('Data Entry'!$µ$393), "", 'Data Entry'!$µ$393)</f>
      </c>
      <c r="DN393">
        <f>IF(ISBLANK('Data Entry'!$¶$393), "", 'Data Entry'!$¶$393)</f>
      </c>
      <c r="DO393">
        <f>IF(ISBLANK('Data Entry'!$·$393), "", 'Data Entry'!$·$393)</f>
      </c>
      <c r="DP393">
        <f>IF(ISBLANK('Data Entry'!$¸$393), "", 'Data Entry'!$¸$393)</f>
      </c>
      <c r="DQ393">
        <f>IF(ISBLANK('Data Entry'!$¹$393), "", 'Data Entry'!$¹$393)</f>
      </c>
      <c r="DR393">
        <f>IF(ISBLANK('Data Entry'!$º$393), "", 'Data Entry'!$º$393)</f>
      </c>
      <c r="DS393">
        <f>IF(ISBLANK('Data Entry'!$»$393), "", 'Data Entry'!$»$393)</f>
      </c>
      <c r="DT393">
        <f>IF(ISBLANK('Data Entry'!$¼$393), "", 'Data Entry'!$¼$393)</f>
      </c>
      <c r="DU393">
        <f>IF(ISBLANK('Data Entry'!$½$393), "", 'Data Entry'!$½$393)</f>
      </c>
      <c r="DV393">
        <f>IF(ISBLANK('Data Entry'!$¾$393), "", 'Data Entry'!$¾$393)</f>
      </c>
      <c r="DW393">
        <f>IF(ISBLANK('Data Entry'!$¿$393), "", 'Data Entry'!$¿$393)</f>
      </c>
      <c r="DX393">
        <f>IF(ISBLANK('Data Entry'!$À$393), "", 'Data Entry'!$À$393)</f>
      </c>
      <c r="DY393">
        <f>IF(ISBLANK('Data Entry'!$Á$393), "", 'Data Entry'!$Á$393)</f>
      </c>
      <c r="DZ393">
        <f>IF(ISBLANK('Data Entry'!$Â$393), "", 'Data Entry'!$Â$393)</f>
      </c>
      <c r="EA393">
        <f>IF(ISBLANK('Data Entry'!$Ã$393), "", 'Data Entry'!$Ã$393)</f>
      </c>
      <c r="EB393">
        <f>IF(ISBLANK('Data Entry'!$Ä$393), "", 'Data Entry'!$Ä$393)</f>
      </c>
      <c r="EC393">
        <f>IF(ISBLANK('Data Entry'!$Å$393), "", 'Data Entry'!$Å$393)</f>
      </c>
      <c r="ED393">
        <f>IF(ISBLANK('Data Entry'!$Æ$393), "", 'Data Entry'!$Æ$393)</f>
      </c>
      <c r="EE393">
        <f>IF(ISBLANK('Data Entry'!$Ç$393), "", 'Data Entry'!$Ç$393)</f>
      </c>
      <c r="EF393">
        <f>IF(ISBLANK('Data Entry'!$È$393), "", 'Data Entry'!$È$393)</f>
      </c>
      <c r="EG393">
        <f>IF(ISBLANK('Data Entry'!$É$393), "", 'Data Entry'!$É$393)</f>
      </c>
      <c r="EH393">
        <f>IF(ISBLANK('Data Entry'!$Ê$393), "", 'Data Entry'!$Ê$393)</f>
      </c>
      <c r="EI393">
        <f>IF(ISBLANK('Data Entry'!$Ë$393), "", 'Data Entry'!$Ë$393)</f>
      </c>
      <c r="EJ393">
        <f>IF(ISBLANK('Data Entry'!$Ì$393), "", 'Data Entry'!$Ì$393)</f>
      </c>
      <c r="EK393">
        <f>IF(ISBLANK('Data Entry'!$Í$393), "", 'Data Entry'!$Í$393)</f>
      </c>
      <c r="EL393">
        <f>IF(ISBLANK('Data Entry'!$Î$393), "", 'Data Entry'!$Î$393)</f>
      </c>
      <c r="EM393">
        <f>IF(ISBLANK('Data Entry'!$Ï$393), "", 'Data Entry'!$Ï$393)</f>
      </c>
      <c r="EN393">
        <f>IF(ISBLANK('Data Entry'!$Ð$393), "", 'Data Entry'!$Ð$393)</f>
      </c>
      <c r="EO393">
        <f>IF(ISBLANK('Data Entry'!$Ñ$393), "", 'Data Entry'!$Ñ$393)</f>
      </c>
      <c r="EP393">
        <f>IF(ISBLANK('Data Entry'!$Ò$393), "", 'Data Entry'!$Ò$393)</f>
      </c>
      <c r="EQ393">
        <f>IF(ISBLANK('Data Entry'!$Ó$393), "", 'Data Entry'!$Ó$393)</f>
      </c>
      <c r="ER393">
        <f>IF(ISBLANK('Data Entry'!$Ô$393), "", 'Data Entry'!$Ô$393)</f>
      </c>
      <c r="ES393">
        <f>IF(ISBLANK('Data Entry'!$Õ$393), "", 'Data Entry'!$Õ$393)</f>
      </c>
      <c r="ET393">
        <f>IF(ISBLANK('Data Entry'!$Ö$393), "", 'Data Entry'!$Ö$393)</f>
      </c>
      <c r="EU393">
        <f>IF(ISBLANK('Data Entry'!$×$393), "", 'Data Entry'!$×$393)</f>
      </c>
      <c r="EV393">
        <f>IF(ISBLANK('Data Entry'!$Ø$393), "", 'Data Entry'!$Ø$393)</f>
      </c>
      <c r="EW393">
        <f>IF(ISBLANK('Data Entry'!$Ù$393), "", 'Data Entry'!$Ù$393)</f>
      </c>
      <c r="EX393">
        <f>IF(ISBLANK('Data Entry'!$Ú$393), "", 'Data Entry'!$Ú$393)</f>
      </c>
      <c r="EY393">
        <f>IF(ISBLANK('Data Entry'!$Û$393), "", 'Data Entry'!$Û$393)</f>
      </c>
      <c r="EZ393">
        <f>IF(ISBLANK('Data Entry'!$Ü$393), "", 'Data Entry'!$Ü$393)</f>
      </c>
      <c r="FA393">
        <f>IF(ISBLANK('Data Entry'!$Ý$393), "", 'Data Entry'!$Ý$393)</f>
      </c>
      <c r="FB393">
        <f>IF(ISBLANK('Data Entry'!$Þ$393), "", 'Data Entry'!$Þ$393)</f>
      </c>
      <c r="FC393">
        <f>IF(ISBLANK('Data Entry'!$ß$393), "", 'Data Entry'!$ß$393)</f>
      </c>
      <c r="FD393">
        <f>IF(ISBLANK('Data Entry'!$à$393), "", 'Data Entry'!$à$393)</f>
      </c>
      <c r="FE393">
        <f>IF(ISBLANK('Data Entry'!$á$393), "", 'Data Entry'!$á$393)</f>
      </c>
      <c r="FF393">
        <f>IF(ISBLANK('Data Entry'!$â$393), "", 'Data Entry'!$â$393)</f>
      </c>
      <c r="FG393">
        <f>IF(ISBLANK('Data Entry'!$ã$393), "", 'Data Entry'!$ã$393)</f>
      </c>
      <c r="FH393">
        <f>IF(ISBLANK('Data Entry'!$ä$393), "", 'Data Entry'!$ä$393)</f>
      </c>
      <c r="FI393">
        <f>IF(ISBLANK('Data Entry'!$å$393), "", 'Data Entry'!$å$393)</f>
      </c>
      <c r="FJ393">
        <f>IF(ISBLANK('Data Entry'!$æ$393), "", 'Data Entry'!$æ$393)</f>
      </c>
      <c r="FK393">
        <f>IF(ISBLANK('Data Entry'!$ç$393), "", 'Data Entry'!$ç$393)</f>
      </c>
      <c r="FL393">
        <f>IF(ISBLANK('Data Entry'!$è$393), "", 'Data Entry'!$è$393)</f>
      </c>
      <c r="FM393">
        <f>IF(ISBLANK('Data Entry'!$é$393), "", 'Data Entry'!$é$393)</f>
      </c>
      <c r="FN393">
        <f>IF(ISBLANK('Data Entry'!$ê$393), "", 'Data Entry'!$ê$393)</f>
      </c>
      <c r="FO393">
        <f>IF(ISBLANK('Data Entry'!$ë$393), "", 'Data Entry'!$ë$393)</f>
      </c>
      <c r="FP393">
        <f>IF(ISBLANK('Data Entry'!$ì$393), "", 'Data Entry'!$ì$393)</f>
      </c>
      <c r="FQ393">
        <f>IF(ISBLANK('Data Entry'!$í$393), "", 'Data Entry'!$í$393)</f>
      </c>
      <c r="FR393">
        <f>IF(ISBLANK('Data Entry'!$î$393), "", 'Data Entry'!$î$393)</f>
      </c>
      <c r="FS393">
        <f>IF(ISBLANK('Data Entry'!$ï$393), "", 'Data Entry'!$ï$393)</f>
      </c>
      <c r="FT393">
        <f>IF(ISBLANK('Data Entry'!$ð$393), "", 'Data Entry'!$ð$393)</f>
      </c>
      <c r="FU393">
        <f>IF(ISBLANK('Data Entry'!$ñ$393), "", 'Data Entry'!$ñ$393)</f>
      </c>
      <c r="FV393">
        <f>IF(ISBLANK('Data Entry'!$ò$393), "", 'Data Entry'!$ò$393)</f>
      </c>
      <c r="FW393">
        <f>IF(ISBLANK('Data Entry'!$ó$393), "", 'Data Entry'!$ó$393)</f>
      </c>
      <c r="FX393">
        <f>IF(ISBLANK('Data Entry'!$ô$393), "", 'Data Entry'!$ô$393)</f>
      </c>
      <c r="FY393">
        <f>IF(ISBLANK('Data Entry'!$õ$393), "", 'Data Entry'!$õ$393)</f>
      </c>
      <c r="FZ393">
        <f>IF(ISBLANK('Data Entry'!$ö$393), "", 'Data Entry'!$ö$393)</f>
      </c>
      <c r="GA393">
        <f>IF(ISBLANK('Data Entry'!$÷$393), "", 'Data Entry'!$÷$393)</f>
      </c>
      <c r="GB393">
        <f>IF(ISBLANK('Data Entry'!$ø$393), "", 'Data Entry'!$ø$393)</f>
      </c>
      <c r="GC393">
        <f>IF(ISBLANK('Data Entry'!$ù$393), "", 'Data Entry'!$ù$393)</f>
      </c>
      <c r="GD393">
        <f>IF(ISBLANK('Data Entry'!$ú$393), "", 'Data Entry'!$ú$393)</f>
      </c>
      <c r="GE393">
        <f>IF(ISBLANK('Data Entry'!$û$393), "", 'Data Entry'!$û$393)</f>
      </c>
      <c r="GF393">
        <f>IF(ISBLANK('Data Entry'!$ü$393), "", 'Data Entry'!$ü$393)</f>
      </c>
      <c r="GG393">
        <f>IF(ISBLANK('Data Entry'!$ý$393), "", 'Data Entry'!$ý$393)</f>
      </c>
      <c r="GH393">
        <f>IF(ISBLANK('Data Entry'!$þ$393), "", 'Data Entry'!$þ$393)</f>
      </c>
      <c r="GI393">
        <f>IF(ISBLANK('Data Entry'!$ÿ$393), "", 'Data Entry'!$ÿ$393)</f>
      </c>
      <c r="GJ393">
        <f>IF(ISBLANK('Data Entry'!$Ā$393), "", 'Data Entry'!$Ā$393)</f>
      </c>
      <c r="GK393">
        <f>IF(ISBLANK('Data Entry'!$ā$393), "", 'Data Entry'!$ā$393)</f>
      </c>
      <c r="GL393">
        <f>IF(ISBLANK('Data Entry'!$Ă$393), "", 'Data Entry'!$Ă$393)</f>
      </c>
      <c r="GM393">
        <f>IF(ISBLANK('Data Entry'!$ă$393), "", 'Data Entry'!$ă$393)</f>
      </c>
      <c r="GN393">
        <f>IF(ISBLANK('Data Entry'!$Ą$393), "", 'Data Entry'!$Ą$393)</f>
      </c>
      <c r="GO393">
        <f>IF(ISBLANK('Data Entry'!$ą$393), "", 'Data Entry'!$ą$393)</f>
      </c>
      <c r="GP393">
        <f>IF(ISBLANK('Data Entry'!$Ć$393), "", 'Data Entry'!$Ć$393)</f>
      </c>
      <c r="GQ393">
        <f>IF(ISBLANK('Data Entry'!$ć$393), "", 'Data Entry'!$ć$393)</f>
      </c>
      <c r="GR393">
        <f>IF(ISBLANK('Data Entry'!$Ĉ$393), "", 'Data Entry'!$Ĉ$393)</f>
      </c>
      <c r="GS393">
        <f>IF(ISBLANK('Data Entry'!$ĉ$393), "", 'Data Entry'!$ĉ$393)</f>
      </c>
      <c r="GT393">
        <f>IF(ISBLANK('Data Entry'!$Ċ$393), "", 'Data Entry'!$Ċ$393)</f>
      </c>
      <c r="GU393">
        <f>IF(ISBLANK('Data Entry'!$ċ$393), "", 'Data Entry'!$ċ$393)</f>
      </c>
      <c r="GV393">
        <f>IF(ISBLANK('Data Entry'!$Č$393), "", 'Data Entry'!$Č$393)</f>
      </c>
      <c r="GW393">
        <f>IF(ISBLANK('Data Entry'!$č$393), "", 'Data Entry'!$č$393)</f>
      </c>
      <c r="GX393">
        <f>IF(ISBLANK('Data Entry'!$Ď$393), "", 'Data Entry'!$Ď$393)</f>
      </c>
      <c r="GY393">
        <f>IF(ISBLANK('Data Entry'!$ď$393), "", 'Data Entry'!$ď$393)</f>
      </c>
      <c r="GZ393">
        <f>IF(ISBLANK('Data Entry'!$Đ$393), "", 'Data Entry'!$Đ$393)</f>
      </c>
      <c r="HA393">
        <f>IF(ISBLANK('Data Entry'!$đ$393), "", 'Data Entry'!$đ$393)</f>
      </c>
      <c r="HB393">
        <f>IF(ISBLANK('Data Entry'!$Ē$393), "", 'Data Entry'!$Ē$393)</f>
      </c>
      <c r="HC393">
        <f>IF(ISBLANK('Data Entry'!$ē$393), "", 'Data Entry'!$ē$393)</f>
      </c>
      <c r="HD393">
        <f>IF(ISBLANK('Data Entry'!$Ĕ$393), "", 'Data Entry'!$Ĕ$393)</f>
      </c>
      <c r="HE393">
        <f>IF(ISBLANK('Data Entry'!$ĕ$393), "", 'Data Entry'!$ĕ$393)</f>
      </c>
      <c r="HF393">
        <f>IF(ISBLANK('Data Entry'!$Ė$393), "", 'Data Entry'!$Ė$393)</f>
      </c>
      <c r="HG393">
        <f>IF(ISBLANK('Data Entry'!$ė$393), "", 'Data Entry'!$ė$393)</f>
      </c>
      <c r="HH393">
        <f>IF(ISBLANK('Data Entry'!$Ę$393), "", 'Data Entry'!$Ę$393)</f>
      </c>
      <c r="HI393">
        <f>IF(ISBLANK('Data Entry'!$ę$393), "", 'Data Entry'!$ę$393)</f>
      </c>
      <c r="HJ393">
        <f>IF(ISBLANK('Data Entry'!$Ě$393), "", 'Data Entry'!$Ě$393)</f>
      </c>
      <c r="HK393">
        <f>IF(ISBLANK('Data Entry'!$ě$393), "", 'Data Entry'!$ě$393)</f>
      </c>
      <c r="HL393">
        <f>IF(ISBLANK('Data Entry'!$Ĝ$393), "", 'Data Entry'!$Ĝ$393)</f>
      </c>
      <c r="HM393">
        <f>IF(ISBLANK('Data Entry'!$ĝ$393), "", 'Data Entry'!$ĝ$393)</f>
      </c>
      <c r="HN393">
        <f>IF(ISBLANK('Data Entry'!$Ğ$393), "", 'Data Entry'!$Ğ$393)</f>
      </c>
      <c r="HO393">
        <f>IF(ISBLANK('Data Entry'!$ğ$393), "", 'Data Entry'!$ğ$393)</f>
      </c>
      <c r="HP393">
        <f>IF(ISBLANK('Data Entry'!$Ġ$393), "", 'Data Entry'!$Ġ$393)</f>
      </c>
      <c r="HQ393">
        <f>IF(ISBLANK('Data Entry'!$ġ$393), "", 'Data Entry'!$ġ$393)</f>
      </c>
      <c r="HR393">
        <f>IF(ISBLANK('Data Entry'!$Ģ$393), "", 'Data Entry'!$Ģ$393)</f>
      </c>
      <c r="HS393">
        <f>IF(ISBLANK('Data Entry'!$ģ$393), "", 'Data Entry'!$ģ$393)</f>
      </c>
      <c r="HT393">
        <f>IF(ISBLANK('Data Entry'!$Ĥ$393), "", 'Data Entry'!$Ĥ$393)</f>
      </c>
      <c r="HU393">
        <f>IF(ISBLANK('Data Entry'!$ĥ$393), "", 'Data Entry'!$ĥ$393)</f>
      </c>
      <c r="HV393">
        <f>IF(ISBLANK('Data Entry'!$Ħ$393), "", 'Data Entry'!$Ħ$393)</f>
      </c>
      <c r="HW393">
        <f>IF(ISBLANK('Data Entry'!$ħ$393), "", 'Data Entry'!$ħ$393)</f>
      </c>
      <c r="HX393">
        <f>IF(ISBLANK('Data Entry'!$Ĩ$393), "", 'Data Entry'!$Ĩ$393)</f>
      </c>
      <c r="HY393">
        <f>IF(ISBLANK('Data Entry'!$ĩ$393), "", 'Data Entry'!$ĩ$393)</f>
      </c>
      <c r="HZ393">
        <f>IF(ISBLANK('Data Entry'!$Ī$393), "", 'Data Entry'!$Ī$393)</f>
      </c>
      <c r="IA393">
        <f>IF(ISBLANK('Data Entry'!$ī$393), "", 'Data Entry'!$ī$393)</f>
      </c>
      <c r="IB393">
        <f>IF(ISBLANK('Data Entry'!$Ĭ$393), "", 'Data Entry'!$Ĭ$393)</f>
      </c>
      <c r="IC393">
        <f>IF(ISBLANK('Data Entry'!$ĭ$393), "", 'Data Entry'!$ĭ$393)</f>
      </c>
      <c r="ID393">
        <f>IF(ISBLANK('Data Entry'!$Į$393), "", 'Data Entry'!$Į$393)</f>
      </c>
      <c r="IE393">
        <f>IF(ISBLANK('Data Entry'!$į$393), "", 'Data Entry'!$į$393)</f>
      </c>
      <c r="IF393">
        <f>IF(ISBLANK('Data Entry'!$İ$393), "", 'Data Entry'!$İ$393)</f>
      </c>
      <c r="IG393">
        <f>IF(ISBLANK('Data Entry'!$ı$393), "", 'Data Entry'!$ı$393)</f>
      </c>
      <c r="IH393">
        <f>IF(ISBLANK('Data Entry'!$Ĳ$393), "", 'Data Entry'!$Ĳ$393)</f>
      </c>
      <c r="II393">
        <f>IF(ISBLANK('Data Entry'!$ĳ$393), "", 'Data Entry'!$ĳ$393)</f>
      </c>
      <c r="IJ393">
        <f>IF(ISBLANK('Data Entry'!$Ĵ$393), "", 'Data Entry'!$Ĵ$393)</f>
      </c>
      <c r="IK393">
        <f>IF(ISBLANK('Data Entry'!$ĵ$393), "", 'Data Entry'!$ĵ$393)</f>
      </c>
      <c r="IL393">
        <f>IF(ISBLANK('Data Entry'!$Ķ$393), "", 'Data Entry'!$Ķ$393)</f>
      </c>
      <c r="IM393">
        <f>IF(ISBLANK('Data Entry'!$ķ$393), "", 'Data Entry'!$ķ$393)</f>
      </c>
      <c r="IN393">
        <f>IF(ISBLANK('Data Entry'!$ĸ$393), "", 'Data Entry'!$ĸ$393)</f>
      </c>
      <c r="IO393">
        <f>IF(ISBLANK('Data Entry'!$Ĺ$393), "", 'Data Entry'!$Ĺ$393)</f>
      </c>
      <c r="IP393">
        <f>IF(ISBLANK('Data Entry'!$ĺ$393), "", 'Data Entry'!$ĺ$393)</f>
      </c>
      <c r="IQ393">
        <f>IF(ISBLANK('Data Entry'!$Ļ$393), "", 'Data Entry'!$Ļ$393)</f>
      </c>
      <c r="IR393">
        <f>IF(ISBLANK('Data Entry'!$ļ$393), "", 'Data Entry'!$ļ$393)</f>
      </c>
      <c r="IS393">
        <f>IF(ISBLANK('Data Entry'!$Ľ$393), "", 'Data Entry'!$Ľ$393)</f>
      </c>
      <c r="IT393">
        <f>IF(ISBLANK('Data Entry'!$ľ$393), "", 'Data Entry'!$ľ$393)</f>
      </c>
    </row>
    <row r="394" spans="1:254" x14ac:dyDescent="0.25">
      <c r="A394">
        <f>IF(ISBLANK('Data Entry'!$A$394), "", 'Data Entry'!$A$394)</f>
      </c>
      <c r="B394">
        <f>IF(ISBLANK('Data Entry'!$B$394), "", 'Data Entry'!$B$394)</f>
      </c>
      <c r="C394">
        <f>IF(ISBLANK('Data Entry'!$C$394), "", 'Data Entry'!$C$394)</f>
      </c>
      <c r="D394">
        <f>IF(ISBLANK('Data Entry'!$D$394), "", 'Data Entry'!$D$394)</f>
      </c>
      <c r="E394">
        <f>IF(ISBLANK('Data Entry'!$E$394), "", 'Data Entry'!$E$394)</f>
      </c>
      <c r="F394">
        <f>IF(ISBLANK('Data Entry'!$F$394), "", 'Data Entry'!$F$394)</f>
      </c>
      <c r="G394">
        <f>IF(ISBLANK('Data Entry'!$G$394), "", 'Data Entry'!$G$394)</f>
      </c>
      <c r="H394">
        <f>IF(ISBLANK('Data Entry'!$H$394), "", 'Data Entry'!$H$394)</f>
      </c>
      <c r="I394">
        <f>IF(ISBLANK('Data Entry'!$I$394), "", 'Data Entry'!$I$394)</f>
      </c>
      <c r="J394">
        <f>IF(ISBLANK('Data Entry'!$J$394), "", 'Data Entry'!$J$394)</f>
      </c>
      <c r="K394">
        <f>IF(ISBLANK('Data Entry'!$K$394), "", 'Data Entry'!$K$394)</f>
      </c>
      <c r="L394">
        <f>IF(ISBLANK('Data Entry'!$L$394), "", 'Data Entry'!$L$394)</f>
      </c>
      <c r="M394">
        <f>IF(ISBLANK('Data Entry'!$M$394), "", 'Data Entry'!$M$394)</f>
      </c>
      <c r="N394">
        <f>IF(ISBLANK('Data Entry'!$N$394), "", 'Data Entry'!$N$394)</f>
      </c>
      <c r="O394">
        <f>IF(ISBLANK('Data Entry'!$O$394), "", 'Data Entry'!$O$394)</f>
      </c>
      <c r="P394">
        <f>IF(ISBLANK('Data Entry'!$P$394), "", 'Data Entry'!$P$394)</f>
      </c>
      <c r="Q394">
        <f>IF(ISBLANK('Data Entry'!$Q$394), "", 'Data Entry'!$Q$394)</f>
      </c>
      <c r="R394">
        <f>IF(ISBLANK('Data Entry'!$R$394), "", 'Data Entry'!$R$394)</f>
      </c>
      <c r="S394">
        <f>IF(ISBLANK('Data Entry'!$S$394), "", 'Data Entry'!$S$394)</f>
      </c>
      <c r="T394">
        <f>IF(ISBLANK('Data Entry'!$T$394), "", 'Data Entry'!$T$394)</f>
      </c>
      <c r="U394">
        <f>IF(ISBLANK('Data Entry'!$U$394), "", 'Data Entry'!$U$394)</f>
      </c>
      <c r="V394">
        <f>IF(ISBLANK('Data Entry'!$V$394), "", 'Data Entry'!$V$394)</f>
      </c>
      <c r="W394">
        <f>IF(ISBLANK('Data Entry'!$W$394), "", 'Data Entry'!$W$394)</f>
      </c>
      <c r="X394">
        <f>IF(ISBLANK('Data Entry'!$X$394), "", 'Data Entry'!$X$394)</f>
      </c>
      <c r="Y394">
        <f>IF(ISBLANK('Data Entry'!$Y$394), "", 'Data Entry'!$Y$394)</f>
      </c>
      <c r="Z394">
        <f>IF(ISBLANK('Data Entry'!$Z$394), "", 'Data Entry'!$Z$394)</f>
      </c>
      <c r="AA394">
        <f>IF(ISBLANK('Data Entry'!$[$394), "", 'Data Entry'!$[$394)</f>
      </c>
      <c r="AB394">
        <f>IF(ISBLANK('Data Entry'!$\$394), "", 'Data Entry'!$\$394)</f>
      </c>
      <c r="AC394">
        <f>IF(ISBLANK('Data Entry'!$]$394), "", 'Data Entry'!$]$394)</f>
      </c>
      <c r="AD394">
        <f>IF(ISBLANK('Data Entry'!$^$394), "", 'Data Entry'!$^$394)</f>
      </c>
      <c r="AE394">
        <f>IF(ISBLANK('Data Entry'!$_$394), "", 'Data Entry'!$_$394)</f>
      </c>
      <c r="AF394">
        <f>IF(ISBLANK('Data Entry'!$`$394), "", 'Data Entry'!$`$394)</f>
      </c>
      <c r="AG394">
        <f>IF(ISBLANK('Data Entry'!$a$394), "", 'Data Entry'!$a$394)</f>
      </c>
      <c r="AH394">
        <f>IF(ISBLANK('Data Entry'!$b$394), "", 'Data Entry'!$b$394)</f>
      </c>
      <c r="AI394">
        <f>IF(ISBLANK('Data Entry'!$c$394), "", 'Data Entry'!$c$394)</f>
      </c>
      <c r="AJ394">
        <f>IF(ISBLANK('Data Entry'!$d$394), "", 'Data Entry'!$d$394)</f>
      </c>
      <c r="AK394">
        <f>IF(ISBLANK('Data Entry'!$e$394), "", 'Data Entry'!$e$394)</f>
      </c>
      <c r="AL394">
        <f>IF(ISBLANK('Data Entry'!$f$394), "", 'Data Entry'!$f$394)</f>
      </c>
      <c r="AM394">
        <f>IF(ISBLANK('Data Entry'!$g$394), "", 'Data Entry'!$g$394)</f>
      </c>
      <c r="AN394">
        <f>IF(ISBLANK('Data Entry'!$h$394), "", 'Data Entry'!$h$394)</f>
      </c>
      <c r="AO394">
        <f>IF(ISBLANK('Data Entry'!$i$394), "", 'Data Entry'!$i$394)</f>
      </c>
      <c r="AP394">
        <f>IF(ISBLANK('Data Entry'!$j$394), "", 'Data Entry'!$j$394)</f>
      </c>
      <c r="AQ394">
        <f>IF(ISBLANK('Data Entry'!$k$394), "", 'Data Entry'!$k$394)</f>
      </c>
      <c r="AR394">
        <f>IF(ISBLANK('Data Entry'!$l$394), "", 'Data Entry'!$l$394)</f>
      </c>
      <c r="AS394">
        <f>IF(ISBLANK('Data Entry'!$m$394), "", 'Data Entry'!$m$394)</f>
      </c>
      <c r="AT394">
        <f>IF(ISBLANK('Data Entry'!$n$394), "", 'Data Entry'!$n$394)</f>
      </c>
      <c r="AU394">
        <f>IF(ISBLANK('Data Entry'!$o$394), "", 'Data Entry'!$o$394)</f>
      </c>
      <c r="AV394">
        <f>IF(ISBLANK('Data Entry'!$p$394), "", 'Data Entry'!$p$394)</f>
      </c>
      <c r="AW394">
        <f>IF(ISBLANK('Data Entry'!$q$394), "", 'Data Entry'!$q$394)</f>
      </c>
      <c r="AX394">
        <f>IF(ISBLANK('Data Entry'!$r$394), "", 'Data Entry'!$r$394)</f>
      </c>
      <c r="AY394">
        <f>IF(ISBLANK('Data Entry'!$s$394), "", 'Data Entry'!$s$394)</f>
      </c>
      <c r="AZ394">
        <f>IF(ISBLANK('Data Entry'!$t$394), "", 'Data Entry'!$t$394)</f>
      </c>
      <c r="BA394">
        <f>IF(ISBLANK('Data Entry'!$u$394), "", 'Data Entry'!$u$394)</f>
      </c>
      <c r="BB394">
        <f>IF(ISBLANK('Data Entry'!$v$394), "", 'Data Entry'!$v$394)</f>
      </c>
      <c r="BC394">
        <f>IF(ISBLANK('Data Entry'!$w$394), "", 'Data Entry'!$w$394)</f>
      </c>
      <c r="BD394">
        <f>IF(ISBLANK('Data Entry'!$x$394), "", 'Data Entry'!$x$394)</f>
      </c>
      <c r="BE394">
        <f>IF(ISBLANK('Data Entry'!$y$394), "", 'Data Entry'!$y$394)</f>
      </c>
      <c r="BF394">
        <f>IF(ISBLANK('Data Entry'!$z$394), "", 'Data Entry'!$z$394)</f>
      </c>
      <c r="BG394">
        <f>IF(ISBLANK('Data Entry'!${$394), "", 'Data Entry'!${$394)</f>
      </c>
      <c r="BH394">
        <f>IF(ISBLANK('Data Entry'!$|$394), "", 'Data Entry'!$|$394)</f>
      </c>
      <c r="BI394">
        <f>IF(ISBLANK('Data Entry'!$}$394), "", 'Data Entry'!$}$394)</f>
      </c>
      <c r="BJ394">
        <f>IF(ISBLANK('Data Entry'!$~$394), "", 'Data Entry'!$~$394)</f>
      </c>
      <c r="BK394">
        <f>IF(ISBLANK('Data Entry'!$$394), "", 'Data Entry'!$$394)</f>
      </c>
      <c r="BL394">
        <f>IF(ISBLANK('Data Entry'!$$394), "", 'Data Entry'!$$394)</f>
      </c>
      <c r="BM394">
        <f>IF(ISBLANK('Data Entry'!$$394), "", 'Data Entry'!$$394)</f>
      </c>
      <c r="BN394">
        <f>IF(ISBLANK('Data Entry'!$$394), "", 'Data Entry'!$$394)</f>
      </c>
      <c r="BO394">
        <f>IF(ISBLANK('Data Entry'!$$394), "", 'Data Entry'!$$394)</f>
      </c>
      <c r="BP394">
        <f>IF(ISBLANK('Data Entry'!$$394), "", 'Data Entry'!$$394)</f>
      </c>
      <c r="BQ394">
        <f>IF(ISBLANK('Data Entry'!$$394), "", 'Data Entry'!$$394)</f>
      </c>
      <c r="BR394">
        <f>IF(ISBLANK('Data Entry'!$$394), "", 'Data Entry'!$$394)</f>
      </c>
      <c r="BS394">
        <f>IF(ISBLANK('Data Entry'!$$394), "", 'Data Entry'!$$394)</f>
      </c>
      <c r="BT394">
        <f>IF(ISBLANK('Data Entry'!$$394), "", 'Data Entry'!$$394)</f>
      </c>
      <c r="BU394">
        <f>IF(ISBLANK('Data Entry'!$$394), "", 'Data Entry'!$$394)</f>
      </c>
      <c r="BV394">
        <f>IF(ISBLANK('Data Entry'!$$394), "", 'Data Entry'!$$394)</f>
      </c>
      <c r="BW394">
        <f>IF(ISBLANK('Data Entry'!$$394), "", 'Data Entry'!$$394)</f>
      </c>
      <c r="BX394">
        <f>IF(ISBLANK('Data Entry'!$$394), "", 'Data Entry'!$$394)</f>
      </c>
      <c r="BY394">
        <f>IF(ISBLANK('Data Entry'!$$394), "", 'Data Entry'!$$394)</f>
      </c>
      <c r="BZ394">
        <f>IF(ISBLANK('Data Entry'!$$394), "", 'Data Entry'!$$394)</f>
      </c>
      <c r="CA394">
        <f>IF(ISBLANK('Data Entry'!$$394), "", 'Data Entry'!$$394)</f>
      </c>
      <c r="CB394">
        <f>IF(ISBLANK('Data Entry'!$$394), "", 'Data Entry'!$$394)</f>
      </c>
      <c r="CC394">
        <f>IF(ISBLANK('Data Entry'!$$394), "", 'Data Entry'!$$394)</f>
      </c>
      <c r="CD394">
        <f>IF(ISBLANK('Data Entry'!$$394), "", 'Data Entry'!$$394)</f>
      </c>
      <c r="CE394">
        <f>IF(ISBLANK('Data Entry'!$$394), "", 'Data Entry'!$$394)</f>
      </c>
      <c r="CF394">
        <f>IF(ISBLANK('Data Entry'!$$394), "", 'Data Entry'!$$394)</f>
      </c>
      <c r="CG394">
        <f>IF(ISBLANK('Data Entry'!$$394), "", 'Data Entry'!$$394)</f>
      </c>
      <c r="CH394">
        <f>IF(ISBLANK('Data Entry'!$$394), "", 'Data Entry'!$$394)</f>
      </c>
      <c r="CI394">
        <f>IF(ISBLANK('Data Entry'!$$394), "", 'Data Entry'!$$394)</f>
      </c>
      <c r="CJ394">
        <f>IF(ISBLANK('Data Entry'!$$394), "", 'Data Entry'!$$394)</f>
      </c>
      <c r="CK394">
        <f>IF(ISBLANK('Data Entry'!$$394), "", 'Data Entry'!$$394)</f>
      </c>
      <c r="CL394">
        <f>IF(ISBLANK('Data Entry'!$$394), "", 'Data Entry'!$$394)</f>
      </c>
      <c r="CM394">
        <f>IF(ISBLANK('Data Entry'!$$394), "", 'Data Entry'!$$394)</f>
      </c>
      <c r="CN394">
        <f>IF(ISBLANK('Data Entry'!$$394), "", 'Data Entry'!$$394)</f>
      </c>
      <c r="CO394">
        <f>IF(ISBLANK('Data Entry'!$$394), "", 'Data Entry'!$$394)</f>
      </c>
      <c r="CP394">
        <f>IF(ISBLANK('Data Entry'!$$394), "", 'Data Entry'!$$394)</f>
      </c>
      <c r="CQ394">
        <f>IF(ISBLANK('Data Entry'!$$394), "", 'Data Entry'!$$394)</f>
      </c>
      <c r="CR394">
        <f>IF(ISBLANK('Data Entry'!$ $394), "", 'Data Entry'!$ $394)</f>
      </c>
      <c r="CS394">
        <f>IF(ISBLANK('Data Entry'!$¡$394), "", 'Data Entry'!$¡$394)</f>
      </c>
      <c r="CT394">
        <f>IF(ISBLANK('Data Entry'!$¢$394), "", 'Data Entry'!$¢$394)</f>
      </c>
      <c r="CU394">
        <f>IF(ISBLANK('Data Entry'!$£$394), "", 'Data Entry'!$£$394)</f>
      </c>
      <c r="CV394">
        <f>IF(ISBLANK('Data Entry'!$¤$394), "", 'Data Entry'!$¤$394)</f>
      </c>
      <c r="CW394">
        <f>IF(ISBLANK('Data Entry'!$¥$394), "", 'Data Entry'!$¥$394)</f>
      </c>
      <c r="CX394">
        <f>IF(ISBLANK('Data Entry'!$¦$394), "", 'Data Entry'!$¦$394)</f>
      </c>
      <c r="CY394">
        <f>IF(ISBLANK('Data Entry'!$§$394), "", 'Data Entry'!$§$394)</f>
      </c>
      <c r="CZ394">
        <f>IF(ISBLANK('Data Entry'!$¨$394), "", 'Data Entry'!$¨$394)</f>
      </c>
      <c r="DA394">
        <f>IF(ISBLANK('Data Entry'!$©$394), "", 'Data Entry'!$©$394)</f>
      </c>
      <c r="DB394">
        <f>IF(ISBLANK('Data Entry'!$ª$394), "", 'Data Entry'!$ª$394)</f>
      </c>
      <c r="DC394">
        <f>IF(ISBLANK('Data Entry'!$«$394), "", 'Data Entry'!$«$394)</f>
      </c>
      <c r="DD394">
        <f>IF(ISBLANK('Data Entry'!$¬$394), "", 'Data Entry'!$¬$394)</f>
      </c>
      <c r="DE394">
        <f>IF(ISBLANK('Data Entry'!$­$394), "", 'Data Entry'!$­$394)</f>
      </c>
      <c r="DF394">
        <f>IF(ISBLANK('Data Entry'!$®$394), "", 'Data Entry'!$®$394)</f>
      </c>
      <c r="DG394">
        <f>IF(ISBLANK('Data Entry'!$¯$394), "", 'Data Entry'!$¯$394)</f>
      </c>
      <c r="DH394">
        <f>IF(ISBLANK('Data Entry'!$°$394), "", 'Data Entry'!$°$394)</f>
      </c>
      <c r="DI394">
        <f>IF(ISBLANK('Data Entry'!$±$394), "", 'Data Entry'!$±$394)</f>
      </c>
      <c r="DJ394">
        <f>IF(ISBLANK('Data Entry'!$²$394), "", 'Data Entry'!$²$394)</f>
      </c>
      <c r="DK394">
        <f>IF(ISBLANK('Data Entry'!$³$394), "", 'Data Entry'!$³$394)</f>
      </c>
      <c r="DL394">
        <f>IF(ISBLANK('Data Entry'!$´$394), "", 'Data Entry'!$´$394)</f>
      </c>
      <c r="DM394">
        <f>IF(ISBLANK('Data Entry'!$µ$394), "", 'Data Entry'!$µ$394)</f>
      </c>
      <c r="DN394">
        <f>IF(ISBLANK('Data Entry'!$¶$394), "", 'Data Entry'!$¶$394)</f>
      </c>
      <c r="DO394">
        <f>IF(ISBLANK('Data Entry'!$·$394), "", 'Data Entry'!$·$394)</f>
      </c>
      <c r="DP394">
        <f>IF(ISBLANK('Data Entry'!$¸$394), "", 'Data Entry'!$¸$394)</f>
      </c>
      <c r="DQ394">
        <f>IF(ISBLANK('Data Entry'!$¹$394), "", 'Data Entry'!$¹$394)</f>
      </c>
      <c r="DR394">
        <f>IF(ISBLANK('Data Entry'!$º$394), "", 'Data Entry'!$º$394)</f>
      </c>
      <c r="DS394">
        <f>IF(ISBLANK('Data Entry'!$»$394), "", 'Data Entry'!$»$394)</f>
      </c>
      <c r="DT394">
        <f>IF(ISBLANK('Data Entry'!$¼$394), "", 'Data Entry'!$¼$394)</f>
      </c>
      <c r="DU394">
        <f>IF(ISBLANK('Data Entry'!$½$394), "", 'Data Entry'!$½$394)</f>
      </c>
      <c r="DV394">
        <f>IF(ISBLANK('Data Entry'!$¾$394), "", 'Data Entry'!$¾$394)</f>
      </c>
      <c r="DW394">
        <f>IF(ISBLANK('Data Entry'!$¿$394), "", 'Data Entry'!$¿$394)</f>
      </c>
      <c r="DX394">
        <f>IF(ISBLANK('Data Entry'!$À$394), "", 'Data Entry'!$À$394)</f>
      </c>
      <c r="DY394">
        <f>IF(ISBLANK('Data Entry'!$Á$394), "", 'Data Entry'!$Á$394)</f>
      </c>
      <c r="DZ394">
        <f>IF(ISBLANK('Data Entry'!$Â$394), "", 'Data Entry'!$Â$394)</f>
      </c>
      <c r="EA394">
        <f>IF(ISBLANK('Data Entry'!$Ã$394), "", 'Data Entry'!$Ã$394)</f>
      </c>
      <c r="EB394">
        <f>IF(ISBLANK('Data Entry'!$Ä$394), "", 'Data Entry'!$Ä$394)</f>
      </c>
      <c r="EC394">
        <f>IF(ISBLANK('Data Entry'!$Å$394), "", 'Data Entry'!$Å$394)</f>
      </c>
      <c r="ED394">
        <f>IF(ISBLANK('Data Entry'!$Æ$394), "", 'Data Entry'!$Æ$394)</f>
      </c>
      <c r="EE394">
        <f>IF(ISBLANK('Data Entry'!$Ç$394), "", 'Data Entry'!$Ç$394)</f>
      </c>
      <c r="EF394">
        <f>IF(ISBLANK('Data Entry'!$È$394), "", 'Data Entry'!$È$394)</f>
      </c>
      <c r="EG394">
        <f>IF(ISBLANK('Data Entry'!$É$394), "", 'Data Entry'!$É$394)</f>
      </c>
      <c r="EH394">
        <f>IF(ISBLANK('Data Entry'!$Ê$394), "", 'Data Entry'!$Ê$394)</f>
      </c>
      <c r="EI394">
        <f>IF(ISBLANK('Data Entry'!$Ë$394), "", 'Data Entry'!$Ë$394)</f>
      </c>
      <c r="EJ394">
        <f>IF(ISBLANK('Data Entry'!$Ì$394), "", 'Data Entry'!$Ì$394)</f>
      </c>
      <c r="EK394">
        <f>IF(ISBLANK('Data Entry'!$Í$394), "", 'Data Entry'!$Í$394)</f>
      </c>
      <c r="EL394">
        <f>IF(ISBLANK('Data Entry'!$Î$394), "", 'Data Entry'!$Î$394)</f>
      </c>
      <c r="EM394">
        <f>IF(ISBLANK('Data Entry'!$Ï$394), "", 'Data Entry'!$Ï$394)</f>
      </c>
      <c r="EN394">
        <f>IF(ISBLANK('Data Entry'!$Ð$394), "", 'Data Entry'!$Ð$394)</f>
      </c>
      <c r="EO394">
        <f>IF(ISBLANK('Data Entry'!$Ñ$394), "", 'Data Entry'!$Ñ$394)</f>
      </c>
      <c r="EP394">
        <f>IF(ISBLANK('Data Entry'!$Ò$394), "", 'Data Entry'!$Ò$394)</f>
      </c>
      <c r="EQ394">
        <f>IF(ISBLANK('Data Entry'!$Ó$394), "", 'Data Entry'!$Ó$394)</f>
      </c>
      <c r="ER394">
        <f>IF(ISBLANK('Data Entry'!$Ô$394), "", 'Data Entry'!$Ô$394)</f>
      </c>
      <c r="ES394">
        <f>IF(ISBLANK('Data Entry'!$Õ$394), "", 'Data Entry'!$Õ$394)</f>
      </c>
      <c r="ET394">
        <f>IF(ISBLANK('Data Entry'!$Ö$394), "", 'Data Entry'!$Ö$394)</f>
      </c>
      <c r="EU394">
        <f>IF(ISBLANK('Data Entry'!$×$394), "", 'Data Entry'!$×$394)</f>
      </c>
      <c r="EV394">
        <f>IF(ISBLANK('Data Entry'!$Ø$394), "", 'Data Entry'!$Ø$394)</f>
      </c>
      <c r="EW394">
        <f>IF(ISBLANK('Data Entry'!$Ù$394), "", 'Data Entry'!$Ù$394)</f>
      </c>
      <c r="EX394">
        <f>IF(ISBLANK('Data Entry'!$Ú$394), "", 'Data Entry'!$Ú$394)</f>
      </c>
      <c r="EY394">
        <f>IF(ISBLANK('Data Entry'!$Û$394), "", 'Data Entry'!$Û$394)</f>
      </c>
      <c r="EZ394">
        <f>IF(ISBLANK('Data Entry'!$Ü$394), "", 'Data Entry'!$Ü$394)</f>
      </c>
      <c r="FA394">
        <f>IF(ISBLANK('Data Entry'!$Ý$394), "", 'Data Entry'!$Ý$394)</f>
      </c>
      <c r="FB394">
        <f>IF(ISBLANK('Data Entry'!$Þ$394), "", 'Data Entry'!$Þ$394)</f>
      </c>
      <c r="FC394">
        <f>IF(ISBLANK('Data Entry'!$ß$394), "", 'Data Entry'!$ß$394)</f>
      </c>
      <c r="FD394">
        <f>IF(ISBLANK('Data Entry'!$à$394), "", 'Data Entry'!$à$394)</f>
      </c>
      <c r="FE394">
        <f>IF(ISBLANK('Data Entry'!$á$394), "", 'Data Entry'!$á$394)</f>
      </c>
      <c r="FF394">
        <f>IF(ISBLANK('Data Entry'!$â$394), "", 'Data Entry'!$â$394)</f>
      </c>
      <c r="FG394">
        <f>IF(ISBLANK('Data Entry'!$ã$394), "", 'Data Entry'!$ã$394)</f>
      </c>
      <c r="FH394">
        <f>IF(ISBLANK('Data Entry'!$ä$394), "", 'Data Entry'!$ä$394)</f>
      </c>
      <c r="FI394">
        <f>IF(ISBLANK('Data Entry'!$å$394), "", 'Data Entry'!$å$394)</f>
      </c>
      <c r="FJ394">
        <f>IF(ISBLANK('Data Entry'!$æ$394), "", 'Data Entry'!$æ$394)</f>
      </c>
      <c r="FK394">
        <f>IF(ISBLANK('Data Entry'!$ç$394), "", 'Data Entry'!$ç$394)</f>
      </c>
      <c r="FL394">
        <f>IF(ISBLANK('Data Entry'!$è$394), "", 'Data Entry'!$è$394)</f>
      </c>
      <c r="FM394">
        <f>IF(ISBLANK('Data Entry'!$é$394), "", 'Data Entry'!$é$394)</f>
      </c>
      <c r="FN394">
        <f>IF(ISBLANK('Data Entry'!$ê$394), "", 'Data Entry'!$ê$394)</f>
      </c>
      <c r="FO394">
        <f>IF(ISBLANK('Data Entry'!$ë$394), "", 'Data Entry'!$ë$394)</f>
      </c>
      <c r="FP394">
        <f>IF(ISBLANK('Data Entry'!$ì$394), "", 'Data Entry'!$ì$394)</f>
      </c>
      <c r="FQ394">
        <f>IF(ISBLANK('Data Entry'!$í$394), "", 'Data Entry'!$í$394)</f>
      </c>
      <c r="FR394">
        <f>IF(ISBLANK('Data Entry'!$î$394), "", 'Data Entry'!$î$394)</f>
      </c>
      <c r="FS394">
        <f>IF(ISBLANK('Data Entry'!$ï$394), "", 'Data Entry'!$ï$394)</f>
      </c>
      <c r="FT394">
        <f>IF(ISBLANK('Data Entry'!$ð$394), "", 'Data Entry'!$ð$394)</f>
      </c>
      <c r="FU394">
        <f>IF(ISBLANK('Data Entry'!$ñ$394), "", 'Data Entry'!$ñ$394)</f>
      </c>
      <c r="FV394">
        <f>IF(ISBLANK('Data Entry'!$ò$394), "", 'Data Entry'!$ò$394)</f>
      </c>
      <c r="FW394">
        <f>IF(ISBLANK('Data Entry'!$ó$394), "", 'Data Entry'!$ó$394)</f>
      </c>
      <c r="FX394">
        <f>IF(ISBLANK('Data Entry'!$ô$394), "", 'Data Entry'!$ô$394)</f>
      </c>
      <c r="FY394">
        <f>IF(ISBLANK('Data Entry'!$õ$394), "", 'Data Entry'!$õ$394)</f>
      </c>
      <c r="FZ394">
        <f>IF(ISBLANK('Data Entry'!$ö$394), "", 'Data Entry'!$ö$394)</f>
      </c>
      <c r="GA394">
        <f>IF(ISBLANK('Data Entry'!$÷$394), "", 'Data Entry'!$÷$394)</f>
      </c>
      <c r="GB394">
        <f>IF(ISBLANK('Data Entry'!$ø$394), "", 'Data Entry'!$ø$394)</f>
      </c>
      <c r="GC394">
        <f>IF(ISBLANK('Data Entry'!$ù$394), "", 'Data Entry'!$ù$394)</f>
      </c>
      <c r="GD394">
        <f>IF(ISBLANK('Data Entry'!$ú$394), "", 'Data Entry'!$ú$394)</f>
      </c>
      <c r="GE394">
        <f>IF(ISBLANK('Data Entry'!$û$394), "", 'Data Entry'!$û$394)</f>
      </c>
      <c r="GF394">
        <f>IF(ISBLANK('Data Entry'!$ü$394), "", 'Data Entry'!$ü$394)</f>
      </c>
      <c r="GG394">
        <f>IF(ISBLANK('Data Entry'!$ý$394), "", 'Data Entry'!$ý$394)</f>
      </c>
      <c r="GH394">
        <f>IF(ISBLANK('Data Entry'!$þ$394), "", 'Data Entry'!$þ$394)</f>
      </c>
      <c r="GI394">
        <f>IF(ISBLANK('Data Entry'!$ÿ$394), "", 'Data Entry'!$ÿ$394)</f>
      </c>
      <c r="GJ394">
        <f>IF(ISBLANK('Data Entry'!$Ā$394), "", 'Data Entry'!$Ā$394)</f>
      </c>
      <c r="GK394">
        <f>IF(ISBLANK('Data Entry'!$ā$394), "", 'Data Entry'!$ā$394)</f>
      </c>
      <c r="GL394">
        <f>IF(ISBLANK('Data Entry'!$Ă$394), "", 'Data Entry'!$Ă$394)</f>
      </c>
      <c r="GM394">
        <f>IF(ISBLANK('Data Entry'!$ă$394), "", 'Data Entry'!$ă$394)</f>
      </c>
      <c r="GN394">
        <f>IF(ISBLANK('Data Entry'!$Ą$394), "", 'Data Entry'!$Ą$394)</f>
      </c>
      <c r="GO394">
        <f>IF(ISBLANK('Data Entry'!$ą$394), "", 'Data Entry'!$ą$394)</f>
      </c>
      <c r="GP394">
        <f>IF(ISBLANK('Data Entry'!$Ć$394), "", 'Data Entry'!$Ć$394)</f>
      </c>
      <c r="GQ394">
        <f>IF(ISBLANK('Data Entry'!$ć$394), "", 'Data Entry'!$ć$394)</f>
      </c>
      <c r="GR394">
        <f>IF(ISBLANK('Data Entry'!$Ĉ$394), "", 'Data Entry'!$Ĉ$394)</f>
      </c>
      <c r="GS394">
        <f>IF(ISBLANK('Data Entry'!$ĉ$394), "", 'Data Entry'!$ĉ$394)</f>
      </c>
      <c r="GT394">
        <f>IF(ISBLANK('Data Entry'!$Ċ$394), "", 'Data Entry'!$Ċ$394)</f>
      </c>
      <c r="GU394">
        <f>IF(ISBLANK('Data Entry'!$ċ$394), "", 'Data Entry'!$ċ$394)</f>
      </c>
      <c r="GV394">
        <f>IF(ISBLANK('Data Entry'!$Č$394), "", 'Data Entry'!$Č$394)</f>
      </c>
      <c r="GW394">
        <f>IF(ISBLANK('Data Entry'!$č$394), "", 'Data Entry'!$č$394)</f>
      </c>
      <c r="GX394">
        <f>IF(ISBLANK('Data Entry'!$Ď$394), "", 'Data Entry'!$Ď$394)</f>
      </c>
      <c r="GY394">
        <f>IF(ISBLANK('Data Entry'!$ď$394), "", 'Data Entry'!$ď$394)</f>
      </c>
      <c r="GZ394">
        <f>IF(ISBLANK('Data Entry'!$Đ$394), "", 'Data Entry'!$Đ$394)</f>
      </c>
      <c r="HA394">
        <f>IF(ISBLANK('Data Entry'!$đ$394), "", 'Data Entry'!$đ$394)</f>
      </c>
      <c r="HB394">
        <f>IF(ISBLANK('Data Entry'!$Ē$394), "", 'Data Entry'!$Ē$394)</f>
      </c>
      <c r="HC394">
        <f>IF(ISBLANK('Data Entry'!$ē$394), "", 'Data Entry'!$ē$394)</f>
      </c>
      <c r="HD394">
        <f>IF(ISBLANK('Data Entry'!$Ĕ$394), "", 'Data Entry'!$Ĕ$394)</f>
      </c>
      <c r="HE394">
        <f>IF(ISBLANK('Data Entry'!$ĕ$394), "", 'Data Entry'!$ĕ$394)</f>
      </c>
      <c r="HF394">
        <f>IF(ISBLANK('Data Entry'!$Ė$394), "", 'Data Entry'!$Ė$394)</f>
      </c>
      <c r="HG394">
        <f>IF(ISBLANK('Data Entry'!$ė$394), "", 'Data Entry'!$ė$394)</f>
      </c>
      <c r="HH394">
        <f>IF(ISBLANK('Data Entry'!$Ę$394), "", 'Data Entry'!$Ę$394)</f>
      </c>
      <c r="HI394">
        <f>IF(ISBLANK('Data Entry'!$ę$394), "", 'Data Entry'!$ę$394)</f>
      </c>
      <c r="HJ394">
        <f>IF(ISBLANK('Data Entry'!$Ě$394), "", 'Data Entry'!$Ě$394)</f>
      </c>
      <c r="HK394">
        <f>IF(ISBLANK('Data Entry'!$ě$394), "", 'Data Entry'!$ě$394)</f>
      </c>
      <c r="HL394">
        <f>IF(ISBLANK('Data Entry'!$Ĝ$394), "", 'Data Entry'!$Ĝ$394)</f>
      </c>
      <c r="HM394">
        <f>IF(ISBLANK('Data Entry'!$ĝ$394), "", 'Data Entry'!$ĝ$394)</f>
      </c>
      <c r="HN394">
        <f>IF(ISBLANK('Data Entry'!$Ğ$394), "", 'Data Entry'!$Ğ$394)</f>
      </c>
      <c r="HO394">
        <f>IF(ISBLANK('Data Entry'!$ğ$394), "", 'Data Entry'!$ğ$394)</f>
      </c>
      <c r="HP394">
        <f>IF(ISBLANK('Data Entry'!$Ġ$394), "", 'Data Entry'!$Ġ$394)</f>
      </c>
      <c r="HQ394">
        <f>IF(ISBLANK('Data Entry'!$ġ$394), "", 'Data Entry'!$ġ$394)</f>
      </c>
      <c r="HR394">
        <f>IF(ISBLANK('Data Entry'!$Ģ$394), "", 'Data Entry'!$Ģ$394)</f>
      </c>
      <c r="HS394">
        <f>IF(ISBLANK('Data Entry'!$ģ$394), "", 'Data Entry'!$ģ$394)</f>
      </c>
      <c r="HT394">
        <f>IF(ISBLANK('Data Entry'!$Ĥ$394), "", 'Data Entry'!$Ĥ$394)</f>
      </c>
      <c r="HU394">
        <f>IF(ISBLANK('Data Entry'!$ĥ$394), "", 'Data Entry'!$ĥ$394)</f>
      </c>
      <c r="HV394">
        <f>IF(ISBLANK('Data Entry'!$Ħ$394), "", 'Data Entry'!$Ħ$394)</f>
      </c>
      <c r="HW394">
        <f>IF(ISBLANK('Data Entry'!$ħ$394), "", 'Data Entry'!$ħ$394)</f>
      </c>
      <c r="HX394">
        <f>IF(ISBLANK('Data Entry'!$Ĩ$394), "", 'Data Entry'!$Ĩ$394)</f>
      </c>
      <c r="HY394">
        <f>IF(ISBLANK('Data Entry'!$ĩ$394), "", 'Data Entry'!$ĩ$394)</f>
      </c>
      <c r="HZ394">
        <f>IF(ISBLANK('Data Entry'!$Ī$394), "", 'Data Entry'!$Ī$394)</f>
      </c>
      <c r="IA394">
        <f>IF(ISBLANK('Data Entry'!$ī$394), "", 'Data Entry'!$ī$394)</f>
      </c>
      <c r="IB394">
        <f>IF(ISBLANK('Data Entry'!$Ĭ$394), "", 'Data Entry'!$Ĭ$394)</f>
      </c>
      <c r="IC394">
        <f>IF(ISBLANK('Data Entry'!$ĭ$394), "", 'Data Entry'!$ĭ$394)</f>
      </c>
      <c r="ID394">
        <f>IF(ISBLANK('Data Entry'!$Į$394), "", 'Data Entry'!$Į$394)</f>
      </c>
      <c r="IE394">
        <f>IF(ISBLANK('Data Entry'!$į$394), "", 'Data Entry'!$į$394)</f>
      </c>
      <c r="IF394">
        <f>IF(ISBLANK('Data Entry'!$İ$394), "", 'Data Entry'!$İ$394)</f>
      </c>
      <c r="IG394">
        <f>IF(ISBLANK('Data Entry'!$ı$394), "", 'Data Entry'!$ı$394)</f>
      </c>
      <c r="IH394">
        <f>IF(ISBLANK('Data Entry'!$Ĳ$394), "", 'Data Entry'!$Ĳ$394)</f>
      </c>
      <c r="II394">
        <f>IF(ISBLANK('Data Entry'!$ĳ$394), "", 'Data Entry'!$ĳ$394)</f>
      </c>
      <c r="IJ394">
        <f>IF(ISBLANK('Data Entry'!$Ĵ$394), "", 'Data Entry'!$Ĵ$394)</f>
      </c>
      <c r="IK394">
        <f>IF(ISBLANK('Data Entry'!$ĵ$394), "", 'Data Entry'!$ĵ$394)</f>
      </c>
      <c r="IL394">
        <f>IF(ISBLANK('Data Entry'!$Ķ$394), "", 'Data Entry'!$Ķ$394)</f>
      </c>
      <c r="IM394">
        <f>IF(ISBLANK('Data Entry'!$ķ$394), "", 'Data Entry'!$ķ$394)</f>
      </c>
      <c r="IN394">
        <f>IF(ISBLANK('Data Entry'!$ĸ$394), "", 'Data Entry'!$ĸ$394)</f>
      </c>
      <c r="IO394">
        <f>IF(ISBLANK('Data Entry'!$Ĺ$394), "", 'Data Entry'!$Ĺ$394)</f>
      </c>
      <c r="IP394">
        <f>IF(ISBLANK('Data Entry'!$ĺ$394), "", 'Data Entry'!$ĺ$394)</f>
      </c>
      <c r="IQ394">
        <f>IF(ISBLANK('Data Entry'!$Ļ$394), "", 'Data Entry'!$Ļ$394)</f>
      </c>
      <c r="IR394">
        <f>IF(ISBLANK('Data Entry'!$ļ$394), "", 'Data Entry'!$ļ$394)</f>
      </c>
      <c r="IS394">
        <f>IF(ISBLANK('Data Entry'!$Ľ$394), "", 'Data Entry'!$Ľ$394)</f>
      </c>
      <c r="IT394">
        <f>IF(ISBLANK('Data Entry'!$ľ$394), "", 'Data Entry'!$ľ$394)</f>
      </c>
    </row>
    <row r="395" spans="1:254" x14ac:dyDescent="0.25">
      <c r="A395">
        <f>IF(ISBLANK('Data Entry'!$A$395), "", 'Data Entry'!$A$395)</f>
      </c>
      <c r="B395">
        <f>IF(ISBLANK('Data Entry'!$B$395), "", 'Data Entry'!$B$395)</f>
      </c>
      <c r="C395">
        <f>IF(ISBLANK('Data Entry'!$C$395), "", 'Data Entry'!$C$395)</f>
      </c>
      <c r="D395">
        <f>IF(ISBLANK('Data Entry'!$D$395), "", 'Data Entry'!$D$395)</f>
      </c>
      <c r="E395">
        <f>IF(ISBLANK('Data Entry'!$E$395), "", 'Data Entry'!$E$395)</f>
      </c>
      <c r="F395">
        <f>IF(ISBLANK('Data Entry'!$F$395), "", 'Data Entry'!$F$395)</f>
      </c>
      <c r="G395">
        <f>IF(ISBLANK('Data Entry'!$G$395), "", 'Data Entry'!$G$395)</f>
      </c>
      <c r="H395">
        <f>IF(ISBLANK('Data Entry'!$H$395), "", 'Data Entry'!$H$395)</f>
      </c>
      <c r="I395">
        <f>IF(ISBLANK('Data Entry'!$I$395), "", 'Data Entry'!$I$395)</f>
      </c>
      <c r="J395">
        <f>IF(ISBLANK('Data Entry'!$J$395), "", 'Data Entry'!$J$395)</f>
      </c>
      <c r="K395">
        <f>IF(ISBLANK('Data Entry'!$K$395), "", 'Data Entry'!$K$395)</f>
      </c>
      <c r="L395">
        <f>IF(ISBLANK('Data Entry'!$L$395), "", 'Data Entry'!$L$395)</f>
      </c>
      <c r="M395">
        <f>IF(ISBLANK('Data Entry'!$M$395), "", 'Data Entry'!$M$395)</f>
      </c>
      <c r="N395">
        <f>IF(ISBLANK('Data Entry'!$N$395), "", 'Data Entry'!$N$395)</f>
      </c>
      <c r="O395">
        <f>IF(ISBLANK('Data Entry'!$O$395), "", 'Data Entry'!$O$395)</f>
      </c>
      <c r="P395">
        <f>IF(ISBLANK('Data Entry'!$P$395), "", 'Data Entry'!$P$395)</f>
      </c>
      <c r="Q395">
        <f>IF(ISBLANK('Data Entry'!$Q$395), "", 'Data Entry'!$Q$395)</f>
      </c>
      <c r="R395">
        <f>IF(ISBLANK('Data Entry'!$R$395), "", 'Data Entry'!$R$395)</f>
      </c>
      <c r="S395">
        <f>IF(ISBLANK('Data Entry'!$S$395), "", 'Data Entry'!$S$395)</f>
      </c>
      <c r="T395">
        <f>IF(ISBLANK('Data Entry'!$T$395), "", 'Data Entry'!$T$395)</f>
      </c>
      <c r="U395">
        <f>IF(ISBLANK('Data Entry'!$U$395), "", 'Data Entry'!$U$395)</f>
      </c>
      <c r="V395">
        <f>IF(ISBLANK('Data Entry'!$V$395), "", 'Data Entry'!$V$395)</f>
      </c>
      <c r="W395">
        <f>IF(ISBLANK('Data Entry'!$W$395), "", 'Data Entry'!$W$395)</f>
      </c>
      <c r="X395">
        <f>IF(ISBLANK('Data Entry'!$X$395), "", 'Data Entry'!$X$395)</f>
      </c>
      <c r="Y395">
        <f>IF(ISBLANK('Data Entry'!$Y$395), "", 'Data Entry'!$Y$395)</f>
      </c>
      <c r="Z395">
        <f>IF(ISBLANK('Data Entry'!$Z$395), "", 'Data Entry'!$Z$395)</f>
      </c>
      <c r="AA395">
        <f>IF(ISBLANK('Data Entry'!$[$395), "", 'Data Entry'!$[$395)</f>
      </c>
      <c r="AB395">
        <f>IF(ISBLANK('Data Entry'!$\$395), "", 'Data Entry'!$\$395)</f>
      </c>
      <c r="AC395">
        <f>IF(ISBLANK('Data Entry'!$]$395), "", 'Data Entry'!$]$395)</f>
      </c>
      <c r="AD395">
        <f>IF(ISBLANK('Data Entry'!$^$395), "", 'Data Entry'!$^$395)</f>
      </c>
      <c r="AE395">
        <f>IF(ISBLANK('Data Entry'!$_$395), "", 'Data Entry'!$_$395)</f>
      </c>
      <c r="AF395">
        <f>IF(ISBLANK('Data Entry'!$`$395), "", 'Data Entry'!$`$395)</f>
      </c>
      <c r="AG395">
        <f>IF(ISBLANK('Data Entry'!$a$395), "", 'Data Entry'!$a$395)</f>
      </c>
      <c r="AH395">
        <f>IF(ISBLANK('Data Entry'!$b$395), "", 'Data Entry'!$b$395)</f>
      </c>
      <c r="AI395">
        <f>IF(ISBLANK('Data Entry'!$c$395), "", 'Data Entry'!$c$395)</f>
      </c>
      <c r="AJ395">
        <f>IF(ISBLANK('Data Entry'!$d$395), "", 'Data Entry'!$d$395)</f>
      </c>
      <c r="AK395">
        <f>IF(ISBLANK('Data Entry'!$e$395), "", 'Data Entry'!$e$395)</f>
      </c>
      <c r="AL395">
        <f>IF(ISBLANK('Data Entry'!$f$395), "", 'Data Entry'!$f$395)</f>
      </c>
      <c r="AM395">
        <f>IF(ISBLANK('Data Entry'!$g$395), "", 'Data Entry'!$g$395)</f>
      </c>
      <c r="AN395">
        <f>IF(ISBLANK('Data Entry'!$h$395), "", 'Data Entry'!$h$395)</f>
      </c>
      <c r="AO395">
        <f>IF(ISBLANK('Data Entry'!$i$395), "", 'Data Entry'!$i$395)</f>
      </c>
      <c r="AP395">
        <f>IF(ISBLANK('Data Entry'!$j$395), "", 'Data Entry'!$j$395)</f>
      </c>
      <c r="AQ395">
        <f>IF(ISBLANK('Data Entry'!$k$395), "", 'Data Entry'!$k$395)</f>
      </c>
      <c r="AR395">
        <f>IF(ISBLANK('Data Entry'!$l$395), "", 'Data Entry'!$l$395)</f>
      </c>
      <c r="AS395">
        <f>IF(ISBLANK('Data Entry'!$m$395), "", 'Data Entry'!$m$395)</f>
      </c>
      <c r="AT395">
        <f>IF(ISBLANK('Data Entry'!$n$395), "", 'Data Entry'!$n$395)</f>
      </c>
      <c r="AU395">
        <f>IF(ISBLANK('Data Entry'!$o$395), "", 'Data Entry'!$o$395)</f>
      </c>
      <c r="AV395">
        <f>IF(ISBLANK('Data Entry'!$p$395), "", 'Data Entry'!$p$395)</f>
      </c>
      <c r="AW395">
        <f>IF(ISBLANK('Data Entry'!$q$395), "", 'Data Entry'!$q$395)</f>
      </c>
      <c r="AX395">
        <f>IF(ISBLANK('Data Entry'!$r$395), "", 'Data Entry'!$r$395)</f>
      </c>
      <c r="AY395">
        <f>IF(ISBLANK('Data Entry'!$s$395), "", 'Data Entry'!$s$395)</f>
      </c>
      <c r="AZ395">
        <f>IF(ISBLANK('Data Entry'!$t$395), "", 'Data Entry'!$t$395)</f>
      </c>
      <c r="BA395">
        <f>IF(ISBLANK('Data Entry'!$u$395), "", 'Data Entry'!$u$395)</f>
      </c>
      <c r="BB395">
        <f>IF(ISBLANK('Data Entry'!$v$395), "", 'Data Entry'!$v$395)</f>
      </c>
      <c r="BC395">
        <f>IF(ISBLANK('Data Entry'!$w$395), "", 'Data Entry'!$w$395)</f>
      </c>
      <c r="BD395">
        <f>IF(ISBLANK('Data Entry'!$x$395), "", 'Data Entry'!$x$395)</f>
      </c>
      <c r="BE395">
        <f>IF(ISBLANK('Data Entry'!$y$395), "", 'Data Entry'!$y$395)</f>
      </c>
      <c r="BF395">
        <f>IF(ISBLANK('Data Entry'!$z$395), "", 'Data Entry'!$z$395)</f>
      </c>
      <c r="BG395">
        <f>IF(ISBLANK('Data Entry'!${$395), "", 'Data Entry'!${$395)</f>
      </c>
      <c r="BH395">
        <f>IF(ISBLANK('Data Entry'!$|$395), "", 'Data Entry'!$|$395)</f>
      </c>
      <c r="BI395">
        <f>IF(ISBLANK('Data Entry'!$}$395), "", 'Data Entry'!$}$395)</f>
      </c>
      <c r="BJ395">
        <f>IF(ISBLANK('Data Entry'!$~$395), "", 'Data Entry'!$~$395)</f>
      </c>
      <c r="BK395">
        <f>IF(ISBLANK('Data Entry'!$$395), "", 'Data Entry'!$$395)</f>
      </c>
      <c r="BL395">
        <f>IF(ISBLANK('Data Entry'!$$395), "", 'Data Entry'!$$395)</f>
      </c>
      <c r="BM395">
        <f>IF(ISBLANK('Data Entry'!$$395), "", 'Data Entry'!$$395)</f>
      </c>
      <c r="BN395">
        <f>IF(ISBLANK('Data Entry'!$$395), "", 'Data Entry'!$$395)</f>
      </c>
      <c r="BO395">
        <f>IF(ISBLANK('Data Entry'!$$395), "", 'Data Entry'!$$395)</f>
      </c>
      <c r="BP395">
        <f>IF(ISBLANK('Data Entry'!$$395), "", 'Data Entry'!$$395)</f>
      </c>
      <c r="BQ395">
        <f>IF(ISBLANK('Data Entry'!$$395), "", 'Data Entry'!$$395)</f>
      </c>
      <c r="BR395">
        <f>IF(ISBLANK('Data Entry'!$$395), "", 'Data Entry'!$$395)</f>
      </c>
      <c r="BS395">
        <f>IF(ISBLANK('Data Entry'!$$395), "", 'Data Entry'!$$395)</f>
      </c>
      <c r="BT395">
        <f>IF(ISBLANK('Data Entry'!$$395), "", 'Data Entry'!$$395)</f>
      </c>
      <c r="BU395">
        <f>IF(ISBLANK('Data Entry'!$$395), "", 'Data Entry'!$$395)</f>
      </c>
      <c r="BV395">
        <f>IF(ISBLANK('Data Entry'!$$395), "", 'Data Entry'!$$395)</f>
      </c>
      <c r="BW395">
        <f>IF(ISBLANK('Data Entry'!$$395), "", 'Data Entry'!$$395)</f>
      </c>
      <c r="BX395">
        <f>IF(ISBLANK('Data Entry'!$$395), "", 'Data Entry'!$$395)</f>
      </c>
      <c r="BY395">
        <f>IF(ISBLANK('Data Entry'!$$395), "", 'Data Entry'!$$395)</f>
      </c>
      <c r="BZ395">
        <f>IF(ISBLANK('Data Entry'!$$395), "", 'Data Entry'!$$395)</f>
      </c>
      <c r="CA395">
        <f>IF(ISBLANK('Data Entry'!$$395), "", 'Data Entry'!$$395)</f>
      </c>
      <c r="CB395">
        <f>IF(ISBLANK('Data Entry'!$$395), "", 'Data Entry'!$$395)</f>
      </c>
      <c r="CC395">
        <f>IF(ISBLANK('Data Entry'!$$395), "", 'Data Entry'!$$395)</f>
      </c>
      <c r="CD395">
        <f>IF(ISBLANK('Data Entry'!$$395), "", 'Data Entry'!$$395)</f>
      </c>
      <c r="CE395">
        <f>IF(ISBLANK('Data Entry'!$$395), "", 'Data Entry'!$$395)</f>
      </c>
      <c r="CF395">
        <f>IF(ISBLANK('Data Entry'!$$395), "", 'Data Entry'!$$395)</f>
      </c>
      <c r="CG395">
        <f>IF(ISBLANK('Data Entry'!$$395), "", 'Data Entry'!$$395)</f>
      </c>
      <c r="CH395">
        <f>IF(ISBLANK('Data Entry'!$$395), "", 'Data Entry'!$$395)</f>
      </c>
      <c r="CI395">
        <f>IF(ISBLANK('Data Entry'!$$395), "", 'Data Entry'!$$395)</f>
      </c>
      <c r="CJ395">
        <f>IF(ISBLANK('Data Entry'!$$395), "", 'Data Entry'!$$395)</f>
      </c>
      <c r="CK395">
        <f>IF(ISBLANK('Data Entry'!$$395), "", 'Data Entry'!$$395)</f>
      </c>
      <c r="CL395">
        <f>IF(ISBLANK('Data Entry'!$$395), "", 'Data Entry'!$$395)</f>
      </c>
      <c r="CM395">
        <f>IF(ISBLANK('Data Entry'!$$395), "", 'Data Entry'!$$395)</f>
      </c>
      <c r="CN395">
        <f>IF(ISBLANK('Data Entry'!$$395), "", 'Data Entry'!$$395)</f>
      </c>
      <c r="CO395">
        <f>IF(ISBLANK('Data Entry'!$$395), "", 'Data Entry'!$$395)</f>
      </c>
      <c r="CP395">
        <f>IF(ISBLANK('Data Entry'!$$395), "", 'Data Entry'!$$395)</f>
      </c>
      <c r="CQ395">
        <f>IF(ISBLANK('Data Entry'!$$395), "", 'Data Entry'!$$395)</f>
      </c>
      <c r="CR395">
        <f>IF(ISBLANK('Data Entry'!$ $395), "", 'Data Entry'!$ $395)</f>
      </c>
      <c r="CS395">
        <f>IF(ISBLANK('Data Entry'!$¡$395), "", 'Data Entry'!$¡$395)</f>
      </c>
      <c r="CT395">
        <f>IF(ISBLANK('Data Entry'!$¢$395), "", 'Data Entry'!$¢$395)</f>
      </c>
      <c r="CU395">
        <f>IF(ISBLANK('Data Entry'!$£$395), "", 'Data Entry'!$£$395)</f>
      </c>
      <c r="CV395">
        <f>IF(ISBLANK('Data Entry'!$¤$395), "", 'Data Entry'!$¤$395)</f>
      </c>
      <c r="CW395">
        <f>IF(ISBLANK('Data Entry'!$¥$395), "", 'Data Entry'!$¥$395)</f>
      </c>
      <c r="CX395">
        <f>IF(ISBLANK('Data Entry'!$¦$395), "", 'Data Entry'!$¦$395)</f>
      </c>
      <c r="CY395">
        <f>IF(ISBLANK('Data Entry'!$§$395), "", 'Data Entry'!$§$395)</f>
      </c>
      <c r="CZ395">
        <f>IF(ISBLANK('Data Entry'!$¨$395), "", 'Data Entry'!$¨$395)</f>
      </c>
      <c r="DA395">
        <f>IF(ISBLANK('Data Entry'!$©$395), "", 'Data Entry'!$©$395)</f>
      </c>
      <c r="DB395">
        <f>IF(ISBLANK('Data Entry'!$ª$395), "", 'Data Entry'!$ª$395)</f>
      </c>
      <c r="DC395">
        <f>IF(ISBLANK('Data Entry'!$«$395), "", 'Data Entry'!$«$395)</f>
      </c>
      <c r="DD395">
        <f>IF(ISBLANK('Data Entry'!$¬$395), "", 'Data Entry'!$¬$395)</f>
      </c>
      <c r="DE395">
        <f>IF(ISBLANK('Data Entry'!$­$395), "", 'Data Entry'!$­$395)</f>
      </c>
      <c r="DF395">
        <f>IF(ISBLANK('Data Entry'!$®$395), "", 'Data Entry'!$®$395)</f>
      </c>
      <c r="DG395">
        <f>IF(ISBLANK('Data Entry'!$¯$395), "", 'Data Entry'!$¯$395)</f>
      </c>
      <c r="DH395">
        <f>IF(ISBLANK('Data Entry'!$°$395), "", 'Data Entry'!$°$395)</f>
      </c>
      <c r="DI395">
        <f>IF(ISBLANK('Data Entry'!$±$395), "", 'Data Entry'!$±$395)</f>
      </c>
      <c r="DJ395">
        <f>IF(ISBLANK('Data Entry'!$²$395), "", 'Data Entry'!$²$395)</f>
      </c>
      <c r="DK395">
        <f>IF(ISBLANK('Data Entry'!$³$395), "", 'Data Entry'!$³$395)</f>
      </c>
      <c r="DL395">
        <f>IF(ISBLANK('Data Entry'!$´$395), "", 'Data Entry'!$´$395)</f>
      </c>
      <c r="DM395">
        <f>IF(ISBLANK('Data Entry'!$µ$395), "", 'Data Entry'!$µ$395)</f>
      </c>
      <c r="DN395">
        <f>IF(ISBLANK('Data Entry'!$¶$395), "", 'Data Entry'!$¶$395)</f>
      </c>
      <c r="DO395">
        <f>IF(ISBLANK('Data Entry'!$·$395), "", 'Data Entry'!$·$395)</f>
      </c>
      <c r="DP395">
        <f>IF(ISBLANK('Data Entry'!$¸$395), "", 'Data Entry'!$¸$395)</f>
      </c>
      <c r="DQ395">
        <f>IF(ISBLANK('Data Entry'!$¹$395), "", 'Data Entry'!$¹$395)</f>
      </c>
      <c r="DR395">
        <f>IF(ISBLANK('Data Entry'!$º$395), "", 'Data Entry'!$º$395)</f>
      </c>
      <c r="DS395">
        <f>IF(ISBLANK('Data Entry'!$»$395), "", 'Data Entry'!$»$395)</f>
      </c>
      <c r="DT395">
        <f>IF(ISBLANK('Data Entry'!$¼$395), "", 'Data Entry'!$¼$395)</f>
      </c>
      <c r="DU395">
        <f>IF(ISBLANK('Data Entry'!$½$395), "", 'Data Entry'!$½$395)</f>
      </c>
      <c r="DV395">
        <f>IF(ISBLANK('Data Entry'!$¾$395), "", 'Data Entry'!$¾$395)</f>
      </c>
      <c r="DW395">
        <f>IF(ISBLANK('Data Entry'!$¿$395), "", 'Data Entry'!$¿$395)</f>
      </c>
      <c r="DX395">
        <f>IF(ISBLANK('Data Entry'!$À$395), "", 'Data Entry'!$À$395)</f>
      </c>
      <c r="DY395">
        <f>IF(ISBLANK('Data Entry'!$Á$395), "", 'Data Entry'!$Á$395)</f>
      </c>
      <c r="DZ395">
        <f>IF(ISBLANK('Data Entry'!$Â$395), "", 'Data Entry'!$Â$395)</f>
      </c>
      <c r="EA395">
        <f>IF(ISBLANK('Data Entry'!$Ã$395), "", 'Data Entry'!$Ã$395)</f>
      </c>
      <c r="EB395">
        <f>IF(ISBLANK('Data Entry'!$Ä$395), "", 'Data Entry'!$Ä$395)</f>
      </c>
      <c r="EC395">
        <f>IF(ISBLANK('Data Entry'!$Å$395), "", 'Data Entry'!$Å$395)</f>
      </c>
      <c r="ED395">
        <f>IF(ISBLANK('Data Entry'!$Æ$395), "", 'Data Entry'!$Æ$395)</f>
      </c>
      <c r="EE395">
        <f>IF(ISBLANK('Data Entry'!$Ç$395), "", 'Data Entry'!$Ç$395)</f>
      </c>
      <c r="EF395">
        <f>IF(ISBLANK('Data Entry'!$È$395), "", 'Data Entry'!$È$395)</f>
      </c>
      <c r="EG395">
        <f>IF(ISBLANK('Data Entry'!$É$395), "", 'Data Entry'!$É$395)</f>
      </c>
      <c r="EH395">
        <f>IF(ISBLANK('Data Entry'!$Ê$395), "", 'Data Entry'!$Ê$395)</f>
      </c>
      <c r="EI395">
        <f>IF(ISBLANK('Data Entry'!$Ë$395), "", 'Data Entry'!$Ë$395)</f>
      </c>
      <c r="EJ395">
        <f>IF(ISBLANK('Data Entry'!$Ì$395), "", 'Data Entry'!$Ì$395)</f>
      </c>
      <c r="EK395">
        <f>IF(ISBLANK('Data Entry'!$Í$395), "", 'Data Entry'!$Í$395)</f>
      </c>
      <c r="EL395">
        <f>IF(ISBLANK('Data Entry'!$Î$395), "", 'Data Entry'!$Î$395)</f>
      </c>
      <c r="EM395">
        <f>IF(ISBLANK('Data Entry'!$Ï$395), "", 'Data Entry'!$Ï$395)</f>
      </c>
      <c r="EN395">
        <f>IF(ISBLANK('Data Entry'!$Ð$395), "", 'Data Entry'!$Ð$395)</f>
      </c>
      <c r="EO395">
        <f>IF(ISBLANK('Data Entry'!$Ñ$395), "", 'Data Entry'!$Ñ$395)</f>
      </c>
      <c r="EP395">
        <f>IF(ISBLANK('Data Entry'!$Ò$395), "", 'Data Entry'!$Ò$395)</f>
      </c>
      <c r="EQ395">
        <f>IF(ISBLANK('Data Entry'!$Ó$395), "", 'Data Entry'!$Ó$395)</f>
      </c>
      <c r="ER395">
        <f>IF(ISBLANK('Data Entry'!$Ô$395), "", 'Data Entry'!$Ô$395)</f>
      </c>
      <c r="ES395">
        <f>IF(ISBLANK('Data Entry'!$Õ$395), "", 'Data Entry'!$Õ$395)</f>
      </c>
      <c r="ET395">
        <f>IF(ISBLANK('Data Entry'!$Ö$395), "", 'Data Entry'!$Ö$395)</f>
      </c>
      <c r="EU395">
        <f>IF(ISBLANK('Data Entry'!$×$395), "", 'Data Entry'!$×$395)</f>
      </c>
      <c r="EV395">
        <f>IF(ISBLANK('Data Entry'!$Ø$395), "", 'Data Entry'!$Ø$395)</f>
      </c>
      <c r="EW395">
        <f>IF(ISBLANK('Data Entry'!$Ù$395), "", 'Data Entry'!$Ù$395)</f>
      </c>
      <c r="EX395">
        <f>IF(ISBLANK('Data Entry'!$Ú$395), "", 'Data Entry'!$Ú$395)</f>
      </c>
      <c r="EY395">
        <f>IF(ISBLANK('Data Entry'!$Û$395), "", 'Data Entry'!$Û$395)</f>
      </c>
      <c r="EZ395">
        <f>IF(ISBLANK('Data Entry'!$Ü$395), "", 'Data Entry'!$Ü$395)</f>
      </c>
      <c r="FA395">
        <f>IF(ISBLANK('Data Entry'!$Ý$395), "", 'Data Entry'!$Ý$395)</f>
      </c>
      <c r="FB395">
        <f>IF(ISBLANK('Data Entry'!$Þ$395), "", 'Data Entry'!$Þ$395)</f>
      </c>
      <c r="FC395">
        <f>IF(ISBLANK('Data Entry'!$ß$395), "", 'Data Entry'!$ß$395)</f>
      </c>
      <c r="FD395">
        <f>IF(ISBLANK('Data Entry'!$à$395), "", 'Data Entry'!$à$395)</f>
      </c>
      <c r="FE395">
        <f>IF(ISBLANK('Data Entry'!$á$395), "", 'Data Entry'!$á$395)</f>
      </c>
      <c r="FF395">
        <f>IF(ISBLANK('Data Entry'!$â$395), "", 'Data Entry'!$â$395)</f>
      </c>
      <c r="FG395">
        <f>IF(ISBLANK('Data Entry'!$ã$395), "", 'Data Entry'!$ã$395)</f>
      </c>
      <c r="FH395">
        <f>IF(ISBLANK('Data Entry'!$ä$395), "", 'Data Entry'!$ä$395)</f>
      </c>
      <c r="FI395">
        <f>IF(ISBLANK('Data Entry'!$å$395), "", 'Data Entry'!$å$395)</f>
      </c>
      <c r="FJ395">
        <f>IF(ISBLANK('Data Entry'!$æ$395), "", 'Data Entry'!$æ$395)</f>
      </c>
      <c r="FK395">
        <f>IF(ISBLANK('Data Entry'!$ç$395), "", 'Data Entry'!$ç$395)</f>
      </c>
      <c r="FL395">
        <f>IF(ISBLANK('Data Entry'!$è$395), "", 'Data Entry'!$è$395)</f>
      </c>
      <c r="FM395">
        <f>IF(ISBLANK('Data Entry'!$é$395), "", 'Data Entry'!$é$395)</f>
      </c>
      <c r="FN395">
        <f>IF(ISBLANK('Data Entry'!$ê$395), "", 'Data Entry'!$ê$395)</f>
      </c>
      <c r="FO395">
        <f>IF(ISBLANK('Data Entry'!$ë$395), "", 'Data Entry'!$ë$395)</f>
      </c>
      <c r="FP395">
        <f>IF(ISBLANK('Data Entry'!$ì$395), "", 'Data Entry'!$ì$395)</f>
      </c>
      <c r="FQ395">
        <f>IF(ISBLANK('Data Entry'!$í$395), "", 'Data Entry'!$í$395)</f>
      </c>
      <c r="FR395">
        <f>IF(ISBLANK('Data Entry'!$î$395), "", 'Data Entry'!$î$395)</f>
      </c>
      <c r="FS395">
        <f>IF(ISBLANK('Data Entry'!$ï$395), "", 'Data Entry'!$ï$395)</f>
      </c>
      <c r="FT395">
        <f>IF(ISBLANK('Data Entry'!$ð$395), "", 'Data Entry'!$ð$395)</f>
      </c>
      <c r="FU395">
        <f>IF(ISBLANK('Data Entry'!$ñ$395), "", 'Data Entry'!$ñ$395)</f>
      </c>
      <c r="FV395">
        <f>IF(ISBLANK('Data Entry'!$ò$395), "", 'Data Entry'!$ò$395)</f>
      </c>
      <c r="FW395">
        <f>IF(ISBLANK('Data Entry'!$ó$395), "", 'Data Entry'!$ó$395)</f>
      </c>
      <c r="FX395">
        <f>IF(ISBLANK('Data Entry'!$ô$395), "", 'Data Entry'!$ô$395)</f>
      </c>
      <c r="FY395">
        <f>IF(ISBLANK('Data Entry'!$õ$395), "", 'Data Entry'!$õ$395)</f>
      </c>
      <c r="FZ395">
        <f>IF(ISBLANK('Data Entry'!$ö$395), "", 'Data Entry'!$ö$395)</f>
      </c>
      <c r="GA395">
        <f>IF(ISBLANK('Data Entry'!$÷$395), "", 'Data Entry'!$÷$395)</f>
      </c>
      <c r="GB395">
        <f>IF(ISBLANK('Data Entry'!$ø$395), "", 'Data Entry'!$ø$395)</f>
      </c>
      <c r="GC395">
        <f>IF(ISBLANK('Data Entry'!$ù$395), "", 'Data Entry'!$ù$395)</f>
      </c>
      <c r="GD395">
        <f>IF(ISBLANK('Data Entry'!$ú$395), "", 'Data Entry'!$ú$395)</f>
      </c>
      <c r="GE395">
        <f>IF(ISBLANK('Data Entry'!$û$395), "", 'Data Entry'!$û$395)</f>
      </c>
      <c r="GF395">
        <f>IF(ISBLANK('Data Entry'!$ü$395), "", 'Data Entry'!$ü$395)</f>
      </c>
      <c r="GG395">
        <f>IF(ISBLANK('Data Entry'!$ý$395), "", 'Data Entry'!$ý$395)</f>
      </c>
      <c r="GH395">
        <f>IF(ISBLANK('Data Entry'!$þ$395), "", 'Data Entry'!$þ$395)</f>
      </c>
      <c r="GI395">
        <f>IF(ISBLANK('Data Entry'!$ÿ$395), "", 'Data Entry'!$ÿ$395)</f>
      </c>
      <c r="GJ395">
        <f>IF(ISBLANK('Data Entry'!$Ā$395), "", 'Data Entry'!$Ā$395)</f>
      </c>
      <c r="GK395">
        <f>IF(ISBLANK('Data Entry'!$ā$395), "", 'Data Entry'!$ā$395)</f>
      </c>
      <c r="GL395">
        <f>IF(ISBLANK('Data Entry'!$Ă$395), "", 'Data Entry'!$Ă$395)</f>
      </c>
      <c r="GM395">
        <f>IF(ISBLANK('Data Entry'!$ă$395), "", 'Data Entry'!$ă$395)</f>
      </c>
      <c r="GN395">
        <f>IF(ISBLANK('Data Entry'!$Ą$395), "", 'Data Entry'!$Ą$395)</f>
      </c>
      <c r="GO395">
        <f>IF(ISBLANK('Data Entry'!$ą$395), "", 'Data Entry'!$ą$395)</f>
      </c>
      <c r="GP395">
        <f>IF(ISBLANK('Data Entry'!$Ć$395), "", 'Data Entry'!$Ć$395)</f>
      </c>
      <c r="GQ395">
        <f>IF(ISBLANK('Data Entry'!$ć$395), "", 'Data Entry'!$ć$395)</f>
      </c>
      <c r="GR395">
        <f>IF(ISBLANK('Data Entry'!$Ĉ$395), "", 'Data Entry'!$Ĉ$395)</f>
      </c>
      <c r="GS395">
        <f>IF(ISBLANK('Data Entry'!$ĉ$395), "", 'Data Entry'!$ĉ$395)</f>
      </c>
      <c r="GT395">
        <f>IF(ISBLANK('Data Entry'!$Ċ$395), "", 'Data Entry'!$Ċ$395)</f>
      </c>
      <c r="GU395">
        <f>IF(ISBLANK('Data Entry'!$ċ$395), "", 'Data Entry'!$ċ$395)</f>
      </c>
      <c r="GV395">
        <f>IF(ISBLANK('Data Entry'!$Č$395), "", 'Data Entry'!$Č$395)</f>
      </c>
      <c r="GW395">
        <f>IF(ISBLANK('Data Entry'!$č$395), "", 'Data Entry'!$č$395)</f>
      </c>
      <c r="GX395">
        <f>IF(ISBLANK('Data Entry'!$Ď$395), "", 'Data Entry'!$Ď$395)</f>
      </c>
      <c r="GY395">
        <f>IF(ISBLANK('Data Entry'!$ď$395), "", 'Data Entry'!$ď$395)</f>
      </c>
      <c r="GZ395">
        <f>IF(ISBLANK('Data Entry'!$Đ$395), "", 'Data Entry'!$Đ$395)</f>
      </c>
      <c r="HA395">
        <f>IF(ISBLANK('Data Entry'!$đ$395), "", 'Data Entry'!$đ$395)</f>
      </c>
      <c r="HB395">
        <f>IF(ISBLANK('Data Entry'!$Ē$395), "", 'Data Entry'!$Ē$395)</f>
      </c>
      <c r="HC395">
        <f>IF(ISBLANK('Data Entry'!$ē$395), "", 'Data Entry'!$ē$395)</f>
      </c>
      <c r="HD395">
        <f>IF(ISBLANK('Data Entry'!$Ĕ$395), "", 'Data Entry'!$Ĕ$395)</f>
      </c>
      <c r="HE395">
        <f>IF(ISBLANK('Data Entry'!$ĕ$395), "", 'Data Entry'!$ĕ$395)</f>
      </c>
      <c r="HF395">
        <f>IF(ISBLANK('Data Entry'!$Ė$395), "", 'Data Entry'!$Ė$395)</f>
      </c>
      <c r="HG395">
        <f>IF(ISBLANK('Data Entry'!$ė$395), "", 'Data Entry'!$ė$395)</f>
      </c>
      <c r="HH395">
        <f>IF(ISBLANK('Data Entry'!$Ę$395), "", 'Data Entry'!$Ę$395)</f>
      </c>
      <c r="HI395">
        <f>IF(ISBLANK('Data Entry'!$ę$395), "", 'Data Entry'!$ę$395)</f>
      </c>
      <c r="HJ395">
        <f>IF(ISBLANK('Data Entry'!$Ě$395), "", 'Data Entry'!$Ě$395)</f>
      </c>
      <c r="HK395">
        <f>IF(ISBLANK('Data Entry'!$ě$395), "", 'Data Entry'!$ě$395)</f>
      </c>
      <c r="HL395">
        <f>IF(ISBLANK('Data Entry'!$Ĝ$395), "", 'Data Entry'!$Ĝ$395)</f>
      </c>
      <c r="HM395">
        <f>IF(ISBLANK('Data Entry'!$ĝ$395), "", 'Data Entry'!$ĝ$395)</f>
      </c>
      <c r="HN395">
        <f>IF(ISBLANK('Data Entry'!$Ğ$395), "", 'Data Entry'!$Ğ$395)</f>
      </c>
      <c r="HO395">
        <f>IF(ISBLANK('Data Entry'!$ğ$395), "", 'Data Entry'!$ğ$395)</f>
      </c>
      <c r="HP395">
        <f>IF(ISBLANK('Data Entry'!$Ġ$395), "", 'Data Entry'!$Ġ$395)</f>
      </c>
      <c r="HQ395">
        <f>IF(ISBLANK('Data Entry'!$ġ$395), "", 'Data Entry'!$ġ$395)</f>
      </c>
      <c r="HR395">
        <f>IF(ISBLANK('Data Entry'!$Ģ$395), "", 'Data Entry'!$Ģ$395)</f>
      </c>
      <c r="HS395">
        <f>IF(ISBLANK('Data Entry'!$ģ$395), "", 'Data Entry'!$ģ$395)</f>
      </c>
      <c r="HT395">
        <f>IF(ISBLANK('Data Entry'!$Ĥ$395), "", 'Data Entry'!$Ĥ$395)</f>
      </c>
      <c r="HU395">
        <f>IF(ISBLANK('Data Entry'!$ĥ$395), "", 'Data Entry'!$ĥ$395)</f>
      </c>
      <c r="HV395">
        <f>IF(ISBLANK('Data Entry'!$Ħ$395), "", 'Data Entry'!$Ħ$395)</f>
      </c>
      <c r="HW395">
        <f>IF(ISBLANK('Data Entry'!$ħ$395), "", 'Data Entry'!$ħ$395)</f>
      </c>
      <c r="HX395">
        <f>IF(ISBLANK('Data Entry'!$Ĩ$395), "", 'Data Entry'!$Ĩ$395)</f>
      </c>
      <c r="HY395">
        <f>IF(ISBLANK('Data Entry'!$ĩ$395), "", 'Data Entry'!$ĩ$395)</f>
      </c>
      <c r="HZ395">
        <f>IF(ISBLANK('Data Entry'!$Ī$395), "", 'Data Entry'!$Ī$395)</f>
      </c>
      <c r="IA395">
        <f>IF(ISBLANK('Data Entry'!$ī$395), "", 'Data Entry'!$ī$395)</f>
      </c>
      <c r="IB395">
        <f>IF(ISBLANK('Data Entry'!$Ĭ$395), "", 'Data Entry'!$Ĭ$395)</f>
      </c>
      <c r="IC395">
        <f>IF(ISBLANK('Data Entry'!$ĭ$395), "", 'Data Entry'!$ĭ$395)</f>
      </c>
      <c r="ID395">
        <f>IF(ISBLANK('Data Entry'!$Į$395), "", 'Data Entry'!$Į$395)</f>
      </c>
      <c r="IE395">
        <f>IF(ISBLANK('Data Entry'!$į$395), "", 'Data Entry'!$į$395)</f>
      </c>
      <c r="IF395">
        <f>IF(ISBLANK('Data Entry'!$İ$395), "", 'Data Entry'!$İ$395)</f>
      </c>
      <c r="IG395">
        <f>IF(ISBLANK('Data Entry'!$ı$395), "", 'Data Entry'!$ı$395)</f>
      </c>
      <c r="IH395">
        <f>IF(ISBLANK('Data Entry'!$Ĳ$395), "", 'Data Entry'!$Ĳ$395)</f>
      </c>
      <c r="II395">
        <f>IF(ISBLANK('Data Entry'!$ĳ$395), "", 'Data Entry'!$ĳ$395)</f>
      </c>
      <c r="IJ395">
        <f>IF(ISBLANK('Data Entry'!$Ĵ$395), "", 'Data Entry'!$Ĵ$395)</f>
      </c>
      <c r="IK395">
        <f>IF(ISBLANK('Data Entry'!$ĵ$395), "", 'Data Entry'!$ĵ$395)</f>
      </c>
      <c r="IL395">
        <f>IF(ISBLANK('Data Entry'!$Ķ$395), "", 'Data Entry'!$Ķ$395)</f>
      </c>
      <c r="IM395">
        <f>IF(ISBLANK('Data Entry'!$ķ$395), "", 'Data Entry'!$ķ$395)</f>
      </c>
      <c r="IN395">
        <f>IF(ISBLANK('Data Entry'!$ĸ$395), "", 'Data Entry'!$ĸ$395)</f>
      </c>
      <c r="IO395">
        <f>IF(ISBLANK('Data Entry'!$Ĺ$395), "", 'Data Entry'!$Ĺ$395)</f>
      </c>
      <c r="IP395">
        <f>IF(ISBLANK('Data Entry'!$ĺ$395), "", 'Data Entry'!$ĺ$395)</f>
      </c>
      <c r="IQ395">
        <f>IF(ISBLANK('Data Entry'!$Ļ$395), "", 'Data Entry'!$Ļ$395)</f>
      </c>
      <c r="IR395">
        <f>IF(ISBLANK('Data Entry'!$ļ$395), "", 'Data Entry'!$ļ$395)</f>
      </c>
      <c r="IS395">
        <f>IF(ISBLANK('Data Entry'!$Ľ$395), "", 'Data Entry'!$Ľ$395)</f>
      </c>
      <c r="IT395">
        <f>IF(ISBLANK('Data Entry'!$ľ$395), "", 'Data Entry'!$ľ$395)</f>
      </c>
    </row>
    <row r="396" spans="1:254" x14ac:dyDescent="0.25">
      <c r="A396">
        <f>IF(ISBLANK('Data Entry'!$A$396), "", 'Data Entry'!$A$396)</f>
      </c>
      <c r="B396">
        <f>IF(ISBLANK('Data Entry'!$B$396), "", 'Data Entry'!$B$396)</f>
      </c>
      <c r="C396">
        <f>IF(ISBLANK('Data Entry'!$C$396), "", 'Data Entry'!$C$396)</f>
      </c>
      <c r="D396">
        <f>IF(ISBLANK('Data Entry'!$D$396), "", 'Data Entry'!$D$396)</f>
      </c>
      <c r="E396">
        <f>IF(ISBLANK('Data Entry'!$E$396), "", 'Data Entry'!$E$396)</f>
      </c>
      <c r="F396">
        <f>IF(ISBLANK('Data Entry'!$F$396), "", 'Data Entry'!$F$396)</f>
      </c>
      <c r="G396">
        <f>IF(ISBLANK('Data Entry'!$G$396), "", 'Data Entry'!$G$396)</f>
      </c>
      <c r="H396">
        <f>IF(ISBLANK('Data Entry'!$H$396), "", 'Data Entry'!$H$396)</f>
      </c>
      <c r="I396">
        <f>IF(ISBLANK('Data Entry'!$I$396), "", 'Data Entry'!$I$396)</f>
      </c>
      <c r="J396">
        <f>IF(ISBLANK('Data Entry'!$J$396), "", 'Data Entry'!$J$396)</f>
      </c>
      <c r="K396">
        <f>IF(ISBLANK('Data Entry'!$K$396), "", 'Data Entry'!$K$396)</f>
      </c>
      <c r="L396">
        <f>IF(ISBLANK('Data Entry'!$L$396), "", 'Data Entry'!$L$396)</f>
      </c>
      <c r="M396">
        <f>IF(ISBLANK('Data Entry'!$M$396), "", 'Data Entry'!$M$396)</f>
      </c>
      <c r="N396">
        <f>IF(ISBLANK('Data Entry'!$N$396), "", 'Data Entry'!$N$396)</f>
      </c>
      <c r="O396">
        <f>IF(ISBLANK('Data Entry'!$O$396), "", 'Data Entry'!$O$396)</f>
      </c>
      <c r="P396">
        <f>IF(ISBLANK('Data Entry'!$P$396), "", 'Data Entry'!$P$396)</f>
      </c>
      <c r="Q396">
        <f>IF(ISBLANK('Data Entry'!$Q$396), "", 'Data Entry'!$Q$396)</f>
      </c>
      <c r="R396">
        <f>IF(ISBLANK('Data Entry'!$R$396), "", 'Data Entry'!$R$396)</f>
      </c>
      <c r="S396">
        <f>IF(ISBLANK('Data Entry'!$S$396), "", 'Data Entry'!$S$396)</f>
      </c>
      <c r="T396">
        <f>IF(ISBLANK('Data Entry'!$T$396), "", 'Data Entry'!$T$396)</f>
      </c>
      <c r="U396">
        <f>IF(ISBLANK('Data Entry'!$U$396), "", 'Data Entry'!$U$396)</f>
      </c>
      <c r="V396">
        <f>IF(ISBLANK('Data Entry'!$V$396), "", 'Data Entry'!$V$396)</f>
      </c>
      <c r="W396">
        <f>IF(ISBLANK('Data Entry'!$W$396), "", 'Data Entry'!$W$396)</f>
      </c>
      <c r="X396">
        <f>IF(ISBLANK('Data Entry'!$X$396), "", 'Data Entry'!$X$396)</f>
      </c>
      <c r="Y396">
        <f>IF(ISBLANK('Data Entry'!$Y$396), "", 'Data Entry'!$Y$396)</f>
      </c>
      <c r="Z396">
        <f>IF(ISBLANK('Data Entry'!$Z$396), "", 'Data Entry'!$Z$396)</f>
      </c>
      <c r="AA396">
        <f>IF(ISBLANK('Data Entry'!$[$396), "", 'Data Entry'!$[$396)</f>
      </c>
      <c r="AB396">
        <f>IF(ISBLANK('Data Entry'!$\$396), "", 'Data Entry'!$\$396)</f>
      </c>
      <c r="AC396">
        <f>IF(ISBLANK('Data Entry'!$]$396), "", 'Data Entry'!$]$396)</f>
      </c>
      <c r="AD396">
        <f>IF(ISBLANK('Data Entry'!$^$396), "", 'Data Entry'!$^$396)</f>
      </c>
      <c r="AE396">
        <f>IF(ISBLANK('Data Entry'!$_$396), "", 'Data Entry'!$_$396)</f>
      </c>
      <c r="AF396">
        <f>IF(ISBLANK('Data Entry'!$`$396), "", 'Data Entry'!$`$396)</f>
      </c>
      <c r="AG396">
        <f>IF(ISBLANK('Data Entry'!$a$396), "", 'Data Entry'!$a$396)</f>
      </c>
      <c r="AH396">
        <f>IF(ISBLANK('Data Entry'!$b$396), "", 'Data Entry'!$b$396)</f>
      </c>
      <c r="AI396">
        <f>IF(ISBLANK('Data Entry'!$c$396), "", 'Data Entry'!$c$396)</f>
      </c>
      <c r="AJ396">
        <f>IF(ISBLANK('Data Entry'!$d$396), "", 'Data Entry'!$d$396)</f>
      </c>
      <c r="AK396">
        <f>IF(ISBLANK('Data Entry'!$e$396), "", 'Data Entry'!$e$396)</f>
      </c>
      <c r="AL396">
        <f>IF(ISBLANK('Data Entry'!$f$396), "", 'Data Entry'!$f$396)</f>
      </c>
      <c r="AM396">
        <f>IF(ISBLANK('Data Entry'!$g$396), "", 'Data Entry'!$g$396)</f>
      </c>
      <c r="AN396">
        <f>IF(ISBLANK('Data Entry'!$h$396), "", 'Data Entry'!$h$396)</f>
      </c>
      <c r="AO396">
        <f>IF(ISBLANK('Data Entry'!$i$396), "", 'Data Entry'!$i$396)</f>
      </c>
      <c r="AP396">
        <f>IF(ISBLANK('Data Entry'!$j$396), "", 'Data Entry'!$j$396)</f>
      </c>
      <c r="AQ396">
        <f>IF(ISBLANK('Data Entry'!$k$396), "", 'Data Entry'!$k$396)</f>
      </c>
      <c r="AR396">
        <f>IF(ISBLANK('Data Entry'!$l$396), "", 'Data Entry'!$l$396)</f>
      </c>
      <c r="AS396">
        <f>IF(ISBLANK('Data Entry'!$m$396), "", 'Data Entry'!$m$396)</f>
      </c>
      <c r="AT396">
        <f>IF(ISBLANK('Data Entry'!$n$396), "", 'Data Entry'!$n$396)</f>
      </c>
      <c r="AU396">
        <f>IF(ISBLANK('Data Entry'!$o$396), "", 'Data Entry'!$o$396)</f>
      </c>
      <c r="AV396">
        <f>IF(ISBLANK('Data Entry'!$p$396), "", 'Data Entry'!$p$396)</f>
      </c>
      <c r="AW396">
        <f>IF(ISBLANK('Data Entry'!$q$396), "", 'Data Entry'!$q$396)</f>
      </c>
      <c r="AX396">
        <f>IF(ISBLANK('Data Entry'!$r$396), "", 'Data Entry'!$r$396)</f>
      </c>
      <c r="AY396">
        <f>IF(ISBLANK('Data Entry'!$s$396), "", 'Data Entry'!$s$396)</f>
      </c>
      <c r="AZ396">
        <f>IF(ISBLANK('Data Entry'!$t$396), "", 'Data Entry'!$t$396)</f>
      </c>
      <c r="BA396">
        <f>IF(ISBLANK('Data Entry'!$u$396), "", 'Data Entry'!$u$396)</f>
      </c>
      <c r="BB396">
        <f>IF(ISBLANK('Data Entry'!$v$396), "", 'Data Entry'!$v$396)</f>
      </c>
      <c r="BC396">
        <f>IF(ISBLANK('Data Entry'!$w$396), "", 'Data Entry'!$w$396)</f>
      </c>
      <c r="BD396">
        <f>IF(ISBLANK('Data Entry'!$x$396), "", 'Data Entry'!$x$396)</f>
      </c>
      <c r="BE396">
        <f>IF(ISBLANK('Data Entry'!$y$396), "", 'Data Entry'!$y$396)</f>
      </c>
      <c r="BF396">
        <f>IF(ISBLANK('Data Entry'!$z$396), "", 'Data Entry'!$z$396)</f>
      </c>
      <c r="BG396">
        <f>IF(ISBLANK('Data Entry'!${$396), "", 'Data Entry'!${$396)</f>
      </c>
      <c r="BH396">
        <f>IF(ISBLANK('Data Entry'!$|$396), "", 'Data Entry'!$|$396)</f>
      </c>
      <c r="BI396">
        <f>IF(ISBLANK('Data Entry'!$}$396), "", 'Data Entry'!$}$396)</f>
      </c>
      <c r="BJ396">
        <f>IF(ISBLANK('Data Entry'!$~$396), "", 'Data Entry'!$~$396)</f>
      </c>
      <c r="BK396">
        <f>IF(ISBLANK('Data Entry'!$$396), "", 'Data Entry'!$$396)</f>
      </c>
      <c r="BL396">
        <f>IF(ISBLANK('Data Entry'!$$396), "", 'Data Entry'!$$396)</f>
      </c>
      <c r="BM396">
        <f>IF(ISBLANK('Data Entry'!$$396), "", 'Data Entry'!$$396)</f>
      </c>
      <c r="BN396">
        <f>IF(ISBLANK('Data Entry'!$$396), "", 'Data Entry'!$$396)</f>
      </c>
      <c r="BO396">
        <f>IF(ISBLANK('Data Entry'!$$396), "", 'Data Entry'!$$396)</f>
      </c>
      <c r="BP396">
        <f>IF(ISBLANK('Data Entry'!$$396), "", 'Data Entry'!$$396)</f>
      </c>
      <c r="BQ396">
        <f>IF(ISBLANK('Data Entry'!$$396), "", 'Data Entry'!$$396)</f>
      </c>
      <c r="BR396">
        <f>IF(ISBLANK('Data Entry'!$$396), "", 'Data Entry'!$$396)</f>
      </c>
      <c r="BS396">
        <f>IF(ISBLANK('Data Entry'!$$396), "", 'Data Entry'!$$396)</f>
      </c>
      <c r="BT396">
        <f>IF(ISBLANK('Data Entry'!$$396), "", 'Data Entry'!$$396)</f>
      </c>
      <c r="BU396">
        <f>IF(ISBLANK('Data Entry'!$$396), "", 'Data Entry'!$$396)</f>
      </c>
      <c r="BV396">
        <f>IF(ISBLANK('Data Entry'!$$396), "", 'Data Entry'!$$396)</f>
      </c>
      <c r="BW396">
        <f>IF(ISBLANK('Data Entry'!$$396), "", 'Data Entry'!$$396)</f>
      </c>
      <c r="BX396">
        <f>IF(ISBLANK('Data Entry'!$$396), "", 'Data Entry'!$$396)</f>
      </c>
      <c r="BY396">
        <f>IF(ISBLANK('Data Entry'!$$396), "", 'Data Entry'!$$396)</f>
      </c>
      <c r="BZ396">
        <f>IF(ISBLANK('Data Entry'!$$396), "", 'Data Entry'!$$396)</f>
      </c>
      <c r="CA396">
        <f>IF(ISBLANK('Data Entry'!$$396), "", 'Data Entry'!$$396)</f>
      </c>
      <c r="CB396">
        <f>IF(ISBLANK('Data Entry'!$$396), "", 'Data Entry'!$$396)</f>
      </c>
      <c r="CC396">
        <f>IF(ISBLANK('Data Entry'!$$396), "", 'Data Entry'!$$396)</f>
      </c>
      <c r="CD396">
        <f>IF(ISBLANK('Data Entry'!$$396), "", 'Data Entry'!$$396)</f>
      </c>
      <c r="CE396">
        <f>IF(ISBLANK('Data Entry'!$$396), "", 'Data Entry'!$$396)</f>
      </c>
      <c r="CF396">
        <f>IF(ISBLANK('Data Entry'!$$396), "", 'Data Entry'!$$396)</f>
      </c>
      <c r="CG396">
        <f>IF(ISBLANK('Data Entry'!$$396), "", 'Data Entry'!$$396)</f>
      </c>
      <c r="CH396">
        <f>IF(ISBLANK('Data Entry'!$$396), "", 'Data Entry'!$$396)</f>
      </c>
      <c r="CI396">
        <f>IF(ISBLANK('Data Entry'!$$396), "", 'Data Entry'!$$396)</f>
      </c>
      <c r="CJ396">
        <f>IF(ISBLANK('Data Entry'!$$396), "", 'Data Entry'!$$396)</f>
      </c>
      <c r="CK396">
        <f>IF(ISBLANK('Data Entry'!$$396), "", 'Data Entry'!$$396)</f>
      </c>
      <c r="CL396">
        <f>IF(ISBLANK('Data Entry'!$$396), "", 'Data Entry'!$$396)</f>
      </c>
      <c r="CM396">
        <f>IF(ISBLANK('Data Entry'!$$396), "", 'Data Entry'!$$396)</f>
      </c>
      <c r="CN396">
        <f>IF(ISBLANK('Data Entry'!$$396), "", 'Data Entry'!$$396)</f>
      </c>
      <c r="CO396">
        <f>IF(ISBLANK('Data Entry'!$$396), "", 'Data Entry'!$$396)</f>
      </c>
      <c r="CP396">
        <f>IF(ISBLANK('Data Entry'!$$396), "", 'Data Entry'!$$396)</f>
      </c>
      <c r="CQ396">
        <f>IF(ISBLANK('Data Entry'!$$396), "", 'Data Entry'!$$396)</f>
      </c>
      <c r="CR396">
        <f>IF(ISBLANK('Data Entry'!$ $396), "", 'Data Entry'!$ $396)</f>
      </c>
      <c r="CS396">
        <f>IF(ISBLANK('Data Entry'!$¡$396), "", 'Data Entry'!$¡$396)</f>
      </c>
      <c r="CT396">
        <f>IF(ISBLANK('Data Entry'!$¢$396), "", 'Data Entry'!$¢$396)</f>
      </c>
      <c r="CU396">
        <f>IF(ISBLANK('Data Entry'!$£$396), "", 'Data Entry'!$£$396)</f>
      </c>
      <c r="CV396">
        <f>IF(ISBLANK('Data Entry'!$¤$396), "", 'Data Entry'!$¤$396)</f>
      </c>
      <c r="CW396">
        <f>IF(ISBLANK('Data Entry'!$¥$396), "", 'Data Entry'!$¥$396)</f>
      </c>
      <c r="CX396">
        <f>IF(ISBLANK('Data Entry'!$¦$396), "", 'Data Entry'!$¦$396)</f>
      </c>
      <c r="CY396">
        <f>IF(ISBLANK('Data Entry'!$§$396), "", 'Data Entry'!$§$396)</f>
      </c>
      <c r="CZ396">
        <f>IF(ISBLANK('Data Entry'!$¨$396), "", 'Data Entry'!$¨$396)</f>
      </c>
      <c r="DA396">
        <f>IF(ISBLANK('Data Entry'!$©$396), "", 'Data Entry'!$©$396)</f>
      </c>
      <c r="DB396">
        <f>IF(ISBLANK('Data Entry'!$ª$396), "", 'Data Entry'!$ª$396)</f>
      </c>
      <c r="DC396">
        <f>IF(ISBLANK('Data Entry'!$«$396), "", 'Data Entry'!$«$396)</f>
      </c>
      <c r="DD396">
        <f>IF(ISBLANK('Data Entry'!$¬$396), "", 'Data Entry'!$¬$396)</f>
      </c>
      <c r="DE396">
        <f>IF(ISBLANK('Data Entry'!$­$396), "", 'Data Entry'!$­$396)</f>
      </c>
      <c r="DF396">
        <f>IF(ISBLANK('Data Entry'!$®$396), "", 'Data Entry'!$®$396)</f>
      </c>
      <c r="DG396">
        <f>IF(ISBLANK('Data Entry'!$¯$396), "", 'Data Entry'!$¯$396)</f>
      </c>
      <c r="DH396">
        <f>IF(ISBLANK('Data Entry'!$°$396), "", 'Data Entry'!$°$396)</f>
      </c>
      <c r="DI396">
        <f>IF(ISBLANK('Data Entry'!$±$396), "", 'Data Entry'!$±$396)</f>
      </c>
      <c r="DJ396">
        <f>IF(ISBLANK('Data Entry'!$²$396), "", 'Data Entry'!$²$396)</f>
      </c>
      <c r="DK396">
        <f>IF(ISBLANK('Data Entry'!$³$396), "", 'Data Entry'!$³$396)</f>
      </c>
      <c r="DL396">
        <f>IF(ISBLANK('Data Entry'!$´$396), "", 'Data Entry'!$´$396)</f>
      </c>
      <c r="DM396">
        <f>IF(ISBLANK('Data Entry'!$µ$396), "", 'Data Entry'!$µ$396)</f>
      </c>
      <c r="DN396">
        <f>IF(ISBLANK('Data Entry'!$¶$396), "", 'Data Entry'!$¶$396)</f>
      </c>
      <c r="DO396">
        <f>IF(ISBLANK('Data Entry'!$·$396), "", 'Data Entry'!$·$396)</f>
      </c>
      <c r="DP396">
        <f>IF(ISBLANK('Data Entry'!$¸$396), "", 'Data Entry'!$¸$396)</f>
      </c>
      <c r="DQ396">
        <f>IF(ISBLANK('Data Entry'!$¹$396), "", 'Data Entry'!$¹$396)</f>
      </c>
      <c r="DR396">
        <f>IF(ISBLANK('Data Entry'!$º$396), "", 'Data Entry'!$º$396)</f>
      </c>
      <c r="DS396">
        <f>IF(ISBLANK('Data Entry'!$»$396), "", 'Data Entry'!$»$396)</f>
      </c>
      <c r="DT396">
        <f>IF(ISBLANK('Data Entry'!$¼$396), "", 'Data Entry'!$¼$396)</f>
      </c>
      <c r="DU396">
        <f>IF(ISBLANK('Data Entry'!$½$396), "", 'Data Entry'!$½$396)</f>
      </c>
      <c r="DV396">
        <f>IF(ISBLANK('Data Entry'!$¾$396), "", 'Data Entry'!$¾$396)</f>
      </c>
      <c r="DW396">
        <f>IF(ISBLANK('Data Entry'!$¿$396), "", 'Data Entry'!$¿$396)</f>
      </c>
      <c r="DX396">
        <f>IF(ISBLANK('Data Entry'!$À$396), "", 'Data Entry'!$À$396)</f>
      </c>
      <c r="DY396">
        <f>IF(ISBLANK('Data Entry'!$Á$396), "", 'Data Entry'!$Á$396)</f>
      </c>
      <c r="DZ396">
        <f>IF(ISBLANK('Data Entry'!$Â$396), "", 'Data Entry'!$Â$396)</f>
      </c>
      <c r="EA396">
        <f>IF(ISBLANK('Data Entry'!$Ã$396), "", 'Data Entry'!$Ã$396)</f>
      </c>
      <c r="EB396">
        <f>IF(ISBLANK('Data Entry'!$Ä$396), "", 'Data Entry'!$Ä$396)</f>
      </c>
      <c r="EC396">
        <f>IF(ISBLANK('Data Entry'!$Å$396), "", 'Data Entry'!$Å$396)</f>
      </c>
      <c r="ED396">
        <f>IF(ISBLANK('Data Entry'!$Æ$396), "", 'Data Entry'!$Æ$396)</f>
      </c>
      <c r="EE396">
        <f>IF(ISBLANK('Data Entry'!$Ç$396), "", 'Data Entry'!$Ç$396)</f>
      </c>
      <c r="EF396">
        <f>IF(ISBLANK('Data Entry'!$È$396), "", 'Data Entry'!$È$396)</f>
      </c>
      <c r="EG396">
        <f>IF(ISBLANK('Data Entry'!$É$396), "", 'Data Entry'!$É$396)</f>
      </c>
      <c r="EH396">
        <f>IF(ISBLANK('Data Entry'!$Ê$396), "", 'Data Entry'!$Ê$396)</f>
      </c>
      <c r="EI396">
        <f>IF(ISBLANK('Data Entry'!$Ë$396), "", 'Data Entry'!$Ë$396)</f>
      </c>
      <c r="EJ396">
        <f>IF(ISBLANK('Data Entry'!$Ì$396), "", 'Data Entry'!$Ì$396)</f>
      </c>
      <c r="EK396">
        <f>IF(ISBLANK('Data Entry'!$Í$396), "", 'Data Entry'!$Í$396)</f>
      </c>
      <c r="EL396">
        <f>IF(ISBLANK('Data Entry'!$Î$396), "", 'Data Entry'!$Î$396)</f>
      </c>
      <c r="EM396">
        <f>IF(ISBLANK('Data Entry'!$Ï$396), "", 'Data Entry'!$Ï$396)</f>
      </c>
      <c r="EN396">
        <f>IF(ISBLANK('Data Entry'!$Ð$396), "", 'Data Entry'!$Ð$396)</f>
      </c>
      <c r="EO396">
        <f>IF(ISBLANK('Data Entry'!$Ñ$396), "", 'Data Entry'!$Ñ$396)</f>
      </c>
      <c r="EP396">
        <f>IF(ISBLANK('Data Entry'!$Ò$396), "", 'Data Entry'!$Ò$396)</f>
      </c>
      <c r="EQ396">
        <f>IF(ISBLANK('Data Entry'!$Ó$396), "", 'Data Entry'!$Ó$396)</f>
      </c>
      <c r="ER396">
        <f>IF(ISBLANK('Data Entry'!$Ô$396), "", 'Data Entry'!$Ô$396)</f>
      </c>
      <c r="ES396">
        <f>IF(ISBLANK('Data Entry'!$Õ$396), "", 'Data Entry'!$Õ$396)</f>
      </c>
      <c r="ET396">
        <f>IF(ISBLANK('Data Entry'!$Ö$396), "", 'Data Entry'!$Ö$396)</f>
      </c>
      <c r="EU396">
        <f>IF(ISBLANK('Data Entry'!$×$396), "", 'Data Entry'!$×$396)</f>
      </c>
      <c r="EV396">
        <f>IF(ISBLANK('Data Entry'!$Ø$396), "", 'Data Entry'!$Ø$396)</f>
      </c>
      <c r="EW396">
        <f>IF(ISBLANK('Data Entry'!$Ù$396), "", 'Data Entry'!$Ù$396)</f>
      </c>
      <c r="EX396">
        <f>IF(ISBLANK('Data Entry'!$Ú$396), "", 'Data Entry'!$Ú$396)</f>
      </c>
      <c r="EY396">
        <f>IF(ISBLANK('Data Entry'!$Û$396), "", 'Data Entry'!$Û$396)</f>
      </c>
      <c r="EZ396">
        <f>IF(ISBLANK('Data Entry'!$Ü$396), "", 'Data Entry'!$Ü$396)</f>
      </c>
      <c r="FA396">
        <f>IF(ISBLANK('Data Entry'!$Ý$396), "", 'Data Entry'!$Ý$396)</f>
      </c>
      <c r="FB396">
        <f>IF(ISBLANK('Data Entry'!$Þ$396), "", 'Data Entry'!$Þ$396)</f>
      </c>
      <c r="FC396">
        <f>IF(ISBLANK('Data Entry'!$ß$396), "", 'Data Entry'!$ß$396)</f>
      </c>
      <c r="FD396">
        <f>IF(ISBLANK('Data Entry'!$à$396), "", 'Data Entry'!$à$396)</f>
      </c>
      <c r="FE396">
        <f>IF(ISBLANK('Data Entry'!$á$396), "", 'Data Entry'!$á$396)</f>
      </c>
      <c r="FF396">
        <f>IF(ISBLANK('Data Entry'!$â$396), "", 'Data Entry'!$â$396)</f>
      </c>
      <c r="FG396">
        <f>IF(ISBLANK('Data Entry'!$ã$396), "", 'Data Entry'!$ã$396)</f>
      </c>
      <c r="FH396">
        <f>IF(ISBLANK('Data Entry'!$ä$396), "", 'Data Entry'!$ä$396)</f>
      </c>
      <c r="FI396">
        <f>IF(ISBLANK('Data Entry'!$å$396), "", 'Data Entry'!$å$396)</f>
      </c>
      <c r="FJ396">
        <f>IF(ISBLANK('Data Entry'!$æ$396), "", 'Data Entry'!$æ$396)</f>
      </c>
      <c r="FK396">
        <f>IF(ISBLANK('Data Entry'!$ç$396), "", 'Data Entry'!$ç$396)</f>
      </c>
      <c r="FL396">
        <f>IF(ISBLANK('Data Entry'!$è$396), "", 'Data Entry'!$è$396)</f>
      </c>
      <c r="FM396">
        <f>IF(ISBLANK('Data Entry'!$é$396), "", 'Data Entry'!$é$396)</f>
      </c>
      <c r="FN396">
        <f>IF(ISBLANK('Data Entry'!$ê$396), "", 'Data Entry'!$ê$396)</f>
      </c>
      <c r="FO396">
        <f>IF(ISBLANK('Data Entry'!$ë$396), "", 'Data Entry'!$ë$396)</f>
      </c>
      <c r="FP396">
        <f>IF(ISBLANK('Data Entry'!$ì$396), "", 'Data Entry'!$ì$396)</f>
      </c>
      <c r="FQ396">
        <f>IF(ISBLANK('Data Entry'!$í$396), "", 'Data Entry'!$í$396)</f>
      </c>
      <c r="FR396">
        <f>IF(ISBLANK('Data Entry'!$î$396), "", 'Data Entry'!$î$396)</f>
      </c>
      <c r="FS396">
        <f>IF(ISBLANK('Data Entry'!$ï$396), "", 'Data Entry'!$ï$396)</f>
      </c>
      <c r="FT396">
        <f>IF(ISBLANK('Data Entry'!$ð$396), "", 'Data Entry'!$ð$396)</f>
      </c>
      <c r="FU396">
        <f>IF(ISBLANK('Data Entry'!$ñ$396), "", 'Data Entry'!$ñ$396)</f>
      </c>
      <c r="FV396">
        <f>IF(ISBLANK('Data Entry'!$ò$396), "", 'Data Entry'!$ò$396)</f>
      </c>
      <c r="FW396">
        <f>IF(ISBLANK('Data Entry'!$ó$396), "", 'Data Entry'!$ó$396)</f>
      </c>
      <c r="FX396">
        <f>IF(ISBLANK('Data Entry'!$ô$396), "", 'Data Entry'!$ô$396)</f>
      </c>
      <c r="FY396">
        <f>IF(ISBLANK('Data Entry'!$õ$396), "", 'Data Entry'!$õ$396)</f>
      </c>
      <c r="FZ396">
        <f>IF(ISBLANK('Data Entry'!$ö$396), "", 'Data Entry'!$ö$396)</f>
      </c>
      <c r="GA396">
        <f>IF(ISBLANK('Data Entry'!$÷$396), "", 'Data Entry'!$÷$396)</f>
      </c>
      <c r="GB396">
        <f>IF(ISBLANK('Data Entry'!$ø$396), "", 'Data Entry'!$ø$396)</f>
      </c>
      <c r="GC396">
        <f>IF(ISBLANK('Data Entry'!$ù$396), "", 'Data Entry'!$ù$396)</f>
      </c>
      <c r="GD396">
        <f>IF(ISBLANK('Data Entry'!$ú$396), "", 'Data Entry'!$ú$396)</f>
      </c>
      <c r="GE396">
        <f>IF(ISBLANK('Data Entry'!$û$396), "", 'Data Entry'!$û$396)</f>
      </c>
      <c r="GF396">
        <f>IF(ISBLANK('Data Entry'!$ü$396), "", 'Data Entry'!$ü$396)</f>
      </c>
      <c r="GG396">
        <f>IF(ISBLANK('Data Entry'!$ý$396), "", 'Data Entry'!$ý$396)</f>
      </c>
      <c r="GH396">
        <f>IF(ISBLANK('Data Entry'!$þ$396), "", 'Data Entry'!$þ$396)</f>
      </c>
      <c r="GI396">
        <f>IF(ISBLANK('Data Entry'!$ÿ$396), "", 'Data Entry'!$ÿ$396)</f>
      </c>
      <c r="GJ396">
        <f>IF(ISBLANK('Data Entry'!$Ā$396), "", 'Data Entry'!$Ā$396)</f>
      </c>
      <c r="GK396">
        <f>IF(ISBLANK('Data Entry'!$ā$396), "", 'Data Entry'!$ā$396)</f>
      </c>
      <c r="GL396">
        <f>IF(ISBLANK('Data Entry'!$Ă$396), "", 'Data Entry'!$Ă$396)</f>
      </c>
      <c r="GM396">
        <f>IF(ISBLANK('Data Entry'!$ă$396), "", 'Data Entry'!$ă$396)</f>
      </c>
      <c r="GN396">
        <f>IF(ISBLANK('Data Entry'!$Ą$396), "", 'Data Entry'!$Ą$396)</f>
      </c>
      <c r="GO396">
        <f>IF(ISBLANK('Data Entry'!$ą$396), "", 'Data Entry'!$ą$396)</f>
      </c>
      <c r="GP396">
        <f>IF(ISBLANK('Data Entry'!$Ć$396), "", 'Data Entry'!$Ć$396)</f>
      </c>
      <c r="GQ396">
        <f>IF(ISBLANK('Data Entry'!$ć$396), "", 'Data Entry'!$ć$396)</f>
      </c>
      <c r="GR396">
        <f>IF(ISBLANK('Data Entry'!$Ĉ$396), "", 'Data Entry'!$Ĉ$396)</f>
      </c>
      <c r="GS396">
        <f>IF(ISBLANK('Data Entry'!$ĉ$396), "", 'Data Entry'!$ĉ$396)</f>
      </c>
      <c r="GT396">
        <f>IF(ISBLANK('Data Entry'!$Ċ$396), "", 'Data Entry'!$Ċ$396)</f>
      </c>
      <c r="GU396">
        <f>IF(ISBLANK('Data Entry'!$ċ$396), "", 'Data Entry'!$ċ$396)</f>
      </c>
      <c r="GV396">
        <f>IF(ISBLANK('Data Entry'!$Č$396), "", 'Data Entry'!$Č$396)</f>
      </c>
      <c r="GW396">
        <f>IF(ISBLANK('Data Entry'!$č$396), "", 'Data Entry'!$č$396)</f>
      </c>
      <c r="GX396">
        <f>IF(ISBLANK('Data Entry'!$Ď$396), "", 'Data Entry'!$Ď$396)</f>
      </c>
      <c r="GY396">
        <f>IF(ISBLANK('Data Entry'!$ď$396), "", 'Data Entry'!$ď$396)</f>
      </c>
      <c r="GZ396">
        <f>IF(ISBLANK('Data Entry'!$Đ$396), "", 'Data Entry'!$Đ$396)</f>
      </c>
      <c r="HA396">
        <f>IF(ISBLANK('Data Entry'!$đ$396), "", 'Data Entry'!$đ$396)</f>
      </c>
      <c r="HB396">
        <f>IF(ISBLANK('Data Entry'!$Ē$396), "", 'Data Entry'!$Ē$396)</f>
      </c>
      <c r="HC396">
        <f>IF(ISBLANK('Data Entry'!$ē$396), "", 'Data Entry'!$ē$396)</f>
      </c>
      <c r="HD396">
        <f>IF(ISBLANK('Data Entry'!$Ĕ$396), "", 'Data Entry'!$Ĕ$396)</f>
      </c>
      <c r="HE396">
        <f>IF(ISBLANK('Data Entry'!$ĕ$396), "", 'Data Entry'!$ĕ$396)</f>
      </c>
      <c r="HF396">
        <f>IF(ISBLANK('Data Entry'!$Ė$396), "", 'Data Entry'!$Ė$396)</f>
      </c>
      <c r="HG396">
        <f>IF(ISBLANK('Data Entry'!$ė$396), "", 'Data Entry'!$ė$396)</f>
      </c>
      <c r="HH396">
        <f>IF(ISBLANK('Data Entry'!$Ę$396), "", 'Data Entry'!$Ę$396)</f>
      </c>
      <c r="HI396">
        <f>IF(ISBLANK('Data Entry'!$ę$396), "", 'Data Entry'!$ę$396)</f>
      </c>
      <c r="HJ396">
        <f>IF(ISBLANK('Data Entry'!$Ě$396), "", 'Data Entry'!$Ě$396)</f>
      </c>
      <c r="HK396">
        <f>IF(ISBLANK('Data Entry'!$ě$396), "", 'Data Entry'!$ě$396)</f>
      </c>
      <c r="HL396">
        <f>IF(ISBLANK('Data Entry'!$Ĝ$396), "", 'Data Entry'!$Ĝ$396)</f>
      </c>
      <c r="HM396">
        <f>IF(ISBLANK('Data Entry'!$ĝ$396), "", 'Data Entry'!$ĝ$396)</f>
      </c>
      <c r="HN396">
        <f>IF(ISBLANK('Data Entry'!$Ğ$396), "", 'Data Entry'!$Ğ$396)</f>
      </c>
      <c r="HO396">
        <f>IF(ISBLANK('Data Entry'!$ğ$396), "", 'Data Entry'!$ğ$396)</f>
      </c>
      <c r="HP396">
        <f>IF(ISBLANK('Data Entry'!$Ġ$396), "", 'Data Entry'!$Ġ$396)</f>
      </c>
      <c r="HQ396">
        <f>IF(ISBLANK('Data Entry'!$ġ$396), "", 'Data Entry'!$ġ$396)</f>
      </c>
      <c r="HR396">
        <f>IF(ISBLANK('Data Entry'!$Ģ$396), "", 'Data Entry'!$Ģ$396)</f>
      </c>
      <c r="HS396">
        <f>IF(ISBLANK('Data Entry'!$ģ$396), "", 'Data Entry'!$ģ$396)</f>
      </c>
      <c r="HT396">
        <f>IF(ISBLANK('Data Entry'!$Ĥ$396), "", 'Data Entry'!$Ĥ$396)</f>
      </c>
      <c r="HU396">
        <f>IF(ISBLANK('Data Entry'!$ĥ$396), "", 'Data Entry'!$ĥ$396)</f>
      </c>
      <c r="HV396">
        <f>IF(ISBLANK('Data Entry'!$Ħ$396), "", 'Data Entry'!$Ħ$396)</f>
      </c>
      <c r="HW396">
        <f>IF(ISBLANK('Data Entry'!$ħ$396), "", 'Data Entry'!$ħ$396)</f>
      </c>
      <c r="HX396">
        <f>IF(ISBLANK('Data Entry'!$Ĩ$396), "", 'Data Entry'!$Ĩ$396)</f>
      </c>
      <c r="HY396">
        <f>IF(ISBLANK('Data Entry'!$ĩ$396), "", 'Data Entry'!$ĩ$396)</f>
      </c>
      <c r="HZ396">
        <f>IF(ISBLANK('Data Entry'!$Ī$396), "", 'Data Entry'!$Ī$396)</f>
      </c>
      <c r="IA396">
        <f>IF(ISBLANK('Data Entry'!$ī$396), "", 'Data Entry'!$ī$396)</f>
      </c>
      <c r="IB396">
        <f>IF(ISBLANK('Data Entry'!$Ĭ$396), "", 'Data Entry'!$Ĭ$396)</f>
      </c>
      <c r="IC396">
        <f>IF(ISBLANK('Data Entry'!$ĭ$396), "", 'Data Entry'!$ĭ$396)</f>
      </c>
      <c r="ID396">
        <f>IF(ISBLANK('Data Entry'!$Į$396), "", 'Data Entry'!$Į$396)</f>
      </c>
      <c r="IE396">
        <f>IF(ISBLANK('Data Entry'!$į$396), "", 'Data Entry'!$į$396)</f>
      </c>
      <c r="IF396">
        <f>IF(ISBLANK('Data Entry'!$İ$396), "", 'Data Entry'!$İ$396)</f>
      </c>
      <c r="IG396">
        <f>IF(ISBLANK('Data Entry'!$ı$396), "", 'Data Entry'!$ı$396)</f>
      </c>
      <c r="IH396">
        <f>IF(ISBLANK('Data Entry'!$Ĳ$396), "", 'Data Entry'!$Ĳ$396)</f>
      </c>
      <c r="II396">
        <f>IF(ISBLANK('Data Entry'!$ĳ$396), "", 'Data Entry'!$ĳ$396)</f>
      </c>
      <c r="IJ396">
        <f>IF(ISBLANK('Data Entry'!$Ĵ$396), "", 'Data Entry'!$Ĵ$396)</f>
      </c>
      <c r="IK396">
        <f>IF(ISBLANK('Data Entry'!$ĵ$396), "", 'Data Entry'!$ĵ$396)</f>
      </c>
      <c r="IL396">
        <f>IF(ISBLANK('Data Entry'!$Ķ$396), "", 'Data Entry'!$Ķ$396)</f>
      </c>
      <c r="IM396">
        <f>IF(ISBLANK('Data Entry'!$ķ$396), "", 'Data Entry'!$ķ$396)</f>
      </c>
      <c r="IN396">
        <f>IF(ISBLANK('Data Entry'!$ĸ$396), "", 'Data Entry'!$ĸ$396)</f>
      </c>
      <c r="IO396">
        <f>IF(ISBLANK('Data Entry'!$Ĺ$396), "", 'Data Entry'!$Ĺ$396)</f>
      </c>
      <c r="IP396">
        <f>IF(ISBLANK('Data Entry'!$ĺ$396), "", 'Data Entry'!$ĺ$396)</f>
      </c>
      <c r="IQ396">
        <f>IF(ISBLANK('Data Entry'!$Ļ$396), "", 'Data Entry'!$Ļ$396)</f>
      </c>
      <c r="IR396">
        <f>IF(ISBLANK('Data Entry'!$ļ$396), "", 'Data Entry'!$ļ$396)</f>
      </c>
      <c r="IS396">
        <f>IF(ISBLANK('Data Entry'!$Ľ$396), "", 'Data Entry'!$Ľ$396)</f>
      </c>
      <c r="IT396">
        <f>IF(ISBLANK('Data Entry'!$ľ$396), "", 'Data Entry'!$ľ$396)</f>
      </c>
    </row>
    <row r="397" spans="1:254" x14ac:dyDescent="0.25">
      <c r="A397">
        <f>IF(ISBLANK('Data Entry'!$A$397), "", 'Data Entry'!$A$397)</f>
      </c>
      <c r="B397">
        <f>IF(ISBLANK('Data Entry'!$B$397), "", 'Data Entry'!$B$397)</f>
      </c>
      <c r="C397">
        <f>IF(ISBLANK('Data Entry'!$C$397), "", 'Data Entry'!$C$397)</f>
      </c>
      <c r="D397">
        <f>IF(ISBLANK('Data Entry'!$D$397), "", 'Data Entry'!$D$397)</f>
      </c>
      <c r="E397">
        <f>IF(ISBLANK('Data Entry'!$E$397), "", 'Data Entry'!$E$397)</f>
      </c>
      <c r="F397">
        <f>IF(ISBLANK('Data Entry'!$F$397), "", 'Data Entry'!$F$397)</f>
      </c>
      <c r="G397">
        <f>IF(ISBLANK('Data Entry'!$G$397), "", 'Data Entry'!$G$397)</f>
      </c>
      <c r="H397">
        <f>IF(ISBLANK('Data Entry'!$H$397), "", 'Data Entry'!$H$397)</f>
      </c>
      <c r="I397">
        <f>IF(ISBLANK('Data Entry'!$I$397), "", 'Data Entry'!$I$397)</f>
      </c>
      <c r="J397">
        <f>IF(ISBLANK('Data Entry'!$J$397), "", 'Data Entry'!$J$397)</f>
      </c>
      <c r="K397">
        <f>IF(ISBLANK('Data Entry'!$K$397), "", 'Data Entry'!$K$397)</f>
      </c>
      <c r="L397">
        <f>IF(ISBLANK('Data Entry'!$L$397), "", 'Data Entry'!$L$397)</f>
      </c>
      <c r="M397">
        <f>IF(ISBLANK('Data Entry'!$M$397), "", 'Data Entry'!$M$397)</f>
      </c>
      <c r="N397">
        <f>IF(ISBLANK('Data Entry'!$N$397), "", 'Data Entry'!$N$397)</f>
      </c>
      <c r="O397">
        <f>IF(ISBLANK('Data Entry'!$O$397), "", 'Data Entry'!$O$397)</f>
      </c>
      <c r="P397">
        <f>IF(ISBLANK('Data Entry'!$P$397), "", 'Data Entry'!$P$397)</f>
      </c>
      <c r="Q397">
        <f>IF(ISBLANK('Data Entry'!$Q$397), "", 'Data Entry'!$Q$397)</f>
      </c>
      <c r="R397">
        <f>IF(ISBLANK('Data Entry'!$R$397), "", 'Data Entry'!$R$397)</f>
      </c>
      <c r="S397">
        <f>IF(ISBLANK('Data Entry'!$S$397), "", 'Data Entry'!$S$397)</f>
      </c>
      <c r="T397">
        <f>IF(ISBLANK('Data Entry'!$T$397), "", 'Data Entry'!$T$397)</f>
      </c>
      <c r="U397">
        <f>IF(ISBLANK('Data Entry'!$U$397), "", 'Data Entry'!$U$397)</f>
      </c>
      <c r="V397">
        <f>IF(ISBLANK('Data Entry'!$V$397), "", 'Data Entry'!$V$397)</f>
      </c>
      <c r="W397">
        <f>IF(ISBLANK('Data Entry'!$W$397), "", 'Data Entry'!$W$397)</f>
      </c>
      <c r="X397">
        <f>IF(ISBLANK('Data Entry'!$X$397), "", 'Data Entry'!$X$397)</f>
      </c>
      <c r="Y397">
        <f>IF(ISBLANK('Data Entry'!$Y$397), "", 'Data Entry'!$Y$397)</f>
      </c>
      <c r="Z397">
        <f>IF(ISBLANK('Data Entry'!$Z$397), "", 'Data Entry'!$Z$397)</f>
      </c>
      <c r="AA397">
        <f>IF(ISBLANK('Data Entry'!$[$397), "", 'Data Entry'!$[$397)</f>
      </c>
      <c r="AB397">
        <f>IF(ISBLANK('Data Entry'!$\$397), "", 'Data Entry'!$\$397)</f>
      </c>
      <c r="AC397">
        <f>IF(ISBLANK('Data Entry'!$]$397), "", 'Data Entry'!$]$397)</f>
      </c>
      <c r="AD397">
        <f>IF(ISBLANK('Data Entry'!$^$397), "", 'Data Entry'!$^$397)</f>
      </c>
      <c r="AE397">
        <f>IF(ISBLANK('Data Entry'!$_$397), "", 'Data Entry'!$_$397)</f>
      </c>
      <c r="AF397">
        <f>IF(ISBLANK('Data Entry'!$`$397), "", 'Data Entry'!$`$397)</f>
      </c>
      <c r="AG397">
        <f>IF(ISBLANK('Data Entry'!$a$397), "", 'Data Entry'!$a$397)</f>
      </c>
      <c r="AH397">
        <f>IF(ISBLANK('Data Entry'!$b$397), "", 'Data Entry'!$b$397)</f>
      </c>
      <c r="AI397">
        <f>IF(ISBLANK('Data Entry'!$c$397), "", 'Data Entry'!$c$397)</f>
      </c>
      <c r="AJ397">
        <f>IF(ISBLANK('Data Entry'!$d$397), "", 'Data Entry'!$d$397)</f>
      </c>
      <c r="AK397">
        <f>IF(ISBLANK('Data Entry'!$e$397), "", 'Data Entry'!$e$397)</f>
      </c>
      <c r="AL397">
        <f>IF(ISBLANK('Data Entry'!$f$397), "", 'Data Entry'!$f$397)</f>
      </c>
      <c r="AM397">
        <f>IF(ISBLANK('Data Entry'!$g$397), "", 'Data Entry'!$g$397)</f>
      </c>
      <c r="AN397">
        <f>IF(ISBLANK('Data Entry'!$h$397), "", 'Data Entry'!$h$397)</f>
      </c>
      <c r="AO397">
        <f>IF(ISBLANK('Data Entry'!$i$397), "", 'Data Entry'!$i$397)</f>
      </c>
      <c r="AP397">
        <f>IF(ISBLANK('Data Entry'!$j$397), "", 'Data Entry'!$j$397)</f>
      </c>
      <c r="AQ397">
        <f>IF(ISBLANK('Data Entry'!$k$397), "", 'Data Entry'!$k$397)</f>
      </c>
      <c r="AR397">
        <f>IF(ISBLANK('Data Entry'!$l$397), "", 'Data Entry'!$l$397)</f>
      </c>
      <c r="AS397">
        <f>IF(ISBLANK('Data Entry'!$m$397), "", 'Data Entry'!$m$397)</f>
      </c>
      <c r="AT397">
        <f>IF(ISBLANK('Data Entry'!$n$397), "", 'Data Entry'!$n$397)</f>
      </c>
      <c r="AU397">
        <f>IF(ISBLANK('Data Entry'!$o$397), "", 'Data Entry'!$o$397)</f>
      </c>
      <c r="AV397">
        <f>IF(ISBLANK('Data Entry'!$p$397), "", 'Data Entry'!$p$397)</f>
      </c>
      <c r="AW397">
        <f>IF(ISBLANK('Data Entry'!$q$397), "", 'Data Entry'!$q$397)</f>
      </c>
      <c r="AX397">
        <f>IF(ISBLANK('Data Entry'!$r$397), "", 'Data Entry'!$r$397)</f>
      </c>
      <c r="AY397">
        <f>IF(ISBLANK('Data Entry'!$s$397), "", 'Data Entry'!$s$397)</f>
      </c>
      <c r="AZ397">
        <f>IF(ISBLANK('Data Entry'!$t$397), "", 'Data Entry'!$t$397)</f>
      </c>
      <c r="BA397">
        <f>IF(ISBLANK('Data Entry'!$u$397), "", 'Data Entry'!$u$397)</f>
      </c>
      <c r="BB397">
        <f>IF(ISBLANK('Data Entry'!$v$397), "", 'Data Entry'!$v$397)</f>
      </c>
      <c r="BC397">
        <f>IF(ISBLANK('Data Entry'!$w$397), "", 'Data Entry'!$w$397)</f>
      </c>
      <c r="BD397">
        <f>IF(ISBLANK('Data Entry'!$x$397), "", 'Data Entry'!$x$397)</f>
      </c>
      <c r="BE397">
        <f>IF(ISBLANK('Data Entry'!$y$397), "", 'Data Entry'!$y$397)</f>
      </c>
      <c r="BF397">
        <f>IF(ISBLANK('Data Entry'!$z$397), "", 'Data Entry'!$z$397)</f>
      </c>
      <c r="BG397">
        <f>IF(ISBLANK('Data Entry'!${$397), "", 'Data Entry'!${$397)</f>
      </c>
      <c r="BH397">
        <f>IF(ISBLANK('Data Entry'!$|$397), "", 'Data Entry'!$|$397)</f>
      </c>
      <c r="BI397">
        <f>IF(ISBLANK('Data Entry'!$}$397), "", 'Data Entry'!$}$397)</f>
      </c>
      <c r="BJ397">
        <f>IF(ISBLANK('Data Entry'!$~$397), "", 'Data Entry'!$~$397)</f>
      </c>
      <c r="BK397">
        <f>IF(ISBLANK('Data Entry'!$$397), "", 'Data Entry'!$$397)</f>
      </c>
      <c r="BL397">
        <f>IF(ISBLANK('Data Entry'!$$397), "", 'Data Entry'!$$397)</f>
      </c>
      <c r="BM397">
        <f>IF(ISBLANK('Data Entry'!$$397), "", 'Data Entry'!$$397)</f>
      </c>
      <c r="BN397">
        <f>IF(ISBLANK('Data Entry'!$$397), "", 'Data Entry'!$$397)</f>
      </c>
      <c r="BO397">
        <f>IF(ISBLANK('Data Entry'!$$397), "", 'Data Entry'!$$397)</f>
      </c>
      <c r="BP397">
        <f>IF(ISBLANK('Data Entry'!$$397), "", 'Data Entry'!$$397)</f>
      </c>
      <c r="BQ397">
        <f>IF(ISBLANK('Data Entry'!$$397), "", 'Data Entry'!$$397)</f>
      </c>
      <c r="BR397">
        <f>IF(ISBLANK('Data Entry'!$$397), "", 'Data Entry'!$$397)</f>
      </c>
      <c r="BS397">
        <f>IF(ISBLANK('Data Entry'!$$397), "", 'Data Entry'!$$397)</f>
      </c>
      <c r="BT397">
        <f>IF(ISBLANK('Data Entry'!$$397), "", 'Data Entry'!$$397)</f>
      </c>
      <c r="BU397">
        <f>IF(ISBLANK('Data Entry'!$$397), "", 'Data Entry'!$$397)</f>
      </c>
      <c r="BV397">
        <f>IF(ISBLANK('Data Entry'!$$397), "", 'Data Entry'!$$397)</f>
      </c>
      <c r="BW397">
        <f>IF(ISBLANK('Data Entry'!$$397), "", 'Data Entry'!$$397)</f>
      </c>
      <c r="BX397">
        <f>IF(ISBLANK('Data Entry'!$$397), "", 'Data Entry'!$$397)</f>
      </c>
      <c r="BY397">
        <f>IF(ISBLANK('Data Entry'!$$397), "", 'Data Entry'!$$397)</f>
      </c>
      <c r="BZ397">
        <f>IF(ISBLANK('Data Entry'!$$397), "", 'Data Entry'!$$397)</f>
      </c>
      <c r="CA397">
        <f>IF(ISBLANK('Data Entry'!$$397), "", 'Data Entry'!$$397)</f>
      </c>
      <c r="CB397">
        <f>IF(ISBLANK('Data Entry'!$$397), "", 'Data Entry'!$$397)</f>
      </c>
      <c r="CC397">
        <f>IF(ISBLANK('Data Entry'!$$397), "", 'Data Entry'!$$397)</f>
      </c>
      <c r="CD397">
        <f>IF(ISBLANK('Data Entry'!$$397), "", 'Data Entry'!$$397)</f>
      </c>
      <c r="CE397">
        <f>IF(ISBLANK('Data Entry'!$$397), "", 'Data Entry'!$$397)</f>
      </c>
      <c r="CF397">
        <f>IF(ISBLANK('Data Entry'!$$397), "", 'Data Entry'!$$397)</f>
      </c>
      <c r="CG397">
        <f>IF(ISBLANK('Data Entry'!$$397), "", 'Data Entry'!$$397)</f>
      </c>
      <c r="CH397">
        <f>IF(ISBLANK('Data Entry'!$$397), "", 'Data Entry'!$$397)</f>
      </c>
      <c r="CI397">
        <f>IF(ISBLANK('Data Entry'!$$397), "", 'Data Entry'!$$397)</f>
      </c>
      <c r="CJ397">
        <f>IF(ISBLANK('Data Entry'!$$397), "", 'Data Entry'!$$397)</f>
      </c>
      <c r="CK397">
        <f>IF(ISBLANK('Data Entry'!$$397), "", 'Data Entry'!$$397)</f>
      </c>
      <c r="CL397">
        <f>IF(ISBLANK('Data Entry'!$$397), "", 'Data Entry'!$$397)</f>
      </c>
      <c r="CM397">
        <f>IF(ISBLANK('Data Entry'!$$397), "", 'Data Entry'!$$397)</f>
      </c>
      <c r="CN397">
        <f>IF(ISBLANK('Data Entry'!$$397), "", 'Data Entry'!$$397)</f>
      </c>
      <c r="CO397">
        <f>IF(ISBLANK('Data Entry'!$$397), "", 'Data Entry'!$$397)</f>
      </c>
      <c r="CP397">
        <f>IF(ISBLANK('Data Entry'!$$397), "", 'Data Entry'!$$397)</f>
      </c>
      <c r="CQ397">
        <f>IF(ISBLANK('Data Entry'!$$397), "", 'Data Entry'!$$397)</f>
      </c>
      <c r="CR397">
        <f>IF(ISBLANK('Data Entry'!$ $397), "", 'Data Entry'!$ $397)</f>
      </c>
      <c r="CS397">
        <f>IF(ISBLANK('Data Entry'!$¡$397), "", 'Data Entry'!$¡$397)</f>
      </c>
      <c r="CT397">
        <f>IF(ISBLANK('Data Entry'!$¢$397), "", 'Data Entry'!$¢$397)</f>
      </c>
      <c r="CU397">
        <f>IF(ISBLANK('Data Entry'!$£$397), "", 'Data Entry'!$£$397)</f>
      </c>
      <c r="CV397">
        <f>IF(ISBLANK('Data Entry'!$¤$397), "", 'Data Entry'!$¤$397)</f>
      </c>
      <c r="CW397">
        <f>IF(ISBLANK('Data Entry'!$¥$397), "", 'Data Entry'!$¥$397)</f>
      </c>
      <c r="CX397">
        <f>IF(ISBLANK('Data Entry'!$¦$397), "", 'Data Entry'!$¦$397)</f>
      </c>
      <c r="CY397">
        <f>IF(ISBLANK('Data Entry'!$§$397), "", 'Data Entry'!$§$397)</f>
      </c>
      <c r="CZ397">
        <f>IF(ISBLANK('Data Entry'!$¨$397), "", 'Data Entry'!$¨$397)</f>
      </c>
      <c r="DA397">
        <f>IF(ISBLANK('Data Entry'!$©$397), "", 'Data Entry'!$©$397)</f>
      </c>
      <c r="DB397">
        <f>IF(ISBLANK('Data Entry'!$ª$397), "", 'Data Entry'!$ª$397)</f>
      </c>
      <c r="DC397">
        <f>IF(ISBLANK('Data Entry'!$«$397), "", 'Data Entry'!$«$397)</f>
      </c>
      <c r="DD397">
        <f>IF(ISBLANK('Data Entry'!$¬$397), "", 'Data Entry'!$¬$397)</f>
      </c>
      <c r="DE397">
        <f>IF(ISBLANK('Data Entry'!$­$397), "", 'Data Entry'!$­$397)</f>
      </c>
      <c r="DF397">
        <f>IF(ISBLANK('Data Entry'!$®$397), "", 'Data Entry'!$®$397)</f>
      </c>
      <c r="DG397">
        <f>IF(ISBLANK('Data Entry'!$¯$397), "", 'Data Entry'!$¯$397)</f>
      </c>
      <c r="DH397">
        <f>IF(ISBLANK('Data Entry'!$°$397), "", 'Data Entry'!$°$397)</f>
      </c>
      <c r="DI397">
        <f>IF(ISBLANK('Data Entry'!$±$397), "", 'Data Entry'!$±$397)</f>
      </c>
      <c r="DJ397">
        <f>IF(ISBLANK('Data Entry'!$²$397), "", 'Data Entry'!$²$397)</f>
      </c>
      <c r="DK397">
        <f>IF(ISBLANK('Data Entry'!$³$397), "", 'Data Entry'!$³$397)</f>
      </c>
      <c r="DL397">
        <f>IF(ISBLANK('Data Entry'!$´$397), "", 'Data Entry'!$´$397)</f>
      </c>
      <c r="DM397">
        <f>IF(ISBLANK('Data Entry'!$µ$397), "", 'Data Entry'!$µ$397)</f>
      </c>
      <c r="DN397">
        <f>IF(ISBLANK('Data Entry'!$¶$397), "", 'Data Entry'!$¶$397)</f>
      </c>
      <c r="DO397">
        <f>IF(ISBLANK('Data Entry'!$·$397), "", 'Data Entry'!$·$397)</f>
      </c>
      <c r="DP397">
        <f>IF(ISBLANK('Data Entry'!$¸$397), "", 'Data Entry'!$¸$397)</f>
      </c>
      <c r="DQ397">
        <f>IF(ISBLANK('Data Entry'!$¹$397), "", 'Data Entry'!$¹$397)</f>
      </c>
      <c r="DR397">
        <f>IF(ISBLANK('Data Entry'!$º$397), "", 'Data Entry'!$º$397)</f>
      </c>
      <c r="DS397">
        <f>IF(ISBLANK('Data Entry'!$»$397), "", 'Data Entry'!$»$397)</f>
      </c>
      <c r="DT397">
        <f>IF(ISBLANK('Data Entry'!$¼$397), "", 'Data Entry'!$¼$397)</f>
      </c>
      <c r="DU397">
        <f>IF(ISBLANK('Data Entry'!$½$397), "", 'Data Entry'!$½$397)</f>
      </c>
      <c r="DV397">
        <f>IF(ISBLANK('Data Entry'!$¾$397), "", 'Data Entry'!$¾$397)</f>
      </c>
      <c r="DW397">
        <f>IF(ISBLANK('Data Entry'!$¿$397), "", 'Data Entry'!$¿$397)</f>
      </c>
      <c r="DX397">
        <f>IF(ISBLANK('Data Entry'!$À$397), "", 'Data Entry'!$À$397)</f>
      </c>
      <c r="DY397">
        <f>IF(ISBLANK('Data Entry'!$Á$397), "", 'Data Entry'!$Á$397)</f>
      </c>
      <c r="DZ397">
        <f>IF(ISBLANK('Data Entry'!$Â$397), "", 'Data Entry'!$Â$397)</f>
      </c>
      <c r="EA397">
        <f>IF(ISBLANK('Data Entry'!$Ã$397), "", 'Data Entry'!$Ã$397)</f>
      </c>
      <c r="EB397">
        <f>IF(ISBLANK('Data Entry'!$Ä$397), "", 'Data Entry'!$Ä$397)</f>
      </c>
      <c r="EC397">
        <f>IF(ISBLANK('Data Entry'!$Å$397), "", 'Data Entry'!$Å$397)</f>
      </c>
      <c r="ED397">
        <f>IF(ISBLANK('Data Entry'!$Æ$397), "", 'Data Entry'!$Æ$397)</f>
      </c>
      <c r="EE397">
        <f>IF(ISBLANK('Data Entry'!$Ç$397), "", 'Data Entry'!$Ç$397)</f>
      </c>
      <c r="EF397">
        <f>IF(ISBLANK('Data Entry'!$È$397), "", 'Data Entry'!$È$397)</f>
      </c>
      <c r="EG397">
        <f>IF(ISBLANK('Data Entry'!$É$397), "", 'Data Entry'!$É$397)</f>
      </c>
      <c r="EH397">
        <f>IF(ISBLANK('Data Entry'!$Ê$397), "", 'Data Entry'!$Ê$397)</f>
      </c>
      <c r="EI397">
        <f>IF(ISBLANK('Data Entry'!$Ë$397), "", 'Data Entry'!$Ë$397)</f>
      </c>
      <c r="EJ397">
        <f>IF(ISBLANK('Data Entry'!$Ì$397), "", 'Data Entry'!$Ì$397)</f>
      </c>
      <c r="EK397">
        <f>IF(ISBLANK('Data Entry'!$Í$397), "", 'Data Entry'!$Í$397)</f>
      </c>
      <c r="EL397">
        <f>IF(ISBLANK('Data Entry'!$Î$397), "", 'Data Entry'!$Î$397)</f>
      </c>
      <c r="EM397">
        <f>IF(ISBLANK('Data Entry'!$Ï$397), "", 'Data Entry'!$Ï$397)</f>
      </c>
      <c r="EN397">
        <f>IF(ISBLANK('Data Entry'!$Ð$397), "", 'Data Entry'!$Ð$397)</f>
      </c>
      <c r="EO397">
        <f>IF(ISBLANK('Data Entry'!$Ñ$397), "", 'Data Entry'!$Ñ$397)</f>
      </c>
      <c r="EP397">
        <f>IF(ISBLANK('Data Entry'!$Ò$397), "", 'Data Entry'!$Ò$397)</f>
      </c>
      <c r="EQ397">
        <f>IF(ISBLANK('Data Entry'!$Ó$397), "", 'Data Entry'!$Ó$397)</f>
      </c>
      <c r="ER397">
        <f>IF(ISBLANK('Data Entry'!$Ô$397), "", 'Data Entry'!$Ô$397)</f>
      </c>
      <c r="ES397">
        <f>IF(ISBLANK('Data Entry'!$Õ$397), "", 'Data Entry'!$Õ$397)</f>
      </c>
      <c r="ET397">
        <f>IF(ISBLANK('Data Entry'!$Ö$397), "", 'Data Entry'!$Ö$397)</f>
      </c>
      <c r="EU397">
        <f>IF(ISBLANK('Data Entry'!$×$397), "", 'Data Entry'!$×$397)</f>
      </c>
      <c r="EV397">
        <f>IF(ISBLANK('Data Entry'!$Ø$397), "", 'Data Entry'!$Ø$397)</f>
      </c>
      <c r="EW397">
        <f>IF(ISBLANK('Data Entry'!$Ù$397), "", 'Data Entry'!$Ù$397)</f>
      </c>
      <c r="EX397">
        <f>IF(ISBLANK('Data Entry'!$Ú$397), "", 'Data Entry'!$Ú$397)</f>
      </c>
      <c r="EY397">
        <f>IF(ISBLANK('Data Entry'!$Û$397), "", 'Data Entry'!$Û$397)</f>
      </c>
      <c r="EZ397">
        <f>IF(ISBLANK('Data Entry'!$Ü$397), "", 'Data Entry'!$Ü$397)</f>
      </c>
      <c r="FA397">
        <f>IF(ISBLANK('Data Entry'!$Ý$397), "", 'Data Entry'!$Ý$397)</f>
      </c>
      <c r="FB397">
        <f>IF(ISBLANK('Data Entry'!$Þ$397), "", 'Data Entry'!$Þ$397)</f>
      </c>
      <c r="FC397">
        <f>IF(ISBLANK('Data Entry'!$ß$397), "", 'Data Entry'!$ß$397)</f>
      </c>
      <c r="FD397">
        <f>IF(ISBLANK('Data Entry'!$à$397), "", 'Data Entry'!$à$397)</f>
      </c>
      <c r="FE397">
        <f>IF(ISBLANK('Data Entry'!$á$397), "", 'Data Entry'!$á$397)</f>
      </c>
      <c r="FF397">
        <f>IF(ISBLANK('Data Entry'!$â$397), "", 'Data Entry'!$â$397)</f>
      </c>
      <c r="FG397">
        <f>IF(ISBLANK('Data Entry'!$ã$397), "", 'Data Entry'!$ã$397)</f>
      </c>
      <c r="FH397">
        <f>IF(ISBLANK('Data Entry'!$ä$397), "", 'Data Entry'!$ä$397)</f>
      </c>
      <c r="FI397">
        <f>IF(ISBLANK('Data Entry'!$å$397), "", 'Data Entry'!$å$397)</f>
      </c>
      <c r="FJ397">
        <f>IF(ISBLANK('Data Entry'!$æ$397), "", 'Data Entry'!$æ$397)</f>
      </c>
      <c r="FK397">
        <f>IF(ISBLANK('Data Entry'!$ç$397), "", 'Data Entry'!$ç$397)</f>
      </c>
      <c r="FL397">
        <f>IF(ISBLANK('Data Entry'!$è$397), "", 'Data Entry'!$è$397)</f>
      </c>
      <c r="FM397">
        <f>IF(ISBLANK('Data Entry'!$é$397), "", 'Data Entry'!$é$397)</f>
      </c>
      <c r="FN397">
        <f>IF(ISBLANK('Data Entry'!$ê$397), "", 'Data Entry'!$ê$397)</f>
      </c>
      <c r="FO397">
        <f>IF(ISBLANK('Data Entry'!$ë$397), "", 'Data Entry'!$ë$397)</f>
      </c>
      <c r="FP397">
        <f>IF(ISBLANK('Data Entry'!$ì$397), "", 'Data Entry'!$ì$397)</f>
      </c>
      <c r="FQ397">
        <f>IF(ISBLANK('Data Entry'!$í$397), "", 'Data Entry'!$í$397)</f>
      </c>
      <c r="FR397">
        <f>IF(ISBLANK('Data Entry'!$î$397), "", 'Data Entry'!$î$397)</f>
      </c>
      <c r="FS397">
        <f>IF(ISBLANK('Data Entry'!$ï$397), "", 'Data Entry'!$ï$397)</f>
      </c>
      <c r="FT397">
        <f>IF(ISBLANK('Data Entry'!$ð$397), "", 'Data Entry'!$ð$397)</f>
      </c>
      <c r="FU397">
        <f>IF(ISBLANK('Data Entry'!$ñ$397), "", 'Data Entry'!$ñ$397)</f>
      </c>
      <c r="FV397">
        <f>IF(ISBLANK('Data Entry'!$ò$397), "", 'Data Entry'!$ò$397)</f>
      </c>
      <c r="FW397">
        <f>IF(ISBLANK('Data Entry'!$ó$397), "", 'Data Entry'!$ó$397)</f>
      </c>
      <c r="FX397">
        <f>IF(ISBLANK('Data Entry'!$ô$397), "", 'Data Entry'!$ô$397)</f>
      </c>
      <c r="FY397">
        <f>IF(ISBLANK('Data Entry'!$õ$397), "", 'Data Entry'!$õ$397)</f>
      </c>
      <c r="FZ397">
        <f>IF(ISBLANK('Data Entry'!$ö$397), "", 'Data Entry'!$ö$397)</f>
      </c>
      <c r="GA397">
        <f>IF(ISBLANK('Data Entry'!$÷$397), "", 'Data Entry'!$÷$397)</f>
      </c>
      <c r="GB397">
        <f>IF(ISBLANK('Data Entry'!$ø$397), "", 'Data Entry'!$ø$397)</f>
      </c>
      <c r="GC397">
        <f>IF(ISBLANK('Data Entry'!$ù$397), "", 'Data Entry'!$ù$397)</f>
      </c>
      <c r="GD397">
        <f>IF(ISBLANK('Data Entry'!$ú$397), "", 'Data Entry'!$ú$397)</f>
      </c>
      <c r="GE397">
        <f>IF(ISBLANK('Data Entry'!$û$397), "", 'Data Entry'!$û$397)</f>
      </c>
      <c r="GF397">
        <f>IF(ISBLANK('Data Entry'!$ü$397), "", 'Data Entry'!$ü$397)</f>
      </c>
      <c r="GG397">
        <f>IF(ISBLANK('Data Entry'!$ý$397), "", 'Data Entry'!$ý$397)</f>
      </c>
      <c r="GH397">
        <f>IF(ISBLANK('Data Entry'!$þ$397), "", 'Data Entry'!$þ$397)</f>
      </c>
      <c r="GI397">
        <f>IF(ISBLANK('Data Entry'!$ÿ$397), "", 'Data Entry'!$ÿ$397)</f>
      </c>
      <c r="GJ397">
        <f>IF(ISBLANK('Data Entry'!$Ā$397), "", 'Data Entry'!$Ā$397)</f>
      </c>
      <c r="GK397">
        <f>IF(ISBLANK('Data Entry'!$ā$397), "", 'Data Entry'!$ā$397)</f>
      </c>
      <c r="GL397">
        <f>IF(ISBLANK('Data Entry'!$Ă$397), "", 'Data Entry'!$Ă$397)</f>
      </c>
      <c r="GM397">
        <f>IF(ISBLANK('Data Entry'!$ă$397), "", 'Data Entry'!$ă$397)</f>
      </c>
      <c r="GN397">
        <f>IF(ISBLANK('Data Entry'!$Ą$397), "", 'Data Entry'!$Ą$397)</f>
      </c>
      <c r="GO397">
        <f>IF(ISBLANK('Data Entry'!$ą$397), "", 'Data Entry'!$ą$397)</f>
      </c>
      <c r="GP397">
        <f>IF(ISBLANK('Data Entry'!$Ć$397), "", 'Data Entry'!$Ć$397)</f>
      </c>
      <c r="GQ397">
        <f>IF(ISBLANK('Data Entry'!$ć$397), "", 'Data Entry'!$ć$397)</f>
      </c>
      <c r="GR397">
        <f>IF(ISBLANK('Data Entry'!$Ĉ$397), "", 'Data Entry'!$Ĉ$397)</f>
      </c>
      <c r="GS397">
        <f>IF(ISBLANK('Data Entry'!$ĉ$397), "", 'Data Entry'!$ĉ$397)</f>
      </c>
      <c r="GT397">
        <f>IF(ISBLANK('Data Entry'!$Ċ$397), "", 'Data Entry'!$Ċ$397)</f>
      </c>
      <c r="GU397">
        <f>IF(ISBLANK('Data Entry'!$ċ$397), "", 'Data Entry'!$ċ$397)</f>
      </c>
      <c r="GV397">
        <f>IF(ISBLANK('Data Entry'!$Č$397), "", 'Data Entry'!$Č$397)</f>
      </c>
      <c r="GW397">
        <f>IF(ISBLANK('Data Entry'!$č$397), "", 'Data Entry'!$č$397)</f>
      </c>
      <c r="GX397">
        <f>IF(ISBLANK('Data Entry'!$Ď$397), "", 'Data Entry'!$Ď$397)</f>
      </c>
      <c r="GY397">
        <f>IF(ISBLANK('Data Entry'!$ď$397), "", 'Data Entry'!$ď$397)</f>
      </c>
      <c r="GZ397">
        <f>IF(ISBLANK('Data Entry'!$Đ$397), "", 'Data Entry'!$Đ$397)</f>
      </c>
      <c r="HA397">
        <f>IF(ISBLANK('Data Entry'!$đ$397), "", 'Data Entry'!$đ$397)</f>
      </c>
      <c r="HB397">
        <f>IF(ISBLANK('Data Entry'!$Ē$397), "", 'Data Entry'!$Ē$397)</f>
      </c>
      <c r="HC397">
        <f>IF(ISBLANK('Data Entry'!$ē$397), "", 'Data Entry'!$ē$397)</f>
      </c>
      <c r="HD397">
        <f>IF(ISBLANK('Data Entry'!$Ĕ$397), "", 'Data Entry'!$Ĕ$397)</f>
      </c>
      <c r="HE397">
        <f>IF(ISBLANK('Data Entry'!$ĕ$397), "", 'Data Entry'!$ĕ$397)</f>
      </c>
      <c r="HF397">
        <f>IF(ISBLANK('Data Entry'!$Ė$397), "", 'Data Entry'!$Ė$397)</f>
      </c>
      <c r="HG397">
        <f>IF(ISBLANK('Data Entry'!$ė$397), "", 'Data Entry'!$ė$397)</f>
      </c>
      <c r="HH397">
        <f>IF(ISBLANK('Data Entry'!$Ę$397), "", 'Data Entry'!$Ę$397)</f>
      </c>
      <c r="HI397">
        <f>IF(ISBLANK('Data Entry'!$ę$397), "", 'Data Entry'!$ę$397)</f>
      </c>
      <c r="HJ397">
        <f>IF(ISBLANK('Data Entry'!$Ě$397), "", 'Data Entry'!$Ě$397)</f>
      </c>
      <c r="HK397">
        <f>IF(ISBLANK('Data Entry'!$ě$397), "", 'Data Entry'!$ě$397)</f>
      </c>
      <c r="HL397">
        <f>IF(ISBLANK('Data Entry'!$Ĝ$397), "", 'Data Entry'!$Ĝ$397)</f>
      </c>
      <c r="HM397">
        <f>IF(ISBLANK('Data Entry'!$ĝ$397), "", 'Data Entry'!$ĝ$397)</f>
      </c>
      <c r="HN397">
        <f>IF(ISBLANK('Data Entry'!$Ğ$397), "", 'Data Entry'!$Ğ$397)</f>
      </c>
      <c r="HO397">
        <f>IF(ISBLANK('Data Entry'!$ğ$397), "", 'Data Entry'!$ğ$397)</f>
      </c>
      <c r="HP397">
        <f>IF(ISBLANK('Data Entry'!$Ġ$397), "", 'Data Entry'!$Ġ$397)</f>
      </c>
      <c r="HQ397">
        <f>IF(ISBLANK('Data Entry'!$ġ$397), "", 'Data Entry'!$ġ$397)</f>
      </c>
      <c r="HR397">
        <f>IF(ISBLANK('Data Entry'!$Ģ$397), "", 'Data Entry'!$Ģ$397)</f>
      </c>
      <c r="HS397">
        <f>IF(ISBLANK('Data Entry'!$ģ$397), "", 'Data Entry'!$ģ$397)</f>
      </c>
      <c r="HT397">
        <f>IF(ISBLANK('Data Entry'!$Ĥ$397), "", 'Data Entry'!$Ĥ$397)</f>
      </c>
      <c r="HU397">
        <f>IF(ISBLANK('Data Entry'!$ĥ$397), "", 'Data Entry'!$ĥ$397)</f>
      </c>
      <c r="HV397">
        <f>IF(ISBLANK('Data Entry'!$Ħ$397), "", 'Data Entry'!$Ħ$397)</f>
      </c>
      <c r="HW397">
        <f>IF(ISBLANK('Data Entry'!$ħ$397), "", 'Data Entry'!$ħ$397)</f>
      </c>
      <c r="HX397">
        <f>IF(ISBLANK('Data Entry'!$Ĩ$397), "", 'Data Entry'!$Ĩ$397)</f>
      </c>
      <c r="HY397">
        <f>IF(ISBLANK('Data Entry'!$ĩ$397), "", 'Data Entry'!$ĩ$397)</f>
      </c>
      <c r="HZ397">
        <f>IF(ISBLANK('Data Entry'!$Ī$397), "", 'Data Entry'!$Ī$397)</f>
      </c>
      <c r="IA397">
        <f>IF(ISBLANK('Data Entry'!$ī$397), "", 'Data Entry'!$ī$397)</f>
      </c>
      <c r="IB397">
        <f>IF(ISBLANK('Data Entry'!$Ĭ$397), "", 'Data Entry'!$Ĭ$397)</f>
      </c>
      <c r="IC397">
        <f>IF(ISBLANK('Data Entry'!$ĭ$397), "", 'Data Entry'!$ĭ$397)</f>
      </c>
      <c r="ID397">
        <f>IF(ISBLANK('Data Entry'!$Į$397), "", 'Data Entry'!$Į$397)</f>
      </c>
      <c r="IE397">
        <f>IF(ISBLANK('Data Entry'!$į$397), "", 'Data Entry'!$į$397)</f>
      </c>
      <c r="IF397">
        <f>IF(ISBLANK('Data Entry'!$İ$397), "", 'Data Entry'!$İ$397)</f>
      </c>
      <c r="IG397">
        <f>IF(ISBLANK('Data Entry'!$ı$397), "", 'Data Entry'!$ı$397)</f>
      </c>
      <c r="IH397">
        <f>IF(ISBLANK('Data Entry'!$Ĳ$397), "", 'Data Entry'!$Ĳ$397)</f>
      </c>
      <c r="II397">
        <f>IF(ISBLANK('Data Entry'!$ĳ$397), "", 'Data Entry'!$ĳ$397)</f>
      </c>
      <c r="IJ397">
        <f>IF(ISBLANK('Data Entry'!$Ĵ$397), "", 'Data Entry'!$Ĵ$397)</f>
      </c>
      <c r="IK397">
        <f>IF(ISBLANK('Data Entry'!$ĵ$397), "", 'Data Entry'!$ĵ$397)</f>
      </c>
      <c r="IL397">
        <f>IF(ISBLANK('Data Entry'!$Ķ$397), "", 'Data Entry'!$Ķ$397)</f>
      </c>
      <c r="IM397">
        <f>IF(ISBLANK('Data Entry'!$ķ$397), "", 'Data Entry'!$ķ$397)</f>
      </c>
      <c r="IN397">
        <f>IF(ISBLANK('Data Entry'!$ĸ$397), "", 'Data Entry'!$ĸ$397)</f>
      </c>
      <c r="IO397">
        <f>IF(ISBLANK('Data Entry'!$Ĺ$397), "", 'Data Entry'!$Ĺ$397)</f>
      </c>
      <c r="IP397">
        <f>IF(ISBLANK('Data Entry'!$ĺ$397), "", 'Data Entry'!$ĺ$397)</f>
      </c>
      <c r="IQ397">
        <f>IF(ISBLANK('Data Entry'!$Ļ$397), "", 'Data Entry'!$Ļ$397)</f>
      </c>
      <c r="IR397">
        <f>IF(ISBLANK('Data Entry'!$ļ$397), "", 'Data Entry'!$ļ$397)</f>
      </c>
      <c r="IS397">
        <f>IF(ISBLANK('Data Entry'!$Ľ$397), "", 'Data Entry'!$Ľ$397)</f>
      </c>
      <c r="IT397">
        <f>IF(ISBLANK('Data Entry'!$ľ$397), "", 'Data Entry'!$ľ$397)</f>
      </c>
    </row>
    <row r="398" spans="1:254" x14ac:dyDescent="0.25">
      <c r="A398">
        <f>IF(ISBLANK('Data Entry'!$A$398), "", 'Data Entry'!$A$398)</f>
      </c>
      <c r="B398">
        <f>IF(ISBLANK('Data Entry'!$B$398), "", 'Data Entry'!$B$398)</f>
      </c>
      <c r="C398">
        <f>IF(ISBLANK('Data Entry'!$C$398), "", 'Data Entry'!$C$398)</f>
      </c>
      <c r="D398">
        <f>IF(ISBLANK('Data Entry'!$D$398), "", 'Data Entry'!$D$398)</f>
      </c>
      <c r="E398">
        <f>IF(ISBLANK('Data Entry'!$E$398), "", 'Data Entry'!$E$398)</f>
      </c>
      <c r="F398">
        <f>IF(ISBLANK('Data Entry'!$F$398), "", 'Data Entry'!$F$398)</f>
      </c>
      <c r="G398">
        <f>IF(ISBLANK('Data Entry'!$G$398), "", 'Data Entry'!$G$398)</f>
      </c>
      <c r="H398">
        <f>IF(ISBLANK('Data Entry'!$H$398), "", 'Data Entry'!$H$398)</f>
      </c>
      <c r="I398">
        <f>IF(ISBLANK('Data Entry'!$I$398), "", 'Data Entry'!$I$398)</f>
      </c>
      <c r="J398">
        <f>IF(ISBLANK('Data Entry'!$J$398), "", 'Data Entry'!$J$398)</f>
      </c>
      <c r="K398">
        <f>IF(ISBLANK('Data Entry'!$K$398), "", 'Data Entry'!$K$398)</f>
      </c>
      <c r="L398">
        <f>IF(ISBLANK('Data Entry'!$L$398), "", 'Data Entry'!$L$398)</f>
      </c>
      <c r="M398">
        <f>IF(ISBLANK('Data Entry'!$M$398), "", 'Data Entry'!$M$398)</f>
      </c>
      <c r="N398">
        <f>IF(ISBLANK('Data Entry'!$N$398), "", 'Data Entry'!$N$398)</f>
      </c>
      <c r="O398">
        <f>IF(ISBLANK('Data Entry'!$O$398), "", 'Data Entry'!$O$398)</f>
      </c>
      <c r="P398">
        <f>IF(ISBLANK('Data Entry'!$P$398), "", 'Data Entry'!$P$398)</f>
      </c>
      <c r="Q398">
        <f>IF(ISBLANK('Data Entry'!$Q$398), "", 'Data Entry'!$Q$398)</f>
      </c>
      <c r="R398">
        <f>IF(ISBLANK('Data Entry'!$R$398), "", 'Data Entry'!$R$398)</f>
      </c>
      <c r="S398">
        <f>IF(ISBLANK('Data Entry'!$S$398), "", 'Data Entry'!$S$398)</f>
      </c>
      <c r="T398">
        <f>IF(ISBLANK('Data Entry'!$T$398), "", 'Data Entry'!$T$398)</f>
      </c>
      <c r="U398">
        <f>IF(ISBLANK('Data Entry'!$U$398), "", 'Data Entry'!$U$398)</f>
      </c>
      <c r="V398">
        <f>IF(ISBLANK('Data Entry'!$V$398), "", 'Data Entry'!$V$398)</f>
      </c>
      <c r="W398">
        <f>IF(ISBLANK('Data Entry'!$W$398), "", 'Data Entry'!$W$398)</f>
      </c>
      <c r="X398">
        <f>IF(ISBLANK('Data Entry'!$X$398), "", 'Data Entry'!$X$398)</f>
      </c>
      <c r="Y398">
        <f>IF(ISBLANK('Data Entry'!$Y$398), "", 'Data Entry'!$Y$398)</f>
      </c>
      <c r="Z398">
        <f>IF(ISBLANK('Data Entry'!$Z$398), "", 'Data Entry'!$Z$398)</f>
      </c>
      <c r="AA398">
        <f>IF(ISBLANK('Data Entry'!$[$398), "", 'Data Entry'!$[$398)</f>
      </c>
      <c r="AB398">
        <f>IF(ISBLANK('Data Entry'!$\$398), "", 'Data Entry'!$\$398)</f>
      </c>
      <c r="AC398">
        <f>IF(ISBLANK('Data Entry'!$]$398), "", 'Data Entry'!$]$398)</f>
      </c>
      <c r="AD398">
        <f>IF(ISBLANK('Data Entry'!$^$398), "", 'Data Entry'!$^$398)</f>
      </c>
      <c r="AE398">
        <f>IF(ISBLANK('Data Entry'!$_$398), "", 'Data Entry'!$_$398)</f>
      </c>
      <c r="AF398">
        <f>IF(ISBLANK('Data Entry'!$`$398), "", 'Data Entry'!$`$398)</f>
      </c>
      <c r="AG398">
        <f>IF(ISBLANK('Data Entry'!$a$398), "", 'Data Entry'!$a$398)</f>
      </c>
      <c r="AH398">
        <f>IF(ISBLANK('Data Entry'!$b$398), "", 'Data Entry'!$b$398)</f>
      </c>
      <c r="AI398">
        <f>IF(ISBLANK('Data Entry'!$c$398), "", 'Data Entry'!$c$398)</f>
      </c>
      <c r="AJ398">
        <f>IF(ISBLANK('Data Entry'!$d$398), "", 'Data Entry'!$d$398)</f>
      </c>
      <c r="AK398">
        <f>IF(ISBLANK('Data Entry'!$e$398), "", 'Data Entry'!$e$398)</f>
      </c>
      <c r="AL398">
        <f>IF(ISBLANK('Data Entry'!$f$398), "", 'Data Entry'!$f$398)</f>
      </c>
      <c r="AM398">
        <f>IF(ISBLANK('Data Entry'!$g$398), "", 'Data Entry'!$g$398)</f>
      </c>
      <c r="AN398">
        <f>IF(ISBLANK('Data Entry'!$h$398), "", 'Data Entry'!$h$398)</f>
      </c>
      <c r="AO398">
        <f>IF(ISBLANK('Data Entry'!$i$398), "", 'Data Entry'!$i$398)</f>
      </c>
      <c r="AP398">
        <f>IF(ISBLANK('Data Entry'!$j$398), "", 'Data Entry'!$j$398)</f>
      </c>
      <c r="AQ398">
        <f>IF(ISBLANK('Data Entry'!$k$398), "", 'Data Entry'!$k$398)</f>
      </c>
      <c r="AR398">
        <f>IF(ISBLANK('Data Entry'!$l$398), "", 'Data Entry'!$l$398)</f>
      </c>
      <c r="AS398">
        <f>IF(ISBLANK('Data Entry'!$m$398), "", 'Data Entry'!$m$398)</f>
      </c>
      <c r="AT398">
        <f>IF(ISBLANK('Data Entry'!$n$398), "", 'Data Entry'!$n$398)</f>
      </c>
      <c r="AU398">
        <f>IF(ISBLANK('Data Entry'!$o$398), "", 'Data Entry'!$o$398)</f>
      </c>
      <c r="AV398">
        <f>IF(ISBLANK('Data Entry'!$p$398), "", 'Data Entry'!$p$398)</f>
      </c>
      <c r="AW398">
        <f>IF(ISBLANK('Data Entry'!$q$398), "", 'Data Entry'!$q$398)</f>
      </c>
      <c r="AX398">
        <f>IF(ISBLANK('Data Entry'!$r$398), "", 'Data Entry'!$r$398)</f>
      </c>
      <c r="AY398">
        <f>IF(ISBLANK('Data Entry'!$s$398), "", 'Data Entry'!$s$398)</f>
      </c>
      <c r="AZ398">
        <f>IF(ISBLANK('Data Entry'!$t$398), "", 'Data Entry'!$t$398)</f>
      </c>
      <c r="BA398">
        <f>IF(ISBLANK('Data Entry'!$u$398), "", 'Data Entry'!$u$398)</f>
      </c>
      <c r="BB398">
        <f>IF(ISBLANK('Data Entry'!$v$398), "", 'Data Entry'!$v$398)</f>
      </c>
      <c r="BC398">
        <f>IF(ISBLANK('Data Entry'!$w$398), "", 'Data Entry'!$w$398)</f>
      </c>
      <c r="BD398">
        <f>IF(ISBLANK('Data Entry'!$x$398), "", 'Data Entry'!$x$398)</f>
      </c>
      <c r="BE398">
        <f>IF(ISBLANK('Data Entry'!$y$398), "", 'Data Entry'!$y$398)</f>
      </c>
      <c r="BF398">
        <f>IF(ISBLANK('Data Entry'!$z$398), "", 'Data Entry'!$z$398)</f>
      </c>
      <c r="BG398">
        <f>IF(ISBLANK('Data Entry'!${$398), "", 'Data Entry'!${$398)</f>
      </c>
      <c r="BH398">
        <f>IF(ISBLANK('Data Entry'!$|$398), "", 'Data Entry'!$|$398)</f>
      </c>
      <c r="BI398">
        <f>IF(ISBLANK('Data Entry'!$}$398), "", 'Data Entry'!$}$398)</f>
      </c>
      <c r="BJ398">
        <f>IF(ISBLANK('Data Entry'!$~$398), "", 'Data Entry'!$~$398)</f>
      </c>
      <c r="BK398">
        <f>IF(ISBLANK('Data Entry'!$$398), "", 'Data Entry'!$$398)</f>
      </c>
      <c r="BL398">
        <f>IF(ISBLANK('Data Entry'!$$398), "", 'Data Entry'!$$398)</f>
      </c>
      <c r="BM398">
        <f>IF(ISBLANK('Data Entry'!$$398), "", 'Data Entry'!$$398)</f>
      </c>
      <c r="BN398">
        <f>IF(ISBLANK('Data Entry'!$$398), "", 'Data Entry'!$$398)</f>
      </c>
      <c r="BO398">
        <f>IF(ISBLANK('Data Entry'!$$398), "", 'Data Entry'!$$398)</f>
      </c>
      <c r="BP398">
        <f>IF(ISBLANK('Data Entry'!$$398), "", 'Data Entry'!$$398)</f>
      </c>
      <c r="BQ398">
        <f>IF(ISBLANK('Data Entry'!$$398), "", 'Data Entry'!$$398)</f>
      </c>
      <c r="BR398">
        <f>IF(ISBLANK('Data Entry'!$$398), "", 'Data Entry'!$$398)</f>
      </c>
      <c r="BS398">
        <f>IF(ISBLANK('Data Entry'!$$398), "", 'Data Entry'!$$398)</f>
      </c>
      <c r="BT398">
        <f>IF(ISBLANK('Data Entry'!$$398), "", 'Data Entry'!$$398)</f>
      </c>
      <c r="BU398">
        <f>IF(ISBLANK('Data Entry'!$$398), "", 'Data Entry'!$$398)</f>
      </c>
      <c r="BV398">
        <f>IF(ISBLANK('Data Entry'!$$398), "", 'Data Entry'!$$398)</f>
      </c>
      <c r="BW398">
        <f>IF(ISBLANK('Data Entry'!$$398), "", 'Data Entry'!$$398)</f>
      </c>
      <c r="BX398">
        <f>IF(ISBLANK('Data Entry'!$$398), "", 'Data Entry'!$$398)</f>
      </c>
      <c r="BY398">
        <f>IF(ISBLANK('Data Entry'!$$398), "", 'Data Entry'!$$398)</f>
      </c>
      <c r="BZ398">
        <f>IF(ISBLANK('Data Entry'!$$398), "", 'Data Entry'!$$398)</f>
      </c>
      <c r="CA398">
        <f>IF(ISBLANK('Data Entry'!$$398), "", 'Data Entry'!$$398)</f>
      </c>
      <c r="CB398">
        <f>IF(ISBLANK('Data Entry'!$$398), "", 'Data Entry'!$$398)</f>
      </c>
      <c r="CC398">
        <f>IF(ISBLANK('Data Entry'!$$398), "", 'Data Entry'!$$398)</f>
      </c>
      <c r="CD398">
        <f>IF(ISBLANK('Data Entry'!$$398), "", 'Data Entry'!$$398)</f>
      </c>
      <c r="CE398">
        <f>IF(ISBLANK('Data Entry'!$$398), "", 'Data Entry'!$$398)</f>
      </c>
      <c r="CF398">
        <f>IF(ISBLANK('Data Entry'!$$398), "", 'Data Entry'!$$398)</f>
      </c>
      <c r="CG398">
        <f>IF(ISBLANK('Data Entry'!$$398), "", 'Data Entry'!$$398)</f>
      </c>
      <c r="CH398">
        <f>IF(ISBLANK('Data Entry'!$$398), "", 'Data Entry'!$$398)</f>
      </c>
      <c r="CI398">
        <f>IF(ISBLANK('Data Entry'!$$398), "", 'Data Entry'!$$398)</f>
      </c>
      <c r="CJ398">
        <f>IF(ISBLANK('Data Entry'!$$398), "", 'Data Entry'!$$398)</f>
      </c>
      <c r="CK398">
        <f>IF(ISBLANK('Data Entry'!$$398), "", 'Data Entry'!$$398)</f>
      </c>
      <c r="CL398">
        <f>IF(ISBLANK('Data Entry'!$$398), "", 'Data Entry'!$$398)</f>
      </c>
      <c r="CM398">
        <f>IF(ISBLANK('Data Entry'!$$398), "", 'Data Entry'!$$398)</f>
      </c>
      <c r="CN398">
        <f>IF(ISBLANK('Data Entry'!$$398), "", 'Data Entry'!$$398)</f>
      </c>
      <c r="CO398">
        <f>IF(ISBLANK('Data Entry'!$$398), "", 'Data Entry'!$$398)</f>
      </c>
      <c r="CP398">
        <f>IF(ISBLANK('Data Entry'!$$398), "", 'Data Entry'!$$398)</f>
      </c>
      <c r="CQ398">
        <f>IF(ISBLANK('Data Entry'!$$398), "", 'Data Entry'!$$398)</f>
      </c>
      <c r="CR398">
        <f>IF(ISBLANK('Data Entry'!$ $398), "", 'Data Entry'!$ $398)</f>
      </c>
      <c r="CS398">
        <f>IF(ISBLANK('Data Entry'!$¡$398), "", 'Data Entry'!$¡$398)</f>
      </c>
      <c r="CT398">
        <f>IF(ISBLANK('Data Entry'!$¢$398), "", 'Data Entry'!$¢$398)</f>
      </c>
      <c r="CU398">
        <f>IF(ISBLANK('Data Entry'!$£$398), "", 'Data Entry'!$£$398)</f>
      </c>
      <c r="CV398">
        <f>IF(ISBLANK('Data Entry'!$¤$398), "", 'Data Entry'!$¤$398)</f>
      </c>
      <c r="CW398">
        <f>IF(ISBLANK('Data Entry'!$¥$398), "", 'Data Entry'!$¥$398)</f>
      </c>
      <c r="CX398">
        <f>IF(ISBLANK('Data Entry'!$¦$398), "", 'Data Entry'!$¦$398)</f>
      </c>
      <c r="CY398">
        <f>IF(ISBLANK('Data Entry'!$§$398), "", 'Data Entry'!$§$398)</f>
      </c>
      <c r="CZ398">
        <f>IF(ISBLANK('Data Entry'!$¨$398), "", 'Data Entry'!$¨$398)</f>
      </c>
      <c r="DA398">
        <f>IF(ISBLANK('Data Entry'!$©$398), "", 'Data Entry'!$©$398)</f>
      </c>
      <c r="DB398">
        <f>IF(ISBLANK('Data Entry'!$ª$398), "", 'Data Entry'!$ª$398)</f>
      </c>
      <c r="DC398">
        <f>IF(ISBLANK('Data Entry'!$«$398), "", 'Data Entry'!$«$398)</f>
      </c>
      <c r="DD398">
        <f>IF(ISBLANK('Data Entry'!$¬$398), "", 'Data Entry'!$¬$398)</f>
      </c>
      <c r="DE398">
        <f>IF(ISBLANK('Data Entry'!$­$398), "", 'Data Entry'!$­$398)</f>
      </c>
      <c r="DF398">
        <f>IF(ISBLANK('Data Entry'!$®$398), "", 'Data Entry'!$®$398)</f>
      </c>
      <c r="DG398">
        <f>IF(ISBLANK('Data Entry'!$¯$398), "", 'Data Entry'!$¯$398)</f>
      </c>
      <c r="DH398">
        <f>IF(ISBLANK('Data Entry'!$°$398), "", 'Data Entry'!$°$398)</f>
      </c>
      <c r="DI398">
        <f>IF(ISBLANK('Data Entry'!$±$398), "", 'Data Entry'!$±$398)</f>
      </c>
      <c r="DJ398">
        <f>IF(ISBLANK('Data Entry'!$²$398), "", 'Data Entry'!$²$398)</f>
      </c>
      <c r="DK398">
        <f>IF(ISBLANK('Data Entry'!$³$398), "", 'Data Entry'!$³$398)</f>
      </c>
      <c r="DL398">
        <f>IF(ISBLANK('Data Entry'!$´$398), "", 'Data Entry'!$´$398)</f>
      </c>
      <c r="DM398">
        <f>IF(ISBLANK('Data Entry'!$µ$398), "", 'Data Entry'!$µ$398)</f>
      </c>
      <c r="DN398">
        <f>IF(ISBLANK('Data Entry'!$¶$398), "", 'Data Entry'!$¶$398)</f>
      </c>
      <c r="DO398">
        <f>IF(ISBLANK('Data Entry'!$·$398), "", 'Data Entry'!$·$398)</f>
      </c>
      <c r="DP398">
        <f>IF(ISBLANK('Data Entry'!$¸$398), "", 'Data Entry'!$¸$398)</f>
      </c>
      <c r="DQ398">
        <f>IF(ISBLANK('Data Entry'!$¹$398), "", 'Data Entry'!$¹$398)</f>
      </c>
      <c r="DR398">
        <f>IF(ISBLANK('Data Entry'!$º$398), "", 'Data Entry'!$º$398)</f>
      </c>
      <c r="DS398">
        <f>IF(ISBLANK('Data Entry'!$»$398), "", 'Data Entry'!$»$398)</f>
      </c>
      <c r="DT398">
        <f>IF(ISBLANK('Data Entry'!$¼$398), "", 'Data Entry'!$¼$398)</f>
      </c>
      <c r="DU398">
        <f>IF(ISBLANK('Data Entry'!$½$398), "", 'Data Entry'!$½$398)</f>
      </c>
      <c r="DV398">
        <f>IF(ISBLANK('Data Entry'!$¾$398), "", 'Data Entry'!$¾$398)</f>
      </c>
      <c r="DW398">
        <f>IF(ISBLANK('Data Entry'!$¿$398), "", 'Data Entry'!$¿$398)</f>
      </c>
      <c r="DX398">
        <f>IF(ISBLANK('Data Entry'!$À$398), "", 'Data Entry'!$À$398)</f>
      </c>
      <c r="DY398">
        <f>IF(ISBLANK('Data Entry'!$Á$398), "", 'Data Entry'!$Á$398)</f>
      </c>
      <c r="DZ398">
        <f>IF(ISBLANK('Data Entry'!$Â$398), "", 'Data Entry'!$Â$398)</f>
      </c>
      <c r="EA398">
        <f>IF(ISBLANK('Data Entry'!$Ã$398), "", 'Data Entry'!$Ã$398)</f>
      </c>
      <c r="EB398">
        <f>IF(ISBLANK('Data Entry'!$Ä$398), "", 'Data Entry'!$Ä$398)</f>
      </c>
      <c r="EC398">
        <f>IF(ISBLANK('Data Entry'!$Å$398), "", 'Data Entry'!$Å$398)</f>
      </c>
      <c r="ED398">
        <f>IF(ISBLANK('Data Entry'!$Æ$398), "", 'Data Entry'!$Æ$398)</f>
      </c>
      <c r="EE398">
        <f>IF(ISBLANK('Data Entry'!$Ç$398), "", 'Data Entry'!$Ç$398)</f>
      </c>
      <c r="EF398">
        <f>IF(ISBLANK('Data Entry'!$È$398), "", 'Data Entry'!$È$398)</f>
      </c>
      <c r="EG398">
        <f>IF(ISBLANK('Data Entry'!$É$398), "", 'Data Entry'!$É$398)</f>
      </c>
      <c r="EH398">
        <f>IF(ISBLANK('Data Entry'!$Ê$398), "", 'Data Entry'!$Ê$398)</f>
      </c>
      <c r="EI398">
        <f>IF(ISBLANK('Data Entry'!$Ë$398), "", 'Data Entry'!$Ë$398)</f>
      </c>
      <c r="EJ398">
        <f>IF(ISBLANK('Data Entry'!$Ì$398), "", 'Data Entry'!$Ì$398)</f>
      </c>
      <c r="EK398">
        <f>IF(ISBLANK('Data Entry'!$Í$398), "", 'Data Entry'!$Í$398)</f>
      </c>
      <c r="EL398">
        <f>IF(ISBLANK('Data Entry'!$Î$398), "", 'Data Entry'!$Î$398)</f>
      </c>
      <c r="EM398">
        <f>IF(ISBLANK('Data Entry'!$Ï$398), "", 'Data Entry'!$Ï$398)</f>
      </c>
      <c r="EN398">
        <f>IF(ISBLANK('Data Entry'!$Ð$398), "", 'Data Entry'!$Ð$398)</f>
      </c>
      <c r="EO398">
        <f>IF(ISBLANK('Data Entry'!$Ñ$398), "", 'Data Entry'!$Ñ$398)</f>
      </c>
      <c r="EP398">
        <f>IF(ISBLANK('Data Entry'!$Ò$398), "", 'Data Entry'!$Ò$398)</f>
      </c>
      <c r="EQ398">
        <f>IF(ISBLANK('Data Entry'!$Ó$398), "", 'Data Entry'!$Ó$398)</f>
      </c>
      <c r="ER398">
        <f>IF(ISBLANK('Data Entry'!$Ô$398), "", 'Data Entry'!$Ô$398)</f>
      </c>
      <c r="ES398">
        <f>IF(ISBLANK('Data Entry'!$Õ$398), "", 'Data Entry'!$Õ$398)</f>
      </c>
      <c r="ET398">
        <f>IF(ISBLANK('Data Entry'!$Ö$398), "", 'Data Entry'!$Ö$398)</f>
      </c>
      <c r="EU398">
        <f>IF(ISBLANK('Data Entry'!$×$398), "", 'Data Entry'!$×$398)</f>
      </c>
      <c r="EV398">
        <f>IF(ISBLANK('Data Entry'!$Ø$398), "", 'Data Entry'!$Ø$398)</f>
      </c>
      <c r="EW398">
        <f>IF(ISBLANK('Data Entry'!$Ù$398), "", 'Data Entry'!$Ù$398)</f>
      </c>
      <c r="EX398">
        <f>IF(ISBLANK('Data Entry'!$Ú$398), "", 'Data Entry'!$Ú$398)</f>
      </c>
      <c r="EY398">
        <f>IF(ISBLANK('Data Entry'!$Û$398), "", 'Data Entry'!$Û$398)</f>
      </c>
      <c r="EZ398">
        <f>IF(ISBLANK('Data Entry'!$Ü$398), "", 'Data Entry'!$Ü$398)</f>
      </c>
      <c r="FA398">
        <f>IF(ISBLANK('Data Entry'!$Ý$398), "", 'Data Entry'!$Ý$398)</f>
      </c>
      <c r="FB398">
        <f>IF(ISBLANK('Data Entry'!$Þ$398), "", 'Data Entry'!$Þ$398)</f>
      </c>
      <c r="FC398">
        <f>IF(ISBLANK('Data Entry'!$ß$398), "", 'Data Entry'!$ß$398)</f>
      </c>
      <c r="FD398">
        <f>IF(ISBLANK('Data Entry'!$à$398), "", 'Data Entry'!$à$398)</f>
      </c>
      <c r="FE398">
        <f>IF(ISBLANK('Data Entry'!$á$398), "", 'Data Entry'!$á$398)</f>
      </c>
      <c r="FF398">
        <f>IF(ISBLANK('Data Entry'!$â$398), "", 'Data Entry'!$â$398)</f>
      </c>
      <c r="FG398">
        <f>IF(ISBLANK('Data Entry'!$ã$398), "", 'Data Entry'!$ã$398)</f>
      </c>
      <c r="FH398">
        <f>IF(ISBLANK('Data Entry'!$ä$398), "", 'Data Entry'!$ä$398)</f>
      </c>
      <c r="FI398">
        <f>IF(ISBLANK('Data Entry'!$å$398), "", 'Data Entry'!$å$398)</f>
      </c>
      <c r="FJ398">
        <f>IF(ISBLANK('Data Entry'!$æ$398), "", 'Data Entry'!$æ$398)</f>
      </c>
      <c r="FK398">
        <f>IF(ISBLANK('Data Entry'!$ç$398), "", 'Data Entry'!$ç$398)</f>
      </c>
      <c r="FL398">
        <f>IF(ISBLANK('Data Entry'!$è$398), "", 'Data Entry'!$è$398)</f>
      </c>
      <c r="FM398">
        <f>IF(ISBLANK('Data Entry'!$é$398), "", 'Data Entry'!$é$398)</f>
      </c>
      <c r="FN398">
        <f>IF(ISBLANK('Data Entry'!$ê$398), "", 'Data Entry'!$ê$398)</f>
      </c>
      <c r="FO398">
        <f>IF(ISBLANK('Data Entry'!$ë$398), "", 'Data Entry'!$ë$398)</f>
      </c>
      <c r="FP398">
        <f>IF(ISBLANK('Data Entry'!$ì$398), "", 'Data Entry'!$ì$398)</f>
      </c>
      <c r="FQ398">
        <f>IF(ISBLANK('Data Entry'!$í$398), "", 'Data Entry'!$í$398)</f>
      </c>
      <c r="FR398">
        <f>IF(ISBLANK('Data Entry'!$î$398), "", 'Data Entry'!$î$398)</f>
      </c>
      <c r="FS398">
        <f>IF(ISBLANK('Data Entry'!$ï$398), "", 'Data Entry'!$ï$398)</f>
      </c>
      <c r="FT398">
        <f>IF(ISBLANK('Data Entry'!$ð$398), "", 'Data Entry'!$ð$398)</f>
      </c>
      <c r="FU398">
        <f>IF(ISBLANK('Data Entry'!$ñ$398), "", 'Data Entry'!$ñ$398)</f>
      </c>
      <c r="FV398">
        <f>IF(ISBLANK('Data Entry'!$ò$398), "", 'Data Entry'!$ò$398)</f>
      </c>
      <c r="FW398">
        <f>IF(ISBLANK('Data Entry'!$ó$398), "", 'Data Entry'!$ó$398)</f>
      </c>
      <c r="FX398">
        <f>IF(ISBLANK('Data Entry'!$ô$398), "", 'Data Entry'!$ô$398)</f>
      </c>
      <c r="FY398">
        <f>IF(ISBLANK('Data Entry'!$õ$398), "", 'Data Entry'!$õ$398)</f>
      </c>
      <c r="FZ398">
        <f>IF(ISBLANK('Data Entry'!$ö$398), "", 'Data Entry'!$ö$398)</f>
      </c>
      <c r="GA398">
        <f>IF(ISBLANK('Data Entry'!$÷$398), "", 'Data Entry'!$÷$398)</f>
      </c>
      <c r="GB398">
        <f>IF(ISBLANK('Data Entry'!$ø$398), "", 'Data Entry'!$ø$398)</f>
      </c>
      <c r="GC398">
        <f>IF(ISBLANK('Data Entry'!$ù$398), "", 'Data Entry'!$ù$398)</f>
      </c>
      <c r="GD398">
        <f>IF(ISBLANK('Data Entry'!$ú$398), "", 'Data Entry'!$ú$398)</f>
      </c>
      <c r="GE398">
        <f>IF(ISBLANK('Data Entry'!$û$398), "", 'Data Entry'!$û$398)</f>
      </c>
      <c r="GF398">
        <f>IF(ISBLANK('Data Entry'!$ü$398), "", 'Data Entry'!$ü$398)</f>
      </c>
      <c r="GG398">
        <f>IF(ISBLANK('Data Entry'!$ý$398), "", 'Data Entry'!$ý$398)</f>
      </c>
      <c r="GH398">
        <f>IF(ISBLANK('Data Entry'!$þ$398), "", 'Data Entry'!$þ$398)</f>
      </c>
      <c r="GI398">
        <f>IF(ISBLANK('Data Entry'!$ÿ$398), "", 'Data Entry'!$ÿ$398)</f>
      </c>
      <c r="GJ398">
        <f>IF(ISBLANK('Data Entry'!$Ā$398), "", 'Data Entry'!$Ā$398)</f>
      </c>
      <c r="GK398">
        <f>IF(ISBLANK('Data Entry'!$ā$398), "", 'Data Entry'!$ā$398)</f>
      </c>
      <c r="GL398">
        <f>IF(ISBLANK('Data Entry'!$Ă$398), "", 'Data Entry'!$Ă$398)</f>
      </c>
      <c r="GM398">
        <f>IF(ISBLANK('Data Entry'!$ă$398), "", 'Data Entry'!$ă$398)</f>
      </c>
      <c r="GN398">
        <f>IF(ISBLANK('Data Entry'!$Ą$398), "", 'Data Entry'!$Ą$398)</f>
      </c>
      <c r="GO398">
        <f>IF(ISBLANK('Data Entry'!$ą$398), "", 'Data Entry'!$ą$398)</f>
      </c>
      <c r="GP398">
        <f>IF(ISBLANK('Data Entry'!$Ć$398), "", 'Data Entry'!$Ć$398)</f>
      </c>
      <c r="GQ398">
        <f>IF(ISBLANK('Data Entry'!$ć$398), "", 'Data Entry'!$ć$398)</f>
      </c>
      <c r="GR398">
        <f>IF(ISBLANK('Data Entry'!$Ĉ$398), "", 'Data Entry'!$Ĉ$398)</f>
      </c>
      <c r="GS398">
        <f>IF(ISBLANK('Data Entry'!$ĉ$398), "", 'Data Entry'!$ĉ$398)</f>
      </c>
      <c r="GT398">
        <f>IF(ISBLANK('Data Entry'!$Ċ$398), "", 'Data Entry'!$Ċ$398)</f>
      </c>
      <c r="GU398">
        <f>IF(ISBLANK('Data Entry'!$ċ$398), "", 'Data Entry'!$ċ$398)</f>
      </c>
      <c r="GV398">
        <f>IF(ISBLANK('Data Entry'!$Č$398), "", 'Data Entry'!$Č$398)</f>
      </c>
      <c r="GW398">
        <f>IF(ISBLANK('Data Entry'!$č$398), "", 'Data Entry'!$č$398)</f>
      </c>
      <c r="GX398">
        <f>IF(ISBLANK('Data Entry'!$Ď$398), "", 'Data Entry'!$Ď$398)</f>
      </c>
      <c r="GY398">
        <f>IF(ISBLANK('Data Entry'!$ď$398), "", 'Data Entry'!$ď$398)</f>
      </c>
      <c r="GZ398">
        <f>IF(ISBLANK('Data Entry'!$Đ$398), "", 'Data Entry'!$Đ$398)</f>
      </c>
      <c r="HA398">
        <f>IF(ISBLANK('Data Entry'!$đ$398), "", 'Data Entry'!$đ$398)</f>
      </c>
      <c r="HB398">
        <f>IF(ISBLANK('Data Entry'!$Ē$398), "", 'Data Entry'!$Ē$398)</f>
      </c>
      <c r="HC398">
        <f>IF(ISBLANK('Data Entry'!$ē$398), "", 'Data Entry'!$ē$398)</f>
      </c>
      <c r="HD398">
        <f>IF(ISBLANK('Data Entry'!$Ĕ$398), "", 'Data Entry'!$Ĕ$398)</f>
      </c>
      <c r="HE398">
        <f>IF(ISBLANK('Data Entry'!$ĕ$398), "", 'Data Entry'!$ĕ$398)</f>
      </c>
      <c r="HF398">
        <f>IF(ISBLANK('Data Entry'!$Ė$398), "", 'Data Entry'!$Ė$398)</f>
      </c>
      <c r="HG398">
        <f>IF(ISBLANK('Data Entry'!$ė$398), "", 'Data Entry'!$ė$398)</f>
      </c>
      <c r="HH398">
        <f>IF(ISBLANK('Data Entry'!$Ę$398), "", 'Data Entry'!$Ę$398)</f>
      </c>
      <c r="HI398">
        <f>IF(ISBLANK('Data Entry'!$ę$398), "", 'Data Entry'!$ę$398)</f>
      </c>
      <c r="HJ398">
        <f>IF(ISBLANK('Data Entry'!$Ě$398), "", 'Data Entry'!$Ě$398)</f>
      </c>
      <c r="HK398">
        <f>IF(ISBLANK('Data Entry'!$ě$398), "", 'Data Entry'!$ě$398)</f>
      </c>
      <c r="HL398">
        <f>IF(ISBLANK('Data Entry'!$Ĝ$398), "", 'Data Entry'!$Ĝ$398)</f>
      </c>
      <c r="HM398">
        <f>IF(ISBLANK('Data Entry'!$ĝ$398), "", 'Data Entry'!$ĝ$398)</f>
      </c>
      <c r="HN398">
        <f>IF(ISBLANK('Data Entry'!$Ğ$398), "", 'Data Entry'!$Ğ$398)</f>
      </c>
      <c r="HO398">
        <f>IF(ISBLANK('Data Entry'!$ğ$398), "", 'Data Entry'!$ğ$398)</f>
      </c>
      <c r="HP398">
        <f>IF(ISBLANK('Data Entry'!$Ġ$398), "", 'Data Entry'!$Ġ$398)</f>
      </c>
      <c r="HQ398">
        <f>IF(ISBLANK('Data Entry'!$ġ$398), "", 'Data Entry'!$ġ$398)</f>
      </c>
      <c r="HR398">
        <f>IF(ISBLANK('Data Entry'!$Ģ$398), "", 'Data Entry'!$Ģ$398)</f>
      </c>
      <c r="HS398">
        <f>IF(ISBLANK('Data Entry'!$ģ$398), "", 'Data Entry'!$ģ$398)</f>
      </c>
      <c r="HT398">
        <f>IF(ISBLANK('Data Entry'!$Ĥ$398), "", 'Data Entry'!$Ĥ$398)</f>
      </c>
      <c r="HU398">
        <f>IF(ISBLANK('Data Entry'!$ĥ$398), "", 'Data Entry'!$ĥ$398)</f>
      </c>
      <c r="HV398">
        <f>IF(ISBLANK('Data Entry'!$Ħ$398), "", 'Data Entry'!$Ħ$398)</f>
      </c>
      <c r="HW398">
        <f>IF(ISBLANK('Data Entry'!$ħ$398), "", 'Data Entry'!$ħ$398)</f>
      </c>
      <c r="HX398">
        <f>IF(ISBLANK('Data Entry'!$Ĩ$398), "", 'Data Entry'!$Ĩ$398)</f>
      </c>
      <c r="HY398">
        <f>IF(ISBLANK('Data Entry'!$ĩ$398), "", 'Data Entry'!$ĩ$398)</f>
      </c>
      <c r="HZ398">
        <f>IF(ISBLANK('Data Entry'!$Ī$398), "", 'Data Entry'!$Ī$398)</f>
      </c>
      <c r="IA398">
        <f>IF(ISBLANK('Data Entry'!$ī$398), "", 'Data Entry'!$ī$398)</f>
      </c>
      <c r="IB398">
        <f>IF(ISBLANK('Data Entry'!$Ĭ$398), "", 'Data Entry'!$Ĭ$398)</f>
      </c>
      <c r="IC398">
        <f>IF(ISBLANK('Data Entry'!$ĭ$398), "", 'Data Entry'!$ĭ$398)</f>
      </c>
      <c r="ID398">
        <f>IF(ISBLANK('Data Entry'!$Į$398), "", 'Data Entry'!$Į$398)</f>
      </c>
      <c r="IE398">
        <f>IF(ISBLANK('Data Entry'!$į$398), "", 'Data Entry'!$į$398)</f>
      </c>
      <c r="IF398">
        <f>IF(ISBLANK('Data Entry'!$İ$398), "", 'Data Entry'!$İ$398)</f>
      </c>
      <c r="IG398">
        <f>IF(ISBLANK('Data Entry'!$ı$398), "", 'Data Entry'!$ı$398)</f>
      </c>
      <c r="IH398">
        <f>IF(ISBLANK('Data Entry'!$Ĳ$398), "", 'Data Entry'!$Ĳ$398)</f>
      </c>
      <c r="II398">
        <f>IF(ISBLANK('Data Entry'!$ĳ$398), "", 'Data Entry'!$ĳ$398)</f>
      </c>
      <c r="IJ398">
        <f>IF(ISBLANK('Data Entry'!$Ĵ$398), "", 'Data Entry'!$Ĵ$398)</f>
      </c>
      <c r="IK398">
        <f>IF(ISBLANK('Data Entry'!$ĵ$398), "", 'Data Entry'!$ĵ$398)</f>
      </c>
      <c r="IL398">
        <f>IF(ISBLANK('Data Entry'!$Ķ$398), "", 'Data Entry'!$Ķ$398)</f>
      </c>
      <c r="IM398">
        <f>IF(ISBLANK('Data Entry'!$ķ$398), "", 'Data Entry'!$ķ$398)</f>
      </c>
      <c r="IN398">
        <f>IF(ISBLANK('Data Entry'!$ĸ$398), "", 'Data Entry'!$ĸ$398)</f>
      </c>
      <c r="IO398">
        <f>IF(ISBLANK('Data Entry'!$Ĺ$398), "", 'Data Entry'!$Ĺ$398)</f>
      </c>
      <c r="IP398">
        <f>IF(ISBLANK('Data Entry'!$ĺ$398), "", 'Data Entry'!$ĺ$398)</f>
      </c>
      <c r="IQ398">
        <f>IF(ISBLANK('Data Entry'!$Ļ$398), "", 'Data Entry'!$Ļ$398)</f>
      </c>
      <c r="IR398">
        <f>IF(ISBLANK('Data Entry'!$ļ$398), "", 'Data Entry'!$ļ$398)</f>
      </c>
      <c r="IS398">
        <f>IF(ISBLANK('Data Entry'!$Ľ$398), "", 'Data Entry'!$Ľ$398)</f>
      </c>
      <c r="IT398">
        <f>IF(ISBLANK('Data Entry'!$ľ$398), "", 'Data Entry'!$ľ$398)</f>
      </c>
    </row>
    <row r="399" spans="1:254" x14ac:dyDescent="0.25">
      <c r="A399">
        <f>IF(ISBLANK('Data Entry'!$A$399), "", 'Data Entry'!$A$399)</f>
      </c>
      <c r="B399">
        <f>IF(ISBLANK('Data Entry'!$B$399), "", 'Data Entry'!$B$399)</f>
      </c>
      <c r="C399">
        <f>IF(ISBLANK('Data Entry'!$C$399), "", 'Data Entry'!$C$399)</f>
      </c>
      <c r="D399">
        <f>IF(ISBLANK('Data Entry'!$D$399), "", 'Data Entry'!$D$399)</f>
      </c>
      <c r="E399">
        <f>IF(ISBLANK('Data Entry'!$E$399), "", 'Data Entry'!$E$399)</f>
      </c>
      <c r="F399">
        <f>IF(ISBLANK('Data Entry'!$F$399), "", 'Data Entry'!$F$399)</f>
      </c>
      <c r="G399">
        <f>IF(ISBLANK('Data Entry'!$G$399), "", 'Data Entry'!$G$399)</f>
      </c>
      <c r="H399">
        <f>IF(ISBLANK('Data Entry'!$H$399), "", 'Data Entry'!$H$399)</f>
      </c>
      <c r="I399">
        <f>IF(ISBLANK('Data Entry'!$I$399), "", 'Data Entry'!$I$399)</f>
      </c>
      <c r="J399">
        <f>IF(ISBLANK('Data Entry'!$J$399), "", 'Data Entry'!$J$399)</f>
      </c>
      <c r="K399">
        <f>IF(ISBLANK('Data Entry'!$K$399), "", 'Data Entry'!$K$399)</f>
      </c>
      <c r="L399">
        <f>IF(ISBLANK('Data Entry'!$L$399), "", 'Data Entry'!$L$399)</f>
      </c>
      <c r="M399">
        <f>IF(ISBLANK('Data Entry'!$M$399), "", 'Data Entry'!$M$399)</f>
      </c>
      <c r="N399">
        <f>IF(ISBLANK('Data Entry'!$N$399), "", 'Data Entry'!$N$399)</f>
      </c>
      <c r="O399">
        <f>IF(ISBLANK('Data Entry'!$O$399), "", 'Data Entry'!$O$399)</f>
      </c>
      <c r="P399">
        <f>IF(ISBLANK('Data Entry'!$P$399), "", 'Data Entry'!$P$399)</f>
      </c>
      <c r="Q399">
        <f>IF(ISBLANK('Data Entry'!$Q$399), "", 'Data Entry'!$Q$399)</f>
      </c>
      <c r="R399">
        <f>IF(ISBLANK('Data Entry'!$R$399), "", 'Data Entry'!$R$399)</f>
      </c>
      <c r="S399">
        <f>IF(ISBLANK('Data Entry'!$S$399), "", 'Data Entry'!$S$399)</f>
      </c>
      <c r="T399">
        <f>IF(ISBLANK('Data Entry'!$T$399), "", 'Data Entry'!$T$399)</f>
      </c>
      <c r="U399">
        <f>IF(ISBLANK('Data Entry'!$U$399), "", 'Data Entry'!$U$399)</f>
      </c>
      <c r="V399">
        <f>IF(ISBLANK('Data Entry'!$V$399), "", 'Data Entry'!$V$399)</f>
      </c>
      <c r="W399">
        <f>IF(ISBLANK('Data Entry'!$W$399), "", 'Data Entry'!$W$399)</f>
      </c>
      <c r="X399">
        <f>IF(ISBLANK('Data Entry'!$X$399), "", 'Data Entry'!$X$399)</f>
      </c>
      <c r="Y399">
        <f>IF(ISBLANK('Data Entry'!$Y$399), "", 'Data Entry'!$Y$399)</f>
      </c>
      <c r="Z399">
        <f>IF(ISBLANK('Data Entry'!$Z$399), "", 'Data Entry'!$Z$399)</f>
      </c>
      <c r="AA399">
        <f>IF(ISBLANK('Data Entry'!$[$399), "", 'Data Entry'!$[$399)</f>
      </c>
      <c r="AB399">
        <f>IF(ISBLANK('Data Entry'!$\$399), "", 'Data Entry'!$\$399)</f>
      </c>
      <c r="AC399">
        <f>IF(ISBLANK('Data Entry'!$]$399), "", 'Data Entry'!$]$399)</f>
      </c>
      <c r="AD399">
        <f>IF(ISBLANK('Data Entry'!$^$399), "", 'Data Entry'!$^$399)</f>
      </c>
      <c r="AE399">
        <f>IF(ISBLANK('Data Entry'!$_$399), "", 'Data Entry'!$_$399)</f>
      </c>
      <c r="AF399">
        <f>IF(ISBLANK('Data Entry'!$`$399), "", 'Data Entry'!$`$399)</f>
      </c>
      <c r="AG399">
        <f>IF(ISBLANK('Data Entry'!$a$399), "", 'Data Entry'!$a$399)</f>
      </c>
      <c r="AH399">
        <f>IF(ISBLANK('Data Entry'!$b$399), "", 'Data Entry'!$b$399)</f>
      </c>
      <c r="AI399">
        <f>IF(ISBLANK('Data Entry'!$c$399), "", 'Data Entry'!$c$399)</f>
      </c>
      <c r="AJ399">
        <f>IF(ISBLANK('Data Entry'!$d$399), "", 'Data Entry'!$d$399)</f>
      </c>
      <c r="AK399">
        <f>IF(ISBLANK('Data Entry'!$e$399), "", 'Data Entry'!$e$399)</f>
      </c>
      <c r="AL399">
        <f>IF(ISBLANK('Data Entry'!$f$399), "", 'Data Entry'!$f$399)</f>
      </c>
      <c r="AM399">
        <f>IF(ISBLANK('Data Entry'!$g$399), "", 'Data Entry'!$g$399)</f>
      </c>
      <c r="AN399">
        <f>IF(ISBLANK('Data Entry'!$h$399), "", 'Data Entry'!$h$399)</f>
      </c>
      <c r="AO399">
        <f>IF(ISBLANK('Data Entry'!$i$399), "", 'Data Entry'!$i$399)</f>
      </c>
      <c r="AP399">
        <f>IF(ISBLANK('Data Entry'!$j$399), "", 'Data Entry'!$j$399)</f>
      </c>
      <c r="AQ399">
        <f>IF(ISBLANK('Data Entry'!$k$399), "", 'Data Entry'!$k$399)</f>
      </c>
      <c r="AR399">
        <f>IF(ISBLANK('Data Entry'!$l$399), "", 'Data Entry'!$l$399)</f>
      </c>
      <c r="AS399">
        <f>IF(ISBLANK('Data Entry'!$m$399), "", 'Data Entry'!$m$399)</f>
      </c>
      <c r="AT399">
        <f>IF(ISBLANK('Data Entry'!$n$399), "", 'Data Entry'!$n$399)</f>
      </c>
      <c r="AU399">
        <f>IF(ISBLANK('Data Entry'!$o$399), "", 'Data Entry'!$o$399)</f>
      </c>
      <c r="AV399">
        <f>IF(ISBLANK('Data Entry'!$p$399), "", 'Data Entry'!$p$399)</f>
      </c>
      <c r="AW399">
        <f>IF(ISBLANK('Data Entry'!$q$399), "", 'Data Entry'!$q$399)</f>
      </c>
      <c r="AX399">
        <f>IF(ISBLANK('Data Entry'!$r$399), "", 'Data Entry'!$r$399)</f>
      </c>
      <c r="AY399">
        <f>IF(ISBLANK('Data Entry'!$s$399), "", 'Data Entry'!$s$399)</f>
      </c>
      <c r="AZ399">
        <f>IF(ISBLANK('Data Entry'!$t$399), "", 'Data Entry'!$t$399)</f>
      </c>
      <c r="BA399">
        <f>IF(ISBLANK('Data Entry'!$u$399), "", 'Data Entry'!$u$399)</f>
      </c>
      <c r="BB399">
        <f>IF(ISBLANK('Data Entry'!$v$399), "", 'Data Entry'!$v$399)</f>
      </c>
      <c r="BC399">
        <f>IF(ISBLANK('Data Entry'!$w$399), "", 'Data Entry'!$w$399)</f>
      </c>
      <c r="BD399">
        <f>IF(ISBLANK('Data Entry'!$x$399), "", 'Data Entry'!$x$399)</f>
      </c>
      <c r="BE399">
        <f>IF(ISBLANK('Data Entry'!$y$399), "", 'Data Entry'!$y$399)</f>
      </c>
      <c r="BF399">
        <f>IF(ISBLANK('Data Entry'!$z$399), "", 'Data Entry'!$z$399)</f>
      </c>
      <c r="BG399">
        <f>IF(ISBLANK('Data Entry'!${$399), "", 'Data Entry'!${$399)</f>
      </c>
      <c r="BH399">
        <f>IF(ISBLANK('Data Entry'!$|$399), "", 'Data Entry'!$|$399)</f>
      </c>
      <c r="BI399">
        <f>IF(ISBLANK('Data Entry'!$}$399), "", 'Data Entry'!$}$399)</f>
      </c>
      <c r="BJ399">
        <f>IF(ISBLANK('Data Entry'!$~$399), "", 'Data Entry'!$~$399)</f>
      </c>
      <c r="BK399">
        <f>IF(ISBLANK('Data Entry'!$$399), "", 'Data Entry'!$$399)</f>
      </c>
      <c r="BL399">
        <f>IF(ISBLANK('Data Entry'!$$399), "", 'Data Entry'!$$399)</f>
      </c>
      <c r="BM399">
        <f>IF(ISBLANK('Data Entry'!$$399), "", 'Data Entry'!$$399)</f>
      </c>
      <c r="BN399">
        <f>IF(ISBLANK('Data Entry'!$$399), "", 'Data Entry'!$$399)</f>
      </c>
      <c r="BO399">
        <f>IF(ISBLANK('Data Entry'!$$399), "", 'Data Entry'!$$399)</f>
      </c>
      <c r="BP399">
        <f>IF(ISBLANK('Data Entry'!$$399), "", 'Data Entry'!$$399)</f>
      </c>
      <c r="BQ399">
        <f>IF(ISBLANK('Data Entry'!$$399), "", 'Data Entry'!$$399)</f>
      </c>
      <c r="BR399">
        <f>IF(ISBLANK('Data Entry'!$$399), "", 'Data Entry'!$$399)</f>
      </c>
      <c r="BS399">
        <f>IF(ISBLANK('Data Entry'!$$399), "", 'Data Entry'!$$399)</f>
      </c>
      <c r="BT399">
        <f>IF(ISBLANK('Data Entry'!$$399), "", 'Data Entry'!$$399)</f>
      </c>
      <c r="BU399">
        <f>IF(ISBLANK('Data Entry'!$$399), "", 'Data Entry'!$$399)</f>
      </c>
      <c r="BV399">
        <f>IF(ISBLANK('Data Entry'!$$399), "", 'Data Entry'!$$399)</f>
      </c>
      <c r="BW399">
        <f>IF(ISBLANK('Data Entry'!$$399), "", 'Data Entry'!$$399)</f>
      </c>
      <c r="BX399">
        <f>IF(ISBLANK('Data Entry'!$$399), "", 'Data Entry'!$$399)</f>
      </c>
      <c r="BY399">
        <f>IF(ISBLANK('Data Entry'!$$399), "", 'Data Entry'!$$399)</f>
      </c>
      <c r="BZ399">
        <f>IF(ISBLANK('Data Entry'!$$399), "", 'Data Entry'!$$399)</f>
      </c>
      <c r="CA399">
        <f>IF(ISBLANK('Data Entry'!$$399), "", 'Data Entry'!$$399)</f>
      </c>
      <c r="CB399">
        <f>IF(ISBLANK('Data Entry'!$$399), "", 'Data Entry'!$$399)</f>
      </c>
      <c r="CC399">
        <f>IF(ISBLANK('Data Entry'!$$399), "", 'Data Entry'!$$399)</f>
      </c>
      <c r="CD399">
        <f>IF(ISBLANK('Data Entry'!$$399), "", 'Data Entry'!$$399)</f>
      </c>
      <c r="CE399">
        <f>IF(ISBLANK('Data Entry'!$$399), "", 'Data Entry'!$$399)</f>
      </c>
      <c r="CF399">
        <f>IF(ISBLANK('Data Entry'!$$399), "", 'Data Entry'!$$399)</f>
      </c>
      <c r="CG399">
        <f>IF(ISBLANK('Data Entry'!$$399), "", 'Data Entry'!$$399)</f>
      </c>
      <c r="CH399">
        <f>IF(ISBLANK('Data Entry'!$$399), "", 'Data Entry'!$$399)</f>
      </c>
      <c r="CI399">
        <f>IF(ISBLANK('Data Entry'!$$399), "", 'Data Entry'!$$399)</f>
      </c>
      <c r="CJ399">
        <f>IF(ISBLANK('Data Entry'!$$399), "", 'Data Entry'!$$399)</f>
      </c>
      <c r="CK399">
        <f>IF(ISBLANK('Data Entry'!$$399), "", 'Data Entry'!$$399)</f>
      </c>
      <c r="CL399">
        <f>IF(ISBLANK('Data Entry'!$$399), "", 'Data Entry'!$$399)</f>
      </c>
      <c r="CM399">
        <f>IF(ISBLANK('Data Entry'!$$399), "", 'Data Entry'!$$399)</f>
      </c>
      <c r="CN399">
        <f>IF(ISBLANK('Data Entry'!$$399), "", 'Data Entry'!$$399)</f>
      </c>
      <c r="CO399">
        <f>IF(ISBLANK('Data Entry'!$$399), "", 'Data Entry'!$$399)</f>
      </c>
      <c r="CP399">
        <f>IF(ISBLANK('Data Entry'!$$399), "", 'Data Entry'!$$399)</f>
      </c>
      <c r="CQ399">
        <f>IF(ISBLANK('Data Entry'!$$399), "", 'Data Entry'!$$399)</f>
      </c>
      <c r="CR399">
        <f>IF(ISBLANK('Data Entry'!$ $399), "", 'Data Entry'!$ $399)</f>
      </c>
      <c r="CS399">
        <f>IF(ISBLANK('Data Entry'!$¡$399), "", 'Data Entry'!$¡$399)</f>
      </c>
      <c r="CT399">
        <f>IF(ISBLANK('Data Entry'!$¢$399), "", 'Data Entry'!$¢$399)</f>
      </c>
      <c r="CU399">
        <f>IF(ISBLANK('Data Entry'!$£$399), "", 'Data Entry'!$£$399)</f>
      </c>
      <c r="CV399">
        <f>IF(ISBLANK('Data Entry'!$¤$399), "", 'Data Entry'!$¤$399)</f>
      </c>
      <c r="CW399">
        <f>IF(ISBLANK('Data Entry'!$¥$399), "", 'Data Entry'!$¥$399)</f>
      </c>
      <c r="CX399">
        <f>IF(ISBLANK('Data Entry'!$¦$399), "", 'Data Entry'!$¦$399)</f>
      </c>
      <c r="CY399">
        <f>IF(ISBLANK('Data Entry'!$§$399), "", 'Data Entry'!$§$399)</f>
      </c>
      <c r="CZ399">
        <f>IF(ISBLANK('Data Entry'!$¨$399), "", 'Data Entry'!$¨$399)</f>
      </c>
      <c r="DA399">
        <f>IF(ISBLANK('Data Entry'!$©$399), "", 'Data Entry'!$©$399)</f>
      </c>
      <c r="DB399">
        <f>IF(ISBLANK('Data Entry'!$ª$399), "", 'Data Entry'!$ª$399)</f>
      </c>
      <c r="DC399">
        <f>IF(ISBLANK('Data Entry'!$«$399), "", 'Data Entry'!$«$399)</f>
      </c>
      <c r="DD399">
        <f>IF(ISBLANK('Data Entry'!$¬$399), "", 'Data Entry'!$¬$399)</f>
      </c>
      <c r="DE399">
        <f>IF(ISBLANK('Data Entry'!$­$399), "", 'Data Entry'!$­$399)</f>
      </c>
      <c r="DF399">
        <f>IF(ISBLANK('Data Entry'!$®$399), "", 'Data Entry'!$®$399)</f>
      </c>
      <c r="DG399">
        <f>IF(ISBLANK('Data Entry'!$¯$399), "", 'Data Entry'!$¯$399)</f>
      </c>
      <c r="DH399">
        <f>IF(ISBLANK('Data Entry'!$°$399), "", 'Data Entry'!$°$399)</f>
      </c>
      <c r="DI399">
        <f>IF(ISBLANK('Data Entry'!$±$399), "", 'Data Entry'!$±$399)</f>
      </c>
      <c r="DJ399">
        <f>IF(ISBLANK('Data Entry'!$²$399), "", 'Data Entry'!$²$399)</f>
      </c>
      <c r="DK399">
        <f>IF(ISBLANK('Data Entry'!$³$399), "", 'Data Entry'!$³$399)</f>
      </c>
      <c r="DL399">
        <f>IF(ISBLANK('Data Entry'!$´$399), "", 'Data Entry'!$´$399)</f>
      </c>
      <c r="DM399">
        <f>IF(ISBLANK('Data Entry'!$µ$399), "", 'Data Entry'!$µ$399)</f>
      </c>
      <c r="DN399">
        <f>IF(ISBLANK('Data Entry'!$¶$399), "", 'Data Entry'!$¶$399)</f>
      </c>
      <c r="DO399">
        <f>IF(ISBLANK('Data Entry'!$·$399), "", 'Data Entry'!$·$399)</f>
      </c>
      <c r="DP399">
        <f>IF(ISBLANK('Data Entry'!$¸$399), "", 'Data Entry'!$¸$399)</f>
      </c>
      <c r="DQ399">
        <f>IF(ISBLANK('Data Entry'!$¹$399), "", 'Data Entry'!$¹$399)</f>
      </c>
      <c r="DR399">
        <f>IF(ISBLANK('Data Entry'!$º$399), "", 'Data Entry'!$º$399)</f>
      </c>
      <c r="DS399">
        <f>IF(ISBLANK('Data Entry'!$»$399), "", 'Data Entry'!$»$399)</f>
      </c>
      <c r="DT399">
        <f>IF(ISBLANK('Data Entry'!$¼$399), "", 'Data Entry'!$¼$399)</f>
      </c>
      <c r="DU399">
        <f>IF(ISBLANK('Data Entry'!$½$399), "", 'Data Entry'!$½$399)</f>
      </c>
      <c r="DV399">
        <f>IF(ISBLANK('Data Entry'!$¾$399), "", 'Data Entry'!$¾$399)</f>
      </c>
      <c r="DW399">
        <f>IF(ISBLANK('Data Entry'!$¿$399), "", 'Data Entry'!$¿$399)</f>
      </c>
      <c r="DX399">
        <f>IF(ISBLANK('Data Entry'!$À$399), "", 'Data Entry'!$À$399)</f>
      </c>
      <c r="DY399">
        <f>IF(ISBLANK('Data Entry'!$Á$399), "", 'Data Entry'!$Á$399)</f>
      </c>
      <c r="DZ399">
        <f>IF(ISBLANK('Data Entry'!$Â$399), "", 'Data Entry'!$Â$399)</f>
      </c>
      <c r="EA399">
        <f>IF(ISBLANK('Data Entry'!$Ã$399), "", 'Data Entry'!$Ã$399)</f>
      </c>
      <c r="EB399">
        <f>IF(ISBLANK('Data Entry'!$Ä$399), "", 'Data Entry'!$Ä$399)</f>
      </c>
      <c r="EC399">
        <f>IF(ISBLANK('Data Entry'!$Å$399), "", 'Data Entry'!$Å$399)</f>
      </c>
      <c r="ED399">
        <f>IF(ISBLANK('Data Entry'!$Æ$399), "", 'Data Entry'!$Æ$399)</f>
      </c>
      <c r="EE399">
        <f>IF(ISBLANK('Data Entry'!$Ç$399), "", 'Data Entry'!$Ç$399)</f>
      </c>
      <c r="EF399">
        <f>IF(ISBLANK('Data Entry'!$È$399), "", 'Data Entry'!$È$399)</f>
      </c>
      <c r="EG399">
        <f>IF(ISBLANK('Data Entry'!$É$399), "", 'Data Entry'!$É$399)</f>
      </c>
      <c r="EH399">
        <f>IF(ISBLANK('Data Entry'!$Ê$399), "", 'Data Entry'!$Ê$399)</f>
      </c>
      <c r="EI399">
        <f>IF(ISBLANK('Data Entry'!$Ë$399), "", 'Data Entry'!$Ë$399)</f>
      </c>
      <c r="EJ399">
        <f>IF(ISBLANK('Data Entry'!$Ì$399), "", 'Data Entry'!$Ì$399)</f>
      </c>
      <c r="EK399">
        <f>IF(ISBLANK('Data Entry'!$Í$399), "", 'Data Entry'!$Í$399)</f>
      </c>
      <c r="EL399">
        <f>IF(ISBLANK('Data Entry'!$Î$399), "", 'Data Entry'!$Î$399)</f>
      </c>
      <c r="EM399">
        <f>IF(ISBLANK('Data Entry'!$Ï$399), "", 'Data Entry'!$Ï$399)</f>
      </c>
      <c r="EN399">
        <f>IF(ISBLANK('Data Entry'!$Ð$399), "", 'Data Entry'!$Ð$399)</f>
      </c>
      <c r="EO399">
        <f>IF(ISBLANK('Data Entry'!$Ñ$399), "", 'Data Entry'!$Ñ$399)</f>
      </c>
      <c r="EP399">
        <f>IF(ISBLANK('Data Entry'!$Ò$399), "", 'Data Entry'!$Ò$399)</f>
      </c>
      <c r="EQ399">
        <f>IF(ISBLANK('Data Entry'!$Ó$399), "", 'Data Entry'!$Ó$399)</f>
      </c>
      <c r="ER399">
        <f>IF(ISBLANK('Data Entry'!$Ô$399), "", 'Data Entry'!$Ô$399)</f>
      </c>
      <c r="ES399">
        <f>IF(ISBLANK('Data Entry'!$Õ$399), "", 'Data Entry'!$Õ$399)</f>
      </c>
      <c r="ET399">
        <f>IF(ISBLANK('Data Entry'!$Ö$399), "", 'Data Entry'!$Ö$399)</f>
      </c>
      <c r="EU399">
        <f>IF(ISBLANK('Data Entry'!$×$399), "", 'Data Entry'!$×$399)</f>
      </c>
      <c r="EV399">
        <f>IF(ISBLANK('Data Entry'!$Ø$399), "", 'Data Entry'!$Ø$399)</f>
      </c>
      <c r="EW399">
        <f>IF(ISBLANK('Data Entry'!$Ù$399), "", 'Data Entry'!$Ù$399)</f>
      </c>
      <c r="EX399">
        <f>IF(ISBLANK('Data Entry'!$Ú$399), "", 'Data Entry'!$Ú$399)</f>
      </c>
      <c r="EY399">
        <f>IF(ISBLANK('Data Entry'!$Û$399), "", 'Data Entry'!$Û$399)</f>
      </c>
      <c r="EZ399">
        <f>IF(ISBLANK('Data Entry'!$Ü$399), "", 'Data Entry'!$Ü$399)</f>
      </c>
      <c r="FA399">
        <f>IF(ISBLANK('Data Entry'!$Ý$399), "", 'Data Entry'!$Ý$399)</f>
      </c>
      <c r="FB399">
        <f>IF(ISBLANK('Data Entry'!$Þ$399), "", 'Data Entry'!$Þ$399)</f>
      </c>
      <c r="FC399">
        <f>IF(ISBLANK('Data Entry'!$ß$399), "", 'Data Entry'!$ß$399)</f>
      </c>
      <c r="FD399">
        <f>IF(ISBLANK('Data Entry'!$à$399), "", 'Data Entry'!$à$399)</f>
      </c>
      <c r="FE399">
        <f>IF(ISBLANK('Data Entry'!$á$399), "", 'Data Entry'!$á$399)</f>
      </c>
      <c r="FF399">
        <f>IF(ISBLANK('Data Entry'!$â$399), "", 'Data Entry'!$â$399)</f>
      </c>
      <c r="FG399">
        <f>IF(ISBLANK('Data Entry'!$ã$399), "", 'Data Entry'!$ã$399)</f>
      </c>
      <c r="FH399">
        <f>IF(ISBLANK('Data Entry'!$ä$399), "", 'Data Entry'!$ä$399)</f>
      </c>
      <c r="FI399">
        <f>IF(ISBLANK('Data Entry'!$å$399), "", 'Data Entry'!$å$399)</f>
      </c>
      <c r="FJ399">
        <f>IF(ISBLANK('Data Entry'!$æ$399), "", 'Data Entry'!$æ$399)</f>
      </c>
      <c r="FK399">
        <f>IF(ISBLANK('Data Entry'!$ç$399), "", 'Data Entry'!$ç$399)</f>
      </c>
      <c r="FL399">
        <f>IF(ISBLANK('Data Entry'!$è$399), "", 'Data Entry'!$è$399)</f>
      </c>
      <c r="FM399">
        <f>IF(ISBLANK('Data Entry'!$é$399), "", 'Data Entry'!$é$399)</f>
      </c>
      <c r="FN399">
        <f>IF(ISBLANK('Data Entry'!$ê$399), "", 'Data Entry'!$ê$399)</f>
      </c>
      <c r="FO399">
        <f>IF(ISBLANK('Data Entry'!$ë$399), "", 'Data Entry'!$ë$399)</f>
      </c>
      <c r="FP399">
        <f>IF(ISBLANK('Data Entry'!$ì$399), "", 'Data Entry'!$ì$399)</f>
      </c>
      <c r="FQ399">
        <f>IF(ISBLANK('Data Entry'!$í$399), "", 'Data Entry'!$í$399)</f>
      </c>
      <c r="FR399">
        <f>IF(ISBLANK('Data Entry'!$î$399), "", 'Data Entry'!$î$399)</f>
      </c>
      <c r="FS399">
        <f>IF(ISBLANK('Data Entry'!$ï$399), "", 'Data Entry'!$ï$399)</f>
      </c>
      <c r="FT399">
        <f>IF(ISBLANK('Data Entry'!$ð$399), "", 'Data Entry'!$ð$399)</f>
      </c>
      <c r="FU399">
        <f>IF(ISBLANK('Data Entry'!$ñ$399), "", 'Data Entry'!$ñ$399)</f>
      </c>
      <c r="FV399">
        <f>IF(ISBLANK('Data Entry'!$ò$399), "", 'Data Entry'!$ò$399)</f>
      </c>
      <c r="FW399">
        <f>IF(ISBLANK('Data Entry'!$ó$399), "", 'Data Entry'!$ó$399)</f>
      </c>
      <c r="FX399">
        <f>IF(ISBLANK('Data Entry'!$ô$399), "", 'Data Entry'!$ô$399)</f>
      </c>
      <c r="FY399">
        <f>IF(ISBLANK('Data Entry'!$õ$399), "", 'Data Entry'!$õ$399)</f>
      </c>
      <c r="FZ399">
        <f>IF(ISBLANK('Data Entry'!$ö$399), "", 'Data Entry'!$ö$399)</f>
      </c>
      <c r="GA399">
        <f>IF(ISBLANK('Data Entry'!$÷$399), "", 'Data Entry'!$÷$399)</f>
      </c>
      <c r="GB399">
        <f>IF(ISBLANK('Data Entry'!$ø$399), "", 'Data Entry'!$ø$399)</f>
      </c>
      <c r="GC399">
        <f>IF(ISBLANK('Data Entry'!$ù$399), "", 'Data Entry'!$ù$399)</f>
      </c>
      <c r="GD399">
        <f>IF(ISBLANK('Data Entry'!$ú$399), "", 'Data Entry'!$ú$399)</f>
      </c>
      <c r="GE399">
        <f>IF(ISBLANK('Data Entry'!$û$399), "", 'Data Entry'!$û$399)</f>
      </c>
      <c r="GF399">
        <f>IF(ISBLANK('Data Entry'!$ü$399), "", 'Data Entry'!$ü$399)</f>
      </c>
      <c r="GG399">
        <f>IF(ISBLANK('Data Entry'!$ý$399), "", 'Data Entry'!$ý$399)</f>
      </c>
      <c r="GH399">
        <f>IF(ISBLANK('Data Entry'!$þ$399), "", 'Data Entry'!$þ$399)</f>
      </c>
      <c r="GI399">
        <f>IF(ISBLANK('Data Entry'!$ÿ$399), "", 'Data Entry'!$ÿ$399)</f>
      </c>
      <c r="GJ399">
        <f>IF(ISBLANK('Data Entry'!$Ā$399), "", 'Data Entry'!$Ā$399)</f>
      </c>
      <c r="GK399">
        <f>IF(ISBLANK('Data Entry'!$ā$399), "", 'Data Entry'!$ā$399)</f>
      </c>
      <c r="GL399">
        <f>IF(ISBLANK('Data Entry'!$Ă$399), "", 'Data Entry'!$Ă$399)</f>
      </c>
      <c r="GM399">
        <f>IF(ISBLANK('Data Entry'!$ă$399), "", 'Data Entry'!$ă$399)</f>
      </c>
      <c r="GN399">
        <f>IF(ISBLANK('Data Entry'!$Ą$399), "", 'Data Entry'!$Ą$399)</f>
      </c>
      <c r="GO399">
        <f>IF(ISBLANK('Data Entry'!$ą$399), "", 'Data Entry'!$ą$399)</f>
      </c>
      <c r="GP399">
        <f>IF(ISBLANK('Data Entry'!$Ć$399), "", 'Data Entry'!$Ć$399)</f>
      </c>
      <c r="GQ399">
        <f>IF(ISBLANK('Data Entry'!$ć$399), "", 'Data Entry'!$ć$399)</f>
      </c>
      <c r="GR399">
        <f>IF(ISBLANK('Data Entry'!$Ĉ$399), "", 'Data Entry'!$Ĉ$399)</f>
      </c>
      <c r="GS399">
        <f>IF(ISBLANK('Data Entry'!$ĉ$399), "", 'Data Entry'!$ĉ$399)</f>
      </c>
      <c r="GT399">
        <f>IF(ISBLANK('Data Entry'!$Ċ$399), "", 'Data Entry'!$Ċ$399)</f>
      </c>
      <c r="GU399">
        <f>IF(ISBLANK('Data Entry'!$ċ$399), "", 'Data Entry'!$ċ$399)</f>
      </c>
      <c r="GV399">
        <f>IF(ISBLANK('Data Entry'!$Č$399), "", 'Data Entry'!$Č$399)</f>
      </c>
      <c r="GW399">
        <f>IF(ISBLANK('Data Entry'!$č$399), "", 'Data Entry'!$č$399)</f>
      </c>
      <c r="GX399">
        <f>IF(ISBLANK('Data Entry'!$Ď$399), "", 'Data Entry'!$Ď$399)</f>
      </c>
      <c r="GY399">
        <f>IF(ISBLANK('Data Entry'!$ď$399), "", 'Data Entry'!$ď$399)</f>
      </c>
      <c r="GZ399">
        <f>IF(ISBLANK('Data Entry'!$Đ$399), "", 'Data Entry'!$Đ$399)</f>
      </c>
      <c r="HA399">
        <f>IF(ISBLANK('Data Entry'!$đ$399), "", 'Data Entry'!$đ$399)</f>
      </c>
      <c r="HB399">
        <f>IF(ISBLANK('Data Entry'!$Ē$399), "", 'Data Entry'!$Ē$399)</f>
      </c>
      <c r="HC399">
        <f>IF(ISBLANK('Data Entry'!$ē$399), "", 'Data Entry'!$ē$399)</f>
      </c>
      <c r="HD399">
        <f>IF(ISBLANK('Data Entry'!$Ĕ$399), "", 'Data Entry'!$Ĕ$399)</f>
      </c>
      <c r="HE399">
        <f>IF(ISBLANK('Data Entry'!$ĕ$399), "", 'Data Entry'!$ĕ$399)</f>
      </c>
      <c r="HF399">
        <f>IF(ISBLANK('Data Entry'!$Ė$399), "", 'Data Entry'!$Ė$399)</f>
      </c>
      <c r="HG399">
        <f>IF(ISBLANK('Data Entry'!$ė$399), "", 'Data Entry'!$ė$399)</f>
      </c>
      <c r="HH399">
        <f>IF(ISBLANK('Data Entry'!$Ę$399), "", 'Data Entry'!$Ę$399)</f>
      </c>
      <c r="HI399">
        <f>IF(ISBLANK('Data Entry'!$ę$399), "", 'Data Entry'!$ę$399)</f>
      </c>
      <c r="HJ399">
        <f>IF(ISBLANK('Data Entry'!$Ě$399), "", 'Data Entry'!$Ě$399)</f>
      </c>
      <c r="HK399">
        <f>IF(ISBLANK('Data Entry'!$ě$399), "", 'Data Entry'!$ě$399)</f>
      </c>
      <c r="HL399">
        <f>IF(ISBLANK('Data Entry'!$Ĝ$399), "", 'Data Entry'!$Ĝ$399)</f>
      </c>
      <c r="HM399">
        <f>IF(ISBLANK('Data Entry'!$ĝ$399), "", 'Data Entry'!$ĝ$399)</f>
      </c>
      <c r="HN399">
        <f>IF(ISBLANK('Data Entry'!$Ğ$399), "", 'Data Entry'!$Ğ$399)</f>
      </c>
      <c r="HO399">
        <f>IF(ISBLANK('Data Entry'!$ğ$399), "", 'Data Entry'!$ğ$399)</f>
      </c>
      <c r="HP399">
        <f>IF(ISBLANK('Data Entry'!$Ġ$399), "", 'Data Entry'!$Ġ$399)</f>
      </c>
      <c r="HQ399">
        <f>IF(ISBLANK('Data Entry'!$ġ$399), "", 'Data Entry'!$ġ$399)</f>
      </c>
      <c r="HR399">
        <f>IF(ISBLANK('Data Entry'!$Ģ$399), "", 'Data Entry'!$Ģ$399)</f>
      </c>
      <c r="HS399">
        <f>IF(ISBLANK('Data Entry'!$ģ$399), "", 'Data Entry'!$ģ$399)</f>
      </c>
      <c r="HT399">
        <f>IF(ISBLANK('Data Entry'!$Ĥ$399), "", 'Data Entry'!$Ĥ$399)</f>
      </c>
      <c r="HU399">
        <f>IF(ISBLANK('Data Entry'!$ĥ$399), "", 'Data Entry'!$ĥ$399)</f>
      </c>
      <c r="HV399">
        <f>IF(ISBLANK('Data Entry'!$Ħ$399), "", 'Data Entry'!$Ħ$399)</f>
      </c>
      <c r="HW399">
        <f>IF(ISBLANK('Data Entry'!$ħ$399), "", 'Data Entry'!$ħ$399)</f>
      </c>
      <c r="HX399">
        <f>IF(ISBLANK('Data Entry'!$Ĩ$399), "", 'Data Entry'!$Ĩ$399)</f>
      </c>
      <c r="HY399">
        <f>IF(ISBLANK('Data Entry'!$ĩ$399), "", 'Data Entry'!$ĩ$399)</f>
      </c>
      <c r="HZ399">
        <f>IF(ISBLANK('Data Entry'!$Ī$399), "", 'Data Entry'!$Ī$399)</f>
      </c>
      <c r="IA399">
        <f>IF(ISBLANK('Data Entry'!$ī$399), "", 'Data Entry'!$ī$399)</f>
      </c>
      <c r="IB399">
        <f>IF(ISBLANK('Data Entry'!$Ĭ$399), "", 'Data Entry'!$Ĭ$399)</f>
      </c>
      <c r="IC399">
        <f>IF(ISBLANK('Data Entry'!$ĭ$399), "", 'Data Entry'!$ĭ$399)</f>
      </c>
      <c r="ID399">
        <f>IF(ISBLANK('Data Entry'!$Į$399), "", 'Data Entry'!$Į$399)</f>
      </c>
      <c r="IE399">
        <f>IF(ISBLANK('Data Entry'!$į$399), "", 'Data Entry'!$į$399)</f>
      </c>
      <c r="IF399">
        <f>IF(ISBLANK('Data Entry'!$İ$399), "", 'Data Entry'!$İ$399)</f>
      </c>
      <c r="IG399">
        <f>IF(ISBLANK('Data Entry'!$ı$399), "", 'Data Entry'!$ı$399)</f>
      </c>
      <c r="IH399">
        <f>IF(ISBLANK('Data Entry'!$Ĳ$399), "", 'Data Entry'!$Ĳ$399)</f>
      </c>
      <c r="II399">
        <f>IF(ISBLANK('Data Entry'!$ĳ$399), "", 'Data Entry'!$ĳ$399)</f>
      </c>
      <c r="IJ399">
        <f>IF(ISBLANK('Data Entry'!$Ĵ$399), "", 'Data Entry'!$Ĵ$399)</f>
      </c>
      <c r="IK399">
        <f>IF(ISBLANK('Data Entry'!$ĵ$399), "", 'Data Entry'!$ĵ$399)</f>
      </c>
      <c r="IL399">
        <f>IF(ISBLANK('Data Entry'!$Ķ$399), "", 'Data Entry'!$Ķ$399)</f>
      </c>
      <c r="IM399">
        <f>IF(ISBLANK('Data Entry'!$ķ$399), "", 'Data Entry'!$ķ$399)</f>
      </c>
      <c r="IN399">
        <f>IF(ISBLANK('Data Entry'!$ĸ$399), "", 'Data Entry'!$ĸ$399)</f>
      </c>
      <c r="IO399">
        <f>IF(ISBLANK('Data Entry'!$Ĺ$399), "", 'Data Entry'!$Ĺ$399)</f>
      </c>
      <c r="IP399">
        <f>IF(ISBLANK('Data Entry'!$ĺ$399), "", 'Data Entry'!$ĺ$399)</f>
      </c>
      <c r="IQ399">
        <f>IF(ISBLANK('Data Entry'!$Ļ$399), "", 'Data Entry'!$Ļ$399)</f>
      </c>
      <c r="IR399">
        <f>IF(ISBLANK('Data Entry'!$ļ$399), "", 'Data Entry'!$ļ$399)</f>
      </c>
      <c r="IS399">
        <f>IF(ISBLANK('Data Entry'!$Ľ$399), "", 'Data Entry'!$Ľ$399)</f>
      </c>
      <c r="IT399">
        <f>IF(ISBLANK('Data Entry'!$ľ$399), "", 'Data Entry'!$ľ$399)</f>
      </c>
    </row>
    <row r="400" spans="1:254" x14ac:dyDescent="0.25">
      <c r="A400">
        <f>IF(ISBLANK('Data Entry'!$A$400), "", 'Data Entry'!$A$400)</f>
      </c>
      <c r="B400">
        <f>IF(ISBLANK('Data Entry'!$B$400), "", 'Data Entry'!$B$400)</f>
      </c>
      <c r="C400">
        <f>IF(ISBLANK('Data Entry'!$C$400), "", 'Data Entry'!$C$400)</f>
      </c>
      <c r="D400">
        <f>IF(ISBLANK('Data Entry'!$D$400), "", 'Data Entry'!$D$400)</f>
      </c>
      <c r="E400">
        <f>IF(ISBLANK('Data Entry'!$E$400), "", 'Data Entry'!$E$400)</f>
      </c>
      <c r="F400">
        <f>IF(ISBLANK('Data Entry'!$F$400), "", 'Data Entry'!$F$400)</f>
      </c>
      <c r="G400">
        <f>IF(ISBLANK('Data Entry'!$G$400), "", 'Data Entry'!$G$400)</f>
      </c>
      <c r="H400">
        <f>IF(ISBLANK('Data Entry'!$H$400), "", 'Data Entry'!$H$400)</f>
      </c>
      <c r="I400">
        <f>IF(ISBLANK('Data Entry'!$I$400), "", 'Data Entry'!$I$400)</f>
      </c>
      <c r="J400">
        <f>IF(ISBLANK('Data Entry'!$J$400), "", 'Data Entry'!$J$400)</f>
      </c>
      <c r="K400">
        <f>IF(ISBLANK('Data Entry'!$K$400), "", 'Data Entry'!$K$400)</f>
      </c>
      <c r="L400">
        <f>IF(ISBLANK('Data Entry'!$L$400), "", 'Data Entry'!$L$400)</f>
      </c>
      <c r="M400">
        <f>IF(ISBLANK('Data Entry'!$M$400), "", 'Data Entry'!$M$400)</f>
      </c>
      <c r="N400">
        <f>IF(ISBLANK('Data Entry'!$N$400), "", 'Data Entry'!$N$400)</f>
      </c>
      <c r="O400">
        <f>IF(ISBLANK('Data Entry'!$O$400), "", 'Data Entry'!$O$400)</f>
      </c>
      <c r="P400">
        <f>IF(ISBLANK('Data Entry'!$P$400), "", 'Data Entry'!$P$400)</f>
      </c>
      <c r="Q400">
        <f>IF(ISBLANK('Data Entry'!$Q$400), "", 'Data Entry'!$Q$400)</f>
      </c>
      <c r="R400">
        <f>IF(ISBLANK('Data Entry'!$R$400), "", 'Data Entry'!$R$400)</f>
      </c>
      <c r="S400">
        <f>IF(ISBLANK('Data Entry'!$S$400), "", 'Data Entry'!$S$400)</f>
      </c>
      <c r="T400">
        <f>IF(ISBLANK('Data Entry'!$T$400), "", 'Data Entry'!$T$400)</f>
      </c>
      <c r="U400">
        <f>IF(ISBLANK('Data Entry'!$U$400), "", 'Data Entry'!$U$400)</f>
      </c>
      <c r="V400">
        <f>IF(ISBLANK('Data Entry'!$V$400), "", 'Data Entry'!$V$400)</f>
      </c>
      <c r="W400">
        <f>IF(ISBLANK('Data Entry'!$W$400), "", 'Data Entry'!$W$400)</f>
      </c>
      <c r="X400">
        <f>IF(ISBLANK('Data Entry'!$X$400), "", 'Data Entry'!$X$400)</f>
      </c>
      <c r="Y400">
        <f>IF(ISBLANK('Data Entry'!$Y$400), "", 'Data Entry'!$Y$400)</f>
      </c>
      <c r="Z400">
        <f>IF(ISBLANK('Data Entry'!$Z$400), "", 'Data Entry'!$Z$400)</f>
      </c>
      <c r="AA400">
        <f>IF(ISBLANK('Data Entry'!$[$400), "", 'Data Entry'!$[$400)</f>
      </c>
      <c r="AB400">
        <f>IF(ISBLANK('Data Entry'!$\$400), "", 'Data Entry'!$\$400)</f>
      </c>
      <c r="AC400">
        <f>IF(ISBLANK('Data Entry'!$]$400), "", 'Data Entry'!$]$400)</f>
      </c>
      <c r="AD400">
        <f>IF(ISBLANK('Data Entry'!$^$400), "", 'Data Entry'!$^$400)</f>
      </c>
      <c r="AE400">
        <f>IF(ISBLANK('Data Entry'!$_$400), "", 'Data Entry'!$_$400)</f>
      </c>
      <c r="AF400">
        <f>IF(ISBLANK('Data Entry'!$`$400), "", 'Data Entry'!$`$400)</f>
      </c>
      <c r="AG400">
        <f>IF(ISBLANK('Data Entry'!$a$400), "", 'Data Entry'!$a$400)</f>
      </c>
      <c r="AH400">
        <f>IF(ISBLANK('Data Entry'!$b$400), "", 'Data Entry'!$b$400)</f>
      </c>
      <c r="AI400">
        <f>IF(ISBLANK('Data Entry'!$c$400), "", 'Data Entry'!$c$400)</f>
      </c>
      <c r="AJ400">
        <f>IF(ISBLANK('Data Entry'!$d$400), "", 'Data Entry'!$d$400)</f>
      </c>
      <c r="AK400">
        <f>IF(ISBLANK('Data Entry'!$e$400), "", 'Data Entry'!$e$400)</f>
      </c>
      <c r="AL400">
        <f>IF(ISBLANK('Data Entry'!$f$400), "", 'Data Entry'!$f$400)</f>
      </c>
      <c r="AM400">
        <f>IF(ISBLANK('Data Entry'!$g$400), "", 'Data Entry'!$g$400)</f>
      </c>
      <c r="AN400">
        <f>IF(ISBLANK('Data Entry'!$h$400), "", 'Data Entry'!$h$400)</f>
      </c>
      <c r="AO400">
        <f>IF(ISBLANK('Data Entry'!$i$400), "", 'Data Entry'!$i$400)</f>
      </c>
      <c r="AP400">
        <f>IF(ISBLANK('Data Entry'!$j$400), "", 'Data Entry'!$j$400)</f>
      </c>
      <c r="AQ400">
        <f>IF(ISBLANK('Data Entry'!$k$400), "", 'Data Entry'!$k$400)</f>
      </c>
      <c r="AR400">
        <f>IF(ISBLANK('Data Entry'!$l$400), "", 'Data Entry'!$l$400)</f>
      </c>
      <c r="AS400">
        <f>IF(ISBLANK('Data Entry'!$m$400), "", 'Data Entry'!$m$400)</f>
      </c>
      <c r="AT400">
        <f>IF(ISBLANK('Data Entry'!$n$400), "", 'Data Entry'!$n$400)</f>
      </c>
      <c r="AU400">
        <f>IF(ISBLANK('Data Entry'!$o$400), "", 'Data Entry'!$o$400)</f>
      </c>
      <c r="AV400">
        <f>IF(ISBLANK('Data Entry'!$p$400), "", 'Data Entry'!$p$400)</f>
      </c>
      <c r="AW400">
        <f>IF(ISBLANK('Data Entry'!$q$400), "", 'Data Entry'!$q$400)</f>
      </c>
      <c r="AX400">
        <f>IF(ISBLANK('Data Entry'!$r$400), "", 'Data Entry'!$r$400)</f>
      </c>
      <c r="AY400">
        <f>IF(ISBLANK('Data Entry'!$s$400), "", 'Data Entry'!$s$400)</f>
      </c>
      <c r="AZ400">
        <f>IF(ISBLANK('Data Entry'!$t$400), "", 'Data Entry'!$t$400)</f>
      </c>
      <c r="BA400">
        <f>IF(ISBLANK('Data Entry'!$u$400), "", 'Data Entry'!$u$400)</f>
      </c>
      <c r="BB400">
        <f>IF(ISBLANK('Data Entry'!$v$400), "", 'Data Entry'!$v$400)</f>
      </c>
      <c r="BC400">
        <f>IF(ISBLANK('Data Entry'!$w$400), "", 'Data Entry'!$w$400)</f>
      </c>
      <c r="BD400">
        <f>IF(ISBLANK('Data Entry'!$x$400), "", 'Data Entry'!$x$400)</f>
      </c>
      <c r="BE400">
        <f>IF(ISBLANK('Data Entry'!$y$400), "", 'Data Entry'!$y$400)</f>
      </c>
      <c r="BF400">
        <f>IF(ISBLANK('Data Entry'!$z$400), "", 'Data Entry'!$z$400)</f>
      </c>
      <c r="BG400">
        <f>IF(ISBLANK('Data Entry'!${$400), "", 'Data Entry'!${$400)</f>
      </c>
      <c r="BH400">
        <f>IF(ISBLANK('Data Entry'!$|$400), "", 'Data Entry'!$|$400)</f>
      </c>
      <c r="BI400">
        <f>IF(ISBLANK('Data Entry'!$}$400), "", 'Data Entry'!$}$400)</f>
      </c>
      <c r="BJ400">
        <f>IF(ISBLANK('Data Entry'!$~$400), "", 'Data Entry'!$~$400)</f>
      </c>
      <c r="BK400">
        <f>IF(ISBLANK('Data Entry'!$$400), "", 'Data Entry'!$$400)</f>
      </c>
      <c r="BL400">
        <f>IF(ISBLANK('Data Entry'!$$400), "", 'Data Entry'!$$400)</f>
      </c>
      <c r="BM400">
        <f>IF(ISBLANK('Data Entry'!$$400), "", 'Data Entry'!$$400)</f>
      </c>
      <c r="BN400">
        <f>IF(ISBLANK('Data Entry'!$$400), "", 'Data Entry'!$$400)</f>
      </c>
      <c r="BO400">
        <f>IF(ISBLANK('Data Entry'!$$400), "", 'Data Entry'!$$400)</f>
      </c>
      <c r="BP400">
        <f>IF(ISBLANK('Data Entry'!$$400), "", 'Data Entry'!$$400)</f>
      </c>
      <c r="BQ400">
        <f>IF(ISBLANK('Data Entry'!$$400), "", 'Data Entry'!$$400)</f>
      </c>
      <c r="BR400">
        <f>IF(ISBLANK('Data Entry'!$$400), "", 'Data Entry'!$$400)</f>
      </c>
      <c r="BS400">
        <f>IF(ISBLANK('Data Entry'!$$400), "", 'Data Entry'!$$400)</f>
      </c>
      <c r="BT400">
        <f>IF(ISBLANK('Data Entry'!$$400), "", 'Data Entry'!$$400)</f>
      </c>
      <c r="BU400">
        <f>IF(ISBLANK('Data Entry'!$$400), "", 'Data Entry'!$$400)</f>
      </c>
      <c r="BV400">
        <f>IF(ISBLANK('Data Entry'!$$400), "", 'Data Entry'!$$400)</f>
      </c>
      <c r="BW400">
        <f>IF(ISBLANK('Data Entry'!$$400), "", 'Data Entry'!$$400)</f>
      </c>
      <c r="BX400">
        <f>IF(ISBLANK('Data Entry'!$$400), "", 'Data Entry'!$$400)</f>
      </c>
      <c r="BY400">
        <f>IF(ISBLANK('Data Entry'!$$400), "", 'Data Entry'!$$400)</f>
      </c>
      <c r="BZ400">
        <f>IF(ISBLANK('Data Entry'!$$400), "", 'Data Entry'!$$400)</f>
      </c>
      <c r="CA400">
        <f>IF(ISBLANK('Data Entry'!$$400), "", 'Data Entry'!$$400)</f>
      </c>
      <c r="CB400">
        <f>IF(ISBLANK('Data Entry'!$$400), "", 'Data Entry'!$$400)</f>
      </c>
      <c r="CC400">
        <f>IF(ISBLANK('Data Entry'!$$400), "", 'Data Entry'!$$400)</f>
      </c>
      <c r="CD400">
        <f>IF(ISBLANK('Data Entry'!$$400), "", 'Data Entry'!$$400)</f>
      </c>
      <c r="CE400">
        <f>IF(ISBLANK('Data Entry'!$$400), "", 'Data Entry'!$$400)</f>
      </c>
      <c r="CF400">
        <f>IF(ISBLANK('Data Entry'!$$400), "", 'Data Entry'!$$400)</f>
      </c>
      <c r="CG400">
        <f>IF(ISBLANK('Data Entry'!$$400), "", 'Data Entry'!$$400)</f>
      </c>
      <c r="CH400">
        <f>IF(ISBLANK('Data Entry'!$$400), "", 'Data Entry'!$$400)</f>
      </c>
      <c r="CI400">
        <f>IF(ISBLANK('Data Entry'!$$400), "", 'Data Entry'!$$400)</f>
      </c>
      <c r="CJ400">
        <f>IF(ISBLANK('Data Entry'!$$400), "", 'Data Entry'!$$400)</f>
      </c>
      <c r="CK400">
        <f>IF(ISBLANK('Data Entry'!$$400), "", 'Data Entry'!$$400)</f>
      </c>
      <c r="CL400">
        <f>IF(ISBLANK('Data Entry'!$$400), "", 'Data Entry'!$$400)</f>
      </c>
      <c r="CM400">
        <f>IF(ISBLANK('Data Entry'!$$400), "", 'Data Entry'!$$400)</f>
      </c>
      <c r="CN400">
        <f>IF(ISBLANK('Data Entry'!$$400), "", 'Data Entry'!$$400)</f>
      </c>
      <c r="CO400">
        <f>IF(ISBLANK('Data Entry'!$$400), "", 'Data Entry'!$$400)</f>
      </c>
      <c r="CP400">
        <f>IF(ISBLANK('Data Entry'!$$400), "", 'Data Entry'!$$400)</f>
      </c>
      <c r="CQ400">
        <f>IF(ISBLANK('Data Entry'!$$400), "", 'Data Entry'!$$400)</f>
      </c>
      <c r="CR400">
        <f>IF(ISBLANK('Data Entry'!$ $400), "", 'Data Entry'!$ $400)</f>
      </c>
      <c r="CS400">
        <f>IF(ISBLANK('Data Entry'!$¡$400), "", 'Data Entry'!$¡$400)</f>
      </c>
      <c r="CT400">
        <f>IF(ISBLANK('Data Entry'!$¢$400), "", 'Data Entry'!$¢$400)</f>
      </c>
      <c r="CU400">
        <f>IF(ISBLANK('Data Entry'!$£$400), "", 'Data Entry'!$£$400)</f>
      </c>
      <c r="CV400">
        <f>IF(ISBLANK('Data Entry'!$¤$400), "", 'Data Entry'!$¤$400)</f>
      </c>
      <c r="CW400">
        <f>IF(ISBLANK('Data Entry'!$¥$400), "", 'Data Entry'!$¥$400)</f>
      </c>
      <c r="CX400">
        <f>IF(ISBLANK('Data Entry'!$¦$400), "", 'Data Entry'!$¦$400)</f>
      </c>
      <c r="CY400">
        <f>IF(ISBLANK('Data Entry'!$§$400), "", 'Data Entry'!$§$400)</f>
      </c>
      <c r="CZ400">
        <f>IF(ISBLANK('Data Entry'!$¨$400), "", 'Data Entry'!$¨$400)</f>
      </c>
      <c r="DA400">
        <f>IF(ISBLANK('Data Entry'!$©$400), "", 'Data Entry'!$©$400)</f>
      </c>
      <c r="DB400">
        <f>IF(ISBLANK('Data Entry'!$ª$400), "", 'Data Entry'!$ª$400)</f>
      </c>
      <c r="DC400">
        <f>IF(ISBLANK('Data Entry'!$«$400), "", 'Data Entry'!$«$400)</f>
      </c>
      <c r="DD400">
        <f>IF(ISBLANK('Data Entry'!$¬$400), "", 'Data Entry'!$¬$400)</f>
      </c>
      <c r="DE400">
        <f>IF(ISBLANK('Data Entry'!$­$400), "", 'Data Entry'!$­$400)</f>
      </c>
      <c r="DF400">
        <f>IF(ISBLANK('Data Entry'!$®$400), "", 'Data Entry'!$®$400)</f>
      </c>
      <c r="DG400">
        <f>IF(ISBLANK('Data Entry'!$¯$400), "", 'Data Entry'!$¯$400)</f>
      </c>
      <c r="DH400">
        <f>IF(ISBLANK('Data Entry'!$°$400), "", 'Data Entry'!$°$400)</f>
      </c>
      <c r="DI400">
        <f>IF(ISBLANK('Data Entry'!$±$400), "", 'Data Entry'!$±$400)</f>
      </c>
      <c r="DJ400">
        <f>IF(ISBLANK('Data Entry'!$²$400), "", 'Data Entry'!$²$400)</f>
      </c>
      <c r="DK400">
        <f>IF(ISBLANK('Data Entry'!$³$400), "", 'Data Entry'!$³$400)</f>
      </c>
      <c r="DL400">
        <f>IF(ISBLANK('Data Entry'!$´$400), "", 'Data Entry'!$´$400)</f>
      </c>
      <c r="DM400">
        <f>IF(ISBLANK('Data Entry'!$µ$400), "", 'Data Entry'!$µ$400)</f>
      </c>
      <c r="DN400">
        <f>IF(ISBLANK('Data Entry'!$¶$400), "", 'Data Entry'!$¶$400)</f>
      </c>
      <c r="DO400">
        <f>IF(ISBLANK('Data Entry'!$·$400), "", 'Data Entry'!$·$400)</f>
      </c>
      <c r="DP400">
        <f>IF(ISBLANK('Data Entry'!$¸$400), "", 'Data Entry'!$¸$400)</f>
      </c>
      <c r="DQ400">
        <f>IF(ISBLANK('Data Entry'!$¹$400), "", 'Data Entry'!$¹$400)</f>
      </c>
      <c r="DR400">
        <f>IF(ISBLANK('Data Entry'!$º$400), "", 'Data Entry'!$º$400)</f>
      </c>
      <c r="DS400">
        <f>IF(ISBLANK('Data Entry'!$»$400), "", 'Data Entry'!$»$400)</f>
      </c>
      <c r="DT400">
        <f>IF(ISBLANK('Data Entry'!$¼$400), "", 'Data Entry'!$¼$400)</f>
      </c>
      <c r="DU400">
        <f>IF(ISBLANK('Data Entry'!$½$400), "", 'Data Entry'!$½$400)</f>
      </c>
      <c r="DV400">
        <f>IF(ISBLANK('Data Entry'!$¾$400), "", 'Data Entry'!$¾$400)</f>
      </c>
      <c r="DW400">
        <f>IF(ISBLANK('Data Entry'!$¿$400), "", 'Data Entry'!$¿$400)</f>
      </c>
      <c r="DX400">
        <f>IF(ISBLANK('Data Entry'!$À$400), "", 'Data Entry'!$À$400)</f>
      </c>
      <c r="DY400">
        <f>IF(ISBLANK('Data Entry'!$Á$400), "", 'Data Entry'!$Á$400)</f>
      </c>
      <c r="DZ400">
        <f>IF(ISBLANK('Data Entry'!$Â$400), "", 'Data Entry'!$Â$400)</f>
      </c>
      <c r="EA400">
        <f>IF(ISBLANK('Data Entry'!$Ã$400), "", 'Data Entry'!$Ã$400)</f>
      </c>
      <c r="EB400">
        <f>IF(ISBLANK('Data Entry'!$Ä$400), "", 'Data Entry'!$Ä$400)</f>
      </c>
      <c r="EC400">
        <f>IF(ISBLANK('Data Entry'!$Å$400), "", 'Data Entry'!$Å$400)</f>
      </c>
      <c r="ED400">
        <f>IF(ISBLANK('Data Entry'!$Æ$400), "", 'Data Entry'!$Æ$400)</f>
      </c>
      <c r="EE400">
        <f>IF(ISBLANK('Data Entry'!$Ç$400), "", 'Data Entry'!$Ç$400)</f>
      </c>
      <c r="EF400">
        <f>IF(ISBLANK('Data Entry'!$È$400), "", 'Data Entry'!$È$400)</f>
      </c>
      <c r="EG400">
        <f>IF(ISBLANK('Data Entry'!$É$400), "", 'Data Entry'!$É$400)</f>
      </c>
      <c r="EH400">
        <f>IF(ISBLANK('Data Entry'!$Ê$400), "", 'Data Entry'!$Ê$400)</f>
      </c>
      <c r="EI400">
        <f>IF(ISBLANK('Data Entry'!$Ë$400), "", 'Data Entry'!$Ë$400)</f>
      </c>
      <c r="EJ400">
        <f>IF(ISBLANK('Data Entry'!$Ì$400), "", 'Data Entry'!$Ì$400)</f>
      </c>
      <c r="EK400">
        <f>IF(ISBLANK('Data Entry'!$Í$400), "", 'Data Entry'!$Í$400)</f>
      </c>
      <c r="EL400">
        <f>IF(ISBLANK('Data Entry'!$Î$400), "", 'Data Entry'!$Î$400)</f>
      </c>
      <c r="EM400">
        <f>IF(ISBLANK('Data Entry'!$Ï$400), "", 'Data Entry'!$Ï$400)</f>
      </c>
      <c r="EN400">
        <f>IF(ISBLANK('Data Entry'!$Ð$400), "", 'Data Entry'!$Ð$400)</f>
      </c>
      <c r="EO400">
        <f>IF(ISBLANK('Data Entry'!$Ñ$400), "", 'Data Entry'!$Ñ$400)</f>
      </c>
      <c r="EP400">
        <f>IF(ISBLANK('Data Entry'!$Ò$400), "", 'Data Entry'!$Ò$400)</f>
      </c>
      <c r="EQ400">
        <f>IF(ISBLANK('Data Entry'!$Ó$400), "", 'Data Entry'!$Ó$400)</f>
      </c>
      <c r="ER400">
        <f>IF(ISBLANK('Data Entry'!$Ô$400), "", 'Data Entry'!$Ô$400)</f>
      </c>
      <c r="ES400">
        <f>IF(ISBLANK('Data Entry'!$Õ$400), "", 'Data Entry'!$Õ$400)</f>
      </c>
      <c r="ET400">
        <f>IF(ISBLANK('Data Entry'!$Ö$400), "", 'Data Entry'!$Ö$400)</f>
      </c>
      <c r="EU400">
        <f>IF(ISBLANK('Data Entry'!$×$400), "", 'Data Entry'!$×$400)</f>
      </c>
      <c r="EV400">
        <f>IF(ISBLANK('Data Entry'!$Ø$400), "", 'Data Entry'!$Ø$400)</f>
      </c>
      <c r="EW400">
        <f>IF(ISBLANK('Data Entry'!$Ù$400), "", 'Data Entry'!$Ù$400)</f>
      </c>
      <c r="EX400">
        <f>IF(ISBLANK('Data Entry'!$Ú$400), "", 'Data Entry'!$Ú$400)</f>
      </c>
      <c r="EY400">
        <f>IF(ISBLANK('Data Entry'!$Û$400), "", 'Data Entry'!$Û$400)</f>
      </c>
      <c r="EZ400">
        <f>IF(ISBLANK('Data Entry'!$Ü$400), "", 'Data Entry'!$Ü$400)</f>
      </c>
      <c r="FA400">
        <f>IF(ISBLANK('Data Entry'!$Ý$400), "", 'Data Entry'!$Ý$400)</f>
      </c>
      <c r="FB400">
        <f>IF(ISBLANK('Data Entry'!$Þ$400), "", 'Data Entry'!$Þ$400)</f>
      </c>
      <c r="FC400">
        <f>IF(ISBLANK('Data Entry'!$ß$400), "", 'Data Entry'!$ß$400)</f>
      </c>
      <c r="FD400">
        <f>IF(ISBLANK('Data Entry'!$à$400), "", 'Data Entry'!$à$400)</f>
      </c>
      <c r="FE400">
        <f>IF(ISBLANK('Data Entry'!$á$400), "", 'Data Entry'!$á$400)</f>
      </c>
      <c r="FF400">
        <f>IF(ISBLANK('Data Entry'!$â$400), "", 'Data Entry'!$â$400)</f>
      </c>
      <c r="FG400">
        <f>IF(ISBLANK('Data Entry'!$ã$400), "", 'Data Entry'!$ã$400)</f>
      </c>
      <c r="FH400">
        <f>IF(ISBLANK('Data Entry'!$ä$400), "", 'Data Entry'!$ä$400)</f>
      </c>
      <c r="FI400">
        <f>IF(ISBLANK('Data Entry'!$å$400), "", 'Data Entry'!$å$400)</f>
      </c>
      <c r="FJ400">
        <f>IF(ISBLANK('Data Entry'!$æ$400), "", 'Data Entry'!$æ$400)</f>
      </c>
      <c r="FK400">
        <f>IF(ISBLANK('Data Entry'!$ç$400), "", 'Data Entry'!$ç$400)</f>
      </c>
      <c r="FL400">
        <f>IF(ISBLANK('Data Entry'!$è$400), "", 'Data Entry'!$è$400)</f>
      </c>
      <c r="FM400">
        <f>IF(ISBLANK('Data Entry'!$é$400), "", 'Data Entry'!$é$400)</f>
      </c>
      <c r="FN400">
        <f>IF(ISBLANK('Data Entry'!$ê$400), "", 'Data Entry'!$ê$400)</f>
      </c>
      <c r="FO400">
        <f>IF(ISBLANK('Data Entry'!$ë$400), "", 'Data Entry'!$ë$400)</f>
      </c>
      <c r="FP400">
        <f>IF(ISBLANK('Data Entry'!$ì$400), "", 'Data Entry'!$ì$400)</f>
      </c>
      <c r="FQ400">
        <f>IF(ISBLANK('Data Entry'!$í$400), "", 'Data Entry'!$í$400)</f>
      </c>
      <c r="FR400">
        <f>IF(ISBLANK('Data Entry'!$î$400), "", 'Data Entry'!$î$400)</f>
      </c>
      <c r="FS400">
        <f>IF(ISBLANK('Data Entry'!$ï$400), "", 'Data Entry'!$ï$400)</f>
      </c>
      <c r="FT400">
        <f>IF(ISBLANK('Data Entry'!$ð$400), "", 'Data Entry'!$ð$400)</f>
      </c>
      <c r="FU400">
        <f>IF(ISBLANK('Data Entry'!$ñ$400), "", 'Data Entry'!$ñ$400)</f>
      </c>
      <c r="FV400">
        <f>IF(ISBLANK('Data Entry'!$ò$400), "", 'Data Entry'!$ò$400)</f>
      </c>
      <c r="FW400">
        <f>IF(ISBLANK('Data Entry'!$ó$400), "", 'Data Entry'!$ó$400)</f>
      </c>
      <c r="FX400">
        <f>IF(ISBLANK('Data Entry'!$ô$400), "", 'Data Entry'!$ô$400)</f>
      </c>
      <c r="FY400">
        <f>IF(ISBLANK('Data Entry'!$õ$400), "", 'Data Entry'!$õ$400)</f>
      </c>
      <c r="FZ400">
        <f>IF(ISBLANK('Data Entry'!$ö$400), "", 'Data Entry'!$ö$400)</f>
      </c>
      <c r="GA400">
        <f>IF(ISBLANK('Data Entry'!$÷$400), "", 'Data Entry'!$÷$400)</f>
      </c>
      <c r="GB400">
        <f>IF(ISBLANK('Data Entry'!$ø$400), "", 'Data Entry'!$ø$400)</f>
      </c>
      <c r="GC400">
        <f>IF(ISBLANK('Data Entry'!$ù$400), "", 'Data Entry'!$ù$400)</f>
      </c>
      <c r="GD400">
        <f>IF(ISBLANK('Data Entry'!$ú$400), "", 'Data Entry'!$ú$400)</f>
      </c>
      <c r="GE400">
        <f>IF(ISBLANK('Data Entry'!$û$400), "", 'Data Entry'!$û$400)</f>
      </c>
      <c r="GF400">
        <f>IF(ISBLANK('Data Entry'!$ü$400), "", 'Data Entry'!$ü$400)</f>
      </c>
      <c r="GG400">
        <f>IF(ISBLANK('Data Entry'!$ý$400), "", 'Data Entry'!$ý$400)</f>
      </c>
      <c r="GH400">
        <f>IF(ISBLANK('Data Entry'!$þ$400), "", 'Data Entry'!$þ$400)</f>
      </c>
      <c r="GI400">
        <f>IF(ISBLANK('Data Entry'!$ÿ$400), "", 'Data Entry'!$ÿ$400)</f>
      </c>
      <c r="GJ400">
        <f>IF(ISBLANK('Data Entry'!$Ā$400), "", 'Data Entry'!$Ā$400)</f>
      </c>
      <c r="GK400">
        <f>IF(ISBLANK('Data Entry'!$ā$400), "", 'Data Entry'!$ā$400)</f>
      </c>
      <c r="GL400">
        <f>IF(ISBLANK('Data Entry'!$Ă$400), "", 'Data Entry'!$Ă$400)</f>
      </c>
      <c r="GM400">
        <f>IF(ISBLANK('Data Entry'!$ă$400), "", 'Data Entry'!$ă$400)</f>
      </c>
      <c r="GN400">
        <f>IF(ISBLANK('Data Entry'!$Ą$400), "", 'Data Entry'!$Ą$400)</f>
      </c>
      <c r="GO400">
        <f>IF(ISBLANK('Data Entry'!$ą$400), "", 'Data Entry'!$ą$400)</f>
      </c>
      <c r="GP400">
        <f>IF(ISBLANK('Data Entry'!$Ć$400), "", 'Data Entry'!$Ć$400)</f>
      </c>
      <c r="GQ400">
        <f>IF(ISBLANK('Data Entry'!$ć$400), "", 'Data Entry'!$ć$400)</f>
      </c>
      <c r="GR400">
        <f>IF(ISBLANK('Data Entry'!$Ĉ$400), "", 'Data Entry'!$Ĉ$400)</f>
      </c>
      <c r="GS400">
        <f>IF(ISBLANK('Data Entry'!$ĉ$400), "", 'Data Entry'!$ĉ$400)</f>
      </c>
      <c r="GT400">
        <f>IF(ISBLANK('Data Entry'!$Ċ$400), "", 'Data Entry'!$Ċ$400)</f>
      </c>
      <c r="GU400">
        <f>IF(ISBLANK('Data Entry'!$ċ$400), "", 'Data Entry'!$ċ$400)</f>
      </c>
      <c r="GV400">
        <f>IF(ISBLANK('Data Entry'!$Č$400), "", 'Data Entry'!$Č$400)</f>
      </c>
      <c r="GW400">
        <f>IF(ISBLANK('Data Entry'!$č$400), "", 'Data Entry'!$č$400)</f>
      </c>
      <c r="GX400">
        <f>IF(ISBLANK('Data Entry'!$Ď$400), "", 'Data Entry'!$Ď$400)</f>
      </c>
      <c r="GY400">
        <f>IF(ISBLANK('Data Entry'!$ď$400), "", 'Data Entry'!$ď$400)</f>
      </c>
      <c r="GZ400">
        <f>IF(ISBLANK('Data Entry'!$Đ$400), "", 'Data Entry'!$Đ$400)</f>
      </c>
      <c r="HA400">
        <f>IF(ISBLANK('Data Entry'!$đ$400), "", 'Data Entry'!$đ$400)</f>
      </c>
      <c r="HB400">
        <f>IF(ISBLANK('Data Entry'!$Ē$400), "", 'Data Entry'!$Ē$400)</f>
      </c>
      <c r="HC400">
        <f>IF(ISBLANK('Data Entry'!$ē$400), "", 'Data Entry'!$ē$400)</f>
      </c>
      <c r="HD400">
        <f>IF(ISBLANK('Data Entry'!$Ĕ$400), "", 'Data Entry'!$Ĕ$400)</f>
      </c>
      <c r="HE400">
        <f>IF(ISBLANK('Data Entry'!$ĕ$400), "", 'Data Entry'!$ĕ$400)</f>
      </c>
      <c r="HF400">
        <f>IF(ISBLANK('Data Entry'!$Ė$400), "", 'Data Entry'!$Ė$400)</f>
      </c>
      <c r="HG400">
        <f>IF(ISBLANK('Data Entry'!$ė$400), "", 'Data Entry'!$ė$400)</f>
      </c>
      <c r="HH400">
        <f>IF(ISBLANK('Data Entry'!$Ę$400), "", 'Data Entry'!$Ę$400)</f>
      </c>
      <c r="HI400">
        <f>IF(ISBLANK('Data Entry'!$ę$400), "", 'Data Entry'!$ę$400)</f>
      </c>
      <c r="HJ400">
        <f>IF(ISBLANK('Data Entry'!$Ě$400), "", 'Data Entry'!$Ě$400)</f>
      </c>
      <c r="HK400">
        <f>IF(ISBLANK('Data Entry'!$ě$400), "", 'Data Entry'!$ě$400)</f>
      </c>
      <c r="HL400">
        <f>IF(ISBLANK('Data Entry'!$Ĝ$400), "", 'Data Entry'!$Ĝ$400)</f>
      </c>
      <c r="HM400">
        <f>IF(ISBLANK('Data Entry'!$ĝ$400), "", 'Data Entry'!$ĝ$400)</f>
      </c>
      <c r="HN400">
        <f>IF(ISBLANK('Data Entry'!$Ğ$400), "", 'Data Entry'!$Ğ$400)</f>
      </c>
      <c r="HO400">
        <f>IF(ISBLANK('Data Entry'!$ğ$400), "", 'Data Entry'!$ğ$400)</f>
      </c>
      <c r="HP400">
        <f>IF(ISBLANK('Data Entry'!$Ġ$400), "", 'Data Entry'!$Ġ$400)</f>
      </c>
      <c r="HQ400">
        <f>IF(ISBLANK('Data Entry'!$ġ$400), "", 'Data Entry'!$ġ$400)</f>
      </c>
      <c r="HR400">
        <f>IF(ISBLANK('Data Entry'!$Ģ$400), "", 'Data Entry'!$Ģ$400)</f>
      </c>
      <c r="HS400">
        <f>IF(ISBLANK('Data Entry'!$ģ$400), "", 'Data Entry'!$ģ$400)</f>
      </c>
      <c r="HT400">
        <f>IF(ISBLANK('Data Entry'!$Ĥ$400), "", 'Data Entry'!$Ĥ$400)</f>
      </c>
      <c r="HU400">
        <f>IF(ISBLANK('Data Entry'!$ĥ$400), "", 'Data Entry'!$ĥ$400)</f>
      </c>
      <c r="HV400">
        <f>IF(ISBLANK('Data Entry'!$Ħ$400), "", 'Data Entry'!$Ħ$400)</f>
      </c>
      <c r="HW400">
        <f>IF(ISBLANK('Data Entry'!$ħ$400), "", 'Data Entry'!$ħ$400)</f>
      </c>
      <c r="HX400">
        <f>IF(ISBLANK('Data Entry'!$Ĩ$400), "", 'Data Entry'!$Ĩ$400)</f>
      </c>
      <c r="HY400">
        <f>IF(ISBLANK('Data Entry'!$ĩ$400), "", 'Data Entry'!$ĩ$400)</f>
      </c>
      <c r="HZ400">
        <f>IF(ISBLANK('Data Entry'!$Ī$400), "", 'Data Entry'!$Ī$400)</f>
      </c>
      <c r="IA400">
        <f>IF(ISBLANK('Data Entry'!$ī$400), "", 'Data Entry'!$ī$400)</f>
      </c>
      <c r="IB400">
        <f>IF(ISBLANK('Data Entry'!$Ĭ$400), "", 'Data Entry'!$Ĭ$400)</f>
      </c>
      <c r="IC400">
        <f>IF(ISBLANK('Data Entry'!$ĭ$400), "", 'Data Entry'!$ĭ$400)</f>
      </c>
      <c r="ID400">
        <f>IF(ISBLANK('Data Entry'!$Į$400), "", 'Data Entry'!$Į$400)</f>
      </c>
      <c r="IE400">
        <f>IF(ISBLANK('Data Entry'!$į$400), "", 'Data Entry'!$į$400)</f>
      </c>
      <c r="IF400">
        <f>IF(ISBLANK('Data Entry'!$İ$400), "", 'Data Entry'!$İ$400)</f>
      </c>
      <c r="IG400">
        <f>IF(ISBLANK('Data Entry'!$ı$400), "", 'Data Entry'!$ı$400)</f>
      </c>
      <c r="IH400">
        <f>IF(ISBLANK('Data Entry'!$Ĳ$400), "", 'Data Entry'!$Ĳ$400)</f>
      </c>
      <c r="II400">
        <f>IF(ISBLANK('Data Entry'!$ĳ$400), "", 'Data Entry'!$ĳ$400)</f>
      </c>
      <c r="IJ400">
        <f>IF(ISBLANK('Data Entry'!$Ĵ$400), "", 'Data Entry'!$Ĵ$400)</f>
      </c>
      <c r="IK400">
        <f>IF(ISBLANK('Data Entry'!$ĵ$400), "", 'Data Entry'!$ĵ$400)</f>
      </c>
      <c r="IL400">
        <f>IF(ISBLANK('Data Entry'!$Ķ$400), "", 'Data Entry'!$Ķ$400)</f>
      </c>
      <c r="IM400">
        <f>IF(ISBLANK('Data Entry'!$ķ$400), "", 'Data Entry'!$ķ$400)</f>
      </c>
      <c r="IN400">
        <f>IF(ISBLANK('Data Entry'!$ĸ$400), "", 'Data Entry'!$ĸ$400)</f>
      </c>
      <c r="IO400">
        <f>IF(ISBLANK('Data Entry'!$Ĺ$400), "", 'Data Entry'!$Ĺ$400)</f>
      </c>
      <c r="IP400">
        <f>IF(ISBLANK('Data Entry'!$ĺ$400), "", 'Data Entry'!$ĺ$400)</f>
      </c>
      <c r="IQ400">
        <f>IF(ISBLANK('Data Entry'!$Ļ$400), "", 'Data Entry'!$Ļ$400)</f>
      </c>
      <c r="IR400">
        <f>IF(ISBLANK('Data Entry'!$ļ$400), "", 'Data Entry'!$ļ$400)</f>
      </c>
      <c r="IS400">
        <f>IF(ISBLANK('Data Entry'!$Ľ$400), "", 'Data Entry'!$Ľ$400)</f>
      </c>
      <c r="IT400">
        <f>IF(ISBLANK('Data Entry'!$ľ$400), "", 'Data Entry'!$ľ$400)</f>
      </c>
    </row>
    <row r="401" spans="1:254" x14ac:dyDescent="0.25">
      <c r="A401">
        <f>IF(ISBLANK('Data Entry'!$A$401), "", 'Data Entry'!$A$401)</f>
      </c>
      <c r="B401">
        <f>IF(ISBLANK('Data Entry'!$B$401), "", 'Data Entry'!$B$401)</f>
      </c>
      <c r="C401">
        <f>IF(ISBLANK('Data Entry'!$C$401), "", 'Data Entry'!$C$401)</f>
      </c>
      <c r="D401">
        <f>IF(ISBLANK('Data Entry'!$D$401), "", 'Data Entry'!$D$401)</f>
      </c>
      <c r="E401">
        <f>IF(ISBLANK('Data Entry'!$E$401), "", 'Data Entry'!$E$401)</f>
      </c>
      <c r="F401">
        <f>IF(ISBLANK('Data Entry'!$F$401), "", 'Data Entry'!$F$401)</f>
      </c>
      <c r="G401">
        <f>IF(ISBLANK('Data Entry'!$G$401), "", 'Data Entry'!$G$401)</f>
      </c>
      <c r="H401">
        <f>IF(ISBLANK('Data Entry'!$H$401), "", 'Data Entry'!$H$401)</f>
      </c>
      <c r="I401">
        <f>IF(ISBLANK('Data Entry'!$I$401), "", 'Data Entry'!$I$401)</f>
      </c>
      <c r="J401">
        <f>IF(ISBLANK('Data Entry'!$J$401), "", 'Data Entry'!$J$401)</f>
      </c>
      <c r="K401">
        <f>IF(ISBLANK('Data Entry'!$K$401), "", 'Data Entry'!$K$401)</f>
      </c>
      <c r="L401">
        <f>IF(ISBLANK('Data Entry'!$L$401), "", 'Data Entry'!$L$401)</f>
      </c>
      <c r="M401">
        <f>IF(ISBLANK('Data Entry'!$M$401), "", 'Data Entry'!$M$401)</f>
      </c>
      <c r="N401">
        <f>IF(ISBLANK('Data Entry'!$N$401), "", 'Data Entry'!$N$401)</f>
      </c>
      <c r="O401">
        <f>IF(ISBLANK('Data Entry'!$O$401), "", 'Data Entry'!$O$401)</f>
      </c>
      <c r="P401">
        <f>IF(ISBLANK('Data Entry'!$P$401), "", 'Data Entry'!$P$401)</f>
      </c>
      <c r="Q401">
        <f>IF(ISBLANK('Data Entry'!$Q$401), "", 'Data Entry'!$Q$401)</f>
      </c>
      <c r="R401">
        <f>IF(ISBLANK('Data Entry'!$R$401), "", 'Data Entry'!$R$401)</f>
      </c>
      <c r="S401">
        <f>IF(ISBLANK('Data Entry'!$S$401), "", 'Data Entry'!$S$401)</f>
      </c>
      <c r="T401">
        <f>IF(ISBLANK('Data Entry'!$T$401), "", 'Data Entry'!$T$401)</f>
      </c>
      <c r="U401">
        <f>IF(ISBLANK('Data Entry'!$U$401), "", 'Data Entry'!$U$401)</f>
      </c>
      <c r="V401">
        <f>IF(ISBLANK('Data Entry'!$V$401), "", 'Data Entry'!$V$401)</f>
      </c>
      <c r="W401">
        <f>IF(ISBLANK('Data Entry'!$W$401), "", 'Data Entry'!$W$401)</f>
      </c>
      <c r="X401">
        <f>IF(ISBLANK('Data Entry'!$X$401), "", 'Data Entry'!$X$401)</f>
      </c>
      <c r="Y401">
        <f>IF(ISBLANK('Data Entry'!$Y$401), "", 'Data Entry'!$Y$401)</f>
      </c>
      <c r="Z401">
        <f>IF(ISBLANK('Data Entry'!$Z$401), "", 'Data Entry'!$Z$401)</f>
      </c>
      <c r="AA401">
        <f>IF(ISBLANK('Data Entry'!$[$401), "", 'Data Entry'!$[$401)</f>
      </c>
      <c r="AB401">
        <f>IF(ISBLANK('Data Entry'!$\$401), "", 'Data Entry'!$\$401)</f>
      </c>
      <c r="AC401">
        <f>IF(ISBLANK('Data Entry'!$]$401), "", 'Data Entry'!$]$401)</f>
      </c>
      <c r="AD401">
        <f>IF(ISBLANK('Data Entry'!$^$401), "", 'Data Entry'!$^$401)</f>
      </c>
      <c r="AE401">
        <f>IF(ISBLANK('Data Entry'!$_$401), "", 'Data Entry'!$_$401)</f>
      </c>
      <c r="AF401">
        <f>IF(ISBLANK('Data Entry'!$`$401), "", 'Data Entry'!$`$401)</f>
      </c>
      <c r="AG401">
        <f>IF(ISBLANK('Data Entry'!$a$401), "", 'Data Entry'!$a$401)</f>
      </c>
      <c r="AH401">
        <f>IF(ISBLANK('Data Entry'!$b$401), "", 'Data Entry'!$b$401)</f>
      </c>
      <c r="AI401">
        <f>IF(ISBLANK('Data Entry'!$c$401), "", 'Data Entry'!$c$401)</f>
      </c>
      <c r="AJ401">
        <f>IF(ISBLANK('Data Entry'!$d$401), "", 'Data Entry'!$d$401)</f>
      </c>
      <c r="AK401">
        <f>IF(ISBLANK('Data Entry'!$e$401), "", 'Data Entry'!$e$401)</f>
      </c>
      <c r="AL401">
        <f>IF(ISBLANK('Data Entry'!$f$401), "", 'Data Entry'!$f$401)</f>
      </c>
      <c r="AM401">
        <f>IF(ISBLANK('Data Entry'!$g$401), "", 'Data Entry'!$g$401)</f>
      </c>
      <c r="AN401">
        <f>IF(ISBLANK('Data Entry'!$h$401), "", 'Data Entry'!$h$401)</f>
      </c>
      <c r="AO401">
        <f>IF(ISBLANK('Data Entry'!$i$401), "", 'Data Entry'!$i$401)</f>
      </c>
      <c r="AP401">
        <f>IF(ISBLANK('Data Entry'!$j$401), "", 'Data Entry'!$j$401)</f>
      </c>
      <c r="AQ401">
        <f>IF(ISBLANK('Data Entry'!$k$401), "", 'Data Entry'!$k$401)</f>
      </c>
      <c r="AR401">
        <f>IF(ISBLANK('Data Entry'!$l$401), "", 'Data Entry'!$l$401)</f>
      </c>
      <c r="AS401">
        <f>IF(ISBLANK('Data Entry'!$m$401), "", 'Data Entry'!$m$401)</f>
      </c>
      <c r="AT401">
        <f>IF(ISBLANK('Data Entry'!$n$401), "", 'Data Entry'!$n$401)</f>
      </c>
      <c r="AU401">
        <f>IF(ISBLANK('Data Entry'!$o$401), "", 'Data Entry'!$o$401)</f>
      </c>
      <c r="AV401">
        <f>IF(ISBLANK('Data Entry'!$p$401), "", 'Data Entry'!$p$401)</f>
      </c>
      <c r="AW401">
        <f>IF(ISBLANK('Data Entry'!$q$401), "", 'Data Entry'!$q$401)</f>
      </c>
      <c r="AX401">
        <f>IF(ISBLANK('Data Entry'!$r$401), "", 'Data Entry'!$r$401)</f>
      </c>
      <c r="AY401">
        <f>IF(ISBLANK('Data Entry'!$s$401), "", 'Data Entry'!$s$401)</f>
      </c>
      <c r="AZ401">
        <f>IF(ISBLANK('Data Entry'!$t$401), "", 'Data Entry'!$t$401)</f>
      </c>
      <c r="BA401">
        <f>IF(ISBLANK('Data Entry'!$u$401), "", 'Data Entry'!$u$401)</f>
      </c>
      <c r="BB401">
        <f>IF(ISBLANK('Data Entry'!$v$401), "", 'Data Entry'!$v$401)</f>
      </c>
      <c r="BC401">
        <f>IF(ISBLANK('Data Entry'!$w$401), "", 'Data Entry'!$w$401)</f>
      </c>
      <c r="BD401">
        <f>IF(ISBLANK('Data Entry'!$x$401), "", 'Data Entry'!$x$401)</f>
      </c>
      <c r="BE401">
        <f>IF(ISBLANK('Data Entry'!$y$401), "", 'Data Entry'!$y$401)</f>
      </c>
      <c r="BF401">
        <f>IF(ISBLANK('Data Entry'!$z$401), "", 'Data Entry'!$z$401)</f>
      </c>
      <c r="BG401">
        <f>IF(ISBLANK('Data Entry'!${$401), "", 'Data Entry'!${$401)</f>
      </c>
      <c r="BH401">
        <f>IF(ISBLANK('Data Entry'!$|$401), "", 'Data Entry'!$|$401)</f>
      </c>
      <c r="BI401">
        <f>IF(ISBLANK('Data Entry'!$}$401), "", 'Data Entry'!$}$401)</f>
      </c>
      <c r="BJ401">
        <f>IF(ISBLANK('Data Entry'!$~$401), "", 'Data Entry'!$~$401)</f>
      </c>
      <c r="BK401">
        <f>IF(ISBLANK('Data Entry'!$$401), "", 'Data Entry'!$$401)</f>
      </c>
      <c r="BL401">
        <f>IF(ISBLANK('Data Entry'!$$401), "", 'Data Entry'!$$401)</f>
      </c>
      <c r="BM401">
        <f>IF(ISBLANK('Data Entry'!$$401), "", 'Data Entry'!$$401)</f>
      </c>
      <c r="BN401">
        <f>IF(ISBLANK('Data Entry'!$$401), "", 'Data Entry'!$$401)</f>
      </c>
      <c r="BO401">
        <f>IF(ISBLANK('Data Entry'!$$401), "", 'Data Entry'!$$401)</f>
      </c>
      <c r="BP401">
        <f>IF(ISBLANK('Data Entry'!$$401), "", 'Data Entry'!$$401)</f>
      </c>
      <c r="BQ401">
        <f>IF(ISBLANK('Data Entry'!$$401), "", 'Data Entry'!$$401)</f>
      </c>
      <c r="BR401">
        <f>IF(ISBLANK('Data Entry'!$$401), "", 'Data Entry'!$$401)</f>
      </c>
      <c r="BS401">
        <f>IF(ISBLANK('Data Entry'!$$401), "", 'Data Entry'!$$401)</f>
      </c>
      <c r="BT401">
        <f>IF(ISBLANK('Data Entry'!$$401), "", 'Data Entry'!$$401)</f>
      </c>
      <c r="BU401">
        <f>IF(ISBLANK('Data Entry'!$$401), "", 'Data Entry'!$$401)</f>
      </c>
      <c r="BV401">
        <f>IF(ISBLANK('Data Entry'!$$401), "", 'Data Entry'!$$401)</f>
      </c>
      <c r="BW401">
        <f>IF(ISBLANK('Data Entry'!$$401), "", 'Data Entry'!$$401)</f>
      </c>
      <c r="BX401">
        <f>IF(ISBLANK('Data Entry'!$$401), "", 'Data Entry'!$$401)</f>
      </c>
      <c r="BY401">
        <f>IF(ISBLANK('Data Entry'!$$401), "", 'Data Entry'!$$401)</f>
      </c>
      <c r="BZ401">
        <f>IF(ISBLANK('Data Entry'!$$401), "", 'Data Entry'!$$401)</f>
      </c>
      <c r="CA401">
        <f>IF(ISBLANK('Data Entry'!$$401), "", 'Data Entry'!$$401)</f>
      </c>
      <c r="CB401">
        <f>IF(ISBLANK('Data Entry'!$$401), "", 'Data Entry'!$$401)</f>
      </c>
      <c r="CC401">
        <f>IF(ISBLANK('Data Entry'!$$401), "", 'Data Entry'!$$401)</f>
      </c>
      <c r="CD401">
        <f>IF(ISBLANK('Data Entry'!$$401), "", 'Data Entry'!$$401)</f>
      </c>
      <c r="CE401">
        <f>IF(ISBLANK('Data Entry'!$$401), "", 'Data Entry'!$$401)</f>
      </c>
      <c r="CF401">
        <f>IF(ISBLANK('Data Entry'!$$401), "", 'Data Entry'!$$401)</f>
      </c>
      <c r="CG401">
        <f>IF(ISBLANK('Data Entry'!$$401), "", 'Data Entry'!$$401)</f>
      </c>
      <c r="CH401">
        <f>IF(ISBLANK('Data Entry'!$$401), "", 'Data Entry'!$$401)</f>
      </c>
      <c r="CI401">
        <f>IF(ISBLANK('Data Entry'!$$401), "", 'Data Entry'!$$401)</f>
      </c>
      <c r="CJ401">
        <f>IF(ISBLANK('Data Entry'!$$401), "", 'Data Entry'!$$401)</f>
      </c>
      <c r="CK401">
        <f>IF(ISBLANK('Data Entry'!$$401), "", 'Data Entry'!$$401)</f>
      </c>
      <c r="CL401">
        <f>IF(ISBLANK('Data Entry'!$$401), "", 'Data Entry'!$$401)</f>
      </c>
      <c r="CM401">
        <f>IF(ISBLANK('Data Entry'!$$401), "", 'Data Entry'!$$401)</f>
      </c>
      <c r="CN401">
        <f>IF(ISBLANK('Data Entry'!$$401), "", 'Data Entry'!$$401)</f>
      </c>
      <c r="CO401">
        <f>IF(ISBLANK('Data Entry'!$$401), "", 'Data Entry'!$$401)</f>
      </c>
      <c r="CP401">
        <f>IF(ISBLANK('Data Entry'!$$401), "", 'Data Entry'!$$401)</f>
      </c>
      <c r="CQ401">
        <f>IF(ISBLANK('Data Entry'!$$401), "", 'Data Entry'!$$401)</f>
      </c>
      <c r="CR401">
        <f>IF(ISBLANK('Data Entry'!$ $401), "", 'Data Entry'!$ $401)</f>
      </c>
      <c r="CS401">
        <f>IF(ISBLANK('Data Entry'!$¡$401), "", 'Data Entry'!$¡$401)</f>
      </c>
      <c r="CT401">
        <f>IF(ISBLANK('Data Entry'!$¢$401), "", 'Data Entry'!$¢$401)</f>
      </c>
      <c r="CU401">
        <f>IF(ISBLANK('Data Entry'!$£$401), "", 'Data Entry'!$£$401)</f>
      </c>
      <c r="CV401">
        <f>IF(ISBLANK('Data Entry'!$¤$401), "", 'Data Entry'!$¤$401)</f>
      </c>
      <c r="CW401">
        <f>IF(ISBLANK('Data Entry'!$¥$401), "", 'Data Entry'!$¥$401)</f>
      </c>
      <c r="CX401">
        <f>IF(ISBLANK('Data Entry'!$¦$401), "", 'Data Entry'!$¦$401)</f>
      </c>
      <c r="CY401">
        <f>IF(ISBLANK('Data Entry'!$§$401), "", 'Data Entry'!$§$401)</f>
      </c>
      <c r="CZ401">
        <f>IF(ISBLANK('Data Entry'!$¨$401), "", 'Data Entry'!$¨$401)</f>
      </c>
      <c r="DA401">
        <f>IF(ISBLANK('Data Entry'!$©$401), "", 'Data Entry'!$©$401)</f>
      </c>
      <c r="DB401">
        <f>IF(ISBLANK('Data Entry'!$ª$401), "", 'Data Entry'!$ª$401)</f>
      </c>
      <c r="DC401">
        <f>IF(ISBLANK('Data Entry'!$«$401), "", 'Data Entry'!$«$401)</f>
      </c>
      <c r="DD401">
        <f>IF(ISBLANK('Data Entry'!$¬$401), "", 'Data Entry'!$¬$401)</f>
      </c>
      <c r="DE401">
        <f>IF(ISBLANK('Data Entry'!$­$401), "", 'Data Entry'!$­$401)</f>
      </c>
      <c r="DF401">
        <f>IF(ISBLANK('Data Entry'!$®$401), "", 'Data Entry'!$®$401)</f>
      </c>
      <c r="DG401">
        <f>IF(ISBLANK('Data Entry'!$¯$401), "", 'Data Entry'!$¯$401)</f>
      </c>
      <c r="DH401">
        <f>IF(ISBLANK('Data Entry'!$°$401), "", 'Data Entry'!$°$401)</f>
      </c>
      <c r="DI401">
        <f>IF(ISBLANK('Data Entry'!$±$401), "", 'Data Entry'!$±$401)</f>
      </c>
      <c r="DJ401">
        <f>IF(ISBLANK('Data Entry'!$²$401), "", 'Data Entry'!$²$401)</f>
      </c>
      <c r="DK401">
        <f>IF(ISBLANK('Data Entry'!$³$401), "", 'Data Entry'!$³$401)</f>
      </c>
      <c r="DL401">
        <f>IF(ISBLANK('Data Entry'!$´$401), "", 'Data Entry'!$´$401)</f>
      </c>
      <c r="DM401">
        <f>IF(ISBLANK('Data Entry'!$µ$401), "", 'Data Entry'!$µ$401)</f>
      </c>
      <c r="DN401">
        <f>IF(ISBLANK('Data Entry'!$¶$401), "", 'Data Entry'!$¶$401)</f>
      </c>
      <c r="DO401">
        <f>IF(ISBLANK('Data Entry'!$·$401), "", 'Data Entry'!$·$401)</f>
      </c>
      <c r="DP401">
        <f>IF(ISBLANK('Data Entry'!$¸$401), "", 'Data Entry'!$¸$401)</f>
      </c>
      <c r="DQ401">
        <f>IF(ISBLANK('Data Entry'!$¹$401), "", 'Data Entry'!$¹$401)</f>
      </c>
      <c r="DR401">
        <f>IF(ISBLANK('Data Entry'!$º$401), "", 'Data Entry'!$º$401)</f>
      </c>
      <c r="DS401">
        <f>IF(ISBLANK('Data Entry'!$»$401), "", 'Data Entry'!$»$401)</f>
      </c>
      <c r="DT401">
        <f>IF(ISBLANK('Data Entry'!$¼$401), "", 'Data Entry'!$¼$401)</f>
      </c>
      <c r="DU401">
        <f>IF(ISBLANK('Data Entry'!$½$401), "", 'Data Entry'!$½$401)</f>
      </c>
      <c r="DV401">
        <f>IF(ISBLANK('Data Entry'!$¾$401), "", 'Data Entry'!$¾$401)</f>
      </c>
      <c r="DW401">
        <f>IF(ISBLANK('Data Entry'!$¿$401), "", 'Data Entry'!$¿$401)</f>
      </c>
      <c r="DX401">
        <f>IF(ISBLANK('Data Entry'!$À$401), "", 'Data Entry'!$À$401)</f>
      </c>
      <c r="DY401">
        <f>IF(ISBLANK('Data Entry'!$Á$401), "", 'Data Entry'!$Á$401)</f>
      </c>
      <c r="DZ401">
        <f>IF(ISBLANK('Data Entry'!$Â$401), "", 'Data Entry'!$Â$401)</f>
      </c>
      <c r="EA401">
        <f>IF(ISBLANK('Data Entry'!$Ã$401), "", 'Data Entry'!$Ã$401)</f>
      </c>
      <c r="EB401">
        <f>IF(ISBLANK('Data Entry'!$Ä$401), "", 'Data Entry'!$Ä$401)</f>
      </c>
      <c r="EC401">
        <f>IF(ISBLANK('Data Entry'!$Å$401), "", 'Data Entry'!$Å$401)</f>
      </c>
      <c r="ED401">
        <f>IF(ISBLANK('Data Entry'!$Æ$401), "", 'Data Entry'!$Æ$401)</f>
      </c>
      <c r="EE401">
        <f>IF(ISBLANK('Data Entry'!$Ç$401), "", 'Data Entry'!$Ç$401)</f>
      </c>
      <c r="EF401">
        <f>IF(ISBLANK('Data Entry'!$È$401), "", 'Data Entry'!$È$401)</f>
      </c>
      <c r="EG401">
        <f>IF(ISBLANK('Data Entry'!$É$401), "", 'Data Entry'!$É$401)</f>
      </c>
      <c r="EH401">
        <f>IF(ISBLANK('Data Entry'!$Ê$401), "", 'Data Entry'!$Ê$401)</f>
      </c>
      <c r="EI401">
        <f>IF(ISBLANK('Data Entry'!$Ë$401), "", 'Data Entry'!$Ë$401)</f>
      </c>
      <c r="EJ401">
        <f>IF(ISBLANK('Data Entry'!$Ì$401), "", 'Data Entry'!$Ì$401)</f>
      </c>
      <c r="EK401">
        <f>IF(ISBLANK('Data Entry'!$Í$401), "", 'Data Entry'!$Í$401)</f>
      </c>
      <c r="EL401">
        <f>IF(ISBLANK('Data Entry'!$Î$401), "", 'Data Entry'!$Î$401)</f>
      </c>
      <c r="EM401">
        <f>IF(ISBLANK('Data Entry'!$Ï$401), "", 'Data Entry'!$Ï$401)</f>
      </c>
      <c r="EN401">
        <f>IF(ISBLANK('Data Entry'!$Ð$401), "", 'Data Entry'!$Ð$401)</f>
      </c>
      <c r="EO401">
        <f>IF(ISBLANK('Data Entry'!$Ñ$401), "", 'Data Entry'!$Ñ$401)</f>
      </c>
      <c r="EP401">
        <f>IF(ISBLANK('Data Entry'!$Ò$401), "", 'Data Entry'!$Ò$401)</f>
      </c>
      <c r="EQ401">
        <f>IF(ISBLANK('Data Entry'!$Ó$401), "", 'Data Entry'!$Ó$401)</f>
      </c>
      <c r="ER401">
        <f>IF(ISBLANK('Data Entry'!$Ô$401), "", 'Data Entry'!$Ô$401)</f>
      </c>
      <c r="ES401">
        <f>IF(ISBLANK('Data Entry'!$Õ$401), "", 'Data Entry'!$Õ$401)</f>
      </c>
      <c r="ET401">
        <f>IF(ISBLANK('Data Entry'!$Ö$401), "", 'Data Entry'!$Ö$401)</f>
      </c>
      <c r="EU401">
        <f>IF(ISBLANK('Data Entry'!$×$401), "", 'Data Entry'!$×$401)</f>
      </c>
      <c r="EV401">
        <f>IF(ISBLANK('Data Entry'!$Ø$401), "", 'Data Entry'!$Ø$401)</f>
      </c>
      <c r="EW401">
        <f>IF(ISBLANK('Data Entry'!$Ù$401), "", 'Data Entry'!$Ù$401)</f>
      </c>
      <c r="EX401">
        <f>IF(ISBLANK('Data Entry'!$Ú$401), "", 'Data Entry'!$Ú$401)</f>
      </c>
      <c r="EY401">
        <f>IF(ISBLANK('Data Entry'!$Û$401), "", 'Data Entry'!$Û$401)</f>
      </c>
      <c r="EZ401">
        <f>IF(ISBLANK('Data Entry'!$Ü$401), "", 'Data Entry'!$Ü$401)</f>
      </c>
      <c r="FA401">
        <f>IF(ISBLANK('Data Entry'!$Ý$401), "", 'Data Entry'!$Ý$401)</f>
      </c>
      <c r="FB401">
        <f>IF(ISBLANK('Data Entry'!$Þ$401), "", 'Data Entry'!$Þ$401)</f>
      </c>
      <c r="FC401">
        <f>IF(ISBLANK('Data Entry'!$ß$401), "", 'Data Entry'!$ß$401)</f>
      </c>
      <c r="FD401">
        <f>IF(ISBLANK('Data Entry'!$à$401), "", 'Data Entry'!$à$401)</f>
      </c>
      <c r="FE401">
        <f>IF(ISBLANK('Data Entry'!$á$401), "", 'Data Entry'!$á$401)</f>
      </c>
      <c r="FF401">
        <f>IF(ISBLANK('Data Entry'!$â$401), "", 'Data Entry'!$â$401)</f>
      </c>
      <c r="FG401">
        <f>IF(ISBLANK('Data Entry'!$ã$401), "", 'Data Entry'!$ã$401)</f>
      </c>
      <c r="FH401">
        <f>IF(ISBLANK('Data Entry'!$ä$401), "", 'Data Entry'!$ä$401)</f>
      </c>
      <c r="FI401">
        <f>IF(ISBLANK('Data Entry'!$å$401), "", 'Data Entry'!$å$401)</f>
      </c>
      <c r="FJ401">
        <f>IF(ISBLANK('Data Entry'!$æ$401), "", 'Data Entry'!$æ$401)</f>
      </c>
      <c r="FK401">
        <f>IF(ISBLANK('Data Entry'!$ç$401), "", 'Data Entry'!$ç$401)</f>
      </c>
      <c r="FL401">
        <f>IF(ISBLANK('Data Entry'!$è$401), "", 'Data Entry'!$è$401)</f>
      </c>
      <c r="FM401">
        <f>IF(ISBLANK('Data Entry'!$é$401), "", 'Data Entry'!$é$401)</f>
      </c>
      <c r="FN401">
        <f>IF(ISBLANK('Data Entry'!$ê$401), "", 'Data Entry'!$ê$401)</f>
      </c>
      <c r="FO401">
        <f>IF(ISBLANK('Data Entry'!$ë$401), "", 'Data Entry'!$ë$401)</f>
      </c>
      <c r="FP401">
        <f>IF(ISBLANK('Data Entry'!$ì$401), "", 'Data Entry'!$ì$401)</f>
      </c>
      <c r="FQ401">
        <f>IF(ISBLANK('Data Entry'!$í$401), "", 'Data Entry'!$í$401)</f>
      </c>
      <c r="FR401">
        <f>IF(ISBLANK('Data Entry'!$î$401), "", 'Data Entry'!$î$401)</f>
      </c>
      <c r="FS401">
        <f>IF(ISBLANK('Data Entry'!$ï$401), "", 'Data Entry'!$ï$401)</f>
      </c>
      <c r="FT401">
        <f>IF(ISBLANK('Data Entry'!$ð$401), "", 'Data Entry'!$ð$401)</f>
      </c>
      <c r="FU401">
        <f>IF(ISBLANK('Data Entry'!$ñ$401), "", 'Data Entry'!$ñ$401)</f>
      </c>
      <c r="FV401">
        <f>IF(ISBLANK('Data Entry'!$ò$401), "", 'Data Entry'!$ò$401)</f>
      </c>
      <c r="FW401">
        <f>IF(ISBLANK('Data Entry'!$ó$401), "", 'Data Entry'!$ó$401)</f>
      </c>
      <c r="FX401">
        <f>IF(ISBLANK('Data Entry'!$ô$401), "", 'Data Entry'!$ô$401)</f>
      </c>
      <c r="FY401">
        <f>IF(ISBLANK('Data Entry'!$õ$401), "", 'Data Entry'!$õ$401)</f>
      </c>
      <c r="FZ401">
        <f>IF(ISBLANK('Data Entry'!$ö$401), "", 'Data Entry'!$ö$401)</f>
      </c>
      <c r="GA401">
        <f>IF(ISBLANK('Data Entry'!$÷$401), "", 'Data Entry'!$÷$401)</f>
      </c>
      <c r="GB401">
        <f>IF(ISBLANK('Data Entry'!$ø$401), "", 'Data Entry'!$ø$401)</f>
      </c>
      <c r="GC401">
        <f>IF(ISBLANK('Data Entry'!$ù$401), "", 'Data Entry'!$ù$401)</f>
      </c>
      <c r="GD401">
        <f>IF(ISBLANK('Data Entry'!$ú$401), "", 'Data Entry'!$ú$401)</f>
      </c>
      <c r="GE401">
        <f>IF(ISBLANK('Data Entry'!$û$401), "", 'Data Entry'!$û$401)</f>
      </c>
      <c r="GF401">
        <f>IF(ISBLANK('Data Entry'!$ü$401), "", 'Data Entry'!$ü$401)</f>
      </c>
      <c r="GG401">
        <f>IF(ISBLANK('Data Entry'!$ý$401), "", 'Data Entry'!$ý$401)</f>
      </c>
      <c r="GH401">
        <f>IF(ISBLANK('Data Entry'!$þ$401), "", 'Data Entry'!$þ$401)</f>
      </c>
      <c r="GI401">
        <f>IF(ISBLANK('Data Entry'!$ÿ$401), "", 'Data Entry'!$ÿ$401)</f>
      </c>
      <c r="GJ401">
        <f>IF(ISBLANK('Data Entry'!$Ā$401), "", 'Data Entry'!$Ā$401)</f>
      </c>
      <c r="GK401">
        <f>IF(ISBLANK('Data Entry'!$ā$401), "", 'Data Entry'!$ā$401)</f>
      </c>
      <c r="GL401">
        <f>IF(ISBLANK('Data Entry'!$Ă$401), "", 'Data Entry'!$Ă$401)</f>
      </c>
      <c r="GM401">
        <f>IF(ISBLANK('Data Entry'!$ă$401), "", 'Data Entry'!$ă$401)</f>
      </c>
      <c r="GN401">
        <f>IF(ISBLANK('Data Entry'!$Ą$401), "", 'Data Entry'!$Ą$401)</f>
      </c>
      <c r="GO401">
        <f>IF(ISBLANK('Data Entry'!$ą$401), "", 'Data Entry'!$ą$401)</f>
      </c>
      <c r="GP401">
        <f>IF(ISBLANK('Data Entry'!$Ć$401), "", 'Data Entry'!$Ć$401)</f>
      </c>
      <c r="GQ401">
        <f>IF(ISBLANK('Data Entry'!$ć$401), "", 'Data Entry'!$ć$401)</f>
      </c>
      <c r="GR401">
        <f>IF(ISBLANK('Data Entry'!$Ĉ$401), "", 'Data Entry'!$Ĉ$401)</f>
      </c>
      <c r="GS401">
        <f>IF(ISBLANK('Data Entry'!$ĉ$401), "", 'Data Entry'!$ĉ$401)</f>
      </c>
      <c r="GT401">
        <f>IF(ISBLANK('Data Entry'!$Ċ$401), "", 'Data Entry'!$Ċ$401)</f>
      </c>
      <c r="GU401">
        <f>IF(ISBLANK('Data Entry'!$ċ$401), "", 'Data Entry'!$ċ$401)</f>
      </c>
      <c r="GV401">
        <f>IF(ISBLANK('Data Entry'!$Č$401), "", 'Data Entry'!$Č$401)</f>
      </c>
      <c r="GW401">
        <f>IF(ISBLANK('Data Entry'!$č$401), "", 'Data Entry'!$č$401)</f>
      </c>
      <c r="GX401">
        <f>IF(ISBLANK('Data Entry'!$Ď$401), "", 'Data Entry'!$Ď$401)</f>
      </c>
      <c r="GY401">
        <f>IF(ISBLANK('Data Entry'!$ď$401), "", 'Data Entry'!$ď$401)</f>
      </c>
      <c r="GZ401">
        <f>IF(ISBLANK('Data Entry'!$Đ$401), "", 'Data Entry'!$Đ$401)</f>
      </c>
      <c r="HA401">
        <f>IF(ISBLANK('Data Entry'!$đ$401), "", 'Data Entry'!$đ$401)</f>
      </c>
      <c r="HB401">
        <f>IF(ISBLANK('Data Entry'!$Ē$401), "", 'Data Entry'!$Ē$401)</f>
      </c>
      <c r="HC401">
        <f>IF(ISBLANK('Data Entry'!$ē$401), "", 'Data Entry'!$ē$401)</f>
      </c>
      <c r="HD401">
        <f>IF(ISBLANK('Data Entry'!$Ĕ$401), "", 'Data Entry'!$Ĕ$401)</f>
      </c>
      <c r="HE401">
        <f>IF(ISBLANK('Data Entry'!$ĕ$401), "", 'Data Entry'!$ĕ$401)</f>
      </c>
      <c r="HF401">
        <f>IF(ISBLANK('Data Entry'!$Ė$401), "", 'Data Entry'!$Ė$401)</f>
      </c>
      <c r="HG401">
        <f>IF(ISBLANK('Data Entry'!$ė$401), "", 'Data Entry'!$ė$401)</f>
      </c>
      <c r="HH401">
        <f>IF(ISBLANK('Data Entry'!$Ę$401), "", 'Data Entry'!$Ę$401)</f>
      </c>
      <c r="HI401">
        <f>IF(ISBLANK('Data Entry'!$ę$401), "", 'Data Entry'!$ę$401)</f>
      </c>
      <c r="HJ401">
        <f>IF(ISBLANK('Data Entry'!$Ě$401), "", 'Data Entry'!$Ě$401)</f>
      </c>
      <c r="HK401">
        <f>IF(ISBLANK('Data Entry'!$ě$401), "", 'Data Entry'!$ě$401)</f>
      </c>
      <c r="HL401">
        <f>IF(ISBLANK('Data Entry'!$Ĝ$401), "", 'Data Entry'!$Ĝ$401)</f>
      </c>
      <c r="HM401">
        <f>IF(ISBLANK('Data Entry'!$ĝ$401), "", 'Data Entry'!$ĝ$401)</f>
      </c>
      <c r="HN401">
        <f>IF(ISBLANK('Data Entry'!$Ğ$401), "", 'Data Entry'!$Ğ$401)</f>
      </c>
      <c r="HO401">
        <f>IF(ISBLANK('Data Entry'!$ğ$401), "", 'Data Entry'!$ğ$401)</f>
      </c>
      <c r="HP401">
        <f>IF(ISBLANK('Data Entry'!$Ġ$401), "", 'Data Entry'!$Ġ$401)</f>
      </c>
      <c r="HQ401">
        <f>IF(ISBLANK('Data Entry'!$ġ$401), "", 'Data Entry'!$ġ$401)</f>
      </c>
      <c r="HR401">
        <f>IF(ISBLANK('Data Entry'!$Ģ$401), "", 'Data Entry'!$Ģ$401)</f>
      </c>
      <c r="HS401">
        <f>IF(ISBLANK('Data Entry'!$ģ$401), "", 'Data Entry'!$ģ$401)</f>
      </c>
      <c r="HT401">
        <f>IF(ISBLANK('Data Entry'!$Ĥ$401), "", 'Data Entry'!$Ĥ$401)</f>
      </c>
      <c r="HU401">
        <f>IF(ISBLANK('Data Entry'!$ĥ$401), "", 'Data Entry'!$ĥ$401)</f>
      </c>
      <c r="HV401">
        <f>IF(ISBLANK('Data Entry'!$Ħ$401), "", 'Data Entry'!$Ħ$401)</f>
      </c>
      <c r="HW401">
        <f>IF(ISBLANK('Data Entry'!$ħ$401), "", 'Data Entry'!$ħ$401)</f>
      </c>
      <c r="HX401">
        <f>IF(ISBLANK('Data Entry'!$Ĩ$401), "", 'Data Entry'!$Ĩ$401)</f>
      </c>
      <c r="HY401">
        <f>IF(ISBLANK('Data Entry'!$ĩ$401), "", 'Data Entry'!$ĩ$401)</f>
      </c>
      <c r="HZ401">
        <f>IF(ISBLANK('Data Entry'!$Ī$401), "", 'Data Entry'!$Ī$401)</f>
      </c>
      <c r="IA401">
        <f>IF(ISBLANK('Data Entry'!$ī$401), "", 'Data Entry'!$ī$401)</f>
      </c>
      <c r="IB401">
        <f>IF(ISBLANK('Data Entry'!$Ĭ$401), "", 'Data Entry'!$Ĭ$401)</f>
      </c>
      <c r="IC401">
        <f>IF(ISBLANK('Data Entry'!$ĭ$401), "", 'Data Entry'!$ĭ$401)</f>
      </c>
      <c r="ID401">
        <f>IF(ISBLANK('Data Entry'!$Į$401), "", 'Data Entry'!$Į$401)</f>
      </c>
      <c r="IE401">
        <f>IF(ISBLANK('Data Entry'!$į$401), "", 'Data Entry'!$į$401)</f>
      </c>
      <c r="IF401">
        <f>IF(ISBLANK('Data Entry'!$İ$401), "", 'Data Entry'!$İ$401)</f>
      </c>
      <c r="IG401">
        <f>IF(ISBLANK('Data Entry'!$ı$401), "", 'Data Entry'!$ı$401)</f>
      </c>
      <c r="IH401">
        <f>IF(ISBLANK('Data Entry'!$Ĳ$401), "", 'Data Entry'!$Ĳ$401)</f>
      </c>
      <c r="II401">
        <f>IF(ISBLANK('Data Entry'!$ĳ$401), "", 'Data Entry'!$ĳ$401)</f>
      </c>
      <c r="IJ401">
        <f>IF(ISBLANK('Data Entry'!$Ĵ$401), "", 'Data Entry'!$Ĵ$401)</f>
      </c>
      <c r="IK401">
        <f>IF(ISBLANK('Data Entry'!$ĵ$401), "", 'Data Entry'!$ĵ$401)</f>
      </c>
      <c r="IL401">
        <f>IF(ISBLANK('Data Entry'!$Ķ$401), "", 'Data Entry'!$Ķ$401)</f>
      </c>
      <c r="IM401">
        <f>IF(ISBLANK('Data Entry'!$ķ$401), "", 'Data Entry'!$ķ$401)</f>
      </c>
      <c r="IN401">
        <f>IF(ISBLANK('Data Entry'!$ĸ$401), "", 'Data Entry'!$ĸ$401)</f>
      </c>
      <c r="IO401">
        <f>IF(ISBLANK('Data Entry'!$Ĺ$401), "", 'Data Entry'!$Ĺ$401)</f>
      </c>
      <c r="IP401">
        <f>IF(ISBLANK('Data Entry'!$ĺ$401), "", 'Data Entry'!$ĺ$401)</f>
      </c>
      <c r="IQ401">
        <f>IF(ISBLANK('Data Entry'!$Ļ$401), "", 'Data Entry'!$Ļ$401)</f>
      </c>
      <c r="IR401">
        <f>IF(ISBLANK('Data Entry'!$ļ$401), "", 'Data Entry'!$ļ$401)</f>
      </c>
      <c r="IS401">
        <f>IF(ISBLANK('Data Entry'!$Ľ$401), "", 'Data Entry'!$Ľ$401)</f>
      </c>
      <c r="IT401">
        <f>IF(ISBLANK('Data Entry'!$ľ$401), "", 'Data Entry'!$ľ$401)</f>
      </c>
    </row>
    <row r="402" spans="1:254" x14ac:dyDescent="0.25">
      <c r="A402">
        <f>IF(ISBLANK('Data Entry'!$A$402), "", 'Data Entry'!$A$402)</f>
      </c>
      <c r="B402">
        <f>IF(ISBLANK('Data Entry'!$B$402), "", 'Data Entry'!$B$402)</f>
      </c>
      <c r="C402">
        <f>IF(ISBLANK('Data Entry'!$C$402), "", 'Data Entry'!$C$402)</f>
      </c>
      <c r="D402">
        <f>IF(ISBLANK('Data Entry'!$D$402), "", 'Data Entry'!$D$402)</f>
      </c>
      <c r="E402">
        <f>IF(ISBLANK('Data Entry'!$E$402), "", 'Data Entry'!$E$402)</f>
      </c>
      <c r="F402">
        <f>IF(ISBLANK('Data Entry'!$F$402), "", 'Data Entry'!$F$402)</f>
      </c>
      <c r="G402">
        <f>IF(ISBLANK('Data Entry'!$G$402), "", 'Data Entry'!$G$402)</f>
      </c>
      <c r="H402">
        <f>IF(ISBLANK('Data Entry'!$H$402), "", 'Data Entry'!$H$402)</f>
      </c>
      <c r="I402">
        <f>IF(ISBLANK('Data Entry'!$I$402), "", 'Data Entry'!$I$402)</f>
      </c>
      <c r="J402">
        <f>IF(ISBLANK('Data Entry'!$J$402), "", 'Data Entry'!$J$402)</f>
      </c>
      <c r="K402">
        <f>IF(ISBLANK('Data Entry'!$K$402), "", 'Data Entry'!$K$402)</f>
      </c>
      <c r="L402">
        <f>IF(ISBLANK('Data Entry'!$L$402), "", 'Data Entry'!$L$402)</f>
      </c>
      <c r="M402">
        <f>IF(ISBLANK('Data Entry'!$M$402), "", 'Data Entry'!$M$402)</f>
      </c>
      <c r="N402">
        <f>IF(ISBLANK('Data Entry'!$N$402), "", 'Data Entry'!$N$402)</f>
      </c>
      <c r="O402">
        <f>IF(ISBLANK('Data Entry'!$O$402), "", 'Data Entry'!$O$402)</f>
      </c>
      <c r="P402">
        <f>IF(ISBLANK('Data Entry'!$P$402), "", 'Data Entry'!$P$402)</f>
      </c>
      <c r="Q402">
        <f>IF(ISBLANK('Data Entry'!$Q$402), "", 'Data Entry'!$Q$402)</f>
      </c>
      <c r="R402">
        <f>IF(ISBLANK('Data Entry'!$R$402), "", 'Data Entry'!$R$402)</f>
      </c>
      <c r="S402">
        <f>IF(ISBLANK('Data Entry'!$S$402), "", 'Data Entry'!$S$402)</f>
      </c>
      <c r="T402">
        <f>IF(ISBLANK('Data Entry'!$T$402), "", 'Data Entry'!$T$402)</f>
      </c>
      <c r="U402">
        <f>IF(ISBLANK('Data Entry'!$U$402), "", 'Data Entry'!$U$402)</f>
      </c>
      <c r="V402">
        <f>IF(ISBLANK('Data Entry'!$V$402), "", 'Data Entry'!$V$402)</f>
      </c>
      <c r="W402">
        <f>IF(ISBLANK('Data Entry'!$W$402), "", 'Data Entry'!$W$402)</f>
      </c>
      <c r="X402">
        <f>IF(ISBLANK('Data Entry'!$X$402), "", 'Data Entry'!$X$402)</f>
      </c>
      <c r="Y402">
        <f>IF(ISBLANK('Data Entry'!$Y$402), "", 'Data Entry'!$Y$402)</f>
      </c>
      <c r="Z402">
        <f>IF(ISBLANK('Data Entry'!$Z$402), "", 'Data Entry'!$Z$402)</f>
      </c>
      <c r="AA402">
        <f>IF(ISBLANK('Data Entry'!$[$402), "", 'Data Entry'!$[$402)</f>
      </c>
      <c r="AB402">
        <f>IF(ISBLANK('Data Entry'!$\$402), "", 'Data Entry'!$\$402)</f>
      </c>
      <c r="AC402">
        <f>IF(ISBLANK('Data Entry'!$]$402), "", 'Data Entry'!$]$402)</f>
      </c>
      <c r="AD402">
        <f>IF(ISBLANK('Data Entry'!$^$402), "", 'Data Entry'!$^$402)</f>
      </c>
      <c r="AE402">
        <f>IF(ISBLANK('Data Entry'!$_$402), "", 'Data Entry'!$_$402)</f>
      </c>
      <c r="AF402">
        <f>IF(ISBLANK('Data Entry'!$`$402), "", 'Data Entry'!$`$402)</f>
      </c>
      <c r="AG402">
        <f>IF(ISBLANK('Data Entry'!$a$402), "", 'Data Entry'!$a$402)</f>
      </c>
      <c r="AH402">
        <f>IF(ISBLANK('Data Entry'!$b$402), "", 'Data Entry'!$b$402)</f>
      </c>
      <c r="AI402">
        <f>IF(ISBLANK('Data Entry'!$c$402), "", 'Data Entry'!$c$402)</f>
      </c>
      <c r="AJ402">
        <f>IF(ISBLANK('Data Entry'!$d$402), "", 'Data Entry'!$d$402)</f>
      </c>
      <c r="AK402">
        <f>IF(ISBLANK('Data Entry'!$e$402), "", 'Data Entry'!$e$402)</f>
      </c>
      <c r="AL402">
        <f>IF(ISBLANK('Data Entry'!$f$402), "", 'Data Entry'!$f$402)</f>
      </c>
      <c r="AM402">
        <f>IF(ISBLANK('Data Entry'!$g$402), "", 'Data Entry'!$g$402)</f>
      </c>
      <c r="AN402">
        <f>IF(ISBLANK('Data Entry'!$h$402), "", 'Data Entry'!$h$402)</f>
      </c>
      <c r="AO402">
        <f>IF(ISBLANK('Data Entry'!$i$402), "", 'Data Entry'!$i$402)</f>
      </c>
      <c r="AP402">
        <f>IF(ISBLANK('Data Entry'!$j$402), "", 'Data Entry'!$j$402)</f>
      </c>
      <c r="AQ402">
        <f>IF(ISBLANK('Data Entry'!$k$402), "", 'Data Entry'!$k$402)</f>
      </c>
      <c r="AR402">
        <f>IF(ISBLANK('Data Entry'!$l$402), "", 'Data Entry'!$l$402)</f>
      </c>
      <c r="AS402">
        <f>IF(ISBLANK('Data Entry'!$m$402), "", 'Data Entry'!$m$402)</f>
      </c>
      <c r="AT402">
        <f>IF(ISBLANK('Data Entry'!$n$402), "", 'Data Entry'!$n$402)</f>
      </c>
      <c r="AU402">
        <f>IF(ISBLANK('Data Entry'!$o$402), "", 'Data Entry'!$o$402)</f>
      </c>
      <c r="AV402">
        <f>IF(ISBLANK('Data Entry'!$p$402), "", 'Data Entry'!$p$402)</f>
      </c>
      <c r="AW402">
        <f>IF(ISBLANK('Data Entry'!$q$402), "", 'Data Entry'!$q$402)</f>
      </c>
      <c r="AX402">
        <f>IF(ISBLANK('Data Entry'!$r$402), "", 'Data Entry'!$r$402)</f>
      </c>
      <c r="AY402">
        <f>IF(ISBLANK('Data Entry'!$s$402), "", 'Data Entry'!$s$402)</f>
      </c>
      <c r="AZ402">
        <f>IF(ISBLANK('Data Entry'!$t$402), "", 'Data Entry'!$t$402)</f>
      </c>
      <c r="BA402">
        <f>IF(ISBLANK('Data Entry'!$u$402), "", 'Data Entry'!$u$402)</f>
      </c>
      <c r="BB402">
        <f>IF(ISBLANK('Data Entry'!$v$402), "", 'Data Entry'!$v$402)</f>
      </c>
      <c r="BC402">
        <f>IF(ISBLANK('Data Entry'!$w$402), "", 'Data Entry'!$w$402)</f>
      </c>
      <c r="BD402">
        <f>IF(ISBLANK('Data Entry'!$x$402), "", 'Data Entry'!$x$402)</f>
      </c>
      <c r="BE402">
        <f>IF(ISBLANK('Data Entry'!$y$402), "", 'Data Entry'!$y$402)</f>
      </c>
      <c r="BF402">
        <f>IF(ISBLANK('Data Entry'!$z$402), "", 'Data Entry'!$z$402)</f>
      </c>
      <c r="BG402">
        <f>IF(ISBLANK('Data Entry'!${$402), "", 'Data Entry'!${$402)</f>
      </c>
      <c r="BH402">
        <f>IF(ISBLANK('Data Entry'!$|$402), "", 'Data Entry'!$|$402)</f>
      </c>
      <c r="BI402">
        <f>IF(ISBLANK('Data Entry'!$}$402), "", 'Data Entry'!$}$402)</f>
      </c>
      <c r="BJ402">
        <f>IF(ISBLANK('Data Entry'!$~$402), "", 'Data Entry'!$~$402)</f>
      </c>
      <c r="BK402">
        <f>IF(ISBLANK('Data Entry'!$$402), "", 'Data Entry'!$$402)</f>
      </c>
      <c r="BL402">
        <f>IF(ISBLANK('Data Entry'!$$402), "", 'Data Entry'!$$402)</f>
      </c>
      <c r="BM402">
        <f>IF(ISBLANK('Data Entry'!$$402), "", 'Data Entry'!$$402)</f>
      </c>
      <c r="BN402">
        <f>IF(ISBLANK('Data Entry'!$$402), "", 'Data Entry'!$$402)</f>
      </c>
      <c r="BO402">
        <f>IF(ISBLANK('Data Entry'!$$402), "", 'Data Entry'!$$402)</f>
      </c>
      <c r="BP402">
        <f>IF(ISBLANK('Data Entry'!$$402), "", 'Data Entry'!$$402)</f>
      </c>
      <c r="BQ402">
        <f>IF(ISBLANK('Data Entry'!$$402), "", 'Data Entry'!$$402)</f>
      </c>
      <c r="BR402">
        <f>IF(ISBLANK('Data Entry'!$$402), "", 'Data Entry'!$$402)</f>
      </c>
      <c r="BS402">
        <f>IF(ISBLANK('Data Entry'!$$402), "", 'Data Entry'!$$402)</f>
      </c>
      <c r="BT402">
        <f>IF(ISBLANK('Data Entry'!$$402), "", 'Data Entry'!$$402)</f>
      </c>
      <c r="BU402">
        <f>IF(ISBLANK('Data Entry'!$$402), "", 'Data Entry'!$$402)</f>
      </c>
      <c r="BV402">
        <f>IF(ISBLANK('Data Entry'!$$402), "", 'Data Entry'!$$402)</f>
      </c>
      <c r="BW402">
        <f>IF(ISBLANK('Data Entry'!$$402), "", 'Data Entry'!$$402)</f>
      </c>
      <c r="BX402">
        <f>IF(ISBLANK('Data Entry'!$$402), "", 'Data Entry'!$$402)</f>
      </c>
      <c r="BY402">
        <f>IF(ISBLANK('Data Entry'!$$402), "", 'Data Entry'!$$402)</f>
      </c>
      <c r="BZ402">
        <f>IF(ISBLANK('Data Entry'!$$402), "", 'Data Entry'!$$402)</f>
      </c>
      <c r="CA402">
        <f>IF(ISBLANK('Data Entry'!$$402), "", 'Data Entry'!$$402)</f>
      </c>
      <c r="CB402">
        <f>IF(ISBLANK('Data Entry'!$$402), "", 'Data Entry'!$$402)</f>
      </c>
      <c r="CC402">
        <f>IF(ISBLANK('Data Entry'!$$402), "", 'Data Entry'!$$402)</f>
      </c>
      <c r="CD402">
        <f>IF(ISBLANK('Data Entry'!$$402), "", 'Data Entry'!$$402)</f>
      </c>
      <c r="CE402">
        <f>IF(ISBLANK('Data Entry'!$$402), "", 'Data Entry'!$$402)</f>
      </c>
      <c r="CF402">
        <f>IF(ISBLANK('Data Entry'!$$402), "", 'Data Entry'!$$402)</f>
      </c>
      <c r="CG402">
        <f>IF(ISBLANK('Data Entry'!$$402), "", 'Data Entry'!$$402)</f>
      </c>
      <c r="CH402">
        <f>IF(ISBLANK('Data Entry'!$$402), "", 'Data Entry'!$$402)</f>
      </c>
      <c r="CI402">
        <f>IF(ISBLANK('Data Entry'!$$402), "", 'Data Entry'!$$402)</f>
      </c>
      <c r="CJ402">
        <f>IF(ISBLANK('Data Entry'!$$402), "", 'Data Entry'!$$402)</f>
      </c>
      <c r="CK402">
        <f>IF(ISBLANK('Data Entry'!$$402), "", 'Data Entry'!$$402)</f>
      </c>
      <c r="CL402">
        <f>IF(ISBLANK('Data Entry'!$$402), "", 'Data Entry'!$$402)</f>
      </c>
      <c r="CM402">
        <f>IF(ISBLANK('Data Entry'!$$402), "", 'Data Entry'!$$402)</f>
      </c>
      <c r="CN402">
        <f>IF(ISBLANK('Data Entry'!$$402), "", 'Data Entry'!$$402)</f>
      </c>
      <c r="CO402">
        <f>IF(ISBLANK('Data Entry'!$$402), "", 'Data Entry'!$$402)</f>
      </c>
      <c r="CP402">
        <f>IF(ISBLANK('Data Entry'!$$402), "", 'Data Entry'!$$402)</f>
      </c>
      <c r="CQ402">
        <f>IF(ISBLANK('Data Entry'!$$402), "", 'Data Entry'!$$402)</f>
      </c>
      <c r="CR402">
        <f>IF(ISBLANK('Data Entry'!$ $402), "", 'Data Entry'!$ $402)</f>
      </c>
      <c r="CS402">
        <f>IF(ISBLANK('Data Entry'!$¡$402), "", 'Data Entry'!$¡$402)</f>
      </c>
      <c r="CT402">
        <f>IF(ISBLANK('Data Entry'!$¢$402), "", 'Data Entry'!$¢$402)</f>
      </c>
      <c r="CU402">
        <f>IF(ISBLANK('Data Entry'!$£$402), "", 'Data Entry'!$£$402)</f>
      </c>
      <c r="CV402">
        <f>IF(ISBLANK('Data Entry'!$¤$402), "", 'Data Entry'!$¤$402)</f>
      </c>
      <c r="CW402">
        <f>IF(ISBLANK('Data Entry'!$¥$402), "", 'Data Entry'!$¥$402)</f>
      </c>
      <c r="CX402">
        <f>IF(ISBLANK('Data Entry'!$¦$402), "", 'Data Entry'!$¦$402)</f>
      </c>
      <c r="CY402">
        <f>IF(ISBLANK('Data Entry'!$§$402), "", 'Data Entry'!$§$402)</f>
      </c>
      <c r="CZ402">
        <f>IF(ISBLANK('Data Entry'!$¨$402), "", 'Data Entry'!$¨$402)</f>
      </c>
      <c r="DA402">
        <f>IF(ISBLANK('Data Entry'!$©$402), "", 'Data Entry'!$©$402)</f>
      </c>
      <c r="DB402">
        <f>IF(ISBLANK('Data Entry'!$ª$402), "", 'Data Entry'!$ª$402)</f>
      </c>
      <c r="DC402">
        <f>IF(ISBLANK('Data Entry'!$«$402), "", 'Data Entry'!$«$402)</f>
      </c>
      <c r="DD402">
        <f>IF(ISBLANK('Data Entry'!$¬$402), "", 'Data Entry'!$¬$402)</f>
      </c>
      <c r="DE402">
        <f>IF(ISBLANK('Data Entry'!$­$402), "", 'Data Entry'!$­$402)</f>
      </c>
      <c r="DF402">
        <f>IF(ISBLANK('Data Entry'!$®$402), "", 'Data Entry'!$®$402)</f>
      </c>
      <c r="DG402">
        <f>IF(ISBLANK('Data Entry'!$¯$402), "", 'Data Entry'!$¯$402)</f>
      </c>
      <c r="DH402">
        <f>IF(ISBLANK('Data Entry'!$°$402), "", 'Data Entry'!$°$402)</f>
      </c>
      <c r="DI402">
        <f>IF(ISBLANK('Data Entry'!$±$402), "", 'Data Entry'!$±$402)</f>
      </c>
      <c r="DJ402">
        <f>IF(ISBLANK('Data Entry'!$²$402), "", 'Data Entry'!$²$402)</f>
      </c>
      <c r="DK402">
        <f>IF(ISBLANK('Data Entry'!$³$402), "", 'Data Entry'!$³$402)</f>
      </c>
      <c r="DL402">
        <f>IF(ISBLANK('Data Entry'!$´$402), "", 'Data Entry'!$´$402)</f>
      </c>
      <c r="DM402">
        <f>IF(ISBLANK('Data Entry'!$µ$402), "", 'Data Entry'!$µ$402)</f>
      </c>
      <c r="DN402">
        <f>IF(ISBLANK('Data Entry'!$¶$402), "", 'Data Entry'!$¶$402)</f>
      </c>
      <c r="DO402">
        <f>IF(ISBLANK('Data Entry'!$·$402), "", 'Data Entry'!$·$402)</f>
      </c>
      <c r="DP402">
        <f>IF(ISBLANK('Data Entry'!$¸$402), "", 'Data Entry'!$¸$402)</f>
      </c>
      <c r="DQ402">
        <f>IF(ISBLANK('Data Entry'!$¹$402), "", 'Data Entry'!$¹$402)</f>
      </c>
      <c r="DR402">
        <f>IF(ISBLANK('Data Entry'!$º$402), "", 'Data Entry'!$º$402)</f>
      </c>
      <c r="DS402">
        <f>IF(ISBLANK('Data Entry'!$»$402), "", 'Data Entry'!$»$402)</f>
      </c>
      <c r="DT402">
        <f>IF(ISBLANK('Data Entry'!$¼$402), "", 'Data Entry'!$¼$402)</f>
      </c>
      <c r="DU402">
        <f>IF(ISBLANK('Data Entry'!$½$402), "", 'Data Entry'!$½$402)</f>
      </c>
      <c r="DV402">
        <f>IF(ISBLANK('Data Entry'!$¾$402), "", 'Data Entry'!$¾$402)</f>
      </c>
      <c r="DW402">
        <f>IF(ISBLANK('Data Entry'!$¿$402), "", 'Data Entry'!$¿$402)</f>
      </c>
      <c r="DX402">
        <f>IF(ISBLANK('Data Entry'!$À$402), "", 'Data Entry'!$À$402)</f>
      </c>
      <c r="DY402">
        <f>IF(ISBLANK('Data Entry'!$Á$402), "", 'Data Entry'!$Á$402)</f>
      </c>
      <c r="DZ402">
        <f>IF(ISBLANK('Data Entry'!$Â$402), "", 'Data Entry'!$Â$402)</f>
      </c>
      <c r="EA402">
        <f>IF(ISBLANK('Data Entry'!$Ã$402), "", 'Data Entry'!$Ã$402)</f>
      </c>
      <c r="EB402">
        <f>IF(ISBLANK('Data Entry'!$Ä$402), "", 'Data Entry'!$Ä$402)</f>
      </c>
      <c r="EC402">
        <f>IF(ISBLANK('Data Entry'!$Å$402), "", 'Data Entry'!$Å$402)</f>
      </c>
      <c r="ED402">
        <f>IF(ISBLANK('Data Entry'!$Æ$402), "", 'Data Entry'!$Æ$402)</f>
      </c>
      <c r="EE402">
        <f>IF(ISBLANK('Data Entry'!$Ç$402), "", 'Data Entry'!$Ç$402)</f>
      </c>
      <c r="EF402">
        <f>IF(ISBLANK('Data Entry'!$È$402), "", 'Data Entry'!$È$402)</f>
      </c>
      <c r="EG402">
        <f>IF(ISBLANK('Data Entry'!$É$402), "", 'Data Entry'!$É$402)</f>
      </c>
      <c r="EH402">
        <f>IF(ISBLANK('Data Entry'!$Ê$402), "", 'Data Entry'!$Ê$402)</f>
      </c>
      <c r="EI402">
        <f>IF(ISBLANK('Data Entry'!$Ë$402), "", 'Data Entry'!$Ë$402)</f>
      </c>
      <c r="EJ402">
        <f>IF(ISBLANK('Data Entry'!$Ì$402), "", 'Data Entry'!$Ì$402)</f>
      </c>
      <c r="EK402">
        <f>IF(ISBLANK('Data Entry'!$Í$402), "", 'Data Entry'!$Í$402)</f>
      </c>
      <c r="EL402">
        <f>IF(ISBLANK('Data Entry'!$Î$402), "", 'Data Entry'!$Î$402)</f>
      </c>
      <c r="EM402">
        <f>IF(ISBLANK('Data Entry'!$Ï$402), "", 'Data Entry'!$Ï$402)</f>
      </c>
      <c r="EN402">
        <f>IF(ISBLANK('Data Entry'!$Ð$402), "", 'Data Entry'!$Ð$402)</f>
      </c>
      <c r="EO402">
        <f>IF(ISBLANK('Data Entry'!$Ñ$402), "", 'Data Entry'!$Ñ$402)</f>
      </c>
      <c r="EP402">
        <f>IF(ISBLANK('Data Entry'!$Ò$402), "", 'Data Entry'!$Ò$402)</f>
      </c>
      <c r="EQ402">
        <f>IF(ISBLANK('Data Entry'!$Ó$402), "", 'Data Entry'!$Ó$402)</f>
      </c>
      <c r="ER402">
        <f>IF(ISBLANK('Data Entry'!$Ô$402), "", 'Data Entry'!$Ô$402)</f>
      </c>
      <c r="ES402">
        <f>IF(ISBLANK('Data Entry'!$Õ$402), "", 'Data Entry'!$Õ$402)</f>
      </c>
      <c r="ET402">
        <f>IF(ISBLANK('Data Entry'!$Ö$402), "", 'Data Entry'!$Ö$402)</f>
      </c>
      <c r="EU402">
        <f>IF(ISBLANK('Data Entry'!$×$402), "", 'Data Entry'!$×$402)</f>
      </c>
      <c r="EV402">
        <f>IF(ISBLANK('Data Entry'!$Ø$402), "", 'Data Entry'!$Ø$402)</f>
      </c>
      <c r="EW402">
        <f>IF(ISBLANK('Data Entry'!$Ù$402), "", 'Data Entry'!$Ù$402)</f>
      </c>
      <c r="EX402">
        <f>IF(ISBLANK('Data Entry'!$Ú$402), "", 'Data Entry'!$Ú$402)</f>
      </c>
      <c r="EY402">
        <f>IF(ISBLANK('Data Entry'!$Û$402), "", 'Data Entry'!$Û$402)</f>
      </c>
      <c r="EZ402">
        <f>IF(ISBLANK('Data Entry'!$Ü$402), "", 'Data Entry'!$Ü$402)</f>
      </c>
      <c r="FA402">
        <f>IF(ISBLANK('Data Entry'!$Ý$402), "", 'Data Entry'!$Ý$402)</f>
      </c>
      <c r="FB402">
        <f>IF(ISBLANK('Data Entry'!$Þ$402), "", 'Data Entry'!$Þ$402)</f>
      </c>
      <c r="FC402">
        <f>IF(ISBLANK('Data Entry'!$ß$402), "", 'Data Entry'!$ß$402)</f>
      </c>
      <c r="FD402">
        <f>IF(ISBLANK('Data Entry'!$à$402), "", 'Data Entry'!$à$402)</f>
      </c>
      <c r="FE402">
        <f>IF(ISBLANK('Data Entry'!$á$402), "", 'Data Entry'!$á$402)</f>
      </c>
      <c r="FF402">
        <f>IF(ISBLANK('Data Entry'!$â$402), "", 'Data Entry'!$â$402)</f>
      </c>
      <c r="FG402">
        <f>IF(ISBLANK('Data Entry'!$ã$402), "", 'Data Entry'!$ã$402)</f>
      </c>
      <c r="FH402">
        <f>IF(ISBLANK('Data Entry'!$ä$402), "", 'Data Entry'!$ä$402)</f>
      </c>
      <c r="FI402">
        <f>IF(ISBLANK('Data Entry'!$å$402), "", 'Data Entry'!$å$402)</f>
      </c>
      <c r="FJ402">
        <f>IF(ISBLANK('Data Entry'!$æ$402), "", 'Data Entry'!$æ$402)</f>
      </c>
      <c r="FK402">
        <f>IF(ISBLANK('Data Entry'!$ç$402), "", 'Data Entry'!$ç$402)</f>
      </c>
      <c r="FL402">
        <f>IF(ISBLANK('Data Entry'!$è$402), "", 'Data Entry'!$è$402)</f>
      </c>
      <c r="FM402">
        <f>IF(ISBLANK('Data Entry'!$é$402), "", 'Data Entry'!$é$402)</f>
      </c>
      <c r="FN402">
        <f>IF(ISBLANK('Data Entry'!$ê$402), "", 'Data Entry'!$ê$402)</f>
      </c>
      <c r="FO402">
        <f>IF(ISBLANK('Data Entry'!$ë$402), "", 'Data Entry'!$ë$402)</f>
      </c>
      <c r="FP402">
        <f>IF(ISBLANK('Data Entry'!$ì$402), "", 'Data Entry'!$ì$402)</f>
      </c>
      <c r="FQ402">
        <f>IF(ISBLANK('Data Entry'!$í$402), "", 'Data Entry'!$í$402)</f>
      </c>
      <c r="FR402">
        <f>IF(ISBLANK('Data Entry'!$î$402), "", 'Data Entry'!$î$402)</f>
      </c>
      <c r="FS402">
        <f>IF(ISBLANK('Data Entry'!$ï$402), "", 'Data Entry'!$ï$402)</f>
      </c>
      <c r="FT402">
        <f>IF(ISBLANK('Data Entry'!$ð$402), "", 'Data Entry'!$ð$402)</f>
      </c>
      <c r="FU402">
        <f>IF(ISBLANK('Data Entry'!$ñ$402), "", 'Data Entry'!$ñ$402)</f>
      </c>
      <c r="FV402">
        <f>IF(ISBLANK('Data Entry'!$ò$402), "", 'Data Entry'!$ò$402)</f>
      </c>
      <c r="FW402">
        <f>IF(ISBLANK('Data Entry'!$ó$402), "", 'Data Entry'!$ó$402)</f>
      </c>
      <c r="FX402">
        <f>IF(ISBLANK('Data Entry'!$ô$402), "", 'Data Entry'!$ô$402)</f>
      </c>
      <c r="FY402">
        <f>IF(ISBLANK('Data Entry'!$õ$402), "", 'Data Entry'!$õ$402)</f>
      </c>
      <c r="FZ402">
        <f>IF(ISBLANK('Data Entry'!$ö$402), "", 'Data Entry'!$ö$402)</f>
      </c>
      <c r="GA402">
        <f>IF(ISBLANK('Data Entry'!$÷$402), "", 'Data Entry'!$÷$402)</f>
      </c>
      <c r="GB402">
        <f>IF(ISBLANK('Data Entry'!$ø$402), "", 'Data Entry'!$ø$402)</f>
      </c>
      <c r="GC402">
        <f>IF(ISBLANK('Data Entry'!$ù$402), "", 'Data Entry'!$ù$402)</f>
      </c>
      <c r="GD402">
        <f>IF(ISBLANK('Data Entry'!$ú$402), "", 'Data Entry'!$ú$402)</f>
      </c>
      <c r="GE402">
        <f>IF(ISBLANK('Data Entry'!$û$402), "", 'Data Entry'!$û$402)</f>
      </c>
      <c r="GF402">
        <f>IF(ISBLANK('Data Entry'!$ü$402), "", 'Data Entry'!$ü$402)</f>
      </c>
      <c r="GG402">
        <f>IF(ISBLANK('Data Entry'!$ý$402), "", 'Data Entry'!$ý$402)</f>
      </c>
      <c r="GH402">
        <f>IF(ISBLANK('Data Entry'!$þ$402), "", 'Data Entry'!$þ$402)</f>
      </c>
      <c r="GI402">
        <f>IF(ISBLANK('Data Entry'!$ÿ$402), "", 'Data Entry'!$ÿ$402)</f>
      </c>
      <c r="GJ402">
        <f>IF(ISBLANK('Data Entry'!$Ā$402), "", 'Data Entry'!$Ā$402)</f>
      </c>
      <c r="GK402">
        <f>IF(ISBLANK('Data Entry'!$ā$402), "", 'Data Entry'!$ā$402)</f>
      </c>
      <c r="GL402">
        <f>IF(ISBLANK('Data Entry'!$Ă$402), "", 'Data Entry'!$Ă$402)</f>
      </c>
      <c r="GM402">
        <f>IF(ISBLANK('Data Entry'!$ă$402), "", 'Data Entry'!$ă$402)</f>
      </c>
      <c r="GN402">
        <f>IF(ISBLANK('Data Entry'!$Ą$402), "", 'Data Entry'!$Ą$402)</f>
      </c>
      <c r="GO402">
        <f>IF(ISBLANK('Data Entry'!$ą$402), "", 'Data Entry'!$ą$402)</f>
      </c>
      <c r="GP402">
        <f>IF(ISBLANK('Data Entry'!$Ć$402), "", 'Data Entry'!$Ć$402)</f>
      </c>
      <c r="GQ402">
        <f>IF(ISBLANK('Data Entry'!$ć$402), "", 'Data Entry'!$ć$402)</f>
      </c>
      <c r="GR402">
        <f>IF(ISBLANK('Data Entry'!$Ĉ$402), "", 'Data Entry'!$Ĉ$402)</f>
      </c>
      <c r="GS402">
        <f>IF(ISBLANK('Data Entry'!$ĉ$402), "", 'Data Entry'!$ĉ$402)</f>
      </c>
      <c r="GT402">
        <f>IF(ISBLANK('Data Entry'!$Ċ$402), "", 'Data Entry'!$Ċ$402)</f>
      </c>
      <c r="GU402">
        <f>IF(ISBLANK('Data Entry'!$ċ$402), "", 'Data Entry'!$ċ$402)</f>
      </c>
      <c r="GV402">
        <f>IF(ISBLANK('Data Entry'!$Č$402), "", 'Data Entry'!$Č$402)</f>
      </c>
      <c r="GW402">
        <f>IF(ISBLANK('Data Entry'!$č$402), "", 'Data Entry'!$č$402)</f>
      </c>
      <c r="GX402">
        <f>IF(ISBLANK('Data Entry'!$Ď$402), "", 'Data Entry'!$Ď$402)</f>
      </c>
      <c r="GY402">
        <f>IF(ISBLANK('Data Entry'!$ď$402), "", 'Data Entry'!$ď$402)</f>
      </c>
      <c r="GZ402">
        <f>IF(ISBLANK('Data Entry'!$Đ$402), "", 'Data Entry'!$Đ$402)</f>
      </c>
      <c r="HA402">
        <f>IF(ISBLANK('Data Entry'!$đ$402), "", 'Data Entry'!$đ$402)</f>
      </c>
      <c r="HB402">
        <f>IF(ISBLANK('Data Entry'!$Ē$402), "", 'Data Entry'!$Ē$402)</f>
      </c>
      <c r="HC402">
        <f>IF(ISBLANK('Data Entry'!$ē$402), "", 'Data Entry'!$ē$402)</f>
      </c>
      <c r="HD402">
        <f>IF(ISBLANK('Data Entry'!$Ĕ$402), "", 'Data Entry'!$Ĕ$402)</f>
      </c>
      <c r="HE402">
        <f>IF(ISBLANK('Data Entry'!$ĕ$402), "", 'Data Entry'!$ĕ$402)</f>
      </c>
      <c r="HF402">
        <f>IF(ISBLANK('Data Entry'!$Ė$402), "", 'Data Entry'!$Ė$402)</f>
      </c>
      <c r="HG402">
        <f>IF(ISBLANK('Data Entry'!$ė$402), "", 'Data Entry'!$ė$402)</f>
      </c>
      <c r="HH402">
        <f>IF(ISBLANK('Data Entry'!$Ę$402), "", 'Data Entry'!$Ę$402)</f>
      </c>
      <c r="HI402">
        <f>IF(ISBLANK('Data Entry'!$ę$402), "", 'Data Entry'!$ę$402)</f>
      </c>
      <c r="HJ402">
        <f>IF(ISBLANK('Data Entry'!$Ě$402), "", 'Data Entry'!$Ě$402)</f>
      </c>
      <c r="HK402">
        <f>IF(ISBLANK('Data Entry'!$ě$402), "", 'Data Entry'!$ě$402)</f>
      </c>
      <c r="HL402">
        <f>IF(ISBLANK('Data Entry'!$Ĝ$402), "", 'Data Entry'!$Ĝ$402)</f>
      </c>
      <c r="HM402">
        <f>IF(ISBLANK('Data Entry'!$ĝ$402), "", 'Data Entry'!$ĝ$402)</f>
      </c>
      <c r="HN402">
        <f>IF(ISBLANK('Data Entry'!$Ğ$402), "", 'Data Entry'!$Ğ$402)</f>
      </c>
      <c r="HO402">
        <f>IF(ISBLANK('Data Entry'!$ğ$402), "", 'Data Entry'!$ğ$402)</f>
      </c>
      <c r="HP402">
        <f>IF(ISBLANK('Data Entry'!$Ġ$402), "", 'Data Entry'!$Ġ$402)</f>
      </c>
      <c r="HQ402">
        <f>IF(ISBLANK('Data Entry'!$ġ$402), "", 'Data Entry'!$ġ$402)</f>
      </c>
      <c r="HR402">
        <f>IF(ISBLANK('Data Entry'!$Ģ$402), "", 'Data Entry'!$Ģ$402)</f>
      </c>
      <c r="HS402">
        <f>IF(ISBLANK('Data Entry'!$ģ$402), "", 'Data Entry'!$ģ$402)</f>
      </c>
      <c r="HT402">
        <f>IF(ISBLANK('Data Entry'!$Ĥ$402), "", 'Data Entry'!$Ĥ$402)</f>
      </c>
      <c r="HU402">
        <f>IF(ISBLANK('Data Entry'!$ĥ$402), "", 'Data Entry'!$ĥ$402)</f>
      </c>
      <c r="HV402">
        <f>IF(ISBLANK('Data Entry'!$Ħ$402), "", 'Data Entry'!$Ħ$402)</f>
      </c>
      <c r="HW402">
        <f>IF(ISBLANK('Data Entry'!$ħ$402), "", 'Data Entry'!$ħ$402)</f>
      </c>
      <c r="HX402">
        <f>IF(ISBLANK('Data Entry'!$Ĩ$402), "", 'Data Entry'!$Ĩ$402)</f>
      </c>
      <c r="HY402">
        <f>IF(ISBLANK('Data Entry'!$ĩ$402), "", 'Data Entry'!$ĩ$402)</f>
      </c>
      <c r="HZ402">
        <f>IF(ISBLANK('Data Entry'!$Ī$402), "", 'Data Entry'!$Ī$402)</f>
      </c>
      <c r="IA402">
        <f>IF(ISBLANK('Data Entry'!$ī$402), "", 'Data Entry'!$ī$402)</f>
      </c>
      <c r="IB402">
        <f>IF(ISBLANK('Data Entry'!$Ĭ$402), "", 'Data Entry'!$Ĭ$402)</f>
      </c>
      <c r="IC402">
        <f>IF(ISBLANK('Data Entry'!$ĭ$402), "", 'Data Entry'!$ĭ$402)</f>
      </c>
      <c r="ID402">
        <f>IF(ISBLANK('Data Entry'!$Į$402), "", 'Data Entry'!$Į$402)</f>
      </c>
      <c r="IE402">
        <f>IF(ISBLANK('Data Entry'!$į$402), "", 'Data Entry'!$į$402)</f>
      </c>
      <c r="IF402">
        <f>IF(ISBLANK('Data Entry'!$İ$402), "", 'Data Entry'!$İ$402)</f>
      </c>
      <c r="IG402">
        <f>IF(ISBLANK('Data Entry'!$ı$402), "", 'Data Entry'!$ı$402)</f>
      </c>
      <c r="IH402">
        <f>IF(ISBLANK('Data Entry'!$Ĳ$402), "", 'Data Entry'!$Ĳ$402)</f>
      </c>
      <c r="II402">
        <f>IF(ISBLANK('Data Entry'!$ĳ$402), "", 'Data Entry'!$ĳ$402)</f>
      </c>
      <c r="IJ402">
        <f>IF(ISBLANK('Data Entry'!$Ĵ$402), "", 'Data Entry'!$Ĵ$402)</f>
      </c>
      <c r="IK402">
        <f>IF(ISBLANK('Data Entry'!$ĵ$402), "", 'Data Entry'!$ĵ$402)</f>
      </c>
      <c r="IL402">
        <f>IF(ISBLANK('Data Entry'!$Ķ$402), "", 'Data Entry'!$Ķ$402)</f>
      </c>
      <c r="IM402">
        <f>IF(ISBLANK('Data Entry'!$ķ$402), "", 'Data Entry'!$ķ$402)</f>
      </c>
      <c r="IN402">
        <f>IF(ISBLANK('Data Entry'!$ĸ$402), "", 'Data Entry'!$ĸ$402)</f>
      </c>
      <c r="IO402">
        <f>IF(ISBLANK('Data Entry'!$Ĺ$402), "", 'Data Entry'!$Ĺ$402)</f>
      </c>
      <c r="IP402">
        <f>IF(ISBLANK('Data Entry'!$ĺ$402), "", 'Data Entry'!$ĺ$402)</f>
      </c>
      <c r="IQ402">
        <f>IF(ISBLANK('Data Entry'!$Ļ$402), "", 'Data Entry'!$Ļ$402)</f>
      </c>
      <c r="IR402">
        <f>IF(ISBLANK('Data Entry'!$ļ$402), "", 'Data Entry'!$ļ$402)</f>
      </c>
      <c r="IS402">
        <f>IF(ISBLANK('Data Entry'!$Ľ$402), "", 'Data Entry'!$Ľ$402)</f>
      </c>
      <c r="IT402">
        <f>IF(ISBLANK('Data Entry'!$ľ$402), "", 'Data Entry'!$ľ$402)</f>
      </c>
    </row>
    <row r="403" spans="1:254" x14ac:dyDescent="0.25">
      <c r="A403">
        <f>IF(ISBLANK('Data Entry'!$A$403), "", 'Data Entry'!$A$403)</f>
      </c>
      <c r="B403">
        <f>IF(ISBLANK('Data Entry'!$B$403), "", 'Data Entry'!$B$403)</f>
      </c>
      <c r="C403">
        <f>IF(ISBLANK('Data Entry'!$C$403), "", 'Data Entry'!$C$403)</f>
      </c>
      <c r="D403">
        <f>IF(ISBLANK('Data Entry'!$D$403), "", 'Data Entry'!$D$403)</f>
      </c>
      <c r="E403">
        <f>IF(ISBLANK('Data Entry'!$E$403), "", 'Data Entry'!$E$403)</f>
      </c>
      <c r="F403">
        <f>IF(ISBLANK('Data Entry'!$F$403), "", 'Data Entry'!$F$403)</f>
      </c>
      <c r="G403">
        <f>IF(ISBLANK('Data Entry'!$G$403), "", 'Data Entry'!$G$403)</f>
      </c>
      <c r="H403">
        <f>IF(ISBLANK('Data Entry'!$H$403), "", 'Data Entry'!$H$403)</f>
      </c>
      <c r="I403">
        <f>IF(ISBLANK('Data Entry'!$I$403), "", 'Data Entry'!$I$403)</f>
      </c>
      <c r="J403">
        <f>IF(ISBLANK('Data Entry'!$J$403), "", 'Data Entry'!$J$403)</f>
      </c>
      <c r="K403">
        <f>IF(ISBLANK('Data Entry'!$K$403), "", 'Data Entry'!$K$403)</f>
      </c>
      <c r="L403">
        <f>IF(ISBLANK('Data Entry'!$L$403), "", 'Data Entry'!$L$403)</f>
      </c>
      <c r="M403">
        <f>IF(ISBLANK('Data Entry'!$M$403), "", 'Data Entry'!$M$403)</f>
      </c>
      <c r="N403">
        <f>IF(ISBLANK('Data Entry'!$N$403), "", 'Data Entry'!$N$403)</f>
      </c>
      <c r="O403">
        <f>IF(ISBLANK('Data Entry'!$O$403), "", 'Data Entry'!$O$403)</f>
      </c>
      <c r="P403">
        <f>IF(ISBLANK('Data Entry'!$P$403), "", 'Data Entry'!$P$403)</f>
      </c>
      <c r="Q403">
        <f>IF(ISBLANK('Data Entry'!$Q$403), "", 'Data Entry'!$Q$403)</f>
      </c>
      <c r="R403">
        <f>IF(ISBLANK('Data Entry'!$R$403), "", 'Data Entry'!$R$403)</f>
      </c>
      <c r="S403">
        <f>IF(ISBLANK('Data Entry'!$S$403), "", 'Data Entry'!$S$403)</f>
      </c>
      <c r="T403">
        <f>IF(ISBLANK('Data Entry'!$T$403), "", 'Data Entry'!$T$403)</f>
      </c>
      <c r="U403">
        <f>IF(ISBLANK('Data Entry'!$U$403), "", 'Data Entry'!$U$403)</f>
      </c>
      <c r="V403">
        <f>IF(ISBLANK('Data Entry'!$V$403), "", 'Data Entry'!$V$403)</f>
      </c>
      <c r="W403">
        <f>IF(ISBLANK('Data Entry'!$W$403), "", 'Data Entry'!$W$403)</f>
      </c>
      <c r="X403">
        <f>IF(ISBLANK('Data Entry'!$X$403), "", 'Data Entry'!$X$403)</f>
      </c>
      <c r="Y403">
        <f>IF(ISBLANK('Data Entry'!$Y$403), "", 'Data Entry'!$Y$403)</f>
      </c>
      <c r="Z403">
        <f>IF(ISBLANK('Data Entry'!$Z$403), "", 'Data Entry'!$Z$403)</f>
      </c>
      <c r="AA403">
        <f>IF(ISBLANK('Data Entry'!$[$403), "", 'Data Entry'!$[$403)</f>
      </c>
      <c r="AB403">
        <f>IF(ISBLANK('Data Entry'!$\$403), "", 'Data Entry'!$\$403)</f>
      </c>
      <c r="AC403">
        <f>IF(ISBLANK('Data Entry'!$]$403), "", 'Data Entry'!$]$403)</f>
      </c>
      <c r="AD403">
        <f>IF(ISBLANK('Data Entry'!$^$403), "", 'Data Entry'!$^$403)</f>
      </c>
      <c r="AE403">
        <f>IF(ISBLANK('Data Entry'!$_$403), "", 'Data Entry'!$_$403)</f>
      </c>
      <c r="AF403">
        <f>IF(ISBLANK('Data Entry'!$`$403), "", 'Data Entry'!$`$403)</f>
      </c>
      <c r="AG403">
        <f>IF(ISBLANK('Data Entry'!$a$403), "", 'Data Entry'!$a$403)</f>
      </c>
      <c r="AH403">
        <f>IF(ISBLANK('Data Entry'!$b$403), "", 'Data Entry'!$b$403)</f>
      </c>
      <c r="AI403">
        <f>IF(ISBLANK('Data Entry'!$c$403), "", 'Data Entry'!$c$403)</f>
      </c>
      <c r="AJ403">
        <f>IF(ISBLANK('Data Entry'!$d$403), "", 'Data Entry'!$d$403)</f>
      </c>
      <c r="AK403">
        <f>IF(ISBLANK('Data Entry'!$e$403), "", 'Data Entry'!$e$403)</f>
      </c>
      <c r="AL403">
        <f>IF(ISBLANK('Data Entry'!$f$403), "", 'Data Entry'!$f$403)</f>
      </c>
      <c r="AM403">
        <f>IF(ISBLANK('Data Entry'!$g$403), "", 'Data Entry'!$g$403)</f>
      </c>
      <c r="AN403">
        <f>IF(ISBLANK('Data Entry'!$h$403), "", 'Data Entry'!$h$403)</f>
      </c>
      <c r="AO403">
        <f>IF(ISBLANK('Data Entry'!$i$403), "", 'Data Entry'!$i$403)</f>
      </c>
      <c r="AP403">
        <f>IF(ISBLANK('Data Entry'!$j$403), "", 'Data Entry'!$j$403)</f>
      </c>
      <c r="AQ403">
        <f>IF(ISBLANK('Data Entry'!$k$403), "", 'Data Entry'!$k$403)</f>
      </c>
      <c r="AR403">
        <f>IF(ISBLANK('Data Entry'!$l$403), "", 'Data Entry'!$l$403)</f>
      </c>
      <c r="AS403">
        <f>IF(ISBLANK('Data Entry'!$m$403), "", 'Data Entry'!$m$403)</f>
      </c>
      <c r="AT403">
        <f>IF(ISBLANK('Data Entry'!$n$403), "", 'Data Entry'!$n$403)</f>
      </c>
      <c r="AU403">
        <f>IF(ISBLANK('Data Entry'!$o$403), "", 'Data Entry'!$o$403)</f>
      </c>
      <c r="AV403">
        <f>IF(ISBLANK('Data Entry'!$p$403), "", 'Data Entry'!$p$403)</f>
      </c>
      <c r="AW403">
        <f>IF(ISBLANK('Data Entry'!$q$403), "", 'Data Entry'!$q$403)</f>
      </c>
      <c r="AX403">
        <f>IF(ISBLANK('Data Entry'!$r$403), "", 'Data Entry'!$r$403)</f>
      </c>
      <c r="AY403">
        <f>IF(ISBLANK('Data Entry'!$s$403), "", 'Data Entry'!$s$403)</f>
      </c>
      <c r="AZ403">
        <f>IF(ISBLANK('Data Entry'!$t$403), "", 'Data Entry'!$t$403)</f>
      </c>
      <c r="BA403">
        <f>IF(ISBLANK('Data Entry'!$u$403), "", 'Data Entry'!$u$403)</f>
      </c>
      <c r="BB403">
        <f>IF(ISBLANK('Data Entry'!$v$403), "", 'Data Entry'!$v$403)</f>
      </c>
      <c r="BC403">
        <f>IF(ISBLANK('Data Entry'!$w$403), "", 'Data Entry'!$w$403)</f>
      </c>
      <c r="BD403">
        <f>IF(ISBLANK('Data Entry'!$x$403), "", 'Data Entry'!$x$403)</f>
      </c>
      <c r="BE403">
        <f>IF(ISBLANK('Data Entry'!$y$403), "", 'Data Entry'!$y$403)</f>
      </c>
      <c r="BF403">
        <f>IF(ISBLANK('Data Entry'!$z$403), "", 'Data Entry'!$z$403)</f>
      </c>
      <c r="BG403">
        <f>IF(ISBLANK('Data Entry'!${$403), "", 'Data Entry'!${$403)</f>
      </c>
      <c r="BH403">
        <f>IF(ISBLANK('Data Entry'!$|$403), "", 'Data Entry'!$|$403)</f>
      </c>
      <c r="BI403">
        <f>IF(ISBLANK('Data Entry'!$}$403), "", 'Data Entry'!$}$403)</f>
      </c>
      <c r="BJ403">
        <f>IF(ISBLANK('Data Entry'!$~$403), "", 'Data Entry'!$~$403)</f>
      </c>
      <c r="BK403">
        <f>IF(ISBLANK('Data Entry'!$$403), "", 'Data Entry'!$$403)</f>
      </c>
      <c r="BL403">
        <f>IF(ISBLANK('Data Entry'!$$403), "", 'Data Entry'!$$403)</f>
      </c>
      <c r="BM403">
        <f>IF(ISBLANK('Data Entry'!$$403), "", 'Data Entry'!$$403)</f>
      </c>
      <c r="BN403">
        <f>IF(ISBLANK('Data Entry'!$$403), "", 'Data Entry'!$$403)</f>
      </c>
      <c r="BO403">
        <f>IF(ISBLANK('Data Entry'!$$403), "", 'Data Entry'!$$403)</f>
      </c>
      <c r="BP403">
        <f>IF(ISBLANK('Data Entry'!$$403), "", 'Data Entry'!$$403)</f>
      </c>
      <c r="BQ403">
        <f>IF(ISBLANK('Data Entry'!$$403), "", 'Data Entry'!$$403)</f>
      </c>
      <c r="BR403">
        <f>IF(ISBLANK('Data Entry'!$$403), "", 'Data Entry'!$$403)</f>
      </c>
      <c r="BS403">
        <f>IF(ISBLANK('Data Entry'!$$403), "", 'Data Entry'!$$403)</f>
      </c>
      <c r="BT403">
        <f>IF(ISBLANK('Data Entry'!$$403), "", 'Data Entry'!$$403)</f>
      </c>
      <c r="BU403">
        <f>IF(ISBLANK('Data Entry'!$$403), "", 'Data Entry'!$$403)</f>
      </c>
      <c r="BV403">
        <f>IF(ISBLANK('Data Entry'!$$403), "", 'Data Entry'!$$403)</f>
      </c>
      <c r="BW403">
        <f>IF(ISBLANK('Data Entry'!$$403), "", 'Data Entry'!$$403)</f>
      </c>
      <c r="BX403">
        <f>IF(ISBLANK('Data Entry'!$$403), "", 'Data Entry'!$$403)</f>
      </c>
      <c r="BY403">
        <f>IF(ISBLANK('Data Entry'!$$403), "", 'Data Entry'!$$403)</f>
      </c>
      <c r="BZ403">
        <f>IF(ISBLANK('Data Entry'!$$403), "", 'Data Entry'!$$403)</f>
      </c>
      <c r="CA403">
        <f>IF(ISBLANK('Data Entry'!$$403), "", 'Data Entry'!$$403)</f>
      </c>
      <c r="CB403">
        <f>IF(ISBLANK('Data Entry'!$$403), "", 'Data Entry'!$$403)</f>
      </c>
      <c r="CC403">
        <f>IF(ISBLANK('Data Entry'!$$403), "", 'Data Entry'!$$403)</f>
      </c>
      <c r="CD403">
        <f>IF(ISBLANK('Data Entry'!$$403), "", 'Data Entry'!$$403)</f>
      </c>
      <c r="CE403">
        <f>IF(ISBLANK('Data Entry'!$$403), "", 'Data Entry'!$$403)</f>
      </c>
      <c r="CF403">
        <f>IF(ISBLANK('Data Entry'!$$403), "", 'Data Entry'!$$403)</f>
      </c>
      <c r="CG403">
        <f>IF(ISBLANK('Data Entry'!$$403), "", 'Data Entry'!$$403)</f>
      </c>
      <c r="CH403">
        <f>IF(ISBLANK('Data Entry'!$$403), "", 'Data Entry'!$$403)</f>
      </c>
      <c r="CI403">
        <f>IF(ISBLANK('Data Entry'!$$403), "", 'Data Entry'!$$403)</f>
      </c>
      <c r="CJ403">
        <f>IF(ISBLANK('Data Entry'!$$403), "", 'Data Entry'!$$403)</f>
      </c>
      <c r="CK403">
        <f>IF(ISBLANK('Data Entry'!$$403), "", 'Data Entry'!$$403)</f>
      </c>
      <c r="CL403">
        <f>IF(ISBLANK('Data Entry'!$$403), "", 'Data Entry'!$$403)</f>
      </c>
      <c r="CM403">
        <f>IF(ISBLANK('Data Entry'!$$403), "", 'Data Entry'!$$403)</f>
      </c>
      <c r="CN403">
        <f>IF(ISBLANK('Data Entry'!$$403), "", 'Data Entry'!$$403)</f>
      </c>
      <c r="CO403">
        <f>IF(ISBLANK('Data Entry'!$$403), "", 'Data Entry'!$$403)</f>
      </c>
      <c r="CP403">
        <f>IF(ISBLANK('Data Entry'!$$403), "", 'Data Entry'!$$403)</f>
      </c>
      <c r="CQ403">
        <f>IF(ISBLANK('Data Entry'!$$403), "", 'Data Entry'!$$403)</f>
      </c>
      <c r="CR403">
        <f>IF(ISBLANK('Data Entry'!$ $403), "", 'Data Entry'!$ $403)</f>
      </c>
      <c r="CS403">
        <f>IF(ISBLANK('Data Entry'!$¡$403), "", 'Data Entry'!$¡$403)</f>
      </c>
      <c r="CT403">
        <f>IF(ISBLANK('Data Entry'!$¢$403), "", 'Data Entry'!$¢$403)</f>
      </c>
      <c r="CU403">
        <f>IF(ISBLANK('Data Entry'!$£$403), "", 'Data Entry'!$£$403)</f>
      </c>
      <c r="CV403">
        <f>IF(ISBLANK('Data Entry'!$¤$403), "", 'Data Entry'!$¤$403)</f>
      </c>
      <c r="CW403">
        <f>IF(ISBLANK('Data Entry'!$¥$403), "", 'Data Entry'!$¥$403)</f>
      </c>
      <c r="CX403">
        <f>IF(ISBLANK('Data Entry'!$¦$403), "", 'Data Entry'!$¦$403)</f>
      </c>
      <c r="CY403">
        <f>IF(ISBLANK('Data Entry'!$§$403), "", 'Data Entry'!$§$403)</f>
      </c>
      <c r="CZ403">
        <f>IF(ISBLANK('Data Entry'!$¨$403), "", 'Data Entry'!$¨$403)</f>
      </c>
      <c r="DA403">
        <f>IF(ISBLANK('Data Entry'!$©$403), "", 'Data Entry'!$©$403)</f>
      </c>
      <c r="DB403">
        <f>IF(ISBLANK('Data Entry'!$ª$403), "", 'Data Entry'!$ª$403)</f>
      </c>
      <c r="DC403">
        <f>IF(ISBLANK('Data Entry'!$«$403), "", 'Data Entry'!$«$403)</f>
      </c>
      <c r="DD403">
        <f>IF(ISBLANK('Data Entry'!$¬$403), "", 'Data Entry'!$¬$403)</f>
      </c>
      <c r="DE403">
        <f>IF(ISBLANK('Data Entry'!$­$403), "", 'Data Entry'!$­$403)</f>
      </c>
      <c r="DF403">
        <f>IF(ISBLANK('Data Entry'!$®$403), "", 'Data Entry'!$®$403)</f>
      </c>
      <c r="DG403">
        <f>IF(ISBLANK('Data Entry'!$¯$403), "", 'Data Entry'!$¯$403)</f>
      </c>
      <c r="DH403">
        <f>IF(ISBLANK('Data Entry'!$°$403), "", 'Data Entry'!$°$403)</f>
      </c>
      <c r="DI403">
        <f>IF(ISBLANK('Data Entry'!$±$403), "", 'Data Entry'!$±$403)</f>
      </c>
      <c r="DJ403">
        <f>IF(ISBLANK('Data Entry'!$²$403), "", 'Data Entry'!$²$403)</f>
      </c>
      <c r="DK403">
        <f>IF(ISBLANK('Data Entry'!$³$403), "", 'Data Entry'!$³$403)</f>
      </c>
      <c r="DL403">
        <f>IF(ISBLANK('Data Entry'!$´$403), "", 'Data Entry'!$´$403)</f>
      </c>
      <c r="DM403">
        <f>IF(ISBLANK('Data Entry'!$µ$403), "", 'Data Entry'!$µ$403)</f>
      </c>
      <c r="DN403">
        <f>IF(ISBLANK('Data Entry'!$¶$403), "", 'Data Entry'!$¶$403)</f>
      </c>
      <c r="DO403">
        <f>IF(ISBLANK('Data Entry'!$·$403), "", 'Data Entry'!$·$403)</f>
      </c>
      <c r="DP403">
        <f>IF(ISBLANK('Data Entry'!$¸$403), "", 'Data Entry'!$¸$403)</f>
      </c>
      <c r="DQ403">
        <f>IF(ISBLANK('Data Entry'!$¹$403), "", 'Data Entry'!$¹$403)</f>
      </c>
      <c r="DR403">
        <f>IF(ISBLANK('Data Entry'!$º$403), "", 'Data Entry'!$º$403)</f>
      </c>
      <c r="DS403">
        <f>IF(ISBLANK('Data Entry'!$»$403), "", 'Data Entry'!$»$403)</f>
      </c>
      <c r="DT403">
        <f>IF(ISBLANK('Data Entry'!$¼$403), "", 'Data Entry'!$¼$403)</f>
      </c>
      <c r="DU403">
        <f>IF(ISBLANK('Data Entry'!$½$403), "", 'Data Entry'!$½$403)</f>
      </c>
      <c r="DV403">
        <f>IF(ISBLANK('Data Entry'!$¾$403), "", 'Data Entry'!$¾$403)</f>
      </c>
      <c r="DW403">
        <f>IF(ISBLANK('Data Entry'!$¿$403), "", 'Data Entry'!$¿$403)</f>
      </c>
      <c r="DX403">
        <f>IF(ISBLANK('Data Entry'!$À$403), "", 'Data Entry'!$À$403)</f>
      </c>
      <c r="DY403">
        <f>IF(ISBLANK('Data Entry'!$Á$403), "", 'Data Entry'!$Á$403)</f>
      </c>
      <c r="DZ403">
        <f>IF(ISBLANK('Data Entry'!$Â$403), "", 'Data Entry'!$Â$403)</f>
      </c>
      <c r="EA403">
        <f>IF(ISBLANK('Data Entry'!$Ã$403), "", 'Data Entry'!$Ã$403)</f>
      </c>
      <c r="EB403">
        <f>IF(ISBLANK('Data Entry'!$Ä$403), "", 'Data Entry'!$Ä$403)</f>
      </c>
      <c r="EC403">
        <f>IF(ISBLANK('Data Entry'!$Å$403), "", 'Data Entry'!$Å$403)</f>
      </c>
      <c r="ED403">
        <f>IF(ISBLANK('Data Entry'!$Æ$403), "", 'Data Entry'!$Æ$403)</f>
      </c>
      <c r="EE403">
        <f>IF(ISBLANK('Data Entry'!$Ç$403), "", 'Data Entry'!$Ç$403)</f>
      </c>
      <c r="EF403">
        <f>IF(ISBLANK('Data Entry'!$È$403), "", 'Data Entry'!$È$403)</f>
      </c>
      <c r="EG403">
        <f>IF(ISBLANK('Data Entry'!$É$403), "", 'Data Entry'!$É$403)</f>
      </c>
      <c r="EH403">
        <f>IF(ISBLANK('Data Entry'!$Ê$403), "", 'Data Entry'!$Ê$403)</f>
      </c>
      <c r="EI403">
        <f>IF(ISBLANK('Data Entry'!$Ë$403), "", 'Data Entry'!$Ë$403)</f>
      </c>
      <c r="EJ403">
        <f>IF(ISBLANK('Data Entry'!$Ì$403), "", 'Data Entry'!$Ì$403)</f>
      </c>
      <c r="EK403">
        <f>IF(ISBLANK('Data Entry'!$Í$403), "", 'Data Entry'!$Í$403)</f>
      </c>
      <c r="EL403">
        <f>IF(ISBLANK('Data Entry'!$Î$403), "", 'Data Entry'!$Î$403)</f>
      </c>
      <c r="EM403">
        <f>IF(ISBLANK('Data Entry'!$Ï$403), "", 'Data Entry'!$Ï$403)</f>
      </c>
      <c r="EN403">
        <f>IF(ISBLANK('Data Entry'!$Ð$403), "", 'Data Entry'!$Ð$403)</f>
      </c>
      <c r="EO403">
        <f>IF(ISBLANK('Data Entry'!$Ñ$403), "", 'Data Entry'!$Ñ$403)</f>
      </c>
      <c r="EP403">
        <f>IF(ISBLANK('Data Entry'!$Ò$403), "", 'Data Entry'!$Ò$403)</f>
      </c>
      <c r="EQ403">
        <f>IF(ISBLANK('Data Entry'!$Ó$403), "", 'Data Entry'!$Ó$403)</f>
      </c>
      <c r="ER403">
        <f>IF(ISBLANK('Data Entry'!$Ô$403), "", 'Data Entry'!$Ô$403)</f>
      </c>
      <c r="ES403">
        <f>IF(ISBLANK('Data Entry'!$Õ$403), "", 'Data Entry'!$Õ$403)</f>
      </c>
      <c r="ET403">
        <f>IF(ISBLANK('Data Entry'!$Ö$403), "", 'Data Entry'!$Ö$403)</f>
      </c>
      <c r="EU403">
        <f>IF(ISBLANK('Data Entry'!$×$403), "", 'Data Entry'!$×$403)</f>
      </c>
      <c r="EV403">
        <f>IF(ISBLANK('Data Entry'!$Ø$403), "", 'Data Entry'!$Ø$403)</f>
      </c>
      <c r="EW403">
        <f>IF(ISBLANK('Data Entry'!$Ù$403), "", 'Data Entry'!$Ù$403)</f>
      </c>
      <c r="EX403">
        <f>IF(ISBLANK('Data Entry'!$Ú$403), "", 'Data Entry'!$Ú$403)</f>
      </c>
      <c r="EY403">
        <f>IF(ISBLANK('Data Entry'!$Û$403), "", 'Data Entry'!$Û$403)</f>
      </c>
      <c r="EZ403">
        <f>IF(ISBLANK('Data Entry'!$Ü$403), "", 'Data Entry'!$Ü$403)</f>
      </c>
      <c r="FA403">
        <f>IF(ISBLANK('Data Entry'!$Ý$403), "", 'Data Entry'!$Ý$403)</f>
      </c>
      <c r="FB403">
        <f>IF(ISBLANK('Data Entry'!$Þ$403), "", 'Data Entry'!$Þ$403)</f>
      </c>
      <c r="FC403">
        <f>IF(ISBLANK('Data Entry'!$ß$403), "", 'Data Entry'!$ß$403)</f>
      </c>
      <c r="FD403">
        <f>IF(ISBLANK('Data Entry'!$à$403), "", 'Data Entry'!$à$403)</f>
      </c>
      <c r="FE403">
        <f>IF(ISBLANK('Data Entry'!$á$403), "", 'Data Entry'!$á$403)</f>
      </c>
      <c r="FF403">
        <f>IF(ISBLANK('Data Entry'!$â$403), "", 'Data Entry'!$â$403)</f>
      </c>
      <c r="FG403">
        <f>IF(ISBLANK('Data Entry'!$ã$403), "", 'Data Entry'!$ã$403)</f>
      </c>
      <c r="FH403">
        <f>IF(ISBLANK('Data Entry'!$ä$403), "", 'Data Entry'!$ä$403)</f>
      </c>
      <c r="FI403">
        <f>IF(ISBLANK('Data Entry'!$å$403), "", 'Data Entry'!$å$403)</f>
      </c>
      <c r="FJ403">
        <f>IF(ISBLANK('Data Entry'!$æ$403), "", 'Data Entry'!$æ$403)</f>
      </c>
      <c r="FK403">
        <f>IF(ISBLANK('Data Entry'!$ç$403), "", 'Data Entry'!$ç$403)</f>
      </c>
      <c r="FL403">
        <f>IF(ISBLANK('Data Entry'!$è$403), "", 'Data Entry'!$è$403)</f>
      </c>
      <c r="FM403">
        <f>IF(ISBLANK('Data Entry'!$é$403), "", 'Data Entry'!$é$403)</f>
      </c>
      <c r="FN403">
        <f>IF(ISBLANK('Data Entry'!$ê$403), "", 'Data Entry'!$ê$403)</f>
      </c>
      <c r="FO403">
        <f>IF(ISBLANK('Data Entry'!$ë$403), "", 'Data Entry'!$ë$403)</f>
      </c>
      <c r="FP403">
        <f>IF(ISBLANK('Data Entry'!$ì$403), "", 'Data Entry'!$ì$403)</f>
      </c>
      <c r="FQ403">
        <f>IF(ISBLANK('Data Entry'!$í$403), "", 'Data Entry'!$í$403)</f>
      </c>
      <c r="FR403">
        <f>IF(ISBLANK('Data Entry'!$î$403), "", 'Data Entry'!$î$403)</f>
      </c>
      <c r="FS403">
        <f>IF(ISBLANK('Data Entry'!$ï$403), "", 'Data Entry'!$ï$403)</f>
      </c>
      <c r="FT403">
        <f>IF(ISBLANK('Data Entry'!$ð$403), "", 'Data Entry'!$ð$403)</f>
      </c>
      <c r="FU403">
        <f>IF(ISBLANK('Data Entry'!$ñ$403), "", 'Data Entry'!$ñ$403)</f>
      </c>
      <c r="FV403">
        <f>IF(ISBLANK('Data Entry'!$ò$403), "", 'Data Entry'!$ò$403)</f>
      </c>
      <c r="FW403">
        <f>IF(ISBLANK('Data Entry'!$ó$403), "", 'Data Entry'!$ó$403)</f>
      </c>
      <c r="FX403">
        <f>IF(ISBLANK('Data Entry'!$ô$403), "", 'Data Entry'!$ô$403)</f>
      </c>
      <c r="FY403">
        <f>IF(ISBLANK('Data Entry'!$õ$403), "", 'Data Entry'!$õ$403)</f>
      </c>
      <c r="FZ403">
        <f>IF(ISBLANK('Data Entry'!$ö$403), "", 'Data Entry'!$ö$403)</f>
      </c>
      <c r="GA403">
        <f>IF(ISBLANK('Data Entry'!$÷$403), "", 'Data Entry'!$÷$403)</f>
      </c>
      <c r="GB403">
        <f>IF(ISBLANK('Data Entry'!$ø$403), "", 'Data Entry'!$ø$403)</f>
      </c>
      <c r="GC403">
        <f>IF(ISBLANK('Data Entry'!$ù$403), "", 'Data Entry'!$ù$403)</f>
      </c>
      <c r="GD403">
        <f>IF(ISBLANK('Data Entry'!$ú$403), "", 'Data Entry'!$ú$403)</f>
      </c>
      <c r="GE403">
        <f>IF(ISBLANK('Data Entry'!$û$403), "", 'Data Entry'!$û$403)</f>
      </c>
      <c r="GF403">
        <f>IF(ISBLANK('Data Entry'!$ü$403), "", 'Data Entry'!$ü$403)</f>
      </c>
      <c r="GG403">
        <f>IF(ISBLANK('Data Entry'!$ý$403), "", 'Data Entry'!$ý$403)</f>
      </c>
      <c r="GH403">
        <f>IF(ISBLANK('Data Entry'!$þ$403), "", 'Data Entry'!$þ$403)</f>
      </c>
      <c r="GI403">
        <f>IF(ISBLANK('Data Entry'!$ÿ$403), "", 'Data Entry'!$ÿ$403)</f>
      </c>
      <c r="GJ403">
        <f>IF(ISBLANK('Data Entry'!$Ā$403), "", 'Data Entry'!$Ā$403)</f>
      </c>
      <c r="GK403">
        <f>IF(ISBLANK('Data Entry'!$ā$403), "", 'Data Entry'!$ā$403)</f>
      </c>
      <c r="GL403">
        <f>IF(ISBLANK('Data Entry'!$Ă$403), "", 'Data Entry'!$Ă$403)</f>
      </c>
      <c r="GM403">
        <f>IF(ISBLANK('Data Entry'!$ă$403), "", 'Data Entry'!$ă$403)</f>
      </c>
      <c r="GN403">
        <f>IF(ISBLANK('Data Entry'!$Ą$403), "", 'Data Entry'!$Ą$403)</f>
      </c>
      <c r="GO403">
        <f>IF(ISBLANK('Data Entry'!$ą$403), "", 'Data Entry'!$ą$403)</f>
      </c>
      <c r="GP403">
        <f>IF(ISBLANK('Data Entry'!$Ć$403), "", 'Data Entry'!$Ć$403)</f>
      </c>
      <c r="GQ403">
        <f>IF(ISBLANK('Data Entry'!$ć$403), "", 'Data Entry'!$ć$403)</f>
      </c>
      <c r="GR403">
        <f>IF(ISBLANK('Data Entry'!$Ĉ$403), "", 'Data Entry'!$Ĉ$403)</f>
      </c>
      <c r="GS403">
        <f>IF(ISBLANK('Data Entry'!$ĉ$403), "", 'Data Entry'!$ĉ$403)</f>
      </c>
      <c r="GT403">
        <f>IF(ISBLANK('Data Entry'!$Ċ$403), "", 'Data Entry'!$Ċ$403)</f>
      </c>
      <c r="GU403">
        <f>IF(ISBLANK('Data Entry'!$ċ$403), "", 'Data Entry'!$ċ$403)</f>
      </c>
      <c r="GV403">
        <f>IF(ISBLANK('Data Entry'!$Č$403), "", 'Data Entry'!$Č$403)</f>
      </c>
      <c r="GW403">
        <f>IF(ISBLANK('Data Entry'!$č$403), "", 'Data Entry'!$č$403)</f>
      </c>
      <c r="GX403">
        <f>IF(ISBLANK('Data Entry'!$Ď$403), "", 'Data Entry'!$Ď$403)</f>
      </c>
      <c r="GY403">
        <f>IF(ISBLANK('Data Entry'!$ď$403), "", 'Data Entry'!$ď$403)</f>
      </c>
      <c r="GZ403">
        <f>IF(ISBLANK('Data Entry'!$Đ$403), "", 'Data Entry'!$Đ$403)</f>
      </c>
      <c r="HA403">
        <f>IF(ISBLANK('Data Entry'!$đ$403), "", 'Data Entry'!$đ$403)</f>
      </c>
      <c r="HB403">
        <f>IF(ISBLANK('Data Entry'!$Ē$403), "", 'Data Entry'!$Ē$403)</f>
      </c>
      <c r="HC403">
        <f>IF(ISBLANK('Data Entry'!$ē$403), "", 'Data Entry'!$ē$403)</f>
      </c>
      <c r="HD403">
        <f>IF(ISBLANK('Data Entry'!$Ĕ$403), "", 'Data Entry'!$Ĕ$403)</f>
      </c>
      <c r="HE403">
        <f>IF(ISBLANK('Data Entry'!$ĕ$403), "", 'Data Entry'!$ĕ$403)</f>
      </c>
      <c r="HF403">
        <f>IF(ISBLANK('Data Entry'!$Ė$403), "", 'Data Entry'!$Ė$403)</f>
      </c>
      <c r="HG403">
        <f>IF(ISBLANK('Data Entry'!$ė$403), "", 'Data Entry'!$ė$403)</f>
      </c>
      <c r="HH403">
        <f>IF(ISBLANK('Data Entry'!$Ę$403), "", 'Data Entry'!$Ę$403)</f>
      </c>
      <c r="HI403">
        <f>IF(ISBLANK('Data Entry'!$ę$403), "", 'Data Entry'!$ę$403)</f>
      </c>
      <c r="HJ403">
        <f>IF(ISBLANK('Data Entry'!$Ě$403), "", 'Data Entry'!$Ě$403)</f>
      </c>
      <c r="HK403">
        <f>IF(ISBLANK('Data Entry'!$ě$403), "", 'Data Entry'!$ě$403)</f>
      </c>
      <c r="HL403">
        <f>IF(ISBLANK('Data Entry'!$Ĝ$403), "", 'Data Entry'!$Ĝ$403)</f>
      </c>
      <c r="HM403">
        <f>IF(ISBLANK('Data Entry'!$ĝ$403), "", 'Data Entry'!$ĝ$403)</f>
      </c>
      <c r="HN403">
        <f>IF(ISBLANK('Data Entry'!$Ğ$403), "", 'Data Entry'!$Ğ$403)</f>
      </c>
      <c r="HO403">
        <f>IF(ISBLANK('Data Entry'!$ğ$403), "", 'Data Entry'!$ğ$403)</f>
      </c>
      <c r="HP403">
        <f>IF(ISBLANK('Data Entry'!$Ġ$403), "", 'Data Entry'!$Ġ$403)</f>
      </c>
      <c r="HQ403">
        <f>IF(ISBLANK('Data Entry'!$ġ$403), "", 'Data Entry'!$ġ$403)</f>
      </c>
      <c r="HR403">
        <f>IF(ISBLANK('Data Entry'!$Ģ$403), "", 'Data Entry'!$Ģ$403)</f>
      </c>
      <c r="HS403">
        <f>IF(ISBLANK('Data Entry'!$ģ$403), "", 'Data Entry'!$ģ$403)</f>
      </c>
      <c r="HT403">
        <f>IF(ISBLANK('Data Entry'!$Ĥ$403), "", 'Data Entry'!$Ĥ$403)</f>
      </c>
      <c r="HU403">
        <f>IF(ISBLANK('Data Entry'!$ĥ$403), "", 'Data Entry'!$ĥ$403)</f>
      </c>
      <c r="HV403">
        <f>IF(ISBLANK('Data Entry'!$Ħ$403), "", 'Data Entry'!$Ħ$403)</f>
      </c>
      <c r="HW403">
        <f>IF(ISBLANK('Data Entry'!$ħ$403), "", 'Data Entry'!$ħ$403)</f>
      </c>
      <c r="HX403">
        <f>IF(ISBLANK('Data Entry'!$Ĩ$403), "", 'Data Entry'!$Ĩ$403)</f>
      </c>
      <c r="HY403">
        <f>IF(ISBLANK('Data Entry'!$ĩ$403), "", 'Data Entry'!$ĩ$403)</f>
      </c>
      <c r="HZ403">
        <f>IF(ISBLANK('Data Entry'!$Ī$403), "", 'Data Entry'!$Ī$403)</f>
      </c>
      <c r="IA403">
        <f>IF(ISBLANK('Data Entry'!$ī$403), "", 'Data Entry'!$ī$403)</f>
      </c>
      <c r="IB403">
        <f>IF(ISBLANK('Data Entry'!$Ĭ$403), "", 'Data Entry'!$Ĭ$403)</f>
      </c>
      <c r="IC403">
        <f>IF(ISBLANK('Data Entry'!$ĭ$403), "", 'Data Entry'!$ĭ$403)</f>
      </c>
      <c r="ID403">
        <f>IF(ISBLANK('Data Entry'!$Į$403), "", 'Data Entry'!$Į$403)</f>
      </c>
      <c r="IE403">
        <f>IF(ISBLANK('Data Entry'!$į$403), "", 'Data Entry'!$į$403)</f>
      </c>
      <c r="IF403">
        <f>IF(ISBLANK('Data Entry'!$İ$403), "", 'Data Entry'!$İ$403)</f>
      </c>
      <c r="IG403">
        <f>IF(ISBLANK('Data Entry'!$ı$403), "", 'Data Entry'!$ı$403)</f>
      </c>
      <c r="IH403">
        <f>IF(ISBLANK('Data Entry'!$Ĳ$403), "", 'Data Entry'!$Ĳ$403)</f>
      </c>
      <c r="II403">
        <f>IF(ISBLANK('Data Entry'!$ĳ$403), "", 'Data Entry'!$ĳ$403)</f>
      </c>
      <c r="IJ403">
        <f>IF(ISBLANK('Data Entry'!$Ĵ$403), "", 'Data Entry'!$Ĵ$403)</f>
      </c>
      <c r="IK403">
        <f>IF(ISBLANK('Data Entry'!$ĵ$403), "", 'Data Entry'!$ĵ$403)</f>
      </c>
      <c r="IL403">
        <f>IF(ISBLANK('Data Entry'!$Ķ$403), "", 'Data Entry'!$Ķ$403)</f>
      </c>
      <c r="IM403">
        <f>IF(ISBLANK('Data Entry'!$ķ$403), "", 'Data Entry'!$ķ$403)</f>
      </c>
      <c r="IN403">
        <f>IF(ISBLANK('Data Entry'!$ĸ$403), "", 'Data Entry'!$ĸ$403)</f>
      </c>
      <c r="IO403">
        <f>IF(ISBLANK('Data Entry'!$Ĺ$403), "", 'Data Entry'!$Ĺ$403)</f>
      </c>
      <c r="IP403">
        <f>IF(ISBLANK('Data Entry'!$ĺ$403), "", 'Data Entry'!$ĺ$403)</f>
      </c>
      <c r="IQ403">
        <f>IF(ISBLANK('Data Entry'!$Ļ$403), "", 'Data Entry'!$Ļ$403)</f>
      </c>
      <c r="IR403">
        <f>IF(ISBLANK('Data Entry'!$ļ$403), "", 'Data Entry'!$ļ$403)</f>
      </c>
      <c r="IS403">
        <f>IF(ISBLANK('Data Entry'!$Ľ$403), "", 'Data Entry'!$Ľ$403)</f>
      </c>
      <c r="IT403">
        <f>IF(ISBLANK('Data Entry'!$ľ$403), "", 'Data Entry'!$ľ$403)</f>
      </c>
    </row>
    <row r="404" spans="1:254" x14ac:dyDescent="0.25">
      <c r="A404">
        <f>IF(ISBLANK('Data Entry'!$A$404), "", 'Data Entry'!$A$404)</f>
      </c>
      <c r="B404">
        <f>IF(ISBLANK('Data Entry'!$B$404), "", 'Data Entry'!$B$404)</f>
      </c>
      <c r="C404">
        <f>IF(ISBLANK('Data Entry'!$C$404), "", 'Data Entry'!$C$404)</f>
      </c>
      <c r="D404">
        <f>IF(ISBLANK('Data Entry'!$D$404), "", 'Data Entry'!$D$404)</f>
      </c>
      <c r="E404">
        <f>IF(ISBLANK('Data Entry'!$E$404), "", 'Data Entry'!$E$404)</f>
      </c>
      <c r="F404">
        <f>IF(ISBLANK('Data Entry'!$F$404), "", 'Data Entry'!$F$404)</f>
      </c>
      <c r="G404">
        <f>IF(ISBLANK('Data Entry'!$G$404), "", 'Data Entry'!$G$404)</f>
      </c>
      <c r="H404">
        <f>IF(ISBLANK('Data Entry'!$H$404), "", 'Data Entry'!$H$404)</f>
      </c>
      <c r="I404">
        <f>IF(ISBLANK('Data Entry'!$I$404), "", 'Data Entry'!$I$404)</f>
      </c>
      <c r="J404">
        <f>IF(ISBLANK('Data Entry'!$J$404), "", 'Data Entry'!$J$404)</f>
      </c>
      <c r="K404">
        <f>IF(ISBLANK('Data Entry'!$K$404), "", 'Data Entry'!$K$404)</f>
      </c>
      <c r="L404">
        <f>IF(ISBLANK('Data Entry'!$L$404), "", 'Data Entry'!$L$404)</f>
      </c>
      <c r="M404">
        <f>IF(ISBLANK('Data Entry'!$M$404), "", 'Data Entry'!$M$404)</f>
      </c>
      <c r="N404">
        <f>IF(ISBLANK('Data Entry'!$N$404), "", 'Data Entry'!$N$404)</f>
      </c>
      <c r="O404">
        <f>IF(ISBLANK('Data Entry'!$O$404), "", 'Data Entry'!$O$404)</f>
      </c>
      <c r="P404">
        <f>IF(ISBLANK('Data Entry'!$P$404), "", 'Data Entry'!$P$404)</f>
      </c>
      <c r="Q404">
        <f>IF(ISBLANK('Data Entry'!$Q$404), "", 'Data Entry'!$Q$404)</f>
      </c>
      <c r="R404">
        <f>IF(ISBLANK('Data Entry'!$R$404), "", 'Data Entry'!$R$404)</f>
      </c>
      <c r="S404">
        <f>IF(ISBLANK('Data Entry'!$S$404), "", 'Data Entry'!$S$404)</f>
      </c>
      <c r="T404">
        <f>IF(ISBLANK('Data Entry'!$T$404), "", 'Data Entry'!$T$404)</f>
      </c>
      <c r="U404">
        <f>IF(ISBLANK('Data Entry'!$U$404), "", 'Data Entry'!$U$404)</f>
      </c>
      <c r="V404">
        <f>IF(ISBLANK('Data Entry'!$V$404), "", 'Data Entry'!$V$404)</f>
      </c>
      <c r="W404">
        <f>IF(ISBLANK('Data Entry'!$W$404), "", 'Data Entry'!$W$404)</f>
      </c>
      <c r="X404">
        <f>IF(ISBLANK('Data Entry'!$X$404), "", 'Data Entry'!$X$404)</f>
      </c>
      <c r="Y404">
        <f>IF(ISBLANK('Data Entry'!$Y$404), "", 'Data Entry'!$Y$404)</f>
      </c>
      <c r="Z404">
        <f>IF(ISBLANK('Data Entry'!$Z$404), "", 'Data Entry'!$Z$404)</f>
      </c>
      <c r="AA404">
        <f>IF(ISBLANK('Data Entry'!$[$404), "", 'Data Entry'!$[$404)</f>
      </c>
      <c r="AB404">
        <f>IF(ISBLANK('Data Entry'!$\$404), "", 'Data Entry'!$\$404)</f>
      </c>
      <c r="AC404">
        <f>IF(ISBLANK('Data Entry'!$]$404), "", 'Data Entry'!$]$404)</f>
      </c>
      <c r="AD404">
        <f>IF(ISBLANK('Data Entry'!$^$404), "", 'Data Entry'!$^$404)</f>
      </c>
      <c r="AE404">
        <f>IF(ISBLANK('Data Entry'!$_$404), "", 'Data Entry'!$_$404)</f>
      </c>
      <c r="AF404">
        <f>IF(ISBLANK('Data Entry'!$`$404), "", 'Data Entry'!$`$404)</f>
      </c>
      <c r="AG404">
        <f>IF(ISBLANK('Data Entry'!$a$404), "", 'Data Entry'!$a$404)</f>
      </c>
      <c r="AH404">
        <f>IF(ISBLANK('Data Entry'!$b$404), "", 'Data Entry'!$b$404)</f>
      </c>
      <c r="AI404">
        <f>IF(ISBLANK('Data Entry'!$c$404), "", 'Data Entry'!$c$404)</f>
      </c>
      <c r="AJ404">
        <f>IF(ISBLANK('Data Entry'!$d$404), "", 'Data Entry'!$d$404)</f>
      </c>
      <c r="AK404">
        <f>IF(ISBLANK('Data Entry'!$e$404), "", 'Data Entry'!$e$404)</f>
      </c>
      <c r="AL404">
        <f>IF(ISBLANK('Data Entry'!$f$404), "", 'Data Entry'!$f$404)</f>
      </c>
      <c r="AM404">
        <f>IF(ISBLANK('Data Entry'!$g$404), "", 'Data Entry'!$g$404)</f>
      </c>
      <c r="AN404">
        <f>IF(ISBLANK('Data Entry'!$h$404), "", 'Data Entry'!$h$404)</f>
      </c>
      <c r="AO404">
        <f>IF(ISBLANK('Data Entry'!$i$404), "", 'Data Entry'!$i$404)</f>
      </c>
      <c r="AP404">
        <f>IF(ISBLANK('Data Entry'!$j$404), "", 'Data Entry'!$j$404)</f>
      </c>
      <c r="AQ404">
        <f>IF(ISBLANK('Data Entry'!$k$404), "", 'Data Entry'!$k$404)</f>
      </c>
      <c r="AR404">
        <f>IF(ISBLANK('Data Entry'!$l$404), "", 'Data Entry'!$l$404)</f>
      </c>
      <c r="AS404">
        <f>IF(ISBLANK('Data Entry'!$m$404), "", 'Data Entry'!$m$404)</f>
      </c>
      <c r="AT404">
        <f>IF(ISBLANK('Data Entry'!$n$404), "", 'Data Entry'!$n$404)</f>
      </c>
      <c r="AU404">
        <f>IF(ISBLANK('Data Entry'!$o$404), "", 'Data Entry'!$o$404)</f>
      </c>
      <c r="AV404">
        <f>IF(ISBLANK('Data Entry'!$p$404), "", 'Data Entry'!$p$404)</f>
      </c>
      <c r="AW404">
        <f>IF(ISBLANK('Data Entry'!$q$404), "", 'Data Entry'!$q$404)</f>
      </c>
      <c r="AX404">
        <f>IF(ISBLANK('Data Entry'!$r$404), "", 'Data Entry'!$r$404)</f>
      </c>
      <c r="AY404">
        <f>IF(ISBLANK('Data Entry'!$s$404), "", 'Data Entry'!$s$404)</f>
      </c>
      <c r="AZ404">
        <f>IF(ISBLANK('Data Entry'!$t$404), "", 'Data Entry'!$t$404)</f>
      </c>
      <c r="BA404">
        <f>IF(ISBLANK('Data Entry'!$u$404), "", 'Data Entry'!$u$404)</f>
      </c>
      <c r="BB404">
        <f>IF(ISBLANK('Data Entry'!$v$404), "", 'Data Entry'!$v$404)</f>
      </c>
      <c r="BC404">
        <f>IF(ISBLANK('Data Entry'!$w$404), "", 'Data Entry'!$w$404)</f>
      </c>
      <c r="BD404">
        <f>IF(ISBLANK('Data Entry'!$x$404), "", 'Data Entry'!$x$404)</f>
      </c>
      <c r="BE404">
        <f>IF(ISBLANK('Data Entry'!$y$404), "", 'Data Entry'!$y$404)</f>
      </c>
      <c r="BF404">
        <f>IF(ISBLANK('Data Entry'!$z$404), "", 'Data Entry'!$z$404)</f>
      </c>
      <c r="BG404">
        <f>IF(ISBLANK('Data Entry'!${$404), "", 'Data Entry'!${$404)</f>
      </c>
      <c r="BH404">
        <f>IF(ISBLANK('Data Entry'!$|$404), "", 'Data Entry'!$|$404)</f>
      </c>
      <c r="BI404">
        <f>IF(ISBLANK('Data Entry'!$}$404), "", 'Data Entry'!$}$404)</f>
      </c>
      <c r="BJ404">
        <f>IF(ISBLANK('Data Entry'!$~$404), "", 'Data Entry'!$~$404)</f>
      </c>
      <c r="BK404">
        <f>IF(ISBLANK('Data Entry'!$$404), "", 'Data Entry'!$$404)</f>
      </c>
      <c r="BL404">
        <f>IF(ISBLANK('Data Entry'!$$404), "", 'Data Entry'!$$404)</f>
      </c>
      <c r="BM404">
        <f>IF(ISBLANK('Data Entry'!$$404), "", 'Data Entry'!$$404)</f>
      </c>
      <c r="BN404">
        <f>IF(ISBLANK('Data Entry'!$$404), "", 'Data Entry'!$$404)</f>
      </c>
      <c r="BO404">
        <f>IF(ISBLANK('Data Entry'!$$404), "", 'Data Entry'!$$404)</f>
      </c>
      <c r="BP404">
        <f>IF(ISBLANK('Data Entry'!$$404), "", 'Data Entry'!$$404)</f>
      </c>
      <c r="BQ404">
        <f>IF(ISBLANK('Data Entry'!$$404), "", 'Data Entry'!$$404)</f>
      </c>
      <c r="BR404">
        <f>IF(ISBLANK('Data Entry'!$$404), "", 'Data Entry'!$$404)</f>
      </c>
      <c r="BS404">
        <f>IF(ISBLANK('Data Entry'!$$404), "", 'Data Entry'!$$404)</f>
      </c>
      <c r="BT404">
        <f>IF(ISBLANK('Data Entry'!$$404), "", 'Data Entry'!$$404)</f>
      </c>
      <c r="BU404">
        <f>IF(ISBLANK('Data Entry'!$$404), "", 'Data Entry'!$$404)</f>
      </c>
      <c r="BV404">
        <f>IF(ISBLANK('Data Entry'!$$404), "", 'Data Entry'!$$404)</f>
      </c>
      <c r="BW404">
        <f>IF(ISBLANK('Data Entry'!$$404), "", 'Data Entry'!$$404)</f>
      </c>
      <c r="BX404">
        <f>IF(ISBLANK('Data Entry'!$$404), "", 'Data Entry'!$$404)</f>
      </c>
      <c r="BY404">
        <f>IF(ISBLANK('Data Entry'!$$404), "", 'Data Entry'!$$404)</f>
      </c>
      <c r="BZ404">
        <f>IF(ISBLANK('Data Entry'!$$404), "", 'Data Entry'!$$404)</f>
      </c>
      <c r="CA404">
        <f>IF(ISBLANK('Data Entry'!$$404), "", 'Data Entry'!$$404)</f>
      </c>
      <c r="CB404">
        <f>IF(ISBLANK('Data Entry'!$$404), "", 'Data Entry'!$$404)</f>
      </c>
      <c r="CC404">
        <f>IF(ISBLANK('Data Entry'!$$404), "", 'Data Entry'!$$404)</f>
      </c>
      <c r="CD404">
        <f>IF(ISBLANK('Data Entry'!$$404), "", 'Data Entry'!$$404)</f>
      </c>
      <c r="CE404">
        <f>IF(ISBLANK('Data Entry'!$$404), "", 'Data Entry'!$$404)</f>
      </c>
      <c r="CF404">
        <f>IF(ISBLANK('Data Entry'!$$404), "", 'Data Entry'!$$404)</f>
      </c>
      <c r="CG404">
        <f>IF(ISBLANK('Data Entry'!$$404), "", 'Data Entry'!$$404)</f>
      </c>
      <c r="CH404">
        <f>IF(ISBLANK('Data Entry'!$$404), "", 'Data Entry'!$$404)</f>
      </c>
      <c r="CI404">
        <f>IF(ISBLANK('Data Entry'!$$404), "", 'Data Entry'!$$404)</f>
      </c>
      <c r="CJ404">
        <f>IF(ISBLANK('Data Entry'!$$404), "", 'Data Entry'!$$404)</f>
      </c>
      <c r="CK404">
        <f>IF(ISBLANK('Data Entry'!$$404), "", 'Data Entry'!$$404)</f>
      </c>
      <c r="CL404">
        <f>IF(ISBLANK('Data Entry'!$$404), "", 'Data Entry'!$$404)</f>
      </c>
      <c r="CM404">
        <f>IF(ISBLANK('Data Entry'!$$404), "", 'Data Entry'!$$404)</f>
      </c>
      <c r="CN404">
        <f>IF(ISBLANK('Data Entry'!$$404), "", 'Data Entry'!$$404)</f>
      </c>
      <c r="CO404">
        <f>IF(ISBLANK('Data Entry'!$$404), "", 'Data Entry'!$$404)</f>
      </c>
      <c r="CP404">
        <f>IF(ISBLANK('Data Entry'!$$404), "", 'Data Entry'!$$404)</f>
      </c>
      <c r="CQ404">
        <f>IF(ISBLANK('Data Entry'!$$404), "", 'Data Entry'!$$404)</f>
      </c>
      <c r="CR404">
        <f>IF(ISBLANK('Data Entry'!$ $404), "", 'Data Entry'!$ $404)</f>
      </c>
      <c r="CS404">
        <f>IF(ISBLANK('Data Entry'!$¡$404), "", 'Data Entry'!$¡$404)</f>
      </c>
      <c r="CT404">
        <f>IF(ISBLANK('Data Entry'!$¢$404), "", 'Data Entry'!$¢$404)</f>
      </c>
      <c r="CU404">
        <f>IF(ISBLANK('Data Entry'!$£$404), "", 'Data Entry'!$£$404)</f>
      </c>
      <c r="CV404">
        <f>IF(ISBLANK('Data Entry'!$¤$404), "", 'Data Entry'!$¤$404)</f>
      </c>
      <c r="CW404">
        <f>IF(ISBLANK('Data Entry'!$¥$404), "", 'Data Entry'!$¥$404)</f>
      </c>
      <c r="CX404">
        <f>IF(ISBLANK('Data Entry'!$¦$404), "", 'Data Entry'!$¦$404)</f>
      </c>
      <c r="CY404">
        <f>IF(ISBLANK('Data Entry'!$§$404), "", 'Data Entry'!$§$404)</f>
      </c>
      <c r="CZ404">
        <f>IF(ISBLANK('Data Entry'!$¨$404), "", 'Data Entry'!$¨$404)</f>
      </c>
      <c r="DA404">
        <f>IF(ISBLANK('Data Entry'!$©$404), "", 'Data Entry'!$©$404)</f>
      </c>
      <c r="DB404">
        <f>IF(ISBLANK('Data Entry'!$ª$404), "", 'Data Entry'!$ª$404)</f>
      </c>
      <c r="DC404">
        <f>IF(ISBLANK('Data Entry'!$«$404), "", 'Data Entry'!$«$404)</f>
      </c>
      <c r="DD404">
        <f>IF(ISBLANK('Data Entry'!$¬$404), "", 'Data Entry'!$¬$404)</f>
      </c>
      <c r="DE404">
        <f>IF(ISBLANK('Data Entry'!$­$404), "", 'Data Entry'!$­$404)</f>
      </c>
      <c r="DF404">
        <f>IF(ISBLANK('Data Entry'!$®$404), "", 'Data Entry'!$®$404)</f>
      </c>
      <c r="DG404">
        <f>IF(ISBLANK('Data Entry'!$¯$404), "", 'Data Entry'!$¯$404)</f>
      </c>
      <c r="DH404">
        <f>IF(ISBLANK('Data Entry'!$°$404), "", 'Data Entry'!$°$404)</f>
      </c>
      <c r="DI404">
        <f>IF(ISBLANK('Data Entry'!$±$404), "", 'Data Entry'!$±$404)</f>
      </c>
      <c r="DJ404">
        <f>IF(ISBLANK('Data Entry'!$²$404), "", 'Data Entry'!$²$404)</f>
      </c>
      <c r="DK404">
        <f>IF(ISBLANK('Data Entry'!$³$404), "", 'Data Entry'!$³$404)</f>
      </c>
      <c r="DL404">
        <f>IF(ISBLANK('Data Entry'!$´$404), "", 'Data Entry'!$´$404)</f>
      </c>
      <c r="DM404">
        <f>IF(ISBLANK('Data Entry'!$µ$404), "", 'Data Entry'!$µ$404)</f>
      </c>
      <c r="DN404">
        <f>IF(ISBLANK('Data Entry'!$¶$404), "", 'Data Entry'!$¶$404)</f>
      </c>
      <c r="DO404">
        <f>IF(ISBLANK('Data Entry'!$·$404), "", 'Data Entry'!$·$404)</f>
      </c>
      <c r="DP404">
        <f>IF(ISBLANK('Data Entry'!$¸$404), "", 'Data Entry'!$¸$404)</f>
      </c>
      <c r="DQ404">
        <f>IF(ISBLANK('Data Entry'!$¹$404), "", 'Data Entry'!$¹$404)</f>
      </c>
      <c r="DR404">
        <f>IF(ISBLANK('Data Entry'!$º$404), "", 'Data Entry'!$º$404)</f>
      </c>
      <c r="DS404">
        <f>IF(ISBLANK('Data Entry'!$»$404), "", 'Data Entry'!$»$404)</f>
      </c>
      <c r="DT404">
        <f>IF(ISBLANK('Data Entry'!$¼$404), "", 'Data Entry'!$¼$404)</f>
      </c>
      <c r="DU404">
        <f>IF(ISBLANK('Data Entry'!$½$404), "", 'Data Entry'!$½$404)</f>
      </c>
      <c r="DV404">
        <f>IF(ISBLANK('Data Entry'!$¾$404), "", 'Data Entry'!$¾$404)</f>
      </c>
      <c r="DW404">
        <f>IF(ISBLANK('Data Entry'!$¿$404), "", 'Data Entry'!$¿$404)</f>
      </c>
      <c r="DX404">
        <f>IF(ISBLANK('Data Entry'!$À$404), "", 'Data Entry'!$À$404)</f>
      </c>
      <c r="DY404">
        <f>IF(ISBLANK('Data Entry'!$Á$404), "", 'Data Entry'!$Á$404)</f>
      </c>
      <c r="DZ404">
        <f>IF(ISBLANK('Data Entry'!$Â$404), "", 'Data Entry'!$Â$404)</f>
      </c>
      <c r="EA404">
        <f>IF(ISBLANK('Data Entry'!$Ã$404), "", 'Data Entry'!$Ã$404)</f>
      </c>
      <c r="EB404">
        <f>IF(ISBLANK('Data Entry'!$Ä$404), "", 'Data Entry'!$Ä$404)</f>
      </c>
      <c r="EC404">
        <f>IF(ISBLANK('Data Entry'!$Å$404), "", 'Data Entry'!$Å$404)</f>
      </c>
      <c r="ED404">
        <f>IF(ISBLANK('Data Entry'!$Æ$404), "", 'Data Entry'!$Æ$404)</f>
      </c>
      <c r="EE404">
        <f>IF(ISBLANK('Data Entry'!$Ç$404), "", 'Data Entry'!$Ç$404)</f>
      </c>
      <c r="EF404">
        <f>IF(ISBLANK('Data Entry'!$È$404), "", 'Data Entry'!$È$404)</f>
      </c>
      <c r="EG404">
        <f>IF(ISBLANK('Data Entry'!$É$404), "", 'Data Entry'!$É$404)</f>
      </c>
      <c r="EH404">
        <f>IF(ISBLANK('Data Entry'!$Ê$404), "", 'Data Entry'!$Ê$404)</f>
      </c>
      <c r="EI404">
        <f>IF(ISBLANK('Data Entry'!$Ë$404), "", 'Data Entry'!$Ë$404)</f>
      </c>
      <c r="EJ404">
        <f>IF(ISBLANK('Data Entry'!$Ì$404), "", 'Data Entry'!$Ì$404)</f>
      </c>
      <c r="EK404">
        <f>IF(ISBLANK('Data Entry'!$Í$404), "", 'Data Entry'!$Í$404)</f>
      </c>
      <c r="EL404">
        <f>IF(ISBLANK('Data Entry'!$Î$404), "", 'Data Entry'!$Î$404)</f>
      </c>
      <c r="EM404">
        <f>IF(ISBLANK('Data Entry'!$Ï$404), "", 'Data Entry'!$Ï$404)</f>
      </c>
      <c r="EN404">
        <f>IF(ISBLANK('Data Entry'!$Ð$404), "", 'Data Entry'!$Ð$404)</f>
      </c>
      <c r="EO404">
        <f>IF(ISBLANK('Data Entry'!$Ñ$404), "", 'Data Entry'!$Ñ$404)</f>
      </c>
      <c r="EP404">
        <f>IF(ISBLANK('Data Entry'!$Ò$404), "", 'Data Entry'!$Ò$404)</f>
      </c>
      <c r="EQ404">
        <f>IF(ISBLANK('Data Entry'!$Ó$404), "", 'Data Entry'!$Ó$404)</f>
      </c>
      <c r="ER404">
        <f>IF(ISBLANK('Data Entry'!$Ô$404), "", 'Data Entry'!$Ô$404)</f>
      </c>
      <c r="ES404">
        <f>IF(ISBLANK('Data Entry'!$Õ$404), "", 'Data Entry'!$Õ$404)</f>
      </c>
      <c r="ET404">
        <f>IF(ISBLANK('Data Entry'!$Ö$404), "", 'Data Entry'!$Ö$404)</f>
      </c>
      <c r="EU404">
        <f>IF(ISBLANK('Data Entry'!$×$404), "", 'Data Entry'!$×$404)</f>
      </c>
      <c r="EV404">
        <f>IF(ISBLANK('Data Entry'!$Ø$404), "", 'Data Entry'!$Ø$404)</f>
      </c>
      <c r="EW404">
        <f>IF(ISBLANK('Data Entry'!$Ù$404), "", 'Data Entry'!$Ù$404)</f>
      </c>
      <c r="EX404">
        <f>IF(ISBLANK('Data Entry'!$Ú$404), "", 'Data Entry'!$Ú$404)</f>
      </c>
      <c r="EY404">
        <f>IF(ISBLANK('Data Entry'!$Û$404), "", 'Data Entry'!$Û$404)</f>
      </c>
      <c r="EZ404">
        <f>IF(ISBLANK('Data Entry'!$Ü$404), "", 'Data Entry'!$Ü$404)</f>
      </c>
      <c r="FA404">
        <f>IF(ISBLANK('Data Entry'!$Ý$404), "", 'Data Entry'!$Ý$404)</f>
      </c>
      <c r="FB404">
        <f>IF(ISBLANK('Data Entry'!$Þ$404), "", 'Data Entry'!$Þ$404)</f>
      </c>
      <c r="FC404">
        <f>IF(ISBLANK('Data Entry'!$ß$404), "", 'Data Entry'!$ß$404)</f>
      </c>
      <c r="FD404">
        <f>IF(ISBLANK('Data Entry'!$à$404), "", 'Data Entry'!$à$404)</f>
      </c>
      <c r="FE404">
        <f>IF(ISBLANK('Data Entry'!$á$404), "", 'Data Entry'!$á$404)</f>
      </c>
      <c r="FF404">
        <f>IF(ISBLANK('Data Entry'!$â$404), "", 'Data Entry'!$â$404)</f>
      </c>
      <c r="FG404">
        <f>IF(ISBLANK('Data Entry'!$ã$404), "", 'Data Entry'!$ã$404)</f>
      </c>
      <c r="FH404">
        <f>IF(ISBLANK('Data Entry'!$ä$404), "", 'Data Entry'!$ä$404)</f>
      </c>
      <c r="FI404">
        <f>IF(ISBLANK('Data Entry'!$å$404), "", 'Data Entry'!$å$404)</f>
      </c>
      <c r="FJ404">
        <f>IF(ISBLANK('Data Entry'!$æ$404), "", 'Data Entry'!$æ$404)</f>
      </c>
      <c r="FK404">
        <f>IF(ISBLANK('Data Entry'!$ç$404), "", 'Data Entry'!$ç$404)</f>
      </c>
      <c r="FL404">
        <f>IF(ISBLANK('Data Entry'!$è$404), "", 'Data Entry'!$è$404)</f>
      </c>
      <c r="FM404">
        <f>IF(ISBLANK('Data Entry'!$é$404), "", 'Data Entry'!$é$404)</f>
      </c>
      <c r="FN404">
        <f>IF(ISBLANK('Data Entry'!$ê$404), "", 'Data Entry'!$ê$404)</f>
      </c>
      <c r="FO404">
        <f>IF(ISBLANK('Data Entry'!$ë$404), "", 'Data Entry'!$ë$404)</f>
      </c>
      <c r="FP404">
        <f>IF(ISBLANK('Data Entry'!$ì$404), "", 'Data Entry'!$ì$404)</f>
      </c>
      <c r="FQ404">
        <f>IF(ISBLANK('Data Entry'!$í$404), "", 'Data Entry'!$í$404)</f>
      </c>
      <c r="FR404">
        <f>IF(ISBLANK('Data Entry'!$î$404), "", 'Data Entry'!$î$404)</f>
      </c>
      <c r="FS404">
        <f>IF(ISBLANK('Data Entry'!$ï$404), "", 'Data Entry'!$ï$404)</f>
      </c>
      <c r="FT404">
        <f>IF(ISBLANK('Data Entry'!$ð$404), "", 'Data Entry'!$ð$404)</f>
      </c>
      <c r="FU404">
        <f>IF(ISBLANK('Data Entry'!$ñ$404), "", 'Data Entry'!$ñ$404)</f>
      </c>
      <c r="FV404">
        <f>IF(ISBLANK('Data Entry'!$ò$404), "", 'Data Entry'!$ò$404)</f>
      </c>
      <c r="FW404">
        <f>IF(ISBLANK('Data Entry'!$ó$404), "", 'Data Entry'!$ó$404)</f>
      </c>
      <c r="FX404">
        <f>IF(ISBLANK('Data Entry'!$ô$404), "", 'Data Entry'!$ô$404)</f>
      </c>
      <c r="FY404">
        <f>IF(ISBLANK('Data Entry'!$õ$404), "", 'Data Entry'!$õ$404)</f>
      </c>
      <c r="FZ404">
        <f>IF(ISBLANK('Data Entry'!$ö$404), "", 'Data Entry'!$ö$404)</f>
      </c>
      <c r="GA404">
        <f>IF(ISBLANK('Data Entry'!$÷$404), "", 'Data Entry'!$÷$404)</f>
      </c>
      <c r="GB404">
        <f>IF(ISBLANK('Data Entry'!$ø$404), "", 'Data Entry'!$ø$404)</f>
      </c>
      <c r="GC404">
        <f>IF(ISBLANK('Data Entry'!$ù$404), "", 'Data Entry'!$ù$404)</f>
      </c>
      <c r="GD404">
        <f>IF(ISBLANK('Data Entry'!$ú$404), "", 'Data Entry'!$ú$404)</f>
      </c>
      <c r="GE404">
        <f>IF(ISBLANK('Data Entry'!$û$404), "", 'Data Entry'!$û$404)</f>
      </c>
      <c r="GF404">
        <f>IF(ISBLANK('Data Entry'!$ü$404), "", 'Data Entry'!$ü$404)</f>
      </c>
      <c r="GG404">
        <f>IF(ISBLANK('Data Entry'!$ý$404), "", 'Data Entry'!$ý$404)</f>
      </c>
      <c r="GH404">
        <f>IF(ISBLANK('Data Entry'!$þ$404), "", 'Data Entry'!$þ$404)</f>
      </c>
      <c r="GI404">
        <f>IF(ISBLANK('Data Entry'!$ÿ$404), "", 'Data Entry'!$ÿ$404)</f>
      </c>
      <c r="GJ404">
        <f>IF(ISBLANK('Data Entry'!$Ā$404), "", 'Data Entry'!$Ā$404)</f>
      </c>
      <c r="GK404">
        <f>IF(ISBLANK('Data Entry'!$ā$404), "", 'Data Entry'!$ā$404)</f>
      </c>
      <c r="GL404">
        <f>IF(ISBLANK('Data Entry'!$Ă$404), "", 'Data Entry'!$Ă$404)</f>
      </c>
      <c r="GM404">
        <f>IF(ISBLANK('Data Entry'!$ă$404), "", 'Data Entry'!$ă$404)</f>
      </c>
      <c r="GN404">
        <f>IF(ISBLANK('Data Entry'!$Ą$404), "", 'Data Entry'!$Ą$404)</f>
      </c>
      <c r="GO404">
        <f>IF(ISBLANK('Data Entry'!$ą$404), "", 'Data Entry'!$ą$404)</f>
      </c>
      <c r="GP404">
        <f>IF(ISBLANK('Data Entry'!$Ć$404), "", 'Data Entry'!$Ć$404)</f>
      </c>
      <c r="GQ404">
        <f>IF(ISBLANK('Data Entry'!$ć$404), "", 'Data Entry'!$ć$404)</f>
      </c>
      <c r="GR404">
        <f>IF(ISBLANK('Data Entry'!$Ĉ$404), "", 'Data Entry'!$Ĉ$404)</f>
      </c>
      <c r="GS404">
        <f>IF(ISBLANK('Data Entry'!$ĉ$404), "", 'Data Entry'!$ĉ$404)</f>
      </c>
      <c r="GT404">
        <f>IF(ISBLANK('Data Entry'!$Ċ$404), "", 'Data Entry'!$Ċ$404)</f>
      </c>
      <c r="GU404">
        <f>IF(ISBLANK('Data Entry'!$ċ$404), "", 'Data Entry'!$ċ$404)</f>
      </c>
      <c r="GV404">
        <f>IF(ISBLANK('Data Entry'!$Č$404), "", 'Data Entry'!$Č$404)</f>
      </c>
      <c r="GW404">
        <f>IF(ISBLANK('Data Entry'!$č$404), "", 'Data Entry'!$č$404)</f>
      </c>
      <c r="GX404">
        <f>IF(ISBLANK('Data Entry'!$Ď$404), "", 'Data Entry'!$Ď$404)</f>
      </c>
      <c r="GY404">
        <f>IF(ISBLANK('Data Entry'!$ď$404), "", 'Data Entry'!$ď$404)</f>
      </c>
      <c r="GZ404">
        <f>IF(ISBLANK('Data Entry'!$Đ$404), "", 'Data Entry'!$Đ$404)</f>
      </c>
      <c r="HA404">
        <f>IF(ISBLANK('Data Entry'!$đ$404), "", 'Data Entry'!$đ$404)</f>
      </c>
      <c r="HB404">
        <f>IF(ISBLANK('Data Entry'!$Ē$404), "", 'Data Entry'!$Ē$404)</f>
      </c>
      <c r="HC404">
        <f>IF(ISBLANK('Data Entry'!$ē$404), "", 'Data Entry'!$ē$404)</f>
      </c>
      <c r="HD404">
        <f>IF(ISBLANK('Data Entry'!$Ĕ$404), "", 'Data Entry'!$Ĕ$404)</f>
      </c>
      <c r="HE404">
        <f>IF(ISBLANK('Data Entry'!$ĕ$404), "", 'Data Entry'!$ĕ$404)</f>
      </c>
      <c r="HF404">
        <f>IF(ISBLANK('Data Entry'!$Ė$404), "", 'Data Entry'!$Ė$404)</f>
      </c>
      <c r="HG404">
        <f>IF(ISBLANK('Data Entry'!$ė$404), "", 'Data Entry'!$ė$404)</f>
      </c>
      <c r="HH404">
        <f>IF(ISBLANK('Data Entry'!$Ę$404), "", 'Data Entry'!$Ę$404)</f>
      </c>
      <c r="HI404">
        <f>IF(ISBLANK('Data Entry'!$ę$404), "", 'Data Entry'!$ę$404)</f>
      </c>
      <c r="HJ404">
        <f>IF(ISBLANK('Data Entry'!$Ě$404), "", 'Data Entry'!$Ě$404)</f>
      </c>
      <c r="HK404">
        <f>IF(ISBLANK('Data Entry'!$ě$404), "", 'Data Entry'!$ě$404)</f>
      </c>
      <c r="HL404">
        <f>IF(ISBLANK('Data Entry'!$Ĝ$404), "", 'Data Entry'!$Ĝ$404)</f>
      </c>
      <c r="HM404">
        <f>IF(ISBLANK('Data Entry'!$ĝ$404), "", 'Data Entry'!$ĝ$404)</f>
      </c>
      <c r="HN404">
        <f>IF(ISBLANK('Data Entry'!$Ğ$404), "", 'Data Entry'!$Ğ$404)</f>
      </c>
      <c r="HO404">
        <f>IF(ISBLANK('Data Entry'!$ğ$404), "", 'Data Entry'!$ğ$404)</f>
      </c>
      <c r="HP404">
        <f>IF(ISBLANK('Data Entry'!$Ġ$404), "", 'Data Entry'!$Ġ$404)</f>
      </c>
      <c r="HQ404">
        <f>IF(ISBLANK('Data Entry'!$ġ$404), "", 'Data Entry'!$ġ$404)</f>
      </c>
      <c r="HR404">
        <f>IF(ISBLANK('Data Entry'!$Ģ$404), "", 'Data Entry'!$Ģ$404)</f>
      </c>
      <c r="HS404">
        <f>IF(ISBLANK('Data Entry'!$ģ$404), "", 'Data Entry'!$ģ$404)</f>
      </c>
      <c r="HT404">
        <f>IF(ISBLANK('Data Entry'!$Ĥ$404), "", 'Data Entry'!$Ĥ$404)</f>
      </c>
      <c r="HU404">
        <f>IF(ISBLANK('Data Entry'!$ĥ$404), "", 'Data Entry'!$ĥ$404)</f>
      </c>
      <c r="HV404">
        <f>IF(ISBLANK('Data Entry'!$Ħ$404), "", 'Data Entry'!$Ħ$404)</f>
      </c>
      <c r="HW404">
        <f>IF(ISBLANK('Data Entry'!$ħ$404), "", 'Data Entry'!$ħ$404)</f>
      </c>
      <c r="HX404">
        <f>IF(ISBLANK('Data Entry'!$Ĩ$404), "", 'Data Entry'!$Ĩ$404)</f>
      </c>
      <c r="HY404">
        <f>IF(ISBLANK('Data Entry'!$ĩ$404), "", 'Data Entry'!$ĩ$404)</f>
      </c>
      <c r="HZ404">
        <f>IF(ISBLANK('Data Entry'!$Ī$404), "", 'Data Entry'!$Ī$404)</f>
      </c>
      <c r="IA404">
        <f>IF(ISBLANK('Data Entry'!$ī$404), "", 'Data Entry'!$ī$404)</f>
      </c>
      <c r="IB404">
        <f>IF(ISBLANK('Data Entry'!$Ĭ$404), "", 'Data Entry'!$Ĭ$404)</f>
      </c>
      <c r="IC404">
        <f>IF(ISBLANK('Data Entry'!$ĭ$404), "", 'Data Entry'!$ĭ$404)</f>
      </c>
      <c r="ID404">
        <f>IF(ISBLANK('Data Entry'!$Į$404), "", 'Data Entry'!$Į$404)</f>
      </c>
      <c r="IE404">
        <f>IF(ISBLANK('Data Entry'!$į$404), "", 'Data Entry'!$į$404)</f>
      </c>
      <c r="IF404">
        <f>IF(ISBLANK('Data Entry'!$İ$404), "", 'Data Entry'!$İ$404)</f>
      </c>
      <c r="IG404">
        <f>IF(ISBLANK('Data Entry'!$ı$404), "", 'Data Entry'!$ı$404)</f>
      </c>
      <c r="IH404">
        <f>IF(ISBLANK('Data Entry'!$Ĳ$404), "", 'Data Entry'!$Ĳ$404)</f>
      </c>
      <c r="II404">
        <f>IF(ISBLANK('Data Entry'!$ĳ$404), "", 'Data Entry'!$ĳ$404)</f>
      </c>
      <c r="IJ404">
        <f>IF(ISBLANK('Data Entry'!$Ĵ$404), "", 'Data Entry'!$Ĵ$404)</f>
      </c>
      <c r="IK404">
        <f>IF(ISBLANK('Data Entry'!$ĵ$404), "", 'Data Entry'!$ĵ$404)</f>
      </c>
      <c r="IL404">
        <f>IF(ISBLANK('Data Entry'!$Ķ$404), "", 'Data Entry'!$Ķ$404)</f>
      </c>
      <c r="IM404">
        <f>IF(ISBLANK('Data Entry'!$ķ$404), "", 'Data Entry'!$ķ$404)</f>
      </c>
      <c r="IN404">
        <f>IF(ISBLANK('Data Entry'!$ĸ$404), "", 'Data Entry'!$ĸ$404)</f>
      </c>
      <c r="IO404">
        <f>IF(ISBLANK('Data Entry'!$Ĺ$404), "", 'Data Entry'!$Ĺ$404)</f>
      </c>
      <c r="IP404">
        <f>IF(ISBLANK('Data Entry'!$ĺ$404), "", 'Data Entry'!$ĺ$404)</f>
      </c>
      <c r="IQ404">
        <f>IF(ISBLANK('Data Entry'!$Ļ$404), "", 'Data Entry'!$Ļ$404)</f>
      </c>
      <c r="IR404">
        <f>IF(ISBLANK('Data Entry'!$ļ$404), "", 'Data Entry'!$ļ$404)</f>
      </c>
      <c r="IS404">
        <f>IF(ISBLANK('Data Entry'!$Ľ$404), "", 'Data Entry'!$Ľ$404)</f>
      </c>
      <c r="IT404">
        <f>IF(ISBLANK('Data Entry'!$ľ$404), "", 'Data Entry'!$ľ$404)</f>
      </c>
    </row>
    <row r="405" spans="1:254" x14ac:dyDescent="0.25">
      <c r="A405">
        <f>IF(ISBLANK('Data Entry'!$A$405), "", 'Data Entry'!$A$405)</f>
      </c>
      <c r="B405">
        <f>IF(ISBLANK('Data Entry'!$B$405), "", 'Data Entry'!$B$405)</f>
      </c>
      <c r="C405">
        <f>IF(ISBLANK('Data Entry'!$C$405), "", 'Data Entry'!$C$405)</f>
      </c>
      <c r="D405">
        <f>IF(ISBLANK('Data Entry'!$D$405), "", 'Data Entry'!$D$405)</f>
      </c>
      <c r="E405">
        <f>IF(ISBLANK('Data Entry'!$E$405), "", 'Data Entry'!$E$405)</f>
      </c>
      <c r="F405">
        <f>IF(ISBLANK('Data Entry'!$F$405), "", 'Data Entry'!$F$405)</f>
      </c>
      <c r="G405">
        <f>IF(ISBLANK('Data Entry'!$G$405), "", 'Data Entry'!$G$405)</f>
      </c>
      <c r="H405">
        <f>IF(ISBLANK('Data Entry'!$H$405), "", 'Data Entry'!$H$405)</f>
      </c>
      <c r="I405">
        <f>IF(ISBLANK('Data Entry'!$I$405), "", 'Data Entry'!$I$405)</f>
      </c>
      <c r="J405">
        <f>IF(ISBLANK('Data Entry'!$J$405), "", 'Data Entry'!$J$405)</f>
      </c>
      <c r="K405">
        <f>IF(ISBLANK('Data Entry'!$K$405), "", 'Data Entry'!$K$405)</f>
      </c>
      <c r="L405">
        <f>IF(ISBLANK('Data Entry'!$L$405), "", 'Data Entry'!$L$405)</f>
      </c>
      <c r="M405">
        <f>IF(ISBLANK('Data Entry'!$M$405), "", 'Data Entry'!$M$405)</f>
      </c>
      <c r="N405">
        <f>IF(ISBLANK('Data Entry'!$N$405), "", 'Data Entry'!$N$405)</f>
      </c>
      <c r="O405">
        <f>IF(ISBLANK('Data Entry'!$O$405), "", 'Data Entry'!$O$405)</f>
      </c>
      <c r="P405">
        <f>IF(ISBLANK('Data Entry'!$P$405), "", 'Data Entry'!$P$405)</f>
      </c>
      <c r="Q405">
        <f>IF(ISBLANK('Data Entry'!$Q$405), "", 'Data Entry'!$Q$405)</f>
      </c>
      <c r="R405">
        <f>IF(ISBLANK('Data Entry'!$R$405), "", 'Data Entry'!$R$405)</f>
      </c>
      <c r="S405">
        <f>IF(ISBLANK('Data Entry'!$S$405), "", 'Data Entry'!$S$405)</f>
      </c>
      <c r="T405">
        <f>IF(ISBLANK('Data Entry'!$T$405), "", 'Data Entry'!$T$405)</f>
      </c>
      <c r="U405">
        <f>IF(ISBLANK('Data Entry'!$U$405), "", 'Data Entry'!$U$405)</f>
      </c>
      <c r="V405">
        <f>IF(ISBLANK('Data Entry'!$V$405), "", 'Data Entry'!$V$405)</f>
      </c>
      <c r="W405">
        <f>IF(ISBLANK('Data Entry'!$W$405), "", 'Data Entry'!$W$405)</f>
      </c>
      <c r="X405">
        <f>IF(ISBLANK('Data Entry'!$X$405), "", 'Data Entry'!$X$405)</f>
      </c>
      <c r="Y405">
        <f>IF(ISBLANK('Data Entry'!$Y$405), "", 'Data Entry'!$Y$405)</f>
      </c>
      <c r="Z405">
        <f>IF(ISBLANK('Data Entry'!$Z$405), "", 'Data Entry'!$Z$405)</f>
      </c>
      <c r="AA405">
        <f>IF(ISBLANK('Data Entry'!$[$405), "", 'Data Entry'!$[$405)</f>
      </c>
      <c r="AB405">
        <f>IF(ISBLANK('Data Entry'!$\$405), "", 'Data Entry'!$\$405)</f>
      </c>
      <c r="AC405">
        <f>IF(ISBLANK('Data Entry'!$]$405), "", 'Data Entry'!$]$405)</f>
      </c>
      <c r="AD405">
        <f>IF(ISBLANK('Data Entry'!$^$405), "", 'Data Entry'!$^$405)</f>
      </c>
      <c r="AE405">
        <f>IF(ISBLANK('Data Entry'!$_$405), "", 'Data Entry'!$_$405)</f>
      </c>
      <c r="AF405">
        <f>IF(ISBLANK('Data Entry'!$`$405), "", 'Data Entry'!$`$405)</f>
      </c>
      <c r="AG405">
        <f>IF(ISBLANK('Data Entry'!$a$405), "", 'Data Entry'!$a$405)</f>
      </c>
      <c r="AH405">
        <f>IF(ISBLANK('Data Entry'!$b$405), "", 'Data Entry'!$b$405)</f>
      </c>
      <c r="AI405">
        <f>IF(ISBLANK('Data Entry'!$c$405), "", 'Data Entry'!$c$405)</f>
      </c>
      <c r="AJ405">
        <f>IF(ISBLANK('Data Entry'!$d$405), "", 'Data Entry'!$d$405)</f>
      </c>
      <c r="AK405">
        <f>IF(ISBLANK('Data Entry'!$e$405), "", 'Data Entry'!$e$405)</f>
      </c>
      <c r="AL405">
        <f>IF(ISBLANK('Data Entry'!$f$405), "", 'Data Entry'!$f$405)</f>
      </c>
      <c r="AM405">
        <f>IF(ISBLANK('Data Entry'!$g$405), "", 'Data Entry'!$g$405)</f>
      </c>
      <c r="AN405">
        <f>IF(ISBLANK('Data Entry'!$h$405), "", 'Data Entry'!$h$405)</f>
      </c>
      <c r="AO405">
        <f>IF(ISBLANK('Data Entry'!$i$405), "", 'Data Entry'!$i$405)</f>
      </c>
      <c r="AP405">
        <f>IF(ISBLANK('Data Entry'!$j$405), "", 'Data Entry'!$j$405)</f>
      </c>
      <c r="AQ405">
        <f>IF(ISBLANK('Data Entry'!$k$405), "", 'Data Entry'!$k$405)</f>
      </c>
      <c r="AR405">
        <f>IF(ISBLANK('Data Entry'!$l$405), "", 'Data Entry'!$l$405)</f>
      </c>
      <c r="AS405">
        <f>IF(ISBLANK('Data Entry'!$m$405), "", 'Data Entry'!$m$405)</f>
      </c>
      <c r="AT405">
        <f>IF(ISBLANK('Data Entry'!$n$405), "", 'Data Entry'!$n$405)</f>
      </c>
      <c r="AU405">
        <f>IF(ISBLANK('Data Entry'!$o$405), "", 'Data Entry'!$o$405)</f>
      </c>
      <c r="AV405">
        <f>IF(ISBLANK('Data Entry'!$p$405), "", 'Data Entry'!$p$405)</f>
      </c>
      <c r="AW405">
        <f>IF(ISBLANK('Data Entry'!$q$405), "", 'Data Entry'!$q$405)</f>
      </c>
      <c r="AX405">
        <f>IF(ISBLANK('Data Entry'!$r$405), "", 'Data Entry'!$r$405)</f>
      </c>
      <c r="AY405">
        <f>IF(ISBLANK('Data Entry'!$s$405), "", 'Data Entry'!$s$405)</f>
      </c>
      <c r="AZ405">
        <f>IF(ISBLANK('Data Entry'!$t$405), "", 'Data Entry'!$t$405)</f>
      </c>
      <c r="BA405">
        <f>IF(ISBLANK('Data Entry'!$u$405), "", 'Data Entry'!$u$405)</f>
      </c>
      <c r="BB405">
        <f>IF(ISBLANK('Data Entry'!$v$405), "", 'Data Entry'!$v$405)</f>
      </c>
      <c r="BC405">
        <f>IF(ISBLANK('Data Entry'!$w$405), "", 'Data Entry'!$w$405)</f>
      </c>
      <c r="BD405">
        <f>IF(ISBLANK('Data Entry'!$x$405), "", 'Data Entry'!$x$405)</f>
      </c>
      <c r="BE405">
        <f>IF(ISBLANK('Data Entry'!$y$405), "", 'Data Entry'!$y$405)</f>
      </c>
      <c r="BF405">
        <f>IF(ISBLANK('Data Entry'!$z$405), "", 'Data Entry'!$z$405)</f>
      </c>
      <c r="BG405">
        <f>IF(ISBLANK('Data Entry'!${$405), "", 'Data Entry'!${$405)</f>
      </c>
      <c r="BH405">
        <f>IF(ISBLANK('Data Entry'!$|$405), "", 'Data Entry'!$|$405)</f>
      </c>
      <c r="BI405">
        <f>IF(ISBLANK('Data Entry'!$}$405), "", 'Data Entry'!$}$405)</f>
      </c>
      <c r="BJ405">
        <f>IF(ISBLANK('Data Entry'!$~$405), "", 'Data Entry'!$~$405)</f>
      </c>
      <c r="BK405">
        <f>IF(ISBLANK('Data Entry'!$$405), "", 'Data Entry'!$$405)</f>
      </c>
      <c r="BL405">
        <f>IF(ISBLANK('Data Entry'!$$405), "", 'Data Entry'!$$405)</f>
      </c>
      <c r="BM405">
        <f>IF(ISBLANK('Data Entry'!$$405), "", 'Data Entry'!$$405)</f>
      </c>
      <c r="BN405">
        <f>IF(ISBLANK('Data Entry'!$$405), "", 'Data Entry'!$$405)</f>
      </c>
      <c r="BO405">
        <f>IF(ISBLANK('Data Entry'!$$405), "", 'Data Entry'!$$405)</f>
      </c>
      <c r="BP405">
        <f>IF(ISBLANK('Data Entry'!$$405), "", 'Data Entry'!$$405)</f>
      </c>
      <c r="BQ405">
        <f>IF(ISBLANK('Data Entry'!$$405), "", 'Data Entry'!$$405)</f>
      </c>
      <c r="BR405">
        <f>IF(ISBLANK('Data Entry'!$$405), "", 'Data Entry'!$$405)</f>
      </c>
      <c r="BS405">
        <f>IF(ISBLANK('Data Entry'!$$405), "", 'Data Entry'!$$405)</f>
      </c>
      <c r="BT405">
        <f>IF(ISBLANK('Data Entry'!$$405), "", 'Data Entry'!$$405)</f>
      </c>
      <c r="BU405">
        <f>IF(ISBLANK('Data Entry'!$$405), "", 'Data Entry'!$$405)</f>
      </c>
      <c r="BV405">
        <f>IF(ISBLANK('Data Entry'!$$405), "", 'Data Entry'!$$405)</f>
      </c>
      <c r="BW405">
        <f>IF(ISBLANK('Data Entry'!$$405), "", 'Data Entry'!$$405)</f>
      </c>
      <c r="BX405">
        <f>IF(ISBLANK('Data Entry'!$$405), "", 'Data Entry'!$$405)</f>
      </c>
      <c r="BY405">
        <f>IF(ISBLANK('Data Entry'!$$405), "", 'Data Entry'!$$405)</f>
      </c>
      <c r="BZ405">
        <f>IF(ISBLANK('Data Entry'!$$405), "", 'Data Entry'!$$405)</f>
      </c>
      <c r="CA405">
        <f>IF(ISBLANK('Data Entry'!$$405), "", 'Data Entry'!$$405)</f>
      </c>
      <c r="CB405">
        <f>IF(ISBLANK('Data Entry'!$$405), "", 'Data Entry'!$$405)</f>
      </c>
      <c r="CC405">
        <f>IF(ISBLANK('Data Entry'!$$405), "", 'Data Entry'!$$405)</f>
      </c>
      <c r="CD405">
        <f>IF(ISBLANK('Data Entry'!$$405), "", 'Data Entry'!$$405)</f>
      </c>
      <c r="CE405">
        <f>IF(ISBLANK('Data Entry'!$$405), "", 'Data Entry'!$$405)</f>
      </c>
      <c r="CF405">
        <f>IF(ISBLANK('Data Entry'!$$405), "", 'Data Entry'!$$405)</f>
      </c>
      <c r="CG405">
        <f>IF(ISBLANK('Data Entry'!$$405), "", 'Data Entry'!$$405)</f>
      </c>
      <c r="CH405">
        <f>IF(ISBLANK('Data Entry'!$$405), "", 'Data Entry'!$$405)</f>
      </c>
      <c r="CI405">
        <f>IF(ISBLANK('Data Entry'!$$405), "", 'Data Entry'!$$405)</f>
      </c>
      <c r="CJ405">
        <f>IF(ISBLANK('Data Entry'!$$405), "", 'Data Entry'!$$405)</f>
      </c>
      <c r="CK405">
        <f>IF(ISBLANK('Data Entry'!$$405), "", 'Data Entry'!$$405)</f>
      </c>
      <c r="CL405">
        <f>IF(ISBLANK('Data Entry'!$$405), "", 'Data Entry'!$$405)</f>
      </c>
      <c r="CM405">
        <f>IF(ISBLANK('Data Entry'!$$405), "", 'Data Entry'!$$405)</f>
      </c>
      <c r="CN405">
        <f>IF(ISBLANK('Data Entry'!$$405), "", 'Data Entry'!$$405)</f>
      </c>
      <c r="CO405">
        <f>IF(ISBLANK('Data Entry'!$$405), "", 'Data Entry'!$$405)</f>
      </c>
      <c r="CP405">
        <f>IF(ISBLANK('Data Entry'!$$405), "", 'Data Entry'!$$405)</f>
      </c>
      <c r="CQ405">
        <f>IF(ISBLANK('Data Entry'!$$405), "", 'Data Entry'!$$405)</f>
      </c>
      <c r="CR405">
        <f>IF(ISBLANK('Data Entry'!$ $405), "", 'Data Entry'!$ $405)</f>
      </c>
      <c r="CS405">
        <f>IF(ISBLANK('Data Entry'!$¡$405), "", 'Data Entry'!$¡$405)</f>
      </c>
      <c r="CT405">
        <f>IF(ISBLANK('Data Entry'!$¢$405), "", 'Data Entry'!$¢$405)</f>
      </c>
      <c r="CU405">
        <f>IF(ISBLANK('Data Entry'!$£$405), "", 'Data Entry'!$£$405)</f>
      </c>
      <c r="CV405">
        <f>IF(ISBLANK('Data Entry'!$¤$405), "", 'Data Entry'!$¤$405)</f>
      </c>
      <c r="CW405">
        <f>IF(ISBLANK('Data Entry'!$¥$405), "", 'Data Entry'!$¥$405)</f>
      </c>
      <c r="CX405">
        <f>IF(ISBLANK('Data Entry'!$¦$405), "", 'Data Entry'!$¦$405)</f>
      </c>
      <c r="CY405">
        <f>IF(ISBLANK('Data Entry'!$§$405), "", 'Data Entry'!$§$405)</f>
      </c>
      <c r="CZ405">
        <f>IF(ISBLANK('Data Entry'!$¨$405), "", 'Data Entry'!$¨$405)</f>
      </c>
      <c r="DA405">
        <f>IF(ISBLANK('Data Entry'!$©$405), "", 'Data Entry'!$©$405)</f>
      </c>
      <c r="DB405">
        <f>IF(ISBLANK('Data Entry'!$ª$405), "", 'Data Entry'!$ª$405)</f>
      </c>
      <c r="DC405">
        <f>IF(ISBLANK('Data Entry'!$«$405), "", 'Data Entry'!$«$405)</f>
      </c>
      <c r="DD405">
        <f>IF(ISBLANK('Data Entry'!$¬$405), "", 'Data Entry'!$¬$405)</f>
      </c>
      <c r="DE405">
        <f>IF(ISBLANK('Data Entry'!$­$405), "", 'Data Entry'!$­$405)</f>
      </c>
      <c r="DF405">
        <f>IF(ISBLANK('Data Entry'!$®$405), "", 'Data Entry'!$®$405)</f>
      </c>
      <c r="DG405">
        <f>IF(ISBLANK('Data Entry'!$¯$405), "", 'Data Entry'!$¯$405)</f>
      </c>
      <c r="DH405">
        <f>IF(ISBLANK('Data Entry'!$°$405), "", 'Data Entry'!$°$405)</f>
      </c>
      <c r="DI405">
        <f>IF(ISBLANK('Data Entry'!$±$405), "", 'Data Entry'!$±$405)</f>
      </c>
      <c r="DJ405">
        <f>IF(ISBLANK('Data Entry'!$²$405), "", 'Data Entry'!$²$405)</f>
      </c>
      <c r="DK405">
        <f>IF(ISBLANK('Data Entry'!$³$405), "", 'Data Entry'!$³$405)</f>
      </c>
      <c r="DL405">
        <f>IF(ISBLANK('Data Entry'!$´$405), "", 'Data Entry'!$´$405)</f>
      </c>
      <c r="DM405">
        <f>IF(ISBLANK('Data Entry'!$µ$405), "", 'Data Entry'!$µ$405)</f>
      </c>
      <c r="DN405">
        <f>IF(ISBLANK('Data Entry'!$¶$405), "", 'Data Entry'!$¶$405)</f>
      </c>
      <c r="DO405">
        <f>IF(ISBLANK('Data Entry'!$·$405), "", 'Data Entry'!$·$405)</f>
      </c>
      <c r="DP405">
        <f>IF(ISBLANK('Data Entry'!$¸$405), "", 'Data Entry'!$¸$405)</f>
      </c>
      <c r="DQ405">
        <f>IF(ISBLANK('Data Entry'!$¹$405), "", 'Data Entry'!$¹$405)</f>
      </c>
      <c r="DR405">
        <f>IF(ISBLANK('Data Entry'!$º$405), "", 'Data Entry'!$º$405)</f>
      </c>
      <c r="DS405">
        <f>IF(ISBLANK('Data Entry'!$»$405), "", 'Data Entry'!$»$405)</f>
      </c>
      <c r="DT405">
        <f>IF(ISBLANK('Data Entry'!$¼$405), "", 'Data Entry'!$¼$405)</f>
      </c>
      <c r="DU405">
        <f>IF(ISBLANK('Data Entry'!$½$405), "", 'Data Entry'!$½$405)</f>
      </c>
      <c r="DV405">
        <f>IF(ISBLANK('Data Entry'!$¾$405), "", 'Data Entry'!$¾$405)</f>
      </c>
      <c r="DW405">
        <f>IF(ISBLANK('Data Entry'!$¿$405), "", 'Data Entry'!$¿$405)</f>
      </c>
      <c r="DX405">
        <f>IF(ISBLANK('Data Entry'!$À$405), "", 'Data Entry'!$À$405)</f>
      </c>
      <c r="DY405">
        <f>IF(ISBLANK('Data Entry'!$Á$405), "", 'Data Entry'!$Á$405)</f>
      </c>
      <c r="DZ405">
        <f>IF(ISBLANK('Data Entry'!$Â$405), "", 'Data Entry'!$Â$405)</f>
      </c>
      <c r="EA405">
        <f>IF(ISBLANK('Data Entry'!$Ã$405), "", 'Data Entry'!$Ã$405)</f>
      </c>
      <c r="EB405">
        <f>IF(ISBLANK('Data Entry'!$Ä$405), "", 'Data Entry'!$Ä$405)</f>
      </c>
      <c r="EC405">
        <f>IF(ISBLANK('Data Entry'!$Å$405), "", 'Data Entry'!$Å$405)</f>
      </c>
      <c r="ED405">
        <f>IF(ISBLANK('Data Entry'!$Æ$405), "", 'Data Entry'!$Æ$405)</f>
      </c>
      <c r="EE405">
        <f>IF(ISBLANK('Data Entry'!$Ç$405), "", 'Data Entry'!$Ç$405)</f>
      </c>
      <c r="EF405">
        <f>IF(ISBLANK('Data Entry'!$È$405), "", 'Data Entry'!$È$405)</f>
      </c>
      <c r="EG405">
        <f>IF(ISBLANK('Data Entry'!$É$405), "", 'Data Entry'!$É$405)</f>
      </c>
      <c r="EH405">
        <f>IF(ISBLANK('Data Entry'!$Ê$405), "", 'Data Entry'!$Ê$405)</f>
      </c>
      <c r="EI405">
        <f>IF(ISBLANK('Data Entry'!$Ë$405), "", 'Data Entry'!$Ë$405)</f>
      </c>
      <c r="EJ405">
        <f>IF(ISBLANK('Data Entry'!$Ì$405), "", 'Data Entry'!$Ì$405)</f>
      </c>
      <c r="EK405">
        <f>IF(ISBLANK('Data Entry'!$Í$405), "", 'Data Entry'!$Í$405)</f>
      </c>
      <c r="EL405">
        <f>IF(ISBLANK('Data Entry'!$Î$405), "", 'Data Entry'!$Î$405)</f>
      </c>
      <c r="EM405">
        <f>IF(ISBLANK('Data Entry'!$Ï$405), "", 'Data Entry'!$Ï$405)</f>
      </c>
      <c r="EN405">
        <f>IF(ISBLANK('Data Entry'!$Ð$405), "", 'Data Entry'!$Ð$405)</f>
      </c>
      <c r="EO405">
        <f>IF(ISBLANK('Data Entry'!$Ñ$405), "", 'Data Entry'!$Ñ$405)</f>
      </c>
      <c r="EP405">
        <f>IF(ISBLANK('Data Entry'!$Ò$405), "", 'Data Entry'!$Ò$405)</f>
      </c>
      <c r="EQ405">
        <f>IF(ISBLANK('Data Entry'!$Ó$405), "", 'Data Entry'!$Ó$405)</f>
      </c>
      <c r="ER405">
        <f>IF(ISBLANK('Data Entry'!$Ô$405), "", 'Data Entry'!$Ô$405)</f>
      </c>
      <c r="ES405">
        <f>IF(ISBLANK('Data Entry'!$Õ$405), "", 'Data Entry'!$Õ$405)</f>
      </c>
      <c r="ET405">
        <f>IF(ISBLANK('Data Entry'!$Ö$405), "", 'Data Entry'!$Ö$405)</f>
      </c>
      <c r="EU405">
        <f>IF(ISBLANK('Data Entry'!$×$405), "", 'Data Entry'!$×$405)</f>
      </c>
      <c r="EV405">
        <f>IF(ISBLANK('Data Entry'!$Ø$405), "", 'Data Entry'!$Ø$405)</f>
      </c>
      <c r="EW405">
        <f>IF(ISBLANK('Data Entry'!$Ù$405), "", 'Data Entry'!$Ù$405)</f>
      </c>
      <c r="EX405">
        <f>IF(ISBLANK('Data Entry'!$Ú$405), "", 'Data Entry'!$Ú$405)</f>
      </c>
      <c r="EY405">
        <f>IF(ISBLANK('Data Entry'!$Û$405), "", 'Data Entry'!$Û$405)</f>
      </c>
      <c r="EZ405">
        <f>IF(ISBLANK('Data Entry'!$Ü$405), "", 'Data Entry'!$Ü$405)</f>
      </c>
      <c r="FA405">
        <f>IF(ISBLANK('Data Entry'!$Ý$405), "", 'Data Entry'!$Ý$405)</f>
      </c>
      <c r="FB405">
        <f>IF(ISBLANK('Data Entry'!$Þ$405), "", 'Data Entry'!$Þ$405)</f>
      </c>
      <c r="FC405">
        <f>IF(ISBLANK('Data Entry'!$ß$405), "", 'Data Entry'!$ß$405)</f>
      </c>
      <c r="FD405">
        <f>IF(ISBLANK('Data Entry'!$à$405), "", 'Data Entry'!$à$405)</f>
      </c>
      <c r="FE405">
        <f>IF(ISBLANK('Data Entry'!$á$405), "", 'Data Entry'!$á$405)</f>
      </c>
      <c r="FF405">
        <f>IF(ISBLANK('Data Entry'!$â$405), "", 'Data Entry'!$â$405)</f>
      </c>
      <c r="FG405">
        <f>IF(ISBLANK('Data Entry'!$ã$405), "", 'Data Entry'!$ã$405)</f>
      </c>
      <c r="FH405">
        <f>IF(ISBLANK('Data Entry'!$ä$405), "", 'Data Entry'!$ä$405)</f>
      </c>
      <c r="FI405">
        <f>IF(ISBLANK('Data Entry'!$å$405), "", 'Data Entry'!$å$405)</f>
      </c>
      <c r="FJ405">
        <f>IF(ISBLANK('Data Entry'!$æ$405), "", 'Data Entry'!$æ$405)</f>
      </c>
      <c r="FK405">
        <f>IF(ISBLANK('Data Entry'!$ç$405), "", 'Data Entry'!$ç$405)</f>
      </c>
      <c r="FL405">
        <f>IF(ISBLANK('Data Entry'!$è$405), "", 'Data Entry'!$è$405)</f>
      </c>
      <c r="FM405">
        <f>IF(ISBLANK('Data Entry'!$é$405), "", 'Data Entry'!$é$405)</f>
      </c>
      <c r="FN405">
        <f>IF(ISBLANK('Data Entry'!$ê$405), "", 'Data Entry'!$ê$405)</f>
      </c>
      <c r="FO405">
        <f>IF(ISBLANK('Data Entry'!$ë$405), "", 'Data Entry'!$ë$405)</f>
      </c>
      <c r="FP405">
        <f>IF(ISBLANK('Data Entry'!$ì$405), "", 'Data Entry'!$ì$405)</f>
      </c>
      <c r="FQ405">
        <f>IF(ISBLANK('Data Entry'!$í$405), "", 'Data Entry'!$í$405)</f>
      </c>
      <c r="FR405">
        <f>IF(ISBLANK('Data Entry'!$î$405), "", 'Data Entry'!$î$405)</f>
      </c>
      <c r="FS405">
        <f>IF(ISBLANK('Data Entry'!$ï$405), "", 'Data Entry'!$ï$405)</f>
      </c>
      <c r="FT405">
        <f>IF(ISBLANK('Data Entry'!$ð$405), "", 'Data Entry'!$ð$405)</f>
      </c>
      <c r="FU405">
        <f>IF(ISBLANK('Data Entry'!$ñ$405), "", 'Data Entry'!$ñ$405)</f>
      </c>
      <c r="FV405">
        <f>IF(ISBLANK('Data Entry'!$ò$405), "", 'Data Entry'!$ò$405)</f>
      </c>
      <c r="FW405">
        <f>IF(ISBLANK('Data Entry'!$ó$405), "", 'Data Entry'!$ó$405)</f>
      </c>
      <c r="FX405">
        <f>IF(ISBLANK('Data Entry'!$ô$405), "", 'Data Entry'!$ô$405)</f>
      </c>
      <c r="FY405">
        <f>IF(ISBLANK('Data Entry'!$õ$405), "", 'Data Entry'!$õ$405)</f>
      </c>
      <c r="FZ405">
        <f>IF(ISBLANK('Data Entry'!$ö$405), "", 'Data Entry'!$ö$405)</f>
      </c>
      <c r="GA405">
        <f>IF(ISBLANK('Data Entry'!$÷$405), "", 'Data Entry'!$÷$405)</f>
      </c>
      <c r="GB405">
        <f>IF(ISBLANK('Data Entry'!$ø$405), "", 'Data Entry'!$ø$405)</f>
      </c>
      <c r="GC405">
        <f>IF(ISBLANK('Data Entry'!$ù$405), "", 'Data Entry'!$ù$405)</f>
      </c>
      <c r="GD405">
        <f>IF(ISBLANK('Data Entry'!$ú$405), "", 'Data Entry'!$ú$405)</f>
      </c>
      <c r="GE405">
        <f>IF(ISBLANK('Data Entry'!$û$405), "", 'Data Entry'!$û$405)</f>
      </c>
      <c r="GF405">
        <f>IF(ISBLANK('Data Entry'!$ü$405), "", 'Data Entry'!$ü$405)</f>
      </c>
      <c r="GG405">
        <f>IF(ISBLANK('Data Entry'!$ý$405), "", 'Data Entry'!$ý$405)</f>
      </c>
      <c r="GH405">
        <f>IF(ISBLANK('Data Entry'!$þ$405), "", 'Data Entry'!$þ$405)</f>
      </c>
      <c r="GI405">
        <f>IF(ISBLANK('Data Entry'!$ÿ$405), "", 'Data Entry'!$ÿ$405)</f>
      </c>
      <c r="GJ405">
        <f>IF(ISBLANK('Data Entry'!$Ā$405), "", 'Data Entry'!$Ā$405)</f>
      </c>
      <c r="GK405">
        <f>IF(ISBLANK('Data Entry'!$ā$405), "", 'Data Entry'!$ā$405)</f>
      </c>
      <c r="GL405">
        <f>IF(ISBLANK('Data Entry'!$Ă$405), "", 'Data Entry'!$Ă$405)</f>
      </c>
      <c r="GM405">
        <f>IF(ISBLANK('Data Entry'!$ă$405), "", 'Data Entry'!$ă$405)</f>
      </c>
      <c r="GN405">
        <f>IF(ISBLANK('Data Entry'!$Ą$405), "", 'Data Entry'!$Ą$405)</f>
      </c>
      <c r="GO405">
        <f>IF(ISBLANK('Data Entry'!$ą$405), "", 'Data Entry'!$ą$405)</f>
      </c>
      <c r="GP405">
        <f>IF(ISBLANK('Data Entry'!$Ć$405), "", 'Data Entry'!$Ć$405)</f>
      </c>
      <c r="GQ405">
        <f>IF(ISBLANK('Data Entry'!$ć$405), "", 'Data Entry'!$ć$405)</f>
      </c>
      <c r="GR405">
        <f>IF(ISBLANK('Data Entry'!$Ĉ$405), "", 'Data Entry'!$Ĉ$405)</f>
      </c>
      <c r="GS405">
        <f>IF(ISBLANK('Data Entry'!$ĉ$405), "", 'Data Entry'!$ĉ$405)</f>
      </c>
      <c r="GT405">
        <f>IF(ISBLANK('Data Entry'!$Ċ$405), "", 'Data Entry'!$Ċ$405)</f>
      </c>
      <c r="GU405">
        <f>IF(ISBLANK('Data Entry'!$ċ$405), "", 'Data Entry'!$ċ$405)</f>
      </c>
      <c r="GV405">
        <f>IF(ISBLANK('Data Entry'!$Č$405), "", 'Data Entry'!$Č$405)</f>
      </c>
      <c r="GW405">
        <f>IF(ISBLANK('Data Entry'!$č$405), "", 'Data Entry'!$č$405)</f>
      </c>
      <c r="GX405">
        <f>IF(ISBLANK('Data Entry'!$Ď$405), "", 'Data Entry'!$Ď$405)</f>
      </c>
      <c r="GY405">
        <f>IF(ISBLANK('Data Entry'!$ď$405), "", 'Data Entry'!$ď$405)</f>
      </c>
      <c r="GZ405">
        <f>IF(ISBLANK('Data Entry'!$Đ$405), "", 'Data Entry'!$Đ$405)</f>
      </c>
      <c r="HA405">
        <f>IF(ISBLANK('Data Entry'!$đ$405), "", 'Data Entry'!$đ$405)</f>
      </c>
      <c r="HB405">
        <f>IF(ISBLANK('Data Entry'!$Ē$405), "", 'Data Entry'!$Ē$405)</f>
      </c>
      <c r="HC405">
        <f>IF(ISBLANK('Data Entry'!$ē$405), "", 'Data Entry'!$ē$405)</f>
      </c>
      <c r="HD405">
        <f>IF(ISBLANK('Data Entry'!$Ĕ$405), "", 'Data Entry'!$Ĕ$405)</f>
      </c>
      <c r="HE405">
        <f>IF(ISBLANK('Data Entry'!$ĕ$405), "", 'Data Entry'!$ĕ$405)</f>
      </c>
      <c r="HF405">
        <f>IF(ISBLANK('Data Entry'!$Ė$405), "", 'Data Entry'!$Ė$405)</f>
      </c>
      <c r="HG405">
        <f>IF(ISBLANK('Data Entry'!$ė$405), "", 'Data Entry'!$ė$405)</f>
      </c>
      <c r="HH405">
        <f>IF(ISBLANK('Data Entry'!$Ę$405), "", 'Data Entry'!$Ę$405)</f>
      </c>
      <c r="HI405">
        <f>IF(ISBLANK('Data Entry'!$ę$405), "", 'Data Entry'!$ę$405)</f>
      </c>
      <c r="HJ405">
        <f>IF(ISBLANK('Data Entry'!$Ě$405), "", 'Data Entry'!$Ě$405)</f>
      </c>
      <c r="HK405">
        <f>IF(ISBLANK('Data Entry'!$ě$405), "", 'Data Entry'!$ě$405)</f>
      </c>
      <c r="HL405">
        <f>IF(ISBLANK('Data Entry'!$Ĝ$405), "", 'Data Entry'!$Ĝ$405)</f>
      </c>
      <c r="HM405">
        <f>IF(ISBLANK('Data Entry'!$ĝ$405), "", 'Data Entry'!$ĝ$405)</f>
      </c>
      <c r="HN405">
        <f>IF(ISBLANK('Data Entry'!$Ğ$405), "", 'Data Entry'!$Ğ$405)</f>
      </c>
      <c r="HO405">
        <f>IF(ISBLANK('Data Entry'!$ğ$405), "", 'Data Entry'!$ğ$405)</f>
      </c>
      <c r="HP405">
        <f>IF(ISBLANK('Data Entry'!$Ġ$405), "", 'Data Entry'!$Ġ$405)</f>
      </c>
      <c r="HQ405">
        <f>IF(ISBLANK('Data Entry'!$ġ$405), "", 'Data Entry'!$ġ$405)</f>
      </c>
      <c r="HR405">
        <f>IF(ISBLANK('Data Entry'!$Ģ$405), "", 'Data Entry'!$Ģ$405)</f>
      </c>
      <c r="HS405">
        <f>IF(ISBLANK('Data Entry'!$ģ$405), "", 'Data Entry'!$ģ$405)</f>
      </c>
      <c r="HT405">
        <f>IF(ISBLANK('Data Entry'!$Ĥ$405), "", 'Data Entry'!$Ĥ$405)</f>
      </c>
      <c r="HU405">
        <f>IF(ISBLANK('Data Entry'!$ĥ$405), "", 'Data Entry'!$ĥ$405)</f>
      </c>
      <c r="HV405">
        <f>IF(ISBLANK('Data Entry'!$Ħ$405), "", 'Data Entry'!$Ħ$405)</f>
      </c>
      <c r="HW405">
        <f>IF(ISBLANK('Data Entry'!$ħ$405), "", 'Data Entry'!$ħ$405)</f>
      </c>
      <c r="HX405">
        <f>IF(ISBLANK('Data Entry'!$Ĩ$405), "", 'Data Entry'!$Ĩ$405)</f>
      </c>
      <c r="HY405">
        <f>IF(ISBLANK('Data Entry'!$ĩ$405), "", 'Data Entry'!$ĩ$405)</f>
      </c>
      <c r="HZ405">
        <f>IF(ISBLANK('Data Entry'!$Ī$405), "", 'Data Entry'!$Ī$405)</f>
      </c>
      <c r="IA405">
        <f>IF(ISBLANK('Data Entry'!$ī$405), "", 'Data Entry'!$ī$405)</f>
      </c>
      <c r="IB405">
        <f>IF(ISBLANK('Data Entry'!$Ĭ$405), "", 'Data Entry'!$Ĭ$405)</f>
      </c>
      <c r="IC405">
        <f>IF(ISBLANK('Data Entry'!$ĭ$405), "", 'Data Entry'!$ĭ$405)</f>
      </c>
      <c r="ID405">
        <f>IF(ISBLANK('Data Entry'!$Į$405), "", 'Data Entry'!$Į$405)</f>
      </c>
      <c r="IE405">
        <f>IF(ISBLANK('Data Entry'!$į$405), "", 'Data Entry'!$į$405)</f>
      </c>
      <c r="IF405">
        <f>IF(ISBLANK('Data Entry'!$İ$405), "", 'Data Entry'!$İ$405)</f>
      </c>
      <c r="IG405">
        <f>IF(ISBLANK('Data Entry'!$ı$405), "", 'Data Entry'!$ı$405)</f>
      </c>
      <c r="IH405">
        <f>IF(ISBLANK('Data Entry'!$Ĳ$405), "", 'Data Entry'!$Ĳ$405)</f>
      </c>
      <c r="II405">
        <f>IF(ISBLANK('Data Entry'!$ĳ$405), "", 'Data Entry'!$ĳ$405)</f>
      </c>
      <c r="IJ405">
        <f>IF(ISBLANK('Data Entry'!$Ĵ$405), "", 'Data Entry'!$Ĵ$405)</f>
      </c>
      <c r="IK405">
        <f>IF(ISBLANK('Data Entry'!$ĵ$405), "", 'Data Entry'!$ĵ$405)</f>
      </c>
      <c r="IL405">
        <f>IF(ISBLANK('Data Entry'!$Ķ$405), "", 'Data Entry'!$Ķ$405)</f>
      </c>
      <c r="IM405">
        <f>IF(ISBLANK('Data Entry'!$ķ$405), "", 'Data Entry'!$ķ$405)</f>
      </c>
      <c r="IN405">
        <f>IF(ISBLANK('Data Entry'!$ĸ$405), "", 'Data Entry'!$ĸ$405)</f>
      </c>
      <c r="IO405">
        <f>IF(ISBLANK('Data Entry'!$Ĺ$405), "", 'Data Entry'!$Ĺ$405)</f>
      </c>
      <c r="IP405">
        <f>IF(ISBLANK('Data Entry'!$ĺ$405), "", 'Data Entry'!$ĺ$405)</f>
      </c>
      <c r="IQ405">
        <f>IF(ISBLANK('Data Entry'!$Ļ$405), "", 'Data Entry'!$Ļ$405)</f>
      </c>
      <c r="IR405">
        <f>IF(ISBLANK('Data Entry'!$ļ$405), "", 'Data Entry'!$ļ$405)</f>
      </c>
      <c r="IS405">
        <f>IF(ISBLANK('Data Entry'!$Ľ$405), "", 'Data Entry'!$Ľ$405)</f>
      </c>
      <c r="IT405">
        <f>IF(ISBLANK('Data Entry'!$ľ$405), "", 'Data Entry'!$ľ$405)</f>
      </c>
    </row>
    <row r="406" spans="1:254" x14ac:dyDescent="0.25">
      <c r="A406">
        <f>IF(ISBLANK('Data Entry'!$A$406), "", 'Data Entry'!$A$406)</f>
      </c>
      <c r="B406">
        <f>IF(ISBLANK('Data Entry'!$B$406), "", 'Data Entry'!$B$406)</f>
      </c>
      <c r="C406">
        <f>IF(ISBLANK('Data Entry'!$C$406), "", 'Data Entry'!$C$406)</f>
      </c>
      <c r="D406">
        <f>IF(ISBLANK('Data Entry'!$D$406), "", 'Data Entry'!$D$406)</f>
      </c>
      <c r="E406">
        <f>IF(ISBLANK('Data Entry'!$E$406), "", 'Data Entry'!$E$406)</f>
      </c>
      <c r="F406">
        <f>IF(ISBLANK('Data Entry'!$F$406), "", 'Data Entry'!$F$406)</f>
      </c>
      <c r="G406">
        <f>IF(ISBLANK('Data Entry'!$G$406), "", 'Data Entry'!$G$406)</f>
      </c>
      <c r="H406">
        <f>IF(ISBLANK('Data Entry'!$H$406), "", 'Data Entry'!$H$406)</f>
      </c>
      <c r="I406">
        <f>IF(ISBLANK('Data Entry'!$I$406), "", 'Data Entry'!$I$406)</f>
      </c>
      <c r="J406">
        <f>IF(ISBLANK('Data Entry'!$J$406), "", 'Data Entry'!$J$406)</f>
      </c>
      <c r="K406">
        <f>IF(ISBLANK('Data Entry'!$K$406), "", 'Data Entry'!$K$406)</f>
      </c>
      <c r="L406">
        <f>IF(ISBLANK('Data Entry'!$L$406), "", 'Data Entry'!$L$406)</f>
      </c>
      <c r="M406">
        <f>IF(ISBLANK('Data Entry'!$M$406), "", 'Data Entry'!$M$406)</f>
      </c>
      <c r="N406">
        <f>IF(ISBLANK('Data Entry'!$N$406), "", 'Data Entry'!$N$406)</f>
      </c>
      <c r="O406">
        <f>IF(ISBLANK('Data Entry'!$O$406), "", 'Data Entry'!$O$406)</f>
      </c>
      <c r="P406">
        <f>IF(ISBLANK('Data Entry'!$P$406), "", 'Data Entry'!$P$406)</f>
      </c>
      <c r="Q406">
        <f>IF(ISBLANK('Data Entry'!$Q$406), "", 'Data Entry'!$Q$406)</f>
      </c>
      <c r="R406">
        <f>IF(ISBLANK('Data Entry'!$R$406), "", 'Data Entry'!$R$406)</f>
      </c>
      <c r="S406">
        <f>IF(ISBLANK('Data Entry'!$S$406), "", 'Data Entry'!$S$406)</f>
      </c>
      <c r="T406">
        <f>IF(ISBLANK('Data Entry'!$T$406), "", 'Data Entry'!$T$406)</f>
      </c>
      <c r="U406">
        <f>IF(ISBLANK('Data Entry'!$U$406), "", 'Data Entry'!$U$406)</f>
      </c>
      <c r="V406">
        <f>IF(ISBLANK('Data Entry'!$V$406), "", 'Data Entry'!$V$406)</f>
      </c>
      <c r="W406">
        <f>IF(ISBLANK('Data Entry'!$W$406), "", 'Data Entry'!$W$406)</f>
      </c>
      <c r="X406">
        <f>IF(ISBLANK('Data Entry'!$X$406), "", 'Data Entry'!$X$406)</f>
      </c>
      <c r="Y406">
        <f>IF(ISBLANK('Data Entry'!$Y$406), "", 'Data Entry'!$Y$406)</f>
      </c>
      <c r="Z406">
        <f>IF(ISBLANK('Data Entry'!$Z$406), "", 'Data Entry'!$Z$406)</f>
      </c>
      <c r="AA406">
        <f>IF(ISBLANK('Data Entry'!$[$406), "", 'Data Entry'!$[$406)</f>
      </c>
      <c r="AB406">
        <f>IF(ISBLANK('Data Entry'!$\$406), "", 'Data Entry'!$\$406)</f>
      </c>
      <c r="AC406">
        <f>IF(ISBLANK('Data Entry'!$]$406), "", 'Data Entry'!$]$406)</f>
      </c>
      <c r="AD406">
        <f>IF(ISBLANK('Data Entry'!$^$406), "", 'Data Entry'!$^$406)</f>
      </c>
      <c r="AE406">
        <f>IF(ISBLANK('Data Entry'!$_$406), "", 'Data Entry'!$_$406)</f>
      </c>
      <c r="AF406">
        <f>IF(ISBLANK('Data Entry'!$`$406), "", 'Data Entry'!$`$406)</f>
      </c>
      <c r="AG406">
        <f>IF(ISBLANK('Data Entry'!$a$406), "", 'Data Entry'!$a$406)</f>
      </c>
      <c r="AH406">
        <f>IF(ISBLANK('Data Entry'!$b$406), "", 'Data Entry'!$b$406)</f>
      </c>
      <c r="AI406">
        <f>IF(ISBLANK('Data Entry'!$c$406), "", 'Data Entry'!$c$406)</f>
      </c>
      <c r="AJ406">
        <f>IF(ISBLANK('Data Entry'!$d$406), "", 'Data Entry'!$d$406)</f>
      </c>
      <c r="AK406">
        <f>IF(ISBLANK('Data Entry'!$e$406), "", 'Data Entry'!$e$406)</f>
      </c>
      <c r="AL406">
        <f>IF(ISBLANK('Data Entry'!$f$406), "", 'Data Entry'!$f$406)</f>
      </c>
      <c r="AM406">
        <f>IF(ISBLANK('Data Entry'!$g$406), "", 'Data Entry'!$g$406)</f>
      </c>
      <c r="AN406">
        <f>IF(ISBLANK('Data Entry'!$h$406), "", 'Data Entry'!$h$406)</f>
      </c>
      <c r="AO406">
        <f>IF(ISBLANK('Data Entry'!$i$406), "", 'Data Entry'!$i$406)</f>
      </c>
      <c r="AP406">
        <f>IF(ISBLANK('Data Entry'!$j$406), "", 'Data Entry'!$j$406)</f>
      </c>
      <c r="AQ406">
        <f>IF(ISBLANK('Data Entry'!$k$406), "", 'Data Entry'!$k$406)</f>
      </c>
      <c r="AR406">
        <f>IF(ISBLANK('Data Entry'!$l$406), "", 'Data Entry'!$l$406)</f>
      </c>
      <c r="AS406">
        <f>IF(ISBLANK('Data Entry'!$m$406), "", 'Data Entry'!$m$406)</f>
      </c>
      <c r="AT406">
        <f>IF(ISBLANK('Data Entry'!$n$406), "", 'Data Entry'!$n$406)</f>
      </c>
      <c r="AU406">
        <f>IF(ISBLANK('Data Entry'!$o$406), "", 'Data Entry'!$o$406)</f>
      </c>
      <c r="AV406">
        <f>IF(ISBLANK('Data Entry'!$p$406), "", 'Data Entry'!$p$406)</f>
      </c>
      <c r="AW406">
        <f>IF(ISBLANK('Data Entry'!$q$406), "", 'Data Entry'!$q$406)</f>
      </c>
      <c r="AX406">
        <f>IF(ISBLANK('Data Entry'!$r$406), "", 'Data Entry'!$r$406)</f>
      </c>
      <c r="AY406">
        <f>IF(ISBLANK('Data Entry'!$s$406), "", 'Data Entry'!$s$406)</f>
      </c>
      <c r="AZ406">
        <f>IF(ISBLANK('Data Entry'!$t$406), "", 'Data Entry'!$t$406)</f>
      </c>
      <c r="BA406">
        <f>IF(ISBLANK('Data Entry'!$u$406), "", 'Data Entry'!$u$406)</f>
      </c>
      <c r="BB406">
        <f>IF(ISBLANK('Data Entry'!$v$406), "", 'Data Entry'!$v$406)</f>
      </c>
      <c r="BC406">
        <f>IF(ISBLANK('Data Entry'!$w$406), "", 'Data Entry'!$w$406)</f>
      </c>
      <c r="BD406">
        <f>IF(ISBLANK('Data Entry'!$x$406), "", 'Data Entry'!$x$406)</f>
      </c>
      <c r="BE406">
        <f>IF(ISBLANK('Data Entry'!$y$406), "", 'Data Entry'!$y$406)</f>
      </c>
      <c r="BF406">
        <f>IF(ISBLANK('Data Entry'!$z$406), "", 'Data Entry'!$z$406)</f>
      </c>
      <c r="BG406">
        <f>IF(ISBLANK('Data Entry'!${$406), "", 'Data Entry'!${$406)</f>
      </c>
      <c r="BH406">
        <f>IF(ISBLANK('Data Entry'!$|$406), "", 'Data Entry'!$|$406)</f>
      </c>
      <c r="BI406">
        <f>IF(ISBLANK('Data Entry'!$}$406), "", 'Data Entry'!$}$406)</f>
      </c>
      <c r="BJ406">
        <f>IF(ISBLANK('Data Entry'!$~$406), "", 'Data Entry'!$~$406)</f>
      </c>
      <c r="BK406">
        <f>IF(ISBLANK('Data Entry'!$$406), "", 'Data Entry'!$$406)</f>
      </c>
      <c r="BL406">
        <f>IF(ISBLANK('Data Entry'!$$406), "", 'Data Entry'!$$406)</f>
      </c>
      <c r="BM406">
        <f>IF(ISBLANK('Data Entry'!$$406), "", 'Data Entry'!$$406)</f>
      </c>
      <c r="BN406">
        <f>IF(ISBLANK('Data Entry'!$$406), "", 'Data Entry'!$$406)</f>
      </c>
      <c r="BO406">
        <f>IF(ISBLANK('Data Entry'!$$406), "", 'Data Entry'!$$406)</f>
      </c>
      <c r="BP406">
        <f>IF(ISBLANK('Data Entry'!$$406), "", 'Data Entry'!$$406)</f>
      </c>
      <c r="BQ406">
        <f>IF(ISBLANK('Data Entry'!$$406), "", 'Data Entry'!$$406)</f>
      </c>
      <c r="BR406">
        <f>IF(ISBLANK('Data Entry'!$$406), "", 'Data Entry'!$$406)</f>
      </c>
      <c r="BS406">
        <f>IF(ISBLANK('Data Entry'!$$406), "", 'Data Entry'!$$406)</f>
      </c>
      <c r="BT406">
        <f>IF(ISBLANK('Data Entry'!$$406), "", 'Data Entry'!$$406)</f>
      </c>
      <c r="BU406">
        <f>IF(ISBLANK('Data Entry'!$$406), "", 'Data Entry'!$$406)</f>
      </c>
      <c r="BV406">
        <f>IF(ISBLANK('Data Entry'!$$406), "", 'Data Entry'!$$406)</f>
      </c>
      <c r="BW406">
        <f>IF(ISBLANK('Data Entry'!$$406), "", 'Data Entry'!$$406)</f>
      </c>
      <c r="BX406">
        <f>IF(ISBLANK('Data Entry'!$$406), "", 'Data Entry'!$$406)</f>
      </c>
      <c r="BY406">
        <f>IF(ISBLANK('Data Entry'!$$406), "", 'Data Entry'!$$406)</f>
      </c>
      <c r="BZ406">
        <f>IF(ISBLANK('Data Entry'!$$406), "", 'Data Entry'!$$406)</f>
      </c>
      <c r="CA406">
        <f>IF(ISBLANK('Data Entry'!$$406), "", 'Data Entry'!$$406)</f>
      </c>
      <c r="CB406">
        <f>IF(ISBLANK('Data Entry'!$$406), "", 'Data Entry'!$$406)</f>
      </c>
      <c r="CC406">
        <f>IF(ISBLANK('Data Entry'!$$406), "", 'Data Entry'!$$406)</f>
      </c>
      <c r="CD406">
        <f>IF(ISBLANK('Data Entry'!$$406), "", 'Data Entry'!$$406)</f>
      </c>
      <c r="CE406">
        <f>IF(ISBLANK('Data Entry'!$$406), "", 'Data Entry'!$$406)</f>
      </c>
      <c r="CF406">
        <f>IF(ISBLANK('Data Entry'!$$406), "", 'Data Entry'!$$406)</f>
      </c>
      <c r="CG406">
        <f>IF(ISBLANK('Data Entry'!$$406), "", 'Data Entry'!$$406)</f>
      </c>
      <c r="CH406">
        <f>IF(ISBLANK('Data Entry'!$$406), "", 'Data Entry'!$$406)</f>
      </c>
      <c r="CI406">
        <f>IF(ISBLANK('Data Entry'!$$406), "", 'Data Entry'!$$406)</f>
      </c>
      <c r="CJ406">
        <f>IF(ISBLANK('Data Entry'!$$406), "", 'Data Entry'!$$406)</f>
      </c>
      <c r="CK406">
        <f>IF(ISBLANK('Data Entry'!$$406), "", 'Data Entry'!$$406)</f>
      </c>
      <c r="CL406">
        <f>IF(ISBLANK('Data Entry'!$$406), "", 'Data Entry'!$$406)</f>
      </c>
      <c r="CM406">
        <f>IF(ISBLANK('Data Entry'!$$406), "", 'Data Entry'!$$406)</f>
      </c>
      <c r="CN406">
        <f>IF(ISBLANK('Data Entry'!$$406), "", 'Data Entry'!$$406)</f>
      </c>
      <c r="CO406">
        <f>IF(ISBLANK('Data Entry'!$$406), "", 'Data Entry'!$$406)</f>
      </c>
      <c r="CP406">
        <f>IF(ISBLANK('Data Entry'!$$406), "", 'Data Entry'!$$406)</f>
      </c>
      <c r="CQ406">
        <f>IF(ISBLANK('Data Entry'!$$406), "", 'Data Entry'!$$406)</f>
      </c>
      <c r="CR406">
        <f>IF(ISBLANK('Data Entry'!$ $406), "", 'Data Entry'!$ $406)</f>
      </c>
      <c r="CS406">
        <f>IF(ISBLANK('Data Entry'!$¡$406), "", 'Data Entry'!$¡$406)</f>
      </c>
      <c r="CT406">
        <f>IF(ISBLANK('Data Entry'!$¢$406), "", 'Data Entry'!$¢$406)</f>
      </c>
      <c r="CU406">
        <f>IF(ISBLANK('Data Entry'!$£$406), "", 'Data Entry'!$£$406)</f>
      </c>
      <c r="CV406">
        <f>IF(ISBLANK('Data Entry'!$¤$406), "", 'Data Entry'!$¤$406)</f>
      </c>
      <c r="CW406">
        <f>IF(ISBLANK('Data Entry'!$¥$406), "", 'Data Entry'!$¥$406)</f>
      </c>
      <c r="CX406">
        <f>IF(ISBLANK('Data Entry'!$¦$406), "", 'Data Entry'!$¦$406)</f>
      </c>
      <c r="CY406">
        <f>IF(ISBLANK('Data Entry'!$§$406), "", 'Data Entry'!$§$406)</f>
      </c>
      <c r="CZ406">
        <f>IF(ISBLANK('Data Entry'!$¨$406), "", 'Data Entry'!$¨$406)</f>
      </c>
      <c r="DA406">
        <f>IF(ISBLANK('Data Entry'!$©$406), "", 'Data Entry'!$©$406)</f>
      </c>
      <c r="DB406">
        <f>IF(ISBLANK('Data Entry'!$ª$406), "", 'Data Entry'!$ª$406)</f>
      </c>
      <c r="DC406">
        <f>IF(ISBLANK('Data Entry'!$«$406), "", 'Data Entry'!$«$406)</f>
      </c>
      <c r="DD406">
        <f>IF(ISBLANK('Data Entry'!$¬$406), "", 'Data Entry'!$¬$406)</f>
      </c>
      <c r="DE406">
        <f>IF(ISBLANK('Data Entry'!$­$406), "", 'Data Entry'!$­$406)</f>
      </c>
      <c r="DF406">
        <f>IF(ISBLANK('Data Entry'!$®$406), "", 'Data Entry'!$®$406)</f>
      </c>
      <c r="DG406">
        <f>IF(ISBLANK('Data Entry'!$¯$406), "", 'Data Entry'!$¯$406)</f>
      </c>
      <c r="DH406">
        <f>IF(ISBLANK('Data Entry'!$°$406), "", 'Data Entry'!$°$406)</f>
      </c>
      <c r="DI406">
        <f>IF(ISBLANK('Data Entry'!$±$406), "", 'Data Entry'!$±$406)</f>
      </c>
      <c r="DJ406">
        <f>IF(ISBLANK('Data Entry'!$²$406), "", 'Data Entry'!$²$406)</f>
      </c>
      <c r="DK406">
        <f>IF(ISBLANK('Data Entry'!$³$406), "", 'Data Entry'!$³$406)</f>
      </c>
      <c r="DL406">
        <f>IF(ISBLANK('Data Entry'!$´$406), "", 'Data Entry'!$´$406)</f>
      </c>
      <c r="DM406">
        <f>IF(ISBLANK('Data Entry'!$µ$406), "", 'Data Entry'!$µ$406)</f>
      </c>
      <c r="DN406">
        <f>IF(ISBLANK('Data Entry'!$¶$406), "", 'Data Entry'!$¶$406)</f>
      </c>
      <c r="DO406">
        <f>IF(ISBLANK('Data Entry'!$·$406), "", 'Data Entry'!$·$406)</f>
      </c>
      <c r="DP406">
        <f>IF(ISBLANK('Data Entry'!$¸$406), "", 'Data Entry'!$¸$406)</f>
      </c>
      <c r="DQ406">
        <f>IF(ISBLANK('Data Entry'!$¹$406), "", 'Data Entry'!$¹$406)</f>
      </c>
      <c r="DR406">
        <f>IF(ISBLANK('Data Entry'!$º$406), "", 'Data Entry'!$º$406)</f>
      </c>
      <c r="DS406">
        <f>IF(ISBLANK('Data Entry'!$»$406), "", 'Data Entry'!$»$406)</f>
      </c>
      <c r="DT406">
        <f>IF(ISBLANK('Data Entry'!$¼$406), "", 'Data Entry'!$¼$406)</f>
      </c>
      <c r="DU406">
        <f>IF(ISBLANK('Data Entry'!$½$406), "", 'Data Entry'!$½$406)</f>
      </c>
      <c r="DV406">
        <f>IF(ISBLANK('Data Entry'!$¾$406), "", 'Data Entry'!$¾$406)</f>
      </c>
      <c r="DW406">
        <f>IF(ISBLANK('Data Entry'!$¿$406), "", 'Data Entry'!$¿$406)</f>
      </c>
      <c r="DX406">
        <f>IF(ISBLANK('Data Entry'!$À$406), "", 'Data Entry'!$À$406)</f>
      </c>
      <c r="DY406">
        <f>IF(ISBLANK('Data Entry'!$Á$406), "", 'Data Entry'!$Á$406)</f>
      </c>
      <c r="DZ406">
        <f>IF(ISBLANK('Data Entry'!$Â$406), "", 'Data Entry'!$Â$406)</f>
      </c>
      <c r="EA406">
        <f>IF(ISBLANK('Data Entry'!$Ã$406), "", 'Data Entry'!$Ã$406)</f>
      </c>
      <c r="EB406">
        <f>IF(ISBLANK('Data Entry'!$Ä$406), "", 'Data Entry'!$Ä$406)</f>
      </c>
      <c r="EC406">
        <f>IF(ISBLANK('Data Entry'!$Å$406), "", 'Data Entry'!$Å$406)</f>
      </c>
      <c r="ED406">
        <f>IF(ISBLANK('Data Entry'!$Æ$406), "", 'Data Entry'!$Æ$406)</f>
      </c>
      <c r="EE406">
        <f>IF(ISBLANK('Data Entry'!$Ç$406), "", 'Data Entry'!$Ç$406)</f>
      </c>
      <c r="EF406">
        <f>IF(ISBLANK('Data Entry'!$È$406), "", 'Data Entry'!$È$406)</f>
      </c>
      <c r="EG406">
        <f>IF(ISBLANK('Data Entry'!$É$406), "", 'Data Entry'!$É$406)</f>
      </c>
      <c r="EH406">
        <f>IF(ISBLANK('Data Entry'!$Ê$406), "", 'Data Entry'!$Ê$406)</f>
      </c>
      <c r="EI406">
        <f>IF(ISBLANK('Data Entry'!$Ë$406), "", 'Data Entry'!$Ë$406)</f>
      </c>
      <c r="EJ406">
        <f>IF(ISBLANK('Data Entry'!$Ì$406), "", 'Data Entry'!$Ì$406)</f>
      </c>
      <c r="EK406">
        <f>IF(ISBLANK('Data Entry'!$Í$406), "", 'Data Entry'!$Í$406)</f>
      </c>
      <c r="EL406">
        <f>IF(ISBLANK('Data Entry'!$Î$406), "", 'Data Entry'!$Î$406)</f>
      </c>
      <c r="EM406">
        <f>IF(ISBLANK('Data Entry'!$Ï$406), "", 'Data Entry'!$Ï$406)</f>
      </c>
      <c r="EN406">
        <f>IF(ISBLANK('Data Entry'!$Ð$406), "", 'Data Entry'!$Ð$406)</f>
      </c>
      <c r="EO406">
        <f>IF(ISBLANK('Data Entry'!$Ñ$406), "", 'Data Entry'!$Ñ$406)</f>
      </c>
      <c r="EP406">
        <f>IF(ISBLANK('Data Entry'!$Ò$406), "", 'Data Entry'!$Ò$406)</f>
      </c>
      <c r="EQ406">
        <f>IF(ISBLANK('Data Entry'!$Ó$406), "", 'Data Entry'!$Ó$406)</f>
      </c>
      <c r="ER406">
        <f>IF(ISBLANK('Data Entry'!$Ô$406), "", 'Data Entry'!$Ô$406)</f>
      </c>
      <c r="ES406">
        <f>IF(ISBLANK('Data Entry'!$Õ$406), "", 'Data Entry'!$Õ$406)</f>
      </c>
      <c r="ET406">
        <f>IF(ISBLANK('Data Entry'!$Ö$406), "", 'Data Entry'!$Ö$406)</f>
      </c>
      <c r="EU406">
        <f>IF(ISBLANK('Data Entry'!$×$406), "", 'Data Entry'!$×$406)</f>
      </c>
      <c r="EV406">
        <f>IF(ISBLANK('Data Entry'!$Ø$406), "", 'Data Entry'!$Ø$406)</f>
      </c>
      <c r="EW406">
        <f>IF(ISBLANK('Data Entry'!$Ù$406), "", 'Data Entry'!$Ù$406)</f>
      </c>
      <c r="EX406">
        <f>IF(ISBLANK('Data Entry'!$Ú$406), "", 'Data Entry'!$Ú$406)</f>
      </c>
      <c r="EY406">
        <f>IF(ISBLANK('Data Entry'!$Û$406), "", 'Data Entry'!$Û$406)</f>
      </c>
      <c r="EZ406">
        <f>IF(ISBLANK('Data Entry'!$Ü$406), "", 'Data Entry'!$Ü$406)</f>
      </c>
      <c r="FA406">
        <f>IF(ISBLANK('Data Entry'!$Ý$406), "", 'Data Entry'!$Ý$406)</f>
      </c>
      <c r="FB406">
        <f>IF(ISBLANK('Data Entry'!$Þ$406), "", 'Data Entry'!$Þ$406)</f>
      </c>
      <c r="FC406">
        <f>IF(ISBLANK('Data Entry'!$ß$406), "", 'Data Entry'!$ß$406)</f>
      </c>
      <c r="FD406">
        <f>IF(ISBLANK('Data Entry'!$à$406), "", 'Data Entry'!$à$406)</f>
      </c>
      <c r="FE406">
        <f>IF(ISBLANK('Data Entry'!$á$406), "", 'Data Entry'!$á$406)</f>
      </c>
      <c r="FF406">
        <f>IF(ISBLANK('Data Entry'!$â$406), "", 'Data Entry'!$â$406)</f>
      </c>
      <c r="FG406">
        <f>IF(ISBLANK('Data Entry'!$ã$406), "", 'Data Entry'!$ã$406)</f>
      </c>
      <c r="FH406">
        <f>IF(ISBLANK('Data Entry'!$ä$406), "", 'Data Entry'!$ä$406)</f>
      </c>
      <c r="FI406">
        <f>IF(ISBLANK('Data Entry'!$å$406), "", 'Data Entry'!$å$406)</f>
      </c>
      <c r="FJ406">
        <f>IF(ISBLANK('Data Entry'!$æ$406), "", 'Data Entry'!$æ$406)</f>
      </c>
      <c r="FK406">
        <f>IF(ISBLANK('Data Entry'!$ç$406), "", 'Data Entry'!$ç$406)</f>
      </c>
      <c r="FL406">
        <f>IF(ISBLANK('Data Entry'!$è$406), "", 'Data Entry'!$è$406)</f>
      </c>
      <c r="FM406">
        <f>IF(ISBLANK('Data Entry'!$é$406), "", 'Data Entry'!$é$406)</f>
      </c>
      <c r="FN406">
        <f>IF(ISBLANK('Data Entry'!$ê$406), "", 'Data Entry'!$ê$406)</f>
      </c>
      <c r="FO406">
        <f>IF(ISBLANK('Data Entry'!$ë$406), "", 'Data Entry'!$ë$406)</f>
      </c>
      <c r="FP406">
        <f>IF(ISBLANK('Data Entry'!$ì$406), "", 'Data Entry'!$ì$406)</f>
      </c>
      <c r="FQ406">
        <f>IF(ISBLANK('Data Entry'!$í$406), "", 'Data Entry'!$í$406)</f>
      </c>
      <c r="FR406">
        <f>IF(ISBLANK('Data Entry'!$î$406), "", 'Data Entry'!$î$406)</f>
      </c>
      <c r="FS406">
        <f>IF(ISBLANK('Data Entry'!$ï$406), "", 'Data Entry'!$ï$406)</f>
      </c>
      <c r="FT406">
        <f>IF(ISBLANK('Data Entry'!$ð$406), "", 'Data Entry'!$ð$406)</f>
      </c>
      <c r="FU406">
        <f>IF(ISBLANK('Data Entry'!$ñ$406), "", 'Data Entry'!$ñ$406)</f>
      </c>
      <c r="FV406">
        <f>IF(ISBLANK('Data Entry'!$ò$406), "", 'Data Entry'!$ò$406)</f>
      </c>
      <c r="FW406">
        <f>IF(ISBLANK('Data Entry'!$ó$406), "", 'Data Entry'!$ó$406)</f>
      </c>
      <c r="FX406">
        <f>IF(ISBLANK('Data Entry'!$ô$406), "", 'Data Entry'!$ô$406)</f>
      </c>
      <c r="FY406">
        <f>IF(ISBLANK('Data Entry'!$õ$406), "", 'Data Entry'!$õ$406)</f>
      </c>
      <c r="FZ406">
        <f>IF(ISBLANK('Data Entry'!$ö$406), "", 'Data Entry'!$ö$406)</f>
      </c>
      <c r="GA406">
        <f>IF(ISBLANK('Data Entry'!$÷$406), "", 'Data Entry'!$÷$406)</f>
      </c>
      <c r="GB406">
        <f>IF(ISBLANK('Data Entry'!$ø$406), "", 'Data Entry'!$ø$406)</f>
      </c>
      <c r="GC406">
        <f>IF(ISBLANK('Data Entry'!$ù$406), "", 'Data Entry'!$ù$406)</f>
      </c>
      <c r="GD406">
        <f>IF(ISBLANK('Data Entry'!$ú$406), "", 'Data Entry'!$ú$406)</f>
      </c>
      <c r="GE406">
        <f>IF(ISBLANK('Data Entry'!$û$406), "", 'Data Entry'!$û$406)</f>
      </c>
      <c r="GF406">
        <f>IF(ISBLANK('Data Entry'!$ü$406), "", 'Data Entry'!$ü$406)</f>
      </c>
      <c r="GG406">
        <f>IF(ISBLANK('Data Entry'!$ý$406), "", 'Data Entry'!$ý$406)</f>
      </c>
      <c r="GH406">
        <f>IF(ISBLANK('Data Entry'!$þ$406), "", 'Data Entry'!$þ$406)</f>
      </c>
      <c r="GI406">
        <f>IF(ISBLANK('Data Entry'!$ÿ$406), "", 'Data Entry'!$ÿ$406)</f>
      </c>
      <c r="GJ406">
        <f>IF(ISBLANK('Data Entry'!$Ā$406), "", 'Data Entry'!$Ā$406)</f>
      </c>
      <c r="GK406">
        <f>IF(ISBLANK('Data Entry'!$ā$406), "", 'Data Entry'!$ā$406)</f>
      </c>
      <c r="GL406">
        <f>IF(ISBLANK('Data Entry'!$Ă$406), "", 'Data Entry'!$Ă$406)</f>
      </c>
      <c r="GM406">
        <f>IF(ISBLANK('Data Entry'!$ă$406), "", 'Data Entry'!$ă$406)</f>
      </c>
      <c r="GN406">
        <f>IF(ISBLANK('Data Entry'!$Ą$406), "", 'Data Entry'!$Ą$406)</f>
      </c>
      <c r="GO406">
        <f>IF(ISBLANK('Data Entry'!$ą$406), "", 'Data Entry'!$ą$406)</f>
      </c>
      <c r="GP406">
        <f>IF(ISBLANK('Data Entry'!$Ć$406), "", 'Data Entry'!$Ć$406)</f>
      </c>
      <c r="GQ406">
        <f>IF(ISBLANK('Data Entry'!$ć$406), "", 'Data Entry'!$ć$406)</f>
      </c>
      <c r="GR406">
        <f>IF(ISBLANK('Data Entry'!$Ĉ$406), "", 'Data Entry'!$Ĉ$406)</f>
      </c>
      <c r="GS406">
        <f>IF(ISBLANK('Data Entry'!$ĉ$406), "", 'Data Entry'!$ĉ$406)</f>
      </c>
      <c r="GT406">
        <f>IF(ISBLANK('Data Entry'!$Ċ$406), "", 'Data Entry'!$Ċ$406)</f>
      </c>
      <c r="GU406">
        <f>IF(ISBLANK('Data Entry'!$ċ$406), "", 'Data Entry'!$ċ$406)</f>
      </c>
      <c r="GV406">
        <f>IF(ISBLANK('Data Entry'!$Č$406), "", 'Data Entry'!$Č$406)</f>
      </c>
      <c r="GW406">
        <f>IF(ISBLANK('Data Entry'!$č$406), "", 'Data Entry'!$č$406)</f>
      </c>
      <c r="GX406">
        <f>IF(ISBLANK('Data Entry'!$Ď$406), "", 'Data Entry'!$Ď$406)</f>
      </c>
      <c r="GY406">
        <f>IF(ISBLANK('Data Entry'!$ď$406), "", 'Data Entry'!$ď$406)</f>
      </c>
      <c r="GZ406">
        <f>IF(ISBLANK('Data Entry'!$Đ$406), "", 'Data Entry'!$Đ$406)</f>
      </c>
      <c r="HA406">
        <f>IF(ISBLANK('Data Entry'!$đ$406), "", 'Data Entry'!$đ$406)</f>
      </c>
      <c r="HB406">
        <f>IF(ISBLANK('Data Entry'!$Ē$406), "", 'Data Entry'!$Ē$406)</f>
      </c>
      <c r="HC406">
        <f>IF(ISBLANK('Data Entry'!$ē$406), "", 'Data Entry'!$ē$406)</f>
      </c>
      <c r="HD406">
        <f>IF(ISBLANK('Data Entry'!$Ĕ$406), "", 'Data Entry'!$Ĕ$406)</f>
      </c>
      <c r="HE406">
        <f>IF(ISBLANK('Data Entry'!$ĕ$406), "", 'Data Entry'!$ĕ$406)</f>
      </c>
      <c r="HF406">
        <f>IF(ISBLANK('Data Entry'!$Ė$406), "", 'Data Entry'!$Ė$406)</f>
      </c>
      <c r="HG406">
        <f>IF(ISBLANK('Data Entry'!$ė$406), "", 'Data Entry'!$ė$406)</f>
      </c>
      <c r="HH406">
        <f>IF(ISBLANK('Data Entry'!$Ę$406), "", 'Data Entry'!$Ę$406)</f>
      </c>
      <c r="HI406">
        <f>IF(ISBLANK('Data Entry'!$ę$406), "", 'Data Entry'!$ę$406)</f>
      </c>
      <c r="HJ406">
        <f>IF(ISBLANK('Data Entry'!$Ě$406), "", 'Data Entry'!$Ě$406)</f>
      </c>
      <c r="HK406">
        <f>IF(ISBLANK('Data Entry'!$ě$406), "", 'Data Entry'!$ě$406)</f>
      </c>
      <c r="HL406">
        <f>IF(ISBLANK('Data Entry'!$Ĝ$406), "", 'Data Entry'!$Ĝ$406)</f>
      </c>
      <c r="HM406">
        <f>IF(ISBLANK('Data Entry'!$ĝ$406), "", 'Data Entry'!$ĝ$406)</f>
      </c>
      <c r="HN406">
        <f>IF(ISBLANK('Data Entry'!$Ğ$406), "", 'Data Entry'!$Ğ$406)</f>
      </c>
      <c r="HO406">
        <f>IF(ISBLANK('Data Entry'!$ğ$406), "", 'Data Entry'!$ğ$406)</f>
      </c>
      <c r="HP406">
        <f>IF(ISBLANK('Data Entry'!$Ġ$406), "", 'Data Entry'!$Ġ$406)</f>
      </c>
      <c r="HQ406">
        <f>IF(ISBLANK('Data Entry'!$ġ$406), "", 'Data Entry'!$ġ$406)</f>
      </c>
      <c r="HR406">
        <f>IF(ISBLANK('Data Entry'!$Ģ$406), "", 'Data Entry'!$Ģ$406)</f>
      </c>
      <c r="HS406">
        <f>IF(ISBLANK('Data Entry'!$ģ$406), "", 'Data Entry'!$ģ$406)</f>
      </c>
      <c r="HT406">
        <f>IF(ISBLANK('Data Entry'!$Ĥ$406), "", 'Data Entry'!$Ĥ$406)</f>
      </c>
      <c r="HU406">
        <f>IF(ISBLANK('Data Entry'!$ĥ$406), "", 'Data Entry'!$ĥ$406)</f>
      </c>
      <c r="HV406">
        <f>IF(ISBLANK('Data Entry'!$Ħ$406), "", 'Data Entry'!$Ħ$406)</f>
      </c>
      <c r="HW406">
        <f>IF(ISBLANK('Data Entry'!$ħ$406), "", 'Data Entry'!$ħ$406)</f>
      </c>
      <c r="HX406">
        <f>IF(ISBLANK('Data Entry'!$Ĩ$406), "", 'Data Entry'!$Ĩ$406)</f>
      </c>
      <c r="HY406">
        <f>IF(ISBLANK('Data Entry'!$ĩ$406), "", 'Data Entry'!$ĩ$406)</f>
      </c>
      <c r="HZ406">
        <f>IF(ISBLANK('Data Entry'!$Ī$406), "", 'Data Entry'!$Ī$406)</f>
      </c>
      <c r="IA406">
        <f>IF(ISBLANK('Data Entry'!$ī$406), "", 'Data Entry'!$ī$406)</f>
      </c>
      <c r="IB406">
        <f>IF(ISBLANK('Data Entry'!$Ĭ$406), "", 'Data Entry'!$Ĭ$406)</f>
      </c>
      <c r="IC406">
        <f>IF(ISBLANK('Data Entry'!$ĭ$406), "", 'Data Entry'!$ĭ$406)</f>
      </c>
      <c r="ID406">
        <f>IF(ISBLANK('Data Entry'!$Į$406), "", 'Data Entry'!$Į$406)</f>
      </c>
      <c r="IE406">
        <f>IF(ISBLANK('Data Entry'!$į$406), "", 'Data Entry'!$į$406)</f>
      </c>
      <c r="IF406">
        <f>IF(ISBLANK('Data Entry'!$İ$406), "", 'Data Entry'!$İ$406)</f>
      </c>
      <c r="IG406">
        <f>IF(ISBLANK('Data Entry'!$ı$406), "", 'Data Entry'!$ı$406)</f>
      </c>
      <c r="IH406">
        <f>IF(ISBLANK('Data Entry'!$Ĳ$406), "", 'Data Entry'!$Ĳ$406)</f>
      </c>
      <c r="II406">
        <f>IF(ISBLANK('Data Entry'!$ĳ$406), "", 'Data Entry'!$ĳ$406)</f>
      </c>
      <c r="IJ406">
        <f>IF(ISBLANK('Data Entry'!$Ĵ$406), "", 'Data Entry'!$Ĵ$406)</f>
      </c>
      <c r="IK406">
        <f>IF(ISBLANK('Data Entry'!$ĵ$406), "", 'Data Entry'!$ĵ$406)</f>
      </c>
      <c r="IL406">
        <f>IF(ISBLANK('Data Entry'!$Ķ$406), "", 'Data Entry'!$Ķ$406)</f>
      </c>
      <c r="IM406">
        <f>IF(ISBLANK('Data Entry'!$ķ$406), "", 'Data Entry'!$ķ$406)</f>
      </c>
      <c r="IN406">
        <f>IF(ISBLANK('Data Entry'!$ĸ$406), "", 'Data Entry'!$ĸ$406)</f>
      </c>
      <c r="IO406">
        <f>IF(ISBLANK('Data Entry'!$Ĺ$406), "", 'Data Entry'!$Ĺ$406)</f>
      </c>
      <c r="IP406">
        <f>IF(ISBLANK('Data Entry'!$ĺ$406), "", 'Data Entry'!$ĺ$406)</f>
      </c>
      <c r="IQ406">
        <f>IF(ISBLANK('Data Entry'!$Ļ$406), "", 'Data Entry'!$Ļ$406)</f>
      </c>
      <c r="IR406">
        <f>IF(ISBLANK('Data Entry'!$ļ$406), "", 'Data Entry'!$ļ$406)</f>
      </c>
      <c r="IS406">
        <f>IF(ISBLANK('Data Entry'!$Ľ$406), "", 'Data Entry'!$Ľ$406)</f>
      </c>
      <c r="IT406">
        <f>IF(ISBLANK('Data Entry'!$ľ$406), "", 'Data Entry'!$ľ$406)</f>
      </c>
    </row>
    <row r="407" spans="1:254" x14ac:dyDescent="0.25">
      <c r="A407">
        <f>IF(ISBLANK('Data Entry'!$A$407), "", 'Data Entry'!$A$407)</f>
      </c>
      <c r="B407">
        <f>IF(ISBLANK('Data Entry'!$B$407), "", 'Data Entry'!$B$407)</f>
      </c>
      <c r="C407">
        <f>IF(ISBLANK('Data Entry'!$C$407), "", 'Data Entry'!$C$407)</f>
      </c>
      <c r="D407">
        <f>IF(ISBLANK('Data Entry'!$D$407), "", 'Data Entry'!$D$407)</f>
      </c>
      <c r="E407">
        <f>IF(ISBLANK('Data Entry'!$E$407), "", 'Data Entry'!$E$407)</f>
      </c>
      <c r="F407">
        <f>IF(ISBLANK('Data Entry'!$F$407), "", 'Data Entry'!$F$407)</f>
      </c>
      <c r="G407">
        <f>IF(ISBLANK('Data Entry'!$G$407), "", 'Data Entry'!$G$407)</f>
      </c>
      <c r="H407">
        <f>IF(ISBLANK('Data Entry'!$H$407), "", 'Data Entry'!$H$407)</f>
      </c>
      <c r="I407">
        <f>IF(ISBLANK('Data Entry'!$I$407), "", 'Data Entry'!$I$407)</f>
      </c>
      <c r="J407">
        <f>IF(ISBLANK('Data Entry'!$J$407), "", 'Data Entry'!$J$407)</f>
      </c>
      <c r="K407">
        <f>IF(ISBLANK('Data Entry'!$K$407), "", 'Data Entry'!$K$407)</f>
      </c>
      <c r="L407">
        <f>IF(ISBLANK('Data Entry'!$L$407), "", 'Data Entry'!$L$407)</f>
      </c>
      <c r="M407">
        <f>IF(ISBLANK('Data Entry'!$M$407), "", 'Data Entry'!$M$407)</f>
      </c>
      <c r="N407">
        <f>IF(ISBLANK('Data Entry'!$N$407), "", 'Data Entry'!$N$407)</f>
      </c>
      <c r="O407">
        <f>IF(ISBLANK('Data Entry'!$O$407), "", 'Data Entry'!$O$407)</f>
      </c>
      <c r="P407">
        <f>IF(ISBLANK('Data Entry'!$P$407), "", 'Data Entry'!$P$407)</f>
      </c>
      <c r="Q407">
        <f>IF(ISBLANK('Data Entry'!$Q$407), "", 'Data Entry'!$Q$407)</f>
      </c>
      <c r="R407">
        <f>IF(ISBLANK('Data Entry'!$R$407), "", 'Data Entry'!$R$407)</f>
      </c>
      <c r="S407">
        <f>IF(ISBLANK('Data Entry'!$S$407), "", 'Data Entry'!$S$407)</f>
      </c>
      <c r="T407">
        <f>IF(ISBLANK('Data Entry'!$T$407), "", 'Data Entry'!$T$407)</f>
      </c>
      <c r="U407">
        <f>IF(ISBLANK('Data Entry'!$U$407), "", 'Data Entry'!$U$407)</f>
      </c>
      <c r="V407">
        <f>IF(ISBLANK('Data Entry'!$V$407), "", 'Data Entry'!$V$407)</f>
      </c>
      <c r="W407">
        <f>IF(ISBLANK('Data Entry'!$W$407), "", 'Data Entry'!$W$407)</f>
      </c>
      <c r="X407">
        <f>IF(ISBLANK('Data Entry'!$X$407), "", 'Data Entry'!$X$407)</f>
      </c>
      <c r="Y407">
        <f>IF(ISBLANK('Data Entry'!$Y$407), "", 'Data Entry'!$Y$407)</f>
      </c>
      <c r="Z407">
        <f>IF(ISBLANK('Data Entry'!$Z$407), "", 'Data Entry'!$Z$407)</f>
      </c>
      <c r="AA407">
        <f>IF(ISBLANK('Data Entry'!$[$407), "", 'Data Entry'!$[$407)</f>
      </c>
      <c r="AB407">
        <f>IF(ISBLANK('Data Entry'!$\$407), "", 'Data Entry'!$\$407)</f>
      </c>
      <c r="AC407">
        <f>IF(ISBLANK('Data Entry'!$]$407), "", 'Data Entry'!$]$407)</f>
      </c>
      <c r="AD407">
        <f>IF(ISBLANK('Data Entry'!$^$407), "", 'Data Entry'!$^$407)</f>
      </c>
      <c r="AE407">
        <f>IF(ISBLANK('Data Entry'!$_$407), "", 'Data Entry'!$_$407)</f>
      </c>
      <c r="AF407">
        <f>IF(ISBLANK('Data Entry'!$`$407), "", 'Data Entry'!$`$407)</f>
      </c>
      <c r="AG407">
        <f>IF(ISBLANK('Data Entry'!$a$407), "", 'Data Entry'!$a$407)</f>
      </c>
      <c r="AH407">
        <f>IF(ISBLANK('Data Entry'!$b$407), "", 'Data Entry'!$b$407)</f>
      </c>
      <c r="AI407">
        <f>IF(ISBLANK('Data Entry'!$c$407), "", 'Data Entry'!$c$407)</f>
      </c>
      <c r="AJ407">
        <f>IF(ISBLANK('Data Entry'!$d$407), "", 'Data Entry'!$d$407)</f>
      </c>
      <c r="AK407">
        <f>IF(ISBLANK('Data Entry'!$e$407), "", 'Data Entry'!$e$407)</f>
      </c>
      <c r="AL407">
        <f>IF(ISBLANK('Data Entry'!$f$407), "", 'Data Entry'!$f$407)</f>
      </c>
      <c r="AM407">
        <f>IF(ISBLANK('Data Entry'!$g$407), "", 'Data Entry'!$g$407)</f>
      </c>
      <c r="AN407">
        <f>IF(ISBLANK('Data Entry'!$h$407), "", 'Data Entry'!$h$407)</f>
      </c>
      <c r="AO407">
        <f>IF(ISBLANK('Data Entry'!$i$407), "", 'Data Entry'!$i$407)</f>
      </c>
      <c r="AP407">
        <f>IF(ISBLANK('Data Entry'!$j$407), "", 'Data Entry'!$j$407)</f>
      </c>
      <c r="AQ407">
        <f>IF(ISBLANK('Data Entry'!$k$407), "", 'Data Entry'!$k$407)</f>
      </c>
      <c r="AR407">
        <f>IF(ISBLANK('Data Entry'!$l$407), "", 'Data Entry'!$l$407)</f>
      </c>
      <c r="AS407">
        <f>IF(ISBLANK('Data Entry'!$m$407), "", 'Data Entry'!$m$407)</f>
      </c>
      <c r="AT407">
        <f>IF(ISBLANK('Data Entry'!$n$407), "", 'Data Entry'!$n$407)</f>
      </c>
      <c r="AU407">
        <f>IF(ISBLANK('Data Entry'!$o$407), "", 'Data Entry'!$o$407)</f>
      </c>
      <c r="AV407">
        <f>IF(ISBLANK('Data Entry'!$p$407), "", 'Data Entry'!$p$407)</f>
      </c>
      <c r="AW407">
        <f>IF(ISBLANK('Data Entry'!$q$407), "", 'Data Entry'!$q$407)</f>
      </c>
      <c r="AX407">
        <f>IF(ISBLANK('Data Entry'!$r$407), "", 'Data Entry'!$r$407)</f>
      </c>
      <c r="AY407">
        <f>IF(ISBLANK('Data Entry'!$s$407), "", 'Data Entry'!$s$407)</f>
      </c>
      <c r="AZ407">
        <f>IF(ISBLANK('Data Entry'!$t$407), "", 'Data Entry'!$t$407)</f>
      </c>
      <c r="BA407">
        <f>IF(ISBLANK('Data Entry'!$u$407), "", 'Data Entry'!$u$407)</f>
      </c>
      <c r="BB407">
        <f>IF(ISBLANK('Data Entry'!$v$407), "", 'Data Entry'!$v$407)</f>
      </c>
      <c r="BC407">
        <f>IF(ISBLANK('Data Entry'!$w$407), "", 'Data Entry'!$w$407)</f>
      </c>
      <c r="BD407">
        <f>IF(ISBLANK('Data Entry'!$x$407), "", 'Data Entry'!$x$407)</f>
      </c>
      <c r="BE407">
        <f>IF(ISBLANK('Data Entry'!$y$407), "", 'Data Entry'!$y$407)</f>
      </c>
      <c r="BF407">
        <f>IF(ISBLANK('Data Entry'!$z$407), "", 'Data Entry'!$z$407)</f>
      </c>
      <c r="BG407">
        <f>IF(ISBLANK('Data Entry'!${$407), "", 'Data Entry'!${$407)</f>
      </c>
      <c r="BH407">
        <f>IF(ISBLANK('Data Entry'!$|$407), "", 'Data Entry'!$|$407)</f>
      </c>
      <c r="BI407">
        <f>IF(ISBLANK('Data Entry'!$}$407), "", 'Data Entry'!$}$407)</f>
      </c>
      <c r="BJ407">
        <f>IF(ISBLANK('Data Entry'!$~$407), "", 'Data Entry'!$~$407)</f>
      </c>
      <c r="BK407">
        <f>IF(ISBLANK('Data Entry'!$$407), "", 'Data Entry'!$$407)</f>
      </c>
      <c r="BL407">
        <f>IF(ISBLANK('Data Entry'!$$407), "", 'Data Entry'!$$407)</f>
      </c>
      <c r="BM407">
        <f>IF(ISBLANK('Data Entry'!$$407), "", 'Data Entry'!$$407)</f>
      </c>
      <c r="BN407">
        <f>IF(ISBLANK('Data Entry'!$$407), "", 'Data Entry'!$$407)</f>
      </c>
      <c r="BO407">
        <f>IF(ISBLANK('Data Entry'!$$407), "", 'Data Entry'!$$407)</f>
      </c>
      <c r="BP407">
        <f>IF(ISBLANK('Data Entry'!$$407), "", 'Data Entry'!$$407)</f>
      </c>
      <c r="BQ407">
        <f>IF(ISBLANK('Data Entry'!$$407), "", 'Data Entry'!$$407)</f>
      </c>
      <c r="BR407">
        <f>IF(ISBLANK('Data Entry'!$$407), "", 'Data Entry'!$$407)</f>
      </c>
      <c r="BS407">
        <f>IF(ISBLANK('Data Entry'!$$407), "", 'Data Entry'!$$407)</f>
      </c>
      <c r="BT407">
        <f>IF(ISBLANK('Data Entry'!$$407), "", 'Data Entry'!$$407)</f>
      </c>
      <c r="BU407">
        <f>IF(ISBLANK('Data Entry'!$$407), "", 'Data Entry'!$$407)</f>
      </c>
      <c r="BV407">
        <f>IF(ISBLANK('Data Entry'!$$407), "", 'Data Entry'!$$407)</f>
      </c>
      <c r="BW407">
        <f>IF(ISBLANK('Data Entry'!$$407), "", 'Data Entry'!$$407)</f>
      </c>
      <c r="BX407">
        <f>IF(ISBLANK('Data Entry'!$$407), "", 'Data Entry'!$$407)</f>
      </c>
      <c r="BY407">
        <f>IF(ISBLANK('Data Entry'!$$407), "", 'Data Entry'!$$407)</f>
      </c>
      <c r="BZ407">
        <f>IF(ISBLANK('Data Entry'!$$407), "", 'Data Entry'!$$407)</f>
      </c>
      <c r="CA407">
        <f>IF(ISBLANK('Data Entry'!$$407), "", 'Data Entry'!$$407)</f>
      </c>
      <c r="CB407">
        <f>IF(ISBLANK('Data Entry'!$$407), "", 'Data Entry'!$$407)</f>
      </c>
      <c r="CC407">
        <f>IF(ISBLANK('Data Entry'!$$407), "", 'Data Entry'!$$407)</f>
      </c>
      <c r="CD407">
        <f>IF(ISBLANK('Data Entry'!$$407), "", 'Data Entry'!$$407)</f>
      </c>
      <c r="CE407">
        <f>IF(ISBLANK('Data Entry'!$$407), "", 'Data Entry'!$$407)</f>
      </c>
      <c r="CF407">
        <f>IF(ISBLANK('Data Entry'!$$407), "", 'Data Entry'!$$407)</f>
      </c>
      <c r="CG407">
        <f>IF(ISBLANK('Data Entry'!$$407), "", 'Data Entry'!$$407)</f>
      </c>
      <c r="CH407">
        <f>IF(ISBLANK('Data Entry'!$$407), "", 'Data Entry'!$$407)</f>
      </c>
      <c r="CI407">
        <f>IF(ISBLANK('Data Entry'!$$407), "", 'Data Entry'!$$407)</f>
      </c>
      <c r="CJ407">
        <f>IF(ISBLANK('Data Entry'!$$407), "", 'Data Entry'!$$407)</f>
      </c>
      <c r="CK407">
        <f>IF(ISBLANK('Data Entry'!$$407), "", 'Data Entry'!$$407)</f>
      </c>
      <c r="CL407">
        <f>IF(ISBLANK('Data Entry'!$$407), "", 'Data Entry'!$$407)</f>
      </c>
      <c r="CM407">
        <f>IF(ISBLANK('Data Entry'!$$407), "", 'Data Entry'!$$407)</f>
      </c>
      <c r="CN407">
        <f>IF(ISBLANK('Data Entry'!$$407), "", 'Data Entry'!$$407)</f>
      </c>
      <c r="CO407">
        <f>IF(ISBLANK('Data Entry'!$$407), "", 'Data Entry'!$$407)</f>
      </c>
      <c r="CP407">
        <f>IF(ISBLANK('Data Entry'!$$407), "", 'Data Entry'!$$407)</f>
      </c>
      <c r="CQ407">
        <f>IF(ISBLANK('Data Entry'!$$407), "", 'Data Entry'!$$407)</f>
      </c>
      <c r="CR407">
        <f>IF(ISBLANK('Data Entry'!$ $407), "", 'Data Entry'!$ $407)</f>
      </c>
      <c r="CS407">
        <f>IF(ISBLANK('Data Entry'!$¡$407), "", 'Data Entry'!$¡$407)</f>
      </c>
      <c r="CT407">
        <f>IF(ISBLANK('Data Entry'!$¢$407), "", 'Data Entry'!$¢$407)</f>
      </c>
      <c r="CU407">
        <f>IF(ISBLANK('Data Entry'!$£$407), "", 'Data Entry'!$£$407)</f>
      </c>
      <c r="CV407">
        <f>IF(ISBLANK('Data Entry'!$¤$407), "", 'Data Entry'!$¤$407)</f>
      </c>
      <c r="CW407">
        <f>IF(ISBLANK('Data Entry'!$¥$407), "", 'Data Entry'!$¥$407)</f>
      </c>
      <c r="CX407">
        <f>IF(ISBLANK('Data Entry'!$¦$407), "", 'Data Entry'!$¦$407)</f>
      </c>
      <c r="CY407">
        <f>IF(ISBLANK('Data Entry'!$§$407), "", 'Data Entry'!$§$407)</f>
      </c>
      <c r="CZ407">
        <f>IF(ISBLANK('Data Entry'!$¨$407), "", 'Data Entry'!$¨$407)</f>
      </c>
      <c r="DA407">
        <f>IF(ISBLANK('Data Entry'!$©$407), "", 'Data Entry'!$©$407)</f>
      </c>
      <c r="DB407">
        <f>IF(ISBLANK('Data Entry'!$ª$407), "", 'Data Entry'!$ª$407)</f>
      </c>
      <c r="DC407">
        <f>IF(ISBLANK('Data Entry'!$«$407), "", 'Data Entry'!$«$407)</f>
      </c>
      <c r="DD407">
        <f>IF(ISBLANK('Data Entry'!$¬$407), "", 'Data Entry'!$¬$407)</f>
      </c>
      <c r="DE407">
        <f>IF(ISBLANK('Data Entry'!$­$407), "", 'Data Entry'!$­$407)</f>
      </c>
      <c r="DF407">
        <f>IF(ISBLANK('Data Entry'!$®$407), "", 'Data Entry'!$®$407)</f>
      </c>
      <c r="DG407">
        <f>IF(ISBLANK('Data Entry'!$¯$407), "", 'Data Entry'!$¯$407)</f>
      </c>
      <c r="DH407">
        <f>IF(ISBLANK('Data Entry'!$°$407), "", 'Data Entry'!$°$407)</f>
      </c>
      <c r="DI407">
        <f>IF(ISBLANK('Data Entry'!$±$407), "", 'Data Entry'!$±$407)</f>
      </c>
      <c r="DJ407">
        <f>IF(ISBLANK('Data Entry'!$²$407), "", 'Data Entry'!$²$407)</f>
      </c>
      <c r="DK407">
        <f>IF(ISBLANK('Data Entry'!$³$407), "", 'Data Entry'!$³$407)</f>
      </c>
      <c r="DL407">
        <f>IF(ISBLANK('Data Entry'!$´$407), "", 'Data Entry'!$´$407)</f>
      </c>
      <c r="DM407">
        <f>IF(ISBLANK('Data Entry'!$µ$407), "", 'Data Entry'!$µ$407)</f>
      </c>
      <c r="DN407">
        <f>IF(ISBLANK('Data Entry'!$¶$407), "", 'Data Entry'!$¶$407)</f>
      </c>
      <c r="DO407">
        <f>IF(ISBLANK('Data Entry'!$·$407), "", 'Data Entry'!$·$407)</f>
      </c>
      <c r="DP407">
        <f>IF(ISBLANK('Data Entry'!$¸$407), "", 'Data Entry'!$¸$407)</f>
      </c>
      <c r="DQ407">
        <f>IF(ISBLANK('Data Entry'!$¹$407), "", 'Data Entry'!$¹$407)</f>
      </c>
      <c r="DR407">
        <f>IF(ISBLANK('Data Entry'!$º$407), "", 'Data Entry'!$º$407)</f>
      </c>
      <c r="DS407">
        <f>IF(ISBLANK('Data Entry'!$»$407), "", 'Data Entry'!$»$407)</f>
      </c>
      <c r="DT407">
        <f>IF(ISBLANK('Data Entry'!$¼$407), "", 'Data Entry'!$¼$407)</f>
      </c>
      <c r="DU407">
        <f>IF(ISBLANK('Data Entry'!$½$407), "", 'Data Entry'!$½$407)</f>
      </c>
      <c r="DV407">
        <f>IF(ISBLANK('Data Entry'!$¾$407), "", 'Data Entry'!$¾$407)</f>
      </c>
      <c r="DW407">
        <f>IF(ISBLANK('Data Entry'!$¿$407), "", 'Data Entry'!$¿$407)</f>
      </c>
      <c r="DX407">
        <f>IF(ISBLANK('Data Entry'!$À$407), "", 'Data Entry'!$À$407)</f>
      </c>
      <c r="DY407">
        <f>IF(ISBLANK('Data Entry'!$Á$407), "", 'Data Entry'!$Á$407)</f>
      </c>
      <c r="DZ407">
        <f>IF(ISBLANK('Data Entry'!$Â$407), "", 'Data Entry'!$Â$407)</f>
      </c>
      <c r="EA407">
        <f>IF(ISBLANK('Data Entry'!$Ã$407), "", 'Data Entry'!$Ã$407)</f>
      </c>
      <c r="EB407">
        <f>IF(ISBLANK('Data Entry'!$Ä$407), "", 'Data Entry'!$Ä$407)</f>
      </c>
      <c r="EC407">
        <f>IF(ISBLANK('Data Entry'!$Å$407), "", 'Data Entry'!$Å$407)</f>
      </c>
      <c r="ED407">
        <f>IF(ISBLANK('Data Entry'!$Æ$407), "", 'Data Entry'!$Æ$407)</f>
      </c>
      <c r="EE407">
        <f>IF(ISBLANK('Data Entry'!$Ç$407), "", 'Data Entry'!$Ç$407)</f>
      </c>
      <c r="EF407">
        <f>IF(ISBLANK('Data Entry'!$È$407), "", 'Data Entry'!$È$407)</f>
      </c>
      <c r="EG407">
        <f>IF(ISBLANK('Data Entry'!$É$407), "", 'Data Entry'!$É$407)</f>
      </c>
      <c r="EH407">
        <f>IF(ISBLANK('Data Entry'!$Ê$407), "", 'Data Entry'!$Ê$407)</f>
      </c>
      <c r="EI407">
        <f>IF(ISBLANK('Data Entry'!$Ë$407), "", 'Data Entry'!$Ë$407)</f>
      </c>
      <c r="EJ407">
        <f>IF(ISBLANK('Data Entry'!$Ì$407), "", 'Data Entry'!$Ì$407)</f>
      </c>
      <c r="EK407">
        <f>IF(ISBLANK('Data Entry'!$Í$407), "", 'Data Entry'!$Í$407)</f>
      </c>
      <c r="EL407">
        <f>IF(ISBLANK('Data Entry'!$Î$407), "", 'Data Entry'!$Î$407)</f>
      </c>
      <c r="EM407">
        <f>IF(ISBLANK('Data Entry'!$Ï$407), "", 'Data Entry'!$Ï$407)</f>
      </c>
      <c r="EN407">
        <f>IF(ISBLANK('Data Entry'!$Ð$407), "", 'Data Entry'!$Ð$407)</f>
      </c>
      <c r="EO407">
        <f>IF(ISBLANK('Data Entry'!$Ñ$407), "", 'Data Entry'!$Ñ$407)</f>
      </c>
      <c r="EP407">
        <f>IF(ISBLANK('Data Entry'!$Ò$407), "", 'Data Entry'!$Ò$407)</f>
      </c>
      <c r="EQ407">
        <f>IF(ISBLANK('Data Entry'!$Ó$407), "", 'Data Entry'!$Ó$407)</f>
      </c>
      <c r="ER407">
        <f>IF(ISBLANK('Data Entry'!$Ô$407), "", 'Data Entry'!$Ô$407)</f>
      </c>
      <c r="ES407">
        <f>IF(ISBLANK('Data Entry'!$Õ$407), "", 'Data Entry'!$Õ$407)</f>
      </c>
      <c r="ET407">
        <f>IF(ISBLANK('Data Entry'!$Ö$407), "", 'Data Entry'!$Ö$407)</f>
      </c>
      <c r="EU407">
        <f>IF(ISBLANK('Data Entry'!$×$407), "", 'Data Entry'!$×$407)</f>
      </c>
      <c r="EV407">
        <f>IF(ISBLANK('Data Entry'!$Ø$407), "", 'Data Entry'!$Ø$407)</f>
      </c>
      <c r="EW407">
        <f>IF(ISBLANK('Data Entry'!$Ù$407), "", 'Data Entry'!$Ù$407)</f>
      </c>
      <c r="EX407">
        <f>IF(ISBLANK('Data Entry'!$Ú$407), "", 'Data Entry'!$Ú$407)</f>
      </c>
      <c r="EY407">
        <f>IF(ISBLANK('Data Entry'!$Û$407), "", 'Data Entry'!$Û$407)</f>
      </c>
      <c r="EZ407">
        <f>IF(ISBLANK('Data Entry'!$Ü$407), "", 'Data Entry'!$Ü$407)</f>
      </c>
      <c r="FA407">
        <f>IF(ISBLANK('Data Entry'!$Ý$407), "", 'Data Entry'!$Ý$407)</f>
      </c>
      <c r="FB407">
        <f>IF(ISBLANK('Data Entry'!$Þ$407), "", 'Data Entry'!$Þ$407)</f>
      </c>
      <c r="FC407">
        <f>IF(ISBLANK('Data Entry'!$ß$407), "", 'Data Entry'!$ß$407)</f>
      </c>
      <c r="FD407">
        <f>IF(ISBLANK('Data Entry'!$à$407), "", 'Data Entry'!$à$407)</f>
      </c>
      <c r="FE407">
        <f>IF(ISBLANK('Data Entry'!$á$407), "", 'Data Entry'!$á$407)</f>
      </c>
      <c r="FF407">
        <f>IF(ISBLANK('Data Entry'!$â$407), "", 'Data Entry'!$â$407)</f>
      </c>
      <c r="FG407">
        <f>IF(ISBLANK('Data Entry'!$ã$407), "", 'Data Entry'!$ã$407)</f>
      </c>
      <c r="FH407">
        <f>IF(ISBLANK('Data Entry'!$ä$407), "", 'Data Entry'!$ä$407)</f>
      </c>
      <c r="FI407">
        <f>IF(ISBLANK('Data Entry'!$å$407), "", 'Data Entry'!$å$407)</f>
      </c>
      <c r="FJ407">
        <f>IF(ISBLANK('Data Entry'!$æ$407), "", 'Data Entry'!$æ$407)</f>
      </c>
      <c r="FK407">
        <f>IF(ISBLANK('Data Entry'!$ç$407), "", 'Data Entry'!$ç$407)</f>
      </c>
      <c r="FL407">
        <f>IF(ISBLANK('Data Entry'!$è$407), "", 'Data Entry'!$è$407)</f>
      </c>
      <c r="FM407">
        <f>IF(ISBLANK('Data Entry'!$é$407), "", 'Data Entry'!$é$407)</f>
      </c>
      <c r="FN407">
        <f>IF(ISBLANK('Data Entry'!$ê$407), "", 'Data Entry'!$ê$407)</f>
      </c>
      <c r="FO407">
        <f>IF(ISBLANK('Data Entry'!$ë$407), "", 'Data Entry'!$ë$407)</f>
      </c>
      <c r="FP407">
        <f>IF(ISBLANK('Data Entry'!$ì$407), "", 'Data Entry'!$ì$407)</f>
      </c>
      <c r="FQ407">
        <f>IF(ISBLANK('Data Entry'!$í$407), "", 'Data Entry'!$í$407)</f>
      </c>
      <c r="FR407">
        <f>IF(ISBLANK('Data Entry'!$î$407), "", 'Data Entry'!$î$407)</f>
      </c>
      <c r="FS407">
        <f>IF(ISBLANK('Data Entry'!$ï$407), "", 'Data Entry'!$ï$407)</f>
      </c>
      <c r="FT407">
        <f>IF(ISBLANK('Data Entry'!$ð$407), "", 'Data Entry'!$ð$407)</f>
      </c>
      <c r="FU407">
        <f>IF(ISBLANK('Data Entry'!$ñ$407), "", 'Data Entry'!$ñ$407)</f>
      </c>
      <c r="FV407">
        <f>IF(ISBLANK('Data Entry'!$ò$407), "", 'Data Entry'!$ò$407)</f>
      </c>
      <c r="FW407">
        <f>IF(ISBLANK('Data Entry'!$ó$407), "", 'Data Entry'!$ó$407)</f>
      </c>
      <c r="FX407">
        <f>IF(ISBLANK('Data Entry'!$ô$407), "", 'Data Entry'!$ô$407)</f>
      </c>
      <c r="FY407">
        <f>IF(ISBLANK('Data Entry'!$õ$407), "", 'Data Entry'!$õ$407)</f>
      </c>
      <c r="FZ407">
        <f>IF(ISBLANK('Data Entry'!$ö$407), "", 'Data Entry'!$ö$407)</f>
      </c>
      <c r="GA407">
        <f>IF(ISBLANK('Data Entry'!$÷$407), "", 'Data Entry'!$÷$407)</f>
      </c>
      <c r="GB407">
        <f>IF(ISBLANK('Data Entry'!$ø$407), "", 'Data Entry'!$ø$407)</f>
      </c>
      <c r="GC407">
        <f>IF(ISBLANK('Data Entry'!$ù$407), "", 'Data Entry'!$ù$407)</f>
      </c>
      <c r="GD407">
        <f>IF(ISBLANK('Data Entry'!$ú$407), "", 'Data Entry'!$ú$407)</f>
      </c>
      <c r="GE407">
        <f>IF(ISBLANK('Data Entry'!$û$407), "", 'Data Entry'!$û$407)</f>
      </c>
      <c r="GF407">
        <f>IF(ISBLANK('Data Entry'!$ü$407), "", 'Data Entry'!$ü$407)</f>
      </c>
      <c r="GG407">
        <f>IF(ISBLANK('Data Entry'!$ý$407), "", 'Data Entry'!$ý$407)</f>
      </c>
      <c r="GH407">
        <f>IF(ISBLANK('Data Entry'!$þ$407), "", 'Data Entry'!$þ$407)</f>
      </c>
      <c r="GI407">
        <f>IF(ISBLANK('Data Entry'!$ÿ$407), "", 'Data Entry'!$ÿ$407)</f>
      </c>
      <c r="GJ407">
        <f>IF(ISBLANK('Data Entry'!$Ā$407), "", 'Data Entry'!$Ā$407)</f>
      </c>
      <c r="GK407">
        <f>IF(ISBLANK('Data Entry'!$ā$407), "", 'Data Entry'!$ā$407)</f>
      </c>
      <c r="GL407">
        <f>IF(ISBLANK('Data Entry'!$Ă$407), "", 'Data Entry'!$Ă$407)</f>
      </c>
      <c r="GM407">
        <f>IF(ISBLANK('Data Entry'!$ă$407), "", 'Data Entry'!$ă$407)</f>
      </c>
      <c r="GN407">
        <f>IF(ISBLANK('Data Entry'!$Ą$407), "", 'Data Entry'!$Ą$407)</f>
      </c>
      <c r="GO407">
        <f>IF(ISBLANK('Data Entry'!$ą$407), "", 'Data Entry'!$ą$407)</f>
      </c>
      <c r="GP407">
        <f>IF(ISBLANK('Data Entry'!$Ć$407), "", 'Data Entry'!$Ć$407)</f>
      </c>
      <c r="GQ407">
        <f>IF(ISBLANK('Data Entry'!$ć$407), "", 'Data Entry'!$ć$407)</f>
      </c>
      <c r="GR407">
        <f>IF(ISBLANK('Data Entry'!$Ĉ$407), "", 'Data Entry'!$Ĉ$407)</f>
      </c>
      <c r="GS407">
        <f>IF(ISBLANK('Data Entry'!$ĉ$407), "", 'Data Entry'!$ĉ$407)</f>
      </c>
      <c r="GT407">
        <f>IF(ISBLANK('Data Entry'!$Ċ$407), "", 'Data Entry'!$Ċ$407)</f>
      </c>
      <c r="GU407">
        <f>IF(ISBLANK('Data Entry'!$ċ$407), "", 'Data Entry'!$ċ$407)</f>
      </c>
      <c r="GV407">
        <f>IF(ISBLANK('Data Entry'!$Č$407), "", 'Data Entry'!$Č$407)</f>
      </c>
      <c r="GW407">
        <f>IF(ISBLANK('Data Entry'!$č$407), "", 'Data Entry'!$č$407)</f>
      </c>
      <c r="GX407">
        <f>IF(ISBLANK('Data Entry'!$Ď$407), "", 'Data Entry'!$Ď$407)</f>
      </c>
      <c r="GY407">
        <f>IF(ISBLANK('Data Entry'!$ď$407), "", 'Data Entry'!$ď$407)</f>
      </c>
      <c r="GZ407">
        <f>IF(ISBLANK('Data Entry'!$Đ$407), "", 'Data Entry'!$Đ$407)</f>
      </c>
      <c r="HA407">
        <f>IF(ISBLANK('Data Entry'!$đ$407), "", 'Data Entry'!$đ$407)</f>
      </c>
      <c r="HB407">
        <f>IF(ISBLANK('Data Entry'!$Ē$407), "", 'Data Entry'!$Ē$407)</f>
      </c>
      <c r="HC407">
        <f>IF(ISBLANK('Data Entry'!$ē$407), "", 'Data Entry'!$ē$407)</f>
      </c>
      <c r="HD407">
        <f>IF(ISBLANK('Data Entry'!$Ĕ$407), "", 'Data Entry'!$Ĕ$407)</f>
      </c>
      <c r="HE407">
        <f>IF(ISBLANK('Data Entry'!$ĕ$407), "", 'Data Entry'!$ĕ$407)</f>
      </c>
      <c r="HF407">
        <f>IF(ISBLANK('Data Entry'!$Ė$407), "", 'Data Entry'!$Ė$407)</f>
      </c>
      <c r="HG407">
        <f>IF(ISBLANK('Data Entry'!$ė$407), "", 'Data Entry'!$ė$407)</f>
      </c>
      <c r="HH407">
        <f>IF(ISBLANK('Data Entry'!$Ę$407), "", 'Data Entry'!$Ę$407)</f>
      </c>
      <c r="HI407">
        <f>IF(ISBLANK('Data Entry'!$ę$407), "", 'Data Entry'!$ę$407)</f>
      </c>
      <c r="HJ407">
        <f>IF(ISBLANK('Data Entry'!$Ě$407), "", 'Data Entry'!$Ě$407)</f>
      </c>
      <c r="HK407">
        <f>IF(ISBLANK('Data Entry'!$ě$407), "", 'Data Entry'!$ě$407)</f>
      </c>
      <c r="HL407">
        <f>IF(ISBLANK('Data Entry'!$Ĝ$407), "", 'Data Entry'!$Ĝ$407)</f>
      </c>
      <c r="HM407">
        <f>IF(ISBLANK('Data Entry'!$ĝ$407), "", 'Data Entry'!$ĝ$407)</f>
      </c>
      <c r="HN407">
        <f>IF(ISBLANK('Data Entry'!$Ğ$407), "", 'Data Entry'!$Ğ$407)</f>
      </c>
      <c r="HO407">
        <f>IF(ISBLANK('Data Entry'!$ğ$407), "", 'Data Entry'!$ğ$407)</f>
      </c>
      <c r="HP407">
        <f>IF(ISBLANK('Data Entry'!$Ġ$407), "", 'Data Entry'!$Ġ$407)</f>
      </c>
      <c r="HQ407">
        <f>IF(ISBLANK('Data Entry'!$ġ$407), "", 'Data Entry'!$ġ$407)</f>
      </c>
      <c r="HR407">
        <f>IF(ISBLANK('Data Entry'!$Ģ$407), "", 'Data Entry'!$Ģ$407)</f>
      </c>
      <c r="HS407">
        <f>IF(ISBLANK('Data Entry'!$ģ$407), "", 'Data Entry'!$ģ$407)</f>
      </c>
      <c r="HT407">
        <f>IF(ISBLANK('Data Entry'!$Ĥ$407), "", 'Data Entry'!$Ĥ$407)</f>
      </c>
      <c r="HU407">
        <f>IF(ISBLANK('Data Entry'!$ĥ$407), "", 'Data Entry'!$ĥ$407)</f>
      </c>
      <c r="HV407">
        <f>IF(ISBLANK('Data Entry'!$Ħ$407), "", 'Data Entry'!$Ħ$407)</f>
      </c>
      <c r="HW407">
        <f>IF(ISBLANK('Data Entry'!$ħ$407), "", 'Data Entry'!$ħ$407)</f>
      </c>
      <c r="HX407">
        <f>IF(ISBLANK('Data Entry'!$Ĩ$407), "", 'Data Entry'!$Ĩ$407)</f>
      </c>
      <c r="HY407">
        <f>IF(ISBLANK('Data Entry'!$ĩ$407), "", 'Data Entry'!$ĩ$407)</f>
      </c>
      <c r="HZ407">
        <f>IF(ISBLANK('Data Entry'!$Ī$407), "", 'Data Entry'!$Ī$407)</f>
      </c>
      <c r="IA407">
        <f>IF(ISBLANK('Data Entry'!$ī$407), "", 'Data Entry'!$ī$407)</f>
      </c>
      <c r="IB407">
        <f>IF(ISBLANK('Data Entry'!$Ĭ$407), "", 'Data Entry'!$Ĭ$407)</f>
      </c>
      <c r="IC407">
        <f>IF(ISBLANK('Data Entry'!$ĭ$407), "", 'Data Entry'!$ĭ$407)</f>
      </c>
      <c r="ID407">
        <f>IF(ISBLANK('Data Entry'!$Į$407), "", 'Data Entry'!$Į$407)</f>
      </c>
      <c r="IE407">
        <f>IF(ISBLANK('Data Entry'!$į$407), "", 'Data Entry'!$į$407)</f>
      </c>
      <c r="IF407">
        <f>IF(ISBLANK('Data Entry'!$İ$407), "", 'Data Entry'!$İ$407)</f>
      </c>
      <c r="IG407">
        <f>IF(ISBLANK('Data Entry'!$ı$407), "", 'Data Entry'!$ı$407)</f>
      </c>
      <c r="IH407">
        <f>IF(ISBLANK('Data Entry'!$Ĳ$407), "", 'Data Entry'!$Ĳ$407)</f>
      </c>
      <c r="II407">
        <f>IF(ISBLANK('Data Entry'!$ĳ$407), "", 'Data Entry'!$ĳ$407)</f>
      </c>
      <c r="IJ407">
        <f>IF(ISBLANK('Data Entry'!$Ĵ$407), "", 'Data Entry'!$Ĵ$407)</f>
      </c>
      <c r="IK407">
        <f>IF(ISBLANK('Data Entry'!$ĵ$407), "", 'Data Entry'!$ĵ$407)</f>
      </c>
      <c r="IL407">
        <f>IF(ISBLANK('Data Entry'!$Ķ$407), "", 'Data Entry'!$Ķ$407)</f>
      </c>
      <c r="IM407">
        <f>IF(ISBLANK('Data Entry'!$ķ$407), "", 'Data Entry'!$ķ$407)</f>
      </c>
      <c r="IN407">
        <f>IF(ISBLANK('Data Entry'!$ĸ$407), "", 'Data Entry'!$ĸ$407)</f>
      </c>
      <c r="IO407">
        <f>IF(ISBLANK('Data Entry'!$Ĺ$407), "", 'Data Entry'!$Ĺ$407)</f>
      </c>
      <c r="IP407">
        <f>IF(ISBLANK('Data Entry'!$ĺ$407), "", 'Data Entry'!$ĺ$407)</f>
      </c>
      <c r="IQ407">
        <f>IF(ISBLANK('Data Entry'!$Ļ$407), "", 'Data Entry'!$Ļ$407)</f>
      </c>
      <c r="IR407">
        <f>IF(ISBLANK('Data Entry'!$ļ$407), "", 'Data Entry'!$ļ$407)</f>
      </c>
      <c r="IS407">
        <f>IF(ISBLANK('Data Entry'!$Ľ$407), "", 'Data Entry'!$Ľ$407)</f>
      </c>
      <c r="IT407">
        <f>IF(ISBLANK('Data Entry'!$ľ$407), "", 'Data Entry'!$ľ$407)</f>
      </c>
    </row>
    <row r="408" spans="1:254" x14ac:dyDescent="0.25">
      <c r="A408">
        <f>IF(ISBLANK('Data Entry'!$A$408), "", 'Data Entry'!$A$408)</f>
      </c>
      <c r="B408">
        <f>IF(ISBLANK('Data Entry'!$B$408), "", 'Data Entry'!$B$408)</f>
      </c>
      <c r="C408">
        <f>IF(ISBLANK('Data Entry'!$C$408), "", 'Data Entry'!$C$408)</f>
      </c>
      <c r="D408">
        <f>IF(ISBLANK('Data Entry'!$D$408), "", 'Data Entry'!$D$408)</f>
      </c>
      <c r="E408">
        <f>IF(ISBLANK('Data Entry'!$E$408), "", 'Data Entry'!$E$408)</f>
      </c>
      <c r="F408">
        <f>IF(ISBLANK('Data Entry'!$F$408), "", 'Data Entry'!$F$408)</f>
      </c>
      <c r="G408">
        <f>IF(ISBLANK('Data Entry'!$G$408), "", 'Data Entry'!$G$408)</f>
      </c>
      <c r="H408">
        <f>IF(ISBLANK('Data Entry'!$H$408), "", 'Data Entry'!$H$408)</f>
      </c>
      <c r="I408">
        <f>IF(ISBLANK('Data Entry'!$I$408), "", 'Data Entry'!$I$408)</f>
      </c>
      <c r="J408">
        <f>IF(ISBLANK('Data Entry'!$J$408), "", 'Data Entry'!$J$408)</f>
      </c>
      <c r="K408">
        <f>IF(ISBLANK('Data Entry'!$K$408), "", 'Data Entry'!$K$408)</f>
      </c>
      <c r="L408">
        <f>IF(ISBLANK('Data Entry'!$L$408), "", 'Data Entry'!$L$408)</f>
      </c>
      <c r="M408">
        <f>IF(ISBLANK('Data Entry'!$M$408), "", 'Data Entry'!$M$408)</f>
      </c>
      <c r="N408">
        <f>IF(ISBLANK('Data Entry'!$N$408), "", 'Data Entry'!$N$408)</f>
      </c>
      <c r="O408">
        <f>IF(ISBLANK('Data Entry'!$O$408), "", 'Data Entry'!$O$408)</f>
      </c>
      <c r="P408">
        <f>IF(ISBLANK('Data Entry'!$P$408), "", 'Data Entry'!$P$408)</f>
      </c>
      <c r="Q408">
        <f>IF(ISBLANK('Data Entry'!$Q$408), "", 'Data Entry'!$Q$408)</f>
      </c>
      <c r="R408">
        <f>IF(ISBLANK('Data Entry'!$R$408), "", 'Data Entry'!$R$408)</f>
      </c>
      <c r="S408">
        <f>IF(ISBLANK('Data Entry'!$S$408), "", 'Data Entry'!$S$408)</f>
      </c>
      <c r="T408">
        <f>IF(ISBLANK('Data Entry'!$T$408), "", 'Data Entry'!$T$408)</f>
      </c>
      <c r="U408">
        <f>IF(ISBLANK('Data Entry'!$U$408), "", 'Data Entry'!$U$408)</f>
      </c>
      <c r="V408">
        <f>IF(ISBLANK('Data Entry'!$V$408), "", 'Data Entry'!$V$408)</f>
      </c>
      <c r="W408">
        <f>IF(ISBLANK('Data Entry'!$W$408), "", 'Data Entry'!$W$408)</f>
      </c>
      <c r="X408">
        <f>IF(ISBLANK('Data Entry'!$X$408), "", 'Data Entry'!$X$408)</f>
      </c>
      <c r="Y408">
        <f>IF(ISBLANK('Data Entry'!$Y$408), "", 'Data Entry'!$Y$408)</f>
      </c>
      <c r="Z408">
        <f>IF(ISBLANK('Data Entry'!$Z$408), "", 'Data Entry'!$Z$408)</f>
      </c>
      <c r="AA408">
        <f>IF(ISBLANK('Data Entry'!$[$408), "", 'Data Entry'!$[$408)</f>
      </c>
      <c r="AB408">
        <f>IF(ISBLANK('Data Entry'!$\$408), "", 'Data Entry'!$\$408)</f>
      </c>
      <c r="AC408">
        <f>IF(ISBLANK('Data Entry'!$]$408), "", 'Data Entry'!$]$408)</f>
      </c>
      <c r="AD408">
        <f>IF(ISBLANK('Data Entry'!$^$408), "", 'Data Entry'!$^$408)</f>
      </c>
      <c r="AE408">
        <f>IF(ISBLANK('Data Entry'!$_$408), "", 'Data Entry'!$_$408)</f>
      </c>
      <c r="AF408">
        <f>IF(ISBLANK('Data Entry'!$`$408), "", 'Data Entry'!$`$408)</f>
      </c>
      <c r="AG408">
        <f>IF(ISBLANK('Data Entry'!$a$408), "", 'Data Entry'!$a$408)</f>
      </c>
      <c r="AH408">
        <f>IF(ISBLANK('Data Entry'!$b$408), "", 'Data Entry'!$b$408)</f>
      </c>
      <c r="AI408">
        <f>IF(ISBLANK('Data Entry'!$c$408), "", 'Data Entry'!$c$408)</f>
      </c>
      <c r="AJ408">
        <f>IF(ISBLANK('Data Entry'!$d$408), "", 'Data Entry'!$d$408)</f>
      </c>
      <c r="AK408">
        <f>IF(ISBLANK('Data Entry'!$e$408), "", 'Data Entry'!$e$408)</f>
      </c>
      <c r="AL408">
        <f>IF(ISBLANK('Data Entry'!$f$408), "", 'Data Entry'!$f$408)</f>
      </c>
      <c r="AM408">
        <f>IF(ISBLANK('Data Entry'!$g$408), "", 'Data Entry'!$g$408)</f>
      </c>
      <c r="AN408">
        <f>IF(ISBLANK('Data Entry'!$h$408), "", 'Data Entry'!$h$408)</f>
      </c>
      <c r="AO408">
        <f>IF(ISBLANK('Data Entry'!$i$408), "", 'Data Entry'!$i$408)</f>
      </c>
      <c r="AP408">
        <f>IF(ISBLANK('Data Entry'!$j$408), "", 'Data Entry'!$j$408)</f>
      </c>
      <c r="AQ408">
        <f>IF(ISBLANK('Data Entry'!$k$408), "", 'Data Entry'!$k$408)</f>
      </c>
      <c r="AR408">
        <f>IF(ISBLANK('Data Entry'!$l$408), "", 'Data Entry'!$l$408)</f>
      </c>
      <c r="AS408">
        <f>IF(ISBLANK('Data Entry'!$m$408), "", 'Data Entry'!$m$408)</f>
      </c>
      <c r="AT408">
        <f>IF(ISBLANK('Data Entry'!$n$408), "", 'Data Entry'!$n$408)</f>
      </c>
      <c r="AU408">
        <f>IF(ISBLANK('Data Entry'!$o$408), "", 'Data Entry'!$o$408)</f>
      </c>
      <c r="AV408">
        <f>IF(ISBLANK('Data Entry'!$p$408), "", 'Data Entry'!$p$408)</f>
      </c>
      <c r="AW408">
        <f>IF(ISBLANK('Data Entry'!$q$408), "", 'Data Entry'!$q$408)</f>
      </c>
      <c r="AX408">
        <f>IF(ISBLANK('Data Entry'!$r$408), "", 'Data Entry'!$r$408)</f>
      </c>
      <c r="AY408">
        <f>IF(ISBLANK('Data Entry'!$s$408), "", 'Data Entry'!$s$408)</f>
      </c>
      <c r="AZ408">
        <f>IF(ISBLANK('Data Entry'!$t$408), "", 'Data Entry'!$t$408)</f>
      </c>
      <c r="BA408">
        <f>IF(ISBLANK('Data Entry'!$u$408), "", 'Data Entry'!$u$408)</f>
      </c>
      <c r="BB408">
        <f>IF(ISBLANK('Data Entry'!$v$408), "", 'Data Entry'!$v$408)</f>
      </c>
      <c r="BC408">
        <f>IF(ISBLANK('Data Entry'!$w$408), "", 'Data Entry'!$w$408)</f>
      </c>
      <c r="BD408">
        <f>IF(ISBLANK('Data Entry'!$x$408), "", 'Data Entry'!$x$408)</f>
      </c>
      <c r="BE408">
        <f>IF(ISBLANK('Data Entry'!$y$408), "", 'Data Entry'!$y$408)</f>
      </c>
      <c r="BF408">
        <f>IF(ISBLANK('Data Entry'!$z$408), "", 'Data Entry'!$z$408)</f>
      </c>
      <c r="BG408">
        <f>IF(ISBLANK('Data Entry'!${$408), "", 'Data Entry'!${$408)</f>
      </c>
      <c r="BH408">
        <f>IF(ISBLANK('Data Entry'!$|$408), "", 'Data Entry'!$|$408)</f>
      </c>
      <c r="BI408">
        <f>IF(ISBLANK('Data Entry'!$}$408), "", 'Data Entry'!$}$408)</f>
      </c>
      <c r="BJ408">
        <f>IF(ISBLANK('Data Entry'!$~$408), "", 'Data Entry'!$~$408)</f>
      </c>
      <c r="BK408">
        <f>IF(ISBLANK('Data Entry'!$$408), "", 'Data Entry'!$$408)</f>
      </c>
      <c r="BL408">
        <f>IF(ISBLANK('Data Entry'!$$408), "", 'Data Entry'!$$408)</f>
      </c>
      <c r="BM408">
        <f>IF(ISBLANK('Data Entry'!$$408), "", 'Data Entry'!$$408)</f>
      </c>
      <c r="BN408">
        <f>IF(ISBLANK('Data Entry'!$$408), "", 'Data Entry'!$$408)</f>
      </c>
      <c r="BO408">
        <f>IF(ISBLANK('Data Entry'!$$408), "", 'Data Entry'!$$408)</f>
      </c>
      <c r="BP408">
        <f>IF(ISBLANK('Data Entry'!$$408), "", 'Data Entry'!$$408)</f>
      </c>
      <c r="BQ408">
        <f>IF(ISBLANK('Data Entry'!$$408), "", 'Data Entry'!$$408)</f>
      </c>
      <c r="BR408">
        <f>IF(ISBLANK('Data Entry'!$$408), "", 'Data Entry'!$$408)</f>
      </c>
      <c r="BS408">
        <f>IF(ISBLANK('Data Entry'!$$408), "", 'Data Entry'!$$408)</f>
      </c>
      <c r="BT408">
        <f>IF(ISBLANK('Data Entry'!$$408), "", 'Data Entry'!$$408)</f>
      </c>
      <c r="BU408">
        <f>IF(ISBLANK('Data Entry'!$$408), "", 'Data Entry'!$$408)</f>
      </c>
      <c r="BV408">
        <f>IF(ISBLANK('Data Entry'!$$408), "", 'Data Entry'!$$408)</f>
      </c>
      <c r="BW408">
        <f>IF(ISBLANK('Data Entry'!$$408), "", 'Data Entry'!$$408)</f>
      </c>
      <c r="BX408">
        <f>IF(ISBLANK('Data Entry'!$$408), "", 'Data Entry'!$$408)</f>
      </c>
      <c r="BY408">
        <f>IF(ISBLANK('Data Entry'!$$408), "", 'Data Entry'!$$408)</f>
      </c>
      <c r="BZ408">
        <f>IF(ISBLANK('Data Entry'!$$408), "", 'Data Entry'!$$408)</f>
      </c>
      <c r="CA408">
        <f>IF(ISBLANK('Data Entry'!$$408), "", 'Data Entry'!$$408)</f>
      </c>
      <c r="CB408">
        <f>IF(ISBLANK('Data Entry'!$$408), "", 'Data Entry'!$$408)</f>
      </c>
      <c r="CC408">
        <f>IF(ISBLANK('Data Entry'!$$408), "", 'Data Entry'!$$408)</f>
      </c>
      <c r="CD408">
        <f>IF(ISBLANK('Data Entry'!$$408), "", 'Data Entry'!$$408)</f>
      </c>
      <c r="CE408">
        <f>IF(ISBLANK('Data Entry'!$$408), "", 'Data Entry'!$$408)</f>
      </c>
      <c r="CF408">
        <f>IF(ISBLANK('Data Entry'!$$408), "", 'Data Entry'!$$408)</f>
      </c>
      <c r="CG408">
        <f>IF(ISBLANK('Data Entry'!$$408), "", 'Data Entry'!$$408)</f>
      </c>
      <c r="CH408">
        <f>IF(ISBLANK('Data Entry'!$$408), "", 'Data Entry'!$$408)</f>
      </c>
      <c r="CI408">
        <f>IF(ISBLANK('Data Entry'!$$408), "", 'Data Entry'!$$408)</f>
      </c>
      <c r="CJ408">
        <f>IF(ISBLANK('Data Entry'!$$408), "", 'Data Entry'!$$408)</f>
      </c>
      <c r="CK408">
        <f>IF(ISBLANK('Data Entry'!$$408), "", 'Data Entry'!$$408)</f>
      </c>
      <c r="CL408">
        <f>IF(ISBLANK('Data Entry'!$$408), "", 'Data Entry'!$$408)</f>
      </c>
      <c r="CM408">
        <f>IF(ISBLANK('Data Entry'!$$408), "", 'Data Entry'!$$408)</f>
      </c>
      <c r="CN408">
        <f>IF(ISBLANK('Data Entry'!$$408), "", 'Data Entry'!$$408)</f>
      </c>
      <c r="CO408">
        <f>IF(ISBLANK('Data Entry'!$$408), "", 'Data Entry'!$$408)</f>
      </c>
      <c r="CP408">
        <f>IF(ISBLANK('Data Entry'!$$408), "", 'Data Entry'!$$408)</f>
      </c>
      <c r="CQ408">
        <f>IF(ISBLANK('Data Entry'!$$408), "", 'Data Entry'!$$408)</f>
      </c>
      <c r="CR408">
        <f>IF(ISBLANK('Data Entry'!$ $408), "", 'Data Entry'!$ $408)</f>
      </c>
      <c r="CS408">
        <f>IF(ISBLANK('Data Entry'!$¡$408), "", 'Data Entry'!$¡$408)</f>
      </c>
      <c r="CT408">
        <f>IF(ISBLANK('Data Entry'!$¢$408), "", 'Data Entry'!$¢$408)</f>
      </c>
      <c r="CU408">
        <f>IF(ISBLANK('Data Entry'!$£$408), "", 'Data Entry'!$£$408)</f>
      </c>
      <c r="CV408">
        <f>IF(ISBLANK('Data Entry'!$¤$408), "", 'Data Entry'!$¤$408)</f>
      </c>
      <c r="CW408">
        <f>IF(ISBLANK('Data Entry'!$¥$408), "", 'Data Entry'!$¥$408)</f>
      </c>
      <c r="CX408">
        <f>IF(ISBLANK('Data Entry'!$¦$408), "", 'Data Entry'!$¦$408)</f>
      </c>
      <c r="CY408">
        <f>IF(ISBLANK('Data Entry'!$§$408), "", 'Data Entry'!$§$408)</f>
      </c>
      <c r="CZ408">
        <f>IF(ISBLANK('Data Entry'!$¨$408), "", 'Data Entry'!$¨$408)</f>
      </c>
      <c r="DA408">
        <f>IF(ISBLANK('Data Entry'!$©$408), "", 'Data Entry'!$©$408)</f>
      </c>
      <c r="DB408">
        <f>IF(ISBLANK('Data Entry'!$ª$408), "", 'Data Entry'!$ª$408)</f>
      </c>
      <c r="DC408">
        <f>IF(ISBLANK('Data Entry'!$«$408), "", 'Data Entry'!$«$408)</f>
      </c>
      <c r="DD408">
        <f>IF(ISBLANK('Data Entry'!$¬$408), "", 'Data Entry'!$¬$408)</f>
      </c>
      <c r="DE408">
        <f>IF(ISBLANK('Data Entry'!$­$408), "", 'Data Entry'!$­$408)</f>
      </c>
      <c r="DF408">
        <f>IF(ISBLANK('Data Entry'!$®$408), "", 'Data Entry'!$®$408)</f>
      </c>
      <c r="DG408">
        <f>IF(ISBLANK('Data Entry'!$¯$408), "", 'Data Entry'!$¯$408)</f>
      </c>
      <c r="DH408">
        <f>IF(ISBLANK('Data Entry'!$°$408), "", 'Data Entry'!$°$408)</f>
      </c>
      <c r="DI408">
        <f>IF(ISBLANK('Data Entry'!$±$408), "", 'Data Entry'!$±$408)</f>
      </c>
      <c r="DJ408">
        <f>IF(ISBLANK('Data Entry'!$²$408), "", 'Data Entry'!$²$408)</f>
      </c>
      <c r="DK408">
        <f>IF(ISBLANK('Data Entry'!$³$408), "", 'Data Entry'!$³$408)</f>
      </c>
      <c r="DL408">
        <f>IF(ISBLANK('Data Entry'!$´$408), "", 'Data Entry'!$´$408)</f>
      </c>
      <c r="DM408">
        <f>IF(ISBLANK('Data Entry'!$µ$408), "", 'Data Entry'!$µ$408)</f>
      </c>
      <c r="DN408">
        <f>IF(ISBLANK('Data Entry'!$¶$408), "", 'Data Entry'!$¶$408)</f>
      </c>
      <c r="DO408">
        <f>IF(ISBLANK('Data Entry'!$·$408), "", 'Data Entry'!$·$408)</f>
      </c>
      <c r="DP408">
        <f>IF(ISBLANK('Data Entry'!$¸$408), "", 'Data Entry'!$¸$408)</f>
      </c>
      <c r="DQ408">
        <f>IF(ISBLANK('Data Entry'!$¹$408), "", 'Data Entry'!$¹$408)</f>
      </c>
      <c r="DR408">
        <f>IF(ISBLANK('Data Entry'!$º$408), "", 'Data Entry'!$º$408)</f>
      </c>
      <c r="DS408">
        <f>IF(ISBLANK('Data Entry'!$»$408), "", 'Data Entry'!$»$408)</f>
      </c>
      <c r="DT408">
        <f>IF(ISBLANK('Data Entry'!$¼$408), "", 'Data Entry'!$¼$408)</f>
      </c>
      <c r="DU408">
        <f>IF(ISBLANK('Data Entry'!$½$408), "", 'Data Entry'!$½$408)</f>
      </c>
      <c r="DV408">
        <f>IF(ISBLANK('Data Entry'!$¾$408), "", 'Data Entry'!$¾$408)</f>
      </c>
      <c r="DW408">
        <f>IF(ISBLANK('Data Entry'!$¿$408), "", 'Data Entry'!$¿$408)</f>
      </c>
      <c r="DX408">
        <f>IF(ISBLANK('Data Entry'!$À$408), "", 'Data Entry'!$À$408)</f>
      </c>
      <c r="DY408">
        <f>IF(ISBLANK('Data Entry'!$Á$408), "", 'Data Entry'!$Á$408)</f>
      </c>
      <c r="DZ408">
        <f>IF(ISBLANK('Data Entry'!$Â$408), "", 'Data Entry'!$Â$408)</f>
      </c>
      <c r="EA408">
        <f>IF(ISBLANK('Data Entry'!$Ã$408), "", 'Data Entry'!$Ã$408)</f>
      </c>
      <c r="EB408">
        <f>IF(ISBLANK('Data Entry'!$Ä$408), "", 'Data Entry'!$Ä$408)</f>
      </c>
      <c r="EC408">
        <f>IF(ISBLANK('Data Entry'!$Å$408), "", 'Data Entry'!$Å$408)</f>
      </c>
      <c r="ED408">
        <f>IF(ISBLANK('Data Entry'!$Æ$408), "", 'Data Entry'!$Æ$408)</f>
      </c>
      <c r="EE408">
        <f>IF(ISBLANK('Data Entry'!$Ç$408), "", 'Data Entry'!$Ç$408)</f>
      </c>
      <c r="EF408">
        <f>IF(ISBLANK('Data Entry'!$È$408), "", 'Data Entry'!$È$408)</f>
      </c>
      <c r="EG408">
        <f>IF(ISBLANK('Data Entry'!$É$408), "", 'Data Entry'!$É$408)</f>
      </c>
      <c r="EH408">
        <f>IF(ISBLANK('Data Entry'!$Ê$408), "", 'Data Entry'!$Ê$408)</f>
      </c>
      <c r="EI408">
        <f>IF(ISBLANK('Data Entry'!$Ë$408), "", 'Data Entry'!$Ë$408)</f>
      </c>
      <c r="EJ408">
        <f>IF(ISBLANK('Data Entry'!$Ì$408), "", 'Data Entry'!$Ì$408)</f>
      </c>
      <c r="EK408">
        <f>IF(ISBLANK('Data Entry'!$Í$408), "", 'Data Entry'!$Í$408)</f>
      </c>
      <c r="EL408">
        <f>IF(ISBLANK('Data Entry'!$Î$408), "", 'Data Entry'!$Î$408)</f>
      </c>
      <c r="EM408">
        <f>IF(ISBLANK('Data Entry'!$Ï$408), "", 'Data Entry'!$Ï$408)</f>
      </c>
      <c r="EN408">
        <f>IF(ISBLANK('Data Entry'!$Ð$408), "", 'Data Entry'!$Ð$408)</f>
      </c>
      <c r="EO408">
        <f>IF(ISBLANK('Data Entry'!$Ñ$408), "", 'Data Entry'!$Ñ$408)</f>
      </c>
      <c r="EP408">
        <f>IF(ISBLANK('Data Entry'!$Ò$408), "", 'Data Entry'!$Ò$408)</f>
      </c>
      <c r="EQ408">
        <f>IF(ISBLANK('Data Entry'!$Ó$408), "", 'Data Entry'!$Ó$408)</f>
      </c>
      <c r="ER408">
        <f>IF(ISBLANK('Data Entry'!$Ô$408), "", 'Data Entry'!$Ô$408)</f>
      </c>
      <c r="ES408">
        <f>IF(ISBLANK('Data Entry'!$Õ$408), "", 'Data Entry'!$Õ$408)</f>
      </c>
      <c r="ET408">
        <f>IF(ISBLANK('Data Entry'!$Ö$408), "", 'Data Entry'!$Ö$408)</f>
      </c>
      <c r="EU408">
        <f>IF(ISBLANK('Data Entry'!$×$408), "", 'Data Entry'!$×$408)</f>
      </c>
      <c r="EV408">
        <f>IF(ISBLANK('Data Entry'!$Ø$408), "", 'Data Entry'!$Ø$408)</f>
      </c>
      <c r="EW408">
        <f>IF(ISBLANK('Data Entry'!$Ù$408), "", 'Data Entry'!$Ù$408)</f>
      </c>
      <c r="EX408">
        <f>IF(ISBLANK('Data Entry'!$Ú$408), "", 'Data Entry'!$Ú$408)</f>
      </c>
      <c r="EY408">
        <f>IF(ISBLANK('Data Entry'!$Û$408), "", 'Data Entry'!$Û$408)</f>
      </c>
      <c r="EZ408">
        <f>IF(ISBLANK('Data Entry'!$Ü$408), "", 'Data Entry'!$Ü$408)</f>
      </c>
      <c r="FA408">
        <f>IF(ISBLANK('Data Entry'!$Ý$408), "", 'Data Entry'!$Ý$408)</f>
      </c>
      <c r="FB408">
        <f>IF(ISBLANK('Data Entry'!$Þ$408), "", 'Data Entry'!$Þ$408)</f>
      </c>
      <c r="FC408">
        <f>IF(ISBLANK('Data Entry'!$ß$408), "", 'Data Entry'!$ß$408)</f>
      </c>
      <c r="FD408">
        <f>IF(ISBLANK('Data Entry'!$à$408), "", 'Data Entry'!$à$408)</f>
      </c>
      <c r="FE408">
        <f>IF(ISBLANK('Data Entry'!$á$408), "", 'Data Entry'!$á$408)</f>
      </c>
      <c r="FF408">
        <f>IF(ISBLANK('Data Entry'!$â$408), "", 'Data Entry'!$â$408)</f>
      </c>
      <c r="FG408">
        <f>IF(ISBLANK('Data Entry'!$ã$408), "", 'Data Entry'!$ã$408)</f>
      </c>
      <c r="FH408">
        <f>IF(ISBLANK('Data Entry'!$ä$408), "", 'Data Entry'!$ä$408)</f>
      </c>
      <c r="FI408">
        <f>IF(ISBLANK('Data Entry'!$å$408), "", 'Data Entry'!$å$408)</f>
      </c>
      <c r="FJ408">
        <f>IF(ISBLANK('Data Entry'!$æ$408), "", 'Data Entry'!$æ$408)</f>
      </c>
      <c r="FK408">
        <f>IF(ISBLANK('Data Entry'!$ç$408), "", 'Data Entry'!$ç$408)</f>
      </c>
      <c r="FL408">
        <f>IF(ISBLANK('Data Entry'!$è$408), "", 'Data Entry'!$è$408)</f>
      </c>
      <c r="FM408">
        <f>IF(ISBLANK('Data Entry'!$é$408), "", 'Data Entry'!$é$408)</f>
      </c>
      <c r="FN408">
        <f>IF(ISBLANK('Data Entry'!$ê$408), "", 'Data Entry'!$ê$408)</f>
      </c>
      <c r="FO408">
        <f>IF(ISBLANK('Data Entry'!$ë$408), "", 'Data Entry'!$ë$408)</f>
      </c>
      <c r="FP408">
        <f>IF(ISBLANK('Data Entry'!$ì$408), "", 'Data Entry'!$ì$408)</f>
      </c>
      <c r="FQ408">
        <f>IF(ISBLANK('Data Entry'!$í$408), "", 'Data Entry'!$í$408)</f>
      </c>
      <c r="FR408">
        <f>IF(ISBLANK('Data Entry'!$î$408), "", 'Data Entry'!$î$408)</f>
      </c>
      <c r="FS408">
        <f>IF(ISBLANK('Data Entry'!$ï$408), "", 'Data Entry'!$ï$408)</f>
      </c>
      <c r="FT408">
        <f>IF(ISBLANK('Data Entry'!$ð$408), "", 'Data Entry'!$ð$408)</f>
      </c>
      <c r="FU408">
        <f>IF(ISBLANK('Data Entry'!$ñ$408), "", 'Data Entry'!$ñ$408)</f>
      </c>
      <c r="FV408">
        <f>IF(ISBLANK('Data Entry'!$ò$408), "", 'Data Entry'!$ò$408)</f>
      </c>
      <c r="FW408">
        <f>IF(ISBLANK('Data Entry'!$ó$408), "", 'Data Entry'!$ó$408)</f>
      </c>
      <c r="FX408">
        <f>IF(ISBLANK('Data Entry'!$ô$408), "", 'Data Entry'!$ô$408)</f>
      </c>
      <c r="FY408">
        <f>IF(ISBLANK('Data Entry'!$õ$408), "", 'Data Entry'!$õ$408)</f>
      </c>
      <c r="FZ408">
        <f>IF(ISBLANK('Data Entry'!$ö$408), "", 'Data Entry'!$ö$408)</f>
      </c>
      <c r="GA408">
        <f>IF(ISBLANK('Data Entry'!$÷$408), "", 'Data Entry'!$÷$408)</f>
      </c>
      <c r="GB408">
        <f>IF(ISBLANK('Data Entry'!$ø$408), "", 'Data Entry'!$ø$408)</f>
      </c>
      <c r="GC408">
        <f>IF(ISBLANK('Data Entry'!$ù$408), "", 'Data Entry'!$ù$408)</f>
      </c>
      <c r="GD408">
        <f>IF(ISBLANK('Data Entry'!$ú$408), "", 'Data Entry'!$ú$408)</f>
      </c>
      <c r="GE408">
        <f>IF(ISBLANK('Data Entry'!$û$408), "", 'Data Entry'!$û$408)</f>
      </c>
      <c r="GF408">
        <f>IF(ISBLANK('Data Entry'!$ü$408), "", 'Data Entry'!$ü$408)</f>
      </c>
      <c r="GG408">
        <f>IF(ISBLANK('Data Entry'!$ý$408), "", 'Data Entry'!$ý$408)</f>
      </c>
      <c r="GH408">
        <f>IF(ISBLANK('Data Entry'!$þ$408), "", 'Data Entry'!$þ$408)</f>
      </c>
      <c r="GI408">
        <f>IF(ISBLANK('Data Entry'!$ÿ$408), "", 'Data Entry'!$ÿ$408)</f>
      </c>
      <c r="GJ408">
        <f>IF(ISBLANK('Data Entry'!$Ā$408), "", 'Data Entry'!$Ā$408)</f>
      </c>
      <c r="GK408">
        <f>IF(ISBLANK('Data Entry'!$ā$408), "", 'Data Entry'!$ā$408)</f>
      </c>
      <c r="GL408">
        <f>IF(ISBLANK('Data Entry'!$Ă$408), "", 'Data Entry'!$Ă$408)</f>
      </c>
      <c r="GM408">
        <f>IF(ISBLANK('Data Entry'!$ă$408), "", 'Data Entry'!$ă$408)</f>
      </c>
      <c r="GN408">
        <f>IF(ISBLANK('Data Entry'!$Ą$408), "", 'Data Entry'!$Ą$408)</f>
      </c>
      <c r="GO408">
        <f>IF(ISBLANK('Data Entry'!$ą$408), "", 'Data Entry'!$ą$408)</f>
      </c>
      <c r="GP408">
        <f>IF(ISBLANK('Data Entry'!$Ć$408), "", 'Data Entry'!$Ć$408)</f>
      </c>
      <c r="GQ408">
        <f>IF(ISBLANK('Data Entry'!$ć$408), "", 'Data Entry'!$ć$408)</f>
      </c>
      <c r="GR408">
        <f>IF(ISBLANK('Data Entry'!$Ĉ$408), "", 'Data Entry'!$Ĉ$408)</f>
      </c>
      <c r="GS408">
        <f>IF(ISBLANK('Data Entry'!$ĉ$408), "", 'Data Entry'!$ĉ$408)</f>
      </c>
      <c r="GT408">
        <f>IF(ISBLANK('Data Entry'!$Ċ$408), "", 'Data Entry'!$Ċ$408)</f>
      </c>
      <c r="GU408">
        <f>IF(ISBLANK('Data Entry'!$ċ$408), "", 'Data Entry'!$ċ$408)</f>
      </c>
      <c r="GV408">
        <f>IF(ISBLANK('Data Entry'!$Č$408), "", 'Data Entry'!$Č$408)</f>
      </c>
      <c r="GW408">
        <f>IF(ISBLANK('Data Entry'!$č$408), "", 'Data Entry'!$č$408)</f>
      </c>
      <c r="GX408">
        <f>IF(ISBLANK('Data Entry'!$Ď$408), "", 'Data Entry'!$Ď$408)</f>
      </c>
      <c r="GY408">
        <f>IF(ISBLANK('Data Entry'!$ď$408), "", 'Data Entry'!$ď$408)</f>
      </c>
      <c r="GZ408">
        <f>IF(ISBLANK('Data Entry'!$Đ$408), "", 'Data Entry'!$Đ$408)</f>
      </c>
      <c r="HA408">
        <f>IF(ISBLANK('Data Entry'!$đ$408), "", 'Data Entry'!$đ$408)</f>
      </c>
      <c r="HB408">
        <f>IF(ISBLANK('Data Entry'!$Ē$408), "", 'Data Entry'!$Ē$408)</f>
      </c>
      <c r="HC408">
        <f>IF(ISBLANK('Data Entry'!$ē$408), "", 'Data Entry'!$ē$408)</f>
      </c>
      <c r="HD408">
        <f>IF(ISBLANK('Data Entry'!$Ĕ$408), "", 'Data Entry'!$Ĕ$408)</f>
      </c>
      <c r="HE408">
        <f>IF(ISBLANK('Data Entry'!$ĕ$408), "", 'Data Entry'!$ĕ$408)</f>
      </c>
      <c r="HF408">
        <f>IF(ISBLANK('Data Entry'!$Ė$408), "", 'Data Entry'!$Ė$408)</f>
      </c>
      <c r="HG408">
        <f>IF(ISBLANK('Data Entry'!$ė$408), "", 'Data Entry'!$ė$408)</f>
      </c>
      <c r="HH408">
        <f>IF(ISBLANK('Data Entry'!$Ę$408), "", 'Data Entry'!$Ę$408)</f>
      </c>
      <c r="HI408">
        <f>IF(ISBLANK('Data Entry'!$ę$408), "", 'Data Entry'!$ę$408)</f>
      </c>
      <c r="HJ408">
        <f>IF(ISBLANK('Data Entry'!$Ě$408), "", 'Data Entry'!$Ě$408)</f>
      </c>
      <c r="HK408">
        <f>IF(ISBLANK('Data Entry'!$ě$408), "", 'Data Entry'!$ě$408)</f>
      </c>
      <c r="HL408">
        <f>IF(ISBLANK('Data Entry'!$Ĝ$408), "", 'Data Entry'!$Ĝ$408)</f>
      </c>
      <c r="HM408">
        <f>IF(ISBLANK('Data Entry'!$ĝ$408), "", 'Data Entry'!$ĝ$408)</f>
      </c>
      <c r="HN408">
        <f>IF(ISBLANK('Data Entry'!$Ğ$408), "", 'Data Entry'!$Ğ$408)</f>
      </c>
      <c r="HO408">
        <f>IF(ISBLANK('Data Entry'!$ğ$408), "", 'Data Entry'!$ğ$408)</f>
      </c>
      <c r="HP408">
        <f>IF(ISBLANK('Data Entry'!$Ġ$408), "", 'Data Entry'!$Ġ$408)</f>
      </c>
      <c r="HQ408">
        <f>IF(ISBLANK('Data Entry'!$ġ$408), "", 'Data Entry'!$ġ$408)</f>
      </c>
      <c r="HR408">
        <f>IF(ISBLANK('Data Entry'!$Ģ$408), "", 'Data Entry'!$Ģ$408)</f>
      </c>
      <c r="HS408">
        <f>IF(ISBLANK('Data Entry'!$ģ$408), "", 'Data Entry'!$ģ$408)</f>
      </c>
      <c r="HT408">
        <f>IF(ISBLANK('Data Entry'!$Ĥ$408), "", 'Data Entry'!$Ĥ$408)</f>
      </c>
      <c r="HU408">
        <f>IF(ISBLANK('Data Entry'!$ĥ$408), "", 'Data Entry'!$ĥ$408)</f>
      </c>
      <c r="HV408">
        <f>IF(ISBLANK('Data Entry'!$Ħ$408), "", 'Data Entry'!$Ħ$408)</f>
      </c>
      <c r="HW408">
        <f>IF(ISBLANK('Data Entry'!$ħ$408), "", 'Data Entry'!$ħ$408)</f>
      </c>
      <c r="HX408">
        <f>IF(ISBLANK('Data Entry'!$Ĩ$408), "", 'Data Entry'!$Ĩ$408)</f>
      </c>
      <c r="HY408">
        <f>IF(ISBLANK('Data Entry'!$ĩ$408), "", 'Data Entry'!$ĩ$408)</f>
      </c>
      <c r="HZ408">
        <f>IF(ISBLANK('Data Entry'!$Ī$408), "", 'Data Entry'!$Ī$408)</f>
      </c>
      <c r="IA408">
        <f>IF(ISBLANK('Data Entry'!$ī$408), "", 'Data Entry'!$ī$408)</f>
      </c>
      <c r="IB408">
        <f>IF(ISBLANK('Data Entry'!$Ĭ$408), "", 'Data Entry'!$Ĭ$408)</f>
      </c>
      <c r="IC408">
        <f>IF(ISBLANK('Data Entry'!$ĭ$408), "", 'Data Entry'!$ĭ$408)</f>
      </c>
      <c r="ID408">
        <f>IF(ISBLANK('Data Entry'!$Į$408), "", 'Data Entry'!$Į$408)</f>
      </c>
      <c r="IE408">
        <f>IF(ISBLANK('Data Entry'!$į$408), "", 'Data Entry'!$į$408)</f>
      </c>
      <c r="IF408">
        <f>IF(ISBLANK('Data Entry'!$İ$408), "", 'Data Entry'!$İ$408)</f>
      </c>
      <c r="IG408">
        <f>IF(ISBLANK('Data Entry'!$ı$408), "", 'Data Entry'!$ı$408)</f>
      </c>
      <c r="IH408">
        <f>IF(ISBLANK('Data Entry'!$Ĳ$408), "", 'Data Entry'!$Ĳ$408)</f>
      </c>
      <c r="II408">
        <f>IF(ISBLANK('Data Entry'!$ĳ$408), "", 'Data Entry'!$ĳ$408)</f>
      </c>
      <c r="IJ408">
        <f>IF(ISBLANK('Data Entry'!$Ĵ$408), "", 'Data Entry'!$Ĵ$408)</f>
      </c>
      <c r="IK408">
        <f>IF(ISBLANK('Data Entry'!$ĵ$408), "", 'Data Entry'!$ĵ$408)</f>
      </c>
      <c r="IL408">
        <f>IF(ISBLANK('Data Entry'!$Ķ$408), "", 'Data Entry'!$Ķ$408)</f>
      </c>
      <c r="IM408">
        <f>IF(ISBLANK('Data Entry'!$ķ$408), "", 'Data Entry'!$ķ$408)</f>
      </c>
      <c r="IN408">
        <f>IF(ISBLANK('Data Entry'!$ĸ$408), "", 'Data Entry'!$ĸ$408)</f>
      </c>
      <c r="IO408">
        <f>IF(ISBLANK('Data Entry'!$Ĺ$408), "", 'Data Entry'!$Ĺ$408)</f>
      </c>
      <c r="IP408">
        <f>IF(ISBLANK('Data Entry'!$ĺ$408), "", 'Data Entry'!$ĺ$408)</f>
      </c>
      <c r="IQ408">
        <f>IF(ISBLANK('Data Entry'!$Ļ$408), "", 'Data Entry'!$Ļ$408)</f>
      </c>
      <c r="IR408">
        <f>IF(ISBLANK('Data Entry'!$ļ$408), "", 'Data Entry'!$ļ$408)</f>
      </c>
      <c r="IS408">
        <f>IF(ISBLANK('Data Entry'!$Ľ$408), "", 'Data Entry'!$Ľ$408)</f>
      </c>
      <c r="IT408">
        <f>IF(ISBLANK('Data Entry'!$ľ$408), "", 'Data Entry'!$ľ$408)</f>
      </c>
    </row>
    <row r="409" spans="1:254" x14ac:dyDescent="0.25">
      <c r="A409">
        <f>IF(ISBLANK('Data Entry'!$A$409), "", 'Data Entry'!$A$409)</f>
      </c>
      <c r="B409">
        <f>IF(ISBLANK('Data Entry'!$B$409), "", 'Data Entry'!$B$409)</f>
      </c>
      <c r="C409">
        <f>IF(ISBLANK('Data Entry'!$C$409), "", 'Data Entry'!$C$409)</f>
      </c>
      <c r="D409">
        <f>IF(ISBLANK('Data Entry'!$D$409), "", 'Data Entry'!$D$409)</f>
      </c>
      <c r="E409">
        <f>IF(ISBLANK('Data Entry'!$E$409), "", 'Data Entry'!$E$409)</f>
      </c>
      <c r="F409">
        <f>IF(ISBLANK('Data Entry'!$F$409), "", 'Data Entry'!$F$409)</f>
      </c>
      <c r="G409">
        <f>IF(ISBLANK('Data Entry'!$G$409), "", 'Data Entry'!$G$409)</f>
      </c>
      <c r="H409">
        <f>IF(ISBLANK('Data Entry'!$H$409), "", 'Data Entry'!$H$409)</f>
      </c>
      <c r="I409">
        <f>IF(ISBLANK('Data Entry'!$I$409), "", 'Data Entry'!$I$409)</f>
      </c>
      <c r="J409">
        <f>IF(ISBLANK('Data Entry'!$J$409), "", 'Data Entry'!$J$409)</f>
      </c>
      <c r="K409">
        <f>IF(ISBLANK('Data Entry'!$K$409), "", 'Data Entry'!$K$409)</f>
      </c>
      <c r="L409">
        <f>IF(ISBLANK('Data Entry'!$L$409), "", 'Data Entry'!$L$409)</f>
      </c>
      <c r="M409">
        <f>IF(ISBLANK('Data Entry'!$M$409), "", 'Data Entry'!$M$409)</f>
      </c>
      <c r="N409">
        <f>IF(ISBLANK('Data Entry'!$N$409), "", 'Data Entry'!$N$409)</f>
      </c>
      <c r="O409">
        <f>IF(ISBLANK('Data Entry'!$O$409), "", 'Data Entry'!$O$409)</f>
      </c>
      <c r="P409">
        <f>IF(ISBLANK('Data Entry'!$P$409), "", 'Data Entry'!$P$409)</f>
      </c>
      <c r="Q409">
        <f>IF(ISBLANK('Data Entry'!$Q$409), "", 'Data Entry'!$Q$409)</f>
      </c>
      <c r="R409">
        <f>IF(ISBLANK('Data Entry'!$R$409), "", 'Data Entry'!$R$409)</f>
      </c>
      <c r="S409">
        <f>IF(ISBLANK('Data Entry'!$S$409), "", 'Data Entry'!$S$409)</f>
      </c>
      <c r="T409">
        <f>IF(ISBLANK('Data Entry'!$T$409), "", 'Data Entry'!$T$409)</f>
      </c>
      <c r="U409">
        <f>IF(ISBLANK('Data Entry'!$U$409), "", 'Data Entry'!$U$409)</f>
      </c>
      <c r="V409">
        <f>IF(ISBLANK('Data Entry'!$V$409), "", 'Data Entry'!$V$409)</f>
      </c>
      <c r="W409">
        <f>IF(ISBLANK('Data Entry'!$W$409), "", 'Data Entry'!$W$409)</f>
      </c>
      <c r="X409">
        <f>IF(ISBLANK('Data Entry'!$X$409), "", 'Data Entry'!$X$409)</f>
      </c>
      <c r="Y409">
        <f>IF(ISBLANK('Data Entry'!$Y$409), "", 'Data Entry'!$Y$409)</f>
      </c>
      <c r="Z409">
        <f>IF(ISBLANK('Data Entry'!$Z$409), "", 'Data Entry'!$Z$409)</f>
      </c>
      <c r="AA409">
        <f>IF(ISBLANK('Data Entry'!$[$409), "", 'Data Entry'!$[$409)</f>
      </c>
      <c r="AB409">
        <f>IF(ISBLANK('Data Entry'!$\$409), "", 'Data Entry'!$\$409)</f>
      </c>
      <c r="AC409">
        <f>IF(ISBLANK('Data Entry'!$]$409), "", 'Data Entry'!$]$409)</f>
      </c>
      <c r="AD409">
        <f>IF(ISBLANK('Data Entry'!$^$409), "", 'Data Entry'!$^$409)</f>
      </c>
      <c r="AE409">
        <f>IF(ISBLANK('Data Entry'!$_$409), "", 'Data Entry'!$_$409)</f>
      </c>
      <c r="AF409">
        <f>IF(ISBLANK('Data Entry'!$`$409), "", 'Data Entry'!$`$409)</f>
      </c>
      <c r="AG409">
        <f>IF(ISBLANK('Data Entry'!$a$409), "", 'Data Entry'!$a$409)</f>
      </c>
      <c r="AH409">
        <f>IF(ISBLANK('Data Entry'!$b$409), "", 'Data Entry'!$b$409)</f>
      </c>
      <c r="AI409">
        <f>IF(ISBLANK('Data Entry'!$c$409), "", 'Data Entry'!$c$409)</f>
      </c>
      <c r="AJ409">
        <f>IF(ISBLANK('Data Entry'!$d$409), "", 'Data Entry'!$d$409)</f>
      </c>
      <c r="AK409">
        <f>IF(ISBLANK('Data Entry'!$e$409), "", 'Data Entry'!$e$409)</f>
      </c>
      <c r="AL409">
        <f>IF(ISBLANK('Data Entry'!$f$409), "", 'Data Entry'!$f$409)</f>
      </c>
      <c r="AM409">
        <f>IF(ISBLANK('Data Entry'!$g$409), "", 'Data Entry'!$g$409)</f>
      </c>
      <c r="AN409">
        <f>IF(ISBLANK('Data Entry'!$h$409), "", 'Data Entry'!$h$409)</f>
      </c>
      <c r="AO409">
        <f>IF(ISBLANK('Data Entry'!$i$409), "", 'Data Entry'!$i$409)</f>
      </c>
      <c r="AP409">
        <f>IF(ISBLANK('Data Entry'!$j$409), "", 'Data Entry'!$j$409)</f>
      </c>
      <c r="AQ409">
        <f>IF(ISBLANK('Data Entry'!$k$409), "", 'Data Entry'!$k$409)</f>
      </c>
      <c r="AR409">
        <f>IF(ISBLANK('Data Entry'!$l$409), "", 'Data Entry'!$l$409)</f>
      </c>
      <c r="AS409">
        <f>IF(ISBLANK('Data Entry'!$m$409), "", 'Data Entry'!$m$409)</f>
      </c>
      <c r="AT409">
        <f>IF(ISBLANK('Data Entry'!$n$409), "", 'Data Entry'!$n$409)</f>
      </c>
      <c r="AU409">
        <f>IF(ISBLANK('Data Entry'!$o$409), "", 'Data Entry'!$o$409)</f>
      </c>
      <c r="AV409">
        <f>IF(ISBLANK('Data Entry'!$p$409), "", 'Data Entry'!$p$409)</f>
      </c>
      <c r="AW409">
        <f>IF(ISBLANK('Data Entry'!$q$409), "", 'Data Entry'!$q$409)</f>
      </c>
      <c r="AX409">
        <f>IF(ISBLANK('Data Entry'!$r$409), "", 'Data Entry'!$r$409)</f>
      </c>
      <c r="AY409">
        <f>IF(ISBLANK('Data Entry'!$s$409), "", 'Data Entry'!$s$409)</f>
      </c>
      <c r="AZ409">
        <f>IF(ISBLANK('Data Entry'!$t$409), "", 'Data Entry'!$t$409)</f>
      </c>
      <c r="BA409">
        <f>IF(ISBLANK('Data Entry'!$u$409), "", 'Data Entry'!$u$409)</f>
      </c>
      <c r="BB409">
        <f>IF(ISBLANK('Data Entry'!$v$409), "", 'Data Entry'!$v$409)</f>
      </c>
      <c r="BC409">
        <f>IF(ISBLANK('Data Entry'!$w$409), "", 'Data Entry'!$w$409)</f>
      </c>
      <c r="BD409">
        <f>IF(ISBLANK('Data Entry'!$x$409), "", 'Data Entry'!$x$409)</f>
      </c>
      <c r="BE409">
        <f>IF(ISBLANK('Data Entry'!$y$409), "", 'Data Entry'!$y$409)</f>
      </c>
      <c r="BF409">
        <f>IF(ISBLANK('Data Entry'!$z$409), "", 'Data Entry'!$z$409)</f>
      </c>
      <c r="BG409">
        <f>IF(ISBLANK('Data Entry'!${$409), "", 'Data Entry'!${$409)</f>
      </c>
      <c r="BH409">
        <f>IF(ISBLANK('Data Entry'!$|$409), "", 'Data Entry'!$|$409)</f>
      </c>
      <c r="BI409">
        <f>IF(ISBLANK('Data Entry'!$}$409), "", 'Data Entry'!$}$409)</f>
      </c>
      <c r="BJ409">
        <f>IF(ISBLANK('Data Entry'!$~$409), "", 'Data Entry'!$~$409)</f>
      </c>
      <c r="BK409">
        <f>IF(ISBLANK('Data Entry'!$$409), "", 'Data Entry'!$$409)</f>
      </c>
      <c r="BL409">
        <f>IF(ISBLANK('Data Entry'!$$409), "", 'Data Entry'!$$409)</f>
      </c>
      <c r="BM409">
        <f>IF(ISBLANK('Data Entry'!$$409), "", 'Data Entry'!$$409)</f>
      </c>
      <c r="BN409">
        <f>IF(ISBLANK('Data Entry'!$$409), "", 'Data Entry'!$$409)</f>
      </c>
      <c r="BO409">
        <f>IF(ISBLANK('Data Entry'!$$409), "", 'Data Entry'!$$409)</f>
      </c>
      <c r="BP409">
        <f>IF(ISBLANK('Data Entry'!$$409), "", 'Data Entry'!$$409)</f>
      </c>
      <c r="BQ409">
        <f>IF(ISBLANK('Data Entry'!$$409), "", 'Data Entry'!$$409)</f>
      </c>
      <c r="BR409">
        <f>IF(ISBLANK('Data Entry'!$$409), "", 'Data Entry'!$$409)</f>
      </c>
      <c r="BS409">
        <f>IF(ISBLANK('Data Entry'!$$409), "", 'Data Entry'!$$409)</f>
      </c>
      <c r="BT409">
        <f>IF(ISBLANK('Data Entry'!$$409), "", 'Data Entry'!$$409)</f>
      </c>
      <c r="BU409">
        <f>IF(ISBLANK('Data Entry'!$$409), "", 'Data Entry'!$$409)</f>
      </c>
      <c r="BV409">
        <f>IF(ISBLANK('Data Entry'!$$409), "", 'Data Entry'!$$409)</f>
      </c>
      <c r="BW409">
        <f>IF(ISBLANK('Data Entry'!$$409), "", 'Data Entry'!$$409)</f>
      </c>
      <c r="BX409">
        <f>IF(ISBLANK('Data Entry'!$$409), "", 'Data Entry'!$$409)</f>
      </c>
      <c r="BY409">
        <f>IF(ISBLANK('Data Entry'!$$409), "", 'Data Entry'!$$409)</f>
      </c>
      <c r="BZ409">
        <f>IF(ISBLANK('Data Entry'!$$409), "", 'Data Entry'!$$409)</f>
      </c>
      <c r="CA409">
        <f>IF(ISBLANK('Data Entry'!$$409), "", 'Data Entry'!$$409)</f>
      </c>
      <c r="CB409">
        <f>IF(ISBLANK('Data Entry'!$$409), "", 'Data Entry'!$$409)</f>
      </c>
      <c r="CC409">
        <f>IF(ISBLANK('Data Entry'!$$409), "", 'Data Entry'!$$409)</f>
      </c>
      <c r="CD409">
        <f>IF(ISBLANK('Data Entry'!$$409), "", 'Data Entry'!$$409)</f>
      </c>
      <c r="CE409">
        <f>IF(ISBLANK('Data Entry'!$$409), "", 'Data Entry'!$$409)</f>
      </c>
      <c r="CF409">
        <f>IF(ISBLANK('Data Entry'!$$409), "", 'Data Entry'!$$409)</f>
      </c>
      <c r="CG409">
        <f>IF(ISBLANK('Data Entry'!$$409), "", 'Data Entry'!$$409)</f>
      </c>
      <c r="CH409">
        <f>IF(ISBLANK('Data Entry'!$$409), "", 'Data Entry'!$$409)</f>
      </c>
      <c r="CI409">
        <f>IF(ISBLANK('Data Entry'!$$409), "", 'Data Entry'!$$409)</f>
      </c>
      <c r="CJ409">
        <f>IF(ISBLANK('Data Entry'!$$409), "", 'Data Entry'!$$409)</f>
      </c>
      <c r="CK409">
        <f>IF(ISBLANK('Data Entry'!$$409), "", 'Data Entry'!$$409)</f>
      </c>
      <c r="CL409">
        <f>IF(ISBLANK('Data Entry'!$$409), "", 'Data Entry'!$$409)</f>
      </c>
      <c r="CM409">
        <f>IF(ISBLANK('Data Entry'!$$409), "", 'Data Entry'!$$409)</f>
      </c>
      <c r="CN409">
        <f>IF(ISBLANK('Data Entry'!$$409), "", 'Data Entry'!$$409)</f>
      </c>
      <c r="CO409">
        <f>IF(ISBLANK('Data Entry'!$$409), "", 'Data Entry'!$$409)</f>
      </c>
      <c r="CP409">
        <f>IF(ISBLANK('Data Entry'!$$409), "", 'Data Entry'!$$409)</f>
      </c>
      <c r="CQ409">
        <f>IF(ISBLANK('Data Entry'!$$409), "", 'Data Entry'!$$409)</f>
      </c>
      <c r="CR409">
        <f>IF(ISBLANK('Data Entry'!$ $409), "", 'Data Entry'!$ $409)</f>
      </c>
      <c r="CS409">
        <f>IF(ISBLANK('Data Entry'!$¡$409), "", 'Data Entry'!$¡$409)</f>
      </c>
      <c r="CT409">
        <f>IF(ISBLANK('Data Entry'!$¢$409), "", 'Data Entry'!$¢$409)</f>
      </c>
      <c r="CU409">
        <f>IF(ISBLANK('Data Entry'!$£$409), "", 'Data Entry'!$£$409)</f>
      </c>
      <c r="CV409">
        <f>IF(ISBLANK('Data Entry'!$¤$409), "", 'Data Entry'!$¤$409)</f>
      </c>
      <c r="CW409">
        <f>IF(ISBLANK('Data Entry'!$¥$409), "", 'Data Entry'!$¥$409)</f>
      </c>
      <c r="CX409">
        <f>IF(ISBLANK('Data Entry'!$¦$409), "", 'Data Entry'!$¦$409)</f>
      </c>
      <c r="CY409">
        <f>IF(ISBLANK('Data Entry'!$§$409), "", 'Data Entry'!$§$409)</f>
      </c>
      <c r="CZ409">
        <f>IF(ISBLANK('Data Entry'!$¨$409), "", 'Data Entry'!$¨$409)</f>
      </c>
      <c r="DA409">
        <f>IF(ISBLANK('Data Entry'!$©$409), "", 'Data Entry'!$©$409)</f>
      </c>
      <c r="DB409">
        <f>IF(ISBLANK('Data Entry'!$ª$409), "", 'Data Entry'!$ª$409)</f>
      </c>
      <c r="DC409">
        <f>IF(ISBLANK('Data Entry'!$«$409), "", 'Data Entry'!$«$409)</f>
      </c>
      <c r="DD409">
        <f>IF(ISBLANK('Data Entry'!$¬$409), "", 'Data Entry'!$¬$409)</f>
      </c>
      <c r="DE409">
        <f>IF(ISBLANK('Data Entry'!$­$409), "", 'Data Entry'!$­$409)</f>
      </c>
      <c r="DF409">
        <f>IF(ISBLANK('Data Entry'!$®$409), "", 'Data Entry'!$®$409)</f>
      </c>
      <c r="DG409">
        <f>IF(ISBLANK('Data Entry'!$¯$409), "", 'Data Entry'!$¯$409)</f>
      </c>
      <c r="DH409">
        <f>IF(ISBLANK('Data Entry'!$°$409), "", 'Data Entry'!$°$409)</f>
      </c>
      <c r="DI409">
        <f>IF(ISBLANK('Data Entry'!$±$409), "", 'Data Entry'!$±$409)</f>
      </c>
      <c r="DJ409">
        <f>IF(ISBLANK('Data Entry'!$²$409), "", 'Data Entry'!$²$409)</f>
      </c>
      <c r="DK409">
        <f>IF(ISBLANK('Data Entry'!$³$409), "", 'Data Entry'!$³$409)</f>
      </c>
      <c r="DL409">
        <f>IF(ISBLANK('Data Entry'!$´$409), "", 'Data Entry'!$´$409)</f>
      </c>
      <c r="DM409">
        <f>IF(ISBLANK('Data Entry'!$µ$409), "", 'Data Entry'!$µ$409)</f>
      </c>
      <c r="DN409">
        <f>IF(ISBLANK('Data Entry'!$¶$409), "", 'Data Entry'!$¶$409)</f>
      </c>
      <c r="DO409">
        <f>IF(ISBLANK('Data Entry'!$·$409), "", 'Data Entry'!$·$409)</f>
      </c>
      <c r="DP409">
        <f>IF(ISBLANK('Data Entry'!$¸$409), "", 'Data Entry'!$¸$409)</f>
      </c>
      <c r="DQ409">
        <f>IF(ISBLANK('Data Entry'!$¹$409), "", 'Data Entry'!$¹$409)</f>
      </c>
      <c r="DR409">
        <f>IF(ISBLANK('Data Entry'!$º$409), "", 'Data Entry'!$º$409)</f>
      </c>
      <c r="DS409">
        <f>IF(ISBLANK('Data Entry'!$»$409), "", 'Data Entry'!$»$409)</f>
      </c>
      <c r="DT409">
        <f>IF(ISBLANK('Data Entry'!$¼$409), "", 'Data Entry'!$¼$409)</f>
      </c>
      <c r="DU409">
        <f>IF(ISBLANK('Data Entry'!$½$409), "", 'Data Entry'!$½$409)</f>
      </c>
      <c r="DV409">
        <f>IF(ISBLANK('Data Entry'!$¾$409), "", 'Data Entry'!$¾$409)</f>
      </c>
      <c r="DW409">
        <f>IF(ISBLANK('Data Entry'!$¿$409), "", 'Data Entry'!$¿$409)</f>
      </c>
      <c r="DX409">
        <f>IF(ISBLANK('Data Entry'!$À$409), "", 'Data Entry'!$À$409)</f>
      </c>
      <c r="DY409">
        <f>IF(ISBLANK('Data Entry'!$Á$409), "", 'Data Entry'!$Á$409)</f>
      </c>
      <c r="DZ409">
        <f>IF(ISBLANK('Data Entry'!$Â$409), "", 'Data Entry'!$Â$409)</f>
      </c>
      <c r="EA409">
        <f>IF(ISBLANK('Data Entry'!$Ã$409), "", 'Data Entry'!$Ã$409)</f>
      </c>
      <c r="EB409">
        <f>IF(ISBLANK('Data Entry'!$Ä$409), "", 'Data Entry'!$Ä$409)</f>
      </c>
      <c r="EC409">
        <f>IF(ISBLANK('Data Entry'!$Å$409), "", 'Data Entry'!$Å$409)</f>
      </c>
      <c r="ED409">
        <f>IF(ISBLANK('Data Entry'!$Æ$409), "", 'Data Entry'!$Æ$409)</f>
      </c>
      <c r="EE409">
        <f>IF(ISBLANK('Data Entry'!$Ç$409), "", 'Data Entry'!$Ç$409)</f>
      </c>
      <c r="EF409">
        <f>IF(ISBLANK('Data Entry'!$È$409), "", 'Data Entry'!$È$409)</f>
      </c>
      <c r="EG409">
        <f>IF(ISBLANK('Data Entry'!$É$409), "", 'Data Entry'!$É$409)</f>
      </c>
      <c r="EH409">
        <f>IF(ISBLANK('Data Entry'!$Ê$409), "", 'Data Entry'!$Ê$409)</f>
      </c>
      <c r="EI409">
        <f>IF(ISBLANK('Data Entry'!$Ë$409), "", 'Data Entry'!$Ë$409)</f>
      </c>
      <c r="EJ409">
        <f>IF(ISBLANK('Data Entry'!$Ì$409), "", 'Data Entry'!$Ì$409)</f>
      </c>
      <c r="EK409">
        <f>IF(ISBLANK('Data Entry'!$Í$409), "", 'Data Entry'!$Í$409)</f>
      </c>
      <c r="EL409">
        <f>IF(ISBLANK('Data Entry'!$Î$409), "", 'Data Entry'!$Î$409)</f>
      </c>
      <c r="EM409">
        <f>IF(ISBLANK('Data Entry'!$Ï$409), "", 'Data Entry'!$Ï$409)</f>
      </c>
      <c r="EN409">
        <f>IF(ISBLANK('Data Entry'!$Ð$409), "", 'Data Entry'!$Ð$409)</f>
      </c>
      <c r="EO409">
        <f>IF(ISBLANK('Data Entry'!$Ñ$409), "", 'Data Entry'!$Ñ$409)</f>
      </c>
      <c r="EP409">
        <f>IF(ISBLANK('Data Entry'!$Ò$409), "", 'Data Entry'!$Ò$409)</f>
      </c>
      <c r="EQ409">
        <f>IF(ISBLANK('Data Entry'!$Ó$409), "", 'Data Entry'!$Ó$409)</f>
      </c>
      <c r="ER409">
        <f>IF(ISBLANK('Data Entry'!$Ô$409), "", 'Data Entry'!$Ô$409)</f>
      </c>
      <c r="ES409">
        <f>IF(ISBLANK('Data Entry'!$Õ$409), "", 'Data Entry'!$Õ$409)</f>
      </c>
      <c r="ET409">
        <f>IF(ISBLANK('Data Entry'!$Ö$409), "", 'Data Entry'!$Ö$409)</f>
      </c>
      <c r="EU409">
        <f>IF(ISBLANK('Data Entry'!$×$409), "", 'Data Entry'!$×$409)</f>
      </c>
      <c r="EV409">
        <f>IF(ISBLANK('Data Entry'!$Ø$409), "", 'Data Entry'!$Ø$409)</f>
      </c>
      <c r="EW409">
        <f>IF(ISBLANK('Data Entry'!$Ù$409), "", 'Data Entry'!$Ù$409)</f>
      </c>
      <c r="EX409">
        <f>IF(ISBLANK('Data Entry'!$Ú$409), "", 'Data Entry'!$Ú$409)</f>
      </c>
      <c r="EY409">
        <f>IF(ISBLANK('Data Entry'!$Û$409), "", 'Data Entry'!$Û$409)</f>
      </c>
      <c r="EZ409">
        <f>IF(ISBLANK('Data Entry'!$Ü$409), "", 'Data Entry'!$Ü$409)</f>
      </c>
      <c r="FA409">
        <f>IF(ISBLANK('Data Entry'!$Ý$409), "", 'Data Entry'!$Ý$409)</f>
      </c>
      <c r="FB409">
        <f>IF(ISBLANK('Data Entry'!$Þ$409), "", 'Data Entry'!$Þ$409)</f>
      </c>
      <c r="FC409">
        <f>IF(ISBLANK('Data Entry'!$ß$409), "", 'Data Entry'!$ß$409)</f>
      </c>
      <c r="FD409">
        <f>IF(ISBLANK('Data Entry'!$à$409), "", 'Data Entry'!$à$409)</f>
      </c>
      <c r="FE409">
        <f>IF(ISBLANK('Data Entry'!$á$409), "", 'Data Entry'!$á$409)</f>
      </c>
      <c r="FF409">
        <f>IF(ISBLANK('Data Entry'!$â$409), "", 'Data Entry'!$â$409)</f>
      </c>
      <c r="FG409">
        <f>IF(ISBLANK('Data Entry'!$ã$409), "", 'Data Entry'!$ã$409)</f>
      </c>
      <c r="FH409">
        <f>IF(ISBLANK('Data Entry'!$ä$409), "", 'Data Entry'!$ä$409)</f>
      </c>
      <c r="FI409">
        <f>IF(ISBLANK('Data Entry'!$å$409), "", 'Data Entry'!$å$409)</f>
      </c>
      <c r="FJ409">
        <f>IF(ISBLANK('Data Entry'!$æ$409), "", 'Data Entry'!$æ$409)</f>
      </c>
      <c r="FK409">
        <f>IF(ISBLANK('Data Entry'!$ç$409), "", 'Data Entry'!$ç$409)</f>
      </c>
      <c r="FL409">
        <f>IF(ISBLANK('Data Entry'!$è$409), "", 'Data Entry'!$è$409)</f>
      </c>
      <c r="FM409">
        <f>IF(ISBLANK('Data Entry'!$é$409), "", 'Data Entry'!$é$409)</f>
      </c>
      <c r="FN409">
        <f>IF(ISBLANK('Data Entry'!$ê$409), "", 'Data Entry'!$ê$409)</f>
      </c>
      <c r="FO409">
        <f>IF(ISBLANK('Data Entry'!$ë$409), "", 'Data Entry'!$ë$409)</f>
      </c>
      <c r="FP409">
        <f>IF(ISBLANK('Data Entry'!$ì$409), "", 'Data Entry'!$ì$409)</f>
      </c>
      <c r="FQ409">
        <f>IF(ISBLANK('Data Entry'!$í$409), "", 'Data Entry'!$í$409)</f>
      </c>
      <c r="FR409">
        <f>IF(ISBLANK('Data Entry'!$î$409), "", 'Data Entry'!$î$409)</f>
      </c>
      <c r="FS409">
        <f>IF(ISBLANK('Data Entry'!$ï$409), "", 'Data Entry'!$ï$409)</f>
      </c>
      <c r="FT409">
        <f>IF(ISBLANK('Data Entry'!$ð$409), "", 'Data Entry'!$ð$409)</f>
      </c>
      <c r="FU409">
        <f>IF(ISBLANK('Data Entry'!$ñ$409), "", 'Data Entry'!$ñ$409)</f>
      </c>
      <c r="FV409">
        <f>IF(ISBLANK('Data Entry'!$ò$409), "", 'Data Entry'!$ò$409)</f>
      </c>
      <c r="FW409">
        <f>IF(ISBLANK('Data Entry'!$ó$409), "", 'Data Entry'!$ó$409)</f>
      </c>
      <c r="FX409">
        <f>IF(ISBLANK('Data Entry'!$ô$409), "", 'Data Entry'!$ô$409)</f>
      </c>
      <c r="FY409">
        <f>IF(ISBLANK('Data Entry'!$õ$409), "", 'Data Entry'!$õ$409)</f>
      </c>
      <c r="FZ409">
        <f>IF(ISBLANK('Data Entry'!$ö$409), "", 'Data Entry'!$ö$409)</f>
      </c>
      <c r="GA409">
        <f>IF(ISBLANK('Data Entry'!$÷$409), "", 'Data Entry'!$÷$409)</f>
      </c>
      <c r="GB409">
        <f>IF(ISBLANK('Data Entry'!$ø$409), "", 'Data Entry'!$ø$409)</f>
      </c>
      <c r="GC409">
        <f>IF(ISBLANK('Data Entry'!$ù$409), "", 'Data Entry'!$ù$409)</f>
      </c>
      <c r="GD409">
        <f>IF(ISBLANK('Data Entry'!$ú$409), "", 'Data Entry'!$ú$409)</f>
      </c>
      <c r="GE409">
        <f>IF(ISBLANK('Data Entry'!$û$409), "", 'Data Entry'!$û$409)</f>
      </c>
      <c r="GF409">
        <f>IF(ISBLANK('Data Entry'!$ü$409), "", 'Data Entry'!$ü$409)</f>
      </c>
      <c r="GG409">
        <f>IF(ISBLANK('Data Entry'!$ý$409), "", 'Data Entry'!$ý$409)</f>
      </c>
      <c r="GH409">
        <f>IF(ISBLANK('Data Entry'!$þ$409), "", 'Data Entry'!$þ$409)</f>
      </c>
      <c r="GI409">
        <f>IF(ISBLANK('Data Entry'!$ÿ$409), "", 'Data Entry'!$ÿ$409)</f>
      </c>
      <c r="GJ409">
        <f>IF(ISBLANK('Data Entry'!$Ā$409), "", 'Data Entry'!$Ā$409)</f>
      </c>
      <c r="GK409">
        <f>IF(ISBLANK('Data Entry'!$ā$409), "", 'Data Entry'!$ā$409)</f>
      </c>
      <c r="GL409">
        <f>IF(ISBLANK('Data Entry'!$Ă$409), "", 'Data Entry'!$Ă$409)</f>
      </c>
      <c r="GM409">
        <f>IF(ISBLANK('Data Entry'!$ă$409), "", 'Data Entry'!$ă$409)</f>
      </c>
      <c r="GN409">
        <f>IF(ISBLANK('Data Entry'!$Ą$409), "", 'Data Entry'!$Ą$409)</f>
      </c>
      <c r="GO409">
        <f>IF(ISBLANK('Data Entry'!$ą$409), "", 'Data Entry'!$ą$409)</f>
      </c>
      <c r="GP409">
        <f>IF(ISBLANK('Data Entry'!$Ć$409), "", 'Data Entry'!$Ć$409)</f>
      </c>
      <c r="GQ409">
        <f>IF(ISBLANK('Data Entry'!$ć$409), "", 'Data Entry'!$ć$409)</f>
      </c>
      <c r="GR409">
        <f>IF(ISBLANK('Data Entry'!$Ĉ$409), "", 'Data Entry'!$Ĉ$409)</f>
      </c>
      <c r="GS409">
        <f>IF(ISBLANK('Data Entry'!$ĉ$409), "", 'Data Entry'!$ĉ$409)</f>
      </c>
      <c r="GT409">
        <f>IF(ISBLANK('Data Entry'!$Ċ$409), "", 'Data Entry'!$Ċ$409)</f>
      </c>
      <c r="GU409">
        <f>IF(ISBLANK('Data Entry'!$ċ$409), "", 'Data Entry'!$ċ$409)</f>
      </c>
      <c r="GV409">
        <f>IF(ISBLANK('Data Entry'!$Č$409), "", 'Data Entry'!$Č$409)</f>
      </c>
      <c r="GW409">
        <f>IF(ISBLANK('Data Entry'!$č$409), "", 'Data Entry'!$č$409)</f>
      </c>
      <c r="GX409">
        <f>IF(ISBLANK('Data Entry'!$Ď$409), "", 'Data Entry'!$Ď$409)</f>
      </c>
      <c r="GY409">
        <f>IF(ISBLANK('Data Entry'!$ď$409), "", 'Data Entry'!$ď$409)</f>
      </c>
      <c r="GZ409">
        <f>IF(ISBLANK('Data Entry'!$Đ$409), "", 'Data Entry'!$Đ$409)</f>
      </c>
      <c r="HA409">
        <f>IF(ISBLANK('Data Entry'!$đ$409), "", 'Data Entry'!$đ$409)</f>
      </c>
      <c r="HB409">
        <f>IF(ISBLANK('Data Entry'!$Ē$409), "", 'Data Entry'!$Ē$409)</f>
      </c>
      <c r="HC409">
        <f>IF(ISBLANK('Data Entry'!$ē$409), "", 'Data Entry'!$ē$409)</f>
      </c>
      <c r="HD409">
        <f>IF(ISBLANK('Data Entry'!$Ĕ$409), "", 'Data Entry'!$Ĕ$409)</f>
      </c>
      <c r="HE409">
        <f>IF(ISBLANK('Data Entry'!$ĕ$409), "", 'Data Entry'!$ĕ$409)</f>
      </c>
      <c r="HF409">
        <f>IF(ISBLANK('Data Entry'!$Ė$409), "", 'Data Entry'!$Ė$409)</f>
      </c>
      <c r="HG409">
        <f>IF(ISBLANK('Data Entry'!$ė$409), "", 'Data Entry'!$ė$409)</f>
      </c>
      <c r="HH409">
        <f>IF(ISBLANK('Data Entry'!$Ę$409), "", 'Data Entry'!$Ę$409)</f>
      </c>
      <c r="HI409">
        <f>IF(ISBLANK('Data Entry'!$ę$409), "", 'Data Entry'!$ę$409)</f>
      </c>
      <c r="HJ409">
        <f>IF(ISBLANK('Data Entry'!$Ě$409), "", 'Data Entry'!$Ě$409)</f>
      </c>
      <c r="HK409">
        <f>IF(ISBLANK('Data Entry'!$ě$409), "", 'Data Entry'!$ě$409)</f>
      </c>
      <c r="HL409">
        <f>IF(ISBLANK('Data Entry'!$Ĝ$409), "", 'Data Entry'!$Ĝ$409)</f>
      </c>
      <c r="HM409">
        <f>IF(ISBLANK('Data Entry'!$ĝ$409), "", 'Data Entry'!$ĝ$409)</f>
      </c>
      <c r="HN409">
        <f>IF(ISBLANK('Data Entry'!$Ğ$409), "", 'Data Entry'!$Ğ$409)</f>
      </c>
      <c r="HO409">
        <f>IF(ISBLANK('Data Entry'!$ğ$409), "", 'Data Entry'!$ğ$409)</f>
      </c>
      <c r="HP409">
        <f>IF(ISBLANK('Data Entry'!$Ġ$409), "", 'Data Entry'!$Ġ$409)</f>
      </c>
      <c r="HQ409">
        <f>IF(ISBLANK('Data Entry'!$ġ$409), "", 'Data Entry'!$ġ$409)</f>
      </c>
      <c r="HR409">
        <f>IF(ISBLANK('Data Entry'!$Ģ$409), "", 'Data Entry'!$Ģ$409)</f>
      </c>
      <c r="HS409">
        <f>IF(ISBLANK('Data Entry'!$ģ$409), "", 'Data Entry'!$ģ$409)</f>
      </c>
      <c r="HT409">
        <f>IF(ISBLANK('Data Entry'!$Ĥ$409), "", 'Data Entry'!$Ĥ$409)</f>
      </c>
      <c r="HU409">
        <f>IF(ISBLANK('Data Entry'!$ĥ$409), "", 'Data Entry'!$ĥ$409)</f>
      </c>
      <c r="HV409">
        <f>IF(ISBLANK('Data Entry'!$Ħ$409), "", 'Data Entry'!$Ħ$409)</f>
      </c>
      <c r="HW409">
        <f>IF(ISBLANK('Data Entry'!$ħ$409), "", 'Data Entry'!$ħ$409)</f>
      </c>
      <c r="HX409">
        <f>IF(ISBLANK('Data Entry'!$Ĩ$409), "", 'Data Entry'!$Ĩ$409)</f>
      </c>
      <c r="HY409">
        <f>IF(ISBLANK('Data Entry'!$ĩ$409), "", 'Data Entry'!$ĩ$409)</f>
      </c>
      <c r="HZ409">
        <f>IF(ISBLANK('Data Entry'!$Ī$409), "", 'Data Entry'!$Ī$409)</f>
      </c>
      <c r="IA409">
        <f>IF(ISBLANK('Data Entry'!$ī$409), "", 'Data Entry'!$ī$409)</f>
      </c>
      <c r="IB409">
        <f>IF(ISBLANK('Data Entry'!$Ĭ$409), "", 'Data Entry'!$Ĭ$409)</f>
      </c>
      <c r="IC409">
        <f>IF(ISBLANK('Data Entry'!$ĭ$409), "", 'Data Entry'!$ĭ$409)</f>
      </c>
      <c r="ID409">
        <f>IF(ISBLANK('Data Entry'!$Į$409), "", 'Data Entry'!$Į$409)</f>
      </c>
      <c r="IE409">
        <f>IF(ISBLANK('Data Entry'!$į$409), "", 'Data Entry'!$į$409)</f>
      </c>
      <c r="IF409">
        <f>IF(ISBLANK('Data Entry'!$İ$409), "", 'Data Entry'!$İ$409)</f>
      </c>
      <c r="IG409">
        <f>IF(ISBLANK('Data Entry'!$ı$409), "", 'Data Entry'!$ı$409)</f>
      </c>
      <c r="IH409">
        <f>IF(ISBLANK('Data Entry'!$Ĳ$409), "", 'Data Entry'!$Ĳ$409)</f>
      </c>
      <c r="II409">
        <f>IF(ISBLANK('Data Entry'!$ĳ$409), "", 'Data Entry'!$ĳ$409)</f>
      </c>
      <c r="IJ409">
        <f>IF(ISBLANK('Data Entry'!$Ĵ$409), "", 'Data Entry'!$Ĵ$409)</f>
      </c>
      <c r="IK409">
        <f>IF(ISBLANK('Data Entry'!$ĵ$409), "", 'Data Entry'!$ĵ$409)</f>
      </c>
      <c r="IL409">
        <f>IF(ISBLANK('Data Entry'!$Ķ$409), "", 'Data Entry'!$Ķ$409)</f>
      </c>
      <c r="IM409">
        <f>IF(ISBLANK('Data Entry'!$ķ$409), "", 'Data Entry'!$ķ$409)</f>
      </c>
      <c r="IN409">
        <f>IF(ISBLANK('Data Entry'!$ĸ$409), "", 'Data Entry'!$ĸ$409)</f>
      </c>
      <c r="IO409">
        <f>IF(ISBLANK('Data Entry'!$Ĺ$409), "", 'Data Entry'!$Ĺ$409)</f>
      </c>
      <c r="IP409">
        <f>IF(ISBLANK('Data Entry'!$ĺ$409), "", 'Data Entry'!$ĺ$409)</f>
      </c>
      <c r="IQ409">
        <f>IF(ISBLANK('Data Entry'!$Ļ$409), "", 'Data Entry'!$Ļ$409)</f>
      </c>
      <c r="IR409">
        <f>IF(ISBLANK('Data Entry'!$ļ$409), "", 'Data Entry'!$ļ$409)</f>
      </c>
      <c r="IS409">
        <f>IF(ISBLANK('Data Entry'!$Ľ$409), "", 'Data Entry'!$Ľ$409)</f>
      </c>
      <c r="IT409">
        <f>IF(ISBLANK('Data Entry'!$ľ$409), "", 'Data Entry'!$ľ$409)</f>
      </c>
    </row>
    <row r="410" spans="1:254" x14ac:dyDescent="0.25">
      <c r="A410">
        <f>IF(ISBLANK('Data Entry'!$A$410), "", 'Data Entry'!$A$410)</f>
      </c>
      <c r="B410">
        <f>IF(ISBLANK('Data Entry'!$B$410), "", 'Data Entry'!$B$410)</f>
      </c>
      <c r="C410">
        <f>IF(ISBLANK('Data Entry'!$C$410), "", 'Data Entry'!$C$410)</f>
      </c>
      <c r="D410">
        <f>IF(ISBLANK('Data Entry'!$D$410), "", 'Data Entry'!$D$410)</f>
      </c>
      <c r="E410">
        <f>IF(ISBLANK('Data Entry'!$E$410), "", 'Data Entry'!$E$410)</f>
      </c>
      <c r="F410">
        <f>IF(ISBLANK('Data Entry'!$F$410), "", 'Data Entry'!$F$410)</f>
      </c>
      <c r="G410">
        <f>IF(ISBLANK('Data Entry'!$G$410), "", 'Data Entry'!$G$410)</f>
      </c>
      <c r="H410">
        <f>IF(ISBLANK('Data Entry'!$H$410), "", 'Data Entry'!$H$410)</f>
      </c>
      <c r="I410">
        <f>IF(ISBLANK('Data Entry'!$I$410), "", 'Data Entry'!$I$410)</f>
      </c>
      <c r="J410">
        <f>IF(ISBLANK('Data Entry'!$J$410), "", 'Data Entry'!$J$410)</f>
      </c>
      <c r="K410">
        <f>IF(ISBLANK('Data Entry'!$K$410), "", 'Data Entry'!$K$410)</f>
      </c>
      <c r="L410">
        <f>IF(ISBLANK('Data Entry'!$L$410), "", 'Data Entry'!$L$410)</f>
      </c>
      <c r="M410">
        <f>IF(ISBLANK('Data Entry'!$M$410), "", 'Data Entry'!$M$410)</f>
      </c>
      <c r="N410">
        <f>IF(ISBLANK('Data Entry'!$N$410), "", 'Data Entry'!$N$410)</f>
      </c>
      <c r="O410">
        <f>IF(ISBLANK('Data Entry'!$O$410), "", 'Data Entry'!$O$410)</f>
      </c>
      <c r="P410">
        <f>IF(ISBLANK('Data Entry'!$P$410), "", 'Data Entry'!$P$410)</f>
      </c>
      <c r="Q410">
        <f>IF(ISBLANK('Data Entry'!$Q$410), "", 'Data Entry'!$Q$410)</f>
      </c>
      <c r="R410">
        <f>IF(ISBLANK('Data Entry'!$R$410), "", 'Data Entry'!$R$410)</f>
      </c>
      <c r="S410">
        <f>IF(ISBLANK('Data Entry'!$S$410), "", 'Data Entry'!$S$410)</f>
      </c>
      <c r="T410">
        <f>IF(ISBLANK('Data Entry'!$T$410), "", 'Data Entry'!$T$410)</f>
      </c>
      <c r="U410">
        <f>IF(ISBLANK('Data Entry'!$U$410), "", 'Data Entry'!$U$410)</f>
      </c>
      <c r="V410">
        <f>IF(ISBLANK('Data Entry'!$V$410), "", 'Data Entry'!$V$410)</f>
      </c>
      <c r="W410">
        <f>IF(ISBLANK('Data Entry'!$W$410), "", 'Data Entry'!$W$410)</f>
      </c>
      <c r="X410">
        <f>IF(ISBLANK('Data Entry'!$X$410), "", 'Data Entry'!$X$410)</f>
      </c>
      <c r="Y410">
        <f>IF(ISBLANK('Data Entry'!$Y$410), "", 'Data Entry'!$Y$410)</f>
      </c>
      <c r="Z410">
        <f>IF(ISBLANK('Data Entry'!$Z$410), "", 'Data Entry'!$Z$410)</f>
      </c>
      <c r="AA410">
        <f>IF(ISBLANK('Data Entry'!$[$410), "", 'Data Entry'!$[$410)</f>
      </c>
      <c r="AB410">
        <f>IF(ISBLANK('Data Entry'!$\$410), "", 'Data Entry'!$\$410)</f>
      </c>
      <c r="AC410">
        <f>IF(ISBLANK('Data Entry'!$]$410), "", 'Data Entry'!$]$410)</f>
      </c>
      <c r="AD410">
        <f>IF(ISBLANK('Data Entry'!$^$410), "", 'Data Entry'!$^$410)</f>
      </c>
      <c r="AE410">
        <f>IF(ISBLANK('Data Entry'!$_$410), "", 'Data Entry'!$_$410)</f>
      </c>
      <c r="AF410">
        <f>IF(ISBLANK('Data Entry'!$`$410), "", 'Data Entry'!$`$410)</f>
      </c>
      <c r="AG410">
        <f>IF(ISBLANK('Data Entry'!$a$410), "", 'Data Entry'!$a$410)</f>
      </c>
      <c r="AH410">
        <f>IF(ISBLANK('Data Entry'!$b$410), "", 'Data Entry'!$b$410)</f>
      </c>
      <c r="AI410">
        <f>IF(ISBLANK('Data Entry'!$c$410), "", 'Data Entry'!$c$410)</f>
      </c>
      <c r="AJ410">
        <f>IF(ISBLANK('Data Entry'!$d$410), "", 'Data Entry'!$d$410)</f>
      </c>
      <c r="AK410">
        <f>IF(ISBLANK('Data Entry'!$e$410), "", 'Data Entry'!$e$410)</f>
      </c>
      <c r="AL410">
        <f>IF(ISBLANK('Data Entry'!$f$410), "", 'Data Entry'!$f$410)</f>
      </c>
      <c r="AM410">
        <f>IF(ISBLANK('Data Entry'!$g$410), "", 'Data Entry'!$g$410)</f>
      </c>
      <c r="AN410">
        <f>IF(ISBLANK('Data Entry'!$h$410), "", 'Data Entry'!$h$410)</f>
      </c>
      <c r="AO410">
        <f>IF(ISBLANK('Data Entry'!$i$410), "", 'Data Entry'!$i$410)</f>
      </c>
      <c r="AP410">
        <f>IF(ISBLANK('Data Entry'!$j$410), "", 'Data Entry'!$j$410)</f>
      </c>
      <c r="AQ410">
        <f>IF(ISBLANK('Data Entry'!$k$410), "", 'Data Entry'!$k$410)</f>
      </c>
      <c r="AR410">
        <f>IF(ISBLANK('Data Entry'!$l$410), "", 'Data Entry'!$l$410)</f>
      </c>
      <c r="AS410">
        <f>IF(ISBLANK('Data Entry'!$m$410), "", 'Data Entry'!$m$410)</f>
      </c>
      <c r="AT410">
        <f>IF(ISBLANK('Data Entry'!$n$410), "", 'Data Entry'!$n$410)</f>
      </c>
      <c r="AU410">
        <f>IF(ISBLANK('Data Entry'!$o$410), "", 'Data Entry'!$o$410)</f>
      </c>
      <c r="AV410">
        <f>IF(ISBLANK('Data Entry'!$p$410), "", 'Data Entry'!$p$410)</f>
      </c>
      <c r="AW410">
        <f>IF(ISBLANK('Data Entry'!$q$410), "", 'Data Entry'!$q$410)</f>
      </c>
      <c r="AX410">
        <f>IF(ISBLANK('Data Entry'!$r$410), "", 'Data Entry'!$r$410)</f>
      </c>
      <c r="AY410">
        <f>IF(ISBLANK('Data Entry'!$s$410), "", 'Data Entry'!$s$410)</f>
      </c>
      <c r="AZ410">
        <f>IF(ISBLANK('Data Entry'!$t$410), "", 'Data Entry'!$t$410)</f>
      </c>
      <c r="BA410">
        <f>IF(ISBLANK('Data Entry'!$u$410), "", 'Data Entry'!$u$410)</f>
      </c>
      <c r="BB410">
        <f>IF(ISBLANK('Data Entry'!$v$410), "", 'Data Entry'!$v$410)</f>
      </c>
      <c r="BC410">
        <f>IF(ISBLANK('Data Entry'!$w$410), "", 'Data Entry'!$w$410)</f>
      </c>
      <c r="BD410">
        <f>IF(ISBLANK('Data Entry'!$x$410), "", 'Data Entry'!$x$410)</f>
      </c>
      <c r="BE410">
        <f>IF(ISBLANK('Data Entry'!$y$410), "", 'Data Entry'!$y$410)</f>
      </c>
      <c r="BF410">
        <f>IF(ISBLANK('Data Entry'!$z$410), "", 'Data Entry'!$z$410)</f>
      </c>
      <c r="BG410">
        <f>IF(ISBLANK('Data Entry'!${$410), "", 'Data Entry'!${$410)</f>
      </c>
      <c r="BH410">
        <f>IF(ISBLANK('Data Entry'!$|$410), "", 'Data Entry'!$|$410)</f>
      </c>
      <c r="BI410">
        <f>IF(ISBLANK('Data Entry'!$}$410), "", 'Data Entry'!$}$410)</f>
      </c>
      <c r="BJ410">
        <f>IF(ISBLANK('Data Entry'!$~$410), "", 'Data Entry'!$~$410)</f>
      </c>
      <c r="BK410">
        <f>IF(ISBLANK('Data Entry'!$$410), "", 'Data Entry'!$$410)</f>
      </c>
      <c r="BL410">
        <f>IF(ISBLANK('Data Entry'!$$410), "", 'Data Entry'!$$410)</f>
      </c>
      <c r="BM410">
        <f>IF(ISBLANK('Data Entry'!$$410), "", 'Data Entry'!$$410)</f>
      </c>
      <c r="BN410">
        <f>IF(ISBLANK('Data Entry'!$$410), "", 'Data Entry'!$$410)</f>
      </c>
      <c r="BO410">
        <f>IF(ISBLANK('Data Entry'!$$410), "", 'Data Entry'!$$410)</f>
      </c>
      <c r="BP410">
        <f>IF(ISBLANK('Data Entry'!$$410), "", 'Data Entry'!$$410)</f>
      </c>
      <c r="BQ410">
        <f>IF(ISBLANK('Data Entry'!$$410), "", 'Data Entry'!$$410)</f>
      </c>
      <c r="BR410">
        <f>IF(ISBLANK('Data Entry'!$$410), "", 'Data Entry'!$$410)</f>
      </c>
      <c r="BS410">
        <f>IF(ISBLANK('Data Entry'!$$410), "", 'Data Entry'!$$410)</f>
      </c>
      <c r="BT410">
        <f>IF(ISBLANK('Data Entry'!$$410), "", 'Data Entry'!$$410)</f>
      </c>
      <c r="BU410">
        <f>IF(ISBLANK('Data Entry'!$$410), "", 'Data Entry'!$$410)</f>
      </c>
      <c r="BV410">
        <f>IF(ISBLANK('Data Entry'!$$410), "", 'Data Entry'!$$410)</f>
      </c>
      <c r="BW410">
        <f>IF(ISBLANK('Data Entry'!$$410), "", 'Data Entry'!$$410)</f>
      </c>
      <c r="BX410">
        <f>IF(ISBLANK('Data Entry'!$$410), "", 'Data Entry'!$$410)</f>
      </c>
      <c r="BY410">
        <f>IF(ISBLANK('Data Entry'!$$410), "", 'Data Entry'!$$410)</f>
      </c>
      <c r="BZ410">
        <f>IF(ISBLANK('Data Entry'!$$410), "", 'Data Entry'!$$410)</f>
      </c>
      <c r="CA410">
        <f>IF(ISBLANK('Data Entry'!$$410), "", 'Data Entry'!$$410)</f>
      </c>
      <c r="CB410">
        <f>IF(ISBLANK('Data Entry'!$$410), "", 'Data Entry'!$$410)</f>
      </c>
      <c r="CC410">
        <f>IF(ISBLANK('Data Entry'!$$410), "", 'Data Entry'!$$410)</f>
      </c>
      <c r="CD410">
        <f>IF(ISBLANK('Data Entry'!$$410), "", 'Data Entry'!$$410)</f>
      </c>
      <c r="CE410">
        <f>IF(ISBLANK('Data Entry'!$$410), "", 'Data Entry'!$$410)</f>
      </c>
      <c r="CF410">
        <f>IF(ISBLANK('Data Entry'!$$410), "", 'Data Entry'!$$410)</f>
      </c>
      <c r="CG410">
        <f>IF(ISBLANK('Data Entry'!$$410), "", 'Data Entry'!$$410)</f>
      </c>
      <c r="CH410">
        <f>IF(ISBLANK('Data Entry'!$$410), "", 'Data Entry'!$$410)</f>
      </c>
      <c r="CI410">
        <f>IF(ISBLANK('Data Entry'!$$410), "", 'Data Entry'!$$410)</f>
      </c>
      <c r="CJ410">
        <f>IF(ISBLANK('Data Entry'!$$410), "", 'Data Entry'!$$410)</f>
      </c>
      <c r="CK410">
        <f>IF(ISBLANK('Data Entry'!$$410), "", 'Data Entry'!$$410)</f>
      </c>
      <c r="CL410">
        <f>IF(ISBLANK('Data Entry'!$$410), "", 'Data Entry'!$$410)</f>
      </c>
      <c r="CM410">
        <f>IF(ISBLANK('Data Entry'!$$410), "", 'Data Entry'!$$410)</f>
      </c>
      <c r="CN410">
        <f>IF(ISBLANK('Data Entry'!$$410), "", 'Data Entry'!$$410)</f>
      </c>
      <c r="CO410">
        <f>IF(ISBLANK('Data Entry'!$$410), "", 'Data Entry'!$$410)</f>
      </c>
      <c r="CP410">
        <f>IF(ISBLANK('Data Entry'!$$410), "", 'Data Entry'!$$410)</f>
      </c>
      <c r="CQ410">
        <f>IF(ISBLANK('Data Entry'!$$410), "", 'Data Entry'!$$410)</f>
      </c>
      <c r="CR410">
        <f>IF(ISBLANK('Data Entry'!$ $410), "", 'Data Entry'!$ $410)</f>
      </c>
      <c r="CS410">
        <f>IF(ISBLANK('Data Entry'!$¡$410), "", 'Data Entry'!$¡$410)</f>
      </c>
      <c r="CT410">
        <f>IF(ISBLANK('Data Entry'!$¢$410), "", 'Data Entry'!$¢$410)</f>
      </c>
      <c r="CU410">
        <f>IF(ISBLANK('Data Entry'!$£$410), "", 'Data Entry'!$£$410)</f>
      </c>
      <c r="CV410">
        <f>IF(ISBLANK('Data Entry'!$¤$410), "", 'Data Entry'!$¤$410)</f>
      </c>
      <c r="CW410">
        <f>IF(ISBLANK('Data Entry'!$¥$410), "", 'Data Entry'!$¥$410)</f>
      </c>
      <c r="CX410">
        <f>IF(ISBLANK('Data Entry'!$¦$410), "", 'Data Entry'!$¦$410)</f>
      </c>
      <c r="CY410">
        <f>IF(ISBLANK('Data Entry'!$§$410), "", 'Data Entry'!$§$410)</f>
      </c>
      <c r="CZ410">
        <f>IF(ISBLANK('Data Entry'!$¨$410), "", 'Data Entry'!$¨$410)</f>
      </c>
      <c r="DA410">
        <f>IF(ISBLANK('Data Entry'!$©$410), "", 'Data Entry'!$©$410)</f>
      </c>
      <c r="DB410">
        <f>IF(ISBLANK('Data Entry'!$ª$410), "", 'Data Entry'!$ª$410)</f>
      </c>
      <c r="DC410">
        <f>IF(ISBLANK('Data Entry'!$«$410), "", 'Data Entry'!$«$410)</f>
      </c>
      <c r="DD410">
        <f>IF(ISBLANK('Data Entry'!$¬$410), "", 'Data Entry'!$¬$410)</f>
      </c>
      <c r="DE410">
        <f>IF(ISBLANK('Data Entry'!$­$410), "", 'Data Entry'!$­$410)</f>
      </c>
      <c r="DF410">
        <f>IF(ISBLANK('Data Entry'!$®$410), "", 'Data Entry'!$®$410)</f>
      </c>
      <c r="DG410">
        <f>IF(ISBLANK('Data Entry'!$¯$410), "", 'Data Entry'!$¯$410)</f>
      </c>
      <c r="DH410">
        <f>IF(ISBLANK('Data Entry'!$°$410), "", 'Data Entry'!$°$410)</f>
      </c>
      <c r="DI410">
        <f>IF(ISBLANK('Data Entry'!$±$410), "", 'Data Entry'!$±$410)</f>
      </c>
      <c r="DJ410">
        <f>IF(ISBLANK('Data Entry'!$²$410), "", 'Data Entry'!$²$410)</f>
      </c>
      <c r="DK410">
        <f>IF(ISBLANK('Data Entry'!$³$410), "", 'Data Entry'!$³$410)</f>
      </c>
      <c r="DL410">
        <f>IF(ISBLANK('Data Entry'!$´$410), "", 'Data Entry'!$´$410)</f>
      </c>
      <c r="DM410">
        <f>IF(ISBLANK('Data Entry'!$µ$410), "", 'Data Entry'!$µ$410)</f>
      </c>
      <c r="DN410">
        <f>IF(ISBLANK('Data Entry'!$¶$410), "", 'Data Entry'!$¶$410)</f>
      </c>
      <c r="DO410">
        <f>IF(ISBLANK('Data Entry'!$·$410), "", 'Data Entry'!$·$410)</f>
      </c>
      <c r="DP410">
        <f>IF(ISBLANK('Data Entry'!$¸$410), "", 'Data Entry'!$¸$410)</f>
      </c>
      <c r="DQ410">
        <f>IF(ISBLANK('Data Entry'!$¹$410), "", 'Data Entry'!$¹$410)</f>
      </c>
      <c r="DR410">
        <f>IF(ISBLANK('Data Entry'!$º$410), "", 'Data Entry'!$º$410)</f>
      </c>
      <c r="DS410">
        <f>IF(ISBLANK('Data Entry'!$»$410), "", 'Data Entry'!$»$410)</f>
      </c>
      <c r="DT410">
        <f>IF(ISBLANK('Data Entry'!$¼$410), "", 'Data Entry'!$¼$410)</f>
      </c>
      <c r="DU410">
        <f>IF(ISBLANK('Data Entry'!$½$410), "", 'Data Entry'!$½$410)</f>
      </c>
      <c r="DV410">
        <f>IF(ISBLANK('Data Entry'!$¾$410), "", 'Data Entry'!$¾$410)</f>
      </c>
      <c r="DW410">
        <f>IF(ISBLANK('Data Entry'!$¿$410), "", 'Data Entry'!$¿$410)</f>
      </c>
      <c r="DX410">
        <f>IF(ISBLANK('Data Entry'!$À$410), "", 'Data Entry'!$À$410)</f>
      </c>
      <c r="DY410">
        <f>IF(ISBLANK('Data Entry'!$Á$410), "", 'Data Entry'!$Á$410)</f>
      </c>
      <c r="DZ410">
        <f>IF(ISBLANK('Data Entry'!$Â$410), "", 'Data Entry'!$Â$410)</f>
      </c>
      <c r="EA410">
        <f>IF(ISBLANK('Data Entry'!$Ã$410), "", 'Data Entry'!$Ã$410)</f>
      </c>
      <c r="EB410">
        <f>IF(ISBLANK('Data Entry'!$Ä$410), "", 'Data Entry'!$Ä$410)</f>
      </c>
      <c r="EC410">
        <f>IF(ISBLANK('Data Entry'!$Å$410), "", 'Data Entry'!$Å$410)</f>
      </c>
      <c r="ED410">
        <f>IF(ISBLANK('Data Entry'!$Æ$410), "", 'Data Entry'!$Æ$410)</f>
      </c>
      <c r="EE410">
        <f>IF(ISBLANK('Data Entry'!$Ç$410), "", 'Data Entry'!$Ç$410)</f>
      </c>
      <c r="EF410">
        <f>IF(ISBLANK('Data Entry'!$È$410), "", 'Data Entry'!$È$410)</f>
      </c>
      <c r="EG410">
        <f>IF(ISBLANK('Data Entry'!$É$410), "", 'Data Entry'!$É$410)</f>
      </c>
      <c r="EH410">
        <f>IF(ISBLANK('Data Entry'!$Ê$410), "", 'Data Entry'!$Ê$410)</f>
      </c>
      <c r="EI410">
        <f>IF(ISBLANK('Data Entry'!$Ë$410), "", 'Data Entry'!$Ë$410)</f>
      </c>
      <c r="EJ410">
        <f>IF(ISBLANK('Data Entry'!$Ì$410), "", 'Data Entry'!$Ì$410)</f>
      </c>
      <c r="EK410">
        <f>IF(ISBLANK('Data Entry'!$Í$410), "", 'Data Entry'!$Í$410)</f>
      </c>
      <c r="EL410">
        <f>IF(ISBLANK('Data Entry'!$Î$410), "", 'Data Entry'!$Î$410)</f>
      </c>
      <c r="EM410">
        <f>IF(ISBLANK('Data Entry'!$Ï$410), "", 'Data Entry'!$Ï$410)</f>
      </c>
      <c r="EN410">
        <f>IF(ISBLANK('Data Entry'!$Ð$410), "", 'Data Entry'!$Ð$410)</f>
      </c>
      <c r="EO410">
        <f>IF(ISBLANK('Data Entry'!$Ñ$410), "", 'Data Entry'!$Ñ$410)</f>
      </c>
      <c r="EP410">
        <f>IF(ISBLANK('Data Entry'!$Ò$410), "", 'Data Entry'!$Ò$410)</f>
      </c>
      <c r="EQ410">
        <f>IF(ISBLANK('Data Entry'!$Ó$410), "", 'Data Entry'!$Ó$410)</f>
      </c>
      <c r="ER410">
        <f>IF(ISBLANK('Data Entry'!$Ô$410), "", 'Data Entry'!$Ô$410)</f>
      </c>
      <c r="ES410">
        <f>IF(ISBLANK('Data Entry'!$Õ$410), "", 'Data Entry'!$Õ$410)</f>
      </c>
      <c r="ET410">
        <f>IF(ISBLANK('Data Entry'!$Ö$410), "", 'Data Entry'!$Ö$410)</f>
      </c>
      <c r="EU410">
        <f>IF(ISBLANK('Data Entry'!$×$410), "", 'Data Entry'!$×$410)</f>
      </c>
      <c r="EV410">
        <f>IF(ISBLANK('Data Entry'!$Ø$410), "", 'Data Entry'!$Ø$410)</f>
      </c>
      <c r="EW410">
        <f>IF(ISBLANK('Data Entry'!$Ù$410), "", 'Data Entry'!$Ù$410)</f>
      </c>
      <c r="EX410">
        <f>IF(ISBLANK('Data Entry'!$Ú$410), "", 'Data Entry'!$Ú$410)</f>
      </c>
      <c r="EY410">
        <f>IF(ISBLANK('Data Entry'!$Û$410), "", 'Data Entry'!$Û$410)</f>
      </c>
      <c r="EZ410">
        <f>IF(ISBLANK('Data Entry'!$Ü$410), "", 'Data Entry'!$Ü$410)</f>
      </c>
      <c r="FA410">
        <f>IF(ISBLANK('Data Entry'!$Ý$410), "", 'Data Entry'!$Ý$410)</f>
      </c>
      <c r="FB410">
        <f>IF(ISBLANK('Data Entry'!$Þ$410), "", 'Data Entry'!$Þ$410)</f>
      </c>
      <c r="FC410">
        <f>IF(ISBLANK('Data Entry'!$ß$410), "", 'Data Entry'!$ß$410)</f>
      </c>
      <c r="FD410">
        <f>IF(ISBLANK('Data Entry'!$à$410), "", 'Data Entry'!$à$410)</f>
      </c>
      <c r="FE410">
        <f>IF(ISBLANK('Data Entry'!$á$410), "", 'Data Entry'!$á$410)</f>
      </c>
      <c r="FF410">
        <f>IF(ISBLANK('Data Entry'!$â$410), "", 'Data Entry'!$â$410)</f>
      </c>
      <c r="FG410">
        <f>IF(ISBLANK('Data Entry'!$ã$410), "", 'Data Entry'!$ã$410)</f>
      </c>
      <c r="FH410">
        <f>IF(ISBLANK('Data Entry'!$ä$410), "", 'Data Entry'!$ä$410)</f>
      </c>
      <c r="FI410">
        <f>IF(ISBLANK('Data Entry'!$å$410), "", 'Data Entry'!$å$410)</f>
      </c>
      <c r="FJ410">
        <f>IF(ISBLANK('Data Entry'!$æ$410), "", 'Data Entry'!$æ$410)</f>
      </c>
      <c r="FK410">
        <f>IF(ISBLANK('Data Entry'!$ç$410), "", 'Data Entry'!$ç$410)</f>
      </c>
      <c r="FL410">
        <f>IF(ISBLANK('Data Entry'!$è$410), "", 'Data Entry'!$è$410)</f>
      </c>
      <c r="FM410">
        <f>IF(ISBLANK('Data Entry'!$é$410), "", 'Data Entry'!$é$410)</f>
      </c>
      <c r="FN410">
        <f>IF(ISBLANK('Data Entry'!$ê$410), "", 'Data Entry'!$ê$410)</f>
      </c>
      <c r="FO410">
        <f>IF(ISBLANK('Data Entry'!$ë$410), "", 'Data Entry'!$ë$410)</f>
      </c>
      <c r="FP410">
        <f>IF(ISBLANK('Data Entry'!$ì$410), "", 'Data Entry'!$ì$410)</f>
      </c>
      <c r="FQ410">
        <f>IF(ISBLANK('Data Entry'!$í$410), "", 'Data Entry'!$í$410)</f>
      </c>
      <c r="FR410">
        <f>IF(ISBLANK('Data Entry'!$î$410), "", 'Data Entry'!$î$410)</f>
      </c>
      <c r="FS410">
        <f>IF(ISBLANK('Data Entry'!$ï$410), "", 'Data Entry'!$ï$410)</f>
      </c>
      <c r="FT410">
        <f>IF(ISBLANK('Data Entry'!$ð$410), "", 'Data Entry'!$ð$410)</f>
      </c>
      <c r="FU410">
        <f>IF(ISBLANK('Data Entry'!$ñ$410), "", 'Data Entry'!$ñ$410)</f>
      </c>
      <c r="FV410">
        <f>IF(ISBLANK('Data Entry'!$ò$410), "", 'Data Entry'!$ò$410)</f>
      </c>
      <c r="FW410">
        <f>IF(ISBLANK('Data Entry'!$ó$410), "", 'Data Entry'!$ó$410)</f>
      </c>
      <c r="FX410">
        <f>IF(ISBLANK('Data Entry'!$ô$410), "", 'Data Entry'!$ô$410)</f>
      </c>
      <c r="FY410">
        <f>IF(ISBLANK('Data Entry'!$õ$410), "", 'Data Entry'!$õ$410)</f>
      </c>
      <c r="FZ410">
        <f>IF(ISBLANK('Data Entry'!$ö$410), "", 'Data Entry'!$ö$410)</f>
      </c>
      <c r="GA410">
        <f>IF(ISBLANK('Data Entry'!$÷$410), "", 'Data Entry'!$÷$410)</f>
      </c>
      <c r="GB410">
        <f>IF(ISBLANK('Data Entry'!$ø$410), "", 'Data Entry'!$ø$410)</f>
      </c>
      <c r="GC410">
        <f>IF(ISBLANK('Data Entry'!$ù$410), "", 'Data Entry'!$ù$410)</f>
      </c>
      <c r="GD410">
        <f>IF(ISBLANK('Data Entry'!$ú$410), "", 'Data Entry'!$ú$410)</f>
      </c>
      <c r="GE410">
        <f>IF(ISBLANK('Data Entry'!$û$410), "", 'Data Entry'!$û$410)</f>
      </c>
      <c r="GF410">
        <f>IF(ISBLANK('Data Entry'!$ü$410), "", 'Data Entry'!$ü$410)</f>
      </c>
      <c r="GG410">
        <f>IF(ISBLANK('Data Entry'!$ý$410), "", 'Data Entry'!$ý$410)</f>
      </c>
      <c r="GH410">
        <f>IF(ISBLANK('Data Entry'!$þ$410), "", 'Data Entry'!$þ$410)</f>
      </c>
      <c r="GI410">
        <f>IF(ISBLANK('Data Entry'!$ÿ$410), "", 'Data Entry'!$ÿ$410)</f>
      </c>
      <c r="GJ410">
        <f>IF(ISBLANK('Data Entry'!$Ā$410), "", 'Data Entry'!$Ā$410)</f>
      </c>
      <c r="GK410">
        <f>IF(ISBLANK('Data Entry'!$ā$410), "", 'Data Entry'!$ā$410)</f>
      </c>
      <c r="GL410">
        <f>IF(ISBLANK('Data Entry'!$Ă$410), "", 'Data Entry'!$Ă$410)</f>
      </c>
      <c r="GM410">
        <f>IF(ISBLANK('Data Entry'!$ă$410), "", 'Data Entry'!$ă$410)</f>
      </c>
      <c r="GN410">
        <f>IF(ISBLANK('Data Entry'!$Ą$410), "", 'Data Entry'!$Ą$410)</f>
      </c>
      <c r="GO410">
        <f>IF(ISBLANK('Data Entry'!$ą$410), "", 'Data Entry'!$ą$410)</f>
      </c>
      <c r="GP410">
        <f>IF(ISBLANK('Data Entry'!$Ć$410), "", 'Data Entry'!$Ć$410)</f>
      </c>
      <c r="GQ410">
        <f>IF(ISBLANK('Data Entry'!$ć$410), "", 'Data Entry'!$ć$410)</f>
      </c>
      <c r="GR410">
        <f>IF(ISBLANK('Data Entry'!$Ĉ$410), "", 'Data Entry'!$Ĉ$410)</f>
      </c>
      <c r="GS410">
        <f>IF(ISBLANK('Data Entry'!$ĉ$410), "", 'Data Entry'!$ĉ$410)</f>
      </c>
      <c r="GT410">
        <f>IF(ISBLANK('Data Entry'!$Ċ$410), "", 'Data Entry'!$Ċ$410)</f>
      </c>
      <c r="GU410">
        <f>IF(ISBLANK('Data Entry'!$ċ$410), "", 'Data Entry'!$ċ$410)</f>
      </c>
      <c r="GV410">
        <f>IF(ISBLANK('Data Entry'!$Č$410), "", 'Data Entry'!$Č$410)</f>
      </c>
      <c r="GW410">
        <f>IF(ISBLANK('Data Entry'!$č$410), "", 'Data Entry'!$č$410)</f>
      </c>
      <c r="GX410">
        <f>IF(ISBLANK('Data Entry'!$Ď$410), "", 'Data Entry'!$Ď$410)</f>
      </c>
      <c r="GY410">
        <f>IF(ISBLANK('Data Entry'!$ď$410), "", 'Data Entry'!$ď$410)</f>
      </c>
      <c r="GZ410">
        <f>IF(ISBLANK('Data Entry'!$Đ$410), "", 'Data Entry'!$Đ$410)</f>
      </c>
      <c r="HA410">
        <f>IF(ISBLANK('Data Entry'!$đ$410), "", 'Data Entry'!$đ$410)</f>
      </c>
      <c r="HB410">
        <f>IF(ISBLANK('Data Entry'!$Ē$410), "", 'Data Entry'!$Ē$410)</f>
      </c>
      <c r="HC410">
        <f>IF(ISBLANK('Data Entry'!$ē$410), "", 'Data Entry'!$ē$410)</f>
      </c>
      <c r="HD410">
        <f>IF(ISBLANK('Data Entry'!$Ĕ$410), "", 'Data Entry'!$Ĕ$410)</f>
      </c>
      <c r="HE410">
        <f>IF(ISBLANK('Data Entry'!$ĕ$410), "", 'Data Entry'!$ĕ$410)</f>
      </c>
      <c r="HF410">
        <f>IF(ISBLANK('Data Entry'!$Ė$410), "", 'Data Entry'!$Ė$410)</f>
      </c>
      <c r="HG410">
        <f>IF(ISBLANK('Data Entry'!$ė$410), "", 'Data Entry'!$ė$410)</f>
      </c>
      <c r="HH410">
        <f>IF(ISBLANK('Data Entry'!$Ę$410), "", 'Data Entry'!$Ę$410)</f>
      </c>
      <c r="HI410">
        <f>IF(ISBLANK('Data Entry'!$ę$410), "", 'Data Entry'!$ę$410)</f>
      </c>
      <c r="HJ410">
        <f>IF(ISBLANK('Data Entry'!$Ě$410), "", 'Data Entry'!$Ě$410)</f>
      </c>
      <c r="HK410">
        <f>IF(ISBLANK('Data Entry'!$ě$410), "", 'Data Entry'!$ě$410)</f>
      </c>
      <c r="HL410">
        <f>IF(ISBLANK('Data Entry'!$Ĝ$410), "", 'Data Entry'!$Ĝ$410)</f>
      </c>
      <c r="HM410">
        <f>IF(ISBLANK('Data Entry'!$ĝ$410), "", 'Data Entry'!$ĝ$410)</f>
      </c>
      <c r="HN410">
        <f>IF(ISBLANK('Data Entry'!$Ğ$410), "", 'Data Entry'!$Ğ$410)</f>
      </c>
      <c r="HO410">
        <f>IF(ISBLANK('Data Entry'!$ğ$410), "", 'Data Entry'!$ğ$410)</f>
      </c>
      <c r="HP410">
        <f>IF(ISBLANK('Data Entry'!$Ġ$410), "", 'Data Entry'!$Ġ$410)</f>
      </c>
      <c r="HQ410">
        <f>IF(ISBLANK('Data Entry'!$ġ$410), "", 'Data Entry'!$ġ$410)</f>
      </c>
      <c r="HR410">
        <f>IF(ISBLANK('Data Entry'!$Ģ$410), "", 'Data Entry'!$Ģ$410)</f>
      </c>
      <c r="HS410">
        <f>IF(ISBLANK('Data Entry'!$ģ$410), "", 'Data Entry'!$ģ$410)</f>
      </c>
      <c r="HT410">
        <f>IF(ISBLANK('Data Entry'!$Ĥ$410), "", 'Data Entry'!$Ĥ$410)</f>
      </c>
      <c r="HU410">
        <f>IF(ISBLANK('Data Entry'!$ĥ$410), "", 'Data Entry'!$ĥ$410)</f>
      </c>
      <c r="HV410">
        <f>IF(ISBLANK('Data Entry'!$Ħ$410), "", 'Data Entry'!$Ħ$410)</f>
      </c>
      <c r="HW410">
        <f>IF(ISBLANK('Data Entry'!$ħ$410), "", 'Data Entry'!$ħ$410)</f>
      </c>
      <c r="HX410">
        <f>IF(ISBLANK('Data Entry'!$Ĩ$410), "", 'Data Entry'!$Ĩ$410)</f>
      </c>
      <c r="HY410">
        <f>IF(ISBLANK('Data Entry'!$ĩ$410), "", 'Data Entry'!$ĩ$410)</f>
      </c>
      <c r="HZ410">
        <f>IF(ISBLANK('Data Entry'!$Ī$410), "", 'Data Entry'!$Ī$410)</f>
      </c>
      <c r="IA410">
        <f>IF(ISBLANK('Data Entry'!$ī$410), "", 'Data Entry'!$ī$410)</f>
      </c>
      <c r="IB410">
        <f>IF(ISBLANK('Data Entry'!$Ĭ$410), "", 'Data Entry'!$Ĭ$410)</f>
      </c>
      <c r="IC410">
        <f>IF(ISBLANK('Data Entry'!$ĭ$410), "", 'Data Entry'!$ĭ$410)</f>
      </c>
      <c r="ID410">
        <f>IF(ISBLANK('Data Entry'!$Į$410), "", 'Data Entry'!$Į$410)</f>
      </c>
      <c r="IE410">
        <f>IF(ISBLANK('Data Entry'!$į$410), "", 'Data Entry'!$į$410)</f>
      </c>
      <c r="IF410">
        <f>IF(ISBLANK('Data Entry'!$İ$410), "", 'Data Entry'!$İ$410)</f>
      </c>
      <c r="IG410">
        <f>IF(ISBLANK('Data Entry'!$ı$410), "", 'Data Entry'!$ı$410)</f>
      </c>
      <c r="IH410">
        <f>IF(ISBLANK('Data Entry'!$Ĳ$410), "", 'Data Entry'!$Ĳ$410)</f>
      </c>
      <c r="II410">
        <f>IF(ISBLANK('Data Entry'!$ĳ$410), "", 'Data Entry'!$ĳ$410)</f>
      </c>
      <c r="IJ410">
        <f>IF(ISBLANK('Data Entry'!$Ĵ$410), "", 'Data Entry'!$Ĵ$410)</f>
      </c>
      <c r="IK410">
        <f>IF(ISBLANK('Data Entry'!$ĵ$410), "", 'Data Entry'!$ĵ$410)</f>
      </c>
      <c r="IL410">
        <f>IF(ISBLANK('Data Entry'!$Ķ$410), "", 'Data Entry'!$Ķ$410)</f>
      </c>
      <c r="IM410">
        <f>IF(ISBLANK('Data Entry'!$ķ$410), "", 'Data Entry'!$ķ$410)</f>
      </c>
      <c r="IN410">
        <f>IF(ISBLANK('Data Entry'!$ĸ$410), "", 'Data Entry'!$ĸ$410)</f>
      </c>
      <c r="IO410">
        <f>IF(ISBLANK('Data Entry'!$Ĺ$410), "", 'Data Entry'!$Ĺ$410)</f>
      </c>
      <c r="IP410">
        <f>IF(ISBLANK('Data Entry'!$ĺ$410), "", 'Data Entry'!$ĺ$410)</f>
      </c>
      <c r="IQ410">
        <f>IF(ISBLANK('Data Entry'!$Ļ$410), "", 'Data Entry'!$Ļ$410)</f>
      </c>
      <c r="IR410">
        <f>IF(ISBLANK('Data Entry'!$ļ$410), "", 'Data Entry'!$ļ$410)</f>
      </c>
      <c r="IS410">
        <f>IF(ISBLANK('Data Entry'!$Ľ$410), "", 'Data Entry'!$Ľ$410)</f>
      </c>
      <c r="IT410">
        <f>IF(ISBLANK('Data Entry'!$ľ$410), "", 'Data Entry'!$ľ$410)</f>
      </c>
    </row>
    <row r="411" spans="1:254" x14ac:dyDescent="0.25">
      <c r="A411">
        <f>IF(ISBLANK('Data Entry'!$A$411), "", 'Data Entry'!$A$411)</f>
      </c>
      <c r="B411">
        <f>IF(ISBLANK('Data Entry'!$B$411), "", 'Data Entry'!$B$411)</f>
      </c>
      <c r="C411">
        <f>IF(ISBLANK('Data Entry'!$C$411), "", 'Data Entry'!$C$411)</f>
      </c>
      <c r="D411">
        <f>IF(ISBLANK('Data Entry'!$D$411), "", 'Data Entry'!$D$411)</f>
      </c>
      <c r="E411">
        <f>IF(ISBLANK('Data Entry'!$E$411), "", 'Data Entry'!$E$411)</f>
      </c>
      <c r="F411">
        <f>IF(ISBLANK('Data Entry'!$F$411), "", 'Data Entry'!$F$411)</f>
      </c>
      <c r="G411">
        <f>IF(ISBLANK('Data Entry'!$G$411), "", 'Data Entry'!$G$411)</f>
      </c>
      <c r="H411">
        <f>IF(ISBLANK('Data Entry'!$H$411), "", 'Data Entry'!$H$411)</f>
      </c>
      <c r="I411">
        <f>IF(ISBLANK('Data Entry'!$I$411), "", 'Data Entry'!$I$411)</f>
      </c>
      <c r="J411">
        <f>IF(ISBLANK('Data Entry'!$J$411), "", 'Data Entry'!$J$411)</f>
      </c>
      <c r="K411">
        <f>IF(ISBLANK('Data Entry'!$K$411), "", 'Data Entry'!$K$411)</f>
      </c>
      <c r="L411">
        <f>IF(ISBLANK('Data Entry'!$L$411), "", 'Data Entry'!$L$411)</f>
      </c>
      <c r="M411">
        <f>IF(ISBLANK('Data Entry'!$M$411), "", 'Data Entry'!$M$411)</f>
      </c>
      <c r="N411">
        <f>IF(ISBLANK('Data Entry'!$N$411), "", 'Data Entry'!$N$411)</f>
      </c>
      <c r="O411">
        <f>IF(ISBLANK('Data Entry'!$O$411), "", 'Data Entry'!$O$411)</f>
      </c>
      <c r="P411">
        <f>IF(ISBLANK('Data Entry'!$P$411), "", 'Data Entry'!$P$411)</f>
      </c>
      <c r="Q411">
        <f>IF(ISBLANK('Data Entry'!$Q$411), "", 'Data Entry'!$Q$411)</f>
      </c>
      <c r="R411">
        <f>IF(ISBLANK('Data Entry'!$R$411), "", 'Data Entry'!$R$411)</f>
      </c>
      <c r="S411">
        <f>IF(ISBLANK('Data Entry'!$S$411), "", 'Data Entry'!$S$411)</f>
      </c>
      <c r="T411">
        <f>IF(ISBLANK('Data Entry'!$T$411), "", 'Data Entry'!$T$411)</f>
      </c>
      <c r="U411">
        <f>IF(ISBLANK('Data Entry'!$U$411), "", 'Data Entry'!$U$411)</f>
      </c>
      <c r="V411">
        <f>IF(ISBLANK('Data Entry'!$V$411), "", 'Data Entry'!$V$411)</f>
      </c>
      <c r="W411">
        <f>IF(ISBLANK('Data Entry'!$W$411), "", 'Data Entry'!$W$411)</f>
      </c>
      <c r="X411">
        <f>IF(ISBLANK('Data Entry'!$X$411), "", 'Data Entry'!$X$411)</f>
      </c>
      <c r="Y411">
        <f>IF(ISBLANK('Data Entry'!$Y$411), "", 'Data Entry'!$Y$411)</f>
      </c>
      <c r="Z411">
        <f>IF(ISBLANK('Data Entry'!$Z$411), "", 'Data Entry'!$Z$411)</f>
      </c>
      <c r="AA411">
        <f>IF(ISBLANK('Data Entry'!$[$411), "", 'Data Entry'!$[$411)</f>
      </c>
      <c r="AB411">
        <f>IF(ISBLANK('Data Entry'!$\$411), "", 'Data Entry'!$\$411)</f>
      </c>
      <c r="AC411">
        <f>IF(ISBLANK('Data Entry'!$]$411), "", 'Data Entry'!$]$411)</f>
      </c>
      <c r="AD411">
        <f>IF(ISBLANK('Data Entry'!$^$411), "", 'Data Entry'!$^$411)</f>
      </c>
      <c r="AE411">
        <f>IF(ISBLANK('Data Entry'!$_$411), "", 'Data Entry'!$_$411)</f>
      </c>
      <c r="AF411">
        <f>IF(ISBLANK('Data Entry'!$`$411), "", 'Data Entry'!$`$411)</f>
      </c>
      <c r="AG411">
        <f>IF(ISBLANK('Data Entry'!$a$411), "", 'Data Entry'!$a$411)</f>
      </c>
      <c r="AH411">
        <f>IF(ISBLANK('Data Entry'!$b$411), "", 'Data Entry'!$b$411)</f>
      </c>
      <c r="AI411">
        <f>IF(ISBLANK('Data Entry'!$c$411), "", 'Data Entry'!$c$411)</f>
      </c>
      <c r="AJ411">
        <f>IF(ISBLANK('Data Entry'!$d$411), "", 'Data Entry'!$d$411)</f>
      </c>
      <c r="AK411">
        <f>IF(ISBLANK('Data Entry'!$e$411), "", 'Data Entry'!$e$411)</f>
      </c>
      <c r="AL411">
        <f>IF(ISBLANK('Data Entry'!$f$411), "", 'Data Entry'!$f$411)</f>
      </c>
      <c r="AM411">
        <f>IF(ISBLANK('Data Entry'!$g$411), "", 'Data Entry'!$g$411)</f>
      </c>
      <c r="AN411">
        <f>IF(ISBLANK('Data Entry'!$h$411), "", 'Data Entry'!$h$411)</f>
      </c>
      <c r="AO411">
        <f>IF(ISBLANK('Data Entry'!$i$411), "", 'Data Entry'!$i$411)</f>
      </c>
      <c r="AP411">
        <f>IF(ISBLANK('Data Entry'!$j$411), "", 'Data Entry'!$j$411)</f>
      </c>
      <c r="AQ411">
        <f>IF(ISBLANK('Data Entry'!$k$411), "", 'Data Entry'!$k$411)</f>
      </c>
      <c r="AR411">
        <f>IF(ISBLANK('Data Entry'!$l$411), "", 'Data Entry'!$l$411)</f>
      </c>
      <c r="AS411">
        <f>IF(ISBLANK('Data Entry'!$m$411), "", 'Data Entry'!$m$411)</f>
      </c>
      <c r="AT411">
        <f>IF(ISBLANK('Data Entry'!$n$411), "", 'Data Entry'!$n$411)</f>
      </c>
      <c r="AU411">
        <f>IF(ISBLANK('Data Entry'!$o$411), "", 'Data Entry'!$o$411)</f>
      </c>
      <c r="AV411">
        <f>IF(ISBLANK('Data Entry'!$p$411), "", 'Data Entry'!$p$411)</f>
      </c>
      <c r="AW411">
        <f>IF(ISBLANK('Data Entry'!$q$411), "", 'Data Entry'!$q$411)</f>
      </c>
      <c r="AX411">
        <f>IF(ISBLANK('Data Entry'!$r$411), "", 'Data Entry'!$r$411)</f>
      </c>
      <c r="AY411">
        <f>IF(ISBLANK('Data Entry'!$s$411), "", 'Data Entry'!$s$411)</f>
      </c>
      <c r="AZ411">
        <f>IF(ISBLANK('Data Entry'!$t$411), "", 'Data Entry'!$t$411)</f>
      </c>
      <c r="BA411">
        <f>IF(ISBLANK('Data Entry'!$u$411), "", 'Data Entry'!$u$411)</f>
      </c>
      <c r="BB411">
        <f>IF(ISBLANK('Data Entry'!$v$411), "", 'Data Entry'!$v$411)</f>
      </c>
      <c r="BC411">
        <f>IF(ISBLANK('Data Entry'!$w$411), "", 'Data Entry'!$w$411)</f>
      </c>
      <c r="BD411">
        <f>IF(ISBLANK('Data Entry'!$x$411), "", 'Data Entry'!$x$411)</f>
      </c>
      <c r="BE411">
        <f>IF(ISBLANK('Data Entry'!$y$411), "", 'Data Entry'!$y$411)</f>
      </c>
      <c r="BF411">
        <f>IF(ISBLANK('Data Entry'!$z$411), "", 'Data Entry'!$z$411)</f>
      </c>
      <c r="BG411">
        <f>IF(ISBLANK('Data Entry'!${$411), "", 'Data Entry'!${$411)</f>
      </c>
      <c r="BH411">
        <f>IF(ISBLANK('Data Entry'!$|$411), "", 'Data Entry'!$|$411)</f>
      </c>
      <c r="BI411">
        <f>IF(ISBLANK('Data Entry'!$}$411), "", 'Data Entry'!$}$411)</f>
      </c>
      <c r="BJ411">
        <f>IF(ISBLANK('Data Entry'!$~$411), "", 'Data Entry'!$~$411)</f>
      </c>
      <c r="BK411">
        <f>IF(ISBLANK('Data Entry'!$$411), "", 'Data Entry'!$$411)</f>
      </c>
      <c r="BL411">
        <f>IF(ISBLANK('Data Entry'!$$411), "", 'Data Entry'!$$411)</f>
      </c>
      <c r="BM411">
        <f>IF(ISBLANK('Data Entry'!$$411), "", 'Data Entry'!$$411)</f>
      </c>
      <c r="BN411">
        <f>IF(ISBLANK('Data Entry'!$$411), "", 'Data Entry'!$$411)</f>
      </c>
      <c r="BO411">
        <f>IF(ISBLANK('Data Entry'!$$411), "", 'Data Entry'!$$411)</f>
      </c>
      <c r="BP411">
        <f>IF(ISBLANK('Data Entry'!$$411), "", 'Data Entry'!$$411)</f>
      </c>
      <c r="BQ411">
        <f>IF(ISBLANK('Data Entry'!$$411), "", 'Data Entry'!$$411)</f>
      </c>
      <c r="BR411">
        <f>IF(ISBLANK('Data Entry'!$$411), "", 'Data Entry'!$$411)</f>
      </c>
      <c r="BS411">
        <f>IF(ISBLANK('Data Entry'!$$411), "", 'Data Entry'!$$411)</f>
      </c>
      <c r="BT411">
        <f>IF(ISBLANK('Data Entry'!$$411), "", 'Data Entry'!$$411)</f>
      </c>
      <c r="BU411">
        <f>IF(ISBLANK('Data Entry'!$$411), "", 'Data Entry'!$$411)</f>
      </c>
      <c r="BV411">
        <f>IF(ISBLANK('Data Entry'!$$411), "", 'Data Entry'!$$411)</f>
      </c>
      <c r="BW411">
        <f>IF(ISBLANK('Data Entry'!$$411), "", 'Data Entry'!$$411)</f>
      </c>
      <c r="BX411">
        <f>IF(ISBLANK('Data Entry'!$$411), "", 'Data Entry'!$$411)</f>
      </c>
      <c r="BY411">
        <f>IF(ISBLANK('Data Entry'!$$411), "", 'Data Entry'!$$411)</f>
      </c>
      <c r="BZ411">
        <f>IF(ISBLANK('Data Entry'!$$411), "", 'Data Entry'!$$411)</f>
      </c>
      <c r="CA411">
        <f>IF(ISBLANK('Data Entry'!$$411), "", 'Data Entry'!$$411)</f>
      </c>
      <c r="CB411">
        <f>IF(ISBLANK('Data Entry'!$$411), "", 'Data Entry'!$$411)</f>
      </c>
      <c r="CC411">
        <f>IF(ISBLANK('Data Entry'!$$411), "", 'Data Entry'!$$411)</f>
      </c>
      <c r="CD411">
        <f>IF(ISBLANK('Data Entry'!$$411), "", 'Data Entry'!$$411)</f>
      </c>
      <c r="CE411">
        <f>IF(ISBLANK('Data Entry'!$$411), "", 'Data Entry'!$$411)</f>
      </c>
      <c r="CF411">
        <f>IF(ISBLANK('Data Entry'!$$411), "", 'Data Entry'!$$411)</f>
      </c>
      <c r="CG411">
        <f>IF(ISBLANK('Data Entry'!$$411), "", 'Data Entry'!$$411)</f>
      </c>
      <c r="CH411">
        <f>IF(ISBLANK('Data Entry'!$$411), "", 'Data Entry'!$$411)</f>
      </c>
      <c r="CI411">
        <f>IF(ISBLANK('Data Entry'!$$411), "", 'Data Entry'!$$411)</f>
      </c>
      <c r="CJ411">
        <f>IF(ISBLANK('Data Entry'!$$411), "", 'Data Entry'!$$411)</f>
      </c>
      <c r="CK411">
        <f>IF(ISBLANK('Data Entry'!$$411), "", 'Data Entry'!$$411)</f>
      </c>
      <c r="CL411">
        <f>IF(ISBLANK('Data Entry'!$$411), "", 'Data Entry'!$$411)</f>
      </c>
      <c r="CM411">
        <f>IF(ISBLANK('Data Entry'!$$411), "", 'Data Entry'!$$411)</f>
      </c>
      <c r="CN411">
        <f>IF(ISBLANK('Data Entry'!$$411), "", 'Data Entry'!$$411)</f>
      </c>
      <c r="CO411">
        <f>IF(ISBLANK('Data Entry'!$$411), "", 'Data Entry'!$$411)</f>
      </c>
      <c r="CP411">
        <f>IF(ISBLANK('Data Entry'!$$411), "", 'Data Entry'!$$411)</f>
      </c>
      <c r="CQ411">
        <f>IF(ISBLANK('Data Entry'!$$411), "", 'Data Entry'!$$411)</f>
      </c>
      <c r="CR411">
        <f>IF(ISBLANK('Data Entry'!$ $411), "", 'Data Entry'!$ $411)</f>
      </c>
      <c r="CS411">
        <f>IF(ISBLANK('Data Entry'!$¡$411), "", 'Data Entry'!$¡$411)</f>
      </c>
      <c r="CT411">
        <f>IF(ISBLANK('Data Entry'!$¢$411), "", 'Data Entry'!$¢$411)</f>
      </c>
      <c r="CU411">
        <f>IF(ISBLANK('Data Entry'!$£$411), "", 'Data Entry'!$£$411)</f>
      </c>
      <c r="CV411">
        <f>IF(ISBLANK('Data Entry'!$¤$411), "", 'Data Entry'!$¤$411)</f>
      </c>
      <c r="CW411">
        <f>IF(ISBLANK('Data Entry'!$¥$411), "", 'Data Entry'!$¥$411)</f>
      </c>
      <c r="CX411">
        <f>IF(ISBLANK('Data Entry'!$¦$411), "", 'Data Entry'!$¦$411)</f>
      </c>
      <c r="CY411">
        <f>IF(ISBLANK('Data Entry'!$§$411), "", 'Data Entry'!$§$411)</f>
      </c>
      <c r="CZ411">
        <f>IF(ISBLANK('Data Entry'!$¨$411), "", 'Data Entry'!$¨$411)</f>
      </c>
      <c r="DA411">
        <f>IF(ISBLANK('Data Entry'!$©$411), "", 'Data Entry'!$©$411)</f>
      </c>
      <c r="DB411">
        <f>IF(ISBLANK('Data Entry'!$ª$411), "", 'Data Entry'!$ª$411)</f>
      </c>
      <c r="DC411">
        <f>IF(ISBLANK('Data Entry'!$«$411), "", 'Data Entry'!$«$411)</f>
      </c>
      <c r="DD411">
        <f>IF(ISBLANK('Data Entry'!$¬$411), "", 'Data Entry'!$¬$411)</f>
      </c>
      <c r="DE411">
        <f>IF(ISBLANK('Data Entry'!$­$411), "", 'Data Entry'!$­$411)</f>
      </c>
      <c r="DF411">
        <f>IF(ISBLANK('Data Entry'!$®$411), "", 'Data Entry'!$®$411)</f>
      </c>
      <c r="DG411">
        <f>IF(ISBLANK('Data Entry'!$¯$411), "", 'Data Entry'!$¯$411)</f>
      </c>
      <c r="DH411">
        <f>IF(ISBLANK('Data Entry'!$°$411), "", 'Data Entry'!$°$411)</f>
      </c>
      <c r="DI411">
        <f>IF(ISBLANK('Data Entry'!$±$411), "", 'Data Entry'!$±$411)</f>
      </c>
      <c r="DJ411">
        <f>IF(ISBLANK('Data Entry'!$²$411), "", 'Data Entry'!$²$411)</f>
      </c>
      <c r="DK411">
        <f>IF(ISBLANK('Data Entry'!$³$411), "", 'Data Entry'!$³$411)</f>
      </c>
      <c r="DL411">
        <f>IF(ISBLANK('Data Entry'!$´$411), "", 'Data Entry'!$´$411)</f>
      </c>
      <c r="DM411">
        <f>IF(ISBLANK('Data Entry'!$µ$411), "", 'Data Entry'!$µ$411)</f>
      </c>
      <c r="DN411">
        <f>IF(ISBLANK('Data Entry'!$¶$411), "", 'Data Entry'!$¶$411)</f>
      </c>
      <c r="DO411">
        <f>IF(ISBLANK('Data Entry'!$·$411), "", 'Data Entry'!$·$411)</f>
      </c>
      <c r="DP411">
        <f>IF(ISBLANK('Data Entry'!$¸$411), "", 'Data Entry'!$¸$411)</f>
      </c>
      <c r="DQ411">
        <f>IF(ISBLANK('Data Entry'!$¹$411), "", 'Data Entry'!$¹$411)</f>
      </c>
      <c r="DR411">
        <f>IF(ISBLANK('Data Entry'!$º$411), "", 'Data Entry'!$º$411)</f>
      </c>
      <c r="DS411">
        <f>IF(ISBLANK('Data Entry'!$»$411), "", 'Data Entry'!$»$411)</f>
      </c>
      <c r="DT411">
        <f>IF(ISBLANK('Data Entry'!$¼$411), "", 'Data Entry'!$¼$411)</f>
      </c>
      <c r="DU411">
        <f>IF(ISBLANK('Data Entry'!$½$411), "", 'Data Entry'!$½$411)</f>
      </c>
      <c r="DV411">
        <f>IF(ISBLANK('Data Entry'!$¾$411), "", 'Data Entry'!$¾$411)</f>
      </c>
      <c r="DW411">
        <f>IF(ISBLANK('Data Entry'!$¿$411), "", 'Data Entry'!$¿$411)</f>
      </c>
      <c r="DX411">
        <f>IF(ISBLANK('Data Entry'!$À$411), "", 'Data Entry'!$À$411)</f>
      </c>
      <c r="DY411">
        <f>IF(ISBLANK('Data Entry'!$Á$411), "", 'Data Entry'!$Á$411)</f>
      </c>
      <c r="DZ411">
        <f>IF(ISBLANK('Data Entry'!$Â$411), "", 'Data Entry'!$Â$411)</f>
      </c>
      <c r="EA411">
        <f>IF(ISBLANK('Data Entry'!$Ã$411), "", 'Data Entry'!$Ã$411)</f>
      </c>
      <c r="EB411">
        <f>IF(ISBLANK('Data Entry'!$Ä$411), "", 'Data Entry'!$Ä$411)</f>
      </c>
      <c r="EC411">
        <f>IF(ISBLANK('Data Entry'!$Å$411), "", 'Data Entry'!$Å$411)</f>
      </c>
      <c r="ED411">
        <f>IF(ISBLANK('Data Entry'!$Æ$411), "", 'Data Entry'!$Æ$411)</f>
      </c>
      <c r="EE411">
        <f>IF(ISBLANK('Data Entry'!$Ç$411), "", 'Data Entry'!$Ç$411)</f>
      </c>
      <c r="EF411">
        <f>IF(ISBLANK('Data Entry'!$È$411), "", 'Data Entry'!$È$411)</f>
      </c>
      <c r="EG411">
        <f>IF(ISBLANK('Data Entry'!$É$411), "", 'Data Entry'!$É$411)</f>
      </c>
      <c r="EH411">
        <f>IF(ISBLANK('Data Entry'!$Ê$411), "", 'Data Entry'!$Ê$411)</f>
      </c>
      <c r="EI411">
        <f>IF(ISBLANK('Data Entry'!$Ë$411), "", 'Data Entry'!$Ë$411)</f>
      </c>
      <c r="EJ411">
        <f>IF(ISBLANK('Data Entry'!$Ì$411), "", 'Data Entry'!$Ì$411)</f>
      </c>
      <c r="EK411">
        <f>IF(ISBLANK('Data Entry'!$Í$411), "", 'Data Entry'!$Í$411)</f>
      </c>
      <c r="EL411">
        <f>IF(ISBLANK('Data Entry'!$Î$411), "", 'Data Entry'!$Î$411)</f>
      </c>
      <c r="EM411">
        <f>IF(ISBLANK('Data Entry'!$Ï$411), "", 'Data Entry'!$Ï$411)</f>
      </c>
      <c r="EN411">
        <f>IF(ISBLANK('Data Entry'!$Ð$411), "", 'Data Entry'!$Ð$411)</f>
      </c>
      <c r="EO411">
        <f>IF(ISBLANK('Data Entry'!$Ñ$411), "", 'Data Entry'!$Ñ$411)</f>
      </c>
      <c r="EP411">
        <f>IF(ISBLANK('Data Entry'!$Ò$411), "", 'Data Entry'!$Ò$411)</f>
      </c>
      <c r="EQ411">
        <f>IF(ISBLANK('Data Entry'!$Ó$411), "", 'Data Entry'!$Ó$411)</f>
      </c>
      <c r="ER411">
        <f>IF(ISBLANK('Data Entry'!$Ô$411), "", 'Data Entry'!$Ô$411)</f>
      </c>
      <c r="ES411">
        <f>IF(ISBLANK('Data Entry'!$Õ$411), "", 'Data Entry'!$Õ$411)</f>
      </c>
      <c r="ET411">
        <f>IF(ISBLANK('Data Entry'!$Ö$411), "", 'Data Entry'!$Ö$411)</f>
      </c>
      <c r="EU411">
        <f>IF(ISBLANK('Data Entry'!$×$411), "", 'Data Entry'!$×$411)</f>
      </c>
      <c r="EV411">
        <f>IF(ISBLANK('Data Entry'!$Ø$411), "", 'Data Entry'!$Ø$411)</f>
      </c>
      <c r="EW411">
        <f>IF(ISBLANK('Data Entry'!$Ù$411), "", 'Data Entry'!$Ù$411)</f>
      </c>
      <c r="EX411">
        <f>IF(ISBLANK('Data Entry'!$Ú$411), "", 'Data Entry'!$Ú$411)</f>
      </c>
      <c r="EY411">
        <f>IF(ISBLANK('Data Entry'!$Û$411), "", 'Data Entry'!$Û$411)</f>
      </c>
      <c r="EZ411">
        <f>IF(ISBLANK('Data Entry'!$Ü$411), "", 'Data Entry'!$Ü$411)</f>
      </c>
      <c r="FA411">
        <f>IF(ISBLANK('Data Entry'!$Ý$411), "", 'Data Entry'!$Ý$411)</f>
      </c>
      <c r="FB411">
        <f>IF(ISBLANK('Data Entry'!$Þ$411), "", 'Data Entry'!$Þ$411)</f>
      </c>
      <c r="FC411">
        <f>IF(ISBLANK('Data Entry'!$ß$411), "", 'Data Entry'!$ß$411)</f>
      </c>
      <c r="FD411">
        <f>IF(ISBLANK('Data Entry'!$à$411), "", 'Data Entry'!$à$411)</f>
      </c>
      <c r="FE411">
        <f>IF(ISBLANK('Data Entry'!$á$411), "", 'Data Entry'!$á$411)</f>
      </c>
      <c r="FF411">
        <f>IF(ISBLANK('Data Entry'!$â$411), "", 'Data Entry'!$â$411)</f>
      </c>
      <c r="FG411">
        <f>IF(ISBLANK('Data Entry'!$ã$411), "", 'Data Entry'!$ã$411)</f>
      </c>
      <c r="FH411">
        <f>IF(ISBLANK('Data Entry'!$ä$411), "", 'Data Entry'!$ä$411)</f>
      </c>
      <c r="FI411">
        <f>IF(ISBLANK('Data Entry'!$å$411), "", 'Data Entry'!$å$411)</f>
      </c>
      <c r="FJ411">
        <f>IF(ISBLANK('Data Entry'!$æ$411), "", 'Data Entry'!$æ$411)</f>
      </c>
      <c r="FK411">
        <f>IF(ISBLANK('Data Entry'!$ç$411), "", 'Data Entry'!$ç$411)</f>
      </c>
      <c r="FL411">
        <f>IF(ISBLANK('Data Entry'!$è$411), "", 'Data Entry'!$è$411)</f>
      </c>
      <c r="FM411">
        <f>IF(ISBLANK('Data Entry'!$é$411), "", 'Data Entry'!$é$411)</f>
      </c>
      <c r="FN411">
        <f>IF(ISBLANK('Data Entry'!$ê$411), "", 'Data Entry'!$ê$411)</f>
      </c>
      <c r="FO411">
        <f>IF(ISBLANK('Data Entry'!$ë$411), "", 'Data Entry'!$ë$411)</f>
      </c>
      <c r="FP411">
        <f>IF(ISBLANK('Data Entry'!$ì$411), "", 'Data Entry'!$ì$411)</f>
      </c>
      <c r="FQ411">
        <f>IF(ISBLANK('Data Entry'!$í$411), "", 'Data Entry'!$í$411)</f>
      </c>
      <c r="FR411">
        <f>IF(ISBLANK('Data Entry'!$î$411), "", 'Data Entry'!$î$411)</f>
      </c>
      <c r="FS411">
        <f>IF(ISBLANK('Data Entry'!$ï$411), "", 'Data Entry'!$ï$411)</f>
      </c>
      <c r="FT411">
        <f>IF(ISBLANK('Data Entry'!$ð$411), "", 'Data Entry'!$ð$411)</f>
      </c>
      <c r="FU411">
        <f>IF(ISBLANK('Data Entry'!$ñ$411), "", 'Data Entry'!$ñ$411)</f>
      </c>
      <c r="FV411">
        <f>IF(ISBLANK('Data Entry'!$ò$411), "", 'Data Entry'!$ò$411)</f>
      </c>
      <c r="FW411">
        <f>IF(ISBLANK('Data Entry'!$ó$411), "", 'Data Entry'!$ó$411)</f>
      </c>
      <c r="FX411">
        <f>IF(ISBLANK('Data Entry'!$ô$411), "", 'Data Entry'!$ô$411)</f>
      </c>
      <c r="FY411">
        <f>IF(ISBLANK('Data Entry'!$õ$411), "", 'Data Entry'!$õ$411)</f>
      </c>
      <c r="FZ411">
        <f>IF(ISBLANK('Data Entry'!$ö$411), "", 'Data Entry'!$ö$411)</f>
      </c>
      <c r="GA411">
        <f>IF(ISBLANK('Data Entry'!$÷$411), "", 'Data Entry'!$÷$411)</f>
      </c>
      <c r="GB411">
        <f>IF(ISBLANK('Data Entry'!$ø$411), "", 'Data Entry'!$ø$411)</f>
      </c>
      <c r="GC411">
        <f>IF(ISBLANK('Data Entry'!$ù$411), "", 'Data Entry'!$ù$411)</f>
      </c>
      <c r="GD411">
        <f>IF(ISBLANK('Data Entry'!$ú$411), "", 'Data Entry'!$ú$411)</f>
      </c>
      <c r="GE411">
        <f>IF(ISBLANK('Data Entry'!$û$411), "", 'Data Entry'!$û$411)</f>
      </c>
      <c r="GF411">
        <f>IF(ISBLANK('Data Entry'!$ü$411), "", 'Data Entry'!$ü$411)</f>
      </c>
      <c r="GG411">
        <f>IF(ISBLANK('Data Entry'!$ý$411), "", 'Data Entry'!$ý$411)</f>
      </c>
      <c r="GH411">
        <f>IF(ISBLANK('Data Entry'!$þ$411), "", 'Data Entry'!$þ$411)</f>
      </c>
      <c r="GI411">
        <f>IF(ISBLANK('Data Entry'!$ÿ$411), "", 'Data Entry'!$ÿ$411)</f>
      </c>
      <c r="GJ411">
        <f>IF(ISBLANK('Data Entry'!$Ā$411), "", 'Data Entry'!$Ā$411)</f>
      </c>
      <c r="GK411">
        <f>IF(ISBLANK('Data Entry'!$ā$411), "", 'Data Entry'!$ā$411)</f>
      </c>
      <c r="GL411">
        <f>IF(ISBLANK('Data Entry'!$Ă$411), "", 'Data Entry'!$Ă$411)</f>
      </c>
      <c r="GM411">
        <f>IF(ISBLANK('Data Entry'!$ă$411), "", 'Data Entry'!$ă$411)</f>
      </c>
      <c r="GN411">
        <f>IF(ISBLANK('Data Entry'!$Ą$411), "", 'Data Entry'!$Ą$411)</f>
      </c>
      <c r="GO411">
        <f>IF(ISBLANK('Data Entry'!$ą$411), "", 'Data Entry'!$ą$411)</f>
      </c>
      <c r="GP411">
        <f>IF(ISBLANK('Data Entry'!$Ć$411), "", 'Data Entry'!$Ć$411)</f>
      </c>
      <c r="GQ411">
        <f>IF(ISBLANK('Data Entry'!$ć$411), "", 'Data Entry'!$ć$411)</f>
      </c>
      <c r="GR411">
        <f>IF(ISBLANK('Data Entry'!$Ĉ$411), "", 'Data Entry'!$Ĉ$411)</f>
      </c>
      <c r="GS411">
        <f>IF(ISBLANK('Data Entry'!$ĉ$411), "", 'Data Entry'!$ĉ$411)</f>
      </c>
      <c r="GT411">
        <f>IF(ISBLANK('Data Entry'!$Ċ$411), "", 'Data Entry'!$Ċ$411)</f>
      </c>
      <c r="GU411">
        <f>IF(ISBLANK('Data Entry'!$ċ$411), "", 'Data Entry'!$ċ$411)</f>
      </c>
      <c r="GV411">
        <f>IF(ISBLANK('Data Entry'!$Č$411), "", 'Data Entry'!$Č$411)</f>
      </c>
      <c r="GW411">
        <f>IF(ISBLANK('Data Entry'!$č$411), "", 'Data Entry'!$č$411)</f>
      </c>
      <c r="GX411">
        <f>IF(ISBLANK('Data Entry'!$Ď$411), "", 'Data Entry'!$Ď$411)</f>
      </c>
      <c r="GY411">
        <f>IF(ISBLANK('Data Entry'!$ď$411), "", 'Data Entry'!$ď$411)</f>
      </c>
      <c r="GZ411">
        <f>IF(ISBLANK('Data Entry'!$Đ$411), "", 'Data Entry'!$Đ$411)</f>
      </c>
      <c r="HA411">
        <f>IF(ISBLANK('Data Entry'!$đ$411), "", 'Data Entry'!$đ$411)</f>
      </c>
      <c r="HB411">
        <f>IF(ISBLANK('Data Entry'!$Ē$411), "", 'Data Entry'!$Ē$411)</f>
      </c>
      <c r="HC411">
        <f>IF(ISBLANK('Data Entry'!$ē$411), "", 'Data Entry'!$ē$411)</f>
      </c>
      <c r="HD411">
        <f>IF(ISBLANK('Data Entry'!$Ĕ$411), "", 'Data Entry'!$Ĕ$411)</f>
      </c>
      <c r="HE411">
        <f>IF(ISBLANK('Data Entry'!$ĕ$411), "", 'Data Entry'!$ĕ$411)</f>
      </c>
      <c r="HF411">
        <f>IF(ISBLANK('Data Entry'!$Ė$411), "", 'Data Entry'!$Ė$411)</f>
      </c>
      <c r="HG411">
        <f>IF(ISBLANK('Data Entry'!$ė$411), "", 'Data Entry'!$ė$411)</f>
      </c>
      <c r="HH411">
        <f>IF(ISBLANK('Data Entry'!$Ę$411), "", 'Data Entry'!$Ę$411)</f>
      </c>
      <c r="HI411">
        <f>IF(ISBLANK('Data Entry'!$ę$411), "", 'Data Entry'!$ę$411)</f>
      </c>
      <c r="HJ411">
        <f>IF(ISBLANK('Data Entry'!$Ě$411), "", 'Data Entry'!$Ě$411)</f>
      </c>
      <c r="HK411">
        <f>IF(ISBLANK('Data Entry'!$ě$411), "", 'Data Entry'!$ě$411)</f>
      </c>
      <c r="HL411">
        <f>IF(ISBLANK('Data Entry'!$Ĝ$411), "", 'Data Entry'!$Ĝ$411)</f>
      </c>
      <c r="HM411">
        <f>IF(ISBLANK('Data Entry'!$ĝ$411), "", 'Data Entry'!$ĝ$411)</f>
      </c>
      <c r="HN411">
        <f>IF(ISBLANK('Data Entry'!$Ğ$411), "", 'Data Entry'!$Ğ$411)</f>
      </c>
      <c r="HO411">
        <f>IF(ISBLANK('Data Entry'!$ğ$411), "", 'Data Entry'!$ğ$411)</f>
      </c>
      <c r="HP411">
        <f>IF(ISBLANK('Data Entry'!$Ġ$411), "", 'Data Entry'!$Ġ$411)</f>
      </c>
      <c r="HQ411">
        <f>IF(ISBLANK('Data Entry'!$ġ$411), "", 'Data Entry'!$ġ$411)</f>
      </c>
      <c r="HR411">
        <f>IF(ISBLANK('Data Entry'!$Ģ$411), "", 'Data Entry'!$Ģ$411)</f>
      </c>
      <c r="HS411">
        <f>IF(ISBLANK('Data Entry'!$ģ$411), "", 'Data Entry'!$ģ$411)</f>
      </c>
      <c r="HT411">
        <f>IF(ISBLANK('Data Entry'!$Ĥ$411), "", 'Data Entry'!$Ĥ$411)</f>
      </c>
      <c r="HU411">
        <f>IF(ISBLANK('Data Entry'!$ĥ$411), "", 'Data Entry'!$ĥ$411)</f>
      </c>
      <c r="HV411">
        <f>IF(ISBLANK('Data Entry'!$Ħ$411), "", 'Data Entry'!$Ħ$411)</f>
      </c>
      <c r="HW411">
        <f>IF(ISBLANK('Data Entry'!$ħ$411), "", 'Data Entry'!$ħ$411)</f>
      </c>
      <c r="HX411">
        <f>IF(ISBLANK('Data Entry'!$Ĩ$411), "", 'Data Entry'!$Ĩ$411)</f>
      </c>
      <c r="HY411">
        <f>IF(ISBLANK('Data Entry'!$ĩ$411), "", 'Data Entry'!$ĩ$411)</f>
      </c>
      <c r="HZ411">
        <f>IF(ISBLANK('Data Entry'!$Ī$411), "", 'Data Entry'!$Ī$411)</f>
      </c>
      <c r="IA411">
        <f>IF(ISBLANK('Data Entry'!$ī$411), "", 'Data Entry'!$ī$411)</f>
      </c>
      <c r="IB411">
        <f>IF(ISBLANK('Data Entry'!$Ĭ$411), "", 'Data Entry'!$Ĭ$411)</f>
      </c>
      <c r="IC411">
        <f>IF(ISBLANK('Data Entry'!$ĭ$411), "", 'Data Entry'!$ĭ$411)</f>
      </c>
      <c r="ID411">
        <f>IF(ISBLANK('Data Entry'!$Į$411), "", 'Data Entry'!$Į$411)</f>
      </c>
      <c r="IE411">
        <f>IF(ISBLANK('Data Entry'!$į$411), "", 'Data Entry'!$į$411)</f>
      </c>
      <c r="IF411">
        <f>IF(ISBLANK('Data Entry'!$İ$411), "", 'Data Entry'!$İ$411)</f>
      </c>
      <c r="IG411">
        <f>IF(ISBLANK('Data Entry'!$ı$411), "", 'Data Entry'!$ı$411)</f>
      </c>
      <c r="IH411">
        <f>IF(ISBLANK('Data Entry'!$Ĳ$411), "", 'Data Entry'!$Ĳ$411)</f>
      </c>
      <c r="II411">
        <f>IF(ISBLANK('Data Entry'!$ĳ$411), "", 'Data Entry'!$ĳ$411)</f>
      </c>
      <c r="IJ411">
        <f>IF(ISBLANK('Data Entry'!$Ĵ$411), "", 'Data Entry'!$Ĵ$411)</f>
      </c>
      <c r="IK411">
        <f>IF(ISBLANK('Data Entry'!$ĵ$411), "", 'Data Entry'!$ĵ$411)</f>
      </c>
      <c r="IL411">
        <f>IF(ISBLANK('Data Entry'!$Ķ$411), "", 'Data Entry'!$Ķ$411)</f>
      </c>
      <c r="IM411">
        <f>IF(ISBLANK('Data Entry'!$ķ$411), "", 'Data Entry'!$ķ$411)</f>
      </c>
      <c r="IN411">
        <f>IF(ISBLANK('Data Entry'!$ĸ$411), "", 'Data Entry'!$ĸ$411)</f>
      </c>
      <c r="IO411">
        <f>IF(ISBLANK('Data Entry'!$Ĺ$411), "", 'Data Entry'!$Ĺ$411)</f>
      </c>
      <c r="IP411">
        <f>IF(ISBLANK('Data Entry'!$ĺ$411), "", 'Data Entry'!$ĺ$411)</f>
      </c>
      <c r="IQ411">
        <f>IF(ISBLANK('Data Entry'!$Ļ$411), "", 'Data Entry'!$Ļ$411)</f>
      </c>
      <c r="IR411">
        <f>IF(ISBLANK('Data Entry'!$ļ$411), "", 'Data Entry'!$ļ$411)</f>
      </c>
      <c r="IS411">
        <f>IF(ISBLANK('Data Entry'!$Ľ$411), "", 'Data Entry'!$Ľ$411)</f>
      </c>
      <c r="IT411">
        <f>IF(ISBLANK('Data Entry'!$ľ$411), "", 'Data Entry'!$ľ$411)</f>
      </c>
    </row>
    <row r="412" spans="1:254" x14ac:dyDescent="0.25">
      <c r="A412">
        <f>IF(ISBLANK('Data Entry'!$A$412), "", 'Data Entry'!$A$412)</f>
      </c>
      <c r="B412">
        <f>IF(ISBLANK('Data Entry'!$B$412), "", 'Data Entry'!$B$412)</f>
      </c>
      <c r="C412">
        <f>IF(ISBLANK('Data Entry'!$C$412), "", 'Data Entry'!$C$412)</f>
      </c>
      <c r="D412">
        <f>IF(ISBLANK('Data Entry'!$D$412), "", 'Data Entry'!$D$412)</f>
      </c>
      <c r="E412">
        <f>IF(ISBLANK('Data Entry'!$E$412), "", 'Data Entry'!$E$412)</f>
      </c>
      <c r="F412">
        <f>IF(ISBLANK('Data Entry'!$F$412), "", 'Data Entry'!$F$412)</f>
      </c>
      <c r="G412">
        <f>IF(ISBLANK('Data Entry'!$G$412), "", 'Data Entry'!$G$412)</f>
      </c>
      <c r="H412">
        <f>IF(ISBLANK('Data Entry'!$H$412), "", 'Data Entry'!$H$412)</f>
      </c>
      <c r="I412">
        <f>IF(ISBLANK('Data Entry'!$I$412), "", 'Data Entry'!$I$412)</f>
      </c>
      <c r="J412">
        <f>IF(ISBLANK('Data Entry'!$J$412), "", 'Data Entry'!$J$412)</f>
      </c>
      <c r="K412">
        <f>IF(ISBLANK('Data Entry'!$K$412), "", 'Data Entry'!$K$412)</f>
      </c>
      <c r="L412">
        <f>IF(ISBLANK('Data Entry'!$L$412), "", 'Data Entry'!$L$412)</f>
      </c>
      <c r="M412">
        <f>IF(ISBLANK('Data Entry'!$M$412), "", 'Data Entry'!$M$412)</f>
      </c>
      <c r="N412">
        <f>IF(ISBLANK('Data Entry'!$N$412), "", 'Data Entry'!$N$412)</f>
      </c>
      <c r="O412">
        <f>IF(ISBLANK('Data Entry'!$O$412), "", 'Data Entry'!$O$412)</f>
      </c>
      <c r="P412">
        <f>IF(ISBLANK('Data Entry'!$P$412), "", 'Data Entry'!$P$412)</f>
      </c>
      <c r="Q412">
        <f>IF(ISBLANK('Data Entry'!$Q$412), "", 'Data Entry'!$Q$412)</f>
      </c>
      <c r="R412">
        <f>IF(ISBLANK('Data Entry'!$R$412), "", 'Data Entry'!$R$412)</f>
      </c>
      <c r="S412">
        <f>IF(ISBLANK('Data Entry'!$S$412), "", 'Data Entry'!$S$412)</f>
      </c>
      <c r="T412">
        <f>IF(ISBLANK('Data Entry'!$T$412), "", 'Data Entry'!$T$412)</f>
      </c>
      <c r="U412">
        <f>IF(ISBLANK('Data Entry'!$U$412), "", 'Data Entry'!$U$412)</f>
      </c>
      <c r="V412">
        <f>IF(ISBLANK('Data Entry'!$V$412), "", 'Data Entry'!$V$412)</f>
      </c>
      <c r="W412">
        <f>IF(ISBLANK('Data Entry'!$W$412), "", 'Data Entry'!$W$412)</f>
      </c>
      <c r="X412">
        <f>IF(ISBLANK('Data Entry'!$X$412), "", 'Data Entry'!$X$412)</f>
      </c>
      <c r="Y412">
        <f>IF(ISBLANK('Data Entry'!$Y$412), "", 'Data Entry'!$Y$412)</f>
      </c>
      <c r="Z412">
        <f>IF(ISBLANK('Data Entry'!$Z$412), "", 'Data Entry'!$Z$412)</f>
      </c>
      <c r="AA412">
        <f>IF(ISBLANK('Data Entry'!$[$412), "", 'Data Entry'!$[$412)</f>
      </c>
      <c r="AB412">
        <f>IF(ISBLANK('Data Entry'!$\$412), "", 'Data Entry'!$\$412)</f>
      </c>
      <c r="AC412">
        <f>IF(ISBLANK('Data Entry'!$]$412), "", 'Data Entry'!$]$412)</f>
      </c>
      <c r="AD412">
        <f>IF(ISBLANK('Data Entry'!$^$412), "", 'Data Entry'!$^$412)</f>
      </c>
      <c r="AE412">
        <f>IF(ISBLANK('Data Entry'!$_$412), "", 'Data Entry'!$_$412)</f>
      </c>
      <c r="AF412">
        <f>IF(ISBLANK('Data Entry'!$`$412), "", 'Data Entry'!$`$412)</f>
      </c>
      <c r="AG412">
        <f>IF(ISBLANK('Data Entry'!$a$412), "", 'Data Entry'!$a$412)</f>
      </c>
      <c r="AH412">
        <f>IF(ISBLANK('Data Entry'!$b$412), "", 'Data Entry'!$b$412)</f>
      </c>
      <c r="AI412">
        <f>IF(ISBLANK('Data Entry'!$c$412), "", 'Data Entry'!$c$412)</f>
      </c>
      <c r="AJ412">
        <f>IF(ISBLANK('Data Entry'!$d$412), "", 'Data Entry'!$d$412)</f>
      </c>
      <c r="AK412">
        <f>IF(ISBLANK('Data Entry'!$e$412), "", 'Data Entry'!$e$412)</f>
      </c>
      <c r="AL412">
        <f>IF(ISBLANK('Data Entry'!$f$412), "", 'Data Entry'!$f$412)</f>
      </c>
      <c r="AM412">
        <f>IF(ISBLANK('Data Entry'!$g$412), "", 'Data Entry'!$g$412)</f>
      </c>
      <c r="AN412">
        <f>IF(ISBLANK('Data Entry'!$h$412), "", 'Data Entry'!$h$412)</f>
      </c>
      <c r="AO412">
        <f>IF(ISBLANK('Data Entry'!$i$412), "", 'Data Entry'!$i$412)</f>
      </c>
      <c r="AP412">
        <f>IF(ISBLANK('Data Entry'!$j$412), "", 'Data Entry'!$j$412)</f>
      </c>
      <c r="AQ412">
        <f>IF(ISBLANK('Data Entry'!$k$412), "", 'Data Entry'!$k$412)</f>
      </c>
      <c r="AR412">
        <f>IF(ISBLANK('Data Entry'!$l$412), "", 'Data Entry'!$l$412)</f>
      </c>
      <c r="AS412">
        <f>IF(ISBLANK('Data Entry'!$m$412), "", 'Data Entry'!$m$412)</f>
      </c>
      <c r="AT412">
        <f>IF(ISBLANK('Data Entry'!$n$412), "", 'Data Entry'!$n$412)</f>
      </c>
      <c r="AU412">
        <f>IF(ISBLANK('Data Entry'!$o$412), "", 'Data Entry'!$o$412)</f>
      </c>
      <c r="AV412">
        <f>IF(ISBLANK('Data Entry'!$p$412), "", 'Data Entry'!$p$412)</f>
      </c>
      <c r="AW412">
        <f>IF(ISBLANK('Data Entry'!$q$412), "", 'Data Entry'!$q$412)</f>
      </c>
      <c r="AX412">
        <f>IF(ISBLANK('Data Entry'!$r$412), "", 'Data Entry'!$r$412)</f>
      </c>
      <c r="AY412">
        <f>IF(ISBLANK('Data Entry'!$s$412), "", 'Data Entry'!$s$412)</f>
      </c>
      <c r="AZ412">
        <f>IF(ISBLANK('Data Entry'!$t$412), "", 'Data Entry'!$t$412)</f>
      </c>
      <c r="BA412">
        <f>IF(ISBLANK('Data Entry'!$u$412), "", 'Data Entry'!$u$412)</f>
      </c>
      <c r="BB412">
        <f>IF(ISBLANK('Data Entry'!$v$412), "", 'Data Entry'!$v$412)</f>
      </c>
      <c r="BC412">
        <f>IF(ISBLANK('Data Entry'!$w$412), "", 'Data Entry'!$w$412)</f>
      </c>
      <c r="BD412">
        <f>IF(ISBLANK('Data Entry'!$x$412), "", 'Data Entry'!$x$412)</f>
      </c>
      <c r="BE412">
        <f>IF(ISBLANK('Data Entry'!$y$412), "", 'Data Entry'!$y$412)</f>
      </c>
      <c r="BF412">
        <f>IF(ISBLANK('Data Entry'!$z$412), "", 'Data Entry'!$z$412)</f>
      </c>
      <c r="BG412">
        <f>IF(ISBLANK('Data Entry'!${$412), "", 'Data Entry'!${$412)</f>
      </c>
      <c r="BH412">
        <f>IF(ISBLANK('Data Entry'!$|$412), "", 'Data Entry'!$|$412)</f>
      </c>
      <c r="BI412">
        <f>IF(ISBLANK('Data Entry'!$}$412), "", 'Data Entry'!$}$412)</f>
      </c>
      <c r="BJ412">
        <f>IF(ISBLANK('Data Entry'!$~$412), "", 'Data Entry'!$~$412)</f>
      </c>
      <c r="BK412">
        <f>IF(ISBLANK('Data Entry'!$$412), "", 'Data Entry'!$$412)</f>
      </c>
      <c r="BL412">
        <f>IF(ISBLANK('Data Entry'!$$412), "", 'Data Entry'!$$412)</f>
      </c>
      <c r="BM412">
        <f>IF(ISBLANK('Data Entry'!$$412), "", 'Data Entry'!$$412)</f>
      </c>
      <c r="BN412">
        <f>IF(ISBLANK('Data Entry'!$$412), "", 'Data Entry'!$$412)</f>
      </c>
      <c r="BO412">
        <f>IF(ISBLANK('Data Entry'!$$412), "", 'Data Entry'!$$412)</f>
      </c>
      <c r="BP412">
        <f>IF(ISBLANK('Data Entry'!$$412), "", 'Data Entry'!$$412)</f>
      </c>
      <c r="BQ412">
        <f>IF(ISBLANK('Data Entry'!$$412), "", 'Data Entry'!$$412)</f>
      </c>
      <c r="BR412">
        <f>IF(ISBLANK('Data Entry'!$$412), "", 'Data Entry'!$$412)</f>
      </c>
      <c r="BS412">
        <f>IF(ISBLANK('Data Entry'!$$412), "", 'Data Entry'!$$412)</f>
      </c>
      <c r="BT412">
        <f>IF(ISBLANK('Data Entry'!$$412), "", 'Data Entry'!$$412)</f>
      </c>
      <c r="BU412">
        <f>IF(ISBLANK('Data Entry'!$$412), "", 'Data Entry'!$$412)</f>
      </c>
      <c r="BV412">
        <f>IF(ISBLANK('Data Entry'!$$412), "", 'Data Entry'!$$412)</f>
      </c>
      <c r="BW412">
        <f>IF(ISBLANK('Data Entry'!$$412), "", 'Data Entry'!$$412)</f>
      </c>
      <c r="BX412">
        <f>IF(ISBLANK('Data Entry'!$$412), "", 'Data Entry'!$$412)</f>
      </c>
      <c r="BY412">
        <f>IF(ISBLANK('Data Entry'!$$412), "", 'Data Entry'!$$412)</f>
      </c>
      <c r="BZ412">
        <f>IF(ISBLANK('Data Entry'!$$412), "", 'Data Entry'!$$412)</f>
      </c>
      <c r="CA412">
        <f>IF(ISBLANK('Data Entry'!$$412), "", 'Data Entry'!$$412)</f>
      </c>
      <c r="CB412">
        <f>IF(ISBLANK('Data Entry'!$$412), "", 'Data Entry'!$$412)</f>
      </c>
      <c r="CC412">
        <f>IF(ISBLANK('Data Entry'!$$412), "", 'Data Entry'!$$412)</f>
      </c>
      <c r="CD412">
        <f>IF(ISBLANK('Data Entry'!$$412), "", 'Data Entry'!$$412)</f>
      </c>
      <c r="CE412">
        <f>IF(ISBLANK('Data Entry'!$$412), "", 'Data Entry'!$$412)</f>
      </c>
      <c r="CF412">
        <f>IF(ISBLANK('Data Entry'!$$412), "", 'Data Entry'!$$412)</f>
      </c>
      <c r="CG412">
        <f>IF(ISBLANK('Data Entry'!$$412), "", 'Data Entry'!$$412)</f>
      </c>
      <c r="CH412">
        <f>IF(ISBLANK('Data Entry'!$$412), "", 'Data Entry'!$$412)</f>
      </c>
      <c r="CI412">
        <f>IF(ISBLANK('Data Entry'!$$412), "", 'Data Entry'!$$412)</f>
      </c>
      <c r="CJ412">
        <f>IF(ISBLANK('Data Entry'!$$412), "", 'Data Entry'!$$412)</f>
      </c>
      <c r="CK412">
        <f>IF(ISBLANK('Data Entry'!$$412), "", 'Data Entry'!$$412)</f>
      </c>
      <c r="CL412">
        <f>IF(ISBLANK('Data Entry'!$$412), "", 'Data Entry'!$$412)</f>
      </c>
      <c r="CM412">
        <f>IF(ISBLANK('Data Entry'!$$412), "", 'Data Entry'!$$412)</f>
      </c>
      <c r="CN412">
        <f>IF(ISBLANK('Data Entry'!$$412), "", 'Data Entry'!$$412)</f>
      </c>
      <c r="CO412">
        <f>IF(ISBLANK('Data Entry'!$$412), "", 'Data Entry'!$$412)</f>
      </c>
      <c r="CP412">
        <f>IF(ISBLANK('Data Entry'!$$412), "", 'Data Entry'!$$412)</f>
      </c>
      <c r="CQ412">
        <f>IF(ISBLANK('Data Entry'!$$412), "", 'Data Entry'!$$412)</f>
      </c>
      <c r="CR412">
        <f>IF(ISBLANK('Data Entry'!$ $412), "", 'Data Entry'!$ $412)</f>
      </c>
      <c r="CS412">
        <f>IF(ISBLANK('Data Entry'!$¡$412), "", 'Data Entry'!$¡$412)</f>
      </c>
      <c r="CT412">
        <f>IF(ISBLANK('Data Entry'!$¢$412), "", 'Data Entry'!$¢$412)</f>
      </c>
      <c r="CU412">
        <f>IF(ISBLANK('Data Entry'!$£$412), "", 'Data Entry'!$£$412)</f>
      </c>
      <c r="CV412">
        <f>IF(ISBLANK('Data Entry'!$¤$412), "", 'Data Entry'!$¤$412)</f>
      </c>
      <c r="CW412">
        <f>IF(ISBLANK('Data Entry'!$¥$412), "", 'Data Entry'!$¥$412)</f>
      </c>
      <c r="CX412">
        <f>IF(ISBLANK('Data Entry'!$¦$412), "", 'Data Entry'!$¦$412)</f>
      </c>
      <c r="CY412">
        <f>IF(ISBLANK('Data Entry'!$§$412), "", 'Data Entry'!$§$412)</f>
      </c>
      <c r="CZ412">
        <f>IF(ISBLANK('Data Entry'!$¨$412), "", 'Data Entry'!$¨$412)</f>
      </c>
      <c r="DA412">
        <f>IF(ISBLANK('Data Entry'!$©$412), "", 'Data Entry'!$©$412)</f>
      </c>
      <c r="DB412">
        <f>IF(ISBLANK('Data Entry'!$ª$412), "", 'Data Entry'!$ª$412)</f>
      </c>
      <c r="DC412">
        <f>IF(ISBLANK('Data Entry'!$«$412), "", 'Data Entry'!$«$412)</f>
      </c>
      <c r="DD412">
        <f>IF(ISBLANK('Data Entry'!$¬$412), "", 'Data Entry'!$¬$412)</f>
      </c>
      <c r="DE412">
        <f>IF(ISBLANK('Data Entry'!$­$412), "", 'Data Entry'!$­$412)</f>
      </c>
      <c r="DF412">
        <f>IF(ISBLANK('Data Entry'!$®$412), "", 'Data Entry'!$®$412)</f>
      </c>
      <c r="DG412">
        <f>IF(ISBLANK('Data Entry'!$¯$412), "", 'Data Entry'!$¯$412)</f>
      </c>
      <c r="DH412">
        <f>IF(ISBLANK('Data Entry'!$°$412), "", 'Data Entry'!$°$412)</f>
      </c>
      <c r="DI412">
        <f>IF(ISBLANK('Data Entry'!$±$412), "", 'Data Entry'!$±$412)</f>
      </c>
      <c r="DJ412">
        <f>IF(ISBLANK('Data Entry'!$²$412), "", 'Data Entry'!$²$412)</f>
      </c>
      <c r="DK412">
        <f>IF(ISBLANK('Data Entry'!$³$412), "", 'Data Entry'!$³$412)</f>
      </c>
      <c r="DL412">
        <f>IF(ISBLANK('Data Entry'!$´$412), "", 'Data Entry'!$´$412)</f>
      </c>
      <c r="DM412">
        <f>IF(ISBLANK('Data Entry'!$µ$412), "", 'Data Entry'!$µ$412)</f>
      </c>
      <c r="DN412">
        <f>IF(ISBLANK('Data Entry'!$¶$412), "", 'Data Entry'!$¶$412)</f>
      </c>
      <c r="DO412">
        <f>IF(ISBLANK('Data Entry'!$·$412), "", 'Data Entry'!$·$412)</f>
      </c>
      <c r="DP412">
        <f>IF(ISBLANK('Data Entry'!$¸$412), "", 'Data Entry'!$¸$412)</f>
      </c>
      <c r="DQ412">
        <f>IF(ISBLANK('Data Entry'!$¹$412), "", 'Data Entry'!$¹$412)</f>
      </c>
      <c r="DR412">
        <f>IF(ISBLANK('Data Entry'!$º$412), "", 'Data Entry'!$º$412)</f>
      </c>
      <c r="DS412">
        <f>IF(ISBLANK('Data Entry'!$»$412), "", 'Data Entry'!$»$412)</f>
      </c>
      <c r="DT412">
        <f>IF(ISBLANK('Data Entry'!$¼$412), "", 'Data Entry'!$¼$412)</f>
      </c>
      <c r="DU412">
        <f>IF(ISBLANK('Data Entry'!$½$412), "", 'Data Entry'!$½$412)</f>
      </c>
      <c r="DV412">
        <f>IF(ISBLANK('Data Entry'!$¾$412), "", 'Data Entry'!$¾$412)</f>
      </c>
      <c r="DW412">
        <f>IF(ISBLANK('Data Entry'!$¿$412), "", 'Data Entry'!$¿$412)</f>
      </c>
      <c r="DX412">
        <f>IF(ISBLANK('Data Entry'!$À$412), "", 'Data Entry'!$À$412)</f>
      </c>
      <c r="DY412">
        <f>IF(ISBLANK('Data Entry'!$Á$412), "", 'Data Entry'!$Á$412)</f>
      </c>
      <c r="DZ412">
        <f>IF(ISBLANK('Data Entry'!$Â$412), "", 'Data Entry'!$Â$412)</f>
      </c>
      <c r="EA412">
        <f>IF(ISBLANK('Data Entry'!$Ã$412), "", 'Data Entry'!$Ã$412)</f>
      </c>
      <c r="EB412">
        <f>IF(ISBLANK('Data Entry'!$Ä$412), "", 'Data Entry'!$Ä$412)</f>
      </c>
      <c r="EC412">
        <f>IF(ISBLANK('Data Entry'!$Å$412), "", 'Data Entry'!$Å$412)</f>
      </c>
      <c r="ED412">
        <f>IF(ISBLANK('Data Entry'!$Æ$412), "", 'Data Entry'!$Æ$412)</f>
      </c>
      <c r="EE412">
        <f>IF(ISBLANK('Data Entry'!$Ç$412), "", 'Data Entry'!$Ç$412)</f>
      </c>
      <c r="EF412">
        <f>IF(ISBLANK('Data Entry'!$È$412), "", 'Data Entry'!$È$412)</f>
      </c>
      <c r="EG412">
        <f>IF(ISBLANK('Data Entry'!$É$412), "", 'Data Entry'!$É$412)</f>
      </c>
      <c r="EH412">
        <f>IF(ISBLANK('Data Entry'!$Ê$412), "", 'Data Entry'!$Ê$412)</f>
      </c>
      <c r="EI412">
        <f>IF(ISBLANK('Data Entry'!$Ë$412), "", 'Data Entry'!$Ë$412)</f>
      </c>
      <c r="EJ412">
        <f>IF(ISBLANK('Data Entry'!$Ì$412), "", 'Data Entry'!$Ì$412)</f>
      </c>
      <c r="EK412">
        <f>IF(ISBLANK('Data Entry'!$Í$412), "", 'Data Entry'!$Í$412)</f>
      </c>
      <c r="EL412">
        <f>IF(ISBLANK('Data Entry'!$Î$412), "", 'Data Entry'!$Î$412)</f>
      </c>
      <c r="EM412">
        <f>IF(ISBLANK('Data Entry'!$Ï$412), "", 'Data Entry'!$Ï$412)</f>
      </c>
      <c r="EN412">
        <f>IF(ISBLANK('Data Entry'!$Ð$412), "", 'Data Entry'!$Ð$412)</f>
      </c>
      <c r="EO412">
        <f>IF(ISBLANK('Data Entry'!$Ñ$412), "", 'Data Entry'!$Ñ$412)</f>
      </c>
      <c r="EP412">
        <f>IF(ISBLANK('Data Entry'!$Ò$412), "", 'Data Entry'!$Ò$412)</f>
      </c>
      <c r="EQ412">
        <f>IF(ISBLANK('Data Entry'!$Ó$412), "", 'Data Entry'!$Ó$412)</f>
      </c>
      <c r="ER412">
        <f>IF(ISBLANK('Data Entry'!$Ô$412), "", 'Data Entry'!$Ô$412)</f>
      </c>
      <c r="ES412">
        <f>IF(ISBLANK('Data Entry'!$Õ$412), "", 'Data Entry'!$Õ$412)</f>
      </c>
      <c r="ET412">
        <f>IF(ISBLANK('Data Entry'!$Ö$412), "", 'Data Entry'!$Ö$412)</f>
      </c>
      <c r="EU412">
        <f>IF(ISBLANK('Data Entry'!$×$412), "", 'Data Entry'!$×$412)</f>
      </c>
      <c r="EV412">
        <f>IF(ISBLANK('Data Entry'!$Ø$412), "", 'Data Entry'!$Ø$412)</f>
      </c>
      <c r="EW412">
        <f>IF(ISBLANK('Data Entry'!$Ù$412), "", 'Data Entry'!$Ù$412)</f>
      </c>
      <c r="EX412">
        <f>IF(ISBLANK('Data Entry'!$Ú$412), "", 'Data Entry'!$Ú$412)</f>
      </c>
      <c r="EY412">
        <f>IF(ISBLANK('Data Entry'!$Û$412), "", 'Data Entry'!$Û$412)</f>
      </c>
      <c r="EZ412">
        <f>IF(ISBLANK('Data Entry'!$Ü$412), "", 'Data Entry'!$Ü$412)</f>
      </c>
      <c r="FA412">
        <f>IF(ISBLANK('Data Entry'!$Ý$412), "", 'Data Entry'!$Ý$412)</f>
      </c>
      <c r="FB412">
        <f>IF(ISBLANK('Data Entry'!$Þ$412), "", 'Data Entry'!$Þ$412)</f>
      </c>
      <c r="FC412">
        <f>IF(ISBLANK('Data Entry'!$ß$412), "", 'Data Entry'!$ß$412)</f>
      </c>
      <c r="FD412">
        <f>IF(ISBLANK('Data Entry'!$à$412), "", 'Data Entry'!$à$412)</f>
      </c>
      <c r="FE412">
        <f>IF(ISBLANK('Data Entry'!$á$412), "", 'Data Entry'!$á$412)</f>
      </c>
      <c r="FF412">
        <f>IF(ISBLANK('Data Entry'!$â$412), "", 'Data Entry'!$â$412)</f>
      </c>
      <c r="FG412">
        <f>IF(ISBLANK('Data Entry'!$ã$412), "", 'Data Entry'!$ã$412)</f>
      </c>
      <c r="FH412">
        <f>IF(ISBLANK('Data Entry'!$ä$412), "", 'Data Entry'!$ä$412)</f>
      </c>
      <c r="FI412">
        <f>IF(ISBLANK('Data Entry'!$å$412), "", 'Data Entry'!$å$412)</f>
      </c>
      <c r="FJ412">
        <f>IF(ISBLANK('Data Entry'!$æ$412), "", 'Data Entry'!$æ$412)</f>
      </c>
      <c r="FK412">
        <f>IF(ISBLANK('Data Entry'!$ç$412), "", 'Data Entry'!$ç$412)</f>
      </c>
      <c r="FL412">
        <f>IF(ISBLANK('Data Entry'!$è$412), "", 'Data Entry'!$è$412)</f>
      </c>
      <c r="FM412">
        <f>IF(ISBLANK('Data Entry'!$é$412), "", 'Data Entry'!$é$412)</f>
      </c>
      <c r="FN412">
        <f>IF(ISBLANK('Data Entry'!$ê$412), "", 'Data Entry'!$ê$412)</f>
      </c>
      <c r="FO412">
        <f>IF(ISBLANK('Data Entry'!$ë$412), "", 'Data Entry'!$ë$412)</f>
      </c>
      <c r="FP412">
        <f>IF(ISBLANK('Data Entry'!$ì$412), "", 'Data Entry'!$ì$412)</f>
      </c>
      <c r="FQ412">
        <f>IF(ISBLANK('Data Entry'!$í$412), "", 'Data Entry'!$í$412)</f>
      </c>
      <c r="FR412">
        <f>IF(ISBLANK('Data Entry'!$î$412), "", 'Data Entry'!$î$412)</f>
      </c>
      <c r="FS412">
        <f>IF(ISBLANK('Data Entry'!$ï$412), "", 'Data Entry'!$ï$412)</f>
      </c>
      <c r="FT412">
        <f>IF(ISBLANK('Data Entry'!$ð$412), "", 'Data Entry'!$ð$412)</f>
      </c>
      <c r="FU412">
        <f>IF(ISBLANK('Data Entry'!$ñ$412), "", 'Data Entry'!$ñ$412)</f>
      </c>
      <c r="FV412">
        <f>IF(ISBLANK('Data Entry'!$ò$412), "", 'Data Entry'!$ò$412)</f>
      </c>
      <c r="FW412">
        <f>IF(ISBLANK('Data Entry'!$ó$412), "", 'Data Entry'!$ó$412)</f>
      </c>
      <c r="FX412">
        <f>IF(ISBLANK('Data Entry'!$ô$412), "", 'Data Entry'!$ô$412)</f>
      </c>
      <c r="FY412">
        <f>IF(ISBLANK('Data Entry'!$õ$412), "", 'Data Entry'!$õ$412)</f>
      </c>
      <c r="FZ412">
        <f>IF(ISBLANK('Data Entry'!$ö$412), "", 'Data Entry'!$ö$412)</f>
      </c>
      <c r="GA412">
        <f>IF(ISBLANK('Data Entry'!$÷$412), "", 'Data Entry'!$÷$412)</f>
      </c>
      <c r="GB412">
        <f>IF(ISBLANK('Data Entry'!$ø$412), "", 'Data Entry'!$ø$412)</f>
      </c>
      <c r="GC412">
        <f>IF(ISBLANK('Data Entry'!$ù$412), "", 'Data Entry'!$ù$412)</f>
      </c>
      <c r="GD412">
        <f>IF(ISBLANK('Data Entry'!$ú$412), "", 'Data Entry'!$ú$412)</f>
      </c>
      <c r="GE412">
        <f>IF(ISBLANK('Data Entry'!$û$412), "", 'Data Entry'!$û$412)</f>
      </c>
      <c r="GF412">
        <f>IF(ISBLANK('Data Entry'!$ü$412), "", 'Data Entry'!$ü$412)</f>
      </c>
      <c r="GG412">
        <f>IF(ISBLANK('Data Entry'!$ý$412), "", 'Data Entry'!$ý$412)</f>
      </c>
      <c r="GH412">
        <f>IF(ISBLANK('Data Entry'!$þ$412), "", 'Data Entry'!$þ$412)</f>
      </c>
      <c r="GI412">
        <f>IF(ISBLANK('Data Entry'!$ÿ$412), "", 'Data Entry'!$ÿ$412)</f>
      </c>
      <c r="GJ412">
        <f>IF(ISBLANK('Data Entry'!$Ā$412), "", 'Data Entry'!$Ā$412)</f>
      </c>
      <c r="GK412">
        <f>IF(ISBLANK('Data Entry'!$ā$412), "", 'Data Entry'!$ā$412)</f>
      </c>
      <c r="GL412">
        <f>IF(ISBLANK('Data Entry'!$Ă$412), "", 'Data Entry'!$Ă$412)</f>
      </c>
      <c r="GM412">
        <f>IF(ISBLANK('Data Entry'!$ă$412), "", 'Data Entry'!$ă$412)</f>
      </c>
      <c r="GN412">
        <f>IF(ISBLANK('Data Entry'!$Ą$412), "", 'Data Entry'!$Ą$412)</f>
      </c>
      <c r="GO412">
        <f>IF(ISBLANK('Data Entry'!$ą$412), "", 'Data Entry'!$ą$412)</f>
      </c>
      <c r="GP412">
        <f>IF(ISBLANK('Data Entry'!$Ć$412), "", 'Data Entry'!$Ć$412)</f>
      </c>
      <c r="GQ412">
        <f>IF(ISBLANK('Data Entry'!$ć$412), "", 'Data Entry'!$ć$412)</f>
      </c>
      <c r="GR412">
        <f>IF(ISBLANK('Data Entry'!$Ĉ$412), "", 'Data Entry'!$Ĉ$412)</f>
      </c>
      <c r="GS412">
        <f>IF(ISBLANK('Data Entry'!$ĉ$412), "", 'Data Entry'!$ĉ$412)</f>
      </c>
      <c r="GT412">
        <f>IF(ISBLANK('Data Entry'!$Ċ$412), "", 'Data Entry'!$Ċ$412)</f>
      </c>
      <c r="GU412">
        <f>IF(ISBLANK('Data Entry'!$ċ$412), "", 'Data Entry'!$ċ$412)</f>
      </c>
      <c r="GV412">
        <f>IF(ISBLANK('Data Entry'!$Č$412), "", 'Data Entry'!$Č$412)</f>
      </c>
      <c r="GW412">
        <f>IF(ISBLANK('Data Entry'!$č$412), "", 'Data Entry'!$č$412)</f>
      </c>
      <c r="GX412">
        <f>IF(ISBLANK('Data Entry'!$Ď$412), "", 'Data Entry'!$Ď$412)</f>
      </c>
      <c r="GY412">
        <f>IF(ISBLANK('Data Entry'!$ď$412), "", 'Data Entry'!$ď$412)</f>
      </c>
      <c r="GZ412">
        <f>IF(ISBLANK('Data Entry'!$Đ$412), "", 'Data Entry'!$Đ$412)</f>
      </c>
      <c r="HA412">
        <f>IF(ISBLANK('Data Entry'!$đ$412), "", 'Data Entry'!$đ$412)</f>
      </c>
      <c r="HB412">
        <f>IF(ISBLANK('Data Entry'!$Ē$412), "", 'Data Entry'!$Ē$412)</f>
      </c>
      <c r="HC412">
        <f>IF(ISBLANK('Data Entry'!$ē$412), "", 'Data Entry'!$ē$412)</f>
      </c>
      <c r="HD412">
        <f>IF(ISBLANK('Data Entry'!$Ĕ$412), "", 'Data Entry'!$Ĕ$412)</f>
      </c>
      <c r="HE412">
        <f>IF(ISBLANK('Data Entry'!$ĕ$412), "", 'Data Entry'!$ĕ$412)</f>
      </c>
      <c r="HF412">
        <f>IF(ISBLANK('Data Entry'!$Ė$412), "", 'Data Entry'!$Ė$412)</f>
      </c>
      <c r="HG412">
        <f>IF(ISBLANK('Data Entry'!$ė$412), "", 'Data Entry'!$ė$412)</f>
      </c>
      <c r="HH412">
        <f>IF(ISBLANK('Data Entry'!$Ę$412), "", 'Data Entry'!$Ę$412)</f>
      </c>
      <c r="HI412">
        <f>IF(ISBLANK('Data Entry'!$ę$412), "", 'Data Entry'!$ę$412)</f>
      </c>
      <c r="HJ412">
        <f>IF(ISBLANK('Data Entry'!$Ě$412), "", 'Data Entry'!$Ě$412)</f>
      </c>
      <c r="HK412">
        <f>IF(ISBLANK('Data Entry'!$ě$412), "", 'Data Entry'!$ě$412)</f>
      </c>
      <c r="HL412">
        <f>IF(ISBLANK('Data Entry'!$Ĝ$412), "", 'Data Entry'!$Ĝ$412)</f>
      </c>
      <c r="HM412">
        <f>IF(ISBLANK('Data Entry'!$ĝ$412), "", 'Data Entry'!$ĝ$412)</f>
      </c>
      <c r="HN412">
        <f>IF(ISBLANK('Data Entry'!$Ğ$412), "", 'Data Entry'!$Ğ$412)</f>
      </c>
      <c r="HO412">
        <f>IF(ISBLANK('Data Entry'!$ğ$412), "", 'Data Entry'!$ğ$412)</f>
      </c>
      <c r="HP412">
        <f>IF(ISBLANK('Data Entry'!$Ġ$412), "", 'Data Entry'!$Ġ$412)</f>
      </c>
      <c r="HQ412">
        <f>IF(ISBLANK('Data Entry'!$ġ$412), "", 'Data Entry'!$ġ$412)</f>
      </c>
      <c r="HR412">
        <f>IF(ISBLANK('Data Entry'!$Ģ$412), "", 'Data Entry'!$Ģ$412)</f>
      </c>
      <c r="HS412">
        <f>IF(ISBLANK('Data Entry'!$ģ$412), "", 'Data Entry'!$ģ$412)</f>
      </c>
      <c r="HT412">
        <f>IF(ISBLANK('Data Entry'!$Ĥ$412), "", 'Data Entry'!$Ĥ$412)</f>
      </c>
      <c r="HU412">
        <f>IF(ISBLANK('Data Entry'!$ĥ$412), "", 'Data Entry'!$ĥ$412)</f>
      </c>
      <c r="HV412">
        <f>IF(ISBLANK('Data Entry'!$Ħ$412), "", 'Data Entry'!$Ħ$412)</f>
      </c>
      <c r="HW412">
        <f>IF(ISBLANK('Data Entry'!$ħ$412), "", 'Data Entry'!$ħ$412)</f>
      </c>
      <c r="HX412">
        <f>IF(ISBLANK('Data Entry'!$Ĩ$412), "", 'Data Entry'!$Ĩ$412)</f>
      </c>
      <c r="HY412">
        <f>IF(ISBLANK('Data Entry'!$ĩ$412), "", 'Data Entry'!$ĩ$412)</f>
      </c>
      <c r="HZ412">
        <f>IF(ISBLANK('Data Entry'!$Ī$412), "", 'Data Entry'!$Ī$412)</f>
      </c>
      <c r="IA412">
        <f>IF(ISBLANK('Data Entry'!$ī$412), "", 'Data Entry'!$ī$412)</f>
      </c>
      <c r="IB412">
        <f>IF(ISBLANK('Data Entry'!$Ĭ$412), "", 'Data Entry'!$Ĭ$412)</f>
      </c>
      <c r="IC412">
        <f>IF(ISBLANK('Data Entry'!$ĭ$412), "", 'Data Entry'!$ĭ$412)</f>
      </c>
      <c r="ID412">
        <f>IF(ISBLANK('Data Entry'!$Į$412), "", 'Data Entry'!$Į$412)</f>
      </c>
      <c r="IE412">
        <f>IF(ISBLANK('Data Entry'!$į$412), "", 'Data Entry'!$į$412)</f>
      </c>
      <c r="IF412">
        <f>IF(ISBLANK('Data Entry'!$İ$412), "", 'Data Entry'!$İ$412)</f>
      </c>
      <c r="IG412">
        <f>IF(ISBLANK('Data Entry'!$ı$412), "", 'Data Entry'!$ı$412)</f>
      </c>
      <c r="IH412">
        <f>IF(ISBLANK('Data Entry'!$Ĳ$412), "", 'Data Entry'!$Ĳ$412)</f>
      </c>
      <c r="II412">
        <f>IF(ISBLANK('Data Entry'!$ĳ$412), "", 'Data Entry'!$ĳ$412)</f>
      </c>
      <c r="IJ412">
        <f>IF(ISBLANK('Data Entry'!$Ĵ$412), "", 'Data Entry'!$Ĵ$412)</f>
      </c>
      <c r="IK412">
        <f>IF(ISBLANK('Data Entry'!$ĵ$412), "", 'Data Entry'!$ĵ$412)</f>
      </c>
      <c r="IL412">
        <f>IF(ISBLANK('Data Entry'!$Ķ$412), "", 'Data Entry'!$Ķ$412)</f>
      </c>
      <c r="IM412">
        <f>IF(ISBLANK('Data Entry'!$ķ$412), "", 'Data Entry'!$ķ$412)</f>
      </c>
      <c r="IN412">
        <f>IF(ISBLANK('Data Entry'!$ĸ$412), "", 'Data Entry'!$ĸ$412)</f>
      </c>
      <c r="IO412">
        <f>IF(ISBLANK('Data Entry'!$Ĺ$412), "", 'Data Entry'!$Ĺ$412)</f>
      </c>
      <c r="IP412">
        <f>IF(ISBLANK('Data Entry'!$ĺ$412), "", 'Data Entry'!$ĺ$412)</f>
      </c>
      <c r="IQ412">
        <f>IF(ISBLANK('Data Entry'!$Ļ$412), "", 'Data Entry'!$Ļ$412)</f>
      </c>
      <c r="IR412">
        <f>IF(ISBLANK('Data Entry'!$ļ$412), "", 'Data Entry'!$ļ$412)</f>
      </c>
      <c r="IS412">
        <f>IF(ISBLANK('Data Entry'!$Ľ$412), "", 'Data Entry'!$Ľ$412)</f>
      </c>
      <c r="IT412">
        <f>IF(ISBLANK('Data Entry'!$ľ$412), "", 'Data Entry'!$ľ$412)</f>
      </c>
    </row>
    <row r="413" spans="1:254" x14ac:dyDescent="0.25">
      <c r="A413">
        <f>IF(ISBLANK('Data Entry'!$A$413), "", 'Data Entry'!$A$413)</f>
      </c>
      <c r="B413">
        <f>IF(ISBLANK('Data Entry'!$B$413), "", 'Data Entry'!$B$413)</f>
      </c>
      <c r="C413">
        <f>IF(ISBLANK('Data Entry'!$C$413), "", 'Data Entry'!$C$413)</f>
      </c>
      <c r="D413">
        <f>IF(ISBLANK('Data Entry'!$D$413), "", 'Data Entry'!$D$413)</f>
      </c>
      <c r="E413">
        <f>IF(ISBLANK('Data Entry'!$E$413), "", 'Data Entry'!$E$413)</f>
      </c>
      <c r="F413">
        <f>IF(ISBLANK('Data Entry'!$F$413), "", 'Data Entry'!$F$413)</f>
      </c>
      <c r="G413">
        <f>IF(ISBLANK('Data Entry'!$G$413), "", 'Data Entry'!$G$413)</f>
      </c>
      <c r="H413">
        <f>IF(ISBLANK('Data Entry'!$H$413), "", 'Data Entry'!$H$413)</f>
      </c>
      <c r="I413">
        <f>IF(ISBLANK('Data Entry'!$I$413), "", 'Data Entry'!$I$413)</f>
      </c>
      <c r="J413">
        <f>IF(ISBLANK('Data Entry'!$J$413), "", 'Data Entry'!$J$413)</f>
      </c>
      <c r="K413">
        <f>IF(ISBLANK('Data Entry'!$K$413), "", 'Data Entry'!$K$413)</f>
      </c>
      <c r="L413">
        <f>IF(ISBLANK('Data Entry'!$L$413), "", 'Data Entry'!$L$413)</f>
      </c>
      <c r="M413">
        <f>IF(ISBLANK('Data Entry'!$M$413), "", 'Data Entry'!$M$413)</f>
      </c>
      <c r="N413">
        <f>IF(ISBLANK('Data Entry'!$N$413), "", 'Data Entry'!$N$413)</f>
      </c>
      <c r="O413">
        <f>IF(ISBLANK('Data Entry'!$O$413), "", 'Data Entry'!$O$413)</f>
      </c>
      <c r="P413">
        <f>IF(ISBLANK('Data Entry'!$P$413), "", 'Data Entry'!$P$413)</f>
      </c>
      <c r="Q413">
        <f>IF(ISBLANK('Data Entry'!$Q$413), "", 'Data Entry'!$Q$413)</f>
      </c>
      <c r="R413">
        <f>IF(ISBLANK('Data Entry'!$R$413), "", 'Data Entry'!$R$413)</f>
      </c>
      <c r="S413">
        <f>IF(ISBLANK('Data Entry'!$S$413), "", 'Data Entry'!$S$413)</f>
      </c>
      <c r="T413">
        <f>IF(ISBLANK('Data Entry'!$T$413), "", 'Data Entry'!$T$413)</f>
      </c>
      <c r="U413">
        <f>IF(ISBLANK('Data Entry'!$U$413), "", 'Data Entry'!$U$413)</f>
      </c>
      <c r="V413">
        <f>IF(ISBLANK('Data Entry'!$V$413), "", 'Data Entry'!$V$413)</f>
      </c>
      <c r="W413">
        <f>IF(ISBLANK('Data Entry'!$W$413), "", 'Data Entry'!$W$413)</f>
      </c>
      <c r="X413">
        <f>IF(ISBLANK('Data Entry'!$X$413), "", 'Data Entry'!$X$413)</f>
      </c>
      <c r="Y413">
        <f>IF(ISBLANK('Data Entry'!$Y$413), "", 'Data Entry'!$Y$413)</f>
      </c>
      <c r="Z413">
        <f>IF(ISBLANK('Data Entry'!$Z$413), "", 'Data Entry'!$Z$413)</f>
      </c>
      <c r="AA413">
        <f>IF(ISBLANK('Data Entry'!$[$413), "", 'Data Entry'!$[$413)</f>
      </c>
      <c r="AB413">
        <f>IF(ISBLANK('Data Entry'!$\$413), "", 'Data Entry'!$\$413)</f>
      </c>
      <c r="AC413">
        <f>IF(ISBLANK('Data Entry'!$]$413), "", 'Data Entry'!$]$413)</f>
      </c>
      <c r="AD413">
        <f>IF(ISBLANK('Data Entry'!$^$413), "", 'Data Entry'!$^$413)</f>
      </c>
      <c r="AE413">
        <f>IF(ISBLANK('Data Entry'!$_$413), "", 'Data Entry'!$_$413)</f>
      </c>
      <c r="AF413">
        <f>IF(ISBLANK('Data Entry'!$`$413), "", 'Data Entry'!$`$413)</f>
      </c>
      <c r="AG413">
        <f>IF(ISBLANK('Data Entry'!$a$413), "", 'Data Entry'!$a$413)</f>
      </c>
      <c r="AH413">
        <f>IF(ISBLANK('Data Entry'!$b$413), "", 'Data Entry'!$b$413)</f>
      </c>
      <c r="AI413">
        <f>IF(ISBLANK('Data Entry'!$c$413), "", 'Data Entry'!$c$413)</f>
      </c>
      <c r="AJ413">
        <f>IF(ISBLANK('Data Entry'!$d$413), "", 'Data Entry'!$d$413)</f>
      </c>
      <c r="AK413">
        <f>IF(ISBLANK('Data Entry'!$e$413), "", 'Data Entry'!$e$413)</f>
      </c>
      <c r="AL413">
        <f>IF(ISBLANK('Data Entry'!$f$413), "", 'Data Entry'!$f$413)</f>
      </c>
      <c r="AM413">
        <f>IF(ISBLANK('Data Entry'!$g$413), "", 'Data Entry'!$g$413)</f>
      </c>
      <c r="AN413">
        <f>IF(ISBLANK('Data Entry'!$h$413), "", 'Data Entry'!$h$413)</f>
      </c>
      <c r="AO413">
        <f>IF(ISBLANK('Data Entry'!$i$413), "", 'Data Entry'!$i$413)</f>
      </c>
      <c r="AP413">
        <f>IF(ISBLANK('Data Entry'!$j$413), "", 'Data Entry'!$j$413)</f>
      </c>
      <c r="AQ413">
        <f>IF(ISBLANK('Data Entry'!$k$413), "", 'Data Entry'!$k$413)</f>
      </c>
      <c r="AR413">
        <f>IF(ISBLANK('Data Entry'!$l$413), "", 'Data Entry'!$l$413)</f>
      </c>
      <c r="AS413">
        <f>IF(ISBLANK('Data Entry'!$m$413), "", 'Data Entry'!$m$413)</f>
      </c>
      <c r="AT413">
        <f>IF(ISBLANK('Data Entry'!$n$413), "", 'Data Entry'!$n$413)</f>
      </c>
      <c r="AU413">
        <f>IF(ISBLANK('Data Entry'!$o$413), "", 'Data Entry'!$o$413)</f>
      </c>
      <c r="AV413">
        <f>IF(ISBLANK('Data Entry'!$p$413), "", 'Data Entry'!$p$413)</f>
      </c>
      <c r="AW413">
        <f>IF(ISBLANK('Data Entry'!$q$413), "", 'Data Entry'!$q$413)</f>
      </c>
      <c r="AX413">
        <f>IF(ISBLANK('Data Entry'!$r$413), "", 'Data Entry'!$r$413)</f>
      </c>
      <c r="AY413">
        <f>IF(ISBLANK('Data Entry'!$s$413), "", 'Data Entry'!$s$413)</f>
      </c>
      <c r="AZ413">
        <f>IF(ISBLANK('Data Entry'!$t$413), "", 'Data Entry'!$t$413)</f>
      </c>
      <c r="BA413">
        <f>IF(ISBLANK('Data Entry'!$u$413), "", 'Data Entry'!$u$413)</f>
      </c>
      <c r="BB413">
        <f>IF(ISBLANK('Data Entry'!$v$413), "", 'Data Entry'!$v$413)</f>
      </c>
      <c r="BC413">
        <f>IF(ISBLANK('Data Entry'!$w$413), "", 'Data Entry'!$w$413)</f>
      </c>
      <c r="BD413">
        <f>IF(ISBLANK('Data Entry'!$x$413), "", 'Data Entry'!$x$413)</f>
      </c>
      <c r="BE413">
        <f>IF(ISBLANK('Data Entry'!$y$413), "", 'Data Entry'!$y$413)</f>
      </c>
      <c r="BF413">
        <f>IF(ISBLANK('Data Entry'!$z$413), "", 'Data Entry'!$z$413)</f>
      </c>
      <c r="BG413">
        <f>IF(ISBLANK('Data Entry'!${$413), "", 'Data Entry'!${$413)</f>
      </c>
      <c r="BH413">
        <f>IF(ISBLANK('Data Entry'!$|$413), "", 'Data Entry'!$|$413)</f>
      </c>
      <c r="BI413">
        <f>IF(ISBLANK('Data Entry'!$}$413), "", 'Data Entry'!$}$413)</f>
      </c>
      <c r="BJ413">
        <f>IF(ISBLANK('Data Entry'!$~$413), "", 'Data Entry'!$~$413)</f>
      </c>
      <c r="BK413">
        <f>IF(ISBLANK('Data Entry'!$$413), "", 'Data Entry'!$$413)</f>
      </c>
      <c r="BL413">
        <f>IF(ISBLANK('Data Entry'!$$413), "", 'Data Entry'!$$413)</f>
      </c>
      <c r="BM413">
        <f>IF(ISBLANK('Data Entry'!$$413), "", 'Data Entry'!$$413)</f>
      </c>
      <c r="BN413">
        <f>IF(ISBLANK('Data Entry'!$$413), "", 'Data Entry'!$$413)</f>
      </c>
      <c r="BO413">
        <f>IF(ISBLANK('Data Entry'!$$413), "", 'Data Entry'!$$413)</f>
      </c>
      <c r="BP413">
        <f>IF(ISBLANK('Data Entry'!$$413), "", 'Data Entry'!$$413)</f>
      </c>
      <c r="BQ413">
        <f>IF(ISBLANK('Data Entry'!$$413), "", 'Data Entry'!$$413)</f>
      </c>
      <c r="BR413">
        <f>IF(ISBLANK('Data Entry'!$$413), "", 'Data Entry'!$$413)</f>
      </c>
      <c r="BS413">
        <f>IF(ISBLANK('Data Entry'!$$413), "", 'Data Entry'!$$413)</f>
      </c>
      <c r="BT413">
        <f>IF(ISBLANK('Data Entry'!$$413), "", 'Data Entry'!$$413)</f>
      </c>
      <c r="BU413">
        <f>IF(ISBLANK('Data Entry'!$$413), "", 'Data Entry'!$$413)</f>
      </c>
      <c r="BV413">
        <f>IF(ISBLANK('Data Entry'!$$413), "", 'Data Entry'!$$413)</f>
      </c>
      <c r="BW413">
        <f>IF(ISBLANK('Data Entry'!$$413), "", 'Data Entry'!$$413)</f>
      </c>
      <c r="BX413">
        <f>IF(ISBLANK('Data Entry'!$$413), "", 'Data Entry'!$$413)</f>
      </c>
      <c r="BY413">
        <f>IF(ISBLANK('Data Entry'!$$413), "", 'Data Entry'!$$413)</f>
      </c>
      <c r="BZ413">
        <f>IF(ISBLANK('Data Entry'!$$413), "", 'Data Entry'!$$413)</f>
      </c>
      <c r="CA413">
        <f>IF(ISBLANK('Data Entry'!$$413), "", 'Data Entry'!$$413)</f>
      </c>
      <c r="CB413">
        <f>IF(ISBLANK('Data Entry'!$$413), "", 'Data Entry'!$$413)</f>
      </c>
      <c r="CC413">
        <f>IF(ISBLANK('Data Entry'!$$413), "", 'Data Entry'!$$413)</f>
      </c>
      <c r="CD413">
        <f>IF(ISBLANK('Data Entry'!$$413), "", 'Data Entry'!$$413)</f>
      </c>
      <c r="CE413">
        <f>IF(ISBLANK('Data Entry'!$$413), "", 'Data Entry'!$$413)</f>
      </c>
      <c r="CF413">
        <f>IF(ISBLANK('Data Entry'!$$413), "", 'Data Entry'!$$413)</f>
      </c>
      <c r="CG413">
        <f>IF(ISBLANK('Data Entry'!$$413), "", 'Data Entry'!$$413)</f>
      </c>
      <c r="CH413">
        <f>IF(ISBLANK('Data Entry'!$$413), "", 'Data Entry'!$$413)</f>
      </c>
      <c r="CI413">
        <f>IF(ISBLANK('Data Entry'!$$413), "", 'Data Entry'!$$413)</f>
      </c>
      <c r="CJ413">
        <f>IF(ISBLANK('Data Entry'!$$413), "", 'Data Entry'!$$413)</f>
      </c>
      <c r="CK413">
        <f>IF(ISBLANK('Data Entry'!$$413), "", 'Data Entry'!$$413)</f>
      </c>
      <c r="CL413">
        <f>IF(ISBLANK('Data Entry'!$$413), "", 'Data Entry'!$$413)</f>
      </c>
      <c r="CM413">
        <f>IF(ISBLANK('Data Entry'!$$413), "", 'Data Entry'!$$413)</f>
      </c>
      <c r="CN413">
        <f>IF(ISBLANK('Data Entry'!$$413), "", 'Data Entry'!$$413)</f>
      </c>
      <c r="CO413">
        <f>IF(ISBLANK('Data Entry'!$$413), "", 'Data Entry'!$$413)</f>
      </c>
      <c r="CP413">
        <f>IF(ISBLANK('Data Entry'!$$413), "", 'Data Entry'!$$413)</f>
      </c>
      <c r="CQ413">
        <f>IF(ISBLANK('Data Entry'!$$413), "", 'Data Entry'!$$413)</f>
      </c>
      <c r="CR413">
        <f>IF(ISBLANK('Data Entry'!$ $413), "", 'Data Entry'!$ $413)</f>
      </c>
      <c r="CS413">
        <f>IF(ISBLANK('Data Entry'!$¡$413), "", 'Data Entry'!$¡$413)</f>
      </c>
      <c r="CT413">
        <f>IF(ISBLANK('Data Entry'!$¢$413), "", 'Data Entry'!$¢$413)</f>
      </c>
      <c r="CU413">
        <f>IF(ISBLANK('Data Entry'!$£$413), "", 'Data Entry'!$£$413)</f>
      </c>
      <c r="CV413">
        <f>IF(ISBLANK('Data Entry'!$¤$413), "", 'Data Entry'!$¤$413)</f>
      </c>
      <c r="CW413">
        <f>IF(ISBLANK('Data Entry'!$¥$413), "", 'Data Entry'!$¥$413)</f>
      </c>
      <c r="CX413">
        <f>IF(ISBLANK('Data Entry'!$¦$413), "", 'Data Entry'!$¦$413)</f>
      </c>
      <c r="CY413">
        <f>IF(ISBLANK('Data Entry'!$§$413), "", 'Data Entry'!$§$413)</f>
      </c>
      <c r="CZ413">
        <f>IF(ISBLANK('Data Entry'!$¨$413), "", 'Data Entry'!$¨$413)</f>
      </c>
      <c r="DA413">
        <f>IF(ISBLANK('Data Entry'!$©$413), "", 'Data Entry'!$©$413)</f>
      </c>
      <c r="DB413">
        <f>IF(ISBLANK('Data Entry'!$ª$413), "", 'Data Entry'!$ª$413)</f>
      </c>
      <c r="DC413">
        <f>IF(ISBLANK('Data Entry'!$«$413), "", 'Data Entry'!$«$413)</f>
      </c>
      <c r="DD413">
        <f>IF(ISBLANK('Data Entry'!$¬$413), "", 'Data Entry'!$¬$413)</f>
      </c>
      <c r="DE413">
        <f>IF(ISBLANK('Data Entry'!$­$413), "", 'Data Entry'!$­$413)</f>
      </c>
      <c r="DF413">
        <f>IF(ISBLANK('Data Entry'!$®$413), "", 'Data Entry'!$®$413)</f>
      </c>
      <c r="DG413">
        <f>IF(ISBLANK('Data Entry'!$¯$413), "", 'Data Entry'!$¯$413)</f>
      </c>
      <c r="DH413">
        <f>IF(ISBLANK('Data Entry'!$°$413), "", 'Data Entry'!$°$413)</f>
      </c>
      <c r="DI413">
        <f>IF(ISBLANK('Data Entry'!$±$413), "", 'Data Entry'!$±$413)</f>
      </c>
      <c r="DJ413">
        <f>IF(ISBLANK('Data Entry'!$²$413), "", 'Data Entry'!$²$413)</f>
      </c>
      <c r="DK413">
        <f>IF(ISBLANK('Data Entry'!$³$413), "", 'Data Entry'!$³$413)</f>
      </c>
      <c r="DL413">
        <f>IF(ISBLANK('Data Entry'!$´$413), "", 'Data Entry'!$´$413)</f>
      </c>
      <c r="DM413">
        <f>IF(ISBLANK('Data Entry'!$µ$413), "", 'Data Entry'!$µ$413)</f>
      </c>
      <c r="DN413">
        <f>IF(ISBLANK('Data Entry'!$¶$413), "", 'Data Entry'!$¶$413)</f>
      </c>
      <c r="DO413">
        <f>IF(ISBLANK('Data Entry'!$·$413), "", 'Data Entry'!$·$413)</f>
      </c>
      <c r="DP413">
        <f>IF(ISBLANK('Data Entry'!$¸$413), "", 'Data Entry'!$¸$413)</f>
      </c>
      <c r="DQ413">
        <f>IF(ISBLANK('Data Entry'!$¹$413), "", 'Data Entry'!$¹$413)</f>
      </c>
      <c r="DR413">
        <f>IF(ISBLANK('Data Entry'!$º$413), "", 'Data Entry'!$º$413)</f>
      </c>
      <c r="DS413">
        <f>IF(ISBLANK('Data Entry'!$»$413), "", 'Data Entry'!$»$413)</f>
      </c>
      <c r="DT413">
        <f>IF(ISBLANK('Data Entry'!$¼$413), "", 'Data Entry'!$¼$413)</f>
      </c>
      <c r="DU413">
        <f>IF(ISBLANK('Data Entry'!$½$413), "", 'Data Entry'!$½$413)</f>
      </c>
      <c r="DV413">
        <f>IF(ISBLANK('Data Entry'!$¾$413), "", 'Data Entry'!$¾$413)</f>
      </c>
      <c r="DW413">
        <f>IF(ISBLANK('Data Entry'!$¿$413), "", 'Data Entry'!$¿$413)</f>
      </c>
      <c r="DX413">
        <f>IF(ISBLANK('Data Entry'!$À$413), "", 'Data Entry'!$À$413)</f>
      </c>
      <c r="DY413">
        <f>IF(ISBLANK('Data Entry'!$Á$413), "", 'Data Entry'!$Á$413)</f>
      </c>
      <c r="DZ413">
        <f>IF(ISBLANK('Data Entry'!$Â$413), "", 'Data Entry'!$Â$413)</f>
      </c>
      <c r="EA413">
        <f>IF(ISBLANK('Data Entry'!$Ã$413), "", 'Data Entry'!$Ã$413)</f>
      </c>
      <c r="EB413">
        <f>IF(ISBLANK('Data Entry'!$Ä$413), "", 'Data Entry'!$Ä$413)</f>
      </c>
      <c r="EC413">
        <f>IF(ISBLANK('Data Entry'!$Å$413), "", 'Data Entry'!$Å$413)</f>
      </c>
      <c r="ED413">
        <f>IF(ISBLANK('Data Entry'!$Æ$413), "", 'Data Entry'!$Æ$413)</f>
      </c>
      <c r="EE413">
        <f>IF(ISBLANK('Data Entry'!$Ç$413), "", 'Data Entry'!$Ç$413)</f>
      </c>
      <c r="EF413">
        <f>IF(ISBLANK('Data Entry'!$È$413), "", 'Data Entry'!$È$413)</f>
      </c>
      <c r="EG413">
        <f>IF(ISBLANK('Data Entry'!$É$413), "", 'Data Entry'!$É$413)</f>
      </c>
      <c r="EH413">
        <f>IF(ISBLANK('Data Entry'!$Ê$413), "", 'Data Entry'!$Ê$413)</f>
      </c>
      <c r="EI413">
        <f>IF(ISBLANK('Data Entry'!$Ë$413), "", 'Data Entry'!$Ë$413)</f>
      </c>
      <c r="EJ413">
        <f>IF(ISBLANK('Data Entry'!$Ì$413), "", 'Data Entry'!$Ì$413)</f>
      </c>
      <c r="EK413">
        <f>IF(ISBLANK('Data Entry'!$Í$413), "", 'Data Entry'!$Í$413)</f>
      </c>
      <c r="EL413">
        <f>IF(ISBLANK('Data Entry'!$Î$413), "", 'Data Entry'!$Î$413)</f>
      </c>
      <c r="EM413">
        <f>IF(ISBLANK('Data Entry'!$Ï$413), "", 'Data Entry'!$Ï$413)</f>
      </c>
      <c r="EN413">
        <f>IF(ISBLANK('Data Entry'!$Ð$413), "", 'Data Entry'!$Ð$413)</f>
      </c>
      <c r="EO413">
        <f>IF(ISBLANK('Data Entry'!$Ñ$413), "", 'Data Entry'!$Ñ$413)</f>
      </c>
      <c r="EP413">
        <f>IF(ISBLANK('Data Entry'!$Ò$413), "", 'Data Entry'!$Ò$413)</f>
      </c>
      <c r="EQ413">
        <f>IF(ISBLANK('Data Entry'!$Ó$413), "", 'Data Entry'!$Ó$413)</f>
      </c>
      <c r="ER413">
        <f>IF(ISBLANK('Data Entry'!$Ô$413), "", 'Data Entry'!$Ô$413)</f>
      </c>
      <c r="ES413">
        <f>IF(ISBLANK('Data Entry'!$Õ$413), "", 'Data Entry'!$Õ$413)</f>
      </c>
      <c r="ET413">
        <f>IF(ISBLANK('Data Entry'!$Ö$413), "", 'Data Entry'!$Ö$413)</f>
      </c>
      <c r="EU413">
        <f>IF(ISBLANK('Data Entry'!$×$413), "", 'Data Entry'!$×$413)</f>
      </c>
      <c r="EV413">
        <f>IF(ISBLANK('Data Entry'!$Ø$413), "", 'Data Entry'!$Ø$413)</f>
      </c>
      <c r="EW413">
        <f>IF(ISBLANK('Data Entry'!$Ù$413), "", 'Data Entry'!$Ù$413)</f>
      </c>
      <c r="EX413">
        <f>IF(ISBLANK('Data Entry'!$Ú$413), "", 'Data Entry'!$Ú$413)</f>
      </c>
      <c r="EY413">
        <f>IF(ISBLANK('Data Entry'!$Û$413), "", 'Data Entry'!$Û$413)</f>
      </c>
      <c r="EZ413">
        <f>IF(ISBLANK('Data Entry'!$Ü$413), "", 'Data Entry'!$Ü$413)</f>
      </c>
      <c r="FA413">
        <f>IF(ISBLANK('Data Entry'!$Ý$413), "", 'Data Entry'!$Ý$413)</f>
      </c>
      <c r="FB413">
        <f>IF(ISBLANK('Data Entry'!$Þ$413), "", 'Data Entry'!$Þ$413)</f>
      </c>
      <c r="FC413">
        <f>IF(ISBLANK('Data Entry'!$ß$413), "", 'Data Entry'!$ß$413)</f>
      </c>
      <c r="FD413">
        <f>IF(ISBLANK('Data Entry'!$à$413), "", 'Data Entry'!$à$413)</f>
      </c>
      <c r="FE413">
        <f>IF(ISBLANK('Data Entry'!$á$413), "", 'Data Entry'!$á$413)</f>
      </c>
      <c r="FF413">
        <f>IF(ISBLANK('Data Entry'!$â$413), "", 'Data Entry'!$â$413)</f>
      </c>
      <c r="FG413">
        <f>IF(ISBLANK('Data Entry'!$ã$413), "", 'Data Entry'!$ã$413)</f>
      </c>
      <c r="FH413">
        <f>IF(ISBLANK('Data Entry'!$ä$413), "", 'Data Entry'!$ä$413)</f>
      </c>
      <c r="FI413">
        <f>IF(ISBLANK('Data Entry'!$å$413), "", 'Data Entry'!$å$413)</f>
      </c>
      <c r="FJ413">
        <f>IF(ISBLANK('Data Entry'!$æ$413), "", 'Data Entry'!$æ$413)</f>
      </c>
      <c r="FK413">
        <f>IF(ISBLANK('Data Entry'!$ç$413), "", 'Data Entry'!$ç$413)</f>
      </c>
      <c r="FL413">
        <f>IF(ISBLANK('Data Entry'!$è$413), "", 'Data Entry'!$è$413)</f>
      </c>
      <c r="FM413">
        <f>IF(ISBLANK('Data Entry'!$é$413), "", 'Data Entry'!$é$413)</f>
      </c>
      <c r="FN413">
        <f>IF(ISBLANK('Data Entry'!$ê$413), "", 'Data Entry'!$ê$413)</f>
      </c>
      <c r="FO413">
        <f>IF(ISBLANK('Data Entry'!$ë$413), "", 'Data Entry'!$ë$413)</f>
      </c>
      <c r="FP413">
        <f>IF(ISBLANK('Data Entry'!$ì$413), "", 'Data Entry'!$ì$413)</f>
      </c>
      <c r="FQ413">
        <f>IF(ISBLANK('Data Entry'!$í$413), "", 'Data Entry'!$í$413)</f>
      </c>
      <c r="FR413">
        <f>IF(ISBLANK('Data Entry'!$î$413), "", 'Data Entry'!$î$413)</f>
      </c>
      <c r="FS413">
        <f>IF(ISBLANK('Data Entry'!$ï$413), "", 'Data Entry'!$ï$413)</f>
      </c>
      <c r="FT413">
        <f>IF(ISBLANK('Data Entry'!$ð$413), "", 'Data Entry'!$ð$413)</f>
      </c>
      <c r="FU413">
        <f>IF(ISBLANK('Data Entry'!$ñ$413), "", 'Data Entry'!$ñ$413)</f>
      </c>
      <c r="FV413">
        <f>IF(ISBLANK('Data Entry'!$ò$413), "", 'Data Entry'!$ò$413)</f>
      </c>
      <c r="FW413">
        <f>IF(ISBLANK('Data Entry'!$ó$413), "", 'Data Entry'!$ó$413)</f>
      </c>
      <c r="FX413">
        <f>IF(ISBLANK('Data Entry'!$ô$413), "", 'Data Entry'!$ô$413)</f>
      </c>
      <c r="FY413">
        <f>IF(ISBLANK('Data Entry'!$õ$413), "", 'Data Entry'!$õ$413)</f>
      </c>
      <c r="FZ413">
        <f>IF(ISBLANK('Data Entry'!$ö$413), "", 'Data Entry'!$ö$413)</f>
      </c>
      <c r="GA413">
        <f>IF(ISBLANK('Data Entry'!$÷$413), "", 'Data Entry'!$÷$413)</f>
      </c>
      <c r="GB413">
        <f>IF(ISBLANK('Data Entry'!$ø$413), "", 'Data Entry'!$ø$413)</f>
      </c>
      <c r="GC413">
        <f>IF(ISBLANK('Data Entry'!$ù$413), "", 'Data Entry'!$ù$413)</f>
      </c>
      <c r="GD413">
        <f>IF(ISBLANK('Data Entry'!$ú$413), "", 'Data Entry'!$ú$413)</f>
      </c>
      <c r="GE413">
        <f>IF(ISBLANK('Data Entry'!$û$413), "", 'Data Entry'!$û$413)</f>
      </c>
      <c r="GF413">
        <f>IF(ISBLANK('Data Entry'!$ü$413), "", 'Data Entry'!$ü$413)</f>
      </c>
      <c r="GG413">
        <f>IF(ISBLANK('Data Entry'!$ý$413), "", 'Data Entry'!$ý$413)</f>
      </c>
      <c r="GH413">
        <f>IF(ISBLANK('Data Entry'!$þ$413), "", 'Data Entry'!$þ$413)</f>
      </c>
      <c r="GI413">
        <f>IF(ISBLANK('Data Entry'!$ÿ$413), "", 'Data Entry'!$ÿ$413)</f>
      </c>
      <c r="GJ413">
        <f>IF(ISBLANK('Data Entry'!$Ā$413), "", 'Data Entry'!$Ā$413)</f>
      </c>
      <c r="GK413">
        <f>IF(ISBLANK('Data Entry'!$ā$413), "", 'Data Entry'!$ā$413)</f>
      </c>
      <c r="GL413">
        <f>IF(ISBLANK('Data Entry'!$Ă$413), "", 'Data Entry'!$Ă$413)</f>
      </c>
      <c r="GM413">
        <f>IF(ISBLANK('Data Entry'!$ă$413), "", 'Data Entry'!$ă$413)</f>
      </c>
      <c r="GN413">
        <f>IF(ISBLANK('Data Entry'!$Ą$413), "", 'Data Entry'!$Ą$413)</f>
      </c>
      <c r="GO413">
        <f>IF(ISBLANK('Data Entry'!$ą$413), "", 'Data Entry'!$ą$413)</f>
      </c>
      <c r="GP413">
        <f>IF(ISBLANK('Data Entry'!$Ć$413), "", 'Data Entry'!$Ć$413)</f>
      </c>
      <c r="GQ413">
        <f>IF(ISBLANK('Data Entry'!$ć$413), "", 'Data Entry'!$ć$413)</f>
      </c>
      <c r="GR413">
        <f>IF(ISBLANK('Data Entry'!$Ĉ$413), "", 'Data Entry'!$Ĉ$413)</f>
      </c>
      <c r="GS413">
        <f>IF(ISBLANK('Data Entry'!$ĉ$413), "", 'Data Entry'!$ĉ$413)</f>
      </c>
      <c r="GT413">
        <f>IF(ISBLANK('Data Entry'!$Ċ$413), "", 'Data Entry'!$Ċ$413)</f>
      </c>
      <c r="GU413">
        <f>IF(ISBLANK('Data Entry'!$ċ$413), "", 'Data Entry'!$ċ$413)</f>
      </c>
      <c r="GV413">
        <f>IF(ISBLANK('Data Entry'!$Č$413), "", 'Data Entry'!$Č$413)</f>
      </c>
      <c r="GW413">
        <f>IF(ISBLANK('Data Entry'!$č$413), "", 'Data Entry'!$č$413)</f>
      </c>
      <c r="GX413">
        <f>IF(ISBLANK('Data Entry'!$Ď$413), "", 'Data Entry'!$Ď$413)</f>
      </c>
      <c r="GY413">
        <f>IF(ISBLANK('Data Entry'!$ď$413), "", 'Data Entry'!$ď$413)</f>
      </c>
      <c r="GZ413">
        <f>IF(ISBLANK('Data Entry'!$Đ$413), "", 'Data Entry'!$Đ$413)</f>
      </c>
      <c r="HA413">
        <f>IF(ISBLANK('Data Entry'!$đ$413), "", 'Data Entry'!$đ$413)</f>
      </c>
      <c r="HB413">
        <f>IF(ISBLANK('Data Entry'!$Ē$413), "", 'Data Entry'!$Ē$413)</f>
      </c>
      <c r="HC413">
        <f>IF(ISBLANK('Data Entry'!$ē$413), "", 'Data Entry'!$ē$413)</f>
      </c>
      <c r="HD413">
        <f>IF(ISBLANK('Data Entry'!$Ĕ$413), "", 'Data Entry'!$Ĕ$413)</f>
      </c>
      <c r="HE413">
        <f>IF(ISBLANK('Data Entry'!$ĕ$413), "", 'Data Entry'!$ĕ$413)</f>
      </c>
      <c r="HF413">
        <f>IF(ISBLANK('Data Entry'!$Ė$413), "", 'Data Entry'!$Ė$413)</f>
      </c>
      <c r="HG413">
        <f>IF(ISBLANK('Data Entry'!$ė$413), "", 'Data Entry'!$ė$413)</f>
      </c>
      <c r="HH413">
        <f>IF(ISBLANK('Data Entry'!$Ę$413), "", 'Data Entry'!$Ę$413)</f>
      </c>
      <c r="HI413">
        <f>IF(ISBLANK('Data Entry'!$ę$413), "", 'Data Entry'!$ę$413)</f>
      </c>
      <c r="HJ413">
        <f>IF(ISBLANK('Data Entry'!$Ě$413), "", 'Data Entry'!$Ě$413)</f>
      </c>
      <c r="HK413">
        <f>IF(ISBLANK('Data Entry'!$ě$413), "", 'Data Entry'!$ě$413)</f>
      </c>
      <c r="HL413">
        <f>IF(ISBLANK('Data Entry'!$Ĝ$413), "", 'Data Entry'!$Ĝ$413)</f>
      </c>
      <c r="HM413">
        <f>IF(ISBLANK('Data Entry'!$ĝ$413), "", 'Data Entry'!$ĝ$413)</f>
      </c>
      <c r="HN413">
        <f>IF(ISBLANK('Data Entry'!$Ğ$413), "", 'Data Entry'!$Ğ$413)</f>
      </c>
      <c r="HO413">
        <f>IF(ISBLANK('Data Entry'!$ğ$413), "", 'Data Entry'!$ğ$413)</f>
      </c>
      <c r="HP413">
        <f>IF(ISBLANK('Data Entry'!$Ġ$413), "", 'Data Entry'!$Ġ$413)</f>
      </c>
      <c r="HQ413">
        <f>IF(ISBLANK('Data Entry'!$ġ$413), "", 'Data Entry'!$ġ$413)</f>
      </c>
      <c r="HR413">
        <f>IF(ISBLANK('Data Entry'!$Ģ$413), "", 'Data Entry'!$Ģ$413)</f>
      </c>
      <c r="HS413">
        <f>IF(ISBLANK('Data Entry'!$ģ$413), "", 'Data Entry'!$ģ$413)</f>
      </c>
      <c r="HT413">
        <f>IF(ISBLANK('Data Entry'!$Ĥ$413), "", 'Data Entry'!$Ĥ$413)</f>
      </c>
      <c r="HU413">
        <f>IF(ISBLANK('Data Entry'!$ĥ$413), "", 'Data Entry'!$ĥ$413)</f>
      </c>
      <c r="HV413">
        <f>IF(ISBLANK('Data Entry'!$Ħ$413), "", 'Data Entry'!$Ħ$413)</f>
      </c>
      <c r="HW413">
        <f>IF(ISBLANK('Data Entry'!$ħ$413), "", 'Data Entry'!$ħ$413)</f>
      </c>
      <c r="HX413">
        <f>IF(ISBLANK('Data Entry'!$Ĩ$413), "", 'Data Entry'!$Ĩ$413)</f>
      </c>
      <c r="HY413">
        <f>IF(ISBLANK('Data Entry'!$ĩ$413), "", 'Data Entry'!$ĩ$413)</f>
      </c>
      <c r="HZ413">
        <f>IF(ISBLANK('Data Entry'!$Ī$413), "", 'Data Entry'!$Ī$413)</f>
      </c>
      <c r="IA413">
        <f>IF(ISBLANK('Data Entry'!$ī$413), "", 'Data Entry'!$ī$413)</f>
      </c>
      <c r="IB413">
        <f>IF(ISBLANK('Data Entry'!$Ĭ$413), "", 'Data Entry'!$Ĭ$413)</f>
      </c>
      <c r="IC413">
        <f>IF(ISBLANK('Data Entry'!$ĭ$413), "", 'Data Entry'!$ĭ$413)</f>
      </c>
      <c r="ID413">
        <f>IF(ISBLANK('Data Entry'!$Į$413), "", 'Data Entry'!$Į$413)</f>
      </c>
      <c r="IE413">
        <f>IF(ISBLANK('Data Entry'!$į$413), "", 'Data Entry'!$į$413)</f>
      </c>
      <c r="IF413">
        <f>IF(ISBLANK('Data Entry'!$İ$413), "", 'Data Entry'!$İ$413)</f>
      </c>
      <c r="IG413">
        <f>IF(ISBLANK('Data Entry'!$ı$413), "", 'Data Entry'!$ı$413)</f>
      </c>
      <c r="IH413">
        <f>IF(ISBLANK('Data Entry'!$Ĳ$413), "", 'Data Entry'!$Ĳ$413)</f>
      </c>
      <c r="II413">
        <f>IF(ISBLANK('Data Entry'!$ĳ$413), "", 'Data Entry'!$ĳ$413)</f>
      </c>
      <c r="IJ413">
        <f>IF(ISBLANK('Data Entry'!$Ĵ$413), "", 'Data Entry'!$Ĵ$413)</f>
      </c>
      <c r="IK413">
        <f>IF(ISBLANK('Data Entry'!$ĵ$413), "", 'Data Entry'!$ĵ$413)</f>
      </c>
      <c r="IL413">
        <f>IF(ISBLANK('Data Entry'!$Ķ$413), "", 'Data Entry'!$Ķ$413)</f>
      </c>
      <c r="IM413">
        <f>IF(ISBLANK('Data Entry'!$ķ$413), "", 'Data Entry'!$ķ$413)</f>
      </c>
      <c r="IN413">
        <f>IF(ISBLANK('Data Entry'!$ĸ$413), "", 'Data Entry'!$ĸ$413)</f>
      </c>
      <c r="IO413">
        <f>IF(ISBLANK('Data Entry'!$Ĺ$413), "", 'Data Entry'!$Ĺ$413)</f>
      </c>
      <c r="IP413">
        <f>IF(ISBLANK('Data Entry'!$ĺ$413), "", 'Data Entry'!$ĺ$413)</f>
      </c>
      <c r="IQ413">
        <f>IF(ISBLANK('Data Entry'!$Ļ$413), "", 'Data Entry'!$Ļ$413)</f>
      </c>
      <c r="IR413">
        <f>IF(ISBLANK('Data Entry'!$ļ$413), "", 'Data Entry'!$ļ$413)</f>
      </c>
      <c r="IS413">
        <f>IF(ISBLANK('Data Entry'!$Ľ$413), "", 'Data Entry'!$Ľ$413)</f>
      </c>
      <c r="IT413">
        <f>IF(ISBLANK('Data Entry'!$ľ$413), "", 'Data Entry'!$ľ$413)</f>
      </c>
    </row>
    <row r="414" spans="1:254" x14ac:dyDescent="0.25">
      <c r="A414">
        <f>IF(ISBLANK('Data Entry'!$A$414), "", 'Data Entry'!$A$414)</f>
      </c>
      <c r="B414">
        <f>IF(ISBLANK('Data Entry'!$B$414), "", 'Data Entry'!$B$414)</f>
      </c>
      <c r="C414">
        <f>IF(ISBLANK('Data Entry'!$C$414), "", 'Data Entry'!$C$414)</f>
      </c>
      <c r="D414">
        <f>IF(ISBLANK('Data Entry'!$D$414), "", 'Data Entry'!$D$414)</f>
      </c>
      <c r="E414">
        <f>IF(ISBLANK('Data Entry'!$E$414), "", 'Data Entry'!$E$414)</f>
      </c>
      <c r="F414">
        <f>IF(ISBLANK('Data Entry'!$F$414), "", 'Data Entry'!$F$414)</f>
      </c>
      <c r="G414">
        <f>IF(ISBLANK('Data Entry'!$G$414), "", 'Data Entry'!$G$414)</f>
      </c>
      <c r="H414">
        <f>IF(ISBLANK('Data Entry'!$H$414), "", 'Data Entry'!$H$414)</f>
      </c>
      <c r="I414">
        <f>IF(ISBLANK('Data Entry'!$I$414), "", 'Data Entry'!$I$414)</f>
      </c>
      <c r="J414">
        <f>IF(ISBLANK('Data Entry'!$J$414), "", 'Data Entry'!$J$414)</f>
      </c>
      <c r="K414">
        <f>IF(ISBLANK('Data Entry'!$K$414), "", 'Data Entry'!$K$414)</f>
      </c>
      <c r="L414">
        <f>IF(ISBLANK('Data Entry'!$L$414), "", 'Data Entry'!$L$414)</f>
      </c>
      <c r="M414">
        <f>IF(ISBLANK('Data Entry'!$M$414), "", 'Data Entry'!$M$414)</f>
      </c>
      <c r="N414">
        <f>IF(ISBLANK('Data Entry'!$N$414), "", 'Data Entry'!$N$414)</f>
      </c>
      <c r="O414">
        <f>IF(ISBLANK('Data Entry'!$O$414), "", 'Data Entry'!$O$414)</f>
      </c>
      <c r="P414">
        <f>IF(ISBLANK('Data Entry'!$P$414), "", 'Data Entry'!$P$414)</f>
      </c>
      <c r="Q414">
        <f>IF(ISBLANK('Data Entry'!$Q$414), "", 'Data Entry'!$Q$414)</f>
      </c>
      <c r="R414">
        <f>IF(ISBLANK('Data Entry'!$R$414), "", 'Data Entry'!$R$414)</f>
      </c>
      <c r="S414">
        <f>IF(ISBLANK('Data Entry'!$S$414), "", 'Data Entry'!$S$414)</f>
      </c>
      <c r="T414">
        <f>IF(ISBLANK('Data Entry'!$T$414), "", 'Data Entry'!$T$414)</f>
      </c>
      <c r="U414">
        <f>IF(ISBLANK('Data Entry'!$U$414), "", 'Data Entry'!$U$414)</f>
      </c>
      <c r="V414">
        <f>IF(ISBLANK('Data Entry'!$V$414), "", 'Data Entry'!$V$414)</f>
      </c>
      <c r="W414">
        <f>IF(ISBLANK('Data Entry'!$W$414), "", 'Data Entry'!$W$414)</f>
      </c>
      <c r="X414">
        <f>IF(ISBLANK('Data Entry'!$X$414), "", 'Data Entry'!$X$414)</f>
      </c>
      <c r="Y414">
        <f>IF(ISBLANK('Data Entry'!$Y$414), "", 'Data Entry'!$Y$414)</f>
      </c>
      <c r="Z414">
        <f>IF(ISBLANK('Data Entry'!$Z$414), "", 'Data Entry'!$Z$414)</f>
      </c>
      <c r="AA414">
        <f>IF(ISBLANK('Data Entry'!$[$414), "", 'Data Entry'!$[$414)</f>
      </c>
      <c r="AB414">
        <f>IF(ISBLANK('Data Entry'!$\$414), "", 'Data Entry'!$\$414)</f>
      </c>
      <c r="AC414">
        <f>IF(ISBLANK('Data Entry'!$]$414), "", 'Data Entry'!$]$414)</f>
      </c>
      <c r="AD414">
        <f>IF(ISBLANK('Data Entry'!$^$414), "", 'Data Entry'!$^$414)</f>
      </c>
      <c r="AE414">
        <f>IF(ISBLANK('Data Entry'!$_$414), "", 'Data Entry'!$_$414)</f>
      </c>
      <c r="AF414">
        <f>IF(ISBLANK('Data Entry'!$`$414), "", 'Data Entry'!$`$414)</f>
      </c>
      <c r="AG414">
        <f>IF(ISBLANK('Data Entry'!$a$414), "", 'Data Entry'!$a$414)</f>
      </c>
      <c r="AH414">
        <f>IF(ISBLANK('Data Entry'!$b$414), "", 'Data Entry'!$b$414)</f>
      </c>
      <c r="AI414">
        <f>IF(ISBLANK('Data Entry'!$c$414), "", 'Data Entry'!$c$414)</f>
      </c>
      <c r="AJ414">
        <f>IF(ISBLANK('Data Entry'!$d$414), "", 'Data Entry'!$d$414)</f>
      </c>
      <c r="AK414">
        <f>IF(ISBLANK('Data Entry'!$e$414), "", 'Data Entry'!$e$414)</f>
      </c>
      <c r="AL414">
        <f>IF(ISBLANK('Data Entry'!$f$414), "", 'Data Entry'!$f$414)</f>
      </c>
      <c r="AM414">
        <f>IF(ISBLANK('Data Entry'!$g$414), "", 'Data Entry'!$g$414)</f>
      </c>
      <c r="AN414">
        <f>IF(ISBLANK('Data Entry'!$h$414), "", 'Data Entry'!$h$414)</f>
      </c>
      <c r="AO414">
        <f>IF(ISBLANK('Data Entry'!$i$414), "", 'Data Entry'!$i$414)</f>
      </c>
      <c r="AP414">
        <f>IF(ISBLANK('Data Entry'!$j$414), "", 'Data Entry'!$j$414)</f>
      </c>
      <c r="AQ414">
        <f>IF(ISBLANK('Data Entry'!$k$414), "", 'Data Entry'!$k$414)</f>
      </c>
      <c r="AR414">
        <f>IF(ISBLANK('Data Entry'!$l$414), "", 'Data Entry'!$l$414)</f>
      </c>
      <c r="AS414">
        <f>IF(ISBLANK('Data Entry'!$m$414), "", 'Data Entry'!$m$414)</f>
      </c>
      <c r="AT414">
        <f>IF(ISBLANK('Data Entry'!$n$414), "", 'Data Entry'!$n$414)</f>
      </c>
      <c r="AU414">
        <f>IF(ISBLANK('Data Entry'!$o$414), "", 'Data Entry'!$o$414)</f>
      </c>
      <c r="AV414">
        <f>IF(ISBLANK('Data Entry'!$p$414), "", 'Data Entry'!$p$414)</f>
      </c>
      <c r="AW414">
        <f>IF(ISBLANK('Data Entry'!$q$414), "", 'Data Entry'!$q$414)</f>
      </c>
      <c r="AX414">
        <f>IF(ISBLANK('Data Entry'!$r$414), "", 'Data Entry'!$r$414)</f>
      </c>
      <c r="AY414">
        <f>IF(ISBLANK('Data Entry'!$s$414), "", 'Data Entry'!$s$414)</f>
      </c>
      <c r="AZ414">
        <f>IF(ISBLANK('Data Entry'!$t$414), "", 'Data Entry'!$t$414)</f>
      </c>
      <c r="BA414">
        <f>IF(ISBLANK('Data Entry'!$u$414), "", 'Data Entry'!$u$414)</f>
      </c>
      <c r="BB414">
        <f>IF(ISBLANK('Data Entry'!$v$414), "", 'Data Entry'!$v$414)</f>
      </c>
      <c r="BC414">
        <f>IF(ISBLANK('Data Entry'!$w$414), "", 'Data Entry'!$w$414)</f>
      </c>
      <c r="BD414">
        <f>IF(ISBLANK('Data Entry'!$x$414), "", 'Data Entry'!$x$414)</f>
      </c>
      <c r="BE414">
        <f>IF(ISBLANK('Data Entry'!$y$414), "", 'Data Entry'!$y$414)</f>
      </c>
      <c r="BF414">
        <f>IF(ISBLANK('Data Entry'!$z$414), "", 'Data Entry'!$z$414)</f>
      </c>
      <c r="BG414">
        <f>IF(ISBLANK('Data Entry'!${$414), "", 'Data Entry'!${$414)</f>
      </c>
      <c r="BH414">
        <f>IF(ISBLANK('Data Entry'!$|$414), "", 'Data Entry'!$|$414)</f>
      </c>
      <c r="BI414">
        <f>IF(ISBLANK('Data Entry'!$}$414), "", 'Data Entry'!$}$414)</f>
      </c>
      <c r="BJ414">
        <f>IF(ISBLANK('Data Entry'!$~$414), "", 'Data Entry'!$~$414)</f>
      </c>
      <c r="BK414">
        <f>IF(ISBLANK('Data Entry'!$$414), "", 'Data Entry'!$$414)</f>
      </c>
      <c r="BL414">
        <f>IF(ISBLANK('Data Entry'!$$414), "", 'Data Entry'!$$414)</f>
      </c>
      <c r="BM414">
        <f>IF(ISBLANK('Data Entry'!$$414), "", 'Data Entry'!$$414)</f>
      </c>
      <c r="BN414">
        <f>IF(ISBLANK('Data Entry'!$$414), "", 'Data Entry'!$$414)</f>
      </c>
      <c r="BO414">
        <f>IF(ISBLANK('Data Entry'!$$414), "", 'Data Entry'!$$414)</f>
      </c>
      <c r="BP414">
        <f>IF(ISBLANK('Data Entry'!$$414), "", 'Data Entry'!$$414)</f>
      </c>
      <c r="BQ414">
        <f>IF(ISBLANK('Data Entry'!$$414), "", 'Data Entry'!$$414)</f>
      </c>
      <c r="BR414">
        <f>IF(ISBLANK('Data Entry'!$$414), "", 'Data Entry'!$$414)</f>
      </c>
      <c r="BS414">
        <f>IF(ISBLANK('Data Entry'!$$414), "", 'Data Entry'!$$414)</f>
      </c>
      <c r="BT414">
        <f>IF(ISBLANK('Data Entry'!$$414), "", 'Data Entry'!$$414)</f>
      </c>
      <c r="BU414">
        <f>IF(ISBLANK('Data Entry'!$$414), "", 'Data Entry'!$$414)</f>
      </c>
      <c r="BV414">
        <f>IF(ISBLANK('Data Entry'!$$414), "", 'Data Entry'!$$414)</f>
      </c>
      <c r="BW414">
        <f>IF(ISBLANK('Data Entry'!$$414), "", 'Data Entry'!$$414)</f>
      </c>
      <c r="BX414">
        <f>IF(ISBLANK('Data Entry'!$$414), "", 'Data Entry'!$$414)</f>
      </c>
      <c r="BY414">
        <f>IF(ISBLANK('Data Entry'!$$414), "", 'Data Entry'!$$414)</f>
      </c>
      <c r="BZ414">
        <f>IF(ISBLANK('Data Entry'!$$414), "", 'Data Entry'!$$414)</f>
      </c>
      <c r="CA414">
        <f>IF(ISBLANK('Data Entry'!$$414), "", 'Data Entry'!$$414)</f>
      </c>
      <c r="CB414">
        <f>IF(ISBLANK('Data Entry'!$$414), "", 'Data Entry'!$$414)</f>
      </c>
      <c r="CC414">
        <f>IF(ISBLANK('Data Entry'!$$414), "", 'Data Entry'!$$414)</f>
      </c>
      <c r="CD414">
        <f>IF(ISBLANK('Data Entry'!$$414), "", 'Data Entry'!$$414)</f>
      </c>
      <c r="CE414">
        <f>IF(ISBLANK('Data Entry'!$$414), "", 'Data Entry'!$$414)</f>
      </c>
      <c r="CF414">
        <f>IF(ISBLANK('Data Entry'!$$414), "", 'Data Entry'!$$414)</f>
      </c>
      <c r="CG414">
        <f>IF(ISBLANK('Data Entry'!$$414), "", 'Data Entry'!$$414)</f>
      </c>
      <c r="CH414">
        <f>IF(ISBLANK('Data Entry'!$$414), "", 'Data Entry'!$$414)</f>
      </c>
      <c r="CI414">
        <f>IF(ISBLANK('Data Entry'!$$414), "", 'Data Entry'!$$414)</f>
      </c>
      <c r="CJ414">
        <f>IF(ISBLANK('Data Entry'!$$414), "", 'Data Entry'!$$414)</f>
      </c>
      <c r="CK414">
        <f>IF(ISBLANK('Data Entry'!$$414), "", 'Data Entry'!$$414)</f>
      </c>
      <c r="CL414">
        <f>IF(ISBLANK('Data Entry'!$$414), "", 'Data Entry'!$$414)</f>
      </c>
      <c r="CM414">
        <f>IF(ISBLANK('Data Entry'!$$414), "", 'Data Entry'!$$414)</f>
      </c>
      <c r="CN414">
        <f>IF(ISBLANK('Data Entry'!$$414), "", 'Data Entry'!$$414)</f>
      </c>
      <c r="CO414">
        <f>IF(ISBLANK('Data Entry'!$$414), "", 'Data Entry'!$$414)</f>
      </c>
      <c r="CP414">
        <f>IF(ISBLANK('Data Entry'!$$414), "", 'Data Entry'!$$414)</f>
      </c>
      <c r="CQ414">
        <f>IF(ISBLANK('Data Entry'!$$414), "", 'Data Entry'!$$414)</f>
      </c>
      <c r="CR414">
        <f>IF(ISBLANK('Data Entry'!$ $414), "", 'Data Entry'!$ $414)</f>
      </c>
      <c r="CS414">
        <f>IF(ISBLANK('Data Entry'!$¡$414), "", 'Data Entry'!$¡$414)</f>
      </c>
      <c r="CT414">
        <f>IF(ISBLANK('Data Entry'!$¢$414), "", 'Data Entry'!$¢$414)</f>
      </c>
      <c r="CU414">
        <f>IF(ISBLANK('Data Entry'!$£$414), "", 'Data Entry'!$£$414)</f>
      </c>
      <c r="CV414">
        <f>IF(ISBLANK('Data Entry'!$¤$414), "", 'Data Entry'!$¤$414)</f>
      </c>
      <c r="CW414">
        <f>IF(ISBLANK('Data Entry'!$¥$414), "", 'Data Entry'!$¥$414)</f>
      </c>
      <c r="CX414">
        <f>IF(ISBLANK('Data Entry'!$¦$414), "", 'Data Entry'!$¦$414)</f>
      </c>
      <c r="CY414">
        <f>IF(ISBLANK('Data Entry'!$§$414), "", 'Data Entry'!$§$414)</f>
      </c>
      <c r="CZ414">
        <f>IF(ISBLANK('Data Entry'!$¨$414), "", 'Data Entry'!$¨$414)</f>
      </c>
      <c r="DA414">
        <f>IF(ISBLANK('Data Entry'!$©$414), "", 'Data Entry'!$©$414)</f>
      </c>
      <c r="DB414">
        <f>IF(ISBLANK('Data Entry'!$ª$414), "", 'Data Entry'!$ª$414)</f>
      </c>
      <c r="DC414">
        <f>IF(ISBLANK('Data Entry'!$«$414), "", 'Data Entry'!$«$414)</f>
      </c>
      <c r="DD414">
        <f>IF(ISBLANK('Data Entry'!$¬$414), "", 'Data Entry'!$¬$414)</f>
      </c>
      <c r="DE414">
        <f>IF(ISBLANK('Data Entry'!$­$414), "", 'Data Entry'!$­$414)</f>
      </c>
      <c r="DF414">
        <f>IF(ISBLANK('Data Entry'!$®$414), "", 'Data Entry'!$®$414)</f>
      </c>
      <c r="DG414">
        <f>IF(ISBLANK('Data Entry'!$¯$414), "", 'Data Entry'!$¯$414)</f>
      </c>
      <c r="DH414">
        <f>IF(ISBLANK('Data Entry'!$°$414), "", 'Data Entry'!$°$414)</f>
      </c>
      <c r="DI414">
        <f>IF(ISBLANK('Data Entry'!$±$414), "", 'Data Entry'!$±$414)</f>
      </c>
      <c r="DJ414">
        <f>IF(ISBLANK('Data Entry'!$²$414), "", 'Data Entry'!$²$414)</f>
      </c>
      <c r="DK414">
        <f>IF(ISBLANK('Data Entry'!$³$414), "", 'Data Entry'!$³$414)</f>
      </c>
      <c r="DL414">
        <f>IF(ISBLANK('Data Entry'!$´$414), "", 'Data Entry'!$´$414)</f>
      </c>
      <c r="DM414">
        <f>IF(ISBLANK('Data Entry'!$µ$414), "", 'Data Entry'!$µ$414)</f>
      </c>
      <c r="DN414">
        <f>IF(ISBLANK('Data Entry'!$¶$414), "", 'Data Entry'!$¶$414)</f>
      </c>
      <c r="DO414">
        <f>IF(ISBLANK('Data Entry'!$·$414), "", 'Data Entry'!$·$414)</f>
      </c>
      <c r="DP414">
        <f>IF(ISBLANK('Data Entry'!$¸$414), "", 'Data Entry'!$¸$414)</f>
      </c>
      <c r="DQ414">
        <f>IF(ISBLANK('Data Entry'!$¹$414), "", 'Data Entry'!$¹$414)</f>
      </c>
      <c r="DR414">
        <f>IF(ISBLANK('Data Entry'!$º$414), "", 'Data Entry'!$º$414)</f>
      </c>
      <c r="DS414">
        <f>IF(ISBLANK('Data Entry'!$»$414), "", 'Data Entry'!$»$414)</f>
      </c>
      <c r="DT414">
        <f>IF(ISBLANK('Data Entry'!$¼$414), "", 'Data Entry'!$¼$414)</f>
      </c>
      <c r="DU414">
        <f>IF(ISBLANK('Data Entry'!$½$414), "", 'Data Entry'!$½$414)</f>
      </c>
      <c r="DV414">
        <f>IF(ISBLANK('Data Entry'!$¾$414), "", 'Data Entry'!$¾$414)</f>
      </c>
      <c r="DW414">
        <f>IF(ISBLANK('Data Entry'!$¿$414), "", 'Data Entry'!$¿$414)</f>
      </c>
      <c r="DX414">
        <f>IF(ISBLANK('Data Entry'!$À$414), "", 'Data Entry'!$À$414)</f>
      </c>
      <c r="DY414">
        <f>IF(ISBLANK('Data Entry'!$Á$414), "", 'Data Entry'!$Á$414)</f>
      </c>
      <c r="DZ414">
        <f>IF(ISBLANK('Data Entry'!$Â$414), "", 'Data Entry'!$Â$414)</f>
      </c>
      <c r="EA414">
        <f>IF(ISBLANK('Data Entry'!$Ã$414), "", 'Data Entry'!$Ã$414)</f>
      </c>
      <c r="EB414">
        <f>IF(ISBLANK('Data Entry'!$Ä$414), "", 'Data Entry'!$Ä$414)</f>
      </c>
      <c r="EC414">
        <f>IF(ISBLANK('Data Entry'!$Å$414), "", 'Data Entry'!$Å$414)</f>
      </c>
      <c r="ED414">
        <f>IF(ISBLANK('Data Entry'!$Æ$414), "", 'Data Entry'!$Æ$414)</f>
      </c>
      <c r="EE414">
        <f>IF(ISBLANK('Data Entry'!$Ç$414), "", 'Data Entry'!$Ç$414)</f>
      </c>
      <c r="EF414">
        <f>IF(ISBLANK('Data Entry'!$È$414), "", 'Data Entry'!$È$414)</f>
      </c>
      <c r="EG414">
        <f>IF(ISBLANK('Data Entry'!$É$414), "", 'Data Entry'!$É$414)</f>
      </c>
      <c r="EH414">
        <f>IF(ISBLANK('Data Entry'!$Ê$414), "", 'Data Entry'!$Ê$414)</f>
      </c>
      <c r="EI414">
        <f>IF(ISBLANK('Data Entry'!$Ë$414), "", 'Data Entry'!$Ë$414)</f>
      </c>
      <c r="EJ414">
        <f>IF(ISBLANK('Data Entry'!$Ì$414), "", 'Data Entry'!$Ì$414)</f>
      </c>
      <c r="EK414">
        <f>IF(ISBLANK('Data Entry'!$Í$414), "", 'Data Entry'!$Í$414)</f>
      </c>
      <c r="EL414">
        <f>IF(ISBLANK('Data Entry'!$Î$414), "", 'Data Entry'!$Î$414)</f>
      </c>
      <c r="EM414">
        <f>IF(ISBLANK('Data Entry'!$Ï$414), "", 'Data Entry'!$Ï$414)</f>
      </c>
      <c r="EN414">
        <f>IF(ISBLANK('Data Entry'!$Ð$414), "", 'Data Entry'!$Ð$414)</f>
      </c>
      <c r="EO414">
        <f>IF(ISBLANK('Data Entry'!$Ñ$414), "", 'Data Entry'!$Ñ$414)</f>
      </c>
      <c r="EP414">
        <f>IF(ISBLANK('Data Entry'!$Ò$414), "", 'Data Entry'!$Ò$414)</f>
      </c>
      <c r="EQ414">
        <f>IF(ISBLANK('Data Entry'!$Ó$414), "", 'Data Entry'!$Ó$414)</f>
      </c>
      <c r="ER414">
        <f>IF(ISBLANK('Data Entry'!$Ô$414), "", 'Data Entry'!$Ô$414)</f>
      </c>
      <c r="ES414">
        <f>IF(ISBLANK('Data Entry'!$Õ$414), "", 'Data Entry'!$Õ$414)</f>
      </c>
      <c r="ET414">
        <f>IF(ISBLANK('Data Entry'!$Ö$414), "", 'Data Entry'!$Ö$414)</f>
      </c>
      <c r="EU414">
        <f>IF(ISBLANK('Data Entry'!$×$414), "", 'Data Entry'!$×$414)</f>
      </c>
      <c r="EV414">
        <f>IF(ISBLANK('Data Entry'!$Ø$414), "", 'Data Entry'!$Ø$414)</f>
      </c>
      <c r="EW414">
        <f>IF(ISBLANK('Data Entry'!$Ù$414), "", 'Data Entry'!$Ù$414)</f>
      </c>
      <c r="EX414">
        <f>IF(ISBLANK('Data Entry'!$Ú$414), "", 'Data Entry'!$Ú$414)</f>
      </c>
      <c r="EY414">
        <f>IF(ISBLANK('Data Entry'!$Û$414), "", 'Data Entry'!$Û$414)</f>
      </c>
      <c r="EZ414">
        <f>IF(ISBLANK('Data Entry'!$Ü$414), "", 'Data Entry'!$Ü$414)</f>
      </c>
      <c r="FA414">
        <f>IF(ISBLANK('Data Entry'!$Ý$414), "", 'Data Entry'!$Ý$414)</f>
      </c>
      <c r="FB414">
        <f>IF(ISBLANK('Data Entry'!$Þ$414), "", 'Data Entry'!$Þ$414)</f>
      </c>
      <c r="FC414">
        <f>IF(ISBLANK('Data Entry'!$ß$414), "", 'Data Entry'!$ß$414)</f>
      </c>
      <c r="FD414">
        <f>IF(ISBLANK('Data Entry'!$à$414), "", 'Data Entry'!$à$414)</f>
      </c>
      <c r="FE414">
        <f>IF(ISBLANK('Data Entry'!$á$414), "", 'Data Entry'!$á$414)</f>
      </c>
      <c r="FF414">
        <f>IF(ISBLANK('Data Entry'!$â$414), "", 'Data Entry'!$â$414)</f>
      </c>
      <c r="FG414">
        <f>IF(ISBLANK('Data Entry'!$ã$414), "", 'Data Entry'!$ã$414)</f>
      </c>
      <c r="FH414">
        <f>IF(ISBLANK('Data Entry'!$ä$414), "", 'Data Entry'!$ä$414)</f>
      </c>
      <c r="FI414">
        <f>IF(ISBLANK('Data Entry'!$å$414), "", 'Data Entry'!$å$414)</f>
      </c>
      <c r="FJ414">
        <f>IF(ISBLANK('Data Entry'!$æ$414), "", 'Data Entry'!$æ$414)</f>
      </c>
      <c r="FK414">
        <f>IF(ISBLANK('Data Entry'!$ç$414), "", 'Data Entry'!$ç$414)</f>
      </c>
      <c r="FL414">
        <f>IF(ISBLANK('Data Entry'!$è$414), "", 'Data Entry'!$è$414)</f>
      </c>
      <c r="FM414">
        <f>IF(ISBLANK('Data Entry'!$é$414), "", 'Data Entry'!$é$414)</f>
      </c>
      <c r="FN414">
        <f>IF(ISBLANK('Data Entry'!$ê$414), "", 'Data Entry'!$ê$414)</f>
      </c>
      <c r="FO414">
        <f>IF(ISBLANK('Data Entry'!$ë$414), "", 'Data Entry'!$ë$414)</f>
      </c>
      <c r="FP414">
        <f>IF(ISBLANK('Data Entry'!$ì$414), "", 'Data Entry'!$ì$414)</f>
      </c>
      <c r="FQ414">
        <f>IF(ISBLANK('Data Entry'!$í$414), "", 'Data Entry'!$í$414)</f>
      </c>
      <c r="FR414">
        <f>IF(ISBLANK('Data Entry'!$î$414), "", 'Data Entry'!$î$414)</f>
      </c>
      <c r="FS414">
        <f>IF(ISBLANK('Data Entry'!$ï$414), "", 'Data Entry'!$ï$414)</f>
      </c>
      <c r="FT414">
        <f>IF(ISBLANK('Data Entry'!$ð$414), "", 'Data Entry'!$ð$414)</f>
      </c>
      <c r="FU414">
        <f>IF(ISBLANK('Data Entry'!$ñ$414), "", 'Data Entry'!$ñ$414)</f>
      </c>
      <c r="FV414">
        <f>IF(ISBLANK('Data Entry'!$ò$414), "", 'Data Entry'!$ò$414)</f>
      </c>
      <c r="FW414">
        <f>IF(ISBLANK('Data Entry'!$ó$414), "", 'Data Entry'!$ó$414)</f>
      </c>
      <c r="FX414">
        <f>IF(ISBLANK('Data Entry'!$ô$414), "", 'Data Entry'!$ô$414)</f>
      </c>
      <c r="FY414">
        <f>IF(ISBLANK('Data Entry'!$õ$414), "", 'Data Entry'!$õ$414)</f>
      </c>
      <c r="FZ414">
        <f>IF(ISBLANK('Data Entry'!$ö$414), "", 'Data Entry'!$ö$414)</f>
      </c>
      <c r="GA414">
        <f>IF(ISBLANK('Data Entry'!$÷$414), "", 'Data Entry'!$÷$414)</f>
      </c>
      <c r="GB414">
        <f>IF(ISBLANK('Data Entry'!$ø$414), "", 'Data Entry'!$ø$414)</f>
      </c>
      <c r="GC414">
        <f>IF(ISBLANK('Data Entry'!$ù$414), "", 'Data Entry'!$ù$414)</f>
      </c>
      <c r="GD414">
        <f>IF(ISBLANK('Data Entry'!$ú$414), "", 'Data Entry'!$ú$414)</f>
      </c>
      <c r="GE414">
        <f>IF(ISBLANK('Data Entry'!$û$414), "", 'Data Entry'!$û$414)</f>
      </c>
      <c r="GF414">
        <f>IF(ISBLANK('Data Entry'!$ü$414), "", 'Data Entry'!$ü$414)</f>
      </c>
      <c r="GG414">
        <f>IF(ISBLANK('Data Entry'!$ý$414), "", 'Data Entry'!$ý$414)</f>
      </c>
      <c r="GH414">
        <f>IF(ISBLANK('Data Entry'!$þ$414), "", 'Data Entry'!$þ$414)</f>
      </c>
      <c r="GI414">
        <f>IF(ISBLANK('Data Entry'!$ÿ$414), "", 'Data Entry'!$ÿ$414)</f>
      </c>
      <c r="GJ414">
        <f>IF(ISBLANK('Data Entry'!$Ā$414), "", 'Data Entry'!$Ā$414)</f>
      </c>
      <c r="GK414">
        <f>IF(ISBLANK('Data Entry'!$ā$414), "", 'Data Entry'!$ā$414)</f>
      </c>
      <c r="GL414">
        <f>IF(ISBLANK('Data Entry'!$Ă$414), "", 'Data Entry'!$Ă$414)</f>
      </c>
      <c r="GM414">
        <f>IF(ISBLANK('Data Entry'!$ă$414), "", 'Data Entry'!$ă$414)</f>
      </c>
      <c r="GN414">
        <f>IF(ISBLANK('Data Entry'!$Ą$414), "", 'Data Entry'!$Ą$414)</f>
      </c>
      <c r="GO414">
        <f>IF(ISBLANK('Data Entry'!$ą$414), "", 'Data Entry'!$ą$414)</f>
      </c>
      <c r="GP414">
        <f>IF(ISBLANK('Data Entry'!$Ć$414), "", 'Data Entry'!$Ć$414)</f>
      </c>
      <c r="GQ414">
        <f>IF(ISBLANK('Data Entry'!$ć$414), "", 'Data Entry'!$ć$414)</f>
      </c>
      <c r="GR414">
        <f>IF(ISBLANK('Data Entry'!$Ĉ$414), "", 'Data Entry'!$Ĉ$414)</f>
      </c>
      <c r="GS414">
        <f>IF(ISBLANK('Data Entry'!$ĉ$414), "", 'Data Entry'!$ĉ$414)</f>
      </c>
      <c r="GT414">
        <f>IF(ISBLANK('Data Entry'!$Ċ$414), "", 'Data Entry'!$Ċ$414)</f>
      </c>
      <c r="GU414">
        <f>IF(ISBLANK('Data Entry'!$ċ$414), "", 'Data Entry'!$ċ$414)</f>
      </c>
      <c r="GV414">
        <f>IF(ISBLANK('Data Entry'!$Č$414), "", 'Data Entry'!$Č$414)</f>
      </c>
      <c r="GW414">
        <f>IF(ISBLANK('Data Entry'!$č$414), "", 'Data Entry'!$č$414)</f>
      </c>
      <c r="GX414">
        <f>IF(ISBLANK('Data Entry'!$Ď$414), "", 'Data Entry'!$Ď$414)</f>
      </c>
      <c r="GY414">
        <f>IF(ISBLANK('Data Entry'!$ď$414), "", 'Data Entry'!$ď$414)</f>
      </c>
      <c r="GZ414">
        <f>IF(ISBLANK('Data Entry'!$Đ$414), "", 'Data Entry'!$Đ$414)</f>
      </c>
      <c r="HA414">
        <f>IF(ISBLANK('Data Entry'!$đ$414), "", 'Data Entry'!$đ$414)</f>
      </c>
      <c r="HB414">
        <f>IF(ISBLANK('Data Entry'!$Ē$414), "", 'Data Entry'!$Ē$414)</f>
      </c>
      <c r="HC414">
        <f>IF(ISBLANK('Data Entry'!$ē$414), "", 'Data Entry'!$ē$414)</f>
      </c>
      <c r="HD414">
        <f>IF(ISBLANK('Data Entry'!$Ĕ$414), "", 'Data Entry'!$Ĕ$414)</f>
      </c>
      <c r="HE414">
        <f>IF(ISBLANK('Data Entry'!$ĕ$414), "", 'Data Entry'!$ĕ$414)</f>
      </c>
      <c r="HF414">
        <f>IF(ISBLANK('Data Entry'!$Ė$414), "", 'Data Entry'!$Ė$414)</f>
      </c>
      <c r="HG414">
        <f>IF(ISBLANK('Data Entry'!$ė$414), "", 'Data Entry'!$ė$414)</f>
      </c>
      <c r="HH414">
        <f>IF(ISBLANK('Data Entry'!$Ę$414), "", 'Data Entry'!$Ę$414)</f>
      </c>
      <c r="HI414">
        <f>IF(ISBLANK('Data Entry'!$ę$414), "", 'Data Entry'!$ę$414)</f>
      </c>
      <c r="HJ414">
        <f>IF(ISBLANK('Data Entry'!$Ě$414), "", 'Data Entry'!$Ě$414)</f>
      </c>
      <c r="HK414">
        <f>IF(ISBLANK('Data Entry'!$ě$414), "", 'Data Entry'!$ě$414)</f>
      </c>
      <c r="HL414">
        <f>IF(ISBLANK('Data Entry'!$Ĝ$414), "", 'Data Entry'!$Ĝ$414)</f>
      </c>
      <c r="HM414">
        <f>IF(ISBLANK('Data Entry'!$ĝ$414), "", 'Data Entry'!$ĝ$414)</f>
      </c>
      <c r="HN414">
        <f>IF(ISBLANK('Data Entry'!$Ğ$414), "", 'Data Entry'!$Ğ$414)</f>
      </c>
      <c r="HO414">
        <f>IF(ISBLANK('Data Entry'!$ğ$414), "", 'Data Entry'!$ğ$414)</f>
      </c>
      <c r="HP414">
        <f>IF(ISBLANK('Data Entry'!$Ġ$414), "", 'Data Entry'!$Ġ$414)</f>
      </c>
      <c r="HQ414">
        <f>IF(ISBLANK('Data Entry'!$ġ$414), "", 'Data Entry'!$ġ$414)</f>
      </c>
      <c r="HR414">
        <f>IF(ISBLANK('Data Entry'!$Ģ$414), "", 'Data Entry'!$Ģ$414)</f>
      </c>
      <c r="HS414">
        <f>IF(ISBLANK('Data Entry'!$ģ$414), "", 'Data Entry'!$ģ$414)</f>
      </c>
      <c r="HT414">
        <f>IF(ISBLANK('Data Entry'!$Ĥ$414), "", 'Data Entry'!$Ĥ$414)</f>
      </c>
      <c r="HU414">
        <f>IF(ISBLANK('Data Entry'!$ĥ$414), "", 'Data Entry'!$ĥ$414)</f>
      </c>
      <c r="HV414">
        <f>IF(ISBLANK('Data Entry'!$Ħ$414), "", 'Data Entry'!$Ħ$414)</f>
      </c>
      <c r="HW414">
        <f>IF(ISBLANK('Data Entry'!$ħ$414), "", 'Data Entry'!$ħ$414)</f>
      </c>
      <c r="HX414">
        <f>IF(ISBLANK('Data Entry'!$Ĩ$414), "", 'Data Entry'!$Ĩ$414)</f>
      </c>
      <c r="HY414">
        <f>IF(ISBLANK('Data Entry'!$ĩ$414), "", 'Data Entry'!$ĩ$414)</f>
      </c>
      <c r="HZ414">
        <f>IF(ISBLANK('Data Entry'!$Ī$414), "", 'Data Entry'!$Ī$414)</f>
      </c>
      <c r="IA414">
        <f>IF(ISBLANK('Data Entry'!$ī$414), "", 'Data Entry'!$ī$414)</f>
      </c>
      <c r="IB414">
        <f>IF(ISBLANK('Data Entry'!$Ĭ$414), "", 'Data Entry'!$Ĭ$414)</f>
      </c>
      <c r="IC414">
        <f>IF(ISBLANK('Data Entry'!$ĭ$414), "", 'Data Entry'!$ĭ$414)</f>
      </c>
      <c r="ID414">
        <f>IF(ISBLANK('Data Entry'!$Į$414), "", 'Data Entry'!$Į$414)</f>
      </c>
      <c r="IE414">
        <f>IF(ISBLANK('Data Entry'!$į$414), "", 'Data Entry'!$į$414)</f>
      </c>
      <c r="IF414">
        <f>IF(ISBLANK('Data Entry'!$İ$414), "", 'Data Entry'!$İ$414)</f>
      </c>
      <c r="IG414">
        <f>IF(ISBLANK('Data Entry'!$ı$414), "", 'Data Entry'!$ı$414)</f>
      </c>
      <c r="IH414">
        <f>IF(ISBLANK('Data Entry'!$Ĳ$414), "", 'Data Entry'!$Ĳ$414)</f>
      </c>
      <c r="II414">
        <f>IF(ISBLANK('Data Entry'!$ĳ$414), "", 'Data Entry'!$ĳ$414)</f>
      </c>
      <c r="IJ414">
        <f>IF(ISBLANK('Data Entry'!$Ĵ$414), "", 'Data Entry'!$Ĵ$414)</f>
      </c>
      <c r="IK414">
        <f>IF(ISBLANK('Data Entry'!$ĵ$414), "", 'Data Entry'!$ĵ$414)</f>
      </c>
      <c r="IL414">
        <f>IF(ISBLANK('Data Entry'!$Ķ$414), "", 'Data Entry'!$Ķ$414)</f>
      </c>
      <c r="IM414">
        <f>IF(ISBLANK('Data Entry'!$ķ$414), "", 'Data Entry'!$ķ$414)</f>
      </c>
      <c r="IN414">
        <f>IF(ISBLANK('Data Entry'!$ĸ$414), "", 'Data Entry'!$ĸ$414)</f>
      </c>
      <c r="IO414">
        <f>IF(ISBLANK('Data Entry'!$Ĺ$414), "", 'Data Entry'!$Ĺ$414)</f>
      </c>
      <c r="IP414">
        <f>IF(ISBLANK('Data Entry'!$ĺ$414), "", 'Data Entry'!$ĺ$414)</f>
      </c>
      <c r="IQ414">
        <f>IF(ISBLANK('Data Entry'!$Ļ$414), "", 'Data Entry'!$Ļ$414)</f>
      </c>
      <c r="IR414">
        <f>IF(ISBLANK('Data Entry'!$ļ$414), "", 'Data Entry'!$ļ$414)</f>
      </c>
      <c r="IS414">
        <f>IF(ISBLANK('Data Entry'!$Ľ$414), "", 'Data Entry'!$Ľ$414)</f>
      </c>
      <c r="IT414">
        <f>IF(ISBLANK('Data Entry'!$ľ$414), "", 'Data Entry'!$ľ$414)</f>
      </c>
    </row>
    <row r="415" spans="1:254" x14ac:dyDescent="0.25">
      <c r="A415">
        <f>IF(ISBLANK('Data Entry'!$A$415), "", 'Data Entry'!$A$415)</f>
      </c>
      <c r="B415">
        <f>IF(ISBLANK('Data Entry'!$B$415), "", 'Data Entry'!$B$415)</f>
      </c>
      <c r="C415">
        <f>IF(ISBLANK('Data Entry'!$C$415), "", 'Data Entry'!$C$415)</f>
      </c>
      <c r="D415">
        <f>IF(ISBLANK('Data Entry'!$D$415), "", 'Data Entry'!$D$415)</f>
      </c>
      <c r="E415">
        <f>IF(ISBLANK('Data Entry'!$E$415), "", 'Data Entry'!$E$415)</f>
      </c>
      <c r="F415">
        <f>IF(ISBLANK('Data Entry'!$F$415), "", 'Data Entry'!$F$415)</f>
      </c>
      <c r="G415">
        <f>IF(ISBLANK('Data Entry'!$G$415), "", 'Data Entry'!$G$415)</f>
      </c>
      <c r="H415">
        <f>IF(ISBLANK('Data Entry'!$H$415), "", 'Data Entry'!$H$415)</f>
      </c>
      <c r="I415">
        <f>IF(ISBLANK('Data Entry'!$I$415), "", 'Data Entry'!$I$415)</f>
      </c>
      <c r="J415">
        <f>IF(ISBLANK('Data Entry'!$J$415), "", 'Data Entry'!$J$415)</f>
      </c>
      <c r="K415">
        <f>IF(ISBLANK('Data Entry'!$K$415), "", 'Data Entry'!$K$415)</f>
      </c>
      <c r="L415">
        <f>IF(ISBLANK('Data Entry'!$L$415), "", 'Data Entry'!$L$415)</f>
      </c>
      <c r="M415">
        <f>IF(ISBLANK('Data Entry'!$M$415), "", 'Data Entry'!$M$415)</f>
      </c>
      <c r="N415">
        <f>IF(ISBLANK('Data Entry'!$N$415), "", 'Data Entry'!$N$415)</f>
      </c>
      <c r="O415">
        <f>IF(ISBLANK('Data Entry'!$O$415), "", 'Data Entry'!$O$415)</f>
      </c>
      <c r="P415">
        <f>IF(ISBLANK('Data Entry'!$P$415), "", 'Data Entry'!$P$415)</f>
      </c>
      <c r="Q415">
        <f>IF(ISBLANK('Data Entry'!$Q$415), "", 'Data Entry'!$Q$415)</f>
      </c>
      <c r="R415">
        <f>IF(ISBLANK('Data Entry'!$R$415), "", 'Data Entry'!$R$415)</f>
      </c>
      <c r="S415">
        <f>IF(ISBLANK('Data Entry'!$S$415), "", 'Data Entry'!$S$415)</f>
      </c>
      <c r="T415">
        <f>IF(ISBLANK('Data Entry'!$T$415), "", 'Data Entry'!$T$415)</f>
      </c>
      <c r="U415">
        <f>IF(ISBLANK('Data Entry'!$U$415), "", 'Data Entry'!$U$415)</f>
      </c>
      <c r="V415">
        <f>IF(ISBLANK('Data Entry'!$V$415), "", 'Data Entry'!$V$415)</f>
      </c>
      <c r="W415">
        <f>IF(ISBLANK('Data Entry'!$W$415), "", 'Data Entry'!$W$415)</f>
      </c>
      <c r="X415">
        <f>IF(ISBLANK('Data Entry'!$X$415), "", 'Data Entry'!$X$415)</f>
      </c>
      <c r="Y415">
        <f>IF(ISBLANK('Data Entry'!$Y$415), "", 'Data Entry'!$Y$415)</f>
      </c>
      <c r="Z415">
        <f>IF(ISBLANK('Data Entry'!$Z$415), "", 'Data Entry'!$Z$415)</f>
      </c>
      <c r="AA415">
        <f>IF(ISBLANK('Data Entry'!$[$415), "", 'Data Entry'!$[$415)</f>
      </c>
      <c r="AB415">
        <f>IF(ISBLANK('Data Entry'!$\$415), "", 'Data Entry'!$\$415)</f>
      </c>
      <c r="AC415">
        <f>IF(ISBLANK('Data Entry'!$]$415), "", 'Data Entry'!$]$415)</f>
      </c>
      <c r="AD415">
        <f>IF(ISBLANK('Data Entry'!$^$415), "", 'Data Entry'!$^$415)</f>
      </c>
      <c r="AE415">
        <f>IF(ISBLANK('Data Entry'!$_$415), "", 'Data Entry'!$_$415)</f>
      </c>
      <c r="AF415">
        <f>IF(ISBLANK('Data Entry'!$`$415), "", 'Data Entry'!$`$415)</f>
      </c>
      <c r="AG415">
        <f>IF(ISBLANK('Data Entry'!$a$415), "", 'Data Entry'!$a$415)</f>
      </c>
      <c r="AH415">
        <f>IF(ISBLANK('Data Entry'!$b$415), "", 'Data Entry'!$b$415)</f>
      </c>
      <c r="AI415">
        <f>IF(ISBLANK('Data Entry'!$c$415), "", 'Data Entry'!$c$415)</f>
      </c>
      <c r="AJ415">
        <f>IF(ISBLANK('Data Entry'!$d$415), "", 'Data Entry'!$d$415)</f>
      </c>
      <c r="AK415">
        <f>IF(ISBLANK('Data Entry'!$e$415), "", 'Data Entry'!$e$415)</f>
      </c>
      <c r="AL415">
        <f>IF(ISBLANK('Data Entry'!$f$415), "", 'Data Entry'!$f$415)</f>
      </c>
      <c r="AM415">
        <f>IF(ISBLANK('Data Entry'!$g$415), "", 'Data Entry'!$g$415)</f>
      </c>
      <c r="AN415">
        <f>IF(ISBLANK('Data Entry'!$h$415), "", 'Data Entry'!$h$415)</f>
      </c>
      <c r="AO415">
        <f>IF(ISBLANK('Data Entry'!$i$415), "", 'Data Entry'!$i$415)</f>
      </c>
      <c r="AP415">
        <f>IF(ISBLANK('Data Entry'!$j$415), "", 'Data Entry'!$j$415)</f>
      </c>
      <c r="AQ415">
        <f>IF(ISBLANK('Data Entry'!$k$415), "", 'Data Entry'!$k$415)</f>
      </c>
      <c r="AR415">
        <f>IF(ISBLANK('Data Entry'!$l$415), "", 'Data Entry'!$l$415)</f>
      </c>
      <c r="AS415">
        <f>IF(ISBLANK('Data Entry'!$m$415), "", 'Data Entry'!$m$415)</f>
      </c>
      <c r="AT415">
        <f>IF(ISBLANK('Data Entry'!$n$415), "", 'Data Entry'!$n$415)</f>
      </c>
      <c r="AU415">
        <f>IF(ISBLANK('Data Entry'!$o$415), "", 'Data Entry'!$o$415)</f>
      </c>
      <c r="AV415">
        <f>IF(ISBLANK('Data Entry'!$p$415), "", 'Data Entry'!$p$415)</f>
      </c>
      <c r="AW415">
        <f>IF(ISBLANK('Data Entry'!$q$415), "", 'Data Entry'!$q$415)</f>
      </c>
      <c r="AX415">
        <f>IF(ISBLANK('Data Entry'!$r$415), "", 'Data Entry'!$r$415)</f>
      </c>
      <c r="AY415">
        <f>IF(ISBLANK('Data Entry'!$s$415), "", 'Data Entry'!$s$415)</f>
      </c>
      <c r="AZ415">
        <f>IF(ISBLANK('Data Entry'!$t$415), "", 'Data Entry'!$t$415)</f>
      </c>
      <c r="BA415">
        <f>IF(ISBLANK('Data Entry'!$u$415), "", 'Data Entry'!$u$415)</f>
      </c>
      <c r="BB415">
        <f>IF(ISBLANK('Data Entry'!$v$415), "", 'Data Entry'!$v$415)</f>
      </c>
      <c r="BC415">
        <f>IF(ISBLANK('Data Entry'!$w$415), "", 'Data Entry'!$w$415)</f>
      </c>
      <c r="BD415">
        <f>IF(ISBLANK('Data Entry'!$x$415), "", 'Data Entry'!$x$415)</f>
      </c>
      <c r="BE415">
        <f>IF(ISBLANK('Data Entry'!$y$415), "", 'Data Entry'!$y$415)</f>
      </c>
      <c r="BF415">
        <f>IF(ISBLANK('Data Entry'!$z$415), "", 'Data Entry'!$z$415)</f>
      </c>
      <c r="BG415">
        <f>IF(ISBLANK('Data Entry'!${$415), "", 'Data Entry'!${$415)</f>
      </c>
      <c r="BH415">
        <f>IF(ISBLANK('Data Entry'!$|$415), "", 'Data Entry'!$|$415)</f>
      </c>
      <c r="BI415">
        <f>IF(ISBLANK('Data Entry'!$}$415), "", 'Data Entry'!$}$415)</f>
      </c>
      <c r="BJ415">
        <f>IF(ISBLANK('Data Entry'!$~$415), "", 'Data Entry'!$~$415)</f>
      </c>
      <c r="BK415">
        <f>IF(ISBLANK('Data Entry'!$$415), "", 'Data Entry'!$$415)</f>
      </c>
      <c r="BL415">
        <f>IF(ISBLANK('Data Entry'!$$415), "", 'Data Entry'!$$415)</f>
      </c>
      <c r="BM415">
        <f>IF(ISBLANK('Data Entry'!$$415), "", 'Data Entry'!$$415)</f>
      </c>
      <c r="BN415">
        <f>IF(ISBLANK('Data Entry'!$$415), "", 'Data Entry'!$$415)</f>
      </c>
      <c r="BO415">
        <f>IF(ISBLANK('Data Entry'!$$415), "", 'Data Entry'!$$415)</f>
      </c>
      <c r="BP415">
        <f>IF(ISBLANK('Data Entry'!$$415), "", 'Data Entry'!$$415)</f>
      </c>
      <c r="BQ415">
        <f>IF(ISBLANK('Data Entry'!$$415), "", 'Data Entry'!$$415)</f>
      </c>
      <c r="BR415">
        <f>IF(ISBLANK('Data Entry'!$$415), "", 'Data Entry'!$$415)</f>
      </c>
      <c r="BS415">
        <f>IF(ISBLANK('Data Entry'!$$415), "", 'Data Entry'!$$415)</f>
      </c>
      <c r="BT415">
        <f>IF(ISBLANK('Data Entry'!$$415), "", 'Data Entry'!$$415)</f>
      </c>
      <c r="BU415">
        <f>IF(ISBLANK('Data Entry'!$$415), "", 'Data Entry'!$$415)</f>
      </c>
      <c r="BV415">
        <f>IF(ISBLANK('Data Entry'!$$415), "", 'Data Entry'!$$415)</f>
      </c>
      <c r="BW415">
        <f>IF(ISBLANK('Data Entry'!$$415), "", 'Data Entry'!$$415)</f>
      </c>
      <c r="BX415">
        <f>IF(ISBLANK('Data Entry'!$$415), "", 'Data Entry'!$$415)</f>
      </c>
      <c r="BY415">
        <f>IF(ISBLANK('Data Entry'!$$415), "", 'Data Entry'!$$415)</f>
      </c>
      <c r="BZ415">
        <f>IF(ISBLANK('Data Entry'!$$415), "", 'Data Entry'!$$415)</f>
      </c>
      <c r="CA415">
        <f>IF(ISBLANK('Data Entry'!$$415), "", 'Data Entry'!$$415)</f>
      </c>
      <c r="CB415">
        <f>IF(ISBLANK('Data Entry'!$$415), "", 'Data Entry'!$$415)</f>
      </c>
      <c r="CC415">
        <f>IF(ISBLANK('Data Entry'!$$415), "", 'Data Entry'!$$415)</f>
      </c>
      <c r="CD415">
        <f>IF(ISBLANK('Data Entry'!$$415), "", 'Data Entry'!$$415)</f>
      </c>
      <c r="CE415">
        <f>IF(ISBLANK('Data Entry'!$$415), "", 'Data Entry'!$$415)</f>
      </c>
      <c r="CF415">
        <f>IF(ISBLANK('Data Entry'!$$415), "", 'Data Entry'!$$415)</f>
      </c>
      <c r="CG415">
        <f>IF(ISBLANK('Data Entry'!$$415), "", 'Data Entry'!$$415)</f>
      </c>
      <c r="CH415">
        <f>IF(ISBLANK('Data Entry'!$$415), "", 'Data Entry'!$$415)</f>
      </c>
      <c r="CI415">
        <f>IF(ISBLANK('Data Entry'!$$415), "", 'Data Entry'!$$415)</f>
      </c>
      <c r="CJ415">
        <f>IF(ISBLANK('Data Entry'!$$415), "", 'Data Entry'!$$415)</f>
      </c>
      <c r="CK415">
        <f>IF(ISBLANK('Data Entry'!$$415), "", 'Data Entry'!$$415)</f>
      </c>
      <c r="CL415">
        <f>IF(ISBLANK('Data Entry'!$$415), "", 'Data Entry'!$$415)</f>
      </c>
      <c r="CM415">
        <f>IF(ISBLANK('Data Entry'!$$415), "", 'Data Entry'!$$415)</f>
      </c>
      <c r="CN415">
        <f>IF(ISBLANK('Data Entry'!$$415), "", 'Data Entry'!$$415)</f>
      </c>
      <c r="CO415">
        <f>IF(ISBLANK('Data Entry'!$$415), "", 'Data Entry'!$$415)</f>
      </c>
      <c r="CP415">
        <f>IF(ISBLANK('Data Entry'!$$415), "", 'Data Entry'!$$415)</f>
      </c>
      <c r="CQ415">
        <f>IF(ISBLANK('Data Entry'!$$415), "", 'Data Entry'!$$415)</f>
      </c>
      <c r="CR415">
        <f>IF(ISBLANK('Data Entry'!$ $415), "", 'Data Entry'!$ $415)</f>
      </c>
      <c r="CS415">
        <f>IF(ISBLANK('Data Entry'!$¡$415), "", 'Data Entry'!$¡$415)</f>
      </c>
      <c r="CT415">
        <f>IF(ISBLANK('Data Entry'!$¢$415), "", 'Data Entry'!$¢$415)</f>
      </c>
      <c r="CU415">
        <f>IF(ISBLANK('Data Entry'!$£$415), "", 'Data Entry'!$£$415)</f>
      </c>
      <c r="CV415">
        <f>IF(ISBLANK('Data Entry'!$¤$415), "", 'Data Entry'!$¤$415)</f>
      </c>
      <c r="CW415">
        <f>IF(ISBLANK('Data Entry'!$¥$415), "", 'Data Entry'!$¥$415)</f>
      </c>
      <c r="CX415">
        <f>IF(ISBLANK('Data Entry'!$¦$415), "", 'Data Entry'!$¦$415)</f>
      </c>
      <c r="CY415">
        <f>IF(ISBLANK('Data Entry'!$§$415), "", 'Data Entry'!$§$415)</f>
      </c>
      <c r="CZ415">
        <f>IF(ISBLANK('Data Entry'!$¨$415), "", 'Data Entry'!$¨$415)</f>
      </c>
      <c r="DA415">
        <f>IF(ISBLANK('Data Entry'!$©$415), "", 'Data Entry'!$©$415)</f>
      </c>
      <c r="DB415">
        <f>IF(ISBLANK('Data Entry'!$ª$415), "", 'Data Entry'!$ª$415)</f>
      </c>
      <c r="DC415">
        <f>IF(ISBLANK('Data Entry'!$«$415), "", 'Data Entry'!$«$415)</f>
      </c>
      <c r="DD415">
        <f>IF(ISBLANK('Data Entry'!$¬$415), "", 'Data Entry'!$¬$415)</f>
      </c>
      <c r="DE415">
        <f>IF(ISBLANK('Data Entry'!$­$415), "", 'Data Entry'!$­$415)</f>
      </c>
      <c r="DF415">
        <f>IF(ISBLANK('Data Entry'!$®$415), "", 'Data Entry'!$®$415)</f>
      </c>
      <c r="DG415">
        <f>IF(ISBLANK('Data Entry'!$¯$415), "", 'Data Entry'!$¯$415)</f>
      </c>
      <c r="DH415">
        <f>IF(ISBLANK('Data Entry'!$°$415), "", 'Data Entry'!$°$415)</f>
      </c>
      <c r="DI415">
        <f>IF(ISBLANK('Data Entry'!$±$415), "", 'Data Entry'!$±$415)</f>
      </c>
      <c r="DJ415">
        <f>IF(ISBLANK('Data Entry'!$²$415), "", 'Data Entry'!$²$415)</f>
      </c>
      <c r="DK415">
        <f>IF(ISBLANK('Data Entry'!$³$415), "", 'Data Entry'!$³$415)</f>
      </c>
      <c r="DL415">
        <f>IF(ISBLANK('Data Entry'!$´$415), "", 'Data Entry'!$´$415)</f>
      </c>
      <c r="DM415">
        <f>IF(ISBLANK('Data Entry'!$µ$415), "", 'Data Entry'!$µ$415)</f>
      </c>
      <c r="DN415">
        <f>IF(ISBLANK('Data Entry'!$¶$415), "", 'Data Entry'!$¶$415)</f>
      </c>
      <c r="DO415">
        <f>IF(ISBLANK('Data Entry'!$·$415), "", 'Data Entry'!$·$415)</f>
      </c>
      <c r="DP415">
        <f>IF(ISBLANK('Data Entry'!$¸$415), "", 'Data Entry'!$¸$415)</f>
      </c>
      <c r="DQ415">
        <f>IF(ISBLANK('Data Entry'!$¹$415), "", 'Data Entry'!$¹$415)</f>
      </c>
      <c r="DR415">
        <f>IF(ISBLANK('Data Entry'!$º$415), "", 'Data Entry'!$º$415)</f>
      </c>
      <c r="DS415">
        <f>IF(ISBLANK('Data Entry'!$»$415), "", 'Data Entry'!$»$415)</f>
      </c>
      <c r="DT415">
        <f>IF(ISBLANK('Data Entry'!$¼$415), "", 'Data Entry'!$¼$415)</f>
      </c>
      <c r="DU415">
        <f>IF(ISBLANK('Data Entry'!$½$415), "", 'Data Entry'!$½$415)</f>
      </c>
      <c r="DV415">
        <f>IF(ISBLANK('Data Entry'!$¾$415), "", 'Data Entry'!$¾$415)</f>
      </c>
      <c r="DW415">
        <f>IF(ISBLANK('Data Entry'!$¿$415), "", 'Data Entry'!$¿$415)</f>
      </c>
      <c r="DX415">
        <f>IF(ISBLANK('Data Entry'!$À$415), "", 'Data Entry'!$À$415)</f>
      </c>
      <c r="DY415">
        <f>IF(ISBLANK('Data Entry'!$Á$415), "", 'Data Entry'!$Á$415)</f>
      </c>
      <c r="DZ415">
        <f>IF(ISBLANK('Data Entry'!$Â$415), "", 'Data Entry'!$Â$415)</f>
      </c>
      <c r="EA415">
        <f>IF(ISBLANK('Data Entry'!$Ã$415), "", 'Data Entry'!$Ã$415)</f>
      </c>
      <c r="EB415">
        <f>IF(ISBLANK('Data Entry'!$Ä$415), "", 'Data Entry'!$Ä$415)</f>
      </c>
      <c r="EC415">
        <f>IF(ISBLANK('Data Entry'!$Å$415), "", 'Data Entry'!$Å$415)</f>
      </c>
      <c r="ED415">
        <f>IF(ISBLANK('Data Entry'!$Æ$415), "", 'Data Entry'!$Æ$415)</f>
      </c>
      <c r="EE415">
        <f>IF(ISBLANK('Data Entry'!$Ç$415), "", 'Data Entry'!$Ç$415)</f>
      </c>
      <c r="EF415">
        <f>IF(ISBLANK('Data Entry'!$È$415), "", 'Data Entry'!$È$415)</f>
      </c>
      <c r="EG415">
        <f>IF(ISBLANK('Data Entry'!$É$415), "", 'Data Entry'!$É$415)</f>
      </c>
      <c r="EH415">
        <f>IF(ISBLANK('Data Entry'!$Ê$415), "", 'Data Entry'!$Ê$415)</f>
      </c>
      <c r="EI415">
        <f>IF(ISBLANK('Data Entry'!$Ë$415), "", 'Data Entry'!$Ë$415)</f>
      </c>
      <c r="EJ415">
        <f>IF(ISBLANK('Data Entry'!$Ì$415), "", 'Data Entry'!$Ì$415)</f>
      </c>
      <c r="EK415">
        <f>IF(ISBLANK('Data Entry'!$Í$415), "", 'Data Entry'!$Í$415)</f>
      </c>
      <c r="EL415">
        <f>IF(ISBLANK('Data Entry'!$Î$415), "", 'Data Entry'!$Î$415)</f>
      </c>
      <c r="EM415">
        <f>IF(ISBLANK('Data Entry'!$Ï$415), "", 'Data Entry'!$Ï$415)</f>
      </c>
      <c r="EN415">
        <f>IF(ISBLANK('Data Entry'!$Ð$415), "", 'Data Entry'!$Ð$415)</f>
      </c>
      <c r="EO415">
        <f>IF(ISBLANK('Data Entry'!$Ñ$415), "", 'Data Entry'!$Ñ$415)</f>
      </c>
      <c r="EP415">
        <f>IF(ISBLANK('Data Entry'!$Ò$415), "", 'Data Entry'!$Ò$415)</f>
      </c>
      <c r="EQ415">
        <f>IF(ISBLANK('Data Entry'!$Ó$415), "", 'Data Entry'!$Ó$415)</f>
      </c>
      <c r="ER415">
        <f>IF(ISBLANK('Data Entry'!$Ô$415), "", 'Data Entry'!$Ô$415)</f>
      </c>
      <c r="ES415">
        <f>IF(ISBLANK('Data Entry'!$Õ$415), "", 'Data Entry'!$Õ$415)</f>
      </c>
      <c r="ET415">
        <f>IF(ISBLANK('Data Entry'!$Ö$415), "", 'Data Entry'!$Ö$415)</f>
      </c>
      <c r="EU415">
        <f>IF(ISBLANK('Data Entry'!$×$415), "", 'Data Entry'!$×$415)</f>
      </c>
      <c r="EV415">
        <f>IF(ISBLANK('Data Entry'!$Ø$415), "", 'Data Entry'!$Ø$415)</f>
      </c>
      <c r="EW415">
        <f>IF(ISBLANK('Data Entry'!$Ù$415), "", 'Data Entry'!$Ù$415)</f>
      </c>
      <c r="EX415">
        <f>IF(ISBLANK('Data Entry'!$Ú$415), "", 'Data Entry'!$Ú$415)</f>
      </c>
      <c r="EY415">
        <f>IF(ISBLANK('Data Entry'!$Û$415), "", 'Data Entry'!$Û$415)</f>
      </c>
      <c r="EZ415">
        <f>IF(ISBLANK('Data Entry'!$Ü$415), "", 'Data Entry'!$Ü$415)</f>
      </c>
      <c r="FA415">
        <f>IF(ISBLANK('Data Entry'!$Ý$415), "", 'Data Entry'!$Ý$415)</f>
      </c>
      <c r="FB415">
        <f>IF(ISBLANK('Data Entry'!$Þ$415), "", 'Data Entry'!$Þ$415)</f>
      </c>
      <c r="FC415">
        <f>IF(ISBLANK('Data Entry'!$ß$415), "", 'Data Entry'!$ß$415)</f>
      </c>
      <c r="FD415">
        <f>IF(ISBLANK('Data Entry'!$à$415), "", 'Data Entry'!$à$415)</f>
      </c>
      <c r="FE415">
        <f>IF(ISBLANK('Data Entry'!$á$415), "", 'Data Entry'!$á$415)</f>
      </c>
      <c r="FF415">
        <f>IF(ISBLANK('Data Entry'!$â$415), "", 'Data Entry'!$â$415)</f>
      </c>
      <c r="FG415">
        <f>IF(ISBLANK('Data Entry'!$ã$415), "", 'Data Entry'!$ã$415)</f>
      </c>
      <c r="FH415">
        <f>IF(ISBLANK('Data Entry'!$ä$415), "", 'Data Entry'!$ä$415)</f>
      </c>
      <c r="FI415">
        <f>IF(ISBLANK('Data Entry'!$å$415), "", 'Data Entry'!$å$415)</f>
      </c>
      <c r="FJ415">
        <f>IF(ISBLANK('Data Entry'!$æ$415), "", 'Data Entry'!$æ$415)</f>
      </c>
      <c r="FK415">
        <f>IF(ISBLANK('Data Entry'!$ç$415), "", 'Data Entry'!$ç$415)</f>
      </c>
      <c r="FL415">
        <f>IF(ISBLANK('Data Entry'!$è$415), "", 'Data Entry'!$è$415)</f>
      </c>
      <c r="FM415">
        <f>IF(ISBLANK('Data Entry'!$é$415), "", 'Data Entry'!$é$415)</f>
      </c>
      <c r="FN415">
        <f>IF(ISBLANK('Data Entry'!$ê$415), "", 'Data Entry'!$ê$415)</f>
      </c>
      <c r="FO415">
        <f>IF(ISBLANK('Data Entry'!$ë$415), "", 'Data Entry'!$ë$415)</f>
      </c>
      <c r="FP415">
        <f>IF(ISBLANK('Data Entry'!$ì$415), "", 'Data Entry'!$ì$415)</f>
      </c>
      <c r="FQ415">
        <f>IF(ISBLANK('Data Entry'!$í$415), "", 'Data Entry'!$í$415)</f>
      </c>
      <c r="FR415">
        <f>IF(ISBLANK('Data Entry'!$î$415), "", 'Data Entry'!$î$415)</f>
      </c>
      <c r="FS415">
        <f>IF(ISBLANK('Data Entry'!$ï$415), "", 'Data Entry'!$ï$415)</f>
      </c>
      <c r="FT415">
        <f>IF(ISBLANK('Data Entry'!$ð$415), "", 'Data Entry'!$ð$415)</f>
      </c>
      <c r="FU415">
        <f>IF(ISBLANK('Data Entry'!$ñ$415), "", 'Data Entry'!$ñ$415)</f>
      </c>
      <c r="FV415">
        <f>IF(ISBLANK('Data Entry'!$ò$415), "", 'Data Entry'!$ò$415)</f>
      </c>
      <c r="FW415">
        <f>IF(ISBLANK('Data Entry'!$ó$415), "", 'Data Entry'!$ó$415)</f>
      </c>
      <c r="FX415">
        <f>IF(ISBLANK('Data Entry'!$ô$415), "", 'Data Entry'!$ô$415)</f>
      </c>
      <c r="FY415">
        <f>IF(ISBLANK('Data Entry'!$õ$415), "", 'Data Entry'!$õ$415)</f>
      </c>
      <c r="FZ415">
        <f>IF(ISBLANK('Data Entry'!$ö$415), "", 'Data Entry'!$ö$415)</f>
      </c>
      <c r="GA415">
        <f>IF(ISBLANK('Data Entry'!$÷$415), "", 'Data Entry'!$÷$415)</f>
      </c>
      <c r="GB415">
        <f>IF(ISBLANK('Data Entry'!$ø$415), "", 'Data Entry'!$ø$415)</f>
      </c>
      <c r="GC415">
        <f>IF(ISBLANK('Data Entry'!$ù$415), "", 'Data Entry'!$ù$415)</f>
      </c>
      <c r="GD415">
        <f>IF(ISBLANK('Data Entry'!$ú$415), "", 'Data Entry'!$ú$415)</f>
      </c>
      <c r="GE415">
        <f>IF(ISBLANK('Data Entry'!$û$415), "", 'Data Entry'!$û$415)</f>
      </c>
      <c r="GF415">
        <f>IF(ISBLANK('Data Entry'!$ü$415), "", 'Data Entry'!$ü$415)</f>
      </c>
      <c r="GG415">
        <f>IF(ISBLANK('Data Entry'!$ý$415), "", 'Data Entry'!$ý$415)</f>
      </c>
      <c r="GH415">
        <f>IF(ISBLANK('Data Entry'!$þ$415), "", 'Data Entry'!$þ$415)</f>
      </c>
      <c r="GI415">
        <f>IF(ISBLANK('Data Entry'!$ÿ$415), "", 'Data Entry'!$ÿ$415)</f>
      </c>
      <c r="GJ415">
        <f>IF(ISBLANK('Data Entry'!$Ā$415), "", 'Data Entry'!$Ā$415)</f>
      </c>
      <c r="GK415">
        <f>IF(ISBLANK('Data Entry'!$ā$415), "", 'Data Entry'!$ā$415)</f>
      </c>
      <c r="GL415">
        <f>IF(ISBLANK('Data Entry'!$Ă$415), "", 'Data Entry'!$Ă$415)</f>
      </c>
      <c r="GM415">
        <f>IF(ISBLANK('Data Entry'!$ă$415), "", 'Data Entry'!$ă$415)</f>
      </c>
      <c r="GN415">
        <f>IF(ISBLANK('Data Entry'!$Ą$415), "", 'Data Entry'!$Ą$415)</f>
      </c>
      <c r="GO415">
        <f>IF(ISBLANK('Data Entry'!$ą$415), "", 'Data Entry'!$ą$415)</f>
      </c>
      <c r="GP415">
        <f>IF(ISBLANK('Data Entry'!$Ć$415), "", 'Data Entry'!$Ć$415)</f>
      </c>
      <c r="GQ415">
        <f>IF(ISBLANK('Data Entry'!$ć$415), "", 'Data Entry'!$ć$415)</f>
      </c>
      <c r="GR415">
        <f>IF(ISBLANK('Data Entry'!$Ĉ$415), "", 'Data Entry'!$Ĉ$415)</f>
      </c>
      <c r="GS415">
        <f>IF(ISBLANK('Data Entry'!$ĉ$415), "", 'Data Entry'!$ĉ$415)</f>
      </c>
      <c r="GT415">
        <f>IF(ISBLANK('Data Entry'!$Ċ$415), "", 'Data Entry'!$Ċ$415)</f>
      </c>
      <c r="GU415">
        <f>IF(ISBLANK('Data Entry'!$ċ$415), "", 'Data Entry'!$ċ$415)</f>
      </c>
      <c r="GV415">
        <f>IF(ISBLANK('Data Entry'!$Č$415), "", 'Data Entry'!$Č$415)</f>
      </c>
      <c r="GW415">
        <f>IF(ISBLANK('Data Entry'!$č$415), "", 'Data Entry'!$č$415)</f>
      </c>
      <c r="GX415">
        <f>IF(ISBLANK('Data Entry'!$Ď$415), "", 'Data Entry'!$Ď$415)</f>
      </c>
      <c r="GY415">
        <f>IF(ISBLANK('Data Entry'!$ď$415), "", 'Data Entry'!$ď$415)</f>
      </c>
      <c r="GZ415">
        <f>IF(ISBLANK('Data Entry'!$Đ$415), "", 'Data Entry'!$Đ$415)</f>
      </c>
      <c r="HA415">
        <f>IF(ISBLANK('Data Entry'!$đ$415), "", 'Data Entry'!$đ$415)</f>
      </c>
      <c r="HB415">
        <f>IF(ISBLANK('Data Entry'!$Ē$415), "", 'Data Entry'!$Ē$415)</f>
      </c>
      <c r="HC415">
        <f>IF(ISBLANK('Data Entry'!$ē$415), "", 'Data Entry'!$ē$415)</f>
      </c>
      <c r="HD415">
        <f>IF(ISBLANK('Data Entry'!$Ĕ$415), "", 'Data Entry'!$Ĕ$415)</f>
      </c>
      <c r="HE415">
        <f>IF(ISBLANK('Data Entry'!$ĕ$415), "", 'Data Entry'!$ĕ$415)</f>
      </c>
      <c r="HF415">
        <f>IF(ISBLANK('Data Entry'!$Ė$415), "", 'Data Entry'!$Ė$415)</f>
      </c>
      <c r="HG415">
        <f>IF(ISBLANK('Data Entry'!$ė$415), "", 'Data Entry'!$ė$415)</f>
      </c>
      <c r="HH415">
        <f>IF(ISBLANK('Data Entry'!$Ę$415), "", 'Data Entry'!$Ę$415)</f>
      </c>
      <c r="HI415">
        <f>IF(ISBLANK('Data Entry'!$ę$415), "", 'Data Entry'!$ę$415)</f>
      </c>
      <c r="HJ415">
        <f>IF(ISBLANK('Data Entry'!$Ě$415), "", 'Data Entry'!$Ě$415)</f>
      </c>
      <c r="HK415">
        <f>IF(ISBLANK('Data Entry'!$ě$415), "", 'Data Entry'!$ě$415)</f>
      </c>
      <c r="HL415">
        <f>IF(ISBLANK('Data Entry'!$Ĝ$415), "", 'Data Entry'!$Ĝ$415)</f>
      </c>
      <c r="HM415">
        <f>IF(ISBLANK('Data Entry'!$ĝ$415), "", 'Data Entry'!$ĝ$415)</f>
      </c>
      <c r="HN415">
        <f>IF(ISBLANK('Data Entry'!$Ğ$415), "", 'Data Entry'!$Ğ$415)</f>
      </c>
      <c r="HO415">
        <f>IF(ISBLANK('Data Entry'!$ğ$415), "", 'Data Entry'!$ğ$415)</f>
      </c>
      <c r="HP415">
        <f>IF(ISBLANK('Data Entry'!$Ġ$415), "", 'Data Entry'!$Ġ$415)</f>
      </c>
      <c r="HQ415">
        <f>IF(ISBLANK('Data Entry'!$ġ$415), "", 'Data Entry'!$ġ$415)</f>
      </c>
      <c r="HR415">
        <f>IF(ISBLANK('Data Entry'!$Ģ$415), "", 'Data Entry'!$Ģ$415)</f>
      </c>
      <c r="HS415">
        <f>IF(ISBLANK('Data Entry'!$ģ$415), "", 'Data Entry'!$ģ$415)</f>
      </c>
      <c r="HT415">
        <f>IF(ISBLANK('Data Entry'!$Ĥ$415), "", 'Data Entry'!$Ĥ$415)</f>
      </c>
      <c r="HU415">
        <f>IF(ISBLANK('Data Entry'!$ĥ$415), "", 'Data Entry'!$ĥ$415)</f>
      </c>
      <c r="HV415">
        <f>IF(ISBLANK('Data Entry'!$Ħ$415), "", 'Data Entry'!$Ħ$415)</f>
      </c>
      <c r="HW415">
        <f>IF(ISBLANK('Data Entry'!$ħ$415), "", 'Data Entry'!$ħ$415)</f>
      </c>
      <c r="HX415">
        <f>IF(ISBLANK('Data Entry'!$Ĩ$415), "", 'Data Entry'!$Ĩ$415)</f>
      </c>
      <c r="HY415">
        <f>IF(ISBLANK('Data Entry'!$ĩ$415), "", 'Data Entry'!$ĩ$415)</f>
      </c>
      <c r="HZ415">
        <f>IF(ISBLANK('Data Entry'!$Ī$415), "", 'Data Entry'!$Ī$415)</f>
      </c>
      <c r="IA415">
        <f>IF(ISBLANK('Data Entry'!$ī$415), "", 'Data Entry'!$ī$415)</f>
      </c>
      <c r="IB415">
        <f>IF(ISBLANK('Data Entry'!$Ĭ$415), "", 'Data Entry'!$Ĭ$415)</f>
      </c>
      <c r="IC415">
        <f>IF(ISBLANK('Data Entry'!$ĭ$415), "", 'Data Entry'!$ĭ$415)</f>
      </c>
      <c r="ID415">
        <f>IF(ISBLANK('Data Entry'!$Į$415), "", 'Data Entry'!$Į$415)</f>
      </c>
      <c r="IE415">
        <f>IF(ISBLANK('Data Entry'!$į$415), "", 'Data Entry'!$į$415)</f>
      </c>
      <c r="IF415">
        <f>IF(ISBLANK('Data Entry'!$İ$415), "", 'Data Entry'!$İ$415)</f>
      </c>
      <c r="IG415">
        <f>IF(ISBLANK('Data Entry'!$ı$415), "", 'Data Entry'!$ı$415)</f>
      </c>
      <c r="IH415">
        <f>IF(ISBLANK('Data Entry'!$Ĳ$415), "", 'Data Entry'!$Ĳ$415)</f>
      </c>
      <c r="II415">
        <f>IF(ISBLANK('Data Entry'!$ĳ$415), "", 'Data Entry'!$ĳ$415)</f>
      </c>
      <c r="IJ415">
        <f>IF(ISBLANK('Data Entry'!$Ĵ$415), "", 'Data Entry'!$Ĵ$415)</f>
      </c>
      <c r="IK415">
        <f>IF(ISBLANK('Data Entry'!$ĵ$415), "", 'Data Entry'!$ĵ$415)</f>
      </c>
      <c r="IL415">
        <f>IF(ISBLANK('Data Entry'!$Ķ$415), "", 'Data Entry'!$Ķ$415)</f>
      </c>
      <c r="IM415">
        <f>IF(ISBLANK('Data Entry'!$ķ$415), "", 'Data Entry'!$ķ$415)</f>
      </c>
      <c r="IN415">
        <f>IF(ISBLANK('Data Entry'!$ĸ$415), "", 'Data Entry'!$ĸ$415)</f>
      </c>
      <c r="IO415">
        <f>IF(ISBLANK('Data Entry'!$Ĺ$415), "", 'Data Entry'!$Ĺ$415)</f>
      </c>
      <c r="IP415">
        <f>IF(ISBLANK('Data Entry'!$ĺ$415), "", 'Data Entry'!$ĺ$415)</f>
      </c>
      <c r="IQ415">
        <f>IF(ISBLANK('Data Entry'!$Ļ$415), "", 'Data Entry'!$Ļ$415)</f>
      </c>
      <c r="IR415">
        <f>IF(ISBLANK('Data Entry'!$ļ$415), "", 'Data Entry'!$ļ$415)</f>
      </c>
      <c r="IS415">
        <f>IF(ISBLANK('Data Entry'!$Ľ$415), "", 'Data Entry'!$Ľ$415)</f>
      </c>
      <c r="IT415">
        <f>IF(ISBLANK('Data Entry'!$ľ$415), "", 'Data Entry'!$ľ$415)</f>
      </c>
    </row>
    <row r="416" spans="1:254" x14ac:dyDescent="0.25">
      <c r="A416">
        <f>IF(ISBLANK('Data Entry'!$A$416), "", 'Data Entry'!$A$416)</f>
      </c>
      <c r="B416">
        <f>IF(ISBLANK('Data Entry'!$B$416), "", 'Data Entry'!$B$416)</f>
      </c>
      <c r="C416">
        <f>IF(ISBLANK('Data Entry'!$C$416), "", 'Data Entry'!$C$416)</f>
      </c>
      <c r="D416">
        <f>IF(ISBLANK('Data Entry'!$D$416), "", 'Data Entry'!$D$416)</f>
      </c>
      <c r="E416">
        <f>IF(ISBLANK('Data Entry'!$E$416), "", 'Data Entry'!$E$416)</f>
      </c>
      <c r="F416">
        <f>IF(ISBLANK('Data Entry'!$F$416), "", 'Data Entry'!$F$416)</f>
      </c>
      <c r="G416">
        <f>IF(ISBLANK('Data Entry'!$G$416), "", 'Data Entry'!$G$416)</f>
      </c>
      <c r="H416">
        <f>IF(ISBLANK('Data Entry'!$H$416), "", 'Data Entry'!$H$416)</f>
      </c>
      <c r="I416">
        <f>IF(ISBLANK('Data Entry'!$I$416), "", 'Data Entry'!$I$416)</f>
      </c>
      <c r="J416">
        <f>IF(ISBLANK('Data Entry'!$J$416), "", 'Data Entry'!$J$416)</f>
      </c>
      <c r="K416">
        <f>IF(ISBLANK('Data Entry'!$K$416), "", 'Data Entry'!$K$416)</f>
      </c>
      <c r="L416">
        <f>IF(ISBLANK('Data Entry'!$L$416), "", 'Data Entry'!$L$416)</f>
      </c>
      <c r="M416">
        <f>IF(ISBLANK('Data Entry'!$M$416), "", 'Data Entry'!$M$416)</f>
      </c>
      <c r="N416">
        <f>IF(ISBLANK('Data Entry'!$N$416), "", 'Data Entry'!$N$416)</f>
      </c>
      <c r="O416">
        <f>IF(ISBLANK('Data Entry'!$O$416), "", 'Data Entry'!$O$416)</f>
      </c>
      <c r="P416">
        <f>IF(ISBLANK('Data Entry'!$P$416), "", 'Data Entry'!$P$416)</f>
      </c>
      <c r="Q416">
        <f>IF(ISBLANK('Data Entry'!$Q$416), "", 'Data Entry'!$Q$416)</f>
      </c>
      <c r="R416">
        <f>IF(ISBLANK('Data Entry'!$R$416), "", 'Data Entry'!$R$416)</f>
      </c>
      <c r="S416">
        <f>IF(ISBLANK('Data Entry'!$S$416), "", 'Data Entry'!$S$416)</f>
      </c>
      <c r="T416">
        <f>IF(ISBLANK('Data Entry'!$T$416), "", 'Data Entry'!$T$416)</f>
      </c>
      <c r="U416">
        <f>IF(ISBLANK('Data Entry'!$U$416), "", 'Data Entry'!$U$416)</f>
      </c>
      <c r="V416">
        <f>IF(ISBLANK('Data Entry'!$V$416), "", 'Data Entry'!$V$416)</f>
      </c>
      <c r="W416">
        <f>IF(ISBLANK('Data Entry'!$W$416), "", 'Data Entry'!$W$416)</f>
      </c>
      <c r="X416">
        <f>IF(ISBLANK('Data Entry'!$X$416), "", 'Data Entry'!$X$416)</f>
      </c>
      <c r="Y416">
        <f>IF(ISBLANK('Data Entry'!$Y$416), "", 'Data Entry'!$Y$416)</f>
      </c>
      <c r="Z416">
        <f>IF(ISBLANK('Data Entry'!$Z$416), "", 'Data Entry'!$Z$416)</f>
      </c>
      <c r="AA416">
        <f>IF(ISBLANK('Data Entry'!$[$416), "", 'Data Entry'!$[$416)</f>
      </c>
      <c r="AB416">
        <f>IF(ISBLANK('Data Entry'!$\$416), "", 'Data Entry'!$\$416)</f>
      </c>
      <c r="AC416">
        <f>IF(ISBLANK('Data Entry'!$]$416), "", 'Data Entry'!$]$416)</f>
      </c>
      <c r="AD416">
        <f>IF(ISBLANK('Data Entry'!$^$416), "", 'Data Entry'!$^$416)</f>
      </c>
      <c r="AE416">
        <f>IF(ISBLANK('Data Entry'!$_$416), "", 'Data Entry'!$_$416)</f>
      </c>
      <c r="AF416">
        <f>IF(ISBLANK('Data Entry'!$`$416), "", 'Data Entry'!$`$416)</f>
      </c>
      <c r="AG416">
        <f>IF(ISBLANK('Data Entry'!$a$416), "", 'Data Entry'!$a$416)</f>
      </c>
      <c r="AH416">
        <f>IF(ISBLANK('Data Entry'!$b$416), "", 'Data Entry'!$b$416)</f>
      </c>
      <c r="AI416">
        <f>IF(ISBLANK('Data Entry'!$c$416), "", 'Data Entry'!$c$416)</f>
      </c>
      <c r="AJ416">
        <f>IF(ISBLANK('Data Entry'!$d$416), "", 'Data Entry'!$d$416)</f>
      </c>
      <c r="AK416">
        <f>IF(ISBLANK('Data Entry'!$e$416), "", 'Data Entry'!$e$416)</f>
      </c>
      <c r="AL416">
        <f>IF(ISBLANK('Data Entry'!$f$416), "", 'Data Entry'!$f$416)</f>
      </c>
      <c r="AM416">
        <f>IF(ISBLANK('Data Entry'!$g$416), "", 'Data Entry'!$g$416)</f>
      </c>
      <c r="AN416">
        <f>IF(ISBLANK('Data Entry'!$h$416), "", 'Data Entry'!$h$416)</f>
      </c>
      <c r="AO416">
        <f>IF(ISBLANK('Data Entry'!$i$416), "", 'Data Entry'!$i$416)</f>
      </c>
      <c r="AP416">
        <f>IF(ISBLANK('Data Entry'!$j$416), "", 'Data Entry'!$j$416)</f>
      </c>
      <c r="AQ416">
        <f>IF(ISBLANK('Data Entry'!$k$416), "", 'Data Entry'!$k$416)</f>
      </c>
      <c r="AR416">
        <f>IF(ISBLANK('Data Entry'!$l$416), "", 'Data Entry'!$l$416)</f>
      </c>
      <c r="AS416">
        <f>IF(ISBLANK('Data Entry'!$m$416), "", 'Data Entry'!$m$416)</f>
      </c>
      <c r="AT416">
        <f>IF(ISBLANK('Data Entry'!$n$416), "", 'Data Entry'!$n$416)</f>
      </c>
      <c r="AU416">
        <f>IF(ISBLANK('Data Entry'!$o$416), "", 'Data Entry'!$o$416)</f>
      </c>
      <c r="AV416">
        <f>IF(ISBLANK('Data Entry'!$p$416), "", 'Data Entry'!$p$416)</f>
      </c>
      <c r="AW416">
        <f>IF(ISBLANK('Data Entry'!$q$416), "", 'Data Entry'!$q$416)</f>
      </c>
      <c r="AX416">
        <f>IF(ISBLANK('Data Entry'!$r$416), "", 'Data Entry'!$r$416)</f>
      </c>
      <c r="AY416">
        <f>IF(ISBLANK('Data Entry'!$s$416), "", 'Data Entry'!$s$416)</f>
      </c>
      <c r="AZ416">
        <f>IF(ISBLANK('Data Entry'!$t$416), "", 'Data Entry'!$t$416)</f>
      </c>
      <c r="BA416">
        <f>IF(ISBLANK('Data Entry'!$u$416), "", 'Data Entry'!$u$416)</f>
      </c>
      <c r="BB416">
        <f>IF(ISBLANK('Data Entry'!$v$416), "", 'Data Entry'!$v$416)</f>
      </c>
      <c r="BC416">
        <f>IF(ISBLANK('Data Entry'!$w$416), "", 'Data Entry'!$w$416)</f>
      </c>
      <c r="BD416">
        <f>IF(ISBLANK('Data Entry'!$x$416), "", 'Data Entry'!$x$416)</f>
      </c>
      <c r="BE416">
        <f>IF(ISBLANK('Data Entry'!$y$416), "", 'Data Entry'!$y$416)</f>
      </c>
      <c r="BF416">
        <f>IF(ISBLANK('Data Entry'!$z$416), "", 'Data Entry'!$z$416)</f>
      </c>
      <c r="BG416">
        <f>IF(ISBLANK('Data Entry'!${$416), "", 'Data Entry'!${$416)</f>
      </c>
      <c r="BH416">
        <f>IF(ISBLANK('Data Entry'!$|$416), "", 'Data Entry'!$|$416)</f>
      </c>
      <c r="BI416">
        <f>IF(ISBLANK('Data Entry'!$}$416), "", 'Data Entry'!$}$416)</f>
      </c>
      <c r="BJ416">
        <f>IF(ISBLANK('Data Entry'!$~$416), "", 'Data Entry'!$~$416)</f>
      </c>
      <c r="BK416">
        <f>IF(ISBLANK('Data Entry'!$$416), "", 'Data Entry'!$$416)</f>
      </c>
      <c r="BL416">
        <f>IF(ISBLANK('Data Entry'!$$416), "", 'Data Entry'!$$416)</f>
      </c>
      <c r="BM416">
        <f>IF(ISBLANK('Data Entry'!$$416), "", 'Data Entry'!$$416)</f>
      </c>
      <c r="BN416">
        <f>IF(ISBLANK('Data Entry'!$$416), "", 'Data Entry'!$$416)</f>
      </c>
      <c r="BO416">
        <f>IF(ISBLANK('Data Entry'!$$416), "", 'Data Entry'!$$416)</f>
      </c>
      <c r="BP416">
        <f>IF(ISBLANK('Data Entry'!$$416), "", 'Data Entry'!$$416)</f>
      </c>
      <c r="BQ416">
        <f>IF(ISBLANK('Data Entry'!$$416), "", 'Data Entry'!$$416)</f>
      </c>
      <c r="BR416">
        <f>IF(ISBLANK('Data Entry'!$$416), "", 'Data Entry'!$$416)</f>
      </c>
      <c r="BS416">
        <f>IF(ISBLANK('Data Entry'!$$416), "", 'Data Entry'!$$416)</f>
      </c>
      <c r="BT416">
        <f>IF(ISBLANK('Data Entry'!$$416), "", 'Data Entry'!$$416)</f>
      </c>
      <c r="BU416">
        <f>IF(ISBLANK('Data Entry'!$$416), "", 'Data Entry'!$$416)</f>
      </c>
      <c r="BV416">
        <f>IF(ISBLANK('Data Entry'!$$416), "", 'Data Entry'!$$416)</f>
      </c>
      <c r="BW416">
        <f>IF(ISBLANK('Data Entry'!$$416), "", 'Data Entry'!$$416)</f>
      </c>
      <c r="BX416">
        <f>IF(ISBLANK('Data Entry'!$$416), "", 'Data Entry'!$$416)</f>
      </c>
      <c r="BY416">
        <f>IF(ISBLANK('Data Entry'!$$416), "", 'Data Entry'!$$416)</f>
      </c>
      <c r="BZ416">
        <f>IF(ISBLANK('Data Entry'!$$416), "", 'Data Entry'!$$416)</f>
      </c>
      <c r="CA416">
        <f>IF(ISBLANK('Data Entry'!$$416), "", 'Data Entry'!$$416)</f>
      </c>
      <c r="CB416">
        <f>IF(ISBLANK('Data Entry'!$$416), "", 'Data Entry'!$$416)</f>
      </c>
      <c r="CC416">
        <f>IF(ISBLANK('Data Entry'!$$416), "", 'Data Entry'!$$416)</f>
      </c>
      <c r="CD416">
        <f>IF(ISBLANK('Data Entry'!$$416), "", 'Data Entry'!$$416)</f>
      </c>
      <c r="CE416">
        <f>IF(ISBLANK('Data Entry'!$$416), "", 'Data Entry'!$$416)</f>
      </c>
      <c r="CF416">
        <f>IF(ISBLANK('Data Entry'!$$416), "", 'Data Entry'!$$416)</f>
      </c>
      <c r="CG416">
        <f>IF(ISBLANK('Data Entry'!$$416), "", 'Data Entry'!$$416)</f>
      </c>
      <c r="CH416">
        <f>IF(ISBLANK('Data Entry'!$$416), "", 'Data Entry'!$$416)</f>
      </c>
      <c r="CI416">
        <f>IF(ISBLANK('Data Entry'!$$416), "", 'Data Entry'!$$416)</f>
      </c>
      <c r="CJ416">
        <f>IF(ISBLANK('Data Entry'!$$416), "", 'Data Entry'!$$416)</f>
      </c>
      <c r="CK416">
        <f>IF(ISBLANK('Data Entry'!$$416), "", 'Data Entry'!$$416)</f>
      </c>
      <c r="CL416">
        <f>IF(ISBLANK('Data Entry'!$$416), "", 'Data Entry'!$$416)</f>
      </c>
      <c r="CM416">
        <f>IF(ISBLANK('Data Entry'!$$416), "", 'Data Entry'!$$416)</f>
      </c>
      <c r="CN416">
        <f>IF(ISBLANK('Data Entry'!$$416), "", 'Data Entry'!$$416)</f>
      </c>
      <c r="CO416">
        <f>IF(ISBLANK('Data Entry'!$$416), "", 'Data Entry'!$$416)</f>
      </c>
      <c r="CP416">
        <f>IF(ISBLANK('Data Entry'!$$416), "", 'Data Entry'!$$416)</f>
      </c>
      <c r="CQ416">
        <f>IF(ISBLANK('Data Entry'!$$416), "", 'Data Entry'!$$416)</f>
      </c>
      <c r="CR416">
        <f>IF(ISBLANK('Data Entry'!$ $416), "", 'Data Entry'!$ $416)</f>
      </c>
      <c r="CS416">
        <f>IF(ISBLANK('Data Entry'!$¡$416), "", 'Data Entry'!$¡$416)</f>
      </c>
      <c r="CT416">
        <f>IF(ISBLANK('Data Entry'!$¢$416), "", 'Data Entry'!$¢$416)</f>
      </c>
      <c r="CU416">
        <f>IF(ISBLANK('Data Entry'!$£$416), "", 'Data Entry'!$£$416)</f>
      </c>
      <c r="CV416">
        <f>IF(ISBLANK('Data Entry'!$¤$416), "", 'Data Entry'!$¤$416)</f>
      </c>
      <c r="CW416">
        <f>IF(ISBLANK('Data Entry'!$¥$416), "", 'Data Entry'!$¥$416)</f>
      </c>
      <c r="CX416">
        <f>IF(ISBLANK('Data Entry'!$¦$416), "", 'Data Entry'!$¦$416)</f>
      </c>
      <c r="CY416">
        <f>IF(ISBLANK('Data Entry'!$§$416), "", 'Data Entry'!$§$416)</f>
      </c>
      <c r="CZ416">
        <f>IF(ISBLANK('Data Entry'!$¨$416), "", 'Data Entry'!$¨$416)</f>
      </c>
      <c r="DA416">
        <f>IF(ISBLANK('Data Entry'!$©$416), "", 'Data Entry'!$©$416)</f>
      </c>
      <c r="DB416">
        <f>IF(ISBLANK('Data Entry'!$ª$416), "", 'Data Entry'!$ª$416)</f>
      </c>
      <c r="DC416">
        <f>IF(ISBLANK('Data Entry'!$«$416), "", 'Data Entry'!$«$416)</f>
      </c>
      <c r="DD416">
        <f>IF(ISBLANK('Data Entry'!$¬$416), "", 'Data Entry'!$¬$416)</f>
      </c>
      <c r="DE416">
        <f>IF(ISBLANK('Data Entry'!$­$416), "", 'Data Entry'!$­$416)</f>
      </c>
      <c r="DF416">
        <f>IF(ISBLANK('Data Entry'!$®$416), "", 'Data Entry'!$®$416)</f>
      </c>
      <c r="DG416">
        <f>IF(ISBLANK('Data Entry'!$¯$416), "", 'Data Entry'!$¯$416)</f>
      </c>
      <c r="DH416">
        <f>IF(ISBLANK('Data Entry'!$°$416), "", 'Data Entry'!$°$416)</f>
      </c>
      <c r="DI416">
        <f>IF(ISBLANK('Data Entry'!$±$416), "", 'Data Entry'!$±$416)</f>
      </c>
      <c r="DJ416">
        <f>IF(ISBLANK('Data Entry'!$²$416), "", 'Data Entry'!$²$416)</f>
      </c>
      <c r="DK416">
        <f>IF(ISBLANK('Data Entry'!$³$416), "", 'Data Entry'!$³$416)</f>
      </c>
      <c r="DL416">
        <f>IF(ISBLANK('Data Entry'!$´$416), "", 'Data Entry'!$´$416)</f>
      </c>
      <c r="DM416">
        <f>IF(ISBLANK('Data Entry'!$µ$416), "", 'Data Entry'!$µ$416)</f>
      </c>
      <c r="DN416">
        <f>IF(ISBLANK('Data Entry'!$¶$416), "", 'Data Entry'!$¶$416)</f>
      </c>
      <c r="DO416">
        <f>IF(ISBLANK('Data Entry'!$·$416), "", 'Data Entry'!$·$416)</f>
      </c>
      <c r="DP416">
        <f>IF(ISBLANK('Data Entry'!$¸$416), "", 'Data Entry'!$¸$416)</f>
      </c>
      <c r="DQ416">
        <f>IF(ISBLANK('Data Entry'!$¹$416), "", 'Data Entry'!$¹$416)</f>
      </c>
      <c r="DR416">
        <f>IF(ISBLANK('Data Entry'!$º$416), "", 'Data Entry'!$º$416)</f>
      </c>
      <c r="DS416">
        <f>IF(ISBLANK('Data Entry'!$»$416), "", 'Data Entry'!$»$416)</f>
      </c>
      <c r="DT416">
        <f>IF(ISBLANK('Data Entry'!$¼$416), "", 'Data Entry'!$¼$416)</f>
      </c>
      <c r="DU416">
        <f>IF(ISBLANK('Data Entry'!$½$416), "", 'Data Entry'!$½$416)</f>
      </c>
      <c r="DV416">
        <f>IF(ISBLANK('Data Entry'!$¾$416), "", 'Data Entry'!$¾$416)</f>
      </c>
      <c r="DW416">
        <f>IF(ISBLANK('Data Entry'!$¿$416), "", 'Data Entry'!$¿$416)</f>
      </c>
      <c r="DX416">
        <f>IF(ISBLANK('Data Entry'!$À$416), "", 'Data Entry'!$À$416)</f>
      </c>
      <c r="DY416">
        <f>IF(ISBLANK('Data Entry'!$Á$416), "", 'Data Entry'!$Á$416)</f>
      </c>
      <c r="DZ416">
        <f>IF(ISBLANK('Data Entry'!$Â$416), "", 'Data Entry'!$Â$416)</f>
      </c>
      <c r="EA416">
        <f>IF(ISBLANK('Data Entry'!$Ã$416), "", 'Data Entry'!$Ã$416)</f>
      </c>
      <c r="EB416">
        <f>IF(ISBLANK('Data Entry'!$Ä$416), "", 'Data Entry'!$Ä$416)</f>
      </c>
      <c r="EC416">
        <f>IF(ISBLANK('Data Entry'!$Å$416), "", 'Data Entry'!$Å$416)</f>
      </c>
      <c r="ED416">
        <f>IF(ISBLANK('Data Entry'!$Æ$416), "", 'Data Entry'!$Æ$416)</f>
      </c>
      <c r="EE416">
        <f>IF(ISBLANK('Data Entry'!$Ç$416), "", 'Data Entry'!$Ç$416)</f>
      </c>
      <c r="EF416">
        <f>IF(ISBLANK('Data Entry'!$È$416), "", 'Data Entry'!$È$416)</f>
      </c>
      <c r="EG416">
        <f>IF(ISBLANK('Data Entry'!$É$416), "", 'Data Entry'!$É$416)</f>
      </c>
      <c r="EH416">
        <f>IF(ISBLANK('Data Entry'!$Ê$416), "", 'Data Entry'!$Ê$416)</f>
      </c>
      <c r="EI416">
        <f>IF(ISBLANK('Data Entry'!$Ë$416), "", 'Data Entry'!$Ë$416)</f>
      </c>
      <c r="EJ416">
        <f>IF(ISBLANK('Data Entry'!$Ì$416), "", 'Data Entry'!$Ì$416)</f>
      </c>
      <c r="EK416">
        <f>IF(ISBLANK('Data Entry'!$Í$416), "", 'Data Entry'!$Í$416)</f>
      </c>
      <c r="EL416">
        <f>IF(ISBLANK('Data Entry'!$Î$416), "", 'Data Entry'!$Î$416)</f>
      </c>
      <c r="EM416">
        <f>IF(ISBLANK('Data Entry'!$Ï$416), "", 'Data Entry'!$Ï$416)</f>
      </c>
      <c r="EN416">
        <f>IF(ISBLANK('Data Entry'!$Ð$416), "", 'Data Entry'!$Ð$416)</f>
      </c>
      <c r="EO416">
        <f>IF(ISBLANK('Data Entry'!$Ñ$416), "", 'Data Entry'!$Ñ$416)</f>
      </c>
      <c r="EP416">
        <f>IF(ISBLANK('Data Entry'!$Ò$416), "", 'Data Entry'!$Ò$416)</f>
      </c>
      <c r="EQ416">
        <f>IF(ISBLANK('Data Entry'!$Ó$416), "", 'Data Entry'!$Ó$416)</f>
      </c>
      <c r="ER416">
        <f>IF(ISBLANK('Data Entry'!$Ô$416), "", 'Data Entry'!$Ô$416)</f>
      </c>
      <c r="ES416">
        <f>IF(ISBLANK('Data Entry'!$Õ$416), "", 'Data Entry'!$Õ$416)</f>
      </c>
      <c r="ET416">
        <f>IF(ISBLANK('Data Entry'!$Ö$416), "", 'Data Entry'!$Ö$416)</f>
      </c>
      <c r="EU416">
        <f>IF(ISBLANK('Data Entry'!$×$416), "", 'Data Entry'!$×$416)</f>
      </c>
      <c r="EV416">
        <f>IF(ISBLANK('Data Entry'!$Ø$416), "", 'Data Entry'!$Ø$416)</f>
      </c>
      <c r="EW416">
        <f>IF(ISBLANK('Data Entry'!$Ù$416), "", 'Data Entry'!$Ù$416)</f>
      </c>
      <c r="EX416">
        <f>IF(ISBLANK('Data Entry'!$Ú$416), "", 'Data Entry'!$Ú$416)</f>
      </c>
      <c r="EY416">
        <f>IF(ISBLANK('Data Entry'!$Û$416), "", 'Data Entry'!$Û$416)</f>
      </c>
      <c r="EZ416">
        <f>IF(ISBLANK('Data Entry'!$Ü$416), "", 'Data Entry'!$Ü$416)</f>
      </c>
      <c r="FA416">
        <f>IF(ISBLANK('Data Entry'!$Ý$416), "", 'Data Entry'!$Ý$416)</f>
      </c>
      <c r="FB416">
        <f>IF(ISBLANK('Data Entry'!$Þ$416), "", 'Data Entry'!$Þ$416)</f>
      </c>
      <c r="FC416">
        <f>IF(ISBLANK('Data Entry'!$ß$416), "", 'Data Entry'!$ß$416)</f>
      </c>
      <c r="FD416">
        <f>IF(ISBLANK('Data Entry'!$à$416), "", 'Data Entry'!$à$416)</f>
      </c>
      <c r="FE416">
        <f>IF(ISBLANK('Data Entry'!$á$416), "", 'Data Entry'!$á$416)</f>
      </c>
      <c r="FF416">
        <f>IF(ISBLANK('Data Entry'!$â$416), "", 'Data Entry'!$â$416)</f>
      </c>
      <c r="FG416">
        <f>IF(ISBLANK('Data Entry'!$ã$416), "", 'Data Entry'!$ã$416)</f>
      </c>
      <c r="FH416">
        <f>IF(ISBLANK('Data Entry'!$ä$416), "", 'Data Entry'!$ä$416)</f>
      </c>
      <c r="FI416">
        <f>IF(ISBLANK('Data Entry'!$å$416), "", 'Data Entry'!$å$416)</f>
      </c>
      <c r="FJ416">
        <f>IF(ISBLANK('Data Entry'!$æ$416), "", 'Data Entry'!$æ$416)</f>
      </c>
      <c r="FK416">
        <f>IF(ISBLANK('Data Entry'!$ç$416), "", 'Data Entry'!$ç$416)</f>
      </c>
      <c r="FL416">
        <f>IF(ISBLANK('Data Entry'!$è$416), "", 'Data Entry'!$è$416)</f>
      </c>
      <c r="FM416">
        <f>IF(ISBLANK('Data Entry'!$é$416), "", 'Data Entry'!$é$416)</f>
      </c>
      <c r="FN416">
        <f>IF(ISBLANK('Data Entry'!$ê$416), "", 'Data Entry'!$ê$416)</f>
      </c>
      <c r="FO416">
        <f>IF(ISBLANK('Data Entry'!$ë$416), "", 'Data Entry'!$ë$416)</f>
      </c>
      <c r="FP416">
        <f>IF(ISBLANK('Data Entry'!$ì$416), "", 'Data Entry'!$ì$416)</f>
      </c>
      <c r="FQ416">
        <f>IF(ISBLANK('Data Entry'!$í$416), "", 'Data Entry'!$í$416)</f>
      </c>
      <c r="FR416">
        <f>IF(ISBLANK('Data Entry'!$î$416), "", 'Data Entry'!$î$416)</f>
      </c>
      <c r="FS416">
        <f>IF(ISBLANK('Data Entry'!$ï$416), "", 'Data Entry'!$ï$416)</f>
      </c>
      <c r="FT416">
        <f>IF(ISBLANK('Data Entry'!$ð$416), "", 'Data Entry'!$ð$416)</f>
      </c>
      <c r="FU416">
        <f>IF(ISBLANK('Data Entry'!$ñ$416), "", 'Data Entry'!$ñ$416)</f>
      </c>
      <c r="FV416">
        <f>IF(ISBLANK('Data Entry'!$ò$416), "", 'Data Entry'!$ò$416)</f>
      </c>
      <c r="FW416">
        <f>IF(ISBLANK('Data Entry'!$ó$416), "", 'Data Entry'!$ó$416)</f>
      </c>
      <c r="FX416">
        <f>IF(ISBLANK('Data Entry'!$ô$416), "", 'Data Entry'!$ô$416)</f>
      </c>
      <c r="FY416">
        <f>IF(ISBLANK('Data Entry'!$õ$416), "", 'Data Entry'!$õ$416)</f>
      </c>
      <c r="FZ416">
        <f>IF(ISBLANK('Data Entry'!$ö$416), "", 'Data Entry'!$ö$416)</f>
      </c>
      <c r="GA416">
        <f>IF(ISBLANK('Data Entry'!$÷$416), "", 'Data Entry'!$÷$416)</f>
      </c>
      <c r="GB416">
        <f>IF(ISBLANK('Data Entry'!$ø$416), "", 'Data Entry'!$ø$416)</f>
      </c>
      <c r="GC416">
        <f>IF(ISBLANK('Data Entry'!$ù$416), "", 'Data Entry'!$ù$416)</f>
      </c>
      <c r="GD416">
        <f>IF(ISBLANK('Data Entry'!$ú$416), "", 'Data Entry'!$ú$416)</f>
      </c>
      <c r="GE416">
        <f>IF(ISBLANK('Data Entry'!$û$416), "", 'Data Entry'!$û$416)</f>
      </c>
      <c r="GF416">
        <f>IF(ISBLANK('Data Entry'!$ü$416), "", 'Data Entry'!$ü$416)</f>
      </c>
      <c r="GG416">
        <f>IF(ISBLANK('Data Entry'!$ý$416), "", 'Data Entry'!$ý$416)</f>
      </c>
      <c r="GH416">
        <f>IF(ISBLANK('Data Entry'!$þ$416), "", 'Data Entry'!$þ$416)</f>
      </c>
      <c r="GI416">
        <f>IF(ISBLANK('Data Entry'!$ÿ$416), "", 'Data Entry'!$ÿ$416)</f>
      </c>
      <c r="GJ416">
        <f>IF(ISBLANK('Data Entry'!$Ā$416), "", 'Data Entry'!$Ā$416)</f>
      </c>
      <c r="GK416">
        <f>IF(ISBLANK('Data Entry'!$ā$416), "", 'Data Entry'!$ā$416)</f>
      </c>
      <c r="GL416">
        <f>IF(ISBLANK('Data Entry'!$Ă$416), "", 'Data Entry'!$Ă$416)</f>
      </c>
      <c r="GM416">
        <f>IF(ISBLANK('Data Entry'!$ă$416), "", 'Data Entry'!$ă$416)</f>
      </c>
      <c r="GN416">
        <f>IF(ISBLANK('Data Entry'!$Ą$416), "", 'Data Entry'!$Ą$416)</f>
      </c>
      <c r="GO416">
        <f>IF(ISBLANK('Data Entry'!$ą$416), "", 'Data Entry'!$ą$416)</f>
      </c>
      <c r="GP416">
        <f>IF(ISBLANK('Data Entry'!$Ć$416), "", 'Data Entry'!$Ć$416)</f>
      </c>
      <c r="GQ416">
        <f>IF(ISBLANK('Data Entry'!$ć$416), "", 'Data Entry'!$ć$416)</f>
      </c>
      <c r="GR416">
        <f>IF(ISBLANK('Data Entry'!$Ĉ$416), "", 'Data Entry'!$Ĉ$416)</f>
      </c>
      <c r="GS416">
        <f>IF(ISBLANK('Data Entry'!$ĉ$416), "", 'Data Entry'!$ĉ$416)</f>
      </c>
      <c r="GT416">
        <f>IF(ISBLANK('Data Entry'!$Ċ$416), "", 'Data Entry'!$Ċ$416)</f>
      </c>
      <c r="GU416">
        <f>IF(ISBLANK('Data Entry'!$ċ$416), "", 'Data Entry'!$ċ$416)</f>
      </c>
      <c r="GV416">
        <f>IF(ISBLANK('Data Entry'!$Č$416), "", 'Data Entry'!$Č$416)</f>
      </c>
      <c r="GW416">
        <f>IF(ISBLANK('Data Entry'!$č$416), "", 'Data Entry'!$č$416)</f>
      </c>
      <c r="GX416">
        <f>IF(ISBLANK('Data Entry'!$Ď$416), "", 'Data Entry'!$Ď$416)</f>
      </c>
      <c r="GY416">
        <f>IF(ISBLANK('Data Entry'!$ď$416), "", 'Data Entry'!$ď$416)</f>
      </c>
      <c r="GZ416">
        <f>IF(ISBLANK('Data Entry'!$Đ$416), "", 'Data Entry'!$Đ$416)</f>
      </c>
      <c r="HA416">
        <f>IF(ISBLANK('Data Entry'!$đ$416), "", 'Data Entry'!$đ$416)</f>
      </c>
      <c r="HB416">
        <f>IF(ISBLANK('Data Entry'!$Ē$416), "", 'Data Entry'!$Ē$416)</f>
      </c>
      <c r="HC416">
        <f>IF(ISBLANK('Data Entry'!$ē$416), "", 'Data Entry'!$ē$416)</f>
      </c>
      <c r="HD416">
        <f>IF(ISBLANK('Data Entry'!$Ĕ$416), "", 'Data Entry'!$Ĕ$416)</f>
      </c>
      <c r="HE416">
        <f>IF(ISBLANK('Data Entry'!$ĕ$416), "", 'Data Entry'!$ĕ$416)</f>
      </c>
      <c r="HF416">
        <f>IF(ISBLANK('Data Entry'!$Ė$416), "", 'Data Entry'!$Ė$416)</f>
      </c>
      <c r="HG416">
        <f>IF(ISBLANK('Data Entry'!$ė$416), "", 'Data Entry'!$ė$416)</f>
      </c>
      <c r="HH416">
        <f>IF(ISBLANK('Data Entry'!$Ę$416), "", 'Data Entry'!$Ę$416)</f>
      </c>
      <c r="HI416">
        <f>IF(ISBLANK('Data Entry'!$ę$416), "", 'Data Entry'!$ę$416)</f>
      </c>
      <c r="HJ416">
        <f>IF(ISBLANK('Data Entry'!$Ě$416), "", 'Data Entry'!$Ě$416)</f>
      </c>
      <c r="HK416">
        <f>IF(ISBLANK('Data Entry'!$ě$416), "", 'Data Entry'!$ě$416)</f>
      </c>
      <c r="HL416">
        <f>IF(ISBLANK('Data Entry'!$Ĝ$416), "", 'Data Entry'!$Ĝ$416)</f>
      </c>
      <c r="HM416">
        <f>IF(ISBLANK('Data Entry'!$ĝ$416), "", 'Data Entry'!$ĝ$416)</f>
      </c>
      <c r="HN416">
        <f>IF(ISBLANK('Data Entry'!$Ğ$416), "", 'Data Entry'!$Ğ$416)</f>
      </c>
      <c r="HO416">
        <f>IF(ISBLANK('Data Entry'!$ğ$416), "", 'Data Entry'!$ğ$416)</f>
      </c>
      <c r="HP416">
        <f>IF(ISBLANK('Data Entry'!$Ġ$416), "", 'Data Entry'!$Ġ$416)</f>
      </c>
      <c r="HQ416">
        <f>IF(ISBLANK('Data Entry'!$ġ$416), "", 'Data Entry'!$ġ$416)</f>
      </c>
      <c r="HR416">
        <f>IF(ISBLANK('Data Entry'!$Ģ$416), "", 'Data Entry'!$Ģ$416)</f>
      </c>
      <c r="HS416">
        <f>IF(ISBLANK('Data Entry'!$ģ$416), "", 'Data Entry'!$ģ$416)</f>
      </c>
      <c r="HT416">
        <f>IF(ISBLANK('Data Entry'!$Ĥ$416), "", 'Data Entry'!$Ĥ$416)</f>
      </c>
      <c r="HU416">
        <f>IF(ISBLANK('Data Entry'!$ĥ$416), "", 'Data Entry'!$ĥ$416)</f>
      </c>
      <c r="HV416">
        <f>IF(ISBLANK('Data Entry'!$Ħ$416), "", 'Data Entry'!$Ħ$416)</f>
      </c>
      <c r="HW416">
        <f>IF(ISBLANK('Data Entry'!$ħ$416), "", 'Data Entry'!$ħ$416)</f>
      </c>
      <c r="HX416">
        <f>IF(ISBLANK('Data Entry'!$Ĩ$416), "", 'Data Entry'!$Ĩ$416)</f>
      </c>
      <c r="HY416">
        <f>IF(ISBLANK('Data Entry'!$ĩ$416), "", 'Data Entry'!$ĩ$416)</f>
      </c>
      <c r="HZ416">
        <f>IF(ISBLANK('Data Entry'!$Ī$416), "", 'Data Entry'!$Ī$416)</f>
      </c>
      <c r="IA416">
        <f>IF(ISBLANK('Data Entry'!$ī$416), "", 'Data Entry'!$ī$416)</f>
      </c>
      <c r="IB416">
        <f>IF(ISBLANK('Data Entry'!$Ĭ$416), "", 'Data Entry'!$Ĭ$416)</f>
      </c>
      <c r="IC416">
        <f>IF(ISBLANK('Data Entry'!$ĭ$416), "", 'Data Entry'!$ĭ$416)</f>
      </c>
      <c r="ID416">
        <f>IF(ISBLANK('Data Entry'!$Į$416), "", 'Data Entry'!$Į$416)</f>
      </c>
      <c r="IE416">
        <f>IF(ISBLANK('Data Entry'!$į$416), "", 'Data Entry'!$į$416)</f>
      </c>
      <c r="IF416">
        <f>IF(ISBLANK('Data Entry'!$İ$416), "", 'Data Entry'!$İ$416)</f>
      </c>
      <c r="IG416">
        <f>IF(ISBLANK('Data Entry'!$ı$416), "", 'Data Entry'!$ı$416)</f>
      </c>
      <c r="IH416">
        <f>IF(ISBLANK('Data Entry'!$Ĳ$416), "", 'Data Entry'!$Ĳ$416)</f>
      </c>
      <c r="II416">
        <f>IF(ISBLANK('Data Entry'!$ĳ$416), "", 'Data Entry'!$ĳ$416)</f>
      </c>
      <c r="IJ416">
        <f>IF(ISBLANK('Data Entry'!$Ĵ$416), "", 'Data Entry'!$Ĵ$416)</f>
      </c>
      <c r="IK416">
        <f>IF(ISBLANK('Data Entry'!$ĵ$416), "", 'Data Entry'!$ĵ$416)</f>
      </c>
      <c r="IL416">
        <f>IF(ISBLANK('Data Entry'!$Ķ$416), "", 'Data Entry'!$Ķ$416)</f>
      </c>
      <c r="IM416">
        <f>IF(ISBLANK('Data Entry'!$ķ$416), "", 'Data Entry'!$ķ$416)</f>
      </c>
      <c r="IN416">
        <f>IF(ISBLANK('Data Entry'!$ĸ$416), "", 'Data Entry'!$ĸ$416)</f>
      </c>
      <c r="IO416">
        <f>IF(ISBLANK('Data Entry'!$Ĺ$416), "", 'Data Entry'!$Ĺ$416)</f>
      </c>
      <c r="IP416">
        <f>IF(ISBLANK('Data Entry'!$ĺ$416), "", 'Data Entry'!$ĺ$416)</f>
      </c>
      <c r="IQ416">
        <f>IF(ISBLANK('Data Entry'!$Ļ$416), "", 'Data Entry'!$Ļ$416)</f>
      </c>
      <c r="IR416">
        <f>IF(ISBLANK('Data Entry'!$ļ$416), "", 'Data Entry'!$ļ$416)</f>
      </c>
      <c r="IS416">
        <f>IF(ISBLANK('Data Entry'!$Ľ$416), "", 'Data Entry'!$Ľ$416)</f>
      </c>
      <c r="IT416">
        <f>IF(ISBLANK('Data Entry'!$ľ$416), "", 'Data Entry'!$ľ$416)</f>
      </c>
    </row>
    <row r="417" spans="1:254" x14ac:dyDescent="0.25">
      <c r="A417">
        <f>IF(ISBLANK('Data Entry'!$A$417), "", 'Data Entry'!$A$417)</f>
      </c>
      <c r="B417">
        <f>IF(ISBLANK('Data Entry'!$B$417), "", 'Data Entry'!$B$417)</f>
      </c>
      <c r="C417">
        <f>IF(ISBLANK('Data Entry'!$C$417), "", 'Data Entry'!$C$417)</f>
      </c>
      <c r="D417">
        <f>IF(ISBLANK('Data Entry'!$D$417), "", 'Data Entry'!$D$417)</f>
      </c>
      <c r="E417">
        <f>IF(ISBLANK('Data Entry'!$E$417), "", 'Data Entry'!$E$417)</f>
      </c>
      <c r="F417">
        <f>IF(ISBLANK('Data Entry'!$F$417), "", 'Data Entry'!$F$417)</f>
      </c>
      <c r="G417">
        <f>IF(ISBLANK('Data Entry'!$G$417), "", 'Data Entry'!$G$417)</f>
      </c>
      <c r="H417">
        <f>IF(ISBLANK('Data Entry'!$H$417), "", 'Data Entry'!$H$417)</f>
      </c>
      <c r="I417">
        <f>IF(ISBLANK('Data Entry'!$I$417), "", 'Data Entry'!$I$417)</f>
      </c>
      <c r="J417">
        <f>IF(ISBLANK('Data Entry'!$J$417), "", 'Data Entry'!$J$417)</f>
      </c>
      <c r="K417">
        <f>IF(ISBLANK('Data Entry'!$K$417), "", 'Data Entry'!$K$417)</f>
      </c>
      <c r="L417">
        <f>IF(ISBLANK('Data Entry'!$L$417), "", 'Data Entry'!$L$417)</f>
      </c>
      <c r="M417">
        <f>IF(ISBLANK('Data Entry'!$M$417), "", 'Data Entry'!$M$417)</f>
      </c>
      <c r="N417">
        <f>IF(ISBLANK('Data Entry'!$N$417), "", 'Data Entry'!$N$417)</f>
      </c>
      <c r="O417">
        <f>IF(ISBLANK('Data Entry'!$O$417), "", 'Data Entry'!$O$417)</f>
      </c>
      <c r="P417">
        <f>IF(ISBLANK('Data Entry'!$P$417), "", 'Data Entry'!$P$417)</f>
      </c>
      <c r="Q417">
        <f>IF(ISBLANK('Data Entry'!$Q$417), "", 'Data Entry'!$Q$417)</f>
      </c>
      <c r="R417">
        <f>IF(ISBLANK('Data Entry'!$R$417), "", 'Data Entry'!$R$417)</f>
      </c>
      <c r="S417">
        <f>IF(ISBLANK('Data Entry'!$S$417), "", 'Data Entry'!$S$417)</f>
      </c>
      <c r="T417">
        <f>IF(ISBLANK('Data Entry'!$T$417), "", 'Data Entry'!$T$417)</f>
      </c>
      <c r="U417">
        <f>IF(ISBLANK('Data Entry'!$U$417), "", 'Data Entry'!$U$417)</f>
      </c>
      <c r="V417">
        <f>IF(ISBLANK('Data Entry'!$V$417), "", 'Data Entry'!$V$417)</f>
      </c>
      <c r="W417">
        <f>IF(ISBLANK('Data Entry'!$W$417), "", 'Data Entry'!$W$417)</f>
      </c>
      <c r="X417">
        <f>IF(ISBLANK('Data Entry'!$X$417), "", 'Data Entry'!$X$417)</f>
      </c>
      <c r="Y417">
        <f>IF(ISBLANK('Data Entry'!$Y$417), "", 'Data Entry'!$Y$417)</f>
      </c>
      <c r="Z417">
        <f>IF(ISBLANK('Data Entry'!$Z$417), "", 'Data Entry'!$Z$417)</f>
      </c>
      <c r="AA417">
        <f>IF(ISBLANK('Data Entry'!$[$417), "", 'Data Entry'!$[$417)</f>
      </c>
      <c r="AB417">
        <f>IF(ISBLANK('Data Entry'!$\$417), "", 'Data Entry'!$\$417)</f>
      </c>
      <c r="AC417">
        <f>IF(ISBLANK('Data Entry'!$]$417), "", 'Data Entry'!$]$417)</f>
      </c>
      <c r="AD417">
        <f>IF(ISBLANK('Data Entry'!$^$417), "", 'Data Entry'!$^$417)</f>
      </c>
      <c r="AE417">
        <f>IF(ISBLANK('Data Entry'!$_$417), "", 'Data Entry'!$_$417)</f>
      </c>
      <c r="AF417">
        <f>IF(ISBLANK('Data Entry'!$`$417), "", 'Data Entry'!$`$417)</f>
      </c>
      <c r="AG417">
        <f>IF(ISBLANK('Data Entry'!$a$417), "", 'Data Entry'!$a$417)</f>
      </c>
      <c r="AH417">
        <f>IF(ISBLANK('Data Entry'!$b$417), "", 'Data Entry'!$b$417)</f>
      </c>
      <c r="AI417">
        <f>IF(ISBLANK('Data Entry'!$c$417), "", 'Data Entry'!$c$417)</f>
      </c>
      <c r="AJ417">
        <f>IF(ISBLANK('Data Entry'!$d$417), "", 'Data Entry'!$d$417)</f>
      </c>
      <c r="AK417">
        <f>IF(ISBLANK('Data Entry'!$e$417), "", 'Data Entry'!$e$417)</f>
      </c>
      <c r="AL417">
        <f>IF(ISBLANK('Data Entry'!$f$417), "", 'Data Entry'!$f$417)</f>
      </c>
      <c r="AM417">
        <f>IF(ISBLANK('Data Entry'!$g$417), "", 'Data Entry'!$g$417)</f>
      </c>
      <c r="AN417">
        <f>IF(ISBLANK('Data Entry'!$h$417), "", 'Data Entry'!$h$417)</f>
      </c>
      <c r="AO417">
        <f>IF(ISBLANK('Data Entry'!$i$417), "", 'Data Entry'!$i$417)</f>
      </c>
      <c r="AP417">
        <f>IF(ISBLANK('Data Entry'!$j$417), "", 'Data Entry'!$j$417)</f>
      </c>
      <c r="AQ417">
        <f>IF(ISBLANK('Data Entry'!$k$417), "", 'Data Entry'!$k$417)</f>
      </c>
      <c r="AR417">
        <f>IF(ISBLANK('Data Entry'!$l$417), "", 'Data Entry'!$l$417)</f>
      </c>
      <c r="AS417">
        <f>IF(ISBLANK('Data Entry'!$m$417), "", 'Data Entry'!$m$417)</f>
      </c>
      <c r="AT417">
        <f>IF(ISBLANK('Data Entry'!$n$417), "", 'Data Entry'!$n$417)</f>
      </c>
      <c r="AU417">
        <f>IF(ISBLANK('Data Entry'!$o$417), "", 'Data Entry'!$o$417)</f>
      </c>
      <c r="AV417">
        <f>IF(ISBLANK('Data Entry'!$p$417), "", 'Data Entry'!$p$417)</f>
      </c>
      <c r="AW417">
        <f>IF(ISBLANK('Data Entry'!$q$417), "", 'Data Entry'!$q$417)</f>
      </c>
      <c r="AX417">
        <f>IF(ISBLANK('Data Entry'!$r$417), "", 'Data Entry'!$r$417)</f>
      </c>
      <c r="AY417">
        <f>IF(ISBLANK('Data Entry'!$s$417), "", 'Data Entry'!$s$417)</f>
      </c>
      <c r="AZ417">
        <f>IF(ISBLANK('Data Entry'!$t$417), "", 'Data Entry'!$t$417)</f>
      </c>
      <c r="BA417">
        <f>IF(ISBLANK('Data Entry'!$u$417), "", 'Data Entry'!$u$417)</f>
      </c>
      <c r="BB417">
        <f>IF(ISBLANK('Data Entry'!$v$417), "", 'Data Entry'!$v$417)</f>
      </c>
      <c r="BC417">
        <f>IF(ISBLANK('Data Entry'!$w$417), "", 'Data Entry'!$w$417)</f>
      </c>
      <c r="BD417">
        <f>IF(ISBLANK('Data Entry'!$x$417), "", 'Data Entry'!$x$417)</f>
      </c>
      <c r="BE417">
        <f>IF(ISBLANK('Data Entry'!$y$417), "", 'Data Entry'!$y$417)</f>
      </c>
      <c r="BF417">
        <f>IF(ISBLANK('Data Entry'!$z$417), "", 'Data Entry'!$z$417)</f>
      </c>
      <c r="BG417">
        <f>IF(ISBLANK('Data Entry'!${$417), "", 'Data Entry'!${$417)</f>
      </c>
      <c r="BH417">
        <f>IF(ISBLANK('Data Entry'!$|$417), "", 'Data Entry'!$|$417)</f>
      </c>
      <c r="BI417">
        <f>IF(ISBLANK('Data Entry'!$}$417), "", 'Data Entry'!$}$417)</f>
      </c>
      <c r="BJ417">
        <f>IF(ISBLANK('Data Entry'!$~$417), "", 'Data Entry'!$~$417)</f>
      </c>
      <c r="BK417">
        <f>IF(ISBLANK('Data Entry'!$$417), "", 'Data Entry'!$$417)</f>
      </c>
      <c r="BL417">
        <f>IF(ISBLANK('Data Entry'!$$417), "", 'Data Entry'!$$417)</f>
      </c>
      <c r="BM417">
        <f>IF(ISBLANK('Data Entry'!$$417), "", 'Data Entry'!$$417)</f>
      </c>
      <c r="BN417">
        <f>IF(ISBLANK('Data Entry'!$$417), "", 'Data Entry'!$$417)</f>
      </c>
      <c r="BO417">
        <f>IF(ISBLANK('Data Entry'!$$417), "", 'Data Entry'!$$417)</f>
      </c>
      <c r="BP417">
        <f>IF(ISBLANK('Data Entry'!$$417), "", 'Data Entry'!$$417)</f>
      </c>
      <c r="BQ417">
        <f>IF(ISBLANK('Data Entry'!$$417), "", 'Data Entry'!$$417)</f>
      </c>
      <c r="BR417">
        <f>IF(ISBLANK('Data Entry'!$$417), "", 'Data Entry'!$$417)</f>
      </c>
      <c r="BS417">
        <f>IF(ISBLANK('Data Entry'!$$417), "", 'Data Entry'!$$417)</f>
      </c>
      <c r="BT417">
        <f>IF(ISBLANK('Data Entry'!$$417), "", 'Data Entry'!$$417)</f>
      </c>
      <c r="BU417">
        <f>IF(ISBLANK('Data Entry'!$$417), "", 'Data Entry'!$$417)</f>
      </c>
      <c r="BV417">
        <f>IF(ISBLANK('Data Entry'!$$417), "", 'Data Entry'!$$417)</f>
      </c>
      <c r="BW417">
        <f>IF(ISBLANK('Data Entry'!$$417), "", 'Data Entry'!$$417)</f>
      </c>
      <c r="BX417">
        <f>IF(ISBLANK('Data Entry'!$$417), "", 'Data Entry'!$$417)</f>
      </c>
      <c r="BY417">
        <f>IF(ISBLANK('Data Entry'!$$417), "", 'Data Entry'!$$417)</f>
      </c>
      <c r="BZ417">
        <f>IF(ISBLANK('Data Entry'!$$417), "", 'Data Entry'!$$417)</f>
      </c>
      <c r="CA417">
        <f>IF(ISBLANK('Data Entry'!$$417), "", 'Data Entry'!$$417)</f>
      </c>
      <c r="CB417">
        <f>IF(ISBLANK('Data Entry'!$$417), "", 'Data Entry'!$$417)</f>
      </c>
      <c r="CC417">
        <f>IF(ISBLANK('Data Entry'!$$417), "", 'Data Entry'!$$417)</f>
      </c>
      <c r="CD417">
        <f>IF(ISBLANK('Data Entry'!$$417), "", 'Data Entry'!$$417)</f>
      </c>
      <c r="CE417">
        <f>IF(ISBLANK('Data Entry'!$$417), "", 'Data Entry'!$$417)</f>
      </c>
      <c r="CF417">
        <f>IF(ISBLANK('Data Entry'!$$417), "", 'Data Entry'!$$417)</f>
      </c>
      <c r="CG417">
        <f>IF(ISBLANK('Data Entry'!$$417), "", 'Data Entry'!$$417)</f>
      </c>
      <c r="CH417">
        <f>IF(ISBLANK('Data Entry'!$$417), "", 'Data Entry'!$$417)</f>
      </c>
      <c r="CI417">
        <f>IF(ISBLANK('Data Entry'!$$417), "", 'Data Entry'!$$417)</f>
      </c>
      <c r="CJ417">
        <f>IF(ISBLANK('Data Entry'!$$417), "", 'Data Entry'!$$417)</f>
      </c>
      <c r="CK417">
        <f>IF(ISBLANK('Data Entry'!$$417), "", 'Data Entry'!$$417)</f>
      </c>
      <c r="CL417">
        <f>IF(ISBLANK('Data Entry'!$$417), "", 'Data Entry'!$$417)</f>
      </c>
      <c r="CM417">
        <f>IF(ISBLANK('Data Entry'!$$417), "", 'Data Entry'!$$417)</f>
      </c>
      <c r="CN417">
        <f>IF(ISBLANK('Data Entry'!$$417), "", 'Data Entry'!$$417)</f>
      </c>
      <c r="CO417">
        <f>IF(ISBLANK('Data Entry'!$$417), "", 'Data Entry'!$$417)</f>
      </c>
      <c r="CP417">
        <f>IF(ISBLANK('Data Entry'!$$417), "", 'Data Entry'!$$417)</f>
      </c>
      <c r="CQ417">
        <f>IF(ISBLANK('Data Entry'!$$417), "", 'Data Entry'!$$417)</f>
      </c>
      <c r="CR417">
        <f>IF(ISBLANK('Data Entry'!$ $417), "", 'Data Entry'!$ $417)</f>
      </c>
      <c r="CS417">
        <f>IF(ISBLANK('Data Entry'!$¡$417), "", 'Data Entry'!$¡$417)</f>
      </c>
      <c r="CT417">
        <f>IF(ISBLANK('Data Entry'!$¢$417), "", 'Data Entry'!$¢$417)</f>
      </c>
      <c r="CU417">
        <f>IF(ISBLANK('Data Entry'!$£$417), "", 'Data Entry'!$£$417)</f>
      </c>
      <c r="CV417">
        <f>IF(ISBLANK('Data Entry'!$¤$417), "", 'Data Entry'!$¤$417)</f>
      </c>
      <c r="CW417">
        <f>IF(ISBLANK('Data Entry'!$¥$417), "", 'Data Entry'!$¥$417)</f>
      </c>
      <c r="CX417">
        <f>IF(ISBLANK('Data Entry'!$¦$417), "", 'Data Entry'!$¦$417)</f>
      </c>
      <c r="CY417">
        <f>IF(ISBLANK('Data Entry'!$§$417), "", 'Data Entry'!$§$417)</f>
      </c>
      <c r="CZ417">
        <f>IF(ISBLANK('Data Entry'!$¨$417), "", 'Data Entry'!$¨$417)</f>
      </c>
      <c r="DA417">
        <f>IF(ISBLANK('Data Entry'!$©$417), "", 'Data Entry'!$©$417)</f>
      </c>
      <c r="DB417">
        <f>IF(ISBLANK('Data Entry'!$ª$417), "", 'Data Entry'!$ª$417)</f>
      </c>
      <c r="DC417">
        <f>IF(ISBLANK('Data Entry'!$«$417), "", 'Data Entry'!$«$417)</f>
      </c>
      <c r="DD417">
        <f>IF(ISBLANK('Data Entry'!$¬$417), "", 'Data Entry'!$¬$417)</f>
      </c>
      <c r="DE417">
        <f>IF(ISBLANK('Data Entry'!$­$417), "", 'Data Entry'!$­$417)</f>
      </c>
      <c r="DF417">
        <f>IF(ISBLANK('Data Entry'!$®$417), "", 'Data Entry'!$®$417)</f>
      </c>
      <c r="DG417">
        <f>IF(ISBLANK('Data Entry'!$¯$417), "", 'Data Entry'!$¯$417)</f>
      </c>
      <c r="DH417">
        <f>IF(ISBLANK('Data Entry'!$°$417), "", 'Data Entry'!$°$417)</f>
      </c>
      <c r="DI417">
        <f>IF(ISBLANK('Data Entry'!$±$417), "", 'Data Entry'!$±$417)</f>
      </c>
      <c r="DJ417">
        <f>IF(ISBLANK('Data Entry'!$²$417), "", 'Data Entry'!$²$417)</f>
      </c>
      <c r="DK417">
        <f>IF(ISBLANK('Data Entry'!$³$417), "", 'Data Entry'!$³$417)</f>
      </c>
      <c r="DL417">
        <f>IF(ISBLANK('Data Entry'!$´$417), "", 'Data Entry'!$´$417)</f>
      </c>
      <c r="DM417">
        <f>IF(ISBLANK('Data Entry'!$µ$417), "", 'Data Entry'!$µ$417)</f>
      </c>
      <c r="DN417">
        <f>IF(ISBLANK('Data Entry'!$¶$417), "", 'Data Entry'!$¶$417)</f>
      </c>
      <c r="DO417">
        <f>IF(ISBLANK('Data Entry'!$·$417), "", 'Data Entry'!$·$417)</f>
      </c>
      <c r="DP417">
        <f>IF(ISBLANK('Data Entry'!$¸$417), "", 'Data Entry'!$¸$417)</f>
      </c>
      <c r="DQ417">
        <f>IF(ISBLANK('Data Entry'!$¹$417), "", 'Data Entry'!$¹$417)</f>
      </c>
      <c r="DR417">
        <f>IF(ISBLANK('Data Entry'!$º$417), "", 'Data Entry'!$º$417)</f>
      </c>
      <c r="DS417">
        <f>IF(ISBLANK('Data Entry'!$»$417), "", 'Data Entry'!$»$417)</f>
      </c>
      <c r="DT417">
        <f>IF(ISBLANK('Data Entry'!$¼$417), "", 'Data Entry'!$¼$417)</f>
      </c>
      <c r="DU417">
        <f>IF(ISBLANK('Data Entry'!$½$417), "", 'Data Entry'!$½$417)</f>
      </c>
      <c r="DV417">
        <f>IF(ISBLANK('Data Entry'!$¾$417), "", 'Data Entry'!$¾$417)</f>
      </c>
      <c r="DW417">
        <f>IF(ISBLANK('Data Entry'!$¿$417), "", 'Data Entry'!$¿$417)</f>
      </c>
      <c r="DX417">
        <f>IF(ISBLANK('Data Entry'!$À$417), "", 'Data Entry'!$À$417)</f>
      </c>
      <c r="DY417">
        <f>IF(ISBLANK('Data Entry'!$Á$417), "", 'Data Entry'!$Á$417)</f>
      </c>
      <c r="DZ417">
        <f>IF(ISBLANK('Data Entry'!$Â$417), "", 'Data Entry'!$Â$417)</f>
      </c>
      <c r="EA417">
        <f>IF(ISBLANK('Data Entry'!$Ã$417), "", 'Data Entry'!$Ã$417)</f>
      </c>
      <c r="EB417">
        <f>IF(ISBLANK('Data Entry'!$Ä$417), "", 'Data Entry'!$Ä$417)</f>
      </c>
      <c r="EC417">
        <f>IF(ISBLANK('Data Entry'!$Å$417), "", 'Data Entry'!$Å$417)</f>
      </c>
      <c r="ED417">
        <f>IF(ISBLANK('Data Entry'!$Æ$417), "", 'Data Entry'!$Æ$417)</f>
      </c>
      <c r="EE417">
        <f>IF(ISBLANK('Data Entry'!$Ç$417), "", 'Data Entry'!$Ç$417)</f>
      </c>
      <c r="EF417">
        <f>IF(ISBLANK('Data Entry'!$È$417), "", 'Data Entry'!$È$417)</f>
      </c>
      <c r="EG417">
        <f>IF(ISBLANK('Data Entry'!$É$417), "", 'Data Entry'!$É$417)</f>
      </c>
      <c r="EH417">
        <f>IF(ISBLANK('Data Entry'!$Ê$417), "", 'Data Entry'!$Ê$417)</f>
      </c>
      <c r="EI417">
        <f>IF(ISBLANK('Data Entry'!$Ë$417), "", 'Data Entry'!$Ë$417)</f>
      </c>
      <c r="EJ417">
        <f>IF(ISBLANK('Data Entry'!$Ì$417), "", 'Data Entry'!$Ì$417)</f>
      </c>
      <c r="EK417">
        <f>IF(ISBLANK('Data Entry'!$Í$417), "", 'Data Entry'!$Í$417)</f>
      </c>
      <c r="EL417">
        <f>IF(ISBLANK('Data Entry'!$Î$417), "", 'Data Entry'!$Î$417)</f>
      </c>
      <c r="EM417">
        <f>IF(ISBLANK('Data Entry'!$Ï$417), "", 'Data Entry'!$Ï$417)</f>
      </c>
      <c r="EN417">
        <f>IF(ISBLANK('Data Entry'!$Ð$417), "", 'Data Entry'!$Ð$417)</f>
      </c>
      <c r="EO417">
        <f>IF(ISBLANK('Data Entry'!$Ñ$417), "", 'Data Entry'!$Ñ$417)</f>
      </c>
      <c r="EP417">
        <f>IF(ISBLANK('Data Entry'!$Ò$417), "", 'Data Entry'!$Ò$417)</f>
      </c>
      <c r="EQ417">
        <f>IF(ISBLANK('Data Entry'!$Ó$417), "", 'Data Entry'!$Ó$417)</f>
      </c>
      <c r="ER417">
        <f>IF(ISBLANK('Data Entry'!$Ô$417), "", 'Data Entry'!$Ô$417)</f>
      </c>
      <c r="ES417">
        <f>IF(ISBLANK('Data Entry'!$Õ$417), "", 'Data Entry'!$Õ$417)</f>
      </c>
      <c r="ET417">
        <f>IF(ISBLANK('Data Entry'!$Ö$417), "", 'Data Entry'!$Ö$417)</f>
      </c>
      <c r="EU417">
        <f>IF(ISBLANK('Data Entry'!$×$417), "", 'Data Entry'!$×$417)</f>
      </c>
      <c r="EV417">
        <f>IF(ISBLANK('Data Entry'!$Ø$417), "", 'Data Entry'!$Ø$417)</f>
      </c>
      <c r="EW417">
        <f>IF(ISBLANK('Data Entry'!$Ù$417), "", 'Data Entry'!$Ù$417)</f>
      </c>
      <c r="EX417">
        <f>IF(ISBLANK('Data Entry'!$Ú$417), "", 'Data Entry'!$Ú$417)</f>
      </c>
      <c r="EY417">
        <f>IF(ISBLANK('Data Entry'!$Û$417), "", 'Data Entry'!$Û$417)</f>
      </c>
      <c r="EZ417">
        <f>IF(ISBLANK('Data Entry'!$Ü$417), "", 'Data Entry'!$Ü$417)</f>
      </c>
      <c r="FA417">
        <f>IF(ISBLANK('Data Entry'!$Ý$417), "", 'Data Entry'!$Ý$417)</f>
      </c>
      <c r="FB417">
        <f>IF(ISBLANK('Data Entry'!$Þ$417), "", 'Data Entry'!$Þ$417)</f>
      </c>
      <c r="FC417">
        <f>IF(ISBLANK('Data Entry'!$ß$417), "", 'Data Entry'!$ß$417)</f>
      </c>
      <c r="FD417">
        <f>IF(ISBLANK('Data Entry'!$à$417), "", 'Data Entry'!$à$417)</f>
      </c>
      <c r="FE417">
        <f>IF(ISBLANK('Data Entry'!$á$417), "", 'Data Entry'!$á$417)</f>
      </c>
      <c r="FF417">
        <f>IF(ISBLANK('Data Entry'!$â$417), "", 'Data Entry'!$â$417)</f>
      </c>
      <c r="FG417">
        <f>IF(ISBLANK('Data Entry'!$ã$417), "", 'Data Entry'!$ã$417)</f>
      </c>
      <c r="FH417">
        <f>IF(ISBLANK('Data Entry'!$ä$417), "", 'Data Entry'!$ä$417)</f>
      </c>
      <c r="FI417">
        <f>IF(ISBLANK('Data Entry'!$å$417), "", 'Data Entry'!$å$417)</f>
      </c>
      <c r="FJ417">
        <f>IF(ISBLANK('Data Entry'!$æ$417), "", 'Data Entry'!$æ$417)</f>
      </c>
      <c r="FK417">
        <f>IF(ISBLANK('Data Entry'!$ç$417), "", 'Data Entry'!$ç$417)</f>
      </c>
      <c r="FL417">
        <f>IF(ISBLANK('Data Entry'!$è$417), "", 'Data Entry'!$è$417)</f>
      </c>
      <c r="FM417">
        <f>IF(ISBLANK('Data Entry'!$é$417), "", 'Data Entry'!$é$417)</f>
      </c>
      <c r="FN417">
        <f>IF(ISBLANK('Data Entry'!$ê$417), "", 'Data Entry'!$ê$417)</f>
      </c>
      <c r="FO417">
        <f>IF(ISBLANK('Data Entry'!$ë$417), "", 'Data Entry'!$ë$417)</f>
      </c>
      <c r="FP417">
        <f>IF(ISBLANK('Data Entry'!$ì$417), "", 'Data Entry'!$ì$417)</f>
      </c>
      <c r="FQ417">
        <f>IF(ISBLANK('Data Entry'!$í$417), "", 'Data Entry'!$í$417)</f>
      </c>
      <c r="FR417">
        <f>IF(ISBLANK('Data Entry'!$î$417), "", 'Data Entry'!$î$417)</f>
      </c>
      <c r="FS417">
        <f>IF(ISBLANK('Data Entry'!$ï$417), "", 'Data Entry'!$ï$417)</f>
      </c>
      <c r="FT417">
        <f>IF(ISBLANK('Data Entry'!$ð$417), "", 'Data Entry'!$ð$417)</f>
      </c>
      <c r="FU417">
        <f>IF(ISBLANK('Data Entry'!$ñ$417), "", 'Data Entry'!$ñ$417)</f>
      </c>
      <c r="FV417">
        <f>IF(ISBLANK('Data Entry'!$ò$417), "", 'Data Entry'!$ò$417)</f>
      </c>
      <c r="FW417">
        <f>IF(ISBLANK('Data Entry'!$ó$417), "", 'Data Entry'!$ó$417)</f>
      </c>
      <c r="FX417">
        <f>IF(ISBLANK('Data Entry'!$ô$417), "", 'Data Entry'!$ô$417)</f>
      </c>
      <c r="FY417">
        <f>IF(ISBLANK('Data Entry'!$õ$417), "", 'Data Entry'!$õ$417)</f>
      </c>
      <c r="FZ417">
        <f>IF(ISBLANK('Data Entry'!$ö$417), "", 'Data Entry'!$ö$417)</f>
      </c>
      <c r="GA417">
        <f>IF(ISBLANK('Data Entry'!$÷$417), "", 'Data Entry'!$÷$417)</f>
      </c>
      <c r="GB417">
        <f>IF(ISBLANK('Data Entry'!$ø$417), "", 'Data Entry'!$ø$417)</f>
      </c>
      <c r="GC417">
        <f>IF(ISBLANK('Data Entry'!$ù$417), "", 'Data Entry'!$ù$417)</f>
      </c>
      <c r="GD417">
        <f>IF(ISBLANK('Data Entry'!$ú$417), "", 'Data Entry'!$ú$417)</f>
      </c>
      <c r="GE417">
        <f>IF(ISBLANK('Data Entry'!$û$417), "", 'Data Entry'!$û$417)</f>
      </c>
      <c r="GF417">
        <f>IF(ISBLANK('Data Entry'!$ü$417), "", 'Data Entry'!$ü$417)</f>
      </c>
      <c r="GG417">
        <f>IF(ISBLANK('Data Entry'!$ý$417), "", 'Data Entry'!$ý$417)</f>
      </c>
      <c r="GH417">
        <f>IF(ISBLANK('Data Entry'!$þ$417), "", 'Data Entry'!$þ$417)</f>
      </c>
      <c r="GI417">
        <f>IF(ISBLANK('Data Entry'!$ÿ$417), "", 'Data Entry'!$ÿ$417)</f>
      </c>
      <c r="GJ417">
        <f>IF(ISBLANK('Data Entry'!$Ā$417), "", 'Data Entry'!$Ā$417)</f>
      </c>
      <c r="GK417">
        <f>IF(ISBLANK('Data Entry'!$ā$417), "", 'Data Entry'!$ā$417)</f>
      </c>
      <c r="GL417">
        <f>IF(ISBLANK('Data Entry'!$Ă$417), "", 'Data Entry'!$Ă$417)</f>
      </c>
      <c r="GM417">
        <f>IF(ISBLANK('Data Entry'!$ă$417), "", 'Data Entry'!$ă$417)</f>
      </c>
      <c r="GN417">
        <f>IF(ISBLANK('Data Entry'!$Ą$417), "", 'Data Entry'!$Ą$417)</f>
      </c>
      <c r="GO417">
        <f>IF(ISBLANK('Data Entry'!$ą$417), "", 'Data Entry'!$ą$417)</f>
      </c>
      <c r="GP417">
        <f>IF(ISBLANK('Data Entry'!$Ć$417), "", 'Data Entry'!$Ć$417)</f>
      </c>
      <c r="GQ417">
        <f>IF(ISBLANK('Data Entry'!$ć$417), "", 'Data Entry'!$ć$417)</f>
      </c>
      <c r="GR417">
        <f>IF(ISBLANK('Data Entry'!$Ĉ$417), "", 'Data Entry'!$Ĉ$417)</f>
      </c>
      <c r="GS417">
        <f>IF(ISBLANK('Data Entry'!$ĉ$417), "", 'Data Entry'!$ĉ$417)</f>
      </c>
      <c r="GT417">
        <f>IF(ISBLANK('Data Entry'!$Ċ$417), "", 'Data Entry'!$Ċ$417)</f>
      </c>
      <c r="GU417">
        <f>IF(ISBLANK('Data Entry'!$ċ$417), "", 'Data Entry'!$ċ$417)</f>
      </c>
      <c r="GV417">
        <f>IF(ISBLANK('Data Entry'!$Č$417), "", 'Data Entry'!$Č$417)</f>
      </c>
      <c r="GW417">
        <f>IF(ISBLANK('Data Entry'!$č$417), "", 'Data Entry'!$č$417)</f>
      </c>
      <c r="GX417">
        <f>IF(ISBLANK('Data Entry'!$Ď$417), "", 'Data Entry'!$Ď$417)</f>
      </c>
      <c r="GY417">
        <f>IF(ISBLANK('Data Entry'!$ď$417), "", 'Data Entry'!$ď$417)</f>
      </c>
      <c r="GZ417">
        <f>IF(ISBLANK('Data Entry'!$Đ$417), "", 'Data Entry'!$Đ$417)</f>
      </c>
      <c r="HA417">
        <f>IF(ISBLANK('Data Entry'!$đ$417), "", 'Data Entry'!$đ$417)</f>
      </c>
      <c r="HB417">
        <f>IF(ISBLANK('Data Entry'!$Ē$417), "", 'Data Entry'!$Ē$417)</f>
      </c>
      <c r="HC417">
        <f>IF(ISBLANK('Data Entry'!$ē$417), "", 'Data Entry'!$ē$417)</f>
      </c>
      <c r="HD417">
        <f>IF(ISBLANK('Data Entry'!$Ĕ$417), "", 'Data Entry'!$Ĕ$417)</f>
      </c>
      <c r="HE417">
        <f>IF(ISBLANK('Data Entry'!$ĕ$417), "", 'Data Entry'!$ĕ$417)</f>
      </c>
      <c r="HF417">
        <f>IF(ISBLANK('Data Entry'!$Ė$417), "", 'Data Entry'!$Ė$417)</f>
      </c>
      <c r="HG417">
        <f>IF(ISBLANK('Data Entry'!$ė$417), "", 'Data Entry'!$ė$417)</f>
      </c>
      <c r="HH417">
        <f>IF(ISBLANK('Data Entry'!$Ę$417), "", 'Data Entry'!$Ę$417)</f>
      </c>
      <c r="HI417">
        <f>IF(ISBLANK('Data Entry'!$ę$417), "", 'Data Entry'!$ę$417)</f>
      </c>
      <c r="HJ417">
        <f>IF(ISBLANK('Data Entry'!$Ě$417), "", 'Data Entry'!$Ě$417)</f>
      </c>
      <c r="HK417">
        <f>IF(ISBLANK('Data Entry'!$ě$417), "", 'Data Entry'!$ě$417)</f>
      </c>
      <c r="HL417">
        <f>IF(ISBLANK('Data Entry'!$Ĝ$417), "", 'Data Entry'!$Ĝ$417)</f>
      </c>
      <c r="HM417">
        <f>IF(ISBLANK('Data Entry'!$ĝ$417), "", 'Data Entry'!$ĝ$417)</f>
      </c>
      <c r="HN417">
        <f>IF(ISBLANK('Data Entry'!$Ğ$417), "", 'Data Entry'!$Ğ$417)</f>
      </c>
      <c r="HO417">
        <f>IF(ISBLANK('Data Entry'!$ğ$417), "", 'Data Entry'!$ğ$417)</f>
      </c>
      <c r="HP417">
        <f>IF(ISBLANK('Data Entry'!$Ġ$417), "", 'Data Entry'!$Ġ$417)</f>
      </c>
      <c r="HQ417">
        <f>IF(ISBLANK('Data Entry'!$ġ$417), "", 'Data Entry'!$ġ$417)</f>
      </c>
      <c r="HR417">
        <f>IF(ISBLANK('Data Entry'!$Ģ$417), "", 'Data Entry'!$Ģ$417)</f>
      </c>
      <c r="HS417">
        <f>IF(ISBLANK('Data Entry'!$ģ$417), "", 'Data Entry'!$ģ$417)</f>
      </c>
      <c r="HT417">
        <f>IF(ISBLANK('Data Entry'!$Ĥ$417), "", 'Data Entry'!$Ĥ$417)</f>
      </c>
      <c r="HU417">
        <f>IF(ISBLANK('Data Entry'!$ĥ$417), "", 'Data Entry'!$ĥ$417)</f>
      </c>
      <c r="HV417">
        <f>IF(ISBLANK('Data Entry'!$Ħ$417), "", 'Data Entry'!$Ħ$417)</f>
      </c>
      <c r="HW417">
        <f>IF(ISBLANK('Data Entry'!$ħ$417), "", 'Data Entry'!$ħ$417)</f>
      </c>
      <c r="HX417">
        <f>IF(ISBLANK('Data Entry'!$Ĩ$417), "", 'Data Entry'!$Ĩ$417)</f>
      </c>
      <c r="HY417">
        <f>IF(ISBLANK('Data Entry'!$ĩ$417), "", 'Data Entry'!$ĩ$417)</f>
      </c>
      <c r="HZ417">
        <f>IF(ISBLANK('Data Entry'!$Ī$417), "", 'Data Entry'!$Ī$417)</f>
      </c>
      <c r="IA417">
        <f>IF(ISBLANK('Data Entry'!$ī$417), "", 'Data Entry'!$ī$417)</f>
      </c>
      <c r="IB417">
        <f>IF(ISBLANK('Data Entry'!$Ĭ$417), "", 'Data Entry'!$Ĭ$417)</f>
      </c>
      <c r="IC417">
        <f>IF(ISBLANK('Data Entry'!$ĭ$417), "", 'Data Entry'!$ĭ$417)</f>
      </c>
      <c r="ID417">
        <f>IF(ISBLANK('Data Entry'!$Į$417), "", 'Data Entry'!$Į$417)</f>
      </c>
      <c r="IE417">
        <f>IF(ISBLANK('Data Entry'!$į$417), "", 'Data Entry'!$į$417)</f>
      </c>
      <c r="IF417">
        <f>IF(ISBLANK('Data Entry'!$İ$417), "", 'Data Entry'!$İ$417)</f>
      </c>
      <c r="IG417">
        <f>IF(ISBLANK('Data Entry'!$ı$417), "", 'Data Entry'!$ı$417)</f>
      </c>
      <c r="IH417">
        <f>IF(ISBLANK('Data Entry'!$Ĳ$417), "", 'Data Entry'!$Ĳ$417)</f>
      </c>
      <c r="II417">
        <f>IF(ISBLANK('Data Entry'!$ĳ$417), "", 'Data Entry'!$ĳ$417)</f>
      </c>
      <c r="IJ417">
        <f>IF(ISBLANK('Data Entry'!$Ĵ$417), "", 'Data Entry'!$Ĵ$417)</f>
      </c>
      <c r="IK417">
        <f>IF(ISBLANK('Data Entry'!$ĵ$417), "", 'Data Entry'!$ĵ$417)</f>
      </c>
      <c r="IL417">
        <f>IF(ISBLANK('Data Entry'!$Ķ$417), "", 'Data Entry'!$Ķ$417)</f>
      </c>
      <c r="IM417">
        <f>IF(ISBLANK('Data Entry'!$ķ$417), "", 'Data Entry'!$ķ$417)</f>
      </c>
      <c r="IN417">
        <f>IF(ISBLANK('Data Entry'!$ĸ$417), "", 'Data Entry'!$ĸ$417)</f>
      </c>
      <c r="IO417">
        <f>IF(ISBLANK('Data Entry'!$Ĺ$417), "", 'Data Entry'!$Ĺ$417)</f>
      </c>
      <c r="IP417">
        <f>IF(ISBLANK('Data Entry'!$ĺ$417), "", 'Data Entry'!$ĺ$417)</f>
      </c>
      <c r="IQ417">
        <f>IF(ISBLANK('Data Entry'!$Ļ$417), "", 'Data Entry'!$Ļ$417)</f>
      </c>
      <c r="IR417">
        <f>IF(ISBLANK('Data Entry'!$ļ$417), "", 'Data Entry'!$ļ$417)</f>
      </c>
      <c r="IS417">
        <f>IF(ISBLANK('Data Entry'!$Ľ$417), "", 'Data Entry'!$Ľ$417)</f>
      </c>
      <c r="IT417">
        <f>IF(ISBLANK('Data Entry'!$ľ$417), "", 'Data Entry'!$ľ$417)</f>
      </c>
    </row>
    <row r="418" spans="1:254" x14ac:dyDescent="0.25">
      <c r="A418">
        <f>IF(ISBLANK('Data Entry'!$A$418), "", 'Data Entry'!$A$418)</f>
      </c>
      <c r="B418">
        <f>IF(ISBLANK('Data Entry'!$B$418), "", 'Data Entry'!$B$418)</f>
      </c>
      <c r="C418">
        <f>IF(ISBLANK('Data Entry'!$C$418), "", 'Data Entry'!$C$418)</f>
      </c>
      <c r="D418">
        <f>IF(ISBLANK('Data Entry'!$D$418), "", 'Data Entry'!$D$418)</f>
      </c>
      <c r="E418">
        <f>IF(ISBLANK('Data Entry'!$E$418), "", 'Data Entry'!$E$418)</f>
      </c>
      <c r="F418">
        <f>IF(ISBLANK('Data Entry'!$F$418), "", 'Data Entry'!$F$418)</f>
      </c>
      <c r="G418">
        <f>IF(ISBLANK('Data Entry'!$G$418), "", 'Data Entry'!$G$418)</f>
      </c>
      <c r="H418">
        <f>IF(ISBLANK('Data Entry'!$H$418), "", 'Data Entry'!$H$418)</f>
      </c>
      <c r="I418">
        <f>IF(ISBLANK('Data Entry'!$I$418), "", 'Data Entry'!$I$418)</f>
      </c>
      <c r="J418">
        <f>IF(ISBLANK('Data Entry'!$J$418), "", 'Data Entry'!$J$418)</f>
      </c>
      <c r="K418">
        <f>IF(ISBLANK('Data Entry'!$K$418), "", 'Data Entry'!$K$418)</f>
      </c>
      <c r="L418">
        <f>IF(ISBLANK('Data Entry'!$L$418), "", 'Data Entry'!$L$418)</f>
      </c>
      <c r="M418">
        <f>IF(ISBLANK('Data Entry'!$M$418), "", 'Data Entry'!$M$418)</f>
      </c>
      <c r="N418">
        <f>IF(ISBLANK('Data Entry'!$N$418), "", 'Data Entry'!$N$418)</f>
      </c>
      <c r="O418">
        <f>IF(ISBLANK('Data Entry'!$O$418), "", 'Data Entry'!$O$418)</f>
      </c>
      <c r="P418">
        <f>IF(ISBLANK('Data Entry'!$P$418), "", 'Data Entry'!$P$418)</f>
      </c>
      <c r="Q418">
        <f>IF(ISBLANK('Data Entry'!$Q$418), "", 'Data Entry'!$Q$418)</f>
      </c>
      <c r="R418">
        <f>IF(ISBLANK('Data Entry'!$R$418), "", 'Data Entry'!$R$418)</f>
      </c>
      <c r="S418">
        <f>IF(ISBLANK('Data Entry'!$S$418), "", 'Data Entry'!$S$418)</f>
      </c>
      <c r="T418">
        <f>IF(ISBLANK('Data Entry'!$T$418), "", 'Data Entry'!$T$418)</f>
      </c>
      <c r="U418">
        <f>IF(ISBLANK('Data Entry'!$U$418), "", 'Data Entry'!$U$418)</f>
      </c>
      <c r="V418">
        <f>IF(ISBLANK('Data Entry'!$V$418), "", 'Data Entry'!$V$418)</f>
      </c>
      <c r="W418">
        <f>IF(ISBLANK('Data Entry'!$W$418), "", 'Data Entry'!$W$418)</f>
      </c>
      <c r="X418">
        <f>IF(ISBLANK('Data Entry'!$X$418), "", 'Data Entry'!$X$418)</f>
      </c>
      <c r="Y418">
        <f>IF(ISBLANK('Data Entry'!$Y$418), "", 'Data Entry'!$Y$418)</f>
      </c>
      <c r="Z418">
        <f>IF(ISBLANK('Data Entry'!$Z$418), "", 'Data Entry'!$Z$418)</f>
      </c>
      <c r="AA418">
        <f>IF(ISBLANK('Data Entry'!$[$418), "", 'Data Entry'!$[$418)</f>
      </c>
      <c r="AB418">
        <f>IF(ISBLANK('Data Entry'!$\$418), "", 'Data Entry'!$\$418)</f>
      </c>
      <c r="AC418">
        <f>IF(ISBLANK('Data Entry'!$]$418), "", 'Data Entry'!$]$418)</f>
      </c>
      <c r="AD418">
        <f>IF(ISBLANK('Data Entry'!$^$418), "", 'Data Entry'!$^$418)</f>
      </c>
      <c r="AE418">
        <f>IF(ISBLANK('Data Entry'!$_$418), "", 'Data Entry'!$_$418)</f>
      </c>
      <c r="AF418">
        <f>IF(ISBLANK('Data Entry'!$`$418), "", 'Data Entry'!$`$418)</f>
      </c>
      <c r="AG418">
        <f>IF(ISBLANK('Data Entry'!$a$418), "", 'Data Entry'!$a$418)</f>
      </c>
      <c r="AH418">
        <f>IF(ISBLANK('Data Entry'!$b$418), "", 'Data Entry'!$b$418)</f>
      </c>
      <c r="AI418">
        <f>IF(ISBLANK('Data Entry'!$c$418), "", 'Data Entry'!$c$418)</f>
      </c>
      <c r="AJ418">
        <f>IF(ISBLANK('Data Entry'!$d$418), "", 'Data Entry'!$d$418)</f>
      </c>
      <c r="AK418">
        <f>IF(ISBLANK('Data Entry'!$e$418), "", 'Data Entry'!$e$418)</f>
      </c>
      <c r="AL418">
        <f>IF(ISBLANK('Data Entry'!$f$418), "", 'Data Entry'!$f$418)</f>
      </c>
      <c r="AM418">
        <f>IF(ISBLANK('Data Entry'!$g$418), "", 'Data Entry'!$g$418)</f>
      </c>
      <c r="AN418">
        <f>IF(ISBLANK('Data Entry'!$h$418), "", 'Data Entry'!$h$418)</f>
      </c>
      <c r="AO418">
        <f>IF(ISBLANK('Data Entry'!$i$418), "", 'Data Entry'!$i$418)</f>
      </c>
      <c r="AP418">
        <f>IF(ISBLANK('Data Entry'!$j$418), "", 'Data Entry'!$j$418)</f>
      </c>
      <c r="AQ418">
        <f>IF(ISBLANK('Data Entry'!$k$418), "", 'Data Entry'!$k$418)</f>
      </c>
      <c r="AR418">
        <f>IF(ISBLANK('Data Entry'!$l$418), "", 'Data Entry'!$l$418)</f>
      </c>
      <c r="AS418">
        <f>IF(ISBLANK('Data Entry'!$m$418), "", 'Data Entry'!$m$418)</f>
      </c>
      <c r="AT418">
        <f>IF(ISBLANK('Data Entry'!$n$418), "", 'Data Entry'!$n$418)</f>
      </c>
      <c r="AU418">
        <f>IF(ISBLANK('Data Entry'!$o$418), "", 'Data Entry'!$o$418)</f>
      </c>
      <c r="AV418">
        <f>IF(ISBLANK('Data Entry'!$p$418), "", 'Data Entry'!$p$418)</f>
      </c>
      <c r="AW418">
        <f>IF(ISBLANK('Data Entry'!$q$418), "", 'Data Entry'!$q$418)</f>
      </c>
      <c r="AX418">
        <f>IF(ISBLANK('Data Entry'!$r$418), "", 'Data Entry'!$r$418)</f>
      </c>
      <c r="AY418">
        <f>IF(ISBLANK('Data Entry'!$s$418), "", 'Data Entry'!$s$418)</f>
      </c>
      <c r="AZ418">
        <f>IF(ISBLANK('Data Entry'!$t$418), "", 'Data Entry'!$t$418)</f>
      </c>
      <c r="BA418">
        <f>IF(ISBLANK('Data Entry'!$u$418), "", 'Data Entry'!$u$418)</f>
      </c>
      <c r="BB418">
        <f>IF(ISBLANK('Data Entry'!$v$418), "", 'Data Entry'!$v$418)</f>
      </c>
      <c r="BC418">
        <f>IF(ISBLANK('Data Entry'!$w$418), "", 'Data Entry'!$w$418)</f>
      </c>
      <c r="BD418">
        <f>IF(ISBLANK('Data Entry'!$x$418), "", 'Data Entry'!$x$418)</f>
      </c>
      <c r="BE418">
        <f>IF(ISBLANK('Data Entry'!$y$418), "", 'Data Entry'!$y$418)</f>
      </c>
      <c r="BF418">
        <f>IF(ISBLANK('Data Entry'!$z$418), "", 'Data Entry'!$z$418)</f>
      </c>
      <c r="BG418">
        <f>IF(ISBLANK('Data Entry'!${$418), "", 'Data Entry'!${$418)</f>
      </c>
      <c r="BH418">
        <f>IF(ISBLANK('Data Entry'!$|$418), "", 'Data Entry'!$|$418)</f>
      </c>
      <c r="BI418">
        <f>IF(ISBLANK('Data Entry'!$}$418), "", 'Data Entry'!$}$418)</f>
      </c>
      <c r="BJ418">
        <f>IF(ISBLANK('Data Entry'!$~$418), "", 'Data Entry'!$~$418)</f>
      </c>
      <c r="BK418">
        <f>IF(ISBLANK('Data Entry'!$$418), "", 'Data Entry'!$$418)</f>
      </c>
      <c r="BL418">
        <f>IF(ISBLANK('Data Entry'!$$418), "", 'Data Entry'!$$418)</f>
      </c>
      <c r="BM418">
        <f>IF(ISBLANK('Data Entry'!$$418), "", 'Data Entry'!$$418)</f>
      </c>
      <c r="BN418">
        <f>IF(ISBLANK('Data Entry'!$$418), "", 'Data Entry'!$$418)</f>
      </c>
      <c r="BO418">
        <f>IF(ISBLANK('Data Entry'!$$418), "", 'Data Entry'!$$418)</f>
      </c>
      <c r="BP418">
        <f>IF(ISBLANK('Data Entry'!$$418), "", 'Data Entry'!$$418)</f>
      </c>
      <c r="BQ418">
        <f>IF(ISBLANK('Data Entry'!$$418), "", 'Data Entry'!$$418)</f>
      </c>
      <c r="BR418">
        <f>IF(ISBLANK('Data Entry'!$$418), "", 'Data Entry'!$$418)</f>
      </c>
      <c r="BS418">
        <f>IF(ISBLANK('Data Entry'!$$418), "", 'Data Entry'!$$418)</f>
      </c>
      <c r="BT418">
        <f>IF(ISBLANK('Data Entry'!$$418), "", 'Data Entry'!$$418)</f>
      </c>
      <c r="BU418">
        <f>IF(ISBLANK('Data Entry'!$$418), "", 'Data Entry'!$$418)</f>
      </c>
      <c r="BV418">
        <f>IF(ISBLANK('Data Entry'!$$418), "", 'Data Entry'!$$418)</f>
      </c>
      <c r="BW418">
        <f>IF(ISBLANK('Data Entry'!$$418), "", 'Data Entry'!$$418)</f>
      </c>
      <c r="BX418">
        <f>IF(ISBLANK('Data Entry'!$$418), "", 'Data Entry'!$$418)</f>
      </c>
      <c r="BY418">
        <f>IF(ISBLANK('Data Entry'!$$418), "", 'Data Entry'!$$418)</f>
      </c>
      <c r="BZ418">
        <f>IF(ISBLANK('Data Entry'!$$418), "", 'Data Entry'!$$418)</f>
      </c>
      <c r="CA418">
        <f>IF(ISBLANK('Data Entry'!$$418), "", 'Data Entry'!$$418)</f>
      </c>
      <c r="CB418">
        <f>IF(ISBLANK('Data Entry'!$$418), "", 'Data Entry'!$$418)</f>
      </c>
      <c r="CC418">
        <f>IF(ISBLANK('Data Entry'!$$418), "", 'Data Entry'!$$418)</f>
      </c>
      <c r="CD418">
        <f>IF(ISBLANK('Data Entry'!$$418), "", 'Data Entry'!$$418)</f>
      </c>
      <c r="CE418">
        <f>IF(ISBLANK('Data Entry'!$$418), "", 'Data Entry'!$$418)</f>
      </c>
      <c r="CF418">
        <f>IF(ISBLANK('Data Entry'!$$418), "", 'Data Entry'!$$418)</f>
      </c>
      <c r="CG418">
        <f>IF(ISBLANK('Data Entry'!$$418), "", 'Data Entry'!$$418)</f>
      </c>
      <c r="CH418">
        <f>IF(ISBLANK('Data Entry'!$$418), "", 'Data Entry'!$$418)</f>
      </c>
      <c r="CI418">
        <f>IF(ISBLANK('Data Entry'!$$418), "", 'Data Entry'!$$418)</f>
      </c>
      <c r="CJ418">
        <f>IF(ISBLANK('Data Entry'!$$418), "", 'Data Entry'!$$418)</f>
      </c>
      <c r="CK418">
        <f>IF(ISBLANK('Data Entry'!$$418), "", 'Data Entry'!$$418)</f>
      </c>
      <c r="CL418">
        <f>IF(ISBLANK('Data Entry'!$$418), "", 'Data Entry'!$$418)</f>
      </c>
      <c r="CM418">
        <f>IF(ISBLANK('Data Entry'!$$418), "", 'Data Entry'!$$418)</f>
      </c>
      <c r="CN418">
        <f>IF(ISBLANK('Data Entry'!$$418), "", 'Data Entry'!$$418)</f>
      </c>
      <c r="CO418">
        <f>IF(ISBLANK('Data Entry'!$$418), "", 'Data Entry'!$$418)</f>
      </c>
      <c r="CP418">
        <f>IF(ISBLANK('Data Entry'!$$418), "", 'Data Entry'!$$418)</f>
      </c>
      <c r="CQ418">
        <f>IF(ISBLANK('Data Entry'!$$418), "", 'Data Entry'!$$418)</f>
      </c>
      <c r="CR418">
        <f>IF(ISBLANK('Data Entry'!$ $418), "", 'Data Entry'!$ $418)</f>
      </c>
      <c r="CS418">
        <f>IF(ISBLANK('Data Entry'!$¡$418), "", 'Data Entry'!$¡$418)</f>
      </c>
      <c r="CT418">
        <f>IF(ISBLANK('Data Entry'!$¢$418), "", 'Data Entry'!$¢$418)</f>
      </c>
      <c r="CU418">
        <f>IF(ISBLANK('Data Entry'!$£$418), "", 'Data Entry'!$£$418)</f>
      </c>
      <c r="CV418">
        <f>IF(ISBLANK('Data Entry'!$¤$418), "", 'Data Entry'!$¤$418)</f>
      </c>
      <c r="CW418">
        <f>IF(ISBLANK('Data Entry'!$¥$418), "", 'Data Entry'!$¥$418)</f>
      </c>
      <c r="CX418">
        <f>IF(ISBLANK('Data Entry'!$¦$418), "", 'Data Entry'!$¦$418)</f>
      </c>
      <c r="CY418">
        <f>IF(ISBLANK('Data Entry'!$§$418), "", 'Data Entry'!$§$418)</f>
      </c>
      <c r="CZ418">
        <f>IF(ISBLANK('Data Entry'!$¨$418), "", 'Data Entry'!$¨$418)</f>
      </c>
      <c r="DA418">
        <f>IF(ISBLANK('Data Entry'!$©$418), "", 'Data Entry'!$©$418)</f>
      </c>
      <c r="DB418">
        <f>IF(ISBLANK('Data Entry'!$ª$418), "", 'Data Entry'!$ª$418)</f>
      </c>
      <c r="DC418">
        <f>IF(ISBLANK('Data Entry'!$«$418), "", 'Data Entry'!$«$418)</f>
      </c>
      <c r="DD418">
        <f>IF(ISBLANK('Data Entry'!$¬$418), "", 'Data Entry'!$¬$418)</f>
      </c>
      <c r="DE418">
        <f>IF(ISBLANK('Data Entry'!$­$418), "", 'Data Entry'!$­$418)</f>
      </c>
      <c r="DF418">
        <f>IF(ISBLANK('Data Entry'!$®$418), "", 'Data Entry'!$®$418)</f>
      </c>
      <c r="DG418">
        <f>IF(ISBLANK('Data Entry'!$¯$418), "", 'Data Entry'!$¯$418)</f>
      </c>
      <c r="DH418">
        <f>IF(ISBLANK('Data Entry'!$°$418), "", 'Data Entry'!$°$418)</f>
      </c>
      <c r="DI418">
        <f>IF(ISBLANK('Data Entry'!$±$418), "", 'Data Entry'!$±$418)</f>
      </c>
      <c r="DJ418">
        <f>IF(ISBLANK('Data Entry'!$²$418), "", 'Data Entry'!$²$418)</f>
      </c>
      <c r="DK418">
        <f>IF(ISBLANK('Data Entry'!$³$418), "", 'Data Entry'!$³$418)</f>
      </c>
      <c r="DL418">
        <f>IF(ISBLANK('Data Entry'!$´$418), "", 'Data Entry'!$´$418)</f>
      </c>
      <c r="DM418">
        <f>IF(ISBLANK('Data Entry'!$µ$418), "", 'Data Entry'!$µ$418)</f>
      </c>
      <c r="DN418">
        <f>IF(ISBLANK('Data Entry'!$¶$418), "", 'Data Entry'!$¶$418)</f>
      </c>
      <c r="DO418">
        <f>IF(ISBLANK('Data Entry'!$·$418), "", 'Data Entry'!$·$418)</f>
      </c>
      <c r="DP418">
        <f>IF(ISBLANK('Data Entry'!$¸$418), "", 'Data Entry'!$¸$418)</f>
      </c>
      <c r="DQ418">
        <f>IF(ISBLANK('Data Entry'!$¹$418), "", 'Data Entry'!$¹$418)</f>
      </c>
      <c r="DR418">
        <f>IF(ISBLANK('Data Entry'!$º$418), "", 'Data Entry'!$º$418)</f>
      </c>
      <c r="DS418">
        <f>IF(ISBLANK('Data Entry'!$»$418), "", 'Data Entry'!$»$418)</f>
      </c>
      <c r="DT418">
        <f>IF(ISBLANK('Data Entry'!$¼$418), "", 'Data Entry'!$¼$418)</f>
      </c>
      <c r="DU418">
        <f>IF(ISBLANK('Data Entry'!$½$418), "", 'Data Entry'!$½$418)</f>
      </c>
      <c r="DV418">
        <f>IF(ISBLANK('Data Entry'!$¾$418), "", 'Data Entry'!$¾$418)</f>
      </c>
      <c r="DW418">
        <f>IF(ISBLANK('Data Entry'!$¿$418), "", 'Data Entry'!$¿$418)</f>
      </c>
      <c r="DX418">
        <f>IF(ISBLANK('Data Entry'!$À$418), "", 'Data Entry'!$À$418)</f>
      </c>
      <c r="DY418">
        <f>IF(ISBLANK('Data Entry'!$Á$418), "", 'Data Entry'!$Á$418)</f>
      </c>
      <c r="DZ418">
        <f>IF(ISBLANK('Data Entry'!$Â$418), "", 'Data Entry'!$Â$418)</f>
      </c>
      <c r="EA418">
        <f>IF(ISBLANK('Data Entry'!$Ã$418), "", 'Data Entry'!$Ã$418)</f>
      </c>
      <c r="EB418">
        <f>IF(ISBLANK('Data Entry'!$Ä$418), "", 'Data Entry'!$Ä$418)</f>
      </c>
      <c r="EC418">
        <f>IF(ISBLANK('Data Entry'!$Å$418), "", 'Data Entry'!$Å$418)</f>
      </c>
      <c r="ED418">
        <f>IF(ISBLANK('Data Entry'!$Æ$418), "", 'Data Entry'!$Æ$418)</f>
      </c>
      <c r="EE418">
        <f>IF(ISBLANK('Data Entry'!$Ç$418), "", 'Data Entry'!$Ç$418)</f>
      </c>
      <c r="EF418">
        <f>IF(ISBLANK('Data Entry'!$È$418), "", 'Data Entry'!$È$418)</f>
      </c>
      <c r="EG418">
        <f>IF(ISBLANK('Data Entry'!$É$418), "", 'Data Entry'!$É$418)</f>
      </c>
      <c r="EH418">
        <f>IF(ISBLANK('Data Entry'!$Ê$418), "", 'Data Entry'!$Ê$418)</f>
      </c>
      <c r="EI418">
        <f>IF(ISBLANK('Data Entry'!$Ë$418), "", 'Data Entry'!$Ë$418)</f>
      </c>
      <c r="EJ418">
        <f>IF(ISBLANK('Data Entry'!$Ì$418), "", 'Data Entry'!$Ì$418)</f>
      </c>
      <c r="EK418">
        <f>IF(ISBLANK('Data Entry'!$Í$418), "", 'Data Entry'!$Í$418)</f>
      </c>
      <c r="EL418">
        <f>IF(ISBLANK('Data Entry'!$Î$418), "", 'Data Entry'!$Î$418)</f>
      </c>
      <c r="EM418">
        <f>IF(ISBLANK('Data Entry'!$Ï$418), "", 'Data Entry'!$Ï$418)</f>
      </c>
      <c r="EN418">
        <f>IF(ISBLANK('Data Entry'!$Ð$418), "", 'Data Entry'!$Ð$418)</f>
      </c>
      <c r="EO418">
        <f>IF(ISBLANK('Data Entry'!$Ñ$418), "", 'Data Entry'!$Ñ$418)</f>
      </c>
      <c r="EP418">
        <f>IF(ISBLANK('Data Entry'!$Ò$418), "", 'Data Entry'!$Ò$418)</f>
      </c>
      <c r="EQ418">
        <f>IF(ISBLANK('Data Entry'!$Ó$418), "", 'Data Entry'!$Ó$418)</f>
      </c>
      <c r="ER418">
        <f>IF(ISBLANK('Data Entry'!$Ô$418), "", 'Data Entry'!$Ô$418)</f>
      </c>
      <c r="ES418">
        <f>IF(ISBLANK('Data Entry'!$Õ$418), "", 'Data Entry'!$Õ$418)</f>
      </c>
      <c r="ET418">
        <f>IF(ISBLANK('Data Entry'!$Ö$418), "", 'Data Entry'!$Ö$418)</f>
      </c>
      <c r="EU418">
        <f>IF(ISBLANK('Data Entry'!$×$418), "", 'Data Entry'!$×$418)</f>
      </c>
      <c r="EV418">
        <f>IF(ISBLANK('Data Entry'!$Ø$418), "", 'Data Entry'!$Ø$418)</f>
      </c>
      <c r="EW418">
        <f>IF(ISBLANK('Data Entry'!$Ù$418), "", 'Data Entry'!$Ù$418)</f>
      </c>
      <c r="EX418">
        <f>IF(ISBLANK('Data Entry'!$Ú$418), "", 'Data Entry'!$Ú$418)</f>
      </c>
      <c r="EY418">
        <f>IF(ISBLANK('Data Entry'!$Û$418), "", 'Data Entry'!$Û$418)</f>
      </c>
      <c r="EZ418">
        <f>IF(ISBLANK('Data Entry'!$Ü$418), "", 'Data Entry'!$Ü$418)</f>
      </c>
      <c r="FA418">
        <f>IF(ISBLANK('Data Entry'!$Ý$418), "", 'Data Entry'!$Ý$418)</f>
      </c>
      <c r="FB418">
        <f>IF(ISBLANK('Data Entry'!$Þ$418), "", 'Data Entry'!$Þ$418)</f>
      </c>
      <c r="FC418">
        <f>IF(ISBLANK('Data Entry'!$ß$418), "", 'Data Entry'!$ß$418)</f>
      </c>
      <c r="FD418">
        <f>IF(ISBLANK('Data Entry'!$à$418), "", 'Data Entry'!$à$418)</f>
      </c>
      <c r="FE418">
        <f>IF(ISBLANK('Data Entry'!$á$418), "", 'Data Entry'!$á$418)</f>
      </c>
      <c r="FF418">
        <f>IF(ISBLANK('Data Entry'!$â$418), "", 'Data Entry'!$â$418)</f>
      </c>
      <c r="FG418">
        <f>IF(ISBLANK('Data Entry'!$ã$418), "", 'Data Entry'!$ã$418)</f>
      </c>
      <c r="FH418">
        <f>IF(ISBLANK('Data Entry'!$ä$418), "", 'Data Entry'!$ä$418)</f>
      </c>
      <c r="FI418">
        <f>IF(ISBLANK('Data Entry'!$å$418), "", 'Data Entry'!$å$418)</f>
      </c>
      <c r="FJ418">
        <f>IF(ISBLANK('Data Entry'!$æ$418), "", 'Data Entry'!$æ$418)</f>
      </c>
      <c r="FK418">
        <f>IF(ISBLANK('Data Entry'!$ç$418), "", 'Data Entry'!$ç$418)</f>
      </c>
      <c r="FL418">
        <f>IF(ISBLANK('Data Entry'!$è$418), "", 'Data Entry'!$è$418)</f>
      </c>
      <c r="FM418">
        <f>IF(ISBLANK('Data Entry'!$é$418), "", 'Data Entry'!$é$418)</f>
      </c>
      <c r="FN418">
        <f>IF(ISBLANK('Data Entry'!$ê$418), "", 'Data Entry'!$ê$418)</f>
      </c>
      <c r="FO418">
        <f>IF(ISBLANK('Data Entry'!$ë$418), "", 'Data Entry'!$ë$418)</f>
      </c>
      <c r="FP418">
        <f>IF(ISBLANK('Data Entry'!$ì$418), "", 'Data Entry'!$ì$418)</f>
      </c>
      <c r="FQ418">
        <f>IF(ISBLANK('Data Entry'!$í$418), "", 'Data Entry'!$í$418)</f>
      </c>
      <c r="FR418">
        <f>IF(ISBLANK('Data Entry'!$î$418), "", 'Data Entry'!$î$418)</f>
      </c>
      <c r="FS418">
        <f>IF(ISBLANK('Data Entry'!$ï$418), "", 'Data Entry'!$ï$418)</f>
      </c>
      <c r="FT418">
        <f>IF(ISBLANK('Data Entry'!$ð$418), "", 'Data Entry'!$ð$418)</f>
      </c>
      <c r="FU418">
        <f>IF(ISBLANK('Data Entry'!$ñ$418), "", 'Data Entry'!$ñ$418)</f>
      </c>
      <c r="FV418">
        <f>IF(ISBLANK('Data Entry'!$ò$418), "", 'Data Entry'!$ò$418)</f>
      </c>
      <c r="FW418">
        <f>IF(ISBLANK('Data Entry'!$ó$418), "", 'Data Entry'!$ó$418)</f>
      </c>
      <c r="FX418">
        <f>IF(ISBLANK('Data Entry'!$ô$418), "", 'Data Entry'!$ô$418)</f>
      </c>
      <c r="FY418">
        <f>IF(ISBLANK('Data Entry'!$õ$418), "", 'Data Entry'!$õ$418)</f>
      </c>
      <c r="FZ418">
        <f>IF(ISBLANK('Data Entry'!$ö$418), "", 'Data Entry'!$ö$418)</f>
      </c>
      <c r="GA418">
        <f>IF(ISBLANK('Data Entry'!$÷$418), "", 'Data Entry'!$÷$418)</f>
      </c>
      <c r="GB418">
        <f>IF(ISBLANK('Data Entry'!$ø$418), "", 'Data Entry'!$ø$418)</f>
      </c>
      <c r="GC418">
        <f>IF(ISBLANK('Data Entry'!$ù$418), "", 'Data Entry'!$ù$418)</f>
      </c>
      <c r="GD418">
        <f>IF(ISBLANK('Data Entry'!$ú$418), "", 'Data Entry'!$ú$418)</f>
      </c>
      <c r="GE418">
        <f>IF(ISBLANK('Data Entry'!$û$418), "", 'Data Entry'!$û$418)</f>
      </c>
      <c r="GF418">
        <f>IF(ISBLANK('Data Entry'!$ü$418), "", 'Data Entry'!$ü$418)</f>
      </c>
      <c r="GG418">
        <f>IF(ISBLANK('Data Entry'!$ý$418), "", 'Data Entry'!$ý$418)</f>
      </c>
      <c r="GH418">
        <f>IF(ISBLANK('Data Entry'!$þ$418), "", 'Data Entry'!$þ$418)</f>
      </c>
      <c r="GI418">
        <f>IF(ISBLANK('Data Entry'!$ÿ$418), "", 'Data Entry'!$ÿ$418)</f>
      </c>
      <c r="GJ418">
        <f>IF(ISBLANK('Data Entry'!$Ā$418), "", 'Data Entry'!$Ā$418)</f>
      </c>
      <c r="GK418">
        <f>IF(ISBLANK('Data Entry'!$ā$418), "", 'Data Entry'!$ā$418)</f>
      </c>
      <c r="GL418">
        <f>IF(ISBLANK('Data Entry'!$Ă$418), "", 'Data Entry'!$Ă$418)</f>
      </c>
      <c r="GM418">
        <f>IF(ISBLANK('Data Entry'!$ă$418), "", 'Data Entry'!$ă$418)</f>
      </c>
      <c r="GN418">
        <f>IF(ISBLANK('Data Entry'!$Ą$418), "", 'Data Entry'!$Ą$418)</f>
      </c>
      <c r="GO418">
        <f>IF(ISBLANK('Data Entry'!$ą$418), "", 'Data Entry'!$ą$418)</f>
      </c>
      <c r="GP418">
        <f>IF(ISBLANK('Data Entry'!$Ć$418), "", 'Data Entry'!$Ć$418)</f>
      </c>
      <c r="GQ418">
        <f>IF(ISBLANK('Data Entry'!$ć$418), "", 'Data Entry'!$ć$418)</f>
      </c>
      <c r="GR418">
        <f>IF(ISBLANK('Data Entry'!$Ĉ$418), "", 'Data Entry'!$Ĉ$418)</f>
      </c>
      <c r="GS418">
        <f>IF(ISBLANK('Data Entry'!$ĉ$418), "", 'Data Entry'!$ĉ$418)</f>
      </c>
      <c r="GT418">
        <f>IF(ISBLANK('Data Entry'!$Ċ$418), "", 'Data Entry'!$Ċ$418)</f>
      </c>
      <c r="GU418">
        <f>IF(ISBLANK('Data Entry'!$ċ$418), "", 'Data Entry'!$ċ$418)</f>
      </c>
      <c r="GV418">
        <f>IF(ISBLANK('Data Entry'!$Č$418), "", 'Data Entry'!$Č$418)</f>
      </c>
      <c r="GW418">
        <f>IF(ISBLANK('Data Entry'!$č$418), "", 'Data Entry'!$č$418)</f>
      </c>
      <c r="GX418">
        <f>IF(ISBLANK('Data Entry'!$Ď$418), "", 'Data Entry'!$Ď$418)</f>
      </c>
      <c r="GY418">
        <f>IF(ISBLANK('Data Entry'!$ď$418), "", 'Data Entry'!$ď$418)</f>
      </c>
      <c r="GZ418">
        <f>IF(ISBLANK('Data Entry'!$Đ$418), "", 'Data Entry'!$Đ$418)</f>
      </c>
      <c r="HA418">
        <f>IF(ISBLANK('Data Entry'!$đ$418), "", 'Data Entry'!$đ$418)</f>
      </c>
      <c r="HB418">
        <f>IF(ISBLANK('Data Entry'!$Ē$418), "", 'Data Entry'!$Ē$418)</f>
      </c>
      <c r="HC418">
        <f>IF(ISBLANK('Data Entry'!$ē$418), "", 'Data Entry'!$ē$418)</f>
      </c>
      <c r="HD418">
        <f>IF(ISBLANK('Data Entry'!$Ĕ$418), "", 'Data Entry'!$Ĕ$418)</f>
      </c>
      <c r="HE418">
        <f>IF(ISBLANK('Data Entry'!$ĕ$418), "", 'Data Entry'!$ĕ$418)</f>
      </c>
      <c r="HF418">
        <f>IF(ISBLANK('Data Entry'!$Ė$418), "", 'Data Entry'!$Ė$418)</f>
      </c>
      <c r="HG418">
        <f>IF(ISBLANK('Data Entry'!$ė$418), "", 'Data Entry'!$ė$418)</f>
      </c>
      <c r="HH418">
        <f>IF(ISBLANK('Data Entry'!$Ę$418), "", 'Data Entry'!$Ę$418)</f>
      </c>
      <c r="HI418">
        <f>IF(ISBLANK('Data Entry'!$ę$418), "", 'Data Entry'!$ę$418)</f>
      </c>
      <c r="HJ418">
        <f>IF(ISBLANK('Data Entry'!$Ě$418), "", 'Data Entry'!$Ě$418)</f>
      </c>
      <c r="HK418">
        <f>IF(ISBLANK('Data Entry'!$ě$418), "", 'Data Entry'!$ě$418)</f>
      </c>
      <c r="HL418">
        <f>IF(ISBLANK('Data Entry'!$Ĝ$418), "", 'Data Entry'!$Ĝ$418)</f>
      </c>
      <c r="HM418">
        <f>IF(ISBLANK('Data Entry'!$ĝ$418), "", 'Data Entry'!$ĝ$418)</f>
      </c>
      <c r="HN418">
        <f>IF(ISBLANK('Data Entry'!$Ğ$418), "", 'Data Entry'!$Ğ$418)</f>
      </c>
      <c r="HO418">
        <f>IF(ISBLANK('Data Entry'!$ğ$418), "", 'Data Entry'!$ğ$418)</f>
      </c>
      <c r="HP418">
        <f>IF(ISBLANK('Data Entry'!$Ġ$418), "", 'Data Entry'!$Ġ$418)</f>
      </c>
      <c r="HQ418">
        <f>IF(ISBLANK('Data Entry'!$ġ$418), "", 'Data Entry'!$ġ$418)</f>
      </c>
      <c r="HR418">
        <f>IF(ISBLANK('Data Entry'!$Ģ$418), "", 'Data Entry'!$Ģ$418)</f>
      </c>
      <c r="HS418">
        <f>IF(ISBLANK('Data Entry'!$ģ$418), "", 'Data Entry'!$ģ$418)</f>
      </c>
      <c r="HT418">
        <f>IF(ISBLANK('Data Entry'!$Ĥ$418), "", 'Data Entry'!$Ĥ$418)</f>
      </c>
      <c r="HU418">
        <f>IF(ISBLANK('Data Entry'!$ĥ$418), "", 'Data Entry'!$ĥ$418)</f>
      </c>
      <c r="HV418">
        <f>IF(ISBLANK('Data Entry'!$Ħ$418), "", 'Data Entry'!$Ħ$418)</f>
      </c>
      <c r="HW418">
        <f>IF(ISBLANK('Data Entry'!$ħ$418), "", 'Data Entry'!$ħ$418)</f>
      </c>
      <c r="HX418">
        <f>IF(ISBLANK('Data Entry'!$Ĩ$418), "", 'Data Entry'!$Ĩ$418)</f>
      </c>
      <c r="HY418">
        <f>IF(ISBLANK('Data Entry'!$ĩ$418), "", 'Data Entry'!$ĩ$418)</f>
      </c>
      <c r="HZ418">
        <f>IF(ISBLANK('Data Entry'!$Ī$418), "", 'Data Entry'!$Ī$418)</f>
      </c>
      <c r="IA418">
        <f>IF(ISBLANK('Data Entry'!$ī$418), "", 'Data Entry'!$ī$418)</f>
      </c>
      <c r="IB418">
        <f>IF(ISBLANK('Data Entry'!$Ĭ$418), "", 'Data Entry'!$Ĭ$418)</f>
      </c>
      <c r="IC418">
        <f>IF(ISBLANK('Data Entry'!$ĭ$418), "", 'Data Entry'!$ĭ$418)</f>
      </c>
      <c r="ID418">
        <f>IF(ISBLANK('Data Entry'!$Į$418), "", 'Data Entry'!$Į$418)</f>
      </c>
      <c r="IE418">
        <f>IF(ISBLANK('Data Entry'!$į$418), "", 'Data Entry'!$į$418)</f>
      </c>
      <c r="IF418">
        <f>IF(ISBLANK('Data Entry'!$İ$418), "", 'Data Entry'!$İ$418)</f>
      </c>
      <c r="IG418">
        <f>IF(ISBLANK('Data Entry'!$ı$418), "", 'Data Entry'!$ı$418)</f>
      </c>
      <c r="IH418">
        <f>IF(ISBLANK('Data Entry'!$Ĳ$418), "", 'Data Entry'!$Ĳ$418)</f>
      </c>
      <c r="II418">
        <f>IF(ISBLANK('Data Entry'!$ĳ$418), "", 'Data Entry'!$ĳ$418)</f>
      </c>
      <c r="IJ418">
        <f>IF(ISBLANK('Data Entry'!$Ĵ$418), "", 'Data Entry'!$Ĵ$418)</f>
      </c>
      <c r="IK418">
        <f>IF(ISBLANK('Data Entry'!$ĵ$418), "", 'Data Entry'!$ĵ$418)</f>
      </c>
      <c r="IL418">
        <f>IF(ISBLANK('Data Entry'!$Ķ$418), "", 'Data Entry'!$Ķ$418)</f>
      </c>
      <c r="IM418">
        <f>IF(ISBLANK('Data Entry'!$ķ$418), "", 'Data Entry'!$ķ$418)</f>
      </c>
      <c r="IN418">
        <f>IF(ISBLANK('Data Entry'!$ĸ$418), "", 'Data Entry'!$ĸ$418)</f>
      </c>
      <c r="IO418">
        <f>IF(ISBLANK('Data Entry'!$Ĺ$418), "", 'Data Entry'!$Ĺ$418)</f>
      </c>
      <c r="IP418">
        <f>IF(ISBLANK('Data Entry'!$ĺ$418), "", 'Data Entry'!$ĺ$418)</f>
      </c>
      <c r="IQ418">
        <f>IF(ISBLANK('Data Entry'!$Ļ$418), "", 'Data Entry'!$Ļ$418)</f>
      </c>
      <c r="IR418">
        <f>IF(ISBLANK('Data Entry'!$ļ$418), "", 'Data Entry'!$ļ$418)</f>
      </c>
      <c r="IS418">
        <f>IF(ISBLANK('Data Entry'!$Ľ$418), "", 'Data Entry'!$Ľ$418)</f>
      </c>
      <c r="IT418">
        <f>IF(ISBLANK('Data Entry'!$ľ$418), "", 'Data Entry'!$ľ$418)</f>
      </c>
    </row>
    <row r="419" spans="1:254" x14ac:dyDescent="0.25">
      <c r="A419">
        <f>IF(ISBLANK('Data Entry'!$A$419), "", 'Data Entry'!$A$419)</f>
      </c>
      <c r="B419">
        <f>IF(ISBLANK('Data Entry'!$B$419), "", 'Data Entry'!$B$419)</f>
      </c>
      <c r="C419">
        <f>IF(ISBLANK('Data Entry'!$C$419), "", 'Data Entry'!$C$419)</f>
      </c>
      <c r="D419">
        <f>IF(ISBLANK('Data Entry'!$D$419), "", 'Data Entry'!$D$419)</f>
      </c>
      <c r="E419">
        <f>IF(ISBLANK('Data Entry'!$E$419), "", 'Data Entry'!$E$419)</f>
      </c>
      <c r="F419">
        <f>IF(ISBLANK('Data Entry'!$F$419), "", 'Data Entry'!$F$419)</f>
      </c>
      <c r="G419">
        <f>IF(ISBLANK('Data Entry'!$G$419), "", 'Data Entry'!$G$419)</f>
      </c>
      <c r="H419">
        <f>IF(ISBLANK('Data Entry'!$H$419), "", 'Data Entry'!$H$419)</f>
      </c>
      <c r="I419">
        <f>IF(ISBLANK('Data Entry'!$I$419), "", 'Data Entry'!$I$419)</f>
      </c>
      <c r="J419">
        <f>IF(ISBLANK('Data Entry'!$J$419), "", 'Data Entry'!$J$419)</f>
      </c>
      <c r="K419">
        <f>IF(ISBLANK('Data Entry'!$K$419), "", 'Data Entry'!$K$419)</f>
      </c>
      <c r="L419">
        <f>IF(ISBLANK('Data Entry'!$L$419), "", 'Data Entry'!$L$419)</f>
      </c>
      <c r="M419">
        <f>IF(ISBLANK('Data Entry'!$M$419), "", 'Data Entry'!$M$419)</f>
      </c>
      <c r="N419">
        <f>IF(ISBLANK('Data Entry'!$N$419), "", 'Data Entry'!$N$419)</f>
      </c>
      <c r="O419">
        <f>IF(ISBLANK('Data Entry'!$O$419), "", 'Data Entry'!$O$419)</f>
      </c>
      <c r="P419">
        <f>IF(ISBLANK('Data Entry'!$P$419), "", 'Data Entry'!$P$419)</f>
      </c>
      <c r="Q419">
        <f>IF(ISBLANK('Data Entry'!$Q$419), "", 'Data Entry'!$Q$419)</f>
      </c>
      <c r="R419">
        <f>IF(ISBLANK('Data Entry'!$R$419), "", 'Data Entry'!$R$419)</f>
      </c>
      <c r="S419">
        <f>IF(ISBLANK('Data Entry'!$S$419), "", 'Data Entry'!$S$419)</f>
      </c>
      <c r="T419">
        <f>IF(ISBLANK('Data Entry'!$T$419), "", 'Data Entry'!$T$419)</f>
      </c>
      <c r="U419">
        <f>IF(ISBLANK('Data Entry'!$U$419), "", 'Data Entry'!$U$419)</f>
      </c>
      <c r="V419">
        <f>IF(ISBLANK('Data Entry'!$V$419), "", 'Data Entry'!$V$419)</f>
      </c>
      <c r="W419">
        <f>IF(ISBLANK('Data Entry'!$W$419), "", 'Data Entry'!$W$419)</f>
      </c>
      <c r="X419">
        <f>IF(ISBLANK('Data Entry'!$X$419), "", 'Data Entry'!$X$419)</f>
      </c>
      <c r="Y419">
        <f>IF(ISBLANK('Data Entry'!$Y$419), "", 'Data Entry'!$Y$419)</f>
      </c>
      <c r="Z419">
        <f>IF(ISBLANK('Data Entry'!$Z$419), "", 'Data Entry'!$Z$419)</f>
      </c>
      <c r="AA419">
        <f>IF(ISBLANK('Data Entry'!$[$419), "", 'Data Entry'!$[$419)</f>
      </c>
      <c r="AB419">
        <f>IF(ISBLANK('Data Entry'!$\$419), "", 'Data Entry'!$\$419)</f>
      </c>
      <c r="AC419">
        <f>IF(ISBLANK('Data Entry'!$]$419), "", 'Data Entry'!$]$419)</f>
      </c>
      <c r="AD419">
        <f>IF(ISBLANK('Data Entry'!$^$419), "", 'Data Entry'!$^$419)</f>
      </c>
      <c r="AE419">
        <f>IF(ISBLANK('Data Entry'!$_$419), "", 'Data Entry'!$_$419)</f>
      </c>
      <c r="AF419">
        <f>IF(ISBLANK('Data Entry'!$`$419), "", 'Data Entry'!$`$419)</f>
      </c>
      <c r="AG419">
        <f>IF(ISBLANK('Data Entry'!$a$419), "", 'Data Entry'!$a$419)</f>
      </c>
      <c r="AH419">
        <f>IF(ISBLANK('Data Entry'!$b$419), "", 'Data Entry'!$b$419)</f>
      </c>
      <c r="AI419">
        <f>IF(ISBLANK('Data Entry'!$c$419), "", 'Data Entry'!$c$419)</f>
      </c>
      <c r="AJ419">
        <f>IF(ISBLANK('Data Entry'!$d$419), "", 'Data Entry'!$d$419)</f>
      </c>
      <c r="AK419">
        <f>IF(ISBLANK('Data Entry'!$e$419), "", 'Data Entry'!$e$419)</f>
      </c>
      <c r="AL419">
        <f>IF(ISBLANK('Data Entry'!$f$419), "", 'Data Entry'!$f$419)</f>
      </c>
      <c r="AM419">
        <f>IF(ISBLANK('Data Entry'!$g$419), "", 'Data Entry'!$g$419)</f>
      </c>
      <c r="AN419">
        <f>IF(ISBLANK('Data Entry'!$h$419), "", 'Data Entry'!$h$419)</f>
      </c>
      <c r="AO419">
        <f>IF(ISBLANK('Data Entry'!$i$419), "", 'Data Entry'!$i$419)</f>
      </c>
      <c r="AP419">
        <f>IF(ISBLANK('Data Entry'!$j$419), "", 'Data Entry'!$j$419)</f>
      </c>
      <c r="AQ419">
        <f>IF(ISBLANK('Data Entry'!$k$419), "", 'Data Entry'!$k$419)</f>
      </c>
      <c r="AR419">
        <f>IF(ISBLANK('Data Entry'!$l$419), "", 'Data Entry'!$l$419)</f>
      </c>
      <c r="AS419">
        <f>IF(ISBLANK('Data Entry'!$m$419), "", 'Data Entry'!$m$419)</f>
      </c>
      <c r="AT419">
        <f>IF(ISBLANK('Data Entry'!$n$419), "", 'Data Entry'!$n$419)</f>
      </c>
      <c r="AU419">
        <f>IF(ISBLANK('Data Entry'!$o$419), "", 'Data Entry'!$o$419)</f>
      </c>
      <c r="AV419">
        <f>IF(ISBLANK('Data Entry'!$p$419), "", 'Data Entry'!$p$419)</f>
      </c>
      <c r="AW419">
        <f>IF(ISBLANK('Data Entry'!$q$419), "", 'Data Entry'!$q$419)</f>
      </c>
      <c r="AX419">
        <f>IF(ISBLANK('Data Entry'!$r$419), "", 'Data Entry'!$r$419)</f>
      </c>
      <c r="AY419">
        <f>IF(ISBLANK('Data Entry'!$s$419), "", 'Data Entry'!$s$419)</f>
      </c>
      <c r="AZ419">
        <f>IF(ISBLANK('Data Entry'!$t$419), "", 'Data Entry'!$t$419)</f>
      </c>
      <c r="BA419">
        <f>IF(ISBLANK('Data Entry'!$u$419), "", 'Data Entry'!$u$419)</f>
      </c>
      <c r="BB419">
        <f>IF(ISBLANK('Data Entry'!$v$419), "", 'Data Entry'!$v$419)</f>
      </c>
      <c r="BC419">
        <f>IF(ISBLANK('Data Entry'!$w$419), "", 'Data Entry'!$w$419)</f>
      </c>
      <c r="BD419">
        <f>IF(ISBLANK('Data Entry'!$x$419), "", 'Data Entry'!$x$419)</f>
      </c>
      <c r="BE419">
        <f>IF(ISBLANK('Data Entry'!$y$419), "", 'Data Entry'!$y$419)</f>
      </c>
      <c r="BF419">
        <f>IF(ISBLANK('Data Entry'!$z$419), "", 'Data Entry'!$z$419)</f>
      </c>
      <c r="BG419">
        <f>IF(ISBLANK('Data Entry'!${$419), "", 'Data Entry'!${$419)</f>
      </c>
      <c r="BH419">
        <f>IF(ISBLANK('Data Entry'!$|$419), "", 'Data Entry'!$|$419)</f>
      </c>
      <c r="BI419">
        <f>IF(ISBLANK('Data Entry'!$}$419), "", 'Data Entry'!$}$419)</f>
      </c>
      <c r="BJ419">
        <f>IF(ISBLANK('Data Entry'!$~$419), "", 'Data Entry'!$~$419)</f>
      </c>
      <c r="BK419">
        <f>IF(ISBLANK('Data Entry'!$$419), "", 'Data Entry'!$$419)</f>
      </c>
      <c r="BL419">
        <f>IF(ISBLANK('Data Entry'!$$419), "", 'Data Entry'!$$419)</f>
      </c>
      <c r="BM419">
        <f>IF(ISBLANK('Data Entry'!$$419), "", 'Data Entry'!$$419)</f>
      </c>
      <c r="BN419">
        <f>IF(ISBLANK('Data Entry'!$$419), "", 'Data Entry'!$$419)</f>
      </c>
      <c r="BO419">
        <f>IF(ISBLANK('Data Entry'!$$419), "", 'Data Entry'!$$419)</f>
      </c>
      <c r="BP419">
        <f>IF(ISBLANK('Data Entry'!$$419), "", 'Data Entry'!$$419)</f>
      </c>
      <c r="BQ419">
        <f>IF(ISBLANK('Data Entry'!$$419), "", 'Data Entry'!$$419)</f>
      </c>
      <c r="BR419">
        <f>IF(ISBLANK('Data Entry'!$$419), "", 'Data Entry'!$$419)</f>
      </c>
      <c r="BS419">
        <f>IF(ISBLANK('Data Entry'!$$419), "", 'Data Entry'!$$419)</f>
      </c>
      <c r="BT419">
        <f>IF(ISBLANK('Data Entry'!$$419), "", 'Data Entry'!$$419)</f>
      </c>
      <c r="BU419">
        <f>IF(ISBLANK('Data Entry'!$$419), "", 'Data Entry'!$$419)</f>
      </c>
      <c r="BV419">
        <f>IF(ISBLANK('Data Entry'!$$419), "", 'Data Entry'!$$419)</f>
      </c>
      <c r="BW419">
        <f>IF(ISBLANK('Data Entry'!$$419), "", 'Data Entry'!$$419)</f>
      </c>
      <c r="BX419">
        <f>IF(ISBLANK('Data Entry'!$$419), "", 'Data Entry'!$$419)</f>
      </c>
      <c r="BY419">
        <f>IF(ISBLANK('Data Entry'!$$419), "", 'Data Entry'!$$419)</f>
      </c>
      <c r="BZ419">
        <f>IF(ISBLANK('Data Entry'!$$419), "", 'Data Entry'!$$419)</f>
      </c>
      <c r="CA419">
        <f>IF(ISBLANK('Data Entry'!$$419), "", 'Data Entry'!$$419)</f>
      </c>
      <c r="CB419">
        <f>IF(ISBLANK('Data Entry'!$$419), "", 'Data Entry'!$$419)</f>
      </c>
      <c r="CC419">
        <f>IF(ISBLANK('Data Entry'!$$419), "", 'Data Entry'!$$419)</f>
      </c>
      <c r="CD419">
        <f>IF(ISBLANK('Data Entry'!$$419), "", 'Data Entry'!$$419)</f>
      </c>
      <c r="CE419">
        <f>IF(ISBLANK('Data Entry'!$$419), "", 'Data Entry'!$$419)</f>
      </c>
      <c r="CF419">
        <f>IF(ISBLANK('Data Entry'!$$419), "", 'Data Entry'!$$419)</f>
      </c>
      <c r="CG419">
        <f>IF(ISBLANK('Data Entry'!$$419), "", 'Data Entry'!$$419)</f>
      </c>
      <c r="CH419">
        <f>IF(ISBLANK('Data Entry'!$$419), "", 'Data Entry'!$$419)</f>
      </c>
      <c r="CI419">
        <f>IF(ISBLANK('Data Entry'!$$419), "", 'Data Entry'!$$419)</f>
      </c>
      <c r="CJ419">
        <f>IF(ISBLANK('Data Entry'!$$419), "", 'Data Entry'!$$419)</f>
      </c>
      <c r="CK419">
        <f>IF(ISBLANK('Data Entry'!$$419), "", 'Data Entry'!$$419)</f>
      </c>
      <c r="CL419">
        <f>IF(ISBLANK('Data Entry'!$$419), "", 'Data Entry'!$$419)</f>
      </c>
      <c r="CM419">
        <f>IF(ISBLANK('Data Entry'!$$419), "", 'Data Entry'!$$419)</f>
      </c>
      <c r="CN419">
        <f>IF(ISBLANK('Data Entry'!$$419), "", 'Data Entry'!$$419)</f>
      </c>
      <c r="CO419">
        <f>IF(ISBLANK('Data Entry'!$$419), "", 'Data Entry'!$$419)</f>
      </c>
      <c r="CP419">
        <f>IF(ISBLANK('Data Entry'!$$419), "", 'Data Entry'!$$419)</f>
      </c>
      <c r="CQ419">
        <f>IF(ISBLANK('Data Entry'!$$419), "", 'Data Entry'!$$419)</f>
      </c>
      <c r="CR419">
        <f>IF(ISBLANK('Data Entry'!$ $419), "", 'Data Entry'!$ $419)</f>
      </c>
      <c r="CS419">
        <f>IF(ISBLANK('Data Entry'!$¡$419), "", 'Data Entry'!$¡$419)</f>
      </c>
      <c r="CT419">
        <f>IF(ISBLANK('Data Entry'!$¢$419), "", 'Data Entry'!$¢$419)</f>
      </c>
      <c r="CU419">
        <f>IF(ISBLANK('Data Entry'!$£$419), "", 'Data Entry'!$£$419)</f>
      </c>
      <c r="CV419">
        <f>IF(ISBLANK('Data Entry'!$¤$419), "", 'Data Entry'!$¤$419)</f>
      </c>
      <c r="CW419">
        <f>IF(ISBLANK('Data Entry'!$¥$419), "", 'Data Entry'!$¥$419)</f>
      </c>
      <c r="CX419">
        <f>IF(ISBLANK('Data Entry'!$¦$419), "", 'Data Entry'!$¦$419)</f>
      </c>
      <c r="CY419">
        <f>IF(ISBLANK('Data Entry'!$§$419), "", 'Data Entry'!$§$419)</f>
      </c>
      <c r="CZ419">
        <f>IF(ISBLANK('Data Entry'!$¨$419), "", 'Data Entry'!$¨$419)</f>
      </c>
      <c r="DA419">
        <f>IF(ISBLANK('Data Entry'!$©$419), "", 'Data Entry'!$©$419)</f>
      </c>
      <c r="DB419">
        <f>IF(ISBLANK('Data Entry'!$ª$419), "", 'Data Entry'!$ª$419)</f>
      </c>
      <c r="DC419">
        <f>IF(ISBLANK('Data Entry'!$«$419), "", 'Data Entry'!$«$419)</f>
      </c>
      <c r="DD419">
        <f>IF(ISBLANK('Data Entry'!$¬$419), "", 'Data Entry'!$¬$419)</f>
      </c>
      <c r="DE419">
        <f>IF(ISBLANK('Data Entry'!$­$419), "", 'Data Entry'!$­$419)</f>
      </c>
      <c r="DF419">
        <f>IF(ISBLANK('Data Entry'!$®$419), "", 'Data Entry'!$®$419)</f>
      </c>
      <c r="DG419">
        <f>IF(ISBLANK('Data Entry'!$¯$419), "", 'Data Entry'!$¯$419)</f>
      </c>
      <c r="DH419">
        <f>IF(ISBLANK('Data Entry'!$°$419), "", 'Data Entry'!$°$419)</f>
      </c>
      <c r="DI419">
        <f>IF(ISBLANK('Data Entry'!$±$419), "", 'Data Entry'!$±$419)</f>
      </c>
      <c r="DJ419">
        <f>IF(ISBLANK('Data Entry'!$²$419), "", 'Data Entry'!$²$419)</f>
      </c>
      <c r="DK419">
        <f>IF(ISBLANK('Data Entry'!$³$419), "", 'Data Entry'!$³$419)</f>
      </c>
      <c r="DL419">
        <f>IF(ISBLANK('Data Entry'!$´$419), "", 'Data Entry'!$´$419)</f>
      </c>
      <c r="DM419">
        <f>IF(ISBLANK('Data Entry'!$µ$419), "", 'Data Entry'!$µ$419)</f>
      </c>
      <c r="DN419">
        <f>IF(ISBLANK('Data Entry'!$¶$419), "", 'Data Entry'!$¶$419)</f>
      </c>
      <c r="DO419">
        <f>IF(ISBLANK('Data Entry'!$·$419), "", 'Data Entry'!$·$419)</f>
      </c>
      <c r="DP419">
        <f>IF(ISBLANK('Data Entry'!$¸$419), "", 'Data Entry'!$¸$419)</f>
      </c>
      <c r="DQ419">
        <f>IF(ISBLANK('Data Entry'!$¹$419), "", 'Data Entry'!$¹$419)</f>
      </c>
      <c r="DR419">
        <f>IF(ISBLANK('Data Entry'!$º$419), "", 'Data Entry'!$º$419)</f>
      </c>
      <c r="DS419">
        <f>IF(ISBLANK('Data Entry'!$»$419), "", 'Data Entry'!$»$419)</f>
      </c>
      <c r="DT419">
        <f>IF(ISBLANK('Data Entry'!$¼$419), "", 'Data Entry'!$¼$419)</f>
      </c>
      <c r="DU419">
        <f>IF(ISBLANK('Data Entry'!$½$419), "", 'Data Entry'!$½$419)</f>
      </c>
      <c r="DV419">
        <f>IF(ISBLANK('Data Entry'!$¾$419), "", 'Data Entry'!$¾$419)</f>
      </c>
      <c r="DW419">
        <f>IF(ISBLANK('Data Entry'!$¿$419), "", 'Data Entry'!$¿$419)</f>
      </c>
      <c r="DX419">
        <f>IF(ISBLANK('Data Entry'!$À$419), "", 'Data Entry'!$À$419)</f>
      </c>
      <c r="DY419">
        <f>IF(ISBLANK('Data Entry'!$Á$419), "", 'Data Entry'!$Á$419)</f>
      </c>
      <c r="DZ419">
        <f>IF(ISBLANK('Data Entry'!$Â$419), "", 'Data Entry'!$Â$419)</f>
      </c>
      <c r="EA419">
        <f>IF(ISBLANK('Data Entry'!$Ã$419), "", 'Data Entry'!$Ã$419)</f>
      </c>
      <c r="EB419">
        <f>IF(ISBLANK('Data Entry'!$Ä$419), "", 'Data Entry'!$Ä$419)</f>
      </c>
      <c r="EC419">
        <f>IF(ISBLANK('Data Entry'!$Å$419), "", 'Data Entry'!$Å$419)</f>
      </c>
      <c r="ED419">
        <f>IF(ISBLANK('Data Entry'!$Æ$419), "", 'Data Entry'!$Æ$419)</f>
      </c>
      <c r="EE419">
        <f>IF(ISBLANK('Data Entry'!$Ç$419), "", 'Data Entry'!$Ç$419)</f>
      </c>
      <c r="EF419">
        <f>IF(ISBLANK('Data Entry'!$È$419), "", 'Data Entry'!$È$419)</f>
      </c>
      <c r="EG419">
        <f>IF(ISBLANK('Data Entry'!$É$419), "", 'Data Entry'!$É$419)</f>
      </c>
      <c r="EH419">
        <f>IF(ISBLANK('Data Entry'!$Ê$419), "", 'Data Entry'!$Ê$419)</f>
      </c>
      <c r="EI419">
        <f>IF(ISBLANK('Data Entry'!$Ë$419), "", 'Data Entry'!$Ë$419)</f>
      </c>
      <c r="EJ419">
        <f>IF(ISBLANK('Data Entry'!$Ì$419), "", 'Data Entry'!$Ì$419)</f>
      </c>
      <c r="EK419">
        <f>IF(ISBLANK('Data Entry'!$Í$419), "", 'Data Entry'!$Í$419)</f>
      </c>
      <c r="EL419">
        <f>IF(ISBLANK('Data Entry'!$Î$419), "", 'Data Entry'!$Î$419)</f>
      </c>
      <c r="EM419">
        <f>IF(ISBLANK('Data Entry'!$Ï$419), "", 'Data Entry'!$Ï$419)</f>
      </c>
      <c r="EN419">
        <f>IF(ISBLANK('Data Entry'!$Ð$419), "", 'Data Entry'!$Ð$419)</f>
      </c>
      <c r="EO419">
        <f>IF(ISBLANK('Data Entry'!$Ñ$419), "", 'Data Entry'!$Ñ$419)</f>
      </c>
      <c r="EP419">
        <f>IF(ISBLANK('Data Entry'!$Ò$419), "", 'Data Entry'!$Ò$419)</f>
      </c>
      <c r="EQ419">
        <f>IF(ISBLANK('Data Entry'!$Ó$419), "", 'Data Entry'!$Ó$419)</f>
      </c>
      <c r="ER419">
        <f>IF(ISBLANK('Data Entry'!$Ô$419), "", 'Data Entry'!$Ô$419)</f>
      </c>
      <c r="ES419">
        <f>IF(ISBLANK('Data Entry'!$Õ$419), "", 'Data Entry'!$Õ$419)</f>
      </c>
      <c r="ET419">
        <f>IF(ISBLANK('Data Entry'!$Ö$419), "", 'Data Entry'!$Ö$419)</f>
      </c>
      <c r="EU419">
        <f>IF(ISBLANK('Data Entry'!$×$419), "", 'Data Entry'!$×$419)</f>
      </c>
      <c r="EV419">
        <f>IF(ISBLANK('Data Entry'!$Ø$419), "", 'Data Entry'!$Ø$419)</f>
      </c>
      <c r="EW419">
        <f>IF(ISBLANK('Data Entry'!$Ù$419), "", 'Data Entry'!$Ù$419)</f>
      </c>
      <c r="EX419">
        <f>IF(ISBLANK('Data Entry'!$Ú$419), "", 'Data Entry'!$Ú$419)</f>
      </c>
      <c r="EY419">
        <f>IF(ISBLANK('Data Entry'!$Û$419), "", 'Data Entry'!$Û$419)</f>
      </c>
      <c r="EZ419">
        <f>IF(ISBLANK('Data Entry'!$Ü$419), "", 'Data Entry'!$Ü$419)</f>
      </c>
      <c r="FA419">
        <f>IF(ISBLANK('Data Entry'!$Ý$419), "", 'Data Entry'!$Ý$419)</f>
      </c>
      <c r="FB419">
        <f>IF(ISBLANK('Data Entry'!$Þ$419), "", 'Data Entry'!$Þ$419)</f>
      </c>
      <c r="FC419">
        <f>IF(ISBLANK('Data Entry'!$ß$419), "", 'Data Entry'!$ß$419)</f>
      </c>
      <c r="FD419">
        <f>IF(ISBLANK('Data Entry'!$à$419), "", 'Data Entry'!$à$419)</f>
      </c>
      <c r="FE419">
        <f>IF(ISBLANK('Data Entry'!$á$419), "", 'Data Entry'!$á$419)</f>
      </c>
      <c r="FF419">
        <f>IF(ISBLANK('Data Entry'!$â$419), "", 'Data Entry'!$â$419)</f>
      </c>
      <c r="FG419">
        <f>IF(ISBLANK('Data Entry'!$ã$419), "", 'Data Entry'!$ã$419)</f>
      </c>
      <c r="FH419">
        <f>IF(ISBLANK('Data Entry'!$ä$419), "", 'Data Entry'!$ä$419)</f>
      </c>
      <c r="FI419">
        <f>IF(ISBLANK('Data Entry'!$å$419), "", 'Data Entry'!$å$419)</f>
      </c>
      <c r="FJ419">
        <f>IF(ISBLANK('Data Entry'!$æ$419), "", 'Data Entry'!$æ$419)</f>
      </c>
      <c r="FK419">
        <f>IF(ISBLANK('Data Entry'!$ç$419), "", 'Data Entry'!$ç$419)</f>
      </c>
      <c r="FL419">
        <f>IF(ISBLANK('Data Entry'!$è$419), "", 'Data Entry'!$è$419)</f>
      </c>
      <c r="FM419">
        <f>IF(ISBLANK('Data Entry'!$é$419), "", 'Data Entry'!$é$419)</f>
      </c>
      <c r="FN419">
        <f>IF(ISBLANK('Data Entry'!$ê$419), "", 'Data Entry'!$ê$419)</f>
      </c>
      <c r="FO419">
        <f>IF(ISBLANK('Data Entry'!$ë$419), "", 'Data Entry'!$ë$419)</f>
      </c>
      <c r="FP419">
        <f>IF(ISBLANK('Data Entry'!$ì$419), "", 'Data Entry'!$ì$419)</f>
      </c>
      <c r="FQ419">
        <f>IF(ISBLANK('Data Entry'!$í$419), "", 'Data Entry'!$í$419)</f>
      </c>
      <c r="FR419">
        <f>IF(ISBLANK('Data Entry'!$î$419), "", 'Data Entry'!$î$419)</f>
      </c>
      <c r="FS419">
        <f>IF(ISBLANK('Data Entry'!$ï$419), "", 'Data Entry'!$ï$419)</f>
      </c>
      <c r="FT419">
        <f>IF(ISBLANK('Data Entry'!$ð$419), "", 'Data Entry'!$ð$419)</f>
      </c>
      <c r="FU419">
        <f>IF(ISBLANK('Data Entry'!$ñ$419), "", 'Data Entry'!$ñ$419)</f>
      </c>
      <c r="FV419">
        <f>IF(ISBLANK('Data Entry'!$ò$419), "", 'Data Entry'!$ò$419)</f>
      </c>
      <c r="FW419">
        <f>IF(ISBLANK('Data Entry'!$ó$419), "", 'Data Entry'!$ó$419)</f>
      </c>
      <c r="FX419">
        <f>IF(ISBLANK('Data Entry'!$ô$419), "", 'Data Entry'!$ô$419)</f>
      </c>
      <c r="FY419">
        <f>IF(ISBLANK('Data Entry'!$õ$419), "", 'Data Entry'!$õ$419)</f>
      </c>
      <c r="FZ419">
        <f>IF(ISBLANK('Data Entry'!$ö$419), "", 'Data Entry'!$ö$419)</f>
      </c>
      <c r="GA419">
        <f>IF(ISBLANK('Data Entry'!$÷$419), "", 'Data Entry'!$÷$419)</f>
      </c>
      <c r="GB419">
        <f>IF(ISBLANK('Data Entry'!$ø$419), "", 'Data Entry'!$ø$419)</f>
      </c>
      <c r="GC419">
        <f>IF(ISBLANK('Data Entry'!$ù$419), "", 'Data Entry'!$ù$419)</f>
      </c>
      <c r="GD419">
        <f>IF(ISBLANK('Data Entry'!$ú$419), "", 'Data Entry'!$ú$419)</f>
      </c>
      <c r="GE419">
        <f>IF(ISBLANK('Data Entry'!$û$419), "", 'Data Entry'!$û$419)</f>
      </c>
      <c r="GF419">
        <f>IF(ISBLANK('Data Entry'!$ü$419), "", 'Data Entry'!$ü$419)</f>
      </c>
      <c r="GG419">
        <f>IF(ISBLANK('Data Entry'!$ý$419), "", 'Data Entry'!$ý$419)</f>
      </c>
      <c r="GH419">
        <f>IF(ISBLANK('Data Entry'!$þ$419), "", 'Data Entry'!$þ$419)</f>
      </c>
      <c r="GI419">
        <f>IF(ISBLANK('Data Entry'!$ÿ$419), "", 'Data Entry'!$ÿ$419)</f>
      </c>
      <c r="GJ419">
        <f>IF(ISBLANK('Data Entry'!$Ā$419), "", 'Data Entry'!$Ā$419)</f>
      </c>
      <c r="GK419">
        <f>IF(ISBLANK('Data Entry'!$ā$419), "", 'Data Entry'!$ā$419)</f>
      </c>
      <c r="GL419">
        <f>IF(ISBLANK('Data Entry'!$Ă$419), "", 'Data Entry'!$Ă$419)</f>
      </c>
      <c r="GM419">
        <f>IF(ISBLANK('Data Entry'!$ă$419), "", 'Data Entry'!$ă$419)</f>
      </c>
      <c r="GN419">
        <f>IF(ISBLANK('Data Entry'!$Ą$419), "", 'Data Entry'!$Ą$419)</f>
      </c>
      <c r="GO419">
        <f>IF(ISBLANK('Data Entry'!$ą$419), "", 'Data Entry'!$ą$419)</f>
      </c>
      <c r="GP419">
        <f>IF(ISBLANK('Data Entry'!$Ć$419), "", 'Data Entry'!$Ć$419)</f>
      </c>
      <c r="GQ419">
        <f>IF(ISBLANK('Data Entry'!$ć$419), "", 'Data Entry'!$ć$419)</f>
      </c>
      <c r="GR419">
        <f>IF(ISBLANK('Data Entry'!$Ĉ$419), "", 'Data Entry'!$Ĉ$419)</f>
      </c>
      <c r="GS419">
        <f>IF(ISBLANK('Data Entry'!$ĉ$419), "", 'Data Entry'!$ĉ$419)</f>
      </c>
      <c r="GT419">
        <f>IF(ISBLANK('Data Entry'!$Ċ$419), "", 'Data Entry'!$Ċ$419)</f>
      </c>
      <c r="GU419">
        <f>IF(ISBLANK('Data Entry'!$ċ$419), "", 'Data Entry'!$ċ$419)</f>
      </c>
      <c r="GV419">
        <f>IF(ISBLANK('Data Entry'!$Č$419), "", 'Data Entry'!$Č$419)</f>
      </c>
      <c r="GW419">
        <f>IF(ISBLANK('Data Entry'!$č$419), "", 'Data Entry'!$č$419)</f>
      </c>
      <c r="GX419">
        <f>IF(ISBLANK('Data Entry'!$Ď$419), "", 'Data Entry'!$Ď$419)</f>
      </c>
      <c r="GY419">
        <f>IF(ISBLANK('Data Entry'!$ď$419), "", 'Data Entry'!$ď$419)</f>
      </c>
      <c r="GZ419">
        <f>IF(ISBLANK('Data Entry'!$Đ$419), "", 'Data Entry'!$Đ$419)</f>
      </c>
      <c r="HA419">
        <f>IF(ISBLANK('Data Entry'!$đ$419), "", 'Data Entry'!$đ$419)</f>
      </c>
      <c r="HB419">
        <f>IF(ISBLANK('Data Entry'!$Ē$419), "", 'Data Entry'!$Ē$419)</f>
      </c>
      <c r="HC419">
        <f>IF(ISBLANK('Data Entry'!$ē$419), "", 'Data Entry'!$ē$419)</f>
      </c>
      <c r="HD419">
        <f>IF(ISBLANK('Data Entry'!$Ĕ$419), "", 'Data Entry'!$Ĕ$419)</f>
      </c>
      <c r="HE419">
        <f>IF(ISBLANK('Data Entry'!$ĕ$419), "", 'Data Entry'!$ĕ$419)</f>
      </c>
      <c r="HF419">
        <f>IF(ISBLANK('Data Entry'!$Ė$419), "", 'Data Entry'!$Ė$419)</f>
      </c>
      <c r="HG419">
        <f>IF(ISBLANK('Data Entry'!$ė$419), "", 'Data Entry'!$ė$419)</f>
      </c>
      <c r="HH419">
        <f>IF(ISBLANK('Data Entry'!$Ę$419), "", 'Data Entry'!$Ę$419)</f>
      </c>
      <c r="HI419">
        <f>IF(ISBLANK('Data Entry'!$ę$419), "", 'Data Entry'!$ę$419)</f>
      </c>
      <c r="HJ419">
        <f>IF(ISBLANK('Data Entry'!$Ě$419), "", 'Data Entry'!$Ě$419)</f>
      </c>
      <c r="HK419">
        <f>IF(ISBLANK('Data Entry'!$ě$419), "", 'Data Entry'!$ě$419)</f>
      </c>
      <c r="HL419">
        <f>IF(ISBLANK('Data Entry'!$Ĝ$419), "", 'Data Entry'!$Ĝ$419)</f>
      </c>
      <c r="HM419">
        <f>IF(ISBLANK('Data Entry'!$ĝ$419), "", 'Data Entry'!$ĝ$419)</f>
      </c>
      <c r="HN419">
        <f>IF(ISBLANK('Data Entry'!$Ğ$419), "", 'Data Entry'!$Ğ$419)</f>
      </c>
      <c r="HO419">
        <f>IF(ISBLANK('Data Entry'!$ğ$419), "", 'Data Entry'!$ğ$419)</f>
      </c>
      <c r="HP419">
        <f>IF(ISBLANK('Data Entry'!$Ġ$419), "", 'Data Entry'!$Ġ$419)</f>
      </c>
      <c r="HQ419">
        <f>IF(ISBLANK('Data Entry'!$ġ$419), "", 'Data Entry'!$ġ$419)</f>
      </c>
      <c r="HR419">
        <f>IF(ISBLANK('Data Entry'!$Ģ$419), "", 'Data Entry'!$Ģ$419)</f>
      </c>
      <c r="HS419">
        <f>IF(ISBLANK('Data Entry'!$ģ$419), "", 'Data Entry'!$ģ$419)</f>
      </c>
      <c r="HT419">
        <f>IF(ISBLANK('Data Entry'!$Ĥ$419), "", 'Data Entry'!$Ĥ$419)</f>
      </c>
      <c r="HU419">
        <f>IF(ISBLANK('Data Entry'!$ĥ$419), "", 'Data Entry'!$ĥ$419)</f>
      </c>
      <c r="HV419">
        <f>IF(ISBLANK('Data Entry'!$Ħ$419), "", 'Data Entry'!$Ħ$419)</f>
      </c>
      <c r="HW419">
        <f>IF(ISBLANK('Data Entry'!$ħ$419), "", 'Data Entry'!$ħ$419)</f>
      </c>
      <c r="HX419">
        <f>IF(ISBLANK('Data Entry'!$Ĩ$419), "", 'Data Entry'!$Ĩ$419)</f>
      </c>
      <c r="HY419">
        <f>IF(ISBLANK('Data Entry'!$ĩ$419), "", 'Data Entry'!$ĩ$419)</f>
      </c>
      <c r="HZ419">
        <f>IF(ISBLANK('Data Entry'!$Ī$419), "", 'Data Entry'!$Ī$419)</f>
      </c>
      <c r="IA419">
        <f>IF(ISBLANK('Data Entry'!$ī$419), "", 'Data Entry'!$ī$419)</f>
      </c>
      <c r="IB419">
        <f>IF(ISBLANK('Data Entry'!$Ĭ$419), "", 'Data Entry'!$Ĭ$419)</f>
      </c>
      <c r="IC419">
        <f>IF(ISBLANK('Data Entry'!$ĭ$419), "", 'Data Entry'!$ĭ$419)</f>
      </c>
      <c r="ID419">
        <f>IF(ISBLANK('Data Entry'!$Į$419), "", 'Data Entry'!$Į$419)</f>
      </c>
      <c r="IE419">
        <f>IF(ISBLANK('Data Entry'!$į$419), "", 'Data Entry'!$į$419)</f>
      </c>
      <c r="IF419">
        <f>IF(ISBLANK('Data Entry'!$İ$419), "", 'Data Entry'!$İ$419)</f>
      </c>
      <c r="IG419">
        <f>IF(ISBLANK('Data Entry'!$ı$419), "", 'Data Entry'!$ı$419)</f>
      </c>
      <c r="IH419">
        <f>IF(ISBLANK('Data Entry'!$Ĳ$419), "", 'Data Entry'!$Ĳ$419)</f>
      </c>
      <c r="II419">
        <f>IF(ISBLANK('Data Entry'!$ĳ$419), "", 'Data Entry'!$ĳ$419)</f>
      </c>
      <c r="IJ419">
        <f>IF(ISBLANK('Data Entry'!$Ĵ$419), "", 'Data Entry'!$Ĵ$419)</f>
      </c>
      <c r="IK419">
        <f>IF(ISBLANK('Data Entry'!$ĵ$419), "", 'Data Entry'!$ĵ$419)</f>
      </c>
      <c r="IL419">
        <f>IF(ISBLANK('Data Entry'!$Ķ$419), "", 'Data Entry'!$Ķ$419)</f>
      </c>
      <c r="IM419">
        <f>IF(ISBLANK('Data Entry'!$ķ$419), "", 'Data Entry'!$ķ$419)</f>
      </c>
      <c r="IN419">
        <f>IF(ISBLANK('Data Entry'!$ĸ$419), "", 'Data Entry'!$ĸ$419)</f>
      </c>
      <c r="IO419">
        <f>IF(ISBLANK('Data Entry'!$Ĺ$419), "", 'Data Entry'!$Ĺ$419)</f>
      </c>
      <c r="IP419">
        <f>IF(ISBLANK('Data Entry'!$ĺ$419), "", 'Data Entry'!$ĺ$419)</f>
      </c>
      <c r="IQ419">
        <f>IF(ISBLANK('Data Entry'!$Ļ$419), "", 'Data Entry'!$Ļ$419)</f>
      </c>
      <c r="IR419">
        <f>IF(ISBLANK('Data Entry'!$ļ$419), "", 'Data Entry'!$ļ$419)</f>
      </c>
      <c r="IS419">
        <f>IF(ISBLANK('Data Entry'!$Ľ$419), "", 'Data Entry'!$Ľ$419)</f>
      </c>
      <c r="IT419">
        <f>IF(ISBLANK('Data Entry'!$ľ$419), "", 'Data Entry'!$ľ$419)</f>
      </c>
    </row>
    <row r="420" spans="1:254" x14ac:dyDescent="0.25">
      <c r="A420">
        <f>IF(ISBLANK('Data Entry'!$A$420), "", 'Data Entry'!$A$420)</f>
      </c>
      <c r="B420">
        <f>IF(ISBLANK('Data Entry'!$B$420), "", 'Data Entry'!$B$420)</f>
      </c>
      <c r="C420">
        <f>IF(ISBLANK('Data Entry'!$C$420), "", 'Data Entry'!$C$420)</f>
      </c>
      <c r="D420">
        <f>IF(ISBLANK('Data Entry'!$D$420), "", 'Data Entry'!$D$420)</f>
      </c>
      <c r="E420">
        <f>IF(ISBLANK('Data Entry'!$E$420), "", 'Data Entry'!$E$420)</f>
      </c>
      <c r="F420">
        <f>IF(ISBLANK('Data Entry'!$F$420), "", 'Data Entry'!$F$420)</f>
      </c>
      <c r="G420">
        <f>IF(ISBLANK('Data Entry'!$G$420), "", 'Data Entry'!$G$420)</f>
      </c>
      <c r="H420">
        <f>IF(ISBLANK('Data Entry'!$H$420), "", 'Data Entry'!$H$420)</f>
      </c>
      <c r="I420">
        <f>IF(ISBLANK('Data Entry'!$I$420), "", 'Data Entry'!$I$420)</f>
      </c>
      <c r="J420">
        <f>IF(ISBLANK('Data Entry'!$J$420), "", 'Data Entry'!$J$420)</f>
      </c>
      <c r="K420">
        <f>IF(ISBLANK('Data Entry'!$K$420), "", 'Data Entry'!$K$420)</f>
      </c>
      <c r="L420">
        <f>IF(ISBLANK('Data Entry'!$L$420), "", 'Data Entry'!$L$420)</f>
      </c>
      <c r="M420">
        <f>IF(ISBLANK('Data Entry'!$M$420), "", 'Data Entry'!$M$420)</f>
      </c>
      <c r="N420">
        <f>IF(ISBLANK('Data Entry'!$N$420), "", 'Data Entry'!$N$420)</f>
      </c>
      <c r="O420">
        <f>IF(ISBLANK('Data Entry'!$O$420), "", 'Data Entry'!$O$420)</f>
      </c>
      <c r="P420">
        <f>IF(ISBLANK('Data Entry'!$P$420), "", 'Data Entry'!$P$420)</f>
      </c>
      <c r="Q420">
        <f>IF(ISBLANK('Data Entry'!$Q$420), "", 'Data Entry'!$Q$420)</f>
      </c>
      <c r="R420">
        <f>IF(ISBLANK('Data Entry'!$R$420), "", 'Data Entry'!$R$420)</f>
      </c>
      <c r="S420">
        <f>IF(ISBLANK('Data Entry'!$S$420), "", 'Data Entry'!$S$420)</f>
      </c>
      <c r="T420">
        <f>IF(ISBLANK('Data Entry'!$T$420), "", 'Data Entry'!$T$420)</f>
      </c>
      <c r="U420">
        <f>IF(ISBLANK('Data Entry'!$U$420), "", 'Data Entry'!$U$420)</f>
      </c>
      <c r="V420">
        <f>IF(ISBLANK('Data Entry'!$V$420), "", 'Data Entry'!$V$420)</f>
      </c>
      <c r="W420">
        <f>IF(ISBLANK('Data Entry'!$W$420), "", 'Data Entry'!$W$420)</f>
      </c>
      <c r="X420">
        <f>IF(ISBLANK('Data Entry'!$X$420), "", 'Data Entry'!$X$420)</f>
      </c>
      <c r="Y420">
        <f>IF(ISBLANK('Data Entry'!$Y$420), "", 'Data Entry'!$Y$420)</f>
      </c>
      <c r="Z420">
        <f>IF(ISBLANK('Data Entry'!$Z$420), "", 'Data Entry'!$Z$420)</f>
      </c>
      <c r="AA420">
        <f>IF(ISBLANK('Data Entry'!$[$420), "", 'Data Entry'!$[$420)</f>
      </c>
      <c r="AB420">
        <f>IF(ISBLANK('Data Entry'!$\$420), "", 'Data Entry'!$\$420)</f>
      </c>
      <c r="AC420">
        <f>IF(ISBLANK('Data Entry'!$]$420), "", 'Data Entry'!$]$420)</f>
      </c>
      <c r="AD420">
        <f>IF(ISBLANK('Data Entry'!$^$420), "", 'Data Entry'!$^$420)</f>
      </c>
      <c r="AE420">
        <f>IF(ISBLANK('Data Entry'!$_$420), "", 'Data Entry'!$_$420)</f>
      </c>
      <c r="AF420">
        <f>IF(ISBLANK('Data Entry'!$`$420), "", 'Data Entry'!$`$420)</f>
      </c>
      <c r="AG420">
        <f>IF(ISBLANK('Data Entry'!$a$420), "", 'Data Entry'!$a$420)</f>
      </c>
      <c r="AH420">
        <f>IF(ISBLANK('Data Entry'!$b$420), "", 'Data Entry'!$b$420)</f>
      </c>
      <c r="AI420">
        <f>IF(ISBLANK('Data Entry'!$c$420), "", 'Data Entry'!$c$420)</f>
      </c>
      <c r="AJ420">
        <f>IF(ISBLANK('Data Entry'!$d$420), "", 'Data Entry'!$d$420)</f>
      </c>
      <c r="AK420">
        <f>IF(ISBLANK('Data Entry'!$e$420), "", 'Data Entry'!$e$420)</f>
      </c>
      <c r="AL420">
        <f>IF(ISBLANK('Data Entry'!$f$420), "", 'Data Entry'!$f$420)</f>
      </c>
      <c r="AM420">
        <f>IF(ISBLANK('Data Entry'!$g$420), "", 'Data Entry'!$g$420)</f>
      </c>
      <c r="AN420">
        <f>IF(ISBLANK('Data Entry'!$h$420), "", 'Data Entry'!$h$420)</f>
      </c>
      <c r="AO420">
        <f>IF(ISBLANK('Data Entry'!$i$420), "", 'Data Entry'!$i$420)</f>
      </c>
      <c r="AP420">
        <f>IF(ISBLANK('Data Entry'!$j$420), "", 'Data Entry'!$j$420)</f>
      </c>
      <c r="AQ420">
        <f>IF(ISBLANK('Data Entry'!$k$420), "", 'Data Entry'!$k$420)</f>
      </c>
      <c r="AR420">
        <f>IF(ISBLANK('Data Entry'!$l$420), "", 'Data Entry'!$l$420)</f>
      </c>
      <c r="AS420">
        <f>IF(ISBLANK('Data Entry'!$m$420), "", 'Data Entry'!$m$420)</f>
      </c>
      <c r="AT420">
        <f>IF(ISBLANK('Data Entry'!$n$420), "", 'Data Entry'!$n$420)</f>
      </c>
      <c r="AU420">
        <f>IF(ISBLANK('Data Entry'!$o$420), "", 'Data Entry'!$o$420)</f>
      </c>
      <c r="AV420">
        <f>IF(ISBLANK('Data Entry'!$p$420), "", 'Data Entry'!$p$420)</f>
      </c>
      <c r="AW420">
        <f>IF(ISBLANK('Data Entry'!$q$420), "", 'Data Entry'!$q$420)</f>
      </c>
      <c r="AX420">
        <f>IF(ISBLANK('Data Entry'!$r$420), "", 'Data Entry'!$r$420)</f>
      </c>
      <c r="AY420">
        <f>IF(ISBLANK('Data Entry'!$s$420), "", 'Data Entry'!$s$420)</f>
      </c>
      <c r="AZ420">
        <f>IF(ISBLANK('Data Entry'!$t$420), "", 'Data Entry'!$t$420)</f>
      </c>
      <c r="BA420">
        <f>IF(ISBLANK('Data Entry'!$u$420), "", 'Data Entry'!$u$420)</f>
      </c>
      <c r="BB420">
        <f>IF(ISBLANK('Data Entry'!$v$420), "", 'Data Entry'!$v$420)</f>
      </c>
      <c r="BC420">
        <f>IF(ISBLANK('Data Entry'!$w$420), "", 'Data Entry'!$w$420)</f>
      </c>
      <c r="BD420">
        <f>IF(ISBLANK('Data Entry'!$x$420), "", 'Data Entry'!$x$420)</f>
      </c>
      <c r="BE420">
        <f>IF(ISBLANK('Data Entry'!$y$420), "", 'Data Entry'!$y$420)</f>
      </c>
      <c r="BF420">
        <f>IF(ISBLANK('Data Entry'!$z$420), "", 'Data Entry'!$z$420)</f>
      </c>
      <c r="BG420">
        <f>IF(ISBLANK('Data Entry'!${$420), "", 'Data Entry'!${$420)</f>
      </c>
      <c r="BH420">
        <f>IF(ISBLANK('Data Entry'!$|$420), "", 'Data Entry'!$|$420)</f>
      </c>
      <c r="BI420">
        <f>IF(ISBLANK('Data Entry'!$}$420), "", 'Data Entry'!$}$420)</f>
      </c>
      <c r="BJ420">
        <f>IF(ISBLANK('Data Entry'!$~$420), "", 'Data Entry'!$~$420)</f>
      </c>
      <c r="BK420">
        <f>IF(ISBLANK('Data Entry'!$$420), "", 'Data Entry'!$$420)</f>
      </c>
      <c r="BL420">
        <f>IF(ISBLANK('Data Entry'!$$420), "", 'Data Entry'!$$420)</f>
      </c>
      <c r="BM420">
        <f>IF(ISBLANK('Data Entry'!$$420), "", 'Data Entry'!$$420)</f>
      </c>
      <c r="BN420">
        <f>IF(ISBLANK('Data Entry'!$$420), "", 'Data Entry'!$$420)</f>
      </c>
      <c r="BO420">
        <f>IF(ISBLANK('Data Entry'!$$420), "", 'Data Entry'!$$420)</f>
      </c>
      <c r="BP420">
        <f>IF(ISBLANK('Data Entry'!$$420), "", 'Data Entry'!$$420)</f>
      </c>
      <c r="BQ420">
        <f>IF(ISBLANK('Data Entry'!$$420), "", 'Data Entry'!$$420)</f>
      </c>
      <c r="BR420">
        <f>IF(ISBLANK('Data Entry'!$$420), "", 'Data Entry'!$$420)</f>
      </c>
      <c r="BS420">
        <f>IF(ISBLANK('Data Entry'!$$420), "", 'Data Entry'!$$420)</f>
      </c>
      <c r="BT420">
        <f>IF(ISBLANK('Data Entry'!$$420), "", 'Data Entry'!$$420)</f>
      </c>
      <c r="BU420">
        <f>IF(ISBLANK('Data Entry'!$$420), "", 'Data Entry'!$$420)</f>
      </c>
      <c r="BV420">
        <f>IF(ISBLANK('Data Entry'!$$420), "", 'Data Entry'!$$420)</f>
      </c>
      <c r="BW420">
        <f>IF(ISBLANK('Data Entry'!$$420), "", 'Data Entry'!$$420)</f>
      </c>
      <c r="BX420">
        <f>IF(ISBLANK('Data Entry'!$$420), "", 'Data Entry'!$$420)</f>
      </c>
      <c r="BY420">
        <f>IF(ISBLANK('Data Entry'!$$420), "", 'Data Entry'!$$420)</f>
      </c>
      <c r="BZ420">
        <f>IF(ISBLANK('Data Entry'!$$420), "", 'Data Entry'!$$420)</f>
      </c>
      <c r="CA420">
        <f>IF(ISBLANK('Data Entry'!$$420), "", 'Data Entry'!$$420)</f>
      </c>
      <c r="CB420">
        <f>IF(ISBLANK('Data Entry'!$$420), "", 'Data Entry'!$$420)</f>
      </c>
      <c r="CC420">
        <f>IF(ISBLANK('Data Entry'!$$420), "", 'Data Entry'!$$420)</f>
      </c>
      <c r="CD420">
        <f>IF(ISBLANK('Data Entry'!$$420), "", 'Data Entry'!$$420)</f>
      </c>
      <c r="CE420">
        <f>IF(ISBLANK('Data Entry'!$$420), "", 'Data Entry'!$$420)</f>
      </c>
      <c r="CF420">
        <f>IF(ISBLANK('Data Entry'!$$420), "", 'Data Entry'!$$420)</f>
      </c>
      <c r="CG420">
        <f>IF(ISBLANK('Data Entry'!$$420), "", 'Data Entry'!$$420)</f>
      </c>
      <c r="CH420">
        <f>IF(ISBLANK('Data Entry'!$$420), "", 'Data Entry'!$$420)</f>
      </c>
      <c r="CI420">
        <f>IF(ISBLANK('Data Entry'!$$420), "", 'Data Entry'!$$420)</f>
      </c>
      <c r="CJ420">
        <f>IF(ISBLANK('Data Entry'!$$420), "", 'Data Entry'!$$420)</f>
      </c>
      <c r="CK420">
        <f>IF(ISBLANK('Data Entry'!$$420), "", 'Data Entry'!$$420)</f>
      </c>
      <c r="CL420">
        <f>IF(ISBLANK('Data Entry'!$$420), "", 'Data Entry'!$$420)</f>
      </c>
      <c r="CM420">
        <f>IF(ISBLANK('Data Entry'!$$420), "", 'Data Entry'!$$420)</f>
      </c>
      <c r="CN420">
        <f>IF(ISBLANK('Data Entry'!$$420), "", 'Data Entry'!$$420)</f>
      </c>
      <c r="CO420">
        <f>IF(ISBLANK('Data Entry'!$$420), "", 'Data Entry'!$$420)</f>
      </c>
      <c r="CP420">
        <f>IF(ISBLANK('Data Entry'!$$420), "", 'Data Entry'!$$420)</f>
      </c>
      <c r="CQ420">
        <f>IF(ISBLANK('Data Entry'!$$420), "", 'Data Entry'!$$420)</f>
      </c>
      <c r="CR420">
        <f>IF(ISBLANK('Data Entry'!$ $420), "", 'Data Entry'!$ $420)</f>
      </c>
      <c r="CS420">
        <f>IF(ISBLANK('Data Entry'!$¡$420), "", 'Data Entry'!$¡$420)</f>
      </c>
      <c r="CT420">
        <f>IF(ISBLANK('Data Entry'!$¢$420), "", 'Data Entry'!$¢$420)</f>
      </c>
      <c r="CU420">
        <f>IF(ISBLANK('Data Entry'!$£$420), "", 'Data Entry'!$£$420)</f>
      </c>
      <c r="CV420">
        <f>IF(ISBLANK('Data Entry'!$¤$420), "", 'Data Entry'!$¤$420)</f>
      </c>
      <c r="CW420">
        <f>IF(ISBLANK('Data Entry'!$¥$420), "", 'Data Entry'!$¥$420)</f>
      </c>
      <c r="CX420">
        <f>IF(ISBLANK('Data Entry'!$¦$420), "", 'Data Entry'!$¦$420)</f>
      </c>
      <c r="CY420">
        <f>IF(ISBLANK('Data Entry'!$§$420), "", 'Data Entry'!$§$420)</f>
      </c>
      <c r="CZ420">
        <f>IF(ISBLANK('Data Entry'!$¨$420), "", 'Data Entry'!$¨$420)</f>
      </c>
      <c r="DA420">
        <f>IF(ISBLANK('Data Entry'!$©$420), "", 'Data Entry'!$©$420)</f>
      </c>
      <c r="DB420">
        <f>IF(ISBLANK('Data Entry'!$ª$420), "", 'Data Entry'!$ª$420)</f>
      </c>
      <c r="DC420">
        <f>IF(ISBLANK('Data Entry'!$«$420), "", 'Data Entry'!$«$420)</f>
      </c>
      <c r="DD420">
        <f>IF(ISBLANK('Data Entry'!$¬$420), "", 'Data Entry'!$¬$420)</f>
      </c>
      <c r="DE420">
        <f>IF(ISBLANK('Data Entry'!$­$420), "", 'Data Entry'!$­$420)</f>
      </c>
      <c r="DF420">
        <f>IF(ISBLANK('Data Entry'!$®$420), "", 'Data Entry'!$®$420)</f>
      </c>
      <c r="DG420">
        <f>IF(ISBLANK('Data Entry'!$¯$420), "", 'Data Entry'!$¯$420)</f>
      </c>
      <c r="DH420">
        <f>IF(ISBLANK('Data Entry'!$°$420), "", 'Data Entry'!$°$420)</f>
      </c>
      <c r="DI420">
        <f>IF(ISBLANK('Data Entry'!$±$420), "", 'Data Entry'!$±$420)</f>
      </c>
      <c r="DJ420">
        <f>IF(ISBLANK('Data Entry'!$²$420), "", 'Data Entry'!$²$420)</f>
      </c>
      <c r="DK420">
        <f>IF(ISBLANK('Data Entry'!$³$420), "", 'Data Entry'!$³$420)</f>
      </c>
      <c r="DL420">
        <f>IF(ISBLANK('Data Entry'!$´$420), "", 'Data Entry'!$´$420)</f>
      </c>
      <c r="DM420">
        <f>IF(ISBLANK('Data Entry'!$µ$420), "", 'Data Entry'!$µ$420)</f>
      </c>
      <c r="DN420">
        <f>IF(ISBLANK('Data Entry'!$¶$420), "", 'Data Entry'!$¶$420)</f>
      </c>
      <c r="DO420">
        <f>IF(ISBLANK('Data Entry'!$·$420), "", 'Data Entry'!$·$420)</f>
      </c>
      <c r="DP420">
        <f>IF(ISBLANK('Data Entry'!$¸$420), "", 'Data Entry'!$¸$420)</f>
      </c>
      <c r="DQ420">
        <f>IF(ISBLANK('Data Entry'!$¹$420), "", 'Data Entry'!$¹$420)</f>
      </c>
      <c r="DR420">
        <f>IF(ISBLANK('Data Entry'!$º$420), "", 'Data Entry'!$º$420)</f>
      </c>
      <c r="DS420">
        <f>IF(ISBLANK('Data Entry'!$»$420), "", 'Data Entry'!$»$420)</f>
      </c>
      <c r="DT420">
        <f>IF(ISBLANK('Data Entry'!$¼$420), "", 'Data Entry'!$¼$420)</f>
      </c>
      <c r="DU420">
        <f>IF(ISBLANK('Data Entry'!$½$420), "", 'Data Entry'!$½$420)</f>
      </c>
      <c r="DV420">
        <f>IF(ISBLANK('Data Entry'!$¾$420), "", 'Data Entry'!$¾$420)</f>
      </c>
      <c r="DW420">
        <f>IF(ISBLANK('Data Entry'!$¿$420), "", 'Data Entry'!$¿$420)</f>
      </c>
      <c r="DX420">
        <f>IF(ISBLANK('Data Entry'!$À$420), "", 'Data Entry'!$À$420)</f>
      </c>
      <c r="DY420">
        <f>IF(ISBLANK('Data Entry'!$Á$420), "", 'Data Entry'!$Á$420)</f>
      </c>
      <c r="DZ420">
        <f>IF(ISBLANK('Data Entry'!$Â$420), "", 'Data Entry'!$Â$420)</f>
      </c>
      <c r="EA420">
        <f>IF(ISBLANK('Data Entry'!$Ã$420), "", 'Data Entry'!$Ã$420)</f>
      </c>
      <c r="EB420">
        <f>IF(ISBLANK('Data Entry'!$Ä$420), "", 'Data Entry'!$Ä$420)</f>
      </c>
      <c r="EC420">
        <f>IF(ISBLANK('Data Entry'!$Å$420), "", 'Data Entry'!$Å$420)</f>
      </c>
      <c r="ED420">
        <f>IF(ISBLANK('Data Entry'!$Æ$420), "", 'Data Entry'!$Æ$420)</f>
      </c>
      <c r="EE420">
        <f>IF(ISBLANK('Data Entry'!$Ç$420), "", 'Data Entry'!$Ç$420)</f>
      </c>
      <c r="EF420">
        <f>IF(ISBLANK('Data Entry'!$È$420), "", 'Data Entry'!$È$420)</f>
      </c>
      <c r="EG420">
        <f>IF(ISBLANK('Data Entry'!$É$420), "", 'Data Entry'!$É$420)</f>
      </c>
      <c r="EH420">
        <f>IF(ISBLANK('Data Entry'!$Ê$420), "", 'Data Entry'!$Ê$420)</f>
      </c>
      <c r="EI420">
        <f>IF(ISBLANK('Data Entry'!$Ë$420), "", 'Data Entry'!$Ë$420)</f>
      </c>
      <c r="EJ420">
        <f>IF(ISBLANK('Data Entry'!$Ì$420), "", 'Data Entry'!$Ì$420)</f>
      </c>
      <c r="EK420">
        <f>IF(ISBLANK('Data Entry'!$Í$420), "", 'Data Entry'!$Í$420)</f>
      </c>
      <c r="EL420">
        <f>IF(ISBLANK('Data Entry'!$Î$420), "", 'Data Entry'!$Î$420)</f>
      </c>
      <c r="EM420">
        <f>IF(ISBLANK('Data Entry'!$Ï$420), "", 'Data Entry'!$Ï$420)</f>
      </c>
      <c r="EN420">
        <f>IF(ISBLANK('Data Entry'!$Ð$420), "", 'Data Entry'!$Ð$420)</f>
      </c>
      <c r="EO420">
        <f>IF(ISBLANK('Data Entry'!$Ñ$420), "", 'Data Entry'!$Ñ$420)</f>
      </c>
      <c r="EP420">
        <f>IF(ISBLANK('Data Entry'!$Ò$420), "", 'Data Entry'!$Ò$420)</f>
      </c>
      <c r="EQ420">
        <f>IF(ISBLANK('Data Entry'!$Ó$420), "", 'Data Entry'!$Ó$420)</f>
      </c>
      <c r="ER420">
        <f>IF(ISBLANK('Data Entry'!$Ô$420), "", 'Data Entry'!$Ô$420)</f>
      </c>
      <c r="ES420">
        <f>IF(ISBLANK('Data Entry'!$Õ$420), "", 'Data Entry'!$Õ$420)</f>
      </c>
      <c r="ET420">
        <f>IF(ISBLANK('Data Entry'!$Ö$420), "", 'Data Entry'!$Ö$420)</f>
      </c>
      <c r="EU420">
        <f>IF(ISBLANK('Data Entry'!$×$420), "", 'Data Entry'!$×$420)</f>
      </c>
      <c r="EV420">
        <f>IF(ISBLANK('Data Entry'!$Ø$420), "", 'Data Entry'!$Ø$420)</f>
      </c>
      <c r="EW420">
        <f>IF(ISBLANK('Data Entry'!$Ù$420), "", 'Data Entry'!$Ù$420)</f>
      </c>
      <c r="EX420">
        <f>IF(ISBLANK('Data Entry'!$Ú$420), "", 'Data Entry'!$Ú$420)</f>
      </c>
      <c r="EY420">
        <f>IF(ISBLANK('Data Entry'!$Û$420), "", 'Data Entry'!$Û$420)</f>
      </c>
      <c r="EZ420">
        <f>IF(ISBLANK('Data Entry'!$Ü$420), "", 'Data Entry'!$Ü$420)</f>
      </c>
      <c r="FA420">
        <f>IF(ISBLANK('Data Entry'!$Ý$420), "", 'Data Entry'!$Ý$420)</f>
      </c>
      <c r="FB420">
        <f>IF(ISBLANK('Data Entry'!$Þ$420), "", 'Data Entry'!$Þ$420)</f>
      </c>
      <c r="FC420">
        <f>IF(ISBLANK('Data Entry'!$ß$420), "", 'Data Entry'!$ß$420)</f>
      </c>
      <c r="FD420">
        <f>IF(ISBLANK('Data Entry'!$à$420), "", 'Data Entry'!$à$420)</f>
      </c>
      <c r="FE420">
        <f>IF(ISBLANK('Data Entry'!$á$420), "", 'Data Entry'!$á$420)</f>
      </c>
      <c r="FF420">
        <f>IF(ISBLANK('Data Entry'!$â$420), "", 'Data Entry'!$â$420)</f>
      </c>
      <c r="FG420">
        <f>IF(ISBLANK('Data Entry'!$ã$420), "", 'Data Entry'!$ã$420)</f>
      </c>
      <c r="FH420">
        <f>IF(ISBLANK('Data Entry'!$ä$420), "", 'Data Entry'!$ä$420)</f>
      </c>
      <c r="FI420">
        <f>IF(ISBLANK('Data Entry'!$å$420), "", 'Data Entry'!$å$420)</f>
      </c>
      <c r="FJ420">
        <f>IF(ISBLANK('Data Entry'!$æ$420), "", 'Data Entry'!$æ$420)</f>
      </c>
      <c r="FK420">
        <f>IF(ISBLANK('Data Entry'!$ç$420), "", 'Data Entry'!$ç$420)</f>
      </c>
      <c r="FL420">
        <f>IF(ISBLANK('Data Entry'!$è$420), "", 'Data Entry'!$è$420)</f>
      </c>
      <c r="FM420">
        <f>IF(ISBLANK('Data Entry'!$é$420), "", 'Data Entry'!$é$420)</f>
      </c>
      <c r="FN420">
        <f>IF(ISBLANK('Data Entry'!$ê$420), "", 'Data Entry'!$ê$420)</f>
      </c>
      <c r="FO420">
        <f>IF(ISBLANK('Data Entry'!$ë$420), "", 'Data Entry'!$ë$420)</f>
      </c>
      <c r="FP420">
        <f>IF(ISBLANK('Data Entry'!$ì$420), "", 'Data Entry'!$ì$420)</f>
      </c>
      <c r="FQ420">
        <f>IF(ISBLANK('Data Entry'!$í$420), "", 'Data Entry'!$í$420)</f>
      </c>
      <c r="FR420">
        <f>IF(ISBLANK('Data Entry'!$î$420), "", 'Data Entry'!$î$420)</f>
      </c>
      <c r="FS420">
        <f>IF(ISBLANK('Data Entry'!$ï$420), "", 'Data Entry'!$ï$420)</f>
      </c>
      <c r="FT420">
        <f>IF(ISBLANK('Data Entry'!$ð$420), "", 'Data Entry'!$ð$420)</f>
      </c>
      <c r="FU420">
        <f>IF(ISBLANK('Data Entry'!$ñ$420), "", 'Data Entry'!$ñ$420)</f>
      </c>
      <c r="FV420">
        <f>IF(ISBLANK('Data Entry'!$ò$420), "", 'Data Entry'!$ò$420)</f>
      </c>
      <c r="FW420">
        <f>IF(ISBLANK('Data Entry'!$ó$420), "", 'Data Entry'!$ó$420)</f>
      </c>
      <c r="FX420">
        <f>IF(ISBLANK('Data Entry'!$ô$420), "", 'Data Entry'!$ô$420)</f>
      </c>
      <c r="FY420">
        <f>IF(ISBLANK('Data Entry'!$õ$420), "", 'Data Entry'!$õ$420)</f>
      </c>
      <c r="FZ420">
        <f>IF(ISBLANK('Data Entry'!$ö$420), "", 'Data Entry'!$ö$420)</f>
      </c>
      <c r="GA420">
        <f>IF(ISBLANK('Data Entry'!$÷$420), "", 'Data Entry'!$÷$420)</f>
      </c>
      <c r="GB420">
        <f>IF(ISBLANK('Data Entry'!$ø$420), "", 'Data Entry'!$ø$420)</f>
      </c>
      <c r="GC420">
        <f>IF(ISBLANK('Data Entry'!$ù$420), "", 'Data Entry'!$ù$420)</f>
      </c>
      <c r="GD420">
        <f>IF(ISBLANK('Data Entry'!$ú$420), "", 'Data Entry'!$ú$420)</f>
      </c>
      <c r="GE420">
        <f>IF(ISBLANK('Data Entry'!$û$420), "", 'Data Entry'!$û$420)</f>
      </c>
      <c r="GF420">
        <f>IF(ISBLANK('Data Entry'!$ü$420), "", 'Data Entry'!$ü$420)</f>
      </c>
      <c r="GG420">
        <f>IF(ISBLANK('Data Entry'!$ý$420), "", 'Data Entry'!$ý$420)</f>
      </c>
      <c r="GH420">
        <f>IF(ISBLANK('Data Entry'!$þ$420), "", 'Data Entry'!$þ$420)</f>
      </c>
      <c r="GI420">
        <f>IF(ISBLANK('Data Entry'!$ÿ$420), "", 'Data Entry'!$ÿ$420)</f>
      </c>
      <c r="GJ420">
        <f>IF(ISBLANK('Data Entry'!$Ā$420), "", 'Data Entry'!$Ā$420)</f>
      </c>
      <c r="GK420">
        <f>IF(ISBLANK('Data Entry'!$ā$420), "", 'Data Entry'!$ā$420)</f>
      </c>
      <c r="GL420">
        <f>IF(ISBLANK('Data Entry'!$Ă$420), "", 'Data Entry'!$Ă$420)</f>
      </c>
      <c r="GM420">
        <f>IF(ISBLANK('Data Entry'!$ă$420), "", 'Data Entry'!$ă$420)</f>
      </c>
      <c r="GN420">
        <f>IF(ISBLANK('Data Entry'!$Ą$420), "", 'Data Entry'!$Ą$420)</f>
      </c>
      <c r="GO420">
        <f>IF(ISBLANK('Data Entry'!$ą$420), "", 'Data Entry'!$ą$420)</f>
      </c>
      <c r="GP420">
        <f>IF(ISBLANK('Data Entry'!$Ć$420), "", 'Data Entry'!$Ć$420)</f>
      </c>
      <c r="GQ420">
        <f>IF(ISBLANK('Data Entry'!$ć$420), "", 'Data Entry'!$ć$420)</f>
      </c>
      <c r="GR420">
        <f>IF(ISBLANK('Data Entry'!$Ĉ$420), "", 'Data Entry'!$Ĉ$420)</f>
      </c>
      <c r="GS420">
        <f>IF(ISBLANK('Data Entry'!$ĉ$420), "", 'Data Entry'!$ĉ$420)</f>
      </c>
      <c r="GT420">
        <f>IF(ISBLANK('Data Entry'!$Ċ$420), "", 'Data Entry'!$Ċ$420)</f>
      </c>
      <c r="GU420">
        <f>IF(ISBLANK('Data Entry'!$ċ$420), "", 'Data Entry'!$ċ$420)</f>
      </c>
      <c r="GV420">
        <f>IF(ISBLANK('Data Entry'!$Č$420), "", 'Data Entry'!$Č$420)</f>
      </c>
      <c r="GW420">
        <f>IF(ISBLANK('Data Entry'!$č$420), "", 'Data Entry'!$č$420)</f>
      </c>
      <c r="GX420">
        <f>IF(ISBLANK('Data Entry'!$Ď$420), "", 'Data Entry'!$Ď$420)</f>
      </c>
      <c r="GY420">
        <f>IF(ISBLANK('Data Entry'!$ď$420), "", 'Data Entry'!$ď$420)</f>
      </c>
      <c r="GZ420">
        <f>IF(ISBLANK('Data Entry'!$Đ$420), "", 'Data Entry'!$Đ$420)</f>
      </c>
      <c r="HA420">
        <f>IF(ISBLANK('Data Entry'!$đ$420), "", 'Data Entry'!$đ$420)</f>
      </c>
      <c r="HB420">
        <f>IF(ISBLANK('Data Entry'!$Ē$420), "", 'Data Entry'!$Ē$420)</f>
      </c>
      <c r="HC420">
        <f>IF(ISBLANK('Data Entry'!$ē$420), "", 'Data Entry'!$ē$420)</f>
      </c>
      <c r="HD420">
        <f>IF(ISBLANK('Data Entry'!$Ĕ$420), "", 'Data Entry'!$Ĕ$420)</f>
      </c>
      <c r="HE420">
        <f>IF(ISBLANK('Data Entry'!$ĕ$420), "", 'Data Entry'!$ĕ$420)</f>
      </c>
      <c r="HF420">
        <f>IF(ISBLANK('Data Entry'!$Ė$420), "", 'Data Entry'!$Ė$420)</f>
      </c>
      <c r="HG420">
        <f>IF(ISBLANK('Data Entry'!$ė$420), "", 'Data Entry'!$ė$420)</f>
      </c>
      <c r="HH420">
        <f>IF(ISBLANK('Data Entry'!$Ę$420), "", 'Data Entry'!$Ę$420)</f>
      </c>
      <c r="HI420">
        <f>IF(ISBLANK('Data Entry'!$ę$420), "", 'Data Entry'!$ę$420)</f>
      </c>
      <c r="HJ420">
        <f>IF(ISBLANK('Data Entry'!$Ě$420), "", 'Data Entry'!$Ě$420)</f>
      </c>
      <c r="HK420">
        <f>IF(ISBLANK('Data Entry'!$ě$420), "", 'Data Entry'!$ě$420)</f>
      </c>
      <c r="HL420">
        <f>IF(ISBLANK('Data Entry'!$Ĝ$420), "", 'Data Entry'!$Ĝ$420)</f>
      </c>
      <c r="HM420">
        <f>IF(ISBLANK('Data Entry'!$ĝ$420), "", 'Data Entry'!$ĝ$420)</f>
      </c>
      <c r="HN420">
        <f>IF(ISBLANK('Data Entry'!$Ğ$420), "", 'Data Entry'!$Ğ$420)</f>
      </c>
      <c r="HO420">
        <f>IF(ISBLANK('Data Entry'!$ğ$420), "", 'Data Entry'!$ğ$420)</f>
      </c>
      <c r="HP420">
        <f>IF(ISBLANK('Data Entry'!$Ġ$420), "", 'Data Entry'!$Ġ$420)</f>
      </c>
      <c r="HQ420">
        <f>IF(ISBLANK('Data Entry'!$ġ$420), "", 'Data Entry'!$ġ$420)</f>
      </c>
      <c r="HR420">
        <f>IF(ISBLANK('Data Entry'!$Ģ$420), "", 'Data Entry'!$Ģ$420)</f>
      </c>
      <c r="HS420">
        <f>IF(ISBLANK('Data Entry'!$ģ$420), "", 'Data Entry'!$ģ$420)</f>
      </c>
      <c r="HT420">
        <f>IF(ISBLANK('Data Entry'!$Ĥ$420), "", 'Data Entry'!$Ĥ$420)</f>
      </c>
      <c r="HU420">
        <f>IF(ISBLANK('Data Entry'!$ĥ$420), "", 'Data Entry'!$ĥ$420)</f>
      </c>
      <c r="HV420">
        <f>IF(ISBLANK('Data Entry'!$Ħ$420), "", 'Data Entry'!$Ħ$420)</f>
      </c>
      <c r="HW420">
        <f>IF(ISBLANK('Data Entry'!$ħ$420), "", 'Data Entry'!$ħ$420)</f>
      </c>
      <c r="HX420">
        <f>IF(ISBLANK('Data Entry'!$Ĩ$420), "", 'Data Entry'!$Ĩ$420)</f>
      </c>
      <c r="HY420">
        <f>IF(ISBLANK('Data Entry'!$ĩ$420), "", 'Data Entry'!$ĩ$420)</f>
      </c>
      <c r="HZ420">
        <f>IF(ISBLANK('Data Entry'!$Ī$420), "", 'Data Entry'!$Ī$420)</f>
      </c>
      <c r="IA420">
        <f>IF(ISBLANK('Data Entry'!$ī$420), "", 'Data Entry'!$ī$420)</f>
      </c>
      <c r="IB420">
        <f>IF(ISBLANK('Data Entry'!$Ĭ$420), "", 'Data Entry'!$Ĭ$420)</f>
      </c>
      <c r="IC420">
        <f>IF(ISBLANK('Data Entry'!$ĭ$420), "", 'Data Entry'!$ĭ$420)</f>
      </c>
      <c r="ID420">
        <f>IF(ISBLANK('Data Entry'!$Į$420), "", 'Data Entry'!$Į$420)</f>
      </c>
      <c r="IE420">
        <f>IF(ISBLANK('Data Entry'!$į$420), "", 'Data Entry'!$į$420)</f>
      </c>
      <c r="IF420">
        <f>IF(ISBLANK('Data Entry'!$İ$420), "", 'Data Entry'!$İ$420)</f>
      </c>
      <c r="IG420">
        <f>IF(ISBLANK('Data Entry'!$ı$420), "", 'Data Entry'!$ı$420)</f>
      </c>
      <c r="IH420">
        <f>IF(ISBLANK('Data Entry'!$Ĳ$420), "", 'Data Entry'!$Ĳ$420)</f>
      </c>
      <c r="II420">
        <f>IF(ISBLANK('Data Entry'!$ĳ$420), "", 'Data Entry'!$ĳ$420)</f>
      </c>
      <c r="IJ420">
        <f>IF(ISBLANK('Data Entry'!$Ĵ$420), "", 'Data Entry'!$Ĵ$420)</f>
      </c>
      <c r="IK420">
        <f>IF(ISBLANK('Data Entry'!$ĵ$420), "", 'Data Entry'!$ĵ$420)</f>
      </c>
      <c r="IL420">
        <f>IF(ISBLANK('Data Entry'!$Ķ$420), "", 'Data Entry'!$Ķ$420)</f>
      </c>
      <c r="IM420">
        <f>IF(ISBLANK('Data Entry'!$ķ$420), "", 'Data Entry'!$ķ$420)</f>
      </c>
      <c r="IN420">
        <f>IF(ISBLANK('Data Entry'!$ĸ$420), "", 'Data Entry'!$ĸ$420)</f>
      </c>
      <c r="IO420">
        <f>IF(ISBLANK('Data Entry'!$Ĺ$420), "", 'Data Entry'!$Ĺ$420)</f>
      </c>
      <c r="IP420">
        <f>IF(ISBLANK('Data Entry'!$ĺ$420), "", 'Data Entry'!$ĺ$420)</f>
      </c>
      <c r="IQ420">
        <f>IF(ISBLANK('Data Entry'!$Ļ$420), "", 'Data Entry'!$Ļ$420)</f>
      </c>
      <c r="IR420">
        <f>IF(ISBLANK('Data Entry'!$ļ$420), "", 'Data Entry'!$ļ$420)</f>
      </c>
      <c r="IS420">
        <f>IF(ISBLANK('Data Entry'!$Ľ$420), "", 'Data Entry'!$Ľ$420)</f>
      </c>
      <c r="IT420">
        <f>IF(ISBLANK('Data Entry'!$ľ$420), "", 'Data Entry'!$ľ$420)</f>
      </c>
    </row>
    <row r="421" spans="1:254" x14ac:dyDescent="0.25">
      <c r="A421">
        <f>IF(ISBLANK('Data Entry'!$A$421), "", 'Data Entry'!$A$421)</f>
      </c>
      <c r="B421">
        <f>IF(ISBLANK('Data Entry'!$B$421), "", 'Data Entry'!$B$421)</f>
      </c>
      <c r="C421">
        <f>IF(ISBLANK('Data Entry'!$C$421), "", 'Data Entry'!$C$421)</f>
      </c>
      <c r="D421">
        <f>IF(ISBLANK('Data Entry'!$D$421), "", 'Data Entry'!$D$421)</f>
      </c>
      <c r="E421">
        <f>IF(ISBLANK('Data Entry'!$E$421), "", 'Data Entry'!$E$421)</f>
      </c>
      <c r="F421">
        <f>IF(ISBLANK('Data Entry'!$F$421), "", 'Data Entry'!$F$421)</f>
      </c>
      <c r="G421">
        <f>IF(ISBLANK('Data Entry'!$G$421), "", 'Data Entry'!$G$421)</f>
      </c>
      <c r="H421">
        <f>IF(ISBLANK('Data Entry'!$H$421), "", 'Data Entry'!$H$421)</f>
      </c>
      <c r="I421">
        <f>IF(ISBLANK('Data Entry'!$I$421), "", 'Data Entry'!$I$421)</f>
      </c>
      <c r="J421">
        <f>IF(ISBLANK('Data Entry'!$J$421), "", 'Data Entry'!$J$421)</f>
      </c>
      <c r="K421">
        <f>IF(ISBLANK('Data Entry'!$K$421), "", 'Data Entry'!$K$421)</f>
      </c>
      <c r="L421">
        <f>IF(ISBLANK('Data Entry'!$L$421), "", 'Data Entry'!$L$421)</f>
      </c>
      <c r="M421">
        <f>IF(ISBLANK('Data Entry'!$M$421), "", 'Data Entry'!$M$421)</f>
      </c>
      <c r="N421">
        <f>IF(ISBLANK('Data Entry'!$N$421), "", 'Data Entry'!$N$421)</f>
      </c>
      <c r="O421">
        <f>IF(ISBLANK('Data Entry'!$O$421), "", 'Data Entry'!$O$421)</f>
      </c>
      <c r="P421">
        <f>IF(ISBLANK('Data Entry'!$P$421), "", 'Data Entry'!$P$421)</f>
      </c>
      <c r="Q421">
        <f>IF(ISBLANK('Data Entry'!$Q$421), "", 'Data Entry'!$Q$421)</f>
      </c>
      <c r="R421">
        <f>IF(ISBLANK('Data Entry'!$R$421), "", 'Data Entry'!$R$421)</f>
      </c>
      <c r="S421">
        <f>IF(ISBLANK('Data Entry'!$S$421), "", 'Data Entry'!$S$421)</f>
      </c>
      <c r="T421">
        <f>IF(ISBLANK('Data Entry'!$T$421), "", 'Data Entry'!$T$421)</f>
      </c>
      <c r="U421">
        <f>IF(ISBLANK('Data Entry'!$U$421), "", 'Data Entry'!$U$421)</f>
      </c>
      <c r="V421">
        <f>IF(ISBLANK('Data Entry'!$V$421), "", 'Data Entry'!$V$421)</f>
      </c>
      <c r="W421">
        <f>IF(ISBLANK('Data Entry'!$W$421), "", 'Data Entry'!$W$421)</f>
      </c>
      <c r="X421">
        <f>IF(ISBLANK('Data Entry'!$X$421), "", 'Data Entry'!$X$421)</f>
      </c>
      <c r="Y421">
        <f>IF(ISBLANK('Data Entry'!$Y$421), "", 'Data Entry'!$Y$421)</f>
      </c>
      <c r="Z421">
        <f>IF(ISBLANK('Data Entry'!$Z$421), "", 'Data Entry'!$Z$421)</f>
      </c>
      <c r="AA421">
        <f>IF(ISBLANK('Data Entry'!$[$421), "", 'Data Entry'!$[$421)</f>
      </c>
      <c r="AB421">
        <f>IF(ISBLANK('Data Entry'!$\$421), "", 'Data Entry'!$\$421)</f>
      </c>
      <c r="AC421">
        <f>IF(ISBLANK('Data Entry'!$]$421), "", 'Data Entry'!$]$421)</f>
      </c>
      <c r="AD421">
        <f>IF(ISBLANK('Data Entry'!$^$421), "", 'Data Entry'!$^$421)</f>
      </c>
      <c r="AE421">
        <f>IF(ISBLANK('Data Entry'!$_$421), "", 'Data Entry'!$_$421)</f>
      </c>
      <c r="AF421">
        <f>IF(ISBLANK('Data Entry'!$`$421), "", 'Data Entry'!$`$421)</f>
      </c>
      <c r="AG421">
        <f>IF(ISBLANK('Data Entry'!$a$421), "", 'Data Entry'!$a$421)</f>
      </c>
      <c r="AH421">
        <f>IF(ISBLANK('Data Entry'!$b$421), "", 'Data Entry'!$b$421)</f>
      </c>
      <c r="AI421">
        <f>IF(ISBLANK('Data Entry'!$c$421), "", 'Data Entry'!$c$421)</f>
      </c>
      <c r="AJ421">
        <f>IF(ISBLANK('Data Entry'!$d$421), "", 'Data Entry'!$d$421)</f>
      </c>
      <c r="AK421">
        <f>IF(ISBLANK('Data Entry'!$e$421), "", 'Data Entry'!$e$421)</f>
      </c>
      <c r="AL421">
        <f>IF(ISBLANK('Data Entry'!$f$421), "", 'Data Entry'!$f$421)</f>
      </c>
      <c r="AM421">
        <f>IF(ISBLANK('Data Entry'!$g$421), "", 'Data Entry'!$g$421)</f>
      </c>
      <c r="AN421">
        <f>IF(ISBLANK('Data Entry'!$h$421), "", 'Data Entry'!$h$421)</f>
      </c>
      <c r="AO421">
        <f>IF(ISBLANK('Data Entry'!$i$421), "", 'Data Entry'!$i$421)</f>
      </c>
      <c r="AP421">
        <f>IF(ISBLANK('Data Entry'!$j$421), "", 'Data Entry'!$j$421)</f>
      </c>
      <c r="AQ421">
        <f>IF(ISBLANK('Data Entry'!$k$421), "", 'Data Entry'!$k$421)</f>
      </c>
      <c r="AR421">
        <f>IF(ISBLANK('Data Entry'!$l$421), "", 'Data Entry'!$l$421)</f>
      </c>
      <c r="AS421">
        <f>IF(ISBLANK('Data Entry'!$m$421), "", 'Data Entry'!$m$421)</f>
      </c>
      <c r="AT421">
        <f>IF(ISBLANK('Data Entry'!$n$421), "", 'Data Entry'!$n$421)</f>
      </c>
      <c r="AU421">
        <f>IF(ISBLANK('Data Entry'!$o$421), "", 'Data Entry'!$o$421)</f>
      </c>
      <c r="AV421">
        <f>IF(ISBLANK('Data Entry'!$p$421), "", 'Data Entry'!$p$421)</f>
      </c>
      <c r="AW421">
        <f>IF(ISBLANK('Data Entry'!$q$421), "", 'Data Entry'!$q$421)</f>
      </c>
      <c r="AX421">
        <f>IF(ISBLANK('Data Entry'!$r$421), "", 'Data Entry'!$r$421)</f>
      </c>
      <c r="AY421">
        <f>IF(ISBLANK('Data Entry'!$s$421), "", 'Data Entry'!$s$421)</f>
      </c>
      <c r="AZ421">
        <f>IF(ISBLANK('Data Entry'!$t$421), "", 'Data Entry'!$t$421)</f>
      </c>
      <c r="BA421">
        <f>IF(ISBLANK('Data Entry'!$u$421), "", 'Data Entry'!$u$421)</f>
      </c>
      <c r="BB421">
        <f>IF(ISBLANK('Data Entry'!$v$421), "", 'Data Entry'!$v$421)</f>
      </c>
      <c r="BC421">
        <f>IF(ISBLANK('Data Entry'!$w$421), "", 'Data Entry'!$w$421)</f>
      </c>
      <c r="BD421">
        <f>IF(ISBLANK('Data Entry'!$x$421), "", 'Data Entry'!$x$421)</f>
      </c>
      <c r="BE421">
        <f>IF(ISBLANK('Data Entry'!$y$421), "", 'Data Entry'!$y$421)</f>
      </c>
      <c r="BF421">
        <f>IF(ISBLANK('Data Entry'!$z$421), "", 'Data Entry'!$z$421)</f>
      </c>
      <c r="BG421">
        <f>IF(ISBLANK('Data Entry'!${$421), "", 'Data Entry'!${$421)</f>
      </c>
      <c r="BH421">
        <f>IF(ISBLANK('Data Entry'!$|$421), "", 'Data Entry'!$|$421)</f>
      </c>
      <c r="BI421">
        <f>IF(ISBLANK('Data Entry'!$}$421), "", 'Data Entry'!$}$421)</f>
      </c>
      <c r="BJ421">
        <f>IF(ISBLANK('Data Entry'!$~$421), "", 'Data Entry'!$~$421)</f>
      </c>
      <c r="BK421">
        <f>IF(ISBLANK('Data Entry'!$$421), "", 'Data Entry'!$$421)</f>
      </c>
      <c r="BL421">
        <f>IF(ISBLANK('Data Entry'!$$421), "", 'Data Entry'!$$421)</f>
      </c>
      <c r="BM421">
        <f>IF(ISBLANK('Data Entry'!$$421), "", 'Data Entry'!$$421)</f>
      </c>
      <c r="BN421">
        <f>IF(ISBLANK('Data Entry'!$$421), "", 'Data Entry'!$$421)</f>
      </c>
      <c r="BO421">
        <f>IF(ISBLANK('Data Entry'!$$421), "", 'Data Entry'!$$421)</f>
      </c>
      <c r="BP421">
        <f>IF(ISBLANK('Data Entry'!$$421), "", 'Data Entry'!$$421)</f>
      </c>
      <c r="BQ421">
        <f>IF(ISBLANK('Data Entry'!$$421), "", 'Data Entry'!$$421)</f>
      </c>
      <c r="BR421">
        <f>IF(ISBLANK('Data Entry'!$$421), "", 'Data Entry'!$$421)</f>
      </c>
      <c r="BS421">
        <f>IF(ISBLANK('Data Entry'!$$421), "", 'Data Entry'!$$421)</f>
      </c>
      <c r="BT421">
        <f>IF(ISBLANK('Data Entry'!$$421), "", 'Data Entry'!$$421)</f>
      </c>
      <c r="BU421">
        <f>IF(ISBLANK('Data Entry'!$$421), "", 'Data Entry'!$$421)</f>
      </c>
      <c r="BV421">
        <f>IF(ISBLANK('Data Entry'!$$421), "", 'Data Entry'!$$421)</f>
      </c>
      <c r="BW421">
        <f>IF(ISBLANK('Data Entry'!$$421), "", 'Data Entry'!$$421)</f>
      </c>
      <c r="BX421">
        <f>IF(ISBLANK('Data Entry'!$$421), "", 'Data Entry'!$$421)</f>
      </c>
      <c r="BY421">
        <f>IF(ISBLANK('Data Entry'!$$421), "", 'Data Entry'!$$421)</f>
      </c>
      <c r="BZ421">
        <f>IF(ISBLANK('Data Entry'!$$421), "", 'Data Entry'!$$421)</f>
      </c>
      <c r="CA421">
        <f>IF(ISBLANK('Data Entry'!$$421), "", 'Data Entry'!$$421)</f>
      </c>
      <c r="CB421">
        <f>IF(ISBLANK('Data Entry'!$$421), "", 'Data Entry'!$$421)</f>
      </c>
      <c r="CC421">
        <f>IF(ISBLANK('Data Entry'!$$421), "", 'Data Entry'!$$421)</f>
      </c>
      <c r="CD421">
        <f>IF(ISBLANK('Data Entry'!$$421), "", 'Data Entry'!$$421)</f>
      </c>
      <c r="CE421">
        <f>IF(ISBLANK('Data Entry'!$$421), "", 'Data Entry'!$$421)</f>
      </c>
      <c r="CF421">
        <f>IF(ISBLANK('Data Entry'!$$421), "", 'Data Entry'!$$421)</f>
      </c>
      <c r="CG421">
        <f>IF(ISBLANK('Data Entry'!$$421), "", 'Data Entry'!$$421)</f>
      </c>
      <c r="CH421">
        <f>IF(ISBLANK('Data Entry'!$$421), "", 'Data Entry'!$$421)</f>
      </c>
      <c r="CI421">
        <f>IF(ISBLANK('Data Entry'!$$421), "", 'Data Entry'!$$421)</f>
      </c>
      <c r="CJ421">
        <f>IF(ISBLANK('Data Entry'!$$421), "", 'Data Entry'!$$421)</f>
      </c>
      <c r="CK421">
        <f>IF(ISBLANK('Data Entry'!$$421), "", 'Data Entry'!$$421)</f>
      </c>
      <c r="CL421">
        <f>IF(ISBLANK('Data Entry'!$$421), "", 'Data Entry'!$$421)</f>
      </c>
      <c r="CM421">
        <f>IF(ISBLANK('Data Entry'!$$421), "", 'Data Entry'!$$421)</f>
      </c>
      <c r="CN421">
        <f>IF(ISBLANK('Data Entry'!$$421), "", 'Data Entry'!$$421)</f>
      </c>
      <c r="CO421">
        <f>IF(ISBLANK('Data Entry'!$$421), "", 'Data Entry'!$$421)</f>
      </c>
      <c r="CP421">
        <f>IF(ISBLANK('Data Entry'!$$421), "", 'Data Entry'!$$421)</f>
      </c>
      <c r="CQ421">
        <f>IF(ISBLANK('Data Entry'!$$421), "", 'Data Entry'!$$421)</f>
      </c>
      <c r="CR421">
        <f>IF(ISBLANK('Data Entry'!$ $421), "", 'Data Entry'!$ $421)</f>
      </c>
      <c r="CS421">
        <f>IF(ISBLANK('Data Entry'!$¡$421), "", 'Data Entry'!$¡$421)</f>
      </c>
      <c r="CT421">
        <f>IF(ISBLANK('Data Entry'!$¢$421), "", 'Data Entry'!$¢$421)</f>
      </c>
      <c r="CU421">
        <f>IF(ISBLANK('Data Entry'!$£$421), "", 'Data Entry'!$£$421)</f>
      </c>
      <c r="CV421">
        <f>IF(ISBLANK('Data Entry'!$¤$421), "", 'Data Entry'!$¤$421)</f>
      </c>
      <c r="CW421">
        <f>IF(ISBLANK('Data Entry'!$¥$421), "", 'Data Entry'!$¥$421)</f>
      </c>
      <c r="CX421">
        <f>IF(ISBLANK('Data Entry'!$¦$421), "", 'Data Entry'!$¦$421)</f>
      </c>
      <c r="CY421">
        <f>IF(ISBLANK('Data Entry'!$§$421), "", 'Data Entry'!$§$421)</f>
      </c>
      <c r="CZ421">
        <f>IF(ISBLANK('Data Entry'!$¨$421), "", 'Data Entry'!$¨$421)</f>
      </c>
      <c r="DA421">
        <f>IF(ISBLANK('Data Entry'!$©$421), "", 'Data Entry'!$©$421)</f>
      </c>
      <c r="DB421">
        <f>IF(ISBLANK('Data Entry'!$ª$421), "", 'Data Entry'!$ª$421)</f>
      </c>
      <c r="DC421">
        <f>IF(ISBLANK('Data Entry'!$«$421), "", 'Data Entry'!$«$421)</f>
      </c>
      <c r="DD421">
        <f>IF(ISBLANK('Data Entry'!$¬$421), "", 'Data Entry'!$¬$421)</f>
      </c>
      <c r="DE421">
        <f>IF(ISBLANK('Data Entry'!$­$421), "", 'Data Entry'!$­$421)</f>
      </c>
      <c r="DF421">
        <f>IF(ISBLANK('Data Entry'!$®$421), "", 'Data Entry'!$®$421)</f>
      </c>
      <c r="DG421">
        <f>IF(ISBLANK('Data Entry'!$¯$421), "", 'Data Entry'!$¯$421)</f>
      </c>
      <c r="DH421">
        <f>IF(ISBLANK('Data Entry'!$°$421), "", 'Data Entry'!$°$421)</f>
      </c>
      <c r="DI421">
        <f>IF(ISBLANK('Data Entry'!$±$421), "", 'Data Entry'!$±$421)</f>
      </c>
      <c r="DJ421">
        <f>IF(ISBLANK('Data Entry'!$²$421), "", 'Data Entry'!$²$421)</f>
      </c>
      <c r="DK421">
        <f>IF(ISBLANK('Data Entry'!$³$421), "", 'Data Entry'!$³$421)</f>
      </c>
      <c r="DL421">
        <f>IF(ISBLANK('Data Entry'!$´$421), "", 'Data Entry'!$´$421)</f>
      </c>
      <c r="DM421">
        <f>IF(ISBLANK('Data Entry'!$µ$421), "", 'Data Entry'!$µ$421)</f>
      </c>
      <c r="DN421">
        <f>IF(ISBLANK('Data Entry'!$¶$421), "", 'Data Entry'!$¶$421)</f>
      </c>
      <c r="DO421">
        <f>IF(ISBLANK('Data Entry'!$·$421), "", 'Data Entry'!$·$421)</f>
      </c>
      <c r="DP421">
        <f>IF(ISBLANK('Data Entry'!$¸$421), "", 'Data Entry'!$¸$421)</f>
      </c>
      <c r="DQ421">
        <f>IF(ISBLANK('Data Entry'!$¹$421), "", 'Data Entry'!$¹$421)</f>
      </c>
      <c r="DR421">
        <f>IF(ISBLANK('Data Entry'!$º$421), "", 'Data Entry'!$º$421)</f>
      </c>
      <c r="DS421">
        <f>IF(ISBLANK('Data Entry'!$»$421), "", 'Data Entry'!$»$421)</f>
      </c>
      <c r="DT421">
        <f>IF(ISBLANK('Data Entry'!$¼$421), "", 'Data Entry'!$¼$421)</f>
      </c>
      <c r="DU421">
        <f>IF(ISBLANK('Data Entry'!$½$421), "", 'Data Entry'!$½$421)</f>
      </c>
      <c r="DV421">
        <f>IF(ISBLANK('Data Entry'!$¾$421), "", 'Data Entry'!$¾$421)</f>
      </c>
      <c r="DW421">
        <f>IF(ISBLANK('Data Entry'!$¿$421), "", 'Data Entry'!$¿$421)</f>
      </c>
      <c r="DX421">
        <f>IF(ISBLANK('Data Entry'!$À$421), "", 'Data Entry'!$À$421)</f>
      </c>
      <c r="DY421">
        <f>IF(ISBLANK('Data Entry'!$Á$421), "", 'Data Entry'!$Á$421)</f>
      </c>
      <c r="DZ421">
        <f>IF(ISBLANK('Data Entry'!$Â$421), "", 'Data Entry'!$Â$421)</f>
      </c>
      <c r="EA421">
        <f>IF(ISBLANK('Data Entry'!$Ã$421), "", 'Data Entry'!$Ã$421)</f>
      </c>
      <c r="EB421">
        <f>IF(ISBLANK('Data Entry'!$Ä$421), "", 'Data Entry'!$Ä$421)</f>
      </c>
      <c r="EC421">
        <f>IF(ISBLANK('Data Entry'!$Å$421), "", 'Data Entry'!$Å$421)</f>
      </c>
      <c r="ED421">
        <f>IF(ISBLANK('Data Entry'!$Æ$421), "", 'Data Entry'!$Æ$421)</f>
      </c>
      <c r="EE421">
        <f>IF(ISBLANK('Data Entry'!$Ç$421), "", 'Data Entry'!$Ç$421)</f>
      </c>
      <c r="EF421">
        <f>IF(ISBLANK('Data Entry'!$È$421), "", 'Data Entry'!$È$421)</f>
      </c>
      <c r="EG421">
        <f>IF(ISBLANK('Data Entry'!$É$421), "", 'Data Entry'!$É$421)</f>
      </c>
      <c r="EH421">
        <f>IF(ISBLANK('Data Entry'!$Ê$421), "", 'Data Entry'!$Ê$421)</f>
      </c>
      <c r="EI421">
        <f>IF(ISBLANK('Data Entry'!$Ë$421), "", 'Data Entry'!$Ë$421)</f>
      </c>
      <c r="EJ421">
        <f>IF(ISBLANK('Data Entry'!$Ì$421), "", 'Data Entry'!$Ì$421)</f>
      </c>
      <c r="EK421">
        <f>IF(ISBLANK('Data Entry'!$Í$421), "", 'Data Entry'!$Í$421)</f>
      </c>
      <c r="EL421">
        <f>IF(ISBLANK('Data Entry'!$Î$421), "", 'Data Entry'!$Î$421)</f>
      </c>
      <c r="EM421">
        <f>IF(ISBLANK('Data Entry'!$Ï$421), "", 'Data Entry'!$Ï$421)</f>
      </c>
      <c r="EN421">
        <f>IF(ISBLANK('Data Entry'!$Ð$421), "", 'Data Entry'!$Ð$421)</f>
      </c>
      <c r="EO421">
        <f>IF(ISBLANK('Data Entry'!$Ñ$421), "", 'Data Entry'!$Ñ$421)</f>
      </c>
      <c r="EP421">
        <f>IF(ISBLANK('Data Entry'!$Ò$421), "", 'Data Entry'!$Ò$421)</f>
      </c>
      <c r="EQ421">
        <f>IF(ISBLANK('Data Entry'!$Ó$421), "", 'Data Entry'!$Ó$421)</f>
      </c>
      <c r="ER421">
        <f>IF(ISBLANK('Data Entry'!$Ô$421), "", 'Data Entry'!$Ô$421)</f>
      </c>
      <c r="ES421">
        <f>IF(ISBLANK('Data Entry'!$Õ$421), "", 'Data Entry'!$Õ$421)</f>
      </c>
      <c r="ET421">
        <f>IF(ISBLANK('Data Entry'!$Ö$421), "", 'Data Entry'!$Ö$421)</f>
      </c>
      <c r="EU421">
        <f>IF(ISBLANK('Data Entry'!$×$421), "", 'Data Entry'!$×$421)</f>
      </c>
      <c r="EV421">
        <f>IF(ISBLANK('Data Entry'!$Ø$421), "", 'Data Entry'!$Ø$421)</f>
      </c>
      <c r="EW421">
        <f>IF(ISBLANK('Data Entry'!$Ù$421), "", 'Data Entry'!$Ù$421)</f>
      </c>
      <c r="EX421">
        <f>IF(ISBLANK('Data Entry'!$Ú$421), "", 'Data Entry'!$Ú$421)</f>
      </c>
      <c r="EY421">
        <f>IF(ISBLANK('Data Entry'!$Û$421), "", 'Data Entry'!$Û$421)</f>
      </c>
      <c r="EZ421">
        <f>IF(ISBLANK('Data Entry'!$Ü$421), "", 'Data Entry'!$Ü$421)</f>
      </c>
      <c r="FA421">
        <f>IF(ISBLANK('Data Entry'!$Ý$421), "", 'Data Entry'!$Ý$421)</f>
      </c>
      <c r="FB421">
        <f>IF(ISBLANK('Data Entry'!$Þ$421), "", 'Data Entry'!$Þ$421)</f>
      </c>
      <c r="FC421">
        <f>IF(ISBLANK('Data Entry'!$ß$421), "", 'Data Entry'!$ß$421)</f>
      </c>
      <c r="FD421">
        <f>IF(ISBLANK('Data Entry'!$à$421), "", 'Data Entry'!$à$421)</f>
      </c>
      <c r="FE421">
        <f>IF(ISBLANK('Data Entry'!$á$421), "", 'Data Entry'!$á$421)</f>
      </c>
      <c r="FF421">
        <f>IF(ISBLANK('Data Entry'!$â$421), "", 'Data Entry'!$â$421)</f>
      </c>
      <c r="FG421">
        <f>IF(ISBLANK('Data Entry'!$ã$421), "", 'Data Entry'!$ã$421)</f>
      </c>
      <c r="FH421">
        <f>IF(ISBLANK('Data Entry'!$ä$421), "", 'Data Entry'!$ä$421)</f>
      </c>
      <c r="FI421">
        <f>IF(ISBLANK('Data Entry'!$å$421), "", 'Data Entry'!$å$421)</f>
      </c>
      <c r="FJ421">
        <f>IF(ISBLANK('Data Entry'!$æ$421), "", 'Data Entry'!$æ$421)</f>
      </c>
      <c r="FK421">
        <f>IF(ISBLANK('Data Entry'!$ç$421), "", 'Data Entry'!$ç$421)</f>
      </c>
      <c r="FL421">
        <f>IF(ISBLANK('Data Entry'!$è$421), "", 'Data Entry'!$è$421)</f>
      </c>
      <c r="FM421">
        <f>IF(ISBLANK('Data Entry'!$é$421), "", 'Data Entry'!$é$421)</f>
      </c>
      <c r="FN421">
        <f>IF(ISBLANK('Data Entry'!$ê$421), "", 'Data Entry'!$ê$421)</f>
      </c>
      <c r="FO421">
        <f>IF(ISBLANK('Data Entry'!$ë$421), "", 'Data Entry'!$ë$421)</f>
      </c>
      <c r="FP421">
        <f>IF(ISBLANK('Data Entry'!$ì$421), "", 'Data Entry'!$ì$421)</f>
      </c>
      <c r="FQ421">
        <f>IF(ISBLANK('Data Entry'!$í$421), "", 'Data Entry'!$í$421)</f>
      </c>
      <c r="FR421">
        <f>IF(ISBLANK('Data Entry'!$î$421), "", 'Data Entry'!$î$421)</f>
      </c>
      <c r="FS421">
        <f>IF(ISBLANK('Data Entry'!$ï$421), "", 'Data Entry'!$ï$421)</f>
      </c>
      <c r="FT421">
        <f>IF(ISBLANK('Data Entry'!$ð$421), "", 'Data Entry'!$ð$421)</f>
      </c>
      <c r="FU421">
        <f>IF(ISBLANK('Data Entry'!$ñ$421), "", 'Data Entry'!$ñ$421)</f>
      </c>
      <c r="FV421">
        <f>IF(ISBLANK('Data Entry'!$ò$421), "", 'Data Entry'!$ò$421)</f>
      </c>
      <c r="FW421">
        <f>IF(ISBLANK('Data Entry'!$ó$421), "", 'Data Entry'!$ó$421)</f>
      </c>
      <c r="FX421">
        <f>IF(ISBLANK('Data Entry'!$ô$421), "", 'Data Entry'!$ô$421)</f>
      </c>
      <c r="FY421">
        <f>IF(ISBLANK('Data Entry'!$õ$421), "", 'Data Entry'!$õ$421)</f>
      </c>
      <c r="FZ421">
        <f>IF(ISBLANK('Data Entry'!$ö$421), "", 'Data Entry'!$ö$421)</f>
      </c>
      <c r="GA421">
        <f>IF(ISBLANK('Data Entry'!$÷$421), "", 'Data Entry'!$÷$421)</f>
      </c>
      <c r="GB421">
        <f>IF(ISBLANK('Data Entry'!$ø$421), "", 'Data Entry'!$ø$421)</f>
      </c>
      <c r="GC421">
        <f>IF(ISBLANK('Data Entry'!$ù$421), "", 'Data Entry'!$ù$421)</f>
      </c>
      <c r="GD421">
        <f>IF(ISBLANK('Data Entry'!$ú$421), "", 'Data Entry'!$ú$421)</f>
      </c>
      <c r="GE421">
        <f>IF(ISBLANK('Data Entry'!$û$421), "", 'Data Entry'!$û$421)</f>
      </c>
      <c r="GF421">
        <f>IF(ISBLANK('Data Entry'!$ü$421), "", 'Data Entry'!$ü$421)</f>
      </c>
      <c r="GG421">
        <f>IF(ISBLANK('Data Entry'!$ý$421), "", 'Data Entry'!$ý$421)</f>
      </c>
      <c r="GH421">
        <f>IF(ISBLANK('Data Entry'!$þ$421), "", 'Data Entry'!$þ$421)</f>
      </c>
      <c r="GI421">
        <f>IF(ISBLANK('Data Entry'!$ÿ$421), "", 'Data Entry'!$ÿ$421)</f>
      </c>
      <c r="GJ421">
        <f>IF(ISBLANK('Data Entry'!$Ā$421), "", 'Data Entry'!$Ā$421)</f>
      </c>
      <c r="GK421">
        <f>IF(ISBLANK('Data Entry'!$ā$421), "", 'Data Entry'!$ā$421)</f>
      </c>
      <c r="GL421">
        <f>IF(ISBLANK('Data Entry'!$Ă$421), "", 'Data Entry'!$Ă$421)</f>
      </c>
      <c r="GM421">
        <f>IF(ISBLANK('Data Entry'!$ă$421), "", 'Data Entry'!$ă$421)</f>
      </c>
      <c r="GN421">
        <f>IF(ISBLANK('Data Entry'!$Ą$421), "", 'Data Entry'!$Ą$421)</f>
      </c>
      <c r="GO421">
        <f>IF(ISBLANK('Data Entry'!$ą$421), "", 'Data Entry'!$ą$421)</f>
      </c>
      <c r="GP421">
        <f>IF(ISBLANK('Data Entry'!$Ć$421), "", 'Data Entry'!$Ć$421)</f>
      </c>
      <c r="GQ421">
        <f>IF(ISBLANK('Data Entry'!$ć$421), "", 'Data Entry'!$ć$421)</f>
      </c>
      <c r="GR421">
        <f>IF(ISBLANK('Data Entry'!$Ĉ$421), "", 'Data Entry'!$Ĉ$421)</f>
      </c>
      <c r="GS421">
        <f>IF(ISBLANK('Data Entry'!$ĉ$421), "", 'Data Entry'!$ĉ$421)</f>
      </c>
      <c r="GT421">
        <f>IF(ISBLANK('Data Entry'!$Ċ$421), "", 'Data Entry'!$Ċ$421)</f>
      </c>
      <c r="GU421">
        <f>IF(ISBLANK('Data Entry'!$ċ$421), "", 'Data Entry'!$ċ$421)</f>
      </c>
      <c r="GV421">
        <f>IF(ISBLANK('Data Entry'!$Č$421), "", 'Data Entry'!$Č$421)</f>
      </c>
      <c r="GW421">
        <f>IF(ISBLANK('Data Entry'!$č$421), "", 'Data Entry'!$č$421)</f>
      </c>
      <c r="GX421">
        <f>IF(ISBLANK('Data Entry'!$Ď$421), "", 'Data Entry'!$Ď$421)</f>
      </c>
      <c r="GY421">
        <f>IF(ISBLANK('Data Entry'!$ď$421), "", 'Data Entry'!$ď$421)</f>
      </c>
      <c r="GZ421">
        <f>IF(ISBLANK('Data Entry'!$Đ$421), "", 'Data Entry'!$Đ$421)</f>
      </c>
      <c r="HA421">
        <f>IF(ISBLANK('Data Entry'!$đ$421), "", 'Data Entry'!$đ$421)</f>
      </c>
      <c r="HB421">
        <f>IF(ISBLANK('Data Entry'!$Ē$421), "", 'Data Entry'!$Ē$421)</f>
      </c>
      <c r="HC421">
        <f>IF(ISBLANK('Data Entry'!$ē$421), "", 'Data Entry'!$ē$421)</f>
      </c>
      <c r="HD421">
        <f>IF(ISBLANK('Data Entry'!$Ĕ$421), "", 'Data Entry'!$Ĕ$421)</f>
      </c>
      <c r="HE421">
        <f>IF(ISBLANK('Data Entry'!$ĕ$421), "", 'Data Entry'!$ĕ$421)</f>
      </c>
      <c r="HF421">
        <f>IF(ISBLANK('Data Entry'!$Ė$421), "", 'Data Entry'!$Ė$421)</f>
      </c>
      <c r="HG421">
        <f>IF(ISBLANK('Data Entry'!$ė$421), "", 'Data Entry'!$ė$421)</f>
      </c>
      <c r="HH421">
        <f>IF(ISBLANK('Data Entry'!$Ę$421), "", 'Data Entry'!$Ę$421)</f>
      </c>
      <c r="HI421">
        <f>IF(ISBLANK('Data Entry'!$ę$421), "", 'Data Entry'!$ę$421)</f>
      </c>
      <c r="HJ421">
        <f>IF(ISBLANK('Data Entry'!$Ě$421), "", 'Data Entry'!$Ě$421)</f>
      </c>
      <c r="HK421">
        <f>IF(ISBLANK('Data Entry'!$ě$421), "", 'Data Entry'!$ě$421)</f>
      </c>
      <c r="HL421">
        <f>IF(ISBLANK('Data Entry'!$Ĝ$421), "", 'Data Entry'!$Ĝ$421)</f>
      </c>
      <c r="HM421">
        <f>IF(ISBLANK('Data Entry'!$ĝ$421), "", 'Data Entry'!$ĝ$421)</f>
      </c>
      <c r="HN421">
        <f>IF(ISBLANK('Data Entry'!$Ğ$421), "", 'Data Entry'!$Ğ$421)</f>
      </c>
      <c r="HO421">
        <f>IF(ISBLANK('Data Entry'!$ğ$421), "", 'Data Entry'!$ğ$421)</f>
      </c>
      <c r="HP421">
        <f>IF(ISBLANK('Data Entry'!$Ġ$421), "", 'Data Entry'!$Ġ$421)</f>
      </c>
      <c r="HQ421">
        <f>IF(ISBLANK('Data Entry'!$ġ$421), "", 'Data Entry'!$ġ$421)</f>
      </c>
      <c r="HR421">
        <f>IF(ISBLANK('Data Entry'!$Ģ$421), "", 'Data Entry'!$Ģ$421)</f>
      </c>
      <c r="HS421">
        <f>IF(ISBLANK('Data Entry'!$ģ$421), "", 'Data Entry'!$ģ$421)</f>
      </c>
      <c r="HT421">
        <f>IF(ISBLANK('Data Entry'!$Ĥ$421), "", 'Data Entry'!$Ĥ$421)</f>
      </c>
      <c r="HU421">
        <f>IF(ISBLANK('Data Entry'!$ĥ$421), "", 'Data Entry'!$ĥ$421)</f>
      </c>
      <c r="HV421">
        <f>IF(ISBLANK('Data Entry'!$Ħ$421), "", 'Data Entry'!$Ħ$421)</f>
      </c>
      <c r="HW421">
        <f>IF(ISBLANK('Data Entry'!$ħ$421), "", 'Data Entry'!$ħ$421)</f>
      </c>
      <c r="HX421">
        <f>IF(ISBLANK('Data Entry'!$Ĩ$421), "", 'Data Entry'!$Ĩ$421)</f>
      </c>
      <c r="HY421">
        <f>IF(ISBLANK('Data Entry'!$ĩ$421), "", 'Data Entry'!$ĩ$421)</f>
      </c>
      <c r="HZ421">
        <f>IF(ISBLANK('Data Entry'!$Ī$421), "", 'Data Entry'!$Ī$421)</f>
      </c>
      <c r="IA421">
        <f>IF(ISBLANK('Data Entry'!$ī$421), "", 'Data Entry'!$ī$421)</f>
      </c>
      <c r="IB421">
        <f>IF(ISBLANK('Data Entry'!$Ĭ$421), "", 'Data Entry'!$Ĭ$421)</f>
      </c>
      <c r="IC421">
        <f>IF(ISBLANK('Data Entry'!$ĭ$421), "", 'Data Entry'!$ĭ$421)</f>
      </c>
      <c r="ID421">
        <f>IF(ISBLANK('Data Entry'!$Į$421), "", 'Data Entry'!$Į$421)</f>
      </c>
      <c r="IE421">
        <f>IF(ISBLANK('Data Entry'!$į$421), "", 'Data Entry'!$į$421)</f>
      </c>
      <c r="IF421">
        <f>IF(ISBLANK('Data Entry'!$İ$421), "", 'Data Entry'!$İ$421)</f>
      </c>
      <c r="IG421">
        <f>IF(ISBLANK('Data Entry'!$ı$421), "", 'Data Entry'!$ı$421)</f>
      </c>
      <c r="IH421">
        <f>IF(ISBLANK('Data Entry'!$Ĳ$421), "", 'Data Entry'!$Ĳ$421)</f>
      </c>
      <c r="II421">
        <f>IF(ISBLANK('Data Entry'!$ĳ$421), "", 'Data Entry'!$ĳ$421)</f>
      </c>
      <c r="IJ421">
        <f>IF(ISBLANK('Data Entry'!$Ĵ$421), "", 'Data Entry'!$Ĵ$421)</f>
      </c>
      <c r="IK421">
        <f>IF(ISBLANK('Data Entry'!$ĵ$421), "", 'Data Entry'!$ĵ$421)</f>
      </c>
      <c r="IL421">
        <f>IF(ISBLANK('Data Entry'!$Ķ$421), "", 'Data Entry'!$Ķ$421)</f>
      </c>
      <c r="IM421">
        <f>IF(ISBLANK('Data Entry'!$ķ$421), "", 'Data Entry'!$ķ$421)</f>
      </c>
      <c r="IN421">
        <f>IF(ISBLANK('Data Entry'!$ĸ$421), "", 'Data Entry'!$ĸ$421)</f>
      </c>
      <c r="IO421">
        <f>IF(ISBLANK('Data Entry'!$Ĺ$421), "", 'Data Entry'!$Ĺ$421)</f>
      </c>
      <c r="IP421">
        <f>IF(ISBLANK('Data Entry'!$ĺ$421), "", 'Data Entry'!$ĺ$421)</f>
      </c>
      <c r="IQ421">
        <f>IF(ISBLANK('Data Entry'!$Ļ$421), "", 'Data Entry'!$Ļ$421)</f>
      </c>
      <c r="IR421">
        <f>IF(ISBLANK('Data Entry'!$ļ$421), "", 'Data Entry'!$ļ$421)</f>
      </c>
      <c r="IS421">
        <f>IF(ISBLANK('Data Entry'!$Ľ$421), "", 'Data Entry'!$Ľ$421)</f>
      </c>
      <c r="IT421">
        <f>IF(ISBLANK('Data Entry'!$ľ$421), "", 'Data Entry'!$ľ$421)</f>
      </c>
    </row>
    <row r="422" spans="1:254" x14ac:dyDescent="0.25">
      <c r="A422">
        <f>IF(ISBLANK('Data Entry'!$A$422), "", 'Data Entry'!$A$422)</f>
      </c>
      <c r="B422">
        <f>IF(ISBLANK('Data Entry'!$B$422), "", 'Data Entry'!$B$422)</f>
      </c>
      <c r="C422">
        <f>IF(ISBLANK('Data Entry'!$C$422), "", 'Data Entry'!$C$422)</f>
      </c>
      <c r="D422">
        <f>IF(ISBLANK('Data Entry'!$D$422), "", 'Data Entry'!$D$422)</f>
      </c>
      <c r="E422">
        <f>IF(ISBLANK('Data Entry'!$E$422), "", 'Data Entry'!$E$422)</f>
      </c>
      <c r="F422">
        <f>IF(ISBLANK('Data Entry'!$F$422), "", 'Data Entry'!$F$422)</f>
      </c>
      <c r="G422">
        <f>IF(ISBLANK('Data Entry'!$G$422), "", 'Data Entry'!$G$422)</f>
      </c>
      <c r="H422">
        <f>IF(ISBLANK('Data Entry'!$H$422), "", 'Data Entry'!$H$422)</f>
      </c>
      <c r="I422">
        <f>IF(ISBLANK('Data Entry'!$I$422), "", 'Data Entry'!$I$422)</f>
      </c>
      <c r="J422">
        <f>IF(ISBLANK('Data Entry'!$J$422), "", 'Data Entry'!$J$422)</f>
      </c>
      <c r="K422">
        <f>IF(ISBLANK('Data Entry'!$K$422), "", 'Data Entry'!$K$422)</f>
      </c>
      <c r="L422">
        <f>IF(ISBLANK('Data Entry'!$L$422), "", 'Data Entry'!$L$422)</f>
      </c>
      <c r="M422">
        <f>IF(ISBLANK('Data Entry'!$M$422), "", 'Data Entry'!$M$422)</f>
      </c>
      <c r="N422">
        <f>IF(ISBLANK('Data Entry'!$N$422), "", 'Data Entry'!$N$422)</f>
      </c>
      <c r="O422">
        <f>IF(ISBLANK('Data Entry'!$O$422), "", 'Data Entry'!$O$422)</f>
      </c>
      <c r="P422">
        <f>IF(ISBLANK('Data Entry'!$P$422), "", 'Data Entry'!$P$422)</f>
      </c>
      <c r="Q422">
        <f>IF(ISBLANK('Data Entry'!$Q$422), "", 'Data Entry'!$Q$422)</f>
      </c>
      <c r="R422">
        <f>IF(ISBLANK('Data Entry'!$R$422), "", 'Data Entry'!$R$422)</f>
      </c>
      <c r="S422">
        <f>IF(ISBLANK('Data Entry'!$S$422), "", 'Data Entry'!$S$422)</f>
      </c>
      <c r="T422">
        <f>IF(ISBLANK('Data Entry'!$T$422), "", 'Data Entry'!$T$422)</f>
      </c>
      <c r="U422">
        <f>IF(ISBLANK('Data Entry'!$U$422), "", 'Data Entry'!$U$422)</f>
      </c>
      <c r="V422">
        <f>IF(ISBLANK('Data Entry'!$V$422), "", 'Data Entry'!$V$422)</f>
      </c>
      <c r="W422">
        <f>IF(ISBLANK('Data Entry'!$W$422), "", 'Data Entry'!$W$422)</f>
      </c>
      <c r="X422">
        <f>IF(ISBLANK('Data Entry'!$X$422), "", 'Data Entry'!$X$422)</f>
      </c>
      <c r="Y422">
        <f>IF(ISBLANK('Data Entry'!$Y$422), "", 'Data Entry'!$Y$422)</f>
      </c>
      <c r="Z422">
        <f>IF(ISBLANK('Data Entry'!$Z$422), "", 'Data Entry'!$Z$422)</f>
      </c>
      <c r="AA422">
        <f>IF(ISBLANK('Data Entry'!$[$422), "", 'Data Entry'!$[$422)</f>
      </c>
      <c r="AB422">
        <f>IF(ISBLANK('Data Entry'!$\$422), "", 'Data Entry'!$\$422)</f>
      </c>
      <c r="AC422">
        <f>IF(ISBLANK('Data Entry'!$]$422), "", 'Data Entry'!$]$422)</f>
      </c>
      <c r="AD422">
        <f>IF(ISBLANK('Data Entry'!$^$422), "", 'Data Entry'!$^$422)</f>
      </c>
      <c r="AE422">
        <f>IF(ISBLANK('Data Entry'!$_$422), "", 'Data Entry'!$_$422)</f>
      </c>
      <c r="AF422">
        <f>IF(ISBLANK('Data Entry'!$`$422), "", 'Data Entry'!$`$422)</f>
      </c>
      <c r="AG422">
        <f>IF(ISBLANK('Data Entry'!$a$422), "", 'Data Entry'!$a$422)</f>
      </c>
      <c r="AH422">
        <f>IF(ISBLANK('Data Entry'!$b$422), "", 'Data Entry'!$b$422)</f>
      </c>
      <c r="AI422">
        <f>IF(ISBLANK('Data Entry'!$c$422), "", 'Data Entry'!$c$422)</f>
      </c>
      <c r="AJ422">
        <f>IF(ISBLANK('Data Entry'!$d$422), "", 'Data Entry'!$d$422)</f>
      </c>
      <c r="AK422">
        <f>IF(ISBLANK('Data Entry'!$e$422), "", 'Data Entry'!$e$422)</f>
      </c>
      <c r="AL422">
        <f>IF(ISBLANK('Data Entry'!$f$422), "", 'Data Entry'!$f$422)</f>
      </c>
      <c r="AM422">
        <f>IF(ISBLANK('Data Entry'!$g$422), "", 'Data Entry'!$g$422)</f>
      </c>
      <c r="AN422">
        <f>IF(ISBLANK('Data Entry'!$h$422), "", 'Data Entry'!$h$422)</f>
      </c>
      <c r="AO422">
        <f>IF(ISBLANK('Data Entry'!$i$422), "", 'Data Entry'!$i$422)</f>
      </c>
      <c r="AP422">
        <f>IF(ISBLANK('Data Entry'!$j$422), "", 'Data Entry'!$j$422)</f>
      </c>
      <c r="AQ422">
        <f>IF(ISBLANK('Data Entry'!$k$422), "", 'Data Entry'!$k$422)</f>
      </c>
      <c r="AR422">
        <f>IF(ISBLANK('Data Entry'!$l$422), "", 'Data Entry'!$l$422)</f>
      </c>
      <c r="AS422">
        <f>IF(ISBLANK('Data Entry'!$m$422), "", 'Data Entry'!$m$422)</f>
      </c>
      <c r="AT422">
        <f>IF(ISBLANK('Data Entry'!$n$422), "", 'Data Entry'!$n$422)</f>
      </c>
      <c r="AU422">
        <f>IF(ISBLANK('Data Entry'!$o$422), "", 'Data Entry'!$o$422)</f>
      </c>
      <c r="AV422">
        <f>IF(ISBLANK('Data Entry'!$p$422), "", 'Data Entry'!$p$422)</f>
      </c>
      <c r="AW422">
        <f>IF(ISBLANK('Data Entry'!$q$422), "", 'Data Entry'!$q$422)</f>
      </c>
      <c r="AX422">
        <f>IF(ISBLANK('Data Entry'!$r$422), "", 'Data Entry'!$r$422)</f>
      </c>
      <c r="AY422">
        <f>IF(ISBLANK('Data Entry'!$s$422), "", 'Data Entry'!$s$422)</f>
      </c>
      <c r="AZ422">
        <f>IF(ISBLANK('Data Entry'!$t$422), "", 'Data Entry'!$t$422)</f>
      </c>
      <c r="BA422">
        <f>IF(ISBLANK('Data Entry'!$u$422), "", 'Data Entry'!$u$422)</f>
      </c>
      <c r="BB422">
        <f>IF(ISBLANK('Data Entry'!$v$422), "", 'Data Entry'!$v$422)</f>
      </c>
      <c r="BC422">
        <f>IF(ISBLANK('Data Entry'!$w$422), "", 'Data Entry'!$w$422)</f>
      </c>
      <c r="BD422">
        <f>IF(ISBLANK('Data Entry'!$x$422), "", 'Data Entry'!$x$422)</f>
      </c>
      <c r="BE422">
        <f>IF(ISBLANK('Data Entry'!$y$422), "", 'Data Entry'!$y$422)</f>
      </c>
      <c r="BF422">
        <f>IF(ISBLANK('Data Entry'!$z$422), "", 'Data Entry'!$z$422)</f>
      </c>
      <c r="BG422">
        <f>IF(ISBLANK('Data Entry'!${$422), "", 'Data Entry'!${$422)</f>
      </c>
      <c r="BH422">
        <f>IF(ISBLANK('Data Entry'!$|$422), "", 'Data Entry'!$|$422)</f>
      </c>
      <c r="BI422">
        <f>IF(ISBLANK('Data Entry'!$}$422), "", 'Data Entry'!$}$422)</f>
      </c>
      <c r="BJ422">
        <f>IF(ISBLANK('Data Entry'!$~$422), "", 'Data Entry'!$~$422)</f>
      </c>
      <c r="BK422">
        <f>IF(ISBLANK('Data Entry'!$$422), "", 'Data Entry'!$$422)</f>
      </c>
      <c r="BL422">
        <f>IF(ISBLANK('Data Entry'!$$422), "", 'Data Entry'!$$422)</f>
      </c>
      <c r="BM422">
        <f>IF(ISBLANK('Data Entry'!$$422), "", 'Data Entry'!$$422)</f>
      </c>
      <c r="BN422">
        <f>IF(ISBLANK('Data Entry'!$$422), "", 'Data Entry'!$$422)</f>
      </c>
      <c r="BO422">
        <f>IF(ISBLANK('Data Entry'!$$422), "", 'Data Entry'!$$422)</f>
      </c>
      <c r="BP422">
        <f>IF(ISBLANK('Data Entry'!$$422), "", 'Data Entry'!$$422)</f>
      </c>
      <c r="BQ422">
        <f>IF(ISBLANK('Data Entry'!$$422), "", 'Data Entry'!$$422)</f>
      </c>
      <c r="BR422">
        <f>IF(ISBLANK('Data Entry'!$$422), "", 'Data Entry'!$$422)</f>
      </c>
      <c r="BS422">
        <f>IF(ISBLANK('Data Entry'!$$422), "", 'Data Entry'!$$422)</f>
      </c>
      <c r="BT422">
        <f>IF(ISBLANK('Data Entry'!$$422), "", 'Data Entry'!$$422)</f>
      </c>
      <c r="BU422">
        <f>IF(ISBLANK('Data Entry'!$$422), "", 'Data Entry'!$$422)</f>
      </c>
      <c r="BV422">
        <f>IF(ISBLANK('Data Entry'!$$422), "", 'Data Entry'!$$422)</f>
      </c>
      <c r="BW422">
        <f>IF(ISBLANK('Data Entry'!$$422), "", 'Data Entry'!$$422)</f>
      </c>
      <c r="BX422">
        <f>IF(ISBLANK('Data Entry'!$$422), "", 'Data Entry'!$$422)</f>
      </c>
      <c r="BY422">
        <f>IF(ISBLANK('Data Entry'!$$422), "", 'Data Entry'!$$422)</f>
      </c>
      <c r="BZ422">
        <f>IF(ISBLANK('Data Entry'!$$422), "", 'Data Entry'!$$422)</f>
      </c>
      <c r="CA422">
        <f>IF(ISBLANK('Data Entry'!$$422), "", 'Data Entry'!$$422)</f>
      </c>
      <c r="CB422">
        <f>IF(ISBLANK('Data Entry'!$$422), "", 'Data Entry'!$$422)</f>
      </c>
      <c r="CC422">
        <f>IF(ISBLANK('Data Entry'!$$422), "", 'Data Entry'!$$422)</f>
      </c>
      <c r="CD422">
        <f>IF(ISBLANK('Data Entry'!$$422), "", 'Data Entry'!$$422)</f>
      </c>
      <c r="CE422">
        <f>IF(ISBLANK('Data Entry'!$$422), "", 'Data Entry'!$$422)</f>
      </c>
      <c r="CF422">
        <f>IF(ISBLANK('Data Entry'!$$422), "", 'Data Entry'!$$422)</f>
      </c>
      <c r="CG422">
        <f>IF(ISBLANK('Data Entry'!$$422), "", 'Data Entry'!$$422)</f>
      </c>
      <c r="CH422">
        <f>IF(ISBLANK('Data Entry'!$$422), "", 'Data Entry'!$$422)</f>
      </c>
      <c r="CI422">
        <f>IF(ISBLANK('Data Entry'!$$422), "", 'Data Entry'!$$422)</f>
      </c>
      <c r="CJ422">
        <f>IF(ISBLANK('Data Entry'!$$422), "", 'Data Entry'!$$422)</f>
      </c>
      <c r="CK422">
        <f>IF(ISBLANK('Data Entry'!$$422), "", 'Data Entry'!$$422)</f>
      </c>
      <c r="CL422">
        <f>IF(ISBLANK('Data Entry'!$$422), "", 'Data Entry'!$$422)</f>
      </c>
      <c r="CM422">
        <f>IF(ISBLANK('Data Entry'!$$422), "", 'Data Entry'!$$422)</f>
      </c>
      <c r="CN422">
        <f>IF(ISBLANK('Data Entry'!$$422), "", 'Data Entry'!$$422)</f>
      </c>
      <c r="CO422">
        <f>IF(ISBLANK('Data Entry'!$$422), "", 'Data Entry'!$$422)</f>
      </c>
      <c r="CP422">
        <f>IF(ISBLANK('Data Entry'!$$422), "", 'Data Entry'!$$422)</f>
      </c>
      <c r="CQ422">
        <f>IF(ISBLANK('Data Entry'!$$422), "", 'Data Entry'!$$422)</f>
      </c>
      <c r="CR422">
        <f>IF(ISBLANK('Data Entry'!$ $422), "", 'Data Entry'!$ $422)</f>
      </c>
      <c r="CS422">
        <f>IF(ISBLANK('Data Entry'!$¡$422), "", 'Data Entry'!$¡$422)</f>
      </c>
      <c r="CT422">
        <f>IF(ISBLANK('Data Entry'!$¢$422), "", 'Data Entry'!$¢$422)</f>
      </c>
      <c r="CU422">
        <f>IF(ISBLANK('Data Entry'!$£$422), "", 'Data Entry'!$£$422)</f>
      </c>
      <c r="CV422">
        <f>IF(ISBLANK('Data Entry'!$¤$422), "", 'Data Entry'!$¤$422)</f>
      </c>
      <c r="CW422">
        <f>IF(ISBLANK('Data Entry'!$¥$422), "", 'Data Entry'!$¥$422)</f>
      </c>
      <c r="CX422">
        <f>IF(ISBLANK('Data Entry'!$¦$422), "", 'Data Entry'!$¦$422)</f>
      </c>
      <c r="CY422">
        <f>IF(ISBLANK('Data Entry'!$§$422), "", 'Data Entry'!$§$422)</f>
      </c>
      <c r="CZ422">
        <f>IF(ISBLANK('Data Entry'!$¨$422), "", 'Data Entry'!$¨$422)</f>
      </c>
      <c r="DA422">
        <f>IF(ISBLANK('Data Entry'!$©$422), "", 'Data Entry'!$©$422)</f>
      </c>
      <c r="DB422">
        <f>IF(ISBLANK('Data Entry'!$ª$422), "", 'Data Entry'!$ª$422)</f>
      </c>
      <c r="DC422">
        <f>IF(ISBLANK('Data Entry'!$«$422), "", 'Data Entry'!$«$422)</f>
      </c>
      <c r="DD422">
        <f>IF(ISBLANK('Data Entry'!$¬$422), "", 'Data Entry'!$¬$422)</f>
      </c>
      <c r="DE422">
        <f>IF(ISBLANK('Data Entry'!$­$422), "", 'Data Entry'!$­$422)</f>
      </c>
      <c r="DF422">
        <f>IF(ISBLANK('Data Entry'!$®$422), "", 'Data Entry'!$®$422)</f>
      </c>
      <c r="DG422">
        <f>IF(ISBLANK('Data Entry'!$¯$422), "", 'Data Entry'!$¯$422)</f>
      </c>
      <c r="DH422">
        <f>IF(ISBLANK('Data Entry'!$°$422), "", 'Data Entry'!$°$422)</f>
      </c>
      <c r="DI422">
        <f>IF(ISBLANK('Data Entry'!$±$422), "", 'Data Entry'!$±$422)</f>
      </c>
      <c r="DJ422">
        <f>IF(ISBLANK('Data Entry'!$²$422), "", 'Data Entry'!$²$422)</f>
      </c>
      <c r="DK422">
        <f>IF(ISBLANK('Data Entry'!$³$422), "", 'Data Entry'!$³$422)</f>
      </c>
      <c r="DL422">
        <f>IF(ISBLANK('Data Entry'!$´$422), "", 'Data Entry'!$´$422)</f>
      </c>
      <c r="DM422">
        <f>IF(ISBLANK('Data Entry'!$µ$422), "", 'Data Entry'!$µ$422)</f>
      </c>
      <c r="DN422">
        <f>IF(ISBLANK('Data Entry'!$¶$422), "", 'Data Entry'!$¶$422)</f>
      </c>
      <c r="DO422">
        <f>IF(ISBLANK('Data Entry'!$·$422), "", 'Data Entry'!$·$422)</f>
      </c>
      <c r="DP422">
        <f>IF(ISBLANK('Data Entry'!$¸$422), "", 'Data Entry'!$¸$422)</f>
      </c>
      <c r="DQ422">
        <f>IF(ISBLANK('Data Entry'!$¹$422), "", 'Data Entry'!$¹$422)</f>
      </c>
      <c r="DR422">
        <f>IF(ISBLANK('Data Entry'!$º$422), "", 'Data Entry'!$º$422)</f>
      </c>
      <c r="DS422">
        <f>IF(ISBLANK('Data Entry'!$»$422), "", 'Data Entry'!$»$422)</f>
      </c>
      <c r="DT422">
        <f>IF(ISBLANK('Data Entry'!$¼$422), "", 'Data Entry'!$¼$422)</f>
      </c>
      <c r="DU422">
        <f>IF(ISBLANK('Data Entry'!$½$422), "", 'Data Entry'!$½$422)</f>
      </c>
      <c r="DV422">
        <f>IF(ISBLANK('Data Entry'!$¾$422), "", 'Data Entry'!$¾$422)</f>
      </c>
      <c r="DW422">
        <f>IF(ISBLANK('Data Entry'!$¿$422), "", 'Data Entry'!$¿$422)</f>
      </c>
      <c r="DX422">
        <f>IF(ISBLANK('Data Entry'!$À$422), "", 'Data Entry'!$À$422)</f>
      </c>
      <c r="DY422">
        <f>IF(ISBLANK('Data Entry'!$Á$422), "", 'Data Entry'!$Á$422)</f>
      </c>
      <c r="DZ422">
        <f>IF(ISBLANK('Data Entry'!$Â$422), "", 'Data Entry'!$Â$422)</f>
      </c>
      <c r="EA422">
        <f>IF(ISBLANK('Data Entry'!$Ã$422), "", 'Data Entry'!$Ã$422)</f>
      </c>
      <c r="EB422">
        <f>IF(ISBLANK('Data Entry'!$Ä$422), "", 'Data Entry'!$Ä$422)</f>
      </c>
      <c r="EC422">
        <f>IF(ISBLANK('Data Entry'!$Å$422), "", 'Data Entry'!$Å$422)</f>
      </c>
      <c r="ED422">
        <f>IF(ISBLANK('Data Entry'!$Æ$422), "", 'Data Entry'!$Æ$422)</f>
      </c>
      <c r="EE422">
        <f>IF(ISBLANK('Data Entry'!$Ç$422), "", 'Data Entry'!$Ç$422)</f>
      </c>
      <c r="EF422">
        <f>IF(ISBLANK('Data Entry'!$È$422), "", 'Data Entry'!$È$422)</f>
      </c>
      <c r="EG422">
        <f>IF(ISBLANK('Data Entry'!$É$422), "", 'Data Entry'!$É$422)</f>
      </c>
      <c r="EH422">
        <f>IF(ISBLANK('Data Entry'!$Ê$422), "", 'Data Entry'!$Ê$422)</f>
      </c>
      <c r="EI422">
        <f>IF(ISBLANK('Data Entry'!$Ë$422), "", 'Data Entry'!$Ë$422)</f>
      </c>
      <c r="EJ422">
        <f>IF(ISBLANK('Data Entry'!$Ì$422), "", 'Data Entry'!$Ì$422)</f>
      </c>
      <c r="EK422">
        <f>IF(ISBLANK('Data Entry'!$Í$422), "", 'Data Entry'!$Í$422)</f>
      </c>
      <c r="EL422">
        <f>IF(ISBLANK('Data Entry'!$Î$422), "", 'Data Entry'!$Î$422)</f>
      </c>
      <c r="EM422">
        <f>IF(ISBLANK('Data Entry'!$Ï$422), "", 'Data Entry'!$Ï$422)</f>
      </c>
      <c r="EN422">
        <f>IF(ISBLANK('Data Entry'!$Ð$422), "", 'Data Entry'!$Ð$422)</f>
      </c>
      <c r="EO422">
        <f>IF(ISBLANK('Data Entry'!$Ñ$422), "", 'Data Entry'!$Ñ$422)</f>
      </c>
      <c r="EP422">
        <f>IF(ISBLANK('Data Entry'!$Ò$422), "", 'Data Entry'!$Ò$422)</f>
      </c>
      <c r="EQ422">
        <f>IF(ISBLANK('Data Entry'!$Ó$422), "", 'Data Entry'!$Ó$422)</f>
      </c>
      <c r="ER422">
        <f>IF(ISBLANK('Data Entry'!$Ô$422), "", 'Data Entry'!$Ô$422)</f>
      </c>
      <c r="ES422">
        <f>IF(ISBLANK('Data Entry'!$Õ$422), "", 'Data Entry'!$Õ$422)</f>
      </c>
      <c r="ET422">
        <f>IF(ISBLANK('Data Entry'!$Ö$422), "", 'Data Entry'!$Ö$422)</f>
      </c>
      <c r="EU422">
        <f>IF(ISBLANK('Data Entry'!$×$422), "", 'Data Entry'!$×$422)</f>
      </c>
      <c r="EV422">
        <f>IF(ISBLANK('Data Entry'!$Ø$422), "", 'Data Entry'!$Ø$422)</f>
      </c>
      <c r="EW422">
        <f>IF(ISBLANK('Data Entry'!$Ù$422), "", 'Data Entry'!$Ù$422)</f>
      </c>
      <c r="EX422">
        <f>IF(ISBLANK('Data Entry'!$Ú$422), "", 'Data Entry'!$Ú$422)</f>
      </c>
      <c r="EY422">
        <f>IF(ISBLANK('Data Entry'!$Û$422), "", 'Data Entry'!$Û$422)</f>
      </c>
      <c r="EZ422">
        <f>IF(ISBLANK('Data Entry'!$Ü$422), "", 'Data Entry'!$Ü$422)</f>
      </c>
      <c r="FA422">
        <f>IF(ISBLANK('Data Entry'!$Ý$422), "", 'Data Entry'!$Ý$422)</f>
      </c>
      <c r="FB422">
        <f>IF(ISBLANK('Data Entry'!$Þ$422), "", 'Data Entry'!$Þ$422)</f>
      </c>
      <c r="FC422">
        <f>IF(ISBLANK('Data Entry'!$ß$422), "", 'Data Entry'!$ß$422)</f>
      </c>
      <c r="FD422">
        <f>IF(ISBLANK('Data Entry'!$à$422), "", 'Data Entry'!$à$422)</f>
      </c>
      <c r="FE422">
        <f>IF(ISBLANK('Data Entry'!$á$422), "", 'Data Entry'!$á$422)</f>
      </c>
      <c r="FF422">
        <f>IF(ISBLANK('Data Entry'!$â$422), "", 'Data Entry'!$â$422)</f>
      </c>
      <c r="FG422">
        <f>IF(ISBLANK('Data Entry'!$ã$422), "", 'Data Entry'!$ã$422)</f>
      </c>
      <c r="FH422">
        <f>IF(ISBLANK('Data Entry'!$ä$422), "", 'Data Entry'!$ä$422)</f>
      </c>
      <c r="FI422">
        <f>IF(ISBLANK('Data Entry'!$å$422), "", 'Data Entry'!$å$422)</f>
      </c>
      <c r="FJ422">
        <f>IF(ISBLANK('Data Entry'!$æ$422), "", 'Data Entry'!$æ$422)</f>
      </c>
      <c r="FK422">
        <f>IF(ISBLANK('Data Entry'!$ç$422), "", 'Data Entry'!$ç$422)</f>
      </c>
      <c r="FL422">
        <f>IF(ISBLANK('Data Entry'!$è$422), "", 'Data Entry'!$è$422)</f>
      </c>
      <c r="FM422">
        <f>IF(ISBLANK('Data Entry'!$é$422), "", 'Data Entry'!$é$422)</f>
      </c>
      <c r="FN422">
        <f>IF(ISBLANK('Data Entry'!$ê$422), "", 'Data Entry'!$ê$422)</f>
      </c>
      <c r="FO422">
        <f>IF(ISBLANK('Data Entry'!$ë$422), "", 'Data Entry'!$ë$422)</f>
      </c>
      <c r="FP422">
        <f>IF(ISBLANK('Data Entry'!$ì$422), "", 'Data Entry'!$ì$422)</f>
      </c>
      <c r="FQ422">
        <f>IF(ISBLANK('Data Entry'!$í$422), "", 'Data Entry'!$í$422)</f>
      </c>
      <c r="FR422">
        <f>IF(ISBLANK('Data Entry'!$î$422), "", 'Data Entry'!$î$422)</f>
      </c>
      <c r="FS422">
        <f>IF(ISBLANK('Data Entry'!$ï$422), "", 'Data Entry'!$ï$422)</f>
      </c>
      <c r="FT422">
        <f>IF(ISBLANK('Data Entry'!$ð$422), "", 'Data Entry'!$ð$422)</f>
      </c>
      <c r="FU422">
        <f>IF(ISBLANK('Data Entry'!$ñ$422), "", 'Data Entry'!$ñ$422)</f>
      </c>
      <c r="FV422">
        <f>IF(ISBLANK('Data Entry'!$ò$422), "", 'Data Entry'!$ò$422)</f>
      </c>
      <c r="FW422">
        <f>IF(ISBLANK('Data Entry'!$ó$422), "", 'Data Entry'!$ó$422)</f>
      </c>
      <c r="FX422">
        <f>IF(ISBLANK('Data Entry'!$ô$422), "", 'Data Entry'!$ô$422)</f>
      </c>
      <c r="FY422">
        <f>IF(ISBLANK('Data Entry'!$õ$422), "", 'Data Entry'!$õ$422)</f>
      </c>
      <c r="FZ422">
        <f>IF(ISBLANK('Data Entry'!$ö$422), "", 'Data Entry'!$ö$422)</f>
      </c>
      <c r="GA422">
        <f>IF(ISBLANK('Data Entry'!$÷$422), "", 'Data Entry'!$÷$422)</f>
      </c>
      <c r="GB422">
        <f>IF(ISBLANK('Data Entry'!$ø$422), "", 'Data Entry'!$ø$422)</f>
      </c>
      <c r="GC422">
        <f>IF(ISBLANK('Data Entry'!$ù$422), "", 'Data Entry'!$ù$422)</f>
      </c>
      <c r="GD422">
        <f>IF(ISBLANK('Data Entry'!$ú$422), "", 'Data Entry'!$ú$422)</f>
      </c>
      <c r="GE422">
        <f>IF(ISBLANK('Data Entry'!$û$422), "", 'Data Entry'!$û$422)</f>
      </c>
      <c r="GF422">
        <f>IF(ISBLANK('Data Entry'!$ü$422), "", 'Data Entry'!$ü$422)</f>
      </c>
      <c r="GG422">
        <f>IF(ISBLANK('Data Entry'!$ý$422), "", 'Data Entry'!$ý$422)</f>
      </c>
      <c r="GH422">
        <f>IF(ISBLANK('Data Entry'!$þ$422), "", 'Data Entry'!$þ$422)</f>
      </c>
      <c r="GI422">
        <f>IF(ISBLANK('Data Entry'!$ÿ$422), "", 'Data Entry'!$ÿ$422)</f>
      </c>
      <c r="GJ422">
        <f>IF(ISBLANK('Data Entry'!$Ā$422), "", 'Data Entry'!$Ā$422)</f>
      </c>
      <c r="GK422">
        <f>IF(ISBLANK('Data Entry'!$ā$422), "", 'Data Entry'!$ā$422)</f>
      </c>
      <c r="GL422">
        <f>IF(ISBLANK('Data Entry'!$Ă$422), "", 'Data Entry'!$Ă$422)</f>
      </c>
      <c r="GM422">
        <f>IF(ISBLANK('Data Entry'!$ă$422), "", 'Data Entry'!$ă$422)</f>
      </c>
      <c r="GN422">
        <f>IF(ISBLANK('Data Entry'!$Ą$422), "", 'Data Entry'!$Ą$422)</f>
      </c>
      <c r="GO422">
        <f>IF(ISBLANK('Data Entry'!$ą$422), "", 'Data Entry'!$ą$422)</f>
      </c>
      <c r="GP422">
        <f>IF(ISBLANK('Data Entry'!$Ć$422), "", 'Data Entry'!$Ć$422)</f>
      </c>
      <c r="GQ422">
        <f>IF(ISBLANK('Data Entry'!$ć$422), "", 'Data Entry'!$ć$422)</f>
      </c>
      <c r="GR422">
        <f>IF(ISBLANK('Data Entry'!$Ĉ$422), "", 'Data Entry'!$Ĉ$422)</f>
      </c>
      <c r="GS422">
        <f>IF(ISBLANK('Data Entry'!$ĉ$422), "", 'Data Entry'!$ĉ$422)</f>
      </c>
      <c r="GT422">
        <f>IF(ISBLANK('Data Entry'!$Ċ$422), "", 'Data Entry'!$Ċ$422)</f>
      </c>
      <c r="GU422">
        <f>IF(ISBLANK('Data Entry'!$ċ$422), "", 'Data Entry'!$ċ$422)</f>
      </c>
      <c r="GV422">
        <f>IF(ISBLANK('Data Entry'!$Č$422), "", 'Data Entry'!$Č$422)</f>
      </c>
      <c r="GW422">
        <f>IF(ISBLANK('Data Entry'!$č$422), "", 'Data Entry'!$č$422)</f>
      </c>
      <c r="GX422">
        <f>IF(ISBLANK('Data Entry'!$Ď$422), "", 'Data Entry'!$Ď$422)</f>
      </c>
      <c r="GY422">
        <f>IF(ISBLANK('Data Entry'!$ď$422), "", 'Data Entry'!$ď$422)</f>
      </c>
      <c r="GZ422">
        <f>IF(ISBLANK('Data Entry'!$Đ$422), "", 'Data Entry'!$Đ$422)</f>
      </c>
      <c r="HA422">
        <f>IF(ISBLANK('Data Entry'!$đ$422), "", 'Data Entry'!$đ$422)</f>
      </c>
      <c r="HB422">
        <f>IF(ISBLANK('Data Entry'!$Ē$422), "", 'Data Entry'!$Ē$422)</f>
      </c>
      <c r="HC422">
        <f>IF(ISBLANK('Data Entry'!$ē$422), "", 'Data Entry'!$ē$422)</f>
      </c>
      <c r="HD422">
        <f>IF(ISBLANK('Data Entry'!$Ĕ$422), "", 'Data Entry'!$Ĕ$422)</f>
      </c>
      <c r="HE422">
        <f>IF(ISBLANK('Data Entry'!$ĕ$422), "", 'Data Entry'!$ĕ$422)</f>
      </c>
      <c r="HF422">
        <f>IF(ISBLANK('Data Entry'!$Ė$422), "", 'Data Entry'!$Ė$422)</f>
      </c>
      <c r="HG422">
        <f>IF(ISBLANK('Data Entry'!$ė$422), "", 'Data Entry'!$ė$422)</f>
      </c>
      <c r="HH422">
        <f>IF(ISBLANK('Data Entry'!$Ę$422), "", 'Data Entry'!$Ę$422)</f>
      </c>
      <c r="HI422">
        <f>IF(ISBLANK('Data Entry'!$ę$422), "", 'Data Entry'!$ę$422)</f>
      </c>
      <c r="HJ422">
        <f>IF(ISBLANK('Data Entry'!$Ě$422), "", 'Data Entry'!$Ě$422)</f>
      </c>
      <c r="HK422">
        <f>IF(ISBLANK('Data Entry'!$ě$422), "", 'Data Entry'!$ě$422)</f>
      </c>
      <c r="HL422">
        <f>IF(ISBLANK('Data Entry'!$Ĝ$422), "", 'Data Entry'!$Ĝ$422)</f>
      </c>
      <c r="HM422">
        <f>IF(ISBLANK('Data Entry'!$ĝ$422), "", 'Data Entry'!$ĝ$422)</f>
      </c>
      <c r="HN422">
        <f>IF(ISBLANK('Data Entry'!$Ğ$422), "", 'Data Entry'!$Ğ$422)</f>
      </c>
      <c r="HO422">
        <f>IF(ISBLANK('Data Entry'!$ğ$422), "", 'Data Entry'!$ğ$422)</f>
      </c>
      <c r="HP422">
        <f>IF(ISBLANK('Data Entry'!$Ġ$422), "", 'Data Entry'!$Ġ$422)</f>
      </c>
      <c r="HQ422">
        <f>IF(ISBLANK('Data Entry'!$ġ$422), "", 'Data Entry'!$ġ$422)</f>
      </c>
      <c r="HR422">
        <f>IF(ISBLANK('Data Entry'!$Ģ$422), "", 'Data Entry'!$Ģ$422)</f>
      </c>
      <c r="HS422">
        <f>IF(ISBLANK('Data Entry'!$ģ$422), "", 'Data Entry'!$ģ$422)</f>
      </c>
      <c r="HT422">
        <f>IF(ISBLANK('Data Entry'!$Ĥ$422), "", 'Data Entry'!$Ĥ$422)</f>
      </c>
      <c r="HU422">
        <f>IF(ISBLANK('Data Entry'!$ĥ$422), "", 'Data Entry'!$ĥ$422)</f>
      </c>
      <c r="HV422">
        <f>IF(ISBLANK('Data Entry'!$Ħ$422), "", 'Data Entry'!$Ħ$422)</f>
      </c>
      <c r="HW422">
        <f>IF(ISBLANK('Data Entry'!$ħ$422), "", 'Data Entry'!$ħ$422)</f>
      </c>
      <c r="HX422">
        <f>IF(ISBLANK('Data Entry'!$Ĩ$422), "", 'Data Entry'!$Ĩ$422)</f>
      </c>
      <c r="HY422">
        <f>IF(ISBLANK('Data Entry'!$ĩ$422), "", 'Data Entry'!$ĩ$422)</f>
      </c>
      <c r="HZ422">
        <f>IF(ISBLANK('Data Entry'!$Ī$422), "", 'Data Entry'!$Ī$422)</f>
      </c>
      <c r="IA422">
        <f>IF(ISBLANK('Data Entry'!$ī$422), "", 'Data Entry'!$ī$422)</f>
      </c>
      <c r="IB422">
        <f>IF(ISBLANK('Data Entry'!$Ĭ$422), "", 'Data Entry'!$Ĭ$422)</f>
      </c>
      <c r="IC422">
        <f>IF(ISBLANK('Data Entry'!$ĭ$422), "", 'Data Entry'!$ĭ$422)</f>
      </c>
      <c r="ID422">
        <f>IF(ISBLANK('Data Entry'!$Į$422), "", 'Data Entry'!$Į$422)</f>
      </c>
      <c r="IE422">
        <f>IF(ISBLANK('Data Entry'!$į$422), "", 'Data Entry'!$į$422)</f>
      </c>
      <c r="IF422">
        <f>IF(ISBLANK('Data Entry'!$İ$422), "", 'Data Entry'!$İ$422)</f>
      </c>
      <c r="IG422">
        <f>IF(ISBLANK('Data Entry'!$ı$422), "", 'Data Entry'!$ı$422)</f>
      </c>
      <c r="IH422">
        <f>IF(ISBLANK('Data Entry'!$Ĳ$422), "", 'Data Entry'!$Ĳ$422)</f>
      </c>
      <c r="II422">
        <f>IF(ISBLANK('Data Entry'!$ĳ$422), "", 'Data Entry'!$ĳ$422)</f>
      </c>
      <c r="IJ422">
        <f>IF(ISBLANK('Data Entry'!$Ĵ$422), "", 'Data Entry'!$Ĵ$422)</f>
      </c>
      <c r="IK422">
        <f>IF(ISBLANK('Data Entry'!$ĵ$422), "", 'Data Entry'!$ĵ$422)</f>
      </c>
      <c r="IL422">
        <f>IF(ISBLANK('Data Entry'!$Ķ$422), "", 'Data Entry'!$Ķ$422)</f>
      </c>
      <c r="IM422">
        <f>IF(ISBLANK('Data Entry'!$ķ$422), "", 'Data Entry'!$ķ$422)</f>
      </c>
      <c r="IN422">
        <f>IF(ISBLANK('Data Entry'!$ĸ$422), "", 'Data Entry'!$ĸ$422)</f>
      </c>
      <c r="IO422">
        <f>IF(ISBLANK('Data Entry'!$Ĺ$422), "", 'Data Entry'!$Ĺ$422)</f>
      </c>
      <c r="IP422">
        <f>IF(ISBLANK('Data Entry'!$ĺ$422), "", 'Data Entry'!$ĺ$422)</f>
      </c>
      <c r="IQ422">
        <f>IF(ISBLANK('Data Entry'!$Ļ$422), "", 'Data Entry'!$Ļ$422)</f>
      </c>
      <c r="IR422">
        <f>IF(ISBLANK('Data Entry'!$ļ$422), "", 'Data Entry'!$ļ$422)</f>
      </c>
      <c r="IS422">
        <f>IF(ISBLANK('Data Entry'!$Ľ$422), "", 'Data Entry'!$Ľ$422)</f>
      </c>
      <c r="IT422">
        <f>IF(ISBLANK('Data Entry'!$ľ$422), "", 'Data Entry'!$ľ$422)</f>
      </c>
    </row>
    <row r="423" spans="1:254" x14ac:dyDescent="0.25">
      <c r="A423">
        <f>IF(ISBLANK('Data Entry'!$A$423), "", 'Data Entry'!$A$423)</f>
      </c>
      <c r="B423">
        <f>IF(ISBLANK('Data Entry'!$B$423), "", 'Data Entry'!$B$423)</f>
      </c>
      <c r="C423">
        <f>IF(ISBLANK('Data Entry'!$C$423), "", 'Data Entry'!$C$423)</f>
      </c>
      <c r="D423">
        <f>IF(ISBLANK('Data Entry'!$D$423), "", 'Data Entry'!$D$423)</f>
      </c>
      <c r="E423">
        <f>IF(ISBLANK('Data Entry'!$E$423), "", 'Data Entry'!$E$423)</f>
      </c>
      <c r="F423">
        <f>IF(ISBLANK('Data Entry'!$F$423), "", 'Data Entry'!$F$423)</f>
      </c>
      <c r="G423">
        <f>IF(ISBLANK('Data Entry'!$G$423), "", 'Data Entry'!$G$423)</f>
      </c>
      <c r="H423">
        <f>IF(ISBLANK('Data Entry'!$H$423), "", 'Data Entry'!$H$423)</f>
      </c>
      <c r="I423">
        <f>IF(ISBLANK('Data Entry'!$I$423), "", 'Data Entry'!$I$423)</f>
      </c>
      <c r="J423">
        <f>IF(ISBLANK('Data Entry'!$J$423), "", 'Data Entry'!$J$423)</f>
      </c>
      <c r="K423">
        <f>IF(ISBLANK('Data Entry'!$K$423), "", 'Data Entry'!$K$423)</f>
      </c>
      <c r="L423">
        <f>IF(ISBLANK('Data Entry'!$L$423), "", 'Data Entry'!$L$423)</f>
      </c>
      <c r="M423">
        <f>IF(ISBLANK('Data Entry'!$M$423), "", 'Data Entry'!$M$423)</f>
      </c>
      <c r="N423">
        <f>IF(ISBLANK('Data Entry'!$N$423), "", 'Data Entry'!$N$423)</f>
      </c>
      <c r="O423">
        <f>IF(ISBLANK('Data Entry'!$O$423), "", 'Data Entry'!$O$423)</f>
      </c>
      <c r="P423">
        <f>IF(ISBLANK('Data Entry'!$P$423), "", 'Data Entry'!$P$423)</f>
      </c>
      <c r="Q423">
        <f>IF(ISBLANK('Data Entry'!$Q$423), "", 'Data Entry'!$Q$423)</f>
      </c>
      <c r="R423">
        <f>IF(ISBLANK('Data Entry'!$R$423), "", 'Data Entry'!$R$423)</f>
      </c>
      <c r="S423">
        <f>IF(ISBLANK('Data Entry'!$S$423), "", 'Data Entry'!$S$423)</f>
      </c>
      <c r="T423">
        <f>IF(ISBLANK('Data Entry'!$T$423), "", 'Data Entry'!$T$423)</f>
      </c>
      <c r="U423">
        <f>IF(ISBLANK('Data Entry'!$U$423), "", 'Data Entry'!$U$423)</f>
      </c>
      <c r="V423">
        <f>IF(ISBLANK('Data Entry'!$V$423), "", 'Data Entry'!$V$423)</f>
      </c>
      <c r="W423">
        <f>IF(ISBLANK('Data Entry'!$W$423), "", 'Data Entry'!$W$423)</f>
      </c>
      <c r="X423">
        <f>IF(ISBLANK('Data Entry'!$X$423), "", 'Data Entry'!$X$423)</f>
      </c>
      <c r="Y423">
        <f>IF(ISBLANK('Data Entry'!$Y$423), "", 'Data Entry'!$Y$423)</f>
      </c>
      <c r="Z423">
        <f>IF(ISBLANK('Data Entry'!$Z$423), "", 'Data Entry'!$Z$423)</f>
      </c>
      <c r="AA423">
        <f>IF(ISBLANK('Data Entry'!$[$423), "", 'Data Entry'!$[$423)</f>
      </c>
      <c r="AB423">
        <f>IF(ISBLANK('Data Entry'!$\$423), "", 'Data Entry'!$\$423)</f>
      </c>
      <c r="AC423">
        <f>IF(ISBLANK('Data Entry'!$]$423), "", 'Data Entry'!$]$423)</f>
      </c>
      <c r="AD423">
        <f>IF(ISBLANK('Data Entry'!$^$423), "", 'Data Entry'!$^$423)</f>
      </c>
      <c r="AE423">
        <f>IF(ISBLANK('Data Entry'!$_$423), "", 'Data Entry'!$_$423)</f>
      </c>
      <c r="AF423">
        <f>IF(ISBLANK('Data Entry'!$`$423), "", 'Data Entry'!$`$423)</f>
      </c>
      <c r="AG423">
        <f>IF(ISBLANK('Data Entry'!$a$423), "", 'Data Entry'!$a$423)</f>
      </c>
      <c r="AH423">
        <f>IF(ISBLANK('Data Entry'!$b$423), "", 'Data Entry'!$b$423)</f>
      </c>
      <c r="AI423">
        <f>IF(ISBLANK('Data Entry'!$c$423), "", 'Data Entry'!$c$423)</f>
      </c>
      <c r="AJ423">
        <f>IF(ISBLANK('Data Entry'!$d$423), "", 'Data Entry'!$d$423)</f>
      </c>
      <c r="AK423">
        <f>IF(ISBLANK('Data Entry'!$e$423), "", 'Data Entry'!$e$423)</f>
      </c>
      <c r="AL423">
        <f>IF(ISBLANK('Data Entry'!$f$423), "", 'Data Entry'!$f$423)</f>
      </c>
      <c r="AM423">
        <f>IF(ISBLANK('Data Entry'!$g$423), "", 'Data Entry'!$g$423)</f>
      </c>
      <c r="AN423">
        <f>IF(ISBLANK('Data Entry'!$h$423), "", 'Data Entry'!$h$423)</f>
      </c>
      <c r="AO423">
        <f>IF(ISBLANK('Data Entry'!$i$423), "", 'Data Entry'!$i$423)</f>
      </c>
      <c r="AP423">
        <f>IF(ISBLANK('Data Entry'!$j$423), "", 'Data Entry'!$j$423)</f>
      </c>
      <c r="AQ423">
        <f>IF(ISBLANK('Data Entry'!$k$423), "", 'Data Entry'!$k$423)</f>
      </c>
      <c r="AR423">
        <f>IF(ISBLANK('Data Entry'!$l$423), "", 'Data Entry'!$l$423)</f>
      </c>
      <c r="AS423">
        <f>IF(ISBLANK('Data Entry'!$m$423), "", 'Data Entry'!$m$423)</f>
      </c>
      <c r="AT423">
        <f>IF(ISBLANK('Data Entry'!$n$423), "", 'Data Entry'!$n$423)</f>
      </c>
      <c r="AU423">
        <f>IF(ISBLANK('Data Entry'!$o$423), "", 'Data Entry'!$o$423)</f>
      </c>
      <c r="AV423">
        <f>IF(ISBLANK('Data Entry'!$p$423), "", 'Data Entry'!$p$423)</f>
      </c>
      <c r="AW423">
        <f>IF(ISBLANK('Data Entry'!$q$423), "", 'Data Entry'!$q$423)</f>
      </c>
      <c r="AX423">
        <f>IF(ISBLANK('Data Entry'!$r$423), "", 'Data Entry'!$r$423)</f>
      </c>
      <c r="AY423">
        <f>IF(ISBLANK('Data Entry'!$s$423), "", 'Data Entry'!$s$423)</f>
      </c>
      <c r="AZ423">
        <f>IF(ISBLANK('Data Entry'!$t$423), "", 'Data Entry'!$t$423)</f>
      </c>
      <c r="BA423">
        <f>IF(ISBLANK('Data Entry'!$u$423), "", 'Data Entry'!$u$423)</f>
      </c>
      <c r="BB423">
        <f>IF(ISBLANK('Data Entry'!$v$423), "", 'Data Entry'!$v$423)</f>
      </c>
      <c r="BC423">
        <f>IF(ISBLANK('Data Entry'!$w$423), "", 'Data Entry'!$w$423)</f>
      </c>
      <c r="BD423">
        <f>IF(ISBLANK('Data Entry'!$x$423), "", 'Data Entry'!$x$423)</f>
      </c>
      <c r="BE423">
        <f>IF(ISBLANK('Data Entry'!$y$423), "", 'Data Entry'!$y$423)</f>
      </c>
      <c r="BF423">
        <f>IF(ISBLANK('Data Entry'!$z$423), "", 'Data Entry'!$z$423)</f>
      </c>
      <c r="BG423">
        <f>IF(ISBLANK('Data Entry'!${$423), "", 'Data Entry'!${$423)</f>
      </c>
      <c r="BH423">
        <f>IF(ISBLANK('Data Entry'!$|$423), "", 'Data Entry'!$|$423)</f>
      </c>
      <c r="BI423">
        <f>IF(ISBLANK('Data Entry'!$}$423), "", 'Data Entry'!$}$423)</f>
      </c>
      <c r="BJ423">
        <f>IF(ISBLANK('Data Entry'!$~$423), "", 'Data Entry'!$~$423)</f>
      </c>
      <c r="BK423">
        <f>IF(ISBLANK('Data Entry'!$$423), "", 'Data Entry'!$$423)</f>
      </c>
      <c r="BL423">
        <f>IF(ISBLANK('Data Entry'!$$423), "", 'Data Entry'!$$423)</f>
      </c>
      <c r="BM423">
        <f>IF(ISBLANK('Data Entry'!$$423), "", 'Data Entry'!$$423)</f>
      </c>
      <c r="BN423">
        <f>IF(ISBLANK('Data Entry'!$$423), "", 'Data Entry'!$$423)</f>
      </c>
      <c r="BO423">
        <f>IF(ISBLANK('Data Entry'!$$423), "", 'Data Entry'!$$423)</f>
      </c>
      <c r="BP423">
        <f>IF(ISBLANK('Data Entry'!$$423), "", 'Data Entry'!$$423)</f>
      </c>
      <c r="BQ423">
        <f>IF(ISBLANK('Data Entry'!$$423), "", 'Data Entry'!$$423)</f>
      </c>
      <c r="BR423">
        <f>IF(ISBLANK('Data Entry'!$$423), "", 'Data Entry'!$$423)</f>
      </c>
      <c r="BS423">
        <f>IF(ISBLANK('Data Entry'!$$423), "", 'Data Entry'!$$423)</f>
      </c>
      <c r="BT423">
        <f>IF(ISBLANK('Data Entry'!$$423), "", 'Data Entry'!$$423)</f>
      </c>
      <c r="BU423">
        <f>IF(ISBLANK('Data Entry'!$$423), "", 'Data Entry'!$$423)</f>
      </c>
      <c r="BV423">
        <f>IF(ISBLANK('Data Entry'!$$423), "", 'Data Entry'!$$423)</f>
      </c>
      <c r="BW423">
        <f>IF(ISBLANK('Data Entry'!$$423), "", 'Data Entry'!$$423)</f>
      </c>
      <c r="BX423">
        <f>IF(ISBLANK('Data Entry'!$$423), "", 'Data Entry'!$$423)</f>
      </c>
      <c r="BY423">
        <f>IF(ISBLANK('Data Entry'!$$423), "", 'Data Entry'!$$423)</f>
      </c>
      <c r="BZ423">
        <f>IF(ISBLANK('Data Entry'!$$423), "", 'Data Entry'!$$423)</f>
      </c>
      <c r="CA423">
        <f>IF(ISBLANK('Data Entry'!$$423), "", 'Data Entry'!$$423)</f>
      </c>
      <c r="CB423">
        <f>IF(ISBLANK('Data Entry'!$$423), "", 'Data Entry'!$$423)</f>
      </c>
      <c r="CC423">
        <f>IF(ISBLANK('Data Entry'!$$423), "", 'Data Entry'!$$423)</f>
      </c>
      <c r="CD423">
        <f>IF(ISBLANK('Data Entry'!$$423), "", 'Data Entry'!$$423)</f>
      </c>
      <c r="CE423">
        <f>IF(ISBLANK('Data Entry'!$$423), "", 'Data Entry'!$$423)</f>
      </c>
      <c r="CF423">
        <f>IF(ISBLANK('Data Entry'!$$423), "", 'Data Entry'!$$423)</f>
      </c>
      <c r="CG423">
        <f>IF(ISBLANK('Data Entry'!$$423), "", 'Data Entry'!$$423)</f>
      </c>
      <c r="CH423">
        <f>IF(ISBLANK('Data Entry'!$$423), "", 'Data Entry'!$$423)</f>
      </c>
      <c r="CI423">
        <f>IF(ISBLANK('Data Entry'!$$423), "", 'Data Entry'!$$423)</f>
      </c>
      <c r="CJ423">
        <f>IF(ISBLANK('Data Entry'!$$423), "", 'Data Entry'!$$423)</f>
      </c>
      <c r="CK423">
        <f>IF(ISBLANK('Data Entry'!$$423), "", 'Data Entry'!$$423)</f>
      </c>
      <c r="CL423">
        <f>IF(ISBLANK('Data Entry'!$$423), "", 'Data Entry'!$$423)</f>
      </c>
      <c r="CM423">
        <f>IF(ISBLANK('Data Entry'!$$423), "", 'Data Entry'!$$423)</f>
      </c>
      <c r="CN423">
        <f>IF(ISBLANK('Data Entry'!$$423), "", 'Data Entry'!$$423)</f>
      </c>
      <c r="CO423">
        <f>IF(ISBLANK('Data Entry'!$$423), "", 'Data Entry'!$$423)</f>
      </c>
      <c r="CP423">
        <f>IF(ISBLANK('Data Entry'!$$423), "", 'Data Entry'!$$423)</f>
      </c>
      <c r="CQ423">
        <f>IF(ISBLANK('Data Entry'!$$423), "", 'Data Entry'!$$423)</f>
      </c>
      <c r="CR423">
        <f>IF(ISBLANK('Data Entry'!$ $423), "", 'Data Entry'!$ $423)</f>
      </c>
      <c r="CS423">
        <f>IF(ISBLANK('Data Entry'!$¡$423), "", 'Data Entry'!$¡$423)</f>
      </c>
      <c r="CT423">
        <f>IF(ISBLANK('Data Entry'!$¢$423), "", 'Data Entry'!$¢$423)</f>
      </c>
      <c r="CU423">
        <f>IF(ISBLANK('Data Entry'!$£$423), "", 'Data Entry'!$£$423)</f>
      </c>
      <c r="CV423">
        <f>IF(ISBLANK('Data Entry'!$¤$423), "", 'Data Entry'!$¤$423)</f>
      </c>
      <c r="CW423">
        <f>IF(ISBLANK('Data Entry'!$¥$423), "", 'Data Entry'!$¥$423)</f>
      </c>
      <c r="CX423">
        <f>IF(ISBLANK('Data Entry'!$¦$423), "", 'Data Entry'!$¦$423)</f>
      </c>
      <c r="CY423">
        <f>IF(ISBLANK('Data Entry'!$§$423), "", 'Data Entry'!$§$423)</f>
      </c>
      <c r="CZ423">
        <f>IF(ISBLANK('Data Entry'!$¨$423), "", 'Data Entry'!$¨$423)</f>
      </c>
      <c r="DA423">
        <f>IF(ISBLANK('Data Entry'!$©$423), "", 'Data Entry'!$©$423)</f>
      </c>
      <c r="DB423">
        <f>IF(ISBLANK('Data Entry'!$ª$423), "", 'Data Entry'!$ª$423)</f>
      </c>
      <c r="DC423">
        <f>IF(ISBLANK('Data Entry'!$«$423), "", 'Data Entry'!$«$423)</f>
      </c>
      <c r="DD423">
        <f>IF(ISBLANK('Data Entry'!$¬$423), "", 'Data Entry'!$¬$423)</f>
      </c>
      <c r="DE423">
        <f>IF(ISBLANK('Data Entry'!$­$423), "", 'Data Entry'!$­$423)</f>
      </c>
      <c r="DF423">
        <f>IF(ISBLANK('Data Entry'!$®$423), "", 'Data Entry'!$®$423)</f>
      </c>
      <c r="DG423">
        <f>IF(ISBLANK('Data Entry'!$¯$423), "", 'Data Entry'!$¯$423)</f>
      </c>
      <c r="DH423">
        <f>IF(ISBLANK('Data Entry'!$°$423), "", 'Data Entry'!$°$423)</f>
      </c>
      <c r="DI423">
        <f>IF(ISBLANK('Data Entry'!$±$423), "", 'Data Entry'!$±$423)</f>
      </c>
      <c r="DJ423">
        <f>IF(ISBLANK('Data Entry'!$²$423), "", 'Data Entry'!$²$423)</f>
      </c>
      <c r="DK423">
        <f>IF(ISBLANK('Data Entry'!$³$423), "", 'Data Entry'!$³$423)</f>
      </c>
      <c r="DL423">
        <f>IF(ISBLANK('Data Entry'!$´$423), "", 'Data Entry'!$´$423)</f>
      </c>
      <c r="DM423">
        <f>IF(ISBLANK('Data Entry'!$µ$423), "", 'Data Entry'!$µ$423)</f>
      </c>
      <c r="DN423">
        <f>IF(ISBLANK('Data Entry'!$¶$423), "", 'Data Entry'!$¶$423)</f>
      </c>
      <c r="DO423">
        <f>IF(ISBLANK('Data Entry'!$·$423), "", 'Data Entry'!$·$423)</f>
      </c>
      <c r="DP423">
        <f>IF(ISBLANK('Data Entry'!$¸$423), "", 'Data Entry'!$¸$423)</f>
      </c>
      <c r="DQ423">
        <f>IF(ISBLANK('Data Entry'!$¹$423), "", 'Data Entry'!$¹$423)</f>
      </c>
      <c r="DR423">
        <f>IF(ISBLANK('Data Entry'!$º$423), "", 'Data Entry'!$º$423)</f>
      </c>
      <c r="DS423">
        <f>IF(ISBLANK('Data Entry'!$»$423), "", 'Data Entry'!$»$423)</f>
      </c>
      <c r="DT423">
        <f>IF(ISBLANK('Data Entry'!$¼$423), "", 'Data Entry'!$¼$423)</f>
      </c>
      <c r="DU423">
        <f>IF(ISBLANK('Data Entry'!$½$423), "", 'Data Entry'!$½$423)</f>
      </c>
      <c r="DV423">
        <f>IF(ISBLANK('Data Entry'!$¾$423), "", 'Data Entry'!$¾$423)</f>
      </c>
      <c r="DW423">
        <f>IF(ISBLANK('Data Entry'!$¿$423), "", 'Data Entry'!$¿$423)</f>
      </c>
      <c r="DX423">
        <f>IF(ISBLANK('Data Entry'!$À$423), "", 'Data Entry'!$À$423)</f>
      </c>
      <c r="DY423">
        <f>IF(ISBLANK('Data Entry'!$Á$423), "", 'Data Entry'!$Á$423)</f>
      </c>
      <c r="DZ423">
        <f>IF(ISBLANK('Data Entry'!$Â$423), "", 'Data Entry'!$Â$423)</f>
      </c>
      <c r="EA423">
        <f>IF(ISBLANK('Data Entry'!$Ã$423), "", 'Data Entry'!$Ã$423)</f>
      </c>
      <c r="EB423">
        <f>IF(ISBLANK('Data Entry'!$Ä$423), "", 'Data Entry'!$Ä$423)</f>
      </c>
      <c r="EC423">
        <f>IF(ISBLANK('Data Entry'!$Å$423), "", 'Data Entry'!$Å$423)</f>
      </c>
      <c r="ED423">
        <f>IF(ISBLANK('Data Entry'!$Æ$423), "", 'Data Entry'!$Æ$423)</f>
      </c>
      <c r="EE423">
        <f>IF(ISBLANK('Data Entry'!$Ç$423), "", 'Data Entry'!$Ç$423)</f>
      </c>
      <c r="EF423">
        <f>IF(ISBLANK('Data Entry'!$È$423), "", 'Data Entry'!$È$423)</f>
      </c>
      <c r="EG423">
        <f>IF(ISBLANK('Data Entry'!$É$423), "", 'Data Entry'!$É$423)</f>
      </c>
      <c r="EH423">
        <f>IF(ISBLANK('Data Entry'!$Ê$423), "", 'Data Entry'!$Ê$423)</f>
      </c>
      <c r="EI423">
        <f>IF(ISBLANK('Data Entry'!$Ë$423), "", 'Data Entry'!$Ë$423)</f>
      </c>
      <c r="EJ423">
        <f>IF(ISBLANK('Data Entry'!$Ì$423), "", 'Data Entry'!$Ì$423)</f>
      </c>
      <c r="EK423">
        <f>IF(ISBLANK('Data Entry'!$Í$423), "", 'Data Entry'!$Í$423)</f>
      </c>
      <c r="EL423">
        <f>IF(ISBLANK('Data Entry'!$Î$423), "", 'Data Entry'!$Î$423)</f>
      </c>
      <c r="EM423">
        <f>IF(ISBLANK('Data Entry'!$Ï$423), "", 'Data Entry'!$Ï$423)</f>
      </c>
      <c r="EN423">
        <f>IF(ISBLANK('Data Entry'!$Ð$423), "", 'Data Entry'!$Ð$423)</f>
      </c>
      <c r="EO423">
        <f>IF(ISBLANK('Data Entry'!$Ñ$423), "", 'Data Entry'!$Ñ$423)</f>
      </c>
      <c r="EP423">
        <f>IF(ISBLANK('Data Entry'!$Ò$423), "", 'Data Entry'!$Ò$423)</f>
      </c>
      <c r="EQ423">
        <f>IF(ISBLANK('Data Entry'!$Ó$423), "", 'Data Entry'!$Ó$423)</f>
      </c>
      <c r="ER423">
        <f>IF(ISBLANK('Data Entry'!$Ô$423), "", 'Data Entry'!$Ô$423)</f>
      </c>
      <c r="ES423">
        <f>IF(ISBLANK('Data Entry'!$Õ$423), "", 'Data Entry'!$Õ$423)</f>
      </c>
      <c r="ET423">
        <f>IF(ISBLANK('Data Entry'!$Ö$423), "", 'Data Entry'!$Ö$423)</f>
      </c>
      <c r="EU423">
        <f>IF(ISBLANK('Data Entry'!$×$423), "", 'Data Entry'!$×$423)</f>
      </c>
      <c r="EV423">
        <f>IF(ISBLANK('Data Entry'!$Ø$423), "", 'Data Entry'!$Ø$423)</f>
      </c>
      <c r="EW423">
        <f>IF(ISBLANK('Data Entry'!$Ù$423), "", 'Data Entry'!$Ù$423)</f>
      </c>
      <c r="EX423">
        <f>IF(ISBLANK('Data Entry'!$Ú$423), "", 'Data Entry'!$Ú$423)</f>
      </c>
      <c r="EY423">
        <f>IF(ISBLANK('Data Entry'!$Û$423), "", 'Data Entry'!$Û$423)</f>
      </c>
      <c r="EZ423">
        <f>IF(ISBLANK('Data Entry'!$Ü$423), "", 'Data Entry'!$Ü$423)</f>
      </c>
      <c r="FA423">
        <f>IF(ISBLANK('Data Entry'!$Ý$423), "", 'Data Entry'!$Ý$423)</f>
      </c>
      <c r="FB423">
        <f>IF(ISBLANK('Data Entry'!$Þ$423), "", 'Data Entry'!$Þ$423)</f>
      </c>
      <c r="FC423">
        <f>IF(ISBLANK('Data Entry'!$ß$423), "", 'Data Entry'!$ß$423)</f>
      </c>
      <c r="FD423">
        <f>IF(ISBLANK('Data Entry'!$à$423), "", 'Data Entry'!$à$423)</f>
      </c>
      <c r="FE423">
        <f>IF(ISBLANK('Data Entry'!$á$423), "", 'Data Entry'!$á$423)</f>
      </c>
      <c r="FF423">
        <f>IF(ISBLANK('Data Entry'!$â$423), "", 'Data Entry'!$â$423)</f>
      </c>
      <c r="FG423">
        <f>IF(ISBLANK('Data Entry'!$ã$423), "", 'Data Entry'!$ã$423)</f>
      </c>
      <c r="FH423">
        <f>IF(ISBLANK('Data Entry'!$ä$423), "", 'Data Entry'!$ä$423)</f>
      </c>
      <c r="FI423">
        <f>IF(ISBLANK('Data Entry'!$å$423), "", 'Data Entry'!$å$423)</f>
      </c>
      <c r="FJ423">
        <f>IF(ISBLANK('Data Entry'!$æ$423), "", 'Data Entry'!$æ$423)</f>
      </c>
      <c r="FK423">
        <f>IF(ISBLANK('Data Entry'!$ç$423), "", 'Data Entry'!$ç$423)</f>
      </c>
      <c r="FL423">
        <f>IF(ISBLANK('Data Entry'!$è$423), "", 'Data Entry'!$è$423)</f>
      </c>
      <c r="FM423">
        <f>IF(ISBLANK('Data Entry'!$é$423), "", 'Data Entry'!$é$423)</f>
      </c>
      <c r="FN423">
        <f>IF(ISBLANK('Data Entry'!$ê$423), "", 'Data Entry'!$ê$423)</f>
      </c>
      <c r="FO423">
        <f>IF(ISBLANK('Data Entry'!$ë$423), "", 'Data Entry'!$ë$423)</f>
      </c>
      <c r="FP423">
        <f>IF(ISBLANK('Data Entry'!$ì$423), "", 'Data Entry'!$ì$423)</f>
      </c>
      <c r="FQ423">
        <f>IF(ISBLANK('Data Entry'!$í$423), "", 'Data Entry'!$í$423)</f>
      </c>
      <c r="FR423">
        <f>IF(ISBLANK('Data Entry'!$î$423), "", 'Data Entry'!$î$423)</f>
      </c>
      <c r="FS423">
        <f>IF(ISBLANK('Data Entry'!$ï$423), "", 'Data Entry'!$ï$423)</f>
      </c>
      <c r="FT423">
        <f>IF(ISBLANK('Data Entry'!$ð$423), "", 'Data Entry'!$ð$423)</f>
      </c>
      <c r="FU423">
        <f>IF(ISBLANK('Data Entry'!$ñ$423), "", 'Data Entry'!$ñ$423)</f>
      </c>
      <c r="FV423">
        <f>IF(ISBLANK('Data Entry'!$ò$423), "", 'Data Entry'!$ò$423)</f>
      </c>
      <c r="FW423">
        <f>IF(ISBLANK('Data Entry'!$ó$423), "", 'Data Entry'!$ó$423)</f>
      </c>
      <c r="FX423">
        <f>IF(ISBLANK('Data Entry'!$ô$423), "", 'Data Entry'!$ô$423)</f>
      </c>
      <c r="FY423">
        <f>IF(ISBLANK('Data Entry'!$õ$423), "", 'Data Entry'!$õ$423)</f>
      </c>
      <c r="FZ423">
        <f>IF(ISBLANK('Data Entry'!$ö$423), "", 'Data Entry'!$ö$423)</f>
      </c>
      <c r="GA423">
        <f>IF(ISBLANK('Data Entry'!$÷$423), "", 'Data Entry'!$÷$423)</f>
      </c>
      <c r="GB423">
        <f>IF(ISBLANK('Data Entry'!$ø$423), "", 'Data Entry'!$ø$423)</f>
      </c>
      <c r="GC423">
        <f>IF(ISBLANK('Data Entry'!$ù$423), "", 'Data Entry'!$ù$423)</f>
      </c>
      <c r="GD423">
        <f>IF(ISBLANK('Data Entry'!$ú$423), "", 'Data Entry'!$ú$423)</f>
      </c>
      <c r="GE423">
        <f>IF(ISBLANK('Data Entry'!$û$423), "", 'Data Entry'!$û$423)</f>
      </c>
      <c r="GF423">
        <f>IF(ISBLANK('Data Entry'!$ü$423), "", 'Data Entry'!$ü$423)</f>
      </c>
      <c r="GG423">
        <f>IF(ISBLANK('Data Entry'!$ý$423), "", 'Data Entry'!$ý$423)</f>
      </c>
      <c r="GH423">
        <f>IF(ISBLANK('Data Entry'!$þ$423), "", 'Data Entry'!$þ$423)</f>
      </c>
      <c r="GI423">
        <f>IF(ISBLANK('Data Entry'!$ÿ$423), "", 'Data Entry'!$ÿ$423)</f>
      </c>
      <c r="GJ423">
        <f>IF(ISBLANK('Data Entry'!$Ā$423), "", 'Data Entry'!$Ā$423)</f>
      </c>
      <c r="GK423">
        <f>IF(ISBLANK('Data Entry'!$ā$423), "", 'Data Entry'!$ā$423)</f>
      </c>
      <c r="GL423">
        <f>IF(ISBLANK('Data Entry'!$Ă$423), "", 'Data Entry'!$Ă$423)</f>
      </c>
      <c r="GM423">
        <f>IF(ISBLANK('Data Entry'!$ă$423), "", 'Data Entry'!$ă$423)</f>
      </c>
      <c r="GN423">
        <f>IF(ISBLANK('Data Entry'!$Ą$423), "", 'Data Entry'!$Ą$423)</f>
      </c>
      <c r="GO423">
        <f>IF(ISBLANK('Data Entry'!$ą$423), "", 'Data Entry'!$ą$423)</f>
      </c>
      <c r="GP423">
        <f>IF(ISBLANK('Data Entry'!$Ć$423), "", 'Data Entry'!$Ć$423)</f>
      </c>
      <c r="GQ423">
        <f>IF(ISBLANK('Data Entry'!$ć$423), "", 'Data Entry'!$ć$423)</f>
      </c>
      <c r="GR423">
        <f>IF(ISBLANK('Data Entry'!$Ĉ$423), "", 'Data Entry'!$Ĉ$423)</f>
      </c>
      <c r="GS423">
        <f>IF(ISBLANK('Data Entry'!$ĉ$423), "", 'Data Entry'!$ĉ$423)</f>
      </c>
      <c r="GT423">
        <f>IF(ISBLANK('Data Entry'!$Ċ$423), "", 'Data Entry'!$Ċ$423)</f>
      </c>
      <c r="GU423">
        <f>IF(ISBLANK('Data Entry'!$ċ$423), "", 'Data Entry'!$ċ$423)</f>
      </c>
      <c r="GV423">
        <f>IF(ISBLANK('Data Entry'!$Č$423), "", 'Data Entry'!$Č$423)</f>
      </c>
      <c r="GW423">
        <f>IF(ISBLANK('Data Entry'!$č$423), "", 'Data Entry'!$č$423)</f>
      </c>
      <c r="GX423">
        <f>IF(ISBLANK('Data Entry'!$Ď$423), "", 'Data Entry'!$Ď$423)</f>
      </c>
      <c r="GY423">
        <f>IF(ISBLANK('Data Entry'!$ď$423), "", 'Data Entry'!$ď$423)</f>
      </c>
      <c r="GZ423">
        <f>IF(ISBLANK('Data Entry'!$Đ$423), "", 'Data Entry'!$Đ$423)</f>
      </c>
      <c r="HA423">
        <f>IF(ISBLANK('Data Entry'!$đ$423), "", 'Data Entry'!$đ$423)</f>
      </c>
      <c r="HB423">
        <f>IF(ISBLANK('Data Entry'!$Ē$423), "", 'Data Entry'!$Ē$423)</f>
      </c>
      <c r="HC423">
        <f>IF(ISBLANK('Data Entry'!$ē$423), "", 'Data Entry'!$ē$423)</f>
      </c>
      <c r="HD423">
        <f>IF(ISBLANK('Data Entry'!$Ĕ$423), "", 'Data Entry'!$Ĕ$423)</f>
      </c>
      <c r="HE423">
        <f>IF(ISBLANK('Data Entry'!$ĕ$423), "", 'Data Entry'!$ĕ$423)</f>
      </c>
      <c r="HF423">
        <f>IF(ISBLANK('Data Entry'!$Ė$423), "", 'Data Entry'!$Ė$423)</f>
      </c>
      <c r="HG423">
        <f>IF(ISBLANK('Data Entry'!$ė$423), "", 'Data Entry'!$ė$423)</f>
      </c>
      <c r="HH423">
        <f>IF(ISBLANK('Data Entry'!$Ę$423), "", 'Data Entry'!$Ę$423)</f>
      </c>
      <c r="HI423">
        <f>IF(ISBLANK('Data Entry'!$ę$423), "", 'Data Entry'!$ę$423)</f>
      </c>
      <c r="HJ423">
        <f>IF(ISBLANK('Data Entry'!$Ě$423), "", 'Data Entry'!$Ě$423)</f>
      </c>
      <c r="HK423">
        <f>IF(ISBLANK('Data Entry'!$ě$423), "", 'Data Entry'!$ě$423)</f>
      </c>
      <c r="HL423">
        <f>IF(ISBLANK('Data Entry'!$Ĝ$423), "", 'Data Entry'!$Ĝ$423)</f>
      </c>
      <c r="HM423">
        <f>IF(ISBLANK('Data Entry'!$ĝ$423), "", 'Data Entry'!$ĝ$423)</f>
      </c>
      <c r="HN423">
        <f>IF(ISBLANK('Data Entry'!$Ğ$423), "", 'Data Entry'!$Ğ$423)</f>
      </c>
      <c r="HO423">
        <f>IF(ISBLANK('Data Entry'!$ğ$423), "", 'Data Entry'!$ğ$423)</f>
      </c>
      <c r="HP423">
        <f>IF(ISBLANK('Data Entry'!$Ġ$423), "", 'Data Entry'!$Ġ$423)</f>
      </c>
      <c r="HQ423">
        <f>IF(ISBLANK('Data Entry'!$ġ$423), "", 'Data Entry'!$ġ$423)</f>
      </c>
      <c r="HR423">
        <f>IF(ISBLANK('Data Entry'!$Ģ$423), "", 'Data Entry'!$Ģ$423)</f>
      </c>
      <c r="HS423">
        <f>IF(ISBLANK('Data Entry'!$ģ$423), "", 'Data Entry'!$ģ$423)</f>
      </c>
      <c r="HT423">
        <f>IF(ISBLANK('Data Entry'!$Ĥ$423), "", 'Data Entry'!$Ĥ$423)</f>
      </c>
      <c r="HU423">
        <f>IF(ISBLANK('Data Entry'!$ĥ$423), "", 'Data Entry'!$ĥ$423)</f>
      </c>
      <c r="HV423">
        <f>IF(ISBLANK('Data Entry'!$Ħ$423), "", 'Data Entry'!$Ħ$423)</f>
      </c>
      <c r="HW423">
        <f>IF(ISBLANK('Data Entry'!$ħ$423), "", 'Data Entry'!$ħ$423)</f>
      </c>
      <c r="HX423">
        <f>IF(ISBLANK('Data Entry'!$Ĩ$423), "", 'Data Entry'!$Ĩ$423)</f>
      </c>
      <c r="HY423">
        <f>IF(ISBLANK('Data Entry'!$ĩ$423), "", 'Data Entry'!$ĩ$423)</f>
      </c>
      <c r="HZ423">
        <f>IF(ISBLANK('Data Entry'!$Ī$423), "", 'Data Entry'!$Ī$423)</f>
      </c>
      <c r="IA423">
        <f>IF(ISBLANK('Data Entry'!$ī$423), "", 'Data Entry'!$ī$423)</f>
      </c>
      <c r="IB423">
        <f>IF(ISBLANK('Data Entry'!$Ĭ$423), "", 'Data Entry'!$Ĭ$423)</f>
      </c>
      <c r="IC423">
        <f>IF(ISBLANK('Data Entry'!$ĭ$423), "", 'Data Entry'!$ĭ$423)</f>
      </c>
      <c r="ID423">
        <f>IF(ISBLANK('Data Entry'!$Į$423), "", 'Data Entry'!$Į$423)</f>
      </c>
      <c r="IE423">
        <f>IF(ISBLANK('Data Entry'!$į$423), "", 'Data Entry'!$į$423)</f>
      </c>
      <c r="IF423">
        <f>IF(ISBLANK('Data Entry'!$İ$423), "", 'Data Entry'!$İ$423)</f>
      </c>
      <c r="IG423">
        <f>IF(ISBLANK('Data Entry'!$ı$423), "", 'Data Entry'!$ı$423)</f>
      </c>
      <c r="IH423">
        <f>IF(ISBLANK('Data Entry'!$Ĳ$423), "", 'Data Entry'!$Ĳ$423)</f>
      </c>
      <c r="II423">
        <f>IF(ISBLANK('Data Entry'!$ĳ$423), "", 'Data Entry'!$ĳ$423)</f>
      </c>
      <c r="IJ423">
        <f>IF(ISBLANK('Data Entry'!$Ĵ$423), "", 'Data Entry'!$Ĵ$423)</f>
      </c>
      <c r="IK423">
        <f>IF(ISBLANK('Data Entry'!$ĵ$423), "", 'Data Entry'!$ĵ$423)</f>
      </c>
      <c r="IL423">
        <f>IF(ISBLANK('Data Entry'!$Ķ$423), "", 'Data Entry'!$Ķ$423)</f>
      </c>
      <c r="IM423">
        <f>IF(ISBLANK('Data Entry'!$ķ$423), "", 'Data Entry'!$ķ$423)</f>
      </c>
      <c r="IN423">
        <f>IF(ISBLANK('Data Entry'!$ĸ$423), "", 'Data Entry'!$ĸ$423)</f>
      </c>
      <c r="IO423">
        <f>IF(ISBLANK('Data Entry'!$Ĺ$423), "", 'Data Entry'!$Ĺ$423)</f>
      </c>
      <c r="IP423">
        <f>IF(ISBLANK('Data Entry'!$ĺ$423), "", 'Data Entry'!$ĺ$423)</f>
      </c>
      <c r="IQ423">
        <f>IF(ISBLANK('Data Entry'!$Ļ$423), "", 'Data Entry'!$Ļ$423)</f>
      </c>
      <c r="IR423">
        <f>IF(ISBLANK('Data Entry'!$ļ$423), "", 'Data Entry'!$ļ$423)</f>
      </c>
      <c r="IS423">
        <f>IF(ISBLANK('Data Entry'!$Ľ$423), "", 'Data Entry'!$Ľ$423)</f>
      </c>
      <c r="IT423">
        <f>IF(ISBLANK('Data Entry'!$ľ$423), "", 'Data Entry'!$ľ$423)</f>
      </c>
    </row>
    <row r="424" spans="1:254" x14ac:dyDescent="0.25">
      <c r="A424">
        <f>IF(ISBLANK('Data Entry'!$A$424), "", 'Data Entry'!$A$424)</f>
      </c>
      <c r="B424">
        <f>IF(ISBLANK('Data Entry'!$B$424), "", 'Data Entry'!$B$424)</f>
      </c>
      <c r="C424">
        <f>IF(ISBLANK('Data Entry'!$C$424), "", 'Data Entry'!$C$424)</f>
      </c>
      <c r="D424">
        <f>IF(ISBLANK('Data Entry'!$D$424), "", 'Data Entry'!$D$424)</f>
      </c>
      <c r="E424">
        <f>IF(ISBLANK('Data Entry'!$E$424), "", 'Data Entry'!$E$424)</f>
      </c>
      <c r="F424">
        <f>IF(ISBLANK('Data Entry'!$F$424), "", 'Data Entry'!$F$424)</f>
      </c>
      <c r="G424">
        <f>IF(ISBLANK('Data Entry'!$G$424), "", 'Data Entry'!$G$424)</f>
      </c>
      <c r="H424">
        <f>IF(ISBLANK('Data Entry'!$H$424), "", 'Data Entry'!$H$424)</f>
      </c>
      <c r="I424">
        <f>IF(ISBLANK('Data Entry'!$I$424), "", 'Data Entry'!$I$424)</f>
      </c>
      <c r="J424">
        <f>IF(ISBLANK('Data Entry'!$J$424), "", 'Data Entry'!$J$424)</f>
      </c>
      <c r="K424">
        <f>IF(ISBLANK('Data Entry'!$K$424), "", 'Data Entry'!$K$424)</f>
      </c>
      <c r="L424">
        <f>IF(ISBLANK('Data Entry'!$L$424), "", 'Data Entry'!$L$424)</f>
      </c>
      <c r="M424">
        <f>IF(ISBLANK('Data Entry'!$M$424), "", 'Data Entry'!$M$424)</f>
      </c>
      <c r="N424">
        <f>IF(ISBLANK('Data Entry'!$N$424), "", 'Data Entry'!$N$424)</f>
      </c>
      <c r="O424">
        <f>IF(ISBLANK('Data Entry'!$O$424), "", 'Data Entry'!$O$424)</f>
      </c>
      <c r="P424">
        <f>IF(ISBLANK('Data Entry'!$P$424), "", 'Data Entry'!$P$424)</f>
      </c>
      <c r="Q424">
        <f>IF(ISBLANK('Data Entry'!$Q$424), "", 'Data Entry'!$Q$424)</f>
      </c>
      <c r="R424">
        <f>IF(ISBLANK('Data Entry'!$R$424), "", 'Data Entry'!$R$424)</f>
      </c>
      <c r="S424">
        <f>IF(ISBLANK('Data Entry'!$S$424), "", 'Data Entry'!$S$424)</f>
      </c>
      <c r="T424">
        <f>IF(ISBLANK('Data Entry'!$T$424), "", 'Data Entry'!$T$424)</f>
      </c>
      <c r="U424">
        <f>IF(ISBLANK('Data Entry'!$U$424), "", 'Data Entry'!$U$424)</f>
      </c>
      <c r="V424">
        <f>IF(ISBLANK('Data Entry'!$V$424), "", 'Data Entry'!$V$424)</f>
      </c>
      <c r="W424">
        <f>IF(ISBLANK('Data Entry'!$W$424), "", 'Data Entry'!$W$424)</f>
      </c>
      <c r="X424">
        <f>IF(ISBLANK('Data Entry'!$X$424), "", 'Data Entry'!$X$424)</f>
      </c>
      <c r="Y424">
        <f>IF(ISBLANK('Data Entry'!$Y$424), "", 'Data Entry'!$Y$424)</f>
      </c>
      <c r="Z424">
        <f>IF(ISBLANK('Data Entry'!$Z$424), "", 'Data Entry'!$Z$424)</f>
      </c>
      <c r="AA424">
        <f>IF(ISBLANK('Data Entry'!$[$424), "", 'Data Entry'!$[$424)</f>
      </c>
      <c r="AB424">
        <f>IF(ISBLANK('Data Entry'!$\$424), "", 'Data Entry'!$\$424)</f>
      </c>
      <c r="AC424">
        <f>IF(ISBLANK('Data Entry'!$]$424), "", 'Data Entry'!$]$424)</f>
      </c>
      <c r="AD424">
        <f>IF(ISBLANK('Data Entry'!$^$424), "", 'Data Entry'!$^$424)</f>
      </c>
      <c r="AE424">
        <f>IF(ISBLANK('Data Entry'!$_$424), "", 'Data Entry'!$_$424)</f>
      </c>
      <c r="AF424">
        <f>IF(ISBLANK('Data Entry'!$`$424), "", 'Data Entry'!$`$424)</f>
      </c>
      <c r="AG424">
        <f>IF(ISBLANK('Data Entry'!$a$424), "", 'Data Entry'!$a$424)</f>
      </c>
      <c r="AH424">
        <f>IF(ISBLANK('Data Entry'!$b$424), "", 'Data Entry'!$b$424)</f>
      </c>
      <c r="AI424">
        <f>IF(ISBLANK('Data Entry'!$c$424), "", 'Data Entry'!$c$424)</f>
      </c>
      <c r="AJ424">
        <f>IF(ISBLANK('Data Entry'!$d$424), "", 'Data Entry'!$d$424)</f>
      </c>
      <c r="AK424">
        <f>IF(ISBLANK('Data Entry'!$e$424), "", 'Data Entry'!$e$424)</f>
      </c>
      <c r="AL424">
        <f>IF(ISBLANK('Data Entry'!$f$424), "", 'Data Entry'!$f$424)</f>
      </c>
      <c r="AM424">
        <f>IF(ISBLANK('Data Entry'!$g$424), "", 'Data Entry'!$g$424)</f>
      </c>
      <c r="AN424">
        <f>IF(ISBLANK('Data Entry'!$h$424), "", 'Data Entry'!$h$424)</f>
      </c>
      <c r="AO424">
        <f>IF(ISBLANK('Data Entry'!$i$424), "", 'Data Entry'!$i$424)</f>
      </c>
      <c r="AP424">
        <f>IF(ISBLANK('Data Entry'!$j$424), "", 'Data Entry'!$j$424)</f>
      </c>
      <c r="AQ424">
        <f>IF(ISBLANK('Data Entry'!$k$424), "", 'Data Entry'!$k$424)</f>
      </c>
      <c r="AR424">
        <f>IF(ISBLANK('Data Entry'!$l$424), "", 'Data Entry'!$l$424)</f>
      </c>
      <c r="AS424">
        <f>IF(ISBLANK('Data Entry'!$m$424), "", 'Data Entry'!$m$424)</f>
      </c>
      <c r="AT424">
        <f>IF(ISBLANK('Data Entry'!$n$424), "", 'Data Entry'!$n$424)</f>
      </c>
      <c r="AU424">
        <f>IF(ISBLANK('Data Entry'!$o$424), "", 'Data Entry'!$o$424)</f>
      </c>
      <c r="AV424">
        <f>IF(ISBLANK('Data Entry'!$p$424), "", 'Data Entry'!$p$424)</f>
      </c>
      <c r="AW424">
        <f>IF(ISBLANK('Data Entry'!$q$424), "", 'Data Entry'!$q$424)</f>
      </c>
      <c r="AX424">
        <f>IF(ISBLANK('Data Entry'!$r$424), "", 'Data Entry'!$r$424)</f>
      </c>
      <c r="AY424">
        <f>IF(ISBLANK('Data Entry'!$s$424), "", 'Data Entry'!$s$424)</f>
      </c>
      <c r="AZ424">
        <f>IF(ISBLANK('Data Entry'!$t$424), "", 'Data Entry'!$t$424)</f>
      </c>
      <c r="BA424">
        <f>IF(ISBLANK('Data Entry'!$u$424), "", 'Data Entry'!$u$424)</f>
      </c>
      <c r="BB424">
        <f>IF(ISBLANK('Data Entry'!$v$424), "", 'Data Entry'!$v$424)</f>
      </c>
      <c r="BC424">
        <f>IF(ISBLANK('Data Entry'!$w$424), "", 'Data Entry'!$w$424)</f>
      </c>
      <c r="BD424">
        <f>IF(ISBLANK('Data Entry'!$x$424), "", 'Data Entry'!$x$424)</f>
      </c>
      <c r="BE424">
        <f>IF(ISBLANK('Data Entry'!$y$424), "", 'Data Entry'!$y$424)</f>
      </c>
      <c r="BF424">
        <f>IF(ISBLANK('Data Entry'!$z$424), "", 'Data Entry'!$z$424)</f>
      </c>
      <c r="BG424">
        <f>IF(ISBLANK('Data Entry'!${$424), "", 'Data Entry'!${$424)</f>
      </c>
      <c r="BH424">
        <f>IF(ISBLANK('Data Entry'!$|$424), "", 'Data Entry'!$|$424)</f>
      </c>
      <c r="BI424">
        <f>IF(ISBLANK('Data Entry'!$}$424), "", 'Data Entry'!$}$424)</f>
      </c>
      <c r="BJ424">
        <f>IF(ISBLANK('Data Entry'!$~$424), "", 'Data Entry'!$~$424)</f>
      </c>
      <c r="BK424">
        <f>IF(ISBLANK('Data Entry'!$$424), "", 'Data Entry'!$$424)</f>
      </c>
      <c r="BL424">
        <f>IF(ISBLANK('Data Entry'!$$424), "", 'Data Entry'!$$424)</f>
      </c>
      <c r="BM424">
        <f>IF(ISBLANK('Data Entry'!$$424), "", 'Data Entry'!$$424)</f>
      </c>
      <c r="BN424">
        <f>IF(ISBLANK('Data Entry'!$$424), "", 'Data Entry'!$$424)</f>
      </c>
      <c r="BO424">
        <f>IF(ISBLANK('Data Entry'!$$424), "", 'Data Entry'!$$424)</f>
      </c>
      <c r="BP424">
        <f>IF(ISBLANK('Data Entry'!$$424), "", 'Data Entry'!$$424)</f>
      </c>
      <c r="BQ424">
        <f>IF(ISBLANK('Data Entry'!$$424), "", 'Data Entry'!$$424)</f>
      </c>
      <c r="BR424">
        <f>IF(ISBLANK('Data Entry'!$$424), "", 'Data Entry'!$$424)</f>
      </c>
      <c r="BS424">
        <f>IF(ISBLANK('Data Entry'!$$424), "", 'Data Entry'!$$424)</f>
      </c>
      <c r="BT424">
        <f>IF(ISBLANK('Data Entry'!$$424), "", 'Data Entry'!$$424)</f>
      </c>
      <c r="BU424">
        <f>IF(ISBLANK('Data Entry'!$$424), "", 'Data Entry'!$$424)</f>
      </c>
      <c r="BV424">
        <f>IF(ISBLANK('Data Entry'!$$424), "", 'Data Entry'!$$424)</f>
      </c>
      <c r="BW424">
        <f>IF(ISBLANK('Data Entry'!$$424), "", 'Data Entry'!$$424)</f>
      </c>
      <c r="BX424">
        <f>IF(ISBLANK('Data Entry'!$$424), "", 'Data Entry'!$$424)</f>
      </c>
      <c r="BY424">
        <f>IF(ISBLANK('Data Entry'!$$424), "", 'Data Entry'!$$424)</f>
      </c>
      <c r="BZ424">
        <f>IF(ISBLANK('Data Entry'!$$424), "", 'Data Entry'!$$424)</f>
      </c>
      <c r="CA424">
        <f>IF(ISBLANK('Data Entry'!$$424), "", 'Data Entry'!$$424)</f>
      </c>
      <c r="CB424">
        <f>IF(ISBLANK('Data Entry'!$$424), "", 'Data Entry'!$$424)</f>
      </c>
      <c r="CC424">
        <f>IF(ISBLANK('Data Entry'!$$424), "", 'Data Entry'!$$424)</f>
      </c>
      <c r="CD424">
        <f>IF(ISBLANK('Data Entry'!$$424), "", 'Data Entry'!$$424)</f>
      </c>
      <c r="CE424">
        <f>IF(ISBLANK('Data Entry'!$$424), "", 'Data Entry'!$$424)</f>
      </c>
      <c r="CF424">
        <f>IF(ISBLANK('Data Entry'!$$424), "", 'Data Entry'!$$424)</f>
      </c>
      <c r="CG424">
        <f>IF(ISBLANK('Data Entry'!$$424), "", 'Data Entry'!$$424)</f>
      </c>
      <c r="CH424">
        <f>IF(ISBLANK('Data Entry'!$$424), "", 'Data Entry'!$$424)</f>
      </c>
      <c r="CI424">
        <f>IF(ISBLANK('Data Entry'!$$424), "", 'Data Entry'!$$424)</f>
      </c>
      <c r="CJ424">
        <f>IF(ISBLANK('Data Entry'!$$424), "", 'Data Entry'!$$424)</f>
      </c>
      <c r="CK424">
        <f>IF(ISBLANK('Data Entry'!$$424), "", 'Data Entry'!$$424)</f>
      </c>
      <c r="CL424">
        <f>IF(ISBLANK('Data Entry'!$$424), "", 'Data Entry'!$$424)</f>
      </c>
      <c r="CM424">
        <f>IF(ISBLANK('Data Entry'!$$424), "", 'Data Entry'!$$424)</f>
      </c>
      <c r="CN424">
        <f>IF(ISBLANK('Data Entry'!$$424), "", 'Data Entry'!$$424)</f>
      </c>
      <c r="CO424">
        <f>IF(ISBLANK('Data Entry'!$$424), "", 'Data Entry'!$$424)</f>
      </c>
      <c r="CP424">
        <f>IF(ISBLANK('Data Entry'!$$424), "", 'Data Entry'!$$424)</f>
      </c>
      <c r="CQ424">
        <f>IF(ISBLANK('Data Entry'!$$424), "", 'Data Entry'!$$424)</f>
      </c>
      <c r="CR424">
        <f>IF(ISBLANK('Data Entry'!$ $424), "", 'Data Entry'!$ $424)</f>
      </c>
      <c r="CS424">
        <f>IF(ISBLANK('Data Entry'!$¡$424), "", 'Data Entry'!$¡$424)</f>
      </c>
      <c r="CT424">
        <f>IF(ISBLANK('Data Entry'!$¢$424), "", 'Data Entry'!$¢$424)</f>
      </c>
      <c r="CU424">
        <f>IF(ISBLANK('Data Entry'!$£$424), "", 'Data Entry'!$£$424)</f>
      </c>
      <c r="CV424">
        <f>IF(ISBLANK('Data Entry'!$¤$424), "", 'Data Entry'!$¤$424)</f>
      </c>
      <c r="CW424">
        <f>IF(ISBLANK('Data Entry'!$¥$424), "", 'Data Entry'!$¥$424)</f>
      </c>
      <c r="CX424">
        <f>IF(ISBLANK('Data Entry'!$¦$424), "", 'Data Entry'!$¦$424)</f>
      </c>
      <c r="CY424">
        <f>IF(ISBLANK('Data Entry'!$§$424), "", 'Data Entry'!$§$424)</f>
      </c>
      <c r="CZ424">
        <f>IF(ISBLANK('Data Entry'!$¨$424), "", 'Data Entry'!$¨$424)</f>
      </c>
      <c r="DA424">
        <f>IF(ISBLANK('Data Entry'!$©$424), "", 'Data Entry'!$©$424)</f>
      </c>
      <c r="DB424">
        <f>IF(ISBLANK('Data Entry'!$ª$424), "", 'Data Entry'!$ª$424)</f>
      </c>
      <c r="DC424">
        <f>IF(ISBLANK('Data Entry'!$«$424), "", 'Data Entry'!$«$424)</f>
      </c>
      <c r="DD424">
        <f>IF(ISBLANK('Data Entry'!$¬$424), "", 'Data Entry'!$¬$424)</f>
      </c>
      <c r="DE424">
        <f>IF(ISBLANK('Data Entry'!$­$424), "", 'Data Entry'!$­$424)</f>
      </c>
      <c r="DF424">
        <f>IF(ISBLANK('Data Entry'!$®$424), "", 'Data Entry'!$®$424)</f>
      </c>
      <c r="DG424">
        <f>IF(ISBLANK('Data Entry'!$¯$424), "", 'Data Entry'!$¯$424)</f>
      </c>
      <c r="DH424">
        <f>IF(ISBLANK('Data Entry'!$°$424), "", 'Data Entry'!$°$424)</f>
      </c>
      <c r="DI424">
        <f>IF(ISBLANK('Data Entry'!$±$424), "", 'Data Entry'!$±$424)</f>
      </c>
      <c r="DJ424">
        <f>IF(ISBLANK('Data Entry'!$²$424), "", 'Data Entry'!$²$424)</f>
      </c>
      <c r="DK424">
        <f>IF(ISBLANK('Data Entry'!$³$424), "", 'Data Entry'!$³$424)</f>
      </c>
      <c r="DL424">
        <f>IF(ISBLANK('Data Entry'!$´$424), "", 'Data Entry'!$´$424)</f>
      </c>
      <c r="DM424">
        <f>IF(ISBLANK('Data Entry'!$µ$424), "", 'Data Entry'!$µ$424)</f>
      </c>
      <c r="DN424">
        <f>IF(ISBLANK('Data Entry'!$¶$424), "", 'Data Entry'!$¶$424)</f>
      </c>
      <c r="DO424">
        <f>IF(ISBLANK('Data Entry'!$·$424), "", 'Data Entry'!$·$424)</f>
      </c>
      <c r="DP424">
        <f>IF(ISBLANK('Data Entry'!$¸$424), "", 'Data Entry'!$¸$424)</f>
      </c>
      <c r="DQ424">
        <f>IF(ISBLANK('Data Entry'!$¹$424), "", 'Data Entry'!$¹$424)</f>
      </c>
      <c r="DR424">
        <f>IF(ISBLANK('Data Entry'!$º$424), "", 'Data Entry'!$º$424)</f>
      </c>
      <c r="DS424">
        <f>IF(ISBLANK('Data Entry'!$»$424), "", 'Data Entry'!$»$424)</f>
      </c>
      <c r="DT424">
        <f>IF(ISBLANK('Data Entry'!$¼$424), "", 'Data Entry'!$¼$424)</f>
      </c>
      <c r="DU424">
        <f>IF(ISBLANK('Data Entry'!$½$424), "", 'Data Entry'!$½$424)</f>
      </c>
      <c r="DV424">
        <f>IF(ISBLANK('Data Entry'!$¾$424), "", 'Data Entry'!$¾$424)</f>
      </c>
      <c r="DW424">
        <f>IF(ISBLANK('Data Entry'!$¿$424), "", 'Data Entry'!$¿$424)</f>
      </c>
      <c r="DX424">
        <f>IF(ISBLANK('Data Entry'!$À$424), "", 'Data Entry'!$À$424)</f>
      </c>
      <c r="DY424">
        <f>IF(ISBLANK('Data Entry'!$Á$424), "", 'Data Entry'!$Á$424)</f>
      </c>
      <c r="DZ424">
        <f>IF(ISBLANK('Data Entry'!$Â$424), "", 'Data Entry'!$Â$424)</f>
      </c>
      <c r="EA424">
        <f>IF(ISBLANK('Data Entry'!$Ã$424), "", 'Data Entry'!$Ã$424)</f>
      </c>
      <c r="EB424">
        <f>IF(ISBLANK('Data Entry'!$Ä$424), "", 'Data Entry'!$Ä$424)</f>
      </c>
      <c r="EC424">
        <f>IF(ISBLANK('Data Entry'!$Å$424), "", 'Data Entry'!$Å$424)</f>
      </c>
      <c r="ED424">
        <f>IF(ISBLANK('Data Entry'!$Æ$424), "", 'Data Entry'!$Æ$424)</f>
      </c>
      <c r="EE424">
        <f>IF(ISBLANK('Data Entry'!$Ç$424), "", 'Data Entry'!$Ç$424)</f>
      </c>
      <c r="EF424">
        <f>IF(ISBLANK('Data Entry'!$È$424), "", 'Data Entry'!$È$424)</f>
      </c>
      <c r="EG424">
        <f>IF(ISBLANK('Data Entry'!$É$424), "", 'Data Entry'!$É$424)</f>
      </c>
      <c r="EH424">
        <f>IF(ISBLANK('Data Entry'!$Ê$424), "", 'Data Entry'!$Ê$424)</f>
      </c>
      <c r="EI424">
        <f>IF(ISBLANK('Data Entry'!$Ë$424), "", 'Data Entry'!$Ë$424)</f>
      </c>
      <c r="EJ424">
        <f>IF(ISBLANK('Data Entry'!$Ì$424), "", 'Data Entry'!$Ì$424)</f>
      </c>
      <c r="EK424">
        <f>IF(ISBLANK('Data Entry'!$Í$424), "", 'Data Entry'!$Í$424)</f>
      </c>
      <c r="EL424">
        <f>IF(ISBLANK('Data Entry'!$Î$424), "", 'Data Entry'!$Î$424)</f>
      </c>
      <c r="EM424">
        <f>IF(ISBLANK('Data Entry'!$Ï$424), "", 'Data Entry'!$Ï$424)</f>
      </c>
      <c r="EN424">
        <f>IF(ISBLANK('Data Entry'!$Ð$424), "", 'Data Entry'!$Ð$424)</f>
      </c>
      <c r="EO424">
        <f>IF(ISBLANK('Data Entry'!$Ñ$424), "", 'Data Entry'!$Ñ$424)</f>
      </c>
      <c r="EP424">
        <f>IF(ISBLANK('Data Entry'!$Ò$424), "", 'Data Entry'!$Ò$424)</f>
      </c>
      <c r="EQ424">
        <f>IF(ISBLANK('Data Entry'!$Ó$424), "", 'Data Entry'!$Ó$424)</f>
      </c>
      <c r="ER424">
        <f>IF(ISBLANK('Data Entry'!$Ô$424), "", 'Data Entry'!$Ô$424)</f>
      </c>
      <c r="ES424">
        <f>IF(ISBLANK('Data Entry'!$Õ$424), "", 'Data Entry'!$Õ$424)</f>
      </c>
      <c r="ET424">
        <f>IF(ISBLANK('Data Entry'!$Ö$424), "", 'Data Entry'!$Ö$424)</f>
      </c>
      <c r="EU424">
        <f>IF(ISBLANK('Data Entry'!$×$424), "", 'Data Entry'!$×$424)</f>
      </c>
      <c r="EV424">
        <f>IF(ISBLANK('Data Entry'!$Ø$424), "", 'Data Entry'!$Ø$424)</f>
      </c>
      <c r="EW424">
        <f>IF(ISBLANK('Data Entry'!$Ù$424), "", 'Data Entry'!$Ù$424)</f>
      </c>
      <c r="EX424">
        <f>IF(ISBLANK('Data Entry'!$Ú$424), "", 'Data Entry'!$Ú$424)</f>
      </c>
      <c r="EY424">
        <f>IF(ISBLANK('Data Entry'!$Û$424), "", 'Data Entry'!$Û$424)</f>
      </c>
      <c r="EZ424">
        <f>IF(ISBLANK('Data Entry'!$Ü$424), "", 'Data Entry'!$Ü$424)</f>
      </c>
      <c r="FA424">
        <f>IF(ISBLANK('Data Entry'!$Ý$424), "", 'Data Entry'!$Ý$424)</f>
      </c>
      <c r="FB424">
        <f>IF(ISBLANK('Data Entry'!$Þ$424), "", 'Data Entry'!$Þ$424)</f>
      </c>
      <c r="FC424">
        <f>IF(ISBLANK('Data Entry'!$ß$424), "", 'Data Entry'!$ß$424)</f>
      </c>
      <c r="FD424">
        <f>IF(ISBLANK('Data Entry'!$à$424), "", 'Data Entry'!$à$424)</f>
      </c>
      <c r="FE424">
        <f>IF(ISBLANK('Data Entry'!$á$424), "", 'Data Entry'!$á$424)</f>
      </c>
      <c r="FF424">
        <f>IF(ISBLANK('Data Entry'!$â$424), "", 'Data Entry'!$â$424)</f>
      </c>
      <c r="FG424">
        <f>IF(ISBLANK('Data Entry'!$ã$424), "", 'Data Entry'!$ã$424)</f>
      </c>
      <c r="FH424">
        <f>IF(ISBLANK('Data Entry'!$ä$424), "", 'Data Entry'!$ä$424)</f>
      </c>
      <c r="FI424">
        <f>IF(ISBLANK('Data Entry'!$å$424), "", 'Data Entry'!$å$424)</f>
      </c>
      <c r="FJ424">
        <f>IF(ISBLANK('Data Entry'!$æ$424), "", 'Data Entry'!$æ$424)</f>
      </c>
      <c r="FK424">
        <f>IF(ISBLANK('Data Entry'!$ç$424), "", 'Data Entry'!$ç$424)</f>
      </c>
      <c r="FL424">
        <f>IF(ISBLANK('Data Entry'!$è$424), "", 'Data Entry'!$è$424)</f>
      </c>
      <c r="FM424">
        <f>IF(ISBLANK('Data Entry'!$é$424), "", 'Data Entry'!$é$424)</f>
      </c>
      <c r="FN424">
        <f>IF(ISBLANK('Data Entry'!$ê$424), "", 'Data Entry'!$ê$424)</f>
      </c>
      <c r="FO424">
        <f>IF(ISBLANK('Data Entry'!$ë$424), "", 'Data Entry'!$ë$424)</f>
      </c>
      <c r="FP424">
        <f>IF(ISBLANK('Data Entry'!$ì$424), "", 'Data Entry'!$ì$424)</f>
      </c>
      <c r="FQ424">
        <f>IF(ISBLANK('Data Entry'!$í$424), "", 'Data Entry'!$í$424)</f>
      </c>
      <c r="FR424">
        <f>IF(ISBLANK('Data Entry'!$î$424), "", 'Data Entry'!$î$424)</f>
      </c>
      <c r="FS424">
        <f>IF(ISBLANK('Data Entry'!$ï$424), "", 'Data Entry'!$ï$424)</f>
      </c>
      <c r="FT424">
        <f>IF(ISBLANK('Data Entry'!$ð$424), "", 'Data Entry'!$ð$424)</f>
      </c>
      <c r="FU424">
        <f>IF(ISBLANK('Data Entry'!$ñ$424), "", 'Data Entry'!$ñ$424)</f>
      </c>
      <c r="FV424">
        <f>IF(ISBLANK('Data Entry'!$ò$424), "", 'Data Entry'!$ò$424)</f>
      </c>
      <c r="FW424">
        <f>IF(ISBLANK('Data Entry'!$ó$424), "", 'Data Entry'!$ó$424)</f>
      </c>
      <c r="FX424">
        <f>IF(ISBLANK('Data Entry'!$ô$424), "", 'Data Entry'!$ô$424)</f>
      </c>
      <c r="FY424">
        <f>IF(ISBLANK('Data Entry'!$õ$424), "", 'Data Entry'!$õ$424)</f>
      </c>
      <c r="FZ424">
        <f>IF(ISBLANK('Data Entry'!$ö$424), "", 'Data Entry'!$ö$424)</f>
      </c>
      <c r="GA424">
        <f>IF(ISBLANK('Data Entry'!$÷$424), "", 'Data Entry'!$÷$424)</f>
      </c>
      <c r="GB424">
        <f>IF(ISBLANK('Data Entry'!$ø$424), "", 'Data Entry'!$ø$424)</f>
      </c>
      <c r="GC424">
        <f>IF(ISBLANK('Data Entry'!$ù$424), "", 'Data Entry'!$ù$424)</f>
      </c>
      <c r="GD424">
        <f>IF(ISBLANK('Data Entry'!$ú$424), "", 'Data Entry'!$ú$424)</f>
      </c>
      <c r="GE424">
        <f>IF(ISBLANK('Data Entry'!$û$424), "", 'Data Entry'!$û$424)</f>
      </c>
      <c r="GF424">
        <f>IF(ISBLANK('Data Entry'!$ü$424), "", 'Data Entry'!$ü$424)</f>
      </c>
      <c r="GG424">
        <f>IF(ISBLANK('Data Entry'!$ý$424), "", 'Data Entry'!$ý$424)</f>
      </c>
      <c r="GH424">
        <f>IF(ISBLANK('Data Entry'!$þ$424), "", 'Data Entry'!$þ$424)</f>
      </c>
      <c r="GI424">
        <f>IF(ISBLANK('Data Entry'!$ÿ$424), "", 'Data Entry'!$ÿ$424)</f>
      </c>
      <c r="GJ424">
        <f>IF(ISBLANK('Data Entry'!$Ā$424), "", 'Data Entry'!$Ā$424)</f>
      </c>
      <c r="GK424">
        <f>IF(ISBLANK('Data Entry'!$ā$424), "", 'Data Entry'!$ā$424)</f>
      </c>
      <c r="GL424">
        <f>IF(ISBLANK('Data Entry'!$Ă$424), "", 'Data Entry'!$Ă$424)</f>
      </c>
      <c r="GM424">
        <f>IF(ISBLANK('Data Entry'!$ă$424), "", 'Data Entry'!$ă$424)</f>
      </c>
      <c r="GN424">
        <f>IF(ISBLANK('Data Entry'!$Ą$424), "", 'Data Entry'!$Ą$424)</f>
      </c>
      <c r="GO424">
        <f>IF(ISBLANK('Data Entry'!$ą$424), "", 'Data Entry'!$ą$424)</f>
      </c>
      <c r="GP424">
        <f>IF(ISBLANK('Data Entry'!$Ć$424), "", 'Data Entry'!$Ć$424)</f>
      </c>
      <c r="GQ424">
        <f>IF(ISBLANK('Data Entry'!$ć$424), "", 'Data Entry'!$ć$424)</f>
      </c>
      <c r="GR424">
        <f>IF(ISBLANK('Data Entry'!$Ĉ$424), "", 'Data Entry'!$Ĉ$424)</f>
      </c>
      <c r="GS424">
        <f>IF(ISBLANK('Data Entry'!$ĉ$424), "", 'Data Entry'!$ĉ$424)</f>
      </c>
      <c r="GT424">
        <f>IF(ISBLANK('Data Entry'!$Ċ$424), "", 'Data Entry'!$Ċ$424)</f>
      </c>
      <c r="GU424">
        <f>IF(ISBLANK('Data Entry'!$ċ$424), "", 'Data Entry'!$ċ$424)</f>
      </c>
      <c r="GV424">
        <f>IF(ISBLANK('Data Entry'!$Č$424), "", 'Data Entry'!$Č$424)</f>
      </c>
      <c r="GW424">
        <f>IF(ISBLANK('Data Entry'!$č$424), "", 'Data Entry'!$č$424)</f>
      </c>
      <c r="GX424">
        <f>IF(ISBLANK('Data Entry'!$Ď$424), "", 'Data Entry'!$Ď$424)</f>
      </c>
      <c r="GY424">
        <f>IF(ISBLANK('Data Entry'!$ď$424), "", 'Data Entry'!$ď$424)</f>
      </c>
      <c r="GZ424">
        <f>IF(ISBLANK('Data Entry'!$Đ$424), "", 'Data Entry'!$Đ$424)</f>
      </c>
      <c r="HA424">
        <f>IF(ISBLANK('Data Entry'!$đ$424), "", 'Data Entry'!$đ$424)</f>
      </c>
      <c r="HB424">
        <f>IF(ISBLANK('Data Entry'!$Ē$424), "", 'Data Entry'!$Ē$424)</f>
      </c>
      <c r="HC424">
        <f>IF(ISBLANK('Data Entry'!$ē$424), "", 'Data Entry'!$ē$424)</f>
      </c>
      <c r="HD424">
        <f>IF(ISBLANK('Data Entry'!$Ĕ$424), "", 'Data Entry'!$Ĕ$424)</f>
      </c>
      <c r="HE424">
        <f>IF(ISBLANK('Data Entry'!$ĕ$424), "", 'Data Entry'!$ĕ$424)</f>
      </c>
      <c r="HF424">
        <f>IF(ISBLANK('Data Entry'!$Ė$424), "", 'Data Entry'!$Ė$424)</f>
      </c>
      <c r="HG424">
        <f>IF(ISBLANK('Data Entry'!$ė$424), "", 'Data Entry'!$ė$424)</f>
      </c>
      <c r="HH424">
        <f>IF(ISBLANK('Data Entry'!$Ę$424), "", 'Data Entry'!$Ę$424)</f>
      </c>
      <c r="HI424">
        <f>IF(ISBLANK('Data Entry'!$ę$424), "", 'Data Entry'!$ę$424)</f>
      </c>
      <c r="HJ424">
        <f>IF(ISBLANK('Data Entry'!$Ě$424), "", 'Data Entry'!$Ě$424)</f>
      </c>
      <c r="HK424">
        <f>IF(ISBLANK('Data Entry'!$ě$424), "", 'Data Entry'!$ě$424)</f>
      </c>
      <c r="HL424">
        <f>IF(ISBLANK('Data Entry'!$Ĝ$424), "", 'Data Entry'!$Ĝ$424)</f>
      </c>
      <c r="HM424">
        <f>IF(ISBLANK('Data Entry'!$ĝ$424), "", 'Data Entry'!$ĝ$424)</f>
      </c>
      <c r="HN424">
        <f>IF(ISBLANK('Data Entry'!$Ğ$424), "", 'Data Entry'!$Ğ$424)</f>
      </c>
      <c r="HO424">
        <f>IF(ISBLANK('Data Entry'!$ğ$424), "", 'Data Entry'!$ğ$424)</f>
      </c>
      <c r="HP424">
        <f>IF(ISBLANK('Data Entry'!$Ġ$424), "", 'Data Entry'!$Ġ$424)</f>
      </c>
      <c r="HQ424">
        <f>IF(ISBLANK('Data Entry'!$ġ$424), "", 'Data Entry'!$ġ$424)</f>
      </c>
      <c r="HR424">
        <f>IF(ISBLANK('Data Entry'!$Ģ$424), "", 'Data Entry'!$Ģ$424)</f>
      </c>
      <c r="HS424">
        <f>IF(ISBLANK('Data Entry'!$ģ$424), "", 'Data Entry'!$ģ$424)</f>
      </c>
      <c r="HT424">
        <f>IF(ISBLANK('Data Entry'!$Ĥ$424), "", 'Data Entry'!$Ĥ$424)</f>
      </c>
      <c r="HU424">
        <f>IF(ISBLANK('Data Entry'!$ĥ$424), "", 'Data Entry'!$ĥ$424)</f>
      </c>
      <c r="HV424">
        <f>IF(ISBLANK('Data Entry'!$Ħ$424), "", 'Data Entry'!$Ħ$424)</f>
      </c>
      <c r="HW424">
        <f>IF(ISBLANK('Data Entry'!$ħ$424), "", 'Data Entry'!$ħ$424)</f>
      </c>
      <c r="HX424">
        <f>IF(ISBLANK('Data Entry'!$Ĩ$424), "", 'Data Entry'!$Ĩ$424)</f>
      </c>
      <c r="HY424">
        <f>IF(ISBLANK('Data Entry'!$ĩ$424), "", 'Data Entry'!$ĩ$424)</f>
      </c>
      <c r="HZ424">
        <f>IF(ISBLANK('Data Entry'!$Ī$424), "", 'Data Entry'!$Ī$424)</f>
      </c>
      <c r="IA424">
        <f>IF(ISBLANK('Data Entry'!$ī$424), "", 'Data Entry'!$ī$424)</f>
      </c>
      <c r="IB424">
        <f>IF(ISBLANK('Data Entry'!$Ĭ$424), "", 'Data Entry'!$Ĭ$424)</f>
      </c>
      <c r="IC424">
        <f>IF(ISBLANK('Data Entry'!$ĭ$424), "", 'Data Entry'!$ĭ$424)</f>
      </c>
      <c r="ID424">
        <f>IF(ISBLANK('Data Entry'!$Į$424), "", 'Data Entry'!$Į$424)</f>
      </c>
      <c r="IE424">
        <f>IF(ISBLANK('Data Entry'!$į$424), "", 'Data Entry'!$į$424)</f>
      </c>
      <c r="IF424">
        <f>IF(ISBLANK('Data Entry'!$İ$424), "", 'Data Entry'!$İ$424)</f>
      </c>
      <c r="IG424">
        <f>IF(ISBLANK('Data Entry'!$ı$424), "", 'Data Entry'!$ı$424)</f>
      </c>
      <c r="IH424">
        <f>IF(ISBLANK('Data Entry'!$Ĳ$424), "", 'Data Entry'!$Ĳ$424)</f>
      </c>
      <c r="II424">
        <f>IF(ISBLANK('Data Entry'!$ĳ$424), "", 'Data Entry'!$ĳ$424)</f>
      </c>
      <c r="IJ424">
        <f>IF(ISBLANK('Data Entry'!$Ĵ$424), "", 'Data Entry'!$Ĵ$424)</f>
      </c>
      <c r="IK424">
        <f>IF(ISBLANK('Data Entry'!$ĵ$424), "", 'Data Entry'!$ĵ$424)</f>
      </c>
      <c r="IL424">
        <f>IF(ISBLANK('Data Entry'!$Ķ$424), "", 'Data Entry'!$Ķ$424)</f>
      </c>
      <c r="IM424">
        <f>IF(ISBLANK('Data Entry'!$ķ$424), "", 'Data Entry'!$ķ$424)</f>
      </c>
      <c r="IN424">
        <f>IF(ISBLANK('Data Entry'!$ĸ$424), "", 'Data Entry'!$ĸ$424)</f>
      </c>
      <c r="IO424">
        <f>IF(ISBLANK('Data Entry'!$Ĺ$424), "", 'Data Entry'!$Ĺ$424)</f>
      </c>
      <c r="IP424">
        <f>IF(ISBLANK('Data Entry'!$ĺ$424), "", 'Data Entry'!$ĺ$424)</f>
      </c>
      <c r="IQ424">
        <f>IF(ISBLANK('Data Entry'!$Ļ$424), "", 'Data Entry'!$Ļ$424)</f>
      </c>
      <c r="IR424">
        <f>IF(ISBLANK('Data Entry'!$ļ$424), "", 'Data Entry'!$ļ$424)</f>
      </c>
      <c r="IS424">
        <f>IF(ISBLANK('Data Entry'!$Ľ$424), "", 'Data Entry'!$Ľ$424)</f>
      </c>
      <c r="IT424">
        <f>IF(ISBLANK('Data Entry'!$ľ$424), "", 'Data Entry'!$ľ$424)</f>
      </c>
    </row>
    <row r="425" spans="1:254" x14ac:dyDescent="0.25">
      <c r="A425">
        <f>IF(ISBLANK('Data Entry'!$A$425), "", 'Data Entry'!$A$425)</f>
      </c>
      <c r="B425">
        <f>IF(ISBLANK('Data Entry'!$B$425), "", 'Data Entry'!$B$425)</f>
      </c>
      <c r="C425">
        <f>IF(ISBLANK('Data Entry'!$C$425), "", 'Data Entry'!$C$425)</f>
      </c>
      <c r="D425">
        <f>IF(ISBLANK('Data Entry'!$D$425), "", 'Data Entry'!$D$425)</f>
      </c>
      <c r="E425">
        <f>IF(ISBLANK('Data Entry'!$E$425), "", 'Data Entry'!$E$425)</f>
      </c>
      <c r="F425">
        <f>IF(ISBLANK('Data Entry'!$F$425), "", 'Data Entry'!$F$425)</f>
      </c>
      <c r="G425">
        <f>IF(ISBLANK('Data Entry'!$G$425), "", 'Data Entry'!$G$425)</f>
      </c>
      <c r="H425">
        <f>IF(ISBLANK('Data Entry'!$H$425), "", 'Data Entry'!$H$425)</f>
      </c>
      <c r="I425">
        <f>IF(ISBLANK('Data Entry'!$I$425), "", 'Data Entry'!$I$425)</f>
      </c>
      <c r="J425">
        <f>IF(ISBLANK('Data Entry'!$J$425), "", 'Data Entry'!$J$425)</f>
      </c>
      <c r="K425">
        <f>IF(ISBLANK('Data Entry'!$K$425), "", 'Data Entry'!$K$425)</f>
      </c>
      <c r="L425">
        <f>IF(ISBLANK('Data Entry'!$L$425), "", 'Data Entry'!$L$425)</f>
      </c>
      <c r="M425">
        <f>IF(ISBLANK('Data Entry'!$M$425), "", 'Data Entry'!$M$425)</f>
      </c>
      <c r="N425">
        <f>IF(ISBLANK('Data Entry'!$N$425), "", 'Data Entry'!$N$425)</f>
      </c>
      <c r="O425">
        <f>IF(ISBLANK('Data Entry'!$O$425), "", 'Data Entry'!$O$425)</f>
      </c>
      <c r="P425">
        <f>IF(ISBLANK('Data Entry'!$P$425), "", 'Data Entry'!$P$425)</f>
      </c>
      <c r="Q425">
        <f>IF(ISBLANK('Data Entry'!$Q$425), "", 'Data Entry'!$Q$425)</f>
      </c>
      <c r="R425">
        <f>IF(ISBLANK('Data Entry'!$R$425), "", 'Data Entry'!$R$425)</f>
      </c>
      <c r="S425">
        <f>IF(ISBLANK('Data Entry'!$S$425), "", 'Data Entry'!$S$425)</f>
      </c>
      <c r="T425">
        <f>IF(ISBLANK('Data Entry'!$T$425), "", 'Data Entry'!$T$425)</f>
      </c>
      <c r="U425">
        <f>IF(ISBLANK('Data Entry'!$U$425), "", 'Data Entry'!$U$425)</f>
      </c>
      <c r="V425">
        <f>IF(ISBLANK('Data Entry'!$V$425), "", 'Data Entry'!$V$425)</f>
      </c>
      <c r="W425">
        <f>IF(ISBLANK('Data Entry'!$W$425), "", 'Data Entry'!$W$425)</f>
      </c>
      <c r="X425">
        <f>IF(ISBLANK('Data Entry'!$X$425), "", 'Data Entry'!$X$425)</f>
      </c>
      <c r="Y425">
        <f>IF(ISBLANK('Data Entry'!$Y$425), "", 'Data Entry'!$Y$425)</f>
      </c>
      <c r="Z425">
        <f>IF(ISBLANK('Data Entry'!$Z$425), "", 'Data Entry'!$Z$425)</f>
      </c>
      <c r="AA425">
        <f>IF(ISBLANK('Data Entry'!$[$425), "", 'Data Entry'!$[$425)</f>
      </c>
      <c r="AB425">
        <f>IF(ISBLANK('Data Entry'!$\$425), "", 'Data Entry'!$\$425)</f>
      </c>
      <c r="AC425">
        <f>IF(ISBLANK('Data Entry'!$]$425), "", 'Data Entry'!$]$425)</f>
      </c>
      <c r="AD425">
        <f>IF(ISBLANK('Data Entry'!$^$425), "", 'Data Entry'!$^$425)</f>
      </c>
      <c r="AE425">
        <f>IF(ISBLANK('Data Entry'!$_$425), "", 'Data Entry'!$_$425)</f>
      </c>
      <c r="AF425">
        <f>IF(ISBLANK('Data Entry'!$`$425), "", 'Data Entry'!$`$425)</f>
      </c>
      <c r="AG425">
        <f>IF(ISBLANK('Data Entry'!$a$425), "", 'Data Entry'!$a$425)</f>
      </c>
      <c r="AH425">
        <f>IF(ISBLANK('Data Entry'!$b$425), "", 'Data Entry'!$b$425)</f>
      </c>
      <c r="AI425">
        <f>IF(ISBLANK('Data Entry'!$c$425), "", 'Data Entry'!$c$425)</f>
      </c>
      <c r="AJ425">
        <f>IF(ISBLANK('Data Entry'!$d$425), "", 'Data Entry'!$d$425)</f>
      </c>
      <c r="AK425">
        <f>IF(ISBLANK('Data Entry'!$e$425), "", 'Data Entry'!$e$425)</f>
      </c>
      <c r="AL425">
        <f>IF(ISBLANK('Data Entry'!$f$425), "", 'Data Entry'!$f$425)</f>
      </c>
      <c r="AM425">
        <f>IF(ISBLANK('Data Entry'!$g$425), "", 'Data Entry'!$g$425)</f>
      </c>
      <c r="AN425">
        <f>IF(ISBLANK('Data Entry'!$h$425), "", 'Data Entry'!$h$425)</f>
      </c>
      <c r="AO425">
        <f>IF(ISBLANK('Data Entry'!$i$425), "", 'Data Entry'!$i$425)</f>
      </c>
      <c r="AP425">
        <f>IF(ISBLANK('Data Entry'!$j$425), "", 'Data Entry'!$j$425)</f>
      </c>
      <c r="AQ425">
        <f>IF(ISBLANK('Data Entry'!$k$425), "", 'Data Entry'!$k$425)</f>
      </c>
      <c r="AR425">
        <f>IF(ISBLANK('Data Entry'!$l$425), "", 'Data Entry'!$l$425)</f>
      </c>
      <c r="AS425">
        <f>IF(ISBLANK('Data Entry'!$m$425), "", 'Data Entry'!$m$425)</f>
      </c>
      <c r="AT425">
        <f>IF(ISBLANK('Data Entry'!$n$425), "", 'Data Entry'!$n$425)</f>
      </c>
      <c r="AU425">
        <f>IF(ISBLANK('Data Entry'!$o$425), "", 'Data Entry'!$o$425)</f>
      </c>
      <c r="AV425">
        <f>IF(ISBLANK('Data Entry'!$p$425), "", 'Data Entry'!$p$425)</f>
      </c>
      <c r="AW425">
        <f>IF(ISBLANK('Data Entry'!$q$425), "", 'Data Entry'!$q$425)</f>
      </c>
      <c r="AX425">
        <f>IF(ISBLANK('Data Entry'!$r$425), "", 'Data Entry'!$r$425)</f>
      </c>
      <c r="AY425">
        <f>IF(ISBLANK('Data Entry'!$s$425), "", 'Data Entry'!$s$425)</f>
      </c>
      <c r="AZ425">
        <f>IF(ISBLANK('Data Entry'!$t$425), "", 'Data Entry'!$t$425)</f>
      </c>
      <c r="BA425">
        <f>IF(ISBLANK('Data Entry'!$u$425), "", 'Data Entry'!$u$425)</f>
      </c>
      <c r="BB425">
        <f>IF(ISBLANK('Data Entry'!$v$425), "", 'Data Entry'!$v$425)</f>
      </c>
      <c r="BC425">
        <f>IF(ISBLANK('Data Entry'!$w$425), "", 'Data Entry'!$w$425)</f>
      </c>
      <c r="BD425">
        <f>IF(ISBLANK('Data Entry'!$x$425), "", 'Data Entry'!$x$425)</f>
      </c>
      <c r="BE425">
        <f>IF(ISBLANK('Data Entry'!$y$425), "", 'Data Entry'!$y$425)</f>
      </c>
      <c r="BF425">
        <f>IF(ISBLANK('Data Entry'!$z$425), "", 'Data Entry'!$z$425)</f>
      </c>
      <c r="BG425">
        <f>IF(ISBLANK('Data Entry'!${$425), "", 'Data Entry'!${$425)</f>
      </c>
      <c r="BH425">
        <f>IF(ISBLANK('Data Entry'!$|$425), "", 'Data Entry'!$|$425)</f>
      </c>
      <c r="BI425">
        <f>IF(ISBLANK('Data Entry'!$}$425), "", 'Data Entry'!$}$425)</f>
      </c>
      <c r="BJ425">
        <f>IF(ISBLANK('Data Entry'!$~$425), "", 'Data Entry'!$~$425)</f>
      </c>
      <c r="BK425">
        <f>IF(ISBLANK('Data Entry'!$$425), "", 'Data Entry'!$$425)</f>
      </c>
      <c r="BL425">
        <f>IF(ISBLANK('Data Entry'!$$425), "", 'Data Entry'!$$425)</f>
      </c>
      <c r="BM425">
        <f>IF(ISBLANK('Data Entry'!$$425), "", 'Data Entry'!$$425)</f>
      </c>
      <c r="BN425">
        <f>IF(ISBLANK('Data Entry'!$$425), "", 'Data Entry'!$$425)</f>
      </c>
      <c r="BO425">
        <f>IF(ISBLANK('Data Entry'!$$425), "", 'Data Entry'!$$425)</f>
      </c>
      <c r="BP425">
        <f>IF(ISBLANK('Data Entry'!$$425), "", 'Data Entry'!$$425)</f>
      </c>
      <c r="BQ425">
        <f>IF(ISBLANK('Data Entry'!$$425), "", 'Data Entry'!$$425)</f>
      </c>
      <c r="BR425">
        <f>IF(ISBLANK('Data Entry'!$$425), "", 'Data Entry'!$$425)</f>
      </c>
      <c r="BS425">
        <f>IF(ISBLANK('Data Entry'!$$425), "", 'Data Entry'!$$425)</f>
      </c>
      <c r="BT425">
        <f>IF(ISBLANK('Data Entry'!$$425), "", 'Data Entry'!$$425)</f>
      </c>
      <c r="BU425">
        <f>IF(ISBLANK('Data Entry'!$$425), "", 'Data Entry'!$$425)</f>
      </c>
      <c r="BV425">
        <f>IF(ISBLANK('Data Entry'!$$425), "", 'Data Entry'!$$425)</f>
      </c>
      <c r="BW425">
        <f>IF(ISBLANK('Data Entry'!$$425), "", 'Data Entry'!$$425)</f>
      </c>
      <c r="BX425">
        <f>IF(ISBLANK('Data Entry'!$$425), "", 'Data Entry'!$$425)</f>
      </c>
      <c r="BY425">
        <f>IF(ISBLANK('Data Entry'!$$425), "", 'Data Entry'!$$425)</f>
      </c>
      <c r="BZ425">
        <f>IF(ISBLANK('Data Entry'!$$425), "", 'Data Entry'!$$425)</f>
      </c>
      <c r="CA425">
        <f>IF(ISBLANK('Data Entry'!$$425), "", 'Data Entry'!$$425)</f>
      </c>
      <c r="CB425">
        <f>IF(ISBLANK('Data Entry'!$$425), "", 'Data Entry'!$$425)</f>
      </c>
      <c r="CC425">
        <f>IF(ISBLANK('Data Entry'!$$425), "", 'Data Entry'!$$425)</f>
      </c>
      <c r="CD425">
        <f>IF(ISBLANK('Data Entry'!$$425), "", 'Data Entry'!$$425)</f>
      </c>
      <c r="CE425">
        <f>IF(ISBLANK('Data Entry'!$$425), "", 'Data Entry'!$$425)</f>
      </c>
      <c r="CF425">
        <f>IF(ISBLANK('Data Entry'!$$425), "", 'Data Entry'!$$425)</f>
      </c>
      <c r="CG425">
        <f>IF(ISBLANK('Data Entry'!$$425), "", 'Data Entry'!$$425)</f>
      </c>
      <c r="CH425">
        <f>IF(ISBLANK('Data Entry'!$$425), "", 'Data Entry'!$$425)</f>
      </c>
      <c r="CI425">
        <f>IF(ISBLANK('Data Entry'!$$425), "", 'Data Entry'!$$425)</f>
      </c>
      <c r="CJ425">
        <f>IF(ISBLANK('Data Entry'!$$425), "", 'Data Entry'!$$425)</f>
      </c>
      <c r="CK425">
        <f>IF(ISBLANK('Data Entry'!$$425), "", 'Data Entry'!$$425)</f>
      </c>
      <c r="CL425">
        <f>IF(ISBLANK('Data Entry'!$$425), "", 'Data Entry'!$$425)</f>
      </c>
      <c r="CM425">
        <f>IF(ISBLANK('Data Entry'!$$425), "", 'Data Entry'!$$425)</f>
      </c>
      <c r="CN425">
        <f>IF(ISBLANK('Data Entry'!$$425), "", 'Data Entry'!$$425)</f>
      </c>
      <c r="CO425">
        <f>IF(ISBLANK('Data Entry'!$$425), "", 'Data Entry'!$$425)</f>
      </c>
      <c r="CP425">
        <f>IF(ISBLANK('Data Entry'!$$425), "", 'Data Entry'!$$425)</f>
      </c>
      <c r="CQ425">
        <f>IF(ISBLANK('Data Entry'!$$425), "", 'Data Entry'!$$425)</f>
      </c>
      <c r="CR425">
        <f>IF(ISBLANK('Data Entry'!$ $425), "", 'Data Entry'!$ $425)</f>
      </c>
      <c r="CS425">
        <f>IF(ISBLANK('Data Entry'!$¡$425), "", 'Data Entry'!$¡$425)</f>
      </c>
      <c r="CT425">
        <f>IF(ISBLANK('Data Entry'!$¢$425), "", 'Data Entry'!$¢$425)</f>
      </c>
      <c r="CU425">
        <f>IF(ISBLANK('Data Entry'!$£$425), "", 'Data Entry'!$£$425)</f>
      </c>
      <c r="CV425">
        <f>IF(ISBLANK('Data Entry'!$¤$425), "", 'Data Entry'!$¤$425)</f>
      </c>
      <c r="CW425">
        <f>IF(ISBLANK('Data Entry'!$¥$425), "", 'Data Entry'!$¥$425)</f>
      </c>
      <c r="CX425">
        <f>IF(ISBLANK('Data Entry'!$¦$425), "", 'Data Entry'!$¦$425)</f>
      </c>
      <c r="CY425">
        <f>IF(ISBLANK('Data Entry'!$§$425), "", 'Data Entry'!$§$425)</f>
      </c>
      <c r="CZ425">
        <f>IF(ISBLANK('Data Entry'!$¨$425), "", 'Data Entry'!$¨$425)</f>
      </c>
      <c r="DA425">
        <f>IF(ISBLANK('Data Entry'!$©$425), "", 'Data Entry'!$©$425)</f>
      </c>
      <c r="DB425">
        <f>IF(ISBLANK('Data Entry'!$ª$425), "", 'Data Entry'!$ª$425)</f>
      </c>
      <c r="DC425">
        <f>IF(ISBLANK('Data Entry'!$«$425), "", 'Data Entry'!$«$425)</f>
      </c>
      <c r="DD425">
        <f>IF(ISBLANK('Data Entry'!$¬$425), "", 'Data Entry'!$¬$425)</f>
      </c>
      <c r="DE425">
        <f>IF(ISBLANK('Data Entry'!$­$425), "", 'Data Entry'!$­$425)</f>
      </c>
      <c r="DF425">
        <f>IF(ISBLANK('Data Entry'!$®$425), "", 'Data Entry'!$®$425)</f>
      </c>
      <c r="DG425">
        <f>IF(ISBLANK('Data Entry'!$¯$425), "", 'Data Entry'!$¯$425)</f>
      </c>
      <c r="DH425">
        <f>IF(ISBLANK('Data Entry'!$°$425), "", 'Data Entry'!$°$425)</f>
      </c>
      <c r="DI425">
        <f>IF(ISBLANK('Data Entry'!$±$425), "", 'Data Entry'!$±$425)</f>
      </c>
      <c r="DJ425">
        <f>IF(ISBLANK('Data Entry'!$²$425), "", 'Data Entry'!$²$425)</f>
      </c>
      <c r="DK425">
        <f>IF(ISBLANK('Data Entry'!$³$425), "", 'Data Entry'!$³$425)</f>
      </c>
      <c r="DL425">
        <f>IF(ISBLANK('Data Entry'!$´$425), "", 'Data Entry'!$´$425)</f>
      </c>
      <c r="DM425">
        <f>IF(ISBLANK('Data Entry'!$µ$425), "", 'Data Entry'!$µ$425)</f>
      </c>
      <c r="DN425">
        <f>IF(ISBLANK('Data Entry'!$¶$425), "", 'Data Entry'!$¶$425)</f>
      </c>
      <c r="DO425">
        <f>IF(ISBLANK('Data Entry'!$·$425), "", 'Data Entry'!$·$425)</f>
      </c>
      <c r="DP425">
        <f>IF(ISBLANK('Data Entry'!$¸$425), "", 'Data Entry'!$¸$425)</f>
      </c>
      <c r="DQ425">
        <f>IF(ISBLANK('Data Entry'!$¹$425), "", 'Data Entry'!$¹$425)</f>
      </c>
      <c r="DR425">
        <f>IF(ISBLANK('Data Entry'!$º$425), "", 'Data Entry'!$º$425)</f>
      </c>
      <c r="DS425">
        <f>IF(ISBLANK('Data Entry'!$»$425), "", 'Data Entry'!$»$425)</f>
      </c>
      <c r="DT425">
        <f>IF(ISBLANK('Data Entry'!$¼$425), "", 'Data Entry'!$¼$425)</f>
      </c>
      <c r="DU425">
        <f>IF(ISBLANK('Data Entry'!$½$425), "", 'Data Entry'!$½$425)</f>
      </c>
      <c r="DV425">
        <f>IF(ISBLANK('Data Entry'!$¾$425), "", 'Data Entry'!$¾$425)</f>
      </c>
      <c r="DW425">
        <f>IF(ISBLANK('Data Entry'!$¿$425), "", 'Data Entry'!$¿$425)</f>
      </c>
      <c r="DX425">
        <f>IF(ISBLANK('Data Entry'!$À$425), "", 'Data Entry'!$À$425)</f>
      </c>
      <c r="DY425">
        <f>IF(ISBLANK('Data Entry'!$Á$425), "", 'Data Entry'!$Á$425)</f>
      </c>
      <c r="DZ425">
        <f>IF(ISBLANK('Data Entry'!$Â$425), "", 'Data Entry'!$Â$425)</f>
      </c>
      <c r="EA425">
        <f>IF(ISBLANK('Data Entry'!$Ã$425), "", 'Data Entry'!$Ã$425)</f>
      </c>
      <c r="EB425">
        <f>IF(ISBLANK('Data Entry'!$Ä$425), "", 'Data Entry'!$Ä$425)</f>
      </c>
      <c r="EC425">
        <f>IF(ISBLANK('Data Entry'!$Å$425), "", 'Data Entry'!$Å$425)</f>
      </c>
      <c r="ED425">
        <f>IF(ISBLANK('Data Entry'!$Æ$425), "", 'Data Entry'!$Æ$425)</f>
      </c>
      <c r="EE425">
        <f>IF(ISBLANK('Data Entry'!$Ç$425), "", 'Data Entry'!$Ç$425)</f>
      </c>
      <c r="EF425">
        <f>IF(ISBLANK('Data Entry'!$È$425), "", 'Data Entry'!$È$425)</f>
      </c>
      <c r="EG425">
        <f>IF(ISBLANK('Data Entry'!$É$425), "", 'Data Entry'!$É$425)</f>
      </c>
      <c r="EH425">
        <f>IF(ISBLANK('Data Entry'!$Ê$425), "", 'Data Entry'!$Ê$425)</f>
      </c>
      <c r="EI425">
        <f>IF(ISBLANK('Data Entry'!$Ë$425), "", 'Data Entry'!$Ë$425)</f>
      </c>
      <c r="EJ425">
        <f>IF(ISBLANK('Data Entry'!$Ì$425), "", 'Data Entry'!$Ì$425)</f>
      </c>
      <c r="EK425">
        <f>IF(ISBLANK('Data Entry'!$Í$425), "", 'Data Entry'!$Í$425)</f>
      </c>
      <c r="EL425">
        <f>IF(ISBLANK('Data Entry'!$Î$425), "", 'Data Entry'!$Î$425)</f>
      </c>
      <c r="EM425">
        <f>IF(ISBLANK('Data Entry'!$Ï$425), "", 'Data Entry'!$Ï$425)</f>
      </c>
      <c r="EN425">
        <f>IF(ISBLANK('Data Entry'!$Ð$425), "", 'Data Entry'!$Ð$425)</f>
      </c>
      <c r="EO425">
        <f>IF(ISBLANK('Data Entry'!$Ñ$425), "", 'Data Entry'!$Ñ$425)</f>
      </c>
      <c r="EP425">
        <f>IF(ISBLANK('Data Entry'!$Ò$425), "", 'Data Entry'!$Ò$425)</f>
      </c>
      <c r="EQ425">
        <f>IF(ISBLANK('Data Entry'!$Ó$425), "", 'Data Entry'!$Ó$425)</f>
      </c>
      <c r="ER425">
        <f>IF(ISBLANK('Data Entry'!$Ô$425), "", 'Data Entry'!$Ô$425)</f>
      </c>
      <c r="ES425">
        <f>IF(ISBLANK('Data Entry'!$Õ$425), "", 'Data Entry'!$Õ$425)</f>
      </c>
      <c r="ET425">
        <f>IF(ISBLANK('Data Entry'!$Ö$425), "", 'Data Entry'!$Ö$425)</f>
      </c>
      <c r="EU425">
        <f>IF(ISBLANK('Data Entry'!$×$425), "", 'Data Entry'!$×$425)</f>
      </c>
      <c r="EV425">
        <f>IF(ISBLANK('Data Entry'!$Ø$425), "", 'Data Entry'!$Ø$425)</f>
      </c>
      <c r="EW425">
        <f>IF(ISBLANK('Data Entry'!$Ù$425), "", 'Data Entry'!$Ù$425)</f>
      </c>
      <c r="EX425">
        <f>IF(ISBLANK('Data Entry'!$Ú$425), "", 'Data Entry'!$Ú$425)</f>
      </c>
      <c r="EY425">
        <f>IF(ISBLANK('Data Entry'!$Û$425), "", 'Data Entry'!$Û$425)</f>
      </c>
      <c r="EZ425">
        <f>IF(ISBLANK('Data Entry'!$Ü$425), "", 'Data Entry'!$Ü$425)</f>
      </c>
      <c r="FA425">
        <f>IF(ISBLANK('Data Entry'!$Ý$425), "", 'Data Entry'!$Ý$425)</f>
      </c>
      <c r="FB425">
        <f>IF(ISBLANK('Data Entry'!$Þ$425), "", 'Data Entry'!$Þ$425)</f>
      </c>
      <c r="FC425">
        <f>IF(ISBLANK('Data Entry'!$ß$425), "", 'Data Entry'!$ß$425)</f>
      </c>
      <c r="FD425">
        <f>IF(ISBLANK('Data Entry'!$à$425), "", 'Data Entry'!$à$425)</f>
      </c>
      <c r="FE425">
        <f>IF(ISBLANK('Data Entry'!$á$425), "", 'Data Entry'!$á$425)</f>
      </c>
      <c r="FF425">
        <f>IF(ISBLANK('Data Entry'!$â$425), "", 'Data Entry'!$â$425)</f>
      </c>
      <c r="FG425">
        <f>IF(ISBLANK('Data Entry'!$ã$425), "", 'Data Entry'!$ã$425)</f>
      </c>
      <c r="FH425">
        <f>IF(ISBLANK('Data Entry'!$ä$425), "", 'Data Entry'!$ä$425)</f>
      </c>
      <c r="FI425">
        <f>IF(ISBLANK('Data Entry'!$å$425), "", 'Data Entry'!$å$425)</f>
      </c>
      <c r="FJ425">
        <f>IF(ISBLANK('Data Entry'!$æ$425), "", 'Data Entry'!$æ$425)</f>
      </c>
      <c r="FK425">
        <f>IF(ISBLANK('Data Entry'!$ç$425), "", 'Data Entry'!$ç$425)</f>
      </c>
      <c r="FL425">
        <f>IF(ISBLANK('Data Entry'!$è$425), "", 'Data Entry'!$è$425)</f>
      </c>
      <c r="FM425">
        <f>IF(ISBLANK('Data Entry'!$é$425), "", 'Data Entry'!$é$425)</f>
      </c>
      <c r="FN425">
        <f>IF(ISBLANK('Data Entry'!$ê$425), "", 'Data Entry'!$ê$425)</f>
      </c>
      <c r="FO425">
        <f>IF(ISBLANK('Data Entry'!$ë$425), "", 'Data Entry'!$ë$425)</f>
      </c>
      <c r="FP425">
        <f>IF(ISBLANK('Data Entry'!$ì$425), "", 'Data Entry'!$ì$425)</f>
      </c>
      <c r="FQ425">
        <f>IF(ISBLANK('Data Entry'!$í$425), "", 'Data Entry'!$í$425)</f>
      </c>
      <c r="FR425">
        <f>IF(ISBLANK('Data Entry'!$î$425), "", 'Data Entry'!$î$425)</f>
      </c>
      <c r="FS425">
        <f>IF(ISBLANK('Data Entry'!$ï$425), "", 'Data Entry'!$ï$425)</f>
      </c>
      <c r="FT425">
        <f>IF(ISBLANK('Data Entry'!$ð$425), "", 'Data Entry'!$ð$425)</f>
      </c>
      <c r="FU425">
        <f>IF(ISBLANK('Data Entry'!$ñ$425), "", 'Data Entry'!$ñ$425)</f>
      </c>
      <c r="FV425">
        <f>IF(ISBLANK('Data Entry'!$ò$425), "", 'Data Entry'!$ò$425)</f>
      </c>
      <c r="FW425">
        <f>IF(ISBLANK('Data Entry'!$ó$425), "", 'Data Entry'!$ó$425)</f>
      </c>
      <c r="FX425">
        <f>IF(ISBLANK('Data Entry'!$ô$425), "", 'Data Entry'!$ô$425)</f>
      </c>
      <c r="FY425">
        <f>IF(ISBLANK('Data Entry'!$õ$425), "", 'Data Entry'!$õ$425)</f>
      </c>
      <c r="FZ425">
        <f>IF(ISBLANK('Data Entry'!$ö$425), "", 'Data Entry'!$ö$425)</f>
      </c>
      <c r="GA425">
        <f>IF(ISBLANK('Data Entry'!$÷$425), "", 'Data Entry'!$÷$425)</f>
      </c>
      <c r="GB425">
        <f>IF(ISBLANK('Data Entry'!$ø$425), "", 'Data Entry'!$ø$425)</f>
      </c>
      <c r="GC425">
        <f>IF(ISBLANK('Data Entry'!$ù$425), "", 'Data Entry'!$ù$425)</f>
      </c>
      <c r="GD425">
        <f>IF(ISBLANK('Data Entry'!$ú$425), "", 'Data Entry'!$ú$425)</f>
      </c>
      <c r="GE425">
        <f>IF(ISBLANK('Data Entry'!$û$425), "", 'Data Entry'!$û$425)</f>
      </c>
      <c r="GF425">
        <f>IF(ISBLANK('Data Entry'!$ü$425), "", 'Data Entry'!$ü$425)</f>
      </c>
      <c r="GG425">
        <f>IF(ISBLANK('Data Entry'!$ý$425), "", 'Data Entry'!$ý$425)</f>
      </c>
      <c r="GH425">
        <f>IF(ISBLANK('Data Entry'!$þ$425), "", 'Data Entry'!$þ$425)</f>
      </c>
      <c r="GI425">
        <f>IF(ISBLANK('Data Entry'!$ÿ$425), "", 'Data Entry'!$ÿ$425)</f>
      </c>
      <c r="GJ425">
        <f>IF(ISBLANK('Data Entry'!$Ā$425), "", 'Data Entry'!$Ā$425)</f>
      </c>
      <c r="GK425">
        <f>IF(ISBLANK('Data Entry'!$ā$425), "", 'Data Entry'!$ā$425)</f>
      </c>
      <c r="GL425">
        <f>IF(ISBLANK('Data Entry'!$Ă$425), "", 'Data Entry'!$Ă$425)</f>
      </c>
      <c r="GM425">
        <f>IF(ISBLANK('Data Entry'!$ă$425), "", 'Data Entry'!$ă$425)</f>
      </c>
      <c r="GN425">
        <f>IF(ISBLANK('Data Entry'!$Ą$425), "", 'Data Entry'!$Ą$425)</f>
      </c>
      <c r="GO425">
        <f>IF(ISBLANK('Data Entry'!$ą$425), "", 'Data Entry'!$ą$425)</f>
      </c>
      <c r="GP425">
        <f>IF(ISBLANK('Data Entry'!$Ć$425), "", 'Data Entry'!$Ć$425)</f>
      </c>
      <c r="GQ425">
        <f>IF(ISBLANK('Data Entry'!$ć$425), "", 'Data Entry'!$ć$425)</f>
      </c>
      <c r="GR425">
        <f>IF(ISBLANK('Data Entry'!$Ĉ$425), "", 'Data Entry'!$Ĉ$425)</f>
      </c>
      <c r="GS425">
        <f>IF(ISBLANK('Data Entry'!$ĉ$425), "", 'Data Entry'!$ĉ$425)</f>
      </c>
      <c r="GT425">
        <f>IF(ISBLANK('Data Entry'!$Ċ$425), "", 'Data Entry'!$Ċ$425)</f>
      </c>
      <c r="GU425">
        <f>IF(ISBLANK('Data Entry'!$ċ$425), "", 'Data Entry'!$ċ$425)</f>
      </c>
      <c r="GV425">
        <f>IF(ISBLANK('Data Entry'!$Č$425), "", 'Data Entry'!$Č$425)</f>
      </c>
      <c r="GW425">
        <f>IF(ISBLANK('Data Entry'!$č$425), "", 'Data Entry'!$č$425)</f>
      </c>
      <c r="GX425">
        <f>IF(ISBLANK('Data Entry'!$Ď$425), "", 'Data Entry'!$Ď$425)</f>
      </c>
      <c r="GY425">
        <f>IF(ISBLANK('Data Entry'!$ď$425), "", 'Data Entry'!$ď$425)</f>
      </c>
      <c r="GZ425">
        <f>IF(ISBLANK('Data Entry'!$Đ$425), "", 'Data Entry'!$Đ$425)</f>
      </c>
      <c r="HA425">
        <f>IF(ISBLANK('Data Entry'!$đ$425), "", 'Data Entry'!$đ$425)</f>
      </c>
      <c r="HB425">
        <f>IF(ISBLANK('Data Entry'!$Ē$425), "", 'Data Entry'!$Ē$425)</f>
      </c>
      <c r="HC425">
        <f>IF(ISBLANK('Data Entry'!$ē$425), "", 'Data Entry'!$ē$425)</f>
      </c>
      <c r="HD425">
        <f>IF(ISBLANK('Data Entry'!$Ĕ$425), "", 'Data Entry'!$Ĕ$425)</f>
      </c>
      <c r="HE425">
        <f>IF(ISBLANK('Data Entry'!$ĕ$425), "", 'Data Entry'!$ĕ$425)</f>
      </c>
      <c r="HF425">
        <f>IF(ISBLANK('Data Entry'!$Ė$425), "", 'Data Entry'!$Ė$425)</f>
      </c>
      <c r="HG425">
        <f>IF(ISBLANK('Data Entry'!$ė$425), "", 'Data Entry'!$ė$425)</f>
      </c>
      <c r="HH425">
        <f>IF(ISBLANK('Data Entry'!$Ę$425), "", 'Data Entry'!$Ę$425)</f>
      </c>
      <c r="HI425">
        <f>IF(ISBLANK('Data Entry'!$ę$425), "", 'Data Entry'!$ę$425)</f>
      </c>
      <c r="HJ425">
        <f>IF(ISBLANK('Data Entry'!$Ě$425), "", 'Data Entry'!$Ě$425)</f>
      </c>
      <c r="HK425">
        <f>IF(ISBLANK('Data Entry'!$ě$425), "", 'Data Entry'!$ě$425)</f>
      </c>
      <c r="HL425">
        <f>IF(ISBLANK('Data Entry'!$Ĝ$425), "", 'Data Entry'!$Ĝ$425)</f>
      </c>
      <c r="HM425">
        <f>IF(ISBLANK('Data Entry'!$ĝ$425), "", 'Data Entry'!$ĝ$425)</f>
      </c>
      <c r="HN425">
        <f>IF(ISBLANK('Data Entry'!$Ğ$425), "", 'Data Entry'!$Ğ$425)</f>
      </c>
      <c r="HO425">
        <f>IF(ISBLANK('Data Entry'!$ğ$425), "", 'Data Entry'!$ğ$425)</f>
      </c>
      <c r="HP425">
        <f>IF(ISBLANK('Data Entry'!$Ġ$425), "", 'Data Entry'!$Ġ$425)</f>
      </c>
      <c r="HQ425">
        <f>IF(ISBLANK('Data Entry'!$ġ$425), "", 'Data Entry'!$ġ$425)</f>
      </c>
      <c r="HR425">
        <f>IF(ISBLANK('Data Entry'!$Ģ$425), "", 'Data Entry'!$Ģ$425)</f>
      </c>
      <c r="HS425">
        <f>IF(ISBLANK('Data Entry'!$ģ$425), "", 'Data Entry'!$ģ$425)</f>
      </c>
      <c r="HT425">
        <f>IF(ISBLANK('Data Entry'!$Ĥ$425), "", 'Data Entry'!$Ĥ$425)</f>
      </c>
      <c r="HU425">
        <f>IF(ISBLANK('Data Entry'!$ĥ$425), "", 'Data Entry'!$ĥ$425)</f>
      </c>
      <c r="HV425">
        <f>IF(ISBLANK('Data Entry'!$Ħ$425), "", 'Data Entry'!$Ħ$425)</f>
      </c>
      <c r="HW425">
        <f>IF(ISBLANK('Data Entry'!$ħ$425), "", 'Data Entry'!$ħ$425)</f>
      </c>
      <c r="HX425">
        <f>IF(ISBLANK('Data Entry'!$Ĩ$425), "", 'Data Entry'!$Ĩ$425)</f>
      </c>
      <c r="HY425">
        <f>IF(ISBLANK('Data Entry'!$ĩ$425), "", 'Data Entry'!$ĩ$425)</f>
      </c>
      <c r="HZ425">
        <f>IF(ISBLANK('Data Entry'!$Ī$425), "", 'Data Entry'!$Ī$425)</f>
      </c>
      <c r="IA425">
        <f>IF(ISBLANK('Data Entry'!$ī$425), "", 'Data Entry'!$ī$425)</f>
      </c>
      <c r="IB425">
        <f>IF(ISBLANK('Data Entry'!$Ĭ$425), "", 'Data Entry'!$Ĭ$425)</f>
      </c>
      <c r="IC425">
        <f>IF(ISBLANK('Data Entry'!$ĭ$425), "", 'Data Entry'!$ĭ$425)</f>
      </c>
      <c r="ID425">
        <f>IF(ISBLANK('Data Entry'!$Į$425), "", 'Data Entry'!$Į$425)</f>
      </c>
      <c r="IE425">
        <f>IF(ISBLANK('Data Entry'!$į$425), "", 'Data Entry'!$į$425)</f>
      </c>
      <c r="IF425">
        <f>IF(ISBLANK('Data Entry'!$İ$425), "", 'Data Entry'!$İ$425)</f>
      </c>
      <c r="IG425">
        <f>IF(ISBLANK('Data Entry'!$ı$425), "", 'Data Entry'!$ı$425)</f>
      </c>
      <c r="IH425">
        <f>IF(ISBLANK('Data Entry'!$Ĳ$425), "", 'Data Entry'!$Ĳ$425)</f>
      </c>
      <c r="II425">
        <f>IF(ISBLANK('Data Entry'!$ĳ$425), "", 'Data Entry'!$ĳ$425)</f>
      </c>
      <c r="IJ425">
        <f>IF(ISBLANK('Data Entry'!$Ĵ$425), "", 'Data Entry'!$Ĵ$425)</f>
      </c>
      <c r="IK425">
        <f>IF(ISBLANK('Data Entry'!$ĵ$425), "", 'Data Entry'!$ĵ$425)</f>
      </c>
      <c r="IL425">
        <f>IF(ISBLANK('Data Entry'!$Ķ$425), "", 'Data Entry'!$Ķ$425)</f>
      </c>
      <c r="IM425">
        <f>IF(ISBLANK('Data Entry'!$ķ$425), "", 'Data Entry'!$ķ$425)</f>
      </c>
      <c r="IN425">
        <f>IF(ISBLANK('Data Entry'!$ĸ$425), "", 'Data Entry'!$ĸ$425)</f>
      </c>
      <c r="IO425">
        <f>IF(ISBLANK('Data Entry'!$Ĺ$425), "", 'Data Entry'!$Ĺ$425)</f>
      </c>
      <c r="IP425">
        <f>IF(ISBLANK('Data Entry'!$ĺ$425), "", 'Data Entry'!$ĺ$425)</f>
      </c>
      <c r="IQ425">
        <f>IF(ISBLANK('Data Entry'!$Ļ$425), "", 'Data Entry'!$Ļ$425)</f>
      </c>
      <c r="IR425">
        <f>IF(ISBLANK('Data Entry'!$ļ$425), "", 'Data Entry'!$ļ$425)</f>
      </c>
      <c r="IS425">
        <f>IF(ISBLANK('Data Entry'!$Ľ$425), "", 'Data Entry'!$Ľ$425)</f>
      </c>
      <c r="IT425">
        <f>IF(ISBLANK('Data Entry'!$ľ$425), "", 'Data Entry'!$ľ$425)</f>
      </c>
    </row>
    <row r="426" spans="1:254" x14ac:dyDescent="0.25">
      <c r="A426">
        <f>IF(ISBLANK('Data Entry'!$A$426), "", 'Data Entry'!$A$426)</f>
      </c>
      <c r="B426">
        <f>IF(ISBLANK('Data Entry'!$B$426), "", 'Data Entry'!$B$426)</f>
      </c>
      <c r="C426">
        <f>IF(ISBLANK('Data Entry'!$C$426), "", 'Data Entry'!$C$426)</f>
      </c>
      <c r="D426">
        <f>IF(ISBLANK('Data Entry'!$D$426), "", 'Data Entry'!$D$426)</f>
      </c>
      <c r="E426">
        <f>IF(ISBLANK('Data Entry'!$E$426), "", 'Data Entry'!$E$426)</f>
      </c>
      <c r="F426">
        <f>IF(ISBLANK('Data Entry'!$F$426), "", 'Data Entry'!$F$426)</f>
      </c>
      <c r="G426">
        <f>IF(ISBLANK('Data Entry'!$G$426), "", 'Data Entry'!$G$426)</f>
      </c>
      <c r="H426">
        <f>IF(ISBLANK('Data Entry'!$H$426), "", 'Data Entry'!$H$426)</f>
      </c>
      <c r="I426">
        <f>IF(ISBLANK('Data Entry'!$I$426), "", 'Data Entry'!$I$426)</f>
      </c>
      <c r="J426">
        <f>IF(ISBLANK('Data Entry'!$J$426), "", 'Data Entry'!$J$426)</f>
      </c>
      <c r="K426">
        <f>IF(ISBLANK('Data Entry'!$K$426), "", 'Data Entry'!$K$426)</f>
      </c>
      <c r="L426">
        <f>IF(ISBLANK('Data Entry'!$L$426), "", 'Data Entry'!$L$426)</f>
      </c>
      <c r="M426">
        <f>IF(ISBLANK('Data Entry'!$M$426), "", 'Data Entry'!$M$426)</f>
      </c>
      <c r="N426">
        <f>IF(ISBLANK('Data Entry'!$N$426), "", 'Data Entry'!$N$426)</f>
      </c>
      <c r="O426">
        <f>IF(ISBLANK('Data Entry'!$O$426), "", 'Data Entry'!$O$426)</f>
      </c>
      <c r="P426">
        <f>IF(ISBLANK('Data Entry'!$P$426), "", 'Data Entry'!$P$426)</f>
      </c>
      <c r="Q426">
        <f>IF(ISBLANK('Data Entry'!$Q$426), "", 'Data Entry'!$Q$426)</f>
      </c>
      <c r="R426">
        <f>IF(ISBLANK('Data Entry'!$R$426), "", 'Data Entry'!$R$426)</f>
      </c>
      <c r="S426">
        <f>IF(ISBLANK('Data Entry'!$S$426), "", 'Data Entry'!$S$426)</f>
      </c>
      <c r="T426">
        <f>IF(ISBLANK('Data Entry'!$T$426), "", 'Data Entry'!$T$426)</f>
      </c>
      <c r="U426">
        <f>IF(ISBLANK('Data Entry'!$U$426), "", 'Data Entry'!$U$426)</f>
      </c>
      <c r="V426">
        <f>IF(ISBLANK('Data Entry'!$V$426), "", 'Data Entry'!$V$426)</f>
      </c>
      <c r="W426">
        <f>IF(ISBLANK('Data Entry'!$W$426), "", 'Data Entry'!$W$426)</f>
      </c>
      <c r="X426">
        <f>IF(ISBLANK('Data Entry'!$X$426), "", 'Data Entry'!$X$426)</f>
      </c>
      <c r="Y426">
        <f>IF(ISBLANK('Data Entry'!$Y$426), "", 'Data Entry'!$Y$426)</f>
      </c>
      <c r="Z426">
        <f>IF(ISBLANK('Data Entry'!$Z$426), "", 'Data Entry'!$Z$426)</f>
      </c>
      <c r="AA426">
        <f>IF(ISBLANK('Data Entry'!$[$426), "", 'Data Entry'!$[$426)</f>
      </c>
      <c r="AB426">
        <f>IF(ISBLANK('Data Entry'!$\$426), "", 'Data Entry'!$\$426)</f>
      </c>
      <c r="AC426">
        <f>IF(ISBLANK('Data Entry'!$]$426), "", 'Data Entry'!$]$426)</f>
      </c>
      <c r="AD426">
        <f>IF(ISBLANK('Data Entry'!$^$426), "", 'Data Entry'!$^$426)</f>
      </c>
      <c r="AE426">
        <f>IF(ISBLANK('Data Entry'!$_$426), "", 'Data Entry'!$_$426)</f>
      </c>
      <c r="AF426">
        <f>IF(ISBLANK('Data Entry'!$`$426), "", 'Data Entry'!$`$426)</f>
      </c>
      <c r="AG426">
        <f>IF(ISBLANK('Data Entry'!$a$426), "", 'Data Entry'!$a$426)</f>
      </c>
      <c r="AH426">
        <f>IF(ISBLANK('Data Entry'!$b$426), "", 'Data Entry'!$b$426)</f>
      </c>
      <c r="AI426">
        <f>IF(ISBLANK('Data Entry'!$c$426), "", 'Data Entry'!$c$426)</f>
      </c>
      <c r="AJ426">
        <f>IF(ISBLANK('Data Entry'!$d$426), "", 'Data Entry'!$d$426)</f>
      </c>
      <c r="AK426">
        <f>IF(ISBLANK('Data Entry'!$e$426), "", 'Data Entry'!$e$426)</f>
      </c>
      <c r="AL426">
        <f>IF(ISBLANK('Data Entry'!$f$426), "", 'Data Entry'!$f$426)</f>
      </c>
      <c r="AM426">
        <f>IF(ISBLANK('Data Entry'!$g$426), "", 'Data Entry'!$g$426)</f>
      </c>
      <c r="AN426">
        <f>IF(ISBLANK('Data Entry'!$h$426), "", 'Data Entry'!$h$426)</f>
      </c>
      <c r="AO426">
        <f>IF(ISBLANK('Data Entry'!$i$426), "", 'Data Entry'!$i$426)</f>
      </c>
      <c r="AP426">
        <f>IF(ISBLANK('Data Entry'!$j$426), "", 'Data Entry'!$j$426)</f>
      </c>
      <c r="AQ426">
        <f>IF(ISBLANK('Data Entry'!$k$426), "", 'Data Entry'!$k$426)</f>
      </c>
      <c r="AR426">
        <f>IF(ISBLANK('Data Entry'!$l$426), "", 'Data Entry'!$l$426)</f>
      </c>
      <c r="AS426">
        <f>IF(ISBLANK('Data Entry'!$m$426), "", 'Data Entry'!$m$426)</f>
      </c>
      <c r="AT426">
        <f>IF(ISBLANK('Data Entry'!$n$426), "", 'Data Entry'!$n$426)</f>
      </c>
      <c r="AU426">
        <f>IF(ISBLANK('Data Entry'!$o$426), "", 'Data Entry'!$o$426)</f>
      </c>
      <c r="AV426">
        <f>IF(ISBLANK('Data Entry'!$p$426), "", 'Data Entry'!$p$426)</f>
      </c>
      <c r="AW426">
        <f>IF(ISBLANK('Data Entry'!$q$426), "", 'Data Entry'!$q$426)</f>
      </c>
      <c r="AX426">
        <f>IF(ISBLANK('Data Entry'!$r$426), "", 'Data Entry'!$r$426)</f>
      </c>
      <c r="AY426">
        <f>IF(ISBLANK('Data Entry'!$s$426), "", 'Data Entry'!$s$426)</f>
      </c>
      <c r="AZ426">
        <f>IF(ISBLANK('Data Entry'!$t$426), "", 'Data Entry'!$t$426)</f>
      </c>
      <c r="BA426">
        <f>IF(ISBLANK('Data Entry'!$u$426), "", 'Data Entry'!$u$426)</f>
      </c>
      <c r="BB426">
        <f>IF(ISBLANK('Data Entry'!$v$426), "", 'Data Entry'!$v$426)</f>
      </c>
      <c r="BC426">
        <f>IF(ISBLANK('Data Entry'!$w$426), "", 'Data Entry'!$w$426)</f>
      </c>
      <c r="BD426">
        <f>IF(ISBLANK('Data Entry'!$x$426), "", 'Data Entry'!$x$426)</f>
      </c>
      <c r="BE426">
        <f>IF(ISBLANK('Data Entry'!$y$426), "", 'Data Entry'!$y$426)</f>
      </c>
      <c r="BF426">
        <f>IF(ISBLANK('Data Entry'!$z$426), "", 'Data Entry'!$z$426)</f>
      </c>
      <c r="BG426">
        <f>IF(ISBLANK('Data Entry'!${$426), "", 'Data Entry'!${$426)</f>
      </c>
      <c r="BH426">
        <f>IF(ISBLANK('Data Entry'!$|$426), "", 'Data Entry'!$|$426)</f>
      </c>
      <c r="BI426">
        <f>IF(ISBLANK('Data Entry'!$}$426), "", 'Data Entry'!$}$426)</f>
      </c>
      <c r="BJ426">
        <f>IF(ISBLANK('Data Entry'!$~$426), "", 'Data Entry'!$~$426)</f>
      </c>
      <c r="BK426">
        <f>IF(ISBLANK('Data Entry'!$$426), "", 'Data Entry'!$$426)</f>
      </c>
      <c r="BL426">
        <f>IF(ISBLANK('Data Entry'!$$426), "", 'Data Entry'!$$426)</f>
      </c>
      <c r="BM426">
        <f>IF(ISBLANK('Data Entry'!$$426), "", 'Data Entry'!$$426)</f>
      </c>
      <c r="BN426">
        <f>IF(ISBLANK('Data Entry'!$$426), "", 'Data Entry'!$$426)</f>
      </c>
      <c r="BO426">
        <f>IF(ISBLANK('Data Entry'!$$426), "", 'Data Entry'!$$426)</f>
      </c>
      <c r="BP426">
        <f>IF(ISBLANK('Data Entry'!$$426), "", 'Data Entry'!$$426)</f>
      </c>
      <c r="BQ426">
        <f>IF(ISBLANK('Data Entry'!$$426), "", 'Data Entry'!$$426)</f>
      </c>
      <c r="BR426">
        <f>IF(ISBLANK('Data Entry'!$$426), "", 'Data Entry'!$$426)</f>
      </c>
      <c r="BS426">
        <f>IF(ISBLANK('Data Entry'!$$426), "", 'Data Entry'!$$426)</f>
      </c>
      <c r="BT426">
        <f>IF(ISBLANK('Data Entry'!$$426), "", 'Data Entry'!$$426)</f>
      </c>
      <c r="BU426">
        <f>IF(ISBLANK('Data Entry'!$$426), "", 'Data Entry'!$$426)</f>
      </c>
      <c r="BV426">
        <f>IF(ISBLANK('Data Entry'!$$426), "", 'Data Entry'!$$426)</f>
      </c>
      <c r="BW426">
        <f>IF(ISBLANK('Data Entry'!$$426), "", 'Data Entry'!$$426)</f>
      </c>
      <c r="BX426">
        <f>IF(ISBLANK('Data Entry'!$$426), "", 'Data Entry'!$$426)</f>
      </c>
      <c r="BY426">
        <f>IF(ISBLANK('Data Entry'!$$426), "", 'Data Entry'!$$426)</f>
      </c>
      <c r="BZ426">
        <f>IF(ISBLANK('Data Entry'!$$426), "", 'Data Entry'!$$426)</f>
      </c>
      <c r="CA426">
        <f>IF(ISBLANK('Data Entry'!$$426), "", 'Data Entry'!$$426)</f>
      </c>
      <c r="CB426">
        <f>IF(ISBLANK('Data Entry'!$$426), "", 'Data Entry'!$$426)</f>
      </c>
      <c r="CC426">
        <f>IF(ISBLANK('Data Entry'!$$426), "", 'Data Entry'!$$426)</f>
      </c>
      <c r="CD426">
        <f>IF(ISBLANK('Data Entry'!$$426), "", 'Data Entry'!$$426)</f>
      </c>
      <c r="CE426">
        <f>IF(ISBLANK('Data Entry'!$$426), "", 'Data Entry'!$$426)</f>
      </c>
      <c r="CF426">
        <f>IF(ISBLANK('Data Entry'!$$426), "", 'Data Entry'!$$426)</f>
      </c>
      <c r="CG426">
        <f>IF(ISBLANK('Data Entry'!$$426), "", 'Data Entry'!$$426)</f>
      </c>
      <c r="CH426">
        <f>IF(ISBLANK('Data Entry'!$$426), "", 'Data Entry'!$$426)</f>
      </c>
      <c r="CI426">
        <f>IF(ISBLANK('Data Entry'!$$426), "", 'Data Entry'!$$426)</f>
      </c>
      <c r="CJ426">
        <f>IF(ISBLANK('Data Entry'!$$426), "", 'Data Entry'!$$426)</f>
      </c>
      <c r="CK426">
        <f>IF(ISBLANK('Data Entry'!$$426), "", 'Data Entry'!$$426)</f>
      </c>
      <c r="CL426">
        <f>IF(ISBLANK('Data Entry'!$$426), "", 'Data Entry'!$$426)</f>
      </c>
      <c r="CM426">
        <f>IF(ISBLANK('Data Entry'!$$426), "", 'Data Entry'!$$426)</f>
      </c>
      <c r="CN426">
        <f>IF(ISBLANK('Data Entry'!$$426), "", 'Data Entry'!$$426)</f>
      </c>
      <c r="CO426">
        <f>IF(ISBLANK('Data Entry'!$$426), "", 'Data Entry'!$$426)</f>
      </c>
      <c r="CP426">
        <f>IF(ISBLANK('Data Entry'!$$426), "", 'Data Entry'!$$426)</f>
      </c>
      <c r="CQ426">
        <f>IF(ISBLANK('Data Entry'!$$426), "", 'Data Entry'!$$426)</f>
      </c>
      <c r="CR426">
        <f>IF(ISBLANK('Data Entry'!$ $426), "", 'Data Entry'!$ $426)</f>
      </c>
      <c r="CS426">
        <f>IF(ISBLANK('Data Entry'!$¡$426), "", 'Data Entry'!$¡$426)</f>
      </c>
      <c r="CT426">
        <f>IF(ISBLANK('Data Entry'!$¢$426), "", 'Data Entry'!$¢$426)</f>
      </c>
      <c r="CU426">
        <f>IF(ISBLANK('Data Entry'!$£$426), "", 'Data Entry'!$£$426)</f>
      </c>
      <c r="CV426">
        <f>IF(ISBLANK('Data Entry'!$¤$426), "", 'Data Entry'!$¤$426)</f>
      </c>
      <c r="CW426">
        <f>IF(ISBLANK('Data Entry'!$¥$426), "", 'Data Entry'!$¥$426)</f>
      </c>
      <c r="CX426">
        <f>IF(ISBLANK('Data Entry'!$¦$426), "", 'Data Entry'!$¦$426)</f>
      </c>
      <c r="CY426">
        <f>IF(ISBLANK('Data Entry'!$§$426), "", 'Data Entry'!$§$426)</f>
      </c>
      <c r="CZ426">
        <f>IF(ISBLANK('Data Entry'!$¨$426), "", 'Data Entry'!$¨$426)</f>
      </c>
      <c r="DA426">
        <f>IF(ISBLANK('Data Entry'!$©$426), "", 'Data Entry'!$©$426)</f>
      </c>
      <c r="DB426">
        <f>IF(ISBLANK('Data Entry'!$ª$426), "", 'Data Entry'!$ª$426)</f>
      </c>
      <c r="DC426">
        <f>IF(ISBLANK('Data Entry'!$«$426), "", 'Data Entry'!$«$426)</f>
      </c>
      <c r="DD426">
        <f>IF(ISBLANK('Data Entry'!$¬$426), "", 'Data Entry'!$¬$426)</f>
      </c>
      <c r="DE426">
        <f>IF(ISBLANK('Data Entry'!$­$426), "", 'Data Entry'!$­$426)</f>
      </c>
      <c r="DF426">
        <f>IF(ISBLANK('Data Entry'!$®$426), "", 'Data Entry'!$®$426)</f>
      </c>
      <c r="DG426">
        <f>IF(ISBLANK('Data Entry'!$¯$426), "", 'Data Entry'!$¯$426)</f>
      </c>
      <c r="DH426">
        <f>IF(ISBLANK('Data Entry'!$°$426), "", 'Data Entry'!$°$426)</f>
      </c>
      <c r="DI426">
        <f>IF(ISBLANK('Data Entry'!$±$426), "", 'Data Entry'!$±$426)</f>
      </c>
      <c r="DJ426">
        <f>IF(ISBLANK('Data Entry'!$²$426), "", 'Data Entry'!$²$426)</f>
      </c>
      <c r="DK426">
        <f>IF(ISBLANK('Data Entry'!$³$426), "", 'Data Entry'!$³$426)</f>
      </c>
      <c r="DL426">
        <f>IF(ISBLANK('Data Entry'!$´$426), "", 'Data Entry'!$´$426)</f>
      </c>
      <c r="DM426">
        <f>IF(ISBLANK('Data Entry'!$µ$426), "", 'Data Entry'!$µ$426)</f>
      </c>
      <c r="DN426">
        <f>IF(ISBLANK('Data Entry'!$¶$426), "", 'Data Entry'!$¶$426)</f>
      </c>
      <c r="DO426">
        <f>IF(ISBLANK('Data Entry'!$·$426), "", 'Data Entry'!$·$426)</f>
      </c>
      <c r="DP426">
        <f>IF(ISBLANK('Data Entry'!$¸$426), "", 'Data Entry'!$¸$426)</f>
      </c>
      <c r="DQ426">
        <f>IF(ISBLANK('Data Entry'!$¹$426), "", 'Data Entry'!$¹$426)</f>
      </c>
      <c r="DR426">
        <f>IF(ISBLANK('Data Entry'!$º$426), "", 'Data Entry'!$º$426)</f>
      </c>
      <c r="DS426">
        <f>IF(ISBLANK('Data Entry'!$»$426), "", 'Data Entry'!$»$426)</f>
      </c>
      <c r="DT426">
        <f>IF(ISBLANK('Data Entry'!$¼$426), "", 'Data Entry'!$¼$426)</f>
      </c>
      <c r="DU426">
        <f>IF(ISBLANK('Data Entry'!$½$426), "", 'Data Entry'!$½$426)</f>
      </c>
      <c r="DV426">
        <f>IF(ISBLANK('Data Entry'!$¾$426), "", 'Data Entry'!$¾$426)</f>
      </c>
      <c r="DW426">
        <f>IF(ISBLANK('Data Entry'!$¿$426), "", 'Data Entry'!$¿$426)</f>
      </c>
      <c r="DX426">
        <f>IF(ISBLANK('Data Entry'!$À$426), "", 'Data Entry'!$À$426)</f>
      </c>
      <c r="DY426">
        <f>IF(ISBLANK('Data Entry'!$Á$426), "", 'Data Entry'!$Á$426)</f>
      </c>
      <c r="DZ426">
        <f>IF(ISBLANK('Data Entry'!$Â$426), "", 'Data Entry'!$Â$426)</f>
      </c>
      <c r="EA426">
        <f>IF(ISBLANK('Data Entry'!$Ã$426), "", 'Data Entry'!$Ã$426)</f>
      </c>
      <c r="EB426">
        <f>IF(ISBLANK('Data Entry'!$Ä$426), "", 'Data Entry'!$Ä$426)</f>
      </c>
      <c r="EC426">
        <f>IF(ISBLANK('Data Entry'!$Å$426), "", 'Data Entry'!$Å$426)</f>
      </c>
      <c r="ED426">
        <f>IF(ISBLANK('Data Entry'!$Æ$426), "", 'Data Entry'!$Æ$426)</f>
      </c>
      <c r="EE426">
        <f>IF(ISBLANK('Data Entry'!$Ç$426), "", 'Data Entry'!$Ç$426)</f>
      </c>
      <c r="EF426">
        <f>IF(ISBLANK('Data Entry'!$È$426), "", 'Data Entry'!$È$426)</f>
      </c>
      <c r="EG426">
        <f>IF(ISBLANK('Data Entry'!$É$426), "", 'Data Entry'!$É$426)</f>
      </c>
      <c r="EH426">
        <f>IF(ISBLANK('Data Entry'!$Ê$426), "", 'Data Entry'!$Ê$426)</f>
      </c>
      <c r="EI426">
        <f>IF(ISBLANK('Data Entry'!$Ë$426), "", 'Data Entry'!$Ë$426)</f>
      </c>
      <c r="EJ426">
        <f>IF(ISBLANK('Data Entry'!$Ì$426), "", 'Data Entry'!$Ì$426)</f>
      </c>
      <c r="EK426">
        <f>IF(ISBLANK('Data Entry'!$Í$426), "", 'Data Entry'!$Í$426)</f>
      </c>
      <c r="EL426">
        <f>IF(ISBLANK('Data Entry'!$Î$426), "", 'Data Entry'!$Î$426)</f>
      </c>
      <c r="EM426">
        <f>IF(ISBLANK('Data Entry'!$Ï$426), "", 'Data Entry'!$Ï$426)</f>
      </c>
      <c r="EN426">
        <f>IF(ISBLANK('Data Entry'!$Ð$426), "", 'Data Entry'!$Ð$426)</f>
      </c>
      <c r="EO426">
        <f>IF(ISBLANK('Data Entry'!$Ñ$426), "", 'Data Entry'!$Ñ$426)</f>
      </c>
      <c r="EP426">
        <f>IF(ISBLANK('Data Entry'!$Ò$426), "", 'Data Entry'!$Ò$426)</f>
      </c>
      <c r="EQ426">
        <f>IF(ISBLANK('Data Entry'!$Ó$426), "", 'Data Entry'!$Ó$426)</f>
      </c>
      <c r="ER426">
        <f>IF(ISBLANK('Data Entry'!$Ô$426), "", 'Data Entry'!$Ô$426)</f>
      </c>
      <c r="ES426">
        <f>IF(ISBLANK('Data Entry'!$Õ$426), "", 'Data Entry'!$Õ$426)</f>
      </c>
      <c r="ET426">
        <f>IF(ISBLANK('Data Entry'!$Ö$426), "", 'Data Entry'!$Ö$426)</f>
      </c>
      <c r="EU426">
        <f>IF(ISBLANK('Data Entry'!$×$426), "", 'Data Entry'!$×$426)</f>
      </c>
      <c r="EV426">
        <f>IF(ISBLANK('Data Entry'!$Ø$426), "", 'Data Entry'!$Ø$426)</f>
      </c>
      <c r="EW426">
        <f>IF(ISBLANK('Data Entry'!$Ù$426), "", 'Data Entry'!$Ù$426)</f>
      </c>
      <c r="EX426">
        <f>IF(ISBLANK('Data Entry'!$Ú$426), "", 'Data Entry'!$Ú$426)</f>
      </c>
      <c r="EY426">
        <f>IF(ISBLANK('Data Entry'!$Û$426), "", 'Data Entry'!$Û$426)</f>
      </c>
      <c r="EZ426">
        <f>IF(ISBLANK('Data Entry'!$Ü$426), "", 'Data Entry'!$Ü$426)</f>
      </c>
      <c r="FA426">
        <f>IF(ISBLANK('Data Entry'!$Ý$426), "", 'Data Entry'!$Ý$426)</f>
      </c>
      <c r="FB426">
        <f>IF(ISBLANK('Data Entry'!$Þ$426), "", 'Data Entry'!$Þ$426)</f>
      </c>
      <c r="FC426">
        <f>IF(ISBLANK('Data Entry'!$ß$426), "", 'Data Entry'!$ß$426)</f>
      </c>
      <c r="FD426">
        <f>IF(ISBLANK('Data Entry'!$à$426), "", 'Data Entry'!$à$426)</f>
      </c>
      <c r="FE426">
        <f>IF(ISBLANK('Data Entry'!$á$426), "", 'Data Entry'!$á$426)</f>
      </c>
      <c r="FF426">
        <f>IF(ISBLANK('Data Entry'!$â$426), "", 'Data Entry'!$â$426)</f>
      </c>
      <c r="FG426">
        <f>IF(ISBLANK('Data Entry'!$ã$426), "", 'Data Entry'!$ã$426)</f>
      </c>
      <c r="FH426">
        <f>IF(ISBLANK('Data Entry'!$ä$426), "", 'Data Entry'!$ä$426)</f>
      </c>
      <c r="FI426">
        <f>IF(ISBLANK('Data Entry'!$å$426), "", 'Data Entry'!$å$426)</f>
      </c>
      <c r="FJ426">
        <f>IF(ISBLANK('Data Entry'!$æ$426), "", 'Data Entry'!$æ$426)</f>
      </c>
      <c r="FK426">
        <f>IF(ISBLANK('Data Entry'!$ç$426), "", 'Data Entry'!$ç$426)</f>
      </c>
      <c r="FL426">
        <f>IF(ISBLANK('Data Entry'!$è$426), "", 'Data Entry'!$è$426)</f>
      </c>
      <c r="FM426">
        <f>IF(ISBLANK('Data Entry'!$é$426), "", 'Data Entry'!$é$426)</f>
      </c>
      <c r="FN426">
        <f>IF(ISBLANK('Data Entry'!$ê$426), "", 'Data Entry'!$ê$426)</f>
      </c>
      <c r="FO426">
        <f>IF(ISBLANK('Data Entry'!$ë$426), "", 'Data Entry'!$ë$426)</f>
      </c>
      <c r="FP426">
        <f>IF(ISBLANK('Data Entry'!$ì$426), "", 'Data Entry'!$ì$426)</f>
      </c>
      <c r="FQ426">
        <f>IF(ISBLANK('Data Entry'!$í$426), "", 'Data Entry'!$í$426)</f>
      </c>
      <c r="FR426">
        <f>IF(ISBLANK('Data Entry'!$î$426), "", 'Data Entry'!$î$426)</f>
      </c>
      <c r="FS426">
        <f>IF(ISBLANK('Data Entry'!$ï$426), "", 'Data Entry'!$ï$426)</f>
      </c>
      <c r="FT426">
        <f>IF(ISBLANK('Data Entry'!$ð$426), "", 'Data Entry'!$ð$426)</f>
      </c>
      <c r="FU426">
        <f>IF(ISBLANK('Data Entry'!$ñ$426), "", 'Data Entry'!$ñ$426)</f>
      </c>
      <c r="FV426">
        <f>IF(ISBLANK('Data Entry'!$ò$426), "", 'Data Entry'!$ò$426)</f>
      </c>
      <c r="FW426">
        <f>IF(ISBLANK('Data Entry'!$ó$426), "", 'Data Entry'!$ó$426)</f>
      </c>
      <c r="FX426">
        <f>IF(ISBLANK('Data Entry'!$ô$426), "", 'Data Entry'!$ô$426)</f>
      </c>
      <c r="FY426">
        <f>IF(ISBLANK('Data Entry'!$õ$426), "", 'Data Entry'!$õ$426)</f>
      </c>
      <c r="FZ426">
        <f>IF(ISBLANK('Data Entry'!$ö$426), "", 'Data Entry'!$ö$426)</f>
      </c>
      <c r="GA426">
        <f>IF(ISBLANK('Data Entry'!$÷$426), "", 'Data Entry'!$÷$426)</f>
      </c>
      <c r="GB426">
        <f>IF(ISBLANK('Data Entry'!$ø$426), "", 'Data Entry'!$ø$426)</f>
      </c>
      <c r="GC426">
        <f>IF(ISBLANK('Data Entry'!$ù$426), "", 'Data Entry'!$ù$426)</f>
      </c>
      <c r="GD426">
        <f>IF(ISBLANK('Data Entry'!$ú$426), "", 'Data Entry'!$ú$426)</f>
      </c>
      <c r="GE426">
        <f>IF(ISBLANK('Data Entry'!$û$426), "", 'Data Entry'!$û$426)</f>
      </c>
      <c r="GF426">
        <f>IF(ISBLANK('Data Entry'!$ü$426), "", 'Data Entry'!$ü$426)</f>
      </c>
      <c r="GG426">
        <f>IF(ISBLANK('Data Entry'!$ý$426), "", 'Data Entry'!$ý$426)</f>
      </c>
      <c r="GH426">
        <f>IF(ISBLANK('Data Entry'!$þ$426), "", 'Data Entry'!$þ$426)</f>
      </c>
      <c r="GI426">
        <f>IF(ISBLANK('Data Entry'!$ÿ$426), "", 'Data Entry'!$ÿ$426)</f>
      </c>
      <c r="GJ426">
        <f>IF(ISBLANK('Data Entry'!$Ā$426), "", 'Data Entry'!$Ā$426)</f>
      </c>
      <c r="GK426">
        <f>IF(ISBLANK('Data Entry'!$ā$426), "", 'Data Entry'!$ā$426)</f>
      </c>
      <c r="GL426">
        <f>IF(ISBLANK('Data Entry'!$Ă$426), "", 'Data Entry'!$Ă$426)</f>
      </c>
      <c r="GM426">
        <f>IF(ISBLANK('Data Entry'!$ă$426), "", 'Data Entry'!$ă$426)</f>
      </c>
      <c r="GN426">
        <f>IF(ISBLANK('Data Entry'!$Ą$426), "", 'Data Entry'!$Ą$426)</f>
      </c>
      <c r="GO426">
        <f>IF(ISBLANK('Data Entry'!$ą$426), "", 'Data Entry'!$ą$426)</f>
      </c>
      <c r="GP426">
        <f>IF(ISBLANK('Data Entry'!$Ć$426), "", 'Data Entry'!$Ć$426)</f>
      </c>
      <c r="GQ426">
        <f>IF(ISBLANK('Data Entry'!$ć$426), "", 'Data Entry'!$ć$426)</f>
      </c>
      <c r="GR426">
        <f>IF(ISBLANK('Data Entry'!$Ĉ$426), "", 'Data Entry'!$Ĉ$426)</f>
      </c>
      <c r="GS426">
        <f>IF(ISBLANK('Data Entry'!$ĉ$426), "", 'Data Entry'!$ĉ$426)</f>
      </c>
      <c r="GT426">
        <f>IF(ISBLANK('Data Entry'!$Ċ$426), "", 'Data Entry'!$Ċ$426)</f>
      </c>
      <c r="GU426">
        <f>IF(ISBLANK('Data Entry'!$ċ$426), "", 'Data Entry'!$ċ$426)</f>
      </c>
      <c r="GV426">
        <f>IF(ISBLANK('Data Entry'!$Č$426), "", 'Data Entry'!$Č$426)</f>
      </c>
      <c r="GW426">
        <f>IF(ISBLANK('Data Entry'!$č$426), "", 'Data Entry'!$č$426)</f>
      </c>
      <c r="GX426">
        <f>IF(ISBLANK('Data Entry'!$Ď$426), "", 'Data Entry'!$Ď$426)</f>
      </c>
      <c r="GY426">
        <f>IF(ISBLANK('Data Entry'!$ď$426), "", 'Data Entry'!$ď$426)</f>
      </c>
      <c r="GZ426">
        <f>IF(ISBLANK('Data Entry'!$Đ$426), "", 'Data Entry'!$Đ$426)</f>
      </c>
      <c r="HA426">
        <f>IF(ISBLANK('Data Entry'!$đ$426), "", 'Data Entry'!$đ$426)</f>
      </c>
      <c r="HB426">
        <f>IF(ISBLANK('Data Entry'!$Ē$426), "", 'Data Entry'!$Ē$426)</f>
      </c>
      <c r="HC426">
        <f>IF(ISBLANK('Data Entry'!$ē$426), "", 'Data Entry'!$ē$426)</f>
      </c>
      <c r="HD426">
        <f>IF(ISBLANK('Data Entry'!$Ĕ$426), "", 'Data Entry'!$Ĕ$426)</f>
      </c>
      <c r="HE426">
        <f>IF(ISBLANK('Data Entry'!$ĕ$426), "", 'Data Entry'!$ĕ$426)</f>
      </c>
      <c r="HF426">
        <f>IF(ISBLANK('Data Entry'!$Ė$426), "", 'Data Entry'!$Ė$426)</f>
      </c>
      <c r="HG426">
        <f>IF(ISBLANK('Data Entry'!$ė$426), "", 'Data Entry'!$ė$426)</f>
      </c>
      <c r="HH426">
        <f>IF(ISBLANK('Data Entry'!$Ę$426), "", 'Data Entry'!$Ę$426)</f>
      </c>
      <c r="HI426">
        <f>IF(ISBLANK('Data Entry'!$ę$426), "", 'Data Entry'!$ę$426)</f>
      </c>
      <c r="HJ426">
        <f>IF(ISBLANK('Data Entry'!$Ě$426), "", 'Data Entry'!$Ě$426)</f>
      </c>
      <c r="HK426">
        <f>IF(ISBLANK('Data Entry'!$ě$426), "", 'Data Entry'!$ě$426)</f>
      </c>
      <c r="HL426">
        <f>IF(ISBLANK('Data Entry'!$Ĝ$426), "", 'Data Entry'!$Ĝ$426)</f>
      </c>
      <c r="HM426">
        <f>IF(ISBLANK('Data Entry'!$ĝ$426), "", 'Data Entry'!$ĝ$426)</f>
      </c>
      <c r="HN426">
        <f>IF(ISBLANK('Data Entry'!$Ğ$426), "", 'Data Entry'!$Ğ$426)</f>
      </c>
      <c r="HO426">
        <f>IF(ISBLANK('Data Entry'!$ğ$426), "", 'Data Entry'!$ğ$426)</f>
      </c>
      <c r="HP426">
        <f>IF(ISBLANK('Data Entry'!$Ġ$426), "", 'Data Entry'!$Ġ$426)</f>
      </c>
      <c r="HQ426">
        <f>IF(ISBLANK('Data Entry'!$ġ$426), "", 'Data Entry'!$ġ$426)</f>
      </c>
      <c r="HR426">
        <f>IF(ISBLANK('Data Entry'!$Ģ$426), "", 'Data Entry'!$Ģ$426)</f>
      </c>
      <c r="HS426">
        <f>IF(ISBLANK('Data Entry'!$ģ$426), "", 'Data Entry'!$ģ$426)</f>
      </c>
      <c r="HT426">
        <f>IF(ISBLANK('Data Entry'!$Ĥ$426), "", 'Data Entry'!$Ĥ$426)</f>
      </c>
      <c r="HU426">
        <f>IF(ISBLANK('Data Entry'!$ĥ$426), "", 'Data Entry'!$ĥ$426)</f>
      </c>
      <c r="HV426">
        <f>IF(ISBLANK('Data Entry'!$Ħ$426), "", 'Data Entry'!$Ħ$426)</f>
      </c>
      <c r="HW426">
        <f>IF(ISBLANK('Data Entry'!$ħ$426), "", 'Data Entry'!$ħ$426)</f>
      </c>
      <c r="HX426">
        <f>IF(ISBLANK('Data Entry'!$Ĩ$426), "", 'Data Entry'!$Ĩ$426)</f>
      </c>
      <c r="HY426">
        <f>IF(ISBLANK('Data Entry'!$ĩ$426), "", 'Data Entry'!$ĩ$426)</f>
      </c>
      <c r="HZ426">
        <f>IF(ISBLANK('Data Entry'!$Ī$426), "", 'Data Entry'!$Ī$426)</f>
      </c>
      <c r="IA426">
        <f>IF(ISBLANK('Data Entry'!$ī$426), "", 'Data Entry'!$ī$426)</f>
      </c>
      <c r="IB426">
        <f>IF(ISBLANK('Data Entry'!$Ĭ$426), "", 'Data Entry'!$Ĭ$426)</f>
      </c>
      <c r="IC426">
        <f>IF(ISBLANK('Data Entry'!$ĭ$426), "", 'Data Entry'!$ĭ$426)</f>
      </c>
      <c r="ID426">
        <f>IF(ISBLANK('Data Entry'!$Į$426), "", 'Data Entry'!$Į$426)</f>
      </c>
      <c r="IE426">
        <f>IF(ISBLANK('Data Entry'!$į$426), "", 'Data Entry'!$į$426)</f>
      </c>
      <c r="IF426">
        <f>IF(ISBLANK('Data Entry'!$İ$426), "", 'Data Entry'!$İ$426)</f>
      </c>
      <c r="IG426">
        <f>IF(ISBLANK('Data Entry'!$ı$426), "", 'Data Entry'!$ı$426)</f>
      </c>
      <c r="IH426">
        <f>IF(ISBLANK('Data Entry'!$Ĳ$426), "", 'Data Entry'!$Ĳ$426)</f>
      </c>
      <c r="II426">
        <f>IF(ISBLANK('Data Entry'!$ĳ$426), "", 'Data Entry'!$ĳ$426)</f>
      </c>
      <c r="IJ426">
        <f>IF(ISBLANK('Data Entry'!$Ĵ$426), "", 'Data Entry'!$Ĵ$426)</f>
      </c>
      <c r="IK426">
        <f>IF(ISBLANK('Data Entry'!$ĵ$426), "", 'Data Entry'!$ĵ$426)</f>
      </c>
      <c r="IL426">
        <f>IF(ISBLANK('Data Entry'!$Ķ$426), "", 'Data Entry'!$Ķ$426)</f>
      </c>
      <c r="IM426">
        <f>IF(ISBLANK('Data Entry'!$ķ$426), "", 'Data Entry'!$ķ$426)</f>
      </c>
      <c r="IN426">
        <f>IF(ISBLANK('Data Entry'!$ĸ$426), "", 'Data Entry'!$ĸ$426)</f>
      </c>
      <c r="IO426">
        <f>IF(ISBLANK('Data Entry'!$Ĺ$426), "", 'Data Entry'!$Ĺ$426)</f>
      </c>
      <c r="IP426">
        <f>IF(ISBLANK('Data Entry'!$ĺ$426), "", 'Data Entry'!$ĺ$426)</f>
      </c>
      <c r="IQ426">
        <f>IF(ISBLANK('Data Entry'!$Ļ$426), "", 'Data Entry'!$Ļ$426)</f>
      </c>
      <c r="IR426">
        <f>IF(ISBLANK('Data Entry'!$ļ$426), "", 'Data Entry'!$ļ$426)</f>
      </c>
      <c r="IS426">
        <f>IF(ISBLANK('Data Entry'!$Ľ$426), "", 'Data Entry'!$Ľ$426)</f>
      </c>
      <c r="IT426">
        <f>IF(ISBLANK('Data Entry'!$ľ$426), "", 'Data Entry'!$ľ$426)</f>
      </c>
    </row>
    <row r="427" spans="1:254" x14ac:dyDescent="0.25">
      <c r="A427">
        <f>IF(ISBLANK('Data Entry'!$A$427), "", 'Data Entry'!$A$427)</f>
      </c>
      <c r="B427">
        <f>IF(ISBLANK('Data Entry'!$B$427), "", 'Data Entry'!$B$427)</f>
      </c>
      <c r="C427">
        <f>IF(ISBLANK('Data Entry'!$C$427), "", 'Data Entry'!$C$427)</f>
      </c>
      <c r="D427">
        <f>IF(ISBLANK('Data Entry'!$D$427), "", 'Data Entry'!$D$427)</f>
      </c>
      <c r="E427">
        <f>IF(ISBLANK('Data Entry'!$E$427), "", 'Data Entry'!$E$427)</f>
      </c>
      <c r="F427">
        <f>IF(ISBLANK('Data Entry'!$F$427), "", 'Data Entry'!$F$427)</f>
      </c>
      <c r="G427">
        <f>IF(ISBLANK('Data Entry'!$G$427), "", 'Data Entry'!$G$427)</f>
      </c>
      <c r="H427">
        <f>IF(ISBLANK('Data Entry'!$H$427), "", 'Data Entry'!$H$427)</f>
      </c>
      <c r="I427">
        <f>IF(ISBLANK('Data Entry'!$I$427), "", 'Data Entry'!$I$427)</f>
      </c>
      <c r="J427">
        <f>IF(ISBLANK('Data Entry'!$J$427), "", 'Data Entry'!$J$427)</f>
      </c>
      <c r="K427">
        <f>IF(ISBLANK('Data Entry'!$K$427), "", 'Data Entry'!$K$427)</f>
      </c>
      <c r="L427">
        <f>IF(ISBLANK('Data Entry'!$L$427), "", 'Data Entry'!$L$427)</f>
      </c>
      <c r="M427">
        <f>IF(ISBLANK('Data Entry'!$M$427), "", 'Data Entry'!$M$427)</f>
      </c>
      <c r="N427">
        <f>IF(ISBLANK('Data Entry'!$N$427), "", 'Data Entry'!$N$427)</f>
      </c>
      <c r="O427">
        <f>IF(ISBLANK('Data Entry'!$O$427), "", 'Data Entry'!$O$427)</f>
      </c>
      <c r="P427">
        <f>IF(ISBLANK('Data Entry'!$P$427), "", 'Data Entry'!$P$427)</f>
      </c>
      <c r="Q427">
        <f>IF(ISBLANK('Data Entry'!$Q$427), "", 'Data Entry'!$Q$427)</f>
      </c>
      <c r="R427">
        <f>IF(ISBLANK('Data Entry'!$R$427), "", 'Data Entry'!$R$427)</f>
      </c>
      <c r="S427">
        <f>IF(ISBLANK('Data Entry'!$S$427), "", 'Data Entry'!$S$427)</f>
      </c>
      <c r="T427">
        <f>IF(ISBLANK('Data Entry'!$T$427), "", 'Data Entry'!$T$427)</f>
      </c>
      <c r="U427">
        <f>IF(ISBLANK('Data Entry'!$U$427), "", 'Data Entry'!$U$427)</f>
      </c>
      <c r="V427">
        <f>IF(ISBLANK('Data Entry'!$V$427), "", 'Data Entry'!$V$427)</f>
      </c>
      <c r="W427">
        <f>IF(ISBLANK('Data Entry'!$W$427), "", 'Data Entry'!$W$427)</f>
      </c>
      <c r="X427">
        <f>IF(ISBLANK('Data Entry'!$X$427), "", 'Data Entry'!$X$427)</f>
      </c>
      <c r="Y427">
        <f>IF(ISBLANK('Data Entry'!$Y$427), "", 'Data Entry'!$Y$427)</f>
      </c>
      <c r="Z427">
        <f>IF(ISBLANK('Data Entry'!$Z$427), "", 'Data Entry'!$Z$427)</f>
      </c>
      <c r="AA427">
        <f>IF(ISBLANK('Data Entry'!$[$427), "", 'Data Entry'!$[$427)</f>
      </c>
      <c r="AB427">
        <f>IF(ISBLANK('Data Entry'!$\$427), "", 'Data Entry'!$\$427)</f>
      </c>
      <c r="AC427">
        <f>IF(ISBLANK('Data Entry'!$]$427), "", 'Data Entry'!$]$427)</f>
      </c>
      <c r="AD427">
        <f>IF(ISBLANK('Data Entry'!$^$427), "", 'Data Entry'!$^$427)</f>
      </c>
      <c r="AE427">
        <f>IF(ISBLANK('Data Entry'!$_$427), "", 'Data Entry'!$_$427)</f>
      </c>
      <c r="AF427">
        <f>IF(ISBLANK('Data Entry'!$`$427), "", 'Data Entry'!$`$427)</f>
      </c>
      <c r="AG427">
        <f>IF(ISBLANK('Data Entry'!$a$427), "", 'Data Entry'!$a$427)</f>
      </c>
      <c r="AH427">
        <f>IF(ISBLANK('Data Entry'!$b$427), "", 'Data Entry'!$b$427)</f>
      </c>
      <c r="AI427">
        <f>IF(ISBLANK('Data Entry'!$c$427), "", 'Data Entry'!$c$427)</f>
      </c>
      <c r="AJ427">
        <f>IF(ISBLANK('Data Entry'!$d$427), "", 'Data Entry'!$d$427)</f>
      </c>
      <c r="AK427">
        <f>IF(ISBLANK('Data Entry'!$e$427), "", 'Data Entry'!$e$427)</f>
      </c>
      <c r="AL427">
        <f>IF(ISBLANK('Data Entry'!$f$427), "", 'Data Entry'!$f$427)</f>
      </c>
      <c r="AM427">
        <f>IF(ISBLANK('Data Entry'!$g$427), "", 'Data Entry'!$g$427)</f>
      </c>
      <c r="AN427">
        <f>IF(ISBLANK('Data Entry'!$h$427), "", 'Data Entry'!$h$427)</f>
      </c>
      <c r="AO427">
        <f>IF(ISBLANK('Data Entry'!$i$427), "", 'Data Entry'!$i$427)</f>
      </c>
      <c r="AP427">
        <f>IF(ISBLANK('Data Entry'!$j$427), "", 'Data Entry'!$j$427)</f>
      </c>
      <c r="AQ427">
        <f>IF(ISBLANK('Data Entry'!$k$427), "", 'Data Entry'!$k$427)</f>
      </c>
      <c r="AR427">
        <f>IF(ISBLANK('Data Entry'!$l$427), "", 'Data Entry'!$l$427)</f>
      </c>
      <c r="AS427">
        <f>IF(ISBLANK('Data Entry'!$m$427), "", 'Data Entry'!$m$427)</f>
      </c>
      <c r="AT427">
        <f>IF(ISBLANK('Data Entry'!$n$427), "", 'Data Entry'!$n$427)</f>
      </c>
      <c r="AU427">
        <f>IF(ISBLANK('Data Entry'!$o$427), "", 'Data Entry'!$o$427)</f>
      </c>
      <c r="AV427">
        <f>IF(ISBLANK('Data Entry'!$p$427), "", 'Data Entry'!$p$427)</f>
      </c>
      <c r="AW427">
        <f>IF(ISBLANK('Data Entry'!$q$427), "", 'Data Entry'!$q$427)</f>
      </c>
      <c r="AX427">
        <f>IF(ISBLANK('Data Entry'!$r$427), "", 'Data Entry'!$r$427)</f>
      </c>
      <c r="AY427">
        <f>IF(ISBLANK('Data Entry'!$s$427), "", 'Data Entry'!$s$427)</f>
      </c>
      <c r="AZ427">
        <f>IF(ISBLANK('Data Entry'!$t$427), "", 'Data Entry'!$t$427)</f>
      </c>
      <c r="BA427">
        <f>IF(ISBLANK('Data Entry'!$u$427), "", 'Data Entry'!$u$427)</f>
      </c>
      <c r="BB427">
        <f>IF(ISBLANK('Data Entry'!$v$427), "", 'Data Entry'!$v$427)</f>
      </c>
      <c r="BC427">
        <f>IF(ISBLANK('Data Entry'!$w$427), "", 'Data Entry'!$w$427)</f>
      </c>
      <c r="BD427">
        <f>IF(ISBLANK('Data Entry'!$x$427), "", 'Data Entry'!$x$427)</f>
      </c>
      <c r="BE427">
        <f>IF(ISBLANK('Data Entry'!$y$427), "", 'Data Entry'!$y$427)</f>
      </c>
      <c r="BF427">
        <f>IF(ISBLANK('Data Entry'!$z$427), "", 'Data Entry'!$z$427)</f>
      </c>
      <c r="BG427">
        <f>IF(ISBLANK('Data Entry'!${$427), "", 'Data Entry'!${$427)</f>
      </c>
      <c r="BH427">
        <f>IF(ISBLANK('Data Entry'!$|$427), "", 'Data Entry'!$|$427)</f>
      </c>
      <c r="BI427">
        <f>IF(ISBLANK('Data Entry'!$}$427), "", 'Data Entry'!$}$427)</f>
      </c>
      <c r="BJ427">
        <f>IF(ISBLANK('Data Entry'!$~$427), "", 'Data Entry'!$~$427)</f>
      </c>
      <c r="BK427">
        <f>IF(ISBLANK('Data Entry'!$$427), "", 'Data Entry'!$$427)</f>
      </c>
      <c r="BL427">
        <f>IF(ISBLANK('Data Entry'!$$427), "", 'Data Entry'!$$427)</f>
      </c>
      <c r="BM427">
        <f>IF(ISBLANK('Data Entry'!$$427), "", 'Data Entry'!$$427)</f>
      </c>
      <c r="BN427">
        <f>IF(ISBLANK('Data Entry'!$$427), "", 'Data Entry'!$$427)</f>
      </c>
      <c r="BO427">
        <f>IF(ISBLANK('Data Entry'!$$427), "", 'Data Entry'!$$427)</f>
      </c>
      <c r="BP427">
        <f>IF(ISBLANK('Data Entry'!$$427), "", 'Data Entry'!$$427)</f>
      </c>
      <c r="BQ427">
        <f>IF(ISBLANK('Data Entry'!$$427), "", 'Data Entry'!$$427)</f>
      </c>
      <c r="BR427">
        <f>IF(ISBLANK('Data Entry'!$$427), "", 'Data Entry'!$$427)</f>
      </c>
      <c r="BS427">
        <f>IF(ISBLANK('Data Entry'!$$427), "", 'Data Entry'!$$427)</f>
      </c>
      <c r="BT427">
        <f>IF(ISBLANK('Data Entry'!$$427), "", 'Data Entry'!$$427)</f>
      </c>
      <c r="BU427">
        <f>IF(ISBLANK('Data Entry'!$$427), "", 'Data Entry'!$$427)</f>
      </c>
      <c r="BV427">
        <f>IF(ISBLANK('Data Entry'!$$427), "", 'Data Entry'!$$427)</f>
      </c>
      <c r="BW427">
        <f>IF(ISBLANK('Data Entry'!$$427), "", 'Data Entry'!$$427)</f>
      </c>
      <c r="BX427">
        <f>IF(ISBLANK('Data Entry'!$$427), "", 'Data Entry'!$$427)</f>
      </c>
      <c r="BY427">
        <f>IF(ISBLANK('Data Entry'!$$427), "", 'Data Entry'!$$427)</f>
      </c>
      <c r="BZ427">
        <f>IF(ISBLANK('Data Entry'!$$427), "", 'Data Entry'!$$427)</f>
      </c>
      <c r="CA427">
        <f>IF(ISBLANK('Data Entry'!$$427), "", 'Data Entry'!$$427)</f>
      </c>
      <c r="CB427">
        <f>IF(ISBLANK('Data Entry'!$$427), "", 'Data Entry'!$$427)</f>
      </c>
      <c r="CC427">
        <f>IF(ISBLANK('Data Entry'!$$427), "", 'Data Entry'!$$427)</f>
      </c>
      <c r="CD427">
        <f>IF(ISBLANK('Data Entry'!$$427), "", 'Data Entry'!$$427)</f>
      </c>
      <c r="CE427">
        <f>IF(ISBLANK('Data Entry'!$$427), "", 'Data Entry'!$$427)</f>
      </c>
      <c r="CF427">
        <f>IF(ISBLANK('Data Entry'!$$427), "", 'Data Entry'!$$427)</f>
      </c>
      <c r="CG427">
        <f>IF(ISBLANK('Data Entry'!$$427), "", 'Data Entry'!$$427)</f>
      </c>
      <c r="CH427">
        <f>IF(ISBLANK('Data Entry'!$$427), "", 'Data Entry'!$$427)</f>
      </c>
      <c r="CI427">
        <f>IF(ISBLANK('Data Entry'!$$427), "", 'Data Entry'!$$427)</f>
      </c>
      <c r="CJ427">
        <f>IF(ISBLANK('Data Entry'!$$427), "", 'Data Entry'!$$427)</f>
      </c>
      <c r="CK427">
        <f>IF(ISBLANK('Data Entry'!$$427), "", 'Data Entry'!$$427)</f>
      </c>
      <c r="CL427">
        <f>IF(ISBLANK('Data Entry'!$$427), "", 'Data Entry'!$$427)</f>
      </c>
      <c r="CM427">
        <f>IF(ISBLANK('Data Entry'!$$427), "", 'Data Entry'!$$427)</f>
      </c>
      <c r="CN427">
        <f>IF(ISBLANK('Data Entry'!$$427), "", 'Data Entry'!$$427)</f>
      </c>
      <c r="CO427">
        <f>IF(ISBLANK('Data Entry'!$$427), "", 'Data Entry'!$$427)</f>
      </c>
      <c r="CP427">
        <f>IF(ISBLANK('Data Entry'!$$427), "", 'Data Entry'!$$427)</f>
      </c>
      <c r="CQ427">
        <f>IF(ISBLANK('Data Entry'!$$427), "", 'Data Entry'!$$427)</f>
      </c>
      <c r="CR427">
        <f>IF(ISBLANK('Data Entry'!$ $427), "", 'Data Entry'!$ $427)</f>
      </c>
      <c r="CS427">
        <f>IF(ISBLANK('Data Entry'!$¡$427), "", 'Data Entry'!$¡$427)</f>
      </c>
      <c r="CT427">
        <f>IF(ISBLANK('Data Entry'!$¢$427), "", 'Data Entry'!$¢$427)</f>
      </c>
      <c r="CU427">
        <f>IF(ISBLANK('Data Entry'!$£$427), "", 'Data Entry'!$£$427)</f>
      </c>
      <c r="CV427">
        <f>IF(ISBLANK('Data Entry'!$¤$427), "", 'Data Entry'!$¤$427)</f>
      </c>
      <c r="CW427">
        <f>IF(ISBLANK('Data Entry'!$¥$427), "", 'Data Entry'!$¥$427)</f>
      </c>
      <c r="CX427">
        <f>IF(ISBLANK('Data Entry'!$¦$427), "", 'Data Entry'!$¦$427)</f>
      </c>
      <c r="CY427">
        <f>IF(ISBLANK('Data Entry'!$§$427), "", 'Data Entry'!$§$427)</f>
      </c>
      <c r="CZ427">
        <f>IF(ISBLANK('Data Entry'!$¨$427), "", 'Data Entry'!$¨$427)</f>
      </c>
      <c r="DA427">
        <f>IF(ISBLANK('Data Entry'!$©$427), "", 'Data Entry'!$©$427)</f>
      </c>
      <c r="DB427">
        <f>IF(ISBLANK('Data Entry'!$ª$427), "", 'Data Entry'!$ª$427)</f>
      </c>
      <c r="DC427">
        <f>IF(ISBLANK('Data Entry'!$«$427), "", 'Data Entry'!$«$427)</f>
      </c>
      <c r="DD427">
        <f>IF(ISBLANK('Data Entry'!$¬$427), "", 'Data Entry'!$¬$427)</f>
      </c>
      <c r="DE427">
        <f>IF(ISBLANK('Data Entry'!$­$427), "", 'Data Entry'!$­$427)</f>
      </c>
      <c r="DF427">
        <f>IF(ISBLANK('Data Entry'!$®$427), "", 'Data Entry'!$®$427)</f>
      </c>
      <c r="DG427">
        <f>IF(ISBLANK('Data Entry'!$¯$427), "", 'Data Entry'!$¯$427)</f>
      </c>
      <c r="DH427">
        <f>IF(ISBLANK('Data Entry'!$°$427), "", 'Data Entry'!$°$427)</f>
      </c>
      <c r="DI427">
        <f>IF(ISBLANK('Data Entry'!$±$427), "", 'Data Entry'!$±$427)</f>
      </c>
      <c r="DJ427">
        <f>IF(ISBLANK('Data Entry'!$²$427), "", 'Data Entry'!$²$427)</f>
      </c>
      <c r="DK427">
        <f>IF(ISBLANK('Data Entry'!$³$427), "", 'Data Entry'!$³$427)</f>
      </c>
      <c r="DL427">
        <f>IF(ISBLANK('Data Entry'!$´$427), "", 'Data Entry'!$´$427)</f>
      </c>
      <c r="DM427">
        <f>IF(ISBLANK('Data Entry'!$µ$427), "", 'Data Entry'!$µ$427)</f>
      </c>
      <c r="DN427">
        <f>IF(ISBLANK('Data Entry'!$¶$427), "", 'Data Entry'!$¶$427)</f>
      </c>
      <c r="DO427">
        <f>IF(ISBLANK('Data Entry'!$·$427), "", 'Data Entry'!$·$427)</f>
      </c>
      <c r="DP427">
        <f>IF(ISBLANK('Data Entry'!$¸$427), "", 'Data Entry'!$¸$427)</f>
      </c>
      <c r="DQ427">
        <f>IF(ISBLANK('Data Entry'!$¹$427), "", 'Data Entry'!$¹$427)</f>
      </c>
      <c r="DR427">
        <f>IF(ISBLANK('Data Entry'!$º$427), "", 'Data Entry'!$º$427)</f>
      </c>
      <c r="DS427">
        <f>IF(ISBLANK('Data Entry'!$»$427), "", 'Data Entry'!$»$427)</f>
      </c>
      <c r="DT427">
        <f>IF(ISBLANK('Data Entry'!$¼$427), "", 'Data Entry'!$¼$427)</f>
      </c>
      <c r="DU427">
        <f>IF(ISBLANK('Data Entry'!$½$427), "", 'Data Entry'!$½$427)</f>
      </c>
      <c r="DV427">
        <f>IF(ISBLANK('Data Entry'!$¾$427), "", 'Data Entry'!$¾$427)</f>
      </c>
      <c r="DW427">
        <f>IF(ISBLANK('Data Entry'!$¿$427), "", 'Data Entry'!$¿$427)</f>
      </c>
      <c r="DX427">
        <f>IF(ISBLANK('Data Entry'!$À$427), "", 'Data Entry'!$À$427)</f>
      </c>
      <c r="DY427">
        <f>IF(ISBLANK('Data Entry'!$Á$427), "", 'Data Entry'!$Á$427)</f>
      </c>
      <c r="DZ427">
        <f>IF(ISBLANK('Data Entry'!$Â$427), "", 'Data Entry'!$Â$427)</f>
      </c>
      <c r="EA427">
        <f>IF(ISBLANK('Data Entry'!$Ã$427), "", 'Data Entry'!$Ã$427)</f>
      </c>
      <c r="EB427">
        <f>IF(ISBLANK('Data Entry'!$Ä$427), "", 'Data Entry'!$Ä$427)</f>
      </c>
      <c r="EC427">
        <f>IF(ISBLANK('Data Entry'!$Å$427), "", 'Data Entry'!$Å$427)</f>
      </c>
      <c r="ED427">
        <f>IF(ISBLANK('Data Entry'!$Æ$427), "", 'Data Entry'!$Æ$427)</f>
      </c>
      <c r="EE427">
        <f>IF(ISBLANK('Data Entry'!$Ç$427), "", 'Data Entry'!$Ç$427)</f>
      </c>
      <c r="EF427">
        <f>IF(ISBLANK('Data Entry'!$È$427), "", 'Data Entry'!$È$427)</f>
      </c>
      <c r="EG427">
        <f>IF(ISBLANK('Data Entry'!$É$427), "", 'Data Entry'!$É$427)</f>
      </c>
      <c r="EH427">
        <f>IF(ISBLANK('Data Entry'!$Ê$427), "", 'Data Entry'!$Ê$427)</f>
      </c>
      <c r="EI427">
        <f>IF(ISBLANK('Data Entry'!$Ë$427), "", 'Data Entry'!$Ë$427)</f>
      </c>
      <c r="EJ427">
        <f>IF(ISBLANK('Data Entry'!$Ì$427), "", 'Data Entry'!$Ì$427)</f>
      </c>
      <c r="EK427">
        <f>IF(ISBLANK('Data Entry'!$Í$427), "", 'Data Entry'!$Í$427)</f>
      </c>
      <c r="EL427">
        <f>IF(ISBLANK('Data Entry'!$Î$427), "", 'Data Entry'!$Î$427)</f>
      </c>
      <c r="EM427">
        <f>IF(ISBLANK('Data Entry'!$Ï$427), "", 'Data Entry'!$Ï$427)</f>
      </c>
      <c r="EN427">
        <f>IF(ISBLANK('Data Entry'!$Ð$427), "", 'Data Entry'!$Ð$427)</f>
      </c>
      <c r="EO427">
        <f>IF(ISBLANK('Data Entry'!$Ñ$427), "", 'Data Entry'!$Ñ$427)</f>
      </c>
      <c r="EP427">
        <f>IF(ISBLANK('Data Entry'!$Ò$427), "", 'Data Entry'!$Ò$427)</f>
      </c>
      <c r="EQ427">
        <f>IF(ISBLANK('Data Entry'!$Ó$427), "", 'Data Entry'!$Ó$427)</f>
      </c>
      <c r="ER427">
        <f>IF(ISBLANK('Data Entry'!$Ô$427), "", 'Data Entry'!$Ô$427)</f>
      </c>
      <c r="ES427">
        <f>IF(ISBLANK('Data Entry'!$Õ$427), "", 'Data Entry'!$Õ$427)</f>
      </c>
      <c r="ET427">
        <f>IF(ISBLANK('Data Entry'!$Ö$427), "", 'Data Entry'!$Ö$427)</f>
      </c>
      <c r="EU427">
        <f>IF(ISBLANK('Data Entry'!$×$427), "", 'Data Entry'!$×$427)</f>
      </c>
      <c r="EV427">
        <f>IF(ISBLANK('Data Entry'!$Ø$427), "", 'Data Entry'!$Ø$427)</f>
      </c>
      <c r="EW427">
        <f>IF(ISBLANK('Data Entry'!$Ù$427), "", 'Data Entry'!$Ù$427)</f>
      </c>
      <c r="EX427">
        <f>IF(ISBLANK('Data Entry'!$Ú$427), "", 'Data Entry'!$Ú$427)</f>
      </c>
      <c r="EY427">
        <f>IF(ISBLANK('Data Entry'!$Û$427), "", 'Data Entry'!$Û$427)</f>
      </c>
      <c r="EZ427">
        <f>IF(ISBLANK('Data Entry'!$Ü$427), "", 'Data Entry'!$Ü$427)</f>
      </c>
      <c r="FA427">
        <f>IF(ISBLANK('Data Entry'!$Ý$427), "", 'Data Entry'!$Ý$427)</f>
      </c>
      <c r="FB427">
        <f>IF(ISBLANK('Data Entry'!$Þ$427), "", 'Data Entry'!$Þ$427)</f>
      </c>
      <c r="FC427">
        <f>IF(ISBLANK('Data Entry'!$ß$427), "", 'Data Entry'!$ß$427)</f>
      </c>
      <c r="FD427">
        <f>IF(ISBLANK('Data Entry'!$à$427), "", 'Data Entry'!$à$427)</f>
      </c>
      <c r="FE427">
        <f>IF(ISBLANK('Data Entry'!$á$427), "", 'Data Entry'!$á$427)</f>
      </c>
      <c r="FF427">
        <f>IF(ISBLANK('Data Entry'!$â$427), "", 'Data Entry'!$â$427)</f>
      </c>
      <c r="FG427">
        <f>IF(ISBLANK('Data Entry'!$ã$427), "", 'Data Entry'!$ã$427)</f>
      </c>
      <c r="FH427">
        <f>IF(ISBLANK('Data Entry'!$ä$427), "", 'Data Entry'!$ä$427)</f>
      </c>
      <c r="FI427">
        <f>IF(ISBLANK('Data Entry'!$å$427), "", 'Data Entry'!$å$427)</f>
      </c>
      <c r="FJ427">
        <f>IF(ISBLANK('Data Entry'!$æ$427), "", 'Data Entry'!$æ$427)</f>
      </c>
      <c r="FK427">
        <f>IF(ISBLANK('Data Entry'!$ç$427), "", 'Data Entry'!$ç$427)</f>
      </c>
      <c r="FL427">
        <f>IF(ISBLANK('Data Entry'!$è$427), "", 'Data Entry'!$è$427)</f>
      </c>
      <c r="FM427">
        <f>IF(ISBLANK('Data Entry'!$é$427), "", 'Data Entry'!$é$427)</f>
      </c>
      <c r="FN427">
        <f>IF(ISBLANK('Data Entry'!$ê$427), "", 'Data Entry'!$ê$427)</f>
      </c>
      <c r="FO427">
        <f>IF(ISBLANK('Data Entry'!$ë$427), "", 'Data Entry'!$ë$427)</f>
      </c>
      <c r="FP427">
        <f>IF(ISBLANK('Data Entry'!$ì$427), "", 'Data Entry'!$ì$427)</f>
      </c>
      <c r="FQ427">
        <f>IF(ISBLANK('Data Entry'!$í$427), "", 'Data Entry'!$í$427)</f>
      </c>
      <c r="FR427">
        <f>IF(ISBLANK('Data Entry'!$î$427), "", 'Data Entry'!$î$427)</f>
      </c>
      <c r="FS427">
        <f>IF(ISBLANK('Data Entry'!$ï$427), "", 'Data Entry'!$ï$427)</f>
      </c>
      <c r="FT427">
        <f>IF(ISBLANK('Data Entry'!$ð$427), "", 'Data Entry'!$ð$427)</f>
      </c>
      <c r="FU427">
        <f>IF(ISBLANK('Data Entry'!$ñ$427), "", 'Data Entry'!$ñ$427)</f>
      </c>
      <c r="FV427">
        <f>IF(ISBLANK('Data Entry'!$ò$427), "", 'Data Entry'!$ò$427)</f>
      </c>
      <c r="FW427">
        <f>IF(ISBLANK('Data Entry'!$ó$427), "", 'Data Entry'!$ó$427)</f>
      </c>
      <c r="FX427">
        <f>IF(ISBLANK('Data Entry'!$ô$427), "", 'Data Entry'!$ô$427)</f>
      </c>
      <c r="FY427">
        <f>IF(ISBLANK('Data Entry'!$õ$427), "", 'Data Entry'!$õ$427)</f>
      </c>
      <c r="FZ427">
        <f>IF(ISBLANK('Data Entry'!$ö$427), "", 'Data Entry'!$ö$427)</f>
      </c>
      <c r="GA427">
        <f>IF(ISBLANK('Data Entry'!$÷$427), "", 'Data Entry'!$÷$427)</f>
      </c>
      <c r="GB427">
        <f>IF(ISBLANK('Data Entry'!$ø$427), "", 'Data Entry'!$ø$427)</f>
      </c>
      <c r="GC427">
        <f>IF(ISBLANK('Data Entry'!$ù$427), "", 'Data Entry'!$ù$427)</f>
      </c>
      <c r="GD427">
        <f>IF(ISBLANK('Data Entry'!$ú$427), "", 'Data Entry'!$ú$427)</f>
      </c>
      <c r="GE427">
        <f>IF(ISBLANK('Data Entry'!$û$427), "", 'Data Entry'!$û$427)</f>
      </c>
      <c r="GF427">
        <f>IF(ISBLANK('Data Entry'!$ü$427), "", 'Data Entry'!$ü$427)</f>
      </c>
      <c r="GG427">
        <f>IF(ISBLANK('Data Entry'!$ý$427), "", 'Data Entry'!$ý$427)</f>
      </c>
      <c r="GH427">
        <f>IF(ISBLANK('Data Entry'!$þ$427), "", 'Data Entry'!$þ$427)</f>
      </c>
      <c r="GI427">
        <f>IF(ISBLANK('Data Entry'!$ÿ$427), "", 'Data Entry'!$ÿ$427)</f>
      </c>
      <c r="GJ427">
        <f>IF(ISBLANK('Data Entry'!$Ā$427), "", 'Data Entry'!$Ā$427)</f>
      </c>
      <c r="GK427">
        <f>IF(ISBLANK('Data Entry'!$ā$427), "", 'Data Entry'!$ā$427)</f>
      </c>
      <c r="GL427">
        <f>IF(ISBLANK('Data Entry'!$Ă$427), "", 'Data Entry'!$Ă$427)</f>
      </c>
      <c r="GM427">
        <f>IF(ISBLANK('Data Entry'!$ă$427), "", 'Data Entry'!$ă$427)</f>
      </c>
      <c r="GN427">
        <f>IF(ISBLANK('Data Entry'!$Ą$427), "", 'Data Entry'!$Ą$427)</f>
      </c>
      <c r="GO427">
        <f>IF(ISBLANK('Data Entry'!$ą$427), "", 'Data Entry'!$ą$427)</f>
      </c>
      <c r="GP427">
        <f>IF(ISBLANK('Data Entry'!$Ć$427), "", 'Data Entry'!$Ć$427)</f>
      </c>
      <c r="GQ427">
        <f>IF(ISBLANK('Data Entry'!$ć$427), "", 'Data Entry'!$ć$427)</f>
      </c>
      <c r="GR427">
        <f>IF(ISBLANK('Data Entry'!$Ĉ$427), "", 'Data Entry'!$Ĉ$427)</f>
      </c>
      <c r="GS427">
        <f>IF(ISBLANK('Data Entry'!$ĉ$427), "", 'Data Entry'!$ĉ$427)</f>
      </c>
      <c r="GT427">
        <f>IF(ISBLANK('Data Entry'!$Ċ$427), "", 'Data Entry'!$Ċ$427)</f>
      </c>
      <c r="GU427">
        <f>IF(ISBLANK('Data Entry'!$ċ$427), "", 'Data Entry'!$ċ$427)</f>
      </c>
      <c r="GV427">
        <f>IF(ISBLANK('Data Entry'!$Č$427), "", 'Data Entry'!$Č$427)</f>
      </c>
      <c r="GW427">
        <f>IF(ISBLANK('Data Entry'!$č$427), "", 'Data Entry'!$č$427)</f>
      </c>
      <c r="GX427">
        <f>IF(ISBLANK('Data Entry'!$Ď$427), "", 'Data Entry'!$Ď$427)</f>
      </c>
      <c r="GY427">
        <f>IF(ISBLANK('Data Entry'!$ď$427), "", 'Data Entry'!$ď$427)</f>
      </c>
      <c r="GZ427">
        <f>IF(ISBLANK('Data Entry'!$Đ$427), "", 'Data Entry'!$Đ$427)</f>
      </c>
      <c r="HA427">
        <f>IF(ISBLANK('Data Entry'!$đ$427), "", 'Data Entry'!$đ$427)</f>
      </c>
      <c r="HB427">
        <f>IF(ISBLANK('Data Entry'!$Ē$427), "", 'Data Entry'!$Ē$427)</f>
      </c>
      <c r="HC427">
        <f>IF(ISBLANK('Data Entry'!$ē$427), "", 'Data Entry'!$ē$427)</f>
      </c>
      <c r="HD427">
        <f>IF(ISBLANK('Data Entry'!$Ĕ$427), "", 'Data Entry'!$Ĕ$427)</f>
      </c>
      <c r="HE427">
        <f>IF(ISBLANK('Data Entry'!$ĕ$427), "", 'Data Entry'!$ĕ$427)</f>
      </c>
      <c r="HF427">
        <f>IF(ISBLANK('Data Entry'!$Ė$427), "", 'Data Entry'!$Ė$427)</f>
      </c>
      <c r="HG427">
        <f>IF(ISBLANK('Data Entry'!$ė$427), "", 'Data Entry'!$ė$427)</f>
      </c>
      <c r="HH427">
        <f>IF(ISBLANK('Data Entry'!$Ę$427), "", 'Data Entry'!$Ę$427)</f>
      </c>
      <c r="HI427">
        <f>IF(ISBLANK('Data Entry'!$ę$427), "", 'Data Entry'!$ę$427)</f>
      </c>
      <c r="HJ427">
        <f>IF(ISBLANK('Data Entry'!$Ě$427), "", 'Data Entry'!$Ě$427)</f>
      </c>
      <c r="HK427">
        <f>IF(ISBLANK('Data Entry'!$ě$427), "", 'Data Entry'!$ě$427)</f>
      </c>
      <c r="HL427">
        <f>IF(ISBLANK('Data Entry'!$Ĝ$427), "", 'Data Entry'!$Ĝ$427)</f>
      </c>
      <c r="HM427">
        <f>IF(ISBLANK('Data Entry'!$ĝ$427), "", 'Data Entry'!$ĝ$427)</f>
      </c>
      <c r="HN427">
        <f>IF(ISBLANK('Data Entry'!$Ğ$427), "", 'Data Entry'!$Ğ$427)</f>
      </c>
      <c r="HO427">
        <f>IF(ISBLANK('Data Entry'!$ğ$427), "", 'Data Entry'!$ğ$427)</f>
      </c>
      <c r="HP427">
        <f>IF(ISBLANK('Data Entry'!$Ġ$427), "", 'Data Entry'!$Ġ$427)</f>
      </c>
      <c r="HQ427">
        <f>IF(ISBLANK('Data Entry'!$ġ$427), "", 'Data Entry'!$ġ$427)</f>
      </c>
      <c r="HR427">
        <f>IF(ISBLANK('Data Entry'!$Ģ$427), "", 'Data Entry'!$Ģ$427)</f>
      </c>
      <c r="HS427">
        <f>IF(ISBLANK('Data Entry'!$ģ$427), "", 'Data Entry'!$ģ$427)</f>
      </c>
      <c r="HT427">
        <f>IF(ISBLANK('Data Entry'!$Ĥ$427), "", 'Data Entry'!$Ĥ$427)</f>
      </c>
      <c r="HU427">
        <f>IF(ISBLANK('Data Entry'!$ĥ$427), "", 'Data Entry'!$ĥ$427)</f>
      </c>
      <c r="HV427">
        <f>IF(ISBLANK('Data Entry'!$Ħ$427), "", 'Data Entry'!$Ħ$427)</f>
      </c>
      <c r="HW427">
        <f>IF(ISBLANK('Data Entry'!$ħ$427), "", 'Data Entry'!$ħ$427)</f>
      </c>
      <c r="HX427">
        <f>IF(ISBLANK('Data Entry'!$Ĩ$427), "", 'Data Entry'!$Ĩ$427)</f>
      </c>
      <c r="HY427">
        <f>IF(ISBLANK('Data Entry'!$ĩ$427), "", 'Data Entry'!$ĩ$427)</f>
      </c>
      <c r="HZ427">
        <f>IF(ISBLANK('Data Entry'!$Ī$427), "", 'Data Entry'!$Ī$427)</f>
      </c>
      <c r="IA427">
        <f>IF(ISBLANK('Data Entry'!$ī$427), "", 'Data Entry'!$ī$427)</f>
      </c>
      <c r="IB427">
        <f>IF(ISBLANK('Data Entry'!$Ĭ$427), "", 'Data Entry'!$Ĭ$427)</f>
      </c>
      <c r="IC427">
        <f>IF(ISBLANK('Data Entry'!$ĭ$427), "", 'Data Entry'!$ĭ$427)</f>
      </c>
      <c r="ID427">
        <f>IF(ISBLANK('Data Entry'!$Į$427), "", 'Data Entry'!$Į$427)</f>
      </c>
      <c r="IE427">
        <f>IF(ISBLANK('Data Entry'!$į$427), "", 'Data Entry'!$į$427)</f>
      </c>
      <c r="IF427">
        <f>IF(ISBLANK('Data Entry'!$İ$427), "", 'Data Entry'!$İ$427)</f>
      </c>
      <c r="IG427">
        <f>IF(ISBLANK('Data Entry'!$ı$427), "", 'Data Entry'!$ı$427)</f>
      </c>
      <c r="IH427">
        <f>IF(ISBLANK('Data Entry'!$Ĳ$427), "", 'Data Entry'!$Ĳ$427)</f>
      </c>
      <c r="II427">
        <f>IF(ISBLANK('Data Entry'!$ĳ$427), "", 'Data Entry'!$ĳ$427)</f>
      </c>
      <c r="IJ427">
        <f>IF(ISBLANK('Data Entry'!$Ĵ$427), "", 'Data Entry'!$Ĵ$427)</f>
      </c>
      <c r="IK427">
        <f>IF(ISBLANK('Data Entry'!$ĵ$427), "", 'Data Entry'!$ĵ$427)</f>
      </c>
      <c r="IL427">
        <f>IF(ISBLANK('Data Entry'!$Ķ$427), "", 'Data Entry'!$Ķ$427)</f>
      </c>
      <c r="IM427">
        <f>IF(ISBLANK('Data Entry'!$ķ$427), "", 'Data Entry'!$ķ$427)</f>
      </c>
      <c r="IN427">
        <f>IF(ISBLANK('Data Entry'!$ĸ$427), "", 'Data Entry'!$ĸ$427)</f>
      </c>
      <c r="IO427">
        <f>IF(ISBLANK('Data Entry'!$Ĺ$427), "", 'Data Entry'!$Ĺ$427)</f>
      </c>
      <c r="IP427">
        <f>IF(ISBLANK('Data Entry'!$ĺ$427), "", 'Data Entry'!$ĺ$427)</f>
      </c>
      <c r="IQ427">
        <f>IF(ISBLANK('Data Entry'!$Ļ$427), "", 'Data Entry'!$Ļ$427)</f>
      </c>
      <c r="IR427">
        <f>IF(ISBLANK('Data Entry'!$ļ$427), "", 'Data Entry'!$ļ$427)</f>
      </c>
      <c r="IS427">
        <f>IF(ISBLANK('Data Entry'!$Ľ$427), "", 'Data Entry'!$Ľ$427)</f>
      </c>
      <c r="IT427">
        <f>IF(ISBLANK('Data Entry'!$ľ$427), "", 'Data Entry'!$ľ$427)</f>
      </c>
    </row>
    <row r="428" spans="1:254" x14ac:dyDescent="0.25">
      <c r="A428">
        <f>IF(ISBLANK('Data Entry'!$A$428), "", 'Data Entry'!$A$428)</f>
      </c>
      <c r="B428">
        <f>IF(ISBLANK('Data Entry'!$B$428), "", 'Data Entry'!$B$428)</f>
      </c>
      <c r="C428">
        <f>IF(ISBLANK('Data Entry'!$C$428), "", 'Data Entry'!$C$428)</f>
      </c>
      <c r="D428">
        <f>IF(ISBLANK('Data Entry'!$D$428), "", 'Data Entry'!$D$428)</f>
      </c>
      <c r="E428">
        <f>IF(ISBLANK('Data Entry'!$E$428), "", 'Data Entry'!$E$428)</f>
      </c>
      <c r="F428">
        <f>IF(ISBLANK('Data Entry'!$F$428), "", 'Data Entry'!$F$428)</f>
      </c>
      <c r="G428">
        <f>IF(ISBLANK('Data Entry'!$G$428), "", 'Data Entry'!$G$428)</f>
      </c>
      <c r="H428">
        <f>IF(ISBLANK('Data Entry'!$H$428), "", 'Data Entry'!$H$428)</f>
      </c>
      <c r="I428">
        <f>IF(ISBLANK('Data Entry'!$I$428), "", 'Data Entry'!$I$428)</f>
      </c>
      <c r="J428">
        <f>IF(ISBLANK('Data Entry'!$J$428), "", 'Data Entry'!$J$428)</f>
      </c>
      <c r="K428">
        <f>IF(ISBLANK('Data Entry'!$K$428), "", 'Data Entry'!$K$428)</f>
      </c>
      <c r="L428">
        <f>IF(ISBLANK('Data Entry'!$L$428), "", 'Data Entry'!$L$428)</f>
      </c>
      <c r="M428">
        <f>IF(ISBLANK('Data Entry'!$M$428), "", 'Data Entry'!$M$428)</f>
      </c>
      <c r="N428">
        <f>IF(ISBLANK('Data Entry'!$N$428), "", 'Data Entry'!$N$428)</f>
      </c>
      <c r="O428">
        <f>IF(ISBLANK('Data Entry'!$O$428), "", 'Data Entry'!$O$428)</f>
      </c>
      <c r="P428">
        <f>IF(ISBLANK('Data Entry'!$P$428), "", 'Data Entry'!$P$428)</f>
      </c>
      <c r="Q428">
        <f>IF(ISBLANK('Data Entry'!$Q$428), "", 'Data Entry'!$Q$428)</f>
      </c>
      <c r="R428">
        <f>IF(ISBLANK('Data Entry'!$R$428), "", 'Data Entry'!$R$428)</f>
      </c>
      <c r="S428">
        <f>IF(ISBLANK('Data Entry'!$S$428), "", 'Data Entry'!$S$428)</f>
      </c>
      <c r="T428">
        <f>IF(ISBLANK('Data Entry'!$T$428), "", 'Data Entry'!$T$428)</f>
      </c>
      <c r="U428">
        <f>IF(ISBLANK('Data Entry'!$U$428), "", 'Data Entry'!$U$428)</f>
      </c>
      <c r="V428">
        <f>IF(ISBLANK('Data Entry'!$V$428), "", 'Data Entry'!$V$428)</f>
      </c>
      <c r="W428">
        <f>IF(ISBLANK('Data Entry'!$W$428), "", 'Data Entry'!$W$428)</f>
      </c>
      <c r="X428">
        <f>IF(ISBLANK('Data Entry'!$X$428), "", 'Data Entry'!$X$428)</f>
      </c>
      <c r="Y428">
        <f>IF(ISBLANK('Data Entry'!$Y$428), "", 'Data Entry'!$Y$428)</f>
      </c>
      <c r="Z428">
        <f>IF(ISBLANK('Data Entry'!$Z$428), "", 'Data Entry'!$Z$428)</f>
      </c>
      <c r="AA428">
        <f>IF(ISBLANK('Data Entry'!$[$428), "", 'Data Entry'!$[$428)</f>
      </c>
      <c r="AB428">
        <f>IF(ISBLANK('Data Entry'!$\$428), "", 'Data Entry'!$\$428)</f>
      </c>
      <c r="AC428">
        <f>IF(ISBLANK('Data Entry'!$]$428), "", 'Data Entry'!$]$428)</f>
      </c>
      <c r="AD428">
        <f>IF(ISBLANK('Data Entry'!$^$428), "", 'Data Entry'!$^$428)</f>
      </c>
      <c r="AE428">
        <f>IF(ISBLANK('Data Entry'!$_$428), "", 'Data Entry'!$_$428)</f>
      </c>
      <c r="AF428">
        <f>IF(ISBLANK('Data Entry'!$`$428), "", 'Data Entry'!$`$428)</f>
      </c>
      <c r="AG428">
        <f>IF(ISBLANK('Data Entry'!$a$428), "", 'Data Entry'!$a$428)</f>
      </c>
      <c r="AH428">
        <f>IF(ISBLANK('Data Entry'!$b$428), "", 'Data Entry'!$b$428)</f>
      </c>
      <c r="AI428">
        <f>IF(ISBLANK('Data Entry'!$c$428), "", 'Data Entry'!$c$428)</f>
      </c>
      <c r="AJ428">
        <f>IF(ISBLANK('Data Entry'!$d$428), "", 'Data Entry'!$d$428)</f>
      </c>
      <c r="AK428">
        <f>IF(ISBLANK('Data Entry'!$e$428), "", 'Data Entry'!$e$428)</f>
      </c>
      <c r="AL428">
        <f>IF(ISBLANK('Data Entry'!$f$428), "", 'Data Entry'!$f$428)</f>
      </c>
      <c r="AM428">
        <f>IF(ISBLANK('Data Entry'!$g$428), "", 'Data Entry'!$g$428)</f>
      </c>
      <c r="AN428">
        <f>IF(ISBLANK('Data Entry'!$h$428), "", 'Data Entry'!$h$428)</f>
      </c>
      <c r="AO428">
        <f>IF(ISBLANK('Data Entry'!$i$428), "", 'Data Entry'!$i$428)</f>
      </c>
      <c r="AP428">
        <f>IF(ISBLANK('Data Entry'!$j$428), "", 'Data Entry'!$j$428)</f>
      </c>
      <c r="AQ428">
        <f>IF(ISBLANK('Data Entry'!$k$428), "", 'Data Entry'!$k$428)</f>
      </c>
      <c r="AR428">
        <f>IF(ISBLANK('Data Entry'!$l$428), "", 'Data Entry'!$l$428)</f>
      </c>
      <c r="AS428">
        <f>IF(ISBLANK('Data Entry'!$m$428), "", 'Data Entry'!$m$428)</f>
      </c>
      <c r="AT428">
        <f>IF(ISBLANK('Data Entry'!$n$428), "", 'Data Entry'!$n$428)</f>
      </c>
      <c r="AU428">
        <f>IF(ISBLANK('Data Entry'!$o$428), "", 'Data Entry'!$o$428)</f>
      </c>
      <c r="AV428">
        <f>IF(ISBLANK('Data Entry'!$p$428), "", 'Data Entry'!$p$428)</f>
      </c>
      <c r="AW428">
        <f>IF(ISBLANK('Data Entry'!$q$428), "", 'Data Entry'!$q$428)</f>
      </c>
      <c r="AX428">
        <f>IF(ISBLANK('Data Entry'!$r$428), "", 'Data Entry'!$r$428)</f>
      </c>
      <c r="AY428">
        <f>IF(ISBLANK('Data Entry'!$s$428), "", 'Data Entry'!$s$428)</f>
      </c>
      <c r="AZ428">
        <f>IF(ISBLANK('Data Entry'!$t$428), "", 'Data Entry'!$t$428)</f>
      </c>
      <c r="BA428">
        <f>IF(ISBLANK('Data Entry'!$u$428), "", 'Data Entry'!$u$428)</f>
      </c>
      <c r="BB428">
        <f>IF(ISBLANK('Data Entry'!$v$428), "", 'Data Entry'!$v$428)</f>
      </c>
      <c r="BC428">
        <f>IF(ISBLANK('Data Entry'!$w$428), "", 'Data Entry'!$w$428)</f>
      </c>
      <c r="BD428">
        <f>IF(ISBLANK('Data Entry'!$x$428), "", 'Data Entry'!$x$428)</f>
      </c>
      <c r="BE428">
        <f>IF(ISBLANK('Data Entry'!$y$428), "", 'Data Entry'!$y$428)</f>
      </c>
      <c r="BF428">
        <f>IF(ISBLANK('Data Entry'!$z$428), "", 'Data Entry'!$z$428)</f>
      </c>
      <c r="BG428">
        <f>IF(ISBLANK('Data Entry'!${$428), "", 'Data Entry'!${$428)</f>
      </c>
      <c r="BH428">
        <f>IF(ISBLANK('Data Entry'!$|$428), "", 'Data Entry'!$|$428)</f>
      </c>
      <c r="BI428">
        <f>IF(ISBLANK('Data Entry'!$}$428), "", 'Data Entry'!$}$428)</f>
      </c>
      <c r="BJ428">
        <f>IF(ISBLANK('Data Entry'!$~$428), "", 'Data Entry'!$~$428)</f>
      </c>
      <c r="BK428">
        <f>IF(ISBLANK('Data Entry'!$$428), "", 'Data Entry'!$$428)</f>
      </c>
      <c r="BL428">
        <f>IF(ISBLANK('Data Entry'!$$428), "", 'Data Entry'!$$428)</f>
      </c>
      <c r="BM428">
        <f>IF(ISBLANK('Data Entry'!$$428), "", 'Data Entry'!$$428)</f>
      </c>
      <c r="BN428">
        <f>IF(ISBLANK('Data Entry'!$$428), "", 'Data Entry'!$$428)</f>
      </c>
      <c r="BO428">
        <f>IF(ISBLANK('Data Entry'!$$428), "", 'Data Entry'!$$428)</f>
      </c>
      <c r="BP428">
        <f>IF(ISBLANK('Data Entry'!$$428), "", 'Data Entry'!$$428)</f>
      </c>
      <c r="BQ428">
        <f>IF(ISBLANK('Data Entry'!$$428), "", 'Data Entry'!$$428)</f>
      </c>
      <c r="BR428">
        <f>IF(ISBLANK('Data Entry'!$$428), "", 'Data Entry'!$$428)</f>
      </c>
      <c r="BS428">
        <f>IF(ISBLANK('Data Entry'!$$428), "", 'Data Entry'!$$428)</f>
      </c>
      <c r="BT428">
        <f>IF(ISBLANK('Data Entry'!$$428), "", 'Data Entry'!$$428)</f>
      </c>
      <c r="BU428">
        <f>IF(ISBLANK('Data Entry'!$$428), "", 'Data Entry'!$$428)</f>
      </c>
      <c r="BV428">
        <f>IF(ISBLANK('Data Entry'!$$428), "", 'Data Entry'!$$428)</f>
      </c>
      <c r="BW428">
        <f>IF(ISBLANK('Data Entry'!$$428), "", 'Data Entry'!$$428)</f>
      </c>
      <c r="BX428">
        <f>IF(ISBLANK('Data Entry'!$$428), "", 'Data Entry'!$$428)</f>
      </c>
      <c r="BY428">
        <f>IF(ISBLANK('Data Entry'!$$428), "", 'Data Entry'!$$428)</f>
      </c>
      <c r="BZ428">
        <f>IF(ISBLANK('Data Entry'!$$428), "", 'Data Entry'!$$428)</f>
      </c>
      <c r="CA428">
        <f>IF(ISBLANK('Data Entry'!$$428), "", 'Data Entry'!$$428)</f>
      </c>
      <c r="CB428">
        <f>IF(ISBLANK('Data Entry'!$$428), "", 'Data Entry'!$$428)</f>
      </c>
      <c r="CC428">
        <f>IF(ISBLANK('Data Entry'!$$428), "", 'Data Entry'!$$428)</f>
      </c>
      <c r="CD428">
        <f>IF(ISBLANK('Data Entry'!$$428), "", 'Data Entry'!$$428)</f>
      </c>
      <c r="CE428">
        <f>IF(ISBLANK('Data Entry'!$$428), "", 'Data Entry'!$$428)</f>
      </c>
      <c r="CF428">
        <f>IF(ISBLANK('Data Entry'!$$428), "", 'Data Entry'!$$428)</f>
      </c>
      <c r="CG428">
        <f>IF(ISBLANK('Data Entry'!$$428), "", 'Data Entry'!$$428)</f>
      </c>
      <c r="CH428">
        <f>IF(ISBLANK('Data Entry'!$$428), "", 'Data Entry'!$$428)</f>
      </c>
      <c r="CI428">
        <f>IF(ISBLANK('Data Entry'!$$428), "", 'Data Entry'!$$428)</f>
      </c>
      <c r="CJ428">
        <f>IF(ISBLANK('Data Entry'!$$428), "", 'Data Entry'!$$428)</f>
      </c>
      <c r="CK428">
        <f>IF(ISBLANK('Data Entry'!$$428), "", 'Data Entry'!$$428)</f>
      </c>
      <c r="CL428">
        <f>IF(ISBLANK('Data Entry'!$$428), "", 'Data Entry'!$$428)</f>
      </c>
      <c r="CM428">
        <f>IF(ISBLANK('Data Entry'!$$428), "", 'Data Entry'!$$428)</f>
      </c>
      <c r="CN428">
        <f>IF(ISBLANK('Data Entry'!$$428), "", 'Data Entry'!$$428)</f>
      </c>
      <c r="CO428">
        <f>IF(ISBLANK('Data Entry'!$$428), "", 'Data Entry'!$$428)</f>
      </c>
      <c r="CP428">
        <f>IF(ISBLANK('Data Entry'!$$428), "", 'Data Entry'!$$428)</f>
      </c>
      <c r="CQ428">
        <f>IF(ISBLANK('Data Entry'!$$428), "", 'Data Entry'!$$428)</f>
      </c>
      <c r="CR428">
        <f>IF(ISBLANK('Data Entry'!$ $428), "", 'Data Entry'!$ $428)</f>
      </c>
      <c r="CS428">
        <f>IF(ISBLANK('Data Entry'!$¡$428), "", 'Data Entry'!$¡$428)</f>
      </c>
      <c r="CT428">
        <f>IF(ISBLANK('Data Entry'!$¢$428), "", 'Data Entry'!$¢$428)</f>
      </c>
      <c r="CU428">
        <f>IF(ISBLANK('Data Entry'!$£$428), "", 'Data Entry'!$£$428)</f>
      </c>
      <c r="CV428">
        <f>IF(ISBLANK('Data Entry'!$¤$428), "", 'Data Entry'!$¤$428)</f>
      </c>
      <c r="CW428">
        <f>IF(ISBLANK('Data Entry'!$¥$428), "", 'Data Entry'!$¥$428)</f>
      </c>
      <c r="CX428">
        <f>IF(ISBLANK('Data Entry'!$¦$428), "", 'Data Entry'!$¦$428)</f>
      </c>
      <c r="CY428">
        <f>IF(ISBLANK('Data Entry'!$§$428), "", 'Data Entry'!$§$428)</f>
      </c>
      <c r="CZ428">
        <f>IF(ISBLANK('Data Entry'!$¨$428), "", 'Data Entry'!$¨$428)</f>
      </c>
      <c r="DA428">
        <f>IF(ISBLANK('Data Entry'!$©$428), "", 'Data Entry'!$©$428)</f>
      </c>
      <c r="DB428">
        <f>IF(ISBLANK('Data Entry'!$ª$428), "", 'Data Entry'!$ª$428)</f>
      </c>
      <c r="DC428">
        <f>IF(ISBLANK('Data Entry'!$«$428), "", 'Data Entry'!$«$428)</f>
      </c>
      <c r="DD428">
        <f>IF(ISBLANK('Data Entry'!$¬$428), "", 'Data Entry'!$¬$428)</f>
      </c>
      <c r="DE428">
        <f>IF(ISBLANK('Data Entry'!$­$428), "", 'Data Entry'!$­$428)</f>
      </c>
      <c r="DF428">
        <f>IF(ISBLANK('Data Entry'!$®$428), "", 'Data Entry'!$®$428)</f>
      </c>
      <c r="DG428">
        <f>IF(ISBLANK('Data Entry'!$¯$428), "", 'Data Entry'!$¯$428)</f>
      </c>
      <c r="DH428">
        <f>IF(ISBLANK('Data Entry'!$°$428), "", 'Data Entry'!$°$428)</f>
      </c>
      <c r="DI428">
        <f>IF(ISBLANK('Data Entry'!$±$428), "", 'Data Entry'!$±$428)</f>
      </c>
      <c r="DJ428">
        <f>IF(ISBLANK('Data Entry'!$²$428), "", 'Data Entry'!$²$428)</f>
      </c>
      <c r="DK428">
        <f>IF(ISBLANK('Data Entry'!$³$428), "", 'Data Entry'!$³$428)</f>
      </c>
      <c r="DL428">
        <f>IF(ISBLANK('Data Entry'!$´$428), "", 'Data Entry'!$´$428)</f>
      </c>
      <c r="DM428">
        <f>IF(ISBLANK('Data Entry'!$µ$428), "", 'Data Entry'!$µ$428)</f>
      </c>
      <c r="DN428">
        <f>IF(ISBLANK('Data Entry'!$¶$428), "", 'Data Entry'!$¶$428)</f>
      </c>
      <c r="DO428">
        <f>IF(ISBLANK('Data Entry'!$·$428), "", 'Data Entry'!$·$428)</f>
      </c>
      <c r="DP428">
        <f>IF(ISBLANK('Data Entry'!$¸$428), "", 'Data Entry'!$¸$428)</f>
      </c>
      <c r="DQ428">
        <f>IF(ISBLANK('Data Entry'!$¹$428), "", 'Data Entry'!$¹$428)</f>
      </c>
      <c r="DR428">
        <f>IF(ISBLANK('Data Entry'!$º$428), "", 'Data Entry'!$º$428)</f>
      </c>
      <c r="DS428">
        <f>IF(ISBLANK('Data Entry'!$»$428), "", 'Data Entry'!$»$428)</f>
      </c>
      <c r="DT428">
        <f>IF(ISBLANK('Data Entry'!$¼$428), "", 'Data Entry'!$¼$428)</f>
      </c>
      <c r="DU428">
        <f>IF(ISBLANK('Data Entry'!$½$428), "", 'Data Entry'!$½$428)</f>
      </c>
      <c r="DV428">
        <f>IF(ISBLANK('Data Entry'!$¾$428), "", 'Data Entry'!$¾$428)</f>
      </c>
      <c r="DW428">
        <f>IF(ISBLANK('Data Entry'!$¿$428), "", 'Data Entry'!$¿$428)</f>
      </c>
      <c r="DX428">
        <f>IF(ISBLANK('Data Entry'!$À$428), "", 'Data Entry'!$À$428)</f>
      </c>
      <c r="DY428">
        <f>IF(ISBLANK('Data Entry'!$Á$428), "", 'Data Entry'!$Á$428)</f>
      </c>
      <c r="DZ428">
        <f>IF(ISBLANK('Data Entry'!$Â$428), "", 'Data Entry'!$Â$428)</f>
      </c>
      <c r="EA428">
        <f>IF(ISBLANK('Data Entry'!$Ã$428), "", 'Data Entry'!$Ã$428)</f>
      </c>
      <c r="EB428">
        <f>IF(ISBLANK('Data Entry'!$Ä$428), "", 'Data Entry'!$Ä$428)</f>
      </c>
      <c r="EC428">
        <f>IF(ISBLANK('Data Entry'!$Å$428), "", 'Data Entry'!$Å$428)</f>
      </c>
      <c r="ED428">
        <f>IF(ISBLANK('Data Entry'!$Æ$428), "", 'Data Entry'!$Æ$428)</f>
      </c>
      <c r="EE428">
        <f>IF(ISBLANK('Data Entry'!$Ç$428), "", 'Data Entry'!$Ç$428)</f>
      </c>
      <c r="EF428">
        <f>IF(ISBLANK('Data Entry'!$È$428), "", 'Data Entry'!$È$428)</f>
      </c>
      <c r="EG428">
        <f>IF(ISBLANK('Data Entry'!$É$428), "", 'Data Entry'!$É$428)</f>
      </c>
      <c r="EH428">
        <f>IF(ISBLANK('Data Entry'!$Ê$428), "", 'Data Entry'!$Ê$428)</f>
      </c>
      <c r="EI428">
        <f>IF(ISBLANK('Data Entry'!$Ë$428), "", 'Data Entry'!$Ë$428)</f>
      </c>
      <c r="EJ428">
        <f>IF(ISBLANK('Data Entry'!$Ì$428), "", 'Data Entry'!$Ì$428)</f>
      </c>
      <c r="EK428">
        <f>IF(ISBLANK('Data Entry'!$Í$428), "", 'Data Entry'!$Í$428)</f>
      </c>
      <c r="EL428">
        <f>IF(ISBLANK('Data Entry'!$Î$428), "", 'Data Entry'!$Î$428)</f>
      </c>
      <c r="EM428">
        <f>IF(ISBLANK('Data Entry'!$Ï$428), "", 'Data Entry'!$Ï$428)</f>
      </c>
      <c r="EN428">
        <f>IF(ISBLANK('Data Entry'!$Ð$428), "", 'Data Entry'!$Ð$428)</f>
      </c>
      <c r="EO428">
        <f>IF(ISBLANK('Data Entry'!$Ñ$428), "", 'Data Entry'!$Ñ$428)</f>
      </c>
      <c r="EP428">
        <f>IF(ISBLANK('Data Entry'!$Ò$428), "", 'Data Entry'!$Ò$428)</f>
      </c>
      <c r="EQ428">
        <f>IF(ISBLANK('Data Entry'!$Ó$428), "", 'Data Entry'!$Ó$428)</f>
      </c>
      <c r="ER428">
        <f>IF(ISBLANK('Data Entry'!$Ô$428), "", 'Data Entry'!$Ô$428)</f>
      </c>
      <c r="ES428">
        <f>IF(ISBLANK('Data Entry'!$Õ$428), "", 'Data Entry'!$Õ$428)</f>
      </c>
      <c r="ET428">
        <f>IF(ISBLANK('Data Entry'!$Ö$428), "", 'Data Entry'!$Ö$428)</f>
      </c>
      <c r="EU428">
        <f>IF(ISBLANK('Data Entry'!$×$428), "", 'Data Entry'!$×$428)</f>
      </c>
      <c r="EV428">
        <f>IF(ISBLANK('Data Entry'!$Ø$428), "", 'Data Entry'!$Ø$428)</f>
      </c>
      <c r="EW428">
        <f>IF(ISBLANK('Data Entry'!$Ù$428), "", 'Data Entry'!$Ù$428)</f>
      </c>
      <c r="EX428">
        <f>IF(ISBLANK('Data Entry'!$Ú$428), "", 'Data Entry'!$Ú$428)</f>
      </c>
      <c r="EY428">
        <f>IF(ISBLANK('Data Entry'!$Û$428), "", 'Data Entry'!$Û$428)</f>
      </c>
      <c r="EZ428">
        <f>IF(ISBLANK('Data Entry'!$Ü$428), "", 'Data Entry'!$Ü$428)</f>
      </c>
      <c r="FA428">
        <f>IF(ISBLANK('Data Entry'!$Ý$428), "", 'Data Entry'!$Ý$428)</f>
      </c>
      <c r="FB428">
        <f>IF(ISBLANK('Data Entry'!$Þ$428), "", 'Data Entry'!$Þ$428)</f>
      </c>
      <c r="FC428">
        <f>IF(ISBLANK('Data Entry'!$ß$428), "", 'Data Entry'!$ß$428)</f>
      </c>
      <c r="FD428">
        <f>IF(ISBLANK('Data Entry'!$à$428), "", 'Data Entry'!$à$428)</f>
      </c>
      <c r="FE428">
        <f>IF(ISBLANK('Data Entry'!$á$428), "", 'Data Entry'!$á$428)</f>
      </c>
      <c r="FF428">
        <f>IF(ISBLANK('Data Entry'!$â$428), "", 'Data Entry'!$â$428)</f>
      </c>
      <c r="FG428">
        <f>IF(ISBLANK('Data Entry'!$ã$428), "", 'Data Entry'!$ã$428)</f>
      </c>
      <c r="FH428">
        <f>IF(ISBLANK('Data Entry'!$ä$428), "", 'Data Entry'!$ä$428)</f>
      </c>
      <c r="FI428">
        <f>IF(ISBLANK('Data Entry'!$å$428), "", 'Data Entry'!$å$428)</f>
      </c>
      <c r="FJ428">
        <f>IF(ISBLANK('Data Entry'!$æ$428), "", 'Data Entry'!$æ$428)</f>
      </c>
      <c r="FK428">
        <f>IF(ISBLANK('Data Entry'!$ç$428), "", 'Data Entry'!$ç$428)</f>
      </c>
      <c r="FL428">
        <f>IF(ISBLANK('Data Entry'!$è$428), "", 'Data Entry'!$è$428)</f>
      </c>
      <c r="FM428">
        <f>IF(ISBLANK('Data Entry'!$é$428), "", 'Data Entry'!$é$428)</f>
      </c>
      <c r="FN428">
        <f>IF(ISBLANK('Data Entry'!$ê$428), "", 'Data Entry'!$ê$428)</f>
      </c>
      <c r="FO428">
        <f>IF(ISBLANK('Data Entry'!$ë$428), "", 'Data Entry'!$ë$428)</f>
      </c>
      <c r="FP428">
        <f>IF(ISBLANK('Data Entry'!$ì$428), "", 'Data Entry'!$ì$428)</f>
      </c>
      <c r="FQ428">
        <f>IF(ISBLANK('Data Entry'!$í$428), "", 'Data Entry'!$í$428)</f>
      </c>
      <c r="FR428">
        <f>IF(ISBLANK('Data Entry'!$î$428), "", 'Data Entry'!$î$428)</f>
      </c>
      <c r="FS428">
        <f>IF(ISBLANK('Data Entry'!$ï$428), "", 'Data Entry'!$ï$428)</f>
      </c>
      <c r="FT428">
        <f>IF(ISBLANK('Data Entry'!$ð$428), "", 'Data Entry'!$ð$428)</f>
      </c>
      <c r="FU428">
        <f>IF(ISBLANK('Data Entry'!$ñ$428), "", 'Data Entry'!$ñ$428)</f>
      </c>
      <c r="FV428">
        <f>IF(ISBLANK('Data Entry'!$ò$428), "", 'Data Entry'!$ò$428)</f>
      </c>
      <c r="FW428">
        <f>IF(ISBLANK('Data Entry'!$ó$428), "", 'Data Entry'!$ó$428)</f>
      </c>
      <c r="FX428">
        <f>IF(ISBLANK('Data Entry'!$ô$428), "", 'Data Entry'!$ô$428)</f>
      </c>
      <c r="FY428">
        <f>IF(ISBLANK('Data Entry'!$õ$428), "", 'Data Entry'!$õ$428)</f>
      </c>
      <c r="FZ428">
        <f>IF(ISBLANK('Data Entry'!$ö$428), "", 'Data Entry'!$ö$428)</f>
      </c>
      <c r="GA428">
        <f>IF(ISBLANK('Data Entry'!$÷$428), "", 'Data Entry'!$÷$428)</f>
      </c>
      <c r="GB428">
        <f>IF(ISBLANK('Data Entry'!$ø$428), "", 'Data Entry'!$ø$428)</f>
      </c>
      <c r="GC428">
        <f>IF(ISBLANK('Data Entry'!$ù$428), "", 'Data Entry'!$ù$428)</f>
      </c>
      <c r="GD428">
        <f>IF(ISBLANK('Data Entry'!$ú$428), "", 'Data Entry'!$ú$428)</f>
      </c>
      <c r="GE428">
        <f>IF(ISBLANK('Data Entry'!$û$428), "", 'Data Entry'!$û$428)</f>
      </c>
      <c r="GF428">
        <f>IF(ISBLANK('Data Entry'!$ü$428), "", 'Data Entry'!$ü$428)</f>
      </c>
      <c r="GG428">
        <f>IF(ISBLANK('Data Entry'!$ý$428), "", 'Data Entry'!$ý$428)</f>
      </c>
      <c r="GH428">
        <f>IF(ISBLANK('Data Entry'!$þ$428), "", 'Data Entry'!$þ$428)</f>
      </c>
      <c r="GI428">
        <f>IF(ISBLANK('Data Entry'!$ÿ$428), "", 'Data Entry'!$ÿ$428)</f>
      </c>
      <c r="GJ428">
        <f>IF(ISBLANK('Data Entry'!$Ā$428), "", 'Data Entry'!$Ā$428)</f>
      </c>
      <c r="GK428">
        <f>IF(ISBLANK('Data Entry'!$ā$428), "", 'Data Entry'!$ā$428)</f>
      </c>
      <c r="GL428">
        <f>IF(ISBLANK('Data Entry'!$Ă$428), "", 'Data Entry'!$Ă$428)</f>
      </c>
      <c r="GM428">
        <f>IF(ISBLANK('Data Entry'!$ă$428), "", 'Data Entry'!$ă$428)</f>
      </c>
      <c r="GN428">
        <f>IF(ISBLANK('Data Entry'!$Ą$428), "", 'Data Entry'!$Ą$428)</f>
      </c>
      <c r="GO428">
        <f>IF(ISBLANK('Data Entry'!$ą$428), "", 'Data Entry'!$ą$428)</f>
      </c>
      <c r="GP428">
        <f>IF(ISBLANK('Data Entry'!$Ć$428), "", 'Data Entry'!$Ć$428)</f>
      </c>
      <c r="GQ428">
        <f>IF(ISBLANK('Data Entry'!$ć$428), "", 'Data Entry'!$ć$428)</f>
      </c>
      <c r="GR428">
        <f>IF(ISBLANK('Data Entry'!$Ĉ$428), "", 'Data Entry'!$Ĉ$428)</f>
      </c>
      <c r="GS428">
        <f>IF(ISBLANK('Data Entry'!$ĉ$428), "", 'Data Entry'!$ĉ$428)</f>
      </c>
      <c r="GT428">
        <f>IF(ISBLANK('Data Entry'!$Ċ$428), "", 'Data Entry'!$Ċ$428)</f>
      </c>
      <c r="GU428">
        <f>IF(ISBLANK('Data Entry'!$ċ$428), "", 'Data Entry'!$ċ$428)</f>
      </c>
      <c r="GV428">
        <f>IF(ISBLANK('Data Entry'!$Č$428), "", 'Data Entry'!$Č$428)</f>
      </c>
      <c r="GW428">
        <f>IF(ISBLANK('Data Entry'!$č$428), "", 'Data Entry'!$č$428)</f>
      </c>
      <c r="GX428">
        <f>IF(ISBLANK('Data Entry'!$Ď$428), "", 'Data Entry'!$Ď$428)</f>
      </c>
      <c r="GY428">
        <f>IF(ISBLANK('Data Entry'!$ď$428), "", 'Data Entry'!$ď$428)</f>
      </c>
      <c r="GZ428">
        <f>IF(ISBLANK('Data Entry'!$Đ$428), "", 'Data Entry'!$Đ$428)</f>
      </c>
      <c r="HA428">
        <f>IF(ISBLANK('Data Entry'!$đ$428), "", 'Data Entry'!$đ$428)</f>
      </c>
      <c r="HB428">
        <f>IF(ISBLANK('Data Entry'!$Ē$428), "", 'Data Entry'!$Ē$428)</f>
      </c>
      <c r="HC428">
        <f>IF(ISBLANK('Data Entry'!$ē$428), "", 'Data Entry'!$ē$428)</f>
      </c>
      <c r="HD428">
        <f>IF(ISBLANK('Data Entry'!$Ĕ$428), "", 'Data Entry'!$Ĕ$428)</f>
      </c>
      <c r="HE428">
        <f>IF(ISBLANK('Data Entry'!$ĕ$428), "", 'Data Entry'!$ĕ$428)</f>
      </c>
      <c r="HF428">
        <f>IF(ISBLANK('Data Entry'!$Ė$428), "", 'Data Entry'!$Ė$428)</f>
      </c>
      <c r="HG428">
        <f>IF(ISBLANK('Data Entry'!$ė$428), "", 'Data Entry'!$ė$428)</f>
      </c>
      <c r="HH428">
        <f>IF(ISBLANK('Data Entry'!$Ę$428), "", 'Data Entry'!$Ę$428)</f>
      </c>
      <c r="HI428">
        <f>IF(ISBLANK('Data Entry'!$ę$428), "", 'Data Entry'!$ę$428)</f>
      </c>
      <c r="HJ428">
        <f>IF(ISBLANK('Data Entry'!$Ě$428), "", 'Data Entry'!$Ě$428)</f>
      </c>
      <c r="HK428">
        <f>IF(ISBLANK('Data Entry'!$ě$428), "", 'Data Entry'!$ě$428)</f>
      </c>
      <c r="HL428">
        <f>IF(ISBLANK('Data Entry'!$Ĝ$428), "", 'Data Entry'!$Ĝ$428)</f>
      </c>
      <c r="HM428">
        <f>IF(ISBLANK('Data Entry'!$ĝ$428), "", 'Data Entry'!$ĝ$428)</f>
      </c>
      <c r="HN428">
        <f>IF(ISBLANK('Data Entry'!$Ğ$428), "", 'Data Entry'!$Ğ$428)</f>
      </c>
      <c r="HO428">
        <f>IF(ISBLANK('Data Entry'!$ğ$428), "", 'Data Entry'!$ğ$428)</f>
      </c>
      <c r="HP428">
        <f>IF(ISBLANK('Data Entry'!$Ġ$428), "", 'Data Entry'!$Ġ$428)</f>
      </c>
      <c r="HQ428">
        <f>IF(ISBLANK('Data Entry'!$ġ$428), "", 'Data Entry'!$ġ$428)</f>
      </c>
      <c r="HR428">
        <f>IF(ISBLANK('Data Entry'!$Ģ$428), "", 'Data Entry'!$Ģ$428)</f>
      </c>
      <c r="HS428">
        <f>IF(ISBLANK('Data Entry'!$ģ$428), "", 'Data Entry'!$ģ$428)</f>
      </c>
      <c r="HT428">
        <f>IF(ISBLANK('Data Entry'!$Ĥ$428), "", 'Data Entry'!$Ĥ$428)</f>
      </c>
      <c r="HU428">
        <f>IF(ISBLANK('Data Entry'!$ĥ$428), "", 'Data Entry'!$ĥ$428)</f>
      </c>
      <c r="HV428">
        <f>IF(ISBLANK('Data Entry'!$Ħ$428), "", 'Data Entry'!$Ħ$428)</f>
      </c>
      <c r="HW428">
        <f>IF(ISBLANK('Data Entry'!$ħ$428), "", 'Data Entry'!$ħ$428)</f>
      </c>
      <c r="HX428">
        <f>IF(ISBLANK('Data Entry'!$Ĩ$428), "", 'Data Entry'!$Ĩ$428)</f>
      </c>
      <c r="HY428">
        <f>IF(ISBLANK('Data Entry'!$ĩ$428), "", 'Data Entry'!$ĩ$428)</f>
      </c>
      <c r="HZ428">
        <f>IF(ISBLANK('Data Entry'!$Ī$428), "", 'Data Entry'!$Ī$428)</f>
      </c>
      <c r="IA428">
        <f>IF(ISBLANK('Data Entry'!$ī$428), "", 'Data Entry'!$ī$428)</f>
      </c>
      <c r="IB428">
        <f>IF(ISBLANK('Data Entry'!$Ĭ$428), "", 'Data Entry'!$Ĭ$428)</f>
      </c>
      <c r="IC428">
        <f>IF(ISBLANK('Data Entry'!$ĭ$428), "", 'Data Entry'!$ĭ$428)</f>
      </c>
      <c r="ID428">
        <f>IF(ISBLANK('Data Entry'!$Į$428), "", 'Data Entry'!$Į$428)</f>
      </c>
      <c r="IE428">
        <f>IF(ISBLANK('Data Entry'!$į$428), "", 'Data Entry'!$į$428)</f>
      </c>
      <c r="IF428">
        <f>IF(ISBLANK('Data Entry'!$İ$428), "", 'Data Entry'!$İ$428)</f>
      </c>
      <c r="IG428">
        <f>IF(ISBLANK('Data Entry'!$ı$428), "", 'Data Entry'!$ı$428)</f>
      </c>
      <c r="IH428">
        <f>IF(ISBLANK('Data Entry'!$Ĳ$428), "", 'Data Entry'!$Ĳ$428)</f>
      </c>
      <c r="II428">
        <f>IF(ISBLANK('Data Entry'!$ĳ$428), "", 'Data Entry'!$ĳ$428)</f>
      </c>
      <c r="IJ428">
        <f>IF(ISBLANK('Data Entry'!$Ĵ$428), "", 'Data Entry'!$Ĵ$428)</f>
      </c>
      <c r="IK428">
        <f>IF(ISBLANK('Data Entry'!$ĵ$428), "", 'Data Entry'!$ĵ$428)</f>
      </c>
      <c r="IL428">
        <f>IF(ISBLANK('Data Entry'!$Ķ$428), "", 'Data Entry'!$Ķ$428)</f>
      </c>
      <c r="IM428">
        <f>IF(ISBLANK('Data Entry'!$ķ$428), "", 'Data Entry'!$ķ$428)</f>
      </c>
      <c r="IN428">
        <f>IF(ISBLANK('Data Entry'!$ĸ$428), "", 'Data Entry'!$ĸ$428)</f>
      </c>
      <c r="IO428">
        <f>IF(ISBLANK('Data Entry'!$Ĺ$428), "", 'Data Entry'!$Ĺ$428)</f>
      </c>
      <c r="IP428">
        <f>IF(ISBLANK('Data Entry'!$ĺ$428), "", 'Data Entry'!$ĺ$428)</f>
      </c>
      <c r="IQ428">
        <f>IF(ISBLANK('Data Entry'!$Ļ$428), "", 'Data Entry'!$Ļ$428)</f>
      </c>
      <c r="IR428">
        <f>IF(ISBLANK('Data Entry'!$ļ$428), "", 'Data Entry'!$ļ$428)</f>
      </c>
      <c r="IS428">
        <f>IF(ISBLANK('Data Entry'!$Ľ$428), "", 'Data Entry'!$Ľ$428)</f>
      </c>
      <c r="IT428">
        <f>IF(ISBLANK('Data Entry'!$ľ$428), "", 'Data Entry'!$ľ$428)</f>
      </c>
    </row>
    <row r="429" spans="1:254" x14ac:dyDescent="0.25">
      <c r="A429">
        <f>IF(ISBLANK('Data Entry'!$A$429), "", 'Data Entry'!$A$429)</f>
      </c>
      <c r="B429">
        <f>IF(ISBLANK('Data Entry'!$B$429), "", 'Data Entry'!$B$429)</f>
      </c>
      <c r="C429">
        <f>IF(ISBLANK('Data Entry'!$C$429), "", 'Data Entry'!$C$429)</f>
      </c>
      <c r="D429">
        <f>IF(ISBLANK('Data Entry'!$D$429), "", 'Data Entry'!$D$429)</f>
      </c>
      <c r="E429">
        <f>IF(ISBLANK('Data Entry'!$E$429), "", 'Data Entry'!$E$429)</f>
      </c>
      <c r="F429">
        <f>IF(ISBLANK('Data Entry'!$F$429), "", 'Data Entry'!$F$429)</f>
      </c>
      <c r="G429">
        <f>IF(ISBLANK('Data Entry'!$G$429), "", 'Data Entry'!$G$429)</f>
      </c>
      <c r="H429">
        <f>IF(ISBLANK('Data Entry'!$H$429), "", 'Data Entry'!$H$429)</f>
      </c>
      <c r="I429">
        <f>IF(ISBLANK('Data Entry'!$I$429), "", 'Data Entry'!$I$429)</f>
      </c>
      <c r="J429">
        <f>IF(ISBLANK('Data Entry'!$J$429), "", 'Data Entry'!$J$429)</f>
      </c>
      <c r="K429">
        <f>IF(ISBLANK('Data Entry'!$K$429), "", 'Data Entry'!$K$429)</f>
      </c>
      <c r="L429">
        <f>IF(ISBLANK('Data Entry'!$L$429), "", 'Data Entry'!$L$429)</f>
      </c>
      <c r="M429">
        <f>IF(ISBLANK('Data Entry'!$M$429), "", 'Data Entry'!$M$429)</f>
      </c>
      <c r="N429">
        <f>IF(ISBLANK('Data Entry'!$N$429), "", 'Data Entry'!$N$429)</f>
      </c>
      <c r="O429">
        <f>IF(ISBLANK('Data Entry'!$O$429), "", 'Data Entry'!$O$429)</f>
      </c>
      <c r="P429">
        <f>IF(ISBLANK('Data Entry'!$P$429), "", 'Data Entry'!$P$429)</f>
      </c>
      <c r="Q429">
        <f>IF(ISBLANK('Data Entry'!$Q$429), "", 'Data Entry'!$Q$429)</f>
      </c>
      <c r="R429">
        <f>IF(ISBLANK('Data Entry'!$R$429), "", 'Data Entry'!$R$429)</f>
      </c>
      <c r="S429">
        <f>IF(ISBLANK('Data Entry'!$S$429), "", 'Data Entry'!$S$429)</f>
      </c>
      <c r="T429">
        <f>IF(ISBLANK('Data Entry'!$T$429), "", 'Data Entry'!$T$429)</f>
      </c>
      <c r="U429">
        <f>IF(ISBLANK('Data Entry'!$U$429), "", 'Data Entry'!$U$429)</f>
      </c>
      <c r="V429">
        <f>IF(ISBLANK('Data Entry'!$V$429), "", 'Data Entry'!$V$429)</f>
      </c>
      <c r="W429">
        <f>IF(ISBLANK('Data Entry'!$W$429), "", 'Data Entry'!$W$429)</f>
      </c>
      <c r="X429">
        <f>IF(ISBLANK('Data Entry'!$X$429), "", 'Data Entry'!$X$429)</f>
      </c>
      <c r="Y429">
        <f>IF(ISBLANK('Data Entry'!$Y$429), "", 'Data Entry'!$Y$429)</f>
      </c>
      <c r="Z429">
        <f>IF(ISBLANK('Data Entry'!$Z$429), "", 'Data Entry'!$Z$429)</f>
      </c>
      <c r="AA429">
        <f>IF(ISBLANK('Data Entry'!$[$429), "", 'Data Entry'!$[$429)</f>
      </c>
      <c r="AB429">
        <f>IF(ISBLANK('Data Entry'!$\$429), "", 'Data Entry'!$\$429)</f>
      </c>
      <c r="AC429">
        <f>IF(ISBLANK('Data Entry'!$]$429), "", 'Data Entry'!$]$429)</f>
      </c>
      <c r="AD429">
        <f>IF(ISBLANK('Data Entry'!$^$429), "", 'Data Entry'!$^$429)</f>
      </c>
      <c r="AE429">
        <f>IF(ISBLANK('Data Entry'!$_$429), "", 'Data Entry'!$_$429)</f>
      </c>
      <c r="AF429">
        <f>IF(ISBLANK('Data Entry'!$`$429), "", 'Data Entry'!$`$429)</f>
      </c>
      <c r="AG429">
        <f>IF(ISBLANK('Data Entry'!$a$429), "", 'Data Entry'!$a$429)</f>
      </c>
      <c r="AH429">
        <f>IF(ISBLANK('Data Entry'!$b$429), "", 'Data Entry'!$b$429)</f>
      </c>
      <c r="AI429">
        <f>IF(ISBLANK('Data Entry'!$c$429), "", 'Data Entry'!$c$429)</f>
      </c>
      <c r="AJ429">
        <f>IF(ISBLANK('Data Entry'!$d$429), "", 'Data Entry'!$d$429)</f>
      </c>
      <c r="AK429">
        <f>IF(ISBLANK('Data Entry'!$e$429), "", 'Data Entry'!$e$429)</f>
      </c>
      <c r="AL429">
        <f>IF(ISBLANK('Data Entry'!$f$429), "", 'Data Entry'!$f$429)</f>
      </c>
      <c r="AM429">
        <f>IF(ISBLANK('Data Entry'!$g$429), "", 'Data Entry'!$g$429)</f>
      </c>
      <c r="AN429">
        <f>IF(ISBLANK('Data Entry'!$h$429), "", 'Data Entry'!$h$429)</f>
      </c>
      <c r="AO429">
        <f>IF(ISBLANK('Data Entry'!$i$429), "", 'Data Entry'!$i$429)</f>
      </c>
      <c r="AP429">
        <f>IF(ISBLANK('Data Entry'!$j$429), "", 'Data Entry'!$j$429)</f>
      </c>
      <c r="AQ429">
        <f>IF(ISBLANK('Data Entry'!$k$429), "", 'Data Entry'!$k$429)</f>
      </c>
      <c r="AR429">
        <f>IF(ISBLANK('Data Entry'!$l$429), "", 'Data Entry'!$l$429)</f>
      </c>
      <c r="AS429">
        <f>IF(ISBLANK('Data Entry'!$m$429), "", 'Data Entry'!$m$429)</f>
      </c>
      <c r="AT429">
        <f>IF(ISBLANK('Data Entry'!$n$429), "", 'Data Entry'!$n$429)</f>
      </c>
      <c r="AU429">
        <f>IF(ISBLANK('Data Entry'!$o$429), "", 'Data Entry'!$o$429)</f>
      </c>
      <c r="AV429">
        <f>IF(ISBLANK('Data Entry'!$p$429), "", 'Data Entry'!$p$429)</f>
      </c>
      <c r="AW429">
        <f>IF(ISBLANK('Data Entry'!$q$429), "", 'Data Entry'!$q$429)</f>
      </c>
      <c r="AX429">
        <f>IF(ISBLANK('Data Entry'!$r$429), "", 'Data Entry'!$r$429)</f>
      </c>
      <c r="AY429">
        <f>IF(ISBLANK('Data Entry'!$s$429), "", 'Data Entry'!$s$429)</f>
      </c>
      <c r="AZ429">
        <f>IF(ISBLANK('Data Entry'!$t$429), "", 'Data Entry'!$t$429)</f>
      </c>
      <c r="BA429">
        <f>IF(ISBLANK('Data Entry'!$u$429), "", 'Data Entry'!$u$429)</f>
      </c>
      <c r="BB429">
        <f>IF(ISBLANK('Data Entry'!$v$429), "", 'Data Entry'!$v$429)</f>
      </c>
      <c r="BC429">
        <f>IF(ISBLANK('Data Entry'!$w$429), "", 'Data Entry'!$w$429)</f>
      </c>
      <c r="BD429">
        <f>IF(ISBLANK('Data Entry'!$x$429), "", 'Data Entry'!$x$429)</f>
      </c>
      <c r="BE429">
        <f>IF(ISBLANK('Data Entry'!$y$429), "", 'Data Entry'!$y$429)</f>
      </c>
      <c r="BF429">
        <f>IF(ISBLANK('Data Entry'!$z$429), "", 'Data Entry'!$z$429)</f>
      </c>
      <c r="BG429">
        <f>IF(ISBLANK('Data Entry'!${$429), "", 'Data Entry'!${$429)</f>
      </c>
      <c r="BH429">
        <f>IF(ISBLANK('Data Entry'!$|$429), "", 'Data Entry'!$|$429)</f>
      </c>
      <c r="BI429">
        <f>IF(ISBLANK('Data Entry'!$}$429), "", 'Data Entry'!$}$429)</f>
      </c>
      <c r="BJ429">
        <f>IF(ISBLANK('Data Entry'!$~$429), "", 'Data Entry'!$~$429)</f>
      </c>
      <c r="BK429">
        <f>IF(ISBLANK('Data Entry'!$$429), "", 'Data Entry'!$$429)</f>
      </c>
      <c r="BL429">
        <f>IF(ISBLANK('Data Entry'!$$429), "", 'Data Entry'!$$429)</f>
      </c>
      <c r="BM429">
        <f>IF(ISBLANK('Data Entry'!$$429), "", 'Data Entry'!$$429)</f>
      </c>
      <c r="BN429">
        <f>IF(ISBLANK('Data Entry'!$$429), "", 'Data Entry'!$$429)</f>
      </c>
      <c r="BO429">
        <f>IF(ISBLANK('Data Entry'!$$429), "", 'Data Entry'!$$429)</f>
      </c>
      <c r="BP429">
        <f>IF(ISBLANK('Data Entry'!$$429), "", 'Data Entry'!$$429)</f>
      </c>
      <c r="BQ429">
        <f>IF(ISBLANK('Data Entry'!$$429), "", 'Data Entry'!$$429)</f>
      </c>
      <c r="BR429">
        <f>IF(ISBLANK('Data Entry'!$$429), "", 'Data Entry'!$$429)</f>
      </c>
      <c r="BS429">
        <f>IF(ISBLANK('Data Entry'!$$429), "", 'Data Entry'!$$429)</f>
      </c>
      <c r="BT429">
        <f>IF(ISBLANK('Data Entry'!$$429), "", 'Data Entry'!$$429)</f>
      </c>
      <c r="BU429">
        <f>IF(ISBLANK('Data Entry'!$$429), "", 'Data Entry'!$$429)</f>
      </c>
      <c r="BV429">
        <f>IF(ISBLANK('Data Entry'!$$429), "", 'Data Entry'!$$429)</f>
      </c>
      <c r="BW429">
        <f>IF(ISBLANK('Data Entry'!$$429), "", 'Data Entry'!$$429)</f>
      </c>
      <c r="BX429">
        <f>IF(ISBLANK('Data Entry'!$$429), "", 'Data Entry'!$$429)</f>
      </c>
      <c r="BY429">
        <f>IF(ISBLANK('Data Entry'!$$429), "", 'Data Entry'!$$429)</f>
      </c>
      <c r="BZ429">
        <f>IF(ISBLANK('Data Entry'!$$429), "", 'Data Entry'!$$429)</f>
      </c>
      <c r="CA429">
        <f>IF(ISBLANK('Data Entry'!$$429), "", 'Data Entry'!$$429)</f>
      </c>
      <c r="CB429">
        <f>IF(ISBLANK('Data Entry'!$$429), "", 'Data Entry'!$$429)</f>
      </c>
      <c r="CC429">
        <f>IF(ISBLANK('Data Entry'!$$429), "", 'Data Entry'!$$429)</f>
      </c>
      <c r="CD429">
        <f>IF(ISBLANK('Data Entry'!$$429), "", 'Data Entry'!$$429)</f>
      </c>
      <c r="CE429">
        <f>IF(ISBLANK('Data Entry'!$$429), "", 'Data Entry'!$$429)</f>
      </c>
      <c r="CF429">
        <f>IF(ISBLANK('Data Entry'!$$429), "", 'Data Entry'!$$429)</f>
      </c>
      <c r="CG429">
        <f>IF(ISBLANK('Data Entry'!$$429), "", 'Data Entry'!$$429)</f>
      </c>
      <c r="CH429">
        <f>IF(ISBLANK('Data Entry'!$$429), "", 'Data Entry'!$$429)</f>
      </c>
      <c r="CI429">
        <f>IF(ISBLANK('Data Entry'!$$429), "", 'Data Entry'!$$429)</f>
      </c>
      <c r="CJ429">
        <f>IF(ISBLANK('Data Entry'!$$429), "", 'Data Entry'!$$429)</f>
      </c>
      <c r="CK429">
        <f>IF(ISBLANK('Data Entry'!$$429), "", 'Data Entry'!$$429)</f>
      </c>
      <c r="CL429">
        <f>IF(ISBLANK('Data Entry'!$$429), "", 'Data Entry'!$$429)</f>
      </c>
      <c r="CM429">
        <f>IF(ISBLANK('Data Entry'!$$429), "", 'Data Entry'!$$429)</f>
      </c>
      <c r="CN429">
        <f>IF(ISBLANK('Data Entry'!$$429), "", 'Data Entry'!$$429)</f>
      </c>
      <c r="CO429">
        <f>IF(ISBLANK('Data Entry'!$$429), "", 'Data Entry'!$$429)</f>
      </c>
      <c r="CP429">
        <f>IF(ISBLANK('Data Entry'!$$429), "", 'Data Entry'!$$429)</f>
      </c>
      <c r="CQ429">
        <f>IF(ISBLANK('Data Entry'!$$429), "", 'Data Entry'!$$429)</f>
      </c>
      <c r="CR429">
        <f>IF(ISBLANK('Data Entry'!$ $429), "", 'Data Entry'!$ $429)</f>
      </c>
      <c r="CS429">
        <f>IF(ISBLANK('Data Entry'!$¡$429), "", 'Data Entry'!$¡$429)</f>
      </c>
      <c r="CT429">
        <f>IF(ISBLANK('Data Entry'!$¢$429), "", 'Data Entry'!$¢$429)</f>
      </c>
      <c r="CU429">
        <f>IF(ISBLANK('Data Entry'!$£$429), "", 'Data Entry'!$£$429)</f>
      </c>
      <c r="CV429">
        <f>IF(ISBLANK('Data Entry'!$¤$429), "", 'Data Entry'!$¤$429)</f>
      </c>
      <c r="CW429">
        <f>IF(ISBLANK('Data Entry'!$¥$429), "", 'Data Entry'!$¥$429)</f>
      </c>
      <c r="CX429">
        <f>IF(ISBLANK('Data Entry'!$¦$429), "", 'Data Entry'!$¦$429)</f>
      </c>
      <c r="CY429">
        <f>IF(ISBLANK('Data Entry'!$§$429), "", 'Data Entry'!$§$429)</f>
      </c>
      <c r="CZ429">
        <f>IF(ISBLANK('Data Entry'!$¨$429), "", 'Data Entry'!$¨$429)</f>
      </c>
      <c r="DA429">
        <f>IF(ISBLANK('Data Entry'!$©$429), "", 'Data Entry'!$©$429)</f>
      </c>
      <c r="DB429">
        <f>IF(ISBLANK('Data Entry'!$ª$429), "", 'Data Entry'!$ª$429)</f>
      </c>
      <c r="DC429">
        <f>IF(ISBLANK('Data Entry'!$«$429), "", 'Data Entry'!$«$429)</f>
      </c>
      <c r="DD429">
        <f>IF(ISBLANK('Data Entry'!$¬$429), "", 'Data Entry'!$¬$429)</f>
      </c>
      <c r="DE429">
        <f>IF(ISBLANK('Data Entry'!$­$429), "", 'Data Entry'!$­$429)</f>
      </c>
      <c r="DF429">
        <f>IF(ISBLANK('Data Entry'!$®$429), "", 'Data Entry'!$®$429)</f>
      </c>
      <c r="DG429">
        <f>IF(ISBLANK('Data Entry'!$¯$429), "", 'Data Entry'!$¯$429)</f>
      </c>
      <c r="DH429">
        <f>IF(ISBLANK('Data Entry'!$°$429), "", 'Data Entry'!$°$429)</f>
      </c>
      <c r="DI429">
        <f>IF(ISBLANK('Data Entry'!$±$429), "", 'Data Entry'!$±$429)</f>
      </c>
      <c r="DJ429">
        <f>IF(ISBLANK('Data Entry'!$²$429), "", 'Data Entry'!$²$429)</f>
      </c>
      <c r="DK429">
        <f>IF(ISBLANK('Data Entry'!$³$429), "", 'Data Entry'!$³$429)</f>
      </c>
      <c r="DL429">
        <f>IF(ISBLANK('Data Entry'!$´$429), "", 'Data Entry'!$´$429)</f>
      </c>
      <c r="DM429">
        <f>IF(ISBLANK('Data Entry'!$µ$429), "", 'Data Entry'!$µ$429)</f>
      </c>
      <c r="DN429">
        <f>IF(ISBLANK('Data Entry'!$¶$429), "", 'Data Entry'!$¶$429)</f>
      </c>
      <c r="DO429">
        <f>IF(ISBLANK('Data Entry'!$·$429), "", 'Data Entry'!$·$429)</f>
      </c>
      <c r="DP429">
        <f>IF(ISBLANK('Data Entry'!$¸$429), "", 'Data Entry'!$¸$429)</f>
      </c>
      <c r="DQ429">
        <f>IF(ISBLANK('Data Entry'!$¹$429), "", 'Data Entry'!$¹$429)</f>
      </c>
      <c r="DR429">
        <f>IF(ISBLANK('Data Entry'!$º$429), "", 'Data Entry'!$º$429)</f>
      </c>
      <c r="DS429">
        <f>IF(ISBLANK('Data Entry'!$»$429), "", 'Data Entry'!$»$429)</f>
      </c>
      <c r="DT429">
        <f>IF(ISBLANK('Data Entry'!$¼$429), "", 'Data Entry'!$¼$429)</f>
      </c>
      <c r="DU429">
        <f>IF(ISBLANK('Data Entry'!$½$429), "", 'Data Entry'!$½$429)</f>
      </c>
      <c r="DV429">
        <f>IF(ISBLANK('Data Entry'!$¾$429), "", 'Data Entry'!$¾$429)</f>
      </c>
      <c r="DW429">
        <f>IF(ISBLANK('Data Entry'!$¿$429), "", 'Data Entry'!$¿$429)</f>
      </c>
      <c r="DX429">
        <f>IF(ISBLANK('Data Entry'!$À$429), "", 'Data Entry'!$À$429)</f>
      </c>
      <c r="DY429">
        <f>IF(ISBLANK('Data Entry'!$Á$429), "", 'Data Entry'!$Á$429)</f>
      </c>
      <c r="DZ429">
        <f>IF(ISBLANK('Data Entry'!$Â$429), "", 'Data Entry'!$Â$429)</f>
      </c>
      <c r="EA429">
        <f>IF(ISBLANK('Data Entry'!$Ã$429), "", 'Data Entry'!$Ã$429)</f>
      </c>
      <c r="EB429">
        <f>IF(ISBLANK('Data Entry'!$Ä$429), "", 'Data Entry'!$Ä$429)</f>
      </c>
      <c r="EC429">
        <f>IF(ISBLANK('Data Entry'!$Å$429), "", 'Data Entry'!$Å$429)</f>
      </c>
      <c r="ED429">
        <f>IF(ISBLANK('Data Entry'!$Æ$429), "", 'Data Entry'!$Æ$429)</f>
      </c>
      <c r="EE429">
        <f>IF(ISBLANK('Data Entry'!$Ç$429), "", 'Data Entry'!$Ç$429)</f>
      </c>
      <c r="EF429">
        <f>IF(ISBLANK('Data Entry'!$È$429), "", 'Data Entry'!$È$429)</f>
      </c>
      <c r="EG429">
        <f>IF(ISBLANK('Data Entry'!$É$429), "", 'Data Entry'!$É$429)</f>
      </c>
      <c r="EH429">
        <f>IF(ISBLANK('Data Entry'!$Ê$429), "", 'Data Entry'!$Ê$429)</f>
      </c>
      <c r="EI429">
        <f>IF(ISBLANK('Data Entry'!$Ë$429), "", 'Data Entry'!$Ë$429)</f>
      </c>
      <c r="EJ429">
        <f>IF(ISBLANK('Data Entry'!$Ì$429), "", 'Data Entry'!$Ì$429)</f>
      </c>
      <c r="EK429">
        <f>IF(ISBLANK('Data Entry'!$Í$429), "", 'Data Entry'!$Í$429)</f>
      </c>
      <c r="EL429">
        <f>IF(ISBLANK('Data Entry'!$Î$429), "", 'Data Entry'!$Î$429)</f>
      </c>
      <c r="EM429">
        <f>IF(ISBLANK('Data Entry'!$Ï$429), "", 'Data Entry'!$Ï$429)</f>
      </c>
      <c r="EN429">
        <f>IF(ISBLANK('Data Entry'!$Ð$429), "", 'Data Entry'!$Ð$429)</f>
      </c>
      <c r="EO429">
        <f>IF(ISBLANK('Data Entry'!$Ñ$429), "", 'Data Entry'!$Ñ$429)</f>
      </c>
      <c r="EP429">
        <f>IF(ISBLANK('Data Entry'!$Ò$429), "", 'Data Entry'!$Ò$429)</f>
      </c>
      <c r="EQ429">
        <f>IF(ISBLANK('Data Entry'!$Ó$429), "", 'Data Entry'!$Ó$429)</f>
      </c>
      <c r="ER429">
        <f>IF(ISBLANK('Data Entry'!$Ô$429), "", 'Data Entry'!$Ô$429)</f>
      </c>
      <c r="ES429">
        <f>IF(ISBLANK('Data Entry'!$Õ$429), "", 'Data Entry'!$Õ$429)</f>
      </c>
      <c r="ET429">
        <f>IF(ISBLANK('Data Entry'!$Ö$429), "", 'Data Entry'!$Ö$429)</f>
      </c>
      <c r="EU429">
        <f>IF(ISBLANK('Data Entry'!$×$429), "", 'Data Entry'!$×$429)</f>
      </c>
      <c r="EV429">
        <f>IF(ISBLANK('Data Entry'!$Ø$429), "", 'Data Entry'!$Ø$429)</f>
      </c>
      <c r="EW429">
        <f>IF(ISBLANK('Data Entry'!$Ù$429), "", 'Data Entry'!$Ù$429)</f>
      </c>
      <c r="EX429">
        <f>IF(ISBLANK('Data Entry'!$Ú$429), "", 'Data Entry'!$Ú$429)</f>
      </c>
      <c r="EY429">
        <f>IF(ISBLANK('Data Entry'!$Û$429), "", 'Data Entry'!$Û$429)</f>
      </c>
      <c r="EZ429">
        <f>IF(ISBLANK('Data Entry'!$Ü$429), "", 'Data Entry'!$Ü$429)</f>
      </c>
      <c r="FA429">
        <f>IF(ISBLANK('Data Entry'!$Ý$429), "", 'Data Entry'!$Ý$429)</f>
      </c>
      <c r="FB429">
        <f>IF(ISBLANK('Data Entry'!$Þ$429), "", 'Data Entry'!$Þ$429)</f>
      </c>
      <c r="FC429">
        <f>IF(ISBLANK('Data Entry'!$ß$429), "", 'Data Entry'!$ß$429)</f>
      </c>
      <c r="FD429">
        <f>IF(ISBLANK('Data Entry'!$à$429), "", 'Data Entry'!$à$429)</f>
      </c>
      <c r="FE429">
        <f>IF(ISBLANK('Data Entry'!$á$429), "", 'Data Entry'!$á$429)</f>
      </c>
      <c r="FF429">
        <f>IF(ISBLANK('Data Entry'!$â$429), "", 'Data Entry'!$â$429)</f>
      </c>
      <c r="FG429">
        <f>IF(ISBLANK('Data Entry'!$ã$429), "", 'Data Entry'!$ã$429)</f>
      </c>
      <c r="FH429">
        <f>IF(ISBLANK('Data Entry'!$ä$429), "", 'Data Entry'!$ä$429)</f>
      </c>
      <c r="FI429">
        <f>IF(ISBLANK('Data Entry'!$å$429), "", 'Data Entry'!$å$429)</f>
      </c>
      <c r="FJ429">
        <f>IF(ISBLANK('Data Entry'!$æ$429), "", 'Data Entry'!$æ$429)</f>
      </c>
      <c r="FK429">
        <f>IF(ISBLANK('Data Entry'!$ç$429), "", 'Data Entry'!$ç$429)</f>
      </c>
      <c r="FL429">
        <f>IF(ISBLANK('Data Entry'!$è$429), "", 'Data Entry'!$è$429)</f>
      </c>
      <c r="FM429">
        <f>IF(ISBLANK('Data Entry'!$é$429), "", 'Data Entry'!$é$429)</f>
      </c>
      <c r="FN429">
        <f>IF(ISBLANK('Data Entry'!$ê$429), "", 'Data Entry'!$ê$429)</f>
      </c>
      <c r="FO429">
        <f>IF(ISBLANK('Data Entry'!$ë$429), "", 'Data Entry'!$ë$429)</f>
      </c>
      <c r="FP429">
        <f>IF(ISBLANK('Data Entry'!$ì$429), "", 'Data Entry'!$ì$429)</f>
      </c>
      <c r="FQ429">
        <f>IF(ISBLANK('Data Entry'!$í$429), "", 'Data Entry'!$í$429)</f>
      </c>
      <c r="FR429">
        <f>IF(ISBLANK('Data Entry'!$î$429), "", 'Data Entry'!$î$429)</f>
      </c>
      <c r="FS429">
        <f>IF(ISBLANK('Data Entry'!$ï$429), "", 'Data Entry'!$ï$429)</f>
      </c>
      <c r="FT429">
        <f>IF(ISBLANK('Data Entry'!$ð$429), "", 'Data Entry'!$ð$429)</f>
      </c>
      <c r="FU429">
        <f>IF(ISBLANK('Data Entry'!$ñ$429), "", 'Data Entry'!$ñ$429)</f>
      </c>
      <c r="FV429">
        <f>IF(ISBLANK('Data Entry'!$ò$429), "", 'Data Entry'!$ò$429)</f>
      </c>
      <c r="FW429">
        <f>IF(ISBLANK('Data Entry'!$ó$429), "", 'Data Entry'!$ó$429)</f>
      </c>
      <c r="FX429">
        <f>IF(ISBLANK('Data Entry'!$ô$429), "", 'Data Entry'!$ô$429)</f>
      </c>
      <c r="FY429">
        <f>IF(ISBLANK('Data Entry'!$õ$429), "", 'Data Entry'!$õ$429)</f>
      </c>
      <c r="FZ429">
        <f>IF(ISBLANK('Data Entry'!$ö$429), "", 'Data Entry'!$ö$429)</f>
      </c>
      <c r="GA429">
        <f>IF(ISBLANK('Data Entry'!$÷$429), "", 'Data Entry'!$÷$429)</f>
      </c>
      <c r="GB429">
        <f>IF(ISBLANK('Data Entry'!$ø$429), "", 'Data Entry'!$ø$429)</f>
      </c>
      <c r="GC429">
        <f>IF(ISBLANK('Data Entry'!$ù$429), "", 'Data Entry'!$ù$429)</f>
      </c>
      <c r="GD429">
        <f>IF(ISBLANK('Data Entry'!$ú$429), "", 'Data Entry'!$ú$429)</f>
      </c>
      <c r="GE429">
        <f>IF(ISBLANK('Data Entry'!$û$429), "", 'Data Entry'!$û$429)</f>
      </c>
      <c r="GF429">
        <f>IF(ISBLANK('Data Entry'!$ü$429), "", 'Data Entry'!$ü$429)</f>
      </c>
      <c r="GG429">
        <f>IF(ISBLANK('Data Entry'!$ý$429), "", 'Data Entry'!$ý$429)</f>
      </c>
      <c r="GH429">
        <f>IF(ISBLANK('Data Entry'!$þ$429), "", 'Data Entry'!$þ$429)</f>
      </c>
      <c r="GI429">
        <f>IF(ISBLANK('Data Entry'!$ÿ$429), "", 'Data Entry'!$ÿ$429)</f>
      </c>
      <c r="GJ429">
        <f>IF(ISBLANK('Data Entry'!$Ā$429), "", 'Data Entry'!$Ā$429)</f>
      </c>
      <c r="GK429">
        <f>IF(ISBLANK('Data Entry'!$ā$429), "", 'Data Entry'!$ā$429)</f>
      </c>
      <c r="GL429">
        <f>IF(ISBLANK('Data Entry'!$Ă$429), "", 'Data Entry'!$Ă$429)</f>
      </c>
      <c r="GM429">
        <f>IF(ISBLANK('Data Entry'!$ă$429), "", 'Data Entry'!$ă$429)</f>
      </c>
      <c r="GN429">
        <f>IF(ISBLANK('Data Entry'!$Ą$429), "", 'Data Entry'!$Ą$429)</f>
      </c>
      <c r="GO429">
        <f>IF(ISBLANK('Data Entry'!$ą$429), "", 'Data Entry'!$ą$429)</f>
      </c>
      <c r="GP429">
        <f>IF(ISBLANK('Data Entry'!$Ć$429), "", 'Data Entry'!$Ć$429)</f>
      </c>
      <c r="GQ429">
        <f>IF(ISBLANK('Data Entry'!$ć$429), "", 'Data Entry'!$ć$429)</f>
      </c>
      <c r="GR429">
        <f>IF(ISBLANK('Data Entry'!$Ĉ$429), "", 'Data Entry'!$Ĉ$429)</f>
      </c>
      <c r="GS429">
        <f>IF(ISBLANK('Data Entry'!$ĉ$429), "", 'Data Entry'!$ĉ$429)</f>
      </c>
      <c r="GT429">
        <f>IF(ISBLANK('Data Entry'!$Ċ$429), "", 'Data Entry'!$Ċ$429)</f>
      </c>
      <c r="GU429">
        <f>IF(ISBLANK('Data Entry'!$ċ$429), "", 'Data Entry'!$ċ$429)</f>
      </c>
      <c r="GV429">
        <f>IF(ISBLANK('Data Entry'!$Č$429), "", 'Data Entry'!$Č$429)</f>
      </c>
      <c r="GW429">
        <f>IF(ISBLANK('Data Entry'!$č$429), "", 'Data Entry'!$č$429)</f>
      </c>
      <c r="GX429">
        <f>IF(ISBLANK('Data Entry'!$Ď$429), "", 'Data Entry'!$Ď$429)</f>
      </c>
      <c r="GY429">
        <f>IF(ISBLANK('Data Entry'!$ď$429), "", 'Data Entry'!$ď$429)</f>
      </c>
      <c r="GZ429">
        <f>IF(ISBLANK('Data Entry'!$Đ$429), "", 'Data Entry'!$Đ$429)</f>
      </c>
      <c r="HA429">
        <f>IF(ISBLANK('Data Entry'!$đ$429), "", 'Data Entry'!$đ$429)</f>
      </c>
      <c r="HB429">
        <f>IF(ISBLANK('Data Entry'!$Ē$429), "", 'Data Entry'!$Ē$429)</f>
      </c>
      <c r="HC429">
        <f>IF(ISBLANK('Data Entry'!$ē$429), "", 'Data Entry'!$ē$429)</f>
      </c>
      <c r="HD429">
        <f>IF(ISBLANK('Data Entry'!$Ĕ$429), "", 'Data Entry'!$Ĕ$429)</f>
      </c>
      <c r="HE429">
        <f>IF(ISBLANK('Data Entry'!$ĕ$429), "", 'Data Entry'!$ĕ$429)</f>
      </c>
      <c r="HF429">
        <f>IF(ISBLANK('Data Entry'!$Ė$429), "", 'Data Entry'!$Ė$429)</f>
      </c>
      <c r="HG429">
        <f>IF(ISBLANK('Data Entry'!$ė$429), "", 'Data Entry'!$ė$429)</f>
      </c>
      <c r="HH429">
        <f>IF(ISBLANK('Data Entry'!$Ę$429), "", 'Data Entry'!$Ę$429)</f>
      </c>
      <c r="HI429">
        <f>IF(ISBLANK('Data Entry'!$ę$429), "", 'Data Entry'!$ę$429)</f>
      </c>
      <c r="HJ429">
        <f>IF(ISBLANK('Data Entry'!$Ě$429), "", 'Data Entry'!$Ě$429)</f>
      </c>
      <c r="HK429">
        <f>IF(ISBLANK('Data Entry'!$ě$429), "", 'Data Entry'!$ě$429)</f>
      </c>
      <c r="HL429">
        <f>IF(ISBLANK('Data Entry'!$Ĝ$429), "", 'Data Entry'!$Ĝ$429)</f>
      </c>
      <c r="HM429">
        <f>IF(ISBLANK('Data Entry'!$ĝ$429), "", 'Data Entry'!$ĝ$429)</f>
      </c>
      <c r="HN429">
        <f>IF(ISBLANK('Data Entry'!$Ğ$429), "", 'Data Entry'!$Ğ$429)</f>
      </c>
      <c r="HO429">
        <f>IF(ISBLANK('Data Entry'!$ğ$429), "", 'Data Entry'!$ğ$429)</f>
      </c>
      <c r="HP429">
        <f>IF(ISBLANK('Data Entry'!$Ġ$429), "", 'Data Entry'!$Ġ$429)</f>
      </c>
      <c r="HQ429">
        <f>IF(ISBLANK('Data Entry'!$ġ$429), "", 'Data Entry'!$ġ$429)</f>
      </c>
      <c r="HR429">
        <f>IF(ISBLANK('Data Entry'!$Ģ$429), "", 'Data Entry'!$Ģ$429)</f>
      </c>
      <c r="HS429">
        <f>IF(ISBLANK('Data Entry'!$ģ$429), "", 'Data Entry'!$ģ$429)</f>
      </c>
      <c r="HT429">
        <f>IF(ISBLANK('Data Entry'!$Ĥ$429), "", 'Data Entry'!$Ĥ$429)</f>
      </c>
      <c r="HU429">
        <f>IF(ISBLANK('Data Entry'!$ĥ$429), "", 'Data Entry'!$ĥ$429)</f>
      </c>
      <c r="HV429">
        <f>IF(ISBLANK('Data Entry'!$Ħ$429), "", 'Data Entry'!$Ħ$429)</f>
      </c>
      <c r="HW429">
        <f>IF(ISBLANK('Data Entry'!$ħ$429), "", 'Data Entry'!$ħ$429)</f>
      </c>
      <c r="HX429">
        <f>IF(ISBLANK('Data Entry'!$Ĩ$429), "", 'Data Entry'!$Ĩ$429)</f>
      </c>
      <c r="HY429">
        <f>IF(ISBLANK('Data Entry'!$ĩ$429), "", 'Data Entry'!$ĩ$429)</f>
      </c>
      <c r="HZ429">
        <f>IF(ISBLANK('Data Entry'!$Ī$429), "", 'Data Entry'!$Ī$429)</f>
      </c>
      <c r="IA429">
        <f>IF(ISBLANK('Data Entry'!$ī$429), "", 'Data Entry'!$ī$429)</f>
      </c>
      <c r="IB429">
        <f>IF(ISBLANK('Data Entry'!$Ĭ$429), "", 'Data Entry'!$Ĭ$429)</f>
      </c>
      <c r="IC429">
        <f>IF(ISBLANK('Data Entry'!$ĭ$429), "", 'Data Entry'!$ĭ$429)</f>
      </c>
      <c r="ID429">
        <f>IF(ISBLANK('Data Entry'!$Į$429), "", 'Data Entry'!$Į$429)</f>
      </c>
      <c r="IE429">
        <f>IF(ISBLANK('Data Entry'!$į$429), "", 'Data Entry'!$į$429)</f>
      </c>
      <c r="IF429">
        <f>IF(ISBLANK('Data Entry'!$İ$429), "", 'Data Entry'!$İ$429)</f>
      </c>
      <c r="IG429">
        <f>IF(ISBLANK('Data Entry'!$ı$429), "", 'Data Entry'!$ı$429)</f>
      </c>
      <c r="IH429">
        <f>IF(ISBLANK('Data Entry'!$Ĳ$429), "", 'Data Entry'!$Ĳ$429)</f>
      </c>
      <c r="II429">
        <f>IF(ISBLANK('Data Entry'!$ĳ$429), "", 'Data Entry'!$ĳ$429)</f>
      </c>
      <c r="IJ429">
        <f>IF(ISBLANK('Data Entry'!$Ĵ$429), "", 'Data Entry'!$Ĵ$429)</f>
      </c>
      <c r="IK429">
        <f>IF(ISBLANK('Data Entry'!$ĵ$429), "", 'Data Entry'!$ĵ$429)</f>
      </c>
      <c r="IL429">
        <f>IF(ISBLANK('Data Entry'!$Ķ$429), "", 'Data Entry'!$Ķ$429)</f>
      </c>
      <c r="IM429">
        <f>IF(ISBLANK('Data Entry'!$ķ$429), "", 'Data Entry'!$ķ$429)</f>
      </c>
      <c r="IN429">
        <f>IF(ISBLANK('Data Entry'!$ĸ$429), "", 'Data Entry'!$ĸ$429)</f>
      </c>
      <c r="IO429">
        <f>IF(ISBLANK('Data Entry'!$Ĺ$429), "", 'Data Entry'!$Ĺ$429)</f>
      </c>
      <c r="IP429">
        <f>IF(ISBLANK('Data Entry'!$ĺ$429), "", 'Data Entry'!$ĺ$429)</f>
      </c>
      <c r="IQ429">
        <f>IF(ISBLANK('Data Entry'!$Ļ$429), "", 'Data Entry'!$Ļ$429)</f>
      </c>
      <c r="IR429">
        <f>IF(ISBLANK('Data Entry'!$ļ$429), "", 'Data Entry'!$ļ$429)</f>
      </c>
      <c r="IS429">
        <f>IF(ISBLANK('Data Entry'!$Ľ$429), "", 'Data Entry'!$Ľ$429)</f>
      </c>
      <c r="IT429">
        <f>IF(ISBLANK('Data Entry'!$ľ$429), "", 'Data Entry'!$ľ$429)</f>
      </c>
    </row>
    <row r="430" spans="1:254" x14ac:dyDescent="0.25">
      <c r="A430">
        <f>IF(ISBLANK('Data Entry'!$A$430), "", 'Data Entry'!$A$430)</f>
      </c>
      <c r="B430">
        <f>IF(ISBLANK('Data Entry'!$B$430), "", 'Data Entry'!$B$430)</f>
      </c>
      <c r="C430">
        <f>IF(ISBLANK('Data Entry'!$C$430), "", 'Data Entry'!$C$430)</f>
      </c>
      <c r="D430">
        <f>IF(ISBLANK('Data Entry'!$D$430), "", 'Data Entry'!$D$430)</f>
      </c>
      <c r="E430">
        <f>IF(ISBLANK('Data Entry'!$E$430), "", 'Data Entry'!$E$430)</f>
      </c>
      <c r="F430">
        <f>IF(ISBLANK('Data Entry'!$F$430), "", 'Data Entry'!$F$430)</f>
      </c>
      <c r="G430">
        <f>IF(ISBLANK('Data Entry'!$G$430), "", 'Data Entry'!$G$430)</f>
      </c>
      <c r="H430">
        <f>IF(ISBLANK('Data Entry'!$H$430), "", 'Data Entry'!$H$430)</f>
      </c>
      <c r="I430">
        <f>IF(ISBLANK('Data Entry'!$I$430), "", 'Data Entry'!$I$430)</f>
      </c>
      <c r="J430">
        <f>IF(ISBLANK('Data Entry'!$J$430), "", 'Data Entry'!$J$430)</f>
      </c>
      <c r="K430">
        <f>IF(ISBLANK('Data Entry'!$K$430), "", 'Data Entry'!$K$430)</f>
      </c>
      <c r="L430">
        <f>IF(ISBLANK('Data Entry'!$L$430), "", 'Data Entry'!$L$430)</f>
      </c>
      <c r="M430">
        <f>IF(ISBLANK('Data Entry'!$M$430), "", 'Data Entry'!$M$430)</f>
      </c>
      <c r="N430">
        <f>IF(ISBLANK('Data Entry'!$N$430), "", 'Data Entry'!$N$430)</f>
      </c>
      <c r="O430">
        <f>IF(ISBLANK('Data Entry'!$O$430), "", 'Data Entry'!$O$430)</f>
      </c>
      <c r="P430">
        <f>IF(ISBLANK('Data Entry'!$P$430), "", 'Data Entry'!$P$430)</f>
      </c>
      <c r="Q430">
        <f>IF(ISBLANK('Data Entry'!$Q$430), "", 'Data Entry'!$Q$430)</f>
      </c>
      <c r="R430">
        <f>IF(ISBLANK('Data Entry'!$R$430), "", 'Data Entry'!$R$430)</f>
      </c>
      <c r="S430">
        <f>IF(ISBLANK('Data Entry'!$S$430), "", 'Data Entry'!$S$430)</f>
      </c>
      <c r="T430">
        <f>IF(ISBLANK('Data Entry'!$T$430), "", 'Data Entry'!$T$430)</f>
      </c>
      <c r="U430">
        <f>IF(ISBLANK('Data Entry'!$U$430), "", 'Data Entry'!$U$430)</f>
      </c>
      <c r="V430">
        <f>IF(ISBLANK('Data Entry'!$V$430), "", 'Data Entry'!$V$430)</f>
      </c>
      <c r="W430">
        <f>IF(ISBLANK('Data Entry'!$W$430), "", 'Data Entry'!$W$430)</f>
      </c>
      <c r="X430">
        <f>IF(ISBLANK('Data Entry'!$X$430), "", 'Data Entry'!$X$430)</f>
      </c>
      <c r="Y430">
        <f>IF(ISBLANK('Data Entry'!$Y$430), "", 'Data Entry'!$Y$430)</f>
      </c>
      <c r="Z430">
        <f>IF(ISBLANK('Data Entry'!$Z$430), "", 'Data Entry'!$Z$430)</f>
      </c>
      <c r="AA430">
        <f>IF(ISBLANK('Data Entry'!$[$430), "", 'Data Entry'!$[$430)</f>
      </c>
      <c r="AB430">
        <f>IF(ISBLANK('Data Entry'!$\$430), "", 'Data Entry'!$\$430)</f>
      </c>
      <c r="AC430">
        <f>IF(ISBLANK('Data Entry'!$]$430), "", 'Data Entry'!$]$430)</f>
      </c>
      <c r="AD430">
        <f>IF(ISBLANK('Data Entry'!$^$430), "", 'Data Entry'!$^$430)</f>
      </c>
      <c r="AE430">
        <f>IF(ISBLANK('Data Entry'!$_$430), "", 'Data Entry'!$_$430)</f>
      </c>
      <c r="AF430">
        <f>IF(ISBLANK('Data Entry'!$`$430), "", 'Data Entry'!$`$430)</f>
      </c>
      <c r="AG430">
        <f>IF(ISBLANK('Data Entry'!$a$430), "", 'Data Entry'!$a$430)</f>
      </c>
      <c r="AH430">
        <f>IF(ISBLANK('Data Entry'!$b$430), "", 'Data Entry'!$b$430)</f>
      </c>
      <c r="AI430">
        <f>IF(ISBLANK('Data Entry'!$c$430), "", 'Data Entry'!$c$430)</f>
      </c>
      <c r="AJ430">
        <f>IF(ISBLANK('Data Entry'!$d$430), "", 'Data Entry'!$d$430)</f>
      </c>
      <c r="AK430">
        <f>IF(ISBLANK('Data Entry'!$e$430), "", 'Data Entry'!$e$430)</f>
      </c>
      <c r="AL430">
        <f>IF(ISBLANK('Data Entry'!$f$430), "", 'Data Entry'!$f$430)</f>
      </c>
      <c r="AM430">
        <f>IF(ISBLANK('Data Entry'!$g$430), "", 'Data Entry'!$g$430)</f>
      </c>
      <c r="AN430">
        <f>IF(ISBLANK('Data Entry'!$h$430), "", 'Data Entry'!$h$430)</f>
      </c>
      <c r="AO430">
        <f>IF(ISBLANK('Data Entry'!$i$430), "", 'Data Entry'!$i$430)</f>
      </c>
      <c r="AP430">
        <f>IF(ISBLANK('Data Entry'!$j$430), "", 'Data Entry'!$j$430)</f>
      </c>
      <c r="AQ430">
        <f>IF(ISBLANK('Data Entry'!$k$430), "", 'Data Entry'!$k$430)</f>
      </c>
      <c r="AR430">
        <f>IF(ISBLANK('Data Entry'!$l$430), "", 'Data Entry'!$l$430)</f>
      </c>
      <c r="AS430">
        <f>IF(ISBLANK('Data Entry'!$m$430), "", 'Data Entry'!$m$430)</f>
      </c>
      <c r="AT430">
        <f>IF(ISBLANK('Data Entry'!$n$430), "", 'Data Entry'!$n$430)</f>
      </c>
      <c r="AU430">
        <f>IF(ISBLANK('Data Entry'!$o$430), "", 'Data Entry'!$o$430)</f>
      </c>
      <c r="AV430">
        <f>IF(ISBLANK('Data Entry'!$p$430), "", 'Data Entry'!$p$430)</f>
      </c>
      <c r="AW430">
        <f>IF(ISBLANK('Data Entry'!$q$430), "", 'Data Entry'!$q$430)</f>
      </c>
      <c r="AX430">
        <f>IF(ISBLANK('Data Entry'!$r$430), "", 'Data Entry'!$r$430)</f>
      </c>
      <c r="AY430">
        <f>IF(ISBLANK('Data Entry'!$s$430), "", 'Data Entry'!$s$430)</f>
      </c>
      <c r="AZ430">
        <f>IF(ISBLANK('Data Entry'!$t$430), "", 'Data Entry'!$t$430)</f>
      </c>
      <c r="BA430">
        <f>IF(ISBLANK('Data Entry'!$u$430), "", 'Data Entry'!$u$430)</f>
      </c>
      <c r="BB430">
        <f>IF(ISBLANK('Data Entry'!$v$430), "", 'Data Entry'!$v$430)</f>
      </c>
      <c r="BC430">
        <f>IF(ISBLANK('Data Entry'!$w$430), "", 'Data Entry'!$w$430)</f>
      </c>
      <c r="BD430">
        <f>IF(ISBLANK('Data Entry'!$x$430), "", 'Data Entry'!$x$430)</f>
      </c>
      <c r="BE430">
        <f>IF(ISBLANK('Data Entry'!$y$430), "", 'Data Entry'!$y$430)</f>
      </c>
      <c r="BF430">
        <f>IF(ISBLANK('Data Entry'!$z$430), "", 'Data Entry'!$z$430)</f>
      </c>
      <c r="BG430">
        <f>IF(ISBLANK('Data Entry'!${$430), "", 'Data Entry'!${$430)</f>
      </c>
      <c r="BH430">
        <f>IF(ISBLANK('Data Entry'!$|$430), "", 'Data Entry'!$|$430)</f>
      </c>
      <c r="BI430">
        <f>IF(ISBLANK('Data Entry'!$}$430), "", 'Data Entry'!$}$430)</f>
      </c>
      <c r="BJ430">
        <f>IF(ISBLANK('Data Entry'!$~$430), "", 'Data Entry'!$~$430)</f>
      </c>
      <c r="BK430">
        <f>IF(ISBLANK('Data Entry'!$$430), "", 'Data Entry'!$$430)</f>
      </c>
      <c r="BL430">
        <f>IF(ISBLANK('Data Entry'!$$430), "", 'Data Entry'!$$430)</f>
      </c>
      <c r="BM430">
        <f>IF(ISBLANK('Data Entry'!$$430), "", 'Data Entry'!$$430)</f>
      </c>
      <c r="BN430">
        <f>IF(ISBLANK('Data Entry'!$$430), "", 'Data Entry'!$$430)</f>
      </c>
      <c r="BO430">
        <f>IF(ISBLANK('Data Entry'!$$430), "", 'Data Entry'!$$430)</f>
      </c>
      <c r="BP430">
        <f>IF(ISBLANK('Data Entry'!$$430), "", 'Data Entry'!$$430)</f>
      </c>
      <c r="BQ430">
        <f>IF(ISBLANK('Data Entry'!$$430), "", 'Data Entry'!$$430)</f>
      </c>
      <c r="BR430">
        <f>IF(ISBLANK('Data Entry'!$$430), "", 'Data Entry'!$$430)</f>
      </c>
      <c r="BS430">
        <f>IF(ISBLANK('Data Entry'!$$430), "", 'Data Entry'!$$430)</f>
      </c>
      <c r="BT430">
        <f>IF(ISBLANK('Data Entry'!$$430), "", 'Data Entry'!$$430)</f>
      </c>
      <c r="BU430">
        <f>IF(ISBLANK('Data Entry'!$$430), "", 'Data Entry'!$$430)</f>
      </c>
      <c r="BV430">
        <f>IF(ISBLANK('Data Entry'!$$430), "", 'Data Entry'!$$430)</f>
      </c>
      <c r="BW430">
        <f>IF(ISBLANK('Data Entry'!$$430), "", 'Data Entry'!$$430)</f>
      </c>
      <c r="BX430">
        <f>IF(ISBLANK('Data Entry'!$$430), "", 'Data Entry'!$$430)</f>
      </c>
      <c r="BY430">
        <f>IF(ISBLANK('Data Entry'!$$430), "", 'Data Entry'!$$430)</f>
      </c>
      <c r="BZ430">
        <f>IF(ISBLANK('Data Entry'!$$430), "", 'Data Entry'!$$430)</f>
      </c>
      <c r="CA430">
        <f>IF(ISBLANK('Data Entry'!$$430), "", 'Data Entry'!$$430)</f>
      </c>
      <c r="CB430">
        <f>IF(ISBLANK('Data Entry'!$$430), "", 'Data Entry'!$$430)</f>
      </c>
      <c r="CC430">
        <f>IF(ISBLANK('Data Entry'!$$430), "", 'Data Entry'!$$430)</f>
      </c>
      <c r="CD430">
        <f>IF(ISBLANK('Data Entry'!$$430), "", 'Data Entry'!$$430)</f>
      </c>
      <c r="CE430">
        <f>IF(ISBLANK('Data Entry'!$$430), "", 'Data Entry'!$$430)</f>
      </c>
      <c r="CF430">
        <f>IF(ISBLANK('Data Entry'!$$430), "", 'Data Entry'!$$430)</f>
      </c>
      <c r="CG430">
        <f>IF(ISBLANK('Data Entry'!$$430), "", 'Data Entry'!$$430)</f>
      </c>
      <c r="CH430">
        <f>IF(ISBLANK('Data Entry'!$$430), "", 'Data Entry'!$$430)</f>
      </c>
      <c r="CI430">
        <f>IF(ISBLANK('Data Entry'!$$430), "", 'Data Entry'!$$430)</f>
      </c>
      <c r="CJ430">
        <f>IF(ISBLANK('Data Entry'!$$430), "", 'Data Entry'!$$430)</f>
      </c>
      <c r="CK430">
        <f>IF(ISBLANK('Data Entry'!$$430), "", 'Data Entry'!$$430)</f>
      </c>
      <c r="CL430">
        <f>IF(ISBLANK('Data Entry'!$$430), "", 'Data Entry'!$$430)</f>
      </c>
      <c r="CM430">
        <f>IF(ISBLANK('Data Entry'!$$430), "", 'Data Entry'!$$430)</f>
      </c>
      <c r="CN430">
        <f>IF(ISBLANK('Data Entry'!$$430), "", 'Data Entry'!$$430)</f>
      </c>
      <c r="CO430">
        <f>IF(ISBLANK('Data Entry'!$$430), "", 'Data Entry'!$$430)</f>
      </c>
      <c r="CP430">
        <f>IF(ISBLANK('Data Entry'!$$430), "", 'Data Entry'!$$430)</f>
      </c>
      <c r="CQ430">
        <f>IF(ISBLANK('Data Entry'!$$430), "", 'Data Entry'!$$430)</f>
      </c>
      <c r="CR430">
        <f>IF(ISBLANK('Data Entry'!$ $430), "", 'Data Entry'!$ $430)</f>
      </c>
      <c r="CS430">
        <f>IF(ISBLANK('Data Entry'!$¡$430), "", 'Data Entry'!$¡$430)</f>
      </c>
      <c r="CT430">
        <f>IF(ISBLANK('Data Entry'!$¢$430), "", 'Data Entry'!$¢$430)</f>
      </c>
      <c r="CU430">
        <f>IF(ISBLANK('Data Entry'!$£$430), "", 'Data Entry'!$£$430)</f>
      </c>
      <c r="CV430">
        <f>IF(ISBLANK('Data Entry'!$¤$430), "", 'Data Entry'!$¤$430)</f>
      </c>
      <c r="CW430">
        <f>IF(ISBLANK('Data Entry'!$¥$430), "", 'Data Entry'!$¥$430)</f>
      </c>
      <c r="CX430">
        <f>IF(ISBLANK('Data Entry'!$¦$430), "", 'Data Entry'!$¦$430)</f>
      </c>
      <c r="CY430">
        <f>IF(ISBLANK('Data Entry'!$§$430), "", 'Data Entry'!$§$430)</f>
      </c>
      <c r="CZ430">
        <f>IF(ISBLANK('Data Entry'!$¨$430), "", 'Data Entry'!$¨$430)</f>
      </c>
      <c r="DA430">
        <f>IF(ISBLANK('Data Entry'!$©$430), "", 'Data Entry'!$©$430)</f>
      </c>
      <c r="DB430">
        <f>IF(ISBLANK('Data Entry'!$ª$430), "", 'Data Entry'!$ª$430)</f>
      </c>
      <c r="DC430">
        <f>IF(ISBLANK('Data Entry'!$«$430), "", 'Data Entry'!$«$430)</f>
      </c>
      <c r="DD430">
        <f>IF(ISBLANK('Data Entry'!$¬$430), "", 'Data Entry'!$¬$430)</f>
      </c>
      <c r="DE430">
        <f>IF(ISBLANK('Data Entry'!$­$430), "", 'Data Entry'!$­$430)</f>
      </c>
      <c r="DF430">
        <f>IF(ISBLANK('Data Entry'!$®$430), "", 'Data Entry'!$®$430)</f>
      </c>
      <c r="DG430">
        <f>IF(ISBLANK('Data Entry'!$¯$430), "", 'Data Entry'!$¯$430)</f>
      </c>
      <c r="DH430">
        <f>IF(ISBLANK('Data Entry'!$°$430), "", 'Data Entry'!$°$430)</f>
      </c>
      <c r="DI430">
        <f>IF(ISBLANK('Data Entry'!$±$430), "", 'Data Entry'!$±$430)</f>
      </c>
      <c r="DJ430">
        <f>IF(ISBLANK('Data Entry'!$²$430), "", 'Data Entry'!$²$430)</f>
      </c>
      <c r="DK430">
        <f>IF(ISBLANK('Data Entry'!$³$430), "", 'Data Entry'!$³$430)</f>
      </c>
      <c r="DL430">
        <f>IF(ISBLANK('Data Entry'!$´$430), "", 'Data Entry'!$´$430)</f>
      </c>
      <c r="DM430">
        <f>IF(ISBLANK('Data Entry'!$µ$430), "", 'Data Entry'!$µ$430)</f>
      </c>
      <c r="DN430">
        <f>IF(ISBLANK('Data Entry'!$¶$430), "", 'Data Entry'!$¶$430)</f>
      </c>
      <c r="DO430">
        <f>IF(ISBLANK('Data Entry'!$·$430), "", 'Data Entry'!$·$430)</f>
      </c>
      <c r="DP430">
        <f>IF(ISBLANK('Data Entry'!$¸$430), "", 'Data Entry'!$¸$430)</f>
      </c>
      <c r="DQ430">
        <f>IF(ISBLANK('Data Entry'!$¹$430), "", 'Data Entry'!$¹$430)</f>
      </c>
      <c r="DR430">
        <f>IF(ISBLANK('Data Entry'!$º$430), "", 'Data Entry'!$º$430)</f>
      </c>
      <c r="DS430">
        <f>IF(ISBLANK('Data Entry'!$»$430), "", 'Data Entry'!$»$430)</f>
      </c>
      <c r="DT430">
        <f>IF(ISBLANK('Data Entry'!$¼$430), "", 'Data Entry'!$¼$430)</f>
      </c>
      <c r="DU430">
        <f>IF(ISBLANK('Data Entry'!$½$430), "", 'Data Entry'!$½$430)</f>
      </c>
      <c r="DV430">
        <f>IF(ISBLANK('Data Entry'!$¾$430), "", 'Data Entry'!$¾$430)</f>
      </c>
      <c r="DW430">
        <f>IF(ISBLANK('Data Entry'!$¿$430), "", 'Data Entry'!$¿$430)</f>
      </c>
      <c r="DX430">
        <f>IF(ISBLANK('Data Entry'!$À$430), "", 'Data Entry'!$À$430)</f>
      </c>
      <c r="DY430">
        <f>IF(ISBLANK('Data Entry'!$Á$430), "", 'Data Entry'!$Á$430)</f>
      </c>
      <c r="DZ430">
        <f>IF(ISBLANK('Data Entry'!$Â$430), "", 'Data Entry'!$Â$430)</f>
      </c>
      <c r="EA430">
        <f>IF(ISBLANK('Data Entry'!$Ã$430), "", 'Data Entry'!$Ã$430)</f>
      </c>
      <c r="EB430">
        <f>IF(ISBLANK('Data Entry'!$Ä$430), "", 'Data Entry'!$Ä$430)</f>
      </c>
      <c r="EC430">
        <f>IF(ISBLANK('Data Entry'!$Å$430), "", 'Data Entry'!$Å$430)</f>
      </c>
      <c r="ED430">
        <f>IF(ISBLANK('Data Entry'!$Æ$430), "", 'Data Entry'!$Æ$430)</f>
      </c>
      <c r="EE430">
        <f>IF(ISBLANK('Data Entry'!$Ç$430), "", 'Data Entry'!$Ç$430)</f>
      </c>
      <c r="EF430">
        <f>IF(ISBLANK('Data Entry'!$È$430), "", 'Data Entry'!$È$430)</f>
      </c>
      <c r="EG430">
        <f>IF(ISBLANK('Data Entry'!$É$430), "", 'Data Entry'!$É$430)</f>
      </c>
      <c r="EH430">
        <f>IF(ISBLANK('Data Entry'!$Ê$430), "", 'Data Entry'!$Ê$430)</f>
      </c>
      <c r="EI430">
        <f>IF(ISBLANK('Data Entry'!$Ë$430), "", 'Data Entry'!$Ë$430)</f>
      </c>
      <c r="EJ430">
        <f>IF(ISBLANK('Data Entry'!$Ì$430), "", 'Data Entry'!$Ì$430)</f>
      </c>
      <c r="EK430">
        <f>IF(ISBLANK('Data Entry'!$Í$430), "", 'Data Entry'!$Í$430)</f>
      </c>
      <c r="EL430">
        <f>IF(ISBLANK('Data Entry'!$Î$430), "", 'Data Entry'!$Î$430)</f>
      </c>
      <c r="EM430">
        <f>IF(ISBLANK('Data Entry'!$Ï$430), "", 'Data Entry'!$Ï$430)</f>
      </c>
      <c r="EN430">
        <f>IF(ISBLANK('Data Entry'!$Ð$430), "", 'Data Entry'!$Ð$430)</f>
      </c>
      <c r="EO430">
        <f>IF(ISBLANK('Data Entry'!$Ñ$430), "", 'Data Entry'!$Ñ$430)</f>
      </c>
      <c r="EP430">
        <f>IF(ISBLANK('Data Entry'!$Ò$430), "", 'Data Entry'!$Ò$430)</f>
      </c>
      <c r="EQ430">
        <f>IF(ISBLANK('Data Entry'!$Ó$430), "", 'Data Entry'!$Ó$430)</f>
      </c>
      <c r="ER430">
        <f>IF(ISBLANK('Data Entry'!$Ô$430), "", 'Data Entry'!$Ô$430)</f>
      </c>
      <c r="ES430">
        <f>IF(ISBLANK('Data Entry'!$Õ$430), "", 'Data Entry'!$Õ$430)</f>
      </c>
      <c r="ET430">
        <f>IF(ISBLANK('Data Entry'!$Ö$430), "", 'Data Entry'!$Ö$430)</f>
      </c>
      <c r="EU430">
        <f>IF(ISBLANK('Data Entry'!$×$430), "", 'Data Entry'!$×$430)</f>
      </c>
      <c r="EV430">
        <f>IF(ISBLANK('Data Entry'!$Ø$430), "", 'Data Entry'!$Ø$430)</f>
      </c>
      <c r="EW430">
        <f>IF(ISBLANK('Data Entry'!$Ù$430), "", 'Data Entry'!$Ù$430)</f>
      </c>
      <c r="EX430">
        <f>IF(ISBLANK('Data Entry'!$Ú$430), "", 'Data Entry'!$Ú$430)</f>
      </c>
      <c r="EY430">
        <f>IF(ISBLANK('Data Entry'!$Û$430), "", 'Data Entry'!$Û$430)</f>
      </c>
      <c r="EZ430">
        <f>IF(ISBLANK('Data Entry'!$Ü$430), "", 'Data Entry'!$Ü$430)</f>
      </c>
      <c r="FA430">
        <f>IF(ISBLANK('Data Entry'!$Ý$430), "", 'Data Entry'!$Ý$430)</f>
      </c>
      <c r="FB430">
        <f>IF(ISBLANK('Data Entry'!$Þ$430), "", 'Data Entry'!$Þ$430)</f>
      </c>
      <c r="FC430">
        <f>IF(ISBLANK('Data Entry'!$ß$430), "", 'Data Entry'!$ß$430)</f>
      </c>
      <c r="FD430">
        <f>IF(ISBLANK('Data Entry'!$à$430), "", 'Data Entry'!$à$430)</f>
      </c>
      <c r="FE430">
        <f>IF(ISBLANK('Data Entry'!$á$430), "", 'Data Entry'!$á$430)</f>
      </c>
      <c r="FF430">
        <f>IF(ISBLANK('Data Entry'!$â$430), "", 'Data Entry'!$â$430)</f>
      </c>
      <c r="FG430">
        <f>IF(ISBLANK('Data Entry'!$ã$430), "", 'Data Entry'!$ã$430)</f>
      </c>
      <c r="FH430">
        <f>IF(ISBLANK('Data Entry'!$ä$430), "", 'Data Entry'!$ä$430)</f>
      </c>
      <c r="FI430">
        <f>IF(ISBLANK('Data Entry'!$å$430), "", 'Data Entry'!$å$430)</f>
      </c>
      <c r="FJ430">
        <f>IF(ISBLANK('Data Entry'!$æ$430), "", 'Data Entry'!$æ$430)</f>
      </c>
      <c r="FK430">
        <f>IF(ISBLANK('Data Entry'!$ç$430), "", 'Data Entry'!$ç$430)</f>
      </c>
      <c r="FL430">
        <f>IF(ISBLANK('Data Entry'!$è$430), "", 'Data Entry'!$è$430)</f>
      </c>
      <c r="FM430">
        <f>IF(ISBLANK('Data Entry'!$é$430), "", 'Data Entry'!$é$430)</f>
      </c>
      <c r="FN430">
        <f>IF(ISBLANK('Data Entry'!$ê$430), "", 'Data Entry'!$ê$430)</f>
      </c>
      <c r="FO430">
        <f>IF(ISBLANK('Data Entry'!$ë$430), "", 'Data Entry'!$ë$430)</f>
      </c>
      <c r="FP430">
        <f>IF(ISBLANK('Data Entry'!$ì$430), "", 'Data Entry'!$ì$430)</f>
      </c>
      <c r="FQ430">
        <f>IF(ISBLANK('Data Entry'!$í$430), "", 'Data Entry'!$í$430)</f>
      </c>
      <c r="FR430">
        <f>IF(ISBLANK('Data Entry'!$î$430), "", 'Data Entry'!$î$430)</f>
      </c>
      <c r="FS430">
        <f>IF(ISBLANK('Data Entry'!$ï$430), "", 'Data Entry'!$ï$430)</f>
      </c>
      <c r="FT430">
        <f>IF(ISBLANK('Data Entry'!$ð$430), "", 'Data Entry'!$ð$430)</f>
      </c>
      <c r="FU430">
        <f>IF(ISBLANK('Data Entry'!$ñ$430), "", 'Data Entry'!$ñ$430)</f>
      </c>
      <c r="FV430">
        <f>IF(ISBLANK('Data Entry'!$ò$430), "", 'Data Entry'!$ò$430)</f>
      </c>
      <c r="FW430">
        <f>IF(ISBLANK('Data Entry'!$ó$430), "", 'Data Entry'!$ó$430)</f>
      </c>
      <c r="FX430">
        <f>IF(ISBLANK('Data Entry'!$ô$430), "", 'Data Entry'!$ô$430)</f>
      </c>
      <c r="FY430">
        <f>IF(ISBLANK('Data Entry'!$õ$430), "", 'Data Entry'!$õ$430)</f>
      </c>
      <c r="FZ430">
        <f>IF(ISBLANK('Data Entry'!$ö$430), "", 'Data Entry'!$ö$430)</f>
      </c>
      <c r="GA430">
        <f>IF(ISBLANK('Data Entry'!$÷$430), "", 'Data Entry'!$÷$430)</f>
      </c>
      <c r="GB430">
        <f>IF(ISBLANK('Data Entry'!$ø$430), "", 'Data Entry'!$ø$430)</f>
      </c>
      <c r="GC430">
        <f>IF(ISBLANK('Data Entry'!$ù$430), "", 'Data Entry'!$ù$430)</f>
      </c>
      <c r="GD430">
        <f>IF(ISBLANK('Data Entry'!$ú$430), "", 'Data Entry'!$ú$430)</f>
      </c>
      <c r="GE430">
        <f>IF(ISBLANK('Data Entry'!$û$430), "", 'Data Entry'!$û$430)</f>
      </c>
      <c r="GF430">
        <f>IF(ISBLANK('Data Entry'!$ü$430), "", 'Data Entry'!$ü$430)</f>
      </c>
      <c r="GG430">
        <f>IF(ISBLANK('Data Entry'!$ý$430), "", 'Data Entry'!$ý$430)</f>
      </c>
      <c r="GH430">
        <f>IF(ISBLANK('Data Entry'!$þ$430), "", 'Data Entry'!$þ$430)</f>
      </c>
      <c r="GI430">
        <f>IF(ISBLANK('Data Entry'!$ÿ$430), "", 'Data Entry'!$ÿ$430)</f>
      </c>
      <c r="GJ430">
        <f>IF(ISBLANK('Data Entry'!$Ā$430), "", 'Data Entry'!$Ā$430)</f>
      </c>
      <c r="GK430">
        <f>IF(ISBLANK('Data Entry'!$ā$430), "", 'Data Entry'!$ā$430)</f>
      </c>
      <c r="GL430">
        <f>IF(ISBLANK('Data Entry'!$Ă$430), "", 'Data Entry'!$Ă$430)</f>
      </c>
      <c r="GM430">
        <f>IF(ISBLANK('Data Entry'!$ă$430), "", 'Data Entry'!$ă$430)</f>
      </c>
      <c r="GN430">
        <f>IF(ISBLANK('Data Entry'!$Ą$430), "", 'Data Entry'!$Ą$430)</f>
      </c>
      <c r="GO430">
        <f>IF(ISBLANK('Data Entry'!$ą$430), "", 'Data Entry'!$ą$430)</f>
      </c>
      <c r="GP430">
        <f>IF(ISBLANK('Data Entry'!$Ć$430), "", 'Data Entry'!$Ć$430)</f>
      </c>
      <c r="GQ430">
        <f>IF(ISBLANK('Data Entry'!$ć$430), "", 'Data Entry'!$ć$430)</f>
      </c>
      <c r="GR430">
        <f>IF(ISBLANK('Data Entry'!$Ĉ$430), "", 'Data Entry'!$Ĉ$430)</f>
      </c>
      <c r="GS430">
        <f>IF(ISBLANK('Data Entry'!$ĉ$430), "", 'Data Entry'!$ĉ$430)</f>
      </c>
      <c r="GT430">
        <f>IF(ISBLANK('Data Entry'!$Ċ$430), "", 'Data Entry'!$Ċ$430)</f>
      </c>
      <c r="GU430">
        <f>IF(ISBLANK('Data Entry'!$ċ$430), "", 'Data Entry'!$ċ$430)</f>
      </c>
      <c r="GV430">
        <f>IF(ISBLANK('Data Entry'!$Č$430), "", 'Data Entry'!$Č$430)</f>
      </c>
      <c r="GW430">
        <f>IF(ISBLANK('Data Entry'!$č$430), "", 'Data Entry'!$č$430)</f>
      </c>
      <c r="GX430">
        <f>IF(ISBLANK('Data Entry'!$Ď$430), "", 'Data Entry'!$Ď$430)</f>
      </c>
      <c r="GY430">
        <f>IF(ISBLANK('Data Entry'!$ď$430), "", 'Data Entry'!$ď$430)</f>
      </c>
      <c r="GZ430">
        <f>IF(ISBLANK('Data Entry'!$Đ$430), "", 'Data Entry'!$Đ$430)</f>
      </c>
      <c r="HA430">
        <f>IF(ISBLANK('Data Entry'!$đ$430), "", 'Data Entry'!$đ$430)</f>
      </c>
      <c r="HB430">
        <f>IF(ISBLANK('Data Entry'!$Ē$430), "", 'Data Entry'!$Ē$430)</f>
      </c>
      <c r="HC430">
        <f>IF(ISBLANK('Data Entry'!$ē$430), "", 'Data Entry'!$ē$430)</f>
      </c>
      <c r="HD430">
        <f>IF(ISBLANK('Data Entry'!$Ĕ$430), "", 'Data Entry'!$Ĕ$430)</f>
      </c>
      <c r="HE430">
        <f>IF(ISBLANK('Data Entry'!$ĕ$430), "", 'Data Entry'!$ĕ$430)</f>
      </c>
      <c r="HF430">
        <f>IF(ISBLANK('Data Entry'!$Ė$430), "", 'Data Entry'!$Ė$430)</f>
      </c>
      <c r="HG430">
        <f>IF(ISBLANK('Data Entry'!$ė$430), "", 'Data Entry'!$ė$430)</f>
      </c>
      <c r="HH430">
        <f>IF(ISBLANK('Data Entry'!$Ę$430), "", 'Data Entry'!$Ę$430)</f>
      </c>
      <c r="HI430">
        <f>IF(ISBLANK('Data Entry'!$ę$430), "", 'Data Entry'!$ę$430)</f>
      </c>
      <c r="HJ430">
        <f>IF(ISBLANK('Data Entry'!$Ě$430), "", 'Data Entry'!$Ě$430)</f>
      </c>
      <c r="HK430">
        <f>IF(ISBLANK('Data Entry'!$ě$430), "", 'Data Entry'!$ě$430)</f>
      </c>
      <c r="HL430">
        <f>IF(ISBLANK('Data Entry'!$Ĝ$430), "", 'Data Entry'!$Ĝ$430)</f>
      </c>
      <c r="HM430">
        <f>IF(ISBLANK('Data Entry'!$ĝ$430), "", 'Data Entry'!$ĝ$430)</f>
      </c>
      <c r="HN430">
        <f>IF(ISBLANK('Data Entry'!$Ğ$430), "", 'Data Entry'!$Ğ$430)</f>
      </c>
      <c r="HO430">
        <f>IF(ISBLANK('Data Entry'!$ğ$430), "", 'Data Entry'!$ğ$430)</f>
      </c>
      <c r="HP430">
        <f>IF(ISBLANK('Data Entry'!$Ġ$430), "", 'Data Entry'!$Ġ$430)</f>
      </c>
      <c r="HQ430">
        <f>IF(ISBLANK('Data Entry'!$ġ$430), "", 'Data Entry'!$ġ$430)</f>
      </c>
      <c r="HR430">
        <f>IF(ISBLANK('Data Entry'!$Ģ$430), "", 'Data Entry'!$Ģ$430)</f>
      </c>
      <c r="HS430">
        <f>IF(ISBLANK('Data Entry'!$ģ$430), "", 'Data Entry'!$ģ$430)</f>
      </c>
      <c r="HT430">
        <f>IF(ISBLANK('Data Entry'!$Ĥ$430), "", 'Data Entry'!$Ĥ$430)</f>
      </c>
      <c r="HU430">
        <f>IF(ISBLANK('Data Entry'!$ĥ$430), "", 'Data Entry'!$ĥ$430)</f>
      </c>
      <c r="HV430">
        <f>IF(ISBLANK('Data Entry'!$Ħ$430), "", 'Data Entry'!$Ħ$430)</f>
      </c>
      <c r="HW430">
        <f>IF(ISBLANK('Data Entry'!$ħ$430), "", 'Data Entry'!$ħ$430)</f>
      </c>
      <c r="HX430">
        <f>IF(ISBLANK('Data Entry'!$Ĩ$430), "", 'Data Entry'!$Ĩ$430)</f>
      </c>
      <c r="HY430">
        <f>IF(ISBLANK('Data Entry'!$ĩ$430), "", 'Data Entry'!$ĩ$430)</f>
      </c>
      <c r="HZ430">
        <f>IF(ISBLANK('Data Entry'!$Ī$430), "", 'Data Entry'!$Ī$430)</f>
      </c>
      <c r="IA430">
        <f>IF(ISBLANK('Data Entry'!$ī$430), "", 'Data Entry'!$ī$430)</f>
      </c>
      <c r="IB430">
        <f>IF(ISBLANK('Data Entry'!$Ĭ$430), "", 'Data Entry'!$Ĭ$430)</f>
      </c>
      <c r="IC430">
        <f>IF(ISBLANK('Data Entry'!$ĭ$430), "", 'Data Entry'!$ĭ$430)</f>
      </c>
      <c r="ID430">
        <f>IF(ISBLANK('Data Entry'!$Į$430), "", 'Data Entry'!$Į$430)</f>
      </c>
      <c r="IE430">
        <f>IF(ISBLANK('Data Entry'!$į$430), "", 'Data Entry'!$į$430)</f>
      </c>
      <c r="IF430">
        <f>IF(ISBLANK('Data Entry'!$İ$430), "", 'Data Entry'!$İ$430)</f>
      </c>
      <c r="IG430">
        <f>IF(ISBLANK('Data Entry'!$ı$430), "", 'Data Entry'!$ı$430)</f>
      </c>
      <c r="IH430">
        <f>IF(ISBLANK('Data Entry'!$Ĳ$430), "", 'Data Entry'!$Ĳ$430)</f>
      </c>
      <c r="II430">
        <f>IF(ISBLANK('Data Entry'!$ĳ$430), "", 'Data Entry'!$ĳ$430)</f>
      </c>
      <c r="IJ430">
        <f>IF(ISBLANK('Data Entry'!$Ĵ$430), "", 'Data Entry'!$Ĵ$430)</f>
      </c>
      <c r="IK430">
        <f>IF(ISBLANK('Data Entry'!$ĵ$430), "", 'Data Entry'!$ĵ$430)</f>
      </c>
      <c r="IL430">
        <f>IF(ISBLANK('Data Entry'!$Ķ$430), "", 'Data Entry'!$Ķ$430)</f>
      </c>
      <c r="IM430">
        <f>IF(ISBLANK('Data Entry'!$ķ$430), "", 'Data Entry'!$ķ$430)</f>
      </c>
      <c r="IN430">
        <f>IF(ISBLANK('Data Entry'!$ĸ$430), "", 'Data Entry'!$ĸ$430)</f>
      </c>
      <c r="IO430">
        <f>IF(ISBLANK('Data Entry'!$Ĺ$430), "", 'Data Entry'!$Ĺ$430)</f>
      </c>
      <c r="IP430">
        <f>IF(ISBLANK('Data Entry'!$ĺ$430), "", 'Data Entry'!$ĺ$430)</f>
      </c>
      <c r="IQ430">
        <f>IF(ISBLANK('Data Entry'!$Ļ$430), "", 'Data Entry'!$Ļ$430)</f>
      </c>
      <c r="IR430">
        <f>IF(ISBLANK('Data Entry'!$ļ$430), "", 'Data Entry'!$ļ$430)</f>
      </c>
      <c r="IS430">
        <f>IF(ISBLANK('Data Entry'!$Ľ$430), "", 'Data Entry'!$Ľ$430)</f>
      </c>
      <c r="IT430">
        <f>IF(ISBLANK('Data Entry'!$ľ$430), "", 'Data Entry'!$ľ$430)</f>
      </c>
    </row>
    <row r="431" spans="1:254" x14ac:dyDescent="0.25">
      <c r="A431">
        <f>IF(ISBLANK('Data Entry'!$A$431), "", 'Data Entry'!$A$431)</f>
      </c>
      <c r="B431">
        <f>IF(ISBLANK('Data Entry'!$B$431), "", 'Data Entry'!$B$431)</f>
      </c>
      <c r="C431">
        <f>IF(ISBLANK('Data Entry'!$C$431), "", 'Data Entry'!$C$431)</f>
      </c>
      <c r="D431">
        <f>IF(ISBLANK('Data Entry'!$D$431), "", 'Data Entry'!$D$431)</f>
      </c>
      <c r="E431">
        <f>IF(ISBLANK('Data Entry'!$E$431), "", 'Data Entry'!$E$431)</f>
      </c>
      <c r="F431">
        <f>IF(ISBLANK('Data Entry'!$F$431), "", 'Data Entry'!$F$431)</f>
      </c>
      <c r="G431">
        <f>IF(ISBLANK('Data Entry'!$G$431), "", 'Data Entry'!$G$431)</f>
      </c>
      <c r="H431">
        <f>IF(ISBLANK('Data Entry'!$H$431), "", 'Data Entry'!$H$431)</f>
      </c>
      <c r="I431">
        <f>IF(ISBLANK('Data Entry'!$I$431), "", 'Data Entry'!$I$431)</f>
      </c>
      <c r="J431">
        <f>IF(ISBLANK('Data Entry'!$J$431), "", 'Data Entry'!$J$431)</f>
      </c>
      <c r="K431">
        <f>IF(ISBLANK('Data Entry'!$K$431), "", 'Data Entry'!$K$431)</f>
      </c>
      <c r="L431">
        <f>IF(ISBLANK('Data Entry'!$L$431), "", 'Data Entry'!$L$431)</f>
      </c>
      <c r="M431">
        <f>IF(ISBLANK('Data Entry'!$M$431), "", 'Data Entry'!$M$431)</f>
      </c>
      <c r="N431">
        <f>IF(ISBLANK('Data Entry'!$N$431), "", 'Data Entry'!$N$431)</f>
      </c>
      <c r="O431">
        <f>IF(ISBLANK('Data Entry'!$O$431), "", 'Data Entry'!$O$431)</f>
      </c>
      <c r="P431">
        <f>IF(ISBLANK('Data Entry'!$P$431), "", 'Data Entry'!$P$431)</f>
      </c>
      <c r="Q431">
        <f>IF(ISBLANK('Data Entry'!$Q$431), "", 'Data Entry'!$Q$431)</f>
      </c>
      <c r="R431">
        <f>IF(ISBLANK('Data Entry'!$R$431), "", 'Data Entry'!$R$431)</f>
      </c>
      <c r="S431">
        <f>IF(ISBLANK('Data Entry'!$S$431), "", 'Data Entry'!$S$431)</f>
      </c>
      <c r="T431">
        <f>IF(ISBLANK('Data Entry'!$T$431), "", 'Data Entry'!$T$431)</f>
      </c>
      <c r="U431">
        <f>IF(ISBLANK('Data Entry'!$U$431), "", 'Data Entry'!$U$431)</f>
      </c>
      <c r="V431">
        <f>IF(ISBLANK('Data Entry'!$V$431), "", 'Data Entry'!$V$431)</f>
      </c>
      <c r="W431">
        <f>IF(ISBLANK('Data Entry'!$W$431), "", 'Data Entry'!$W$431)</f>
      </c>
      <c r="X431">
        <f>IF(ISBLANK('Data Entry'!$X$431), "", 'Data Entry'!$X$431)</f>
      </c>
      <c r="Y431">
        <f>IF(ISBLANK('Data Entry'!$Y$431), "", 'Data Entry'!$Y$431)</f>
      </c>
      <c r="Z431">
        <f>IF(ISBLANK('Data Entry'!$Z$431), "", 'Data Entry'!$Z$431)</f>
      </c>
      <c r="AA431">
        <f>IF(ISBLANK('Data Entry'!$[$431), "", 'Data Entry'!$[$431)</f>
      </c>
      <c r="AB431">
        <f>IF(ISBLANK('Data Entry'!$\$431), "", 'Data Entry'!$\$431)</f>
      </c>
      <c r="AC431">
        <f>IF(ISBLANK('Data Entry'!$]$431), "", 'Data Entry'!$]$431)</f>
      </c>
      <c r="AD431">
        <f>IF(ISBLANK('Data Entry'!$^$431), "", 'Data Entry'!$^$431)</f>
      </c>
      <c r="AE431">
        <f>IF(ISBLANK('Data Entry'!$_$431), "", 'Data Entry'!$_$431)</f>
      </c>
      <c r="AF431">
        <f>IF(ISBLANK('Data Entry'!$`$431), "", 'Data Entry'!$`$431)</f>
      </c>
      <c r="AG431">
        <f>IF(ISBLANK('Data Entry'!$a$431), "", 'Data Entry'!$a$431)</f>
      </c>
      <c r="AH431">
        <f>IF(ISBLANK('Data Entry'!$b$431), "", 'Data Entry'!$b$431)</f>
      </c>
      <c r="AI431">
        <f>IF(ISBLANK('Data Entry'!$c$431), "", 'Data Entry'!$c$431)</f>
      </c>
      <c r="AJ431">
        <f>IF(ISBLANK('Data Entry'!$d$431), "", 'Data Entry'!$d$431)</f>
      </c>
      <c r="AK431">
        <f>IF(ISBLANK('Data Entry'!$e$431), "", 'Data Entry'!$e$431)</f>
      </c>
      <c r="AL431">
        <f>IF(ISBLANK('Data Entry'!$f$431), "", 'Data Entry'!$f$431)</f>
      </c>
      <c r="AM431">
        <f>IF(ISBLANK('Data Entry'!$g$431), "", 'Data Entry'!$g$431)</f>
      </c>
      <c r="AN431">
        <f>IF(ISBLANK('Data Entry'!$h$431), "", 'Data Entry'!$h$431)</f>
      </c>
      <c r="AO431">
        <f>IF(ISBLANK('Data Entry'!$i$431), "", 'Data Entry'!$i$431)</f>
      </c>
      <c r="AP431">
        <f>IF(ISBLANK('Data Entry'!$j$431), "", 'Data Entry'!$j$431)</f>
      </c>
      <c r="AQ431">
        <f>IF(ISBLANK('Data Entry'!$k$431), "", 'Data Entry'!$k$431)</f>
      </c>
      <c r="AR431">
        <f>IF(ISBLANK('Data Entry'!$l$431), "", 'Data Entry'!$l$431)</f>
      </c>
      <c r="AS431">
        <f>IF(ISBLANK('Data Entry'!$m$431), "", 'Data Entry'!$m$431)</f>
      </c>
      <c r="AT431">
        <f>IF(ISBLANK('Data Entry'!$n$431), "", 'Data Entry'!$n$431)</f>
      </c>
      <c r="AU431">
        <f>IF(ISBLANK('Data Entry'!$o$431), "", 'Data Entry'!$o$431)</f>
      </c>
      <c r="AV431">
        <f>IF(ISBLANK('Data Entry'!$p$431), "", 'Data Entry'!$p$431)</f>
      </c>
      <c r="AW431">
        <f>IF(ISBLANK('Data Entry'!$q$431), "", 'Data Entry'!$q$431)</f>
      </c>
      <c r="AX431">
        <f>IF(ISBLANK('Data Entry'!$r$431), "", 'Data Entry'!$r$431)</f>
      </c>
      <c r="AY431">
        <f>IF(ISBLANK('Data Entry'!$s$431), "", 'Data Entry'!$s$431)</f>
      </c>
      <c r="AZ431">
        <f>IF(ISBLANK('Data Entry'!$t$431), "", 'Data Entry'!$t$431)</f>
      </c>
      <c r="BA431">
        <f>IF(ISBLANK('Data Entry'!$u$431), "", 'Data Entry'!$u$431)</f>
      </c>
      <c r="BB431">
        <f>IF(ISBLANK('Data Entry'!$v$431), "", 'Data Entry'!$v$431)</f>
      </c>
      <c r="BC431">
        <f>IF(ISBLANK('Data Entry'!$w$431), "", 'Data Entry'!$w$431)</f>
      </c>
      <c r="BD431">
        <f>IF(ISBLANK('Data Entry'!$x$431), "", 'Data Entry'!$x$431)</f>
      </c>
      <c r="BE431">
        <f>IF(ISBLANK('Data Entry'!$y$431), "", 'Data Entry'!$y$431)</f>
      </c>
      <c r="BF431">
        <f>IF(ISBLANK('Data Entry'!$z$431), "", 'Data Entry'!$z$431)</f>
      </c>
      <c r="BG431">
        <f>IF(ISBLANK('Data Entry'!${$431), "", 'Data Entry'!${$431)</f>
      </c>
      <c r="BH431">
        <f>IF(ISBLANK('Data Entry'!$|$431), "", 'Data Entry'!$|$431)</f>
      </c>
      <c r="BI431">
        <f>IF(ISBLANK('Data Entry'!$}$431), "", 'Data Entry'!$}$431)</f>
      </c>
      <c r="BJ431">
        <f>IF(ISBLANK('Data Entry'!$~$431), "", 'Data Entry'!$~$431)</f>
      </c>
      <c r="BK431">
        <f>IF(ISBLANK('Data Entry'!$$431), "", 'Data Entry'!$$431)</f>
      </c>
      <c r="BL431">
        <f>IF(ISBLANK('Data Entry'!$$431), "", 'Data Entry'!$$431)</f>
      </c>
      <c r="BM431">
        <f>IF(ISBLANK('Data Entry'!$$431), "", 'Data Entry'!$$431)</f>
      </c>
      <c r="BN431">
        <f>IF(ISBLANK('Data Entry'!$$431), "", 'Data Entry'!$$431)</f>
      </c>
      <c r="BO431">
        <f>IF(ISBLANK('Data Entry'!$$431), "", 'Data Entry'!$$431)</f>
      </c>
      <c r="BP431">
        <f>IF(ISBLANK('Data Entry'!$$431), "", 'Data Entry'!$$431)</f>
      </c>
      <c r="BQ431">
        <f>IF(ISBLANK('Data Entry'!$$431), "", 'Data Entry'!$$431)</f>
      </c>
      <c r="BR431">
        <f>IF(ISBLANK('Data Entry'!$$431), "", 'Data Entry'!$$431)</f>
      </c>
      <c r="BS431">
        <f>IF(ISBLANK('Data Entry'!$$431), "", 'Data Entry'!$$431)</f>
      </c>
      <c r="BT431">
        <f>IF(ISBLANK('Data Entry'!$$431), "", 'Data Entry'!$$431)</f>
      </c>
      <c r="BU431">
        <f>IF(ISBLANK('Data Entry'!$$431), "", 'Data Entry'!$$431)</f>
      </c>
      <c r="BV431">
        <f>IF(ISBLANK('Data Entry'!$$431), "", 'Data Entry'!$$431)</f>
      </c>
      <c r="BW431">
        <f>IF(ISBLANK('Data Entry'!$$431), "", 'Data Entry'!$$431)</f>
      </c>
      <c r="BX431">
        <f>IF(ISBLANK('Data Entry'!$$431), "", 'Data Entry'!$$431)</f>
      </c>
      <c r="BY431">
        <f>IF(ISBLANK('Data Entry'!$$431), "", 'Data Entry'!$$431)</f>
      </c>
      <c r="BZ431">
        <f>IF(ISBLANK('Data Entry'!$$431), "", 'Data Entry'!$$431)</f>
      </c>
      <c r="CA431">
        <f>IF(ISBLANK('Data Entry'!$$431), "", 'Data Entry'!$$431)</f>
      </c>
      <c r="CB431">
        <f>IF(ISBLANK('Data Entry'!$$431), "", 'Data Entry'!$$431)</f>
      </c>
      <c r="CC431">
        <f>IF(ISBLANK('Data Entry'!$$431), "", 'Data Entry'!$$431)</f>
      </c>
      <c r="CD431">
        <f>IF(ISBLANK('Data Entry'!$$431), "", 'Data Entry'!$$431)</f>
      </c>
      <c r="CE431">
        <f>IF(ISBLANK('Data Entry'!$$431), "", 'Data Entry'!$$431)</f>
      </c>
      <c r="CF431">
        <f>IF(ISBLANK('Data Entry'!$$431), "", 'Data Entry'!$$431)</f>
      </c>
      <c r="CG431">
        <f>IF(ISBLANK('Data Entry'!$$431), "", 'Data Entry'!$$431)</f>
      </c>
      <c r="CH431">
        <f>IF(ISBLANK('Data Entry'!$$431), "", 'Data Entry'!$$431)</f>
      </c>
      <c r="CI431">
        <f>IF(ISBLANK('Data Entry'!$$431), "", 'Data Entry'!$$431)</f>
      </c>
      <c r="CJ431">
        <f>IF(ISBLANK('Data Entry'!$$431), "", 'Data Entry'!$$431)</f>
      </c>
      <c r="CK431">
        <f>IF(ISBLANK('Data Entry'!$$431), "", 'Data Entry'!$$431)</f>
      </c>
      <c r="CL431">
        <f>IF(ISBLANK('Data Entry'!$$431), "", 'Data Entry'!$$431)</f>
      </c>
      <c r="CM431">
        <f>IF(ISBLANK('Data Entry'!$$431), "", 'Data Entry'!$$431)</f>
      </c>
      <c r="CN431">
        <f>IF(ISBLANK('Data Entry'!$$431), "", 'Data Entry'!$$431)</f>
      </c>
      <c r="CO431">
        <f>IF(ISBLANK('Data Entry'!$$431), "", 'Data Entry'!$$431)</f>
      </c>
      <c r="CP431">
        <f>IF(ISBLANK('Data Entry'!$$431), "", 'Data Entry'!$$431)</f>
      </c>
      <c r="CQ431">
        <f>IF(ISBLANK('Data Entry'!$$431), "", 'Data Entry'!$$431)</f>
      </c>
      <c r="CR431">
        <f>IF(ISBLANK('Data Entry'!$ $431), "", 'Data Entry'!$ $431)</f>
      </c>
      <c r="CS431">
        <f>IF(ISBLANK('Data Entry'!$¡$431), "", 'Data Entry'!$¡$431)</f>
      </c>
      <c r="CT431">
        <f>IF(ISBLANK('Data Entry'!$¢$431), "", 'Data Entry'!$¢$431)</f>
      </c>
      <c r="CU431">
        <f>IF(ISBLANK('Data Entry'!$£$431), "", 'Data Entry'!$£$431)</f>
      </c>
      <c r="CV431">
        <f>IF(ISBLANK('Data Entry'!$¤$431), "", 'Data Entry'!$¤$431)</f>
      </c>
      <c r="CW431">
        <f>IF(ISBLANK('Data Entry'!$¥$431), "", 'Data Entry'!$¥$431)</f>
      </c>
      <c r="CX431">
        <f>IF(ISBLANK('Data Entry'!$¦$431), "", 'Data Entry'!$¦$431)</f>
      </c>
      <c r="CY431">
        <f>IF(ISBLANK('Data Entry'!$§$431), "", 'Data Entry'!$§$431)</f>
      </c>
      <c r="CZ431">
        <f>IF(ISBLANK('Data Entry'!$¨$431), "", 'Data Entry'!$¨$431)</f>
      </c>
      <c r="DA431">
        <f>IF(ISBLANK('Data Entry'!$©$431), "", 'Data Entry'!$©$431)</f>
      </c>
      <c r="DB431">
        <f>IF(ISBLANK('Data Entry'!$ª$431), "", 'Data Entry'!$ª$431)</f>
      </c>
      <c r="DC431">
        <f>IF(ISBLANK('Data Entry'!$«$431), "", 'Data Entry'!$«$431)</f>
      </c>
      <c r="DD431">
        <f>IF(ISBLANK('Data Entry'!$¬$431), "", 'Data Entry'!$¬$431)</f>
      </c>
      <c r="DE431">
        <f>IF(ISBLANK('Data Entry'!$­$431), "", 'Data Entry'!$­$431)</f>
      </c>
      <c r="DF431">
        <f>IF(ISBLANK('Data Entry'!$®$431), "", 'Data Entry'!$®$431)</f>
      </c>
      <c r="DG431">
        <f>IF(ISBLANK('Data Entry'!$¯$431), "", 'Data Entry'!$¯$431)</f>
      </c>
      <c r="DH431">
        <f>IF(ISBLANK('Data Entry'!$°$431), "", 'Data Entry'!$°$431)</f>
      </c>
      <c r="DI431">
        <f>IF(ISBLANK('Data Entry'!$±$431), "", 'Data Entry'!$±$431)</f>
      </c>
      <c r="DJ431">
        <f>IF(ISBLANK('Data Entry'!$²$431), "", 'Data Entry'!$²$431)</f>
      </c>
      <c r="DK431">
        <f>IF(ISBLANK('Data Entry'!$³$431), "", 'Data Entry'!$³$431)</f>
      </c>
      <c r="DL431">
        <f>IF(ISBLANK('Data Entry'!$´$431), "", 'Data Entry'!$´$431)</f>
      </c>
      <c r="DM431">
        <f>IF(ISBLANK('Data Entry'!$µ$431), "", 'Data Entry'!$µ$431)</f>
      </c>
      <c r="DN431">
        <f>IF(ISBLANK('Data Entry'!$¶$431), "", 'Data Entry'!$¶$431)</f>
      </c>
      <c r="DO431">
        <f>IF(ISBLANK('Data Entry'!$·$431), "", 'Data Entry'!$·$431)</f>
      </c>
      <c r="DP431">
        <f>IF(ISBLANK('Data Entry'!$¸$431), "", 'Data Entry'!$¸$431)</f>
      </c>
      <c r="DQ431">
        <f>IF(ISBLANK('Data Entry'!$¹$431), "", 'Data Entry'!$¹$431)</f>
      </c>
      <c r="DR431">
        <f>IF(ISBLANK('Data Entry'!$º$431), "", 'Data Entry'!$º$431)</f>
      </c>
      <c r="DS431">
        <f>IF(ISBLANK('Data Entry'!$»$431), "", 'Data Entry'!$»$431)</f>
      </c>
      <c r="DT431">
        <f>IF(ISBLANK('Data Entry'!$¼$431), "", 'Data Entry'!$¼$431)</f>
      </c>
      <c r="DU431">
        <f>IF(ISBLANK('Data Entry'!$½$431), "", 'Data Entry'!$½$431)</f>
      </c>
      <c r="DV431">
        <f>IF(ISBLANK('Data Entry'!$¾$431), "", 'Data Entry'!$¾$431)</f>
      </c>
      <c r="DW431">
        <f>IF(ISBLANK('Data Entry'!$¿$431), "", 'Data Entry'!$¿$431)</f>
      </c>
      <c r="DX431">
        <f>IF(ISBLANK('Data Entry'!$À$431), "", 'Data Entry'!$À$431)</f>
      </c>
      <c r="DY431">
        <f>IF(ISBLANK('Data Entry'!$Á$431), "", 'Data Entry'!$Á$431)</f>
      </c>
      <c r="DZ431">
        <f>IF(ISBLANK('Data Entry'!$Â$431), "", 'Data Entry'!$Â$431)</f>
      </c>
      <c r="EA431">
        <f>IF(ISBLANK('Data Entry'!$Ã$431), "", 'Data Entry'!$Ã$431)</f>
      </c>
      <c r="EB431">
        <f>IF(ISBLANK('Data Entry'!$Ä$431), "", 'Data Entry'!$Ä$431)</f>
      </c>
      <c r="EC431">
        <f>IF(ISBLANK('Data Entry'!$Å$431), "", 'Data Entry'!$Å$431)</f>
      </c>
      <c r="ED431">
        <f>IF(ISBLANK('Data Entry'!$Æ$431), "", 'Data Entry'!$Æ$431)</f>
      </c>
      <c r="EE431">
        <f>IF(ISBLANK('Data Entry'!$Ç$431), "", 'Data Entry'!$Ç$431)</f>
      </c>
      <c r="EF431">
        <f>IF(ISBLANK('Data Entry'!$È$431), "", 'Data Entry'!$È$431)</f>
      </c>
      <c r="EG431">
        <f>IF(ISBLANK('Data Entry'!$É$431), "", 'Data Entry'!$É$431)</f>
      </c>
      <c r="EH431">
        <f>IF(ISBLANK('Data Entry'!$Ê$431), "", 'Data Entry'!$Ê$431)</f>
      </c>
      <c r="EI431">
        <f>IF(ISBLANK('Data Entry'!$Ë$431), "", 'Data Entry'!$Ë$431)</f>
      </c>
      <c r="EJ431">
        <f>IF(ISBLANK('Data Entry'!$Ì$431), "", 'Data Entry'!$Ì$431)</f>
      </c>
      <c r="EK431">
        <f>IF(ISBLANK('Data Entry'!$Í$431), "", 'Data Entry'!$Í$431)</f>
      </c>
      <c r="EL431">
        <f>IF(ISBLANK('Data Entry'!$Î$431), "", 'Data Entry'!$Î$431)</f>
      </c>
      <c r="EM431">
        <f>IF(ISBLANK('Data Entry'!$Ï$431), "", 'Data Entry'!$Ï$431)</f>
      </c>
      <c r="EN431">
        <f>IF(ISBLANK('Data Entry'!$Ð$431), "", 'Data Entry'!$Ð$431)</f>
      </c>
      <c r="EO431">
        <f>IF(ISBLANK('Data Entry'!$Ñ$431), "", 'Data Entry'!$Ñ$431)</f>
      </c>
      <c r="EP431">
        <f>IF(ISBLANK('Data Entry'!$Ò$431), "", 'Data Entry'!$Ò$431)</f>
      </c>
      <c r="EQ431">
        <f>IF(ISBLANK('Data Entry'!$Ó$431), "", 'Data Entry'!$Ó$431)</f>
      </c>
      <c r="ER431">
        <f>IF(ISBLANK('Data Entry'!$Ô$431), "", 'Data Entry'!$Ô$431)</f>
      </c>
      <c r="ES431">
        <f>IF(ISBLANK('Data Entry'!$Õ$431), "", 'Data Entry'!$Õ$431)</f>
      </c>
      <c r="ET431">
        <f>IF(ISBLANK('Data Entry'!$Ö$431), "", 'Data Entry'!$Ö$431)</f>
      </c>
      <c r="EU431">
        <f>IF(ISBLANK('Data Entry'!$×$431), "", 'Data Entry'!$×$431)</f>
      </c>
      <c r="EV431">
        <f>IF(ISBLANK('Data Entry'!$Ø$431), "", 'Data Entry'!$Ø$431)</f>
      </c>
      <c r="EW431">
        <f>IF(ISBLANK('Data Entry'!$Ù$431), "", 'Data Entry'!$Ù$431)</f>
      </c>
      <c r="EX431">
        <f>IF(ISBLANK('Data Entry'!$Ú$431), "", 'Data Entry'!$Ú$431)</f>
      </c>
      <c r="EY431">
        <f>IF(ISBLANK('Data Entry'!$Û$431), "", 'Data Entry'!$Û$431)</f>
      </c>
      <c r="EZ431">
        <f>IF(ISBLANK('Data Entry'!$Ü$431), "", 'Data Entry'!$Ü$431)</f>
      </c>
      <c r="FA431">
        <f>IF(ISBLANK('Data Entry'!$Ý$431), "", 'Data Entry'!$Ý$431)</f>
      </c>
      <c r="FB431">
        <f>IF(ISBLANK('Data Entry'!$Þ$431), "", 'Data Entry'!$Þ$431)</f>
      </c>
      <c r="FC431">
        <f>IF(ISBLANK('Data Entry'!$ß$431), "", 'Data Entry'!$ß$431)</f>
      </c>
      <c r="FD431">
        <f>IF(ISBLANK('Data Entry'!$à$431), "", 'Data Entry'!$à$431)</f>
      </c>
      <c r="FE431">
        <f>IF(ISBLANK('Data Entry'!$á$431), "", 'Data Entry'!$á$431)</f>
      </c>
      <c r="FF431">
        <f>IF(ISBLANK('Data Entry'!$â$431), "", 'Data Entry'!$â$431)</f>
      </c>
      <c r="FG431">
        <f>IF(ISBLANK('Data Entry'!$ã$431), "", 'Data Entry'!$ã$431)</f>
      </c>
      <c r="FH431">
        <f>IF(ISBLANK('Data Entry'!$ä$431), "", 'Data Entry'!$ä$431)</f>
      </c>
      <c r="FI431">
        <f>IF(ISBLANK('Data Entry'!$å$431), "", 'Data Entry'!$å$431)</f>
      </c>
      <c r="FJ431">
        <f>IF(ISBLANK('Data Entry'!$æ$431), "", 'Data Entry'!$æ$431)</f>
      </c>
      <c r="FK431">
        <f>IF(ISBLANK('Data Entry'!$ç$431), "", 'Data Entry'!$ç$431)</f>
      </c>
      <c r="FL431">
        <f>IF(ISBLANK('Data Entry'!$è$431), "", 'Data Entry'!$è$431)</f>
      </c>
      <c r="FM431">
        <f>IF(ISBLANK('Data Entry'!$é$431), "", 'Data Entry'!$é$431)</f>
      </c>
      <c r="FN431">
        <f>IF(ISBLANK('Data Entry'!$ê$431), "", 'Data Entry'!$ê$431)</f>
      </c>
      <c r="FO431">
        <f>IF(ISBLANK('Data Entry'!$ë$431), "", 'Data Entry'!$ë$431)</f>
      </c>
      <c r="FP431">
        <f>IF(ISBLANK('Data Entry'!$ì$431), "", 'Data Entry'!$ì$431)</f>
      </c>
      <c r="FQ431">
        <f>IF(ISBLANK('Data Entry'!$í$431), "", 'Data Entry'!$í$431)</f>
      </c>
      <c r="FR431">
        <f>IF(ISBLANK('Data Entry'!$î$431), "", 'Data Entry'!$î$431)</f>
      </c>
      <c r="FS431">
        <f>IF(ISBLANK('Data Entry'!$ï$431), "", 'Data Entry'!$ï$431)</f>
      </c>
      <c r="FT431">
        <f>IF(ISBLANK('Data Entry'!$ð$431), "", 'Data Entry'!$ð$431)</f>
      </c>
      <c r="FU431">
        <f>IF(ISBLANK('Data Entry'!$ñ$431), "", 'Data Entry'!$ñ$431)</f>
      </c>
      <c r="FV431">
        <f>IF(ISBLANK('Data Entry'!$ò$431), "", 'Data Entry'!$ò$431)</f>
      </c>
      <c r="FW431">
        <f>IF(ISBLANK('Data Entry'!$ó$431), "", 'Data Entry'!$ó$431)</f>
      </c>
      <c r="FX431">
        <f>IF(ISBLANK('Data Entry'!$ô$431), "", 'Data Entry'!$ô$431)</f>
      </c>
      <c r="FY431">
        <f>IF(ISBLANK('Data Entry'!$õ$431), "", 'Data Entry'!$õ$431)</f>
      </c>
      <c r="FZ431">
        <f>IF(ISBLANK('Data Entry'!$ö$431), "", 'Data Entry'!$ö$431)</f>
      </c>
      <c r="GA431">
        <f>IF(ISBLANK('Data Entry'!$÷$431), "", 'Data Entry'!$÷$431)</f>
      </c>
      <c r="GB431">
        <f>IF(ISBLANK('Data Entry'!$ø$431), "", 'Data Entry'!$ø$431)</f>
      </c>
      <c r="GC431">
        <f>IF(ISBLANK('Data Entry'!$ù$431), "", 'Data Entry'!$ù$431)</f>
      </c>
      <c r="GD431">
        <f>IF(ISBLANK('Data Entry'!$ú$431), "", 'Data Entry'!$ú$431)</f>
      </c>
      <c r="GE431">
        <f>IF(ISBLANK('Data Entry'!$û$431), "", 'Data Entry'!$û$431)</f>
      </c>
      <c r="GF431">
        <f>IF(ISBLANK('Data Entry'!$ü$431), "", 'Data Entry'!$ü$431)</f>
      </c>
      <c r="GG431">
        <f>IF(ISBLANK('Data Entry'!$ý$431), "", 'Data Entry'!$ý$431)</f>
      </c>
      <c r="GH431">
        <f>IF(ISBLANK('Data Entry'!$þ$431), "", 'Data Entry'!$þ$431)</f>
      </c>
      <c r="GI431">
        <f>IF(ISBLANK('Data Entry'!$ÿ$431), "", 'Data Entry'!$ÿ$431)</f>
      </c>
      <c r="GJ431">
        <f>IF(ISBLANK('Data Entry'!$Ā$431), "", 'Data Entry'!$Ā$431)</f>
      </c>
      <c r="GK431">
        <f>IF(ISBLANK('Data Entry'!$ā$431), "", 'Data Entry'!$ā$431)</f>
      </c>
      <c r="GL431">
        <f>IF(ISBLANK('Data Entry'!$Ă$431), "", 'Data Entry'!$Ă$431)</f>
      </c>
      <c r="GM431">
        <f>IF(ISBLANK('Data Entry'!$ă$431), "", 'Data Entry'!$ă$431)</f>
      </c>
      <c r="GN431">
        <f>IF(ISBLANK('Data Entry'!$Ą$431), "", 'Data Entry'!$Ą$431)</f>
      </c>
      <c r="GO431">
        <f>IF(ISBLANK('Data Entry'!$ą$431), "", 'Data Entry'!$ą$431)</f>
      </c>
      <c r="GP431">
        <f>IF(ISBLANK('Data Entry'!$Ć$431), "", 'Data Entry'!$Ć$431)</f>
      </c>
      <c r="GQ431">
        <f>IF(ISBLANK('Data Entry'!$ć$431), "", 'Data Entry'!$ć$431)</f>
      </c>
      <c r="GR431">
        <f>IF(ISBLANK('Data Entry'!$Ĉ$431), "", 'Data Entry'!$Ĉ$431)</f>
      </c>
      <c r="GS431">
        <f>IF(ISBLANK('Data Entry'!$ĉ$431), "", 'Data Entry'!$ĉ$431)</f>
      </c>
      <c r="GT431">
        <f>IF(ISBLANK('Data Entry'!$Ċ$431), "", 'Data Entry'!$Ċ$431)</f>
      </c>
      <c r="GU431">
        <f>IF(ISBLANK('Data Entry'!$ċ$431), "", 'Data Entry'!$ċ$431)</f>
      </c>
      <c r="GV431">
        <f>IF(ISBLANK('Data Entry'!$Č$431), "", 'Data Entry'!$Č$431)</f>
      </c>
      <c r="GW431">
        <f>IF(ISBLANK('Data Entry'!$č$431), "", 'Data Entry'!$č$431)</f>
      </c>
      <c r="GX431">
        <f>IF(ISBLANK('Data Entry'!$Ď$431), "", 'Data Entry'!$Ď$431)</f>
      </c>
      <c r="GY431">
        <f>IF(ISBLANK('Data Entry'!$ď$431), "", 'Data Entry'!$ď$431)</f>
      </c>
      <c r="GZ431">
        <f>IF(ISBLANK('Data Entry'!$Đ$431), "", 'Data Entry'!$Đ$431)</f>
      </c>
      <c r="HA431">
        <f>IF(ISBLANK('Data Entry'!$đ$431), "", 'Data Entry'!$đ$431)</f>
      </c>
      <c r="HB431">
        <f>IF(ISBLANK('Data Entry'!$Ē$431), "", 'Data Entry'!$Ē$431)</f>
      </c>
      <c r="HC431">
        <f>IF(ISBLANK('Data Entry'!$ē$431), "", 'Data Entry'!$ē$431)</f>
      </c>
      <c r="HD431">
        <f>IF(ISBLANK('Data Entry'!$Ĕ$431), "", 'Data Entry'!$Ĕ$431)</f>
      </c>
      <c r="HE431">
        <f>IF(ISBLANK('Data Entry'!$ĕ$431), "", 'Data Entry'!$ĕ$431)</f>
      </c>
      <c r="HF431">
        <f>IF(ISBLANK('Data Entry'!$Ė$431), "", 'Data Entry'!$Ė$431)</f>
      </c>
      <c r="HG431">
        <f>IF(ISBLANK('Data Entry'!$ė$431), "", 'Data Entry'!$ė$431)</f>
      </c>
      <c r="HH431">
        <f>IF(ISBLANK('Data Entry'!$Ę$431), "", 'Data Entry'!$Ę$431)</f>
      </c>
      <c r="HI431">
        <f>IF(ISBLANK('Data Entry'!$ę$431), "", 'Data Entry'!$ę$431)</f>
      </c>
      <c r="HJ431">
        <f>IF(ISBLANK('Data Entry'!$Ě$431), "", 'Data Entry'!$Ě$431)</f>
      </c>
      <c r="HK431">
        <f>IF(ISBLANK('Data Entry'!$ě$431), "", 'Data Entry'!$ě$431)</f>
      </c>
      <c r="HL431">
        <f>IF(ISBLANK('Data Entry'!$Ĝ$431), "", 'Data Entry'!$Ĝ$431)</f>
      </c>
      <c r="HM431">
        <f>IF(ISBLANK('Data Entry'!$ĝ$431), "", 'Data Entry'!$ĝ$431)</f>
      </c>
      <c r="HN431">
        <f>IF(ISBLANK('Data Entry'!$Ğ$431), "", 'Data Entry'!$Ğ$431)</f>
      </c>
      <c r="HO431">
        <f>IF(ISBLANK('Data Entry'!$ğ$431), "", 'Data Entry'!$ğ$431)</f>
      </c>
      <c r="HP431">
        <f>IF(ISBLANK('Data Entry'!$Ġ$431), "", 'Data Entry'!$Ġ$431)</f>
      </c>
      <c r="HQ431">
        <f>IF(ISBLANK('Data Entry'!$ġ$431), "", 'Data Entry'!$ġ$431)</f>
      </c>
      <c r="HR431">
        <f>IF(ISBLANK('Data Entry'!$Ģ$431), "", 'Data Entry'!$Ģ$431)</f>
      </c>
      <c r="HS431">
        <f>IF(ISBLANK('Data Entry'!$ģ$431), "", 'Data Entry'!$ģ$431)</f>
      </c>
      <c r="HT431">
        <f>IF(ISBLANK('Data Entry'!$Ĥ$431), "", 'Data Entry'!$Ĥ$431)</f>
      </c>
      <c r="HU431">
        <f>IF(ISBLANK('Data Entry'!$ĥ$431), "", 'Data Entry'!$ĥ$431)</f>
      </c>
      <c r="HV431">
        <f>IF(ISBLANK('Data Entry'!$Ħ$431), "", 'Data Entry'!$Ħ$431)</f>
      </c>
      <c r="HW431">
        <f>IF(ISBLANK('Data Entry'!$ħ$431), "", 'Data Entry'!$ħ$431)</f>
      </c>
      <c r="HX431">
        <f>IF(ISBLANK('Data Entry'!$Ĩ$431), "", 'Data Entry'!$Ĩ$431)</f>
      </c>
      <c r="HY431">
        <f>IF(ISBLANK('Data Entry'!$ĩ$431), "", 'Data Entry'!$ĩ$431)</f>
      </c>
      <c r="HZ431">
        <f>IF(ISBLANK('Data Entry'!$Ī$431), "", 'Data Entry'!$Ī$431)</f>
      </c>
      <c r="IA431">
        <f>IF(ISBLANK('Data Entry'!$ī$431), "", 'Data Entry'!$ī$431)</f>
      </c>
      <c r="IB431">
        <f>IF(ISBLANK('Data Entry'!$Ĭ$431), "", 'Data Entry'!$Ĭ$431)</f>
      </c>
      <c r="IC431">
        <f>IF(ISBLANK('Data Entry'!$ĭ$431), "", 'Data Entry'!$ĭ$431)</f>
      </c>
      <c r="ID431">
        <f>IF(ISBLANK('Data Entry'!$Į$431), "", 'Data Entry'!$Į$431)</f>
      </c>
      <c r="IE431">
        <f>IF(ISBLANK('Data Entry'!$į$431), "", 'Data Entry'!$į$431)</f>
      </c>
      <c r="IF431">
        <f>IF(ISBLANK('Data Entry'!$İ$431), "", 'Data Entry'!$İ$431)</f>
      </c>
      <c r="IG431">
        <f>IF(ISBLANK('Data Entry'!$ı$431), "", 'Data Entry'!$ı$431)</f>
      </c>
      <c r="IH431">
        <f>IF(ISBLANK('Data Entry'!$Ĳ$431), "", 'Data Entry'!$Ĳ$431)</f>
      </c>
      <c r="II431">
        <f>IF(ISBLANK('Data Entry'!$ĳ$431), "", 'Data Entry'!$ĳ$431)</f>
      </c>
      <c r="IJ431">
        <f>IF(ISBLANK('Data Entry'!$Ĵ$431), "", 'Data Entry'!$Ĵ$431)</f>
      </c>
      <c r="IK431">
        <f>IF(ISBLANK('Data Entry'!$ĵ$431), "", 'Data Entry'!$ĵ$431)</f>
      </c>
      <c r="IL431">
        <f>IF(ISBLANK('Data Entry'!$Ķ$431), "", 'Data Entry'!$Ķ$431)</f>
      </c>
      <c r="IM431">
        <f>IF(ISBLANK('Data Entry'!$ķ$431), "", 'Data Entry'!$ķ$431)</f>
      </c>
      <c r="IN431">
        <f>IF(ISBLANK('Data Entry'!$ĸ$431), "", 'Data Entry'!$ĸ$431)</f>
      </c>
      <c r="IO431">
        <f>IF(ISBLANK('Data Entry'!$Ĺ$431), "", 'Data Entry'!$Ĺ$431)</f>
      </c>
      <c r="IP431">
        <f>IF(ISBLANK('Data Entry'!$ĺ$431), "", 'Data Entry'!$ĺ$431)</f>
      </c>
      <c r="IQ431">
        <f>IF(ISBLANK('Data Entry'!$Ļ$431), "", 'Data Entry'!$Ļ$431)</f>
      </c>
      <c r="IR431">
        <f>IF(ISBLANK('Data Entry'!$ļ$431), "", 'Data Entry'!$ļ$431)</f>
      </c>
      <c r="IS431">
        <f>IF(ISBLANK('Data Entry'!$Ľ$431), "", 'Data Entry'!$Ľ$431)</f>
      </c>
      <c r="IT431">
        <f>IF(ISBLANK('Data Entry'!$ľ$431), "", 'Data Entry'!$ľ$431)</f>
      </c>
    </row>
    <row r="432" spans="1:254" x14ac:dyDescent="0.25">
      <c r="A432">
        <f>IF(ISBLANK('Data Entry'!$A$432), "", 'Data Entry'!$A$432)</f>
      </c>
      <c r="B432">
        <f>IF(ISBLANK('Data Entry'!$B$432), "", 'Data Entry'!$B$432)</f>
      </c>
      <c r="C432">
        <f>IF(ISBLANK('Data Entry'!$C$432), "", 'Data Entry'!$C$432)</f>
      </c>
      <c r="D432">
        <f>IF(ISBLANK('Data Entry'!$D$432), "", 'Data Entry'!$D$432)</f>
      </c>
      <c r="E432">
        <f>IF(ISBLANK('Data Entry'!$E$432), "", 'Data Entry'!$E$432)</f>
      </c>
      <c r="F432">
        <f>IF(ISBLANK('Data Entry'!$F$432), "", 'Data Entry'!$F$432)</f>
      </c>
      <c r="G432">
        <f>IF(ISBLANK('Data Entry'!$G$432), "", 'Data Entry'!$G$432)</f>
      </c>
      <c r="H432">
        <f>IF(ISBLANK('Data Entry'!$H$432), "", 'Data Entry'!$H$432)</f>
      </c>
      <c r="I432">
        <f>IF(ISBLANK('Data Entry'!$I$432), "", 'Data Entry'!$I$432)</f>
      </c>
      <c r="J432">
        <f>IF(ISBLANK('Data Entry'!$J$432), "", 'Data Entry'!$J$432)</f>
      </c>
      <c r="K432">
        <f>IF(ISBLANK('Data Entry'!$K$432), "", 'Data Entry'!$K$432)</f>
      </c>
      <c r="L432">
        <f>IF(ISBLANK('Data Entry'!$L$432), "", 'Data Entry'!$L$432)</f>
      </c>
      <c r="M432">
        <f>IF(ISBLANK('Data Entry'!$M$432), "", 'Data Entry'!$M$432)</f>
      </c>
      <c r="N432">
        <f>IF(ISBLANK('Data Entry'!$N$432), "", 'Data Entry'!$N$432)</f>
      </c>
      <c r="O432">
        <f>IF(ISBLANK('Data Entry'!$O$432), "", 'Data Entry'!$O$432)</f>
      </c>
      <c r="P432">
        <f>IF(ISBLANK('Data Entry'!$P$432), "", 'Data Entry'!$P$432)</f>
      </c>
      <c r="Q432">
        <f>IF(ISBLANK('Data Entry'!$Q$432), "", 'Data Entry'!$Q$432)</f>
      </c>
      <c r="R432">
        <f>IF(ISBLANK('Data Entry'!$R$432), "", 'Data Entry'!$R$432)</f>
      </c>
      <c r="S432">
        <f>IF(ISBLANK('Data Entry'!$S$432), "", 'Data Entry'!$S$432)</f>
      </c>
      <c r="T432">
        <f>IF(ISBLANK('Data Entry'!$T$432), "", 'Data Entry'!$T$432)</f>
      </c>
      <c r="U432">
        <f>IF(ISBLANK('Data Entry'!$U$432), "", 'Data Entry'!$U$432)</f>
      </c>
      <c r="V432">
        <f>IF(ISBLANK('Data Entry'!$V$432), "", 'Data Entry'!$V$432)</f>
      </c>
      <c r="W432">
        <f>IF(ISBLANK('Data Entry'!$W$432), "", 'Data Entry'!$W$432)</f>
      </c>
      <c r="X432">
        <f>IF(ISBLANK('Data Entry'!$X$432), "", 'Data Entry'!$X$432)</f>
      </c>
      <c r="Y432">
        <f>IF(ISBLANK('Data Entry'!$Y$432), "", 'Data Entry'!$Y$432)</f>
      </c>
      <c r="Z432">
        <f>IF(ISBLANK('Data Entry'!$Z$432), "", 'Data Entry'!$Z$432)</f>
      </c>
      <c r="AA432">
        <f>IF(ISBLANK('Data Entry'!$[$432), "", 'Data Entry'!$[$432)</f>
      </c>
      <c r="AB432">
        <f>IF(ISBLANK('Data Entry'!$\$432), "", 'Data Entry'!$\$432)</f>
      </c>
      <c r="AC432">
        <f>IF(ISBLANK('Data Entry'!$]$432), "", 'Data Entry'!$]$432)</f>
      </c>
      <c r="AD432">
        <f>IF(ISBLANK('Data Entry'!$^$432), "", 'Data Entry'!$^$432)</f>
      </c>
      <c r="AE432">
        <f>IF(ISBLANK('Data Entry'!$_$432), "", 'Data Entry'!$_$432)</f>
      </c>
      <c r="AF432">
        <f>IF(ISBLANK('Data Entry'!$`$432), "", 'Data Entry'!$`$432)</f>
      </c>
      <c r="AG432">
        <f>IF(ISBLANK('Data Entry'!$a$432), "", 'Data Entry'!$a$432)</f>
      </c>
      <c r="AH432">
        <f>IF(ISBLANK('Data Entry'!$b$432), "", 'Data Entry'!$b$432)</f>
      </c>
      <c r="AI432">
        <f>IF(ISBLANK('Data Entry'!$c$432), "", 'Data Entry'!$c$432)</f>
      </c>
      <c r="AJ432">
        <f>IF(ISBLANK('Data Entry'!$d$432), "", 'Data Entry'!$d$432)</f>
      </c>
      <c r="AK432">
        <f>IF(ISBLANK('Data Entry'!$e$432), "", 'Data Entry'!$e$432)</f>
      </c>
      <c r="AL432">
        <f>IF(ISBLANK('Data Entry'!$f$432), "", 'Data Entry'!$f$432)</f>
      </c>
      <c r="AM432">
        <f>IF(ISBLANK('Data Entry'!$g$432), "", 'Data Entry'!$g$432)</f>
      </c>
      <c r="AN432">
        <f>IF(ISBLANK('Data Entry'!$h$432), "", 'Data Entry'!$h$432)</f>
      </c>
      <c r="AO432">
        <f>IF(ISBLANK('Data Entry'!$i$432), "", 'Data Entry'!$i$432)</f>
      </c>
      <c r="AP432">
        <f>IF(ISBLANK('Data Entry'!$j$432), "", 'Data Entry'!$j$432)</f>
      </c>
      <c r="AQ432">
        <f>IF(ISBLANK('Data Entry'!$k$432), "", 'Data Entry'!$k$432)</f>
      </c>
      <c r="AR432">
        <f>IF(ISBLANK('Data Entry'!$l$432), "", 'Data Entry'!$l$432)</f>
      </c>
      <c r="AS432">
        <f>IF(ISBLANK('Data Entry'!$m$432), "", 'Data Entry'!$m$432)</f>
      </c>
      <c r="AT432">
        <f>IF(ISBLANK('Data Entry'!$n$432), "", 'Data Entry'!$n$432)</f>
      </c>
      <c r="AU432">
        <f>IF(ISBLANK('Data Entry'!$o$432), "", 'Data Entry'!$o$432)</f>
      </c>
      <c r="AV432">
        <f>IF(ISBLANK('Data Entry'!$p$432), "", 'Data Entry'!$p$432)</f>
      </c>
      <c r="AW432">
        <f>IF(ISBLANK('Data Entry'!$q$432), "", 'Data Entry'!$q$432)</f>
      </c>
      <c r="AX432">
        <f>IF(ISBLANK('Data Entry'!$r$432), "", 'Data Entry'!$r$432)</f>
      </c>
      <c r="AY432">
        <f>IF(ISBLANK('Data Entry'!$s$432), "", 'Data Entry'!$s$432)</f>
      </c>
      <c r="AZ432">
        <f>IF(ISBLANK('Data Entry'!$t$432), "", 'Data Entry'!$t$432)</f>
      </c>
      <c r="BA432">
        <f>IF(ISBLANK('Data Entry'!$u$432), "", 'Data Entry'!$u$432)</f>
      </c>
      <c r="BB432">
        <f>IF(ISBLANK('Data Entry'!$v$432), "", 'Data Entry'!$v$432)</f>
      </c>
      <c r="BC432">
        <f>IF(ISBLANK('Data Entry'!$w$432), "", 'Data Entry'!$w$432)</f>
      </c>
      <c r="BD432">
        <f>IF(ISBLANK('Data Entry'!$x$432), "", 'Data Entry'!$x$432)</f>
      </c>
      <c r="BE432">
        <f>IF(ISBLANK('Data Entry'!$y$432), "", 'Data Entry'!$y$432)</f>
      </c>
      <c r="BF432">
        <f>IF(ISBLANK('Data Entry'!$z$432), "", 'Data Entry'!$z$432)</f>
      </c>
      <c r="BG432">
        <f>IF(ISBLANK('Data Entry'!${$432), "", 'Data Entry'!${$432)</f>
      </c>
      <c r="BH432">
        <f>IF(ISBLANK('Data Entry'!$|$432), "", 'Data Entry'!$|$432)</f>
      </c>
      <c r="BI432">
        <f>IF(ISBLANK('Data Entry'!$}$432), "", 'Data Entry'!$}$432)</f>
      </c>
      <c r="BJ432">
        <f>IF(ISBLANK('Data Entry'!$~$432), "", 'Data Entry'!$~$432)</f>
      </c>
      <c r="BK432">
        <f>IF(ISBLANK('Data Entry'!$$432), "", 'Data Entry'!$$432)</f>
      </c>
      <c r="BL432">
        <f>IF(ISBLANK('Data Entry'!$$432), "", 'Data Entry'!$$432)</f>
      </c>
      <c r="BM432">
        <f>IF(ISBLANK('Data Entry'!$$432), "", 'Data Entry'!$$432)</f>
      </c>
      <c r="BN432">
        <f>IF(ISBLANK('Data Entry'!$$432), "", 'Data Entry'!$$432)</f>
      </c>
      <c r="BO432">
        <f>IF(ISBLANK('Data Entry'!$$432), "", 'Data Entry'!$$432)</f>
      </c>
      <c r="BP432">
        <f>IF(ISBLANK('Data Entry'!$$432), "", 'Data Entry'!$$432)</f>
      </c>
      <c r="BQ432">
        <f>IF(ISBLANK('Data Entry'!$$432), "", 'Data Entry'!$$432)</f>
      </c>
      <c r="BR432">
        <f>IF(ISBLANK('Data Entry'!$$432), "", 'Data Entry'!$$432)</f>
      </c>
      <c r="BS432">
        <f>IF(ISBLANK('Data Entry'!$$432), "", 'Data Entry'!$$432)</f>
      </c>
      <c r="BT432">
        <f>IF(ISBLANK('Data Entry'!$$432), "", 'Data Entry'!$$432)</f>
      </c>
      <c r="BU432">
        <f>IF(ISBLANK('Data Entry'!$$432), "", 'Data Entry'!$$432)</f>
      </c>
      <c r="BV432">
        <f>IF(ISBLANK('Data Entry'!$$432), "", 'Data Entry'!$$432)</f>
      </c>
      <c r="BW432">
        <f>IF(ISBLANK('Data Entry'!$$432), "", 'Data Entry'!$$432)</f>
      </c>
      <c r="BX432">
        <f>IF(ISBLANK('Data Entry'!$$432), "", 'Data Entry'!$$432)</f>
      </c>
      <c r="BY432">
        <f>IF(ISBLANK('Data Entry'!$$432), "", 'Data Entry'!$$432)</f>
      </c>
      <c r="BZ432">
        <f>IF(ISBLANK('Data Entry'!$$432), "", 'Data Entry'!$$432)</f>
      </c>
      <c r="CA432">
        <f>IF(ISBLANK('Data Entry'!$$432), "", 'Data Entry'!$$432)</f>
      </c>
      <c r="CB432">
        <f>IF(ISBLANK('Data Entry'!$$432), "", 'Data Entry'!$$432)</f>
      </c>
      <c r="CC432">
        <f>IF(ISBLANK('Data Entry'!$$432), "", 'Data Entry'!$$432)</f>
      </c>
      <c r="CD432">
        <f>IF(ISBLANK('Data Entry'!$$432), "", 'Data Entry'!$$432)</f>
      </c>
      <c r="CE432">
        <f>IF(ISBLANK('Data Entry'!$$432), "", 'Data Entry'!$$432)</f>
      </c>
      <c r="CF432">
        <f>IF(ISBLANK('Data Entry'!$$432), "", 'Data Entry'!$$432)</f>
      </c>
      <c r="CG432">
        <f>IF(ISBLANK('Data Entry'!$$432), "", 'Data Entry'!$$432)</f>
      </c>
      <c r="CH432">
        <f>IF(ISBLANK('Data Entry'!$$432), "", 'Data Entry'!$$432)</f>
      </c>
      <c r="CI432">
        <f>IF(ISBLANK('Data Entry'!$$432), "", 'Data Entry'!$$432)</f>
      </c>
      <c r="CJ432">
        <f>IF(ISBLANK('Data Entry'!$$432), "", 'Data Entry'!$$432)</f>
      </c>
      <c r="CK432">
        <f>IF(ISBLANK('Data Entry'!$$432), "", 'Data Entry'!$$432)</f>
      </c>
      <c r="CL432">
        <f>IF(ISBLANK('Data Entry'!$$432), "", 'Data Entry'!$$432)</f>
      </c>
      <c r="CM432">
        <f>IF(ISBLANK('Data Entry'!$$432), "", 'Data Entry'!$$432)</f>
      </c>
      <c r="CN432">
        <f>IF(ISBLANK('Data Entry'!$$432), "", 'Data Entry'!$$432)</f>
      </c>
      <c r="CO432">
        <f>IF(ISBLANK('Data Entry'!$$432), "", 'Data Entry'!$$432)</f>
      </c>
      <c r="CP432">
        <f>IF(ISBLANK('Data Entry'!$$432), "", 'Data Entry'!$$432)</f>
      </c>
      <c r="CQ432">
        <f>IF(ISBLANK('Data Entry'!$$432), "", 'Data Entry'!$$432)</f>
      </c>
      <c r="CR432">
        <f>IF(ISBLANK('Data Entry'!$ $432), "", 'Data Entry'!$ $432)</f>
      </c>
      <c r="CS432">
        <f>IF(ISBLANK('Data Entry'!$¡$432), "", 'Data Entry'!$¡$432)</f>
      </c>
      <c r="CT432">
        <f>IF(ISBLANK('Data Entry'!$¢$432), "", 'Data Entry'!$¢$432)</f>
      </c>
      <c r="CU432">
        <f>IF(ISBLANK('Data Entry'!$£$432), "", 'Data Entry'!$£$432)</f>
      </c>
      <c r="CV432">
        <f>IF(ISBLANK('Data Entry'!$¤$432), "", 'Data Entry'!$¤$432)</f>
      </c>
      <c r="CW432">
        <f>IF(ISBLANK('Data Entry'!$¥$432), "", 'Data Entry'!$¥$432)</f>
      </c>
      <c r="CX432">
        <f>IF(ISBLANK('Data Entry'!$¦$432), "", 'Data Entry'!$¦$432)</f>
      </c>
      <c r="CY432">
        <f>IF(ISBLANK('Data Entry'!$§$432), "", 'Data Entry'!$§$432)</f>
      </c>
      <c r="CZ432">
        <f>IF(ISBLANK('Data Entry'!$¨$432), "", 'Data Entry'!$¨$432)</f>
      </c>
      <c r="DA432">
        <f>IF(ISBLANK('Data Entry'!$©$432), "", 'Data Entry'!$©$432)</f>
      </c>
      <c r="DB432">
        <f>IF(ISBLANK('Data Entry'!$ª$432), "", 'Data Entry'!$ª$432)</f>
      </c>
      <c r="DC432">
        <f>IF(ISBLANK('Data Entry'!$«$432), "", 'Data Entry'!$«$432)</f>
      </c>
      <c r="DD432">
        <f>IF(ISBLANK('Data Entry'!$¬$432), "", 'Data Entry'!$¬$432)</f>
      </c>
      <c r="DE432">
        <f>IF(ISBLANK('Data Entry'!$­$432), "", 'Data Entry'!$­$432)</f>
      </c>
      <c r="DF432">
        <f>IF(ISBLANK('Data Entry'!$®$432), "", 'Data Entry'!$®$432)</f>
      </c>
      <c r="DG432">
        <f>IF(ISBLANK('Data Entry'!$¯$432), "", 'Data Entry'!$¯$432)</f>
      </c>
      <c r="DH432">
        <f>IF(ISBLANK('Data Entry'!$°$432), "", 'Data Entry'!$°$432)</f>
      </c>
      <c r="DI432">
        <f>IF(ISBLANK('Data Entry'!$±$432), "", 'Data Entry'!$±$432)</f>
      </c>
      <c r="DJ432">
        <f>IF(ISBLANK('Data Entry'!$²$432), "", 'Data Entry'!$²$432)</f>
      </c>
      <c r="DK432">
        <f>IF(ISBLANK('Data Entry'!$³$432), "", 'Data Entry'!$³$432)</f>
      </c>
      <c r="DL432">
        <f>IF(ISBLANK('Data Entry'!$´$432), "", 'Data Entry'!$´$432)</f>
      </c>
      <c r="DM432">
        <f>IF(ISBLANK('Data Entry'!$µ$432), "", 'Data Entry'!$µ$432)</f>
      </c>
      <c r="DN432">
        <f>IF(ISBLANK('Data Entry'!$¶$432), "", 'Data Entry'!$¶$432)</f>
      </c>
      <c r="DO432">
        <f>IF(ISBLANK('Data Entry'!$·$432), "", 'Data Entry'!$·$432)</f>
      </c>
      <c r="DP432">
        <f>IF(ISBLANK('Data Entry'!$¸$432), "", 'Data Entry'!$¸$432)</f>
      </c>
      <c r="DQ432">
        <f>IF(ISBLANK('Data Entry'!$¹$432), "", 'Data Entry'!$¹$432)</f>
      </c>
      <c r="DR432">
        <f>IF(ISBLANK('Data Entry'!$º$432), "", 'Data Entry'!$º$432)</f>
      </c>
      <c r="DS432">
        <f>IF(ISBLANK('Data Entry'!$»$432), "", 'Data Entry'!$»$432)</f>
      </c>
      <c r="DT432">
        <f>IF(ISBLANK('Data Entry'!$¼$432), "", 'Data Entry'!$¼$432)</f>
      </c>
      <c r="DU432">
        <f>IF(ISBLANK('Data Entry'!$½$432), "", 'Data Entry'!$½$432)</f>
      </c>
      <c r="DV432">
        <f>IF(ISBLANK('Data Entry'!$¾$432), "", 'Data Entry'!$¾$432)</f>
      </c>
      <c r="DW432">
        <f>IF(ISBLANK('Data Entry'!$¿$432), "", 'Data Entry'!$¿$432)</f>
      </c>
      <c r="DX432">
        <f>IF(ISBLANK('Data Entry'!$À$432), "", 'Data Entry'!$À$432)</f>
      </c>
      <c r="DY432">
        <f>IF(ISBLANK('Data Entry'!$Á$432), "", 'Data Entry'!$Á$432)</f>
      </c>
      <c r="DZ432">
        <f>IF(ISBLANK('Data Entry'!$Â$432), "", 'Data Entry'!$Â$432)</f>
      </c>
      <c r="EA432">
        <f>IF(ISBLANK('Data Entry'!$Ã$432), "", 'Data Entry'!$Ã$432)</f>
      </c>
      <c r="EB432">
        <f>IF(ISBLANK('Data Entry'!$Ä$432), "", 'Data Entry'!$Ä$432)</f>
      </c>
      <c r="EC432">
        <f>IF(ISBLANK('Data Entry'!$Å$432), "", 'Data Entry'!$Å$432)</f>
      </c>
      <c r="ED432">
        <f>IF(ISBLANK('Data Entry'!$Æ$432), "", 'Data Entry'!$Æ$432)</f>
      </c>
      <c r="EE432">
        <f>IF(ISBLANK('Data Entry'!$Ç$432), "", 'Data Entry'!$Ç$432)</f>
      </c>
      <c r="EF432">
        <f>IF(ISBLANK('Data Entry'!$È$432), "", 'Data Entry'!$È$432)</f>
      </c>
      <c r="EG432">
        <f>IF(ISBLANK('Data Entry'!$É$432), "", 'Data Entry'!$É$432)</f>
      </c>
      <c r="EH432">
        <f>IF(ISBLANK('Data Entry'!$Ê$432), "", 'Data Entry'!$Ê$432)</f>
      </c>
      <c r="EI432">
        <f>IF(ISBLANK('Data Entry'!$Ë$432), "", 'Data Entry'!$Ë$432)</f>
      </c>
      <c r="EJ432">
        <f>IF(ISBLANK('Data Entry'!$Ì$432), "", 'Data Entry'!$Ì$432)</f>
      </c>
      <c r="EK432">
        <f>IF(ISBLANK('Data Entry'!$Í$432), "", 'Data Entry'!$Í$432)</f>
      </c>
      <c r="EL432">
        <f>IF(ISBLANK('Data Entry'!$Î$432), "", 'Data Entry'!$Î$432)</f>
      </c>
      <c r="EM432">
        <f>IF(ISBLANK('Data Entry'!$Ï$432), "", 'Data Entry'!$Ï$432)</f>
      </c>
      <c r="EN432">
        <f>IF(ISBLANK('Data Entry'!$Ð$432), "", 'Data Entry'!$Ð$432)</f>
      </c>
      <c r="EO432">
        <f>IF(ISBLANK('Data Entry'!$Ñ$432), "", 'Data Entry'!$Ñ$432)</f>
      </c>
      <c r="EP432">
        <f>IF(ISBLANK('Data Entry'!$Ò$432), "", 'Data Entry'!$Ò$432)</f>
      </c>
      <c r="EQ432">
        <f>IF(ISBLANK('Data Entry'!$Ó$432), "", 'Data Entry'!$Ó$432)</f>
      </c>
      <c r="ER432">
        <f>IF(ISBLANK('Data Entry'!$Ô$432), "", 'Data Entry'!$Ô$432)</f>
      </c>
      <c r="ES432">
        <f>IF(ISBLANK('Data Entry'!$Õ$432), "", 'Data Entry'!$Õ$432)</f>
      </c>
      <c r="ET432">
        <f>IF(ISBLANK('Data Entry'!$Ö$432), "", 'Data Entry'!$Ö$432)</f>
      </c>
      <c r="EU432">
        <f>IF(ISBLANK('Data Entry'!$×$432), "", 'Data Entry'!$×$432)</f>
      </c>
      <c r="EV432">
        <f>IF(ISBLANK('Data Entry'!$Ø$432), "", 'Data Entry'!$Ø$432)</f>
      </c>
      <c r="EW432">
        <f>IF(ISBLANK('Data Entry'!$Ù$432), "", 'Data Entry'!$Ù$432)</f>
      </c>
      <c r="EX432">
        <f>IF(ISBLANK('Data Entry'!$Ú$432), "", 'Data Entry'!$Ú$432)</f>
      </c>
      <c r="EY432">
        <f>IF(ISBLANK('Data Entry'!$Û$432), "", 'Data Entry'!$Û$432)</f>
      </c>
      <c r="EZ432">
        <f>IF(ISBLANK('Data Entry'!$Ü$432), "", 'Data Entry'!$Ü$432)</f>
      </c>
      <c r="FA432">
        <f>IF(ISBLANK('Data Entry'!$Ý$432), "", 'Data Entry'!$Ý$432)</f>
      </c>
      <c r="FB432">
        <f>IF(ISBLANK('Data Entry'!$Þ$432), "", 'Data Entry'!$Þ$432)</f>
      </c>
      <c r="FC432">
        <f>IF(ISBLANK('Data Entry'!$ß$432), "", 'Data Entry'!$ß$432)</f>
      </c>
      <c r="FD432">
        <f>IF(ISBLANK('Data Entry'!$à$432), "", 'Data Entry'!$à$432)</f>
      </c>
      <c r="FE432">
        <f>IF(ISBLANK('Data Entry'!$á$432), "", 'Data Entry'!$á$432)</f>
      </c>
      <c r="FF432">
        <f>IF(ISBLANK('Data Entry'!$â$432), "", 'Data Entry'!$â$432)</f>
      </c>
      <c r="FG432">
        <f>IF(ISBLANK('Data Entry'!$ã$432), "", 'Data Entry'!$ã$432)</f>
      </c>
      <c r="FH432">
        <f>IF(ISBLANK('Data Entry'!$ä$432), "", 'Data Entry'!$ä$432)</f>
      </c>
      <c r="FI432">
        <f>IF(ISBLANK('Data Entry'!$å$432), "", 'Data Entry'!$å$432)</f>
      </c>
      <c r="FJ432">
        <f>IF(ISBLANK('Data Entry'!$æ$432), "", 'Data Entry'!$æ$432)</f>
      </c>
      <c r="FK432">
        <f>IF(ISBLANK('Data Entry'!$ç$432), "", 'Data Entry'!$ç$432)</f>
      </c>
      <c r="FL432">
        <f>IF(ISBLANK('Data Entry'!$è$432), "", 'Data Entry'!$è$432)</f>
      </c>
      <c r="FM432">
        <f>IF(ISBLANK('Data Entry'!$é$432), "", 'Data Entry'!$é$432)</f>
      </c>
      <c r="FN432">
        <f>IF(ISBLANK('Data Entry'!$ê$432), "", 'Data Entry'!$ê$432)</f>
      </c>
      <c r="FO432">
        <f>IF(ISBLANK('Data Entry'!$ë$432), "", 'Data Entry'!$ë$432)</f>
      </c>
      <c r="FP432">
        <f>IF(ISBLANK('Data Entry'!$ì$432), "", 'Data Entry'!$ì$432)</f>
      </c>
      <c r="FQ432">
        <f>IF(ISBLANK('Data Entry'!$í$432), "", 'Data Entry'!$í$432)</f>
      </c>
      <c r="FR432">
        <f>IF(ISBLANK('Data Entry'!$î$432), "", 'Data Entry'!$î$432)</f>
      </c>
      <c r="FS432">
        <f>IF(ISBLANK('Data Entry'!$ï$432), "", 'Data Entry'!$ï$432)</f>
      </c>
      <c r="FT432">
        <f>IF(ISBLANK('Data Entry'!$ð$432), "", 'Data Entry'!$ð$432)</f>
      </c>
      <c r="FU432">
        <f>IF(ISBLANK('Data Entry'!$ñ$432), "", 'Data Entry'!$ñ$432)</f>
      </c>
      <c r="FV432">
        <f>IF(ISBLANK('Data Entry'!$ò$432), "", 'Data Entry'!$ò$432)</f>
      </c>
      <c r="FW432">
        <f>IF(ISBLANK('Data Entry'!$ó$432), "", 'Data Entry'!$ó$432)</f>
      </c>
      <c r="FX432">
        <f>IF(ISBLANK('Data Entry'!$ô$432), "", 'Data Entry'!$ô$432)</f>
      </c>
      <c r="FY432">
        <f>IF(ISBLANK('Data Entry'!$õ$432), "", 'Data Entry'!$õ$432)</f>
      </c>
      <c r="FZ432">
        <f>IF(ISBLANK('Data Entry'!$ö$432), "", 'Data Entry'!$ö$432)</f>
      </c>
      <c r="GA432">
        <f>IF(ISBLANK('Data Entry'!$÷$432), "", 'Data Entry'!$÷$432)</f>
      </c>
      <c r="GB432">
        <f>IF(ISBLANK('Data Entry'!$ø$432), "", 'Data Entry'!$ø$432)</f>
      </c>
      <c r="GC432">
        <f>IF(ISBLANK('Data Entry'!$ù$432), "", 'Data Entry'!$ù$432)</f>
      </c>
      <c r="GD432">
        <f>IF(ISBLANK('Data Entry'!$ú$432), "", 'Data Entry'!$ú$432)</f>
      </c>
      <c r="GE432">
        <f>IF(ISBLANK('Data Entry'!$û$432), "", 'Data Entry'!$û$432)</f>
      </c>
      <c r="GF432">
        <f>IF(ISBLANK('Data Entry'!$ü$432), "", 'Data Entry'!$ü$432)</f>
      </c>
      <c r="GG432">
        <f>IF(ISBLANK('Data Entry'!$ý$432), "", 'Data Entry'!$ý$432)</f>
      </c>
      <c r="GH432">
        <f>IF(ISBLANK('Data Entry'!$þ$432), "", 'Data Entry'!$þ$432)</f>
      </c>
      <c r="GI432">
        <f>IF(ISBLANK('Data Entry'!$ÿ$432), "", 'Data Entry'!$ÿ$432)</f>
      </c>
      <c r="GJ432">
        <f>IF(ISBLANK('Data Entry'!$Ā$432), "", 'Data Entry'!$Ā$432)</f>
      </c>
      <c r="GK432">
        <f>IF(ISBLANK('Data Entry'!$ā$432), "", 'Data Entry'!$ā$432)</f>
      </c>
      <c r="GL432">
        <f>IF(ISBLANK('Data Entry'!$Ă$432), "", 'Data Entry'!$Ă$432)</f>
      </c>
      <c r="GM432">
        <f>IF(ISBLANK('Data Entry'!$ă$432), "", 'Data Entry'!$ă$432)</f>
      </c>
      <c r="GN432">
        <f>IF(ISBLANK('Data Entry'!$Ą$432), "", 'Data Entry'!$Ą$432)</f>
      </c>
      <c r="GO432">
        <f>IF(ISBLANK('Data Entry'!$ą$432), "", 'Data Entry'!$ą$432)</f>
      </c>
      <c r="GP432">
        <f>IF(ISBLANK('Data Entry'!$Ć$432), "", 'Data Entry'!$Ć$432)</f>
      </c>
      <c r="GQ432">
        <f>IF(ISBLANK('Data Entry'!$ć$432), "", 'Data Entry'!$ć$432)</f>
      </c>
      <c r="GR432">
        <f>IF(ISBLANK('Data Entry'!$Ĉ$432), "", 'Data Entry'!$Ĉ$432)</f>
      </c>
      <c r="GS432">
        <f>IF(ISBLANK('Data Entry'!$ĉ$432), "", 'Data Entry'!$ĉ$432)</f>
      </c>
      <c r="GT432">
        <f>IF(ISBLANK('Data Entry'!$Ċ$432), "", 'Data Entry'!$Ċ$432)</f>
      </c>
      <c r="GU432">
        <f>IF(ISBLANK('Data Entry'!$ċ$432), "", 'Data Entry'!$ċ$432)</f>
      </c>
      <c r="GV432">
        <f>IF(ISBLANK('Data Entry'!$Č$432), "", 'Data Entry'!$Č$432)</f>
      </c>
      <c r="GW432">
        <f>IF(ISBLANK('Data Entry'!$č$432), "", 'Data Entry'!$č$432)</f>
      </c>
      <c r="GX432">
        <f>IF(ISBLANK('Data Entry'!$Ď$432), "", 'Data Entry'!$Ď$432)</f>
      </c>
      <c r="GY432">
        <f>IF(ISBLANK('Data Entry'!$ď$432), "", 'Data Entry'!$ď$432)</f>
      </c>
      <c r="GZ432">
        <f>IF(ISBLANK('Data Entry'!$Đ$432), "", 'Data Entry'!$Đ$432)</f>
      </c>
      <c r="HA432">
        <f>IF(ISBLANK('Data Entry'!$đ$432), "", 'Data Entry'!$đ$432)</f>
      </c>
      <c r="HB432">
        <f>IF(ISBLANK('Data Entry'!$Ē$432), "", 'Data Entry'!$Ē$432)</f>
      </c>
      <c r="HC432">
        <f>IF(ISBLANK('Data Entry'!$ē$432), "", 'Data Entry'!$ē$432)</f>
      </c>
      <c r="HD432">
        <f>IF(ISBLANK('Data Entry'!$Ĕ$432), "", 'Data Entry'!$Ĕ$432)</f>
      </c>
      <c r="HE432">
        <f>IF(ISBLANK('Data Entry'!$ĕ$432), "", 'Data Entry'!$ĕ$432)</f>
      </c>
      <c r="HF432">
        <f>IF(ISBLANK('Data Entry'!$Ė$432), "", 'Data Entry'!$Ė$432)</f>
      </c>
      <c r="HG432">
        <f>IF(ISBLANK('Data Entry'!$ė$432), "", 'Data Entry'!$ė$432)</f>
      </c>
      <c r="HH432">
        <f>IF(ISBLANK('Data Entry'!$Ę$432), "", 'Data Entry'!$Ę$432)</f>
      </c>
      <c r="HI432">
        <f>IF(ISBLANK('Data Entry'!$ę$432), "", 'Data Entry'!$ę$432)</f>
      </c>
      <c r="HJ432">
        <f>IF(ISBLANK('Data Entry'!$Ě$432), "", 'Data Entry'!$Ě$432)</f>
      </c>
      <c r="HK432">
        <f>IF(ISBLANK('Data Entry'!$ě$432), "", 'Data Entry'!$ě$432)</f>
      </c>
      <c r="HL432">
        <f>IF(ISBLANK('Data Entry'!$Ĝ$432), "", 'Data Entry'!$Ĝ$432)</f>
      </c>
      <c r="HM432">
        <f>IF(ISBLANK('Data Entry'!$ĝ$432), "", 'Data Entry'!$ĝ$432)</f>
      </c>
      <c r="HN432">
        <f>IF(ISBLANK('Data Entry'!$Ğ$432), "", 'Data Entry'!$Ğ$432)</f>
      </c>
      <c r="HO432">
        <f>IF(ISBLANK('Data Entry'!$ğ$432), "", 'Data Entry'!$ğ$432)</f>
      </c>
      <c r="HP432">
        <f>IF(ISBLANK('Data Entry'!$Ġ$432), "", 'Data Entry'!$Ġ$432)</f>
      </c>
      <c r="HQ432">
        <f>IF(ISBLANK('Data Entry'!$ġ$432), "", 'Data Entry'!$ġ$432)</f>
      </c>
      <c r="HR432">
        <f>IF(ISBLANK('Data Entry'!$Ģ$432), "", 'Data Entry'!$Ģ$432)</f>
      </c>
      <c r="HS432">
        <f>IF(ISBLANK('Data Entry'!$ģ$432), "", 'Data Entry'!$ģ$432)</f>
      </c>
      <c r="HT432">
        <f>IF(ISBLANK('Data Entry'!$Ĥ$432), "", 'Data Entry'!$Ĥ$432)</f>
      </c>
      <c r="HU432">
        <f>IF(ISBLANK('Data Entry'!$ĥ$432), "", 'Data Entry'!$ĥ$432)</f>
      </c>
      <c r="HV432">
        <f>IF(ISBLANK('Data Entry'!$Ħ$432), "", 'Data Entry'!$Ħ$432)</f>
      </c>
      <c r="HW432">
        <f>IF(ISBLANK('Data Entry'!$ħ$432), "", 'Data Entry'!$ħ$432)</f>
      </c>
      <c r="HX432">
        <f>IF(ISBLANK('Data Entry'!$Ĩ$432), "", 'Data Entry'!$Ĩ$432)</f>
      </c>
      <c r="HY432">
        <f>IF(ISBLANK('Data Entry'!$ĩ$432), "", 'Data Entry'!$ĩ$432)</f>
      </c>
      <c r="HZ432">
        <f>IF(ISBLANK('Data Entry'!$Ī$432), "", 'Data Entry'!$Ī$432)</f>
      </c>
      <c r="IA432">
        <f>IF(ISBLANK('Data Entry'!$ī$432), "", 'Data Entry'!$ī$432)</f>
      </c>
      <c r="IB432">
        <f>IF(ISBLANK('Data Entry'!$Ĭ$432), "", 'Data Entry'!$Ĭ$432)</f>
      </c>
      <c r="IC432">
        <f>IF(ISBLANK('Data Entry'!$ĭ$432), "", 'Data Entry'!$ĭ$432)</f>
      </c>
      <c r="ID432">
        <f>IF(ISBLANK('Data Entry'!$Į$432), "", 'Data Entry'!$Į$432)</f>
      </c>
      <c r="IE432">
        <f>IF(ISBLANK('Data Entry'!$į$432), "", 'Data Entry'!$į$432)</f>
      </c>
      <c r="IF432">
        <f>IF(ISBLANK('Data Entry'!$İ$432), "", 'Data Entry'!$İ$432)</f>
      </c>
      <c r="IG432">
        <f>IF(ISBLANK('Data Entry'!$ı$432), "", 'Data Entry'!$ı$432)</f>
      </c>
      <c r="IH432">
        <f>IF(ISBLANK('Data Entry'!$Ĳ$432), "", 'Data Entry'!$Ĳ$432)</f>
      </c>
      <c r="II432">
        <f>IF(ISBLANK('Data Entry'!$ĳ$432), "", 'Data Entry'!$ĳ$432)</f>
      </c>
      <c r="IJ432">
        <f>IF(ISBLANK('Data Entry'!$Ĵ$432), "", 'Data Entry'!$Ĵ$432)</f>
      </c>
      <c r="IK432">
        <f>IF(ISBLANK('Data Entry'!$ĵ$432), "", 'Data Entry'!$ĵ$432)</f>
      </c>
      <c r="IL432">
        <f>IF(ISBLANK('Data Entry'!$Ķ$432), "", 'Data Entry'!$Ķ$432)</f>
      </c>
      <c r="IM432">
        <f>IF(ISBLANK('Data Entry'!$ķ$432), "", 'Data Entry'!$ķ$432)</f>
      </c>
      <c r="IN432">
        <f>IF(ISBLANK('Data Entry'!$ĸ$432), "", 'Data Entry'!$ĸ$432)</f>
      </c>
      <c r="IO432">
        <f>IF(ISBLANK('Data Entry'!$Ĺ$432), "", 'Data Entry'!$Ĺ$432)</f>
      </c>
      <c r="IP432">
        <f>IF(ISBLANK('Data Entry'!$ĺ$432), "", 'Data Entry'!$ĺ$432)</f>
      </c>
      <c r="IQ432">
        <f>IF(ISBLANK('Data Entry'!$Ļ$432), "", 'Data Entry'!$Ļ$432)</f>
      </c>
      <c r="IR432">
        <f>IF(ISBLANK('Data Entry'!$ļ$432), "", 'Data Entry'!$ļ$432)</f>
      </c>
      <c r="IS432">
        <f>IF(ISBLANK('Data Entry'!$Ľ$432), "", 'Data Entry'!$Ľ$432)</f>
      </c>
      <c r="IT432">
        <f>IF(ISBLANK('Data Entry'!$ľ$432), "", 'Data Entry'!$ľ$432)</f>
      </c>
    </row>
    <row r="433" spans="1:254" x14ac:dyDescent="0.25">
      <c r="A433">
        <f>IF(ISBLANK('Data Entry'!$A$433), "", 'Data Entry'!$A$433)</f>
      </c>
      <c r="B433">
        <f>IF(ISBLANK('Data Entry'!$B$433), "", 'Data Entry'!$B$433)</f>
      </c>
      <c r="C433">
        <f>IF(ISBLANK('Data Entry'!$C$433), "", 'Data Entry'!$C$433)</f>
      </c>
      <c r="D433">
        <f>IF(ISBLANK('Data Entry'!$D$433), "", 'Data Entry'!$D$433)</f>
      </c>
      <c r="E433">
        <f>IF(ISBLANK('Data Entry'!$E$433), "", 'Data Entry'!$E$433)</f>
      </c>
      <c r="F433">
        <f>IF(ISBLANK('Data Entry'!$F$433), "", 'Data Entry'!$F$433)</f>
      </c>
      <c r="G433">
        <f>IF(ISBLANK('Data Entry'!$G$433), "", 'Data Entry'!$G$433)</f>
      </c>
      <c r="H433">
        <f>IF(ISBLANK('Data Entry'!$H$433), "", 'Data Entry'!$H$433)</f>
      </c>
      <c r="I433">
        <f>IF(ISBLANK('Data Entry'!$I$433), "", 'Data Entry'!$I$433)</f>
      </c>
      <c r="J433">
        <f>IF(ISBLANK('Data Entry'!$J$433), "", 'Data Entry'!$J$433)</f>
      </c>
      <c r="K433">
        <f>IF(ISBLANK('Data Entry'!$K$433), "", 'Data Entry'!$K$433)</f>
      </c>
      <c r="L433">
        <f>IF(ISBLANK('Data Entry'!$L$433), "", 'Data Entry'!$L$433)</f>
      </c>
      <c r="M433">
        <f>IF(ISBLANK('Data Entry'!$M$433), "", 'Data Entry'!$M$433)</f>
      </c>
      <c r="N433">
        <f>IF(ISBLANK('Data Entry'!$N$433), "", 'Data Entry'!$N$433)</f>
      </c>
      <c r="O433">
        <f>IF(ISBLANK('Data Entry'!$O$433), "", 'Data Entry'!$O$433)</f>
      </c>
      <c r="P433">
        <f>IF(ISBLANK('Data Entry'!$P$433), "", 'Data Entry'!$P$433)</f>
      </c>
      <c r="Q433">
        <f>IF(ISBLANK('Data Entry'!$Q$433), "", 'Data Entry'!$Q$433)</f>
      </c>
      <c r="R433">
        <f>IF(ISBLANK('Data Entry'!$R$433), "", 'Data Entry'!$R$433)</f>
      </c>
      <c r="S433">
        <f>IF(ISBLANK('Data Entry'!$S$433), "", 'Data Entry'!$S$433)</f>
      </c>
      <c r="T433">
        <f>IF(ISBLANK('Data Entry'!$T$433), "", 'Data Entry'!$T$433)</f>
      </c>
      <c r="U433">
        <f>IF(ISBLANK('Data Entry'!$U$433), "", 'Data Entry'!$U$433)</f>
      </c>
      <c r="V433">
        <f>IF(ISBLANK('Data Entry'!$V$433), "", 'Data Entry'!$V$433)</f>
      </c>
      <c r="W433">
        <f>IF(ISBLANK('Data Entry'!$W$433), "", 'Data Entry'!$W$433)</f>
      </c>
      <c r="X433">
        <f>IF(ISBLANK('Data Entry'!$X$433), "", 'Data Entry'!$X$433)</f>
      </c>
      <c r="Y433">
        <f>IF(ISBLANK('Data Entry'!$Y$433), "", 'Data Entry'!$Y$433)</f>
      </c>
      <c r="Z433">
        <f>IF(ISBLANK('Data Entry'!$Z$433), "", 'Data Entry'!$Z$433)</f>
      </c>
      <c r="AA433">
        <f>IF(ISBLANK('Data Entry'!$[$433), "", 'Data Entry'!$[$433)</f>
      </c>
      <c r="AB433">
        <f>IF(ISBLANK('Data Entry'!$\$433), "", 'Data Entry'!$\$433)</f>
      </c>
      <c r="AC433">
        <f>IF(ISBLANK('Data Entry'!$]$433), "", 'Data Entry'!$]$433)</f>
      </c>
      <c r="AD433">
        <f>IF(ISBLANK('Data Entry'!$^$433), "", 'Data Entry'!$^$433)</f>
      </c>
      <c r="AE433">
        <f>IF(ISBLANK('Data Entry'!$_$433), "", 'Data Entry'!$_$433)</f>
      </c>
      <c r="AF433">
        <f>IF(ISBLANK('Data Entry'!$`$433), "", 'Data Entry'!$`$433)</f>
      </c>
      <c r="AG433">
        <f>IF(ISBLANK('Data Entry'!$a$433), "", 'Data Entry'!$a$433)</f>
      </c>
      <c r="AH433">
        <f>IF(ISBLANK('Data Entry'!$b$433), "", 'Data Entry'!$b$433)</f>
      </c>
      <c r="AI433">
        <f>IF(ISBLANK('Data Entry'!$c$433), "", 'Data Entry'!$c$433)</f>
      </c>
      <c r="AJ433">
        <f>IF(ISBLANK('Data Entry'!$d$433), "", 'Data Entry'!$d$433)</f>
      </c>
      <c r="AK433">
        <f>IF(ISBLANK('Data Entry'!$e$433), "", 'Data Entry'!$e$433)</f>
      </c>
      <c r="AL433">
        <f>IF(ISBLANK('Data Entry'!$f$433), "", 'Data Entry'!$f$433)</f>
      </c>
      <c r="AM433">
        <f>IF(ISBLANK('Data Entry'!$g$433), "", 'Data Entry'!$g$433)</f>
      </c>
      <c r="AN433">
        <f>IF(ISBLANK('Data Entry'!$h$433), "", 'Data Entry'!$h$433)</f>
      </c>
      <c r="AO433">
        <f>IF(ISBLANK('Data Entry'!$i$433), "", 'Data Entry'!$i$433)</f>
      </c>
      <c r="AP433">
        <f>IF(ISBLANK('Data Entry'!$j$433), "", 'Data Entry'!$j$433)</f>
      </c>
      <c r="AQ433">
        <f>IF(ISBLANK('Data Entry'!$k$433), "", 'Data Entry'!$k$433)</f>
      </c>
      <c r="AR433">
        <f>IF(ISBLANK('Data Entry'!$l$433), "", 'Data Entry'!$l$433)</f>
      </c>
      <c r="AS433">
        <f>IF(ISBLANK('Data Entry'!$m$433), "", 'Data Entry'!$m$433)</f>
      </c>
      <c r="AT433">
        <f>IF(ISBLANK('Data Entry'!$n$433), "", 'Data Entry'!$n$433)</f>
      </c>
      <c r="AU433">
        <f>IF(ISBLANK('Data Entry'!$o$433), "", 'Data Entry'!$o$433)</f>
      </c>
      <c r="AV433">
        <f>IF(ISBLANK('Data Entry'!$p$433), "", 'Data Entry'!$p$433)</f>
      </c>
      <c r="AW433">
        <f>IF(ISBLANK('Data Entry'!$q$433), "", 'Data Entry'!$q$433)</f>
      </c>
      <c r="AX433">
        <f>IF(ISBLANK('Data Entry'!$r$433), "", 'Data Entry'!$r$433)</f>
      </c>
      <c r="AY433">
        <f>IF(ISBLANK('Data Entry'!$s$433), "", 'Data Entry'!$s$433)</f>
      </c>
      <c r="AZ433">
        <f>IF(ISBLANK('Data Entry'!$t$433), "", 'Data Entry'!$t$433)</f>
      </c>
      <c r="BA433">
        <f>IF(ISBLANK('Data Entry'!$u$433), "", 'Data Entry'!$u$433)</f>
      </c>
      <c r="BB433">
        <f>IF(ISBLANK('Data Entry'!$v$433), "", 'Data Entry'!$v$433)</f>
      </c>
      <c r="BC433">
        <f>IF(ISBLANK('Data Entry'!$w$433), "", 'Data Entry'!$w$433)</f>
      </c>
      <c r="BD433">
        <f>IF(ISBLANK('Data Entry'!$x$433), "", 'Data Entry'!$x$433)</f>
      </c>
      <c r="BE433">
        <f>IF(ISBLANK('Data Entry'!$y$433), "", 'Data Entry'!$y$433)</f>
      </c>
      <c r="BF433">
        <f>IF(ISBLANK('Data Entry'!$z$433), "", 'Data Entry'!$z$433)</f>
      </c>
      <c r="BG433">
        <f>IF(ISBLANK('Data Entry'!${$433), "", 'Data Entry'!${$433)</f>
      </c>
      <c r="BH433">
        <f>IF(ISBLANK('Data Entry'!$|$433), "", 'Data Entry'!$|$433)</f>
      </c>
      <c r="BI433">
        <f>IF(ISBLANK('Data Entry'!$}$433), "", 'Data Entry'!$}$433)</f>
      </c>
      <c r="BJ433">
        <f>IF(ISBLANK('Data Entry'!$~$433), "", 'Data Entry'!$~$433)</f>
      </c>
      <c r="BK433">
        <f>IF(ISBLANK('Data Entry'!$$433), "", 'Data Entry'!$$433)</f>
      </c>
      <c r="BL433">
        <f>IF(ISBLANK('Data Entry'!$$433), "", 'Data Entry'!$$433)</f>
      </c>
      <c r="BM433">
        <f>IF(ISBLANK('Data Entry'!$$433), "", 'Data Entry'!$$433)</f>
      </c>
      <c r="BN433">
        <f>IF(ISBLANK('Data Entry'!$$433), "", 'Data Entry'!$$433)</f>
      </c>
      <c r="BO433">
        <f>IF(ISBLANK('Data Entry'!$$433), "", 'Data Entry'!$$433)</f>
      </c>
      <c r="BP433">
        <f>IF(ISBLANK('Data Entry'!$$433), "", 'Data Entry'!$$433)</f>
      </c>
      <c r="BQ433">
        <f>IF(ISBLANK('Data Entry'!$$433), "", 'Data Entry'!$$433)</f>
      </c>
      <c r="BR433">
        <f>IF(ISBLANK('Data Entry'!$$433), "", 'Data Entry'!$$433)</f>
      </c>
      <c r="BS433">
        <f>IF(ISBLANK('Data Entry'!$$433), "", 'Data Entry'!$$433)</f>
      </c>
      <c r="BT433">
        <f>IF(ISBLANK('Data Entry'!$$433), "", 'Data Entry'!$$433)</f>
      </c>
      <c r="BU433">
        <f>IF(ISBLANK('Data Entry'!$$433), "", 'Data Entry'!$$433)</f>
      </c>
      <c r="BV433">
        <f>IF(ISBLANK('Data Entry'!$$433), "", 'Data Entry'!$$433)</f>
      </c>
      <c r="BW433">
        <f>IF(ISBLANK('Data Entry'!$$433), "", 'Data Entry'!$$433)</f>
      </c>
      <c r="BX433">
        <f>IF(ISBLANK('Data Entry'!$$433), "", 'Data Entry'!$$433)</f>
      </c>
      <c r="BY433">
        <f>IF(ISBLANK('Data Entry'!$$433), "", 'Data Entry'!$$433)</f>
      </c>
      <c r="BZ433">
        <f>IF(ISBLANK('Data Entry'!$$433), "", 'Data Entry'!$$433)</f>
      </c>
      <c r="CA433">
        <f>IF(ISBLANK('Data Entry'!$$433), "", 'Data Entry'!$$433)</f>
      </c>
      <c r="CB433">
        <f>IF(ISBLANK('Data Entry'!$$433), "", 'Data Entry'!$$433)</f>
      </c>
      <c r="CC433">
        <f>IF(ISBLANK('Data Entry'!$$433), "", 'Data Entry'!$$433)</f>
      </c>
      <c r="CD433">
        <f>IF(ISBLANK('Data Entry'!$$433), "", 'Data Entry'!$$433)</f>
      </c>
      <c r="CE433">
        <f>IF(ISBLANK('Data Entry'!$$433), "", 'Data Entry'!$$433)</f>
      </c>
      <c r="CF433">
        <f>IF(ISBLANK('Data Entry'!$$433), "", 'Data Entry'!$$433)</f>
      </c>
      <c r="CG433">
        <f>IF(ISBLANK('Data Entry'!$$433), "", 'Data Entry'!$$433)</f>
      </c>
      <c r="CH433">
        <f>IF(ISBLANK('Data Entry'!$$433), "", 'Data Entry'!$$433)</f>
      </c>
      <c r="CI433">
        <f>IF(ISBLANK('Data Entry'!$$433), "", 'Data Entry'!$$433)</f>
      </c>
      <c r="CJ433">
        <f>IF(ISBLANK('Data Entry'!$$433), "", 'Data Entry'!$$433)</f>
      </c>
      <c r="CK433">
        <f>IF(ISBLANK('Data Entry'!$$433), "", 'Data Entry'!$$433)</f>
      </c>
      <c r="CL433">
        <f>IF(ISBLANK('Data Entry'!$$433), "", 'Data Entry'!$$433)</f>
      </c>
      <c r="CM433">
        <f>IF(ISBLANK('Data Entry'!$$433), "", 'Data Entry'!$$433)</f>
      </c>
      <c r="CN433">
        <f>IF(ISBLANK('Data Entry'!$$433), "", 'Data Entry'!$$433)</f>
      </c>
      <c r="CO433">
        <f>IF(ISBLANK('Data Entry'!$$433), "", 'Data Entry'!$$433)</f>
      </c>
      <c r="CP433">
        <f>IF(ISBLANK('Data Entry'!$$433), "", 'Data Entry'!$$433)</f>
      </c>
      <c r="CQ433">
        <f>IF(ISBLANK('Data Entry'!$$433), "", 'Data Entry'!$$433)</f>
      </c>
      <c r="CR433">
        <f>IF(ISBLANK('Data Entry'!$ $433), "", 'Data Entry'!$ $433)</f>
      </c>
      <c r="CS433">
        <f>IF(ISBLANK('Data Entry'!$¡$433), "", 'Data Entry'!$¡$433)</f>
      </c>
      <c r="CT433">
        <f>IF(ISBLANK('Data Entry'!$¢$433), "", 'Data Entry'!$¢$433)</f>
      </c>
      <c r="CU433">
        <f>IF(ISBLANK('Data Entry'!$£$433), "", 'Data Entry'!$£$433)</f>
      </c>
      <c r="CV433">
        <f>IF(ISBLANK('Data Entry'!$¤$433), "", 'Data Entry'!$¤$433)</f>
      </c>
      <c r="CW433">
        <f>IF(ISBLANK('Data Entry'!$¥$433), "", 'Data Entry'!$¥$433)</f>
      </c>
      <c r="CX433">
        <f>IF(ISBLANK('Data Entry'!$¦$433), "", 'Data Entry'!$¦$433)</f>
      </c>
      <c r="CY433">
        <f>IF(ISBLANK('Data Entry'!$§$433), "", 'Data Entry'!$§$433)</f>
      </c>
      <c r="CZ433">
        <f>IF(ISBLANK('Data Entry'!$¨$433), "", 'Data Entry'!$¨$433)</f>
      </c>
      <c r="DA433">
        <f>IF(ISBLANK('Data Entry'!$©$433), "", 'Data Entry'!$©$433)</f>
      </c>
      <c r="DB433">
        <f>IF(ISBLANK('Data Entry'!$ª$433), "", 'Data Entry'!$ª$433)</f>
      </c>
      <c r="DC433">
        <f>IF(ISBLANK('Data Entry'!$«$433), "", 'Data Entry'!$«$433)</f>
      </c>
      <c r="DD433">
        <f>IF(ISBLANK('Data Entry'!$¬$433), "", 'Data Entry'!$¬$433)</f>
      </c>
      <c r="DE433">
        <f>IF(ISBLANK('Data Entry'!$­$433), "", 'Data Entry'!$­$433)</f>
      </c>
      <c r="DF433">
        <f>IF(ISBLANK('Data Entry'!$®$433), "", 'Data Entry'!$®$433)</f>
      </c>
      <c r="DG433">
        <f>IF(ISBLANK('Data Entry'!$¯$433), "", 'Data Entry'!$¯$433)</f>
      </c>
      <c r="DH433">
        <f>IF(ISBLANK('Data Entry'!$°$433), "", 'Data Entry'!$°$433)</f>
      </c>
      <c r="DI433">
        <f>IF(ISBLANK('Data Entry'!$±$433), "", 'Data Entry'!$±$433)</f>
      </c>
      <c r="DJ433">
        <f>IF(ISBLANK('Data Entry'!$²$433), "", 'Data Entry'!$²$433)</f>
      </c>
      <c r="DK433">
        <f>IF(ISBLANK('Data Entry'!$³$433), "", 'Data Entry'!$³$433)</f>
      </c>
      <c r="DL433">
        <f>IF(ISBLANK('Data Entry'!$´$433), "", 'Data Entry'!$´$433)</f>
      </c>
      <c r="DM433">
        <f>IF(ISBLANK('Data Entry'!$µ$433), "", 'Data Entry'!$µ$433)</f>
      </c>
      <c r="DN433">
        <f>IF(ISBLANK('Data Entry'!$¶$433), "", 'Data Entry'!$¶$433)</f>
      </c>
      <c r="DO433">
        <f>IF(ISBLANK('Data Entry'!$·$433), "", 'Data Entry'!$·$433)</f>
      </c>
      <c r="DP433">
        <f>IF(ISBLANK('Data Entry'!$¸$433), "", 'Data Entry'!$¸$433)</f>
      </c>
      <c r="DQ433">
        <f>IF(ISBLANK('Data Entry'!$¹$433), "", 'Data Entry'!$¹$433)</f>
      </c>
      <c r="DR433">
        <f>IF(ISBLANK('Data Entry'!$º$433), "", 'Data Entry'!$º$433)</f>
      </c>
      <c r="DS433">
        <f>IF(ISBLANK('Data Entry'!$»$433), "", 'Data Entry'!$»$433)</f>
      </c>
      <c r="DT433">
        <f>IF(ISBLANK('Data Entry'!$¼$433), "", 'Data Entry'!$¼$433)</f>
      </c>
      <c r="DU433">
        <f>IF(ISBLANK('Data Entry'!$½$433), "", 'Data Entry'!$½$433)</f>
      </c>
      <c r="DV433">
        <f>IF(ISBLANK('Data Entry'!$¾$433), "", 'Data Entry'!$¾$433)</f>
      </c>
      <c r="DW433">
        <f>IF(ISBLANK('Data Entry'!$¿$433), "", 'Data Entry'!$¿$433)</f>
      </c>
      <c r="DX433">
        <f>IF(ISBLANK('Data Entry'!$À$433), "", 'Data Entry'!$À$433)</f>
      </c>
      <c r="DY433">
        <f>IF(ISBLANK('Data Entry'!$Á$433), "", 'Data Entry'!$Á$433)</f>
      </c>
      <c r="DZ433">
        <f>IF(ISBLANK('Data Entry'!$Â$433), "", 'Data Entry'!$Â$433)</f>
      </c>
      <c r="EA433">
        <f>IF(ISBLANK('Data Entry'!$Ã$433), "", 'Data Entry'!$Ã$433)</f>
      </c>
      <c r="EB433">
        <f>IF(ISBLANK('Data Entry'!$Ä$433), "", 'Data Entry'!$Ä$433)</f>
      </c>
      <c r="EC433">
        <f>IF(ISBLANK('Data Entry'!$Å$433), "", 'Data Entry'!$Å$433)</f>
      </c>
      <c r="ED433">
        <f>IF(ISBLANK('Data Entry'!$Æ$433), "", 'Data Entry'!$Æ$433)</f>
      </c>
      <c r="EE433">
        <f>IF(ISBLANK('Data Entry'!$Ç$433), "", 'Data Entry'!$Ç$433)</f>
      </c>
      <c r="EF433">
        <f>IF(ISBLANK('Data Entry'!$È$433), "", 'Data Entry'!$È$433)</f>
      </c>
      <c r="EG433">
        <f>IF(ISBLANK('Data Entry'!$É$433), "", 'Data Entry'!$É$433)</f>
      </c>
      <c r="EH433">
        <f>IF(ISBLANK('Data Entry'!$Ê$433), "", 'Data Entry'!$Ê$433)</f>
      </c>
      <c r="EI433">
        <f>IF(ISBLANK('Data Entry'!$Ë$433), "", 'Data Entry'!$Ë$433)</f>
      </c>
      <c r="EJ433">
        <f>IF(ISBLANK('Data Entry'!$Ì$433), "", 'Data Entry'!$Ì$433)</f>
      </c>
      <c r="EK433">
        <f>IF(ISBLANK('Data Entry'!$Í$433), "", 'Data Entry'!$Í$433)</f>
      </c>
      <c r="EL433">
        <f>IF(ISBLANK('Data Entry'!$Î$433), "", 'Data Entry'!$Î$433)</f>
      </c>
      <c r="EM433">
        <f>IF(ISBLANK('Data Entry'!$Ï$433), "", 'Data Entry'!$Ï$433)</f>
      </c>
      <c r="EN433">
        <f>IF(ISBLANK('Data Entry'!$Ð$433), "", 'Data Entry'!$Ð$433)</f>
      </c>
      <c r="EO433">
        <f>IF(ISBLANK('Data Entry'!$Ñ$433), "", 'Data Entry'!$Ñ$433)</f>
      </c>
      <c r="EP433">
        <f>IF(ISBLANK('Data Entry'!$Ò$433), "", 'Data Entry'!$Ò$433)</f>
      </c>
      <c r="EQ433">
        <f>IF(ISBLANK('Data Entry'!$Ó$433), "", 'Data Entry'!$Ó$433)</f>
      </c>
      <c r="ER433">
        <f>IF(ISBLANK('Data Entry'!$Ô$433), "", 'Data Entry'!$Ô$433)</f>
      </c>
      <c r="ES433">
        <f>IF(ISBLANK('Data Entry'!$Õ$433), "", 'Data Entry'!$Õ$433)</f>
      </c>
      <c r="ET433">
        <f>IF(ISBLANK('Data Entry'!$Ö$433), "", 'Data Entry'!$Ö$433)</f>
      </c>
      <c r="EU433">
        <f>IF(ISBLANK('Data Entry'!$×$433), "", 'Data Entry'!$×$433)</f>
      </c>
      <c r="EV433">
        <f>IF(ISBLANK('Data Entry'!$Ø$433), "", 'Data Entry'!$Ø$433)</f>
      </c>
      <c r="EW433">
        <f>IF(ISBLANK('Data Entry'!$Ù$433), "", 'Data Entry'!$Ù$433)</f>
      </c>
      <c r="EX433">
        <f>IF(ISBLANK('Data Entry'!$Ú$433), "", 'Data Entry'!$Ú$433)</f>
      </c>
      <c r="EY433">
        <f>IF(ISBLANK('Data Entry'!$Û$433), "", 'Data Entry'!$Û$433)</f>
      </c>
      <c r="EZ433">
        <f>IF(ISBLANK('Data Entry'!$Ü$433), "", 'Data Entry'!$Ü$433)</f>
      </c>
      <c r="FA433">
        <f>IF(ISBLANK('Data Entry'!$Ý$433), "", 'Data Entry'!$Ý$433)</f>
      </c>
      <c r="FB433">
        <f>IF(ISBLANK('Data Entry'!$Þ$433), "", 'Data Entry'!$Þ$433)</f>
      </c>
      <c r="FC433">
        <f>IF(ISBLANK('Data Entry'!$ß$433), "", 'Data Entry'!$ß$433)</f>
      </c>
      <c r="FD433">
        <f>IF(ISBLANK('Data Entry'!$à$433), "", 'Data Entry'!$à$433)</f>
      </c>
      <c r="FE433">
        <f>IF(ISBLANK('Data Entry'!$á$433), "", 'Data Entry'!$á$433)</f>
      </c>
      <c r="FF433">
        <f>IF(ISBLANK('Data Entry'!$â$433), "", 'Data Entry'!$â$433)</f>
      </c>
      <c r="FG433">
        <f>IF(ISBLANK('Data Entry'!$ã$433), "", 'Data Entry'!$ã$433)</f>
      </c>
      <c r="FH433">
        <f>IF(ISBLANK('Data Entry'!$ä$433), "", 'Data Entry'!$ä$433)</f>
      </c>
      <c r="FI433">
        <f>IF(ISBLANK('Data Entry'!$å$433), "", 'Data Entry'!$å$433)</f>
      </c>
      <c r="FJ433">
        <f>IF(ISBLANK('Data Entry'!$æ$433), "", 'Data Entry'!$æ$433)</f>
      </c>
      <c r="FK433">
        <f>IF(ISBLANK('Data Entry'!$ç$433), "", 'Data Entry'!$ç$433)</f>
      </c>
      <c r="FL433">
        <f>IF(ISBLANK('Data Entry'!$è$433), "", 'Data Entry'!$è$433)</f>
      </c>
      <c r="FM433">
        <f>IF(ISBLANK('Data Entry'!$é$433), "", 'Data Entry'!$é$433)</f>
      </c>
      <c r="FN433">
        <f>IF(ISBLANK('Data Entry'!$ê$433), "", 'Data Entry'!$ê$433)</f>
      </c>
      <c r="FO433">
        <f>IF(ISBLANK('Data Entry'!$ë$433), "", 'Data Entry'!$ë$433)</f>
      </c>
      <c r="FP433">
        <f>IF(ISBLANK('Data Entry'!$ì$433), "", 'Data Entry'!$ì$433)</f>
      </c>
      <c r="FQ433">
        <f>IF(ISBLANK('Data Entry'!$í$433), "", 'Data Entry'!$í$433)</f>
      </c>
      <c r="FR433">
        <f>IF(ISBLANK('Data Entry'!$î$433), "", 'Data Entry'!$î$433)</f>
      </c>
      <c r="FS433">
        <f>IF(ISBLANK('Data Entry'!$ï$433), "", 'Data Entry'!$ï$433)</f>
      </c>
      <c r="FT433">
        <f>IF(ISBLANK('Data Entry'!$ð$433), "", 'Data Entry'!$ð$433)</f>
      </c>
      <c r="FU433">
        <f>IF(ISBLANK('Data Entry'!$ñ$433), "", 'Data Entry'!$ñ$433)</f>
      </c>
      <c r="FV433">
        <f>IF(ISBLANK('Data Entry'!$ò$433), "", 'Data Entry'!$ò$433)</f>
      </c>
      <c r="FW433">
        <f>IF(ISBLANK('Data Entry'!$ó$433), "", 'Data Entry'!$ó$433)</f>
      </c>
      <c r="FX433">
        <f>IF(ISBLANK('Data Entry'!$ô$433), "", 'Data Entry'!$ô$433)</f>
      </c>
      <c r="FY433">
        <f>IF(ISBLANK('Data Entry'!$õ$433), "", 'Data Entry'!$õ$433)</f>
      </c>
      <c r="FZ433">
        <f>IF(ISBLANK('Data Entry'!$ö$433), "", 'Data Entry'!$ö$433)</f>
      </c>
      <c r="GA433">
        <f>IF(ISBLANK('Data Entry'!$÷$433), "", 'Data Entry'!$÷$433)</f>
      </c>
      <c r="GB433">
        <f>IF(ISBLANK('Data Entry'!$ø$433), "", 'Data Entry'!$ø$433)</f>
      </c>
      <c r="GC433">
        <f>IF(ISBLANK('Data Entry'!$ù$433), "", 'Data Entry'!$ù$433)</f>
      </c>
      <c r="GD433">
        <f>IF(ISBLANK('Data Entry'!$ú$433), "", 'Data Entry'!$ú$433)</f>
      </c>
      <c r="GE433">
        <f>IF(ISBLANK('Data Entry'!$û$433), "", 'Data Entry'!$û$433)</f>
      </c>
      <c r="GF433">
        <f>IF(ISBLANK('Data Entry'!$ü$433), "", 'Data Entry'!$ü$433)</f>
      </c>
      <c r="GG433">
        <f>IF(ISBLANK('Data Entry'!$ý$433), "", 'Data Entry'!$ý$433)</f>
      </c>
      <c r="GH433">
        <f>IF(ISBLANK('Data Entry'!$þ$433), "", 'Data Entry'!$þ$433)</f>
      </c>
      <c r="GI433">
        <f>IF(ISBLANK('Data Entry'!$ÿ$433), "", 'Data Entry'!$ÿ$433)</f>
      </c>
      <c r="GJ433">
        <f>IF(ISBLANK('Data Entry'!$Ā$433), "", 'Data Entry'!$Ā$433)</f>
      </c>
      <c r="GK433">
        <f>IF(ISBLANK('Data Entry'!$ā$433), "", 'Data Entry'!$ā$433)</f>
      </c>
      <c r="GL433">
        <f>IF(ISBLANK('Data Entry'!$Ă$433), "", 'Data Entry'!$Ă$433)</f>
      </c>
      <c r="GM433">
        <f>IF(ISBLANK('Data Entry'!$ă$433), "", 'Data Entry'!$ă$433)</f>
      </c>
      <c r="GN433">
        <f>IF(ISBLANK('Data Entry'!$Ą$433), "", 'Data Entry'!$Ą$433)</f>
      </c>
      <c r="GO433">
        <f>IF(ISBLANK('Data Entry'!$ą$433), "", 'Data Entry'!$ą$433)</f>
      </c>
      <c r="GP433">
        <f>IF(ISBLANK('Data Entry'!$Ć$433), "", 'Data Entry'!$Ć$433)</f>
      </c>
      <c r="GQ433">
        <f>IF(ISBLANK('Data Entry'!$ć$433), "", 'Data Entry'!$ć$433)</f>
      </c>
      <c r="GR433">
        <f>IF(ISBLANK('Data Entry'!$Ĉ$433), "", 'Data Entry'!$Ĉ$433)</f>
      </c>
      <c r="GS433">
        <f>IF(ISBLANK('Data Entry'!$ĉ$433), "", 'Data Entry'!$ĉ$433)</f>
      </c>
      <c r="GT433">
        <f>IF(ISBLANK('Data Entry'!$Ċ$433), "", 'Data Entry'!$Ċ$433)</f>
      </c>
      <c r="GU433">
        <f>IF(ISBLANK('Data Entry'!$ċ$433), "", 'Data Entry'!$ċ$433)</f>
      </c>
      <c r="GV433">
        <f>IF(ISBLANK('Data Entry'!$Č$433), "", 'Data Entry'!$Č$433)</f>
      </c>
      <c r="GW433">
        <f>IF(ISBLANK('Data Entry'!$č$433), "", 'Data Entry'!$č$433)</f>
      </c>
      <c r="GX433">
        <f>IF(ISBLANK('Data Entry'!$Ď$433), "", 'Data Entry'!$Ď$433)</f>
      </c>
      <c r="GY433">
        <f>IF(ISBLANK('Data Entry'!$ď$433), "", 'Data Entry'!$ď$433)</f>
      </c>
      <c r="GZ433">
        <f>IF(ISBLANK('Data Entry'!$Đ$433), "", 'Data Entry'!$Đ$433)</f>
      </c>
      <c r="HA433">
        <f>IF(ISBLANK('Data Entry'!$đ$433), "", 'Data Entry'!$đ$433)</f>
      </c>
      <c r="HB433">
        <f>IF(ISBLANK('Data Entry'!$Ē$433), "", 'Data Entry'!$Ē$433)</f>
      </c>
      <c r="HC433">
        <f>IF(ISBLANK('Data Entry'!$ē$433), "", 'Data Entry'!$ē$433)</f>
      </c>
      <c r="HD433">
        <f>IF(ISBLANK('Data Entry'!$Ĕ$433), "", 'Data Entry'!$Ĕ$433)</f>
      </c>
      <c r="HE433">
        <f>IF(ISBLANK('Data Entry'!$ĕ$433), "", 'Data Entry'!$ĕ$433)</f>
      </c>
      <c r="HF433">
        <f>IF(ISBLANK('Data Entry'!$Ė$433), "", 'Data Entry'!$Ė$433)</f>
      </c>
      <c r="HG433">
        <f>IF(ISBLANK('Data Entry'!$ė$433), "", 'Data Entry'!$ė$433)</f>
      </c>
      <c r="HH433">
        <f>IF(ISBLANK('Data Entry'!$Ę$433), "", 'Data Entry'!$Ę$433)</f>
      </c>
      <c r="HI433">
        <f>IF(ISBLANK('Data Entry'!$ę$433), "", 'Data Entry'!$ę$433)</f>
      </c>
      <c r="HJ433">
        <f>IF(ISBLANK('Data Entry'!$Ě$433), "", 'Data Entry'!$Ě$433)</f>
      </c>
      <c r="HK433">
        <f>IF(ISBLANK('Data Entry'!$ě$433), "", 'Data Entry'!$ě$433)</f>
      </c>
      <c r="HL433">
        <f>IF(ISBLANK('Data Entry'!$Ĝ$433), "", 'Data Entry'!$Ĝ$433)</f>
      </c>
      <c r="HM433">
        <f>IF(ISBLANK('Data Entry'!$ĝ$433), "", 'Data Entry'!$ĝ$433)</f>
      </c>
      <c r="HN433">
        <f>IF(ISBLANK('Data Entry'!$Ğ$433), "", 'Data Entry'!$Ğ$433)</f>
      </c>
      <c r="HO433">
        <f>IF(ISBLANK('Data Entry'!$ğ$433), "", 'Data Entry'!$ğ$433)</f>
      </c>
      <c r="HP433">
        <f>IF(ISBLANK('Data Entry'!$Ġ$433), "", 'Data Entry'!$Ġ$433)</f>
      </c>
      <c r="HQ433">
        <f>IF(ISBLANK('Data Entry'!$ġ$433), "", 'Data Entry'!$ġ$433)</f>
      </c>
      <c r="HR433">
        <f>IF(ISBLANK('Data Entry'!$Ģ$433), "", 'Data Entry'!$Ģ$433)</f>
      </c>
      <c r="HS433">
        <f>IF(ISBLANK('Data Entry'!$ģ$433), "", 'Data Entry'!$ģ$433)</f>
      </c>
      <c r="HT433">
        <f>IF(ISBLANK('Data Entry'!$Ĥ$433), "", 'Data Entry'!$Ĥ$433)</f>
      </c>
      <c r="HU433">
        <f>IF(ISBLANK('Data Entry'!$ĥ$433), "", 'Data Entry'!$ĥ$433)</f>
      </c>
      <c r="HV433">
        <f>IF(ISBLANK('Data Entry'!$Ħ$433), "", 'Data Entry'!$Ħ$433)</f>
      </c>
      <c r="HW433">
        <f>IF(ISBLANK('Data Entry'!$ħ$433), "", 'Data Entry'!$ħ$433)</f>
      </c>
      <c r="HX433">
        <f>IF(ISBLANK('Data Entry'!$Ĩ$433), "", 'Data Entry'!$Ĩ$433)</f>
      </c>
      <c r="HY433">
        <f>IF(ISBLANK('Data Entry'!$ĩ$433), "", 'Data Entry'!$ĩ$433)</f>
      </c>
      <c r="HZ433">
        <f>IF(ISBLANK('Data Entry'!$Ī$433), "", 'Data Entry'!$Ī$433)</f>
      </c>
      <c r="IA433">
        <f>IF(ISBLANK('Data Entry'!$ī$433), "", 'Data Entry'!$ī$433)</f>
      </c>
      <c r="IB433">
        <f>IF(ISBLANK('Data Entry'!$Ĭ$433), "", 'Data Entry'!$Ĭ$433)</f>
      </c>
      <c r="IC433">
        <f>IF(ISBLANK('Data Entry'!$ĭ$433), "", 'Data Entry'!$ĭ$433)</f>
      </c>
      <c r="ID433">
        <f>IF(ISBLANK('Data Entry'!$Į$433), "", 'Data Entry'!$Į$433)</f>
      </c>
      <c r="IE433">
        <f>IF(ISBLANK('Data Entry'!$į$433), "", 'Data Entry'!$į$433)</f>
      </c>
      <c r="IF433">
        <f>IF(ISBLANK('Data Entry'!$İ$433), "", 'Data Entry'!$İ$433)</f>
      </c>
      <c r="IG433">
        <f>IF(ISBLANK('Data Entry'!$ı$433), "", 'Data Entry'!$ı$433)</f>
      </c>
      <c r="IH433">
        <f>IF(ISBLANK('Data Entry'!$Ĳ$433), "", 'Data Entry'!$Ĳ$433)</f>
      </c>
      <c r="II433">
        <f>IF(ISBLANK('Data Entry'!$ĳ$433), "", 'Data Entry'!$ĳ$433)</f>
      </c>
      <c r="IJ433">
        <f>IF(ISBLANK('Data Entry'!$Ĵ$433), "", 'Data Entry'!$Ĵ$433)</f>
      </c>
      <c r="IK433">
        <f>IF(ISBLANK('Data Entry'!$ĵ$433), "", 'Data Entry'!$ĵ$433)</f>
      </c>
      <c r="IL433">
        <f>IF(ISBLANK('Data Entry'!$Ķ$433), "", 'Data Entry'!$Ķ$433)</f>
      </c>
      <c r="IM433">
        <f>IF(ISBLANK('Data Entry'!$ķ$433), "", 'Data Entry'!$ķ$433)</f>
      </c>
      <c r="IN433">
        <f>IF(ISBLANK('Data Entry'!$ĸ$433), "", 'Data Entry'!$ĸ$433)</f>
      </c>
      <c r="IO433">
        <f>IF(ISBLANK('Data Entry'!$Ĺ$433), "", 'Data Entry'!$Ĺ$433)</f>
      </c>
      <c r="IP433">
        <f>IF(ISBLANK('Data Entry'!$ĺ$433), "", 'Data Entry'!$ĺ$433)</f>
      </c>
      <c r="IQ433">
        <f>IF(ISBLANK('Data Entry'!$Ļ$433), "", 'Data Entry'!$Ļ$433)</f>
      </c>
      <c r="IR433">
        <f>IF(ISBLANK('Data Entry'!$ļ$433), "", 'Data Entry'!$ļ$433)</f>
      </c>
      <c r="IS433">
        <f>IF(ISBLANK('Data Entry'!$Ľ$433), "", 'Data Entry'!$Ľ$433)</f>
      </c>
      <c r="IT433">
        <f>IF(ISBLANK('Data Entry'!$ľ$433), "", 'Data Entry'!$ľ$433)</f>
      </c>
    </row>
    <row r="434" spans="1:254" x14ac:dyDescent="0.25">
      <c r="A434">
        <f>IF(ISBLANK('Data Entry'!$A$434), "", 'Data Entry'!$A$434)</f>
      </c>
      <c r="B434">
        <f>IF(ISBLANK('Data Entry'!$B$434), "", 'Data Entry'!$B$434)</f>
      </c>
      <c r="C434">
        <f>IF(ISBLANK('Data Entry'!$C$434), "", 'Data Entry'!$C$434)</f>
      </c>
      <c r="D434">
        <f>IF(ISBLANK('Data Entry'!$D$434), "", 'Data Entry'!$D$434)</f>
      </c>
      <c r="E434">
        <f>IF(ISBLANK('Data Entry'!$E$434), "", 'Data Entry'!$E$434)</f>
      </c>
      <c r="F434">
        <f>IF(ISBLANK('Data Entry'!$F$434), "", 'Data Entry'!$F$434)</f>
      </c>
      <c r="G434">
        <f>IF(ISBLANK('Data Entry'!$G$434), "", 'Data Entry'!$G$434)</f>
      </c>
      <c r="H434">
        <f>IF(ISBLANK('Data Entry'!$H$434), "", 'Data Entry'!$H$434)</f>
      </c>
      <c r="I434">
        <f>IF(ISBLANK('Data Entry'!$I$434), "", 'Data Entry'!$I$434)</f>
      </c>
      <c r="J434">
        <f>IF(ISBLANK('Data Entry'!$J$434), "", 'Data Entry'!$J$434)</f>
      </c>
      <c r="K434">
        <f>IF(ISBLANK('Data Entry'!$K$434), "", 'Data Entry'!$K$434)</f>
      </c>
      <c r="L434">
        <f>IF(ISBLANK('Data Entry'!$L$434), "", 'Data Entry'!$L$434)</f>
      </c>
      <c r="M434">
        <f>IF(ISBLANK('Data Entry'!$M$434), "", 'Data Entry'!$M$434)</f>
      </c>
      <c r="N434">
        <f>IF(ISBLANK('Data Entry'!$N$434), "", 'Data Entry'!$N$434)</f>
      </c>
      <c r="O434">
        <f>IF(ISBLANK('Data Entry'!$O$434), "", 'Data Entry'!$O$434)</f>
      </c>
      <c r="P434">
        <f>IF(ISBLANK('Data Entry'!$P$434), "", 'Data Entry'!$P$434)</f>
      </c>
      <c r="Q434">
        <f>IF(ISBLANK('Data Entry'!$Q$434), "", 'Data Entry'!$Q$434)</f>
      </c>
      <c r="R434">
        <f>IF(ISBLANK('Data Entry'!$R$434), "", 'Data Entry'!$R$434)</f>
      </c>
      <c r="S434">
        <f>IF(ISBLANK('Data Entry'!$S$434), "", 'Data Entry'!$S$434)</f>
      </c>
      <c r="T434">
        <f>IF(ISBLANK('Data Entry'!$T$434), "", 'Data Entry'!$T$434)</f>
      </c>
      <c r="U434">
        <f>IF(ISBLANK('Data Entry'!$U$434), "", 'Data Entry'!$U$434)</f>
      </c>
      <c r="V434">
        <f>IF(ISBLANK('Data Entry'!$V$434), "", 'Data Entry'!$V$434)</f>
      </c>
      <c r="W434">
        <f>IF(ISBLANK('Data Entry'!$W$434), "", 'Data Entry'!$W$434)</f>
      </c>
      <c r="X434">
        <f>IF(ISBLANK('Data Entry'!$X$434), "", 'Data Entry'!$X$434)</f>
      </c>
      <c r="Y434">
        <f>IF(ISBLANK('Data Entry'!$Y$434), "", 'Data Entry'!$Y$434)</f>
      </c>
      <c r="Z434">
        <f>IF(ISBLANK('Data Entry'!$Z$434), "", 'Data Entry'!$Z$434)</f>
      </c>
      <c r="AA434">
        <f>IF(ISBLANK('Data Entry'!$[$434), "", 'Data Entry'!$[$434)</f>
      </c>
      <c r="AB434">
        <f>IF(ISBLANK('Data Entry'!$\$434), "", 'Data Entry'!$\$434)</f>
      </c>
      <c r="AC434">
        <f>IF(ISBLANK('Data Entry'!$]$434), "", 'Data Entry'!$]$434)</f>
      </c>
      <c r="AD434">
        <f>IF(ISBLANK('Data Entry'!$^$434), "", 'Data Entry'!$^$434)</f>
      </c>
      <c r="AE434">
        <f>IF(ISBLANK('Data Entry'!$_$434), "", 'Data Entry'!$_$434)</f>
      </c>
      <c r="AF434">
        <f>IF(ISBLANK('Data Entry'!$`$434), "", 'Data Entry'!$`$434)</f>
      </c>
      <c r="AG434">
        <f>IF(ISBLANK('Data Entry'!$a$434), "", 'Data Entry'!$a$434)</f>
      </c>
      <c r="AH434">
        <f>IF(ISBLANK('Data Entry'!$b$434), "", 'Data Entry'!$b$434)</f>
      </c>
      <c r="AI434">
        <f>IF(ISBLANK('Data Entry'!$c$434), "", 'Data Entry'!$c$434)</f>
      </c>
      <c r="AJ434">
        <f>IF(ISBLANK('Data Entry'!$d$434), "", 'Data Entry'!$d$434)</f>
      </c>
      <c r="AK434">
        <f>IF(ISBLANK('Data Entry'!$e$434), "", 'Data Entry'!$e$434)</f>
      </c>
      <c r="AL434">
        <f>IF(ISBLANK('Data Entry'!$f$434), "", 'Data Entry'!$f$434)</f>
      </c>
      <c r="AM434">
        <f>IF(ISBLANK('Data Entry'!$g$434), "", 'Data Entry'!$g$434)</f>
      </c>
      <c r="AN434">
        <f>IF(ISBLANK('Data Entry'!$h$434), "", 'Data Entry'!$h$434)</f>
      </c>
      <c r="AO434">
        <f>IF(ISBLANK('Data Entry'!$i$434), "", 'Data Entry'!$i$434)</f>
      </c>
      <c r="AP434">
        <f>IF(ISBLANK('Data Entry'!$j$434), "", 'Data Entry'!$j$434)</f>
      </c>
      <c r="AQ434">
        <f>IF(ISBLANK('Data Entry'!$k$434), "", 'Data Entry'!$k$434)</f>
      </c>
      <c r="AR434">
        <f>IF(ISBLANK('Data Entry'!$l$434), "", 'Data Entry'!$l$434)</f>
      </c>
      <c r="AS434">
        <f>IF(ISBLANK('Data Entry'!$m$434), "", 'Data Entry'!$m$434)</f>
      </c>
      <c r="AT434">
        <f>IF(ISBLANK('Data Entry'!$n$434), "", 'Data Entry'!$n$434)</f>
      </c>
      <c r="AU434">
        <f>IF(ISBLANK('Data Entry'!$o$434), "", 'Data Entry'!$o$434)</f>
      </c>
      <c r="AV434">
        <f>IF(ISBLANK('Data Entry'!$p$434), "", 'Data Entry'!$p$434)</f>
      </c>
      <c r="AW434">
        <f>IF(ISBLANK('Data Entry'!$q$434), "", 'Data Entry'!$q$434)</f>
      </c>
      <c r="AX434">
        <f>IF(ISBLANK('Data Entry'!$r$434), "", 'Data Entry'!$r$434)</f>
      </c>
      <c r="AY434">
        <f>IF(ISBLANK('Data Entry'!$s$434), "", 'Data Entry'!$s$434)</f>
      </c>
      <c r="AZ434">
        <f>IF(ISBLANK('Data Entry'!$t$434), "", 'Data Entry'!$t$434)</f>
      </c>
      <c r="BA434">
        <f>IF(ISBLANK('Data Entry'!$u$434), "", 'Data Entry'!$u$434)</f>
      </c>
      <c r="BB434">
        <f>IF(ISBLANK('Data Entry'!$v$434), "", 'Data Entry'!$v$434)</f>
      </c>
      <c r="BC434">
        <f>IF(ISBLANK('Data Entry'!$w$434), "", 'Data Entry'!$w$434)</f>
      </c>
      <c r="BD434">
        <f>IF(ISBLANK('Data Entry'!$x$434), "", 'Data Entry'!$x$434)</f>
      </c>
      <c r="BE434">
        <f>IF(ISBLANK('Data Entry'!$y$434), "", 'Data Entry'!$y$434)</f>
      </c>
      <c r="BF434">
        <f>IF(ISBLANK('Data Entry'!$z$434), "", 'Data Entry'!$z$434)</f>
      </c>
      <c r="BG434">
        <f>IF(ISBLANK('Data Entry'!${$434), "", 'Data Entry'!${$434)</f>
      </c>
      <c r="BH434">
        <f>IF(ISBLANK('Data Entry'!$|$434), "", 'Data Entry'!$|$434)</f>
      </c>
      <c r="BI434">
        <f>IF(ISBLANK('Data Entry'!$}$434), "", 'Data Entry'!$}$434)</f>
      </c>
      <c r="BJ434">
        <f>IF(ISBLANK('Data Entry'!$~$434), "", 'Data Entry'!$~$434)</f>
      </c>
      <c r="BK434">
        <f>IF(ISBLANK('Data Entry'!$$434), "", 'Data Entry'!$$434)</f>
      </c>
      <c r="BL434">
        <f>IF(ISBLANK('Data Entry'!$$434), "", 'Data Entry'!$$434)</f>
      </c>
      <c r="BM434">
        <f>IF(ISBLANK('Data Entry'!$$434), "", 'Data Entry'!$$434)</f>
      </c>
      <c r="BN434">
        <f>IF(ISBLANK('Data Entry'!$$434), "", 'Data Entry'!$$434)</f>
      </c>
      <c r="BO434">
        <f>IF(ISBLANK('Data Entry'!$$434), "", 'Data Entry'!$$434)</f>
      </c>
      <c r="BP434">
        <f>IF(ISBLANK('Data Entry'!$$434), "", 'Data Entry'!$$434)</f>
      </c>
      <c r="BQ434">
        <f>IF(ISBLANK('Data Entry'!$$434), "", 'Data Entry'!$$434)</f>
      </c>
      <c r="BR434">
        <f>IF(ISBLANK('Data Entry'!$$434), "", 'Data Entry'!$$434)</f>
      </c>
      <c r="BS434">
        <f>IF(ISBLANK('Data Entry'!$$434), "", 'Data Entry'!$$434)</f>
      </c>
      <c r="BT434">
        <f>IF(ISBLANK('Data Entry'!$$434), "", 'Data Entry'!$$434)</f>
      </c>
      <c r="BU434">
        <f>IF(ISBLANK('Data Entry'!$$434), "", 'Data Entry'!$$434)</f>
      </c>
      <c r="BV434">
        <f>IF(ISBLANK('Data Entry'!$$434), "", 'Data Entry'!$$434)</f>
      </c>
      <c r="BW434">
        <f>IF(ISBLANK('Data Entry'!$$434), "", 'Data Entry'!$$434)</f>
      </c>
      <c r="BX434">
        <f>IF(ISBLANK('Data Entry'!$$434), "", 'Data Entry'!$$434)</f>
      </c>
      <c r="BY434">
        <f>IF(ISBLANK('Data Entry'!$$434), "", 'Data Entry'!$$434)</f>
      </c>
      <c r="BZ434">
        <f>IF(ISBLANK('Data Entry'!$$434), "", 'Data Entry'!$$434)</f>
      </c>
      <c r="CA434">
        <f>IF(ISBLANK('Data Entry'!$$434), "", 'Data Entry'!$$434)</f>
      </c>
      <c r="CB434">
        <f>IF(ISBLANK('Data Entry'!$$434), "", 'Data Entry'!$$434)</f>
      </c>
      <c r="CC434">
        <f>IF(ISBLANK('Data Entry'!$$434), "", 'Data Entry'!$$434)</f>
      </c>
      <c r="CD434">
        <f>IF(ISBLANK('Data Entry'!$$434), "", 'Data Entry'!$$434)</f>
      </c>
      <c r="CE434">
        <f>IF(ISBLANK('Data Entry'!$$434), "", 'Data Entry'!$$434)</f>
      </c>
      <c r="CF434">
        <f>IF(ISBLANK('Data Entry'!$$434), "", 'Data Entry'!$$434)</f>
      </c>
      <c r="CG434">
        <f>IF(ISBLANK('Data Entry'!$$434), "", 'Data Entry'!$$434)</f>
      </c>
      <c r="CH434">
        <f>IF(ISBLANK('Data Entry'!$$434), "", 'Data Entry'!$$434)</f>
      </c>
      <c r="CI434">
        <f>IF(ISBLANK('Data Entry'!$$434), "", 'Data Entry'!$$434)</f>
      </c>
      <c r="CJ434">
        <f>IF(ISBLANK('Data Entry'!$$434), "", 'Data Entry'!$$434)</f>
      </c>
      <c r="CK434">
        <f>IF(ISBLANK('Data Entry'!$$434), "", 'Data Entry'!$$434)</f>
      </c>
      <c r="CL434">
        <f>IF(ISBLANK('Data Entry'!$$434), "", 'Data Entry'!$$434)</f>
      </c>
      <c r="CM434">
        <f>IF(ISBLANK('Data Entry'!$$434), "", 'Data Entry'!$$434)</f>
      </c>
      <c r="CN434">
        <f>IF(ISBLANK('Data Entry'!$$434), "", 'Data Entry'!$$434)</f>
      </c>
      <c r="CO434">
        <f>IF(ISBLANK('Data Entry'!$$434), "", 'Data Entry'!$$434)</f>
      </c>
      <c r="CP434">
        <f>IF(ISBLANK('Data Entry'!$$434), "", 'Data Entry'!$$434)</f>
      </c>
      <c r="CQ434">
        <f>IF(ISBLANK('Data Entry'!$$434), "", 'Data Entry'!$$434)</f>
      </c>
      <c r="CR434">
        <f>IF(ISBLANK('Data Entry'!$ $434), "", 'Data Entry'!$ $434)</f>
      </c>
      <c r="CS434">
        <f>IF(ISBLANK('Data Entry'!$¡$434), "", 'Data Entry'!$¡$434)</f>
      </c>
      <c r="CT434">
        <f>IF(ISBLANK('Data Entry'!$¢$434), "", 'Data Entry'!$¢$434)</f>
      </c>
      <c r="CU434">
        <f>IF(ISBLANK('Data Entry'!$£$434), "", 'Data Entry'!$£$434)</f>
      </c>
      <c r="CV434">
        <f>IF(ISBLANK('Data Entry'!$¤$434), "", 'Data Entry'!$¤$434)</f>
      </c>
      <c r="CW434">
        <f>IF(ISBLANK('Data Entry'!$¥$434), "", 'Data Entry'!$¥$434)</f>
      </c>
      <c r="CX434">
        <f>IF(ISBLANK('Data Entry'!$¦$434), "", 'Data Entry'!$¦$434)</f>
      </c>
      <c r="CY434">
        <f>IF(ISBLANK('Data Entry'!$§$434), "", 'Data Entry'!$§$434)</f>
      </c>
      <c r="CZ434">
        <f>IF(ISBLANK('Data Entry'!$¨$434), "", 'Data Entry'!$¨$434)</f>
      </c>
      <c r="DA434">
        <f>IF(ISBLANK('Data Entry'!$©$434), "", 'Data Entry'!$©$434)</f>
      </c>
      <c r="DB434">
        <f>IF(ISBLANK('Data Entry'!$ª$434), "", 'Data Entry'!$ª$434)</f>
      </c>
      <c r="DC434">
        <f>IF(ISBLANK('Data Entry'!$«$434), "", 'Data Entry'!$«$434)</f>
      </c>
      <c r="DD434">
        <f>IF(ISBLANK('Data Entry'!$¬$434), "", 'Data Entry'!$¬$434)</f>
      </c>
      <c r="DE434">
        <f>IF(ISBLANK('Data Entry'!$­$434), "", 'Data Entry'!$­$434)</f>
      </c>
      <c r="DF434">
        <f>IF(ISBLANK('Data Entry'!$®$434), "", 'Data Entry'!$®$434)</f>
      </c>
      <c r="DG434">
        <f>IF(ISBLANK('Data Entry'!$¯$434), "", 'Data Entry'!$¯$434)</f>
      </c>
      <c r="DH434">
        <f>IF(ISBLANK('Data Entry'!$°$434), "", 'Data Entry'!$°$434)</f>
      </c>
      <c r="DI434">
        <f>IF(ISBLANK('Data Entry'!$±$434), "", 'Data Entry'!$±$434)</f>
      </c>
      <c r="DJ434">
        <f>IF(ISBLANK('Data Entry'!$²$434), "", 'Data Entry'!$²$434)</f>
      </c>
      <c r="DK434">
        <f>IF(ISBLANK('Data Entry'!$³$434), "", 'Data Entry'!$³$434)</f>
      </c>
      <c r="DL434">
        <f>IF(ISBLANK('Data Entry'!$´$434), "", 'Data Entry'!$´$434)</f>
      </c>
      <c r="DM434">
        <f>IF(ISBLANK('Data Entry'!$µ$434), "", 'Data Entry'!$µ$434)</f>
      </c>
      <c r="DN434">
        <f>IF(ISBLANK('Data Entry'!$¶$434), "", 'Data Entry'!$¶$434)</f>
      </c>
      <c r="DO434">
        <f>IF(ISBLANK('Data Entry'!$·$434), "", 'Data Entry'!$·$434)</f>
      </c>
      <c r="DP434">
        <f>IF(ISBLANK('Data Entry'!$¸$434), "", 'Data Entry'!$¸$434)</f>
      </c>
      <c r="DQ434">
        <f>IF(ISBLANK('Data Entry'!$¹$434), "", 'Data Entry'!$¹$434)</f>
      </c>
      <c r="DR434">
        <f>IF(ISBLANK('Data Entry'!$º$434), "", 'Data Entry'!$º$434)</f>
      </c>
      <c r="DS434">
        <f>IF(ISBLANK('Data Entry'!$»$434), "", 'Data Entry'!$»$434)</f>
      </c>
      <c r="DT434">
        <f>IF(ISBLANK('Data Entry'!$¼$434), "", 'Data Entry'!$¼$434)</f>
      </c>
      <c r="DU434">
        <f>IF(ISBLANK('Data Entry'!$½$434), "", 'Data Entry'!$½$434)</f>
      </c>
      <c r="DV434">
        <f>IF(ISBLANK('Data Entry'!$¾$434), "", 'Data Entry'!$¾$434)</f>
      </c>
      <c r="DW434">
        <f>IF(ISBLANK('Data Entry'!$¿$434), "", 'Data Entry'!$¿$434)</f>
      </c>
      <c r="DX434">
        <f>IF(ISBLANK('Data Entry'!$À$434), "", 'Data Entry'!$À$434)</f>
      </c>
      <c r="DY434">
        <f>IF(ISBLANK('Data Entry'!$Á$434), "", 'Data Entry'!$Á$434)</f>
      </c>
      <c r="DZ434">
        <f>IF(ISBLANK('Data Entry'!$Â$434), "", 'Data Entry'!$Â$434)</f>
      </c>
      <c r="EA434">
        <f>IF(ISBLANK('Data Entry'!$Ã$434), "", 'Data Entry'!$Ã$434)</f>
      </c>
      <c r="EB434">
        <f>IF(ISBLANK('Data Entry'!$Ä$434), "", 'Data Entry'!$Ä$434)</f>
      </c>
      <c r="EC434">
        <f>IF(ISBLANK('Data Entry'!$Å$434), "", 'Data Entry'!$Å$434)</f>
      </c>
      <c r="ED434">
        <f>IF(ISBLANK('Data Entry'!$Æ$434), "", 'Data Entry'!$Æ$434)</f>
      </c>
      <c r="EE434">
        <f>IF(ISBLANK('Data Entry'!$Ç$434), "", 'Data Entry'!$Ç$434)</f>
      </c>
      <c r="EF434">
        <f>IF(ISBLANK('Data Entry'!$È$434), "", 'Data Entry'!$È$434)</f>
      </c>
      <c r="EG434">
        <f>IF(ISBLANK('Data Entry'!$É$434), "", 'Data Entry'!$É$434)</f>
      </c>
      <c r="EH434">
        <f>IF(ISBLANK('Data Entry'!$Ê$434), "", 'Data Entry'!$Ê$434)</f>
      </c>
      <c r="EI434">
        <f>IF(ISBLANK('Data Entry'!$Ë$434), "", 'Data Entry'!$Ë$434)</f>
      </c>
      <c r="EJ434">
        <f>IF(ISBLANK('Data Entry'!$Ì$434), "", 'Data Entry'!$Ì$434)</f>
      </c>
      <c r="EK434">
        <f>IF(ISBLANK('Data Entry'!$Í$434), "", 'Data Entry'!$Í$434)</f>
      </c>
      <c r="EL434">
        <f>IF(ISBLANK('Data Entry'!$Î$434), "", 'Data Entry'!$Î$434)</f>
      </c>
      <c r="EM434">
        <f>IF(ISBLANK('Data Entry'!$Ï$434), "", 'Data Entry'!$Ï$434)</f>
      </c>
      <c r="EN434">
        <f>IF(ISBLANK('Data Entry'!$Ð$434), "", 'Data Entry'!$Ð$434)</f>
      </c>
      <c r="EO434">
        <f>IF(ISBLANK('Data Entry'!$Ñ$434), "", 'Data Entry'!$Ñ$434)</f>
      </c>
      <c r="EP434">
        <f>IF(ISBLANK('Data Entry'!$Ò$434), "", 'Data Entry'!$Ò$434)</f>
      </c>
      <c r="EQ434">
        <f>IF(ISBLANK('Data Entry'!$Ó$434), "", 'Data Entry'!$Ó$434)</f>
      </c>
      <c r="ER434">
        <f>IF(ISBLANK('Data Entry'!$Ô$434), "", 'Data Entry'!$Ô$434)</f>
      </c>
      <c r="ES434">
        <f>IF(ISBLANK('Data Entry'!$Õ$434), "", 'Data Entry'!$Õ$434)</f>
      </c>
      <c r="ET434">
        <f>IF(ISBLANK('Data Entry'!$Ö$434), "", 'Data Entry'!$Ö$434)</f>
      </c>
      <c r="EU434">
        <f>IF(ISBLANK('Data Entry'!$×$434), "", 'Data Entry'!$×$434)</f>
      </c>
      <c r="EV434">
        <f>IF(ISBLANK('Data Entry'!$Ø$434), "", 'Data Entry'!$Ø$434)</f>
      </c>
      <c r="EW434">
        <f>IF(ISBLANK('Data Entry'!$Ù$434), "", 'Data Entry'!$Ù$434)</f>
      </c>
      <c r="EX434">
        <f>IF(ISBLANK('Data Entry'!$Ú$434), "", 'Data Entry'!$Ú$434)</f>
      </c>
      <c r="EY434">
        <f>IF(ISBLANK('Data Entry'!$Û$434), "", 'Data Entry'!$Û$434)</f>
      </c>
      <c r="EZ434">
        <f>IF(ISBLANK('Data Entry'!$Ü$434), "", 'Data Entry'!$Ü$434)</f>
      </c>
      <c r="FA434">
        <f>IF(ISBLANK('Data Entry'!$Ý$434), "", 'Data Entry'!$Ý$434)</f>
      </c>
      <c r="FB434">
        <f>IF(ISBLANK('Data Entry'!$Þ$434), "", 'Data Entry'!$Þ$434)</f>
      </c>
      <c r="FC434">
        <f>IF(ISBLANK('Data Entry'!$ß$434), "", 'Data Entry'!$ß$434)</f>
      </c>
      <c r="FD434">
        <f>IF(ISBLANK('Data Entry'!$à$434), "", 'Data Entry'!$à$434)</f>
      </c>
      <c r="FE434">
        <f>IF(ISBLANK('Data Entry'!$á$434), "", 'Data Entry'!$á$434)</f>
      </c>
      <c r="FF434">
        <f>IF(ISBLANK('Data Entry'!$â$434), "", 'Data Entry'!$â$434)</f>
      </c>
      <c r="FG434">
        <f>IF(ISBLANK('Data Entry'!$ã$434), "", 'Data Entry'!$ã$434)</f>
      </c>
      <c r="FH434">
        <f>IF(ISBLANK('Data Entry'!$ä$434), "", 'Data Entry'!$ä$434)</f>
      </c>
      <c r="FI434">
        <f>IF(ISBLANK('Data Entry'!$å$434), "", 'Data Entry'!$å$434)</f>
      </c>
      <c r="FJ434">
        <f>IF(ISBLANK('Data Entry'!$æ$434), "", 'Data Entry'!$æ$434)</f>
      </c>
      <c r="FK434">
        <f>IF(ISBLANK('Data Entry'!$ç$434), "", 'Data Entry'!$ç$434)</f>
      </c>
      <c r="FL434">
        <f>IF(ISBLANK('Data Entry'!$è$434), "", 'Data Entry'!$è$434)</f>
      </c>
      <c r="FM434">
        <f>IF(ISBLANK('Data Entry'!$é$434), "", 'Data Entry'!$é$434)</f>
      </c>
      <c r="FN434">
        <f>IF(ISBLANK('Data Entry'!$ê$434), "", 'Data Entry'!$ê$434)</f>
      </c>
      <c r="FO434">
        <f>IF(ISBLANK('Data Entry'!$ë$434), "", 'Data Entry'!$ë$434)</f>
      </c>
      <c r="FP434">
        <f>IF(ISBLANK('Data Entry'!$ì$434), "", 'Data Entry'!$ì$434)</f>
      </c>
      <c r="FQ434">
        <f>IF(ISBLANK('Data Entry'!$í$434), "", 'Data Entry'!$í$434)</f>
      </c>
      <c r="FR434">
        <f>IF(ISBLANK('Data Entry'!$î$434), "", 'Data Entry'!$î$434)</f>
      </c>
      <c r="FS434">
        <f>IF(ISBLANK('Data Entry'!$ï$434), "", 'Data Entry'!$ï$434)</f>
      </c>
      <c r="FT434">
        <f>IF(ISBLANK('Data Entry'!$ð$434), "", 'Data Entry'!$ð$434)</f>
      </c>
      <c r="FU434">
        <f>IF(ISBLANK('Data Entry'!$ñ$434), "", 'Data Entry'!$ñ$434)</f>
      </c>
      <c r="FV434">
        <f>IF(ISBLANK('Data Entry'!$ò$434), "", 'Data Entry'!$ò$434)</f>
      </c>
      <c r="FW434">
        <f>IF(ISBLANK('Data Entry'!$ó$434), "", 'Data Entry'!$ó$434)</f>
      </c>
      <c r="FX434">
        <f>IF(ISBLANK('Data Entry'!$ô$434), "", 'Data Entry'!$ô$434)</f>
      </c>
      <c r="FY434">
        <f>IF(ISBLANK('Data Entry'!$õ$434), "", 'Data Entry'!$õ$434)</f>
      </c>
      <c r="FZ434">
        <f>IF(ISBLANK('Data Entry'!$ö$434), "", 'Data Entry'!$ö$434)</f>
      </c>
      <c r="GA434">
        <f>IF(ISBLANK('Data Entry'!$÷$434), "", 'Data Entry'!$÷$434)</f>
      </c>
      <c r="GB434">
        <f>IF(ISBLANK('Data Entry'!$ø$434), "", 'Data Entry'!$ø$434)</f>
      </c>
      <c r="GC434">
        <f>IF(ISBLANK('Data Entry'!$ù$434), "", 'Data Entry'!$ù$434)</f>
      </c>
      <c r="GD434">
        <f>IF(ISBLANK('Data Entry'!$ú$434), "", 'Data Entry'!$ú$434)</f>
      </c>
      <c r="GE434">
        <f>IF(ISBLANK('Data Entry'!$û$434), "", 'Data Entry'!$û$434)</f>
      </c>
      <c r="GF434">
        <f>IF(ISBLANK('Data Entry'!$ü$434), "", 'Data Entry'!$ü$434)</f>
      </c>
      <c r="GG434">
        <f>IF(ISBLANK('Data Entry'!$ý$434), "", 'Data Entry'!$ý$434)</f>
      </c>
      <c r="GH434">
        <f>IF(ISBLANK('Data Entry'!$þ$434), "", 'Data Entry'!$þ$434)</f>
      </c>
      <c r="GI434">
        <f>IF(ISBLANK('Data Entry'!$ÿ$434), "", 'Data Entry'!$ÿ$434)</f>
      </c>
      <c r="GJ434">
        <f>IF(ISBLANK('Data Entry'!$Ā$434), "", 'Data Entry'!$Ā$434)</f>
      </c>
      <c r="GK434">
        <f>IF(ISBLANK('Data Entry'!$ā$434), "", 'Data Entry'!$ā$434)</f>
      </c>
      <c r="GL434">
        <f>IF(ISBLANK('Data Entry'!$Ă$434), "", 'Data Entry'!$Ă$434)</f>
      </c>
      <c r="GM434">
        <f>IF(ISBLANK('Data Entry'!$ă$434), "", 'Data Entry'!$ă$434)</f>
      </c>
      <c r="GN434">
        <f>IF(ISBLANK('Data Entry'!$Ą$434), "", 'Data Entry'!$Ą$434)</f>
      </c>
      <c r="GO434">
        <f>IF(ISBLANK('Data Entry'!$ą$434), "", 'Data Entry'!$ą$434)</f>
      </c>
      <c r="GP434">
        <f>IF(ISBLANK('Data Entry'!$Ć$434), "", 'Data Entry'!$Ć$434)</f>
      </c>
      <c r="GQ434">
        <f>IF(ISBLANK('Data Entry'!$ć$434), "", 'Data Entry'!$ć$434)</f>
      </c>
      <c r="GR434">
        <f>IF(ISBLANK('Data Entry'!$Ĉ$434), "", 'Data Entry'!$Ĉ$434)</f>
      </c>
      <c r="GS434">
        <f>IF(ISBLANK('Data Entry'!$ĉ$434), "", 'Data Entry'!$ĉ$434)</f>
      </c>
      <c r="GT434">
        <f>IF(ISBLANK('Data Entry'!$Ċ$434), "", 'Data Entry'!$Ċ$434)</f>
      </c>
      <c r="GU434">
        <f>IF(ISBLANK('Data Entry'!$ċ$434), "", 'Data Entry'!$ċ$434)</f>
      </c>
      <c r="GV434">
        <f>IF(ISBLANK('Data Entry'!$Č$434), "", 'Data Entry'!$Č$434)</f>
      </c>
      <c r="GW434">
        <f>IF(ISBLANK('Data Entry'!$č$434), "", 'Data Entry'!$č$434)</f>
      </c>
      <c r="GX434">
        <f>IF(ISBLANK('Data Entry'!$Ď$434), "", 'Data Entry'!$Ď$434)</f>
      </c>
      <c r="GY434">
        <f>IF(ISBLANK('Data Entry'!$ď$434), "", 'Data Entry'!$ď$434)</f>
      </c>
      <c r="GZ434">
        <f>IF(ISBLANK('Data Entry'!$Đ$434), "", 'Data Entry'!$Đ$434)</f>
      </c>
      <c r="HA434">
        <f>IF(ISBLANK('Data Entry'!$đ$434), "", 'Data Entry'!$đ$434)</f>
      </c>
      <c r="HB434">
        <f>IF(ISBLANK('Data Entry'!$Ē$434), "", 'Data Entry'!$Ē$434)</f>
      </c>
      <c r="HC434">
        <f>IF(ISBLANK('Data Entry'!$ē$434), "", 'Data Entry'!$ē$434)</f>
      </c>
      <c r="HD434">
        <f>IF(ISBLANK('Data Entry'!$Ĕ$434), "", 'Data Entry'!$Ĕ$434)</f>
      </c>
      <c r="HE434">
        <f>IF(ISBLANK('Data Entry'!$ĕ$434), "", 'Data Entry'!$ĕ$434)</f>
      </c>
      <c r="HF434">
        <f>IF(ISBLANK('Data Entry'!$Ė$434), "", 'Data Entry'!$Ė$434)</f>
      </c>
      <c r="HG434">
        <f>IF(ISBLANK('Data Entry'!$ė$434), "", 'Data Entry'!$ė$434)</f>
      </c>
      <c r="HH434">
        <f>IF(ISBLANK('Data Entry'!$Ę$434), "", 'Data Entry'!$Ę$434)</f>
      </c>
      <c r="HI434">
        <f>IF(ISBLANK('Data Entry'!$ę$434), "", 'Data Entry'!$ę$434)</f>
      </c>
      <c r="HJ434">
        <f>IF(ISBLANK('Data Entry'!$Ě$434), "", 'Data Entry'!$Ě$434)</f>
      </c>
      <c r="HK434">
        <f>IF(ISBLANK('Data Entry'!$ě$434), "", 'Data Entry'!$ě$434)</f>
      </c>
      <c r="HL434">
        <f>IF(ISBLANK('Data Entry'!$Ĝ$434), "", 'Data Entry'!$Ĝ$434)</f>
      </c>
      <c r="HM434">
        <f>IF(ISBLANK('Data Entry'!$ĝ$434), "", 'Data Entry'!$ĝ$434)</f>
      </c>
      <c r="HN434">
        <f>IF(ISBLANK('Data Entry'!$Ğ$434), "", 'Data Entry'!$Ğ$434)</f>
      </c>
      <c r="HO434">
        <f>IF(ISBLANK('Data Entry'!$ğ$434), "", 'Data Entry'!$ğ$434)</f>
      </c>
      <c r="HP434">
        <f>IF(ISBLANK('Data Entry'!$Ġ$434), "", 'Data Entry'!$Ġ$434)</f>
      </c>
      <c r="HQ434">
        <f>IF(ISBLANK('Data Entry'!$ġ$434), "", 'Data Entry'!$ġ$434)</f>
      </c>
      <c r="HR434">
        <f>IF(ISBLANK('Data Entry'!$Ģ$434), "", 'Data Entry'!$Ģ$434)</f>
      </c>
      <c r="HS434">
        <f>IF(ISBLANK('Data Entry'!$ģ$434), "", 'Data Entry'!$ģ$434)</f>
      </c>
      <c r="HT434">
        <f>IF(ISBLANK('Data Entry'!$Ĥ$434), "", 'Data Entry'!$Ĥ$434)</f>
      </c>
      <c r="HU434">
        <f>IF(ISBLANK('Data Entry'!$ĥ$434), "", 'Data Entry'!$ĥ$434)</f>
      </c>
      <c r="HV434">
        <f>IF(ISBLANK('Data Entry'!$Ħ$434), "", 'Data Entry'!$Ħ$434)</f>
      </c>
      <c r="HW434">
        <f>IF(ISBLANK('Data Entry'!$ħ$434), "", 'Data Entry'!$ħ$434)</f>
      </c>
      <c r="HX434">
        <f>IF(ISBLANK('Data Entry'!$Ĩ$434), "", 'Data Entry'!$Ĩ$434)</f>
      </c>
      <c r="HY434">
        <f>IF(ISBLANK('Data Entry'!$ĩ$434), "", 'Data Entry'!$ĩ$434)</f>
      </c>
      <c r="HZ434">
        <f>IF(ISBLANK('Data Entry'!$Ī$434), "", 'Data Entry'!$Ī$434)</f>
      </c>
      <c r="IA434">
        <f>IF(ISBLANK('Data Entry'!$ī$434), "", 'Data Entry'!$ī$434)</f>
      </c>
      <c r="IB434">
        <f>IF(ISBLANK('Data Entry'!$Ĭ$434), "", 'Data Entry'!$Ĭ$434)</f>
      </c>
      <c r="IC434">
        <f>IF(ISBLANK('Data Entry'!$ĭ$434), "", 'Data Entry'!$ĭ$434)</f>
      </c>
      <c r="ID434">
        <f>IF(ISBLANK('Data Entry'!$Į$434), "", 'Data Entry'!$Į$434)</f>
      </c>
      <c r="IE434">
        <f>IF(ISBLANK('Data Entry'!$į$434), "", 'Data Entry'!$į$434)</f>
      </c>
      <c r="IF434">
        <f>IF(ISBLANK('Data Entry'!$İ$434), "", 'Data Entry'!$İ$434)</f>
      </c>
      <c r="IG434">
        <f>IF(ISBLANK('Data Entry'!$ı$434), "", 'Data Entry'!$ı$434)</f>
      </c>
      <c r="IH434">
        <f>IF(ISBLANK('Data Entry'!$Ĳ$434), "", 'Data Entry'!$Ĳ$434)</f>
      </c>
      <c r="II434">
        <f>IF(ISBLANK('Data Entry'!$ĳ$434), "", 'Data Entry'!$ĳ$434)</f>
      </c>
      <c r="IJ434">
        <f>IF(ISBLANK('Data Entry'!$Ĵ$434), "", 'Data Entry'!$Ĵ$434)</f>
      </c>
      <c r="IK434">
        <f>IF(ISBLANK('Data Entry'!$ĵ$434), "", 'Data Entry'!$ĵ$434)</f>
      </c>
      <c r="IL434">
        <f>IF(ISBLANK('Data Entry'!$Ķ$434), "", 'Data Entry'!$Ķ$434)</f>
      </c>
      <c r="IM434">
        <f>IF(ISBLANK('Data Entry'!$ķ$434), "", 'Data Entry'!$ķ$434)</f>
      </c>
      <c r="IN434">
        <f>IF(ISBLANK('Data Entry'!$ĸ$434), "", 'Data Entry'!$ĸ$434)</f>
      </c>
      <c r="IO434">
        <f>IF(ISBLANK('Data Entry'!$Ĺ$434), "", 'Data Entry'!$Ĺ$434)</f>
      </c>
      <c r="IP434">
        <f>IF(ISBLANK('Data Entry'!$ĺ$434), "", 'Data Entry'!$ĺ$434)</f>
      </c>
      <c r="IQ434">
        <f>IF(ISBLANK('Data Entry'!$Ļ$434), "", 'Data Entry'!$Ļ$434)</f>
      </c>
      <c r="IR434">
        <f>IF(ISBLANK('Data Entry'!$ļ$434), "", 'Data Entry'!$ļ$434)</f>
      </c>
      <c r="IS434">
        <f>IF(ISBLANK('Data Entry'!$Ľ$434), "", 'Data Entry'!$Ľ$434)</f>
      </c>
      <c r="IT434">
        <f>IF(ISBLANK('Data Entry'!$ľ$434), "", 'Data Entry'!$ľ$434)</f>
      </c>
    </row>
    <row r="435" spans="1:254" x14ac:dyDescent="0.25">
      <c r="A435">
        <f>IF(ISBLANK('Data Entry'!$A$435), "", 'Data Entry'!$A$435)</f>
      </c>
      <c r="B435">
        <f>IF(ISBLANK('Data Entry'!$B$435), "", 'Data Entry'!$B$435)</f>
      </c>
      <c r="C435">
        <f>IF(ISBLANK('Data Entry'!$C$435), "", 'Data Entry'!$C$435)</f>
      </c>
      <c r="D435">
        <f>IF(ISBLANK('Data Entry'!$D$435), "", 'Data Entry'!$D$435)</f>
      </c>
      <c r="E435">
        <f>IF(ISBLANK('Data Entry'!$E$435), "", 'Data Entry'!$E$435)</f>
      </c>
      <c r="F435">
        <f>IF(ISBLANK('Data Entry'!$F$435), "", 'Data Entry'!$F$435)</f>
      </c>
      <c r="G435">
        <f>IF(ISBLANK('Data Entry'!$G$435), "", 'Data Entry'!$G$435)</f>
      </c>
      <c r="H435">
        <f>IF(ISBLANK('Data Entry'!$H$435), "", 'Data Entry'!$H$435)</f>
      </c>
      <c r="I435">
        <f>IF(ISBLANK('Data Entry'!$I$435), "", 'Data Entry'!$I$435)</f>
      </c>
      <c r="J435">
        <f>IF(ISBLANK('Data Entry'!$J$435), "", 'Data Entry'!$J$435)</f>
      </c>
      <c r="K435">
        <f>IF(ISBLANK('Data Entry'!$K$435), "", 'Data Entry'!$K$435)</f>
      </c>
      <c r="L435">
        <f>IF(ISBLANK('Data Entry'!$L$435), "", 'Data Entry'!$L$435)</f>
      </c>
      <c r="M435">
        <f>IF(ISBLANK('Data Entry'!$M$435), "", 'Data Entry'!$M$435)</f>
      </c>
      <c r="N435">
        <f>IF(ISBLANK('Data Entry'!$N$435), "", 'Data Entry'!$N$435)</f>
      </c>
      <c r="O435">
        <f>IF(ISBLANK('Data Entry'!$O$435), "", 'Data Entry'!$O$435)</f>
      </c>
      <c r="P435">
        <f>IF(ISBLANK('Data Entry'!$P$435), "", 'Data Entry'!$P$435)</f>
      </c>
      <c r="Q435">
        <f>IF(ISBLANK('Data Entry'!$Q$435), "", 'Data Entry'!$Q$435)</f>
      </c>
      <c r="R435">
        <f>IF(ISBLANK('Data Entry'!$R$435), "", 'Data Entry'!$R$435)</f>
      </c>
      <c r="S435">
        <f>IF(ISBLANK('Data Entry'!$S$435), "", 'Data Entry'!$S$435)</f>
      </c>
      <c r="T435">
        <f>IF(ISBLANK('Data Entry'!$T$435), "", 'Data Entry'!$T$435)</f>
      </c>
      <c r="U435">
        <f>IF(ISBLANK('Data Entry'!$U$435), "", 'Data Entry'!$U$435)</f>
      </c>
      <c r="V435">
        <f>IF(ISBLANK('Data Entry'!$V$435), "", 'Data Entry'!$V$435)</f>
      </c>
      <c r="W435">
        <f>IF(ISBLANK('Data Entry'!$W$435), "", 'Data Entry'!$W$435)</f>
      </c>
      <c r="X435">
        <f>IF(ISBLANK('Data Entry'!$X$435), "", 'Data Entry'!$X$435)</f>
      </c>
      <c r="Y435">
        <f>IF(ISBLANK('Data Entry'!$Y$435), "", 'Data Entry'!$Y$435)</f>
      </c>
      <c r="Z435">
        <f>IF(ISBLANK('Data Entry'!$Z$435), "", 'Data Entry'!$Z$435)</f>
      </c>
      <c r="AA435">
        <f>IF(ISBLANK('Data Entry'!$[$435), "", 'Data Entry'!$[$435)</f>
      </c>
      <c r="AB435">
        <f>IF(ISBLANK('Data Entry'!$\$435), "", 'Data Entry'!$\$435)</f>
      </c>
      <c r="AC435">
        <f>IF(ISBLANK('Data Entry'!$]$435), "", 'Data Entry'!$]$435)</f>
      </c>
      <c r="AD435">
        <f>IF(ISBLANK('Data Entry'!$^$435), "", 'Data Entry'!$^$435)</f>
      </c>
      <c r="AE435">
        <f>IF(ISBLANK('Data Entry'!$_$435), "", 'Data Entry'!$_$435)</f>
      </c>
      <c r="AF435">
        <f>IF(ISBLANK('Data Entry'!$`$435), "", 'Data Entry'!$`$435)</f>
      </c>
      <c r="AG435">
        <f>IF(ISBLANK('Data Entry'!$a$435), "", 'Data Entry'!$a$435)</f>
      </c>
      <c r="AH435">
        <f>IF(ISBLANK('Data Entry'!$b$435), "", 'Data Entry'!$b$435)</f>
      </c>
      <c r="AI435">
        <f>IF(ISBLANK('Data Entry'!$c$435), "", 'Data Entry'!$c$435)</f>
      </c>
      <c r="AJ435">
        <f>IF(ISBLANK('Data Entry'!$d$435), "", 'Data Entry'!$d$435)</f>
      </c>
      <c r="AK435">
        <f>IF(ISBLANK('Data Entry'!$e$435), "", 'Data Entry'!$e$435)</f>
      </c>
      <c r="AL435">
        <f>IF(ISBLANK('Data Entry'!$f$435), "", 'Data Entry'!$f$435)</f>
      </c>
      <c r="AM435">
        <f>IF(ISBLANK('Data Entry'!$g$435), "", 'Data Entry'!$g$435)</f>
      </c>
      <c r="AN435">
        <f>IF(ISBLANK('Data Entry'!$h$435), "", 'Data Entry'!$h$435)</f>
      </c>
      <c r="AO435">
        <f>IF(ISBLANK('Data Entry'!$i$435), "", 'Data Entry'!$i$435)</f>
      </c>
      <c r="AP435">
        <f>IF(ISBLANK('Data Entry'!$j$435), "", 'Data Entry'!$j$435)</f>
      </c>
      <c r="AQ435">
        <f>IF(ISBLANK('Data Entry'!$k$435), "", 'Data Entry'!$k$435)</f>
      </c>
      <c r="AR435">
        <f>IF(ISBLANK('Data Entry'!$l$435), "", 'Data Entry'!$l$435)</f>
      </c>
      <c r="AS435">
        <f>IF(ISBLANK('Data Entry'!$m$435), "", 'Data Entry'!$m$435)</f>
      </c>
      <c r="AT435">
        <f>IF(ISBLANK('Data Entry'!$n$435), "", 'Data Entry'!$n$435)</f>
      </c>
      <c r="AU435">
        <f>IF(ISBLANK('Data Entry'!$o$435), "", 'Data Entry'!$o$435)</f>
      </c>
      <c r="AV435">
        <f>IF(ISBLANK('Data Entry'!$p$435), "", 'Data Entry'!$p$435)</f>
      </c>
      <c r="AW435">
        <f>IF(ISBLANK('Data Entry'!$q$435), "", 'Data Entry'!$q$435)</f>
      </c>
      <c r="AX435">
        <f>IF(ISBLANK('Data Entry'!$r$435), "", 'Data Entry'!$r$435)</f>
      </c>
      <c r="AY435">
        <f>IF(ISBLANK('Data Entry'!$s$435), "", 'Data Entry'!$s$435)</f>
      </c>
      <c r="AZ435">
        <f>IF(ISBLANK('Data Entry'!$t$435), "", 'Data Entry'!$t$435)</f>
      </c>
      <c r="BA435">
        <f>IF(ISBLANK('Data Entry'!$u$435), "", 'Data Entry'!$u$435)</f>
      </c>
      <c r="BB435">
        <f>IF(ISBLANK('Data Entry'!$v$435), "", 'Data Entry'!$v$435)</f>
      </c>
      <c r="BC435">
        <f>IF(ISBLANK('Data Entry'!$w$435), "", 'Data Entry'!$w$435)</f>
      </c>
      <c r="BD435">
        <f>IF(ISBLANK('Data Entry'!$x$435), "", 'Data Entry'!$x$435)</f>
      </c>
      <c r="BE435">
        <f>IF(ISBLANK('Data Entry'!$y$435), "", 'Data Entry'!$y$435)</f>
      </c>
      <c r="BF435">
        <f>IF(ISBLANK('Data Entry'!$z$435), "", 'Data Entry'!$z$435)</f>
      </c>
      <c r="BG435">
        <f>IF(ISBLANK('Data Entry'!${$435), "", 'Data Entry'!${$435)</f>
      </c>
      <c r="BH435">
        <f>IF(ISBLANK('Data Entry'!$|$435), "", 'Data Entry'!$|$435)</f>
      </c>
      <c r="BI435">
        <f>IF(ISBLANK('Data Entry'!$}$435), "", 'Data Entry'!$}$435)</f>
      </c>
      <c r="BJ435">
        <f>IF(ISBLANK('Data Entry'!$~$435), "", 'Data Entry'!$~$435)</f>
      </c>
      <c r="BK435">
        <f>IF(ISBLANK('Data Entry'!$$435), "", 'Data Entry'!$$435)</f>
      </c>
      <c r="BL435">
        <f>IF(ISBLANK('Data Entry'!$$435), "", 'Data Entry'!$$435)</f>
      </c>
      <c r="BM435">
        <f>IF(ISBLANK('Data Entry'!$$435), "", 'Data Entry'!$$435)</f>
      </c>
      <c r="BN435">
        <f>IF(ISBLANK('Data Entry'!$$435), "", 'Data Entry'!$$435)</f>
      </c>
      <c r="BO435">
        <f>IF(ISBLANK('Data Entry'!$$435), "", 'Data Entry'!$$435)</f>
      </c>
      <c r="BP435">
        <f>IF(ISBLANK('Data Entry'!$$435), "", 'Data Entry'!$$435)</f>
      </c>
      <c r="BQ435">
        <f>IF(ISBLANK('Data Entry'!$$435), "", 'Data Entry'!$$435)</f>
      </c>
      <c r="BR435">
        <f>IF(ISBLANK('Data Entry'!$$435), "", 'Data Entry'!$$435)</f>
      </c>
      <c r="BS435">
        <f>IF(ISBLANK('Data Entry'!$$435), "", 'Data Entry'!$$435)</f>
      </c>
      <c r="BT435">
        <f>IF(ISBLANK('Data Entry'!$$435), "", 'Data Entry'!$$435)</f>
      </c>
      <c r="BU435">
        <f>IF(ISBLANK('Data Entry'!$$435), "", 'Data Entry'!$$435)</f>
      </c>
      <c r="BV435">
        <f>IF(ISBLANK('Data Entry'!$$435), "", 'Data Entry'!$$435)</f>
      </c>
      <c r="BW435">
        <f>IF(ISBLANK('Data Entry'!$$435), "", 'Data Entry'!$$435)</f>
      </c>
      <c r="BX435">
        <f>IF(ISBLANK('Data Entry'!$$435), "", 'Data Entry'!$$435)</f>
      </c>
      <c r="BY435">
        <f>IF(ISBLANK('Data Entry'!$$435), "", 'Data Entry'!$$435)</f>
      </c>
      <c r="BZ435">
        <f>IF(ISBLANK('Data Entry'!$$435), "", 'Data Entry'!$$435)</f>
      </c>
      <c r="CA435">
        <f>IF(ISBLANK('Data Entry'!$$435), "", 'Data Entry'!$$435)</f>
      </c>
      <c r="CB435">
        <f>IF(ISBLANK('Data Entry'!$$435), "", 'Data Entry'!$$435)</f>
      </c>
      <c r="CC435">
        <f>IF(ISBLANK('Data Entry'!$$435), "", 'Data Entry'!$$435)</f>
      </c>
      <c r="CD435">
        <f>IF(ISBLANK('Data Entry'!$$435), "", 'Data Entry'!$$435)</f>
      </c>
      <c r="CE435">
        <f>IF(ISBLANK('Data Entry'!$$435), "", 'Data Entry'!$$435)</f>
      </c>
      <c r="CF435">
        <f>IF(ISBLANK('Data Entry'!$$435), "", 'Data Entry'!$$435)</f>
      </c>
      <c r="CG435">
        <f>IF(ISBLANK('Data Entry'!$$435), "", 'Data Entry'!$$435)</f>
      </c>
      <c r="CH435">
        <f>IF(ISBLANK('Data Entry'!$$435), "", 'Data Entry'!$$435)</f>
      </c>
      <c r="CI435">
        <f>IF(ISBLANK('Data Entry'!$$435), "", 'Data Entry'!$$435)</f>
      </c>
      <c r="CJ435">
        <f>IF(ISBLANK('Data Entry'!$$435), "", 'Data Entry'!$$435)</f>
      </c>
      <c r="CK435">
        <f>IF(ISBLANK('Data Entry'!$$435), "", 'Data Entry'!$$435)</f>
      </c>
      <c r="CL435">
        <f>IF(ISBLANK('Data Entry'!$$435), "", 'Data Entry'!$$435)</f>
      </c>
      <c r="CM435">
        <f>IF(ISBLANK('Data Entry'!$$435), "", 'Data Entry'!$$435)</f>
      </c>
      <c r="CN435">
        <f>IF(ISBLANK('Data Entry'!$$435), "", 'Data Entry'!$$435)</f>
      </c>
      <c r="CO435">
        <f>IF(ISBLANK('Data Entry'!$$435), "", 'Data Entry'!$$435)</f>
      </c>
      <c r="CP435">
        <f>IF(ISBLANK('Data Entry'!$$435), "", 'Data Entry'!$$435)</f>
      </c>
      <c r="CQ435">
        <f>IF(ISBLANK('Data Entry'!$$435), "", 'Data Entry'!$$435)</f>
      </c>
      <c r="CR435">
        <f>IF(ISBLANK('Data Entry'!$ $435), "", 'Data Entry'!$ $435)</f>
      </c>
      <c r="CS435">
        <f>IF(ISBLANK('Data Entry'!$¡$435), "", 'Data Entry'!$¡$435)</f>
      </c>
      <c r="CT435">
        <f>IF(ISBLANK('Data Entry'!$¢$435), "", 'Data Entry'!$¢$435)</f>
      </c>
      <c r="CU435">
        <f>IF(ISBLANK('Data Entry'!$£$435), "", 'Data Entry'!$£$435)</f>
      </c>
      <c r="CV435">
        <f>IF(ISBLANK('Data Entry'!$¤$435), "", 'Data Entry'!$¤$435)</f>
      </c>
      <c r="CW435">
        <f>IF(ISBLANK('Data Entry'!$¥$435), "", 'Data Entry'!$¥$435)</f>
      </c>
      <c r="CX435">
        <f>IF(ISBLANK('Data Entry'!$¦$435), "", 'Data Entry'!$¦$435)</f>
      </c>
      <c r="CY435">
        <f>IF(ISBLANK('Data Entry'!$§$435), "", 'Data Entry'!$§$435)</f>
      </c>
      <c r="CZ435">
        <f>IF(ISBLANK('Data Entry'!$¨$435), "", 'Data Entry'!$¨$435)</f>
      </c>
      <c r="DA435">
        <f>IF(ISBLANK('Data Entry'!$©$435), "", 'Data Entry'!$©$435)</f>
      </c>
      <c r="DB435">
        <f>IF(ISBLANK('Data Entry'!$ª$435), "", 'Data Entry'!$ª$435)</f>
      </c>
      <c r="DC435">
        <f>IF(ISBLANK('Data Entry'!$«$435), "", 'Data Entry'!$«$435)</f>
      </c>
      <c r="DD435">
        <f>IF(ISBLANK('Data Entry'!$¬$435), "", 'Data Entry'!$¬$435)</f>
      </c>
      <c r="DE435">
        <f>IF(ISBLANK('Data Entry'!$­$435), "", 'Data Entry'!$­$435)</f>
      </c>
      <c r="DF435">
        <f>IF(ISBLANK('Data Entry'!$®$435), "", 'Data Entry'!$®$435)</f>
      </c>
      <c r="DG435">
        <f>IF(ISBLANK('Data Entry'!$¯$435), "", 'Data Entry'!$¯$435)</f>
      </c>
      <c r="DH435">
        <f>IF(ISBLANK('Data Entry'!$°$435), "", 'Data Entry'!$°$435)</f>
      </c>
      <c r="DI435">
        <f>IF(ISBLANK('Data Entry'!$±$435), "", 'Data Entry'!$±$435)</f>
      </c>
      <c r="DJ435">
        <f>IF(ISBLANK('Data Entry'!$²$435), "", 'Data Entry'!$²$435)</f>
      </c>
      <c r="DK435">
        <f>IF(ISBLANK('Data Entry'!$³$435), "", 'Data Entry'!$³$435)</f>
      </c>
      <c r="DL435">
        <f>IF(ISBLANK('Data Entry'!$´$435), "", 'Data Entry'!$´$435)</f>
      </c>
      <c r="DM435">
        <f>IF(ISBLANK('Data Entry'!$µ$435), "", 'Data Entry'!$µ$435)</f>
      </c>
      <c r="DN435">
        <f>IF(ISBLANK('Data Entry'!$¶$435), "", 'Data Entry'!$¶$435)</f>
      </c>
      <c r="DO435">
        <f>IF(ISBLANK('Data Entry'!$·$435), "", 'Data Entry'!$·$435)</f>
      </c>
      <c r="DP435">
        <f>IF(ISBLANK('Data Entry'!$¸$435), "", 'Data Entry'!$¸$435)</f>
      </c>
      <c r="DQ435">
        <f>IF(ISBLANK('Data Entry'!$¹$435), "", 'Data Entry'!$¹$435)</f>
      </c>
      <c r="DR435">
        <f>IF(ISBLANK('Data Entry'!$º$435), "", 'Data Entry'!$º$435)</f>
      </c>
      <c r="DS435">
        <f>IF(ISBLANK('Data Entry'!$»$435), "", 'Data Entry'!$»$435)</f>
      </c>
      <c r="DT435">
        <f>IF(ISBLANK('Data Entry'!$¼$435), "", 'Data Entry'!$¼$435)</f>
      </c>
      <c r="DU435">
        <f>IF(ISBLANK('Data Entry'!$½$435), "", 'Data Entry'!$½$435)</f>
      </c>
      <c r="DV435">
        <f>IF(ISBLANK('Data Entry'!$¾$435), "", 'Data Entry'!$¾$435)</f>
      </c>
      <c r="DW435">
        <f>IF(ISBLANK('Data Entry'!$¿$435), "", 'Data Entry'!$¿$435)</f>
      </c>
      <c r="DX435">
        <f>IF(ISBLANK('Data Entry'!$À$435), "", 'Data Entry'!$À$435)</f>
      </c>
      <c r="DY435">
        <f>IF(ISBLANK('Data Entry'!$Á$435), "", 'Data Entry'!$Á$435)</f>
      </c>
      <c r="DZ435">
        <f>IF(ISBLANK('Data Entry'!$Â$435), "", 'Data Entry'!$Â$435)</f>
      </c>
      <c r="EA435">
        <f>IF(ISBLANK('Data Entry'!$Ã$435), "", 'Data Entry'!$Ã$435)</f>
      </c>
      <c r="EB435">
        <f>IF(ISBLANK('Data Entry'!$Ä$435), "", 'Data Entry'!$Ä$435)</f>
      </c>
      <c r="EC435">
        <f>IF(ISBLANK('Data Entry'!$Å$435), "", 'Data Entry'!$Å$435)</f>
      </c>
      <c r="ED435">
        <f>IF(ISBLANK('Data Entry'!$Æ$435), "", 'Data Entry'!$Æ$435)</f>
      </c>
      <c r="EE435">
        <f>IF(ISBLANK('Data Entry'!$Ç$435), "", 'Data Entry'!$Ç$435)</f>
      </c>
      <c r="EF435">
        <f>IF(ISBLANK('Data Entry'!$È$435), "", 'Data Entry'!$È$435)</f>
      </c>
      <c r="EG435">
        <f>IF(ISBLANK('Data Entry'!$É$435), "", 'Data Entry'!$É$435)</f>
      </c>
      <c r="EH435">
        <f>IF(ISBLANK('Data Entry'!$Ê$435), "", 'Data Entry'!$Ê$435)</f>
      </c>
      <c r="EI435">
        <f>IF(ISBLANK('Data Entry'!$Ë$435), "", 'Data Entry'!$Ë$435)</f>
      </c>
      <c r="EJ435">
        <f>IF(ISBLANK('Data Entry'!$Ì$435), "", 'Data Entry'!$Ì$435)</f>
      </c>
      <c r="EK435">
        <f>IF(ISBLANK('Data Entry'!$Í$435), "", 'Data Entry'!$Í$435)</f>
      </c>
      <c r="EL435">
        <f>IF(ISBLANK('Data Entry'!$Î$435), "", 'Data Entry'!$Î$435)</f>
      </c>
      <c r="EM435">
        <f>IF(ISBLANK('Data Entry'!$Ï$435), "", 'Data Entry'!$Ï$435)</f>
      </c>
      <c r="EN435">
        <f>IF(ISBLANK('Data Entry'!$Ð$435), "", 'Data Entry'!$Ð$435)</f>
      </c>
      <c r="EO435">
        <f>IF(ISBLANK('Data Entry'!$Ñ$435), "", 'Data Entry'!$Ñ$435)</f>
      </c>
      <c r="EP435">
        <f>IF(ISBLANK('Data Entry'!$Ò$435), "", 'Data Entry'!$Ò$435)</f>
      </c>
      <c r="EQ435">
        <f>IF(ISBLANK('Data Entry'!$Ó$435), "", 'Data Entry'!$Ó$435)</f>
      </c>
      <c r="ER435">
        <f>IF(ISBLANK('Data Entry'!$Ô$435), "", 'Data Entry'!$Ô$435)</f>
      </c>
      <c r="ES435">
        <f>IF(ISBLANK('Data Entry'!$Õ$435), "", 'Data Entry'!$Õ$435)</f>
      </c>
      <c r="ET435">
        <f>IF(ISBLANK('Data Entry'!$Ö$435), "", 'Data Entry'!$Ö$435)</f>
      </c>
      <c r="EU435">
        <f>IF(ISBLANK('Data Entry'!$×$435), "", 'Data Entry'!$×$435)</f>
      </c>
      <c r="EV435">
        <f>IF(ISBLANK('Data Entry'!$Ø$435), "", 'Data Entry'!$Ø$435)</f>
      </c>
      <c r="EW435">
        <f>IF(ISBLANK('Data Entry'!$Ù$435), "", 'Data Entry'!$Ù$435)</f>
      </c>
      <c r="EX435">
        <f>IF(ISBLANK('Data Entry'!$Ú$435), "", 'Data Entry'!$Ú$435)</f>
      </c>
      <c r="EY435">
        <f>IF(ISBLANK('Data Entry'!$Û$435), "", 'Data Entry'!$Û$435)</f>
      </c>
      <c r="EZ435">
        <f>IF(ISBLANK('Data Entry'!$Ü$435), "", 'Data Entry'!$Ü$435)</f>
      </c>
      <c r="FA435">
        <f>IF(ISBLANK('Data Entry'!$Ý$435), "", 'Data Entry'!$Ý$435)</f>
      </c>
      <c r="FB435">
        <f>IF(ISBLANK('Data Entry'!$Þ$435), "", 'Data Entry'!$Þ$435)</f>
      </c>
      <c r="FC435">
        <f>IF(ISBLANK('Data Entry'!$ß$435), "", 'Data Entry'!$ß$435)</f>
      </c>
      <c r="FD435">
        <f>IF(ISBLANK('Data Entry'!$à$435), "", 'Data Entry'!$à$435)</f>
      </c>
      <c r="FE435">
        <f>IF(ISBLANK('Data Entry'!$á$435), "", 'Data Entry'!$á$435)</f>
      </c>
      <c r="FF435">
        <f>IF(ISBLANK('Data Entry'!$â$435), "", 'Data Entry'!$â$435)</f>
      </c>
      <c r="FG435">
        <f>IF(ISBLANK('Data Entry'!$ã$435), "", 'Data Entry'!$ã$435)</f>
      </c>
      <c r="FH435">
        <f>IF(ISBLANK('Data Entry'!$ä$435), "", 'Data Entry'!$ä$435)</f>
      </c>
      <c r="FI435">
        <f>IF(ISBLANK('Data Entry'!$å$435), "", 'Data Entry'!$å$435)</f>
      </c>
      <c r="FJ435">
        <f>IF(ISBLANK('Data Entry'!$æ$435), "", 'Data Entry'!$æ$435)</f>
      </c>
      <c r="FK435">
        <f>IF(ISBLANK('Data Entry'!$ç$435), "", 'Data Entry'!$ç$435)</f>
      </c>
      <c r="FL435">
        <f>IF(ISBLANK('Data Entry'!$è$435), "", 'Data Entry'!$è$435)</f>
      </c>
      <c r="FM435">
        <f>IF(ISBLANK('Data Entry'!$é$435), "", 'Data Entry'!$é$435)</f>
      </c>
      <c r="FN435">
        <f>IF(ISBLANK('Data Entry'!$ê$435), "", 'Data Entry'!$ê$435)</f>
      </c>
      <c r="FO435">
        <f>IF(ISBLANK('Data Entry'!$ë$435), "", 'Data Entry'!$ë$435)</f>
      </c>
      <c r="FP435">
        <f>IF(ISBLANK('Data Entry'!$ì$435), "", 'Data Entry'!$ì$435)</f>
      </c>
      <c r="FQ435">
        <f>IF(ISBLANK('Data Entry'!$í$435), "", 'Data Entry'!$í$435)</f>
      </c>
      <c r="FR435">
        <f>IF(ISBLANK('Data Entry'!$î$435), "", 'Data Entry'!$î$435)</f>
      </c>
      <c r="FS435">
        <f>IF(ISBLANK('Data Entry'!$ï$435), "", 'Data Entry'!$ï$435)</f>
      </c>
      <c r="FT435">
        <f>IF(ISBLANK('Data Entry'!$ð$435), "", 'Data Entry'!$ð$435)</f>
      </c>
      <c r="FU435">
        <f>IF(ISBLANK('Data Entry'!$ñ$435), "", 'Data Entry'!$ñ$435)</f>
      </c>
      <c r="FV435">
        <f>IF(ISBLANK('Data Entry'!$ò$435), "", 'Data Entry'!$ò$435)</f>
      </c>
      <c r="FW435">
        <f>IF(ISBLANK('Data Entry'!$ó$435), "", 'Data Entry'!$ó$435)</f>
      </c>
      <c r="FX435">
        <f>IF(ISBLANK('Data Entry'!$ô$435), "", 'Data Entry'!$ô$435)</f>
      </c>
      <c r="FY435">
        <f>IF(ISBLANK('Data Entry'!$õ$435), "", 'Data Entry'!$õ$435)</f>
      </c>
      <c r="FZ435">
        <f>IF(ISBLANK('Data Entry'!$ö$435), "", 'Data Entry'!$ö$435)</f>
      </c>
      <c r="GA435">
        <f>IF(ISBLANK('Data Entry'!$÷$435), "", 'Data Entry'!$÷$435)</f>
      </c>
      <c r="GB435">
        <f>IF(ISBLANK('Data Entry'!$ø$435), "", 'Data Entry'!$ø$435)</f>
      </c>
      <c r="GC435">
        <f>IF(ISBLANK('Data Entry'!$ù$435), "", 'Data Entry'!$ù$435)</f>
      </c>
      <c r="GD435">
        <f>IF(ISBLANK('Data Entry'!$ú$435), "", 'Data Entry'!$ú$435)</f>
      </c>
      <c r="GE435">
        <f>IF(ISBLANK('Data Entry'!$û$435), "", 'Data Entry'!$û$435)</f>
      </c>
      <c r="GF435">
        <f>IF(ISBLANK('Data Entry'!$ü$435), "", 'Data Entry'!$ü$435)</f>
      </c>
      <c r="GG435">
        <f>IF(ISBLANK('Data Entry'!$ý$435), "", 'Data Entry'!$ý$435)</f>
      </c>
      <c r="GH435">
        <f>IF(ISBLANK('Data Entry'!$þ$435), "", 'Data Entry'!$þ$435)</f>
      </c>
      <c r="GI435">
        <f>IF(ISBLANK('Data Entry'!$ÿ$435), "", 'Data Entry'!$ÿ$435)</f>
      </c>
      <c r="GJ435">
        <f>IF(ISBLANK('Data Entry'!$Ā$435), "", 'Data Entry'!$Ā$435)</f>
      </c>
      <c r="GK435">
        <f>IF(ISBLANK('Data Entry'!$ā$435), "", 'Data Entry'!$ā$435)</f>
      </c>
      <c r="GL435">
        <f>IF(ISBLANK('Data Entry'!$Ă$435), "", 'Data Entry'!$Ă$435)</f>
      </c>
      <c r="GM435">
        <f>IF(ISBLANK('Data Entry'!$ă$435), "", 'Data Entry'!$ă$435)</f>
      </c>
      <c r="GN435">
        <f>IF(ISBLANK('Data Entry'!$Ą$435), "", 'Data Entry'!$Ą$435)</f>
      </c>
      <c r="GO435">
        <f>IF(ISBLANK('Data Entry'!$ą$435), "", 'Data Entry'!$ą$435)</f>
      </c>
      <c r="GP435">
        <f>IF(ISBLANK('Data Entry'!$Ć$435), "", 'Data Entry'!$Ć$435)</f>
      </c>
      <c r="GQ435">
        <f>IF(ISBLANK('Data Entry'!$ć$435), "", 'Data Entry'!$ć$435)</f>
      </c>
      <c r="GR435">
        <f>IF(ISBLANK('Data Entry'!$Ĉ$435), "", 'Data Entry'!$Ĉ$435)</f>
      </c>
      <c r="GS435">
        <f>IF(ISBLANK('Data Entry'!$ĉ$435), "", 'Data Entry'!$ĉ$435)</f>
      </c>
      <c r="GT435">
        <f>IF(ISBLANK('Data Entry'!$Ċ$435), "", 'Data Entry'!$Ċ$435)</f>
      </c>
      <c r="GU435">
        <f>IF(ISBLANK('Data Entry'!$ċ$435), "", 'Data Entry'!$ċ$435)</f>
      </c>
      <c r="GV435">
        <f>IF(ISBLANK('Data Entry'!$Č$435), "", 'Data Entry'!$Č$435)</f>
      </c>
      <c r="GW435">
        <f>IF(ISBLANK('Data Entry'!$č$435), "", 'Data Entry'!$č$435)</f>
      </c>
      <c r="GX435">
        <f>IF(ISBLANK('Data Entry'!$Ď$435), "", 'Data Entry'!$Ď$435)</f>
      </c>
      <c r="GY435">
        <f>IF(ISBLANK('Data Entry'!$ď$435), "", 'Data Entry'!$ď$435)</f>
      </c>
      <c r="GZ435">
        <f>IF(ISBLANK('Data Entry'!$Đ$435), "", 'Data Entry'!$Đ$435)</f>
      </c>
      <c r="HA435">
        <f>IF(ISBLANK('Data Entry'!$đ$435), "", 'Data Entry'!$đ$435)</f>
      </c>
      <c r="HB435">
        <f>IF(ISBLANK('Data Entry'!$Ē$435), "", 'Data Entry'!$Ē$435)</f>
      </c>
      <c r="HC435">
        <f>IF(ISBLANK('Data Entry'!$ē$435), "", 'Data Entry'!$ē$435)</f>
      </c>
      <c r="HD435">
        <f>IF(ISBLANK('Data Entry'!$Ĕ$435), "", 'Data Entry'!$Ĕ$435)</f>
      </c>
      <c r="HE435">
        <f>IF(ISBLANK('Data Entry'!$ĕ$435), "", 'Data Entry'!$ĕ$435)</f>
      </c>
      <c r="HF435">
        <f>IF(ISBLANK('Data Entry'!$Ė$435), "", 'Data Entry'!$Ė$435)</f>
      </c>
      <c r="HG435">
        <f>IF(ISBLANK('Data Entry'!$ė$435), "", 'Data Entry'!$ė$435)</f>
      </c>
      <c r="HH435">
        <f>IF(ISBLANK('Data Entry'!$Ę$435), "", 'Data Entry'!$Ę$435)</f>
      </c>
      <c r="HI435">
        <f>IF(ISBLANK('Data Entry'!$ę$435), "", 'Data Entry'!$ę$435)</f>
      </c>
      <c r="HJ435">
        <f>IF(ISBLANK('Data Entry'!$Ě$435), "", 'Data Entry'!$Ě$435)</f>
      </c>
      <c r="HK435">
        <f>IF(ISBLANK('Data Entry'!$ě$435), "", 'Data Entry'!$ě$435)</f>
      </c>
      <c r="HL435">
        <f>IF(ISBLANK('Data Entry'!$Ĝ$435), "", 'Data Entry'!$Ĝ$435)</f>
      </c>
      <c r="HM435">
        <f>IF(ISBLANK('Data Entry'!$ĝ$435), "", 'Data Entry'!$ĝ$435)</f>
      </c>
      <c r="HN435">
        <f>IF(ISBLANK('Data Entry'!$Ğ$435), "", 'Data Entry'!$Ğ$435)</f>
      </c>
      <c r="HO435">
        <f>IF(ISBLANK('Data Entry'!$ğ$435), "", 'Data Entry'!$ğ$435)</f>
      </c>
      <c r="HP435">
        <f>IF(ISBLANK('Data Entry'!$Ġ$435), "", 'Data Entry'!$Ġ$435)</f>
      </c>
      <c r="HQ435">
        <f>IF(ISBLANK('Data Entry'!$ġ$435), "", 'Data Entry'!$ġ$435)</f>
      </c>
      <c r="HR435">
        <f>IF(ISBLANK('Data Entry'!$Ģ$435), "", 'Data Entry'!$Ģ$435)</f>
      </c>
      <c r="HS435">
        <f>IF(ISBLANK('Data Entry'!$ģ$435), "", 'Data Entry'!$ģ$435)</f>
      </c>
      <c r="HT435">
        <f>IF(ISBLANK('Data Entry'!$Ĥ$435), "", 'Data Entry'!$Ĥ$435)</f>
      </c>
      <c r="HU435">
        <f>IF(ISBLANK('Data Entry'!$ĥ$435), "", 'Data Entry'!$ĥ$435)</f>
      </c>
      <c r="HV435">
        <f>IF(ISBLANK('Data Entry'!$Ħ$435), "", 'Data Entry'!$Ħ$435)</f>
      </c>
      <c r="HW435">
        <f>IF(ISBLANK('Data Entry'!$ħ$435), "", 'Data Entry'!$ħ$435)</f>
      </c>
      <c r="HX435">
        <f>IF(ISBLANK('Data Entry'!$Ĩ$435), "", 'Data Entry'!$Ĩ$435)</f>
      </c>
      <c r="HY435">
        <f>IF(ISBLANK('Data Entry'!$ĩ$435), "", 'Data Entry'!$ĩ$435)</f>
      </c>
      <c r="HZ435">
        <f>IF(ISBLANK('Data Entry'!$Ī$435), "", 'Data Entry'!$Ī$435)</f>
      </c>
      <c r="IA435">
        <f>IF(ISBLANK('Data Entry'!$ī$435), "", 'Data Entry'!$ī$435)</f>
      </c>
      <c r="IB435">
        <f>IF(ISBLANK('Data Entry'!$Ĭ$435), "", 'Data Entry'!$Ĭ$435)</f>
      </c>
      <c r="IC435">
        <f>IF(ISBLANK('Data Entry'!$ĭ$435), "", 'Data Entry'!$ĭ$435)</f>
      </c>
      <c r="ID435">
        <f>IF(ISBLANK('Data Entry'!$Į$435), "", 'Data Entry'!$Į$435)</f>
      </c>
      <c r="IE435">
        <f>IF(ISBLANK('Data Entry'!$į$435), "", 'Data Entry'!$į$435)</f>
      </c>
      <c r="IF435">
        <f>IF(ISBLANK('Data Entry'!$İ$435), "", 'Data Entry'!$İ$435)</f>
      </c>
      <c r="IG435">
        <f>IF(ISBLANK('Data Entry'!$ı$435), "", 'Data Entry'!$ı$435)</f>
      </c>
      <c r="IH435">
        <f>IF(ISBLANK('Data Entry'!$Ĳ$435), "", 'Data Entry'!$Ĳ$435)</f>
      </c>
      <c r="II435">
        <f>IF(ISBLANK('Data Entry'!$ĳ$435), "", 'Data Entry'!$ĳ$435)</f>
      </c>
      <c r="IJ435">
        <f>IF(ISBLANK('Data Entry'!$Ĵ$435), "", 'Data Entry'!$Ĵ$435)</f>
      </c>
      <c r="IK435">
        <f>IF(ISBLANK('Data Entry'!$ĵ$435), "", 'Data Entry'!$ĵ$435)</f>
      </c>
      <c r="IL435">
        <f>IF(ISBLANK('Data Entry'!$Ķ$435), "", 'Data Entry'!$Ķ$435)</f>
      </c>
      <c r="IM435">
        <f>IF(ISBLANK('Data Entry'!$ķ$435), "", 'Data Entry'!$ķ$435)</f>
      </c>
      <c r="IN435">
        <f>IF(ISBLANK('Data Entry'!$ĸ$435), "", 'Data Entry'!$ĸ$435)</f>
      </c>
      <c r="IO435">
        <f>IF(ISBLANK('Data Entry'!$Ĺ$435), "", 'Data Entry'!$Ĺ$435)</f>
      </c>
      <c r="IP435">
        <f>IF(ISBLANK('Data Entry'!$ĺ$435), "", 'Data Entry'!$ĺ$435)</f>
      </c>
      <c r="IQ435">
        <f>IF(ISBLANK('Data Entry'!$Ļ$435), "", 'Data Entry'!$Ļ$435)</f>
      </c>
      <c r="IR435">
        <f>IF(ISBLANK('Data Entry'!$ļ$435), "", 'Data Entry'!$ļ$435)</f>
      </c>
      <c r="IS435">
        <f>IF(ISBLANK('Data Entry'!$Ľ$435), "", 'Data Entry'!$Ľ$435)</f>
      </c>
      <c r="IT435">
        <f>IF(ISBLANK('Data Entry'!$ľ$435), "", 'Data Entry'!$ľ$435)</f>
      </c>
    </row>
    <row r="436" spans="1:254" x14ac:dyDescent="0.25">
      <c r="A436">
        <f>IF(ISBLANK('Data Entry'!$A$436), "", 'Data Entry'!$A$436)</f>
      </c>
      <c r="B436">
        <f>IF(ISBLANK('Data Entry'!$B$436), "", 'Data Entry'!$B$436)</f>
      </c>
      <c r="C436">
        <f>IF(ISBLANK('Data Entry'!$C$436), "", 'Data Entry'!$C$436)</f>
      </c>
      <c r="D436">
        <f>IF(ISBLANK('Data Entry'!$D$436), "", 'Data Entry'!$D$436)</f>
      </c>
      <c r="E436">
        <f>IF(ISBLANK('Data Entry'!$E$436), "", 'Data Entry'!$E$436)</f>
      </c>
      <c r="F436">
        <f>IF(ISBLANK('Data Entry'!$F$436), "", 'Data Entry'!$F$436)</f>
      </c>
      <c r="G436">
        <f>IF(ISBLANK('Data Entry'!$G$436), "", 'Data Entry'!$G$436)</f>
      </c>
      <c r="H436">
        <f>IF(ISBLANK('Data Entry'!$H$436), "", 'Data Entry'!$H$436)</f>
      </c>
      <c r="I436">
        <f>IF(ISBLANK('Data Entry'!$I$436), "", 'Data Entry'!$I$436)</f>
      </c>
      <c r="J436">
        <f>IF(ISBLANK('Data Entry'!$J$436), "", 'Data Entry'!$J$436)</f>
      </c>
      <c r="K436">
        <f>IF(ISBLANK('Data Entry'!$K$436), "", 'Data Entry'!$K$436)</f>
      </c>
      <c r="L436">
        <f>IF(ISBLANK('Data Entry'!$L$436), "", 'Data Entry'!$L$436)</f>
      </c>
      <c r="M436">
        <f>IF(ISBLANK('Data Entry'!$M$436), "", 'Data Entry'!$M$436)</f>
      </c>
      <c r="N436">
        <f>IF(ISBLANK('Data Entry'!$N$436), "", 'Data Entry'!$N$436)</f>
      </c>
      <c r="O436">
        <f>IF(ISBLANK('Data Entry'!$O$436), "", 'Data Entry'!$O$436)</f>
      </c>
      <c r="P436">
        <f>IF(ISBLANK('Data Entry'!$P$436), "", 'Data Entry'!$P$436)</f>
      </c>
      <c r="Q436">
        <f>IF(ISBLANK('Data Entry'!$Q$436), "", 'Data Entry'!$Q$436)</f>
      </c>
      <c r="R436">
        <f>IF(ISBLANK('Data Entry'!$R$436), "", 'Data Entry'!$R$436)</f>
      </c>
      <c r="S436">
        <f>IF(ISBLANK('Data Entry'!$S$436), "", 'Data Entry'!$S$436)</f>
      </c>
      <c r="T436">
        <f>IF(ISBLANK('Data Entry'!$T$436), "", 'Data Entry'!$T$436)</f>
      </c>
      <c r="U436">
        <f>IF(ISBLANK('Data Entry'!$U$436), "", 'Data Entry'!$U$436)</f>
      </c>
      <c r="V436">
        <f>IF(ISBLANK('Data Entry'!$V$436), "", 'Data Entry'!$V$436)</f>
      </c>
      <c r="W436">
        <f>IF(ISBLANK('Data Entry'!$W$436), "", 'Data Entry'!$W$436)</f>
      </c>
      <c r="X436">
        <f>IF(ISBLANK('Data Entry'!$X$436), "", 'Data Entry'!$X$436)</f>
      </c>
      <c r="Y436">
        <f>IF(ISBLANK('Data Entry'!$Y$436), "", 'Data Entry'!$Y$436)</f>
      </c>
      <c r="Z436">
        <f>IF(ISBLANK('Data Entry'!$Z$436), "", 'Data Entry'!$Z$436)</f>
      </c>
      <c r="AA436">
        <f>IF(ISBLANK('Data Entry'!$[$436), "", 'Data Entry'!$[$436)</f>
      </c>
      <c r="AB436">
        <f>IF(ISBLANK('Data Entry'!$\$436), "", 'Data Entry'!$\$436)</f>
      </c>
      <c r="AC436">
        <f>IF(ISBLANK('Data Entry'!$]$436), "", 'Data Entry'!$]$436)</f>
      </c>
      <c r="AD436">
        <f>IF(ISBLANK('Data Entry'!$^$436), "", 'Data Entry'!$^$436)</f>
      </c>
      <c r="AE436">
        <f>IF(ISBLANK('Data Entry'!$_$436), "", 'Data Entry'!$_$436)</f>
      </c>
      <c r="AF436">
        <f>IF(ISBLANK('Data Entry'!$`$436), "", 'Data Entry'!$`$436)</f>
      </c>
      <c r="AG436">
        <f>IF(ISBLANK('Data Entry'!$a$436), "", 'Data Entry'!$a$436)</f>
      </c>
      <c r="AH436">
        <f>IF(ISBLANK('Data Entry'!$b$436), "", 'Data Entry'!$b$436)</f>
      </c>
      <c r="AI436">
        <f>IF(ISBLANK('Data Entry'!$c$436), "", 'Data Entry'!$c$436)</f>
      </c>
      <c r="AJ436">
        <f>IF(ISBLANK('Data Entry'!$d$436), "", 'Data Entry'!$d$436)</f>
      </c>
      <c r="AK436">
        <f>IF(ISBLANK('Data Entry'!$e$436), "", 'Data Entry'!$e$436)</f>
      </c>
      <c r="AL436">
        <f>IF(ISBLANK('Data Entry'!$f$436), "", 'Data Entry'!$f$436)</f>
      </c>
      <c r="AM436">
        <f>IF(ISBLANK('Data Entry'!$g$436), "", 'Data Entry'!$g$436)</f>
      </c>
      <c r="AN436">
        <f>IF(ISBLANK('Data Entry'!$h$436), "", 'Data Entry'!$h$436)</f>
      </c>
      <c r="AO436">
        <f>IF(ISBLANK('Data Entry'!$i$436), "", 'Data Entry'!$i$436)</f>
      </c>
      <c r="AP436">
        <f>IF(ISBLANK('Data Entry'!$j$436), "", 'Data Entry'!$j$436)</f>
      </c>
      <c r="AQ436">
        <f>IF(ISBLANK('Data Entry'!$k$436), "", 'Data Entry'!$k$436)</f>
      </c>
      <c r="AR436">
        <f>IF(ISBLANK('Data Entry'!$l$436), "", 'Data Entry'!$l$436)</f>
      </c>
      <c r="AS436">
        <f>IF(ISBLANK('Data Entry'!$m$436), "", 'Data Entry'!$m$436)</f>
      </c>
      <c r="AT436">
        <f>IF(ISBLANK('Data Entry'!$n$436), "", 'Data Entry'!$n$436)</f>
      </c>
      <c r="AU436">
        <f>IF(ISBLANK('Data Entry'!$o$436), "", 'Data Entry'!$o$436)</f>
      </c>
      <c r="AV436">
        <f>IF(ISBLANK('Data Entry'!$p$436), "", 'Data Entry'!$p$436)</f>
      </c>
      <c r="AW436">
        <f>IF(ISBLANK('Data Entry'!$q$436), "", 'Data Entry'!$q$436)</f>
      </c>
      <c r="AX436">
        <f>IF(ISBLANK('Data Entry'!$r$436), "", 'Data Entry'!$r$436)</f>
      </c>
      <c r="AY436">
        <f>IF(ISBLANK('Data Entry'!$s$436), "", 'Data Entry'!$s$436)</f>
      </c>
      <c r="AZ436">
        <f>IF(ISBLANK('Data Entry'!$t$436), "", 'Data Entry'!$t$436)</f>
      </c>
      <c r="BA436">
        <f>IF(ISBLANK('Data Entry'!$u$436), "", 'Data Entry'!$u$436)</f>
      </c>
      <c r="BB436">
        <f>IF(ISBLANK('Data Entry'!$v$436), "", 'Data Entry'!$v$436)</f>
      </c>
      <c r="BC436">
        <f>IF(ISBLANK('Data Entry'!$w$436), "", 'Data Entry'!$w$436)</f>
      </c>
      <c r="BD436">
        <f>IF(ISBLANK('Data Entry'!$x$436), "", 'Data Entry'!$x$436)</f>
      </c>
      <c r="BE436">
        <f>IF(ISBLANK('Data Entry'!$y$436), "", 'Data Entry'!$y$436)</f>
      </c>
      <c r="BF436">
        <f>IF(ISBLANK('Data Entry'!$z$436), "", 'Data Entry'!$z$436)</f>
      </c>
      <c r="BG436">
        <f>IF(ISBLANK('Data Entry'!${$436), "", 'Data Entry'!${$436)</f>
      </c>
      <c r="BH436">
        <f>IF(ISBLANK('Data Entry'!$|$436), "", 'Data Entry'!$|$436)</f>
      </c>
      <c r="BI436">
        <f>IF(ISBLANK('Data Entry'!$}$436), "", 'Data Entry'!$}$436)</f>
      </c>
      <c r="BJ436">
        <f>IF(ISBLANK('Data Entry'!$~$436), "", 'Data Entry'!$~$436)</f>
      </c>
      <c r="BK436">
        <f>IF(ISBLANK('Data Entry'!$$436), "", 'Data Entry'!$$436)</f>
      </c>
      <c r="BL436">
        <f>IF(ISBLANK('Data Entry'!$$436), "", 'Data Entry'!$$436)</f>
      </c>
      <c r="BM436">
        <f>IF(ISBLANK('Data Entry'!$$436), "", 'Data Entry'!$$436)</f>
      </c>
      <c r="BN436">
        <f>IF(ISBLANK('Data Entry'!$$436), "", 'Data Entry'!$$436)</f>
      </c>
      <c r="BO436">
        <f>IF(ISBLANK('Data Entry'!$$436), "", 'Data Entry'!$$436)</f>
      </c>
      <c r="BP436">
        <f>IF(ISBLANK('Data Entry'!$$436), "", 'Data Entry'!$$436)</f>
      </c>
      <c r="BQ436">
        <f>IF(ISBLANK('Data Entry'!$$436), "", 'Data Entry'!$$436)</f>
      </c>
      <c r="BR436">
        <f>IF(ISBLANK('Data Entry'!$$436), "", 'Data Entry'!$$436)</f>
      </c>
      <c r="BS436">
        <f>IF(ISBLANK('Data Entry'!$$436), "", 'Data Entry'!$$436)</f>
      </c>
      <c r="BT436">
        <f>IF(ISBLANK('Data Entry'!$$436), "", 'Data Entry'!$$436)</f>
      </c>
      <c r="BU436">
        <f>IF(ISBLANK('Data Entry'!$$436), "", 'Data Entry'!$$436)</f>
      </c>
      <c r="BV436">
        <f>IF(ISBLANK('Data Entry'!$$436), "", 'Data Entry'!$$436)</f>
      </c>
      <c r="BW436">
        <f>IF(ISBLANK('Data Entry'!$$436), "", 'Data Entry'!$$436)</f>
      </c>
      <c r="BX436">
        <f>IF(ISBLANK('Data Entry'!$$436), "", 'Data Entry'!$$436)</f>
      </c>
      <c r="BY436">
        <f>IF(ISBLANK('Data Entry'!$$436), "", 'Data Entry'!$$436)</f>
      </c>
      <c r="BZ436">
        <f>IF(ISBLANK('Data Entry'!$$436), "", 'Data Entry'!$$436)</f>
      </c>
      <c r="CA436">
        <f>IF(ISBLANK('Data Entry'!$$436), "", 'Data Entry'!$$436)</f>
      </c>
      <c r="CB436">
        <f>IF(ISBLANK('Data Entry'!$$436), "", 'Data Entry'!$$436)</f>
      </c>
      <c r="CC436">
        <f>IF(ISBLANK('Data Entry'!$$436), "", 'Data Entry'!$$436)</f>
      </c>
      <c r="CD436">
        <f>IF(ISBLANK('Data Entry'!$$436), "", 'Data Entry'!$$436)</f>
      </c>
      <c r="CE436">
        <f>IF(ISBLANK('Data Entry'!$$436), "", 'Data Entry'!$$436)</f>
      </c>
      <c r="CF436">
        <f>IF(ISBLANK('Data Entry'!$$436), "", 'Data Entry'!$$436)</f>
      </c>
      <c r="CG436">
        <f>IF(ISBLANK('Data Entry'!$$436), "", 'Data Entry'!$$436)</f>
      </c>
      <c r="CH436">
        <f>IF(ISBLANK('Data Entry'!$$436), "", 'Data Entry'!$$436)</f>
      </c>
      <c r="CI436">
        <f>IF(ISBLANK('Data Entry'!$$436), "", 'Data Entry'!$$436)</f>
      </c>
      <c r="CJ436">
        <f>IF(ISBLANK('Data Entry'!$$436), "", 'Data Entry'!$$436)</f>
      </c>
      <c r="CK436">
        <f>IF(ISBLANK('Data Entry'!$$436), "", 'Data Entry'!$$436)</f>
      </c>
      <c r="CL436">
        <f>IF(ISBLANK('Data Entry'!$$436), "", 'Data Entry'!$$436)</f>
      </c>
      <c r="CM436">
        <f>IF(ISBLANK('Data Entry'!$$436), "", 'Data Entry'!$$436)</f>
      </c>
      <c r="CN436">
        <f>IF(ISBLANK('Data Entry'!$$436), "", 'Data Entry'!$$436)</f>
      </c>
      <c r="CO436">
        <f>IF(ISBLANK('Data Entry'!$$436), "", 'Data Entry'!$$436)</f>
      </c>
      <c r="CP436">
        <f>IF(ISBLANK('Data Entry'!$$436), "", 'Data Entry'!$$436)</f>
      </c>
      <c r="CQ436">
        <f>IF(ISBLANK('Data Entry'!$$436), "", 'Data Entry'!$$436)</f>
      </c>
      <c r="CR436">
        <f>IF(ISBLANK('Data Entry'!$ $436), "", 'Data Entry'!$ $436)</f>
      </c>
      <c r="CS436">
        <f>IF(ISBLANK('Data Entry'!$¡$436), "", 'Data Entry'!$¡$436)</f>
      </c>
      <c r="CT436">
        <f>IF(ISBLANK('Data Entry'!$¢$436), "", 'Data Entry'!$¢$436)</f>
      </c>
      <c r="CU436">
        <f>IF(ISBLANK('Data Entry'!$£$436), "", 'Data Entry'!$£$436)</f>
      </c>
      <c r="CV436">
        <f>IF(ISBLANK('Data Entry'!$¤$436), "", 'Data Entry'!$¤$436)</f>
      </c>
      <c r="CW436">
        <f>IF(ISBLANK('Data Entry'!$¥$436), "", 'Data Entry'!$¥$436)</f>
      </c>
      <c r="CX436">
        <f>IF(ISBLANK('Data Entry'!$¦$436), "", 'Data Entry'!$¦$436)</f>
      </c>
      <c r="CY436">
        <f>IF(ISBLANK('Data Entry'!$§$436), "", 'Data Entry'!$§$436)</f>
      </c>
      <c r="CZ436">
        <f>IF(ISBLANK('Data Entry'!$¨$436), "", 'Data Entry'!$¨$436)</f>
      </c>
      <c r="DA436">
        <f>IF(ISBLANK('Data Entry'!$©$436), "", 'Data Entry'!$©$436)</f>
      </c>
      <c r="DB436">
        <f>IF(ISBLANK('Data Entry'!$ª$436), "", 'Data Entry'!$ª$436)</f>
      </c>
      <c r="DC436">
        <f>IF(ISBLANK('Data Entry'!$«$436), "", 'Data Entry'!$«$436)</f>
      </c>
      <c r="DD436">
        <f>IF(ISBLANK('Data Entry'!$¬$436), "", 'Data Entry'!$¬$436)</f>
      </c>
      <c r="DE436">
        <f>IF(ISBLANK('Data Entry'!$­$436), "", 'Data Entry'!$­$436)</f>
      </c>
      <c r="DF436">
        <f>IF(ISBLANK('Data Entry'!$®$436), "", 'Data Entry'!$®$436)</f>
      </c>
      <c r="DG436">
        <f>IF(ISBLANK('Data Entry'!$¯$436), "", 'Data Entry'!$¯$436)</f>
      </c>
      <c r="DH436">
        <f>IF(ISBLANK('Data Entry'!$°$436), "", 'Data Entry'!$°$436)</f>
      </c>
      <c r="DI436">
        <f>IF(ISBLANK('Data Entry'!$±$436), "", 'Data Entry'!$±$436)</f>
      </c>
      <c r="DJ436">
        <f>IF(ISBLANK('Data Entry'!$²$436), "", 'Data Entry'!$²$436)</f>
      </c>
      <c r="DK436">
        <f>IF(ISBLANK('Data Entry'!$³$436), "", 'Data Entry'!$³$436)</f>
      </c>
      <c r="DL436">
        <f>IF(ISBLANK('Data Entry'!$´$436), "", 'Data Entry'!$´$436)</f>
      </c>
      <c r="DM436">
        <f>IF(ISBLANK('Data Entry'!$µ$436), "", 'Data Entry'!$µ$436)</f>
      </c>
      <c r="DN436">
        <f>IF(ISBLANK('Data Entry'!$¶$436), "", 'Data Entry'!$¶$436)</f>
      </c>
      <c r="DO436">
        <f>IF(ISBLANK('Data Entry'!$·$436), "", 'Data Entry'!$·$436)</f>
      </c>
      <c r="DP436">
        <f>IF(ISBLANK('Data Entry'!$¸$436), "", 'Data Entry'!$¸$436)</f>
      </c>
      <c r="DQ436">
        <f>IF(ISBLANK('Data Entry'!$¹$436), "", 'Data Entry'!$¹$436)</f>
      </c>
      <c r="DR436">
        <f>IF(ISBLANK('Data Entry'!$º$436), "", 'Data Entry'!$º$436)</f>
      </c>
      <c r="DS436">
        <f>IF(ISBLANK('Data Entry'!$»$436), "", 'Data Entry'!$»$436)</f>
      </c>
      <c r="DT436">
        <f>IF(ISBLANK('Data Entry'!$¼$436), "", 'Data Entry'!$¼$436)</f>
      </c>
      <c r="DU436">
        <f>IF(ISBLANK('Data Entry'!$½$436), "", 'Data Entry'!$½$436)</f>
      </c>
      <c r="DV436">
        <f>IF(ISBLANK('Data Entry'!$¾$436), "", 'Data Entry'!$¾$436)</f>
      </c>
      <c r="DW436">
        <f>IF(ISBLANK('Data Entry'!$¿$436), "", 'Data Entry'!$¿$436)</f>
      </c>
      <c r="DX436">
        <f>IF(ISBLANK('Data Entry'!$À$436), "", 'Data Entry'!$À$436)</f>
      </c>
      <c r="DY436">
        <f>IF(ISBLANK('Data Entry'!$Á$436), "", 'Data Entry'!$Á$436)</f>
      </c>
      <c r="DZ436">
        <f>IF(ISBLANK('Data Entry'!$Â$436), "", 'Data Entry'!$Â$436)</f>
      </c>
      <c r="EA436">
        <f>IF(ISBLANK('Data Entry'!$Ã$436), "", 'Data Entry'!$Ã$436)</f>
      </c>
      <c r="EB436">
        <f>IF(ISBLANK('Data Entry'!$Ä$436), "", 'Data Entry'!$Ä$436)</f>
      </c>
      <c r="EC436">
        <f>IF(ISBLANK('Data Entry'!$Å$436), "", 'Data Entry'!$Å$436)</f>
      </c>
      <c r="ED436">
        <f>IF(ISBLANK('Data Entry'!$Æ$436), "", 'Data Entry'!$Æ$436)</f>
      </c>
      <c r="EE436">
        <f>IF(ISBLANK('Data Entry'!$Ç$436), "", 'Data Entry'!$Ç$436)</f>
      </c>
      <c r="EF436">
        <f>IF(ISBLANK('Data Entry'!$È$436), "", 'Data Entry'!$È$436)</f>
      </c>
      <c r="EG436">
        <f>IF(ISBLANK('Data Entry'!$É$436), "", 'Data Entry'!$É$436)</f>
      </c>
      <c r="EH436">
        <f>IF(ISBLANK('Data Entry'!$Ê$436), "", 'Data Entry'!$Ê$436)</f>
      </c>
      <c r="EI436">
        <f>IF(ISBLANK('Data Entry'!$Ë$436), "", 'Data Entry'!$Ë$436)</f>
      </c>
      <c r="EJ436">
        <f>IF(ISBLANK('Data Entry'!$Ì$436), "", 'Data Entry'!$Ì$436)</f>
      </c>
      <c r="EK436">
        <f>IF(ISBLANK('Data Entry'!$Í$436), "", 'Data Entry'!$Í$436)</f>
      </c>
      <c r="EL436">
        <f>IF(ISBLANK('Data Entry'!$Î$436), "", 'Data Entry'!$Î$436)</f>
      </c>
      <c r="EM436">
        <f>IF(ISBLANK('Data Entry'!$Ï$436), "", 'Data Entry'!$Ï$436)</f>
      </c>
      <c r="EN436">
        <f>IF(ISBLANK('Data Entry'!$Ð$436), "", 'Data Entry'!$Ð$436)</f>
      </c>
      <c r="EO436">
        <f>IF(ISBLANK('Data Entry'!$Ñ$436), "", 'Data Entry'!$Ñ$436)</f>
      </c>
      <c r="EP436">
        <f>IF(ISBLANK('Data Entry'!$Ò$436), "", 'Data Entry'!$Ò$436)</f>
      </c>
      <c r="EQ436">
        <f>IF(ISBLANK('Data Entry'!$Ó$436), "", 'Data Entry'!$Ó$436)</f>
      </c>
      <c r="ER436">
        <f>IF(ISBLANK('Data Entry'!$Ô$436), "", 'Data Entry'!$Ô$436)</f>
      </c>
      <c r="ES436">
        <f>IF(ISBLANK('Data Entry'!$Õ$436), "", 'Data Entry'!$Õ$436)</f>
      </c>
      <c r="ET436">
        <f>IF(ISBLANK('Data Entry'!$Ö$436), "", 'Data Entry'!$Ö$436)</f>
      </c>
      <c r="EU436">
        <f>IF(ISBLANK('Data Entry'!$×$436), "", 'Data Entry'!$×$436)</f>
      </c>
      <c r="EV436">
        <f>IF(ISBLANK('Data Entry'!$Ø$436), "", 'Data Entry'!$Ø$436)</f>
      </c>
      <c r="EW436">
        <f>IF(ISBLANK('Data Entry'!$Ù$436), "", 'Data Entry'!$Ù$436)</f>
      </c>
      <c r="EX436">
        <f>IF(ISBLANK('Data Entry'!$Ú$436), "", 'Data Entry'!$Ú$436)</f>
      </c>
      <c r="EY436">
        <f>IF(ISBLANK('Data Entry'!$Û$436), "", 'Data Entry'!$Û$436)</f>
      </c>
      <c r="EZ436">
        <f>IF(ISBLANK('Data Entry'!$Ü$436), "", 'Data Entry'!$Ü$436)</f>
      </c>
      <c r="FA436">
        <f>IF(ISBLANK('Data Entry'!$Ý$436), "", 'Data Entry'!$Ý$436)</f>
      </c>
      <c r="FB436">
        <f>IF(ISBLANK('Data Entry'!$Þ$436), "", 'Data Entry'!$Þ$436)</f>
      </c>
      <c r="FC436">
        <f>IF(ISBLANK('Data Entry'!$ß$436), "", 'Data Entry'!$ß$436)</f>
      </c>
      <c r="FD436">
        <f>IF(ISBLANK('Data Entry'!$à$436), "", 'Data Entry'!$à$436)</f>
      </c>
      <c r="FE436">
        <f>IF(ISBLANK('Data Entry'!$á$436), "", 'Data Entry'!$á$436)</f>
      </c>
      <c r="FF436">
        <f>IF(ISBLANK('Data Entry'!$â$436), "", 'Data Entry'!$â$436)</f>
      </c>
      <c r="FG436">
        <f>IF(ISBLANK('Data Entry'!$ã$436), "", 'Data Entry'!$ã$436)</f>
      </c>
      <c r="FH436">
        <f>IF(ISBLANK('Data Entry'!$ä$436), "", 'Data Entry'!$ä$436)</f>
      </c>
      <c r="FI436">
        <f>IF(ISBLANK('Data Entry'!$å$436), "", 'Data Entry'!$å$436)</f>
      </c>
      <c r="FJ436">
        <f>IF(ISBLANK('Data Entry'!$æ$436), "", 'Data Entry'!$æ$436)</f>
      </c>
      <c r="FK436">
        <f>IF(ISBLANK('Data Entry'!$ç$436), "", 'Data Entry'!$ç$436)</f>
      </c>
      <c r="FL436">
        <f>IF(ISBLANK('Data Entry'!$è$436), "", 'Data Entry'!$è$436)</f>
      </c>
      <c r="FM436">
        <f>IF(ISBLANK('Data Entry'!$é$436), "", 'Data Entry'!$é$436)</f>
      </c>
      <c r="FN436">
        <f>IF(ISBLANK('Data Entry'!$ê$436), "", 'Data Entry'!$ê$436)</f>
      </c>
      <c r="FO436">
        <f>IF(ISBLANK('Data Entry'!$ë$436), "", 'Data Entry'!$ë$436)</f>
      </c>
      <c r="FP436">
        <f>IF(ISBLANK('Data Entry'!$ì$436), "", 'Data Entry'!$ì$436)</f>
      </c>
      <c r="FQ436">
        <f>IF(ISBLANK('Data Entry'!$í$436), "", 'Data Entry'!$í$436)</f>
      </c>
      <c r="FR436">
        <f>IF(ISBLANK('Data Entry'!$î$436), "", 'Data Entry'!$î$436)</f>
      </c>
      <c r="FS436">
        <f>IF(ISBLANK('Data Entry'!$ï$436), "", 'Data Entry'!$ï$436)</f>
      </c>
      <c r="FT436">
        <f>IF(ISBLANK('Data Entry'!$ð$436), "", 'Data Entry'!$ð$436)</f>
      </c>
      <c r="FU436">
        <f>IF(ISBLANK('Data Entry'!$ñ$436), "", 'Data Entry'!$ñ$436)</f>
      </c>
      <c r="FV436">
        <f>IF(ISBLANK('Data Entry'!$ò$436), "", 'Data Entry'!$ò$436)</f>
      </c>
      <c r="FW436">
        <f>IF(ISBLANK('Data Entry'!$ó$436), "", 'Data Entry'!$ó$436)</f>
      </c>
      <c r="FX436">
        <f>IF(ISBLANK('Data Entry'!$ô$436), "", 'Data Entry'!$ô$436)</f>
      </c>
      <c r="FY436">
        <f>IF(ISBLANK('Data Entry'!$õ$436), "", 'Data Entry'!$õ$436)</f>
      </c>
      <c r="FZ436">
        <f>IF(ISBLANK('Data Entry'!$ö$436), "", 'Data Entry'!$ö$436)</f>
      </c>
      <c r="GA436">
        <f>IF(ISBLANK('Data Entry'!$÷$436), "", 'Data Entry'!$÷$436)</f>
      </c>
      <c r="GB436">
        <f>IF(ISBLANK('Data Entry'!$ø$436), "", 'Data Entry'!$ø$436)</f>
      </c>
      <c r="GC436">
        <f>IF(ISBLANK('Data Entry'!$ù$436), "", 'Data Entry'!$ù$436)</f>
      </c>
      <c r="GD436">
        <f>IF(ISBLANK('Data Entry'!$ú$436), "", 'Data Entry'!$ú$436)</f>
      </c>
      <c r="GE436">
        <f>IF(ISBLANK('Data Entry'!$û$436), "", 'Data Entry'!$û$436)</f>
      </c>
      <c r="GF436">
        <f>IF(ISBLANK('Data Entry'!$ü$436), "", 'Data Entry'!$ü$436)</f>
      </c>
      <c r="GG436">
        <f>IF(ISBLANK('Data Entry'!$ý$436), "", 'Data Entry'!$ý$436)</f>
      </c>
      <c r="GH436">
        <f>IF(ISBLANK('Data Entry'!$þ$436), "", 'Data Entry'!$þ$436)</f>
      </c>
      <c r="GI436">
        <f>IF(ISBLANK('Data Entry'!$ÿ$436), "", 'Data Entry'!$ÿ$436)</f>
      </c>
      <c r="GJ436">
        <f>IF(ISBLANK('Data Entry'!$Ā$436), "", 'Data Entry'!$Ā$436)</f>
      </c>
      <c r="GK436">
        <f>IF(ISBLANK('Data Entry'!$ā$436), "", 'Data Entry'!$ā$436)</f>
      </c>
      <c r="GL436">
        <f>IF(ISBLANK('Data Entry'!$Ă$436), "", 'Data Entry'!$Ă$436)</f>
      </c>
      <c r="GM436">
        <f>IF(ISBLANK('Data Entry'!$ă$436), "", 'Data Entry'!$ă$436)</f>
      </c>
      <c r="GN436">
        <f>IF(ISBLANK('Data Entry'!$Ą$436), "", 'Data Entry'!$Ą$436)</f>
      </c>
      <c r="GO436">
        <f>IF(ISBLANK('Data Entry'!$ą$436), "", 'Data Entry'!$ą$436)</f>
      </c>
      <c r="GP436">
        <f>IF(ISBLANK('Data Entry'!$Ć$436), "", 'Data Entry'!$Ć$436)</f>
      </c>
      <c r="GQ436">
        <f>IF(ISBLANK('Data Entry'!$ć$436), "", 'Data Entry'!$ć$436)</f>
      </c>
      <c r="GR436">
        <f>IF(ISBLANK('Data Entry'!$Ĉ$436), "", 'Data Entry'!$Ĉ$436)</f>
      </c>
      <c r="GS436">
        <f>IF(ISBLANK('Data Entry'!$ĉ$436), "", 'Data Entry'!$ĉ$436)</f>
      </c>
      <c r="GT436">
        <f>IF(ISBLANK('Data Entry'!$Ċ$436), "", 'Data Entry'!$Ċ$436)</f>
      </c>
      <c r="GU436">
        <f>IF(ISBLANK('Data Entry'!$ċ$436), "", 'Data Entry'!$ċ$436)</f>
      </c>
      <c r="GV436">
        <f>IF(ISBLANK('Data Entry'!$Č$436), "", 'Data Entry'!$Č$436)</f>
      </c>
      <c r="GW436">
        <f>IF(ISBLANK('Data Entry'!$č$436), "", 'Data Entry'!$č$436)</f>
      </c>
      <c r="GX436">
        <f>IF(ISBLANK('Data Entry'!$Ď$436), "", 'Data Entry'!$Ď$436)</f>
      </c>
      <c r="GY436">
        <f>IF(ISBLANK('Data Entry'!$ď$436), "", 'Data Entry'!$ď$436)</f>
      </c>
      <c r="GZ436">
        <f>IF(ISBLANK('Data Entry'!$Đ$436), "", 'Data Entry'!$Đ$436)</f>
      </c>
      <c r="HA436">
        <f>IF(ISBLANK('Data Entry'!$đ$436), "", 'Data Entry'!$đ$436)</f>
      </c>
      <c r="HB436">
        <f>IF(ISBLANK('Data Entry'!$Ē$436), "", 'Data Entry'!$Ē$436)</f>
      </c>
      <c r="HC436">
        <f>IF(ISBLANK('Data Entry'!$ē$436), "", 'Data Entry'!$ē$436)</f>
      </c>
      <c r="HD436">
        <f>IF(ISBLANK('Data Entry'!$Ĕ$436), "", 'Data Entry'!$Ĕ$436)</f>
      </c>
      <c r="HE436">
        <f>IF(ISBLANK('Data Entry'!$ĕ$436), "", 'Data Entry'!$ĕ$436)</f>
      </c>
      <c r="HF436">
        <f>IF(ISBLANK('Data Entry'!$Ė$436), "", 'Data Entry'!$Ė$436)</f>
      </c>
      <c r="HG436">
        <f>IF(ISBLANK('Data Entry'!$ė$436), "", 'Data Entry'!$ė$436)</f>
      </c>
      <c r="HH436">
        <f>IF(ISBLANK('Data Entry'!$Ę$436), "", 'Data Entry'!$Ę$436)</f>
      </c>
      <c r="HI436">
        <f>IF(ISBLANK('Data Entry'!$ę$436), "", 'Data Entry'!$ę$436)</f>
      </c>
      <c r="HJ436">
        <f>IF(ISBLANK('Data Entry'!$Ě$436), "", 'Data Entry'!$Ě$436)</f>
      </c>
      <c r="HK436">
        <f>IF(ISBLANK('Data Entry'!$ě$436), "", 'Data Entry'!$ě$436)</f>
      </c>
      <c r="HL436">
        <f>IF(ISBLANK('Data Entry'!$Ĝ$436), "", 'Data Entry'!$Ĝ$436)</f>
      </c>
      <c r="HM436">
        <f>IF(ISBLANK('Data Entry'!$ĝ$436), "", 'Data Entry'!$ĝ$436)</f>
      </c>
      <c r="HN436">
        <f>IF(ISBLANK('Data Entry'!$Ğ$436), "", 'Data Entry'!$Ğ$436)</f>
      </c>
      <c r="HO436">
        <f>IF(ISBLANK('Data Entry'!$ğ$436), "", 'Data Entry'!$ğ$436)</f>
      </c>
      <c r="HP436">
        <f>IF(ISBLANK('Data Entry'!$Ġ$436), "", 'Data Entry'!$Ġ$436)</f>
      </c>
      <c r="HQ436">
        <f>IF(ISBLANK('Data Entry'!$ġ$436), "", 'Data Entry'!$ġ$436)</f>
      </c>
      <c r="HR436">
        <f>IF(ISBLANK('Data Entry'!$Ģ$436), "", 'Data Entry'!$Ģ$436)</f>
      </c>
      <c r="HS436">
        <f>IF(ISBLANK('Data Entry'!$ģ$436), "", 'Data Entry'!$ģ$436)</f>
      </c>
      <c r="HT436">
        <f>IF(ISBLANK('Data Entry'!$Ĥ$436), "", 'Data Entry'!$Ĥ$436)</f>
      </c>
      <c r="HU436">
        <f>IF(ISBLANK('Data Entry'!$ĥ$436), "", 'Data Entry'!$ĥ$436)</f>
      </c>
      <c r="HV436">
        <f>IF(ISBLANK('Data Entry'!$Ħ$436), "", 'Data Entry'!$Ħ$436)</f>
      </c>
      <c r="HW436">
        <f>IF(ISBLANK('Data Entry'!$ħ$436), "", 'Data Entry'!$ħ$436)</f>
      </c>
      <c r="HX436">
        <f>IF(ISBLANK('Data Entry'!$Ĩ$436), "", 'Data Entry'!$Ĩ$436)</f>
      </c>
      <c r="HY436">
        <f>IF(ISBLANK('Data Entry'!$ĩ$436), "", 'Data Entry'!$ĩ$436)</f>
      </c>
      <c r="HZ436">
        <f>IF(ISBLANK('Data Entry'!$Ī$436), "", 'Data Entry'!$Ī$436)</f>
      </c>
      <c r="IA436">
        <f>IF(ISBLANK('Data Entry'!$ī$436), "", 'Data Entry'!$ī$436)</f>
      </c>
      <c r="IB436">
        <f>IF(ISBLANK('Data Entry'!$Ĭ$436), "", 'Data Entry'!$Ĭ$436)</f>
      </c>
      <c r="IC436">
        <f>IF(ISBLANK('Data Entry'!$ĭ$436), "", 'Data Entry'!$ĭ$436)</f>
      </c>
      <c r="ID436">
        <f>IF(ISBLANK('Data Entry'!$Į$436), "", 'Data Entry'!$Į$436)</f>
      </c>
      <c r="IE436">
        <f>IF(ISBLANK('Data Entry'!$į$436), "", 'Data Entry'!$į$436)</f>
      </c>
      <c r="IF436">
        <f>IF(ISBLANK('Data Entry'!$İ$436), "", 'Data Entry'!$İ$436)</f>
      </c>
      <c r="IG436">
        <f>IF(ISBLANK('Data Entry'!$ı$436), "", 'Data Entry'!$ı$436)</f>
      </c>
      <c r="IH436">
        <f>IF(ISBLANK('Data Entry'!$Ĳ$436), "", 'Data Entry'!$Ĳ$436)</f>
      </c>
      <c r="II436">
        <f>IF(ISBLANK('Data Entry'!$ĳ$436), "", 'Data Entry'!$ĳ$436)</f>
      </c>
      <c r="IJ436">
        <f>IF(ISBLANK('Data Entry'!$Ĵ$436), "", 'Data Entry'!$Ĵ$436)</f>
      </c>
      <c r="IK436">
        <f>IF(ISBLANK('Data Entry'!$ĵ$436), "", 'Data Entry'!$ĵ$436)</f>
      </c>
      <c r="IL436">
        <f>IF(ISBLANK('Data Entry'!$Ķ$436), "", 'Data Entry'!$Ķ$436)</f>
      </c>
      <c r="IM436">
        <f>IF(ISBLANK('Data Entry'!$ķ$436), "", 'Data Entry'!$ķ$436)</f>
      </c>
      <c r="IN436">
        <f>IF(ISBLANK('Data Entry'!$ĸ$436), "", 'Data Entry'!$ĸ$436)</f>
      </c>
      <c r="IO436">
        <f>IF(ISBLANK('Data Entry'!$Ĺ$436), "", 'Data Entry'!$Ĺ$436)</f>
      </c>
      <c r="IP436">
        <f>IF(ISBLANK('Data Entry'!$ĺ$436), "", 'Data Entry'!$ĺ$436)</f>
      </c>
      <c r="IQ436">
        <f>IF(ISBLANK('Data Entry'!$Ļ$436), "", 'Data Entry'!$Ļ$436)</f>
      </c>
      <c r="IR436">
        <f>IF(ISBLANK('Data Entry'!$ļ$436), "", 'Data Entry'!$ļ$436)</f>
      </c>
      <c r="IS436">
        <f>IF(ISBLANK('Data Entry'!$Ľ$436), "", 'Data Entry'!$Ľ$436)</f>
      </c>
      <c r="IT436">
        <f>IF(ISBLANK('Data Entry'!$ľ$436), "", 'Data Entry'!$ľ$436)</f>
      </c>
    </row>
    <row r="437" spans="1:254" x14ac:dyDescent="0.25">
      <c r="A437">
        <f>IF(ISBLANK('Data Entry'!$A$437), "", 'Data Entry'!$A$437)</f>
      </c>
      <c r="B437">
        <f>IF(ISBLANK('Data Entry'!$B$437), "", 'Data Entry'!$B$437)</f>
      </c>
      <c r="C437">
        <f>IF(ISBLANK('Data Entry'!$C$437), "", 'Data Entry'!$C$437)</f>
      </c>
      <c r="D437">
        <f>IF(ISBLANK('Data Entry'!$D$437), "", 'Data Entry'!$D$437)</f>
      </c>
      <c r="E437">
        <f>IF(ISBLANK('Data Entry'!$E$437), "", 'Data Entry'!$E$437)</f>
      </c>
      <c r="F437">
        <f>IF(ISBLANK('Data Entry'!$F$437), "", 'Data Entry'!$F$437)</f>
      </c>
      <c r="G437">
        <f>IF(ISBLANK('Data Entry'!$G$437), "", 'Data Entry'!$G$437)</f>
      </c>
      <c r="H437">
        <f>IF(ISBLANK('Data Entry'!$H$437), "", 'Data Entry'!$H$437)</f>
      </c>
      <c r="I437">
        <f>IF(ISBLANK('Data Entry'!$I$437), "", 'Data Entry'!$I$437)</f>
      </c>
      <c r="J437">
        <f>IF(ISBLANK('Data Entry'!$J$437), "", 'Data Entry'!$J$437)</f>
      </c>
      <c r="K437">
        <f>IF(ISBLANK('Data Entry'!$K$437), "", 'Data Entry'!$K$437)</f>
      </c>
      <c r="L437">
        <f>IF(ISBLANK('Data Entry'!$L$437), "", 'Data Entry'!$L$437)</f>
      </c>
      <c r="M437">
        <f>IF(ISBLANK('Data Entry'!$M$437), "", 'Data Entry'!$M$437)</f>
      </c>
      <c r="N437">
        <f>IF(ISBLANK('Data Entry'!$N$437), "", 'Data Entry'!$N$437)</f>
      </c>
      <c r="O437">
        <f>IF(ISBLANK('Data Entry'!$O$437), "", 'Data Entry'!$O$437)</f>
      </c>
      <c r="P437">
        <f>IF(ISBLANK('Data Entry'!$P$437), "", 'Data Entry'!$P$437)</f>
      </c>
      <c r="Q437">
        <f>IF(ISBLANK('Data Entry'!$Q$437), "", 'Data Entry'!$Q$437)</f>
      </c>
      <c r="R437">
        <f>IF(ISBLANK('Data Entry'!$R$437), "", 'Data Entry'!$R$437)</f>
      </c>
      <c r="S437">
        <f>IF(ISBLANK('Data Entry'!$S$437), "", 'Data Entry'!$S$437)</f>
      </c>
      <c r="T437">
        <f>IF(ISBLANK('Data Entry'!$T$437), "", 'Data Entry'!$T$437)</f>
      </c>
      <c r="U437">
        <f>IF(ISBLANK('Data Entry'!$U$437), "", 'Data Entry'!$U$437)</f>
      </c>
      <c r="V437">
        <f>IF(ISBLANK('Data Entry'!$V$437), "", 'Data Entry'!$V$437)</f>
      </c>
      <c r="W437">
        <f>IF(ISBLANK('Data Entry'!$W$437), "", 'Data Entry'!$W$437)</f>
      </c>
      <c r="X437">
        <f>IF(ISBLANK('Data Entry'!$X$437), "", 'Data Entry'!$X$437)</f>
      </c>
      <c r="Y437">
        <f>IF(ISBLANK('Data Entry'!$Y$437), "", 'Data Entry'!$Y$437)</f>
      </c>
      <c r="Z437">
        <f>IF(ISBLANK('Data Entry'!$Z$437), "", 'Data Entry'!$Z$437)</f>
      </c>
      <c r="AA437">
        <f>IF(ISBLANK('Data Entry'!$[$437), "", 'Data Entry'!$[$437)</f>
      </c>
      <c r="AB437">
        <f>IF(ISBLANK('Data Entry'!$\$437), "", 'Data Entry'!$\$437)</f>
      </c>
      <c r="AC437">
        <f>IF(ISBLANK('Data Entry'!$]$437), "", 'Data Entry'!$]$437)</f>
      </c>
      <c r="AD437">
        <f>IF(ISBLANK('Data Entry'!$^$437), "", 'Data Entry'!$^$437)</f>
      </c>
      <c r="AE437">
        <f>IF(ISBLANK('Data Entry'!$_$437), "", 'Data Entry'!$_$437)</f>
      </c>
      <c r="AF437">
        <f>IF(ISBLANK('Data Entry'!$`$437), "", 'Data Entry'!$`$437)</f>
      </c>
      <c r="AG437">
        <f>IF(ISBLANK('Data Entry'!$a$437), "", 'Data Entry'!$a$437)</f>
      </c>
      <c r="AH437">
        <f>IF(ISBLANK('Data Entry'!$b$437), "", 'Data Entry'!$b$437)</f>
      </c>
      <c r="AI437">
        <f>IF(ISBLANK('Data Entry'!$c$437), "", 'Data Entry'!$c$437)</f>
      </c>
      <c r="AJ437">
        <f>IF(ISBLANK('Data Entry'!$d$437), "", 'Data Entry'!$d$437)</f>
      </c>
      <c r="AK437">
        <f>IF(ISBLANK('Data Entry'!$e$437), "", 'Data Entry'!$e$437)</f>
      </c>
      <c r="AL437">
        <f>IF(ISBLANK('Data Entry'!$f$437), "", 'Data Entry'!$f$437)</f>
      </c>
      <c r="AM437">
        <f>IF(ISBLANK('Data Entry'!$g$437), "", 'Data Entry'!$g$437)</f>
      </c>
      <c r="AN437">
        <f>IF(ISBLANK('Data Entry'!$h$437), "", 'Data Entry'!$h$437)</f>
      </c>
      <c r="AO437">
        <f>IF(ISBLANK('Data Entry'!$i$437), "", 'Data Entry'!$i$437)</f>
      </c>
      <c r="AP437">
        <f>IF(ISBLANK('Data Entry'!$j$437), "", 'Data Entry'!$j$437)</f>
      </c>
      <c r="AQ437">
        <f>IF(ISBLANK('Data Entry'!$k$437), "", 'Data Entry'!$k$437)</f>
      </c>
      <c r="AR437">
        <f>IF(ISBLANK('Data Entry'!$l$437), "", 'Data Entry'!$l$437)</f>
      </c>
      <c r="AS437">
        <f>IF(ISBLANK('Data Entry'!$m$437), "", 'Data Entry'!$m$437)</f>
      </c>
      <c r="AT437">
        <f>IF(ISBLANK('Data Entry'!$n$437), "", 'Data Entry'!$n$437)</f>
      </c>
      <c r="AU437">
        <f>IF(ISBLANK('Data Entry'!$o$437), "", 'Data Entry'!$o$437)</f>
      </c>
      <c r="AV437">
        <f>IF(ISBLANK('Data Entry'!$p$437), "", 'Data Entry'!$p$437)</f>
      </c>
      <c r="AW437">
        <f>IF(ISBLANK('Data Entry'!$q$437), "", 'Data Entry'!$q$437)</f>
      </c>
      <c r="AX437">
        <f>IF(ISBLANK('Data Entry'!$r$437), "", 'Data Entry'!$r$437)</f>
      </c>
      <c r="AY437">
        <f>IF(ISBLANK('Data Entry'!$s$437), "", 'Data Entry'!$s$437)</f>
      </c>
      <c r="AZ437">
        <f>IF(ISBLANK('Data Entry'!$t$437), "", 'Data Entry'!$t$437)</f>
      </c>
      <c r="BA437">
        <f>IF(ISBLANK('Data Entry'!$u$437), "", 'Data Entry'!$u$437)</f>
      </c>
      <c r="BB437">
        <f>IF(ISBLANK('Data Entry'!$v$437), "", 'Data Entry'!$v$437)</f>
      </c>
      <c r="BC437">
        <f>IF(ISBLANK('Data Entry'!$w$437), "", 'Data Entry'!$w$437)</f>
      </c>
      <c r="BD437">
        <f>IF(ISBLANK('Data Entry'!$x$437), "", 'Data Entry'!$x$437)</f>
      </c>
      <c r="BE437">
        <f>IF(ISBLANK('Data Entry'!$y$437), "", 'Data Entry'!$y$437)</f>
      </c>
      <c r="BF437">
        <f>IF(ISBLANK('Data Entry'!$z$437), "", 'Data Entry'!$z$437)</f>
      </c>
      <c r="BG437">
        <f>IF(ISBLANK('Data Entry'!${$437), "", 'Data Entry'!${$437)</f>
      </c>
      <c r="BH437">
        <f>IF(ISBLANK('Data Entry'!$|$437), "", 'Data Entry'!$|$437)</f>
      </c>
      <c r="BI437">
        <f>IF(ISBLANK('Data Entry'!$}$437), "", 'Data Entry'!$}$437)</f>
      </c>
      <c r="BJ437">
        <f>IF(ISBLANK('Data Entry'!$~$437), "", 'Data Entry'!$~$437)</f>
      </c>
      <c r="BK437">
        <f>IF(ISBLANK('Data Entry'!$$437), "", 'Data Entry'!$$437)</f>
      </c>
      <c r="BL437">
        <f>IF(ISBLANK('Data Entry'!$$437), "", 'Data Entry'!$$437)</f>
      </c>
      <c r="BM437">
        <f>IF(ISBLANK('Data Entry'!$$437), "", 'Data Entry'!$$437)</f>
      </c>
      <c r="BN437">
        <f>IF(ISBLANK('Data Entry'!$$437), "", 'Data Entry'!$$437)</f>
      </c>
      <c r="BO437">
        <f>IF(ISBLANK('Data Entry'!$$437), "", 'Data Entry'!$$437)</f>
      </c>
      <c r="BP437">
        <f>IF(ISBLANK('Data Entry'!$$437), "", 'Data Entry'!$$437)</f>
      </c>
      <c r="BQ437">
        <f>IF(ISBLANK('Data Entry'!$$437), "", 'Data Entry'!$$437)</f>
      </c>
      <c r="BR437">
        <f>IF(ISBLANK('Data Entry'!$$437), "", 'Data Entry'!$$437)</f>
      </c>
      <c r="BS437">
        <f>IF(ISBLANK('Data Entry'!$$437), "", 'Data Entry'!$$437)</f>
      </c>
      <c r="BT437">
        <f>IF(ISBLANK('Data Entry'!$$437), "", 'Data Entry'!$$437)</f>
      </c>
      <c r="BU437">
        <f>IF(ISBLANK('Data Entry'!$$437), "", 'Data Entry'!$$437)</f>
      </c>
      <c r="BV437">
        <f>IF(ISBLANK('Data Entry'!$$437), "", 'Data Entry'!$$437)</f>
      </c>
      <c r="BW437">
        <f>IF(ISBLANK('Data Entry'!$$437), "", 'Data Entry'!$$437)</f>
      </c>
      <c r="BX437">
        <f>IF(ISBLANK('Data Entry'!$$437), "", 'Data Entry'!$$437)</f>
      </c>
      <c r="BY437">
        <f>IF(ISBLANK('Data Entry'!$$437), "", 'Data Entry'!$$437)</f>
      </c>
      <c r="BZ437">
        <f>IF(ISBLANK('Data Entry'!$$437), "", 'Data Entry'!$$437)</f>
      </c>
      <c r="CA437">
        <f>IF(ISBLANK('Data Entry'!$$437), "", 'Data Entry'!$$437)</f>
      </c>
      <c r="CB437">
        <f>IF(ISBLANK('Data Entry'!$$437), "", 'Data Entry'!$$437)</f>
      </c>
      <c r="CC437">
        <f>IF(ISBLANK('Data Entry'!$$437), "", 'Data Entry'!$$437)</f>
      </c>
      <c r="CD437">
        <f>IF(ISBLANK('Data Entry'!$$437), "", 'Data Entry'!$$437)</f>
      </c>
      <c r="CE437">
        <f>IF(ISBLANK('Data Entry'!$$437), "", 'Data Entry'!$$437)</f>
      </c>
      <c r="CF437">
        <f>IF(ISBLANK('Data Entry'!$$437), "", 'Data Entry'!$$437)</f>
      </c>
      <c r="CG437">
        <f>IF(ISBLANK('Data Entry'!$$437), "", 'Data Entry'!$$437)</f>
      </c>
      <c r="CH437">
        <f>IF(ISBLANK('Data Entry'!$$437), "", 'Data Entry'!$$437)</f>
      </c>
      <c r="CI437">
        <f>IF(ISBLANK('Data Entry'!$$437), "", 'Data Entry'!$$437)</f>
      </c>
      <c r="CJ437">
        <f>IF(ISBLANK('Data Entry'!$$437), "", 'Data Entry'!$$437)</f>
      </c>
      <c r="CK437">
        <f>IF(ISBLANK('Data Entry'!$$437), "", 'Data Entry'!$$437)</f>
      </c>
      <c r="CL437">
        <f>IF(ISBLANK('Data Entry'!$$437), "", 'Data Entry'!$$437)</f>
      </c>
      <c r="CM437">
        <f>IF(ISBLANK('Data Entry'!$$437), "", 'Data Entry'!$$437)</f>
      </c>
      <c r="CN437">
        <f>IF(ISBLANK('Data Entry'!$$437), "", 'Data Entry'!$$437)</f>
      </c>
      <c r="CO437">
        <f>IF(ISBLANK('Data Entry'!$$437), "", 'Data Entry'!$$437)</f>
      </c>
      <c r="CP437">
        <f>IF(ISBLANK('Data Entry'!$$437), "", 'Data Entry'!$$437)</f>
      </c>
      <c r="CQ437">
        <f>IF(ISBLANK('Data Entry'!$$437), "", 'Data Entry'!$$437)</f>
      </c>
      <c r="CR437">
        <f>IF(ISBLANK('Data Entry'!$ $437), "", 'Data Entry'!$ $437)</f>
      </c>
      <c r="CS437">
        <f>IF(ISBLANK('Data Entry'!$¡$437), "", 'Data Entry'!$¡$437)</f>
      </c>
      <c r="CT437">
        <f>IF(ISBLANK('Data Entry'!$¢$437), "", 'Data Entry'!$¢$437)</f>
      </c>
      <c r="CU437">
        <f>IF(ISBLANK('Data Entry'!$£$437), "", 'Data Entry'!$£$437)</f>
      </c>
      <c r="CV437">
        <f>IF(ISBLANK('Data Entry'!$¤$437), "", 'Data Entry'!$¤$437)</f>
      </c>
      <c r="CW437">
        <f>IF(ISBLANK('Data Entry'!$¥$437), "", 'Data Entry'!$¥$437)</f>
      </c>
      <c r="CX437">
        <f>IF(ISBLANK('Data Entry'!$¦$437), "", 'Data Entry'!$¦$437)</f>
      </c>
      <c r="CY437">
        <f>IF(ISBLANK('Data Entry'!$§$437), "", 'Data Entry'!$§$437)</f>
      </c>
      <c r="CZ437">
        <f>IF(ISBLANK('Data Entry'!$¨$437), "", 'Data Entry'!$¨$437)</f>
      </c>
      <c r="DA437">
        <f>IF(ISBLANK('Data Entry'!$©$437), "", 'Data Entry'!$©$437)</f>
      </c>
      <c r="DB437">
        <f>IF(ISBLANK('Data Entry'!$ª$437), "", 'Data Entry'!$ª$437)</f>
      </c>
      <c r="DC437">
        <f>IF(ISBLANK('Data Entry'!$«$437), "", 'Data Entry'!$«$437)</f>
      </c>
      <c r="DD437">
        <f>IF(ISBLANK('Data Entry'!$¬$437), "", 'Data Entry'!$¬$437)</f>
      </c>
      <c r="DE437">
        <f>IF(ISBLANK('Data Entry'!$­$437), "", 'Data Entry'!$­$437)</f>
      </c>
      <c r="DF437">
        <f>IF(ISBLANK('Data Entry'!$®$437), "", 'Data Entry'!$®$437)</f>
      </c>
      <c r="DG437">
        <f>IF(ISBLANK('Data Entry'!$¯$437), "", 'Data Entry'!$¯$437)</f>
      </c>
      <c r="DH437">
        <f>IF(ISBLANK('Data Entry'!$°$437), "", 'Data Entry'!$°$437)</f>
      </c>
      <c r="DI437">
        <f>IF(ISBLANK('Data Entry'!$±$437), "", 'Data Entry'!$±$437)</f>
      </c>
      <c r="DJ437">
        <f>IF(ISBLANK('Data Entry'!$²$437), "", 'Data Entry'!$²$437)</f>
      </c>
      <c r="DK437">
        <f>IF(ISBLANK('Data Entry'!$³$437), "", 'Data Entry'!$³$437)</f>
      </c>
      <c r="DL437">
        <f>IF(ISBLANK('Data Entry'!$´$437), "", 'Data Entry'!$´$437)</f>
      </c>
      <c r="DM437">
        <f>IF(ISBLANK('Data Entry'!$µ$437), "", 'Data Entry'!$µ$437)</f>
      </c>
      <c r="DN437">
        <f>IF(ISBLANK('Data Entry'!$¶$437), "", 'Data Entry'!$¶$437)</f>
      </c>
      <c r="DO437">
        <f>IF(ISBLANK('Data Entry'!$·$437), "", 'Data Entry'!$·$437)</f>
      </c>
      <c r="DP437">
        <f>IF(ISBLANK('Data Entry'!$¸$437), "", 'Data Entry'!$¸$437)</f>
      </c>
      <c r="DQ437">
        <f>IF(ISBLANK('Data Entry'!$¹$437), "", 'Data Entry'!$¹$437)</f>
      </c>
      <c r="DR437">
        <f>IF(ISBLANK('Data Entry'!$º$437), "", 'Data Entry'!$º$437)</f>
      </c>
      <c r="DS437">
        <f>IF(ISBLANK('Data Entry'!$»$437), "", 'Data Entry'!$»$437)</f>
      </c>
      <c r="DT437">
        <f>IF(ISBLANK('Data Entry'!$¼$437), "", 'Data Entry'!$¼$437)</f>
      </c>
      <c r="DU437">
        <f>IF(ISBLANK('Data Entry'!$½$437), "", 'Data Entry'!$½$437)</f>
      </c>
      <c r="DV437">
        <f>IF(ISBLANK('Data Entry'!$¾$437), "", 'Data Entry'!$¾$437)</f>
      </c>
      <c r="DW437">
        <f>IF(ISBLANK('Data Entry'!$¿$437), "", 'Data Entry'!$¿$437)</f>
      </c>
      <c r="DX437">
        <f>IF(ISBLANK('Data Entry'!$À$437), "", 'Data Entry'!$À$437)</f>
      </c>
      <c r="DY437">
        <f>IF(ISBLANK('Data Entry'!$Á$437), "", 'Data Entry'!$Á$437)</f>
      </c>
      <c r="DZ437">
        <f>IF(ISBLANK('Data Entry'!$Â$437), "", 'Data Entry'!$Â$437)</f>
      </c>
      <c r="EA437">
        <f>IF(ISBLANK('Data Entry'!$Ã$437), "", 'Data Entry'!$Ã$437)</f>
      </c>
      <c r="EB437">
        <f>IF(ISBLANK('Data Entry'!$Ä$437), "", 'Data Entry'!$Ä$437)</f>
      </c>
      <c r="EC437">
        <f>IF(ISBLANK('Data Entry'!$Å$437), "", 'Data Entry'!$Å$437)</f>
      </c>
      <c r="ED437">
        <f>IF(ISBLANK('Data Entry'!$Æ$437), "", 'Data Entry'!$Æ$437)</f>
      </c>
      <c r="EE437">
        <f>IF(ISBLANK('Data Entry'!$Ç$437), "", 'Data Entry'!$Ç$437)</f>
      </c>
      <c r="EF437">
        <f>IF(ISBLANK('Data Entry'!$È$437), "", 'Data Entry'!$È$437)</f>
      </c>
      <c r="EG437">
        <f>IF(ISBLANK('Data Entry'!$É$437), "", 'Data Entry'!$É$437)</f>
      </c>
      <c r="EH437">
        <f>IF(ISBLANK('Data Entry'!$Ê$437), "", 'Data Entry'!$Ê$437)</f>
      </c>
      <c r="EI437">
        <f>IF(ISBLANK('Data Entry'!$Ë$437), "", 'Data Entry'!$Ë$437)</f>
      </c>
      <c r="EJ437">
        <f>IF(ISBLANK('Data Entry'!$Ì$437), "", 'Data Entry'!$Ì$437)</f>
      </c>
      <c r="EK437">
        <f>IF(ISBLANK('Data Entry'!$Í$437), "", 'Data Entry'!$Í$437)</f>
      </c>
      <c r="EL437">
        <f>IF(ISBLANK('Data Entry'!$Î$437), "", 'Data Entry'!$Î$437)</f>
      </c>
      <c r="EM437">
        <f>IF(ISBLANK('Data Entry'!$Ï$437), "", 'Data Entry'!$Ï$437)</f>
      </c>
      <c r="EN437">
        <f>IF(ISBLANK('Data Entry'!$Ð$437), "", 'Data Entry'!$Ð$437)</f>
      </c>
      <c r="EO437">
        <f>IF(ISBLANK('Data Entry'!$Ñ$437), "", 'Data Entry'!$Ñ$437)</f>
      </c>
      <c r="EP437">
        <f>IF(ISBLANK('Data Entry'!$Ò$437), "", 'Data Entry'!$Ò$437)</f>
      </c>
      <c r="EQ437">
        <f>IF(ISBLANK('Data Entry'!$Ó$437), "", 'Data Entry'!$Ó$437)</f>
      </c>
      <c r="ER437">
        <f>IF(ISBLANK('Data Entry'!$Ô$437), "", 'Data Entry'!$Ô$437)</f>
      </c>
      <c r="ES437">
        <f>IF(ISBLANK('Data Entry'!$Õ$437), "", 'Data Entry'!$Õ$437)</f>
      </c>
      <c r="ET437">
        <f>IF(ISBLANK('Data Entry'!$Ö$437), "", 'Data Entry'!$Ö$437)</f>
      </c>
      <c r="EU437">
        <f>IF(ISBLANK('Data Entry'!$×$437), "", 'Data Entry'!$×$437)</f>
      </c>
      <c r="EV437">
        <f>IF(ISBLANK('Data Entry'!$Ø$437), "", 'Data Entry'!$Ø$437)</f>
      </c>
      <c r="EW437">
        <f>IF(ISBLANK('Data Entry'!$Ù$437), "", 'Data Entry'!$Ù$437)</f>
      </c>
      <c r="EX437">
        <f>IF(ISBLANK('Data Entry'!$Ú$437), "", 'Data Entry'!$Ú$437)</f>
      </c>
      <c r="EY437">
        <f>IF(ISBLANK('Data Entry'!$Û$437), "", 'Data Entry'!$Û$437)</f>
      </c>
      <c r="EZ437">
        <f>IF(ISBLANK('Data Entry'!$Ü$437), "", 'Data Entry'!$Ü$437)</f>
      </c>
      <c r="FA437">
        <f>IF(ISBLANK('Data Entry'!$Ý$437), "", 'Data Entry'!$Ý$437)</f>
      </c>
      <c r="FB437">
        <f>IF(ISBLANK('Data Entry'!$Þ$437), "", 'Data Entry'!$Þ$437)</f>
      </c>
      <c r="FC437">
        <f>IF(ISBLANK('Data Entry'!$ß$437), "", 'Data Entry'!$ß$437)</f>
      </c>
      <c r="FD437">
        <f>IF(ISBLANK('Data Entry'!$à$437), "", 'Data Entry'!$à$437)</f>
      </c>
      <c r="FE437">
        <f>IF(ISBLANK('Data Entry'!$á$437), "", 'Data Entry'!$á$437)</f>
      </c>
      <c r="FF437">
        <f>IF(ISBLANK('Data Entry'!$â$437), "", 'Data Entry'!$â$437)</f>
      </c>
      <c r="FG437">
        <f>IF(ISBLANK('Data Entry'!$ã$437), "", 'Data Entry'!$ã$437)</f>
      </c>
      <c r="FH437">
        <f>IF(ISBLANK('Data Entry'!$ä$437), "", 'Data Entry'!$ä$437)</f>
      </c>
      <c r="FI437">
        <f>IF(ISBLANK('Data Entry'!$å$437), "", 'Data Entry'!$å$437)</f>
      </c>
      <c r="FJ437">
        <f>IF(ISBLANK('Data Entry'!$æ$437), "", 'Data Entry'!$æ$437)</f>
      </c>
      <c r="FK437">
        <f>IF(ISBLANK('Data Entry'!$ç$437), "", 'Data Entry'!$ç$437)</f>
      </c>
      <c r="FL437">
        <f>IF(ISBLANK('Data Entry'!$è$437), "", 'Data Entry'!$è$437)</f>
      </c>
      <c r="FM437">
        <f>IF(ISBLANK('Data Entry'!$é$437), "", 'Data Entry'!$é$437)</f>
      </c>
      <c r="FN437">
        <f>IF(ISBLANK('Data Entry'!$ê$437), "", 'Data Entry'!$ê$437)</f>
      </c>
      <c r="FO437">
        <f>IF(ISBLANK('Data Entry'!$ë$437), "", 'Data Entry'!$ë$437)</f>
      </c>
      <c r="FP437">
        <f>IF(ISBLANK('Data Entry'!$ì$437), "", 'Data Entry'!$ì$437)</f>
      </c>
      <c r="FQ437">
        <f>IF(ISBLANK('Data Entry'!$í$437), "", 'Data Entry'!$í$437)</f>
      </c>
      <c r="FR437">
        <f>IF(ISBLANK('Data Entry'!$î$437), "", 'Data Entry'!$î$437)</f>
      </c>
      <c r="FS437">
        <f>IF(ISBLANK('Data Entry'!$ï$437), "", 'Data Entry'!$ï$437)</f>
      </c>
      <c r="FT437">
        <f>IF(ISBLANK('Data Entry'!$ð$437), "", 'Data Entry'!$ð$437)</f>
      </c>
      <c r="FU437">
        <f>IF(ISBLANK('Data Entry'!$ñ$437), "", 'Data Entry'!$ñ$437)</f>
      </c>
      <c r="FV437">
        <f>IF(ISBLANK('Data Entry'!$ò$437), "", 'Data Entry'!$ò$437)</f>
      </c>
      <c r="FW437">
        <f>IF(ISBLANK('Data Entry'!$ó$437), "", 'Data Entry'!$ó$437)</f>
      </c>
      <c r="FX437">
        <f>IF(ISBLANK('Data Entry'!$ô$437), "", 'Data Entry'!$ô$437)</f>
      </c>
      <c r="FY437">
        <f>IF(ISBLANK('Data Entry'!$õ$437), "", 'Data Entry'!$õ$437)</f>
      </c>
      <c r="FZ437">
        <f>IF(ISBLANK('Data Entry'!$ö$437), "", 'Data Entry'!$ö$437)</f>
      </c>
      <c r="GA437">
        <f>IF(ISBLANK('Data Entry'!$÷$437), "", 'Data Entry'!$÷$437)</f>
      </c>
      <c r="GB437">
        <f>IF(ISBLANK('Data Entry'!$ø$437), "", 'Data Entry'!$ø$437)</f>
      </c>
      <c r="GC437">
        <f>IF(ISBLANK('Data Entry'!$ù$437), "", 'Data Entry'!$ù$437)</f>
      </c>
      <c r="GD437">
        <f>IF(ISBLANK('Data Entry'!$ú$437), "", 'Data Entry'!$ú$437)</f>
      </c>
      <c r="GE437">
        <f>IF(ISBLANK('Data Entry'!$û$437), "", 'Data Entry'!$û$437)</f>
      </c>
      <c r="GF437">
        <f>IF(ISBLANK('Data Entry'!$ü$437), "", 'Data Entry'!$ü$437)</f>
      </c>
      <c r="GG437">
        <f>IF(ISBLANK('Data Entry'!$ý$437), "", 'Data Entry'!$ý$437)</f>
      </c>
      <c r="GH437">
        <f>IF(ISBLANK('Data Entry'!$þ$437), "", 'Data Entry'!$þ$437)</f>
      </c>
      <c r="GI437">
        <f>IF(ISBLANK('Data Entry'!$ÿ$437), "", 'Data Entry'!$ÿ$437)</f>
      </c>
      <c r="GJ437">
        <f>IF(ISBLANK('Data Entry'!$Ā$437), "", 'Data Entry'!$Ā$437)</f>
      </c>
      <c r="GK437">
        <f>IF(ISBLANK('Data Entry'!$ā$437), "", 'Data Entry'!$ā$437)</f>
      </c>
      <c r="GL437">
        <f>IF(ISBLANK('Data Entry'!$Ă$437), "", 'Data Entry'!$Ă$437)</f>
      </c>
      <c r="GM437">
        <f>IF(ISBLANK('Data Entry'!$ă$437), "", 'Data Entry'!$ă$437)</f>
      </c>
      <c r="GN437">
        <f>IF(ISBLANK('Data Entry'!$Ą$437), "", 'Data Entry'!$Ą$437)</f>
      </c>
      <c r="GO437">
        <f>IF(ISBLANK('Data Entry'!$ą$437), "", 'Data Entry'!$ą$437)</f>
      </c>
      <c r="GP437">
        <f>IF(ISBLANK('Data Entry'!$Ć$437), "", 'Data Entry'!$Ć$437)</f>
      </c>
      <c r="GQ437">
        <f>IF(ISBLANK('Data Entry'!$ć$437), "", 'Data Entry'!$ć$437)</f>
      </c>
      <c r="GR437">
        <f>IF(ISBLANK('Data Entry'!$Ĉ$437), "", 'Data Entry'!$Ĉ$437)</f>
      </c>
      <c r="GS437">
        <f>IF(ISBLANK('Data Entry'!$ĉ$437), "", 'Data Entry'!$ĉ$437)</f>
      </c>
      <c r="GT437">
        <f>IF(ISBLANK('Data Entry'!$Ċ$437), "", 'Data Entry'!$Ċ$437)</f>
      </c>
      <c r="GU437">
        <f>IF(ISBLANK('Data Entry'!$ċ$437), "", 'Data Entry'!$ċ$437)</f>
      </c>
      <c r="GV437">
        <f>IF(ISBLANK('Data Entry'!$Č$437), "", 'Data Entry'!$Č$437)</f>
      </c>
      <c r="GW437">
        <f>IF(ISBLANK('Data Entry'!$č$437), "", 'Data Entry'!$č$437)</f>
      </c>
      <c r="GX437">
        <f>IF(ISBLANK('Data Entry'!$Ď$437), "", 'Data Entry'!$Ď$437)</f>
      </c>
      <c r="GY437">
        <f>IF(ISBLANK('Data Entry'!$ď$437), "", 'Data Entry'!$ď$437)</f>
      </c>
      <c r="GZ437">
        <f>IF(ISBLANK('Data Entry'!$Đ$437), "", 'Data Entry'!$Đ$437)</f>
      </c>
      <c r="HA437">
        <f>IF(ISBLANK('Data Entry'!$đ$437), "", 'Data Entry'!$đ$437)</f>
      </c>
      <c r="HB437">
        <f>IF(ISBLANK('Data Entry'!$Ē$437), "", 'Data Entry'!$Ē$437)</f>
      </c>
      <c r="HC437">
        <f>IF(ISBLANK('Data Entry'!$ē$437), "", 'Data Entry'!$ē$437)</f>
      </c>
      <c r="HD437">
        <f>IF(ISBLANK('Data Entry'!$Ĕ$437), "", 'Data Entry'!$Ĕ$437)</f>
      </c>
      <c r="HE437">
        <f>IF(ISBLANK('Data Entry'!$ĕ$437), "", 'Data Entry'!$ĕ$437)</f>
      </c>
      <c r="HF437">
        <f>IF(ISBLANK('Data Entry'!$Ė$437), "", 'Data Entry'!$Ė$437)</f>
      </c>
      <c r="HG437">
        <f>IF(ISBLANK('Data Entry'!$ė$437), "", 'Data Entry'!$ė$437)</f>
      </c>
      <c r="HH437">
        <f>IF(ISBLANK('Data Entry'!$Ę$437), "", 'Data Entry'!$Ę$437)</f>
      </c>
      <c r="HI437">
        <f>IF(ISBLANK('Data Entry'!$ę$437), "", 'Data Entry'!$ę$437)</f>
      </c>
      <c r="HJ437">
        <f>IF(ISBLANK('Data Entry'!$Ě$437), "", 'Data Entry'!$Ě$437)</f>
      </c>
      <c r="HK437">
        <f>IF(ISBLANK('Data Entry'!$ě$437), "", 'Data Entry'!$ě$437)</f>
      </c>
      <c r="HL437">
        <f>IF(ISBLANK('Data Entry'!$Ĝ$437), "", 'Data Entry'!$Ĝ$437)</f>
      </c>
      <c r="HM437">
        <f>IF(ISBLANK('Data Entry'!$ĝ$437), "", 'Data Entry'!$ĝ$437)</f>
      </c>
      <c r="HN437">
        <f>IF(ISBLANK('Data Entry'!$Ğ$437), "", 'Data Entry'!$Ğ$437)</f>
      </c>
      <c r="HO437">
        <f>IF(ISBLANK('Data Entry'!$ğ$437), "", 'Data Entry'!$ğ$437)</f>
      </c>
      <c r="HP437">
        <f>IF(ISBLANK('Data Entry'!$Ġ$437), "", 'Data Entry'!$Ġ$437)</f>
      </c>
      <c r="HQ437">
        <f>IF(ISBLANK('Data Entry'!$ġ$437), "", 'Data Entry'!$ġ$437)</f>
      </c>
      <c r="HR437">
        <f>IF(ISBLANK('Data Entry'!$Ģ$437), "", 'Data Entry'!$Ģ$437)</f>
      </c>
      <c r="HS437">
        <f>IF(ISBLANK('Data Entry'!$ģ$437), "", 'Data Entry'!$ģ$437)</f>
      </c>
      <c r="HT437">
        <f>IF(ISBLANK('Data Entry'!$Ĥ$437), "", 'Data Entry'!$Ĥ$437)</f>
      </c>
      <c r="HU437">
        <f>IF(ISBLANK('Data Entry'!$ĥ$437), "", 'Data Entry'!$ĥ$437)</f>
      </c>
      <c r="HV437">
        <f>IF(ISBLANK('Data Entry'!$Ħ$437), "", 'Data Entry'!$Ħ$437)</f>
      </c>
      <c r="HW437">
        <f>IF(ISBLANK('Data Entry'!$ħ$437), "", 'Data Entry'!$ħ$437)</f>
      </c>
      <c r="HX437">
        <f>IF(ISBLANK('Data Entry'!$Ĩ$437), "", 'Data Entry'!$Ĩ$437)</f>
      </c>
      <c r="HY437">
        <f>IF(ISBLANK('Data Entry'!$ĩ$437), "", 'Data Entry'!$ĩ$437)</f>
      </c>
      <c r="HZ437">
        <f>IF(ISBLANK('Data Entry'!$Ī$437), "", 'Data Entry'!$Ī$437)</f>
      </c>
      <c r="IA437">
        <f>IF(ISBLANK('Data Entry'!$ī$437), "", 'Data Entry'!$ī$437)</f>
      </c>
      <c r="IB437">
        <f>IF(ISBLANK('Data Entry'!$Ĭ$437), "", 'Data Entry'!$Ĭ$437)</f>
      </c>
      <c r="IC437">
        <f>IF(ISBLANK('Data Entry'!$ĭ$437), "", 'Data Entry'!$ĭ$437)</f>
      </c>
      <c r="ID437">
        <f>IF(ISBLANK('Data Entry'!$Į$437), "", 'Data Entry'!$Į$437)</f>
      </c>
      <c r="IE437">
        <f>IF(ISBLANK('Data Entry'!$į$437), "", 'Data Entry'!$į$437)</f>
      </c>
      <c r="IF437">
        <f>IF(ISBLANK('Data Entry'!$İ$437), "", 'Data Entry'!$İ$437)</f>
      </c>
      <c r="IG437">
        <f>IF(ISBLANK('Data Entry'!$ı$437), "", 'Data Entry'!$ı$437)</f>
      </c>
      <c r="IH437">
        <f>IF(ISBLANK('Data Entry'!$Ĳ$437), "", 'Data Entry'!$Ĳ$437)</f>
      </c>
      <c r="II437">
        <f>IF(ISBLANK('Data Entry'!$ĳ$437), "", 'Data Entry'!$ĳ$437)</f>
      </c>
      <c r="IJ437">
        <f>IF(ISBLANK('Data Entry'!$Ĵ$437), "", 'Data Entry'!$Ĵ$437)</f>
      </c>
      <c r="IK437">
        <f>IF(ISBLANK('Data Entry'!$ĵ$437), "", 'Data Entry'!$ĵ$437)</f>
      </c>
      <c r="IL437">
        <f>IF(ISBLANK('Data Entry'!$Ķ$437), "", 'Data Entry'!$Ķ$437)</f>
      </c>
      <c r="IM437">
        <f>IF(ISBLANK('Data Entry'!$ķ$437), "", 'Data Entry'!$ķ$437)</f>
      </c>
      <c r="IN437">
        <f>IF(ISBLANK('Data Entry'!$ĸ$437), "", 'Data Entry'!$ĸ$437)</f>
      </c>
      <c r="IO437">
        <f>IF(ISBLANK('Data Entry'!$Ĺ$437), "", 'Data Entry'!$Ĺ$437)</f>
      </c>
      <c r="IP437">
        <f>IF(ISBLANK('Data Entry'!$ĺ$437), "", 'Data Entry'!$ĺ$437)</f>
      </c>
      <c r="IQ437">
        <f>IF(ISBLANK('Data Entry'!$Ļ$437), "", 'Data Entry'!$Ļ$437)</f>
      </c>
      <c r="IR437">
        <f>IF(ISBLANK('Data Entry'!$ļ$437), "", 'Data Entry'!$ļ$437)</f>
      </c>
      <c r="IS437">
        <f>IF(ISBLANK('Data Entry'!$Ľ$437), "", 'Data Entry'!$Ľ$437)</f>
      </c>
      <c r="IT437">
        <f>IF(ISBLANK('Data Entry'!$ľ$437), "", 'Data Entry'!$ľ$437)</f>
      </c>
    </row>
    <row r="438" spans="1:254" x14ac:dyDescent="0.25">
      <c r="A438">
        <f>IF(ISBLANK('Data Entry'!$A$438), "", 'Data Entry'!$A$438)</f>
      </c>
      <c r="B438">
        <f>IF(ISBLANK('Data Entry'!$B$438), "", 'Data Entry'!$B$438)</f>
      </c>
      <c r="C438">
        <f>IF(ISBLANK('Data Entry'!$C$438), "", 'Data Entry'!$C$438)</f>
      </c>
      <c r="D438">
        <f>IF(ISBLANK('Data Entry'!$D$438), "", 'Data Entry'!$D$438)</f>
      </c>
      <c r="E438">
        <f>IF(ISBLANK('Data Entry'!$E$438), "", 'Data Entry'!$E$438)</f>
      </c>
      <c r="F438">
        <f>IF(ISBLANK('Data Entry'!$F$438), "", 'Data Entry'!$F$438)</f>
      </c>
      <c r="G438">
        <f>IF(ISBLANK('Data Entry'!$G$438), "", 'Data Entry'!$G$438)</f>
      </c>
      <c r="H438">
        <f>IF(ISBLANK('Data Entry'!$H$438), "", 'Data Entry'!$H$438)</f>
      </c>
      <c r="I438">
        <f>IF(ISBLANK('Data Entry'!$I$438), "", 'Data Entry'!$I$438)</f>
      </c>
      <c r="J438">
        <f>IF(ISBLANK('Data Entry'!$J$438), "", 'Data Entry'!$J$438)</f>
      </c>
      <c r="K438">
        <f>IF(ISBLANK('Data Entry'!$K$438), "", 'Data Entry'!$K$438)</f>
      </c>
      <c r="L438">
        <f>IF(ISBLANK('Data Entry'!$L$438), "", 'Data Entry'!$L$438)</f>
      </c>
      <c r="M438">
        <f>IF(ISBLANK('Data Entry'!$M$438), "", 'Data Entry'!$M$438)</f>
      </c>
      <c r="N438">
        <f>IF(ISBLANK('Data Entry'!$N$438), "", 'Data Entry'!$N$438)</f>
      </c>
      <c r="O438">
        <f>IF(ISBLANK('Data Entry'!$O$438), "", 'Data Entry'!$O$438)</f>
      </c>
      <c r="P438">
        <f>IF(ISBLANK('Data Entry'!$P$438), "", 'Data Entry'!$P$438)</f>
      </c>
      <c r="Q438">
        <f>IF(ISBLANK('Data Entry'!$Q$438), "", 'Data Entry'!$Q$438)</f>
      </c>
      <c r="R438">
        <f>IF(ISBLANK('Data Entry'!$R$438), "", 'Data Entry'!$R$438)</f>
      </c>
      <c r="S438">
        <f>IF(ISBLANK('Data Entry'!$S$438), "", 'Data Entry'!$S$438)</f>
      </c>
      <c r="T438">
        <f>IF(ISBLANK('Data Entry'!$T$438), "", 'Data Entry'!$T$438)</f>
      </c>
      <c r="U438">
        <f>IF(ISBLANK('Data Entry'!$U$438), "", 'Data Entry'!$U$438)</f>
      </c>
      <c r="V438">
        <f>IF(ISBLANK('Data Entry'!$V$438), "", 'Data Entry'!$V$438)</f>
      </c>
      <c r="W438">
        <f>IF(ISBLANK('Data Entry'!$W$438), "", 'Data Entry'!$W$438)</f>
      </c>
      <c r="X438">
        <f>IF(ISBLANK('Data Entry'!$X$438), "", 'Data Entry'!$X$438)</f>
      </c>
      <c r="Y438">
        <f>IF(ISBLANK('Data Entry'!$Y$438), "", 'Data Entry'!$Y$438)</f>
      </c>
      <c r="Z438">
        <f>IF(ISBLANK('Data Entry'!$Z$438), "", 'Data Entry'!$Z$438)</f>
      </c>
      <c r="AA438">
        <f>IF(ISBLANK('Data Entry'!$[$438), "", 'Data Entry'!$[$438)</f>
      </c>
      <c r="AB438">
        <f>IF(ISBLANK('Data Entry'!$\$438), "", 'Data Entry'!$\$438)</f>
      </c>
      <c r="AC438">
        <f>IF(ISBLANK('Data Entry'!$]$438), "", 'Data Entry'!$]$438)</f>
      </c>
      <c r="AD438">
        <f>IF(ISBLANK('Data Entry'!$^$438), "", 'Data Entry'!$^$438)</f>
      </c>
      <c r="AE438">
        <f>IF(ISBLANK('Data Entry'!$_$438), "", 'Data Entry'!$_$438)</f>
      </c>
      <c r="AF438">
        <f>IF(ISBLANK('Data Entry'!$`$438), "", 'Data Entry'!$`$438)</f>
      </c>
      <c r="AG438">
        <f>IF(ISBLANK('Data Entry'!$a$438), "", 'Data Entry'!$a$438)</f>
      </c>
      <c r="AH438">
        <f>IF(ISBLANK('Data Entry'!$b$438), "", 'Data Entry'!$b$438)</f>
      </c>
      <c r="AI438">
        <f>IF(ISBLANK('Data Entry'!$c$438), "", 'Data Entry'!$c$438)</f>
      </c>
      <c r="AJ438">
        <f>IF(ISBLANK('Data Entry'!$d$438), "", 'Data Entry'!$d$438)</f>
      </c>
      <c r="AK438">
        <f>IF(ISBLANK('Data Entry'!$e$438), "", 'Data Entry'!$e$438)</f>
      </c>
      <c r="AL438">
        <f>IF(ISBLANK('Data Entry'!$f$438), "", 'Data Entry'!$f$438)</f>
      </c>
      <c r="AM438">
        <f>IF(ISBLANK('Data Entry'!$g$438), "", 'Data Entry'!$g$438)</f>
      </c>
      <c r="AN438">
        <f>IF(ISBLANK('Data Entry'!$h$438), "", 'Data Entry'!$h$438)</f>
      </c>
      <c r="AO438">
        <f>IF(ISBLANK('Data Entry'!$i$438), "", 'Data Entry'!$i$438)</f>
      </c>
      <c r="AP438">
        <f>IF(ISBLANK('Data Entry'!$j$438), "", 'Data Entry'!$j$438)</f>
      </c>
      <c r="AQ438">
        <f>IF(ISBLANK('Data Entry'!$k$438), "", 'Data Entry'!$k$438)</f>
      </c>
      <c r="AR438">
        <f>IF(ISBLANK('Data Entry'!$l$438), "", 'Data Entry'!$l$438)</f>
      </c>
      <c r="AS438">
        <f>IF(ISBLANK('Data Entry'!$m$438), "", 'Data Entry'!$m$438)</f>
      </c>
      <c r="AT438">
        <f>IF(ISBLANK('Data Entry'!$n$438), "", 'Data Entry'!$n$438)</f>
      </c>
      <c r="AU438">
        <f>IF(ISBLANK('Data Entry'!$o$438), "", 'Data Entry'!$o$438)</f>
      </c>
      <c r="AV438">
        <f>IF(ISBLANK('Data Entry'!$p$438), "", 'Data Entry'!$p$438)</f>
      </c>
      <c r="AW438">
        <f>IF(ISBLANK('Data Entry'!$q$438), "", 'Data Entry'!$q$438)</f>
      </c>
      <c r="AX438">
        <f>IF(ISBLANK('Data Entry'!$r$438), "", 'Data Entry'!$r$438)</f>
      </c>
      <c r="AY438">
        <f>IF(ISBLANK('Data Entry'!$s$438), "", 'Data Entry'!$s$438)</f>
      </c>
      <c r="AZ438">
        <f>IF(ISBLANK('Data Entry'!$t$438), "", 'Data Entry'!$t$438)</f>
      </c>
      <c r="BA438">
        <f>IF(ISBLANK('Data Entry'!$u$438), "", 'Data Entry'!$u$438)</f>
      </c>
      <c r="BB438">
        <f>IF(ISBLANK('Data Entry'!$v$438), "", 'Data Entry'!$v$438)</f>
      </c>
      <c r="BC438">
        <f>IF(ISBLANK('Data Entry'!$w$438), "", 'Data Entry'!$w$438)</f>
      </c>
      <c r="BD438">
        <f>IF(ISBLANK('Data Entry'!$x$438), "", 'Data Entry'!$x$438)</f>
      </c>
      <c r="BE438">
        <f>IF(ISBLANK('Data Entry'!$y$438), "", 'Data Entry'!$y$438)</f>
      </c>
      <c r="BF438">
        <f>IF(ISBLANK('Data Entry'!$z$438), "", 'Data Entry'!$z$438)</f>
      </c>
      <c r="BG438">
        <f>IF(ISBLANK('Data Entry'!${$438), "", 'Data Entry'!${$438)</f>
      </c>
      <c r="BH438">
        <f>IF(ISBLANK('Data Entry'!$|$438), "", 'Data Entry'!$|$438)</f>
      </c>
      <c r="BI438">
        <f>IF(ISBLANK('Data Entry'!$}$438), "", 'Data Entry'!$}$438)</f>
      </c>
      <c r="BJ438">
        <f>IF(ISBLANK('Data Entry'!$~$438), "", 'Data Entry'!$~$438)</f>
      </c>
      <c r="BK438">
        <f>IF(ISBLANK('Data Entry'!$$438), "", 'Data Entry'!$$438)</f>
      </c>
      <c r="BL438">
        <f>IF(ISBLANK('Data Entry'!$$438), "", 'Data Entry'!$$438)</f>
      </c>
      <c r="BM438">
        <f>IF(ISBLANK('Data Entry'!$$438), "", 'Data Entry'!$$438)</f>
      </c>
      <c r="BN438">
        <f>IF(ISBLANK('Data Entry'!$$438), "", 'Data Entry'!$$438)</f>
      </c>
      <c r="BO438">
        <f>IF(ISBLANK('Data Entry'!$$438), "", 'Data Entry'!$$438)</f>
      </c>
      <c r="BP438">
        <f>IF(ISBLANK('Data Entry'!$$438), "", 'Data Entry'!$$438)</f>
      </c>
      <c r="BQ438">
        <f>IF(ISBLANK('Data Entry'!$$438), "", 'Data Entry'!$$438)</f>
      </c>
      <c r="BR438">
        <f>IF(ISBLANK('Data Entry'!$$438), "", 'Data Entry'!$$438)</f>
      </c>
      <c r="BS438">
        <f>IF(ISBLANK('Data Entry'!$$438), "", 'Data Entry'!$$438)</f>
      </c>
      <c r="BT438">
        <f>IF(ISBLANK('Data Entry'!$$438), "", 'Data Entry'!$$438)</f>
      </c>
      <c r="BU438">
        <f>IF(ISBLANK('Data Entry'!$$438), "", 'Data Entry'!$$438)</f>
      </c>
      <c r="BV438">
        <f>IF(ISBLANK('Data Entry'!$$438), "", 'Data Entry'!$$438)</f>
      </c>
      <c r="BW438">
        <f>IF(ISBLANK('Data Entry'!$$438), "", 'Data Entry'!$$438)</f>
      </c>
      <c r="BX438">
        <f>IF(ISBLANK('Data Entry'!$$438), "", 'Data Entry'!$$438)</f>
      </c>
      <c r="BY438">
        <f>IF(ISBLANK('Data Entry'!$$438), "", 'Data Entry'!$$438)</f>
      </c>
      <c r="BZ438">
        <f>IF(ISBLANK('Data Entry'!$$438), "", 'Data Entry'!$$438)</f>
      </c>
      <c r="CA438">
        <f>IF(ISBLANK('Data Entry'!$$438), "", 'Data Entry'!$$438)</f>
      </c>
      <c r="CB438">
        <f>IF(ISBLANK('Data Entry'!$$438), "", 'Data Entry'!$$438)</f>
      </c>
      <c r="CC438">
        <f>IF(ISBLANK('Data Entry'!$$438), "", 'Data Entry'!$$438)</f>
      </c>
      <c r="CD438">
        <f>IF(ISBLANK('Data Entry'!$$438), "", 'Data Entry'!$$438)</f>
      </c>
      <c r="CE438">
        <f>IF(ISBLANK('Data Entry'!$$438), "", 'Data Entry'!$$438)</f>
      </c>
      <c r="CF438">
        <f>IF(ISBLANK('Data Entry'!$$438), "", 'Data Entry'!$$438)</f>
      </c>
      <c r="CG438">
        <f>IF(ISBLANK('Data Entry'!$$438), "", 'Data Entry'!$$438)</f>
      </c>
      <c r="CH438">
        <f>IF(ISBLANK('Data Entry'!$$438), "", 'Data Entry'!$$438)</f>
      </c>
      <c r="CI438">
        <f>IF(ISBLANK('Data Entry'!$$438), "", 'Data Entry'!$$438)</f>
      </c>
      <c r="CJ438">
        <f>IF(ISBLANK('Data Entry'!$$438), "", 'Data Entry'!$$438)</f>
      </c>
      <c r="CK438">
        <f>IF(ISBLANK('Data Entry'!$$438), "", 'Data Entry'!$$438)</f>
      </c>
      <c r="CL438">
        <f>IF(ISBLANK('Data Entry'!$$438), "", 'Data Entry'!$$438)</f>
      </c>
      <c r="CM438">
        <f>IF(ISBLANK('Data Entry'!$$438), "", 'Data Entry'!$$438)</f>
      </c>
      <c r="CN438">
        <f>IF(ISBLANK('Data Entry'!$$438), "", 'Data Entry'!$$438)</f>
      </c>
      <c r="CO438">
        <f>IF(ISBLANK('Data Entry'!$$438), "", 'Data Entry'!$$438)</f>
      </c>
      <c r="CP438">
        <f>IF(ISBLANK('Data Entry'!$$438), "", 'Data Entry'!$$438)</f>
      </c>
      <c r="CQ438">
        <f>IF(ISBLANK('Data Entry'!$$438), "", 'Data Entry'!$$438)</f>
      </c>
      <c r="CR438">
        <f>IF(ISBLANK('Data Entry'!$ $438), "", 'Data Entry'!$ $438)</f>
      </c>
      <c r="CS438">
        <f>IF(ISBLANK('Data Entry'!$¡$438), "", 'Data Entry'!$¡$438)</f>
      </c>
      <c r="CT438">
        <f>IF(ISBLANK('Data Entry'!$¢$438), "", 'Data Entry'!$¢$438)</f>
      </c>
      <c r="CU438">
        <f>IF(ISBLANK('Data Entry'!$£$438), "", 'Data Entry'!$£$438)</f>
      </c>
      <c r="CV438">
        <f>IF(ISBLANK('Data Entry'!$¤$438), "", 'Data Entry'!$¤$438)</f>
      </c>
      <c r="CW438">
        <f>IF(ISBLANK('Data Entry'!$¥$438), "", 'Data Entry'!$¥$438)</f>
      </c>
      <c r="CX438">
        <f>IF(ISBLANK('Data Entry'!$¦$438), "", 'Data Entry'!$¦$438)</f>
      </c>
      <c r="CY438">
        <f>IF(ISBLANK('Data Entry'!$§$438), "", 'Data Entry'!$§$438)</f>
      </c>
      <c r="CZ438">
        <f>IF(ISBLANK('Data Entry'!$¨$438), "", 'Data Entry'!$¨$438)</f>
      </c>
      <c r="DA438">
        <f>IF(ISBLANK('Data Entry'!$©$438), "", 'Data Entry'!$©$438)</f>
      </c>
      <c r="DB438">
        <f>IF(ISBLANK('Data Entry'!$ª$438), "", 'Data Entry'!$ª$438)</f>
      </c>
      <c r="DC438">
        <f>IF(ISBLANK('Data Entry'!$«$438), "", 'Data Entry'!$«$438)</f>
      </c>
      <c r="DD438">
        <f>IF(ISBLANK('Data Entry'!$¬$438), "", 'Data Entry'!$¬$438)</f>
      </c>
      <c r="DE438">
        <f>IF(ISBLANK('Data Entry'!$­$438), "", 'Data Entry'!$­$438)</f>
      </c>
      <c r="DF438">
        <f>IF(ISBLANK('Data Entry'!$®$438), "", 'Data Entry'!$®$438)</f>
      </c>
      <c r="DG438">
        <f>IF(ISBLANK('Data Entry'!$¯$438), "", 'Data Entry'!$¯$438)</f>
      </c>
      <c r="DH438">
        <f>IF(ISBLANK('Data Entry'!$°$438), "", 'Data Entry'!$°$438)</f>
      </c>
      <c r="DI438">
        <f>IF(ISBLANK('Data Entry'!$±$438), "", 'Data Entry'!$±$438)</f>
      </c>
      <c r="DJ438">
        <f>IF(ISBLANK('Data Entry'!$²$438), "", 'Data Entry'!$²$438)</f>
      </c>
      <c r="DK438">
        <f>IF(ISBLANK('Data Entry'!$³$438), "", 'Data Entry'!$³$438)</f>
      </c>
      <c r="DL438">
        <f>IF(ISBLANK('Data Entry'!$´$438), "", 'Data Entry'!$´$438)</f>
      </c>
      <c r="DM438">
        <f>IF(ISBLANK('Data Entry'!$µ$438), "", 'Data Entry'!$µ$438)</f>
      </c>
      <c r="DN438">
        <f>IF(ISBLANK('Data Entry'!$¶$438), "", 'Data Entry'!$¶$438)</f>
      </c>
      <c r="DO438">
        <f>IF(ISBLANK('Data Entry'!$·$438), "", 'Data Entry'!$·$438)</f>
      </c>
      <c r="DP438">
        <f>IF(ISBLANK('Data Entry'!$¸$438), "", 'Data Entry'!$¸$438)</f>
      </c>
      <c r="DQ438">
        <f>IF(ISBLANK('Data Entry'!$¹$438), "", 'Data Entry'!$¹$438)</f>
      </c>
      <c r="DR438">
        <f>IF(ISBLANK('Data Entry'!$º$438), "", 'Data Entry'!$º$438)</f>
      </c>
      <c r="DS438">
        <f>IF(ISBLANK('Data Entry'!$»$438), "", 'Data Entry'!$»$438)</f>
      </c>
      <c r="DT438">
        <f>IF(ISBLANK('Data Entry'!$¼$438), "", 'Data Entry'!$¼$438)</f>
      </c>
      <c r="DU438">
        <f>IF(ISBLANK('Data Entry'!$½$438), "", 'Data Entry'!$½$438)</f>
      </c>
      <c r="DV438">
        <f>IF(ISBLANK('Data Entry'!$¾$438), "", 'Data Entry'!$¾$438)</f>
      </c>
      <c r="DW438">
        <f>IF(ISBLANK('Data Entry'!$¿$438), "", 'Data Entry'!$¿$438)</f>
      </c>
      <c r="DX438">
        <f>IF(ISBLANK('Data Entry'!$À$438), "", 'Data Entry'!$À$438)</f>
      </c>
      <c r="DY438">
        <f>IF(ISBLANK('Data Entry'!$Á$438), "", 'Data Entry'!$Á$438)</f>
      </c>
      <c r="DZ438">
        <f>IF(ISBLANK('Data Entry'!$Â$438), "", 'Data Entry'!$Â$438)</f>
      </c>
      <c r="EA438">
        <f>IF(ISBLANK('Data Entry'!$Ã$438), "", 'Data Entry'!$Ã$438)</f>
      </c>
      <c r="EB438">
        <f>IF(ISBLANK('Data Entry'!$Ä$438), "", 'Data Entry'!$Ä$438)</f>
      </c>
      <c r="EC438">
        <f>IF(ISBLANK('Data Entry'!$Å$438), "", 'Data Entry'!$Å$438)</f>
      </c>
      <c r="ED438">
        <f>IF(ISBLANK('Data Entry'!$Æ$438), "", 'Data Entry'!$Æ$438)</f>
      </c>
      <c r="EE438">
        <f>IF(ISBLANK('Data Entry'!$Ç$438), "", 'Data Entry'!$Ç$438)</f>
      </c>
      <c r="EF438">
        <f>IF(ISBLANK('Data Entry'!$È$438), "", 'Data Entry'!$È$438)</f>
      </c>
      <c r="EG438">
        <f>IF(ISBLANK('Data Entry'!$É$438), "", 'Data Entry'!$É$438)</f>
      </c>
      <c r="EH438">
        <f>IF(ISBLANK('Data Entry'!$Ê$438), "", 'Data Entry'!$Ê$438)</f>
      </c>
      <c r="EI438">
        <f>IF(ISBLANK('Data Entry'!$Ë$438), "", 'Data Entry'!$Ë$438)</f>
      </c>
      <c r="EJ438">
        <f>IF(ISBLANK('Data Entry'!$Ì$438), "", 'Data Entry'!$Ì$438)</f>
      </c>
      <c r="EK438">
        <f>IF(ISBLANK('Data Entry'!$Í$438), "", 'Data Entry'!$Í$438)</f>
      </c>
      <c r="EL438">
        <f>IF(ISBLANK('Data Entry'!$Î$438), "", 'Data Entry'!$Î$438)</f>
      </c>
      <c r="EM438">
        <f>IF(ISBLANK('Data Entry'!$Ï$438), "", 'Data Entry'!$Ï$438)</f>
      </c>
      <c r="EN438">
        <f>IF(ISBLANK('Data Entry'!$Ð$438), "", 'Data Entry'!$Ð$438)</f>
      </c>
      <c r="EO438">
        <f>IF(ISBLANK('Data Entry'!$Ñ$438), "", 'Data Entry'!$Ñ$438)</f>
      </c>
      <c r="EP438">
        <f>IF(ISBLANK('Data Entry'!$Ò$438), "", 'Data Entry'!$Ò$438)</f>
      </c>
      <c r="EQ438">
        <f>IF(ISBLANK('Data Entry'!$Ó$438), "", 'Data Entry'!$Ó$438)</f>
      </c>
      <c r="ER438">
        <f>IF(ISBLANK('Data Entry'!$Ô$438), "", 'Data Entry'!$Ô$438)</f>
      </c>
      <c r="ES438">
        <f>IF(ISBLANK('Data Entry'!$Õ$438), "", 'Data Entry'!$Õ$438)</f>
      </c>
      <c r="ET438">
        <f>IF(ISBLANK('Data Entry'!$Ö$438), "", 'Data Entry'!$Ö$438)</f>
      </c>
      <c r="EU438">
        <f>IF(ISBLANK('Data Entry'!$×$438), "", 'Data Entry'!$×$438)</f>
      </c>
      <c r="EV438">
        <f>IF(ISBLANK('Data Entry'!$Ø$438), "", 'Data Entry'!$Ø$438)</f>
      </c>
      <c r="EW438">
        <f>IF(ISBLANK('Data Entry'!$Ù$438), "", 'Data Entry'!$Ù$438)</f>
      </c>
      <c r="EX438">
        <f>IF(ISBLANK('Data Entry'!$Ú$438), "", 'Data Entry'!$Ú$438)</f>
      </c>
      <c r="EY438">
        <f>IF(ISBLANK('Data Entry'!$Û$438), "", 'Data Entry'!$Û$438)</f>
      </c>
      <c r="EZ438">
        <f>IF(ISBLANK('Data Entry'!$Ü$438), "", 'Data Entry'!$Ü$438)</f>
      </c>
      <c r="FA438">
        <f>IF(ISBLANK('Data Entry'!$Ý$438), "", 'Data Entry'!$Ý$438)</f>
      </c>
      <c r="FB438">
        <f>IF(ISBLANK('Data Entry'!$Þ$438), "", 'Data Entry'!$Þ$438)</f>
      </c>
      <c r="FC438">
        <f>IF(ISBLANK('Data Entry'!$ß$438), "", 'Data Entry'!$ß$438)</f>
      </c>
      <c r="FD438">
        <f>IF(ISBLANK('Data Entry'!$à$438), "", 'Data Entry'!$à$438)</f>
      </c>
      <c r="FE438">
        <f>IF(ISBLANK('Data Entry'!$á$438), "", 'Data Entry'!$á$438)</f>
      </c>
      <c r="FF438">
        <f>IF(ISBLANK('Data Entry'!$â$438), "", 'Data Entry'!$â$438)</f>
      </c>
      <c r="FG438">
        <f>IF(ISBLANK('Data Entry'!$ã$438), "", 'Data Entry'!$ã$438)</f>
      </c>
      <c r="FH438">
        <f>IF(ISBLANK('Data Entry'!$ä$438), "", 'Data Entry'!$ä$438)</f>
      </c>
      <c r="FI438">
        <f>IF(ISBLANK('Data Entry'!$å$438), "", 'Data Entry'!$å$438)</f>
      </c>
      <c r="FJ438">
        <f>IF(ISBLANK('Data Entry'!$æ$438), "", 'Data Entry'!$æ$438)</f>
      </c>
      <c r="FK438">
        <f>IF(ISBLANK('Data Entry'!$ç$438), "", 'Data Entry'!$ç$438)</f>
      </c>
      <c r="FL438">
        <f>IF(ISBLANK('Data Entry'!$è$438), "", 'Data Entry'!$è$438)</f>
      </c>
      <c r="FM438">
        <f>IF(ISBLANK('Data Entry'!$é$438), "", 'Data Entry'!$é$438)</f>
      </c>
      <c r="FN438">
        <f>IF(ISBLANK('Data Entry'!$ê$438), "", 'Data Entry'!$ê$438)</f>
      </c>
      <c r="FO438">
        <f>IF(ISBLANK('Data Entry'!$ë$438), "", 'Data Entry'!$ë$438)</f>
      </c>
      <c r="FP438">
        <f>IF(ISBLANK('Data Entry'!$ì$438), "", 'Data Entry'!$ì$438)</f>
      </c>
      <c r="FQ438">
        <f>IF(ISBLANK('Data Entry'!$í$438), "", 'Data Entry'!$í$438)</f>
      </c>
      <c r="FR438">
        <f>IF(ISBLANK('Data Entry'!$î$438), "", 'Data Entry'!$î$438)</f>
      </c>
      <c r="FS438">
        <f>IF(ISBLANK('Data Entry'!$ï$438), "", 'Data Entry'!$ï$438)</f>
      </c>
      <c r="FT438">
        <f>IF(ISBLANK('Data Entry'!$ð$438), "", 'Data Entry'!$ð$438)</f>
      </c>
      <c r="FU438">
        <f>IF(ISBLANK('Data Entry'!$ñ$438), "", 'Data Entry'!$ñ$438)</f>
      </c>
      <c r="FV438">
        <f>IF(ISBLANK('Data Entry'!$ò$438), "", 'Data Entry'!$ò$438)</f>
      </c>
      <c r="FW438">
        <f>IF(ISBLANK('Data Entry'!$ó$438), "", 'Data Entry'!$ó$438)</f>
      </c>
      <c r="FX438">
        <f>IF(ISBLANK('Data Entry'!$ô$438), "", 'Data Entry'!$ô$438)</f>
      </c>
      <c r="FY438">
        <f>IF(ISBLANK('Data Entry'!$õ$438), "", 'Data Entry'!$õ$438)</f>
      </c>
      <c r="FZ438">
        <f>IF(ISBLANK('Data Entry'!$ö$438), "", 'Data Entry'!$ö$438)</f>
      </c>
      <c r="GA438">
        <f>IF(ISBLANK('Data Entry'!$÷$438), "", 'Data Entry'!$÷$438)</f>
      </c>
      <c r="GB438">
        <f>IF(ISBLANK('Data Entry'!$ø$438), "", 'Data Entry'!$ø$438)</f>
      </c>
      <c r="GC438">
        <f>IF(ISBLANK('Data Entry'!$ù$438), "", 'Data Entry'!$ù$438)</f>
      </c>
      <c r="GD438">
        <f>IF(ISBLANK('Data Entry'!$ú$438), "", 'Data Entry'!$ú$438)</f>
      </c>
      <c r="GE438">
        <f>IF(ISBLANK('Data Entry'!$û$438), "", 'Data Entry'!$û$438)</f>
      </c>
      <c r="GF438">
        <f>IF(ISBLANK('Data Entry'!$ü$438), "", 'Data Entry'!$ü$438)</f>
      </c>
      <c r="GG438">
        <f>IF(ISBLANK('Data Entry'!$ý$438), "", 'Data Entry'!$ý$438)</f>
      </c>
      <c r="GH438">
        <f>IF(ISBLANK('Data Entry'!$þ$438), "", 'Data Entry'!$þ$438)</f>
      </c>
      <c r="GI438">
        <f>IF(ISBLANK('Data Entry'!$ÿ$438), "", 'Data Entry'!$ÿ$438)</f>
      </c>
      <c r="GJ438">
        <f>IF(ISBLANK('Data Entry'!$Ā$438), "", 'Data Entry'!$Ā$438)</f>
      </c>
      <c r="GK438">
        <f>IF(ISBLANK('Data Entry'!$ā$438), "", 'Data Entry'!$ā$438)</f>
      </c>
      <c r="GL438">
        <f>IF(ISBLANK('Data Entry'!$Ă$438), "", 'Data Entry'!$Ă$438)</f>
      </c>
      <c r="GM438">
        <f>IF(ISBLANK('Data Entry'!$ă$438), "", 'Data Entry'!$ă$438)</f>
      </c>
      <c r="GN438">
        <f>IF(ISBLANK('Data Entry'!$Ą$438), "", 'Data Entry'!$Ą$438)</f>
      </c>
      <c r="GO438">
        <f>IF(ISBLANK('Data Entry'!$ą$438), "", 'Data Entry'!$ą$438)</f>
      </c>
      <c r="GP438">
        <f>IF(ISBLANK('Data Entry'!$Ć$438), "", 'Data Entry'!$Ć$438)</f>
      </c>
      <c r="GQ438">
        <f>IF(ISBLANK('Data Entry'!$ć$438), "", 'Data Entry'!$ć$438)</f>
      </c>
      <c r="GR438">
        <f>IF(ISBLANK('Data Entry'!$Ĉ$438), "", 'Data Entry'!$Ĉ$438)</f>
      </c>
      <c r="GS438">
        <f>IF(ISBLANK('Data Entry'!$ĉ$438), "", 'Data Entry'!$ĉ$438)</f>
      </c>
      <c r="GT438">
        <f>IF(ISBLANK('Data Entry'!$Ċ$438), "", 'Data Entry'!$Ċ$438)</f>
      </c>
      <c r="GU438">
        <f>IF(ISBLANK('Data Entry'!$ċ$438), "", 'Data Entry'!$ċ$438)</f>
      </c>
      <c r="GV438">
        <f>IF(ISBLANK('Data Entry'!$Č$438), "", 'Data Entry'!$Č$438)</f>
      </c>
      <c r="GW438">
        <f>IF(ISBLANK('Data Entry'!$č$438), "", 'Data Entry'!$č$438)</f>
      </c>
      <c r="GX438">
        <f>IF(ISBLANK('Data Entry'!$Ď$438), "", 'Data Entry'!$Ď$438)</f>
      </c>
      <c r="GY438">
        <f>IF(ISBLANK('Data Entry'!$ď$438), "", 'Data Entry'!$ď$438)</f>
      </c>
      <c r="GZ438">
        <f>IF(ISBLANK('Data Entry'!$Đ$438), "", 'Data Entry'!$Đ$438)</f>
      </c>
      <c r="HA438">
        <f>IF(ISBLANK('Data Entry'!$đ$438), "", 'Data Entry'!$đ$438)</f>
      </c>
      <c r="HB438">
        <f>IF(ISBLANK('Data Entry'!$Ē$438), "", 'Data Entry'!$Ē$438)</f>
      </c>
      <c r="HC438">
        <f>IF(ISBLANK('Data Entry'!$ē$438), "", 'Data Entry'!$ē$438)</f>
      </c>
      <c r="HD438">
        <f>IF(ISBLANK('Data Entry'!$Ĕ$438), "", 'Data Entry'!$Ĕ$438)</f>
      </c>
      <c r="HE438">
        <f>IF(ISBLANK('Data Entry'!$ĕ$438), "", 'Data Entry'!$ĕ$438)</f>
      </c>
      <c r="HF438">
        <f>IF(ISBLANK('Data Entry'!$Ė$438), "", 'Data Entry'!$Ė$438)</f>
      </c>
      <c r="HG438">
        <f>IF(ISBLANK('Data Entry'!$ė$438), "", 'Data Entry'!$ė$438)</f>
      </c>
      <c r="HH438">
        <f>IF(ISBLANK('Data Entry'!$Ę$438), "", 'Data Entry'!$Ę$438)</f>
      </c>
      <c r="HI438">
        <f>IF(ISBLANK('Data Entry'!$ę$438), "", 'Data Entry'!$ę$438)</f>
      </c>
      <c r="HJ438">
        <f>IF(ISBLANK('Data Entry'!$Ě$438), "", 'Data Entry'!$Ě$438)</f>
      </c>
      <c r="HK438">
        <f>IF(ISBLANK('Data Entry'!$ě$438), "", 'Data Entry'!$ě$438)</f>
      </c>
      <c r="HL438">
        <f>IF(ISBLANK('Data Entry'!$Ĝ$438), "", 'Data Entry'!$Ĝ$438)</f>
      </c>
      <c r="HM438">
        <f>IF(ISBLANK('Data Entry'!$ĝ$438), "", 'Data Entry'!$ĝ$438)</f>
      </c>
      <c r="HN438">
        <f>IF(ISBLANK('Data Entry'!$Ğ$438), "", 'Data Entry'!$Ğ$438)</f>
      </c>
      <c r="HO438">
        <f>IF(ISBLANK('Data Entry'!$ğ$438), "", 'Data Entry'!$ğ$438)</f>
      </c>
      <c r="HP438">
        <f>IF(ISBLANK('Data Entry'!$Ġ$438), "", 'Data Entry'!$Ġ$438)</f>
      </c>
      <c r="HQ438">
        <f>IF(ISBLANK('Data Entry'!$ġ$438), "", 'Data Entry'!$ġ$438)</f>
      </c>
      <c r="HR438">
        <f>IF(ISBLANK('Data Entry'!$Ģ$438), "", 'Data Entry'!$Ģ$438)</f>
      </c>
      <c r="HS438">
        <f>IF(ISBLANK('Data Entry'!$ģ$438), "", 'Data Entry'!$ģ$438)</f>
      </c>
      <c r="HT438">
        <f>IF(ISBLANK('Data Entry'!$Ĥ$438), "", 'Data Entry'!$Ĥ$438)</f>
      </c>
      <c r="HU438">
        <f>IF(ISBLANK('Data Entry'!$ĥ$438), "", 'Data Entry'!$ĥ$438)</f>
      </c>
      <c r="HV438">
        <f>IF(ISBLANK('Data Entry'!$Ħ$438), "", 'Data Entry'!$Ħ$438)</f>
      </c>
      <c r="HW438">
        <f>IF(ISBLANK('Data Entry'!$ħ$438), "", 'Data Entry'!$ħ$438)</f>
      </c>
      <c r="HX438">
        <f>IF(ISBLANK('Data Entry'!$Ĩ$438), "", 'Data Entry'!$Ĩ$438)</f>
      </c>
      <c r="HY438">
        <f>IF(ISBLANK('Data Entry'!$ĩ$438), "", 'Data Entry'!$ĩ$438)</f>
      </c>
      <c r="HZ438">
        <f>IF(ISBLANK('Data Entry'!$Ī$438), "", 'Data Entry'!$Ī$438)</f>
      </c>
      <c r="IA438">
        <f>IF(ISBLANK('Data Entry'!$ī$438), "", 'Data Entry'!$ī$438)</f>
      </c>
      <c r="IB438">
        <f>IF(ISBLANK('Data Entry'!$Ĭ$438), "", 'Data Entry'!$Ĭ$438)</f>
      </c>
      <c r="IC438">
        <f>IF(ISBLANK('Data Entry'!$ĭ$438), "", 'Data Entry'!$ĭ$438)</f>
      </c>
      <c r="ID438">
        <f>IF(ISBLANK('Data Entry'!$Į$438), "", 'Data Entry'!$Į$438)</f>
      </c>
      <c r="IE438">
        <f>IF(ISBLANK('Data Entry'!$į$438), "", 'Data Entry'!$į$438)</f>
      </c>
      <c r="IF438">
        <f>IF(ISBLANK('Data Entry'!$İ$438), "", 'Data Entry'!$İ$438)</f>
      </c>
      <c r="IG438">
        <f>IF(ISBLANK('Data Entry'!$ı$438), "", 'Data Entry'!$ı$438)</f>
      </c>
      <c r="IH438">
        <f>IF(ISBLANK('Data Entry'!$Ĳ$438), "", 'Data Entry'!$Ĳ$438)</f>
      </c>
      <c r="II438">
        <f>IF(ISBLANK('Data Entry'!$ĳ$438), "", 'Data Entry'!$ĳ$438)</f>
      </c>
      <c r="IJ438">
        <f>IF(ISBLANK('Data Entry'!$Ĵ$438), "", 'Data Entry'!$Ĵ$438)</f>
      </c>
      <c r="IK438">
        <f>IF(ISBLANK('Data Entry'!$ĵ$438), "", 'Data Entry'!$ĵ$438)</f>
      </c>
      <c r="IL438">
        <f>IF(ISBLANK('Data Entry'!$Ķ$438), "", 'Data Entry'!$Ķ$438)</f>
      </c>
      <c r="IM438">
        <f>IF(ISBLANK('Data Entry'!$ķ$438), "", 'Data Entry'!$ķ$438)</f>
      </c>
      <c r="IN438">
        <f>IF(ISBLANK('Data Entry'!$ĸ$438), "", 'Data Entry'!$ĸ$438)</f>
      </c>
      <c r="IO438">
        <f>IF(ISBLANK('Data Entry'!$Ĺ$438), "", 'Data Entry'!$Ĺ$438)</f>
      </c>
      <c r="IP438">
        <f>IF(ISBLANK('Data Entry'!$ĺ$438), "", 'Data Entry'!$ĺ$438)</f>
      </c>
      <c r="IQ438">
        <f>IF(ISBLANK('Data Entry'!$Ļ$438), "", 'Data Entry'!$Ļ$438)</f>
      </c>
      <c r="IR438">
        <f>IF(ISBLANK('Data Entry'!$ļ$438), "", 'Data Entry'!$ļ$438)</f>
      </c>
      <c r="IS438">
        <f>IF(ISBLANK('Data Entry'!$Ľ$438), "", 'Data Entry'!$Ľ$438)</f>
      </c>
      <c r="IT438">
        <f>IF(ISBLANK('Data Entry'!$ľ$438), "", 'Data Entry'!$ľ$438)</f>
      </c>
    </row>
    <row r="439" spans="1:254" x14ac:dyDescent="0.25">
      <c r="A439">
        <f>IF(ISBLANK('Data Entry'!$A$439), "", 'Data Entry'!$A$439)</f>
      </c>
      <c r="B439">
        <f>IF(ISBLANK('Data Entry'!$B$439), "", 'Data Entry'!$B$439)</f>
      </c>
      <c r="C439">
        <f>IF(ISBLANK('Data Entry'!$C$439), "", 'Data Entry'!$C$439)</f>
      </c>
      <c r="D439">
        <f>IF(ISBLANK('Data Entry'!$D$439), "", 'Data Entry'!$D$439)</f>
      </c>
      <c r="E439">
        <f>IF(ISBLANK('Data Entry'!$E$439), "", 'Data Entry'!$E$439)</f>
      </c>
      <c r="F439">
        <f>IF(ISBLANK('Data Entry'!$F$439), "", 'Data Entry'!$F$439)</f>
      </c>
      <c r="G439">
        <f>IF(ISBLANK('Data Entry'!$G$439), "", 'Data Entry'!$G$439)</f>
      </c>
      <c r="H439">
        <f>IF(ISBLANK('Data Entry'!$H$439), "", 'Data Entry'!$H$439)</f>
      </c>
      <c r="I439">
        <f>IF(ISBLANK('Data Entry'!$I$439), "", 'Data Entry'!$I$439)</f>
      </c>
      <c r="J439">
        <f>IF(ISBLANK('Data Entry'!$J$439), "", 'Data Entry'!$J$439)</f>
      </c>
      <c r="K439">
        <f>IF(ISBLANK('Data Entry'!$K$439), "", 'Data Entry'!$K$439)</f>
      </c>
      <c r="L439">
        <f>IF(ISBLANK('Data Entry'!$L$439), "", 'Data Entry'!$L$439)</f>
      </c>
      <c r="M439">
        <f>IF(ISBLANK('Data Entry'!$M$439), "", 'Data Entry'!$M$439)</f>
      </c>
      <c r="N439">
        <f>IF(ISBLANK('Data Entry'!$N$439), "", 'Data Entry'!$N$439)</f>
      </c>
      <c r="O439">
        <f>IF(ISBLANK('Data Entry'!$O$439), "", 'Data Entry'!$O$439)</f>
      </c>
      <c r="P439">
        <f>IF(ISBLANK('Data Entry'!$P$439), "", 'Data Entry'!$P$439)</f>
      </c>
      <c r="Q439">
        <f>IF(ISBLANK('Data Entry'!$Q$439), "", 'Data Entry'!$Q$439)</f>
      </c>
      <c r="R439">
        <f>IF(ISBLANK('Data Entry'!$R$439), "", 'Data Entry'!$R$439)</f>
      </c>
      <c r="S439">
        <f>IF(ISBLANK('Data Entry'!$S$439), "", 'Data Entry'!$S$439)</f>
      </c>
      <c r="T439">
        <f>IF(ISBLANK('Data Entry'!$T$439), "", 'Data Entry'!$T$439)</f>
      </c>
      <c r="U439">
        <f>IF(ISBLANK('Data Entry'!$U$439), "", 'Data Entry'!$U$439)</f>
      </c>
      <c r="V439">
        <f>IF(ISBLANK('Data Entry'!$V$439), "", 'Data Entry'!$V$439)</f>
      </c>
      <c r="W439">
        <f>IF(ISBLANK('Data Entry'!$W$439), "", 'Data Entry'!$W$439)</f>
      </c>
      <c r="X439">
        <f>IF(ISBLANK('Data Entry'!$X$439), "", 'Data Entry'!$X$439)</f>
      </c>
      <c r="Y439">
        <f>IF(ISBLANK('Data Entry'!$Y$439), "", 'Data Entry'!$Y$439)</f>
      </c>
      <c r="Z439">
        <f>IF(ISBLANK('Data Entry'!$Z$439), "", 'Data Entry'!$Z$439)</f>
      </c>
      <c r="AA439">
        <f>IF(ISBLANK('Data Entry'!$[$439), "", 'Data Entry'!$[$439)</f>
      </c>
      <c r="AB439">
        <f>IF(ISBLANK('Data Entry'!$\$439), "", 'Data Entry'!$\$439)</f>
      </c>
      <c r="AC439">
        <f>IF(ISBLANK('Data Entry'!$]$439), "", 'Data Entry'!$]$439)</f>
      </c>
      <c r="AD439">
        <f>IF(ISBLANK('Data Entry'!$^$439), "", 'Data Entry'!$^$439)</f>
      </c>
      <c r="AE439">
        <f>IF(ISBLANK('Data Entry'!$_$439), "", 'Data Entry'!$_$439)</f>
      </c>
      <c r="AF439">
        <f>IF(ISBLANK('Data Entry'!$`$439), "", 'Data Entry'!$`$439)</f>
      </c>
      <c r="AG439">
        <f>IF(ISBLANK('Data Entry'!$a$439), "", 'Data Entry'!$a$439)</f>
      </c>
      <c r="AH439">
        <f>IF(ISBLANK('Data Entry'!$b$439), "", 'Data Entry'!$b$439)</f>
      </c>
      <c r="AI439">
        <f>IF(ISBLANK('Data Entry'!$c$439), "", 'Data Entry'!$c$439)</f>
      </c>
      <c r="AJ439">
        <f>IF(ISBLANK('Data Entry'!$d$439), "", 'Data Entry'!$d$439)</f>
      </c>
      <c r="AK439">
        <f>IF(ISBLANK('Data Entry'!$e$439), "", 'Data Entry'!$e$439)</f>
      </c>
      <c r="AL439">
        <f>IF(ISBLANK('Data Entry'!$f$439), "", 'Data Entry'!$f$439)</f>
      </c>
      <c r="AM439">
        <f>IF(ISBLANK('Data Entry'!$g$439), "", 'Data Entry'!$g$439)</f>
      </c>
      <c r="AN439">
        <f>IF(ISBLANK('Data Entry'!$h$439), "", 'Data Entry'!$h$439)</f>
      </c>
      <c r="AO439">
        <f>IF(ISBLANK('Data Entry'!$i$439), "", 'Data Entry'!$i$439)</f>
      </c>
      <c r="AP439">
        <f>IF(ISBLANK('Data Entry'!$j$439), "", 'Data Entry'!$j$439)</f>
      </c>
      <c r="AQ439">
        <f>IF(ISBLANK('Data Entry'!$k$439), "", 'Data Entry'!$k$439)</f>
      </c>
      <c r="AR439">
        <f>IF(ISBLANK('Data Entry'!$l$439), "", 'Data Entry'!$l$439)</f>
      </c>
      <c r="AS439">
        <f>IF(ISBLANK('Data Entry'!$m$439), "", 'Data Entry'!$m$439)</f>
      </c>
      <c r="AT439">
        <f>IF(ISBLANK('Data Entry'!$n$439), "", 'Data Entry'!$n$439)</f>
      </c>
      <c r="AU439">
        <f>IF(ISBLANK('Data Entry'!$o$439), "", 'Data Entry'!$o$439)</f>
      </c>
      <c r="AV439">
        <f>IF(ISBLANK('Data Entry'!$p$439), "", 'Data Entry'!$p$439)</f>
      </c>
      <c r="AW439">
        <f>IF(ISBLANK('Data Entry'!$q$439), "", 'Data Entry'!$q$439)</f>
      </c>
      <c r="AX439">
        <f>IF(ISBLANK('Data Entry'!$r$439), "", 'Data Entry'!$r$439)</f>
      </c>
      <c r="AY439">
        <f>IF(ISBLANK('Data Entry'!$s$439), "", 'Data Entry'!$s$439)</f>
      </c>
      <c r="AZ439">
        <f>IF(ISBLANK('Data Entry'!$t$439), "", 'Data Entry'!$t$439)</f>
      </c>
      <c r="BA439">
        <f>IF(ISBLANK('Data Entry'!$u$439), "", 'Data Entry'!$u$439)</f>
      </c>
      <c r="BB439">
        <f>IF(ISBLANK('Data Entry'!$v$439), "", 'Data Entry'!$v$439)</f>
      </c>
      <c r="BC439">
        <f>IF(ISBLANK('Data Entry'!$w$439), "", 'Data Entry'!$w$439)</f>
      </c>
      <c r="BD439">
        <f>IF(ISBLANK('Data Entry'!$x$439), "", 'Data Entry'!$x$439)</f>
      </c>
      <c r="BE439">
        <f>IF(ISBLANK('Data Entry'!$y$439), "", 'Data Entry'!$y$439)</f>
      </c>
      <c r="BF439">
        <f>IF(ISBLANK('Data Entry'!$z$439), "", 'Data Entry'!$z$439)</f>
      </c>
      <c r="BG439">
        <f>IF(ISBLANK('Data Entry'!${$439), "", 'Data Entry'!${$439)</f>
      </c>
      <c r="BH439">
        <f>IF(ISBLANK('Data Entry'!$|$439), "", 'Data Entry'!$|$439)</f>
      </c>
      <c r="BI439">
        <f>IF(ISBLANK('Data Entry'!$}$439), "", 'Data Entry'!$}$439)</f>
      </c>
      <c r="BJ439">
        <f>IF(ISBLANK('Data Entry'!$~$439), "", 'Data Entry'!$~$439)</f>
      </c>
      <c r="BK439">
        <f>IF(ISBLANK('Data Entry'!$$439), "", 'Data Entry'!$$439)</f>
      </c>
      <c r="BL439">
        <f>IF(ISBLANK('Data Entry'!$$439), "", 'Data Entry'!$$439)</f>
      </c>
      <c r="BM439">
        <f>IF(ISBLANK('Data Entry'!$$439), "", 'Data Entry'!$$439)</f>
      </c>
      <c r="BN439">
        <f>IF(ISBLANK('Data Entry'!$$439), "", 'Data Entry'!$$439)</f>
      </c>
      <c r="BO439">
        <f>IF(ISBLANK('Data Entry'!$$439), "", 'Data Entry'!$$439)</f>
      </c>
      <c r="BP439">
        <f>IF(ISBLANK('Data Entry'!$$439), "", 'Data Entry'!$$439)</f>
      </c>
      <c r="BQ439">
        <f>IF(ISBLANK('Data Entry'!$$439), "", 'Data Entry'!$$439)</f>
      </c>
      <c r="BR439">
        <f>IF(ISBLANK('Data Entry'!$$439), "", 'Data Entry'!$$439)</f>
      </c>
      <c r="BS439">
        <f>IF(ISBLANK('Data Entry'!$$439), "", 'Data Entry'!$$439)</f>
      </c>
      <c r="BT439">
        <f>IF(ISBLANK('Data Entry'!$$439), "", 'Data Entry'!$$439)</f>
      </c>
      <c r="BU439">
        <f>IF(ISBLANK('Data Entry'!$$439), "", 'Data Entry'!$$439)</f>
      </c>
      <c r="BV439">
        <f>IF(ISBLANK('Data Entry'!$$439), "", 'Data Entry'!$$439)</f>
      </c>
      <c r="BW439">
        <f>IF(ISBLANK('Data Entry'!$$439), "", 'Data Entry'!$$439)</f>
      </c>
      <c r="BX439">
        <f>IF(ISBLANK('Data Entry'!$$439), "", 'Data Entry'!$$439)</f>
      </c>
      <c r="BY439">
        <f>IF(ISBLANK('Data Entry'!$$439), "", 'Data Entry'!$$439)</f>
      </c>
      <c r="BZ439">
        <f>IF(ISBLANK('Data Entry'!$$439), "", 'Data Entry'!$$439)</f>
      </c>
      <c r="CA439">
        <f>IF(ISBLANK('Data Entry'!$$439), "", 'Data Entry'!$$439)</f>
      </c>
      <c r="CB439">
        <f>IF(ISBLANK('Data Entry'!$$439), "", 'Data Entry'!$$439)</f>
      </c>
      <c r="CC439">
        <f>IF(ISBLANK('Data Entry'!$$439), "", 'Data Entry'!$$439)</f>
      </c>
      <c r="CD439">
        <f>IF(ISBLANK('Data Entry'!$$439), "", 'Data Entry'!$$439)</f>
      </c>
      <c r="CE439">
        <f>IF(ISBLANK('Data Entry'!$$439), "", 'Data Entry'!$$439)</f>
      </c>
      <c r="CF439">
        <f>IF(ISBLANK('Data Entry'!$$439), "", 'Data Entry'!$$439)</f>
      </c>
      <c r="CG439">
        <f>IF(ISBLANK('Data Entry'!$$439), "", 'Data Entry'!$$439)</f>
      </c>
      <c r="CH439">
        <f>IF(ISBLANK('Data Entry'!$$439), "", 'Data Entry'!$$439)</f>
      </c>
      <c r="CI439">
        <f>IF(ISBLANK('Data Entry'!$$439), "", 'Data Entry'!$$439)</f>
      </c>
      <c r="CJ439">
        <f>IF(ISBLANK('Data Entry'!$$439), "", 'Data Entry'!$$439)</f>
      </c>
      <c r="CK439">
        <f>IF(ISBLANK('Data Entry'!$$439), "", 'Data Entry'!$$439)</f>
      </c>
      <c r="CL439">
        <f>IF(ISBLANK('Data Entry'!$$439), "", 'Data Entry'!$$439)</f>
      </c>
      <c r="CM439">
        <f>IF(ISBLANK('Data Entry'!$$439), "", 'Data Entry'!$$439)</f>
      </c>
      <c r="CN439">
        <f>IF(ISBLANK('Data Entry'!$$439), "", 'Data Entry'!$$439)</f>
      </c>
      <c r="CO439">
        <f>IF(ISBLANK('Data Entry'!$$439), "", 'Data Entry'!$$439)</f>
      </c>
      <c r="CP439">
        <f>IF(ISBLANK('Data Entry'!$$439), "", 'Data Entry'!$$439)</f>
      </c>
      <c r="CQ439">
        <f>IF(ISBLANK('Data Entry'!$$439), "", 'Data Entry'!$$439)</f>
      </c>
      <c r="CR439">
        <f>IF(ISBLANK('Data Entry'!$ $439), "", 'Data Entry'!$ $439)</f>
      </c>
      <c r="CS439">
        <f>IF(ISBLANK('Data Entry'!$¡$439), "", 'Data Entry'!$¡$439)</f>
      </c>
      <c r="CT439">
        <f>IF(ISBLANK('Data Entry'!$¢$439), "", 'Data Entry'!$¢$439)</f>
      </c>
      <c r="CU439">
        <f>IF(ISBLANK('Data Entry'!$£$439), "", 'Data Entry'!$£$439)</f>
      </c>
      <c r="CV439">
        <f>IF(ISBLANK('Data Entry'!$¤$439), "", 'Data Entry'!$¤$439)</f>
      </c>
      <c r="CW439">
        <f>IF(ISBLANK('Data Entry'!$¥$439), "", 'Data Entry'!$¥$439)</f>
      </c>
      <c r="CX439">
        <f>IF(ISBLANK('Data Entry'!$¦$439), "", 'Data Entry'!$¦$439)</f>
      </c>
      <c r="CY439">
        <f>IF(ISBLANK('Data Entry'!$§$439), "", 'Data Entry'!$§$439)</f>
      </c>
      <c r="CZ439">
        <f>IF(ISBLANK('Data Entry'!$¨$439), "", 'Data Entry'!$¨$439)</f>
      </c>
      <c r="DA439">
        <f>IF(ISBLANK('Data Entry'!$©$439), "", 'Data Entry'!$©$439)</f>
      </c>
      <c r="DB439">
        <f>IF(ISBLANK('Data Entry'!$ª$439), "", 'Data Entry'!$ª$439)</f>
      </c>
      <c r="DC439">
        <f>IF(ISBLANK('Data Entry'!$«$439), "", 'Data Entry'!$«$439)</f>
      </c>
      <c r="DD439">
        <f>IF(ISBLANK('Data Entry'!$¬$439), "", 'Data Entry'!$¬$439)</f>
      </c>
      <c r="DE439">
        <f>IF(ISBLANK('Data Entry'!$­$439), "", 'Data Entry'!$­$439)</f>
      </c>
      <c r="DF439">
        <f>IF(ISBLANK('Data Entry'!$®$439), "", 'Data Entry'!$®$439)</f>
      </c>
      <c r="DG439">
        <f>IF(ISBLANK('Data Entry'!$¯$439), "", 'Data Entry'!$¯$439)</f>
      </c>
      <c r="DH439">
        <f>IF(ISBLANK('Data Entry'!$°$439), "", 'Data Entry'!$°$439)</f>
      </c>
      <c r="DI439">
        <f>IF(ISBLANK('Data Entry'!$±$439), "", 'Data Entry'!$±$439)</f>
      </c>
      <c r="DJ439">
        <f>IF(ISBLANK('Data Entry'!$²$439), "", 'Data Entry'!$²$439)</f>
      </c>
      <c r="DK439">
        <f>IF(ISBLANK('Data Entry'!$³$439), "", 'Data Entry'!$³$439)</f>
      </c>
      <c r="DL439">
        <f>IF(ISBLANK('Data Entry'!$´$439), "", 'Data Entry'!$´$439)</f>
      </c>
      <c r="DM439">
        <f>IF(ISBLANK('Data Entry'!$µ$439), "", 'Data Entry'!$µ$439)</f>
      </c>
      <c r="DN439">
        <f>IF(ISBLANK('Data Entry'!$¶$439), "", 'Data Entry'!$¶$439)</f>
      </c>
      <c r="DO439">
        <f>IF(ISBLANK('Data Entry'!$·$439), "", 'Data Entry'!$·$439)</f>
      </c>
      <c r="DP439">
        <f>IF(ISBLANK('Data Entry'!$¸$439), "", 'Data Entry'!$¸$439)</f>
      </c>
      <c r="DQ439">
        <f>IF(ISBLANK('Data Entry'!$¹$439), "", 'Data Entry'!$¹$439)</f>
      </c>
      <c r="DR439">
        <f>IF(ISBLANK('Data Entry'!$º$439), "", 'Data Entry'!$º$439)</f>
      </c>
      <c r="DS439">
        <f>IF(ISBLANK('Data Entry'!$»$439), "", 'Data Entry'!$»$439)</f>
      </c>
      <c r="DT439">
        <f>IF(ISBLANK('Data Entry'!$¼$439), "", 'Data Entry'!$¼$439)</f>
      </c>
      <c r="DU439">
        <f>IF(ISBLANK('Data Entry'!$½$439), "", 'Data Entry'!$½$439)</f>
      </c>
      <c r="DV439">
        <f>IF(ISBLANK('Data Entry'!$¾$439), "", 'Data Entry'!$¾$439)</f>
      </c>
      <c r="DW439">
        <f>IF(ISBLANK('Data Entry'!$¿$439), "", 'Data Entry'!$¿$439)</f>
      </c>
      <c r="DX439">
        <f>IF(ISBLANK('Data Entry'!$À$439), "", 'Data Entry'!$À$439)</f>
      </c>
      <c r="DY439">
        <f>IF(ISBLANK('Data Entry'!$Á$439), "", 'Data Entry'!$Á$439)</f>
      </c>
      <c r="DZ439">
        <f>IF(ISBLANK('Data Entry'!$Â$439), "", 'Data Entry'!$Â$439)</f>
      </c>
      <c r="EA439">
        <f>IF(ISBLANK('Data Entry'!$Ã$439), "", 'Data Entry'!$Ã$439)</f>
      </c>
      <c r="EB439">
        <f>IF(ISBLANK('Data Entry'!$Ä$439), "", 'Data Entry'!$Ä$439)</f>
      </c>
      <c r="EC439">
        <f>IF(ISBLANK('Data Entry'!$Å$439), "", 'Data Entry'!$Å$439)</f>
      </c>
      <c r="ED439">
        <f>IF(ISBLANK('Data Entry'!$Æ$439), "", 'Data Entry'!$Æ$439)</f>
      </c>
      <c r="EE439">
        <f>IF(ISBLANK('Data Entry'!$Ç$439), "", 'Data Entry'!$Ç$439)</f>
      </c>
      <c r="EF439">
        <f>IF(ISBLANK('Data Entry'!$È$439), "", 'Data Entry'!$È$439)</f>
      </c>
      <c r="EG439">
        <f>IF(ISBLANK('Data Entry'!$É$439), "", 'Data Entry'!$É$439)</f>
      </c>
      <c r="EH439">
        <f>IF(ISBLANK('Data Entry'!$Ê$439), "", 'Data Entry'!$Ê$439)</f>
      </c>
      <c r="EI439">
        <f>IF(ISBLANK('Data Entry'!$Ë$439), "", 'Data Entry'!$Ë$439)</f>
      </c>
      <c r="EJ439">
        <f>IF(ISBLANK('Data Entry'!$Ì$439), "", 'Data Entry'!$Ì$439)</f>
      </c>
      <c r="EK439">
        <f>IF(ISBLANK('Data Entry'!$Í$439), "", 'Data Entry'!$Í$439)</f>
      </c>
      <c r="EL439">
        <f>IF(ISBLANK('Data Entry'!$Î$439), "", 'Data Entry'!$Î$439)</f>
      </c>
      <c r="EM439">
        <f>IF(ISBLANK('Data Entry'!$Ï$439), "", 'Data Entry'!$Ï$439)</f>
      </c>
      <c r="EN439">
        <f>IF(ISBLANK('Data Entry'!$Ð$439), "", 'Data Entry'!$Ð$439)</f>
      </c>
      <c r="EO439">
        <f>IF(ISBLANK('Data Entry'!$Ñ$439), "", 'Data Entry'!$Ñ$439)</f>
      </c>
      <c r="EP439">
        <f>IF(ISBLANK('Data Entry'!$Ò$439), "", 'Data Entry'!$Ò$439)</f>
      </c>
      <c r="EQ439">
        <f>IF(ISBLANK('Data Entry'!$Ó$439), "", 'Data Entry'!$Ó$439)</f>
      </c>
      <c r="ER439">
        <f>IF(ISBLANK('Data Entry'!$Ô$439), "", 'Data Entry'!$Ô$439)</f>
      </c>
      <c r="ES439">
        <f>IF(ISBLANK('Data Entry'!$Õ$439), "", 'Data Entry'!$Õ$439)</f>
      </c>
      <c r="ET439">
        <f>IF(ISBLANK('Data Entry'!$Ö$439), "", 'Data Entry'!$Ö$439)</f>
      </c>
      <c r="EU439">
        <f>IF(ISBLANK('Data Entry'!$×$439), "", 'Data Entry'!$×$439)</f>
      </c>
      <c r="EV439">
        <f>IF(ISBLANK('Data Entry'!$Ø$439), "", 'Data Entry'!$Ø$439)</f>
      </c>
      <c r="EW439">
        <f>IF(ISBLANK('Data Entry'!$Ù$439), "", 'Data Entry'!$Ù$439)</f>
      </c>
      <c r="EX439">
        <f>IF(ISBLANK('Data Entry'!$Ú$439), "", 'Data Entry'!$Ú$439)</f>
      </c>
      <c r="EY439">
        <f>IF(ISBLANK('Data Entry'!$Û$439), "", 'Data Entry'!$Û$439)</f>
      </c>
      <c r="EZ439">
        <f>IF(ISBLANK('Data Entry'!$Ü$439), "", 'Data Entry'!$Ü$439)</f>
      </c>
      <c r="FA439">
        <f>IF(ISBLANK('Data Entry'!$Ý$439), "", 'Data Entry'!$Ý$439)</f>
      </c>
      <c r="FB439">
        <f>IF(ISBLANK('Data Entry'!$Þ$439), "", 'Data Entry'!$Þ$439)</f>
      </c>
      <c r="FC439">
        <f>IF(ISBLANK('Data Entry'!$ß$439), "", 'Data Entry'!$ß$439)</f>
      </c>
      <c r="FD439">
        <f>IF(ISBLANK('Data Entry'!$à$439), "", 'Data Entry'!$à$439)</f>
      </c>
      <c r="FE439">
        <f>IF(ISBLANK('Data Entry'!$á$439), "", 'Data Entry'!$á$439)</f>
      </c>
      <c r="FF439">
        <f>IF(ISBLANK('Data Entry'!$â$439), "", 'Data Entry'!$â$439)</f>
      </c>
      <c r="FG439">
        <f>IF(ISBLANK('Data Entry'!$ã$439), "", 'Data Entry'!$ã$439)</f>
      </c>
      <c r="FH439">
        <f>IF(ISBLANK('Data Entry'!$ä$439), "", 'Data Entry'!$ä$439)</f>
      </c>
      <c r="FI439">
        <f>IF(ISBLANK('Data Entry'!$å$439), "", 'Data Entry'!$å$439)</f>
      </c>
      <c r="FJ439">
        <f>IF(ISBLANK('Data Entry'!$æ$439), "", 'Data Entry'!$æ$439)</f>
      </c>
      <c r="FK439">
        <f>IF(ISBLANK('Data Entry'!$ç$439), "", 'Data Entry'!$ç$439)</f>
      </c>
      <c r="FL439">
        <f>IF(ISBLANK('Data Entry'!$è$439), "", 'Data Entry'!$è$439)</f>
      </c>
      <c r="FM439">
        <f>IF(ISBLANK('Data Entry'!$é$439), "", 'Data Entry'!$é$439)</f>
      </c>
      <c r="FN439">
        <f>IF(ISBLANK('Data Entry'!$ê$439), "", 'Data Entry'!$ê$439)</f>
      </c>
      <c r="FO439">
        <f>IF(ISBLANK('Data Entry'!$ë$439), "", 'Data Entry'!$ë$439)</f>
      </c>
      <c r="FP439">
        <f>IF(ISBLANK('Data Entry'!$ì$439), "", 'Data Entry'!$ì$439)</f>
      </c>
      <c r="FQ439">
        <f>IF(ISBLANK('Data Entry'!$í$439), "", 'Data Entry'!$í$439)</f>
      </c>
      <c r="FR439">
        <f>IF(ISBLANK('Data Entry'!$î$439), "", 'Data Entry'!$î$439)</f>
      </c>
      <c r="FS439">
        <f>IF(ISBLANK('Data Entry'!$ï$439), "", 'Data Entry'!$ï$439)</f>
      </c>
      <c r="FT439">
        <f>IF(ISBLANK('Data Entry'!$ð$439), "", 'Data Entry'!$ð$439)</f>
      </c>
      <c r="FU439">
        <f>IF(ISBLANK('Data Entry'!$ñ$439), "", 'Data Entry'!$ñ$439)</f>
      </c>
      <c r="FV439">
        <f>IF(ISBLANK('Data Entry'!$ò$439), "", 'Data Entry'!$ò$439)</f>
      </c>
      <c r="FW439">
        <f>IF(ISBLANK('Data Entry'!$ó$439), "", 'Data Entry'!$ó$439)</f>
      </c>
      <c r="FX439">
        <f>IF(ISBLANK('Data Entry'!$ô$439), "", 'Data Entry'!$ô$439)</f>
      </c>
      <c r="FY439">
        <f>IF(ISBLANK('Data Entry'!$õ$439), "", 'Data Entry'!$õ$439)</f>
      </c>
      <c r="FZ439">
        <f>IF(ISBLANK('Data Entry'!$ö$439), "", 'Data Entry'!$ö$439)</f>
      </c>
      <c r="GA439">
        <f>IF(ISBLANK('Data Entry'!$÷$439), "", 'Data Entry'!$÷$439)</f>
      </c>
      <c r="GB439">
        <f>IF(ISBLANK('Data Entry'!$ø$439), "", 'Data Entry'!$ø$439)</f>
      </c>
      <c r="GC439">
        <f>IF(ISBLANK('Data Entry'!$ù$439), "", 'Data Entry'!$ù$439)</f>
      </c>
      <c r="GD439">
        <f>IF(ISBLANK('Data Entry'!$ú$439), "", 'Data Entry'!$ú$439)</f>
      </c>
      <c r="GE439">
        <f>IF(ISBLANK('Data Entry'!$û$439), "", 'Data Entry'!$û$439)</f>
      </c>
      <c r="GF439">
        <f>IF(ISBLANK('Data Entry'!$ü$439), "", 'Data Entry'!$ü$439)</f>
      </c>
      <c r="GG439">
        <f>IF(ISBLANK('Data Entry'!$ý$439), "", 'Data Entry'!$ý$439)</f>
      </c>
      <c r="GH439">
        <f>IF(ISBLANK('Data Entry'!$þ$439), "", 'Data Entry'!$þ$439)</f>
      </c>
      <c r="GI439">
        <f>IF(ISBLANK('Data Entry'!$ÿ$439), "", 'Data Entry'!$ÿ$439)</f>
      </c>
      <c r="GJ439">
        <f>IF(ISBLANK('Data Entry'!$Ā$439), "", 'Data Entry'!$Ā$439)</f>
      </c>
      <c r="GK439">
        <f>IF(ISBLANK('Data Entry'!$ā$439), "", 'Data Entry'!$ā$439)</f>
      </c>
      <c r="GL439">
        <f>IF(ISBLANK('Data Entry'!$Ă$439), "", 'Data Entry'!$Ă$439)</f>
      </c>
      <c r="GM439">
        <f>IF(ISBLANK('Data Entry'!$ă$439), "", 'Data Entry'!$ă$439)</f>
      </c>
      <c r="GN439">
        <f>IF(ISBLANK('Data Entry'!$Ą$439), "", 'Data Entry'!$Ą$439)</f>
      </c>
      <c r="GO439">
        <f>IF(ISBLANK('Data Entry'!$ą$439), "", 'Data Entry'!$ą$439)</f>
      </c>
      <c r="GP439">
        <f>IF(ISBLANK('Data Entry'!$Ć$439), "", 'Data Entry'!$Ć$439)</f>
      </c>
      <c r="GQ439">
        <f>IF(ISBLANK('Data Entry'!$ć$439), "", 'Data Entry'!$ć$439)</f>
      </c>
      <c r="GR439">
        <f>IF(ISBLANK('Data Entry'!$Ĉ$439), "", 'Data Entry'!$Ĉ$439)</f>
      </c>
      <c r="GS439">
        <f>IF(ISBLANK('Data Entry'!$ĉ$439), "", 'Data Entry'!$ĉ$439)</f>
      </c>
      <c r="GT439">
        <f>IF(ISBLANK('Data Entry'!$Ċ$439), "", 'Data Entry'!$Ċ$439)</f>
      </c>
      <c r="GU439">
        <f>IF(ISBLANK('Data Entry'!$ċ$439), "", 'Data Entry'!$ċ$439)</f>
      </c>
      <c r="GV439">
        <f>IF(ISBLANK('Data Entry'!$Č$439), "", 'Data Entry'!$Č$439)</f>
      </c>
      <c r="GW439">
        <f>IF(ISBLANK('Data Entry'!$č$439), "", 'Data Entry'!$č$439)</f>
      </c>
      <c r="GX439">
        <f>IF(ISBLANK('Data Entry'!$Ď$439), "", 'Data Entry'!$Ď$439)</f>
      </c>
      <c r="GY439">
        <f>IF(ISBLANK('Data Entry'!$ď$439), "", 'Data Entry'!$ď$439)</f>
      </c>
      <c r="GZ439">
        <f>IF(ISBLANK('Data Entry'!$Đ$439), "", 'Data Entry'!$Đ$439)</f>
      </c>
      <c r="HA439">
        <f>IF(ISBLANK('Data Entry'!$đ$439), "", 'Data Entry'!$đ$439)</f>
      </c>
      <c r="HB439">
        <f>IF(ISBLANK('Data Entry'!$Ē$439), "", 'Data Entry'!$Ē$439)</f>
      </c>
      <c r="HC439">
        <f>IF(ISBLANK('Data Entry'!$ē$439), "", 'Data Entry'!$ē$439)</f>
      </c>
      <c r="HD439">
        <f>IF(ISBLANK('Data Entry'!$Ĕ$439), "", 'Data Entry'!$Ĕ$439)</f>
      </c>
      <c r="HE439">
        <f>IF(ISBLANK('Data Entry'!$ĕ$439), "", 'Data Entry'!$ĕ$439)</f>
      </c>
      <c r="HF439">
        <f>IF(ISBLANK('Data Entry'!$Ė$439), "", 'Data Entry'!$Ė$439)</f>
      </c>
      <c r="HG439">
        <f>IF(ISBLANK('Data Entry'!$ė$439), "", 'Data Entry'!$ė$439)</f>
      </c>
      <c r="HH439">
        <f>IF(ISBLANK('Data Entry'!$Ę$439), "", 'Data Entry'!$Ę$439)</f>
      </c>
      <c r="HI439">
        <f>IF(ISBLANK('Data Entry'!$ę$439), "", 'Data Entry'!$ę$439)</f>
      </c>
      <c r="HJ439">
        <f>IF(ISBLANK('Data Entry'!$Ě$439), "", 'Data Entry'!$Ě$439)</f>
      </c>
      <c r="HK439">
        <f>IF(ISBLANK('Data Entry'!$ě$439), "", 'Data Entry'!$ě$439)</f>
      </c>
      <c r="HL439">
        <f>IF(ISBLANK('Data Entry'!$Ĝ$439), "", 'Data Entry'!$Ĝ$439)</f>
      </c>
      <c r="HM439">
        <f>IF(ISBLANK('Data Entry'!$ĝ$439), "", 'Data Entry'!$ĝ$439)</f>
      </c>
      <c r="HN439">
        <f>IF(ISBLANK('Data Entry'!$Ğ$439), "", 'Data Entry'!$Ğ$439)</f>
      </c>
      <c r="HO439">
        <f>IF(ISBLANK('Data Entry'!$ğ$439), "", 'Data Entry'!$ğ$439)</f>
      </c>
      <c r="HP439">
        <f>IF(ISBLANK('Data Entry'!$Ġ$439), "", 'Data Entry'!$Ġ$439)</f>
      </c>
      <c r="HQ439">
        <f>IF(ISBLANK('Data Entry'!$ġ$439), "", 'Data Entry'!$ġ$439)</f>
      </c>
      <c r="HR439">
        <f>IF(ISBLANK('Data Entry'!$Ģ$439), "", 'Data Entry'!$Ģ$439)</f>
      </c>
      <c r="HS439">
        <f>IF(ISBLANK('Data Entry'!$ģ$439), "", 'Data Entry'!$ģ$439)</f>
      </c>
      <c r="HT439">
        <f>IF(ISBLANK('Data Entry'!$Ĥ$439), "", 'Data Entry'!$Ĥ$439)</f>
      </c>
      <c r="HU439">
        <f>IF(ISBLANK('Data Entry'!$ĥ$439), "", 'Data Entry'!$ĥ$439)</f>
      </c>
      <c r="HV439">
        <f>IF(ISBLANK('Data Entry'!$Ħ$439), "", 'Data Entry'!$Ħ$439)</f>
      </c>
      <c r="HW439">
        <f>IF(ISBLANK('Data Entry'!$ħ$439), "", 'Data Entry'!$ħ$439)</f>
      </c>
      <c r="HX439">
        <f>IF(ISBLANK('Data Entry'!$Ĩ$439), "", 'Data Entry'!$Ĩ$439)</f>
      </c>
      <c r="HY439">
        <f>IF(ISBLANK('Data Entry'!$ĩ$439), "", 'Data Entry'!$ĩ$439)</f>
      </c>
      <c r="HZ439">
        <f>IF(ISBLANK('Data Entry'!$Ī$439), "", 'Data Entry'!$Ī$439)</f>
      </c>
      <c r="IA439">
        <f>IF(ISBLANK('Data Entry'!$ī$439), "", 'Data Entry'!$ī$439)</f>
      </c>
      <c r="IB439">
        <f>IF(ISBLANK('Data Entry'!$Ĭ$439), "", 'Data Entry'!$Ĭ$439)</f>
      </c>
      <c r="IC439">
        <f>IF(ISBLANK('Data Entry'!$ĭ$439), "", 'Data Entry'!$ĭ$439)</f>
      </c>
      <c r="ID439">
        <f>IF(ISBLANK('Data Entry'!$Į$439), "", 'Data Entry'!$Į$439)</f>
      </c>
      <c r="IE439">
        <f>IF(ISBLANK('Data Entry'!$į$439), "", 'Data Entry'!$į$439)</f>
      </c>
      <c r="IF439">
        <f>IF(ISBLANK('Data Entry'!$İ$439), "", 'Data Entry'!$İ$439)</f>
      </c>
      <c r="IG439">
        <f>IF(ISBLANK('Data Entry'!$ı$439), "", 'Data Entry'!$ı$439)</f>
      </c>
      <c r="IH439">
        <f>IF(ISBLANK('Data Entry'!$Ĳ$439), "", 'Data Entry'!$Ĳ$439)</f>
      </c>
      <c r="II439">
        <f>IF(ISBLANK('Data Entry'!$ĳ$439), "", 'Data Entry'!$ĳ$439)</f>
      </c>
      <c r="IJ439">
        <f>IF(ISBLANK('Data Entry'!$Ĵ$439), "", 'Data Entry'!$Ĵ$439)</f>
      </c>
      <c r="IK439">
        <f>IF(ISBLANK('Data Entry'!$ĵ$439), "", 'Data Entry'!$ĵ$439)</f>
      </c>
      <c r="IL439">
        <f>IF(ISBLANK('Data Entry'!$Ķ$439), "", 'Data Entry'!$Ķ$439)</f>
      </c>
      <c r="IM439">
        <f>IF(ISBLANK('Data Entry'!$ķ$439), "", 'Data Entry'!$ķ$439)</f>
      </c>
      <c r="IN439">
        <f>IF(ISBLANK('Data Entry'!$ĸ$439), "", 'Data Entry'!$ĸ$439)</f>
      </c>
      <c r="IO439">
        <f>IF(ISBLANK('Data Entry'!$Ĺ$439), "", 'Data Entry'!$Ĺ$439)</f>
      </c>
      <c r="IP439">
        <f>IF(ISBLANK('Data Entry'!$ĺ$439), "", 'Data Entry'!$ĺ$439)</f>
      </c>
      <c r="IQ439">
        <f>IF(ISBLANK('Data Entry'!$Ļ$439), "", 'Data Entry'!$Ļ$439)</f>
      </c>
      <c r="IR439">
        <f>IF(ISBLANK('Data Entry'!$ļ$439), "", 'Data Entry'!$ļ$439)</f>
      </c>
      <c r="IS439">
        <f>IF(ISBLANK('Data Entry'!$Ľ$439), "", 'Data Entry'!$Ľ$439)</f>
      </c>
      <c r="IT439">
        <f>IF(ISBLANK('Data Entry'!$ľ$439), "", 'Data Entry'!$ľ$439)</f>
      </c>
    </row>
    <row r="440" spans="1:254" x14ac:dyDescent="0.25">
      <c r="A440">
        <f>IF(ISBLANK('Data Entry'!$A$440), "", 'Data Entry'!$A$440)</f>
      </c>
      <c r="B440">
        <f>IF(ISBLANK('Data Entry'!$B$440), "", 'Data Entry'!$B$440)</f>
      </c>
      <c r="C440">
        <f>IF(ISBLANK('Data Entry'!$C$440), "", 'Data Entry'!$C$440)</f>
      </c>
      <c r="D440">
        <f>IF(ISBLANK('Data Entry'!$D$440), "", 'Data Entry'!$D$440)</f>
      </c>
      <c r="E440">
        <f>IF(ISBLANK('Data Entry'!$E$440), "", 'Data Entry'!$E$440)</f>
      </c>
      <c r="F440">
        <f>IF(ISBLANK('Data Entry'!$F$440), "", 'Data Entry'!$F$440)</f>
      </c>
      <c r="G440">
        <f>IF(ISBLANK('Data Entry'!$G$440), "", 'Data Entry'!$G$440)</f>
      </c>
      <c r="H440">
        <f>IF(ISBLANK('Data Entry'!$H$440), "", 'Data Entry'!$H$440)</f>
      </c>
      <c r="I440">
        <f>IF(ISBLANK('Data Entry'!$I$440), "", 'Data Entry'!$I$440)</f>
      </c>
      <c r="J440">
        <f>IF(ISBLANK('Data Entry'!$J$440), "", 'Data Entry'!$J$440)</f>
      </c>
      <c r="K440">
        <f>IF(ISBLANK('Data Entry'!$K$440), "", 'Data Entry'!$K$440)</f>
      </c>
      <c r="L440">
        <f>IF(ISBLANK('Data Entry'!$L$440), "", 'Data Entry'!$L$440)</f>
      </c>
      <c r="M440">
        <f>IF(ISBLANK('Data Entry'!$M$440), "", 'Data Entry'!$M$440)</f>
      </c>
      <c r="N440">
        <f>IF(ISBLANK('Data Entry'!$N$440), "", 'Data Entry'!$N$440)</f>
      </c>
      <c r="O440">
        <f>IF(ISBLANK('Data Entry'!$O$440), "", 'Data Entry'!$O$440)</f>
      </c>
      <c r="P440">
        <f>IF(ISBLANK('Data Entry'!$P$440), "", 'Data Entry'!$P$440)</f>
      </c>
      <c r="Q440">
        <f>IF(ISBLANK('Data Entry'!$Q$440), "", 'Data Entry'!$Q$440)</f>
      </c>
      <c r="R440">
        <f>IF(ISBLANK('Data Entry'!$R$440), "", 'Data Entry'!$R$440)</f>
      </c>
      <c r="S440">
        <f>IF(ISBLANK('Data Entry'!$S$440), "", 'Data Entry'!$S$440)</f>
      </c>
      <c r="T440">
        <f>IF(ISBLANK('Data Entry'!$T$440), "", 'Data Entry'!$T$440)</f>
      </c>
      <c r="U440">
        <f>IF(ISBLANK('Data Entry'!$U$440), "", 'Data Entry'!$U$440)</f>
      </c>
      <c r="V440">
        <f>IF(ISBLANK('Data Entry'!$V$440), "", 'Data Entry'!$V$440)</f>
      </c>
      <c r="W440">
        <f>IF(ISBLANK('Data Entry'!$W$440), "", 'Data Entry'!$W$440)</f>
      </c>
      <c r="X440">
        <f>IF(ISBLANK('Data Entry'!$X$440), "", 'Data Entry'!$X$440)</f>
      </c>
      <c r="Y440">
        <f>IF(ISBLANK('Data Entry'!$Y$440), "", 'Data Entry'!$Y$440)</f>
      </c>
      <c r="Z440">
        <f>IF(ISBLANK('Data Entry'!$Z$440), "", 'Data Entry'!$Z$440)</f>
      </c>
      <c r="AA440">
        <f>IF(ISBLANK('Data Entry'!$[$440), "", 'Data Entry'!$[$440)</f>
      </c>
      <c r="AB440">
        <f>IF(ISBLANK('Data Entry'!$\$440), "", 'Data Entry'!$\$440)</f>
      </c>
      <c r="AC440">
        <f>IF(ISBLANK('Data Entry'!$]$440), "", 'Data Entry'!$]$440)</f>
      </c>
      <c r="AD440">
        <f>IF(ISBLANK('Data Entry'!$^$440), "", 'Data Entry'!$^$440)</f>
      </c>
      <c r="AE440">
        <f>IF(ISBLANK('Data Entry'!$_$440), "", 'Data Entry'!$_$440)</f>
      </c>
      <c r="AF440">
        <f>IF(ISBLANK('Data Entry'!$`$440), "", 'Data Entry'!$`$440)</f>
      </c>
      <c r="AG440">
        <f>IF(ISBLANK('Data Entry'!$a$440), "", 'Data Entry'!$a$440)</f>
      </c>
      <c r="AH440">
        <f>IF(ISBLANK('Data Entry'!$b$440), "", 'Data Entry'!$b$440)</f>
      </c>
      <c r="AI440">
        <f>IF(ISBLANK('Data Entry'!$c$440), "", 'Data Entry'!$c$440)</f>
      </c>
      <c r="AJ440">
        <f>IF(ISBLANK('Data Entry'!$d$440), "", 'Data Entry'!$d$440)</f>
      </c>
      <c r="AK440">
        <f>IF(ISBLANK('Data Entry'!$e$440), "", 'Data Entry'!$e$440)</f>
      </c>
      <c r="AL440">
        <f>IF(ISBLANK('Data Entry'!$f$440), "", 'Data Entry'!$f$440)</f>
      </c>
      <c r="AM440">
        <f>IF(ISBLANK('Data Entry'!$g$440), "", 'Data Entry'!$g$440)</f>
      </c>
      <c r="AN440">
        <f>IF(ISBLANK('Data Entry'!$h$440), "", 'Data Entry'!$h$440)</f>
      </c>
      <c r="AO440">
        <f>IF(ISBLANK('Data Entry'!$i$440), "", 'Data Entry'!$i$440)</f>
      </c>
      <c r="AP440">
        <f>IF(ISBLANK('Data Entry'!$j$440), "", 'Data Entry'!$j$440)</f>
      </c>
      <c r="AQ440">
        <f>IF(ISBLANK('Data Entry'!$k$440), "", 'Data Entry'!$k$440)</f>
      </c>
      <c r="AR440">
        <f>IF(ISBLANK('Data Entry'!$l$440), "", 'Data Entry'!$l$440)</f>
      </c>
      <c r="AS440">
        <f>IF(ISBLANK('Data Entry'!$m$440), "", 'Data Entry'!$m$440)</f>
      </c>
      <c r="AT440">
        <f>IF(ISBLANK('Data Entry'!$n$440), "", 'Data Entry'!$n$440)</f>
      </c>
      <c r="AU440">
        <f>IF(ISBLANK('Data Entry'!$o$440), "", 'Data Entry'!$o$440)</f>
      </c>
      <c r="AV440">
        <f>IF(ISBLANK('Data Entry'!$p$440), "", 'Data Entry'!$p$440)</f>
      </c>
      <c r="AW440">
        <f>IF(ISBLANK('Data Entry'!$q$440), "", 'Data Entry'!$q$440)</f>
      </c>
      <c r="AX440">
        <f>IF(ISBLANK('Data Entry'!$r$440), "", 'Data Entry'!$r$440)</f>
      </c>
      <c r="AY440">
        <f>IF(ISBLANK('Data Entry'!$s$440), "", 'Data Entry'!$s$440)</f>
      </c>
      <c r="AZ440">
        <f>IF(ISBLANK('Data Entry'!$t$440), "", 'Data Entry'!$t$440)</f>
      </c>
      <c r="BA440">
        <f>IF(ISBLANK('Data Entry'!$u$440), "", 'Data Entry'!$u$440)</f>
      </c>
      <c r="BB440">
        <f>IF(ISBLANK('Data Entry'!$v$440), "", 'Data Entry'!$v$440)</f>
      </c>
      <c r="BC440">
        <f>IF(ISBLANK('Data Entry'!$w$440), "", 'Data Entry'!$w$440)</f>
      </c>
      <c r="BD440">
        <f>IF(ISBLANK('Data Entry'!$x$440), "", 'Data Entry'!$x$440)</f>
      </c>
      <c r="BE440">
        <f>IF(ISBLANK('Data Entry'!$y$440), "", 'Data Entry'!$y$440)</f>
      </c>
      <c r="BF440">
        <f>IF(ISBLANK('Data Entry'!$z$440), "", 'Data Entry'!$z$440)</f>
      </c>
      <c r="BG440">
        <f>IF(ISBLANK('Data Entry'!${$440), "", 'Data Entry'!${$440)</f>
      </c>
      <c r="BH440">
        <f>IF(ISBLANK('Data Entry'!$|$440), "", 'Data Entry'!$|$440)</f>
      </c>
      <c r="BI440">
        <f>IF(ISBLANK('Data Entry'!$}$440), "", 'Data Entry'!$}$440)</f>
      </c>
      <c r="BJ440">
        <f>IF(ISBLANK('Data Entry'!$~$440), "", 'Data Entry'!$~$440)</f>
      </c>
      <c r="BK440">
        <f>IF(ISBLANK('Data Entry'!$$440), "", 'Data Entry'!$$440)</f>
      </c>
      <c r="BL440">
        <f>IF(ISBLANK('Data Entry'!$$440), "", 'Data Entry'!$$440)</f>
      </c>
      <c r="BM440">
        <f>IF(ISBLANK('Data Entry'!$$440), "", 'Data Entry'!$$440)</f>
      </c>
      <c r="BN440">
        <f>IF(ISBLANK('Data Entry'!$$440), "", 'Data Entry'!$$440)</f>
      </c>
      <c r="BO440">
        <f>IF(ISBLANK('Data Entry'!$$440), "", 'Data Entry'!$$440)</f>
      </c>
      <c r="BP440">
        <f>IF(ISBLANK('Data Entry'!$$440), "", 'Data Entry'!$$440)</f>
      </c>
      <c r="BQ440">
        <f>IF(ISBLANK('Data Entry'!$$440), "", 'Data Entry'!$$440)</f>
      </c>
      <c r="BR440">
        <f>IF(ISBLANK('Data Entry'!$$440), "", 'Data Entry'!$$440)</f>
      </c>
      <c r="BS440">
        <f>IF(ISBLANK('Data Entry'!$$440), "", 'Data Entry'!$$440)</f>
      </c>
      <c r="BT440">
        <f>IF(ISBLANK('Data Entry'!$$440), "", 'Data Entry'!$$440)</f>
      </c>
      <c r="BU440">
        <f>IF(ISBLANK('Data Entry'!$$440), "", 'Data Entry'!$$440)</f>
      </c>
      <c r="BV440">
        <f>IF(ISBLANK('Data Entry'!$$440), "", 'Data Entry'!$$440)</f>
      </c>
      <c r="BW440">
        <f>IF(ISBLANK('Data Entry'!$$440), "", 'Data Entry'!$$440)</f>
      </c>
      <c r="BX440">
        <f>IF(ISBLANK('Data Entry'!$$440), "", 'Data Entry'!$$440)</f>
      </c>
      <c r="BY440">
        <f>IF(ISBLANK('Data Entry'!$$440), "", 'Data Entry'!$$440)</f>
      </c>
      <c r="BZ440">
        <f>IF(ISBLANK('Data Entry'!$$440), "", 'Data Entry'!$$440)</f>
      </c>
      <c r="CA440">
        <f>IF(ISBLANK('Data Entry'!$$440), "", 'Data Entry'!$$440)</f>
      </c>
      <c r="CB440">
        <f>IF(ISBLANK('Data Entry'!$$440), "", 'Data Entry'!$$440)</f>
      </c>
      <c r="CC440">
        <f>IF(ISBLANK('Data Entry'!$$440), "", 'Data Entry'!$$440)</f>
      </c>
      <c r="CD440">
        <f>IF(ISBLANK('Data Entry'!$$440), "", 'Data Entry'!$$440)</f>
      </c>
      <c r="CE440">
        <f>IF(ISBLANK('Data Entry'!$$440), "", 'Data Entry'!$$440)</f>
      </c>
      <c r="CF440">
        <f>IF(ISBLANK('Data Entry'!$$440), "", 'Data Entry'!$$440)</f>
      </c>
      <c r="CG440">
        <f>IF(ISBLANK('Data Entry'!$$440), "", 'Data Entry'!$$440)</f>
      </c>
      <c r="CH440">
        <f>IF(ISBLANK('Data Entry'!$$440), "", 'Data Entry'!$$440)</f>
      </c>
      <c r="CI440">
        <f>IF(ISBLANK('Data Entry'!$$440), "", 'Data Entry'!$$440)</f>
      </c>
      <c r="CJ440">
        <f>IF(ISBLANK('Data Entry'!$$440), "", 'Data Entry'!$$440)</f>
      </c>
      <c r="CK440">
        <f>IF(ISBLANK('Data Entry'!$$440), "", 'Data Entry'!$$440)</f>
      </c>
      <c r="CL440">
        <f>IF(ISBLANK('Data Entry'!$$440), "", 'Data Entry'!$$440)</f>
      </c>
      <c r="CM440">
        <f>IF(ISBLANK('Data Entry'!$$440), "", 'Data Entry'!$$440)</f>
      </c>
      <c r="CN440">
        <f>IF(ISBLANK('Data Entry'!$$440), "", 'Data Entry'!$$440)</f>
      </c>
      <c r="CO440">
        <f>IF(ISBLANK('Data Entry'!$$440), "", 'Data Entry'!$$440)</f>
      </c>
      <c r="CP440">
        <f>IF(ISBLANK('Data Entry'!$$440), "", 'Data Entry'!$$440)</f>
      </c>
      <c r="CQ440">
        <f>IF(ISBLANK('Data Entry'!$$440), "", 'Data Entry'!$$440)</f>
      </c>
      <c r="CR440">
        <f>IF(ISBLANK('Data Entry'!$ $440), "", 'Data Entry'!$ $440)</f>
      </c>
      <c r="CS440">
        <f>IF(ISBLANK('Data Entry'!$¡$440), "", 'Data Entry'!$¡$440)</f>
      </c>
      <c r="CT440">
        <f>IF(ISBLANK('Data Entry'!$¢$440), "", 'Data Entry'!$¢$440)</f>
      </c>
      <c r="CU440">
        <f>IF(ISBLANK('Data Entry'!$£$440), "", 'Data Entry'!$£$440)</f>
      </c>
      <c r="CV440">
        <f>IF(ISBLANK('Data Entry'!$¤$440), "", 'Data Entry'!$¤$440)</f>
      </c>
      <c r="CW440">
        <f>IF(ISBLANK('Data Entry'!$¥$440), "", 'Data Entry'!$¥$440)</f>
      </c>
      <c r="CX440">
        <f>IF(ISBLANK('Data Entry'!$¦$440), "", 'Data Entry'!$¦$440)</f>
      </c>
      <c r="CY440">
        <f>IF(ISBLANK('Data Entry'!$§$440), "", 'Data Entry'!$§$440)</f>
      </c>
      <c r="CZ440">
        <f>IF(ISBLANK('Data Entry'!$¨$440), "", 'Data Entry'!$¨$440)</f>
      </c>
      <c r="DA440">
        <f>IF(ISBLANK('Data Entry'!$©$440), "", 'Data Entry'!$©$440)</f>
      </c>
      <c r="DB440">
        <f>IF(ISBLANK('Data Entry'!$ª$440), "", 'Data Entry'!$ª$440)</f>
      </c>
      <c r="DC440">
        <f>IF(ISBLANK('Data Entry'!$«$440), "", 'Data Entry'!$«$440)</f>
      </c>
      <c r="DD440">
        <f>IF(ISBLANK('Data Entry'!$¬$440), "", 'Data Entry'!$¬$440)</f>
      </c>
      <c r="DE440">
        <f>IF(ISBLANK('Data Entry'!$­$440), "", 'Data Entry'!$­$440)</f>
      </c>
      <c r="DF440">
        <f>IF(ISBLANK('Data Entry'!$®$440), "", 'Data Entry'!$®$440)</f>
      </c>
      <c r="DG440">
        <f>IF(ISBLANK('Data Entry'!$¯$440), "", 'Data Entry'!$¯$440)</f>
      </c>
      <c r="DH440">
        <f>IF(ISBLANK('Data Entry'!$°$440), "", 'Data Entry'!$°$440)</f>
      </c>
      <c r="DI440">
        <f>IF(ISBLANK('Data Entry'!$±$440), "", 'Data Entry'!$±$440)</f>
      </c>
      <c r="DJ440">
        <f>IF(ISBLANK('Data Entry'!$²$440), "", 'Data Entry'!$²$440)</f>
      </c>
      <c r="DK440">
        <f>IF(ISBLANK('Data Entry'!$³$440), "", 'Data Entry'!$³$440)</f>
      </c>
      <c r="DL440">
        <f>IF(ISBLANK('Data Entry'!$´$440), "", 'Data Entry'!$´$440)</f>
      </c>
      <c r="DM440">
        <f>IF(ISBLANK('Data Entry'!$µ$440), "", 'Data Entry'!$µ$440)</f>
      </c>
      <c r="DN440">
        <f>IF(ISBLANK('Data Entry'!$¶$440), "", 'Data Entry'!$¶$440)</f>
      </c>
      <c r="DO440">
        <f>IF(ISBLANK('Data Entry'!$·$440), "", 'Data Entry'!$·$440)</f>
      </c>
      <c r="DP440">
        <f>IF(ISBLANK('Data Entry'!$¸$440), "", 'Data Entry'!$¸$440)</f>
      </c>
      <c r="DQ440">
        <f>IF(ISBLANK('Data Entry'!$¹$440), "", 'Data Entry'!$¹$440)</f>
      </c>
      <c r="DR440">
        <f>IF(ISBLANK('Data Entry'!$º$440), "", 'Data Entry'!$º$440)</f>
      </c>
      <c r="DS440">
        <f>IF(ISBLANK('Data Entry'!$»$440), "", 'Data Entry'!$»$440)</f>
      </c>
      <c r="DT440">
        <f>IF(ISBLANK('Data Entry'!$¼$440), "", 'Data Entry'!$¼$440)</f>
      </c>
      <c r="DU440">
        <f>IF(ISBLANK('Data Entry'!$½$440), "", 'Data Entry'!$½$440)</f>
      </c>
      <c r="DV440">
        <f>IF(ISBLANK('Data Entry'!$¾$440), "", 'Data Entry'!$¾$440)</f>
      </c>
      <c r="DW440">
        <f>IF(ISBLANK('Data Entry'!$¿$440), "", 'Data Entry'!$¿$440)</f>
      </c>
      <c r="DX440">
        <f>IF(ISBLANK('Data Entry'!$À$440), "", 'Data Entry'!$À$440)</f>
      </c>
      <c r="DY440">
        <f>IF(ISBLANK('Data Entry'!$Á$440), "", 'Data Entry'!$Á$440)</f>
      </c>
      <c r="DZ440">
        <f>IF(ISBLANK('Data Entry'!$Â$440), "", 'Data Entry'!$Â$440)</f>
      </c>
      <c r="EA440">
        <f>IF(ISBLANK('Data Entry'!$Ã$440), "", 'Data Entry'!$Ã$440)</f>
      </c>
      <c r="EB440">
        <f>IF(ISBLANK('Data Entry'!$Ä$440), "", 'Data Entry'!$Ä$440)</f>
      </c>
      <c r="EC440">
        <f>IF(ISBLANK('Data Entry'!$Å$440), "", 'Data Entry'!$Å$440)</f>
      </c>
      <c r="ED440">
        <f>IF(ISBLANK('Data Entry'!$Æ$440), "", 'Data Entry'!$Æ$440)</f>
      </c>
      <c r="EE440">
        <f>IF(ISBLANK('Data Entry'!$Ç$440), "", 'Data Entry'!$Ç$440)</f>
      </c>
      <c r="EF440">
        <f>IF(ISBLANK('Data Entry'!$È$440), "", 'Data Entry'!$È$440)</f>
      </c>
      <c r="EG440">
        <f>IF(ISBLANK('Data Entry'!$É$440), "", 'Data Entry'!$É$440)</f>
      </c>
      <c r="EH440">
        <f>IF(ISBLANK('Data Entry'!$Ê$440), "", 'Data Entry'!$Ê$440)</f>
      </c>
      <c r="EI440">
        <f>IF(ISBLANK('Data Entry'!$Ë$440), "", 'Data Entry'!$Ë$440)</f>
      </c>
      <c r="EJ440">
        <f>IF(ISBLANK('Data Entry'!$Ì$440), "", 'Data Entry'!$Ì$440)</f>
      </c>
      <c r="EK440">
        <f>IF(ISBLANK('Data Entry'!$Í$440), "", 'Data Entry'!$Í$440)</f>
      </c>
      <c r="EL440">
        <f>IF(ISBLANK('Data Entry'!$Î$440), "", 'Data Entry'!$Î$440)</f>
      </c>
      <c r="EM440">
        <f>IF(ISBLANK('Data Entry'!$Ï$440), "", 'Data Entry'!$Ï$440)</f>
      </c>
      <c r="EN440">
        <f>IF(ISBLANK('Data Entry'!$Ð$440), "", 'Data Entry'!$Ð$440)</f>
      </c>
      <c r="EO440">
        <f>IF(ISBLANK('Data Entry'!$Ñ$440), "", 'Data Entry'!$Ñ$440)</f>
      </c>
      <c r="EP440">
        <f>IF(ISBLANK('Data Entry'!$Ò$440), "", 'Data Entry'!$Ò$440)</f>
      </c>
      <c r="EQ440">
        <f>IF(ISBLANK('Data Entry'!$Ó$440), "", 'Data Entry'!$Ó$440)</f>
      </c>
      <c r="ER440">
        <f>IF(ISBLANK('Data Entry'!$Ô$440), "", 'Data Entry'!$Ô$440)</f>
      </c>
      <c r="ES440">
        <f>IF(ISBLANK('Data Entry'!$Õ$440), "", 'Data Entry'!$Õ$440)</f>
      </c>
      <c r="ET440">
        <f>IF(ISBLANK('Data Entry'!$Ö$440), "", 'Data Entry'!$Ö$440)</f>
      </c>
      <c r="EU440">
        <f>IF(ISBLANK('Data Entry'!$×$440), "", 'Data Entry'!$×$440)</f>
      </c>
      <c r="EV440">
        <f>IF(ISBLANK('Data Entry'!$Ø$440), "", 'Data Entry'!$Ø$440)</f>
      </c>
      <c r="EW440">
        <f>IF(ISBLANK('Data Entry'!$Ù$440), "", 'Data Entry'!$Ù$440)</f>
      </c>
      <c r="EX440">
        <f>IF(ISBLANK('Data Entry'!$Ú$440), "", 'Data Entry'!$Ú$440)</f>
      </c>
      <c r="EY440">
        <f>IF(ISBLANK('Data Entry'!$Û$440), "", 'Data Entry'!$Û$440)</f>
      </c>
      <c r="EZ440">
        <f>IF(ISBLANK('Data Entry'!$Ü$440), "", 'Data Entry'!$Ü$440)</f>
      </c>
      <c r="FA440">
        <f>IF(ISBLANK('Data Entry'!$Ý$440), "", 'Data Entry'!$Ý$440)</f>
      </c>
      <c r="FB440">
        <f>IF(ISBLANK('Data Entry'!$Þ$440), "", 'Data Entry'!$Þ$440)</f>
      </c>
      <c r="FC440">
        <f>IF(ISBLANK('Data Entry'!$ß$440), "", 'Data Entry'!$ß$440)</f>
      </c>
      <c r="FD440">
        <f>IF(ISBLANK('Data Entry'!$à$440), "", 'Data Entry'!$à$440)</f>
      </c>
      <c r="FE440">
        <f>IF(ISBLANK('Data Entry'!$á$440), "", 'Data Entry'!$á$440)</f>
      </c>
      <c r="FF440">
        <f>IF(ISBLANK('Data Entry'!$â$440), "", 'Data Entry'!$â$440)</f>
      </c>
      <c r="FG440">
        <f>IF(ISBLANK('Data Entry'!$ã$440), "", 'Data Entry'!$ã$440)</f>
      </c>
      <c r="FH440">
        <f>IF(ISBLANK('Data Entry'!$ä$440), "", 'Data Entry'!$ä$440)</f>
      </c>
      <c r="FI440">
        <f>IF(ISBLANK('Data Entry'!$å$440), "", 'Data Entry'!$å$440)</f>
      </c>
      <c r="FJ440">
        <f>IF(ISBLANK('Data Entry'!$æ$440), "", 'Data Entry'!$æ$440)</f>
      </c>
      <c r="FK440">
        <f>IF(ISBLANK('Data Entry'!$ç$440), "", 'Data Entry'!$ç$440)</f>
      </c>
      <c r="FL440">
        <f>IF(ISBLANK('Data Entry'!$è$440), "", 'Data Entry'!$è$440)</f>
      </c>
      <c r="FM440">
        <f>IF(ISBLANK('Data Entry'!$é$440), "", 'Data Entry'!$é$440)</f>
      </c>
      <c r="FN440">
        <f>IF(ISBLANK('Data Entry'!$ê$440), "", 'Data Entry'!$ê$440)</f>
      </c>
      <c r="FO440">
        <f>IF(ISBLANK('Data Entry'!$ë$440), "", 'Data Entry'!$ë$440)</f>
      </c>
      <c r="FP440">
        <f>IF(ISBLANK('Data Entry'!$ì$440), "", 'Data Entry'!$ì$440)</f>
      </c>
      <c r="FQ440">
        <f>IF(ISBLANK('Data Entry'!$í$440), "", 'Data Entry'!$í$440)</f>
      </c>
      <c r="FR440">
        <f>IF(ISBLANK('Data Entry'!$î$440), "", 'Data Entry'!$î$440)</f>
      </c>
      <c r="FS440">
        <f>IF(ISBLANK('Data Entry'!$ï$440), "", 'Data Entry'!$ï$440)</f>
      </c>
      <c r="FT440">
        <f>IF(ISBLANK('Data Entry'!$ð$440), "", 'Data Entry'!$ð$440)</f>
      </c>
      <c r="FU440">
        <f>IF(ISBLANK('Data Entry'!$ñ$440), "", 'Data Entry'!$ñ$440)</f>
      </c>
      <c r="FV440">
        <f>IF(ISBLANK('Data Entry'!$ò$440), "", 'Data Entry'!$ò$440)</f>
      </c>
      <c r="FW440">
        <f>IF(ISBLANK('Data Entry'!$ó$440), "", 'Data Entry'!$ó$440)</f>
      </c>
      <c r="FX440">
        <f>IF(ISBLANK('Data Entry'!$ô$440), "", 'Data Entry'!$ô$440)</f>
      </c>
      <c r="FY440">
        <f>IF(ISBLANK('Data Entry'!$õ$440), "", 'Data Entry'!$õ$440)</f>
      </c>
      <c r="FZ440">
        <f>IF(ISBLANK('Data Entry'!$ö$440), "", 'Data Entry'!$ö$440)</f>
      </c>
      <c r="GA440">
        <f>IF(ISBLANK('Data Entry'!$÷$440), "", 'Data Entry'!$÷$440)</f>
      </c>
      <c r="GB440">
        <f>IF(ISBLANK('Data Entry'!$ø$440), "", 'Data Entry'!$ø$440)</f>
      </c>
      <c r="GC440">
        <f>IF(ISBLANK('Data Entry'!$ù$440), "", 'Data Entry'!$ù$440)</f>
      </c>
      <c r="GD440">
        <f>IF(ISBLANK('Data Entry'!$ú$440), "", 'Data Entry'!$ú$440)</f>
      </c>
      <c r="GE440">
        <f>IF(ISBLANK('Data Entry'!$û$440), "", 'Data Entry'!$û$440)</f>
      </c>
      <c r="GF440">
        <f>IF(ISBLANK('Data Entry'!$ü$440), "", 'Data Entry'!$ü$440)</f>
      </c>
      <c r="GG440">
        <f>IF(ISBLANK('Data Entry'!$ý$440), "", 'Data Entry'!$ý$440)</f>
      </c>
      <c r="GH440">
        <f>IF(ISBLANK('Data Entry'!$þ$440), "", 'Data Entry'!$þ$440)</f>
      </c>
      <c r="GI440">
        <f>IF(ISBLANK('Data Entry'!$ÿ$440), "", 'Data Entry'!$ÿ$440)</f>
      </c>
      <c r="GJ440">
        <f>IF(ISBLANK('Data Entry'!$Ā$440), "", 'Data Entry'!$Ā$440)</f>
      </c>
      <c r="GK440">
        <f>IF(ISBLANK('Data Entry'!$ā$440), "", 'Data Entry'!$ā$440)</f>
      </c>
      <c r="GL440">
        <f>IF(ISBLANK('Data Entry'!$Ă$440), "", 'Data Entry'!$Ă$440)</f>
      </c>
      <c r="GM440">
        <f>IF(ISBLANK('Data Entry'!$ă$440), "", 'Data Entry'!$ă$440)</f>
      </c>
      <c r="GN440">
        <f>IF(ISBLANK('Data Entry'!$Ą$440), "", 'Data Entry'!$Ą$440)</f>
      </c>
      <c r="GO440">
        <f>IF(ISBLANK('Data Entry'!$ą$440), "", 'Data Entry'!$ą$440)</f>
      </c>
      <c r="GP440">
        <f>IF(ISBLANK('Data Entry'!$Ć$440), "", 'Data Entry'!$Ć$440)</f>
      </c>
      <c r="GQ440">
        <f>IF(ISBLANK('Data Entry'!$ć$440), "", 'Data Entry'!$ć$440)</f>
      </c>
      <c r="GR440">
        <f>IF(ISBLANK('Data Entry'!$Ĉ$440), "", 'Data Entry'!$Ĉ$440)</f>
      </c>
      <c r="GS440">
        <f>IF(ISBLANK('Data Entry'!$ĉ$440), "", 'Data Entry'!$ĉ$440)</f>
      </c>
      <c r="GT440">
        <f>IF(ISBLANK('Data Entry'!$Ċ$440), "", 'Data Entry'!$Ċ$440)</f>
      </c>
      <c r="GU440">
        <f>IF(ISBLANK('Data Entry'!$ċ$440), "", 'Data Entry'!$ċ$440)</f>
      </c>
      <c r="GV440">
        <f>IF(ISBLANK('Data Entry'!$Č$440), "", 'Data Entry'!$Č$440)</f>
      </c>
      <c r="GW440">
        <f>IF(ISBLANK('Data Entry'!$č$440), "", 'Data Entry'!$č$440)</f>
      </c>
      <c r="GX440">
        <f>IF(ISBLANK('Data Entry'!$Ď$440), "", 'Data Entry'!$Ď$440)</f>
      </c>
      <c r="GY440">
        <f>IF(ISBLANK('Data Entry'!$ď$440), "", 'Data Entry'!$ď$440)</f>
      </c>
      <c r="GZ440">
        <f>IF(ISBLANK('Data Entry'!$Đ$440), "", 'Data Entry'!$Đ$440)</f>
      </c>
      <c r="HA440">
        <f>IF(ISBLANK('Data Entry'!$đ$440), "", 'Data Entry'!$đ$440)</f>
      </c>
      <c r="HB440">
        <f>IF(ISBLANK('Data Entry'!$Ē$440), "", 'Data Entry'!$Ē$440)</f>
      </c>
      <c r="HC440">
        <f>IF(ISBLANK('Data Entry'!$ē$440), "", 'Data Entry'!$ē$440)</f>
      </c>
      <c r="HD440">
        <f>IF(ISBLANK('Data Entry'!$Ĕ$440), "", 'Data Entry'!$Ĕ$440)</f>
      </c>
      <c r="HE440">
        <f>IF(ISBLANK('Data Entry'!$ĕ$440), "", 'Data Entry'!$ĕ$440)</f>
      </c>
      <c r="HF440">
        <f>IF(ISBLANK('Data Entry'!$Ė$440), "", 'Data Entry'!$Ė$440)</f>
      </c>
      <c r="HG440">
        <f>IF(ISBLANK('Data Entry'!$ė$440), "", 'Data Entry'!$ė$440)</f>
      </c>
      <c r="HH440">
        <f>IF(ISBLANK('Data Entry'!$Ę$440), "", 'Data Entry'!$Ę$440)</f>
      </c>
      <c r="HI440">
        <f>IF(ISBLANK('Data Entry'!$ę$440), "", 'Data Entry'!$ę$440)</f>
      </c>
      <c r="HJ440">
        <f>IF(ISBLANK('Data Entry'!$Ě$440), "", 'Data Entry'!$Ě$440)</f>
      </c>
      <c r="HK440">
        <f>IF(ISBLANK('Data Entry'!$ě$440), "", 'Data Entry'!$ě$440)</f>
      </c>
      <c r="HL440">
        <f>IF(ISBLANK('Data Entry'!$Ĝ$440), "", 'Data Entry'!$Ĝ$440)</f>
      </c>
      <c r="HM440">
        <f>IF(ISBLANK('Data Entry'!$ĝ$440), "", 'Data Entry'!$ĝ$440)</f>
      </c>
      <c r="HN440">
        <f>IF(ISBLANK('Data Entry'!$Ğ$440), "", 'Data Entry'!$Ğ$440)</f>
      </c>
      <c r="HO440">
        <f>IF(ISBLANK('Data Entry'!$ğ$440), "", 'Data Entry'!$ğ$440)</f>
      </c>
      <c r="HP440">
        <f>IF(ISBLANK('Data Entry'!$Ġ$440), "", 'Data Entry'!$Ġ$440)</f>
      </c>
      <c r="HQ440">
        <f>IF(ISBLANK('Data Entry'!$ġ$440), "", 'Data Entry'!$ġ$440)</f>
      </c>
      <c r="HR440">
        <f>IF(ISBLANK('Data Entry'!$Ģ$440), "", 'Data Entry'!$Ģ$440)</f>
      </c>
      <c r="HS440">
        <f>IF(ISBLANK('Data Entry'!$ģ$440), "", 'Data Entry'!$ģ$440)</f>
      </c>
      <c r="HT440">
        <f>IF(ISBLANK('Data Entry'!$Ĥ$440), "", 'Data Entry'!$Ĥ$440)</f>
      </c>
      <c r="HU440">
        <f>IF(ISBLANK('Data Entry'!$ĥ$440), "", 'Data Entry'!$ĥ$440)</f>
      </c>
      <c r="HV440">
        <f>IF(ISBLANK('Data Entry'!$Ħ$440), "", 'Data Entry'!$Ħ$440)</f>
      </c>
      <c r="HW440">
        <f>IF(ISBLANK('Data Entry'!$ħ$440), "", 'Data Entry'!$ħ$440)</f>
      </c>
      <c r="HX440">
        <f>IF(ISBLANK('Data Entry'!$Ĩ$440), "", 'Data Entry'!$Ĩ$440)</f>
      </c>
      <c r="HY440">
        <f>IF(ISBLANK('Data Entry'!$ĩ$440), "", 'Data Entry'!$ĩ$440)</f>
      </c>
      <c r="HZ440">
        <f>IF(ISBLANK('Data Entry'!$Ī$440), "", 'Data Entry'!$Ī$440)</f>
      </c>
      <c r="IA440">
        <f>IF(ISBLANK('Data Entry'!$ī$440), "", 'Data Entry'!$ī$440)</f>
      </c>
      <c r="IB440">
        <f>IF(ISBLANK('Data Entry'!$Ĭ$440), "", 'Data Entry'!$Ĭ$440)</f>
      </c>
      <c r="IC440">
        <f>IF(ISBLANK('Data Entry'!$ĭ$440), "", 'Data Entry'!$ĭ$440)</f>
      </c>
      <c r="ID440">
        <f>IF(ISBLANK('Data Entry'!$Į$440), "", 'Data Entry'!$Į$440)</f>
      </c>
      <c r="IE440">
        <f>IF(ISBLANK('Data Entry'!$į$440), "", 'Data Entry'!$į$440)</f>
      </c>
      <c r="IF440">
        <f>IF(ISBLANK('Data Entry'!$İ$440), "", 'Data Entry'!$İ$440)</f>
      </c>
      <c r="IG440">
        <f>IF(ISBLANK('Data Entry'!$ı$440), "", 'Data Entry'!$ı$440)</f>
      </c>
      <c r="IH440">
        <f>IF(ISBLANK('Data Entry'!$Ĳ$440), "", 'Data Entry'!$Ĳ$440)</f>
      </c>
      <c r="II440">
        <f>IF(ISBLANK('Data Entry'!$ĳ$440), "", 'Data Entry'!$ĳ$440)</f>
      </c>
      <c r="IJ440">
        <f>IF(ISBLANK('Data Entry'!$Ĵ$440), "", 'Data Entry'!$Ĵ$440)</f>
      </c>
      <c r="IK440">
        <f>IF(ISBLANK('Data Entry'!$ĵ$440), "", 'Data Entry'!$ĵ$440)</f>
      </c>
      <c r="IL440">
        <f>IF(ISBLANK('Data Entry'!$Ķ$440), "", 'Data Entry'!$Ķ$440)</f>
      </c>
      <c r="IM440">
        <f>IF(ISBLANK('Data Entry'!$ķ$440), "", 'Data Entry'!$ķ$440)</f>
      </c>
      <c r="IN440">
        <f>IF(ISBLANK('Data Entry'!$ĸ$440), "", 'Data Entry'!$ĸ$440)</f>
      </c>
      <c r="IO440">
        <f>IF(ISBLANK('Data Entry'!$Ĺ$440), "", 'Data Entry'!$Ĺ$440)</f>
      </c>
      <c r="IP440">
        <f>IF(ISBLANK('Data Entry'!$ĺ$440), "", 'Data Entry'!$ĺ$440)</f>
      </c>
      <c r="IQ440">
        <f>IF(ISBLANK('Data Entry'!$Ļ$440), "", 'Data Entry'!$Ļ$440)</f>
      </c>
      <c r="IR440">
        <f>IF(ISBLANK('Data Entry'!$ļ$440), "", 'Data Entry'!$ļ$440)</f>
      </c>
      <c r="IS440">
        <f>IF(ISBLANK('Data Entry'!$Ľ$440), "", 'Data Entry'!$Ľ$440)</f>
      </c>
      <c r="IT440">
        <f>IF(ISBLANK('Data Entry'!$ľ$440), "", 'Data Entry'!$ľ$440)</f>
      </c>
    </row>
    <row r="441" spans="1:254" x14ac:dyDescent="0.25">
      <c r="A441">
        <f>IF(ISBLANK('Data Entry'!$A$441), "", 'Data Entry'!$A$441)</f>
      </c>
      <c r="B441">
        <f>IF(ISBLANK('Data Entry'!$B$441), "", 'Data Entry'!$B$441)</f>
      </c>
      <c r="C441">
        <f>IF(ISBLANK('Data Entry'!$C$441), "", 'Data Entry'!$C$441)</f>
      </c>
      <c r="D441">
        <f>IF(ISBLANK('Data Entry'!$D$441), "", 'Data Entry'!$D$441)</f>
      </c>
      <c r="E441">
        <f>IF(ISBLANK('Data Entry'!$E$441), "", 'Data Entry'!$E$441)</f>
      </c>
      <c r="F441">
        <f>IF(ISBLANK('Data Entry'!$F$441), "", 'Data Entry'!$F$441)</f>
      </c>
      <c r="G441">
        <f>IF(ISBLANK('Data Entry'!$G$441), "", 'Data Entry'!$G$441)</f>
      </c>
      <c r="H441">
        <f>IF(ISBLANK('Data Entry'!$H$441), "", 'Data Entry'!$H$441)</f>
      </c>
      <c r="I441">
        <f>IF(ISBLANK('Data Entry'!$I$441), "", 'Data Entry'!$I$441)</f>
      </c>
      <c r="J441">
        <f>IF(ISBLANK('Data Entry'!$J$441), "", 'Data Entry'!$J$441)</f>
      </c>
      <c r="K441">
        <f>IF(ISBLANK('Data Entry'!$K$441), "", 'Data Entry'!$K$441)</f>
      </c>
      <c r="L441">
        <f>IF(ISBLANK('Data Entry'!$L$441), "", 'Data Entry'!$L$441)</f>
      </c>
      <c r="M441">
        <f>IF(ISBLANK('Data Entry'!$M$441), "", 'Data Entry'!$M$441)</f>
      </c>
      <c r="N441">
        <f>IF(ISBLANK('Data Entry'!$N$441), "", 'Data Entry'!$N$441)</f>
      </c>
      <c r="O441">
        <f>IF(ISBLANK('Data Entry'!$O$441), "", 'Data Entry'!$O$441)</f>
      </c>
      <c r="P441">
        <f>IF(ISBLANK('Data Entry'!$P$441), "", 'Data Entry'!$P$441)</f>
      </c>
      <c r="Q441">
        <f>IF(ISBLANK('Data Entry'!$Q$441), "", 'Data Entry'!$Q$441)</f>
      </c>
      <c r="R441">
        <f>IF(ISBLANK('Data Entry'!$R$441), "", 'Data Entry'!$R$441)</f>
      </c>
      <c r="S441">
        <f>IF(ISBLANK('Data Entry'!$S$441), "", 'Data Entry'!$S$441)</f>
      </c>
      <c r="T441">
        <f>IF(ISBLANK('Data Entry'!$T$441), "", 'Data Entry'!$T$441)</f>
      </c>
      <c r="U441">
        <f>IF(ISBLANK('Data Entry'!$U$441), "", 'Data Entry'!$U$441)</f>
      </c>
      <c r="V441">
        <f>IF(ISBLANK('Data Entry'!$V$441), "", 'Data Entry'!$V$441)</f>
      </c>
      <c r="W441">
        <f>IF(ISBLANK('Data Entry'!$W$441), "", 'Data Entry'!$W$441)</f>
      </c>
      <c r="X441">
        <f>IF(ISBLANK('Data Entry'!$X$441), "", 'Data Entry'!$X$441)</f>
      </c>
      <c r="Y441">
        <f>IF(ISBLANK('Data Entry'!$Y$441), "", 'Data Entry'!$Y$441)</f>
      </c>
      <c r="Z441">
        <f>IF(ISBLANK('Data Entry'!$Z$441), "", 'Data Entry'!$Z$441)</f>
      </c>
      <c r="AA441">
        <f>IF(ISBLANK('Data Entry'!$[$441), "", 'Data Entry'!$[$441)</f>
      </c>
      <c r="AB441">
        <f>IF(ISBLANK('Data Entry'!$\$441), "", 'Data Entry'!$\$441)</f>
      </c>
      <c r="AC441">
        <f>IF(ISBLANK('Data Entry'!$]$441), "", 'Data Entry'!$]$441)</f>
      </c>
      <c r="AD441">
        <f>IF(ISBLANK('Data Entry'!$^$441), "", 'Data Entry'!$^$441)</f>
      </c>
      <c r="AE441">
        <f>IF(ISBLANK('Data Entry'!$_$441), "", 'Data Entry'!$_$441)</f>
      </c>
      <c r="AF441">
        <f>IF(ISBLANK('Data Entry'!$`$441), "", 'Data Entry'!$`$441)</f>
      </c>
      <c r="AG441">
        <f>IF(ISBLANK('Data Entry'!$a$441), "", 'Data Entry'!$a$441)</f>
      </c>
      <c r="AH441">
        <f>IF(ISBLANK('Data Entry'!$b$441), "", 'Data Entry'!$b$441)</f>
      </c>
      <c r="AI441">
        <f>IF(ISBLANK('Data Entry'!$c$441), "", 'Data Entry'!$c$441)</f>
      </c>
      <c r="AJ441">
        <f>IF(ISBLANK('Data Entry'!$d$441), "", 'Data Entry'!$d$441)</f>
      </c>
      <c r="AK441">
        <f>IF(ISBLANK('Data Entry'!$e$441), "", 'Data Entry'!$e$441)</f>
      </c>
      <c r="AL441">
        <f>IF(ISBLANK('Data Entry'!$f$441), "", 'Data Entry'!$f$441)</f>
      </c>
      <c r="AM441">
        <f>IF(ISBLANK('Data Entry'!$g$441), "", 'Data Entry'!$g$441)</f>
      </c>
      <c r="AN441">
        <f>IF(ISBLANK('Data Entry'!$h$441), "", 'Data Entry'!$h$441)</f>
      </c>
      <c r="AO441">
        <f>IF(ISBLANK('Data Entry'!$i$441), "", 'Data Entry'!$i$441)</f>
      </c>
      <c r="AP441">
        <f>IF(ISBLANK('Data Entry'!$j$441), "", 'Data Entry'!$j$441)</f>
      </c>
      <c r="AQ441">
        <f>IF(ISBLANK('Data Entry'!$k$441), "", 'Data Entry'!$k$441)</f>
      </c>
      <c r="AR441">
        <f>IF(ISBLANK('Data Entry'!$l$441), "", 'Data Entry'!$l$441)</f>
      </c>
      <c r="AS441">
        <f>IF(ISBLANK('Data Entry'!$m$441), "", 'Data Entry'!$m$441)</f>
      </c>
      <c r="AT441">
        <f>IF(ISBLANK('Data Entry'!$n$441), "", 'Data Entry'!$n$441)</f>
      </c>
      <c r="AU441">
        <f>IF(ISBLANK('Data Entry'!$o$441), "", 'Data Entry'!$o$441)</f>
      </c>
      <c r="AV441">
        <f>IF(ISBLANK('Data Entry'!$p$441), "", 'Data Entry'!$p$441)</f>
      </c>
      <c r="AW441">
        <f>IF(ISBLANK('Data Entry'!$q$441), "", 'Data Entry'!$q$441)</f>
      </c>
      <c r="AX441">
        <f>IF(ISBLANK('Data Entry'!$r$441), "", 'Data Entry'!$r$441)</f>
      </c>
      <c r="AY441">
        <f>IF(ISBLANK('Data Entry'!$s$441), "", 'Data Entry'!$s$441)</f>
      </c>
      <c r="AZ441">
        <f>IF(ISBLANK('Data Entry'!$t$441), "", 'Data Entry'!$t$441)</f>
      </c>
      <c r="BA441">
        <f>IF(ISBLANK('Data Entry'!$u$441), "", 'Data Entry'!$u$441)</f>
      </c>
      <c r="BB441">
        <f>IF(ISBLANK('Data Entry'!$v$441), "", 'Data Entry'!$v$441)</f>
      </c>
      <c r="BC441">
        <f>IF(ISBLANK('Data Entry'!$w$441), "", 'Data Entry'!$w$441)</f>
      </c>
      <c r="BD441">
        <f>IF(ISBLANK('Data Entry'!$x$441), "", 'Data Entry'!$x$441)</f>
      </c>
      <c r="BE441">
        <f>IF(ISBLANK('Data Entry'!$y$441), "", 'Data Entry'!$y$441)</f>
      </c>
      <c r="BF441">
        <f>IF(ISBLANK('Data Entry'!$z$441), "", 'Data Entry'!$z$441)</f>
      </c>
      <c r="BG441">
        <f>IF(ISBLANK('Data Entry'!${$441), "", 'Data Entry'!${$441)</f>
      </c>
      <c r="BH441">
        <f>IF(ISBLANK('Data Entry'!$|$441), "", 'Data Entry'!$|$441)</f>
      </c>
      <c r="BI441">
        <f>IF(ISBLANK('Data Entry'!$}$441), "", 'Data Entry'!$}$441)</f>
      </c>
      <c r="BJ441">
        <f>IF(ISBLANK('Data Entry'!$~$441), "", 'Data Entry'!$~$441)</f>
      </c>
      <c r="BK441">
        <f>IF(ISBLANK('Data Entry'!$$441), "", 'Data Entry'!$$441)</f>
      </c>
      <c r="BL441">
        <f>IF(ISBLANK('Data Entry'!$$441), "", 'Data Entry'!$$441)</f>
      </c>
      <c r="BM441">
        <f>IF(ISBLANK('Data Entry'!$$441), "", 'Data Entry'!$$441)</f>
      </c>
      <c r="BN441">
        <f>IF(ISBLANK('Data Entry'!$$441), "", 'Data Entry'!$$441)</f>
      </c>
      <c r="BO441">
        <f>IF(ISBLANK('Data Entry'!$$441), "", 'Data Entry'!$$441)</f>
      </c>
      <c r="BP441">
        <f>IF(ISBLANK('Data Entry'!$$441), "", 'Data Entry'!$$441)</f>
      </c>
      <c r="BQ441">
        <f>IF(ISBLANK('Data Entry'!$$441), "", 'Data Entry'!$$441)</f>
      </c>
      <c r="BR441">
        <f>IF(ISBLANK('Data Entry'!$$441), "", 'Data Entry'!$$441)</f>
      </c>
      <c r="BS441">
        <f>IF(ISBLANK('Data Entry'!$$441), "", 'Data Entry'!$$441)</f>
      </c>
      <c r="BT441">
        <f>IF(ISBLANK('Data Entry'!$$441), "", 'Data Entry'!$$441)</f>
      </c>
      <c r="BU441">
        <f>IF(ISBLANK('Data Entry'!$$441), "", 'Data Entry'!$$441)</f>
      </c>
      <c r="BV441">
        <f>IF(ISBLANK('Data Entry'!$$441), "", 'Data Entry'!$$441)</f>
      </c>
      <c r="BW441">
        <f>IF(ISBLANK('Data Entry'!$$441), "", 'Data Entry'!$$441)</f>
      </c>
      <c r="BX441">
        <f>IF(ISBLANK('Data Entry'!$$441), "", 'Data Entry'!$$441)</f>
      </c>
      <c r="BY441">
        <f>IF(ISBLANK('Data Entry'!$$441), "", 'Data Entry'!$$441)</f>
      </c>
      <c r="BZ441">
        <f>IF(ISBLANK('Data Entry'!$$441), "", 'Data Entry'!$$441)</f>
      </c>
      <c r="CA441">
        <f>IF(ISBLANK('Data Entry'!$$441), "", 'Data Entry'!$$441)</f>
      </c>
      <c r="CB441">
        <f>IF(ISBLANK('Data Entry'!$$441), "", 'Data Entry'!$$441)</f>
      </c>
      <c r="CC441">
        <f>IF(ISBLANK('Data Entry'!$$441), "", 'Data Entry'!$$441)</f>
      </c>
      <c r="CD441">
        <f>IF(ISBLANK('Data Entry'!$$441), "", 'Data Entry'!$$441)</f>
      </c>
      <c r="CE441">
        <f>IF(ISBLANK('Data Entry'!$$441), "", 'Data Entry'!$$441)</f>
      </c>
      <c r="CF441">
        <f>IF(ISBLANK('Data Entry'!$$441), "", 'Data Entry'!$$441)</f>
      </c>
      <c r="CG441">
        <f>IF(ISBLANK('Data Entry'!$$441), "", 'Data Entry'!$$441)</f>
      </c>
      <c r="CH441">
        <f>IF(ISBLANK('Data Entry'!$$441), "", 'Data Entry'!$$441)</f>
      </c>
      <c r="CI441">
        <f>IF(ISBLANK('Data Entry'!$$441), "", 'Data Entry'!$$441)</f>
      </c>
      <c r="CJ441">
        <f>IF(ISBLANK('Data Entry'!$$441), "", 'Data Entry'!$$441)</f>
      </c>
      <c r="CK441">
        <f>IF(ISBLANK('Data Entry'!$$441), "", 'Data Entry'!$$441)</f>
      </c>
      <c r="CL441">
        <f>IF(ISBLANK('Data Entry'!$$441), "", 'Data Entry'!$$441)</f>
      </c>
      <c r="CM441">
        <f>IF(ISBLANK('Data Entry'!$$441), "", 'Data Entry'!$$441)</f>
      </c>
      <c r="CN441">
        <f>IF(ISBLANK('Data Entry'!$$441), "", 'Data Entry'!$$441)</f>
      </c>
      <c r="CO441">
        <f>IF(ISBLANK('Data Entry'!$$441), "", 'Data Entry'!$$441)</f>
      </c>
      <c r="CP441">
        <f>IF(ISBLANK('Data Entry'!$$441), "", 'Data Entry'!$$441)</f>
      </c>
      <c r="CQ441">
        <f>IF(ISBLANK('Data Entry'!$$441), "", 'Data Entry'!$$441)</f>
      </c>
      <c r="CR441">
        <f>IF(ISBLANK('Data Entry'!$ $441), "", 'Data Entry'!$ $441)</f>
      </c>
      <c r="CS441">
        <f>IF(ISBLANK('Data Entry'!$¡$441), "", 'Data Entry'!$¡$441)</f>
      </c>
      <c r="CT441">
        <f>IF(ISBLANK('Data Entry'!$¢$441), "", 'Data Entry'!$¢$441)</f>
      </c>
      <c r="CU441">
        <f>IF(ISBLANK('Data Entry'!$£$441), "", 'Data Entry'!$£$441)</f>
      </c>
      <c r="CV441">
        <f>IF(ISBLANK('Data Entry'!$¤$441), "", 'Data Entry'!$¤$441)</f>
      </c>
      <c r="CW441">
        <f>IF(ISBLANK('Data Entry'!$¥$441), "", 'Data Entry'!$¥$441)</f>
      </c>
      <c r="CX441">
        <f>IF(ISBLANK('Data Entry'!$¦$441), "", 'Data Entry'!$¦$441)</f>
      </c>
      <c r="CY441">
        <f>IF(ISBLANK('Data Entry'!$§$441), "", 'Data Entry'!$§$441)</f>
      </c>
      <c r="CZ441">
        <f>IF(ISBLANK('Data Entry'!$¨$441), "", 'Data Entry'!$¨$441)</f>
      </c>
      <c r="DA441">
        <f>IF(ISBLANK('Data Entry'!$©$441), "", 'Data Entry'!$©$441)</f>
      </c>
      <c r="DB441">
        <f>IF(ISBLANK('Data Entry'!$ª$441), "", 'Data Entry'!$ª$441)</f>
      </c>
      <c r="DC441">
        <f>IF(ISBLANK('Data Entry'!$«$441), "", 'Data Entry'!$«$441)</f>
      </c>
      <c r="DD441">
        <f>IF(ISBLANK('Data Entry'!$¬$441), "", 'Data Entry'!$¬$441)</f>
      </c>
      <c r="DE441">
        <f>IF(ISBLANK('Data Entry'!$­$441), "", 'Data Entry'!$­$441)</f>
      </c>
      <c r="DF441">
        <f>IF(ISBLANK('Data Entry'!$®$441), "", 'Data Entry'!$®$441)</f>
      </c>
      <c r="DG441">
        <f>IF(ISBLANK('Data Entry'!$¯$441), "", 'Data Entry'!$¯$441)</f>
      </c>
      <c r="DH441">
        <f>IF(ISBLANK('Data Entry'!$°$441), "", 'Data Entry'!$°$441)</f>
      </c>
      <c r="DI441">
        <f>IF(ISBLANK('Data Entry'!$±$441), "", 'Data Entry'!$±$441)</f>
      </c>
      <c r="DJ441">
        <f>IF(ISBLANK('Data Entry'!$²$441), "", 'Data Entry'!$²$441)</f>
      </c>
      <c r="DK441">
        <f>IF(ISBLANK('Data Entry'!$³$441), "", 'Data Entry'!$³$441)</f>
      </c>
      <c r="DL441">
        <f>IF(ISBLANK('Data Entry'!$´$441), "", 'Data Entry'!$´$441)</f>
      </c>
      <c r="DM441">
        <f>IF(ISBLANK('Data Entry'!$µ$441), "", 'Data Entry'!$µ$441)</f>
      </c>
      <c r="DN441">
        <f>IF(ISBLANK('Data Entry'!$¶$441), "", 'Data Entry'!$¶$441)</f>
      </c>
      <c r="DO441">
        <f>IF(ISBLANK('Data Entry'!$·$441), "", 'Data Entry'!$·$441)</f>
      </c>
      <c r="DP441">
        <f>IF(ISBLANK('Data Entry'!$¸$441), "", 'Data Entry'!$¸$441)</f>
      </c>
      <c r="DQ441">
        <f>IF(ISBLANK('Data Entry'!$¹$441), "", 'Data Entry'!$¹$441)</f>
      </c>
      <c r="DR441">
        <f>IF(ISBLANK('Data Entry'!$º$441), "", 'Data Entry'!$º$441)</f>
      </c>
      <c r="DS441">
        <f>IF(ISBLANK('Data Entry'!$»$441), "", 'Data Entry'!$»$441)</f>
      </c>
      <c r="DT441">
        <f>IF(ISBLANK('Data Entry'!$¼$441), "", 'Data Entry'!$¼$441)</f>
      </c>
      <c r="DU441">
        <f>IF(ISBLANK('Data Entry'!$½$441), "", 'Data Entry'!$½$441)</f>
      </c>
      <c r="DV441">
        <f>IF(ISBLANK('Data Entry'!$¾$441), "", 'Data Entry'!$¾$441)</f>
      </c>
      <c r="DW441">
        <f>IF(ISBLANK('Data Entry'!$¿$441), "", 'Data Entry'!$¿$441)</f>
      </c>
      <c r="DX441">
        <f>IF(ISBLANK('Data Entry'!$À$441), "", 'Data Entry'!$À$441)</f>
      </c>
      <c r="DY441">
        <f>IF(ISBLANK('Data Entry'!$Á$441), "", 'Data Entry'!$Á$441)</f>
      </c>
      <c r="DZ441">
        <f>IF(ISBLANK('Data Entry'!$Â$441), "", 'Data Entry'!$Â$441)</f>
      </c>
      <c r="EA441">
        <f>IF(ISBLANK('Data Entry'!$Ã$441), "", 'Data Entry'!$Ã$441)</f>
      </c>
      <c r="EB441">
        <f>IF(ISBLANK('Data Entry'!$Ä$441), "", 'Data Entry'!$Ä$441)</f>
      </c>
      <c r="EC441">
        <f>IF(ISBLANK('Data Entry'!$Å$441), "", 'Data Entry'!$Å$441)</f>
      </c>
      <c r="ED441">
        <f>IF(ISBLANK('Data Entry'!$Æ$441), "", 'Data Entry'!$Æ$441)</f>
      </c>
      <c r="EE441">
        <f>IF(ISBLANK('Data Entry'!$Ç$441), "", 'Data Entry'!$Ç$441)</f>
      </c>
      <c r="EF441">
        <f>IF(ISBLANK('Data Entry'!$È$441), "", 'Data Entry'!$È$441)</f>
      </c>
      <c r="EG441">
        <f>IF(ISBLANK('Data Entry'!$É$441), "", 'Data Entry'!$É$441)</f>
      </c>
      <c r="EH441">
        <f>IF(ISBLANK('Data Entry'!$Ê$441), "", 'Data Entry'!$Ê$441)</f>
      </c>
      <c r="EI441">
        <f>IF(ISBLANK('Data Entry'!$Ë$441), "", 'Data Entry'!$Ë$441)</f>
      </c>
      <c r="EJ441">
        <f>IF(ISBLANK('Data Entry'!$Ì$441), "", 'Data Entry'!$Ì$441)</f>
      </c>
      <c r="EK441">
        <f>IF(ISBLANK('Data Entry'!$Í$441), "", 'Data Entry'!$Í$441)</f>
      </c>
      <c r="EL441">
        <f>IF(ISBLANK('Data Entry'!$Î$441), "", 'Data Entry'!$Î$441)</f>
      </c>
      <c r="EM441">
        <f>IF(ISBLANK('Data Entry'!$Ï$441), "", 'Data Entry'!$Ï$441)</f>
      </c>
      <c r="EN441">
        <f>IF(ISBLANK('Data Entry'!$Ð$441), "", 'Data Entry'!$Ð$441)</f>
      </c>
      <c r="EO441">
        <f>IF(ISBLANK('Data Entry'!$Ñ$441), "", 'Data Entry'!$Ñ$441)</f>
      </c>
      <c r="EP441">
        <f>IF(ISBLANK('Data Entry'!$Ò$441), "", 'Data Entry'!$Ò$441)</f>
      </c>
      <c r="EQ441">
        <f>IF(ISBLANK('Data Entry'!$Ó$441), "", 'Data Entry'!$Ó$441)</f>
      </c>
      <c r="ER441">
        <f>IF(ISBLANK('Data Entry'!$Ô$441), "", 'Data Entry'!$Ô$441)</f>
      </c>
      <c r="ES441">
        <f>IF(ISBLANK('Data Entry'!$Õ$441), "", 'Data Entry'!$Õ$441)</f>
      </c>
      <c r="ET441">
        <f>IF(ISBLANK('Data Entry'!$Ö$441), "", 'Data Entry'!$Ö$441)</f>
      </c>
      <c r="EU441">
        <f>IF(ISBLANK('Data Entry'!$×$441), "", 'Data Entry'!$×$441)</f>
      </c>
      <c r="EV441">
        <f>IF(ISBLANK('Data Entry'!$Ø$441), "", 'Data Entry'!$Ø$441)</f>
      </c>
      <c r="EW441">
        <f>IF(ISBLANK('Data Entry'!$Ù$441), "", 'Data Entry'!$Ù$441)</f>
      </c>
      <c r="EX441">
        <f>IF(ISBLANK('Data Entry'!$Ú$441), "", 'Data Entry'!$Ú$441)</f>
      </c>
      <c r="EY441">
        <f>IF(ISBLANK('Data Entry'!$Û$441), "", 'Data Entry'!$Û$441)</f>
      </c>
      <c r="EZ441">
        <f>IF(ISBLANK('Data Entry'!$Ü$441), "", 'Data Entry'!$Ü$441)</f>
      </c>
      <c r="FA441">
        <f>IF(ISBLANK('Data Entry'!$Ý$441), "", 'Data Entry'!$Ý$441)</f>
      </c>
      <c r="FB441">
        <f>IF(ISBLANK('Data Entry'!$Þ$441), "", 'Data Entry'!$Þ$441)</f>
      </c>
      <c r="FC441">
        <f>IF(ISBLANK('Data Entry'!$ß$441), "", 'Data Entry'!$ß$441)</f>
      </c>
      <c r="FD441">
        <f>IF(ISBLANK('Data Entry'!$à$441), "", 'Data Entry'!$à$441)</f>
      </c>
      <c r="FE441">
        <f>IF(ISBLANK('Data Entry'!$á$441), "", 'Data Entry'!$á$441)</f>
      </c>
      <c r="FF441">
        <f>IF(ISBLANK('Data Entry'!$â$441), "", 'Data Entry'!$â$441)</f>
      </c>
      <c r="FG441">
        <f>IF(ISBLANK('Data Entry'!$ã$441), "", 'Data Entry'!$ã$441)</f>
      </c>
      <c r="FH441">
        <f>IF(ISBLANK('Data Entry'!$ä$441), "", 'Data Entry'!$ä$441)</f>
      </c>
      <c r="FI441">
        <f>IF(ISBLANK('Data Entry'!$å$441), "", 'Data Entry'!$å$441)</f>
      </c>
      <c r="FJ441">
        <f>IF(ISBLANK('Data Entry'!$æ$441), "", 'Data Entry'!$æ$441)</f>
      </c>
      <c r="FK441">
        <f>IF(ISBLANK('Data Entry'!$ç$441), "", 'Data Entry'!$ç$441)</f>
      </c>
      <c r="FL441">
        <f>IF(ISBLANK('Data Entry'!$è$441), "", 'Data Entry'!$è$441)</f>
      </c>
      <c r="FM441">
        <f>IF(ISBLANK('Data Entry'!$é$441), "", 'Data Entry'!$é$441)</f>
      </c>
      <c r="FN441">
        <f>IF(ISBLANK('Data Entry'!$ê$441), "", 'Data Entry'!$ê$441)</f>
      </c>
      <c r="FO441">
        <f>IF(ISBLANK('Data Entry'!$ë$441), "", 'Data Entry'!$ë$441)</f>
      </c>
      <c r="FP441">
        <f>IF(ISBLANK('Data Entry'!$ì$441), "", 'Data Entry'!$ì$441)</f>
      </c>
      <c r="FQ441">
        <f>IF(ISBLANK('Data Entry'!$í$441), "", 'Data Entry'!$í$441)</f>
      </c>
      <c r="FR441">
        <f>IF(ISBLANK('Data Entry'!$î$441), "", 'Data Entry'!$î$441)</f>
      </c>
      <c r="FS441">
        <f>IF(ISBLANK('Data Entry'!$ï$441), "", 'Data Entry'!$ï$441)</f>
      </c>
      <c r="FT441">
        <f>IF(ISBLANK('Data Entry'!$ð$441), "", 'Data Entry'!$ð$441)</f>
      </c>
      <c r="FU441">
        <f>IF(ISBLANK('Data Entry'!$ñ$441), "", 'Data Entry'!$ñ$441)</f>
      </c>
      <c r="FV441">
        <f>IF(ISBLANK('Data Entry'!$ò$441), "", 'Data Entry'!$ò$441)</f>
      </c>
      <c r="FW441">
        <f>IF(ISBLANK('Data Entry'!$ó$441), "", 'Data Entry'!$ó$441)</f>
      </c>
      <c r="FX441">
        <f>IF(ISBLANK('Data Entry'!$ô$441), "", 'Data Entry'!$ô$441)</f>
      </c>
      <c r="FY441">
        <f>IF(ISBLANK('Data Entry'!$õ$441), "", 'Data Entry'!$õ$441)</f>
      </c>
      <c r="FZ441">
        <f>IF(ISBLANK('Data Entry'!$ö$441), "", 'Data Entry'!$ö$441)</f>
      </c>
      <c r="GA441">
        <f>IF(ISBLANK('Data Entry'!$÷$441), "", 'Data Entry'!$÷$441)</f>
      </c>
      <c r="GB441">
        <f>IF(ISBLANK('Data Entry'!$ø$441), "", 'Data Entry'!$ø$441)</f>
      </c>
      <c r="GC441">
        <f>IF(ISBLANK('Data Entry'!$ù$441), "", 'Data Entry'!$ù$441)</f>
      </c>
      <c r="GD441">
        <f>IF(ISBLANK('Data Entry'!$ú$441), "", 'Data Entry'!$ú$441)</f>
      </c>
      <c r="GE441">
        <f>IF(ISBLANK('Data Entry'!$û$441), "", 'Data Entry'!$û$441)</f>
      </c>
      <c r="GF441">
        <f>IF(ISBLANK('Data Entry'!$ü$441), "", 'Data Entry'!$ü$441)</f>
      </c>
      <c r="GG441">
        <f>IF(ISBLANK('Data Entry'!$ý$441), "", 'Data Entry'!$ý$441)</f>
      </c>
      <c r="GH441">
        <f>IF(ISBLANK('Data Entry'!$þ$441), "", 'Data Entry'!$þ$441)</f>
      </c>
      <c r="GI441">
        <f>IF(ISBLANK('Data Entry'!$ÿ$441), "", 'Data Entry'!$ÿ$441)</f>
      </c>
      <c r="GJ441">
        <f>IF(ISBLANK('Data Entry'!$Ā$441), "", 'Data Entry'!$Ā$441)</f>
      </c>
      <c r="GK441">
        <f>IF(ISBLANK('Data Entry'!$ā$441), "", 'Data Entry'!$ā$441)</f>
      </c>
      <c r="GL441">
        <f>IF(ISBLANK('Data Entry'!$Ă$441), "", 'Data Entry'!$Ă$441)</f>
      </c>
      <c r="GM441">
        <f>IF(ISBLANK('Data Entry'!$ă$441), "", 'Data Entry'!$ă$441)</f>
      </c>
      <c r="GN441">
        <f>IF(ISBLANK('Data Entry'!$Ą$441), "", 'Data Entry'!$Ą$441)</f>
      </c>
      <c r="GO441">
        <f>IF(ISBLANK('Data Entry'!$ą$441), "", 'Data Entry'!$ą$441)</f>
      </c>
      <c r="GP441">
        <f>IF(ISBLANK('Data Entry'!$Ć$441), "", 'Data Entry'!$Ć$441)</f>
      </c>
      <c r="GQ441">
        <f>IF(ISBLANK('Data Entry'!$ć$441), "", 'Data Entry'!$ć$441)</f>
      </c>
      <c r="GR441">
        <f>IF(ISBLANK('Data Entry'!$Ĉ$441), "", 'Data Entry'!$Ĉ$441)</f>
      </c>
      <c r="GS441">
        <f>IF(ISBLANK('Data Entry'!$ĉ$441), "", 'Data Entry'!$ĉ$441)</f>
      </c>
      <c r="GT441">
        <f>IF(ISBLANK('Data Entry'!$Ċ$441), "", 'Data Entry'!$Ċ$441)</f>
      </c>
      <c r="GU441">
        <f>IF(ISBLANK('Data Entry'!$ċ$441), "", 'Data Entry'!$ċ$441)</f>
      </c>
      <c r="GV441">
        <f>IF(ISBLANK('Data Entry'!$Č$441), "", 'Data Entry'!$Č$441)</f>
      </c>
      <c r="GW441">
        <f>IF(ISBLANK('Data Entry'!$č$441), "", 'Data Entry'!$č$441)</f>
      </c>
      <c r="GX441">
        <f>IF(ISBLANK('Data Entry'!$Ď$441), "", 'Data Entry'!$Ď$441)</f>
      </c>
      <c r="GY441">
        <f>IF(ISBLANK('Data Entry'!$ď$441), "", 'Data Entry'!$ď$441)</f>
      </c>
      <c r="GZ441">
        <f>IF(ISBLANK('Data Entry'!$Đ$441), "", 'Data Entry'!$Đ$441)</f>
      </c>
      <c r="HA441">
        <f>IF(ISBLANK('Data Entry'!$đ$441), "", 'Data Entry'!$đ$441)</f>
      </c>
      <c r="HB441">
        <f>IF(ISBLANK('Data Entry'!$Ē$441), "", 'Data Entry'!$Ē$441)</f>
      </c>
      <c r="HC441">
        <f>IF(ISBLANK('Data Entry'!$ē$441), "", 'Data Entry'!$ē$441)</f>
      </c>
      <c r="HD441">
        <f>IF(ISBLANK('Data Entry'!$Ĕ$441), "", 'Data Entry'!$Ĕ$441)</f>
      </c>
      <c r="HE441">
        <f>IF(ISBLANK('Data Entry'!$ĕ$441), "", 'Data Entry'!$ĕ$441)</f>
      </c>
      <c r="HF441">
        <f>IF(ISBLANK('Data Entry'!$Ė$441), "", 'Data Entry'!$Ė$441)</f>
      </c>
      <c r="HG441">
        <f>IF(ISBLANK('Data Entry'!$ė$441), "", 'Data Entry'!$ė$441)</f>
      </c>
      <c r="HH441">
        <f>IF(ISBLANK('Data Entry'!$Ę$441), "", 'Data Entry'!$Ę$441)</f>
      </c>
      <c r="HI441">
        <f>IF(ISBLANK('Data Entry'!$ę$441), "", 'Data Entry'!$ę$441)</f>
      </c>
      <c r="HJ441">
        <f>IF(ISBLANK('Data Entry'!$Ě$441), "", 'Data Entry'!$Ě$441)</f>
      </c>
      <c r="HK441">
        <f>IF(ISBLANK('Data Entry'!$ě$441), "", 'Data Entry'!$ě$441)</f>
      </c>
      <c r="HL441">
        <f>IF(ISBLANK('Data Entry'!$Ĝ$441), "", 'Data Entry'!$Ĝ$441)</f>
      </c>
      <c r="HM441">
        <f>IF(ISBLANK('Data Entry'!$ĝ$441), "", 'Data Entry'!$ĝ$441)</f>
      </c>
      <c r="HN441">
        <f>IF(ISBLANK('Data Entry'!$Ğ$441), "", 'Data Entry'!$Ğ$441)</f>
      </c>
      <c r="HO441">
        <f>IF(ISBLANK('Data Entry'!$ğ$441), "", 'Data Entry'!$ğ$441)</f>
      </c>
      <c r="HP441">
        <f>IF(ISBLANK('Data Entry'!$Ġ$441), "", 'Data Entry'!$Ġ$441)</f>
      </c>
      <c r="HQ441">
        <f>IF(ISBLANK('Data Entry'!$ġ$441), "", 'Data Entry'!$ġ$441)</f>
      </c>
      <c r="HR441">
        <f>IF(ISBLANK('Data Entry'!$Ģ$441), "", 'Data Entry'!$Ģ$441)</f>
      </c>
      <c r="HS441">
        <f>IF(ISBLANK('Data Entry'!$ģ$441), "", 'Data Entry'!$ģ$441)</f>
      </c>
      <c r="HT441">
        <f>IF(ISBLANK('Data Entry'!$Ĥ$441), "", 'Data Entry'!$Ĥ$441)</f>
      </c>
      <c r="HU441">
        <f>IF(ISBLANK('Data Entry'!$ĥ$441), "", 'Data Entry'!$ĥ$441)</f>
      </c>
      <c r="HV441">
        <f>IF(ISBLANK('Data Entry'!$Ħ$441), "", 'Data Entry'!$Ħ$441)</f>
      </c>
      <c r="HW441">
        <f>IF(ISBLANK('Data Entry'!$ħ$441), "", 'Data Entry'!$ħ$441)</f>
      </c>
      <c r="HX441">
        <f>IF(ISBLANK('Data Entry'!$Ĩ$441), "", 'Data Entry'!$Ĩ$441)</f>
      </c>
      <c r="HY441">
        <f>IF(ISBLANK('Data Entry'!$ĩ$441), "", 'Data Entry'!$ĩ$441)</f>
      </c>
      <c r="HZ441">
        <f>IF(ISBLANK('Data Entry'!$Ī$441), "", 'Data Entry'!$Ī$441)</f>
      </c>
      <c r="IA441">
        <f>IF(ISBLANK('Data Entry'!$ī$441), "", 'Data Entry'!$ī$441)</f>
      </c>
      <c r="IB441">
        <f>IF(ISBLANK('Data Entry'!$Ĭ$441), "", 'Data Entry'!$Ĭ$441)</f>
      </c>
      <c r="IC441">
        <f>IF(ISBLANK('Data Entry'!$ĭ$441), "", 'Data Entry'!$ĭ$441)</f>
      </c>
      <c r="ID441">
        <f>IF(ISBLANK('Data Entry'!$Į$441), "", 'Data Entry'!$Į$441)</f>
      </c>
      <c r="IE441">
        <f>IF(ISBLANK('Data Entry'!$į$441), "", 'Data Entry'!$į$441)</f>
      </c>
      <c r="IF441">
        <f>IF(ISBLANK('Data Entry'!$İ$441), "", 'Data Entry'!$İ$441)</f>
      </c>
      <c r="IG441">
        <f>IF(ISBLANK('Data Entry'!$ı$441), "", 'Data Entry'!$ı$441)</f>
      </c>
      <c r="IH441">
        <f>IF(ISBLANK('Data Entry'!$Ĳ$441), "", 'Data Entry'!$Ĳ$441)</f>
      </c>
      <c r="II441">
        <f>IF(ISBLANK('Data Entry'!$ĳ$441), "", 'Data Entry'!$ĳ$441)</f>
      </c>
      <c r="IJ441">
        <f>IF(ISBLANK('Data Entry'!$Ĵ$441), "", 'Data Entry'!$Ĵ$441)</f>
      </c>
      <c r="IK441">
        <f>IF(ISBLANK('Data Entry'!$ĵ$441), "", 'Data Entry'!$ĵ$441)</f>
      </c>
      <c r="IL441">
        <f>IF(ISBLANK('Data Entry'!$Ķ$441), "", 'Data Entry'!$Ķ$441)</f>
      </c>
      <c r="IM441">
        <f>IF(ISBLANK('Data Entry'!$ķ$441), "", 'Data Entry'!$ķ$441)</f>
      </c>
      <c r="IN441">
        <f>IF(ISBLANK('Data Entry'!$ĸ$441), "", 'Data Entry'!$ĸ$441)</f>
      </c>
      <c r="IO441">
        <f>IF(ISBLANK('Data Entry'!$Ĺ$441), "", 'Data Entry'!$Ĺ$441)</f>
      </c>
      <c r="IP441">
        <f>IF(ISBLANK('Data Entry'!$ĺ$441), "", 'Data Entry'!$ĺ$441)</f>
      </c>
      <c r="IQ441">
        <f>IF(ISBLANK('Data Entry'!$Ļ$441), "", 'Data Entry'!$Ļ$441)</f>
      </c>
      <c r="IR441">
        <f>IF(ISBLANK('Data Entry'!$ļ$441), "", 'Data Entry'!$ļ$441)</f>
      </c>
      <c r="IS441">
        <f>IF(ISBLANK('Data Entry'!$Ľ$441), "", 'Data Entry'!$Ľ$441)</f>
      </c>
      <c r="IT441">
        <f>IF(ISBLANK('Data Entry'!$ľ$441), "", 'Data Entry'!$ľ$441)</f>
      </c>
    </row>
    <row r="442" spans="1:254" x14ac:dyDescent="0.25">
      <c r="A442">
        <f>IF(ISBLANK('Data Entry'!$A$442), "", 'Data Entry'!$A$442)</f>
      </c>
      <c r="B442">
        <f>IF(ISBLANK('Data Entry'!$B$442), "", 'Data Entry'!$B$442)</f>
      </c>
      <c r="C442">
        <f>IF(ISBLANK('Data Entry'!$C$442), "", 'Data Entry'!$C$442)</f>
      </c>
      <c r="D442">
        <f>IF(ISBLANK('Data Entry'!$D$442), "", 'Data Entry'!$D$442)</f>
      </c>
      <c r="E442">
        <f>IF(ISBLANK('Data Entry'!$E$442), "", 'Data Entry'!$E$442)</f>
      </c>
      <c r="F442">
        <f>IF(ISBLANK('Data Entry'!$F$442), "", 'Data Entry'!$F$442)</f>
      </c>
      <c r="G442">
        <f>IF(ISBLANK('Data Entry'!$G$442), "", 'Data Entry'!$G$442)</f>
      </c>
      <c r="H442">
        <f>IF(ISBLANK('Data Entry'!$H$442), "", 'Data Entry'!$H$442)</f>
      </c>
      <c r="I442">
        <f>IF(ISBLANK('Data Entry'!$I$442), "", 'Data Entry'!$I$442)</f>
      </c>
      <c r="J442">
        <f>IF(ISBLANK('Data Entry'!$J$442), "", 'Data Entry'!$J$442)</f>
      </c>
      <c r="K442">
        <f>IF(ISBLANK('Data Entry'!$K$442), "", 'Data Entry'!$K$442)</f>
      </c>
      <c r="L442">
        <f>IF(ISBLANK('Data Entry'!$L$442), "", 'Data Entry'!$L$442)</f>
      </c>
      <c r="M442">
        <f>IF(ISBLANK('Data Entry'!$M$442), "", 'Data Entry'!$M$442)</f>
      </c>
      <c r="N442">
        <f>IF(ISBLANK('Data Entry'!$N$442), "", 'Data Entry'!$N$442)</f>
      </c>
      <c r="O442">
        <f>IF(ISBLANK('Data Entry'!$O$442), "", 'Data Entry'!$O$442)</f>
      </c>
      <c r="P442">
        <f>IF(ISBLANK('Data Entry'!$P$442), "", 'Data Entry'!$P$442)</f>
      </c>
      <c r="Q442">
        <f>IF(ISBLANK('Data Entry'!$Q$442), "", 'Data Entry'!$Q$442)</f>
      </c>
      <c r="R442">
        <f>IF(ISBLANK('Data Entry'!$R$442), "", 'Data Entry'!$R$442)</f>
      </c>
      <c r="S442">
        <f>IF(ISBLANK('Data Entry'!$S$442), "", 'Data Entry'!$S$442)</f>
      </c>
      <c r="T442">
        <f>IF(ISBLANK('Data Entry'!$T$442), "", 'Data Entry'!$T$442)</f>
      </c>
      <c r="U442">
        <f>IF(ISBLANK('Data Entry'!$U$442), "", 'Data Entry'!$U$442)</f>
      </c>
      <c r="V442">
        <f>IF(ISBLANK('Data Entry'!$V$442), "", 'Data Entry'!$V$442)</f>
      </c>
      <c r="W442">
        <f>IF(ISBLANK('Data Entry'!$W$442), "", 'Data Entry'!$W$442)</f>
      </c>
      <c r="X442">
        <f>IF(ISBLANK('Data Entry'!$X$442), "", 'Data Entry'!$X$442)</f>
      </c>
      <c r="Y442">
        <f>IF(ISBLANK('Data Entry'!$Y$442), "", 'Data Entry'!$Y$442)</f>
      </c>
      <c r="Z442">
        <f>IF(ISBLANK('Data Entry'!$Z$442), "", 'Data Entry'!$Z$442)</f>
      </c>
      <c r="AA442">
        <f>IF(ISBLANK('Data Entry'!$[$442), "", 'Data Entry'!$[$442)</f>
      </c>
      <c r="AB442">
        <f>IF(ISBLANK('Data Entry'!$\$442), "", 'Data Entry'!$\$442)</f>
      </c>
      <c r="AC442">
        <f>IF(ISBLANK('Data Entry'!$]$442), "", 'Data Entry'!$]$442)</f>
      </c>
      <c r="AD442">
        <f>IF(ISBLANK('Data Entry'!$^$442), "", 'Data Entry'!$^$442)</f>
      </c>
      <c r="AE442">
        <f>IF(ISBLANK('Data Entry'!$_$442), "", 'Data Entry'!$_$442)</f>
      </c>
      <c r="AF442">
        <f>IF(ISBLANK('Data Entry'!$`$442), "", 'Data Entry'!$`$442)</f>
      </c>
      <c r="AG442">
        <f>IF(ISBLANK('Data Entry'!$a$442), "", 'Data Entry'!$a$442)</f>
      </c>
      <c r="AH442">
        <f>IF(ISBLANK('Data Entry'!$b$442), "", 'Data Entry'!$b$442)</f>
      </c>
      <c r="AI442">
        <f>IF(ISBLANK('Data Entry'!$c$442), "", 'Data Entry'!$c$442)</f>
      </c>
      <c r="AJ442">
        <f>IF(ISBLANK('Data Entry'!$d$442), "", 'Data Entry'!$d$442)</f>
      </c>
      <c r="AK442">
        <f>IF(ISBLANK('Data Entry'!$e$442), "", 'Data Entry'!$e$442)</f>
      </c>
      <c r="AL442">
        <f>IF(ISBLANK('Data Entry'!$f$442), "", 'Data Entry'!$f$442)</f>
      </c>
      <c r="AM442">
        <f>IF(ISBLANK('Data Entry'!$g$442), "", 'Data Entry'!$g$442)</f>
      </c>
      <c r="AN442">
        <f>IF(ISBLANK('Data Entry'!$h$442), "", 'Data Entry'!$h$442)</f>
      </c>
      <c r="AO442">
        <f>IF(ISBLANK('Data Entry'!$i$442), "", 'Data Entry'!$i$442)</f>
      </c>
      <c r="AP442">
        <f>IF(ISBLANK('Data Entry'!$j$442), "", 'Data Entry'!$j$442)</f>
      </c>
      <c r="AQ442">
        <f>IF(ISBLANK('Data Entry'!$k$442), "", 'Data Entry'!$k$442)</f>
      </c>
      <c r="AR442">
        <f>IF(ISBLANK('Data Entry'!$l$442), "", 'Data Entry'!$l$442)</f>
      </c>
      <c r="AS442">
        <f>IF(ISBLANK('Data Entry'!$m$442), "", 'Data Entry'!$m$442)</f>
      </c>
      <c r="AT442">
        <f>IF(ISBLANK('Data Entry'!$n$442), "", 'Data Entry'!$n$442)</f>
      </c>
      <c r="AU442">
        <f>IF(ISBLANK('Data Entry'!$o$442), "", 'Data Entry'!$o$442)</f>
      </c>
      <c r="AV442">
        <f>IF(ISBLANK('Data Entry'!$p$442), "", 'Data Entry'!$p$442)</f>
      </c>
      <c r="AW442">
        <f>IF(ISBLANK('Data Entry'!$q$442), "", 'Data Entry'!$q$442)</f>
      </c>
      <c r="AX442">
        <f>IF(ISBLANK('Data Entry'!$r$442), "", 'Data Entry'!$r$442)</f>
      </c>
      <c r="AY442">
        <f>IF(ISBLANK('Data Entry'!$s$442), "", 'Data Entry'!$s$442)</f>
      </c>
      <c r="AZ442">
        <f>IF(ISBLANK('Data Entry'!$t$442), "", 'Data Entry'!$t$442)</f>
      </c>
      <c r="BA442">
        <f>IF(ISBLANK('Data Entry'!$u$442), "", 'Data Entry'!$u$442)</f>
      </c>
      <c r="BB442">
        <f>IF(ISBLANK('Data Entry'!$v$442), "", 'Data Entry'!$v$442)</f>
      </c>
      <c r="BC442">
        <f>IF(ISBLANK('Data Entry'!$w$442), "", 'Data Entry'!$w$442)</f>
      </c>
      <c r="BD442">
        <f>IF(ISBLANK('Data Entry'!$x$442), "", 'Data Entry'!$x$442)</f>
      </c>
      <c r="BE442">
        <f>IF(ISBLANK('Data Entry'!$y$442), "", 'Data Entry'!$y$442)</f>
      </c>
      <c r="BF442">
        <f>IF(ISBLANK('Data Entry'!$z$442), "", 'Data Entry'!$z$442)</f>
      </c>
      <c r="BG442">
        <f>IF(ISBLANK('Data Entry'!${$442), "", 'Data Entry'!${$442)</f>
      </c>
      <c r="BH442">
        <f>IF(ISBLANK('Data Entry'!$|$442), "", 'Data Entry'!$|$442)</f>
      </c>
      <c r="BI442">
        <f>IF(ISBLANK('Data Entry'!$}$442), "", 'Data Entry'!$}$442)</f>
      </c>
      <c r="BJ442">
        <f>IF(ISBLANK('Data Entry'!$~$442), "", 'Data Entry'!$~$442)</f>
      </c>
      <c r="BK442">
        <f>IF(ISBLANK('Data Entry'!$$442), "", 'Data Entry'!$$442)</f>
      </c>
      <c r="BL442">
        <f>IF(ISBLANK('Data Entry'!$$442), "", 'Data Entry'!$$442)</f>
      </c>
      <c r="BM442">
        <f>IF(ISBLANK('Data Entry'!$$442), "", 'Data Entry'!$$442)</f>
      </c>
      <c r="BN442">
        <f>IF(ISBLANK('Data Entry'!$$442), "", 'Data Entry'!$$442)</f>
      </c>
      <c r="BO442">
        <f>IF(ISBLANK('Data Entry'!$$442), "", 'Data Entry'!$$442)</f>
      </c>
      <c r="BP442">
        <f>IF(ISBLANK('Data Entry'!$$442), "", 'Data Entry'!$$442)</f>
      </c>
      <c r="BQ442">
        <f>IF(ISBLANK('Data Entry'!$$442), "", 'Data Entry'!$$442)</f>
      </c>
      <c r="BR442">
        <f>IF(ISBLANK('Data Entry'!$$442), "", 'Data Entry'!$$442)</f>
      </c>
      <c r="BS442">
        <f>IF(ISBLANK('Data Entry'!$$442), "", 'Data Entry'!$$442)</f>
      </c>
      <c r="BT442">
        <f>IF(ISBLANK('Data Entry'!$$442), "", 'Data Entry'!$$442)</f>
      </c>
      <c r="BU442">
        <f>IF(ISBLANK('Data Entry'!$$442), "", 'Data Entry'!$$442)</f>
      </c>
      <c r="BV442">
        <f>IF(ISBLANK('Data Entry'!$$442), "", 'Data Entry'!$$442)</f>
      </c>
      <c r="BW442">
        <f>IF(ISBLANK('Data Entry'!$$442), "", 'Data Entry'!$$442)</f>
      </c>
      <c r="BX442">
        <f>IF(ISBLANK('Data Entry'!$$442), "", 'Data Entry'!$$442)</f>
      </c>
      <c r="BY442">
        <f>IF(ISBLANK('Data Entry'!$$442), "", 'Data Entry'!$$442)</f>
      </c>
      <c r="BZ442">
        <f>IF(ISBLANK('Data Entry'!$$442), "", 'Data Entry'!$$442)</f>
      </c>
      <c r="CA442">
        <f>IF(ISBLANK('Data Entry'!$$442), "", 'Data Entry'!$$442)</f>
      </c>
      <c r="CB442">
        <f>IF(ISBLANK('Data Entry'!$$442), "", 'Data Entry'!$$442)</f>
      </c>
      <c r="CC442">
        <f>IF(ISBLANK('Data Entry'!$$442), "", 'Data Entry'!$$442)</f>
      </c>
      <c r="CD442">
        <f>IF(ISBLANK('Data Entry'!$$442), "", 'Data Entry'!$$442)</f>
      </c>
      <c r="CE442">
        <f>IF(ISBLANK('Data Entry'!$$442), "", 'Data Entry'!$$442)</f>
      </c>
      <c r="CF442">
        <f>IF(ISBLANK('Data Entry'!$$442), "", 'Data Entry'!$$442)</f>
      </c>
      <c r="CG442">
        <f>IF(ISBLANK('Data Entry'!$$442), "", 'Data Entry'!$$442)</f>
      </c>
      <c r="CH442">
        <f>IF(ISBLANK('Data Entry'!$$442), "", 'Data Entry'!$$442)</f>
      </c>
      <c r="CI442">
        <f>IF(ISBLANK('Data Entry'!$$442), "", 'Data Entry'!$$442)</f>
      </c>
      <c r="CJ442">
        <f>IF(ISBLANK('Data Entry'!$$442), "", 'Data Entry'!$$442)</f>
      </c>
      <c r="CK442">
        <f>IF(ISBLANK('Data Entry'!$$442), "", 'Data Entry'!$$442)</f>
      </c>
      <c r="CL442">
        <f>IF(ISBLANK('Data Entry'!$$442), "", 'Data Entry'!$$442)</f>
      </c>
      <c r="CM442">
        <f>IF(ISBLANK('Data Entry'!$$442), "", 'Data Entry'!$$442)</f>
      </c>
      <c r="CN442">
        <f>IF(ISBLANK('Data Entry'!$$442), "", 'Data Entry'!$$442)</f>
      </c>
      <c r="CO442">
        <f>IF(ISBLANK('Data Entry'!$$442), "", 'Data Entry'!$$442)</f>
      </c>
      <c r="CP442">
        <f>IF(ISBLANK('Data Entry'!$$442), "", 'Data Entry'!$$442)</f>
      </c>
      <c r="CQ442">
        <f>IF(ISBLANK('Data Entry'!$$442), "", 'Data Entry'!$$442)</f>
      </c>
      <c r="CR442">
        <f>IF(ISBLANK('Data Entry'!$ $442), "", 'Data Entry'!$ $442)</f>
      </c>
      <c r="CS442">
        <f>IF(ISBLANK('Data Entry'!$¡$442), "", 'Data Entry'!$¡$442)</f>
      </c>
      <c r="CT442">
        <f>IF(ISBLANK('Data Entry'!$¢$442), "", 'Data Entry'!$¢$442)</f>
      </c>
      <c r="CU442">
        <f>IF(ISBLANK('Data Entry'!$£$442), "", 'Data Entry'!$£$442)</f>
      </c>
      <c r="CV442">
        <f>IF(ISBLANK('Data Entry'!$¤$442), "", 'Data Entry'!$¤$442)</f>
      </c>
      <c r="CW442">
        <f>IF(ISBLANK('Data Entry'!$¥$442), "", 'Data Entry'!$¥$442)</f>
      </c>
      <c r="CX442">
        <f>IF(ISBLANK('Data Entry'!$¦$442), "", 'Data Entry'!$¦$442)</f>
      </c>
      <c r="CY442">
        <f>IF(ISBLANK('Data Entry'!$§$442), "", 'Data Entry'!$§$442)</f>
      </c>
      <c r="CZ442">
        <f>IF(ISBLANK('Data Entry'!$¨$442), "", 'Data Entry'!$¨$442)</f>
      </c>
      <c r="DA442">
        <f>IF(ISBLANK('Data Entry'!$©$442), "", 'Data Entry'!$©$442)</f>
      </c>
      <c r="DB442">
        <f>IF(ISBLANK('Data Entry'!$ª$442), "", 'Data Entry'!$ª$442)</f>
      </c>
      <c r="DC442">
        <f>IF(ISBLANK('Data Entry'!$«$442), "", 'Data Entry'!$«$442)</f>
      </c>
      <c r="DD442">
        <f>IF(ISBLANK('Data Entry'!$¬$442), "", 'Data Entry'!$¬$442)</f>
      </c>
      <c r="DE442">
        <f>IF(ISBLANK('Data Entry'!$­$442), "", 'Data Entry'!$­$442)</f>
      </c>
      <c r="DF442">
        <f>IF(ISBLANK('Data Entry'!$®$442), "", 'Data Entry'!$®$442)</f>
      </c>
      <c r="DG442">
        <f>IF(ISBLANK('Data Entry'!$¯$442), "", 'Data Entry'!$¯$442)</f>
      </c>
      <c r="DH442">
        <f>IF(ISBLANK('Data Entry'!$°$442), "", 'Data Entry'!$°$442)</f>
      </c>
      <c r="DI442">
        <f>IF(ISBLANK('Data Entry'!$±$442), "", 'Data Entry'!$±$442)</f>
      </c>
      <c r="DJ442">
        <f>IF(ISBLANK('Data Entry'!$²$442), "", 'Data Entry'!$²$442)</f>
      </c>
      <c r="DK442">
        <f>IF(ISBLANK('Data Entry'!$³$442), "", 'Data Entry'!$³$442)</f>
      </c>
      <c r="DL442">
        <f>IF(ISBLANK('Data Entry'!$´$442), "", 'Data Entry'!$´$442)</f>
      </c>
      <c r="DM442">
        <f>IF(ISBLANK('Data Entry'!$µ$442), "", 'Data Entry'!$µ$442)</f>
      </c>
      <c r="DN442">
        <f>IF(ISBLANK('Data Entry'!$¶$442), "", 'Data Entry'!$¶$442)</f>
      </c>
      <c r="DO442">
        <f>IF(ISBLANK('Data Entry'!$·$442), "", 'Data Entry'!$·$442)</f>
      </c>
      <c r="DP442">
        <f>IF(ISBLANK('Data Entry'!$¸$442), "", 'Data Entry'!$¸$442)</f>
      </c>
      <c r="DQ442">
        <f>IF(ISBLANK('Data Entry'!$¹$442), "", 'Data Entry'!$¹$442)</f>
      </c>
      <c r="DR442">
        <f>IF(ISBLANK('Data Entry'!$º$442), "", 'Data Entry'!$º$442)</f>
      </c>
      <c r="DS442">
        <f>IF(ISBLANK('Data Entry'!$»$442), "", 'Data Entry'!$»$442)</f>
      </c>
      <c r="DT442">
        <f>IF(ISBLANK('Data Entry'!$¼$442), "", 'Data Entry'!$¼$442)</f>
      </c>
      <c r="DU442">
        <f>IF(ISBLANK('Data Entry'!$½$442), "", 'Data Entry'!$½$442)</f>
      </c>
      <c r="DV442">
        <f>IF(ISBLANK('Data Entry'!$¾$442), "", 'Data Entry'!$¾$442)</f>
      </c>
      <c r="DW442">
        <f>IF(ISBLANK('Data Entry'!$¿$442), "", 'Data Entry'!$¿$442)</f>
      </c>
      <c r="DX442">
        <f>IF(ISBLANK('Data Entry'!$À$442), "", 'Data Entry'!$À$442)</f>
      </c>
      <c r="DY442">
        <f>IF(ISBLANK('Data Entry'!$Á$442), "", 'Data Entry'!$Á$442)</f>
      </c>
      <c r="DZ442">
        <f>IF(ISBLANK('Data Entry'!$Â$442), "", 'Data Entry'!$Â$442)</f>
      </c>
      <c r="EA442">
        <f>IF(ISBLANK('Data Entry'!$Ã$442), "", 'Data Entry'!$Ã$442)</f>
      </c>
      <c r="EB442">
        <f>IF(ISBLANK('Data Entry'!$Ä$442), "", 'Data Entry'!$Ä$442)</f>
      </c>
      <c r="EC442">
        <f>IF(ISBLANK('Data Entry'!$Å$442), "", 'Data Entry'!$Å$442)</f>
      </c>
      <c r="ED442">
        <f>IF(ISBLANK('Data Entry'!$Æ$442), "", 'Data Entry'!$Æ$442)</f>
      </c>
      <c r="EE442">
        <f>IF(ISBLANK('Data Entry'!$Ç$442), "", 'Data Entry'!$Ç$442)</f>
      </c>
      <c r="EF442">
        <f>IF(ISBLANK('Data Entry'!$È$442), "", 'Data Entry'!$È$442)</f>
      </c>
      <c r="EG442">
        <f>IF(ISBLANK('Data Entry'!$É$442), "", 'Data Entry'!$É$442)</f>
      </c>
      <c r="EH442">
        <f>IF(ISBLANK('Data Entry'!$Ê$442), "", 'Data Entry'!$Ê$442)</f>
      </c>
      <c r="EI442">
        <f>IF(ISBLANK('Data Entry'!$Ë$442), "", 'Data Entry'!$Ë$442)</f>
      </c>
      <c r="EJ442">
        <f>IF(ISBLANK('Data Entry'!$Ì$442), "", 'Data Entry'!$Ì$442)</f>
      </c>
      <c r="EK442">
        <f>IF(ISBLANK('Data Entry'!$Í$442), "", 'Data Entry'!$Í$442)</f>
      </c>
      <c r="EL442">
        <f>IF(ISBLANK('Data Entry'!$Î$442), "", 'Data Entry'!$Î$442)</f>
      </c>
      <c r="EM442">
        <f>IF(ISBLANK('Data Entry'!$Ï$442), "", 'Data Entry'!$Ï$442)</f>
      </c>
      <c r="EN442">
        <f>IF(ISBLANK('Data Entry'!$Ð$442), "", 'Data Entry'!$Ð$442)</f>
      </c>
      <c r="EO442">
        <f>IF(ISBLANK('Data Entry'!$Ñ$442), "", 'Data Entry'!$Ñ$442)</f>
      </c>
      <c r="EP442">
        <f>IF(ISBLANK('Data Entry'!$Ò$442), "", 'Data Entry'!$Ò$442)</f>
      </c>
      <c r="EQ442">
        <f>IF(ISBLANK('Data Entry'!$Ó$442), "", 'Data Entry'!$Ó$442)</f>
      </c>
      <c r="ER442">
        <f>IF(ISBLANK('Data Entry'!$Ô$442), "", 'Data Entry'!$Ô$442)</f>
      </c>
      <c r="ES442">
        <f>IF(ISBLANK('Data Entry'!$Õ$442), "", 'Data Entry'!$Õ$442)</f>
      </c>
      <c r="ET442">
        <f>IF(ISBLANK('Data Entry'!$Ö$442), "", 'Data Entry'!$Ö$442)</f>
      </c>
      <c r="EU442">
        <f>IF(ISBLANK('Data Entry'!$×$442), "", 'Data Entry'!$×$442)</f>
      </c>
      <c r="EV442">
        <f>IF(ISBLANK('Data Entry'!$Ø$442), "", 'Data Entry'!$Ø$442)</f>
      </c>
      <c r="EW442">
        <f>IF(ISBLANK('Data Entry'!$Ù$442), "", 'Data Entry'!$Ù$442)</f>
      </c>
      <c r="EX442">
        <f>IF(ISBLANK('Data Entry'!$Ú$442), "", 'Data Entry'!$Ú$442)</f>
      </c>
      <c r="EY442">
        <f>IF(ISBLANK('Data Entry'!$Û$442), "", 'Data Entry'!$Û$442)</f>
      </c>
      <c r="EZ442">
        <f>IF(ISBLANK('Data Entry'!$Ü$442), "", 'Data Entry'!$Ü$442)</f>
      </c>
      <c r="FA442">
        <f>IF(ISBLANK('Data Entry'!$Ý$442), "", 'Data Entry'!$Ý$442)</f>
      </c>
      <c r="FB442">
        <f>IF(ISBLANK('Data Entry'!$Þ$442), "", 'Data Entry'!$Þ$442)</f>
      </c>
      <c r="FC442">
        <f>IF(ISBLANK('Data Entry'!$ß$442), "", 'Data Entry'!$ß$442)</f>
      </c>
      <c r="FD442">
        <f>IF(ISBLANK('Data Entry'!$à$442), "", 'Data Entry'!$à$442)</f>
      </c>
      <c r="FE442">
        <f>IF(ISBLANK('Data Entry'!$á$442), "", 'Data Entry'!$á$442)</f>
      </c>
      <c r="FF442">
        <f>IF(ISBLANK('Data Entry'!$â$442), "", 'Data Entry'!$â$442)</f>
      </c>
      <c r="FG442">
        <f>IF(ISBLANK('Data Entry'!$ã$442), "", 'Data Entry'!$ã$442)</f>
      </c>
      <c r="FH442">
        <f>IF(ISBLANK('Data Entry'!$ä$442), "", 'Data Entry'!$ä$442)</f>
      </c>
      <c r="FI442">
        <f>IF(ISBLANK('Data Entry'!$å$442), "", 'Data Entry'!$å$442)</f>
      </c>
      <c r="FJ442">
        <f>IF(ISBLANK('Data Entry'!$æ$442), "", 'Data Entry'!$æ$442)</f>
      </c>
      <c r="FK442">
        <f>IF(ISBLANK('Data Entry'!$ç$442), "", 'Data Entry'!$ç$442)</f>
      </c>
      <c r="FL442">
        <f>IF(ISBLANK('Data Entry'!$è$442), "", 'Data Entry'!$è$442)</f>
      </c>
      <c r="FM442">
        <f>IF(ISBLANK('Data Entry'!$é$442), "", 'Data Entry'!$é$442)</f>
      </c>
      <c r="FN442">
        <f>IF(ISBLANK('Data Entry'!$ê$442), "", 'Data Entry'!$ê$442)</f>
      </c>
      <c r="FO442">
        <f>IF(ISBLANK('Data Entry'!$ë$442), "", 'Data Entry'!$ë$442)</f>
      </c>
      <c r="FP442">
        <f>IF(ISBLANK('Data Entry'!$ì$442), "", 'Data Entry'!$ì$442)</f>
      </c>
      <c r="FQ442">
        <f>IF(ISBLANK('Data Entry'!$í$442), "", 'Data Entry'!$í$442)</f>
      </c>
      <c r="FR442">
        <f>IF(ISBLANK('Data Entry'!$î$442), "", 'Data Entry'!$î$442)</f>
      </c>
      <c r="FS442">
        <f>IF(ISBLANK('Data Entry'!$ï$442), "", 'Data Entry'!$ï$442)</f>
      </c>
      <c r="FT442">
        <f>IF(ISBLANK('Data Entry'!$ð$442), "", 'Data Entry'!$ð$442)</f>
      </c>
      <c r="FU442">
        <f>IF(ISBLANK('Data Entry'!$ñ$442), "", 'Data Entry'!$ñ$442)</f>
      </c>
      <c r="FV442">
        <f>IF(ISBLANK('Data Entry'!$ò$442), "", 'Data Entry'!$ò$442)</f>
      </c>
      <c r="FW442">
        <f>IF(ISBLANK('Data Entry'!$ó$442), "", 'Data Entry'!$ó$442)</f>
      </c>
      <c r="FX442">
        <f>IF(ISBLANK('Data Entry'!$ô$442), "", 'Data Entry'!$ô$442)</f>
      </c>
      <c r="FY442">
        <f>IF(ISBLANK('Data Entry'!$õ$442), "", 'Data Entry'!$õ$442)</f>
      </c>
      <c r="FZ442">
        <f>IF(ISBLANK('Data Entry'!$ö$442), "", 'Data Entry'!$ö$442)</f>
      </c>
      <c r="GA442">
        <f>IF(ISBLANK('Data Entry'!$÷$442), "", 'Data Entry'!$÷$442)</f>
      </c>
      <c r="GB442">
        <f>IF(ISBLANK('Data Entry'!$ø$442), "", 'Data Entry'!$ø$442)</f>
      </c>
      <c r="GC442">
        <f>IF(ISBLANK('Data Entry'!$ù$442), "", 'Data Entry'!$ù$442)</f>
      </c>
      <c r="GD442">
        <f>IF(ISBLANK('Data Entry'!$ú$442), "", 'Data Entry'!$ú$442)</f>
      </c>
      <c r="GE442">
        <f>IF(ISBLANK('Data Entry'!$û$442), "", 'Data Entry'!$û$442)</f>
      </c>
      <c r="GF442">
        <f>IF(ISBLANK('Data Entry'!$ü$442), "", 'Data Entry'!$ü$442)</f>
      </c>
      <c r="GG442">
        <f>IF(ISBLANK('Data Entry'!$ý$442), "", 'Data Entry'!$ý$442)</f>
      </c>
      <c r="GH442">
        <f>IF(ISBLANK('Data Entry'!$þ$442), "", 'Data Entry'!$þ$442)</f>
      </c>
      <c r="GI442">
        <f>IF(ISBLANK('Data Entry'!$ÿ$442), "", 'Data Entry'!$ÿ$442)</f>
      </c>
      <c r="GJ442">
        <f>IF(ISBLANK('Data Entry'!$Ā$442), "", 'Data Entry'!$Ā$442)</f>
      </c>
      <c r="GK442">
        <f>IF(ISBLANK('Data Entry'!$ā$442), "", 'Data Entry'!$ā$442)</f>
      </c>
      <c r="GL442">
        <f>IF(ISBLANK('Data Entry'!$Ă$442), "", 'Data Entry'!$Ă$442)</f>
      </c>
      <c r="GM442">
        <f>IF(ISBLANK('Data Entry'!$ă$442), "", 'Data Entry'!$ă$442)</f>
      </c>
      <c r="GN442">
        <f>IF(ISBLANK('Data Entry'!$Ą$442), "", 'Data Entry'!$Ą$442)</f>
      </c>
      <c r="GO442">
        <f>IF(ISBLANK('Data Entry'!$ą$442), "", 'Data Entry'!$ą$442)</f>
      </c>
      <c r="GP442">
        <f>IF(ISBLANK('Data Entry'!$Ć$442), "", 'Data Entry'!$Ć$442)</f>
      </c>
      <c r="GQ442">
        <f>IF(ISBLANK('Data Entry'!$ć$442), "", 'Data Entry'!$ć$442)</f>
      </c>
      <c r="GR442">
        <f>IF(ISBLANK('Data Entry'!$Ĉ$442), "", 'Data Entry'!$Ĉ$442)</f>
      </c>
      <c r="GS442">
        <f>IF(ISBLANK('Data Entry'!$ĉ$442), "", 'Data Entry'!$ĉ$442)</f>
      </c>
      <c r="GT442">
        <f>IF(ISBLANK('Data Entry'!$Ċ$442), "", 'Data Entry'!$Ċ$442)</f>
      </c>
      <c r="GU442">
        <f>IF(ISBLANK('Data Entry'!$ċ$442), "", 'Data Entry'!$ċ$442)</f>
      </c>
      <c r="GV442">
        <f>IF(ISBLANK('Data Entry'!$Č$442), "", 'Data Entry'!$Č$442)</f>
      </c>
      <c r="GW442">
        <f>IF(ISBLANK('Data Entry'!$č$442), "", 'Data Entry'!$č$442)</f>
      </c>
      <c r="GX442">
        <f>IF(ISBLANK('Data Entry'!$Ď$442), "", 'Data Entry'!$Ď$442)</f>
      </c>
      <c r="GY442">
        <f>IF(ISBLANK('Data Entry'!$ď$442), "", 'Data Entry'!$ď$442)</f>
      </c>
      <c r="GZ442">
        <f>IF(ISBLANK('Data Entry'!$Đ$442), "", 'Data Entry'!$Đ$442)</f>
      </c>
      <c r="HA442">
        <f>IF(ISBLANK('Data Entry'!$đ$442), "", 'Data Entry'!$đ$442)</f>
      </c>
      <c r="HB442">
        <f>IF(ISBLANK('Data Entry'!$Ē$442), "", 'Data Entry'!$Ē$442)</f>
      </c>
      <c r="HC442">
        <f>IF(ISBLANK('Data Entry'!$ē$442), "", 'Data Entry'!$ē$442)</f>
      </c>
      <c r="HD442">
        <f>IF(ISBLANK('Data Entry'!$Ĕ$442), "", 'Data Entry'!$Ĕ$442)</f>
      </c>
      <c r="HE442">
        <f>IF(ISBLANK('Data Entry'!$ĕ$442), "", 'Data Entry'!$ĕ$442)</f>
      </c>
      <c r="HF442">
        <f>IF(ISBLANK('Data Entry'!$Ė$442), "", 'Data Entry'!$Ė$442)</f>
      </c>
      <c r="HG442">
        <f>IF(ISBLANK('Data Entry'!$ė$442), "", 'Data Entry'!$ė$442)</f>
      </c>
      <c r="HH442">
        <f>IF(ISBLANK('Data Entry'!$Ę$442), "", 'Data Entry'!$Ę$442)</f>
      </c>
      <c r="HI442">
        <f>IF(ISBLANK('Data Entry'!$ę$442), "", 'Data Entry'!$ę$442)</f>
      </c>
      <c r="HJ442">
        <f>IF(ISBLANK('Data Entry'!$Ě$442), "", 'Data Entry'!$Ě$442)</f>
      </c>
      <c r="HK442">
        <f>IF(ISBLANK('Data Entry'!$ě$442), "", 'Data Entry'!$ě$442)</f>
      </c>
      <c r="HL442">
        <f>IF(ISBLANK('Data Entry'!$Ĝ$442), "", 'Data Entry'!$Ĝ$442)</f>
      </c>
      <c r="HM442">
        <f>IF(ISBLANK('Data Entry'!$ĝ$442), "", 'Data Entry'!$ĝ$442)</f>
      </c>
      <c r="HN442">
        <f>IF(ISBLANK('Data Entry'!$Ğ$442), "", 'Data Entry'!$Ğ$442)</f>
      </c>
      <c r="HO442">
        <f>IF(ISBLANK('Data Entry'!$ğ$442), "", 'Data Entry'!$ğ$442)</f>
      </c>
      <c r="HP442">
        <f>IF(ISBLANK('Data Entry'!$Ġ$442), "", 'Data Entry'!$Ġ$442)</f>
      </c>
      <c r="HQ442">
        <f>IF(ISBLANK('Data Entry'!$ġ$442), "", 'Data Entry'!$ġ$442)</f>
      </c>
      <c r="HR442">
        <f>IF(ISBLANK('Data Entry'!$Ģ$442), "", 'Data Entry'!$Ģ$442)</f>
      </c>
      <c r="HS442">
        <f>IF(ISBLANK('Data Entry'!$ģ$442), "", 'Data Entry'!$ģ$442)</f>
      </c>
      <c r="HT442">
        <f>IF(ISBLANK('Data Entry'!$Ĥ$442), "", 'Data Entry'!$Ĥ$442)</f>
      </c>
      <c r="HU442">
        <f>IF(ISBLANK('Data Entry'!$ĥ$442), "", 'Data Entry'!$ĥ$442)</f>
      </c>
      <c r="HV442">
        <f>IF(ISBLANK('Data Entry'!$Ħ$442), "", 'Data Entry'!$Ħ$442)</f>
      </c>
      <c r="HW442">
        <f>IF(ISBLANK('Data Entry'!$ħ$442), "", 'Data Entry'!$ħ$442)</f>
      </c>
      <c r="HX442">
        <f>IF(ISBLANK('Data Entry'!$Ĩ$442), "", 'Data Entry'!$Ĩ$442)</f>
      </c>
      <c r="HY442">
        <f>IF(ISBLANK('Data Entry'!$ĩ$442), "", 'Data Entry'!$ĩ$442)</f>
      </c>
      <c r="HZ442">
        <f>IF(ISBLANK('Data Entry'!$Ī$442), "", 'Data Entry'!$Ī$442)</f>
      </c>
      <c r="IA442">
        <f>IF(ISBLANK('Data Entry'!$ī$442), "", 'Data Entry'!$ī$442)</f>
      </c>
      <c r="IB442">
        <f>IF(ISBLANK('Data Entry'!$Ĭ$442), "", 'Data Entry'!$Ĭ$442)</f>
      </c>
      <c r="IC442">
        <f>IF(ISBLANK('Data Entry'!$ĭ$442), "", 'Data Entry'!$ĭ$442)</f>
      </c>
      <c r="ID442">
        <f>IF(ISBLANK('Data Entry'!$Į$442), "", 'Data Entry'!$Į$442)</f>
      </c>
      <c r="IE442">
        <f>IF(ISBLANK('Data Entry'!$į$442), "", 'Data Entry'!$į$442)</f>
      </c>
      <c r="IF442">
        <f>IF(ISBLANK('Data Entry'!$İ$442), "", 'Data Entry'!$İ$442)</f>
      </c>
      <c r="IG442">
        <f>IF(ISBLANK('Data Entry'!$ı$442), "", 'Data Entry'!$ı$442)</f>
      </c>
      <c r="IH442">
        <f>IF(ISBLANK('Data Entry'!$Ĳ$442), "", 'Data Entry'!$Ĳ$442)</f>
      </c>
      <c r="II442">
        <f>IF(ISBLANK('Data Entry'!$ĳ$442), "", 'Data Entry'!$ĳ$442)</f>
      </c>
      <c r="IJ442">
        <f>IF(ISBLANK('Data Entry'!$Ĵ$442), "", 'Data Entry'!$Ĵ$442)</f>
      </c>
      <c r="IK442">
        <f>IF(ISBLANK('Data Entry'!$ĵ$442), "", 'Data Entry'!$ĵ$442)</f>
      </c>
      <c r="IL442">
        <f>IF(ISBLANK('Data Entry'!$Ķ$442), "", 'Data Entry'!$Ķ$442)</f>
      </c>
      <c r="IM442">
        <f>IF(ISBLANK('Data Entry'!$ķ$442), "", 'Data Entry'!$ķ$442)</f>
      </c>
      <c r="IN442">
        <f>IF(ISBLANK('Data Entry'!$ĸ$442), "", 'Data Entry'!$ĸ$442)</f>
      </c>
      <c r="IO442">
        <f>IF(ISBLANK('Data Entry'!$Ĺ$442), "", 'Data Entry'!$Ĺ$442)</f>
      </c>
      <c r="IP442">
        <f>IF(ISBLANK('Data Entry'!$ĺ$442), "", 'Data Entry'!$ĺ$442)</f>
      </c>
      <c r="IQ442">
        <f>IF(ISBLANK('Data Entry'!$Ļ$442), "", 'Data Entry'!$Ļ$442)</f>
      </c>
      <c r="IR442">
        <f>IF(ISBLANK('Data Entry'!$ļ$442), "", 'Data Entry'!$ļ$442)</f>
      </c>
      <c r="IS442">
        <f>IF(ISBLANK('Data Entry'!$Ľ$442), "", 'Data Entry'!$Ľ$442)</f>
      </c>
      <c r="IT442">
        <f>IF(ISBLANK('Data Entry'!$ľ$442), "", 'Data Entry'!$ľ$442)</f>
      </c>
    </row>
    <row r="443" spans="1:254" x14ac:dyDescent="0.25">
      <c r="A443">
        <f>IF(ISBLANK('Data Entry'!$A$443), "", 'Data Entry'!$A$443)</f>
      </c>
      <c r="B443">
        <f>IF(ISBLANK('Data Entry'!$B$443), "", 'Data Entry'!$B$443)</f>
      </c>
      <c r="C443">
        <f>IF(ISBLANK('Data Entry'!$C$443), "", 'Data Entry'!$C$443)</f>
      </c>
      <c r="D443">
        <f>IF(ISBLANK('Data Entry'!$D$443), "", 'Data Entry'!$D$443)</f>
      </c>
      <c r="E443">
        <f>IF(ISBLANK('Data Entry'!$E$443), "", 'Data Entry'!$E$443)</f>
      </c>
      <c r="F443">
        <f>IF(ISBLANK('Data Entry'!$F$443), "", 'Data Entry'!$F$443)</f>
      </c>
      <c r="G443">
        <f>IF(ISBLANK('Data Entry'!$G$443), "", 'Data Entry'!$G$443)</f>
      </c>
      <c r="H443">
        <f>IF(ISBLANK('Data Entry'!$H$443), "", 'Data Entry'!$H$443)</f>
      </c>
      <c r="I443">
        <f>IF(ISBLANK('Data Entry'!$I$443), "", 'Data Entry'!$I$443)</f>
      </c>
      <c r="J443">
        <f>IF(ISBLANK('Data Entry'!$J$443), "", 'Data Entry'!$J$443)</f>
      </c>
      <c r="K443">
        <f>IF(ISBLANK('Data Entry'!$K$443), "", 'Data Entry'!$K$443)</f>
      </c>
      <c r="L443">
        <f>IF(ISBLANK('Data Entry'!$L$443), "", 'Data Entry'!$L$443)</f>
      </c>
      <c r="M443">
        <f>IF(ISBLANK('Data Entry'!$M$443), "", 'Data Entry'!$M$443)</f>
      </c>
      <c r="N443">
        <f>IF(ISBLANK('Data Entry'!$N$443), "", 'Data Entry'!$N$443)</f>
      </c>
      <c r="O443">
        <f>IF(ISBLANK('Data Entry'!$O$443), "", 'Data Entry'!$O$443)</f>
      </c>
      <c r="P443">
        <f>IF(ISBLANK('Data Entry'!$P$443), "", 'Data Entry'!$P$443)</f>
      </c>
      <c r="Q443">
        <f>IF(ISBLANK('Data Entry'!$Q$443), "", 'Data Entry'!$Q$443)</f>
      </c>
      <c r="R443">
        <f>IF(ISBLANK('Data Entry'!$R$443), "", 'Data Entry'!$R$443)</f>
      </c>
      <c r="S443">
        <f>IF(ISBLANK('Data Entry'!$S$443), "", 'Data Entry'!$S$443)</f>
      </c>
      <c r="T443">
        <f>IF(ISBLANK('Data Entry'!$T$443), "", 'Data Entry'!$T$443)</f>
      </c>
      <c r="U443">
        <f>IF(ISBLANK('Data Entry'!$U$443), "", 'Data Entry'!$U$443)</f>
      </c>
      <c r="V443">
        <f>IF(ISBLANK('Data Entry'!$V$443), "", 'Data Entry'!$V$443)</f>
      </c>
      <c r="W443">
        <f>IF(ISBLANK('Data Entry'!$W$443), "", 'Data Entry'!$W$443)</f>
      </c>
      <c r="X443">
        <f>IF(ISBLANK('Data Entry'!$X$443), "", 'Data Entry'!$X$443)</f>
      </c>
      <c r="Y443">
        <f>IF(ISBLANK('Data Entry'!$Y$443), "", 'Data Entry'!$Y$443)</f>
      </c>
      <c r="Z443">
        <f>IF(ISBLANK('Data Entry'!$Z$443), "", 'Data Entry'!$Z$443)</f>
      </c>
      <c r="AA443">
        <f>IF(ISBLANK('Data Entry'!$[$443), "", 'Data Entry'!$[$443)</f>
      </c>
      <c r="AB443">
        <f>IF(ISBLANK('Data Entry'!$\$443), "", 'Data Entry'!$\$443)</f>
      </c>
      <c r="AC443">
        <f>IF(ISBLANK('Data Entry'!$]$443), "", 'Data Entry'!$]$443)</f>
      </c>
      <c r="AD443">
        <f>IF(ISBLANK('Data Entry'!$^$443), "", 'Data Entry'!$^$443)</f>
      </c>
      <c r="AE443">
        <f>IF(ISBLANK('Data Entry'!$_$443), "", 'Data Entry'!$_$443)</f>
      </c>
      <c r="AF443">
        <f>IF(ISBLANK('Data Entry'!$`$443), "", 'Data Entry'!$`$443)</f>
      </c>
      <c r="AG443">
        <f>IF(ISBLANK('Data Entry'!$a$443), "", 'Data Entry'!$a$443)</f>
      </c>
      <c r="AH443">
        <f>IF(ISBLANK('Data Entry'!$b$443), "", 'Data Entry'!$b$443)</f>
      </c>
      <c r="AI443">
        <f>IF(ISBLANK('Data Entry'!$c$443), "", 'Data Entry'!$c$443)</f>
      </c>
      <c r="AJ443">
        <f>IF(ISBLANK('Data Entry'!$d$443), "", 'Data Entry'!$d$443)</f>
      </c>
      <c r="AK443">
        <f>IF(ISBLANK('Data Entry'!$e$443), "", 'Data Entry'!$e$443)</f>
      </c>
      <c r="AL443">
        <f>IF(ISBLANK('Data Entry'!$f$443), "", 'Data Entry'!$f$443)</f>
      </c>
      <c r="AM443">
        <f>IF(ISBLANK('Data Entry'!$g$443), "", 'Data Entry'!$g$443)</f>
      </c>
      <c r="AN443">
        <f>IF(ISBLANK('Data Entry'!$h$443), "", 'Data Entry'!$h$443)</f>
      </c>
      <c r="AO443">
        <f>IF(ISBLANK('Data Entry'!$i$443), "", 'Data Entry'!$i$443)</f>
      </c>
      <c r="AP443">
        <f>IF(ISBLANK('Data Entry'!$j$443), "", 'Data Entry'!$j$443)</f>
      </c>
      <c r="AQ443">
        <f>IF(ISBLANK('Data Entry'!$k$443), "", 'Data Entry'!$k$443)</f>
      </c>
      <c r="AR443">
        <f>IF(ISBLANK('Data Entry'!$l$443), "", 'Data Entry'!$l$443)</f>
      </c>
      <c r="AS443">
        <f>IF(ISBLANK('Data Entry'!$m$443), "", 'Data Entry'!$m$443)</f>
      </c>
      <c r="AT443">
        <f>IF(ISBLANK('Data Entry'!$n$443), "", 'Data Entry'!$n$443)</f>
      </c>
      <c r="AU443">
        <f>IF(ISBLANK('Data Entry'!$o$443), "", 'Data Entry'!$o$443)</f>
      </c>
      <c r="AV443">
        <f>IF(ISBLANK('Data Entry'!$p$443), "", 'Data Entry'!$p$443)</f>
      </c>
      <c r="AW443">
        <f>IF(ISBLANK('Data Entry'!$q$443), "", 'Data Entry'!$q$443)</f>
      </c>
      <c r="AX443">
        <f>IF(ISBLANK('Data Entry'!$r$443), "", 'Data Entry'!$r$443)</f>
      </c>
      <c r="AY443">
        <f>IF(ISBLANK('Data Entry'!$s$443), "", 'Data Entry'!$s$443)</f>
      </c>
      <c r="AZ443">
        <f>IF(ISBLANK('Data Entry'!$t$443), "", 'Data Entry'!$t$443)</f>
      </c>
      <c r="BA443">
        <f>IF(ISBLANK('Data Entry'!$u$443), "", 'Data Entry'!$u$443)</f>
      </c>
      <c r="BB443">
        <f>IF(ISBLANK('Data Entry'!$v$443), "", 'Data Entry'!$v$443)</f>
      </c>
      <c r="BC443">
        <f>IF(ISBLANK('Data Entry'!$w$443), "", 'Data Entry'!$w$443)</f>
      </c>
      <c r="BD443">
        <f>IF(ISBLANK('Data Entry'!$x$443), "", 'Data Entry'!$x$443)</f>
      </c>
      <c r="BE443">
        <f>IF(ISBLANK('Data Entry'!$y$443), "", 'Data Entry'!$y$443)</f>
      </c>
      <c r="BF443">
        <f>IF(ISBLANK('Data Entry'!$z$443), "", 'Data Entry'!$z$443)</f>
      </c>
      <c r="BG443">
        <f>IF(ISBLANK('Data Entry'!${$443), "", 'Data Entry'!${$443)</f>
      </c>
      <c r="BH443">
        <f>IF(ISBLANK('Data Entry'!$|$443), "", 'Data Entry'!$|$443)</f>
      </c>
      <c r="BI443">
        <f>IF(ISBLANK('Data Entry'!$}$443), "", 'Data Entry'!$}$443)</f>
      </c>
      <c r="BJ443">
        <f>IF(ISBLANK('Data Entry'!$~$443), "", 'Data Entry'!$~$443)</f>
      </c>
      <c r="BK443">
        <f>IF(ISBLANK('Data Entry'!$$443), "", 'Data Entry'!$$443)</f>
      </c>
      <c r="BL443">
        <f>IF(ISBLANK('Data Entry'!$$443), "", 'Data Entry'!$$443)</f>
      </c>
      <c r="BM443">
        <f>IF(ISBLANK('Data Entry'!$$443), "", 'Data Entry'!$$443)</f>
      </c>
      <c r="BN443">
        <f>IF(ISBLANK('Data Entry'!$$443), "", 'Data Entry'!$$443)</f>
      </c>
      <c r="BO443">
        <f>IF(ISBLANK('Data Entry'!$$443), "", 'Data Entry'!$$443)</f>
      </c>
      <c r="BP443">
        <f>IF(ISBLANK('Data Entry'!$$443), "", 'Data Entry'!$$443)</f>
      </c>
      <c r="BQ443">
        <f>IF(ISBLANK('Data Entry'!$$443), "", 'Data Entry'!$$443)</f>
      </c>
      <c r="BR443">
        <f>IF(ISBLANK('Data Entry'!$$443), "", 'Data Entry'!$$443)</f>
      </c>
      <c r="BS443">
        <f>IF(ISBLANK('Data Entry'!$$443), "", 'Data Entry'!$$443)</f>
      </c>
      <c r="BT443">
        <f>IF(ISBLANK('Data Entry'!$$443), "", 'Data Entry'!$$443)</f>
      </c>
      <c r="BU443">
        <f>IF(ISBLANK('Data Entry'!$$443), "", 'Data Entry'!$$443)</f>
      </c>
      <c r="BV443">
        <f>IF(ISBLANK('Data Entry'!$$443), "", 'Data Entry'!$$443)</f>
      </c>
      <c r="BW443">
        <f>IF(ISBLANK('Data Entry'!$$443), "", 'Data Entry'!$$443)</f>
      </c>
      <c r="BX443">
        <f>IF(ISBLANK('Data Entry'!$$443), "", 'Data Entry'!$$443)</f>
      </c>
      <c r="BY443">
        <f>IF(ISBLANK('Data Entry'!$$443), "", 'Data Entry'!$$443)</f>
      </c>
      <c r="BZ443">
        <f>IF(ISBLANK('Data Entry'!$$443), "", 'Data Entry'!$$443)</f>
      </c>
      <c r="CA443">
        <f>IF(ISBLANK('Data Entry'!$$443), "", 'Data Entry'!$$443)</f>
      </c>
      <c r="CB443">
        <f>IF(ISBLANK('Data Entry'!$$443), "", 'Data Entry'!$$443)</f>
      </c>
      <c r="CC443">
        <f>IF(ISBLANK('Data Entry'!$$443), "", 'Data Entry'!$$443)</f>
      </c>
      <c r="CD443">
        <f>IF(ISBLANK('Data Entry'!$$443), "", 'Data Entry'!$$443)</f>
      </c>
      <c r="CE443">
        <f>IF(ISBLANK('Data Entry'!$$443), "", 'Data Entry'!$$443)</f>
      </c>
      <c r="CF443">
        <f>IF(ISBLANK('Data Entry'!$$443), "", 'Data Entry'!$$443)</f>
      </c>
      <c r="CG443">
        <f>IF(ISBLANK('Data Entry'!$$443), "", 'Data Entry'!$$443)</f>
      </c>
      <c r="CH443">
        <f>IF(ISBLANK('Data Entry'!$$443), "", 'Data Entry'!$$443)</f>
      </c>
      <c r="CI443">
        <f>IF(ISBLANK('Data Entry'!$$443), "", 'Data Entry'!$$443)</f>
      </c>
      <c r="CJ443">
        <f>IF(ISBLANK('Data Entry'!$$443), "", 'Data Entry'!$$443)</f>
      </c>
      <c r="CK443">
        <f>IF(ISBLANK('Data Entry'!$$443), "", 'Data Entry'!$$443)</f>
      </c>
      <c r="CL443">
        <f>IF(ISBLANK('Data Entry'!$$443), "", 'Data Entry'!$$443)</f>
      </c>
      <c r="CM443">
        <f>IF(ISBLANK('Data Entry'!$$443), "", 'Data Entry'!$$443)</f>
      </c>
      <c r="CN443">
        <f>IF(ISBLANK('Data Entry'!$$443), "", 'Data Entry'!$$443)</f>
      </c>
      <c r="CO443">
        <f>IF(ISBLANK('Data Entry'!$$443), "", 'Data Entry'!$$443)</f>
      </c>
      <c r="CP443">
        <f>IF(ISBLANK('Data Entry'!$$443), "", 'Data Entry'!$$443)</f>
      </c>
      <c r="CQ443">
        <f>IF(ISBLANK('Data Entry'!$$443), "", 'Data Entry'!$$443)</f>
      </c>
      <c r="CR443">
        <f>IF(ISBLANK('Data Entry'!$ $443), "", 'Data Entry'!$ $443)</f>
      </c>
      <c r="CS443">
        <f>IF(ISBLANK('Data Entry'!$¡$443), "", 'Data Entry'!$¡$443)</f>
      </c>
      <c r="CT443">
        <f>IF(ISBLANK('Data Entry'!$¢$443), "", 'Data Entry'!$¢$443)</f>
      </c>
      <c r="CU443">
        <f>IF(ISBLANK('Data Entry'!$£$443), "", 'Data Entry'!$£$443)</f>
      </c>
      <c r="CV443">
        <f>IF(ISBLANK('Data Entry'!$¤$443), "", 'Data Entry'!$¤$443)</f>
      </c>
      <c r="CW443">
        <f>IF(ISBLANK('Data Entry'!$¥$443), "", 'Data Entry'!$¥$443)</f>
      </c>
      <c r="CX443">
        <f>IF(ISBLANK('Data Entry'!$¦$443), "", 'Data Entry'!$¦$443)</f>
      </c>
      <c r="CY443">
        <f>IF(ISBLANK('Data Entry'!$§$443), "", 'Data Entry'!$§$443)</f>
      </c>
      <c r="CZ443">
        <f>IF(ISBLANK('Data Entry'!$¨$443), "", 'Data Entry'!$¨$443)</f>
      </c>
      <c r="DA443">
        <f>IF(ISBLANK('Data Entry'!$©$443), "", 'Data Entry'!$©$443)</f>
      </c>
      <c r="DB443">
        <f>IF(ISBLANK('Data Entry'!$ª$443), "", 'Data Entry'!$ª$443)</f>
      </c>
      <c r="DC443">
        <f>IF(ISBLANK('Data Entry'!$«$443), "", 'Data Entry'!$«$443)</f>
      </c>
      <c r="DD443">
        <f>IF(ISBLANK('Data Entry'!$¬$443), "", 'Data Entry'!$¬$443)</f>
      </c>
      <c r="DE443">
        <f>IF(ISBLANK('Data Entry'!$­$443), "", 'Data Entry'!$­$443)</f>
      </c>
      <c r="DF443">
        <f>IF(ISBLANK('Data Entry'!$®$443), "", 'Data Entry'!$®$443)</f>
      </c>
      <c r="DG443">
        <f>IF(ISBLANK('Data Entry'!$¯$443), "", 'Data Entry'!$¯$443)</f>
      </c>
      <c r="DH443">
        <f>IF(ISBLANK('Data Entry'!$°$443), "", 'Data Entry'!$°$443)</f>
      </c>
      <c r="DI443">
        <f>IF(ISBLANK('Data Entry'!$±$443), "", 'Data Entry'!$±$443)</f>
      </c>
      <c r="DJ443">
        <f>IF(ISBLANK('Data Entry'!$²$443), "", 'Data Entry'!$²$443)</f>
      </c>
      <c r="DK443">
        <f>IF(ISBLANK('Data Entry'!$³$443), "", 'Data Entry'!$³$443)</f>
      </c>
      <c r="DL443">
        <f>IF(ISBLANK('Data Entry'!$´$443), "", 'Data Entry'!$´$443)</f>
      </c>
      <c r="DM443">
        <f>IF(ISBLANK('Data Entry'!$µ$443), "", 'Data Entry'!$µ$443)</f>
      </c>
      <c r="DN443">
        <f>IF(ISBLANK('Data Entry'!$¶$443), "", 'Data Entry'!$¶$443)</f>
      </c>
      <c r="DO443">
        <f>IF(ISBLANK('Data Entry'!$·$443), "", 'Data Entry'!$·$443)</f>
      </c>
      <c r="DP443">
        <f>IF(ISBLANK('Data Entry'!$¸$443), "", 'Data Entry'!$¸$443)</f>
      </c>
      <c r="DQ443">
        <f>IF(ISBLANK('Data Entry'!$¹$443), "", 'Data Entry'!$¹$443)</f>
      </c>
      <c r="DR443">
        <f>IF(ISBLANK('Data Entry'!$º$443), "", 'Data Entry'!$º$443)</f>
      </c>
      <c r="DS443">
        <f>IF(ISBLANK('Data Entry'!$»$443), "", 'Data Entry'!$»$443)</f>
      </c>
      <c r="DT443">
        <f>IF(ISBLANK('Data Entry'!$¼$443), "", 'Data Entry'!$¼$443)</f>
      </c>
      <c r="DU443">
        <f>IF(ISBLANK('Data Entry'!$½$443), "", 'Data Entry'!$½$443)</f>
      </c>
      <c r="DV443">
        <f>IF(ISBLANK('Data Entry'!$¾$443), "", 'Data Entry'!$¾$443)</f>
      </c>
      <c r="DW443">
        <f>IF(ISBLANK('Data Entry'!$¿$443), "", 'Data Entry'!$¿$443)</f>
      </c>
      <c r="DX443">
        <f>IF(ISBLANK('Data Entry'!$À$443), "", 'Data Entry'!$À$443)</f>
      </c>
      <c r="DY443">
        <f>IF(ISBLANK('Data Entry'!$Á$443), "", 'Data Entry'!$Á$443)</f>
      </c>
      <c r="DZ443">
        <f>IF(ISBLANK('Data Entry'!$Â$443), "", 'Data Entry'!$Â$443)</f>
      </c>
      <c r="EA443">
        <f>IF(ISBLANK('Data Entry'!$Ã$443), "", 'Data Entry'!$Ã$443)</f>
      </c>
      <c r="EB443">
        <f>IF(ISBLANK('Data Entry'!$Ä$443), "", 'Data Entry'!$Ä$443)</f>
      </c>
      <c r="EC443">
        <f>IF(ISBLANK('Data Entry'!$Å$443), "", 'Data Entry'!$Å$443)</f>
      </c>
      <c r="ED443">
        <f>IF(ISBLANK('Data Entry'!$Æ$443), "", 'Data Entry'!$Æ$443)</f>
      </c>
      <c r="EE443">
        <f>IF(ISBLANK('Data Entry'!$Ç$443), "", 'Data Entry'!$Ç$443)</f>
      </c>
      <c r="EF443">
        <f>IF(ISBLANK('Data Entry'!$È$443), "", 'Data Entry'!$È$443)</f>
      </c>
      <c r="EG443">
        <f>IF(ISBLANK('Data Entry'!$É$443), "", 'Data Entry'!$É$443)</f>
      </c>
      <c r="EH443">
        <f>IF(ISBLANK('Data Entry'!$Ê$443), "", 'Data Entry'!$Ê$443)</f>
      </c>
      <c r="EI443">
        <f>IF(ISBLANK('Data Entry'!$Ë$443), "", 'Data Entry'!$Ë$443)</f>
      </c>
      <c r="EJ443">
        <f>IF(ISBLANK('Data Entry'!$Ì$443), "", 'Data Entry'!$Ì$443)</f>
      </c>
      <c r="EK443">
        <f>IF(ISBLANK('Data Entry'!$Í$443), "", 'Data Entry'!$Í$443)</f>
      </c>
      <c r="EL443">
        <f>IF(ISBLANK('Data Entry'!$Î$443), "", 'Data Entry'!$Î$443)</f>
      </c>
      <c r="EM443">
        <f>IF(ISBLANK('Data Entry'!$Ï$443), "", 'Data Entry'!$Ï$443)</f>
      </c>
      <c r="EN443">
        <f>IF(ISBLANK('Data Entry'!$Ð$443), "", 'Data Entry'!$Ð$443)</f>
      </c>
      <c r="EO443">
        <f>IF(ISBLANK('Data Entry'!$Ñ$443), "", 'Data Entry'!$Ñ$443)</f>
      </c>
      <c r="EP443">
        <f>IF(ISBLANK('Data Entry'!$Ò$443), "", 'Data Entry'!$Ò$443)</f>
      </c>
      <c r="EQ443">
        <f>IF(ISBLANK('Data Entry'!$Ó$443), "", 'Data Entry'!$Ó$443)</f>
      </c>
      <c r="ER443">
        <f>IF(ISBLANK('Data Entry'!$Ô$443), "", 'Data Entry'!$Ô$443)</f>
      </c>
      <c r="ES443">
        <f>IF(ISBLANK('Data Entry'!$Õ$443), "", 'Data Entry'!$Õ$443)</f>
      </c>
      <c r="ET443">
        <f>IF(ISBLANK('Data Entry'!$Ö$443), "", 'Data Entry'!$Ö$443)</f>
      </c>
      <c r="EU443">
        <f>IF(ISBLANK('Data Entry'!$×$443), "", 'Data Entry'!$×$443)</f>
      </c>
      <c r="EV443">
        <f>IF(ISBLANK('Data Entry'!$Ø$443), "", 'Data Entry'!$Ø$443)</f>
      </c>
      <c r="EW443">
        <f>IF(ISBLANK('Data Entry'!$Ù$443), "", 'Data Entry'!$Ù$443)</f>
      </c>
      <c r="EX443">
        <f>IF(ISBLANK('Data Entry'!$Ú$443), "", 'Data Entry'!$Ú$443)</f>
      </c>
      <c r="EY443">
        <f>IF(ISBLANK('Data Entry'!$Û$443), "", 'Data Entry'!$Û$443)</f>
      </c>
      <c r="EZ443">
        <f>IF(ISBLANK('Data Entry'!$Ü$443), "", 'Data Entry'!$Ü$443)</f>
      </c>
      <c r="FA443">
        <f>IF(ISBLANK('Data Entry'!$Ý$443), "", 'Data Entry'!$Ý$443)</f>
      </c>
      <c r="FB443">
        <f>IF(ISBLANK('Data Entry'!$Þ$443), "", 'Data Entry'!$Þ$443)</f>
      </c>
      <c r="FC443">
        <f>IF(ISBLANK('Data Entry'!$ß$443), "", 'Data Entry'!$ß$443)</f>
      </c>
      <c r="FD443">
        <f>IF(ISBLANK('Data Entry'!$à$443), "", 'Data Entry'!$à$443)</f>
      </c>
      <c r="FE443">
        <f>IF(ISBLANK('Data Entry'!$á$443), "", 'Data Entry'!$á$443)</f>
      </c>
      <c r="FF443">
        <f>IF(ISBLANK('Data Entry'!$â$443), "", 'Data Entry'!$â$443)</f>
      </c>
      <c r="FG443">
        <f>IF(ISBLANK('Data Entry'!$ã$443), "", 'Data Entry'!$ã$443)</f>
      </c>
      <c r="FH443">
        <f>IF(ISBLANK('Data Entry'!$ä$443), "", 'Data Entry'!$ä$443)</f>
      </c>
      <c r="FI443">
        <f>IF(ISBLANK('Data Entry'!$å$443), "", 'Data Entry'!$å$443)</f>
      </c>
      <c r="FJ443">
        <f>IF(ISBLANK('Data Entry'!$æ$443), "", 'Data Entry'!$æ$443)</f>
      </c>
      <c r="FK443">
        <f>IF(ISBLANK('Data Entry'!$ç$443), "", 'Data Entry'!$ç$443)</f>
      </c>
      <c r="FL443">
        <f>IF(ISBLANK('Data Entry'!$è$443), "", 'Data Entry'!$è$443)</f>
      </c>
      <c r="FM443">
        <f>IF(ISBLANK('Data Entry'!$é$443), "", 'Data Entry'!$é$443)</f>
      </c>
      <c r="FN443">
        <f>IF(ISBLANK('Data Entry'!$ê$443), "", 'Data Entry'!$ê$443)</f>
      </c>
      <c r="FO443">
        <f>IF(ISBLANK('Data Entry'!$ë$443), "", 'Data Entry'!$ë$443)</f>
      </c>
      <c r="FP443">
        <f>IF(ISBLANK('Data Entry'!$ì$443), "", 'Data Entry'!$ì$443)</f>
      </c>
      <c r="FQ443">
        <f>IF(ISBLANK('Data Entry'!$í$443), "", 'Data Entry'!$í$443)</f>
      </c>
      <c r="FR443">
        <f>IF(ISBLANK('Data Entry'!$î$443), "", 'Data Entry'!$î$443)</f>
      </c>
      <c r="FS443">
        <f>IF(ISBLANK('Data Entry'!$ï$443), "", 'Data Entry'!$ï$443)</f>
      </c>
      <c r="FT443">
        <f>IF(ISBLANK('Data Entry'!$ð$443), "", 'Data Entry'!$ð$443)</f>
      </c>
      <c r="FU443">
        <f>IF(ISBLANK('Data Entry'!$ñ$443), "", 'Data Entry'!$ñ$443)</f>
      </c>
      <c r="FV443">
        <f>IF(ISBLANK('Data Entry'!$ò$443), "", 'Data Entry'!$ò$443)</f>
      </c>
      <c r="FW443">
        <f>IF(ISBLANK('Data Entry'!$ó$443), "", 'Data Entry'!$ó$443)</f>
      </c>
      <c r="FX443">
        <f>IF(ISBLANK('Data Entry'!$ô$443), "", 'Data Entry'!$ô$443)</f>
      </c>
      <c r="FY443">
        <f>IF(ISBLANK('Data Entry'!$õ$443), "", 'Data Entry'!$õ$443)</f>
      </c>
      <c r="FZ443">
        <f>IF(ISBLANK('Data Entry'!$ö$443), "", 'Data Entry'!$ö$443)</f>
      </c>
      <c r="GA443">
        <f>IF(ISBLANK('Data Entry'!$÷$443), "", 'Data Entry'!$÷$443)</f>
      </c>
      <c r="GB443">
        <f>IF(ISBLANK('Data Entry'!$ø$443), "", 'Data Entry'!$ø$443)</f>
      </c>
      <c r="GC443">
        <f>IF(ISBLANK('Data Entry'!$ù$443), "", 'Data Entry'!$ù$443)</f>
      </c>
      <c r="GD443">
        <f>IF(ISBLANK('Data Entry'!$ú$443), "", 'Data Entry'!$ú$443)</f>
      </c>
      <c r="GE443">
        <f>IF(ISBLANK('Data Entry'!$û$443), "", 'Data Entry'!$û$443)</f>
      </c>
      <c r="GF443">
        <f>IF(ISBLANK('Data Entry'!$ü$443), "", 'Data Entry'!$ü$443)</f>
      </c>
      <c r="GG443">
        <f>IF(ISBLANK('Data Entry'!$ý$443), "", 'Data Entry'!$ý$443)</f>
      </c>
      <c r="GH443">
        <f>IF(ISBLANK('Data Entry'!$þ$443), "", 'Data Entry'!$þ$443)</f>
      </c>
      <c r="GI443">
        <f>IF(ISBLANK('Data Entry'!$ÿ$443), "", 'Data Entry'!$ÿ$443)</f>
      </c>
      <c r="GJ443">
        <f>IF(ISBLANK('Data Entry'!$Ā$443), "", 'Data Entry'!$Ā$443)</f>
      </c>
      <c r="GK443">
        <f>IF(ISBLANK('Data Entry'!$ā$443), "", 'Data Entry'!$ā$443)</f>
      </c>
      <c r="GL443">
        <f>IF(ISBLANK('Data Entry'!$Ă$443), "", 'Data Entry'!$Ă$443)</f>
      </c>
      <c r="GM443">
        <f>IF(ISBLANK('Data Entry'!$ă$443), "", 'Data Entry'!$ă$443)</f>
      </c>
      <c r="GN443">
        <f>IF(ISBLANK('Data Entry'!$Ą$443), "", 'Data Entry'!$Ą$443)</f>
      </c>
      <c r="GO443">
        <f>IF(ISBLANK('Data Entry'!$ą$443), "", 'Data Entry'!$ą$443)</f>
      </c>
      <c r="GP443">
        <f>IF(ISBLANK('Data Entry'!$Ć$443), "", 'Data Entry'!$Ć$443)</f>
      </c>
      <c r="GQ443">
        <f>IF(ISBLANK('Data Entry'!$ć$443), "", 'Data Entry'!$ć$443)</f>
      </c>
      <c r="GR443">
        <f>IF(ISBLANK('Data Entry'!$Ĉ$443), "", 'Data Entry'!$Ĉ$443)</f>
      </c>
      <c r="GS443">
        <f>IF(ISBLANK('Data Entry'!$ĉ$443), "", 'Data Entry'!$ĉ$443)</f>
      </c>
      <c r="GT443">
        <f>IF(ISBLANK('Data Entry'!$Ċ$443), "", 'Data Entry'!$Ċ$443)</f>
      </c>
      <c r="GU443">
        <f>IF(ISBLANK('Data Entry'!$ċ$443), "", 'Data Entry'!$ċ$443)</f>
      </c>
      <c r="GV443">
        <f>IF(ISBLANK('Data Entry'!$Č$443), "", 'Data Entry'!$Č$443)</f>
      </c>
      <c r="GW443">
        <f>IF(ISBLANK('Data Entry'!$č$443), "", 'Data Entry'!$č$443)</f>
      </c>
      <c r="GX443">
        <f>IF(ISBLANK('Data Entry'!$Ď$443), "", 'Data Entry'!$Ď$443)</f>
      </c>
      <c r="GY443">
        <f>IF(ISBLANK('Data Entry'!$ď$443), "", 'Data Entry'!$ď$443)</f>
      </c>
      <c r="GZ443">
        <f>IF(ISBLANK('Data Entry'!$Đ$443), "", 'Data Entry'!$Đ$443)</f>
      </c>
      <c r="HA443">
        <f>IF(ISBLANK('Data Entry'!$đ$443), "", 'Data Entry'!$đ$443)</f>
      </c>
      <c r="HB443">
        <f>IF(ISBLANK('Data Entry'!$Ē$443), "", 'Data Entry'!$Ē$443)</f>
      </c>
      <c r="HC443">
        <f>IF(ISBLANK('Data Entry'!$ē$443), "", 'Data Entry'!$ē$443)</f>
      </c>
      <c r="HD443">
        <f>IF(ISBLANK('Data Entry'!$Ĕ$443), "", 'Data Entry'!$Ĕ$443)</f>
      </c>
      <c r="HE443">
        <f>IF(ISBLANK('Data Entry'!$ĕ$443), "", 'Data Entry'!$ĕ$443)</f>
      </c>
      <c r="HF443">
        <f>IF(ISBLANK('Data Entry'!$Ė$443), "", 'Data Entry'!$Ė$443)</f>
      </c>
      <c r="HG443">
        <f>IF(ISBLANK('Data Entry'!$ė$443), "", 'Data Entry'!$ė$443)</f>
      </c>
      <c r="HH443">
        <f>IF(ISBLANK('Data Entry'!$Ę$443), "", 'Data Entry'!$Ę$443)</f>
      </c>
      <c r="HI443">
        <f>IF(ISBLANK('Data Entry'!$ę$443), "", 'Data Entry'!$ę$443)</f>
      </c>
      <c r="HJ443">
        <f>IF(ISBLANK('Data Entry'!$Ě$443), "", 'Data Entry'!$Ě$443)</f>
      </c>
      <c r="HK443">
        <f>IF(ISBLANK('Data Entry'!$ě$443), "", 'Data Entry'!$ě$443)</f>
      </c>
      <c r="HL443">
        <f>IF(ISBLANK('Data Entry'!$Ĝ$443), "", 'Data Entry'!$Ĝ$443)</f>
      </c>
      <c r="HM443">
        <f>IF(ISBLANK('Data Entry'!$ĝ$443), "", 'Data Entry'!$ĝ$443)</f>
      </c>
      <c r="HN443">
        <f>IF(ISBLANK('Data Entry'!$Ğ$443), "", 'Data Entry'!$Ğ$443)</f>
      </c>
      <c r="HO443">
        <f>IF(ISBLANK('Data Entry'!$ğ$443), "", 'Data Entry'!$ğ$443)</f>
      </c>
      <c r="HP443">
        <f>IF(ISBLANK('Data Entry'!$Ġ$443), "", 'Data Entry'!$Ġ$443)</f>
      </c>
      <c r="HQ443">
        <f>IF(ISBLANK('Data Entry'!$ġ$443), "", 'Data Entry'!$ġ$443)</f>
      </c>
      <c r="HR443">
        <f>IF(ISBLANK('Data Entry'!$Ģ$443), "", 'Data Entry'!$Ģ$443)</f>
      </c>
      <c r="HS443">
        <f>IF(ISBLANK('Data Entry'!$ģ$443), "", 'Data Entry'!$ģ$443)</f>
      </c>
      <c r="HT443">
        <f>IF(ISBLANK('Data Entry'!$Ĥ$443), "", 'Data Entry'!$Ĥ$443)</f>
      </c>
      <c r="HU443">
        <f>IF(ISBLANK('Data Entry'!$ĥ$443), "", 'Data Entry'!$ĥ$443)</f>
      </c>
      <c r="HV443">
        <f>IF(ISBLANK('Data Entry'!$Ħ$443), "", 'Data Entry'!$Ħ$443)</f>
      </c>
      <c r="HW443">
        <f>IF(ISBLANK('Data Entry'!$ħ$443), "", 'Data Entry'!$ħ$443)</f>
      </c>
      <c r="HX443">
        <f>IF(ISBLANK('Data Entry'!$Ĩ$443), "", 'Data Entry'!$Ĩ$443)</f>
      </c>
      <c r="HY443">
        <f>IF(ISBLANK('Data Entry'!$ĩ$443), "", 'Data Entry'!$ĩ$443)</f>
      </c>
      <c r="HZ443">
        <f>IF(ISBLANK('Data Entry'!$Ī$443), "", 'Data Entry'!$Ī$443)</f>
      </c>
      <c r="IA443">
        <f>IF(ISBLANK('Data Entry'!$ī$443), "", 'Data Entry'!$ī$443)</f>
      </c>
      <c r="IB443">
        <f>IF(ISBLANK('Data Entry'!$Ĭ$443), "", 'Data Entry'!$Ĭ$443)</f>
      </c>
      <c r="IC443">
        <f>IF(ISBLANK('Data Entry'!$ĭ$443), "", 'Data Entry'!$ĭ$443)</f>
      </c>
      <c r="ID443">
        <f>IF(ISBLANK('Data Entry'!$Į$443), "", 'Data Entry'!$Į$443)</f>
      </c>
      <c r="IE443">
        <f>IF(ISBLANK('Data Entry'!$į$443), "", 'Data Entry'!$į$443)</f>
      </c>
      <c r="IF443">
        <f>IF(ISBLANK('Data Entry'!$İ$443), "", 'Data Entry'!$İ$443)</f>
      </c>
      <c r="IG443">
        <f>IF(ISBLANK('Data Entry'!$ı$443), "", 'Data Entry'!$ı$443)</f>
      </c>
      <c r="IH443">
        <f>IF(ISBLANK('Data Entry'!$Ĳ$443), "", 'Data Entry'!$Ĳ$443)</f>
      </c>
      <c r="II443">
        <f>IF(ISBLANK('Data Entry'!$ĳ$443), "", 'Data Entry'!$ĳ$443)</f>
      </c>
      <c r="IJ443">
        <f>IF(ISBLANK('Data Entry'!$Ĵ$443), "", 'Data Entry'!$Ĵ$443)</f>
      </c>
      <c r="IK443">
        <f>IF(ISBLANK('Data Entry'!$ĵ$443), "", 'Data Entry'!$ĵ$443)</f>
      </c>
      <c r="IL443">
        <f>IF(ISBLANK('Data Entry'!$Ķ$443), "", 'Data Entry'!$Ķ$443)</f>
      </c>
      <c r="IM443">
        <f>IF(ISBLANK('Data Entry'!$ķ$443), "", 'Data Entry'!$ķ$443)</f>
      </c>
      <c r="IN443">
        <f>IF(ISBLANK('Data Entry'!$ĸ$443), "", 'Data Entry'!$ĸ$443)</f>
      </c>
      <c r="IO443">
        <f>IF(ISBLANK('Data Entry'!$Ĺ$443), "", 'Data Entry'!$Ĺ$443)</f>
      </c>
      <c r="IP443">
        <f>IF(ISBLANK('Data Entry'!$ĺ$443), "", 'Data Entry'!$ĺ$443)</f>
      </c>
      <c r="IQ443">
        <f>IF(ISBLANK('Data Entry'!$Ļ$443), "", 'Data Entry'!$Ļ$443)</f>
      </c>
      <c r="IR443">
        <f>IF(ISBLANK('Data Entry'!$ļ$443), "", 'Data Entry'!$ļ$443)</f>
      </c>
      <c r="IS443">
        <f>IF(ISBLANK('Data Entry'!$Ľ$443), "", 'Data Entry'!$Ľ$443)</f>
      </c>
      <c r="IT443">
        <f>IF(ISBLANK('Data Entry'!$ľ$443), "", 'Data Entry'!$ľ$443)</f>
      </c>
    </row>
    <row r="444" spans="1:254" x14ac:dyDescent="0.25">
      <c r="A444">
        <f>IF(ISBLANK('Data Entry'!$A$444), "", 'Data Entry'!$A$444)</f>
      </c>
      <c r="B444">
        <f>IF(ISBLANK('Data Entry'!$B$444), "", 'Data Entry'!$B$444)</f>
      </c>
      <c r="C444">
        <f>IF(ISBLANK('Data Entry'!$C$444), "", 'Data Entry'!$C$444)</f>
      </c>
      <c r="D444">
        <f>IF(ISBLANK('Data Entry'!$D$444), "", 'Data Entry'!$D$444)</f>
      </c>
      <c r="E444">
        <f>IF(ISBLANK('Data Entry'!$E$444), "", 'Data Entry'!$E$444)</f>
      </c>
      <c r="F444">
        <f>IF(ISBLANK('Data Entry'!$F$444), "", 'Data Entry'!$F$444)</f>
      </c>
      <c r="G444">
        <f>IF(ISBLANK('Data Entry'!$G$444), "", 'Data Entry'!$G$444)</f>
      </c>
      <c r="H444">
        <f>IF(ISBLANK('Data Entry'!$H$444), "", 'Data Entry'!$H$444)</f>
      </c>
      <c r="I444">
        <f>IF(ISBLANK('Data Entry'!$I$444), "", 'Data Entry'!$I$444)</f>
      </c>
      <c r="J444">
        <f>IF(ISBLANK('Data Entry'!$J$444), "", 'Data Entry'!$J$444)</f>
      </c>
      <c r="K444">
        <f>IF(ISBLANK('Data Entry'!$K$444), "", 'Data Entry'!$K$444)</f>
      </c>
      <c r="L444">
        <f>IF(ISBLANK('Data Entry'!$L$444), "", 'Data Entry'!$L$444)</f>
      </c>
      <c r="M444">
        <f>IF(ISBLANK('Data Entry'!$M$444), "", 'Data Entry'!$M$444)</f>
      </c>
      <c r="N444">
        <f>IF(ISBLANK('Data Entry'!$N$444), "", 'Data Entry'!$N$444)</f>
      </c>
      <c r="O444">
        <f>IF(ISBLANK('Data Entry'!$O$444), "", 'Data Entry'!$O$444)</f>
      </c>
      <c r="P444">
        <f>IF(ISBLANK('Data Entry'!$P$444), "", 'Data Entry'!$P$444)</f>
      </c>
      <c r="Q444">
        <f>IF(ISBLANK('Data Entry'!$Q$444), "", 'Data Entry'!$Q$444)</f>
      </c>
      <c r="R444">
        <f>IF(ISBLANK('Data Entry'!$R$444), "", 'Data Entry'!$R$444)</f>
      </c>
      <c r="S444">
        <f>IF(ISBLANK('Data Entry'!$S$444), "", 'Data Entry'!$S$444)</f>
      </c>
      <c r="T444">
        <f>IF(ISBLANK('Data Entry'!$T$444), "", 'Data Entry'!$T$444)</f>
      </c>
      <c r="U444">
        <f>IF(ISBLANK('Data Entry'!$U$444), "", 'Data Entry'!$U$444)</f>
      </c>
      <c r="V444">
        <f>IF(ISBLANK('Data Entry'!$V$444), "", 'Data Entry'!$V$444)</f>
      </c>
      <c r="W444">
        <f>IF(ISBLANK('Data Entry'!$W$444), "", 'Data Entry'!$W$444)</f>
      </c>
      <c r="X444">
        <f>IF(ISBLANK('Data Entry'!$X$444), "", 'Data Entry'!$X$444)</f>
      </c>
      <c r="Y444">
        <f>IF(ISBLANK('Data Entry'!$Y$444), "", 'Data Entry'!$Y$444)</f>
      </c>
      <c r="Z444">
        <f>IF(ISBLANK('Data Entry'!$Z$444), "", 'Data Entry'!$Z$444)</f>
      </c>
      <c r="AA444">
        <f>IF(ISBLANK('Data Entry'!$[$444), "", 'Data Entry'!$[$444)</f>
      </c>
      <c r="AB444">
        <f>IF(ISBLANK('Data Entry'!$\$444), "", 'Data Entry'!$\$444)</f>
      </c>
      <c r="AC444">
        <f>IF(ISBLANK('Data Entry'!$]$444), "", 'Data Entry'!$]$444)</f>
      </c>
      <c r="AD444">
        <f>IF(ISBLANK('Data Entry'!$^$444), "", 'Data Entry'!$^$444)</f>
      </c>
      <c r="AE444">
        <f>IF(ISBLANK('Data Entry'!$_$444), "", 'Data Entry'!$_$444)</f>
      </c>
      <c r="AF444">
        <f>IF(ISBLANK('Data Entry'!$`$444), "", 'Data Entry'!$`$444)</f>
      </c>
      <c r="AG444">
        <f>IF(ISBLANK('Data Entry'!$a$444), "", 'Data Entry'!$a$444)</f>
      </c>
      <c r="AH444">
        <f>IF(ISBLANK('Data Entry'!$b$444), "", 'Data Entry'!$b$444)</f>
      </c>
      <c r="AI444">
        <f>IF(ISBLANK('Data Entry'!$c$444), "", 'Data Entry'!$c$444)</f>
      </c>
      <c r="AJ444">
        <f>IF(ISBLANK('Data Entry'!$d$444), "", 'Data Entry'!$d$444)</f>
      </c>
      <c r="AK444">
        <f>IF(ISBLANK('Data Entry'!$e$444), "", 'Data Entry'!$e$444)</f>
      </c>
      <c r="AL444">
        <f>IF(ISBLANK('Data Entry'!$f$444), "", 'Data Entry'!$f$444)</f>
      </c>
      <c r="AM444">
        <f>IF(ISBLANK('Data Entry'!$g$444), "", 'Data Entry'!$g$444)</f>
      </c>
      <c r="AN444">
        <f>IF(ISBLANK('Data Entry'!$h$444), "", 'Data Entry'!$h$444)</f>
      </c>
      <c r="AO444">
        <f>IF(ISBLANK('Data Entry'!$i$444), "", 'Data Entry'!$i$444)</f>
      </c>
      <c r="AP444">
        <f>IF(ISBLANK('Data Entry'!$j$444), "", 'Data Entry'!$j$444)</f>
      </c>
      <c r="AQ444">
        <f>IF(ISBLANK('Data Entry'!$k$444), "", 'Data Entry'!$k$444)</f>
      </c>
      <c r="AR444">
        <f>IF(ISBLANK('Data Entry'!$l$444), "", 'Data Entry'!$l$444)</f>
      </c>
      <c r="AS444">
        <f>IF(ISBLANK('Data Entry'!$m$444), "", 'Data Entry'!$m$444)</f>
      </c>
      <c r="AT444">
        <f>IF(ISBLANK('Data Entry'!$n$444), "", 'Data Entry'!$n$444)</f>
      </c>
      <c r="AU444">
        <f>IF(ISBLANK('Data Entry'!$o$444), "", 'Data Entry'!$o$444)</f>
      </c>
      <c r="AV444">
        <f>IF(ISBLANK('Data Entry'!$p$444), "", 'Data Entry'!$p$444)</f>
      </c>
      <c r="AW444">
        <f>IF(ISBLANK('Data Entry'!$q$444), "", 'Data Entry'!$q$444)</f>
      </c>
      <c r="AX444">
        <f>IF(ISBLANK('Data Entry'!$r$444), "", 'Data Entry'!$r$444)</f>
      </c>
      <c r="AY444">
        <f>IF(ISBLANK('Data Entry'!$s$444), "", 'Data Entry'!$s$444)</f>
      </c>
      <c r="AZ444">
        <f>IF(ISBLANK('Data Entry'!$t$444), "", 'Data Entry'!$t$444)</f>
      </c>
      <c r="BA444">
        <f>IF(ISBLANK('Data Entry'!$u$444), "", 'Data Entry'!$u$444)</f>
      </c>
      <c r="BB444">
        <f>IF(ISBLANK('Data Entry'!$v$444), "", 'Data Entry'!$v$444)</f>
      </c>
      <c r="BC444">
        <f>IF(ISBLANK('Data Entry'!$w$444), "", 'Data Entry'!$w$444)</f>
      </c>
      <c r="BD444">
        <f>IF(ISBLANK('Data Entry'!$x$444), "", 'Data Entry'!$x$444)</f>
      </c>
      <c r="BE444">
        <f>IF(ISBLANK('Data Entry'!$y$444), "", 'Data Entry'!$y$444)</f>
      </c>
      <c r="BF444">
        <f>IF(ISBLANK('Data Entry'!$z$444), "", 'Data Entry'!$z$444)</f>
      </c>
      <c r="BG444">
        <f>IF(ISBLANK('Data Entry'!${$444), "", 'Data Entry'!${$444)</f>
      </c>
      <c r="BH444">
        <f>IF(ISBLANK('Data Entry'!$|$444), "", 'Data Entry'!$|$444)</f>
      </c>
      <c r="BI444">
        <f>IF(ISBLANK('Data Entry'!$}$444), "", 'Data Entry'!$}$444)</f>
      </c>
      <c r="BJ444">
        <f>IF(ISBLANK('Data Entry'!$~$444), "", 'Data Entry'!$~$444)</f>
      </c>
      <c r="BK444">
        <f>IF(ISBLANK('Data Entry'!$$444), "", 'Data Entry'!$$444)</f>
      </c>
      <c r="BL444">
        <f>IF(ISBLANK('Data Entry'!$$444), "", 'Data Entry'!$$444)</f>
      </c>
      <c r="BM444">
        <f>IF(ISBLANK('Data Entry'!$$444), "", 'Data Entry'!$$444)</f>
      </c>
      <c r="BN444">
        <f>IF(ISBLANK('Data Entry'!$$444), "", 'Data Entry'!$$444)</f>
      </c>
      <c r="BO444">
        <f>IF(ISBLANK('Data Entry'!$$444), "", 'Data Entry'!$$444)</f>
      </c>
      <c r="BP444">
        <f>IF(ISBLANK('Data Entry'!$$444), "", 'Data Entry'!$$444)</f>
      </c>
      <c r="BQ444">
        <f>IF(ISBLANK('Data Entry'!$$444), "", 'Data Entry'!$$444)</f>
      </c>
      <c r="BR444">
        <f>IF(ISBLANK('Data Entry'!$$444), "", 'Data Entry'!$$444)</f>
      </c>
      <c r="BS444">
        <f>IF(ISBLANK('Data Entry'!$$444), "", 'Data Entry'!$$444)</f>
      </c>
      <c r="BT444">
        <f>IF(ISBLANK('Data Entry'!$$444), "", 'Data Entry'!$$444)</f>
      </c>
      <c r="BU444">
        <f>IF(ISBLANK('Data Entry'!$$444), "", 'Data Entry'!$$444)</f>
      </c>
      <c r="BV444">
        <f>IF(ISBLANK('Data Entry'!$$444), "", 'Data Entry'!$$444)</f>
      </c>
      <c r="BW444">
        <f>IF(ISBLANK('Data Entry'!$$444), "", 'Data Entry'!$$444)</f>
      </c>
      <c r="BX444">
        <f>IF(ISBLANK('Data Entry'!$$444), "", 'Data Entry'!$$444)</f>
      </c>
      <c r="BY444">
        <f>IF(ISBLANK('Data Entry'!$$444), "", 'Data Entry'!$$444)</f>
      </c>
      <c r="BZ444">
        <f>IF(ISBLANK('Data Entry'!$$444), "", 'Data Entry'!$$444)</f>
      </c>
      <c r="CA444">
        <f>IF(ISBLANK('Data Entry'!$$444), "", 'Data Entry'!$$444)</f>
      </c>
      <c r="CB444">
        <f>IF(ISBLANK('Data Entry'!$$444), "", 'Data Entry'!$$444)</f>
      </c>
      <c r="CC444">
        <f>IF(ISBLANK('Data Entry'!$$444), "", 'Data Entry'!$$444)</f>
      </c>
      <c r="CD444">
        <f>IF(ISBLANK('Data Entry'!$$444), "", 'Data Entry'!$$444)</f>
      </c>
      <c r="CE444">
        <f>IF(ISBLANK('Data Entry'!$$444), "", 'Data Entry'!$$444)</f>
      </c>
      <c r="CF444">
        <f>IF(ISBLANK('Data Entry'!$$444), "", 'Data Entry'!$$444)</f>
      </c>
      <c r="CG444">
        <f>IF(ISBLANK('Data Entry'!$$444), "", 'Data Entry'!$$444)</f>
      </c>
      <c r="CH444">
        <f>IF(ISBLANK('Data Entry'!$$444), "", 'Data Entry'!$$444)</f>
      </c>
      <c r="CI444">
        <f>IF(ISBLANK('Data Entry'!$$444), "", 'Data Entry'!$$444)</f>
      </c>
      <c r="CJ444">
        <f>IF(ISBLANK('Data Entry'!$$444), "", 'Data Entry'!$$444)</f>
      </c>
      <c r="CK444">
        <f>IF(ISBLANK('Data Entry'!$$444), "", 'Data Entry'!$$444)</f>
      </c>
      <c r="CL444">
        <f>IF(ISBLANK('Data Entry'!$$444), "", 'Data Entry'!$$444)</f>
      </c>
      <c r="CM444">
        <f>IF(ISBLANK('Data Entry'!$$444), "", 'Data Entry'!$$444)</f>
      </c>
      <c r="CN444">
        <f>IF(ISBLANK('Data Entry'!$$444), "", 'Data Entry'!$$444)</f>
      </c>
      <c r="CO444">
        <f>IF(ISBLANK('Data Entry'!$$444), "", 'Data Entry'!$$444)</f>
      </c>
      <c r="CP444">
        <f>IF(ISBLANK('Data Entry'!$$444), "", 'Data Entry'!$$444)</f>
      </c>
      <c r="CQ444">
        <f>IF(ISBLANK('Data Entry'!$$444), "", 'Data Entry'!$$444)</f>
      </c>
      <c r="CR444">
        <f>IF(ISBLANK('Data Entry'!$ $444), "", 'Data Entry'!$ $444)</f>
      </c>
      <c r="CS444">
        <f>IF(ISBLANK('Data Entry'!$¡$444), "", 'Data Entry'!$¡$444)</f>
      </c>
      <c r="CT444">
        <f>IF(ISBLANK('Data Entry'!$¢$444), "", 'Data Entry'!$¢$444)</f>
      </c>
      <c r="CU444">
        <f>IF(ISBLANK('Data Entry'!$£$444), "", 'Data Entry'!$£$444)</f>
      </c>
      <c r="CV444">
        <f>IF(ISBLANK('Data Entry'!$¤$444), "", 'Data Entry'!$¤$444)</f>
      </c>
      <c r="CW444">
        <f>IF(ISBLANK('Data Entry'!$¥$444), "", 'Data Entry'!$¥$444)</f>
      </c>
      <c r="CX444">
        <f>IF(ISBLANK('Data Entry'!$¦$444), "", 'Data Entry'!$¦$444)</f>
      </c>
      <c r="CY444">
        <f>IF(ISBLANK('Data Entry'!$§$444), "", 'Data Entry'!$§$444)</f>
      </c>
      <c r="CZ444">
        <f>IF(ISBLANK('Data Entry'!$¨$444), "", 'Data Entry'!$¨$444)</f>
      </c>
      <c r="DA444">
        <f>IF(ISBLANK('Data Entry'!$©$444), "", 'Data Entry'!$©$444)</f>
      </c>
      <c r="DB444">
        <f>IF(ISBLANK('Data Entry'!$ª$444), "", 'Data Entry'!$ª$444)</f>
      </c>
      <c r="DC444">
        <f>IF(ISBLANK('Data Entry'!$«$444), "", 'Data Entry'!$«$444)</f>
      </c>
      <c r="DD444">
        <f>IF(ISBLANK('Data Entry'!$¬$444), "", 'Data Entry'!$¬$444)</f>
      </c>
      <c r="DE444">
        <f>IF(ISBLANK('Data Entry'!$­$444), "", 'Data Entry'!$­$444)</f>
      </c>
      <c r="DF444">
        <f>IF(ISBLANK('Data Entry'!$®$444), "", 'Data Entry'!$®$444)</f>
      </c>
      <c r="DG444">
        <f>IF(ISBLANK('Data Entry'!$¯$444), "", 'Data Entry'!$¯$444)</f>
      </c>
      <c r="DH444">
        <f>IF(ISBLANK('Data Entry'!$°$444), "", 'Data Entry'!$°$444)</f>
      </c>
      <c r="DI444">
        <f>IF(ISBLANK('Data Entry'!$±$444), "", 'Data Entry'!$±$444)</f>
      </c>
      <c r="DJ444">
        <f>IF(ISBLANK('Data Entry'!$²$444), "", 'Data Entry'!$²$444)</f>
      </c>
      <c r="DK444">
        <f>IF(ISBLANK('Data Entry'!$³$444), "", 'Data Entry'!$³$444)</f>
      </c>
      <c r="DL444">
        <f>IF(ISBLANK('Data Entry'!$´$444), "", 'Data Entry'!$´$444)</f>
      </c>
      <c r="DM444">
        <f>IF(ISBLANK('Data Entry'!$µ$444), "", 'Data Entry'!$µ$444)</f>
      </c>
      <c r="DN444">
        <f>IF(ISBLANK('Data Entry'!$¶$444), "", 'Data Entry'!$¶$444)</f>
      </c>
      <c r="DO444">
        <f>IF(ISBLANK('Data Entry'!$·$444), "", 'Data Entry'!$·$444)</f>
      </c>
      <c r="DP444">
        <f>IF(ISBLANK('Data Entry'!$¸$444), "", 'Data Entry'!$¸$444)</f>
      </c>
      <c r="DQ444">
        <f>IF(ISBLANK('Data Entry'!$¹$444), "", 'Data Entry'!$¹$444)</f>
      </c>
      <c r="DR444">
        <f>IF(ISBLANK('Data Entry'!$º$444), "", 'Data Entry'!$º$444)</f>
      </c>
      <c r="DS444">
        <f>IF(ISBLANK('Data Entry'!$»$444), "", 'Data Entry'!$»$444)</f>
      </c>
      <c r="DT444">
        <f>IF(ISBLANK('Data Entry'!$¼$444), "", 'Data Entry'!$¼$444)</f>
      </c>
      <c r="DU444">
        <f>IF(ISBLANK('Data Entry'!$½$444), "", 'Data Entry'!$½$444)</f>
      </c>
      <c r="DV444">
        <f>IF(ISBLANK('Data Entry'!$¾$444), "", 'Data Entry'!$¾$444)</f>
      </c>
      <c r="DW444">
        <f>IF(ISBLANK('Data Entry'!$¿$444), "", 'Data Entry'!$¿$444)</f>
      </c>
      <c r="DX444">
        <f>IF(ISBLANK('Data Entry'!$À$444), "", 'Data Entry'!$À$444)</f>
      </c>
      <c r="DY444">
        <f>IF(ISBLANK('Data Entry'!$Á$444), "", 'Data Entry'!$Á$444)</f>
      </c>
      <c r="DZ444">
        <f>IF(ISBLANK('Data Entry'!$Â$444), "", 'Data Entry'!$Â$444)</f>
      </c>
      <c r="EA444">
        <f>IF(ISBLANK('Data Entry'!$Ã$444), "", 'Data Entry'!$Ã$444)</f>
      </c>
      <c r="EB444">
        <f>IF(ISBLANK('Data Entry'!$Ä$444), "", 'Data Entry'!$Ä$444)</f>
      </c>
      <c r="EC444">
        <f>IF(ISBLANK('Data Entry'!$Å$444), "", 'Data Entry'!$Å$444)</f>
      </c>
      <c r="ED444">
        <f>IF(ISBLANK('Data Entry'!$Æ$444), "", 'Data Entry'!$Æ$444)</f>
      </c>
      <c r="EE444">
        <f>IF(ISBLANK('Data Entry'!$Ç$444), "", 'Data Entry'!$Ç$444)</f>
      </c>
      <c r="EF444">
        <f>IF(ISBLANK('Data Entry'!$È$444), "", 'Data Entry'!$È$444)</f>
      </c>
      <c r="EG444">
        <f>IF(ISBLANK('Data Entry'!$É$444), "", 'Data Entry'!$É$444)</f>
      </c>
      <c r="EH444">
        <f>IF(ISBLANK('Data Entry'!$Ê$444), "", 'Data Entry'!$Ê$444)</f>
      </c>
      <c r="EI444">
        <f>IF(ISBLANK('Data Entry'!$Ë$444), "", 'Data Entry'!$Ë$444)</f>
      </c>
      <c r="EJ444">
        <f>IF(ISBLANK('Data Entry'!$Ì$444), "", 'Data Entry'!$Ì$444)</f>
      </c>
      <c r="EK444">
        <f>IF(ISBLANK('Data Entry'!$Í$444), "", 'Data Entry'!$Í$444)</f>
      </c>
      <c r="EL444">
        <f>IF(ISBLANK('Data Entry'!$Î$444), "", 'Data Entry'!$Î$444)</f>
      </c>
      <c r="EM444">
        <f>IF(ISBLANK('Data Entry'!$Ï$444), "", 'Data Entry'!$Ï$444)</f>
      </c>
      <c r="EN444">
        <f>IF(ISBLANK('Data Entry'!$Ð$444), "", 'Data Entry'!$Ð$444)</f>
      </c>
      <c r="EO444">
        <f>IF(ISBLANK('Data Entry'!$Ñ$444), "", 'Data Entry'!$Ñ$444)</f>
      </c>
      <c r="EP444">
        <f>IF(ISBLANK('Data Entry'!$Ò$444), "", 'Data Entry'!$Ò$444)</f>
      </c>
      <c r="EQ444">
        <f>IF(ISBLANK('Data Entry'!$Ó$444), "", 'Data Entry'!$Ó$444)</f>
      </c>
      <c r="ER444">
        <f>IF(ISBLANK('Data Entry'!$Ô$444), "", 'Data Entry'!$Ô$444)</f>
      </c>
      <c r="ES444">
        <f>IF(ISBLANK('Data Entry'!$Õ$444), "", 'Data Entry'!$Õ$444)</f>
      </c>
      <c r="ET444">
        <f>IF(ISBLANK('Data Entry'!$Ö$444), "", 'Data Entry'!$Ö$444)</f>
      </c>
      <c r="EU444">
        <f>IF(ISBLANK('Data Entry'!$×$444), "", 'Data Entry'!$×$444)</f>
      </c>
      <c r="EV444">
        <f>IF(ISBLANK('Data Entry'!$Ø$444), "", 'Data Entry'!$Ø$444)</f>
      </c>
      <c r="EW444">
        <f>IF(ISBLANK('Data Entry'!$Ù$444), "", 'Data Entry'!$Ù$444)</f>
      </c>
      <c r="EX444">
        <f>IF(ISBLANK('Data Entry'!$Ú$444), "", 'Data Entry'!$Ú$444)</f>
      </c>
      <c r="EY444">
        <f>IF(ISBLANK('Data Entry'!$Û$444), "", 'Data Entry'!$Û$444)</f>
      </c>
      <c r="EZ444">
        <f>IF(ISBLANK('Data Entry'!$Ü$444), "", 'Data Entry'!$Ü$444)</f>
      </c>
      <c r="FA444">
        <f>IF(ISBLANK('Data Entry'!$Ý$444), "", 'Data Entry'!$Ý$444)</f>
      </c>
      <c r="FB444">
        <f>IF(ISBLANK('Data Entry'!$Þ$444), "", 'Data Entry'!$Þ$444)</f>
      </c>
      <c r="FC444">
        <f>IF(ISBLANK('Data Entry'!$ß$444), "", 'Data Entry'!$ß$444)</f>
      </c>
      <c r="FD444">
        <f>IF(ISBLANK('Data Entry'!$à$444), "", 'Data Entry'!$à$444)</f>
      </c>
      <c r="FE444">
        <f>IF(ISBLANK('Data Entry'!$á$444), "", 'Data Entry'!$á$444)</f>
      </c>
      <c r="FF444">
        <f>IF(ISBLANK('Data Entry'!$â$444), "", 'Data Entry'!$â$444)</f>
      </c>
      <c r="FG444">
        <f>IF(ISBLANK('Data Entry'!$ã$444), "", 'Data Entry'!$ã$444)</f>
      </c>
      <c r="FH444">
        <f>IF(ISBLANK('Data Entry'!$ä$444), "", 'Data Entry'!$ä$444)</f>
      </c>
      <c r="FI444">
        <f>IF(ISBLANK('Data Entry'!$å$444), "", 'Data Entry'!$å$444)</f>
      </c>
      <c r="FJ444">
        <f>IF(ISBLANK('Data Entry'!$æ$444), "", 'Data Entry'!$æ$444)</f>
      </c>
      <c r="FK444">
        <f>IF(ISBLANK('Data Entry'!$ç$444), "", 'Data Entry'!$ç$444)</f>
      </c>
      <c r="FL444">
        <f>IF(ISBLANK('Data Entry'!$è$444), "", 'Data Entry'!$è$444)</f>
      </c>
      <c r="FM444">
        <f>IF(ISBLANK('Data Entry'!$é$444), "", 'Data Entry'!$é$444)</f>
      </c>
      <c r="FN444">
        <f>IF(ISBLANK('Data Entry'!$ê$444), "", 'Data Entry'!$ê$444)</f>
      </c>
      <c r="FO444">
        <f>IF(ISBLANK('Data Entry'!$ë$444), "", 'Data Entry'!$ë$444)</f>
      </c>
      <c r="FP444">
        <f>IF(ISBLANK('Data Entry'!$ì$444), "", 'Data Entry'!$ì$444)</f>
      </c>
      <c r="FQ444">
        <f>IF(ISBLANK('Data Entry'!$í$444), "", 'Data Entry'!$í$444)</f>
      </c>
      <c r="FR444">
        <f>IF(ISBLANK('Data Entry'!$î$444), "", 'Data Entry'!$î$444)</f>
      </c>
      <c r="FS444">
        <f>IF(ISBLANK('Data Entry'!$ï$444), "", 'Data Entry'!$ï$444)</f>
      </c>
      <c r="FT444">
        <f>IF(ISBLANK('Data Entry'!$ð$444), "", 'Data Entry'!$ð$444)</f>
      </c>
      <c r="FU444">
        <f>IF(ISBLANK('Data Entry'!$ñ$444), "", 'Data Entry'!$ñ$444)</f>
      </c>
      <c r="FV444">
        <f>IF(ISBLANK('Data Entry'!$ò$444), "", 'Data Entry'!$ò$444)</f>
      </c>
      <c r="FW444">
        <f>IF(ISBLANK('Data Entry'!$ó$444), "", 'Data Entry'!$ó$444)</f>
      </c>
      <c r="FX444">
        <f>IF(ISBLANK('Data Entry'!$ô$444), "", 'Data Entry'!$ô$444)</f>
      </c>
      <c r="FY444">
        <f>IF(ISBLANK('Data Entry'!$õ$444), "", 'Data Entry'!$õ$444)</f>
      </c>
      <c r="FZ444">
        <f>IF(ISBLANK('Data Entry'!$ö$444), "", 'Data Entry'!$ö$444)</f>
      </c>
      <c r="GA444">
        <f>IF(ISBLANK('Data Entry'!$÷$444), "", 'Data Entry'!$÷$444)</f>
      </c>
      <c r="GB444">
        <f>IF(ISBLANK('Data Entry'!$ø$444), "", 'Data Entry'!$ø$444)</f>
      </c>
      <c r="GC444">
        <f>IF(ISBLANK('Data Entry'!$ù$444), "", 'Data Entry'!$ù$444)</f>
      </c>
      <c r="GD444">
        <f>IF(ISBLANK('Data Entry'!$ú$444), "", 'Data Entry'!$ú$444)</f>
      </c>
      <c r="GE444">
        <f>IF(ISBLANK('Data Entry'!$û$444), "", 'Data Entry'!$û$444)</f>
      </c>
      <c r="GF444">
        <f>IF(ISBLANK('Data Entry'!$ü$444), "", 'Data Entry'!$ü$444)</f>
      </c>
      <c r="GG444">
        <f>IF(ISBLANK('Data Entry'!$ý$444), "", 'Data Entry'!$ý$444)</f>
      </c>
      <c r="GH444">
        <f>IF(ISBLANK('Data Entry'!$þ$444), "", 'Data Entry'!$þ$444)</f>
      </c>
      <c r="GI444">
        <f>IF(ISBLANK('Data Entry'!$ÿ$444), "", 'Data Entry'!$ÿ$444)</f>
      </c>
      <c r="GJ444">
        <f>IF(ISBLANK('Data Entry'!$Ā$444), "", 'Data Entry'!$Ā$444)</f>
      </c>
      <c r="GK444">
        <f>IF(ISBLANK('Data Entry'!$ā$444), "", 'Data Entry'!$ā$444)</f>
      </c>
      <c r="GL444">
        <f>IF(ISBLANK('Data Entry'!$Ă$444), "", 'Data Entry'!$Ă$444)</f>
      </c>
      <c r="GM444">
        <f>IF(ISBLANK('Data Entry'!$ă$444), "", 'Data Entry'!$ă$444)</f>
      </c>
      <c r="GN444">
        <f>IF(ISBLANK('Data Entry'!$Ą$444), "", 'Data Entry'!$Ą$444)</f>
      </c>
      <c r="GO444">
        <f>IF(ISBLANK('Data Entry'!$ą$444), "", 'Data Entry'!$ą$444)</f>
      </c>
      <c r="GP444">
        <f>IF(ISBLANK('Data Entry'!$Ć$444), "", 'Data Entry'!$Ć$444)</f>
      </c>
      <c r="GQ444">
        <f>IF(ISBLANK('Data Entry'!$ć$444), "", 'Data Entry'!$ć$444)</f>
      </c>
      <c r="GR444">
        <f>IF(ISBLANK('Data Entry'!$Ĉ$444), "", 'Data Entry'!$Ĉ$444)</f>
      </c>
      <c r="GS444">
        <f>IF(ISBLANK('Data Entry'!$ĉ$444), "", 'Data Entry'!$ĉ$444)</f>
      </c>
      <c r="GT444">
        <f>IF(ISBLANK('Data Entry'!$Ċ$444), "", 'Data Entry'!$Ċ$444)</f>
      </c>
      <c r="GU444">
        <f>IF(ISBLANK('Data Entry'!$ċ$444), "", 'Data Entry'!$ċ$444)</f>
      </c>
      <c r="GV444">
        <f>IF(ISBLANK('Data Entry'!$Č$444), "", 'Data Entry'!$Č$444)</f>
      </c>
      <c r="GW444">
        <f>IF(ISBLANK('Data Entry'!$č$444), "", 'Data Entry'!$č$444)</f>
      </c>
      <c r="GX444">
        <f>IF(ISBLANK('Data Entry'!$Ď$444), "", 'Data Entry'!$Ď$444)</f>
      </c>
      <c r="GY444">
        <f>IF(ISBLANK('Data Entry'!$ď$444), "", 'Data Entry'!$ď$444)</f>
      </c>
      <c r="GZ444">
        <f>IF(ISBLANK('Data Entry'!$Đ$444), "", 'Data Entry'!$Đ$444)</f>
      </c>
      <c r="HA444">
        <f>IF(ISBLANK('Data Entry'!$đ$444), "", 'Data Entry'!$đ$444)</f>
      </c>
      <c r="HB444">
        <f>IF(ISBLANK('Data Entry'!$Ē$444), "", 'Data Entry'!$Ē$444)</f>
      </c>
      <c r="HC444">
        <f>IF(ISBLANK('Data Entry'!$ē$444), "", 'Data Entry'!$ē$444)</f>
      </c>
      <c r="HD444">
        <f>IF(ISBLANK('Data Entry'!$Ĕ$444), "", 'Data Entry'!$Ĕ$444)</f>
      </c>
      <c r="HE444">
        <f>IF(ISBLANK('Data Entry'!$ĕ$444), "", 'Data Entry'!$ĕ$444)</f>
      </c>
      <c r="HF444">
        <f>IF(ISBLANK('Data Entry'!$Ė$444), "", 'Data Entry'!$Ė$444)</f>
      </c>
      <c r="HG444">
        <f>IF(ISBLANK('Data Entry'!$ė$444), "", 'Data Entry'!$ė$444)</f>
      </c>
      <c r="HH444">
        <f>IF(ISBLANK('Data Entry'!$Ę$444), "", 'Data Entry'!$Ę$444)</f>
      </c>
      <c r="HI444">
        <f>IF(ISBLANK('Data Entry'!$ę$444), "", 'Data Entry'!$ę$444)</f>
      </c>
      <c r="HJ444">
        <f>IF(ISBLANK('Data Entry'!$Ě$444), "", 'Data Entry'!$Ě$444)</f>
      </c>
      <c r="HK444">
        <f>IF(ISBLANK('Data Entry'!$ě$444), "", 'Data Entry'!$ě$444)</f>
      </c>
      <c r="HL444">
        <f>IF(ISBLANK('Data Entry'!$Ĝ$444), "", 'Data Entry'!$Ĝ$444)</f>
      </c>
      <c r="HM444">
        <f>IF(ISBLANK('Data Entry'!$ĝ$444), "", 'Data Entry'!$ĝ$444)</f>
      </c>
      <c r="HN444">
        <f>IF(ISBLANK('Data Entry'!$Ğ$444), "", 'Data Entry'!$Ğ$444)</f>
      </c>
      <c r="HO444">
        <f>IF(ISBLANK('Data Entry'!$ğ$444), "", 'Data Entry'!$ğ$444)</f>
      </c>
      <c r="HP444">
        <f>IF(ISBLANK('Data Entry'!$Ġ$444), "", 'Data Entry'!$Ġ$444)</f>
      </c>
      <c r="HQ444">
        <f>IF(ISBLANK('Data Entry'!$ġ$444), "", 'Data Entry'!$ġ$444)</f>
      </c>
      <c r="HR444">
        <f>IF(ISBLANK('Data Entry'!$Ģ$444), "", 'Data Entry'!$Ģ$444)</f>
      </c>
      <c r="HS444">
        <f>IF(ISBLANK('Data Entry'!$ģ$444), "", 'Data Entry'!$ģ$444)</f>
      </c>
      <c r="HT444">
        <f>IF(ISBLANK('Data Entry'!$Ĥ$444), "", 'Data Entry'!$Ĥ$444)</f>
      </c>
      <c r="HU444">
        <f>IF(ISBLANK('Data Entry'!$ĥ$444), "", 'Data Entry'!$ĥ$444)</f>
      </c>
      <c r="HV444">
        <f>IF(ISBLANK('Data Entry'!$Ħ$444), "", 'Data Entry'!$Ħ$444)</f>
      </c>
      <c r="HW444">
        <f>IF(ISBLANK('Data Entry'!$ħ$444), "", 'Data Entry'!$ħ$444)</f>
      </c>
      <c r="HX444">
        <f>IF(ISBLANK('Data Entry'!$Ĩ$444), "", 'Data Entry'!$Ĩ$444)</f>
      </c>
      <c r="HY444">
        <f>IF(ISBLANK('Data Entry'!$ĩ$444), "", 'Data Entry'!$ĩ$444)</f>
      </c>
      <c r="HZ444">
        <f>IF(ISBLANK('Data Entry'!$Ī$444), "", 'Data Entry'!$Ī$444)</f>
      </c>
      <c r="IA444">
        <f>IF(ISBLANK('Data Entry'!$ī$444), "", 'Data Entry'!$ī$444)</f>
      </c>
      <c r="IB444">
        <f>IF(ISBLANK('Data Entry'!$Ĭ$444), "", 'Data Entry'!$Ĭ$444)</f>
      </c>
      <c r="IC444">
        <f>IF(ISBLANK('Data Entry'!$ĭ$444), "", 'Data Entry'!$ĭ$444)</f>
      </c>
      <c r="ID444">
        <f>IF(ISBLANK('Data Entry'!$Į$444), "", 'Data Entry'!$Į$444)</f>
      </c>
      <c r="IE444">
        <f>IF(ISBLANK('Data Entry'!$į$444), "", 'Data Entry'!$į$444)</f>
      </c>
      <c r="IF444">
        <f>IF(ISBLANK('Data Entry'!$İ$444), "", 'Data Entry'!$İ$444)</f>
      </c>
      <c r="IG444">
        <f>IF(ISBLANK('Data Entry'!$ı$444), "", 'Data Entry'!$ı$444)</f>
      </c>
      <c r="IH444">
        <f>IF(ISBLANK('Data Entry'!$Ĳ$444), "", 'Data Entry'!$Ĳ$444)</f>
      </c>
      <c r="II444">
        <f>IF(ISBLANK('Data Entry'!$ĳ$444), "", 'Data Entry'!$ĳ$444)</f>
      </c>
      <c r="IJ444">
        <f>IF(ISBLANK('Data Entry'!$Ĵ$444), "", 'Data Entry'!$Ĵ$444)</f>
      </c>
      <c r="IK444">
        <f>IF(ISBLANK('Data Entry'!$ĵ$444), "", 'Data Entry'!$ĵ$444)</f>
      </c>
      <c r="IL444">
        <f>IF(ISBLANK('Data Entry'!$Ķ$444), "", 'Data Entry'!$Ķ$444)</f>
      </c>
      <c r="IM444">
        <f>IF(ISBLANK('Data Entry'!$ķ$444), "", 'Data Entry'!$ķ$444)</f>
      </c>
      <c r="IN444">
        <f>IF(ISBLANK('Data Entry'!$ĸ$444), "", 'Data Entry'!$ĸ$444)</f>
      </c>
      <c r="IO444">
        <f>IF(ISBLANK('Data Entry'!$Ĺ$444), "", 'Data Entry'!$Ĺ$444)</f>
      </c>
      <c r="IP444">
        <f>IF(ISBLANK('Data Entry'!$ĺ$444), "", 'Data Entry'!$ĺ$444)</f>
      </c>
      <c r="IQ444">
        <f>IF(ISBLANK('Data Entry'!$Ļ$444), "", 'Data Entry'!$Ļ$444)</f>
      </c>
      <c r="IR444">
        <f>IF(ISBLANK('Data Entry'!$ļ$444), "", 'Data Entry'!$ļ$444)</f>
      </c>
      <c r="IS444">
        <f>IF(ISBLANK('Data Entry'!$Ľ$444), "", 'Data Entry'!$Ľ$444)</f>
      </c>
      <c r="IT444">
        <f>IF(ISBLANK('Data Entry'!$ľ$444), "", 'Data Entry'!$ľ$444)</f>
      </c>
    </row>
    <row r="445" spans="1:254" x14ac:dyDescent="0.25">
      <c r="A445">
        <f>IF(ISBLANK('Data Entry'!$A$445), "", 'Data Entry'!$A$445)</f>
      </c>
      <c r="B445">
        <f>IF(ISBLANK('Data Entry'!$B$445), "", 'Data Entry'!$B$445)</f>
      </c>
      <c r="C445">
        <f>IF(ISBLANK('Data Entry'!$C$445), "", 'Data Entry'!$C$445)</f>
      </c>
      <c r="D445">
        <f>IF(ISBLANK('Data Entry'!$D$445), "", 'Data Entry'!$D$445)</f>
      </c>
      <c r="E445">
        <f>IF(ISBLANK('Data Entry'!$E$445), "", 'Data Entry'!$E$445)</f>
      </c>
      <c r="F445">
        <f>IF(ISBLANK('Data Entry'!$F$445), "", 'Data Entry'!$F$445)</f>
      </c>
      <c r="G445">
        <f>IF(ISBLANK('Data Entry'!$G$445), "", 'Data Entry'!$G$445)</f>
      </c>
      <c r="H445">
        <f>IF(ISBLANK('Data Entry'!$H$445), "", 'Data Entry'!$H$445)</f>
      </c>
      <c r="I445">
        <f>IF(ISBLANK('Data Entry'!$I$445), "", 'Data Entry'!$I$445)</f>
      </c>
      <c r="J445">
        <f>IF(ISBLANK('Data Entry'!$J$445), "", 'Data Entry'!$J$445)</f>
      </c>
      <c r="K445">
        <f>IF(ISBLANK('Data Entry'!$K$445), "", 'Data Entry'!$K$445)</f>
      </c>
      <c r="L445">
        <f>IF(ISBLANK('Data Entry'!$L$445), "", 'Data Entry'!$L$445)</f>
      </c>
      <c r="M445">
        <f>IF(ISBLANK('Data Entry'!$M$445), "", 'Data Entry'!$M$445)</f>
      </c>
      <c r="N445">
        <f>IF(ISBLANK('Data Entry'!$N$445), "", 'Data Entry'!$N$445)</f>
      </c>
      <c r="O445">
        <f>IF(ISBLANK('Data Entry'!$O$445), "", 'Data Entry'!$O$445)</f>
      </c>
      <c r="P445">
        <f>IF(ISBLANK('Data Entry'!$P$445), "", 'Data Entry'!$P$445)</f>
      </c>
      <c r="Q445">
        <f>IF(ISBLANK('Data Entry'!$Q$445), "", 'Data Entry'!$Q$445)</f>
      </c>
      <c r="R445">
        <f>IF(ISBLANK('Data Entry'!$R$445), "", 'Data Entry'!$R$445)</f>
      </c>
      <c r="S445">
        <f>IF(ISBLANK('Data Entry'!$S$445), "", 'Data Entry'!$S$445)</f>
      </c>
      <c r="T445">
        <f>IF(ISBLANK('Data Entry'!$T$445), "", 'Data Entry'!$T$445)</f>
      </c>
      <c r="U445">
        <f>IF(ISBLANK('Data Entry'!$U$445), "", 'Data Entry'!$U$445)</f>
      </c>
      <c r="V445">
        <f>IF(ISBLANK('Data Entry'!$V$445), "", 'Data Entry'!$V$445)</f>
      </c>
      <c r="W445">
        <f>IF(ISBLANK('Data Entry'!$W$445), "", 'Data Entry'!$W$445)</f>
      </c>
      <c r="X445">
        <f>IF(ISBLANK('Data Entry'!$X$445), "", 'Data Entry'!$X$445)</f>
      </c>
      <c r="Y445">
        <f>IF(ISBLANK('Data Entry'!$Y$445), "", 'Data Entry'!$Y$445)</f>
      </c>
      <c r="Z445">
        <f>IF(ISBLANK('Data Entry'!$Z$445), "", 'Data Entry'!$Z$445)</f>
      </c>
      <c r="AA445">
        <f>IF(ISBLANK('Data Entry'!$[$445), "", 'Data Entry'!$[$445)</f>
      </c>
      <c r="AB445">
        <f>IF(ISBLANK('Data Entry'!$\$445), "", 'Data Entry'!$\$445)</f>
      </c>
      <c r="AC445">
        <f>IF(ISBLANK('Data Entry'!$]$445), "", 'Data Entry'!$]$445)</f>
      </c>
      <c r="AD445">
        <f>IF(ISBLANK('Data Entry'!$^$445), "", 'Data Entry'!$^$445)</f>
      </c>
      <c r="AE445">
        <f>IF(ISBLANK('Data Entry'!$_$445), "", 'Data Entry'!$_$445)</f>
      </c>
      <c r="AF445">
        <f>IF(ISBLANK('Data Entry'!$`$445), "", 'Data Entry'!$`$445)</f>
      </c>
      <c r="AG445">
        <f>IF(ISBLANK('Data Entry'!$a$445), "", 'Data Entry'!$a$445)</f>
      </c>
      <c r="AH445">
        <f>IF(ISBLANK('Data Entry'!$b$445), "", 'Data Entry'!$b$445)</f>
      </c>
      <c r="AI445">
        <f>IF(ISBLANK('Data Entry'!$c$445), "", 'Data Entry'!$c$445)</f>
      </c>
      <c r="AJ445">
        <f>IF(ISBLANK('Data Entry'!$d$445), "", 'Data Entry'!$d$445)</f>
      </c>
      <c r="AK445">
        <f>IF(ISBLANK('Data Entry'!$e$445), "", 'Data Entry'!$e$445)</f>
      </c>
      <c r="AL445">
        <f>IF(ISBLANK('Data Entry'!$f$445), "", 'Data Entry'!$f$445)</f>
      </c>
      <c r="AM445">
        <f>IF(ISBLANK('Data Entry'!$g$445), "", 'Data Entry'!$g$445)</f>
      </c>
      <c r="AN445">
        <f>IF(ISBLANK('Data Entry'!$h$445), "", 'Data Entry'!$h$445)</f>
      </c>
      <c r="AO445">
        <f>IF(ISBLANK('Data Entry'!$i$445), "", 'Data Entry'!$i$445)</f>
      </c>
      <c r="AP445">
        <f>IF(ISBLANK('Data Entry'!$j$445), "", 'Data Entry'!$j$445)</f>
      </c>
      <c r="AQ445">
        <f>IF(ISBLANK('Data Entry'!$k$445), "", 'Data Entry'!$k$445)</f>
      </c>
      <c r="AR445">
        <f>IF(ISBLANK('Data Entry'!$l$445), "", 'Data Entry'!$l$445)</f>
      </c>
      <c r="AS445">
        <f>IF(ISBLANK('Data Entry'!$m$445), "", 'Data Entry'!$m$445)</f>
      </c>
      <c r="AT445">
        <f>IF(ISBLANK('Data Entry'!$n$445), "", 'Data Entry'!$n$445)</f>
      </c>
      <c r="AU445">
        <f>IF(ISBLANK('Data Entry'!$o$445), "", 'Data Entry'!$o$445)</f>
      </c>
      <c r="AV445">
        <f>IF(ISBLANK('Data Entry'!$p$445), "", 'Data Entry'!$p$445)</f>
      </c>
      <c r="AW445">
        <f>IF(ISBLANK('Data Entry'!$q$445), "", 'Data Entry'!$q$445)</f>
      </c>
      <c r="AX445">
        <f>IF(ISBLANK('Data Entry'!$r$445), "", 'Data Entry'!$r$445)</f>
      </c>
      <c r="AY445">
        <f>IF(ISBLANK('Data Entry'!$s$445), "", 'Data Entry'!$s$445)</f>
      </c>
      <c r="AZ445">
        <f>IF(ISBLANK('Data Entry'!$t$445), "", 'Data Entry'!$t$445)</f>
      </c>
      <c r="BA445">
        <f>IF(ISBLANK('Data Entry'!$u$445), "", 'Data Entry'!$u$445)</f>
      </c>
      <c r="BB445">
        <f>IF(ISBLANK('Data Entry'!$v$445), "", 'Data Entry'!$v$445)</f>
      </c>
      <c r="BC445">
        <f>IF(ISBLANK('Data Entry'!$w$445), "", 'Data Entry'!$w$445)</f>
      </c>
      <c r="BD445">
        <f>IF(ISBLANK('Data Entry'!$x$445), "", 'Data Entry'!$x$445)</f>
      </c>
      <c r="BE445">
        <f>IF(ISBLANK('Data Entry'!$y$445), "", 'Data Entry'!$y$445)</f>
      </c>
      <c r="BF445">
        <f>IF(ISBLANK('Data Entry'!$z$445), "", 'Data Entry'!$z$445)</f>
      </c>
      <c r="BG445">
        <f>IF(ISBLANK('Data Entry'!${$445), "", 'Data Entry'!${$445)</f>
      </c>
      <c r="BH445">
        <f>IF(ISBLANK('Data Entry'!$|$445), "", 'Data Entry'!$|$445)</f>
      </c>
      <c r="BI445">
        <f>IF(ISBLANK('Data Entry'!$}$445), "", 'Data Entry'!$}$445)</f>
      </c>
      <c r="BJ445">
        <f>IF(ISBLANK('Data Entry'!$~$445), "", 'Data Entry'!$~$445)</f>
      </c>
      <c r="BK445">
        <f>IF(ISBLANK('Data Entry'!$$445), "", 'Data Entry'!$$445)</f>
      </c>
      <c r="BL445">
        <f>IF(ISBLANK('Data Entry'!$$445), "", 'Data Entry'!$$445)</f>
      </c>
      <c r="BM445">
        <f>IF(ISBLANK('Data Entry'!$$445), "", 'Data Entry'!$$445)</f>
      </c>
      <c r="BN445">
        <f>IF(ISBLANK('Data Entry'!$$445), "", 'Data Entry'!$$445)</f>
      </c>
      <c r="BO445">
        <f>IF(ISBLANK('Data Entry'!$$445), "", 'Data Entry'!$$445)</f>
      </c>
      <c r="BP445">
        <f>IF(ISBLANK('Data Entry'!$$445), "", 'Data Entry'!$$445)</f>
      </c>
      <c r="BQ445">
        <f>IF(ISBLANK('Data Entry'!$$445), "", 'Data Entry'!$$445)</f>
      </c>
      <c r="BR445">
        <f>IF(ISBLANK('Data Entry'!$$445), "", 'Data Entry'!$$445)</f>
      </c>
      <c r="BS445">
        <f>IF(ISBLANK('Data Entry'!$$445), "", 'Data Entry'!$$445)</f>
      </c>
      <c r="BT445">
        <f>IF(ISBLANK('Data Entry'!$$445), "", 'Data Entry'!$$445)</f>
      </c>
      <c r="BU445">
        <f>IF(ISBLANK('Data Entry'!$$445), "", 'Data Entry'!$$445)</f>
      </c>
      <c r="BV445">
        <f>IF(ISBLANK('Data Entry'!$$445), "", 'Data Entry'!$$445)</f>
      </c>
      <c r="BW445">
        <f>IF(ISBLANK('Data Entry'!$$445), "", 'Data Entry'!$$445)</f>
      </c>
      <c r="BX445">
        <f>IF(ISBLANK('Data Entry'!$$445), "", 'Data Entry'!$$445)</f>
      </c>
      <c r="BY445">
        <f>IF(ISBLANK('Data Entry'!$$445), "", 'Data Entry'!$$445)</f>
      </c>
      <c r="BZ445">
        <f>IF(ISBLANK('Data Entry'!$$445), "", 'Data Entry'!$$445)</f>
      </c>
      <c r="CA445">
        <f>IF(ISBLANK('Data Entry'!$$445), "", 'Data Entry'!$$445)</f>
      </c>
      <c r="CB445">
        <f>IF(ISBLANK('Data Entry'!$$445), "", 'Data Entry'!$$445)</f>
      </c>
      <c r="CC445">
        <f>IF(ISBLANK('Data Entry'!$$445), "", 'Data Entry'!$$445)</f>
      </c>
      <c r="CD445">
        <f>IF(ISBLANK('Data Entry'!$$445), "", 'Data Entry'!$$445)</f>
      </c>
      <c r="CE445">
        <f>IF(ISBLANK('Data Entry'!$$445), "", 'Data Entry'!$$445)</f>
      </c>
      <c r="CF445">
        <f>IF(ISBLANK('Data Entry'!$$445), "", 'Data Entry'!$$445)</f>
      </c>
      <c r="CG445">
        <f>IF(ISBLANK('Data Entry'!$$445), "", 'Data Entry'!$$445)</f>
      </c>
      <c r="CH445">
        <f>IF(ISBLANK('Data Entry'!$$445), "", 'Data Entry'!$$445)</f>
      </c>
      <c r="CI445">
        <f>IF(ISBLANK('Data Entry'!$$445), "", 'Data Entry'!$$445)</f>
      </c>
      <c r="CJ445">
        <f>IF(ISBLANK('Data Entry'!$$445), "", 'Data Entry'!$$445)</f>
      </c>
      <c r="CK445">
        <f>IF(ISBLANK('Data Entry'!$$445), "", 'Data Entry'!$$445)</f>
      </c>
      <c r="CL445">
        <f>IF(ISBLANK('Data Entry'!$$445), "", 'Data Entry'!$$445)</f>
      </c>
      <c r="CM445">
        <f>IF(ISBLANK('Data Entry'!$$445), "", 'Data Entry'!$$445)</f>
      </c>
      <c r="CN445">
        <f>IF(ISBLANK('Data Entry'!$$445), "", 'Data Entry'!$$445)</f>
      </c>
      <c r="CO445">
        <f>IF(ISBLANK('Data Entry'!$$445), "", 'Data Entry'!$$445)</f>
      </c>
      <c r="CP445">
        <f>IF(ISBLANK('Data Entry'!$$445), "", 'Data Entry'!$$445)</f>
      </c>
      <c r="CQ445">
        <f>IF(ISBLANK('Data Entry'!$$445), "", 'Data Entry'!$$445)</f>
      </c>
      <c r="CR445">
        <f>IF(ISBLANK('Data Entry'!$ $445), "", 'Data Entry'!$ $445)</f>
      </c>
      <c r="CS445">
        <f>IF(ISBLANK('Data Entry'!$¡$445), "", 'Data Entry'!$¡$445)</f>
      </c>
      <c r="CT445">
        <f>IF(ISBLANK('Data Entry'!$¢$445), "", 'Data Entry'!$¢$445)</f>
      </c>
      <c r="CU445">
        <f>IF(ISBLANK('Data Entry'!$£$445), "", 'Data Entry'!$£$445)</f>
      </c>
      <c r="CV445">
        <f>IF(ISBLANK('Data Entry'!$¤$445), "", 'Data Entry'!$¤$445)</f>
      </c>
      <c r="CW445">
        <f>IF(ISBLANK('Data Entry'!$¥$445), "", 'Data Entry'!$¥$445)</f>
      </c>
      <c r="CX445">
        <f>IF(ISBLANK('Data Entry'!$¦$445), "", 'Data Entry'!$¦$445)</f>
      </c>
      <c r="CY445">
        <f>IF(ISBLANK('Data Entry'!$§$445), "", 'Data Entry'!$§$445)</f>
      </c>
      <c r="CZ445">
        <f>IF(ISBLANK('Data Entry'!$¨$445), "", 'Data Entry'!$¨$445)</f>
      </c>
      <c r="DA445">
        <f>IF(ISBLANK('Data Entry'!$©$445), "", 'Data Entry'!$©$445)</f>
      </c>
      <c r="DB445">
        <f>IF(ISBLANK('Data Entry'!$ª$445), "", 'Data Entry'!$ª$445)</f>
      </c>
      <c r="DC445">
        <f>IF(ISBLANK('Data Entry'!$«$445), "", 'Data Entry'!$«$445)</f>
      </c>
      <c r="DD445">
        <f>IF(ISBLANK('Data Entry'!$¬$445), "", 'Data Entry'!$¬$445)</f>
      </c>
      <c r="DE445">
        <f>IF(ISBLANK('Data Entry'!$­$445), "", 'Data Entry'!$­$445)</f>
      </c>
      <c r="DF445">
        <f>IF(ISBLANK('Data Entry'!$®$445), "", 'Data Entry'!$®$445)</f>
      </c>
      <c r="DG445">
        <f>IF(ISBLANK('Data Entry'!$¯$445), "", 'Data Entry'!$¯$445)</f>
      </c>
      <c r="DH445">
        <f>IF(ISBLANK('Data Entry'!$°$445), "", 'Data Entry'!$°$445)</f>
      </c>
      <c r="DI445">
        <f>IF(ISBLANK('Data Entry'!$±$445), "", 'Data Entry'!$±$445)</f>
      </c>
      <c r="DJ445">
        <f>IF(ISBLANK('Data Entry'!$²$445), "", 'Data Entry'!$²$445)</f>
      </c>
      <c r="DK445">
        <f>IF(ISBLANK('Data Entry'!$³$445), "", 'Data Entry'!$³$445)</f>
      </c>
      <c r="DL445">
        <f>IF(ISBLANK('Data Entry'!$´$445), "", 'Data Entry'!$´$445)</f>
      </c>
      <c r="DM445">
        <f>IF(ISBLANK('Data Entry'!$µ$445), "", 'Data Entry'!$µ$445)</f>
      </c>
      <c r="DN445">
        <f>IF(ISBLANK('Data Entry'!$¶$445), "", 'Data Entry'!$¶$445)</f>
      </c>
      <c r="DO445">
        <f>IF(ISBLANK('Data Entry'!$·$445), "", 'Data Entry'!$·$445)</f>
      </c>
      <c r="DP445">
        <f>IF(ISBLANK('Data Entry'!$¸$445), "", 'Data Entry'!$¸$445)</f>
      </c>
      <c r="DQ445">
        <f>IF(ISBLANK('Data Entry'!$¹$445), "", 'Data Entry'!$¹$445)</f>
      </c>
      <c r="DR445">
        <f>IF(ISBLANK('Data Entry'!$º$445), "", 'Data Entry'!$º$445)</f>
      </c>
      <c r="DS445">
        <f>IF(ISBLANK('Data Entry'!$»$445), "", 'Data Entry'!$»$445)</f>
      </c>
      <c r="DT445">
        <f>IF(ISBLANK('Data Entry'!$¼$445), "", 'Data Entry'!$¼$445)</f>
      </c>
      <c r="DU445">
        <f>IF(ISBLANK('Data Entry'!$½$445), "", 'Data Entry'!$½$445)</f>
      </c>
      <c r="DV445">
        <f>IF(ISBLANK('Data Entry'!$¾$445), "", 'Data Entry'!$¾$445)</f>
      </c>
      <c r="DW445">
        <f>IF(ISBLANK('Data Entry'!$¿$445), "", 'Data Entry'!$¿$445)</f>
      </c>
      <c r="DX445">
        <f>IF(ISBLANK('Data Entry'!$À$445), "", 'Data Entry'!$À$445)</f>
      </c>
      <c r="DY445">
        <f>IF(ISBLANK('Data Entry'!$Á$445), "", 'Data Entry'!$Á$445)</f>
      </c>
      <c r="DZ445">
        <f>IF(ISBLANK('Data Entry'!$Â$445), "", 'Data Entry'!$Â$445)</f>
      </c>
      <c r="EA445">
        <f>IF(ISBLANK('Data Entry'!$Ã$445), "", 'Data Entry'!$Ã$445)</f>
      </c>
      <c r="EB445">
        <f>IF(ISBLANK('Data Entry'!$Ä$445), "", 'Data Entry'!$Ä$445)</f>
      </c>
      <c r="EC445">
        <f>IF(ISBLANK('Data Entry'!$Å$445), "", 'Data Entry'!$Å$445)</f>
      </c>
      <c r="ED445">
        <f>IF(ISBLANK('Data Entry'!$Æ$445), "", 'Data Entry'!$Æ$445)</f>
      </c>
      <c r="EE445">
        <f>IF(ISBLANK('Data Entry'!$Ç$445), "", 'Data Entry'!$Ç$445)</f>
      </c>
      <c r="EF445">
        <f>IF(ISBLANK('Data Entry'!$È$445), "", 'Data Entry'!$È$445)</f>
      </c>
      <c r="EG445">
        <f>IF(ISBLANK('Data Entry'!$É$445), "", 'Data Entry'!$É$445)</f>
      </c>
      <c r="EH445">
        <f>IF(ISBLANK('Data Entry'!$Ê$445), "", 'Data Entry'!$Ê$445)</f>
      </c>
      <c r="EI445">
        <f>IF(ISBLANK('Data Entry'!$Ë$445), "", 'Data Entry'!$Ë$445)</f>
      </c>
      <c r="EJ445">
        <f>IF(ISBLANK('Data Entry'!$Ì$445), "", 'Data Entry'!$Ì$445)</f>
      </c>
      <c r="EK445">
        <f>IF(ISBLANK('Data Entry'!$Í$445), "", 'Data Entry'!$Í$445)</f>
      </c>
      <c r="EL445">
        <f>IF(ISBLANK('Data Entry'!$Î$445), "", 'Data Entry'!$Î$445)</f>
      </c>
      <c r="EM445">
        <f>IF(ISBLANK('Data Entry'!$Ï$445), "", 'Data Entry'!$Ï$445)</f>
      </c>
      <c r="EN445">
        <f>IF(ISBLANK('Data Entry'!$Ð$445), "", 'Data Entry'!$Ð$445)</f>
      </c>
      <c r="EO445">
        <f>IF(ISBLANK('Data Entry'!$Ñ$445), "", 'Data Entry'!$Ñ$445)</f>
      </c>
      <c r="EP445">
        <f>IF(ISBLANK('Data Entry'!$Ò$445), "", 'Data Entry'!$Ò$445)</f>
      </c>
      <c r="EQ445">
        <f>IF(ISBLANK('Data Entry'!$Ó$445), "", 'Data Entry'!$Ó$445)</f>
      </c>
      <c r="ER445">
        <f>IF(ISBLANK('Data Entry'!$Ô$445), "", 'Data Entry'!$Ô$445)</f>
      </c>
      <c r="ES445">
        <f>IF(ISBLANK('Data Entry'!$Õ$445), "", 'Data Entry'!$Õ$445)</f>
      </c>
      <c r="ET445">
        <f>IF(ISBLANK('Data Entry'!$Ö$445), "", 'Data Entry'!$Ö$445)</f>
      </c>
      <c r="EU445">
        <f>IF(ISBLANK('Data Entry'!$×$445), "", 'Data Entry'!$×$445)</f>
      </c>
      <c r="EV445">
        <f>IF(ISBLANK('Data Entry'!$Ø$445), "", 'Data Entry'!$Ø$445)</f>
      </c>
      <c r="EW445">
        <f>IF(ISBLANK('Data Entry'!$Ù$445), "", 'Data Entry'!$Ù$445)</f>
      </c>
      <c r="EX445">
        <f>IF(ISBLANK('Data Entry'!$Ú$445), "", 'Data Entry'!$Ú$445)</f>
      </c>
      <c r="EY445">
        <f>IF(ISBLANK('Data Entry'!$Û$445), "", 'Data Entry'!$Û$445)</f>
      </c>
      <c r="EZ445">
        <f>IF(ISBLANK('Data Entry'!$Ü$445), "", 'Data Entry'!$Ü$445)</f>
      </c>
      <c r="FA445">
        <f>IF(ISBLANK('Data Entry'!$Ý$445), "", 'Data Entry'!$Ý$445)</f>
      </c>
      <c r="FB445">
        <f>IF(ISBLANK('Data Entry'!$Þ$445), "", 'Data Entry'!$Þ$445)</f>
      </c>
      <c r="FC445">
        <f>IF(ISBLANK('Data Entry'!$ß$445), "", 'Data Entry'!$ß$445)</f>
      </c>
      <c r="FD445">
        <f>IF(ISBLANK('Data Entry'!$à$445), "", 'Data Entry'!$à$445)</f>
      </c>
      <c r="FE445">
        <f>IF(ISBLANK('Data Entry'!$á$445), "", 'Data Entry'!$á$445)</f>
      </c>
      <c r="FF445">
        <f>IF(ISBLANK('Data Entry'!$â$445), "", 'Data Entry'!$â$445)</f>
      </c>
      <c r="FG445">
        <f>IF(ISBLANK('Data Entry'!$ã$445), "", 'Data Entry'!$ã$445)</f>
      </c>
      <c r="FH445">
        <f>IF(ISBLANK('Data Entry'!$ä$445), "", 'Data Entry'!$ä$445)</f>
      </c>
      <c r="FI445">
        <f>IF(ISBLANK('Data Entry'!$å$445), "", 'Data Entry'!$å$445)</f>
      </c>
      <c r="FJ445">
        <f>IF(ISBLANK('Data Entry'!$æ$445), "", 'Data Entry'!$æ$445)</f>
      </c>
      <c r="FK445">
        <f>IF(ISBLANK('Data Entry'!$ç$445), "", 'Data Entry'!$ç$445)</f>
      </c>
      <c r="FL445">
        <f>IF(ISBLANK('Data Entry'!$è$445), "", 'Data Entry'!$è$445)</f>
      </c>
      <c r="FM445">
        <f>IF(ISBLANK('Data Entry'!$é$445), "", 'Data Entry'!$é$445)</f>
      </c>
      <c r="FN445">
        <f>IF(ISBLANK('Data Entry'!$ê$445), "", 'Data Entry'!$ê$445)</f>
      </c>
      <c r="FO445">
        <f>IF(ISBLANK('Data Entry'!$ë$445), "", 'Data Entry'!$ë$445)</f>
      </c>
      <c r="FP445">
        <f>IF(ISBLANK('Data Entry'!$ì$445), "", 'Data Entry'!$ì$445)</f>
      </c>
      <c r="FQ445">
        <f>IF(ISBLANK('Data Entry'!$í$445), "", 'Data Entry'!$í$445)</f>
      </c>
      <c r="FR445">
        <f>IF(ISBLANK('Data Entry'!$î$445), "", 'Data Entry'!$î$445)</f>
      </c>
      <c r="FS445">
        <f>IF(ISBLANK('Data Entry'!$ï$445), "", 'Data Entry'!$ï$445)</f>
      </c>
      <c r="FT445">
        <f>IF(ISBLANK('Data Entry'!$ð$445), "", 'Data Entry'!$ð$445)</f>
      </c>
      <c r="FU445">
        <f>IF(ISBLANK('Data Entry'!$ñ$445), "", 'Data Entry'!$ñ$445)</f>
      </c>
      <c r="FV445">
        <f>IF(ISBLANK('Data Entry'!$ò$445), "", 'Data Entry'!$ò$445)</f>
      </c>
      <c r="FW445">
        <f>IF(ISBLANK('Data Entry'!$ó$445), "", 'Data Entry'!$ó$445)</f>
      </c>
      <c r="FX445">
        <f>IF(ISBLANK('Data Entry'!$ô$445), "", 'Data Entry'!$ô$445)</f>
      </c>
      <c r="FY445">
        <f>IF(ISBLANK('Data Entry'!$õ$445), "", 'Data Entry'!$õ$445)</f>
      </c>
      <c r="FZ445">
        <f>IF(ISBLANK('Data Entry'!$ö$445), "", 'Data Entry'!$ö$445)</f>
      </c>
      <c r="GA445">
        <f>IF(ISBLANK('Data Entry'!$÷$445), "", 'Data Entry'!$÷$445)</f>
      </c>
      <c r="GB445">
        <f>IF(ISBLANK('Data Entry'!$ø$445), "", 'Data Entry'!$ø$445)</f>
      </c>
      <c r="GC445">
        <f>IF(ISBLANK('Data Entry'!$ù$445), "", 'Data Entry'!$ù$445)</f>
      </c>
      <c r="GD445">
        <f>IF(ISBLANK('Data Entry'!$ú$445), "", 'Data Entry'!$ú$445)</f>
      </c>
      <c r="GE445">
        <f>IF(ISBLANK('Data Entry'!$û$445), "", 'Data Entry'!$û$445)</f>
      </c>
      <c r="GF445">
        <f>IF(ISBLANK('Data Entry'!$ü$445), "", 'Data Entry'!$ü$445)</f>
      </c>
      <c r="GG445">
        <f>IF(ISBLANK('Data Entry'!$ý$445), "", 'Data Entry'!$ý$445)</f>
      </c>
      <c r="GH445">
        <f>IF(ISBLANK('Data Entry'!$þ$445), "", 'Data Entry'!$þ$445)</f>
      </c>
      <c r="GI445">
        <f>IF(ISBLANK('Data Entry'!$ÿ$445), "", 'Data Entry'!$ÿ$445)</f>
      </c>
      <c r="GJ445">
        <f>IF(ISBLANK('Data Entry'!$Ā$445), "", 'Data Entry'!$Ā$445)</f>
      </c>
      <c r="GK445">
        <f>IF(ISBLANK('Data Entry'!$ā$445), "", 'Data Entry'!$ā$445)</f>
      </c>
      <c r="GL445">
        <f>IF(ISBLANK('Data Entry'!$Ă$445), "", 'Data Entry'!$Ă$445)</f>
      </c>
      <c r="GM445">
        <f>IF(ISBLANK('Data Entry'!$ă$445), "", 'Data Entry'!$ă$445)</f>
      </c>
      <c r="GN445">
        <f>IF(ISBLANK('Data Entry'!$Ą$445), "", 'Data Entry'!$Ą$445)</f>
      </c>
      <c r="GO445">
        <f>IF(ISBLANK('Data Entry'!$ą$445), "", 'Data Entry'!$ą$445)</f>
      </c>
      <c r="GP445">
        <f>IF(ISBLANK('Data Entry'!$Ć$445), "", 'Data Entry'!$Ć$445)</f>
      </c>
      <c r="GQ445">
        <f>IF(ISBLANK('Data Entry'!$ć$445), "", 'Data Entry'!$ć$445)</f>
      </c>
      <c r="GR445">
        <f>IF(ISBLANK('Data Entry'!$Ĉ$445), "", 'Data Entry'!$Ĉ$445)</f>
      </c>
      <c r="GS445">
        <f>IF(ISBLANK('Data Entry'!$ĉ$445), "", 'Data Entry'!$ĉ$445)</f>
      </c>
      <c r="GT445">
        <f>IF(ISBLANK('Data Entry'!$Ċ$445), "", 'Data Entry'!$Ċ$445)</f>
      </c>
      <c r="GU445">
        <f>IF(ISBLANK('Data Entry'!$ċ$445), "", 'Data Entry'!$ċ$445)</f>
      </c>
      <c r="GV445">
        <f>IF(ISBLANK('Data Entry'!$Č$445), "", 'Data Entry'!$Č$445)</f>
      </c>
      <c r="GW445">
        <f>IF(ISBLANK('Data Entry'!$č$445), "", 'Data Entry'!$č$445)</f>
      </c>
      <c r="GX445">
        <f>IF(ISBLANK('Data Entry'!$Ď$445), "", 'Data Entry'!$Ď$445)</f>
      </c>
      <c r="GY445">
        <f>IF(ISBLANK('Data Entry'!$ď$445), "", 'Data Entry'!$ď$445)</f>
      </c>
      <c r="GZ445">
        <f>IF(ISBLANK('Data Entry'!$Đ$445), "", 'Data Entry'!$Đ$445)</f>
      </c>
      <c r="HA445">
        <f>IF(ISBLANK('Data Entry'!$đ$445), "", 'Data Entry'!$đ$445)</f>
      </c>
      <c r="HB445">
        <f>IF(ISBLANK('Data Entry'!$Ē$445), "", 'Data Entry'!$Ē$445)</f>
      </c>
      <c r="HC445">
        <f>IF(ISBLANK('Data Entry'!$ē$445), "", 'Data Entry'!$ē$445)</f>
      </c>
      <c r="HD445">
        <f>IF(ISBLANK('Data Entry'!$Ĕ$445), "", 'Data Entry'!$Ĕ$445)</f>
      </c>
      <c r="HE445">
        <f>IF(ISBLANK('Data Entry'!$ĕ$445), "", 'Data Entry'!$ĕ$445)</f>
      </c>
      <c r="HF445">
        <f>IF(ISBLANK('Data Entry'!$Ė$445), "", 'Data Entry'!$Ė$445)</f>
      </c>
      <c r="HG445">
        <f>IF(ISBLANK('Data Entry'!$ė$445), "", 'Data Entry'!$ė$445)</f>
      </c>
      <c r="HH445">
        <f>IF(ISBLANK('Data Entry'!$Ę$445), "", 'Data Entry'!$Ę$445)</f>
      </c>
      <c r="HI445">
        <f>IF(ISBLANK('Data Entry'!$ę$445), "", 'Data Entry'!$ę$445)</f>
      </c>
      <c r="HJ445">
        <f>IF(ISBLANK('Data Entry'!$Ě$445), "", 'Data Entry'!$Ě$445)</f>
      </c>
      <c r="HK445">
        <f>IF(ISBLANK('Data Entry'!$ě$445), "", 'Data Entry'!$ě$445)</f>
      </c>
      <c r="HL445">
        <f>IF(ISBLANK('Data Entry'!$Ĝ$445), "", 'Data Entry'!$Ĝ$445)</f>
      </c>
      <c r="HM445">
        <f>IF(ISBLANK('Data Entry'!$ĝ$445), "", 'Data Entry'!$ĝ$445)</f>
      </c>
      <c r="HN445">
        <f>IF(ISBLANK('Data Entry'!$Ğ$445), "", 'Data Entry'!$Ğ$445)</f>
      </c>
      <c r="HO445">
        <f>IF(ISBLANK('Data Entry'!$ğ$445), "", 'Data Entry'!$ğ$445)</f>
      </c>
      <c r="HP445">
        <f>IF(ISBLANK('Data Entry'!$Ġ$445), "", 'Data Entry'!$Ġ$445)</f>
      </c>
      <c r="HQ445">
        <f>IF(ISBLANK('Data Entry'!$ġ$445), "", 'Data Entry'!$ġ$445)</f>
      </c>
      <c r="HR445">
        <f>IF(ISBLANK('Data Entry'!$Ģ$445), "", 'Data Entry'!$Ģ$445)</f>
      </c>
      <c r="HS445">
        <f>IF(ISBLANK('Data Entry'!$ģ$445), "", 'Data Entry'!$ģ$445)</f>
      </c>
      <c r="HT445">
        <f>IF(ISBLANK('Data Entry'!$Ĥ$445), "", 'Data Entry'!$Ĥ$445)</f>
      </c>
      <c r="HU445">
        <f>IF(ISBLANK('Data Entry'!$ĥ$445), "", 'Data Entry'!$ĥ$445)</f>
      </c>
      <c r="HV445">
        <f>IF(ISBLANK('Data Entry'!$Ħ$445), "", 'Data Entry'!$Ħ$445)</f>
      </c>
      <c r="HW445">
        <f>IF(ISBLANK('Data Entry'!$ħ$445), "", 'Data Entry'!$ħ$445)</f>
      </c>
      <c r="HX445">
        <f>IF(ISBLANK('Data Entry'!$Ĩ$445), "", 'Data Entry'!$Ĩ$445)</f>
      </c>
      <c r="HY445">
        <f>IF(ISBLANK('Data Entry'!$ĩ$445), "", 'Data Entry'!$ĩ$445)</f>
      </c>
      <c r="HZ445">
        <f>IF(ISBLANK('Data Entry'!$Ī$445), "", 'Data Entry'!$Ī$445)</f>
      </c>
      <c r="IA445">
        <f>IF(ISBLANK('Data Entry'!$ī$445), "", 'Data Entry'!$ī$445)</f>
      </c>
      <c r="IB445">
        <f>IF(ISBLANK('Data Entry'!$Ĭ$445), "", 'Data Entry'!$Ĭ$445)</f>
      </c>
      <c r="IC445">
        <f>IF(ISBLANK('Data Entry'!$ĭ$445), "", 'Data Entry'!$ĭ$445)</f>
      </c>
      <c r="ID445">
        <f>IF(ISBLANK('Data Entry'!$Į$445), "", 'Data Entry'!$Į$445)</f>
      </c>
      <c r="IE445">
        <f>IF(ISBLANK('Data Entry'!$į$445), "", 'Data Entry'!$į$445)</f>
      </c>
      <c r="IF445">
        <f>IF(ISBLANK('Data Entry'!$İ$445), "", 'Data Entry'!$İ$445)</f>
      </c>
      <c r="IG445">
        <f>IF(ISBLANK('Data Entry'!$ı$445), "", 'Data Entry'!$ı$445)</f>
      </c>
      <c r="IH445">
        <f>IF(ISBLANK('Data Entry'!$Ĳ$445), "", 'Data Entry'!$Ĳ$445)</f>
      </c>
      <c r="II445">
        <f>IF(ISBLANK('Data Entry'!$ĳ$445), "", 'Data Entry'!$ĳ$445)</f>
      </c>
      <c r="IJ445">
        <f>IF(ISBLANK('Data Entry'!$Ĵ$445), "", 'Data Entry'!$Ĵ$445)</f>
      </c>
      <c r="IK445">
        <f>IF(ISBLANK('Data Entry'!$ĵ$445), "", 'Data Entry'!$ĵ$445)</f>
      </c>
      <c r="IL445">
        <f>IF(ISBLANK('Data Entry'!$Ķ$445), "", 'Data Entry'!$Ķ$445)</f>
      </c>
      <c r="IM445">
        <f>IF(ISBLANK('Data Entry'!$ķ$445), "", 'Data Entry'!$ķ$445)</f>
      </c>
      <c r="IN445">
        <f>IF(ISBLANK('Data Entry'!$ĸ$445), "", 'Data Entry'!$ĸ$445)</f>
      </c>
      <c r="IO445">
        <f>IF(ISBLANK('Data Entry'!$Ĺ$445), "", 'Data Entry'!$Ĺ$445)</f>
      </c>
      <c r="IP445">
        <f>IF(ISBLANK('Data Entry'!$ĺ$445), "", 'Data Entry'!$ĺ$445)</f>
      </c>
      <c r="IQ445">
        <f>IF(ISBLANK('Data Entry'!$Ļ$445), "", 'Data Entry'!$Ļ$445)</f>
      </c>
      <c r="IR445">
        <f>IF(ISBLANK('Data Entry'!$ļ$445), "", 'Data Entry'!$ļ$445)</f>
      </c>
      <c r="IS445">
        <f>IF(ISBLANK('Data Entry'!$Ľ$445), "", 'Data Entry'!$Ľ$445)</f>
      </c>
      <c r="IT445">
        <f>IF(ISBLANK('Data Entry'!$ľ$445), "", 'Data Entry'!$ľ$445)</f>
      </c>
    </row>
    <row r="446" spans="1:254" x14ac:dyDescent="0.25">
      <c r="A446">
        <f>IF(ISBLANK('Data Entry'!$A$446), "", 'Data Entry'!$A$446)</f>
      </c>
      <c r="B446">
        <f>IF(ISBLANK('Data Entry'!$B$446), "", 'Data Entry'!$B$446)</f>
      </c>
      <c r="C446">
        <f>IF(ISBLANK('Data Entry'!$C$446), "", 'Data Entry'!$C$446)</f>
      </c>
      <c r="D446">
        <f>IF(ISBLANK('Data Entry'!$D$446), "", 'Data Entry'!$D$446)</f>
      </c>
      <c r="E446">
        <f>IF(ISBLANK('Data Entry'!$E$446), "", 'Data Entry'!$E$446)</f>
      </c>
      <c r="F446">
        <f>IF(ISBLANK('Data Entry'!$F$446), "", 'Data Entry'!$F$446)</f>
      </c>
      <c r="G446">
        <f>IF(ISBLANK('Data Entry'!$G$446), "", 'Data Entry'!$G$446)</f>
      </c>
      <c r="H446">
        <f>IF(ISBLANK('Data Entry'!$H$446), "", 'Data Entry'!$H$446)</f>
      </c>
      <c r="I446">
        <f>IF(ISBLANK('Data Entry'!$I$446), "", 'Data Entry'!$I$446)</f>
      </c>
      <c r="J446">
        <f>IF(ISBLANK('Data Entry'!$J$446), "", 'Data Entry'!$J$446)</f>
      </c>
      <c r="K446">
        <f>IF(ISBLANK('Data Entry'!$K$446), "", 'Data Entry'!$K$446)</f>
      </c>
      <c r="L446">
        <f>IF(ISBLANK('Data Entry'!$L$446), "", 'Data Entry'!$L$446)</f>
      </c>
      <c r="M446">
        <f>IF(ISBLANK('Data Entry'!$M$446), "", 'Data Entry'!$M$446)</f>
      </c>
      <c r="N446">
        <f>IF(ISBLANK('Data Entry'!$N$446), "", 'Data Entry'!$N$446)</f>
      </c>
      <c r="O446">
        <f>IF(ISBLANK('Data Entry'!$O$446), "", 'Data Entry'!$O$446)</f>
      </c>
      <c r="P446">
        <f>IF(ISBLANK('Data Entry'!$P$446), "", 'Data Entry'!$P$446)</f>
      </c>
      <c r="Q446">
        <f>IF(ISBLANK('Data Entry'!$Q$446), "", 'Data Entry'!$Q$446)</f>
      </c>
      <c r="R446">
        <f>IF(ISBLANK('Data Entry'!$R$446), "", 'Data Entry'!$R$446)</f>
      </c>
      <c r="S446">
        <f>IF(ISBLANK('Data Entry'!$S$446), "", 'Data Entry'!$S$446)</f>
      </c>
      <c r="T446">
        <f>IF(ISBLANK('Data Entry'!$T$446), "", 'Data Entry'!$T$446)</f>
      </c>
      <c r="U446">
        <f>IF(ISBLANK('Data Entry'!$U$446), "", 'Data Entry'!$U$446)</f>
      </c>
      <c r="V446">
        <f>IF(ISBLANK('Data Entry'!$V$446), "", 'Data Entry'!$V$446)</f>
      </c>
      <c r="W446">
        <f>IF(ISBLANK('Data Entry'!$W$446), "", 'Data Entry'!$W$446)</f>
      </c>
      <c r="X446">
        <f>IF(ISBLANK('Data Entry'!$X$446), "", 'Data Entry'!$X$446)</f>
      </c>
      <c r="Y446">
        <f>IF(ISBLANK('Data Entry'!$Y$446), "", 'Data Entry'!$Y$446)</f>
      </c>
      <c r="Z446">
        <f>IF(ISBLANK('Data Entry'!$Z$446), "", 'Data Entry'!$Z$446)</f>
      </c>
      <c r="AA446">
        <f>IF(ISBLANK('Data Entry'!$[$446), "", 'Data Entry'!$[$446)</f>
      </c>
      <c r="AB446">
        <f>IF(ISBLANK('Data Entry'!$\$446), "", 'Data Entry'!$\$446)</f>
      </c>
      <c r="AC446">
        <f>IF(ISBLANK('Data Entry'!$]$446), "", 'Data Entry'!$]$446)</f>
      </c>
      <c r="AD446">
        <f>IF(ISBLANK('Data Entry'!$^$446), "", 'Data Entry'!$^$446)</f>
      </c>
      <c r="AE446">
        <f>IF(ISBLANK('Data Entry'!$_$446), "", 'Data Entry'!$_$446)</f>
      </c>
      <c r="AF446">
        <f>IF(ISBLANK('Data Entry'!$`$446), "", 'Data Entry'!$`$446)</f>
      </c>
      <c r="AG446">
        <f>IF(ISBLANK('Data Entry'!$a$446), "", 'Data Entry'!$a$446)</f>
      </c>
      <c r="AH446">
        <f>IF(ISBLANK('Data Entry'!$b$446), "", 'Data Entry'!$b$446)</f>
      </c>
      <c r="AI446">
        <f>IF(ISBLANK('Data Entry'!$c$446), "", 'Data Entry'!$c$446)</f>
      </c>
      <c r="AJ446">
        <f>IF(ISBLANK('Data Entry'!$d$446), "", 'Data Entry'!$d$446)</f>
      </c>
      <c r="AK446">
        <f>IF(ISBLANK('Data Entry'!$e$446), "", 'Data Entry'!$e$446)</f>
      </c>
      <c r="AL446">
        <f>IF(ISBLANK('Data Entry'!$f$446), "", 'Data Entry'!$f$446)</f>
      </c>
      <c r="AM446">
        <f>IF(ISBLANK('Data Entry'!$g$446), "", 'Data Entry'!$g$446)</f>
      </c>
      <c r="AN446">
        <f>IF(ISBLANK('Data Entry'!$h$446), "", 'Data Entry'!$h$446)</f>
      </c>
      <c r="AO446">
        <f>IF(ISBLANK('Data Entry'!$i$446), "", 'Data Entry'!$i$446)</f>
      </c>
      <c r="AP446">
        <f>IF(ISBLANK('Data Entry'!$j$446), "", 'Data Entry'!$j$446)</f>
      </c>
      <c r="AQ446">
        <f>IF(ISBLANK('Data Entry'!$k$446), "", 'Data Entry'!$k$446)</f>
      </c>
      <c r="AR446">
        <f>IF(ISBLANK('Data Entry'!$l$446), "", 'Data Entry'!$l$446)</f>
      </c>
      <c r="AS446">
        <f>IF(ISBLANK('Data Entry'!$m$446), "", 'Data Entry'!$m$446)</f>
      </c>
      <c r="AT446">
        <f>IF(ISBLANK('Data Entry'!$n$446), "", 'Data Entry'!$n$446)</f>
      </c>
      <c r="AU446">
        <f>IF(ISBLANK('Data Entry'!$o$446), "", 'Data Entry'!$o$446)</f>
      </c>
      <c r="AV446">
        <f>IF(ISBLANK('Data Entry'!$p$446), "", 'Data Entry'!$p$446)</f>
      </c>
      <c r="AW446">
        <f>IF(ISBLANK('Data Entry'!$q$446), "", 'Data Entry'!$q$446)</f>
      </c>
      <c r="AX446">
        <f>IF(ISBLANK('Data Entry'!$r$446), "", 'Data Entry'!$r$446)</f>
      </c>
      <c r="AY446">
        <f>IF(ISBLANK('Data Entry'!$s$446), "", 'Data Entry'!$s$446)</f>
      </c>
      <c r="AZ446">
        <f>IF(ISBLANK('Data Entry'!$t$446), "", 'Data Entry'!$t$446)</f>
      </c>
      <c r="BA446">
        <f>IF(ISBLANK('Data Entry'!$u$446), "", 'Data Entry'!$u$446)</f>
      </c>
      <c r="BB446">
        <f>IF(ISBLANK('Data Entry'!$v$446), "", 'Data Entry'!$v$446)</f>
      </c>
      <c r="BC446">
        <f>IF(ISBLANK('Data Entry'!$w$446), "", 'Data Entry'!$w$446)</f>
      </c>
      <c r="BD446">
        <f>IF(ISBLANK('Data Entry'!$x$446), "", 'Data Entry'!$x$446)</f>
      </c>
      <c r="BE446">
        <f>IF(ISBLANK('Data Entry'!$y$446), "", 'Data Entry'!$y$446)</f>
      </c>
      <c r="BF446">
        <f>IF(ISBLANK('Data Entry'!$z$446), "", 'Data Entry'!$z$446)</f>
      </c>
      <c r="BG446">
        <f>IF(ISBLANK('Data Entry'!${$446), "", 'Data Entry'!${$446)</f>
      </c>
      <c r="BH446">
        <f>IF(ISBLANK('Data Entry'!$|$446), "", 'Data Entry'!$|$446)</f>
      </c>
      <c r="BI446">
        <f>IF(ISBLANK('Data Entry'!$}$446), "", 'Data Entry'!$}$446)</f>
      </c>
      <c r="BJ446">
        <f>IF(ISBLANK('Data Entry'!$~$446), "", 'Data Entry'!$~$446)</f>
      </c>
      <c r="BK446">
        <f>IF(ISBLANK('Data Entry'!$$446), "", 'Data Entry'!$$446)</f>
      </c>
      <c r="BL446">
        <f>IF(ISBLANK('Data Entry'!$$446), "", 'Data Entry'!$$446)</f>
      </c>
      <c r="BM446">
        <f>IF(ISBLANK('Data Entry'!$$446), "", 'Data Entry'!$$446)</f>
      </c>
      <c r="BN446">
        <f>IF(ISBLANK('Data Entry'!$$446), "", 'Data Entry'!$$446)</f>
      </c>
      <c r="BO446">
        <f>IF(ISBLANK('Data Entry'!$$446), "", 'Data Entry'!$$446)</f>
      </c>
      <c r="BP446">
        <f>IF(ISBLANK('Data Entry'!$$446), "", 'Data Entry'!$$446)</f>
      </c>
      <c r="BQ446">
        <f>IF(ISBLANK('Data Entry'!$$446), "", 'Data Entry'!$$446)</f>
      </c>
      <c r="BR446">
        <f>IF(ISBLANK('Data Entry'!$$446), "", 'Data Entry'!$$446)</f>
      </c>
      <c r="BS446">
        <f>IF(ISBLANK('Data Entry'!$$446), "", 'Data Entry'!$$446)</f>
      </c>
      <c r="BT446">
        <f>IF(ISBLANK('Data Entry'!$$446), "", 'Data Entry'!$$446)</f>
      </c>
      <c r="BU446">
        <f>IF(ISBLANK('Data Entry'!$$446), "", 'Data Entry'!$$446)</f>
      </c>
      <c r="BV446">
        <f>IF(ISBLANK('Data Entry'!$$446), "", 'Data Entry'!$$446)</f>
      </c>
      <c r="BW446">
        <f>IF(ISBLANK('Data Entry'!$$446), "", 'Data Entry'!$$446)</f>
      </c>
      <c r="BX446">
        <f>IF(ISBLANK('Data Entry'!$$446), "", 'Data Entry'!$$446)</f>
      </c>
      <c r="BY446">
        <f>IF(ISBLANK('Data Entry'!$$446), "", 'Data Entry'!$$446)</f>
      </c>
      <c r="BZ446">
        <f>IF(ISBLANK('Data Entry'!$$446), "", 'Data Entry'!$$446)</f>
      </c>
      <c r="CA446">
        <f>IF(ISBLANK('Data Entry'!$$446), "", 'Data Entry'!$$446)</f>
      </c>
      <c r="CB446">
        <f>IF(ISBLANK('Data Entry'!$$446), "", 'Data Entry'!$$446)</f>
      </c>
      <c r="CC446">
        <f>IF(ISBLANK('Data Entry'!$$446), "", 'Data Entry'!$$446)</f>
      </c>
      <c r="CD446">
        <f>IF(ISBLANK('Data Entry'!$$446), "", 'Data Entry'!$$446)</f>
      </c>
      <c r="CE446">
        <f>IF(ISBLANK('Data Entry'!$$446), "", 'Data Entry'!$$446)</f>
      </c>
      <c r="CF446">
        <f>IF(ISBLANK('Data Entry'!$$446), "", 'Data Entry'!$$446)</f>
      </c>
      <c r="CG446">
        <f>IF(ISBLANK('Data Entry'!$$446), "", 'Data Entry'!$$446)</f>
      </c>
      <c r="CH446">
        <f>IF(ISBLANK('Data Entry'!$$446), "", 'Data Entry'!$$446)</f>
      </c>
      <c r="CI446">
        <f>IF(ISBLANK('Data Entry'!$$446), "", 'Data Entry'!$$446)</f>
      </c>
      <c r="CJ446">
        <f>IF(ISBLANK('Data Entry'!$$446), "", 'Data Entry'!$$446)</f>
      </c>
      <c r="CK446">
        <f>IF(ISBLANK('Data Entry'!$$446), "", 'Data Entry'!$$446)</f>
      </c>
      <c r="CL446">
        <f>IF(ISBLANK('Data Entry'!$$446), "", 'Data Entry'!$$446)</f>
      </c>
      <c r="CM446">
        <f>IF(ISBLANK('Data Entry'!$$446), "", 'Data Entry'!$$446)</f>
      </c>
      <c r="CN446">
        <f>IF(ISBLANK('Data Entry'!$$446), "", 'Data Entry'!$$446)</f>
      </c>
      <c r="CO446">
        <f>IF(ISBLANK('Data Entry'!$$446), "", 'Data Entry'!$$446)</f>
      </c>
      <c r="CP446">
        <f>IF(ISBLANK('Data Entry'!$$446), "", 'Data Entry'!$$446)</f>
      </c>
      <c r="CQ446">
        <f>IF(ISBLANK('Data Entry'!$$446), "", 'Data Entry'!$$446)</f>
      </c>
      <c r="CR446">
        <f>IF(ISBLANK('Data Entry'!$ $446), "", 'Data Entry'!$ $446)</f>
      </c>
      <c r="CS446">
        <f>IF(ISBLANK('Data Entry'!$¡$446), "", 'Data Entry'!$¡$446)</f>
      </c>
      <c r="CT446">
        <f>IF(ISBLANK('Data Entry'!$¢$446), "", 'Data Entry'!$¢$446)</f>
      </c>
      <c r="CU446">
        <f>IF(ISBLANK('Data Entry'!$£$446), "", 'Data Entry'!$£$446)</f>
      </c>
      <c r="CV446">
        <f>IF(ISBLANK('Data Entry'!$¤$446), "", 'Data Entry'!$¤$446)</f>
      </c>
      <c r="CW446">
        <f>IF(ISBLANK('Data Entry'!$¥$446), "", 'Data Entry'!$¥$446)</f>
      </c>
      <c r="CX446">
        <f>IF(ISBLANK('Data Entry'!$¦$446), "", 'Data Entry'!$¦$446)</f>
      </c>
      <c r="CY446">
        <f>IF(ISBLANK('Data Entry'!$§$446), "", 'Data Entry'!$§$446)</f>
      </c>
      <c r="CZ446">
        <f>IF(ISBLANK('Data Entry'!$¨$446), "", 'Data Entry'!$¨$446)</f>
      </c>
      <c r="DA446">
        <f>IF(ISBLANK('Data Entry'!$©$446), "", 'Data Entry'!$©$446)</f>
      </c>
      <c r="DB446">
        <f>IF(ISBLANK('Data Entry'!$ª$446), "", 'Data Entry'!$ª$446)</f>
      </c>
      <c r="DC446">
        <f>IF(ISBLANK('Data Entry'!$«$446), "", 'Data Entry'!$«$446)</f>
      </c>
      <c r="DD446">
        <f>IF(ISBLANK('Data Entry'!$¬$446), "", 'Data Entry'!$¬$446)</f>
      </c>
      <c r="DE446">
        <f>IF(ISBLANK('Data Entry'!$­$446), "", 'Data Entry'!$­$446)</f>
      </c>
      <c r="DF446">
        <f>IF(ISBLANK('Data Entry'!$®$446), "", 'Data Entry'!$®$446)</f>
      </c>
      <c r="DG446">
        <f>IF(ISBLANK('Data Entry'!$¯$446), "", 'Data Entry'!$¯$446)</f>
      </c>
      <c r="DH446">
        <f>IF(ISBLANK('Data Entry'!$°$446), "", 'Data Entry'!$°$446)</f>
      </c>
      <c r="DI446">
        <f>IF(ISBLANK('Data Entry'!$±$446), "", 'Data Entry'!$±$446)</f>
      </c>
      <c r="DJ446">
        <f>IF(ISBLANK('Data Entry'!$²$446), "", 'Data Entry'!$²$446)</f>
      </c>
      <c r="DK446">
        <f>IF(ISBLANK('Data Entry'!$³$446), "", 'Data Entry'!$³$446)</f>
      </c>
      <c r="DL446">
        <f>IF(ISBLANK('Data Entry'!$´$446), "", 'Data Entry'!$´$446)</f>
      </c>
      <c r="DM446">
        <f>IF(ISBLANK('Data Entry'!$µ$446), "", 'Data Entry'!$µ$446)</f>
      </c>
      <c r="DN446">
        <f>IF(ISBLANK('Data Entry'!$¶$446), "", 'Data Entry'!$¶$446)</f>
      </c>
      <c r="DO446">
        <f>IF(ISBLANK('Data Entry'!$·$446), "", 'Data Entry'!$·$446)</f>
      </c>
      <c r="DP446">
        <f>IF(ISBLANK('Data Entry'!$¸$446), "", 'Data Entry'!$¸$446)</f>
      </c>
      <c r="DQ446">
        <f>IF(ISBLANK('Data Entry'!$¹$446), "", 'Data Entry'!$¹$446)</f>
      </c>
      <c r="DR446">
        <f>IF(ISBLANK('Data Entry'!$º$446), "", 'Data Entry'!$º$446)</f>
      </c>
      <c r="DS446">
        <f>IF(ISBLANK('Data Entry'!$»$446), "", 'Data Entry'!$»$446)</f>
      </c>
      <c r="DT446">
        <f>IF(ISBLANK('Data Entry'!$¼$446), "", 'Data Entry'!$¼$446)</f>
      </c>
      <c r="DU446">
        <f>IF(ISBLANK('Data Entry'!$½$446), "", 'Data Entry'!$½$446)</f>
      </c>
      <c r="DV446">
        <f>IF(ISBLANK('Data Entry'!$¾$446), "", 'Data Entry'!$¾$446)</f>
      </c>
      <c r="DW446">
        <f>IF(ISBLANK('Data Entry'!$¿$446), "", 'Data Entry'!$¿$446)</f>
      </c>
      <c r="DX446">
        <f>IF(ISBLANK('Data Entry'!$À$446), "", 'Data Entry'!$À$446)</f>
      </c>
      <c r="DY446">
        <f>IF(ISBLANK('Data Entry'!$Á$446), "", 'Data Entry'!$Á$446)</f>
      </c>
      <c r="DZ446">
        <f>IF(ISBLANK('Data Entry'!$Â$446), "", 'Data Entry'!$Â$446)</f>
      </c>
      <c r="EA446">
        <f>IF(ISBLANK('Data Entry'!$Ã$446), "", 'Data Entry'!$Ã$446)</f>
      </c>
      <c r="EB446">
        <f>IF(ISBLANK('Data Entry'!$Ä$446), "", 'Data Entry'!$Ä$446)</f>
      </c>
      <c r="EC446">
        <f>IF(ISBLANK('Data Entry'!$Å$446), "", 'Data Entry'!$Å$446)</f>
      </c>
      <c r="ED446">
        <f>IF(ISBLANK('Data Entry'!$Æ$446), "", 'Data Entry'!$Æ$446)</f>
      </c>
      <c r="EE446">
        <f>IF(ISBLANK('Data Entry'!$Ç$446), "", 'Data Entry'!$Ç$446)</f>
      </c>
      <c r="EF446">
        <f>IF(ISBLANK('Data Entry'!$È$446), "", 'Data Entry'!$È$446)</f>
      </c>
      <c r="EG446">
        <f>IF(ISBLANK('Data Entry'!$É$446), "", 'Data Entry'!$É$446)</f>
      </c>
      <c r="EH446">
        <f>IF(ISBLANK('Data Entry'!$Ê$446), "", 'Data Entry'!$Ê$446)</f>
      </c>
      <c r="EI446">
        <f>IF(ISBLANK('Data Entry'!$Ë$446), "", 'Data Entry'!$Ë$446)</f>
      </c>
      <c r="EJ446">
        <f>IF(ISBLANK('Data Entry'!$Ì$446), "", 'Data Entry'!$Ì$446)</f>
      </c>
      <c r="EK446">
        <f>IF(ISBLANK('Data Entry'!$Í$446), "", 'Data Entry'!$Í$446)</f>
      </c>
      <c r="EL446">
        <f>IF(ISBLANK('Data Entry'!$Î$446), "", 'Data Entry'!$Î$446)</f>
      </c>
      <c r="EM446">
        <f>IF(ISBLANK('Data Entry'!$Ï$446), "", 'Data Entry'!$Ï$446)</f>
      </c>
      <c r="EN446">
        <f>IF(ISBLANK('Data Entry'!$Ð$446), "", 'Data Entry'!$Ð$446)</f>
      </c>
      <c r="EO446">
        <f>IF(ISBLANK('Data Entry'!$Ñ$446), "", 'Data Entry'!$Ñ$446)</f>
      </c>
      <c r="EP446">
        <f>IF(ISBLANK('Data Entry'!$Ò$446), "", 'Data Entry'!$Ò$446)</f>
      </c>
      <c r="EQ446">
        <f>IF(ISBLANK('Data Entry'!$Ó$446), "", 'Data Entry'!$Ó$446)</f>
      </c>
      <c r="ER446">
        <f>IF(ISBLANK('Data Entry'!$Ô$446), "", 'Data Entry'!$Ô$446)</f>
      </c>
      <c r="ES446">
        <f>IF(ISBLANK('Data Entry'!$Õ$446), "", 'Data Entry'!$Õ$446)</f>
      </c>
      <c r="ET446">
        <f>IF(ISBLANK('Data Entry'!$Ö$446), "", 'Data Entry'!$Ö$446)</f>
      </c>
      <c r="EU446">
        <f>IF(ISBLANK('Data Entry'!$×$446), "", 'Data Entry'!$×$446)</f>
      </c>
      <c r="EV446">
        <f>IF(ISBLANK('Data Entry'!$Ø$446), "", 'Data Entry'!$Ø$446)</f>
      </c>
      <c r="EW446">
        <f>IF(ISBLANK('Data Entry'!$Ù$446), "", 'Data Entry'!$Ù$446)</f>
      </c>
      <c r="EX446">
        <f>IF(ISBLANK('Data Entry'!$Ú$446), "", 'Data Entry'!$Ú$446)</f>
      </c>
      <c r="EY446">
        <f>IF(ISBLANK('Data Entry'!$Û$446), "", 'Data Entry'!$Û$446)</f>
      </c>
      <c r="EZ446">
        <f>IF(ISBLANK('Data Entry'!$Ü$446), "", 'Data Entry'!$Ü$446)</f>
      </c>
      <c r="FA446">
        <f>IF(ISBLANK('Data Entry'!$Ý$446), "", 'Data Entry'!$Ý$446)</f>
      </c>
      <c r="FB446">
        <f>IF(ISBLANK('Data Entry'!$Þ$446), "", 'Data Entry'!$Þ$446)</f>
      </c>
      <c r="FC446">
        <f>IF(ISBLANK('Data Entry'!$ß$446), "", 'Data Entry'!$ß$446)</f>
      </c>
      <c r="FD446">
        <f>IF(ISBLANK('Data Entry'!$à$446), "", 'Data Entry'!$à$446)</f>
      </c>
      <c r="FE446">
        <f>IF(ISBLANK('Data Entry'!$á$446), "", 'Data Entry'!$á$446)</f>
      </c>
      <c r="FF446">
        <f>IF(ISBLANK('Data Entry'!$â$446), "", 'Data Entry'!$â$446)</f>
      </c>
      <c r="FG446">
        <f>IF(ISBLANK('Data Entry'!$ã$446), "", 'Data Entry'!$ã$446)</f>
      </c>
      <c r="FH446">
        <f>IF(ISBLANK('Data Entry'!$ä$446), "", 'Data Entry'!$ä$446)</f>
      </c>
      <c r="FI446">
        <f>IF(ISBLANK('Data Entry'!$å$446), "", 'Data Entry'!$å$446)</f>
      </c>
      <c r="FJ446">
        <f>IF(ISBLANK('Data Entry'!$æ$446), "", 'Data Entry'!$æ$446)</f>
      </c>
      <c r="FK446">
        <f>IF(ISBLANK('Data Entry'!$ç$446), "", 'Data Entry'!$ç$446)</f>
      </c>
      <c r="FL446">
        <f>IF(ISBLANK('Data Entry'!$è$446), "", 'Data Entry'!$è$446)</f>
      </c>
      <c r="FM446">
        <f>IF(ISBLANK('Data Entry'!$é$446), "", 'Data Entry'!$é$446)</f>
      </c>
      <c r="FN446">
        <f>IF(ISBLANK('Data Entry'!$ê$446), "", 'Data Entry'!$ê$446)</f>
      </c>
      <c r="FO446">
        <f>IF(ISBLANK('Data Entry'!$ë$446), "", 'Data Entry'!$ë$446)</f>
      </c>
      <c r="FP446">
        <f>IF(ISBLANK('Data Entry'!$ì$446), "", 'Data Entry'!$ì$446)</f>
      </c>
      <c r="FQ446">
        <f>IF(ISBLANK('Data Entry'!$í$446), "", 'Data Entry'!$í$446)</f>
      </c>
      <c r="FR446">
        <f>IF(ISBLANK('Data Entry'!$î$446), "", 'Data Entry'!$î$446)</f>
      </c>
      <c r="FS446">
        <f>IF(ISBLANK('Data Entry'!$ï$446), "", 'Data Entry'!$ï$446)</f>
      </c>
      <c r="FT446">
        <f>IF(ISBLANK('Data Entry'!$ð$446), "", 'Data Entry'!$ð$446)</f>
      </c>
      <c r="FU446">
        <f>IF(ISBLANK('Data Entry'!$ñ$446), "", 'Data Entry'!$ñ$446)</f>
      </c>
      <c r="FV446">
        <f>IF(ISBLANK('Data Entry'!$ò$446), "", 'Data Entry'!$ò$446)</f>
      </c>
      <c r="FW446">
        <f>IF(ISBLANK('Data Entry'!$ó$446), "", 'Data Entry'!$ó$446)</f>
      </c>
      <c r="FX446">
        <f>IF(ISBLANK('Data Entry'!$ô$446), "", 'Data Entry'!$ô$446)</f>
      </c>
      <c r="FY446">
        <f>IF(ISBLANK('Data Entry'!$õ$446), "", 'Data Entry'!$õ$446)</f>
      </c>
      <c r="FZ446">
        <f>IF(ISBLANK('Data Entry'!$ö$446), "", 'Data Entry'!$ö$446)</f>
      </c>
      <c r="GA446">
        <f>IF(ISBLANK('Data Entry'!$÷$446), "", 'Data Entry'!$÷$446)</f>
      </c>
      <c r="GB446">
        <f>IF(ISBLANK('Data Entry'!$ø$446), "", 'Data Entry'!$ø$446)</f>
      </c>
      <c r="GC446">
        <f>IF(ISBLANK('Data Entry'!$ù$446), "", 'Data Entry'!$ù$446)</f>
      </c>
      <c r="GD446">
        <f>IF(ISBLANK('Data Entry'!$ú$446), "", 'Data Entry'!$ú$446)</f>
      </c>
      <c r="GE446">
        <f>IF(ISBLANK('Data Entry'!$û$446), "", 'Data Entry'!$û$446)</f>
      </c>
      <c r="GF446">
        <f>IF(ISBLANK('Data Entry'!$ü$446), "", 'Data Entry'!$ü$446)</f>
      </c>
      <c r="GG446">
        <f>IF(ISBLANK('Data Entry'!$ý$446), "", 'Data Entry'!$ý$446)</f>
      </c>
      <c r="GH446">
        <f>IF(ISBLANK('Data Entry'!$þ$446), "", 'Data Entry'!$þ$446)</f>
      </c>
      <c r="GI446">
        <f>IF(ISBLANK('Data Entry'!$ÿ$446), "", 'Data Entry'!$ÿ$446)</f>
      </c>
      <c r="GJ446">
        <f>IF(ISBLANK('Data Entry'!$Ā$446), "", 'Data Entry'!$Ā$446)</f>
      </c>
      <c r="GK446">
        <f>IF(ISBLANK('Data Entry'!$ā$446), "", 'Data Entry'!$ā$446)</f>
      </c>
      <c r="GL446">
        <f>IF(ISBLANK('Data Entry'!$Ă$446), "", 'Data Entry'!$Ă$446)</f>
      </c>
      <c r="GM446">
        <f>IF(ISBLANK('Data Entry'!$ă$446), "", 'Data Entry'!$ă$446)</f>
      </c>
      <c r="GN446">
        <f>IF(ISBLANK('Data Entry'!$Ą$446), "", 'Data Entry'!$Ą$446)</f>
      </c>
      <c r="GO446">
        <f>IF(ISBLANK('Data Entry'!$ą$446), "", 'Data Entry'!$ą$446)</f>
      </c>
      <c r="GP446">
        <f>IF(ISBLANK('Data Entry'!$Ć$446), "", 'Data Entry'!$Ć$446)</f>
      </c>
      <c r="GQ446">
        <f>IF(ISBLANK('Data Entry'!$ć$446), "", 'Data Entry'!$ć$446)</f>
      </c>
      <c r="GR446">
        <f>IF(ISBLANK('Data Entry'!$Ĉ$446), "", 'Data Entry'!$Ĉ$446)</f>
      </c>
      <c r="GS446">
        <f>IF(ISBLANK('Data Entry'!$ĉ$446), "", 'Data Entry'!$ĉ$446)</f>
      </c>
      <c r="GT446">
        <f>IF(ISBLANK('Data Entry'!$Ċ$446), "", 'Data Entry'!$Ċ$446)</f>
      </c>
      <c r="GU446">
        <f>IF(ISBLANK('Data Entry'!$ċ$446), "", 'Data Entry'!$ċ$446)</f>
      </c>
      <c r="GV446">
        <f>IF(ISBLANK('Data Entry'!$Č$446), "", 'Data Entry'!$Č$446)</f>
      </c>
      <c r="GW446">
        <f>IF(ISBLANK('Data Entry'!$č$446), "", 'Data Entry'!$č$446)</f>
      </c>
      <c r="GX446">
        <f>IF(ISBLANK('Data Entry'!$Ď$446), "", 'Data Entry'!$Ď$446)</f>
      </c>
      <c r="GY446">
        <f>IF(ISBLANK('Data Entry'!$ď$446), "", 'Data Entry'!$ď$446)</f>
      </c>
      <c r="GZ446">
        <f>IF(ISBLANK('Data Entry'!$Đ$446), "", 'Data Entry'!$Đ$446)</f>
      </c>
      <c r="HA446">
        <f>IF(ISBLANK('Data Entry'!$đ$446), "", 'Data Entry'!$đ$446)</f>
      </c>
      <c r="HB446">
        <f>IF(ISBLANK('Data Entry'!$Ē$446), "", 'Data Entry'!$Ē$446)</f>
      </c>
      <c r="HC446">
        <f>IF(ISBLANK('Data Entry'!$ē$446), "", 'Data Entry'!$ē$446)</f>
      </c>
      <c r="HD446">
        <f>IF(ISBLANK('Data Entry'!$Ĕ$446), "", 'Data Entry'!$Ĕ$446)</f>
      </c>
      <c r="HE446">
        <f>IF(ISBLANK('Data Entry'!$ĕ$446), "", 'Data Entry'!$ĕ$446)</f>
      </c>
      <c r="HF446">
        <f>IF(ISBLANK('Data Entry'!$Ė$446), "", 'Data Entry'!$Ė$446)</f>
      </c>
      <c r="HG446">
        <f>IF(ISBLANK('Data Entry'!$ė$446), "", 'Data Entry'!$ė$446)</f>
      </c>
      <c r="HH446">
        <f>IF(ISBLANK('Data Entry'!$Ę$446), "", 'Data Entry'!$Ę$446)</f>
      </c>
      <c r="HI446">
        <f>IF(ISBLANK('Data Entry'!$ę$446), "", 'Data Entry'!$ę$446)</f>
      </c>
      <c r="HJ446">
        <f>IF(ISBLANK('Data Entry'!$Ě$446), "", 'Data Entry'!$Ě$446)</f>
      </c>
      <c r="HK446">
        <f>IF(ISBLANK('Data Entry'!$ě$446), "", 'Data Entry'!$ě$446)</f>
      </c>
      <c r="HL446">
        <f>IF(ISBLANK('Data Entry'!$Ĝ$446), "", 'Data Entry'!$Ĝ$446)</f>
      </c>
      <c r="HM446">
        <f>IF(ISBLANK('Data Entry'!$ĝ$446), "", 'Data Entry'!$ĝ$446)</f>
      </c>
      <c r="HN446">
        <f>IF(ISBLANK('Data Entry'!$Ğ$446), "", 'Data Entry'!$Ğ$446)</f>
      </c>
      <c r="HO446">
        <f>IF(ISBLANK('Data Entry'!$ğ$446), "", 'Data Entry'!$ğ$446)</f>
      </c>
      <c r="HP446">
        <f>IF(ISBLANK('Data Entry'!$Ġ$446), "", 'Data Entry'!$Ġ$446)</f>
      </c>
      <c r="HQ446">
        <f>IF(ISBLANK('Data Entry'!$ġ$446), "", 'Data Entry'!$ġ$446)</f>
      </c>
      <c r="HR446">
        <f>IF(ISBLANK('Data Entry'!$Ģ$446), "", 'Data Entry'!$Ģ$446)</f>
      </c>
      <c r="HS446">
        <f>IF(ISBLANK('Data Entry'!$ģ$446), "", 'Data Entry'!$ģ$446)</f>
      </c>
      <c r="HT446">
        <f>IF(ISBLANK('Data Entry'!$Ĥ$446), "", 'Data Entry'!$Ĥ$446)</f>
      </c>
      <c r="HU446">
        <f>IF(ISBLANK('Data Entry'!$ĥ$446), "", 'Data Entry'!$ĥ$446)</f>
      </c>
      <c r="HV446">
        <f>IF(ISBLANK('Data Entry'!$Ħ$446), "", 'Data Entry'!$Ħ$446)</f>
      </c>
      <c r="HW446">
        <f>IF(ISBLANK('Data Entry'!$ħ$446), "", 'Data Entry'!$ħ$446)</f>
      </c>
      <c r="HX446">
        <f>IF(ISBLANK('Data Entry'!$Ĩ$446), "", 'Data Entry'!$Ĩ$446)</f>
      </c>
      <c r="HY446">
        <f>IF(ISBLANK('Data Entry'!$ĩ$446), "", 'Data Entry'!$ĩ$446)</f>
      </c>
      <c r="HZ446">
        <f>IF(ISBLANK('Data Entry'!$Ī$446), "", 'Data Entry'!$Ī$446)</f>
      </c>
      <c r="IA446">
        <f>IF(ISBLANK('Data Entry'!$ī$446), "", 'Data Entry'!$ī$446)</f>
      </c>
      <c r="IB446">
        <f>IF(ISBLANK('Data Entry'!$Ĭ$446), "", 'Data Entry'!$Ĭ$446)</f>
      </c>
      <c r="IC446">
        <f>IF(ISBLANK('Data Entry'!$ĭ$446), "", 'Data Entry'!$ĭ$446)</f>
      </c>
      <c r="ID446">
        <f>IF(ISBLANK('Data Entry'!$Į$446), "", 'Data Entry'!$Į$446)</f>
      </c>
      <c r="IE446">
        <f>IF(ISBLANK('Data Entry'!$į$446), "", 'Data Entry'!$į$446)</f>
      </c>
      <c r="IF446">
        <f>IF(ISBLANK('Data Entry'!$İ$446), "", 'Data Entry'!$İ$446)</f>
      </c>
      <c r="IG446">
        <f>IF(ISBLANK('Data Entry'!$ı$446), "", 'Data Entry'!$ı$446)</f>
      </c>
      <c r="IH446">
        <f>IF(ISBLANK('Data Entry'!$Ĳ$446), "", 'Data Entry'!$Ĳ$446)</f>
      </c>
      <c r="II446">
        <f>IF(ISBLANK('Data Entry'!$ĳ$446), "", 'Data Entry'!$ĳ$446)</f>
      </c>
      <c r="IJ446">
        <f>IF(ISBLANK('Data Entry'!$Ĵ$446), "", 'Data Entry'!$Ĵ$446)</f>
      </c>
      <c r="IK446">
        <f>IF(ISBLANK('Data Entry'!$ĵ$446), "", 'Data Entry'!$ĵ$446)</f>
      </c>
      <c r="IL446">
        <f>IF(ISBLANK('Data Entry'!$Ķ$446), "", 'Data Entry'!$Ķ$446)</f>
      </c>
      <c r="IM446">
        <f>IF(ISBLANK('Data Entry'!$ķ$446), "", 'Data Entry'!$ķ$446)</f>
      </c>
      <c r="IN446">
        <f>IF(ISBLANK('Data Entry'!$ĸ$446), "", 'Data Entry'!$ĸ$446)</f>
      </c>
      <c r="IO446">
        <f>IF(ISBLANK('Data Entry'!$Ĺ$446), "", 'Data Entry'!$Ĺ$446)</f>
      </c>
      <c r="IP446">
        <f>IF(ISBLANK('Data Entry'!$ĺ$446), "", 'Data Entry'!$ĺ$446)</f>
      </c>
      <c r="IQ446">
        <f>IF(ISBLANK('Data Entry'!$Ļ$446), "", 'Data Entry'!$Ļ$446)</f>
      </c>
      <c r="IR446">
        <f>IF(ISBLANK('Data Entry'!$ļ$446), "", 'Data Entry'!$ļ$446)</f>
      </c>
      <c r="IS446">
        <f>IF(ISBLANK('Data Entry'!$Ľ$446), "", 'Data Entry'!$Ľ$446)</f>
      </c>
      <c r="IT446">
        <f>IF(ISBLANK('Data Entry'!$ľ$446), "", 'Data Entry'!$ľ$446)</f>
      </c>
    </row>
    <row r="447" spans="1:254" x14ac:dyDescent="0.25">
      <c r="A447">
        <f>IF(ISBLANK('Data Entry'!$A$447), "", 'Data Entry'!$A$447)</f>
      </c>
      <c r="B447">
        <f>IF(ISBLANK('Data Entry'!$B$447), "", 'Data Entry'!$B$447)</f>
      </c>
      <c r="C447">
        <f>IF(ISBLANK('Data Entry'!$C$447), "", 'Data Entry'!$C$447)</f>
      </c>
      <c r="D447">
        <f>IF(ISBLANK('Data Entry'!$D$447), "", 'Data Entry'!$D$447)</f>
      </c>
      <c r="E447">
        <f>IF(ISBLANK('Data Entry'!$E$447), "", 'Data Entry'!$E$447)</f>
      </c>
      <c r="F447">
        <f>IF(ISBLANK('Data Entry'!$F$447), "", 'Data Entry'!$F$447)</f>
      </c>
      <c r="G447">
        <f>IF(ISBLANK('Data Entry'!$G$447), "", 'Data Entry'!$G$447)</f>
      </c>
      <c r="H447">
        <f>IF(ISBLANK('Data Entry'!$H$447), "", 'Data Entry'!$H$447)</f>
      </c>
      <c r="I447">
        <f>IF(ISBLANK('Data Entry'!$I$447), "", 'Data Entry'!$I$447)</f>
      </c>
      <c r="J447">
        <f>IF(ISBLANK('Data Entry'!$J$447), "", 'Data Entry'!$J$447)</f>
      </c>
      <c r="K447">
        <f>IF(ISBLANK('Data Entry'!$K$447), "", 'Data Entry'!$K$447)</f>
      </c>
      <c r="L447">
        <f>IF(ISBLANK('Data Entry'!$L$447), "", 'Data Entry'!$L$447)</f>
      </c>
      <c r="M447">
        <f>IF(ISBLANK('Data Entry'!$M$447), "", 'Data Entry'!$M$447)</f>
      </c>
      <c r="N447">
        <f>IF(ISBLANK('Data Entry'!$N$447), "", 'Data Entry'!$N$447)</f>
      </c>
      <c r="O447">
        <f>IF(ISBLANK('Data Entry'!$O$447), "", 'Data Entry'!$O$447)</f>
      </c>
      <c r="P447">
        <f>IF(ISBLANK('Data Entry'!$P$447), "", 'Data Entry'!$P$447)</f>
      </c>
      <c r="Q447">
        <f>IF(ISBLANK('Data Entry'!$Q$447), "", 'Data Entry'!$Q$447)</f>
      </c>
      <c r="R447">
        <f>IF(ISBLANK('Data Entry'!$R$447), "", 'Data Entry'!$R$447)</f>
      </c>
      <c r="S447">
        <f>IF(ISBLANK('Data Entry'!$S$447), "", 'Data Entry'!$S$447)</f>
      </c>
      <c r="T447">
        <f>IF(ISBLANK('Data Entry'!$T$447), "", 'Data Entry'!$T$447)</f>
      </c>
      <c r="U447">
        <f>IF(ISBLANK('Data Entry'!$U$447), "", 'Data Entry'!$U$447)</f>
      </c>
      <c r="V447">
        <f>IF(ISBLANK('Data Entry'!$V$447), "", 'Data Entry'!$V$447)</f>
      </c>
      <c r="W447">
        <f>IF(ISBLANK('Data Entry'!$W$447), "", 'Data Entry'!$W$447)</f>
      </c>
      <c r="X447">
        <f>IF(ISBLANK('Data Entry'!$X$447), "", 'Data Entry'!$X$447)</f>
      </c>
      <c r="Y447">
        <f>IF(ISBLANK('Data Entry'!$Y$447), "", 'Data Entry'!$Y$447)</f>
      </c>
      <c r="Z447">
        <f>IF(ISBLANK('Data Entry'!$Z$447), "", 'Data Entry'!$Z$447)</f>
      </c>
      <c r="AA447">
        <f>IF(ISBLANK('Data Entry'!$[$447), "", 'Data Entry'!$[$447)</f>
      </c>
      <c r="AB447">
        <f>IF(ISBLANK('Data Entry'!$\$447), "", 'Data Entry'!$\$447)</f>
      </c>
      <c r="AC447">
        <f>IF(ISBLANK('Data Entry'!$]$447), "", 'Data Entry'!$]$447)</f>
      </c>
      <c r="AD447">
        <f>IF(ISBLANK('Data Entry'!$^$447), "", 'Data Entry'!$^$447)</f>
      </c>
      <c r="AE447">
        <f>IF(ISBLANK('Data Entry'!$_$447), "", 'Data Entry'!$_$447)</f>
      </c>
      <c r="AF447">
        <f>IF(ISBLANK('Data Entry'!$`$447), "", 'Data Entry'!$`$447)</f>
      </c>
      <c r="AG447">
        <f>IF(ISBLANK('Data Entry'!$a$447), "", 'Data Entry'!$a$447)</f>
      </c>
      <c r="AH447">
        <f>IF(ISBLANK('Data Entry'!$b$447), "", 'Data Entry'!$b$447)</f>
      </c>
      <c r="AI447">
        <f>IF(ISBLANK('Data Entry'!$c$447), "", 'Data Entry'!$c$447)</f>
      </c>
      <c r="AJ447">
        <f>IF(ISBLANK('Data Entry'!$d$447), "", 'Data Entry'!$d$447)</f>
      </c>
      <c r="AK447">
        <f>IF(ISBLANK('Data Entry'!$e$447), "", 'Data Entry'!$e$447)</f>
      </c>
      <c r="AL447">
        <f>IF(ISBLANK('Data Entry'!$f$447), "", 'Data Entry'!$f$447)</f>
      </c>
      <c r="AM447">
        <f>IF(ISBLANK('Data Entry'!$g$447), "", 'Data Entry'!$g$447)</f>
      </c>
      <c r="AN447">
        <f>IF(ISBLANK('Data Entry'!$h$447), "", 'Data Entry'!$h$447)</f>
      </c>
      <c r="AO447">
        <f>IF(ISBLANK('Data Entry'!$i$447), "", 'Data Entry'!$i$447)</f>
      </c>
      <c r="AP447">
        <f>IF(ISBLANK('Data Entry'!$j$447), "", 'Data Entry'!$j$447)</f>
      </c>
      <c r="AQ447">
        <f>IF(ISBLANK('Data Entry'!$k$447), "", 'Data Entry'!$k$447)</f>
      </c>
      <c r="AR447">
        <f>IF(ISBLANK('Data Entry'!$l$447), "", 'Data Entry'!$l$447)</f>
      </c>
      <c r="AS447">
        <f>IF(ISBLANK('Data Entry'!$m$447), "", 'Data Entry'!$m$447)</f>
      </c>
      <c r="AT447">
        <f>IF(ISBLANK('Data Entry'!$n$447), "", 'Data Entry'!$n$447)</f>
      </c>
      <c r="AU447">
        <f>IF(ISBLANK('Data Entry'!$o$447), "", 'Data Entry'!$o$447)</f>
      </c>
      <c r="AV447">
        <f>IF(ISBLANK('Data Entry'!$p$447), "", 'Data Entry'!$p$447)</f>
      </c>
      <c r="AW447">
        <f>IF(ISBLANK('Data Entry'!$q$447), "", 'Data Entry'!$q$447)</f>
      </c>
      <c r="AX447">
        <f>IF(ISBLANK('Data Entry'!$r$447), "", 'Data Entry'!$r$447)</f>
      </c>
      <c r="AY447">
        <f>IF(ISBLANK('Data Entry'!$s$447), "", 'Data Entry'!$s$447)</f>
      </c>
      <c r="AZ447">
        <f>IF(ISBLANK('Data Entry'!$t$447), "", 'Data Entry'!$t$447)</f>
      </c>
      <c r="BA447">
        <f>IF(ISBLANK('Data Entry'!$u$447), "", 'Data Entry'!$u$447)</f>
      </c>
      <c r="BB447">
        <f>IF(ISBLANK('Data Entry'!$v$447), "", 'Data Entry'!$v$447)</f>
      </c>
      <c r="BC447">
        <f>IF(ISBLANK('Data Entry'!$w$447), "", 'Data Entry'!$w$447)</f>
      </c>
      <c r="BD447">
        <f>IF(ISBLANK('Data Entry'!$x$447), "", 'Data Entry'!$x$447)</f>
      </c>
      <c r="BE447">
        <f>IF(ISBLANK('Data Entry'!$y$447), "", 'Data Entry'!$y$447)</f>
      </c>
      <c r="BF447">
        <f>IF(ISBLANK('Data Entry'!$z$447), "", 'Data Entry'!$z$447)</f>
      </c>
      <c r="BG447">
        <f>IF(ISBLANK('Data Entry'!${$447), "", 'Data Entry'!${$447)</f>
      </c>
      <c r="BH447">
        <f>IF(ISBLANK('Data Entry'!$|$447), "", 'Data Entry'!$|$447)</f>
      </c>
      <c r="BI447">
        <f>IF(ISBLANK('Data Entry'!$}$447), "", 'Data Entry'!$}$447)</f>
      </c>
      <c r="BJ447">
        <f>IF(ISBLANK('Data Entry'!$~$447), "", 'Data Entry'!$~$447)</f>
      </c>
      <c r="BK447">
        <f>IF(ISBLANK('Data Entry'!$$447), "", 'Data Entry'!$$447)</f>
      </c>
      <c r="BL447">
        <f>IF(ISBLANK('Data Entry'!$$447), "", 'Data Entry'!$$447)</f>
      </c>
      <c r="BM447">
        <f>IF(ISBLANK('Data Entry'!$$447), "", 'Data Entry'!$$447)</f>
      </c>
      <c r="BN447">
        <f>IF(ISBLANK('Data Entry'!$$447), "", 'Data Entry'!$$447)</f>
      </c>
      <c r="BO447">
        <f>IF(ISBLANK('Data Entry'!$$447), "", 'Data Entry'!$$447)</f>
      </c>
      <c r="BP447">
        <f>IF(ISBLANK('Data Entry'!$$447), "", 'Data Entry'!$$447)</f>
      </c>
      <c r="BQ447">
        <f>IF(ISBLANK('Data Entry'!$$447), "", 'Data Entry'!$$447)</f>
      </c>
      <c r="BR447">
        <f>IF(ISBLANK('Data Entry'!$$447), "", 'Data Entry'!$$447)</f>
      </c>
      <c r="BS447">
        <f>IF(ISBLANK('Data Entry'!$$447), "", 'Data Entry'!$$447)</f>
      </c>
      <c r="BT447">
        <f>IF(ISBLANK('Data Entry'!$$447), "", 'Data Entry'!$$447)</f>
      </c>
      <c r="BU447">
        <f>IF(ISBLANK('Data Entry'!$$447), "", 'Data Entry'!$$447)</f>
      </c>
      <c r="BV447">
        <f>IF(ISBLANK('Data Entry'!$$447), "", 'Data Entry'!$$447)</f>
      </c>
      <c r="BW447">
        <f>IF(ISBLANK('Data Entry'!$$447), "", 'Data Entry'!$$447)</f>
      </c>
      <c r="BX447">
        <f>IF(ISBLANK('Data Entry'!$$447), "", 'Data Entry'!$$447)</f>
      </c>
      <c r="BY447">
        <f>IF(ISBLANK('Data Entry'!$$447), "", 'Data Entry'!$$447)</f>
      </c>
      <c r="BZ447">
        <f>IF(ISBLANK('Data Entry'!$$447), "", 'Data Entry'!$$447)</f>
      </c>
      <c r="CA447">
        <f>IF(ISBLANK('Data Entry'!$$447), "", 'Data Entry'!$$447)</f>
      </c>
      <c r="CB447">
        <f>IF(ISBLANK('Data Entry'!$$447), "", 'Data Entry'!$$447)</f>
      </c>
      <c r="CC447">
        <f>IF(ISBLANK('Data Entry'!$$447), "", 'Data Entry'!$$447)</f>
      </c>
      <c r="CD447">
        <f>IF(ISBLANK('Data Entry'!$$447), "", 'Data Entry'!$$447)</f>
      </c>
      <c r="CE447">
        <f>IF(ISBLANK('Data Entry'!$$447), "", 'Data Entry'!$$447)</f>
      </c>
      <c r="CF447">
        <f>IF(ISBLANK('Data Entry'!$$447), "", 'Data Entry'!$$447)</f>
      </c>
      <c r="CG447">
        <f>IF(ISBLANK('Data Entry'!$$447), "", 'Data Entry'!$$447)</f>
      </c>
      <c r="CH447">
        <f>IF(ISBLANK('Data Entry'!$$447), "", 'Data Entry'!$$447)</f>
      </c>
      <c r="CI447">
        <f>IF(ISBLANK('Data Entry'!$$447), "", 'Data Entry'!$$447)</f>
      </c>
      <c r="CJ447">
        <f>IF(ISBLANK('Data Entry'!$$447), "", 'Data Entry'!$$447)</f>
      </c>
      <c r="CK447">
        <f>IF(ISBLANK('Data Entry'!$$447), "", 'Data Entry'!$$447)</f>
      </c>
      <c r="CL447">
        <f>IF(ISBLANK('Data Entry'!$$447), "", 'Data Entry'!$$447)</f>
      </c>
      <c r="CM447">
        <f>IF(ISBLANK('Data Entry'!$$447), "", 'Data Entry'!$$447)</f>
      </c>
      <c r="CN447">
        <f>IF(ISBLANK('Data Entry'!$$447), "", 'Data Entry'!$$447)</f>
      </c>
      <c r="CO447">
        <f>IF(ISBLANK('Data Entry'!$$447), "", 'Data Entry'!$$447)</f>
      </c>
      <c r="CP447">
        <f>IF(ISBLANK('Data Entry'!$$447), "", 'Data Entry'!$$447)</f>
      </c>
      <c r="CQ447">
        <f>IF(ISBLANK('Data Entry'!$$447), "", 'Data Entry'!$$447)</f>
      </c>
      <c r="CR447">
        <f>IF(ISBLANK('Data Entry'!$ $447), "", 'Data Entry'!$ $447)</f>
      </c>
      <c r="CS447">
        <f>IF(ISBLANK('Data Entry'!$¡$447), "", 'Data Entry'!$¡$447)</f>
      </c>
      <c r="CT447">
        <f>IF(ISBLANK('Data Entry'!$¢$447), "", 'Data Entry'!$¢$447)</f>
      </c>
      <c r="CU447">
        <f>IF(ISBLANK('Data Entry'!$£$447), "", 'Data Entry'!$£$447)</f>
      </c>
      <c r="CV447">
        <f>IF(ISBLANK('Data Entry'!$¤$447), "", 'Data Entry'!$¤$447)</f>
      </c>
      <c r="CW447">
        <f>IF(ISBLANK('Data Entry'!$¥$447), "", 'Data Entry'!$¥$447)</f>
      </c>
      <c r="CX447">
        <f>IF(ISBLANK('Data Entry'!$¦$447), "", 'Data Entry'!$¦$447)</f>
      </c>
      <c r="CY447">
        <f>IF(ISBLANK('Data Entry'!$§$447), "", 'Data Entry'!$§$447)</f>
      </c>
      <c r="CZ447">
        <f>IF(ISBLANK('Data Entry'!$¨$447), "", 'Data Entry'!$¨$447)</f>
      </c>
      <c r="DA447">
        <f>IF(ISBLANK('Data Entry'!$©$447), "", 'Data Entry'!$©$447)</f>
      </c>
      <c r="DB447">
        <f>IF(ISBLANK('Data Entry'!$ª$447), "", 'Data Entry'!$ª$447)</f>
      </c>
      <c r="DC447">
        <f>IF(ISBLANK('Data Entry'!$«$447), "", 'Data Entry'!$«$447)</f>
      </c>
      <c r="DD447">
        <f>IF(ISBLANK('Data Entry'!$¬$447), "", 'Data Entry'!$¬$447)</f>
      </c>
      <c r="DE447">
        <f>IF(ISBLANK('Data Entry'!$­$447), "", 'Data Entry'!$­$447)</f>
      </c>
      <c r="DF447">
        <f>IF(ISBLANK('Data Entry'!$®$447), "", 'Data Entry'!$®$447)</f>
      </c>
      <c r="DG447">
        <f>IF(ISBLANK('Data Entry'!$¯$447), "", 'Data Entry'!$¯$447)</f>
      </c>
      <c r="DH447">
        <f>IF(ISBLANK('Data Entry'!$°$447), "", 'Data Entry'!$°$447)</f>
      </c>
      <c r="DI447">
        <f>IF(ISBLANK('Data Entry'!$±$447), "", 'Data Entry'!$±$447)</f>
      </c>
      <c r="DJ447">
        <f>IF(ISBLANK('Data Entry'!$²$447), "", 'Data Entry'!$²$447)</f>
      </c>
      <c r="DK447">
        <f>IF(ISBLANK('Data Entry'!$³$447), "", 'Data Entry'!$³$447)</f>
      </c>
      <c r="DL447">
        <f>IF(ISBLANK('Data Entry'!$´$447), "", 'Data Entry'!$´$447)</f>
      </c>
      <c r="DM447">
        <f>IF(ISBLANK('Data Entry'!$µ$447), "", 'Data Entry'!$µ$447)</f>
      </c>
      <c r="DN447">
        <f>IF(ISBLANK('Data Entry'!$¶$447), "", 'Data Entry'!$¶$447)</f>
      </c>
      <c r="DO447">
        <f>IF(ISBLANK('Data Entry'!$·$447), "", 'Data Entry'!$·$447)</f>
      </c>
      <c r="DP447">
        <f>IF(ISBLANK('Data Entry'!$¸$447), "", 'Data Entry'!$¸$447)</f>
      </c>
      <c r="DQ447">
        <f>IF(ISBLANK('Data Entry'!$¹$447), "", 'Data Entry'!$¹$447)</f>
      </c>
      <c r="DR447">
        <f>IF(ISBLANK('Data Entry'!$º$447), "", 'Data Entry'!$º$447)</f>
      </c>
      <c r="DS447">
        <f>IF(ISBLANK('Data Entry'!$»$447), "", 'Data Entry'!$»$447)</f>
      </c>
      <c r="DT447">
        <f>IF(ISBLANK('Data Entry'!$¼$447), "", 'Data Entry'!$¼$447)</f>
      </c>
      <c r="DU447">
        <f>IF(ISBLANK('Data Entry'!$½$447), "", 'Data Entry'!$½$447)</f>
      </c>
      <c r="DV447">
        <f>IF(ISBLANK('Data Entry'!$¾$447), "", 'Data Entry'!$¾$447)</f>
      </c>
      <c r="DW447">
        <f>IF(ISBLANK('Data Entry'!$¿$447), "", 'Data Entry'!$¿$447)</f>
      </c>
      <c r="DX447">
        <f>IF(ISBLANK('Data Entry'!$À$447), "", 'Data Entry'!$À$447)</f>
      </c>
      <c r="DY447">
        <f>IF(ISBLANK('Data Entry'!$Á$447), "", 'Data Entry'!$Á$447)</f>
      </c>
      <c r="DZ447">
        <f>IF(ISBLANK('Data Entry'!$Â$447), "", 'Data Entry'!$Â$447)</f>
      </c>
      <c r="EA447">
        <f>IF(ISBLANK('Data Entry'!$Ã$447), "", 'Data Entry'!$Ã$447)</f>
      </c>
      <c r="EB447">
        <f>IF(ISBLANK('Data Entry'!$Ä$447), "", 'Data Entry'!$Ä$447)</f>
      </c>
      <c r="EC447">
        <f>IF(ISBLANK('Data Entry'!$Å$447), "", 'Data Entry'!$Å$447)</f>
      </c>
      <c r="ED447">
        <f>IF(ISBLANK('Data Entry'!$Æ$447), "", 'Data Entry'!$Æ$447)</f>
      </c>
      <c r="EE447">
        <f>IF(ISBLANK('Data Entry'!$Ç$447), "", 'Data Entry'!$Ç$447)</f>
      </c>
      <c r="EF447">
        <f>IF(ISBLANK('Data Entry'!$È$447), "", 'Data Entry'!$È$447)</f>
      </c>
      <c r="EG447">
        <f>IF(ISBLANK('Data Entry'!$É$447), "", 'Data Entry'!$É$447)</f>
      </c>
      <c r="EH447">
        <f>IF(ISBLANK('Data Entry'!$Ê$447), "", 'Data Entry'!$Ê$447)</f>
      </c>
      <c r="EI447">
        <f>IF(ISBLANK('Data Entry'!$Ë$447), "", 'Data Entry'!$Ë$447)</f>
      </c>
      <c r="EJ447">
        <f>IF(ISBLANK('Data Entry'!$Ì$447), "", 'Data Entry'!$Ì$447)</f>
      </c>
      <c r="EK447">
        <f>IF(ISBLANK('Data Entry'!$Í$447), "", 'Data Entry'!$Í$447)</f>
      </c>
      <c r="EL447">
        <f>IF(ISBLANK('Data Entry'!$Î$447), "", 'Data Entry'!$Î$447)</f>
      </c>
      <c r="EM447">
        <f>IF(ISBLANK('Data Entry'!$Ï$447), "", 'Data Entry'!$Ï$447)</f>
      </c>
      <c r="EN447">
        <f>IF(ISBLANK('Data Entry'!$Ð$447), "", 'Data Entry'!$Ð$447)</f>
      </c>
      <c r="EO447">
        <f>IF(ISBLANK('Data Entry'!$Ñ$447), "", 'Data Entry'!$Ñ$447)</f>
      </c>
      <c r="EP447">
        <f>IF(ISBLANK('Data Entry'!$Ò$447), "", 'Data Entry'!$Ò$447)</f>
      </c>
      <c r="EQ447">
        <f>IF(ISBLANK('Data Entry'!$Ó$447), "", 'Data Entry'!$Ó$447)</f>
      </c>
      <c r="ER447">
        <f>IF(ISBLANK('Data Entry'!$Ô$447), "", 'Data Entry'!$Ô$447)</f>
      </c>
      <c r="ES447">
        <f>IF(ISBLANK('Data Entry'!$Õ$447), "", 'Data Entry'!$Õ$447)</f>
      </c>
      <c r="ET447">
        <f>IF(ISBLANK('Data Entry'!$Ö$447), "", 'Data Entry'!$Ö$447)</f>
      </c>
      <c r="EU447">
        <f>IF(ISBLANK('Data Entry'!$×$447), "", 'Data Entry'!$×$447)</f>
      </c>
      <c r="EV447">
        <f>IF(ISBLANK('Data Entry'!$Ø$447), "", 'Data Entry'!$Ø$447)</f>
      </c>
      <c r="EW447">
        <f>IF(ISBLANK('Data Entry'!$Ù$447), "", 'Data Entry'!$Ù$447)</f>
      </c>
      <c r="EX447">
        <f>IF(ISBLANK('Data Entry'!$Ú$447), "", 'Data Entry'!$Ú$447)</f>
      </c>
      <c r="EY447">
        <f>IF(ISBLANK('Data Entry'!$Û$447), "", 'Data Entry'!$Û$447)</f>
      </c>
      <c r="EZ447">
        <f>IF(ISBLANK('Data Entry'!$Ü$447), "", 'Data Entry'!$Ü$447)</f>
      </c>
      <c r="FA447">
        <f>IF(ISBLANK('Data Entry'!$Ý$447), "", 'Data Entry'!$Ý$447)</f>
      </c>
      <c r="FB447">
        <f>IF(ISBLANK('Data Entry'!$Þ$447), "", 'Data Entry'!$Þ$447)</f>
      </c>
      <c r="FC447">
        <f>IF(ISBLANK('Data Entry'!$ß$447), "", 'Data Entry'!$ß$447)</f>
      </c>
      <c r="FD447">
        <f>IF(ISBLANK('Data Entry'!$à$447), "", 'Data Entry'!$à$447)</f>
      </c>
      <c r="FE447">
        <f>IF(ISBLANK('Data Entry'!$á$447), "", 'Data Entry'!$á$447)</f>
      </c>
      <c r="FF447">
        <f>IF(ISBLANK('Data Entry'!$â$447), "", 'Data Entry'!$â$447)</f>
      </c>
      <c r="FG447">
        <f>IF(ISBLANK('Data Entry'!$ã$447), "", 'Data Entry'!$ã$447)</f>
      </c>
      <c r="FH447">
        <f>IF(ISBLANK('Data Entry'!$ä$447), "", 'Data Entry'!$ä$447)</f>
      </c>
      <c r="FI447">
        <f>IF(ISBLANK('Data Entry'!$å$447), "", 'Data Entry'!$å$447)</f>
      </c>
      <c r="FJ447">
        <f>IF(ISBLANK('Data Entry'!$æ$447), "", 'Data Entry'!$æ$447)</f>
      </c>
      <c r="FK447">
        <f>IF(ISBLANK('Data Entry'!$ç$447), "", 'Data Entry'!$ç$447)</f>
      </c>
      <c r="FL447">
        <f>IF(ISBLANK('Data Entry'!$è$447), "", 'Data Entry'!$è$447)</f>
      </c>
      <c r="FM447">
        <f>IF(ISBLANK('Data Entry'!$é$447), "", 'Data Entry'!$é$447)</f>
      </c>
      <c r="FN447">
        <f>IF(ISBLANK('Data Entry'!$ê$447), "", 'Data Entry'!$ê$447)</f>
      </c>
      <c r="FO447">
        <f>IF(ISBLANK('Data Entry'!$ë$447), "", 'Data Entry'!$ë$447)</f>
      </c>
      <c r="FP447">
        <f>IF(ISBLANK('Data Entry'!$ì$447), "", 'Data Entry'!$ì$447)</f>
      </c>
      <c r="FQ447">
        <f>IF(ISBLANK('Data Entry'!$í$447), "", 'Data Entry'!$í$447)</f>
      </c>
      <c r="FR447">
        <f>IF(ISBLANK('Data Entry'!$î$447), "", 'Data Entry'!$î$447)</f>
      </c>
      <c r="FS447">
        <f>IF(ISBLANK('Data Entry'!$ï$447), "", 'Data Entry'!$ï$447)</f>
      </c>
      <c r="FT447">
        <f>IF(ISBLANK('Data Entry'!$ð$447), "", 'Data Entry'!$ð$447)</f>
      </c>
      <c r="FU447">
        <f>IF(ISBLANK('Data Entry'!$ñ$447), "", 'Data Entry'!$ñ$447)</f>
      </c>
      <c r="FV447">
        <f>IF(ISBLANK('Data Entry'!$ò$447), "", 'Data Entry'!$ò$447)</f>
      </c>
      <c r="FW447">
        <f>IF(ISBLANK('Data Entry'!$ó$447), "", 'Data Entry'!$ó$447)</f>
      </c>
      <c r="FX447">
        <f>IF(ISBLANK('Data Entry'!$ô$447), "", 'Data Entry'!$ô$447)</f>
      </c>
      <c r="FY447">
        <f>IF(ISBLANK('Data Entry'!$õ$447), "", 'Data Entry'!$õ$447)</f>
      </c>
      <c r="FZ447">
        <f>IF(ISBLANK('Data Entry'!$ö$447), "", 'Data Entry'!$ö$447)</f>
      </c>
      <c r="GA447">
        <f>IF(ISBLANK('Data Entry'!$÷$447), "", 'Data Entry'!$÷$447)</f>
      </c>
      <c r="GB447">
        <f>IF(ISBLANK('Data Entry'!$ø$447), "", 'Data Entry'!$ø$447)</f>
      </c>
      <c r="GC447">
        <f>IF(ISBLANK('Data Entry'!$ù$447), "", 'Data Entry'!$ù$447)</f>
      </c>
      <c r="GD447">
        <f>IF(ISBLANK('Data Entry'!$ú$447), "", 'Data Entry'!$ú$447)</f>
      </c>
      <c r="GE447">
        <f>IF(ISBLANK('Data Entry'!$û$447), "", 'Data Entry'!$û$447)</f>
      </c>
      <c r="GF447">
        <f>IF(ISBLANK('Data Entry'!$ü$447), "", 'Data Entry'!$ü$447)</f>
      </c>
      <c r="GG447">
        <f>IF(ISBLANK('Data Entry'!$ý$447), "", 'Data Entry'!$ý$447)</f>
      </c>
      <c r="GH447">
        <f>IF(ISBLANK('Data Entry'!$þ$447), "", 'Data Entry'!$þ$447)</f>
      </c>
      <c r="GI447">
        <f>IF(ISBLANK('Data Entry'!$ÿ$447), "", 'Data Entry'!$ÿ$447)</f>
      </c>
      <c r="GJ447">
        <f>IF(ISBLANK('Data Entry'!$Ā$447), "", 'Data Entry'!$Ā$447)</f>
      </c>
      <c r="GK447">
        <f>IF(ISBLANK('Data Entry'!$ā$447), "", 'Data Entry'!$ā$447)</f>
      </c>
      <c r="GL447">
        <f>IF(ISBLANK('Data Entry'!$Ă$447), "", 'Data Entry'!$Ă$447)</f>
      </c>
      <c r="GM447">
        <f>IF(ISBLANK('Data Entry'!$ă$447), "", 'Data Entry'!$ă$447)</f>
      </c>
      <c r="GN447">
        <f>IF(ISBLANK('Data Entry'!$Ą$447), "", 'Data Entry'!$Ą$447)</f>
      </c>
      <c r="GO447">
        <f>IF(ISBLANK('Data Entry'!$ą$447), "", 'Data Entry'!$ą$447)</f>
      </c>
      <c r="GP447">
        <f>IF(ISBLANK('Data Entry'!$Ć$447), "", 'Data Entry'!$Ć$447)</f>
      </c>
      <c r="GQ447">
        <f>IF(ISBLANK('Data Entry'!$ć$447), "", 'Data Entry'!$ć$447)</f>
      </c>
      <c r="GR447">
        <f>IF(ISBLANK('Data Entry'!$Ĉ$447), "", 'Data Entry'!$Ĉ$447)</f>
      </c>
      <c r="GS447">
        <f>IF(ISBLANK('Data Entry'!$ĉ$447), "", 'Data Entry'!$ĉ$447)</f>
      </c>
      <c r="GT447">
        <f>IF(ISBLANK('Data Entry'!$Ċ$447), "", 'Data Entry'!$Ċ$447)</f>
      </c>
      <c r="GU447">
        <f>IF(ISBLANK('Data Entry'!$ċ$447), "", 'Data Entry'!$ċ$447)</f>
      </c>
      <c r="GV447">
        <f>IF(ISBLANK('Data Entry'!$Č$447), "", 'Data Entry'!$Č$447)</f>
      </c>
      <c r="GW447">
        <f>IF(ISBLANK('Data Entry'!$č$447), "", 'Data Entry'!$č$447)</f>
      </c>
      <c r="GX447">
        <f>IF(ISBLANK('Data Entry'!$Ď$447), "", 'Data Entry'!$Ď$447)</f>
      </c>
      <c r="GY447">
        <f>IF(ISBLANK('Data Entry'!$ď$447), "", 'Data Entry'!$ď$447)</f>
      </c>
      <c r="GZ447">
        <f>IF(ISBLANK('Data Entry'!$Đ$447), "", 'Data Entry'!$Đ$447)</f>
      </c>
      <c r="HA447">
        <f>IF(ISBLANK('Data Entry'!$đ$447), "", 'Data Entry'!$đ$447)</f>
      </c>
      <c r="HB447">
        <f>IF(ISBLANK('Data Entry'!$Ē$447), "", 'Data Entry'!$Ē$447)</f>
      </c>
      <c r="HC447">
        <f>IF(ISBLANK('Data Entry'!$ē$447), "", 'Data Entry'!$ē$447)</f>
      </c>
      <c r="HD447">
        <f>IF(ISBLANK('Data Entry'!$Ĕ$447), "", 'Data Entry'!$Ĕ$447)</f>
      </c>
      <c r="HE447">
        <f>IF(ISBLANK('Data Entry'!$ĕ$447), "", 'Data Entry'!$ĕ$447)</f>
      </c>
      <c r="HF447">
        <f>IF(ISBLANK('Data Entry'!$Ė$447), "", 'Data Entry'!$Ė$447)</f>
      </c>
      <c r="HG447">
        <f>IF(ISBLANK('Data Entry'!$ė$447), "", 'Data Entry'!$ė$447)</f>
      </c>
      <c r="HH447">
        <f>IF(ISBLANK('Data Entry'!$Ę$447), "", 'Data Entry'!$Ę$447)</f>
      </c>
      <c r="HI447">
        <f>IF(ISBLANK('Data Entry'!$ę$447), "", 'Data Entry'!$ę$447)</f>
      </c>
      <c r="HJ447">
        <f>IF(ISBLANK('Data Entry'!$Ě$447), "", 'Data Entry'!$Ě$447)</f>
      </c>
      <c r="HK447">
        <f>IF(ISBLANK('Data Entry'!$ě$447), "", 'Data Entry'!$ě$447)</f>
      </c>
      <c r="HL447">
        <f>IF(ISBLANK('Data Entry'!$Ĝ$447), "", 'Data Entry'!$Ĝ$447)</f>
      </c>
      <c r="HM447">
        <f>IF(ISBLANK('Data Entry'!$ĝ$447), "", 'Data Entry'!$ĝ$447)</f>
      </c>
      <c r="HN447">
        <f>IF(ISBLANK('Data Entry'!$Ğ$447), "", 'Data Entry'!$Ğ$447)</f>
      </c>
      <c r="HO447">
        <f>IF(ISBLANK('Data Entry'!$ğ$447), "", 'Data Entry'!$ğ$447)</f>
      </c>
      <c r="HP447">
        <f>IF(ISBLANK('Data Entry'!$Ġ$447), "", 'Data Entry'!$Ġ$447)</f>
      </c>
      <c r="HQ447">
        <f>IF(ISBLANK('Data Entry'!$ġ$447), "", 'Data Entry'!$ġ$447)</f>
      </c>
      <c r="HR447">
        <f>IF(ISBLANK('Data Entry'!$Ģ$447), "", 'Data Entry'!$Ģ$447)</f>
      </c>
      <c r="HS447">
        <f>IF(ISBLANK('Data Entry'!$ģ$447), "", 'Data Entry'!$ģ$447)</f>
      </c>
      <c r="HT447">
        <f>IF(ISBLANK('Data Entry'!$Ĥ$447), "", 'Data Entry'!$Ĥ$447)</f>
      </c>
      <c r="HU447">
        <f>IF(ISBLANK('Data Entry'!$ĥ$447), "", 'Data Entry'!$ĥ$447)</f>
      </c>
      <c r="HV447">
        <f>IF(ISBLANK('Data Entry'!$Ħ$447), "", 'Data Entry'!$Ħ$447)</f>
      </c>
      <c r="HW447">
        <f>IF(ISBLANK('Data Entry'!$ħ$447), "", 'Data Entry'!$ħ$447)</f>
      </c>
      <c r="HX447">
        <f>IF(ISBLANK('Data Entry'!$Ĩ$447), "", 'Data Entry'!$Ĩ$447)</f>
      </c>
      <c r="HY447">
        <f>IF(ISBLANK('Data Entry'!$ĩ$447), "", 'Data Entry'!$ĩ$447)</f>
      </c>
      <c r="HZ447">
        <f>IF(ISBLANK('Data Entry'!$Ī$447), "", 'Data Entry'!$Ī$447)</f>
      </c>
      <c r="IA447">
        <f>IF(ISBLANK('Data Entry'!$ī$447), "", 'Data Entry'!$ī$447)</f>
      </c>
      <c r="IB447">
        <f>IF(ISBLANK('Data Entry'!$Ĭ$447), "", 'Data Entry'!$Ĭ$447)</f>
      </c>
      <c r="IC447">
        <f>IF(ISBLANK('Data Entry'!$ĭ$447), "", 'Data Entry'!$ĭ$447)</f>
      </c>
      <c r="ID447">
        <f>IF(ISBLANK('Data Entry'!$Į$447), "", 'Data Entry'!$Į$447)</f>
      </c>
      <c r="IE447">
        <f>IF(ISBLANK('Data Entry'!$į$447), "", 'Data Entry'!$į$447)</f>
      </c>
      <c r="IF447">
        <f>IF(ISBLANK('Data Entry'!$İ$447), "", 'Data Entry'!$İ$447)</f>
      </c>
      <c r="IG447">
        <f>IF(ISBLANK('Data Entry'!$ı$447), "", 'Data Entry'!$ı$447)</f>
      </c>
      <c r="IH447">
        <f>IF(ISBLANK('Data Entry'!$Ĳ$447), "", 'Data Entry'!$Ĳ$447)</f>
      </c>
      <c r="II447">
        <f>IF(ISBLANK('Data Entry'!$ĳ$447), "", 'Data Entry'!$ĳ$447)</f>
      </c>
      <c r="IJ447">
        <f>IF(ISBLANK('Data Entry'!$Ĵ$447), "", 'Data Entry'!$Ĵ$447)</f>
      </c>
      <c r="IK447">
        <f>IF(ISBLANK('Data Entry'!$ĵ$447), "", 'Data Entry'!$ĵ$447)</f>
      </c>
      <c r="IL447">
        <f>IF(ISBLANK('Data Entry'!$Ķ$447), "", 'Data Entry'!$Ķ$447)</f>
      </c>
      <c r="IM447">
        <f>IF(ISBLANK('Data Entry'!$ķ$447), "", 'Data Entry'!$ķ$447)</f>
      </c>
      <c r="IN447">
        <f>IF(ISBLANK('Data Entry'!$ĸ$447), "", 'Data Entry'!$ĸ$447)</f>
      </c>
      <c r="IO447">
        <f>IF(ISBLANK('Data Entry'!$Ĺ$447), "", 'Data Entry'!$Ĺ$447)</f>
      </c>
      <c r="IP447">
        <f>IF(ISBLANK('Data Entry'!$ĺ$447), "", 'Data Entry'!$ĺ$447)</f>
      </c>
      <c r="IQ447">
        <f>IF(ISBLANK('Data Entry'!$Ļ$447), "", 'Data Entry'!$Ļ$447)</f>
      </c>
      <c r="IR447">
        <f>IF(ISBLANK('Data Entry'!$ļ$447), "", 'Data Entry'!$ļ$447)</f>
      </c>
      <c r="IS447">
        <f>IF(ISBLANK('Data Entry'!$Ľ$447), "", 'Data Entry'!$Ľ$447)</f>
      </c>
      <c r="IT447">
        <f>IF(ISBLANK('Data Entry'!$ľ$447), "", 'Data Entry'!$ľ$447)</f>
      </c>
    </row>
    <row r="448" spans="1:254" x14ac:dyDescent="0.25">
      <c r="A448">
        <f>IF(ISBLANK('Data Entry'!$A$448), "", 'Data Entry'!$A$448)</f>
      </c>
      <c r="B448">
        <f>IF(ISBLANK('Data Entry'!$B$448), "", 'Data Entry'!$B$448)</f>
      </c>
      <c r="C448">
        <f>IF(ISBLANK('Data Entry'!$C$448), "", 'Data Entry'!$C$448)</f>
      </c>
      <c r="D448">
        <f>IF(ISBLANK('Data Entry'!$D$448), "", 'Data Entry'!$D$448)</f>
      </c>
      <c r="E448">
        <f>IF(ISBLANK('Data Entry'!$E$448), "", 'Data Entry'!$E$448)</f>
      </c>
      <c r="F448">
        <f>IF(ISBLANK('Data Entry'!$F$448), "", 'Data Entry'!$F$448)</f>
      </c>
      <c r="G448">
        <f>IF(ISBLANK('Data Entry'!$G$448), "", 'Data Entry'!$G$448)</f>
      </c>
      <c r="H448">
        <f>IF(ISBLANK('Data Entry'!$H$448), "", 'Data Entry'!$H$448)</f>
      </c>
      <c r="I448">
        <f>IF(ISBLANK('Data Entry'!$I$448), "", 'Data Entry'!$I$448)</f>
      </c>
      <c r="J448">
        <f>IF(ISBLANK('Data Entry'!$J$448), "", 'Data Entry'!$J$448)</f>
      </c>
      <c r="K448">
        <f>IF(ISBLANK('Data Entry'!$K$448), "", 'Data Entry'!$K$448)</f>
      </c>
      <c r="L448">
        <f>IF(ISBLANK('Data Entry'!$L$448), "", 'Data Entry'!$L$448)</f>
      </c>
      <c r="M448">
        <f>IF(ISBLANK('Data Entry'!$M$448), "", 'Data Entry'!$M$448)</f>
      </c>
      <c r="N448">
        <f>IF(ISBLANK('Data Entry'!$N$448), "", 'Data Entry'!$N$448)</f>
      </c>
      <c r="O448">
        <f>IF(ISBLANK('Data Entry'!$O$448), "", 'Data Entry'!$O$448)</f>
      </c>
      <c r="P448">
        <f>IF(ISBLANK('Data Entry'!$P$448), "", 'Data Entry'!$P$448)</f>
      </c>
      <c r="Q448">
        <f>IF(ISBLANK('Data Entry'!$Q$448), "", 'Data Entry'!$Q$448)</f>
      </c>
      <c r="R448">
        <f>IF(ISBLANK('Data Entry'!$R$448), "", 'Data Entry'!$R$448)</f>
      </c>
      <c r="S448">
        <f>IF(ISBLANK('Data Entry'!$S$448), "", 'Data Entry'!$S$448)</f>
      </c>
      <c r="T448">
        <f>IF(ISBLANK('Data Entry'!$T$448), "", 'Data Entry'!$T$448)</f>
      </c>
      <c r="U448">
        <f>IF(ISBLANK('Data Entry'!$U$448), "", 'Data Entry'!$U$448)</f>
      </c>
      <c r="V448">
        <f>IF(ISBLANK('Data Entry'!$V$448), "", 'Data Entry'!$V$448)</f>
      </c>
      <c r="W448">
        <f>IF(ISBLANK('Data Entry'!$W$448), "", 'Data Entry'!$W$448)</f>
      </c>
      <c r="X448">
        <f>IF(ISBLANK('Data Entry'!$X$448), "", 'Data Entry'!$X$448)</f>
      </c>
      <c r="Y448">
        <f>IF(ISBLANK('Data Entry'!$Y$448), "", 'Data Entry'!$Y$448)</f>
      </c>
      <c r="Z448">
        <f>IF(ISBLANK('Data Entry'!$Z$448), "", 'Data Entry'!$Z$448)</f>
      </c>
      <c r="AA448">
        <f>IF(ISBLANK('Data Entry'!$[$448), "", 'Data Entry'!$[$448)</f>
      </c>
      <c r="AB448">
        <f>IF(ISBLANK('Data Entry'!$\$448), "", 'Data Entry'!$\$448)</f>
      </c>
      <c r="AC448">
        <f>IF(ISBLANK('Data Entry'!$]$448), "", 'Data Entry'!$]$448)</f>
      </c>
      <c r="AD448">
        <f>IF(ISBLANK('Data Entry'!$^$448), "", 'Data Entry'!$^$448)</f>
      </c>
      <c r="AE448">
        <f>IF(ISBLANK('Data Entry'!$_$448), "", 'Data Entry'!$_$448)</f>
      </c>
      <c r="AF448">
        <f>IF(ISBLANK('Data Entry'!$`$448), "", 'Data Entry'!$`$448)</f>
      </c>
      <c r="AG448">
        <f>IF(ISBLANK('Data Entry'!$a$448), "", 'Data Entry'!$a$448)</f>
      </c>
      <c r="AH448">
        <f>IF(ISBLANK('Data Entry'!$b$448), "", 'Data Entry'!$b$448)</f>
      </c>
      <c r="AI448">
        <f>IF(ISBLANK('Data Entry'!$c$448), "", 'Data Entry'!$c$448)</f>
      </c>
      <c r="AJ448">
        <f>IF(ISBLANK('Data Entry'!$d$448), "", 'Data Entry'!$d$448)</f>
      </c>
      <c r="AK448">
        <f>IF(ISBLANK('Data Entry'!$e$448), "", 'Data Entry'!$e$448)</f>
      </c>
      <c r="AL448">
        <f>IF(ISBLANK('Data Entry'!$f$448), "", 'Data Entry'!$f$448)</f>
      </c>
      <c r="AM448">
        <f>IF(ISBLANK('Data Entry'!$g$448), "", 'Data Entry'!$g$448)</f>
      </c>
      <c r="AN448">
        <f>IF(ISBLANK('Data Entry'!$h$448), "", 'Data Entry'!$h$448)</f>
      </c>
      <c r="AO448">
        <f>IF(ISBLANK('Data Entry'!$i$448), "", 'Data Entry'!$i$448)</f>
      </c>
      <c r="AP448">
        <f>IF(ISBLANK('Data Entry'!$j$448), "", 'Data Entry'!$j$448)</f>
      </c>
      <c r="AQ448">
        <f>IF(ISBLANK('Data Entry'!$k$448), "", 'Data Entry'!$k$448)</f>
      </c>
      <c r="AR448">
        <f>IF(ISBLANK('Data Entry'!$l$448), "", 'Data Entry'!$l$448)</f>
      </c>
      <c r="AS448">
        <f>IF(ISBLANK('Data Entry'!$m$448), "", 'Data Entry'!$m$448)</f>
      </c>
      <c r="AT448">
        <f>IF(ISBLANK('Data Entry'!$n$448), "", 'Data Entry'!$n$448)</f>
      </c>
      <c r="AU448">
        <f>IF(ISBLANK('Data Entry'!$o$448), "", 'Data Entry'!$o$448)</f>
      </c>
      <c r="AV448">
        <f>IF(ISBLANK('Data Entry'!$p$448), "", 'Data Entry'!$p$448)</f>
      </c>
      <c r="AW448">
        <f>IF(ISBLANK('Data Entry'!$q$448), "", 'Data Entry'!$q$448)</f>
      </c>
      <c r="AX448">
        <f>IF(ISBLANK('Data Entry'!$r$448), "", 'Data Entry'!$r$448)</f>
      </c>
      <c r="AY448">
        <f>IF(ISBLANK('Data Entry'!$s$448), "", 'Data Entry'!$s$448)</f>
      </c>
      <c r="AZ448">
        <f>IF(ISBLANK('Data Entry'!$t$448), "", 'Data Entry'!$t$448)</f>
      </c>
      <c r="BA448">
        <f>IF(ISBLANK('Data Entry'!$u$448), "", 'Data Entry'!$u$448)</f>
      </c>
      <c r="BB448">
        <f>IF(ISBLANK('Data Entry'!$v$448), "", 'Data Entry'!$v$448)</f>
      </c>
      <c r="BC448">
        <f>IF(ISBLANK('Data Entry'!$w$448), "", 'Data Entry'!$w$448)</f>
      </c>
      <c r="BD448">
        <f>IF(ISBLANK('Data Entry'!$x$448), "", 'Data Entry'!$x$448)</f>
      </c>
      <c r="BE448">
        <f>IF(ISBLANK('Data Entry'!$y$448), "", 'Data Entry'!$y$448)</f>
      </c>
      <c r="BF448">
        <f>IF(ISBLANK('Data Entry'!$z$448), "", 'Data Entry'!$z$448)</f>
      </c>
      <c r="BG448">
        <f>IF(ISBLANK('Data Entry'!${$448), "", 'Data Entry'!${$448)</f>
      </c>
      <c r="BH448">
        <f>IF(ISBLANK('Data Entry'!$|$448), "", 'Data Entry'!$|$448)</f>
      </c>
      <c r="BI448">
        <f>IF(ISBLANK('Data Entry'!$}$448), "", 'Data Entry'!$}$448)</f>
      </c>
      <c r="BJ448">
        <f>IF(ISBLANK('Data Entry'!$~$448), "", 'Data Entry'!$~$448)</f>
      </c>
      <c r="BK448">
        <f>IF(ISBLANK('Data Entry'!$$448), "", 'Data Entry'!$$448)</f>
      </c>
      <c r="BL448">
        <f>IF(ISBLANK('Data Entry'!$$448), "", 'Data Entry'!$$448)</f>
      </c>
      <c r="BM448">
        <f>IF(ISBLANK('Data Entry'!$$448), "", 'Data Entry'!$$448)</f>
      </c>
      <c r="BN448">
        <f>IF(ISBLANK('Data Entry'!$$448), "", 'Data Entry'!$$448)</f>
      </c>
      <c r="BO448">
        <f>IF(ISBLANK('Data Entry'!$$448), "", 'Data Entry'!$$448)</f>
      </c>
      <c r="BP448">
        <f>IF(ISBLANK('Data Entry'!$$448), "", 'Data Entry'!$$448)</f>
      </c>
      <c r="BQ448">
        <f>IF(ISBLANK('Data Entry'!$$448), "", 'Data Entry'!$$448)</f>
      </c>
      <c r="BR448">
        <f>IF(ISBLANK('Data Entry'!$$448), "", 'Data Entry'!$$448)</f>
      </c>
      <c r="BS448">
        <f>IF(ISBLANK('Data Entry'!$$448), "", 'Data Entry'!$$448)</f>
      </c>
      <c r="BT448">
        <f>IF(ISBLANK('Data Entry'!$$448), "", 'Data Entry'!$$448)</f>
      </c>
      <c r="BU448">
        <f>IF(ISBLANK('Data Entry'!$$448), "", 'Data Entry'!$$448)</f>
      </c>
      <c r="BV448">
        <f>IF(ISBLANK('Data Entry'!$$448), "", 'Data Entry'!$$448)</f>
      </c>
      <c r="BW448">
        <f>IF(ISBLANK('Data Entry'!$$448), "", 'Data Entry'!$$448)</f>
      </c>
      <c r="BX448">
        <f>IF(ISBLANK('Data Entry'!$$448), "", 'Data Entry'!$$448)</f>
      </c>
      <c r="BY448">
        <f>IF(ISBLANK('Data Entry'!$$448), "", 'Data Entry'!$$448)</f>
      </c>
      <c r="BZ448">
        <f>IF(ISBLANK('Data Entry'!$$448), "", 'Data Entry'!$$448)</f>
      </c>
      <c r="CA448">
        <f>IF(ISBLANK('Data Entry'!$$448), "", 'Data Entry'!$$448)</f>
      </c>
      <c r="CB448">
        <f>IF(ISBLANK('Data Entry'!$$448), "", 'Data Entry'!$$448)</f>
      </c>
      <c r="CC448">
        <f>IF(ISBLANK('Data Entry'!$$448), "", 'Data Entry'!$$448)</f>
      </c>
      <c r="CD448">
        <f>IF(ISBLANK('Data Entry'!$$448), "", 'Data Entry'!$$448)</f>
      </c>
      <c r="CE448">
        <f>IF(ISBLANK('Data Entry'!$$448), "", 'Data Entry'!$$448)</f>
      </c>
      <c r="CF448">
        <f>IF(ISBLANK('Data Entry'!$$448), "", 'Data Entry'!$$448)</f>
      </c>
      <c r="CG448">
        <f>IF(ISBLANK('Data Entry'!$$448), "", 'Data Entry'!$$448)</f>
      </c>
      <c r="CH448">
        <f>IF(ISBLANK('Data Entry'!$$448), "", 'Data Entry'!$$448)</f>
      </c>
      <c r="CI448">
        <f>IF(ISBLANK('Data Entry'!$$448), "", 'Data Entry'!$$448)</f>
      </c>
      <c r="CJ448">
        <f>IF(ISBLANK('Data Entry'!$$448), "", 'Data Entry'!$$448)</f>
      </c>
      <c r="CK448">
        <f>IF(ISBLANK('Data Entry'!$$448), "", 'Data Entry'!$$448)</f>
      </c>
      <c r="CL448">
        <f>IF(ISBLANK('Data Entry'!$$448), "", 'Data Entry'!$$448)</f>
      </c>
      <c r="CM448">
        <f>IF(ISBLANK('Data Entry'!$$448), "", 'Data Entry'!$$448)</f>
      </c>
      <c r="CN448">
        <f>IF(ISBLANK('Data Entry'!$$448), "", 'Data Entry'!$$448)</f>
      </c>
      <c r="CO448">
        <f>IF(ISBLANK('Data Entry'!$$448), "", 'Data Entry'!$$448)</f>
      </c>
      <c r="CP448">
        <f>IF(ISBLANK('Data Entry'!$$448), "", 'Data Entry'!$$448)</f>
      </c>
      <c r="CQ448">
        <f>IF(ISBLANK('Data Entry'!$$448), "", 'Data Entry'!$$448)</f>
      </c>
      <c r="CR448">
        <f>IF(ISBLANK('Data Entry'!$ $448), "", 'Data Entry'!$ $448)</f>
      </c>
      <c r="CS448">
        <f>IF(ISBLANK('Data Entry'!$¡$448), "", 'Data Entry'!$¡$448)</f>
      </c>
      <c r="CT448">
        <f>IF(ISBLANK('Data Entry'!$¢$448), "", 'Data Entry'!$¢$448)</f>
      </c>
      <c r="CU448">
        <f>IF(ISBLANK('Data Entry'!$£$448), "", 'Data Entry'!$£$448)</f>
      </c>
      <c r="CV448">
        <f>IF(ISBLANK('Data Entry'!$¤$448), "", 'Data Entry'!$¤$448)</f>
      </c>
      <c r="CW448">
        <f>IF(ISBLANK('Data Entry'!$¥$448), "", 'Data Entry'!$¥$448)</f>
      </c>
      <c r="CX448">
        <f>IF(ISBLANK('Data Entry'!$¦$448), "", 'Data Entry'!$¦$448)</f>
      </c>
      <c r="CY448">
        <f>IF(ISBLANK('Data Entry'!$§$448), "", 'Data Entry'!$§$448)</f>
      </c>
      <c r="CZ448">
        <f>IF(ISBLANK('Data Entry'!$¨$448), "", 'Data Entry'!$¨$448)</f>
      </c>
      <c r="DA448">
        <f>IF(ISBLANK('Data Entry'!$©$448), "", 'Data Entry'!$©$448)</f>
      </c>
      <c r="DB448">
        <f>IF(ISBLANK('Data Entry'!$ª$448), "", 'Data Entry'!$ª$448)</f>
      </c>
      <c r="DC448">
        <f>IF(ISBLANK('Data Entry'!$«$448), "", 'Data Entry'!$«$448)</f>
      </c>
      <c r="DD448">
        <f>IF(ISBLANK('Data Entry'!$¬$448), "", 'Data Entry'!$¬$448)</f>
      </c>
      <c r="DE448">
        <f>IF(ISBLANK('Data Entry'!$­$448), "", 'Data Entry'!$­$448)</f>
      </c>
      <c r="DF448">
        <f>IF(ISBLANK('Data Entry'!$®$448), "", 'Data Entry'!$®$448)</f>
      </c>
      <c r="DG448">
        <f>IF(ISBLANK('Data Entry'!$¯$448), "", 'Data Entry'!$¯$448)</f>
      </c>
      <c r="DH448">
        <f>IF(ISBLANK('Data Entry'!$°$448), "", 'Data Entry'!$°$448)</f>
      </c>
      <c r="DI448">
        <f>IF(ISBLANK('Data Entry'!$±$448), "", 'Data Entry'!$±$448)</f>
      </c>
      <c r="DJ448">
        <f>IF(ISBLANK('Data Entry'!$²$448), "", 'Data Entry'!$²$448)</f>
      </c>
      <c r="DK448">
        <f>IF(ISBLANK('Data Entry'!$³$448), "", 'Data Entry'!$³$448)</f>
      </c>
      <c r="DL448">
        <f>IF(ISBLANK('Data Entry'!$´$448), "", 'Data Entry'!$´$448)</f>
      </c>
      <c r="DM448">
        <f>IF(ISBLANK('Data Entry'!$µ$448), "", 'Data Entry'!$µ$448)</f>
      </c>
      <c r="DN448">
        <f>IF(ISBLANK('Data Entry'!$¶$448), "", 'Data Entry'!$¶$448)</f>
      </c>
      <c r="DO448">
        <f>IF(ISBLANK('Data Entry'!$·$448), "", 'Data Entry'!$·$448)</f>
      </c>
      <c r="DP448">
        <f>IF(ISBLANK('Data Entry'!$¸$448), "", 'Data Entry'!$¸$448)</f>
      </c>
      <c r="DQ448">
        <f>IF(ISBLANK('Data Entry'!$¹$448), "", 'Data Entry'!$¹$448)</f>
      </c>
      <c r="DR448">
        <f>IF(ISBLANK('Data Entry'!$º$448), "", 'Data Entry'!$º$448)</f>
      </c>
      <c r="DS448">
        <f>IF(ISBLANK('Data Entry'!$»$448), "", 'Data Entry'!$»$448)</f>
      </c>
      <c r="DT448">
        <f>IF(ISBLANK('Data Entry'!$¼$448), "", 'Data Entry'!$¼$448)</f>
      </c>
      <c r="DU448">
        <f>IF(ISBLANK('Data Entry'!$½$448), "", 'Data Entry'!$½$448)</f>
      </c>
      <c r="DV448">
        <f>IF(ISBLANK('Data Entry'!$¾$448), "", 'Data Entry'!$¾$448)</f>
      </c>
      <c r="DW448">
        <f>IF(ISBLANK('Data Entry'!$¿$448), "", 'Data Entry'!$¿$448)</f>
      </c>
      <c r="DX448">
        <f>IF(ISBLANK('Data Entry'!$À$448), "", 'Data Entry'!$À$448)</f>
      </c>
      <c r="DY448">
        <f>IF(ISBLANK('Data Entry'!$Á$448), "", 'Data Entry'!$Á$448)</f>
      </c>
      <c r="DZ448">
        <f>IF(ISBLANK('Data Entry'!$Â$448), "", 'Data Entry'!$Â$448)</f>
      </c>
      <c r="EA448">
        <f>IF(ISBLANK('Data Entry'!$Ã$448), "", 'Data Entry'!$Ã$448)</f>
      </c>
      <c r="EB448">
        <f>IF(ISBLANK('Data Entry'!$Ä$448), "", 'Data Entry'!$Ä$448)</f>
      </c>
      <c r="EC448">
        <f>IF(ISBLANK('Data Entry'!$Å$448), "", 'Data Entry'!$Å$448)</f>
      </c>
      <c r="ED448">
        <f>IF(ISBLANK('Data Entry'!$Æ$448), "", 'Data Entry'!$Æ$448)</f>
      </c>
      <c r="EE448">
        <f>IF(ISBLANK('Data Entry'!$Ç$448), "", 'Data Entry'!$Ç$448)</f>
      </c>
      <c r="EF448">
        <f>IF(ISBLANK('Data Entry'!$È$448), "", 'Data Entry'!$È$448)</f>
      </c>
      <c r="EG448">
        <f>IF(ISBLANK('Data Entry'!$É$448), "", 'Data Entry'!$É$448)</f>
      </c>
      <c r="EH448">
        <f>IF(ISBLANK('Data Entry'!$Ê$448), "", 'Data Entry'!$Ê$448)</f>
      </c>
      <c r="EI448">
        <f>IF(ISBLANK('Data Entry'!$Ë$448), "", 'Data Entry'!$Ë$448)</f>
      </c>
      <c r="EJ448">
        <f>IF(ISBLANK('Data Entry'!$Ì$448), "", 'Data Entry'!$Ì$448)</f>
      </c>
      <c r="EK448">
        <f>IF(ISBLANK('Data Entry'!$Í$448), "", 'Data Entry'!$Í$448)</f>
      </c>
      <c r="EL448">
        <f>IF(ISBLANK('Data Entry'!$Î$448), "", 'Data Entry'!$Î$448)</f>
      </c>
      <c r="EM448">
        <f>IF(ISBLANK('Data Entry'!$Ï$448), "", 'Data Entry'!$Ï$448)</f>
      </c>
      <c r="EN448">
        <f>IF(ISBLANK('Data Entry'!$Ð$448), "", 'Data Entry'!$Ð$448)</f>
      </c>
      <c r="EO448">
        <f>IF(ISBLANK('Data Entry'!$Ñ$448), "", 'Data Entry'!$Ñ$448)</f>
      </c>
      <c r="EP448">
        <f>IF(ISBLANK('Data Entry'!$Ò$448), "", 'Data Entry'!$Ò$448)</f>
      </c>
      <c r="EQ448">
        <f>IF(ISBLANK('Data Entry'!$Ó$448), "", 'Data Entry'!$Ó$448)</f>
      </c>
      <c r="ER448">
        <f>IF(ISBLANK('Data Entry'!$Ô$448), "", 'Data Entry'!$Ô$448)</f>
      </c>
      <c r="ES448">
        <f>IF(ISBLANK('Data Entry'!$Õ$448), "", 'Data Entry'!$Õ$448)</f>
      </c>
      <c r="ET448">
        <f>IF(ISBLANK('Data Entry'!$Ö$448), "", 'Data Entry'!$Ö$448)</f>
      </c>
      <c r="EU448">
        <f>IF(ISBLANK('Data Entry'!$×$448), "", 'Data Entry'!$×$448)</f>
      </c>
      <c r="EV448">
        <f>IF(ISBLANK('Data Entry'!$Ø$448), "", 'Data Entry'!$Ø$448)</f>
      </c>
      <c r="EW448">
        <f>IF(ISBLANK('Data Entry'!$Ù$448), "", 'Data Entry'!$Ù$448)</f>
      </c>
      <c r="EX448">
        <f>IF(ISBLANK('Data Entry'!$Ú$448), "", 'Data Entry'!$Ú$448)</f>
      </c>
      <c r="EY448">
        <f>IF(ISBLANK('Data Entry'!$Û$448), "", 'Data Entry'!$Û$448)</f>
      </c>
      <c r="EZ448">
        <f>IF(ISBLANK('Data Entry'!$Ü$448), "", 'Data Entry'!$Ü$448)</f>
      </c>
      <c r="FA448">
        <f>IF(ISBLANK('Data Entry'!$Ý$448), "", 'Data Entry'!$Ý$448)</f>
      </c>
      <c r="FB448">
        <f>IF(ISBLANK('Data Entry'!$Þ$448), "", 'Data Entry'!$Þ$448)</f>
      </c>
      <c r="FC448">
        <f>IF(ISBLANK('Data Entry'!$ß$448), "", 'Data Entry'!$ß$448)</f>
      </c>
      <c r="FD448">
        <f>IF(ISBLANK('Data Entry'!$à$448), "", 'Data Entry'!$à$448)</f>
      </c>
      <c r="FE448">
        <f>IF(ISBLANK('Data Entry'!$á$448), "", 'Data Entry'!$á$448)</f>
      </c>
      <c r="FF448">
        <f>IF(ISBLANK('Data Entry'!$â$448), "", 'Data Entry'!$â$448)</f>
      </c>
      <c r="FG448">
        <f>IF(ISBLANK('Data Entry'!$ã$448), "", 'Data Entry'!$ã$448)</f>
      </c>
      <c r="FH448">
        <f>IF(ISBLANK('Data Entry'!$ä$448), "", 'Data Entry'!$ä$448)</f>
      </c>
      <c r="FI448">
        <f>IF(ISBLANK('Data Entry'!$å$448), "", 'Data Entry'!$å$448)</f>
      </c>
      <c r="FJ448">
        <f>IF(ISBLANK('Data Entry'!$æ$448), "", 'Data Entry'!$æ$448)</f>
      </c>
      <c r="FK448">
        <f>IF(ISBLANK('Data Entry'!$ç$448), "", 'Data Entry'!$ç$448)</f>
      </c>
      <c r="FL448">
        <f>IF(ISBLANK('Data Entry'!$è$448), "", 'Data Entry'!$è$448)</f>
      </c>
      <c r="FM448">
        <f>IF(ISBLANK('Data Entry'!$é$448), "", 'Data Entry'!$é$448)</f>
      </c>
      <c r="FN448">
        <f>IF(ISBLANK('Data Entry'!$ê$448), "", 'Data Entry'!$ê$448)</f>
      </c>
      <c r="FO448">
        <f>IF(ISBLANK('Data Entry'!$ë$448), "", 'Data Entry'!$ë$448)</f>
      </c>
      <c r="FP448">
        <f>IF(ISBLANK('Data Entry'!$ì$448), "", 'Data Entry'!$ì$448)</f>
      </c>
      <c r="FQ448">
        <f>IF(ISBLANK('Data Entry'!$í$448), "", 'Data Entry'!$í$448)</f>
      </c>
      <c r="FR448">
        <f>IF(ISBLANK('Data Entry'!$î$448), "", 'Data Entry'!$î$448)</f>
      </c>
      <c r="FS448">
        <f>IF(ISBLANK('Data Entry'!$ï$448), "", 'Data Entry'!$ï$448)</f>
      </c>
      <c r="FT448">
        <f>IF(ISBLANK('Data Entry'!$ð$448), "", 'Data Entry'!$ð$448)</f>
      </c>
      <c r="FU448">
        <f>IF(ISBLANK('Data Entry'!$ñ$448), "", 'Data Entry'!$ñ$448)</f>
      </c>
      <c r="FV448">
        <f>IF(ISBLANK('Data Entry'!$ò$448), "", 'Data Entry'!$ò$448)</f>
      </c>
      <c r="FW448">
        <f>IF(ISBLANK('Data Entry'!$ó$448), "", 'Data Entry'!$ó$448)</f>
      </c>
      <c r="FX448">
        <f>IF(ISBLANK('Data Entry'!$ô$448), "", 'Data Entry'!$ô$448)</f>
      </c>
      <c r="FY448">
        <f>IF(ISBLANK('Data Entry'!$õ$448), "", 'Data Entry'!$õ$448)</f>
      </c>
      <c r="FZ448">
        <f>IF(ISBLANK('Data Entry'!$ö$448), "", 'Data Entry'!$ö$448)</f>
      </c>
      <c r="GA448">
        <f>IF(ISBLANK('Data Entry'!$÷$448), "", 'Data Entry'!$÷$448)</f>
      </c>
      <c r="GB448">
        <f>IF(ISBLANK('Data Entry'!$ø$448), "", 'Data Entry'!$ø$448)</f>
      </c>
      <c r="GC448">
        <f>IF(ISBLANK('Data Entry'!$ù$448), "", 'Data Entry'!$ù$448)</f>
      </c>
      <c r="GD448">
        <f>IF(ISBLANK('Data Entry'!$ú$448), "", 'Data Entry'!$ú$448)</f>
      </c>
      <c r="GE448">
        <f>IF(ISBLANK('Data Entry'!$û$448), "", 'Data Entry'!$û$448)</f>
      </c>
      <c r="GF448">
        <f>IF(ISBLANK('Data Entry'!$ü$448), "", 'Data Entry'!$ü$448)</f>
      </c>
      <c r="GG448">
        <f>IF(ISBLANK('Data Entry'!$ý$448), "", 'Data Entry'!$ý$448)</f>
      </c>
      <c r="GH448">
        <f>IF(ISBLANK('Data Entry'!$þ$448), "", 'Data Entry'!$þ$448)</f>
      </c>
      <c r="GI448">
        <f>IF(ISBLANK('Data Entry'!$ÿ$448), "", 'Data Entry'!$ÿ$448)</f>
      </c>
      <c r="GJ448">
        <f>IF(ISBLANK('Data Entry'!$Ā$448), "", 'Data Entry'!$Ā$448)</f>
      </c>
      <c r="GK448">
        <f>IF(ISBLANK('Data Entry'!$ā$448), "", 'Data Entry'!$ā$448)</f>
      </c>
      <c r="GL448">
        <f>IF(ISBLANK('Data Entry'!$Ă$448), "", 'Data Entry'!$Ă$448)</f>
      </c>
      <c r="GM448">
        <f>IF(ISBLANK('Data Entry'!$ă$448), "", 'Data Entry'!$ă$448)</f>
      </c>
      <c r="GN448">
        <f>IF(ISBLANK('Data Entry'!$Ą$448), "", 'Data Entry'!$Ą$448)</f>
      </c>
      <c r="GO448">
        <f>IF(ISBLANK('Data Entry'!$ą$448), "", 'Data Entry'!$ą$448)</f>
      </c>
      <c r="GP448">
        <f>IF(ISBLANK('Data Entry'!$Ć$448), "", 'Data Entry'!$Ć$448)</f>
      </c>
      <c r="GQ448">
        <f>IF(ISBLANK('Data Entry'!$ć$448), "", 'Data Entry'!$ć$448)</f>
      </c>
      <c r="GR448">
        <f>IF(ISBLANK('Data Entry'!$Ĉ$448), "", 'Data Entry'!$Ĉ$448)</f>
      </c>
      <c r="GS448">
        <f>IF(ISBLANK('Data Entry'!$ĉ$448), "", 'Data Entry'!$ĉ$448)</f>
      </c>
      <c r="GT448">
        <f>IF(ISBLANK('Data Entry'!$Ċ$448), "", 'Data Entry'!$Ċ$448)</f>
      </c>
      <c r="GU448">
        <f>IF(ISBLANK('Data Entry'!$ċ$448), "", 'Data Entry'!$ċ$448)</f>
      </c>
      <c r="GV448">
        <f>IF(ISBLANK('Data Entry'!$Č$448), "", 'Data Entry'!$Č$448)</f>
      </c>
      <c r="GW448">
        <f>IF(ISBLANK('Data Entry'!$č$448), "", 'Data Entry'!$č$448)</f>
      </c>
      <c r="GX448">
        <f>IF(ISBLANK('Data Entry'!$Ď$448), "", 'Data Entry'!$Ď$448)</f>
      </c>
      <c r="GY448">
        <f>IF(ISBLANK('Data Entry'!$ď$448), "", 'Data Entry'!$ď$448)</f>
      </c>
      <c r="GZ448">
        <f>IF(ISBLANK('Data Entry'!$Đ$448), "", 'Data Entry'!$Đ$448)</f>
      </c>
      <c r="HA448">
        <f>IF(ISBLANK('Data Entry'!$đ$448), "", 'Data Entry'!$đ$448)</f>
      </c>
      <c r="HB448">
        <f>IF(ISBLANK('Data Entry'!$Ē$448), "", 'Data Entry'!$Ē$448)</f>
      </c>
      <c r="HC448">
        <f>IF(ISBLANK('Data Entry'!$ē$448), "", 'Data Entry'!$ē$448)</f>
      </c>
      <c r="HD448">
        <f>IF(ISBLANK('Data Entry'!$Ĕ$448), "", 'Data Entry'!$Ĕ$448)</f>
      </c>
      <c r="HE448">
        <f>IF(ISBLANK('Data Entry'!$ĕ$448), "", 'Data Entry'!$ĕ$448)</f>
      </c>
      <c r="HF448">
        <f>IF(ISBLANK('Data Entry'!$Ė$448), "", 'Data Entry'!$Ė$448)</f>
      </c>
      <c r="HG448">
        <f>IF(ISBLANK('Data Entry'!$ė$448), "", 'Data Entry'!$ė$448)</f>
      </c>
      <c r="HH448">
        <f>IF(ISBLANK('Data Entry'!$Ę$448), "", 'Data Entry'!$Ę$448)</f>
      </c>
      <c r="HI448">
        <f>IF(ISBLANK('Data Entry'!$ę$448), "", 'Data Entry'!$ę$448)</f>
      </c>
      <c r="HJ448">
        <f>IF(ISBLANK('Data Entry'!$Ě$448), "", 'Data Entry'!$Ě$448)</f>
      </c>
      <c r="HK448">
        <f>IF(ISBLANK('Data Entry'!$ě$448), "", 'Data Entry'!$ě$448)</f>
      </c>
      <c r="HL448">
        <f>IF(ISBLANK('Data Entry'!$Ĝ$448), "", 'Data Entry'!$Ĝ$448)</f>
      </c>
      <c r="HM448">
        <f>IF(ISBLANK('Data Entry'!$ĝ$448), "", 'Data Entry'!$ĝ$448)</f>
      </c>
      <c r="HN448">
        <f>IF(ISBLANK('Data Entry'!$Ğ$448), "", 'Data Entry'!$Ğ$448)</f>
      </c>
      <c r="HO448">
        <f>IF(ISBLANK('Data Entry'!$ğ$448), "", 'Data Entry'!$ğ$448)</f>
      </c>
      <c r="HP448">
        <f>IF(ISBLANK('Data Entry'!$Ġ$448), "", 'Data Entry'!$Ġ$448)</f>
      </c>
      <c r="HQ448">
        <f>IF(ISBLANK('Data Entry'!$ġ$448), "", 'Data Entry'!$ġ$448)</f>
      </c>
      <c r="HR448">
        <f>IF(ISBLANK('Data Entry'!$Ģ$448), "", 'Data Entry'!$Ģ$448)</f>
      </c>
      <c r="HS448">
        <f>IF(ISBLANK('Data Entry'!$ģ$448), "", 'Data Entry'!$ģ$448)</f>
      </c>
      <c r="HT448">
        <f>IF(ISBLANK('Data Entry'!$Ĥ$448), "", 'Data Entry'!$Ĥ$448)</f>
      </c>
      <c r="HU448">
        <f>IF(ISBLANK('Data Entry'!$ĥ$448), "", 'Data Entry'!$ĥ$448)</f>
      </c>
      <c r="HV448">
        <f>IF(ISBLANK('Data Entry'!$Ħ$448), "", 'Data Entry'!$Ħ$448)</f>
      </c>
      <c r="HW448">
        <f>IF(ISBLANK('Data Entry'!$ħ$448), "", 'Data Entry'!$ħ$448)</f>
      </c>
      <c r="HX448">
        <f>IF(ISBLANK('Data Entry'!$Ĩ$448), "", 'Data Entry'!$Ĩ$448)</f>
      </c>
      <c r="HY448">
        <f>IF(ISBLANK('Data Entry'!$ĩ$448), "", 'Data Entry'!$ĩ$448)</f>
      </c>
      <c r="HZ448">
        <f>IF(ISBLANK('Data Entry'!$Ī$448), "", 'Data Entry'!$Ī$448)</f>
      </c>
      <c r="IA448">
        <f>IF(ISBLANK('Data Entry'!$ī$448), "", 'Data Entry'!$ī$448)</f>
      </c>
      <c r="IB448">
        <f>IF(ISBLANK('Data Entry'!$Ĭ$448), "", 'Data Entry'!$Ĭ$448)</f>
      </c>
      <c r="IC448">
        <f>IF(ISBLANK('Data Entry'!$ĭ$448), "", 'Data Entry'!$ĭ$448)</f>
      </c>
      <c r="ID448">
        <f>IF(ISBLANK('Data Entry'!$Į$448), "", 'Data Entry'!$Į$448)</f>
      </c>
      <c r="IE448">
        <f>IF(ISBLANK('Data Entry'!$į$448), "", 'Data Entry'!$į$448)</f>
      </c>
      <c r="IF448">
        <f>IF(ISBLANK('Data Entry'!$İ$448), "", 'Data Entry'!$İ$448)</f>
      </c>
      <c r="IG448">
        <f>IF(ISBLANK('Data Entry'!$ı$448), "", 'Data Entry'!$ı$448)</f>
      </c>
      <c r="IH448">
        <f>IF(ISBLANK('Data Entry'!$Ĳ$448), "", 'Data Entry'!$Ĳ$448)</f>
      </c>
      <c r="II448">
        <f>IF(ISBLANK('Data Entry'!$ĳ$448), "", 'Data Entry'!$ĳ$448)</f>
      </c>
      <c r="IJ448">
        <f>IF(ISBLANK('Data Entry'!$Ĵ$448), "", 'Data Entry'!$Ĵ$448)</f>
      </c>
      <c r="IK448">
        <f>IF(ISBLANK('Data Entry'!$ĵ$448), "", 'Data Entry'!$ĵ$448)</f>
      </c>
      <c r="IL448">
        <f>IF(ISBLANK('Data Entry'!$Ķ$448), "", 'Data Entry'!$Ķ$448)</f>
      </c>
      <c r="IM448">
        <f>IF(ISBLANK('Data Entry'!$ķ$448), "", 'Data Entry'!$ķ$448)</f>
      </c>
      <c r="IN448">
        <f>IF(ISBLANK('Data Entry'!$ĸ$448), "", 'Data Entry'!$ĸ$448)</f>
      </c>
      <c r="IO448">
        <f>IF(ISBLANK('Data Entry'!$Ĺ$448), "", 'Data Entry'!$Ĺ$448)</f>
      </c>
      <c r="IP448">
        <f>IF(ISBLANK('Data Entry'!$ĺ$448), "", 'Data Entry'!$ĺ$448)</f>
      </c>
      <c r="IQ448">
        <f>IF(ISBLANK('Data Entry'!$Ļ$448), "", 'Data Entry'!$Ļ$448)</f>
      </c>
      <c r="IR448">
        <f>IF(ISBLANK('Data Entry'!$ļ$448), "", 'Data Entry'!$ļ$448)</f>
      </c>
      <c r="IS448">
        <f>IF(ISBLANK('Data Entry'!$Ľ$448), "", 'Data Entry'!$Ľ$448)</f>
      </c>
      <c r="IT448">
        <f>IF(ISBLANK('Data Entry'!$ľ$448), "", 'Data Entry'!$ľ$448)</f>
      </c>
    </row>
    <row r="449" spans="1:254" x14ac:dyDescent="0.25">
      <c r="A449">
        <f>IF(ISBLANK('Data Entry'!$A$449), "", 'Data Entry'!$A$449)</f>
      </c>
      <c r="B449">
        <f>IF(ISBLANK('Data Entry'!$B$449), "", 'Data Entry'!$B$449)</f>
      </c>
      <c r="C449">
        <f>IF(ISBLANK('Data Entry'!$C$449), "", 'Data Entry'!$C$449)</f>
      </c>
      <c r="D449">
        <f>IF(ISBLANK('Data Entry'!$D$449), "", 'Data Entry'!$D$449)</f>
      </c>
      <c r="E449">
        <f>IF(ISBLANK('Data Entry'!$E$449), "", 'Data Entry'!$E$449)</f>
      </c>
      <c r="F449">
        <f>IF(ISBLANK('Data Entry'!$F$449), "", 'Data Entry'!$F$449)</f>
      </c>
      <c r="G449">
        <f>IF(ISBLANK('Data Entry'!$G$449), "", 'Data Entry'!$G$449)</f>
      </c>
      <c r="H449">
        <f>IF(ISBLANK('Data Entry'!$H$449), "", 'Data Entry'!$H$449)</f>
      </c>
      <c r="I449">
        <f>IF(ISBLANK('Data Entry'!$I$449), "", 'Data Entry'!$I$449)</f>
      </c>
      <c r="J449">
        <f>IF(ISBLANK('Data Entry'!$J$449), "", 'Data Entry'!$J$449)</f>
      </c>
      <c r="K449">
        <f>IF(ISBLANK('Data Entry'!$K$449), "", 'Data Entry'!$K$449)</f>
      </c>
      <c r="L449">
        <f>IF(ISBLANK('Data Entry'!$L$449), "", 'Data Entry'!$L$449)</f>
      </c>
      <c r="M449">
        <f>IF(ISBLANK('Data Entry'!$M$449), "", 'Data Entry'!$M$449)</f>
      </c>
      <c r="N449">
        <f>IF(ISBLANK('Data Entry'!$N$449), "", 'Data Entry'!$N$449)</f>
      </c>
      <c r="O449">
        <f>IF(ISBLANK('Data Entry'!$O$449), "", 'Data Entry'!$O$449)</f>
      </c>
      <c r="P449">
        <f>IF(ISBLANK('Data Entry'!$P$449), "", 'Data Entry'!$P$449)</f>
      </c>
      <c r="Q449">
        <f>IF(ISBLANK('Data Entry'!$Q$449), "", 'Data Entry'!$Q$449)</f>
      </c>
      <c r="R449">
        <f>IF(ISBLANK('Data Entry'!$R$449), "", 'Data Entry'!$R$449)</f>
      </c>
      <c r="S449">
        <f>IF(ISBLANK('Data Entry'!$S$449), "", 'Data Entry'!$S$449)</f>
      </c>
      <c r="T449">
        <f>IF(ISBLANK('Data Entry'!$T$449), "", 'Data Entry'!$T$449)</f>
      </c>
      <c r="U449">
        <f>IF(ISBLANK('Data Entry'!$U$449), "", 'Data Entry'!$U$449)</f>
      </c>
      <c r="V449">
        <f>IF(ISBLANK('Data Entry'!$V$449), "", 'Data Entry'!$V$449)</f>
      </c>
      <c r="W449">
        <f>IF(ISBLANK('Data Entry'!$W$449), "", 'Data Entry'!$W$449)</f>
      </c>
      <c r="X449">
        <f>IF(ISBLANK('Data Entry'!$X$449), "", 'Data Entry'!$X$449)</f>
      </c>
      <c r="Y449">
        <f>IF(ISBLANK('Data Entry'!$Y$449), "", 'Data Entry'!$Y$449)</f>
      </c>
      <c r="Z449">
        <f>IF(ISBLANK('Data Entry'!$Z$449), "", 'Data Entry'!$Z$449)</f>
      </c>
      <c r="AA449">
        <f>IF(ISBLANK('Data Entry'!$[$449), "", 'Data Entry'!$[$449)</f>
      </c>
      <c r="AB449">
        <f>IF(ISBLANK('Data Entry'!$\$449), "", 'Data Entry'!$\$449)</f>
      </c>
      <c r="AC449">
        <f>IF(ISBLANK('Data Entry'!$]$449), "", 'Data Entry'!$]$449)</f>
      </c>
      <c r="AD449">
        <f>IF(ISBLANK('Data Entry'!$^$449), "", 'Data Entry'!$^$449)</f>
      </c>
      <c r="AE449">
        <f>IF(ISBLANK('Data Entry'!$_$449), "", 'Data Entry'!$_$449)</f>
      </c>
      <c r="AF449">
        <f>IF(ISBLANK('Data Entry'!$`$449), "", 'Data Entry'!$`$449)</f>
      </c>
      <c r="AG449">
        <f>IF(ISBLANK('Data Entry'!$a$449), "", 'Data Entry'!$a$449)</f>
      </c>
      <c r="AH449">
        <f>IF(ISBLANK('Data Entry'!$b$449), "", 'Data Entry'!$b$449)</f>
      </c>
      <c r="AI449">
        <f>IF(ISBLANK('Data Entry'!$c$449), "", 'Data Entry'!$c$449)</f>
      </c>
      <c r="AJ449">
        <f>IF(ISBLANK('Data Entry'!$d$449), "", 'Data Entry'!$d$449)</f>
      </c>
      <c r="AK449">
        <f>IF(ISBLANK('Data Entry'!$e$449), "", 'Data Entry'!$e$449)</f>
      </c>
      <c r="AL449">
        <f>IF(ISBLANK('Data Entry'!$f$449), "", 'Data Entry'!$f$449)</f>
      </c>
      <c r="AM449">
        <f>IF(ISBLANK('Data Entry'!$g$449), "", 'Data Entry'!$g$449)</f>
      </c>
      <c r="AN449">
        <f>IF(ISBLANK('Data Entry'!$h$449), "", 'Data Entry'!$h$449)</f>
      </c>
      <c r="AO449">
        <f>IF(ISBLANK('Data Entry'!$i$449), "", 'Data Entry'!$i$449)</f>
      </c>
      <c r="AP449">
        <f>IF(ISBLANK('Data Entry'!$j$449), "", 'Data Entry'!$j$449)</f>
      </c>
      <c r="AQ449">
        <f>IF(ISBLANK('Data Entry'!$k$449), "", 'Data Entry'!$k$449)</f>
      </c>
      <c r="AR449">
        <f>IF(ISBLANK('Data Entry'!$l$449), "", 'Data Entry'!$l$449)</f>
      </c>
      <c r="AS449">
        <f>IF(ISBLANK('Data Entry'!$m$449), "", 'Data Entry'!$m$449)</f>
      </c>
      <c r="AT449">
        <f>IF(ISBLANK('Data Entry'!$n$449), "", 'Data Entry'!$n$449)</f>
      </c>
      <c r="AU449">
        <f>IF(ISBLANK('Data Entry'!$o$449), "", 'Data Entry'!$o$449)</f>
      </c>
      <c r="AV449">
        <f>IF(ISBLANK('Data Entry'!$p$449), "", 'Data Entry'!$p$449)</f>
      </c>
      <c r="AW449">
        <f>IF(ISBLANK('Data Entry'!$q$449), "", 'Data Entry'!$q$449)</f>
      </c>
      <c r="AX449">
        <f>IF(ISBLANK('Data Entry'!$r$449), "", 'Data Entry'!$r$449)</f>
      </c>
      <c r="AY449">
        <f>IF(ISBLANK('Data Entry'!$s$449), "", 'Data Entry'!$s$449)</f>
      </c>
      <c r="AZ449">
        <f>IF(ISBLANK('Data Entry'!$t$449), "", 'Data Entry'!$t$449)</f>
      </c>
      <c r="BA449">
        <f>IF(ISBLANK('Data Entry'!$u$449), "", 'Data Entry'!$u$449)</f>
      </c>
      <c r="BB449">
        <f>IF(ISBLANK('Data Entry'!$v$449), "", 'Data Entry'!$v$449)</f>
      </c>
      <c r="BC449">
        <f>IF(ISBLANK('Data Entry'!$w$449), "", 'Data Entry'!$w$449)</f>
      </c>
      <c r="BD449">
        <f>IF(ISBLANK('Data Entry'!$x$449), "", 'Data Entry'!$x$449)</f>
      </c>
      <c r="BE449">
        <f>IF(ISBLANK('Data Entry'!$y$449), "", 'Data Entry'!$y$449)</f>
      </c>
      <c r="BF449">
        <f>IF(ISBLANK('Data Entry'!$z$449), "", 'Data Entry'!$z$449)</f>
      </c>
      <c r="BG449">
        <f>IF(ISBLANK('Data Entry'!${$449), "", 'Data Entry'!${$449)</f>
      </c>
      <c r="BH449">
        <f>IF(ISBLANK('Data Entry'!$|$449), "", 'Data Entry'!$|$449)</f>
      </c>
      <c r="BI449">
        <f>IF(ISBLANK('Data Entry'!$}$449), "", 'Data Entry'!$}$449)</f>
      </c>
      <c r="BJ449">
        <f>IF(ISBLANK('Data Entry'!$~$449), "", 'Data Entry'!$~$449)</f>
      </c>
      <c r="BK449">
        <f>IF(ISBLANK('Data Entry'!$$449), "", 'Data Entry'!$$449)</f>
      </c>
      <c r="BL449">
        <f>IF(ISBLANK('Data Entry'!$$449), "", 'Data Entry'!$$449)</f>
      </c>
      <c r="BM449">
        <f>IF(ISBLANK('Data Entry'!$$449), "", 'Data Entry'!$$449)</f>
      </c>
      <c r="BN449">
        <f>IF(ISBLANK('Data Entry'!$$449), "", 'Data Entry'!$$449)</f>
      </c>
      <c r="BO449">
        <f>IF(ISBLANK('Data Entry'!$$449), "", 'Data Entry'!$$449)</f>
      </c>
      <c r="BP449">
        <f>IF(ISBLANK('Data Entry'!$$449), "", 'Data Entry'!$$449)</f>
      </c>
      <c r="BQ449">
        <f>IF(ISBLANK('Data Entry'!$$449), "", 'Data Entry'!$$449)</f>
      </c>
      <c r="BR449">
        <f>IF(ISBLANK('Data Entry'!$$449), "", 'Data Entry'!$$449)</f>
      </c>
      <c r="BS449">
        <f>IF(ISBLANK('Data Entry'!$$449), "", 'Data Entry'!$$449)</f>
      </c>
      <c r="BT449">
        <f>IF(ISBLANK('Data Entry'!$$449), "", 'Data Entry'!$$449)</f>
      </c>
      <c r="BU449">
        <f>IF(ISBLANK('Data Entry'!$$449), "", 'Data Entry'!$$449)</f>
      </c>
      <c r="BV449">
        <f>IF(ISBLANK('Data Entry'!$$449), "", 'Data Entry'!$$449)</f>
      </c>
      <c r="BW449">
        <f>IF(ISBLANK('Data Entry'!$$449), "", 'Data Entry'!$$449)</f>
      </c>
      <c r="BX449">
        <f>IF(ISBLANK('Data Entry'!$$449), "", 'Data Entry'!$$449)</f>
      </c>
      <c r="BY449">
        <f>IF(ISBLANK('Data Entry'!$$449), "", 'Data Entry'!$$449)</f>
      </c>
      <c r="BZ449">
        <f>IF(ISBLANK('Data Entry'!$$449), "", 'Data Entry'!$$449)</f>
      </c>
      <c r="CA449">
        <f>IF(ISBLANK('Data Entry'!$$449), "", 'Data Entry'!$$449)</f>
      </c>
      <c r="CB449">
        <f>IF(ISBLANK('Data Entry'!$$449), "", 'Data Entry'!$$449)</f>
      </c>
      <c r="CC449">
        <f>IF(ISBLANK('Data Entry'!$$449), "", 'Data Entry'!$$449)</f>
      </c>
      <c r="CD449">
        <f>IF(ISBLANK('Data Entry'!$$449), "", 'Data Entry'!$$449)</f>
      </c>
      <c r="CE449">
        <f>IF(ISBLANK('Data Entry'!$$449), "", 'Data Entry'!$$449)</f>
      </c>
      <c r="CF449">
        <f>IF(ISBLANK('Data Entry'!$$449), "", 'Data Entry'!$$449)</f>
      </c>
      <c r="CG449">
        <f>IF(ISBLANK('Data Entry'!$$449), "", 'Data Entry'!$$449)</f>
      </c>
      <c r="CH449">
        <f>IF(ISBLANK('Data Entry'!$$449), "", 'Data Entry'!$$449)</f>
      </c>
      <c r="CI449">
        <f>IF(ISBLANK('Data Entry'!$$449), "", 'Data Entry'!$$449)</f>
      </c>
      <c r="CJ449">
        <f>IF(ISBLANK('Data Entry'!$$449), "", 'Data Entry'!$$449)</f>
      </c>
      <c r="CK449">
        <f>IF(ISBLANK('Data Entry'!$$449), "", 'Data Entry'!$$449)</f>
      </c>
      <c r="CL449">
        <f>IF(ISBLANK('Data Entry'!$$449), "", 'Data Entry'!$$449)</f>
      </c>
      <c r="CM449">
        <f>IF(ISBLANK('Data Entry'!$$449), "", 'Data Entry'!$$449)</f>
      </c>
      <c r="CN449">
        <f>IF(ISBLANK('Data Entry'!$$449), "", 'Data Entry'!$$449)</f>
      </c>
      <c r="CO449">
        <f>IF(ISBLANK('Data Entry'!$$449), "", 'Data Entry'!$$449)</f>
      </c>
      <c r="CP449">
        <f>IF(ISBLANK('Data Entry'!$$449), "", 'Data Entry'!$$449)</f>
      </c>
      <c r="CQ449">
        <f>IF(ISBLANK('Data Entry'!$$449), "", 'Data Entry'!$$449)</f>
      </c>
      <c r="CR449">
        <f>IF(ISBLANK('Data Entry'!$ $449), "", 'Data Entry'!$ $449)</f>
      </c>
      <c r="CS449">
        <f>IF(ISBLANK('Data Entry'!$¡$449), "", 'Data Entry'!$¡$449)</f>
      </c>
      <c r="CT449">
        <f>IF(ISBLANK('Data Entry'!$¢$449), "", 'Data Entry'!$¢$449)</f>
      </c>
      <c r="CU449">
        <f>IF(ISBLANK('Data Entry'!$£$449), "", 'Data Entry'!$£$449)</f>
      </c>
      <c r="CV449">
        <f>IF(ISBLANK('Data Entry'!$¤$449), "", 'Data Entry'!$¤$449)</f>
      </c>
      <c r="CW449">
        <f>IF(ISBLANK('Data Entry'!$¥$449), "", 'Data Entry'!$¥$449)</f>
      </c>
      <c r="CX449">
        <f>IF(ISBLANK('Data Entry'!$¦$449), "", 'Data Entry'!$¦$449)</f>
      </c>
      <c r="CY449">
        <f>IF(ISBLANK('Data Entry'!$§$449), "", 'Data Entry'!$§$449)</f>
      </c>
      <c r="CZ449">
        <f>IF(ISBLANK('Data Entry'!$¨$449), "", 'Data Entry'!$¨$449)</f>
      </c>
      <c r="DA449">
        <f>IF(ISBLANK('Data Entry'!$©$449), "", 'Data Entry'!$©$449)</f>
      </c>
      <c r="DB449">
        <f>IF(ISBLANK('Data Entry'!$ª$449), "", 'Data Entry'!$ª$449)</f>
      </c>
      <c r="DC449">
        <f>IF(ISBLANK('Data Entry'!$«$449), "", 'Data Entry'!$«$449)</f>
      </c>
      <c r="DD449">
        <f>IF(ISBLANK('Data Entry'!$¬$449), "", 'Data Entry'!$¬$449)</f>
      </c>
      <c r="DE449">
        <f>IF(ISBLANK('Data Entry'!$­$449), "", 'Data Entry'!$­$449)</f>
      </c>
      <c r="DF449">
        <f>IF(ISBLANK('Data Entry'!$®$449), "", 'Data Entry'!$®$449)</f>
      </c>
      <c r="DG449">
        <f>IF(ISBLANK('Data Entry'!$¯$449), "", 'Data Entry'!$¯$449)</f>
      </c>
      <c r="DH449">
        <f>IF(ISBLANK('Data Entry'!$°$449), "", 'Data Entry'!$°$449)</f>
      </c>
      <c r="DI449">
        <f>IF(ISBLANK('Data Entry'!$±$449), "", 'Data Entry'!$±$449)</f>
      </c>
      <c r="DJ449">
        <f>IF(ISBLANK('Data Entry'!$²$449), "", 'Data Entry'!$²$449)</f>
      </c>
      <c r="DK449">
        <f>IF(ISBLANK('Data Entry'!$³$449), "", 'Data Entry'!$³$449)</f>
      </c>
      <c r="DL449">
        <f>IF(ISBLANK('Data Entry'!$´$449), "", 'Data Entry'!$´$449)</f>
      </c>
      <c r="DM449">
        <f>IF(ISBLANK('Data Entry'!$µ$449), "", 'Data Entry'!$µ$449)</f>
      </c>
      <c r="DN449">
        <f>IF(ISBLANK('Data Entry'!$¶$449), "", 'Data Entry'!$¶$449)</f>
      </c>
      <c r="DO449">
        <f>IF(ISBLANK('Data Entry'!$·$449), "", 'Data Entry'!$·$449)</f>
      </c>
      <c r="DP449">
        <f>IF(ISBLANK('Data Entry'!$¸$449), "", 'Data Entry'!$¸$449)</f>
      </c>
      <c r="DQ449">
        <f>IF(ISBLANK('Data Entry'!$¹$449), "", 'Data Entry'!$¹$449)</f>
      </c>
      <c r="DR449">
        <f>IF(ISBLANK('Data Entry'!$º$449), "", 'Data Entry'!$º$449)</f>
      </c>
      <c r="DS449">
        <f>IF(ISBLANK('Data Entry'!$»$449), "", 'Data Entry'!$»$449)</f>
      </c>
      <c r="DT449">
        <f>IF(ISBLANK('Data Entry'!$¼$449), "", 'Data Entry'!$¼$449)</f>
      </c>
      <c r="DU449">
        <f>IF(ISBLANK('Data Entry'!$½$449), "", 'Data Entry'!$½$449)</f>
      </c>
      <c r="DV449">
        <f>IF(ISBLANK('Data Entry'!$¾$449), "", 'Data Entry'!$¾$449)</f>
      </c>
      <c r="DW449">
        <f>IF(ISBLANK('Data Entry'!$¿$449), "", 'Data Entry'!$¿$449)</f>
      </c>
      <c r="DX449">
        <f>IF(ISBLANK('Data Entry'!$À$449), "", 'Data Entry'!$À$449)</f>
      </c>
      <c r="DY449">
        <f>IF(ISBLANK('Data Entry'!$Á$449), "", 'Data Entry'!$Á$449)</f>
      </c>
      <c r="DZ449">
        <f>IF(ISBLANK('Data Entry'!$Â$449), "", 'Data Entry'!$Â$449)</f>
      </c>
      <c r="EA449">
        <f>IF(ISBLANK('Data Entry'!$Ã$449), "", 'Data Entry'!$Ã$449)</f>
      </c>
      <c r="EB449">
        <f>IF(ISBLANK('Data Entry'!$Ä$449), "", 'Data Entry'!$Ä$449)</f>
      </c>
      <c r="EC449">
        <f>IF(ISBLANK('Data Entry'!$Å$449), "", 'Data Entry'!$Å$449)</f>
      </c>
      <c r="ED449">
        <f>IF(ISBLANK('Data Entry'!$Æ$449), "", 'Data Entry'!$Æ$449)</f>
      </c>
      <c r="EE449">
        <f>IF(ISBLANK('Data Entry'!$Ç$449), "", 'Data Entry'!$Ç$449)</f>
      </c>
      <c r="EF449">
        <f>IF(ISBLANK('Data Entry'!$È$449), "", 'Data Entry'!$È$449)</f>
      </c>
      <c r="EG449">
        <f>IF(ISBLANK('Data Entry'!$É$449), "", 'Data Entry'!$É$449)</f>
      </c>
      <c r="EH449">
        <f>IF(ISBLANK('Data Entry'!$Ê$449), "", 'Data Entry'!$Ê$449)</f>
      </c>
      <c r="EI449">
        <f>IF(ISBLANK('Data Entry'!$Ë$449), "", 'Data Entry'!$Ë$449)</f>
      </c>
      <c r="EJ449">
        <f>IF(ISBLANK('Data Entry'!$Ì$449), "", 'Data Entry'!$Ì$449)</f>
      </c>
      <c r="EK449">
        <f>IF(ISBLANK('Data Entry'!$Í$449), "", 'Data Entry'!$Í$449)</f>
      </c>
      <c r="EL449">
        <f>IF(ISBLANK('Data Entry'!$Î$449), "", 'Data Entry'!$Î$449)</f>
      </c>
      <c r="EM449">
        <f>IF(ISBLANK('Data Entry'!$Ï$449), "", 'Data Entry'!$Ï$449)</f>
      </c>
      <c r="EN449">
        <f>IF(ISBLANK('Data Entry'!$Ð$449), "", 'Data Entry'!$Ð$449)</f>
      </c>
      <c r="EO449">
        <f>IF(ISBLANK('Data Entry'!$Ñ$449), "", 'Data Entry'!$Ñ$449)</f>
      </c>
      <c r="EP449">
        <f>IF(ISBLANK('Data Entry'!$Ò$449), "", 'Data Entry'!$Ò$449)</f>
      </c>
      <c r="EQ449">
        <f>IF(ISBLANK('Data Entry'!$Ó$449), "", 'Data Entry'!$Ó$449)</f>
      </c>
      <c r="ER449">
        <f>IF(ISBLANK('Data Entry'!$Ô$449), "", 'Data Entry'!$Ô$449)</f>
      </c>
      <c r="ES449">
        <f>IF(ISBLANK('Data Entry'!$Õ$449), "", 'Data Entry'!$Õ$449)</f>
      </c>
      <c r="ET449">
        <f>IF(ISBLANK('Data Entry'!$Ö$449), "", 'Data Entry'!$Ö$449)</f>
      </c>
      <c r="EU449">
        <f>IF(ISBLANK('Data Entry'!$×$449), "", 'Data Entry'!$×$449)</f>
      </c>
      <c r="EV449">
        <f>IF(ISBLANK('Data Entry'!$Ø$449), "", 'Data Entry'!$Ø$449)</f>
      </c>
      <c r="EW449">
        <f>IF(ISBLANK('Data Entry'!$Ù$449), "", 'Data Entry'!$Ù$449)</f>
      </c>
      <c r="EX449">
        <f>IF(ISBLANK('Data Entry'!$Ú$449), "", 'Data Entry'!$Ú$449)</f>
      </c>
      <c r="EY449">
        <f>IF(ISBLANK('Data Entry'!$Û$449), "", 'Data Entry'!$Û$449)</f>
      </c>
      <c r="EZ449">
        <f>IF(ISBLANK('Data Entry'!$Ü$449), "", 'Data Entry'!$Ü$449)</f>
      </c>
      <c r="FA449">
        <f>IF(ISBLANK('Data Entry'!$Ý$449), "", 'Data Entry'!$Ý$449)</f>
      </c>
      <c r="FB449">
        <f>IF(ISBLANK('Data Entry'!$Þ$449), "", 'Data Entry'!$Þ$449)</f>
      </c>
      <c r="FC449">
        <f>IF(ISBLANK('Data Entry'!$ß$449), "", 'Data Entry'!$ß$449)</f>
      </c>
      <c r="FD449">
        <f>IF(ISBLANK('Data Entry'!$à$449), "", 'Data Entry'!$à$449)</f>
      </c>
      <c r="FE449">
        <f>IF(ISBLANK('Data Entry'!$á$449), "", 'Data Entry'!$á$449)</f>
      </c>
      <c r="FF449">
        <f>IF(ISBLANK('Data Entry'!$â$449), "", 'Data Entry'!$â$449)</f>
      </c>
      <c r="FG449">
        <f>IF(ISBLANK('Data Entry'!$ã$449), "", 'Data Entry'!$ã$449)</f>
      </c>
      <c r="FH449">
        <f>IF(ISBLANK('Data Entry'!$ä$449), "", 'Data Entry'!$ä$449)</f>
      </c>
      <c r="FI449">
        <f>IF(ISBLANK('Data Entry'!$å$449), "", 'Data Entry'!$å$449)</f>
      </c>
      <c r="FJ449">
        <f>IF(ISBLANK('Data Entry'!$æ$449), "", 'Data Entry'!$æ$449)</f>
      </c>
      <c r="FK449">
        <f>IF(ISBLANK('Data Entry'!$ç$449), "", 'Data Entry'!$ç$449)</f>
      </c>
      <c r="FL449">
        <f>IF(ISBLANK('Data Entry'!$è$449), "", 'Data Entry'!$è$449)</f>
      </c>
      <c r="FM449">
        <f>IF(ISBLANK('Data Entry'!$é$449), "", 'Data Entry'!$é$449)</f>
      </c>
      <c r="FN449">
        <f>IF(ISBLANK('Data Entry'!$ê$449), "", 'Data Entry'!$ê$449)</f>
      </c>
      <c r="FO449">
        <f>IF(ISBLANK('Data Entry'!$ë$449), "", 'Data Entry'!$ë$449)</f>
      </c>
      <c r="FP449">
        <f>IF(ISBLANK('Data Entry'!$ì$449), "", 'Data Entry'!$ì$449)</f>
      </c>
      <c r="FQ449">
        <f>IF(ISBLANK('Data Entry'!$í$449), "", 'Data Entry'!$í$449)</f>
      </c>
      <c r="FR449">
        <f>IF(ISBLANK('Data Entry'!$î$449), "", 'Data Entry'!$î$449)</f>
      </c>
      <c r="FS449">
        <f>IF(ISBLANK('Data Entry'!$ï$449), "", 'Data Entry'!$ï$449)</f>
      </c>
      <c r="FT449">
        <f>IF(ISBLANK('Data Entry'!$ð$449), "", 'Data Entry'!$ð$449)</f>
      </c>
      <c r="FU449">
        <f>IF(ISBLANK('Data Entry'!$ñ$449), "", 'Data Entry'!$ñ$449)</f>
      </c>
      <c r="FV449">
        <f>IF(ISBLANK('Data Entry'!$ò$449), "", 'Data Entry'!$ò$449)</f>
      </c>
      <c r="FW449">
        <f>IF(ISBLANK('Data Entry'!$ó$449), "", 'Data Entry'!$ó$449)</f>
      </c>
      <c r="FX449">
        <f>IF(ISBLANK('Data Entry'!$ô$449), "", 'Data Entry'!$ô$449)</f>
      </c>
      <c r="FY449">
        <f>IF(ISBLANK('Data Entry'!$õ$449), "", 'Data Entry'!$õ$449)</f>
      </c>
      <c r="FZ449">
        <f>IF(ISBLANK('Data Entry'!$ö$449), "", 'Data Entry'!$ö$449)</f>
      </c>
      <c r="GA449">
        <f>IF(ISBLANK('Data Entry'!$÷$449), "", 'Data Entry'!$÷$449)</f>
      </c>
      <c r="GB449">
        <f>IF(ISBLANK('Data Entry'!$ø$449), "", 'Data Entry'!$ø$449)</f>
      </c>
      <c r="GC449">
        <f>IF(ISBLANK('Data Entry'!$ù$449), "", 'Data Entry'!$ù$449)</f>
      </c>
      <c r="GD449">
        <f>IF(ISBLANK('Data Entry'!$ú$449), "", 'Data Entry'!$ú$449)</f>
      </c>
      <c r="GE449">
        <f>IF(ISBLANK('Data Entry'!$û$449), "", 'Data Entry'!$û$449)</f>
      </c>
      <c r="GF449">
        <f>IF(ISBLANK('Data Entry'!$ü$449), "", 'Data Entry'!$ü$449)</f>
      </c>
      <c r="GG449">
        <f>IF(ISBLANK('Data Entry'!$ý$449), "", 'Data Entry'!$ý$449)</f>
      </c>
      <c r="GH449">
        <f>IF(ISBLANK('Data Entry'!$þ$449), "", 'Data Entry'!$þ$449)</f>
      </c>
      <c r="GI449">
        <f>IF(ISBLANK('Data Entry'!$ÿ$449), "", 'Data Entry'!$ÿ$449)</f>
      </c>
      <c r="GJ449">
        <f>IF(ISBLANK('Data Entry'!$Ā$449), "", 'Data Entry'!$Ā$449)</f>
      </c>
      <c r="GK449">
        <f>IF(ISBLANK('Data Entry'!$ā$449), "", 'Data Entry'!$ā$449)</f>
      </c>
      <c r="GL449">
        <f>IF(ISBLANK('Data Entry'!$Ă$449), "", 'Data Entry'!$Ă$449)</f>
      </c>
      <c r="GM449">
        <f>IF(ISBLANK('Data Entry'!$ă$449), "", 'Data Entry'!$ă$449)</f>
      </c>
      <c r="GN449">
        <f>IF(ISBLANK('Data Entry'!$Ą$449), "", 'Data Entry'!$Ą$449)</f>
      </c>
      <c r="GO449">
        <f>IF(ISBLANK('Data Entry'!$ą$449), "", 'Data Entry'!$ą$449)</f>
      </c>
      <c r="GP449">
        <f>IF(ISBLANK('Data Entry'!$Ć$449), "", 'Data Entry'!$Ć$449)</f>
      </c>
      <c r="GQ449">
        <f>IF(ISBLANK('Data Entry'!$ć$449), "", 'Data Entry'!$ć$449)</f>
      </c>
      <c r="GR449">
        <f>IF(ISBLANK('Data Entry'!$Ĉ$449), "", 'Data Entry'!$Ĉ$449)</f>
      </c>
      <c r="GS449">
        <f>IF(ISBLANK('Data Entry'!$ĉ$449), "", 'Data Entry'!$ĉ$449)</f>
      </c>
      <c r="GT449">
        <f>IF(ISBLANK('Data Entry'!$Ċ$449), "", 'Data Entry'!$Ċ$449)</f>
      </c>
      <c r="GU449">
        <f>IF(ISBLANK('Data Entry'!$ċ$449), "", 'Data Entry'!$ċ$449)</f>
      </c>
      <c r="GV449">
        <f>IF(ISBLANK('Data Entry'!$Č$449), "", 'Data Entry'!$Č$449)</f>
      </c>
      <c r="GW449">
        <f>IF(ISBLANK('Data Entry'!$č$449), "", 'Data Entry'!$č$449)</f>
      </c>
      <c r="GX449">
        <f>IF(ISBLANK('Data Entry'!$Ď$449), "", 'Data Entry'!$Ď$449)</f>
      </c>
      <c r="GY449">
        <f>IF(ISBLANK('Data Entry'!$ď$449), "", 'Data Entry'!$ď$449)</f>
      </c>
      <c r="GZ449">
        <f>IF(ISBLANK('Data Entry'!$Đ$449), "", 'Data Entry'!$Đ$449)</f>
      </c>
      <c r="HA449">
        <f>IF(ISBLANK('Data Entry'!$đ$449), "", 'Data Entry'!$đ$449)</f>
      </c>
      <c r="HB449">
        <f>IF(ISBLANK('Data Entry'!$Ē$449), "", 'Data Entry'!$Ē$449)</f>
      </c>
      <c r="HC449">
        <f>IF(ISBLANK('Data Entry'!$ē$449), "", 'Data Entry'!$ē$449)</f>
      </c>
      <c r="HD449">
        <f>IF(ISBLANK('Data Entry'!$Ĕ$449), "", 'Data Entry'!$Ĕ$449)</f>
      </c>
      <c r="HE449">
        <f>IF(ISBLANK('Data Entry'!$ĕ$449), "", 'Data Entry'!$ĕ$449)</f>
      </c>
      <c r="HF449">
        <f>IF(ISBLANK('Data Entry'!$Ė$449), "", 'Data Entry'!$Ė$449)</f>
      </c>
      <c r="HG449">
        <f>IF(ISBLANK('Data Entry'!$ė$449), "", 'Data Entry'!$ė$449)</f>
      </c>
      <c r="HH449">
        <f>IF(ISBLANK('Data Entry'!$Ę$449), "", 'Data Entry'!$Ę$449)</f>
      </c>
      <c r="HI449">
        <f>IF(ISBLANK('Data Entry'!$ę$449), "", 'Data Entry'!$ę$449)</f>
      </c>
      <c r="HJ449">
        <f>IF(ISBLANK('Data Entry'!$Ě$449), "", 'Data Entry'!$Ě$449)</f>
      </c>
      <c r="HK449">
        <f>IF(ISBLANK('Data Entry'!$ě$449), "", 'Data Entry'!$ě$449)</f>
      </c>
      <c r="HL449">
        <f>IF(ISBLANK('Data Entry'!$Ĝ$449), "", 'Data Entry'!$Ĝ$449)</f>
      </c>
      <c r="HM449">
        <f>IF(ISBLANK('Data Entry'!$ĝ$449), "", 'Data Entry'!$ĝ$449)</f>
      </c>
      <c r="HN449">
        <f>IF(ISBLANK('Data Entry'!$Ğ$449), "", 'Data Entry'!$Ğ$449)</f>
      </c>
      <c r="HO449">
        <f>IF(ISBLANK('Data Entry'!$ğ$449), "", 'Data Entry'!$ğ$449)</f>
      </c>
      <c r="HP449">
        <f>IF(ISBLANK('Data Entry'!$Ġ$449), "", 'Data Entry'!$Ġ$449)</f>
      </c>
      <c r="HQ449">
        <f>IF(ISBLANK('Data Entry'!$ġ$449), "", 'Data Entry'!$ġ$449)</f>
      </c>
      <c r="HR449">
        <f>IF(ISBLANK('Data Entry'!$Ģ$449), "", 'Data Entry'!$Ģ$449)</f>
      </c>
      <c r="HS449">
        <f>IF(ISBLANK('Data Entry'!$ģ$449), "", 'Data Entry'!$ģ$449)</f>
      </c>
      <c r="HT449">
        <f>IF(ISBLANK('Data Entry'!$Ĥ$449), "", 'Data Entry'!$Ĥ$449)</f>
      </c>
      <c r="HU449">
        <f>IF(ISBLANK('Data Entry'!$ĥ$449), "", 'Data Entry'!$ĥ$449)</f>
      </c>
      <c r="HV449">
        <f>IF(ISBLANK('Data Entry'!$Ħ$449), "", 'Data Entry'!$Ħ$449)</f>
      </c>
      <c r="HW449">
        <f>IF(ISBLANK('Data Entry'!$ħ$449), "", 'Data Entry'!$ħ$449)</f>
      </c>
      <c r="HX449">
        <f>IF(ISBLANK('Data Entry'!$Ĩ$449), "", 'Data Entry'!$Ĩ$449)</f>
      </c>
      <c r="HY449">
        <f>IF(ISBLANK('Data Entry'!$ĩ$449), "", 'Data Entry'!$ĩ$449)</f>
      </c>
      <c r="HZ449">
        <f>IF(ISBLANK('Data Entry'!$Ī$449), "", 'Data Entry'!$Ī$449)</f>
      </c>
      <c r="IA449">
        <f>IF(ISBLANK('Data Entry'!$ī$449), "", 'Data Entry'!$ī$449)</f>
      </c>
      <c r="IB449">
        <f>IF(ISBLANK('Data Entry'!$Ĭ$449), "", 'Data Entry'!$Ĭ$449)</f>
      </c>
      <c r="IC449">
        <f>IF(ISBLANK('Data Entry'!$ĭ$449), "", 'Data Entry'!$ĭ$449)</f>
      </c>
      <c r="ID449">
        <f>IF(ISBLANK('Data Entry'!$Į$449), "", 'Data Entry'!$Į$449)</f>
      </c>
      <c r="IE449">
        <f>IF(ISBLANK('Data Entry'!$į$449), "", 'Data Entry'!$į$449)</f>
      </c>
      <c r="IF449">
        <f>IF(ISBLANK('Data Entry'!$İ$449), "", 'Data Entry'!$İ$449)</f>
      </c>
      <c r="IG449">
        <f>IF(ISBLANK('Data Entry'!$ı$449), "", 'Data Entry'!$ı$449)</f>
      </c>
      <c r="IH449">
        <f>IF(ISBLANK('Data Entry'!$Ĳ$449), "", 'Data Entry'!$Ĳ$449)</f>
      </c>
      <c r="II449">
        <f>IF(ISBLANK('Data Entry'!$ĳ$449), "", 'Data Entry'!$ĳ$449)</f>
      </c>
      <c r="IJ449">
        <f>IF(ISBLANK('Data Entry'!$Ĵ$449), "", 'Data Entry'!$Ĵ$449)</f>
      </c>
      <c r="IK449">
        <f>IF(ISBLANK('Data Entry'!$ĵ$449), "", 'Data Entry'!$ĵ$449)</f>
      </c>
      <c r="IL449">
        <f>IF(ISBLANK('Data Entry'!$Ķ$449), "", 'Data Entry'!$Ķ$449)</f>
      </c>
      <c r="IM449">
        <f>IF(ISBLANK('Data Entry'!$ķ$449), "", 'Data Entry'!$ķ$449)</f>
      </c>
      <c r="IN449">
        <f>IF(ISBLANK('Data Entry'!$ĸ$449), "", 'Data Entry'!$ĸ$449)</f>
      </c>
      <c r="IO449">
        <f>IF(ISBLANK('Data Entry'!$Ĺ$449), "", 'Data Entry'!$Ĺ$449)</f>
      </c>
      <c r="IP449">
        <f>IF(ISBLANK('Data Entry'!$ĺ$449), "", 'Data Entry'!$ĺ$449)</f>
      </c>
      <c r="IQ449">
        <f>IF(ISBLANK('Data Entry'!$Ļ$449), "", 'Data Entry'!$Ļ$449)</f>
      </c>
      <c r="IR449">
        <f>IF(ISBLANK('Data Entry'!$ļ$449), "", 'Data Entry'!$ļ$449)</f>
      </c>
      <c r="IS449">
        <f>IF(ISBLANK('Data Entry'!$Ľ$449), "", 'Data Entry'!$Ľ$449)</f>
      </c>
      <c r="IT449">
        <f>IF(ISBLANK('Data Entry'!$ľ$449), "", 'Data Entry'!$ľ$449)</f>
      </c>
    </row>
    <row r="450" spans="1:254" x14ac:dyDescent="0.25">
      <c r="A450">
        <f>IF(ISBLANK('Data Entry'!$A$450), "", 'Data Entry'!$A$450)</f>
      </c>
      <c r="B450">
        <f>IF(ISBLANK('Data Entry'!$B$450), "", 'Data Entry'!$B$450)</f>
      </c>
      <c r="C450">
        <f>IF(ISBLANK('Data Entry'!$C$450), "", 'Data Entry'!$C$450)</f>
      </c>
      <c r="D450">
        <f>IF(ISBLANK('Data Entry'!$D$450), "", 'Data Entry'!$D$450)</f>
      </c>
      <c r="E450">
        <f>IF(ISBLANK('Data Entry'!$E$450), "", 'Data Entry'!$E$450)</f>
      </c>
      <c r="F450">
        <f>IF(ISBLANK('Data Entry'!$F$450), "", 'Data Entry'!$F$450)</f>
      </c>
      <c r="G450">
        <f>IF(ISBLANK('Data Entry'!$G$450), "", 'Data Entry'!$G$450)</f>
      </c>
      <c r="H450">
        <f>IF(ISBLANK('Data Entry'!$H$450), "", 'Data Entry'!$H$450)</f>
      </c>
      <c r="I450">
        <f>IF(ISBLANK('Data Entry'!$I$450), "", 'Data Entry'!$I$450)</f>
      </c>
      <c r="J450">
        <f>IF(ISBLANK('Data Entry'!$J$450), "", 'Data Entry'!$J$450)</f>
      </c>
      <c r="K450">
        <f>IF(ISBLANK('Data Entry'!$K$450), "", 'Data Entry'!$K$450)</f>
      </c>
      <c r="L450">
        <f>IF(ISBLANK('Data Entry'!$L$450), "", 'Data Entry'!$L$450)</f>
      </c>
      <c r="M450">
        <f>IF(ISBLANK('Data Entry'!$M$450), "", 'Data Entry'!$M$450)</f>
      </c>
      <c r="N450">
        <f>IF(ISBLANK('Data Entry'!$N$450), "", 'Data Entry'!$N$450)</f>
      </c>
      <c r="O450">
        <f>IF(ISBLANK('Data Entry'!$O$450), "", 'Data Entry'!$O$450)</f>
      </c>
      <c r="P450">
        <f>IF(ISBLANK('Data Entry'!$P$450), "", 'Data Entry'!$P$450)</f>
      </c>
      <c r="Q450">
        <f>IF(ISBLANK('Data Entry'!$Q$450), "", 'Data Entry'!$Q$450)</f>
      </c>
      <c r="R450">
        <f>IF(ISBLANK('Data Entry'!$R$450), "", 'Data Entry'!$R$450)</f>
      </c>
      <c r="S450">
        <f>IF(ISBLANK('Data Entry'!$S$450), "", 'Data Entry'!$S$450)</f>
      </c>
      <c r="T450">
        <f>IF(ISBLANK('Data Entry'!$T$450), "", 'Data Entry'!$T$450)</f>
      </c>
      <c r="U450">
        <f>IF(ISBLANK('Data Entry'!$U$450), "", 'Data Entry'!$U$450)</f>
      </c>
      <c r="V450">
        <f>IF(ISBLANK('Data Entry'!$V$450), "", 'Data Entry'!$V$450)</f>
      </c>
      <c r="W450">
        <f>IF(ISBLANK('Data Entry'!$W$450), "", 'Data Entry'!$W$450)</f>
      </c>
      <c r="X450">
        <f>IF(ISBLANK('Data Entry'!$X$450), "", 'Data Entry'!$X$450)</f>
      </c>
      <c r="Y450">
        <f>IF(ISBLANK('Data Entry'!$Y$450), "", 'Data Entry'!$Y$450)</f>
      </c>
      <c r="Z450">
        <f>IF(ISBLANK('Data Entry'!$Z$450), "", 'Data Entry'!$Z$450)</f>
      </c>
      <c r="AA450">
        <f>IF(ISBLANK('Data Entry'!$[$450), "", 'Data Entry'!$[$450)</f>
      </c>
      <c r="AB450">
        <f>IF(ISBLANK('Data Entry'!$\$450), "", 'Data Entry'!$\$450)</f>
      </c>
      <c r="AC450">
        <f>IF(ISBLANK('Data Entry'!$]$450), "", 'Data Entry'!$]$450)</f>
      </c>
      <c r="AD450">
        <f>IF(ISBLANK('Data Entry'!$^$450), "", 'Data Entry'!$^$450)</f>
      </c>
      <c r="AE450">
        <f>IF(ISBLANK('Data Entry'!$_$450), "", 'Data Entry'!$_$450)</f>
      </c>
      <c r="AF450">
        <f>IF(ISBLANK('Data Entry'!$`$450), "", 'Data Entry'!$`$450)</f>
      </c>
      <c r="AG450">
        <f>IF(ISBLANK('Data Entry'!$a$450), "", 'Data Entry'!$a$450)</f>
      </c>
      <c r="AH450">
        <f>IF(ISBLANK('Data Entry'!$b$450), "", 'Data Entry'!$b$450)</f>
      </c>
      <c r="AI450">
        <f>IF(ISBLANK('Data Entry'!$c$450), "", 'Data Entry'!$c$450)</f>
      </c>
      <c r="AJ450">
        <f>IF(ISBLANK('Data Entry'!$d$450), "", 'Data Entry'!$d$450)</f>
      </c>
      <c r="AK450">
        <f>IF(ISBLANK('Data Entry'!$e$450), "", 'Data Entry'!$e$450)</f>
      </c>
      <c r="AL450">
        <f>IF(ISBLANK('Data Entry'!$f$450), "", 'Data Entry'!$f$450)</f>
      </c>
      <c r="AM450">
        <f>IF(ISBLANK('Data Entry'!$g$450), "", 'Data Entry'!$g$450)</f>
      </c>
      <c r="AN450">
        <f>IF(ISBLANK('Data Entry'!$h$450), "", 'Data Entry'!$h$450)</f>
      </c>
      <c r="AO450">
        <f>IF(ISBLANK('Data Entry'!$i$450), "", 'Data Entry'!$i$450)</f>
      </c>
      <c r="AP450">
        <f>IF(ISBLANK('Data Entry'!$j$450), "", 'Data Entry'!$j$450)</f>
      </c>
      <c r="AQ450">
        <f>IF(ISBLANK('Data Entry'!$k$450), "", 'Data Entry'!$k$450)</f>
      </c>
      <c r="AR450">
        <f>IF(ISBLANK('Data Entry'!$l$450), "", 'Data Entry'!$l$450)</f>
      </c>
      <c r="AS450">
        <f>IF(ISBLANK('Data Entry'!$m$450), "", 'Data Entry'!$m$450)</f>
      </c>
      <c r="AT450">
        <f>IF(ISBLANK('Data Entry'!$n$450), "", 'Data Entry'!$n$450)</f>
      </c>
      <c r="AU450">
        <f>IF(ISBLANK('Data Entry'!$o$450), "", 'Data Entry'!$o$450)</f>
      </c>
      <c r="AV450">
        <f>IF(ISBLANK('Data Entry'!$p$450), "", 'Data Entry'!$p$450)</f>
      </c>
      <c r="AW450">
        <f>IF(ISBLANK('Data Entry'!$q$450), "", 'Data Entry'!$q$450)</f>
      </c>
      <c r="AX450">
        <f>IF(ISBLANK('Data Entry'!$r$450), "", 'Data Entry'!$r$450)</f>
      </c>
      <c r="AY450">
        <f>IF(ISBLANK('Data Entry'!$s$450), "", 'Data Entry'!$s$450)</f>
      </c>
      <c r="AZ450">
        <f>IF(ISBLANK('Data Entry'!$t$450), "", 'Data Entry'!$t$450)</f>
      </c>
      <c r="BA450">
        <f>IF(ISBLANK('Data Entry'!$u$450), "", 'Data Entry'!$u$450)</f>
      </c>
      <c r="BB450">
        <f>IF(ISBLANK('Data Entry'!$v$450), "", 'Data Entry'!$v$450)</f>
      </c>
      <c r="BC450">
        <f>IF(ISBLANK('Data Entry'!$w$450), "", 'Data Entry'!$w$450)</f>
      </c>
      <c r="BD450">
        <f>IF(ISBLANK('Data Entry'!$x$450), "", 'Data Entry'!$x$450)</f>
      </c>
      <c r="BE450">
        <f>IF(ISBLANK('Data Entry'!$y$450), "", 'Data Entry'!$y$450)</f>
      </c>
      <c r="BF450">
        <f>IF(ISBLANK('Data Entry'!$z$450), "", 'Data Entry'!$z$450)</f>
      </c>
      <c r="BG450">
        <f>IF(ISBLANK('Data Entry'!${$450), "", 'Data Entry'!${$450)</f>
      </c>
      <c r="BH450">
        <f>IF(ISBLANK('Data Entry'!$|$450), "", 'Data Entry'!$|$450)</f>
      </c>
      <c r="BI450">
        <f>IF(ISBLANK('Data Entry'!$}$450), "", 'Data Entry'!$}$450)</f>
      </c>
      <c r="BJ450">
        <f>IF(ISBLANK('Data Entry'!$~$450), "", 'Data Entry'!$~$450)</f>
      </c>
      <c r="BK450">
        <f>IF(ISBLANK('Data Entry'!$$450), "", 'Data Entry'!$$450)</f>
      </c>
      <c r="BL450">
        <f>IF(ISBLANK('Data Entry'!$$450), "", 'Data Entry'!$$450)</f>
      </c>
      <c r="BM450">
        <f>IF(ISBLANK('Data Entry'!$$450), "", 'Data Entry'!$$450)</f>
      </c>
      <c r="BN450">
        <f>IF(ISBLANK('Data Entry'!$$450), "", 'Data Entry'!$$450)</f>
      </c>
      <c r="BO450">
        <f>IF(ISBLANK('Data Entry'!$$450), "", 'Data Entry'!$$450)</f>
      </c>
      <c r="BP450">
        <f>IF(ISBLANK('Data Entry'!$$450), "", 'Data Entry'!$$450)</f>
      </c>
      <c r="BQ450">
        <f>IF(ISBLANK('Data Entry'!$$450), "", 'Data Entry'!$$450)</f>
      </c>
      <c r="BR450">
        <f>IF(ISBLANK('Data Entry'!$$450), "", 'Data Entry'!$$450)</f>
      </c>
      <c r="BS450">
        <f>IF(ISBLANK('Data Entry'!$$450), "", 'Data Entry'!$$450)</f>
      </c>
      <c r="BT450">
        <f>IF(ISBLANK('Data Entry'!$$450), "", 'Data Entry'!$$450)</f>
      </c>
      <c r="BU450">
        <f>IF(ISBLANK('Data Entry'!$$450), "", 'Data Entry'!$$450)</f>
      </c>
      <c r="BV450">
        <f>IF(ISBLANK('Data Entry'!$$450), "", 'Data Entry'!$$450)</f>
      </c>
      <c r="BW450">
        <f>IF(ISBLANK('Data Entry'!$$450), "", 'Data Entry'!$$450)</f>
      </c>
      <c r="BX450">
        <f>IF(ISBLANK('Data Entry'!$$450), "", 'Data Entry'!$$450)</f>
      </c>
      <c r="BY450">
        <f>IF(ISBLANK('Data Entry'!$$450), "", 'Data Entry'!$$450)</f>
      </c>
      <c r="BZ450">
        <f>IF(ISBLANK('Data Entry'!$$450), "", 'Data Entry'!$$450)</f>
      </c>
      <c r="CA450">
        <f>IF(ISBLANK('Data Entry'!$$450), "", 'Data Entry'!$$450)</f>
      </c>
      <c r="CB450">
        <f>IF(ISBLANK('Data Entry'!$$450), "", 'Data Entry'!$$450)</f>
      </c>
      <c r="CC450">
        <f>IF(ISBLANK('Data Entry'!$$450), "", 'Data Entry'!$$450)</f>
      </c>
      <c r="CD450">
        <f>IF(ISBLANK('Data Entry'!$$450), "", 'Data Entry'!$$450)</f>
      </c>
      <c r="CE450">
        <f>IF(ISBLANK('Data Entry'!$$450), "", 'Data Entry'!$$450)</f>
      </c>
      <c r="CF450">
        <f>IF(ISBLANK('Data Entry'!$$450), "", 'Data Entry'!$$450)</f>
      </c>
      <c r="CG450">
        <f>IF(ISBLANK('Data Entry'!$$450), "", 'Data Entry'!$$450)</f>
      </c>
      <c r="CH450">
        <f>IF(ISBLANK('Data Entry'!$$450), "", 'Data Entry'!$$450)</f>
      </c>
      <c r="CI450">
        <f>IF(ISBLANK('Data Entry'!$$450), "", 'Data Entry'!$$450)</f>
      </c>
      <c r="CJ450">
        <f>IF(ISBLANK('Data Entry'!$$450), "", 'Data Entry'!$$450)</f>
      </c>
      <c r="CK450">
        <f>IF(ISBLANK('Data Entry'!$$450), "", 'Data Entry'!$$450)</f>
      </c>
      <c r="CL450">
        <f>IF(ISBLANK('Data Entry'!$$450), "", 'Data Entry'!$$450)</f>
      </c>
      <c r="CM450">
        <f>IF(ISBLANK('Data Entry'!$$450), "", 'Data Entry'!$$450)</f>
      </c>
      <c r="CN450">
        <f>IF(ISBLANK('Data Entry'!$$450), "", 'Data Entry'!$$450)</f>
      </c>
      <c r="CO450">
        <f>IF(ISBLANK('Data Entry'!$$450), "", 'Data Entry'!$$450)</f>
      </c>
      <c r="CP450">
        <f>IF(ISBLANK('Data Entry'!$$450), "", 'Data Entry'!$$450)</f>
      </c>
      <c r="CQ450">
        <f>IF(ISBLANK('Data Entry'!$$450), "", 'Data Entry'!$$450)</f>
      </c>
      <c r="CR450">
        <f>IF(ISBLANK('Data Entry'!$ $450), "", 'Data Entry'!$ $450)</f>
      </c>
      <c r="CS450">
        <f>IF(ISBLANK('Data Entry'!$¡$450), "", 'Data Entry'!$¡$450)</f>
      </c>
      <c r="CT450">
        <f>IF(ISBLANK('Data Entry'!$¢$450), "", 'Data Entry'!$¢$450)</f>
      </c>
      <c r="CU450">
        <f>IF(ISBLANK('Data Entry'!$£$450), "", 'Data Entry'!$£$450)</f>
      </c>
      <c r="CV450">
        <f>IF(ISBLANK('Data Entry'!$¤$450), "", 'Data Entry'!$¤$450)</f>
      </c>
      <c r="CW450">
        <f>IF(ISBLANK('Data Entry'!$¥$450), "", 'Data Entry'!$¥$450)</f>
      </c>
      <c r="CX450">
        <f>IF(ISBLANK('Data Entry'!$¦$450), "", 'Data Entry'!$¦$450)</f>
      </c>
      <c r="CY450">
        <f>IF(ISBLANK('Data Entry'!$§$450), "", 'Data Entry'!$§$450)</f>
      </c>
      <c r="CZ450">
        <f>IF(ISBLANK('Data Entry'!$¨$450), "", 'Data Entry'!$¨$450)</f>
      </c>
      <c r="DA450">
        <f>IF(ISBLANK('Data Entry'!$©$450), "", 'Data Entry'!$©$450)</f>
      </c>
      <c r="DB450">
        <f>IF(ISBLANK('Data Entry'!$ª$450), "", 'Data Entry'!$ª$450)</f>
      </c>
      <c r="DC450">
        <f>IF(ISBLANK('Data Entry'!$«$450), "", 'Data Entry'!$«$450)</f>
      </c>
      <c r="DD450">
        <f>IF(ISBLANK('Data Entry'!$¬$450), "", 'Data Entry'!$¬$450)</f>
      </c>
      <c r="DE450">
        <f>IF(ISBLANK('Data Entry'!$­$450), "", 'Data Entry'!$­$450)</f>
      </c>
      <c r="DF450">
        <f>IF(ISBLANK('Data Entry'!$®$450), "", 'Data Entry'!$®$450)</f>
      </c>
      <c r="DG450">
        <f>IF(ISBLANK('Data Entry'!$¯$450), "", 'Data Entry'!$¯$450)</f>
      </c>
      <c r="DH450">
        <f>IF(ISBLANK('Data Entry'!$°$450), "", 'Data Entry'!$°$450)</f>
      </c>
      <c r="DI450">
        <f>IF(ISBLANK('Data Entry'!$±$450), "", 'Data Entry'!$±$450)</f>
      </c>
      <c r="DJ450">
        <f>IF(ISBLANK('Data Entry'!$²$450), "", 'Data Entry'!$²$450)</f>
      </c>
      <c r="DK450">
        <f>IF(ISBLANK('Data Entry'!$³$450), "", 'Data Entry'!$³$450)</f>
      </c>
      <c r="DL450">
        <f>IF(ISBLANK('Data Entry'!$´$450), "", 'Data Entry'!$´$450)</f>
      </c>
      <c r="DM450">
        <f>IF(ISBLANK('Data Entry'!$µ$450), "", 'Data Entry'!$µ$450)</f>
      </c>
      <c r="DN450">
        <f>IF(ISBLANK('Data Entry'!$¶$450), "", 'Data Entry'!$¶$450)</f>
      </c>
      <c r="DO450">
        <f>IF(ISBLANK('Data Entry'!$·$450), "", 'Data Entry'!$·$450)</f>
      </c>
      <c r="DP450">
        <f>IF(ISBLANK('Data Entry'!$¸$450), "", 'Data Entry'!$¸$450)</f>
      </c>
      <c r="DQ450">
        <f>IF(ISBLANK('Data Entry'!$¹$450), "", 'Data Entry'!$¹$450)</f>
      </c>
      <c r="DR450">
        <f>IF(ISBLANK('Data Entry'!$º$450), "", 'Data Entry'!$º$450)</f>
      </c>
      <c r="DS450">
        <f>IF(ISBLANK('Data Entry'!$»$450), "", 'Data Entry'!$»$450)</f>
      </c>
      <c r="DT450">
        <f>IF(ISBLANK('Data Entry'!$¼$450), "", 'Data Entry'!$¼$450)</f>
      </c>
      <c r="DU450">
        <f>IF(ISBLANK('Data Entry'!$½$450), "", 'Data Entry'!$½$450)</f>
      </c>
      <c r="DV450">
        <f>IF(ISBLANK('Data Entry'!$¾$450), "", 'Data Entry'!$¾$450)</f>
      </c>
      <c r="DW450">
        <f>IF(ISBLANK('Data Entry'!$¿$450), "", 'Data Entry'!$¿$450)</f>
      </c>
      <c r="DX450">
        <f>IF(ISBLANK('Data Entry'!$À$450), "", 'Data Entry'!$À$450)</f>
      </c>
      <c r="DY450">
        <f>IF(ISBLANK('Data Entry'!$Á$450), "", 'Data Entry'!$Á$450)</f>
      </c>
      <c r="DZ450">
        <f>IF(ISBLANK('Data Entry'!$Â$450), "", 'Data Entry'!$Â$450)</f>
      </c>
      <c r="EA450">
        <f>IF(ISBLANK('Data Entry'!$Ã$450), "", 'Data Entry'!$Ã$450)</f>
      </c>
      <c r="EB450">
        <f>IF(ISBLANK('Data Entry'!$Ä$450), "", 'Data Entry'!$Ä$450)</f>
      </c>
      <c r="EC450">
        <f>IF(ISBLANK('Data Entry'!$Å$450), "", 'Data Entry'!$Å$450)</f>
      </c>
      <c r="ED450">
        <f>IF(ISBLANK('Data Entry'!$Æ$450), "", 'Data Entry'!$Æ$450)</f>
      </c>
      <c r="EE450">
        <f>IF(ISBLANK('Data Entry'!$Ç$450), "", 'Data Entry'!$Ç$450)</f>
      </c>
      <c r="EF450">
        <f>IF(ISBLANK('Data Entry'!$È$450), "", 'Data Entry'!$È$450)</f>
      </c>
      <c r="EG450">
        <f>IF(ISBLANK('Data Entry'!$É$450), "", 'Data Entry'!$É$450)</f>
      </c>
      <c r="EH450">
        <f>IF(ISBLANK('Data Entry'!$Ê$450), "", 'Data Entry'!$Ê$450)</f>
      </c>
      <c r="EI450">
        <f>IF(ISBLANK('Data Entry'!$Ë$450), "", 'Data Entry'!$Ë$450)</f>
      </c>
      <c r="EJ450">
        <f>IF(ISBLANK('Data Entry'!$Ì$450), "", 'Data Entry'!$Ì$450)</f>
      </c>
      <c r="EK450">
        <f>IF(ISBLANK('Data Entry'!$Í$450), "", 'Data Entry'!$Í$450)</f>
      </c>
      <c r="EL450">
        <f>IF(ISBLANK('Data Entry'!$Î$450), "", 'Data Entry'!$Î$450)</f>
      </c>
      <c r="EM450">
        <f>IF(ISBLANK('Data Entry'!$Ï$450), "", 'Data Entry'!$Ï$450)</f>
      </c>
      <c r="EN450">
        <f>IF(ISBLANK('Data Entry'!$Ð$450), "", 'Data Entry'!$Ð$450)</f>
      </c>
      <c r="EO450">
        <f>IF(ISBLANK('Data Entry'!$Ñ$450), "", 'Data Entry'!$Ñ$450)</f>
      </c>
      <c r="EP450">
        <f>IF(ISBLANK('Data Entry'!$Ò$450), "", 'Data Entry'!$Ò$450)</f>
      </c>
      <c r="EQ450">
        <f>IF(ISBLANK('Data Entry'!$Ó$450), "", 'Data Entry'!$Ó$450)</f>
      </c>
      <c r="ER450">
        <f>IF(ISBLANK('Data Entry'!$Ô$450), "", 'Data Entry'!$Ô$450)</f>
      </c>
      <c r="ES450">
        <f>IF(ISBLANK('Data Entry'!$Õ$450), "", 'Data Entry'!$Õ$450)</f>
      </c>
      <c r="ET450">
        <f>IF(ISBLANK('Data Entry'!$Ö$450), "", 'Data Entry'!$Ö$450)</f>
      </c>
      <c r="EU450">
        <f>IF(ISBLANK('Data Entry'!$×$450), "", 'Data Entry'!$×$450)</f>
      </c>
      <c r="EV450">
        <f>IF(ISBLANK('Data Entry'!$Ø$450), "", 'Data Entry'!$Ø$450)</f>
      </c>
      <c r="EW450">
        <f>IF(ISBLANK('Data Entry'!$Ù$450), "", 'Data Entry'!$Ù$450)</f>
      </c>
      <c r="EX450">
        <f>IF(ISBLANK('Data Entry'!$Ú$450), "", 'Data Entry'!$Ú$450)</f>
      </c>
      <c r="EY450">
        <f>IF(ISBLANK('Data Entry'!$Û$450), "", 'Data Entry'!$Û$450)</f>
      </c>
      <c r="EZ450">
        <f>IF(ISBLANK('Data Entry'!$Ü$450), "", 'Data Entry'!$Ü$450)</f>
      </c>
      <c r="FA450">
        <f>IF(ISBLANK('Data Entry'!$Ý$450), "", 'Data Entry'!$Ý$450)</f>
      </c>
      <c r="FB450">
        <f>IF(ISBLANK('Data Entry'!$Þ$450), "", 'Data Entry'!$Þ$450)</f>
      </c>
      <c r="FC450">
        <f>IF(ISBLANK('Data Entry'!$ß$450), "", 'Data Entry'!$ß$450)</f>
      </c>
      <c r="FD450">
        <f>IF(ISBLANK('Data Entry'!$à$450), "", 'Data Entry'!$à$450)</f>
      </c>
      <c r="FE450">
        <f>IF(ISBLANK('Data Entry'!$á$450), "", 'Data Entry'!$á$450)</f>
      </c>
      <c r="FF450">
        <f>IF(ISBLANK('Data Entry'!$â$450), "", 'Data Entry'!$â$450)</f>
      </c>
      <c r="FG450">
        <f>IF(ISBLANK('Data Entry'!$ã$450), "", 'Data Entry'!$ã$450)</f>
      </c>
      <c r="FH450">
        <f>IF(ISBLANK('Data Entry'!$ä$450), "", 'Data Entry'!$ä$450)</f>
      </c>
      <c r="FI450">
        <f>IF(ISBLANK('Data Entry'!$å$450), "", 'Data Entry'!$å$450)</f>
      </c>
      <c r="FJ450">
        <f>IF(ISBLANK('Data Entry'!$æ$450), "", 'Data Entry'!$æ$450)</f>
      </c>
      <c r="FK450">
        <f>IF(ISBLANK('Data Entry'!$ç$450), "", 'Data Entry'!$ç$450)</f>
      </c>
      <c r="FL450">
        <f>IF(ISBLANK('Data Entry'!$è$450), "", 'Data Entry'!$è$450)</f>
      </c>
      <c r="FM450">
        <f>IF(ISBLANK('Data Entry'!$é$450), "", 'Data Entry'!$é$450)</f>
      </c>
      <c r="FN450">
        <f>IF(ISBLANK('Data Entry'!$ê$450), "", 'Data Entry'!$ê$450)</f>
      </c>
      <c r="FO450">
        <f>IF(ISBLANK('Data Entry'!$ë$450), "", 'Data Entry'!$ë$450)</f>
      </c>
      <c r="FP450">
        <f>IF(ISBLANK('Data Entry'!$ì$450), "", 'Data Entry'!$ì$450)</f>
      </c>
      <c r="FQ450">
        <f>IF(ISBLANK('Data Entry'!$í$450), "", 'Data Entry'!$í$450)</f>
      </c>
      <c r="FR450">
        <f>IF(ISBLANK('Data Entry'!$î$450), "", 'Data Entry'!$î$450)</f>
      </c>
      <c r="FS450">
        <f>IF(ISBLANK('Data Entry'!$ï$450), "", 'Data Entry'!$ï$450)</f>
      </c>
      <c r="FT450">
        <f>IF(ISBLANK('Data Entry'!$ð$450), "", 'Data Entry'!$ð$450)</f>
      </c>
      <c r="FU450">
        <f>IF(ISBLANK('Data Entry'!$ñ$450), "", 'Data Entry'!$ñ$450)</f>
      </c>
      <c r="FV450">
        <f>IF(ISBLANK('Data Entry'!$ò$450), "", 'Data Entry'!$ò$450)</f>
      </c>
      <c r="FW450">
        <f>IF(ISBLANK('Data Entry'!$ó$450), "", 'Data Entry'!$ó$450)</f>
      </c>
      <c r="FX450">
        <f>IF(ISBLANK('Data Entry'!$ô$450), "", 'Data Entry'!$ô$450)</f>
      </c>
      <c r="FY450">
        <f>IF(ISBLANK('Data Entry'!$õ$450), "", 'Data Entry'!$õ$450)</f>
      </c>
      <c r="FZ450">
        <f>IF(ISBLANK('Data Entry'!$ö$450), "", 'Data Entry'!$ö$450)</f>
      </c>
      <c r="GA450">
        <f>IF(ISBLANK('Data Entry'!$÷$450), "", 'Data Entry'!$÷$450)</f>
      </c>
      <c r="GB450">
        <f>IF(ISBLANK('Data Entry'!$ø$450), "", 'Data Entry'!$ø$450)</f>
      </c>
      <c r="GC450">
        <f>IF(ISBLANK('Data Entry'!$ù$450), "", 'Data Entry'!$ù$450)</f>
      </c>
      <c r="GD450">
        <f>IF(ISBLANK('Data Entry'!$ú$450), "", 'Data Entry'!$ú$450)</f>
      </c>
      <c r="GE450">
        <f>IF(ISBLANK('Data Entry'!$û$450), "", 'Data Entry'!$û$450)</f>
      </c>
      <c r="GF450">
        <f>IF(ISBLANK('Data Entry'!$ü$450), "", 'Data Entry'!$ü$450)</f>
      </c>
      <c r="GG450">
        <f>IF(ISBLANK('Data Entry'!$ý$450), "", 'Data Entry'!$ý$450)</f>
      </c>
      <c r="GH450">
        <f>IF(ISBLANK('Data Entry'!$þ$450), "", 'Data Entry'!$þ$450)</f>
      </c>
      <c r="GI450">
        <f>IF(ISBLANK('Data Entry'!$ÿ$450), "", 'Data Entry'!$ÿ$450)</f>
      </c>
      <c r="GJ450">
        <f>IF(ISBLANK('Data Entry'!$Ā$450), "", 'Data Entry'!$Ā$450)</f>
      </c>
      <c r="GK450">
        <f>IF(ISBLANK('Data Entry'!$ā$450), "", 'Data Entry'!$ā$450)</f>
      </c>
      <c r="GL450">
        <f>IF(ISBLANK('Data Entry'!$Ă$450), "", 'Data Entry'!$Ă$450)</f>
      </c>
      <c r="GM450">
        <f>IF(ISBLANK('Data Entry'!$ă$450), "", 'Data Entry'!$ă$450)</f>
      </c>
      <c r="GN450">
        <f>IF(ISBLANK('Data Entry'!$Ą$450), "", 'Data Entry'!$Ą$450)</f>
      </c>
      <c r="GO450">
        <f>IF(ISBLANK('Data Entry'!$ą$450), "", 'Data Entry'!$ą$450)</f>
      </c>
      <c r="GP450">
        <f>IF(ISBLANK('Data Entry'!$Ć$450), "", 'Data Entry'!$Ć$450)</f>
      </c>
      <c r="GQ450">
        <f>IF(ISBLANK('Data Entry'!$ć$450), "", 'Data Entry'!$ć$450)</f>
      </c>
      <c r="GR450">
        <f>IF(ISBLANK('Data Entry'!$Ĉ$450), "", 'Data Entry'!$Ĉ$450)</f>
      </c>
      <c r="GS450">
        <f>IF(ISBLANK('Data Entry'!$ĉ$450), "", 'Data Entry'!$ĉ$450)</f>
      </c>
      <c r="GT450">
        <f>IF(ISBLANK('Data Entry'!$Ċ$450), "", 'Data Entry'!$Ċ$450)</f>
      </c>
      <c r="GU450">
        <f>IF(ISBLANK('Data Entry'!$ċ$450), "", 'Data Entry'!$ċ$450)</f>
      </c>
      <c r="GV450">
        <f>IF(ISBLANK('Data Entry'!$Č$450), "", 'Data Entry'!$Č$450)</f>
      </c>
      <c r="GW450">
        <f>IF(ISBLANK('Data Entry'!$č$450), "", 'Data Entry'!$č$450)</f>
      </c>
      <c r="GX450">
        <f>IF(ISBLANK('Data Entry'!$Ď$450), "", 'Data Entry'!$Ď$450)</f>
      </c>
      <c r="GY450">
        <f>IF(ISBLANK('Data Entry'!$ď$450), "", 'Data Entry'!$ď$450)</f>
      </c>
      <c r="GZ450">
        <f>IF(ISBLANK('Data Entry'!$Đ$450), "", 'Data Entry'!$Đ$450)</f>
      </c>
      <c r="HA450">
        <f>IF(ISBLANK('Data Entry'!$đ$450), "", 'Data Entry'!$đ$450)</f>
      </c>
      <c r="HB450">
        <f>IF(ISBLANK('Data Entry'!$Ē$450), "", 'Data Entry'!$Ē$450)</f>
      </c>
      <c r="HC450">
        <f>IF(ISBLANK('Data Entry'!$ē$450), "", 'Data Entry'!$ē$450)</f>
      </c>
      <c r="HD450">
        <f>IF(ISBLANK('Data Entry'!$Ĕ$450), "", 'Data Entry'!$Ĕ$450)</f>
      </c>
      <c r="HE450">
        <f>IF(ISBLANK('Data Entry'!$ĕ$450), "", 'Data Entry'!$ĕ$450)</f>
      </c>
      <c r="HF450">
        <f>IF(ISBLANK('Data Entry'!$Ė$450), "", 'Data Entry'!$Ė$450)</f>
      </c>
      <c r="HG450">
        <f>IF(ISBLANK('Data Entry'!$ė$450), "", 'Data Entry'!$ė$450)</f>
      </c>
      <c r="HH450">
        <f>IF(ISBLANK('Data Entry'!$Ę$450), "", 'Data Entry'!$Ę$450)</f>
      </c>
      <c r="HI450">
        <f>IF(ISBLANK('Data Entry'!$ę$450), "", 'Data Entry'!$ę$450)</f>
      </c>
      <c r="HJ450">
        <f>IF(ISBLANK('Data Entry'!$Ě$450), "", 'Data Entry'!$Ě$450)</f>
      </c>
      <c r="HK450">
        <f>IF(ISBLANK('Data Entry'!$ě$450), "", 'Data Entry'!$ě$450)</f>
      </c>
      <c r="HL450">
        <f>IF(ISBLANK('Data Entry'!$Ĝ$450), "", 'Data Entry'!$Ĝ$450)</f>
      </c>
      <c r="HM450">
        <f>IF(ISBLANK('Data Entry'!$ĝ$450), "", 'Data Entry'!$ĝ$450)</f>
      </c>
      <c r="HN450">
        <f>IF(ISBLANK('Data Entry'!$Ğ$450), "", 'Data Entry'!$Ğ$450)</f>
      </c>
      <c r="HO450">
        <f>IF(ISBLANK('Data Entry'!$ğ$450), "", 'Data Entry'!$ğ$450)</f>
      </c>
      <c r="HP450">
        <f>IF(ISBLANK('Data Entry'!$Ġ$450), "", 'Data Entry'!$Ġ$450)</f>
      </c>
      <c r="HQ450">
        <f>IF(ISBLANK('Data Entry'!$ġ$450), "", 'Data Entry'!$ġ$450)</f>
      </c>
      <c r="HR450">
        <f>IF(ISBLANK('Data Entry'!$Ģ$450), "", 'Data Entry'!$Ģ$450)</f>
      </c>
      <c r="HS450">
        <f>IF(ISBLANK('Data Entry'!$ģ$450), "", 'Data Entry'!$ģ$450)</f>
      </c>
      <c r="HT450">
        <f>IF(ISBLANK('Data Entry'!$Ĥ$450), "", 'Data Entry'!$Ĥ$450)</f>
      </c>
      <c r="HU450">
        <f>IF(ISBLANK('Data Entry'!$ĥ$450), "", 'Data Entry'!$ĥ$450)</f>
      </c>
      <c r="HV450">
        <f>IF(ISBLANK('Data Entry'!$Ħ$450), "", 'Data Entry'!$Ħ$450)</f>
      </c>
      <c r="HW450">
        <f>IF(ISBLANK('Data Entry'!$ħ$450), "", 'Data Entry'!$ħ$450)</f>
      </c>
      <c r="HX450">
        <f>IF(ISBLANK('Data Entry'!$Ĩ$450), "", 'Data Entry'!$Ĩ$450)</f>
      </c>
      <c r="HY450">
        <f>IF(ISBLANK('Data Entry'!$ĩ$450), "", 'Data Entry'!$ĩ$450)</f>
      </c>
      <c r="HZ450">
        <f>IF(ISBLANK('Data Entry'!$Ī$450), "", 'Data Entry'!$Ī$450)</f>
      </c>
      <c r="IA450">
        <f>IF(ISBLANK('Data Entry'!$ī$450), "", 'Data Entry'!$ī$450)</f>
      </c>
      <c r="IB450">
        <f>IF(ISBLANK('Data Entry'!$Ĭ$450), "", 'Data Entry'!$Ĭ$450)</f>
      </c>
      <c r="IC450">
        <f>IF(ISBLANK('Data Entry'!$ĭ$450), "", 'Data Entry'!$ĭ$450)</f>
      </c>
      <c r="ID450">
        <f>IF(ISBLANK('Data Entry'!$Į$450), "", 'Data Entry'!$Į$450)</f>
      </c>
      <c r="IE450">
        <f>IF(ISBLANK('Data Entry'!$į$450), "", 'Data Entry'!$į$450)</f>
      </c>
      <c r="IF450">
        <f>IF(ISBLANK('Data Entry'!$İ$450), "", 'Data Entry'!$İ$450)</f>
      </c>
      <c r="IG450">
        <f>IF(ISBLANK('Data Entry'!$ı$450), "", 'Data Entry'!$ı$450)</f>
      </c>
      <c r="IH450">
        <f>IF(ISBLANK('Data Entry'!$Ĳ$450), "", 'Data Entry'!$Ĳ$450)</f>
      </c>
      <c r="II450">
        <f>IF(ISBLANK('Data Entry'!$ĳ$450), "", 'Data Entry'!$ĳ$450)</f>
      </c>
      <c r="IJ450">
        <f>IF(ISBLANK('Data Entry'!$Ĵ$450), "", 'Data Entry'!$Ĵ$450)</f>
      </c>
      <c r="IK450">
        <f>IF(ISBLANK('Data Entry'!$ĵ$450), "", 'Data Entry'!$ĵ$450)</f>
      </c>
      <c r="IL450">
        <f>IF(ISBLANK('Data Entry'!$Ķ$450), "", 'Data Entry'!$Ķ$450)</f>
      </c>
      <c r="IM450">
        <f>IF(ISBLANK('Data Entry'!$ķ$450), "", 'Data Entry'!$ķ$450)</f>
      </c>
      <c r="IN450">
        <f>IF(ISBLANK('Data Entry'!$ĸ$450), "", 'Data Entry'!$ĸ$450)</f>
      </c>
      <c r="IO450">
        <f>IF(ISBLANK('Data Entry'!$Ĺ$450), "", 'Data Entry'!$Ĺ$450)</f>
      </c>
      <c r="IP450">
        <f>IF(ISBLANK('Data Entry'!$ĺ$450), "", 'Data Entry'!$ĺ$450)</f>
      </c>
      <c r="IQ450">
        <f>IF(ISBLANK('Data Entry'!$Ļ$450), "", 'Data Entry'!$Ļ$450)</f>
      </c>
      <c r="IR450">
        <f>IF(ISBLANK('Data Entry'!$ļ$450), "", 'Data Entry'!$ļ$450)</f>
      </c>
      <c r="IS450">
        <f>IF(ISBLANK('Data Entry'!$Ľ$450), "", 'Data Entry'!$Ľ$450)</f>
      </c>
      <c r="IT450">
        <f>IF(ISBLANK('Data Entry'!$ľ$450), "", 'Data Entry'!$ľ$450)</f>
      </c>
    </row>
    <row r="451" spans="1:254" x14ac:dyDescent="0.25">
      <c r="A451">
        <f>IF(ISBLANK('Data Entry'!$A$451), "", 'Data Entry'!$A$451)</f>
      </c>
      <c r="B451">
        <f>IF(ISBLANK('Data Entry'!$B$451), "", 'Data Entry'!$B$451)</f>
      </c>
      <c r="C451">
        <f>IF(ISBLANK('Data Entry'!$C$451), "", 'Data Entry'!$C$451)</f>
      </c>
      <c r="D451">
        <f>IF(ISBLANK('Data Entry'!$D$451), "", 'Data Entry'!$D$451)</f>
      </c>
      <c r="E451">
        <f>IF(ISBLANK('Data Entry'!$E$451), "", 'Data Entry'!$E$451)</f>
      </c>
      <c r="F451">
        <f>IF(ISBLANK('Data Entry'!$F$451), "", 'Data Entry'!$F$451)</f>
      </c>
      <c r="G451">
        <f>IF(ISBLANK('Data Entry'!$G$451), "", 'Data Entry'!$G$451)</f>
      </c>
      <c r="H451">
        <f>IF(ISBLANK('Data Entry'!$H$451), "", 'Data Entry'!$H$451)</f>
      </c>
      <c r="I451">
        <f>IF(ISBLANK('Data Entry'!$I$451), "", 'Data Entry'!$I$451)</f>
      </c>
      <c r="J451">
        <f>IF(ISBLANK('Data Entry'!$J$451), "", 'Data Entry'!$J$451)</f>
      </c>
      <c r="K451">
        <f>IF(ISBLANK('Data Entry'!$K$451), "", 'Data Entry'!$K$451)</f>
      </c>
      <c r="L451">
        <f>IF(ISBLANK('Data Entry'!$L$451), "", 'Data Entry'!$L$451)</f>
      </c>
      <c r="M451">
        <f>IF(ISBLANK('Data Entry'!$M$451), "", 'Data Entry'!$M$451)</f>
      </c>
      <c r="N451">
        <f>IF(ISBLANK('Data Entry'!$N$451), "", 'Data Entry'!$N$451)</f>
      </c>
      <c r="O451">
        <f>IF(ISBLANK('Data Entry'!$O$451), "", 'Data Entry'!$O$451)</f>
      </c>
      <c r="P451">
        <f>IF(ISBLANK('Data Entry'!$P$451), "", 'Data Entry'!$P$451)</f>
      </c>
      <c r="Q451">
        <f>IF(ISBLANK('Data Entry'!$Q$451), "", 'Data Entry'!$Q$451)</f>
      </c>
      <c r="R451">
        <f>IF(ISBLANK('Data Entry'!$R$451), "", 'Data Entry'!$R$451)</f>
      </c>
      <c r="S451">
        <f>IF(ISBLANK('Data Entry'!$S$451), "", 'Data Entry'!$S$451)</f>
      </c>
      <c r="T451">
        <f>IF(ISBLANK('Data Entry'!$T$451), "", 'Data Entry'!$T$451)</f>
      </c>
      <c r="U451">
        <f>IF(ISBLANK('Data Entry'!$U$451), "", 'Data Entry'!$U$451)</f>
      </c>
      <c r="V451">
        <f>IF(ISBLANK('Data Entry'!$V$451), "", 'Data Entry'!$V$451)</f>
      </c>
      <c r="W451">
        <f>IF(ISBLANK('Data Entry'!$W$451), "", 'Data Entry'!$W$451)</f>
      </c>
      <c r="X451">
        <f>IF(ISBLANK('Data Entry'!$X$451), "", 'Data Entry'!$X$451)</f>
      </c>
      <c r="Y451">
        <f>IF(ISBLANK('Data Entry'!$Y$451), "", 'Data Entry'!$Y$451)</f>
      </c>
      <c r="Z451">
        <f>IF(ISBLANK('Data Entry'!$Z$451), "", 'Data Entry'!$Z$451)</f>
      </c>
      <c r="AA451">
        <f>IF(ISBLANK('Data Entry'!$[$451), "", 'Data Entry'!$[$451)</f>
      </c>
      <c r="AB451">
        <f>IF(ISBLANK('Data Entry'!$\$451), "", 'Data Entry'!$\$451)</f>
      </c>
      <c r="AC451">
        <f>IF(ISBLANK('Data Entry'!$]$451), "", 'Data Entry'!$]$451)</f>
      </c>
      <c r="AD451">
        <f>IF(ISBLANK('Data Entry'!$^$451), "", 'Data Entry'!$^$451)</f>
      </c>
      <c r="AE451">
        <f>IF(ISBLANK('Data Entry'!$_$451), "", 'Data Entry'!$_$451)</f>
      </c>
      <c r="AF451">
        <f>IF(ISBLANK('Data Entry'!$`$451), "", 'Data Entry'!$`$451)</f>
      </c>
      <c r="AG451">
        <f>IF(ISBLANK('Data Entry'!$a$451), "", 'Data Entry'!$a$451)</f>
      </c>
      <c r="AH451">
        <f>IF(ISBLANK('Data Entry'!$b$451), "", 'Data Entry'!$b$451)</f>
      </c>
      <c r="AI451">
        <f>IF(ISBLANK('Data Entry'!$c$451), "", 'Data Entry'!$c$451)</f>
      </c>
      <c r="AJ451">
        <f>IF(ISBLANK('Data Entry'!$d$451), "", 'Data Entry'!$d$451)</f>
      </c>
      <c r="AK451">
        <f>IF(ISBLANK('Data Entry'!$e$451), "", 'Data Entry'!$e$451)</f>
      </c>
      <c r="AL451">
        <f>IF(ISBLANK('Data Entry'!$f$451), "", 'Data Entry'!$f$451)</f>
      </c>
      <c r="AM451">
        <f>IF(ISBLANK('Data Entry'!$g$451), "", 'Data Entry'!$g$451)</f>
      </c>
      <c r="AN451">
        <f>IF(ISBLANK('Data Entry'!$h$451), "", 'Data Entry'!$h$451)</f>
      </c>
      <c r="AO451">
        <f>IF(ISBLANK('Data Entry'!$i$451), "", 'Data Entry'!$i$451)</f>
      </c>
      <c r="AP451">
        <f>IF(ISBLANK('Data Entry'!$j$451), "", 'Data Entry'!$j$451)</f>
      </c>
      <c r="AQ451">
        <f>IF(ISBLANK('Data Entry'!$k$451), "", 'Data Entry'!$k$451)</f>
      </c>
      <c r="AR451">
        <f>IF(ISBLANK('Data Entry'!$l$451), "", 'Data Entry'!$l$451)</f>
      </c>
      <c r="AS451">
        <f>IF(ISBLANK('Data Entry'!$m$451), "", 'Data Entry'!$m$451)</f>
      </c>
      <c r="AT451">
        <f>IF(ISBLANK('Data Entry'!$n$451), "", 'Data Entry'!$n$451)</f>
      </c>
      <c r="AU451">
        <f>IF(ISBLANK('Data Entry'!$o$451), "", 'Data Entry'!$o$451)</f>
      </c>
      <c r="AV451">
        <f>IF(ISBLANK('Data Entry'!$p$451), "", 'Data Entry'!$p$451)</f>
      </c>
      <c r="AW451">
        <f>IF(ISBLANK('Data Entry'!$q$451), "", 'Data Entry'!$q$451)</f>
      </c>
      <c r="AX451">
        <f>IF(ISBLANK('Data Entry'!$r$451), "", 'Data Entry'!$r$451)</f>
      </c>
      <c r="AY451">
        <f>IF(ISBLANK('Data Entry'!$s$451), "", 'Data Entry'!$s$451)</f>
      </c>
      <c r="AZ451">
        <f>IF(ISBLANK('Data Entry'!$t$451), "", 'Data Entry'!$t$451)</f>
      </c>
      <c r="BA451">
        <f>IF(ISBLANK('Data Entry'!$u$451), "", 'Data Entry'!$u$451)</f>
      </c>
      <c r="BB451">
        <f>IF(ISBLANK('Data Entry'!$v$451), "", 'Data Entry'!$v$451)</f>
      </c>
      <c r="BC451">
        <f>IF(ISBLANK('Data Entry'!$w$451), "", 'Data Entry'!$w$451)</f>
      </c>
      <c r="BD451">
        <f>IF(ISBLANK('Data Entry'!$x$451), "", 'Data Entry'!$x$451)</f>
      </c>
      <c r="BE451">
        <f>IF(ISBLANK('Data Entry'!$y$451), "", 'Data Entry'!$y$451)</f>
      </c>
      <c r="BF451">
        <f>IF(ISBLANK('Data Entry'!$z$451), "", 'Data Entry'!$z$451)</f>
      </c>
      <c r="BG451">
        <f>IF(ISBLANK('Data Entry'!${$451), "", 'Data Entry'!${$451)</f>
      </c>
      <c r="BH451">
        <f>IF(ISBLANK('Data Entry'!$|$451), "", 'Data Entry'!$|$451)</f>
      </c>
      <c r="BI451">
        <f>IF(ISBLANK('Data Entry'!$}$451), "", 'Data Entry'!$}$451)</f>
      </c>
      <c r="BJ451">
        <f>IF(ISBLANK('Data Entry'!$~$451), "", 'Data Entry'!$~$451)</f>
      </c>
      <c r="BK451">
        <f>IF(ISBLANK('Data Entry'!$$451), "", 'Data Entry'!$$451)</f>
      </c>
      <c r="BL451">
        <f>IF(ISBLANK('Data Entry'!$$451), "", 'Data Entry'!$$451)</f>
      </c>
      <c r="BM451">
        <f>IF(ISBLANK('Data Entry'!$$451), "", 'Data Entry'!$$451)</f>
      </c>
      <c r="BN451">
        <f>IF(ISBLANK('Data Entry'!$$451), "", 'Data Entry'!$$451)</f>
      </c>
      <c r="BO451">
        <f>IF(ISBLANK('Data Entry'!$$451), "", 'Data Entry'!$$451)</f>
      </c>
      <c r="BP451">
        <f>IF(ISBLANK('Data Entry'!$$451), "", 'Data Entry'!$$451)</f>
      </c>
      <c r="BQ451">
        <f>IF(ISBLANK('Data Entry'!$$451), "", 'Data Entry'!$$451)</f>
      </c>
      <c r="BR451">
        <f>IF(ISBLANK('Data Entry'!$$451), "", 'Data Entry'!$$451)</f>
      </c>
      <c r="BS451">
        <f>IF(ISBLANK('Data Entry'!$$451), "", 'Data Entry'!$$451)</f>
      </c>
      <c r="BT451">
        <f>IF(ISBLANK('Data Entry'!$$451), "", 'Data Entry'!$$451)</f>
      </c>
      <c r="BU451">
        <f>IF(ISBLANK('Data Entry'!$$451), "", 'Data Entry'!$$451)</f>
      </c>
      <c r="BV451">
        <f>IF(ISBLANK('Data Entry'!$$451), "", 'Data Entry'!$$451)</f>
      </c>
      <c r="BW451">
        <f>IF(ISBLANK('Data Entry'!$$451), "", 'Data Entry'!$$451)</f>
      </c>
      <c r="BX451">
        <f>IF(ISBLANK('Data Entry'!$$451), "", 'Data Entry'!$$451)</f>
      </c>
      <c r="BY451">
        <f>IF(ISBLANK('Data Entry'!$$451), "", 'Data Entry'!$$451)</f>
      </c>
      <c r="BZ451">
        <f>IF(ISBLANK('Data Entry'!$$451), "", 'Data Entry'!$$451)</f>
      </c>
      <c r="CA451">
        <f>IF(ISBLANK('Data Entry'!$$451), "", 'Data Entry'!$$451)</f>
      </c>
      <c r="CB451">
        <f>IF(ISBLANK('Data Entry'!$$451), "", 'Data Entry'!$$451)</f>
      </c>
      <c r="CC451">
        <f>IF(ISBLANK('Data Entry'!$$451), "", 'Data Entry'!$$451)</f>
      </c>
      <c r="CD451">
        <f>IF(ISBLANK('Data Entry'!$$451), "", 'Data Entry'!$$451)</f>
      </c>
      <c r="CE451">
        <f>IF(ISBLANK('Data Entry'!$$451), "", 'Data Entry'!$$451)</f>
      </c>
      <c r="CF451">
        <f>IF(ISBLANK('Data Entry'!$$451), "", 'Data Entry'!$$451)</f>
      </c>
      <c r="CG451">
        <f>IF(ISBLANK('Data Entry'!$$451), "", 'Data Entry'!$$451)</f>
      </c>
      <c r="CH451">
        <f>IF(ISBLANK('Data Entry'!$$451), "", 'Data Entry'!$$451)</f>
      </c>
      <c r="CI451">
        <f>IF(ISBLANK('Data Entry'!$$451), "", 'Data Entry'!$$451)</f>
      </c>
      <c r="CJ451">
        <f>IF(ISBLANK('Data Entry'!$$451), "", 'Data Entry'!$$451)</f>
      </c>
      <c r="CK451">
        <f>IF(ISBLANK('Data Entry'!$$451), "", 'Data Entry'!$$451)</f>
      </c>
      <c r="CL451">
        <f>IF(ISBLANK('Data Entry'!$$451), "", 'Data Entry'!$$451)</f>
      </c>
      <c r="CM451">
        <f>IF(ISBLANK('Data Entry'!$$451), "", 'Data Entry'!$$451)</f>
      </c>
      <c r="CN451">
        <f>IF(ISBLANK('Data Entry'!$$451), "", 'Data Entry'!$$451)</f>
      </c>
      <c r="CO451">
        <f>IF(ISBLANK('Data Entry'!$$451), "", 'Data Entry'!$$451)</f>
      </c>
      <c r="CP451">
        <f>IF(ISBLANK('Data Entry'!$$451), "", 'Data Entry'!$$451)</f>
      </c>
      <c r="CQ451">
        <f>IF(ISBLANK('Data Entry'!$$451), "", 'Data Entry'!$$451)</f>
      </c>
      <c r="CR451">
        <f>IF(ISBLANK('Data Entry'!$ $451), "", 'Data Entry'!$ $451)</f>
      </c>
      <c r="CS451">
        <f>IF(ISBLANK('Data Entry'!$¡$451), "", 'Data Entry'!$¡$451)</f>
      </c>
      <c r="CT451">
        <f>IF(ISBLANK('Data Entry'!$¢$451), "", 'Data Entry'!$¢$451)</f>
      </c>
      <c r="CU451">
        <f>IF(ISBLANK('Data Entry'!$£$451), "", 'Data Entry'!$£$451)</f>
      </c>
      <c r="CV451">
        <f>IF(ISBLANK('Data Entry'!$¤$451), "", 'Data Entry'!$¤$451)</f>
      </c>
      <c r="CW451">
        <f>IF(ISBLANK('Data Entry'!$¥$451), "", 'Data Entry'!$¥$451)</f>
      </c>
      <c r="CX451">
        <f>IF(ISBLANK('Data Entry'!$¦$451), "", 'Data Entry'!$¦$451)</f>
      </c>
      <c r="CY451">
        <f>IF(ISBLANK('Data Entry'!$§$451), "", 'Data Entry'!$§$451)</f>
      </c>
      <c r="CZ451">
        <f>IF(ISBLANK('Data Entry'!$¨$451), "", 'Data Entry'!$¨$451)</f>
      </c>
      <c r="DA451">
        <f>IF(ISBLANK('Data Entry'!$©$451), "", 'Data Entry'!$©$451)</f>
      </c>
      <c r="DB451">
        <f>IF(ISBLANK('Data Entry'!$ª$451), "", 'Data Entry'!$ª$451)</f>
      </c>
      <c r="DC451">
        <f>IF(ISBLANK('Data Entry'!$«$451), "", 'Data Entry'!$«$451)</f>
      </c>
      <c r="DD451">
        <f>IF(ISBLANK('Data Entry'!$¬$451), "", 'Data Entry'!$¬$451)</f>
      </c>
      <c r="DE451">
        <f>IF(ISBLANK('Data Entry'!$­$451), "", 'Data Entry'!$­$451)</f>
      </c>
      <c r="DF451">
        <f>IF(ISBLANK('Data Entry'!$®$451), "", 'Data Entry'!$®$451)</f>
      </c>
      <c r="DG451">
        <f>IF(ISBLANK('Data Entry'!$¯$451), "", 'Data Entry'!$¯$451)</f>
      </c>
      <c r="DH451">
        <f>IF(ISBLANK('Data Entry'!$°$451), "", 'Data Entry'!$°$451)</f>
      </c>
      <c r="DI451">
        <f>IF(ISBLANK('Data Entry'!$±$451), "", 'Data Entry'!$±$451)</f>
      </c>
      <c r="DJ451">
        <f>IF(ISBLANK('Data Entry'!$²$451), "", 'Data Entry'!$²$451)</f>
      </c>
      <c r="DK451">
        <f>IF(ISBLANK('Data Entry'!$³$451), "", 'Data Entry'!$³$451)</f>
      </c>
      <c r="DL451">
        <f>IF(ISBLANK('Data Entry'!$´$451), "", 'Data Entry'!$´$451)</f>
      </c>
      <c r="DM451">
        <f>IF(ISBLANK('Data Entry'!$µ$451), "", 'Data Entry'!$µ$451)</f>
      </c>
      <c r="DN451">
        <f>IF(ISBLANK('Data Entry'!$¶$451), "", 'Data Entry'!$¶$451)</f>
      </c>
      <c r="DO451">
        <f>IF(ISBLANK('Data Entry'!$·$451), "", 'Data Entry'!$·$451)</f>
      </c>
      <c r="DP451">
        <f>IF(ISBLANK('Data Entry'!$¸$451), "", 'Data Entry'!$¸$451)</f>
      </c>
      <c r="DQ451">
        <f>IF(ISBLANK('Data Entry'!$¹$451), "", 'Data Entry'!$¹$451)</f>
      </c>
      <c r="DR451">
        <f>IF(ISBLANK('Data Entry'!$º$451), "", 'Data Entry'!$º$451)</f>
      </c>
      <c r="DS451">
        <f>IF(ISBLANK('Data Entry'!$»$451), "", 'Data Entry'!$»$451)</f>
      </c>
      <c r="DT451">
        <f>IF(ISBLANK('Data Entry'!$¼$451), "", 'Data Entry'!$¼$451)</f>
      </c>
      <c r="DU451">
        <f>IF(ISBLANK('Data Entry'!$½$451), "", 'Data Entry'!$½$451)</f>
      </c>
      <c r="DV451">
        <f>IF(ISBLANK('Data Entry'!$¾$451), "", 'Data Entry'!$¾$451)</f>
      </c>
      <c r="DW451">
        <f>IF(ISBLANK('Data Entry'!$¿$451), "", 'Data Entry'!$¿$451)</f>
      </c>
      <c r="DX451">
        <f>IF(ISBLANK('Data Entry'!$À$451), "", 'Data Entry'!$À$451)</f>
      </c>
      <c r="DY451">
        <f>IF(ISBLANK('Data Entry'!$Á$451), "", 'Data Entry'!$Á$451)</f>
      </c>
      <c r="DZ451">
        <f>IF(ISBLANK('Data Entry'!$Â$451), "", 'Data Entry'!$Â$451)</f>
      </c>
      <c r="EA451">
        <f>IF(ISBLANK('Data Entry'!$Ã$451), "", 'Data Entry'!$Ã$451)</f>
      </c>
      <c r="EB451">
        <f>IF(ISBLANK('Data Entry'!$Ä$451), "", 'Data Entry'!$Ä$451)</f>
      </c>
      <c r="EC451">
        <f>IF(ISBLANK('Data Entry'!$Å$451), "", 'Data Entry'!$Å$451)</f>
      </c>
      <c r="ED451">
        <f>IF(ISBLANK('Data Entry'!$Æ$451), "", 'Data Entry'!$Æ$451)</f>
      </c>
      <c r="EE451">
        <f>IF(ISBLANK('Data Entry'!$Ç$451), "", 'Data Entry'!$Ç$451)</f>
      </c>
      <c r="EF451">
        <f>IF(ISBLANK('Data Entry'!$È$451), "", 'Data Entry'!$È$451)</f>
      </c>
      <c r="EG451">
        <f>IF(ISBLANK('Data Entry'!$É$451), "", 'Data Entry'!$É$451)</f>
      </c>
      <c r="EH451">
        <f>IF(ISBLANK('Data Entry'!$Ê$451), "", 'Data Entry'!$Ê$451)</f>
      </c>
      <c r="EI451">
        <f>IF(ISBLANK('Data Entry'!$Ë$451), "", 'Data Entry'!$Ë$451)</f>
      </c>
      <c r="EJ451">
        <f>IF(ISBLANK('Data Entry'!$Ì$451), "", 'Data Entry'!$Ì$451)</f>
      </c>
      <c r="EK451">
        <f>IF(ISBLANK('Data Entry'!$Í$451), "", 'Data Entry'!$Í$451)</f>
      </c>
      <c r="EL451">
        <f>IF(ISBLANK('Data Entry'!$Î$451), "", 'Data Entry'!$Î$451)</f>
      </c>
      <c r="EM451">
        <f>IF(ISBLANK('Data Entry'!$Ï$451), "", 'Data Entry'!$Ï$451)</f>
      </c>
      <c r="EN451">
        <f>IF(ISBLANK('Data Entry'!$Ð$451), "", 'Data Entry'!$Ð$451)</f>
      </c>
      <c r="EO451">
        <f>IF(ISBLANK('Data Entry'!$Ñ$451), "", 'Data Entry'!$Ñ$451)</f>
      </c>
      <c r="EP451">
        <f>IF(ISBLANK('Data Entry'!$Ò$451), "", 'Data Entry'!$Ò$451)</f>
      </c>
      <c r="EQ451">
        <f>IF(ISBLANK('Data Entry'!$Ó$451), "", 'Data Entry'!$Ó$451)</f>
      </c>
      <c r="ER451">
        <f>IF(ISBLANK('Data Entry'!$Ô$451), "", 'Data Entry'!$Ô$451)</f>
      </c>
      <c r="ES451">
        <f>IF(ISBLANK('Data Entry'!$Õ$451), "", 'Data Entry'!$Õ$451)</f>
      </c>
      <c r="ET451">
        <f>IF(ISBLANK('Data Entry'!$Ö$451), "", 'Data Entry'!$Ö$451)</f>
      </c>
      <c r="EU451">
        <f>IF(ISBLANK('Data Entry'!$×$451), "", 'Data Entry'!$×$451)</f>
      </c>
      <c r="EV451">
        <f>IF(ISBLANK('Data Entry'!$Ø$451), "", 'Data Entry'!$Ø$451)</f>
      </c>
      <c r="EW451">
        <f>IF(ISBLANK('Data Entry'!$Ù$451), "", 'Data Entry'!$Ù$451)</f>
      </c>
      <c r="EX451">
        <f>IF(ISBLANK('Data Entry'!$Ú$451), "", 'Data Entry'!$Ú$451)</f>
      </c>
      <c r="EY451">
        <f>IF(ISBLANK('Data Entry'!$Û$451), "", 'Data Entry'!$Û$451)</f>
      </c>
      <c r="EZ451">
        <f>IF(ISBLANK('Data Entry'!$Ü$451), "", 'Data Entry'!$Ü$451)</f>
      </c>
      <c r="FA451">
        <f>IF(ISBLANK('Data Entry'!$Ý$451), "", 'Data Entry'!$Ý$451)</f>
      </c>
      <c r="FB451">
        <f>IF(ISBLANK('Data Entry'!$Þ$451), "", 'Data Entry'!$Þ$451)</f>
      </c>
      <c r="FC451">
        <f>IF(ISBLANK('Data Entry'!$ß$451), "", 'Data Entry'!$ß$451)</f>
      </c>
      <c r="FD451">
        <f>IF(ISBLANK('Data Entry'!$à$451), "", 'Data Entry'!$à$451)</f>
      </c>
      <c r="FE451">
        <f>IF(ISBLANK('Data Entry'!$á$451), "", 'Data Entry'!$á$451)</f>
      </c>
      <c r="FF451">
        <f>IF(ISBLANK('Data Entry'!$â$451), "", 'Data Entry'!$â$451)</f>
      </c>
      <c r="FG451">
        <f>IF(ISBLANK('Data Entry'!$ã$451), "", 'Data Entry'!$ã$451)</f>
      </c>
      <c r="FH451">
        <f>IF(ISBLANK('Data Entry'!$ä$451), "", 'Data Entry'!$ä$451)</f>
      </c>
      <c r="FI451">
        <f>IF(ISBLANK('Data Entry'!$å$451), "", 'Data Entry'!$å$451)</f>
      </c>
      <c r="FJ451">
        <f>IF(ISBLANK('Data Entry'!$æ$451), "", 'Data Entry'!$æ$451)</f>
      </c>
      <c r="FK451">
        <f>IF(ISBLANK('Data Entry'!$ç$451), "", 'Data Entry'!$ç$451)</f>
      </c>
      <c r="FL451">
        <f>IF(ISBLANK('Data Entry'!$è$451), "", 'Data Entry'!$è$451)</f>
      </c>
      <c r="FM451">
        <f>IF(ISBLANK('Data Entry'!$é$451), "", 'Data Entry'!$é$451)</f>
      </c>
      <c r="FN451">
        <f>IF(ISBLANK('Data Entry'!$ê$451), "", 'Data Entry'!$ê$451)</f>
      </c>
      <c r="FO451">
        <f>IF(ISBLANK('Data Entry'!$ë$451), "", 'Data Entry'!$ë$451)</f>
      </c>
      <c r="FP451">
        <f>IF(ISBLANK('Data Entry'!$ì$451), "", 'Data Entry'!$ì$451)</f>
      </c>
      <c r="FQ451">
        <f>IF(ISBLANK('Data Entry'!$í$451), "", 'Data Entry'!$í$451)</f>
      </c>
      <c r="FR451">
        <f>IF(ISBLANK('Data Entry'!$î$451), "", 'Data Entry'!$î$451)</f>
      </c>
      <c r="FS451">
        <f>IF(ISBLANK('Data Entry'!$ï$451), "", 'Data Entry'!$ï$451)</f>
      </c>
      <c r="FT451">
        <f>IF(ISBLANK('Data Entry'!$ð$451), "", 'Data Entry'!$ð$451)</f>
      </c>
      <c r="FU451">
        <f>IF(ISBLANK('Data Entry'!$ñ$451), "", 'Data Entry'!$ñ$451)</f>
      </c>
      <c r="FV451">
        <f>IF(ISBLANK('Data Entry'!$ò$451), "", 'Data Entry'!$ò$451)</f>
      </c>
      <c r="FW451">
        <f>IF(ISBLANK('Data Entry'!$ó$451), "", 'Data Entry'!$ó$451)</f>
      </c>
      <c r="FX451">
        <f>IF(ISBLANK('Data Entry'!$ô$451), "", 'Data Entry'!$ô$451)</f>
      </c>
      <c r="FY451">
        <f>IF(ISBLANK('Data Entry'!$õ$451), "", 'Data Entry'!$õ$451)</f>
      </c>
      <c r="FZ451">
        <f>IF(ISBLANK('Data Entry'!$ö$451), "", 'Data Entry'!$ö$451)</f>
      </c>
      <c r="GA451">
        <f>IF(ISBLANK('Data Entry'!$÷$451), "", 'Data Entry'!$÷$451)</f>
      </c>
      <c r="GB451">
        <f>IF(ISBLANK('Data Entry'!$ø$451), "", 'Data Entry'!$ø$451)</f>
      </c>
      <c r="GC451">
        <f>IF(ISBLANK('Data Entry'!$ù$451), "", 'Data Entry'!$ù$451)</f>
      </c>
      <c r="GD451">
        <f>IF(ISBLANK('Data Entry'!$ú$451), "", 'Data Entry'!$ú$451)</f>
      </c>
      <c r="GE451">
        <f>IF(ISBLANK('Data Entry'!$û$451), "", 'Data Entry'!$û$451)</f>
      </c>
      <c r="GF451">
        <f>IF(ISBLANK('Data Entry'!$ü$451), "", 'Data Entry'!$ü$451)</f>
      </c>
      <c r="GG451">
        <f>IF(ISBLANK('Data Entry'!$ý$451), "", 'Data Entry'!$ý$451)</f>
      </c>
      <c r="GH451">
        <f>IF(ISBLANK('Data Entry'!$þ$451), "", 'Data Entry'!$þ$451)</f>
      </c>
      <c r="GI451">
        <f>IF(ISBLANK('Data Entry'!$ÿ$451), "", 'Data Entry'!$ÿ$451)</f>
      </c>
      <c r="GJ451">
        <f>IF(ISBLANK('Data Entry'!$Ā$451), "", 'Data Entry'!$Ā$451)</f>
      </c>
      <c r="GK451">
        <f>IF(ISBLANK('Data Entry'!$ā$451), "", 'Data Entry'!$ā$451)</f>
      </c>
      <c r="GL451">
        <f>IF(ISBLANK('Data Entry'!$Ă$451), "", 'Data Entry'!$Ă$451)</f>
      </c>
      <c r="GM451">
        <f>IF(ISBLANK('Data Entry'!$ă$451), "", 'Data Entry'!$ă$451)</f>
      </c>
      <c r="GN451">
        <f>IF(ISBLANK('Data Entry'!$Ą$451), "", 'Data Entry'!$Ą$451)</f>
      </c>
      <c r="GO451">
        <f>IF(ISBLANK('Data Entry'!$ą$451), "", 'Data Entry'!$ą$451)</f>
      </c>
      <c r="GP451">
        <f>IF(ISBLANK('Data Entry'!$Ć$451), "", 'Data Entry'!$Ć$451)</f>
      </c>
      <c r="GQ451">
        <f>IF(ISBLANK('Data Entry'!$ć$451), "", 'Data Entry'!$ć$451)</f>
      </c>
      <c r="GR451">
        <f>IF(ISBLANK('Data Entry'!$Ĉ$451), "", 'Data Entry'!$Ĉ$451)</f>
      </c>
      <c r="GS451">
        <f>IF(ISBLANK('Data Entry'!$ĉ$451), "", 'Data Entry'!$ĉ$451)</f>
      </c>
      <c r="GT451">
        <f>IF(ISBLANK('Data Entry'!$Ċ$451), "", 'Data Entry'!$Ċ$451)</f>
      </c>
      <c r="GU451">
        <f>IF(ISBLANK('Data Entry'!$ċ$451), "", 'Data Entry'!$ċ$451)</f>
      </c>
      <c r="GV451">
        <f>IF(ISBLANK('Data Entry'!$Č$451), "", 'Data Entry'!$Č$451)</f>
      </c>
      <c r="GW451">
        <f>IF(ISBLANK('Data Entry'!$č$451), "", 'Data Entry'!$č$451)</f>
      </c>
      <c r="GX451">
        <f>IF(ISBLANK('Data Entry'!$Ď$451), "", 'Data Entry'!$Ď$451)</f>
      </c>
      <c r="GY451">
        <f>IF(ISBLANK('Data Entry'!$ď$451), "", 'Data Entry'!$ď$451)</f>
      </c>
      <c r="GZ451">
        <f>IF(ISBLANK('Data Entry'!$Đ$451), "", 'Data Entry'!$Đ$451)</f>
      </c>
      <c r="HA451">
        <f>IF(ISBLANK('Data Entry'!$đ$451), "", 'Data Entry'!$đ$451)</f>
      </c>
      <c r="HB451">
        <f>IF(ISBLANK('Data Entry'!$Ē$451), "", 'Data Entry'!$Ē$451)</f>
      </c>
      <c r="HC451">
        <f>IF(ISBLANK('Data Entry'!$ē$451), "", 'Data Entry'!$ē$451)</f>
      </c>
      <c r="HD451">
        <f>IF(ISBLANK('Data Entry'!$Ĕ$451), "", 'Data Entry'!$Ĕ$451)</f>
      </c>
      <c r="HE451">
        <f>IF(ISBLANK('Data Entry'!$ĕ$451), "", 'Data Entry'!$ĕ$451)</f>
      </c>
      <c r="HF451">
        <f>IF(ISBLANK('Data Entry'!$Ė$451), "", 'Data Entry'!$Ė$451)</f>
      </c>
      <c r="HG451">
        <f>IF(ISBLANK('Data Entry'!$ė$451), "", 'Data Entry'!$ė$451)</f>
      </c>
      <c r="HH451">
        <f>IF(ISBLANK('Data Entry'!$Ę$451), "", 'Data Entry'!$Ę$451)</f>
      </c>
      <c r="HI451">
        <f>IF(ISBLANK('Data Entry'!$ę$451), "", 'Data Entry'!$ę$451)</f>
      </c>
      <c r="HJ451">
        <f>IF(ISBLANK('Data Entry'!$Ě$451), "", 'Data Entry'!$Ě$451)</f>
      </c>
      <c r="HK451">
        <f>IF(ISBLANK('Data Entry'!$ě$451), "", 'Data Entry'!$ě$451)</f>
      </c>
      <c r="HL451">
        <f>IF(ISBLANK('Data Entry'!$Ĝ$451), "", 'Data Entry'!$Ĝ$451)</f>
      </c>
      <c r="HM451">
        <f>IF(ISBLANK('Data Entry'!$ĝ$451), "", 'Data Entry'!$ĝ$451)</f>
      </c>
      <c r="HN451">
        <f>IF(ISBLANK('Data Entry'!$Ğ$451), "", 'Data Entry'!$Ğ$451)</f>
      </c>
      <c r="HO451">
        <f>IF(ISBLANK('Data Entry'!$ğ$451), "", 'Data Entry'!$ğ$451)</f>
      </c>
      <c r="HP451">
        <f>IF(ISBLANK('Data Entry'!$Ġ$451), "", 'Data Entry'!$Ġ$451)</f>
      </c>
      <c r="HQ451">
        <f>IF(ISBLANK('Data Entry'!$ġ$451), "", 'Data Entry'!$ġ$451)</f>
      </c>
      <c r="HR451">
        <f>IF(ISBLANK('Data Entry'!$Ģ$451), "", 'Data Entry'!$Ģ$451)</f>
      </c>
      <c r="HS451">
        <f>IF(ISBLANK('Data Entry'!$ģ$451), "", 'Data Entry'!$ģ$451)</f>
      </c>
      <c r="HT451">
        <f>IF(ISBLANK('Data Entry'!$Ĥ$451), "", 'Data Entry'!$Ĥ$451)</f>
      </c>
      <c r="HU451">
        <f>IF(ISBLANK('Data Entry'!$ĥ$451), "", 'Data Entry'!$ĥ$451)</f>
      </c>
      <c r="HV451">
        <f>IF(ISBLANK('Data Entry'!$Ħ$451), "", 'Data Entry'!$Ħ$451)</f>
      </c>
      <c r="HW451">
        <f>IF(ISBLANK('Data Entry'!$ħ$451), "", 'Data Entry'!$ħ$451)</f>
      </c>
      <c r="HX451">
        <f>IF(ISBLANK('Data Entry'!$Ĩ$451), "", 'Data Entry'!$Ĩ$451)</f>
      </c>
      <c r="HY451">
        <f>IF(ISBLANK('Data Entry'!$ĩ$451), "", 'Data Entry'!$ĩ$451)</f>
      </c>
      <c r="HZ451">
        <f>IF(ISBLANK('Data Entry'!$Ī$451), "", 'Data Entry'!$Ī$451)</f>
      </c>
      <c r="IA451">
        <f>IF(ISBLANK('Data Entry'!$ī$451), "", 'Data Entry'!$ī$451)</f>
      </c>
      <c r="IB451">
        <f>IF(ISBLANK('Data Entry'!$Ĭ$451), "", 'Data Entry'!$Ĭ$451)</f>
      </c>
      <c r="IC451">
        <f>IF(ISBLANK('Data Entry'!$ĭ$451), "", 'Data Entry'!$ĭ$451)</f>
      </c>
      <c r="ID451">
        <f>IF(ISBLANK('Data Entry'!$Į$451), "", 'Data Entry'!$Į$451)</f>
      </c>
      <c r="IE451">
        <f>IF(ISBLANK('Data Entry'!$į$451), "", 'Data Entry'!$į$451)</f>
      </c>
      <c r="IF451">
        <f>IF(ISBLANK('Data Entry'!$İ$451), "", 'Data Entry'!$İ$451)</f>
      </c>
      <c r="IG451">
        <f>IF(ISBLANK('Data Entry'!$ı$451), "", 'Data Entry'!$ı$451)</f>
      </c>
      <c r="IH451">
        <f>IF(ISBLANK('Data Entry'!$Ĳ$451), "", 'Data Entry'!$Ĳ$451)</f>
      </c>
      <c r="II451">
        <f>IF(ISBLANK('Data Entry'!$ĳ$451), "", 'Data Entry'!$ĳ$451)</f>
      </c>
      <c r="IJ451">
        <f>IF(ISBLANK('Data Entry'!$Ĵ$451), "", 'Data Entry'!$Ĵ$451)</f>
      </c>
      <c r="IK451">
        <f>IF(ISBLANK('Data Entry'!$ĵ$451), "", 'Data Entry'!$ĵ$451)</f>
      </c>
      <c r="IL451">
        <f>IF(ISBLANK('Data Entry'!$Ķ$451), "", 'Data Entry'!$Ķ$451)</f>
      </c>
      <c r="IM451">
        <f>IF(ISBLANK('Data Entry'!$ķ$451), "", 'Data Entry'!$ķ$451)</f>
      </c>
      <c r="IN451">
        <f>IF(ISBLANK('Data Entry'!$ĸ$451), "", 'Data Entry'!$ĸ$451)</f>
      </c>
      <c r="IO451">
        <f>IF(ISBLANK('Data Entry'!$Ĺ$451), "", 'Data Entry'!$Ĺ$451)</f>
      </c>
      <c r="IP451">
        <f>IF(ISBLANK('Data Entry'!$ĺ$451), "", 'Data Entry'!$ĺ$451)</f>
      </c>
      <c r="IQ451">
        <f>IF(ISBLANK('Data Entry'!$Ļ$451), "", 'Data Entry'!$Ļ$451)</f>
      </c>
      <c r="IR451">
        <f>IF(ISBLANK('Data Entry'!$ļ$451), "", 'Data Entry'!$ļ$451)</f>
      </c>
      <c r="IS451">
        <f>IF(ISBLANK('Data Entry'!$Ľ$451), "", 'Data Entry'!$Ľ$451)</f>
      </c>
      <c r="IT451">
        <f>IF(ISBLANK('Data Entry'!$ľ$451), "", 'Data Entry'!$ľ$451)</f>
      </c>
    </row>
    <row r="452" spans="1:254" x14ac:dyDescent="0.25">
      <c r="A452">
        <f>IF(ISBLANK('Data Entry'!$A$452), "", 'Data Entry'!$A$452)</f>
      </c>
      <c r="B452">
        <f>IF(ISBLANK('Data Entry'!$B$452), "", 'Data Entry'!$B$452)</f>
      </c>
      <c r="C452">
        <f>IF(ISBLANK('Data Entry'!$C$452), "", 'Data Entry'!$C$452)</f>
      </c>
      <c r="D452">
        <f>IF(ISBLANK('Data Entry'!$D$452), "", 'Data Entry'!$D$452)</f>
      </c>
      <c r="E452">
        <f>IF(ISBLANK('Data Entry'!$E$452), "", 'Data Entry'!$E$452)</f>
      </c>
      <c r="F452">
        <f>IF(ISBLANK('Data Entry'!$F$452), "", 'Data Entry'!$F$452)</f>
      </c>
      <c r="G452">
        <f>IF(ISBLANK('Data Entry'!$G$452), "", 'Data Entry'!$G$452)</f>
      </c>
      <c r="H452">
        <f>IF(ISBLANK('Data Entry'!$H$452), "", 'Data Entry'!$H$452)</f>
      </c>
      <c r="I452">
        <f>IF(ISBLANK('Data Entry'!$I$452), "", 'Data Entry'!$I$452)</f>
      </c>
      <c r="J452">
        <f>IF(ISBLANK('Data Entry'!$J$452), "", 'Data Entry'!$J$452)</f>
      </c>
      <c r="K452">
        <f>IF(ISBLANK('Data Entry'!$K$452), "", 'Data Entry'!$K$452)</f>
      </c>
      <c r="L452">
        <f>IF(ISBLANK('Data Entry'!$L$452), "", 'Data Entry'!$L$452)</f>
      </c>
      <c r="M452">
        <f>IF(ISBLANK('Data Entry'!$M$452), "", 'Data Entry'!$M$452)</f>
      </c>
      <c r="N452">
        <f>IF(ISBLANK('Data Entry'!$N$452), "", 'Data Entry'!$N$452)</f>
      </c>
      <c r="O452">
        <f>IF(ISBLANK('Data Entry'!$O$452), "", 'Data Entry'!$O$452)</f>
      </c>
      <c r="P452">
        <f>IF(ISBLANK('Data Entry'!$P$452), "", 'Data Entry'!$P$452)</f>
      </c>
      <c r="Q452">
        <f>IF(ISBLANK('Data Entry'!$Q$452), "", 'Data Entry'!$Q$452)</f>
      </c>
      <c r="R452">
        <f>IF(ISBLANK('Data Entry'!$R$452), "", 'Data Entry'!$R$452)</f>
      </c>
      <c r="S452">
        <f>IF(ISBLANK('Data Entry'!$S$452), "", 'Data Entry'!$S$452)</f>
      </c>
      <c r="T452">
        <f>IF(ISBLANK('Data Entry'!$T$452), "", 'Data Entry'!$T$452)</f>
      </c>
      <c r="U452">
        <f>IF(ISBLANK('Data Entry'!$U$452), "", 'Data Entry'!$U$452)</f>
      </c>
      <c r="V452">
        <f>IF(ISBLANK('Data Entry'!$V$452), "", 'Data Entry'!$V$452)</f>
      </c>
      <c r="W452">
        <f>IF(ISBLANK('Data Entry'!$W$452), "", 'Data Entry'!$W$452)</f>
      </c>
      <c r="X452">
        <f>IF(ISBLANK('Data Entry'!$X$452), "", 'Data Entry'!$X$452)</f>
      </c>
      <c r="Y452">
        <f>IF(ISBLANK('Data Entry'!$Y$452), "", 'Data Entry'!$Y$452)</f>
      </c>
      <c r="Z452">
        <f>IF(ISBLANK('Data Entry'!$Z$452), "", 'Data Entry'!$Z$452)</f>
      </c>
      <c r="AA452">
        <f>IF(ISBLANK('Data Entry'!$[$452), "", 'Data Entry'!$[$452)</f>
      </c>
      <c r="AB452">
        <f>IF(ISBLANK('Data Entry'!$\$452), "", 'Data Entry'!$\$452)</f>
      </c>
      <c r="AC452">
        <f>IF(ISBLANK('Data Entry'!$]$452), "", 'Data Entry'!$]$452)</f>
      </c>
      <c r="AD452">
        <f>IF(ISBLANK('Data Entry'!$^$452), "", 'Data Entry'!$^$452)</f>
      </c>
      <c r="AE452">
        <f>IF(ISBLANK('Data Entry'!$_$452), "", 'Data Entry'!$_$452)</f>
      </c>
      <c r="AF452">
        <f>IF(ISBLANK('Data Entry'!$`$452), "", 'Data Entry'!$`$452)</f>
      </c>
      <c r="AG452">
        <f>IF(ISBLANK('Data Entry'!$a$452), "", 'Data Entry'!$a$452)</f>
      </c>
      <c r="AH452">
        <f>IF(ISBLANK('Data Entry'!$b$452), "", 'Data Entry'!$b$452)</f>
      </c>
      <c r="AI452">
        <f>IF(ISBLANK('Data Entry'!$c$452), "", 'Data Entry'!$c$452)</f>
      </c>
      <c r="AJ452">
        <f>IF(ISBLANK('Data Entry'!$d$452), "", 'Data Entry'!$d$452)</f>
      </c>
      <c r="AK452">
        <f>IF(ISBLANK('Data Entry'!$e$452), "", 'Data Entry'!$e$452)</f>
      </c>
      <c r="AL452">
        <f>IF(ISBLANK('Data Entry'!$f$452), "", 'Data Entry'!$f$452)</f>
      </c>
      <c r="AM452">
        <f>IF(ISBLANK('Data Entry'!$g$452), "", 'Data Entry'!$g$452)</f>
      </c>
      <c r="AN452">
        <f>IF(ISBLANK('Data Entry'!$h$452), "", 'Data Entry'!$h$452)</f>
      </c>
      <c r="AO452">
        <f>IF(ISBLANK('Data Entry'!$i$452), "", 'Data Entry'!$i$452)</f>
      </c>
      <c r="AP452">
        <f>IF(ISBLANK('Data Entry'!$j$452), "", 'Data Entry'!$j$452)</f>
      </c>
      <c r="AQ452">
        <f>IF(ISBLANK('Data Entry'!$k$452), "", 'Data Entry'!$k$452)</f>
      </c>
      <c r="AR452">
        <f>IF(ISBLANK('Data Entry'!$l$452), "", 'Data Entry'!$l$452)</f>
      </c>
      <c r="AS452">
        <f>IF(ISBLANK('Data Entry'!$m$452), "", 'Data Entry'!$m$452)</f>
      </c>
      <c r="AT452">
        <f>IF(ISBLANK('Data Entry'!$n$452), "", 'Data Entry'!$n$452)</f>
      </c>
      <c r="AU452">
        <f>IF(ISBLANK('Data Entry'!$o$452), "", 'Data Entry'!$o$452)</f>
      </c>
      <c r="AV452">
        <f>IF(ISBLANK('Data Entry'!$p$452), "", 'Data Entry'!$p$452)</f>
      </c>
      <c r="AW452">
        <f>IF(ISBLANK('Data Entry'!$q$452), "", 'Data Entry'!$q$452)</f>
      </c>
      <c r="AX452">
        <f>IF(ISBLANK('Data Entry'!$r$452), "", 'Data Entry'!$r$452)</f>
      </c>
      <c r="AY452">
        <f>IF(ISBLANK('Data Entry'!$s$452), "", 'Data Entry'!$s$452)</f>
      </c>
      <c r="AZ452">
        <f>IF(ISBLANK('Data Entry'!$t$452), "", 'Data Entry'!$t$452)</f>
      </c>
      <c r="BA452">
        <f>IF(ISBLANK('Data Entry'!$u$452), "", 'Data Entry'!$u$452)</f>
      </c>
      <c r="BB452">
        <f>IF(ISBLANK('Data Entry'!$v$452), "", 'Data Entry'!$v$452)</f>
      </c>
      <c r="BC452">
        <f>IF(ISBLANK('Data Entry'!$w$452), "", 'Data Entry'!$w$452)</f>
      </c>
      <c r="BD452">
        <f>IF(ISBLANK('Data Entry'!$x$452), "", 'Data Entry'!$x$452)</f>
      </c>
      <c r="BE452">
        <f>IF(ISBLANK('Data Entry'!$y$452), "", 'Data Entry'!$y$452)</f>
      </c>
      <c r="BF452">
        <f>IF(ISBLANK('Data Entry'!$z$452), "", 'Data Entry'!$z$452)</f>
      </c>
      <c r="BG452">
        <f>IF(ISBLANK('Data Entry'!${$452), "", 'Data Entry'!${$452)</f>
      </c>
      <c r="BH452">
        <f>IF(ISBLANK('Data Entry'!$|$452), "", 'Data Entry'!$|$452)</f>
      </c>
      <c r="BI452">
        <f>IF(ISBLANK('Data Entry'!$}$452), "", 'Data Entry'!$}$452)</f>
      </c>
      <c r="BJ452">
        <f>IF(ISBLANK('Data Entry'!$~$452), "", 'Data Entry'!$~$452)</f>
      </c>
      <c r="BK452">
        <f>IF(ISBLANK('Data Entry'!$$452), "", 'Data Entry'!$$452)</f>
      </c>
      <c r="BL452">
        <f>IF(ISBLANK('Data Entry'!$$452), "", 'Data Entry'!$$452)</f>
      </c>
      <c r="BM452">
        <f>IF(ISBLANK('Data Entry'!$$452), "", 'Data Entry'!$$452)</f>
      </c>
      <c r="BN452">
        <f>IF(ISBLANK('Data Entry'!$$452), "", 'Data Entry'!$$452)</f>
      </c>
      <c r="BO452">
        <f>IF(ISBLANK('Data Entry'!$$452), "", 'Data Entry'!$$452)</f>
      </c>
      <c r="BP452">
        <f>IF(ISBLANK('Data Entry'!$$452), "", 'Data Entry'!$$452)</f>
      </c>
      <c r="BQ452">
        <f>IF(ISBLANK('Data Entry'!$$452), "", 'Data Entry'!$$452)</f>
      </c>
      <c r="BR452">
        <f>IF(ISBLANK('Data Entry'!$$452), "", 'Data Entry'!$$452)</f>
      </c>
      <c r="BS452">
        <f>IF(ISBLANK('Data Entry'!$$452), "", 'Data Entry'!$$452)</f>
      </c>
      <c r="BT452">
        <f>IF(ISBLANK('Data Entry'!$$452), "", 'Data Entry'!$$452)</f>
      </c>
      <c r="BU452">
        <f>IF(ISBLANK('Data Entry'!$$452), "", 'Data Entry'!$$452)</f>
      </c>
      <c r="BV452">
        <f>IF(ISBLANK('Data Entry'!$$452), "", 'Data Entry'!$$452)</f>
      </c>
      <c r="BW452">
        <f>IF(ISBLANK('Data Entry'!$$452), "", 'Data Entry'!$$452)</f>
      </c>
      <c r="BX452">
        <f>IF(ISBLANK('Data Entry'!$$452), "", 'Data Entry'!$$452)</f>
      </c>
      <c r="BY452">
        <f>IF(ISBLANK('Data Entry'!$$452), "", 'Data Entry'!$$452)</f>
      </c>
      <c r="BZ452">
        <f>IF(ISBLANK('Data Entry'!$$452), "", 'Data Entry'!$$452)</f>
      </c>
      <c r="CA452">
        <f>IF(ISBLANK('Data Entry'!$$452), "", 'Data Entry'!$$452)</f>
      </c>
      <c r="CB452">
        <f>IF(ISBLANK('Data Entry'!$$452), "", 'Data Entry'!$$452)</f>
      </c>
      <c r="CC452">
        <f>IF(ISBLANK('Data Entry'!$$452), "", 'Data Entry'!$$452)</f>
      </c>
      <c r="CD452">
        <f>IF(ISBLANK('Data Entry'!$$452), "", 'Data Entry'!$$452)</f>
      </c>
      <c r="CE452">
        <f>IF(ISBLANK('Data Entry'!$$452), "", 'Data Entry'!$$452)</f>
      </c>
      <c r="CF452">
        <f>IF(ISBLANK('Data Entry'!$$452), "", 'Data Entry'!$$452)</f>
      </c>
      <c r="CG452">
        <f>IF(ISBLANK('Data Entry'!$$452), "", 'Data Entry'!$$452)</f>
      </c>
      <c r="CH452">
        <f>IF(ISBLANK('Data Entry'!$$452), "", 'Data Entry'!$$452)</f>
      </c>
      <c r="CI452">
        <f>IF(ISBLANK('Data Entry'!$$452), "", 'Data Entry'!$$452)</f>
      </c>
      <c r="CJ452">
        <f>IF(ISBLANK('Data Entry'!$$452), "", 'Data Entry'!$$452)</f>
      </c>
      <c r="CK452">
        <f>IF(ISBLANK('Data Entry'!$$452), "", 'Data Entry'!$$452)</f>
      </c>
      <c r="CL452">
        <f>IF(ISBLANK('Data Entry'!$$452), "", 'Data Entry'!$$452)</f>
      </c>
      <c r="CM452">
        <f>IF(ISBLANK('Data Entry'!$$452), "", 'Data Entry'!$$452)</f>
      </c>
      <c r="CN452">
        <f>IF(ISBLANK('Data Entry'!$$452), "", 'Data Entry'!$$452)</f>
      </c>
      <c r="CO452">
        <f>IF(ISBLANK('Data Entry'!$$452), "", 'Data Entry'!$$452)</f>
      </c>
      <c r="CP452">
        <f>IF(ISBLANK('Data Entry'!$$452), "", 'Data Entry'!$$452)</f>
      </c>
      <c r="CQ452">
        <f>IF(ISBLANK('Data Entry'!$$452), "", 'Data Entry'!$$452)</f>
      </c>
      <c r="CR452">
        <f>IF(ISBLANK('Data Entry'!$ $452), "", 'Data Entry'!$ $452)</f>
      </c>
      <c r="CS452">
        <f>IF(ISBLANK('Data Entry'!$¡$452), "", 'Data Entry'!$¡$452)</f>
      </c>
      <c r="CT452">
        <f>IF(ISBLANK('Data Entry'!$¢$452), "", 'Data Entry'!$¢$452)</f>
      </c>
      <c r="CU452">
        <f>IF(ISBLANK('Data Entry'!$£$452), "", 'Data Entry'!$£$452)</f>
      </c>
      <c r="CV452">
        <f>IF(ISBLANK('Data Entry'!$¤$452), "", 'Data Entry'!$¤$452)</f>
      </c>
      <c r="CW452">
        <f>IF(ISBLANK('Data Entry'!$¥$452), "", 'Data Entry'!$¥$452)</f>
      </c>
      <c r="CX452">
        <f>IF(ISBLANK('Data Entry'!$¦$452), "", 'Data Entry'!$¦$452)</f>
      </c>
      <c r="CY452">
        <f>IF(ISBLANK('Data Entry'!$§$452), "", 'Data Entry'!$§$452)</f>
      </c>
      <c r="CZ452">
        <f>IF(ISBLANK('Data Entry'!$¨$452), "", 'Data Entry'!$¨$452)</f>
      </c>
      <c r="DA452">
        <f>IF(ISBLANK('Data Entry'!$©$452), "", 'Data Entry'!$©$452)</f>
      </c>
      <c r="DB452">
        <f>IF(ISBLANK('Data Entry'!$ª$452), "", 'Data Entry'!$ª$452)</f>
      </c>
      <c r="DC452">
        <f>IF(ISBLANK('Data Entry'!$«$452), "", 'Data Entry'!$«$452)</f>
      </c>
      <c r="DD452">
        <f>IF(ISBLANK('Data Entry'!$¬$452), "", 'Data Entry'!$¬$452)</f>
      </c>
      <c r="DE452">
        <f>IF(ISBLANK('Data Entry'!$­$452), "", 'Data Entry'!$­$452)</f>
      </c>
      <c r="DF452">
        <f>IF(ISBLANK('Data Entry'!$®$452), "", 'Data Entry'!$®$452)</f>
      </c>
      <c r="DG452">
        <f>IF(ISBLANK('Data Entry'!$¯$452), "", 'Data Entry'!$¯$452)</f>
      </c>
      <c r="DH452">
        <f>IF(ISBLANK('Data Entry'!$°$452), "", 'Data Entry'!$°$452)</f>
      </c>
      <c r="DI452">
        <f>IF(ISBLANK('Data Entry'!$±$452), "", 'Data Entry'!$±$452)</f>
      </c>
      <c r="DJ452">
        <f>IF(ISBLANK('Data Entry'!$²$452), "", 'Data Entry'!$²$452)</f>
      </c>
      <c r="DK452">
        <f>IF(ISBLANK('Data Entry'!$³$452), "", 'Data Entry'!$³$452)</f>
      </c>
      <c r="DL452">
        <f>IF(ISBLANK('Data Entry'!$´$452), "", 'Data Entry'!$´$452)</f>
      </c>
      <c r="DM452">
        <f>IF(ISBLANK('Data Entry'!$µ$452), "", 'Data Entry'!$µ$452)</f>
      </c>
      <c r="DN452">
        <f>IF(ISBLANK('Data Entry'!$¶$452), "", 'Data Entry'!$¶$452)</f>
      </c>
      <c r="DO452">
        <f>IF(ISBLANK('Data Entry'!$·$452), "", 'Data Entry'!$·$452)</f>
      </c>
      <c r="DP452">
        <f>IF(ISBLANK('Data Entry'!$¸$452), "", 'Data Entry'!$¸$452)</f>
      </c>
      <c r="DQ452">
        <f>IF(ISBLANK('Data Entry'!$¹$452), "", 'Data Entry'!$¹$452)</f>
      </c>
      <c r="DR452">
        <f>IF(ISBLANK('Data Entry'!$º$452), "", 'Data Entry'!$º$452)</f>
      </c>
      <c r="DS452">
        <f>IF(ISBLANK('Data Entry'!$»$452), "", 'Data Entry'!$»$452)</f>
      </c>
      <c r="DT452">
        <f>IF(ISBLANK('Data Entry'!$¼$452), "", 'Data Entry'!$¼$452)</f>
      </c>
      <c r="DU452">
        <f>IF(ISBLANK('Data Entry'!$½$452), "", 'Data Entry'!$½$452)</f>
      </c>
      <c r="DV452">
        <f>IF(ISBLANK('Data Entry'!$¾$452), "", 'Data Entry'!$¾$452)</f>
      </c>
      <c r="DW452">
        <f>IF(ISBLANK('Data Entry'!$¿$452), "", 'Data Entry'!$¿$452)</f>
      </c>
      <c r="DX452">
        <f>IF(ISBLANK('Data Entry'!$À$452), "", 'Data Entry'!$À$452)</f>
      </c>
      <c r="DY452">
        <f>IF(ISBLANK('Data Entry'!$Á$452), "", 'Data Entry'!$Á$452)</f>
      </c>
      <c r="DZ452">
        <f>IF(ISBLANK('Data Entry'!$Â$452), "", 'Data Entry'!$Â$452)</f>
      </c>
      <c r="EA452">
        <f>IF(ISBLANK('Data Entry'!$Ã$452), "", 'Data Entry'!$Ã$452)</f>
      </c>
      <c r="EB452">
        <f>IF(ISBLANK('Data Entry'!$Ä$452), "", 'Data Entry'!$Ä$452)</f>
      </c>
      <c r="EC452">
        <f>IF(ISBLANK('Data Entry'!$Å$452), "", 'Data Entry'!$Å$452)</f>
      </c>
      <c r="ED452">
        <f>IF(ISBLANK('Data Entry'!$Æ$452), "", 'Data Entry'!$Æ$452)</f>
      </c>
      <c r="EE452">
        <f>IF(ISBLANK('Data Entry'!$Ç$452), "", 'Data Entry'!$Ç$452)</f>
      </c>
      <c r="EF452">
        <f>IF(ISBLANK('Data Entry'!$È$452), "", 'Data Entry'!$È$452)</f>
      </c>
      <c r="EG452">
        <f>IF(ISBLANK('Data Entry'!$É$452), "", 'Data Entry'!$É$452)</f>
      </c>
      <c r="EH452">
        <f>IF(ISBLANK('Data Entry'!$Ê$452), "", 'Data Entry'!$Ê$452)</f>
      </c>
      <c r="EI452">
        <f>IF(ISBLANK('Data Entry'!$Ë$452), "", 'Data Entry'!$Ë$452)</f>
      </c>
      <c r="EJ452">
        <f>IF(ISBLANK('Data Entry'!$Ì$452), "", 'Data Entry'!$Ì$452)</f>
      </c>
      <c r="EK452">
        <f>IF(ISBLANK('Data Entry'!$Í$452), "", 'Data Entry'!$Í$452)</f>
      </c>
      <c r="EL452">
        <f>IF(ISBLANK('Data Entry'!$Î$452), "", 'Data Entry'!$Î$452)</f>
      </c>
      <c r="EM452">
        <f>IF(ISBLANK('Data Entry'!$Ï$452), "", 'Data Entry'!$Ï$452)</f>
      </c>
      <c r="EN452">
        <f>IF(ISBLANK('Data Entry'!$Ð$452), "", 'Data Entry'!$Ð$452)</f>
      </c>
      <c r="EO452">
        <f>IF(ISBLANK('Data Entry'!$Ñ$452), "", 'Data Entry'!$Ñ$452)</f>
      </c>
      <c r="EP452">
        <f>IF(ISBLANK('Data Entry'!$Ò$452), "", 'Data Entry'!$Ò$452)</f>
      </c>
      <c r="EQ452">
        <f>IF(ISBLANK('Data Entry'!$Ó$452), "", 'Data Entry'!$Ó$452)</f>
      </c>
      <c r="ER452">
        <f>IF(ISBLANK('Data Entry'!$Ô$452), "", 'Data Entry'!$Ô$452)</f>
      </c>
      <c r="ES452">
        <f>IF(ISBLANK('Data Entry'!$Õ$452), "", 'Data Entry'!$Õ$452)</f>
      </c>
      <c r="ET452">
        <f>IF(ISBLANK('Data Entry'!$Ö$452), "", 'Data Entry'!$Ö$452)</f>
      </c>
      <c r="EU452">
        <f>IF(ISBLANK('Data Entry'!$×$452), "", 'Data Entry'!$×$452)</f>
      </c>
      <c r="EV452">
        <f>IF(ISBLANK('Data Entry'!$Ø$452), "", 'Data Entry'!$Ø$452)</f>
      </c>
      <c r="EW452">
        <f>IF(ISBLANK('Data Entry'!$Ù$452), "", 'Data Entry'!$Ù$452)</f>
      </c>
      <c r="EX452">
        <f>IF(ISBLANK('Data Entry'!$Ú$452), "", 'Data Entry'!$Ú$452)</f>
      </c>
      <c r="EY452">
        <f>IF(ISBLANK('Data Entry'!$Û$452), "", 'Data Entry'!$Û$452)</f>
      </c>
      <c r="EZ452">
        <f>IF(ISBLANK('Data Entry'!$Ü$452), "", 'Data Entry'!$Ü$452)</f>
      </c>
      <c r="FA452">
        <f>IF(ISBLANK('Data Entry'!$Ý$452), "", 'Data Entry'!$Ý$452)</f>
      </c>
      <c r="FB452">
        <f>IF(ISBLANK('Data Entry'!$Þ$452), "", 'Data Entry'!$Þ$452)</f>
      </c>
      <c r="FC452">
        <f>IF(ISBLANK('Data Entry'!$ß$452), "", 'Data Entry'!$ß$452)</f>
      </c>
      <c r="FD452">
        <f>IF(ISBLANK('Data Entry'!$à$452), "", 'Data Entry'!$à$452)</f>
      </c>
      <c r="FE452">
        <f>IF(ISBLANK('Data Entry'!$á$452), "", 'Data Entry'!$á$452)</f>
      </c>
      <c r="FF452">
        <f>IF(ISBLANK('Data Entry'!$â$452), "", 'Data Entry'!$â$452)</f>
      </c>
      <c r="FG452">
        <f>IF(ISBLANK('Data Entry'!$ã$452), "", 'Data Entry'!$ã$452)</f>
      </c>
      <c r="FH452">
        <f>IF(ISBLANK('Data Entry'!$ä$452), "", 'Data Entry'!$ä$452)</f>
      </c>
      <c r="FI452">
        <f>IF(ISBLANK('Data Entry'!$å$452), "", 'Data Entry'!$å$452)</f>
      </c>
      <c r="FJ452">
        <f>IF(ISBLANK('Data Entry'!$æ$452), "", 'Data Entry'!$æ$452)</f>
      </c>
      <c r="FK452">
        <f>IF(ISBLANK('Data Entry'!$ç$452), "", 'Data Entry'!$ç$452)</f>
      </c>
      <c r="FL452">
        <f>IF(ISBLANK('Data Entry'!$è$452), "", 'Data Entry'!$è$452)</f>
      </c>
      <c r="FM452">
        <f>IF(ISBLANK('Data Entry'!$é$452), "", 'Data Entry'!$é$452)</f>
      </c>
      <c r="FN452">
        <f>IF(ISBLANK('Data Entry'!$ê$452), "", 'Data Entry'!$ê$452)</f>
      </c>
      <c r="FO452">
        <f>IF(ISBLANK('Data Entry'!$ë$452), "", 'Data Entry'!$ë$452)</f>
      </c>
      <c r="FP452">
        <f>IF(ISBLANK('Data Entry'!$ì$452), "", 'Data Entry'!$ì$452)</f>
      </c>
      <c r="FQ452">
        <f>IF(ISBLANK('Data Entry'!$í$452), "", 'Data Entry'!$í$452)</f>
      </c>
      <c r="FR452">
        <f>IF(ISBLANK('Data Entry'!$î$452), "", 'Data Entry'!$î$452)</f>
      </c>
      <c r="FS452">
        <f>IF(ISBLANK('Data Entry'!$ï$452), "", 'Data Entry'!$ï$452)</f>
      </c>
      <c r="FT452">
        <f>IF(ISBLANK('Data Entry'!$ð$452), "", 'Data Entry'!$ð$452)</f>
      </c>
      <c r="FU452">
        <f>IF(ISBLANK('Data Entry'!$ñ$452), "", 'Data Entry'!$ñ$452)</f>
      </c>
      <c r="FV452">
        <f>IF(ISBLANK('Data Entry'!$ò$452), "", 'Data Entry'!$ò$452)</f>
      </c>
      <c r="FW452">
        <f>IF(ISBLANK('Data Entry'!$ó$452), "", 'Data Entry'!$ó$452)</f>
      </c>
      <c r="FX452">
        <f>IF(ISBLANK('Data Entry'!$ô$452), "", 'Data Entry'!$ô$452)</f>
      </c>
      <c r="FY452">
        <f>IF(ISBLANK('Data Entry'!$õ$452), "", 'Data Entry'!$õ$452)</f>
      </c>
      <c r="FZ452">
        <f>IF(ISBLANK('Data Entry'!$ö$452), "", 'Data Entry'!$ö$452)</f>
      </c>
      <c r="GA452">
        <f>IF(ISBLANK('Data Entry'!$÷$452), "", 'Data Entry'!$÷$452)</f>
      </c>
      <c r="GB452">
        <f>IF(ISBLANK('Data Entry'!$ø$452), "", 'Data Entry'!$ø$452)</f>
      </c>
      <c r="GC452">
        <f>IF(ISBLANK('Data Entry'!$ù$452), "", 'Data Entry'!$ù$452)</f>
      </c>
      <c r="GD452">
        <f>IF(ISBLANK('Data Entry'!$ú$452), "", 'Data Entry'!$ú$452)</f>
      </c>
      <c r="GE452">
        <f>IF(ISBLANK('Data Entry'!$û$452), "", 'Data Entry'!$û$452)</f>
      </c>
      <c r="GF452">
        <f>IF(ISBLANK('Data Entry'!$ü$452), "", 'Data Entry'!$ü$452)</f>
      </c>
      <c r="GG452">
        <f>IF(ISBLANK('Data Entry'!$ý$452), "", 'Data Entry'!$ý$452)</f>
      </c>
      <c r="GH452">
        <f>IF(ISBLANK('Data Entry'!$þ$452), "", 'Data Entry'!$þ$452)</f>
      </c>
      <c r="GI452">
        <f>IF(ISBLANK('Data Entry'!$ÿ$452), "", 'Data Entry'!$ÿ$452)</f>
      </c>
      <c r="GJ452">
        <f>IF(ISBLANK('Data Entry'!$Ā$452), "", 'Data Entry'!$Ā$452)</f>
      </c>
      <c r="GK452">
        <f>IF(ISBLANK('Data Entry'!$ā$452), "", 'Data Entry'!$ā$452)</f>
      </c>
      <c r="GL452">
        <f>IF(ISBLANK('Data Entry'!$Ă$452), "", 'Data Entry'!$Ă$452)</f>
      </c>
      <c r="GM452">
        <f>IF(ISBLANK('Data Entry'!$ă$452), "", 'Data Entry'!$ă$452)</f>
      </c>
      <c r="GN452">
        <f>IF(ISBLANK('Data Entry'!$Ą$452), "", 'Data Entry'!$Ą$452)</f>
      </c>
      <c r="GO452">
        <f>IF(ISBLANK('Data Entry'!$ą$452), "", 'Data Entry'!$ą$452)</f>
      </c>
      <c r="GP452">
        <f>IF(ISBLANK('Data Entry'!$Ć$452), "", 'Data Entry'!$Ć$452)</f>
      </c>
      <c r="GQ452">
        <f>IF(ISBLANK('Data Entry'!$ć$452), "", 'Data Entry'!$ć$452)</f>
      </c>
      <c r="GR452">
        <f>IF(ISBLANK('Data Entry'!$Ĉ$452), "", 'Data Entry'!$Ĉ$452)</f>
      </c>
      <c r="GS452">
        <f>IF(ISBLANK('Data Entry'!$ĉ$452), "", 'Data Entry'!$ĉ$452)</f>
      </c>
      <c r="GT452">
        <f>IF(ISBLANK('Data Entry'!$Ċ$452), "", 'Data Entry'!$Ċ$452)</f>
      </c>
      <c r="GU452">
        <f>IF(ISBLANK('Data Entry'!$ċ$452), "", 'Data Entry'!$ċ$452)</f>
      </c>
      <c r="GV452">
        <f>IF(ISBLANK('Data Entry'!$Č$452), "", 'Data Entry'!$Č$452)</f>
      </c>
      <c r="GW452">
        <f>IF(ISBLANK('Data Entry'!$č$452), "", 'Data Entry'!$č$452)</f>
      </c>
      <c r="GX452">
        <f>IF(ISBLANK('Data Entry'!$Ď$452), "", 'Data Entry'!$Ď$452)</f>
      </c>
      <c r="GY452">
        <f>IF(ISBLANK('Data Entry'!$ď$452), "", 'Data Entry'!$ď$452)</f>
      </c>
      <c r="GZ452">
        <f>IF(ISBLANK('Data Entry'!$Đ$452), "", 'Data Entry'!$Đ$452)</f>
      </c>
      <c r="HA452">
        <f>IF(ISBLANK('Data Entry'!$đ$452), "", 'Data Entry'!$đ$452)</f>
      </c>
      <c r="HB452">
        <f>IF(ISBLANK('Data Entry'!$Ē$452), "", 'Data Entry'!$Ē$452)</f>
      </c>
      <c r="HC452">
        <f>IF(ISBLANK('Data Entry'!$ē$452), "", 'Data Entry'!$ē$452)</f>
      </c>
      <c r="HD452">
        <f>IF(ISBLANK('Data Entry'!$Ĕ$452), "", 'Data Entry'!$Ĕ$452)</f>
      </c>
      <c r="HE452">
        <f>IF(ISBLANK('Data Entry'!$ĕ$452), "", 'Data Entry'!$ĕ$452)</f>
      </c>
      <c r="HF452">
        <f>IF(ISBLANK('Data Entry'!$Ė$452), "", 'Data Entry'!$Ė$452)</f>
      </c>
      <c r="HG452">
        <f>IF(ISBLANK('Data Entry'!$ė$452), "", 'Data Entry'!$ė$452)</f>
      </c>
      <c r="HH452">
        <f>IF(ISBLANK('Data Entry'!$Ę$452), "", 'Data Entry'!$Ę$452)</f>
      </c>
      <c r="HI452">
        <f>IF(ISBLANK('Data Entry'!$ę$452), "", 'Data Entry'!$ę$452)</f>
      </c>
      <c r="HJ452">
        <f>IF(ISBLANK('Data Entry'!$Ě$452), "", 'Data Entry'!$Ě$452)</f>
      </c>
      <c r="HK452">
        <f>IF(ISBLANK('Data Entry'!$ě$452), "", 'Data Entry'!$ě$452)</f>
      </c>
      <c r="HL452">
        <f>IF(ISBLANK('Data Entry'!$Ĝ$452), "", 'Data Entry'!$Ĝ$452)</f>
      </c>
      <c r="HM452">
        <f>IF(ISBLANK('Data Entry'!$ĝ$452), "", 'Data Entry'!$ĝ$452)</f>
      </c>
      <c r="HN452">
        <f>IF(ISBLANK('Data Entry'!$Ğ$452), "", 'Data Entry'!$Ğ$452)</f>
      </c>
      <c r="HO452">
        <f>IF(ISBLANK('Data Entry'!$ğ$452), "", 'Data Entry'!$ğ$452)</f>
      </c>
      <c r="HP452">
        <f>IF(ISBLANK('Data Entry'!$Ġ$452), "", 'Data Entry'!$Ġ$452)</f>
      </c>
      <c r="HQ452">
        <f>IF(ISBLANK('Data Entry'!$ġ$452), "", 'Data Entry'!$ġ$452)</f>
      </c>
      <c r="HR452">
        <f>IF(ISBLANK('Data Entry'!$Ģ$452), "", 'Data Entry'!$Ģ$452)</f>
      </c>
      <c r="HS452">
        <f>IF(ISBLANK('Data Entry'!$ģ$452), "", 'Data Entry'!$ģ$452)</f>
      </c>
      <c r="HT452">
        <f>IF(ISBLANK('Data Entry'!$Ĥ$452), "", 'Data Entry'!$Ĥ$452)</f>
      </c>
      <c r="HU452">
        <f>IF(ISBLANK('Data Entry'!$ĥ$452), "", 'Data Entry'!$ĥ$452)</f>
      </c>
      <c r="HV452">
        <f>IF(ISBLANK('Data Entry'!$Ħ$452), "", 'Data Entry'!$Ħ$452)</f>
      </c>
      <c r="HW452">
        <f>IF(ISBLANK('Data Entry'!$ħ$452), "", 'Data Entry'!$ħ$452)</f>
      </c>
      <c r="HX452">
        <f>IF(ISBLANK('Data Entry'!$Ĩ$452), "", 'Data Entry'!$Ĩ$452)</f>
      </c>
      <c r="HY452">
        <f>IF(ISBLANK('Data Entry'!$ĩ$452), "", 'Data Entry'!$ĩ$452)</f>
      </c>
      <c r="HZ452">
        <f>IF(ISBLANK('Data Entry'!$Ī$452), "", 'Data Entry'!$Ī$452)</f>
      </c>
      <c r="IA452">
        <f>IF(ISBLANK('Data Entry'!$ī$452), "", 'Data Entry'!$ī$452)</f>
      </c>
      <c r="IB452">
        <f>IF(ISBLANK('Data Entry'!$Ĭ$452), "", 'Data Entry'!$Ĭ$452)</f>
      </c>
      <c r="IC452">
        <f>IF(ISBLANK('Data Entry'!$ĭ$452), "", 'Data Entry'!$ĭ$452)</f>
      </c>
      <c r="ID452">
        <f>IF(ISBLANK('Data Entry'!$Į$452), "", 'Data Entry'!$Į$452)</f>
      </c>
      <c r="IE452">
        <f>IF(ISBLANK('Data Entry'!$į$452), "", 'Data Entry'!$į$452)</f>
      </c>
      <c r="IF452">
        <f>IF(ISBLANK('Data Entry'!$İ$452), "", 'Data Entry'!$İ$452)</f>
      </c>
      <c r="IG452">
        <f>IF(ISBLANK('Data Entry'!$ı$452), "", 'Data Entry'!$ı$452)</f>
      </c>
      <c r="IH452">
        <f>IF(ISBLANK('Data Entry'!$Ĳ$452), "", 'Data Entry'!$Ĳ$452)</f>
      </c>
      <c r="II452">
        <f>IF(ISBLANK('Data Entry'!$ĳ$452), "", 'Data Entry'!$ĳ$452)</f>
      </c>
      <c r="IJ452">
        <f>IF(ISBLANK('Data Entry'!$Ĵ$452), "", 'Data Entry'!$Ĵ$452)</f>
      </c>
      <c r="IK452">
        <f>IF(ISBLANK('Data Entry'!$ĵ$452), "", 'Data Entry'!$ĵ$452)</f>
      </c>
      <c r="IL452">
        <f>IF(ISBLANK('Data Entry'!$Ķ$452), "", 'Data Entry'!$Ķ$452)</f>
      </c>
      <c r="IM452">
        <f>IF(ISBLANK('Data Entry'!$ķ$452), "", 'Data Entry'!$ķ$452)</f>
      </c>
      <c r="IN452">
        <f>IF(ISBLANK('Data Entry'!$ĸ$452), "", 'Data Entry'!$ĸ$452)</f>
      </c>
      <c r="IO452">
        <f>IF(ISBLANK('Data Entry'!$Ĺ$452), "", 'Data Entry'!$Ĺ$452)</f>
      </c>
      <c r="IP452">
        <f>IF(ISBLANK('Data Entry'!$ĺ$452), "", 'Data Entry'!$ĺ$452)</f>
      </c>
      <c r="IQ452">
        <f>IF(ISBLANK('Data Entry'!$Ļ$452), "", 'Data Entry'!$Ļ$452)</f>
      </c>
      <c r="IR452">
        <f>IF(ISBLANK('Data Entry'!$ļ$452), "", 'Data Entry'!$ļ$452)</f>
      </c>
      <c r="IS452">
        <f>IF(ISBLANK('Data Entry'!$Ľ$452), "", 'Data Entry'!$Ľ$452)</f>
      </c>
      <c r="IT452">
        <f>IF(ISBLANK('Data Entry'!$ľ$452), "", 'Data Entry'!$ľ$452)</f>
      </c>
    </row>
    <row r="453" spans="1:254" x14ac:dyDescent="0.25">
      <c r="A453">
        <f>IF(ISBLANK('Data Entry'!$A$453), "", 'Data Entry'!$A$453)</f>
      </c>
      <c r="B453">
        <f>IF(ISBLANK('Data Entry'!$B$453), "", 'Data Entry'!$B$453)</f>
      </c>
      <c r="C453">
        <f>IF(ISBLANK('Data Entry'!$C$453), "", 'Data Entry'!$C$453)</f>
      </c>
      <c r="D453">
        <f>IF(ISBLANK('Data Entry'!$D$453), "", 'Data Entry'!$D$453)</f>
      </c>
      <c r="E453">
        <f>IF(ISBLANK('Data Entry'!$E$453), "", 'Data Entry'!$E$453)</f>
      </c>
      <c r="F453">
        <f>IF(ISBLANK('Data Entry'!$F$453), "", 'Data Entry'!$F$453)</f>
      </c>
      <c r="G453">
        <f>IF(ISBLANK('Data Entry'!$G$453), "", 'Data Entry'!$G$453)</f>
      </c>
      <c r="H453">
        <f>IF(ISBLANK('Data Entry'!$H$453), "", 'Data Entry'!$H$453)</f>
      </c>
      <c r="I453">
        <f>IF(ISBLANK('Data Entry'!$I$453), "", 'Data Entry'!$I$453)</f>
      </c>
      <c r="J453">
        <f>IF(ISBLANK('Data Entry'!$J$453), "", 'Data Entry'!$J$453)</f>
      </c>
      <c r="K453">
        <f>IF(ISBLANK('Data Entry'!$K$453), "", 'Data Entry'!$K$453)</f>
      </c>
      <c r="L453">
        <f>IF(ISBLANK('Data Entry'!$L$453), "", 'Data Entry'!$L$453)</f>
      </c>
      <c r="M453">
        <f>IF(ISBLANK('Data Entry'!$M$453), "", 'Data Entry'!$M$453)</f>
      </c>
      <c r="N453">
        <f>IF(ISBLANK('Data Entry'!$N$453), "", 'Data Entry'!$N$453)</f>
      </c>
      <c r="O453">
        <f>IF(ISBLANK('Data Entry'!$O$453), "", 'Data Entry'!$O$453)</f>
      </c>
      <c r="P453">
        <f>IF(ISBLANK('Data Entry'!$P$453), "", 'Data Entry'!$P$453)</f>
      </c>
      <c r="Q453">
        <f>IF(ISBLANK('Data Entry'!$Q$453), "", 'Data Entry'!$Q$453)</f>
      </c>
      <c r="R453">
        <f>IF(ISBLANK('Data Entry'!$R$453), "", 'Data Entry'!$R$453)</f>
      </c>
      <c r="S453">
        <f>IF(ISBLANK('Data Entry'!$S$453), "", 'Data Entry'!$S$453)</f>
      </c>
      <c r="T453">
        <f>IF(ISBLANK('Data Entry'!$T$453), "", 'Data Entry'!$T$453)</f>
      </c>
      <c r="U453">
        <f>IF(ISBLANK('Data Entry'!$U$453), "", 'Data Entry'!$U$453)</f>
      </c>
      <c r="V453">
        <f>IF(ISBLANK('Data Entry'!$V$453), "", 'Data Entry'!$V$453)</f>
      </c>
      <c r="W453">
        <f>IF(ISBLANK('Data Entry'!$W$453), "", 'Data Entry'!$W$453)</f>
      </c>
      <c r="X453">
        <f>IF(ISBLANK('Data Entry'!$X$453), "", 'Data Entry'!$X$453)</f>
      </c>
      <c r="Y453">
        <f>IF(ISBLANK('Data Entry'!$Y$453), "", 'Data Entry'!$Y$453)</f>
      </c>
      <c r="Z453">
        <f>IF(ISBLANK('Data Entry'!$Z$453), "", 'Data Entry'!$Z$453)</f>
      </c>
      <c r="AA453">
        <f>IF(ISBLANK('Data Entry'!$[$453), "", 'Data Entry'!$[$453)</f>
      </c>
      <c r="AB453">
        <f>IF(ISBLANK('Data Entry'!$\$453), "", 'Data Entry'!$\$453)</f>
      </c>
      <c r="AC453">
        <f>IF(ISBLANK('Data Entry'!$]$453), "", 'Data Entry'!$]$453)</f>
      </c>
      <c r="AD453">
        <f>IF(ISBLANK('Data Entry'!$^$453), "", 'Data Entry'!$^$453)</f>
      </c>
      <c r="AE453">
        <f>IF(ISBLANK('Data Entry'!$_$453), "", 'Data Entry'!$_$453)</f>
      </c>
      <c r="AF453">
        <f>IF(ISBLANK('Data Entry'!$`$453), "", 'Data Entry'!$`$453)</f>
      </c>
      <c r="AG453">
        <f>IF(ISBLANK('Data Entry'!$a$453), "", 'Data Entry'!$a$453)</f>
      </c>
      <c r="AH453">
        <f>IF(ISBLANK('Data Entry'!$b$453), "", 'Data Entry'!$b$453)</f>
      </c>
      <c r="AI453">
        <f>IF(ISBLANK('Data Entry'!$c$453), "", 'Data Entry'!$c$453)</f>
      </c>
      <c r="AJ453">
        <f>IF(ISBLANK('Data Entry'!$d$453), "", 'Data Entry'!$d$453)</f>
      </c>
      <c r="AK453">
        <f>IF(ISBLANK('Data Entry'!$e$453), "", 'Data Entry'!$e$453)</f>
      </c>
      <c r="AL453">
        <f>IF(ISBLANK('Data Entry'!$f$453), "", 'Data Entry'!$f$453)</f>
      </c>
      <c r="AM453">
        <f>IF(ISBLANK('Data Entry'!$g$453), "", 'Data Entry'!$g$453)</f>
      </c>
      <c r="AN453">
        <f>IF(ISBLANK('Data Entry'!$h$453), "", 'Data Entry'!$h$453)</f>
      </c>
      <c r="AO453">
        <f>IF(ISBLANK('Data Entry'!$i$453), "", 'Data Entry'!$i$453)</f>
      </c>
      <c r="AP453">
        <f>IF(ISBLANK('Data Entry'!$j$453), "", 'Data Entry'!$j$453)</f>
      </c>
      <c r="AQ453">
        <f>IF(ISBLANK('Data Entry'!$k$453), "", 'Data Entry'!$k$453)</f>
      </c>
      <c r="AR453">
        <f>IF(ISBLANK('Data Entry'!$l$453), "", 'Data Entry'!$l$453)</f>
      </c>
      <c r="AS453">
        <f>IF(ISBLANK('Data Entry'!$m$453), "", 'Data Entry'!$m$453)</f>
      </c>
      <c r="AT453">
        <f>IF(ISBLANK('Data Entry'!$n$453), "", 'Data Entry'!$n$453)</f>
      </c>
      <c r="AU453">
        <f>IF(ISBLANK('Data Entry'!$o$453), "", 'Data Entry'!$o$453)</f>
      </c>
      <c r="AV453">
        <f>IF(ISBLANK('Data Entry'!$p$453), "", 'Data Entry'!$p$453)</f>
      </c>
      <c r="AW453">
        <f>IF(ISBLANK('Data Entry'!$q$453), "", 'Data Entry'!$q$453)</f>
      </c>
      <c r="AX453">
        <f>IF(ISBLANK('Data Entry'!$r$453), "", 'Data Entry'!$r$453)</f>
      </c>
      <c r="AY453">
        <f>IF(ISBLANK('Data Entry'!$s$453), "", 'Data Entry'!$s$453)</f>
      </c>
      <c r="AZ453">
        <f>IF(ISBLANK('Data Entry'!$t$453), "", 'Data Entry'!$t$453)</f>
      </c>
      <c r="BA453">
        <f>IF(ISBLANK('Data Entry'!$u$453), "", 'Data Entry'!$u$453)</f>
      </c>
      <c r="BB453">
        <f>IF(ISBLANK('Data Entry'!$v$453), "", 'Data Entry'!$v$453)</f>
      </c>
      <c r="BC453">
        <f>IF(ISBLANK('Data Entry'!$w$453), "", 'Data Entry'!$w$453)</f>
      </c>
      <c r="BD453">
        <f>IF(ISBLANK('Data Entry'!$x$453), "", 'Data Entry'!$x$453)</f>
      </c>
      <c r="BE453">
        <f>IF(ISBLANK('Data Entry'!$y$453), "", 'Data Entry'!$y$453)</f>
      </c>
      <c r="BF453">
        <f>IF(ISBLANK('Data Entry'!$z$453), "", 'Data Entry'!$z$453)</f>
      </c>
      <c r="BG453">
        <f>IF(ISBLANK('Data Entry'!${$453), "", 'Data Entry'!${$453)</f>
      </c>
      <c r="BH453">
        <f>IF(ISBLANK('Data Entry'!$|$453), "", 'Data Entry'!$|$453)</f>
      </c>
      <c r="BI453">
        <f>IF(ISBLANK('Data Entry'!$}$453), "", 'Data Entry'!$}$453)</f>
      </c>
      <c r="BJ453">
        <f>IF(ISBLANK('Data Entry'!$~$453), "", 'Data Entry'!$~$453)</f>
      </c>
      <c r="BK453">
        <f>IF(ISBLANK('Data Entry'!$$453), "", 'Data Entry'!$$453)</f>
      </c>
      <c r="BL453">
        <f>IF(ISBLANK('Data Entry'!$$453), "", 'Data Entry'!$$453)</f>
      </c>
      <c r="BM453">
        <f>IF(ISBLANK('Data Entry'!$$453), "", 'Data Entry'!$$453)</f>
      </c>
      <c r="BN453">
        <f>IF(ISBLANK('Data Entry'!$$453), "", 'Data Entry'!$$453)</f>
      </c>
      <c r="BO453">
        <f>IF(ISBLANK('Data Entry'!$$453), "", 'Data Entry'!$$453)</f>
      </c>
      <c r="BP453">
        <f>IF(ISBLANK('Data Entry'!$$453), "", 'Data Entry'!$$453)</f>
      </c>
      <c r="BQ453">
        <f>IF(ISBLANK('Data Entry'!$$453), "", 'Data Entry'!$$453)</f>
      </c>
      <c r="BR453">
        <f>IF(ISBLANK('Data Entry'!$$453), "", 'Data Entry'!$$453)</f>
      </c>
      <c r="BS453">
        <f>IF(ISBLANK('Data Entry'!$$453), "", 'Data Entry'!$$453)</f>
      </c>
      <c r="BT453">
        <f>IF(ISBLANK('Data Entry'!$$453), "", 'Data Entry'!$$453)</f>
      </c>
      <c r="BU453">
        <f>IF(ISBLANK('Data Entry'!$$453), "", 'Data Entry'!$$453)</f>
      </c>
      <c r="BV453">
        <f>IF(ISBLANK('Data Entry'!$$453), "", 'Data Entry'!$$453)</f>
      </c>
      <c r="BW453">
        <f>IF(ISBLANK('Data Entry'!$$453), "", 'Data Entry'!$$453)</f>
      </c>
      <c r="BX453">
        <f>IF(ISBLANK('Data Entry'!$$453), "", 'Data Entry'!$$453)</f>
      </c>
      <c r="BY453">
        <f>IF(ISBLANK('Data Entry'!$$453), "", 'Data Entry'!$$453)</f>
      </c>
      <c r="BZ453">
        <f>IF(ISBLANK('Data Entry'!$$453), "", 'Data Entry'!$$453)</f>
      </c>
      <c r="CA453">
        <f>IF(ISBLANK('Data Entry'!$$453), "", 'Data Entry'!$$453)</f>
      </c>
      <c r="CB453">
        <f>IF(ISBLANK('Data Entry'!$$453), "", 'Data Entry'!$$453)</f>
      </c>
      <c r="CC453">
        <f>IF(ISBLANK('Data Entry'!$$453), "", 'Data Entry'!$$453)</f>
      </c>
      <c r="CD453">
        <f>IF(ISBLANK('Data Entry'!$$453), "", 'Data Entry'!$$453)</f>
      </c>
      <c r="CE453">
        <f>IF(ISBLANK('Data Entry'!$$453), "", 'Data Entry'!$$453)</f>
      </c>
      <c r="CF453">
        <f>IF(ISBLANK('Data Entry'!$$453), "", 'Data Entry'!$$453)</f>
      </c>
      <c r="CG453">
        <f>IF(ISBLANK('Data Entry'!$$453), "", 'Data Entry'!$$453)</f>
      </c>
      <c r="CH453">
        <f>IF(ISBLANK('Data Entry'!$$453), "", 'Data Entry'!$$453)</f>
      </c>
      <c r="CI453">
        <f>IF(ISBLANK('Data Entry'!$$453), "", 'Data Entry'!$$453)</f>
      </c>
      <c r="CJ453">
        <f>IF(ISBLANK('Data Entry'!$$453), "", 'Data Entry'!$$453)</f>
      </c>
      <c r="CK453">
        <f>IF(ISBLANK('Data Entry'!$$453), "", 'Data Entry'!$$453)</f>
      </c>
      <c r="CL453">
        <f>IF(ISBLANK('Data Entry'!$$453), "", 'Data Entry'!$$453)</f>
      </c>
      <c r="CM453">
        <f>IF(ISBLANK('Data Entry'!$$453), "", 'Data Entry'!$$453)</f>
      </c>
      <c r="CN453">
        <f>IF(ISBLANK('Data Entry'!$$453), "", 'Data Entry'!$$453)</f>
      </c>
      <c r="CO453">
        <f>IF(ISBLANK('Data Entry'!$$453), "", 'Data Entry'!$$453)</f>
      </c>
      <c r="CP453">
        <f>IF(ISBLANK('Data Entry'!$$453), "", 'Data Entry'!$$453)</f>
      </c>
      <c r="CQ453">
        <f>IF(ISBLANK('Data Entry'!$$453), "", 'Data Entry'!$$453)</f>
      </c>
      <c r="CR453">
        <f>IF(ISBLANK('Data Entry'!$ $453), "", 'Data Entry'!$ $453)</f>
      </c>
      <c r="CS453">
        <f>IF(ISBLANK('Data Entry'!$¡$453), "", 'Data Entry'!$¡$453)</f>
      </c>
      <c r="CT453">
        <f>IF(ISBLANK('Data Entry'!$¢$453), "", 'Data Entry'!$¢$453)</f>
      </c>
      <c r="CU453">
        <f>IF(ISBLANK('Data Entry'!$£$453), "", 'Data Entry'!$£$453)</f>
      </c>
      <c r="CV453">
        <f>IF(ISBLANK('Data Entry'!$¤$453), "", 'Data Entry'!$¤$453)</f>
      </c>
      <c r="CW453">
        <f>IF(ISBLANK('Data Entry'!$¥$453), "", 'Data Entry'!$¥$453)</f>
      </c>
      <c r="CX453">
        <f>IF(ISBLANK('Data Entry'!$¦$453), "", 'Data Entry'!$¦$453)</f>
      </c>
      <c r="CY453">
        <f>IF(ISBLANK('Data Entry'!$§$453), "", 'Data Entry'!$§$453)</f>
      </c>
      <c r="CZ453">
        <f>IF(ISBLANK('Data Entry'!$¨$453), "", 'Data Entry'!$¨$453)</f>
      </c>
      <c r="DA453">
        <f>IF(ISBLANK('Data Entry'!$©$453), "", 'Data Entry'!$©$453)</f>
      </c>
      <c r="DB453">
        <f>IF(ISBLANK('Data Entry'!$ª$453), "", 'Data Entry'!$ª$453)</f>
      </c>
      <c r="DC453">
        <f>IF(ISBLANK('Data Entry'!$«$453), "", 'Data Entry'!$«$453)</f>
      </c>
      <c r="DD453">
        <f>IF(ISBLANK('Data Entry'!$¬$453), "", 'Data Entry'!$¬$453)</f>
      </c>
      <c r="DE453">
        <f>IF(ISBLANK('Data Entry'!$­$453), "", 'Data Entry'!$­$453)</f>
      </c>
      <c r="DF453">
        <f>IF(ISBLANK('Data Entry'!$®$453), "", 'Data Entry'!$®$453)</f>
      </c>
      <c r="DG453">
        <f>IF(ISBLANK('Data Entry'!$¯$453), "", 'Data Entry'!$¯$453)</f>
      </c>
      <c r="DH453">
        <f>IF(ISBLANK('Data Entry'!$°$453), "", 'Data Entry'!$°$453)</f>
      </c>
      <c r="DI453">
        <f>IF(ISBLANK('Data Entry'!$±$453), "", 'Data Entry'!$±$453)</f>
      </c>
      <c r="DJ453">
        <f>IF(ISBLANK('Data Entry'!$²$453), "", 'Data Entry'!$²$453)</f>
      </c>
      <c r="DK453">
        <f>IF(ISBLANK('Data Entry'!$³$453), "", 'Data Entry'!$³$453)</f>
      </c>
      <c r="DL453">
        <f>IF(ISBLANK('Data Entry'!$´$453), "", 'Data Entry'!$´$453)</f>
      </c>
      <c r="DM453">
        <f>IF(ISBLANK('Data Entry'!$µ$453), "", 'Data Entry'!$µ$453)</f>
      </c>
      <c r="DN453">
        <f>IF(ISBLANK('Data Entry'!$¶$453), "", 'Data Entry'!$¶$453)</f>
      </c>
      <c r="DO453">
        <f>IF(ISBLANK('Data Entry'!$·$453), "", 'Data Entry'!$·$453)</f>
      </c>
      <c r="DP453">
        <f>IF(ISBLANK('Data Entry'!$¸$453), "", 'Data Entry'!$¸$453)</f>
      </c>
      <c r="DQ453">
        <f>IF(ISBLANK('Data Entry'!$¹$453), "", 'Data Entry'!$¹$453)</f>
      </c>
      <c r="DR453">
        <f>IF(ISBLANK('Data Entry'!$º$453), "", 'Data Entry'!$º$453)</f>
      </c>
      <c r="DS453">
        <f>IF(ISBLANK('Data Entry'!$»$453), "", 'Data Entry'!$»$453)</f>
      </c>
      <c r="DT453">
        <f>IF(ISBLANK('Data Entry'!$¼$453), "", 'Data Entry'!$¼$453)</f>
      </c>
      <c r="DU453">
        <f>IF(ISBLANK('Data Entry'!$½$453), "", 'Data Entry'!$½$453)</f>
      </c>
      <c r="DV453">
        <f>IF(ISBLANK('Data Entry'!$¾$453), "", 'Data Entry'!$¾$453)</f>
      </c>
      <c r="DW453">
        <f>IF(ISBLANK('Data Entry'!$¿$453), "", 'Data Entry'!$¿$453)</f>
      </c>
      <c r="DX453">
        <f>IF(ISBLANK('Data Entry'!$À$453), "", 'Data Entry'!$À$453)</f>
      </c>
      <c r="DY453">
        <f>IF(ISBLANK('Data Entry'!$Á$453), "", 'Data Entry'!$Á$453)</f>
      </c>
      <c r="DZ453">
        <f>IF(ISBLANK('Data Entry'!$Â$453), "", 'Data Entry'!$Â$453)</f>
      </c>
      <c r="EA453">
        <f>IF(ISBLANK('Data Entry'!$Ã$453), "", 'Data Entry'!$Ã$453)</f>
      </c>
      <c r="EB453">
        <f>IF(ISBLANK('Data Entry'!$Ä$453), "", 'Data Entry'!$Ä$453)</f>
      </c>
      <c r="EC453">
        <f>IF(ISBLANK('Data Entry'!$Å$453), "", 'Data Entry'!$Å$453)</f>
      </c>
      <c r="ED453">
        <f>IF(ISBLANK('Data Entry'!$Æ$453), "", 'Data Entry'!$Æ$453)</f>
      </c>
      <c r="EE453">
        <f>IF(ISBLANK('Data Entry'!$Ç$453), "", 'Data Entry'!$Ç$453)</f>
      </c>
      <c r="EF453">
        <f>IF(ISBLANK('Data Entry'!$È$453), "", 'Data Entry'!$È$453)</f>
      </c>
      <c r="EG453">
        <f>IF(ISBLANK('Data Entry'!$É$453), "", 'Data Entry'!$É$453)</f>
      </c>
      <c r="EH453">
        <f>IF(ISBLANK('Data Entry'!$Ê$453), "", 'Data Entry'!$Ê$453)</f>
      </c>
      <c r="EI453">
        <f>IF(ISBLANK('Data Entry'!$Ë$453), "", 'Data Entry'!$Ë$453)</f>
      </c>
      <c r="EJ453">
        <f>IF(ISBLANK('Data Entry'!$Ì$453), "", 'Data Entry'!$Ì$453)</f>
      </c>
      <c r="EK453">
        <f>IF(ISBLANK('Data Entry'!$Í$453), "", 'Data Entry'!$Í$453)</f>
      </c>
      <c r="EL453">
        <f>IF(ISBLANK('Data Entry'!$Î$453), "", 'Data Entry'!$Î$453)</f>
      </c>
      <c r="EM453">
        <f>IF(ISBLANK('Data Entry'!$Ï$453), "", 'Data Entry'!$Ï$453)</f>
      </c>
      <c r="EN453">
        <f>IF(ISBLANK('Data Entry'!$Ð$453), "", 'Data Entry'!$Ð$453)</f>
      </c>
      <c r="EO453">
        <f>IF(ISBLANK('Data Entry'!$Ñ$453), "", 'Data Entry'!$Ñ$453)</f>
      </c>
      <c r="EP453">
        <f>IF(ISBLANK('Data Entry'!$Ò$453), "", 'Data Entry'!$Ò$453)</f>
      </c>
      <c r="EQ453">
        <f>IF(ISBLANK('Data Entry'!$Ó$453), "", 'Data Entry'!$Ó$453)</f>
      </c>
      <c r="ER453">
        <f>IF(ISBLANK('Data Entry'!$Ô$453), "", 'Data Entry'!$Ô$453)</f>
      </c>
      <c r="ES453">
        <f>IF(ISBLANK('Data Entry'!$Õ$453), "", 'Data Entry'!$Õ$453)</f>
      </c>
      <c r="ET453">
        <f>IF(ISBLANK('Data Entry'!$Ö$453), "", 'Data Entry'!$Ö$453)</f>
      </c>
      <c r="EU453">
        <f>IF(ISBLANK('Data Entry'!$×$453), "", 'Data Entry'!$×$453)</f>
      </c>
      <c r="EV453">
        <f>IF(ISBLANK('Data Entry'!$Ø$453), "", 'Data Entry'!$Ø$453)</f>
      </c>
      <c r="EW453">
        <f>IF(ISBLANK('Data Entry'!$Ù$453), "", 'Data Entry'!$Ù$453)</f>
      </c>
      <c r="EX453">
        <f>IF(ISBLANK('Data Entry'!$Ú$453), "", 'Data Entry'!$Ú$453)</f>
      </c>
      <c r="EY453">
        <f>IF(ISBLANK('Data Entry'!$Û$453), "", 'Data Entry'!$Û$453)</f>
      </c>
      <c r="EZ453">
        <f>IF(ISBLANK('Data Entry'!$Ü$453), "", 'Data Entry'!$Ü$453)</f>
      </c>
      <c r="FA453">
        <f>IF(ISBLANK('Data Entry'!$Ý$453), "", 'Data Entry'!$Ý$453)</f>
      </c>
      <c r="FB453">
        <f>IF(ISBLANK('Data Entry'!$Þ$453), "", 'Data Entry'!$Þ$453)</f>
      </c>
      <c r="FC453">
        <f>IF(ISBLANK('Data Entry'!$ß$453), "", 'Data Entry'!$ß$453)</f>
      </c>
      <c r="FD453">
        <f>IF(ISBLANK('Data Entry'!$à$453), "", 'Data Entry'!$à$453)</f>
      </c>
      <c r="FE453">
        <f>IF(ISBLANK('Data Entry'!$á$453), "", 'Data Entry'!$á$453)</f>
      </c>
      <c r="FF453">
        <f>IF(ISBLANK('Data Entry'!$â$453), "", 'Data Entry'!$â$453)</f>
      </c>
      <c r="FG453">
        <f>IF(ISBLANK('Data Entry'!$ã$453), "", 'Data Entry'!$ã$453)</f>
      </c>
      <c r="FH453">
        <f>IF(ISBLANK('Data Entry'!$ä$453), "", 'Data Entry'!$ä$453)</f>
      </c>
      <c r="FI453">
        <f>IF(ISBLANK('Data Entry'!$å$453), "", 'Data Entry'!$å$453)</f>
      </c>
      <c r="FJ453">
        <f>IF(ISBLANK('Data Entry'!$æ$453), "", 'Data Entry'!$æ$453)</f>
      </c>
      <c r="FK453">
        <f>IF(ISBLANK('Data Entry'!$ç$453), "", 'Data Entry'!$ç$453)</f>
      </c>
      <c r="FL453">
        <f>IF(ISBLANK('Data Entry'!$è$453), "", 'Data Entry'!$è$453)</f>
      </c>
      <c r="FM453">
        <f>IF(ISBLANK('Data Entry'!$é$453), "", 'Data Entry'!$é$453)</f>
      </c>
      <c r="FN453">
        <f>IF(ISBLANK('Data Entry'!$ê$453), "", 'Data Entry'!$ê$453)</f>
      </c>
      <c r="FO453">
        <f>IF(ISBLANK('Data Entry'!$ë$453), "", 'Data Entry'!$ë$453)</f>
      </c>
      <c r="FP453">
        <f>IF(ISBLANK('Data Entry'!$ì$453), "", 'Data Entry'!$ì$453)</f>
      </c>
      <c r="FQ453">
        <f>IF(ISBLANK('Data Entry'!$í$453), "", 'Data Entry'!$í$453)</f>
      </c>
      <c r="FR453">
        <f>IF(ISBLANK('Data Entry'!$î$453), "", 'Data Entry'!$î$453)</f>
      </c>
      <c r="FS453">
        <f>IF(ISBLANK('Data Entry'!$ï$453), "", 'Data Entry'!$ï$453)</f>
      </c>
      <c r="FT453">
        <f>IF(ISBLANK('Data Entry'!$ð$453), "", 'Data Entry'!$ð$453)</f>
      </c>
      <c r="FU453">
        <f>IF(ISBLANK('Data Entry'!$ñ$453), "", 'Data Entry'!$ñ$453)</f>
      </c>
      <c r="FV453">
        <f>IF(ISBLANK('Data Entry'!$ò$453), "", 'Data Entry'!$ò$453)</f>
      </c>
      <c r="FW453">
        <f>IF(ISBLANK('Data Entry'!$ó$453), "", 'Data Entry'!$ó$453)</f>
      </c>
      <c r="FX453">
        <f>IF(ISBLANK('Data Entry'!$ô$453), "", 'Data Entry'!$ô$453)</f>
      </c>
      <c r="FY453">
        <f>IF(ISBLANK('Data Entry'!$õ$453), "", 'Data Entry'!$õ$453)</f>
      </c>
      <c r="FZ453">
        <f>IF(ISBLANK('Data Entry'!$ö$453), "", 'Data Entry'!$ö$453)</f>
      </c>
      <c r="GA453">
        <f>IF(ISBLANK('Data Entry'!$÷$453), "", 'Data Entry'!$÷$453)</f>
      </c>
      <c r="GB453">
        <f>IF(ISBLANK('Data Entry'!$ø$453), "", 'Data Entry'!$ø$453)</f>
      </c>
      <c r="GC453">
        <f>IF(ISBLANK('Data Entry'!$ù$453), "", 'Data Entry'!$ù$453)</f>
      </c>
      <c r="GD453">
        <f>IF(ISBLANK('Data Entry'!$ú$453), "", 'Data Entry'!$ú$453)</f>
      </c>
      <c r="GE453">
        <f>IF(ISBLANK('Data Entry'!$û$453), "", 'Data Entry'!$û$453)</f>
      </c>
      <c r="GF453">
        <f>IF(ISBLANK('Data Entry'!$ü$453), "", 'Data Entry'!$ü$453)</f>
      </c>
      <c r="GG453">
        <f>IF(ISBLANK('Data Entry'!$ý$453), "", 'Data Entry'!$ý$453)</f>
      </c>
      <c r="GH453">
        <f>IF(ISBLANK('Data Entry'!$þ$453), "", 'Data Entry'!$þ$453)</f>
      </c>
      <c r="GI453">
        <f>IF(ISBLANK('Data Entry'!$ÿ$453), "", 'Data Entry'!$ÿ$453)</f>
      </c>
      <c r="GJ453">
        <f>IF(ISBLANK('Data Entry'!$Ā$453), "", 'Data Entry'!$Ā$453)</f>
      </c>
      <c r="GK453">
        <f>IF(ISBLANK('Data Entry'!$ā$453), "", 'Data Entry'!$ā$453)</f>
      </c>
      <c r="GL453">
        <f>IF(ISBLANK('Data Entry'!$Ă$453), "", 'Data Entry'!$Ă$453)</f>
      </c>
      <c r="GM453">
        <f>IF(ISBLANK('Data Entry'!$ă$453), "", 'Data Entry'!$ă$453)</f>
      </c>
      <c r="GN453">
        <f>IF(ISBLANK('Data Entry'!$Ą$453), "", 'Data Entry'!$Ą$453)</f>
      </c>
      <c r="GO453">
        <f>IF(ISBLANK('Data Entry'!$ą$453), "", 'Data Entry'!$ą$453)</f>
      </c>
      <c r="GP453">
        <f>IF(ISBLANK('Data Entry'!$Ć$453), "", 'Data Entry'!$Ć$453)</f>
      </c>
      <c r="GQ453">
        <f>IF(ISBLANK('Data Entry'!$ć$453), "", 'Data Entry'!$ć$453)</f>
      </c>
      <c r="GR453">
        <f>IF(ISBLANK('Data Entry'!$Ĉ$453), "", 'Data Entry'!$Ĉ$453)</f>
      </c>
      <c r="GS453">
        <f>IF(ISBLANK('Data Entry'!$ĉ$453), "", 'Data Entry'!$ĉ$453)</f>
      </c>
      <c r="GT453">
        <f>IF(ISBLANK('Data Entry'!$Ċ$453), "", 'Data Entry'!$Ċ$453)</f>
      </c>
      <c r="GU453">
        <f>IF(ISBLANK('Data Entry'!$ċ$453), "", 'Data Entry'!$ċ$453)</f>
      </c>
      <c r="GV453">
        <f>IF(ISBLANK('Data Entry'!$Č$453), "", 'Data Entry'!$Č$453)</f>
      </c>
      <c r="GW453">
        <f>IF(ISBLANK('Data Entry'!$č$453), "", 'Data Entry'!$č$453)</f>
      </c>
      <c r="GX453">
        <f>IF(ISBLANK('Data Entry'!$Ď$453), "", 'Data Entry'!$Ď$453)</f>
      </c>
      <c r="GY453">
        <f>IF(ISBLANK('Data Entry'!$ď$453), "", 'Data Entry'!$ď$453)</f>
      </c>
      <c r="GZ453">
        <f>IF(ISBLANK('Data Entry'!$Đ$453), "", 'Data Entry'!$Đ$453)</f>
      </c>
      <c r="HA453">
        <f>IF(ISBLANK('Data Entry'!$đ$453), "", 'Data Entry'!$đ$453)</f>
      </c>
      <c r="HB453">
        <f>IF(ISBLANK('Data Entry'!$Ē$453), "", 'Data Entry'!$Ē$453)</f>
      </c>
      <c r="HC453">
        <f>IF(ISBLANK('Data Entry'!$ē$453), "", 'Data Entry'!$ē$453)</f>
      </c>
      <c r="HD453">
        <f>IF(ISBLANK('Data Entry'!$Ĕ$453), "", 'Data Entry'!$Ĕ$453)</f>
      </c>
      <c r="HE453">
        <f>IF(ISBLANK('Data Entry'!$ĕ$453), "", 'Data Entry'!$ĕ$453)</f>
      </c>
      <c r="HF453">
        <f>IF(ISBLANK('Data Entry'!$Ė$453), "", 'Data Entry'!$Ė$453)</f>
      </c>
      <c r="HG453">
        <f>IF(ISBLANK('Data Entry'!$ė$453), "", 'Data Entry'!$ė$453)</f>
      </c>
      <c r="HH453">
        <f>IF(ISBLANK('Data Entry'!$Ę$453), "", 'Data Entry'!$Ę$453)</f>
      </c>
      <c r="HI453">
        <f>IF(ISBLANK('Data Entry'!$ę$453), "", 'Data Entry'!$ę$453)</f>
      </c>
      <c r="HJ453">
        <f>IF(ISBLANK('Data Entry'!$Ě$453), "", 'Data Entry'!$Ě$453)</f>
      </c>
      <c r="HK453">
        <f>IF(ISBLANK('Data Entry'!$ě$453), "", 'Data Entry'!$ě$453)</f>
      </c>
      <c r="HL453">
        <f>IF(ISBLANK('Data Entry'!$Ĝ$453), "", 'Data Entry'!$Ĝ$453)</f>
      </c>
      <c r="HM453">
        <f>IF(ISBLANK('Data Entry'!$ĝ$453), "", 'Data Entry'!$ĝ$453)</f>
      </c>
      <c r="HN453">
        <f>IF(ISBLANK('Data Entry'!$Ğ$453), "", 'Data Entry'!$Ğ$453)</f>
      </c>
      <c r="HO453">
        <f>IF(ISBLANK('Data Entry'!$ğ$453), "", 'Data Entry'!$ğ$453)</f>
      </c>
      <c r="HP453">
        <f>IF(ISBLANK('Data Entry'!$Ġ$453), "", 'Data Entry'!$Ġ$453)</f>
      </c>
      <c r="HQ453">
        <f>IF(ISBLANK('Data Entry'!$ġ$453), "", 'Data Entry'!$ġ$453)</f>
      </c>
      <c r="HR453">
        <f>IF(ISBLANK('Data Entry'!$Ģ$453), "", 'Data Entry'!$Ģ$453)</f>
      </c>
      <c r="HS453">
        <f>IF(ISBLANK('Data Entry'!$ģ$453), "", 'Data Entry'!$ģ$453)</f>
      </c>
      <c r="HT453">
        <f>IF(ISBLANK('Data Entry'!$Ĥ$453), "", 'Data Entry'!$Ĥ$453)</f>
      </c>
      <c r="HU453">
        <f>IF(ISBLANK('Data Entry'!$ĥ$453), "", 'Data Entry'!$ĥ$453)</f>
      </c>
      <c r="HV453">
        <f>IF(ISBLANK('Data Entry'!$Ħ$453), "", 'Data Entry'!$Ħ$453)</f>
      </c>
      <c r="HW453">
        <f>IF(ISBLANK('Data Entry'!$ħ$453), "", 'Data Entry'!$ħ$453)</f>
      </c>
      <c r="HX453">
        <f>IF(ISBLANK('Data Entry'!$Ĩ$453), "", 'Data Entry'!$Ĩ$453)</f>
      </c>
      <c r="HY453">
        <f>IF(ISBLANK('Data Entry'!$ĩ$453), "", 'Data Entry'!$ĩ$453)</f>
      </c>
      <c r="HZ453">
        <f>IF(ISBLANK('Data Entry'!$Ī$453), "", 'Data Entry'!$Ī$453)</f>
      </c>
      <c r="IA453">
        <f>IF(ISBLANK('Data Entry'!$ī$453), "", 'Data Entry'!$ī$453)</f>
      </c>
      <c r="IB453">
        <f>IF(ISBLANK('Data Entry'!$Ĭ$453), "", 'Data Entry'!$Ĭ$453)</f>
      </c>
      <c r="IC453">
        <f>IF(ISBLANK('Data Entry'!$ĭ$453), "", 'Data Entry'!$ĭ$453)</f>
      </c>
      <c r="ID453">
        <f>IF(ISBLANK('Data Entry'!$Į$453), "", 'Data Entry'!$Į$453)</f>
      </c>
      <c r="IE453">
        <f>IF(ISBLANK('Data Entry'!$į$453), "", 'Data Entry'!$į$453)</f>
      </c>
      <c r="IF453">
        <f>IF(ISBLANK('Data Entry'!$İ$453), "", 'Data Entry'!$İ$453)</f>
      </c>
      <c r="IG453">
        <f>IF(ISBLANK('Data Entry'!$ı$453), "", 'Data Entry'!$ı$453)</f>
      </c>
      <c r="IH453">
        <f>IF(ISBLANK('Data Entry'!$Ĳ$453), "", 'Data Entry'!$Ĳ$453)</f>
      </c>
      <c r="II453">
        <f>IF(ISBLANK('Data Entry'!$ĳ$453), "", 'Data Entry'!$ĳ$453)</f>
      </c>
      <c r="IJ453">
        <f>IF(ISBLANK('Data Entry'!$Ĵ$453), "", 'Data Entry'!$Ĵ$453)</f>
      </c>
      <c r="IK453">
        <f>IF(ISBLANK('Data Entry'!$ĵ$453), "", 'Data Entry'!$ĵ$453)</f>
      </c>
      <c r="IL453">
        <f>IF(ISBLANK('Data Entry'!$Ķ$453), "", 'Data Entry'!$Ķ$453)</f>
      </c>
      <c r="IM453">
        <f>IF(ISBLANK('Data Entry'!$ķ$453), "", 'Data Entry'!$ķ$453)</f>
      </c>
      <c r="IN453">
        <f>IF(ISBLANK('Data Entry'!$ĸ$453), "", 'Data Entry'!$ĸ$453)</f>
      </c>
      <c r="IO453">
        <f>IF(ISBLANK('Data Entry'!$Ĺ$453), "", 'Data Entry'!$Ĺ$453)</f>
      </c>
      <c r="IP453">
        <f>IF(ISBLANK('Data Entry'!$ĺ$453), "", 'Data Entry'!$ĺ$453)</f>
      </c>
      <c r="IQ453">
        <f>IF(ISBLANK('Data Entry'!$Ļ$453), "", 'Data Entry'!$Ļ$453)</f>
      </c>
      <c r="IR453">
        <f>IF(ISBLANK('Data Entry'!$ļ$453), "", 'Data Entry'!$ļ$453)</f>
      </c>
      <c r="IS453">
        <f>IF(ISBLANK('Data Entry'!$Ľ$453), "", 'Data Entry'!$Ľ$453)</f>
      </c>
      <c r="IT453">
        <f>IF(ISBLANK('Data Entry'!$ľ$453), "", 'Data Entry'!$ľ$453)</f>
      </c>
    </row>
    <row r="454" spans="1:254" x14ac:dyDescent="0.25">
      <c r="A454">
        <f>IF(ISBLANK('Data Entry'!$A$454), "", 'Data Entry'!$A$454)</f>
      </c>
      <c r="B454">
        <f>IF(ISBLANK('Data Entry'!$B$454), "", 'Data Entry'!$B$454)</f>
      </c>
      <c r="C454">
        <f>IF(ISBLANK('Data Entry'!$C$454), "", 'Data Entry'!$C$454)</f>
      </c>
      <c r="D454">
        <f>IF(ISBLANK('Data Entry'!$D$454), "", 'Data Entry'!$D$454)</f>
      </c>
      <c r="E454">
        <f>IF(ISBLANK('Data Entry'!$E$454), "", 'Data Entry'!$E$454)</f>
      </c>
      <c r="F454">
        <f>IF(ISBLANK('Data Entry'!$F$454), "", 'Data Entry'!$F$454)</f>
      </c>
      <c r="G454">
        <f>IF(ISBLANK('Data Entry'!$G$454), "", 'Data Entry'!$G$454)</f>
      </c>
      <c r="H454">
        <f>IF(ISBLANK('Data Entry'!$H$454), "", 'Data Entry'!$H$454)</f>
      </c>
      <c r="I454">
        <f>IF(ISBLANK('Data Entry'!$I$454), "", 'Data Entry'!$I$454)</f>
      </c>
      <c r="J454">
        <f>IF(ISBLANK('Data Entry'!$J$454), "", 'Data Entry'!$J$454)</f>
      </c>
      <c r="K454">
        <f>IF(ISBLANK('Data Entry'!$K$454), "", 'Data Entry'!$K$454)</f>
      </c>
      <c r="L454">
        <f>IF(ISBLANK('Data Entry'!$L$454), "", 'Data Entry'!$L$454)</f>
      </c>
      <c r="M454">
        <f>IF(ISBLANK('Data Entry'!$M$454), "", 'Data Entry'!$M$454)</f>
      </c>
      <c r="N454">
        <f>IF(ISBLANK('Data Entry'!$N$454), "", 'Data Entry'!$N$454)</f>
      </c>
      <c r="O454">
        <f>IF(ISBLANK('Data Entry'!$O$454), "", 'Data Entry'!$O$454)</f>
      </c>
      <c r="P454">
        <f>IF(ISBLANK('Data Entry'!$P$454), "", 'Data Entry'!$P$454)</f>
      </c>
      <c r="Q454">
        <f>IF(ISBLANK('Data Entry'!$Q$454), "", 'Data Entry'!$Q$454)</f>
      </c>
      <c r="R454">
        <f>IF(ISBLANK('Data Entry'!$R$454), "", 'Data Entry'!$R$454)</f>
      </c>
      <c r="S454">
        <f>IF(ISBLANK('Data Entry'!$S$454), "", 'Data Entry'!$S$454)</f>
      </c>
      <c r="T454">
        <f>IF(ISBLANK('Data Entry'!$T$454), "", 'Data Entry'!$T$454)</f>
      </c>
      <c r="U454">
        <f>IF(ISBLANK('Data Entry'!$U$454), "", 'Data Entry'!$U$454)</f>
      </c>
      <c r="V454">
        <f>IF(ISBLANK('Data Entry'!$V$454), "", 'Data Entry'!$V$454)</f>
      </c>
      <c r="W454">
        <f>IF(ISBLANK('Data Entry'!$W$454), "", 'Data Entry'!$W$454)</f>
      </c>
      <c r="X454">
        <f>IF(ISBLANK('Data Entry'!$X$454), "", 'Data Entry'!$X$454)</f>
      </c>
      <c r="Y454">
        <f>IF(ISBLANK('Data Entry'!$Y$454), "", 'Data Entry'!$Y$454)</f>
      </c>
      <c r="Z454">
        <f>IF(ISBLANK('Data Entry'!$Z$454), "", 'Data Entry'!$Z$454)</f>
      </c>
      <c r="AA454">
        <f>IF(ISBLANK('Data Entry'!$[$454), "", 'Data Entry'!$[$454)</f>
      </c>
      <c r="AB454">
        <f>IF(ISBLANK('Data Entry'!$\$454), "", 'Data Entry'!$\$454)</f>
      </c>
      <c r="AC454">
        <f>IF(ISBLANK('Data Entry'!$]$454), "", 'Data Entry'!$]$454)</f>
      </c>
      <c r="AD454">
        <f>IF(ISBLANK('Data Entry'!$^$454), "", 'Data Entry'!$^$454)</f>
      </c>
      <c r="AE454">
        <f>IF(ISBLANK('Data Entry'!$_$454), "", 'Data Entry'!$_$454)</f>
      </c>
      <c r="AF454">
        <f>IF(ISBLANK('Data Entry'!$`$454), "", 'Data Entry'!$`$454)</f>
      </c>
      <c r="AG454">
        <f>IF(ISBLANK('Data Entry'!$a$454), "", 'Data Entry'!$a$454)</f>
      </c>
      <c r="AH454">
        <f>IF(ISBLANK('Data Entry'!$b$454), "", 'Data Entry'!$b$454)</f>
      </c>
      <c r="AI454">
        <f>IF(ISBLANK('Data Entry'!$c$454), "", 'Data Entry'!$c$454)</f>
      </c>
      <c r="AJ454">
        <f>IF(ISBLANK('Data Entry'!$d$454), "", 'Data Entry'!$d$454)</f>
      </c>
      <c r="AK454">
        <f>IF(ISBLANK('Data Entry'!$e$454), "", 'Data Entry'!$e$454)</f>
      </c>
      <c r="AL454">
        <f>IF(ISBLANK('Data Entry'!$f$454), "", 'Data Entry'!$f$454)</f>
      </c>
      <c r="AM454">
        <f>IF(ISBLANK('Data Entry'!$g$454), "", 'Data Entry'!$g$454)</f>
      </c>
      <c r="AN454">
        <f>IF(ISBLANK('Data Entry'!$h$454), "", 'Data Entry'!$h$454)</f>
      </c>
      <c r="AO454">
        <f>IF(ISBLANK('Data Entry'!$i$454), "", 'Data Entry'!$i$454)</f>
      </c>
      <c r="AP454">
        <f>IF(ISBLANK('Data Entry'!$j$454), "", 'Data Entry'!$j$454)</f>
      </c>
      <c r="AQ454">
        <f>IF(ISBLANK('Data Entry'!$k$454), "", 'Data Entry'!$k$454)</f>
      </c>
      <c r="AR454">
        <f>IF(ISBLANK('Data Entry'!$l$454), "", 'Data Entry'!$l$454)</f>
      </c>
      <c r="AS454">
        <f>IF(ISBLANK('Data Entry'!$m$454), "", 'Data Entry'!$m$454)</f>
      </c>
      <c r="AT454">
        <f>IF(ISBLANK('Data Entry'!$n$454), "", 'Data Entry'!$n$454)</f>
      </c>
      <c r="AU454">
        <f>IF(ISBLANK('Data Entry'!$o$454), "", 'Data Entry'!$o$454)</f>
      </c>
      <c r="AV454">
        <f>IF(ISBLANK('Data Entry'!$p$454), "", 'Data Entry'!$p$454)</f>
      </c>
      <c r="AW454">
        <f>IF(ISBLANK('Data Entry'!$q$454), "", 'Data Entry'!$q$454)</f>
      </c>
      <c r="AX454">
        <f>IF(ISBLANK('Data Entry'!$r$454), "", 'Data Entry'!$r$454)</f>
      </c>
      <c r="AY454">
        <f>IF(ISBLANK('Data Entry'!$s$454), "", 'Data Entry'!$s$454)</f>
      </c>
      <c r="AZ454">
        <f>IF(ISBLANK('Data Entry'!$t$454), "", 'Data Entry'!$t$454)</f>
      </c>
      <c r="BA454">
        <f>IF(ISBLANK('Data Entry'!$u$454), "", 'Data Entry'!$u$454)</f>
      </c>
      <c r="BB454">
        <f>IF(ISBLANK('Data Entry'!$v$454), "", 'Data Entry'!$v$454)</f>
      </c>
      <c r="BC454">
        <f>IF(ISBLANK('Data Entry'!$w$454), "", 'Data Entry'!$w$454)</f>
      </c>
      <c r="BD454">
        <f>IF(ISBLANK('Data Entry'!$x$454), "", 'Data Entry'!$x$454)</f>
      </c>
      <c r="BE454">
        <f>IF(ISBLANK('Data Entry'!$y$454), "", 'Data Entry'!$y$454)</f>
      </c>
      <c r="BF454">
        <f>IF(ISBLANK('Data Entry'!$z$454), "", 'Data Entry'!$z$454)</f>
      </c>
      <c r="BG454">
        <f>IF(ISBLANK('Data Entry'!${$454), "", 'Data Entry'!${$454)</f>
      </c>
      <c r="BH454">
        <f>IF(ISBLANK('Data Entry'!$|$454), "", 'Data Entry'!$|$454)</f>
      </c>
      <c r="BI454">
        <f>IF(ISBLANK('Data Entry'!$}$454), "", 'Data Entry'!$}$454)</f>
      </c>
      <c r="BJ454">
        <f>IF(ISBLANK('Data Entry'!$~$454), "", 'Data Entry'!$~$454)</f>
      </c>
      <c r="BK454">
        <f>IF(ISBLANK('Data Entry'!$$454), "", 'Data Entry'!$$454)</f>
      </c>
      <c r="BL454">
        <f>IF(ISBLANK('Data Entry'!$$454), "", 'Data Entry'!$$454)</f>
      </c>
      <c r="BM454">
        <f>IF(ISBLANK('Data Entry'!$$454), "", 'Data Entry'!$$454)</f>
      </c>
      <c r="BN454">
        <f>IF(ISBLANK('Data Entry'!$$454), "", 'Data Entry'!$$454)</f>
      </c>
      <c r="BO454">
        <f>IF(ISBLANK('Data Entry'!$$454), "", 'Data Entry'!$$454)</f>
      </c>
      <c r="BP454">
        <f>IF(ISBLANK('Data Entry'!$$454), "", 'Data Entry'!$$454)</f>
      </c>
      <c r="BQ454">
        <f>IF(ISBLANK('Data Entry'!$$454), "", 'Data Entry'!$$454)</f>
      </c>
      <c r="BR454">
        <f>IF(ISBLANK('Data Entry'!$$454), "", 'Data Entry'!$$454)</f>
      </c>
      <c r="BS454">
        <f>IF(ISBLANK('Data Entry'!$$454), "", 'Data Entry'!$$454)</f>
      </c>
      <c r="BT454">
        <f>IF(ISBLANK('Data Entry'!$$454), "", 'Data Entry'!$$454)</f>
      </c>
      <c r="BU454">
        <f>IF(ISBLANK('Data Entry'!$$454), "", 'Data Entry'!$$454)</f>
      </c>
      <c r="BV454">
        <f>IF(ISBLANK('Data Entry'!$$454), "", 'Data Entry'!$$454)</f>
      </c>
      <c r="BW454">
        <f>IF(ISBLANK('Data Entry'!$$454), "", 'Data Entry'!$$454)</f>
      </c>
      <c r="BX454">
        <f>IF(ISBLANK('Data Entry'!$$454), "", 'Data Entry'!$$454)</f>
      </c>
      <c r="BY454">
        <f>IF(ISBLANK('Data Entry'!$$454), "", 'Data Entry'!$$454)</f>
      </c>
      <c r="BZ454">
        <f>IF(ISBLANK('Data Entry'!$$454), "", 'Data Entry'!$$454)</f>
      </c>
      <c r="CA454">
        <f>IF(ISBLANK('Data Entry'!$$454), "", 'Data Entry'!$$454)</f>
      </c>
      <c r="CB454">
        <f>IF(ISBLANK('Data Entry'!$$454), "", 'Data Entry'!$$454)</f>
      </c>
      <c r="CC454">
        <f>IF(ISBLANK('Data Entry'!$$454), "", 'Data Entry'!$$454)</f>
      </c>
      <c r="CD454">
        <f>IF(ISBLANK('Data Entry'!$$454), "", 'Data Entry'!$$454)</f>
      </c>
      <c r="CE454">
        <f>IF(ISBLANK('Data Entry'!$$454), "", 'Data Entry'!$$454)</f>
      </c>
      <c r="CF454">
        <f>IF(ISBLANK('Data Entry'!$$454), "", 'Data Entry'!$$454)</f>
      </c>
      <c r="CG454">
        <f>IF(ISBLANK('Data Entry'!$$454), "", 'Data Entry'!$$454)</f>
      </c>
      <c r="CH454">
        <f>IF(ISBLANK('Data Entry'!$$454), "", 'Data Entry'!$$454)</f>
      </c>
      <c r="CI454">
        <f>IF(ISBLANK('Data Entry'!$$454), "", 'Data Entry'!$$454)</f>
      </c>
      <c r="CJ454">
        <f>IF(ISBLANK('Data Entry'!$$454), "", 'Data Entry'!$$454)</f>
      </c>
      <c r="CK454">
        <f>IF(ISBLANK('Data Entry'!$$454), "", 'Data Entry'!$$454)</f>
      </c>
      <c r="CL454">
        <f>IF(ISBLANK('Data Entry'!$$454), "", 'Data Entry'!$$454)</f>
      </c>
      <c r="CM454">
        <f>IF(ISBLANK('Data Entry'!$$454), "", 'Data Entry'!$$454)</f>
      </c>
      <c r="CN454">
        <f>IF(ISBLANK('Data Entry'!$$454), "", 'Data Entry'!$$454)</f>
      </c>
      <c r="CO454">
        <f>IF(ISBLANK('Data Entry'!$$454), "", 'Data Entry'!$$454)</f>
      </c>
      <c r="CP454">
        <f>IF(ISBLANK('Data Entry'!$$454), "", 'Data Entry'!$$454)</f>
      </c>
      <c r="CQ454">
        <f>IF(ISBLANK('Data Entry'!$$454), "", 'Data Entry'!$$454)</f>
      </c>
      <c r="CR454">
        <f>IF(ISBLANK('Data Entry'!$ $454), "", 'Data Entry'!$ $454)</f>
      </c>
      <c r="CS454">
        <f>IF(ISBLANK('Data Entry'!$¡$454), "", 'Data Entry'!$¡$454)</f>
      </c>
      <c r="CT454">
        <f>IF(ISBLANK('Data Entry'!$¢$454), "", 'Data Entry'!$¢$454)</f>
      </c>
      <c r="CU454">
        <f>IF(ISBLANK('Data Entry'!$£$454), "", 'Data Entry'!$£$454)</f>
      </c>
      <c r="CV454">
        <f>IF(ISBLANK('Data Entry'!$¤$454), "", 'Data Entry'!$¤$454)</f>
      </c>
      <c r="CW454">
        <f>IF(ISBLANK('Data Entry'!$¥$454), "", 'Data Entry'!$¥$454)</f>
      </c>
      <c r="CX454">
        <f>IF(ISBLANK('Data Entry'!$¦$454), "", 'Data Entry'!$¦$454)</f>
      </c>
      <c r="CY454">
        <f>IF(ISBLANK('Data Entry'!$§$454), "", 'Data Entry'!$§$454)</f>
      </c>
      <c r="CZ454">
        <f>IF(ISBLANK('Data Entry'!$¨$454), "", 'Data Entry'!$¨$454)</f>
      </c>
      <c r="DA454">
        <f>IF(ISBLANK('Data Entry'!$©$454), "", 'Data Entry'!$©$454)</f>
      </c>
      <c r="DB454">
        <f>IF(ISBLANK('Data Entry'!$ª$454), "", 'Data Entry'!$ª$454)</f>
      </c>
      <c r="DC454">
        <f>IF(ISBLANK('Data Entry'!$«$454), "", 'Data Entry'!$«$454)</f>
      </c>
      <c r="DD454">
        <f>IF(ISBLANK('Data Entry'!$¬$454), "", 'Data Entry'!$¬$454)</f>
      </c>
      <c r="DE454">
        <f>IF(ISBLANK('Data Entry'!$­$454), "", 'Data Entry'!$­$454)</f>
      </c>
      <c r="DF454">
        <f>IF(ISBLANK('Data Entry'!$®$454), "", 'Data Entry'!$®$454)</f>
      </c>
      <c r="DG454">
        <f>IF(ISBLANK('Data Entry'!$¯$454), "", 'Data Entry'!$¯$454)</f>
      </c>
      <c r="DH454">
        <f>IF(ISBLANK('Data Entry'!$°$454), "", 'Data Entry'!$°$454)</f>
      </c>
      <c r="DI454">
        <f>IF(ISBLANK('Data Entry'!$±$454), "", 'Data Entry'!$±$454)</f>
      </c>
      <c r="DJ454">
        <f>IF(ISBLANK('Data Entry'!$²$454), "", 'Data Entry'!$²$454)</f>
      </c>
      <c r="DK454">
        <f>IF(ISBLANK('Data Entry'!$³$454), "", 'Data Entry'!$³$454)</f>
      </c>
      <c r="DL454">
        <f>IF(ISBLANK('Data Entry'!$´$454), "", 'Data Entry'!$´$454)</f>
      </c>
      <c r="DM454">
        <f>IF(ISBLANK('Data Entry'!$µ$454), "", 'Data Entry'!$µ$454)</f>
      </c>
      <c r="DN454">
        <f>IF(ISBLANK('Data Entry'!$¶$454), "", 'Data Entry'!$¶$454)</f>
      </c>
      <c r="DO454">
        <f>IF(ISBLANK('Data Entry'!$·$454), "", 'Data Entry'!$·$454)</f>
      </c>
      <c r="DP454">
        <f>IF(ISBLANK('Data Entry'!$¸$454), "", 'Data Entry'!$¸$454)</f>
      </c>
      <c r="DQ454">
        <f>IF(ISBLANK('Data Entry'!$¹$454), "", 'Data Entry'!$¹$454)</f>
      </c>
      <c r="DR454">
        <f>IF(ISBLANK('Data Entry'!$º$454), "", 'Data Entry'!$º$454)</f>
      </c>
      <c r="DS454">
        <f>IF(ISBLANK('Data Entry'!$»$454), "", 'Data Entry'!$»$454)</f>
      </c>
      <c r="DT454">
        <f>IF(ISBLANK('Data Entry'!$¼$454), "", 'Data Entry'!$¼$454)</f>
      </c>
      <c r="DU454">
        <f>IF(ISBLANK('Data Entry'!$½$454), "", 'Data Entry'!$½$454)</f>
      </c>
      <c r="DV454">
        <f>IF(ISBLANK('Data Entry'!$¾$454), "", 'Data Entry'!$¾$454)</f>
      </c>
      <c r="DW454">
        <f>IF(ISBLANK('Data Entry'!$¿$454), "", 'Data Entry'!$¿$454)</f>
      </c>
      <c r="DX454">
        <f>IF(ISBLANK('Data Entry'!$À$454), "", 'Data Entry'!$À$454)</f>
      </c>
      <c r="DY454">
        <f>IF(ISBLANK('Data Entry'!$Á$454), "", 'Data Entry'!$Á$454)</f>
      </c>
      <c r="DZ454">
        <f>IF(ISBLANK('Data Entry'!$Â$454), "", 'Data Entry'!$Â$454)</f>
      </c>
      <c r="EA454">
        <f>IF(ISBLANK('Data Entry'!$Ã$454), "", 'Data Entry'!$Ã$454)</f>
      </c>
      <c r="EB454">
        <f>IF(ISBLANK('Data Entry'!$Ä$454), "", 'Data Entry'!$Ä$454)</f>
      </c>
      <c r="EC454">
        <f>IF(ISBLANK('Data Entry'!$Å$454), "", 'Data Entry'!$Å$454)</f>
      </c>
      <c r="ED454">
        <f>IF(ISBLANK('Data Entry'!$Æ$454), "", 'Data Entry'!$Æ$454)</f>
      </c>
      <c r="EE454">
        <f>IF(ISBLANK('Data Entry'!$Ç$454), "", 'Data Entry'!$Ç$454)</f>
      </c>
      <c r="EF454">
        <f>IF(ISBLANK('Data Entry'!$È$454), "", 'Data Entry'!$È$454)</f>
      </c>
      <c r="EG454">
        <f>IF(ISBLANK('Data Entry'!$É$454), "", 'Data Entry'!$É$454)</f>
      </c>
      <c r="EH454">
        <f>IF(ISBLANK('Data Entry'!$Ê$454), "", 'Data Entry'!$Ê$454)</f>
      </c>
      <c r="EI454">
        <f>IF(ISBLANK('Data Entry'!$Ë$454), "", 'Data Entry'!$Ë$454)</f>
      </c>
      <c r="EJ454">
        <f>IF(ISBLANK('Data Entry'!$Ì$454), "", 'Data Entry'!$Ì$454)</f>
      </c>
      <c r="EK454">
        <f>IF(ISBLANK('Data Entry'!$Í$454), "", 'Data Entry'!$Í$454)</f>
      </c>
      <c r="EL454">
        <f>IF(ISBLANK('Data Entry'!$Î$454), "", 'Data Entry'!$Î$454)</f>
      </c>
      <c r="EM454">
        <f>IF(ISBLANK('Data Entry'!$Ï$454), "", 'Data Entry'!$Ï$454)</f>
      </c>
      <c r="EN454">
        <f>IF(ISBLANK('Data Entry'!$Ð$454), "", 'Data Entry'!$Ð$454)</f>
      </c>
      <c r="EO454">
        <f>IF(ISBLANK('Data Entry'!$Ñ$454), "", 'Data Entry'!$Ñ$454)</f>
      </c>
      <c r="EP454">
        <f>IF(ISBLANK('Data Entry'!$Ò$454), "", 'Data Entry'!$Ò$454)</f>
      </c>
      <c r="EQ454">
        <f>IF(ISBLANK('Data Entry'!$Ó$454), "", 'Data Entry'!$Ó$454)</f>
      </c>
      <c r="ER454">
        <f>IF(ISBLANK('Data Entry'!$Ô$454), "", 'Data Entry'!$Ô$454)</f>
      </c>
      <c r="ES454">
        <f>IF(ISBLANK('Data Entry'!$Õ$454), "", 'Data Entry'!$Õ$454)</f>
      </c>
      <c r="ET454">
        <f>IF(ISBLANK('Data Entry'!$Ö$454), "", 'Data Entry'!$Ö$454)</f>
      </c>
      <c r="EU454">
        <f>IF(ISBLANK('Data Entry'!$×$454), "", 'Data Entry'!$×$454)</f>
      </c>
      <c r="EV454">
        <f>IF(ISBLANK('Data Entry'!$Ø$454), "", 'Data Entry'!$Ø$454)</f>
      </c>
      <c r="EW454">
        <f>IF(ISBLANK('Data Entry'!$Ù$454), "", 'Data Entry'!$Ù$454)</f>
      </c>
      <c r="EX454">
        <f>IF(ISBLANK('Data Entry'!$Ú$454), "", 'Data Entry'!$Ú$454)</f>
      </c>
      <c r="EY454">
        <f>IF(ISBLANK('Data Entry'!$Û$454), "", 'Data Entry'!$Û$454)</f>
      </c>
      <c r="EZ454">
        <f>IF(ISBLANK('Data Entry'!$Ü$454), "", 'Data Entry'!$Ü$454)</f>
      </c>
      <c r="FA454">
        <f>IF(ISBLANK('Data Entry'!$Ý$454), "", 'Data Entry'!$Ý$454)</f>
      </c>
      <c r="FB454">
        <f>IF(ISBLANK('Data Entry'!$Þ$454), "", 'Data Entry'!$Þ$454)</f>
      </c>
      <c r="FC454">
        <f>IF(ISBLANK('Data Entry'!$ß$454), "", 'Data Entry'!$ß$454)</f>
      </c>
      <c r="FD454">
        <f>IF(ISBLANK('Data Entry'!$à$454), "", 'Data Entry'!$à$454)</f>
      </c>
      <c r="FE454">
        <f>IF(ISBLANK('Data Entry'!$á$454), "", 'Data Entry'!$á$454)</f>
      </c>
      <c r="FF454">
        <f>IF(ISBLANK('Data Entry'!$â$454), "", 'Data Entry'!$â$454)</f>
      </c>
      <c r="FG454">
        <f>IF(ISBLANK('Data Entry'!$ã$454), "", 'Data Entry'!$ã$454)</f>
      </c>
      <c r="FH454">
        <f>IF(ISBLANK('Data Entry'!$ä$454), "", 'Data Entry'!$ä$454)</f>
      </c>
      <c r="FI454">
        <f>IF(ISBLANK('Data Entry'!$å$454), "", 'Data Entry'!$å$454)</f>
      </c>
      <c r="FJ454">
        <f>IF(ISBLANK('Data Entry'!$æ$454), "", 'Data Entry'!$æ$454)</f>
      </c>
      <c r="FK454">
        <f>IF(ISBLANK('Data Entry'!$ç$454), "", 'Data Entry'!$ç$454)</f>
      </c>
      <c r="FL454">
        <f>IF(ISBLANK('Data Entry'!$è$454), "", 'Data Entry'!$è$454)</f>
      </c>
      <c r="FM454">
        <f>IF(ISBLANK('Data Entry'!$é$454), "", 'Data Entry'!$é$454)</f>
      </c>
      <c r="FN454">
        <f>IF(ISBLANK('Data Entry'!$ê$454), "", 'Data Entry'!$ê$454)</f>
      </c>
      <c r="FO454">
        <f>IF(ISBLANK('Data Entry'!$ë$454), "", 'Data Entry'!$ë$454)</f>
      </c>
      <c r="FP454">
        <f>IF(ISBLANK('Data Entry'!$ì$454), "", 'Data Entry'!$ì$454)</f>
      </c>
      <c r="FQ454">
        <f>IF(ISBLANK('Data Entry'!$í$454), "", 'Data Entry'!$í$454)</f>
      </c>
      <c r="FR454">
        <f>IF(ISBLANK('Data Entry'!$î$454), "", 'Data Entry'!$î$454)</f>
      </c>
      <c r="FS454">
        <f>IF(ISBLANK('Data Entry'!$ï$454), "", 'Data Entry'!$ï$454)</f>
      </c>
      <c r="FT454">
        <f>IF(ISBLANK('Data Entry'!$ð$454), "", 'Data Entry'!$ð$454)</f>
      </c>
      <c r="FU454">
        <f>IF(ISBLANK('Data Entry'!$ñ$454), "", 'Data Entry'!$ñ$454)</f>
      </c>
      <c r="FV454">
        <f>IF(ISBLANK('Data Entry'!$ò$454), "", 'Data Entry'!$ò$454)</f>
      </c>
      <c r="FW454">
        <f>IF(ISBLANK('Data Entry'!$ó$454), "", 'Data Entry'!$ó$454)</f>
      </c>
      <c r="FX454">
        <f>IF(ISBLANK('Data Entry'!$ô$454), "", 'Data Entry'!$ô$454)</f>
      </c>
      <c r="FY454">
        <f>IF(ISBLANK('Data Entry'!$õ$454), "", 'Data Entry'!$õ$454)</f>
      </c>
      <c r="FZ454">
        <f>IF(ISBLANK('Data Entry'!$ö$454), "", 'Data Entry'!$ö$454)</f>
      </c>
      <c r="GA454">
        <f>IF(ISBLANK('Data Entry'!$÷$454), "", 'Data Entry'!$÷$454)</f>
      </c>
      <c r="GB454">
        <f>IF(ISBLANK('Data Entry'!$ø$454), "", 'Data Entry'!$ø$454)</f>
      </c>
      <c r="GC454">
        <f>IF(ISBLANK('Data Entry'!$ù$454), "", 'Data Entry'!$ù$454)</f>
      </c>
      <c r="GD454">
        <f>IF(ISBLANK('Data Entry'!$ú$454), "", 'Data Entry'!$ú$454)</f>
      </c>
      <c r="GE454">
        <f>IF(ISBLANK('Data Entry'!$û$454), "", 'Data Entry'!$û$454)</f>
      </c>
      <c r="GF454">
        <f>IF(ISBLANK('Data Entry'!$ü$454), "", 'Data Entry'!$ü$454)</f>
      </c>
      <c r="GG454">
        <f>IF(ISBLANK('Data Entry'!$ý$454), "", 'Data Entry'!$ý$454)</f>
      </c>
      <c r="GH454">
        <f>IF(ISBLANK('Data Entry'!$þ$454), "", 'Data Entry'!$þ$454)</f>
      </c>
      <c r="GI454">
        <f>IF(ISBLANK('Data Entry'!$ÿ$454), "", 'Data Entry'!$ÿ$454)</f>
      </c>
      <c r="GJ454">
        <f>IF(ISBLANK('Data Entry'!$Ā$454), "", 'Data Entry'!$Ā$454)</f>
      </c>
      <c r="GK454">
        <f>IF(ISBLANK('Data Entry'!$ā$454), "", 'Data Entry'!$ā$454)</f>
      </c>
      <c r="GL454">
        <f>IF(ISBLANK('Data Entry'!$Ă$454), "", 'Data Entry'!$Ă$454)</f>
      </c>
      <c r="GM454">
        <f>IF(ISBLANK('Data Entry'!$ă$454), "", 'Data Entry'!$ă$454)</f>
      </c>
      <c r="GN454">
        <f>IF(ISBLANK('Data Entry'!$Ą$454), "", 'Data Entry'!$Ą$454)</f>
      </c>
      <c r="GO454">
        <f>IF(ISBLANK('Data Entry'!$ą$454), "", 'Data Entry'!$ą$454)</f>
      </c>
      <c r="GP454">
        <f>IF(ISBLANK('Data Entry'!$Ć$454), "", 'Data Entry'!$Ć$454)</f>
      </c>
      <c r="GQ454">
        <f>IF(ISBLANK('Data Entry'!$ć$454), "", 'Data Entry'!$ć$454)</f>
      </c>
      <c r="GR454">
        <f>IF(ISBLANK('Data Entry'!$Ĉ$454), "", 'Data Entry'!$Ĉ$454)</f>
      </c>
      <c r="GS454">
        <f>IF(ISBLANK('Data Entry'!$ĉ$454), "", 'Data Entry'!$ĉ$454)</f>
      </c>
      <c r="GT454">
        <f>IF(ISBLANK('Data Entry'!$Ċ$454), "", 'Data Entry'!$Ċ$454)</f>
      </c>
      <c r="GU454">
        <f>IF(ISBLANK('Data Entry'!$ċ$454), "", 'Data Entry'!$ċ$454)</f>
      </c>
      <c r="GV454">
        <f>IF(ISBLANK('Data Entry'!$Č$454), "", 'Data Entry'!$Č$454)</f>
      </c>
      <c r="GW454">
        <f>IF(ISBLANK('Data Entry'!$č$454), "", 'Data Entry'!$č$454)</f>
      </c>
      <c r="GX454">
        <f>IF(ISBLANK('Data Entry'!$Ď$454), "", 'Data Entry'!$Ď$454)</f>
      </c>
      <c r="GY454">
        <f>IF(ISBLANK('Data Entry'!$ď$454), "", 'Data Entry'!$ď$454)</f>
      </c>
      <c r="GZ454">
        <f>IF(ISBLANK('Data Entry'!$Đ$454), "", 'Data Entry'!$Đ$454)</f>
      </c>
      <c r="HA454">
        <f>IF(ISBLANK('Data Entry'!$đ$454), "", 'Data Entry'!$đ$454)</f>
      </c>
      <c r="HB454">
        <f>IF(ISBLANK('Data Entry'!$Ē$454), "", 'Data Entry'!$Ē$454)</f>
      </c>
      <c r="HC454">
        <f>IF(ISBLANK('Data Entry'!$ē$454), "", 'Data Entry'!$ē$454)</f>
      </c>
      <c r="HD454">
        <f>IF(ISBLANK('Data Entry'!$Ĕ$454), "", 'Data Entry'!$Ĕ$454)</f>
      </c>
      <c r="HE454">
        <f>IF(ISBLANK('Data Entry'!$ĕ$454), "", 'Data Entry'!$ĕ$454)</f>
      </c>
      <c r="HF454">
        <f>IF(ISBLANK('Data Entry'!$Ė$454), "", 'Data Entry'!$Ė$454)</f>
      </c>
      <c r="HG454">
        <f>IF(ISBLANK('Data Entry'!$ė$454), "", 'Data Entry'!$ė$454)</f>
      </c>
      <c r="HH454">
        <f>IF(ISBLANK('Data Entry'!$Ę$454), "", 'Data Entry'!$Ę$454)</f>
      </c>
      <c r="HI454">
        <f>IF(ISBLANK('Data Entry'!$ę$454), "", 'Data Entry'!$ę$454)</f>
      </c>
      <c r="HJ454">
        <f>IF(ISBLANK('Data Entry'!$Ě$454), "", 'Data Entry'!$Ě$454)</f>
      </c>
      <c r="HK454">
        <f>IF(ISBLANK('Data Entry'!$ě$454), "", 'Data Entry'!$ě$454)</f>
      </c>
      <c r="HL454">
        <f>IF(ISBLANK('Data Entry'!$Ĝ$454), "", 'Data Entry'!$Ĝ$454)</f>
      </c>
      <c r="HM454">
        <f>IF(ISBLANK('Data Entry'!$ĝ$454), "", 'Data Entry'!$ĝ$454)</f>
      </c>
      <c r="HN454">
        <f>IF(ISBLANK('Data Entry'!$Ğ$454), "", 'Data Entry'!$Ğ$454)</f>
      </c>
      <c r="HO454">
        <f>IF(ISBLANK('Data Entry'!$ğ$454), "", 'Data Entry'!$ğ$454)</f>
      </c>
      <c r="HP454">
        <f>IF(ISBLANK('Data Entry'!$Ġ$454), "", 'Data Entry'!$Ġ$454)</f>
      </c>
      <c r="HQ454">
        <f>IF(ISBLANK('Data Entry'!$ġ$454), "", 'Data Entry'!$ġ$454)</f>
      </c>
      <c r="HR454">
        <f>IF(ISBLANK('Data Entry'!$Ģ$454), "", 'Data Entry'!$Ģ$454)</f>
      </c>
      <c r="HS454">
        <f>IF(ISBLANK('Data Entry'!$ģ$454), "", 'Data Entry'!$ģ$454)</f>
      </c>
      <c r="HT454">
        <f>IF(ISBLANK('Data Entry'!$Ĥ$454), "", 'Data Entry'!$Ĥ$454)</f>
      </c>
      <c r="HU454">
        <f>IF(ISBLANK('Data Entry'!$ĥ$454), "", 'Data Entry'!$ĥ$454)</f>
      </c>
      <c r="HV454">
        <f>IF(ISBLANK('Data Entry'!$Ħ$454), "", 'Data Entry'!$Ħ$454)</f>
      </c>
      <c r="HW454">
        <f>IF(ISBLANK('Data Entry'!$ħ$454), "", 'Data Entry'!$ħ$454)</f>
      </c>
      <c r="HX454">
        <f>IF(ISBLANK('Data Entry'!$Ĩ$454), "", 'Data Entry'!$Ĩ$454)</f>
      </c>
      <c r="HY454">
        <f>IF(ISBLANK('Data Entry'!$ĩ$454), "", 'Data Entry'!$ĩ$454)</f>
      </c>
      <c r="HZ454">
        <f>IF(ISBLANK('Data Entry'!$Ī$454), "", 'Data Entry'!$Ī$454)</f>
      </c>
      <c r="IA454">
        <f>IF(ISBLANK('Data Entry'!$ī$454), "", 'Data Entry'!$ī$454)</f>
      </c>
      <c r="IB454">
        <f>IF(ISBLANK('Data Entry'!$Ĭ$454), "", 'Data Entry'!$Ĭ$454)</f>
      </c>
      <c r="IC454">
        <f>IF(ISBLANK('Data Entry'!$ĭ$454), "", 'Data Entry'!$ĭ$454)</f>
      </c>
      <c r="ID454">
        <f>IF(ISBLANK('Data Entry'!$Į$454), "", 'Data Entry'!$Į$454)</f>
      </c>
      <c r="IE454">
        <f>IF(ISBLANK('Data Entry'!$į$454), "", 'Data Entry'!$į$454)</f>
      </c>
      <c r="IF454">
        <f>IF(ISBLANK('Data Entry'!$İ$454), "", 'Data Entry'!$İ$454)</f>
      </c>
      <c r="IG454">
        <f>IF(ISBLANK('Data Entry'!$ı$454), "", 'Data Entry'!$ı$454)</f>
      </c>
      <c r="IH454">
        <f>IF(ISBLANK('Data Entry'!$Ĳ$454), "", 'Data Entry'!$Ĳ$454)</f>
      </c>
      <c r="II454">
        <f>IF(ISBLANK('Data Entry'!$ĳ$454), "", 'Data Entry'!$ĳ$454)</f>
      </c>
      <c r="IJ454">
        <f>IF(ISBLANK('Data Entry'!$Ĵ$454), "", 'Data Entry'!$Ĵ$454)</f>
      </c>
      <c r="IK454">
        <f>IF(ISBLANK('Data Entry'!$ĵ$454), "", 'Data Entry'!$ĵ$454)</f>
      </c>
      <c r="IL454">
        <f>IF(ISBLANK('Data Entry'!$Ķ$454), "", 'Data Entry'!$Ķ$454)</f>
      </c>
      <c r="IM454">
        <f>IF(ISBLANK('Data Entry'!$ķ$454), "", 'Data Entry'!$ķ$454)</f>
      </c>
      <c r="IN454">
        <f>IF(ISBLANK('Data Entry'!$ĸ$454), "", 'Data Entry'!$ĸ$454)</f>
      </c>
      <c r="IO454">
        <f>IF(ISBLANK('Data Entry'!$Ĺ$454), "", 'Data Entry'!$Ĺ$454)</f>
      </c>
      <c r="IP454">
        <f>IF(ISBLANK('Data Entry'!$ĺ$454), "", 'Data Entry'!$ĺ$454)</f>
      </c>
      <c r="IQ454">
        <f>IF(ISBLANK('Data Entry'!$Ļ$454), "", 'Data Entry'!$Ļ$454)</f>
      </c>
      <c r="IR454">
        <f>IF(ISBLANK('Data Entry'!$ļ$454), "", 'Data Entry'!$ļ$454)</f>
      </c>
      <c r="IS454">
        <f>IF(ISBLANK('Data Entry'!$Ľ$454), "", 'Data Entry'!$Ľ$454)</f>
      </c>
      <c r="IT454">
        <f>IF(ISBLANK('Data Entry'!$ľ$454), "", 'Data Entry'!$ľ$454)</f>
      </c>
    </row>
    <row r="455" spans="1:254" x14ac:dyDescent="0.25">
      <c r="A455">
        <f>IF(ISBLANK('Data Entry'!$A$455), "", 'Data Entry'!$A$455)</f>
      </c>
      <c r="B455">
        <f>IF(ISBLANK('Data Entry'!$B$455), "", 'Data Entry'!$B$455)</f>
      </c>
      <c r="C455">
        <f>IF(ISBLANK('Data Entry'!$C$455), "", 'Data Entry'!$C$455)</f>
      </c>
      <c r="D455">
        <f>IF(ISBLANK('Data Entry'!$D$455), "", 'Data Entry'!$D$455)</f>
      </c>
      <c r="E455">
        <f>IF(ISBLANK('Data Entry'!$E$455), "", 'Data Entry'!$E$455)</f>
      </c>
      <c r="F455">
        <f>IF(ISBLANK('Data Entry'!$F$455), "", 'Data Entry'!$F$455)</f>
      </c>
      <c r="G455">
        <f>IF(ISBLANK('Data Entry'!$G$455), "", 'Data Entry'!$G$455)</f>
      </c>
      <c r="H455">
        <f>IF(ISBLANK('Data Entry'!$H$455), "", 'Data Entry'!$H$455)</f>
      </c>
      <c r="I455">
        <f>IF(ISBLANK('Data Entry'!$I$455), "", 'Data Entry'!$I$455)</f>
      </c>
      <c r="J455">
        <f>IF(ISBLANK('Data Entry'!$J$455), "", 'Data Entry'!$J$455)</f>
      </c>
      <c r="K455">
        <f>IF(ISBLANK('Data Entry'!$K$455), "", 'Data Entry'!$K$455)</f>
      </c>
      <c r="L455">
        <f>IF(ISBLANK('Data Entry'!$L$455), "", 'Data Entry'!$L$455)</f>
      </c>
      <c r="M455">
        <f>IF(ISBLANK('Data Entry'!$M$455), "", 'Data Entry'!$M$455)</f>
      </c>
      <c r="N455">
        <f>IF(ISBLANK('Data Entry'!$N$455), "", 'Data Entry'!$N$455)</f>
      </c>
      <c r="O455">
        <f>IF(ISBLANK('Data Entry'!$O$455), "", 'Data Entry'!$O$455)</f>
      </c>
      <c r="P455">
        <f>IF(ISBLANK('Data Entry'!$P$455), "", 'Data Entry'!$P$455)</f>
      </c>
      <c r="Q455">
        <f>IF(ISBLANK('Data Entry'!$Q$455), "", 'Data Entry'!$Q$455)</f>
      </c>
      <c r="R455">
        <f>IF(ISBLANK('Data Entry'!$R$455), "", 'Data Entry'!$R$455)</f>
      </c>
      <c r="S455">
        <f>IF(ISBLANK('Data Entry'!$S$455), "", 'Data Entry'!$S$455)</f>
      </c>
      <c r="T455">
        <f>IF(ISBLANK('Data Entry'!$T$455), "", 'Data Entry'!$T$455)</f>
      </c>
      <c r="U455">
        <f>IF(ISBLANK('Data Entry'!$U$455), "", 'Data Entry'!$U$455)</f>
      </c>
      <c r="V455">
        <f>IF(ISBLANK('Data Entry'!$V$455), "", 'Data Entry'!$V$455)</f>
      </c>
      <c r="W455">
        <f>IF(ISBLANK('Data Entry'!$W$455), "", 'Data Entry'!$W$455)</f>
      </c>
      <c r="X455">
        <f>IF(ISBLANK('Data Entry'!$X$455), "", 'Data Entry'!$X$455)</f>
      </c>
      <c r="Y455">
        <f>IF(ISBLANK('Data Entry'!$Y$455), "", 'Data Entry'!$Y$455)</f>
      </c>
      <c r="Z455">
        <f>IF(ISBLANK('Data Entry'!$Z$455), "", 'Data Entry'!$Z$455)</f>
      </c>
      <c r="AA455">
        <f>IF(ISBLANK('Data Entry'!$[$455), "", 'Data Entry'!$[$455)</f>
      </c>
      <c r="AB455">
        <f>IF(ISBLANK('Data Entry'!$\$455), "", 'Data Entry'!$\$455)</f>
      </c>
      <c r="AC455">
        <f>IF(ISBLANK('Data Entry'!$]$455), "", 'Data Entry'!$]$455)</f>
      </c>
      <c r="AD455">
        <f>IF(ISBLANK('Data Entry'!$^$455), "", 'Data Entry'!$^$455)</f>
      </c>
      <c r="AE455">
        <f>IF(ISBLANK('Data Entry'!$_$455), "", 'Data Entry'!$_$455)</f>
      </c>
      <c r="AF455">
        <f>IF(ISBLANK('Data Entry'!$`$455), "", 'Data Entry'!$`$455)</f>
      </c>
      <c r="AG455">
        <f>IF(ISBLANK('Data Entry'!$a$455), "", 'Data Entry'!$a$455)</f>
      </c>
      <c r="AH455">
        <f>IF(ISBLANK('Data Entry'!$b$455), "", 'Data Entry'!$b$455)</f>
      </c>
      <c r="AI455">
        <f>IF(ISBLANK('Data Entry'!$c$455), "", 'Data Entry'!$c$455)</f>
      </c>
      <c r="AJ455">
        <f>IF(ISBLANK('Data Entry'!$d$455), "", 'Data Entry'!$d$455)</f>
      </c>
      <c r="AK455">
        <f>IF(ISBLANK('Data Entry'!$e$455), "", 'Data Entry'!$e$455)</f>
      </c>
      <c r="AL455">
        <f>IF(ISBLANK('Data Entry'!$f$455), "", 'Data Entry'!$f$455)</f>
      </c>
      <c r="AM455">
        <f>IF(ISBLANK('Data Entry'!$g$455), "", 'Data Entry'!$g$455)</f>
      </c>
      <c r="AN455">
        <f>IF(ISBLANK('Data Entry'!$h$455), "", 'Data Entry'!$h$455)</f>
      </c>
      <c r="AO455">
        <f>IF(ISBLANK('Data Entry'!$i$455), "", 'Data Entry'!$i$455)</f>
      </c>
      <c r="AP455">
        <f>IF(ISBLANK('Data Entry'!$j$455), "", 'Data Entry'!$j$455)</f>
      </c>
      <c r="AQ455">
        <f>IF(ISBLANK('Data Entry'!$k$455), "", 'Data Entry'!$k$455)</f>
      </c>
      <c r="AR455">
        <f>IF(ISBLANK('Data Entry'!$l$455), "", 'Data Entry'!$l$455)</f>
      </c>
      <c r="AS455">
        <f>IF(ISBLANK('Data Entry'!$m$455), "", 'Data Entry'!$m$455)</f>
      </c>
      <c r="AT455">
        <f>IF(ISBLANK('Data Entry'!$n$455), "", 'Data Entry'!$n$455)</f>
      </c>
      <c r="AU455">
        <f>IF(ISBLANK('Data Entry'!$o$455), "", 'Data Entry'!$o$455)</f>
      </c>
      <c r="AV455">
        <f>IF(ISBLANK('Data Entry'!$p$455), "", 'Data Entry'!$p$455)</f>
      </c>
      <c r="AW455">
        <f>IF(ISBLANK('Data Entry'!$q$455), "", 'Data Entry'!$q$455)</f>
      </c>
      <c r="AX455">
        <f>IF(ISBLANK('Data Entry'!$r$455), "", 'Data Entry'!$r$455)</f>
      </c>
      <c r="AY455">
        <f>IF(ISBLANK('Data Entry'!$s$455), "", 'Data Entry'!$s$455)</f>
      </c>
      <c r="AZ455">
        <f>IF(ISBLANK('Data Entry'!$t$455), "", 'Data Entry'!$t$455)</f>
      </c>
      <c r="BA455">
        <f>IF(ISBLANK('Data Entry'!$u$455), "", 'Data Entry'!$u$455)</f>
      </c>
      <c r="BB455">
        <f>IF(ISBLANK('Data Entry'!$v$455), "", 'Data Entry'!$v$455)</f>
      </c>
      <c r="BC455">
        <f>IF(ISBLANK('Data Entry'!$w$455), "", 'Data Entry'!$w$455)</f>
      </c>
      <c r="BD455">
        <f>IF(ISBLANK('Data Entry'!$x$455), "", 'Data Entry'!$x$455)</f>
      </c>
      <c r="BE455">
        <f>IF(ISBLANK('Data Entry'!$y$455), "", 'Data Entry'!$y$455)</f>
      </c>
      <c r="BF455">
        <f>IF(ISBLANK('Data Entry'!$z$455), "", 'Data Entry'!$z$455)</f>
      </c>
      <c r="BG455">
        <f>IF(ISBLANK('Data Entry'!${$455), "", 'Data Entry'!${$455)</f>
      </c>
      <c r="BH455">
        <f>IF(ISBLANK('Data Entry'!$|$455), "", 'Data Entry'!$|$455)</f>
      </c>
      <c r="BI455">
        <f>IF(ISBLANK('Data Entry'!$}$455), "", 'Data Entry'!$}$455)</f>
      </c>
      <c r="BJ455">
        <f>IF(ISBLANK('Data Entry'!$~$455), "", 'Data Entry'!$~$455)</f>
      </c>
      <c r="BK455">
        <f>IF(ISBLANK('Data Entry'!$$455), "", 'Data Entry'!$$455)</f>
      </c>
      <c r="BL455">
        <f>IF(ISBLANK('Data Entry'!$$455), "", 'Data Entry'!$$455)</f>
      </c>
      <c r="BM455">
        <f>IF(ISBLANK('Data Entry'!$$455), "", 'Data Entry'!$$455)</f>
      </c>
      <c r="BN455">
        <f>IF(ISBLANK('Data Entry'!$$455), "", 'Data Entry'!$$455)</f>
      </c>
      <c r="BO455">
        <f>IF(ISBLANK('Data Entry'!$$455), "", 'Data Entry'!$$455)</f>
      </c>
      <c r="BP455">
        <f>IF(ISBLANK('Data Entry'!$$455), "", 'Data Entry'!$$455)</f>
      </c>
      <c r="BQ455">
        <f>IF(ISBLANK('Data Entry'!$$455), "", 'Data Entry'!$$455)</f>
      </c>
      <c r="BR455">
        <f>IF(ISBLANK('Data Entry'!$$455), "", 'Data Entry'!$$455)</f>
      </c>
      <c r="BS455">
        <f>IF(ISBLANK('Data Entry'!$$455), "", 'Data Entry'!$$455)</f>
      </c>
      <c r="BT455">
        <f>IF(ISBLANK('Data Entry'!$$455), "", 'Data Entry'!$$455)</f>
      </c>
      <c r="BU455">
        <f>IF(ISBLANK('Data Entry'!$$455), "", 'Data Entry'!$$455)</f>
      </c>
      <c r="BV455">
        <f>IF(ISBLANK('Data Entry'!$$455), "", 'Data Entry'!$$455)</f>
      </c>
      <c r="BW455">
        <f>IF(ISBLANK('Data Entry'!$$455), "", 'Data Entry'!$$455)</f>
      </c>
      <c r="BX455">
        <f>IF(ISBLANK('Data Entry'!$$455), "", 'Data Entry'!$$455)</f>
      </c>
      <c r="BY455">
        <f>IF(ISBLANK('Data Entry'!$$455), "", 'Data Entry'!$$455)</f>
      </c>
      <c r="BZ455">
        <f>IF(ISBLANK('Data Entry'!$$455), "", 'Data Entry'!$$455)</f>
      </c>
      <c r="CA455">
        <f>IF(ISBLANK('Data Entry'!$$455), "", 'Data Entry'!$$455)</f>
      </c>
      <c r="CB455">
        <f>IF(ISBLANK('Data Entry'!$$455), "", 'Data Entry'!$$455)</f>
      </c>
      <c r="CC455">
        <f>IF(ISBLANK('Data Entry'!$$455), "", 'Data Entry'!$$455)</f>
      </c>
      <c r="CD455">
        <f>IF(ISBLANK('Data Entry'!$$455), "", 'Data Entry'!$$455)</f>
      </c>
      <c r="CE455">
        <f>IF(ISBLANK('Data Entry'!$$455), "", 'Data Entry'!$$455)</f>
      </c>
      <c r="CF455">
        <f>IF(ISBLANK('Data Entry'!$$455), "", 'Data Entry'!$$455)</f>
      </c>
      <c r="CG455">
        <f>IF(ISBLANK('Data Entry'!$$455), "", 'Data Entry'!$$455)</f>
      </c>
      <c r="CH455">
        <f>IF(ISBLANK('Data Entry'!$$455), "", 'Data Entry'!$$455)</f>
      </c>
      <c r="CI455">
        <f>IF(ISBLANK('Data Entry'!$$455), "", 'Data Entry'!$$455)</f>
      </c>
      <c r="CJ455">
        <f>IF(ISBLANK('Data Entry'!$$455), "", 'Data Entry'!$$455)</f>
      </c>
      <c r="CK455">
        <f>IF(ISBLANK('Data Entry'!$$455), "", 'Data Entry'!$$455)</f>
      </c>
      <c r="CL455">
        <f>IF(ISBLANK('Data Entry'!$$455), "", 'Data Entry'!$$455)</f>
      </c>
      <c r="CM455">
        <f>IF(ISBLANK('Data Entry'!$$455), "", 'Data Entry'!$$455)</f>
      </c>
      <c r="CN455">
        <f>IF(ISBLANK('Data Entry'!$$455), "", 'Data Entry'!$$455)</f>
      </c>
      <c r="CO455">
        <f>IF(ISBLANK('Data Entry'!$$455), "", 'Data Entry'!$$455)</f>
      </c>
      <c r="CP455">
        <f>IF(ISBLANK('Data Entry'!$$455), "", 'Data Entry'!$$455)</f>
      </c>
      <c r="CQ455">
        <f>IF(ISBLANK('Data Entry'!$$455), "", 'Data Entry'!$$455)</f>
      </c>
      <c r="CR455">
        <f>IF(ISBLANK('Data Entry'!$ $455), "", 'Data Entry'!$ $455)</f>
      </c>
      <c r="CS455">
        <f>IF(ISBLANK('Data Entry'!$¡$455), "", 'Data Entry'!$¡$455)</f>
      </c>
      <c r="CT455">
        <f>IF(ISBLANK('Data Entry'!$¢$455), "", 'Data Entry'!$¢$455)</f>
      </c>
      <c r="CU455">
        <f>IF(ISBLANK('Data Entry'!$£$455), "", 'Data Entry'!$£$455)</f>
      </c>
      <c r="CV455">
        <f>IF(ISBLANK('Data Entry'!$¤$455), "", 'Data Entry'!$¤$455)</f>
      </c>
      <c r="CW455">
        <f>IF(ISBLANK('Data Entry'!$¥$455), "", 'Data Entry'!$¥$455)</f>
      </c>
      <c r="CX455">
        <f>IF(ISBLANK('Data Entry'!$¦$455), "", 'Data Entry'!$¦$455)</f>
      </c>
      <c r="CY455">
        <f>IF(ISBLANK('Data Entry'!$§$455), "", 'Data Entry'!$§$455)</f>
      </c>
      <c r="CZ455">
        <f>IF(ISBLANK('Data Entry'!$¨$455), "", 'Data Entry'!$¨$455)</f>
      </c>
      <c r="DA455">
        <f>IF(ISBLANK('Data Entry'!$©$455), "", 'Data Entry'!$©$455)</f>
      </c>
      <c r="DB455">
        <f>IF(ISBLANK('Data Entry'!$ª$455), "", 'Data Entry'!$ª$455)</f>
      </c>
      <c r="DC455">
        <f>IF(ISBLANK('Data Entry'!$«$455), "", 'Data Entry'!$«$455)</f>
      </c>
      <c r="DD455">
        <f>IF(ISBLANK('Data Entry'!$¬$455), "", 'Data Entry'!$¬$455)</f>
      </c>
      <c r="DE455">
        <f>IF(ISBLANK('Data Entry'!$­$455), "", 'Data Entry'!$­$455)</f>
      </c>
      <c r="DF455">
        <f>IF(ISBLANK('Data Entry'!$®$455), "", 'Data Entry'!$®$455)</f>
      </c>
      <c r="DG455">
        <f>IF(ISBLANK('Data Entry'!$¯$455), "", 'Data Entry'!$¯$455)</f>
      </c>
      <c r="DH455">
        <f>IF(ISBLANK('Data Entry'!$°$455), "", 'Data Entry'!$°$455)</f>
      </c>
      <c r="DI455">
        <f>IF(ISBLANK('Data Entry'!$±$455), "", 'Data Entry'!$±$455)</f>
      </c>
      <c r="DJ455">
        <f>IF(ISBLANK('Data Entry'!$²$455), "", 'Data Entry'!$²$455)</f>
      </c>
      <c r="DK455">
        <f>IF(ISBLANK('Data Entry'!$³$455), "", 'Data Entry'!$³$455)</f>
      </c>
      <c r="DL455">
        <f>IF(ISBLANK('Data Entry'!$´$455), "", 'Data Entry'!$´$455)</f>
      </c>
      <c r="DM455">
        <f>IF(ISBLANK('Data Entry'!$µ$455), "", 'Data Entry'!$µ$455)</f>
      </c>
      <c r="DN455">
        <f>IF(ISBLANK('Data Entry'!$¶$455), "", 'Data Entry'!$¶$455)</f>
      </c>
      <c r="DO455">
        <f>IF(ISBLANK('Data Entry'!$·$455), "", 'Data Entry'!$·$455)</f>
      </c>
      <c r="DP455">
        <f>IF(ISBLANK('Data Entry'!$¸$455), "", 'Data Entry'!$¸$455)</f>
      </c>
      <c r="DQ455">
        <f>IF(ISBLANK('Data Entry'!$¹$455), "", 'Data Entry'!$¹$455)</f>
      </c>
      <c r="DR455">
        <f>IF(ISBLANK('Data Entry'!$º$455), "", 'Data Entry'!$º$455)</f>
      </c>
      <c r="DS455">
        <f>IF(ISBLANK('Data Entry'!$»$455), "", 'Data Entry'!$»$455)</f>
      </c>
      <c r="DT455">
        <f>IF(ISBLANK('Data Entry'!$¼$455), "", 'Data Entry'!$¼$455)</f>
      </c>
      <c r="DU455">
        <f>IF(ISBLANK('Data Entry'!$½$455), "", 'Data Entry'!$½$455)</f>
      </c>
      <c r="DV455">
        <f>IF(ISBLANK('Data Entry'!$¾$455), "", 'Data Entry'!$¾$455)</f>
      </c>
      <c r="DW455">
        <f>IF(ISBLANK('Data Entry'!$¿$455), "", 'Data Entry'!$¿$455)</f>
      </c>
      <c r="DX455">
        <f>IF(ISBLANK('Data Entry'!$À$455), "", 'Data Entry'!$À$455)</f>
      </c>
      <c r="DY455">
        <f>IF(ISBLANK('Data Entry'!$Á$455), "", 'Data Entry'!$Á$455)</f>
      </c>
      <c r="DZ455">
        <f>IF(ISBLANK('Data Entry'!$Â$455), "", 'Data Entry'!$Â$455)</f>
      </c>
      <c r="EA455">
        <f>IF(ISBLANK('Data Entry'!$Ã$455), "", 'Data Entry'!$Ã$455)</f>
      </c>
      <c r="EB455">
        <f>IF(ISBLANK('Data Entry'!$Ä$455), "", 'Data Entry'!$Ä$455)</f>
      </c>
      <c r="EC455">
        <f>IF(ISBLANK('Data Entry'!$Å$455), "", 'Data Entry'!$Å$455)</f>
      </c>
      <c r="ED455">
        <f>IF(ISBLANK('Data Entry'!$Æ$455), "", 'Data Entry'!$Æ$455)</f>
      </c>
      <c r="EE455">
        <f>IF(ISBLANK('Data Entry'!$Ç$455), "", 'Data Entry'!$Ç$455)</f>
      </c>
      <c r="EF455">
        <f>IF(ISBLANK('Data Entry'!$È$455), "", 'Data Entry'!$È$455)</f>
      </c>
      <c r="EG455">
        <f>IF(ISBLANK('Data Entry'!$É$455), "", 'Data Entry'!$É$455)</f>
      </c>
      <c r="EH455">
        <f>IF(ISBLANK('Data Entry'!$Ê$455), "", 'Data Entry'!$Ê$455)</f>
      </c>
      <c r="EI455">
        <f>IF(ISBLANK('Data Entry'!$Ë$455), "", 'Data Entry'!$Ë$455)</f>
      </c>
      <c r="EJ455">
        <f>IF(ISBLANK('Data Entry'!$Ì$455), "", 'Data Entry'!$Ì$455)</f>
      </c>
      <c r="EK455">
        <f>IF(ISBLANK('Data Entry'!$Í$455), "", 'Data Entry'!$Í$455)</f>
      </c>
      <c r="EL455">
        <f>IF(ISBLANK('Data Entry'!$Î$455), "", 'Data Entry'!$Î$455)</f>
      </c>
      <c r="EM455">
        <f>IF(ISBLANK('Data Entry'!$Ï$455), "", 'Data Entry'!$Ï$455)</f>
      </c>
      <c r="EN455">
        <f>IF(ISBLANK('Data Entry'!$Ð$455), "", 'Data Entry'!$Ð$455)</f>
      </c>
      <c r="EO455">
        <f>IF(ISBLANK('Data Entry'!$Ñ$455), "", 'Data Entry'!$Ñ$455)</f>
      </c>
      <c r="EP455">
        <f>IF(ISBLANK('Data Entry'!$Ò$455), "", 'Data Entry'!$Ò$455)</f>
      </c>
      <c r="EQ455">
        <f>IF(ISBLANK('Data Entry'!$Ó$455), "", 'Data Entry'!$Ó$455)</f>
      </c>
      <c r="ER455">
        <f>IF(ISBLANK('Data Entry'!$Ô$455), "", 'Data Entry'!$Ô$455)</f>
      </c>
      <c r="ES455">
        <f>IF(ISBLANK('Data Entry'!$Õ$455), "", 'Data Entry'!$Õ$455)</f>
      </c>
      <c r="ET455">
        <f>IF(ISBLANK('Data Entry'!$Ö$455), "", 'Data Entry'!$Ö$455)</f>
      </c>
      <c r="EU455">
        <f>IF(ISBLANK('Data Entry'!$×$455), "", 'Data Entry'!$×$455)</f>
      </c>
      <c r="EV455">
        <f>IF(ISBLANK('Data Entry'!$Ø$455), "", 'Data Entry'!$Ø$455)</f>
      </c>
      <c r="EW455">
        <f>IF(ISBLANK('Data Entry'!$Ù$455), "", 'Data Entry'!$Ù$455)</f>
      </c>
      <c r="EX455">
        <f>IF(ISBLANK('Data Entry'!$Ú$455), "", 'Data Entry'!$Ú$455)</f>
      </c>
      <c r="EY455">
        <f>IF(ISBLANK('Data Entry'!$Û$455), "", 'Data Entry'!$Û$455)</f>
      </c>
      <c r="EZ455">
        <f>IF(ISBLANK('Data Entry'!$Ü$455), "", 'Data Entry'!$Ü$455)</f>
      </c>
      <c r="FA455">
        <f>IF(ISBLANK('Data Entry'!$Ý$455), "", 'Data Entry'!$Ý$455)</f>
      </c>
      <c r="FB455">
        <f>IF(ISBLANK('Data Entry'!$Þ$455), "", 'Data Entry'!$Þ$455)</f>
      </c>
      <c r="FC455">
        <f>IF(ISBLANK('Data Entry'!$ß$455), "", 'Data Entry'!$ß$455)</f>
      </c>
      <c r="FD455">
        <f>IF(ISBLANK('Data Entry'!$à$455), "", 'Data Entry'!$à$455)</f>
      </c>
      <c r="FE455">
        <f>IF(ISBLANK('Data Entry'!$á$455), "", 'Data Entry'!$á$455)</f>
      </c>
      <c r="FF455">
        <f>IF(ISBLANK('Data Entry'!$â$455), "", 'Data Entry'!$â$455)</f>
      </c>
      <c r="FG455">
        <f>IF(ISBLANK('Data Entry'!$ã$455), "", 'Data Entry'!$ã$455)</f>
      </c>
      <c r="FH455">
        <f>IF(ISBLANK('Data Entry'!$ä$455), "", 'Data Entry'!$ä$455)</f>
      </c>
      <c r="FI455">
        <f>IF(ISBLANK('Data Entry'!$å$455), "", 'Data Entry'!$å$455)</f>
      </c>
      <c r="FJ455">
        <f>IF(ISBLANK('Data Entry'!$æ$455), "", 'Data Entry'!$æ$455)</f>
      </c>
      <c r="FK455">
        <f>IF(ISBLANK('Data Entry'!$ç$455), "", 'Data Entry'!$ç$455)</f>
      </c>
      <c r="FL455">
        <f>IF(ISBLANK('Data Entry'!$è$455), "", 'Data Entry'!$è$455)</f>
      </c>
      <c r="FM455">
        <f>IF(ISBLANK('Data Entry'!$é$455), "", 'Data Entry'!$é$455)</f>
      </c>
      <c r="FN455">
        <f>IF(ISBLANK('Data Entry'!$ê$455), "", 'Data Entry'!$ê$455)</f>
      </c>
      <c r="FO455">
        <f>IF(ISBLANK('Data Entry'!$ë$455), "", 'Data Entry'!$ë$455)</f>
      </c>
      <c r="FP455">
        <f>IF(ISBLANK('Data Entry'!$ì$455), "", 'Data Entry'!$ì$455)</f>
      </c>
      <c r="FQ455">
        <f>IF(ISBLANK('Data Entry'!$í$455), "", 'Data Entry'!$í$455)</f>
      </c>
      <c r="FR455">
        <f>IF(ISBLANK('Data Entry'!$î$455), "", 'Data Entry'!$î$455)</f>
      </c>
      <c r="FS455">
        <f>IF(ISBLANK('Data Entry'!$ï$455), "", 'Data Entry'!$ï$455)</f>
      </c>
      <c r="FT455">
        <f>IF(ISBLANK('Data Entry'!$ð$455), "", 'Data Entry'!$ð$455)</f>
      </c>
      <c r="FU455">
        <f>IF(ISBLANK('Data Entry'!$ñ$455), "", 'Data Entry'!$ñ$455)</f>
      </c>
      <c r="FV455">
        <f>IF(ISBLANK('Data Entry'!$ò$455), "", 'Data Entry'!$ò$455)</f>
      </c>
      <c r="FW455">
        <f>IF(ISBLANK('Data Entry'!$ó$455), "", 'Data Entry'!$ó$455)</f>
      </c>
      <c r="FX455">
        <f>IF(ISBLANK('Data Entry'!$ô$455), "", 'Data Entry'!$ô$455)</f>
      </c>
      <c r="FY455">
        <f>IF(ISBLANK('Data Entry'!$õ$455), "", 'Data Entry'!$õ$455)</f>
      </c>
      <c r="FZ455">
        <f>IF(ISBLANK('Data Entry'!$ö$455), "", 'Data Entry'!$ö$455)</f>
      </c>
      <c r="GA455">
        <f>IF(ISBLANK('Data Entry'!$÷$455), "", 'Data Entry'!$÷$455)</f>
      </c>
      <c r="GB455">
        <f>IF(ISBLANK('Data Entry'!$ø$455), "", 'Data Entry'!$ø$455)</f>
      </c>
      <c r="GC455">
        <f>IF(ISBLANK('Data Entry'!$ù$455), "", 'Data Entry'!$ù$455)</f>
      </c>
      <c r="GD455">
        <f>IF(ISBLANK('Data Entry'!$ú$455), "", 'Data Entry'!$ú$455)</f>
      </c>
      <c r="GE455">
        <f>IF(ISBLANK('Data Entry'!$û$455), "", 'Data Entry'!$û$455)</f>
      </c>
      <c r="GF455">
        <f>IF(ISBLANK('Data Entry'!$ü$455), "", 'Data Entry'!$ü$455)</f>
      </c>
      <c r="GG455">
        <f>IF(ISBLANK('Data Entry'!$ý$455), "", 'Data Entry'!$ý$455)</f>
      </c>
      <c r="GH455">
        <f>IF(ISBLANK('Data Entry'!$þ$455), "", 'Data Entry'!$þ$455)</f>
      </c>
      <c r="GI455">
        <f>IF(ISBLANK('Data Entry'!$ÿ$455), "", 'Data Entry'!$ÿ$455)</f>
      </c>
      <c r="GJ455">
        <f>IF(ISBLANK('Data Entry'!$Ā$455), "", 'Data Entry'!$Ā$455)</f>
      </c>
      <c r="GK455">
        <f>IF(ISBLANK('Data Entry'!$ā$455), "", 'Data Entry'!$ā$455)</f>
      </c>
      <c r="GL455">
        <f>IF(ISBLANK('Data Entry'!$Ă$455), "", 'Data Entry'!$Ă$455)</f>
      </c>
      <c r="GM455">
        <f>IF(ISBLANK('Data Entry'!$ă$455), "", 'Data Entry'!$ă$455)</f>
      </c>
      <c r="GN455">
        <f>IF(ISBLANK('Data Entry'!$Ą$455), "", 'Data Entry'!$Ą$455)</f>
      </c>
      <c r="GO455">
        <f>IF(ISBLANK('Data Entry'!$ą$455), "", 'Data Entry'!$ą$455)</f>
      </c>
      <c r="GP455">
        <f>IF(ISBLANK('Data Entry'!$Ć$455), "", 'Data Entry'!$Ć$455)</f>
      </c>
      <c r="GQ455">
        <f>IF(ISBLANK('Data Entry'!$ć$455), "", 'Data Entry'!$ć$455)</f>
      </c>
      <c r="GR455">
        <f>IF(ISBLANK('Data Entry'!$Ĉ$455), "", 'Data Entry'!$Ĉ$455)</f>
      </c>
      <c r="GS455">
        <f>IF(ISBLANK('Data Entry'!$ĉ$455), "", 'Data Entry'!$ĉ$455)</f>
      </c>
      <c r="GT455">
        <f>IF(ISBLANK('Data Entry'!$Ċ$455), "", 'Data Entry'!$Ċ$455)</f>
      </c>
      <c r="GU455">
        <f>IF(ISBLANK('Data Entry'!$ċ$455), "", 'Data Entry'!$ċ$455)</f>
      </c>
      <c r="GV455">
        <f>IF(ISBLANK('Data Entry'!$Č$455), "", 'Data Entry'!$Č$455)</f>
      </c>
      <c r="GW455">
        <f>IF(ISBLANK('Data Entry'!$č$455), "", 'Data Entry'!$č$455)</f>
      </c>
      <c r="GX455">
        <f>IF(ISBLANK('Data Entry'!$Ď$455), "", 'Data Entry'!$Ď$455)</f>
      </c>
      <c r="GY455">
        <f>IF(ISBLANK('Data Entry'!$ď$455), "", 'Data Entry'!$ď$455)</f>
      </c>
      <c r="GZ455">
        <f>IF(ISBLANK('Data Entry'!$Đ$455), "", 'Data Entry'!$Đ$455)</f>
      </c>
      <c r="HA455">
        <f>IF(ISBLANK('Data Entry'!$đ$455), "", 'Data Entry'!$đ$455)</f>
      </c>
      <c r="HB455">
        <f>IF(ISBLANK('Data Entry'!$Ē$455), "", 'Data Entry'!$Ē$455)</f>
      </c>
      <c r="HC455">
        <f>IF(ISBLANK('Data Entry'!$ē$455), "", 'Data Entry'!$ē$455)</f>
      </c>
      <c r="HD455">
        <f>IF(ISBLANK('Data Entry'!$Ĕ$455), "", 'Data Entry'!$Ĕ$455)</f>
      </c>
      <c r="HE455">
        <f>IF(ISBLANK('Data Entry'!$ĕ$455), "", 'Data Entry'!$ĕ$455)</f>
      </c>
      <c r="HF455">
        <f>IF(ISBLANK('Data Entry'!$Ė$455), "", 'Data Entry'!$Ė$455)</f>
      </c>
      <c r="HG455">
        <f>IF(ISBLANK('Data Entry'!$ė$455), "", 'Data Entry'!$ė$455)</f>
      </c>
      <c r="HH455">
        <f>IF(ISBLANK('Data Entry'!$Ę$455), "", 'Data Entry'!$Ę$455)</f>
      </c>
      <c r="HI455">
        <f>IF(ISBLANK('Data Entry'!$ę$455), "", 'Data Entry'!$ę$455)</f>
      </c>
      <c r="HJ455">
        <f>IF(ISBLANK('Data Entry'!$Ě$455), "", 'Data Entry'!$Ě$455)</f>
      </c>
      <c r="HK455">
        <f>IF(ISBLANK('Data Entry'!$ě$455), "", 'Data Entry'!$ě$455)</f>
      </c>
      <c r="HL455">
        <f>IF(ISBLANK('Data Entry'!$Ĝ$455), "", 'Data Entry'!$Ĝ$455)</f>
      </c>
      <c r="HM455">
        <f>IF(ISBLANK('Data Entry'!$ĝ$455), "", 'Data Entry'!$ĝ$455)</f>
      </c>
      <c r="HN455">
        <f>IF(ISBLANK('Data Entry'!$Ğ$455), "", 'Data Entry'!$Ğ$455)</f>
      </c>
      <c r="HO455">
        <f>IF(ISBLANK('Data Entry'!$ğ$455), "", 'Data Entry'!$ğ$455)</f>
      </c>
      <c r="HP455">
        <f>IF(ISBLANK('Data Entry'!$Ġ$455), "", 'Data Entry'!$Ġ$455)</f>
      </c>
      <c r="HQ455">
        <f>IF(ISBLANK('Data Entry'!$ġ$455), "", 'Data Entry'!$ġ$455)</f>
      </c>
      <c r="HR455">
        <f>IF(ISBLANK('Data Entry'!$Ģ$455), "", 'Data Entry'!$Ģ$455)</f>
      </c>
      <c r="HS455">
        <f>IF(ISBLANK('Data Entry'!$ģ$455), "", 'Data Entry'!$ģ$455)</f>
      </c>
      <c r="HT455">
        <f>IF(ISBLANK('Data Entry'!$Ĥ$455), "", 'Data Entry'!$Ĥ$455)</f>
      </c>
      <c r="HU455">
        <f>IF(ISBLANK('Data Entry'!$ĥ$455), "", 'Data Entry'!$ĥ$455)</f>
      </c>
      <c r="HV455">
        <f>IF(ISBLANK('Data Entry'!$Ħ$455), "", 'Data Entry'!$Ħ$455)</f>
      </c>
      <c r="HW455">
        <f>IF(ISBLANK('Data Entry'!$ħ$455), "", 'Data Entry'!$ħ$455)</f>
      </c>
      <c r="HX455">
        <f>IF(ISBLANK('Data Entry'!$Ĩ$455), "", 'Data Entry'!$Ĩ$455)</f>
      </c>
      <c r="HY455">
        <f>IF(ISBLANK('Data Entry'!$ĩ$455), "", 'Data Entry'!$ĩ$455)</f>
      </c>
      <c r="HZ455">
        <f>IF(ISBLANK('Data Entry'!$Ī$455), "", 'Data Entry'!$Ī$455)</f>
      </c>
      <c r="IA455">
        <f>IF(ISBLANK('Data Entry'!$ī$455), "", 'Data Entry'!$ī$455)</f>
      </c>
      <c r="IB455">
        <f>IF(ISBLANK('Data Entry'!$Ĭ$455), "", 'Data Entry'!$Ĭ$455)</f>
      </c>
      <c r="IC455">
        <f>IF(ISBLANK('Data Entry'!$ĭ$455), "", 'Data Entry'!$ĭ$455)</f>
      </c>
      <c r="ID455">
        <f>IF(ISBLANK('Data Entry'!$Į$455), "", 'Data Entry'!$Į$455)</f>
      </c>
      <c r="IE455">
        <f>IF(ISBLANK('Data Entry'!$į$455), "", 'Data Entry'!$į$455)</f>
      </c>
      <c r="IF455">
        <f>IF(ISBLANK('Data Entry'!$İ$455), "", 'Data Entry'!$İ$455)</f>
      </c>
      <c r="IG455">
        <f>IF(ISBLANK('Data Entry'!$ı$455), "", 'Data Entry'!$ı$455)</f>
      </c>
      <c r="IH455">
        <f>IF(ISBLANK('Data Entry'!$Ĳ$455), "", 'Data Entry'!$Ĳ$455)</f>
      </c>
      <c r="II455">
        <f>IF(ISBLANK('Data Entry'!$ĳ$455), "", 'Data Entry'!$ĳ$455)</f>
      </c>
      <c r="IJ455">
        <f>IF(ISBLANK('Data Entry'!$Ĵ$455), "", 'Data Entry'!$Ĵ$455)</f>
      </c>
      <c r="IK455">
        <f>IF(ISBLANK('Data Entry'!$ĵ$455), "", 'Data Entry'!$ĵ$455)</f>
      </c>
      <c r="IL455">
        <f>IF(ISBLANK('Data Entry'!$Ķ$455), "", 'Data Entry'!$Ķ$455)</f>
      </c>
      <c r="IM455">
        <f>IF(ISBLANK('Data Entry'!$ķ$455), "", 'Data Entry'!$ķ$455)</f>
      </c>
      <c r="IN455">
        <f>IF(ISBLANK('Data Entry'!$ĸ$455), "", 'Data Entry'!$ĸ$455)</f>
      </c>
      <c r="IO455">
        <f>IF(ISBLANK('Data Entry'!$Ĺ$455), "", 'Data Entry'!$Ĺ$455)</f>
      </c>
      <c r="IP455">
        <f>IF(ISBLANK('Data Entry'!$ĺ$455), "", 'Data Entry'!$ĺ$455)</f>
      </c>
      <c r="IQ455">
        <f>IF(ISBLANK('Data Entry'!$Ļ$455), "", 'Data Entry'!$Ļ$455)</f>
      </c>
      <c r="IR455">
        <f>IF(ISBLANK('Data Entry'!$ļ$455), "", 'Data Entry'!$ļ$455)</f>
      </c>
      <c r="IS455">
        <f>IF(ISBLANK('Data Entry'!$Ľ$455), "", 'Data Entry'!$Ľ$455)</f>
      </c>
      <c r="IT455">
        <f>IF(ISBLANK('Data Entry'!$ľ$455), "", 'Data Entry'!$ľ$455)</f>
      </c>
    </row>
    <row r="456" spans="1:254" x14ac:dyDescent="0.25">
      <c r="A456">
        <f>IF(ISBLANK('Data Entry'!$A$456), "", 'Data Entry'!$A$456)</f>
      </c>
      <c r="B456">
        <f>IF(ISBLANK('Data Entry'!$B$456), "", 'Data Entry'!$B$456)</f>
      </c>
      <c r="C456">
        <f>IF(ISBLANK('Data Entry'!$C$456), "", 'Data Entry'!$C$456)</f>
      </c>
      <c r="D456">
        <f>IF(ISBLANK('Data Entry'!$D$456), "", 'Data Entry'!$D$456)</f>
      </c>
      <c r="E456">
        <f>IF(ISBLANK('Data Entry'!$E$456), "", 'Data Entry'!$E$456)</f>
      </c>
      <c r="F456">
        <f>IF(ISBLANK('Data Entry'!$F$456), "", 'Data Entry'!$F$456)</f>
      </c>
      <c r="G456">
        <f>IF(ISBLANK('Data Entry'!$G$456), "", 'Data Entry'!$G$456)</f>
      </c>
      <c r="H456">
        <f>IF(ISBLANK('Data Entry'!$H$456), "", 'Data Entry'!$H$456)</f>
      </c>
      <c r="I456">
        <f>IF(ISBLANK('Data Entry'!$I$456), "", 'Data Entry'!$I$456)</f>
      </c>
      <c r="J456">
        <f>IF(ISBLANK('Data Entry'!$J$456), "", 'Data Entry'!$J$456)</f>
      </c>
      <c r="K456">
        <f>IF(ISBLANK('Data Entry'!$K$456), "", 'Data Entry'!$K$456)</f>
      </c>
      <c r="L456">
        <f>IF(ISBLANK('Data Entry'!$L$456), "", 'Data Entry'!$L$456)</f>
      </c>
      <c r="M456">
        <f>IF(ISBLANK('Data Entry'!$M$456), "", 'Data Entry'!$M$456)</f>
      </c>
      <c r="N456">
        <f>IF(ISBLANK('Data Entry'!$N$456), "", 'Data Entry'!$N$456)</f>
      </c>
      <c r="O456">
        <f>IF(ISBLANK('Data Entry'!$O$456), "", 'Data Entry'!$O$456)</f>
      </c>
      <c r="P456">
        <f>IF(ISBLANK('Data Entry'!$P$456), "", 'Data Entry'!$P$456)</f>
      </c>
      <c r="Q456">
        <f>IF(ISBLANK('Data Entry'!$Q$456), "", 'Data Entry'!$Q$456)</f>
      </c>
      <c r="R456">
        <f>IF(ISBLANK('Data Entry'!$R$456), "", 'Data Entry'!$R$456)</f>
      </c>
      <c r="S456">
        <f>IF(ISBLANK('Data Entry'!$S$456), "", 'Data Entry'!$S$456)</f>
      </c>
      <c r="T456">
        <f>IF(ISBLANK('Data Entry'!$T$456), "", 'Data Entry'!$T$456)</f>
      </c>
      <c r="U456">
        <f>IF(ISBLANK('Data Entry'!$U$456), "", 'Data Entry'!$U$456)</f>
      </c>
      <c r="V456">
        <f>IF(ISBLANK('Data Entry'!$V$456), "", 'Data Entry'!$V$456)</f>
      </c>
      <c r="W456">
        <f>IF(ISBLANK('Data Entry'!$W$456), "", 'Data Entry'!$W$456)</f>
      </c>
      <c r="X456">
        <f>IF(ISBLANK('Data Entry'!$X$456), "", 'Data Entry'!$X$456)</f>
      </c>
      <c r="Y456">
        <f>IF(ISBLANK('Data Entry'!$Y$456), "", 'Data Entry'!$Y$456)</f>
      </c>
      <c r="Z456">
        <f>IF(ISBLANK('Data Entry'!$Z$456), "", 'Data Entry'!$Z$456)</f>
      </c>
      <c r="AA456">
        <f>IF(ISBLANK('Data Entry'!$[$456), "", 'Data Entry'!$[$456)</f>
      </c>
      <c r="AB456">
        <f>IF(ISBLANK('Data Entry'!$\$456), "", 'Data Entry'!$\$456)</f>
      </c>
      <c r="AC456">
        <f>IF(ISBLANK('Data Entry'!$]$456), "", 'Data Entry'!$]$456)</f>
      </c>
      <c r="AD456">
        <f>IF(ISBLANK('Data Entry'!$^$456), "", 'Data Entry'!$^$456)</f>
      </c>
      <c r="AE456">
        <f>IF(ISBLANK('Data Entry'!$_$456), "", 'Data Entry'!$_$456)</f>
      </c>
      <c r="AF456">
        <f>IF(ISBLANK('Data Entry'!$`$456), "", 'Data Entry'!$`$456)</f>
      </c>
      <c r="AG456">
        <f>IF(ISBLANK('Data Entry'!$a$456), "", 'Data Entry'!$a$456)</f>
      </c>
      <c r="AH456">
        <f>IF(ISBLANK('Data Entry'!$b$456), "", 'Data Entry'!$b$456)</f>
      </c>
      <c r="AI456">
        <f>IF(ISBLANK('Data Entry'!$c$456), "", 'Data Entry'!$c$456)</f>
      </c>
      <c r="AJ456">
        <f>IF(ISBLANK('Data Entry'!$d$456), "", 'Data Entry'!$d$456)</f>
      </c>
      <c r="AK456">
        <f>IF(ISBLANK('Data Entry'!$e$456), "", 'Data Entry'!$e$456)</f>
      </c>
      <c r="AL456">
        <f>IF(ISBLANK('Data Entry'!$f$456), "", 'Data Entry'!$f$456)</f>
      </c>
      <c r="AM456">
        <f>IF(ISBLANK('Data Entry'!$g$456), "", 'Data Entry'!$g$456)</f>
      </c>
      <c r="AN456">
        <f>IF(ISBLANK('Data Entry'!$h$456), "", 'Data Entry'!$h$456)</f>
      </c>
      <c r="AO456">
        <f>IF(ISBLANK('Data Entry'!$i$456), "", 'Data Entry'!$i$456)</f>
      </c>
      <c r="AP456">
        <f>IF(ISBLANK('Data Entry'!$j$456), "", 'Data Entry'!$j$456)</f>
      </c>
      <c r="AQ456">
        <f>IF(ISBLANK('Data Entry'!$k$456), "", 'Data Entry'!$k$456)</f>
      </c>
      <c r="AR456">
        <f>IF(ISBLANK('Data Entry'!$l$456), "", 'Data Entry'!$l$456)</f>
      </c>
      <c r="AS456">
        <f>IF(ISBLANK('Data Entry'!$m$456), "", 'Data Entry'!$m$456)</f>
      </c>
      <c r="AT456">
        <f>IF(ISBLANK('Data Entry'!$n$456), "", 'Data Entry'!$n$456)</f>
      </c>
      <c r="AU456">
        <f>IF(ISBLANK('Data Entry'!$o$456), "", 'Data Entry'!$o$456)</f>
      </c>
      <c r="AV456">
        <f>IF(ISBLANK('Data Entry'!$p$456), "", 'Data Entry'!$p$456)</f>
      </c>
      <c r="AW456">
        <f>IF(ISBLANK('Data Entry'!$q$456), "", 'Data Entry'!$q$456)</f>
      </c>
      <c r="AX456">
        <f>IF(ISBLANK('Data Entry'!$r$456), "", 'Data Entry'!$r$456)</f>
      </c>
      <c r="AY456">
        <f>IF(ISBLANK('Data Entry'!$s$456), "", 'Data Entry'!$s$456)</f>
      </c>
      <c r="AZ456">
        <f>IF(ISBLANK('Data Entry'!$t$456), "", 'Data Entry'!$t$456)</f>
      </c>
      <c r="BA456">
        <f>IF(ISBLANK('Data Entry'!$u$456), "", 'Data Entry'!$u$456)</f>
      </c>
      <c r="BB456">
        <f>IF(ISBLANK('Data Entry'!$v$456), "", 'Data Entry'!$v$456)</f>
      </c>
      <c r="BC456">
        <f>IF(ISBLANK('Data Entry'!$w$456), "", 'Data Entry'!$w$456)</f>
      </c>
      <c r="BD456">
        <f>IF(ISBLANK('Data Entry'!$x$456), "", 'Data Entry'!$x$456)</f>
      </c>
      <c r="BE456">
        <f>IF(ISBLANK('Data Entry'!$y$456), "", 'Data Entry'!$y$456)</f>
      </c>
      <c r="BF456">
        <f>IF(ISBLANK('Data Entry'!$z$456), "", 'Data Entry'!$z$456)</f>
      </c>
      <c r="BG456">
        <f>IF(ISBLANK('Data Entry'!${$456), "", 'Data Entry'!${$456)</f>
      </c>
      <c r="BH456">
        <f>IF(ISBLANK('Data Entry'!$|$456), "", 'Data Entry'!$|$456)</f>
      </c>
      <c r="BI456">
        <f>IF(ISBLANK('Data Entry'!$}$456), "", 'Data Entry'!$}$456)</f>
      </c>
      <c r="BJ456">
        <f>IF(ISBLANK('Data Entry'!$~$456), "", 'Data Entry'!$~$456)</f>
      </c>
      <c r="BK456">
        <f>IF(ISBLANK('Data Entry'!$$456), "", 'Data Entry'!$$456)</f>
      </c>
      <c r="BL456">
        <f>IF(ISBLANK('Data Entry'!$$456), "", 'Data Entry'!$$456)</f>
      </c>
      <c r="BM456">
        <f>IF(ISBLANK('Data Entry'!$$456), "", 'Data Entry'!$$456)</f>
      </c>
      <c r="BN456">
        <f>IF(ISBLANK('Data Entry'!$$456), "", 'Data Entry'!$$456)</f>
      </c>
      <c r="BO456">
        <f>IF(ISBLANK('Data Entry'!$$456), "", 'Data Entry'!$$456)</f>
      </c>
      <c r="BP456">
        <f>IF(ISBLANK('Data Entry'!$$456), "", 'Data Entry'!$$456)</f>
      </c>
      <c r="BQ456">
        <f>IF(ISBLANK('Data Entry'!$$456), "", 'Data Entry'!$$456)</f>
      </c>
      <c r="BR456">
        <f>IF(ISBLANK('Data Entry'!$$456), "", 'Data Entry'!$$456)</f>
      </c>
      <c r="BS456">
        <f>IF(ISBLANK('Data Entry'!$$456), "", 'Data Entry'!$$456)</f>
      </c>
      <c r="BT456">
        <f>IF(ISBLANK('Data Entry'!$$456), "", 'Data Entry'!$$456)</f>
      </c>
      <c r="BU456">
        <f>IF(ISBLANK('Data Entry'!$$456), "", 'Data Entry'!$$456)</f>
      </c>
      <c r="BV456">
        <f>IF(ISBLANK('Data Entry'!$$456), "", 'Data Entry'!$$456)</f>
      </c>
      <c r="BW456">
        <f>IF(ISBLANK('Data Entry'!$$456), "", 'Data Entry'!$$456)</f>
      </c>
      <c r="BX456">
        <f>IF(ISBLANK('Data Entry'!$$456), "", 'Data Entry'!$$456)</f>
      </c>
      <c r="BY456">
        <f>IF(ISBLANK('Data Entry'!$$456), "", 'Data Entry'!$$456)</f>
      </c>
      <c r="BZ456">
        <f>IF(ISBLANK('Data Entry'!$$456), "", 'Data Entry'!$$456)</f>
      </c>
      <c r="CA456">
        <f>IF(ISBLANK('Data Entry'!$$456), "", 'Data Entry'!$$456)</f>
      </c>
      <c r="CB456">
        <f>IF(ISBLANK('Data Entry'!$$456), "", 'Data Entry'!$$456)</f>
      </c>
      <c r="CC456">
        <f>IF(ISBLANK('Data Entry'!$$456), "", 'Data Entry'!$$456)</f>
      </c>
      <c r="CD456">
        <f>IF(ISBLANK('Data Entry'!$$456), "", 'Data Entry'!$$456)</f>
      </c>
      <c r="CE456">
        <f>IF(ISBLANK('Data Entry'!$$456), "", 'Data Entry'!$$456)</f>
      </c>
      <c r="CF456">
        <f>IF(ISBLANK('Data Entry'!$$456), "", 'Data Entry'!$$456)</f>
      </c>
      <c r="CG456">
        <f>IF(ISBLANK('Data Entry'!$$456), "", 'Data Entry'!$$456)</f>
      </c>
      <c r="CH456">
        <f>IF(ISBLANK('Data Entry'!$$456), "", 'Data Entry'!$$456)</f>
      </c>
      <c r="CI456">
        <f>IF(ISBLANK('Data Entry'!$$456), "", 'Data Entry'!$$456)</f>
      </c>
      <c r="CJ456">
        <f>IF(ISBLANK('Data Entry'!$$456), "", 'Data Entry'!$$456)</f>
      </c>
      <c r="CK456">
        <f>IF(ISBLANK('Data Entry'!$$456), "", 'Data Entry'!$$456)</f>
      </c>
      <c r="CL456">
        <f>IF(ISBLANK('Data Entry'!$$456), "", 'Data Entry'!$$456)</f>
      </c>
      <c r="CM456">
        <f>IF(ISBLANK('Data Entry'!$$456), "", 'Data Entry'!$$456)</f>
      </c>
      <c r="CN456">
        <f>IF(ISBLANK('Data Entry'!$$456), "", 'Data Entry'!$$456)</f>
      </c>
      <c r="CO456">
        <f>IF(ISBLANK('Data Entry'!$$456), "", 'Data Entry'!$$456)</f>
      </c>
      <c r="CP456">
        <f>IF(ISBLANK('Data Entry'!$$456), "", 'Data Entry'!$$456)</f>
      </c>
      <c r="CQ456">
        <f>IF(ISBLANK('Data Entry'!$$456), "", 'Data Entry'!$$456)</f>
      </c>
      <c r="CR456">
        <f>IF(ISBLANK('Data Entry'!$ $456), "", 'Data Entry'!$ $456)</f>
      </c>
      <c r="CS456">
        <f>IF(ISBLANK('Data Entry'!$¡$456), "", 'Data Entry'!$¡$456)</f>
      </c>
      <c r="CT456">
        <f>IF(ISBLANK('Data Entry'!$¢$456), "", 'Data Entry'!$¢$456)</f>
      </c>
      <c r="CU456">
        <f>IF(ISBLANK('Data Entry'!$£$456), "", 'Data Entry'!$£$456)</f>
      </c>
      <c r="CV456">
        <f>IF(ISBLANK('Data Entry'!$¤$456), "", 'Data Entry'!$¤$456)</f>
      </c>
      <c r="CW456">
        <f>IF(ISBLANK('Data Entry'!$¥$456), "", 'Data Entry'!$¥$456)</f>
      </c>
      <c r="CX456">
        <f>IF(ISBLANK('Data Entry'!$¦$456), "", 'Data Entry'!$¦$456)</f>
      </c>
      <c r="CY456">
        <f>IF(ISBLANK('Data Entry'!$§$456), "", 'Data Entry'!$§$456)</f>
      </c>
      <c r="CZ456">
        <f>IF(ISBLANK('Data Entry'!$¨$456), "", 'Data Entry'!$¨$456)</f>
      </c>
      <c r="DA456">
        <f>IF(ISBLANK('Data Entry'!$©$456), "", 'Data Entry'!$©$456)</f>
      </c>
      <c r="DB456">
        <f>IF(ISBLANK('Data Entry'!$ª$456), "", 'Data Entry'!$ª$456)</f>
      </c>
      <c r="DC456">
        <f>IF(ISBLANK('Data Entry'!$«$456), "", 'Data Entry'!$«$456)</f>
      </c>
      <c r="DD456">
        <f>IF(ISBLANK('Data Entry'!$¬$456), "", 'Data Entry'!$¬$456)</f>
      </c>
      <c r="DE456">
        <f>IF(ISBLANK('Data Entry'!$­$456), "", 'Data Entry'!$­$456)</f>
      </c>
      <c r="DF456">
        <f>IF(ISBLANK('Data Entry'!$®$456), "", 'Data Entry'!$®$456)</f>
      </c>
      <c r="DG456">
        <f>IF(ISBLANK('Data Entry'!$¯$456), "", 'Data Entry'!$¯$456)</f>
      </c>
      <c r="DH456">
        <f>IF(ISBLANK('Data Entry'!$°$456), "", 'Data Entry'!$°$456)</f>
      </c>
      <c r="DI456">
        <f>IF(ISBLANK('Data Entry'!$±$456), "", 'Data Entry'!$±$456)</f>
      </c>
      <c r="DJ456">
        <f>IF(ISBLANK('Data Entry'!$²$456), "", 'Data Entry'!$²$456)</f>
      </c>
      <c r="DK456">
        <f>IF(ISBLANK('Data Entry'!$³$456), "", 'Data Entry'!$³$456)</f>
      </c>
      <c r="DL456">
        <f>IF(ISBLANK('Data Entry'!$´$456), "", 'Data Entry'!$´$456)</f>
      </c>
      <c r="DM456">
        <f>IF(ISBLANK('Data Entry'!$µ$456), "", 'Data Entry'!$µ$456)</f>
      </c>
      <c r="DN456">
        <f>IF(ISBLANK('Data Entry'!$¶$456), "", 'Data Entry'!$¶$456)</f>
      </c>
      <c r="DO456">
        <f>IF(ISBLANK('Data Entry'!$·$456), "", 'Data Entry'!$·$456)</f>
      </c>
      <c r="DP456">
        <f>IF(ISBLANK('Data Entry'!$¸$456), "", 'Data Entry'!$¸$456)</f>
      </c>
      <c r="DQ456">
        <f>IF(ISBLANK('Data Entry'!$¹$456), "", 'Data Entry'!$¹$456)</f>
      </c>
      <c r="DR456">
        <f>IF(ISBLANK('Data Entry'!$º$456), "", 'Data Entry'!$º$456)</f>
      </c>
      <c r="DS456">
        <f>IF(ISBLANK('Data Entry'!$»$456), "", 'Data Entry'!$»$456)</f>
      </c>
      <c r="DT456">
        <f>IF(ISBLANK('Data Entry'!$¼$456), "", 'Data Entry'!$¼$456)</f>
      </c>
      <c r="DU456">
        <f>IF(ISBLANK('Data Entry'!$½$456), "", 'Data Entry'!$½$456)</f>
      </c>
      <c r="DV456">
        <f>IF(ISBLANK('Data Entry'!$¾$456), "", 'Data Entry'!$¾$456)</f>
      </c>
      <c r="DW456">
        <f>IF(ISBLANK('Data Entry'!$¿$456), "", 'Data Entry'!$¿$456)</f>
      </c>
      <c r="DX456">
        <f>IF(ISBLANK('Data Entry'!$À$456), "", 'Data Entry'!$À$456)</f>
      </c>
      <c r="DY456">
        <f>IF(ISBLANK('Data Entry'!$Á$456), "", 'Data Entry'!$Á$456)</f>
      </c>
      <c r="DZ456">
        <f>IF(ISBLANK('Data Entry'!$Â$456), "", 'Data Entry'!$Â$456)</f>
      </c>
      <c r="EA456">
        <f>IF(ISBLANK('Data Entry'!$Ã$456), "", 'Data Entry'!$Ã$456)</f>
      </c>
      <c r="EB456">
        <f>IF(ISBLANK('Data Entry'!$Ä$456), "", 'Data Entry'!$Ä$456)</f>
      </c>
      <c r="EC456">
        <f>IF(ISBLANK('Data Entry'!$Å$456), "", 'Data Entry'!$Å$456)</f>
      </c>
      <c r="ED456">
        <f>IF(ISBLANK('Data Entry'!$Æ$456), "", 'Data Entry'!$Æ$456)</f>
      </c>
      <c r="EE456">
        <f>IF(ISBLANK('Data Entry'!$Ç$456), "", 'Data Entry'!$Ç$456)</f>
      </c>
      <c r="EF456">
        <f>IF(ISBLANK('Data Entry'!$È$456), "", 'Data Entry'!$È$456)</f>
      </c>
      <c r="EG456">
        <f>IF(ISBLANK('Data Entry'!$É$456), "", 'Data Entry'!$É$456)</f>
      </c>
      <c r="EH456">
        <f>IF(ISBLANK('Data Entry'!$Ê$456), "", 'Data Entry'!$Ê$456)</f>
      </c>
      <c r="EI456">
        <f>IF(ISBLANK('Data Entry'!$Ë$456), "", 'Data Entry'!$Ë$456)</f>
      </c>
      <c r="EJ456">
        <f>IF(ISBLANK('Data Entry'!$Ì$456), "", 'Data Entry'!$Ì$456)</f>
      </c>
      <c r="EK456">
        <f>IF(ISBLANK('Data Entry'!$Í$456), "", 'Data Entry'!$Í$456)</f>
      </c>
      <c r="EL456">
        <f>IF(ISBLANK('Data Entry'!$Î$456), "", 'Data Entry'!$Î$456)</f>
      </c>
      <c r="EM456">
        <f>IF(ISBLANK('Data Entry'!$Ï$456), "", 'Data Entry'!$Ï$456)</f>
      </c>
      <c r="EN456">
        <f>IF(ISBLANK('Data Entry'!$Ð$456), "", 'Data Entry'!$Ð$456)</f>
      </c>
      <c r="EO456">
        <f>IF(ISBLANK('Data Entry'!$Ñ$456), "", 'Data Entry'!$Ñ$456)</f>
      </c>
      <c r="EP456">
        <f>IF(ISBLANK('Data Entry'!$Ò$456), "", 'Data Entry'!$Ò$456)</f>
      </c>
      <c r="EQ456">
        <f>IF(ISBLANK('Data Entry'!$Ó$456), "", 'Data Entry'!$Ó$456)</f>
      </c>
      <c r="ER456">
        <f>IF(ISBLANK('Data Entry'!$Ô$456), "", 'Data Entry'!$Ô$456)</f>
      </c>
      <c r="ES456">
        <f>IF(ISBLANK('Data Entry'!$Õ$456), "", 'Data Entry'!$Õ$456)</f>
      </c>
      <c r="ET456">
        <f>IF(ISBLANK('Data Entry'!$Ö$456), "", 'Data Entry'!$Ö$456)</f>
      </c>
      <c r="EU456">
        <f>IF(ISBLANK('Data Entry'!$×$456), "", 'Data Entry'!$×$456)</f>
      </c>
      <c r="EV456">
        <f>IF(ISBLANK('Data Entry'!$Ø$456), "", 'Data Entry'!$Ø$456)</f>
      </c>
      <c r="EW456">
        <f>IF(ISBLANK('Data Entry'!$Ù$456), "", 'Data Entry'!$Ù$456)</f>
      </c>
      <c r="EX456">
        <f>IF(ISBLANK('Data Entry'!$Ú$456), "", 'Data Entry'!$Ú$456)</f>
      </c>
      <c r="EY456">
        <f>IF(ISBLANK('Data Entry'!$Û$456), "", 'Data Entry'!$Û$456)</f>
      </c>
      <c r="EZ456">
        <f>IF(ISBLANK('Data Entry'!$Ü$456), "", 'Data Entry'!$Ü$456)</f>
      </c>
      <c r="FA456">
        <f>IF(ISBLANK('Data Entry'!$Ý$456), "", 'Data Entry'!$Ý$456)</f>
      </c>
      <c r="FB456">
        <f>IF(ISBLANK('Data Entry'!$Þ$456), "", 'Data Entry'!$Þ$456)</f>
      </c>
      <c r="FC456">
        <f>IF(ISBLANK('Data Entry'!$ß$456), "", 'Data Entry'!$ß$456)</f>
      </c>
      <c r="FD456">
        <f>IF(ISBLANK('Data Entry'!$à$456), "", 'Data Entry'!$à$456)</f>
      </c>
      <c r="FE456">
        <f>IF(ISBLANK('Data Entry'!$á$456), "", 'Data Entry'!$á$456)</f>
      </c>
      <c r="FF456">
        <f>IF(ISBLANK('Data Entry'!$â$456), "", 'Data Entry'!$â$456)</f>
      </c>
      <c r="FG456">
        <f>IF(ISBLANK('Data Entry'!$ã$456), "", 'Data Entry'!$ã$456)</f>
      </c>
      <c r="FH456">
        <f>IF(ISBLANK('Data Entry'!$ä$456), "", 'Data Entry'!$ä$456)</f>
      </c>
      <c r="FI456">
        <f>IF(ISBLANK('Data Entry'!$å$456), "", 'Data Entry'!$å$456)</f>
      </c>
      <c r="FJ456">
        <f>IF(ISBLANK('Data Entry'!$æ$456), "", 'Data Entry'!$æ$456)</f>
      </c>
      <c r="FK456">
        <f>IF(ISBLANK('Data Entry'!$ç$456), "", 'Data Entry'!$ç$456)</f>
      </c>
      <c r="FL456">
        <f>IF(ISBLANK('Data Entry'!$è$456), "", 'Data Entry'!$è$456)</f>
      </c>
      <c r="FM456">
        <f>IF(ISBLANK('Data Entry'!$é$456), "", 'Data Entry'!$é$456)</f>
      </c>
      <c r="FN456">
        <f>IF(ISBLANK('Data Entry'!$ê$456), "", 'Data Entry'!$ê$456)</f>
      </c>
      <c r="FO456">
        <f>IF(ISBLANK('Data Entry'!$ë$456), "", 'Data Entry'!$ë$456)</f>
      </c>
      <c r="FP456">
        <f>IF(ISBLANK('Data Entry'!$ì$456), "", 'Data Entry'!$ì$456)</f>
      </c>
      <c r="FQ456">
        <f>IF(ISBLANK('Data Entry'!$í$456), "", 'Data Entry'!$í$456)</f>
      </c>
      <c r="FR456">
        <f>IF(ISBLANK('Data Entry'!$î$456), "", 'Data Entry'!$î$456)</f>
      </c>
      <c r="FS456">
        <f>IF(ISBLANK('Data Entry'!$ï$456), "", 'Data Entry'!$ï$456)</f>
      </c>
      <c r="FT456">
        <f>IF(ISBLANK('Data Entry'!$ð$456), "", 'Data Entry'!$ð$456)</f>
      </c>
      <c r="FU456">
        <f>IF(ISBLANK('Data Entry'!$ñ$456), "", 'Data Entry'!$ñ$456)</f>
      </c>
      <c r="FV456">
        <f>IF(ISBLANK('Data Entry'!$ò$456), "", 'Data Entry'!$ò$456)</f>
      </c>
      <c r="FW456">
        <f>IF(ISBLANK('Data Entry'!$ó$456), "", 'Data Entry'!$ó$456)</f>
      </c>
      <c r="FX456">
        <f>IF(ISBLANK('Data Entry'!$ô$456), "", 'Data Entry'!$ô$456)</f>
      </c>
      <c r="FY456">
        <f>IF(ISBLANK('Data Entry'!$õ$456), "", 'Data Entry'!$õ$456)</f>
      </c>
      <c r="FZ456">
        <f>IF(ISBLANK('Data Entry'!$ö$456), "", 'Data Entry'!$ö$456)</f>
      </c>
      <c r="GA456">
        <f>IF(ISBLANK('Data Entry'!$÷$456), "", 'Data Entry'!$÷$456)</f>
      </c>
      <c r="GB456">
        <f>IF(ISBLANK('Data Entry'!$ø$456), "", 'Data Entry'!$ø$456)</f>
      </c>
      <c r="GC456">
        <f>IF(ISBLANK('Data Entry'!$ù$456), "", 'Data Entry'!$ù$456)</f>
      </c>
      <c r="GD456">
        <f>IF(ISBLANK('Data Entry'!$ú$456), "", 'Data Entry'!$ú$456)</f>
      </c>
      <c r="GE456">
        <f>IF(ISBLANK('Data Entry'!$û$456), "", 'Data Entry'!$û$456)</f>
      </c>
      <c r="GF456">
        <f>IF(ISBLANK('Data Entry'!$ü$456), "", 'Data Entry'!$ü$456)</f>
      </c>
      <c r="GG456">
        <f>IF(ISBLANK('Data Entry'!$ý$456), "", 'Data Entry'!$ý$456)</f>
      </c>
      <c r="GH456">
        <f>IF(ISBLANK('Data Entry'!$þ$456), "", 'Data Entry'!$þ$456)</f>
      </c>
      <c r="GI456">
        <f>IF(ISBLANK('Data Entry'!$ÿ$456), "", 'Data Entry'!$ÿ$456)</f>
      </c>
      <c r="GJ456">
        <f>IF(ISBLANK('Data Entry'!$Ā$456), "", 'Data Entry'!$Ā$456)</f>
      </c>
      <c r="GK456">
        <f>IF(ISBLANK('Data Entry'!$ā$456), "", 'Data Entry'!$ā$456)</f>
      </c>
      <c r="GL456">
        <f>IF(ISBLANK('Data Entry'!$Ă$456), "", 'Data Entry'!$Ă$456)</f>
      </c>
      <c r="GM456">
        <f>IF(ISBLANK('Data Entry'!$ă$456), "", 'Data Entry'!$ă$456)</f>
      </c>
      <c r="GN456">
        <f>IF(ISBLANK('Data Entry'!$Ą$456), "", 'Data Entry'!$Ą$456)</f>
      </c>
      <c r="GO456">
        <f>IF(ISBLANK('Data Entry'!$ą$456), "", 'Data Entry'!$ą$456)</f>
      </c>
      <c r="GP456">
        <f>IF(ISBLANK('Data Entry'!$Ć$456), "", 'Data Entry'!$Ć$456)</f>
      </c>
      <c r="GQ456">
        <f>IF(ISBLANK('Data Entry'!$ć$456), "", 'Data Entry'!$ć$456)</f>
      </c>
      <c r="GR456">
        <f>IF(ISBLANK('Data Entry'!$Ĉ$456), "", 'Data Entry'!$Ĉ$456)</f>
      </c>
      <c r="GS456">
        <f>IF(ISBLANK('Data Entry'!$ĉ$456), "", 'Data Entry'!$ĉ$456)</f>
      </c>
      <c r="GT456">
        <f>IF(ISBLANK('Data Entry'!$Ċ$456), "", 'Data Entry'!$Ċ$456)</f>
      </c>
      <c r="GU456">
        <f>IF(ISBLANK('Data Entry'!$ċ$456), "", 'Data Entry'!$ċ$456)</f>
      </c>
      <c r="GV456">
        <f>IF(ISBLANK('Data Entry'!$Č$456), "", 'Data Entry'!$Č$456)</f>
      </c>
      <c r="GW456">
        <f>IF(ISBLANK('Data Entry'!$č$456), "", 'Data Entry'!$č$456)</f>
      </c>
      <c r="GX456">
        <f>IF(ISBLANK('Data Entry'!$Ď$456), "", 'Data Entry'!$Ď$456)</f>
      </c>
      <c r="GY456">
        <f>IF(ISBLANK('Data Entry'!$ď$456), "", 'Data Entry'!$ď$456)</f>
      </c>
      <c r="GZ456">
        <f>IF(ISBLANK('Data Entry'!$Đ$456), "", 'Data Entry'!$Đ$456)</f>
      </c>
      <c r="HA456">
        <f>IF(ISBLANK('Data Entry'!$đ$456), "", 'Data Entry'!$đ$456)</f>
      </c>
      <c r="HB456">
        <f>IF(ISBLANK('Data Entry'!$Ē$456), "", 'Data Entry'!$Ē$456)</f>
      </c>
      <c r="HC456">
        <f>IF(ISBLANK('Data Entry'!$ē$456), "", 'Data Entry'!$ē$456)</f>
      </c>
      <c r="HD456">
        <f>IF(ISBLANK('Data Entry'!$Ĕ$456), "", 'Data Entry'!$Ĕ$456)</f>
      </c>
      <c r="HE456">
        <f>IF(ISBLANK('Data Entry'!$ĕ$456), "", 'Data Entry'!$ĕ$456)</f>
      </c>
      <c r="HF456">
        <f>IF(ISBLANK('Data Entry'!$Ė$456), "", 'Data Entry'!$Ė$456)</f>
      </c>
      <c r="HG456">
        <f>IF(ISBLANK('Data Entry'!$ė$456), "", 'Data Entry'!$ė$456)</f>
      </c>
      <c r="HH456">
        <f>IF(ISBLANK('Data Entry'!$Ę$456), "", 'Data Entry'!$Ę$456)</f>
      </c>
      <c r="HI456">
        <f>IF(ISBLANK('Data Entry'!$ę$456), "", 'Data Entry'!$ę$456)</f>
      </c>
      <c r="HJ456">
        <f>IF(ISBLANK('Data Entry'!$Ě$456), "", 'Data Entry'!$Ě$456)</f>
      </c>
      <c r="HK456">
        <f>IF(ISBLANK('Data Entry'!$ě$456), "", 'Data Entry'!$ě$456)</f>
      </c>
      <c r="HL456">
        <f>IF(ISBLANK('Data Entry'!$Ĝ$456), "", 'Data Entry'!$Ĝ$456)</f>
      </c>
      <c r="HM456">
        <f>IF(ISBLANK('Data Entry'!$ĝ$456), "", 'Data Entry'!$ĝ$456)</f>
      </c>
      <c r="HN456">
        <f>IF(ISBLANK('Data Entry'!$Ğ$456), "", 'Data Entry'!$Ğ$456)</f>
      </c>
      <c r="HO456">
        <f>IF(ISBLANK('Data Entry'!$ğ$456), "", 'Data Entry'!$ğ$456)</f>
      </c>
      <c r="HP456">
        <f>IF(ISBLANK('Data Entry'!$Ġ$456), "", 'Data Entry'!$Ġ$456)</f>
      </c>
      <c r="HQ456">
        <f>IF(ISBLANK('Data Entry'!$ġ$456), "", 'Data Entry'!$ġ$456)</f>
      </c>
      <c r="HR456">
        <f>IF(ISBLANK('Data Entry'!$Ģ$456), "", 'Data Entry'!$Ģ$456)</f>
      </c>
      <c r="HS456">
        <f>IF(ISBLANK('Data Entry'!$ģ$456), "", 'Data Entry'!$ģ$456)</f>
      </c>
      <c r="HT456">
        <f>IF(ISBLANK('Data Entry'!$Ĥ$456), "", 'Data Entry'!$Ĥ$456)</f>
      </c>
      <c r="HU456">
        <f>IF(ISBLANK('Data Entry'!$ĥ$456), "", 'Data Entry'!$ĥ$456)</f>
      </c>
      <c r="HV456">
        <f>IF(ISBLANK('Data Entry'!$Ħ$456), "", 'Data Entry'!$Ħ$456)</f>
      </c>
      <c r="HW456">
        <f>IF(ISBLANK('Data Entry'!$ħ$456), "", 'Data Entry'!$ħ$456)</f>
      </c>
      <c r="HX456">
        <f>IF(ISBLANK('Data Entry'!$Ĩ$456), "", 'Data Entry'!$Ĩ$456)</f>
      </c>
      <c r="HY456">
        <f>IF(ISBLANK('Data Entry'!$ĩ$456), "", 'Data Entry'!$ĩ$456)</f>
      </c>
      <c r="HZ456">
        <f>IF(ISBLANK('Data Entry'!$Ī$456), "", 'Data Entry'!$Ī$456)</f>
      </c>
      <c r="IA456">
        <f>IF(ISBLANK('Data Entry'!$ī$456), "", 'Data Entry'!$ī$456)</f>
      </c>
      <c r="IB456">
        <f>IF(ISBLANK('Data Entry'!$Ĭ$456), "", 'Data Entry'!$Ĭ$456)</f>
      </c>
      <c r="IC456">
        <f>IF(ISBLANK('Data Entry'!$ĭ$456), "", 'Data Entry'!$ĭ$456)</f>
      </c>
      <c r="ID456">
        <f>IF(ISBLANK('Data Entry'!$Į$456), "", 'Data Entry'!$Į$456)</f>
      </c>
      <c r="IE456">
        <f>IF(ISBLANK('Data Entry'!$į$456), "", 'Data Entry'!$į$456)</f>
      </c>
      <c r="IF456">
        <f>IF(ISBLANK('Data Entry'!$İ$456), "", 'Data Entry'!$İ$456)</f>
      </c>
      <c r="IG456">
        <f>IF(ISBLANK('Data Entry'!$ı$456), "", 'Data Entry'!$ı$456)</f>
      </c>
      <c r="IH456">
        <f>IF(ISBLANK('Data Entry'!$Ĳ$456), "", 'Data Entry'!$Ĳ$456)</f>
      </c>
      <c r="II456">
        <f>IF(ISBLANK('Data Entry'!$ĳ$456), "", 'Data Entry'!$ĳ$456)</f>
      </c>
      <c r="IJ456">
        <f>IF(ISBLANK('Data Entry'!$Ĵ$456), "", 'Data Entry'!$Ĵ$456)</f>
      </c>
      <c r="IK456">
        <f>IF(ISBLANK('Data Entry'!$ĵ$456), "", 'Data Entry'!$ĵ$456)</f>
      </c>
      <c r="IL456">
        <f>IF(ISBLANK('Data Entry'!$Ķ$456), "", 'Data Entry'!$Ķ$456)</f>
      </c>
      <c r="IM456">
        <f>IF(ISBLANK('Data Entry'!$ķ$456), "", 'Data Entry'!$ķ$456)</f>
      </c>
      <c r="IN456">
        <f>IF(ISBLANK('Data Entry'!$ĸ$456), "", 'Data Entry'!$ĸ$456)</f>
      </c>
      <c r="IO456">
        <f>IF(ISBLANK('Data Entry'!$Ĺ$456), "", 'Data Entry'!$Ĺ$456)</f>
      </c>
      <c r="IP456">
        <f>IF(ISBLANK('Data Entry'!$ĺ$456), "", 'Data Entry'!$ĺ$456)</f>
      </c>
      <c r="IQ456">
        <f>IF(ISBLANK('Data Entry'!$Ļ$456), "", 'Data Entry'!$Ļ$456)</f>
      </c>
      <c r="IR456">
        <f>IF(ISBLANK('Data Entry'!$ļ$456), "", 'Data Entry'!$ļ$456)</f>
      </c>
      <c r="IS456">
        <f>IF(ISBLANK('Data Entry'!$Ľ$456), "", 'Data Entry'!$Ľ$456)</f>
      </c>
      <c r="IT456">
        <f>IF(ISBLANK('Data Entry'!$ľ$456), "", 'Data Entry'!$ľ$456)</f>
      </c>
    </row>
    <row r="457" spans="1:254" x14ac:dyDescent="0.25">
      <c r="A457">
        <f>IF(ISBLANK('Data Entry'!$A$457), "", 'Data Entry'!$A$457)</f>
      </c>
      <c r="B457">
        <f>IF(ISBLANK('Data Entry'!$B$457), "", 'Data Entry'!$B$457)</f>
      </c>
      <c r="C457">
        <f>IF(ISBLANK('Data Entry'!$C$457), "", 'Data Entry'!$C$457)</f>
      </c>
      <c r="D457">
        <f>IF(ISBLANK('Data Entry'!$D$457), "", 'Data Entry'!$D$457)</f>
      </c>
      <c r="E457">
        <f>IF(ISBLANK('Data Entry'!$E$457), "", 'Data Entry'!$E$457)</f>
      </c>
      <c r="F457">
        <f>IF(ISBLANK('Data Entry'!$F$457), "", 'Data Entry'!$F$457)</f>
      </c>
      <c r="G457">
        <f>IF(ISBLANK('Data Entry'!$G$457), "", 'Data Entry'!$G$457)</f>
      </c>
      <c r="H457">
        <f>IF(ISBLANK('Data Entry'!$H$457), "", 'Data Entry'!$H$457)</f>
      </c>
      <c r="I457">
        <f>IF(ISBLANK('Data Entry'!$I$457), "", 'Data Entry'!$I$457)</f>
      </c>
      <c r="J457">
        <f>IF(ISBLANK('Data Entry'!$J$457), "", 'Data Entry'!$J$457)</f>
      </c>
      <c r="K457">
        <f>IF(ISBLANK('Data Entry'!$K$457), "", 'Data Entry'!$K$457)</f>
      </c>
      <c r="L457">
        <f>IF(ISBLANK('Data Entry'!$L$457), "", 'Data Entry'!$L$457)</f>
      </c>
      <c r="M457">
        <f>IF(ISBLANK('Data Entry'!$M$457), "", 'Data Entry'!$M$457)</f>
      </c>
      <c r="N457">
        <f>IF(ISBLANK('Data Entry'!$N$457), "", 'Data Entry'!$N$457)</f>
      </c>
      <c r="O457">
        <f>IF(ISBLANK('Data Entry'!$O$457), "", 'Data Entry'!$O$457)</f>
      </c>
      <c r="P457">
        <f>IF(ISBLANK('Data Entry'!$P$457), "", 'Data Entry'!$P$457)</f>
      </c>
      <c r="Q457">
        <f>IF(ISBLANK('Data Entry'!$Q$457), "", 'Data Entry'!$Q$457)</f>
      </c>
      <c r="R457">
        <f>IF(ISBLANK('Data Entry'!$R$457), "", 'Data Entry'!$R$457)</f>
      </c>
      <c r="S457">
        <f>IF(ISBLANK('Data Entry'!$S$457), "", 'Data Entry'!$S$457)</f>
      </c>
      <c r="T457">
        <f>IF(ISBLANK('Data Entry'!$T$457), "", 'Data Entry'!$T$457)</f>
      </c>
      <c r="U457">
        <f>IF(ISBLANK('Data Entry'!$U$457), "", 'Data Entry'!$U$457)</f>
      </c>
      <c r="V457">
        <f>IF(ISBLANK('Data Entry'!$V$457), "", 'Data Entry'!$V$457)</f>
      </c>
      <c r="W457">
        <f>IF(ISBLANK('Data Entry'!$W$457), "", 'Data Entry'!$W$457)</f>
      </c>
      <c r="X457">
        <f>IF(ISBLANK('Data Entry'!$X$457), "", 'Data Entry'!$X$457)</f>
      </c>
      <c r="Y457">
        <f>IF(ISBLANK('Data Entry'!$Y$457), "", 'Data Entry'!$Y$457)</f>
      </c>
      <c r="Z457">
        <f>IF(ISBLANK('Data Entry'!$Z$457), "", 'Data Entry'!$Z$457)</f>
      </c>
      <c r="AA457">
        <f>IF(ISBLANK('Data Entry'!$[$457), "", 'Data Entry'!$[$457)</f>
      </c>
      <c r="AB457">
        <f>IF(ISBLANK('Data Entry'!$\$457), "", 'Data Entry'!$\$457)</f>
      </c>
      <c r="AC457">
        <f>IF(ISBLANK('Data Entry'!$]$457), "", 'Data Entry'!$]$457)</f>
      </c>
      <c r="AD457">
        <f>IF(ISBLANK('Data Entry'!$^$457), "", 'Data Entry'!$^$457)</f>
      </c>
      <c r="AE457">
        <f>IF(ISBLANK('Data Entry'!$_$457), "", 'Data Entry'!$_$457)</f>
      </c>
      <c r="AF457">
        <f>IF(ISBLANK('Data Entry'!$`$457), "", 'Data Entry'!$`$457)</f>
      </c>
      <c r="AG457">
        <f>IF(ISBLANK('Data Entry'!$a$457), "", 'Data Entry'!$a$457)</f>
      </c>
      <c r="AH457">
        <f>IF(ISBLANK('Data Entry'!$b$457), "", 'Data Entry'!$b$457)</f>
      </c>
      <c r="AI457">
        <f>IF(ISBLANK('Data Entry'!$c$457), "", 'Data Entry'!$c$457)</f>
      </c>
      <c r="AJ457">
        <f>IF(ISBLANK('Data Entry'!$d$457), "", 'Data Entry'!$d$457)</f>
      </c>
      <c r="AK457">
        <f>IF(ISBLANK('Data Entry'!$e$457), "", 'Data Entry'!$e$457)</f>
      </c>
      <c r="AL457">
        <f>IF(ISBLANK('Data Entry'!$f$457), "", 'Data Entry'!$f$457)</f>
      </c>
      <c r="AM457">
        <f>IF(ISBLANK('Data Entry'!$g$457), "", 'Data Entry'!$g$457)</f>
      </c>
      <c r="AN457">
        <f>IF(ISBLANK('Data Entry'!$h$457), "", 'Data Entry'!$h$457)</f>
      </c>
      <c r="AO457">
        <f>IF(ISBLANK('Data Entry'!$i$457), "", 'Data Entry'!$i$457)</f>
      </c>
      <c r="AP457">
        <f>IF(ISBLANK('Data Entry'!$j$457), "", 'Data Entry'!$j$457)</f>
      </c>
      <c r="AQ457">
        <f>IF(ISBLANK('Data Entry'!$k$457), "", 'Data Entry'!$k$457)</f>
      </c>
      <c r="AR457">
        <f>IF(ISBLANK('Data Entry'!$l$457), "", 'Data Entry'!$l$457)</f>
      </c>
      <c r="AS457">
        <f>IF(ISBLANK('Data Entry'!$m$457), "", 'Data Entry'!$m$457)</f>
      </c>
      <c r="AT457">
        <f>IF(ISBLANK('Data Entry'!$n$457), "", 'Data Entry'!$n$457)</f>
      </c>
      <c r="AU457">
        <f>IF(ISBLANK('Data Entry'!$o$457), "", 'Data Entry'!$o$457)</f>
      </c>
      <c r="AV457">
        <f>IF(ISBLANK('Data Entry'!$p$457), "", 'Data Entry'!$p$457)</f>
      </c>
      <c r="AW457">
        <f>IF(ISBLANK('Data Entry'!$q$457), "", 'Data Entry'!$q$457)</f>
      </c>
      <c r="AX457">
        <f>IF(ISBLANK('Data Entry'!$r$457), "", 'Data Entry'!$r$457)</f>
      </c>
      <c r="AY457">
        <f>IF(ISBLANK('Data Entry'!$s$457), "", 'Data Entry'!$s$457)</f>
      </c>
      <c r="AZ457">
        <f>IF(ISBLANK('Data Entry'!$t$457), "", 'Data Entry'!$t$457)</f>
      </c>
      <c r="BA457">
        <f>IF(ISBLANK('Data Entry'!$u$457), "", 'Data Entry'!$u$457)</f>
      </c>
      <c r="BB457">
        <f>IF(ISBLANK('Data Entry'!$v$457), "", 'Data Entry'!$v$457)</f>
      </c>
      <c r="BC457">
        <f>IF(ISBLANK('Data Entry'!$w$457), "", 'Data Entry'!$w$457)</f>
      </c>
      <c r="BD457">
        <f>IF(ISBLANK('Data Entry'!$x$457), "", 'Data Entry'!$x$457)</f>
      </c>
      <c r="BE457">
        <f>IF(ISBLANK('Data Entry'!$y$457), "", 'Data Entry'!$y$457)</f>
      </c>
      <c r="BF457">
        <f>IF(ISBLANK('Data Entry'!$z$457), "", 'Data Entry'!$z$457)</f>
      </c>
      <c r="BG457">
        <f>IF(ISBLANK('Data Entry'!${$457), "", 'Data Entry'!${$457)</f>
      </c>
      <c r="BH457">
        <f>IF(ISBLANK('Data Entry'!$|$457), "", 'Data Entry'!$|$457)</f>
      </c>
      <c r="BI457">
        <f>IF(ISBLANK('Data Entry'!$}$457), "", 'Data Entry'!$}$457)</f>
      </c>
      <c r="BJ457">
        <f>IF(ISBLANK('Data Entry'!$~$457), "", 'Data Entry'!$~$457)</f>
      </c>
      <c r="BK457">
        <f>IF(ISBLANK('Data Entry'!$$457), "", 'Data Entry'!$$457)</f>
      </c>
      <c r="BL457">
        <f>IF(ISBLANK('Data Entry'!$$457), "", 'Data Entry'!$$457)</f>
      </c>
      <c r="BM457">
        <f>IF(ISBLANK('Data Entry'!$$457), "", 'Data Entry'!$$457)</f>
      </c>
      <c r="BN457">
        <f>IF(ISBLANK('Data Entry'!$$457), "", 'Data Entry'!$$457)</f>
      </c>
      <c r="BO457">
        <f>IF(ISBLANK('Data Entry'!$$457), "", 'Data Entry'!$$457)</f>
      </c>
      <c r="BP457">
        <f>IF(ISBLANK('Data Entry'!$$457), "", 'Data Entry'!$$457)</f>
      </c>
      <c r="BQ457">
        <f>IF(ISBLANK('Data Entry'!$$457), "", 'Data Entry'!$$457)</f>
      </c>
      <c r="BR457">
        <f>IF(ISBLANK('Data Entry'!$$457), "", 'Data Entry'!$$457)</f>
      </c>
      <c r="BS457">
        <f>IF(ISBLANK('Data Entry'!$$457), "", 'Data Entry'!$$457)</f>
      </c>
      <c r="BT457">
        <f>IF(ISBLANK('Data Entry'!$$457), "", 'Data Entry'!$$457)</f>
      </c>
      <c r="BU457">
        <f>IF(ISBLANK('Data Entry'!$$457), "", 'Data Entry'!$$457)</f>
      </c>
      <c r="BV457">
        <f>IF(ISBLANK('Data Entry'!$$457), "", 'Data Entry'!$$457)</f>
      </c>
      <c r="BW457">
        <f>IF(ISBLANK('Data Entry'!$$457), "", 'Data Entry'!$$457)</f>
      </c>
      <c r="BX457">
        <f>IF(ISBLANK('Data Entry'!$$457), "", 'Data Entry'!$$457)</f>
      </c>
      <c r="BY457">
        <f>IF(ISBLANK('Data Entry'!$$457), "", 'Data Entry'!$$457)</f>
      </c>
      <c r="BZ457">
        <f>IF(ISBLANK('Data Entry'!$$457), "", 'Data Entry'!$$457)</f>
      </c>
      <c r="CA457">
        <f>IF(ISBLANK('Data Entry'!$$457), "", 'Data Entry'!$$457)</f>
      </c>
      <c r="CB457">
        <f>IF(ISBLANK('Data Entry'!$$457), "", 'Data Entry'!$$457)</f>
      </c>
      <c r="CC457">
        <f>IF(ISBLANK('Data Entry'!$$457), "", 'Data Entry'!$$457)</f>
      </c>
      <c r="CD457">
        <f>IF(ISBLANK('Data Entry'!$$457), "", 'Data Entry'!$$457)</f>
      </c>
      <c r="CE457">
        <f>IF(ISBLANK('Data Entry'!$$457), "", 'Data Entry'!$$457)</f>
      </c>
      <c r="CF457">
        <f>IF(ISBLANK('Data Entry'!$$457), "", 'Data Entry'!$$457)</f>
      </c>
      <c r="CG457">
        <f>IF(ISBLANK('Data Entry'!$$457), "", 'Data Entry'!$$457)</f>
      </c>
      <c r="CH457">
        <f>IF(ISBLANK('Data Entry'!$$457), "", 'Data Entry'!$$457)</f>
      </c>
      <c r="CI457">
        <f>IF(ISBLANK('Data Entry'!$$457), "", 'Data Entry'!$$457)</f>
      </c>
      <c r="CJ457">
        <f>IF(ISBLANK('Data Entry'!$$457), "", 'Data Entry'!$$457)</f>
      </c>
      <c r="CK457">
        <f>IF(ISBLANK('Data Entry'!$$457), "", 'Data Entry'!$$457)</f>
      </c>
      <c r="CL457">
        <f>IF(ISBLANK('Data Entry'!$$457), "", 'Data Entry'!$$457)</f>
      </c>
      <c r="CM457">
        <f>IF(ISBLANK('Data Entry'!$$457), "", 'Data Entry'!$$457)</f>
      </c>
      <c r="CN457">
        <f>IF(ISBLANK('Data Entry'!$$457), "", 'Data Entry'!$$457)</f>
      </c>
      <c r="CO457">
        <f>IF(ISBLANK('Data Entry'!$$457), "", 'Data Entry'!$$457)</f>
      </c>
      <c r="CP457">
        <f>IF(ISBLANK('Data Entry'!$$457), "", 'Data Entry'!$$457)</f>
      </c>
      <c r="CQ457">
        <f>IF(ISBLANK('Data Entry'!$$457), "", 'Data Entry'!$$457)</f>
      </c>
      <c r="CR457">
        <f>IF(ISBLANK('Data Entry'!$ $457), "", 'Data Entry'!$ $457)</f>
      </c>
      <c r="CS457">
        <f>IF(ISBLANK('Data Entry'!$¡$457), "", 'Data Entry'!$¡$457)</f>
      </c>
      <c r="CT457">
        <f>IF(ISBLANK('Data Entry'!$¢$457), "", 'Data Entry'!$¢$457)</f>
      </c>
      <c r="CU457">
        <f>IF(ISBLANK('Data Entry'!$£$457), "", 'Data Entry'!$£$457)</f>
      </c>
      <c r="CV457">
        <f>IF(ISBLANK('Data Entry'!$¤$457), "", 'Data Entry'!$¤$457)</f>
      </c>
      <c r="CW457">
        <f>IF(ISBLANK('Data Entry'!$¥$457), "", 'Data Entry'!$¥$457)</f>
      </c>
      <c r="CX457">
        <f>IF(ISBLANK('Data Entry'!$¦$457), "", 'Data Entry'!$¦$457)</f>
      </c>
      <c r="CY457">
        <f>IF(ISBLANK('Data Entry'!$§$457), "", 'Data Entry'!$§$457)</f>
      </c>
      <c r="CZ457">
        <f>IF(ISBLANK('Data Entry'!$¨$457), "", 'Data Entry'!$¨$457)</f>
      </c>
      <c r="DA457">
        <f>IF(ISBLANK('Data Entry'!$©$457), "", 'Data Entry'!$©$457)</f>
      </c>
      <c r="DB457">
        <f>IF(ISBLANK('Data Entry'!$ª$457), "", 'Data Entry'!$ª$457)</f>
      </c>
      <c r="DC457">
        <f>IF(ISBLANK('Data Entry'!$«$457), "", 'Data Entry'!$«$457)</f>
      </c>
      <c r="DD457">
        <f>IF(ISBLANK('Data Entry'!$¬$457), "", 'Data Entry'!$¬$457)</f>
      </c>
      <c r="DE457">
        <f>IF(ISBLANK('Data Entry'!$­$457), "", 'Data Entry'!$­$457)</f>
      </c>
      <c r="DF457">
        <f>IF(ISBLANK('Data Entry'!$®$457), "", 'Data Entry'!$®$457)</f>
      </c>
      <c r="DG457">
        <f>IF(ISBLANK('Data Entry'!$¯$457), "", 'Data Entry'!$¯$457)</f>
      </c>
      <c r="DH457">
        <f>IF(ISBLANK('Data Entry'!$°$457), "", 'Data Entry'!$°$457)</f>
      </c>
      <c r="DI457">
        <f>IF(ISBLANK('Data Entry'!$±$457), "", 'Data Entry'!$±$457)</f>
      </c>
      <c r="DJ457">
        <f>IF(ISBLANK('Data Entry'!$²$457), "", 'Data Entry'!$²$457)</f>
      </c>
      <c r="DK457">
        <f>IF(ISBLANK('Data Entry'!$³$457), "", 'Data Entry'!$³$457)</f>
      </c>
      <c r="DL457">
        <f>IF(ISBLANK('Data Entry'!$´$457), "", 'Data Entry'!$´$457)</f>
      </c>
      <c r="DM457">
        <f>IF(ISBLANK('Data Entry'!$µ$457), "", 'Data Entry'!$µ$457)</f>
      </c>
      <c r="DN457">
        <f>IF(ISBLANK('Data Entry'!$¶$457), "", 'Data Entry'!$¶$457)</f>
      </c>
      <c r="DO457">
        <f>IF(ISBLANK('Data Entry'!$·$457), "", 'Data Entry'!$·$457)</f>
      </c>
      <c r="DP457">
        <f>IF(ISBLANK('Data Entry'!$¸$457), "", 'Data Entry'!$¸$457)</f>
      </c>
      <c r="DQ457">
        <f>IF(ISBLANK('Data Entry'!$¹$457), "", 'Data Entry'!$¹$457)</f>
      </c>
      <c r="DR457">
        <f>IF(ISBLANK('Data Entry'!$º$457), "", 'Data Entry'!$º$457)</f>
      </c>
      <c r="DS457">
        <f>IF(ISBLANK('Data Entry'!$»$457), "", 'Data Entry'!$»$457)</f>
      </c>
      <c r="DT457">
        <f>IF(ISBLANK('Data Entry'!$¼$457), "", 'Data Entry'!$¼$457)</f>
      </c>
      <c r="DU457">
        <f>IF(ISBLANK('Data Entry'!$½$457), "", 'Data Entry'!$½$457)</f>
      </c>
      <c r="DV457">
        <f>IF(ISBLANK('Data Entry'!$¾$457), "", 'Data Entry'!$¾$457)</f>
      </c>
      <c r="DW457">
        <f>IF(ISBLANK('Data Entry'!$¿$457), "", 'Data Entry'!$¿$457)</f>
      </c>
      <c r="DX457">
        <f>IF(ISBLANK('Data Entry'!$À$457), "", 'Data Entry'!$À$457)</f>
      </c>
      <c r="DY457">
        <f>IF(ISBLANK('Data Entry'!$Á$457), "", 'Data Entry'!$Á$457)</f>
      </c>
      <c r="DZ457">
        <f>IF(ISBLANK('Data Entry'!$Â$457), "", 'Data Entry'!$Â$457)</f>
      </c>
      <c r="EA457">
        <f>IF(ISBLANK('Data Entry'!$Ã$457), "", 'Data Entry'!$Ã$457)</f>
      </c>
      <c r="EB457">
        <f>IF(ISBLANK('Data Entry'!$Ä$457), "", 'Data Entry'!$Ä$457)</f>
      </c>
      <c r="EC457">
        <f>IF(ISBLANK('Data Entry'!$Å$457), "", 'Data Entry'!$Å$457)</f>
      </c>
      <c r="ED457">
        <f>IF(ISBLANK('Data Entry'!$Æ$457), "", 'Data Entry'!$Æ$457)</f>
      </c>
      <c r="EE457">
        <f>IF(ISBLANK('Data Entry'!$Ç$457), "", 'Data Entry'!$Ç$457)</f>
      </c>
      <c r="EF457">
        <f>IF(ISBLANK('Data Entry'!$È$457), "", 'Data Entry'!$È$457)</f>
      </c>
      <c r="EG457">
        <f>IF(ISBLANK('Data Entry'!$É$457), "", 'Data Entry'!$É$457)</f>
      </c>
      <c r="EH457">
        <f>IF(ISBLANK('Data Entry'!$Ê$457), "", 'Data Entry'!$Ê$457)</f>
      </c>
      <c r="EI457">
        <f>IF(ISBLANK('Data Entry'!$Ë$457), "", 'Data Entry'!$Ë$457)</f>
      </c>
      <c r="EJ457">
        <f>IF(ISBLANK('Data Entry'!$Ì$457), "", 'Data Entry'!$Ì$457)</f>
      </c>
      <c r="EK457">
        <f>IF(ISBLANK('Data Entry'!$Í$457), "", 'Data Entry'!$Í$457)</f>
      </c>
      <c r="EL457">
        <f>IF(ISBLANK('Data Entry'!$Î$457), "", 'Data Entry'!$Î$457)</f>
      </c>
      <c r="EM457">
        <f>IF(ISBLANK('Data Entry'!$Ï$457), "", 'Data Entry'!$Ï$457)</f>
      </c>
      <c r="EN457">
        <f>IF(ISBLANK('Data Entry'!$Ð$457), "", 'Data Entry'!$Ð$457)</f>
      </c>
      <c r="EO457">
        <f>IF(ISBLANK('Data Entry'!$Ñ$457), "", 'Data Entry'!$Ñ$457)</f>
      </c>
      <c r="EP457">
        <f>IF(ISBLANK('Data Entry'!$Ò$457), "", 'Data Entry'!$Ò$457)</f>
      </c>
      <c r="EQ457">
        <f>IF(ISBLANK('Data Entry'!$Ó$457), "", 'Data Entry'!$Ó$457)</f>
      </c>
      <c r="ER457">
        <f>IF(ISBLANK('Data Entry'!$Ô$457), "", 'Data Entry'!$Ô$457)</f>
      </c>
      <c r="ES457">
        <f>IF(ISBLANK('Data Entry'!$Õ$457), "", 'Data Entry'!$Õ$457)</f>
      </c>
      <c r="ET457">
        <f>IF(ISBLANK('Data Entry'!$Ö$457), "", 'Data Entry'!$Ö$457)</f>
      </c>
      <c r="EU457">
        <f>IF(ISBLANK('Data Entry'!$×$457), "", 'Data Entry'!$×$457)</f>
      </c>
      <c r="EV457">
        <f>IF(ISBLANK('Data Entry'!$Ø$457), "", 'Data Entry'!$Ø$457)</f>
      </c>
      <c r="EW457">
        <f>IF(ISBLANK('Data Entry'!$Ù$457), "", 'Data Entry'!$Ù$457)</f>
      </c>
      <c r="EX457">
        <f>IF(ISBLANK('Data Entry'!$Ú$457), "", 'Data Entry'!$Ú$457)</f>
      </c>
      <c r="EY457">
        <f>IF(ISBLANK('Data Entry'!$Û$457), "", 'Data Entry'!$Û$457)</f>
      </c>
      <c r="EZ457">
        <f>IF(ISBLANK('Data Entry'!$Ü$457), "", 'Data Entry'!$Ü$457)</f>
      </c>
      <c r="FA457">
        <f>IF(ISBLANK('Data Entry'!$Ý$457), "", 'Data Entry'!$Ý$457)</f>
      </c>
      <c r="FB457">
        <f>IF(ISBLANK('Data Entry'!$Þ$457), "", 'Data Entry'!$Þ$457)</f>
      </c>
      <c r="FC457">
        <f>IF(ISBLANK('Data Entry'!$ß$457), "", 'Data Entry'!$ß$457)</f>
      </c>
      <c r="FD457">
        <f>IF(ISBLANK('Data Entry'!$à$457), "", 'Data Entry'!$à$457)</f>
      </c>
      <c r="FE457">
        <f>IF(ISBLANK('Data Entry'!$á$457), "", 'Data Entry'!$á$457)</f>
      </c>
      <c r="FF457">
        <f>IF(ISBLANK('Data Entry'!$â$457), "", 'Data Entry'!$â$457)</f>
      </c>
      <c r="FG457">
        <f>IF(ISBLANK('Data Entry'!$ã$457), "", 'Data Entry'!$ã$457)</f>
      </c>
      <c r="FH457">
        <f>IF(ISBLANK('Data Entry'!$ä$457), "", 'Data Entry'!$ä$457)</f>
      </c>
      <c r="FI457">
        <f>IF(ISBLANK('Data Entry'!$å$457), "", 'Data Entry'!$å$457)</f>
      </c>
      <c r="FJ457">
        <f>IF(ISBLANK('Data Entry'!$æ$457), "", 'Data Entry'!$æ$457)</f>
      </c>
      <c r="FK457">
        <f>IF(ISBLANK('Data Entry'!$ç$457), "", 'Data Entry'!$ç$457)</f>
      </c>
      <c r="FL457">
        <f>IF(ISBLANK('Data Entry'!$è$457), "", 'Data Entry'!$è$457)</f>
      </c>
      <c r="FM457">
        <f>IF(ISBLANK('Data Entry'!$é$457), "", 'Data Entry'!$é$457)</f>
      </c>
      <c r="FN457">
        <f>IF(ISBLANK('Data Entry'!$ê$457), "", 'Data Entry'!$ê$457)</f>
      </c>
      <c r="FO457">
        <f>IF(ISBLANK('Data Entry'!$ë$457), "", 'Data Entry'!$ë$457)</f>
      </c>
      <c r="FP457">
        <f>IF(ISBLANK('Data Entry'!$ì$457), "", 'Data Entry'!$ì$457)</f>
      </c>
      <c r="FQ457">
        <f>IF(ISBLANK('Data Entry'!$í$457), "", 'Data Entry'!$í$457)</f>
      </c>
      <c r="FR457">
        <f>IF(ISBLANK('Data Entry'!$î$457), "", 'Data Entry'!$î$457)</f>
      </c>
      <c r="FS457">
        <f>IF(ISBLANK('Data Entry'!$ï$457), "", 'Data Entry'!$ï$457)</f>
      </c>
      <c r="FT457">
        <f>IF(ISBLANK('Data Entry'!$ð$457), "", 'Data Entry'!$ð$457)</f>
      </c>
      <c r="FU457">
        <f>IF(ISBLANK('Data Entry'!$ñ$457), "", 'Data Entry'!$ñ$457)</f>
      </c>
      <c r="FV457">
        <f>IF(ISBLANK('Data Entry'!$ò$457), "", 'Data Entry'!$ò$457)</f>
      </c>
      <c r="FW457">
        <f>IF(ISBLANK('Data Entry'!$ó$457), "", 'Data Entry'!$ó$457)</f>
      </c>
      <c r="FX457">
        <f>IF(ISBLANK('Data Entry'!$ô$457), "", 'Data Entry'!$ô$457)</f>
      </c>
      <c r="FY457">
        <f>IF(ISBLANK('Data Entry'!$õ$457), "", 'Data Entry'!$õ$457)</f>
      </c>
      <c r="FZ457">
        <f>IF(ISBLANK('Data Entry'!$ö$457), "", 'Data Entry'!$ö$457)</f>
      </c>
      <c r="GA457">
        <f>IF(ISBLANK('Data Entry'!$÷$457), "", 'Data Entry'!$÷$457)</f>
      </c>
      <c r="GB457">
        <f>IF(ISBLANK('Data Entry'!$ø$457), "", 'Data Entry'!$ø$457)</f>
      </c>
      <c r="GC457">
        <f>IF(ISBLANK('Data Entry'!$ù$457), "", 'Data Entry'!$ù$457)</f>
      </c>
      <c r="GD457">
        <f>IF(ISBLANK('Data Entry'!$ú$457), "", 'Data Entry'!$ú$457)</f>
      </c>
      <c r="GE457">
        <f>IF(ISBLANK('Data Entry'!$û$457), "", 'Data Entry'!$û$457)</f>
      </c>
      <c r="GF457">
        <f>IF(ISBLANK('Data Entry'!$ü$457), "", 'Data Entry'!$ü$457)</f>
      </c>
      <c r="GG457">
        <f>IF(ISBLANK('Data Entry'!$ý$457), "", 'Data Entry'!$ý$457)</f>
      </c>
      <c r="GH457">
        <f>IF(ISBLANK('Data Entry'!$þ$457), "", 'Data Entry'!$þ$457)</f>
      </c>
      <c r="GI457">
        <f>IF(ISBLANK('Data Entry'!$ÿ$457), "", 'Data Entry'!$ÿ$457)</f>
      </c>
      <c r="GJ457">
        <f>IF(ISBLANK('Data Entry'!$Ā$457), "", 'Data Entry'!$Ā$457)</f>
      </c>
      <c r="GK457">
        <f>IF(ISBLANK('Data Entry'!$ā$457), "", 'Data Entry'!$ā$457)</f>
      </c>
      <c r="GL457">
        <f>IF(ISBLANK('Data Entry'!$Ă$457), "", 'Data Entry'!$Ă$457)</f>
      </c>
      <c r="GM457">
        <f>IF(ISBLANK('Data Entry'!$ă$457), "", 'Data Entry'!$ă$457)</f>
      </c>
      <c r="GN457">
        <f>IF(ISBLANK('Data Entry'!$Ą$457), "", 'Data Entry'!$Ą$457)</f>
      </c>
      <c r="GO457">
        <f>IF(ISBLANK('Data Entry'!$ą$457), "", 'Data Entry'!$ą$457)</f>
      </c>
      <c r="GP457">
        <f>IF(ISBLANK('Data Entry'!$Ć$457), "", 'Data Entry'!$Ć$457)</f>
      </c>
      <c r="GQ457">
        <f>IF(ISBLANK('Data Entry'!$ć$457), "", 'Data Entry'!$ć$457)</f>
      </c>
      <c r="GR457">
        <f>IF(ISBLANK('Data Entry'!$Ĉ$457), "", 'Data Entry'!$Ĉ$457)</f>
      </c>
      <c r="GS457">
        <f>IF(ISBLANK('Data Entry'!$ĉ$457), "", 'Data Entry'!$ĉ$457)</f>
      </c>
      <c r="GT457">
        <f>IF(ISBLANK('Data Entry'!$Ċ$457), "", 'Data Entry'!$Ċ$457)</f>
      </c>
      <c r="GU457">
        <f>IF(ISBLANK('Data Entry'!$ċ$457), "", 'Data Entry'!$ċ$457)</f>
      </c>
      <c r="GV457">
        <f>IF(ISBLANK('Data Entry'!$Č$457), "", 'Data Entry'!$Č$457)</f>
      </c>
      <c r="GW457">
        <f>IF(ISBLANK('Data Entry'!$č$457), "", 'Data Entry'!$č$457)</f>
      </c>
      <c r="GX457">
        <f>IF(ISBLANK('Data Entry'!$Ď$457), "", 'Data Entry'!$Ď$457)</f>
      </c>
      <c r="GY457">
        <f>IF(ISBLANK('Data Entry'!$ď$457), "", 'Data Entry'!$ď$457)</f>
      </c>
      <c r="GZ457">
        <f>IF(ISBLANK('Data Entry'!$Đ$457), "", 'Data Entry'!$Đ$457)</f>
      </c>
      <c r="HA457">
        <f>IF(ISBLANK('Data Entry'!$đ$457), "", 'Data Entry'!$đ$457)</f>
      </c>
      <c r="HB457">
        <f>IF(ISBLANK('Data Entry'!$Ē$457), "", 'Data Entry'!$Ē$457)</f>
      </c>
      <c r="HC457">
        <f>IF(ISBLANK('Data Entry'!$ē$457), "", 'Data Entry'!$ē$457)</f>
      </c>
      <c r="HD457">
        <f>IF(ISBLANK('Data Entry'!$Ĕ$457), "", 'Data Entry'!$Ĕ$457)</f>
      </c>
      <c r="HE457">
        <f>IF(ISBLANK('Data Entry'!$ĕ$457), "", 'Data Entry'!$ĕ$457)</f>
      </c>
      <c r="HF457">
        <f>IF(ISBLANK('Data Entry'!$Ė$457), "", 'Data Entry'!$Ė$457)</f>
      </c>
      <c r="HG457">
        <f>IF(ISBLANK('Data Entry'!$ė$457), "", 'Data Entry'!$ė$457)</f>
      </c>
      <c r="HH457">
        <f>IF(ISBLANK('Data Entry'!$Ę$457), "", 'Data Entry'!$Ę$457)</f>
      </c>
      <c r="HI457">
        <f>IF(ISBLANK('Data Entry'!$ę$457), "", 'Data Entry'!$ę$457)</f>
      </c>
      <c r="HJ457">
        <f>IF(ISBLANK('Data Entry'!$Ě$457), "", 'Data Entry'!$Ě$457)</f>
      </c>
      <c r="HK457">
        <f>IF(ISBLANK('Data Entry'!$ě$457), "", 'Data Entry'!$ě$457)</f>
      </c>
      <c r="HL457">
        <f>IF(ISBLANK('Data Entry'!$Ĝ$457), "", 'Data Entry'!$Ĝ$457)</f>
      </c>
      <c r="HM457">
        <f>IF(ISBLANK('Data Entry'!$ĝ$457), "", 'Data Entry'!$ĝ$457)</f>
      </c>
      <c r="HN457">
        <f>IF(ISBLANK('Data Entry'!$Ğ$457), "", 'Data Entry'!$Ğ$457)</f>
      </c>
      <c r="HO457">
        <f>IF(ISBLANK('Data Entry'!$ğ$457), "", 'Data Entry'!$ğ$457)</f>
      </c>
      <c r="HP457">
        <f>IF(ISBLANK('Data Entry'!$Ġ$457), "", 'Data Entry'!$Ġ$457)</f>
      </c>
      <c r="HQ457">
        <f>IF(ISBLANK('Data Entry'!$ġ$457), "", 'Data Entry'!$ġ$457)</f>
      </c>
      <c r="HR457">
        <f>IF(ISBLANK('Data Entry'!$Ģ$457), "", 'Data Entry'!$Ģ$457)</f>
      </c>
      <c r="HS457">
        <f>IF(ISBLANK('Data Entry'!$ģ$457), "", 'Data Entry'!$ģ$457)</f>
      </c>
      <c r="HT457">
        <f>IF(ISBLANK('Data Entry'!$Ĥ$457), "", 'Data Entry'!$Ĥ$457)</f>
      </c>
      <c r="HU457">
        <f>IF(ISBLANK('Data Entry'!$ĥ$457), "", 'Data Entry'!$ĥ$457)</f>
      </c>
      <c r="HV457">
        <f>IF(ISBLANK('Data Entry'!$Ħ$457), "", 'Data Entry'!$Ħ$457)</f>
      </c>
      <c r="HW457">
        <f>IF(ISBLANK('Data Entry'!$ħ$457), "", 'Data Entry'!$ħ$457)</f>
      </c>
      <c r="HX457">
        <f>IF(ISBLANK('Data Entry'!$Ĩ$457), "", 'Data Entry'!$Ĩ$457)</f>
      </c>
      <c r="HY457">
        <f>IF(ISBLANK('Data Entry'!$ĩ$457), "", 'Data Entry'!$ĩ$457)</f>
      </c>
      <c r="HZ457">
        <f>IF(ISBLANK('Data Entry'!$Ī$457), "", 'Data Entry'!$Ī$457)</f>
      </c>
      <c r="IA457">
        <f>IF(ISBLANK('Data Entry'!$ī$457), "", 'Data Entry'!$ī$457)</f>
      </c>
      <c r="IB457">
        <f>IF(ISBLANK('Data Entry'!$Ĭ$457), "", 'Data Entry'!$Ĭ$457)</f>
      </c>
      <c r="IC457">
        <f>IF(ISBLANK('Data Entry'!$ĭ$457), "", 'Data Entry'!$ĭ$457)</f>
      </c>
      <c r="ID457">
        <f>IF(ISBLANK('Data Entry'!$Į$457), "", 'Data Entry'!$Į$457)</f>
      </c>
      <c r="IE457">
        <f>IF(ISBLANK('Data Entry'!$į$457), "", 'Data Entry'!$į$457)</f>
      </c>
      <c r="IF457">
        <f>IF(ISBLANK('Data Entry'!$İ$457), "", 'Data Entry'!$İ$457)</f>
      </c>
      <c r="IG457">
        <f>IF(ISBLANK('Data Entry'!$ı$457), "", 'Data Entry'!$ı$457)</f>
      </c>
      <c r="IH457">
        <f>IF(ISBLANK('Data Entry'!$Ĳ$457), "", 'Data Entry'!$Ĳ$457)</f>
      </c>
      <c r="II457">
        <f>IF(ISBLANK('Data Entry'!$ĳ$457), "", 'Data Entry'!$ĳ$457)</f>
      </c>
      <c r="IJ457">
        <f>IF(ISBLANK('Data Entry'!$Ĵ$457), "", 'Data Entry'!$Ĵ$457)</f>
      </c>
      <c r="IK457">
        <f>IF(ISBLANK('Data Entry'!$ĵ$457), "", 'Data Entry'!$ĵ$457)</f>
      </c>
      <c r="IL457">
        <f>IF(ISBLANK('Data Entry'!$Ķ$457), "", 'Data Entry'!$Ķ$457)</f>
      </c>
      <c r="IM457">
        <f>IF(ISBLANK('Data Entry'!$ķ$457), "", 'Data Entry'!$ķ$457)</f>
      </c>
      <c r="IN457">
        <f>IF(ISBLANK('Data Entry'!$ĸ$457), "", 'Data Entry'!$ĸ$457)</f>
      </c>
      <c r="IO457">
        <f>IF(ISBLANK('Data Entry'!$Ĺ$457), "", 'Data Entry'!$Ĺ$457)</f>
      </c>
      <c r="IP457">
        <f>IF(ISBLANK('Data Entry'!$ĺ$457), "", 'Data Entry'!$ĺ$457)</f>
      </c>
      <c r="IQ457">
        <f>IF(ISBLANK('Data Entry'!$Ļ$457), "", 'Data Entry'!$Ļ$457)</f>
      </c>
      <c r="IR457">
        <f>IF(ISBLANK('Data Entry'!$ļ$457), "", 'Data Entry'!$ļ$457)</f>
      </c>
      <c r="IS457">
        <f>IF(ISBLANK('Data Entry'!$Ľ$457), "", 'Data Entry'!$Ľ$457)</f>
      </c>
      <c r="IT457">
        <f>IF(ISBLANK('Data Entry'!$ľ$457), "", 'Data Entry'!$ľ$457)</f>
      </c>
    </row>
    <row r="458" spans="1:254" x14ac:dyDescent="0.25">
      <c r="A458">
        <f>IF(ISBLANK('Data Entry'!$A$458), "", 'Data Entry'!$A$458)</f>
      </c>
      <c r="B458">
        <f>IF(ISBLANK('Data Entry'!$B$458), "", 'Data Entry'!$B$458)</f>
      </c>
      <c r="C458">
        <f>IF(ISBLANK('Data Entry'!$C$458), "", 'Data Entry'!$C$458)</f>
      </c>
      <c r="D458">
        <f>IF(ISBLANK('Data Entry'!$D$458), "", 'Data Entry'!$D$458)</f>
      </c>
      <c r="E458">
        <f>IF(ISBLANK('Data Entry'!$E$458), "", 'Data Entry'!$E$458)</f>
      </c>
      <c r="F458">
        <f>IF(ISBLANK('Data Entry'!$F$458), "", 'Data Entry'!$F$458)</f>
      </c>
      <c r="G458">
        <f>IF(ISBLANK('Data Entry'!$G$458), "", 'Data Entry'!$G$458)</f>
      </c>
      <c r="H458">
        <f>IF(ISBLANK('Data Entry'!$H$458), "", 'Data Entry'!$H$458)</f>
      </c>
      <c r="I458">
        <f>IF(ISBLANK('Data Entry'!$I$458), "", 'Data Entry'!$I$458)</f>
      </c>
      <c r="J458">
        <f>IF(ISBLANK('Data Entry'!$J$458), "", 'Data Entry'!$J$458)</f>
      </c>
      <c r="K458">
        <f>IF(ISBLANK('Data Entry'!$K$458), "", 'Data Entry'!$K$458)</f>
      </c>
      <c r="L458">
        <f>IF(ISBLANK('Data Entry'!$L$458), "", 'Data Entry'!$L$458)</f>
      </c>
      <c r="M458">
        <f>IF(ISBLANK('Data Entry'!$M$458), "", 'Data Entry'!$M$458)</f>
      </c>
      <c r="N458">
        <f>IF(ISBLANK('Data Entry'!$N$458), "", 'Data Entry'!$N$458)</f>
      </c>
      <c r="O458">
        <f>IF(ISBLANK('Data Entry'!$O$458), "", 'Data Entry'!$O$458)</f>
      </c>
      <c r="P458">
        <f>IF(ISBLANK('Data Entry'!$P$458), "", 'Data Entry'!$P$458)</f>
      </c>
      <c r="Q458">
        <f>IF(ISBLANK('Data Entry'!$Q$458), "", 'Data Entry'!$Q$458)</f>
      </c>
      <c r="R458">
        <f>IF(ISBLANK('Data Entry'!$R$458), "", 'Data Entry'!$R$458)</f>
      </c>
      <c r="S458">
        <f>IF(ISBLANK('Data Entry'!$S$458), "", 'Data Entry'!$S$458)</f>
      </c>
      <c r="T458">
        <f>IF(ISBLANK('Data Entry'!$T$458), "", 'Data Entry'!$T$458)</f>
      </c>
      <c r="U458">
        <f>IF(ISBLANK('Data Entry'!$U$458), "", 'Data Entry'!$U$458)</f>
      </c>
      <c r="V458">
        <f>IF(ISBLANK('Data Entry'!$V$458), "", 'Data Entry'!$V$458)</f>
      </c>
      <c r="W458">
        <f>IF(ISBLANK('Data Entry'!$W$458), "", 'Data Entry'!$W$458)</f>
      </c>
      <c r="X458">
        <f>IF(ISBLANK('Data Entry'!$X$458), "", 'Data Entry'!$X$458)</f>
      </c>
      <c r="Y458">
        <f>IF(ISBLANK('Data Entry'!$Y$458), "", 'Data Entry'!$Y$458)</f>
      </c>
      <c r="Z458">
        <f>IF(ISBLANK('Data Entry'!$Z$458), "", 'Data Entry'!$Z$458)</f>
      </c>
      <c r="AA458">
        <f>IF(ISBLANK('Data Entry'!$[$458), "", 'Data Entry'!$[$458)</f>
      </c>
      <c r="AB458">
        <f>IF(ISBLANK('Data Entry'!$\$458), "", 'Data Entry'!$\$458)</f>
      </c>
      <c r="AC458">
        <f>IF(ISBLANK('Data Entry'!$]$458), "", 'Data Entry'!$]$458)</f>
      </c>
      <c r="AD458">
        <f>IF(ISBLANK('Data Entry'!$^$458), "", 'Data Entry'!$^$458)</f>
      </c>
      <c r="AE458">
        <f>IF(ISBLANK('Data Entry'!$_$458), "", 'Data Entry'!$_$458)</f>
      </c>
      <c r="AF458">
        <f>IF(ISBLANK('Data Entry'!$`$458), "", 'Data Entry'!$`$458)</f>
      </c>
      <c r="AG458">
        <f>IF(ISBLANK('Data Entry'!$a$458), "", 'Data Entry'!$a$458)</f>
      </c>
      <c r="AH458">
        <f>IF(ISBLANK('Data Entry'!$b$458), "", 'Data Entry'!$b$458)</f>
      </c>
      <c r="AI458">
        <f>IF(ISBLANK('Data Entry'!$c$458), "", 'Data Entry'!$c$458)</f>
      </c>
      <c r="AJ458">
        <f>IF(ISBLANK('Data Entry'!$d$458), "", 'Data Entry'!$d$458)</f>
      </c>
      <c r="AK458">
        <f>IF(ISBLANK('Data Entry'!$e$458), "", 'Data Entry'!$e$458)</f>
      </c>
      <c r="AL458">
        <f>IF(ISBLANK('Data Entry'!$f$458), "", 'Data Entry'!$f$458)</f>
      </c>
      <c r="AM458">
        <f>IF(ISBLANK('Data Entry'!$g$458), "", 'Data Entry'!$g$458)</f>
      </c>
      <c r="AN458">
        <f>IF(ISBLANK('Data Entry'!$h$458), "", 'Data Entry'!$h$458)</f>
      </c>
      <c r="AO458">
        <f>IF(ISBLANK('Data Entry'!$i$458), "", 'Data Entry'!$i$458)</f>
      </c>
      <c r="AP458">
        <f>IF(ISBLANK('Data Entry'!$j$458), "", 'Data Entry'!$j$458)</f>
      </c>
      <c r="AQ458">
        <f>IF(ISBLANK('Data Entry'!$k$458), "", 'Data Entry'!$k$458)</f>
      </c>
      <c r="AR458">
        <f>IF(ISBLANK('Data Entry'!$l$458), "", 'Data Entry'!$l$458)</f>
      </c>
      <c r="AS458">
        <f>IF(ISBLANK('Data Entry'!$m$458), "", 'Data Entry'!$m$458)</f>
      </c>
      <c r="AT458">
        <f>IF(ISBLANK('Data Entry'!$n$458), "", 'Data Entry'!$n$458)</f>
      </c>
      <c r="AU458">
        <f>IF(ISBLANK('Data Entry'!$o$458), "", 'Data Entry'!$o$458)</f>
      </c>
      <c r="AV458">
        <f>IF(ISBLANK('Data Entry'!$p$458), "", 'Data Entry'!$p$458)</f>
      </c>
      <c r="AW458">
        <f>IF(ISBLANK('Data Entry'!$q$458), "", 'Data Entry'!$q$458)</f>
      </c>
      <c r="AX458">
        <f>IF(ISBLANK('Data Entry'!$r$458), "", 'Data Entry'!$r$458)</f>
      </c>
      <c r="AY458">
        <f>IF(ISBLANK('Data Entry'!$s$458), "", 'Data Entry'!$s$458)</f>
      </c>
      <c r="AZ458">
        <f>IF(ISBLANK('Data Entry'!$t$458), "", 'Data Entry'!$t$458)</f>
      </c>
      <c r="BA458">
        <f>IF(ISBLANK('Data Entry'!$u$458), "", 'Data Entry'!$u$458)</f>
      </c>
      <c r="BB458">
        <f>IF(ISBLANK('Data Entry'!$v$458), "", 'Data Entry'!$v$458)</f>
      </c>
      <c r="BC458">
        <f>IF(ISBLANK('Data Entry'!$w$458), "", 'Data Entry'!$w$458)</f>
      </c>
      <c r="BD458">
        <f>IF(ISBLANK('Data Entry'!$x$458), "", 'Data Entry'!$x$458)</f>
      </c>
      <c r="BE458">
        <f>IF(ISBLANK('Data Entry'!$y$458), "", 'Data Entry'!$y$458)</f>
      </c>
      <c r="BF458">
        <f>IF(ISBLANK('Data Entry'!$z$458), "", 'Data Entry'!$z$458)</f>
      </c>
      <c r="BG458">
        <f>IF(ISBLANK('Data Entry'!${$458), "", 'Data Entry'!${$458)</f>
      </c>
      <c r="BH458">
        <f>IF(ISBLANK('Data Entry'!$|$458), "", 'Data Entry'!$|$458)</f>
      </c>
      <c r="BI458">
        <f>IF(ISBLANK('Data Entry'!$}$458), "", 'Data Entry'!$}$458)</f>
      </c>
      <c r="BJ458">
        <f>IF(ISBLANK('Data Entry'!$~$458), "", 'Data Entry'!$~$458)</f>
      </c>
      <c r="BK458">
        <f>IF(ISBLANK('Data Entry'!$$458), "", 'Data Entry'!$$458)</f>
      </c>
      <c r="BL458">
        <f>IF(ISBLANK('Data Entry'!$$458), "", 'Data Entry'!$$458)</f>
      </c>
      <c r="BM458">
        <f>IF(ISBLANK('Data Entry'!$$458), "", 'Data Entry'!$$458)</f>
      </c>
      <c r="BN458">
        <f>IF(ISBLANK('Data Entry'!$$458), "", 'Data Entry'!$$458)</f>
      </c>
      <c r="BO458">
        <f>IF(ISBLANK('Data Entry'!$$458), "", 'Data Entry'!$$458)</f>
      </c>
      <c r="BP458">
        <f>IF(ISBLANK('Data Entry'!$$458), "", 'Data Entry'!$$458)</f>
      </c>
      <c r="BQ458">
        <f>IF(ISBLANK('Data Entry'!$$458), "", 'Data Entry'!$$458)</f>
      </c>
      <c r="BR458">
        <f>IF(ISBLANK('Data Entry'!$$458), "", 'Data Entry'!$$458)</f>
      </c>
      <c r="BS458">
        <f>IF(ISBLANK('Data Entry'!$$458), "", 'Data Entry'!$$458)</f>
      </c>
      <c r="BT458">
        <f>IF(ISBLANK('Data Entry'!$$458), "", 'Data Entry'!$$458)</f>
      </c>
      <c r="BU458">
        <f>IF(ISBLANK('Data Entry'!$$458), "", 'Data Entry'!$$458)</f>
      </c>
      <c r="BV458">
        <f>IF(ISBLANK('Data Entry'!$$458), "", 'Data Entry'!$$458)</f>
      </c>
      <c r="BW458">
        <f>IF(ISBLANK('Data Entry'!$$458), "", 'Data Entry'!$$458)</f>
      </c>
      <c r="BX458">
        <f>IF(ISBLANK('Data Entry'!$$458), "", 'Data Entry'!$$458)</f>
      </c>
      <c r="BY458">
        <f>IF(ISBLANK('Data Entry'!$$458), "", 'Data Entry'!$$458)</f>
      </c>
      <c r="BZ458">
        <f>IF(ISBLANK('Data Entry'!$$458), "", 'Data Entry'!$$458)</f>
      </c>
      <c r="CA458">
        <f>IF(ISBLANK('Data Entry'!$$458), "", 'Data Entry'!$$458)</f>
      </c>
      <c r="CB458">
        <f>IF(ISBLANK('Data Entry'!$$458), "", 'Data Entry'!$$458)</f>
      </c>
      <c r="CC458">
        <f>IF(ISBLANK('Data Entry'!$$458), "", 'Data Entry'!$$458)</f>
      </c>
      <c r="CD458">
        <f>IF(ISBLANK('Data Entry'!$$458), "", 'Data Entry'!$$458)</f>
      </c>
      <c r="CE458">
        <f>IF(ISBLANK('Data Entry'!$$458), "", 'Data Entry'!$$458)</f>
      </c>
      <c r="CF458">
        <f>IF(ISBLANK('Data Entry'!$$458), "", 'Data Entry'!$$458)</f>
      </c>
      <c r="CG458">
        <f>IF(ISBLANK('Data Entry'!$$458), "", 'Data Entry'!$$458)</f>
      </c>
      <c r="CH458">
        <f>IF(ISBLANK('Data Entry'!$$458), "", 'Data Entry'!$$458)</f>
      </c>
      <c r="CI458">
        <f>IF(ISBLANK('Data Entry'!$$458), "", 'Data Entry'!$$458)</f>
      </c>
      <c r="CJ458">
        <f>IF(ISBLANK('Data Entry'!$$458), "", 'Data Entry'!$$458)</f>
      </c>
      <c r="CK458">
        <f>IF(ISBLANK('Data Entry'!$$458), "", 'Data Entry'!$$458)</f>
      </c>
      <c r="CL458">
        <f>IF(ISBLANK('Data Entry'!$$458), "", 'Data Entry'!$$458)</f>
      </c>
      <c r="CM458">
        <f>IF(ISBLANK('Data Entry'!$$458), "", 'Data Entry'!$$458)</f>
      </c>
      <c r="CN458">
        <f>IF(ISBLANK('Data Entry'!$$458), "", 'Data Entry'!$$458)</f>
      </c>
      <c r="CO458">
        <f>IF(ISBLANK('Data Entry'!$$458), "", 'Data Entry'!$$458)</f>
      </c>
      <c r="CP458">
        <f>IF(ISBLANK('Data Entry'!$$458), "", 'Data Entry'!$$458)</f>
      </c>
      <c r="CQ458">
        <f>IF(ISBLANK('Data Entry'!$$458), "", 'Data Entry'!$$458)</f>
      </c>
      <c r="CR458">
        <f>IF(ISBLANK('Data Entry'!$ $458), "", 'Data Entry'!$ $458)</f>
      </c>
      <c r="CS458">
        <f>IF(ISBLANK('Data Entry'!$¡$458), "", 'Data Entry'!$¡$458)</f>
      </c>
      <c r="CT458">
        <f>IF(ISBLANK('Data Entry'!$¢$458), "", 'Data Entry'!$¢$458)</f>
      </c>
      <c r="CU458">
        <f>IF(ISBLANK('Data Entry'!$£$458), "", 'Data Entry'!$£$458)</f>
      </c>
      <c r="CV458">
        <f>IF(ISBLANK('Data Entry'!$¤$458), "", 'Data Entry'!$¤$458)</f>
      </c>
      <c r="CW458">
        <f>IF(ISBLANK('Data Entry'!$¥$458), "", 'Data Entry'!$¥$458)</f>
      </c>
      <c r="CX458">
        <f>IF(ISBLANK('Data Entry'!$¦$458), "", 'Data Entry'!$¦$458)</f>
      </c>
      <c r="CY458">
        <f>IF(ISBLANK('Data Entry'!$§$458), "", 'Data Entry'!$§$458)</f>
      </c>
      <c r="CZ458">
        <f>IF(ISBLANK('Data Entry'!$¨$458), "", 'Data Entry'!$¨$458)</f>
      </c>
      <c r="DA458">
        <f>IF(ISBLANK('Data Entry'!$©$458), "", 'Data Entry'!$©$458)</f>
      </c>
      <c r="DB458">
        <f>IF(ISBLANK('Data Entry'!$ª$458), "", 'Data Entry'!$ª$458)</f>
      </c>
      <c r="DC458">
        <f>IF(ISBLANK('Data Entry'!$«$458), "", 'Data Entry'!$«$458)</f>
      </c>
      <c r="DD458">
        <f>IF(ISBLANK('Data Entry'!$¬$458), "", 'Data Entry'!$¬$458)</f>
      </c>
      <c r="DE458">
        <f>IF(ISBLANK('Data Entry'!$­$458), "", 'Data Entry'!$­$458)</f>
      </c>
      <c r="DF458">
        <f>IF(ISBLANK('Data Entry'!$®$458), "", 'Data Entry'!$®$458)</f>
      </c>
      <c r="DG458">
        <f>IF(ISBLANK('Data Entry'!$¯$458), "", 'Data Entry'!$¯$458)</f>
      </c>
      <c r="DH458">
        <f>IF(ISBLANK('Data Entry'!$°$458), "", 'Data Entry'!$°$458)</f>
      </c>
      <c r="DI458">
        <f>IF(ISBLANK('Data Entry'!$±$458), "", 'Data Entry'!$±$458)</f>
      </c>
      <c r="DJ458">
        <f>IF(ISBLANK('Data Entry'!$²$458), "", 'Data Entry'!$²$458)</f>
      </c>
      <c r="DK458">
        <f>IF(ISBLANK('Data Entry'!$³$458), "", 'Data Entry'!$³$458)</f>
      </c>
      <c r="DL458">
        <f>IF(ISBLANK('Data Entry'!$´$458), "", 'Data Entry'!$´$458)</f>
      </c>
      <c r="DM458">
        <f>IF(ISBLANK('Data Entry'!$µ$458), "", 'Data Entry'!$µ$458)</f>
      </c>
      <c r="DN458">
        <f>IF(ISBLANK('Data Entry'!$¶$458), "", 'Data Entry'!$¶$458)</f>
      </c>
      <c r="DO458">
        <f>IF(ISBLANK('Data Entry'!$·$458), "", 'Data Entry'!$·$458)</f>
      </c>
      <c r="DP458">
        <f>IF(ISBLANK('Data Entry'!$¸$458), "", 'Data Entry'!$¸$458)</f>
      </c>
      <c r="DQ458">
        <f>IF(ISBLANK('Data Entry'!$¹$458), "", 'Data Entry'!$¹$458)</f>
      </c>
      <c r="DR458">
        <f>IF(ISBLANK('Data Entry'!$º$458), "", 'Data Entry'!$º$458)</f>
      </c>
      <c r="DS458">
        <f>IF(ISBLANK('Data Entry'!$»$458), "", 'Data Entry'!$»$458)</f>
      </c>
      <c r="DT458">
        <f>IF(ISBLANK('Data Entry'!$¼$458), "", 'Data Entry'!$¼$458)</f>
      </c>
      <c r="DU458">
        <f>IF(ISBLANK('Data Entry'!$½$458), "", 'Data Entry'!$½$458)</f>
      </c>
      <c r="DV458">
        <f>IF(ISBLANK('Data Entry'!$¾$458), "", 'Data Entry'!$¾$458)</f>
      </c>
      <c r="DW458">
        <f>IF(ISBLANK('Data Entry'!$¿$458), "", 'Data Entry'!$¿$458)</f>
      </c>
      <c r="DX458">
        <f>IF(ISBLANK('Data Entry'!$À$458), "", 'Data Entry'!$À$458)</f>
      </c>
      <c r="DY458">
        <f>IF(ISBLANK('Data Entry'!$Á$458), "", 'Data Entry'!$Á$458)</f>
      </c>
      <c r="DZ458">
        <f>IF(ISBLANK('Data Entry'!$Â$458), "", 'Data Entry'!$Â$458)</f>
      </c>
      <c r="EA458">
        <f>IF(ISBLANK('Data Entry'!$Ã$458), "", 'Data Entry'!$Ã$458)</f>
      </c>
      <c r="EB458">
        <f>IF(ISBLANK('Data Entry'!$Ä$458), "", 'Data Entry'!$Ä$458)</f>
      </c>
      <c r="EC458">
        <f>IF(ISBLANK('Data Entry'!$Å$458), "", 'Data Entry'!$Å$458)</f>
      </c>
      <c r="ED458">
        <f>IF(ISBLANK('Data Entry'!$Æ$458), "", 'Data Entry'!$Æ$458)</f>
      </c>
      <c r="EE458">
        <f>IF(ISBLANK('Data Entry'!$Ç$458), "", 'Data Entry'!$Ç$458)</f>
      </c>
      <c r="EF458">
        <f>IF(ISBLANK('Data Entry'!$È$458), "", 'Data Entry'!$È$458)</f>
      </c>
      <c r="EG458">
        <f>IF(ISBLANK('Data Entry'!$É$458), "", 'Data Entry'!$É$458)</f>
      </c>
      <c r="EH458">
        <f>IF(ISBLANK('Data Entry'!$Ê$458), "", 'Data Entry'!$Ê$458)</f>
      </c>
      <c r="EI458">
        <f>IF(ISBLANK('Data Entry'!$Ë$458), "", 'Data Entry'!$Ë$458)</f>
      </c>
      <c r="EJ458">
        <f>IF(ISBLANK('Data Entry'!$Ì$458), "", 'Data Entry'!$Ì$458)</f>
      </c>
      <c r="EK458">
        <f>IF(ISBLANK('Data Entry'!$Í$458), "", 'Data Entry'!$Í$458)</f>
      </c>
      <c r="EL458">
        <f>IF(ISBLANK('Data Entry'!$Î$458), "", 'Data Entry'!$Î$458)</f>
      </c>
      <c r="EM458">
        <f>IF(ISBLANK('Data Entry'!$Ï$458), "", 'Data Entry'!$Ï$458)</f>
      </c>
      <c r="EN458">
        <f>IF(ISBLANK('Data Entry'!$Ð$458), "", 'Data Entry'!$Ð$458)</f>
      </c>
      <c r="EO458">
        <f>IF(ISBLANK('Data Entry'!$Ñ$458), "", 'Data Entry'!$Ñ$458)</f>
      </c>
      <c r="EP458">
        <f>IF(ISBLANK('Data Entry'!$Ò$458), "", 'Data Entry'!$Ò$458)</f>
      </c>
      <c r="EQ458">
        <f>IF(ISBLANK('Data Entry'!$Ó$458), "", 'Data Entry'!$Ó$458)</f>
      </c>
      <c r="ER458">
        <f>IF(ISBLANK('Data Entry'!$Ô$458), "", 'Data Entry'!$Ô$458)</f>
      </c>
      <c r="ES458">
        <f>IF(ISBLANK('Data Entry'!$Õ$458), "", 'Data Entry'!$Õ$458)</f>
      </c>
      <c r="ET458">
        <f>IF(ISBLANK('Data Entry'!$Ö$458), "", 'Data Entry'!$Ö$458)</f>
      </c>
      <c r="EU458">
        <f>IF(ISBLANK('Data Entry'!$×$458), "", 'Data Entry'!$×$458)</f>
      </c>
      <c r="EV458">
        <f>IF(ISBLANK('Data Entry'!$Ø$458), "", 'Data Entry'!$Ø$458)</f>
      </c>
      <c r="EW458">
        <f>IF(ISBLANK('Data Entry'!$Ù$458), "", 'Data Entry'!$Ù$458)</f>
      </c>
      <c r="EX458">
        <f>IF(ISBLANK('Data Entry'!$Ú$458), "", 'Data Entry'!$Ú$458)</f>
      </c>
      <c r="EY458">
        <f>IF(ISBLANK('Data Entry'!$Û$458), "", 'Data Entry'!$Û$458)</f>
      </c>
      <c r="EZ458">
        <f>IF(ISBLANK('Data Entry'!$Ü$458), "", 'Data Entry'!$Ü$458)</f>
      </c>
      <c r="FA458">
        <f>IF(ISBLANK('Data Entry'!$Ý$458), "", 'Data Entry'!$Ý$458)</f>
      </c>
      <c r="FB458">
        <f>IF(ISBLANK('Data Entry'!$Þ$458), "", 'Data Entry'!$Þ$458)</f>
      </c>
      <c r="FC458">
        <f>IF(ISBLANK('Data Entry'!$ß$458), "", 'Data Entry'!$ß$458)</f>
      </c>
      <c r="FD458">
        <f>IF(ISBLANK('Data Entry'!$à$458), "", 'Data Entry'!$à$458)</f>
      </c>
      <c r="FE458">
        <f>IF(ISBLANK('Data Entry'!$á$458), "", 'Data Entry'!$á$458)</f>
      </c>
      <c r="FF458">
        <f>IF(ISBLANK('Data Entry'!$â$458), "", 'Data Entry'!$â$458)</f>
      </c>
      <c r="FG458">
        <f>IF(ISBLANK('Data Entry'!$ã$458), "", 'Data Entry'!$ã$458)</f>
      </c>
      <c r="FH458">
        <f>IF(ISBLANK('Data Entry'!$ä$458), "", 'Data Entry'!$ä$458)</f>
      </c>
      <c r="FI458">
        <f>IF(ISBLANK('Data Entry'!$å$458), "", 'Data Entry'!$å$458)</f>
      </c>
      <c r="FJ458">
        <f>IF(ISBLANK('Data Entry'!$æ$458), "", 'Data Entry'!$æ$458)</f>
      </c>
      <c r="FK458">
        <f>IF(ISBLANK('Data Entry'!$ç$458), "", 'Data Entry'!$ç$458)</f>
      </c>
      <c r="FL458">
        <f>IF(ISBLANK('Data Entry'!$è$458), "", 'Data Entry'!$è$458)</f>
      </c>
      <c r="FM458">
        <f>IF(ISBLANK('Data Entry'!$é$458), "", 'Data Entry'!$é$458)</f>
      </c>
      <c r="FN458">
        <f>IF(ISBLANK('Data Entry'!$ê$458), "", 'Data Entry'!$ê$458)</f>
      </c>
      <c r="FO458">
        <f>IF(ISBLANK('Data Entry'!$ë$458), "", 'Data Entry'!$ë$458)</f>
      </c>
      <c r="FP458">
        <f>IF(ISBLANK('Data Entry'!$ì$458), "", 'Data Entry'!$ì$458)</f>
      </c>
      <c r="FQ458">
        <f>IF(ISBLANK('Data Entry'!$í$458), "", 'Data Entry'!$í$458)</f>
      </c>
      <c r="FR458">
        <f>IF(ISBLANK('Data Entry'!$î$458), "", 'Data Entry'!$î$458)</f>
      </c>
      <c r="FS458">
        <f>IF(ISBLANK('Data Entry'!$ï$458), "", 'Data Entry'!$ï$458)</f>
      </c>
      <c r="FT458">
        <f>IF(ISBLANK('Data Entry'!$ð$458), "", 'Data Entry'!$ð$458)</f>
      </c>
      <c r="FU458">
        <f>IF(ISBLANK('Data Entry'!$ñ$458), "", 'Data Entry'!$ñ$458)</f>
      </c>
      <c r="FV458">
        <f>IF(ISBLANK('Data Entry'!$ò$458), "", 'Data Entry'!$ò$458)</f>
      </c>
      <c r="FW458">
        <f>IF(ISBLANK('Data Entry'!$ó$458), "", 'Data Entry'!$ó$458)</f>
      </c>
      <c r="FX458">
        <f>IF(ISBLANK('Data Entry'!$ô$458), "", 'Data Entry'!$ô$458)</f>
      </c>
      <c r="FY458">
        <f>IF(ISBLANK('Data Entry'!$õ$458), "", 'Data Entry'!$õ$458)</f>
      </c>
      <c r="FZ458">
        <f>IF(ISBLANK('Data Entry'!$ö$458), "", 'Data Entry'!$ö$458)</f>
      </c>
      <c r="GA458">
        <f>IF(ISBLANK('Data Entry'!$÷$458), "", 'Data Entry'!$÷$458)</f>
      </c>
      <c r="GB458">
        <f>IF(ISBLANK('Data Entry'!$ø$458), "", 'Data Entry'!$ø$458)</f>
      </c>
      <c r="GC458">
        <f>IF(ISBLANK('Data Entry'!$ù$458), "", 'Data Entry'!$ù$458)</f>
      </c>
      <c r="GD458">
        <f>IF(ISBLANK('Data Entry'!$ú$458), "", 'Data Entry'!$ú$458)</f>
      </c>
      <c r="GE458">
        <f>IF(ISBLANK('Data Entry'!$û$458), "", 'Data Entry'!$û$458)</f>
      </c>
      <c r="GF458">
        <f>IF(ISBLANK('Data Entry'!$ü$458), "", 'Data Entry'!$ü$458)</f>
      </c>
      <c r="GG458">
        <f>IF(ISBLANK('Data Entry'!$ý$458), "", 'Data Entry'!$ý$458)</f>
      </c>
      <c r="GH458">
        <f>IF(ISBLANK('Data Entry'!$þ$458), "", 'Data Entry'!$þ$458)</f>
      </c>
      <c r="GI458">
        <f>IF(ISBLANK('Data Entry'!$ÿ$458), "", 'Data Entry'!$ÿ$458)</f>
      </c>
      <c r="GJ458">
        <f>IF(ISBLANK('Data Entry'!$Ā$458), "", 'Data Entry'!$Ā$458)</f>
      </c>
      <c r="GK458">
        <f>IF(ISBLANK('Data Entry'!$ā$458), "", 'Data Entry'!$ā$458)</f>
      </c>
      <c r="GL458">
        <f>IF(ISBLANK('Data Entry'!$Ă$458), "", 'Data Entry'!$Ă$458)</f>
      </c>
      <c r="GM458">
        <f>IF(ISBLANK('Data Entry'!$ă$458), "", 'Data Entry'!$ă$458)</f>
      </c>
      <c r="GN458">
        <f>IF(ISBLANK('Data Entry'!$Ą$458), "", 'Data Entry'!$Ą$458)</f>
      </c>
      <c r="GO458">
        <f>IF(ISBLANK('Data Entry'!$ą$458), "", 'Data Entry'!$ą$458)</f>
      </c>
      <c r="GP458">
        <f>IF(ISBLANK('Data Entry'!$Ć$458), "", 'Data Entry'!$Ć$458)</f>
      </c>
      <c r="GQ458">
        <f>IF(ISBLANK('Data Entry'!$ć$458), "", 'Data Entry'!$ć$458)</f>
      </c>
      <c r="GR458">
        <f>IF(ISBLANK('Data Entry'!$Ĉ$458), "", 'Data Entry'!$Ĉ$458)</f>
      </c>
      <c r="GS458">
        <f>IF(ISBLANK('Data Entry'!$ĉ$458), "", 'Data Entry'!$ĉ$458)</f>
      </c>
      <c r="GT458">
        <f>IF(ISBLANK('Data Entry'!$Ċ$458), "", 'Data Entry'!$Ċ$458)</f>
      </c>
      <c r="GU458">
        <f>IF(ISBLANK('Data Entry'!$ċ$458), "", 'Data Entry'!$ċ$458)</f>
      </c>
      <c r="GV458">
        <f>IF(ISBLANK('Data Entry'!$Č$458), "", 'Data Entry'!$Č$458)</f>
      </c>
      <c r="GW458">
        <f>IF(ISBLANK('Data Entry'!$č$458), "", 'Data Entry'!$č$458)</f>
      </c>
      <c r="GX458">
        <f>IF(ISBLANK('Data Entry'!$Ď$458), "", 'Data Entry'!$Ď$458)</f>
      </c>
      <c r="GY458">
        <f>IF(ISBLANK('Data Entry'!$ď$458), "", 'Data Entry'!$ď$458)</f>
      </c>
      <c r="GZ458">
        <f>IF(ISBLANK('Data Entry'!$Đ$458), "", 'Data Entry'!$Đ$458)</f>
      </c>
      <c r="HA458">
        <f>IF(ISBLANK('Data Entry'!$đ$458), "", 'Data Entry'!$đ$458)</f>
      </c>
      <c r="HB458">
        <f>IF(ISBLANK('Data Entry'!$Ē$458), "", 'Data Entry'!$Ē$458)</f>
      </c>
      <c r="HC458">
        <f>IF(ISBLANK('Data Entry'!$ē$458), "", 'Data Entry'!$ē$458)</f>
      </c>
      <c r="HD458">
        <f>IF(ISBLANK('Data Entry'!$Ĕ$458), "", 'Data Entry'!$Ĕ$458)</f>
      </c>
      <c r="HE458">
        <f>IF(ISBLANK('Data Entry'!$ĕ$458), "", 'Data Entry'!$ĕ$458)</f>
      </c>
      <c r="HF458">
        <f>IF(ISBLANK('Data Entry'!$Ė$458), "", 'Data Entry'!$Ė$458)</f>
      </c>
      <c r="HG458">
        <f>IF(ISBLANK('Data Entry'!$ė$458), "", 'Data Entry'!$ė$458)</f>
      </c>
      <c r="HH458">
        <f>IF(ISBLANK('Data Entry'!$Ę$458), "", 'Data Entry'!$Ę$458)</f>
      </c>
      <c r="HI458">
        <f>IF(ISBLANK('Data Entry'!$ę$458), "", 'Data Entry'!$ę$458)</f>
      </c>
      <c r="HJ458">
        <f>IF(ISBLANK('Data Entry'!$Ě$458), "", 'Data Entry'!$Ě$458)</f>
      </c>
      <c r="HK458">
        <f>IF(ISBLANK('Data Entry'!$ě$458), "", 'Data Entry'!$ě$458)</f>
      </c>
      <c r="HL458">
        <f>IF(ISBLANK('Data Entry'!$Ĝ$458), "", 'Data Entry'!$Ĝ$458)</f>
      </c>
      <c r="HM458">
        <f>IF(ISBLANK('Data Entry'!$ĝ$458), "", 'Data Entry'!$ĝ$458)</f>
      </c>
      <c r="HN458">
        <f>IF(ISBLANK('Data Entry'!$Ğ$458), "", 'Data Entry'!$Ğ$458)</f>
      </c>
      <c r="HO458">
        <f>IF(ISBLANK('Data Entry'!$ğ$458), "", 'Data Entry'!$ğ$458)</f>
      </c>
      <c r="HP458">
        <f>IF(ISBLANK('Data Entry'!$Ġ$458), "", 'Data Entry'!$Ġ$458)</f>
      </c>
      <c r="HQ458">
        <f>IF(ISBLANK('Data Entry'!$ġ$458), "", 'Data Entry'!$ġ$458)</f>
      </c>
      <c r="HR458">
        <f>IF(ISBLANK('Data Entry'!$Ģ$458), "", 'Data Entry'!$Ģ$458)</f>
      </c>
      <c r="HS458">
        <f>IF(ISBLANK('Data Entry'!$ģ$458), "", 'Data Entry'!$ģ$458)</f>
      </c>
      <c r="HT458">
        <f>IF(ISBLANK('Data Entry'!$Ĥ$458), "", 'Data Entry'!$Ĥ$458)</f>
      </c>
      <c r="HU458">
        <f>IF(ISBLANK('Data Entry'!$ĥ$458), "", 'Data Entry'!$ĥ$458)</f>
      </c>
      <c r="HV458">
        <f>IF(ISBLANK('Data Entry'!$Ħ$458), "", 'Data Entry'!$Ħ$458)</f>
      </c>
      <c r="HW458">
        <f>IF(ISBLANK('Data Entry'!$ħ$458), "", 'Data Entry'!$ħ$458)</f>
      </c>
      <c r="HX458">
        <f>IF(ISBLANK('Data Entry'!$Ĩ$458), "", 'Data Entry'!$Ĩ$458)</f>
      </c>
      <c r="HY458">
        <f>IF(ISBLANK('Data Entry'!$ĩ$458), "", 'Data Entry'!$ĩ$458)</f>
      </c>
      <c r="HZ458">
        <f>IF(ISBLANK('Data Entry'!$Ī$458), "", 'Data Entry'!$Ī$458)</f>
      </c>
      <c r="IA458">
        <f>IF(ISBLANK('Data Entry'!$ī$458), "", 'Data Entry'!$ī$458)</f>
      </c>
      <c r="IB458">
        <f>IF(ISBLANK('Data Entry'!$Ĭ$458), "", 'Data Entry'!$Ĭ$458)</f>
      </c>
      <c r="IC458">
        <f>IF(ISBLANK('Data Entry'!$ĭ$458), "", 'Data Entry'!$ĭ$458)</f>
      </c>
      <c r="ID458">
        <f>IF(ISBLANK('Data Entry'!$Į$458), "", 'Data Entry'!$Į$458)</f>
      </c>
      <c r="IE458">
        <f>IF(ISBLANK('Data Entry'!$į$458), "", 'Data Entry'!$į$458)</f>
      </c>
      <c r="IF458">
        <f>IF(ISBLANK('Data Entry'!$İ$458), "", 'Data Entry'!$İ$458)</f>
      </c>
      <c r="IG458">
        <f>IF(ISBLANK('Data Entry'!$ı$458), "", 'Data Entry'!$ı$458)</f>
      </c>
      <c r="IH458">
        <f>IF(ISBLANK('Data Entry'!$Ĳ$458), "", 'Data Entry'!$Ĳ$458)</f>
      </c>
      <c r="II458">
        <f>IF(ISBLANK('Data Entry'!$ĳ$458), "", 'Data Entry'!$ĳ$458)</f>
      </c>
      <c r="IJ458">
        <f>IF(ISBLANK('Data Entry'!$Ĵ$458), "", 'Data Entry'!$Ĵ$458)</f>
      </c>
      <c r="IK458">
        <f>IF(ISBLANK('Data Entry'!$ĵ$458), "", 'Data Entry'!$ĵ$458)</f>
      </c>
      <c r="IL458">
        <f>IF(ISBLANK('Data Entry'!$Ķ$458), "", 'Data Entry'!$Ķ$458)</f>
      </c>
      <c r="IM458">
        <f>IF(ISBLANK('Data Entry'!$ķ$458), "", 'Data Entry'!$ķ$458)</f>
      </c>
      <c r="IN458">
        <f>IF(ISBLANK('Data Entry'!$ĸ$458), "", 'Data Entry'!$ĸ$458)</f>
      </c>
      <c r="IO458">
        <f>IF(ISBLANK('Data Entry'!$Ĺ$458), "", 'Data Entry'!$Ĺ$458)</f>
      </c>
      <c r="IP458">
        <f>IF(ISBLANK('Data Entry'!$ĺ$458), "", 'Data Entry'!$ĺ$458)</f>
      </c>
      <c r="IQ458">
        <f>IF(ISBLANK('Data Entry'!$Ļ$458), "", 'Data Entry'!$Ļ$458)</f>
      </c>
      <c r="IR458">
        <f>IF(ISBLANK('Data Entry'!$ļ$458), "", 'Data Entry'!$ļ$458)</f>
      </c>
      <c r="IS458">
        <f>IF(ISBLANK('Data Entry'!$Ľ$458), "", 'Data Entry'!$Ľ$458)</f>
      </c>
      <c r="IT458">
        <f>IF(ISBLANK('Data Entry'!$ľ$458), "", 'Data Entry'!$ľ$458)</f>
      </c>
    </row>
    <row r="459" spans="1:254" x14ac:dyDescent="0.25">
      <c r="A459">
        <f>IF(ISBLANK('Data Entry'!$A$459), "", 'Data Entry'!$A$459)</f>
      </c>
      <c r="B459">
        <f>IF(ISBLANK('Data Entry'!$B$459), "", 'Data Entry'!$B$459)</f>
      </c>
      <c r="C459">
        <f>IF(ISBLANK('Data Entry'!$C$459), "", 'Data Entry'!$C$459)</f>
      </c>
      <c r="D459">
        <f>IF(ISBLANK('Data Entry'!$D$459), "", 'Data Entry'!$D$459)</f>
      </c>
      <c r="E459">
        <f>IF(ISBLANK('Data Entry'!$E$459), "", 'Data Entry'!$E$459)</f>
      </c>
      <c r="F459">
        <f>IF(ISBLANK('Data Entry'!$F$459), "", 'Data Entry'!$F$459)</f>
      </c>
      <c r="G459">
        <f>IF(ISBLANK('Data Entry'!$G$459), "", 'Data Entry'!$G$459)</f>
      </c>
      <c r="H459">
        <f>IF(ISBLANK('Data Entry'!$H$459), "", 'Data Entry'!$H$459)</f>
      </c>
      <c r="I459">
        <f>IF(ISBLANK('Data Entry'!$I$459), "", 'Data Entry'!$I$459)</f>
      </c>
      <c r="J459">
        <f>IF(ISBLANK('Data Entry'!$J$459), "", 'Data Entry'!$J$459)</f>
      </c>
      <c r="K459">
        <f>IF(ISBLANK('Data Entry'!$K$459), "", 'Data Entry'!$K$459)</f>
      </c>
      <c r="L459">
        <f>IF(ISBLANK('Data Entry'!$L$459), "", 'Data Entry'!$L$459)</f>
      </c>
      <c r="M459">
        <f>IF(ISBLANK('Data Entry'!$M$459), "", 'Data Entry'!$M$459)</f>
      </c>
      <c r="N459">
        <f>IF(ISBLANK('Data Entry'!$N$459), "", 'Data Entry'!$N$459)</f>
      </c>
      <c r="O459">
        <f>IF(ISBLANK('Data Entry'!$O$459), "", 'Data Entry'!$O$459)</f>
      </c>
      <c r="P459">
        <f>IF(ISBLANK('Data Entry'!$P$459), "", 'Data Entry'!$P$459)</f>
      </c>
      <c r="Q459">
        <f>IF(ISBLANK('Data Entry'!$Q$459), "", 'Data Entry'!$Q$459)</f>
      </c>
      <c r="R459">
        <f>IF(ISBLANK('Data Entry'!$R$459), "", 'Data Entry'!$R$459)</f>
      </c>
      <c r="S459">
        <f>IF(ISBLANK('Data Entry'!$S$459), "", 'Data Entry'!$S$459)</f>
      </c>
      <c r="T459">
        <f>IF(ISBLANK('Data Entry'!$T$459), "", 'Data Entry'!$T$459)</f>
      </c>
      <c r="U459">
        <f>IF(ISBLANK('Data Entry'!$U$459), "", 'Data Entry'!$U$459)</f>
      </c>
      <c r="V459">
        <f>IF(ISBLANK('Data Entry'!$V$459), "", 'Data Entry'!$V$459)</f>
      </c>
      <c r="W459">
        <f>IF(ISBLANK('Data Entry'!$W$459), "", 'Data Entry'!$W$459)</f>
      </c>
      <c r="X459">
        <f>IF(ISBLANK('Data Entry'!$X$459), "", 'Data Entry'!$X$459)</f>
      </c>
      <c r="Y459">
        <f>IF(ISBLANK('Data Entry'!$Y$459), "", 'Data Entry'!$Y$459)</f>
      </c>
      <c r="Z459">
        <f>IF(ISBLANK('Data Entry'!$Z$459), "", 'Data Entry'!$Z$459)</f>
      </c>
      <c r="AA459">
        <f>IF(ISBLANK('Data Entry'!$[$459), "", 'Data Entry'!$[$459)</f>
      </c>
      <c r="AB459">
        <f>IF(ISBLANK('Data Entry'!$\$459), "", 'Data Entry'!$\$459)</f>
      </c>
      <c r="AC459">
        <f>IF(ISBLANK('Data Entry'!$]$459), "", 'Data Entry'!$]$459)</f>
      </c>
      <c r="AD459">
        <f>IF(ISBLANK('Data Entry'!$^$459), "", 'Data Entry'!$^$459)</f>
      </c>
      <c r="AE459">
        <f>IF(ISBLANK('Data Entry'!$_$459), "", 'Data Entry'!$_$459)</f>
      </c>
      <c r="AF459">
        <f>IF(ISBLANK('Data Entry'!$`$459), "", 'Data Entry'!$`$459)</f>
      </c>
      <c r="AG459">
        <f>IF(ISBLANK('Data Entry'!$a$459), "", 'Data Entry'!$a$459)</f>
      </c>
      <c r="AH459">
        <f>IF(ISBLANK('Data Entry'!$b$459), "", 'Data Entry'!$b$459)</f>
      </c>
      <c r="AI459">
        <f>IF(ISBLANK('Data Entry'!$c$459), "", 'Data Entry'!$c$459)</f>
      </c>
      <c r="AJ459">
        <f>IF(ISBLANK('Data Entry'!$d$459), "", 'Data Entry'!$d$459)</f>
      </c>
      <c r="AK459">
        <f>IF(ISBLANK('Data Entry'!$e$459), "", 'Data Entry'!$e$459)</f>
      </c>
      <c r="AL459">
        <f>IF(ISBLANK('Data Entry'!$f$459), "", 'Data Entry'!$f$459)</f>
      </c>
      <c r="AM459">
        <f>IF(ISBLANK('Data Entry'!$g$459), "", 'Data Entry'!$g$459)</f>
      </c>
      <c r="AN459">
        <f>IF(ISBLANK('Data Entry'!$h$459), "", 'Data Entry'!$h$459)</f>
      </c>
      <c r="AO459">
        <f>IF(ISBLANK('Data Entry'!$i$459), "", 'Data Entry'!$i$459)</f>
      </c>
      <c r="AP459">
        <f>IF(ISBLANK('Data Entry'!$j$459), "", 'Data Entry'!$j$459)</f>
      </c>
      <c r="AQ459">
        <f>IF(ISBLANK('Data Entry'!$k$459), "", 'Data Entry'!$k$459)</f>
      </c>
      <c r="AR459">
        <f>IF(ISBLANK('Data Entry'!$l$459), "", 'Data Entry'!$l$459)</f>
      </c>
      <c r="AS459">
        <f>IF(ISBLANK('Data Entry'!$m$459), "", 'Data Entry'!$m$459)</f>
      </c>
      <c r="AT459">
        <f>IF(ISBLANK('Data Entry'!$n$459), "", 'Data Entry'!$n$459)</f>
      </c>
      <c r="AU459">
        <f>IF(ISBLANK('Data Entry'!$o$459), "", 'Data Entry'!$o$459)</f>
      </c>
      <c r="AV459">
        <f>IF(ISBLANK('Data Entry'!$p$459), "", 'Data Entry'!$p$459)</f>
      </c>
      <c r="AW459">
        <f>IF(ISBLANK('Data Entry'!$q$459), "", 'Data Entry'!$q$459)</f>
      </c>
      <c r="AX459">
        <f>IF(ISBLANK('Data Entry'!$r$459), "", 'Data Entry'!$r$459)</f>
      </c>
      <c r="AY459">
        <f>IF(ISBLANK('Data Entry'!$s$459), "", 'Data Entry'!$s$459)</f>
      </c>
      <c r="AZ459">
        <f>IF(ISBLANK('Data Entry'!$t$459), "", 'Data Entry'!$t$459)</f>
      </c>
      <c r="BA459">
        <f>IF(ISBLANK('Data Entry'!$u$459), "", 'Data Entry'!$u$459)</f>
      </c>
      <c r="BB459">
        <f>IF(ISBLANK('Data Entry'!$v$459), "", 'Data Entry'!$v$459)</f>
      </c>
      <c r="BC459">
        <f>IF(ISBLANK('Data Entry'!$w$459), "", 'Data Entry'!$w$459)</f>
      </c>
      <c r="BD459">
        <f>IF(ISBLANK('Data Entry'!$x$459), "", 'Data Entry'!$x$459)</f>
      </c>
      <c r="BE459">
        <f>IF(ISBLANK('Data Entry'!$y$459), "", 'Data Entry'!$y$459)</f>
      </c>
      <c r="BF459">
        <f>IF(ISBLANK('Data Entry'!$z$459), "", 'Data Entry'!$z$459)</f>
      </c>
      <c r="BG459">
        <f>IF(ISBLANK('Data Entry'!${$459), "", 'Data Entry'!${$459)</f>
      </c>
      <c r="BH459">
        <f>IF(ISBLANK('Data Entry'!$|$459), "", 'Data Entry'!$|$459)</f>
      </c>
      <c r="BI459">
        <f>IF(ISBLANK('Data Entry'!$}$459), "", 'Data Entry'!$}$459)</f>
      </c>
      <c r="BJ459">
        <f>IF(ISBLANK('Data Entry'!$~$459), "", 'Data Entry'!$~$459)</f>
      </c>
      <c r="BK459">
        <f>IF(ISBLANK('Data Entry'!$$459), "", 'Data Entry'!$$459)</f>
      </c>
      <c r="BL459">
        <f>IF(ISBLANK('Data Entry'!$$459), "", 'Data Entry'!$$459)</f>
      </c>
      <c r="BM459">
        <f>IF(ISBLANK('Data Entry'!$$459), "", 'Data Entry'!$$459)</f>
      </c>
      <c r="BN459">
        <f>IF(ISBLANK('Data Entry'!$$459), "", 'Data Entry'!$$459)</f>
      </c>
      <c r="BO459">
        <f>IF(ISBLANK('Data Entry'!$$459), "", 'Data Entry'!$$459)</f>
      </c>
      <c r="BP459">
        <f>IF(ISBLANK('Data Entry'!$$459), "", 'Data Entry'!$$459)</f>
      </c>
      <c r="BQ459">
        <f>IF(ISBLANK('Data Entry'!$$459), "", 'Data Entry'!$$459)</f>
      </c>
      <c r="BR459">
        <f>IF(ISBLANK('Data Entry'!$$459), "", 'Data Entry'!$$459)</f>
      </c>
      <c r="BS459">
        <f>IF(ISBLANK('Data Entry'!$$459), "", 'Data Entry'!$$459)</f>
      </c>
      <c r="BT459">
        <f>IF(ISBLANK('Data Entry'!$$459), "", 'Data Entry'!$$459)</f>
      </c>
      <c r="BU459">
        <f>IF(ISBLANK('Data Entry'!$$459), "", 'Data Entry'!$$459)</f>
      </c>
      <c r="BV459">
        <f>IF(ISBLANK('Data Entry'!$$459), "", 'Data Entry'!$$459)</f>
      </c>
      <c r="BW459">
        <f>IF(ISBLANK('Data Entry'!$$459), "", 'Data Entry'!$$459)</f>
      </c>
      <c r="BX459">
        <f>IF(ISBLANK('Data Entry'!$$459), "", 'Data Entry'!$$459)</f>
      </c>
      <c r="BY459">
        <f>IF(ISBLANK('Data Entry'!$$459), "", 'Data Entry'!$$459)</f>
      </c>
      <c r="BZ459">
        <f>IF(ISBLANK('Data Entry'!$$459), "", 'Data Entry'!$$459)</f>
      </c>
      <c r="CA459">
        <f>IF(ISBLANK('Data Entry'!$$459), "", 'Data Entry'!$$459)</f>
      </c>
      <c r="CB459">
        <f>IF(ISBLANK('Data Entry'!$$459), "", 'Data Entry'!$$459)</f>
      </c>
      <c r="CC459">
        <f>IF(ISBLANK('Data Entry'!$$459), "", 'Data Entry'!$$459)</f>
      </c>
      <c r="CD459">
        <f>IF(ISBLANK('Data Entry'!$$459), "", 'Data Entry'!$$459)</f>
      </c>
      <c r="CE459">
        <f>IF(ISBLANK('Data Entry'!$$459), "", 'Data Entry'!$$459)</f>
      </c>
      <c r="CF459">
        <f>IF(ISBLANK('Data Entry'!$$459), "", 'Data Entry'!$$459)</f>
      </c>
      <c r="CG459">
        <f>IF(ISBLANK('Data Entry'!$$459), "", 'Data Entry'!$$459)</f>
      </c>
      <c r="CH459">
        <f>IF(ISBLANK('Data Entry'!$$459), "", 'Data Entry'!$$459)</f>
      </c>
      <c r="CI459">
        <f>IF(ISBLANK('Data Entry'!$$459), "", 'Data Entry'!$$459)</f>
      </c>
      <c r="CJ459">
        <f>IF(ISBLANK('Data Entry'!$$459), "", 'Data Entry'!$$459)</f>
      </c>
      <c r="CK459">
        <f>IF(ISBLANK('Data Entry'!$$459), "", 'Data Entry'!$$459)</f>
      </c>
      <c r="CL459">
        <f>IF(ISBLANK('Data Entry'!$$459), "", 'Data Entry'!$$459)</f>
      </c>
      <c r="CM459">
        <f>IF(ISBLANK('Data Entry'!$$459), "", 'Data Entry'!$$459)</f>
      </c>
      <c r="CN459">
        <f>IF(ISBLANK('Data Entry'!$$459), "", 'Data Entry'!$$459)</f>
      </c>
      <c r="CO459">
        <f>IF(ISBLANK('Data Entry'!$$459), "", 'Data Entry'!$$459)</f>
      </c>
      <c r="CP459">
        <f>IF(ISBLANK('Data Entry'!$$459), "", 'Data Entry'!$$459)</f>
      </c>
      <c r="CQ459">
        <f>IF(ISBLANK('Data Entry'!$$459), "", 'Data Entry'!$$459)</f>
      </c>
      <c r="CR459">
        <f>IF(ISBLANK('Data Entry'!$ $459), "", 'Data Entry'!$ $459)</f>
      </c>
      <c r="CS459">
        <f>IF(ISBLANK('Data Entry'!$¡$459), "", 'Data Entry'!$¡$459)</f>
      </c>
      <c r="CT459">
        <f>IF(ISBLANK('Data Entry'!$¢$459), "", 'Data Entry'!$¢$459)</f>
      </c>
      <c r="CU459">
        <f>IF(ISBLANK('Data Entry'!$£$459), "", 'Data Entry'!$£$459)</f>
      </c>
      <c r="CV459">
        <f>IF(ISBLANK('Data Entry'!$¤$459), "", 'Data Entry'!$¤$459)</f>
      </c>
      <c r="CW459">
        <f>IF(ISBLANK('Data Entry'!$¥$459), "", 'Data Entry'!$¥$459)</f>
      </c>
      <c r="CX459">
        <f>IF(ISBLANK('Data Entry'!$¦$459), "", 'Data Entry'!$¦$459)</f>
      </c>
      <c r="CY459">
        <f>IF(ISBLANK('Data Entry'!$§$459), "", 'Data Entry'!$§$459)</f>
      </c>
      <c r="CZ459">
        <f>IF(ISBLANK('Data Entry'!$¨$459), "", 'Data Entry'!$¨$459)</f>
      </c>
      <c r="DA459">
        <f>IF(ISBLANK('Data Entry'!$©$459), "", 'Data Entry'!$©$459)</f>
      </c>
      <c r="DB459">
        <f>IF(ISBLANK('Data Entry'!$ª$459), "", 'Data Entry'!$ª$459)</f>
      </c>
      <c r="DC459">
        <f>IF(ISBLANK('Data Entry'!$«$459), "", 'Data Entry'!$«$459)</f>
      </c>
      <c r="DD459">
        <f>IF(ISBLANK('Data Entry'!$¬$459), "", 'Data Entry'!$¬$459)</f>
      </c>
      <c r="DE459">
        <f>IF(ISBLANK('Data Entry'!$­$459), "", 'Data Entry'!$­$459)</f>
      </c>
      <c r="DF459">
        <f>IF(ISBLANK('Data Entry'!$®$459), "", 'Data Entry'!$®$459)</f>
      </c>
      <c r="DG459">
        <f>IF(ISBLANK('Data Entry'!$¯$459), "", 'Data Entry'!$¯$459)</f>
      </c>
      <c r="DH459">
        <f>IF(ISBLANK('Data Entry'!$°$459), "", 'Data Entry'!$°$459)</f>
      </c>
      <c r="DI459">
        <f>IF(ISBLANK('Data Entry'!$±$459), "", 'Data Entry'!$±$459)</f>
      </c>
      <c r="DJ459">
        <f>IF(ISBLANK('Data Entry'!$²$459), "", 'Data Entry'!$²$459)</f>
      </c>
      <c r="DK459">
        <f>IF(ISBLANK('Data Entry'!$³$459), "", 'Data Entry'!$³$459)</f>
      </c>
      <c r="DL459">
        <f>IF(ISBLANK('Data Entry'!$´$459), "", 'Data Entry'!$´$459)</f>
      </c>
      <c r="DM459">
        <f>IF(ISBLANK('Data Entry'!$µ$459), "", 'Data Entry'!$µ$459)</f>
      </c>
      <c r="DN459">
        <f>IF(ISBLANK('Data Entry'!$¶$459), "", 'Data Entry'!$¶$459)</f>
      </c>
      <c r="DO459">
        <f>IF(ISBLANK('Data Entry'!$·$459), "", 'Data Entry'!$·$459)</f>
      </c>
      <c r="DP459">
        <f>IF(ISBLANK('Data Entry'!$¸$459), "", 'Data Entry'!$¸$459)</f>
      </c>
      <c r="DQ459">
        <f>IF(ISBLANK('Data Entry'!$¹$459), "", 'Data Entry'!$¹$459)</f>
      </c>
      <c r="DR459">
        <f>IF(ISBLANK('Data Entry'!$º$459), "", 'Data Entry'!$º$459)</f>
      </c>
      <c r="DS459">
        <f>IF(ISBLANK('Data Entry'!$»$459), "", 'Data Entry'!$»$459)</f>
      </c>
      <c r="DT459">
        <f>IF(ISBLANK('Data Entry'!$¼$459), "", 'Data Entry'!$¼$459)</f>
      </c>
      <c r="DU459">
        <f>IF(ISBLANK('Data Entry'!$½$459), "", 'Data Entry'!$½$459)</f>
      </c>
      <c r="DV459">
        <f>IF(ISBLANK('Data Entry'!$¾$459), "", 'Data Entry'!$¾$459)</f>
      </c>
      <c r="DW459">
        <f>IF(ISBLANK('Data Entry'!$¿$459), "", 'Data Entry'!$¿$459)</f>
      </c>
      <c r="DX459">
        <f>IF(ISBLANK('Data Entry'!$À$459), "", 'Data Entry'!$À$459)</f>
      </c>
      <c r="DY459">
        <f>IF(ISBLANK('Data Entry'!$Á$459), "", 'Data Entry'!$Á$459)</f>
      </c>
      <c r="DZ459">
        <f>IF(ISBLANK('Data Entry'!$Â$459), "", 'Data Entry'!$Â$459)</f>
      </c>
      <c r="EA459">
        <f>IF(ISBLANK('Data Entry'!$Ã$459), "", 'Data Entry'!$Ã$459)</f>
      </c>
      <c r="EB459">
        <f>IF(ISBLANK('Data Entry'!$Ä$459), "", 'Data Entry'!$Ä$459)</f>
      </c>
      <c r="EC459">
        <f>IF(ISBLANK('Data Entry'!$Å$459), "", 'Data Entry'!$Å$459)</f>
      </c>
      <c r="ED459">
        <f>IF(ISBLANK('Data Entry'!$Æ$459), "", 'Data Entry'!$Æ$459)</f>
      </c>
      <c r="EE459">
        <f>IF(ISBLANK('Data Entry'!$Ç$459), "", 'Data Entry'!$Ç$459)</f>
      </c>
      <c r="EF459">
        <f>IF(ISBLANK('Data Entry'!$È$459), "", 'Data Entry'!$È$459)</f>
      </c>
      <c r="EG459">
        <f>IF(ISBLANK('Data Entry'!$É$459), "", 'Data Entry'!$É$459)</f>
      </c>
      <c r="EH459">
        <f>IF(ISBLANK('Data Entry'!$Ê$459), "", 'Data Entry'!$Ê$459)</f>
      </c>
      <c r="EI459">
        <f>IF(ISBLANK('Data Entry'!$Ë$459), "", 'Data Entry'!$Ë$459)</f>
      </c>
      <c r="EJ459">
        <f>IF(ISBLANK('Data Entry'!$Ì$459), "", 'Data Entry'!$Ì$459)</f>
      </c>
      <c r="EK459">
        <f>IF(ISBLANK('Data Entry'!$Í$459), "", 'Data Entry'!$Í$459)</f>
      </c>
      <c r="EL459">
        <f>IF(ISBLANK('Data Entry'!$Î$459), "", 'Data Entry'!$Î$459)</f>
      </c>
      <c r="EM459">
        <f>IF(ISBLANK('Data Entry'!$Ï$459), "", 'Data Entry'!$Ï$459)</f>
      </c>
      <c r="EN459">
        <f>IF(ISBLANK('Data Entry'!$Ð$459), "", 'Data Entry'!$Ð$459)</f>
      </c>
      <c r="EO459">
        <f>IF(ISBLANK('Data Entry'!$Ñ$459), "", 'Data Entry'!$Ñ$459)</f>
      </c>
      <c r="EP459">
        <f>IF(ISBLANK('Data Entry'!$Ò$459), "", 'Data Entry'!$Ò$459)</f>
      </c>
      <c r="EQ459">
        <f>IF(ISBLANK('Data Entry'!$Ó$459), "", 'Data Entry'!$Ó$459)</f>
      </c>
      <c r="ER459">
        <f>IF(ISBLANK('Data Entry'!$Ô$459), "", 'Data Entry'!$Ô$459)</f>
      </c>
      <c r="ES459">
        <f>IF(ISBLANK('Data Entry'!$Õ$459), "", 'Data Entry'!$Õ$459)</f>
      </c>
      <c r="ET459">
        <f>IF(ISBLANK('Data Entry'!$Ö$459), "", 'Data Entry'!$Ö$459)</f>
      </c>
      <c r="EU459">
        <f>IF(ISBLANK('Data Entry'!$×$459), "", 'Data Entry'!$×$459)</f>
      </c>
      <c r="EV459">
        <f>IF(ISBLANK('Data Entry'!$Ø$459), "", 'Data Entry'!$Ø$459)</f>
      </c>
      <c r="EW459">
        <f>IF(ISBLANK('Data Entry'!$Ù$459), "", 'Data Entry'!$Ù$459)</f>
      </c>
      <c r="EX459">
        <f>IF(ISBLANK('Data Entry'!$Ú$459), "", 'Data Entry'!$Ú$459)</f>
      </c>
      <c r="EY459">
        <f>IF(ISBLANK('Data Entry'!$Û$459), "", 'Data Entry'!$Û$459)</f>
      </c>
      <c r="EZ459">
        <f>IF(ISBLANK('Data Entry'!$Ü$459), "", 'Data Entry'!$Ü$459)</f>
      </c>
      <c r="FA459">
        <f>IF(ISBLANK('Data Entry'!$Ý$459), "", 'Data Entry'!$Ý$459)</f>
      </c>
      <c r="FB459">
        <f>IF(ISBLANK('Data Entry'!$Þ$459), "", 'Data Entry'!$Þ$459)</f>
      </c>
      <c r="FC459">
        <f>IF(ISBLANK('Data Entry'!$ß$459), "", 'Data Entry'!$ß$459)</f>
      </c>
      <c r="FD459">
        <f>IF(ISBLANK('Data Entry'!$à$459), "", 'Data Entry'!$à$459)</f>
      </c>
      <c r="FE459">
        <f>IF(ISBLANK('Data Entry'!$á$459), "", 'Data Entry'!$á$459)</f>
      </c>
      <c r="FF459">
        <f>IF(ISBLANK('Data Entry'!$â$459), "", 'Data Entry'!$â$459)</f>
      </c>
      <c r="FG459">
        <f>IF(ISBLANK('Data Entry'!$ã$459), "", 'Data Entry'!$ã$459)</f>
      </c>
      <c r="FH459">
        <f>IF(ISBLANK('Data Entry'!$ä$459), "", 'Data Entry'!$ä$459)</f>
      </c>
      <c r="FI459">
        <f>IF(ISBLANK('Data Entry'!$å$459), "", 'Data Entry'!$å$459)</f>
      </c>
      <c r="FJ459">
        <f>IF(ISBLANK('Data Entry'!$æ$459), "", 'Data Entry'!$æ$459)</f>
      </c>
      <c r="FK459">
        <f>IF(ISBLANK('Data Entry'!$ç$459), "", 'Data Entry'!$ç$459)</f>
      </c>
      <c r="FL459">
        <f>IF(ISBLANK('Data Entry'!$è$459), "", 'Data Entry'!$è$459)</f>
      </c>
      <c r="FM459">
        <f>IF(ISBLANK('Data Entry'!$é$459), "", 'Data Entry'!$é$459)</f>
      </c>
      <c r="FN459">
        <f>IF(ISBLANK('Data Entry'!$ê$459), "", 'Data Entry'!$ê$459)</f>
      </c>
      <c r="FO459">
        <f>IF(ISBLANK('Data Entry'!$ë$459), "", 'Data Entry'!$ë$459)</f>
      </c>
      <c r="FP459">
        <f>IF(ISBLANK('Data Entry'!$ì$459), "", 'Data Entry'!$ì$459)</f>
      </c>
      <c r="FQ459">
        <f>IF(ISBLANK('Data Entry'!$í$459), "", 'Data Entry'!$í$459)</f>
      </c>
      <c r="FR459">
        <f>IF(ISBLANK('Data Entry'!$î$459), "", 'Data Entry'!$î$459)</f>
      </c>
      <c r="FS459">
        <f>IF(ISBLANK('Data Entry'!$ï$459), "", 'Data Entry'!$ï$459)</f>
      </c>
      <c r="FT459">
        <f>IF(ISBLANK('Data Entry'!$ð$459), "", 'Data Entry'!$ð$459)</f>
      </c>
      <c r="FU459">
        <f>IF(ISBLANK('Data Entry'!$ñ$459), "", 'Data Entry'!$ñ$459)</f>
      </c>
      <c r="FV459">
        <f>IF(ISBLANK('Data Entry'!$ò$459), "", 'Data Entry'!$ò$459)</f>
      </c>
      <c r="FW459">
        <f>IF(ISBLANK('Data Entry'!$ó$459), "", 'Data Entry'!$ó$459)</f>
      </c>
      <c r="FX459">
        <f>IF(ISBLANK('Data Entry'!$ô$459), "", 'Data Entry'!$ô$459)</f>
      </c>
      <c r="FY459">
        <f>IF(ISBLANK('Data Entry'!$õ$459), "", 'Data Entry'!$õ$459)</f>
      </c>
      <c r="FZ459">
        <f>IF(ISBLANK('Data Entry'!$ö$459), "", 'Data Entry'!$ö$459)</f>
      </c>
      <c r="GA459">
        <f>IF(ISBLANK('Data Entry'!$÷$459), "", 'Data Entry'!$÷$459)</f>
      </c>
      <c r="GB459">
        <f>IF(ISBLANK('Data Entry'!$ø$459), "", 'Data Entry'!$ø$459)</f>
      </c>
      <c r="GC459">
        <f>IF(ISBLANK('Data Entry'!$ù$459), "", 'Data Entry'!$ù$459)</f>
      </c>
      <c r="GD459">
        <f>IF(ISBLANK('Data Entry'!$ú$459), "", 'Data Entry'!$ú$459)</f>
      </c>
      <c r="GE459">
        <f>IF(ISBLANK('Data Entry'!$û$459), "", 'Data Entry'!$û$459)</f>
      </c>
      <c r="GF459">
        <f>IF(ISBLANK('Data Entry'!$ü$459), "", 'Data Entry'!$ü$459)</f>
      </c>
      <c r="GG459">
        <f>IF(ISBLANK('Data Entry'!$ý$459), "", 'Data Entry'!$ý$459)</f>
      </c>
      <c r="GH459">
        <f>IF(ISBLANK('Data Entry'!$þ$459), "", 'Data Entry'!$þ$459)</f>
      </c>
      <c r="GI459">
        <f>IF(ISBLANK('Data Entry'!$ÿ$459), "", 'Data Entry'!$ÿ$459)</f>
      </c>
      <c r="GJ459">
        <f>IF(ISBLANK('Data Entry'!$Ā$459), "", 'Data Entry'!$Ā$459)</f>
      </c>
      <c r="GK459">
        <f>IF(ISBLANK('Data Entry'!$ā$459), "", 'Data Entry'!$ā$459)</f>
      </c>
      <c r="GL459">
        <f>IF(ISBLANK('Data Entry'!$Ă$459), "", 'Data Entry'!$Ă$459)</f>
      </c>
      <c r="GM459">
        <f>IF(ISBLANK('Data Entry'!$ă$459), "", 'Data Entry'!$ă$459)</f>
      </c>
      <c r="GN459">
        <f>IF(ISBLANK('Data Entry'!$Ą$459), "", 'Data Entry'!$Ą$459)</f>
      </c>
      <c r="GO459">
        <f>IF(ISBLANK('Data Entry'!$ą$459), "", 'Data Entry'!$ą$459)</f>
      </c>
      <c r="GP459">
        <f>IF(ISBLANK('Data Entry'!$Ć$459), "", 'Data Entry'!$Ć$459)</f>
      </c>
      <c r="GQ459">
        <f>IF(ISBLANK('Data Entry'!$ć$459), "", 'Data Entry'!$ć$459)</f>
      </c>
      <c r="GR459">
        <f>IF(ISBLANK('Data Entry'!$Ĉ$459), "", 'Data Entry'!$Ĉ$459)</f>
      </c>
      <c r="GS459">
        <f>IF(ISBLANK('Data Entry'!$ĉ$459), "", 'Data Entry'!$ĉ$459)</f>
      </c>
      <c r="GT459">
        <f>IF(ISBLANK('Data Entry'!$Ċ$459), "", 'Data Entry'!$Ċ$459)</f>
      </c>
      <c r="GU459">
        <f>IF(ISBLANK('Data Entry'!$ċ$459), "", 'Data Entry'!$ċ$459)</f>
      </c>
      <c r="GV459">
        <f>IF(ISBLANK('Data Entry'!$Č$459), "", 'Data Entry'!$Č$459)</f>
      </c>
      <c r="GW459">
        <f>IF(ISBLANK('Data Entry'!$č$459), "", 'Data Entry'!$č$459)</f>
      </c>
      <c r="GX459">
        <f>IF(ISBLANK('Data Entry'!$Ď$459), "", 'Data Entry'!$Ď$459)</f>
      </c>
      <c r="GY459">
        <f>IF(ISBLANK('Data Entry'!$ď$459), "", 'Data Entry'!$ď$459)</f>
      </c>
      <c r="GZ459">
        <f>IF(ISBLANK('Data Entry'!$Đ$459), "", 'Data Entry'!$Đ$459)</f>
      </c>
      <c r="HA459">
        <f>IF(ISBLANK('Data Entry'!$đ$459), "", 'Data Entry'!$đ$459)</f>
      </c>
      <c r="HB459">
        <f>IF(ISBLANK('Data Entry'!$Ē$459), "", 'Data Entry'!$Ē$459)</f>
      </c>
      <c r="HC459">
        <f>IF(ISBLANK('Data Entry'!$ē$459), "", 'Data Entry'!$ē$459)</f>
      </c>
      <c r="HD459">
        <f>IF(ISBLANK('Data Entry'!$Ĕ$459), "", 'Data Entry'!$Ĕ$459)</f>
      </c>
      <c r="HE459">
        <f>IF(ISBLANK('Data Entry'!$ĕ$459), "", 'Data Entry'!$ĕ$459)</f>
      </c>
      <c r="HF459">
        <f>IF(ISBLANK('Data Entry'!$Ė$459), "", 'Data Entry'!$Ė$459)</f>
      </c>
      <c r="HG459">
        <f>IF(ISBLANK('Data Entry'!$ė$459), "", 'Data Entry'!$ė$459)</f>
      </c>
      <c r="HH459">
        <f>IF(ISBLANK('Data Entry'!$Ę$459), "", 'Data Entry'!$Ę$459)</f>
      </c>
      <c r="HI459">
        <f>IF(ISBLANK('Data Entry'!$ę$459), "", 'Data Entry'!$ę$459)</f>
      </c>
      <c r="HJ459">
        <f>IF(ISBLANK('Data Entry'!$Ě$459), "", 'Data Entry'!$Ě$459)</f>
      </c>
      <c r="HK459">
        <f>IF(ISBLANK('Data Entry'!$ě$459), "", 'Data Entry'!$ě$459)</f>
      </c>
      <c r="HL459">
        <f>IF(ISBLANK('Data Entry'!$Ĝ$459), "", 'Data Entry'!$Ĝ$459)</f>
      </c>
      <c r="HM459">
        <f>IF(ISBLANK('Data Entry'!$ĝ$459), "", 'Data Entry'!$ĝ$459)</f>
      </c>
      <c r="HN459">
        <f>IF(ISBLANK('Data Entry'!$Ğ$459), "", 'Data Entry'!$Ğ$459)</f>
      </c>
      <c r="HO459">
        <f>IF(ISBLANK('Data Entry'!$ğ$459), "", 'Data Entry'!$ğ$459)</f>
      </c>
      <c r="HP459">
        <f>IF(ISBLANK('Data Entry'!$Ġ$459), "", 'Data Entry'!$Ġ$459)</f>
      </c>
      <c r="HQ459">
        <f>IF(ISBLANK('Data Entry'!$ġ$459), "", 'Data Entry'!$ġ$459)</f>
      </c>
      <c r="HR459">
        <f>IF(ISBLANK('Data Entry'!$Ģ$459), "", 'Data Entry'!$Ģ$459)</f>
      </c>
      <c r="HS459">
        <f>IF(ISBLANK('Data Entry'!$ģ$459), "", 'Data Entry'!$ģ$459)</f>
      </c>
      <c r="HT459">
        <f>IF(ISBLANK('Data Entry'!$Ĥ$459), "", 'Data Entry'!$Ĥ$459)</f>
      </c>
      <c r="HU459">
        <f>IF(ISBLANK('Data Entry'!$ĥ$459), "", 'Data Entry'!$ĥ$459)</f>
      </c>
      <c r="HV459">
        <f>IF(ISBLANK('Data Entry'!$Ħ$459), "", 'Data Entry'!$Ħ$459)</f>
      </c>
      <c r="HW459">
        <f>IF(ISBLANK('Data Entry'!$ħ$459), "", 'Data Entry'!$ħ$459)</f>
      </c>
      <c r="HX459">
        <f>IF(ISBLANK('Data Entry'!$Ĩ$459), "", 'Data Entry'!$Ĩ$459)</f>
      </c>
      <c r="HY459">
        <f>IF(ISBLANK('Data Entry'!$ĩ$459), "", 'Data Entry'!$ĩ$459)</f>
      </c>
      <c r="HZ459">
        <f>IF(ISBLANK('Data Entry'!$Ī$459), "", 'Data Entry'!$Ī$459)</f>
      </c>
      <c r="IA459">
        <f>IF(ISBLANK('Data Entry'!$ī$459), "", 'Data Entry'!$ī$459)</f>
      </c>
      <c r="IB459">
        <f>IF(ISBLANK('Data Entry'!$Ĭ$459), "", 'Data Entry'!$Ĭ$459)</f>
      </c>
      <c r="IC459">
        <f>IF(ISBLANK('Data Entry'!$ĭ$459), "", 'Data Entry'!$ĭ$459)</f>
      </c>
      <c r="ID459">
        <f>IF(ISBLANK('Data Entry'!$Į$459), "", 'Data Entry'!$Į$459)</f>
      </c>
      <c r="IE459">
        <f>IF(ISBLANK('Data Entry'!$į$459), "", 'Data Entry'!$į$459)</f>
      </c>
      <c r="IF459">
        <f>IF(ISBLANK('Data Entry'!$İ$459), "", 'Data Entry'!$İ$459)</f>
      </c>
      <c r="IG459">
        <f>IF(ISBLANK('Data Entry'!$ı$459), "", 'Data Entry'!$ı$459)</f>
      </c>
      <c r="IH459">
        <f>IF(ISBLANK('Data Entry'!$Ĳ$459), "", 'Data Entry'!$Ĳ$459)</f>
      </c>
      <c r="II459">
        <f>IF(ISBLANK('Data Entry'!$ĳ$459), "", 'Data Entry'!$ĳ$459)</f>
      </c>
      <c r="IJ459">
        <f>IF(ISBLANK('Data Entry'!$Ĵ$459), "", 'Data Entry'!$Ĵ$459)</f>
      </c>
      <c r="IK459">
        <f>IF(ISBLANK('Data Entry'!$ĵ$459), "", 'Data Entry'!$ĵ$459)</f>
      </c>
      <c r="IL459">
        <f>IF(ISBLANK('Data Entry'!$Ķ$459), "", 'Data Entry'!$Ķ$459)</f>
      </c>
      <c r="IM459">
        <f>IF(ISBLANK('Data Entry'!$ķ$459), "", 'Data Entry'!$ķ$459)</f>
      </c>
      <c r="IN459">
        <f>IF(ISBLANK('Data Entry'!$ĸ$459), "", 'Data Entry'!$ĸ$459)</f>
      </c>
      <c r="IO459">
        <f>IF(ISBLANK('Data Entry'!$Ĺ$459), "", 'Data Entry'!$Ĺ$459)</f>
      </c>
      <c r="IP459">
        <f>IF(ISBLANK('Data Entry'!$ĺ$459), "", 'Data Entry'!$ĺ$459)</f>
      </c>
      <c r="IQ459">
        <f>IF(ISBLANK('Data Entry'!$Ļ$459), "", 'Data Entry'!$Ļ$459)</f>
      </c>
      <c r="IR459">
        <f>IF(ISBLANK('Data Entry'!$ļ$459), "", 'Data Entry'!$ļ$459)</f>
      </c>
      <c r="IS459">
        <f>IF(ISBLANK('Data Entry'!$Ľ$459), "", 'Data Entry'!$Ľ$459)</f>
      </c>
      <c r="IT459">
        <f>IF(ISBLANK('Data Entry'!$ľ$459), "", 'Data Entry'!$ľ$459)</f>
      </c>
    </row>
    <row r="460" spans="1:254" x14ac:dyDescent="0.25">
      <c r="A460">
        <f>IF(ISBLANK('Data Entry'!$A$460), "", 'Data Entry'!$A$460)</f>
      </c>
      <c r="B460">
        <f>IF(ISBLANK('Data Entry'!$B$460), "", 'Data Entry'!$B$460)</f>
      </c>
      <c r="C460">
        <f>IF(ISBLANK('Data Entry'!$C$460), "", 'Data Entry'!$C$460)</f>
      </c>
      <c r="D460">
        <f>IF(ISBLANK('Data Entry'!$D$460), "", 'Data Entry'!$D$460)</f>
      </c>
      <c r="E460">
        <f>IF(ISBLANK('Data Entry'!$E$460), "", 'Data Entry'!$E$460)</f>
      </c>
      <c r="F460">
        <f>IF(ISBLANK('Data Entry'!$F$460), "", 'Data Entry'!$F$460)</f>
      </c>
      <c r="G460">
        <f>IF(ISBLANK('Data Entry'!$G$460), "", 'Data Entry'!$G$460)</f>
      </c>
      <c r="H460">
        <f>IF(ISBLANK('Data Entry'!$H$460), "", 'Data Entry'!$H$460)</f>
      </c>
      <c r="I460">
        <f>IF(ISBLANK('Data Entry'!$I$460), "", 'Data Entry'!$I$460)</f>
      </c>
      <c r="J460">
        <f>IF(ISBLANK('Data Entry'!$J$460), "", 'Data Entry'!$J$460)</f>
      </c>
      <c r="K460">
        <f>IF(ISBLANK('Data Entry'!$K$460), "", 'Data Entry'!$K$460)</f>
      </c>
      <c r="L460">
        <f>IF(ISBLANK('Data Entry'!$L$460), "", 'Data Entry'!$L$460)</f>
      </c>
      <c r="M460">
        <f>IF(ISBLANK('Data Entry'!$M$460), "", 'Data Entry'!$M$460)</f>
      </c>
      <c r="N460">
        <f>IF(ISBLANK('Data Entry'!$N$460), "", 'Data Entry'!$N$460)</f>
      </c>
      <c r="O460">
        <f>IF(ISBLANK('Data Entry'!$O$460), "", 'Data Entry'!$O$460)</f>
      </c>
      <c r="P460">
        <f>IF(ISBLANK('Data Entry'!$P$460), "", 'Data Entry'!$P$460)</f>
      </c>
      <c r="Q460">
        <f>IF(ISBLANK('Data Entry'!$Q$460), "", 'Data Entry'!$Q$460)</f>
      </c>
      <c r="R460">
        <f>IF(ISBLANK('Data Entry'!$R$460), "", 'Data Entry'!$R$460)</f>
      </c>
      <c r="S460">
        <f>IF(ISBLANK('Data Entry'!$S$460), "", 'Data Entry'!$S$460)</f>
      </c>
      <c r="T460">
        <f>IF(ISBLANK('Data Entry'!$T$460), "", 'Data Entry'!$T$460)</f>
      </c>
      <c r="U460">
        <f>IF(ISBLANK('Data Entry'!$U$460), "", 'Data Entry'!$U$460)</f>
      </c>
      <c r="V460">
        <f>IF(ISBLANK('Data Entry'!$V$460), "", 'Data Entry'!$V$460)</f>
      </c>
      <c r="W460">
        <f>IF(ISBLANK('Data Entry'!$W$460), "", 'Data Entry'!$W$460)</f>
      </c>
      <c r="X460">
        <f>IF(ISBLANK('Data Entry'!$X$460), "", 'Data Entry'!$X$460)</f>
      </c>
      <c r="Y460">
        <f>IF(ISBLANK('Data Entry'!$Y$460), "", 'Data Entry'!$Y$460)</f>
      </c>
      <c r="Z460">
        <f>IF(ISBLANK('Data Entry'!$Z$460), "", 'Data Entry'!$Z$460)</f>
      </c>
      <c r="AA460">
        <f>IF(ISBLANK('Data Entry'!$[$460), "", 'Data Entry'!$[$460)</f>
      </c>
      <c r="AB460">
        <f>IF(ISBLANK('Data Entry'!$\$460), "", 'Data Entry'!$\$460)</f>
      </c>
      <c r="AC460">
        <f>IF(ISBLANK('Data Entry'!$]$460), "", 'Data Entry'!$]$460)</f>
      </c>
      <c r="AD460">
        <f>IF(ISBLANK('Data Entry'!$^$460), "", 'Data Entry'!$^$460)</f>
      </c>
      <c r="AE460">
        <f>IF(ISBLANK('Data Entry'!$_$460), "", 'Data Entry'!$_$460)</f>
      </c>
      <c r="AF460">
        <f>IF(ISBLANK('Data Entry'!$`$460), "", 'Data Entry'!$`$460)</f>
      </c>
      <c r="AG460">
        <f>IF(ISBLANK('Data Entry'!$a$460), "", 'Data Entry'!$a$460)</f>
      </c>
      <c r="AH460">
        <f>IF(ISBLANK('Data Entry'!$b$460), "", 'Data Entry'!$b$460)</f>
      </c>
      <c r="AI460">
        <f>IF(ISBLANK('Data Entry'!$c$460), "", 'Data Entry'!$c$460)</f>
      </c>
      <c r="AJ460">
        <f>IF(ISBLANK('Data Entry'!$d$460), "", 'Data Entry'!$d$460)</f>
      </c>
      <c r="AK460">
        <f>IF(ISBLANK('Data Entry'!$e$460), "", 'Data Entry'!$e$460)</f>
      </c>
      <c r="AL460">
        <f>IF(ISBLANK('Data Entry'!$f$460), "", 'Data Entry'!$f$460)</f>
      </c>
      <c r="AM460">
        <f>IF(ISBLANK('Data Entry'!$g$460), "", 'Data Entry'!$g$460)</f>
      </c>
      <c r="AN460">
        <f>IF(ISBLANK('Data Entry'!$h$460), "", 'Data Entry'!$h$460)</f>
      </c>
      <c r="AO460">
        <f>IF(ISBLANK('Data Entry'!$i$460), "", 'Data Entry'!$i$460)</f>
      </c>
      <c r="AP460">
        <f>IF(ISBLANK('Data Entry'!$j$460), "", 'Data Entry'!$j$460)</f>
      </c>
      <c r="AQ460">
        <f>IF(ISBLANK('Data Entry'!$k$460), "", 'Data Entry'!$k$460)</f>
      </c>
      <c r="AR460">
        <f>IF(ISBLANK('Data Entry'!$l$460), "", 'Data Entry'!$l$460)</f>
      </c>
      <c r="AS460">
        <f>IF(ISBLANK('Data Entry'!$m$460), "", 'Data Entry'!$m$460)</f>
      </c>
      <c r="AT460">
        <f>IF(ISBLANK('Data Entry'!$n$460), "", 'Data Entry'!$n$460)</f>
      </c>
      <c r="AU460">
        <f>IF(ISBLANK('Data Entry'!$o$460), "", 'Data Entry'!$o$460)</f>
      </c>
      <c r="AV460">
        <f>IF(ISBLANK('Data Entry'!$p$460), "", 'Data Entry'!$p$460)</f>
      </c>
      <c r="AW460">
        <f>IF(ISBLANK('Data Entry'!$q$460), "", 'Data Entry'!$q$460)</f>
      </c>
      <c r="AX460">
        <f>IF(ISBLANK('Data Entry'!$r$460), "", 'Data Entry'!$r$460)</f>
      </c>
      <c r="AY460">
        <f>IF(ISBLANK('Data Entry'!$s$460), "", 'Data Entry'!$s$460)</f>
      </c>
      <c r="AZ460">
        <f>IF(ISBLANK('Data Entry'!$t$460), "", 'Data Entry'!$t$460)</f>
      </c>
      <c r="BA460">
        <f>IF(ISBLANK('Data Entry'!$u$460), "", 'Data Entry'!$u$460)</f>
      </c>
      <c r="BB460">
        <f>IF(ISBLANK('Data Entry'!$v$460), "", 'Data Entry'!$v$460)</f>
      </c>
      <c r="BC460">
        <f>IF(ISBLANK('Data Entry'!$w$460), "", 'Data Entry'!$w$460)</f>
      </c>
      <c r="BD460">
        <f>IF(ISBLANK('Data Entry'!$x$460), "", 'Data Entry'!$x$460)</f>
      </c>
      <c r="BE460">
        <f>IF(ISBLANK('Data Entry'!$y$460), "", 'Data Entry'!$y$460)</f>
      </c>
      <c r="BF460">
        <f>IF(ISBLANK('Data Entry'!$z$460), "", 'Data Entry'!$z$460)</f>
      </c>
      <c r="BG460">
        <f>IF(ISBLANK('Data Entry'!${$460), "", 'Data Entry'!${$460)</f>
      </c>
      <c r="BH460">
        <f>IF(ISBLANK('Data Entry'!$|$460), "", 'Data Entry'!$|$460)</f>
      </c>
      <c r="BI460">
        <f>IF(ISBLANK('Data Entry'!$}$460), "", 'Data Entry'!$}$460)</f>
      </c>
      <c r="BJ460">
        <f>IF(ISBLANK('Data Entry'!$~$460), "", 'Data Entry'!$~$460)</f>
      </c>
      <c r="BK460">
        <f>IF(ISBLANK('Data Entry'!$$460), "", 'Data Entry'!$$460)</f>
      </c>
      <c r="BL460">
        <f>IF(ISBLANK('Data Entry'!$$460), "", 'Data Entry'!$$460)</f>
      </c>
      <c r="BM460">
        <f>IF(ISBLANK('Data Entry'!$$460), "", 'Data Entry'!$$460)</f>
      </c>
      <c r="BN460">
        <f>IF(ISBLANK('Data Entry'!$$460), "", 'Data Entry'!$$460)</f>
      </c>
      <c r="BO460">
        <f>IF(ISBLANK('Data Entry'!$$460), "", 'Data Entry'!$$460)</f>
      </c>
      <c r="BP460">
        <f>IF(ISBLANK('Data Entry'!$$460), "", 'Data Entry'!$$460)</f>
      </c>
      <c r="BQ460">
        <f>IF(ISBLANK('Data Entry'!$$460), "", 'Data Entry'!$$460)</f>
      </c>
      <c r="BR460">
        <f>IF(ISBLANK('Data Entry'!$$460), "", 'Data Entry'!$$460)</f>
      </c>
      <c r="BS460">
        <f>IF(ISBLANK('Data Entry'!$$460), "", 'Data Entry'!$$460)</f>
      </c>
      <c r="BT460">
        <f>IF(ISBLANK('Data Entry'!$$460), "", 'Data Entry'!$$460)</f>
      </c>
      <c r="BU460">
        <f>IF(ISBLANK('Data Entry'!$$460), "", 'Data Entry'!$$460)</f>
      </c>
      <c r="BV460">
        <f>IF(ISBLANK('Data Entry'!$$460), "", 'Data Entry'!$$460)</f>
      </c>
      <c r="BW460">
        <f>IF(ISBLANK('Data Entry'!$$460), "", 'Data Entry'!$$460)</f>
      </c>
      <c r="BX460">
        <f>IF(ISBLANK('Data Entry'!$$460), "", 'Data Entry'!$$460)</f>
      </c>
      <c r="BY460">
        <f>IF(ISBLANK('Data Entry'!$$460), "", 'Data Entry'!$$460)</f>
      </c>
      <c r="BZ460">
        <f>IF(ISBLANK('Data Entry'!$$460), "", 'Data Entry'!$$460)</f>
      </c>
      <c r="CA460">
        <f>IF(ISBLANK('Data Entry'!$$460), "", 'Data Entry'!$$460)</f>
      </c>
      <c r="CB460">
        <f>IF(ISBLANK('Data Entry'!$$460), "", 'Data Entry'!$$460)</f>
      </c>
      <c r="CC460">
        <f>IF(ISBLANK('Data Entry'!$$460), "", 'Data Entry'!$$460)</f>
      </c>
      <c r="CD460">
        <f>IF(ISBLANK('Data Entry'!$$460), "", 'Data Entry'!$$460)</f>
      </c>
      <c r="CE460">
        <f>IF(ISBLANK('Data Entry'!$$460), "", 'Data Entry'!$$460)</f>
      </c>
      <c r="CF460">
        <f>IF(ISBLANK('Data Entry'!$$460), "", 'Data Entry'!$$460)</f>
      </c>
      <c r="CG460">
        <f>IF(ISBLANK('Data Entry'!$$460), "", 'Data Entry'!$$460)</f>
      </c>
      <c r="CH460">
        <f>IF(ISBLANK('Data Entry'!$$460), "", 'Data Entry'!$$460)</f>
      </c>
      <c r="CI460">
        <f>IF(ISBLANK('Data Entry'!$$460), "", 'Data Entry'!$$460)</f>
      </c>
      <c r="CJ460">
        <f>IF(ISBLANK('Data Entry'!$$460), "", 'Data Entry'!$$460)</f>
      </c>
      <c r="CK460">
        <f>IF(ISBLANK('Data Entry'!$$460), "", 'Data Entry'!$$460)</f>
      </c>
      <c r="CL460">
        <f>IF(ISBLANK('Data Entry'!$$460), "", 'Data Entry'!$$460)</f>
      </c>
      <c r="CM460">
        <f>IF(ISBLANK('Data Entry'!$$460), "", 'Data Entry'!$$460)</f>
      </c>
      <c r="CN460">
        <f>IF(ISBLANK('Data Entry'!$$460), "", 'Data Entry'!$$460)</f>
      </c>
      <c r="CO460">
        <f>IF(ISBLANK('Data Entry'!$$460), "", 'Data Entry'!$$460)</f>
      </c>
      <c r="CP460">
        <f>IF(ISBLANK('Data Entry'!$$460), "", 'Data Entry'!$$460)</f>
      </c>
      <c r="CQ460">
        <f>IF(ISBLANK('Data Entry'!$$460), "", 'Data Entry'!$$460)</f>
      </c>
      <c r="CR460">
        <f>IF(ISBLANK('Data Entry'!$ $460), "", 'Data Entry'!$ $460)</f>
      </c>
      <c r="CS460">
        <f>IF(ISBLANK('Data Entry'!$¡$460), "", 'Data Entry'!$¡$460)</f>
      </c>
      <c r="CT460">
        <f>IF(ISBLANK('Data Entry'!$¢$460), "", 'Data Entry'!$¢$460)</f>
      </c>
      <c r="CU460">
        <f>IF(ISBLANK('Data Entry'!$£$460), "", 'Data Entry'!$£$460)</f>
      </c>
      <c r="CV460">
        <f>IF(ISBLANK('Data Entry'!$¤$460), "", 'Data Entry'!$¤$460)</f>
      </c>
      <c r="CW460">
        <f>IF(ISBLANK('Data Entry'!$¥$460), "", 'Data Entry'!$¥$460)</f>
      </c>
      <c r="CX460">
        <f>IF(ISBLANK('Data Entry'!$¦$460), "", 'Data Entry'!$¦$460)</f>
      </c>
      <c r="CY460">
        <f>IF(ISBLANK('Data Entry'!$§$460), "", 'Data Entry'!$§$460)</f>
      </c>
      <c r="CZ460">
        <f>IF(ISBLANK('Data Entry'!$¨$460), "", 'Data Entry'!$¨$460)</f>
      </c>
      <c r="DA460">
        <f>IF(ISBLANK('Data Entry'!$©$460), "", 'Data Entry'!$©$460)</f>
      </c>
      <c r="DB460">
        <f>IF(ISBLANK('Data Entry'!$ª$460), "", 'Data Entry'!$ª$460)</f>
      </c>
      <c r="DC460">
        <f>IF(ISBLANK('Data Entry'!$«$460), "", 'Data Entry'!$«$460)</f>
      </c>
      <c r="DD460">
        <f>IF(ISBLANK('Data Entry'!$¬$460), "", 'Data Entry'!$¬$460)</f>
      </c>
      <c r="DE460">
        <f>IF(ISBLANK('Data Entry'!$­$460), "", 'Data Entry'!$­$460)</f>
      </c>
      <c r="DF460">
        <f>IF(ISBLANK('Data Entry'!$®$460), "", 'Data Entry'!$®$460)</f>
      </c>
      <c r="DG460">
        <f>IF(ISBLANK('Data Entry'!$¯$460), "", 'Data Entry'!$¯$460)</f>
      </c>
      <c r="DH460">
        <f>IF(ISBLANK('Data Entry'!$°$460), "", 'Data Entry'!$°$460)</f>
      </c>
      <c r="DI460">
        <f>IF(ISBLANK('Data Entry'!$±$460), "", 'Data Entry'!$±$460)</f>
      </c>
      <c r="DJ460">
        <f>IF(ISBLANK('Data Entry'!$²$460), "", 'Data Entry'!$²$460)</f>
      </c>
      <c r="DK460">
        <f>IF(ISBLANK('Data Entry'!$³$460), "", 'Data Entry'!$³$460)</f>
      </c>
      <c r="DL460">
        <f>IF(ISBLANK('Data Entry'!$´$460), "", 'Data Entry'!$´$460)</f>
      </c>
      <c r="DM460">
        <f>IF(ISBLANK('Data Entry'!$µ$460), "", 'Data Entry'!$µ$460)</f>
      </c>
      <c r="DN460">
        <f>IF(ISBLANK('Data Entry'!$¶$460), "", 'Data Entry'!$¶$460)</f>
      </c>
      <c r="DO460">
        <f>IF(ISBLANK('Data Entry'!$·$460), "", 'Data Entry'!$·$460)</f>
      </c>
      <c r="DP460">
        <f>IF(ISBLANK('Data Entry'!$¸$460), "", 'Data Entry'!$¸$460)</f>
      </c>
      <c r="DQ460">
        <f>IF(ISBLANK('Data Entry'!$¹$460), "", 'Data Entry'!$¹$460)</f>
      </c>
      <c r="DR460">
        <f>IF(ISBLANK('Data Entry'!$º$460), "", 'Data Entry'!$º$460)</f>
      </c>
      <c r="DS460">
        <f>IF(ISBLANK('Data Entry'!$»$460), "", 'Data Entry'!$»$460)</f>
      </c>
      <c r="DT460">
        <f>IF(ISBLANK('Data Entry'!$¼$460), "", 'Data Entry'!$¼$460)</f>
      </c>
      <c r="DU460">
        <f>IF(ISBLANK('Data Entry'!$½$460), "", 'Data Entry'!$½$460)</f>
      </c>
      <c r="DV460">
        <f>IF(ISBLANK('Data Entry'!$¾$460), "", 'Data Entry'!$¾$460)</f>
      </c>
      <c r="DW460">
        <f>IF(ISBLANK('Data Entry'!$¿$460), "", 'Data Entry'!$¿$460)</f>
      </c>
      <c r="DX460">
        <f>IF(ISBLANK('Data Entry'!$À$460), "", 'Data Entry'!$À$460)</f>
      </c>
      <c r="DY460">
        <f>IF(ISBLANK('Data Entry'!$Á$460), "", 'Data Entry'!$Á$460)</f>
      </c>
      <c r="DZ460">
        <f>IF(ISBLANK('Data Entry'!$Â$460), "", 'Data Entry'!$Â$460)</f>
      </c>
      <c r="EA460">
        <f>IF(ISBLANK('Data Entry'!$Ã$460), "", 'Data Entry'!$Ã$460)</f>
      </c>
      <c r="EB460">
        <f>IF(ISBLANK('Data Entry'!$Ä$460), "", 'Data Entry'!$Ä$460)</f>
      </c>
      <c r="EC460">
        <f>IF(ISBLANK('Data Entry'!$Å$460), "", 'Data Entry'!$Å$460)</f>
      </c>
      <c r="ED460">
        <f>IF(ISBLANK('Data Entry'!$Æ$460), "", 'Data Entry'!$Æ$460)</f>
      </c>
      <c r="EE460">
        <f>IF(ISBLANK('Data Entry'!$Ç$460), "", 'Data Entry'!$Ç$460)</f>
      </c>
      <c r="EF460">
        <f>IF(ISBLANK('Data Entry'!$È$460), "", 'Data Entry'!$È$460)</f>
      </c>
      <c r="EG460">
        <f>IF(ISBLANK('Data Entry'!$É$460), "", 'Data Entry'!$É$460)</f>
      </c>
      <c r="EH460">
        <f>IF(ISBLANK('Data Entry'!$Ê$460), "", 'Data Entry'!$Ê$460)</f>
      </c>
      <c r="EI460">
        <f>IF(ISBLANK('Data Entry'!$Ë$460), "", 'Data Entry'!$Ë$460)</f>
      </c>
      <c r="EJ460">
        <f>IF(ISBLANK('Data Entry'!$Ì$460), "", 'Data Entry'!$Ì$460)</f>
      </c>
      <c r="EK460">
        <f>IF(ISBLANK('Data Entry'!$Í$460), "", 'Data Entry'!$Í$460)</f>
      </c>
      <c r="EL460">
        <f>IF(ISBLANK('Data Entry'!$Î$460), "", 'Data Entry'!$Î$460)</f>
      </c>
      <c r="EM460">
        <f>IF(ISBLANK('Data Entry'!$Ï$460), "", 'Data Entry'!$Ï$460)</f>
      </c>
      <c r="EN460">
        <f>IF(ISBLANK('Data Entry'!$Ð$460), "", 'Data Entry'!$Ð$460)</f>
      </c>
      <c r="EO460">
        <f>IF(ISBLANK('Data Entry'!$Ñ$460), "", 'Data Entry'!$Ñ$460)</f>
      </c>
      <c r="EP460">
        <f>IF(ISBLANK('Data Entry'!$Ò$460), "", 'Data Entry'!$Ò$460)</f>
      </c>
      <c r="EQ460">
        <f>IF(ISBLANK('Data Entry'!$Ó$460), "", 'Data Entry'!$Ó$460)</f>
      </c>
      <c r="ER460">
        <f>IF(ISBLANK('Data Entry'!$Ô$460), "", 'Data Entry'!$Ô$460)</f>
      </c>
      <c r="ES460">
        <f>IF(ISBLANK('Data Entry'!$Õ$460), "", 'Data Entry'!$Õ$460)</f>
      </c>
      <c r="ET460">
        <f>IF(ISBLANK('Data Entry'!$Ö$460), "", 'Data Entry'!$Ö$460)</f>
      </c>
      <c r="EU460">
        <f>IF(ISBLANK('Data Entry'!$×$460), "", 'Data Entry'!$×$460)</f>
      </c>
      <c r="EV460">
        <f>IF(ISBLANK('Data Entry'!$Ø$460), "", 'Data Entry'!$Ø$460)</f>
      </c>
      <c r="EW460">
        <f>IF(ISBLANK('Data Entry'!$Ù$460), "", 'Data Entry'!$Ù$460)</f>
      </c>
      <c r="EX460">
        <f>IF(ISBLANK('Data Entry'!$Ú$460), "", 'Data Entry'!$Ú$460)</f>
      </c>
      <c r="EY460">
        <f>IF(ISBLANK('Data Entry'!$Û$460), "", 'Data Entry'!$Û$460)</f>
      </c>
      <c r="EZ460">
        <f>IF(ISBLANK('Data Entry'!$Ü$460), "", 'Data Entry'!$Ü$460)</f>
      </c>
      <c r="FA460">
        <f>IF(ISBLANK('Data Entry'!$Ý$460), "", 'Data Entry'!$Ý$460)</f>
      </c>
      <c r="FB460">
        <f>IF(ISBLANK('Data Entry'!$Þ$460), "", 'Data Entry'!$Þ$460)</f>
      </c>
      <c r="FC460">
        <f>IF(ISBLANK('Data Entry'!$ß$460), "", 'Data Entry'!$ß$460)</f>
      </c>
      <c r="FD460">
        <f>IF(ISBLANK('Data Entry'!$à$460), "", 'Data Entry'!$à$460)</f>
      </c>
      <c r="FE460">
        <f>IF(ISBLANK('Data Entry'!$á$460), "", 'Data Entry'!$á$460)</f>
      </c>
      <c r="FF460">
        <f>IF(ISBLANK('Data Entry'!$â$460), "", 'Data Entry'!$â$460)</f>
      </c>
      <c r="FG460">
        <f>IF(ISBLANK('Data Entry'!$ã$460), "", 'Data Entry'!$ã$460)</f>
      </c>
      <c r="FH460">
        <f>IF(ISBLANK('Data Entry'!$ä$460), "", 'Data Entry'!$ä$460)</f>
      </c>
      <c r="FI460">
        <f>IF(ISBLANK('Data Entry'!$å$460), "", 'Data Entry'!$å$460)</f>
      </c>
      <c r="FJ460">
        <f>IF(ISBLANK('Data Entry'!$æ$460), "", 'Data Entry'!$æ$460)</f>
      </c>
      <c r="FK460">
        <f>IF(ISBLANK('Data Entry'!$ç$460), "", 'Data Entry'!$ç$460)</f>
      </c>
      <c r="FL460">
        <f>IF(ISBLANK('Data Entry'!$è$460), "", 'Data Entry'!$è$460)</f>
      </c>
      <c r="FM460">
        <f>IF(ISBLANK('Data Entry'!$é$460), "", 'Data Entry'!$é$460)</f>
      </c>
      <c r="FN460">
        <f>IF(ISBLANK('Data Entry'!$ê$460), "", 'Data Entry'!$ê$460)</f>
      </c>
      <c r="FO460">
        <f>IF(ISBLANK('Data Entry'!$ë$460), "", 'Data Entry'!$ë$460)</f>
      </c>
      <c r="FP460">
        <f>IF(ISBLANK('Data Entry'!$ì$460), "", 'Data Entry'!$ì$460)</f>
      </c>
      <c r="FQ460">
        <f>IF(ISBLANK('Data Entry'!$í$460), "", 'Data Entry'!$í$460)</f>
      </c>
      <c r="FR460">
        <f>IF(ISBLANK('Data Entry'!$î$460), "", 'Data Entry'!$î$460)</f>
      </c>
      <c r="FS460">
        <f>IF(ISBLANK('Data Entry'!$ï$460), "", 'Data Entry'!$ï$460)</f>
      </c>
      <c r="FT460">
        <f>IF(ISBLANK('Data Entry'!$ð$460), "", 'Data Entry'!$ð$460)</f>
      </c>
      <c r="FU460">
        <f>IF(ISBLANK('Data Entry'!$ñ$460), "", 'Data Entry'!$ñ$460)</f>
      </c>
      <c r="FV460">
        <f>IF(ISBLANK('Data Entry'!$ò$460), "", 'Data Entry'!$ò$460)</f>
      </c>
      <c r="FW460">
        <f>IF(ISBLANK('Data Entry'!$ó$460), "", 'Data Entry'!$ó$460)</f>
      </c>
      <c r="FX460">
        <f>IF(ISBLANK('Data Entry'!$ô$460), "", 'Data Entry'!$ô$460)</f>
      </c>
      <c r="FY460">
        <f>IF(ISBLANK('Data Entry'!$õ$460), "", 'Data Entry'!$õ$460)</f>
      </c>
      <c r="FZ460">
        <f>IF(ISBLANK('Data Entry'!$ö$460), "", 'Data Entry'!$ö$460)</f>
      </c>
      <c r="GA460">
        <f>IF(ISBLANK('Data Entry'!$÷$460), "", 'Data Entry'!$÷$460)</f>
      </c>
      <c r="GB460">
        <f>IF(ISBLANK('Data Entry'!$ø$460), "", 'Data Entry'!$ø$460)</f>
      </c>
      <c r="GC460">
        <f>IF(ISBLANK('Data Entry'!$ù$460), "", 'Data Entry'!$ù$460)</f>
      </c>
      <c r="GD460">
        <f>IF(ISBLANK('Data Entry'!$ú$460), "", 'Data Entry'!$ú$460)</f>
      </c>
      <c r="GE460">
        <f>IF(ISBLANK('Data Entry'!$û$460), "", 'Data Entry'!$û$460)</f>
      </c>
      <c r="GF460">
        <f>IF(ISBLANK('Data Entry'!$ü$460), "", 'Data Entry'!$ü$460)</f>
      </c>
      <c r="GG460">
        <f>IF(ISBLANK('Data Entry'!$ý$460), "", 'Data Entry'!$ý$460)</f>
      </c>
      <c r="GH460">
        <f>IF(ISBLANK('Data Entry'!$þ$460), "", 'Data Entry'!$þ$460)</f>
      </c>
      <c r="GI460">
        <f>IF(ISBLANK('Data Entry'!$ÿ$460), "", 'Data Entry'!$ÿ$460)</f>
      </c>
      <c r="GJ460">
        <f>IF(ISBLANK('Data Entry'!$Ā$460), "", 'Data Entry'!$Ā$460)</f>
      </c>
      <c r="GK460">
        <f>IF(ISBLANK('Data Entry'!$ā$460), "", 'Data Entry'!$ā$460)</f>
      </c>
      <c r="GL460">
        <f>IF(ISBLANK('Data Entry'!$Ă$460), "", 'Data Entry'!$Ă$460)</f>
      </c>
      <c r="GM460">
        <f>IF(ISBLANK('Data Entry'!$ă$460), "", 'Data Entry'!$ă$460)</f>
      </c>
      <c r="GN460">
        <f>IF(ISBLANK('Data Entry'!$Ą$460), "", 'Data Entry'!$Ą$460)</f>
      </c>
      <c r="GO460">
        <f>IF(ISBLANK('Data Entry'!$ą$460), "", 'Data Entry'!$ą$460)</f>
      </c>
      <c r="GP460">
        <f>IF(ISBLANK('Data Entry'!$Ć$460), "", 'Data Entry'!$Ć$460)</f>
      </c>
      <c r="GQ460">
        <f>IF(ISBLANK('Data Entry'!$ć$460), "", 'Data Entry'!$ć$460)</f>
      </c>
      <c r="GR460">
        <f>IF(ISBLANK('Data Entry'!$Ĉ$460), "", 'Data Entry'!$Ĉ$460)</f>
      </c>
      <c r="GS460">
        <f>IF(ISBLANK('Data Entry'!$ĉ$460), "", 'Data Entry'!$ĉ$460)</f>
      </c>
      <c r="GT460">
        <f>IF(ISBLANK('Data Entry'!$Ċ$460), "", 'Data Entry'!$Ċ$460)</f>
      </c>
      <c r="GU460">
        <f>IF(ISBLANK('Data Entry'!$ċ$460), "", 'Data Entry'!$ċ$460)</f>
      </c>
      <c r="GV460">
        <f>IF(ISBLANK('Data Entry'!$Č$460), "", 'Data Entry'!$Č$460)</f>
      </c>
      <c r="GW460">
        <f>IF(ISBLANK('Data Entry'!$č$460), "", 'Data Entry'!$č$460)</f>
      </c>
      <c r="GX460">
        <f>IF(ISBLANK('Data Entry'!$Ď$460), "", 'Data Entry'!$Ď$460)</f>
      </c>
      <c r="GY460">
        <f>IF(ISBLANK('Data Entry'!$ď$460), "", 'Data Entry'!$ď$460)</f>
      </c>
      <c r="GZ460">
        <f>IF(ISBLANK('Data Entry'!$Đ$460), "", 'Data Entry'!$Đ$460)</f>
      </c>
      <c r="HA460">
        <f>IF(ISBLANK('Data Entry'!$đ$460), "", 'Data Entry'!$đ$460)</f>
      </c>
      <c r="HB460">
        <f>IF(ISBLANK('Data Entry'!$Ē$460), "", 'Data Entry'!$Ē$460)</f>
      </c>
      <c r="HC460">
        <f>IF(ISBLANK('Data Entry'!$ē$460), "", 'Data Entry'!$ē$460)</f>
      </c>
      <c r="HD460">
        <f>IF(ISBLANK('Data Entry'!$Ĕ$460), "", 'Data Entry'!$Ĕ$460)</f>
      </c>
      <c r="HE460">
        <f>IF(ISBLANK('Data Entry'!$ĕ$460), "", 'Data Entry'!$ĕ$460)</f>
      </c>
      <c r="HF460">
        <f>IF(ISBLANK('Data Entry'!$Ė$460), "", 'Data Entry'!$Ė$460)</f>
      </c>
      <c r="HG460">
        <f>IF(ISBLANK('Data Entry'!$ė$460), "", 'Data Entry'!$ė$460)</f>
      </c>
      <c r="HH460">
        <f>IF(ISBLANK('Data Entry'!$Ę$460), "", 'Data Entry'!$Ę$460)</f>
      </c>
      <c r="HI460">
        <f>IF(ISBLANK('Data Entry'!$ę$460), "", 'Data Entry'!$ę$460)</f>
      </c>
      <c r="HJ460">
        <f>IF(ISBLANK('Data Entry'!$Ě$460), "", 'Data Entry'!$Ě$460)</f>
      </c>
      <c r="HK460">
        <f>IF(ISBLANK('Data Entry'!$ě$460), "", 'Data Entry'!$ě$460)</f>
      </c>
      <c r="HL460">
        <f>IF(ISBLANK('Data Entry'!$Ĝ$460), "", 'Data Entry'!$Ĝ$460)</f>
      </c>
      <c r="HM460">
        <f>IF(ISBLANK('Data Entry'!$ĝ$460), "", 'Data Entry'!$ĝ$460)</f>
      </c>
      <c r="HN460">
        <f>IF(ISBLANK('Data Entry'!$Ğ$460), "", 'Data Entry'!$Ğ$460)</f>
      </c>
      <c r="HO460">
        <f>IF(ISBLANK('Data Entry'!$ğ$460), "", 'Data Entry'!$ğ$460)</f>
      </c>
      <c r="HP460">
        <f>IF(ISBLANK('Data Entry'!$Ġ$460), "", 'Data Entry'!$Ġ$460)</f>
      </c>
      <c r="HQ460">
        <f>IF(ISBLANK('Data Entry'!$ġ$460), "", 'Data Entry'!$ġ$460)</f>
      </c>
      <c r="HR460">
        <f>IF(ISBLANK('Data Entry'!$Ģ$460), "", 'Data Entry'!$Ģ$460)</f>
      </c>
      <c r="HS460">
        <f>IF(ISBLANK('Data Entry'!$ģ$460), "", 'Data Entry'!$ģ$460)</f>
      </c>
      <c r="HT460">
        <f>IF(ISBLANK('Data Entry'!$Ĥ$460), "", 'Data Entry'!$Ĥ$460)</f>
      </c>
      <c r="HU460">
        <f>IF(ISBLANK('Data Entry'!$ĥ$460), "", 'Data Entry'!$ĥ$460)</f>
      </c>
      <c r="HV460">
        <f>IF(ISBLANK('Data Entry'!$Ħ$460), "", 'Data Entry'!$Ħ$460)</f>
      </c>
      <c r="HW460">
        <f>IF(ISBLANK('Data Entry'!$ħ$460), "", 'Data Entry'!$ħ$460)</f>
      </c>
      <c r="HX460">
        <f>IF(ISBLANK('Data Entry'!$Ĩ$460), "", 'Data Entry'!$Ĩ$460)</f>
      </c>
      <c r="HY460">
        <f>IF(ISBLANK('Data Entry'!$ĩ$460), "", 'Data Entry'!$ĩ$460)</f>
      </c>
      <c r="HZ460">
        <f>IF(ISBLANK('Data Entry'!$Ī$460), "", 'Data Entry'!$Ī$460)</f>
      </c>
      <c r="IA460">
        <f>IF(ISBLANK('Data Entry'!$ī$460), "", 'Data Entry'!$ī$460)</f>
      </c>
      <c r="IB460">
        <f>IF(ISBLANK('Data Entry'!$Ĭ$460), "", 'Data Entry'!$Ĭ$460)</f>
      </c>
      <c r="IC460">
        <f>IF(ISBLANK('Data Entry'!$ĭ$460), "", 'Data Entry'!$ĭ$460)</f>
      </c>
      <c r="ID460">
        <f>IF(ISBLANK('Data Entry'!$Į$460), "", 'Data Entry'!$Į$460)</f>
      </c>
      <c r="IE460">
        <f>IF(ISBLANK('Data Entry'!$į$460), "", 'Data Entry'!$į$460)</f>
      </c>
      <c r="IF460">
        <f>IF(ISBLANK('Data Entry'!$İ$460), "", 'Data Entry'!$İ$460)</f>
      </c>
      <c r="IG460">
        <f>IF(ISBLANK('Data Entry'!$ı$460), "", 'Data Entry'!$ı$460)</f>
      </c>
      <c r="IH460">
        <f>IF(ISBLANK('Data Entry'!$Ĳ$460), "", 'Data Entry'!$Ĳ$460)</f>
      </c>
      <c r="II460">
        <f>IF(ISBLANK('Data Entry'!$ĳ$460), "", 'Data Entry'!$ĳ$460)</f>
      </c>
      <c r="IJ460">
        <f>IF(ISBLANK('Data Entry'!$Ĵ$460), "", 'Data Entry'!$Ĵ$460)</f>
      </c>
      <c r="IK460">
        <f>IF(ISBLANK('Data Entry'!$ĵ$460), "", 'Data Entry'!$ĵ$460)</f>
      </c>
      <c r="IL460">
        <f>IF(ISBLANK('Data Entry'!$Ķ$460), "", 'Data Entry'!$Ķ$460)</f>
      </c>
      <c r="IM460">
        <f>IF(ISBLANK('Data Entry'!$ķ$460), "", 'Data Entry'!$ķ$460)</f>
      </c>
      <c r="IN460">
        <f>IF(ISBLANK('Data Entry'!$ĸ$460), "", 'Data Entry'!$ĸ$460)</f>
      </c>
      <c r="IO460">
        <f>IF(ISBLANK('Data Entry'!$Ĺ$460), "", 'Data Entry'!$Ĺ$460)</f>
      </c>
      <c r="IP460">
        <f>IF(ISBLANK('Data Entry'!$ĺ$460), "", 'Data Entry'!$ĺ$460)</f>
      </c>
      <c r="IQ460">
        <f>IF(ISBLANK('Data Entry'!$Ļ$460), "", 'Data Entry'!$Ļ$460)</f>
      </c>
      <c r="IR460">
        <f>IF(ISBLANK('Data Entry'!$ļ$460), "", 'Data Entry'!$ļ$460)</f>
      </c>
      <c r="IS460">
        <f>IF(ISBLANK('Data Entry'!$Ľ$460), "", 'Data Entry'!$Ľ$460)</f>
      </c>
      <c r="IT460">
        <f>IF(ISBLANK('Data Entry'!$ľ$460), "", 'Data Entry'!$ľ$460)</f>
      </c>
    </row>
    <row r="461" spans="1:254" x14ac:dyDescent="0.25">
      <c r="A461">
        <f>IF(ISBLANK('Data Entry'!$A$461), "", 'Data Entry'!$A$461)</f>
      </c>
      <c r="B461">
        <f>IF(ISBLANK('Data Entry'!$B$461), "", 'Data Entry'!$B$461)</f>
      </c>
      <c r="C461">
        <f>IF(ISBLANK('Data Entry'!$C$461), "", 'Data Entry'!$C$461)</f>
      </c>
      <c r="D461">
        <f>IF(ISBLANK('Data Entry'!$D$461), "", 'Data Entry'!$D$461)</f>
      </c>
      <c r="E461">
        <f>IF(ISBLANK('Data Entry'!$E$461), "", 'Data Entry'!$E$461)</f>
      </c>
      <c r="F461">
        <f>IF(ISBLANK('Data Entry'!$F$461), "", 'Data Entry'!$F$461)</f>
      </c>
      <c r="G461">
        <f>IF(ISBLANK('Data Entry'!$G$461), "", 'Data Entry'!$G$461)</f>
      </c>
      <c r="H461">
        <f>IF(ISBLANK('Data Entry'!$H$461), "", 'Data Entry'!$H$461)</f>
      </c>
      <c r="I461">
        <f>IF(ISBLANK('Data Entry'!$I$461), "", 'Data Entry'!$I$461)</f>
      </c>
      <c r="J461">
        <f>IF(ISBLANK('Data Entry'!$J$461), "", 'Data Entry'!$J$461)</f>
      </c>
      <c r="K461">
        <f>IF(ISBLANK('Data Entry'!$K$461), "", 'Data Entry'!$K$461)</f>
      </c>
      <c r="L461">
        <f>IF(ISBLANK('Data Entry'!$L$461), "", 'Data Entry'!$L$461)</f>
      </c>
      <c r="M461">
        <f>IF(ISBLANK('Data Entry'!$M$461), "", 'Data Entry'!$M$461)</f>
      </c>
      <c r="N461">
        <f>IF(ISBLANK('Data Entry'!$N$461), "", 'Data Entry'!$N$461)</f>
      </c>
      <c r="O461">
        <f>IF(ISBLANK('Data Entry'!$O$461), "", 'Data Entry'!$O$461)</f>
      </c>
      <c r="P461">
        <f>IF(ISBLANK('Data Entry'!$P$461), "", 'Data Entry'!$P$461)</f>
      </c>
      <c r="Q461">
        <f>IF(ISBLANK('Data Entry'!$Q$461), "", 'Data Entry'!$Q$461)</f>
      </c>
      <c r="R461">
        <f>IF(ISBLANK('Data Entry'!$R$461), "", 'Data Entry'!$R$461)</f>
      </c>
      <c r="S461">
        <f>IF(ISBLANK('Data Entry'!$S$461), "", 'Data Entry'!$S$461)</f>
      </c>
      <c r="T461">
        <f>IF(ISBLANK('Data Entry'!$T$461), "", 'Data Entry'!$T$461)</f>
      </c>
      <c r="U461">
        <f>IF(ISBLANK('Data Entry'!$U$461), "", 'Data Entry'!$U$461)</f>
      </c>
      <c r="V461">
        <f>IF(ISBLANK('Data Entry'!$V$461), "", 'Data Entry'!$V$461)</f>
      </c>
      <c r="W461">
        <f>IF(ISBLANK('Data Entry'!$W$461), "", 'Data Entry'!$W$461)</f>
      </c>
      <c r="X461">
        <f>IF(ISBLANK('Data Entry'!$X$461), "", 'Data Entry'!$X$461)</f>
      </c>
      <c r="Y461">
        <f>IF(ISBLANK('Data Entry'!$Y$461), "", 'Data Entry'!$Y$461)</f>
      </c>
      <c r="Z461">
        <f>IF(ISBLANK('Data Entry'!$Z$461), "", 'Data Entry'!$Z$461)</f>
      </c>
      <c r="AA461">
        <f>IF(ISBLANK('Data Entry'!$[$461), "", 'Data Entry'!$[$461)</f>
      </c>
      <c r="AB461">
        <f>IF(ISBLANK('Data Entry'!$\$461), "", 'Data Entry'!$\$461)</f>
      </c>
      <c r="AC461">
        <f>IF(ISBLANK('Data Entry'!$]$461), "", 'Data Entry'!$]$461)</f>
      </c>
      <c r="AD461">
        <f>IF(ISBLANK('Data Entry'!$^$461), "", 'Data Entry'!$^$461)</f>
      </c>
      <c r="AE461">
        <f>IF(ISBLANK('Data Entry'!$_$461), "", 'Data Entry'!$_$461)</f>
      </c>
      <c r="AF461">
        <f>IF(ISBLANK('Data Entry'!$`$461), "", 'Data Entry'!$`$461)</f>
      </c>
      <c r="AG461">
        <f>IF(ISBLANK('Data Entry'!$a$461), "", 'Data Entry'!$a$461)</f>
      </c>
      <c r="AH461">
        <f>IF(ISBLANK('Data Entry'!$b$461), "", 'Data Entry'!$b$461)</f>
      </c>
      <c r="AI461">
        <f>IF(ISBLANK('Data Entry'!$c$461), "", 'Data Entry'!$c$461)</f>
      </c>
      <c r="AJ461">
        <f>IF(ISBLANK('Data Entry'!$d$461), "", 'Data Entry'!$d$461)</f>
      </c>
      <c r="AK461">
        <f>IF(ISBLANK('Data Entry'!$e$461), "", 'Data Entry'!$e$461)</f>
      </c>
      <c r="AL461">
        <f>IF(ISBLANK('Data Entry'!$f$461), "", 'Data Entry'!$f$461)</f>
      </c>
      <c r="AM461">
        <f>IF(ISBLANK('Data Entry'!$g$461), "", 'Data Entry'!$g$461)</f>
      </c>
      <c r="AN461">
        <f>IF(ISBLANK('Data Entry'!$h$461), "", 'Data Entry'!$h$461)</f>
      </c>
      <c r="AO461">
        <f>IF(ISBLANK('Data Entry'!$i$461), "", 'Data Entry'!$i$461)</f>
      </c>
      <c r="AP461">
        <f>IF(ISBLANK('Data Entry'!$j$461), "", 'Data Entry'!$j$461)</f>
      </c>
      <c r="AQ461">
        <f>IF(ISBLANK('Data Entry'!$k$461), "", 'Data Entry'!$k$461)</f>
      </c>
      <c r="AR461">
        <f>IF(ISBLANK('Data Entry'!$l$461), "", 'Data Entry'!$l$461)</f>
      </c>
      <c r="AS461">
        <f>IF(ISBLANK('Data Entry'!$m$461), "", 'Data Entry'!$m$461)</f>
      </c>
      <c r="AT461">
        <f>IF(ISBLANK('Data Entry'!$n$461), "", 'Data Entry'!$n$461)</f>
      </c>
      <c r="AU461">
        <f>IF(ISBLANK('Data Entry'!$o$461), "", 'Data Entry'!$o$461)</f>
      </c>
      <c r="AV461">
        <f>IF(ISBLANK('Data Entry'!$p$461), "", 'Data Entry'!$p$461)</f>
      </c>
      <c r="AW461">
        <f>IF(ISBLANK('Data Entry'!$q$461), "", 'Data Entry'!$q$461)</f>
      </c>
      <c r="AX461">
        <f>IF(ISBLANK('Data Entry'!$r$461), "", 'Data Entry'!$r$461)</f>
      </c>
      <c r="AY461">
        <f>IF(ISBLANK('Data Entry'!$s$461), "", 'Data Entry'!$s$461)</f>
      </c>
      <c r="AZ461">
        <f>IF(ISBLANK('Data Entry'!$t$461), "", 'Data Entry'!$t$461)</f>
      </c>
      <c r="BA461">
        <f>IF(ISBLANK('Data Entry'!$u$461), "", 'Data Entry'!$u$461)</f>
      </c>
      <c r="BB461">
        <f>IF(ISBLANK('Data Entry'!$v$461), "", 'Data Entry'!$v$461)</f>
      </c>
      <c r="BC461">
        <f>IF(ISBLANK('Data Entry'!$w$461), "", 'Data Entry'!$w$461)</f>
      </c>
      <c r="BD461">
        <f>IF(ISBLANK('Data Entry'!$x$461), "", 'Data Entry'!$x$461)</f>
      </c>
      <c r="BE461">
        <f>IF(ISBLANK('Data Entry'!$y$461), "", 'Data Entry'!$y$461)</f>
      </c>
      <c r="BF461">
        <f>IF(ISBLANK('Data Entry'!$z$461), "", 'Data Entry'!$z$461)</f>
      </c>
      <c r="BG461">
        <f>IF(ISBLANK('Data Entry'!${$461), "", 'Data Entry'!${$461)</f>
      </c>
      <c r="BH461">
        <f>IF(ISBLANK('Data Entry'!$|$461), "", 'Data Entry'!$|$461)</f>
      </c>
      <c r="BI461">
        <f>IF(ISBLANK('Data Entry'!$}$461), "", 'Data Entry'!$}$461)</f>
      </c>
      <c r="BJ461">
        <f>IF(ISBLANK('Data Entry'!$~$461), "", 'Data Entry'!$~$461)</f>
      </c>
      <c r="BK461">
        <f>IF(ISBLANK('Data Entry'!$$461), "", 'Data Entry'!$$461)</f>
      </c>
      <c r="BL461">
        <f>IF(ISBLANK('Data Entry'!$$461), "", 'Data Entry'!$$461)</f>
      </c>
      <c r="BM461">
        <f>IF(ISBLANK('Data Entry'!$$461), "", 'Data Entry'!$$461)</f>
      </c>
      <c r="BN461">
        <f>IF(ISBLANK('Data Entry'!$$461), "", 'Data Entry'!$$461)</f>
      </c>
      <c r="BO461">
        <f>IF(ISBLANK('Data Entry'!$$461), "", 'Data Entry'!$$461)</f>
      </c>
      <c r="BP461">
        <f>IF(ISBLANK('Data Entry'!$$461), "", 'Data Entry'!$$461)</f>
      </c>
      <c r="BQ461">
        <f>IF(ISBLANK('Data Entry'!$$461), "", 'Data Entry'!$$461)</f>
      </c>
      <c r="BR461">
        <f>IF(ISBLANK('Data Entry'!$$461), "", 'Data Entry'!$$461)</f>
      </c>
      <c r="BS461">
        <f>IF(ISBLANK('Data Entry'!$$461), "", 'Data Entry'!$$461)</f>
      </c>
      <c r="BT461">
        <f>IF(ISBLANK('Data Entry'!$$461), "", 'Data Entry'!$$461)</f>
      </c>
      <c r="BU461">
        <f>IF(ISBLANK('Data Entry'!$$461), "", 'Data Entry'!$$461)</f>
      </c>
      <c r="BV461">
        <f>IF(ISBLANK('Data Entry'!$$461), "", 'Data Entry'!$$461)</f>
      </c>
      <c r="BW461">
        <f>IF(ISBLANK('Data Entry'!$$461), "", 'Data Entry'!$$461)</f>
      </c>
      <c r="BX461">
        <f>IF(ISBLANK('Data Entry'!$$461), "", 'Data Entry'!$$461)</f>
      </c>
      <c r="BY461">
        <f>IF(ISBLANK('Data Entry'!$$461), "", 'Data Entry'!$$461)</f>
      </c>
      <c r="BZ461">
        <f>IF(ISBLANK('Data Entry'!$$461), "", 'Data Entry'!$$461)</f>
      </c>
      <c r="CA461">
        <f>IF(ISBLANK('Data Entry'!$$461), "", 'Data Entry'!$$461)</f>
      </c>
      <c r="CB461">
        <f>IF(ISBLANK('Data Entry'!$$461), "", 'Data Entry'!$$461)</f>
      </c>
      <c r="CC461">
        <f>IF(ISBLANK('Data Entry'!$$461), "", 'Data Entry'!$$461)</f>
      </c>
      <c r="CD461">
        <f>IF(ISBLANK('Data Entry'!$$461), "", 'Data Entry'!$$461)</f>
      </c>
      <c r="CE461">
        <f>IF(ISBLANK('Data Entry'!$$461), "", 'Data Entry'!$$461)</f>
      </c>
      <c r="CF461">
        <f>IF(ISBLANK('Data Entry'!$$461), "", 'Data Entry'!$$461)</f>
      </c>
      <c r="CG461">
        <f>IF(ISBLANK('Data Entry'!$$461), "", 'Data Entry'!$$461)</f>
      </c>
      <c r="CH461">
        <f>IF(ISBLANK('Data Entry'!$$461), "", 'Data Entry'!$$461)</f>
      </c>
      <c r="CI461">
        <f>IF(ISBLANK('Data Entry'!$$461), "", 'Data Entry'!$$461)</f>
      </c>
      <c r="CJ461">
        <f>IF(ISBLANK('Data Entry'!$$461), "", 'Data Entry'!$$461)</f>
      </c>
      <c r="CK461">
        <f>IF(ISBLANK('Data Entry'!$$461), "", 'Data Entry'!$$461)</f>
      </c>
      <c r="CL461">
        <f>IF(ISBLANK('Data Entry'!$$461), "", 'Data Entry'!$$461)</f>
      </c>
      <c r="CM461">
        <f>IF(ISBLANK('Data Entry'!$$461), "", 'Data Entry'!$$461)</f>
      </c>
      <c r="CN461">
        <f>IF(ISBLANK('Data Entry'!$$461), "", 'Data Entry'!$$461)</f>
      </c>
      <c r="CO461">
        <f>IF(ISBLANK('Data Entry'!$$461), "", 'Data Entry'!$$461)</f>
      </c>
      <c r="CP461">
        <f>IF(ISBLANK('Data Entry'!$$461), "", 'Data Entry'!$$461)</f>
      </c>
      <c r="CQ461">
        <f>IF(ISBLANK('Data Entry'!$$461), "", 'Data Entry'!$$461)</f>
      </c>
      <c r="CR461">
        <f>IF(ISBLANK('Data Entry'!$ $461), "", 'Data Entry'!$ $461)</f>
      </c>
      <c r="CS461">
        <f>IF(ISBLANK('Data Entry'!$¡$461), "", 'Data Entry'!$¡$461)</f>
      </c>
      <c r="CT461">
        <f>IF(ISBLANK('Data Entry'!$¢$461), "", 'Data Entry'!$¢$461)</f>
      </c>
      <c r="CU461">
        <f>IF(ISBLANK('Data Entry'!$£$461), "", 'Data Entry'!$£$461)</f>
      </c>
      <c r="CV461">
        <f>IF(ISBLANK('Data Entry'!$¤$461), "", 'Data Entry'!$¤$461)</f>
      </c>
      <c r="CW461">
        <f>IF(ISBLANK('Data Entry'!$¥$461), "", 'Data Entry'!$¥$461)</f>
      </c>
      <c r="CX461">
        <f>IF(ISBLANK('Data Entry'!$¦$461), "", 'Data Entry'!$¦$461)</f>
      </c>
      <c r="CY461">
        <f>IF(ISBLANK('Data Entry'!$§$461), "", 'Data Entry'!$§$461)</f>
      </c>
      <c r="CZ461">
        <f>IF(ISBLANK('Data Entry'!$¨$461), "", 'Data Entry'!$¨$461)</f>
      </c>
      <c r="DA461">
        <f>IF(ISBLANK('Data Entry'!$©$461), "", 'Data Entry'!$©$461)</f>
      </c>
      <c r="DB461">
        <f>IF(ISBLANK('Data Entry'!$ª$461), "", 'Data Entry'!$ª$461)</f>
      </c>
      <c r="DC461">
        <f>IF(ISBLANK('Data Entry'!$«$461), "", 'Data Entry'!$«$461)</f>
      </c>
      <c r="DD461">
        <f>IF(ISBLANK('Data Entry'!$¬$461), "", 'Data Entry'!$¬$461)</f>
      </c>
      <c r="DE461">
        <f>IF(ISBLANK('Data Entry'!$­$461), "", 'Data Entry'!$­$461)</f>
      </c>
      <c r="DF461">
        <f>IF(ISBLANK('Data Entry'!$®$461), "", 'Data Entry'!$®$461)</f>
      </c>
      <c r="DG461">
        <f>IF(ISBLANK('Data Entry'!$¯$461), "", 'Data Entry'!$¯$461)</f>
      </c>
      <c r="DH461">
        <f>IF(ISBLANK('Data Entry'!$°$461), "", 'Data Entry'!$°$461)</f>
      </c>
      <c r="DI461">
        <f>IF(ISBLANK('Data Entry'!$±$461), "", 'Data Entry'!$±$461)</f>
      </c>
      <c r="DJ461">
        <f>IF(ISBLANK('Data Entry'!$²$461), "", 'Data Entry'!$²$461)</f>
      </c>
      <c r="DK461">
        <f>IF(ISBLANK('Data Entry'!$³$461), "", 'Data Entry'!$³$461)</f>
      </c>
      <c r="DL461">
        <f>IF(ISBLANK('Data Entry'!$´$461), "", 'Data Entry'!$´$461)</f>
      </c>
      <c r="DM461">
        <f>IF(ISBLANK('Data Entry'!$µ$461), "", 'Data Entry'!$µ$461)</f>
      </c>
      <c r="DN461">
        <f>IF(ISBLANK('Data Entry'!$¶$461), "", 'Data Entry'!$¶$461)</f>
      </c>
      <c r="DO461">
        <f>IF(ISBLANK('Data Entry'!$·$461), "", 'Data Entry'!$·$461)</f>
      </c>
      <c r="DP461">
        <f>IF(ISBLANK('Data Entry'!$¸$461), "", 'Data Entry'!$¸$461)</f>
      </c>
      <c r="DQ461">
        <f>IF(ISBLANK('Data Entry'!$¹$461), "", 'Data Entry'!$¹$461)</f>
      </c>
      <c r="DR461">
        <f>IF(ISBLANK('Data Entry'!$º$461), "", 'Data Entry'!$º$461)</f>
      </c>
      <c r="DS461">
        <f>IF(ISBLANK('Data Entry'!$»$461), "", 'Data Entry'!$»$461)</f>
      </c>
      <c r="DT461">
        <f>IF(ISBLANK('Data Entry'!$¼$461), "", 'Data Entry'!$¼$461)</f>
      </c>
      <c r="DU461">
        <f>IF(ISBLANK('Data Entry'!$½$461), "", 'Data Entry'!$½$461)</f>
      </c>
      <c r="DV461">
        <f>IF(ISBLANK('Data Entry'!$¾$461), "", 'Data Entry'!$¾$461)</f>
      </c>
      <c r="DW461">
        <f>IF(ISBLANK('Data Entry'!$¿$461), "", 'Data Entry'!$¿$461)</f>
      </c>
      <c r="DX461">
        <f>IF(ISBLANK('Data Entry'!$À$461), "", 'Data Entry'!$À$461)</f>
      </c>
      <c r="DY461">
        <f>IF(ISBLANK('Data Entry'!$Á$461), "", 'Data Entry'!$Á$461)</f>
      </c>
      <c r="DZ461">
        <f>IF(ISBLANK('Data Entry'!$Â$461), "", 'Data Entry'!$Â$461)</f>
      </c>
      <c r="EA461">
        <f>IF(ISBLANK('Data Entry'!$Ã$461), "", 'Data Entry'!$Ã$461)</f>
      </c>
      <c r="EB461">
        <f>IF(ISBLANK('Data Entry'!$Ä$461), "", 'Data Entry'!$Ä$461)</f>
      </c>
      <c r="EC461">
        <f>IF(ISBLANK('Data Entry'!$Å$461), "", 'Data Entry'!$Å$461)</f>
      </c>
      <c r="ED461">
        <f>IF(ISBLANK('Data Entry'!$Æ$461), "", 'Data Entry'!$Æ$461)</f>
      </c>
      <c r="EE461">
        <f>IF(ISBLANK('Data Entry'!$Ç$461), "", 'Data Entry'!$Ç$461)</f>
      </c>
      <c r="EF461">
        <f>IF(ISBLANK('Data Entry'!$È$461), "", 'Data Entry'!$È$461)</f>
      </c>
      <c r="EG461">
        <f>IF(ISBLANK('Data Entry'!$É$461), "", 'Data Entry'!$É$461)</f>
      </c>
      <c r="EH461">
        <f>IF(ISBLANK('Data Entry'!$Ê$461), "", 'Data Entry'!$Ê$461)</f>
      </c>
      <c r="EI461">
        <f>IF(ISBLANK('Data Entry'!$Ë$461), "", 'Data Entry'!$Ë$461)</f>
      </c>
      <c r="EJ461">
        <f>IF(ISBLANK('Data Entry'!$Ì$461), "", 'Data Entry'!$Ì$461)</f>
      </c>
      <c r="EK461">
        <f>IF(ISBLANK('Data Entry'!$Í$461), "", 'Data Entry'!$Í$461)</f>
      </c>
      <c r="EL461">
        <f>IF(ISBLANK('Data Entry'!$Î$461), "", 'Data Entry'!$Î$461)</f>
      </c>
      <c r="EM461">
        <f>IF(ISBLANK('Data Entry'!$Ï$461), "", 'Data Entry'!$Ï$461)</f>
      </c>
      <c r="EN461">
        <f>IF(ISBLANK('Data Entry'!$Ð$461), "", 'Data Entry'!$Ð$461)</f>
      </c>
      <c r="EO461">
        <f>IF(ISBLANK('Data Entry'!$Ñ$461), "", 'Data Entry'!$Ñ$461)</f>
      </c>
      <c r="EP461">
        <f>IF(ISBLANK('Data Entry'!$Ò$461), "", 'Data Entry'!$Ò$461)</f>
      </c>
      <c r="EQ461">
        <f>IF(ISBLANK('Data Entry'!$Ó$461), "", 'Data Entry'!$Ó$461)</f>
      </c>
      <c r="ER461">
        <f>IF(ISBLANK('Data Entry'!$Ô$461), "", 'Data Entry'!$Ô$461)</f>
      </c>
      <c r="ES461">
        <f>IF(ISBLANK('Data Entry'!$Õ$461), "", 'Data Entry'!$Õ$461)</f>
      </c>
      <c r="ET461">
        <f>IF(ISBLANK('Data Entry'!$Ö$461), "", 'Data Entry'!$Ö$461)</f>
      </c>
      <c r="EU461">
        <f>IF(ISBLANK('Data Entry'!$×$461), "", 'Data Entry'!$×$461)</f>
      </c>
      <c r="EV461">
        <f>IF(ISBLANK('Data Entry'!$Ø$461), "", 'Data Entry'!$Ø$461)</f>
      </c>
      <c r="EW461">
        <f>IF(ISBLANK('Data Entry'!$Ù$461), "", 'Data Entry'!$Ù$461)</f>
      </c>
      <c r="EX461">
        <f>IF(ISBLANK('Data Entry'!$Ú$461), "", 'Data Entry'!$Ú$461)</f>
      </c>
      <c r="EY461">
        <f>IF(ISBLANK('Data Entry'!$Û$461), "", 'Data Entry'!$Û$461)</f>
      </c>
      <c r="EZ461">
        <f>IF(ISBLANK('Data Entry'!$Ü$461), "", 'Data Entry'!$Ü$461)</f>
      </c>
      <c r="FA461">
        <f>IF(ISBLANK('Data Entry'!$Ý$461), "", 'Data Entry'!$Ý$461)</f>
      </c>
      <c r="FB461">
        <f>IF(ISBLANK('Data Entry'!$Þ$461), "", 'Data Entry'!$Þ$461)</f>
      </c>
      <c r="FC461">
        <f>IF(ISBLANK('Data Entry'!$ß$461), "", 'Data Entry'!$ß$461)</f>
      </c>
      <c r="FD461">
        <f>IF(ISBLANK('Data Entry'!$à$461), "", 'Data Entry'!$à$461)</f>
      </c>
      <c r="FE461">
        <f>IF(ISBLANK('Data Entry'!$á$461), "", 'Data Entry'!$á$461)</f>
      </c>
      <c r="FF461">
        <f>IF(ISBLANK('Data Entry'!$â$461), "", 'Data Entry'!$â$461)</f>
      </c>
      <c r="FG461">
        <f>IF(ISBLANK('Data Entry'!$ã$461), "", 'Data Entry'!$ã$461)</f>
      </c>
      <c r="FH461">
        <f>IF(ISBLANK('Data Entry'!$ä$461), "", 'Data Entry'!$ä$461)</f>
      </c>
      <c r="FI461">
        <f>IF(ISBLANK('Data Entry'!$å$461), "", 'Data Entry'!$å$461)</f>
      </c>
      <c r="FJ461">
        <f>IF(ISBLANK('Data Entry'!$æ$461), "", 'Data Entry'!$æ$461)</f>
      </c>
      <c r="FK461">
        <f>IF(ISBLANK('Data Entry'!$ç$461), "", 'Data Entry'!$ç$461)</f>
      </c>
      <c r="FL461">
        <f>IF(ISBLANK('Data Entry'!$è$461), "", 'Data Entry'!$è$461)</f>
      </c>
      <c r="FM461">
        <f>IF(ISBLANK('Data Entry'!$é$461), "", 'Data Entry'!$é$461)</f>
      </c>
      <c r="FN461">
        <f>IF(ISBLANK('Data Entry'!$ê$461), "", 'Data Entry'!$ê$461)</f>
      </c>
      <c r="FO461">
        <f>IF(ISBLANK('Data Entry'!$ë$461), "", 'Data Entry'!$ë$461)</f>
      </c>
      <c r="FP461">
        <f>IF(ISBLANK('Data Entry'!$ì$461), "", 'Data Entry'!$ì$461)</f>
      </c>
      <c r="FQ461">
        <f>IF(ISBLANK('Data Entry'!$í$461), "", 'Data Entry'!$í$461)</f>
      </c>
      <c r="FR461">
        <f>IF(ISBLANK('Data Entry'!$î$461), "", 'Data Entry'!$î$461)</f>
      </c>
      <c r="FS461">
        <f>IF(ISBLANK('Data Entry'!$ï$461), "", 'Data Entry'!$ï$461)</f>
      </c>
      <c r="FT461">
        <f>IF(ISBLANK('Data Entry'!$ð$461), "", 'Data Entry'!$ð$461)</f>
      </c>
      <c r="FU461">
        <f>IF(ISBLANK('Data Entry'!$ñ$461), "", 'Data Entry'!$ñ$461)</f>
      </c>
      <c r="FV461">
        <f>IF(ISBLANK('Data Entry'!$ò$461), "", 'Data Entry'!$ò$461)</f>
      </c>
      <c r="FW461">
        <f>IF(ISBLANK('Data Entry'!$ó$461), "", 'Data Entry'!$ó$461)</f>
      </c>
      <c r="FX461">
        <f>IF(ISBLANK('Data Entry'!$ô$461), "", 'Data Entry'!$ô$461)</f>
      </c>
      <c r="FY461">
        <f>IF(ISBLANK('Data Entry'!$õ$461), "", 'Data Entry'!$õ$461)</f>
      </c>
      <c r="FZ461">
        <f>IF(ISBLANK('Data Entry'!$ö$461), "", 'Data Entry'!$ö$461)</f>
      </c>
      <c r="GA461">
        <f>IF(ISBLANK('Data Entry'!$÷$461), "", 'Data Entry'!$÷$461)</f>
      </c>
      <c r="GB461">
        <f>IF(ISBLANK('Data Entry'!$ø$461), "", 'Data Entry'!$ø$461)</f>
      </c>
      <c r="GC461">
        <f>IF(ISBLANK('Data Entry'!$ù$461), "", 'Data Entry'!$ù$461)</f>
      </c>
      <c r="GD461">
        <f>IF(ISBLANK('Data Entry'!$ú$461), "", 'Data Entry'!$ú$461)</f>
      </c>
      <c r="GE461">
        <f>IF(ISBLANK('Data Entry'!$û$461), "", 'Data Entry'!$û$461)</f>
      </c>
      <c r="GF461">
        <f>IF(ISBLANK('Data Entry'!$ü$461), "", 'Data Entry'!$ü$461)</f>
      </c>
      <c r="GG461">
        <f>IF(ISBLANK('Data Entry'!$ý$461), "", 'Data Entry'!$ý$461)</f>
      </c>
      <c r="GH461">
        <f>IF(ISBLANK('Data Entry'!$þ$461), "", 'Data Entry'!$þ$461)</f>
      </c>
      <c r="GI461">
        <f>IF(ISBLANK('Data Entry'!$ÿ$461), "", 'Data Entry'!$ÿ$461)</f>
      </c>
      <c r="GJ461">
        <f>IF(ISBLANK('Data Entry'!$Ā$461), "", 'Data Entry'!$Ā$461)</f>
      </c>
      <c r="GK461">
        <f>IF(ISBLANK('Data Entry'!$ā$461), "", 'Data Entry'!$ā$461)</f>
      </c>
      <c r="GL461">
        <f>IF(ISBLANK('Data Entry'!$Ă$461), "", 'Data Entry'!$Ă$461)</f>
      </c>
      <c r="GM461">
        <f>IF(ISBLANK('Data Entry'!$ă$461), "", 'Data Entry'!$ă$461)</f>
      </c>
      <c r="GN461">
        <f>IF(ISBLANK('Data Entry'!$Ą$461), "", 'Data Entry'!$Ą$461)</f>
      </c>
      <c r="GO461">
        <f>IF(ISBLANK('Data Entry'!$ą$461), "", 'Data Entry'!$ą$461)</f>
      </c>
      <c r="GP461">
        <f>IF(ISBLANK('Data Entry'!$Ć$461), "", 'Data Entry'!$Ć$461)</f>
      </c>
      <c r="GQ461">
        <f>IF(ISBLANK('Data Entry'!$ć$461), "", 'Data Entry'!$ć$461)</f>
      </c>
      <c r="GR461">
        <f>IF(ISBLANK('Data Entry'!$Ĉ$461), "", 'Data Entry'!$Ĉ$461)</f>
      </c>
      <c r="GS461">
        <f>IF(ISBLANK('Data Entry'!$ĉ$461), "", 'Data Entry'!$ĉ$461)</f>
      </c>
      <c r="GT461">
        <f>IF(ISBLANK('Data Entry'!$Ċ$461), "", 'Data Entry'!$Ċ$461)</f>
      </c>
      <c r="GU461">
        <f>IF(ISBLANK('Data Entry'!$ċ$461), "", 'Data Entry'!$ċ$461)</f>
      </c>
      <c r="GV461">
        <f>IF(ISBLANK('Data Entry'!$Č$461), "", 'Data Entry'!$Č$461)</f>
      </c>
      <c r="GW461">
        <f>IF(ISBLANK('Data Entry'!$č$461), "", 'Data Entry'!$č$461)</f>
      </c>
      <c r="GX461">
        <f>IF(ISBLANK('Data Entry'!$Ď$461), "", 'Data Entry'!$Ď$461)</f>
      </c>
      <c r="GY461">
        <f>IF(ISBLANK('Data Entry'!$ď$461), "", 'Data Entry'!$ď$461)</f>
      </c>
      <c r="GZ461">
        <f>IF(ISBLANK('Data Entry'!$Đ$461), "", 'Data Entry'!$Đ$461)</f>
      </c>
      <c r="HA461">
        <f>IF(ISBLANK('Data Entry'!$đ$461), "", 'Data Entry'!$đ$461)</f>
      </c>
      <c r="HB461">
        <f>IF(ISBLANK('Data Entry'!$Ē$461), "", 'Data Entry'!$Ē$461)</f>
      </c>
      <c r="HC461">
        <f>IF(ISBLANK('Data Entry'!$ē$461), "", 'Data Entry'!$ē$461)</f>
      </c>
      <c r="HD461">
        <f>IF(ISBLANK('Data Entry'!$Ĕ$461), "", 'Data Entry'!$Ĕ$461)</f>
      </c>
      <c r="HE461">
        <f>IF(ISBLANK('Data Entry'!$ĕ$461), "", 'Data Entry'!$ĕ$461)</f>
      </c>
      <c r="HF461">
        <f>IF(ISBLANK('Data Entry'!$Ė$461), "", 'Data Entry'!$Ė$461)</f>
      </c>
      <c r="HG461">
        <f>IF(ISBLANK('Data Entry'!$ė$461), "", 'Data Entry'!$ė$461)</f>
      </c>
      <c r="HH461">
        <f>IF(ISBLANK('Data Entry'!$Ę$461), "", 'Data Entry'!$Ę$461)</f>
      </c>
      <c r="HI461">
        <f>IF(ISBLANK('Data Entry'!$ę$461), "", 'Data Entry'!$ę$461)</f>
      </c>
      <c r="HJ461">
        <f>IF(ISBLANK('Data Entry'!$Ě$461), "", 'Data Entry'!$Ě$461)</f>
      </c>
      <c r="HK461">
        <f>IF(ISBLANK('Data Entry'!$ě$461), "", 'Data Entry'!$ě$461)</f>
      </c>
      <c r="HL461">
        <f>IF(ISBLANK('Data Entry'!$Ĝ$461), "", 'Data Entry'!$Ĝ$461)</f>
      </c>
      <c r="HM461">
        <f>IF(ISBLANK('Data Entry'!$ĝ$461), "", 'Data Entry'!$ĝ$461)</f>
      </c>
      <c r="HN461">
        <f>IF(ISBLANK('Data Entry'!$Ğ$461), "", 'Data Entry'!$Ğ$461)</f>
      </c>
      <c r="HO461">
        <f>IF(ISBLANK('Data Entry'!$ğ$461), "", 'Data Entry'!$ğ$461)</f>
      </c>
      <c r="HP461">
        <f>IF(ISBLANK('Data Entry'!$Ġ$461), "", 'Data Entry'!$Ġ$461)</f>
      </c>
      <c r="HQ461">
        <f>IF(ISBLANK('Data Entry'!$ġ$461), "", 'Data Entry'!$ġ$461)</f>
      </c>
      <c r="HR461">
        <f>IF(ISBLANK('Data Entry'!$Ģ$461), "", 'Data Entry'!$Ģ$461)</f>
      </c>
      <c r="HS461">
        <f>IF(ISBLANK('Data Entry'!$ģ$461), "", 'Data Entry'!$ģ$461)</f>
      </c>
      <c r="HT461">
        <f>IF(ISBLANK('Data Entry'!$Ĥ$461), "", 'Data Entry'!$Ĥ$461)</f>
      </c>
      <c r="HU461">
        <f>IF(ISBLANK('Data Entry'!$ĥ$461), "", 'Data Entry'!$ĥ$461)</f>
      </c>
      <c r="HV461">
        <f>IF(ISBLANK('Data Entry'!$Ħ$461), "", 'Data Entry'!$Ħ$461)</f>
      </c>
      <c r="HW461">
        <f>IF(ISBLANK('Data Entry'!$ħ$461), "", 'Data Entry'!$ħ$461)</f>
      </c>
      <c r="HX461">
        <f>IF(ISBLANK('Data Entry'!$Ĩ$461), "", 'Data Entry'!$Ĩ$461)</f>
      </c>
      <c r="HY461">
        <f>IF(ISBLANK('Data Entry'!$ĩ$461), "", 'Data Entry'!$ĩ$461)</f>
      </c>
      <c r="HZ461">
        <f>IF(ISBLANK('Data Entry'!$Ī$461), "", 'Data Entry'!$Ī$461)</f>
      </c>
      <c r="IA461">
        <f>IF(ISBLANK('Data Entry'!$ī$461), "", 'Data Entry'!$ī$461)</f>
      </c>
      <c r="IB461">
        <f>IF(ISBLANK('Data Entry'!$Ĭ$461), "", 'Data Entry'!$Ĭ$461)</f>
      </c>
      <c r="IC461">
        <f>IF(ISBLANK('Data Entry'!$ĭ$461), "", 'Data Entry'!$ĭ$461)</f>
      </c>
      <c r="ID461">
        <f>IF(ISBLANK('Data Entry'!$Į$461), "", 'Data Entry'!$Į$461)</f>
      </c>
      <c r="IE461">
        <f>IF(ISBLANK('Data Entry'!$į$461), "", 'Data Entry'!$į$461)</f>
      </c>
      <c r="IF461">
        <f>IF(ISBLANK('Data Entry'!$İ$461), "", 'Data Entry'!$İ$461)</f>
      </c>
      <c r="IG461">
        <f>IF(ISBLANK('Data Entry'!$ı$461), "", 'Data Entry'!$ı$461)</f>
      </c>
      <c r="IH461">
        <f>IF(ISBLANK('Data Entry'!$Ĳ$461), "", 'Data Entry'!$Ĳ$461)</f>
      </c>
      <c r="II461">
        <f>IF(ISBLANK('Data Entry'!$ĳ$461), "", 'Data Entry'!$ĳ$461)</f>
      </c>
      <c r="IJ461">
        <f>IF(ISBLANK('Data Entry'!$Ĵ$461), "", 'Data Entry'!$Ĵ$461)</f>
      </c>
      <c r="IK461">
        <f>IF(ISBLANK('Data Entry'!$ĵ$461), "", 'Data Entry'!$ĵ$461)</f>
      </c>
      <c r="IL461">
        <f>IF(ISBLANK('Data Entry'!$Ķ$461), "", 'Data Entry'!$Ķ$461)</f>
      </c>
      <c r="IM461">
        <f>IF(ISBLANK('Data Entry'!$ķ$461), "", 'Data Entry'!$ķ$461)</f>
      </c>
      <c r="IN461">
        <f>IF(ISBLANK('Data Entry'!$ĸ$461), "", 'Data Entry'!$ĸ$461)</f>
      </c>
      <c r="IO461">
        <f>IF(ISBLANK('Data Entry'!$Ĺ$461), "", 'Data Entry'!$Ĺ$461)</f>
      </c>
      <c r="IP461">
        <f>IF(ISBLANK('Data Entry'!$ĺ$461), "", 'Data Entry'!$ĺ$461)</f>
      </c>
      <c r="IQ461">
        <f>IF(ISBLANK('Data Entry'!$Ļ$461), "", 'Data Entry'!$Ļ$461)</f>
      </c>
      <c r="IR461">
        <f>IF(ISBLANK('Data Entry'!$ļ$461), "", 'Data Entry'!$ļ$461)</f>
      </c>
      <c r="IS461">
        <f>IF(ISBLANK('Data Entry'!$Ľ$461), "", 'Data Entry'!$Ľ$461)</f>
      </c>
      <c r="IT461">
        <f>IF(ISBLANK('Data Entry'!$ľ$461), "", 'Data Entry'!$ľ$461)</f>
      </c>
    </row>
    <row r="462" spans="1:254" x14ac:dyDescent="0.25">
      <c r="A462">
        <f>IF(ISBLANK('Data Entry'!$A$462), "", 'Data Entry'!$A$462)</f>
      </c>
      <c r="B462">
        <f>IF(ISBLANK('Data Entry'!$B$462), "", 'Data Entry'!$B$462)</f>
      </c>
      <c r="C462">
        <f>IF(ISBLANK('Data Entry'!$C$462), "", 'Data Entry'!$C$462)</f>
      </c>
      <c r="D462">
        <f>IF(ISBLANK('Data Entry'!$D$462), "", 'Data Entry'!$D$462)</f>
      </c>
      <c r="E462">
        <f>IF(ISBLANK('Data Entry'!$E$462), "", 'Data Entry'!$E$462)</f>
      </c>
      <c r="F462">
        <f>IF(ISBLANK('Data Entry'!$F$462), "", 'Data Entry'!$F$462)</f>
      </c>
      <c r="G462">
        <f>IF(ISBLANK('Data Entry'!$G$462), "", 'Data Entry'!$G$462)</f>
      </c>
      <c r="H462">
        <f>IF(ISBLANK('Data Entry'!$H$462), "", 'Data Entry'!$H$462)</f>
      </c>
      <c r="I462">
        <f>IF(ISBLANK('Data Entry'!$I$462), "", 'Data Entry'!$I$462)</f>
      </c>
      <c r="J462">
        <f>IF(ISBLANK('Data Entry'!$J$462), "", 'Data Entry'!$J$462)</f>
      </c>
      <c r="K462">
        <f>IF(ISBLANK('Data Entry'!$K$462), "", 'Data Entry'!$K$462)</f>
      </c>
      <c r="L462">
        <f>IF(ISBLANK('Data Entry'!$L$462), "", 'Data Entry'!$L$462)</f>
      </c>
      <c r="M462">
        <f>IF(ISBLANK('Data Entry'!$M$462), "", 'Data Entry'!$M$462)</f>
      </c>
      <c r="N462">
        <f>IF(ISBLANK('Data Entry'!$N$462), "", 'Data Entry'!$N$462)</f>
      </c>
      <c r="O462">
        <f>IF(ISBLANK('Data Entry'!$O$462), "", 'Data Entry'!$O$462)</f>
      </c>
      <c r="P462">
        <f>IF(ISBLANK('Data Entry'!$P$462), "", 'Data Entry'!$P$462)</f>
      </c>
      <c r="Q462">
        <f>IF(ISBLANK('Data Entry'!$Q$462), "", 'Data Entry'!$Q$462)</f>
      </c>
      <c r="R462">
        <f>IF(ISBLANK('Data Entry'!$R$462), "", 'Data Entry'!$R$462)</f>
      </c>
      <c r="S462">
        <f>IF(ISBLANK('Data Entry'!$S$462), "", 'Data Entry'!$S$462)</f>
      </c>
      <c r="T462">
        <f>IF(ISBLANK('Data Entry'!$T$462), "", 'Data Entry'!$T$462)</f>
      </c>
      <c r="U462">
        <f>IF(ISBLANK('Data Entry'!$U$462), "", 'Data Entry'!$U$462)</f>
      </c>
      <c r="V462">
        <f>IF(ISBLANK('Data Entry'!$V$462), "", 'Data Entry'!$V$462)</f>
      </c>
      <c r="W462">
        <f>IF(ISBLANK('Data Entry'!$W$462), "", 'Data Entry'!$W$462)</f>
      </c>
      <c r="X462">
        <f>IF(ISBLANK('Data Entry'!$X$462), "", 'Data Entry'!$X$462)</f>
      </c>
      <c r="Y462">
        <f>IF(ISBLANK('Data Entry'!$Y$462), "", 'Data Entry'!$Y$462)</f>
      </c>
      <c r="Z462">
        <f>IF(ISBLANK('Data Entry'!$Z$462), "", 'Data Entry'!$Z$462)</f>
      </c>
      <c r="AA462">
        <f>IF(ISBLANK('Data Entry'!$[$462), "", 'Data Entry'!$[$462)</f>
      </c>
      <c r="AB462">
        <f>IF(ISBLANK('Data Entry'!$\$462), "", 'Data Entry'!$\$462)</f>
      </c>
      <c r="AC462">
        <f>IF(ISBLANK('Data Entry'!$]$462), "", 'Data Entry'!$]$462)</f>
      </c>
      <c r="AD462">
        <f>IF(ISBLANK('Data Entry'!$^$462), "", 'Data Entry'!$^$462)</f>
      </c>
      <c r="AE462">
        <f>IF(ISBLANK('Data Entry'!$_$462), "", 'Data Entry'!$_$462)</f>
      </c>
      <c r="AF462">
        <f>IF(ISBLANK('Data Entry'!$`$462), "", 'Data Entry'!$`$462)</f>
      </c>
      <c r="AG462">
        <f>IF(ISBLANK('Data Entry'!$a$462), "", 'Data Entry'!$a$462)</f>
      </c>
      <c r="AH462">
        <f>IF(ISBLANK('Data Entry'!$b$462), "", 'Data Entry'!$b$462)</f>
      </c>
      <c r="AI462">
        <f>IF(ISBLANK('Data Entry'!$c$462), "", 'Data Entry'!$c$462)</f>
      </c>
      <c r="AJ462">
        <f>IF(ISBLANK('Data Entry'!$d$462), "", 'Data Entry'!$d$462)</f>
      </c>
      <c r="AK462">
        <f>IF(ISBLANK('Data Entry'!$e$462), "", 'Data Entry'!$e$462)</f>
      </c>
      <c r="AL462">
        <f>IF(ISBLANK('Data Entry'!$f$462), "", 'Data Entry'!$f$462)</f>
      </c>
      <c r="AM462">
        <f>IF(ISBLANK('Data Entry'!$g$462), "", 'Data Entry'!$g$462)</f>
      </c>
      <c r="AN462">
        <f>IF(ISBLANK('Data Entry'!$h$462), "", 'Data Entry'!$h$462)</f>
      </c>
      <c r="AO462">
        <f>IF(ISBLANK('Data Entry'!$i$462), "", 'Data Entry'!$i$462)</f>
      </c>
      <c r="AP462">
        <f>IF(ISBLANK('Data Entry'!$j$462), "", 'Data Entry'!$j$462)</f>
      </c>
      <c r="AQ462">
        <f>IF(ISBLANK('Data Entry'!$k$462), "", 'Data Entry'!$k$462)</f>
      </c>
      <c r="AR462">
        <f>IF(ISBLANK('Data Entry'!$l$462), "", 'Data Entry'!$l$462)</f>
      </c>
      <c r="AS462">
        <f>IF(ISBLANK('Data Entry'!$m$462), "", 'Data Entry'!$m$462)</f>
      </c>
      <c r="AT462">
        <f>IF(ISBLANK('Data Entry'!$n$462), "", 'Data Entry'!$n$462)</f>
      </c>
      <c r="AU462">
        <f>IF(ISBLANK('Data Entry'!$o$462), "", 'Data Entry'!$o$462)</f>
      </c>
      <c r="AV462">
        <f>IF(ISBLANK('Data Entry'!$p$462), "", 'Data Entry'!$p$462)</f>
      </c>
      <c r="AW462">
        <f>IF(ISBLANK('Data Entry'!$q$462), "", 'Data Entry'!$q$462)</f>
      </c>
      <c r="AX462">
        <f>IF(ISBLANK('Data Entry'!$r$462), "", 'Data Entry'!$r$462)</f>
      </c>
      <c r="AY462">
        <f>IF(ISBLANK('Data Entry'!$s$462), "", 'Data Entry'!$s$462)</f>
      </c>
      <c r="AZ462">
        <f>IF(ISBLANK('Data Entry'!$t$462), "", 'Data Entry'!$t$462)</f>
      </c>
      <c r="BA462">
        <f>IF(ISBLANK('Data Entry'!$u$462), "", 'Data Entry'!$u$462)</f>
      </c>
      <c r="BB462">
        <f>IF(ISBLANK('Data Entry'!$v$462), "", 'Data Entry'!$v$462)</f>
      </c>
      <c r="BC462">
        <f>IF(ISBLANK('Data Entry'!$w$462), "", 'Data Entry'!$w$462)</f>
      </c>
      <c r="BD462">
        <f>IF(ISBLANK('Data Entry'!$x$462), "", 'Data Entry'!$x$462)</f>
      </c>
      <c r="BE462">
        <f>IF(ISBLANK('Data Entry'!$y$462), "", 'Data Entry'!$y$462)</f>
      </c>
      <c r="BF462">
        <f>IF(ISBLANK('Data Entry'!$z$462), "", 'Data Entry'!$z$462)</f>
      </c>
      <c r="BG462">
        <f>IF(ISBLANK('Data Entry'!${$462), "", 'Data Entry'!${$462)</f>
      </c>
      <c r="BH462">
        <f>IF(ISBLANK('Data Entry'!$|$462), "", 'Data Entry'!$|$462)</f>
      </c>
      <c r="BI462">
        <f>IF(ISBLANK('Data Entry'!$}$462), "", 'Data Entry'!$}$462)</f>
      </c>
      <c r="BJ462">
        <f>IF(ISBLANK('Data Entry'!$~$462), "", 'Data Entry'!$~$462)</f>
      </c>
      <c r="BK462">
        <f>IF(ISBLANK('Data Entry'!$$462), "", 'Data Entry'!$$462)</f>
      </c>
      <c r="BL462">
        <f>IF(ISBLANK('Data Entry'!$$462), "", 'Data Entry'!$$462)</f>
      </c>
      <c r="BM462">
        <f>IF(ISBLANK('Data Entry'!$$462), "", 'Data Entry'!$$462)</f>
      </c>
      <c r="BN462">
        <f>IF(ISBLANK('Data Entry'!$$462), "", 'Data Entry'!$$462)</f>
      </c>
      <c r="BO462">
        <f>IF(ISBLANK('Data Entry'!$$462), "", 'Data Entry'!$$462)</f>
      </c>
      <c r="BP462">
        <f>IF(ISBLANK('Data Entry'!$$462), "", 'Data Entry'!$$462)</f>
      </c>
      <c r="BQ462">
        <f>IF(ISBLANK('Data Entry'!$$462), "", 'Data Entry'!$$462)</f>
      </c>
      <c r="BR462">
        <f>IF(ISBLANK('Data Entry'!$$462), "", 'Data Entry'!$$462)</f>
      </c>
      <c r="BS462">
        <f>IF(ISBLANK('Data Entry'!$$462), "", 'Data Entry'!$$462)</f>
      </c>
      <c r="BT462">
        <f>IF(ISBLANK('Data Entry'!$$462), "", 'Data Entry'!$$462)</f>
      </c>
      <c r="BU462">
        <f>IF(ISBLANK('Data Entry'!$$462), "", 'Data Entry'!$$462)</f>
      </c>
      <c r="BV462">
        <f>IF(ISBLANK('Data Entry'!$$462), "", 'Data Entry'!$$462)</f>
      </c>
      <c r="BW462">
        <f>IF(ISBLANK('Data Entry'!$$462), "", 'Data Entry'!$$462)</f>
      </c>
      <c r="BX462">
        <f>IF(ISBLANK('Data Entry'!$$462), "", 'Data Entry'!$$462)</f>
      </c>
      <c r="BY462">
        <f>IF(ISBLANK('Data Entry'!$$462), "", 'Data Entry'!$$462)</f>
      </c>
      <c r="BZ462">
        <f>IF(ISBLANK('Data Entry'!$$462), "", 'Data Entry'!$$462)</f>
      </c>
      <c r="CA462">
        <f>IF(ISBLANK('Data Entry'!$$462), "", 'Data Entry'!$$462)</f>
      </c>
      <c r="CB462">
        <f>IF(ISBLANK('Data Entry'!$$462), "", 'Data Entry'!$$462)</f>
      </c>
      <c r="CC462">
        <f>IF(ISBLANK('Data Entry'!$$462), "", 'Data Entry'!$$462)</f>
      </c>
      <c r="CD462">
        <f>IF(ISBLANK('Data Entry'!$$462), "", 'Data Entry'!$$462)</f>
      </c>
      <c r="CE462">
        <f>IF(ISBLANK('Data Entry'!$$462), "", 'Data Entry'!$$462)</f>
      </c>
      <c r="CF462">
        <f>IF(ISBLANK('Data Entry'!$$462), "", 'Data Entry'!$$462)</f>
      </c>
      <c r="CG462">
        <f>IF(ISBLANK('Data Entry'!$$462), "", 'Data Entry'!$$462)</f>
      </c>
      <c r="CH462">
        <f>IF(ISBLANK('Data Entry'!$$462), "", 'Data Entry'!$$462)</f>
      </c>
      <c r="CI462">
        <f>IF(ISBLANK('Data Entry'!$$462), "", 'Data Entry'!$$462)</f>
      </c>
      <c r="CJ462">
        <f>IF(ISBLANK('Data Entry'!$$462), "", 'Data Entry'!$$462)</f>
      </c>
      <c r="CK462">
        <f>IF(ISBLANK('Data Entry'!$$462), "", 'Data Entry'!$$462)</f>
      </c>
      <c r="CL462">
        <f>IF(ISBLANK('Data Entry'!$$462), "", 'Data Entry'!$$462)</f>
      </c>
      <c r="CM462">
        <f>IF(ISBLANK('Data Entry'!$$462), "", 'Data Entry'!$$462)</f>
      </c>
      <c r="CN462">
        <f>IF(ISBLANK('Data Entry'!$$462), "", 'Data Entry'!$$462)</f>
      </c>
      <c r="CO462">
        <f>IF(ISBLANK('Data Entry'!$$462), "", 'Data Entry'!$$462)</f>
      </c>
      <c r="CP462">
        <f>IF(ISBLANK('Data Entry'!$$462), "", 'Data Entry'!$$462)</f>
      </c>
      <c r="CQ462">
        <f>IF(ISBLANK('Data Entry'!$$462), "", 'Data Entry'!$$462)</f>
      </c>
      <c r="CR462">
        <f>IF(ISBLANK('Data Entry'!$ $462), "", 'Data Entry'!$ $462)</f>
      </c>
      <c r="CS462">
        <f>IF(ISBLANK('Data Entry'!$¡$462), "", 'Data Entry'!$¡$462)</f>
      </c>
      <c r="CT462">
        <f>IF(ISBLANK('Data Entry'!$¢$462), "", 'Data Entry'!$¢$462)</f>
      </c>
      <c r="CU462">
        <f>IF(ISBLANK('Data Entry'!$£$462), "", 'Data Entry'!$£$462)</f>
      </c>
      <c r="CV462">
        <f>IF(ISBLANK('Data Entry'!$¤$462), "", 'Data Entry'!$¤$462)</f>
      </c>
      <c r="CW462">
        <f>IF(ISBLANK('Data Entry'!$¥$462), "", 'Data Entry'!$¥$462)</f>
      </c>
      <c r="CX462">
        <f>IF(ISBLANK('Data Entry'!$¦$462), "", 'Data Entry'!$¦$462)</f>
      </c>
      <c r="CY462">
        <f>IF(ISBLANK('Data Entry'!$§$462), "", 'Data Entry'!$§$462)</f>
      </c>
      <c r="CZ462">
        <f>IF(ISBLANK('Data Entry'!$¨$462), "", 'Data Entry'!$¨$462)</f>
      </c>
      <c r="DA462">
        <f>IF(ISBLANK('Data Entry'!$©$462), "", 'Data Entry'!$©$462)</f>
      </c>
      <c r="DB462">
        <f>IF(ISBLANK('Data Entry'!$ª$462), "", 'Data Entry'!$ª$462)</f>
      </c>
      <c r="DC462">
        <f>IF(ISBLANK('Data Entry'!$«$462), "", 'Data Entry'!$«$462)</f>
      </c>
      <c r="DD462">
        <f>IF(ISBLANK('Data Entry'!$¬$462), "", 'Data Entry'!$¬$462)</f>
      </c>
      <c r="DE462">
        <f>IF(ISBLANK('Data Entry'!$­$462), "", 'Data Entry'!$­$462)</f>
      </c>
      <c r="DF462">
        <f>IF(ISBLANK('Data Entry'!$®$462), "", 'Data Entry'!$®$462)</f>
      </c>
      <c r="DG462">
        <f>IF(ISBLANK('Data Entry'!$¯$462), "", 'Data Entry'!$¯$462)</f>
      </c>
      <c r="DH462">
        <f>IF(ISBLANK('Data Entry'!$°$462), "", 'Data Entry'!$°$462)</f>
      </c>
      <c r="DI462">
        <f>IF(ISBLANK('Data Entry'!$±$462), "", 'Data Entry'!$±$462)</f>
      </c>
      <c r="DJ462">
        <f>IF(ISBLANK('Data Entry'!$²$462), "", 'Data Entry'!$²$462)</f>
      </c>
      <c r="DK462">
        <f>IF(ISBLANK('Data Entry'!$³$462), "", 'Data Entry'!$³$462)</f>
      </c>
      <c r="DL462">
        <f>IF(ISBLANK('Data Entry'!$´$462), "", 'Data Entry'!$´$462)</f>
      </c>
      <c r="DM462">
        <f>IF(ISBLANK('Data Entry'!$µ$462), "", 'Data Entry'!$µ$462)</f>
      </c>
      <c r="DN462">
        <f>IF(ISBLANK('Data Entry'!$¶$462), "", 'Data Entry'!$¶$462)</f>
      </c>
      <c r="DO462">
        <f>IF(ISBLANK('Data Entry'!$·$462), "", 'Data Entry'!$·$462)</f>
      </c>
      <c r="DP462">
        <f>IF(ISBLANK('Data Entry'!$¸$462), "", 'Data Entry'!$¸$462)</f>
      </c>
      <c r="DQ462">
        <f>IF(ISBLANK('Data Entry'!$¹$462), "", 'Data Entry'!$¹$462)</f>
      </c>
      <c r="DR462">
        <f>IF(ISBLANK('Data Entry'!$º$462), "", 'Data Entry'!$º$462)</f>
      </c>
      <c r="DS462">
        <f>IF(ISBLANK('Data Entry'!$»$462), "", 'Data Entry'!$»$462)</f>
      </c>
      <c r="DT462">
        <f>IF(ISBLANK('Data Entry'!$¼$462), "", 'Data Entry'!$¼$462)</f>
      </c>
      <c r="DU462">
        <f>IF(ISBLANK('Data Entry'!$½$462), "", 'Data Entry'!$½$462)</f>
      </c>
      <c r="DV462">
        <f>IF(ISBLANK('Data Entry'!$¾$462), "", 'Data Entry'!$¾$462)</f>
      </c>
      <c r="DW462">
        <f>IF(ISBLANK('Data Entry'!$¿$462), "", 'Data Entry'!$¿$462)</f>
      </c>
      <c r="DX462">
        <f>IF(ISBLANK('Data Entry'!$À$462), "", 'Data Entry'!$À$462)</f>
      </c>
      <c r="DY462">
        <f>IF(ISBLANK('Data Entry'!$Á$462), "", 'Data Entry'!$Á$462)</f>
      </c>
      <c r="DZ462">
        <f>IF(ISBLANK('Data Entry'!$Â$462), "", 'Data Entry'!$Â$462)</f>
      </c>
      <c r="EA462">
        <f>IF(ISBLANK('Data Entry'!$Ã$462), "", 'Data Entry'!$Ã$462)</f>
      </c>
      <c r="EB462">
        <f>IF(ISBLANK('Data Entry'!$Ä$462), "", 'Data Entry'!$Ä$462)</f>
      </c>
      <c r="EC462">
        <f>IF(ISBLANK('Data Entry'!$Å$462), "", 'Data Entry'!$Å$462)</f>
      </c>
      <c r="ED462">
        <f>IF(ISBLANK('Data Entry'!$Æ$462), "", 'Data Entry'!$Æ$462)</f>
      </c>
      <c r="EE462">
        <f>IF(ISBLANK('Data Entry'!$Ç$462), "", 'Data Entry'!$Ç$462)</f>
      </c>
      <c r="EF462">
        <f>IF(ISBLANK('Data Entry'!$È$462), "", 'Data Entry'!$È$462)</f>
      </c>
      <c r="EG462">
        <f>IF(ISBLANK('Data Entry'!$É$462), "", 'Data Entry'!$É$462)</f>
      </c>
      <c r="EH462">
        <f>IF(ISBLANK('Data Entry'!$Ê$462), "", 'Data Entry'!$Ê$462)</f>
      </c>
      <c r="EI462">
        <f>IF(ISBLANK('Data Entry'!$Ë$462), "", 'Data Entry'!$Ë$462)</f>
      </c>
      <c r="EJ462">
        <f>IF(ISBLANK('Data Entry'!$Ì$462), "", 'Data Entry'!$Ì$462)</f>
      </c>
      <c r="EK462">
        <f>IF(ISBLANK('Data Entry'!$Í$462), "", 'Data Entry'!$Í$462)</f>
      </c>
      <c r="EL462">
        <f>IF(ISBLANK('Data Entry'!$Î$462), "", 'Data Entry'!$Î$462)</f>
      </c>
      <c r="EM462">
        <f>IF(ISBLANK('Data Entry'!$Ï$462), "", 'Data Entry'!$Ï$462)</f>
      </c>
      <c r="EN462">
        <f>IF(ISBLANK('Data Entry'!$Ð$462), "", 'Data Entry'!$Ð$462)</f>
      </c>
      <c r="EO462">
        <f>IF(ISBLANK('Data Entry'!$Ñ$462), "", 'Data Entry'!$Ñ$462)</f>
      </c>
      <c r="EP462">
        <f>IF(ISBLANK('Data Entry'!$Ò$462), "", 'Data Entry'!$Ò$462)</f>
      </c>
      <c r="EQ462">
        <f>IF(ISBLANK('Data Entry'!$Ó$462), "", 'Data Entry'!$Ó$462)</f>
      </c>
      <c r="ER462">
        <f>IF(ISBLANK('Data Entry'!$Ô$462), "", 'Data Entry'!$Ô$462)</f>
      </c>
      <c r="ES462">
        <f>IF(ISBLANK('Data Entry'!$Õ$462), "", 'Data Entry'!$Õ$462)</f>
      </c>
      <c r="ET462">
        <f>IF(ISBLANK('Data Entry'!$Ö$462), "", 'Data Entry'!$Ö$462)</f>
      </c>
      <c r="EU462">
        <f>IF(ISBLANK('Data Entry'!$×$462), "", 'Data Entry'!$×$462)</f>
      </c>
      <c r="EV462">
        <f>IF(ISBLANK('Data Entry'!$Ø$462), "", 'Data Entry'!$Ø$462)</f>
      </c>
      <c r="EW462">
        <f>IF(ISBLANK('Data Entry'!$Ù$462), "", 'Data Entry'!$Ù$462)</f>
      </c>
      <c r="EX462">
        <f>IF(ISBLANK('Data Entry'!$Ú$462), "", 'Data Entry'!$Ú$462)</f>
      </c>
      <c r="EY462">
        <f>IF(ISBLANK('Data Entry'!$Û$462), "", 'Data Entry'!$Û$462)</f>
      </c>
      <c r="EZ462">
        <f>IF(ISBLANK('Data Entry'!$Ü$462), "", 'Data Entry'!$Ü$462)</f>
      </c>
      <c r="FA462">
        <f>IF(ISBLANK('Data Entry'!$Ý$462), "", 'Data Entry'!$Ý$462)</f>
      </c>
      <c r="FB462">
        <f>IF(ISBLANK('Data Entry'!$Þ$462), "", 'Data Entry'!$Þ$462)</f>
      </c>
      <c r="FC462">
        <f>IF(ISBLANK('Data Entry'!$ß$462), "", 'Data Entry'!$ß$462)</f>
      </c>
      <c r="FD462">
        <f>IF(ISBLANK('Data Entry'!$à$462), "", 'Data Entry'!$à$462)</f>
      </c>
      <c r="FE462">
        <f>IF(ISBLANK('Data Entry'!$á$462), "", 'Data Entry'!$á$462)</f>
      </c>
      <c r="FF462">
        <f>IF(ISBLANK('Data Entry'!$â$462), "", 'Data Entry'!$â$462)</f>
      </c>
      <c r="FG462">
        <f>IF(ISBLANK('Data Entry'!$ã$462), "", 'Data Entry'!$ã$462)</f>
      </c>
      <c r="FH462">
        <f>IF(ISBLANK('Data Entry'!$ä$462), "", 'Data Entry'!$ä$462)</f>
      </c>
      <c r="FI462">
        <f>IF(ISBLANK('Data Entry'!$å$462), "", 'Data Entry'!$å$462)</f>
      </c>
      <c r="FJ462">
        <f>IF(ISBLANK('Data Entry'!$æ$462), "", 'Data Entry'!$æ$462)</f>
      </c>
      <c r="FK462">
        <f>IF(ISBLANK('Data Entry'!$ç$462), "", 'Data Entry'!$ç$462)</f>
      </c>
      <c r="FL462">
        <f>IF(ISBLANK('Data Entry'!$è$462), "", 'Data Entry'!$è$462)</f>
      </c>
      <c r="FM462">
        <f>IF(ISBLANK('Data Entry'!$é$462), "", 'Data Entry'!$é$462)</f>
      </c>
      <c r="FN462">
        <f>IF(ISBLANK('Data Entry'!$ê$462), "", 'Data Entry'!$ê$462)</f>
      </c>
      <c r="FO462">
        <f>IF(ISBLANK('Data Entry'!$ë$462), "", 'Data Entry'!$ë$462)</f>
      </c>
      <c r="FP462">
        <f>IF(ISBLANK('Data Entry'!$ì$462), "", 'Data Entry'!$ì$462)</f>
      </c>
      <c r="FQ462">
        <f>IF(ISBLANK('Data Entry'!$í$462), "", 'Data Entry'!$í$462)</f>
      </c>
      <c r="FR462">
        <f>IF(ISBLANK('Data Entry'!$î$462), "", 'Data Entry'!$î$462)</f>
      </c>
      <c r="FS462">
        <f>IF(ISBLANK('Data Entry'!$ï$462), "", 'Data Entry'!$ï$462)</f>
      </c>
      <c r="FT462">
        <f>IF(ISBLANK('Data Entry'!$ð$462), "", 'Data Entry'!$ð$462)</f>
      </c>
      <c r="FU462">
        <f>IF(ISBLANK('Data Entry'!$ñ$462), "", 'Data Entry'!$ñ$462)</f>
      </c>
      <c r="FV462">
        <f>IF(ISBLANK('Data Entry'!$ò$462), "", 'Data Entry'!$ò$462)</f>
      </c>
      <c r="FW462">
        <f>IF(ISBLANK('Data Entry'!$ó$462), "", 'Data Entry'!$ó$462)</f>
      </c>
      <c r="FX462">
        <f>IF(ISBLANK('Data Entry'!$ô$462), "", 'Data Entry'!$ô$462)</f>
      </c>
      <c r="FY462">
        <f>IF(ISBLANK('Data Entry'!$õ$462), "", 'Data Entry'!$õ$462)</f>
      </c>
      <c r="FZ462">
        <f>IF(ISBLANK('Data Entry'!$ö$462), "", 'Data Entry'!$ö$462)</f>
      </c>
      <c r="GA462">
        <f>IF(ISBLANK('Data Entry'!$÷$462), "", 'Data Entry'!$÷$462)</f>
      </c>
      <c r="GB462">
        <f>IF(ISBLANK('Data Entry'!$ø$462), "", 'Data Entry'!$ø$462)</f>
      </c>
      <c r="GC462">
        <f>IF(ISBLANK('Data Entry'!$ù$462), "", 'Data Entry'!$ù$462)</f>
      </c>
      <c r="GD462">
        <f>IF(ISBLANK('Data Entry'!$ú$462), "", 'Data Entry'!$ú$462)</f>
      </c>
      <c r="GE462">
        <f>IF(ISBLANK('Data Entry'!$û$462), "", 'Data Entry'!$û$462)</f>
      </c>
      <c r="GF462">
        <f>IF(ISBLANK('Data Entry'!$ü$462), "", 'Data Entry'!$ü$462)</f>
      </c>
      <c r="GG462">
        <f>IF(ISBLANK('Data Entry'!$ý$462), "", 'Data Entry'!$ý$462)</f>
      </c>
      <c r="GH462">
        <f>IF(ISBLANK('Data Entry'!$þ$462), "", 'Data Entry'!$þ$462)</f>
      </c>
      <c r="GI462">
        <f>IF(ISBLANK('Data Entry'!$ÿ$462), "", 'Data Entry'!$ÿ$462)</f>
      </c>
      <c r="GJ462">
        <f>IF(ISBLANK('Data Entry'!$Ā$462), "", 'Data Entry'!$Ā$462)</f>
      </c>
      <c r="GK462">
        <f>IF(ISBLANK('Data Entry'!$ā$462), "", 'Data Entry'!$ā$462)</f>
      </c>
      <c r="GL462">
        <f>IF(ISBLANK('Data Entry'!$Ă$462), "", 'Data Entry'!$Ă$462)</f>
      </c>
      <c r="GM462">
        <f>IF(ISBLANK('Data Entry'!$ă$462), "", 'Data Entry'!$ă$462)</f>
      </c>
      <c r="GN462">
        <f>IF(ISBLANK('Data Entry'!$Ą$462), "", 'Data Entry'!$Ą$462)</f>
      </c>
      <c r="GO462">
        <f>IF(ISBLANK('Data Entry'!$ą$462), "", 'Data Entry'!$ą$462)</f>
      </c>
      <c r="GP462">
        <f>IF(ISBLANK('Data Entry'!$Ć$462), "", 'Data Entry'!$Ć$462)</f>
      </c>
      <c r="GQ462">
        <f>IF(ISBLANK('Data Entry'!$ć$462), "", 'Data Entry'!$ć$462)</f>
      </c>
      <c r="GR462">
        <f>IF(ISBLANK('Data Entry'!$Ĉ$462), "", 'Data Entry'!$Ĉ$462)</f>
      </c>
      <c r="GS462">
        <f>IF(ISBLANK('Data Entry'!$ĉ$462), "", 'Data Entry'!$ĉ$462)</f>
      </c>
      <c r="GT462">
        <f>IF(ISBLANK('Data Entry'!$Ċ$462), "", 'Data Entry'!$Ċ$462)</f>
      </c>
      <c r="GU462">
        <f>IF(ISBLANK('Data Entry'!$ċ$462), "", 'Data Entry'!$ċ$462)</f>
      </c>
      <c r="GV462">
        <f>IF(ISBLANK('Data Entry'!$Č$462), "", 'Data Entry'!$Č$462)</f>
      </c>
      <c r="GW462">
        <f>IF(ISBLANK('Data Entry'!$č$462), "", 'Data Entry'!$č$462)</f>
      </c>
      <c r="GX462">
        <f>IF(ISBLANK('Data Entry'!$Ď$462), "", 'Data Entry'!$Ď$462)</f>
      </c>
      <c r="GY462">
        <f>IF(ISBLANK('Data Entry'!$ď$462), "", 'Data Entry'!$ď$462)</f>
      </c>
      <c r="GZ462">
        <f>IF(ISBLANK('Data Entry'!$Đ$462), "", 'Data Entry'!$Đ$462)</f>
      </c>
      <c r="HA462">
        <f>IF(ISBLANK('Data Entry'!$đ$462), "", 'Data Entry'!$đ$462)</f>
      </c>
      <c r="HB462">
        <f>IF(ISBLANK('Data Entry'!$Ē$462), "", 'Data Entry'!$Ē$462)</f>
      </c>
      <c r="HC462">
        <f>IF(ISBLANK('Data Entry'!$ē$462), "", 'Data Entry'!$ē$462)</f>
      </c>
      <c r="HD462">
        <f>IF(ISBLANK('Data Entry'!$Ĕ$462), "", 'Data Entry'!$Ĕ$462)</f>
      </c>
      <c r="HE462">
        <f>IF(ISBLANK('Data Entry'!$ĕ$462), "", 'Data Entry'!$ĕ$462)</f>
      </c>
      <c r="HF462">
        <f>IF(ISBLANK('Data Entry'!$Ė$462), "", 'Data Entry'!$Ė$462)</f>
      </c>
      <c r="HG462">
        <f>IF(ISBLANK('Data Entry'!$ė$462), "", 'Data Entry'!$ė$462)</f>
      </c>
      <c r="HH462">
        <f>IF(ISBLANK('Data Entry'!$Ę$462), "", 'Data Entry'!$Ę$462)</f>
      </c>
      <c r="HI462">
        <f>IF(ISBLANK('Data Entry'!$ę$462), "", 'Data Entry'!$ę$462)</f>
      </c>
      <c r="HJ462">
        <f>IF(ISBLANK('Data Entry'!$Ě$462), "", 'Data Entry'!$Ě$462)</f>
      </c>
      <c r="HK462">
        <f>IF(ISBLANK('Data Entry'!$ě$462), "", 'Data Entry'!$ě$462)</f>
      </c>
      <c r="HL462">
        <f>IF(ISBLANK('Data Entry'!$Ĝ$462), "", 'Data Entry'!$Ĝ$462)</f>
      </c>
      <c r="HM462">
        <f>IF(ISBLANK('Data Entry'!$ĝ$462), "", 'Data Entry'!$ĝ$462)</f>
      </c>
      <c r="HN462">
        <f>IF(ISBLANK('Data Entry'!$Ğ$462), "", 'Data Entry'!$Ğ$462)</f>
      </c>
      <c r="HO462">
        <f>IF(ISBLANK('Data Entry'!$ğ$462), "", 'Data Entry'!$ğ$462)</f>
      </c>
      <c r="HP462">
        <f>IF(ISBLANK('Data Entry'!$Ġ$462), "", 'Data Entry'!$Ġ$462)</f>
      </c>
      <c r="HQ462">
        <f>IF(ISBLANK('Data Entry'!$ġ$462), "", 'Data Entry'!$ġ$462)</f>
      </c>
      <c r="HR462">
        <f>IF(ISBLANK('Data Entry'!$Ģ$462), "", 'Data Entry'!$Ģ$462)</f>
      </c>
      <c r="HS462">
        <f>IF(ISBLANK('Data Entry'!$ģ$462), "", 'Data Entry'!$ģ$462)</f>
      </c>
      <c r="HT462">
        <f>IF(ISBLANK('Data Entry'!$Ĥ$462), "", 'Data Entry'!$Ĥ$462)</f>
      </c>
      <c r="HU462">
        <f>IF(ISBLANK('Data Entry'!$ĥ$462), "", 'Data Entry'!$ĥ$462)</f>
      </c>
      <c r="HV462">
        <f>IF(ISBLANK('Data Entry'!$Ħ$462), "", 'Data Entry'!$Ħ$462)</f>
      </c>
      <c r="HW462">
        <f>IF(ISBLANK('Data Entry'!$ħ$462), "", 'Data Entry'!$ħ$462)</f>
      </c>
      <c r="HX462">
        <f>IF(ISBLANK('Data Entry'!$Ĩ$462), "", 'Data Entry'!$Ĩ$462)</f>
      </c>
      <c r="HY462">
        <f>IF(ISBLANK('Data Entry'!$ĩ$462), "", 'Data Entry'!$ĩ$462)</f>
      </c>
      <c r="HZ462">
        <f>IF(ISBLANK('Data Entry'!$Ī$462), "", 'Data Entry'!$Ī$462)</f>
      </c>
      <c r="IA462">
        <f>IF(ISBLANK('Data Entry'!$ī$462), "", 'Data Entry'!$ī$462)</f>
      </c>
      <c r="IB462">
        <f>IF(ISBLANK('Data Entry'!$Ĭ$462), "", 'Data Entry'!$Ĭ$462)</f>
      </c>
      <c r="IC462">
        <f>IF(ISBLANK('Data Entry'!$ĭ$462), "", 'Data Entry'!$ĭ$462)</f>
      </c>
      <c r="ID462">
        <f>IF(ISBLANK('Data Entry'!$Į$462), "", 'Data Entry'!$Į$462)</f>
      </c>
      <c r="IE462">
        <f>IF(ISBLANK('Data Entry'!$į$462), "", 'Data Entry'!$į$462)</f>
      </c>
      <c r="IF462">
        <f>IF(ISBLANK('Data Entry'!$İ$462), "", 'Data Entry'!$İ$462)</f>
      </c>
      <c r="IG462">
        <f>IF(ISBLANK('Data Entry'!$ı$462), "", 'Data Entry'!$ı$462)</f>
      </c>
      <c r="IH462">
        <f>IF(ISBLANK('Data Entry'!$Ĳ$462), "", 'Data Entry'!$Ĳ$462)</f>
      </c>
      <c r="II462">
        <f>IF(ISBLANK('Data Entry'!$ĳ$462), "", 'Data Entry'!$ĳ$462)</f>
      </c>
      <c r="IJ462">
        <f>IF(ISBLANK('Data Entry'!$Ĵ$462), "", 'Data Entry'!$Ĵ$462)</f>
      </c>
      <c r="IK462">
        <f>IF(ISBLANK('Data Entry'!$ĵ$462), "", 'Data Entry'!$ĵ$462)</f>
      </c>
      <c r="IL462">
        <f>IF(ISBLANK('Data Entry'!$Ķ$462), "", 'Data Entry'!$Ķ$462)</f>
      </c>
      <c r="IM462">
        <f>IF(ISBLANK('Data Entry'!$ķ$462), "", 'Data Entry'!$ķ$462)</f>
      </c>
      <c r="IN462">
        <f>IF(ISBLANK('Data Entry'!$ĸ$462), "", 'Data Entry'!$ĸ$462)</f>
      </c>
      <c r="IO462">
        <f>IF(ISBLANK('Data Entry'!$Ĺ$462), "", 'Data Entry'!$Ĺ$462)</f>
      </c>
      <c r="IP462">
        <f>IF(ISBLANK('Data Entry'!$ĺ$462), "", 'Data Entry'!$ĺ$462)</f>
      </c>
      <c r="IQ462">
        <f>IF(ISBLANK('Data Entry'!$Ļ$462), "", 'Data Entry'!$Ļ$462)</f>
      </c>
      <c r="IR462">
        <f>IF(ISBLANK('Data Entry'!$ļ$462), "", 'Data Entry'!$ļ$462)</f>
      </c>
      <c r="IS462">
        <f>IF(ISBLANK('Data Entry'!$Ľ$462), "", 'Data Entry'!$Ľ$462)</f>
      </c>
      <c r="IT462">
        <f>IF(ISBLANK('Data Entry'!$ľ$462), "", 'Data Entry'!$ľ$462)</f>
      </c>
    </row>
    <row r="463" spans="1:254" x14ac:dyDescent="0.25">
      <c r="A463">
        <f>IF(ISBLANK('Data Entry'!$A$463), "", 'Data Entry'!$A$463)</f>
      </c>
      <c r="B463">
        <f>IF(ISBLANK('Data Entry'!$B$463), "", 'Data Entry'!$B$463)</f>
      </c>
      <c r="C463">
        <f>IF(ISBLANK('Data Entry'!$C$463), "", 'Data Entry'!$C$463)</f>
      </c>
      <c r="D463">
        <f>IF(ISBLANK('Data Entry'!$D$463), "", 'Data Entry'!$D$463)</f>
      </c>
      <c r="E463">
        <f>IF(ISBLANK('Data Entry'!$E$463), "", 'Data Entry'!$E$463)</f>
      </c>
      <c r="F463">
        <f>IF(ISBLANK('Data Entry'!$F$463), "", 'Data Entry'!$F$463)</f>
      </c>
      <c r="G463">
        <f>IF(ISBLANK('Data Entry'!$G$463), "", 'Data Entry'!$G$463)</f>
      </c>
      <c r="H463">
        <f>IF(ISBLANK('Data Entry'!$H$463), "", 'Data Entry'!$H$463)</f>
      </c>
      <c r="I463">
        <f>IF(ISBLANK('Data Entry'!$I$463), "", 'Data Entry'!$I$463)</f>
      </c>
      <c r="J463">
        <f>IF(ISBLANK('Data Entry'!$J$463), "", 'Data Entry'!$J$463)</f>
      </c>
      <c r="K463">
        <f>IF(ISBLANK('Data Entry'!$K$463), "", 'Data Entry'!$K$463)</f>
      </c>
      <c r="L463">
        <f>IF(ISBLANK('Data Entry'!$L$463), "", 'Data Entry'!$L$463)</f>
      </c>
      <c r="M463">
        <f>IF(ISBLANK('Data Entry'!$M$463), "", 'Data Entry'!$M$463)</f>
      </c>
      <c r="N463">
        <f>IF(ISBLANK('Data Entry'!$N$463), "", 'Data Entry'!$N$463)</f>
      </c>
      <c r="O463">
        <f>IF(ISBLANK('Data Entry'!$O$463), "", 'Data Entry'!$O$463)</f>
      </c>
      <c r="P463">
        <f>IF(ISBLANK('Data Entry'!$P$463), "", 'Data Entry'!$P$463)</f>
      </c>
      <c r="Q463">
        <f>IF(ISBLANK('Data Entry'!$Q$463), "", 'Data Entry'!$Q$463)</f>
      </c>
      <c r="R463">
        <f>IF(ISBLANK('Data Entry'!$R$463), "", 'Data Entry'!$R$463)</f>
      </c>
      <c r="S463">
        <f>IF(ISBLANK('Data Entry'!$S$463), "", 'Data Entry'!$S$463)</f>
      </c>
      <c r="T463">
        <f>IF(ISBLANK('Data Entry'!$T$463), "", 'Data Entry'!$T$463)</f>
      </c>
      <c r="U463">
        <f>IF(ISBLANK('Data Entry'!$U$463), "", 'Data Entry'!$U$463)</f>
      </c>
      <c r="V463">
        <f>IF(ISBLANK('Data Entry'!$V$463), "", 'Data Entry'!$V$463)</f>
      </c>
      <c r="W463">
        <f>IF(ISBLANK('Data Entry'!$W$463), "", 'Data Entry'!$W$463)</f>
      </c>
      <c r="X463">
        <f>IF(ISBLANK('Data Entry'!$X$463), "", 'Data Entry'!$X$463)</f>
      </c>
      <c r="Y463">
        <f>IF(ISBLANK('Data Entry'!$Y$463), "", 'Data Entry'!$Y$463)</f>
      </c>
      <c r="Z463">
        <f>IF(ISBLANK('Data Entry'!$Z$463), "", 'Data Entry'!$Z$463)</f>
      </c>
      <c r="AA463">
        <f>IF(ISBLANK('Data Entry'!$[$463), "", 'Data Entry'!$[$463)</f>
      </c>
      <c r="AB463">
        <f>IF(ISBLANK('Data Entry'!$\$463), "", 'Data Entry'!$\$463)</f>
      </c>
      <c r="AC463">
        <f>IF(ISBLANK('Data Entry'!$]$463), "", 'Data Entry'!$]$463)</f>
      </c>
      <c r="AD463">
        <f>IF(ISBLANK('Data Entry'!$^$463), "", 'Data Entry'!$^$463)</f>
      </c>
      <c r="AE463">
        <f>IF(ISBLANK('Data Entry'!$_$463), "", 'Data Entry'!$_$463)</f>
      </c>
      <c r="AF463">
        <f>IF(ISBLANK('Data Entry'!$`$463), "", 'Data Entry'!$`$463)</f>
      </c>
      <c r="AG463">
        <f>IF(ISBLANK('Data Entry'!$a$463), "", 'Data Entry'!$a$463)</f>
      </c>
      <c r="AH463">
        <f>IF(ISBLANK('Data Entry'!$b$463), "", 'Data Entry'!$b$463)</f>
      </c>
      <c r="AI463">
        <f>IF(ISBLANK('Data Entry'!$c$463), "", 'Data Entry'!$c$463)</f>
      </c>
      <c r="AJ463">
        <f>IF(ISBLANK('Data Entry'!$d$463), "", 'Data Entry'!$d$463)</f>
      </c>
      <c r="AK463">
        <f>IF(ISBLANK('Data Entry'!$e$463), "", 'Data Entry'!$e$463)</f>
      </c>
      <c r="AL463">
        <f>IF(ISBLANK('Data Entry'!$f$463), "", 'Data Entry'!$f$463)</f>
      </c>
      <c r="AM463">
        <f>IF(ISBLANK('Data Entry'!$g$463), "", 'Data Entry'!$g$463)</f>
      </c>
      <c r="AN463">
        <f>IF(ISBLANK('Data Entry'!$h$463), "", 'Data Entry'!$h$463)</f>
      </c>
      <c r="AO463">
        <f>IF(ISBLANK('Data Entry'!$i$463), "", 'Data Entry'!$i$463)</f>
      </c>
      <c r="AP463">
        <f>IF(ISBLANK('Data Entry'!$j$463), "", 'Data Entry'!$j$463)</f>
      </c>
      <c r="AQ463">
        <f>IF(ISBLANK('Data Entry'!$k$463), "", 'Data Entry'!$k$463)</f>
      </c>
      <c r="AR463">
        <f>IF(ISBLANK('Data Entry'!$l$463), "", 'Data Entry'!$l$463)</f>
      </c>
      <c r="AS463">
        <f>IF(ISBLANK('Data Entry'!$m$463), "", 'Data Entry'!$m$463)</f>
      </c>
      <c r="AT463">
        <f>IF(ISBLANK('Data Entry'!$n$463), "", 'Data Entry'!$n$463)</f>
      </c>
      <c r="AU463">
        <f>IF(ISBLANK('Data Entry'!$o$463), "", 'Data Entry'!$o$463)</f>
      </c>
      <c r="AV463">
        <f>IF(ISBLANK('Data Entry'!$p$463), "", 'Data Entry'!$p$463)</f>
      </c>
      <c r="AW463">
        <f>IF(ISBLANK('Data Entry'!$q$463), "", 'Data Entry'!$q$463)</f>
      </c>
      <c r="AX463">
        <f>IF(ISBLANK('Data Entry'!$r$463), "", 'Data Entry'!$r$463)</f>
      </c>
      <c r="AY463">
        <f>IF(ISBLANK('Data Entry'!$s$463), "", 'Data Entry'!$s$463)</f>
      </c>
      <c r="AZ463">
        <f>IF(ISBLANK('Data Entry'!$t$463), "", 'Data Entry'!$t$463)</f>
      </c>
      <c r="BA463">
        <f>IF(ISBLANK('Data Entry'!$u$463), "", 'Data Entry'!$u$463)</f>
      </c>
      <c r="BB463">
        <f>IF(ISBLANK('Data Entry'!$v$463), "", 'Data Entry'!$v$463)</f>
      </c>
      <c r="BC463">
        <f>IF(ISBLANK('Data Entry'!$w$463), "", 'Data Entry'!$w$463)</f>
      </c>
      <c r="BD463">
        <f>IF(ISBLANK('Data Entry'!$x$463), "", 'Data Entry'!$x$463)</f>
      </c>
      <c r="BE463">
        <f>IF(ISBLANK('Data Entry'!$y$463), "", 'Data Entry'!$y$463)</f>
      </c>
      <c r="BF463">
        <f>IF(ISBLANK('Data Entry'!$z$463), "", 'Data Entry'!$z$463)</f>
      </c>
      <c r="BG463">
        <f>IF(ISBLANK('Data Entry'!${$463), "", 'Data Entry'!${$463)</f>
      </c>
      <c r="BH463">
        <f>IF(ISBLANK('Data Entry'!$|$463), "", 'Data Entry'!$|$463)</f>
      </c>
      <c r="BI463">
        <f>IF(ISBLANK('Data Entry'!$}$463), "", 'Data Entry'!$}$463)</f>
      </c>
      <c r="BJ463">
        <f>IF(ISBLANK('Data Entry'!$~$463), "", 'Data Entry'!$~$463)</f>
      </c>
      <c r="BK463">
        <f>IF(ISBLANK('Data Entry'!$$463), "", 'Data Entry'!$$463)</f>
      </c>
      <c r="BL463">
        <f>IF(ISBLANK('Data Entry'!$$463), "", 'Data Entry'!$$463)</f>
      </c>
      <c r="BM463">
        <f>IF(ISBLANK('Data Entry'!$$463), "", 'Data Entry'!$$463)</f>
      </c>
      <c r="BN463">
        <f>IF(ISBLANK('Data Entry'!$$463), "", 'Data Entry'!$$463)</f>
      </c>
      <c r="BO463">
        <f>IF(ISBLANK('Data Entry'!$$463), "", 'Data Entry'!$$463)</f>
      </c>
      <c r="BP463">
        <f>IF(ISBLANK('Data Entry'!$$463), "", 'Data Entry'!$$463)</f>
      </c>
      <c r="BQ463">
        <f>IF(ISBLANK('Data Entry'!$$463), "", 'Data Entry'!$$463)</f>
      </c>
      <c r="BR463">
        <f>IF(ISBLANK('Data Entry'!$$463), "", 'Data Entry'!$$463)</f>
      </c>
      <c r="BS463">
        <f>IF(ISBLANK('Data Entry'!$$463), "", 'Data Entry'!$$463)</f>
      </c>
      <c r="BT463">
        <f>IF(ISBLANK('Data Entry'!$$463), "", 'Data Entry'!$$463)</f>
      </c>
      <c r="BU463">
        <f>IF(ISBLANK('Data Entry'!$$463), "", 'Data Entry'!$$463)</f>
      </c>
      <c r="BV463">
        <f>IF(ISBLANK('Data Entry'!$$463), "", 'Data Entry'!$$463)</f>
      </c>
      <c r="BW463">
        <f>IF(ISBLANK('Data Entry'!$$463), "", 'Data Entry'!$$463)</f>
      </c>
      <c r="BX463">
        <f>IF(ISBLANK('Data Entry'!$$463), "", 'Data Entry'!$$463)</f>
      </c>
      <c r="BY463">
        <f>IF(ISBLANK('Data Entry'!$$463), "", 'Data Entry'!$$463)</f>
      </c>
      <c r="BZ463">
        <f>IF(ISBLANK('Data Entry'!$$463), "", 'Data Entry'!$$463)</f>
      </c>
      <c r="CA463">
        <f>IF(ISBLANK('Data Entry'!$$463), "", 'Data Entry'!$$463)</f>
      </c>
      <c r="CB463">
        <f>IF(ISBLANK('Data Entry'!$$463), "", 'Data Entry'!$$463)</f>
      </c>
      <c r="CC463">
        <f>IF(ISBLANK('Data Entry'!$$463), "", 'Data Entry'!$$463)</f>
      </c>
      <c r="CD463">
        <f>IF(ISBLANK('Data Entry'!$$463), "", 'Data Entry'!$$463)</f>
      </c>
      <c r="CE463">
        <f>IF(ISBLANK('Data Entry'!$$463), "", 'Data Entry'!$$463)</f>
      </c>
      <c r="CF463">
        <f>IF(ISBLANK('Data Entry'!$$463), "", 'Data Entry'!$$463)</f>
      </c>
      <c r="CG463">
        <f>IF(ISBLANK('Data Entry'!$$463), "", 'Data Entry'!$$463)</f>
      </c>
      <c r="CH463">
        <f>IF(ISBLANK('Data Entry'!$$463), "", 'Data Entry'!$$463)</f>
      </c>
      <c r="CI463">
        <f>IF(ISBLANK('Data Entry'!$$463), "", 'Data Entry'!$$463)</f>
      </c>
      <c r="CJ463">
        <f>IF(ISBLANK('Data Entry'!$$463), "", 'Data Entry'!$$463)</f>
      </c>
      <c r="CK463">
        <f>IF(ISBLANK('Data Entry'!$$463), "", 'Data Entry'!$$463)</f>
      </c>
      <c r="CL463">
        <f>IF(ISBLANK('Data Entry'!$$463), "", 'Data Entry'!$$463)</f>
      </c>
      <c r="CM463">
        <f>IF(ISBLANK('Data Entry'!$$463), "", 'Data Entry'!$$463)</f>
      </c>
      <c r="CN463">
        <f>IF(ISBLANK('Data Entry'!$$463), "", 'Data Entry'!$$463)</f>
      </c>
      <c r="CO463">
        <f>IF(ISBLANK('Data Entry'!$$463), "", 'Data Entry'!$$463)</f>
      </c>
      <c r="CP463">
        <f>IF(ISBLANK('Data Entry'!$$463), "", 'Data Entry'!$$463)</f>
      </c>
      <c r="CQ463">
        <f>IF(ISBLANK('Data Entry'!$$463), "", 'Data Entry'!$$463)</f>
      </c>
      <c r="CR463">
        <f>IF(ISBLANK('Data Entry'!$ $463), "", 'Data Entry'!$ $463)</f>
      </c>
      <c r="CS463">
        <f>IF(ISBLANK('Data Entry'!$¡$463), "", 'Data Entry'!$¡$463)</f>
      </c>
      <c r="CT463">
        <f>IF(ISBLANK('Data Entry'!$¢$463), "", 'Data Entry'!$¢$463)</f>
      </c>
      <c r="CU463">
        <f>IF(ISBLANK('Data Entry'!$£$463), "", 'Data Entry'!$£$463)</f>
      </c>
      <c r="CV463">
        <f>IF(ISBLANK('Data Entry'!$¤$463), "", 'Data Entry'!$¤$463)</f>
      </c>
      <c r="CW463">
        <f>IF(ISBLANK('Data Entry'!$¥$463), "", 'Data Entry'!$¥$463)</f>
      </c>
      <c r="CX463">
        <f>IF(ISBLANK('Data Entry'!$¦$463), "", 'Data Entry'!$¦$463)</f>
      </c>
      <c r="CY463">
        <f>IF(ISBLANK('Data Entry'!$§$463), "", 'Data Entry'!$§$463)</f>
      </c>
      <c r="CZ463">
        <f>IF(ISBLANK('Data Entry'!$¨$463), "", 'Data Entry'!$¨$463)</f>
      </c>
      <c r="DA463">
        <f>IF(ISBLANK('Data Entry'!$©$463), "", 'Data Entry'!$©$463)</f>
      </c>
      <c r="DB463">
        <f>IF(ISBLANK('Data Entry'!$ª$463), "", 'Data Entry'!$ª$463)</f>
      </c>
      <c r="DC463">
        <f>IF(ISBLANK('Data Entry'!$«$463), "", 'Data Entry'!$«$463)</f>
      </c>
      <c r="DD463">
        <f>IF(ISBLANK('Data Entry'!$¬$463), "", 'Data Entry'!$¬$463)</f>
      </c>
      <c r="DE463">
        <f>IF(ISBLANK('Data Entry'!$­$463), "", 'Data Entry'!$­$463)</f>
      </c>
      <c r="DF463">
        <f>IF(ISBLANK('Data Entry'!$®$463), "", 'Data Entry'!$®$463)</f>
      </c>
      <c r="DG463">
        <f>IF(ISBLANK('Data Entry'!$¯$463), "", 'Data Entry'!$¯$463)</f>
      </c>
      <c r="DH463">
        <f>IF(ISBLANK('Data Entry'!$°$463), "", 'Data Entry'!$°$463)</f>
      </c>
      <c r="DI463">
        <f>IF(ISBLANK('Data Entry'!$±$463), "", 'Data Entry'!$±$463)</f>
      </c>
      <c r="DJ463">
        <f>IF(ISBLANK('Data Entry'!$²$463), "", 'Data Entry'!$²$463)</f>
      </c>
      <c r="DK463">
        <f>IF(ISBLANK('Data Entry'!$³$463), "", 'Data Entry'!$³$463)</f>
      </c>
      <c r="DL463">
        <f>IF(ISBLANK('Data Entry'!$´$463), "", 'Data Entry'!$´$463)</f>
      </c>
      <c r="DM463">
        <f>IF(ISBLANK('Data Entry'!$µ$463), "", 'Data Entry'!$µ$463)</f>
      </c>
      <c r="DN463">
        <f>IF(ISBLANK('Data Entry'!$¶$463), "", 'Data Entry'!$¶$463)</f>
      </c>
      <c r="DO463">
        <f>IF(ISBLANK('Data Entry'!$·$463), "", 'Data Entry'!$·$463)</f>
      </c>
      <c r="DP463">
        <f>IF(ISBLANK('Data Entry'!$¸$463), "", 'Data Entry'!$¸$463)</f>
      </c>
      <c r="DQ463">
        <f>IF(ISBLANK('Data Entry'!$¹$463), "", 'Data Entry'!$¹$463)</f>
      </c>
      <c r="DR463">
        <f>IF(ISBLANK('Data Entry'!$º$463), "", 'Data Entry'!$º$463)</f>
      </c>
      <c r="DS463">
        <f>IF(ISBLANK('Data Entry'!$»$463), "", 'Data Entry'!$»$463)</f>
      </c>
      <c r="DT463">
        <f>IF(ISBLANK('Data Entry'!$¼$463), "", 'Data Entry'!$¼$463)</f>
      </c>
      <c r="DU463">
        <f>IF(ISBLANK('Data Entry'!$½$463), "", 'Data Entry'!$½$463)</f>
      </c>
      <c r="DV463">
        <f>IF(ISBLANK('Data Entry'!$¾$463), "", 'Data Entry'!$¾$463)</f>
      </c>
      <c r="DW463">
        <f>IF(ISBLANK('Data Entry'!$¿$463), "", 'Data Entry'!$¿$463)</f>
      </c>
      <c r="DX463">
        <f>IF(ISBLANK('Data Entry'!$À$463), "", 'Data Entry'!$À$463)</f>
      </c>
      <c r="DY463">
        <f>IF(ISBLANK('Data Entry'!$Á$463), "", 'Data Entry'!$Á$463)</f>
      </c>
      <c r="DZ463">
        <f>IF(ISBLANK('Data Entry'!$Â$463), "", 'Data Entry'!$Â$463)</f>
      </c>
      <c r="EA463">
        <f>IF(ISBLANK('Data Entry'!$Ã$463), "", 'Data Entry'!$Ã$463)</f>
      </c>
      <c r="EB463">
        <f>IF(ISBLANK('Data Entry'!$Ä$463), "", 'Data Entry'!$Ä$463)</f>
      </c>
      <c r="EC463">
        <f>IF(ISBLANK('Data Entry'!$Å$463), "", 'Data Entry'!$Å$463)</f>
      </c>
      <c r="ED463">
        <f>IF(ISBLANK('Data Entry'!$Æ$463), "", 'Data Entry'!$Æ$463)</f>
      </c>
      <c r="EE463">
        <f>IF(ISBLANK('Data Entry'!$Ç$463), "", 'Data Entry'!$Ç$463)</f>
      </c>
      <c r="EF463">
        <f>IF(ISBLANK('Data Entry'!$È$463), "", 'Data Entry'!$È$463)</f>
      </c>
      <c r="EG463">
        <f>IF(ISBLANK('Data Entry'!$É$463), "", 'Data Entry'!$É$463)</f>
      </c>
      <c r="EH463">
        <f>IF(ISBLANK('Data Entry'!$Ê$463), "", 'Data Entry'!$Ê$463)</f>
      </c>
      <c r="EI463">
        <f>IF(ISBLANK('Data Entry'!$Ë$463), "", 'Data Entry'!$Ë$463)</f>
      </c>
      <c r="EJ463">
        <f>IF(ISBLANK('Data Entry'!$Ì$463), "", 'Data Entry'!$Ì$463)</f>
      </c>
      <c r="EK463">
        <f>IF(ISBLANK('Data Entry'!$Í$463), "", 'Data Entry'!$Í$463)</f>
      </c>
      <c r="EL463">
        <f>IF(ISBLANK('Data Entry'!$Î$463), "", 'Data Entry'!$Î$463)</f>
      </c>
      <c r="EM463">
        <f>IF(ISBLANK('Data Entry'!$Ï$463), "", 'Data Entry'!$Ï$463)</f>
      </c>
      <c r="EN463">
        <f>IF(ISBLANK('Data Entry'!$Ð$463), "", 'Data Entry'!$Ð$463)</f>
      </c>
      <c r="EO463">
        <f>IF(ISBLANK('Data Entry'!$Ñ$463), "", 'Data Entry'!$Ñ$463)</f>
      </c>
      <c r="EP463">
        <f>IF(ISBLANK('Data Entry'!$Ò$463), "", 'Data Entry'!$Ò$463)</f>
      </c>
      <c r="EQ463">
        <f>IF(ISBLANK('Data Entry'!$Ó$463), "", 'Data Entry'!$Ó$463)</f>
      </c>
      <c r="ER463">
        <f>IF(ISBLANK('Data Entry'!$Ô$463), "", 'Data Entry'!$Ô$463)</f>
      </c>
      <c r="ES463">
        <f>IF(ISBLANK('Data Entry'!$Õ$463), "", 'Data Entry'!$Õ$463)</f>
      </c>
      <c r="ET463">
        <f>IF(ISBLANK('Data Entry'!$Ö$463), "", 'Data Entry'!$Ö$463)</f>
      </c>
      <c r="EU463">
        <f>IF(ISBLANK('Data Entry'!$×$463), "", 'Data Entry'!$×$463)</f>
      </c>
      <c r="EV463">
        <f>IF(ISBLANK('Data Entry'!$Ø$463), "", 'Data Entry'!$Ø$463)</f>
      </c>
      <c r="EW463">
        <f>IF(ISBLANK('Data Entry'!$Ù$463), "", 'Data Entry'!$Ù$463)</f>
      </c>
      <c r="EX463">
        <f>IF(ISBLANK('Data Entry'!$Ú$463), "", 'Data Entry'!$Ú$463)</f>
      </c>
      <c r="EY463">
        <f>IF(ISBLANK('Data Entry'!$Û$463), "", 'Data Entry'!$Û$463)</f>
      </c>
      <c r="EZ463">
        <f>IF(ISBLANK('Data Entry'!$Ü$463), "", 'Data Entry'!$Ü$463)</f>
      </c>
      <c r="FA463">
        <f>IF(ISBLANK('Data Entry'!$Ý$463), "", 'Data Entry'!$Ý$463)</f>
      </c>
      <c r="FB463">
        <f>IF(ISBLANK('Data Entry'!$Þ$463), "", 'Data Entry'!$Þ$463)</f>
      </c>
      <c r="FC463">
        <f>IF(ISBLANK('Data Entry'!$ß$463), "", 'Data Entry'!$ß$463)</f>
      </c>
      <c r="FD463">
        <f>IF(ISBLANK('Data Entry'!$à$463), "", 'Data Entry'!$à$463)</f>
      </c>
      <c r="FE463">
        <f>IF(ISBLANK('Data Entry'!$á$463), "", 'Data Entry'!$á$463)</f>
      </c>
      <c r="FF463">
        <f>IF(ISBLANK('Data Entry'!$â$463), "", 'Data Entry'!$â$463)</f>
      </c>
      <c r="FG463">
        <f>IF(ISBLANK('Data Entry'!$ã$463), "", 'Data Entry'!$ã$463)</f>
      </c>
      <c r="FH463">
        <f>IF(ISBLANK('Data Entry'!$ä$463), "", 'Data Entry'!$ä$463)</f>
      </c>
      <c r="FI463">
        <f>IF(ISBLANK('Data Entry'!$å$463), "", 'Data Entry'!$å$463)</f>
      </c>
      <c r="FJ463">
        <f>IF(ISBLANK('Data Entry'!$æ$463), "", 'Data Entry'!$æ$463)</f>
      </c>
      <c r="FK463">
        <f>IF(ISBLANK('Data Entry'!$ç$463), "", 'Data Entry'!$ç$463)</f>
      </c>
      <c r="FL463">
        <f>IF(ISBLANK('Data Entry'!$è$463), "", 'Data Entry'!$è$463)</f>
      </c>
      <c r="FM463">
        <f>IF(ISBLANK('Data Entry'!$é$463), "", 'Data Entry'!$é$463)</f>
      </c>
      <c r="FN463">
        <f>IF(ISBLANK('Data Entry'!$ê$463), "", 'Data Entry'!$ê$463)</f>
      </c>
      <c r="FO463">
        <f>IF(ISBLANK('Data Entry'!$ë$463), "", 'Data Entry'!$ë$463)</f>
      </c>
      <c r="FP463">
        <f>IF(ISBLANK('Data Entry'!$ì$463), "", 'Data Entry'!$ì$463)</f>
      </c>
      <c r="FQ463">
        <f>IF(ISBLANK('Data Entry'!$í$463), "", 'Data Entry'!$í$463)</f>
      </c>
      <c r="FR463">
        <f>IF(ISBLANK('Data Entry'!$î$463), "", 'Data Entry'!$î$463)</f>
      </c>
      <c r="FS463">
        <f>IF(ISBLANK('Data Entry'!$ï$463), "", 'Data Entry'!$ï$463)</f>
      </c>
      <c r="FT463">
        <f>IF(ISBLANK('Data Entry'!$ð$463), "", 'Data Entry'!$ð$463)</f>
      </c>
      <c r="FU463">
        <f>IF(ISBLANK('Data Entry'!$ñ$463), "", 'Data Entry'!$ñ$463)</f>
      </c>
      <c r="FV463">
        <f>IF(ISBLANK('Data Entry'!$ò$463), "", 'Data Entry'!$ò$463)</f>
      </c>
      <c r="FW463">
        <f>IF(ISBLANK('Data Entry'!$ó$463), "", 'Data Entry'!$ó$463)</f>
      </c>
      <c r="FX463">
        <f>IF(ISBLANK('Data Entry'!$ô$463), "", 'Data Entry'!$ô$463)</f>
      </c>
      <c r="FY463">
        <f>IF(ISBLANK('Data Entry'!$õ$463), "", 'Data Entry'!$õ$463)</f>
      </c>
      <c r="FZ463">
        <f>IF(ISBLANK('Data Entry'!$ö$463), "", 'Data Entry'!$ö$463)</f>
      </c>
      <c r="GA463">
        <f>IF(ISBLANK('Data Entry'!$÷$463), "", 'Data Entry'!$÷$463)</f>
      </c>
      <c r="GB463">
        <f>IF(ISBLANK('Data Entry'!$ø$463), "", 'Data Entry'!$ø$463)</f>
      </c>
      <c r="GC463">
        <f>IF(ISBLANK('Data Entry'!$ù$463), "", 'Data Entry'!$ù$463)</f>
      </c>
      <c r="GD463">
        <f>IF(ISBLANK('Data Entry'!$ú$463), "", 'Data Entry'!$ú$463)</f>
      </c>
      <c r="GE463">
        <f>IF(ISBLANK('Data Entry'!$û$463), "", 'Data Entry'!$û$463)</f>
      </c>
      <c r="GF463">
        <f>IF(ISBLANK('Data Entry'!$ü$463), "", 'Data Entry'!$ü$463)</f>
      </c>
      <c r="GG463">
        <f>IF(ISBLANK('Data Entry'!$ý$463), "", 'Data Entry'!$ý$463)</f>
      </c>
      <c r="GH463">
        <f>IF(ISBLANK('Data Entry'!$þ$463), "", 'Data Entry'!$þ$463)</f>
      </c>
      <c r="GI463">
        <f>IF(ISBLANK('Data Entry'!$ÿ$463), "", 'Data Entry'!$ÿ$463)</f>
      </c>
      <c r="GJ463">
        <f>IF(ISBLANK('Data Entry'!$Ā$463), "", 'Data Entry'!$Ā$463)</f>
      </c>
      <c r="GK463">
        <f>IF(ISBLANK('Data Entry'!$ā$463), "", 'Data Entry'!$ā$463)</f>
      </c>
      <c r="GL463">
        <f>IF(ISBLANK('Data Entry'!$Ă$463), "", 'Data Entry'!$Ă$463)</f>
      </c>
      <c r="GM463">
        <f>IF(ISBLANK('Data Entry'!$ă$463), "", 'Data Entry'!$ă$463)</f>
      </c>
      <c r="GN463">
        <f>IF(ISBLANK('Data Entry'!$Ą$463), "", 'Data Entry'!$Ą$463)</f>
      </c>
      <c r="GO463">
        <f>IF(ISBLANK('Data Entry'!$ą$463), "", 'Data Entry'!$ą$463)</f>
      </c>
      <c r="GP463">
        <f>IF(ISBLANK('Data Entry'!$Ć$463), "", 'Data Entry'!$Ć$463)</f>
      </c>
      <c r="GQ463">
        <f>IF(ISBLANK('Data Entry'!$ć$463), "", 'Data Entry'!$ć$463)</f>
      </c>
      <c r="GR463">
        <f>IF(ISBLANK('Data Entry'!$Ĉ$463), "", 'Data Entry'!$Ĉ$463)</f>
      </c>
      <c r="GS463">
        <f>IF(ISBLANK('Data Entry'!$ĉ$463), "", 'Data Entry'!$ĉ$463)</f>
      </c>
      <c r="GT463">
        <f>IF(ISBLANK('Data Entry'!$Ċ$463), "", 'Data Entry'!$Ċ$463)</f>
      </c>
      <c r="GU463">
        <f>IF(ISBLANK('Data Entry'!$ċ$463), "", 'Data Entry'!$ċ$463)</f>
      </c>
      <c r="GV463">
        <f>IF(ISBLANK('Data Entry'!$Č$463), "", 'Data Entry'!$Č$463)</f>
      </c>
      <c r="GW463">
        <f>IF(ISBLANK('Data Entry'!$č$463), "", 'Data Entry'!$č$463)</f>
      </c>
      <c r="GX463">
        <f>IF(ISBLANK('Data Entry'!$Ď$463), "", 'Data Entry'!$Ď$463)</f>
      </c>
      <c r="GY463">
        <f>IF(ISBLANK('Data Entry'!$ď$463), "", 'Data Entry'!$ď$463)</f>
      </c>
      <c r="GZ463">
        <f>IF(ISBLANK('Data Entry'!$Đ$463), "", 'Data Entry'!$Đ$463)</f>
      </c>
      <c r="HA463">
        <f>IF(ISBLANK('Data Entry'!$đ$463), "", 'Data Entry'!$đ$463)</f>
      </c>
      <c r="HB463">
        <f>IF(ISBLANK('Data Entry'!$Ē$463), "", 'Data Entry'!$Ē$463)</f>
      </c>
      <c r="HC463">
        <f>IF(ISBLANK('Data Entry'!$ē$463), "", 'Data Entry'!$ē$463)</f>
      </c>
      <c r="HD463">
        <f>IF(ISBLANK('Data Entry'!$Ĕ$463), "", 'Data Entry'!$Ĕ$463)</f>
      </c>
      <c r="HE463">
        <f>IF(ISBLANK('Data Entry'!$ĕ$463), "", 'Data Entry'!$ĕ$463)</f>
      </c>
      <c r="HF463">
        <f>IF(ISBLANK('Data Entry'!$Ė$463), "", 'Data Entry'!$Ė$463)</f>
      </c>
      <c r="HG463">
        <f>IF(ISBLANK('Data Entry'!$ė$463), "", 'Data Entry'!$ė$463)</f>
      </c>
      <c r="HH463">
        <f>IF(ISBLANK('Data Entry'!$Ę$463), "", 'Data Entry'!$Ę$463)</f>
      </c>
      <c r="HI463">
        <f>IF(ISBLANK('Data Entry'!$ę$463), "", 'Data Entry'!$ę$463)</f>
      </c>
      <c r="HJ463">
        <f>IF(ISBLANK('Data Entry'!$Ě$463), "", 'Data Entry'!$Ě$463)</f>
      </c>
      <c r="HK463">
        <f>IF(ISBLANK('Data Entry'!$ě$463), "", 'Data Entry'!$ě$463)</f>
      </c>
      <c r="HL463">
        <f>IF(ISBLANK('Data Entry'!$Ĝ$463), "", 'Data Entry'!$Ĝ$463)</f>
      </c>
      <c r="HM463">
        <f>IF(ISBLANK('Data Entry'!$ĝ$463), "", 'Data Entry'!$ĝ$463)</f>
      </c>
      <c r="HN463">
        <f>IF(ISBLANK('Data Entry'!$Ğ$463), "", 'Data Entry'!$Ğ$463)</f>
      </c>
      <c r="HO463">
        <f>IF(ISBLANK('Data Entry'!$ğ$463), "", 'Data Entry'!$ğ$463)</f>
      </c>
      <c r="HP463">
        <f>IF(ISBLANK('Data Entry'!$Ġ$463), "", 'Data Entry'!$Ġ$463)</f>
      </c>
      <c r="HQ463">
        <f>IF(ISBLANK('Data Entry'!$ġ$463), "", 'Data Entry'!$ġ$463)</f>
      </c>
      <c r="HR463">
        <f>IF(ISBLANK('Data Entry'!$Ģ$463), "", 'Data Entry'!$Ģ$463)</f>
      </c>
      <c r="HS463">
        <f>IF(ISBLANK('Data Entry'!$ģ$463), "", 'Data Entry'!$ģ$463)</f>
      </c>
      <c r="HT463">
        <f>IF(ISBLANK('Data Entry'!$Ĥ$463), "", 'Data Entry'!$Ĥ$463)</f>
      </c>
      <c r="HU463">
        <f>IF(ISBLANK('Data Entry'!$ĥ$463), "", 'Data Entry'!$ĥ$463)</f>
      </c>
      <c r="HV463">
        <f>IF(ISBLANK('Data Entry'!$Ħ$463), "", 'Data Entry'!$Ħ$463)</f>
      </c>
      <c r="HW463">
        <f>IF(ISBLANK('Data Entry'!$ħ$463), "", 'Data Entry'!$ħ$463)</f>
      </c>
      <c r="HX463">
        <f>IF(ISBLANK('Data Entry'!$Ĩ$463), "", 'Data Entry'!$Ĩ$463)</f>
      </c>
      <c r="HY463">
        <f>IF(ISBLANK('Data Entry'!$ĩ$463), "", 'Data Entry'!$ĩ$463)</f>
      </c>
      <c r="HZ463">
        <f>IF(ISBLANK('Data Entry'!$Ī$463), "", 'Data Entry'!$Ī$463)</f>
      </c>
      <c r="IA463">
        <f>IF(ISBLANK('Data Entry'!$ī$463), "", 'Data Entry'!$ī$463)</f>
      </c>
      <c r="IB463">
        <f>IF(ISBLANK('Data Entry'!$Ĭ$463), "", 'Data Entry'!$Ĭ$463)</f>
      </c>
      <c r="IC463">
        <f>IF(ISBLANK('Data Entry'!$ĭ$463), "", 'Data Entry'!$ĭ$463)</f>
      </c>
      <c r="ID463">
        <f>IF(ISBLANK('Data Entry'!$Į$463), "", 'Data Entry'!$Į$463)</f>
      </c>
      <c r="IE463">
        <f>IF(ISBLANK('Data Entry'!$į$463), "", 'Data Entry'!$į$463)</f>
      </c>
      <c r="IF463">
        <f>IF(ISBLANK('Data Entry'!$İ$463), "", 'Data Entry'!$İ$463)</f>
      </c>
      <c r="IG463">
        <f>IF(ISBLANK('Data Entry'!$ı$463), "", 'Data Entry'!$ı$463)</f>
      </c>
      <c r="IH463">
        <f>IF(ISBLANK('Data Entry'!$Ĳ$463), "", 'Data Entry'!$Ĳ$463)</f>
      </c>
      <c r="II463">
        <f>IF(ISBLANK('Data Entry'!$ĳ$463), "", 'Data Entry'!$ĳ$463)</f>
      </c>
      <c r="IJ463">
        <f>IF(ISBLANK('Data Entry'!$Ĵ$463), "", 'Data Entry'!$Ĵ$463)</f>
      </c>
      <c r="IK463">
        <f>IF(ISBLANK('Data Entry'!$ĵ$463), "", 'Data Entry'!$ĵ$463)</f>
      </c>
      <c r="IL463">
        <f>IF(ISBLANK('Data Entry'!$Ķ$463), "", 'Data Entry'!$Ķ$463)</f>
      </c>
      <c r="IM463">
        <f>IF(ISBLANK('Data Entry'!$ķ$463), "", 'Data Entry'!$ķ$463)</f>
      </c>
      <c r="IN463">
        <f>IF(ISBLANK('Data Entry'!$ĸ$463), "", 'Data Entry'!$ĸ$463)</f>
      </c>
      <c r="IO463">
        <f>IF(ISBLANK('Data Entry'!$Ĺ$463), "", 'Data Entry'!$Ĺ$463)</f>
      </c>
      <c r="IP463">
        <f>IF(ISBLANK('Data Entry'!$ĺ$463), "", 'Data Entry'!$ĺ$463)</f>
      </c>
      <c r="IQ463">
        <f>IF(ISBLANK('Data Entry'!$Ļ$463), "", 'Data Entry'!$Ļ$463)</f>
      </c>
      <c r="IR463">
        <f>IF(ISBLANK('Data Entry'!$ļ$463), "", 'Data Entry'!$ļ$463)</f>
      </c>
      <c r="IS463">
        <f>IF(ISBLANK('Data Entry'!$Ľ$463), "", 'Data Entry'!$Ľ$463)</f>
      </c>
      <c r="IT463">
        <f>IF(ISBLANK('Data Entry'!$ľ$463), "", 'Data Entry'!$ľ$463)</f>
      </c>
    </row>
    <row r="464" spans="1:254" x14ac:dyDescent="0.25">
      <c r="A464">
        <f>IF(ISBLANK('Data Entry'!$A$464), "", 'Data Entry'!$A$464)</f>
      </c>
      <c r="B464">
        <f>IF(ISBLANK('Data Entry'!$B$464), "", 'Data Entry'!$B$464)</f>
      </c>
      <c r="C464">
        <f>IF(ISBLANK('Data Entry'!$C$464), "", 'Data Entry'!$C$464)</f>
      </c>
      <c r="D464">
        <f>IF(ISBLANK('Data Entry'!$D$464), "", 'Data Entry'!$D$464)</f>
      </c>
      <c r="E464">
        <f>IF(ISBLANK('Data Entry'!$E$464), "", 'Data Entry'!$E$464)</f>
      </c>
      <c r="F464">
        <f>IF(ISBLANK('Data Entry'!$F$464), "", 'Data Entry'!$F$464)</f>
      </c>
      <c r="G464">
        <f>IF(ISBLANK('Data Entry'!$G$464), "", 'Data Entry'!$G$464)</f>
      </c>
      <c r="H464">
        <f>IF(ISBLANK('Data Entry'!$H$464), "", 'Data Entry'!$H$464)</f>
      </c>
      <c r="I464">
        <f>IF(ISBLANK('Data Entry'!$I$464), "", 'Data Entry'!$I$464)</f>
      </c>
      <c r="J464">
        <f>IF(ISBLANK('Data Entry'!$J$464), "", 'Data Entry'!$J$464)</f>
      </c>
      <c r="K464">
        <f>IF(ISBLANK('Data Entry'!$K$464), "", 'Data Entry'!$K$464)</f>
      </c>
      <c r="L464">
        <f>IF(ISBLANK('Data Entry'!$L$464), "", 'Data Entry'!$L$464)</f>
      </c>
      <c r="M464">
        <f>IF(ISBLANK('Data Entry'!$M$464), "", 'Data Entry'!$M$464)</f>
      </c>
      <c r="N464">
        <f>IF(ISBLANK('Data Entry'!$N$464), "", 'Data Entry'!$N$464)</f>
      </c>
      <c r="O464">
        <f>IF(ISBLANK('Data Entry'!$O$464), "", 'Data Entry'!$O$464)</f>
      </c>
      <c r="P464">
        <f>IF(ISBLANK('Data Entry'!$P$464), "", 'Data Entry'!$P$464)</f>
      </c>
      <c r="Q464">
        <f>IF(ISBLANK('Data Entry'!$Q$464), "", 'Data Entry'!$Q$464)</f>
      </c>
      <c r="R464">
        <f>IF(ISBLANK('Data Entry'!$R$464), "", 'Data Entry'!$R$464)</f>
      </c>
      <c r="S464">
        <f>IF(ISBLANK('Data Entry'!$S$464), "", 'Data Entry'!$S$464)</f>
      </c>
      <c r="T464">
        <f>IF(ISBLANK('Data Entry'!$T$464), "", 'Data Entry'!$T$464)</f>
      </c>
      <c r="U464">
        <f>IF(ISBLANK('Data Entry'!$U$464), "", 'Data Entry'!$U$464)</f>
      </c>
      <c r="V464">
        <f>IF(ISBLANK('Data Entry'!$V$464), "", 'Data Entry'!$V$464)</f>
      </c>
      <c r="W464">
        <f>IF(ISBLANK('Data Entry'!$W$464), "", 'Data Entry'!$W$464)</f>
      </c>
      <c r="X464">
        <f>IF(ISBLANK('Data Entry'!$X$464), "", 'Data Entry'!$X$464)</f>
      </c>
      <c r="Y464">
        <f>IF(ISBLANK('Data Entry'!$Y$464), "", 'Data Entry'!$Y$464)</f>
      </c>
      <c r="Z464">
        <f>IF(ISBLANK('Data Entry'!$Z$464), "", 'Data Entry'!$Z$464)</f>
      </c>
      <c r="AA464">
        <f>IF(ISBLANK('Data Entry'!$[$464), "", 'Data Entry'!$[$464)</f>
      </c>
      <c r="AB464">
        <f>IF(ISBLANK('Data Entry'!$\$464), "", 'Data Entry'!$\$464)</f>
      </c>
      <c r="AC464">
        <f>IF(ISBLANK('Data Entry'!$]$464), "", 'Data Entry'!$]$464)</f>
      </c>
      <c r="AD464">
        <f>IF(ISBLANK('Data Entry'!$^$464), "", 'Data Entry'!$^$464)</f>
      </c>
      <c r="AE464">
        <f>IF(ISBLANK('Data Entry'!$_$464), "", 'Data Entry'!$_$464)</f>
      </c>
      <c r="AF464">
        <f>IF(ISBLANK('Data Entry'!$`$464), "", 'Data Entry'!$`$464)</f>
      </c>
      <c r="AG464">
        <f>IF(ISBLANK('Data Entry'!$a$464), "", 'Data Entry'!$a$464)</f>
      </c>
      <c r="AH464">
        <f>IF(ISBLANK('Data Entry'!$b$464), "", 'Data Entry'!$b$464)</f>
      </c>
      <c r="AI464">
        <f>IF(ISBLANK('Data Entry'!$c$464), "", 'Data Entry'!$c$464)</f>
      </c>
      <c r="AJ464">
        <f>IF(ISBLANK('Data Entry'!$d$464), "", 'Data Entry'!$d$464)</f>
      </c>
      <c r="AK464">
        <f>IF(ISBLANK('Data Entry'!$e$464), "", 'Data Entry'!$e$464)</f>
      </c>
      <c r="AL464">
        <f>IF(ISBLANK('Data Entry'!$f$464), "", 'Data Entry'!$f$464)</f>
      </c>
      <c r="AM464">
        <f>IF(ISBLANK('Data Entry'!$g$464), "", 'Data Entry'!$g$464)</f>
      </c>
      <c r="AN464">
        <f>IF(ISBLANK('Data Entry'!$h$464), "", 'Data Entry'!$h$464)</f>
      </c>
      <c r="AO464">
        <f>IF(ISBLANK('Data Entry'!$i$464), "", 'Data Entry'!$i$464)</f>
      </c>
      <c r="AP464">
        <f>IF(ISBLANK('Data Entry'!$j$464), "", 'Data Entry'!$j$464)</f>
      </c>
      <c r="AQ464">
        <f>IF(ISBLANK('Data Entry'!$k$464), "", 'Data Entry'!$k$464)</f>
      </c>
      <c r="AR464">
        <f>IF(ISBLANK('Data Entry'!$l$464), "", 'Data Entry'!$l$464)</f>
      </c>
      <c r="AS464">
        <f>IF(ISBLANK('Data Entry'!$m$464), "", 'Data Entry'!$m$464)</f>
      </c>
      <c r="AT464">
        <f>IF(ISBLANK('Data Entry'!$n$464), "", 'Data Entry'!$n$464)</f>
      </c>
      <c r="AU464">
        <f>IF(ISBLANK('Data Entry'!$o$464), "", 'Data Entry'!$o$464)</f>
      </c>
      <c r="AV464">
        <f>IF(ISBLANK('Data Entry'!$p$464), "", 'Data Entry'!$p$464)</f>
      </c>
      <c r="AW464">
        <f>IF(ISBLANK('Data Entry'!$q$464), "", 'Data Entry'!$q$464)</f>
      </c>
      <c r="AX464">
        <f>IF(ISBLANK('Data Entry'!$r$464), "", 'Data Entry'!$r$464)</f>
      </c>
      <c r="AY464">
        <f>IF(ISBLANK('Data Entry'!$s$464), "", 'Data Entry'!$s$464)</f>
      </c>
      <c r="AZ464">
        <f>IF(ISBLANK('Data Entry'!$t$464), "", 'Data Entry'!$t$464)</f>
      </c>
      <c r="BA464">
        <f>IF(ISBLANK('Data Entry'!$u$464), "", 'Data Entry'!$u$464)</f>
      </c>
      <c r="BB464">
        <f>IF(ISBLANK('Data Entry'!$v$464), "", 'Data Entry'!$v$464)</f>
      </c>
      <c r="BC464">
        <f>IF(ISBLANK('Data Entry'!$w$464), "", 'Data Entry'!$w$464)</f>
      </c>
      <c r="BD464">
        <f>IF(ISBLANK('Data Entry'!$x$464), "", 'Data Entry'!$x$464)</f>
      </c>
      <c r="BE464">
        <f>IF(ISBLANK('Data Entry'!$y$464), "", 'Data Entry'!$y$464)</f>
      </c>
      <c r="BF464">
        <f>IF(ISBLANK('Data Entry'!$z$464), "", 'Data Entry'!$z$464)</f>
      </c>
      <c r="BG464">
        <f>IF(ISBLANK('Data Entry'!${$464), "", 'Data Entry'!${$464)</f>
      </c>
      <c r="BH464">
        <f>IF(ISBLANK('Data Entry'!$|$464), "", 'Data Entry'!$|$464)</f>
      </c>
      <c r="BI464">
        <f>IF(ISBLANK('Data Entry'!$}$464), "", 'Data Entry'!$}$464)</f>
      </c>
      <c r="BJ464">
        <f>IF(ISBLANK('Data Entry'!$~$464), "", 'Data Entry'!$~$464)</f>
      </c>
      <c r="BK464">
        <f>IF(ISBLANK('Data Entry'!$$464), "", 'Data Entry'!$$464)</f>
      </c>
      <c r="BL464">
        <f>IF(ISBLANK('Data Entry'!$$464), "", 'Data Entry'!$$464)</f>
      </c>
      <c r="BM464">
        <f>IF(ISBLANK('Data Entry'!$$464), "", 'Data Entry'!$$464)</f>
      </c>
      <c r="BN464">
        <f>IF(ISBLANK('Data Entry'!$$464), "", 'Data Entry'!$$464)</f>
      </c>
      <c r="BO464">
        <f>IF(ISBLANK('Data Entry'!$$464), "", 'Data Entry'!$$464)</f>
      </c>
      <c r="BP464">
        <f>IF(ISBLANK('Data Entry'!$$464), "", 'Data Entry'!$$464)</f>
      </c>
      <c r="BQ464">
        <f>IF(ISBLANK('Data Entry'!$$464), "", 'Data Entry'!$$464)</f>
      </c>
      <c r="BR464">
        <f>IF(ISBLANK('Data Entry'!$$464), "", 'Data Entry'!$$464)</f>
      </c>
      <c r="BS464">
        <f>IF(ISBLANK('Data Entry'!$$464), "", 'Data Entry'!$$464)</f>
      </c>
      <c r="BT464">
        <f>IF(ISBLANK('Data Entry'!$$464), "", 'Data Entry'!$$464)</f>
      </c>
      <c r="BU464">
        <f>IF(ISBLANK('Data Entry'!$$464), "", 'Data Entry'!$$464)</f>
      </c>
      <c r="BV464">
        <f>IF(ISBLANK('Data Entry'!$$464), "", 'Data Entry'!$$464)</f>
      </c>
      <c r="BW464">
        <f>IF(ISBLANK('Data Entry'!$$464), "", 'Data Entry'!$$464)</f>
      </c>
      <c r="BX464">
        <f>IF(ISBLANK('Data Entry'!$$464), "", 'Data Entry'!$$464)</f>
      </c>
      <c r="BY464">
        <f>IF(ISBLANK('Data Entry'!$$464), "", 'Data Entry'!$$464)</f>
      </c>
      <c r="BZ464">
        <f>IF(ISBLANK('Data Entry'!$$464), "", 'Data Entry'!$$464)</f>
      </c>
      <c r="CA464">
        <f>IF(ISBLANK('Data Entry'!$$464), "", 'Data Entry'!$$464)</f>
      </c>
      <c r="CB464">
        <f>IF(ISBLANK('Data Entry'!$$464), "", 'Data Entry'!$$464)</f>
      </c>
      <c r="CC464">
        <f>IF(ISBLANK('Data Entry'!$$464), "", 'Data Entry'!$$464)</f>
      </c>
      <c r="CD464">
        <f>IF(ISBLANK('Data Entry'!$$464), "", 'Data Entry'!$$464)</f>
      </c>
      <c r="CE464">
        <f>IF(ISBLANK('Data Entry'!$$464), "", 'Data Entry'!$$464)</f>
      </c>
      <c r="CF464">
        <f>IF(ISBLANK('Data Entry'!$$464), "", 'Data Entry'!$$464)</f>
      </c>
      <c r="CG464">
        <f>IF(ISBLANK('Data Entry'!$$464), "", 'Data Entry'!$$464)</f>
      </c>
      <c r="CH464">
        <f>IF(ISBLANK('Data Entry'!$$464), "", 'Data Entry'!$$464)</f>
      </c>
      <c r="CI464">
        <f>IF(ISBLANK('Data Entry'!$$464), "", 'Data Entry'!$$464)</f>
      </c>
      <c r="CJ464">
        <f>IF(ISBLANK('Data Entry'!$$464), "", 'Data Entry'!$$464)</f>
      </c>
      <c r="CK464">
        <f>IF(ISBLANK('Data Entry'!$$464), "", 'Data Entry'!$$464)</f>
      </c>
      <c r="CL464">
        <f>IF(ISBLANK('Data Entry'!$$464), "", 'Data Entry'!$$464)</f>
      </c>
      <c r="CM464">
        <f>IF(ISBLANK('Data Entry'!$$464), "", 'Data Entry'!$$464)</f>
      </c>
      <c r="CN464">
        <f>IF(ISBLANK('Data Entry'!$$464), "", 'Data Entry'!$$464)</f>
      </c>
      <c r="CO464">
        <f>IF(ISBLANK('Data Entry'!$$464), "", 'Data Entry'!$$464)</f>
      </c>
      <c r="CP464">
        <f>IF(ISBLANK('Data Entry'!$$464), "", 'Data Entry'!$$464)</f>
      </c>
      <c r="CQ464">
        <f>IF(ISBLANK('Data Entry'!$$464), "", 'Data Entry'!$$464)</f>
      </c>
      <c r="CR464">
        <f>IF(ISBLANK('Data Entry'!$ $464), "", 'Data Entry'!$ $464)</f>
      </c>
      <c r="CS464">
        <f>IF(ISBLANK('Data Entry'!$¡$464), "", 'Data Entry'!$¡$464)</f>
      </c>
      <c r="CT464">
        <f>IF(ISBLANK('Data Entry'!$¢$464), "", 'Data Entry'!$¢$464)</f>
      </c>
      <c r="CU464">
        <f>IF(ISBLANK('Data Entry'!$£$464), "", 'Data Entry'!$£$464)</f>
      </c>
      <c r="CV464">
        <f>IF(ISBLANK('Data Entry'!$¤$464), "", 'Data Entry'!$¤$464)</f>
      </c>
      <c r="CW464">
        <f>IF(ISBLANK('Data Entry'!$¥$464), "", 'Data Entry'!$¥$464)</f>
      </c>
      <c r="CX464">
        <f>IF(ISBLANK('Data Entry'!$¦$464), "", 'Data Entry'!$¦$464)</f>
      </c>
      <c r="CY464">
        <f>IF(ISBLANK('Data Entry'!$§$464), "", 'Data Entry'!$§$464)</f>
      </c>
      <c r="CZ464">
        <f>IF(ISBLANK('Data Entry'!$¨$464), "", 'Data Entry'!$¨$464)</f>
      </c>
      <c r="DA464">
        <f>IF(ISBLANK('Data Entry'!$©$464), "", 'Data Entry'!$©$464)</f>
      </c>
      <c r="DB464">
        <f>IF(ISBLANK('Data Entry'!$ª$464), "", 'Data Entry'!$ª$464)</f>
      </c>
      <c r="DC464">
        <f>IF(ISBLANK('Data Entry'!$«$464), "", 'Data Entry'!$«$464)</f>
      </c>
      <c r="DD464">
        <f>IF(ISBLANK('Data Entry'!$¬$464), "", 'Data Entry'!$¬$464)</f>
      </c>
      <c r="DE464">
        <f>IF(ISBLANK('Data Entry'!$­$464), "", 'Data Entry'!$­$464)</f>
      </c>
      <c r="DF464">
        <f>IF(ISBLANK('Data Entry'!$®$464), "", 'Data Entry'!$®$464)</f>
      </c>
      <c r="DG464">
        <f>IF(ISBLANK('Data Entry'!$¯$464), "", 'Data Entry'!$¯$464)</f>
      </c>
      <c r="DH464">
        <f>IF(ISBLANK('Data Entry'!$°$464), "", 'Data Entry'!$°$464)</f>
      </c>
      <c r="DI464">
        <f>IF(ISBLANK('Data Entry'!$±$464), "", 'Data Entry'!$±$464)</f>
      </c>
      <c r="DJ464">
        <f>IF(ISBLANK('Data Entry'!$²$464), "", 'Data Entry'!$²$464)</f>
      </c>
      <c r="DK464">
        <f>IF(ISBLANK('Data Entry'!$³$464), "", 'Data Entry'!$³$464)</f>
      </c>
      <c r="DL464">
        <f>IF(ISBLANK('Data Entry'!$´$464), "", 'Data Entry'!$´$464)</f>
      </c>
      <c r="DM464">
        <f>IF(ISBLANK('Data Entry'!$µ$464), "", 'Data Entry'!$µ$464)</f>
      </c>
      <c r="DN464">
        <f>IF(ISBLANK('Data Entry'!$¶$464), "", 'Data Entry'!$¶$464)</f>
      </c>
      <c r="DO464">
        <f>IF(ISBLANK('Data Entry'!$·$464), "", 'Data Entry'!$·$464)</f>
      </c>
      <c r="DP464">
        <f>IF(ISBLANK('Data Entry'!$¸$464), "", 'Data Entry'!$¸$464)</f>
      </c>
      <c r="DQ464">
        <f>IF(ISBLANK('Data Entry'!$¹$464), "", 'Data Entry'!$¹$464)</f>
      </c>
      <c r="DR464">
        <f>IF(ISBLANK('Data Entry'!$º$464), "", 'Data Entry'!$º$464)</f>
      </c>
      <c r="DS464">
        <f>IF(ISBLANK('Data Entry'!$»$464), "", 'Data Entry'!$»$464)</f>
      </c>
      <c r="DT464">
        <f>IF(ISBLANK('Data Entry'!$¼$464), "", 'Data Entry'!$¼$464)</f>
      </c>
      <c r="DU464">
        <f>IF(ISBLANK('Data Entry'!$½$464), "", 'Data Entry'!$½$464)</f>
      </c>
      <c r="DV464">
        <f>IF(ISBLANK('Data Entry'!$¾$464), "", 'Data Entry'!$¾$464)</f>
      </c>
      <c r="DW464">
        <f>IF(ISBLANK('Data Entry'!$¿$464), "", 'Data Entry'!$¿$464)</f>
      </c>
      <c r="DX464">
        <f>IF(ISBLANK('Data Entry'!$À$464), "", 'Data Entry'!$À$464)</f>
      </c>
      <c r="DY464">
        <f>IF(ISBLANK('Data Entry'!$Á$464), "", 'Data Entry'!$Á$464)</f>
      </c>
      <c r="DZ464">
        <f>IF(ISBLANK('Data Entry'!$Â$464), "", 'Data Entry'!$Â$464)</f>
      </c>
      <c r="EA464">
        <f>IF(ISBLANK('Data Entry'!$Ã$464), "", 'Data Entry'!$Ã$464)</f>
      </c>
      <c r="EB464">
        <f>IF(ISBLANK('Data Entry'!$Ä$464), "", 'Data Entry'!$Ä$464)</f>
      </c>
      <c r="EC464">
        <f>IF(ISBLANK('Data Entry'!$Å$464), "", 'Data Entry'!$Å$464)</f>
      </c>
      <c r="ED464">
        <f>IF(ISBLANK('Data Entry'!$Æ$464), "", 'Data Entry'!$Æ$464)</f>
      </c>
      <c r="EE464">
        <f>IF(ISBLANK('Data Entry'!$Ç$464), "", 'Data Entry'!$Ç$464)</f>
      </c>
      <c r="EF464">
        <f>IF(ISBLANK('Data Entry'!$È$464), "", 'Data Entry'!$È$464)</f>
      </c>
      <c r="EG464">
        <f>IF(ISBLANK('Data Entry'!$É$464), "", 'Data Entry'!$É$464)</f>
      </c>
      <c r="EH464">
        <f>IF(ISBLANK('Data Entry'!$Ê$464), "", 'Data Entry'!$Ê$464)</f>
      </c>
      <c r="EI464">
        <f>IF(ISBLANK('Data Entry'!$Ë$464), "", 'Data Entry'!$Ë$464)</f>
      </c>
      <c r="EJ464">
        <f>IF(ISBLANK('Data Entry'!$Ì$464), "", 'Data Entry'!$Ì$464)</f>
      </c>
      <c r="EK464">
        <f>IF(ISBLANK('Data Entry'!$Í$464), "", 'Data Entry'!$Í$464)</f>
      </c>
      <c r="EL464">
        <f>IF(ISBLANK('Data Entry'!$Î$464), "", 'Data Entry'!$Î$464)</f>
      </c>
      <c r="EM464">
        <f>IF(ISBLANK('Data Entry'!$Ï$464), "", 'Data Entry'!$Ï$464)</f>
      </c>
      <c r="EN464">
        <f>IF(ISBLANK('Data Entry'!$Ð$464), "", 'Data Entry'!$Ð$464)</f>
      </c>
      <c r="EO464">
        <f>IF(ISBLANK('Data Entry'!$Ñ$464), "", 'Data Entry'!$Ñ$464)</f>
      </c>
      <c r="EP464">
        <f>IF(ISBLANK('Data Entry'!$Ò$464), "", 'Data Entry'!$Ò$464)</f>
      </c>
      <c r="EQ464">
        <f>IF(ISBLANK('Data Entry'!$Ó$464), "", 'Data Entry'!$Ó$464)</f>
      </c>
      <c r="ER464">
        <f>IF(ISBLANK('Data Entry'!$Ô$464), "", 'Data Entry'!$Ô$464)</f>
      </c>
      <c r="ES464">
        <f>IF(ISBLANK('Data Entry'!$Õ$464), "", 'Data Entry'!$Õ$464)</f>
      </c>
      <c r="ET464">
        <f>IF(ISBLANK('Data Entry'!$Ö$464), "", 'Data Entry'!$Ö$464)</f>
      </c>
      <c r="EU464">
        <f>IF(ISBLANK('Data Entry'!$×$464), "", 'Data Entry'!$×$464)</f>
      </c>
      <c r="EV464">
        <f>IF(ISBLANK('Data Entry'!$Ø$464), "", 'Data Entry'!$Ø$464)</f>
      </c>
      <c r="EW464">
        <f>IF(ISBLANK('Data Entry'!$Ù$464), "", 'Data Entry'!$Ù$464)</f>
      </c>
      <c r="EX464">
        <f>IF(ISBLANK('Data Entry'!$Ú$464), "", 'Data Entry'!$Ú$464)</f>
      </c>
      <c r="EY464">
        <f>IF(ISBLANK('Data Entry'!$Û$464), "", 'Data Entry'!$Û$464)</f>
      </c>
      <c r="EZ464">
        <f>IF(ISBLANK('Data Entry'!$Ü$464), "", 'Data Entry'!$Ü$464)</f>
      </c>
      <c r="FA464">
        <f>IF(ISBLANK('Data Entry'!$Ý$464), "", 'Data Entry'!$Ý$464)</f>
      </c>
      <c r="FB464">
        <f>IF(ISBLANK('Data Entry'!$Þ$464), "", 'Data Entry'!$Þ$464)</f>
      </c>
      <c r="FC464">
        <f>IF(ISBLANK('Data Entry'!$ß$464), "", 'Data Entry'!$ß$464)</f>
      </c>
      <c r="FD464">
        <f>IF(ISBLANK('Data Entry'!$à$464), "", 'Data Entry'!$à$464)</f>
      </c>
      <c r="FE464">
        <f>IF(ISBLANK('Data Entry'!$á$464), "", 'Data Entry'!$á$464)</f>
      </c>
      <c r="FF464">
        <f>IF(ISBLANK('Data Entry'!$â$464), "", 'Data Entry'!$â$464)</f>
      </c>
      <c r="FG464">
        <f>IF(ISBLANK('Data Entry'!$ã$464), "", 'Data Entry'!$ã$464)</f>
      </c>
      <c r="FH464">
        <f>IF(ISBLANK('Data Entry'!$ä$464), "", 'Data Entry'!$ä$464)</f>
      </c>
      <c r="FI464">
        <f>IF(ISBLANK('Data Entry'!$å$464), "", 'Data Entry'!$å$464)</f>
      </c>
      <c r="FJ464">
        <f>IF(ISBLANK('Data Entry'!$æ$464), "", 'Data Entry'!$æ$464)</f>
      </c>
      <c r="FK464">
        <f>IF(ISBLANK('Data Entry'!$ç$464), "", 'Data Entry'!$ç$464)</f>
      </c>
      <c r="FL464">
        <f>IF(ISBLANK('Data Entry'!$è$464), "", 'Data Entry'!$è$464)</f>
      </c>
      <c r="FM464">
        <f>IF(ISBLANK('Data Entry'!$é$464), "", 'Data Entry'!$é$464)</f>
      </c>
      <c r="FN464">
        <f>IF(ISBLANK('Data Entry'!$ê$464), "", 'Data Entry'!$ê$464)</f>
      </c>
      <c r="FO464">
        <f>IF(ISBLANK('Data Entry'!$ë$464), "", 'Data Entry'!$ë$464)</f>
      </c>
      <c r="FP464">
        <f>IF(ISBLANK('Data Entry'!$ì$464), "", 'Data Entry'!$ì$464)</f>
      </c>
      <c r="FQ464">
        <f>IF(ISBLANK('Data Entry'!$í$464), "", 'Data Entry'!$í$464)</f>
      </c>
      <c r="FR464">
        <f>IF(ISBLANK('Data Entry'!$î$464), "", 'Data Entry'!$î$464)</f>
      </c>
      <c r="FS464">
        <f>IF(ISBLANK('Data Entry'!$ï$464), "", 'Data Entry'!$ï$464)</f>
      </c>
      <c r="FT464">
        <f>IF(ISBLANK('Data Entry'!$ð$464), "", 'Data Entry'!$ð$464)</f>
      </c>
      <c r="FU464">
        <f>IF(ISBLANK('Data Entry'!$ñ$464), "", 'Data Entry'!$ñ$464)</f>
      </c>
      <c r="FV464">
        <f>IF(ISBLANK('Data Entry'!$ò$464), "", 'Data Entry'!$ò$464)</f>
      </c>
      <c r="FW464">
        <f>IF(ISBLANK('Data Entry'!$ó$464), "", 'Data Entry'!$ó$464)</f>
      </c>
      <c r="FX464">
        <f>IF(ISBLANK('Data Entry'!$ô$464), "", 'Data Entry'!$ô$464)</f>
      </c>
      <c r="FY464">
        <f>IF(ISBLANK('Data Entry'!$õ$464), "", 'Data Entry'!$õ$464)</f>
      </c>
      <c r="FZ464">
        <f>IF(ISBLANK('Data Entry'!$ö$464), "", 'Data Entry'!$ö$464)</f>
      </c>
      <c r="GA464">
        <f>IF(ISBLANK('Data Entry'!$÷$464), "", 'Data Entry'!$÷$464)</f>
      </c>
      <c r="GB464">
        <f>IF(ISBLANK('Data Entry'!$ø$464), "", 'Data Entry'!$ø$464)</f>
      </c>
      <c r="GC464">
        <f>IF(ISBLANK('Data Entry'!$ù$464), "", 'Data Entry'!$ù$464)</f>
      </c>
      <c r="GD464">
        <f>IF(ISBLANK('Data Entry'!$ú$464), "", 'Data Entry'!$ú$464)</f>
      </c>
      <c r="GE464">
        <f>IF(ISBLANK('Data Entry'!$û$464), "", 'Data Entry'!$û$464)</f>
      </c>
      <c r="GF464">
        <f>IF(ISBLANK('Data Entry'!$ü$464), "", 'Data Entry'!$ü$464)</f>
      </c>
      <c r="GG464">
        <f>IF(ISBLANK('Data Entry'!$ý$464), "", 'Data Entry'!$ý$464)</f>
      </c>
      <c r="GH464">
        <f>IF(ISBLANK('Data Entry'!$þ$464), "", 'Data Entry'!$þ$464)</f>
      </c>
      <c r="GI464">
        <f>IF(ISBLANK('Data Entry'!$ÿ$464), "", 'Data Entry'!$ÿ$464)</f>
      </c>
      <c r="GJ464">
        <f>IF(ISBLANK('Data Entry'!$Ā$464), "", 'Data Entry'!$Ā$464)</f>
      </c>
      <c r="GK464">
        <f>IF(ISBLANK('Data Entry'!$ā$464), "", 'Data Entry'!$ā$464)</f>
      </c>
      <c r="GL464">
        <f>IF(ISBLANK('Data Entry'!$Ă$464), "", 'Data Entry'!$Ă$464)</f>
      </c>
      <c r="GM464">
        <f>IF(ISBLANK('Data Entry'!$ă$464), "", 'Data Entry'!$ă$464)</f>
      </c>
      <c r="GN464">
        <f>IF(ISBLANK('Data Entry'!$Ą$464), "", 'Data Entry'!$Ą$464)</f>
      </c>
      <c r="GO464">
        <f>IF(ISBLANK('Data Entry'!$ą$464), "", 'Data Entry'!$ą$464)</f>
      </c>
      <c r="GP464">
        <f>IF(ISBLANK('Data Entry'!$Ć$464), "", 'Data Entry'!$Ć$464)</f>
      </c>
      <c r="GQ464">
        <f>IF(ISBLANK('Data Entry'!$ć$464), "", 'Data Entry'!$ć$464)</f>
      </c>
      <c r="GR464">
        <f>IF(ISBLANK('Data Entry'!$Ĉ$464), "", 'Data Entry'!$Ĉ$464)</f>
      </c>
      <c r="GS464">
        <f>IF(ISBLANK('Data Entry'!$ĉ$464), "", 'Data Entry'!$ĉ$464)</f>
      </c>
      <c r="GT464">
        <f>IF(ISBLANK('Data Entry'!$Ċ$464), "", 'Data Entry'!$Ċ$464)</f>
      </c>
      <c r="GU464">
        <f>IF(ISBLANK('Data Entry'!$ċ$464), "", 'Data Entry'!$ċ$464)</f>
      </c>
      <c r="GV464">
        <f>IF(ISBLANK('Data Entry'!$Č$464), "", 'Data Entry'!$Č$464)</f>
      </c>
      <c r="GW464">
        <f>IF(ISBLANK('Data Entry'!$č$464), "", 'Data Entry'!$č$464)</f>
      </c>
      <c r="GX464">
        <f>IF(ISBLANK('Data Entry'!$Ď$464), "", 'Data Entry'!$Ď$464)</f>
      </c>
      <c r="GY464">
        <f>IF(ISBLANK('Data Entry'!$ď$464), "", 'Data Entry'!$ď$464)</f>
      </c>
      <c r="GZ464">
        <f>IF(ISBLANK('Data Entry'!$Đ$464), "", 'Data Entry'!$Đ$464)</f>
      </c>
      <c r="HA464">
        <f>IF(ISBLANK('Data Entry'!$đ$464), "", 'Data Entry'!$đ$464)</f>
      </c>
      <c r="HB464">
        <f>IF(ISBLANK('Data Entry'!$Ē$464), "", 'Data Entry'!$Ē$464)</f>
      </c>
      <c r="HC464">
        <f>IF(ISBLANK('Data Entry'!$ē$464), "", 'Data Entry'!$ē$464)</f>
      </c>
      <c r="HD464">
        <f>IF(ISBLANK('Data Entry'!$Ĕ$464), "", 'Data Entry'!$Ĕ$464)</f>
      </c>
      <c r="HE464">
        <f>IF(ISBLANK('Data Entry'!$ĕ$464), "", 'Data Entry'!$ĕ$464)</f>
      </c>
      <c r="HF464">
        <f>IF(ISBLANK('Data Entry'!$Ė$464), "", 'Data Entry'!$Ė$464)</f>
      </c>
      <c r="HG464">
        <f>IF(ISBLANK('Data Entry'!$ė$464), "", 'Data Entry'!$ė$464)</f>
      </c>
      <c r="HH464">
        <f>IF(ISBLANK('Data Entry'!$Ę$464), "", 'Data Entry'!$Ę$464)</f>
      </c>
      <c r="HI464">
        <f>IF(ISBLANK('Data Entry'!$ę$464), "", 'Data Entry'!$ę$464)</f>
      </c>
      <c r="HJ464">
        <f>IF(ISBLANK('Data Entry'!$Ě$464), "", 'Data Entry'!$Ě$464)</f>
      </c>
      <c r="HK464">
        <f>IF(ISBLANK('Data Entry'!$ě$464), "", 'Data Entry'!$ě$464)</f>
      </c>
      <c r="HL464">
        <f>IF(ISBLANK('Data Entry'!$Ĝ$464), "", 'Data Entry'!$Ĝ$464)</f>
      </c>
      <c r="HM464">
        <f>IF(ISBLANK('Data Entry'!$ĝ$464), "", 'Data Entry'!$ĝ$464)</f>
      </c>
      <c r="HN464">
        <f>IF(ISBLANK('Data Entry'!$Ğ$464), "", 'Data Entry'!$Ğ$464)</f>
      </c>
      <c r="HO464">
        <f>IF(ISBLANK('Data Entry'!$ğ$464), "", 'Data Entry'!$ğ$464)</f>
      </c>
      <c r="HP464">
        <f>IF(ISBLANK('Data Entry'!$Ġ$464), "", 'Data Entry'!$Ġ$464)</f>
      </c>
      <c r="HQ464">
        <f>IF(ISBLANK('Data Entry'!$ġ$464), "", 'Data Entry'!$ġ$464)</f>
      </c>
      <c r="HR464">
        <f>IF(ISBLANK('Data Entry'!$Ģ$464), "", 'Data Entry'!$Ģ$464)</f>
      </c>
      <c r="HS464">
        <f>IF(ISBLANK('Data Entry'!$ģ$464), "", 'Data Entry'!$ģ$464)</f>
      </c>
      <c r="HT464">
        <f>IF(ISBLANK('Data Entry'!$Ĥ$464), "", 'Data Entry'!$Ĥ$464)</f>
      </c>
      <c r="HU464">
        <f>IF(ISBLANK('Data Entry'!$ĥ$464), "", 'Data Entry'!$ĥ$464)</f>
      </c>
      <c r="HV464">
        <f>IF(ISBLANK('Data Entry'!$Ħ$464), "", 'Data Entry'!$Ħ$464)</f>
      </c>
      <c r="HW464">
        <f>IF(ISBLANK('Data Entry'!$ħ$464), "", 'Data Entry'!$ħ$464)</f>
      </c>
      <c r="HX464">
        <f>IF(ISBLANK('Data Entry'!$Ĩ$464), "", 'Data Entry'!$Ĩ$464)</f>
      </c>
      <c r="HY464">
        <f>IF(ISBLANK('Data Entry'!$ĩ$464), "", 'Data Entry'!$ĩ$464)</f>
      </c>
      <c r="HZ464">
        <f>IF(ISBLANK('Data Entry'!$Ī$464), "", 'Data Entry'!$Ī$464)</f>
      </c>
      <c r="IA464">
        <f>IF(ISBLANK('Data Entry'!$ī$464), "", 'Data Entry'!$ī$464)</f>
      </c>
      <c r="IB464">
        <f>IF(ISBLANK('Data Entry'!$Ĭ$464), "", 'Data Entry'!$Ĭ$464)</f>
      </c>
      <c r="IC464">
        <f>IF(ISBLANK('Data Entry'!$ĭ$464), "", 'Data Entry'!$ĭ$464)</f>
      </c>
      <c r="ID464">
        <f>IF(ISBLANK('Data Entry'!$Į$464), "", 'Data Entry'!$Į$464)</f>
      </c>
      <c r="IE464">
        <f>IF(ISBLANK('Data Entry'!$į$464), "", 'Data Entry'!$į$464)</f>
      </c>
      <c r="IF464">
        <f>IF(ISBLANK('Data Entry'!$İ$464), "", 'Data Entry'!$İ$464)</f>
      </c>
      <c r="IG464">
        <f>IF(ISBLANK('Data Entry'!$ı$464), "", 'Data Entry'!$ı$464)</f>
      </c>
      <c r="IH464">
        <f>IF(ISBLANK('Data Entry'!$Ĳ$464), "", 'Data Entry'!$Ĳ$464)</f>
      </c>
      <c r="II464">
        <f>IF(ISBLANK('Data Entry'!$ĳ$464), "", 'Data Entry'!$ĳ$464)</f>
      </c>
      <c r="IJ464">
        <f>IF(ISBLANK('Data Entry'!$Ĵ$464), "", 'Data Entry'!$Ĵ$464)</f>
      </c>
      <c r="IK464">
        <f>IF(ISBLANK('Data Entry'!$ĵ$464), "", 'Data Entry'!$ĵ$464)</f>
      </c>
      <c r="IL464">
        <f>IF(ISBLANK('Data Entry'!$Ķ$464), "", 'Data Entry'!$Ķ$464)</f>
      </c>
      <c r="IM464">
        <f>IF(ISBLANK('Data Entry'!$ķ$464), "", 'Data Entry'!$ķ$464)</f>
      </c>
      <c r="IN464">
        <f>IF(ISBLANK('Data Entry'!$ĸ$464), "", 'Data Entry'!$ĸ$464)</f>
      </c>
      <c r="IO464">
        <f>IF(ISBLANK('Data Entry'!$Ĺ$464), "", 'Data Entry'!$Ĺ$464)</f>
      </c>
      <c r="IP464">
        <f>IF(ISBLANK('Data Entry'!$ĺ$464), "", 'Data Entry'!$ĺ$464)</f>
      </c>
      <c r="IQ464">
        <f>IF(ISBLANK('Data Entry'!$Ļ$464), "", 'Data Entry'!$Ļ$464)</f>
      </c>
      <c r="IR464">
        <f>IF(ISBLANK('Data Entry'!$ļ$464), "", 'Data Entry'!$ļ$464)</f>
      </c>
      <c r="IS464">
        <f>IF(ISBLANK('Data Entry'!$Ľ$464), "", 'Data Entry'!$Ľ$464)</f>
      </c>
      <c r="IT464">
        <f>IF(ISBLANK('Data Entry'!$ľ$464), "", 'Data Entry'!$ľ$464)</f>
      </c>
    </row>
    <row r="465" spans="1:254" x14ac:dyDescent="0.25">
      <c r="A465">
        <f>IF(ISBLANK('Data Entry'!$A$465), "", 'Data Entry'!$A$465)</f>
      </c>
      <c r="B465">
        <f>IF(ISBLANK('Data Entry'!$B$465), "", 'Data Entry'!$B$465)</f>
      </c>
      <c r="C465">
        <f>IF(ISBLANK('Data Entry'!$C$465), "", 'Data Entry'!$C$465)</f>
      </c>
      <c r="D465">
        <f>IF(ISBLANK('Data Entry'!$D$465), "", 'Data Entry'!$D$465)</f>
      </c>
      <c r="E465">
        <f>IF(ISBLANK('Data Entry'!$E$465), "", 'Data Entry'!$E$465)</f>
      </c>
      <c r="F465">
        <f>IF(ISBLANK('Data Entry'!$F$465), "", 'Data Entry'!$F$465)</f>
      </c>
      <c r="G465">
        <f>IF(ISBLANK('Data Entry'!$G$465), "", 'Data Entry'!$G$465)</f>
      </c>
      <c r="H465">
        <f>IF(ISBLANK('Data Entry'!$H$465), "", 'Data Entry'!$H$465)</f>
      </c>
      <c r="I465">
        <f>IF(ISBLANK('Data Entry'!$I$465), "", 'Data Entry'!$I$465)</f>
      </c>
      <c r="J465">
        <f>IF(ISBLANK('Data Entry'!$J$465), "", 'Data Entry'!$J$465)</f>
      </c>
      <c r="K465">
        <f>IF(ISBLANK('Data Entry'!$K$465), "", 'Data Entry'!$K$465)</f>
      </c>
      <c r="L465">
        <f>IF(ISBLANK('Data Entry'!$L$465), "", 'Data Entry'!$L$465)</f>
      </c>
      <c r="M465">
        <f>IF(ISBLANK('Data Entry'!$M$465), "", 'Data Entry'!$M$465)</f>
      </c>
      <c r="N465">
        <f>IF(ISBLANK('Data Entry'!$N$465), "", 'Data Entry'!$N$465)</f>
      </c>
      <c r="O465">
        <f>IF(ISBLANK('Data Entry'!$O$465), "", 'Data Entry'!$O$465)</f>
      </c>
      <c r="P465">
        <f>IF(ISBLANK('Data Entry'!$P$465), "", 'Data Entry'!$P$465)</f>
      </c>
      <c r="Q465">
        <f>IF(ISBLANK('Data Entry'!$Q$465), "", 'Data Entry'!$Q$465)</f>
      </c>
      <c r="R465">
        <f>IF(ISBLANK('Data Entry'!$R$465), "", 'Data Entry'!$R$465)</f>
      </c>
      <c r="S465">
        <f>IF(ISBLANK('Data Entry'!$S$465), "", 'Data Entry'!$S$465)</f>
      </c>
      <c r="T465">
        <f>IF(ISBLANK('Data Entry'!$T$465), "", 'Data Entry'!$T$465)</f>
      </c>
      <c r="U465">
        <f>IF(ISBLANK('Data Entry'!$U$465), "", 'Data Entry'!$U$465)</f>
      </c>
      <c r="V465">
        <f>IF(ISBLANK('Data Entry'!$V$465), "", 'Data Entry'!$V$465)</f>
      </c>
      <c r="W465">
        <f>IF(ISBLANK('Data Entry'!$W$465), "", 'Data Entry'!$W$465)</f>
      </c>
      <c r="X465">
        <f>IF(ISBLANK('Data Entry'!$X$465), "", 'Data Entry'!$X$465)</f>
      </c>
      <c r="Y465">
        <f>IF(ISBLANK('Data Entry'!$Y$465), "", 'Data Entry'!$Y$465)</f>
      </c>
      <c r="Z465">
        <f>IF(ISBLANK('Data Entry'!$Z$465), "", 'Data Entry'!$Z$465)</f>
      </c>
      <c r="AA465">
        <f>IF(ISBLANK('Data Entry'!$[$465), "", 'Data Entry'!$[$465)</f>
      </c>
      <c r="AB465">
        <f>IF(ISBLANK('Data Entry'!$\$465), "", 'Data Entry'!$\$465)</f>
      </c>
      <c r="AC465">
        <f>IF(ISBLANK('Data Entry'!$]$465), "", 'Data Entry'!$]$465)</f>
      </c>
      <c r="AD465">
        <f>IF(ISBLANK('Data Entry'!$^$465), "", 'Data Entry'!$^$465)</f>
      </c>
      <c r="AE465">
        <f>IF(ISBLANK('Data Entry'!$_$465), "", 'Data Entry'!$_$465)</f>
      </c>
      <c r="AF465">
        <f>IF(ISBLANK('Data Entry'!$`$465), "", 'Data Entry'!$`$465)</f>
      </c>
      <c r="AG465">
        <f>IF(ISBLANK('Data Entry'!$a$465), "", 'Data Entry'!$a$465)</f>
      </c>
      <c r="AH465">
        <f>IF(ISBLANK('Data Entry'!$b$465), "", 'Data Entry'!$b$465)</f>
      </c>
      <c r="AI465">
        <f>IF(ISBLANK('Data Entry'!$c$465), "", 'Data Entry'!$c$465)</f>
      </c>
      <c r="AJ465">
        <f>IF(ISBLANK('Data Entry'!$d$465), "", 'Data Entry'!$d$465)</f>
      </c>
      <c r="AK465">
        <f>IF(ISBLANK('Data Entry'!$e$465), "", 'Data Entry'!$e$465)</f>
      </c>
      <c r="AL465">
        <f>IF(ISBLANK('Data Entry'!$f$465), "", 'Data Entry'!$f$465)</f>
      </c>
      <c r="AM465">
        <f>IF(ISBLANK('Data Entry'!$g$465), "", 'Data Entry'!$g$465)</f>
      </c>
      <c r="AN465">
        <f>IF(ISBLANK('Data Entry'!$h$465), "", 'Data Entry'!$h$465)</f>
      </c>
      <c r="AO465">
        <f>IF(ISBLANK('Data Entry'!$i$465), "", 'Data Entry'!$i$465)</f>
      </c>
      <c r="AP465">
        <f>IF(ISBLANK('Data Entry'!$j$465), "", 'Data Entry'!$j$465)</f>
      </c>
      <c r="AQ465">
        <f>IF(ISBLANK('Data Entry'!$k$465), "", 'Data Entry'!$k$465)</f>
      </c>
      <c r="AR465">
        <f>IF(ISBLANK('Data Entry'!$l$465), "", 'Data Entry'!$l$465)</f>
      </c>
      <c r="AS465">
        <f>IF(ISBLANK('Data Entry'!$m$465), "", 'Data Entry'!$m$465)</f>
      </c>
      <c r="AT465">
        <f>IF(ISBLANK('Data Entry'!$n$465), "", 'Data Entry'!$n$465)</f>
      </c>
      <c r="AU465">
        <f>IF(ISBLANK('Data Entry'!$o$465), "", 'Data Entry'!$o$465)</f>
      </c>
      <c r="AV465">
        <f>IF(ISBLANK('Data Entry'!$p$465), "", 'Data Entry'!$p$465)</f>
      </c>
      <c r="AW465">
        <f>IF(ISBLANK('Data Entry'!$q$465), "", 'Data Entry'!$q$465)</f>
      </c>
      <c r="AX465">
        <f>IF(ISBLANK('Data Entry'!$r$465), "", 'Data Entry'!$r$465)</f>
      </c>
      <c r="AY465">
        <f>IF(ISBLANK('Data Entry'!$s$465), "", 'Data Entry'!$s$465)</f>
      </c>
      <c r="AZ465">
        <f>IF(ISBLANK('Data Entry'!$t$465), "", 'Data Entry'!$t$465)</f>
      </c>
      <c r="BA465">
        <f>IF(ISBLANK('Data Entry'!$u$465), "", 'Data Entry'!$u$465)</f>
      </c>
      <c r="BB465">
        <f>IF(ISBLANK('Data Entry'!$v$465), "", 'Data Entry'!$v$465)</f>
      </c>
      <c r="BC465">
        <f>IF(ISBLANK('Data Entry'!$w$465), "", 'Data Entry'!$w$465)</f>
      </c>
      <c r="BD465">
        <f>IF(ISBLANK('Data Entry'!$x$465), "", 'Data Entry'!$x$465)</f>
      </c>
      <c r="BE465">
        <f>IF(ISBLANK('Data Entry'!$y$465), "", 'Data Entry'!$y$465)</f>
      </c>
      <c r="BF465">
        <f>IF(ISBLANK('Data Entry'!$z$465), "", 'Data Entry'!$z$465)</f>
      </c>
      <c r="BG465">
        <f>IF(ISBLANK('Data Entry'!${$465), "", 'Data Entry'!${$465)</f>
      </c>
      <c r="BH465">
        <f>IF(ISBLANK('Data Entry'!$|$465), "", 'Data Entry'!$|$465)</f>
      </c>
      <c r="BI465">
        <f>IF(ISBLANK('Data Entry'!$}$465), "", 'Data Entry'!$}$465)</f>
      </c>
      <c r="BJ465">
        <f>IF(ISBLANK('Data Entry'!$~$465), "", 'Data Entry'!$~$465)</f>
      </c>
      <c r="BK465">
        <f>IF(ISBLANK('Data Entry'!$$465), "", 'Data Entry'!$$465)</f>
      </c>
      <c r="BL465">
        <f>IF(ISBLANK('Data Entry'!$$465), "", 'Data Entry'!$$465)</f>
      </c>
      <c r="BM465">
        <f>IF(ISBLANK('Data Entry'!$$465), "", 'Data Entry'!$$465)</f>
      </c>
      <c r="BN465">
        <f>IF(ISBLANK('Data Entry'!$$465), "", 'Data Entry'!$$465)</f>
      </c>
      <c r="BO465">
        <f>IF(ISBLANK('Data Entry'!$$465), "", 'Data Entry'!$$465)</f>
      </c>
      <c r="BP465">
        <f>IF(ISBLANK('Data Entry'!$$465), "", 'Data Entry'!$$465)</f>
      </c>
      <c r="BQ465">
        <f>IF(ISBLANK('Data Entry'!$$465), "", 'Data Entry'!$$465)</f>
      </c>
      <c r="BR465">
        <f>IF(ISBLANK('Data Entry'!$$465), "", 'Data Entry'!$$465)</f>
      </c>
      <c r="BS465">
        <f>IF(ISBLANK('Data Entry'!$$465), "", 'Data Entry'!$$465)</f>
      </c>
      <c r="BT465">
        <f>IF(ISBLANK('Data Entry'!$$465), "", 'Data Entry'!$$465)</f>
      </c>
      <c r="BU465">
        <f>IF(ISBLANK('Data Entry'!$$465), "", 'Data Entry'!$$465)</f>
      </c>
      <c r="BV465">
        <f>IF(ISBLANK('Data Entry'!$$465), "", 'Data Entry'!$$465)</f>
      </c>
      <c r="BW465">
        <f>IF(ISBLANK('Data Entry'!$$465), "", 'Data Entry'!$$465)</f>
      </c>
      <c r="BX465">
        <f>IF(ISBLANK('Data Entry'!$$465), "", 'Data Entry'!$$465)</f>
      </c>
      <c r="BY465">
        <f>IF(ISBLANK('Data Entry'!$$465), "", 'Data Entry'!$$465)</f>
      </c>
      <c r="BZ465">
        <f>IF(ISBLANK('Data Entry'!$$465), "", 'Data Entry'!$$465)</f>
      </c>
      <c r="CA465">
        <f>IF(ISBLANK('Data Entry'!$$465), "", 'Data Entry'!$$465)</f>
      </c>
      <c r="CB465">
        <f>IF(ISBLANK('Data Entry'!$$465), "", 'Data Entry'!$$465)</f>
      </c>
      <c r="CC465">
        <f>IF(ISBLANK('Data Entry'!$$465), "", 'Data Entry'!$$465)</f>
      </c>
      <c r="CD465">
        <f>IF(ISBLANK('Data Entry'!$$465), "", 'Data Entry'!$$465)</f>
      </c>
      <c r="CE465">
        <f>IF(ISBLANK('Data Entry'!$$465), "", 'Data Entry'!$$465)</f>
      </c>
      <c r="CF465">
        <f>IF(ISBLANK('Data Entry'!$$465), "", 'Data Entry'!$$465)</f>
      </c>
      <c r="CG465">
        <f>IF(ISBLANK('Data Entry'!$$465), "", 'Data Entry'!$$465)</f>
      </c>
      <c r="CH465">
        <f>IF(ISBLANK('Data Entry'!$$465), "", 'Data Entry'!$$465)</f>
      </c>
      <c r="CI465">
        <f>IF(ISBLANK('Data Entry'!$$465), "", 'Data Entry'!$$465)</f>
      </c>
      <c r="CJ465">
        <f>IF(ISBLANK('Data Entry'!$$465), "", 'Data Entry'!$$465)</f>
      </c>
      <c r="CK465">
        <f>IF(ISBLANK('Data Entry'!$$465), "", 'Data Entry'!$$465)</f>
      </c>
      <c r="CL465">
        <f>IF(ISBLANK('Data Entry'!$$465), "", 'Data Entry'!$$465)</f>
      </c>
      <c r="CM465">
        <f>IF(ISBLANK('Data Entry'!$$465), "", 'Data Entry'!$$465)</f>
      </c>
      <c r="CN465">
        <f>IF(ISBLANK('Data Entry'!$$465), "", 'Data Entry'!$$465)</f>
      </c>
      <c r="CO465">
        <f>IF(ISBLANK('Data Entry'!$$465), "", 'Data Entry'!$$465)</f>
      </c>
      <c r="CP465">
        <f>IF(ISBLANK('Data Entry'!$$465), "", 'Data Entry'!$$465)</f>
      </c>
      <c r="CQ465">
        <f>IF(ISBLANK('Data Entry'!$$465), "", 'Data Entry'!$$465)</f>
      </c>
      <c r="CR465">
        <f>IF(ISBLANK('Data Entry'!$ $465), "", 'Data Entry'!$ $465)</f>
      </c>
      <c r="CS465">
        <f>IF(ISBLANK('Data Entry'!$¡$465), "", 'Data Entry'!$¡$465)</f>
      </c>
      <c r="CT465">
        <f>IF(ISBLANK('Data Entry'!$¢$465), "", 'Data Entry'!$¢$465)</f>
      </c>
      <c r="CU465">
        <f>IF(ISBLANK('Data Entry'!$£$465), "", 'Data Entry'!$£$465)</f>
      </c>
      <c r="CV465">
        <f>IF(ISBLANK('Data Entry'!$¤$465), "", 'Data Entry'!$¤$465)</f>
      </c>
      <c r="CW465">
        <f>IF(ISBLANK('Data Entry'!$¥$465), "", 'Data Entry'!$¥$465)</f>
      </c>
      <c r="CX465">
        <f>IF(ISBLANK('Data Entry'!$¦$465), "", 'Data Entry'!$¦$465)</f>
      </c>
      <c r="CY465">
        <f>IF(ISBLANK('Data Entry'!$§$465), "", 'Data Entry'!$§$465)</f>
      </c>
      <c r="CZ465">
        <f>IF(ISBLANK('Data Entry'!$¨$465), "", 'Data Entry'!$¨$465)</f>
      </c>
      <c r="DA465">
        <f>IF(ISBLANK('Data Entry'!$©$465), "", 'Data Entry'!$©$465)</f>
      </c>
      <c r="DB465">
        <f>IF(ISBLANK('Data Entry'!$ª$465), "", 'Data Entry'!$ª$465)</f>
      </c>
      <c r="DC465">
        <f>IF(ISBLANK('Data Entry'!$«$465), "", 'Data Entry'!$«$465)</f>
      </c>
      <c r="DD465">
        <f>IF(ISBLANK('Data Entry'!$¬$465), "", 'Data Entry'!$¬$465)</f>
      </c>
      <c r="DE465">
        <f>IF(ISBLANK('Data Entry'!$­$465), "", 'Data Entry'!$­$465)</f>
      </c>
      <c r="DF465">
        <f>IF(ISBLANK('Data Entry'!$®$465), "", 'Data Entry'!$®$465)</f>
      </c>
      <c r="DG465">
        <f>IF(ISBLANK('Data Entry'!$¯$465), "", 'Data Entry'!$¯$465)</f>
      </c>
      <c r="DH465">
        <f>IF(ISBLANK('Data Entry'!$°$465), "", 'Data Entry'!$°$465)</f>
      </c>
      <c r="DI465">
        <f>IF(ISBLANK('Data Entry'!$±$465), "", 'Data Entry'!$±$465)</f>
      </c>
      <c r="DJ465">
        <f>IF(ISBLANK('Data Entry'!$²$465), "", 'Data Entry'!$²$465)</f>
      </c>
      <c r="DK465">
        <f>IF(ISBLANK('Data Entry'!$³$465), "", 'Data Entry'!$³$465)</f>
      </c>
      <c r="DL465">
        <f>IF(ISBLANK('Data Entry'!$´$465), "", 'Data Entry'!$´$465)</f>
      </c>
      <c r="DM465">
        <f>IF(ISBLANK('Data Entry'!$µ$465), "", 'Data Entry'!$µ$465)</f>
      </c>
      <c r="DN465">
        <f>IF(ISBLANK('Data Entry'!$¶$465), "", 'Data Entry'!$¶$465)</f>
      </c>
      <c r="DO465">
        <f>IF(ISBLANK('Data Entry'!$·$465), "", 'Data Entry'!$·$465)</f>
      </c>
      <c r="DP465">
        <f>IF(ISBLANK('Data Entry'!$¸$465), "", 'Data Entry'!$¸$465)</f>
      </c>
      <c r="DQ465">
        <f>IF(ISBLANK('Data Entry'!$¹$465), "", 'Data Entry'!$¹$465)</f>
      </c>
      <c r="DR465">
        <f>IF(ISBLANK('Data Entry'!$º$465), "", 'Data Entry'!$º$465)</f>
      </c>
      <c r="DS465">
        <f>IF(ISBLANK('Data Entry'!$»$465), "", 'Data Entry'!$»$465)</f>
      </c>
      <c r="DT465">
        <f>IF(ISBLANK('Data Entry'!$¼$465), "", 'Data Entry'!$¼$465)</f>
      </c>
      <c r="DU465">
        <f>IF(ISBLANK('Data Entry'!$½$465), "", 'Data Entry'!$½$465)</f>
      </c>
      <c r="DV465">
        <f>IF(ISBLANK('Data Entry'!$¾$465), "", 'Data Entry'!$¾$465)</f>
      </c>
      <c r="DW465">
        <f>IF(ISBLANK('Data Entry'!$¿$465), "", 'Data Entry'!$¿$465)</f>
      </c>
      <c r="DX465">
        <f>IF(ISBLANK('Data Entry'!$À$465), "", 'Data Entry'!$À$465)</f>
      </c>
      <c r="DY465">
        <f>IF(ISBLANK('Data Entry'!$Á$465), "", 'Data Entry'!$Á$465)</f>
      </c>
      <c r="DZ465">
        <f>IF(ISBLANK('Data Entry'!$Â$465), "", 'Data Entry'!$Â$465)</f>
      </c>
      <c r="EA465">
        <f>IF(ISBLANK('Data Entry'!$Ã$465), "", 'Data Entry'!$Ã$465)</f>
      </c>
      <c r="EB465">
        <f>IF(ISBLANK('Data Entry'!$Ä$465), "", 'Data Entry'!$Ä$465)</f>
      </c>
      <c r="EC465">
        <f>IF(ISBLANK('Data Entry'!$Å$465), "", 'Data Entry'!$Å$465)</f>
      </c>
      <c r="ED465">
        <f>IF(ISBLANK('Data Entry'!$Æ$465), "", 'Data Entry'!$Æ$465)</f>
      </c>
      <c r="EE465">
        <f>IF(ISBLANK('Data Entry'!$Ç$465), "", 'Data Entry'!$Ç$465)</f>
      </c>
      <c r="EF465">
        <f>IF(ISBLANK('Data Entry'!$È$465), "", 'Data Entry'!$È$465)</f>
      </c>
      <c r="EG465">
        <f>IF(ISBLANK('Data Entry'!$É$465), "", 'Data Entry'!$É$465)</f>
      </c>
      <c r="EH465">
        <f>IF(ISBLANK('Data Entry'!$Ê$465), "", 'Data Entry'!$Ê$465)</f>
      </c>
      <c r="EI465">
        <f>IF(ISBLANK('Data Entry'!$Ë$465), "", 'Data Entry'!$Ë$465)</f>
      </c>
      <c r="EJ465">
        <f>IF(ISBLANK('Data Entry'!$Ì$465), "", 'Data Entry'!$Ì$465)</f>
      </c>
      <c r="EK465">
        <f>IF(ISBLANK('Data Entry'!$Í$465), "", 'Data Entry'!$Í$465)</f>
      </c>
      <c r="EL465">
        <f>IF(ISBLANK('Data Entry'!$Î$465), "", 'Data Entry'!$Î$465)</f>
      </c>
      <c r="EM465">
        <f>IF(ISBLANK('Data Entry'!$Ï$465), "", 'Data Entry'!$Ï$465)</f>
      </c>
      <c r="EN465">
        <f>IF(ISBLANK('Data Entry'!$Ð$465), "", 'Data Entry'!$Ð$465)</f>
      </c>
      <c r="EO465">
        <f>IF(ISBLANK('Data Entry'!$Ñ$465), "", 'Data Entry'!$Ñ$465)</f>
      </c>
      <c r="EP465">
        <f>IF(ISBLANK('Data Entry'!$Ò$465), "", 'Data Entry'!$Ò$465)</f>
      </c>
      <c r="EQ465">
        <f>IF(ISBLANK('Data Entry'!$Ó$465), "", 'Data Entry'!$Ó$465)</f>
      </c>
      <c r="ER465">
        <f>IF(ISBLANK('Data Entry'!$Ô$465), "", 'Data Entry'!$Ô$465)</f>
      </c>
      <c r="ES465">
        <f>IF(ISBLANK('Data Entry'!$Õ$465), "", 'Data Entry'!$Õ$465)</f>
      </c>
      <c r="ET465">
        <f>IF(ISBLANK('Data Entry'!$Ö$465), "", 'Data Entry'!$Ö$465)</f>
      </c>
      <c r="EU465">
        <f>IF(ISBLANK('Data Entry'!$×$465), "", 'Data Entry'!$×$465)</f>
      </c>
      <c r="EV465">
        <f>IF(ISBLANK('Data Entry'!$Ø$465), "", 'Data Entry'!$Ø$465)</f>
      </c>
      <c r="EW465">
        <f>IF(ISBLANK('Data Entry'!$Ù$465), "", 'Data Entry'!$Ù$465)</f>
      </c>
      <c r="EX465">
        <f>IF(ISBLANK('Data Entry'!$Ú$465), "", 'Data Entry'!$Ú$465)</f>
      </c>
      <c r="EY465">
        <f>IF(ISBLANK('Data Entry'!$Û$465), "", 'Data Entry'!$Û$465)</f>
      </c>
      <c r="EZ465">
        <f>IF(ISBLANK('Data Entry'!$Ü$465), "", 'Data Entry'!$Ü$465)</f>
      </c>
      <c r="FA465">
        <f>IF(ISBLANK('Data Entry'!$Ý$465), "", 'Data Entry'!$Ý$465)</f>
      </c>
      <c r="FB465">
        <f>IF(ISBLANK('Data Entry'!$Þ$465), "", 'Data Entry'!$Þ$465)</f>
      </c>
      <c r="FC465">
        <f>IF(ISBLANK('Data Entry'!$ß$465), "", 'Data Entry'!$ß$465)</f>
      </c>
      <c r="FD465">
        <f>IF(ISBLANK('Data Entry'!$à$465), "", 'Data Entry'!$à$465)</f>
      </c>
      <c r="FE465">
        <f>IF(ISBLANK('Data Entry'!$á$465), "", 'Data Entry'!$á$465)</f>
      </c>
      <c r="FF465">
        <f>IF(ISBLANK('Data Entry'!$â$465), "", 'Data Entry'!$â$465)</f>
      </c>
      <c r="FG465">
        <f>IF(ISBLANK('Data Entry'!$ã$465), "", 'Data Entry'!$ã$465)</f>
      </c>
      <c r="FH465">
        <f>IF(ISBLANK('Data Entry'!$ä$465), "", 'Data Entry'!$ä$465)</f>
      </c>
      <c r="FI465">
        <f>IF(ISBLANK('Data Entry'!$å$465), "", 'Data Entry'!$å$465)</f>
      </c>
      <c r="FJ465">
        <f>IF(ISBLANK('Data Entry'!$æ$465), "", 'Data Entry'!$æ$465)</f>
      </c>
      <c r="FK465">
        <f>IF(ISBLANK('Data Entry'!$ç$465), "", 'Data Entry'!$ç$465)</f>
      </c>
      <c r="FL465">
        <f>IF(ISBLANK('Data Entry'!$è$465), "", 'Data Entry'!$è$465)</f>
      </c>
      <c r="FM465">
        <f>IF(ISBLANK('Data Entry'!$é$465), "", 'Data Entry'!$é$465)</f>
      </c>
      <c r="FN465">
        <f>IF(ISBLANK('Data Entry'!$ê$465), "", 'Data Entry'!$ê$465)</f>
      </c>
      <c r="FO465">
        <f>IF(ISBLANK('Data Entry'!$ë$465), "", 'Data Entry'!$ë$465)</f>
      </c>
      <c r="FP465">
        <f>IF(ISBLANK('Data Entry'!$ì$465), "", 'Data Entry'!$ì$465)</f>
      </c>
      <c r="FQ465">
        <f>IF(ISBLANK('Data Entry'!$í$465), "", 'Data Entry'!$í$465)</f>
      </c>
      <c r="FR465">
        <f>IF(ISBLANK('Data Entry'!$î$465), "", 'Data Entry'!$î$465)</f>
      </c>
      <c r="FS465">
        <f>IF(ISBLANK('Data Entry'!$ï$465), "", 'Data Entry'!$ï$465)</f>
      </c>
      <c r="FT465">
        <f>IF(ISBLANK('Data Entry'!$ð$465), "", 'Data Entry'!$ð$465)</f>
      </c>
      <c r="FU465">
        <f>IF(ISBLANK('Data Entry'!$ñ$465), "", 'Data Entry'!$ñ$465)</f>
      </c>
      <c r="FV465">
        <f>IF(ISBLANK('Data Entry'!$ò$465), "", 'Data Entry'!$ò$465)</f>
      </c>
      <c r="FW465">
        <f>IF(ISBLANK('Data Entry'!$ó$465), "", 'Data Entry'!$ó$465)</f>
      </c>
      <c r="FX465">
        <f>IF(ISBLANK('Data Entry'!$ô$465), "", 'Data Entry'!$ô$465)</f>
      </c>
      <c r="FY465">
        <f>IF(ISBLANK('Data Entry'!$õ$465), "", 'Data Entry'!$õ$465)</f>
      </c>
      <c r="FZ465">
        <f>IF(ISBLANK('Data Entry'!$ö$465), "", 'Data Entry'!$ö$465)</f>
      </c>
      <c r="GA465">
        <f>IF(ISBLANK('Data Entry'!$÷$465), "", 'Data Entry'!$÷$465)</f>
      </c>
      <c r="GB465">
        <f>IF(ISBLANK('Data Entry'!$ø$465), "", 'Data Entry'!$ø$465)</f>
      </c>
      <c r="GC465">
        <f>IF(ISBLANK('Data Entry'!$ù$465), "", 'Data Entry'!$ù$465)</f>
      </c>
      <c r="GD465">
        <f>IF(ISBLANK('Data Entry'!$ú$465), "", 'Data Entry'!$ú$465)</f>
      </c>
      <c r="GE465">
        <f>IF(ISBLANK('Data Entry'!$û$465), "", 'Data Entry'!$û$465)</f>
      </c>
      <c r="GF465">
        <f>IF(ISBLANK('Data Entry'!$ü$465), "", 'Data Entry'!$ü$465)</f>
      </c>
      <c r="GG465">
        <f>IF(ISBLANK('Data Entry'!$ý$465), "", 'Data Entry'!$ý$465)</f>
      </c>
      <c r="GH465">
        <f>IF(ISBLANK('Data Entry'!$þ$465), "", 'Data Entry'!$þ$465)</f>
      </c>
      <c r="GI465">
        <f>IF(ISBLANK('Data Entry'!$ÿ$465), "", 'Data Entry'!$ÿ$465)</f>
      </c>
      <c r="GJ465">
        <f>IF(ISBLANK('Data Entry'!$Ā$465), "", 'Data Entry'!$Ā$465)</f>
      </c>
      <c r="GK465">
        <f>IF(ISBLANK('Data Entry'!$ā$465), "", 'Data Entry'!$ā$465)</f>
      </c>
      <c r="GL465">
        <f>IF(ISBLANK('Data Entry'!$Ă$465), "", 'Data Entry'!$Ă$465)</f>
      </c>
      <c r="GM465">
        <f>IF(ISBLANK('Data Entry'!$ă$465), "", 'Data Entry'!$ă$465)</f>
      </c>
      <c r="GN465">
        <f>IF(ISBLANK('Data Entry'!$Ą$465), "", 'Data Entry'!$Ą$465)</f>
      </c>
      <c r="GO465">
        <f>IF(ISBLANK('Data Entry'!$ą$465), "", 'Data Entry'!$ą$465)</f>
      </c>
      <c r="GP465">
        <f>IF(ISBLANK('Data Entry'!$Ć$465), "", 'Data Entry'!$Ć$465)</f>
      </c>
      <c r="GQ465">
        <f>IF(ISBLANK('Data Entry'!$ć$465), "", 'Data Entry'!$ć$465)</f>
      </c>
      <c r="GR465">
        <f>IF(ISBLANK('Data Entry'!$Ĉ$465), "", 'Data Entry'!$Ĉ$465)</f>
      </c>
      <c r="GS465">
        <f>IF(ISBLANK('Data Entry'!$ĉ$465), "", 'Data Entry'!$ĉ$465)</f>
      </c>
      <c r="GT465">
        <f>IF(ISBLANK('Data Entry'!$Ċ$465), "", 'Data Entry'!$Ċ$465)</f>
      </c>
      <c r="GU465">
        <f>IF(ISBLANK('Data Entry'!$ċ$465), "", 'Data Entry'!$ċ$465)</f>
      </c>
      <c r="GV465">
        <f>IF(ISBLANK('Data Entry'!$Č$465), "", 'Data Entry'!$Č$465)</f>
      </c>
      <c r="GW465">
        <f>IF(ISBLANK('Data Entry'!$č$465), "", 'Data Entry'!$č$465)</f>
      </c>
      <c r="GX465">
        <f>IF(ISBLANK('Data Entry'!$Ď$465), "", 'Data Entry'!$Ď$465)</f>
      </c>
      <c r="GY465">
        <f>IF(ISBLANK('Data Entry'!$ď$465), "", 'Data Entry'!$ď$465)</f>
      </c>
      <c r="GZ465">
        <f>IF(ISBLANK('Data Entry'!$Đ$465), "", 'Data Entry'!$Đ$465)</f>
      </c>
      <c r="HA465">
        <f>IF(ISBLANK('Data Entry'!$đ$465), "", 'Data Entry'!$đ$465)</f>
      </c>
      <c r="HB465">
        <f>IF(ISBLANK('Data Entry'!$Ē$465), "", 'Data Entry'!$Ē$465)</f>
      </c>
      <c r="HC465">
        <f>IF(ISBLANK('Data Entry'!$ē$465), "", 'Data Entry'!$ē$465)</f>
      </c>
      <c r="HD465">
        <f>IF(ISBLANK('Data Entry'!$Ĕ$465), "", 'Data Entry'!$Ĕ$465)</f>
      </c>
      <c r="HE465">
        <f>IF(ISBLANK('Data Entry'!$ĕ$465), "", 'Data Entry'!$ĕ$465)</f>
      </c>
      <c r="HF465">
        <f>IF(ISBLANK('Data Entry'!$Ė$465), "", 'Data Entry'!$Ė$465)</f>
      </c>
      <c r="HG465">
        <f>IF(ISBLANK('Data Entry'!$ė$465), "", 'Data Entry'!$ė$465)</f>
      </c>
      <c r="HH465">
        <f>IF(ISBLANK('Data Entry'!$Ę$465), "", 'Data Entry'!$Ę$465)</f>
      </c>
      <c r="HI465">
        <f>IF(ISBLANK('Data Entry'!$ę$465), "", 'Data Entry'!$ę$465)</f>
      </c>
      <c r="HJ465">
        <f>IF(ISBLANK('Data Entry'!$Ě$465), "", 'Data Entry'!$Ě$465)</f>
      </c>
      <c r="HK465">
        <f>IF(ISBLANK('Data Entry'!$ě$465), "", 'Data Entry'!$ě$465)</f>
      </c>
      <c r="HL465">
        <f>IF(ISBLANK('Data Entry'!$Ĝ$465), "", 'Data Entry'!$Ĝ$465)</f>
      </c>
      <c r="HM465">
        <f>IF(ISBLANK('Data Entry'!$ĝ$465), "", 'Data Entry'!$ĝ$465)</f>
      </c>
      <c r="HN465">
        <f>IF(ISBLANK('Data Entry'!$Ğ$465), "", 'Data Entry'!$Ğ$465)</f>
      </c>
      <c r="HO465">
        <f>IF(ISBLANK('Data Entry'!$ğ$465), "", 'Data Entry'!$ğ$465)</f>
      </c>
      <c r="HP465">
        <f>IF(ISBLANK('Data Entry'!$Ġ$465), "", 'Data Entry'!$Ġ$465)</f>
      </c>
      <c r="HQ465">
        <f>IF(ISBLANK('Data Entry'!$ġ$465), "", 'Data Entry'!$ġ$465)</f>
      </c>
      <c r="HR465">
        <f>IF(ISBLANK('Data Entry'!$Ģ$465), "", 'Data Entry'!$Ģ$465)</f>
      </c>
      <c r="HS465">
        <f>IF(ISBLANK('Data Entry'!$ģ$465), "", 'Data Entry'!$ģ$465)</f>
      </c>
      <c r="HT465">
        <f>IF(ISBLANK('Data Entry'!$Ĥ$465), "", 'Data Entry'!$Ĥ$465)</f>
      </c>
      <c r="HU465">
        <f>IF(ISBLANK('Data Entry'!$ĥ$465), "", 'Data Entry'!$ĥ$465)</f>
      </c>
      <c r="HV465">
        <f>IF(ISBLANK('Data Entry'!$Ħ$465), "", 'Data Entry'!$Ħ$465)</f>
      </c>
      <c r="HW465">
        <f>IF(ISBLANK('Data Entry'!$ħ$465), "", 'Data Entry'!$ħ$465)</f>
      </c>
      <c r="HX465">
        <f>IF(ISBLANK('Data Entry'!$Ĩ$465), "", 'Data Entry'!$Ĩ$465)</f>
      </c>
      <c r="HY465">
        <f>IF(ISBLANK('Data Entry'!$ĩ$465), "", 'Data Entry'!$ĩ$465)</f>
      </c>
      <c r="HZ465">
        <f>IF(ISBLANK('Data Entry'!$Ī$465), "", 'Data Entry'!$Ī$465)</f>
      </c>
      <c r="IA465">
        <f>IF(ISBLANK('Data Entry'!$ī$465), "", 'Data Entry'!$ī$465)</f>
      </c>
      <c r="IB465">
        <f>IF(ISBLANK('Data Entry'!$Ĭ$465), "", 'Data Entry'!$Ĭ$465)</f>
      </c>
      <c r="IC465">
        <f>IF(ISBLANK('Data Entry'!$ĭ$465), "", 'Data Entry'!$ĭ$465)</f>
      </c>
      <c r="ID465">
        <f>IF(ISBLANK('Data Entry'!$Į$465), "", 'Data Entry'!$Į$465)</f>
      </c>
      <c r="IE465">
        <f>IF(ISBLANK('Data Entry'!$į$465), "", 'Data Entry'!$į$465)</f>
      </c>
      <c r="IF465">
        <f>IF(ISBLANK('Data Entry'!$İ$465), "", 'Data Entry'!$İ$465)</f>
      </c>
      <c r="IG465">
        <f>IF(ISBLANK('Data Entry'!$ı$465), "", 'Data Entry'!$ı$465)</f>
      </c>
      <c r="IH465">
        <f>IF(ISBLANK('Data Entry'!$Ĳ$465), "", 'Data Entry'!$Ĳ$465)</f>
      </c>
      <c r="II465">
        <f>IF(ISBLANK('Data Entry'!$ĳ$465), "", 'Data Entry'!$ĳ$465)</f>
      </c>
      <c r="IJ465">
        <f>IF(ISBLANK('Data Entry'!$Ĵ$465), "", 'Data Entry'!$Ĵ$465)</f>
      </c>
      <c r="IK465">
        <f>IF(ISBLANK('Data Entry'!$ĵ$465), "", 'Data Entry'!$ĵ$465)</f>
      </c>
      <c r="IL465">
        <f>IF(ISBLANK('Data Entry'!$Ķ$465), "", 'Data Entry'!$Ķ$465)</f>
      </c>
      <c r="IM465">
        <f>IF(ISBLANK('Data Entry'!$ķ$465), "", 'Data Entry'!$ķ$465)</f>
      </c>
      <c r="IN465">
        <f>IF(ISBLANK('Data Entry'!$ĸ$465), "", 'Data Entry'!$ĸ$465)</f>
      </c>
      <c r="IO465">
        <f>IF(ISBLANK('Data Entry'!$Ĺ$465), "", 'Data Entry'!$Ĺ$465)</f>
      </c>
      <c r="IP465">
        <f>IF(ISBLANK('Data Entry'!$ĺ$465), "", 'Data Entry'!$ĺ$465)</f>
      </c>
      <c r="IQ465">
        <f>IF(ISBLANK('Data Entry'!$Ļ$465), "", 'Data Entry'!$Ļ$465)</f>
      </c>
      <c r="IR465">
        <f>IF(ISBLANK('Data Entry'!$ļ$465), "", 'Data Entry'!$ļ$465)</f>
      </c>
      <c r="IS465">
        <f>IF(ISBLANK('Data Entry'!$Ľ$465), "", 'Data Entry'!$Ľ$465)</f>
      </c>
      <c r="IT465">
        <f>IF(ISBLANK('Data Entry'!$ľ$465), "", 'Data Entry'!$ľ$465)</f>
      </c>
    </row>
    <row r="466" spans="1:254" x14ac:dyDescent="0.25">
      <c r="A466">
        <f>IF(ISBLANK('Data Entry'!$A$466), "", 'Data Entry'!$A$466)</f>
      </c>
      <c r="B466">
        <f>IF(ISBLANK('Data Entry'!$B$466), "", 'Data Entry'!$B$466)</f>
      </c>
      <c r="C466">
        <f>IF(ISBLANK('Data Entry'!$C$466), "", 'Data Entry'!$C$466)</f>
      </c>
      <c r="D466">
        <f>IF(ISBLANK('Data Entry'!$D$466), "", 'Data Entry'!$D$466)</f>
      </c>
      <c r="E466">
        <f>IF(ISBLANK('Data Entry'!$E$466), "", 'Data Entry'!$E$466)</f>
      </c>
      <c r="F466">
        <f>IF(ISBLANK('Data Entry'!$F$466), "", 'Data Entry'!$F$466)</f>
      </c>
      <c r="G466">
        <f>IF(ISBLANK('Data Entry'!$G$466), "", 'Data Entry'!$G$466)</f>
      </c>
      <c r="H466">
        <f>IF(ISBLANK('Data Entry'!$H$466), "", 'Data Entry'!$H$466)</f>
      </c>
      <c r="I466">
        <f>IF(ISBLANK('Data Entry'!$I$466), "", 'Data Entry'!$I$466)</f>
      </c>
      <c r="J466">
        <f>IF(ISBLANK('Data Entry'!$J$466), "", 'Data Entry'!$J$466)</f>
      </c>
      <c r="K466">
        <f>IF(ISBLANK('Data Entry'!$K$466), "", 'Data Entry'!$K$466)</f>
      </c>
      <c r="L466">
        <f>IF(ISBLANK('Data Entry'!$L$466), "", 'Data Entry'!$L$466)</f>
      </c>
      <c r="M466">
        <f>IF(ISBLANK('Data Entry'!$M$466), "", 'Data Entry'!$M$466)</f>
      </c>
      <c r="N466">
        <f>IF(ISBLANK('Data Entry'!$N$466), "", 'Data Entry'!$N$466)</f>
      </c>
      <c r="O466">
        <f>IF(ISBLANK('Data Entry'!$O$466), "", 'Data Entry'!$O$466)</f>
      </c>
      <c r="P466">
        <f>IF(ISBLANK('Data Entry'!$P$466), "", 'Data Entry'!$P$466)</f>
      </c>
      <c r="Q466">
        <f>IF(ISBLANK('Data Entry'!$Q$466), "", 'Data Entry'!$Q$466)</f>
      </c>
      <c r="R466">
        <f>IF(ISBLANK('Data Entry'!$R$466), "", 'Data Entry'!$R$466)</f>
      </c>
      <c r="S466">
        <f>IF(ISBLANK('Data Entry'!$S$466), "", 'Data Entry'!$S$466)</f>
      </c>
      <c r="T466">
        <f>IF(ISBLANK('Data Entry'!$T$466), "", 'Data Entry'!$T$466)</f>
      </c>
      <c r="U466">
        <f>IF(ISBLANK('Data Entry'!$U$466), "", 'Data Entry'!$U$466)</f>
      </c>
      <c r="V466">
        <f>IF(ISBLANK('Data Entry'!$V$466), "", 'Data Entry'!$V$466)</f>
      </c>
      <c r="W466">
        <f>IF(ISBLANK('Data Entry'!$W$466), "", 'Data Entry'!$W$466)</f>
      </c>
      <c r="X466">
        <f>IF(ISBLANK('Data Entry'!$X$466), "", 'Data Entry'!$X$466)</f>
      </c>
      <c r="Y466">
        <f>IF(ISBLANK('Data Entry'!$Y$466), "", 'Data Entry'!$Y$466)</f>
      </c>
      <c r="Z466">
        <f>IF(ISBLANK('Data Entry'!$Z$466), "", 'Data Entry'!$Z$466)</f>
      </c>
      <c r="AA466">
        <f>IF(ISBLANK('Data Entry'!$[$466), "", 'Data Entry'!$[$466)</f>
      </c>
      <c r="AB466">
        <f>IF(ISBLANK('Data Entry'!$\$466), "", 'Data Entry'!$\$466)</f>
      </c>
      <c r="AC466">
        <f>IF(ISBLANK('Data Entry'!$]$466), "", 'Data Entry'!$]$466)</f>
      </c>
      <c r="AD466">
        <f>IF(ISBLANK('Data Entry'!$^$466), "", 'Data Entry'!$^$466)</f>
      </c>
      <c r="AE466">
        <f>IF(ISBLANK('Data Entry'!$_$466), "", 'Data Entry'!$_$466)</f>
      </c>
      <c r="AF466">
        <f>IF(ISBLANK('Data Entry'!$`$466), "", 'Data Entry'!$`$466)</f>
      </c>
      <c r="AG466">
        <f>IF(ISBLANK('Data Entry'!$a$466), "", 'Data Entry'!$a$466)</f>
      </c>
      <c r="AH466">
        <f>IF(ISBLANK('Data Entry'!$b$466), "", 'Data Entry'!$b$466)</f>
      </c>
      <c r="AI466">
        <f>IF(ISBLANK('Data Entry'!$c$466), "", 'Data Entry'!$c$466)</f>
      </c>
      <c r="AJ466">
        <f>IF(ISBLANK('Data Entry'!$d$466), "", 'Data Entry'!$d$466)</f>
      </c>
      <c r="AK466">
        <f>IF(ISBLANK('Data Entry'!$e$466), "", 'Data Entry'!$e$466)</f>
      </c>
      <c r="AL466">
        <f>IF(ISBLANK('Data Entry'!$f$466), "", 'Data Entry'!$f$466)</f>
      </c>
      <c r="AM466">
        <f>IF(ISBLANK('Data Entry'!$g$466), "", 'Data Entry'!$g$466)</f>
      </c>
      <c r="AN466">
        <f>IF(ISBLANK('Data Entry'!$h$466), "", 'Data Entry'!$h$466)</f>
      </c>
      <c r="AO466">
        <f>IF(ISBLANK('Data Entry'!$i$466), "", 'Data Entry'!$i$466)</f>
      </c>
      <c r="AP466">
        <f>IF(ISBLANK('Data Entry'!$j$466), "", 'Data Entry'!$j$466)</f>
      </c>
      <c r="AQ466">
        <f>IF(ISBLANK('Data Entry'!$k$466), "", 'Data Entry'!$k$466)</f>
      </c>
      <c r="AR466">
        <f>IF(ISBLANK('Data Entry'!$l$466), "", 'Data Entry'!$l$466)</f>
      </c>
      <c r="AS466">
        <f>IF(ISBLANK('Data Entry'!$m$466), "", 'Data Entry'!$m$466)</f>
      </c>
      <c r="AT466">
        <f>IF(ISBLANK('Data Entry'!$n$466), "", 'Data Entry'!$n$466)</f>
      </c>
      <c r="AU466">
        <f>IF(ISBLANK('Data Entry'!$o$466), "", 'Data Entry'!$o$466)</f>
      </c>
      <c r="AV466">
        <f>IF(ISBLANK('Data Entry'!$p$466), "", 'Data Entry'!$p$466)</f>
      </c>
      <c r="AW466">
        <f>IF(ISBLANK('Data Entry'!$q$466), "", 'Data Entry'!$q$466)</f>
      </c>
      <c r="AX466">
        <f>IF(ISBLANK('Data Entry'!$r$466), "", 'Data Entry'!$r$466)</f>
      </c>
      <c r="AY466">
        <f>IF(ISBLANK('Data Entry'!$s$466), "", 'Data Entry'!$s$466)</f>
      </c>
      <c r="AZ466">
        <f>IF(ISBLANK('Data Entry'!$t$466), "", 'Data Entry'!$t$466)</f>
      </c>
      <c r="BA466">
        <f>IF(ISBLANK('Data Entry'!$u$466), "", 'Data Entry'!$u$466)</f>
      </c>
      <c r="BB466">
        <f>IF(ISBLANK('Data Entry'!$v$466), "", 'Data Entry'!$v$466)</f>
      </c>
      <c r="BC466">
        <f>IF(ISBLANK('Data Entry'!$w$466), "", 'Data Entry'!$w$466)</f>
      </c>
      <c r="BD466">
        <f>IF(ISBLANK('Data Entry'!$x$466), "", 'Data Entry'!$x$466)</f>
      </c>
      <c r="BE466">
        <f>IF(ISBLANK('Data Entry'!$y$466), "", 'Data Entry'!$y$466)</f>
      </c>
      <c r="BF466">
        <f>IF(ISBLANK('Data Entry'!$z$466), "", 'Data Entry'!$z$466)</f>
      </c>
      <c r="BG466">
        <f>IF(ISBLANK('Data Entry'!${$466), "", 'Data Entry'!${$466)</f>
      </c>
      <c r="BH466">
        <f>IF(ISBLANK('Data Entry'!$|$466), "", 'Data Entry'!$|$466)</f>
      </c>
      <c r="BI466">
        <f>IF(ISBLANK('Data Entry'!$}$466), "", 'Data Entry'!$}$466)</f>
      </c>
      <c r="BJ466">
        <f>IF(ISBLANK('Data Entry'!$~$466), "", 'Data Entry'!$~$466)</f>
      </c>
      <c r="BK466">
        <f>IF(ISBLANK('Data Entry'!$$466), "", 'Data Entry'!$$466)</f>
      </c>
      <c r="BL466">
        <f>IF(ISBLANK('Data Entry'!$$466), "", 'Data Entry'!$$466)</f>
      </c>
      <c r="BM466">
        <f>IF(ISBLANK('Data Entry'!$$466), "", 'Data Entry'!$$466)</f>
      </c>
      <c r="BN466">
        <f>IF(ISBLANK('Data Entry'!$$466), "", 'Data Entry'!$$466)</f>
      </c>
      <c r="BO466">
        <f>IF(ISBLANK('Data Entry'!$$466), "", 'Data Entry'!$$466)</f>
      </c>
      <c r="BP466">
        <f>IF(ISBLANK('Data Entry'!$$466), "", 'Data Entry'!$$466)</f>
      </c>
      <c r="BQ466">
        <f>IF(ISBLANK('Data Entry'!$$466), "", 'Data Entry'!$$466)</f>
      </c>
      <c r="BR466">
        <f>IF(ISBLANK('Data Entry'!$$466), "", 'Data Entry'!$$466)</f>
      </c>
      <c r="BS466">
        <f>IF(ISBLANK('Data Entry'!$$466), "", 'Data Entry'!$$466)</f>
      </c>
      <c r="BT466">
        <f>IF(ISBLANK('Data Entry'!$$466), "", 'Data Entry'!$$466)</f>
      </c>
      <c r="BU466">
        <f>IF(ISBLANK('Data Entry'!$$466), "", 'Data Entry'!$$466)</f>
      </c>
      <c r="BV466">
        <f>IF(ISBLANK('Data Entry'!$$466), "", 'Data Entry'!$$466)</f>
      </c>
      <c r="BW466">
        <f>IF(ISBLANK('Data Entry'!$$466), "", 'Data Entry'!$$466)</f>
      </c>
      <c r="BX466">
        <f>IF(ISBLANK('Data Entry'!$$466), "", 'Data Entry'!$$466)</f>
      </c>
      <c r="BY466">
        <f>IF(ISBLANK('Data Entry'!$$466), "", 'Data Entry'!$$466)</f>
      </c>
      <c r="BZ466">
        <f>IF(ISBLANK('Data Entry'!$$466), "", 'Data Entry'!$$466)</f>
      </c>
      <c r="CA466">
        <f>IF(ISBLANK('Data Entry'!$$466), "", 'Data Entry'!$$466)</f>
      </c>
      <c r="CB466">
        <f>IF(ISBLANK('Data Entry'!$$466), "", 'Data Entry'!$$466)</f>
      </c>
      <c r="CC466">
        <f>IF(ISBLANK('Data Entry'!$$466), "", 'Data Entry'!$$466)</f>
      </c>
      <c r="CD466">
        <f>IF(ISBLANK('Data Entry'!$$466), "", 'Data Entry'!$$466)</f>
      </c>
      <c r="CE466">
        <f>IF(ISBLANK('Data Entry'!$$466), "", 'Data Entry'!$$466)</f>
      </c>
      <c r="CF466">
        <f>IF(ISBLANK('Data Entry'!$$466), "", 'Data Entry'!$$466)</f>
      </c>
      <c r="CG466">
        <f>IF(ISBLANK('Data Entry'!$$466), "", 'Data Entry'!$$466)</f>
      </c>
      <c r="CH466">
        <f>IF(ISBLANK('Data Entry'!$$466), "", 'Data Entry'!$$466)</f>
      </c>
      <c r="CI466">
        <f>IF(ISBLANK('Data Entry'!$$466), "", 'Data Entry'!$$466)</f>
      </c>
      <c r="CJ466">
        <f>IF(ISBLANK('Data Entry'!$$466), "", 'Data Entry'!$$466)</f>
      </c>
      <c r="CK466">
        <f>IF(ISBLANK('Data Entry'!$$466), "", 'Data Entry'!$$466)</f>
      </c>
      <c r="CL466">
        <f>IF(ISBLANK('Data Entry'!$$466), "", 'Data Entry'!$$466)</f>
      </c>
      <c r="CM466">
        <f>IF(ISBLANK('Data Entry'!$$466), "", 'Data Entry'!$$466)</f>
      </c>
      <c r="CN466">
        <f>IF(ISBLANK('Data Entry'!$$466), "", 'Data Entry'!$$466)</f>
      </c>
      <c r="CO466">
        <f>IF(ISBLANK('Data Entry'!$$466), "", 'Data Entry'!$$466)</f>
      </c>
      <c r="CP466">
        <f>IF(ISBLANK('Data Entry'!$$466), "", 'Data Entry'!$$466)</f>
      </c>
      <c r="CQ466">
        <f>IF(ISBLANK('Data Entry'!$$466), "", 'Data Entry'!$$466)</f>
      </c>
      <c r="CR466">
        <f>IF(ISBLANK('Data Entry'!$ $466), "", 'Data Entry'!$ $466)</f>
      </c>
      <c r="CS466">
        <f>IF(ISBLANK('Data Entry'!$¡$466), "", 'Data Entry'!$¡$466)</f>
      </c>
      <c r="CT466">
        <f>IF(ISBLANK('Data Entry'!$¢$466), "", 'Data Entry'!$¢$466)</f>
      </c>
      <c r="CU466">
        <f>IF(ISBLANK('Data Entry'!$£$466), "", 'Data Entry'!$£$466)</f>
      </c>
      <c r="CV466">
        <f>IF(ISBLANK('Data Entry'!$¤$466), "", 'Data Entry'!$¤$466)</f>
      </c>
      <c r="CW466">
        <f>IF(ISBLANK('Data Entry'!$¥$466), "", 'Data Entry'!$¥$466)</f>
      </c>
      <c r="CX466">
        <f>IF(ISBLANK('Data Entry'!$¦$466), "", 'Data Entry'!$¦$466)</f>
      </c>
      <c r="CY466">
        <f>IF(ISBLANK('Data Entry'!$§$466), "", 'Data Entry'!$§$466)</f>
      </c>
      <c r="CZ466">
        <f>IF(ISBLANK('Data Entry'!$¨$466), "", 'Data Entry'!$¨$466)</f>
      </c>
      <c r="DA466">
        <f>IF(ISBLANK('Data Entry'!$©$466), "", 'Data Entry'!$©$466)</f>
      </c>
      <c r="DB466">
        <f>IF(ISBLANK('Data Entry'!$ª$466), "", 'Data Entry'!$ª$466)</f>
      </c>
      <c r="DC466">
        <f>IF(ISBLANK('Data Entry'!$«$466), "", 'Data Entry'!$«$466)</f>
      </c>
      <c r="DD466">
        <f>IF(ISBLANK('Data Entry'!$¬$466), "", 'Data Entry'!$¬$466)</f>
      </c>
      <c r="DE466">
        <f>IF(ISBLANK('Data Entry'!$­$466), "", 'Data Entry'!$­$466)</f>
      </c>
      <c r="DF466">
        <f>IF(ISBLANK('Data Entry'!$®$466), "", 'Data Entry'!$®$466)</f>
      </c>
      <c r="DG466">
        <f>IF(ISBLANK('Data Entry'!$¯$466), "", 'Data Entry'!$¯$466)</f>
      </c>
      <c r="DH466">
        <f>IF(ISBLANK('Data Entry'!$°$466), "", 'Data Entry'!$°$466)</f>
      </c>
      <c r="DI466">
        <f>IF(ISBLANK('Data Entry'!$±$466), "", 'Data Entry'!$±$466)</f>
      </c>
      <c r="DJ466">
        <f>IF(ISBLANK('Data Entry'!$²$466), "", 'Data Entry'!$²$466)</f>
      </c>
      <c r="DK466">
        <f>IF(ISBLANK('Data Entry'!$³$466), "", 'Data Entry'!$³$466)</f>
      </c>
      <c r="DL466">
        <f>IF(ISBLANK('Data Entry'!$´$466), "", 'Data Entry'!$´$466)</f>
      </c>
      <c r="DM466">
        <f>IF(ISBLANK('Data Entry'!$µ$466), "", 'Data Entry'!$µ$466)</f>
      </c>
      <c r="DN466">
        <f>IF(ISBLANK('Data Entry'!$¶$466), "", 'Data Entry'!$¶$466)</f>
      </c>
      <c r="DO466">
        <f>IF(ISBLANK('Data Entry'!$·$466), "", 'Data Entry'!$·$466)</f>
      </c>
      <c r="DP466">
        <f>IF(ISBLANK('Data Entry'!$¸$466), "", 'Data Entry'!$¸$466)</f>
      </c>
      <c r="DQ466">
        <f>IF(ISBLANK('Data Entry'!$¹$466), "", 'Data Entry'!$¹$466)</f>
      </c>
      <c r="DR466">
        <f>IF(ISBLANK('Data Entry'!$º$466), "", 'Data Entry'!$º$466)</f>
      </c>
      <c r="DS466">
        <f>IF(ISBLANK('Data Entry'!$»$466), "", 'Data Entry'!$»$466)</f>
      </c>
      <c r="DT466">
        <f>IF(ISBLANK('Data Entry'!$¼$466), "", 'Data Entry'!$¼$466)</f>
      </c>
      <c r="DU466">
        <f>IF(ISBLANK('Data Entry'!$½$466), "", 'Data Entry'!$½$466)</f>
      </c>
      <c r="DV466">
        <f>IF(ISBLANK('Data Entry'!$¾$466), "", 'Data Entry'!$¾$466)</f>
      </c>
      <c r="DW466">
        <f>IF(ISBLANK('Data Entry'!$¿$466), "", 'Data Entry'!$¿$466)</f>
      </c>
      <c r="DX466">
        <f>IF(ISBLANK('Data Entry'!$À$466), "", 'Data Entry'!$À$466)</f>
      </c>
      <c r="DY466">
        <f>IF(ISBLANK('Data Entry'!$Á$466), "", 'Data Entry'!$Á$466)</f>
      </c>
      <c r="DZ466">
        <f>IF(ISBLANK('Data Entry'!$Â$466), "", 'Data Entry'!$Â$466)</f>
      </c>
      <c r="EA466">
        <f>IF(ISBLANK('Data Entry'!$Ã$466), "", 'Data Entry'!$Ã$466)</f>
      </c>
      <c r="EB466">
        <f>IF(ISBLANK('Data Entry'!$Ä$466), "", 'Data Entry'!$Ä$466)</f>
      </c>
      <c r="EC466">
        <f>IF(ISBLANK('Data Entry'!$Å$466), "", 'Data Entry'!$Å$466)</f>
      </c>
      <c r="ED466">
        <f>IF(ISBLANK('Data Entry'!$Æ$466), "", 'Data Entry'!$Æ$466)</f>
      </c>
      <c r="EE466">
        <f>IF(ISBLANK('Data Entry'!$Ç$466), "", 'Data Entry'!$Ç$466)</f>
      </c>
      <c r="EF466">
        <f>IF(ISBLANK('Data Entry'!$È$466), "", 'Data Entry'!$È$466)</f>
      </c>
      <c r="EG466">
        <f>IF(ISBLANK('Data Entry'!$É$466), "", 'Data Entry'!$É$466)</f>
      </c>
      <c r="EH466">
        <f>IF(ISBLANK('Data Entry'!$Ê$466), "", 'Data Entry'!$Ê$466)</f>
      </c>
      <c r="EI466">
        <f>IF(ISBLANK('Data Entry'!$Ë$466), "", 'Data Entry'!$Ë$466)</f>
      </c>
      <c r="EJ466">
        <f>IF(ISBLANK('Data Entry'!$Ì$466), "", 'Data Entry'!$Ì$466)</f>
      </c>
      <c r="EK466">
        <f>IF(ISBLANK('Data Entry'!$Í$466), "", 'Data Entry'!$Í$466)</f>
      </c>
      <c r="EL466">
        <f>IF(ISBLANK('Data Entry'!$Î$466), "", 'Data Entry'!$Î$466)</f>
      </c>
      <c r="EM466">
        <f>IF(ISBLANK('Data Entry'!$Ï$466), "", 'Data Entry'!$Ï$466)</f>
      </c>
      <c r="EN466">
        <f>IF(ISBLANK('Data Entry'!$Ð$466), "", 'Data Entry'!$Ð$466)</f>
      </c>
      <c r="EO466">
        <f>IF(ISBLANK('Data Entry'!$Ñ$466), "", 'Data Entry'!$Ñ$466)</f>
      </c>
      <c r="EP466">
        <f>IF(ISBLANK('Data Entry'!$Ò$466), "", 'Data Entry'!$Ò$466)</f>
      </c>
      <c r="EQ466">
        <f>IF(ISBLANK('Data Entry'!$Ó$466), "", 'Data Entry'!$Ó$466)</f>
      </c>
      <c r="ER466">
        <f>IF(ISBLANK('Data Entry'!$Ô$466), "", 'Data Entry'!$Ô$466)</f>
      </c>
      <c r="ES466">
        <f>IF(ISBLANK('Data Entry'!$Õ$466), "", 'Data Entry'!$Õ$466)</f>
      </c>
      <c r="ET466">
        <f>IF(ISBLANK('Data Entry'!$Ö$466), "", 'Data Entry'!$Ö$466)</f>
      </c>
      <c r="EU466">
        <f>IF(ISBLANK('Data Entry'!$×$466), "", 'Data Entry'!$×$466)</f>
      </c>
      <c r="EV466">
        <f>IF(ISBLANK('Data Entry'!$Ø$466), "", 'Data Entry'!$Ø$466)</f>
      </c>
      <c r="EW466">
        <f>IF(ISBLANK('Data Entry'!$Ù$466), "", 'Data Entry'!$Ù$466)</f>
      </c>
      <c r="EX466">
        <f>IF(ISBLANK('Data Entry'!$Ú$466), "", 'Data Entry'!$Ú$466)</f>
      </c>
      <c r="EY466">
        <f>IF(ISBLANK('Data Entry'!$Û$466), "", 'Data Entry'!$Û$466)</f>
      </c>
      <c r="EZ466">
        <f>IF(ISBLANK('Data Entry'!$Ü$466), "", 'Data Entry'!$Ü$466)</f>
      </c>
      <c r="FA466">
        <f>IF(ISBLANK('Data Entry'!$Ý$466), "", 'Data Entry'!$Ý$466)</f>
      </c>
      <c r="FB466">
        <f>IF(ISBLANK('Data Entry'!$Þ$466), "", 'Data Entry'!$Þ$466)</f>
      </c>
      <c r="FC466">
        <f>IF(ISBLANK('Data Entry'!$ß$466), "", 'Data Entry'!$ß$466)</f>
      </c>
      <c r="FD466">
        <f>IF(ISBLANK('Data Entry'!$à$466), "", 'Data Entry'!$à$466)</f>
      </c>
      <c r="FE466">
        <f>IF(ISBLANK('Data Entry'!$á$466), "", 'Data Entry'!$á$466)</f>
      </c>
      <c r="FF466">
        <f>IF(ISBLANK('Data Entry'!$â$466), "", 'Data Entry'!$â$466)</f>
      </c>
      <c r="FG466">
        <f>IF(ISBLANK('Data Entry'!$ã$466), "", 'Data Entry'!$ã$466)</f>
      </c>
      <c r="FH466">
        <f>IF(ISBLANK('Data Entry'!$ä$466), "", 'Data Entry'!$ä$466)</f>
      </c>
      <c r="FI466">
        <f>IF(ISBLANK('Data Entry'!$å$466), "", 'Data Entry'!$å$466)</f>
      </c>
      <c r="FJ466">
        <f>IF(ISBLANK('Data Entry'!$æ$466), "", 'Data Entry'!$æ$466)</f>
      </c>
      <c r="FK466">
        <f>IF(ISBLANK('Data Entry'!$ç$466), "", 'Data Entry'!$ç$466)</f>
      </c>
      <c r="FL466">
        <f>IF(ISBLANK('Data Entry'!$è$466), "", 'Data Entry'!$è$466)</f>
      </c>
      <c r="FM466">
        <f>IF(ISBLANK('Data Entry'!$é$466), "", 'Data Entry'!$é$466)</f>
      </c>
      <c r="FN466">
        <f>IF(ISBLANK('Data Entry'!$ê$466), "", 'Data Entry'!$ê$466)</f>
      </c>
      <c r="FO466">
        <f>IF(ISBLANK('Data Entry'!$ë$466), "", 'Data Entry'!$ë$466)</f>
      </c>
      <c r="FP466">
        <f>IF(ISBLANK('Data Entry'!$ì$466), "", 'Data Entry'!$ì$466)</f>
      </c>
      <c r="FQ466">
        <f>IF(ISBLANK('Data Entry'!$í$466), "", 'Data Entry'!$í$466)</f>
      </c>
      <c r="FR466">
        <f>IF(ISBLANK('Data Entry'!$î$466), "", 'Data Entry'!$î$466)</f>
      </c>
      <c r="FS466">
        <f>IF(ISBLANK('Data Entry'!$ï$466), "", 'Data Entry'!$ï$466)</f>
      </c>
      <c r="FT466">
        <f>IF(ISBLANK('Data Entry'!$ð$466), "", 'Data Entry'!$ð$466)</f>
      </c>
      <c r="FU466">
        <f>IF(ISBLANK('Data Entry'!$ñ$466), "", 'Data Entry'!$ñ$466)</f>
      </c>
      <c r="FV466">
        <f>IF(ISBLANK('Data Entry'!$ò$466), "", 'Data Entry'!$ò$466)</f>
      </c>
      <c r="FW466">
        <f>IF(ISBLANK('Data Entry'!$ó$466), "", 'Data Entry'!$ó$466)</f>
      </c>
      <c r="FX466">
        <f>IF(ISBLANK('Data Entry'!$ô$466), "", 'Data Entry'!$ô$466)</f>
      </c>
      <c r="FY466">
        <f>IF(ISBLANK('Data Entry'!$õ$466), "", 'Data Entry'!$õ$466)</f>
      </c>
      <c r="FZ466">
        <f>IF(ISBLANK('Data Entry'!$ö$466), "", 'Data Entry'!$ö$466)</f>
      </c>
      <c r="GA466">
        <f>IF(ISBLANK('Data Entry'!$÷$466), "", 'Data Entry'!$÷$466)</f>
      </c>
      <c r="GB466">
        <f>IF(ISBLANK('Data Entry'!$ø$466), "", 'Data Entry'!$ø$466)</f>
      </c>
      <c r="GC466">
        <f>IF(ISBLANK('Data Entry'!$ù$466), "", 'Data Entry'!$ù$466)</f>
      </c>
      <c r="GD466">
        <f>IF(ISBLANK('Data Entry'!$ú$466), "", 'Data Entry'!$ú$466)</f>
      </c>
      <c r="GE466">
        <f>IF(ISBLANK('Data Entry'!$û$466), "", 'Data Entry'!$û$466)</f>
      </c>
      <c r="GF466">
        <f>IF(ISBLANK('Data Entry'!$ü$466), "", 'Data Entry'!$ü$466)</f>
      </c>
      <c r="GG466">
        <f>IF(ISBLANK('Data Entry'!$ý$466), "", 'Data Entry'!$ý$466)</f>
      </c>
      <c r="GH466">
        <f>IF(ISBLANK('Data Entry'!$þ$466), "", 'Data Entry'!$þ$466)</f>
      </c>
      <c r="GI466">
        <f>IF(ISBLANK('Data Entry'!$ÿ$466), "", 'Data Entry'!$ÿ$466)</f>
      </c>
      <c r="GJ466">
        <f>IF(ISBLANK('Data Entry'!$Ā$466), "", 'Data Entry'!$Ā$466)</f>
      </c>
      <c r="GK466">
        <f>IF(ISBLANK('Data Entry'!$ā$466), "", 'Data Entry'!$ā$466)</f>
      </c>
      <c r="GL466">
        <f>IF(ISBLANK('Data Entry'!$Ă$466), "", 'Data Entry'!$Ă$466)</f>
      </c>
      <c r="GM466">
        <f>IF(ISBLANK('Data Entry'!$ă$466), "", 'Data Entry'!$ă$466)</f>
      </c>
      <c r="GN466">
        <f>IF(ISBLANK('Data Entry'!$Ą$466), "", 'Data Entry'!$Ą$466)</f>
      </c>
      <c r="GO466">
        <f>IF(ISBLANK('Data Entry'!$ą$466), "", 'Data Entry'!$ą$466)</f>
      </c>
      <c r="GP466">
        <f>IF(ISBLANK('Data Entry'!$Ć$466), "", 'Data Entry'!$Ć$466)</f>
      </c>
      <c r="GQ466">
        <f>IF(ISBLANK('Data Entry'!$ć$466), "", 'Data Entry'!$ć$466)</f>
      </c>
      <c r="GR466">
        <f>IF(ISBLANK('Data Entry'!$Ĉ$466), "", 'Data Entry'!$Ĉ$466)</f>
      </c>
      <c r="GS466">
        <f>IF(ISBLANK('Data Entry'!$ĉ$466), "", 'Data Entry'!$ĉ$466)</f>
      </c>
      <c r="GT466">
        <f>IF(ISBLANK('Data Entry'!$Ċ$466), "", 'Data Entry'!$Ċ$466)</f>
      </c>
      <c r="GU466">
        <f>IF(ISBLANK('Data Entry'!$ċ$466), "", 'Data Entry'!$ċ$466)</f>
      </c>
      <c r="GV466">
        <f>IF(ISBLANK('Data Entry'!$Č$466), "", 'Data Entry'!$Č$466)</f>
      </c>
      <c r="GW466">
        <f>IF(ISBLANK('Data Entry'!$č$466), "", 'Data Entry'!$č$466)</f>
      </c>
      <c r="GX466">
        <f>IF(ISBLANK('Data Entry'!$Ď$466), "", 'Data Entry'!$Ď$466)</f>
      </c>
      <c r="GY466">
        <f>IF(ISBLANK('Data Entry'!$ď$466), "", 'Data Entry'!$ď$466)</f>
      </c>
      <c r="GZ466">
        <f>IF(ISBLANK('Data Entry'!$Đ$466), "", 'Data Entry'!$Đ$466)</f>
      </c>
      <c r="HA466">
        <f>IF(ISBLANK('Data Entry'!$đ$466), "", 'Data Entry'!$đ$466)</f>
      </c>
      <c r="HB466">
        <f>IF(ISBLANK('Data Entry'!$Ē$466), "", 'Data Entry'!$Ē$466)</f>
      </c>
      <c r="HC466">
        <f>IF(ISBLANK('Data Entry'!$ē$466), "", 'Data Entry'!$ē$466)</f>
      </c>
      <c r="HD466">
        <f>IF(ISBLANK('Data Entry'!$Ĕ$466), "", 'Data Entry'!$Ĕ$466)</f>
      </c>
      <c r="HE466">
        <f>IF(ISBLANK('Data Entry'!$ĕ$466), "", 'Data Entry'!$ĕ$466)</f>
      </c>
      <c r="HF466">
        <f>IF(ISBLANK('Data Entry'!$Ė$466), "", 'Data Entry'!$Ė$466)</f>
      </c>
      <c r="HG466">
        <f>IF(ISBLANK('Data Entry'!$ė$466), "", 'Data Entry'!$ė$466)</f>
      </c>
      <c r="HH466">
        <f>IF(ISBLANK('Data Entry'!$Ę$466), "", 'Data Entry'!$Ę$466)</f>
      </c>
      <c r="HI466">
        <f>IF(ISBLANK('Data Entry'!$ę$466), "", 'Data Entry'!$ę$466)</f>
      </c>
      <c r="HJ466">
        <f>IF(ISBLANK('Data Entry'!$Ě$466), "", 'Data Entry'!$Ě$466)</f>
      </c>
      <c r="HK466">
        <f>IF(ISBLANK('Data Entry'!$ě$466), "", 'Data Entry'!$ě$466)</f>
      </c>
      <c r="HL466">
        <f>IF(ISBLANK('Data Entry'!$Ĝ$466), "", 'Data Entry'!$Ĝ$466)</f>
      </c>
      <c r="HM466">
        <f>IF(ISBLANK('Data Entry'!$ĝ$466), "", 'Data Entry'!$ĝ$466)</f>
      </c>
      <c r="HN466">
        <f>IF(ISBLANK('Data Entry'!$Ğ$466), "", 'Data Entry'!$Ğ$466)</f>
      </c>
      <c r="HO466">
        <f>IF(ISBLANK('Data Entry'!$ğ$466), "", 'Data Entry'!$ğ$466)</f>
      </c>
      <c r="HP466">
        <f>IF(ISBLANK('Data Entry'!$Ġ$466), "", 'Data Entry'!$Ġ$466)</f>
      </c>
      <c r="HQ466">
        <f>IF(ISBLANK('Data Entry'!$ġ$466), "", 'Data Entry'!$ġ$466)</f>
      </c>
      <c r="HR466">
        <f>IF(ISBLANK('Data Entry'!$Ģ$466), "", 'Data Entry'!$Ģ$466)</f>
      </c>
      <c r="HS466">
        <f>IF(ISBLANK('Data Entry'!$ģ$466), "", 'Data Entry'!$ģ$466)</f>
      </c>
      <c r="HT466">
        <f>IF(ISBLANK('Data Entry'!$Ĥ$466), "", 'Data Entry'!$Ĥ$466)</f>
      </c>
      <c r="HU466">
        <f>IF(ISBLANK('Data Entry'!$ĥ$466), "", 'Data Entry'!$ĥ$466)</f>
      </c>
      <c r="HV466">
        <f>IF(ISBLANK('Data Entry'!$Ħ$466), "", 'Data Entry'!$Ħ$466)</f>
      </c>
      <c r="HW466">
        <f>IF(ISBLANK('Data Entry'!$ħ$466), "", 'Data Entry'!$ħ$466)</f>
      </c>
      <c r="HX466">
        <f>IF(ISBLANK('Data Entry'!$Ĩ$466), "", 'Data Entry'!$Ĩ$466)</f>
      </c>
      <c r="HY466">
        <f>IF(ISBLANK('Data Entry'!$ĩ$466), "", 'Data Entry'!$ĩ$466)</f>
      </c>
      <c r="HZ466">
        <f>IF(ISBLANK('Data Entry'!$Ī$466), "", 'Data Entry'!$Ī$466)</f>
      </c>
      <c r="IA466">
        <f>IF(ISBLANK('Data Entry'!$ī$466), "", 'Data Entry'!$ī$466)</f>
      </c>
      <c r="IB466">
        <f>IF(ISBLANK('Data Entry'!$Ĭ$466), "", 'Data Entry'!$Ĭ$466)</f>
      </c>
      <c r="IC466">
        <f>IF(ISBLANK('Data Entry'!$ĭ$466), "", 'Data Entry'!$ĭ$466)</f>
      </c>
      <c r="ID466">
        <f>IF(ISBLANK('Data Entry'!$Į$466), "", 'Data Entry'!$Į$466)</f>
      </c>
      <c r="IE466">
        <f>IF(ISBLANK('Data Entry'!$į$466), "", 'Data Entry'!$į$466)</f>
      </c>
      <c r="IF466">
        <f>IF(ISBLANK('Data Entry'!$İ$466), "", 'Data Entry'!$İ$466)</f>
      </c>
      <c r="IG466">
        <f>IF(ISBLANK('Data Entry'!$ı$466), "", 'Data Entry'!$ı$466)</f>
      </c>
      <c r="IH466">
        <f>IF(ISBLANK('Data Entry'!$Ĳ$466), "", 'Data Entry'!$Ĳ$466)</f>
      </c>
      <c r="II466">
        <f>IF(ISBLANK('Data Entry'!$ĳ$466), "", 'Data Entry'!$ĳ$466)</f>
      </c>
      <c r="IJ466">
        <f>IF(ISBLANK('Data Entry'!$Ĵ$466), "", 'Data Entry'!$Ĵ$466)</f>
      </c>
      <c r="IK466">
        <f>IF(ISBLANK('Data Entry'!$ĵ$466), "", 'Data Entry'!$ĵ$466)</f>
      </c>
      <c r="IL466">
        <f>IF(ISBLANK('Data Entry'!$Ķ$466), "", 'Data Entry'!$Ķ$466)</f>
      </c>
      <c r="IM466">
        <f>IF(ISBLANK('Data Entry'!$ķ$466), "", 'Data Entry'!$ķ$466)</f>
      </c>
      <c r="IN466">
        <f>IF(ISBLANK('Data Entry'!$ĸ$466), "", 'Data Entry'!$ĸ$466)</f>
      </c>
      <c r="IO466">
        <f>IF(ISBLANK('Data Entry'!$Ĺ$466), "", 'Data Entry'!$Ĺ$466)</f>
      </c>
      <c r="IP466">
        <f>IF(ISBLANK('Data Entry'!$ĺ$466), "", 'Data Entry'!$ĺ$466)</f>
      </c>
      <c r="IQ466">
        <f>IF(ISBLANK('Data Entry'!$Ļ$466), "", 'Data Entry'!$Ļ$466)</f>
      </c>
      <c r="IR466">
        <f>IF(ISBLANK('Data Entry'!$ļ$466), "", 'Data Entry'!$ļ$466)</f>
      </c>
      <c r="IS466">
        <f>IF(ISBLANK('Data Entry'!$Ľ$466), "", 'Data Entry'!$Ľ$466)</f>
      </c>
      <c r="IT466">
        <f>IF(ISBLANK('Data Entry'!$ľ$466), "", 'Data Entry'!$ľ$466)</f>
      </c>
    </row>
    <row r="467" spans="1:254" x14ac:dyDescent="0.25">
      <c r="A467">
        <f>IF(ISBLANK('Data Entry'!$A$467), "", 'Data Entry'!$A$467)</f>
      </c>
      <c r="B467">
        <f>IF(ISBLANK('Data Entry'!$B$467), "", 'Data Entry'!$B$467)</f>
      </c>
      <c r="C467">
        <f>IF(ISBLANK('Data Entry'!$C$467), "", 'Data Entry'!$C$467)</f>
      </c>
      <c r="D467">
        <f>IF(ISBLANK('Data Entry'!$D$467), "", 'Data Entry'!$D$467)</f>
      </c>
      <c r="E467">
        <f>IF(ISBLANK('Data Entry'!$E$467), "", 'Data Entry'!$E$467)</f>
      </c>
      <c r="F467">
        <f>IF(ISBLANK('Data Entry'!$F$467), "", 'Data Entry'!$F$467)</f>
      </c>
      <c r="G467">
        <f>IF(ISBLANK('Data Entry'!$G$467), "", 'Data Entry'!$G$467)</f>
      </c>
      <c r="H467">
        <f>IF(ISBLANK('Data Entry'!$H$467), "", 'Data Entry'!$H$467)</f>
      </c>
      <c r="I467">
        <f>IF(ISBLANK('Data Entry'!$I$467), "", 'Data Entry'!$I$467)</f>
      </c>
      <c r="J467">
        <f>IF(ISBLANK('Data Entry'!$J$467), "", 'Data Entry'!$J$467)</f>
      </c>
      <c r="K467">
        <f>IF(ISBLANK('Data Entry'!$K$467), "", 'Data Entry'!$K$467)</f>
      </c>
      <c r="L467">
        <f>IF(ISBLANK('Data Entry'!$L$467), "", 'Data Entry'!$L$467)</f>
      </c>
      <c r="M467">
        <f>IF(ISBLANK('Data Entry'!$M$467), "", 'Data Entry'!$M$467)</f>
      </c>
      <c r="N467">
        <f>IF(ISBLANK('Data Entry'!$N$467), "", 'Data Entry'!$N$467)</f>
      </c>
      <c r="O467">
        <f>IF(ISBLANK('Data Entry'!$O$467), "", 'Data Entry'!$O$467)</f>
      </c>
      <c r="P467">
        <f>IF(ISBLANK('Data Entry'!$P$467), "", 'Data Entry'!$P$467)</f>
      </c>
      <c r="Q467">
        <f>IF(ISBLANK('Data Entry'!$Q$467), "", 'Data Entry'!$Q$467)</f>
      </c>
      <c r="R467">
        <f>IF(ISBLANK('Data Entry'!$R$467), "", 'Data Entry'!$R$467)</f>
      </c>
      <c r="S467">
        <f>IF(ISBLANK('Data Entry'!$S$467), "", 'Data Entry'!$S$467)</f>
      </c>
      <c r="T467">
        <f>IF(ISBLANK('Data Entry'!$T$467), "", 'Data Entry'!$T$467)</f>
      </c>
      <c r="U467">
        <f>IF(ISBLANK('Data Entry'!$U$467), "", 'Data Entry'!$U$467)</f>
      </c>
      <c r="V467">
        <f>IF(ISBLANK('Data Entry'!$V$467), "", 'Data Entry'!$V$467)</f>
      </c>
      <c r="W467">
        <f>IF(ISBLANK('Data Entry'!$W$467), "", 'Data Entry'!$W$467)</f>
      </c>
      <c r="X467">
        <f>IF(ISBLANK('Data Entry'!$X$467), "", 'Data Entry'!$X$467)</f>
      </c>
      <c r="Y467">
        <f>IF(ISBLANK('Data Entry'!$Y$467), "", 'Data Entry'!$Y$467)</f>
      </c>
      <c r="Z467">
        <f>IF(ISBLANK('Data Entry'!$Z$467), "", 'Data Entry'!$Z$467)</f>
      </c>
      <c r="AA467">
        <f>IF(ISBLANK('Data Entry'!$[$467), "", 'Data Entry'!$[$467)</f>
      </c>
      <c r="AB467">
        <f>IF(ISBLANK('Data Entry'!$\$467), "", 'Data Entry'!$\$467)</f>
      </c>
      <c r="AC467">
        <f>IF(ISBLANK('Data Entry'!$]$467), "", 'Data Entry'!$]$467)</f>
      </c>
      <c r="AD467">
        <f>IF(ISBLANK('Data Entry'!$^$467), "", 'Data Entry'!$^$467)</f>
      </c>
      <c r="AE467">
        <f>IF(ISBLANK('Data Entry'!$_$467), "", 'Data Entry'!$_$467)</f>
      </c>
      <c r="AF467">
        <f>IF(ISBLANK('Data Entry'!$`$467), "", 'Data Entry'!$`$467)</f>
      </c>
      <c r="AG467">
        <f>IF(ISBLANK('Data Entry'!$a$467), "", 'Data Entry'!$a$467)</f>
      </c>
      <c r="AH467">
        <f>IF(ISBLANK('Data Entry'!$b$467), "", 'Data Entry'!$b$467)</f>
      </c>
      <c r="AI467">
        <f>IF(ISBLANK('Data Entry'!$c$467), "", 'Data Entry'!$c$467)</f>
      </c>
      <c r="AJ467">
        <f>IF(ISBLANK('Data Entry'!$d$467), "", 'Data Entry'!$d$467)</f>
      </c>
      <c r="AK467">
        <f>IF(ISBLANK('Data Entry'!$e$467), "", 'Data Entry'!$e$467)</f>
      </c>
      <c r="AL467">
        <f>IF(ISBLANK('Data Entry'!$f$467), "", 'Data Entry'!$f$467)</f>
      </c>
      <c r="AM467">
        <f>IF(ISBLANK('Data Entry'!$g$467), "", 'Data Entry'!$g$467)</f>
      </c>
      <c r="AN467">
        <f>IF(ISBLANK('Data Entry'!$h$467), "", 'Data Entry'!$h$467)</f>
      </c>
      <c r="AO467">
        <f>IF(ISBLANK('Data Entry'!$i$467), "", 'Data Entry'!$i$467)</f>
      </c>
      <c r="AP467">
        <f>IF(ISBLANK('Data Entry'!$j$467), "", 'Data Entry'!$j$467)</f>
      </c>
      <c r="AQ467">
        <f>IF(ISBLANK('Data Entry'!$k$467), "", 'Data Entry'!$k$467)</f>
      </c>
      <c r="AR467">
        <f>IF(ISBLANK('Data Entry'!$l$467), "", 'Data Entry'!$l$467)</f>
      </c>
      <c r="AS467">
        <f>IF(ISBLANK('Data Entry'!$m$467), "", 'Data Entry'!$m$467)</f>
      </c>
      <c r="AT467">
        <f>IF(ISBLANK('Data Entry'!$n$467), "", 'Data Entry'!$n$467)</f>
      </c>
      <c r="AU467">
        <f>IF(ISBLANK('Data Entry'!$o$467), "", 'Data Entry'!$o$467)</f>
      </c>
      <c r="AV467">
        <f>IF(ISBLANK('Data Entry'!$p$467), "", 'Data Entry'!$p$467)</f>
      </c>
      <c r="AW467">
        <f>IF(ISBLANK('Data Entry'!$q$467), "", 'Data Entry'!$q$467)</f>
      </c>
      <c r="AX467">
        <f>IF(ISBLANK('Data Entry'!$r$467), "", 'Data Entry'!$r$467)</f>
      </c>
      <c r="AY467">
        <f>IF(ISBLANK('Data Entry'!$s$467), "", 'Data Entry'!$s$467)</f>
      </c>
      <c r="AZ467">
        <f>IF(ISBLANK('Data Entry'!$t$467), "", 'Data Entry'!$t$467)</f>
      </c>
      <c r="BA467">
        <f>IF(ISBLANK('Data Entry'!$u$467), "", 'Data Entry'!$u$467)</f>
      </c>
      <c r="BB467">
        <f>IF(ISBLANK('Data Entry'!$v$467), "", 'Data Entry'!$v$467)</f>
      </c>
      <c r="BC467">
        <f>IF(ISBLANK('Data Entry'!$w$467), "", 'Data Entry'!$w$467)</f>
      </c>
      <c r="BD467">
        <f>IF(ISBLANK('Data Entry'!$x$467), "", 'Data Entry'!$x$467)</f>
      </c>
      <c r="BE467">
        <f>IF(ISBLANK('Data Entry'!$y$467), "", 'Data Entry'!$y$467)</f>
      </c>
      <c r="BF467">
        <f>IF(ISBLANK('Data Entry'!$z$467), "", 'Data Entry'!$z$467)</f>
      </c>
      <c r="BG467">
        <f>IF(ISBLANK('Data Entry'!${$467), "", 'Data Entry'!${$467)</f>
      </c>
      <c r="BH467">
        <f>IF(ISBLANK('Data Entry'!$|$467), "", 'Data Entry'!$|$467)</f>
      </c>
      <c r="BI467">
        <f>IF(ISBLANK('Data Entry'!$}$467), "", 'Data Entry'!$}$467)</f>
      </c>
      <c r="BJ467">
        <f>IF(ISBLANK('Data Entry'!$~$467), "", 'Data Entry'!$~$467)</f>
      </c>
      <c r="BK467">
        <f>IF(ISBLANK('Data Entry'!$$467), "", 'Data Entry'!$$467)</f>
      </c>
      <c r="BL467">
        <f>IF(ISBLANK('Data Entry'!$$467), "", 'Data Entry'!$$467)</f>
      </c>
      <c r="BM467">
        <f>IF(ISBLANK('Data Entry'!$$467), "", 'Data Entry'!$$467)</f>
      </c>
      <c r="BN467">
        <f>IF(ISBLANK('Data Entry'!$$467), "", 'Data Entry'!$$467)</f>
      </c>
      <c r="BO467">
        <f>IF(ISBLANK('Data Entry'!$$467), "", 'Data Entry'!$$467)</f>
      </c>
      <c r="BP467">
        <f>IF(ISBLANK('Data Entry'!$$467), "", 'Data Entry'!$$467)</f>
      </c>
      <c r="BQ467">
        <f>IF(ISBLANK('Data Entry'!$$467), "", 'Data Entry'!$$467)</f>
      </c>
      <c r="BR467">
        <f>IF(ISBLANK('Data Entry'!$$467), "", 'Data Entry'!$$467)</f>
      </c>
      <c r="BS467">
        <f>IF(ISBLANK('Data Entry'!$$467), "", 'Data Entry'!$$467)</f>
      </c>
      <c r="BT467">
        <f>IF(ISBLANK('Data Entry'!$$467), "", 'Data Entry'!$$467)</f>
      </c>
      <c r="BU467">
        <f>IF(ISBLANK('Data Entry'!$$467), "", 'Data Entry'!$$467)</f>
      </c>
      <c r="BV467">
        <f>IF(ISBLANK('Data Entry'!$$467), "", 'Data Entry'!$$467)</f>
      </c>
      <c r="BW467">
        <f>IF(ISBLANK('Data Entry'!$$467), "", 'Data Entry'!$$467)</f>
      </c>
      <c r="BX467">
        <f>IF(ISBLANK('Data Entry'!$$467), "", 'Data Entry'!$$467)</f>
      </c>
      <c r="BY467">
        <f>IF(ISBLANK('Data Entry'!$$467), "", 'Data Entry'!$$467)</f>
      </c>
      <c r="BZ467">
        <f>IF(ISBLANK('Data Entry'!$$467), "", 'Data Entry'!$$467)</f>
      </c>
      <c r="CA467">
        <f>IF(ISBLANK('Data Entry'!$$467), "", 'Data Entry'!$$467)</f>
      </c>
      <c r="CB467">
        <f>IF(ISBLANK('Data Entry'!$$467), "", 'Data Entry'!$$467)</f>
      </c>
      <c r="CC467">
        <f>IF(ISBLANK('Data Entry'!$$467), "", 'Data Entry'!$$467)</f>
      </c>
      <c r="CD467">
        <f>IF(ISBLANK('Data Entry'!$$467), "", 'Data Entry'!$$467)</f>
      </c>
      <c r="CE467">
        <f>IF(ISBLANK('Data Entry'!$$467), "", 'Data Entry'!$$467)</f>
      </c>
      <c r="CF467">
        <f>IF(ISBLANK('Data Entry'!$$467), "", 'Data Entry'!$$467)</f>
      </c>
      <c r="CG467">
        <f>IF(ISBLANK('Data Entry'!$$467), "", 'Data Entry'!$$467)</f>
      </c>
      <c r="CH467">
        <f>IF(ISBLANK('Data Entry'!$$467), "", 'Data Entry'!$$467)</f>
      </c>
      <c r="CI467">
        <f>IF(ISBLANK('Data Entry'!$$467), "", 'Data Entry'!$$467)</f>
      </c>
      <c r="CJ467">
        <f>IF(ISBLANK('Data Entry'!$$467), "", 'Data Entry'!$$467)</f>
      </c>
      <c r="CK467">
        <f>IF(ISBLANK('Data Entry'!$$467), "", 'Data Entry'!$$467)</f>
      </c>
      <c r="CL467">
        <f>IF(ISBLANK('Data Entry'!$$467), "", 'Data Entry'!$$467)</f>
      </c>
      <c r="CM467">
        <f>IF(ISBLANK('Data Entry'!$$467), "", 'Data Entry'!$$467)</f>
      </c>
      <c r="CN467">
        <f>IF(ISBLANK('Data Entry'!$$467), "", 'Data Entry'!$$467)</f>
      </c>
      <c r="CO467">
        <f>IF(ISBLANK('Data Entry'!$$467), "", 'Data Entry'!$$467)</f>
      </c>
      <c r="CP467">
        <f>IF(ISBLANK('Data Entry'!$$467), "", 'Data Entry'!$$467)</f>
      </c>
      <c r="CQ467">
        <f>IF(ISBLANK('Data Entry'!$$467), "", 'Data Entry'!$$467)</f>
      </c>
      <c r="CR467">
        <f>IF(ISBLANK('Data Entry'!$ $467), "", 'Data Entry'!$ $467)</f>
      </c>
      <c r="CS467">
        <f>IF(ISBLANK('Data Entry'!$¡$467), "", 'Data Entry'!$¡$467)</f>
      </c>
      <c r="CT467">
        <f>IF(ISBLANK('Data Entry'!$¢$467), "", 'Data Entry'!$¢$467)</f>
      </c>
      <c r="CU467">
        <f>IF(ISBLANK('Data Entry'!$£$467), "", 'Data Entry'!$£$467)</f>
      </c>
      <c r="CV467">
        <f>IF(ISBLANK('Data Entry'!$¤$467), "", 'Data Entry'!$¤$467)</f>
      </c>
      <c r="CW467">
        <f>IF(ISBLANK('Data Entry'!$¥$467), "", 'Data Entry'!$¥$467)</f>
      </c>
      <c r="CX467">
        <f>IF(ISBLANK('Data Entry'!$¦$467), "", 'Data Entry'!$¦$467)</f>
      </c>
      <c r="CY467">
        <f>IF(ISBLANK('Data Entry'!$§$467), "", 'Data Entry'!$§$467)</f>
      </c>
      <c r="CZ467">
        <f>IF(ISBLANK('Data Entry'!$¨$467), "", 'Data Entry'!$¨$467)</f>
      </c>
      <c r="DA467">
        <f>IF(ISBLANK('Data Entry'!$©$467), "", 'Data Entry'!$©$467)</f>
      </c>
      <c r="DB467">
        <f>IF(ISBLANK('Data Entry'!$ª$467), "", 'Data Entry'!$ª$467)</f>
      </c>
      <c r="DC467">
        <f>IF(ISBLANK('Data Entry'!$«$467), "", 'Data Entry'!$«$467)</f>
      </c>
      <c r="DD467">
        <f>IF(ISBLANK('Data Entry'!$¬$467), "", 'Data Entry'!$¬$467)</f>
      </c>
      <c r="DE467">
        <f>IF(ISBLANK('Data Entry'!$­$467), "", 'Data Entry'!$­$467)</f>
      </c>
      <c r="DF467">
        <f>IF(ISBLANK('Data Entry'!$®$467), "", 'Data Entry'!$®$467)</f>
      </c>
      <c r="DG467">
        <f>IF(ISBLANK('Data Entry'!$¯$467), "", 'Data Entry'!$¯$467)</f>
      </c>
      <c r="DH467">
        <f>IF(ISBLANK('Data Entry'!$°$467), "", 'Data Entry'!$°$467)</f>
      </c>
      <c r="DI467">
        <f>IF(ISBLANK('Data Entry'!$±$467), "", 'Data Entry'!$±$467)</f>
      </c>
      <c r="DJ467">
        <f>IF(ISBLANK('Data Entry'!$²$467), "", 'Data Entry'!$²$467)</f>
      </c>
      <c r="DK467">
        <f>IF(ISBLANK('Data Entry'!$³$467), "", 'Data Entry'!$³$467)</f>
      </c>
      <c r="DL467">
        <f>IF(ISBLANK('Data Entry'!$´$467), "", 'Data Entry'!$´$467)</f>
      </c>
      <c r="DM467">
        <f>IF(ISBLANK('Data Entry'!$µ$467), "", 'Data Entry'!$µ$467)</f>
      </c>
      <c r="DN467">
        <f>IF(ISBLANK('Data Entry'!$¶$467), "", 'Data Entry'!$¶$467)</f>
      </c>
      <c r="DO467">
        <f>IF(ISBLANK('Data Entry'!$·$467), "", 'Data Entry'!$·$467)</f>
      </c>
      <c r="DP467">
        <f>IF(ISBLANK('Data Entry'!$¸$467), "", 'Data Entry'!$¸$467)</f>
      </c>
      <c r="DQ467">
        <f>IF(ISBLANK('Data Entry'!$¹$467), "", 'Data Entry'!$¹$467)</f>
      </c>
      <c r="DR467">
        <f>IF(ISBLANK('Data Entry'!$º$467), "", 'Data Entry'!$º$467)</f>
      </c>
      <c r="DS467">
        <f>IF(ISBLANK('Data Entry'!$»$467), "", 'Data Entry'!$»$467)</f>
      </c>
      <c r="DT467">
        <f>IF(ISBLANK('Data Entry'!$¼$467), "", 'Data Entry'!$¼$467)</f>
      </c>
      <c r="DU467">
        <f>IF(ISBLANK('Data Entry'!$½$467), "", 'Data Entry'!$½$467)</f>
      </c>
      <c r="DV467">
        <f>IF(ISBLANK('Data Entry'!$¾$467), "", 'Data Entry'!$¾$467)</f>
      </c>
      <c r="DW467">
        <f>IF(ISBLANK('Data Entry'!$¿$467), "", 'Data Entry'!$¿$467)</f>
      </c>
      <c r="DX467">
        <f>IF(ISBLANK('Data Entry'!$À$467), "", 'Data Entry'!$À$467)</f>
      </c>
      <c r="DY467">
        <f>IF(ISBLANK('Data Entry'!$Á$467), "", 'Data Entry'!$Á$467)</f>
      </c>
      <c r="DZ467">
        <f>IF(ISBLANK('Data Entry'!$Â$467), "", 'Data Entry'!$Â$467)</f>
      </c>
      <c r="EA467">
        <f>IF(ISBLANK('Data Entry'!$Ã$467), "", 'Data Entry'!$Ã$467)</f>
      </c>
      <c r="EB467">
        <f>IF(ISBLANK('Data Entry'!$Ä$467), "", 'Data Entry'!$Ä$467)</f>
      </c>
      <c r="EC467">
        <f>IF(ISBLANK('Data Entry'!$Å$467), "", 'Data Entry'!$Å$467)</f>
      </c>
      <c r="ED467">
        <f>IF(ISBLANK('Data Entry'!$Æ$467), "", 'Data Entry'!$Æ$467)</f>
      </c>
      <c r="EE467">
        <f>IF(ISBLANK('Data Entry'!$Ç$467), "", 'Data Entry'!$Ç$467)</f>
      </c>
      <c r="EF467">
        <f>IF(ISBLANK('Data Entry'!$È$467), "", 'Data Entry'!$È$467)</f>
      </c>
      <c r="EG467">
        <f>IF(ISBLANK('Data Entry'!$É$467), "", 'Data Entry'!$É$467)</f>
      </c>
      <c r="EH467">
        <f>IF(ISBLANK('Data Entry'!$Ê$467), "", 'Data Entry'!$Ê$467)</f>
      </c>
      <c r="EI467">
        <f>IF(ISBLANK('Data Entry'!$Ë$467), "", 'Data Entry'!$Ë$467)</f>
      </c>
      <c r="EJ467">
        <f>IF(ISBLANK('Data Entry'!$Ì$467), "", 'Data Entry'!$Ì$467)</f>
      </c>
      <c r="EK467">
        <f>IF(ISBLANK('Data Entry'!$Í$467), "", 'Data Entry'!$Í$467)</f>
      </c>
      <c r="EL467">
        <f>IF(ISBLANK('Data Entry'!$Î$467), "", 'Data Entry'!$Î$467)</f>
      </c>
      <c r="EM467">
        <f>IF(ISBLANK('Data Entry'!$Ï$467), "", 'Data Entry'!$Ï$467)</f>
      </c>
      <c r="EN467">
        <f>IF(ISBLANK('Data Entry'!$Ð$467), "", 'Data Entry'!$Ð$467)</f>
      </c>
      <c r="EO467">
        <f>IF(ISBLANK('Data Entry'!$Ñ$467), "", 'Data Entry'!$Ñ$467)</f>
      </c>
      <c r="EP467">
        <f>IF(ISBLANK('Data Entry'!$Ò$467), "", 'Data Entry'!$Ò$467)</f>
      </c>
      <c r="EQ467">
        <f>IF(ISBLANK('Data Entry'!$Ó$467), "", 'Data Entry'!$Ó$467)</f>
      </c>
      <c r="ER467">
        <f>IF(ISBLANK('Data Entry'!$Ô$467), "", 'Data Entry'!$Ô$467)</f>
      </c>
      <c r="ES467">
        <f>IF(ISBLANK('Data Entry'!$Õ$467), "", 'Data Entry'!$Õ$467)</f>
      </c>
      <c r="ET467">
        <f>IF(ISBLANK('Data Entry'!$Ö$467), "", 'Data Entry'!$Ö$467)</f>
      </c>
      <c r="EU467">
        <f>IF(ISBLANK('Data Entry'!$×$467), "", 'Data Entry'!$×$467)</f>
      </c>
      <c r="EV467">
        <f>IF(ISBLANK('Data Entry'!$Ø$467), "", 'Data Entry'!$Ø$467)</f>
      </c>
      <c r="EW467">
        <f>IF(ISBLANK('Data Entry'!$Ù$467), "", 'Data Entry'!$Ù$467)</f>
      </c>
      <c r="EX467">
        <f>IF(ISBLANK('Data Entry'!$Ú$467), "", 'Data Entry'!$Ú$467)</f>
      </c>
      <c r="EY467">
        <f>IF(ISBLANK('Data Entry'!$Û$467), "", 'Data Entry'!$Û$467)</f>
      </c>
      <c r="EZ467">
        <f>IF(ISBLANK('Data Entry'!$Ü$467), "", 'Data Entry'!$Ü$467)</f>
      </c>
      <c r="FA467">
        <f>IF(ISBLANK('Data Entry'!$Ý$467), "", 'Data Entry'!$Ý$467)</f>
      </c>
      <c r="FB467">
        <f>IF(ISBLANK('Data Entry'!$Þ$467), "", 'Data Entry'!$Þ$467)</f>
      </c>
      <c r="FC467">
        <f>IF(ISBLANK('Data Entry'!$ß$467), "", 'Data Entry'!$ß$467)</f>
      </c>
      <c r="FD467">
        <f>IF(ISBLANK('Data Entry'!$à$467), "", 'Data Entry'!$à$467)</f>
      </c>
      <c r="FE467">
        <f>IF(ISBLANK('Data Entry'!$á$467), "", 'Data Entry'!$á$467)</f>
      </c>
      <c r="FF467">
        <f>IF(ISBLANK('Data Entry'!$â$467), "", 'Data Entry'!$â$467)</f>
      </c>
      <c r="FG467">
        <f>IF(ISBLANK('Data Entry'!$ã$467), "", 'Data Entry'!$ã$467)</f>
      </c>
      <c r="FH467">
        <f>IF(ISBLANK('Data Entry'!$ä$467), "", 'Data Entry'!$ä$467)</f>
      </c>
      <c r="FI467">
        <f>IF(ISBLANK('Data Entry'!$å$467), "", 'Data Entry'!$å$467)</f>
      </c>
      <c r="FJ467">
        <f>IF(ISBLANK('Data Entry'!$æ$467), "", 'Data Entry'!$æ$467)</f>
      </c>
      <c r="FK467">
        <f>IF(ISBLANK('Data Entry'!$ç$467), "", 'Data Entry'!$ç$467)</f>
      </c>
      <c r="FL467">
        <f>IF(ISBLANK('Data Entry'!$è$467), "", 'Data Entry'!$è$467)</f>
      </c>
      <c r="FM467">
        <f>IF(ISBLANK('Data Entry'!$é$467), "", 'Data Entry'!$é$467)</f>
      </c>
      <c r="FN467">
        <f>IF(ISBLANK('Data Entry'!$ê$467), "", 'Data Entry'!$ê$467)</f>
      </c>
      <c r="FO467">
        <f>IF(ISBLANK('Data Entry'!$ë$467), "", 'Data Entry'!$ë$467)</f>
      </c>
      <c r="FP467">
        <f>IF(ISBLANK('Data Entry'!$ì$467), "", 'Data Entry'!$ì$467)</f>
      </c>
      <c r="FQ467">
        <f>IF(ISBLANK('Data Entry'!$í$467), "", 'Data Entry'!$í$467)</f>
      </c>
      <c r="FR467">
        <f>IF(ISBLANK('Data Entry'!$î$467), "", 'Data Entry'!$î$467)</f>
      </c>
      <c r="FS467">
        <f>IF(ISBLANK('Data Entry'!$ï$467), "", 'Data Entry'!$ï$467)</f>
      </c>
      <c r="FT467">
        <f>IF(ISBLANK('Data Entry'!$ð$467), "", 'Data Entry'!$ð$467)</f>
      </c>
      <c r="FU467">
        <f>IF(ISBLANK('Data Entry'!$ñ$467), "", 'Data Entry'!$ñ$467)</f>
      </c>
      <c r="FV467">
        <f>IF(ISBLANK('Data Entry'!$ò$467), "", 'Data Entry'!$ò$467)</f>
      </c>
      <c r="FW467">
        <f>IF(ISBLANK('Data Entry'!$ó$467), "", 'Data Entry'!$ó$467)</f>
      </c>
      <c r="FX467">
        <f>IF(ISBLANK('Data Entry'!$ô$467), "", 'Data Entry'!$ô$467)</f>
      </c>
      <c r="FY467">
        <f>IF(ISBLANK('Data Entry'!$õ$467), "", 'Data Entry'!$õ$467)</f>
      </c>
      <c r="FZ467">
        <f>IF(ISBLANK('Data Entry'!$ö$467), "", 'Data Entry'!$ö$467)</f>
      </c>
      <c r="GA467">
        <f>IF(ISBLANK('Data Entry'!$÷$467), "", 'Data Entry'!$÷$467)</f>
      </c>
      <c r="GB467">
        <f>IF(ISBLANK('Data Entry'!$ø$467), "", 'Data Entry'!$ø$467)</f>
      </c>
      <c r="GC467">
        <f>IF(ISBLANK('Data Entry'!$ù$467), "", 'Data Entry'!$ù$467)</f>
      </c>
      <c r="GD467">
        <f>IF(ISBLANK('Data Entry'!$ú$467), "", 'Data Entry'!$ú$467)</f>
      </c>
      <c r="GE467">
        <f>IF(ISBLANK('Data Entry'!$û$467), "", 'Data Entry'!$û$467)</f>
      </c>
      <c r="GF467">
        <f>IF(ISBLANK('Data Entry'!$ü$467), "", 'Data Entry'!$ü$467)</f>
      </c>
      <c r="GG467">
        <f>IF(ISBLANK('Data Entry'!$ý$467), "", 'Data Entry'!$ý$467)</f>
      </c>
      <c r="GH467">
        <f>IF(ISBLANK('Data Entry'!$þ$467), "", 'Data Entry'!$þ$467)</f>
      </c>
      <c r="GI467">
        <f>IF(ISBLANK('Data Entry'!$ÿ$467), "", 'Data Entry'!$ÿ$467)</f>
      </c>
      <c r="GJ467">
        <f>IF(ISBLANK('Data Entry'!$Ā$467), "", 'Data Entry'!$Ā$467)</f>
      </c>
      <c r="GK467">
        <f>IF(ISBLANK('Data Entry'!$ā$467), "", 'Data Entry'!$ā$467)</f>
      </c>
      <c r="GL467">
        <f>IF(ISBLANK('Data Entry'!$Ă$467), "", 'Data Entry'!$Ă$467)</f>
      </c>
      <c r="GM467">
        <f>IF(ISBLANK('Data Entry'!$ă$467), "", 'Data Entry'!$ă$467)</f>
      </c>
      <c r="GN467">
        <f>IF(ISBLANK('Data Entry'!$Ą$467), "", 'Data Entry'!$Ą$467)</f>
      </c>
      <c r="GO467">
        <f>IF(ISBLANK('Data Entry'!$ą$467), "", 'Data Entry'!$ą$467)</f>
      </c>
      <c r="GP467">
        <f>IF(ISBLANK('Data Entry'!$Ć$467), "", 'Data Entry'!$Ć$467)</f>
      </c>
      <c r="GQ467">
        <f>IF(ISBLANK('Data Entry'!$ć$467), "", 'Data Entry'!$ć$467)</f>
      </c>
      <c r="GR467">
        <f>IF(ISBLANK('Data Entry'!$Ĉ$467), "", 'Data Entry'!$Ĉ$467)</f>
      </c>
      <c r="GS467">
        <f>IF(ISBLANK('Data Entry'!$ĉ$467), "", 'Data Entry'!$ĉ$467)</f>
      </c>
      <c r="GT467">
        <f>IF(ISBLANK('Data Entry'!$Ċ$467), "", 'Data Entry'!$Ċ$467)</f>
      </c>
      <c r="GU467">
        <f>IF(ISBLANK('Data Entry'!$ċ$467), "", 'Data Entry'!$ċ$467)</f>
      </c>
      <c r="GV467">
        <f>IF(ISBLANK('Data Entry'!$Č$467), "", 'Data Entry'!$Č$467)</f>
      </c>
      <c r="GW467">
        <f>IF(ISBLANK('Data Entry'!$č$467), "", 'Data Entry'!$č$467)</f>
      </c>
      <c r="GX467">
        <f>IF(ISBLANK('Data Entry'!$Ď$467), "", 'Data Entry'!$Ď$467)</f>
      </c>
      <c r="GY467">
        <f>IF(ISBLANK('Data Entry'!$ď$467), "", 'Data Entry'!$ď$467)</f>
      </c>
      <c r="GZ467">
        <f>IF(ISBLANK('Data Entry'!$Đ$467), "", 'Data Entry'!$Đ$467)</f>
      </c>
      <c r="HA467">
        <f>IF(ISBLANK('Data Entry'!$đ$467), "", 'Data Entry'!$đ$467)</f>
      </c>
      <c r="HB467">
        <f>IF(ISBLANK('Data Entry'!$Ē$467), "", 'Data Entry'!$Ē$467)</f>
      </c>
      <c r="HC467">
        <f>IF(ISBLANK('Data Entry'!$ē$467), "", 'Data Entry'!$ē$467)</f>
      </c>
      <c r="HD467">
        <f>IF(ISBLANK('Data Entry'!$Ĕ$467), "", 'Data Entry'!$Ĕ$467)</f>
      </c>
      <c r="HE467">
        <f>IF(ISBLANK('Data Entry'!$ĕ$467), "", 'Data Entry'!$ĕ$467)</f>
      </c>
      <c r="HF467">
        <f>IF(ISBLANK('Data Entry'!$Ė$467), "", 'Data Entry'!$Ė$467)</f>
      </c>
      <c r="HG467">
        <f>IF(ISBLANK('Data Entry'!$ė$467), "", 'Data Entry'!$ė$467)</f>
      </c>
      <c r="HH467">
        <f>IF(ISBLANK('Data Entry'!$Ę$467), "", 'Data Entry'!$Ę$467)</f>
      </c>
      <c r="HI467">
        <f>IF(ISBLANK('Data Entry'!$ę$467), "", 'Data Entry'!$ę$467)</f>
      </c>
      <c r="HJ467">
        <f>IF(ISBLANK('Data Entry'!$Ě$467), "", 'Data Entry'!$Ě$467)</f>
      </c>
      <c r="HK467">
        <f>IF(ISBLANK('Data Entry'!$ě$467), "", 'Data Entry'!$ě$467)</f>
      </c>
      <c r="HL467">
        <f>IF(ISBLANK('Data Entry'!$Ĝ$467), "", 'Data Entry'!$Ĝ$467)</f>
      </c>
      <c r="HM467">
        <f>IF(ISBLANK('Data Entry'!$ĝ$467), "", 'Data Entry'!$ĝ$467)</f>
      </c>
      <c r="HN467">
        <f>IF(ISBLANK('Data Entry'!$Ğ$467), "", 'Data Entry'!$Ğ$467)</f>
      </c>
      <c r="HO467">
        <f>IF(ISBLANK('Data Entry'!$ğ$467), "", 'Data Entry'!$ğ$467)</f>
      </c>
      <c r="HP467">
        <f>IF(ISBLANK('Data Entry'!$Ġ$467), "", 'Data Entry'!$Ġ$467)</f>
      </c>
      <c r="HQ467">
        <f>IF(ISBLANK('Data Entry'!$ġ$467), "", 'Data Entry'!$ġ$467)</f>
      </c>
      <c r="HR467">
        <f>IF(ISBLANK('Data Entry'!$Ģ$467), "", 'Data Entry'!$Ģ$467)</f>
      </c>
      <c r="HS467">
        <f>IF(ISBLANK('Data Entry'!$ģ$467), "", 'Data Entry'!$ģ$467)</f>
      </c>
      <c r="HT467">
        <f>IF(ISBLANK('Data Entry'!$Ĥ$467), "", 'Data Entry'!$Ĥ$467)</f>
      </c>
      <c r="HU467">
        <f>IF(ISBLANK('Data Entry'!$ĥ$467), "", 'Data Entry'!$ĥ$467)</f>
      </c>
      <c r="HV467">
        <f>IF(ISBLANK('Data Entry'!$Ħ$467), "", 'Data Entry'!$Ħ$467)</f>
      </c>
      <c r="HW467">
        <f>IF(ISBLANK('Data Entry'!$ħ$467), "", 'Data Entry'!$ħ$467)</f>
      </c>
      <c r="HX467">
        <f>IF(ISBLANK('Data Entry'!$Ĩ$467), "", 'Data Entry'!$Ĩ$467)</f>
      </c>
      <c r="HY467">
        <f>IF(ISBLANK('Data Entry'!$ĩ$467), "", 'Data Entry'!$ĩ$467)</f>
      </c>
      <c r="HZ467">
        <f>IF(ISBLANK('Data Entry'!$Ī$467), "", 'Data Entry'!$Ī$467)</f>
      </c>
      <c r="IA467">
        <f>IF(ISBLANK('Data Entry'!$ī$467), "", 'Data Entry'!$ī$467)</f>
      </c>
      <c r="IB467">
        <f>IF(ISBLANK('Data Entry'!$Ĭ$467), "", 'Data Entry'!$Ĭ$467)</f>
      </c>
      <c r="IC467">
        <f>IF(ISBLANK('Data Entry'!$ĭ$467), "", 'Data Entry'!$ĭ$467)</f>
      </c>
      <c r="ID467">
        <f>IF(ISBLANK('Data Entry'!$Į$467), "", 'Data Entry'!$Į$467)</f>
      </c>
      <c r="IE467">
        <f>IF(ISBLANK('Data Entry'!$į$467), "", 'Data Entry'!$į$467)</f>
      </c>
      <c r="IF467">
        <f>IF(ISBLANK('Data Entry'!$İ$467), "", 'Data Entry'!$İ$467)</f>
      </c>
      <c r="IG467">
        <f>IF(ISBLANK('Data Entry'!$ı$467), "", 'Data Entry'!$ı$467)</f>
      </c>
      <c r="IH467">
        <f>IF(ISBLANK('Data Entry'!$Ĳ$467), "", 'Data Entry'!$Ĳ$467)</f>
      </c>
      <c r="II467">
        <f>IF(ISBLANK('Data Entry'!$ĳ$467), "", 'Data Entry'!$ĳ$467)</f>
      </c>
      <c r="IJ467">
        <f>IF(ISBLANK('Data Entry'!$Ĵ$467), "", 'Data Entry'!$Ĵ$467)</f>
      </c>
      <c r="IK467">
        <f>IF(ISBLANK('Data Entry'!$ĵ$467), "", 'Data Entry'!$ĵ$467)</f>
      </c>
      <c r="IL467">
        <f>IF(ISBLANK('Data Entry'!$Ķ$467), "", 'Data Entry'!$Ķ$467)</f>
      </c>
      <c r="IM467">
        <f>IF(ISBLANK('Data Entry'!$ķ$467), "", 'Data Entry'!$ķ$467)</f>
      </c>
      <c r="IN467">
        <f>IF(ISBLANK('Data Entry'!$ĸ$467), "", 'Data Entry'!$ĸ$467)</f>
      </c>
      <c r="IO467">
        <f>IF(ISBLANK('Data Entry'!$Ĺ$467), "", 'Data Entry'!$Ĺ$467)</f>
      </c>
      <c r="IP467">
        <f>IF(ISBLANK('Data Entry'!$ĺ$467), "", 'Data Entry'!$ĺ$467)</f>
      </c>
      <c r="IQ467">
        <f>IF(ISBLANK('Data Entry'!$Ļ$467), "", 'Data Entry'!$Ļ$467)</f>
      </c>
      <c r="IR467">
        <f>IF(ISBLANK('Data Entry'!$ļ$467), "", 'Data Entry'!$ļ$467)</f>
      </c>
      <c r="IS467">
        <f>IF(ISBLANK('Data Entry'!$Ľ$467), "", 'Data Entry'!$Ľ$467)</f>
      </c>
      <c r="IT467">
        <f>IF(ISBLANK('Data Entry'!$ľ$467), "", 'Data Entry'!$ľ$467)</f>
      </c>
    </row>
    <row r="468" spans="1:254" x14ac:dyDescent="0.25">
      <c r="A468">
        <f>IF(ISBLANK('Data Entry'!$A$468), "", 'Data Entry'!$A$468)</f>
      </c>
      <c r="B468">
        <f>IF(ISBLANK('Data Entry'!$B$468), "", 'Data Entry'!$B$468)</f>
      </c>
      <c r="C468">
        <f>IF(ISBLANK('Data Entry'!$C$468), "", 'Data Entry'!$C$468)</f>
      </c>
      <c r="D468">
        <f>IF(ISBLANK('Data Entry'!$D$468), "", 'Data Entry'!$D$468)</f>
      </c>
      <c r="E468">
        <f>IF(ISBLANK('Data Entry'!$E$468), "", 'Data Entry'!$E$468)</f>
      </c>
      <c r="F468">
        <f>IF(ISBLANK('Data Entry'!$F$468), "", 'Data Entry'!$F$468)</f>
      </c>
      <c r="G468">
        <f>IF(ISBLANK('Data Entry'!$G$468), "", 'Data Entry'!$G$468)</f>
      </c>
      <c r="H468">
        <f>IF(ISBLANK('Data Entry'!$H$468), "", 'Data Entry'!$H$468)</f>
      </c>
      <c r="I468">
        <f>IF(ISBLANK('Data Entry'!$I$468), "", 'Data Entry'!$I$468)</f>
      </c>
      <c r="J468">
        <f>IF(ISBLANK('Data Entry'!$J$468), "", 'Data Entry'!$J$468)</f>
      </c>
      <c r="K468">
        <f>IF(ISBLANK('Data Entry'!$K$468), "", 'Data Entry'!$K$468)</f>
      </c>
      <c r="L468">
        <f>IF(ISBLANK('Data Entry'!$L$468), "", 'Data Entry'!$L$468)</f>
      </c>
      <c r="M468">
        <f>IF(ISBLANK('Data Entry'!$M$468), "", 'Data Entry'!$M$468)</f>
      </c>
      <c r="N468">
        <f>IF(ISBLANK('Data Entry'!$N$468), "", 'Data Entry'!$N$468)</f>
      </c>
      <c r="O468">
        <f>IF(ISBLANK('Data Entry'!$O$468), "", 'Data Entry'!$O$468)</f>
      </c>
      <c r="P468">
        <f>IF(ISBLANK('Data Entry'!$P$468), "", 'Data Entry'!$P$468)</f>
      </c>
      <c r="Q468">
        <f>IF(ISBLANK('Data Entry'!$Q$468), "", 'Data Entry'!$Q$468)</f>
      </c>
      <c r="R468">
        <f>IF(ISBLANK('Data Entry'!$R$468), "", 'Data Entry'!$R$468)</f>
      </c>
      <c r="S468">
        <f>IF(ISBLANK('Data Entry'!$S$468), "", 'Data Entry'!$S$468)</f>
      </c>
      <c r="T468">
        <f>IF(ISBLANK('Data Entry'!$T$468), "", 'Data Entry'!$T$468)</f>
      </c>
      <c r="U468">
        <f>IF(ISBLANK('Data Entry'!$U$468), "", 'Data Entry'!$U$468)</f>
      </c>
      <c r="V468">
        <f>IF(ISBLANK('Data Entry'!$V$468), "", 'Data Entry'!$V$468)</f>
      </c>
      <c r="W468">
        <f>IF(ISBLANK('Data Entry'!$W$468), "", 'Data Entry'!$W$468)</f>
      </c>
      <c r="X468">
        <f>IF(ISBLANK('Data Entry'!$X$468), "", 'Data Entry'!$X$468)</f>
      </c>
      <c r="Y468">
        <f>IF(ISBLANK('Data Entry'!$Y$468), "", 'Data Entry'!$Y$468)</f>
      </c>
      <c r="Z468">
        <f>IF(ISBLANK('Data Entry'!$Z$468), "", 'Data Entry'!$Z$468)</f>
      </c>
      <c r="AA468">
        <f>IF(ISBLANK('Data Entry'!$[$468), "", 'Data Entry'!$[$468)</f>
      </c>
      <c r="AB468">
        <f>IF(ISBLANK('Data Entry'!$\$468), "", 'Data Entry'!$\$468)</f>
      </c>
      <c r="AC468">
        <f>IF(ISBLANK('Data Entry'!$]$468), "", 'Data Entry'!$]$468)</f>
      </c>
      <c r="AD468">
        <f>IF(ISBLANK('Data Entry'!$^$468), "", 'Data Entry'!$^$468)</f>
      </c>
      <c r="AE468">
        <f>IF(ISBLANK('Data Entry'!$_$468), "", 'Data Entry'!$_$468)</f>
      </c>
      <c r="AF468">
        <f>IF(ISBLANK('Data Entry'!$`$468), "", 'Data Entry'!$`$468)</f>
      </c>
      <c r="AG468">
        <f>IF(ISBLANK('Data Entry'!$a$468), "", 'Data Entry'!$a$468)</f>
      </c>
      <c r="AH468">
        <f>IF(ISBLANK('Data Entry'!$b$468), "", 'Data Entry'!$b$468)</f>
      </c>
      <c r="AI468">
        <f>IF(ISBLANK('Data Entry'!$c$468), "", 'Data Entry'!$c$468)</f>
      </c>
      <c r="AJ468">
        <f>IF(ISBLANK('Data Entry'!$d$468), "", 'Data Entry'!$d$468)</f>
      </c>
      <c r="AK468">
        <f>IF(ISBLANK('Data Entry'!$e$468), "", 'Data Entry'!$e$468)</f>
      </c>
      <c r="AL468">
        <f>IF(ISBLANK('Data Entry'!$f$468), "", 'Data Entry'!$f$468)</f>
      </c>
      <c r="AM468">
        <f>IF(ISBLANK('Data Entry'!$g$468), "", 'Data Entry'!$g$468)</f>
      </c>
      <c r="AN468">
        <f>IF(ISBLANK('Data Entry'!$h$468), "", 'Data Entry'!$h$468)</f>
      </c>
      <c r="AO468">
        <f>IF(ISBLANK('Data Entry'!$i$468), "", 'Data Entry'!$i$468)</f>
      </c>
      <c r="AP468">
        <f>IF(ISBLANK('Data Entry'!$j$468), "", 'Data Entry'!$j$468)</f>
      </c>
      <c r="AQ468">
        <f>IF(ISBLANK('Data Entry'!$k$468), "", 'Data Entry'!$k$468)</f>
      </c>
      <c r="AR468">
        <f>IF(ISBLANK('Data Entry'!$l$468), "", 'Data Entry'!$l$468)</f>
      </c>
      <c r="AS468">
        <f>IF(ISBLANK('Data Entry'!$m$468), "", 'Data Entry'!$m$468)</f>
      </c>
      <c r="AT468">
        <f>IF(ISBLANK('Data Entry'!$n$468), "", 'Data Entry'!$n$468)</f>
      </c>
      <c r="AU468">
        <f>IF(ISBLANK('Data Entry'!$o$468), "", 'Data Entry'!$o$468)</f>
      </c>
      <c r="AV468">
        <f>IF(ISBLANK('Data Entry'!$p$468), "", 'Data Entry'!$p$468)</f>
      </c>
      <c r="AW468">
        <f>IF(ISBLANK('Data Entry'!$q$468), "", 'Data Entry'!$q$468)</f>
      </c>
      <c r="AX468">
        <f>IF(ISBLANK('Data Entry'!$r$468), "", 'Data Entry'!$r$468)</f>
      </c>
      <c r="AY468">
        <f>IF(ISBLANK('Data Entry'!$s$468), "", 'Data Entry'!$s$468)</f>
      </c>
      <c r="AZ468">
        <f>IF(ISBLANK('Data Entry'!$t$468), "", 'Data Entry'!$t$468)</f>
      </c>
      <c r="BA468">
        <f>IF(ISBLANK('Data Entry'!$u$468), "", 'Data Entry'!$u$468)</f>
      </c>
      <c r="BB468">
        <f>IF(ISBLANK('Data Entry'!$v$468), "", 'Data Entry'!$v$468)</f>
      </c>
      <c r="BC468">
        <f>IF(ISBLANK('Data Entry'!$w$468), "", 'Data Entry'!$w$468)</f>
      </c>
      <c r="BD468">
        <f>IF(ISBLANK('Data Entry'!$x$468), "", 'Data Entry'!$x$468)</f>
      </c>
      <c r="BE468">
        <f>IF(ISBLANK('Data Entry'!$y$468), "", 'Data Entry'!$y$468)</f>
      </c>
      <c r="BF468">
        <f>IF(ISBLANK('Data Entry'!$z$468), "", 'Data Entry'!$z$468)</f>
      </c>
      <c r="BG468">
        <f>IF(ISBLANK('Data Entry'!${$468), "", 'Data Entry'!${$468)</f>
      </c>
      <c r="BH468">
        <f>IF(ISBLANK('Data Entry'!$|$468), "", 'Data Entry'!$|$468)</f>
      </c>
      <c r="BI468">
        <f>IF(ISBLANK('Data Entry'!$}$468), "", 'Data Entry'!$}$468)</f>
      </c>
      <c r="BJ468">
        <f>IF(ISBLANK('Data Entry'!$~$468), "", 'Data Entry'!$~$468)</f>
      </c>
      <c r="BK468">
        <f>IF(ISBLANK('Data Entry'!$$468), "", 'Data Entry'!$$468)</f>
      </c>
      <c r="BL468">
        <f>IF(ISBLANK('Data Entry'!$$468), "", 'Data Entry'!$$468)</f>
      </c>
      <c r="BM468">
        <f>IF(ISBLANK('Data Entry'!$$468), "", 'Data Entry'!$$468)</f>
      </c>
      <c r="BN468">
        <f>IF(ISBLANK('Data Entry'!$$468), "", 'Data Entry'!$$468)</f>
      </c>
      <c r="BO468">
        <f>IF(ISBLANK('Data Entry'!$$468), "", 'Data Entry'!$$468)</f>
      </c>
      <c r="BP468">
        <f>IF(ISBLANK('Data Entry'!$$468), "", 'Data Entry'!$$468)</f>
      </c>
      <c r="BQ468">
        <f>IF(ISBLANK('Data Entry'!$$468), "", 'Data Entry'!$$468)</f>
      </c>
      <c r="BR468">
        <f>IF(ISBLANK('Data Entry'!$$468), "", 'Data Entry'!$$468)</f>
      </c>
      <c r="BS468">
        <f>IF(ISBLANK('Data Entry'!$$468), "", 'Data Entry'!$$468)</f>
      </c>
      <c r="BT468">
        <f>IF(ISBLANK('Data Entry'!$$468), "", 'Data Entry'!$$468)</f>
      </c>
      <c r="BU468">
        <f>IF(ISBLANK('Data Entry'!$$468), "", 'Data Entry'!$$468)</f>
      </c>
      <c r="BV468">
        <f>IF(ISBLANK('Data Entry'!$$468), "", 'Data Entry'!$$468)</f>
      </c>
      <c r="BW468">
        <f>IF(ISBLANK('Data Entry'!$$468), "", 'Data Entry'!$$468)</f>
      </c>
      <c r="BX468">
        <f>IF(ISBLANK('Data Entry'!$$468), "", 'Data Entry'!$$468)</f>
      </c>
      <c r="BY468">
        <f>IF(ISBLANK('Data Entry'!$$468), "", 'Data Entry'!$$468)</f>
      </c>
      <c r="BZ468">
        <f>IF(ISBLANK('Data Entry'!$$468), "", 'Data Entry'!$$468)</f>
      </c>
      <c r="CA468">
        <f>IF(ISBLANK('Data Entry'!$$468), "", 'Data Entry'!$$468)</f>
      </c>
      <c r="CB468">
        <f>IF(ISBLANK('Data Entry'!$$468), "", 'Data Entry'!$$468)</f>
      </c>
      <c r="CC468">
        <f>IF(ISBLANK('Data Entry'!$$468), "", 'Data Entry'!$$468)</f>
      </c>
      <c r="CD468">
        <f>IF(ISBLANK('Data Entry'!$$468), "", 'Data Entry'!$$468)</f>
      </c>
      <c r="CE468">
        <f>IF(ISBLANK('Data Entry'!$$468), "", 'Data Entry'!$$468)</f>
      </c>
      <c r="CF468">
        <f>IF(ISBLANK('Data Entry'!$$468), "", 'Data Entry'!$$468)</f>
      </c>
      <c r="CG468">
        <f>IF(ISBLANK('Data Entry'!$$468), "", 'Data Entry'!$$468)</f>
      </c>
      <c r="CH468">
        <f>IF(ISBLANK('Data Entry'!$$468), "", 'Data Entry'!$$468)</f>
      </c>
      <c r="CI468">
        <f>IF(ISBLANK('Data Entry'!$$468), "", 'Data Entry'!$$468)</f>
      </c>
      <c r="CJ468">
        <f>IF(ISBLANK('Data Entry'!$$468), "", 'Data Entry'!$$468)</f>
      </c>
      <c r="CK468">
        <f>IF(ISBLANK('Data Entry'!$$468), "", 'Data Entry'!$$468)</f>
      </c>
      <c r="CL468">
        <f>IF(ISBLANK('Data Entry'!$$468), "", 'Data Entry'!$$468)</f>
      </c>
      <c r="CM468">
        <f>IF(ISBLANK('Data Entry'!$$468), "", 'Data Entry'!$$468)</f>
      </c>
      <c r="CN468">
        <f>IF(ISBLANK('Data Entry'!$$468), "", 'Data Entry'!$$468)</f>
      </c>
      <c r="CO468">
        <f>IF(ISBLANK('Data Entry'!$$468), "", 'Data Entry'!$$468)</f>
      </c>
      <c r="CP468">
        <f>IF(ISBLANK('Data Entry'!$$468), "", 'Data Entry'!$$468)</f>
      </c>
      <c r="CQ468">
        <f>IF(ISBLANK('Data Entry'!$$468), "", 'Data Entry'!$$468)</f>
      </c>
      <c r="CR468">
        <f>IF(ISBLANK('Data Entry'!$ $468), "", 'Data Entry'!$ $468)</f>
      </c>
      <c r="CS468">
        <f>IF(ISBLANK('Data Entry'!$¡$468), "", 'Data Entry'!$¡$468)</f>
      </c>
      <c r="CT468">
        <f>IF(ISBLANK('Data Entry'!$¢$468), "", 'Data Entry'!$¢$468)</f>
      </c>
      <c r="CU468">
        <f>IF(ISBLANK('Data Entry'!$£$468), "", 'Data Entry'!$£$468)</f>
      </c>
      <c r="CV468">
        <f>IF(ISBLANK('Data Entry'!$¤$468), "", 'Data Entry'!$¤$468)</f>
      </c>
      <c r="CW468">
        <f>IF(ISBLANK('Data Entry'!$¥$468), "", 'Data Entry'!$¥$468)</f>
      </c>
      <c r="CX468">
        <f>IF(ISBLANK('Data Entry'!$¦$468), "", 'Data Entry'!$¦$468)</f>
      </c>
      <c r="CY468">
        <f>IF(ISBLANK('Data Entry'!$§$468), "", 'Data Entry'!$§$468)</f>
      </c>
      <c r="CZ468">
        <f>IF(ISBLANK('Data Entry'!$¨$468), "", 'Data Entry'!$¨$468)</f>
      </c>
      <c r="DA468">
        <f>IF(ISBLANK('Data Entry'!$©$468), "", 'Data Entry'!$©$468)</f>
      </c>
      <c r="DB468">
        <f>IF(ISBLANK('Data Entry'!$ª$468), "", 'Data Entry'!$ª$468)</f>
      </c>
      <c r="DC468">
        <f>IF(ISBLANK('Data Entry'!$«$468), "", 'Data Entry'!$«$468)</f>
      </c>
      <c r="DD468">
        <f>IF(ISBLANK('Data Entry'!$¬$468), "", 'Data Entry'!$¬$468)</f>
      </c>
      <c r="DE468">
        <f>IF(ISBLANK('Data Entry'!$­$468), "", 'Data Entry'!$­$468)</f>
      </c>
      <c r="DF468">
        <f>IF(ISBLANK('Data Entry'!$®$468), "", 'Data Entry'!$®$468)</f>
      </c>
      <c r="DG468">
        <f>IF(ISBLANK('Data Entry'!$¯$468), "", 'Data Entry'!$¯$468)</f>
      </c>
      <c r="DH468">
        <f>IF(ISBLANK('Data Entry'!$°$468), "", 'Data Entry'!$°$468)</f>
      </c>
      <c r="DI468">
        <f>IF(ISBLANK('Data Entry'!$±$468), "", 'Data Entry'!$±$468)</f>
      </c>
      <c r="DJ468">
        <f>IF(ISBLANK('Data Entry'!$²$468), "", 'Data Entry'!$²$468)</f>
      </c>
      <c r="DK468">
        <f>IF(ISBLANK('Data Entry'!$³$468), "", 'Data Entry'!$³$468)</f>
      </c>
      <c r="DL468">
        <f>IF(ISBLANK('Data Entry'!$´$468), "", 'Data Entry'!$´$468)</f>
      </c>
      <c r="DM468">
        <f>IF(ISBLANK('Data Entry'!$µ$468), "", 'Data Entry'!$µ$468)</f>
      </c>
      <c r="DN468">
        <f>IF(ISBLANK('Data Entry'!$¶$468), "", 'Data Entry'!$¶$468)</f>
      </c>
      <c r="DO468">
        <f>IF(ISBLANK('Data Entry'!$·$468), "", 'Data Entry'!$·$468)</f>
      </c>
      <c r="DP468">
        <f>IF(ISBLANK('Data Entry'!$¸$468), "", 'Data Entry'!$¸$468)</f>
      </c>
      <c r="DQ468">
        <f>IF(ISBLANK('Data Entry'!$¹$468), "", 'Data Entry'!$¹$468)</f>
      </c>
      <c r="DR468">
        <f>IF(ISBLANK('Data Entry'!$º$468), "", 'Data Entry'!$º$468)</f>
      </c>
      <c r="DS468">
        <f>IF(ISBLANK('Data Entry'!$»$468), "", 'Data Entry'!$»$468)</f>
      </c>
      <c r="DT468">
        <f>IF(ISBLANK('Data Entry'!$¼$468), "", 'Data Entry'!$¼$468)</f>
      </c>
      <c r="DU468">
        <f>IF(ISBLANK('Data Entry'!$½$468), "", 'Data Entry'!$½$468)</f>
      </c>
      <c r="DV468">
        <f>IF(ISBLANK('Data Entry'!$¾$468), "", 'Data Entry'!$¾$468)</f>
      </c>
      <c r="DW468">
        <f>IF(ISBLANK('Data Entry'!$¿$468), "", 'Data Entry'!$¿$468)</f>
      </c>
      <c r="DX468">
        <f>IF(ISBLANK('Data Entry'!$À$468), "", 'Data Entry'!$À$468)</f>
      </c>
      <c r="DY468">
        <f>IF(ISBLANK('Data Entry'!$Á$468), "", 'Data Entry'!$Á$468)</f>
      </c>
      <c r="DZ468">
        <f>IF(ISBLANK('Data Entry'!$Â$468), "", 'Data Entry'!$Â$468)</f>
      </c>
      <c r="EA468">
        <f>IF(ISBLANK('Data Entry'!$Ã$468), "", 'Data Entry'!$Ã$468)</f>
      </c>
      <c r="EB468">
        <f>IF(ISBLANK('Data Entry'!$Ä$468), "", 'Data Entry'!$Ä$468)</f>
      </c>
      <c r="EC468">
        <f>IF(ISBLANK('Data Entry'!$Å$468), "", 'Data Entry'!$Å$468)</f>
      </c>
      <c r="ED468">
        <f>IF(ISBLANK('Data Entry'!$Æ$468), "", 'Data Entry'!$Æ$468)</f>
      </c>
      <c r="EE468">
        <f>IF(ISBLANK('Data Entry'!$Ç$468), "", 'Data Entry'!$Ç$468)</f>
      </c>
      <c r="EF468">
        <f>IF(ISBLANK('Data Entry'!$È$468), "", 'Data Entry'!$È$468)</f>
      </c>
      <c r="EG468">
        <f>IF(ISBLANK('Data Entry'!$É$468), "", 'Data Entry'!$É$468)</f>
      </c>
      <c r="EH468">
        <f>IF(ISBLANK('Data Entry'!$Ê$468), "", 'Data Entry'!$Ê$468)</f>
      </c>
      <c r="EI468">
        <f>IF(ISBLANK('Data Entry'!$Ë$468), "", 'Data Entry'!$Ë$468)</f>
      </c>
      <c r="EJ468">
        <f>IF(ISBLANK('Data Entry'!$Ì$468), "", 'Data Entry'!$Ì$468)</f>
      </c>
      <c r="EK468">
        <f>IF(ISBLANK('Data Entry'!$Í$468), "", 'Data Entry'!$Í$468)</f>
      </c>
      <c r="EL468">
        <f>IF(ISBLANK('Data Entry'!$Î$468), "", 'Data Entry'!$Î$468)</f>
      </c>
      <c r="EM468">
        <f>IF(ISBLANK('Data Entry'!$Ï$468), "", 'Data Entry'!$Ï$468)</f>
      </c>
      <c r="EN468">
        <f>IF(ISBLANK('Data Entry'!$Ð$468), "", 'Data Entry'!$Ð$468)</f>
      </c>
      <c r="EO468">
        <f>IF(ISBLANK('Data Entry'!$Ñ$468), "", 'Data Entry'!$Ñ$468)</f>
      </c>
      <c r="EP468">
        <f>IF(ISBLANK('Data Entry'!$Ò$468), "", 'Data Entry'!$Ò$468)</f>
      </c>
      <c r="EQ468">
        <f>IF(ISBLANK('Data Entry'!$Ó$468), "", 'Data Entry'!$Ó$468)</f>
      </c>
      <c r="ER468">
        <f>IF(ISBLANK('Data Entry'!$Ô$468), "", 'Data Entry'!$Ô$468)</f>
      </c>
      <c r="ES468">
        <f>IF(ISBLANK('Data Entry'!$Õ$468), "", 'Data Entry'!$Õ$468)</f>
      </c>
      <c r="ET468">
        <f>IF(ISBLANK('Data Entry'!$Ö$468), "", 'Data Entry'!$Ö$468)</f>
      </c>
      <c r="EU468">
        <f>IF(ISBLANK('Data Entry'!$×$468), "", 'Data Entry'!$×$468)</f>
      </c>
      <c r="EV468">
        <f>IF(ISBLANK('Data Entry'!$Ø$468), "", 'Data Entry'!$Ø$468)</f>
      </c>
      <c r="EW468">
        <f>IF(ISBLANK('Data Entry'!$Ù$468), "", 'Data Entry'!$Ù$468)</f>
      </c>
      <c r="EX468">
        <f>IF(ISBLANK('Data Entry'!$Ú$468), "", 'Data Entry'!$Ú$468)</f>
      </c>
      <c r="EY468">
        <f>IF(ISBLANK('Data Entry'!$Û$468), "", 'Data Entry'!$Û$468)</f>
      </c>
      <c r="EZ468">
        <f>IF(ISBLANK('Data Entry'!$Ü$468), "", 'Data Entry'!$Ü$468)</f>
      </c>
      <c r="FA468">
        <f>IF(ISBLANK('Data Entry'!$Ý$468), "", 'Data Entry'!$Ý$468)</f>
      </c>
      <c r="FB468">
        <f>IF(ISBLANK('Data Entry'!$Þ$468), "", 'Data Entry'!$Þ$468)</f>
      </c>
      <c r="FC468">
        <f>IF(ISBLANK('Data Entry'!$ß$468), "", 'Data Entry'!$ß$468)</f>
      </c>
      <c r="FD468">
        <f>IF(ISBLANK('Data Entry'!$à$468), "", 'Data Entry'!$à$468)</f>
      </c>
      <c r="FE468">
        <f>IF(ISBLANK('Data Entry'!$á$468), "", 'Data Entry'!$á$468)</f>
      </c>
      <c r="FF468">
        <f>IF(ISBLANK('Data Entry'!$â$468), "", 'Data Entry'!$â$468)</f>
      </c>
      <c r="FG468">
        <f>IF(ISBLANK('Data Entry'!$ã$468), "", 'Data Entry'!$ã$468)</f>
      </c>
      <c r="FH468">
        <f>IF(ISBLANK('Data Entry'!$ä$468), "", 'Data Entry'!$ä$468)</f>
      </c>
      <c r="FI468">
        <f>IF(ISBLANK('Data Entry'!$å$468), "", 'Data Entry'!$å$468)</f>
      </c>
      <c r="FJ468">
        <f>IF(ISBLANK('Data Entry'!$æ$468), "", 'Data Entry'!$æ$468)</f>
      </c>
      <c r="FK468">
        <f>IF(ISBLANK('Data Entry'!$ç$468), "", 'Data Entry'!$ç$468)</f>
      </c>
      <c r="FL468">
        <f>IF(ISBLANK('Data Entry'!$è$468), "", 'Data Entry'!$è$468)</f>
      </c>
      <c r="FM468">
        <f>IF(ISBLANK('Data Entry'!$é$468), "", 'Data Entry'!$é$468)</f>
      </c>
      <c r="FN468">
        <f>IF(ISBLANK('Data Entry'!$ê$468), "", 'Data Entry'!$ê$468)</f>
      </c>
      <c r="FO468">
        <f>IF(ISBLANK('Data Entry'!$ë$468), "", 'Data Entry'!$ë$468)</f>
      </c>
      <c r="FP468">
        <f>IF(ISBLANK('Data Entry'!$ì$468), "", 'Data Entry'!$ì$468)</f>
      </c>
      <c r="FQ468">
        <f>IF(ISBLANK('Data Entry'!$í$468), "", 'Data Entry'!$í$468)</f>
      </c>
      <c r="FR468">
        <f>IF(ISBLANK('Data Entry'!$î$468), "", 'Data Entry'!$î$468)</f>
      </c>
      <c r="FS468">
        <f>IF(ISBLANK('Data Entry'!$ï$468), "", 'Data Entry'!$ï$468)</f>
      </c>
      <c r="FT468">
        <f>IF(ISBLANK('Data Entry'!$ð$468), "", 'Data Entry'!$ð$468)</f>
      </c>
      <c r="FU468">
        <f>IF(ISBLANK('Data Entry'!$ñ$468), "", 'Data Entry'!$ñ$468)</f>
      </c>
      <c r="FV468">
        <f>IF(ISBLANK('Data Entry'!$ò$468), "", 'Data Entry'!$ò$468)</f>
      </c>
      <c r="FW468">
        <f>IF(ISBLANK('Data Entry'!$ó$468), "", 'Data Entry'!$ó$468)</f>
      </c>
      <c r="FX468">
        <f>IF(ISBLANK('Data Entry'!$ô$468), "", 'Data Entry'!$ô$468)</f>
      </c>
      <c r="FY468">
        <f>IF(ISBLANK('Data Entry'!$õ$468), "", 'Data Entry'!$õ$468)</f>
      </c>
      <c r="FZ468">
        <f>IF(ISBLANK('Data Entry'!$ö$468), "", 'Data Entry'!$ö$468)</f>
      </c>
      <c r="GA468">
        <f>IF(ISBLANK('Data Entry'!$÷$468), "", 'Data Entry'!$÷$468)</f>
      </c>
      <c r="GB468">
        <f>IF(ISBLANK('Data Entry'!$ø$468), "", 'Data Entry'!$ø$468)</f>
      </c>
      <c r="GC468">
        <f>IF(ISBLANK('Data Entry'!$ù$468), "", 'Data Entry'!$ù$468)</f>
      </c>
      <c r="GD468">
        <f>IF(ISBLANK('Data Entry'!$ú$468), "", 'Data Entry'!$ú$468)</f>
      </c>
      <c r="GE468">
        <f>IF(ISBLANK('Data Entry'!$û$468), "", 'Data Entry'!$û$468)</f>
      </c>
      <c r="GF468">
        <f>IF(ISBLANK('Data Entry'!$ü$468), "", 'Data Entry'!$ü$468)</f>
      </c>
      <c r="GG468">
        <f>IF(ISBLANK('Data Entry'!$ý$468), "", 'Data Entry'!$ý$468)</f>
      </c>
      <c r="GH468">
        <f>IF(ISBLANK('Data Entry'!$þ$468), "", 'Data Entry'!$þ$468)</f>
      </c>
      <c r="GI468">
        <f>IF(ISBLANK('Data Entry'!$ÿ$468), "", 'Data Entry'!$ÿ$468)</f>
      </c>
      <c r="GJ468">
        <f>IF(ISBLANK('Data Entry'!$Ā$468), "", 'Data Entry'!$Ā$468)</f>
      </c>
      <c r="GK468">
        <f>IF(ISBLANK('Data Entry'!$ā$468), "", 'Data Entry'!$ā$468)</f>
      </c>
      <c r="GL468">
        <f>IF(ISBLANK('Data Entry'!$Ă$468), "", 'Data Entry'!$Ă$468)</f>
      </c>
      <c r="GM468">
        <f>IF(ISBLANK('Data Entry'!$ă$468), "", 'Data Entry'!$ă$468)</f>
      </c>
      <c r="GN468">
        <f>IF(ISBLANK('Data Entry'!$Ą$468), "", 'Data Entry'!$Ą$468)</f>
      </c>
      <c r="GO468">
        <f>IF(ISBLANK('Data Entry'!$ą$468), "", 'Data Entry'!$ą$468)</f>
      </c>
      <c r="GP468">
        <f>IF(ISBLANK('Data Entry'!$Ć$468), "", 'Data Entry'!$Ć$468)</f>
      </c>
      <c r="GQ468">
        <f>IF(ISBLANK('Data Entry'!$ć$468), "", 'Data Entry'!$ć$468)</f>
      </c>
      <c r="GR468">
        <f>IF(ISBLANK('Data Entry'!$Ĉ$468), "", 'Data Entry'!$Ĉ$468)</f>
      </c>
      <c r="GS468">
        <f>IF(ISBLANK('Data Entry'!$ĉ$468), "", 'Data Entry'!$ĉ$468)</f>
      </c>
      <c r="GT468">
        <f>IF(ISBLANK('Data Entry'!$Ċ$468), "", 'Data Entry'!$Ċ$468)</f>
      </c>
      <c r="GU468">
        <f>IF(ISBLANK('Data Entry'!$ċ$468), "", 'Data Entry'!$ċ$468)</f>
      </c>
      <c r="GV468">
        <f>IF(ISBLANK('Data Entry'!$Č$468), "", 'Data Entry'!$Č$468)</f>
      </c>
      <c r="GW468">
        <f>IF(ISBLANK('Data Entry'!$č$468), "", 'Data Entry'!$č$468)</f>
      </c>
      <c r="GX468">
        <f>IF(ISBLANK('Data Entry'!$Ď$468), "", 'Data Entry'!$Ď$468)</f>
      </c>
      <c r="GY468">
        <f>IF(ISBLANK('Data Entry'!$ď$468), "", 'Data Entry'!$ď$468)</f>
      </c>
      <c r="GZ468">
        <f>IF(ISBLANK('Data Entry'!$Đ$468), "", 'Data Entry'!$Đ$468)</f>
      </c>
      <c r="HA468">
        <f>IF(ISBLANK('Data Entry'!$đ$468), "", 'Data Entry'!$đ$468)</f>
      </c>
      <c r="HB468">
        <f>IF(ISBLANK('Data Entry'!$Ē$468), "", 'Data Entry'!$Ē$468)</f>
      </c>
      <c r="HC468">
        <f>IF(ISBLANK('Data Entry'!$ē$468), "", 'Data Entry'!$ē$468)</f>
      </c>
      <c r="HD468">
        <f>IF(ISBLANK('Data Entry'!$Ĕ$468), "", 'Data Entry'!$Ĕ$468)</f>
      </c>
      <c r="HE468">
        <f>IF(ISBLANK('Data Entry'!$ĕ$468), "", 'Data Entry'!$ĕ$468)</f>
      </c>
      <c r="HF468">
        <f>IF(ISBLANK('Data Entry'!$Ė$468), "", 'Data Entry'!$Ė$468)</f>
      </c>
      <c r="HG468">
        <f>IF(ISBLANK('Data Entry'!$ė$468), "", 'Data Entry'!$ė$468)</f>
      </c>
      <c r="HH468">
        <f>IF(ISBLANK('Data Entry'!$Ę$468), "", 'Data Entry'!$Ę$468)</f>
      </c>
      <c r="HI468">
        <f>IF(ISBLANK('Data Entry'!$ę$468), "", 'Data Entry'!$ę$468)</f>
      </c>
      <c r="HJ468">
        <f>IF(ISBLANK('Data Entry'!$Ě$468), "", 'Data Entry'!$Ě$468)</f>
      </c>
      <c r="HK468">
        <f>IF(ISBLANK('Data Entry'!$ě$468), "", 'Data Entry'!$ě$468)</f>
      </c>
      <c r="HL468">
        <f>IF(ISBLANK('Data Entry'!$Ĝ$468), "", 'Data Entry'!$Ĝ$468)</f>
      </c>
      <c r="HM468">
        <f>IF(ISBLANK('Data Entry'!$ĝ$468), "", 'Data Entry'!$ĝ$468)</f>
      </c>
      <c r="HN468">
        <f>IF(ISBLANK('Data Entry'!$Ğ$468), "", 'Data Entry'!$Ğ$468)</f>
      </c>
      <c r="HO468">
        <f>IF(ISBLANK('Data Entry'!$ğ$468), "", 'Data Entry'!$ğ$468)</f>
      </c>
      <c r="HP468">
        <f>IF(ISBLANK('Data Entry'!$Ġ$468), "", 'Data Entry'!$Ġ$468)</f>
      </c>
      <c r="HQ468">
        <f>IF(ISBLANK('Data Entry'!$ġ$468), "", 'Data Entry'!$ġ$468)</f>
      </c>
      <c r="HR468">
        <f>IF(ISBLANK('Data Entry'!$Ģ$468), "", 'Data Entry'!$Ģ$468)</f>
      </c>
      <c r="HS468">
        <f>IF(ISBLANK('Data Entry'!$ģ$468), "", 'Data Entry'!$ģ$468)</f>
      </c>
      <c r="HT468">
        <f>IF(ISBLANK('Data Entry'!$Ĥ$468), "", 'Data Entry'!$Ĥ$468)</f>
      </c>
      <c r="HU468">
        <f>IF(ISBLANK('Data Entry'!$ĥ$468), "", 'Data Entry'!$ĥ$468)</f>
      </c>
      <c r="HV468">
        <f>IF(ISBLANK('Data Entry'!$Ħ$468), "", 'Data Entry'!$Ħ$468)</f>
      </c>
      <c r="HW468">
        <f>IF(ISBLANK('Data Entry'!$ħ$468), "", 'Data Entry'!$ħ$468)</f>
      </c>
      <c r="HX468">
        <f>IF(ISBLANK('Data Entry'!$Ĩ$468), "", 'Data Entry'!$Ĩ$468)</f>
      </c>
      <c r="HY468">
        <f>IF(ISBLANK('Data Entry'!$ĩ$468), "", 'Data Entry'!$ĩ$468)</f>
      </c>
      <c r="HZ468">
        <f>IF(ISBLANK('Data Entry'!$Ī$468), "", 'Data Entry'!$Ī$468)</f>
      </c>
      <c r="IA468">
        <f>IF(ISBLANK('Data Entry'!$ī$468), "", 'Data Entry'!$ī$468)</f>
      </c>
      <c r="IB468">
        <f>IF(ISBLANK('Data Entry'!$Ĭ$468), "", 'Data Entry'!$Ĭ$468)</f>
      </c>
      <c r="IC468">
        <f>IF(ISBLANK('Data Entry'!$ĭ$468), "", 'Data Entry'!$ĭ$468)</f>
      </c>
      <c r="ID468">
        <f>IF(ISBLANK('Data Entry'!$Į$468), "", 'Data Entry'!$Į$468)</f>
      </c>
      <c r="IE468">
        <f>IF(ISBLANK('Data Entry'!$į$468), "", 'Data Entry'!$į$468)</f>
      </c>
      <c r="IF468">
        <f>IF(ISBLANK('Data Entry'!$İ$468), "", 'Data Entry'!$İ$468)</f>
      </c>
      <c r="IG468">
        <f>IF(ISBLANK('Data Entry'!$ı$468), "", 'Data Entry'!$ı$468)</f>
      </c>
      <c r="IH468">
        <f>IF(ISBLANK('Data Entry'!$Ĳ$468), "", 'Data Entry'!$Ĳ$468)</f>
      </c>
      <c r="II468">
        <f>IF(ISBLANK('Data Entry'!$ĳ$468), "", 'Data Entry'!$ĳ$468)</f>
      </c>
      <c r="IJ468">
        <f>IF(ISBLANK('Data Entry'!$Ĵ$468), "", 'Data Entry'!$Ĵ$468)</f>
      </c>
      <c r="IK468">
        <f>IF(ISBLANK('Data Entry'!$ĵ$468), "", 'Data Entry'!$ĵ$468)</f>
      </c>
      <c r="IL468">
        <f>IF(ISBLANK('Data Entry'!$Ķ$468), "", 'Data Entry'!$Ķ$468)</f>
      </c>
      <c r="IM468">
        <f>IF(ISBLANK('Data Entry'!$ķ$468), "", 'Data Entry'!$ķ$468)</f>
      </c>
      <c r="IN468">
        <f>IF(ISBLANK('Data Entry'!$ĸ$468), "", 'Data Entry'!$ĸ$468)</f>
      </c>
      <c r="IO468">
        <f>IF(ISBLANK('Data Entry'!$Ĺ$468), "", 'Data Entry'!$Ĺ$468)</f>
      </c>
      <c r="IP468">
        <f>IF(ISBLANK('Data Entry'!$ĺ$468), "", 'Data Entry'!$ĺ$468)</f>
      </c>
      <c r="IQ468">
        <f>IF(ISBLANK('Data Entry'!$Ļ$468), "", 'Data Entry'!$Ļ$468)</f>
      </c>
      <c r="IR468">
        <f>IF(ISBLANK('Data Entry'!$ļ$468), "", 'Data Entry'!$ļ$468)</f>
      </c>
      <c r="IS468">
        <f>IF(ISBLANK('Data Entry'!$Ľ$468), "", 'Data Entry'!$Ľ$468)</f>
      </c>
      <c r="IT468">
        <f>IF(ISBLANK('Data Entry'!$ľ$468), "", 'Data Entry'!$ľ$468)</f>
      </c>
    </row>
    <row r="469" spans="1:254" x14ac:dyDescent="0.25">
      <c r="A469">
        <f>IF(ISBLANK('Data Entry'!$A$469), "", 'Data Entry'!$A$469)</f>
      </c>
      <c r="B469">
        <f>IF(ISBLANK('Data Entry'!$B$469), "", 'Data Entry'!$B$469)</f>
      </c>
      <c r="C469">
        <f>IF(ISBLANK('Data Entry'!$C$469), "", 'Data Entry'!$C$469)</f>
      </c>
      <c r="D469">
        <f>IF(ISBLANK('Data Entry'!$D$469), "", 'Data Entry'!$D$469)</f>
      </c>
      <c r="E469">
        <f>IF(ISBLANK('Data Entry'!$E$469), "", 'Data Entry'!$E$469)</f>
      </c>
      <c r="F469">
        <f>IF(ISBLANK('Data Entry'!$F$469), "", 'Data Entry'!$F$469)</f>
      </c>
      <c r="G469">
        <f>IF(ISBLANK('Data Entry'!$G$469), "", 'Data Entry'!$G$469)</f>
      </c>
      <c r="H469">
        <f>IF(ISBLANK('Data Entry'!$H$469), "", 'Data Entry'!$H$469)</f>
      </c>
      <c r="I469">
        <f>IF(ISBLANK('Data Entry'!$I$469), "", 'Data Entry'!$I$469)</f>
      </c>
      <c r="J469">
        <f>IF(ISBLANK('Data Entry'!$J$469), "", 'Data Entry'!$J$469)</f>
      </c>
      <c r="K469">
        <f>IF(ISBLANK('Data Entry'!$K$469), "", 'Data Entry'!$K$469)</f>
      </c>
      <c r="L469">
        <f>IF(ISBLANK('Data Entry'!$L$469), "", 'Data Entry'!$L$469)</f>
      </c>
      <c r="M469">
        <f>IF(ISBLANK('Data Entry'!$M$469), "", 'Data Entry'!$M$469)</f>
      </c>
      <c r="N469">
        <f>IF(ISBLANK('Data Entry'!$N$469), "", 'Data Entry'!$N$469)</f>
      </c>
      <c r="O469">
        <f>IF(ISBLANK('Data Entry'!$O$469), "", 'Data Entry'!$O$469)</f>
      </c>
      <c r="P469">
        <f>IF(ISBLANK('Data Entry'!$P$469), "", 'Data Entry'!$P$469)</f>
      </c>
      <c r="Q469">
        <f>IF(ISBLANK('Data Entry'!$Q$469), "", 'Data Entry'!$Q$469)</f>
      </c>
      <c r="R469">
        <f>IF(ISBLANK('Data Entry'!$R$469), "", 'Data Entry'!$R$469)</f>
      </c>
      <c r="S469">
        <f>IF(ISBLANK('Data Entry'!$S$469), "", 'Data Entry'!$S$469)</f>
      </c>
      <c r="T469">
        <f>IF(ISBLANK('Data Entry'!$T$469), "", 'Data Entry'!$T$469)</f>
      </c>
      <c r="U469">
        <f>IF(ISBLANK('Data Entry'!$U$469), "", 'Data Entry'!$U$469)</f>
      </c>
      <c r="V469">
        <f>IF(ISBLANK('Data Entry'!$V$469), "", 'Data Entry'!$V$469)</f>
      </c>
      <c r="W469">
        <f>IF(ISBLANK('Data Entry'!$W$469), "", 'Data Entry'!$W$469)</f>
      </c>
      <c r="X469">
        <f>IF(ISBLANK('Data Entry'!$X$469), "", 'Data Entry'!$X$469)</f>
      </c>
      <c r="Y469">
        <f>IF(ISBLANK('Data Entry'!$Y$469), "", 'Data Entry'!$Y$469)</f>
      </c>
      <c r="Z469">
        <f>IF(ISBLANK('Data Entry'!$Z$469), "", 'Data Entry'!$Z$469)</f>
      </c>
      <c r="AA469">
        <f>IF(ISBLANK('Data Entry'!$[$469), "", 'Data Entry'!$[$469)</f>
      </c>
      <c r="AB469">
        <f>IF(ISBLANK('Data Entry'!$\$469), "", 'Data Entry'!$\$469)</f>
      </c>
      <c r="AC469">
        <f>IF(ISBLANK('Data Entry'!$]$469), "", 'Data Entry'!$]$469)</f>
      </c>
      <c r="AD469">
        <f>IF(ISBLANK('Data Entry'!$^$469), "", 'Data Entry'!$^$469)</f>
      </c>
      <c r="AE469">
        <f>IF(ISBLANK('Data Entry'!$_$469), "", 'Data Entry'!$_$469)</f>
      </c>
      <c r="AF469">
        <f>IF(ISBLANK('Data Entry'!$`$469), "", 'Data Entry'!$`$469)</f>
      </c>
      <c r="AG469">
        <f>IF(ISBLANK('Data Entry'!$a$469), "", 'Data Entry'!$a$469)</f>
      </c>
      <c r="AH469">
        <f>IF(ISBLANK('Data Entry'!$b$469), "", 'Data Entry'!$b$469)</f>
      </c>
      <c r="AI469">
        <f>IF(ISBLANK('Data Entry'!$c$469), "", 'Data Entry'!$c$469)</f>
      </c>
      <c r="AJ469">
        <f>IF(ISBLANK('Data Entry'!$d$469), "", 'Data Entry'!$d$469)</f>
      </c>
      <c r="AK469">
        <f>IF(ISBLANK('Data Entry'!$e$469), "", 'Data Entry'!$e$469)</f>
      </c>
      <c r="AL469">
        <f>IF(ISBLANK('Data Entry'!$f$469), "", 'Data Entry'!$f$469)</f>
      </c>
      <c r="AM469">
        <f>IF(ISBLANK('Data Entry'!$g$469), "", 'Data Entry'!$g$469)</f>
      </c>
      <c r="AN469">
        <f>IF(ISBLANK('Data Entry'!$h$469), "", 'Data Entry'!$h$469)</f>
      </c>
      <c r="AO469">
        <f>IF(ISBLANK('Data Entry'!$i$469), "", 'Data Entry'!$i$469)</f>
      </c>
      <c r="AP469">
        <f>IF(ISBLANK('Data Entry'!$j$469), "", 'Data Entry'!$j$469)</f>
      </c>
      <c r="AQ469">
        <f>IF(ISBLANK('Data Entry'!$k$469), "", 'Data Entry'!$k$469)</f>
      </c>
      <c r="AR469">
        <f>IF(ISBLANK('Data Entry'!$l$469), "", 'Data Entry'!$l$469)</f>
      </c>
      <c r="AS469">
        <f>IF(ISBLANK('Data Entry'!$m$469), "", 'Data Entry'!$m$469)</f>
      </c>
      <c r="AT469">
        <f>IF(ISBLANK('Data Entry'!$n$469), "", 'Data Entry'!$n$469)</f>
      </c>
      <c r="AU469">
        <f>IF(ISBLANK('Data Entry'!$o$469), "", 'Data Entry'!$o$469)</f>
      </c>
      <c r="AV469">
        <f>IF(ISBLANK('Data Entry'!$p$469), "", 'Data Entry'!$p$469)</f>
      </c>
      <c r="AW469">
        <f>IF(ISBLANK('Data Entry'!$q$469), "", 'Data Entry'!$q$469)</f>
      </c>
      <c r="AX469">
        <f>IF(ISBLANK('Data Entry'!$r$469), "", 'Data Entry'!$r$469)</f>
      </c>
      <c r="AY469">
        <f>IF(ISBLANK('Data Entry'!$s$469), "", 'Data Entry'!$s$469)</f>
      </c>
      <c r="AZ469">
        <f>IF(ISBLANK('Data Entry'!$t$469), "", 'Data Entry'!$t$469)</f>
      </c>
      <c r="BA469">
        <f>IF(ISBLANK('Data Entry'!$u$469), "", 'Data Entry'!$u$469)</f>
      </c>
      <c r="BB469">
        <f>IF(ISBLANK('Data Entry'!$v$469), "", 'Data Entry'!$v$469)</f>
      </c>
      <c r="BC469">
        <f>IF(ISBLANK('Data Entry'!$w$469), "", 'Data Entry'!$w$469)</f>
      </c>
      <c r="BD469">
        <f>IF(ISBLANK('Data Entry'!$x$469), "", 'Data Entry'!$x$469)</f>
      </c>
      <c r="BE469">
        <f>IF(ISBLANK('Data Entry'!$y$469), "", 'Data Entry'!$y$469)</f>
      </c>
      <c r="BF469">
        <f>IF(ISBLANK('Data Entry'!$z$469), "", 'Data Entry'!$z$469)</f>
      </c>
      <c r="BG469">
        <f>IF(ISBLANK('Data Entry'!${$469), "", 'Data Entry'!${$469)</f>
      </c>
      <c r="BH469">
        <f>IF(ISBLANK('Data Entry'!$|$469), "", 'Data Entry'!$|$469)</f>
      </c>
      <c r="BI469">
        <f>IF(ISBLANK('Data Entry'!$}$469), "", 'Data Entry'!$}$469)</f>
      </c>
      <c r="BJ469">
        <f>IF(ISBLANK('Data Entry'!$~$469), "", 'Data Entry'!$~$469)</f>
      </c>
      <c r="BK469">
        <f>IF(ISBLANK('Data Entry'!$$469), "", 'Data Entry'!$$469)</f>
      </c>
      <c r="BL469">
        <f>IF(ISBLANK('Data Entry'!$$469), "", 'Data Entry'!$$469)</f>
      </c>
      <c r="BM469">
        <f>IF(ISBLANK('Data Entry'!$$469), "", 'Data Entry'!$$469)</f>
      </c>
      <c r="BN469">
        <f>IF(ISBLANK('Data Entry'!$$469), "", 'Data Entry'!$$469)</f>
      </c>
      <c r="BO469">
        <f>IF(ISBLANK('Data Entry'!$$469), "", 'Data Entry'!$$469)</f>
      </c>
      <c r="BP469">
        <f>IF(ISBLANK('Data Entry'!$$469), "", 'Data Entry'!$$469)</f>
      </c>
      <c r="BQ469">
        <f>IF(ISBLANK('Data Entry'!$$469), "", 'Data Entry'!$$469)</f>
      </c>
      <c r="BR469">
        <f>IF(ISBLANK('Data Entry'!$$469), "", 'Data Entry'!$$469)</f>
      </c>
      <c r="BS469">
        <f>IF(ISBLANK('Data Entry'!$$469), "", 'Data Entry'!$$469)</f>
      </c>
      <c r="BT469">
        <f>IF(ISBLANK('Data Entry'!$$469), "", 'Data Entry'!$$469)</f>
      </c>
      <c r="BU469">
        <f>IF(ISBLANK('Data Entry'!$$469), "", 'Data Entry'!$$469)</f>
      </c>
      <c r="BV469">
        <f>IF(ISBLANK('Data Entry'!$$469), "", 'Data Entry'!$$469)</f>
      </c>
      <c r="BW469">
        <f>IF(ISBLANK('Data Entry'!$$469), "", 'Data Entry'!$$469)</f>
      </c>
      <c r="BX469">
        <f>IF(ISBLANK('Data Entry'!$$469), "", 'Data Entry'!$$469)</f>
      </c>
      <c r="BY469">
        <f>IF(ISBLANK('Data Entry'!$$469), "", 'Data Entry'!$$469)</f>
      </c>
      <c r="BZ469">
        <f>IF(ISBLANK('Data Entry'!$$469), "", 'Data Entry'!$$469)</f>
      </c>
      <c r="CA469">
        <f>IF(ISBLANK('Data Entry'!$$469), "", 'Data Entry'!$$469)</f>
      </c>
      <c r="CB469">
        <f>IF(ISBLANK('Data Entry'!$$469), "", 'Data Entry'!$$469)</f>
      </c>
      <c r="CC469">
        <f>IF(ISBLANK('Data Entry'!$$469), "", 'Data Entry'!$$469)</f>
      </c>
      <c r="CD469">
        <f>IF(ISBLANK('Data Entry'!$$469), "", 'Data Entry'!$$469)</f>
      </c>
      <c r="CE469">
        <f>IF(ISBLANK('Data Entry'!$$469), "", 'Data Entry'!$$469)</f>
      </c>
      <c r="CF469">
        <f>IF(ISBLANK('Data Entry'!$$469), "", 'Data Entry'!$$469)</f>
      </c>
      <c r="CG469">
        <f>IF(ISBLANK('Data Entry'!$$469), "", 'Data Entry'!$$469)</f>
      </c>
      <c r="CH469">
        <f>IF(ISBLANK('Data Entry'!$$469), "", 'Data Entry'!$$469)</f>
      </c>
      <c r="CI469">
        <f>IF(ISBLANK('Data Entry'!$$469), "", 'Data Entry'!$$469)</f>
      </c>
      <c r="CJ469">
        <f>IF(ISBLANK('Data Entry'!$$469), "", 'Data Entry'!$$469)</f>
      </c>
      <c r="CK469">
        <f>IF(ISBLANK('Data Entry'!$$469), "", 'Data Entry'!$$469)</f>
      </c>
      <c r="CL469">
        <f>IF(ISBLANK('Data Entry'!$$469), "", 'Data Entry'!$$469)</f>
      </c>
      <c r="CM469">
        <f>IF(ISBLANK('Data Entry'!$$469), "", 'Data Entry'!$$469)</f>
      </c>
      <c r="CN469">
        <f>IF(ISBLANK('Data Entry'!$$469), "", 'Data Entry'!$$469)</f>
      </c>
      <c r="CO469">
        <f>IF(ISBLANK('Data Entry'!$$469), "", 'Data Entry'!$$469)</f>
      </c>
      <c r="CP469">
        <f>IF(ISBLANK('Data Entry'!$$469), "", 'Data Entry'!$$469)</f>
      </c>
      <c r="CQ469">
        <f>IF(ISBLANK('Data Entry'!$$469), "", 'Data Entry'!$$469)</f>
      </c>
      <c r="CR469">
        <f>IF(ISBLANK('Data Entry'!$ $469), "", 'Data Entry'!$ $469)</f>
      </c>
      <c r="CS469">
        <f>IF(ISBLANK('Data Entry'!$¡$469), "", 'Data Entry'!$¡$469)</f>
      </c>
      <c r="CT469">
        <f>IF(ISBLANK('Data Entry'!$¢$469), "", 'Data Entry'!$¢$469)</f>
      </c>
      <c r="CU469">
        <f>IF(ISBLANK('Data Entry'!$£$469), "", 'Data Entry'!$£$469)</f>
      </c>
      <c r="CV469">
        <f>IF(ISBLANK('Data Entry'!$¤$469), "", 'Data Entry'!$¤$469)</f>
      </c>
      <c r="CW469">
        <f>IF(ISBLANK('Data Entry'!$¥$469), "", 'Data Entry'!$¥$469)</f>
      </c>
      <c r="CX469">
        <f>IF(ISBLANK('Data Entry'!$¦$469), "", 'Data Entry'!$¦$469)</f>
      </c>
      <c r="CY469">
        <f>IF(ISBLANK('Data Entry'!$§$469), "", 'Data Entry'!$§$469)</f>
      </c>
      <c r="CZ469">
        <f>IF(ISBLANK('Data Entry'!$¨$469), "", 'Data Entry'!$¨$469)</f>
      </c>
      <c r="DA469">
        <f>IF(ISBLANK('Data Entry'!$©$469), "", 'Data Entry'!$©$469)</f>
      </c>
      <c r="DB469">
        <f>IF(ISBLANK('Data Entry'!$ª$469), "", 'Data Entry'!$ª$469)</f>
      </c>
      <c r="DC469">
        <f>IF(ISBLANK('Data Entry'!$«$469), "", 'Data Entry'!$«$469)</f>
      </c>
      <c r="DD469">
        <f>IF(ISBLANK('Data Entry'!$¬$469), "", 'Data Entry'!$¬$469)</f>
      </c>
      <c r="DE469">
        <f>IF(ISBLANK('Data Entry'!$­$469), "", 'Data Entry'!$­$469)</f>
      </c>
      <c r="DF469">
        <f>IF(ISBLANK('Data Entry'!$®$469), "", 'Data Entry'!$®$469)</f>
      </c>
      <c r="DG469">
        <f>IF(ISBLANK('Data Entry'!$¯$469), "", 'Data Entry'!$¯$469)</f>
      </c>
      <c r="DH469">
        <f>IF(ISBLANK('Data Entry'!$°$469), "", 'Data Entry'!$°$469)</f>
      </c>
      <c r="DI469">
        <f>IF(ISBLANK('Data Entry'!$±$469), "", 'Data Entry'!$±$469)</f>
      </c>
      <c r="DJ469">
        <f>IF(ISBLANK('Data Entry'!$²$469), "", 'Data Entry'!$²$469)</f>
      </c>
      <c r="DK469">
        <f>IF(ISBLANK('Data Entry'!$³$469), "", 'Data Entry'!$³$469)</f>
      </c>
      <c r="DL469">
        <f>IF(ISBLANK('Data Entry'!$´$469), "", 'Data Entry'!$´$469)</f>
      </c>
      <c r="DM469">
        <f>IF(ISBLANK('Data Entry'!$µ$469), "", 'Data Entry'!$µ$469)</f>
      </c>
      <c r="DN469">
        <f>IF(ISBLANK('Data Entry'!$¶$469), "", 'Data Entry'!$¶$469)</f>
      </c>
      <c r="DO469">
        <f>IF(ISBLANK('Data Entry'!$·$469), "", 'Data Entry'!$·$469)</f>
      </c>
      <c r="DP469">
        <f>IF(ISBLANK('Data Entry'!$¸$469), "", 'Data Entry'!$¸$469)</f>
      </c>
      <c r="DQ469">
        <f>IF(ISBLANK('Data Entry'!$¹$469), "", 'Data Entry'!$¹$469)</f>
      </c>
      <c r="DR469">
        <f>IF(ISBLANK('Data Entry'!$º$469), "", 'Data Entry'!$º$469)</f>
      </c>
      <c r="DS469">
        <f>IF(ISBLANK('Data Entry'!$»$469), "", 'Data Entry'!$»$469)</f>
      </c>
      <c r="DT469">
        <f>IF(ISBLANK('Data Entry'!$¼$469), "", 'Data Entry'!$¼$469)</f>
      </c>
      <c r="DU469">
        <f>IF(ISBLANK('Data Entry'!$½$469), "", 'Data Entry'!$½$469)</f>
      </c>
      <c r="DV469">
        <f>IF(ISBLANK('Data Entry'!$¾$469), "", 'Data Entry'!$¾$469)</f>
      </c>
      <c r="DW469">
        <f>IF(ISBLANK('Data Entry'!$¿$469), "", 'Data Entry'!$¿$469)</f>
      </c>
      <c r="DX469">
        <f>IF(ISBLANK('Data Entry'!$À$469), "", 'Data Entry'!$À$469)</f>
      </c>
      <c r="DY469">
        <f>IF(ISBLANK('Data Entry'!$Á$469), "", 'Data Entry'!$Á$469)</f>
      </c>
      <c r="DZ469">
        <f>IF(ISBLANK('Data Entry'!$Â$469), "", 'Data Entry'!$Â$469)</f>
      </c>
      <c r="EA469">
        <f>IF(ISBLANK('Data Entry'!$Ã$469), "", 'Data Entry'!$Ã$469)</f>
      </c>
      <c r="EB469">
        <f>IF(ISBLANK('Data Entry'!$Ä$469), "", 'Data Entry'!$Ä$469)</f>
      </c>
      <c r="EC469">
        <f>IF(ISBLANK('Data Entry'!$Å$469), "", 'Data Entry'!$Å$469)</f>
      </c>
      <c r="ED469">
        <f>IF(ISBLANK('Data Entry'!$Æ$469), "", 'Data Entry'!$Æ$469)</f>
      </c>
      <c r="EE469">
        <f>IF(ISBLANK('Data Entry'!$Ç$469), "", 'Data Entry'!$Ç$469)</f>
      </c>
      <c r="EF469">
        <f>IF(ISBLANK('Data Entry'!$È$469), "", 'Data Entry'!$È$469)</f>
      </c>
      <c r="EG469">
        <f>IF(ISBLANK('Data Entry'!$É$469), "", 'Data Entry'!$É$469)</f>
      </c>
      <c r="EH469">
        <f>IF(ISBLANK('Data Entry'!$Ê$469), "", 'Data Entry'!$Ê$469)</f>
      </c>
      <c r="EI469">
        <f>IF(ISBLANK('Data Entry'!$Ë$469), "", 'Data Entry'!$Ë$469)</f>
      </c>
      <c r="EJ469">
        <f>IF(ISBLANK('Data Entry'!$Ì$469), "", 'Data Entry'!$Ì$469)</f>
      </c>
      <c r="EK469">
        <f>IF(ISBLANK('Data Entry'!$Í$469), "", 'Data Entry'!$Í$469)</f>
      </c>
      <c r="EL469">
        <f>IF(ISBLANK('Data Entry'!$Î$469), "", 'Data Entry'!$Î$469)</f>
      </c>
      <c r="EM469">
        <f>IF(ISBLANK('Data Entry'!$Ï$469), "", 'Data Entry'!$Ï$469)</f>
      </c>
      <c r="EN469">
        <f>IF(ISBLANK('Data Entry'!$Ð$469), "", 'Data Entry'!$Ð$469)</f>
      </c>
      <c r="EO469">
        <f>IF(ISBLANK('Data Entry'!$Ñ$469), "", 'Data Entry'!$Ñ$469)</f>
      </c>
      <c r="EP469">
        <f>IF(ISBLANK('Data Entry'!$Ò$469), "", 'Data Entry'!$Ò$469)</f>
      </c>
      <c r="EQ469">
        <f>IF(ISBLANK('Data Entry'!$Ó$469), "", 'Data Entry'!$Ó$469)</f>
      </c>
      <c r="ER469">
        <f>IF(ISBLANK('Data Entry'!$Ô$469), "", 'Data Entry'!$Ô$469)</f>
      </c>
      <c r="ES469">
        <f>IF(ISBLANK('Data Entry'!$Õ$469), "", 'Data Entry'!$Õ$469)</f>
      </c>
      <c r="ET469">
        <f>IF(ISBLANK('Data Entry'!$Ö$469), "", 'Data Entry'!$Ö$469)</f>
      </c>
      <c r="EU469">
        <f>IF(ISBLANK('Data Entry'!$×$469), "", 'Data Entry'!$×$469)</f>
      </c>
      <c r="EV469">
        <f>IF(ISBLANK('Data Entry'!$Ø$469), "", 'Data Entry'!$Ø$469)</f>
      </c>
      <c r="EW469">
        <f>IF(ISBLANK('Data Entry'!$Ù$469), "", 'Data Entry'!$Ù$469)</f>
      </c>
      <c r="EX469">
        <f>IF(ISBLANK('Data Entry'!$Ú$469), "", 'Data Entry'!$Ú$469)</f>
      </c>
      <c r="EY469">
        <f>IF(ISBLANK('Data Entry'!$Û$469), "", 'Data Entry'!$Û$469)</f>
      </c>
      <c r="EZ469">
        <f>IF(ISBLANK('Data Entry'!$Ü$469), "", 'Data Entry'!$Ü$469)</f>
      </c>
      <c r="FA469">
        <f>IF(ISBLANK('Data Entry'!$Ý$469), "", 'Data Entry'!$Ý$469)</f>
      </c>
      <c r="FB469">
        <f>IF(ISBLANK('Data Entry'!$Þ$469), "", 'Data Entry'!$Þ$469)</f>
      </c>
      <c r="FC469">
        <f>IF(ISBLANK('Data Entry'!$ß$469), "", 'Data Entry'!$ß$469)</f>
      </c>
      <c r="FD469">
        <f>IF(ISBLANK('Data Entry'!$à$469), "", 'Data Entry'!$à$469)</f>
      </c>
      <c r="FE469">
        <f>IF(ISBLANK('Data Entry'!$á$469), "", 'Data Entry'!$á$469)</f>
      </c>
      <c r="FF469">
        <f>IF(ISBLANK('Data Entry'!$â$469), "", 'Data Entry'!$â$469)</f>
      </c>
      <c r="FG469">
        <f>IF(ISBLANK('Data Entry'!$ã$469), "", 'Data Entry'!$ã$469)</f>
      </c>
      <c r="FH469">
        <f>IF(ISBLANK('Data Entry'!$ä$469), "", 'Data Entry'!$ä$469)</f>
      </c>
      <c r="FI469">
        <f>IF(ISBLANK('Data Entry'!$å$469), "", 'Data Entry'!$å$469)</f>
      </c>
      <c r="FJ469">
        <f>IF(ISBLANK('Data Entry'!$æ$469), "", 'Data Entry'!$æ$469)</f>
      </c>
      <c r="FK469">
        <f>IF(ISBLANK('Data Entry'!$ç$469), "", 'Data Entry'!$ç$469)</f>
      </c>
      <c r="FL469">
        <f>IF(ISBLANK('Data Entry'!$è$469), "", 'Data Entry'!$è$469)</f>
      </c>
      <c r="FM469">
        <f>IF(ISBLANK('Data Entry'!$é$469), "", 'Data Entry'!$é$469)</f>
      </c>
      <c r="FN469">
        <f>IF(ISBLANK('Data Entry'!$ê$469), "", 'Data Entry'!$ê$469)</f>
      </c>
      <c r="FO469">
        <f>IF(ISBLANK('Data Entry'!$ë$469), "", 'Data Entry'!$ë$469)</f>
      </c>
      <c r="FP469">
        <f>IF(ISBLANK('Data Entry'!$ì$469), "", 'Data Entry'!$ì$469)</f>
      </c>
      <c r="FQ469">
        <f>IF(ISBLANK('Data Entry'!$í$469), "", 'Data Entry'!$í$469)</f>
      </c>
      <c r="FR469">
        <f>IF(ISBLANK('Data Entry'!$î$469), "", 'Data Entry'!$î$469)</f>
      </c>
      <c r="FS469">
        <f>IF(ISBLANK('Data Entry'!$ï$469), "", 'Data Entry'!$ï$469)</f>
      </c>
      <c r="FT469">
        <f>IF(ISBLANK('Data Entry'!$ð$469), "", 'Data Entry'!$ð$469)</f>
      </c>
      <c r="FU469">
        <f>IF(ISBLANK('Data Entry'!$ñ$469), "", 'Data Entry'!$ñ$469)</f>
      </c>
      <c r="FV469">
        <f>IF(ISBLANK('Data Entry'!$ò$469), "", 'Data Entry'!$ò$469)</f>
      </c>
      <c r="FW469">
        <f>IF(ISBLANK('Data Entry'!$ó$469), "", 'Data Entry'!$ó$469)</f>
      </c>
      <c r="FX469">
        <f>IF(ISBLANK('Data Entry'!$ô$469), "", 'Data Entry'!$ô$469)</f>
      </c>
      <c r="FY469">
        <f>IF(ISBLANK('Data Entry'!$õ$469), "", 'Data Entry'!$õ$469)</f>
      </c>
      <c r="FZ469">
        <f>IF(ISBLANK('Data Entry'!$ö$469), "", 'Data Entry'!$ö$469)</f>
      </c>
      <c r="GA469">
        <f>IF(ISBLANK('Data Entry'!$÷$469), "", 'Data Entry'!$÷$469)</f>
      </c>
      <c r="GB469">
        <f>IF(ISBLANK('Data Entry'!$ø$469), "", 'Data Entry'!$ø$469)</f>
      </c>
      <c r="GC469">
        <f>IF(ISBLANK('Data Entry'!$ù$469), "", 'Data Entry'!$ù$469)</f>
      </c>
      <c r="GD469">
        <f>IF(ISBLANK('Data Entry'!$ú$469), "", 'Data Entry'!$ú$469)</f>
      </c>
      <c r="GE469">
        <f>IF(ISBLANK('Data Entry'!$û$469), "", 'Data Entry'!$û$469)</f>
      </c>
      <c r="GF469">
        <f>IF(ISBLANK('Data Entry'!$ü$469), "", 'Data Entry'!$ü$469)</f>
      </c>
      <c r="GG469">
        <f>IF(ISBLANK('Data Entry'!$ý$469), "", 'Data Entry'!$ý$469)</f>
      </c>
      <c r="GH469">
        <f>IF(ISBLANK('Data Entry'!$þ$469), "", 'Data Entry'!$þ$469)</f>
      </c>
      <c r="GI469">
        <f>IF(ISBLANK('Data Entry'!$ÿ$469), "", 'Data Entry'!$ÿ$469)</f>
      </c>
      <c r="GJ469">
        <f>IF(ISBLANK('Data Entry'!$Ā$469), "", 'Data Entry'!$Ā$469)</f>
      </c>
      <c r="GK469">
        <f>IF(ISBLANK('Data Entry'!$ā$469), "", 'Data Entry'!$ā$469)</f>
      </c>
      <c r="GL469">
        <f>IF(ISBLANK('Data Entry'!$Ă$469), "", 'Data Entry'!$Ă$469)</f>
      </c>
      <c r="GM469">
        <f>IF(ISBLANK('Data Entry'!$ă$469), "", 'Data Entry'!$ă$469)</f>
      </c>
      <c r="GN469">
        <f>IF(ISBLANK('Data Entry'!$Ą$469), "", 'Data Entry'!$Ą$469)</f>
      </c>
      <c r="GO469">
        <f>IF(ISBLANK('Data Entry'!$ą$469), "", 'Data Entry'!$ą$469)</f>
      </c>
      <c r="GP469">
        <f>IF(ISBLANK('Data Entry'!$Ć$469), "", 'Data Entry'!$Ć$469)</f>
      </c>
      <c r="GQ469">
        <f>IF(ISBLANK('Data Entry'!$ć$469), "", 'Data Entry'!$ć$469)</f>
      </c>
      <c r="GR469">
        <f>IF(ISBLANK('Data Entry'!$Ĉ$469), "", 'Data Entry'!$Ĉ$469)</f>
      </c>
      <c r="GS469">
        <f>IF(ISBLANK('Data Entry'!$ĉ$469), "", 'Data Entry'!$ĉ$469)</f>
      </c>
      <c r="GT469">
        <f>IF(ISBLANK('Data Entry'!$Ċ$469), "", 'Data Entry'!$Ċ$469)</f>
      </c>
      <c r="GU469">
        <f>IF(ISBLANK('Data Entry'!$ċ$469), "", 'Data Entry'!$ċ$469)</f>
      </c>
      <c r="GV469">
        <f>IF(ISBLANK('Data Entry'!$Č$469), "", 'Data Entry'!$Č$469)</f>
      </c>
      <c r="GW469">
        <f>IF(ISBLANK('Data Entry'!$č$469), "", 'Data Entry'!$č$469)</f>
      </c>
      <c r="GX469">
        <f>IF(ISBLANK('Data Entry'!$Ď$469), "", 'Data Entry'!$Ď$469)</f>
      </c>
      <c r="GY469">
        <f>IF(ISBLANK('Data Entry'!$ď$469), "", 'Data Entry'!$ď$469)</f>
      </c>
      <c r="GZ469">
        <f>IF(ISBLANK('Data Entry'!$Đ$469), "", 'Data Entry'!$Đ$469)</f>
      </c>
      <c r="HA469">
        <f>IF(ISBLANK('Data Entry'!$đ$469), "", 'Data Entry'!$đ$469)</f>
      </c>
      <c r="HB469">
        <f>IF(ISBLANK('Data Entry'!$Ē$469), "", 'Data Entry'!$Ē$469)</f>
      </c>
      <c r="HC469">
        <f>IF(ISBLANK('Data Entry'!$ē$469), "", 'Data Entry'!$ē$469)</f>
      </c>
      <c r="HD469">
        <f>IF(ISBLANK('Data Entry'!$Ĕ$469), "", 'Data Entry'!$Ĕ$469)</f>
      </c>
      <c r="HE469">
        <f>IF(ISBLANK('Data Entry'!$ĕ$469), "", 'Data Entry'!$ĕ$469)</f>
      </c>
      <c r="HF469">
        <f>IF(ISBLANK('Data Entry'!$Ė$469), "", 'Data Entry'!$Ė$469)</f>
      </c>
      <c r="HG469">
        <f>IF(ISBLANK('Data Entry'!$ė$469), "", 'Data Entry'!$ė$469)</f>
      </c>
      <c r="HH469">
        <f>IF(ISBLANK('Data Entry'!$Ę$469), "", 'Data Entry'!$Ę$469)</f>
      </c>
      <c r="HI469">
        <f>IF(ISBLANK('Data Entry'!$ę$469), "", 'Data Entry'!$ę$469)</f>
      </c>
      <c r="HJ469">
        <f>IF(ISBLANK('Data Entry'!$Ě$469), "", 'Data Entry'!$Ě$469)</f>
      </c>
      <c r="HK469">
        <f>IF(ISBLANK('Data Entry'!$ě$469), "", 'Data Entry'!$ě$469)</f>
      </c>
      <c r="HL469">
        <f>IF(ISBLANK('Data Entry'!$Ĝ$469), "", 'Data Entry'!$Ĝ$469)</f>
      </c>
      <c r="HM469">
        <f>IF(ISBLANK('Data Entry'!$ĝ$469), "", 'Data Entry'!$ĝ$469)</f>
      </c>
      <c r="HN469">
        <f>IF(ISBLANK('Data Entry'!$Ğ$469), "", 'Data Entry'!$Ğ$469)</f>
      </c>
      <c r="HO469">
        <f>IF(ISBLANK('Data Entry'!$ğ$469), "", 'Data Entry'!$ğ$469)</f>
      </c>
      <c r="HP469">
        <f>IF(ISBLANK('Data Entry'!$Ġ$469), "", 'Data Entry'!$Ġ$469)</f>
      </c>
      <c r="HQ469">
        <f>IF(ISBLANK('Data Entry'!$ġ$469), "", 'Data Entry'!$ġ$469)</f>
      </c>
      <c r="HR469">
        <f>IF(ISBLANK('Data Entry'!$Ģ$469), "", 'Data Entry'!$Ģ$469)</f>
      </c>
      <c r="HS469">
        <f>IF(ISBLANK('Data Entry'!$ģ$469), "", 'Data Entry'!$ģ$469)</f>
      </c>
      <c r="HT469">
        <f>IF(ISBLANK('Data Entry'!$Ĥ$469), "", 'Data Entry'!$Ĥ$469)</f>
      </c>
      <c r="HU469">
        <f>IF(ISBLANK('Data Entry'!$ĥ$469), "", 'Data Entry'!$ĥ$469)</f>
      </c>
      <c r="HV469">
        <f>IF(ISBLANK('Data Entry'!$Ħ$469), "", 'Data Entry'!$Ħ$469)</f>
      </c>
      <c r="HW469">
        <f>IF(ISBLANK('Data Entry'!$ħ$469), "", 'Data Entry'!$ħ$469)</f>
      </c>
      <c r="HX469">
        <f>IF(ISBLANK('Data Entry'!$Ĩ$469), "", 'Data Entry'!$Ĩ$469)</f>
      </c>
      <c r="HY469">
        <f>IF(ISBLANK('Data Entry'!$ĩ$469), "", 'Data Entry'!$ĩ$469)</f>
      </c>
      <c r="HZ469">
        <f>IF(ISBLANK('Data Entry'!$Ī$469), "", 'Data Entry'!$Ī$469)</f>
      </c>
      <c r="IA469">
        <f>IF(ISBLANK('Data Entry'!$ī$469), "", 'Data Entry'!$ī$469)</f>
      </c>
      <c r="IB469">
        <f>IF(ISBLANK('Data Entry'!$Ĭ$469), "", 'Data Entry'!$Ĭ$469)</f>
      </c>
      <c r="IC469">
        <f>IF(ISBLANK('Data Entry'!$ĭ$469), "", 'Data Entry'!$ĭ$469)</f>
      </c>
      <c r="ID469">
        <f>IF(ISBLANK('Data Entry'!$Į$469), "", 'Data Entry'!$Į$469)</f>
      </c>
      <c r="IE469">
        <f>IF(ISBLANK('Data Entry'!$į$469), "", 'Data Entry'!$į$469)</f>
      </c>
      <c r="IF469">
        <f>IF(ISBLANK('Data Entry'!$İ$469), "", 'Data Entry'!$İ$469)</f>
      </c>
      <c r="IG469">
        <f>IF(ISBLANK('Data Entry'!$ı$469), "", 'Data Entry'!$ı$469)</f>
      </c>
      <c r="IH469">
        <f>IF(ISBLANK('Data Entry'!$Ĳ$469), "", 'Data Entry'!$Ĳ$469)</f>
      </c>
      <c r="II469">
        <f>IF(ISBLANK('Data Entry'!$ĳ$469), "", 'Data Entry'!$ĳ$469)</f>
      </c>
      <c r="IJ469">
        <f>IF(ISBLANK('Data Entry'!$Ĵ$469), "", 'Data Entry'!$Ĵ$469)</f>
      </c>
      <c r="IK469">
        <f>IF(ISBLANK('Data Entry'!$ĵ$469), "", 'Data Entry'!$ĵ$469)</f>
      </c>
      <c r="IL469">
        <f>IF(ISBLANK('Data Entry'!$Ķ$469), "", 'Data Entry'!$Ķ$469)</f>
      </c>
      <c r="IM469">
        <f>IF(ISBLANK('Data Entry'!$ķ$469), "", 'Data Entry'!$ķ$469)</f>
      </c>
      <c r="IN469">
        <f>IF(ISBLANK('Data Entry'!$ĸ$469), "", 'Data Entry'!$ĸ$469)</f>
      </c>
      <c r="IO469">
        <f>IF(ISBLANK('Data Entry'!$Ĺ$469), "", 'Data Entry'!$Ĺ$469)</f>
      </c>
      <c r="IP469">
        <f>IF(ISBLANK('Data Entry'!$ĺ$469), "", 'Data Entry'!$ĺ$469)</f>
      </c>
      <c r="IQ469">
        <f>IF(ISBLANK('Data Entry'!$Ļ$469), "", 'Data Entry'!$Ļ$469)</f>
      </c>
      <c r="IR469">
        <f>IF(ISBLANK('Data Entry'!$ļ$469), "", 'Data Entry'!$ļ$469)</f>
      </c>
      <c r="IS469">
        <f>IF(ISBLANK('Data Entry'!$Ľ$469), "", 'Data Entry'!$Ľ$469)</f>
      </c>
      <c r="IT469">
        <f>IF(ISBLANK('Data Entry'!$ľ$469), "", 'Data Entry'!$ľ$469)</f>
      </c>
    </row>
    <row r="470" spans="1:254" x14ac:dyDescent="0.25">
      <c r="A470">
        <f>IF(ISBLANK('Data Entry'!$A$470), "", 'Data Entry'!$A$470)</f>
      </c>
      <c r="B470">
        <f>IF(ISBLANK('Data Entry'!$B$470), "", 'Data Entry'!$B$470)</f>
      </c>
      <c r="C470">
        <f>IF(ISBLANK('Data Entry'!$C$470), "", 'Data Entry'!$C$470)</f>
      </c>
      <c r="D470">
        <f>IF(ISBLANK('Data Entry'!$D$470), "", 'Data Entry'!$D$470)</f>
      </c>
      <c r="E470">
        <f>IF(ISBLANK('Data Entry'!$E$470), "", 'Data Entry'!$E$470)</f>
      </c>
      <c r="F470">
        <f>IF(ISBLANK('Data Entry'!$F$470), "", 'Data Entry'!$F$470)</f>
      </c>
      <c r="G470">
        <f>IF(ISBLANK('Data Entry'!$G$470), "", 'Data Entry'!$G$470)</f>
      </c>
      <c r="H470">
        <f>IF(ISBLANK('Data Entry'!$H$470), "", 'Data Entry'!$H$470)</f>
      </c>
      <c r="I470">
        <f>IF(ISBLANK('Data Entry'!$I$470), "", 'Data Entry'!$I$470)</f>
      </c>
      <c r="J470">
        <f>IF(ISBLANK('Data Entry'!$J$470), "", 'Data Entry'!$J$470)</f>
      </c>
      <c r="K470">
        <f>IF(ISBLANK('Data Entry'!$K$470), "", 'Data Entry'!$K$470)</f>
      </c>
      <c r="L470">
        <f>IF(ISBLANK('Data Entry'!$L$470), "", 'Data Entry'!$L$470)</f>
      </c>
      <c r="M470">
        <f>IF(ISBLANK('Data Entry'!$M$470), "", 'Data Entry'!$M$470)</f>
      </c>
      <c r="N470">
        <f>IF(ISBLANK('Data Entry'!$N$470), "", 'Data Entry'!$N$470)</f>
      </c>
      <c r="O470">
        <f>IF(ISBLANK('Data Entry'!$O$470), "", 'Data Entry'!$O$470)</f>
      </c>
      <c r="P470">
        <f>IF(ISBLANK('Data Entry'!$P$470), "", 'Data Entry'!$P$470)</f>
      </c>
      <c r="Q470">
        <f>IF(ISBLANK('Data Entry'!$Q$470), "", 'Data Entry'!$Q$470)</f>
      </c>
      <c r="R470">
        <f>IF(ISBLANK('Data Entry'!$R$470), "", 'Data Entry'!$R$470)</f>
      </c>
      <c r="S470">
        <f>IF(ISBLANK('Data Entry'!$S$470), "", 'Data Entry'!$S$470)</f>
      </c>
      <c r="T470">
        <f>IF(ISBLANK('Data Entry'!$T$470), "", 'Data Entry'!$T$470)</f>
      </c>
      <c r="U470">
        <f>IF(ISBLANK('Data Entry'!$U$470), "", 'Data Entry'!$U$470)</f>
      </c>
      <c r="V470">
        <f>IF(ISBLANK('Data Entry'!$V$470), "", 'Data Entry'!$V$470)</f>
      </c>
      <c r="W470">
        <f>IF(ISBLANK('Data Entry'!$W$470), "", 'Data Entry'!$W$470)</f>
      </c>
      <c r="X470">
        <f>IF(ISBLANK('Data Entry'!$X$470), "", 'Data Entry'!$X$470)</f>
      </c>
      <c r="Y470">
        <f>IF(ISBLANK('Data Entry'!$Y$470), "", 'Data Entry'!$Y$470)</f>
      </c>
      <c r="Z470">
        <f>IF(ISBLANK('Data Entry'!$Z$470), "", 'Data Entry'!$Z$470)</f>
      </c>
      <c r="AA470">
        <f>IF(ISBLANK('Data Entry'!$[$470), "", 'Data Entry'!$[$470)</f>
      </c>
      <c r="AB470">
        <f>IF(ISBLANK('Data Entry'!$\$470), "", 'Data Entry'!$\$470)</f>
      </c>
      <c r="AC470">
        <f>IF(ISBLANK('Data Entry'!$]$470), "", 'Data Entry'!$]$470)</f>
      </c>
      <c r="AD470">
        <f>IF(ISBLANK('Data Entry'!$^$470), "", 'Data Entry'!$^$470)</f>
      </c>
      <c r="AE470">
        <f>IF(ISBLANK('Data Entry'!$_$470), "", 'Data Entry'!$_$470)</f>
      </c>
      <c r="AF470">
        <f>IF(ISBLANK('Data Entry'!$`$470), "", 'Data Entry'!$`$470)</f>
      </c>
      <c r="AG470">
        <f>IF(ISBLANK('Data Entry'!$a$470), "", 'Data Entry'!$a$470)</f>
      </c>
      <c r="AH470">
        <f>IF(ISBLANK('Data Entry'!$b$470), "", 'Data Entry'!$b$470)</f>
      </c>
      <c r="AI470">
        <f>IF(ISBLANK('Data Entry'!$c$470), "", 'Data Entry'!$c$470)</f>
      </c>
      <c r="AJ470">
        <f>IF(ISBLANK('Data Entry'!$d$470), "", 'Data Entry'!$d$470)</f>
      </c>
      <c r="AK470">
        <f>IF(ISBLANK('Data Entry'!$e$470), "", 'Data Entry'!$e$470)</f>
      </c>
      <c r="AL470">
        <f>IF(ISBLANK('Data Entry'!$f$470), "", 'Data Entry'!$f$470)</f>
      </c>
      <c r="AM470">
        <f>IF(ISBLANK('Data Entry'!$g$470), "", 'Data Entry'!$g$470)</f>
      </c>
      <c r="AN470">
        <f>IF(ISBLANK('Data Entry'!$h$470), "", 'Data Entry'!$h$470)</f>
      </c>
      <c r="AO470">
        <f>IF(ISBLANK('Data Entry'!$i$470), "", 'Data Entry'!$i$470)</f>
      </c>
      <c r="AP470">
        <f>IF(ISBLANK('Data Entry'!$j$470), "", 'Data Entry'!$j$470)</f>
      </c>
      <c r="AQ470">
        <f>IF(ISBLANK('Data Entry'!$k$470), "", 'Data Entry'!$k$470)</f>
      </c>
      <c r="AR470">
        <f>IF(ISBLANK('Data Entry'!$l$470), "", 'Data Entry'!$l$470)</f>
      </c>
      <c r="AS470">
        <f>IF(ISBLANK('Data Entry'!$m$470), "", 'Data Entry'!$m$470)</f>
      </c>
      <c r="AT470">
        <f>IF(ISBLANK('Data Entry'!$n$470), "", 'Data Entry'!$n$470)</f>
      </c>
      <c r="AU470">
        <f>IF(ISBLANK('Data Entry'!$o$470), "", 'Data Entry'!$o$470)</f>
      </c>
      <c r="AV470">
        <f>IF(ISBLANK('Data Entry'!$p$470), "", 'Data Entry'!$p$470)</f>
      </c>
      <c r="AW470">
        <f>IF(ISBLANK('Data Entry'!$q$470), "", 'Data Entry'!$q$470)</f>
      </c>
      <c r="AX470">
        <f>IF(ISBLANK('Data Entry'!$r$470), "", 'Data Entry'!$r$470)</f>
      </c>
      <c r="AY470">
        <f>IF(ISBLANK('Data Entry'!$s$470), "", 'Data Entry'!$s$470)</f>
      </c>
      <c r="AZ470">
        <f>IF(ISBLANK('Data Entry'!$t$470), "", 'Data Entry'!$t$470)</f>
      </c>
      <c r="BA470">
        <f>IF(ISBLANK('Data Entry'!$u$470), "", 'Data Entry'!$u$470)</f>
      </c>
      <c r="BB470">
        <f>IF(ISBLANK('Data Entry'!$v$470), "", 'Data Entry'!$v$470)</f>
      </c>
      <c r="BC470">
        <f>IF(ISBLANK('Data Entry'!$w$470), "", 'Data Entry'!$w$470)</f>
      </c>
      <c r="BD470">
        <f>IF(ISBLANK('Data Entry'!$x$470), "", 'Data Entry'!$x$470)</f>
      </c>
      <c r="BE470">
        <f>IF(ISBLANK('Data Entry'!$y$470), "", 'Data Entry'!$y$470)</f>
      </c>
      <c r="BF470">
        <f>IF(ISBLANK('Data Entry'!$z$470), "", 'Data Entry'!$z$470)</f>
      </c>
      <c r="BG470">
        <f>IF(ISBLANK('Data Entry'!${$470), "", 'Data Entry'!${$470)</f>
      </c>
      <c r="BH470">
        <f>IF(ISBLANK('Data Entry'!$|$470), "", 'Data Entry'!$|$470)</f>
      </c>
      <c r="BI470">
        <f>IF(ISBLANK('Data Entry'!$}$470), "", 'Data Entry'!$}$470)</f>
      </c>
      <c r="BJ470">
        <f>IF(ISBLANK('Data Entry'!$~$470), "", 'Data Entry'!$~$470)</f>
      </c>
      <c r="BK470">
        <f>IF(ISBLANK('Data Entry'!$$470), "", 'Data Entry'!$$470)</f>
      </c>
      <c r="BL470">
        <f>IF(ISBLANK('Data Entry'!$$470), "", 'Data Entry'!$$470)</f>
      </c>
      <c r="BM470">
        <f>IF(ISBLANK('Data Entry'!$$470), "", 'Data Entry'!$$470)</f>
      </c>
      <c r="BN470">
        <f>IF(ISBLANK('Data Entry'!$$470), "", 'Data Entry'!$$470)</f>
      </c>
      <c r="BO470">
        <f>IF(ISBLANK('Data Entry'!$$470), "", 'Data Entry'!$$470)</f>
      </c>
      <c r="BP470">
        <f>IF(ISBLANK('Data Entry'!$$470), "", 'Data Entry'!$$470)</f>
      </c>
      <c r="BQ470">
        <f>IF(ISBLANK('Data Entry'!$$470), "", 'Data Entry'!$$470)</f>
      </c>
      <c r="BR470">
        <f>IF(ISBLANK('Data Entry'!$$470), "", 'Data Entry'!$$470)</f>
      </c>
      <c r="BS470">
        <f>IF(ISBLANK('Data Entry'!$$470), "", 'Data Entry'!$$470)</f>
      </c>
      <c r="BT470">
        <f>IF(ISBLANK('Data Entry'!$$470), "", 'Data Entry'!$$470)</f>
      </c>
      <c r="BU470">
        <f>IF(ISBLANK('Data Entry'!$$470), "", 'Data Entry'!$$470)</f>
      </c>
      <c r="BV470">
        <f>IF(ISBLANK('Data Entry'!$$470), "", 'Data Entry'!$$470)</f>
      </c>
      <c r="BW470">
        <f>IF(ISBLANK('Data Entry'!$$470), "", 'Data Entry'!$$470)</f>
      </c>
      <c r="BX470">
        <f>IF(ISBLANK('Data Entry'!$$470), "", 'Data Entry'!$$470)</f>
      </c>
      <c r="BY470">
        <f>IF(ISBLANK('Data Entry'!$$470), "", 'Data Entry'!$$470)</f>
      </c>
      <c r="BZ470">
        <f>IF(ISBLANK('Data Entry'!$$470), "", 'Data Entry'!$$470)</f>
      </c>
      <c r="CA470">
        <f>IF(ISBLANK('Data Entry'!$$470), "", 'Data Entry'!$$470)</f>
      </c>
      <c r="CB470">
        <f>IF(ISBLANK('Data Entry'!$$470), "", 'Data Entry'!$$470)</f>
      </c>
      <c r="CC470">
        <f>IF(ISBLANK('Data Entry'!$$470), "", 'Data Entry'!$$470)</f>
      </c>
      <c r="CD470">
        <f>IF(ISBLANK('Data Entry'!$$470), "", 'Data Entry'!$$470)</f>
      </c>
      <c r="CE470">
        <f>IF(ISBLANK('Data Entry'!$$470), "", 'Data Entry'!$$470)</f>
      </c>
      <c r="CF470">
        <f>IF(ISBLANK('Data Entry'!$$470), "", 'Data Entry'!$$470)</f>
      </c>
      <c r="CG470">
        <f>IF(ISBLANK('Data Entry'!$$470), "", 'Data Entry'!$$470)</f>
      </c>
      <c r="CH470">
        <f>IF(ISBLANK('Data Entry'!$$470), "", 'Data Entry'!$$470)</f>
      </c>
      <c r="CI470">
        <f>IF(ISBLANK('Data Entry'!$$470), "", 'Data Entry'!$$470)</f>
      </c>
      <c r="CJ470">
        <f>IF(ISBLANK('Data Entry'!$$470), "", 'Data Entry'!$$470)</f>
      </c>
      <c r="CK470">
        <f>IF(ISBLANK('Data Entry'!$$470), "", 'Data Entry'!$$470)</f>
      </c>
      <c r="CL470">
        <f>IF(ISBLANK('Data Entry'!$$470), "", 'Data Entry'!$$470)</f>
      </c>
      <c r="CM470">
        <f>IF(ISBLANK('Data Entry'!$$470), "", 'Data Entry'!$$470)</f>
      </c>
      <c r="CN470">
        <f>IF(ISBLANK('Data Entry'!$$470), "", 'Data Entry'!$$470)</f>
      </c>
      <c r="CO470">
        <f>IF(ISBLANK('Data Entry'!$$470), "", 'Data Entry'!$$470)</f>
      </c>
      <c r="CP470">
        <f>IF(ISBLANK('Data Entry'!$$470), "", 'Data Entry'!$$470)</f>
      </c>
      <c r="CQ470">
        <f>IF(ISBLANK('Data Entry'!$$470), "", 'Data Entry'!$$470)</f>
      </c>
      <c r="CR470">
        <f>IF(ISBLANK('Data Entry'!$ $470), "", 'Data Entry'!$ $470)</f>
      </c>
      <c r="CS470">
        <f>IF(ISBLANK('Data Entry'!$¡$470), "", 'Data Entry'!$¡$470)</f>
      </c>
      <c r="CT470">
        <f>IF(ISBLANK('Data Entry'!$¢$470), "", 'Data Entry'!$¢$470)</f>
      </c>
      <c r="CU470">
        <f>IF(ISBLANK('Data Entry'!$£$470), "", 'Data Entry'!$£$470)</f>
      </c>
      <c r="CV470">
        <f>IF(ISBLANK('Data Entry'!$¤$470), "", 'Data Entry'!$¤$470)</f>
      </c>
      <c r="CW470">
        <f>IF(ISBLANK('Data Entry'!$¥$470), "", 'Data Entry'!$¥$470)</f>
      </c>
      <c r="CX470">
        <f>IF(ISBLANK('Data Entry'!$¦$470), "", 'Data Entry'!$¦$470)</f>
      </c>
      <c r="CY470">
        <f>IF(ISBLANK('Data Entry'!$§$470), "", 'Data Entry'!$§$470)</f>
      </c>
      <c r="CZ470">
        <f>IF(ISBLANK('Data Entry'!$¨$470), "", 'Data Entry'!$¨$470)</f>
      </c>
      <c r="DA470">
        <f>IF(ISBLANK('Data Entry'!$©$470), "", 'Data Entry'!$©$470)</f>
      </c>
      <c r="DB470">
        <f>IF(ISBLANK('Data Entry'!$ª$470), "", 'Data Entry'!$ª$470)</f>
      </c>
      <c r="DC470">
        <f>IF(ISBLANK('Data Entry'!$«$470), "", 'Data Entry'!$«$470)</f>
      </c>
      <c r="DD470">
        <f>IF(ISBLANK('Data Entry'!$¬$470), "", 'Data Entry'!$¬$470)</f>
      </c>
      <c r="DE470">
        <f>IF(ISBLANK('Data Entry'!$­$470), "", 'Data Entry'!$­$470)</f>
      </c>
      <c r="DF470">
        <f>IF(ISBLANK('Data Entry'!$®$470), "", 'Data Entry'!$®$470)</f>
      </c>
      <c r="DG470">
        <f>IF(ISBLANK('Data Entry'!$¯$470), "", 'Data Entry'!$¯$470)</f>
      </c>
      <c r="DH470">
        <f>IF(ISBLANK('Data Entry'!$°$470), "", 'Data Entry'!$°$470)</f>
      </c>
      <c r="DI470">
        <f>IF(ISBLANK('Data Entry'!$±$470), "", 'Data Entry'!$±$470)</f>
      </c>
      <c r="DJ470">
        <f>IF(ISBLANK('Data Entry'!$²$470), "", 'Data Entry'!$²$470)</f>
      </c>
      <c r="DK470">
        <f>IF(ISBLANK('Data Entry'!$³$470), "", 'Data Entry'!$³$470)</f>
      </c>
      <c r="DL470">
        <f>IF(ISBLANK('Data Entry'!$´$470), "", 'Data Entry'!$´$470)</f>
      </c>
      <c r="DM470">
        <f>IF(ISBLANK('Data Entry'!$µ$470), "", 'Data Entry'!$µ$470)</f>
      </c>
      <c r="DN470">
        <f>IF(ISBLANK('Data Entry'!$¶$470), "", 'Data Entry'!$¶$470)</f>
      </c>
      <c r="DO470">
        <f>IF(ISBLANK('Data Entry'!$·$470), "", 'Data Entry'!$·$470)</f>
      </c>
      <c r="DP470">
        <f>IF(ISBLANK('Data Entry'!$¸$470), "", 'Data Entry'!$¸$470)</f>
      </c>
      <c r="DQ470">
        <f>IF(ISBLANK('Data Entry'!$¹$470), "", 'Data Entry'!$¹$470)</f>
      </c>
      <c r="DR470">
        <f>IF(ISBLANK('Data Entry'!$º$470), "", 'Data Entry'!$º$470)</f>
      </c>
      <c r="DS470">
        <f>IF(ISBLANK('Data Entry'!$»$470), "", 'Data Entry'!$»$470)</f>
      </c>
      <c r="DT470">
        <f>IF(ISBLANK('Data Entry'!$¼$470), "", 'Data Entry'!$¼$470)</f>
      </c>
      <c r="DU470">
        <f>IF(ISBLANK('Data Entry'!$½$470), "", 'Data Entry'!$½$470)</f>
      </c>
      <c r="DV470">
        <f>IF(ISBLANK('Data Entry'!$¾$470), "", 'Data Entry'!$¾$470)</f>
      </c>
      <c r="DW470">
        <f>IF(ISBLANK('Data Entry'!$¿$470), "", 'Data Entry'!$¿$470)</f>
      </c>
      <c r="DX470">
        <f>IF(ISBLANK('Data Entry'!$À$470), "", 'Data Entry'!$À$470)</f>
      </c>
      <c r="DY470">
        <f>IF(ISBLANK('Data Entry'!$Á$470), "", 'Data Entry'!$Á$470)</f>
      </c>
      <c r="DZ470">
        <f>IF(ISBLANK('Data Entry'!$Â$470), "", 'Data Entry'!$Â$470)</f>
      </c>
      <c r="EA470">
        <f>IF(ISBLANK('Data Entry'!$Ã$470), "", 'Data Entry'!$Ã$470)</f>
      </c>
      <c r="EB470">
        <f>IF(ISBLANK('Data Entry'!$Ä$470), "", 'Data Entry'!$Ä$470)</f>
      </c>
      <c r="EC470">
        <f>IF(ISBLANK('Data Entry'!$Å$470), "", 'Data Entry'!$Å$470)</f>
      </c>
      <c r="ED470">
        <f>IF(ISBLANK('Data Entry'!$Æ$470), "", 'Data Entry'!$Æ$470)</f>
      </c>
      <c r="EE470">
        <f>IF(ISBLANK('Data Entry'!$Ç$470), "", 'Data Entry'!$Ç$470)</f>
      </c>
      <c r="EF470">
        <f>IF(ISBLANK('Data Entry'!$È$470), "", 'Data Entry'!$È$470)</f>
      </c>
      <c r="EG470">
        <f>IF(ISBLANK('Data Entry'!$É$470), "", 'Data Entry'!$É$470)</f>
      </c>
      <c r="EH470">
        <f>IF(ISBLANK('Data Entry'!$Ê$470), "", 'Data Entry'!$Ê$470)</f>
      </c>
      <c r="EI470">
        <f>IF(ISBLANK('Data Entry'!$Ë$470), "", 'Data Entry'!$Ë$470)</f>
      </c>
      <c r="EJ470">
        <f>IF(ISBLANK('Data Entry'!$Ì$470), "", 'Data Entry'!$Ì$470)</f>
      </c>
      <c r="EK470">
        <f>IF(ISBLANK('Data Entry'!$Í$470), "", 'Data Entry'!$Í$470)</f>
      </c>
      <c r="EL470">
        <f>IF(ISBLANK('Data Entry'!$Î$470), "", 'Data Entry'!$Î$470)</f>
      </c>
      <c r="EM470">
        <f>IF(ISBLANK('Data Entry'!$Ï$470), "", 'Data Entry'!$Ï$470)</f>
      </c>
      <c r="EN470">
        <f>IF(ISBLANK('Data Entry'!$Ð$470), "", 'Data Entry'!$Ð$470)</f>
      </c>
      <c r="EO470">
        <f>IF(ISBLANK('Data Entry'!$Ñ$470), "", 'Data Entry'!$Ñ$470)</f>
      </c>
      <c r="EP470">
        <f>IF(ISBLANK('Data Entry'!$Ò$470), "", 'Data Entry'!$Ò$470)</f>
      </c>
      <c r="EQ470">
        <f>IF(ISBLANK('Data Entry'!$Ó$470), "", 'Data Entry'!$Ó$470)</f>
      </c>
      <c r="ER470">
        <f>IF(ISBLANK('Data Entry'!$Ô$470), "", 'Data Entry'!$Ô$470)</f>
      </c>
      <c r="ES470">
        <f>IF(ISBLANK('Data Entry'!$Õ$470), "", 'Data Entry'!$Õ$470)</f>
      </c>
      <c r="ET470">
        <f>IF(ISBLANK('Data Entry'!$Ö$470), "", 'Data Entry'!$Ö$470)</f>
      </c>
      <c r="EU470">
        <f>IF(ISBLANK('Data Entry'!$×$470), "", 'Data Entry'!$×$470)</f>
      </c>
      <c r="EV470">
        <f>IF(ISBLANK('Data Entry'!$Ø$470), "", 'Data Entry'!$Ø$470)</f>
      </c>
      <c r="EW470">
        <f>IF(ISBLANK('Data Entry'!$Ù$470), "", 'Data Entry'!$Ù$470)</f>
      </c>
      <c r="EX470">
        <f>IF(ISBLANK('Data Entry'!$Ú$470), "", 'Data Entry'!$Ú$470)</f>
      </c>
      <c r="EY470">
        <f>IF(ISBLANK('Data Entry'!$Û$470), "", 'Data Entry'!$Û$470)</f>
      </c>
      <c r="EZ470">
        <f>IF(ISBLANK('Data Entry'!$Ü$470), "", 'Data Entry'!$Ü$470)</f>
      </c>
      <c r="FA470">
        <f>IF(ISBLANK('Data Entry'!$Ý$470), "", 'Data Entry'!$Ý$470)</f>
      </c>
      <c r="FB470">
        <f>IF(ISBLANK('Data Entry'!$Þ$470), "", 'Data Entry'!$Þ$470)</f>
      </c>
      <c r="FC470">
        <f>IF(ISBLANK('Data Entry'!$ß$470), "", 'Data Entry'!$ß$470)</f>
      </c>
      <c r="FD470">
        <f>IF(ISBLANK('Data Entry'!$à$470), "", 'Data Entry'!$à$470)</f>
      </c>
      <c r="FE470">
        <f>IF(ISBLANK('Data Entry'!$á$470), "", 'Data Entry'!$á$470)</f>
      </c>
      <c r="FF470">
        <f>IF(ISBLANK('Data Entry'!$â$470), "", 'Data Entry'!$â$470)</f>
      </c>
      <c r="FG470">
        <f>IF(ISBLANK('Data Entry'!$ã$470), "", 'Data Entry'!$ã$470)</f>
      </c>
      <c r="FH470">
        <f>IF(ISBLANK('Data Entry'!$ä$470), "", 'Data Entry'!$ä$470)</f>
      </c>
      <c r="FI470">
        <f>IF(ISBLANK('Data Entry'!$å$470), "", 'Data Entry'!$å$470)</f>
      </c>
      <c r="FJ470">
        <f>IF(ISBLANK('Data Entry'!$æ$470), "", 'Data Entry'!$æ$470)</f>
      </c>
      <c r="FK470">
        <f>IF(ISBLANK('Data Entry'!$ç$470), "", 'Data Entry'!$ç$470)</f>
      </c>
      <c r="FL470">
        <f>IF(ISBLANK('Data Entry'!$è$470), "", 'Data Entry'!$è$470)</f>
      </c>
      <c r="FM470">
        <f>IF(ISBLANK('Data Entry'!$é$470), "", 'Data Entry'!$é$470)</f>
      </c>
      <c r="FN470">
        <f>IF(ISBLANK('Data Entry'!$ê$470), "", 'Data Entry'!$ê$470)</f>
      </c>
      <c r="FO470">
        <f>IF(ISBLANK('Data Entry'!$ë$470), "", 'Data Entry'!$ë$470)</f>
      </c>
      <c r="FP470">
        <f>IF(ISBLANK('Data Entry'!$ì$470), "", 'Data Entry'!$ì$470)</f>
      </c>
      <c r="FQ470">
        <f>IF(ISBLANK('Data Entry'!$í$470), "", 'Data Entry'!$í$470)</f>
      </c>
      <c r="FR470">
        <f>IF(ISBLANK('Data Entry'!$î$470), "", 'Data Entry'!$î$470)</f>
      </c>
      <c r="FS470">
        <f>IF(ISBLANK('Data Entry'!$ï$470), "", 'Data Entry'!$ï$470)</f>
      </c>
      <c r="FT470">
        <f>IF(ISBLANK('Data Entry'!$ð$470), "", 'Data Entry'!$ð$470)</f>
      </c>
      <c r="FU470">
        <f>IF(ISBLANK('Data Entry'!$ñ$470), "", 'Data Entry'!$ñ$470)</f>
      </c>
      <c r="FV470">
        <f>IF(ISBLANK('Data Entry'!$ò$470), "", 'Data Entry'!$ò$470)</f>
      </c>
      <c r="FW470">
        <f>IF(ISBLANK('Data Entry'!$ó$470), "", 'Data Entry'!$ó$470)</f>
      </c>
      <c r="FX470">
        <f>IF(ISBLANK('Data Entry'!$ô$470), "", 'Data Entry'!$ô$470)</f>
      </c>
      <c r="FY470">
        <f>IF(ISBLANK('Data Entry'!$õ$470), "", 'Data Entry'!$õ$470)</f>
      </c>
      <c r="FZ470">
        <f>IF(ISBLANK('Data Entry'!$ö$470), "", 'Data Entry'!$ö$470)</f>
      </c>
      <c r="GA470">
        <f>IF(ISBLANK('Data Entry'!$÷$470), "", 'Data Entry'!$÷$470)</f>
      </c>
      <c r="GB470">
        <f>IF(ISBLANK('Data Entry'!$ø$470), "", 'Data Entry'!$ø$470)</f>
      </c>
      <c r="GC470">
        <f>IF(ISBLANK('Data Entry'!$ù$470), "", 'Data Entry'!$ù$470)</f>
      </c>
      <c r="GD470">
        <f>IF(ISBLANK('Data Entry'!$ú$470), "", 'Data Entry'!$ú$470)</f>
      </c>
      <c r="GE470">
        <f>IF(ISBLANK('Data Entry'!$û$470), "", 'Data Entry'!$û$470)</f>
      </c>
      <c r="GF470">
        <f>IF(ISBLANK('Data Entry'!$ü$470), "", 'Data Entry'!$ü$470)</f>
      </c>
      <c r="GG470">
        <f>IF(ISBLANK('Data Entry'!$ý$470), "", 'Data Entry'!$ý$470)</f>
      </c>
      <c r="GH470">
        <f>IF(ISBLANK('Data Entry'!$þ$470), "", 'Data Entry'!$þ$470)</f>
      </c>
      <c r="GI470">
        <f>IF(ISBLANK('Data Entry'!$ÿ$470), "", 'Data Entry'!$ÿ$470)</f>
      </c>
      <c r="GJ470">
        <f>IF(ISBLANK('Data Entry'!$Ā$470), "", 'Data Entry'!$Ā$470)</f>
      </c>
      <c r="GK470">
        <f>IF(ISBLANK('Data Entry'!$ā$470), "", 'Data Entry'!$ā$470)</f>
      </c>
      <c r="GL470">
        <f>IF(ISBLANK('Data Entry'!$Ă$470), "", 'Data Entry'!$Ă$470)</f>
      </c>
      <c r="GM470">
        <f>IF(ISBLANK('Data Entry'!$ă$470), "", 'Data Entry'!$ă$470)</f>
      </c>
      <c r="GN470">
        <f>IF(ISBLANK('Data Entry'!$Ą$470), "", 'Data Entry'!$Ą$470)</f>
      </c>
      <c r="GO470">
        <f>IF(ISBLANK('Data Entry'!$ą$470), "", 'Data Entry'!$ą$470)</f>
      </c>
      <c r="GP470">
        <f>IF(ISBLANK('Data Entry'!$Ć$470), "", 'Data Entry'!$Ć$470)</f>
      </c>
      <c r="GQ470">
        <f>IF(ISBLANK('Data Entry'!$ć$470), "", 'Data Entry'!$ć$470)</f>
      </c>
      <c r="GR470">
        <f>IF(ISBLANK('Data Entry'!$Ĉ$470), "", 'Data Entry'!$Ĉ$470)</f>
      </c>
      <c r="GS470">
        <f>IF(ISBLANK('Data Entry'!$ĉ$470), "", 'Data Entry'!$ĉ$470)</f>
      </c>
      <c r="GT470">
        <f>IF(ISBLANK('Data Entry'!$Ċ$470), "", 'Data Entry'!$Ċ$470)</f>
      </c>
      <c r="GU470">
        <f>IF(ISBLANK('Data Entry'!$ċ$470), "", 'Data Entry'!$ċ$470)</f>
      </c>
      <c r="GV470">
        <f>IF(ISBLANK('Data Entry'!$Č$470), "", 'Data Entry'!$Č$470)</f>
      </c>
      <c r="GW470">
        <f>IF(ISBLANK('Data Entry'!$č$470), "", 'Data Entry'!$č$470)</f>
      </c>
      <c r="GX470">
        <f>IF(ISBLANK('Data Entry'!$Ď$470), "", 'Data Entry'!$Ď$470)</f>
      </c>
      <c r="GY470">
        <f>IF(ISBLANK('Data Entry'!$ď$470), "", 'Data Entry'!$ď$470)</f>
      </c>
      <c r="GZ470">
        <f>IF(ISBLANK('Data Entry'!$Đ$470), "", 'Data Entry'!$Đ$470)</f>
      </c>
      <c r="HA470">
        <f>IF(ISBLANK('Data Entry'!$đ$470), "", 'Data Entry'!$đ$470)</f>
      </c>
      <c r="HB470">
        <f>IF(ISBLANK('Data Entry'!$Ē$470), "", 'Data Entry'!$Ē$470)</f>
      </c>
      <c r="HC470">
        <f>IF(ISBLANK('Data Entry'!$ē$470), "", 'Data Entry'!$ē$470)</f>
      </c>
      <c r="HD470">
        <f>IF(ISBLANK('Data Entry'!$Ĕ$470), "", 'Data Entry'!$Ĕ$470)</f>
      </c>
      <c r="HE470">
        <f>IF(ISBLANK('Data Entry'!$ĕ$470), "", 'Data Entry'!$ĕ$470)</f>
      </c>
      <c r="HF470">
        <f>IF(ISBLANK('Data Entry'!$Ė$470), "", 'Data Entry'!$Ė$470)</f>
      </c>
      <c r="HG470">
        <f>IF(ISBLANK('Data Entry'!$ė$470), "", 'Data Entry'!$ė$470)</f>
      </c>
      <c r="HH470">
        <f>IF(ISBLANK('Data Entry'!$Ę$470), "", 'Data Entry'!$Ę$470)</f>
      </c>
      <c r="HI470">
        <f>IF(ISBLANK('Data Entry'!$ę$470), "", 'Data Entry'!$ę$470)</f>
      </c>
      <c r="HJ470">
        <f>IF(ISBLANK('Data Entry'!$Ě$470), "", 'Data Entry'!$Ě$470)</f>
      </c>
      <c r="HK470">
        <f>IF(ISBLANK('Data Entry'!$ě$470), "", 'Data Entry'!$ě$470)</f>
      </c>
      <c r="HL470">
        <f>IF(ISBLANK('Data Entry'!$Ĝ$470), "", 'Data Entry'!$Ĝ$470)</f>
      </c>
      <c r="HM470">
        <f>IF(ISBLANK('Data Entry'!$ĝ$470), "", 'Data Entry'!$ĝ$470)</f>
      </c>
      <c r="HN470">
        <f>IF(ISBLANK('Data Entry'!$Ğ$470), "", 'Data Entry'!$Ğ$470)</f>
      </c>
      <c r="HO470">
        <f>IF(ISBLANK('Data Entry'!$ğ$470), "", 'Data Entry'!$ğ$470)</f>
      </c>
      <c r="HP470">
        <f>IF(ISBLANK('Data Entry'!$Ġ$470), "", 'Data Entry'!$Ġ$470)</f>
      </c>
      <c r="HQ470">
        <f>IF(ISBLANK('Data Entry'!$ġ$470), "", 'Data Entry'!$ġ$470)</f>
      </c>
      <c r="HR470">
        <f>IF(ISBLANK('Data Entry'!$Ģ$470), "", 'Data Entry'!$Ģ$470)</f>
      </c>
      <c r="HS470">
        <f>IF(ISBLANK('Data Entry'!$ģ$470), "", 'Data Entry'!$ģ$470)</f>
      </c>
      <c r="HT470">
        <f>IF(ISBLANK('Data Entry'!$Ĥ$470), "", 'Data Entry'!$Ĥ$470)</f>
      </c>
      <c r="HU470">
        <f>IF(ISBLANK('Data Entry'!$ĥ$470), "", 'Data Entry'!$ĥ$470)</f>
      </c>
      <c r="HV470">
        <f>IF(ISBLANK('Data Entry'!$Ħ$470), "", 'Data Entry'!$Ħ$470)</f>
      </c>
      <c r="HW470">
        <f>IF(ISBLANK('Data Entry'!$ħ$470), "", 'Data Entry'!$ħ$470)</f>
      </c>
      <c r="HX470">
        <f>IF(ISBLANK('Data Entry'!$Ĩ$470), "", 'Data Entry'!$Ĩ$470)</f>
      </c>
      <c r="HY470">
        <f>IF(ISBLANK('Data Entry'!$ĩ$470), "", 'Data Entry'!$ĩ$470)</f>
      </c>
      <c r="HZ470">
        <f>IF(ISBLANK('Data Entry'!$Ī$470), "", 'Data Entry'!$Ī$470)</f>
      </c>
      <c r="IA470">
        <f>IF(ISBLANK('Data Entry'!$ī$470), "", 'Data Entry'!$ī$470)</f>
      </c>
      <c r="IB470">
        <f>IF(ISBLANK('Data Entry'!$Ĭ$470), "", 'Data Entry'!$Ĭ$470)</f>
      </c>
      <c r="IC470">
        <f>IF(ISBLANK('Data Entry'!$ĭ$470), "", 'Data Entry'!$ĭ$470)</f>
      </c>
      <c r="ID470">
        <f>IF(ISBLANK('Data Entry'!$Į$470), "", 'Data Entry'!$Į$470)</f>
      </c>
      <c r="IE470">
        <f>IF(ISBLANK('Data Entry'!$į$470), "", 'Data Entry'!$į$470)</f>
      </c>
      <c r="IF470">
        <f>IF(ISBLANK('Data Entry'!$İ$470), "", 'Data Entry'!$İ$470)</f>
      </c>
      <c r="IG470">
        <f>IF(ISBLANK('Data Entry'!$ı$470), "", 'Data Entry'!$ı$470)</f>
      </c>
      <c r="IH470">
        <f>IF(ISBLANK('Data Entry'!$Ĳ$470), "", 'Data Entry'!$Ĳ$470)</f>
      </c>
      <c r="II470">
        <f>IF(ISBLANK('Data Entry'!$ĳ$470), "", 'Data Entry'!$ĳ$470)</f>
      </c>
      <c r="IJ470">
        <f>IF(ISBLANK('Data Entry'!$Ĵ$470), "", 'Data Entry'!$Ĵ$470)</f>
      </c>
      <c r="IK470">
        <f>IF(ISBLANK('Data Entry'!$ĵ$470), "", 'Data Entry'!$ĵ$470)</f>
      </c>
      <c r="IL470">
        <f>IF(ISBLANK('Data Entry'!$Ķ$470), "", 'Data Entry'!$Ķ$470)</f>
      </c>
      <c r="IM470">
        <f>IF(ISBLANK('Data Entry'!$ķ$470), "", 'Data Entry'!$ķ$470)</f>
      </c>
      <c r="IN470">
        <f>IF(ISBLANK('Data Entry'!$ĸ$470), "", 'Data Entry'!$ĸ$470)</f>
      </c>
      <c r="IO470">
        <f>IF(ISBLANK('Data Entry'!$Ĺ$470), "", 'Data Entry'!$Ĺ$470)</f>
      </c>
      <c r="IP470">
        <f>IF(ISBLANK('Data Entry'!$ĺ$470), "", 'Data Entry'!$ĺ$470)</f>
      </c>
      <c r="IQ470">
        <f>IF(ISBLANK('Data Entry'!$Ļ$470), "", 'Data Entry'!$Ļ$470)</f>
      </c>
      <c r="IR470">
        <f>IF(ISBLANK('Data Entry'!$ļ$470), "", 'Data Entry'!$ļ$470)</f>
      </c>
      <c r="IS470">
        <f>IF(ISBLANK('Data Entry'!$Ľ$470), "", 'Data Entry'!$Ľ$470)</f>
      </c>
      <c r="IT470">
        <f>IF(ISBLANK('Data Entry'!$ľ$470), "", 'Data Entry'!$ľ$470)</f>
      </c>
    </row>
    <row r="471" spans="1:254" x14ac:dyDescent="0.25">
      <c r="A471">
        <f>IF(ISBLANK('Data Entry'!$A$471), "", 'Data Entry'!$A$471)</f>
      </c>
      <c r="B471">
        <f>IF(ISBLANK('Data Entry'!$B$471), "", 'Data Entry'!$B$471)</f>
      </c>
      <c r="C471">
        <f>IF(ISBLANK('Data Entry'!$C$471), "", 'Data Entry'!$C$471)</f>
      </c>
      <c r="D471">
        <f>IF(ISBLANK('Data Entry'!$D$471), "", 'Data Entry'!$D$471)</f>
      </c>
      <c r="E471">
        <f>IF(ISBLANK('Data Entry'!$E$471), "", 'Data Entry'!$E$471)</f>
      </c>
      <c r="F471">
        <f>IF(ISBLANK('Data Entry'!$F$471), "", 'Data Entry'!$F$471)</f>
      </c>
      <c r="G471">
        <f>IF(ISBLANK('Data Entry'!$G$471), "", 'Data Entry'!$G$471)</f>
      </c>
      <c r="H471">
        <f>IF(ISBLANK('Data Entry'!$H$471), "", 'Data Entry'!$H$471)</f>
      </c>
      <c r="I471">
        <f>IF(ISBLANK('Data Entry'!$I$471), "", 'Data Entry'!$I$471)</f>
      </c>
      <c r="J471">
        <f>IF(ISBLANK('Data Entry'!$J$471), "", 'Data Entry'!$J$471)</f>
      </c>
      <c r="K471">
        <f>IF(ISBLANK('Data Entry'!$K$471), "", 'Data Entry'!$K$471)</f>
      </c>
      <c r="L471">
        <f>IF(ISBLANK('Data Entry'!$L$471), "", 'Data Entry'!$L$471)</f>
      </c>
      <c r="M471">
        <f>IF(ISBLANK('Data Entry'!$M$471), "", 'Data Entry'!$M$471)</f>
      </c>
      <c r="N471">
        <f>IF(ISBLANK('Data Entry'!$N$471), "", 'Data Entry'!$N$471)</f>
      </c>
      <c r="O471">
        <f>IF(ISBLANK('Data Entry'!$O$471), "", 'Data Entry'!$O$471)</f>
      </c>
      <c r="P471">
        <f>IF(ISBLANK('Data Entry'!$P$471), "", 'Data Entry'!$P$471)</f>
      </c>
      <c r="Q471">
        <f>IF(ISBLANK('Data Entry'!$Q$471), "", 'Data Entry'!$Q$471)</f>
      </c>
      <c r="R471">
        <f>IF(ISBLANK('Data Entry'!$R$471), "", 'Data Entry'!$R$471)</f>
      </c>
      <c r="S471">
        <f>IF(ISBLANK('Data Entry'!$S$471), "", 'Data Entry'!$S$471)</f>
      </c>
      <c r="T471">
        <f>IF(ISBLANK('Data Entry'!$T$471), "", 'Data Entry'!$T$471)</f>
      </c>
      <c r="U471">
        <f>IF(ISBLANK('Data Entry'!$U$471), "", 'Data Entry'!$U$471)</f>
      </c>
      <c r="V471">
        <f>IF(ISBLANK('Data Entry'!$V$471), "", 'Data Entry'!$V$471)</f>
      </c>
      <c r="W471">
        <f>IF(ISBLANK('Data Entry'!$W$471), "", 'Data Entry'!$W$471)</f>
      </c>
      <c r="X471">
        <f>IF(ISBLANK('Data Entry'!$X$471), "", 'Data Entry'!$X$471)</f>
      </c>
      <c r="Y471">
        <f>IF(ISBLANK('Data Entry'!$Y$471), "", 'Data Entry'!$Y$471)</f>
      </c>
      <c r="Z471">
        <f>IF(ISBLANK('Data Entry'!$Z$471), "", 'Data Entry'!$Z$471)</f>
      </c>
      <c r="AA471">
        <f>IF(ISBLANK('Data Entry'!$[$471), "", 'Data Entry'!$[$471)</f>
      </c>
      <c r="AB471">
        <f>IF(ISBLANK('Data Entry'!$\$471), "", 'Data Entry'!$\$471)</f>
      </c>
      <c r="AC471">
        <f>IF(ISBLANK('Data Entry'!$]$471), "", 'Data Entry'!$]$471)</f>
      </c>
      <c r="AD471">
        <f>IF(ISBLANK('Data Entry'!$^$471), "", 'Data Entry'!$^$471)</f>
      </c>
      <c r="AE471">
        <f>IF(ISBLANK('Data Entry'!$_$471), "", 'Data Entry'!$_$471)</f>
      </c>
      <c r="AF471">
        <f>IF(ISBLANK('Data Entry'!$`$471), "", 'Data Entry'!$`$471)</f>
      </c>
      <c r="AG471">
        <f>IF(ISBLANK('Data Entry'!$a$471), "", 'Data Entry'!$a$471)</f>
      </c>
      <c r="AH471">
        <f>IF(ISBLANK('Data Entry'!$b$471), "", 'Data Entry'!$b$471)</f>
      </c>
      <c r="AI471">
        <f>IF(ISBLANK('Data Entry'!$c$471), "", 'Data Entry'!$c$471)</f>
      </c>
      <c r="AJ471">
        <f>IF(ISBLANK('Data Entry'!$d$471), "", 'Data Entry'!$d$471)</f>
      </c>
      <c r="AK471">
        <f>IF(ISBLANK('Data Entry'!$e$471), "", 'Data Entry'!$e$471)</f>
      </c>
      <c r="AL471">
        <f>IF(ISBLANK('Data Entry'!$f$471), "", 'Data Entry'!$f$471)</f>
      </c>
      <c r="AM471">
        <f>IF(ISBLANK('Data Entry'!$g$471), "", 'Data Entry'!$g$471)</f>
      </c>
      <c r="AN471">
        <f>IF(ISBLANK('Data Entry'!$h$471), "", 'Data Entry'!$h$471)</f>
      </c>
      <c r="AO471">
        <f>IF(ISBLANK('Data Entry'!$i$471), "", 'Data Entry'!$i$471)</f>
      </c>
      <c r="AP471">
        <f>IF(ISBLANK('Data Entry'!$j$471), "", 'Data Entry'!$j$471)</f>
      </c>
      <c r="AQ471">
        <f>IF(ISBLANK('Data Entry'!$k$471), "", 'Data Entry'!$k$471)</f>
      </c>
      <c r="AR471">
        <f>IF(ISBLANK('Data Entry'!$l$471), "", 'Data Entry'!$l$471)</f>
      </c>
      <c r="AS471">
        <f>IF(ISBLANK('Data Entry'!$m$471), "", 'Data Entry'!$m$471)</f>
      </c>
      <c r="AT471">
        <f>IF(ISBLANK('Data Entry'!$n$471), "", 'Data Entry'!$n$471)</f>
      </c>
      <c r="AU471">
        <f>IF(ISBLANK('Data Entry'!$o$471), "", 'Data Entry'!$o$471)</f>
      </c>
      <c r="AV471">
        <f>IF(ISBLANK('Data Entry'!$p$471), "", 'Data Entry'!$p$471)</f>
      </c>
      <c r="AW471">
        <f>IF(ISBLANK('Data Entry'!$q$471), "", 'Data Entry'!$q$471)</f>
      </c>
      <c r="AX471">
        <f>IF(ISBLANK('Data Entry'!$r$471), "", 'Data Entry'!$r$471)</f>
      </c>
      <c r="AY471">
        <f>IF(ISBLANK('Data Entry'!$s$471), "", 'Data Entry'!$s$471)</f>
      </c>
      <c r="AZ471">
        <f>IF(ISBLANK('Data Entry'!$t$471), "", 'Data Entry'!$t$471)</f>
      </c>
      <c r="BA471">
        <f>IF(ISBLANK('Data Entry'!$u$471), "", 'Data Entry'!$u$471)</f>
      </c>
      <c r="BB471">
        <f>IF(ISBLANK('Data Entry'!$v$471), "", 'Data Entry'!$v$471)</f>
      </c>
      <c r="BC471">
        <f>IF(ISBLANK('Data Entry'!$w$471), "", 'Data Entry'!$w$471)</f>
      </c>
      <c r="BD471">
        <f>IF(ISBLANK('Data Entry'!$x$471), "", 'Data Entry'!$x$471)</f>
      </c>
      <c r="BE471">
        <f>IF(ISBLANK('Data Entry'!$y$471), "", 'Data Entry'!$y$471)</f>
      </c>
      <c r="BF471">
        <f>IF(ISBLANK('Data Entry'!$z$471), "", 'Data Entry'!$z$471)</f>
      </c>
      <c r="BG471">
        <f>IF(ISBLANK('Data Entry'!${$471), "", 'Data Entry'!${$471)</f>
      </c>
      <c r="BH471">
        <f>IF(ISBLANK('Data Entry'!$|$471), "", 'Data Entry'!$|$471)</f>
      </c>
      <c r="BI471">
        <f>IF(ISBLANK('Data Entry'!$}$471), "", 'Data Entry'!$}$471)</f>
      </c>
      <c r="BJ471">
        <f>IF(ISBLANK('Data Entry'!$~$471), "", 'Data Entry'!$~$471)</f>
      </c>
      <c r="BK471">
        <f>IF(ISBLANK('Data Entry'!$$471), "", 'Data Entry'!$$471)</f>
      </c>
      <c r="BL471">
        <f>IF(ISBLANK('Data Entry'!$$471), "", 'Data Entry'!$$471)</f>
      </c>
      <c r="BM471">
        <f>IF(ISBLANK('Data Entry'!$$471), "", 'Data Entry'!$$471)</f>
      </c>
      <c r="BN471">
        <f>IF(ISBLANK('Data Entry'!$$471), "", 'Data Entry'!$$471)</f>
      </c>
      <c r="BO471">
        <f>IF(ISBLANK('Data Entry'!$$471), "", 'Data Entry'!$$471)</f>
      </c>
      <c r="BP471">
        <f>IF(ISBLANK('Data Entry'!$$471), "", 'Data Entry'!$$471)</f>
      </c>
      <c r="BQ471">
        <f>IF(ISBLANK('Data Entry'!$$471), "", 'Data Entry'!$$471)</f>
      </c>
      <c r="BR471">
        <f>IF(ISBLANK('Data Entry'!$$471), "", 'Data Entry'!$$471)</f>
      </c>
      <c r="BS471">
        <f>IF(ISBLANK('Data Entry'!$$471), "", 'Data Entry'!$$471)</f>
      </c>
      <c r="BT471">
        <f>IF(ISBLANK('Data Entry'!$$471), "", 'Data Entry'!$$471)</f>
      </c>
      <c r="BU471">
        <f>IF(ISBLANK('Data Entry'!$$471), "", 'Data Entry'!$$471)</f>
      </c>
      <c r="BV471">
        <f>IF(ISBLANK('Data Entry'!$$471), "", 'Data Entry'!$$471)</f>
      </c>
      <c r="BW471">
        <f>IF(ISBLANK('Data Entry'!$$471), "", 'Data Entry'!$$471)</f>
      </c>
      <c r="BX471">
        <f>IF(ISBLANK('Data Entry'!$$471), "", 'Data Entry'!$$471)</f>
      </c>
      <c r="BY471">
        <f>IF(ISBLANK('Data Entry'!$$471), "", 'Data Entry'!$$471)</f>
      </c>
      <c r="BZ471">
        <f>IF(ISBLANK('Data Entry'!$$471), "", 'Data Entry'!$$471)</f>
      </c>
      <c r="CA471">
        <f>IF(ISBLANK('Data Entry'!$$471), "", 'Data Entry'!$$471)</f>
      </c>
      <c r="CB471">
        <f>IF(ISBLANK('Data Entry'!$$471), "", 'Data Entry'!$$471)</f>
      </c>
      <c r="CC471">
        <f>IF(ISBLANK('Data Entry'!$$471), "", 'Data Entry'!$$471)</f>
      </c>
      <c r="CD471">
        <f>IF(ISBLANK('Data Entry'!$$471), "", 'Data Entry'!$$471)</f>
      </c>
      <c r="CE471">
        <f>IF(ISBLANK('Data Entry'!$$471), "", 'Data Entry'!$$471)</f>
      </c>
      <c r="CF471">
        <f>IF(ISBLANK('Data Entry'!$$471), "", 'Data Entry'!$$471)</f>
      </c>
      <c r="CG471">
        <f>IF(ISBLANK('Data Entry'!$$471), "", 'Data Entry'!$$471)</f>
      </c>
      <c r="CH471">
        <f>IF(ISBLANK('Data Entry'!$$471), "", 'Data Entry'!$$471)</f>
      </c>
      <c r="CI471">
        <f>IF(ISBLANK('Data Entry'!$$471), "", 'Data Entry'!$$471)</f>
      </c>
      <c r="CJ471">
        <f>IF(ISBLANK('Data Entry'!$$471), "", 'Data Entry'!$$471)</f>
      </c>
      <c r="CK471">
        <f>IF(ISBLANK('Data Entry'!$$471), "", 'Data Entry'!$$471)</f>
      </c>
      <c r="CL471">
        <f>IF(ISBLANK('Data Entry'!$$471), "", 'Data Entry'!$$471)</f>
      </c>
      <c r="CM471">
        <f>IF(ISBLANK('Data Entry'!$$471), "", 'Data Entry'!$$471)</f>
      </c>
      <c r="CN471">
        <f>IF(ISBLANK('Data Entry'!$$471), "", 'Data Entry'!$$471)</f>
      </c>
      <c r="CO471">
        <f>IF(ISBLANK('Data Entry'!$$471), "", 'Data Entry'!$$471)</f>
      </c>
      <c r="CP471">
        <f>IF(ISBLANK('Data Entry'!$$471), "", 'Data Entry'!$$471)</f>
      </c>
      <c r="CQ471">
        <f>IF(ISBLANK('Data Entry'!$$471), "", 'Data Entry'!$$471)</f>
      </c>
      <c r="CR471">
        <f>IF(ISBLANK('Data Entry'!$ $471), "", 'Data Entry'!$ $471)</f>
      </c>
      <c r="CS471">
        <f>IF(ISBLANK('Data Entry'!$¡$471), "", 'Data Entry'!$¡$471)</f>
      </c>
      <c r="CT471">
        <f>IF(ISBLANK('Data Entry'!$¢$471), "", 'Data Entry'!$¢$471)</f>
      </c>
      <c r="CU471">
        <f>IF(ISBLANK('Data Entry'!$£$471), "", 'Data Entry'!$£$471)</f>
      </c>
      <c r="CV471">
        <f>IF(ISBLANK('Data Entry'!$¤$471), "", 'Data Entry'!$¤$471)</f>
      </c>
      <c r="CW471">
        <f>IF(ISBLANK('Data Entry'!$¥$471), "", 'Data Entry'!$¥$471)</f>
      </c>
      <c r="CX471">
        <f>IF(ISBLANK('Data Entry'!$¦$471), "", 'Data Entry'!$¦$471)</f>
      </c>
      <c r="CY471">
        <f>IF(ISBLANK('Data Entry'!$§$471), "", 'Data Entry'!$§$471)</f>
      </c>
      <c r="CZ471">
        <f>IF(ISBLANK('Data Entry'!$¨$471), "", 'Data Entry'!$¨$471)</f>
      </c>
      <c r="DA471">
        <f>IF(ISBLANK('Data Entry'!$©$471), "", 'Data Entry'!$©$471)</f>
      </c>
      <c r="DB471">
        <f>IF(ISBLANK('Data Entry'!$ª$471), "", 'Data Entry'!$ª$471)</f>
      </c>
      <c r="DC471">
        <f>IF(ISBLANK('Data Entry'!$«$471), "", 'Data Entry'!$«$471)</f>
      </c>
      <c r="DD471">
        <f>IF(ISBLANK('Data Entry'!$¬$471), "", 'Data Entry'!$¬$471)</f>
      </c>
      <c r="DE471">
        <f>IF(ISBLANK('Data Entry'!$­$471), "", 'Data Entry'!$­$471)</f>
      </c>
      <c r="DF471">
        <f>IF(ISBLANK('Data Entry'!$®$471), "", 'Data Entry'!$®$471)</f>
      </c>
      <c r="DG471">
        <f>IF(ISBLANK('Data Entry'!$¯$471), "", 'Data Entry'!$¯$471)</f>
      </c>
      <c r="DH471">
        <f>IF(ISBLANK('Data Entry'!$°$471), "", 'Data Entry'!$°$471)</f>
      </c>
      <c r="DI471">
        <f>IF(ISBLANK('Data Entry'!$±$471), "", 'Data Entry'!$±$471)</f>
      </c>
      <c r="DJ471">
        <f>IF(ISBLANK('Data Entry'!$²$471), "", 'Data Entry'!$²$471)</f>
      </c>
      <c r="DK471">
        <f>IF(ISBLANK('Data Entry'!$³$471), "", 'Data Entry'!$³$471)</f>
      </c>
      <c r="DL471">
        <f>IF(ISBLANK('Data Entry'!$´$471), "", 'Data Entry'!$´$471)</f>
      </c>
      <c r="DM471">
        <f>IF(ISBLANK('Data Entry'!$µ$471), "", 'Data Entry'!$µ$471)</f>
      </c>
      <c r="DN471">
        <f>IF(ISBLANK('Data Entry'!$¶$471), "", 'Data Entry'!$¶$471)</f>
      </c>
      <c r="DO471">
        <f>IF(ISBLANK('Data Entry'!$·$471), "", 'Data Entry'!$·$471)</f>
      </c>
      <c r="DP471">
        <f>IF(ISBLANK('Data Entry'!$¸$471), "", 'Data Entry'!$¸$471)</f>
      </c>
      <c r="DQ471">
        <f>IF(ISBLANK('Data Entry'!$¹$471), "", 'Data Entry'!$¹$471)</f>
      </c>
      <c r="DR471">
        <f>IF(ISBLANK('Data Entry'!$º$471), "", 'Data Entry'!$º$471)</f>
      </c>
      <c r="DS471">
        <f>IF(ISBLANK('Data Entry'!$»$471), "", 'Data Entry'!$»$471)</f>
      </c>
      <c r="DT471">
        <f>IF(ISBLANK('Data Entry'!$¼$471), "", 'Data Entry'!$¼$471)</f>
      </c>
      <c r="DU471">
        <f>IF(ISBLANK('Data Entry'!$½$471), "", 'Data Entry'!$½$471)</f>
      </c>
      <c r="DV471">
        <f>IF(ISBLANK('Data Entry'!$¾$471), "", 'Data Entry'!$¾$471)</f>
      </c>
      <c r="DW471">
        <f>IF(ISBLANK('Data Entry'!$¿$471), "", 'Data Entry'!$¿$471)</f>
      </c>
      <c r="DX471">
        <f>IF(ISBLANK('Data Entry'!$À$471), "", 'Data Entry'!$À$471)</f>
      </c>
      <c r="DY471">
        <f>IF(ISBLANK('Data Entry'!$Á$471), "", 'Data Entry'!$Á$471)</f>
      </c>
      <c r="DZ471">
        <f>IF(ISBLANK('Data Entry'!$Â$471), "", 'Data Entry'!$Â$471)</f>
      </c>
      <c r="EA471">
        <f>IF(ISBLANK('Data Entry'!$Ã$471), "", 'Data Entry'!$Ã$471)</f>
      </c>
      <c r="EB471">
        <f>IF(ISBLANK('Data Entry'!$Ä$471), "", 'Data Entry'!$Ä$471)</f>
      </c>
      <c r="EC471">
        <f>IF(ISBLANK('Data Entry'!$Å$471), "", 'Data Entry'!$Å$471)</f>
      </c>
      <c r="ED471">
        <f>IF(ISBLANK('Data Entry'!$Æ$471), "", 'Data Entry'!$Æ$471)</f>
      </c>
      <c r="EE471">
        <f>IF(ISBLANK('Data Entry'!$Ç$471), "", 'Data Entry'!$Ç$471)</f>
      </c>
      <c r="EF471">
        <f>IF(ISBLANK('Data Entry'!$È$471), "", 'Data Entry'!$È$471)</f>
      </c>
      <c r="EG471">
        <f>IF(ISBLANK('Data Entry'!$É$471), "", 'Data Entry'!$É$471)</f>
      </c>
      <c r="EH471">
        <f>IF(ISBLANK('Data Entry'!$Ê$471), "", 'Data Entry'!$Ê$471)</f>
      </c>
      <c r="EI471">
        <f>IF(ISBLANK('Data Entry'!$Ë$471), "", 'Data Entry'!$Ë$471)</f>
      </c>
      <c r="EJ471">
        <f>IF(ISBLANK('Data Entry'!$Ì$471), "", 'Data Entry'!$Ì$471)</f>
      </c>
      <c r="EK471">
        <f>IF(ISBLANK('Data Entry'!$Í$471), "", 'Data Entry'!$Í$471)</f>
      </c>
      <c r="EL471">
        <f>IF(ISBLANK('Data Entry'!$Î$471), "", 'Data Entry'!$Î$471)</f>
      </c>
      <c r="EM471">
        <f>IF(ISBLANK('Data Entry'!$Ï$471), "", 'Data Entry'!$Ï$471)</f>
      </c>
      <c r="EN471">
        <f>IF(ISBLANK('Data Entry'!$Ð$471), "", 'Data Entry'!$Ð$471)</f>
      </c>
      <c r="EO471">
        <f>IF(ISBLANK('Data Entry'!$Ñ$471), "", 'Data Entry'!$Ñ$471)</f>
      </c>
      <c r="EP471">
        <f>IF(ISBLANK('Data Entry'!$Ò$471), "", 'Data Entry'!$Ò$471)</f>
      </c>
      <c r="EQ471">
        <f>IF(ISBLANK('Data Entry'!$Ó$471), "", 'Data Entry'!$Ó$471)</f>
      </c>
      <c r="ER471">
        <f>IF(ISBLANK('Data Entry'!$Ô$471), "", 'Data Entry'!$Ô$471)</f>
      </c>
      <c r="ES471">
        <f>IF(ISBLANK('Data Entry'!$Õ$471), "", 'Data Entry'!$Õ$471)</f>
      </c>
      <c r="ET471">
        <f>IF(ISBLANK('Data Entry'!$Ö$471), "", 'Data Entry'!$Ö$471)</f>
      </c>
      <c r="EU471">
        <f>IF(ISBLANK('Data Entry'!$×$471), "", 'Data Entry'!$×$471)</f>
      </c>
      <c r="EV471">
        <f>IF(ISBLANK('Data Entry'!$Ø$471), "", 'Data Entry'!$Ø$471)</f>
      </c>
      <c r="EW471">
        <f>IF(ISBLANK('Data Entry'!$Ù$471), "", 'Data Entry'!$Ù$471)</f>
      </c>
      <c r="EX471">
        <f>IF(ISBLANK('Data Entry'!$Ú$471), "", 'Data Entry'!$Ú$471)</f>
      </c>
      <c r="EY471">
        <f>IF(ISBLANK('Data Entry'!$Û$471), "", 'Data Entry'!$Û$471)</f>
      </c>
      <c r="EZ471">
        <f>IF(ISBLANK('Data Entry'!$Ü$471), "", 'Data Entry'!$Ü$471)</f>
      </c>
      <c r="FA471">
        <f>IF(ISBLANK('Data Entry'!$Ý$471), "", 'Data Entry'!$Ý$471)</f>
      </c>
      <c r="FB471">
        <f>IF(ISBLANK('Data Entry'!$Þ$471), "", 'Data Entry'!$Þ$471)</f>
      </c>
      <c r="FC471">
        <f>IF(ISBLANK('Data Entry'!$ß$471), "", 'Data Entry'!$ß$471)</f>
      </c>
      <c r="FD471">
        <f>IF(ISBLANK('Data Entry'!$à$471), "", 'Data Entry'!$à$471)</f>
      </c>
      <c r="FE471">
        <f>IF(ISBLANK('Data Entry'!$á$471), "", 'Data Entry'!$á$471)</f>
      </c>
      <c r="FF471">
        <f>IF(ISBLANK('Data Entry'!$â$471), "", 'Data Entry'!$â$471)</f>
      </c>
      <c r="FG471">
        <f>IF(ISBLANK('Data Entry'!$ã$471), "", 'Data Entry'!$ã$471)</f>
      </c>
      <c r="FH471">
        <f>IF(ISBLANK('Data Entry'!$ä$471), "", 'Data Entry'!$ä$471)</f>
      </c>
      <c r="FI471">
        <f>IF(ISBLANK('Data Entry'!$å$471), "", 'Data Entry'!$å$471)</f>
      </c>
      <c r="FJ471">
        <f>IF(ISBLANK('Data Entry'!$æ$471), "", 'Data Entry'!$æ$471)</f>
      </c>
      <c r="FK471">
        <f>IF(ISBLANK('Data Entry'!$ç$471), "", 'Data Entry'!$ç$471)</f>
      </c>
      <c r="FL471">
        <f>IF(ISBLANK('Data Entry'!$è$471), "", 'Data Entry'!$è$471)</f>
      </c>
      <c r="FM471">
        <f>IF(ISBLANK('Data Entry'!$é$471), "", 'Data Entry'!$é$471)</f>
      </c>
      <c r="FN471">
        <f>IF(ISBLANK('Data Entry'!$ê$471), "", 'Data Entry'!$ê$471)</f>
      </c>
      <c r="FO471">
        <f>IF(ISBLANK('Data Entry'!$ë$471), "", 'Data Entry'!$ë$471)</f>
      </c>
      <c r="FP471">
        <f>IF(ISBLANK('Data Entry'!$ì$471), "", 'Data Entry'!$ì$471)</f>
      </c>
      <c r="FQ471">
        <f>IF(ISBLANK('Data Entry'!$í$471), "", 'Data Entry'!$í$471)</f>
      </c>
      <c r="FR471">
        <f>IF(ISBLANK('Data Entry'!$î$471), "", 'Data Entry'!$î$471)</f>
      </c>
      <c r="FS471">
        <f>IF(ISBLANK('Data Entry'!$ï$471), "", 'Data Entry'!$ï$471)</f>
      </c>
      <c r="FT471">
        <f>IF(ISBLANK('Data Entry'!$ð$471), "", 'Data Entry'!$ð$471)</f>
      </c>
      <c r="FU471">
        <f>IF(ISBLANK('Data Entry'!$ñ$471), "", 'Data Entry'!$ñ$471)</f>
      </c>
      <c r="FV471">
        <f>IF(ISBLANK('Data Entry'!$ò$471), "", 'Data Entry'!$ò$471)</f>
      </c>
      <c r="FW471">
        <f>IF(ISBLANK('Data Entry'!$ó$471), "", 'Data Entry'!$ó$471)</f>
      </c>
      <c r="FX471">
        <f>IF(ISBLANK('Data Entry'!$ô$471), "", 'Data Entry'!$ô$471)</f>
      </c>
      <c r="FY471">
        <f>IF(ISBLANK('Data Entry'!$õ$471), "", 'Data Entry'!$õ$471)</f>
      </c>
      <c r="FZ471">
        <f>IF(ISBLANK('Data Entry'!$ö$471), "", 'Data Entry'!$ö$471)</f>
      </c>
      <c r="GA471">
        <f>IF(ISBLANK('Data Entry'!$÷$471), "", 'Data Entry'!$÷$471)</f>
      </c>
      <c r="GB471">
        <f>IF(ISBLANK('Data Entry'!$ø$471), "", 'Data Entry'!$ø$471)</f>
      </c>
      <c r="GC471">
        <f>IF(ISBLANK('Data Entry'!$ù$471), "", 'Data Entry'!$ù$471)</f>
      </c>
      <c r="GD471">
        <f>IF(ISBLANK('Data Entry'!$ú$471), "", 'Data Entry'!$ú$471)</f>
      </c>
      <c r="GE471">
        <f>IF(ISBLANK('Data Entry'!$û$471), "", 'Data Entry'!$û$471)</f>
      </c>
      <c r="GF471">
        <f>IF(ISBLANK('Data Entry'!$ü$471), "", 'Data Entry'!$ü$471)</f>
      </c>
      <c r="GG471">
        <f>IF(ISBLANK('Data Entry'!$ý$471), "", 'Data Entry'!$ý$471)</f>
      </c>
      <c r="GH471">
        <f>IF(ISBLANK('Data Entry'!$þ$471), "", 'Data Entry'!$þ$471)</f>
      </c>
      <c r="GI471">
        <f>IF(ISBLANK('Data Entry'!$ÿ$471), "", 'Data Entry'!$ÿ$471)</f>
      </c>
      <c r="GJ471">
        <f>IF(ISBLANK('Data Entry'!$Ā$471), "", 'Data Entry'!$Ā$471)</f>
      </c>
      <c r="GK471">
        <f>IF(ISBLANK('Data Entry'!$ā$471), "", 'Data Entry'!$ā$471)</f>
      </c>
      <c r="GL471">
        <f>IF(ISBLANK('Data Entry'!$Ă$471), "", 'Data Entry'!$Ă$471)</f>
      </c>
      <c r="GM471">
        <f>IF(ISBLANK('Data Entry'!$ă$471), "", 'Data Entry'!$ă$471)</f>
      </c>
      <c r="GN471">
        <f>IF(ISBLANK('Data Entry'!$Ą$471), "", 'Data Entry'!$Ą$471)</f>
      </c>
      <c r="GO471">
        <f>IF(ISBLANK('Data Entry'!$ą$471), "", 'Data Entry'!$ą$471)</f>
      </c>
      <c r="GP471">
        <f>IF(ISBLANK('Data Entry'!$Ć$471), "", 'Data Entry'!$Ć$471)</f>
      </c>
      <c r="GQ471">
        <f>IF(ISBLANK('Data Entry'!$ć$471), "", 'Data Entry'!$ć$471)</f>
      </c>
      <c r="GR471">
        <f>IF(ISBLANK('Data Entry'!$Ĉ$471), "", 'Data Entry'!$Ĉ$471)</f>
      </c>
      <c r="GS471">
        <f>IF(ISBLANK('Data Entry'!$ĉ$471), "", 'Data Entry'!$ĉ$471)</f>
      </c>
      <c r="GT471">
        <f>IF(ISBLANK('Data Entry'!$Ċ$471), "", 'Data Entry'!$Ċ$471)</f>
      </c>
      <c r="GU471">
        <f>IF(ISBLANK('Data Entry'!$ċ$471), "", 'Data Entry'!$ċ$471)</f>
      </c>
      <c r="GV471">
        <f>IF(ISBLANK('Data Entry'!$Č$471), "", 'Data Entry'!$Č$471)</f>
      </c>
      <c r="GW471">
        <f>IF(ISBLANK('Data Entry'!$č$471), "", 'Data Entry'!$č$471)</f>
      </c>
      <c r="GX471">
        <f>IF(ISBLANK('Data Entry'!$Ď$471), "", 'Data Entry'!$Ď$471)</f>
      </c>
      <c r="GY471">
        <f>IF(ISBLANK('Data Entry'!$ď$471), "", 'Data Entry'!$ď$471)</f>
      </c>
      <c r="GZ471">
        <f>IF(ISBLANK('Data Entry'!$Đ$471), "", 'Data Entry'!$Đ$471)</f>
      </c>
      <c r="HA471">
        <f>IF(ISBLANK('Data Entry'!$đ$471), "", 'Data Entry'!$đ$471)</f>
      </c>
      <c r="HB471">
        <f>IF(ISBLANK('Data Entry'!$Ē$471), "", 'Data Entry'!$Ē$471)</f>
      </c>
      <c r="HC471">
        <f>IF(ISBLANK('Data Entry'!$ē$471), "", 'Data Entry'!$ē$471)</f>
      </c>
      <c r="HD471">
        <f>IF(ISBLANK('Data Entry'!$Ĕ$471), "", 'Data Entry'!$Ĕ$471)</f>
      </c>
      <c r="HE471">
        <f>IF(ISBLANK('Data Entry'!$ĕ$471), "", 'Data Entry'!$ĕ$471)</f>
      </c>
      <c r="HF471">
        <f>IF(ISBLANK('Data Entry'!$Ė$471), "", 'Data Entry'!$Ė$471)</f>
      </c>
      <c r="HG471">
        <f>IF(ISBLANK('Data Entry'!$ė$471), "", 'Data Entry'!$ė$471)</f>
      </c>
      <c r="HH471">
        <f>IF(ISBLANK('Data Entry'!$Ę$471), "", 'Data Entry'!$Ę$471)</f>
      </c>
      <c r="HI471">
        <f>IF(ISBLANK('Data Entry'!$ę$471), "", 'Data Entry'!$ę$471)</f>
      </c>
      <c r="HJ471">
        <f>IF(ISBLANK('Data Entry'!$Ě$471), "", 'Data Entry'!$Ě$471)</f>
      </c>
      <c r="HK471">
        <f>IF(ISBLANK('Data Entry'!$ě$471), "", 'Data Entry'!$ě$471)</f>
      </c>
      <c r="HL471">
        <f>IF(ISBLANK('Data Entry'!$Ĝ$471), "", 'Data Entry'!$Ĝ$471)</f>
      </c>
      <c r="HM471">
        <f>IF(ISBLANK('Data Entry'!$ĝ$471), "", 'Data Entry'!$ĝ$471)</f>
      </c>
      <c r="HN471">
        <f>IF(ISBLANK('Data Entry'!$Ğ$471), "", 'Data Entry'!$Ğ$471)</f>
      </c>
      <c r="HO471">
        <f>IF(ISBLANK('Data Entry'!$ğ$471), "", 'Data Entry'!$ğ$471)</f>
      </c>
      <c r="HP471">
        <f>IF(ISBLANK('Data Entry'!$Ġ$471), "", 'Data Entry'!$Ġ$471)</f>
      </c>
      <c r="HQ471">
        <f>IF(ISBLANK('Data Entry'!$ġ$471), "", 'Data Entry'!$ġ$471)</f>
      </c>
      <c r="HR471">
        <f>IF(ISBLANK('Data Entry'!$Ģ$471), "", 'Data Entry'!$Ģ$471)</f>
      </c>
      <c r="HS471">
        <f>IF(ISBLANK('Data Entry'!$ģ$471), "", 'Data Entry'!$ģ$471)</f>
      </c>
      <c r="HT471">
        <f>IF(ISBLANK('Data Entry'!$Ĥ$471), "", 'Data Entry'!$Ĥ$471)</f>
      </c>
      <c r="HU471">
        <f>IF(ISBLANK('Data Entry'!$ĥ$471), "", 'Data Entry'!$ĥ$471)</f>
      </c>
      <c r="HV471">
        <f>IF(ISBLANK('Data Entry'!$Ħ$471), "", 'Data Entry'!$Ħ$471)</f>
      </c>
      <c r="HW471">
        <f>IF(ISBLANK('Data Entry'!$ħ$471), "", 'Data Entry'!$ħ$471)</f>
      </c>
      <c r="HX471">
        <f>IF(ISBLANK('Data Entry'!$Ĩ$471), "", 'Data Entry'!$Ĩ$471)</f>
      </c>
      <c r="HY471">
        <f>IF(ISBLANK('Data Entry'!$ĩ$471), "", 'Data Entry'!$ĩ$471)</f>
      </c>
      <c r="HZ471">
        <f>IF(ISBLANK('Data Entry'!$Ī$471), "", 'Data Entry'!$Ī$471)</f>
      </c>
      <c r="IA471">
        <f>IF(ISBLANK('Data Entry'!$ī$471), "", 'Data Entry'!$ī$471)</f>
      </c>
      <c r="IB471">
        <f>IF(ISBLANK('Data Entry'!$Ĭ$471), "", 'Data Entry'!$Ĭ$471)</f>
      </c>
      <c r="IC471">
        <f>IF(ISBLANK('Data Entry'!$ĭ$471), "", 'Data Entry'!$ĭ$471)</f>
      </c>
      <c r="ID471">
        <f>IF(ISBLANK('Data Entry'!$Į$471), "", 'Data Entry'!$Į$471)</f>
      </c>
      <c r="IE471">
        <f>IF(ISBLANK('Data Entry'!$į$471), "", 'Data Entry'!$į$471)</f>
      </c>
      <c r="IF471">
        <f>IF(ISBLANK('Data Entry'!$İ$471), "", 'Data Entry'!$İ$471)</f>
      </c>
      <c r="IG471">
        <f>IF(ISBLANK('Data Entry'!$ı$471), "", 'Data Entry'!$ı$471)</f>
      </c>
      <c r="IH471">
        <f>IF(ISBLANK('Data Entry'!$Ĳ$471), "", 'Data Entry'!$Ĳ$471)</f>
      </c>
      <c r="II471">
        <f>IF(ISBLANK('Data Entry'!$ĳ$471), "", 'Data Entry'!$ĳ$471)</f>
      </c>
      <c r="IJ471">
        <f>IF(ISBLANK('Data Entry'!$Ĵ$471), "", 'Data Entry'!$Ĵ$471)</f>
      </c>
      <c r="IK471">
        <f>IF(ISBLANK('Data Entry'!$ĵ$471), "", 'Data Entry'!$ĵ$471)</f>
      </c>
      <c r="IL471">
        <f>IF(ISBLANK('Data Entry'!$Ķ$471), "", 'Data Entry'!$Ķ$471)</f>
      </c>
      <c r="IM471">
        <f>IF(ISBLANK('Data Entry'!$ķ$471), "", 'Data Entry'!$ķ$471)</f>
      </c>
      <c r="IN471">
        <f>IF(ISBLANK('Data Entry'!$ĸ$471), "", 'Data Entry'!$ĸ$471)</f>
      </c>
      <c r="IO471">
        <f>IF(ISBLANK('Data Entry'!$Ĺ$471), "", 'Data Entry'!$Ĺ$471)</f>
      </c>
      <c r="IP471">
        <f>IF(ISBLANK('Data Entry'!$ĺ$471), "", 'Data Entry'!$ĺ$471)</f>
      </c>
      <c r="IQ471">
        <f>IF(ISBLANK('Data Entry'!$Ļ$471), "", 'Data Entry'!$Ļ$471)</f>
      </c>
      <c r="IR471">
        <f>IF(ISBLANK('Data Entry'!$ļ$471), "", 'Data Entry'!$ļ$471)</f>
      </c>
      <c r="IS471">
        <f>IF(ISBLANK('Data Entry'!$Ľ$471), "", 'Data Entry'!$Ľ$471)</f>
      </c>
      <c r="IT471">
        <f>IF(ISBLANK('Data Entry'!$ľ$471), "", 'Data Entry'!$ľ$471)</f>
      </c>
    </row>
    <row r="472" spans="1:254" x14ac:dyDescent="0.25">
      <c r="A472">
        <f>IF(ISBLANK('Data Entry'!$A$472), "", 'Data Entry'!$A$472)</f>
      </c>
      <c r="B472">
        <f>IF(ISBLANK('Data Entry'!$B$472), "", 'Data Entry'!$B$472)</f>
      </c>
      <c r="C472">
        <f>IF(ISBLANK('Data Entry'!$C$472), "", 'Data Entry'!$C$472)</f>
      </c>
      <c r="D472">
        <f>IF(ISBLANK('Data Entry'!$D$472), "", 'Data Entry'!$D$472)</f>
      </c>
      <c r="E472">
        <f>IF(ISBLANK('Data Entry'!$E$472), "", 'Data Entry'!$E$472)</f>
      </c>
      <c r="F472">
        <f>IF(ISBLANK('Data Entry'!$F$472), "", 'Data Entry'!$F$472)</f>
      </c>
      <c r="G472">
        <f>IF(ISBLANK('Data Entry'!$G$472), "", 'Data Entry'!$G$472)</f>
      </c>
      <c r="H472">
        <f>IF(ISBLANK('Data Entry'!$H$472), "", 'Data Entry'!$H$472)</f>
      </c>
      <c r="I472">
        <f>IF(ISBLANK('Data Entry'!$I$472), "", 'Data Entry'!$I$472)</f>
      </c>
      <c r="J472">
        <f>IF(ISBLANK('Data Entry'!$J$472), "", 'Data Entry'!$J$472)</f>
      </c>
      <c r="K472">
        <f>IF(ISBLANK('Data Entry'!$K$472), "", 'Data Entry'!$K$472)</f>
      </c>
      <c r="L472">
        <f>IF(ISBLANK('Data Entry'!$L$472), "", 'Data Entry'!$L$472)</f>
      </c>
      <c r="M472">
        <f>IF(ISBLANK('Data Entry'!$M$472), "", 'Data Entry'!$M$472)</f>
      </c>
      <c r="N472">
        <f>IF(ISBLANK('Data Entry'!$N$472), "", 'Data Entry'!$N$472)</f>
      </c>
      <c r="O472">
        <f>IF(ISBLANK('Data Entry'!$O$472), "", 'Data Entry'!$O$472)</f>
      </c>
      <c r="P472">
        <f>IF(ISBLANK('Data Entry'!$P$472), "", 'Data Entry'!$P$472)</f>
      </c>
      <c r="Q472">
        <f>IF(ISBLANK('Data Entry'!$Q$472), "", 'Data Entry'!$Q$472)</f>
      </c>
      <c r="R472">
        <f>IF(ISBLANK('Data Entry'!$R$472), "", 'Data Entry'!$R$472)</f>
      </c>
      <c r="S472">
        <f>IF(ISBLANK('Data Entry'!$S$472), "", 'Data Entry'!$S$472)</f>
      </c>
      <c r="T472">
        <f>IF(ISBLANK('Data Entry'!$T$472), "", 'Data Entry'!$T$472)</f>
      </c>
      <c r="U472">
        <f>IF(ISBLANK('Data Entry'!$U$472), "", 'Data Entry'!$U$472)</f>
      </c>
      <c r="V472">
        <f>IF(ISBLANK('Data Entry'!$V$472), "", 'Data Entry'!$V$472)</f>
      </c>
      <c r="W472">
        <f>IF(ISBLANK('Data Entry'!$W$472), "", 'Data Entry'!$W$472)</f>
      </c>
      <c r="X472">
        <f>IF(ISBLANK('Data Entry'!$X$472), "", 'Data Entry'!$X$472)</f>
      </c>
      <c r="Y472">
        <f>IF(ISBLANK('Data Entry'!$Y$472), "", 'Data Entry'!$Y$472)</f>
      </c>
      <c r="Z472">
        <f>IF(ISBLANK('Data Entry'!$Z$472), "", 'Data Entry'!$Z$472)</f>
      </c>
      <c r="AA472">
        <f>IF(ISBLANK('Data Entry'!$[$472), "", 'Data Entry'!$[$472)</f>
      </c>
      <c r="AB472">
        <f>IF(ISBLANK('Data Entry'!$\$472), "", 'Data Entry'!$\$472)</f>
      </c>
      <c r="AC472">
        <f>IF(ISBLANK('Data Entry'!$]$472), "", 'Data Entry'!$]$472)</f>
      </c>
      <c r="AD472">
        <f>IF(ISBLANK('Data Entry'!$^$472), "", 'Data Entry'!$^$472)</f>
      </c>
      <c r="AE472">
        <f>IF(ISBLANK('Data Entry'!$_$472), "", 'Data Entry'!$_$472)</f>
      </c>
      <c r="AF472">
        <f>IF(ISBLANK('Data Entry'!$`$472), "", 'Data Entry'!$`$472)</f>
      </c>
      <c r="AG472">
        <f>IF(ISBLANK('Data Entry'!$a$472), "", 'Data Entry'!$a$472)</f>
      </c>
      <c r="AH472">
        <f>IF(ISBLANK('Data Entry'!$b$472), "", 'Data Entry'!$b$472)</f>
      </c>
      <c r="AI472">
        <f>IF(ISBLANK('Data Entry'!$c$472), "", 'Data Entry'!$c$472)</f>
      </c>
      <c r="AJ472">
        <f>IF(ISBLANK('Data Entry'!$d$472), "", 'Data Entry'!$d$472)</f>
      </c>
      <c r="AK472">
        <f>IF(ISBLANK('Data Entry'!$e$472), "", 'Data Entry'!$e$472)</f>
      </c>
      <c r="AL472">
        <f>IF(ISBLANK('Data Entry'!$f$472), "", 'Data Entry'!$f$472)</f>
      </c>
      <c r="AM472">
        <f>IF(ISBLANK('Data Entry'!$g$472), "", 'Data Entry'!$g$472)</f>
      </c>
      <c r="AN472">
        <f>IF(ISBLANK('Data Entry'!$h$472), "", 'Data Entry'!$h$472)</f>
      </c>
      <c r="AO472">
        <f>IF(ISBLANK('Data Entry'!$i$472), "", 'Data Entry'!$i$472)</f>
      </c>
      <c r="AP472">
        <f>IF(ISBLANK('Data Entry'!$j$472), "", 'Data Entry'!$j$472)</f>
      </c>
      <c r="AQ472">
        <f>IF(ISBLANK('Data Entry'!$k$472), "", 'Data Entry'!$k$472)</f>
      </c>
      <c r="AR472">
        <f>IF(ISBLANK('Data Entry'!$l$472), "", 'Data Entry'!$l$472)</f>
      </c>
      <c r="AS472">
        <f>IF(ISBLANK('Data Entry'!$m$472), "", 'Data Entry'!$m$472)</f>
      </c>
      <c r="AT472">
        <f>IF(ISBLANK('Data Entry'!$n$472), "", 'Data Entry'!$n$472)</f>
      </c>
      <c r="AU472">
        <f>IF(ISBLANK('Data Entry'!$o$472), "", 'Data Entry'!$o$472)</f>
      </c>
      <c r="AV472">
        <f>IF(ISBLANK('Data Entry'!$p$472), "", 'Data Entry'!$p$472)</f>
      </c>
      <c r="AW472">
        <f>IF(ISBLANK('Data Entry'!$q$472), "", 'Data Entry'!$q$472)</f>
      </c>
      <c r="AX472">
        <f>IF(ISBLANK('Data Entry'!$r$472), "", 'Data Entry'!$r$472)</f>
      </c>
      <c r="AY472">
        <f>IF(ISBLANK('Data Entry'!$s$472), "", 'Data Entry'!$s$472)</f>
      </c>
      <c r="AZ472">
        <f>IF(ISBLANK('Data Entry'!$t$472), "", 'Data Entry'!$t$472)</f>
      </c>
      <c r="BA472">
        <f>IF(ISBLANK('Data Entry'!$u$472), "", 'Data Entry'!$u$472)</f>
      </c>
      <c r="BB472">
        <f>IF(ISBLANK('Data Entry'!$v$472), "", 'Data Entry'!$v$472)</f>
      </c>
      <c r="BC472">
        <f>IF(ISBLANK('Data Entry'!$w$472), "", 'Data Entry'!$w$472)</f>
      </c>
      <c r="BD472">
        <f>IF(ISBLANK('Data Entry'!$x$472), "", 'Data Entry'!$x$472)</f>
      </c>
      <c r="BE472">
        <f>IF(ISBLANK('Data Entry'!$y$472), "", 'Data Entry'!$y$472)</f>
      </c>
      <c r="BF472">
        <f>IF(ISBLANK('Data Entry'!$z$472), "", 'Data Entry'!$z$472)</f>
      </c>
      <c r="BG472">
        <f>IF(ISBLANK('Data Entry'!${$472), "", 'Data Entry'!${$472)</f>
      </c>
      <c r="BH472">
        <f>IF(ISBLANK('Data Entry'!$|$472), "", 'Data Entry'!$|$472)</f>
      </c>
      <c r="BI472">
        <f>IF(ISBLANK('Data Entry'!$}$472), "", 'Data Entry'!$}$472)</f>
      </c>
      <c r="BJ472">
        <f>IF(ISBLANK('Data Entry'!$~$472), "", 'Data Entry'!$~$472)</f>
      </c>
      <c r="BK472">
        <f>IF(ISBLANK('Data Entry'!$$472), "", 'Data Entry'!$$472)</f>
      </c>
      <c r="BL472">
        <f>IF(ISBLANK('Data Entry'!$$472), "", 'Data Entry'!$$472)</f>
      </c>
      <c r="BM472">
        <f>IF(ISBLANK('Data Entry'!$$472), "", 'Data Entry'!$$472)</f>
      </c>
      <c r="BN472">
        <f>IF(ISBLANK('Data Entry'!$$472), "", 'Data Entry'!$$472)</f>
      </c>
      <c r="BO472">
        <f>IF(ISBLANK('Data Entry'!$$472), "", 'Data Entry'!$$472)</f>
      </c>
      <c r="BP472">
        <f>IF(ISBLANK('Data Entry'!$$472), "", 'Data Entry'!$$472)</f>
      </c>
      <c r="BQ472">
        <f>IF(ISBLANK('Data Entry'!$$472), "", 'Data Entry'!$$472)</f>
      </c>
      <c r="BR472">
        <f>IF(ISBLANK('Data Entry'!$$472), "", 'Data Entry'!$$472)</f>
      </c>
      <c r="BS472">
        <f>IF(ISBLANK('Data Entry'!$$472), "", 'Data Entry'!$$472)</f>
      </c>
      <c r="BT472">
        <f>IF(ISBLANK('Data Entry'!$$472), "", 'Data Entry'!$$472)</f>
      </c>
      <c r="BU472">
        <f>IF(ISBLANK('Data Entry'!$$472), "", 'Data Entry'!$$472)</f>
      </c>
      <c r="BV472">
        <f>IF(ISBLANK('Data Entry'!$$472), "", 'Data Entry'!$$472)</f>
      </c>
      <c r="BW472">
        <f>IF(ISBLANK('Data Entry'!$$472), "", 'Data Entry'!$$472)</f>
      </c>
      <c r="BX472">
        <f>IF(ISBLANK('Data Entry'!$$472), "", 'Data Entry'!$$472)</f>
      </c>
      <c r="BY472">
        <f>IF(ISBLANK('Data Entry'!$$472), "", 'Data Entry'!$$472)</f>
      </c>
      <c r="BZ472">
        <f>IF(ISBLANK('Data Entry'!$$472), "", 'Data Entry'!$$472)</f>
      </c>
      <c r="CA472">
        <f>IF(ISBLANK('Data Entry'!$$472), "", 'Data Entry'!$$472)</f>
      </c>
      <c r="CB472">
        <f>IF(ISBLANK('Data Entry'!$$472), "", 'Data Entry'!$$472)</f>
      </c>
      <c r="CC472">
        <f>IF(ISBLANK('Data Entry'!$$472), "", 'Data Entry'!$$472)</f>
      </c>
      <c r="CD472">
        <f>IF(ISBLANK('Data Entry'!$$472), "", 'Data Entry'!$$472)</f>
      </c>
      <c r="CE472">
        <f>IF(ISBLANK('Data Entry'!$$472), "", 'Data Entry'!$$472)</f>
      </c>
      <c r="CF472">
        <f>IF(ISBLANK('Data Entry'!$$472), "", 'Data Entry'!$$472)</f>
      </c>
      <c r="CG472">
        <f>IF(ISBLANK('Data Entry'!$$472), "", 'Data Entry'!$$472)</f>
      </c>
      <c r="CH472">
        <f>IF(ISBLANK('Data Entry'!$$472), "", 'Data Entry'!$$472)</f>
      </c>
      <c r="CI472">
        <f>IF(ISBLANK('Data Entry'!$$472), "", 'Data Entry'!$$472)</f>
      </c>
      <c r="CJ472">
        <f>IF(ISBLANK('Data Entry'!$$472), "", 'Data Entry'!$$472)</f>
      </c>
      <c r="CK472">
        <f>IF(ISBLANK('Data Entry'!$$472), "", 'Data Entry'!$$472)</f>
      </c>
      <c r="CL472">
        <f>IF(ISBLANK('Data Entry'!$$472), "", 'Data Entry'!$$472)</f>
      </c>
      <c r="CM472">
        <f>IF(ISBLANK('Data Entry'!$$472), "", 'Data Entry'!$$472)</f>
      </c>
      <c r="CN472">
        <f>IF(ISBLANK('Data Entry'!$$472), "", 'Data Entry'!$$472)</f>
      </c>
      <c r="CO472">
        <f>IF(ISBLANK('Data Entry'!$$472), "", 'Data Entry'!$$472)</f>
      </c>
      <c r="CP472">
        <f>IF(ISBLANK('Data Entry'!$$472), "", 'Data Entry'!$$472)</f>
      </c>
      <c r="CQ472">
        <f>IF(ISBLANK('Data Entry'!$$472), "", 'Data Entry'!$$472)</f>
      </c>
      <c r="CR472">
        <f>IF(ISBLANK('Data Entry'!$ $472), "", 'Data Entry'!$ $472)</f>
      </c>
      <c r="CS472">
        <f>IF(ISBLANK('Data Entry'!$¡$472), "", 'Data Entry'!$¡$472)</f>
      </c>
      <c r="CT472">
        <f>IF(ISBLANK('Data Entry'!$¢$472), "", 'Data Entry'!$¢$472)</f>
      </c>
      <c r="CU472">
        <f>IF(ISBLANK('Data Entry'!$£$472), "", 'Data Entry'!$£$472)</f>
      </c>
      <c r="CV472">
        <f>IF(ISBLANK('Data Entry'!$¤$472), "", 'Data Entry'!$¤$472)</f>
      </c>
      <c r="CW472">
        <f>IF(ISBLANK('Data Entry'!$¥$472), "", 'Data Entry'!$¥$472)</f>
      </c>
      <c r="CX472">
        <f>IF(ISBLANK('Data Entry'!$¦$472), "", 'Data Entry'!$¦$472)</f>
      </c>
      <c r="CY472">
        <f>IF(ISBLANK('Data Entry'!$§$472), "", 'Data Entry'!$§$472)</f>
      </c>
      <c r="CZ472">
        <f>IF(ISBLANK('Data Entry'!$¨$472), "", 'Data Entry'!$¨$472)</f>
      </c>
      <c r="DA472">
        <f>IF(ISBLANK('Data Entry'!$©$472), "", 'Data Entry'!$©$472)</f>
      </c>
      <c r="DB472">
        <f>IF(ISBLANK('Data Entry'!$ª$472), "", 'Data Entry'!$ª$472)</f>
      </c>
      <c r="DC472">
        <f>IF(ISBLANK('Data Entry'!$«$472), "", 'Data Entry'!$«$472)</f>
      </c>
      <c r="DD472">
        <f>IF(ISBLANK('Data Entry'!$¬$472), "", 'Data Entry'!$¬$472)</f>
      </c>
      <c r="DE472">
        <f>IF(ISBLANK('Data Entry'!$­$472), "", 'Data Entry'!$­$472)</f>
      </c>
      <c r="DF472">
        <f>IF(ISBLANK('Data Entry'!$®$472), "", 'Data Entry'!$®$472)</f>
      </c>
      <c r="DG472">
        <f>IF(ISBLANK('Data Entry'!$¯$472), "", 'Data Entry'!$¯$472)</f>
      </c>
      <c r="DH472">
        <f>IF(ISBLANK('Data Entry'!$°$472), "", 'Data Entry'!$°$472)</f>
      </c>
      <c r="DI472">
        <f>IF(ISBLANK('Data Entry'!$±$472), "", 'Data Entry'!$±$472)</f>
      </c>
      <c r="DJ472">
        <f>IF(ISBLANK('Data Entry'!$²$472), "", 'Data Entry'!$²$472)</f>
      </c>
      <c r="DK472">
        <f>IF(ISBLANK('Data Entry'!$³$472), "", 'Data Entry'!$³$472)</f>
      </c>
      <c r="DL472">
        <f>IF(ISBLANK('Data Entry'!$´$472), "", 'Data Entry'!$´$472)</f>
      </c>
      <c r="DM472">
        <f>IF(ISBLANK('Data Entry'!$µ$472), "", 'Data Entry'!$µ$472)</f>
      </c>
      <c r="DN472">
        <f>IF(ISBLANK('Data Entry'!$¶$472), "", 'Data Entry'!$¶$472)</f>
      </c>
      <c r="DO472">
        <f>IF(ISBLANK('Data Entry'!$·$472), "", 'Data Entry'!$·$472)</f>
      </c>
      <c r="DP472">
        <f>IF(ISBLANK('Data Entry'!$¸$472), "", 'Data Entry'!$¸$472)</f>
      </c>
      <c r="DQ472">
        <f>IF(ISBLANK('Data Entry'!$¹$472), "", 'Data Entry'!$¹$472)</f>
      </c>
      <c r="DR472">
        <f>IF(ISBLANK('Data Entry'!$º$472), "", 'Data Entry'!$º$472)</f>
      </c>
      <c r="DS472">
        <f>IF(ISBLANK('Data Entry'!$»$472), "", 'Data Entry'!$»$472)</f>
      </c>
      <c r="DT472">
        <f>IF(ISBLANK('Data Entry'!$¼$472), "", 'Data Entry'!$¼$472)</f>
      </c>
      <c r="DU472">
        <f>IF(ISBLANK('Data Entry'!$½$472), "", 'Data Entry'!$½$472)</f>
      </c>
      <c r="DV472">
        <f>IF(ISBLANK('Data Entry'!$¾$472), "", 'Data Entry'!$¾$472)</f>
      </c>
      <c r="DW472">
        <f>IF(ISBLANK('Data Entry'!$¿$472), "", 'Data Entry'!$¿$472)</f>
      </c>
      <c r="DX472">
        <f>IF(ISBLANK('Data Entry'!$À$472), "", 'Data Entry'!$À$472)</f>
      </c>
      <c r="DY472">
        <f>IF(ISBLANK('Data Entry'!$Á$472), "", 'Data Entry'!$Á$472)</f>
      </c>
      <c r="DZ472">
        <f>IF(ISBLANK('Data Entry'!$Â$472), "", 'Data Entry'!$Â$472)</f>
      </c>
      <c r="EA472">
        <f>IF(ISBLANK('Data Entry'!$Ã$472), "", 'Data Entry'!$Ã$472)</f>
      </c>
      <c r="EB472">
        <f>IF(ISBLANK('Data Entry'!$Ä$472), "", 'Data Entry'!$Ä$472)</f>
      </c>
      <c r="EC472">
        <f>IF(ISBLANK('Data Entry'!$Å$472), "", 'Data Entry'!$Å$472)</f>
      </c>
      <c r="ED472">
        <f>IF(ISBLANK('Data Entry'!$Æ$472), "", 'Data Entry'!$Æ$472)</f>
      </c>
      <c r="EE472">
        <f>IF(ISBLANK('Data Entry'!$Ç$472), "", 'Data Entry'!$Ç$472)</f>
      </c>
      <c r="EF472">
        <f>IF(ISBLANK('Data Entry'!$È$472), "", 'Data Entry'!$È$472)</f>
      </c>
      <c r="EG472">
        <f>IF(ISBLANK('Data Entry'!$É$472), "", 'Data Entry'!$É$472)</f>
      </c>
      <c r="EH472">
        <f>IF(ISBLANK('Data Entry'!$Ê$472), "", 'Data Entry'!$Ê$472)</f>
      </c>
      <c r="EI472">
        <f>IF(ISBLANK('Data Entry'!$Ë$472), "", 'Data Entry'!$Ë$472)</f>
      </c>
      <c r="EJ472">
        <f>IF(ISBLANK('Data Entry'!$Ì$472), "", 'Data Entry'!$Ì$472)</f>
      </c>
      <c r="EK472">
        <f>IF(ISBLANK('Data Entry'!$Í$472), "", 'Data Entry'!$Í$472)</f>
      </c>
      <c r="EL472">
        <f>IF(ISBLANK('Data Entry'!$Î$472), "", 'Data Entry'!$Î$472)</f>
      </c>
      <c r="EM472">
        <f>IF(ISBLANK('Data Entry'!$Ï$472), "", 'Data Entry'!$Ï$472)</f>
      </c>
      <c r="EN472">
        <f>IF(ISBLANK('Data Entry'!$Ð$472), "", 'Data Entry'!$Ð$472)</f>
      </c>
      <c r="EO472">
        <f>IF(ISBLANK('Data Entry'!$Ñ$472), "", 'Data Entry'!$Ñ$472)</f>
      </c>
      <c r="EP472">
        <f>IF(ISBLANK('Data Entry'!$Ò$472), "", 'Data Entry'!$Ò$472)</f>
      </c>
      <c r="EQ472">
        <f>IF(ISBLANK('Data Entry'!$Ó$472), "", 'Data Entry'!$Ó$472)</f>
      </c>
      <c r="ER472">
        <f>IF(ISBLANK('Data Entry'!$Ô$472), "", 'Data Entry'!$Ô$472)</f>
      </c>
      <c r="ES472">
        <f>IF(ISBLANK('Data Entry'!$Õ$472), "", 'Data Entry'!$Õ$472)</f>
      </c>
      <c r="ET472">
        <f>IF(ISBLANK('Data Entry'!$Ö$472), "", 'Data Entry'!$Ö$472)</f>
      </c>
      <c r="EU472">
        <f>IF(ISBLANK('Data Entry'!$×$472), "", 'Data Entry'!$×$472)</f>
      </c>
      <c r="EV472">
        <f>IF(ISBLANK('Data Entry'!$Ø$472), "", 'Data Entry'!$Ø$472)</f>
      </c>
      <c r="EW472">
        <f>IF(ISBLANK('Data Entry'!$Ù$472), "", 'Data Entry'!$Ù$472)</f>
      </c>
      <c r="EX472">
        <f>IF(ISBLANK('Data Entry'!$Ú$472), "", 'Data Entry'!$Ú$472)</f>
      </c>
      <c r="EY472">
        <f>IF(ISBLANK('Data Entry'!$Û$472), "", 'Data Entry'!$Û$472)</f>
      </c>
      <c r="EZ472">
        <f>IF(ISBLANK('Data Entry'!$Ü$472), "", 'Data Entry'!$Ü$472)</f>
      </c>
      <c r="FA472">
        <f>IF(ISBLANK('Data Entry'!$Ý$472), "", 'Data Entry'!$Ý$472)</f>
      </c>
      <c r="FB472">
        <f>IF(ISBLANK('Data Entry'!$Þ$472), "", 'Data Entry'!$Þ$472)</f>
      </c>
      <c r="FC472">
        <f>IF(ISBLANK('Data Entry'!$ß$472), "", 'Data Entry'!$ß$472)</f>
      </c>
      <c r="FD472">
        <f>IF(ISBLANK('Data Entry'!$à$472), "", 'Data Entry'!$à$472)</f>
      </c>
      <c r="FE472">
        <f>IF(ISBLANK('Data Entry'!$á$472), "", 'Data Entry'!$á$472)</f>
      </c>
      <c r="FF472">
        <f>IF(ISBLANK('Data Entry'!$â$472), "", 'Data Entry'!$â$472)</f>
      </c>
      <c r="FG472">
        <f>IF(ISBLANK('Data Entry'!$ã$472), "", 'Data Entry'!$ã$472)</f>
      </c>
      <c r="FH472">
        <f>IF(ISBLANK('Data Entry'!$ä$472), "", 'Data Entry'!$ä$472)</f>
      </c>
      <c r="FI472">
        <f>IF(ISBLANK('Data Entry'!$å$472), "", 'Data Entry'!$å$472)</f>
      </c>
      <c r="FJ472">
        <f>IF(ISBLANK('Data Entry'!$æ$472), "", 'Data Entry'!$æ$472)</f>
      </c>
      <c r="FK472">
        <f>IF(ISBLANK('Data Entry'!$ç$472), "", 'Data Entry'!$ç$472)</f>
      </c>
      <c r="FL472">
        <f>IF(ISBLANK('Data Entry'!$è$472), "", 'Data Entry'!$è$472)</f>
      </c>
      <c r="FM472">
        <f>IF(ISBLANK('Data Entry'!$é$472), "", 'Data Entry'!$é$472)</f>
      </c>
      <c r="FN472">
        <f>IF(ISBLANK('Data Entry'!$ê$472), "", 'Data Entry'!$ê$472)</f>
      </c>
      <c r="FO472">
        <f>IF(ISBLANK('Data Entry'!$ë$472), "", 'Data Entry'!$ë$472)</f>
      </c>
      <c r="FP472">
        <f>IF(ISBLANK('Data Entry'!$ì$472), "", 'Data Entry'!$ì$472)</f>
      </c>
      <c r="FQ472">
        <f>IF(ISBLANK('Data Entry'!$í$472), "", 'Data Entry'!$í$472)</f>
      </c>
      <c r="FR472">
        <f>IF(ISBLANK('Data Entry'!$î$472), "", 'Data Entry'!$î$472)</f>
      </c>
      <c r="FS472">
        <f>IF(ISBLANK('Data Entry'!$ï$472), "", 'Data Entry'!$ï$472)</f>
      </c>
      <c r="FT472">
        <f>IF(ISBLANK('Data Entry'!$ð$472), "", 'Data Entry'!$ð$472)</f>
      </c>
      <c r="FU472">
        <f>IF(ISBLANK('Data Entry'!$ñ$472), "", 'Data Entry'!$ñ$472)</f>
      </c>
      <c r="FV472">
        <f>IF(ISBLANK('Data Entry'!$ò$472), "", 'Data Entry'!$ò$472)</f>
      </c>
      <c r="FW472">
        <f>IF(ISBLANK('Data Entry'!$ó$472), "", 'Data Entry'!$ó$472)</f>
      </c>
      <c r="FX472">
        <f>IF(ISBLANK('Data Entry'!$ô$472), "", 'Data Entry'!$ô$472)</f>
      </c>
      <c r="FY472">
        <f>IF(ISBLANK('Data Entry'!$õ$472), "", 'Data Entry'!$õ$472)</f>
      </c>
      <c r="FZ472">
        <f>IF(ISBLANK('Data Entry'!$ö$472), "", 'Data Entry'!$ö$472)</f>
      </c>
      <c r="GA472">
        <f>IF(ISBLANK('Data Entry'!$÷$472), "", 'Data Entry'!$÷$472)</f>
      </c>
      <c r="GB472">
        <f>IF(ISBLANK('Data Entry'!$ø$472), "", 'Data Entry'!$ø$472)</f>
      </c>
      <c r="GC472">
        <f>IF(ISBLANK('Data Entry'!$ù$472), "", 'Data Entry'!$ù$472)</f>
      </c>
      <c r="GD472">
        <f>IF(ISBLANK('Data Entry'!$ú$472), "", 'Data Entry'!$ú$472)</f>
      </c>
      <c r="GE472">
        <f>IF(ISBLANK('Data Entry'!$û$472), "", 'Data Entry'!$û$472)</f>
      </c>
      <c r="GF472">
        <f>IF(ISBLANK('Data Entry'!$ü$472), "", 'Data Entry'!$ü$472)</f>
      </c>
      <c r="GG472">
        <f>IF(ISBLANK('Data Entry'!$ý$472), "", 'Data Entry'!$ý$472)</f>
      </c>
      <c r="GH472">
        <f>IF(ISBLANK('Data Entry'!$þ$472), "", 'Data Entry'!$þ$472)</f>
      </c>
      <c r="GI472">
        <f>IF(ISBLANK('Data Entry'!$ÿ$472), "", 'Data Entry'!$ÿ$472)</f>
      </c>
      <c r="GJ472">
        <f>IF(ISBLANK('Data Entry'!$Ā$472), "", 'Data Entry'!$Ā$472)</f>
      </c>
      <c r="GK472">
        <f>IF(ISBLANK('Data Entry'!$ā$472), "", 'Data Entry'!$ā$472)</f>
      </c>
      <c r="GL472">
        <f>IF(ISBLANK('Data Entry'!$Ă$472), "", 'Data Entry'!$Ă$472)</f>
      </c>
      <c r="GM472">
        <f>IF(ISBLANK('Data Entry'!$ă$472), "", 'Data Entry'!$ă$472)</f>
      </c>
      <c r="GN472">
        <f>IF(ISBLANK('Data Entry'!$Ą$472), "", 'Data Entry'!$Ą$472)</f>
      </c>
      <c r="GO472">
        <f>IF(ISBLANK('Data Entry'!$ą$472), "", 'Data Entry'!$ą$472)</f>
      </c>
      <c r="GP472">
        <f>IF(ISBLANK('Data Entry'!$Ć$472), "", 'Data Entry'!$Ć$472)</f>
      </c>
      <c r="GQ472">
        <f>IF(ISBLANK('Data Entry'!$ć$472), "", 'Data Entry'!$ć$472)</f>
      </c>
      <c r="GR472">
        <f>IF(ISBLANK('Data Entry'!$Ĉ$472), "", 'Data Entry'!$Ĉ$472)</f>
      </c>
      <c r="GS472">
        <f>IF(ISBLANK('Data Entry'!$ĉ$472), "", 'Data Entry'!$ĉ$472)</f>
      </c>
      <c r="GT472">
        <f>IF(ISBLANK('Data Entry'!$Ċ$472), "", 'Data Entry'!$Ċ$472)</f>
      </c>
      <c r="GU472">
        <f>IF(ISBLANK('Data Entry'!$ċ$472), "", 'Data Entry'!$ċ$472)</f>
      </c>
      <c r="GV472">
        <f>IF(ISBLANK('Data Entry'!$Č$472), "", 'Data Entry'!$Č$472)</f>
      </c>
      <c r="GW472">
        <f>IF(ISBLANK('Data Entry'!$č$472), "", 'Data Entry'!$č$472)</f>
      </c>
      <c r="GX472">
        <f>IF(ISBLANK('Data Entry'!$Ď$472), "", 'Data Entry'!$Ď$472)</f>
      </c>
      <c r="GY472">
        <f>IF(ISBLANK('Data Entry'!$ď$472), "", 'Data Entry'!$ď$472)</f>
      </c>
      <c r="GZ472">
        <f>IF(ISBLANK('Data Entry'!$Đ$472), "", 'Data Entry'!$Đ$472)</f>
      </c>
      <c r="HA472">
        <f>IF(ISBLANK('Data Entry'!$đ$472), "", 'Data Entry'!$đ$472)</f>
      </c>
      <c r="HB472">
        <f>IF(ISBLANK('Data Entry'!$Ē$472), "", 'Data Entry'!$Ē$472)</f>
      </c>
      <c r="HC472">
        <f>IF(ISBLANK('Data Entry'!$ē$472), "", 'Data Entry'!$ē$472)</f>
      </c>
      <c r="HD472">
        <f>IF(ISBLANK('Data Entry'!$Ĕ$472), "", 'Data Entry'!$Ĕ$472)</f>
      </c>
      <c r="HE472">
        <f>IF(ISBLANK('Data Entry'!$ĕ$472), "", 'Data Entry'!$ĕ$472)</f>
      </c>
      <c r="HF472">
        <f>IF(ISBLANK('Data Entry'!$Ė$472), "", 'Data Entry'!$Ė$472)</f>
      </c>
      <c r="HG472">
        <f>IF(ISBLANK('Data Entry'!$ė$472), "", 'Data Entry'!$ė$472)</f>
      </c>
      <c r="HH472">
        <f>IF(ISBLANK('Data Entry'!$Ę$472), "", 'Data Entry'!$Ę$472)</f>
      </c>
      <c r="HI472">
        <f>IF(ISBLANK('Data Entry'!$ę$472), "", 'Data Entry'!$ę$472)</f>
      </c>
      <c r="HJ472">
        <f>IF(ISBLANK('Data Entry'!$Ě$472), "", 'Data Entry'!$Ě$472)</f>
      </c>
      <c r="HK472">
        <f>IF(ISBLANK('Data Entry'!$ě$472), "", 'Data Entry'!$ě$472)</f>
      </c>
      <c r="HL472">
        <f>IF(ISBLANK('Data Entry'!$Ĝ$472), "", 'Data Entry'!$Ĝ$472)</f>
      </c>
      <c r="HM472">
        <f>IF(ISBLANK('Data Entry'!$ĝ$472), "", 'Data Entry'!$ĝ$472)</f>
      </c>
      <c r="HN472">
        <f>IF(ISBLANK('Data Entry'!$Ğ$472), "", 'Data Entry'!$Ğ$472)</f>
      </c>
      <c r="HO472">
        <f>IF(ISBLANK('Data Entry'!$ğ$472), "", 'Data Entry'!$ğ$472)</f>
      </c>
      <c r="HP472">
        <f>IF(ISBLANK('Data Entry'!$Ġ$472), "", 'Data Entry'!$Ġ$472)</f>
      </c>
      <c r="HQ472">
        <f>IF(ISBLANK('Data Entry'!$ġ$472), "", 'Data Entry'!$ġ$472)</f>
      </c>
      <c r="HR472">
        <f>IF(ISBLANK('Data Entry'!$Ģ$472), "", 'Data Entry'!$Ģ$472)</f>
      </c>
      <c r="HS472">
        <f>IF(ISBLANK('Data Entry'!$ģ$472), "", 'Data Entry'!$ģ$472)</f>
      </c>
      <c r="HT472">
        <f>IF(ISBLANK('Data Entry'!$Ĥ$472), "", 'Data Entry'!$Ĥ$472)</f>
      </c>
      <c r="HU472">
        <f>IF(ISBLANK('Data Entry'!$ĥ$472), "", 'Data Entry'!$ĥ$472)</f>
      </c>
      <c r="HV472">
        <f>IF(ISBLANK('Data Entry'!$Ħ$472), "", 'Data Entry'!$Ħ$472)</f>
      </c>
      <c r="HW472">
        <f>IF(ISBLANK('Data Entry'!$ħ$472), "", 'Data Entry'!$ħ$472)</f>
      </c>
      <c r="HX472">
        <f>IF(ISBLANK('Data Entry'!$Ĩ$472), "", 'Data Entry'!$Ĩ$472)</f>
      </c>
      <c r="HY472">
        <f>IF(ISBLANK('Data Entry'!$ĩ$472), "", 'Data Entry'!$ĩ$472)</f>
      </c>
      <c r="HZ472">
        <f>IF(ISBLANK('Data Entry'!$Ī$472), "", 'Data Entry'!$Ī$472)</f>
      </c>
      <c r="IA472">
        <f>IF(ISBLANK('Data Entry'!$ī$472), "", 'Data Entry'!$ī$472)</f>
      </c>
      <c r="IB472">
        <f>IF(ISBLANK('Data Entry'!$Ĭ$472), "", 'Data Entry'!$Ĭ$472)</f>
      </c>
      <c r="IC472">
        <f>IF(ISBLANK('Data Entry'!$ĭ$472), "", 'Data Entry'!$ĭ$472)</f>
      </c>
      <c r="ID472">
        <f>IF(ISBLANK('Data Entry'!$Į$472), "", 'Data Entry'!$Į$472)</f>
      </c>
      <c r="IE472">
        <f>IF(ISBLANK('Data Entry'!$į$472), "", 'Data Entry'!$į$472)</f>
      </c>
      <c r="IF472">
        <f>IF(ISBLANK('Data Entry'!$İ$472), "", 'Data Entry'!$İ$472)</f>
      </c>
      <c r="IG472">
        <f>IF(ISBLANK('Data Entry'!$ı$472), "", 'Data Entry'!$ı$472)</f>
      </c>
      <c r="IH472">
        <f>IF(ISBLANK('Data Entry'!$Ĳ$472), "", 'Data Entry'!$Ĳ$472)</f>
      </c>
      <c r="II472">
        <f>IF(ISBLANK('Data Entry'!$ĳ$472), "", 'Data Entry'!$ĳ$472)</f>
      </c>
      <c r="IJ472">
        <f>IF(ISBLANK('Data Entry'!$Ĵ$472), "", 'Data Entry'!$Ĵ$472)</f>
      </c>
      <c r="IK472">
        <f>IF(ISBLANK('Data Entry'!$ĵ$472), "", 'Data Entry'!$ĵ$472)</f>
      </c>
      <c r="IL472">
        <f>IF(ISBLANK('Data Entry'!$Ķ$472), "", 'Data Entry'!$Ķ$472)</f>
      </c>
      <c r="IM472">
        <f>IF(ISBLANK('Data Entry'!$ķ$472), "", 'Data Entry'!$ķ$472)</f>
      </c>
      <c r="IN472">
        <f>IF(ISBLANK('Data Entry'!$ĸ$472), "", 'Data Entry'!$ĸ$472)</f>
      </c>
      <c r="IO472">
        <f>IF(ISBLANK('Data Entry'!$Ĺ$472), "", 'Data Entry'!$Ĺ$472)</f>
      </c>
      <c r="IP472">
        <f>IF(ISBLANK('Data Entry'!$ĺ$472), "", 'Data Entry'!$ĺ$472)</f>
      </c>
      <c r="IQ472">
        <f>IF(ISBLANK('Data Entry'!$Ļ$472), "", 'Data Entry'!$Ļ$472)</f>
      </c>
      <c r="IR472">
        <f>IF(ISBLANK('Data Entry'!$ļ$472), "", 'Data Entry'!$ļ$472)</f>
      </c>
      <c r="IS472">
        <f>IF(ISBLANK('Data Entry'!$Ľ$472), "", 'Data Entry'!$Ľ$472)</f>
      </c>
      <c r="IT472">
        <f>IF(ISBLANK('Data Entry'!$ľ$472), "", 'Data Entry'!$ľ$472)</f>
      </c>
    </row>
    <row r="473" spans="1:254" x14ac:dyDescent="0.25">
      <c r="A473">
        <f>IF(ISBLANK('Data Entry'!$A$473), "", 'Data Entry'!$A$473)</f>
      </c>
      <c r="B473">
        <f>IF(ISBLANK('Data Entry'!$B$473), "", 'Data Entry'!$B$473)</f>
      </c>
      <c r="C473">
        <f>IF(ISBLANK('Data Entry'!$C$473), "", 'Data Entry'!$C$473)</f>
      </c>
      <c r="D473">
        <f>IF(ISBLANK('Data Entry'!$D$473), "", 'Data Entry'!$D$473)</f>
      </c>
      <c r="E473">
        <f>IF(ISBLANK('Data Entry'!$E$473), "", 'Data Entry'!$E$473)</f>
      </c>
      <c r="F473">
        <f>IF(ISBLANK('Data Entry'!$F$473), "", 'Data Entry'!$F$473)</f>
      </c>
      <c r="G473">
        <f>IF(ISBLANK('Data Entry'!$G$473), "", 'Data Entry'!$G$473)</f>
      </c>
      <c r="H473">
        <f>IF(ISBLANK('Data Entry'!$H$473), "", 'Data Entry'!$H$473)</f>
      </c>
      <c r="I473">
        <f>IF(ISBLANK('Data Entry'!$I$473), "", 'Data Entry'!$I$473)</f>
      </c>
      <c r="J473">
        <f>IF(ISBLANK('Data Entry'!$J$473), "", 'Data Entry'!$J$473)</f>
      </c>
      <c r="K473">
        <f>IF(ISBLANK('Data Entry'!$K$473), "", 'Data Entry'!$K$473)</f>
      </c>
      <c r="L473">
        <f>IF(ISBLANK('Data Entry'!$L$473), "", 'Data Entry'!$L$473)</f>
      </c>
      <c r="M473">
        <f>IF(ISBLANK('Data Entry'!$M$473), "", 'Data Entry'!$M$473)</f>
      </c>
      <c r="N473">
        <f>IF(ISBLANK('Data Entry'!$N$473), "", 'Data Entry'!$N$473)</f>
      </c>
      <c r="O473">
        <f>IF(ISBLANK('Data Entry'!$O$473), "", 'Data Entry'!$O$473)</f>
      </c>
      <c r="P473">
        <f>IF(ISBLANK('Data Entry'!$P$473), "", 'Data Entry'!$P$473)</f>
      </c>
      <c r="Q473">
        <f>IF(ISBLANK('Data Entry'!$Q$473), "", 'Data Entry'!$Q$473)</f>
      </c>
      <c r="R473">
        <f>IF(ISBLANK('Data Entry'!$R$473), "", 'Data Entry'!$R$473)</f>
      </c>
      <c r="S473">
        <f>IF(ISBLANK('Data Entry'!$S$473), "", 'Data Entry'!$S$473)</f>
      </c>
      <c r="T473">
        <f>IF(ISBLANK('Data Entry'!$T$473), "", 'Data Entry'!$T$473)</f>
      </c>
      <c r="U473">
        <f>IF(ISBLANK('Data Entry'!$U$473), "", 'Data Entry'!$U$473)</f>
      </c>
      <c r="V473">
        <f>IF(ISBLANK('Data Entry'!$V$473), "", 'Data Entry'!$V$473)</f>
      </c>
      <c r="W473">
        <f>IF(ISBLANK('Data Entry'!$W$473), "", 'Data Entry'!$W$473)</f>
      </c>
      <c r="X473">
        <f>IF(ISBLANK('Data Entry'!$X$473), "", 'Data Entry'!$X$473)</f>
      </c>
      <c r="Y473">
        <f>IF(ISBLANK('Data Entry'!$Y$473), "", 'Data Entry'!$Y$473)</f>
      </c>
      <c r="Z473">
        <f>IF(ISBLANK('Data Entry'!$Z$473), "", 'Data Entry'!$Z$473)</f>
      </c>
      <c r="AA473">
        <f>IF(ISBLANK('Data Entry'!$[$473), "", 'Data Entry'!$[$473)</f>
      </c>
      <c r="AB473">
        <f>IF(ISBLANK('Data Entry'!$\$473), "", 'Data Entry'!$\$473)</f>
      </c>
      <c r="AC473">
        <f>IF(ISBLANK('Data Entry'!$]$473), "", 'Data Entry'!$]$473)</f>
      </c>
      <c r="AD473">
        <f>IF(ISBLANK('Data Entry'!$^$473), "", 'Data Entry'!$^$473)</f>
      </c>
      <c r="AE473">
        <f>IF(ISBLANK('Data Entry'!$_$473), "", 'Data Entry'!$_$473)</f>
      </c>
      <c r="AF473">
        <f>IF(ISBLANK('Data Entry'!$`$473), "", 'Data Entry'!$`$473)</f>
      </c>
      <c r="AG473">
        <f>IF(ISBLANK('Data Entry'!$a$473), "", 'Data Entry'!$a$473)</f>
      </c>
      <c r="AH473">
        <f>IF(ISBLANK('Data Entry'!$b$473), "", 'Data Entry'!$b$473)</f>
      </c>
      <c r="AI473">
        <f>IF(ISBLANK('Data Entry'!$c$473), "", 'Data Entry'!$c$473)</f>
      </c>
      <c r="AJ473">
        <f>IF(ISBLANK('Data Entry'!$d$473), "", 'Data Entry'!$d$473)</f>
      </c>
      <c r="AK473">
        <f>IF(ISBLANK('Data Entry'!$e$473), "", 'Data Entry'!$e$473)</f>
      </c>
      <c r="AL473">
        <f>IF(ISBLANK('Data Entry'!$f$473), "", 'Data Entry'!$f$473)</f>
      </c>
      <c r="AM473">
        <f>IF(ISBLANK('Data Entry'!$g$473), "", 'Data Entry'!$g$473)</f>
      </c>
      <c r="AN473">
        <f>IF(ISBLANK('Data Entry'!$h$473), "", 'Data Entry'!$h$473)</f>
      </c>
      <c r="AO473">
        <f>IF(ISBLANK('Data Entry'!$i$473), "", 'Data Entry'!$i$473)</f>
      </c>
      <c r="AP473">
        <f>IF(ISBLANK('Data Entry'!$j$473), "", 'Data Entry'!$j$473)</f>
      </c>
      <c r="AQ473">
        <f>IF(ISBLANK('Data Entry'!$k$473), "", 'Data Entry'!$k$473)</f>
      </c>
      <c r="AR473">
        <f>IF(ISBLANK('Data Entry'!$l$473), "", 'Data Entry'!$l$473)</f>
      </c>
      <c r="AS473">
        <f>IF(ISBLANK('Data Entry'!$m$473), "", 'Data Entry'!$m$473)</f>
      </c>
      <c r="AT473">
        <f>IF(ISBLANK('Data Entry'!$n$473), "", 'Data Entry'!$n$473)</f>
      </c>
      <c r="AU473">
        <f>IF(ISBLANK('Data Entry'!$o$473), "", 'Data Entry'!$o$473)</f>
      </c>
      <c r="AV473">
        <f>IF(ISBLANK('Data Entry'!$p$473), "", 'Data Entry'!$p$473)</f>
      </c>
      <c r="AW473">
        <f>IF(ISBLANK('Data Entry'!$q$473), "", 'Data Entry'!$q$473)</f>
      </c>
      <c r="AX473">
        <f>IF(ISBLANK('Data Entry'!$r$473), "", 'Data Entry'!$r$473)</f>
      </c>
      <c r="AY473">
        <f>IF(ISBLANK('Data Entry'!$s$473), "", 'Data Entry'!$s$473)</f>
      </c>
      <c r="AZ473">
        <f>IF(ISBLANK('Data Entry'!$t$473), "", 'Data Entry'!$t$473)</f>
      </c>
      <c r="BA473">
        <f>IF(ISBLANK('Data Entry'!$u$473), "", 'Data Entry'!$u$473)</f>
      </c>
      <c r="BB473">
        <f>IF(ISBLANK('Data Entry'!$v$473), "", 'Data Entry'!$v$473)</f>
      </c>
      <c r="BC473">
        <f>IF(ISBLANK('Data Entry'!$w$473), "", 'Data Entry'!$w$473)</f>
      </c>
      <c r="BD473">
        <f>IF(ISBLANK('Data Entry'!$x$473), "", 'Data Entry'!$x$473)</f>
      </c>
      <c r="BE473">
        <f>IF(ISBLANK('Data Entry'!$y$473), "", 'Data Entry'!$y$473)</f>
      </c>
      <c r="BF473">
        <f>IF(ISBLANK('Data Entry'!$z$473), "", 'Data Entry'!$z$473)</f>
      </c>
      <c r="BG473">
        <f>IF(ISBLANK('Data Entry'!${$473), "", 'Data Entry'!${$473)</f>
      </c>
      <c r="BH473">
        <f>IF(ISBLANK('Data Entry'!$|$473), "", 'Data Entry'!$|$473)</f>
      </c>
      <c r="BI473">
        <f>IF(ISBLANK('Data Entry'!$}$473), "", 'Data Entry'!$}$473)</f>
      </c>
      <c r="BJ473">
        <f>IF(ISBLANK('Data Entry'!$~$473), "", 'Data Entry'!$~$473)</f>
      </c>
      <c r="BK473">
        <f>IF(ISBLANK('Data Entry'!$$473), "", 'Data Entry'!$$473)</f>
      </c>
      <c r="BL473">
        <f>IF(ISBLANK('Data Entry'!$$473), "", 'Data Entry'!$$473)</f>
      </c>
      <c r="BM473">
        <f>IF(ISBLANK('Data Entry'!$$473), "", 'Data Entry'!$$473)</f>
      </c>
      <c r="BN473">
        <f>IF(ISBLANK('Data Entry'!$$473), "", 'Data Entry'!$$473)</f>
      </c>
      <c r="BO473">
        <f>IF(ISBLANK('Data Entry'!$$473), "", 'Data Entry'!$$473)</f>
      </c>
      <c r="BP473">
        <f>IF(ISBLANK('Data Entry'!$$473), "", 'Data Entry'!$$473)</f>
      </c>
      <c r="BQ473">
        <f>IF(ISBLANK('Data Entry'!$$473), "", 'Data Entry'!$$473)</f>
      </c>
      <c r="BR473">
        <f>IF(ISBLANK('Data Entry'!$$473), "", 'Data Entry'!$$473)</f>
      </c>
      <c r="BS473">
        <f>IF(ISBLANK('Data Entry'!$$473), "", 'Data Entry'!$$473)</f>
      </c>
      <c r="BT473">
        <f>IF(ISBLANK('Data Entry'!$$473), "", 'Data Entry'!$$473)</f>
      </c>
      <c r="BU473">
        <f>IF(ISBLANK('Data Entry'!$$473), "", 'Data Entry'!$$473)</f>
      </c>
      <c r="BV473">
        <f>IF(ISBLANK('Data Entry'!$$473), "", 'Data Entry'!$$473)</f>
      </c>
      <c r="BW473">
        <f>IF(ISBLANK('Data Entry'!$$473), "", 'Data Entry'!$$473)</f>
      </c>
      <c r="BX473">
        <f>IF(ISBLANK('Data Entry'!$$473), "", 'Data Entry'!$$473)</f>
      </c>
      <c r="BY473">
        <f>IF(ISBLANK('Data Entry'!$$473), "", 'Data Entry'!$$473)</f>
      </c>
      <c r="BZ473">
        <f>IF(ISBLANK('Data Entry'!$$473), "", 'Data Entry'!$$473)</f>
      </c>
      <c r="CA473">
        <f>IF(ISBLANK('Data Entry'!$$473), "", 'Data Entry'!$$473)</f>
      </c>
      <c r="CB473">
        <f>IF(ISBLANK('Data Entry'!$$473), "", 'Data Entry'!$$473)</f>
      </c>
      <c r="CC473">
        <f>IF(ISBLANK('Data Entry'!$$473), "", 'Data Entry'!$$473)</f>
      </c>
      <c r="CD473">
        <f>IF(ISBLANK('Data Entry'!$$473), "", 'Data Entry'!$$473)</f>
      </c>
      <c r="CE473">
        <f>IF(ISBLANK('Data Entry'!$$473), "", 'Data Entry'!$$473)</f>
      </c>
      <c r="CF473">
        <f>IF(ISBLANK('Data Entry'!$$473), "", 'Data Entry'!$$473)</f>
      </c>
      <c r="CG473">
        <f>IF(ISBLANK('Data Entry'!$$473), "", 'Data Entry'!$$473)</f>
      </c>
      <c r="CH473">
        <f>IF(ISBLANK('Data Entry'!$$473), "", 'Data Entry'!$$473)</f>
      </c>
      <c r="CI473">
        <f>IF(ISBLANK('Data Entry'!$$473), "", 'Data Entry'!$$473)</f>
      </c>
      <c r="CJ473">
        <f>IF(ISBLANK('Data Entry'!$$473), "", 'Data Entry'!$$473)</f>
      </c>
      <c r="CK473">
        <f>IF(ISBLANK('Data Entry'!$$473), "", 'Data Entry'!$$473)</f>
      </c>
      <c r="CL473">
        <f>IF(ISBLANK('Data Entry'!$$473), "", 'Data Entry'!$$473)</f>
      </c>
      <c r="CM473">
        <f>IF(ISBLANK('Data Entry'!$$473), "", 'Data Entry'!$$473)</f>
      </c>
      <c r="CN473">
        <f>IF(ISBLANK('Data Entry'!$$473), "", 'Data Entry'!$$473)</f>
      </c>
      <c r="CO473">
        <f>IF(ISBLANK('Data Entry'!$$473), "", 'Data Entry'!$$473)</f>
      </c>
      <c r="CP473">
        <f>IF(ISBLANK('Data Entry'!$$473), "", 'Data Entry'!$$473)</f>
      </c>
      <c r="CQ473">
        <f>IF(ISBLANK('Data Entry'!$$473), "", 'Data Entry'!$$473)</f>
      </c>
      <c r="CR473">
        <f>IF(ISBLANK('Data Entry'!$ $473), "", 'Data Entry'!$ $473)</f>
      </c>
      <c r="CS473">
        <f>IF(ISBLANK('Data Entry'!$¡$473), "", 'Data Entry'!$¡$473)</f>
      </c>
      <c r="CT473">
        <f>IF(ISBLANK('Data Entry'!$¢$473), "", 'Data Entry'!$¢$473)</f>
      </c>
      <c r="CU473">
        <f>IF(ISBLANK('Data Entry'!$£$473), "", 'Data Entry'!$£$473)</f>
      </c>
      <c r="CV473">
        <f>IF(ISBLANK('Data Entry'!$¤$473), "", 'Data Entry'!$¤$473)</f>
      </c>
      <c r="CW473">
        <f>IF(ISBLANK('Data Entry'!$¥$473), "", 'Data Entry'!$¥$473)</f>
      </c>
      <c r="CX473">
        <f>IF(ISBLANK('Data Entry'!$¦$473), "", 'Data Entry'!$¦$473)</f>
      </c>
      <c r="CY473">
        <f>IF(ISBLANK('Data Entry'!$§$473), "", 'Data Entry'!$§$473)</f>
      </c>
      <c r="CZ473">
        <f>IF(ISBLANK('Data Entry'!$¨$473), "", 'Data Entry'!$¨$473)</f>
      </c>
      <c r="DA473">
        <f>IF(ISBLANK('Data Entry'!$©$473), "", 'Data Entry'!$©$473)</f>
      </c>
      <c r="DB473">
        <f>IF(ISBLANK('Data Entry'!$ª$473), "", 'Data Entry'!$ª$473)</f>
      </c>
      <c r="DC473">
        <f>IF(ISBLANK('Data Entry'!$«$473), "", 'Data Entry'!$«$473)</f>
      </c>
      <c r="DD473">
        <f>IF(ISBLANK('Data Entry'!$¬$473), "", 'Data Entry'!$¬$473)</f>
      </c>
      <c r="DE473">
        <f>IF(ISBLANK('Data Entry'!$­$473), "", 'Data Entry'!$­$473)</f>
      </c>
      <c r="DF473">
        <f>IF(ISBLANK('Data Entry'!$®$473), "", 'Data Entry'!$®$473)</f>
      </c>
      <c r="DG473">
        <f>IF(ISBLANK('Data Entry'!$¯$473), "", 'Data Entry'!$¯$473)</f>
      </c>
      <c r="DH473">
        <f>IF(ISBLANK('Data Entry'!$°$473), "", 'Data Entry'!$°$473)</f>
      </c>
      <c r="DI473">
        <f>IF(ISBLANK('Data Entry'!$±$473), "", 'Data Entry'!$±$473)</f>
      </c>
      <c r="DJ473">
        <f>IF(ISBLANK('Data Entry'!$²$473), "", 'Data Entry'!$²$473)</f>
      </c>
      <c r="DK473">
        <f>IF(ISBLANK('Data Entry'!$³$473), "", 'Data Entry'!$³$473)</f>
      </c>
      <c r="DL473">
        <f>IF(ISBLANK('Data Entry'!$´$473), "", 'Data Entry'!$´$473)</f>
      </c>
      <c r="DM473">
        <f>IF(ISBLANK('Data Entry'!$µ$473), "", 'Data Entry'!$µ$473)</f>
      </c>
      <c r="DN473">
        <f>IF(ISBLANK('Data Entry'!$¶$473), "", 'Data Entry'!$¶$473)</f>
      </c>
      <c r="DO473">
        <f>IF(ISBLANK('Data Entry'!$·$473), "", 'Data Entry'!$·$473)</f>
      </c>
      <c r="DP473">
        <f>IF(ISBLANK('Data Entry'!$¸$473), "", 'Data Entry'!$¸$473)</f>
      </c>
      <c r="DQ473">
        <f>IF(ISBLANK('Data Entry'!$¹$473), "", 'Data Entry'!$¹$473)</f>
      </c>
      <c r="DR473">
        <f>IF(ISBLANK('Data Entry'!$º$473), "", 'Data Entry'!$º$473)</f>
      </c>
      <c r="DS473">
        <f>IF(ISBLANK('Data Entry'!$»$473), "", 'Data Entry'!$»$473)</f>
      </c>
      <c r="DT473">
        <f>IF(ISBLANK('Data Entry'!$¼$473), "", 'Data Entry'!$¼$473)</f>
      </c>
      <c r="DU473">
        <f>IF(ISBLANK('Data Entry'!$½$473), "", 'Data Entry'!$½$473)</f>
      </c>
      <c r="DV473">
        <f>IF(ISBLANK('Data Entry'!$¾$473), "", 'Data Entry'!$¾$473)</f>
      </c>
      <c r="DW473">
        <f>IF(ISBLANK('Data Entry'!$¿$473), "", 'Data Entry'!$¿$473)</f>
      </c>
      <c r="DX473">
        <f>IF(ISBLANK('Data Entry'!$À$473), "", 'Data Entry'!$À$473)</f>
      </c>
      <c r="DY473">
        <f>IF(ISBLANK('Data Entry'!$Á$473), "", 'Data Entry'!$Á$473)</f>
      </c>
      <c r="DZ473">
        <f>IF(ISBLANK('Data Entry'!$Â$473), "", 'Data Entry'!$Â$473)</f>
      </c>
      <c r="EA473">
        <f>IF(ISBLANK('Data Entry'!$Ã$473), "", 'Data Entry'!$Ã$473)</f>
      </c>
      <c r="EB473">
        <f>IF(ISBLANK('Data Entry'!$Ä$473), "", 'Data Entry'!$Ä$473)</f>
      </c>
      <c r="EC473">
        <f>IF(ISBLANK('Data Entry'!$Å$473), "", 'Data Entry'!$Å$473)</f>
      </c>
      <c r="ED473">
        <f>IF(ISBLANK('Data Entry'!$Æ$473), "", 'Data Entry'!$Æ$473)</f>
      </c>
      <c r="EE473">
        <f>IF(ISBLANK('Data Entry'!$Ç$473), "", 'Data Entry'!$Ç$473)</f>
      </c>
      <c r="EF473">
        <f>IF(ISBLANK('Data Entry'!$È$473), "", 'Data Entry'!$È$473)</f>
      </c>
      <c r="EG473">
        <f>IF(ISBLANK('Data Entry'!$É$473), "", 'Data Entry'!$É$473)</f>
      </c>
      <c r="EH473">
        <f>IF(ISBLANK('Data Entry'!$Ê$473), "", 'Data Entry'!$Ê$473)</f>
      </c>
      <c r="EI473">
        <f>IF(ISBLANK('Data Entry'!$Ë$473), "", 'Data Entry'!$Ë$473)</f>
      </c>
      <c r="EJ473">
        <f>IF(ISBLANK('Data Entry'!$Ì$473), "", 'Data Entry'!$Ì$473)</f>
      </c>
      <c r="EK473">
        <f>IF(ISBLANK('Data Entry'!$Í$473), "", 'Data Entry'!$Í$473)</f>
      </c>
      <c r="EL473">
        <f>IF(ISBLANK('Data Entry'!$Î$473), "", 'Data Entry'!$Î$473)</f>
      </c>
      <c r="EM473">
        <f>IF(ISBLANK('Data Entry'!$Ï$473), "", 'Data Entry'!$Ï$473)</f>
      </c>
      <c r="EN473">
        <f>IF(ISBLANK('Data Entry'!$Ð$473), "", 'Data Entry'!$Ð$473)</f>
      </c>
      <c r="EO473">
        <f>IF(ISBLANK('Data Entry'!$Ñ$473), "", 'Data Entry'!$Ñ$473)</f>
      </c>
      <c r="EP473">
        <f>IF(ISBLANK('Data Entry'!$Ò$473), "", 'Data Entry'!$Ò$473)</f>
      </c>
      <c r="EQ473">
        <f>IF(ISBLANK('Data Entry'!$Ó$473), "", 'Data Entry'!$Ó$473)</f>
      </c>
      <c r="ER473">
        <f>IF(ISBLANK('Data Entry'!$Ô$473), "", 'Data Entry'!$Ô$473)</f>
      </c>
      <c r="ES473">
        <f>IF(ISBLANK('Data Entry'!$Õ$473), "", 'Data Entry'!$Õ$473)</f>
      </c>
      <c r="ET473">
        <f>IF(ISBLANK('Data Entry'!$Ö$473), "", 'Data Entry'!$Ö$473)</f>
      </c>
      <c r="EU473">
        <f>IF(ISBLANK('Data Entry'!$×$473), "", 'Data Entry'!$×$473)</f>
      </c>
      <c r="EV473">
        <f>IF(ISBLANK('Data Entry'!$Ø$473), "", 'Data Entry'!$Ø$473)</f>
      </c>
      <c r="EW473">
        <f>IF(ISBLANK('Data Entry'!$Ù$473), "", 'Data Entry'!$Ù$473)</f>
      </c>
      <c r="EX473">
        <f>IF(ISBLANK('Data Entry'!$Ú$473), "", 'Data Entry'!$Ú$473)</f>
      </c>
      <c r="EY473">
        <f>IF(ISBLANK('Data Entry'!$Û$473), "", 'Data Entry'!$Û$473)</f>
      </c>
      <c r="EZ473">
        <f>IF(ISBLANK('Data Entry'!$Ü$473), "", 'Data Entry'!$Ü$473)</f>
      </c>
      <c r="FA473">
        <f>IF(ISBLANK('Data Entry'!$Ý$473), "", 'Data Entry'!$Ý$473)</f>
      </c>
      <c r="FB473">
        <f>IF(ISBLANK('Data Entry'!$Þ$473), "", 'Data Entry'!$Þ$473)</f>
      </c>
      <c r="FC473">
        <f>IF(ISBLANK('Data Entry'!$ß$473), "", 'Data Entry'!$ß$473)</f>
      </c>
      <c r="FD473">
        <f>IF(ISBLANK('Data Entry'!$à$473), "", 'Data Entry'!$à$473)</f>
      </c>
      <c r="FE473">
        <f>IF(ISBLANK('Data Entry'!$á$473), "", 'Data Entry'!$á$473)</f>
      </c>
      <c r="FF473">
        <f>IF(ISBLANK('Data Entry'!$â$473), "", 'Data Entry'!$â$473)</f>
      </c>
      <c r="FG473">
        <f>IF(ISBLANK('Data Entry'!$ã$473), "", 'Data Entry'!$ã$473)</f>
      </c>
      <c r="FH473">
        <f>IF(ISBLANK('Data Entry'!$ä$473), "", 'Data Entry'!$ä$473)</f>
      </c>
      <c r="FI473">
        <f>IF(ISBLANK('Data Entry'!$å$473), "", 'Data Entry'!$å$473)</f>
      </c>
      <c r="FJ473">
        <f>IF(ISBLANK('Data Entry'!$æ$473), "", 'Data Entry'!$æ$473)</f>
      </c>
      <c r="FK473">
        <f>IF(ISBLANK('Data Entry'!$ç$473), "", 'Data Entry'!$ç$473)</f>
      </c>
      <c r="FL473">
        <f>IF(ISBLANK('Data Entry'!$è$473), "", 'Data Entry'!$è$473)</f>
      </c>
      <c r="FM473">
        <f>IF(ISBLANK('Data Entry'!$é$473), "", 'Data Entry'!$é$473)</f>
      </c>
      <c r="FN473">
        <f>IF(ISBLANK('Data Entry'!$ê$473), "", 'Data Entry'!$ê$473)</f>
      </c>
      <c r="FO473">
        <f>IF(ISBLANK('Data Entry'!$ë$473), "", 'Data Entry'!$ë$473)</f>
      </c>
      <c r="FP473">
        <f>IF(ISBLANK('Data Entry'!$ì$473), "", 'Data Entry'!$ì$473)</f>
      </c>
      <c r="FQ473">
        <f>IF(ISBLANK('Data Entry'!$í$473), "", 'Data Entry'!$í$473)</f>
      </c>
      <c r="FR473">
        <f>IF(ISBLANK('Data Entry'!$î$473), "", 'Data Entry'!$î$473)</f>
      </c>
      <c r="FS473">
        <f>IF(ISBLANK('Data Entry'!$ï$473), "", 'Data Entry'!$ï$473)</f>
      </c>
      <c r="FT473">
        <f>IF(ISBLANK('Data Entry'!$ð$473), "", 'Data Entry'!$ð$473)</f>
      </c>
      <c r="FU473">
        <f>IF(ISBLANK('Data Entry'!$ñ$473), "", 'Data Entry'!$ñ$473)</f>
      </c>
      <c r="FV473">
        <f>IF(ISBLANK('Data Entry'!$ò$473), "", 'Data Entry'!$ò$473)</f>
      </c>
      <c r="FW473">
        <f>IF(ISBLANK('Data Entry'!$ó$473), "", 'Data Entry'!$ó$473)</f>
      </c>
      <c r="FX473">
        <f>IF(ISBLANK('Data Entry'!$ô$473), "", 'Data Entry'!$ô$473)</f>
      </c>
      <c r="FY473">
        <f>IF(ISBLANK('Data Entry'!$õ$473), "", 'Data Entry'!$õ$473)</f>
      </c>
      <c r="FZ473">
        <f>IF(ISBLANK('Data Entry'!$ö$473), "", 'Data Entry'!$ö$473)</f>
      </c>
      <c r="GA473">
        <f>IF(ISBLANK('Data Entry'!$÷$473), "", 'Data Entry'!$÷$473)</f>
      </c>
      <c r="GB473">
        <f>IF(ISBLANK('Data Entry'!$ø$473), "", 'Data Entry'!$ø$473)</f>
      </c>
      <c r="GC473">
        <f>IF(ISBLANK('Data Entry'!$ù$473), "", 'Data Entry'!$ù$473)</f>
      </c>
      <c r="GD473">
        <f>IF(ISBLANK('Data Entry'!$ú$473), "", 'Data Entry'!$ú$473)</f>
      </c>
      <c r="GE473">
        <f>IF(ISBLANK('Data Entry'!$û$473), "", 'Data Entry'!$û$473)</f>
      </c>
      <c r="GF473">
        <f>IF(ISBLANK('Data Entry'!$ü$473), "", 'Data Entry'!$ü$473)</f>
      </c>
      <c r="GG473">
        <f>IF(ISBLANK('Data Entry'!$ý$473), "", 'Data Entry'!$ý$473)</f>
      </c>
      <c r="GH473">
        <f>IF(ISBLANK('Data Entry'!$þ$473), "", 'Data Entry'!$þ$473)</f>
      </c>
      <c r="GI473">
        <f>IF(ISBLANK('Data Entry'!$ÿ$473), "", 'Data Entry'!$ÿ$473)</f>
      </c>
      <c r="GJ473">
        <f>IF(ISBLANK('Data Entry'!$Ā$473), "", 'Data Entry'!$Ā$473)</f>
      </c>
      <c r="GK473">
        <f>IF(ISBLANK('Data Entry'!$ā$473), "", 'Data Entry'!$ā$473)</f>
      </c>
      <c r="GL473">
        <f>IF(ISBLANK('Data Entry'!$Ă$473), "", 'Data Entry'!$Ă$473)</f>
      </c>
      <c r="GM473">
        <f>IF(ISBLANK('Data Entry'!$ă$473), "", 'Data Entry'!$ă$473)</f>
      </c>
      <c r="GN473">
        <f>IF(ISBLANK('Data Entry'!$Ą$473), "", 'Data Entry'!$Ą$473)</f>
      </c>
      <c r="GO473">
        <f>IF(ISBLANK('Data Entry'!$ą$473), "", 'Data Entry'!$ą$473)</f>
      </c>
      <c r="GP473">
        <f>IF(ISBLANK('Data Entry'!$Ć$473), "", 'Data Entry'!$Ć$473)</f>
      </c>
      <c r="GQ473">
        <f>IF(ISBLANK('Data Entry'!$ć$473), "", 'Data Entry'!$ć$473)</f>
      </c>
      <c r="GR473">
        <f>IF(ISBLANK('Data Entry'!$Ĉ$473), "", 'Data Entry'!$Ĉ$473)</f>
      </c>
      <c r="GS473">
        <f>IF(ISBLANK('Data Entry'!$ĉ$473), "", 'Data Entry'!$ĉ$473)</f>
      </c>
      <c r="GT473">
        <f>IF(ISBLANK('Data Entry'!$Ċ$473), "", 'Data Entry'!$Ċ$473)</f>
      </c>
      <c r="GU473">
        <f>IF(ISBLANK('Data Entry'!$ċ$473), "", 'Data Entry'!$ċ$473)</f>
      </c>
      <c r="GV473">
        <f>IF(ISBLANK('Data Entry'!$Č$473), "", 'Data Entry'!$Č$473)</f>
      </c>
      <c r="GW473">
        <f>IF(ISBLANK('Data Entry'!$č$473), "", 'Data Entry'!$č$473)</f>
      </c>
      <c r="GX473">
        <f>IF(ISBLANK('Data Entry'!$Ď$473), "", 'Data Entry'!$Ď$473)</f>
      </c>
      <c r="GY473">
        <f>IF(ISBLANK('Data Entry'!$ď$473), "", 'Data Entry'!$ď$473)</f>
      </c>
      <c r="GZ473">
        <f>IF(ISBLANK('Data Entry'!$Đ$473), "", 'Data Entry'!$Đ$473)</f>
      </c>
      <c r="HA473">
        <f>IF(ISBLANK('Data Entry'!$đ$473), "", 'Data Entry'!$đ$473)</f>
      </c>
      <c r="HB473">
        <f>IF(ISBLANK('Data Entry'!$Ē$473), "", 'Data Entry'!$Ē$473)</f>
      </c>
      <c r="HC473">
        <f>IF(ISBLANK('Data Entry'!$ē$473), "", 'Data Entry'!$ē$473)</f>
      </c>
      <c r="HD473">
        <f>IF(ISBLANK('Data Entry'!$Ĕ$473), "", 'Data Entry'!$Ĕ$473)</f>
      </c>
      <c r="HE473">
        <f>IF(ISBLANK('Data Entry'!$ĕ$473), "", 'Data Entry'!$ĕ$473)</f>
      </c>
      <c r="HF473">
        <f>IF(ISBLANK('Data Entry'!$Ė$473), "", 'Data Entry'!$Ė$473)</f>
      </c>
      <c r="HG473">
        <f>IF(ISBLANK('Data Entry'!$ė$473), "", 'Data Entry'!$ė$473)</f>
      </c>
      <c r="HH473">
        <f>IF(ISBLANK('Data Entry'!$Ę$473), "", 'Data Entry'!$Ę$473)</f>
      </c>
      <c r="HI473">
        <f>IF(ISBLANK('Data Entry'!$ę$473), "", 'Data Entry'!$ę$473)</f>
      </c>
      <c r="HJ473">
        <f>IF(ISBLANK('Data Entry'!$Ě$473), "", 'Data Entry'!$Ě$473)</f>
      </c>
      <c r="HK473">
        <f>IF(ISBLANK('Data Entry'!$ě$473), "", 'Data Entry'!$ě$473)</f>
      </c>
      <c r="HL473">
        <f>IF(ISBLANK('Data Entry'!$Ĝ$473), "", 'Data Entry'!$Ĝ$473)</f>
      </c>
      <c r="HM473">
        <f>IF(ISBLANK('Data Entry'!$ĝ$473), "", 'Data Entry'!$ĝ$473)</f>
      </c>
      <c r="HN473">
        <f>IF(ISBLANK('Data Entry'!$Ğ$473), "", 'Data Entry'!$Ğ$473)</f>
      </c>
      <c r="HO473">
        <f>IF(ISBLANK('Data Entry'!$ğ$473), "", 'Data Entry'!$ğ$473)</f>
      </c>
      <c r="HP473">
        <f>IF(ISBLANK('Data Entry'!$Ġ$473), "", 'Data Entry'!$Ġ$473)</f>
      </c>
      <c r="HQ473">
        <f>IF(ISBLANK('Data Entry'!$ġ$473), "", 'Data Entry'!$ġ$473)</f>
      </c>
      <c r="HR473">
        <f>IF(ISBLANK('Data Entry'!$Ģ$473), "", 'Data Entry'!$Ģ$473)</f>
      </c>
      <c r="HS473">
        <f>IF(ISBLANK('Data Entry'!$ģ$473), "", 'Data Entry'!$ģ$473)</f>
      </c>
      <c r="HT473">
        <f>IF(ISBLANK('Data Entry'!$Ĥ$473), "", 'Data Entry'!$Ĥ$473)</f>
      </c>
      <c r="HU473">
        <f>IF(ISBLANK('Data Entry'!$ĥ$473), "", 'Data Entry'!$ĥ$473)</f>
      </c>
      <c r="HV473">
        <f>IF(ISBLANK('Data Entry'!$Ħ$473), "", 'Data Entry'!$Ħ$473)</f>
      </c>
      <c r="HW473">
        <f>IF(ISBLANK('Data Entry'!$ħ$473), "", 'Data Entry'!$ħ$473)</f>
      </c>
      <c r="HX473">
        <f>IF(ISBLANK('Data Entry'!$Ĩ$473), "", 'Data Entry'!$Ĩ$473)</f>
      </c>
      <c r="HY473">
        <f>IF(ISBLANK('Data Entry'!$ĩ$473), "", 'Data Entry'!$ĩ$473)</f>
      </c>
      <c r="HZ473">
        <f>IF(ISBLANK('Data Entry'!$Ī$473), "", 'Data Entry'!$Ī$473)</f>
      </c>
      <c r="IA473">
        <f>IF(ISBLANK('Data Entry'!$ī$473), "", 'Data Entry'!$ī$473)</f>
      </c>
      <c r="IB473">
        <f>IF(ISBLANK('Data Entry'!$Ĭ$473), "", 'Data Entry'!$Ĭ$473)</f>
      </c>
      <c r="IC473">
        <f>IF(ISBLANK('Data Entry'!$ĭ$473), "", 'Data Entry'!$ĭ$473)</f>
      </c>
      <c r="ID473">
        <f>IF(ISBLANK('Data Entry'!$Į$473), "", 'Data Entry'!$Į$473)</f>
      </c>
      <c r="IE473">
        <f>IF(ISBLANK('Data Entry'!$į$473), "", 'Data Entry'!$į$473)</f>
      </c>
      <c r="IF473">
        <f>IF(ISBLANK('Data Entry'!$İ$473), "", 'Data Entry'!$İ$473)</f>
      </c>
      <c r="IG473">
        <f>IF(ISBLANK('Data Entry'!$ı$473), "", 'Data Entry'!$ı$473)</f>
      </c>
      <c r="IH473">
        <f>IF(ISBLANK('Data Entry'!$Ĳ$473), "", 'Data Entry'!$Ĳ$473)</f>
      </c>
      <c r="II473">
        <f>IF(ISBLANK('Data Entry'!$ĳ$473), "", 'Data Entry'!$ĳ$473)</f>
      </c>
      <c r="IJ473">
        <f>IF(ISBLANK('Data Entry'!$Ĵ$473), "", 'Data Entry'!$Ĵ$473)</f>
      </c>
      <c r="IK473">
        <f>IF(ISBLANK('Data Entry'!$ĵ$473), "", 'Data Entry'!$ĵ$473)</f>
      </c>
      <c r="IL473">
        <f>IF(ISBLANK('Data Entry'!$Ķ$473), "", 'Data Entry'!$Ķ$473)</f>
      </c>
      <c r="IM473">
        <f>IF(ISBLANK('Data Entry'!$ķ$473), "", 'Data Entry'!$ķ$473)</f>
      </c>
      <c r="IN473">
        <f>IF(ISBLANK('Data Entry'!$ĸ$473), "", 'Data Entry'!$ĸ$473)</f>
      </c>
      <c r="IO473">
        <f>IF(ISBLANK('Data Entry'!$Ĺ$473), "", 'Data Entry'!$Ĺ$473)</f>
      </c>
      <c r="IP473">
        <f>IF(ISBLANK('Data Entry'!$ĺ$473), "", 'Data Entry'!$ĺ$473)</f>
      </c>
      <c r="IQ473">
        <f>IF(ISBLANK('Data Entry'!$Ļ$473), "", 'Data Entry'!$Ļ$473)</f>
      </c>
      <c r="IR473">
        <f>IF(ISBLANK('Data Entry'!$ļ$473), "", 'Data Entry'!$ļ$473)</f>
      </c>
      <c r="IS473">
        <f>IF(ISBLANK('Data Entry'!$Ľ$473), "", 'Data Entry'!$Ľ$473)</f>
      </c>
      <c r="IT473">
        <f>IF(ISBLANK('Data Entry'!$ľ$473), "", 'Data Entry'!$ľ$473)</f>
      </c>
    </row>
    <row r="474" spans="1:254" x14ac:dyDescent="0.25">
      <c r="A474">
        <f>IF(ISBLANK('Data Entry'!$A$474), "", 'Data Entry'!$A$474)</f>
      </c>
      <c r="B474">
        <f>IF(ISBLANK('Data Entry'!$B$474), "", 'Data Entry'!$B$474)</f>
      </c>
      <c r="C474">
        <f>IF(ISBLANK('Data Entry'!$C$474), "", 'Data Entry'!$C$474)</f>
      </c>
      <c r="D474">
        <f>IF(ISBLANK('Data Entry'!$D$474), "", 'Data Entry'!$D$474)</f>
      </c>
      <c r="E474">
        <f>IF(ISBLANK('Data Entry'!$E$474), "", 'Data Entry'!$E$474)</f>
      </c>
      <c r="F474">
        <f>IF(ISBLANK('Data Entry'!$F$474), "", 'Data Entry'!$F$474)</f>
      </c>
      <c r="G474">
        <f>IF(ISBLANK('Data Entry'!$G$474), "", 'Data Entry'!$G$474)</f>
      </c>
      <c r="H474">
        <f>IF(ISBLANK('Data Entry'!$H$474), "", 'Data Entry'!$H$474)</f>
      </c>
      <c r="I474">
        <f>IF(ISBLANK('Data Entry'!$I$474), "", 'Data Entry'!$I$474)</f>
      </c>
      <c r="J474">
        <f>IF(ISBLANK('Data Entry'!$J$474), "", 'Data Entry'!$J$474)</f>
      </c>
      <c r="K474">
        <f>IF(ISBLANK('Data Entry'!$K$474), "", 'Data Entry'!$K$474)</f>
      </c>
      <c r="L474">
        <f>IF(ISBLANK('Data Entry'!$L$474), "", 'Data Entry'!$L$474)</f>
      </c>
      <c r="M474">
        <f>IF(ISBLANK('Data Entry'!$M$474), "", 'Data Entry'!$M$474)</f>
      </c>
      <c r="N474">
        <f>IF(ISBLANK('Data Entry'!$N$474), "", 'Data Entry'!$N$474)</f>
      </c>
      <c r="O474">
        <f>IF(ISBLANK('Data Entry'!$O$474), "", 'Data Entry'!$O$474)</f>
      </c>
      <c r="P474">
        <f>IF(ISBLANK('Data Entry'!$P$474), "", 'Data Entry'!$P$474)</f>
      </c>
      <c r="Q474">
        <f>IF(ISBLANK('Data Entry'!$Q$474), "", 'Data Entry'!$Q$474)</f>
      </c>
      <c r="R474">
        <f>IF(ISBLANK('Data Entry'!$R$474), "", 'Data Entry'!$R$474)</f>
      </c>
      <c r="S474">
        <f>IF(ISBLANK('Data Entry'!$S$474), "", 'Data Entry'!$S$474)</f>
      </c>
      <c r="T474">
        <f>IF(ISBLANK('Data Entry'!$T$474), "", 'Data Entry'!$T$474)</f>
      </c>
      <c r="U474">
        <f>IF(ISBLANK('Data Entry'!$U$474), "", 'Data Entry'!$U$474)</f>
      </c>
      <c r="V474">
        <f>IF(ISBLANK('Data Entry'!$V$474), "", 'Data Entry'!$V$474)</f>
      </c>
      <c r="W474">
        <f>IF(ISBLANK('Data Entry'!$W$474), "", 'Data Entry'!$W$474)</f>
      </c>
      <c r="X474">
        <f>IF(ISBLANK('Data Entry'!$X$474), "", 'Data Entry'!$X$474)</f>
      </c>
      <c r="Y474">
        <f>IF(ISBLANK('Data Entry'!$Y$474), "", 'Data Entry'!$Y$474)</f>
      </c>
      <c r="Z474">
        <f>IF(ISBLANK('Data Entry'!$Z$474), "", 'Data Entry'!$Z$474)</f>
      </c>
      <c r="AA474">
        <f>IF(ISBLANK('Data Entry'!$[$474), "", 'Data Entry'!$[$474)</f>
      </c>
      <c r="AB474">
        <f>IF(ISBLANK('Data Entry'!$\$474), "", 'Data Entry'!$\$474)</f>
      </c>
      <c r="AC474">
        <f>IF(ISBLANK('Data Entry'!$]$474), "", 'Data Entry'!$]$474)</f>
      </c>
      <c r="AD474">
        <f>IF(ISBLANK('Data Entry'!$^$474), "", 'Data Entry'!$^$474)</f>
      </c>
      <c r="AE474">
        <f>IF(ISBLANK('Data Entry'!$_$474), "", 'Data Entry'!$_$474)</f>
      </c>
      <c r="AF474">
        <f>IF(ISBLANK('Data Entry'!$`$474), "", 'Data Entry'!$`$474)</f>
      </c>
      <c r="AG474">
        <f>IF(ISBLANK('Data Entry'!$a$474), "", 'Data Entry'!$a$474)</f>
      </c>
      <c r="AH474">
        <f>IF(ISBLANK('Data Entry'!$b$474), "", 'Data Entry'!$b$474)</f>
      </c>
      <c r="AI474">
        <f>IF(ISBLANK('Data Entry'!$c$474), "", 'Data Entry'!$c$474)</f>
      </c>
      <c r="AJ474">
        <f>IF(ISBLANK('Data Entry'!$d$474), "", 'Data Entry'!$d$474)</f>
      </c>
      <c r="AK474">
        <f>IF(ISBLANK('Data Entry'!$e$474), "", 'Data Entry'!$e$474)</f>
      </c>
      <c r="AL474">
        <f>IF(ISBLANK('Data Entry'!$f$474), "", 'Data Entry'!$f$474)</f>
      </c>
      <c r="AM474">
        <f>IF(ISBLANK('Data Entry'!$g$474), "", 'Data Entry'!$g$474)</f>
      </c>
      <c r="AN474">
        <f>IF(ISBLANK('Data Entry'!$h$474), "", 'Data Entry'!$h$474)</f>
      </c>
      <c r="AO474">
        <f>IF(ISBLANK('Data Entry'!$i$474), "", 'Data Entry'!$i$474)</f>
      </c>
      <c r="AP474">
        <f>IF(ISBLANK('Data Entry'!$j$474), "", 'Data Entry'!$j$474)</f>
      </c>
      <c r="AQ474">
        <f>IF(ISBLANK('Data Entry'!$k$474), "", 'Data Entry'!$k$474)</f>
      </c>
      <c r="AR474">
        <f>IF(ISBLANK('Data Entry'!$l$474), "", 'Data Entry'!$l$474)</f>
      </c>
      <c r="AS474">
        <f>IF(ISBLANK('Data Entry'!$m$474), "", 'Data Entry'!$m$474)</f>
      </c>
      <c r="AT474">
        <f>IF(ISBLANK('Data Entry'!$n$474), "", 'Data Entry'!$n$474)</f>
      </c>
      <c r="AU474">
        <f>IF(ISBLANK('Data Entry'!$o$474), "", 'Data Entry'!$o$474)</f>
      </c>
      <c r="AV474">
        <f>IF(ISBLANK('Data Entry'!$p$474), "", 'Data Entry'!$p$474)</f>
      </c>
      <c r="AW474">
        <f>IF(ISBLANK('Data Entry'!$q$474), "", 'Data Entry'!$q$474)</f>
      </c>
      <c r="AX474">
        <f>IF(ISBLANK('Data Entry'!$r$474), "", 'Data Entry'!$r$474)</f>
      </c>
      <c r="AY474">
        <f>IF(ISBLANK('Data Entry'!$s$474), "", 'Data Entry'!$s$474)</f>
      </c>
      <c r="AZ474">
        <f>IF(ISBLANK('Data Entry'!$t$474), "", 'Data Entry'!$t$474)</f>
      </c>
      <c r="BA474">
        <f>IF(ISBLANK('Data Entry'!$u$474), "", 'Data Entry'!$u$474)</f>
      </c>
      <c r="BB474">
        <f>IF(ISBLANK('Data Entry'!$v$474), "", 'Data Entry'!$v$474)</f>
      </c>
      <c r="BC474">
        <f>IF(ISBLANK('Data Entry'!$w$474), "", 'Data Entry'!$w$474)</f>
      </c>
      <c r="BD474">
        <f>IF(ISBLANK('Data Entry'!$x$474), "", 'Data Entry'!$x$474)</f>
      </c>
      <c r="BE474">
        <f>IF(ISBLANK('Data Entry'!$y$474), "", 'Data Entry'!$y$474)</f>
      </c>
      <c r="BF474">
        <f>IF(ISBLANK('Data Entry'!$z$474), "", 'Data Entry'!$z$474)</f>
      </c>
      <c r="BG474">
        <f>IF(ISBLANK('Data Entry'!${$474), "", 'Data Entry'!${$474)</f>
      </c>
      <c r="BH474">
        <f>IF(ISBLANK('Data Entry'!$|$474), "", 'Data Entry'!$|$474)</f>
      </c>
      <c r="BI474">
        <f>IF(ISBLANK('Data Entry'!$}$474), "", 'Data Entry'!$}$474)</f>
      </c>
      <c r="BJ474">
        <f>IF(ISBLANK('Data Entry'!$~$474), "", 'Data Entry'!$~$474)</f>
      </c>
      <c r="BK474">
        <f>IF(ISBLANK('Data Entry'!$$474), "", 'Data Entry'!$$474)</f>
      </c>
      <c r="BL474">
        <f>IF(ISBLANK('Data Entry'!$$474), "", 'Data Entry'!$$474)</f>
      </c>
      <c r="BM474">
        <f>IF(ISBLANK('Data Entry'!$$474), "", 'Data Entry'!$$474)</f>
      </c>
      <c r="BN474">
        <f>IF(ISBLANK('Data Entry'!$$474), "", 'Data Entry'!$$474)</f>
      </c>
      <c r="BO474">
        <f>IF(ISBLANK('Data Entry'!$$474), "", 'Data Entry'!$$474)</f>
      </c>
      <c r="BP474">
        <f>IF(ISBLANK('Data Entry'!$$474), "", 'Data Entry'!$$474)</f>
      </c>
      <c r="BQ474">
        <f>IF(ISBLANK('Data Entry'!$$474), "", 'Data Entry'!$$474)</f>
      </c>
      <c r="BR474">
        <f>IF(ISBLANK('Data Entry'!$$474), "", 'Data Entry'!$$474)</f>
      </c>
      <c r="BS474">
        <f>IF(ISBLANK('Data Entry'!$$474), "", 'Data Entry'!$$474)</f>
      </c>
      <c r="BT474">
        <f>IF(ISBLANK('Data Entry'!$$474), "", 'Data Entry'!$$474)</f>
      </c>
      <c r="BU474">
        <f>IF(ISBLANK('Data Entry'!$$474), "", 'Data Entry'!$$474)</f>
      </c>
      <c r="BV474">
        <f>IF(ISBLANK('Data Entry'!$$474), "", 'Data Entry'!$$474)</f>
      </c>
      <c r="BW474">
        <f>IF(ISBLANK('Data Entry'!$$474), "", 'Data Entry'!$$474)</f>
      </c>
      <c r="BX474">
        <f>IF(ISBLANK('Data Entry'!$$474), "", 'Data Entry'!$$474)</f>
      </c>
      <c r="BY474">
        <f>IF(ISBLANK('Data Entry'!$$474), "", 'Data Entry'!$$474)</f>
      </c>
      <c r="BZ474">
        <f>IF(ISBLANK('Data Entry'!$$474), "", 'Data Entry'!$$474)</f>
      </c>
      <c r="CA474">
        <f>IF(ISBLANK('Data Entry'!$$474), "", 'Data Entry'!$$474)</f>
      </c>
      <c r="CB474">
        <f>IF(ISBLANK('Data Entry'!$$474), "", 'Data Entry'!$$474)</f>
      </c>
      <c r="CC474">
        <f>IF(ISBLANK('Data Entry'!$$474), "", 'Data Entry'!$$474)</f>
      </c>
      <c r="CD474">
        <f>IF(ISBLANK('Data Entry'!$$474), "", 'Data Entry'!$$474)</f>
      </c>
      <c r="CE474">
        <f>IF(ISBLANK('Data Entry'!$$474), "", 'Data Entry'!$$474)</f>
      </c>
      <c r="CF474">
        <f>IF(ISBLANK('Data Entry'!$$474), "", 'Data Entry'!$$474)</f>
      </c>
      <c r="CG474">
        <f>IF(ISBLANK('Data Entry'!$$474), "", 'Data Entry'!$$474)</f>
      </c>
      <c r="CH474">
        <f>IF(ISBLANK('Data Entry'!$$474), "", 'Data Entry'!$$474)</f>
      </c>
      <c r="CI474">
        <f>IF(ISBLANK('Data Entry'!$$474), "", 'Data Entry'!$$474)</f>
      </c>
      <c r="CJ474">
        <f>IF(ISBLANK('Data Entry'!$$474), "", 'Data Entry'!$$474)</f>
      </c>
      <c r="CK474">
        <f>IF(ISBLANK('Data Entry'!$$474), "", 'Data Entry'!$$474)</f>
      </c>
      <c r="CL474">
        <f>IF(ISBLANK('Data Entry'!$$474), "", 'Data Entry'!$$474)</f>
      </c>
      <c r="CM474">
        <f>IF(ISBLANK('Data Entry'!$$474), "", 'Data Entry'!$$474)</f>
      </c>
      <c r="CN474">
        <f>IF(ISBLANK('Data Entry'!$$474), "", 'Data Entry'!$$474)</f>
      </c>
      <c r="CO474">
        <f>IF(ISBLANK('Data Entry'!$$474), "", 'Data Entry'!$$474)</f>
      </c>
      <c r="CP474">
        <f>IF(ISBLANK('Data Entry'!$$474), "", 'Data Entry'!$$474)</f>
      </c>
      <c r="CQ474">
        <f>IF(ISBLANK('Data Entry'!$$474), "", 'Data Entry'!$$474)</f>
      </c>
      <c r="CR474">
        <f>IF(ISBLANK('Data Entry'!$ $474), "", 'Data Entry'!$ $474)</f>
      </c>
      <c r="CS474">
        <f>IF(ISBLANK('Data Entry'!$¡$474), "", 'Data Entry'!$¡$474)</f>
      </c>
      <c r="CT474">
        <f>IF(ISBLANK('Data Entry'!$¢$474), "", 'Data Entry'!$¢$474)</f>
      </c>
      <c r="CU474">
        <f>IF(ISBLANK('Data Entry'!$£$474), "", 'Data Entry'!$£$474)</f>
      </c>
      <c r="CV474">
        <f>IF(ISBLANK('Data Entry'!$¤$474), "", 'Data Entry'!$¤$474)</f>
      </c>
      <c r="CW474">
        <f>IF(ISBLANK('Data Entry'!$¥$474), "", 'Data Entry'!$¥$474)</f>
      </c>
      <c r="CX474">
        <f>IF(ISBLANK('Data Entry'!$¦$474), "", 'Data Entry'!$¦$474)</f>
      </c>
      <c r="CY474">
        <f>IF(ISBLANK('Data Entry'!$§$474), "", 'Data Entry'!$§$474)</f>
      </c>
      <c r="CZ474">
        <f>IF(ISBLANK('Data Entry'!$¨$474), "", 'Data Entry'!$¨$474)</f>
      </c>
      <c r="DA474">
        <f>IF(ISBLANK('Data Entry'!$©$474), "", 'Data Entry'!$©$474)</f>
      </c>
      <c r="DB474">
        <f>IF(ISBLANK('Data Entry'!$ª$474), "", 'Data Entry'!$ª$474)</f>
      </c>
      <c r="DC474">
        <f>IF(ISBLANK('Data Entry'!$«$474), "", 'Data Entry'!$«$474)</f>
      </c>
      <c r="DD474">
        <f>IF(ISBLANK('Data Entry'!$¬$474), "", 'Data Entry'!$¬$474)</f>
      </c>
      <c r="DE474">
        <f>IF(ISBLANK('Data Entry'!$­$474), "", 'Data Entry'!$­$474)</f>
      </c>
      <c r="DF474">
        <f>IF(ISBLANK('Data Entry'!$®$474), "", 'Data Entry'!$®$474)</f>
      </c>
      <c r="DG474">
        <f>IF(ISBLANK('Data Entry'!$¯$474), "", 'Data Entry'!$¯$474)</f>
      </c>
      <c r="DH474">
        <f>IF(ISBLANK('Data Entry'!$°$474), "", 'Data Entry'!$°$474)</f>
      </c>
      <c r="DI474">
        <f>IF(ISBLANK('Data Entry'!$±$474), "", 'Data Entry'!$±$474)</f>
      </c>
      <c r="DJ474">
        <f>IF(ISBLANK('Data Entry'!$²$474), "", 'Data Entry'!$²$474)</f>
      </c>
      <c r="DK474">
        <f>IF(ISBLANK('Data Entry'!$³$474), "", 'Data Entry'!$³$474)</f>
      </c>
      <c r="DL474">
        <f>IF(ISBLANK('Data Entry'!$´$474), "", 'Data Entry'!$´$474)</f>
      </c>
      <c r="DM474">
        <f>IF(ISBLANK('Data Entry'!$µ$474), "", 'Data Entry'!$µ$474)</f>
      </c>
      <c r="DN474">
        <f>IF(ISBLANK('Data Entry'!$¶$474), "", 'Data Entry'!$¶$474)</f>
      </c>
      <c r="DO474">
        <f>IF(ISBLANK('Data Entry'!$·$474), "", 'Data Entry'!$·$474)</f>
      </c>
      <c r="DP474">
        <f>IF(ISBLANK('Data Entry'!$¸$474), "", 'Data Entry'!$¸$474)</f>
      </c>
      <c r="DQ474">
        <f>IF(ISBLANK('Data Entry'!$¹$474), "", 'Data Entry'!$¹$474)</f>
      </c>
      <c r="DR474">
        <f>IF(ISBLANK('Data Entry'!$º$474), "", 'Data Entry'!$º$474)</f>
      </c>
      <c r="DS474">
        <f>IF(ISBLANK('Data Entry'!$»$474), "", 'Data Entry'!$»$474)</f>
      </c>
      <c r="DT474">
        <f>IF(ISBLANK('Data Entry'!$¼$474), "", 'Data Entry'!$¼$474)</f>
      </c>
      <c r="DU474">
        <f>IF(ISBLANK('Data Entry'!$½$474), "", 'Data Entry'!$½$474)</f>
      </c>
      <c r="DV474">
        <f>IF(ISBLANK('Data Entry'!$¾$474), "", 'Data Entry'!$¾$474)</f>
      </c>
      <c r="DW474">
        <f>IF(ISBLANK('Data Entry'!$¿$474), "", 'Data Entry'!$¿$474)</f>
      </c>
      <c r="DX474">
        <f>IF(ISBLANK('Data Entry'!$À$474), "", 'Data Entry'!$À$474)</f>
      </c>
      <c r="DY474">
        <f>IF(ISBLANK('Data Entry'!$Á$474), "", 'Data Entry'!$Á$474)</f>
      </c>
      <c r="DZ474">
        <f>IF(ISBLANK('Data Entry'!$Â$474), "", 'Data Entry'!$Â$474)</f>
      </c>
      <c r="EA474">
        <f>IF(ISBLANK('Data Entry'!$Ã$474), "", 'Data Entry'!$Ã$474)</f>
      </c>
      <c r="EB474">
        <f>IF(ISBLANK('Data Entry'!$Ä$474), "", 'Data Entry'!$Ä$474)</f>
      </c>
      <c r="EC474">
        <f>IF(ISBLANK('Data Entry'!$Å$474), "", 'Data Entry'!$Å$474)</f>
      </c>
      <c r="ED474">
        <f>IF(ISBLANK('Data Entry'!$Æ$474), "", 'Data Entry'!$Æ$474)</f>
      </c>
      <c r="EE474">
        <f>IF(ISBLANK('Data Entry'!$Ç$474), "", 'Data Entry'!$Ç$474)</f>
      </c>
      <c r="EF474">
        <f>IF(ISBLANK('Data Entry'!$È$474), "", 'Data Entry'!$È$474)</f>
      </c>
      <c r="EG474">
        <f>IF(ISBLANK('Data Entry'!$É$474), "", 'Data Entry'!$É$474)</f>
      </c>
      <c r="EH474">
        <f>IF(ISBLANK('Data Entry'!$Ê$474), "", 'Data Entry'!$Ê$474)</f>
      </c>
      <c r="EI474">
        <f>IF(ISBLANK('Data Entry'!$Ë$474), "", 'Data Entry'!$Ë$474)</f>
      </c>
      <c r="EJ474">
        <f>IF(ISBLANK('Data Entry'!$Ì$474), "", 'Data Entry'!$Ì$474)</f>
      </c>
      <c r="EK474">
        <f>IF(ISBLANK('Data Entry'!$Í$474), "", 'Data Entry'!$Í$474)</f>
      </c>
      <c r="EL474">
        <f>IF(ISBLANK('Data Entry'!$Î$474), "", 'Data Entry'!$Î$474)</f>
      </c>
      <c r="EM474">
        <f>IF(ISBLANK('Data Entry'!$Ï$474), "", 'Data Entry'!$Ï$474)</f>
      </c>
      <c r="EN474">
        <f>IF(ISBLANK('Data Entry'!$Ð$474), "", 'Data Entry'!$Ð$474)</f>
      </c>
      <c r="EO474">
        <f>IF(ISBLANK('Data Entry'!$Ñ$474), "", 'Data Entry'!$Ñ$474)</f>
      </c>
      <c r="EP474">
        <f>IF(ISBLANK('Data Entry'!$Ò$474), "", 'Data Entry'!$Ò$474)</f>
      </c>
      <c r="EQ474">
        <f>IF(ISBLANK('Data Entry'!$Ó$474), "", 'Data Entry'!$Ó$474)</f>
      </c>
      <c r="ER474">
        <f>IF(ISBLANK('Data Entry'!$Ô$474), "", 'Data Entry'!$Ô$474)</f>
      </c>
      <c r="ES474">
        <f>IF(ISBLANK('Data Entry'!$Õ$474), "", 'Data Entry'!$Õ$474)</f>
      </c>
      <c r="ET474">
        <f>IF(ISBLANK('Data Entry'!$Ö$474), "", 'Data Entry'!$Ö$474)</f>
      </c>
      <c r="EU474">
        <f>IF(ISBLANK('Data Entry'!$×$474), "", 'Data Entry'!$×$474)</f>
      </c>
      <c r="EV474">
        <f>IF(ISBLANK('Data Entry'!$Ø$474), "", 'Data Entry'!$Ø$474)</f>
      </c>
      <c r="EW474">
        <f>IF(ISBLANK('Data Entry'!$Ù$474), "", 'Data Entry'!$Ù$474)</f>
      </c>
      <c r="EX474">
        <f>IF(ISBLANK('Data Entry'!$Ú$474), "", 'Data Entry'!$Ú$474)</f>
      </c>
      <c r="EY474">
        <f>IF(ISBLANK('Data Entry'!$Û$474), "", 'Data Entry'!$Û$474)</f>
      </c>
      <c r="EZ474">
        <f>IF(ISBLANK('Data Entry'!$Ü$474), "", 'Data Entry'!$Ü$474)</f>
      </c>
      <c r="FA474">
        <f>IF(ISBLANK('Data Entry'!$Ý$474), "", 'Data Entry'!$Ý$474)</f>
      </c>
      <c r="FB474">
        <f>IF(ISBLANK('Data Entry'!$Þ$474), "", 'Data Entry'!$Þ$474)</f>
      </c>
      <c r="FC474">
        <f>IF(ISBLANK('Data Entry'!$ß$474), "", 'Data Entry'!$ß$474)</f>
      </c>
      <c r="FD474">
        <f>IF(ISBLANK('Data Entry'!$à$474), "", 'Data Entry'!$à$474)</f>
      </c>
      <c r="FE474">
        <f>IF(ISBLANK('Data Entry'!$á$474), "", 'Data Entry'!$á$474)</f>
      </c>
      <c r="FF474">
        <f>IF(ISBLANK('Data Entry'!$â$474), "", 'Data Entry'!$â$474)</f>
      </c>
      <c r="FG474">
        <f>IF(ISBLANK('Data Entry'!$ã$474), "", 'Data Entry'!$ã$474)</f>
      </c>
      <c r="FH474">
        <f>IF(ISBLANK('Data Entry'!$ä$474), "", 'Data Entry'!$ä$474)</f>
      </c>
      <c r="FI474">
        <f>IF(ISBLANK('Data Entry'!$å$474), "", 'Data Entry'!$å$474)</f>
      </c>
      <c r="FJ474">
        <f>IF(ISBLANK('Data Entry'!$æ$474), "", 'Data Entry'!$æ$474)</f>
      </c>
      <c r="FK474">
        <f>IF(ISBLANK('Data Entry'!$ç$474), "", 'Data Entry'!$ç$474)</f>
      </c>
      <c r="FL474">
        <f>IF(ISBLANK('Data Entry'!$è$474), "", 'Data Entry'!$è$474)</f>
      </c>
      <c r="FM474">
        <f>IF(ISBLANK('Data Entry'!$é$474), "", 'Data Entry'!$é$474)</f>
      </c>
      <c r="FN474">
        <f>IF(ISBLANK('Data Entry'!$ê$474), "", 'Data Entry'!$ê$474)</f>
      </c>
      <c r="FO474">
        <f>IF(ISBLANK('Data Entry'!$ë$474), "", 'Data Entry'!$ë$474)</f>
      </c>
      <c r="FP474">
        <f>IF(ISBLANK('Data Entry'!$ì$474), "", 'Data Entry'!$ì$474)</f>
      </c>
      <c r="FQ474">
        <f>IF(ISBLANK('Data Entry'!$í$474), "", 'Data Entry'!$í$474)</f>
      </c>
      <c r="FR474">
        <f>IF(ISBLANK('Data Entry'!$î$474), "", 'Data Entry'!$î$474)</f>
      </c>
      <c r="FS474">
        <f>IF(ISBLANK('Data Entry'!$ï$474), "", 'Data Entry'!$ï$474)</f>
      </c>
      <c r="FT474">
        <f>IF(ISBLANK('Data Entry'!$ð$474), "", 'Data Entry'!$ð$474)</f>
      </c>
      <c r="FU474">
        <f>IF(ISBLANK('Data Entry'!$ñ$474), "", 'Data Entry'!$ñ$474)</f>
      </c>
      <c r="FV474">
        <f>IF(ISBLANK('Data Entry'!$ò$474), "", 'Data Entry'!$ò$474)</f>
      </c>
      <c r="FW474">
        <f>IF(ISBLANK('Data Entry'!$ó$474), "", 'Data Entry'!$ó$474)</f>
      </c>
      <c r="FX474">
        <f>IF(ISBLANK('Data Entry'!$ô$474), "", 'Data Entry'!$ô$474)</f>
      </c>
      <c r="FY474">
        <f>IF(ISBLANK('Data Entry'!$õ$474), "", 'Data Entry'!$õ$474)</f>
      </c>
      <c r="FZ474">
        <f>IF(ISBLANK('Data Entry'!$ö$474), "", 'Data Entry'!$ö$474)</f>
      </c>
      <c r="GA474">
        <f>IF(ISBLANK('Data Entry'!$÷$474), "", 'Data Entry'!$÷$474)</f>
      </c>
      <c r="GB474">
        <f>IF(ISBLANK('Data Entry'!$ø$474), "", 'Data Entry'!$ø$474)</f>
      </c>
      <c r="GC474">
        <f>IF(ISBLANK('Data Entry'!$ù$474), "", 'Data Entry'!$ù$474)</f>
      </c>
      <c r="GD474">
        <f>IF(ISBLANK('Data Entry'!$ú$474), "", 'Data Entry'!$ú$474)</f>
      </c>
      <c r="GE474">
        <f>IF(ISBLANK('Data Entry'!$û$474), "", 'Data Entry'!$û$474)</f>
      </c>
      <c r="GF474">
        <f>IF(ISBLANK('Data Entry'!$ü$474), "", 'Data Entry'!$ü$474)</f>
      </c>
      <c r="GG474">
        <f>IF(ISBLANK('Data Entry'!$ý$474), "", 'Data Entry'!$ý$474)</f>
      </c>
      <c r="GH474">
        <f>IF(ISBLANK('Data Entry'!$þ$474), "", 'Data Entry'!$þ$474)</f>
      </c>
      <c r="GI474">
        <f>IF(ISBLANK('Data Entry'!$ÿ$474), "", 'Data Entry'!$ÿ$474)</f>
      </c>
      <c r="GJ474">
        <f>IF(ISBLANK('Data Entry'!$Ā$474), "", 'Data Entry'!$Ā$474)</f>
      </c>
      <c r="GK474">
        <f>IF(ISBLANK('Data Entry'!$ā$474), "", 'Data Entry'!$ā$474)</f>
      </c>
      <c r="GL474">
        <f>IF(ISBLANK('Data Entry'!$Ă$474), "", 'Data Entry'!$Ă$474)</f>
      </c>
      <c r="GM474">
        <f>IF(ISBLANK('Data Entry'!$ă$474), "", 'Data Entry'!$ă$474)</f>
      </c>
      <c r="GN474">
        <f>IF(ISBLANK('Data Entry'!$Ą$474), "", 'Data Entry'!$Ą$474)</f>
      </c>
      <c r="GO474">
        <f>IF(ISBLANK('Data Entry'!$ą$474), "", 'Data Entry'!$ą$474)</f>
      </c>
      <c r="GP474">
        <f>IF(ISBLANK('Data Entry'!$Ć$474), "", 'Data Entry'!$Ć$474)</f>
      </c>
      <c r="GQ474">
        <f>IF(ISBLANK('Data Entry'!$ć$474), "", 'Data Entry'!$ć$474)</f>
      </c>
      <c r="GR474">
        <f>IF(ISBLANK('Data Entry'!$Ĉ$474), "", 'Data Entry'!$Ĉ$474)</f>
      </c>
      <c r="GS474">
        <f>IF(ISBLANK('Data Entry'!$ĉ$474), "", 'Data Entry'!$ĉ$474)</f>
      </c>
      <c r="GT474">
        <f>IF(ISBLANK('Data Entry'!$Ċ$474), "", 'Data Entry'!$Ċ$474)</f>
      </c>
      <c r="GU474">
        <f>IF(ISBLANK('Data Entry'!$ċ$474), "", 'Data Entry'!$ċ$474)</f>
      </c>
      <c r="GV474">
        <f>IF(ISBLANK('Data Entry'!$Č$474), "", 'Data Entry'!$Č$474)</f>
      </c>
      <c r="GW474">
        <f>IF(ISBLANK('Data Entry'!$č$474), "", 'Data Entry'!$č$474)</f>
      </c>
      <c r="GX474">
        <f>IF(ISBLANK('Data Entry'!$Ď$474), "", 'Data Entry'!$Ď$474)</f>
      </c>
      <c r="GY474">
        <f>IF(ISBLANK('Data Entry'!$ď$474), "", 'Data Entry'!$ď$474)</f>
      </c>
      <c r="GZ474">
        <f>IF(ISBLANK('Data Entry'!$Đ$474), "", 'Data Entry'!$Đ$474)</f>
      </c>
      <c r="HA474">
        <f>IF(ISBLANK('Data Entry'!$đ$474), "", 'Data Entry'!$đ$474)</f>
      </c>
      <c r="HB474">
        <f>IF(ISBLANK('Data Entry'!$Ē$474), "", 'Data Entry'!$Ē$474)</f>
      </c>
      <c r="HC474">
        <f>IF(ISBLANK('Data Entry'!$ē$474), "", 'Data Entry'!$ē$474)</f>
      </c>
      <c r="HD474">
        <f>IF(ISBLANK('Data Entry'!$Ĕ$474), "", 'Data Entry'!$Ĕ$474)</f>
      </c>
      <c r="HE474">
        <f>IF(ISBLANK('Data Entry'!$ĕ$474), "", 'Data Entry'!$ĕ$474)</f>
      </c>
      <c r="HF474">
        <f>IF(ISBLANK('Data Entry'!$Ė$474), "", 'Data Entry'!$Ė$474)</f>
      </c>
      <c r="HG474">
        <f>IF(ISBLANK('Data Entry'!$ė$474), "", 'Data Entry'!$ė$474)</f>
      </c>
      <c r="HH474">
        <f>IF(ISBLANK('Data Entry'!$Ę$474), "", 'Data Entry'!$Ę$474)</f>
      </c>
      <c r="HI474">
        <f>IF(ISBLANK('Data Entry'!$ę$474), "", 'Data Entry'!$ę$474)</f>
      </c>
      <c r="HJ474">
        <f>IF(ISBLANK('Data Entry'!$Ě$474), "", 'Data Entry'!$Ě$474)</f>
      </c>
      <c r="HK474">
        <f>IF(ISBLANK('Data Entry'!$ě$474), "", 'Data Entry'!$ě$474)</f>
      </c>
      <c r="HL474">
        <f>IF(ISBLANK('Data Entry'!$Ĝ$474), "", 'Data Entry'!$Ĝ$474)</f>
      </c>
      <c r="HM474">
        <f>IF(ISBLANK('Data Entry'!$ĝ$474), "", 'Data Entry'!$ĝ$474)</f>
      </c>
      <c r="HN474">
        <f>IF(ISBLANK('Data Entry'!$Ğ$474), "", 'Data Entry'!$Ğ$474)</f>
      </c>
      <c r="HO474">
        <f>IF(ISBLANK('Data Entry'!$ğ$474), "", 'Data Entry'!$ğ$474)</f>
      </c>
      <c r="HP474">
        <f>IF(ISBLANK('Data Entry'!$Ġ$474), "", 'Data Entry'!$Ġ$474)</f>
      </c>
      <c r="HQ474">
        <f>IF(ISBLANK('Data Entry'!$ġ$474), "", 'Data Entry'!$ġ$474)</f>
      </c>
      <c r="HR474">
        <f>IF(ISBLANK('Data Entry'!$Ģ$474), "", 'Data Entry'!$Ģ$474)</f>
      </c>
      <c r="HS474">
        <f>IF(ISBLANK('Data Entry'!$ģ$474), "", 'Data Entry'!$ģ$474)</f>
      </c>
      <c r="HT474">
        <f>IF(ISBLANK('Data Entry'!$Ĥ$474), "", 'Data Entry'!$Ĥ$474)</f>
      </c>
      <c r="HU474">
        <f>IF(ISBLANK('Data Entry'!$ĥ$474), "", 'Data Entry'!$ĥ$474)</f>
      </c>
      <c r="HV474">
        <f>IF(ISBLANK('Data Entry'!$Ħ$474), "", 'Data Entry'!$Ħ$474)</f>
      </c>
      <c r="HW474">
        <f>IF(ISBLANK('Data Entry'!$ħ$474), "", 'Data Entry'!$ħ$474)</f>
      </c>
      <c r="HX474">
        <f>IF(ISBLANK('Data Entry'!$Ĩ$474), "", 'Data Entry'!$Ĩ$474)</f>
      </c>
      <c r="HY474">
        <f>IF(ISBLANK('Data Entry'!$ĩ$474), "", 'Data Entry'!$ĩ$474)</f>
      </c>
      <c r="HZ474">
        <f>IF(ISBLANK('Data Entry'!$Ī$474), "", 'Data Entry'!$Ī$474)</f>
      </c>
      <c r="IA474">
        <f>IF(ISBLANK('Data Entry'!$ī$474), "", 'Data Entry'!$ī$474)</f>
      </c>
      <c r="IB474">
        <f>IF(ISBLANK('Data Entry'!$Ĭ$474), "", 'Data Entry'!$Ĭ$474)</f>
      </c>
      <c r="IC474">
        <f>IF(ISBLANK('Data Entry'!$ĭ$474), "", 'Data Entry'!$ĭ$474)</f>
      </c>
      <c r="ID474">
        <f>IF(ISBLANK('Data Entry'!$Į$474), "", 'Data Entry'!$Į$474)</f>
      </c>
      <c r="IE474">
        <f>IF(ISBLANK('Data Entry'!$į$474), "", 'Data Entry'!$į$474)</f>
      </c>
      <c r="IF474">
        <f>IF(ISBLANK('Data Entry'!$İ$474), "", 'Data Entry'!$İ$474)</f>
      </c>
      <c r="IG474">
        <f>IF(ISBLANK('Data Entry'!$ı$474), "", 'Data Entry'!$ı$474)</f>
      </c>
      <c r="IH474">
        <f>IF(ISBLANK('Data Entry'!$Ĳ$474), "", 'Data Entry'!$Ĳ$474)</f>
      </c>
      <c r="II474">
        <f>IF(ISBLANK('Data Entry'!$ĳ$474), "", 'Data Entry'!$ĳ$474)</f>
      </c>
      <c r="IJ474">
        <f>IF(ISBLANK('Data Entry'!$Ĵ$474), "", 'Data Entry'!$Ĵ$474)</f>
      </c>
      <c r="IK474">
        <f>IF(ISBLANK('Data Entry'!$ĵ$474), "", 'Data Entry'!$ĵ$474)</f>
      </c>
      <c r="IL474">
        <f>IF(ISBLANK('Data Entry'!$Ķ$474), "", 'Data Entry'!$Ķ$474)</f>
      </c>
      <c r="IM474">
        <f>IF(ISBLANK('Data Entry'!$ķ$474), "", 'Data Entry'!$ķ$474)</f>
      </c>
      <c r="IN474">
        <f>IF(ISBLANK('Data Entry'!$ĸ$474), "", 'Data Entry'!$ĸ$474)</f>
      </c>
      <c r="IO474">
        <f>IF(ISBLANK('Data Entry'!$Ĺ$474), "", 'Data Entry'!$Ĺ$474)</f>
      </c>
      <c r="IP474">
        <f>IF(ISBLANK('Data Entry'!$ĺ$474), "", 'Data Entry'!$ĺ$474)</f>
      </c>
      <c r="IQ474">
        <f>IF(ISBLANK('Data Entry'!$Ļ$474), "", 'Data Entry'!$Ļ$474)</f>
      </c>
      <c r="IR474">
        <f>IF(ISBLANK('Data Entry'!$ļ$474), "", 'Data Entry'!$ļ$474)</f>
      </c>
      <c r="IS474">
        <f>IF(ISBLANK('Data Entry'!$Ľ$474), "", 'Data Entry'!$Ľ$474)</f>
      </c>
      <c r="IT474">
        <f>IF(ISBLANK('Data Entry'!$ľ$474), "", 'Data Entry'!$ľ$474)</f>
      </c>
    </row>
    <row r="475" spans="1:254" x14ac:dyDescent="0.25">
      <c r="A475">
        <f>IF(ISBLANK('Data Entry'!$A$475), "", 'Data Entry'!$A$475)</f>
      </c>
      <c r="B475">
        <f>IF(ISBLANK('Data Entry'!$B$475), "", 'Data Entry'!$B$475)</f>
      </c>
      <c r="C475">
        <f>IF(ISBLANK('Data Entry'!$C$475), "", 'Data Entry'!$C$475)</f>
      </c>
      <c r="D475">
        <f>IF(ISBLANK('Data Entry'!$D$475), "", 'Data Entry'!$D$475)</f>
      </c>
      <c r="E475">
        <f>IF(ISBLANK('Data Entry'!$E$475), "", 'Data Entry'!$E$475)</f>
      </c>
      <c r="F475">
        <f>IF(ISBLANK('Data Entry'!$F$475), "", 'Data Entry'!$F$475)</f>
      </c>
      <c r="G475">
        <f>IF(ISBLANK('Data Entry'!$G$475), "", 'Data Entry'!$G$475)</f>
      </c>
      <c r="H475">
        <f>IF(ISBLANK('Data Entry'!$H$475), "", 'Data Entry'!$H$475)</f>
      </c>
      <c r="I475">
        <f>IF(ISBLANK('Data Entry'!$I$475), "", 'Data Entry'!$I$475)</f>
      </c>
      <c r="J475">
        <f>IF(ISBLANK('Data Entry'!$J$475), "", 'Data Entry'!$J$475)</f>
      </c>
      <c r="K475">
        <f>IF(ISBLANK('Data Entry'!$K$475), "", 'Data Entry'!$K$475)</f>
      </c>
      <c r="L475">
        <f>IF(ISBLANK('Data Entry'!$L$475), "", 'Data Entry'!$L$475)</f>
      </c>
      <c r="M475">
        <f>IF(ISBLANK('Data Entry'!$M$475), "", 'Data Entry'!$M$475)</f>
      </c>
      <c r="N475">
        <f>IF(ISBLANK('Data Entry'!$N$475), "", 'Data Entry'!$N$475)</f>
      </c>
      <c r="O475">
        <f>IF(ISBLANK('Data Entry'!$O$475), "", 'Data Entry'!$O$475)</f>
      </c>
      <c r="P475">
        <f>IF(ISBLANK('Data Entry'!$P$475), "", 'Data Entry'!$P$475)</f>
      </c>
      <c r="Q475">
        <f>IF(ISBLANK('Data Entry'!$Q$475), "", 'Data Entry'!$Q$475)</f>
      </c>
      <c r="R475">
        <f>IF(ISBLANK('Data Entry'!$R$475), "", 'Data Entry'!$R$475)</f>
      </c>
      <c r="S475">
        <f>IF(ISBLANK('Data Entry'!$S$475), "", 'Data Entry'!$S$475)</f>
      </c>
      <c r="T475">
        <f>IF(ISBLANK('Data Entry'!$T$475), "", 'Data Entry'!$T$475)</f>
      </c>
      <c r="U475">
        <f>IF(ISBLANK('Data Entry'!$U$475), "", 'Data Entry'!$U$475)</f>
      </c>
      <c r="V475">
        <f>IF(ISBLANK('Data Entry'!$V$475), "", 'Data Entry'!$V$475)</f>
      </c>
      <c r="W475">
        <f>IF(ISBLANK('Data Entry'!$W$475), "", 'Data Entry'!$W$475)</f>
      </c>
      <c r="X475">
        <f>IF(ISBLANK('Data Entry'!$X$475), "", 'Data Entry'!$X$475)</f>
      </c>
      <c r="Y475">
        <f>IF(ISBLANK('Data Entry'!$Y$475), "", 'Data Entry'!$Y$475)</f>
      </c>
      <c r="Z475">
        <f>IF(ISBLANK('Data Entry'!$Z$475), "", 'Data Entry'!$Z$475)</f>
      </c>
      <c r="AA475">
        <f>IF(ISBLANK('Data Entry'!$[$475), "", 'Data Entry'!$[$475)</f>
      </c>
      <c r="AB475">
        <f>IF(ISBLANK('Data Entry'!$\$475), "", 'Data Entry'!$\$475)</f>
      </c>
      <c r="AC475">
        <f>IF(ISBLANK('Data Entry'!$]$475), "", 'Data Entry'!$]$475)</f>
      </c>
      <c r="AD475">
        <f>IF(ISBLANK('Data Entry'!$^$475), "", 'Data Entry'!$^$475)</f>
      </c>
      <c r="AE475">
        <f>IF(ISBLANK('Data Entry'!$_$475), "", 'Data Entry'!$_$475)</f>
      </c>
      <c r="AF475">
        <f>IF(ISBLANK('Data Entry'!$`$475), "", 'Data Entry'!$`$475)</f>
      </c>
      <c r="AG475">
        <f>IF(ISBLANK('Data Entry'!$a$475), "", 'Data Entry'!$a$475)</f>
      </c>
      <c r="AH475">
        <f>IF(ISBLANK('Data Entry'!$b$475), "", 'Data Entry'!$b$475)</f>
      </c>
      <c r="AI475">
        <f>IF(ISBLANK('Data Entry'!$c$475), "", 'Data Entry'!$c$475)</f>
      </c>
      <c r="AJ475">
        <f>IF(ISBLANK('Data Entry'!$d$475), "", 'Data Entry'!$d$475)</f>
      </c>
      <c r="AK475">
        <f>IF(ISBLANK('Data Entry'!$e$475), "", 'Data Entry'!$e$475)</f>
      </c>
      <c r="AL475">
        <f>IF(ISBLANK('Data Entry'!$f$475), "", 'Data Entry'!$f$475)</f>
      </c>
      <c r="AM475">
        <f>IF(ISBLANK('Data Entry'!$g$475), "", 'Data Entry'!$g$475)</f>
      </c>
      <c r="AN475">
        <f>IF(ISBLANK('Data Entry'!$h$475), "", 'Data Entry'!$h$475)</f>
      </c>
      <c r="AO475">
        <f>IF(ISBLANK('Data Entry'!$i$475), "", 'Data Entry'!$i$475)</f>
      </c>
      <c r="AP475">
        <f>IF(ISBLANK('Data Entry'!$j$475), "", 'Data Entry'!$j$475)</f>
      </c>
      <c r="AQ475">
        <f>IF(ISBLANK('Data Entry'!$k$475), "", 'Data Entry'!$k$475)</f>
      </c>
      <c r="AR475">
        <f>IF(ISBLANK('Data Entry'!$l$475), "", 'Data Entry'!$l$475)</f>
      </c>
      <c r="AS475">
        <f>IF(ISBLANK('Data Entry'!$m$475), "", 'Data Entry'!$m$475)</f>
      </c>
      <c r="AT475">
        <f>IF(ISBLANK('Data Entry'!$n$475), "", 'Data Entry'!$n$475)</f>
      </c>
      <c r="AU475">
        <f>IF(ISBLANK('Data Entry'!$o$475), "", 'Data Entry'!$o$475)</f>
      </c>
      <c r="AV475">
        <f>IF(ISBLANK('Data Entry'!$p$475), "", 'Data Entry'!$p$475)</f>
      </c>
      <c r="AW475">
        <f>IF(ISBLANK('Data Entry'!$q$475), "", 'Data Entry'!$q$475)</f>
      </c>
      <c r="AX475">
        <f>IF(ISBLANK('Data Entry'!$r$475), "", 'Data Entry'!$r$475)</f>
      </c>
      <c r="AY475">
        <f>IF(ISBLANK('Data Entry'!$s$475), "", 'Data Entry'!$s$475)</f>
      </c>
      <c r="AZ475">
        <f>IF(ISBLANK('Data Entry'!$t$475), "", 'Data Entry'!$t$475)</f>
      </c>
      <c r="BA475">
        <f>IF(ISBLANK('Data Entry'!$u$475), "", 'Data Entry'!$u$475)</f>
      </c>
      <c r="BB475">
        <f>IF(ISBLANK('Data Entry'!$v$475), "", 'Data Entry'!$v$475)</f>
      </c>
      <c r="BC475">
        <f>IF(ISBLANK('Data Entry'!$w$475), "", 'Data Entry'!$w$475)</f>
      </c>
      <c r="BD475">
        <f>IF(ISBLANK('Data Entry'!$x$475), "", 'Data Entry'!$x$475)</f>
      </c>
      <c r="BE475">
        <f>IF(ISBLANK('Data Entry'!$y$475), "", 'Data Entry'!$y$475)</f>
      </c>
      <c r="BF475">
        <f>IF(ISBLANK('Data Entry'!$z$475), "", 'Data Entry'!$z$475)</f>
      </c>
      <c r="BG475">
        <f>IF(ISBLANK('Data Entry'!${$475), "", 'Data Entry'!${$475)</f>
      </c>
      <c r="BH475">
        <f>IF(ISBLANK('Data Entry'!$|$475), "", 'Data Entry'!$|$475)</f>
      </c>
      <c r="BI475">
        <f>IF(ISBLANK('Data Entry'!$}$475), "", 'Data Entry'!$}$475)</f>
      </c>
      <c r="BJ475">
        <f>IF(ISBLANK('Data Entry'!$~$475), "", 'Data Entry'!$~$475)</f>
      </c>
      <c r="BK475">
        <f>IF(ISBLANK('Data Entry'!$$475), "", 'Data Entry'!$$475)</f>
      </c>
      <c r="BL475">
        <f>IF(ISBLANK('Data Entry'!$$475), "", 'Data Entry'!$$475)</f>
      </c>
      <c r="BM475">
        <f>IF(ISBLANK('Data Entry'!$$475), "", 'Data Entry'!$$475)</f>
      </c>
      <c r="BN475">
        <f>IF(ISBLANK('Data Entry'!$$475), "", 'Data Entry'!$$475)</f>
      </c>
      <c r="BO475">
        <f>IF(ISBLANK('Data Entry'!$$475), "", 'Data Entry'!$$475)</f>
      </c>
      <c r="BP475">
        <f>IF(ISBLANK('Data Entry'!$$475), "", 'Data Entry'!$$475)</f>
      </c>
      <c r="BQ475">
        <f>IF(ISBLANK('Data Entry'!$$475), "", 'Data Entry'!$$475)</f>
      </c>
      <c r="BR475">
        <f>IF(ISBLANK('Data Entry'!$$475), "", 'Data Entry'!$$475)</f>
      </c>
      <c r="BS475">
        <f>IF(ISBLANK('Data Entry'!$$475), "", 'Data Entry'!$$475)</f>
      </c>
      <c r="BT475">
        <f>IF(ISBLANK('Data Entry'!$$475), "", 'Data Entry'!$$475)</f>
      </c>
      <c r="BU475">
        <f>IF(ISBLANK('Data Entry'!$$475), "", 'Data Entry'!$$475)</f>
      </c>
      <c r="BV475">
        <f>IF(ISBLANK('Data Entry'!$$475), "", 'Data Entry'!$$475)</f>
      </c>
      <c r="BW475">
        <f>IF(ISBLANK('Data Entry'!$$475), "", 'Data Entry'!$$475)</f>
      </c>
      <c r="BX475">
        <f>IF(ISBLANK('Data Entry'!$$475), "", 'Data Entry'!$$475)</f>
      </c>
      <c r="BY475">
        <f>IF(ISBLANK('Data Entry'!$$475), "", 'Data Entry'!$$475)</f>
      </c>
      <c r="BZ475">
        <f>IF(ISBLANK('Data Entry'!$$475), "", 'Data Entry'!$$475)</f>
      </c>
      <c r="CA475">
        <f>IF(ISBLANK('Data Entry'!$$475), "", 'Data Entry'!$$475)</f>
      </c>
      <c r="CB475">
        <f>IF(ISBLANK('Data Entry'!$$475), "", 'Data Entry'!$$475)</f>
      </c>
      <c r="CC475">
        <f>IF(ISBLANK('Data Entry'!$$475), "", 'Data Entry'!$$475)</f>
      </c>
      <c r="CD475">
        <f>IF(ISBLANK('Data Entry'!$$475), "", 'Data Entry'!$$475)</f>
      </c>
      <c r="CE475">
        <f>IF(ISBLANK('Data Entry'!$$475), "", 'Data Entry'!$$475)</f>
      </c>
      <c r="CF475">
        <f>IF(ISBLANK('Data Entry'!$$475), "", 'Data Entry'!$$475)</f>
      </c>
      <c r="CG475">
        <f>IF(ISBLANK('Data Entry'!$$475), "", 'Data Entry'!$$475)</f>
      </c>
      <c r="CH475">
        <f>IF(ISBLANK('Data Entry'!$$475), "", 'Data Entry'!$$475)</f>
      </c>
      <c r="CI475">
        <f>IF(ISBLANK('Data Entry'!$$475), "", 'Data Entry'!$$475)</f>
      </c>
      <c r="CJ475">
        <f>IF(ISBLANK('Data Entry'!$$475), "", 'Data Entry'!$$475)</f>
      </c>
      <c r="CK475">
        <f>IF(ISBLANK('Data Entry'!$$475), "", 'Data Entry'!$$475)</f>
      </c>
      <c r="CL475">
        <f>IF(ISBLANK('Data Entry'!$$475), "", 'Data Entry'!$$475)</f>
      </c>
      <c r="CM475">
        <f>IF(ISBLANK('Data Entry'!$$475), "", 'Data Entry'!$$475)</f>
      </c>
      <c r="CN475">
        <f>IF(ISBLANK('Data Entry'!$$475), "", 'Data Entry'!$$475)</f>
      </c>
      <c r="CO475">
        <f>IF(ISBLANK('Data Entry'!$$475), "", 'Data Entry'!$$475)</f>
      </c>
      <c r="CP475">
        <f>IF(ISBLANK('Data Entry'!$$475), "", 'Data Entry'!$$475)</f>
      </c>
      <c r="CQ475">
        <f>IF(ISBLANK('Data Entry'!$$475), "", 'Data Entry'!$$475)</f>
      </c>
      <c r="CR475">
        <f>IF(ISBLANK('Data Entry'!$ $475), "", 'Data Entry'!$ $475)</f>
      </c>
      <c r="CS475">
        <f>IF(ISBLANK('Data Entry'!$¡$475), "", 'Data Entry'!$¡$475)</f>
      </c>
      <c r="CT475">
        <f>IF(ISBLANK('Data Entry'!$¢$475), "", 'Data Entry'!$¢$475)</f>
      </c>
      <c r="CU475">
        <f>IF(ISBLANK('Data Entry'!$£$475), "", 'Data Entry'!$£$475)</f>
      </c>
      <c r="CV475">
        <f>IF(ISBLANK('Data Entry'!$¤$475), "", 'Data Entry'!$¤$475)</f>
      </c>
      <c r="CW475">
        <f>IF(ISBLANK('Data Entry'!$¥$475), "", 'Data Entry'!$¥$475)</f>
      </c>
      <c r="CX475">
        <f>IF(ISBLANK('Data Entry'!$¦$475), "", 'Data Entry'!$¦$475)</f>
      </c>
      <c r="CY475">
        <f>IF(ISBLANK('Data Entry'!$§$475), "", 'Data Entry'!$§$475)</f>
      </c>
      <c r="CZ475">
        <f>IF(ISBLANK('Data Entry'!$¨$475), "", 'Data Entry'!$¨$475)</f>
      </c>
      <c r="DA475">
        <f>IF(ISBLANK('Data Entry'!$©$475), "", 'Data Entry'!$©$475)</f>
      </c>
      <c r="DB475">
        <f>IF(ISBLANK('Data Entry'!$ª$475), "", 'Data Entry'!$ª$475)</f>
      </c>
      <c r="DC475">
        <f>IF(ISBLANK('Data Entry'!$«$475), "", 'Data Entry'!$«$475)</f>
      </c>
      <c r="DD475">
        <f>IF(ISBLANK('Data Entry'!$¬$475), "", 'Data Entry'!$¬$475)</f>
      </c>
      <c r="DE475">
        <f>IF(ISBLANK('Data Entry'!$­$475), "", 'Data Entry'!$­$475)</f>
      </c>
      <c r="DF475">
        <f>IF(ISBLANK('Data Entry'!$®$475), "", 'Data Entry'!$®$475)</f>
      </c>
      <c r="DG475">
        <f>IF(ISBLANK('Data Entry'!$¯$475), "", 'Data Entry'!$¯$475)</f>
      </c>
      <c r="DH475">
        <f>IF(ISBLANK('Data Entry'!$°$475), "", 'Data Entry'!$°$475)</f>
      </c>
      <c r="DI475">
        <f>IF(ISBLANK('Data Entry'!$±$475), "", 'Data Entry'!$±$475)</f>
      </c>
      <c r="DJ475">
        <f>IF(ISBLANK('Data Entry'!$²$475), "", 'Data Entry'!$²$475)</f>
      </c>
      <c r="DK475">
        <f>IF(ISBLANK('Data Entry'!$³$475), "", 'Data Entry'!$³$475)</f>
      </c>
      <c r="DL475">
        <f>IF(ISBLANK('Data Entry'!$´$475), "", 'Data Entry'!$´$475)</f>
      </c>
      <c r="DM475">
        <f>IF(ISBLANK('Data Entry'!$µ$475), "", 'Data Entry'!$µ$475)</f>
      </c>
      <c r="DN475">
        <f>IF(ISBLANK('Data Entry'!$¶$475), "", 'Data Entry'!$¶$475)</f>
      </c>
      <c r="DO475">
        <f>IF(ISBLANK('Data Entry'!$·$475), "", 'Data Entry'!$·$475)</f>
      </c>
      <c r="DP475">
        <f>IF(ISBLANK('Data Entry'!$¸$475), "", 'Data Entry'!$¸$475)</f>
      </c>
      <c r="DQ475">
        <f>IF(ISBLANK('Data Entry'!$¹$475), "", 'Data Entry'!$¹$475)</f>
      </c>
      <c r="DR475">
        <f>IF(ISBLANK('Data Entry'!$º$475), "", 'Data Entry'!$º$475)</f>
      </c>
      <c r="DS475">
        <f>IF(ISBLANK('Data Entry'!$»$475), "", 'Data Entry'!$»$475)</f>
      </c>
      <c r="DT475">
        <f>IF(ISBLANK('Data Entry'!$¼$475), "", 'Data Entry'!$¼$475)</f>
      </c>
      <c r="DU475">
        <f>IF(ISBLANK('Data Entry'!$½$475), "", 'Data Entry'!$½$475)</f>
      </c>
      <c r="DV475">
        <f>IF(ISBLANK('Data Entry'!$¾$475), "", 'Data Entry'!$¾$475)</f>
      </c>
      <c r="DW475">
        <f>IF(ISBLANK('Data Entry'!$¿$475), "", 'Data Entry'!$¿$475)</f>
      </c>
      <c r="DX475">
        <f>IF(ISBLANK('Data Entry'!$À$475), "", 'Data Entry'!$À$475)</f>
      </c>
      <c r="DY475">
        <f>IF(ISBLANK('Data Entry'!$Á$475), "", 'Data Entry'!$Á$475)</f>
      </c>
      <c r="DZ475">
        <f>IF(ISBLANK('Data Entry'!$Â$475), "", 'Data Entry'!$Â$475)</f>
      </c>
      <c r="EA475">
        <f>IF(ISBLANK('Data Entry'!$Ã$475), "", 'Data Entry'!$Ã$475)</f>
      </c>
      <c r="EB475">
        <f>IF(ISBLANK('Data Entry'!$Ä$475), "", 'Data Entry'!$Ä$475)</f>
      </c>
      <c r="EC475">
        <f>IF(ISBLANK('Data Entry'!$Å$475), "", 'Data Entry'!$Å$475)</f>
      </c>
      <c r="ED475">
        <f>IF(ISBLANK('Data Entry'!$Æ$475), "", 'Data Entry'!$Æ$475)</f>
      </c>
      <c r="EE475">
        <f>IF(ISBLANK('Data Entry'!$Ç$475), "", 'Data Entry'!$Ç$475)</f>
      </c>
      <c r="EF475">
        <f>IF(ISBLANK('Data Entry'!$È$475), "", 'Data Entry'!$È$475)</f>
      </c>
      <c r="EG475">
        <f>IF(ISBLANK('Data Entry'!$É$475), "", 'Data Entry'!$É$475)</f>
      </c>
      <c r="EH475">
        <f>IF(ISBLANK('Data Entry'!$Ê$475), "", 'Data Entry'!$Ê$475)</f>
      </c>
      <c r="EI475">
        <f>IF(ISBLANK('Data Entry'!$Ë$475), "", 'Data Entry'!$Ë$475)</f>
      </c>
      <c r="EJ475">
        <f>IF(ISBLANK('Data Entry'!$Ì$475), "", 'Data Entry'!$Ì$475)</f>
      </c>
      <c r="EK475">
        <f>IF(ISBLANK('Data Entry'!$Í$475), "", 'Data Entry'!$Í$475)</f>
      </c>
      <c r="EL475">
        <f>IF(ISBLANK('Data Entry'!$Î$475), "", 'Data Entry'!$Î$475)</f>
      </c>
      <c r="EM475">
        <f>IF(ISBLANK('Data Entry'!$Ï$475), "", 'Data Entry'!$Ï$475)</f>
      </c>
      <c r="EN475">
        <f>IF(ISBLANK('Data Entry'!$Ð$475), "", 'Data Entry'!$Ð$475)</f>
      </c>
      <c r="EO475">
        <f>IF(ISBLANK('Data Entry'!$Ñ$475), "", 'Data Entry'!$Ñ$475)</f>
      </c>
      <c r="EP475">
        <f>IF(ISBLANK('Data Entry'!$Ò$475), "", 'Data Entry'!$Ò$475)</f>
      </c>
      <c r="EQ475">
        <f>IF(ISBLANK('Data Entry'!$Ó$475), "", 'Data Entry'!$Ó$475)</f>
      </c>
      <c r="ER475">
        <f>IF(ISBLANK('Data Entry'!$Ô$475), "", 'Data Entry'!$Ô$475)</f>
      </c>
      <c r="ES475">
        <f>IF(ISBLANK('Data Entry'!$Õ$475), "", 'Data Entry'!$Õ$475)</f>
      </c>
      <c r="ET475">
        <f>IF(ISBLANK('Data Entry'!$Ö$475), "", 'Data Entry'!$Ö$475)</f>
      </c>
      <c r="EU475">
        <f>IF(ISBLANK('Data Entry'!$×$475), "", 'Data Entry'!$×$475)</f>
      </c>
      <c r="EV475">
        <f>IF(ISBLANK('Data Entry'!$Ø$475), "", 'Data Entry'!$Ø$475)</f>
      </c>
      <c r="EW475">
        <f>IF(ISBLANK('Data Entry'!$Ù$475), "", 'Data Entry'!$Ù$475)</f>
      </c>
      <c r="EX475">
        <f>IF(ISBLANK('Data Entry'!$Ú$475), "", 'Data Entry'!$Ú$475)</f>
      </c>
      <c r="EY475">
        <f>IF(ISBLANK('Data Entry'!$Û$475), "", 'Data Entry'!$Û$475)</f>
      </c>
      <c r="EZ475">
        <f>IF(ISBLANK('Data Entry'!$Ü$475), "", 'Data Entry'!$Ü$475)</f>
      </c>
      <c r="FA475">
        <f>IF(ISBLANK('Data Entry'!$Ý$475), "", 'Data Entry'!$Ý$475)</f>
      </c>
      <c r="FB475">
        <f>IF(ISBLANK('Data Entry'!$Þ$475), "", 'Data Entry'!$Þ$475)</f>
      </c>
      <c r="FC475">
        <f>IF(ISBLANK('Data Entry'!$ß$475), "", 'Data Entry'!$ß$475)</f>
      </c>
      <c r="FD475">
        <f>IF(ISBLANK('Data Entry'!$à$475), "", 'Data Entry'!$à$475)</f>
      </c>
      <c r="FE475">
        <f>IF(ISBLANK('Data Entry'!$á$475), "", 'Data Entry'!$á$475)</f>
      </c>
      <c r="FF475">
        <f>IF(ISBLANK('Data Entry'!$â$475), "", 'Data Entry'!$â$475)</f>
      </c>
      <c r="FG475">
        <f>IF(ISBLANK('Data Entry'!$ã$475), "", 'Data Entry'!$ã$475)</f>
      </c>
      <c r="FH475">
        <f>IF(ISBLANK('Data Entry'!$ä$475), "", 'Data Entry'!$ä$475)</f>
      </c>
      <c r="FI475">
        <f>IF(ISBLANK('Data Entry'!$å$475), "", 'Data Entry'!$å$475)</f>
      </c>
      <c r="FJ475">
        <f>IF(ISBLANK('Data Entry'!$æ$475), "", 'Data Entry'!$æ$475)</f>
      </c>
      <c r="FK475">
        <f>IF(ISBLANK('Data Entry'!$ç$475), "", 'Data Entry'!$ç$475)</f>
      </c>
      <c r="FL475">
        <f>IF(ISBLANK('Data Entry'!$è$475), "", 'Data Entry'!$è$475)</f>
      </c>
      <c r="FM475">
        <f>IF(ISBLANK('Data Entry'!$é$475), "", 'Data Entry'!$é$475)</f>
      </c>
      <c r="FN475">
        <f>IF(ISBLANK('Data Entry'!$ê$475), "", 'Data Entry'!$ê$475)</f>
      </c>
      <c r="FO475">
        <f>IF(ISBLANK('Data Entry'!$ë$475), "", 'Data Entry'!$ë$475)</f>
      </c>
      <c r="FP475">
        <f>IF(ISBLANK('Data Entry'!$ì$475), "", 'Data Entry'!$ì$475)</f>
      </c>
      <c r="FQ475">
        <f>IF(ISBLANK('Data Entry'!$í$475), "", 'Data Entry'!$í$475)</f>
      </c>
      <c r="FR475">
        <f>IF(ISBLANK('Data Entry'!$î$475), "", 'Data Entry'!$î$475)</f>
      </c>
      <c r="FS475">
        <f>IF(ISBLANK('Data Entry'!$ï$475), "", 'Data Entry'!$ï$475)</f>
      </c>
      <c r="FT475">
        <f>IF(ISBLANK('Data Entry'!$ð$475), "", 'Data Entry'!$ð$475)</f>
      </c>
      <c r="FU475">
        <f>IF(ISBLANK('Data Entry'!$ñ$475), "", 'Data Entry'!$ñ$475)</f>
      </c>
      <c r="FV475">
        <f>IF(ISBLANK('Data Entry'!$ò$475), "", 'Data Entry'!$ò$475)</f>
      </c>
      <c r="FW475">
        <f>IF(ISBLANK('Data Entry'!$ó$475), "", 'Data Entry'!$ó$475)</f>
      </c>
      <c r="FX475">
        <f>IF(ISBLANK('Data Entry'!$ô$475), "", 'Data Entry'!$ô$475)</f>
      </c>
      <c r="FY475">
        <f>IF(ISBLANK('Data Entry'!$õ$475), "", 'Data Entry'!$õ$475)</f>
      </c>
      <c r="FZ475">
        <f>IF(ISBLANK('Data Entry'!$ö$475), "", 'Data Entry'!$ö$475)</f>
      </c>
      <c r="GA475">
        <f>IF(ISBLANK('Data Entry'!$÷$475), "", 'Data Entry'!$÷$475)</f>
      </c>
      <c r="GB475">
        <f>IF(ISBLANK('Data Entry'!$ø$475), "", 'Data Entry'!$ø$475)</f>
      </c>
      <c r="GC475">
        <f>IF(ISBLANK('Data Entry'!$ù$475), "", 'Data Entry'!$ù$475)</f>
      </c>
      <c r="GD475">
        <f>IF(ISBLANK('Data Entry'!$ú$475), "", 'Data Entry'!$ú$475)</f>
      </c>
      <c r="GE475">
        <f>IF(ISBLANK('Data Entry'!$û$475), "", 'Data Entry'!$û$475)</f>
      </c>
      <c r="GF475">
        <f>IF(ISBLANK('Data Entry'!$ü$475), "", 'Data Entry'!$ü$475)</f>
      </c>
      <c r="GG475">
        <f>IF(ISBLANK('Data Entry'!$ý$475), "", 'Data Entry'!$ý$475)</f>
      </c>
      <c r="GH475">
        <f>IF(ISBLANK('Data Entry'!$þ$475), "", 'Data Entry'!$þ$475)</f>
      </c>
      <c r="GI475">
        <f>IF(ISBLANK('Data Entry'!$ÿ$475), "", 'Data Entry'!$ÿ$475)</f>
      </c>
      <c r="GJ475">
        <f>IF(ISBLANK('Data Entry'!$Ā$475), "", 'Data Entry'!$Ā$475)</f>
      </c>
      <c r="GK475">
        <f>IF(ISBLANK('Data Entry'!$ā$475), "", 'Data Entry'!$ā$475)</f>
      </c>
      <c r="GL475">
        <f>IF(ISBLANK('Data Entry'!$Ă$475), "", 'Data Entry'!$Ă$475)</f>
      </c>
      <c r="GM475">
        <f>IF(ISBLANK('Data Entry'!$ă$475), "", 'Data Entry'!$ă$475)</f>
      </c>
      <c r="GN475">
        <f>IF(ISBLANK('Data Entry'!$Ą$475), "", 'Data Entry'!$Ą$475)</f>
      </c>
      <c r="GO475">
        <f>IF(ISBLANK('Data Entry'!$ą$475), "", 'Data Entry'!$ą$475)</f>
      </c>
      <c r="GP475">
        <f>IF(ISBLANK('Data Entry'!$Ć$475), "", 'Data Entry'!$Ć$475)</f>
      </c>
      <c r="GQ475">
        <f>IF(ISBLANK('Data Entry'!$ć$475), "", 'Data Entry'!$ć$475)</f>
      </c>
      <c r="GR475">
        <f>IF(ISBLANK('Data Entry'!$Ĉ$475), "", 'Data Entry'!$Ĉ$475)</f>
      </c>
      <c r="GS475">
        <f>IF(ISBLANK('Data Entry'!$ĉ$475), "", 'Data Entry'!$ĉ$475)</f>
      </c>
      <c r="GT475">
        <f>IF(ISBLANK('Data Entry'!$Ċ$475), "", 'Data Entry'!$Ċ$475)</f>
      </c>
      <c r="GU475">
        <f>IF(ISBLANK('Data Entry'!$ċ$475), "", 'Data Entry'!$ċ$475)</f>
      </c>
      <c r="GV475">
        <f>IF(ISBLANK('Data Entry'!$Č$475), "", 'Data Entry'!$Č$475)</f>
      </c>
      <c r="GW475">
        <f>IF(ISBLANK('Data Entry'!$č$475), "", 'Data Entry'!$č$475)</f>
      </c>
      <c r="GX475">
        <f>IF(ISBLANK('Data Entry'!$Ď$475), "", 'Data Entry'!$Ď$475)</f>
      </c>
      <c r="GY475">
        <f>IF(ISBLANK('Data Entry'!$ď$475), "", 'Data Entry'!$ď$475)</f>
      </c>
      <c r="GZ475">
        <f>IF(ISBLANK('Data Entry'!$Đ$475), "", 'Data Entry'!$Đ$475)</f>
      </c>
      <c r="HA475">
        <f>IF(ISBLANK('Data Entry'!$đ$475), "", 'Data Entry'!$đ$475)</f>
      </c>
      <c r="HB475">
        <f>IF(ISBLANK('Data Entry'!$Ē$475), "", 'Data Entry'!$Ē$475)</f>
      </c>
      <c r="HC475">
        <f>IF(ISBLANK('Data Entry'!$ē$475), "", 'Data Entry'!$ē$475)</f>
      </c>
      <c r="HD475">
        <f>IF(ISBLANK('Data Entry'!$Ĕ$475), "", 'Data Entry'!$Ĕ$475)</f>
      </c>
      <c r="HE475">
        <f>IF(ISBLANK('Data Entry'!$ĕ$475), "", 'Data Entry'!$ĕ$475)</f>
      </c>
      <c r="HF475">
        <f>IF(ISBLANK('Data Entry'!$Ė$475), "", 'Data Entry'!$Ė$475)</f>
      </c>
      <c r="HG475">
        <f>IF(ISBLANK('Data Entry'!$ė$475), "", 'Data Entry'!$ė$475)</f>
      </c>
      <c r="HH475">
        <f>IF(ISBLANK('Data Entry'!$Ę$475), "", 'Data Entry'!$Ę$475)</f>
      </c>
      <c r="HI475">
        <f>IF(ISBLANK('Data Entry'!$ę$475), "", 'Data Entry'!$ę$475)</f>
      </c>
      <c r="HJ475">
        <f>IF(ISBLANK('Data Entry'!$Ě$475), "", 'Data Entry'!$Ě$475)</f>
      </c>
      <c r="HK475">
        <f>IF(ISBLANK('Data Entry'!$ě$475), "", 'Data Entry'!$ě$475)</f>
      </c>
      <c r="HL475">
        <f>IF(ISBLANK('Data Entry'!$Ĝ$475), "", 'Data Entry'!$Ĝ$475)</f>
      </c>
      <c r="HM475">
        <f>IF(ISBLANK('Data Entry'!$ĝ$475), "", 'Data Entry'!$ĝ$475)</f>
      </c>
      <c r="HN475">
        <f>IF(ISBLANK('Data Entry'!$Ğ$475), "", 'Data Entry'!$Ğ$475)</f>
      </c>
      <c r="HO475">
        <f>IF(ISBLANK('Data Entry'!$ğ$475), "", 'Data Entry'!$ğ$475)</f>
      </c>
      <c r="HP475">
        <f>IF(ISBLANK('Data Entry'!$Ġ$475), "", 'Data Entry'!$Ġ$475)</f>
      </c>
      <c r="HQ475">
        <f>IF(ISBLANK('Data Entry'!$ġ$475), "", 'Data Entry'!$ġ$475)</f>
      </c>
      <c r="HR475">
        <f>IF(ISBLANK('Data Entry'!$Ģ$475), "", 'Data Entry'!$Ģ$475)</f>
      </c>
      <c r="HS475">
        <f>IF(ISBLANK('Data Entry'!$ģ$475), "", 'Data Entry'!$ģ$475)</f>
      </c>
      <c r="HT475">
        <f>IF(ISBLANK('Data Entry'!$Ĥ$475), "", 'Data Entry'!$Ĥ$475)</f>
      </c>
      <c r="HU475">
        <f>IF(ISBLANK('Data Entry'!$ĥ$475), "", 'Data Entry'!$ĥ$475)</f>
      </c>
      <c r="HV475">
        <f>IF(ISBLANK('Data Entry'!$Ħ$475), "", 'Data Entry'!$Ħ$475)</f>
      </c>
      <c r="HW475">
        <f>IF(ISBLANK('Data Entry'!$ħ$475), "", 'Data Entry'!$ħ$475)</f>
      </c>
      <c r="HX475">
        <f>IF(ISBLANK('Data Entry'!$Ĩ$475), "", 'Data Entry'!$Ĩ$475)</f>
      </c>
      <c r="HY475">
        <f>IF(ISBLANK('Data Entry'!$ĩ$475), "", 'Data Entry'!$ĩ$475)</f>
      </c>
      <c r="HZ475">
        <f>IF(ISBLANK('Data Entry'!$Ī$475), "", 'Data Entry'!$Ī$475)</f>
      </c>
      <c r="IA475">
        <f>IF(ISBLANK('Data Entry'!$ī$475), "", 'Data Entry'!$ī$475)</f>
      </c>
      <c r="IB475">
        <f>IF(ISBLANK('Data Entry'!$Ĭ$475), "", 'Data Entry'!$Ĭ$475)</f>
      </c>
      <c r="IC475">
        <f>IF(ISBLANK('Data Entry'!$ĭ$475), "", 'Data Entry'!$ĭ$475)</f>
      </c>
      <c r="ID475">
        <f>IF(ISBLANK('Data Entry'!$Į$475), "", 'Data Entry'!$Į$475)</f>
      </c>
      <c r="IE475">
        <f>IF(ISBLANK('Data Entry'!$į$475), "", 'Data Entry'!$į$475)</f>
      </c>
      <c r="IF475">
        <f>IF(ISBLANK('Data Entry'!$İ$475), "", 'Data Entry'!$İ$475)</f>
      </c>
      <c r="IG475">
        <f>IF(ISBLANK('Data Entry'!$ı$475), "", 'Data Entry'!$ı$475)</f>
      </c>
      <c r="IH475">
        <f>IF(ISBLANK('Data Entry'!$Ĳ$475), "", 'Data Entry'!$Ĳ$475)</f>
      </c>
      <c r="II475">
        <f>IF(ISBLANK('Data Entry'!$ĳ$475), "", 'Data Entry'!$ĳ$475)</f>
      </c>
      <c r="IJ475">
        <f>IF(ISBLANK('Data Entry'!$Ĵ$475), "", 'Data Entry'!$Ĵ$475)</f>
      </c>
      <c r="IK475">
        <f>IF(ISBLANK('Data Entry'!$ĵ$475), "", 'Data Entry'!$ĵ$475)</f>
      </c>
      <c r="IL475">
        <f>IF(ISBLANK('Data Entry'!$Ķ$475), "", 'Data Entry'!$Ķ$475)</f>
      </c>
      <c r="IM475">
        <f>IF(ISBLANK('Data Entry'!$ķ$475), "", 'Data Entry'!$ķ$475)</f>
      </c>
      <c r="IN475">
        <f>IF(ISBLANK('Data Entry'!$ĸ$475), "", 'Data Entry'!$ĸ$475)</f>
      </c>
      <c r="IO475">
        <f>IF(ISBLANK('Data Entry'!$Ĺ$475), "", 'Data Entry'!$Ĺ$475)</f>
      </c>
      <c r="IP475">
        <f>IF(ISBLANK('Data Entry'!$ĺ$475), "", 'Data Entry'!$ĺ$475)</f>
      </c>
      <c r="IQ475">
        <f>IF(ISBLANK('Data Entry'!$Ļ$475), "", 'Data Entry'!$Ļ$475)</f>
      </c>
      <c r="IR475">
        <f>IF(ISBLANK('Data Entry'!$ļ$475), "", 'Data Entry'!$ļ$475)</f>
      </c>
      <c r="IS475">
        <f>IF(ISBLANK('Data Entry'!$Ľ$475), "", 'Data Entry'!$Ľ$475)</f>
      </c>
      <c r="IT475">
        <f>IF(ISBLANK('Data Entry'!$ľ$475), "", 'Data Entry'!$ľ$475)</f>
      </c>
    </row>
    <row r="476" spans="1:254" x14ac:dyDescent="0.25">
      <c r="A476">
        <f>IF(ISBLANK('Data Entry'!$A$476), "", 'Data Entry'!$A$476)</f>
      </c>
      <c r="B476">
        <f>IF(ISBLANK('Data Entry'!$B$476), "", 'Data Entry'!$B$476)</f>
      </c>
      <c r="C476">
        <f>IF(ISBLANK('Data Entry'!$C$476), "", 'Data Entry'!$C$476)</f>
      </c>
      <c r="D476">
        <f>IF(ISBLANK('Data Entry'!$D$476), "", 'Data Entry'!$D$476)</f>
      </c>
      <c r="E476">
        <f>IF(ISBLANK('Data Entry'!$E$476), "", 'Data Entry'!$E$476)</f>
      </c>
      <c r="F476">
        <f>IF(ISBLANK('Data Entry'!$F$476), "", 'Data Entry'!$F$476)</f>
      </c>
      <c r="G476">
        <f>IF(ISBLANK('Data Entry'!$G$476), "", 'Data Entry'!$G$476)</f>
      </c>
      <c r="H476">
        <f>IF(ISBLANK('Data Entry'!$H$476), "", 'Data Entry'!$H$476)</f>
      </c>
      <c r="I476">
        <f>IF(ISBLANK('Data Entry'!$I$476), "", 'Data Entry'!$I$476)</f>
      </c>
      <c r="J476">
        <f>IF(ISBLANK('Data Entry'!$J$476), "", 'Data Entry'!$J$476)</f>
      </c>
      <c r="K476">
        <f>IF(ISBLANK('Data Entry'!$K$476), "", 'Data Entry'!$K$476)</f>
      </c>
      <c r="L476">
        <f>IF(ISBLANK('Data Entry'!$L$476), "", 'Data Entry'!$L$476)</f>
      </c>
      <c r="M476">
        <f>IF(ISBLANK('Data Entry'!$M$476), "", 'Data Entry'!$M$476)</f>
      </c>
      <c r="N476">
        <f>IF(ISBLANK('Data Entry'!$N$476), "", 'Data Entry'!$N$476)</f>
      </c>
      <c r="O476">
        <f>IF(ISBLANK('Data Entry'!$O$476), "", 'Data Entry'!$O$476)</f>
      </c>
      <c r="P476">
        <f>IF(ISBLANK('Data Entry'!$P$476), "", 'Data Entry'!$P$476)</f>
      </c>
      <c r="Q476">
        <f>IF(ISBLANK('Data Entry'!$Q$476), "", 'Data Entry'!$Q$476)</f>
      </c>
      <c r="R476">
        <f>IF(ISBLANK('Data Entry'!$R$476), "", 'Data Entry'!$R$476)</f>
      </c>
      <c r="S476">
        <f>IF(ISBLANK('Data Entry'!$S$476), "", 'Data Entry'!$S$476)</f>
      </c>
      <c r="T476">
        <f>IF(ISBLANK('Data Entry'!$T$476), "", 'Data Entry'!$T$476)</f>
      </c>
      <c r="U476">
        <f>IF(ISBLANK('Data Entry'!$U$476), "", 'Data Entry'!$U$476)</f>
      </c>
      <c r="V476">
        <f>IF(ISBLANK('Data Entry'!$V$476), "", 'Data Entry'!$V$476)</f>
      </c>
      <c r="W476">
        <f>IF(ISBLANK('Data Entry'!$W$476), "", 'Data Entry'!$W$476)</f>
      </c>
      <c r="X476">
        <f>IF(ISBLANK('Data Entry'!$X$476), "", 'Data Entry'!$X$476)</f>
      </c>
      <c r="Y476">
        <f>IF(ISBLANK('Data Entry'!$Y$476), "", 'Data Entry'!$Y$476)</f>
      </c>
      <c r="Z476">
        <f>IF(ISBLANK('Data Entry'!$Z$476), "", 'Data Entry'!$Z$476)</f>
      </c>
      <c r="AA476">
        <f>IF(ISBLANK('Data Entry'!$[$476), "", 'Data Entry'!$[$476)</f>
      </c>
      <c r="AB476">
        <f>IF(ISBLANK('Data Entry'!$\$476), "", 'Data Entry'!$\$476)</f>
      </c>
      <c r="AC476">
        <f>IF(ISBLANK('Data Entry'!$]$476), "", 'Data Entry'!$]$476)</f>
      </c>
      <c r="AD476">
        <f>IF(ISBLANK('Data Entry'!$^$476), "", 'Data Entry'!$^$476)</f>
      </c>
      <c r="AE476">
        <f>IF(ISBLANK('Data Entry'!$_$476), "", 'Data Entry'!$_$476)</f>
      </c>
      <c r="AF476">
        <f>IF(ISBLANK('Data Entry'!$`$476), "", 'Data Entry'!$`$476)</f>
      </c>
      <c r="AG476">
        <f>IF(ISBLANK('Data Entry'!$a$476), "", 'Data Entry'!$a$476)</f>
      </c>
      <c r="AH476">
        <f>IF(ISBLANK('Data Entry'!$b$476), "", 'Data Entry'!$b$476)</f>
      </c>
      <c r="AI476">
        <f>IF(ISBLANK('Data Entry'!$c$476), "", 'Data Entry'!$c$476)</f>
      </c>
      <c r="AJ476">
        <f>IF(ISBLANK('Data Entry'!$d$476), "", 'Data Entry'!$d$476)</f>
      </c>
      <c r="AK476">
        <f>IF(ISBLANK('Data Entry'!$e$476), "", 'Data Entry'!$e$476)</f>
      </c>
      <c r="AL476">
        <f>IF(ISBLANK('Data Entry'!$f$476), "", 'Data Entry'!$f$476)</f>
      </c>
      <c r="AM476">
        <f>IF(ISBLANK('Data Entry'!$g$476), "", 'Data Entry'!$g$476)</f>
      </c>
      <c r="AN476">
        <f>IF(ISBLANK('Data Entry'!$h$476), "", 'Data Entry'!$h$476)</f>
      </c>
      <c r="AO476">
        <f>IF(ISBLANK('Data Entry'!$i$476), "", 'Data Entry'!$i$476)</f>
      </c>
      <c r="AP476">
        <f>IF(ISBLANK('Data Entry'!$j$476), "", 'Data Entry'!$j$476)</f>
      </c>
      <c r="AQ476">
        <f>IF(ISBLANK('Data Entry'!$k$476), "", 'Data Entry'!$k$476)</f>
      </c>
      <c r="AR476">
        <f>IF(ISBLANK('Data Entry'!$l$476), "", 'Data Entry'!$l$476)</f>
      </c>
      <c r="AS476">
        <f>IF(ISBLANK('Data Entry'!$m$476), "", 'Data Entry'!$m$476)</f>
      </c>
      <c r="AT476">
        <f>IF(ISBLANK('Data Entry'!$n$476), "", 'Data Entry'!$n$476)</f>
      </c>
      <c r="AU476">
        <f>IF(ISBLANK('Data Entry'!$o$476), "", 'Data Entry'!$o$476)</f>
      </c>
      <c r="AV476">
        <f>IF(ISBLANK('Data Entry'!$p$476), "", 'Data Entry'!$p$476)</f>
      </c>
      <c r="AW476">
        <f>IF(ISBLANK('Data Entry'!$q$476), "", 'Data Entry'!$q$476)</f>
      </c>
      <c r="AX476">
        <f>IF(ISBLANK('Data Entry'!$r$476), "", 'Data Entry'!$r$476)</f>
      </c>
      <c r="AY476">
        <f>IF(ISBLANK('Data Entry'!$s$476), "", 'Data Entry'!$s$476)</f>
      </c>
      <c r="AZ476">
        <f>IF(ISBLANK('Data Entry'!$t$476), "", 'Data Entry'!$t$476)</f>
      </c>
      <c r="BA476">
        <f>IF(ISBLANK('Data Entry'!$u$476), "", 'Data Entry'!$u$476)</f>
      </c>
      <c r="BB476">
        <f>IF(ISBLANK('Data Entry'!$v$476), "", 'Data Entry'!$v$476)</f>
      </c>
      <c r="BC476">
        <f>IF(ISBLANK('Data Entry'!$w$476), "", 'Data Entry'!$w$476)</f>
      </c>
      <c r="BD476">
        <f>IF(ISBLANK('Data Entry'!$x$476), "", 'Data Entry'!$x$476)</f>
      </c>
      <c r="BE476">
        <f>IF(ISBLANK('Data Entry'!$y$476), "", 'Data Entry'!$y$476)</f>
      </c>
      <c r="BF476">
        <f>IF(ISBLANK('Data Entry'!$z$476), "", 'Data Entry'!$z$476)</f>
      </c>
      <c r="BG476">
        <f>IF(ISBLANK('Data Entry'!${$476), "", 'Data Entry'!${$476)</f>
      </c>
      <c r="BH476">
        <f>IF(ISBLANK('Data Entry'!$|$476), "", 'Data Entry'!$|$476)</f>
      </c>
      <c r="BI476">
        <f>IF(ISBLANK('Data Entry'!$}$476), "", 'Data Entry'!$}$476)</f>
      </c>
      <c r="BJ476">
        <f>IF(ISBLANK('Data Entry'!$~$476), "", 'Data Entry'!$~$476)</f>
      </c>
      <c r="BK476">
        <f>IF(ISBLANK('Data Entry'!$$476), "", 'Data Entry'!$$476)</f>
      </c>
      <c r="BL476">
        <f>IF(ISBLANK('Data Entry'!$$476), "", 'Data Entry'!$$476)</f>
      </c>
      <c r="BM476">
        <f>IF(ISBLANK('Data Entry'!$$476), "", 'Data Entry'!$$476)</f>
      </c>
      <c r="BN476">
        <f>IF(ISBLANK('Data Entry'!$$476), "", 'Data Entry'!$$476)</f>
      </c>
      <c r="BO476">
        <f>IF(ISBLANK('Data Entry'!$$476), "", 'Data Entry'!$$476)</f>
      </c>
      <c r="BP476">
        <f>IF(ISBLANK('Data Entry'!$$476), "", 'Data Entry'!$$476)</f>
      </c>
      <c r="BQ476">
        <f>IF(ISBLANK('Data Entry'!$$476), "", 'Data Entry'!$$476)</f>
      </c>
      <c r="BR476">
        <f>IF(ISBLANK('Data Entry'!$$476), "", 'Data Entry'!$$476)</f>
      </c>
      <c r="BS476">
        <f>IF(ISBLANK('Data Entry'!$$476), "", 'Data Entry'!$$476)</f>
      </c>
      <c r="BT476">
        <f>IF(ISBLANK('Data Entry'!$$476), "", 'Data Entry'!$$476)</f>
      </c>
      <c r="BU476">
        <f>IF(ISBLANK('Data Entry'!$$476), "", 'Data Entry'!$$476)</f>
      </c>
      <c r="BV476">
        <f>IF(ISBLANK('Data Entry'!$$476), "", 'Data Entry'!$$476)</f>
      </c>
      <c r="BW476">
        <f>IF(ISBLANK('Data Entry'!$$476), "", 'Data Entry'!$$476)</f>
      </c>
      <c r="BX476">
        <f>IF(ISBLANK('Data Entry'!$$476), "", 'Data Entry'!$$476)</f>
      </c>
      <c r="BY476">
        <f>IF(ISBLANK('Data Entry'!$$476), "", 'Data Entry'!$$476)</f>
      </c>
      <c r="BZ476">
        <f>IF(ISBLANK('Data Entry'!$$476), "", 'Data Entry'!$$476)</f>
      </c>
      <c r="CA476">
        <f>IF(ISBLANK('Data Entry'!$$476), "", 'Data Entry'!$$476)</f>
      </c>
      <c r="CB476">
        <f>IF(ISBLANK('Data Entry'!$$476), "", 'Data Entry'!$$476)</f>
      </c>
      <c r="CC476">
        <f>IF(ISBLANK('Data Entry'!$$476), "", 'Data Entry'!$$476)</f>
      </c>
      <c r="CD476">
        <f>IF(ISBLANK('Data Entry'!$$476), "", 'Data Entry'!$$476)</f>
      </c>
      <c r="CE476">
        <f>IF(ISBLANK('Data Entry'!$$476), "", 'Data Entry'!$$476)</f>
      </c>
      <c r="CF476">
        <f>IF(ISBLANK('Data Entry'!$$476), "", 'Data Entry'!$$476)</f>
      </c>
      <c r="CG476">
        <f>IF(ISBLANK('Data Entry'!$$476), "", 'Data Entry'!$$476)</f>
      </c>
      <c r="CH476">
        <f>IF(ISBLANK('Data Entry'!$$476), "", 'Data Entry'!$$476)</f>
      </c>
      <c r="CI476">
        <f>IF(ISBLANK('Data Entry'!$$476), "", 'Data Entry'!$$476)</f>
      </c>
      <c r="CJ476">
        <f>IF(ISBLANK('Data Entry'!$$476), "", 'Data Entry'!$$476)</f>
      </c>
      <c r="CK476">
        <f>IF(ISBLANK('Data Entry'!$$476), "", 'Data Entry'!$$476)</f>
      </c>
      <c r="CL476">
        <f>IF(ISBLANK('Data Entry'!$$476), "", 'Data Entry'!$$476)</f>
      </c>
      <c r="CM476">
        <f>IF(ISBLANK('Data Entry'!$$476), "", 'Data Entry'!$$476)</f>
      </c>
      <c r="CN476">
        <f>IF(ISBLANK('Data Entry'!$$476), "", 'Data Entry'!$$476)</f>
      </c>
      <c r="CO476">
        <f>IF(ISBLANK('Data Entry'!$$476), "", 'Data Entry'!$$476)</f>
      </c>
      <c r="CP476">
        <f>IF(ISBLANK('Data Entry'!$$476), "", 'Data Entry'!$$476)</f>
      </c>
      <c r="CQ476">
        <f>IF(ISBLANK('Data Entry'!$$476), "", 'Data Entry'!$$476)</f>
      </c>
      <c r="CR476">
        <f>IF(ISBLANK('Data Entry'!$ $476), "", 'Data Entry'!$ $476)</f>
      </c>
      <c r="CS476">
        <f>IF(ISBLANK('Data Entry'!$¡$476), "", 'Data Entry'!$¡$476)</f>
      </c>
      <c r="CT476">
        <f>IF(ISBLANK('Data Entry'!$¢$476), "", 'Data Entry'!$¢$476)</f>
      </c>
      <c r="CU476">
        <f>IF(ISBLANK('Data Entry'!$£$476), "", 'Data Entry'!$£$476)</f>
      </c>
      <c r="CV476">
        <f>IF(ISBLANK('Data Entry'!$¤$476), "", 'Data Entry'!$¤$476)</f>
      </c>
      <c r="CW476">
        <f>IF(ISBLANK('Data Entry'!$¥$476), "", 'Data Entry'!$¥$476)</f>
      </c>
      <c r="CX476">
        <f>IF(ISBLANK('Data Entry'!$¦$476), "", 'Data Entry'!$¦$476)</f>
      </c>
      <c r="CY476">
        <f>IF(ISBLANK('Data Entry'!$§$476), "", 'Data Entry'!$§$476)</f>
      </c>
      <c r="CZ476">
        <f>IF(ISBLANK('Data Entry'!$¨$476), "", 'Data Entry'!$¨$476)</f>
      </c>
      <c r="DA476">
        <f>IF(ISBLANK('Data Entry'!$©$476), "", 'Data Entry'!$©$476)</f>
      </c>
      <c r="DB476">
        <f>IF(ISBLANK('Data Entry'!$ª$476), "", 'Data Entry'!$ª$476)</f>
      </c>
      <c r="DC476">
        <f>IF(ISBLANK('Data Entry'!$«$476), "", 'Data Entry'!$«$476)</f>
      </c>
      <c r="DD476">
        <f>IF(ISBLANK('Data Entry'!$¬$476), "", 'Data Entry'!$¬$476)</f>
      </c>
      <c r="DE476">
        <f>IF(ISBLANK('Data Entry'!$­$476), "", 'Data Entry'!$­$476)</f>
      </c>
      <c r="DF476">
        <f>IF(ISBLANK('Data Entry'!$®$476), "", 'Data Entry'!$®$476)</f>
      </c>
      <c r="DG476">
        <f>IF(ISBLANK('Data Entry'!$¯$476), "", 'Data Entry'!$¯$476)</f>
      </c>
      <c r="DH476">
        <f>IF(ISBLANK('Data Entry'!$°$476), "", 'Data Entry'!$°$476)</f>
      </c>
      <c r="DI476">
        <f>IF(ISBLANK('Data Entry'!$±$476), "", 'Data Entry'!$±$476)</f>
      </c>
      <c r="DJ476">
        <f>IF(ISBLANK('Data Entry'!$²$476), "", 'Data Entry'!$²$476)</f>
      </c>
      <c r="DK476">
        <f>IF(ISBLANK('Data Entry'!$³$476), "", 'Data Entry'!$³$476)</f>
      </c>
      <c r="DL476">
        <f>IF(ISBLANK('Data Entry'!$´$476), "", 'Data Entry'!$´$476)</f>
      </c>
      <c r="DM476">
        <f>IF(ISBLANK('Data Entry'!$µ$476), "", 'Data Entry'!$µ$476)</f>
      </c>
      <c r="DN476">
        <f>IF(ISBLANK('Data Entry'!$¶$476), "", 'Data Entry'!$¶$476)</f>
      </c>
      <c r="DO476">
        <f>IF(ISBLANK('Data Entry'!$·$476), "", 'Data Entry'!$·$476)</f>
      </c>
      <c r="DP476">
        <f>IF(ISBLANK('Data Entry'!$¸$476), "", 'Data Entry'!$¸$476)</f>
      </c>
      <c r="DQ476">
        <f>IF(ISBLANK('Data Entry'!$¹$476), "", 'Data Entry'!$¹$476)</f>
      </c>
      <c r="DR476">
        <f>IF(ISBLANK('Data Entry'!$º$476), "", 'Data Entry'!$º$476)</f>
      </c>
      <c r="DS476">
        <f>IF(ISBLANK('Data Entry'!$»$476), "", 'Data Entry'!$»$476)</f>
      </c>
      <c r="DT476">
        <f>IF(ISBLANK('Data Entry'!$¼$476), "", 'Data Entry'!$¼$476)</f>
      </c>
      <c r="DU476">
        <f>IF(ISBLANK('Data Entry'!$½$476), "", 'Data Entry'!$½$476)</f>
      </c>
      <c r="DV476">
        <f>IF(ISBLANK('Data Entry'!$¾$476), "", 'Data Entry'!$¾$476)</f>
      </c>
      <c r="DW476">
        <f>IF(ISBLANK('Data Entry'!$¿$476), "", 'Data Entry'!$¿$476)</f>
      </c>
      <c r="DX476">
        <f>IF(ISBLANK('Data Entry'!$À$476), "", 'Data Entry'!$À$476)</f>
      </c>
      <c r="DY476">
        <f>IF(ISBLANK('Data Entry'!$Á$476), "", 'Data Entry'!$Á$476)</f>
      </c>
      <c r="DZ476">
        <f>IF(ISBLANK('Data Entry'!$Â$476), "", 'Data Entry'!$Â$476)</f>
      </c>
      <c r="EA476">
        <f>IF(ISBLANK('Data Entry'!$Ã$476), "", 'Data Entry'!$Ã$476)</f>
      </c>
      <c r="EB476">
        <f>IF(ISBLANK('Data Entry'!$Ä$476), "", 'Data Entry'!$Ä$476)</f>
      </c>
      <c r="EC476">
        <f>IF(ISBLANK('Data Entry'!$Å$476), "", 'Data Entry'!$Å$476)</f>
      </c>
      <c r="ED476">
        <f>IF(ISBLANK('Data Entry'!$Æ$476), "", 'Data Entry'!$Æ$476)</f>
      </c>
      <c r="EE476">
        <f>IF(ISBLANK('Data Entry'!$Ç$476), "", 'Data Entry'!$Ç$476)</f>
      </c>
      <c r="EF476">
        <f>IF(ISBLANK('Data Entry'!$È$476), "", 'Data Entry'!$È$476)</f>
      </c>
      <c r="EG476">
        <f>IF(ISBLANK('Data Entry'!$É$476), "", 'Data Entry'!$É$476)</f>
      </c>
      <c r="EH476">
        <f>IF(ISBLANK('Data Entry'!$Ê$476), "", 'Data Entry'!$Ê$476)</f>
      </c>
      <c r="EI476">
        <f>IF(ISBLANK('Data Entry'!$Ë$476), "", 'Data Entry'!$Ë$476)</f>
      </c>
      <c r="EJ476">
        <f>IF(ISBLANK('Data Entry'!$Ì$476), "", 'Data Entry'!$Ì$476)</f>
      </c>
      <c r="EK476">
        <f>IF(ISBLANK('Data Entry'!$Í$476), "", 'Data Entry'!$Í$476)</f>
      </c>
      <c r="EL476">
        <f>IF(ISBLANK('Data Entry'!$Î$476), "", 'Data Entry'!$Î$476)</f>
      </c>
      <c r="EM476">
        <f>IF(ISBLANK('Data Entry'!$Ï$476), "", 'Data Entry'!$Ï$476)</f>
      </c>
      <c r="EN476">
        <f>IF(ISBLANK('Data Entry'!$Ð$476), "", 'Data Entry'!$Ð$476)</f>
      </c>
      <c r="EO476">
        <f>IF(ISBLANK('Data Entry'!$Ñ$476), "", 'Data Entry'!$Ñ$476)</f>
      </c>
      <c r="EP476">
        <f>IF(ISBLANK('Data Entry'!$Ò$476), "", 'Data Entry'!$Ò$476)</f>
      </c>
      <c r="EQ476">
        <f>IF(ISBLANK('Data Entry'!$Ó$476), "", 'Data Entry'!$Ó$476)</f>
      </c>
      <c r="ER476">
        <f>IF(ISBLANK('Data Entry'!$Ô$476), "", 'Data Entry'!$Ô$476)</f>
      </c>
      <c r="ES476">
        <f>IF(ISBLANK('Data Entry'!$Õ$476), "", 'Data Entry'!$Õ$476)</f>
      </c>
      <c r="ET476">
        <f>IF(ISBLANK('Data Entry'!$Ö$476), "", 'Data Entry'!$Ö$476)</f>
      </c>
      <c r="EU476">
        <f>IF(ISBLANK('Data Entry'!$×$476), "", 'Data Entry'!$×$476)</f>
      </c>
      <c r="EV476">
        <f>IF(ISBLANK('Data Entry'!$Ø$476), "", 'Data Entry'!$Ø$476)</f>
      </c>
      <c r="EW476">
        <f>IF(ISBLANK('Data Entry'!$Ù$476), "", 'Data Entry'!$Ù$476)</f>
      </c>
      <c r="EX476">
        <f>IF(ISBLANK('Data Entry'!$Ú$476), "", 'Data Entry'!$Ú$476)</f>
      </c>
      <c r="EY476">
        <f>IF(ISBLANK('Data Entry'!$Û$476), "", 'Data Entry'!$Û$476)</f>
      </c>
      <c r="EZ476">
        <f>IF(ISBLANK('Data Entry'!$Ü$476), "", 'Data Entry'!$Ü$476)</f>
      </c>
      <c r="FA476">
        <f>IF(ISBLANK('Data Entry'!$Ý$476), "", 'Data Entry'!$Ý$476)</f>
      </c>
      <c r="FB476">
        <f>IF(ISBLANK('Data Entry'!$Þ$476), "", 'Data Entry'!$Þ$476)</f>
      </c>
      <c r="FC476">
        <f>IF(ISBLANK('Data Entry'!$ß$476), "", 'Data Entry'!$ß$476)</f>
      </c>
      <c r="FD476">
        <f>IF(ISBLANK('Data Entry'!$à$476), "", 'Data Entry'!$à$476)</f>
      </c>
      <c r="FE476">
        <f>IF(ISBLANK('Data Entry'!$á$476), "", 'Data Entry'!$á$476)</f>
      </c>
      <c r="FF476">
        <f>IF(ISBLANK('Data Entry'!$â$476), "", 'Data Entry'!$â$476)</f>
      </c>
      <c r="FG476">
        <f>IF(ISBLANK('Data Entry'!$ã$476), "", 'Data Entry'!$ã$476)</f>
      </c>
      <c r="FH476">
        <f>IF(ISBLANK('Data Entry'!$ä$476), "", 'Data Entry'!$ä$476)</f>
      </c>
      <c r="FI476">
        <f>IF(ISBLANK('Data Entry'!$å$476), "", 'Data Entry'!$å$476)</f>
      </c>
      <c r="FJ476">
        <f>IF(ISBLANK('Data Entry'!$æ$476), "", 'Data Entry'!$æ$476)</f>
      </c>
      <c r="FK476">
        <f>IF(ISBLANK('Data Entry'!$ç$476), "", 'Data Entry'!$ç$476)</f>
      </c>
      <c r="FL476">
        <f>IF(ISBLANK('Data Entry'!$è$476), "", 'Data Entry'!$è$476)</f>
      </c>
      <c r="FM476">
        <f>IF(ISBLANK('Data Entry'!$é$476), "", 'Data Entry'!$é$476)</f>
      </c>
      <c r="FN476">
        <f>IF(ISBLANK('Data Entry'!$ê$476), "", 'Data Entry'!$ê$476)</f>
      </c>
      <c r="FO476">
        <f>IF(ISBLANK('Data Entry'!$ë$476), "", 'Data Entry'!$ë$476)</f>
      </c>
      <c r="FP476">
        <f>IF(ISBLANK('Data Entry'!$ì$476), "", 'Data Entry'!$ì$476)</f>
      </c>
      <c r="FQ476">
        <f>IF(ISBLANK('Data Entry'!$í$476), "", 'Data Entry'!$í$476)</f>
      </c>
      <c r="FR476">
        <f>IF(ISBLANK('Data Entry'!$î$476), "", 'Data Entry'!$î$476)</f>
      </c>
      <c r="FS476">
        <f>IF(ISBLANK('Data Entry'!$ï$476), "", 'Data Entry'!$ï$476)</f>
      </c>
      <c r="FT476">
        <f>IF(ISBLANK('Data Entry'!$ð$476), "", 'Data Entry'!$ð$476)</f>
      </c>
      <c r="FU476">
        <f>IF(ISBLANK('Data Entry'!$ñ$476), "", 'Data Entry'!$ñ$476)</f>
      </c>
      <c r="FV476">
        <f>IF(ISBLANK('Data Entry'!$ò$476), "", 'Data Entry'!$ò$476)</f>
      </c>
      <c r="FW476">
        <f>IF(ISBLANK('Data Entry'!$ó$476), "", 'Data Entry'!$ó$476)</f>
      </c>
      <c r="FX476">
        <f>IF(ISBLANK('Data Entry'!$ô$476), "", 'Data Entry'!$ô$476)</f>
      </c>
      <c r="FY476">
        <f>IF(ISBLANK('Data Entry'!$õ$476), "", 'Data Entry'!$õ$476)</f>
      </c>
      <c r="FZ476">
        <f>IF(ISBLANK('Data Entry'!$ö$476), "", 'Data Entry'!$ö$476)</f>
      </c>
      <c r="GA476">
        <f>IF(ISBLANK('Data Entry'!$÷$476), "", 'Data Entry'!$÷$476)</f>
      </c>
      <c r="GB476">
        <f>IF(ISBLANK('Data Entry'!$ø$476), "", 'Data Entry'!$ø$476)</f>
      </c>
      <c r="GC476">
        <f>IF(ISBLANK('Data Entry'!$ù$476), "", 'Data Entry'!$ù$476)</f>
      </c>
      <c r="GD476">
        <f>IF(ISBLANK('Data Entry'!$ú$476), "", 'Data Entry'!$ú$476)</f>
      </c>
      <c r="GE476">
        <f>IF(ISBLANK('Data Entry'!$û$476), "", 'Data Entry'!$û$476)</f>
      </c>
      <c r="GF476">
        <f>IF(ISBLANK('Data Entry'!$ü$476), "", 'Data Entry'!$ü$476)</f>
      </c>
      <c r="GG476">
        <f>IF(ISBLANK('Data Entry'!$ý$476), "", 'Data Entry'!$ý$476)</f>
      </c>
      <c r="GH476">
        <f>IF(ISBLANK('Data Entry'!$þ$476), "", 'Data Entry'!$þ$476)</f>
      </c>
      <c r="GI476">
        <f>IF(ISBLANK('Data Entry'!$ÿ$476), "", 'Data Entry'!$ÿ$476)</f>
      </c>
      <c r="GJ476">
        <f>IF(ISBLANK('Data Entry'!$Ā$476), "", 'Data Entry'!$Ā$476)</f>
      </c>
      <c r="GK476">
        <f>IF(ISBLANK('Data Entry'!$ā$476), "", 'Data Entry'!$ā$476)</f>
      </c>
      <c r="GL476">
        <f>IF(ISBLANK('Data Entry'!$Ă$476), "", 'Data Entry'!$Ă$476)</f>
      </c>
      <c r="GM476">
        <f>IF(ISBLANK('Data Entry'!$ă$476), "", 'Data Entry'!$ă$476)</f>
      </c>
      <c r="GN476">
        <f>IF(ISBLANK('Data Entry'!$Ą$476), "", 'Data Entry'!$Ą$476)</f>
      </c>
      <c r="GO476">
        <f>IF(ISBLANK('Data Entry'!$ą$476), "", 'Data Entry'!$ą$476)</f>
      </c>
      <c r="GP476">
        <f>IF(ISBLANK('Data Entry'!$Ć$476), "", 'Data Entry'!$Ć$476)</f>
      </c>
      <c r="GQ476">
        <f>IF(ISBLANK('Data Entry'!$ć$476), "", 'Data Entry'!$ć$476)</f>
      </c>
      <c r="GR476">
        <f>IF(ISBLANK('Data Entry'!$Ĉ$476), "", 'Data Entry'!$Ĉ$476)</f>
      </c>
      <c r="GS476">
        <f>IF(ISBLANK('Data Entry'!$ĉ$476), "", 'Data Entry'!$ĉ$476)</f>
      </c>
      <c r="GT476">
        <f>IF(ISBLANK('Data Entry'!$Ċ$476), "", 'Data Entry'!$Ċ$476)</f>
      </c>
      <c r="GU476">
        <f>IF(ISBLANK('Data Entry'!$ċ$476), "", 'Data Entry'!$ċ$476)</f>
      </c>
      <c r="GV476">
        <f>IF(ISBLANK('Data Entry'!$Č$476), "", 'Data Entry'!$Č$476)</f>
      </c>
      <c r="GW476">
        <f>IF(ISBLANK('Data Entry'!$č$476), "", 'Data Entry'!$č$476)</f>
      </c>
      <c r="GX476">
        <f>IF(ISBLANK('Data Entry'!$Ď$476), "", 'Data Entry'!$Ď$476)</f>
      </c>
      <c r="GY476">
        <f>IF(ISBLANK('Data Entry'!$ď$476), "", 'Data Entry'!$ď$476)</f>
      </c>
      <c r="GZ476">
        <f>IF(ISBLANK('Data Entry'!$Đ$476), "", 'Data Entry'!$Đ$476)</f>
      </c>
      <c r="HA476">
        <f>IF(ISBLANK('Data Entry'!$đ$476), "", 'Data Entry'!$đ$476)</f>
      </c>
      <c r="HB476">
        <f>IF(ISBLANK('Data Entry'!$Ē$476), "", 'Data Entry'!$Ē$476)</f>
      </c>
      <c r="HC476">
        <f>IF(ISBLANK('Data Entry'!$ē$476), "", 'Data Entry'!$ē$476)</f>
      </c>
      <c r="HD476">
        <f>IF(ISBLANK('Data Entry'!$Ĕ$476), "", 'Data Entry'!$Ĕ$476)</f>
      </c>
      <c r="HE476">
        <f>IF(ISBLANK('Data Entry'!$ĕ$476), "", 'Data Entry'!$ĕ$476)</f>
      </c>
      <c r="HF476">
        <f>IF(ISBLANK('Data Entry'!$Ė$476), "", 'Data Entry'!$Ė$476)</f>
      </c>
      <c r="HG476">
        <f>IF(ISBLANK('Data Entry'!$ė$476), "", 'Data Entry'!$ė$476)</f>
      </c>
      <c r="HH476">
        <f>IF(ISBLANK('Data Entry'!$Ę$476), "", 'Data Entry'!$Ę$476)</f>
      </c>
      <c r="HI476">
        <f>IF(ISBLANK('Data Entry'!$ę$476), "", 'Data Entry'!$ę$476)</f>
      </c>
      <c r="HJ476">
        <f>IF(ISBLANK('Data Entry'!$Ě$476), "", 'Data Entry'!$Ě$476)</f>
      </c>
      <c r="HK476">
        <f>IF(ISBLANK('Data Entry'!$ě$476), "", 'Data Entry'!$ě$476)</f>
      </c>
      <c r="HL476">
        <f>IF(ISBLANK('Data Entry'!$Ĝ$476), "", 'Data Entry'!$Ĝ$476)</f>
      </c>
      <c r="HM476">
        <f>IF(ISBLANK('Data Entry'!$ĝ$476), "", 'Data Entry'!$ĝ$476)</f>
      </c>
      <c r="HN476">
        <f>IF(ISBLANK('Data Entry'!$Ğ$476), "", 'Data Entry'!$Ğ$476)</f>
      </c>
      <c r="HO476">
        <f>IF(ISBLANK('Data Entry'!$ğ$476), "", 'Data Entry'!$ğ$476)</f>
      </c>
      <c r="HP476">
        <f>IF(ISBLANK('Data Entry'!$Ġ$476), "", 'Data Entry'!$Ġ$476)</f>
      </c>
      <c r="HQ476">
        <f>IF(ISBLANK('Data Entry'!$ġ$476), "", 'Data Entry'!$ġ$476)</f>
      </c>
      <c r="HR476">
        <f>IF(ISBLANK('Data Entry'!$Ģ$476), "", 'Data Entry'!$Ģ$476)</f>
      </c>
      <c r="HS476">
        <f>IF(ISBLANK('Data Entry'!$ģ$476), "", 'Data Entry'!$ģ$476)</f>
      </c>
      <c r="HT476">
        <f>IF(ISBLANK('Data Entry'!$Ĥ$476), "", 'Data Entry'!$Ĥ$476)</f>
      </c>
      <c r="HU476">
        <f>IF(ISBLANK('Data Entry'!$ĥ$476), "", 'Data Entry'!$ĥ$476)</f>
      </c>
      <c r="HV476">
        <f>IF(ISBLANK('Data Entry'!$Ħ$476), "", 'Data Entry'!$Ħ$476)</f>
      </c>
      <c r="HW476">
        <f>IF(ISBLANK('Data Entry'!$ħ$476), "", 'Data Entry'!$ħ$476)</f>
      </c>
      <c r="HX476">
        <f>IF(ISBLANK('Data Entry'!$Ĩ$476), "", 'Data Entry'!$Ĩ$476)</f>
      </c>
      <c r="HY476">
        <f>IF(ISBLANK('Data Entry'!$ĩ$476), "", 'Data Entry'!$ĩ$476)</f>
      </c>
      <c r="HZ476">
        <f>IF(ISBLANK('Data Entry'!$Ī$476), "", 'Data Entry'!$Ī$476)</f>
      </c>
      <c r="IA476">
        <f>IF(ISBLANK('Data Entry'!$ī$476), "", 'Data Entry'!$ī$476)</f>
      </c>
      <c r="IB476">
        <f>IF(ISBLANK('Data Entry'!$Ĭ$476), "", 'Data Entry'!$Ĭ$476)</f>
      </c>
      <c r="IC476">
        <f>IF(ISBLANK('Data Entry'!$ĭ$476), "", 'Data Entry'!$ĭ$476)</f>
      </c>
      <c r="ID476">
        <f>IF(ISBLANK('Data Entry'!$Į$476), "", 'Data Entry'!$Į$476)</f>
      </c>
      <c r="IE476">
        <f>IF(ISBLANK('Data Entry'!$į$476), "", 'Data Entry'!$į$476)</f>
      </c>
      <c r="IF476">
        <f>IF(ISBLANK('Data Entry'!$İ$476), "", 'Data Entry'!$İ$476)</f>
      </c>
      <c r="IG476">
        <f>IF(ISBLANK('Data Entry'!$ı$476), "", 'Data Entry'!$ı$476)</f>
      </c>
      <c r="IH476">
        <f>IF(ISBLANK('Data Entry'!$Ĳ$476), "", 'Data Entry'!$Ĳ$476)</f>
      </c>
      <c r="II476">
        <f>IF(ISBLANK('Data Entry'!$ĳ$476), "", 'Data Entry'!$ĳ$476)</f>
      </c>
      <c r="IJ476">
        <f>IF(ISBLANK('Data Entry'!$Ĵ$476), "", 'Data Entry'!$Ĵ$476)</f>
      </c>
      <c r="IK476">
        <f>IF(ISBLANK('Data Entry'!$ĵ$476), "", 'Data Entry'!$ĵ$476)</f>
      </c>
      <c r="IL476">
        <f>IF(ISBLANK('Data Entry'!$Ķ$476), "", 'Data Entry'!$Ķ$476)</f>
      </c>
      <c r="IM476">
        <f>IF(ISBLANK('Data Entry'!$ķ$476), "", 'Data Entry'!$ķ$476)</f>
      </c>
      <c r="IN476">
        <f>IF(ISBLANK('Data Entry'!$ĸ$476), "", 'Data Entry'!$ĸ$476)</f>
      </c>
      <c r="IO476">
        <f>IF(ISBLANK('Data Entry'!$Ĺ$476), "", 'Data Entry'!$Ĺ$476)</f>
      </c>
      <c r="IP476">
        <f>IF(ISBLANK('Data Entry'!$ĺ$476), "", 'Data Entry'!$ĺ$476)</f>
      </c>
      <c r="IQ476">
        <f>IF(ISBLANK('Data Entry'!$Ļ$476), "", 'Data Entry'!$Ļ$476)</f>
      </c>
      <c r="IR476">
        <f>IF(ISBLANK('Data Entry'!$ļ$476), "", 'Data Entry'!$ļ$476)</f>
      </c>
      <c r="IS476">
        <f>IF(ISBLANK('Data Entry'!$Ľ$476), "", 'Data Entry'!$Ľ$476)</f>
      </c>
      <c r="IT476">
        <f>IF(ISBLANK('Data Entry'!$ľ$476), "", 'Data Entry'!$ľ$476)</f>
      </c>
    </row>
    <row r="477" spans="1:254" x14ac:dyDescent="0.25">
      <c r="A477">
        <f>IF(ISBLANK('Data Entry'!$A$477), "", 'Data Entry'!$A$477)</f>
      </c>
      <c r="B477">
        <f>IF(ISBLANK('Data Entry'!$B$477), "", 'Data Entry'!$B$477)</f>
      </c>
      <c r="C477">
        <f>IF(ISBLANK('Data Entry'!$C$477), "", 'Data Entry'!$C$477)</f>
      </c>
      <c r="D477">
        <f>IF(ISBLANK('Data Entry'!$D$477), "", 'Data Entry'!$D$477)</f>
      </c>
      <c r="E477">
        <f>IF(ISBLANK('Data Entry'!$E$477), "", 'Data Entry'!$E$477)</f>
      </c>
      <c r="F477">
        <f>IF(ISBLANK('Data Entry'!$F$477), "", 'Data Entry'!$F$477)</f>
      </c>
      <c r="G477">
        <f>IF(ISBLANK('Data Entry'!$G$477), "", 'Data Entry'!$G$477)</f>
      </c>
      <c r="H477">
        <f>IF(ISBLANK('Data Entry'!$H$477), "", 'Data Entry'!$H$477)</f>
      </c>
      <c r="I477">
        <f>IF(ISBLANK('Data Entry'!$I$477), "", 'Data Entry'!$I$477)</f>
      </c>
      <c r="J477">
        <f>IF(ISBLANK('Data Entry'!$J$477), "", 'Data Entry'!$J$477)</f>
      </c>
      <c r="K477">
        <f>IF(ISBLANK('Data Entry'!$K$477), "", 'Data Entry'!$K$477)</f>
      </c>
      <c r="L477">
        <f>IF(ISBLANK('Data Entry'!$L$477), "", 'Data Entry'!$L$477)</f>
      </c>
      <c r="M477">
        <f>IF(ISBLANK('Data Entry'!$M$477), "", 'Data Entry'!$M$477)</f>
      </c>
      <c r="N477">
        <f>IF(ISBLANK('Data Entry'!$N$477), "", 'Data Entry'!$N$477)</f>
      </c>
      <c r="O477">
        <f>IF(ISBLANK('Data Entry'!$O$477), "", 'Data Entry'!$O$477)</f>
      </c>
      <c r="P477">
        <f>IF(ISBLANK('Data Entry'!$P$477), "", 'Data Entry'!$P$477)</f>
      </c>
      <c r="Q477">
        <f>IF(ISBLANK('Data Entry'!$Q$477), "", 'Data Entry'!$Q$477)</f>
      </c>
      <c r="R477">
        <f>IF(ISBLANK('Data Entry'!$R$477), "", 'Data Entry'!$R$477)</f>
      </c>
      <c r="S477">
        <f>IF(ISBLANK('Data Entry'!$S$477), "", 'Data Entry'!$S$477)</f>
      </c>
      <c r="T477">
        <f>IF(ISBLANK('Data Entry'!$T$477), "", 'Data Entry'!$T$477)</f>
      </c>
      <c r="U477">
        <f>IF(ISBLANK('Data Entry'!$U$477), "", 'Data Entry'!$U$477)</f>
      </c>
      <c r="V477">
        <f>IF(ISBLANK('Data Entry'!$V$477), "", 'Data Entry'!$V$477)</f>
      </c>
      <c r="W477">
        <f>IF(ISBLANK('Data Entry'!$W$477), "", 'Data Entry'!$W$477)</f>
      </c>
      <c r="X477">
        <f>IF(ISBLANK('Data Entry'!$X$477), "", 'Data Entry'!$X$477)</f>
      </c>
      <c r="Y477">
        <f>IF(ISBLANK('Data Entry'!$Y$477), "", 'Data Entry'!$Y$477)</f>
      </c>
      <c r="Z477">
        <f>IF(ISBLANK('Data Entry'!$Z$477), "", 'Data Entry'!$Z$477)</f>
      </c>
      <c r="AA477">
        <f>IF(ISBLANK('Data Entry'!$[$477), "", 'Data Entry'!$[$477)</f>
      </c>
      <c r="AB477">
        <f>IF(ISBLANK('Data Entry'!$\$477), "", 'Data Entry'!$\$477)</f>
      </c>
      <c r="AC477">
        <f>IF(ISBLANK('Data Entry'!$]$477), "", 'Data Entry'!$]$477)</f>
      </c>
      <c r="AD477">
        <f>IF(ISBLANK('Data Entry'!$^$477), "", 'Data Entry'!$^$477)</f>
      </c>
      <c r="AE477">
        <f>IF(ISBLANK('Data Entry'!$_$477), "", 'Data Entry'!$_$477)</f>
      </c>
      <c r="AF477">
        <f>IF(ISBLANK('Data Entry'!$`$477), "", 'Data Entry'!$`$477)</f>
      </c>
      <c r="AG477">
        <f>IF(ISBLANK('Data Entry'!$a$477), "", 'Data Entry'!$a$477)</f>
      </c>
      <c r="AH477">
        <f>IF(ISBLANK('Data Entry'!$b$477), "", 'Data Entry'!$b$477)</f>
      </c>
      <c r="AI477">
        <f>IF(ISBLANK('Data Entry'!$c$477), "", 'Data Entry'!$c$477)</f>
      </c>
      <c r="AJ477">
        <f>IF(ISBLANK('Data Entry'!$d$477), "", 'Data Entry'!$d$477)</f>
      </c>
      <c r="AK477">
        <f>IF(ISBLANK('Data Entry'!$e$477), "", 'Data Entry'!$e$477)</f>
      </c>
      <c r="AL477">
        <f>IF(ISBLANK('Data Entry'!$f$477), "", 'Data Entry'!$f$477)</f>
      </c>
      <c r="AM477">
        <f>IF(ISBLANK('Data Entry'!$g$477), "", 'Data Entry'!$g$477)</f>
      </c>
      <c r="AN477">
        <f>IF(ISBLANK('Data Entry'!$h$477), "", 'Data Entry'!$h$477)</f>
      </c>
      <c r="AO477">
        <f>IF(ISBLANK('Data Entry'!$i$477), "", 'Data Entry'!$i$477)</f>
      </c>
      <c r="AP477">
        <f>IF(ISBLANK('Data Entry'!$j$477), "", 'Data Entry'!$j$477)</f>
      </c>
      <c r="AQ477">
        <f>IF(ISBLANK('Data Entry'!$k$477), "", 'Data Entry'!$k$477)</f>
      </c>
      <c r="AR477">
        <f>IF(ISBLANK('Data Entry'!$l$477), "", 'Data Entry'!$l$477)</f>
      </c>
      <c r="AS477">
        <f>IF(ISBLANK('Data Entry'!$m$477), "", 'Data Entry'!$m$477)</f>
      </c>
      <c r="AT477">
        <f>IF(ISBLANK('Data Entry'!$n$477), "", 'Data Entry'!$n$477)</f>
      </c>
      <c r="AU477">
        <f>IF(ISBLANK('Data Entry'!$o$477), "", 'Data Entry'!$o$477)</f>
      </c>
      <c r="AV477">
        <f>IF(ISBLANK('Data Entry'!$p$477), "", 'Data Entry'!$p$477)</f>
      </c>
      <c r="AW477">
        <f>IF(ISBLANK('Data Entry'!$q$477), "", 'Data Entry'!$q$477)</f>
      </c>
      <c r="AX477">
        <f>IF(ISBLANK('Data Entry'!$r$477), "", 'Data Entry'!$r$477)</f>
      </c>
      <c r="AY477">
        <f>IF(ISBLANK('Data Entry'!$s$477), "", 'Data Entry'!$s$477)</f>
      </c>
      <c r="AZ477">
        <f>IF(ISBLANK('Data Entry'!$t$477), "", 'Data Entry'!$t$477)</f>
      </c>
      <c r="BA477">
        <f>IF(ISBLANK('Data Entry'!$u$477), "", 'Data Entry'!$u$477)</f>
      </c>
      <c r="BB477">
        <f>IF(ISBLANK('Data Entry'!$v$477), "", 'Data Entry'!$v$477)</f>
      </c>
      <c r="BC477">
        <f>IF(ISBLANK('Data Entry'!$w$477), "", 'Data Entry'!$w$477)</f>
      </c>
      <c r="BD477">
        <f>IF(ISBLANK('Data Entry'!$x$477), "", 'Data Entry'!$x$477)</f>
      </c>
      <c r="BE477">
        <f>IF(ISBLANK('Data Entry'!$y$477), "", 'Data Entry'!$y$477)</f>
      </c>
      <c r="BF477">
        <f>IF(ISBLANK('Data Entry'!$z$477), "", 'Data Entry'!$z$477)</f>
      </c>
      <c r="BG477">
        <f>IF(ISBLANK('Data Entry'!${$477), "", 'Data Entry'!${$477)</f>
      </c>
      <c r="BH477">
        <f>IF(ISBLANK('Data Entry'!$|$477), "", 'Data Entry'!$|$477)</f>
      </c>
      <c r="BI477">
        <f>IF(ISBLANK('Data Entry'!$}$477), "", 'Data Entry'!$}$477)</f>
      </c>
      <c r="BJ477">
        <f>IF(ISBLANK('Data Entry'!$~$477), "", 'Data Entry'!$~$477)</f>
      </c>
      <c r="BK477">
        <f>IF(ISBLANK('Data Entry'!$$477), "", 'Data Entry'!$$477)</f>
      </c>
      <c r="BL477">
        <f>IF(ISBLANK('Data Entry'!$$477), "", 'Data Entry'!$$477)</f>
      </c>
      <c r="BM477">
        <f>IF(ISBLANK('Data Entry'!$$477), "", 'Data Entry'!$$477)</f>
      </c>
      <c r="BN477">
        <f>IF(ISBLANK('Data Entry'!$$477), "", 'Data Entry'!$$477)</f>
      </c>
      <c r="BO477">
        <f>IF(ISBLANK('Data Entry'!$$477), "", 'Data Entry'!$$477)</f>
      </c>
      <c r="BP477">
        <f>IF(ISBLANK('Data Entry'!$$477), "", 'Data Entry'!$$477)</f>
      </c>
      <c r="BQ477">
        <f>IF(ISBLANK('Data Entry'!$$477), "", 'Data Entry'!$$477)</f>
      </c>
      <c r="BR477">
        <f>IF(ISBLANK('Data Entry'!$$477), "", 'Data Entry'!$$477)</f>
      </c>
      <c r="BS477">
        <f>IF(ISBLANK('Data Entry'!$$477), "", 'Data Entry'!$$477)</f>
      </c>
      <c r="BT477">
        <f>IF(ISBLANK('Data Entry'!$$477), "", 'Data Entry'!$$477)</f>
      </c>
      <c r="BU477">
        <f>IF(ISBLANK('Data Entry'!$$477), "", 'Data Entry'!$$477)</f>
      </c>
      <c r="BV477">
        <f>IF(ISBLANK('Data Entry'!$$477), "", 'Data Entry'!$$477)</f>
      </c>
      <c r="BW477">
        <f>IF(ISBLANK('Data Entry'!$$477), "", 'Data Entry'!$$477)</f>
      </c>
      <c r="BX477">
        <f>IF(ISBLANK('Data Entry'!$$477), "", 'Data Entry'!$$477)</f>
      </c>
      <c r="BY477">
        <f>IF(ISBLANK('Data Entry'!$$477), "", 'Data Entry'!$$477)</f>
      </c>
      <c r="BZ477">
        <f>IF(ISBLANK('Data Entry'!$$477), "", 'Data Entry'!$$477)</f>
      </c>
      <c r="CA477">
        <f>IF(ISBLANK('Data Entry'!$$477), "", 'Data Entry'!$$477)</f>
      </c>
      <c r="CB477">
        <f>IF(ISBLANK('Data Entry'!$$477), "", 'Data Entry'!$$477)</f>
      </c>
      <c r="CC477">
        <f>IF(ISBLANK('Data Entry'!$$477), "", 'Data Entry'!$$477)</f>
      </c>
      <c r="CD477">
        <f>IF(ISBLANK('Data Entry'!$$477), "", 'Data Entry'!$$477)</f>
      </c>
      <c r="CE477">
        <f>IF(ISBLANK('Data Entry'!$$477), "", 'Data Entry'!$$477)</f>
      </c>
      <c r="CF477">
        <f>IF(ISBLANK('Data Entry'!$$477), "", 'Data Entry'!$$477)</f>
      </c>
      <c r="CG477">
        <f>IF(ISBLANK('Data Entry'!$$477), "", 'Data Entry'!$$477)</f>
      </c>
      <c r="CH477">
        <f>IF(ISBLANK('Data Entry'!$$477), "", 'Data Entry'!$$477)</f>
      </c>
      <c r="CI477">
        <f>IF(ISBLANK('Data Entry'!$$477), "", 'Data Entry'!$$477)</f>
      </c>
      <c r="CJ477">
        <f>IF(ISBLANK('Data Entry'!$$477), "", 'Data Entry'!$$477)</f>
      </c>
      <c r="CK477">
        <f>IF(ISBLANK('Data Entry'!$$477), "", 'Data Entry'!$$477)</f>
      </c>
      <c r="CL477">
        <f>IF(ISBLANK('Data Entry'!$$477), "", 'Data Entry'!$$477)</f>
      </c>
      <c r="CM477">
        <f>IF(ISBLANK('Data Entry'!$$477), "", 'Data Entry'!$$477)</f>
      </c>
      <c r="CN477">
        <f>IF(ISBLANK('Data Entry'!$$477), "", 'Data Entry'!$$477)</f>
      </c>
      <c r="CO477">
        <f>IF(ISBLANK('Data Entry'!$$477), "", 'Data Entry'!$$477)</f>
      </c>
      <c r="CP477">
        <f>IF(ISBLANK('Data Entry'!$$477), "", 'Data Entry'!$$477)</f>
      </c>
      <c r="CQ477">
        <f>IF(ISBLANK('Data Entry'!$$477), "", 'Data Entry'!$$477)</f>
      </c>
      <c r="CR477">
        <f>IF(ISBLANK('Data Entry'!$ $477), "", 'Data Entry'!$ $477)</f>
      </c>
      <c r="CS477">
        <f>IF(ISBLANK('Data Entry'!$¡$477), "", 'Data Entry'!$¡$477)</f>
      </c>
      <c r="CT477">
        <f>IF(ISBLANK('Data Entry'!$¢$477), "", 'Data Entry'!$¢$477)</f>
      </c>
      <c r="CU477">
        <f>IF(ISBLANK('Data Entry'!$£$477), "", 'Data Entry'!$£$477)</f>
      </c>
      <c r="CV477">
        <f>IF(ISBLANK('Data Entry'!$¤$477), "", 'Data Entry'!$¤$477)</f>
      </c>
      <c r="CW477">
        <f>IF(ISBLANK('Data Entry'!$¥$477), "", 'Data Entry'!$¥$477)</f>
      </c>
      <c r="CX477">
        <f>IF(ISBLANK('Data Entry'!$¦$477), "", 'Data Entry'!$¦$477)</f>
      </c>
      <c r="CY477">
        <f>IF(ISBLANK('Data Entry'!$§$477), "", 'Data Entry'!$§$477)</f>
      </c>
      <c r="CZ477">
        <f>IF(ISBLANK('Data Entry'!$¨$477), "", 'Data Entry'!$¨$477)</f>
      </c>
      <c r="DA477">
        <f>IF(ISBLANK('Data Entry'!$©$477), "", 'Data Entry'!$©$477)</f>
      </c>
      <c r="DB477">
        <f>IF(ISBLANK('Data Entry'!$ª$477), "", 'Data Entry'!$ª$477)</f>
      </c>
      <c r="DC477">
        <f>IF(ISBLANK('Data Entry'!$«$477), "", 'Data Entry'!$«$477)</f>
      </c>
      <c r="DD477">
        <f>IF(ISBLANK('Data Entry'!$¬$477), "", 'Data Entry'!$¬$477)</f>
      </c>
      <c r="DE477">
        <f>IF(ISBLANK('Data Entry'!$­$477), "", 'Data Entry'!$­$477)</f>
      </c>
      <c r="DF477">
        <f>IF(ISBLANK('Data Entry'!$®$477), "", 'Data Entry'!$®$477)</f>
      </c>
      <c r="DG477">
        <f>IF(ISBLANK('Data Entry'!$¯$477), "", 'Data Entry'!$¯$477)</f>
      </c>
      <c r="DH477">
        <f>IF(ISBLANK('Data Entry'!$°$477), "", 'Data Entry'!$°$477)</f>
      </c>
      <c r="DI477">
        <f>IF(ISBLANK('Data Entry'!$±$477), "", 'Data Entry'!$±$477)</f>
      </c>
      <c r="DJ477">
        <f>IF(ISBLANK('Data Entry'!$²$477), "", 'Data Entry'!$²$477)</f>
      </c>
      <c r="DK477">
        <f>IF(ISBLANK('Data Entry'!$³$477), "", 'Data Entry'!$³$477)</f>
      </c>
      <c r="DL477">
        <f>IF(ISBLANK('Data Entry'!$´$477), "", 'Data Entry'!$´$477)</f>
      </c>
      <c r="DM477">
        <f>IF(ISBLANK('Data Entry'!$µ$477), "", 'Data Entry'!$µ$477)</f>
      </c>
      <c r="DN477">
        <f>IF(ISBLANK('Data Entry'!$¶$477), "", 'Data Entry'!$¶$477)</f>
      </c>
      <c r="DO477">
        <f>IF(ISBLANK('Data Entry'!$·$477), "", 'Data Entry'!$·$477)</f>
      </c>
      <c r="DP477">
        <f>IF(ISBLANK('Data Entry'!$¸$477), "", 'Data Entry'!$¸$477)</f>
      </c>
      <c r="DQ477">
        <f>IF(ISBLANK('Data Entry'!$¹$477), "", 'Data Entry'!$¹$477)</f>
      </c>
      <c r="DR477">
        <f>IF(ISBLANK('Data Entry'!$º$477), "", 'Data Entry'!$º$477)</f>
      </c>
      <c r="DS477">
        <f>IF(ISBLANK('Data Entry'!$»$477), "", 'Data Entry'!$»$477)</f>
      </c>
      <c r="DT477">
        <f>IF(ISBLANK('Data Entry'!$¼$477), "", 'Data Entry'!$¼$477)</f>
      </c>
      <c r="DU477">
        <f>IF(ISBLANK('Data Entry'!$½$477), "", 'Data Entry'!$½$477)</f>
      </c>
      <c r="DV477">
        <f>IF(ISBLANK('Data Entry'!$¾$477), "", 'Data Entry'!$¾$477)</f>
      </c>
      <c r="DW477">
        <f>IF(ISBLANK('Data Entry'!$¿$477), "", 'Data Entry'!$¿$477)</f>
      </c>
      <c r="DX477">
        <f>IF(ISBLANK('Data Entry'!$À$477), "", 'Data Entry'!$À$477)</f>
      </c>
      <c r="DY477">
        <f>IF(ISBLANK('Data Entry'!$Á$477), "", 'Data Entry'!$Á$477)</f>
      </c>
      <c r="DZ477">
        <f>IF(ISBLANK('Data Entry'!$Â$477), "", 'Data Entry'!$Â$477)</f>
      </c>
      <c r="EA477">
        <f>IF(ISBLANK('Data Entry'!$Ã$477), "", 'Data Entry'!$Ã$477)</f>
      </c>
      <c r="EB477">
        <f>IF(ISBLANK('Data Entry'!$Ä$477), "", 'Data Entry'!$Ä$477)</f>
      </c>
      <c r="EC477">
        <f>IF(ISBLANK('Data Entry'!$Å$477), "", 'Data Entry'!$Å$477)</f>
      </c>
      <c r="ED477">
        <f>IF(ISBLANK('Data Entry'!$Æ$477), "", 'Data Entry'!$Æ$477)</f>
      </c>
      <c r="EE477">
        <f>IF(ISBLANK('Data Entry'!$Ç$477), "", 'Data Entry'!$Ç$477)</f>
      </c>
      <c r="EF477">
        <f>IF(ISBLANK('Data Entry'!$È$477), "", 'Data Entry'!$È$477)</f>
      </c>
      <c r="EG477">
        <f>IF(ISBLANK('Data Entry'!$É$477), "", 'Data Entry'!$É$477)</f>
      </c>
      <c r="EH477">
        <f>IF(ISBLANK('Data Entry'!$Ê$477), "", 'Data Entry'!$Ê$477)</f>
      </c>
      <c r="EI477">
        <f>IF(ISBLANK('Data Entry'!$Ë$477), "", 'Data Entry'!$Ë$477)</f>
      </c>
      <c r="EJ477">
        <f>IF(ISBLANK('Data Entry'!$Ì$477), "", 'Data Entry'!$Ì$477)</f>
      </c>
      <c r="EK477">
        <f>IF(ISBLANK('Data Entry'!$Í$477), "", 'Data Entry'!$Í$477)</f>
      </c>
      <c r="EL477">
        <f>IF(ISBLANK('Data Entry'!$Î$477), "", 'Data Entry'!$Î$477)</f>
      </c>
      <c r="EM477">
        <f>IF(ISBLANK('Data Entry'!$Ï$477), "", 'Data Entry'!$Ï$477)</f>
      </c>
      <c r="EN477">
        <f>IF(ISBLANK('Data Entry'!$Ð$477), "", 'Data Entry'!$Ð$477)</f>
      </c>
      <c r="EO477">
        <f>IF(ISBLANK('Data Entry'!$Ñ$477), "", 'Data Entry'!$Ñ$477)</f>
      </c>
      <c r="EP477">
        <f>IF(ISBLANK('Data Entry'!$Ò$477), "", 'Data Entry'!$Ò$477)</f>
      </c>
      <c r="EQ477">
        <f>IF(ISBLANK('Data Entry'!$Ó$477), "", 'Data Entry'!$Ó$477)</f>
      </c>
      <c r="ER477">
        <f>IF(ISBLANK('Data Entry'!$Ô$477), "", 'Data Entry'!$Ô$477)</f>
      </c>
      <c r="ES477">
        <f>IF(ISBLANK('Data Entry'!$Õ$477), "", 'Data Entry'!$Õ$477)</f>
      </c>
      <c r="ET477">
        <f>IF(ISBLANK('Data Entry'!$Ö$477), "", 'Data Entry'!$Ö$477)</f>
      </c>
      <c r="EU477">
        <f>IF(ISBLANK('Data Entry'!$×$477), "", 'Data Entry'!$×$477)</f>
      </c>
      <c r="EV477">
        <f>IF(ISBLANK('Data Entry'!$Ø$477), "", 'Data Entry'!$Ø$477)</f>
      </c>
      <c r="EW477">
        <f>IF(ISBLANK('Data Entry'!$Ù$477), "", 'Data Entry'!$Ù$477)</f>
      </c>
      <c r="EX477">
        <f>IF(ISBLANK('Data Entry'!$Ú$477), "", 'Data Entry'!$Ú$477)</f>
      </c>
      <c r="EY477">
        <f>IF(ISBLANK('Data Entry'!$Û$477), "", 'Data Entry'!$Û$477)</f>
      </c>
      <c r="EZ477">
        <f>IF(ISBLANK('Data Entry'!$Ü$477), "", 'Data Entry'!$Ü$477)</f>
      </c>
      <c r="FA477">
        <f>IF(ISBLANK('Data Entry'!$Ý$477), "", 'Data Entry'!$Ý$477)</f>
      </c>
      <c r="FB477">
        <f>IF(ISBLANK('Data Entry'!$Þ$477), "", 'Data Entry'!$Þ$477)</f>
      </c>
      <c r="FC477">
        <f>IF(ISBLANK('Data Entry'!$ß$477), "", 'Data Entry'!$ß$477)</f>
      </c>
      <c r="FD477">
        <f>IF(ISBLANK('Data Entry'!$à$477), "", 'Data Entry'!$à$477)</f>
      </c>
      <c r="FE477">
        <f>IF(ISBLANK('Data Entry'!$á$477), "", 'Data Entry'!$á$477)</f>
      </c>
      <c r="FF477">
        <f>IF(ISBLANK('Data Entry'!$â$477), "", 'Data Entry'!$â$477)</f>
      </c>
      <c r="FG477">
        <f>IF(ISBLANK('Data Entry'!$ã$477), "", 'Data Entry'!$ã$477)</f>
      </c>
      <c r="FH477">
        <f>IF(ISBLANK('Data Entry'!$ä$477), "", 'Data Entry'!$ä$477)</f>
      </c>
      <c r="FI477">
        <f>IF(ISBLANK('Data Entry'!$å$477), "", 'Data Entry'!$å$477)</f>
      </c>
      <c r="FJ477">
        <f>IF(ISBLANK('Data Entry'!$æ$477), "", 'Data Entry'!$æ$477)</f>
      </c>
      <c r="FK477">
        <f>IF(ISBLANK('Data Entry'!$ç$477), "", 'Data Entry'!$ç$477)</f>
      </c>
      <c r="FL477">
        <f>IF(ISBLANK('Data Entry'!$è$477), "", 'Data Entry'!$è$477)</f>
      </c>
      <c r="FM477">
        <f>IF(ISBLANK('Data Entry'!$é$477), "", 'Data Entry'!$é$477)</f>
      </c>
      <c r="FN477">
        <f>IF(ISBLANK('Data Entry'!$ê$477), "", 'Data Entry'!$ê$477)</f>
      </c>
      <c r="FO477">
        <f>IF(ISBLANK('Data Entry'!$ë$477), "", 'Data Entry'!$ë$477)</f>
      </c>
      <c r="FP477">
        <f>IF(ISBLANK('Data Entry'!$ì$477), "", 'Data Entry'!$ì$477)</f>
      </c>
      <c r="FQ477">
        <f>IF(ISBLANK('Data Entry'!$í$477), "", 'Data Entry'!$í$477)</f>
      </c>
      <c r="FR477">
        <f>IF(ISBLANK('Data Entry'!$î$477), "", 'Data Entry'!$î$477)</f>
      </c>
      <c r="FS477">
        <f>IF(ISBLANK('Data Entry'!$ï$477), "", 'Data Entry'!$ï$477)</f>
      </c>
      <c r="FT477">
        <f>IF(ISBLANK('Data Entry'!$ð$477), "", 'Data Entry'!$ð$477)</f>
      </c>
      <c r="FU477">
        <f>IF(ISBLANK('Data Entry'!$ñ$477), "", 'Data Entry'!$ñ$477)</f>
      </c>
      <c r="FV477">
        <f>IF(ISBLANK('Data Entry'!$ò$477), "", 'Data Entry'!$ò$477)</f>
      </c>
      <c r="FW477">
        <f>IF(ISBLANK('Data Entry'!$ó$477), "", 'Data Entry'!$ó$477)</f>
      </c>
      <c r="FX477">
        <f>IF(ISBLANK('Data Entry'!$ô$477), "", 'Data Entry'!$ô$477)</f>
      </c>
      <c r="FY477">
        <f>IF(ISBLANK('Data Entry'!$õ$477), "", 'Data Entry'!$õ$477)</f>
      </c>
      <c r="FZ477">
        <f>IF(ISBLANK('Data Entry'!$ö$477), "", 'Data Entry'!$ö$477)</f>
      </c>
      <c r="GA477">
        <f>IF(ISBLANK('Data Entry'!$÷$477), "", 'Data Entry'!$÷$477)</f>
      </c>
      <c r="GB477">
        <f>IF(ISBLANK('Data Entry'!$ø$477), "", 'Data Entry'!$ø$477)</f>
      </c>
      <c r="GC477">
        <f>IF(ISBLANK('Data Entry'!$ù$477), "", 'Data Entry'!$ù$477)</f>
      </c>
      <c r="GD477">
        <f>IF(ISBLANK('Data Entry'!$ú$477), "", 'Data Entry'!$ú$477)</f>
      </c>
      <c r="GE477">
        <f>IF(ISBLANK('Data Entry'!$û$477), "", 'Data Entry'!$û$477)</f>
      </c>
      <c r="GF477">
        <f>IF(ISBLANK('Data Entry'!$ü$477), "", 'Data Entry'!$ü$477)</f>
      </c>
      <c r="GG477">
        <f>IF(ISBLANK('Data Entry'!$ý$477), "", 'Data Entry'!$ý$477)</f>
      </c>
      <c r="GH477">
        <f>IF(ISBLANK('Data Entry'!$þ$477), "", 'Data Entry'!$þ$477)</f>
      </c>
      <c r="GI477">
        <f>IF(ISBLANK('Data Entry'!$ÿ$477), "", 'Data Entry'!$ÿ$477)</f>
      </c>
      <c r="GJ477">
        <f>IF(ISBLANK('Data Entry'!$Ā$477), "", 'Data Entry'!$Ā$477)</f>
      </c>
      <c r="GK477">
        <f>IF(ISBLANK('Data Entry'!$ā$477), "", 'Data Entry'!$ā$477)</f>
      </c>
      <c r="GL477">
        <f>IF(ISBLANK('Data Entry'!$Ă$477), "", 'Data Entry'!$Ă$477)</f>
      </c>
      <c r="GM477">
        <f>IF(ISBLANK('Data Entry'!$ă$477), "", 'Data Entry'!$ă$477)</f>
      </c>
      <c r="GN477">
        <f>IF(ISBLANK('Data Entry'!$Ą$477), "", 'Data Entry'!$Ą$477)</f>
      </c>
      <c r="GO477">
        <f>IF(ISBLANK('Data Entry'!$ą$477), "", 'Data Entry'!$ą$477)</f>
      </c>
      <c r="GP477">
        <f>IF(ISBLANK('Data Entry'!$Ć$477), "", 'Data Entry'!$Ć$477)</f>
      </c>
      <c r="GQ477">
        <f>IF(ISBLANK('Data Entry'!$ć$477), "", 'Data Entry'!$ć$477)</f>
      </c>
      <c r="GR477">
        <f>IF(ISBLANK('Data Entry'!$Ĉ$477), "", 'Data Entry'!$Ĉ$477)</f>
      </c>
      <c r="GS477">
        <f>IF(ISBLANK('Data Entry'!$ĉ$477), "", 'Data Entry'!$ĉ$477)</f>
      </c>
      <c r="GT477">
        <f>IF(ISBLANK('Data Entry'!$Ċ$477), "", 'Data Entry'!$Ċ$477)</f>
      </c>
      <c r="GU477">
        <f>IF(ISBLANK('Data Entry'!$ċ$477), "", 'Data Entry'!$ċ$477)</f>
      </c>
      <c r="GV477">
        <f>IF(ISBLANK('Data Entry'!$Č$477), "", 'Data Entry'!$Č$477)</f>
      </c>
      <c r="GW477">
        <f>IF(ISBLANK('Data Entry'!$č$477), "", 'Data Entry'!$č$477)</f>
      </c>
      <c r="GX477">
        <f>IF(ISBLANK('Data Entry'!$Ď$477), "", 'Data Entry'!$Ď$477)</f>
      </c>
      <c r="GY477">
        <f>IF(ISBLANK('Data Entry'!$ď$477), "", 'Data Entry'!$ď$477)</f>
      </c>
      <c r="GZ477">
        <f>IF(ISBLANK('Data Entry'!$Đ$477), "", 'Data Entry'!$Đ$477)</f>
      </c>
      <c r="HA477">
        <f>IF(ISBLANK('Data Entry'!$đ$477), "", 'Data Entry'!$đ$477)</f>
      </c>
      <c r="HB477">
        <f>IF(ISBLANK('Data Entry'!$Ē$477), "", 'Data Entry'!$Ē$477)</f>
      </c>
      <c r="HC477">
        <f>IF(ISBLANK('Data Entry'!$ē$477), "", 'Data Entry'!$ē$477)</f>
      </c>
      <c r="HD477">
        <f>IF(ISBLANK('Data Entry'!$Ĕ$477), "", 'Data Entry'!$Ĕ$477)</f>
      </c>
      <c r="HE477">
        <f>IF(ISBLANK('Data Entry'!$ĕ$477), "", 'Data Entry'!$ĕ$477)</f>
      </c>
      <c r="HF477">
        <f>IF(ISBLANK('Data Entry'!$Ė$477), "", 'Data Entry'!$Ė$477)</f>
      </c>
      <c r="HG477">
        <f>IF(ISBLANK('Data Entry'!$ė$477), "", 'Data Entry'!$ė$477)</f>
      </c>
      <c r="HH477">
        <f>IF(ISBLANK('Data Entry'!$Ę$477), "", 'Data Entry'!$Ę$477)</f>
      </c>
      <c r="HI477">
        <f>IF(ISBLANK('Data Entry'!$ę$477), "", 'Data Entry'!$ę$477)</f>
      </c>
      <c r="HJ477">
        <f>IF(ISBLANK('Data Entry'!$Ě$477), "", 'Data Entry'!$Ě$477)</f>
      </c>
      <c r="HK477">
        <f>IF(ISBLANK('Data Entry'!$ě$477), "", 'Data Entry'!$ě$477)</f>
      </c>
      <c r="HL477">
        <f>IF(ISBLANK('Data Entry'!$Ĝ$477), "", 'Data Entry'!$Ĝ$477)</f>
      </c>
      <c r="HM477">
        <f>IF(ISBLANK('Data Entry'!$ĝ$477), "", 'Data Entry'!$ĝ$477)</f>
      </c>
      <c r="HN477">
        <f>IF(ISBLANK('Data Entry'!$Ğ$477), "", 'Data Entry'!$Ğ$477)</f>
      </c>
      <c r="HO477">
        <f>IF(ISBLANK('Data Entry'!$ğ$477), "", 'Data Entry'!$ğ$477)</f>
      </c>
      <c r="HP477">
        <f>IF(ISBLANK('Data Entry'!$Ġ$477), "", 'Data Entry'!$Ġ$477)</f>
      </c>
      <c r="HQ477">
        <f>IF(ISBLANK('Data Entry'!$ġ$477), "", 'Data Entry'!$ġ$477)</f>
      </c>
      <c r="HR477">
        <f>IF(ISBLANK('Data Entry'!$Ģ$477), "", 'Data Entry'!$Ģ$477)</f>
      </c>
      <c r="HS477">
        <f>IF(ISBLANK('Data Entry'!$ģ$477), "", 'Data Entry'!$ģ$477)</f>
      </c>
      <c r="HT477">
        <f>IF(ISBLANK('Data Entry'!$Ĥ$477), "", 'Data Entry'!$Ĥ$477)</f>
      </c>
      <c r="HU477">
        <f>IF(ISBLANK('Data Entry'!$ĥ$477), "", 'Data Entry'!$ĥ$477)</f>
      </c>
      <c r="HV477">
        <f>IF(ISBLANK('Data Entry'!$Ħ$477), "", 'Data Entry'!$Ħ$477)</f>
      </c>
      <c r="HW477">
        <f>IF(ISBLANK('Data Entry'!$ħ$477), "", 'Data Entry'!$ħ$477)</f>
      </c>
      <c r="HX477">
        <f>IF(ISBLANK('Data Entry'!$Ĩ$477), "", 'Data Entry'!$Ĩ$477)</f>
      </c>
      <c r="HY477">
        <f>IF(ISBLANK('Data Entry'!$ĩ$477), "", 'Data Entry'!$ĩ$477)</f>
      </c>
      <c r="HZ477">
        <f>IF(ISBLANK('Data Entry'!$Ī$477), "", 'Data Entry'!$Ī$477)</f>
      </c>
      <c r="IA477">
        <f>IF(ISBLANK('Data Entry'!$ī$477), "", 'Data Entry'!$ī$477)</f>
      </c>
      <c r="IB477">
        <f>IF(ISBLANK('Data Entry'!$Ĭ$477), "", 'Data Entry'!$Ĭ$477)</f>
      </c>
      <c r="IC477">
        <f>IF(ISBLANK('Data Entry'!$ĭ$477), "", 'Data Entry'!$ĭ$477)</f>
      </c>
      <c r="ID477">
        <f>IF(ISBLANK('Data Entry'!$Į$477), "", 'Data Entry'!$Į$477)</f>
      </c>
      <c r="IE477">
        <f>IF(ISBLANK('Data Entry'!$į$477), "", 'Data Entry'!$į$477)</f>
      </c>
      <c r="IF477">
        <f>IF(ISBLANK('Data Entry'!$İ$477), "", 'Data Entry'!$İ$477)</f>
      </c>
      <c r="IG477">
        <f>IF(ISBLANK('Data Entry'!$ı$477), "", 'Data Entry'!$ı$477)</f>
      </c>
      <c r="IH477">
        <f>IF(ISBLANK('Data Entry'!$Ĳ$477), "", 'Data Entry'!$Ĳ$477)</f>
      </c>
      <c r="II477">
        <f>IF(ISBLANK('Data Entry'!$ĳ$477), "", 'Data Entry'!$ĳ$477)</f>
      </c>
      <c r="IJ477">
        <f>IF(ISBLANK('Data Entry'!$Ĵ$477), "", 'Data Entry'!$Ĵ$477)</f>
      </c>
      <c r="IK477">
        <f>IF(ISBLANK('Data Entry'!$ĵ$477), "", 'Data Entry'!$ĵ$477)</f>
      </c>
      <c r="IL477">
        <f>IF(ISBLANK('Data Entry'!$Ķ$477), "", 'Data Entry'!$Ķ$477)</f>
      </c>
      <c r="IM477">
        <f>IF(ISBLANK('Data Entry'!$ķ$477), "", 'Data Entry'!$ķ$477)</f>
      </c>
      <c r="IN477">
        <f>IF(ISBLANK('Data Entry'!$ĸ$477), "", 'Data Entry'!$ĸ$477)</f>
      </c>
      <c r="IO477">
        <f>IF(ISBLANK('Data Entry'!$Ĺ$477), "", 'Data Entry'!$Ĺ$477)</f>
      </c>
      <c r="IP477">
        <f>IF(ISBLANK('Data Entry'!$ĺ$477), "", 'Data Entry'!$ĺ$477)</f>
      </c>
      <c r="IQ477">
        <f>IF(ISBLANK('Data Entry'!$Ļ$477), "", 'Data Entry'!$Ļ$477)</f>
      </c>
      <c r="IR477">
        <f>IF(ISBLANK('Data Entry'!$ļ$477), "", 'Data Entry'!$ļ$477)</f>
      </c>
      <c r="IS477">
        <f>IF(ISBLANK('Data Entry'!$Ľ$477), "", 'Data Entry'!$Ľ$477)</f>
      </c>
      <c r="IT477">
        <f>IF(ISBLANK('Data Entry'!$ľ$477), "", 'Data Entry'!$ľ$477)</f>
      </c>
    </row>
    <row r="478" spans="1:254" x14ac:dyDescent="0.25">
      <c r="A478">
        <f>IF(ISBLANK('Data Entry'!$A$478), "", 'Data Entry'!$A$478)</f>
      </c>
      <c r="B478">
        <f>IF(ISBLANK('Data Entry'!$B$478), "", 'Data Entry'!$B$478)</f>
      </c>
      <c r="C478">
        <f>IF(ISBLANK('Data Entry'!$C$478), "", 'Data Entry'!$C$478)</f>
      </c>
      <c r="D478">
        <f>IF(ISBLANK('Data Entry'!$D$478), "", 'Data Entry'!$D$478)</f>
      </c>
      <c r="E478">
        <f>IF(ISBLANK('Data Entry'!$E$478), "", 'Data Entry'!$E$478)</f>
      </c>
      <c r="F478">
        <f>IF(ISBLANK('Data Entry'!$F$478), "", 'Data Entry'!$F$478)</f>
      </c>
      <c r="G478">
        <f>IF(ISBLANK('Data Entry'!$G$478), "", 'Data Entry'!$G$478)</f>
      </c>
      <c r="H478">
        <f>IF(ISBLANK('Data Entry'!$H$478), "", 'Data Entry'!$H$478)</f>
      </c>
      <c r="I478">
        <f>IF(ISBLANK('Data Entry'!$I$478), "", 'Data Entry'!$I$478)</f>
      </c>
      <c r="J478">
        <f>IF(ISBLANK('Data Entry'!$J$478), "", 'Data Entry'!$J$478)</f>
      </c>
      <c r="K478">
        <f>IF(ISBLANK('Data Entry'!$K$478), "", 'Data Entry'!$K$478)</f>
      </c>
      <c r="L478">
        <f>IF(ISBLANK('Data Entry'!$L$478), "", 'Data Entry'!$L$478)</f>
      </c>
      <c r="M478">
        <f>IF(ISBLANK('Data Entry'!$M$478), "", 'Data Entry'!$M$478)</f>
      </c>
      <c r="N478">
        <f>IF(ISBLANK('Data Entry'!$N$478), "", 'Data Entry'!$N$478)</f>
      </c>
      <c r="O478">
        <f>IF(ISBLANK('Data Entry'!$O$478), "", 'Data Entry'!$O$478)</f>
      </c>
      <c r="P478">
        <f>IF(ISBLANK('Data Entry'!$P$478), "", 'Data Entry'!$P$478)</f>
      </c>
      <c r="Q478">
        <f>IF(ISBLANK('Data Entry'!$Q$478), "", 'Data Entry'!$Q$478)</f>
      </c>
      <c r="R478">
        <f>IF(ISBLANK('Data Entry'!$R$478), "", 'Data Entry'!$R$478)</f>
      </c>
      <c r="S478">
        <f>IF(ISBLANK('Data Entry'!$S$478), "", 'Data Entry'!$S$478)</f>
      </c>
      <c r="T478">
        <f>IF(ISBLANK('Data Entry'!$T$478), "", 'Data Entry'!$T$478)</f>
      </c>
      <c r="U478">
        <f>IF(ISBLANK('Data Entry'!$U$478), "", 'Data Entry'!$U$478)</f>
      </c>
      <c r="V478">
        <f>IF(ISBLANK('Data Entry'!$V$478), "", 'Data Entry'!$V$478)</f>
      </c>
      <c r="W478">
        <f>IF(ISBLANK('Data Entry'!$W$478), "", 'Data Entry'!$W$478)</f>
      </c>
      <c r="X478">
        <f>IF(ISBLANK('Data Entry'!$X$478), "", 'Data Entry'!$X$478)</f>
      </c>
      <c r="Y478">
        <f>IF(ISBLANK('Data Entry'!$Y$478), "", 'Data Entry'!$Y$478)</f>
      </c>
      <c r="Z478">
        <f>IF(ISBLANK('Data Entry'!$Z$478), "", 'Data Entry'!$Z$478)</f>
      </c>
      <c r="AA478">
        <f>IF(ISBLANK('Data Entry'!$[$478), "", 'Data Entry'!$[$478)</f>
      </c>
      <c r="AB478">
        <f>IF(ISBLANK('Data Entry'!$\$478), "", 'Data Entry'!$\$478)</f>
      </c>
      <c r="AC478">
        <f>IF(ISBLANK('Data Entry'!$]$478), "", 'Data Entry'!$]$478)</f>
      </c>
      <c r="AD478">
        <f>IF(ISBLANK('Data Entry'!$^$478), "", 'Data Entry'!$^$478)</f>
      </c>
      <c r="AE478">
        <f>IF(ISBLANK('Data Entry'!$_$478), "", 'Data Entry'!$_$478)</f>
      </c>
      <c r="AF478">
        <f>IF(ISBLANK('Data Entry'!$`$478), "", 'Data Entry'!$`$478)</f>
      </c>
      <c r="AG478">
        <f>IF(ISBLANK('Data Entry'!$a$478), "", 'Data Entry'!$a$478)</f>
      </c>
      <c r="AH478">
        <f>IF(ISBLANK('Data Entry'!$b$478), "", 'Data Entry'!$b$478)</f>
      </c>
      <c r="AI478">
        <f>IF(ISBLANK('Data Entry'!$c$478), "", 'Data Entry'!$c$478)</f>
      </c>
      <c r="AJ478">
        <f>IF(ISBLANK('Data Entry'!$d$478), "", 'Data Entry'!$d$478)</f>
      </c>
      <c r="AK478">
        <f>IF(ISBLANK('Data Entry'!$e$478), "", 'Data Entry'!$e$478)</f>
      </c>
      <c r="AL478">
        <f>IF(ISBLANK('Data Entry'!$f$478), "", 'Data Entry'!$f$478)</f>
      </c>
      <c r="AM478">
        <f>IF(ISBLANK('Data Entry'!$g$478), "", 'Data Entry'!$g$478)</f>
      </c>
      <c r="AN478">
        <f>IF(ISBLANK('Data Entry'!$h$478), "", 'Data Entry'!$h$478)</f>
      </c>
      <c r="AO478">
        <f>IF(ISBLANK('Data Entry'!$i$478), "", 'Data Entry'!$i$478)</f>
      </c>
      <c r="AP478">
        <f>IF(ISBLANK('Data Entry'!$j$478), "", 'Data Entry'!$j$478)</f>
      </c>
      <c r="AQ478">
        <f>IF(ISBLANK('Data Entry'!$k$478), "", 'Data Entry'!$k$478)</f>
      </c>
      <c r="AR478">
        <f>IF(ISBLANK('Data Entry'!$l$478), "", 'Data Entry'!$l$478)</f>
      </c>
      <c r="AS478">
        <f>IF(ISBLANK('Data Entry'!$m$478), "", 'Data Entry'!$m$478)</f>
      </c>
      <c r="AT478">
        <f>IF(ISBLANK('Data Entry'!$n$478), "", 'Data Entry'!$n$478)</f>
      </c>
      <c r="AU478">
        <f>IF(ISBLANK('Data Entry'!$o$478), "", 'Data Entry'!$o$478)</f>
      </c>
      <c r="AV478">
        <f>IF(ISBLANK('Data Entry'!$p$478), "", 'Data Entry'!$p$478)</f>
      </c>
      <c r="AW478">
        <f>IF(ISBLANK('Data Entry'!$q$478), "", 'Data Entry'!$q$478)</f>
      </c>
      <c r="AX478">
        <f>IF(ISBLANK('Data Entry'!$r$478), "", 'Data Entry'!$r$478)</f>
      </c>
      <c r="AY478">
        <f>IF(ISBLANK('Data Entry'!$s$478), "", 'Data Entry'!$s$478)</f>
      </c>
      <c r="AZ478">
        <f>IF(ISBLANK('Data Entry'!$t$478), "", 'Data Entry'!$t$478)</f>
      </c>
      <c r="BA478">
        <f>IF(ISBLANK('Data Entry'!$u$478), "", 'Data Entry'!$u$478)</f>
      </c>
      <c r="BB478">
        <f>IF(ISBLANK('Data Entry'!$v$478), "", 'Data Entry'!$v$478)</f>
      </c>
      <c r="BC478">
        <f>IF(ISBLANK('Data Entry'!$w$478), "", 'Data Entry'!$w$478)</f>
      </c>
      <c r="BD478">
        <f>IF(ISBLANK('Data Entry'!$x$478), "", 'Data Entry'!$x$478)</f>
      </c>
      <c r="BE478">
        <f>IF(ISBLANK('Data Entry'!$y$478), "", 'Data Entry'!$y$478)</f>
      </c>
      <c r="BF478">
        <f>IF(ISBLANK('Data Entry'!$z$478), "", 'Data Entry'!$z$478)</f>
      </c>
      <c r="BG478">
        <f>IF(ISBLANK('Data Entry'!${$478), "", 'Data Entry'!${$478)</f>
      </c>
      <c r="BH478">
        <f>IF(ISBLANK('Data Entry'!$|$478), "", 'Data Entry'!$|$478)</f>
      </c>
      <c r="BI478">
        <f>IF(ISBLANK('Data Entry'!$}$478), "", 'Data Entry'!$}$478)</f>
      </c>
      <c r="BJ478">
        <f>IF(ISBLANK('Data Entry'!$~$478), "", 'Data Entry'!$~$478)</f>
      </c>
      <c r="BK478">
        <f>IF(ISBLANK('Data Entry'!$$478), "", 'Data Entry'!$$478)</f>
      </c>
      <c r="BL478">
        <f>IF(ISBLANK('Data Entry'!$$478), "", 'Data Entry'!$$478)</f>
      </c>
      <c r="BM478">
        <f>IF(ISBLANK('Data Entry'!$$478), "", 'Data Entry'!$$478)</f>
      </c>
      <c r="BN478">
        <f>IF(ISBLANK('Data Entry'!$$478), "", 'Data Entry'!$$478)</f>
      </c>
      <c r="BO478">
        <f>IF(ISBLANK('Data Entry'!$$478), "", 'Data Entry'!$$478)</f>
      </c>
      <c r="BP478">
        <f>IF(ISBLANK('Data Entry'!$$478), "", 'Data Entry'!$$478)</f>
      </c>
      <c r="BQ478">
        <f>IF(ISBLANK('Data Entry'!$$478), "", 'Data Entry'!$$478)</f>
      </c>
      <c r="BR478">
        <f>IF(ISBLANK('Data Entry'!$$478), "", 'Data Entry'!$$478)</f>
      </c>
      <c r="BS478">
        <f>IF(ISBLANK('Data Entry'!$$478), "", 'Data Entry'!$$478)</f>
      </c>
      <c r="BT478">
        <f>IF(ISBLANK('Data Entry'!$$478), "", 'Data Entry'!$$478)</f>
      </c>
      <c r="BU478">
        <f>IF(ISBLANK('Data Entry'!$$478), "", 'Data Entry'!$$478)</f>
      </c>
      <c r="BV478">
        <f>IF(ISBLANK('Data Entry'!$$478), "", 'Data Entry'!$$478)</f>
      </c>
      <c r="BW478">
        <f>IF(ISBLANK('Data Entry'!$$478), "", 'Data Entry'!$$478)</f>
      </c>
      <c r="BX478">
        <f>IF(ISBLANK('Data Entry'!$$478), "", 'Data Entry'!$$478)</f>
      </c>
      <c r="BY478">
        <f>IF(ISBLANK('Data Entry'!$$478), "", 'Data Entry'!$$478)</f>
      </c>
      <c r="BZ478">
        <f>IF(ISBLANK('Data Entry'!$$478), "", 'Data Entry'!$$478)</f>
      </c>
      <c r="CA478">
        <f>IF(ISBLANK('Data Entry'!$$478), "", 'Data Entry'!$$478)</f>
      </c>
      <c r="CB478">
        <f>IF(ISBLANK('Data Entry'!$$478), "", 'Data Entry'!$$478)</f>
      </c>
      <c r="CC478">
        <f>IF(ISBLANK('Data Entry'!$$478), "", 'Data Entry'!$$478)</f>
      </c>
      <c r="CD478">
        <f>IF(ISBLANK('Data Entry'!$$478), "", 'Data Entry'!$$478)</f>
      </c>
      <c r="CE478">
        <f>IF(ISBLANK('Data Entry'!$$478), "", 'Data Entry'!$$478)</f>
      </c>
      <c r="CF478">
        <f>IF(ISBLANK('Data Entry'!$$478), "", 'Data Entry'!$$478)</f>
      </c>
      <c r="CG478">
        <f>IF(ISBLANK('Data Entry'!$$478), "", 'Data Entry'!$$478)</f>
      </c>
      <c r="CH478">
        <f>IF(ISBLANK('Data Entry'!$$478), "", 'Data Entry'!$$478)</f>
      </c>
      <c r="CI478">
        <f>IF(ISBLANK('Data Entry'!$$478), "", 'Data Entry'!$$478)</f>
      </c>
      <c r="CJ478">
        <f>IF(ISBLANK('Data Entry'!$$478), "", 'Data Entry'!$$478)</f>
      </c>
      <c r="CK478">
        <f>IF(ISBLANK('Data Entry'!$$478), "", 'Data Entry'!$$478)</f>
      </c>
      <c r="CL478">
        <f>IF(ISBLANK('Data Entry'!$$478), "", 'Data Entry'!$$478)</f>
      </c>
      <c r="CM478">
        <f>IF(ISBLANK('Data Entry'!$$478), "", 'Data Entry'!$$478)</f>
      </c>
      <c r="CN478">
        <f>IF(ISBLANK('Data Entry'!$$478), "", 'Data Entry'!$$478)</f>
      </c>
      <c r="CO478">
        <f>IF(ISBLANK('Data Entry'!$$478), "", 'Data Entry'!$$478)</f>
      </c>
      <c r="CP478">
        <f>IF(ISBLANK('Data Entry'!$$478), "", 'Data Entry'!$$478)</f>
      </c>
      <c r="CQ478">
        <f>IF(ISBLANK('Data Entry'!$$478), "", 'Data Entry'!$$478)</f>
      </c>
      <c r="CR478">
        <f>IF(ISBLANK('Data Entry'!$ $478), "", 'Data Entry'!$ $478)</f>
      </c>
      <c r="CS478">
        <f>IF(ISBLANK('Data Entry'!$¡$478), "", 'Data Entry'!$¡$478)</f>
      </c>
      <c r="CT478">
        <f>IF(ISBLANK('Data Entry'!$¢$478), "", 'Data Entry'!$¢$478)</f>
      </c>
      <c r="CU478">
        <f>IF(ISBLANK('Data Entry'!$£$478), "", 'Data Entry'!$£$478)</f>
      </c>
      <c r="CV478">
        <f>IF(ISBLANK('Data Entry'!$¤$478), "", 'Data Entry'!$¤$478)</f>
      </c>
      <c r="CW478">
        <f>IF(ISBLANK('Data Entry'!$¥$478), "", 'Data Entry'!$¥$478)</f>
      </c>
      <c r="CX478">
        <f>IF(ISBLANK('Data Entry'!$¦$478), "", 'Data Entry'!$¦$478)</f>
      </c>
      <c r="CY478">
        <f>IF(ISBLANK('Data Entry'!$§$478), "", 'Data Entry'!$§$478)</f>
      </c>
      <c r="CZ478">
        <f>IF(ISBLANK('Data Entry'!$¨$478), "", 'Data Entry'!$¨$478)</f>
      </c>
      <c r="DA478">
        <f>IF(ISBLANK('Data Entry'!$©$478), "", 'Data Entry'!$©$478)</f>
      </c>
      <c r="DB478">
        <f>IF(ISBLANK('Data Entry'!$ª$478), "", 'Data Entry'!$ª$478)</f>
      </c>
      <c r="DC478">
        <f>IF(ISBLANK('Data Entry'!$«$478), "", 'Data Entry'!$«$478)</f>
      </c>
      <c r="DD478">
        <f>IF(ISBLANK('Data Entry'!$¬$478), "", 'Data Entry'!$¬$478)</f>
      </c>
      <c r="DE478">
        <f>IF(ISBLANK('Data Entry'!$­$478), "", 'Data Entry'!$­$478)</f>
      </c>
      <c r="DF478">
        <f>IF(ISBLANK('Data Entry'!$®$478), "", 'Data Entry'!$®$478)</f>
      </c>
      <c r="DG478">
        <f>IF(ISBLANK('Data Entry'!$¯$478), "", 'Data Entry'!$¯$478)</f>
      </c>
      <c r="DH478">
        <f>IF(ISBLANK('Data Entry'!$°$478), "", 'Data Entry'!$°$478)</f>
      </c>
      <c r="DI478">
        <f>IF(ISBLANK('Data Entry'!$±$478), "", 'Data Entry'!$±$478)</f>
      </c>
      <c r="DJ478">
        <f>IF(ISBLANK('Data Entry'!$²$478), "", 'Data Entry'!$²$478)</f>
      </c>
      <c r="DK478">
        <f>IF(ISBLANK('Data Entry'!$³$478), "", 'Data Entry'!$³$478)</f>
      </c>
      <c r="DL478">
        <f>IF(ISBLANK('Data Entry'!$´$478), "", 'Data Entry'!$´$478)</f>
      </c>
      <c r="DM478">
        <f>IF(ISBLANK('Data Entry'!$µ$478), "", 'Data Entry'!$µ$478)</f>
      </c>
      <c r="DN478">
        <f>IF(ISBLANK('Data Entry'!$¶$478), "", 'Data Entry'!$¶$478)</f>
      </c>
      <c r="DO478">
        <f>IF(ISBLANK('Data Entry'!$·$478), "", 'Data Entry'!$·$478)</f>
      </c>
      <c r="DP478">
        <f>IF(ISBLANK('Data Entry'!$¸$478), "", 'Data Entry'!$¸$478)</f>
      </c>
      <c r="DQ478">
        <f>IF(ISBLANK('Data Entry'!$¹$478), "", 'Data Entry'!$¹$478)</f>
      </c>
      <c r="DR478">
        <f>IF(ISBLANK('Data Entry'!$º$478), "", 'Data Entry'!$º$478)</f>
      </c>
      <c r="DS478">
        <f>IF(ISBLANK('Data Entry'!$»$478), "", 'Data Entry'!$»$478)</f>
      </c>
      <c r="DT478">
        <f>IF(ISBLANK('Data Entry'!$¼$478), "", 'Data Entry'!$¼$478)</f>
      </c>
      <c r="DU478">
        <f>IF(ISBLANK('Data Entry'!$½$478), "", 'Data Entry'!$½$478)</f>
      </c>
      <c r="DV478">
        <f>IF(ISBLANK('Data Entry'!$¾$478), "", 'Data Entry'!$¾$478)</f>
      </c>
      <c r="DW478">
        <f>IF(ISBLANK('Data Entry'!$¿$478), "", 'Data Entry'!$¿$478)</f>
      </c>
      <c r="DX478">
        <f>IF(ISBLANK('Data Entry'!$À$478), "", 'Data Entry'!$À$478)</f>
      </c>
      <c r="DY478">
        <f>IF(ISBLANK('Data Entry'!$Á$478), "", 'Data Entry'!$Á$478)</f>
      </c>
      <c r="DZ478">
        <f>IF(ISBLANK('Data Entry'!$Â$478), "", 'Data Entry'!$Â$478)</f>
      </c>
      <c r="EA478">
        <f>IF(ISBLANK('Data Entry'!$Ã$478), "", 'Data Entry'!$Ã$478)</f>
      </c>
      <c r="EB478">
        <f>IF(ISBLANK('Data Entry'!$Ä$478), "", 'Data Entry'!$Ä$478)</f>
      </c>
      <c r="EC478">
        <f>IF(ISBLANK('Data Entry'!$Å$478), "", 'Data Entry'!$Å$478)</f>
      </c>
      <c r="ED478">
        <f>IF(ISBLANK('Data Entry'!$Æ$478), "", 'Data Entry'!$Æ$478)</f>
      </c>
      <c r="EE478">
        <f>IF(ISBLANK('Data Entry'!$Ç$478), "", 'Data Entry'!$Ç$478)</f>
      </c>
      <c r="EF478">
        <f>IF(ISBLANK('Data Entry'!$È$478), "", 'Data Entry'!$È$478)</f>
      </c>
      <c r="EG478">
        <f>IF(ISBLANK('Data Entry'!$É$478), "", 'Data Entry'!$É$478)</f>
      </c>
      <c r="EH478">
        <f>IF(ISBLANK('Data Entry'!$Ê$478), "", 'Data Entry'!$Ê$478)</f>
      </c>
      <c r="EI478">
        <f>IF(ISBLANK('Data Entry'!$Ë$478), "", 'Data Entry'!$Ë$478)</f>
      </c>
      <c r="EJ478">
        <f>IF(ISBLANK('Data Entry'!$Ì$478), "", 'Data Entry'!$Ì$478)</f>
      </c>
      <c r="EK478">
        <f>IF(ISBLANK('Data Entry'!$Í$478), "", 'Data Entry'!$Í$478)</f>
      </c>
      <c r="EL478">
        <f>IF(ISBLANK('Data Entry'!$Î$478), "", 'Data Entry'!$Î$478)</f>
      </c>
      <c r="EM478">
        <f>IF(ISBLANK('Data Entry'!$Ï$478), "", 'Data Entry'!$Ï$478)</f>
      </c>
      <c r="EN478">
        <f>IF(ISBLANK('Data Entry'!$Ð$478), "", 'Data Entry'!$Ð$478)</f>
      </c>
      <c r="EO478">
        <f>IF(ISBLANK('Data Entry'!$Ñ$478), "", 'Data Entry'!$Ñ$478)</f>
      </c>
      <c r="EP478">
        <f>IF(ISBLANK('Data Entry'!$Ò$478), "", 'Data Entry'!$Ò$478)</f>
      </c>
      <c r="EQ478">
        <f>IF(ISBLANK('Data Entry'!$Ó$478), "", 'Data Entry'!$Ó$478)</f>
      </c>
      <c r="ER478">
        <f>IF(ISBLANK('Data Entry'!$Ô$478), "", 'Data Entry'!$Ô$478)</f>
      </c>
      <c r="ES478">
        <f>IF(ISBLANK('Data Entry'!$Õ$478), "", 'Data Entry'!$Õ$478)</f>
      </c>
      <c r="ET478">
        <f>IF(ISBLANK('Data Entry'!$Ö$478), "", 'Data Entry'!$Ö$478)</f>
      </c>
      <c r="EU478">
        <f>IF(ISBLANK('Data Entry'!$×$478), "", 'Data Entry'!$×$478)</f>
      </c>
      <c r="EV478">
        <f>IF(ISBLANK('Data Entry'!$Ø$478), "", 'Data Entry'!$Ø$478)</f>
      </c>
      <c r="EW478">
        <f>IF(ISBLANK('Data Entry'!$Ù$478), "", 'Data Entry'!$Ù$478)</f>
      </c>
      <c r="EX478">
        <f>IF(ISBLANK('Data Entry'!$Ú$478), "", 'Data Entry'!$Ú$478)</f>
      </c>
      <c r="EY478">
        <f>IF(ISBLANK('Data Entry'!$Û$478), "", 'Data Entry'!$Û$478)</f>
      </c>
      <c r="EZ478">
        <f>IF(ISBLANK('Data Entry'!$Ü$478), "", 'Data Entry'!$Ü$478)</f>
      </c>
      <c r="FA478">
        <f>IF(ISBLANK('Data Entry'!$Ý$478), "", 'Data Entry'!$Ý$478)</f>
      </c>
      <c r="FB478">
        <f>IF(ISBLANK('Data Entry'!$Þ$478), "", 'Data Entry'!$Þ$478)</f>
      </c>
      <c r="FC478">
        <f>IF(ISBLANK('Data Entry'!$ß$478), "", 'Data Entry'!$ß$478)</f>
      </c>
      <c r="FD478">
        <f>IF(ISBLANK('Data Entry'!$à$478), "", 'Data Entry'!$à$478)</f>
      </c>
      <c r="FE478">
        <f>IF(ISBLANK('Data Entry'!$á$478), "", 'Data Entry'!$á$478)</f>
      </c>
      <c r="FF478">
        <f>IF(ISBLANK('Data Entry'!$â$478), "", 'Data Entry'!$â$478)</f>
      </c>
      <c r="FG478">
        <f>IF(ISBLANK('Data Entry'!$ã$478), "", 'Data Entry'!$ã$478)</f>
      </c>
      <c r="FH478">
        <f>IF(ISBLANK('Data Entry'!$ä$478), "", 'Data Entry'!$ä$478)</f>
      </c>
      <c r="FI478">
        <f>IF(ISBLANK('Data Entry'!$å$478), "", 'Data Entry'!$å$478)</f>
      </c>
      <c r="FJ478">
        <f>IF(ISBLANK('Data Entry'!$æ$478), "", 'Data Entry'!$æ$478)</f>
      </c>
      <c r="FK478">
        <f>IF(ISBLANK('Data Entry'!$ç$478), "", 'Data Entry'!$ç$478)</f>
      </c>
      <c r="FL478">
        <f>IF(ISBLANK('Data Entry'!$è$478), "", 'Data Entry'!$è$478)</f>
      </c>
      <c r="FM478">
        <f>IF(ISBLANK('Data Entry'!$é$478), "", 'Data Entry'!$é$478)</f>
      </c>
      <c r="FN478">
        <f>IF(ISBLANK('Data Entry'!$ê$478), "", 'Data Entry'!$ê$478)</f>
      </c>
      <c r="FO478">
        <f>IF(ISBLANK('Data Entry'!$ë$478), "", 'Data Entry'!$ë$478)</f>
      </c>
      <c r="FP478">
        <f>IF(ISBLANK('Data Entry'!$ì$478), "", 'Data Entry'!$ì$478)</f>
      </c>
      <c r="FQ478">
        <f>IF(ISBLANK('Data Entry'!$í$478), "", 'Data Entry'!$í$478)</f>
      </c>
      <c r="FR478">
        <f>IF(ISBLANK('Data Entry'!$î$478), "", 'Data Entry'!$î$478)</f>
      </c>
      <c r="FS478">
        <f>IF(ISBLANK('Data Entry'!$ï$478), "", 'Data Entry'!$ï$478)</f>
      </c>
      <c r="FT478">
        <f>IF(ISBLANK('Data Entry'!$ð$478), "", 'Data Entry'!$ð$478)</f>
      </c>
      <c r="FU478">
        <f>IF(ISBLANK('Data Entry'!$ñ$478), "", 'Data Entry'!$ñ$478)</f>
      </c>
      <c r="FV478">
        <f>IF(ISBLANK('Data Entry'!$ò$478), "", 'Data Entry'!$ò$478)</f>
      </c>
      <c r="FW478">
        <f>IF(ISBLANK('Data Entry'!$ó$478), "", 'Data Entry'!$ó$478)</f>
      </c>
      <c r="FX478">
        <f>IF(ISBLANK('Data Entry'!$ô$478), "", 'Data Entry'!$ô$478)</f>
      </c>
      <c r="FY478">
        <f>IF(ISBLANK('Data Entry'!$õ$478), "", 'Data Entry'!$õ$478)</f>
      </c>
      <c r="FZ478">
        <f>IF(ISBLANK('Data Entry'!$ö$478), "", 'Data Entry'!$ö$478)</f>
      </c>
      <c r="GA478">
        <f>IF(ISBLANK('Data Entry'!$÷$478), "", 'Data Entry'!$÷$478)</f>
      </c>
      <c r="GB478">
        <f>IF(ISBLANK('Data Entry'!$ø$478), "", 'Data Entry'!$ø$478)</f>
      </c>
      <c r="GC478">
        <f>IF(ISBLANK('Data Entry'!$ù$478), "", 'Data Entry'!$ù$478)</f>
      </c>
      <c r="GD478">
        <f>IF(ISBLANK('Data Entry'!$ú$478), "", 'Data Entry'!$ú$478)</f>
      </c>
      <c r="GE478">
        <f>IF(ISBLANK('Data Entry'!$û$478), "", 'Data Entry'!$û$478)</f>
      </c>
      <c r="GF478">
        <f>IF(ISBLANK('Data Entry'!$ü$478), "", 'Data Entry'!$ü$478)</f>
      </c>
      <c r="GG478">
        <f>IF(ISBLANK('Data Entry'!$ý$478), "", 'Data Entry'!$ý$478)</f>
      </c>
      <c r="GH478">
        <f>IF(ISBLANK('Data Entry'!$þ$478), "", 'Data Entry'!$þ$478)</f>
      </c>
      <c r="GI478">
        <f>IF(ISBLANK('Data Entry'!$ÿ$478), "", 'Data Entry'!$ÿ$478)</f>
      </c>
      <c r="GJ478">
        <f>IF(ISBLANK('Data Entry'!$Ā$478), "", 'Data Entry'!$Ā$478)</f>
      </c>
      <c r="GK478">
        <f>IF(ISBLANK('Data Entry'!$ā$478), "", 'Data Entry'!$ā$478)</f>
      </c>
      <c r="GL478">
        <f>IF(ISBLANK('Data Entry'!$Ă$478), "", 'Data Entry'!$Ă$478)</f>
      </c>
      <c r="GM478">
        <f>IF(ISBLANK('Data Entry'!$ă$478), "", 'Data Entry'!$ă$478)</f>
      </c>
      <c r="GN478">
        <f>IF(ISBLANK('Data Entry'!$Ą$478), "", 'Data Entry'!$Ą$478)</f>
      </c>
      <c r="GO478">
        <f>IF(ISBLANK('Data Entry'!$ą$478), "", 'Data Entry'!$ą$478)</f>
      </c>
      <c r="GP478">
        <f>IF(ISBLANK('Data Entry'!$Ć$478), "", 'Data Entry'!$Ć$478)</f>
      </c>
      <c r="GQ478">
        <f>IF(ISBLANK('Data Entry'!$ć$478), "", 'Data Entry'!$ć$478)</f>
      </c>
      <c r="GR478">
        <f>IF(ISBLANK('Data Entry'!$Ĉ$478), "", 'Data Entry'!$Ĉ$478)</f>
      </c>
      <c r="GS478">
        <f>IF(ISBLANK('Data Entry'!$ĉ$478), "", 'Data Entry'!$ĉ$478)</f>
      </c>
      <c r="GT478">
        <f>IF(ISBLANK('Data Entry'!$Ċ$478), "", 'Data Entry'!$Ċ$478)</f>
      </c>
      <c r="GU478">
        <f>IF(ISBLANK('Data Entry'!$ċ$478), "", 'Data Entry'!$ċ$478)</f>
      </c>
      <c r="GV478">
        <f>IF(ISBLANK('Data Entry'!$Č$478), "", 'Data Entry'!$Č$478)</f>
      </c>
      <c r="GW478">
        <f>IF(ISBLANK('Data Entry'!$č$478), "", 'Data Entry'!$č$478)</f>
      </c>
      <c r="GX478">
        <f>IF(ISBLANK('Data Entry'!$Ď$478), "", 'Data Entry'!$Ď$478)</f>
      </c>
      <c r="GY478">
        <f>IF(ISBLANK('Data Entry'!$ď$478), "", 'Data Entry'!$ď$478)</f>
      </c>
      <c r="GZ478">
        <f>IF(ISBLANK('Data Entry'!$Đ$478), "", 'Data Entry'!$Đ$478)</f>
      </c>
      <c r="HA478">
        <f>IF(ISBLANK('Data Entry'!$đ$478), "", 'Data Entry'!$đ$478)</f>
      </c>
      <c r="HB478">
        <f>IF(ISBLANK('Data Entry'!$Ē$478), "", 'Data Entry'!$Ē$478)</f>
      </c>
      <c r="HC478">
        <f>IF(ISBLANK('Data Entry'!$ē$478), "", 'Data Entry'!$ē$478)</f>
      </c>
      <c r="HD478">
        <f>IF(ISBLANK('Data Entry'!$Ĕ$478), "", 'Data Entry'!$Ĕ$478)</f>
      </c>
      <c r="HE478">
        <f>IF(ISBLANK('Data Entry'!$ĕ$478), "", 'Data Entry'!$ĕ$478)</f>
      </c>
      <c r="HF478">
        <f>IF(ISBLANK('Data Entry'!$Ė$478), "", 'Data Entry'!$Ė$478)</f>
      </c>
      <c r="HG478">
        <f>IF(ISBLANK('Data Entry'!$ė$478), "", 'Data Entry'!$ė$478)</f>
      </c>
      <c r="HH478">
        <f>IF(ISBLANK('Data Entry'!$Ę$478), "", 'Data Entry'!$Ę$478)</f>
      </c>
      <c r="HI478">
        <f>IF(ISBLANK('Data Entry'!$ę$478), "", 'Data Entry'!$ę$478)</f>
      </c>
      <c r="HJ478">
        <f>IF(ISBLANK('Data Entry'!$Ě$478), "", 'Data Entry'!$Ě$478)</f>
      </c>
      <c r="HK478">
        <f>IF(ISBLANK('Data Entry'!$ě$478), "", 'Data Entry'!$ě$478)</f>
      </c>
      <c r="HL478">
        <f>IF(ISBLANK('Data Entry'!$Ĝ$478), "", 'Data Entry'!$Ĝ$478)</f>
      </c>
      <c r="HM478">
        <f>IF(ISBLANK('Data Entry'!$ĝ$478), "", 'Data Entry'!$ĝ$478)</f>
      </c>
      <c r="HN478">
        <f>IF(ISBLANK('Data Entry'!$Ğ$478), "", 'Data Entry'!$Ğ$478)</f>
      </c>
      <c r="HO478">
        <f>IF(ISBLANK('Data Entry'!$ğ$478), "", 'Data Entry'!$ğ$478)</f>
      </c>
      <c r="HP478">
        <f>IF(ISBLANK('Data Entry'!$Ġ$478), "", 'Data Entry'!$Ġ$478)</f>
      </c>
      <c r="HQ478">
        <f>IF(ISBLANK('Data Entry'!$ġ$478), "", 'Data Entry'!$ġ$478)</f>
      </c>
      <c r="HR478">
        <f>IF(ISBLANK('Data Entry'!$Ģ$478), "", 'Data Entry'!$Ģ$478)</f>
      </c>
      <c r="HS478">
        <f>IF(ISBLANK('Data Entry'!$ģ$478), "", 'Data Entry'!$ģ$478)</f>
      </c>
      <c r="HT478">
        <f>IF(ISBLANK('Data Entry'!$Ĥ$478), "", 'Data Entry'!$Ĥ$478)</f>
      </c>
      <c r="HU478">
        <f>IF(ISBLANK('Data Entry'!$ĥ$478), "", 'Data Entry'!$ĥ$478)</f>
      </c>
      <c r="HV478">
        <f>IF(ISBLANK('Data Entry'!$Ħ$478), "", 'Data Entry'!$Ħ$478)</f>
      </c>
      <c r="HW478">
        <f>IF(ISBLANK('Data Entry'!$ħ$478), "", 'Data Entry'!$ħ$478)</f>
      </c>
      <c r="HX478">
        <f>IF(ISBLANK('Data Entry'!$Ĩ$478), "", 'Data Entry'!$Ĩ$478)</f>
      </c>
      <c r="HY478">
        <f>IF(ISBLANK('Data Entry'!$ĩ$478), "", 'Data Entry'!$ĩ$478)</f>
      </c>
      <c r="HZ478">
        <f>IF(ISBLANK('Data Entry'!$Ī$478), "", 'Data Entry'!$Ī$478)</f>
      </c>
      <c r="IA478">
        <f>IF(ISBLANK('Data Entry'!$ī$478), "", 'Data Entry'!$ī$478)</f>
      </c>
      <c r="IB478">
        <f>IF(ISBLANK('Data Entry'!$Ĭ$478), "", 'Data Entry'!$Ĭ$478)</f>
      </c>
      <c r="IC478">
        <f>IF(ISBLANK('Data Entry'!$ĭ$478), "", 'Data Entry'!$ĭ$478)</f>
      </c>
      <c r="ID478">
        <f>IF(ISBLANK('Data Entry'!$Į$478), "", 'Data Entry'!$Į$478)</f>
      </c>
      <c r="IE478">
        <f>IF(ISBLANK('Data Entry'!$į$478), "", 'Data Entry'!$į$478)</f>
      </c>
      <c r="IF478">
        <f>IF(ISBLANK('Data Entry'!$İ$478), "", 'Data Entry'!$İ$478)</f>
      </c>
      <c r="IG478">
        <f>IF(ISBLANK('Data Entry'!$ı$478), "", 'Data Entry'!$ı$478)</f>
      </c>
      <c r="IH478">
        <f>IF(ISBLANK('Data Entry'!$Ĳ$478), "", 'Data Entry'!$Ĳ$478)</f>
      </c>
      <c r="II478">
        <f>IF(ISBLANK('Data Entry'!$ĳ$478), "", 'Data Entry'!$ĳ$478)</f>
      </c>
      <c r="IJ478">
        <f>IF(ISBLANK('Data Entry'!$Ĵ$478), "", 'Data Entry'!$Ĵ$478)</f>
      </c>
      <c r="IK478">
        <f>IF(ISBLANK('Data Entry'!$ĵ$478), "", 'Data Entry'!$ĵ$478)</f>
      </c>
      <c r="IL478">
        <f>IF(ISBLANK('Data Entry'!$Ķ$478), "", 'Data Entry'!$Ķ$478)</f>
      </c>
      <c r="IM478">
        <f>IF(ISBLANK('Data Entry'!$ķ$478), "", 'Data Entry'!$ķ$478)</f>
      </c>
      <c r="IN478">
        <f>IF(ISBLANK('Data Entry'!$ĸ$478), "", 'Data Entry'!$ĸ$478)</f>
      </c>
      <c r="IO478">
        <f>IF(ISBLANK('Data Entry'!$Ĺ$478), "", 'Data Entry'!$Ĺ$478)</f>
      </c>
      <c r="IP478">
        <f>IF(ISBLANK('Data Entry'!$ĺ$478), "", 'Data Entry'!$ĺ$478)</f>
      </c>
      <c r="IQ478">
        <f>IF(ISBLANK('Data Entry'!$Ļ$478), "", 'Data Entry'!$Ļ$478)</f>
      </c>
      <c r="IR478">
        <f>IF(ISBLANK('Data Entry'!$ļ$478), "", 'Data Entry'!$ļ$478)</f>
      </c>
      <c r="IS478">
        <f>IF(ISBLANK('Data Entry'!$Ľ$478), "", 'Data Entry'!$Ľ$478)</f>
      </c>
      <c r="IT478">
        <f>IF(ISBLANK('Data Entry'!$ľ$478), "", 'Data Entry'!$ľ$478)</f>
      </c>
    </row>
    <row r="479" spans="1:254" x14ac:dyDescent="0.25">
      <c r="A479">
        <f>IF(ISBLANK('Data Entry'!$A$479), "", 'Data Entry'!$A$479)</f>
      </c>
      <c r="B479">
        <f>IF(ISBLANK('Data Entry'!$B$479), "", 'Data Entry'!$B$479)</f>
      </c>
      <c r="C479">
        <f>IF(ISBLANK('Data Entry'!$C$479), "", 'Data Entry'!$C$479)</f>
      </c>
      <c r="D479">
        <f>IF(ISBLANK('Data Entry'!$D$479), "", 'Data Entry'!$D$479)</f>
      </c>
      <c r="E479">
        <f>IF(ISBLANK('Data Entry'!$E$479), "", 'Data Entry'!$E$479)</f>
      </c>
      <c r="F479">
        <f>IF(ISBLANK('Data Entry'!$F$479), "", 'Data Entry'!$F$479)</f>
      </c>
      <c r="G479">
        <f>IF(ISBLANK('Data Entry'!$G$479), "", 'Data Entry'!$G$479)</f>
      </c>
      <c r="H479">
        <f>IF(ISBLANK('Data Entry'!$H$479), "", 'Data Entry'!$H$479)</f>
      </c>
      <c r="I479">
        <f>IF(ISBLANK('Data Entry'!$I$479), "", 'Data Entry'!$I$479)</f>
      </c>
      <c r="J479">
        <f>IF(ISBLANK('Data Entry'!$J$479), "", 'Data Entry'!$J$479)</f>
      </c>
      <c r="K479">
        <f>IF(ISBLANK('Data Entry'!$K$479), "", 'Data Entry'!$K$479)</f>
      </c>
      <c r="L479">
        <f>IF(ISBLANK('Data Entry'!$L$479), "", 'Data Entry'!$L$479)</f>
      </c>
      <c r="M479">
        <f>IF(ISBLANK('Data Entry'!$M$479), "", 'Data Entry'!$M$479)</f>
      </c>
      <c r="N479">
        <f>IF(ISBLANK('Data Entry'!$N$479), "", 'Data Entry'!$N$479)</f>
      </c>
      <c r="O479">
        <f>IF(ISBLANK('Data Entry'!$O$479), "", 'Data Entry'!$O$479)</f>
      </c>
      <c r="P479">
        <f>IF(ISBLANK('Data Entry'!$P$479), "", 'Data Entry'!$P$479)</f>
      </c>
      <c r="Q479">
        <f>IF(ISBLANK('Data Entry'!$Q$479), "", 'Data Entry'!$Q$479)</f>
      </c>
      <c r="R479">
        <f>IF(ISBLANK('Data Entry'!$R$479), "", 'Data Entry'!$R$479)</f>
      </c>
      <c r="S479">
        <f>IF(ISBLANK('Data Entry'!$S$479), "", 'Data Entry'!$S$479)</f>
      </c>
      <c r="T479">
        <f>IF(ISBLANK('Data Entry'!$T$479), "", 'Data Entry'!$T$479)</f>
      </c>
      <c r="U479">
        <f>IF(ISBLANK('Data Entry'!$U$479), "", 'Data Entry'!$U$479)</f>
      </c>
      <c r="V479">
        <f>IF(ISBLANK('Data Entry'!$V$479), "", 'Data Entry'!$V$479)</f>
      </c>
      <c r="W479">
        <f>IF(ISBLANK('Data Entry'!$W$479), "", 'Data Entry'!$W$479)</f>
      </c>
      <c r="X479">
        <f>IF(ISBLANK('Data Entry'!$X$479), "", 'Data Entry'!$X$479)</f>
      </c>
      <c r="Y479">
        <f>IF(ISBLANK('Data Entry'!$Y$479), "", 'Data Entry'!$Y$479)</f>
      </c>
      <c r="Z479">
        <f>IF(ISBLANK('Data Entry'!$Z$479), "", 'Data Entry'!$Z$479)</f>
      </c>
      <c r="AA479">
        <f>IF(ISBLANK('Data Entry'!$[$479), "", 'Data Entry'!$[$479)</f>
      </c>
      <c r="AB479">
        <f>IF(ISBLANK('Data Entry'!$\$479), "", 'Data Entry'!$\$479)</f>
      </c>
      <c r="AC479">
        <f>IF(ISBLANK('Data Entry'!$]$479), "", 'Data Entry'!$]$479)</f>
      </c>
      <c r="AD479">
        <f>IF(ISBLANK('Data Entry'!$^$479), "", 'Data Entry'!$^$479)</f>
      </c>
      <c r="AE479">
        <f>IF(ISBLANK('Data Entry'!$_$479), "", 'Data Entry'!$_$479)</f>
      </c>
      <c r="AF479">
        <f>IF(ISBLANK('Data Entry'!$`$479), "", 'Data Entry'!$`$479)</f>
      </c>
      <c r="AG479">
        <f>IF(ISBLANK('Data Entry'!$a$479), "", 'Data Entry'!$a$479)</f>
      </c>
      <c r="AH479">
        <f>IF(ISBLANK('Data Entry'!$b$479), "", 'Data Entry'!$b$479)</f>
      </c>
      <c r="AI479">
        <f>IF(ISBLANK('Data Entry'!$c$479), "", 'Data Entry'!$c$479)</f>
      </c>
      <c r="AJ479">
        <f>IF(ISBLANK('Data Entry'!$d$479), "", 'Data Entry'!$d$479)</f>
      </c>
      <c r="AK479">
        <f>IF(ISBLANK('Data Entry'!$e$479), "", 'Data Entry'!$e$479)</f>
      </c>
      <c r="AL479">
        <f>IF(ISBLANK('Data Entry'!$f$479), "", 'Data Entry'!$f$479)</f>
      </c>
      <c r="AM479">
        <f>IF(ISBLANK('Data Entry'!$g$479), "", 'Data Entry'!$g$479)</f>
      </c>
      <c r="AN479">
        <f>IF(ISBLANK('Data Entry'!$h$479), "", 'Data Entry'!$h$479)</f>
      </c>
      <c r="AO479">
        <f>IF(ISBLANK('Data Entry'!$i$479), "", 'Data Entry'!$i$479)</f>
      </c>
      <c r="AP479">
        <f>IF(ISBLANK('Data Entry'!$j$479), "", 'Data Entry'!$j$479)</f>
      </c>
      <c r="AQ479">
        <f>IF(ISBLANK('Data Entry'!$k$479), "", 'Data Entry'!$k$479)</f>
      </c>
      <c r="AR479">
        <f>IF(ISBLANK('Data Entry'!$l$479), "", 'Data Entry'!$l$479)</f>
      </c>
      <c r="AS479">
        <f>IF(ISBLANK('Data Entry'!$m$479), "", 'Data Entry'!$m$479)</f>
      </c>
      <c r="AT479">
        <f>IF(ISBLANK('Data Entry'!$n$479), "", 'Data Entry'!$n$479)</f>
      </c>
      <c r="AU479">
        <f>IF(ISBLANK('Data Entry'!$o$479), "", 'Data Entry'!$o$479)</f>
      </c>
      <c r="AV479">
        <f>IF(ISBLANK('Data Entry'!$p$479), "", 'Data Entry'!$p$479)</f>
      </c>
      <c r="AW479">
        <f>IF(ISBLANK('Data Entry'!$q$479), "", 'Data Entry'!$q$479)</f>
      </c>
      <c r="AX479">
        <f>IF(ISBLANK('Data Entry'!$r$479), "", 'Data Entry'!$r$479)</f>
      </c>
      <c r="AY479">
        <f>IF(ISBLANK('Data Entry'!$s$479), "", 'Data Entry'!$s$479)</f>
      </c>
      <c r="AZ479">
        <f>IF(ISBLANK('Data Entry'!$t$479), "", 'Data Entry'!$t$479)</f>
      </c>
      <c r="BA479">
        <f>IF(ISBLANK('Data Entry'!$u$479), "", 'Data Entry'!$u$479)</f>
      </c>
      <c r="BB479">
        <f>IF(ISBLANK('Data Entry'!$v$479), "", 'Data Entry'!$v$479)</f>
      </c>
      <c r="BC479">
        <f>IF(ISBLANK('Data Entry'!$w$479), "", 'Data Entry'!$w$479)</f>
      </c>
      <c r="BD479">
        <f>IF(ISBLANK('Data Entry'!$x$479), "", 'Data Entry'!$x$479)</f>
      </c>
      <c r="BE479">
        <f>IF(ISBLANK('Data Entry'!$y$479), "", 'Data Entry'!$y$479)</f>
      </c>
      <c r="BF479">
        <f>IF(ISBLANK('Data Entry'!$z$479), "", 'Data Entry'!$z$479)</f>
      </c>
      <c r="BG479">
        <f>IF(ISBLANK('Data Entry'!${$479), "", 'Data Entry'!${$479)</f>
      </c>
      <c r="BH479">
        <f>IF(ISBLANK('Data Entry'!$|$479), "", 'Data Entry'!$|$479)</f>
      </c>
      <c r="BI479">
        <f>IF(ISBLANK('Data Entry'!$}$479), "", 'Data Entry'!$}$479)</f>
      </c>
      <c r="BJ479">
        <f>IF(ISBLANK('Data Entry'!$~$479), "", 'Data Entry'!$~$479)</f>
      </c>
      <c r="BK479">
        <f>IF(ISBLANK('Data Entry'!$$479), "", 'Data Entry'!$$479)</f>
      </c>
      <c r="BL479">
        <f>IF(ISBLANK('Data Entry'!$$479), "", 'Data Entry'!$$479)</f>
      </c>
      <c r="BM479">
        <f>IF(ISBLANK('Data Entry'!$$479), "", 'Data Entry'!$$479)</f>
      </c>
      <c r="BN479">
        <f>IF(ISBLANK('Data Entry'!$$479), "", 'Data Entry'!$$479)</f>
      </c>
      <c r="BO479">
        <f>IF(ISBLANK('Data Entry'!$$479), "", 'Data Entry'!$$479)</f>
      </c>
      <c r="BP479">
        <f>IF(ISBLANK('Data Entry'!$$479), "", 'Data Entry'!$$479)</f>
      </c>
      <c r="BQ479">
        <f>IF(ISBLANK('Data Entry'!$$479), "", 'Data Entry'!$$479)</f>
      </c>
      <c r="BR479">
        <f>IF(ISBLANK('Data Entry'!$$479), "", 'Data Entry'!$$479)</f>
      </c>
      <c r="BS479">
        <f>IF(ISBLANK('Data Entry'!$$479), "", 'Data Entry'!$$479)</f>
      </c>
      <c r="BT479">
        <f>IF(ISBLANK('Data Entry'!$$479), "", 'Data Entry'!$$479)</f>
      </c>
      <c r="BU479">
        <f>IF(ISBLANK('Data Entry'!$$479), "", 'Data Entry'!$$479)</f>
      </c>
      <c r="BV479">
        <f>IF(ISBLANK('Data Entry'!$$479), "", 'Data Entry'!$$479)</f>
      </c>
      <c r="BW479">
        <f>IF(ISBLANK('Data Entry'!$$479), "", 'Data Entry'!$$479)</f>
      </c>
      <c r="BX479">
        <f>IF(ISBLANK('Data Entry'!$$479), "", 'Data Entry'!$$479)</f>
      </c>
      <c r="BY479">
        <f>IF(ISBLANK('Data Entry'!$$479), "", 'Data Entry'!$$479)</f>
      </c>
      <c r="BZ479">
        <f>IF(ISBLANK('Data Entry'!$$479), "", 'Data Entry'!$$479)</f>
      </c>
      <c r="CA479">
        <f>IF(ISBLANK('Data Entry'!$$479), "", 'Data Entry'!$$479)</f>
      </c>
      <c r="CB479">
        <f>IF(ISBLANK('Data Entry'!$$479), "", 'Data Entry'!$$479)</f>
      </c>
      <c r="CC479">
        <f>IF(ISBLANK('Data Entry'!$$479), "", 'Data Entry'!$$479)</f>
      </c>
      <c r="CD479">
        <f>IF(ISBLANK('Data Entry'!$$479), "", 'Data Entry'!$$479)</f>
      </c>
      <c r="CE479">
        <f>IF(ISBLANK('Data Entry'!$$479), "", 'Data Entry'!$$479)</f>
      </c>
      <c r="CF479">
        <f>IF(ISBLANK('Data Entry'!$$479), "", 'Data Entry'!$$479)</f>
      </c>
      <c r="CG479">
        <f>IF(ISBLANK('Data Entry'!$$479), "", 'Data Entry'!$$479)</f>
      </c>
      <c r="CH479">
        <f>IF(ISBLANK('Data Entry'!$$479), "", 'Data Entry'!$$479)</f>
      </c>
      <c r="CI479">
        <f>IF(ISBLANK('Data Entry'!$$479), "", 'Data Entry'!$$479)</f>
      </c>
      <c r="CJ479">
        <f>IF(ISBLANK('Data Entry'!$$479), "", 'Data Entry'!$$479)</f>
      </c>
      <c r="CK479">
        <f>IF(ISBLANK('Data Entry'!$$479), "", 'Data Entry'!$$479)</f>
      </c>
      <c r="CL479">
        <f>IF(ISBLANK('Data Entry'!$$479), "", 'Data Entry'!$$479)</f>
      </c>
      <c r="CM479">
        <f>IF(ISBLANK('Data Entry'!$$479), "", 'Data Entry'!$$479)</f>
      </c>
      <c r="CN479">
        <f>IF(ISBLANK('Data Entry'!$$479), "", 'Data Entry'!$$479)</f>
      </c>
      <c r="CO479">
        <f>IF(ISBLANK('Data Entry'!$$479), "", 'Data Entry'!$$479)</f>
      </c>
      <c r="CP479">
        <f>IF(ISBLANK('Data Entry'!$$479), "", 'Data Entry'!$$479)</f>
      </c>
      <c r="CQ479">
        <f>IF(ISBLANK('Data Entry'!$$479), "", 'Data Entry'!$$479)</f>
      </c>
      <c r="CR479">
        <f>IF(ISBLANK('Data Entry'!$ $479), "", 'Data Entry'!$ $479)</f>
      </c>
      <c r="CS479">
        <f>IF(ISBLANK('Data Entry'!$¡$479), "", 'Data Entry'!$¡$479)</f>
      </c>
      <c r="CT479">
        <f>IF(ISBLANK('Data Entry'!$¢$479), "", 'Data Entry'!$¢$479)</f>
      </c>
      <c r="CU479">
        <f>IF(ISBLANK('Data Entry'!$£$479), "", 'Data Entry'!$£$479)</f>
      </c>
      <c r="CV479">
        <f>IF(ISBLANK('Data Entry'!$¤$479), "", 'Data Entry'!$¤$479)</f>
      </c>
      <c r="CW479">
        <f>IF(ISBLANK('Data Entry'!$¥$479), "", 'Data Entry'!$¥$479)</f>
      </c>
      <c r="CX479">
        <f>IF(ISBLANK('Data Entry'!$¦$479), "", 'Data Entry'!$¦$479)</f>
      </c>
      <c r="CY479">
        <f>IF(ISBLANK('Data Entry'!$§$479), "", 'Data Entry'!$§$479)</f>
      </c>
      <c r="CZ479">
        <f>IF(ISBLANK('Data Entry'!$¨$479), "", 'Data Entry'!$¨$479)</f>
      </c>
      <c r="DA479">
        <f>IF(ISBLANK('Data Entry'!$©$479), "", 'Data Entry'!$©$479)</f>
      </c>
      <c r="DB479">
        <f>IF(ISBLANK('Data Entry'!$ª$479), "", 'Data Entry'!$ª$479)</f>
      </c>
      <c r="DC479">
        <f>IF(ISBLANK('Data Entry'!$«$479), "", 'Data Entry'!$«$479)</f>
      </c>
      <c r="DD479">
        <f>IF(ISBLANK('Data Entry'!$¬$479), "", 'Data Entry'!$¬$479)</f>
      </c>
      <c r="DE479">
        <f>IF(ISBLANK('Data Entry'!$­$479), "", 'Data Entry'!$­$479)</f>
      </c>
      <c r="DF479">
        <f>IF(ISBLANK('Data Entry'!$®$479), "", 'Data Entry'!$®$479)</f>
      </c>
      <c r="DG479">
        <f>IF(ISBLANK('Data Entry'!$¯$479), "", 'Data Entry'!$¯$479)</f>
      </c>
      <c r="DH479">
        <f>IF(ISBLANK('Data Entry'!$°$479), "", 'Data Entry'!$°$479)</f>
      </c>
      <c r="DI479">
        <f>IF(ISBLANK('Data Entry'!$±$479), "", 'Data Entry'!$±$479)</f>
      </c>
      <c r="DJ479">
        <f>IF(ISBLANK('Data Entry'!$²$479), "", 'Data Entry'!$²$479)</f>
      </c>
      <c r="DK479">
        <f>IF(ISBLANK('Data Entry'!$³$479), "", 'Data Entry'!$³$479)</f>
      </c>
      <c r="DL479">
        <f>IF(ISBLANK('Data Entry'!$´$479), "", 'Data Entry'!$´$479)</f>
      </c>
      <c r="DM479">
        <f>IF(ISBLANK('Data Entry'!$µ$479), "", 'Data Entry'!$µ$479)</f>
      </c>
      <c r="DN479">
        <f>IF(ISBLANK('Data Entry'!$¶$479), "", 'Data Entry'!$¶$479)</f>
      </c>
      <c r="DO479">
        <f>IF(ISBLANK('Data Entry'!$·$479), "", 'Data Entry'!$·$479)</f>
      </c>
      <c r="DP479">
        <f>IF(ISBLANK('Data Entry'!$¸$479), "", 'Data Entry'!$¸$479)</f>
      </c>
      <c r="DQ479">
        <f>IF(ISBLANK('Data Entry'!$¹$479), "", 'Data Entry'!$¹$479)</f>
      </c>
      <c r="DR479">
        <f>IF(ISBLANK('Data Entry'!$º$479), "", 'Data Entry'!$º$479)</f>
      </c>
      <c r="DS479">
        <f>IF(ISBLANK('Data Entry'!$»$479), "", 'Data Entry'!$»$479)</f>
      </c>
      <c r="DT479">
        <f>IF(ISBLANK('Data Entry'!$¼$479), "", 'Data Entry'!$¼$479)</f>
      </c>
      <c r="DU479">
        <f>IF(ISBLANK('Data Entry'!$½$479), "", 'Data Entry'!$½$479)</f>
      </c>
      <c r="DV479">
        <f>IF(ISBLANK('Data Entry'!$¾$479), "", 'Data Entry'!$¾$479)</f>
      </c>
      <c r="DW479">
        <f>IF(ISBLANK('Data Entry'!$¿$479), "", 'Data Entry'!$¿$479)</f>
      </c>
      <c r="DX479">
        <f>IF(ISBLANK('Data Entry'!$À$479), "", 'Data Entry'!$À$479)</f>
      </c>
      <c r="DY479">
        <f>IF(ISBLANK('Data Entry'!$Á$479), "", 'Data Entry'!$Á$479)</f>
      </c>
      <c r="DZ479">
        <f>IF(ISBLANK('Data Entry'!$Â$479), "", 'Data Entry'!$Â$479)</f>
      </c>
      <c r="EA479">
        <f>IF(ISBLANK('Data Entry'!$Ã$479), "", 'Data Entry'!$Ã$479)</f>
      </c>
      <c r="EB479">
        <f>IF(ISBLANK('Data Entry'!$Ä$479), "", 'Data Entry'!$Ä$479)</f>
      </c>
      <c r="EC479">
        <f>IF(ISBLANK('Data Entry'!$Å$479), "", 'Data Entry'!$Å$479)</f>
      </c>
      <c r="ED479">
        <f>IF(ISBLANK('Data Entry'!$Æ$479), "", 'Data Entry'!$Æ$479)</f>
      </c>
      <c r="EE479">
        <f>IF(ISBLANK('Data Entry'!$Ç$479), "", 'Data Entry'!$Ç$479)</f>
      </c>
      <c r="EF479">
        <f>IF(ISBLANK('Data Entry'!$È$479), "", 'Data Entry'!$È$479)</f>
      </c>
      <c r="EG479">
        <f>IF(ISBLANK('Data Entry'!$É$479), "", 'Data Entry'!$É$479)</f>
      </c>
      <c r="EH479">
        <f>IF(ISBLANK('Data Entry'!$Ê$479), "", 'Data Entry'!$Ê$479)</f>
      </c>
      <c r="EI479">
        <f>IF(ISBLANK('Data Entry'!$Ë$479), "", 'Data Entry'!$Ë$479)</f>
      </c>
      <c r="EJ479">
        <f>IF(ISBLANK('Data Entry'!$Ì$479), "", 'Data Entry'!$Ì$479)</f>
      </c>
      <c r="EK479">
        <f>IF(ISBLANK('Data Entry'!$Í$479), "", 'Data Entry'!$Í$479)</f>
      </c>
      <c r="EL479">
        <f>IF(ISBLANK('Data Entry'!$Î$479), "", 'Data Entry'!$Î$479)</f>
      </c>
      <c r="EM479">
        <f>IF(ISBLANK('Data Entry'!$Ï$479), "", 'Data Entry'!$Ï$479)</f>
      </c>
      <c r="EN479">
        <f>IF(ISBLANK('Data Entry'!$Ð$479), "", 'Data Entry'!$Ð$479)</f>
      </c>
      <c r="EO479">
        <f>IF(ISBLANK('Data Entry'!$Ñ$479), "", 'Data Entry'!$Ñ$479)</f>
      </c>
      <c r="EP479">
        <f>IF(ISBLANK('Data Entry'!$Ò$479), "", 'Data Entry'!$Ò$479)</f>
      </c>
      <c r="EQ479">
        <f>IF(ISBLANK('Data Entry'!$Ó$479), "", 'Data Entry'!$Ó$479)</f>
      </c>
      <c r="ER479">
        <f>IF(ISBLANK('Data Entry'!$Ô$479), "", 'Data Entry'!$Ô$479)</f>
      </c>
      <c r="ES479">
        <f>IF(ISBLANK('Data Entry'!$Õ$479), "", 'Data Entry'!$Õ$479)</f>
      </c>
      <c r="ET479">
        <f>IF(ISBLANK('Data Entry'!$Ö$479), "", 'Data Entry'!$Ö$479)</f>
      </c>
      <c r="EU479">
        <f>IF(ISBLANK('Data Entry'!$×$479), "", 'Data Entry'!$×$479)</f>
      </c>
      <c r="EV479">
        <f>IF(ISBLANK('Data Entry'!$Ø$479), "", 'Data Entry'!$Ø$479)</f>
      </c>
      <c r="EW479">
        <f>IF(ISBLANK('Data Entry'!$Ù$479), "", 'Data Entry'!$Ù$479)</f>
      </c>
      <c r="EX479">
        <f>IF(ISBLANK('Data Entry'!$Ú$479), "", 'Data Entry'!$Ú$479)</f>
      </c>
      <c r="EY479">
        <f>IF(ISBLANK('Data Entry'!$Û$479), "", 'Data Entry'!$Û$479)</f>
      </c>
      <c r="EZ479">
        <f>IF(ISBLANK('Data Entry'!$Ü$479), "", 'Data Entry'!$Ü$479)</f>
      </c>
      <c r="FA479">
        <f>IF(ISBLANK('Data Entry'!$Ý$479), "", 'Data Entry'!$Ý$479)</f>
      </c>
      <c r="FB479">
        <f>IF(ISBLANK('Data Entry'!$Þ$479), "", 'Data Entry'!$Þ$479)</f>
      </c>
      <c r="FC479">
        <f>IF(ISBLANK('Data Entry'!$ß$479), "", 'Data Entry'!$ß$479)</f>
      </c>
      <c r="FD479">
        <f>IF(ISBLANK('Data Entry'!$à$479), "", 'Data Entry'!$à$479)</f>
      </c>
      <c r="FE479">
        <f>IF(ISBLANK('Data Entry'!$á$479), "", 'Data Entry'!$á$479)</f>
      </c>
      <c r="FF479">
        <f>IF(ISBLANK('Data Entry'!$â$479), "", 'Data Entry'!$â$479)</f>
      </c>
      <c r="FG479">
        <f>IF(ISBLANK('Data Entry'!$ã$479), "", 'Data Entry'!$ã$479)</f>
      </c>
      <c r="FH479">
        <f>IF(ISBLANK('Data Entry'!$ä$479), "", 'Data Entry'!$ä$479)</f>
      </c>
      <c r="FI479">
        <f>IF(ISBLANK('Data Entry'!$å$479), "", 'Data Entry'!$å$479)</f>
      </c>
      <c r="FJ479">
        <f>IF(ISBLANK('Data Entry'!$æ$479), "", 'Data Entry'!$æ$479)</f>
      </c>
      <c r="FK479">
        <f>IF(ISBLANK('Data Entry'!$ç$479), "", 'Data Entry'!$ç$479)</f>
      </c>
      <c r="FL479">
        <f>IF(ISBLANK('Data Entry'!$è$479), "", 'Data Entry'!$è$479)</f>
      </c>
      <c r="FM479">
        <f>IF(ISBLANK('Data Entry'!$é$479), "", 'Data Entry'!$é$479)</f>
      </c>
      <c r="FN479">
        <f>IF(ISBLANK('Data Entry'!$ê$479), "", 'Data Entry'!$ê$479)</f>
      </c>
      <c r="FO479">
        <f>IF(ISBLANK('Data Entry'!$ë$479), "", 'Data Entry'!$ë$479)</f>
      </c>
      <c r="FP479">
        <f>IF(ISBLANK('Data Entry'!$ì$479), "", 'Data Entry'!$ì$479)</f>
      </c>
      <c r="FQ479">
        <f>IF(ISBLANK('Data Entry'!$í$479), "", 'Data Entry'!$í$479)</f>
      </c>
      <c r="FR479">
        <f>IF(ISBLANK('Data Entry'!$î$479), "", 'Data Entry'!$î$479)</f>
      </c>
      <c r="FS479">
        <f>IF(ISBLANK('Data Entry'!$ï$479), "", 'Data Entry'!$ï$479)</f>
      </c>
      <c r="FT479">
        <f>IF(ISBLANK('Data Entry'!$ð$479), "", 'Data Entry'!$ð$479)</f>
      </c>
      <c r="FU479">
        <f>IF(ISBLANK('Data Entry'!$ñ$479), "", 'Data Entry'!$ñ$479)</f>
      </c>
      <c r="FV479">
        <f>IF(ISBLANK('Data Entry'!$ò$479), "", 'Data Entry'!$ò$479)</f>
      </c>
      <c r="FW479">
        <f>IF(ISBLANK('Data Entry'!$ó$479), "", 'Data Entry'!$ó$479)</f>
      </c>
      <c r="FX479">
        <f>IF(ISBLANK('Data Entry'!$ô$479), "", 'Data Entry'!$ô$479)</f>
      </c>
      <c r="FY479">
        <f>IF(ISBLANK('Data Entry'!$õ$479), "", 'Data Entry'!$õ$479)</f>
      </c>
      <c r="FZ479">
        <f>IF(ISBLANK('Data Entry'!$ö$479), "", 'Data Entry'!$ö$479)</f>
      </c>
      <c r="GA479">
        <f>IF(ISBLANK('Data Entry'!$÷$479), "", 'Data Entry'!$÷$479)</f>
      </c>
      <c r="GB479">
        <f>IF(ISBLANK('Data Entry'!$ø$479), "", 'Data Entry'!$ø$479)</f>
      </c>
      <c r="GC479">
        <f>IF(ISBLANK('Data Entry'!$ù$479), "", 'Data Entry'!$ù$479)</f>
      </c>
      <c r="GD479">
        <f>IF(ISBLANK('Data Entry'!$ú$479), "", 'Data Entry'!$ú$479)</f>
      </c>
      <c r="GE479">
        <f>IF(ISBLANK('Data Entry'!$û$479), "", 'Data Entry'!$û$479)</f>
      </c>
      <c r="GF479">
        <f>IF(ISBLANK('Data Entry'!$ü$479), "", 'Data Entry'!$ü$479)</f>
      </c>
      <c r="GG479">
        <f>IF(ISBLANK('Data Entry'!$ý$479), "", 'Data Entry'!$ý$479)</f>
      </c>
      <c r="GH479">
        <f>IF(ISBLANK('Data Entry'!$þ$479), "", 'Data Entry'!$þ$479)</f>
      </c>
      <c r="GI479">
        <f>IF(ISBLANK('Data Entry'!$ÿ$479), "", 'Data Entry'!$ÿ$479)</f>
      </c>
      <c r="GJ479">
        <f>IF(ISBLANK('Data Entry'!$Ā$479), "", 'Data Entry'!$Ā$479)</f>
      </c>
      <c r="GK479">
        <f>IF(ISBLANK('Data Entry'!$ā$479), "", 'Data Entry'!$ā$479)</f>
      </c>
      <c r="GL479">
        <f>IF(ISBLANK('Data Entry'!$Ă$479), "", 'Data Entry'!$Ă$479)</f>
      </c>
      <c r="GM479">
        <f>IF(ISBLANK('Data Entry'!$ă$479), "", 'Data Entry'!$ă$479)</f>
      </c>
      <c r="GN479">
        <f>IF(ISBLANK('Data Entry'!$Ą$479), "", 'Data Entry'!$Ą$479)</f>
      </c>
      <c r="GO479">
        <f>IF(ISBLANK('Data Entry'!$ą$479), "", 'Data Entry'!$ą$479)</f>
      </c>
      <c r="GP479">
        <f>IF(ISBLANK('Data Entry'!$Ć$479), "", 'Data Entry'!$Ć$479)</f>
      </c>
      <c r="GQ479">
        <f>IF(ISBLANK('Data Entry'!$ć$479), "", 'Data Entry'!$ć$479)</f>
      </c>
      <c r="GR479">
        <f>IF(ISBLANK('Data Entry'!$Ĉ$479), "", 'Data Entry'!$Ĉ$479)</f>
      </c>
      <c r="GS479">
        <f>IF(ISBLANK('Data Entry'!$ĉ$479), "", 'Data Entry'!$ĉ$479)</f>
      </c>
      <c r="GT479">
        <f>IF(ISBLANK('Data Entry'!$Ċ$479), "", 'Data Entry'!$Ċ$479)</f>
      </c>
      <c r="GU479">
        <f>IF(ISBLANK('Data Entry'!$ċ$479), "", 'Data Entry'!$ċ$479)</f>
      </c>
      <c r="GV479">
        <f>IF(ISBLANK('Data Entry'!$Č$479), "", 'Data Entry'!$Č$479)</f>
      </c>
      <c r="GW479">
        <f>IF(ISBLANK('Data Entry'!$č$479), "", 'Data Entry'!$č$479)</f>
      </c>
      <c r="GX479">
        <f>IF(ISBLANK('Data Entry'!$Ď$479), "", 'Data Entry'!$Ď$479)</f>
      </c>
      <c r="GY479">
        <f>IF(ISBLANK('Data Entry'!$ď$479), "", 'Data Entry'!$ď$479)</f>
      </c>
      <c r="GZ479">
        <f>IF(ISBLANK('Data Entry'!$Đ$479), "", 'Data Entry'!$Đ$479)</f>
      </c>
      <c r="HA479">
        <f>IF(ISBLANK('Data Entry'!$đ$479), "", 'Data Entry'!$đ$479)</f>
      </c>
      <c r="HB479">
        <f>IF(ISBLANK('Data Entry'!$Ē$479), "", 'Data Entry'!$Ē$479)</f>
      </c>
      <c r="HC479">
        <f>IF(ISBLANK('Data Entry'!$ē$479), "", 'Data Entry'!$ē$479)</f>
      </c>
      <c r="HD479">
        <f>IF(ISBLANK('Data Entry'!$Ĕ$479), "", 'Data Entry'!$Ĕ$479)</f>
      </c>
      <c r="HE479">
        <f>IF(ISBLANK('Data Entry'!$ĕ$479), "", 'Data Entry'!$ĕ$479)</f>
      </c>
      <c r="HF479">
        <f>IF(ISBLANK('Data Entry'!$Ė$479), "", 'Data Entry'!$Ė$479)</f>
      </c>
      <c r="HG479">
        <f>IF(ISBLANK('Data Entry'!$ė$479), "", 'Data Entry'!$ė$479)</f>
      </c>
      <c r="HH479">
        <f>IF(ISBLANK('Data Entry'!$Ę$479), "", 'Data Entry'!$Ę$479)</f>
      </c>
      <c r="HI479">
        <f>IF(ISBLANK('Data Entry'!$ę$479), "", 'Data Entry'!$ę$479)</f>
      </c>
      <c r="HJ479">
        <f>IF(ISBLANK('Data Entry'!$Ě$479), "", 'Data Entry'!$Ě$479)</f>
      </c>
      <c r="HK479">
        <f>IF(ISBLANK('Data Entry'!$ě$479), "", 'Data Entry'!$ě$479)</f>
      </c>
      <c r="HL479">
        <f>IF(ISBLANK('Data Entry'!$Ĝ$479), "", 'Data Entry'!$Ĝ$479)</f>
      </c>
      <c r="HM479">
        <f>IF(ISBLANK('Data Entry'!$ĝ$479), "", 'Data Entry'!$ĝ$479)</f>
      </c>
      <c r="HN479">
        <f>IF(ISBLANK('Data Entry'!$Ğ$479), "", 'Data Entry'!$Ğ$479)</f>
      </c>
      <c r="HO479">
        <f>IF(ISBLANK('Data Entry'!$ğ$479), "", 'Data Entry'!$ğ$479)</f>
      </c>
      <c r="HP479">
        <f>IF(ISBLANK('Data Entry'!$Ġ$479), "", 'Data Entry'!$Ġ$479)</f>
      </c>
      <c r="HQ479">
        <f>IF(ISBLANK('Data Entry'!$ġ$479), "", 'Data Entry'!$ġ$479)</f>
      </c>
      <c r="HR479">
        <f>IF(ISBLANK('Data Entry'!$Ģ$479), "", 'Data Entry'!$Ģ$479)</f>
      </c>
      <c r="HS479">
        <f>IF(ISBLANK('Data Entry'!$ģ$479), "", 'Data Entry'!$ģ$479)</f>
      </c>
      <c r="HT479">
        <f>IF(ISBLANK('Data Entry'!$Ĥ$479), "", 'Data Entry'!$Ĥ$479)</f>
      </c>
      <c r="HU479">
        <f>IF(ISBLANK('Data Entry'!$ĥ$479), "", 'Data Entry'!$ĥ$479)</f>
      </c>
      <c r="HV479">
        <f>IF(ISBLANK('Data Entry'!$Ħ$479), "", 'Data Entry'!$Ħ$479)</f>
      </c>
      <c r="HW479">
        <f>IF(ISBLANK('Data Entry'!$ħ$479), "", 'Data Entry'!$ħ$479)</f>
      </c>
      <c r="HX479">
        <f>IF(ISBLANK('Data Entry'!$Ĩ$479), "", 'Data Entry'!$Ĩ$479)</f>
      </c>
      <c r="HY479">
        <f>IF(ISBLANK('Data Entry'!$ĩ$479), "", 'Data Entry'!$ĩ$479)</f>
      </c>
      <c r="HZ479">
        <f>IF(ISBLANK('Data Entry'!$Ī$479), "", 'Data Entry'!$Ī$479)</f>
      </c>
      <c r="IA479">
        <f>IF(ISBLANK('Data Entry'!$ī$479), "", 'Data Entry'!$ī$479)</f>
      </c>
      <c r="IB479">
        <f>IF(ISBLANK('Data Entry'!$Ĭ$479), "", 'Data Entry'!$Ĭ$479)</f>
      </c>
      <c r="IC479">
        <f>IF(ISBLANK('Data Entry'!$ĭ$479), "", 'Data Entry'!$ĭ$479)</f>
      </c>
      <c r="ID479">
        <f>IF(ISBLANK('Data Entry'!$Į$479), "", 'Data Entry'!$Į$479)</f>
      </c>
      <c r="IE479">
        <f>IF(ISBLANK('Data Entry'!$į$479), "", 'Data Entry'!$į$479)</f>
      </c>
      <c r="IF479">
        <f>IF(ISBLANK('Data Entry'!$İ$479), "", 'Data Entry'!$İ$479)</f>
      </c>
      <c r="IG479">
        <f>IF(ISBLANK('Data Entry'!$ı$479), "", 'Data Entry'!$ı$479)</f>
      </c>
      <c r="IH479">
        <f>IF(ISBLANK('Data Entry'!$Ĳ$479), "", 'Data Entry'!$Ĳ$479)</f>
      </c>
      <c r="II479">
        <f>IF(ISBLANK('Data Entry'!$ĳ$479), "", 'Data Entry'!$ĳ$479)</f>
      </c>
      <c r="IJ479">
        <f>IF(ISBLANK('Data Entry'!$Ĵ$479), "", 'Data Entry'!$Ĵ$479)</f>
      </c>
      <c r="IK479">
        <f>IF(ISBLANK('Data Entry'!$ĵ$479), "", 'Data Entry'!$ĵ$479)</f>
      </c>
      <c r="IL479">
        <f>IF(ISBLANK('Data Entry'!$Ķ$479), "", 'Data Entry'!$Ķ$479)</f>
      </c>
      <c r="IM479">
        <f>IF(ISBLANK('Data Entry'!$ķ$479), "", 'Data Entry'!$ķ$479)</f>
      </c>
      <c r="IN479">
        <f>IF(ISBLANK('Data Entry'!$ĸ$479), "", 'Data Entry'!$ĸ$479)</f>
      </c>
      <c r="IO479">
        <f>IF(ISBLANK('Data Entry'!$Ĺ$479), "", 'Data Entry'!$Ĺ$479)</f>
      </c>
      <c r="IP479">
        <f>IF(ISBLANK('Data Entry'!$ĺ$479), "", 'Data Entry'!$ĺ$479)</f>
      </c>
      <c r="IQ479">
        <f>IF(ISBLANK('Data Entry'!$Ļ$479), "", 'Data Entry'!$Ļ$479)</f>
      </c>
      <c r="IR479">
        <f>IF(ISBLANK('Data Entry'!$ļ$479), "", 'Data Entry'!$ļ$479)</f>
      </c>
      <c r="IS479">
        <f>IF(ISBLANK('Data Entry'!$Ľ$479), "", 'Data Entry'!$Ľ$479)</f>
      </c>
      <c r="IT479">
        <f>IF(ISBLANK('Data Entry'!$ľ$479), "", 'Data Entry'!$ľ$479)</f>
      </c>
    </row>
    <row r="480" spans="1:254" x14ac:dyDescent="0.25">
      <c r="A480">
        <f>IF(ISBLANK('Data Entry'!$A$480), "", 'Data Entry'!$A$480)</f>
      </c>
      <c r="B480">
        <f>IF(ISBLANK('Data Entry'!$B$480), "", 'Data Entry'!$B$480)</f>
      </c>
      <c r="C480">
        <f>IF(ISBLANK('Data Entry'!$C$480), "", 'Data Entry'!$C$480)</f>
      </c>
      <c r="D480">
        <f>IF(ISBLANK('Data Entry'!$D$480), "", 'Data Entry'!$D$480)</f>
      </c>
      <c r="E480">
        <f>IF(ISBLANK('Data Entry'!$E$480), "", 'Data Entry'!$E$480)</f>
      </c>
      <c r="F480">
        <f>IF(ISBLANK('Data Entry'!$F$480), "", 'Data Entry'!$F$480)</f>
      </c>
      <c r="G480">
        <f>IF(ISBLANK('Data Entry'!$G$480), "", 'Data Entry'!$G$480)</f>
      </c>
      <c r="H480">
        <f>IF(ISBLANK('Data Entry'!$H$480), "", 'Data Entry'!$H$480)</f>
      </c>
      <c r="I480">
        <f>IF(ISBLANK('Data Entry'!$I$480), "", 'Data Entry'!$I$480)</f>
      </c>
      <c r="J480">
        <f>IF(ISBLANK('Data Entry'!$J$480), "", 'Data Entry'!$J$480)</f>
      </c>
      <c r="K480">
        <f>IF(ISBLANK('Data Entry'!$K$480), "", 'Data Entry'!$K$480)</f>
      </c>
      <c r="L480">
        <f>IF(ISBLANK('Data Entry'!$L$480), "", 'Data Entry'!$L$480)</f>
      </c>
      <c r="M480">
        <f>IF(ISBLANK('Data Entry'!$M$480), "", 'Data Entry'!$M$480)</f>
      </c>
      <c r="N480">
        <f>IF(ISBLANK('Data Entry'!$N$480), "", 'Data Entry'!$N$480)</f>
      </c>
      <c r="O480">
        <f>IF(ISBLANK('Data Entry'!$O$480), "", 'Data Entry'!$O$480)</f>
      </c>
      <c r="P480">
        <f>IF(ISBLANK('Data Entry'!$P$480), "", 'Data Entry'!$P$480)</f>
      </c>
      <c r="Q480">
        <f>IF(ISBLANK('Data Entry'!$Q$480), "", 'Data Entry'!$Q$480)</f>
      </c>
      <c r="R480">
        <f>IF(ISBLANK('Data Entry'!$R$480), "", 'Data Entry'!$R$480)</f>
      </c>
      <c r="S480">
        <f>IF(ISBLANK('Data Entry'!$S$480), "", 'Data Entry'!$S$480)</f>
      </c>
      <c r="T480">
        <f>IF(ISBLANK('Data Entry'!$T$480), "", 'Data Entry'!$T$480)</f>
      </c>
      <c r="U480">
        <f>IF(ISBLANK('Data Entry'!$U$480), "", 'Data Entry'!$U$480)</f>
      </c>
      <c r="V480">
        <f>IF(ISBLANK('Data Entry'!$V$480), "", 'Data Entry'!$V$480)</f>
      </c>
      <c r="W480">
        <f>IF(ISBLANK('Data Entry'!$W$480), "", 'Data Entry'!$W$480)</f>
      </c>
      <c r="X480">
        <f>IF(ISBLANK('Data Entry'!$X$480), "", 'Data Entry'!$X$480)</f>
      </c>
      <c r="Y480">
        <f>IF(ISBLANK('Data Entry'!$Y$480), "", 'Data Entry'!$Y$480)</f>
      </c>
      <c r="Z480">
        <f>IF(ISBLANK('Data Entry'!$Z$480), "", 'Data Entry'!$Z$480)</f>
      </c>
      <c r="AA480">
        <f>IF(ISBLANK('Data Entry'!$[$480), "", 'Data Entry'!$[$480)</f>
      </c>
      <c r="AB480">
        <f>IF(ISBLANK('Data Entry'!$\$480), "", 'Data Entry'!$\$480)</f>
      </c>
      <c r="AC480">
        <f>IF(ISBLANK('Data Entry'!$]$480), "", 'Data Entry'!$]$480)</f>
      </c>
      <c r="AD480">
        <f>IF(ISBLANK('Data Entry'!$^$480), "", 'Data Entry'!$^$480)</f>
      </c>
      <c r="AE480">
        <f>IF(ISBLANK('Data Entry'!$_$480), "", 'Data Entry'!$_$480)</f>
      </c>
      <c r="AF480">
        <f>IF(ISBLANK('Data Entry'!$`$480), "", 'Data Entry'!$`$480)</f>
      </c>
      <c r="AG480">
        <f>IF(ISBLANK('Data Entry'!$a$480), "", 'Data Entry'!$a$480)</f>
      </c>
      <c r="AH480">
        <f>IF(ISBLANK('Data Entry'!$b$480), "", 'Data Entry'!$b$480)</f>
      </c>
      <c r="AI480">
        <f>IF(ISBLANK('Data Entry'!$c$480), "", 'Data Entry'!$c$480)</f>
      </c>
      <c r="AJ480">
        <f>IF(ISBLANK('Data Entry'!$d$480), "", 'Data Entry'!$d$480)</f>
      </c>
      <c r="AK480">
        <f>IF(ISBLANK('Data Entry'!$e$480), "", 'Data Entry'!$e$480)</f>
      </c>
      <c r="AL480">
        <f>IF(ISBLANK('Data Entry'!$f$480), "", 'Data Entry'!$f$480)</f>
      </c>
      <c r="AM480">
        <f>IF(ISBLANK('Data Entry'!$g$480), "", 'Data Entry'!$g$480)</f>
      </c>
      <c r="AN480">
        <f>IF(ISBLANK('Data Entry'!$h$480), "", 'Data Entry'!$h$480)</f>
      </c>
      <c r="AO480">
        <f>IF(ISBLANK('Data Entry'!$i$480), "", 'Data Entry'!$i$480)</f>
      </c>
      <c r="AP480">
        <f>IF(ISBLANK('Data Entry'!$j$480), "", 'Data Entry'!$j$480)</f>
      </c>
      <c r="AQ480">
        <f>IF(ISBLANK('Data Entry'!$k$480), "", 'Data Entry'!$k$480)</f>
      </c>
      <c r="AR480">
        <f>IF(ISBLANK('Data Entry'!$l$480), "", 'Data Entry'!$l$480)</f>
      </c>
      <c r="AS480">
        <f>IF(ISBLANK('Data Entry'!$m$480), "", 'Data Entry'!$m$480)</f>
      </c>
      <c r="AT480">
        <f>IF(ISBLANK('Data Entry'!$n$480), "", 'Data Entry'!$n$480)</f>
      </c>
      <c r="AU480">
        <f>IF(ISBLANK('Data Entry'!$o$480), "", 'Data Entry'!$o$480)</f>
      </c>
      <c r="AV480">
        <f>IF(ISBLANK('Data Entry'!$p$480), "", 'Data Entry'!$p$480)</f>
      </c>
      <c r="AW480">
        <f>IF(ISBLANK('Data Entry'!$q$480), "", 'Data Entry'!$q$480)</f>
      </c>
      <c r="AX480">
        <f>IF(ISBLANK('Data Entry'!$r$480), "", 'Data Entry'!$r$480)</f>
      </c>
      <c r="AY480">
        <f>IF(ISBLANK('Data Entry'!$s$480), "", 'Data Entry'!$s$480)</f>
      </c>
      <c r="AZ480">
        <f>IF(ISBLANK('Data Entry'!$t$480), "", 'Data Entry'!$t$480)</f>
      </c>
      <c r="BA480">
        <f>IF(ISBLANK('Data Entry'!$u$480), "", 'Data Entry'!$u$480)</f>
      </c>
      <c r="BB480">
        <f>IF(ISBLANK('Data Entry'!$v$480), "", 'Data Entry'!$v$480)</f>
      </c>
      <c r="BC480">
        <f>IF(ISBLANK('Data Entry'!$w$480), "", 'Data Entry'!$w$480)</f>
      </c>
      <c r="BD480">
        <f>IF(ISBLANK('Data Entry'!$x$480), "", 'Data Entry'!$x$480)</f>
      </c>
      <c r="BE480">
        <f>IF(ISBLANK('Data Entry'!$y$480), "", 'Data Entry'!$y$480)</f>
      </c>
      <c r="BF480">
        <f>IF(ISBLANK('Data Entry'!$z$480), "", 'Data Entry'!$z$480)</f>
      </c>
      <c r="BG480">
        <f>IF(ISBLANK('Data Entry'!${$480), "", 'Data Entry'!${$480)</f>
      </c>
      <c r="BH480">
        <f>IF(ISBLANK('Data Entry'!$|$480), "", 'Data Entry'!$|$480)</f>
      </c>
      <c r="BI480">
        <f>IF(ISBLANK('Data Entry'!$}$480), "", 'Data Entry'!$}$480)</f>
      </c>
      <c r="BJ480">
        <f>IF(ISBLANK('Data Entry'!$~$480), "", 'Data Entry'!$~$480)</f>
      </c>
      <c r="BK480">
        <f>IF(ISBLANK('Data Entry'!$$480), "", 'Data Entry'!$$480)</f>
      </c>
      <c r="BL480">
        <f>IF(ISBLANK('Data Entry'!$$480), "", 'Data Entry'!$$480)</f>
      </c>
      <c r="BM480">
        <f>IF(ISBLANK('Data Entry'!$$480), "", 'Data Entry'!$$480)</f>
      </c>
      <c r="BN480">
        <f>IF(ISBLANK('Data Entry'!$$480), "", 'Data Entry'!$$480)</f>
      </c>
      <c r="BO480">
        <f>IF(ISBLANK('Data Entry'!$$480), "", 'Data Entry'!$$480)</f>
      </c>
      <c r="BP480">
        <f>IF(ISBLANK('Data Entry'!$$480), "", 'Data Entry'!$$480)</f>
      </c>
      <c r="BQ480">
        <f>IF(ISBLANK('Data Entry'!$$480), "", 'Data Entry'!$$480)</f>
      </c>
      <c r="BR480">
        <f>IF(ISBLANK('Data Entry'!$$480), "", 'Data Entry'!$$480)</f>
      </c>
      <c r="BS480">
        <f>IF(ISBLANK('Data Entry'!$$480), "", 'Data Entry'!$$480)</f>
      </c>
      <c r="BT480">
        <f>IF(ISBLANK('Data Entry'!$$480), "", 'Data Entry'!$$480)</f>
      </c>
      <c r="BU480">
        <f>IF(ISBLANK('Data Entry'!$$480), "", 'Data Entry'!$$480)</f>
      </c>
      <c r="BV480">
        <f>IF(ISBLANK('Data Entry'!$$480), "", 'Data Entry'!$$480)</f>
      </c>
      <c r="BW480">
        <f>IF(ISBLANK('Data Entry'!$$480), "", 'Data Entry'!$$480)</f>
      </c>
      <c r="BX480">
        <f>IF(ISBLANK('Data Entry'!$$480), "", 'Data Entry'!$$480)</f>
      </c>
      <c r="BY480">
        <f>IF(ISBLANK('Data Entry'!$$480), "", 'Data Entry'!$$480)</f>
      </c>
      <c r="BZ480">
        <f>IF(ISBLANK('Data Entry'!$$480), "", 'Data Entry'!$$480)</f>
      </c>
      <c r="CA480">
        <f>IF(ISBLANK('Data Entry'!$$480), "", 'Data Entry'!$$480)</f>
      </c>
      <c r="CB480">
        <f>IF(ISBLANK('Data Entry'!$$480), "", 'Data Entry'!$$480)</f>
      </c>
      <c r="CC480">
        <f>IF(ISBLANK('Data Entry'!$$480), "", 'Data Entry'!$$480)</f>
      </c>
      <c r="CD480">
        <f>IF(ISBLANK('Data Entry'!$$480), "", 'Data Entry'!$$480)</f>
      </c>
      <c r="CE480">
        <f>IF(ISBLANK('Data Entry'!$$480), "", 'Data Entry'!$$480)</f>
      </c>
      <c r="CF480">
        <f>IF(ISBLANK('Data Entry'!$$480), "", 'Data Entry'!$$480)</f>
      </c>
      <c r="CG480">
        <f>IF(ISBLANK('Data Entry'!$$480), "", 'Data Entry'!$$480)</f>
      </c>
      <c r="CH480">
        <f>IF(ISBLANK('Data Entry'!$$480), "", 'Data Entry'!$$480)</f>
      </c>
      <c r="CI480">
        <f>IF(ISBLANK('Data Entry'!$$480), "", 'Data Entry'!$$480)</f>
      </c>
      <c r="CJ480">
        <f>IF(ISBLANK('Data Entry'!$$480), "", 'Data Entry'!$$480)</f>
      </c>
      <c r="CK480">
        <f>IF(ISBLANK('Data Entry'!$$480), "", 'Data Entry'!$$480)</f>
      </c>
      <c r="CL480">
        <f>IF(ISBLANK('Data Entry'!$$480), "", 'Data Entry'!$$480)</f>
      </c>
      <c r="CM480">
        <f>IF(ISBLANK('Data Entry'!$$480), "", 'Data Entry'!$$480)</f>
      </c>
      <c r="CN480">
        <f>IF(ISBLANK('Data Entry'!$$480), "", 'Data Entry'!$$480)</f>
      </c>
      <c r="CO480">
        <f>IF(ISBLANK('Data Entry'!$$480), "", 'Data Entry'!$$480)</f>
      </c>
      <c r="CP480">
        <f>IF(ISBLANK('Data Entry'!$$480), "", 'Data Entry'!$$480)</f>
      </c>
      <c r="CQ480">
        <f>IF(ISBLANK('Data Entry'!$$480), "", 'Data Entry'!$$480)</f>
      </c>
      <c r="CR480">
        <f>IF(ISBLANK('Data Entry'!$ $480), "", 'Data Entry'!$ $480)</f>
      </c>
      <c r="CS480">
        <f>IF(ISBLANK('Data Entry'!$¡$480), "", 'Data Entry'!$¡$480)</f>
      </c>
      <c r="CT480">
        <f>IF(ISBLANK('Data Entry'!$¢$480), "", 'Data Entry'!$¢$480)</f>
      </c>
      <c r="CU480">
        <f>IF(ISBLANK('Data Entry'!$£$480), "", 'Data Entry'!$£$480)</f>
      </c>
      <c r="CV480">
        <f>IF(ISBLANK('Data Entry'!$¤$480), "", 'Data Entry'!$¤$480)</f>
      </c>
      <c r="CW480">
        <f>IF(ISBLANK('Data Entry'!$¥$480), "", 'Data Entry'!$¥$480)</f>
      </c>
      <c r="CX480">
        <f>IF(ISBLANK('Data Entry'!$¦$480), "", 'Data Entry'!$¦$480)</f>
      </c>
      <c r="CY480">
        <f>IF(ISBLANK('Data Entry'!$§$480), "", 'Data Entry'!$§$480)</f>
      </c>
      <c r="CZ480">
        <f>IF(ISBLANK('Data Entry'!$¨$480), "", 'Data Entry'!$¨$480)</f>
      </c>
      <c r="DA480">
        <f>IF(ISBLANK('Data Entry'!$©$480), "", 'Data Entry'!$©$480)</f>
      </c>
      <c r="DB480">
        <f>IF(ISBLANK('Data Entry'!$ª$480), "", 'Data Entry'!$ª$480)</f>
      </c>
      <c r="DC480">
        <f>IF(ISBLANK('Data Entry'!$«$480), "", 'Data Entry'!$«$480)</f>
      </c>
      <c r="DD480">
        <f>IF(ISBLANK('Data Entry'!$¬$480), "", 'Data Entry'!$¬$480)</f>
      </c>
      <c r="DE480">
        <f>IF(ISBLANK('Data Entry'!$­$480), "", 'Data Entry'!$­$480)</f>
      </c>
      <c r="DF480">
        <f>IF(ISBLANK('Data Entry'!$®$480), "", 'Data Entry'!$®$480)</f>
      </c>
      <c r="DG480">
        <f>IF(ISBLANK('Data Entry'!$¯$480), "", 'Data Entry'!$¯$480)</f>
      </c>
      <c r="DH480">
        <f>IF(ISBLANK('Data Entry'!$°$480), "", 'Data Entry'!$°$480)</f>
      </c>
      <c r="DI480">
        <f>IF(ISBLANK('Data Entry'!$±$480), "", 'Data Entry'!$±$480)</f>
      </c>
      <c r="DJ480">
        <f>IF(ISBLANK('Data Entry'!$²$480), "", 'Data Entry'!$²$480)</f>
      </c>
      <c r="DK480">
        <f>IF(ISBLANK('Data Entry'!$³$480), "", 'Data Entry'!$³$480)</f>
      </c>
      <c r="DL480">
        <f>IF(ISBLANK('Data Entry'!$´$480), "", 'Data Entry'!$´$480)</f>
      </c>
      <c r="DM480">
        <f>IF(ISBLANK('Data Entry'!$µ$480), "", 'Data Entry'!$µ$480)</f>
      </c>
      <c r="DN480">
        <f>IF(ISBLANK('Data Entry'!$¶$480), "", 'Data Entry'!$¶$480)</f>
      </c>
      <c r="DO480">
        <f>IF(ISBLANK('Data Entry'!$·$480), "", 'Data Entry'!$·$480)</f>
      </c>
      <c r="DP480">
        <f>IF(ISBLANK('Data Entry'!$¸$480), "", 'Data Entry'!$¸$480)</f>
      </c>
      <c r="DQ480">
        <f>IF(ISBLANK('Data Entry'!$¹$480), "", 'Data Entry'!$¹$480)</f>
      </c>
      <c r="DR480">
        <f>IF(ISBLANK('Data Entry'!$º$480), "", 'Data Entry'!$º$480)</f>
      </c>
      <c r="DS480">
        <f>IF(ISBLANK('Data Entry'!$»$480), "", 'Data Entry'!$»$480)</f>
      </c>
      <c r="DT480">
        <f>IF(ISBLANK('Data Entry'!$¼$480), "", 'Data Entry'!$¼$480)</f>
      </c>
      <c r="DU480">
        <f>IF(ISBLANK('Data Entry'!$½$480), "", 'Data Entry'!$½$480)</f>
      </c>
      <c r="DV480">
        <f>IF(ISBLANK('Data Entry'!$¾$480), "", 'Data Entry'!$¾$480)</f>
      </c>
      <c r="DW480">
        <f>IF(ISBLANK('Data Entry'!$¿$480), "", 'Data Entry'!$¿$480)</f>
      </c>
      <c r="DX480">
        <f>IF(ISBLANK('Data Entry'!$À$480), "", 'Data Entry'!$À$480)</f>
      </c>
      <c r="DY480">
        <f>IF(ISBLANK('Data Entry'!$Á$480), "", 'Data Entry'!$Á$480)</f>
      </c>
      <c r="DZ480">
        <f>IF(ISBLANK('Data Entry'!$Â$480), "", 'Data Entry'!$Â$480)</f>
      </c>
      <c r="EA480">
        <f>IF(ISBLANK('Data Entry'!$Ã$480), "", 'Data Entry'!$Ã$480)</f>
      </c>
      <c r="EB480">
        <f>IF(ISBLANK('Data Entry'!$Ä$480), "", 'Data Entry'!$Ä$480)</f>
      </c>
      <c r="EC480">
        <f>IF(ISBLANK('Data Entry'!$Å$480), "", 'Data Entry'!$Å$480)</f>
      </c>
      <c r="ED480">
        <f>IF(ISBLANK('Data Entry'!$Æ$480), "", 'Data Entry'!$Æ$480)</f>
      </c>
      <c r="EE480">
        <f>IF(ISBLANK('Data Entry'!$Ç$480), "", 'Data Entry'!$Ç$480)</f>
      </c>
      <c r="EF480">
        <f>IF(ISBLANK('Data Entry'!$È$480), "", 'Data Entry'!$È$480)</f>
      </c>
      <c r="EG480">
        <f>IF(ISBLANK('Data Entry'!$É$480), "", 'Data Entry'!$É$480)</f>
      </c>
      <c r="EH480">
        <f>IF(ISBLANK('Data Entry'!$Ê$480), "", 'Data Entry'!$Ê$480)</f>
      </c>
      <c r="EI480">
        <f>IF(ISBLANK('Data Entry'!$Ë$480), "", 'Data Entry'!$Ë$480)</f>
      </c>
      <c r="EJ480">
        <f>IF(ISBLANK('Data Entry'!$Ì$480), "", 'Data Entry'!$Ì$480)</f>
      </c>
      <c r="EK480">
        <f>IF(ISBLANK('Data Entry'!$Í$480), "", 'Data Entry'!$Í$480)</f>
      </c>
      <c r="EL480">
        <f>IF(ISBLANK('Data Entry'!$Î$480), "", 'Data Entry'!$Î$480)</f>
      </c>
      <c r="EM480">
        <f>IF(ISBLANK('Data Entry'!$Ï$480), "", 'Data Entry'!$Ï$480)</f>
      </c>
      <c r="EN480">
        <f>IF(ISBLANK('Data Entry'!$Ð$480), "", 'Data Entry'!$Ð$480)</f>
      </c>
      <c r="EO480">
        <f>IF(ISBLANK('Data Entry'!$Ñ$480), "", 'Data Entry'!$Ñ$480)</f>
      </c>
      <c r="EP480">
        <f>IF(ISBLANK('Data Entry'!$Ò$480), "", 'Data Entry'!$Ò$480)</f>
      </c>
      <c r="EQ480">
        <f>IF(ISBLANK('Data Entry'!$Ó$480), "", 'Data Entry'!$Ó$480)</f>
      </c>
      <c r="ER480">
        <f>IF(ISBLANK('Data Entry'!$Ô$480), "", 'Data Entry'!$Ô$480)</f>
      </c>
      <c r="ES480">
        <f>IF(ISBLANK('Data Entry'!$Õ$480), "", 'Data Entry'!$Õ$480)</f>
      </c>
      <c r="ET480">
        <f>IF(ISBLANK('Data Entry'!$Ö$480), "", 'Data Entry'!$Ö$480)</f>
      </c>
      <c r="EU480">
        <f>IF(ISBLANK('Data Entry'!$×$480), "", 'Data Entry'!$×$480)</f>
      </c>
      <c r="EV480">
        <f>IF(ISBLANK('Data Entry'!$Ø$480), "", 'Data Entry'!$Ø$480)</f>
      </c>
      <c r="EW480">
        <f>IF(ISBLANK('Data Entry'!$Ù$480), "", 'Data Entry'!$Ù$480)</f>
      </c>
      <c r="EX480">
        <f>IF(ISBLANK('Data Entry'!$Ú$480), "", 'Data Entry'!$Ú$480)</f>
      </c>
      <c r="EY480">
        <f>IF(ISBLANK('Data Entry'!$Û$480), "", 'Data Entry'!$Û$480)</f>
      </c>
      <c r="EZ480">
        <f>IF(ISBLANK('Data Entry'!$Ü$480), "", 'Data Entry'!$Ü$480)</f>
      </c>
      <c r="FA480">
        <f>IF(ISBLANK('Data Entry'!$Ý$480), "", 'Data Entry'!$Ý$480)</f>
      </c>
      <c r="FB480">
        <f>IF(ISBLANK('Data Entry'!$Þ$480), "", 'Data Entry'!$Þ$480)</f>
      </c>
      <c r="FC480">
        <f>IF(ISBLANK('Data Entry'!$ß$480), "", 'Data Entry'!$ß$480)</f>
      </c>
      <c r="FD480">
        <f>IF(ISBLANK('Data Entry'!$à$480), "", 'Data Entry'!$à$480)</f>
      </c>
      <c r="FE480">
        <f>IF(ISBLANK('Data Entry'!$á$480), "", 'Data Entry'!$á$480)</f>
      </c>
      <c r="FF480">
        <f>IF(ISBLANK('Data Entry'!$â$480), "", 'Data Entry'!$â$480)</f>
      </c>
      <c r="FG480">
        <f>IF(ISBLANK('Data Entry'!$ã$480), "", 'Data Entry'!$ã$480)</f>
      </c>
      <c r="FH480">
        <f>IF(ISBLANK('Data Entry'!$ä$480), "", 'Data Entry'!$ä$480)</f>
      </c>
      <c r="FI480">
        <f>IF(ISBLANK('Data Entry'!$å$480), "", 'Data Entry'!$å$480)</f>
      </c>
      <c r="FJ480">
        <f>IF(ISBLANK('Data Entry'!$æ$480), "", 'Data Entry'!$æ$480)</f>
      </c>
      <c r="FK480">
        <f>IF(ISBLANK('Data Entry'!$ç$480), "", 'Data Entry'!$ç$480)</f>
      </c>
      <c r="FL480">
        <f>IF(ISBLANK('Data Entry'!$è$480), "", 'Data Entry'!$è$480)</f>
      </c>
      <c r="FM480">
        <f>IF(ISBLANK('Data Entry'!$é$480), "", 'Data Entry'!$é$480)</f>
      </c>
      <c r="FN480">
        <f>IF(ISBLANK('Data Entry'!$ê$480), "", 'Data Entry'!$ê$480)</f>
      </c>
      <c r="FO480">
        <f>IF(ISBLANK('Data Entry'!$ë$480), "", 'Data Entry'!$ë$480)</f>
      </c>
      <c r="FP480">
        <f>IF(ISBLANK('Data Entry'!$ì$480), "", 'Data Entry'!$ì$480)</f>
      </c>
      <c r="FQ480">
        <f>IF(ISBLANK('Data Entry'!$í$480), "", 'Data Entry'!$í$480)</f>
      </c>
      <c r="FR480">
        <f>IF(ISBLANK('Data Entry'!$î$480), "", 'Data Entry'!$î$480)</f>
      </c>
      <c r="FS480">
        <f>IF(ISBLANK('Data Entry'!$ï$480), "", 'Data Entry'!$ï$480)</f>
      </c>
      <c r="FT480">
        <f>IF(ISBLANK('Data Entry'!$ð$480), "", 'Data Entry'!$ð$480)</f>
      </c>
      <c r="FU480">
        <f>IF(ISBLANK('Data Entry'!$ñ$480), "", 'Data Entry'!$ñ$480)</f>
      </c>
      <c r="FV480">
        <f>IF(ISBLANK('Data Entry'!$ò$480), "", 'Data Entry'!$ò$480)</f>
      </c>
      <c r="FW480">
        <f>IF(ISBLANK('Data Entry'!$ó$480), "", 'Data Entry'!$ó$480)</f>
      </c>
      <c r="FX480">
        <f>IF(ISBLANK('Data Entry'!$ô$480), "", 'Data Entry'!$ô$480)</f>
      </c>
      <c r="FY480">
        <f>IF(ISBLANK('Data Entry'!$õ$480), "", 'Data Entry'!$õ$480)</f>
      </c>
      <c r="FZ480">
        <f>IF(ISBLANK('Data Entry'!$ö$480), "", 'Data Entry'!$ö$480)</f>
      </c>
      <c r="GA480">
        <f>IF(ISBLANK('Data Entry'!$÷$480), "", 'Data Entry'!$÷$480)</f>
      </c>
      <c r="GB480">
        <f>IF(ISBLANK('Data Entry'!$ø$480), "", 'Data Entry'!$ø$480)</f>
      </c>
      <c r="GC480">
        <f>IF(ISBLANK('Data Entry'!$ù$480), "", 'Data Entry'!$ù$480)</f>
      </c>
      <c r="GD480">
        <f>IF(ISBLANK('Data Entry'!$ú$480), "", 'Data Entry'!$ú$480)</f>
      </c>
      <c r="GE480">
        <f>IF(ISBLANK('Data Entry'!$û$480), "", 'Data Entry'!$û$480)</f>
      </c>
      <c r="GF480">
        <f>IF(ISBLANK('Data Entry'!$ü$480), "", 'Data Entry'!$ü$480)</f>
      </c>
      <c r="GG480">
        <f>IF(ISBLANK('Data Entry'!$ý$480), "", 'Data Entry'!$ý$480)</f>
      </c>
      <c r="GH480">
        <f>IF(ISBLANK('Data Entry'!$þ$480), "", 'Data Entry'!$þ$480)</f>
      </c>
      <c r="GI480">
        <f>IF(ISBLANK('Data Entry'!$ÿ$480), "", 'Data Entry'!$ÿ$480)</f>
      </c>
      <c r="GJ480">
        <f>IF(ISBLANK('Data Entry'!$Ā$480), "", 'Data Entry'!$Ā$480)</f>
      </c>
      <c r="GK480">
        <f>IF(ISBLANK('Data Entry'!$ā$480), "", 'Data Entry'!$ā$480)</f>
      </c>
      <c r="GL480">
        <f>IF(ISBLANK('Data Entry'!$Ă$480), "", 'Data Entry'!$Ă$480)</f>
      </c>
      <c r="GM480">
        <f>IF(ISBLANK('Data Entry'!$ă$480), "", 'Data Entry'!$ă$480)</f>
      </c>
      <c r="GN480">
        <f>IF(ISBLANK('Data Entry'!$Ą$480), "", 'Data Entry'!$Ą$480)</f>
      </c>
      <c r="GO480">
        <f>IF(ISBLANK('Data Entry'!$ą$480), "", 'Data Entry'!$ą$480)</f>
      </c>
      <c r="GP480">
        <f>IF(ISBLANK('Data Entry'!$Ć$480), "", 'Data Entry'!$Ć$480)</f>
      </c>
      <c r="GQ480">
        <f>IF(ISBLANK('Data Entry'!$ć$480), "", 'Data Entry'!$ć$480)</f>
      </c>
      <c r="GR480">
        <f>IF(ISBLANK('Data Entry'!$Ĉ$480), "", 'Data Entry'!$Ĉ$480)</f>
      </c>
      <c r="GS480">
        <f>IF(ISBLANK('Data Entry'!$ĉ$480), "", 'Data Entry'!$ĉ$480)</f>
      </c>
      <c r="GT480">
        <f>IF(ISBLANK('Data Entry'!$Ċ$480), "", 'Data Entry'!$Ċ$480)</f>
      </c>
      <c r="GU480">
        <f>IF(ISBLANK('Data Entry'!$ċ$480), "", 'Data Entry'!$ċ$480)</f>
      </c>
      <c r="GV480">
        <f>IF(ISBLANK('Data Entry'!$Č$480), "", 'Data Entry'!$Č$480)</f>
      </c>
      <c r="GW480">
        <f>IF(ISBLANK('Data Entry'!$č$480), "", 'Data Entry'!$č$480)</f>
      </c>
      <c r="GX480">
        <f>IF(ISBLANK('Data Entry'!$Ď$480), "", 'Data Entry'!$Ď$480)</f>
      </c>
      <c r="GY480">
        <f>IF(ISBLANK('Data Entry'!$ď$480), "", 'Data Entry'!$ď$480)</f>
      </c>
      <c r="GZ480">
        <f>IF(ISBLANK('Data Entry'!$Đ$480), "", 'Data Entry'!$Đ$480)</f>
      </c>
      <c r="HA480">
        <f>IF(ISBLANK('Data Entry'!$đ$480), "", 'Data Entry'!$đ$480)</f>
      </c>
      <c r="HB480">
        <f>IF(ISBLANK('Data Entry'!$Ē$480), "", 'Data Entry'!$Ē$480)</f>
      </c>
      <c r="HC480">
        <f>IF(ISBLANK('Data Entry'!$ē$480), "", 'Data Entry'!$ē$480)</f>
      </c>
      <c r="HD480">
        <f>IF(ISBLANK('Data Entry'!$Ĕ$480), "", 'Data Entry'!$Ĕ$480)</f>
      </c>
      <c r="HE480">
        <f>IF(ISBLANK('Data Entry'!$ĕ$480), "", 'Data Entry'!$ĕ$480)</f>
      </c>
      <c r="HF480">
        <f>IF(ISBLANK('Data Entry'!$Ė$480), "", 'Data Entry'!$Ė$480)</f>
      </c>
      <c r="HG480">
        <f>IF(ISBLANK('Data Entry'!$ė$480), "", 'Data Entry'!$ė$480)</f>
      </c>
      <c r="HH480">
        <f>IF(ISBLANK('Data Entry'!$Ę$480), "", 'Data Entry'!$Ę$480)</f>
      </c>
      <c r="HI480">
        <f>IF(ISBLANK('Data Entry'!$ę$480), "", 'Data Entry'!$ę$480)</f>
      </c>
      <c r="HJ480">
        <f>IF(ISBLANK('Data Entry'!$Ě$480), "", 'Data Entry'!$Ě$480)</f>
      </c>
      <c r="HK480">
        <f>IF(ISBLANK('Data Entry'!$ě$480), "", 'Data Entry'!$ě$480)</f>
      </c>
      <c r="HL480">
        <f>IF(ISBLANK('Data Entry'!$Ĝ$480), "", 'Data Entry'!$Ĝ$480)</f>
      </c>
      <c r="HM480">
        <f>IF(ISBLANK('Data Entry'!$ĝ$480), "", 'Data Entry'!$ĝ$480)</f>
      </c>
      <c r="HN480">
        <f>IF(ISBLANK('Data Entry'!$Ğ$480), "", 'Data Entry'!$Ğ$480)</f>
      </c>
      <c r="HO480">
        <f>IF(ISBLANK('Data Entry'!$ğ$480), "", 'Data Entry'!$ğ$480)</f>
      </c>
      <c r="HP480">
        <f>IF(ISBLANK('Data Entry'!$Ġ$480), "", 'Data Entry'!$Ġ$480)</f>
      </c>
      <c r="HQ480">
        <f>IF(ISBLANK('Data Entry'!$ġ$480), "", 'Data Entry'!$ġ$480)</f>
      </c>
      <c r="HR480">
        <f>IF(ISBLANK('Data Entry'!$Ģ$480), "", 'Data Entry'!$Ģ$480)</f>
      </c>
      <c r="HS480">
        <f>IF(ISBLANK('Data Entry'!$ģ$480), "", 'Data Entry'!$ģ$480)</f>
      </c>
      <c r="HT480">
        <f>IF(ISBLANK('Data Entry'!$Ĥ$480), "", 'Data Entry'!$Ĥ$480)</f>
      </c>
      <c r="HU480">
        <f>IF(ISBLANK('Data Entry'!$ĥ$480), "", 'Data Entry'!$ĥ$480)</f>
      </c>
      <c r="HV480">
        <f>IF(ISBLANK('Data Entry'!$Ħ$480), "", 'Data Entry'!$Ħ$480)</f>
      </c>
      <c r="HW480">
        <f>IF(ISBLANK('Data Entry'!$ħ$480), "", 'Data Entry'!$ħ$480)</f>
      </c>
      <c r="HX480">
        <f>IF(ISBLANK('Data Entry'!$Ĩ$480), "", 'Data Entry'!$Ĩ$480)</f>
      </c>
      <c r="HY480">
        <f>IF(ISBLANK('Data Entry'!$ĩ$480), "", 'Data Entry'!$ĩ$480)</f>
      </c>
      <c r="HZ480">
        <f>IF(ISBLANK('Data Entry'!$Ī$480), "", 'Data Entry'!$Ī$480)</f>
      </c>
      <c r="IA480">
        <f>IF(ISBLANK('Data Entry'!$ī$480), "", 'Data Entry'!$ī$480)</f>
      </c>
      <c r="IB480">
        <f>IF(ISBLANK('Data Entry'!$Ĭ$480), "", 'Data Entry'!$Ĭ$480)</f>
      </c>
      <c r="IC480">
        <f>IF(ISBLANK('Data Entry'!$ĭ$480), "", 'Data Entry'!$ĭ$480)</f>
      </c>
      <c r="ID480">
        <f>IF(ISBLANK('Data Entry'!$Į$480), "", 'Data Entry'!$Į$480)</f>
      </c>
      <c r="IE480">
        <f>IF(ISBLANK('Data Entry'!$į$480), "", 'Data Entry'!$į$480)</f>
      </c>
      <c r="IF480">
        <f>IF(ISBLANK('Data Entry'!$İ$480), "", 'Data Entry'!$İ$480)</f>
      </c>
      <c r="IG480">
        <f>IF(ISBLANK('Data Entry'!$ı$480), "", 'Data Entry'!$ı$480)</f>
      </c>
      <c r="IH480">
        <f>IF(ISBLANK('Data Entry'!$Ĳ$480), "", 'Data Entry'!$Ĳ$480)</f>
      </c>
      <c r="II480">
        <f>IF(ISBLANK('Data Entry'!$ĳ$480), "", 'Data Entry'!$ĳ$480)</f>
      </c>
      <c r="IJ480">
        <f>IF(ISBLANK('Data Entry'!$Ĵ$480), "", 'Data Entry'!$Ĵ$480)</f>
      </c>
      <c r="IK480">
        <f>IF(ISBLANK('Data Entry'!$ĵ$480), "", 'Data Entry'!$ĵ$480)</f>
      </c>
      <c r="IL480">
        <f>IF(ISBLANK('Data Entry'!$Ķ$480), "", 'Data Entry'!$Ķ$480)</f>
      </c>
      <c r="IM480">
        <f>IF(ISBLANK('Data Entry'!$ķ$480), "", 'Data Entry'!$ķ$480)</f>
      </c>
      <c r="IN480">
        <f>IF(ISBLANK('Data Entry'!$ĸ$480), "", 'Data Entry'!$ĸ$480)</f>
      </c>
      <c r="IO480">
        <f>IF(ISBLANK('Data Entry'!$Ĺ$480), "", 'Data Entry'!$Ĺ$480)</f>
      </c>
      <c r="IP480">
        <f>IF(ISBLANK('Data Entry'!$ĺ$480), "", 'Data Entry'!$ĺ$480)</f>
      </c>
      <c r="IQ480">
        <f>IF(ISBLANK('Data Entry'!$Ļ$480), "", 'Data Entry'!$Ļ$480)</f>
      </c>
      <c r="IR480">
        <f>IF(ISBLANK('Data Entry'!$ļ$480), "", 'Data Entry'!$ļ$480)</f>
      </c>
      <c r="IS480">
        <f>IF(ISBLANK('Data Entry'!$Ľ$480), "", 'Data Entry'!$Ľ$480)</f>
      </c>
      <c r="IT480">
        <f>IF(ISBLANK('Data Entry'!$ľ$480), "", 'Data Entry'!$ľ$480)</f>
      </c>
    </row>
    <row r="481" spans="1:254" x14ac:dyDescent="0.25">
      <c r="A481">
        <f>IF(ISBLANK('Data Entry'!$A$481), "", 'Data Entry'!$A$481)</f>
      </c>
      <c r="B481">
        <f>IF(ISBLANK('Data Entry'!$B$481), "", 'Data Entry'!$B$481)</f>
      </c>
      <c r="C481">
        <f>IF(ISBLANK('Data Entry'!$C$481), "", 'Data Entry'!$C$481)</f>
      </c>
      <c r="D481">
        <f>IF(ISBLANK('Data Entry'!$D$481), "", 'Data Entry'!$D$481)</f>
      </c>
      <c r="E481">
        <f>IF(ISBLANK('Data Entry'!$E$481), "", 'Data Entry'!$E$481)</f>
      </c>
      <c r="F481">
        <f>IF(ISBLANK('Data Entry'!$F$481), "", 'Data Entry'!$F$481)</f>
      </c>
      <c r="G481">
        <f>IF(ISBLANK('Data Entry'!$G$481), "", 'Data Entry'!$G$481)</f>
      </c>
      <c r="H481">
        <f>IF(ISBLANK('Data Entry'!$H$481), "", 'Data Entry'!$H$481)</f>
      </c>
      <c r="I481">
        <f>IF(ISBLANK('Data Entry'!$I$481), "", 'Data Entry'!$I$481)</f>
      </c>
      <c r="J481">
        <f>IF(ISBLANK('Data Entry'!$J$481), "", 'Data Entry'!$J$481)</f>
      </c>
      <c r="K481">
        <f>IF(ISBLANK('Data Entry'!$K$481), "", 'Data Entry'!$K$481)</f>
      </c>
      <c r="L481">
        <f>IF(ISBLANK('Data Entry'!$L$481), "", 'Data Entry'!$L$481)</f>
      </c>
      <c r="M481">
        <f>IF(ISBLANK('Data Entry'!$M$481), "", 'Data Entry'!$M$481)</f>
      </c>
      <c r="N481">
        <f>IF(ISBLANK('Data Entry'!$N$481), "", 'Data Entry'!$N$481)</f>
      </c>
      <c r="O481">
        <f>IF(ISBLANK('Data Entry'!$O$481), "", 'Data Entry'!$O$481)</f>
      </c>
      <c r="P481">
        <f>IF(ISBLANK('Data Entry'!$P$481), "", 'Data Entry'!$P$481)</f>
      </c>
      <c r="Q481">
        <f>IF(ISBLANK('Data Entry'!$Q$481), "", 'Data Entry'!$Q$481)</f>
      </c>
      <c r="R481">
        <f>IF(ISBLANK('Data Entry'!$R$481), "", 'Data Entry'!$R$481)</f>
      </c>
      <c r="S481">
        <f>IF(ISBLANK('Data Entry'!$S$481), "", 'Data Entry'!$S$481)</f>
      </c>
      <c r="T481">
        <f>IF(ISBLANK('Data Entry'!$T$481), "", 'Data Entry'!$T$481)</f>
      </c>
      <c r="U481">
        <f>IF(ISBLANK('Data Entry'!$U$481), "", 'Data Entry'!$U$481)</f>
      </c>
      <c r="V481">
        <f>IF(ISBLANK('Data Entry'!$V$481), "", 'Data Entry'!$V$481)</f>
      </c>
      <c r="W481">
        <f>IF(ISBLANK('Data Entry'!$W$481), "", 'Data Entry'!$W$481)</f>
      </c>
      <c r="X481">
        <f>IF(ISBLANK('Data Entry'!$X$481), "", 'Data Entry'!$X$481)</f>
      </c>
      <c r="Y481">
        <f>IF(ISBLANK('Data Entry'!$Y$481), "", 'Data Entry'!$Y$481)</f>
      </c>
      <c r="Z481">
        <f>IF(ISBLANK('Data Entry'!$Z$481), "", 'Data Entry'!$Z$481)</f>
      </c>
      <c r="AA481">
        <f>IF(ISBLANK('Data Entry'!$[$481), "", 'Data Entry'!$[$481)</f>
      </c>
      <c r="AB481">
        <f>IF(ISBLANK('Data Entry'!$\$481), "", 'Data Entry'!$\$481)</f>
      </c>
      <c r="AC481">
        <f>IF(ISBLANK('Data Entry'!$]$481), "", 'Data Entry'!$]$481)</f>
      </c>
      <c r="AD481">
        <f>IF(ISBLANK('Data Entry'!$^$481), "", 'Data Entry'!$^$481)</f>
      </c>
      <c r="AE481">
        <f>IF(ISBLANK('Data Entry'!$_$481), "", 'Data Entry'!$_$481)</f>
      </c>
      <c r="AF481">
        <f>IF(ISBLANK('Data Entry'!$`$481), "", 'Data Entry'!$`$481)</f>
      </c>
      <c r="AG481">
        <f>IF(ISBLANK('Data Entry'!$a$481), "", 'Data Entry'!$a$481)</f>
      </c>
      <c r="AH481">
        <f>IF(ISBLANK('Data Entry'!$b$481), "", 'Data Entry'!$b$481)</f>
      </c>
      <c r="AI481">
        <f>IF(ISBLANK('Data Entry'!$c$481), "", 'Data Entry'!$c$481)</f>
      </c>
      <c r="AJ481">
        <f>IF(ISBLANK('Data Entry'!$d$481), "", 'Data Entry'!$d$481)</f>
      </c>
      <c r="AK481">
        <f>IF(ISBLANK('Data Entry'!$e$481), "", 'Data Entry'!$e$481)</f>
      </c>
      <c r="AL481">
        <f>IF(ISBLANK('Data Entry'!$f$481), "", 'Data Entry'!$f$481)</f>
      </c>
      <c r="AM481">
        <f>IF(ISBLANK('Data Entry'!$g$481), "", 'Data Entry'!$g$481)</f>
      </c>
      <c r="AN481">
        <f>IF(ISBLANK('Data Entry'!$h$481), "", 'Data Entry'!$h$481)</f>
      </c>
      <c r="AO481">
        <f>IF(ISBLANK('Data Entry'!$i$481), "", 'Data Entry'!$i$481)</f>
      </c>
      <c r="AP481">
        <f>IF(ISBLANK('Data Entry'!$j$481), "", 'Data Entry'!$j$481)</f>
      </c>
      <c r="AQ481">
        <f>IF(ISBLANK('Data Entry'!$k$481), "", 'Data Entry'!$k$481)</f>
      </c>
      <c r="AR481">
        <f>IF(ISBLANK('Data Entry'!$l$481), "", 'Data Entry'!$l$481)</f>
      </c>
      <c r="AS481">
        <f>IF(ISBLANK('Data Entry'!$m$481), "", 'Data Entry'!$m$481)</f>
      </c>
      <c r="AT481">
        <f>IF(ISBLANK('Data Entry'!$n$481), "", 'Data Entry'!$n$481)</f>
      </c>
      <c r="AU481">
        <f>IF(ISBLANK('Data Entry'!$o$481), "", 'Data Entry'!$o$481)</f>
      </c>
      <c r="AV481">
        <f>IF(ISBLANK('Data Entry'!$p$481), "", 'Data Entry'!$p$481)</f>
      </c>
      <c r="AW481">
        <f>IF(ISBLANK('Data Entry'!$q$481), "", 'Data Entry'!$q$481)</f>
      </c>
      <c r="AX481">
        <f>IF(ISBLANK('Data Entry'!$r$481), "", 'Data Entry'!$r$481)</f>
      </c>
      <c r="AY481">
        <f>IF(ISBLANK('Data Entry'!$s$481), "", 'Data Entry'!$s$481)</f>
      </c>
      <c r="AZ481">
        <f>IF(ISBLANK('Data Entry'!$t$481), "", 'Data Entry'!$t$481)</f>
      </c>
      <c r="BA481">
        <f>IF(ISBLANK('Data Entry'!$u$481), "", 'Data Entry'!$u$481)</f>
      </c>
      <c r="BB481">
        <f>IF(ISBLANK('Data Entry'!$v$481), "", 'Data Entry'!$v$481)</f>
      </c>
      <c r="BC481">
        <f>IF(ISBLANK('Data Entry'!$w$481), "", 'Data Entry'!$w$481)</f>
      </c>
      <c r="BD481">
        <f>IF(ISBLANK('Data Entry'!$x$481), "", 'Data Entry'!$x$481)</f>
      </c>
      <c r="BE481">
        <f>IF(ISBLANK('Data Entry'!$y$481), "", 'Data Entry'!$y$481)</f>
      </c>
      <c r="BF481">
        <f>IF(ISBLANK('Data Entry'!$z$481), "", 'Data Entry'!$z$481)</f>
      </c>
      <c r="BG481">
        <f>IF(ISBLANK('Data Entry'!${$481), "", 'Data Entry'!${$481)</f>
      </c>
      <c r="BH481">
        <f>IF(ISBLANK('Data Entry'!$|$481), "", 'Data Entry'!$|$481)</f>
      </c>
      <c r="BI481">
        <f>IF(ISBLANK('Data Entry'!$}$481), "", 'Data Entry'!$}$481)</f>
      </c>
      <c r="BJ481">
        <f>IF(ISBLANK('Data Entry'!$~$481), "", 'Data Entry'!$~$481)</f>
      </c>
      <c r="BK481">
        <f>IF(ISBLANK('Data Entry'!$$481), "", 'Data Entry'!$$481)</f>
      </c>
      <c r="BL481">
        <f>IF(ISBLANK('Data Entry'!$$481), "", 'Data Entry'!$$481)</f>
      </c>
      <c r="BM481">
        <f>IF(ISBLANK('Data Entry'!$$481), "", 'Data Entry'!$$481)</f>
      </c>
      <c r="BN481">
        <f>IF(ISBLANK('Data Entry'!$$481), "", 'Data Entry'!$$481)</f>
      </c>
      <c r="BO481">
        <f>IF(ISBLANK('Data Entry'!$$481), "", 'Data Entry'!$$481)</f>
      </c>
      <c r="BP481">
        <f>IF(ISBLANK('Data Entry'!$$481), "", 'Data Entry'!$$481)</f>
      </c>
      <c r="BQ481">
        <f>IF(ISBLANK('Data Entry'!$$481), "", 'Data Entry'!$$481)</f>
      </c>
      <c r="BR481">
        <f>IF(ISBLANK('Data Entry'!$$481), "", 'Data Entry'!$$481)</f>
      </c>
      <c r="BS481">
        <f>IF(ISBLANK('Data Entry'!$$481), "", 'Data Entry'!$$481)</f>
      </c>
      <c r="BT481">
        <f>IF(ISBLANK('Data Entry'!$$481), "", 'Data Entry'!$$481)</f>
      </c>
      <c r="BU481">
        <f>IF(ISBLANK('Data Entry'!$$481), "", 'Data Entry'!$$481)</f>
      </c>
      <c r="BV481">
        <f>IF(ISBLANK('Data Entry'!$$481), "", 'Data Entry'!$$481)</f>
      </c>
      <c r="BW481">
        <f>IF(ISBLANK('Data Entry'!$$481), "", 'Data Entry'!$$481)</f>
      </c>
      <c r="BX481">
        <f>IF(ISBLANK('Data Entry'!$$481), "", 'Data Entry'!$$481)</f>
      </c>
      <c r="BY481">
        <f>IF(ISBLANK('Data Entry'!$$481), "", 'Data Entry'!$$481)</f>
      </c>
      <c r="BZ481">
        <f>IF(ISBLANK('Data Entry'!$$481), "", 'Data Entry'!$$481)</f>
      </c>
      <c r="CA481">
        <f>IF(ISBLANK('Data Entry'!$$481), "", 'Data Entry'!$$481)</f>
      </c>
      <c r="CB481">
        <f>IF(ISBLANK('Data Entry'!$$481), "", 'Data Entry'!$$481)</f>
      </c>
      <c r="CC481">
        <f>IF(ISBLANK('Data Entry'!$$481), "", 'Data Entry'!$$481)</f>
      </c>
      <c r="CD481">
        <f>IF(ISBLANK('Data Entry'!$$481), "", 'Data Entry'!$$481)</f>
      </c>
      <c r="CE481">
        <f>IF(ISBLANK('Data Entry'!$$481), "", 'Data Entry'!$$481)</f>
      </c>
      <c r="CF481">
        <f>IF(ISBLANK('Data Entry'!$$481), "", 'Data Entry'!$$481)</f>
      </c>
      <c r="CG481">
        <f>IF(ISBLANK('Data Entry'!$$481), "", 'Data Entry'!$$481)</f>
      </c>
      <c r="CH481">
        <f>IF(ISBLANK('Data Entry'!$$481), "", 'Data Entry'!$$481)</f>
      </c>
      <c r="CI481">
        <f>IF(ISBLANK('Data Entry'!$$481), "", 'Data Entry'!$$481)</f>
      </c>
      <c r="CJ481">
        <f>IF(ISBLANK('Data Entry'!$$481), "", 'Data Entry'!$$481)</f>
      </c>
      <c r="CK481">
        <f>IF(ISBLANK('Data Entry'!$$481), "", 'Data Entry'!$$481)</f>
      </c>
      <c r="CL481">
        <f>IF(ISBLANK('Data Entry'!$$481), "", 'Data Entry'!$$481)</f>
      </c>
      <c r="CM481">
        <f>IF(ISBLANK('Data Entry'!$$481), "", 'Data Entry'!$$481)</f>
      </c>
      <c r="CN481">
        <f>IF(ISBLANK('Data Entry'!$$481), "", 'Data Entry'!$$481)</f>
      </c>
      <c r="CO481">
        <f>IF(ISBLANK('Data Entry'!$$481), "", 'Data Entry'!$$481)</f>
      </c>
      <c r="CP481">
        <f>IF(ISBLANK('Data Entry'!$$481), "", 'Data Entry'!$$481)</f>
      </c>
      <c r="CQ481">
        <f>IF(ISBLANK('Data Entry'!$$481), "", 'Data Entry'!$$481)</f>
      </c>
      <c r="CR481">
        <f>IF(ISBLANK('Data Entry'!$ $481), "", 'Data Entry'!$ $481)</f>
      </c>
      <c r="CS481">
        <f>IF(ISBLANK('Data Entry'!$¡$481), "", 'Data Entry'!$¡$481)</f>
      </c>
      <c r="CT481">
        <f>IF(ISBLANK('Data Entry'!$¢$481), "", 'Data Entry'!$¢$481)</f>
      </c>
      <c r="CU481">
        <f>IF(ISBLANK('Data Entry'!$£$481), "", 'Data Entry'!$£$481)</f>
      </c>
      <c r="CV481">
        <f>IF(ISBLANK('Data Entry'!$¤$481), "", 'Data Entry'!$¤$481)</f>
      </c>
      <c r="CW481">
        <f>IF(ISBLANK('Data Entry'!$¥$481), "", 'Data Entry'!$¥$481)</f>
      </c>
      <c r="CX481">
        <f>IF(ISBLANK('Data Entry'!$¦$481), "", 'Data Entry'!$¦$481)</f>
      </c>
      <c r="CY481">
        <f>IF(ISBLANK('Data Entry'!$§$481), "", 'Data Entry'!$§$481)</f>
      </c>
      <c r="CZ481">
        <f>IF(ISBLANK('Data Entry'!$¨$481), "", 'Data Entry'!$¨$481)</f>
      </c>
      <c r="DA481">
        <f>IF(ISBLANK('Data Entry'!$©$481), "", 'Data Entry'!$©$481)</f>
      </c>
      <c r="DB481">
        <f>IF(ISBLANK('Data Entry'!$ª$481), "", 'Data Entry'!$ª$481)</f>
      </c>
      <c r="DC481">
        <f>IF(ISBLANK('Data Entry'!$«$481), "", 'Data Entry'!$«$481)</f>
      </c>
      <c r="DD481">
        <f>IF(ISBLANK('Data Entry'!$¬$481), "", 'Data Entry'!$¬$481)</f>
      </c>
      <c r="DE481">
        <f>IF(ISBLANK('Data Entry'!$­$481), "", 'Data Entry'!$­$481)</f>
      </c>
      <c r="DF481">
        <f>IF(ISBLANK('Data Entry'!$®$481), "", 'Data Entry'!$®$481)</f>
      </c>
      <c r="DG481">
        <f>IF(ISBLANK('Data Entry'!$¯$481), "", 'Data Entry'!$¯$481)</f>
      </c>
      <c r="DH481">
        <f>IF(ISBLANK('Data Entry'!$°$481), "", 'Data Entry'!$°$481)</f>
      </c>
      <c r="DI481">
        <f>IF(ISBLANK('Data Entry'!$±$481), "", 'Data Entry'!$±$481)</f>
      </c>
      <c r="DJ481">
        <f>IF(ISBLANK('Data Entry'!$²$481), "", 'Data Entry'!$²$481)</f>
      </c>
      <c r="DK481">
        <f>IF(ISBLANK('Data Entry'!$³$481), "", 'Data Entry'!$³$481)</f>
      </c>
      <c r="DL481">
        <f>IF(ISBLANK('Data Entry'!$´$481), "", 'Data Entry'!$´$481)</f>
      </c>
      <c r="DM481">
        <f>IF(ISBLANK('Data Entry'!$µ$481), "", 'Data Entry'!$µ$481)</f>
      </c>
      <c r="DN481">
        <f>IF(ISBLANK('Data Entry'!$¶$481), "", 'Data Entry'!$¶$481)</f>
      </c>
      <c r="DO481">
        <f>IF(ISBLANK('Data Entry'!$·$481), "", 'Data Entry'!$·$481)</f>
      </c>
      <c r="DP481">
        <f>IF(ISBLANK('Data Entry'!$¸$481), "", 'Data Entry'!$¸$481)</f>
      </c>
      <c r="DQ481">
        <f>IF(ISBLANK('Data Entry'!$¹$481), "", 'Data Entry'!$¹$481)</f>
      </c>
      <c r="DR481">
        <f>IF(ISBLANK('Data Entry'!$º$481), "", 'Data Entry'!$º$481)</f>
      </c>
      <c r="DS481">
        <f>IF(ISBLANK('Data Entry'!$»$481), "", 'Data Entry'!$»$481)</f>
      </c>
      <c r="DT481">
        <f>IF(ISBLANK('Data Entry'!$¼$481), "", 'Data Entry'!$¼$481)</f>
      </c>
      <c r="DU481">
        <f>IF(ISBLANK('Data Entry'!$½$481), "", 'Data Entry'!$½$481)</f>
      </c>
      <c r="DV481">
        <f>IF(ISBLANK('Data Entry'!$¾$481), "", 'Data Entry'!$¾$481)</f>
      </c>
      <c r="DW481">
        <f>IF(ISBLANK('Data Entry'!$¿$481), "", 'Data Entry'!$¿$481)</f>
      </c>
      <c r="DX481">
        <f>IF(ISBLANK('Data Entry'!$À$481), "", 'Data Entry'!$À$481)</f>
      </c>
      <c r="DY481">
        <f>IF(ISBLANK('Data Entry'!$Á$481), "", 'Data Entry'!$Á$481)</f>
      </c>
      <c r="DZ481">
        <f>IF(ISBLANK('Data Entry'!$Â$481), "", 'Data Entry'!$Â$481)</f>
      </c>
      <c r="EA481">
        <f>IF(ISBLANK('Data Entry'!$Ã$481), "", 'Data Entry'!$Ã$481)</f>
      </c>
      <c r="EB481">
        <f>IF(ISBLANK('Data Entry'!$Ä$481), "", 'Data Entry'!$Ä$481)</f>
      </c>
      <c r="EC481">
        <f>IF(ISBLANK('Data Entry'!$Å$481), "", 'Data Entry'!$Å$481)</f>
      </c>
      <c r="ED481">
        <f>IF(ISBLANK('Data Entry'!$Æ$481), "", 'Data Entry'!$Æ$481)</f>
      </c>
      <c r="EE481">
        <f>IF(ISBLANK('Data Entry'!$Ç$481), "", 'Data Entry'!$Ç$481)</f>
      </c>
      <c r="EF481">
        <f>IF(ISBLANK('Data Entry'!$È$481), "", 'Data Entry'!$È$481)</f>
      </c>
      <c r="EG481">
        <f>IF(ISBLANK('Data Entry'!$É$481), "", 'Data Entry'!$É$481)</f>
      </c>
      <c r="EH481">
        <f>IF(ISBLANK('Data Entry'!$Ê$481), "", 'Data Entry'!$Ê$481)</f>
      </c>
      <c r="EI481">
        <f>IF(ISBLANK('Data Entry'!$Ë$481), "", 'Data Entry'!$Ë$481)</f>
      </c>
      <c r="EJ481">
        <f>IF(ISBLANK('Data Entry'!$Ì$481), "", 'Data Entry'!$Ì$481)</f>
      </c>
      <c r="EK481">
        <f>IF(ISBLANK('Data Entry'!$Í$481), "", 'Data Entry'!$Í$481)</f>
      </c>
      <c r="EL481">
        <f>IF(ISBLANK('Data Entry'!$Î$481), "", 'Data Entry'!$Î$481)</f>
      </c>
      <c r="EM481">
        <f>IF(ISBLANK('Data Entry'!$Ï$481), "", 'Data Entry'!$Ï$481)</f>
      </c>
      <c r="EN481">
        <f>IF(ISBLANK('Data Entry'!$Ð$481), "", 'Data Entry'!$Ð$481)</f>
      </c>
      <c r="EO481">
        <f>IF(ISBLANK('Data Entry'!$Ñ$481), "", 'Data Entry'!$Ñ$481)</f>
      </c>
      <c r="EP481">
        <f>IF(ISBLANK('Data Entry'!$Ò$481), "", 'Data Entry'!$Ò$481)</f>
      </c>
      <c r="EQ481">
        <f>IF(ISBLANK('Data Entry'!$Ó$481), "", 'Data Entry'!$Ó$481)</f>
      </c>
      <c r="ER481">
        <f>IF(ISBLANK('Data Entry'!$Ô$481), "", 'Data Entry'!$Ô$481)</f>
      </c>
      <c r="ES481">
        <f>IF(ISBLANK('Data Entry'!$Õ$481), "", 'Data Entry'!$Õ$481)</f>
      </c>
      <c r="ET481">
        <f>IF(ISBLANK('Data Entry'!$Ö$481), "", 'Data Entry'!$Ö$481)</f>
      </c>
      <c r="EU481">
        <f>IF(ISBLANK('Data Entry'!$×$481), "", 'Data Entry'!$×$481)</f>
      </c>
      <c r="EV481">
        <f>IF(ISBLANK('Data Entry'!$Ø$481), "", 'Data Entry'!$Ø$481)</f>
      </c>
      <c r="EW481">
        <f>IF(ISBLANK('Data Entry'!$Ù$481), "", 'Data Entry'!$Ù$481)</f>
      </c>
      <c r="EX481">
        <f>IF(ISBLANK('Data Entry'!$Ú$481), "", 'Data Entry'!$Ú$481)</f>
      </c>
      <c r="EY481">
        <f>IF(ISBLANK('Data Entry'!$Û$481), "", 'Data Entry'!$Û$481)</f>
      </c>
      <c r="EZ481">
        <f>IF(ISBLANK('Data Entry'!$Ü$481), "", 'Data Entry'!$Ü$481)</f>
      </c>
      <c r="FA481">
        <f>IF(ISBLANK('Data Entry'!$Ý$481), "", 'Data Entry'!$Ý$481)</f>
      </c>
      <c r="FB481">
        <f>IF(ISBLANK('Data Entry'!$Þ$481), "", 'Data Entry'!$Þ$481)</f>
      </c>
      <c r="FC481">
        <f>IF(ISBLANK('Data Entry'!$ß$481), "", 'Data Entry'!$ß$481)</f>
      </c>
      <c r="FD481">
        <f>IF(ISBLANK('Data Entry'!$à$481), "", 'Data Entry'!$à$481)</f>
      </c>
      <c r="FE481">
        <f>IF(ISBLANK('Data Entry'!$á$481), "", 'Data Entry'!$á$481)</f>
      </c>
      <c r="FF481">
        <f>IF(ISBLANK('Data Entry'!$â$481), "", 'Data Entry'!$â$481)</f>
      </c>
      <c r="FG481">
        <f>IF(ISBLANK('Data Entry'!$ã$481), "", 'Data Entry'!$ã$481)</f>
      </c>
      <c r="FH481">
        <f>IF(ISBLANK('Data Entry'!$ä$481), "", 'Data Entry'!$ä$481)</f>
      </c>
      <c r="FI481">
        <f>IF(ISBLANK('Data Entry'!$å$481), "", 'Data Entry'!$å$481)</f>
      </c>
      <c r="FJ481">
        <f>IF(ISBLANK('Data Entry'!$æ$481), "", 'Data Entry'!$æ$481)</f>
      </c>
      <c r="FK481">
        <f>IF(ISBLANK('Data Entry'!$ç$481), "", 'Data Entry'!$ç$481)</f>
      </c>
      <c r="FL481">
        <f>IF(ISBLANK('Data Entry'!$è$481), "", 'Data Entry'!$è$481)</f>
      </c>
      <c r="FM481">
        <f>IF(ISBLANK('Data Entry'!$é$481), "", 'Data Entry'!$é$481)</f>
      </c>
      <c r="FN481">
        <f>IF(ISBLANK('Data Entry'!$ê$481), "", 'Data Entry'!$ê$481)</f>
      </c>
      <c r="FO481">
        <f>IF(ISBLANK('Data Entry'!$ë$481), "", 'Data Entry'!$ë$481)</f>
      </c>
      <c r="FP481">
        <f>IF(ISBLANK('Data Entry'!$ì$481), "", 'Data Entry'!$ì$481)</f>
      </c>
      <c r="FQ481">
        <f>IF(ISBLANK('Data Entry'!$í$481), "", 'Data Entry'!$í$481)</f>
      </c>
      <c r="FR481">
        <f>IF(ISBLANK('Data Entry'!$î$481), "", 'Data Entry'!$î$481)</f>
      </c>
      <c r="FS481">
        <f>IF(ISBLANK('Data Entry'!$ï$481), "", 'Data Entry'!$ï$481)</f>
      </c>
      <c r="FT481">
        <f>IF(ISBLANK('Data Entry'!$ð$481), "", 'Data Entry'!$ð$481)</f>
      </c>
      <c r="FU481">
        <f>IF(ISBLANK('Data Entry'!$ñ$481), "", 'Data Entry'!$ñ$481)</f>
      </c>
      <c r="FV481">
        <f>IF(ISBLANK('Data Entry'!$ò$481), "", 'Data Entry'!$ò$481)</f>
      </c>
      <c r="FW481">
        <f>IF(ISBLANK('Data Entry'!$ó$481), "", 'Data Entry'!$ó$481)</f>
      </c>
      <c r="FX481">
        <f>IF(ISBLANK('Data Entry'!$ô$481), "", 'Data Entry'!$ô$481)</f>
      </c>
      <c r="FY481">
        <f>IF(ISBLANK('Data Entry'!$õ$481), "", 'Data Entry'!$õ$481)</f>
      </c>
      <c r="FZ481">
        <f>IF(ISBLANK('Data Entry'!$ö$481), "", 'Data Entry'!$ö$481)</f>
      </c>
      <c r="GA481">
        <f>IF(ISBLANK('Data Entry'!$÷$481), "", 'Data Entry'!$÷$481)</f>
      </c>
      <c r="GB481">
        <f>IF(ISBLANK('Data Entry'!$ø$481), "", 'Data Entry'!$ø$481)</f>
      </c>
      <c r="GC481">
        <f>IF(ISBLANK('Data Entry'!$ù$481), "", 'Data Entry'!$ù$481)</f>
      </c>
      <c r="GD481">
        <f>IF(ISBLANK('Data Entry'!$ú$481), "", 'Data Entry'!$ú$481)</f>
      </c>
      <c r="GE481">
        <f>IF(ISBLANK('Data Entry'!$û$481), "", 'Data Entry'!$û$481)</f>
      </c>
      <c r="GF481">
        <f>IF(ISBLANK('Data Entry'!$ü$481), "", 'Data Entry'!$ü$481)</f>
      </c>
      <c r="GG481">
        <f>IF(ISBLANK('Data Entry'!$ý$481), "", 'Data Entry'!$ý$481)</f>
      </c>
      <c r="GH481">
        <f>IF(ISBLANK('Data Entry'!$þ$481), "", 'Data Entry'!$þ$481)</f>
      </c>
      <c r="GI481">
        <f>IF(ISBLANK('Data Entry'!$ÿ$481), "", 'Data Entry'!$ÿ$481)</f>
      </c>
      <c r="GJ481">
        <f>IF(ISBLANK('Data Entry'!$Ā$481), "", 'Data Entry'!$Ā$481)</f>
      </c>
      <c r="GK481">
        <f>IF(ISBLANK('Data Entry'!$ā$481), "", 'Data Entry'!$ā$481)</f>
      </c>
      <c r="GL481">
        <f>IF(ISBLANK('Data Entry'!$Ă$481), "", 'Data Entry'!$Ă$481)</f>
      </c>
      <c r="GM481">
        <f>IF(ISBLANK('Data Entry'!$ă$481), "", 'Data Entry'!$ă$481)</f>
      </c>
      <c r="GN481">
        <f>IF(ISBLANK('Data Entry'!$Ą$481), "", 'Data Entry'!$Ą$481)</f>
      </c>
      <c r="GO481">
        <f>IF(ISBLANK('Data Entry'!$ą$481), "", 'Data Entry'!$ą$481)</f>
      </c>
      <c r="GP481">
        <f>IF(ISBLANK('Data Entry'!$Ć$481), "", 'Data Entry'!$Ć$481)</f>
      </c>
      <c r="GQ481">
        <f>IF(ISBLANK('Data Entry'!$ć$481), "", 'Data Entry'!$ć$481)</f>
      </c>
      <c r="GR481">
        <f>IF(ISBLANK('Data Entry'!$Ĉ$481), "", 'Data Entry'!$Ĉ$481)</f>
      </c>
      <c r="GS481">
        <f>IF(ISBLANK('Data Entry'!$ĉ$481), "", 'Data Entry'!$ĉ$481)</f>
      </c>
      <c r="GT481">
        <f>IF(ISBLANK('Data Entry'!$Ċ$481), "", 'Data Entry'!$Ċ$481)</f>
      </c>
      <c r="GU481">
        <f>IF(ISBLANK('Data Entry'!$ċ$481), "", 'Data Entry'!$ċ$481)</f>
      </c>
      <c r="GV481">
        <f>IF(ISBLANK('Data Entry'!$Č$481), "", 'Data Entry'!$Č$481)</f>
      </c>
      <c r="GW481">
        <f>IF(ISBLANK('Data Entry'!$č$481), "", 'Data Entry'!$č$481)</f>
      </c>
      <c r="GX481">
        <f>IF(ISBLANK('Data Entry'!$Ď$481), "", 'Data Entry'!$Ď$481)</f>
      </c>
      <c r="GY481">
        <f>IF(ISBLANK('Data Entry'!$ď$481), "", 'Data Entry'!$ď$481)</f>
      </c>
      <c r="GZ481">
        <f>IF(ISBLANK('Data Entry'!$Đ$481), "", 'Data Entry'!$Đ$481)</f>
      </c>
      <c r="HA481">
        <f>IF(ISBLANK('Data Entry'!$đ$481), "", 'Data Entry'!$đ$481)</f>
      </c>
      <c r="HB481">
        <f>IF(ISBLANK('Data Entry'!$Ē$481), "", 'Data Entry'!$Ē$481)</f>
      </c>
      <c r="HC481">
        <f>IF(ISBLANK('Data Entry'!$ē$481), "", 'Data Entry'!$ē$481)</f>
      </c>
      <c r="HD481">
        <f>IF(ISBLANK('Data Entry'!$Ĕ$481), "", 'Data Entry'!$Ĕ$481)</f>
      </c>
      <c r="HE481">
        <f>IF(ISBLANK('Data Entry'!$ĕ$481), "", 'Data Entry'!$ĕ$481)</f>
      </c>
      <c r="HF481">
        <f>IF(ISBLANK('Data Entry'!$Ė$481), "", 'Data Entry'!$Ė$481)</f>
      </c>
      <c r="HG481">
        <f>IF(ISBLANK('Data Entry'!$ė$481), "", 'Data Entry'!$ė$481)</f>
      </c>
      <c r="HH481">
        <f>IF(ISBLANK('Data Entry'!$Ę$481), "", 'Data Entry'!$Ę$481)</f>
      </c>
      <c r="HI481">
        <f>IF(ISBLANK('Data Entry'!$ę$481), "", 'Data Entry'!$ę$481)</f>
      </c>
      <c r="HJ481">
        <f>IF(ISBLANK('Data Entry'!$Ě$481), "", 'Data Entry'!$Ě$481)</f>
      </c>
      <c r="HK481">
        <f>IF(ISBLANK('Data Entry'!$ě$481), "", 'Data Entry'!$ě$481)</f>
      </c>
      <c r="HL481">
        <f>IF(ISBLANK('Data Entry'!$Ĝ$481), "", 'Data Entry'!$Ĝ$481)</f>
      </c>
      <c r="HM481">
        <f>IF(ISBLANK('Data Entry'!$ĝ$481), "", 'Data Entry'!$ĝ$481)</f>
      </c>
      <c r="HN481">
        <f>IF(ISBLANK('Data Entry'!$Ğ$481), "", 'Data Entry'!$Ğ$481)</f>
      </c>
      <c r="HO481">
        <f>IF(ISBLANK('Data Entry'!$ğ$481), "", 'Data Entry'!$ğ$481)</f>
      </c>
      <c r="HP481">
        <f>IF(ISBLANK('Data Entry'!$Ġ$481), "", 'Data Entry'!$Ġ$481)</f>
      </c>
      <c r="HQ481">
        <f>IF(ISBLANK('Data Entry'!$ġ$481), "", 'Data Entry'!$ġ$481)</f>
      </c>
      <c r="HR481">
        <f>IF(ISBLANK('Data Entry'!$Ģ$481), "", 'Data Entry'!$Ģ$481)</f>
      </c>
      <c r="HS481">
        <f>IF(ISBLANK('Data Entry'!$ģ$481), "", 'Data Entry'!$ģ$481)</f>
      </c>
      <c r="HT481">
        <f>IF(ISBLANK('Data Entry'!$Ĥ$481), "", 'Data Entry'!$Ĥ$481)</f>
      </c>
      <c r="HU481">
        <f>IF(ISBLANK('Data Entry'!$ĥ$481), "", 'Data Entry'!$ĥ$481)</f>
      </c>
      <c r="HV481">
        <f>IF(ISBLANK('Data Entry'!$Ħ$481), "", 'Data Entry'!$Ħ$481)</f>
      </c>
      <c r="HW481">
        <f>IF(ISBLANK('Data Entry'!$ħ$481), "", 'Data Entry'!$ħ$481)</f>
      </c>
      <c r="HX481">
        <f>IF(ISBLANK('Data Entry'!$Ĩ$481), "", 'Data Entry'!$Ĩ$481)</f>
      </c>
      <c r="HY481">
        <f>IF(ISBLANK('Data Entry'!$ĩ$481), "", 'Data Entry'!$ĩ$481)</f>
      </c>
      <c r="HZ481">
        <f>IF(ISBLANK('Data Entry'!$Ī$481), "", 'Data Entry'!$Ī$481)</f>
      </c>
      <c r="IA481">
        <f>IF(ISBLANK('Data Entry'!$ī$481), "", 'Data Entry'!$ī$481)</f>
      </c>
      <c r="IB481">
        <f>IF(ISBLANK('Data Entry'!$Ĭ$481), "", 'Data Entry'!$Ĭ$481)</f>
      </c>
      <c r="IC481">
        <f>IF(ISBLANK('Data Entry'!$ĭ$481), "", 'Data Entry'!$ĭ$481)</f>
      </c>
      <c r="ID481">
        <f>IF(ISBLANK('Data Entry'!$Į$481), "", 'Data Entry'!$Į$481)</f>
      </c>
      <c r="IE481">
        <f>IF(ISBLANK('Data Entry'!$į$481), "", 'Data Entry'!$į$481)</f>
      </c>
      <c r="IF481">
        <f>IF(ISBLANK('Data Entry'!$İ$481), "", 'Data Entry'!$İ$481)</f>
      </c>
      <c r="IG481">
        <f>IF(ISBLANK('Data Entry'!$ı$481), "", 'Data Entry'!$ı$481)</f>
      </c>
      <c r="IH481">
        <f>IF(ISBLANK('Data Entry'!$Ĳ$481), "", 'Data Entry'!$Ĳ$481)</f>
      </c>
      <c r="II481">
        <f>IF(ISBLANK('Data Entry'!$ĳ$481), "", 'Data Entry'!$ĳ$481)</f>
      </c>
      <c r="IJ481">
        <f>IF(ISBLANK('Data Entry'!$Ĵ$481), "", 'Data Entry'!$Ĵ$481)</f>
      </c>
      <c r="IK481">
        <f>IF(ISBLANK('Data Entry'!$ĵ$481), "", 'Data Entry'!$ĵ$481)</f>
      </c>
      <c r="IL481">
        <f>IF(ISBLANK('Data Entry'!$Ķ$481), "", 'Data Entry'!$Ķ$481)</f>
      </c>
      <c r="IM481">
        <f>IF(ISBLANK('Data Entry'!$ķ$481), "", 'Data Entry'!$ķ$481)</f>
      </c>
      <c r="IN481">
        <f>IF(ISBLANK('Data Entry'!$ĸ$481), "", 'Data Entry'!$ĸ$481)</f>
      </c>
      <c r="IO481">
        <f>IF(ISBLANK('Data Entry'!$Ĺ$481), "", 'Data Entry'!$Ĺ$481)</f>
      </c>
      <c r="IP481">
        <f>IF(ISBLANK('Data Entry'!$ĺ$481), "", 'Data Entry'!$ĺ$481)</f>
      </c>
      <c r="IQ481">
        <f>IF(ISBLANK('Data Entry'!$Ļ$481), "", 'Data Entry'!$Ļ$481)</f>
      </c>
      <c r="IR481">
        <f>IF(ISBLANK('Data Entry'!$ļ$481), "", 'Data Entry'!$ļ$481)</f>
      </c>
      <c r="IS481">
        <f>IF(ISBLANK('Data Entry'!$Ľ$481), "", 'Data Entry'!$Ľ$481)</f>
      </c>
      <c r="IT481">
        <f>IF(ISBLANK('Data Entry'!$ľ$481), "", 'Data Entry'!$ľ$481)</f>
      </c>
    </row>
    <row r="482" spans="1:254" x14ac:dyDescent="0.25">
      <c r="A482">
        <f>IF(ISBLANK('Data Entry'!$A$482), "", 'Data Entry'!$A$482)</f>
      </c>
      <c r="B482">
        <f>IF(ISBLANK('Data Entry'!$B$482), "", 'Data Entry'!$B$482)</f>
      </c>
      <c r="C482">
        <f>IF(ISBLANK('Data Entry'!$C$482), "", 'Data Entry'!$C$482)</f>
      </c>
      <c r="D482">
        <f>IF(ISBLANK('Data Entry'!$D$482), "", 'Data Entry'!$D$482)</f>
      </c>
      <c r="E482">
        <f>IF(ISBLANK('Data Entry'!$E$482), "", 'Data Entry'!$E$482)</f>
      </c>
      <c r="F482">
        <f>IF(ISBLANK('Data Entry'!$F$482), "", 'Data Entry'!$F$482)</f>
      </c>
      <c r="G482">
        <f>IF(ISBLANK('Data Entry'!$G$482), "", 'Data Entry'!$G$482)</f>
      </c>
      <c r="H482">
        <f>IF(ISBLANK('Data Entry'!$H$482), "", 'Data Entry'!$H$482)</f>
      </c>
      <c r="I482">
        <f>IF(ISBLANK('Data Entry'!$I$482), "", 'Data Entry'!$I$482)</f>
      </c>
      <c r="J482">
        <f>IF(ISBLANK('Data Entry'!$J$482), "", 'Data Entry'!$J$482)</f>
      </c>
      <c r="K482">
        <f>IF(ISBLANK('Data Entry'!$K$482), "", 'Data Entry'!$K$482)</f>
      </c>
      <c r="L482">
        <f>IF(ISBLANK('Data Entry'!$L$482), "", 'Data Entry'!$L$482)</f>
      </c>
      <c r="M482">
        <f>IF(ISBLANK('Data Entry'!$M$482), "", 'Data Entry'!$M$482)</f>
      </c>
      <c r="N482">
        <f>IF(ISBLANK('Data Entry'!$N$482), "", 'Data Entry'!$N$482)</f>
      </c>
      <c r="O482">
        <f>IF(ISBLANK('Data Entry'!$O$482), "", 'Data Entry'!$O$482)</f>
      </c>
      <c r="P482">
        <f>IF(ISBLANK('Data Entry'!$P$482), "", 'Data Entry'!$P$482)</f>
      </c>
      <c r="Q482">
        <f>IF(ISBLANK('Data Entry'!$Q$482), "", 'Data Entry'!$Q$482)</f>
      </c>
      <c r="R482">
        <f>IF(ISBLANK('Data Entry'!$R$482), "", 'Data Entry'!$R$482)</f>
      </c>
      <c r="S482">
        <f>IF(ISBLANK('Data Entry'!$S$482), "", 'Data Entry'!$S$482)</f>
      </c>
      <c r="T482">
        <f>IF(ISBLANK('Data Entry'!$T$482), "", 'Data Entry'!$T$482)</f>
      </c>
      <c r="U482">
        <f>IF(ISBLANK('Data Entry'!$U$482), "", 'Data Entry'!$U$482)</f>
      </c>
      <c r="V482">
        <f>IF(ISBLANK('Data Entry'!$V$482), "", 'Data Entry'!$V$482)</f>
      </c>
      <c r="W482">
        <f>IF(ISBLANK('Data Entry'!$W$482), "", 'Data Entry'!$W$482)</f>
      </c>
      <c r="X482">
        <f>IF(ISBLANK('Data Entry'!$X$482), "", 'Data Entry'!$X$482)</f>
      </c>
      <c r="Y482">
        <f>IF(ISBLANK('Data Entry'!$Y$482), "", 'Data Entry'!$Y$482)</f>
      </c>
      <c r="Z482">
        <f>IF(ISBLANK('Data Entry'!$Z$482), "", 'Data Entry'!$Z$482)</f>
      </c>
      <c r="AA482">
        <f>IF(ISBLANK('Data Entry'!$[$482), "", 'Data Entry'!$[$482)</f>
      </c>
      <c r="AB482">
        <f>IF(ISBLANK('Data Entry'!$\$482), "", 'Data Entry'!$\$482)</f>
      </c>
      <c r="AC482">
        <f>IF(ISBLANK('Data Entry'!$]$482), "", 'Data Entry'!$]$482)</f>
      </c>
      <c r="AD482">
        <f>IF(ISBLANK('Data Entry'!$^$482), "", 'Data Entry'!$^$482)</f>
      </c>
      <c r="AE482">
        <f>IF(ISBLANK('Data Entry'!$_$482), "", 'Data Entry'!$_$482)</f>
      </c>
      <c r="AF482">
        <f>IF(ISBLANK('Data Entry'!$`$482), "", 'Data Entry'!$`$482)</f>
      </c>
      <c r="AG482">
        <f>IF(ISBLANK('Data Entry'!$a$482), "", 'Data Entry'!$a$482)</f>
      </c>
      <c r="AH482">
        <f>IF(ISBLANK('Data Entry'!$b$482), "", 'Data Entry'!$b$482)</f>
      </c>
      <c r="AI482">
        <f>IF(ISBLANK('Data Entry'!$c$482), "", 'Data Entry'!$c$482)</f>
      </c>
      <c r="AJ482">
        <f>IF(ISBLANK('Data Entry'!$d$482), "", 'Data Entry'!$d$482)</f>
      </c>
      <c r="AK482">
        <f>IF(ISBLANK('Data Entry'!$e$482), "", 'Data Entry'!$e$482)</f>
      </c>
      <c r="AL482">
        <f>IF(ISBLANK('Data Entry'!$f$482), "", 'Data Entry'!$f$482)</f>
      </c>
      <c r="AM482">
        <f>IF(ISBLANK('Data Entry'!$g$482), "", 'Data Entry'!$g$482)</f>
      </c>
      <c r="AN482">
        <f>IF(ISBLANK('Data Entry'!$h$482), "", 'Data Entry'!$h$482)</f>
      </c>
      <c r="AO482">
        <f>IF(ISBLANK('Data Entry'!$i$482), "", 'Data Entry'!$i$482)</f>
      </c>
      <c r="AP482">
        <f>IF(ISBLANK('Data Entry'!$j$482), "", 'Data Entry'!$j$482)</f>
      </c>
      <c r="AQ482">
        <f>IF(ISBLANK('Data Entry'!$k$482), "", 'Data Entry'!$k$482)</f>
      </c>
      <c r="AR482">
        <f>IF(ISBLANK('Data Entry'!$l$482), "", 'Data Entry'!$l$482)</f>
      </c>
      <c r="AS482">
        <f>IF(ISBLANK('Data Entry'!$m$482), "", 'Data Entry'!$m$482)</f>
      </c>
      <c r="AT482">
        <f>IF(ISBLANK('Data Entry'!$n$482), "", 'Data Entry'!$n$482)</f>
      </c>
      <c r="AU482">
        <f>IF(ISBLANK('Data Entry'!$o$482), "", 'Data Entry'!$o$482)</f>
      </c>
      <c r="AV482">
        <f>IF(ISBLANK('Data Entry'!$p$482), "", 'Data Entry'!$p$482)</f>
      </c>
      <c r="AW482">
        <f>IF(ISBLANK('Data Entry'!$q$482), "", 'Data Entry'!$q$482)</f>
      </c>
      <c r="AX482">
        <f>IF(ISBLANK('Data Entry'!$r$482), "", 'Data Entry'!$r$482)</f>
      </c>
      <c r="AY482">
        <f>IF(ISBLANK('Data Entry'!$s$482), "", 'Data Entry'!$s$482)</f>
      </c>
      <c r="AZ482">
        <f>IF(ISBLANK('Data Entry'!$t$482), "", 'Data Entry'!$t$482)</f>
      </c>
      <c r="BA482">
        <f>IF(ISBLANK('Data Entry'!$u$482), "", 'Data Entry'!$u$482)</f>
      </c>
      <c r="BB482">
        <f>IF(ISBLANK('Data Entry'!$v$482), "", 'Data Entry'!$v$482)</f>
      </c>
      <c r="BC482">
        <f>IF(ISBLANK('Data Entry'!$w$482), "", 'Data Entry'!$w$482)</f>
      </c>
      <c r="BD482">
        <f>IF(ISBLANK('Data Entry'!$x$482), "", 'Data Entry'!$x$482)</f>
      </c>
      <c r="BE482">
        <f>IF(ISBLANK('Data Entry'!$y$482), "", 'Data Entry'!$y$482)</f>
      </c>
      <c r="BF482">
        <f>IF(ISBLANK('Data Entry'!$z$482), "", 'Data Entry'!$z$482)</f>
      </c>
      <c r="BG482">
        <f>IF(ISBLANK('Data Entry'!${$482), "", 'Data Entry'!${$482)</f>
      </c>
      <c r="BH482">
        <f>IF(ISBLANK('Data Entry'!$|$482), "", 'Data Entry'!$|$482)</f>
      </c>
      <c r="BI482">
        <f>IF(ISBLANK('Data Entry'!$}$482), "", 'Data Entry'!$}$482)</f>
      </c>
      <c r="BJ482">
        <f>IF(ISBLANK('Data Entry'!$~$482), "", 'Data Entry'!$~$482)</f>
      </c>
      <c r="BK482">
        <f>IF(ISBLANK('Data Entry'!$$482), "", 'Data Entry'!$$482)</f>
      </c>
      <c r="BL482">
        <f>IF(ISBLANK('Data Entry'!$$482), "", 'Data Entry'!$$482)</f>
      </c>
      <c r="BM482">
        <f>IF(ISBLANK('Data Entry'!$$482), "", 'Data Entry'!$$482)</f>
      </c>
      <c r="BN482">
        <f>IF(ISBLANK('Data Entry'!$$482), "", 'Data Entry'!$$482)</f>
      </c>
      <c r="BO482">
        <f>IF(ISBLANK('Data Entry'!$$482), "", 'Data Entry'!$$482)</f>
      </c>
      <c r="BP482">
        <f>IF(ISBLANK('Data Entry'!$$482), "", 'Data Entry'!$$482)</f>
      </c>
      <c r="BQ482">
        <f>IF(ISBLANK('Data Entry'!$$482), "", 'Data Entry'!$$482)</f>
      </c>
      <c r="BR482">
        <f>IF(ISBLANK('Data Entry'!$$482), "", 'Data Entry'!$$482)</f>
      </c>
      <c r="BS482">
        <f>IF(ISBLANK('Data Entry'!$$482), "", 'Data Entry'!$$482)</f>
      </c>
      <c r="BT482">
        <f>IF(ISBLANK('Data Entry'!$$482), "", 'Data Entry'!$$482)</f>
      </c>
      <c r="BU482">
        <f>IF(ISBLANK('Data Entry'!$$482), "", 'Data Entry'!$$482)</f>
      </c>
      <c r="BV482">
        <f>IF(ISBLANK('Data Entry'!$$482), "", 'Data Entry'!$$482)</f>
      </c>
      <c r="BW482">
        <f>IF(ISBLANK('Data Entry'!$$482), "", 'Data Entry'!$$482)</f>
      </c>
      <c r="BX482">
        <f>IF(ISBLANK('Data Entry'!$$482), "", 'Data Entry'!$$482)</f>
      </c>
      <c r="BY482">
        <f>IF(ISBLANK('Data Entry'!$$482), "", 'Data Entry'!$$482)</f>
      </c>
      <c r="BZ482">
        <f>IF(ISBLANK('Data Entry'!$$482), "", 'Data Entry'!$$482)</f>
      </c>
      <c r="CA482">
        <f>IF(ISBLANK('Data Entry'!$$482), "", 'Data Entry'!$$482)</f>
      </c>
      <c r="CB482">
        <f>IF(ISBLANK('Data Entry'!$$482), "", 'Data Entry'!$$482)</f>
      </c>
      <c r="CC482">
        <f>IF(ISBLANK('Data Entry'!$$482), "", 'Data Entry'!$$482)</f>
      </c>
      <c r="CD482">
        <f>IF(ISBLANK('Data Entry'!$$482), "", 'Data Entry'!$$482)</f>
      </c>
      <c r="CE482">
        <f>IF(ISBLANK('Data Entry'!$$482), "", 'Data Entry'!$$482)</f>
      </c>
      <c r="CF482">
        <f>IF(ISBLANK('Data Entry'!$$482), "", 'Data Entry'!$$482)</f>
      </c>
      <c r="CG482">
        <f>IF(ISBLANK('Data Entry'!$$482), "", 'Data Entry'!$$482)</f>
      </c>
      <c r="CH482">
        <f>IF(ISBLANK('Data Entry'!$$482), "", 'Data Entry'!$$482)</f>
      </c>
      <c r="CI482">
        <f>IF(ISBLANK('Data Entry'!$$482), "", 'Data Entry'!$$482)</f>
      </c>
      <c r="CJ482">
        <f>IF(ISBLANK('Data Entry'!$$482), "", 'Data Entry'!$$482)</f>
      </c>
      <c r="CK482">
        <f>IF(ISBLANK('Data Entry'!$$482), "", 'Data Entry'!$$482)</f>
      </c>
      <c r="CL482">
        <f>IF(ISBLANK('Data Entry'!$$482), "", 'Data Entry'!$$482)</f>
      </c>
      <c r="CM482">
        <f>IF(ISBLANK('Data Entry'!$$482), "", 'Data Entry'!$$482)</f>
      </c>
      <c r="CN482">
        <f>IF(ISBLANK('Data Entry'!$$482), "", 'Data Entry'!$$482)</f>
      </c>
      <c r="CO482">
        <f>IF(ISBLANK('Data Entry'!$$482), "", 'Data Entry'!$$482)</f>
      </c>
      <c r="CP482">
        <f>IF(ISBLANK('Data Entry'!$$482), "", 'Data Entry'!$$482)</f>
      </c>
      <c r="CQ482">
        <f>IF(ISBLANK('Data Entry'!$$482), "", 'Data Entry'!$$482)</f>
      </c>
      <c r="CR482">
        <f>IF(ISBLANK('Data Entry'!$ $482), "", 'Data Entry'!$ $482)</f>
      </c>
      <c r="CS482">
        <f>IF(ISBLANK('Data Entry'!$¡$482), "", 'Data Entry'!$¡$482)</f>
      </c>
      <c r="CT482">
        <f>IF(ISBLANK('Data Entry'!$¢$482), "", 'Data Entry'!$¢$482)</f>
      </c>
      <c r="CU482">
        <f>IF(ISBLANK('Data Entry'!$£$482), "", 'Data Entry'!$£$482)</f>
      </c>
      <c r="CV482">
        <f>IF(ISBLANK('Data Entry'!$¤$482), "", 'Data Entry'!$¤$482)</f>
      </c>
      <c r="CW482">
        <f>IF(ISBLANK('Data Entry'!$¥$482), "", 'Data Entry'!$¥$482)</f>
      </c>
      <c r="CX482">
        <f>IF(ISBLANK('Data Entry'!$¦$482), "", 'Data Entry'!$¦$482)</f>
      </c>
      <c r="CY482">
        <f>IF(ISBLANK('Data Entry'!$§$482), "", 'Data Entry'!$§$482)</f>
      </c>
      <c r="CZ482">
        <f>IF(ISBLANK('Data Entry'!$¨$482), "", 'Data Entry'!$¨$482)</f>
      </c>
      <c r="DA482">
        <f>IF(ISBLANK('Data Entry'!$©$482), "", 'Data Entry'!$©$482)</f>
      </c>
      <c r="DB482">
        <f>IF(ISBLANK('Data Entry'!$ª$482), "", 'Data Entry'!$ª$482)</f>
      </c>
      <c r="DC482">
        <f>IF(ISBLANK('Data Entry'!$«$482), "", 'Data Entry'!$«$482)</f>
      </c>
      <c r="DD482">
        <f>IF(ISBLANK('Data Entry'!$¬$482), "", 'Data Entry'!$¬$482)</f>
      </c>
      <c r="DE482">
        <f>IF(ISBLANK('Data Entry'!$­$482), "", 'Data Entry'!$­$482)</f>
      </c>
      <c r="DF482">
        <f>IF(ISBLANK('Data Entry'!$®$482), "", 'Data Entry'!$®$482)</f>
      </c>
      <c r="DG482">
        <f>IF(ISBLANK('Data Entry'!$¯$482), "", 'Data Entry'!$¯$482)</f>
      </c>
      <c r="DH482">
        <f>IF(ISBLANK('Data Entry'!$°$482), "", 'Data Entry'!$°$482)</f>
      </c>
      <c r="DI482">
        <f>IF(ISBLANK('Data Entry'!$±$482), "", 'Data Entry'!$±$482)</f>
      </c>
      <c r="DJ482">
        <f>IF(ISBLANK('Data Entry'!$²$482), "", 'Data Entry'!$²$482)</f>
      </c>
      <c r="DK482">
        <f>IF(ISBLANK('Data Entry'!$³$482), "", 'Data Entry'!$³$482)</f>
      </c>
      <c r="DL482">
        <f>IF(ISBLANK('Data Entry'!$´$482), "", 'Data Entry'!$´$482)</f>
      </c>
      <c r="DM482">
        <f>IF(ISBLANK('Data Entry'!$µ$482), "", 'Data Entry'!$µ$482)</f>
      </c>
      <c r="DN482">
        <f>IF(ISBLANK('Data Entry'!$¶$482), "", 'Data Entry'!$¶$482)</f>
      </c>
      <c r="DO482">
        <f>IF(ISBLANK('Data Entry'!$·$482), "", 'Data Entry'!$·$482)</f>
      </c>
      <c r="DP482">
        <f>IF(ISBLANK('Data Entry'!$¸$482), "", 'Data Entry'!$¸$482)</f>
      </c>
      <c r="DQ482">
        <f>IF(ISBLANK('Data Entry'!$¹$482), "", 'Data Entry'!$¹$482)</f>
      </c>
      <c r="DR482">
        <f>IF(ISBLANK('Data Entry'!$º$482), "", 'Data Entry'!$º$482)</f>
      </c>
      <c r="DS482">
        <f>IF(ISBLANK('Data Entry'!$»$482), "", 'Data Entry'!$»$482)</f>
      </c>
      <c r="DT482">
        <f>IF(ISBLANK('Data Entry'!$¼$482), "", 'Data Entry'!$¼$482)</f>
      </c>
      <c r="DU482">
        <f>IF(ISBLANK('Data Entry'!$½$482), "", 'Data Entry'!$½$482)</f>
      </c>
      <c r="DV482">
        <f>IF(ISBLANK('Data Entry'!$¾$482), "", 'Data Entry'!$¾$482)</f>
      </c>
      <c r="DW482">
        <f>IF(ISBLANK('Data Entry'!$¿$482), "", 'Data Entry'!$¿$482)</f>
      </c>
      <c r="DX482">
        <f>IF(ISBLANK('Data Entry'!$À$482), "", 'Data Entry'!$À$482)</f>
      </c>
      <c r="DY482">
        <f>IF(ISBLANK('Data Entry'!$Á$482), "", 'Data Entry'!$Á$482)</f>
      </c>
      <c r="DZ482">
        <f>IF(ISBLANK('Data Entry'!$Â$482), "", 'Data Entry'!$Â$482)</f>
      </c>
      <c r="EA482">
        <f>IF(ISBLANK('Data Entry'!$Ã$482), "", 'Data Entry'!$Ã$482)</f>
      </c>
      <c r="EB482">
        <f>IF(ISBLANK('Data Entry'!$Ä$482), "", 'Data Entry'!$Ä$482)</f>
      </c>
      <c r="EC482">
        <f>IF(ISBLANK('Data Entry'!$Å$482), "", 'Data Entry'!$Å$482)</f>
      </c>
      <c r="ED482">
        <f>IF(ISBLANK('Data Entry'!$Æ$482), "", 'Data Entry'!$Æ$482)</f>
      </c>
      <c r="EE482">
        <f>IF(ISBLANK('Data Entry'!$Ç$482), "", 'Data Entry'!$Ç$482)</f>
      </c>
      <c r="EF482">
        <f>IF(ISBLANK('Data Entry'!$È$482), "", 'Data Entry'!$È$482)</f>
      </c>
      <c r="EG482">
        <f>IF(ISBLANK('Data Entry'!$É$482), "", 'Data Entry'!$É$482)</f>
      </c>
      <c r="EH482">
        <f>IF(ISBLANK('Data Entry'!$Ê$482), "", 'Data Entry'!$Ê$482)</f>
      </c>
      <c r="EI482">
        <f>IF(ISBLANK('Data Entry'!$Ë$482), "", 'Data Entry'!$Ë$482)</f>
      </c>
      <c r="EJ482">
        <f>IF(ISBLANK('Data Entry'!$Ì$482), "", 'Data Entry'!$Ì$482)</f>
      </c>
      <c r="EK482">
        <f>IF(ISBLANK('Data Entry'!$Í$482), "", 'Data Entry'!$Í$482)</f>
      </c>
      <c r="EL482">
        <f>IF(ISBLANK('Data Entry'!$Î$482), "", 'Data Entry'!$Î$482)</f>
      </c>
      <c r="EM482">
        <f>IF(ISBLANK('Data Entry'!$Ï$482), "", 'Data Entry'!$Ï$482)</f>
      </c>
      <c r="EN482">
        <f>IF(ISBLANK('Data Entry'!$Ð$482), "", 'Data Entry'!$Ð$482)</f>
      </c>
      <c r="EO482">
        <f>IF(ISBLANK('Data Entry'!$Ñ$482), "", 'Data Entry'!$Ñ$482)</f>
      </c>
      <c r="EP482">
        <f>IF(ISBLANK('Data Entry'!$Ò$482), "", 'Data Entry'!$Ò$482)</f>
      </c>
      <c r="EQ482">
        <f>IF(ISBLANK('Data Entry'!$Ó$482), "", 'Data Entry'!$Ó$482)</f>
      </c>
      <c r="ER482">
        <f>IF(ISBLANK('Data Entry'!$Ô$482), "", 'Data Entry'!$Ô$482)</f>
      </c>
      <c r="ES482">
        <f>IF(ISBLANK('Data Entry'!$Õ$482), "", 'Data Entry'!$Õ$482)</f>
      </c>
      <c r="ET482">
        <f>IF(ISBLANK('Data Entry'!$Ö$482), "", 'Data Entry'!$Ö$482)</f>
      </c>
      <c r="EU482">
        <f>IF(ISBLANK('Data Entry'!$×$482), "", 'Data Entry'!$×$482)</f>
      </c>
      <c r="EV482">
        <f>IF(ISBLANK('Data Entry'!$Ø$482), "", 'Data Entry'!$Ø$482)</f>
      </c>
      <c r="EW482">
        <f>IF(ISBLANK('Data Entry'!$Ù$482), "", 'Data Entry'!$Ù$482)</f>
      </c>
      <c r="EX482">
        <f>IF(ISBLANK('Data Entry'!$Ú$482), "", 'Data Entry'!$Ú$482)</f>
      </c>
      <c r="EY482">
        <f>IF(ISBLANK('Data Entry'!$Û$482), "", 'Data Entry'!$Û$482)</f>
      </c>
      <c r="EZ482">
        <f>IF(ISBLANK('Data Entry'!$Ü$482), "", 'Data Entry'!$Ü$482)</f>
      </c>
      <c r="FA482">
        <f>IF(ISBLANK('Data Entry'!$Ý$482), "", 'Data Entry'!$Ý$482)</f>
      </c>
      <c r="FB482">
        <f>IF(ISBLANK('Data Entry'!$Þ$482), "", 'Data Entry'!$Þ$482)</f>
      </c>
      <c r="FC482">
        <f>IF(ISBLANK('Data Entry'!$ß$482), "", 'Data Entry'!$ß$482)</f>
      </c>
      <c r="FD482">
        <f>IF(ISBLANK('Data Entry'!$à$482), "", 'Data Entry'!$à$482)</f>
      </c>
      <c r="FE482">
        <f>IF(ISBLANK('Data Entry'!$á$482), "", 'Data Entry'!$á$482)</f>
      </c>
      <c r="FF482">
        <f>IF(ISBLANK('Data Entry'!$â$482), "", 'Data Entry'!$â$482)</f>
      </c>
      <c r="FG482">
        <f>IF(ISBLANK('Data Entry'!$ã$482), "", 'Data Entry'!$ã$482)</f>
      </c>
      <c r="FH482">
        <f>IF(ISBLANK('Data Entry'!$ä$482), "", 'Data Entry'!$ä$482)</f>
      </c>
      <c r="FI482">
        <f>IF(ISBLANK('Data Entry'!$å$482), "", 'Data Entry'!$å$482)</f>
      </c>
      <c r="FJ482">
        <f>IF(ISBLANK('Data Entry'!$æ$482), "", 'Data Entry'!$æ$482)</f>
      </c>
      <c r="FK482">
        <f>IF(ISBLANK('Data Entry'!$ç$482), "", 'Data Entry'!$ç$482)</f>
      </c>
      <c r="FL482">
        <f>IF(ISBLANK('Data Entry'!$è$482), "", 'Data Entry'!$è$482)</f>
      </c>
      <c r="FM482">
        <f>IF(ISBLANK('Data Entry'!$é$482), "", 'Data Entry'!$é$482)</f>
      </c>
      <c r="FN482">
        <f>IF(ISBLANK('Data Entry'!$ê$482), "", 'Data Entry'!$ê$482)</f>
      </c>
      <c r="FO482">
        <f>IF(ISBLANK('Data Entry'!$ë$482), "", 'Data Entry'!$ë$482)</f>
      </c>
      <c r="FP482">
        <f>IF(ISBLANK('Data Entry'!$ì$482), "", 'Data Entry'!$ì$482)</f>
      </c>
      <c r="FQ482">
        <f>IF(ISBLANK('Data Entry'!$í$482), "", 'Data Entry'!$í$482)</f>
      </c>
      <c r="FR482">
        <f>IF(ISBLANK('Data Entry'!$î$482), "", 'Data Entry'!$î$482)</f>
      </c>
      <c r="FS482">
        <f>IF(ISBLANK('Data Entry'!$ï$482), "", 'Data Entry'!$ï$482)</f>
      </c>
      <c r="FT482">
        <f>IF(ISBLANK('Data Entry'!$ð$482), "", 'Data Entry'!$ð$482)</f>
      </c>
      <c r="FU482">
        <f>IF(ISBLANK('Data Entry'!$ñ$482), "", 'Data Entry'!$ñ$482)</f>
      </c>
      <c r="FV482">
        <f>IF(ISBLANK('Data Entry'!$ò$482), "", 'Data Entry'!$ò$482)</f>
      </c>
      <c r="FW482">
        <f>IF(ISBLANK('Data Entry'!$ó$482), "", 'Data Entry'!$ó$482)</f>
      </c>
      <c r="FX482">
        <f>IF(ISBLANK('Data Entry'!$ô$482), "", 'Data Entry'!$ô$482)</f>
      </c>
      <c r="FY482">
        <f>IF(ISBLANK('Data Entry'!$õ$482), "", 'Data Entry'!$õ$482)</f>
      </c>
      <c r="FZ482">
        <f>IF(ISBLANK('Data Entry'!$ö$482), "", 'Data Entry'!$ö$482)</f>
      </c>
      <c r="GA482">
        <f>IF(ISBLANK('Data Entry'!$÷$482), "", 'Data Entry'!$÷$482)</f>
      </c>
      <c r="GB482">
        <f>IF(ISBLANK('Data Entry'!$ø$482), "", 'Data Entry'!$ø$482)</f>
      </c>
      <c r="GC482">
        <f>IF(ISBLANK('Data Entry'!$ù$482), "", 'Data Entry'!$ù$482)</f>
      </c>
      <c r="GD482">
        <f>IF(ISBLANK('Data Entry'!$ú$482), "", 'Data Entry'!$ú$482)</f>
      </c>
      <c r="GE482">
        <f>IF(ISBLANK('Data Entry'!$û$482), "", 'Data Entry'!$û$482)</f>
      </c>
      <c r="GF482">
        <f>IF(ISBLANK('Data Entry'!$ü$482), "", 'Data Entry'!$ü$482)</f>
      </c>
      <c r="GG482">
        <f>IF(ISBLANK('Data Entry'!$ý$482), "", 'Data Entry'!$ý$482)</f>
      </c>
      <c r="GH482">
        <f>IF(ISBLANK('Data Entry'!$þ$482), "", 'Data Entry'!$þ$482)</f>
      </c>
      <c r="GI482">
        <f>IF(ISBLANK('Data Entry'!$ÿ$482), "", 'Data Entry'!$ÿ$482)</f>
      </c>
      <c r="GJ482">
        <f>IF(ISBLANK('Data Entry'!$Ā$482), "", 'Data Entry'!$Ā$482)</f>
      </c>
      <c r="GK482">
        <f>IF(ISBLANK('Data Entry'!$ā$482), "", 'Data Entry'!$ā$482)</f>
      </c>
      <c r="GL482">
        <f>IF(ISBLANK('Data Entry'!$Ă$482), "", 'Data Entry'!$Ă$482)</f>
      </c>
      <c r="GM482">
        <f>IF(ISBLANK('Data Entry'!$ă$482), "", 'Data Entry'!$ă$482)</f>
      </c>
      <c r="GN482">
        <f>IF(ISBLANK('Data Entry'!$Ą$482), "", 'Data Entry'!$Ą$482)</f>
      </c>
      <c r="GO482">
        <f>IF(ISBLANK('Data Entry'!$ą$482), "", 'Data Entry'!$ą$482)</f>
      </c>
      <c r="GP482">
        <f>IF(ISBLANK('Data Entry'!$Ć$482), "", 'Data Entry'!$Ć$482)</f>
      </c>
      <c r="GQ482">
        <f>IF(ISBLANK('Data Entry'!$ć$482), "", 'Data Entry'!$ć$482)</f>
      </c>
      <c r="GR482">
        <f>IF(ISBLANK('Data Entry'!$Ĉ$482), "", 'Data Entry'!$Ĉ$482)</f>
      </c>
      <c r="GS482">
        <f>IF(ISBLANK('Data Entry'!$ĉ$482), "", 'Data Entry'!$ĉ$482)</f>
      </c>
      <c r="GT482">
        <f>IF(ISBLANK('Data Entry'!$Ċ$482), "", 'Data Entry'!$Ċ$482)</f>
      </c>
      <c r="GU482">
        <f>IF(ISBLANK('Data Entry'!$ċ$482), "", 'Data Entry'!$ċ$482)</f>
      </c>
      <c r="GV482">
        <f>IF(ISBLANK('Data Entry'!$Č$482), "", 'Data Entry'!$Č$482)</f>
      </c>
      <c r="GW482">
        <f>IF(ISBLANK('Data Entry'!$č$482), "", 'Data Entry'!$č$482)</f>
      </c>
      <c r="GX482">
        <f>IF(ISBLANK('Data Entry'!$Ď$482), "", 'Data Entry'!$Ď$482)</f>
      </c>
      <c r="GY482">
        <f>IF(ISBLANK('Data Entry'!$ď$482), "", 'Data Entry'!$ď$482)</f>
      </c>
      <c r="GZ482">
        <f>IF(ISBLANK('Data Entry'!$Đ$482), "", 'Data Entry'!$Đ$482)</f>
      </c>
      <c r="HA482">
        <f>IF(ISBLANK('Data Entry'!$đ$482), "", 'Data Entry'!$đ$482)</f>
      </c>
      <c r="HB482">
        <f>IF(ISBLANK('Data Entry'!$Ē$482), "", 'Data Entry'!$Ē$482)</f>
      </c>
      <c r="HC482">
        <f>IF(ISBLANK('Data Entry'!$ē$482), "", 'Data Entry'!$ē$482)</f>
      </c>
      <c r="HD482">
        <f>IF(ISBLANK('Data Entry'!$Ĕ$482), "", 'Data Entry'!$Ĕ$482)</f>
      </c>
      <c r="HE482">
        <f>IF(ISBLANK('Data Entry'!$ĕ$482), "", 'Data Entry'!$ĕ$482)</f>
      </c>
      <c r="HF482">
        <f>IF(ISBLANK('Data Entry'!$Ė$482), "", 'Data Entry'!$Ė$482)</f>
      </c>
      <c r="HG482">
        <f>IF(ISBLANK('Data Entry'!$ė$482), "", 'Data Entry'!$ė$482)</f>
      </c>
      <c r="HH482">
        <f>IF(ISBLANK('Data Entry'!$Ę$482), "", 'Data Entry'!$Ę$482)</f>
      </c>
      <c r="HI482">
        <f>IF(ISBLANK('Data Entry'!$ę$482), "", 'Data Entry'!$ę$482)</f>
      </c>
      <c r="HJ482">
        <f>IF(ISBLANK('Data Entry'!$Ě$482), "", 'Data Entry'!$Ě$482)</f>
      </c>
      <c r="HK482">
        <f>IF(ISBLANK('Data Entry'!$ě$482), "", 'Data Entry'!$ě$482)</f>
      </c>
      <c r="HL482">
        <f>IF(ISBLANK('Data Entry'!$Ĝ$482), "", 'Data Entry'!$Ĝ$482)</f>
      </c>
      <c r="HM482">
        <f>IF(ISBLANK('Data Entry'!$ĝ$482), "", 'Data Entry'!$ĝ$482)</f>
      </c>
      <c r="HN482">
        <f>IF(ISBLANK('Data Entry'!$Ğ$482), "", 'Data Entry'!$Ğ$482)</f>
      </c>
      <c r="HO482">
        <f>IF(ISBLANK('Data Entry'!$ğ$482), "", 'Data Entry'!$ğ$482)</f>
      </c>
      <c r="HP482">
        <f>IF(ISBLANK('Data Entry'!$Ġ$482), "", 'Data Entry'!$Ġ$482)</f>
      </c>
      <c r="HQ482">
        <f>IF(ISBLANK('Data Entry'!$ġ$482), "", 'Data Entry'!$ġ$482)</f>
      </c>
      <c r="HR482">
        <f>IF(ISBLANK('Data Entry'!$Ģ$482), "", 'Data Entry'!$Ģ$482)</f>
      </c>
      <c r="HS482">
        <f>IF(ISBLANK('Data Entry'!$ģ$482), "", 'Data Entry'!$ģ$482)</f>
      </c>
      <c r="HT482">
        <f>IF(ISBLANK('Data Entry'!$Ĥ$482), "", 'Data Entry'!$Ĥ$482)</f>
      </c>
      <c r="HU482">
        <f>IF(ISBLANK('Data Entry'!$ĥ$482), "", 'Data Entry'!$ĥ$482)</f>
      </c>
      <c r="HV482">
        <f>IF(ISBLANK('Data Entry'!$Ħ$482), "", 'Data Entry'!$Ħ$482)</f>
      </c>
      <c r="HW482">
        <f>IF(ISBLANK('Data Entry'!$ħ$482), "", 'Data Entry'!$ħ$482)</f>
      </c>
      <c r="HX482">
        <f>IF(ISBLANK('Data Entry'!$Ĩ$482), "", 'Data Entry'!$Ĩ$482)</f>
      </c>
      <c r="HY482">
        <f>IF(ISBLANK('Data Entry'!$ĩ$482), "", 'Data Entry'!$ĩ$482)</f>
      </c>
      <c r="HZ482">
        <f>IF(ISBLANK('Data Entry'!$Ī$482), "", 'Data Entry'!$Ī$482)</f>
      </c>
      <c r="IA482">
        <f>IF(ISBLANK('Data Entry'!$ī$482), "", 'Data Entry'!$ī$482)</f>
      </c>
      <c r="IB482">
        <f>IF(ISBLANK('Data Entry'!$Ĭ$482), "", 'Data Entry'!$Ĭ$482)</f>
      </c>
      <c r="IC482">
        <f>IF(ISBLANK('Data Entry'!$ĭ$482), "", 'Data Entry'!$ĭ$482)</f>
      </c>
      <c r="ID482">
        <f>IF(ISBLANK('Data Entry'!$Į$482), "", 'Data Entry'!$Į$482)</f>
      </c>
      <c r="IE482">
        <f>IF(ISBLANK('Data Entry'!$į$482), "", 'Data Entry'!$į$482)</f>
      </c>
      <c r="IF482">
        <f>IF(ISBLANK('Data Entry'!$İ$482), "", 'Data Entry'!$İ$482)</f>
      </c>
      <c r="IG482">
        <f>IF(ISBLANK('Data Entry'!$ı$482), "", 'Data Entry'!$ı$482)</f>
      </c>
      <c r="IH482">
        <f>IF(ISBLANK('Data Entry'!$Ĳ$482), "", 'Data Entry'!$Ĳ$482)</f>
      </c>
      <c r="II482">
        <f>IF(ISBLANK('Data Entry'!$ĳ$482), "", 'Data Entry'!$ĳ$482)</f>
      </c>
      <c r="IJ482">
        <f>IF(ISBLANK('Data Entry'!$Ĵ$482), "", 'Data Entry'!$Ĵ$482)</f>
      </c>
      <c r="IK482">
        <f>IF(ISBLANK('Data Entry'!$ĵ$482), "", 'Data Entry'!$ĵ$482)</f>
      </c>
      <c r="IL482">
        <f>IF(ISBLANK('Data Entry'!$Ķ$482), "", 'Data Entry'!$Ķ$482)</f>
      </c>
      <c r="IM482">
        <f>IF(ISBLANK('Data Entry'!$ķ$482), "", 'Data Entry'!$ķ$482)</f>
      </c>
      <c r="IN482">
        <f>IF(ISBLANK('Data Entry'!$ĸ$482), "", 'Data Entry'!$ĸ$482)</f>
      </c>
      <c r="IO482">
        <f>IF(ISBLANK('Data Entry'!$Ĺ$482), "", 'Data Entry'!$Ĺ$482)</f>
      </c>
      <c r="IP482">
        <f>IF(ISBLANK('Data Entry'!$ĺ$482), "", 'Data Entry'!$ĺ$482)</f>
      </c>
      <c r="IQ482">
        <f>IF(ISBLANK('Data Entry'!$Ļ$482), "", 'Data Entry'!$Ļ$482)</f>
      </c>
      <c r="IR482">
        <f>IF(ISBLANK('Data Entry'!$ļ$482), "", 'Data Entry'!$ļ$482)</f>
      </c>
      <c r="IS482">
        <f>IF(ISBLANK('Data Entry'!$Ľ$482), "", 'Data Entry'!$Ľ$482)</f>
      </c>
      <c r="IT482">
        <f>IF(ISBLANK('Data Entry'!$ľ$482), "", 'Data Entry'!$ľ$482)</f>
      </c>
    </row>
    <row r="483" spans="1:254" x14ac:dyDescent="0.25">
      <c r="A483">
        <f>IF(ISBLANK('Data Entry'!$A$483), "", 'Data Entry'!$A$483)</f>
      </c>
      <c r="B483">
        <f>IF(ISBLANK('Data Entry'!$B$483), "", 'Data Entry'!$B$483)</f>
      </c>
      <c r="C483">
        <f>IF(ISBLANK('Data Entry'!$C$483), "", 'Data Entry'!$C$483)</f>
      </c>
      <c r="D483">
        <f>IF(ISBLANK('Data Entry'!$D$483), "", 'Data Entry'!$D$483)</f>
      </c>
      <c r="E483">
        <f>IF(ISBLANK('Data Entry'!$E$483), "", 'Data Entry'!$E$483)</f>
      </c>
      <c r="F483">
        <f>IF(ISBLANK('Data Entry'!$F$483), "", 'Data Entry'!$F$483)</f>
      </c>
      <c r="G483">
        <f>IF(ISBLANK('Data Entry'!$G$483), "", 'Data Entry'!$G$483)</f>
      </c>
      <c r="H483">
        <f>IF(ISBLANK('Data Entry'!$H$483), "", 'Data Entry'!$H$483)</f>
      </c>
      <c r="I483">
        <f>IF(ISBLANK('Data Entry'!$I$483), "", 'Data Entry'!$I$483)</f>
      </c>
      <c r="J483">
        <f>IF(ISBLANK('Data Entry'!$J$483), "", 'Data Entry'!$J$483)</f>
      </c>
      <c r="K483">
        <f>IF(ISBLANK('Data Entry'!$K$483), "", 'Data Entry'!$K$483)</f>
      </c>
      <c r="L483">
        <f>IF(ISBLANK('Data Entry'!$L$483), "", 'Data Entry'!$L$483)</f>
      </c>
      <c r="M483">
        <f>IF(ISBLANK('Data Entry'!$M$483), "", 'Data Entry'!$M$483)</f>
      </c>
      <c r="N483">
        <f>IF(ISBLANK('Data Entry'!$N$483), "", 'Data Entry'!$N$483)</f>
      </c>
      <c r="O483">
        <f>IF(ISBLANK('Data Entry'!$O$483), "", 'Data Entry'!$O$483)</f>
      </c>
      <c r="P483">
        <f>IF(ISBLANK('Data Entry'!$P$483), "", 'Data Entry'!$P$483)</f>
      </c>
      <c r="Q483">
        <f>IF(ISBLANK('Data Entry'!$Q$483), "", 'Data Entry'!$Q$483)</f>
      </c>
      <c r="R483">
        <f>IF(ISBLANK('Data Entry'!$R$483), "", 'Data Entry'!$R$483)</f>
      </c>
      <c r="S483">
        <f>IF(ISBLANK('Data Entry'!$S$483), "", 'Data Entry'!$S$483)</f>
      </c>
      <c r="T483">
        <f>IF(ISBLANK('Data Entry'!$T$483), "", 'Data Entry'!$T$483)</f>
      </c>
      <c r="U483">
        <f>IF(ISBLANK('Data Entry'!$U$483), "", 'Data Entry'!$U$483)</f>
      </c>
      <c r="V483">
        <f>IF(ISBLANK('Data Entry'!$V$483), "", 'Data Entry'!$V$483)</f>
      </c>
      <c r="W483">
        <f>IF(ISBLANK('Data Entry'!$W$483), "", 'Data Entry'!$W$483)</f>
      </c>
      <c r="X483">
        <f>IF(ISBLANK('Data Entry'!$X$483), "", 'Data Entry'!$X$483)</f>
      </c>
      <c r="Y483">
        <f>IF(ISBLANK('Data Entry'!$Y$483), "", 'Data Entry'!$Y$483)</f>
      </c>
      <c r="Z483">
        <f>IF(ISBLANK('Data Entry'!$Z$483), "", 'Data Entry'!$Z$483)</f>
      </c>
      <c r="AA483">
        <f>IF(ISBLANK('Data Entry'!$[$483), "", 'Data Entry'!$[$483)</f>
      </c>
      <c r="AB483">
        <f>IF(ISBLANK('Data Entry'!$\$483), "", 'Data Entry'!$\$483)</f>
      </c>
      <c r="AC483">
        <f>IF(ISBLANK('Data Entry'!$]$483), "", 'Data Entry'!$]$483)</f>
      </c>
      <c r="AD483">
        <f>IF(ISBLANK('Data Entry'!$^$483), "", 'Data Entry'!$^$483)</f>
      </c>
      <c r="AE483">
        <f>IF(ISBLANK('Data Entry'!$_$483), "", 'Data Entry'!$_$483)</f>
      </c>
      <c r="AF483">
        <f>IF(ISBLANK('Data Entry'!$`$483), "", 'Data Entry'!$`$483)</f>
      </c>
      <c r="AG483">
        <f>IF(ISBLANK('Data Entry'!$a$483), "", 'Data Entry'!$a$483)</f>
      </c>
      <c r="AH483">
        <f>IF(ISBLANK('Data Entry'!$b$483), "", 'Data Entry'!$b$483)</f>
      </c>
      <c r="AI483">
        <f>IF(ISBLANK('Data Entry'!$c$483), "", 'Data Entry'!$c$483)</f>
      </c>
      <c r="AJ483">
        <f>IF(ISBLANK('Data Entry'!$d$483), "", 'Data Entry'!$d$483)</f>
      </c>
      <c r="AK483">
        <f>IF(ISBLANK('Data Entry'!$e$483), "", 'Data Entry'!$e$483)</f>
      </c>
      <c r="AL483">
        <f>IF(ISBLANK('Data Entry'!$f$483), "", 'Data Entry'!$f$483)</f>
      </c>
      <c r="AM483">
        <f>IF(ISBLANK('Data Entry'!$g$483), "", 'Data Entry'!$g$483)</f>
      </c>
      <c r="AN483">
        <f>IF(ISBLANK('Data Entry'!$h$483), "", 'Data Entry'!$h$483)</f>
      </c>
      <c r="AO483">
        <f>IF(ISBLANK('Data Entry'!$i$483), "", 'Data Entry'!$i$483)</f>
      </c>
      <c r="AP483">
        <f>IF(ISBLANK('Data Entry'!$j$483), "", 'Data Entry'!$j$483)</f>
      </c>
      <c r="AQ483">
        <f>IF(ISBLANK('Data Entry'!$k$483), "", 'Data Entry'!$k$483)</f>
      </c>
      <c r="AR483">
        <f>IF(ISBLANK('Data Entry'!$l$483), "", 'Data Entry'!$l$483)</f>
      </c>
      <c r="AS483">
        <f>IF(ISBLANK('Data Entry'!$m$483), "", 'Data Entry'!$m$483)</f>
      </c>
      <c r="AT483">
        <f>IF(ISBLANK('Data Entry'!$n$483), "", 'Data Entry'!$n$483)</f>
      </c>
      <c r="AU483">
        <f>IF(ISBLANK('Data Entry'!$o$483), "", 'Data Entry'!$o$483)</f>
      </c>
      <c r="AV483">
        <f>IF(ISBLANK('Data Entry'!$p$483), "", 'Data Entry'!$p$483)</f>
      </c>
      <c r="AW483">
        <f>IF(ISBLANK('Data Entry'!$q$483), "", 'Data Entry'!$q$483)</f>
      </c>
      <c r="AX483">
        <f>IF(ISBLANK('Data Entry'!$r$483), "", 'Data Entry'!$r$483)</f>
      </c>
      <c r="AY483">
        <f>IF(ISBLANK('Data Entry'!$s$483), "", 'Data Entry'!$s$483)</f>
      </c>
      <c r="AZ483">
        <f>IF(ISBLANK('Data Entry'!$t$483), "", 'Data Entry'!$t$483)</f>
      </c>
      <c r="BA483">
        <f>IF(ISBLANK('Data Entry'!$u$483), "", 'Data Entry'!$u$483)</f>
      </c>
      <c r="BB483">
        <f>IF(ISBLANK('Data Entry'!$v$483), "", 'Data Entry'!$v$483)</f>
      </c>
      <c r="BC483">
        <f>IF(ISBLANK('Data Entry'!$w$483), "", 'Data Entry'!$w$483)</f>
      </c>
      <c r="BD483">
        <f>IF(ISBLANK('Data Entry'!$x$483), "", 'Data Entry'!$x$483)</f>
      </c>
      <c r="BE483">
        <f>IF(ISBLANK('Data Entry'!$y$483), "", 'Data Entry'!$y$483)</f>
      </c>
      <c r="BF483">
        <f>IF(ISBLANK('Data Entry'!$z$483), "", 'Data Entry'!$z$483)</f>
      </c>
      <c r="BG483">
        <f>IF(ISBLANK('Data Entry'!${$483), "", 'Data Entry'!${$483)</f>
      </c>
      <c r="BH483">
        <f>IF(ISBLANK('Data Entry'!$|$483), "", 'Data Entry'!$|$483)</f>
      </c>
      <c r="BI483">
        <f>IF(ISBLANK('Data Entry'!$}$483), "", 'Data Entry'!$}$483)</f>
      </c>
      <c r="BJ483">
        <f>IF(ISBLANK('Data Entry'!$~$483), "", 'Data Entry'!$~$483)</f>
      </c>
      <c r="BK483">
        <f>IF(ISBLANK('Data Entry'!$$483), "", 'Data Entry'!$$483)</f>
      </c>
      <c r="BL483">
        <f>IF(ISBLANK('Data Entry'!$$483), "", 'Data Entry'!$$483)</f>
      </c>
      <c r="BM483">
        <f>IF(ISBLANK('Data Entry'!$$483), "", 'Data Entry'!$$483)</f>
      </c>
      <c r="BN483">
        <f>IF(ISBLANK('Data Entry'!$$483), "", 'Data Entry'!$$483)</f>
      </c>
      <c r="BO483">
        <f>IF(ISBLANK('Data Entry'!$$483), "", 'Data Entry'!$$483)</f>
      </c>
      <c r="BP483">
        <f>IF(ISBLANK('Data Entry'!$$483), "", 'Data Entry'!$$483)</f>
      </c>
      <c r="BQ483">
        <f>IF(ISBLANK('Data Entry'!$$483), "", 'Data Entry'!$$483)</f>
      </c>
      <c r="BR483">
        <f>IF(ISBLANK('Data Entry'!$$483), "", 'Data Entry'!$$483)</f>
      </c>
      <c r="BS483">
        <f>IF(ISBLANK('Data Entry'!$$483), "", 'Data Entry'!$$483)</f>
      </c>
      <c r="BT483">
        <f>IF(ISBLANK('Data Entry'!$$483), "", 'Data Entry'!$$483)</f>
      </c>
      <c r="BU483">
        <f>IF(ISBLANK('Data Entry'!$$483), "", 'Data Entry'!$$483)</f>
      </c>
      <c r="BV483">
        <f>IF(ISBLANK('Data Entry'!$$483), "", 'Data Entry'!$$483)</f>
      </c>
      <c r="BW483">
        <f>IF(ISBLANK('Data Entry'!$$483), "", 'Data Entry'!$$483)</f>
      </c>
      <c r="BX483">
        <f>IF(ISBLANK('Data Entry'!$$483), "", 'Data Entry'!$$483)</f>
      </c>
      <c r="BY483">
        <f>IF(ISBLANK('Data Entry'!$$483), "", 'Data Entry'!$$483)</f>
      </c>
      <c r="BZ483">
        <f>IF(ISBLANK('Data Entry'!$$483), "", 'Data Entry'!$$483)</f>
      </c>
      <c r="CA483">
        <f>IF(ISBLANK('Data Entry'!$$483), "", 'Data Entry'!$$483)</f>
      </c>
      <c r="CB483">
        <f>IF(ISBLANK('Data Entry'!$$483), "", 'Data Entry'!$$483)</f>
      </c>
      <c r="CC483">
        <f>IF(ISBLANK('Data Entry'!$$483), "", 'Data Entry'!$$483)</f>
      </c>
      <c r="CD483">
        <f>IF(ISBLANK('Data Entry'!$$483), "", 'Data Entry'!$$483)</f>
      </c>
      <c r="CE483">
        <f>IF(ISBLANK('Data Entry'!$$483), "", 'Data Entry'!$$483)</f>
      </c>
      <c r="CF483">
        <f>IF(ISBLANK('Data Entry'!$$483), "", 'Data Entry'!$$483)</f>
      </c>
      <c r="CG483">
        <f>IF(ISBLANK('Data Entry'!$$483), "", 'Data Entry'!$$483)</f>
      </c>
      <c r="CH483">
        <f>IF(ISBLANK('Data Entry'!$$483), "", 'Data Entry'!$$483)</f>
      </c>
      <c r="CI483">
        <f>IF(ISBLANK('Data Entry'!$$483), "", 'Data Entry'!$$483)</f>
      </c>
      <c r="CJ483">
        <f>IF(ISBLANK('Data Entry'!$$483), "", 'Data Entry'!$$483)</f>
      </c>
      <c r="CK483">
        <f>IF(ISBLANK('Data Entry'!$$483), "", 'Data Entry'!$$483)</f>
      </c>
      <c r="CL483">
        <f>IF(ISBLANK('Data Entry'!$$483), "", 'Data Entry'!$$483)</f>
      </c>
      <c r="CM483">
        <f>IF(ISBLANK('Data Entry'!$$483), "", 'Data Entry'!$$483)</f>
      </c>
      <c r="CN483">
        <f>IF(ISBLANK('Data Entry'!$$483), "", 'Data Entry'!$$483)</f>
      </c>
      <c r="CO483">
        <f>IF(ISBLANK('Data Entry'!$$483), "", 'Data Entry'!$$483)</f>
      </c>
      <c r="CP483">
        <f>IF(ISBLANK('Data Entry'!$$483), "", 'Data Entry'!$$483)</f>
      </c>
      <c r="CQ483">
        <f>IF(ISBLANK('Data Entry'!$$483), "", 'Data Entry'!$$483)</f>
      </c>
      <c r="CR483">
        <f>IF(ISBLANK('Data Entry'!$ $483), "", 'Data Entry'!$ $483)</f>
      </c>
      <c r="CS483">
        <f>IF(ISBLANK('Data Entry'!$¡$483), "", 'Data Entry'!$¡$483)</f>
      </c>
      <c r="CT483">
        <f>IF(ISBLANK('Data Entry'!$¢$483), "", 'Data Entry'!$¢$483)</f>
      </c>
      <c r="CU483">
        <f>IF(ISBLANK('Data Entry'!$£$483), "", 'Data Entry'!$£$483)</f>
      </c>
      <c r="CV483">
        <f>IF(ISBLANK('Data Entry'!$¤$483), "", 'Data Entry'!$¤$483)</f>
      </c>
      <c r="CW483">
        <f>IF(ISBLANK('Data Entry'!$¥$483), "", 'Data Entry'!$¥$483)</f>
      </c>
      <c r="CX483">
        <f>IF(ISBLANK('Data Entry'!$¦$483), "", 'Data Entry'!$¦$483)</f>
      </c>
      <c r="CY483">
        <f>IF(ISBLANK('Data Entry'!$§$483), "", 'Data Entry'!$§$483)</f>
      </c>
      <c r="CZ483">
        <f>IF(ISBLANK('Data Entry'!$¨$483), "", 'Data Entry'!$¨$483)</f>
      </c>
      <c r="DA483">
        <f>IF(ISBLANK('Data Entry'!$©$483), "", 'Data Entry'!$©$483)</f>
      </c>
      <c r="DB483">
        <f>IF(ISBLANK('Data Entry'!$ª$483), "", 'Data Entry'!$ª$483)</f>
      </c>
      <c r="DC483">
        <f>IF(ISBLANK('Data Entry'!$«$483), "", 'Data Entry'!$«$483)</f>
      </c>
      <c r="DD483">
        <f>IF(ISBLANK('Data Entry'!$¬$483), "", 'Data Entry'!$¬$483)</f>
      </c>
      <c r="DE483">
        <f>IF(ISBLANK('Data Entry'!$­$483), "", 'Data Entry'!$­$483)</f>
      </c>
      <c r="DF483">
        <f>IF(ISBLANK('Data Entry'!$®$483), "", 'Data Entry'!$®$483)</f>
      </c>
      <c r="DG483">
        <f>IF(ISBLANK('Data Entry'!$¯$483), "", 'Data Entry'!$¯$483)</f>
      </c>
      <c r="DH483">
        <f>IF(ISBLANK('Data Entry'!$°$483), "", 'Data Entry'!$°$483)</f>
      </c>
      <c r="DI483">
        <f>IF(ISBLANK('Data Entry'!$±$483), "", 'Data Entry'!$±$483)</f>
      </c>
      <c r="DJ483">
        <f>IF(ISBLANK('Data Entry'!$²$483), "", 'Data Entry'!$²$483)</f>
      </c>
      <c r="DK483">
        <f>IF(ISBLANK('Data Entry'!$³$483), "", 'Data Entry'!$³$483)</f>
      </c>
      <c r="DL483">
        <f>IF(ISBLANK('Data Entry'!$´$483), "", 'Data Entry'!$´$483)</f>
      </c>
      <c r="DM483">
        <f>IF(ISBLANK('Data Entry'!$µ$483), "", 'Data Entry'!$µ$483)</f>
      </c>
      <c r="DN483">
        <f>IF(ISBLANK('Data Entry'!$¶$483), "", 'Data Entry'!$¶$483)</f>
      </c>
      <c r="DO483">
        <f>IF(ISBLANK('Data Entry'!$·$483), "", 'Data Entry'!$·$483)</f>
      </c>
      <c r="DP483">
        <f>IF(ISBLANK('Data Entry'!$¸$483), "", 'Data Entry'!$¸$483)</f>
      </c>
      <c r="DQ483">
        <f>IF(ISBLANK('Data Entry'!$¹$483), "", 'Data Entry'!$¹$483)</f>
      </c>
      <c r="DR483">
        <f>IF(ISBLANK('Data Entry'!$º$483), "", 'Data Entry'!$º$483)</f>
      </c>
      <c r="DS483">
        <f>IF(ISBLANK('Data Entry'!$»$483), "", 'Data Entry'!$»$483)</f>
      </c>
      <c r="DT483">
        <f>IF(ISBLANK('Data Entry'!$¼$483), "", 'Data Entry'!$¼$483)</f>
      </c>
      <c r="DU483">
        <f>IF(ISBLANK('Data Entry'!$½$483), "", 'Data Entry'!$½$483)</f>
      </c>
      <c r="DV483">
        <f>IF(ISBLANK('Data Entry'!$¾$483), "", 'Data Entry'!$¾$483)</f>
      </c>
      <c r="DW483">
        <f>IF(ISBLANK('Data Entry'!$¿$483), "", 'Data Entry'!$¿$483)</f>
      </c>
      <c r="DX483">
        <f>IF(ISBLANK('Data Entry'!$À$483), "", 'Data Entry'!$À$483)</f>
      </c>
      <c r="DY483">
        <f>IF(ISBLANK('Data Entry'!$Á$483), "", 'Data Entry'!$Á$483)</f>
      </c>
      <c r="DZ483">
        <f>IF(ISBLANK('Data Entry'!$Â$483), "", 'Data Entry'!$Â$483)</f>
      </c>
      <c r="EA483">
        <f>IF(ISBLANK('Data Entry'!$Ã$483), "", 'Data Entry'!$Ã$483)</f>
      </c>
      <c r="EB483">
        <f>IF(ISBLANK('Data Entry'!$Ä$483), "", 'Data Entry'!$Ä$483)</f>
      </c>
      <c r="EC483">
        <f>IF(ISBLANK('Data Entry'!$Å$483), "", 'Data Entry'!$Å$483)</f>
      </c>
      <c r="ED483">
        <f>IF(ISBLANK('Data Entry'!$Æ$483), "", 'Data Entry'!$Æ$483)</f>
      </c>
      <c r="EE483">
        <f>IF(ISBLANK('Data Entry'!$Ç$483), "", 'Data Entry'!$Ç$483)</f>
      </c>
      <c r="EF483">
        <f>IF(ISBLANK('Data Entry'!$È$483), "", 'Data Entry'!$È$483)</f>
      </c>
      <c r="EG483">
        <f>IF(ISBLANK('Data Entry'!$É$483), "", 'Data Entry'!$É$483)</f>
      </c>
      <c r="EH483">
        <f>IF(ISBLANK('Data Entry'!$Ê$483), "", 'Data Entry'!$Ê$483)</f>
      </c>
      <c r="EI483">
        <f>IF(ISBLANK('Data Entry'!$Ë$483), "", 'Data Entry'!$Ë$483)</f>
      </c>
      <c r="EJ483">
        <f>IF(ISBLANK('Data Entry'!$Ì$483), "", 'Data Entry'!$Ì$483)</f>
      </c>
      <c r="EK483">
        <f>IF(ISBLANK('Data Entry'!$Í$483), "", 'Data Entry'!$Í$483)</f>
      </c>
      <c r="EL483">
        <f>IF(ISBLANK('Data Entry'!$Î$483), "", 'Data Entry'!$Î$483)</f>
      </c>
      <c r="EM483">
        <f>IF(ISBLANK('Data Entry'!$Ï$483), "", 'Data Entry'!$Ï$483)</f>
      </c>
      <c r="EN483">
        <f>IF(ISBLANK('Data Entry'!$Ð$483), "", 'Data Entry'!$Ð$483)</f>
      </c>
      <c r="EO483">
        <f>IF(ISBLANK('Data Entry'!$Ñ$483), "", 'Data Entry'!$Ñ$483)</f>
      </c>
      <c r="EP483">
        <f>IF(ISBLANK('Data Entry'!$Ò$483), "", 'Data Entry'!$Ò$483)</f>
      </c>
      <c r="EQ483">
        <f>IF(ISBLANK('Data Entry'!$Ó$483), "", 'Data Entry'!$Ó$483)</f>
      </c>
      <c r="ER483">
        <f>IF(ISBLANK('Data Entry'!$Ô$483), "", 'Data Entry'!$Ô$483)</f>
      </c>
      <c r="ES483">
        <f>IF(ISBLANK('Data Entry'!$Õ$483), "", 'Data Entry'!$Õ$483)</f>
      </c>
      <c r="ET483">
        <f>IF(ISBLANK('Data Entry'!$Ö$483), "", 'Data Entry'!$Ö$483)</f>
      </c>
      <c r="EU483">
        <f>IF(ISBLANK('Data Entry'!$×$483), "", 'Data Entry'!$×$483)</f>
      </c>
      <c r="EV483">
        <f>IF(ISBLANK('Data Entry'!$Ø$483), "", 'Data Entry'!$Ø$483)</f>
      </c>
      <c r="EW483">
        <f>IF(ISBLANK('Data Entry'!$Ù$483), "", 'Data Entry'!$Ù$483)</f>
      </c>
      <c r="EX483">
        <f>IF(ISBLANK('Data Entry'!$Ú$483), "", 'Data Entry'!$Ú$483)</f>
      </c>
      <c r="EY483">
        <f>IF(ISBLANK('Data Entry'!$Û$483), "", 'Data Entry'!$Û$483)</f>
      </c>
      <c r="EZ483">
        <f>IF(ISBLANK('Data Entry'!$Ü$483), "", 'Data Entry'!$Ü$483)</f>
      </c>
      <c r="FA483">
        <f>IF(ISBLANK('Data Entry'!$Ý$483), "", 'Data Entry'!$Ý$483)</f>
      </c>
      <c r="FB483">
        <f>IF(ISBLANK('Data Entry'!$Þ$483), "", 'Data Entry'!$Þ$483)</f>
      </c>
      <c r="FC483">
        <f>IF(ISBLANK('Data Entry'!$ß$483), "", 'Data Entry'!$ß$483)</f>
      </c>
      <c r="FD483">
        <f>IF(ISBLANK('Data Entry'!$à$483), "", 'Data Entry'!$à$483)</f>
      </c>
      <c r="FE483">
        <f>IF(ISBLANK('Data Entry'!$á$483), "", 'Data Entry'!$á$483)</f>
      </c>
      <c r="FF483">
        <f>IF(ISBLANK('Data Entry'!$â$483), "", 'Data Entry'!$â$483)</f>
      </c>
      <c r="FG483">
        <f>IF(ISBLANK('Data Entry'!$ã$483), "", 'Data Entry'!$ã$483)</f>
      </c>
      <c r="FH483">
        <f>IF(ISBLANK('Data Entry'!$ä$483), "", 'Data Entry'!$ä$483)</f>
      </c>
      <c r="FI483">
        <f>IF(ISBLANK('Data Entry'!$å$483), "", 'Data Entry'!$å$483)</f>
      </c>
      <c r="FJ483">
        <f>IF(ISBLANK('Data Entry'!$æ$483), "", 'Data Entry'!$æ$483)</f>
      </c>
      <c r="FK483">
        <f>IF(ISBLANK('Data Entry'!$ç$483), "", 'Data Entry'!$ç$483)</f>
      </c>
      <c r="FL483">
        <f>IF(ISBLANK('Data Entry'!$è$483), "", 'Data Entry'!$è$483)</f>
      </c>
      <c r="FM483">
        <f>IF(ISBLANK('Data Entry'!$é$483), "", 'Data Entry'!$é$483)</f>
      </c>
      <c r="FN483">
        <f>IF(ISBLANK('Data Entry'!$ê$483), "", 'Data Entry'!$ê$483)</f>
      </c>
      <c r="FO483">
        <f>IF(ISBLANK('Data Entry'!$ë$483), "", 'Data Entry'!$ë$483)</f>
      </c>
      <c r="FP483">
        <f>IF(ISBLANK('Data Entry'!$ì$483), "", 'Data Entry'!$ì$483)</f>
      </c>
      <c r="FQ483">
        <f>IF(ISBLANK('Data Entry'!$í$483), "", 'Data Entry'!$í$483)</f>
      </c>
      <c r="FR483">
        <f>IF(ISBLANK('Data Entry'!$î$483), "", 'Data Entry'!$î$483)</f>
      </c>
      <c r="FS483">
        <f>IF(ISBLANK('Data Entry'!$ï$483), "", 'Data Entry'!$ï$483)</f>
      </c>
      <c r="FT483">
        <f>IF(ISBLANK('Data Entry'!$ð$483), "", 'Data Entry'!$ð$483)</f>
      </c>
      <c r="FU483">
        <f>IF(ISBLANK('Data Entry'!$ñ$483), "", 'Data Entry'!$ñ$483)</f>
      </c>
      <c r="FV483">
        <f>IF(ISBLANK('Data Entry'!$ò$483), "", 'Data Entry'!$ò$483)</f>
      </c>
      <c r="FW483">
        <f>IF(ISBLANK('Data Entry'!$ó$483), "", 'Data Entry'!$ó$483)</f>
      </c>
      <c r="FX483">
        <f>IF(ISBLANK('Data Entry'!$ô$483), "", 'Data Entry'!$ô$483)</f>
      </c>
      <c r="FY483">
        <f>IF(ISBLANK('Data Entry'!$õ$483), "", 'Data Entry'!$õ$483)</f>
      </c>
      <c r="FZ483">
        <f>IF(ISBLANK('Data Entry'!$ö$483), "", 'Data Entry'!$ö$483)</f>
      </c>
      <c r="GA483">
        <f>IF(ISBLANK('Data Entry'!$÷$483), "", 'Data Entry'!$÷$483)</f>
      </c>
      <c r="GB483">
        <f>IF(ISBLANK('Data Entry'!$ø$483), "", 'Data Entry'!$ø$483)</f>
      </c>
      <c r="GC483">
        <f>IF(ISBLANK('Data Entry'!$ù$483), "", 'Data Entry'!$ù$483)</f>
      </c>
      <c r="GD483">
        <f>IF(ISBLANK('Data Entry'!$ú$483), "", 'Data Entry'!$ú$483)</f>
      </c>
      <c r="GE483">
        <f>IF(ISBLANK('Data Entry'!$û$483), "", 'Data Entry'!$û$483)</f>
      </c>
      <c r="GF483">
        <f>IF(ISBLANK('Data Entry'!$ü$483), "", 'Data Entry'!$ü$483)</f>
      </c>
      <c r="GG483">
        <f>IF(ISBLANK('Data Entry'!$ý$483), "", 'Data Entry'!$ý$483)</f>
      </c>
      <c r="GH483">
        <f>IF(ISBLANK('Data Entry'!$þ$483), "", 'Data Entry'!$þ$483)</f>
      </c>
      <c r="GI483">
        <f>IF(ISBLANK('Data Entry'!$ÿ$483), "", 'Data Entry'!$ÿ$483)</f>
      </c>
      <c r="GJ483">
        <f>IF(ISBLANK('Data Entry'!$Ā$483), "", 'Data Entry'!$Ā$483)</f>
      </c>
      <c r="GK483">
        <f>IF(ISBLANK('Data Entry'!$ā$483), "", 'Data Entry'!$ā$483)</f>
      </c>
      <c r="GL483">
        <f>IF(ISBLANK('Data Entry'!$Ă$483), "", 'Data Entry'!$Ă$483)</f>
      </c>
      <c r="GM483">
        <f>IF(ISBLANK('Data Entry'!$ă$483), "", 'Data Entry'!$ă$483)</f>
      </c>
      <c r="GN483">
        <f>IF(ISBLANK('Data Entry'!$Ą$483), "", 'Data Entry'!$Ą$483)</f>
      </c>
      <c r="GO483">
        <f>IF(ISBLANK('Data Entry'!$ą$483), "", 'Data Entry'!$ą$483)</f>
      </c>
      <c r="GP483">
        <f>IF(ISBLANK('Data Entry'!$Ć$483), "", 'Data Entry'!$Ć$483)</f>
      </c>
      <c r="GQ483">
        <f>IF(ISBLANK('Data Entry'!$ć$483), "", 'Data Entry'!$ć$483)</f>
      </c>
      <c r="GR483">
        <f>IF(ISBLANK('Data Entry'!$Ĉ$483), "", 'Data Entry'!$Ĉ$483)</f>
      </c>
      <c r="GS483">
        <f>IF(ISBLANK('Data Entry'!$ĉ$483), "", 'Data Entry'!$ĉ$483)</f>
      </c>
      <c r="GT483">
        <f>IF(ISBLANK('Data Entry'!$Ċ$483), "", 'Data Entry'!$Ċ$483)</f>
      </c>
      <c r="GU483">
        <f>IF(ISBLANK('Data Entry'!$ċ$483), "", 'Data Entry'!$ċ$483)</f>
      </c>
      <c r="GV483">
        <f>IF(ISBLANK('Data Entry'!$Č$483), "", 'Data Entry'!$Č$483)</f>
      </c>
      <c r="GW483">
        <f>IF(ISBLANK('Data Entry'!$č$483), "", 'Data Entry'!$č$483)</f>
      </c>
      <c r="GX483">
        <f>IF(ISBLANK('Data Entry'!$Ď$483), "", 'Data Entry'!$Ď$483)</f>
      </c>
      <c r="GY483">
        <f>IF(ISBLANK('Data Entry'!$ď$483), "", 'Data Entry'!$ď$483)</f>
      </c>
      <c r="GZ483">
        <f>IF(ISBLANK('Data Entry'!$Đ$483), "", 'Data Entry'!$Đ$483)</f>
      </c>
      <c r="HA483">
        <f>IF(ISBLANK('Data Entry'!$đ$483), "", 'Data Entry'!$đ$483)</f>
      </c>
      <c r="HB483">
        <f>IF(ISBLANK('Data Entry'!$Ē$483), "", 'Data Entry'!$Ē$483)</f>
      </c>
      <c r="HC483">
        <f>IF(ISBLANK('Data Entry'!$ē$483), "", 'Data Entry'!$ē$483)</f>
      </c>
      <c r="HD483">
        <f>IF(ISBLANK('Data Entry'!$Ĕ$483), "", 'Data Entry'!$Ĕ$483)</f>
      </c>
      <c r="HE483">
        <f>IF(ISBLANK('Data Entry'!$ĕ$483), "", 'Data Entry'!$ĕ$483)</f>
      </c>
      <c r="HF483">
        <f>IF(ISBLANK('Data Entry'!$Ė$483), "", 'Data Entry'!$Ė$483)</f>
      </c>
      <c r="HG483">
        <f>IF(ISBLANK('Data Entry'!$ė$483), "", 'Data Entry'!$ė$483)</f>
      </c>
      <c r="HH483">
        <f>IF(ISBLANK('Data Entry'!$Ę$483), "", 'Data Entry'!$Ę$483)</f>
      </c>
      <c r="HI483">
        <f>IF(ISBLANK('Data Entry'!$ę$483), "", 'Data Entry'!$ę$483)</f>
      </c>
      <c r="HJ483">
        <f>IF(ISBLANK('Data Entry'!$Ě$483), "", 'Data Entry'!$Ě$483)</f>
      </c>
      <c r="HK483">
        <f>IF(ISBLANK('Data Entry'!$ě$483), "", 'Data Entry'!$ě$483)</f>
      </c>
      <c r="HL483">
        <f>IF(ISBLANK('Data Entry'!$Ĝ$483), "", 'Data Entry'!$Ĝ$483)</f>
      </c>
      <c r="HM483">
        <f>IF(ISBLANK('Data Entry'!$ĝ$483), "", 'Data Entry'!$ĝ$483)</f>
      </c>
      <c r="HN483">
        <f>IF(ISBLANK('Data Entry'!$Ğ$483), "", 'Data Entry'!$Ğ$483)</f>
      </c>
      <c r="HO483">
        <f>IF(ISBLANK('Data Entry'!$ğ$483), "", 'Data Entry'!$ğ$483)</f>
      </c>
      <c r="HP483">
        <f>IF(ISBLANK('Data Entry'!$Ġ$483), "", 'Data Entry'!$Ġ$483)</f>
      </c>
      <c r="HQ483">
        <f>IF(ISBLANK('Data Entry'!$ġ$483), "", 'Data Entry'!$ġ$483)</f>
      </c>
      <c r="HR483">
        <f>IF(ISBLANK('Data Entry'!$Ģ$483), "", 'Data Entry'!$Ģ$483)</f>
      </c>
      <c r="HS483">
        <f>IF(ISBLANK('Data Entry'!$ģ$483), "", 'Data Entry'!$ģ$483)</f>
      </c>
      <c r="HT483">
        <f>IF(ISBLANK('Data Entry'!$Ĥ$483), "", 'Data Entry'!$Ĥ$483)</f>
      </c>
      <c r="HU483">
        <f>IF(ISBLANK('Data Entry'!$ĥ$483), "", 'Data Entry'!$ĥ$483)</f>
      </c>
      <c r="HV483">
        <f>IF(ISBLANK('Data Entry'!$Ħ$483), "", 'Data Entry'!$Ħ$483)</f>
      </c>
      <c r="HW483">
        <f>IF(ISBLANK('Data Entry'!$ħ$483), "", 'Data Entry'!$ħ$483)</f>
      </c>
      <c r="HX483">
        <f>IF(ISBLANK('Data Entry'!$Ĩ$483), "", 'Data Entry'!$Ĩ$483)</f>
      </c>
      <c r="HY483">
        <f>IF(ISBLANK('Data Entry'!$ĩ$483), "", 'Data Entry'!$ĩ$483)</f>
      </c>
      <c r="HZ483">
        <f>IF(ISBLANK('Data Entry'!$Ī$483), "", 'Data Entry'!$Ī$483)</f>
      </c>
      <c r="IA483">
        <f>IF(ISBLANK('Data Entry'!$ī$483), "", 'Data Entry'!$ī$483)</f>
      </c>
      <c r="IB483">
        <f>IF(ISBLANK('Data Entry'!$Ĭ$483), "", 'Data Entry'!$Ĭ$483)</f>
      </c>
      <c r="IC483">
        <f>IF(ISBLANK('Data Entry'!$ĭ$483), "", 'Data Entry'!$ĭ$483)</f>
      </c>
      <c r="ID483">
        <f>IF(ISBLANK('Data Entry'!$Į$483), "", 'Data Entry'!$Į$483)</f>
      </c>
      <c r="IE483">
        <f>IF(ISBLANK('Data Entry'!$į$483), "", 'Data Entry'!$į$483)</f>
      </c>
      <c r="IF483">
        <f>IF(ISBLANK('Data Entry'!$İ$483), "", 'Data Entry'!$İ$483)</f>
      </c>
      <c r="IG483">
        <f>IF(ISBLANK('Data Entry'!$ı$483), "", 'Data Entry'!$ı$483)</f>
      </c>
      <c r="IH483">
        <f>IF(ISBLANK('Data Entry'!$Ĳ$483), "", 'Data Entry'!$Ĳ$483)</f>
      </c>
      <c r="II483">
        <f>IF(ISBLANK('Data Entry'!$ĳ$483), "", 'Data Entry'!$ĳ$483)</f>
      </c>
      <c r="IJ483">
        <f>IF(ISBLANK('Data Entry'!$Ĵ$483), "", 'Data Entry'!$Ĵ$483)</f>
      </c>
      <c r="IK483">
        <f>IF(ISBLANK('Data Entry'!$ĵ$483), "", 'Data Entry'!$ĵ$483)</f>
      </c>
      <c r="IL483">
        <f>IF(ISBLANK('Data Entry'!$Ķ$483), "", 'Data Entry'!$Ķ$483)</f>
      </c>
      <c r="IM483">
        <f>IF(ISBLANK('Data Entry'!$ķ$483), "", 'Data Entry'!$ķ$483)</f>
      </c>
      <c r="IN483">
        <f>IF(ISBLANK('Data Entry'!$ĸ$483), "", 'Data Entry'!$ĸ$483)</f>
      </c>
      <c r="IO483">
        <f>IF(ISBLANK('Data Entry'!$Ĺ$483), "", 'Data Entry'!$Ĺ$483)</f>
      </c>
      <c r="IP483">
        <f>IF(ISBLANK('Data Entry'!$ĺ$483), "", 'Data Entry'!$ĺ$483)</f>
      </c>
      <c r="IQ483">
        <f>IF(ISBLANK('Data Entry'!$Ļ$483), "", 'Data Entry'!$Ļ$483)</f>
      </c>
      <c r="IR483">
        <f>IF(ISBLANK('Data Entry'!$ļ$483), "", 'Data Entry'!$ļ$483)</f>
      </c>
      <c r="IS483">
        <f>IF(ISBLANK('Data Entry'!$Ľ$483), "", 'Data Entry'!$Ľ$483)</f>
      </c>
      <c r="IT483">
        <f>IF(ISBLANK('Data Entry'!$ľ$483), "", 'Data Entry'!$ľ$483)</f>
      </c>
    </row>
    <row r="484" spans="1:254" x14ac:dyDescent="0.25">
      <c r="A484">
        <f>IF(ISBLANK('Data Entry'!$A$484), "", 'Data Entry'!$A$484)</f>
      </c>
      <c r="B484">
        <f>IF(ISBLANK('Data Entry'!$B$484), "", 'Data Entry'!$B$484)</f>
      </c>
      <c r="C484">
        <f>IF(ISBLANK('Data Entry'!$C$484), "", 'Data Entry'!$C$484)</f>
      </c>
      <c r="D484">
        <f>IF(ISBLANK('Data Entry'!$D$484), "", 'Data Entry'!$D$484)</f>
      </c>
      <c r="E484">
        <f>IF(ISBLANK('Data Entry'!$E$484), "", 'Data Entry'!$E$484)</f>
      </c>
      <c r="F484">
        <f>IF(ISBLANK('Data Entry'!$F$484), "", 'Data Entry'!$F$484)</f>
      </c>
      <c r="G484">
        <f>IF(ISBLANK('Data Entry'!$G$484), "", 'Data Entry'!$G$484)</f>
      </c>
      <c r="H484">
        <f>IF(ISBLANK('Data Entry'!$H$484), "", 'Data Entry'!$H$484)</f>
      </c>
      <c r="I484">
        <f>IF(ISBLANK('Data Entry'!$I$484), "", 'Data Entry'!$I$484)</f>
      </c>
      <c r="J484">
        <f>IF(ISBLANK('Data Entry'!$J$484), "", 'Data Entry'!$J$484)</f>
      </c>
      <c r="K484">
        <f>IF(ISBLANK('Data Entry'!$K$484), "", 'Data Entry'!$K$484)</f>
      </c>
      <c r="L484">
        <f>IF(ISBLANK('Data Entry'!$L$484), "", 'Data Entry'!$L$484)</f>
      </c>
      <c r="M484">
        <f>IF(ISBLANK('Data Entry'!$M$484), "", 'Data Entry'!$M$484)</f>
      </c>
      <c r="N484">
        <f>IF(ISBLANK('Data Entry'!$N$484), "", 'Data Entry'!$N$484)</f>
      </c>
      <c r="O484">
        <f>IF(ISBLANK('Data Entry'!$O$484), "", 'Data Entry'!$O$484)</f>
      </c>
      <c r="P484">
        <f>IF(ISBLANK('Data Entry'!$P$484), "", 'Data Entry'!$P$484)</f>
      </c>
      <c r="Q484">
        <f>IF(ISBLANK('Data Entry'!$Q$484), "", 'Data Entry'!$Q$484)</f>
      </c>
      <c r="R484">
        <f>IF(ISBLANK('Data Entry'!$R$484), "", 'Data Entry'!$R$484)</f>
      </c>
      <c r="S484">
        <f>IF(ISBLANK('Data Entry'!$S$484), "", 'Data Entry'!$S$484)</f>
      </c>
      <c r="T484">
        <f>IF(ISBLANK('Data Entry'!$T$484), "", 'Data Entry'!$T$484)</f>
      </c>
      <c r="U484">
        <f>IF(ISBLANK('Data Entry'!$U$484), "", 'Data Entry'!$U$484)</f>
      </c>
      <c r="V484">
        <f>IF(ISBLANK('Data Entry'!$V$484), "", 'Data Entry'!$V$484)</f>
      </c>
      <c r="W484">
        <f>IF(ISBLANK('Data Entry'!$W$484), "", 'Data Entry'!$W$484)</f>
      </c>
      <c r="X484">
        <f>IF(ISBLANK('Data Entry'!$X$484), "", 'Data Entry'!$X$484)</f>
      </c>
      <c r="Y484">
        <f>IF(ISBLANK('Data Entry'!$Y$484), "", 'Data Entry'!$Y$484)</f>
      </c>
      <c r="Z484">
        <f>IF(ISBLANK('Data Entry'!$Z$484), "", 'Data Entry'!$Z$484)</f>
      </c>
      <c r="AA484">
        <f>IF(ISBLANK('Data Entry'!$[$484), "", 'Data Entry'!$[$484)</f>
      </c>
      <c r="AB484">
        <f>IF(ISBLANK('Data Entry'!$\$484), "", 'Data Entry'!$\$484)</f>
      </c>
      <c r="AC484">
        <f>IF(ISBLANK('Data Entry'!$]$484), "", 'Data Entry'!$]$484)</f>
      </c>
      <c r="AD484">
        <f>IF(ISBLANK('Data Entry'!$^$484), "", 'Data Entry'!$^$484)</f>
      </c>
      <c r="AE484">
        <f>IF(ISBLANK('Data Entry'!$_$484), "", 'Data Entry'!$_$484)</f>
      </c>
      <c r="AF484">
        <f>IF(ISBLANK('Data Entry'!$`$484), "", 'Data Entry'!$`$484)</f>
      </c>
      <c r="AG484">
        <f>IF(ISBLANK('Data Entry'!$a$484), "", 'Data Entry'!$a$484)</f>
      </c>
      <c r="AH484">
        <f>IF(ISBLANK('Data Entry'!$b$484), "", 'Data Entry'!$b$484)</f>
      </c>
      <c r="AI484">
        <f>IF(ISBLANK('Data Entry'!$c$484), "", 'Data Entry'!$c$484)</f>
      </c>
      <c r="AJ484">
        <f>IF(ISBLANK('Data Entry'!$d$484), "", 'Data Entry'!$d$484)</f>
      </c>
      <c r="AK484">
        <f>IF(ISBLANK('Data Entry'!$e$484), "", 'Data Entry'!$e$484)</f>
      </c>
      <c r="AL484">
        <f>IF(ISBLANK('Data Entry'!$f$484), "", 'Data Entry'!$f$484)</f>
      </c>
      <c r="AM484">
        <f>IF(ISBLANK('Data Entry'!$g$484), "", 'Data Entry'!$g$484)</f>
      </c>
      <c r="AN484">
        <f>IF(ISBLANK('Data Entry'!$h$484), "", 'Data Entry'!$h$484)</f>
      </c>
      <c r="AO484">
        <f>IF(ISBLANK('Data Entry'!$i$484), "", 'Data Entry'!$i$484)</f>
      </c>
      <c r="AP484">
        <f>IF(ISBLANK('Data Entry'!$j$484), "", 'Data Entry'!$j$484)</f>
      </c>
      <c r="AQ484">
        <f>IF(ISBLANK('Data Entry'!$k$484), "", 'Data Entry'!$k$484)</f>
      </c>
      <c r="AR484">
        <f>IF(ISBLANK('Data Entry'!$l$484), "", 'Data Entry'!$l$484)</f>
      </c>
      <c r="AS484">
        <f>IF(ISBLANK('Data Entry'!$m$484), "", 'Data Entry'!$m$484)</f>
      </c>
      <c r="AT484">
        <f>IF(ISBLANK('Data Entry'!$n$484), "", 'Data Entry'!$n$484)</f>
      </c>
      <c r="AU484">
        <f>IF(ISBLANK('Data Entry'!$o$484), "", 'Data Entry'!$o$484)</f>
      </c>
      <c r="AV484">
        <f>IF(ISBLANK('Data Entry'!$p$484), "", 'Data Entry'!$p$484)</f>
      </c>
      <c r="AW484">
        <f>IF(ISBLANK('Data Entry'!$q$484), "", 'Data Entry'!$q$484)</f>
      </c>
      <c r="AX484">
        <f>IF(ISBLANK('Data Entry'!$r$484), "", 'Data Entry'!$r$484)</f>
      </c>
      <c r="AY484">
        <f>IF(ISBLANK('Data Entry'!$s$484), "", 'Data Entry'!$s$484)</f>
      </c>
      <c r="AZ484">
        <f>IF(ISBLANK('Data Entry'!$t$484), "", 'Data Entry'!$t$484)</f>
      </c>
      <c r="BA484">
        <f>IF(ISBLANK('Data Entry'!$u$484), "", 'Data Entry'!$u$484)</f>
      </c>
      <c r="BB484">
        <f>IF(ISBLANK('Data Entry'!$v$484), "", 'Data Entry'!$v$484)</f>
      </c>
      <c r="BC484">
        <f>IF(ISBLANK('Data Entry'!$w$484), "", 'Data Entry'!$w$484)</f>
      </c>
      <c r="BD484">
        <f>IF(ISBLANK('Data Entry'!$x$484), "", 'Data Entry'!$x$484)</f>
      </c>
      <c r="BE484">
        <f>IF(ISBLANK('Data Entry'!$y$484), "", 'Data Entry'!$y$484)</f>
      </c>
      <c r="BF484">
        <f>IF(ISBLANK('Data Entry'!$z$484), "", 'Data Entry'!$z$484)</f>
      </c>
      <c r="BG484">
        <f>IF(ISBLANK('Data Entry'!${$484), "", 'Data Entry'!${$484)</f>
      </c>
      <c r="BH484">
        <f>IF(ISBLANK('Data Entry'!$|$484), "", 'Data Entry'!$|$484)</f>
      </c>
      <c r="BI484">
        <f>IF(ISBLANK('Data Entry'!$}$484), "", 'Data Entry'!$}$484)</f>
      </c>
      <c r="BJ484">
        <f>IF(ISBLANK('Data Entry'!$~$484), "", 'Data Entry'!$~$484)</f>
      </c>
      <c r="BK484">
        <f>IF(ISBLANK('Data Entry'!$$484), "", 'Data Entry'!$$484)</f>
      </c>
      <c r="BL484">
        <f>IF(ISBLANK('Data Entry'!$$484), "", 'Data Entry'!$$484)</f>
      </c>
      <c r="BM484">
        <f>IF(ISBLANK('Data Entry'!$$484), "", 'Data Entry'!$$484)</f>
      </c>
      <c r="BN484">
        <f>IF(ISBLANK('Data Entry'!$$484), "", 'Data Entry'!$$484)</f>
      </c>
      <c r="BO484">
        <f>IF(ISBLANK('Data Entry'!$$484), "", 'Data Entry'!$$484)</f>
      </c>
      <c r="BP484">
        <f>IF(ISBLANK('Data Entry'!$$484), "", 'Data Entry'!$$484)</f>
      </c>
      <c r="BQ484">
        <f>IF(ISBLANK('Data Entry'!$$484), "", 'Data Entry'!$$484)</f>
      </c>
      <c r="BR484">
        <f>IF(ISBLANK('Data Entry'!$$484), "", 'Data Entry'!$$484)</f>
      </c>
      <c r="BS484">
        <f>IF(ISBLANK('Data Entry'!$$484), "", 'Data Entry'!$$484)</f>
      </c>
      <c r="BT484">
        <f>IF(ISBLANK('Data Entry'!$$484), "", 'Data Entry'!$$484)</f>
      </c>
      <c r="BU484">
        <f>IF(ISBLANK('Data Entry'!$$484), "", 'Data Entry'!$$484)</f>
      </c>
      <c r="BV484">
        <f>IF(ISBLANK('Data Entry'!$$484), "", 'Data Entry'!$$484)</f>
      </c>
      <c r="BW484">
        <f>IF(ISBLANK('Data Entry'!$$484), "", 'Data Entry'!$$484)</f>
      </c>
      <c r="BX484">
        <f>IF(ISBLANK('Data Entry'!$$484), "", 'Data Entry'!$$484)</f>
      </c>
      <c r="BY484">
        <f>IF(ISBLANK('Data Entry'!$$484), "", 'Data Entry'!$$484)</f>
      </c>
      <c r="BZ484">
        <f>IF(ISBLANK('Data Entry'!$$484), "", 'Data Entry'!$$484)</f>
      </c>
      <c r="CA484">
        <f>IF(ISBLANK('Data Entry'!$$484), "", 'Data Entry'!$$484)</f>
      </c>
      <c r="CB484">
        <f>IF(ISBLANK('Data Entry'!$$484), "", 'Data Entry'!$$484)</f>
      </c>
      <c r="CC484">
        <f>IF(ISBLANK('Data Entry'!$$484), "", 'Data Entry'!$$484)</f>
      </c>
      <c r="CD484">
        <f>IF(ISBLANK('Data Entry'!$$484), "", 'Data Entry'!$$484)</f>
      </c>
      <c r="CE484">
        <f>IF(ISBLANK('Data Entry'!$$484), "", 'Data Entry'!$$484)</f>
      </c>
      <c r="CF484">
        <f>IF(ISBLANK('Data Entry'!$$484), "", 'Data Entry'!$$484)</f>
      </c>
      <c r="CG484">
        <f>IF(ISBLANK('Data Entry'!$$484), "", 'Data Entry'!$$484)</f>
      </c>
      <c r="CH484">
        <f>IF(ISBLANK('Data Entry'!$$484), "", 'Data Entry'!$$484)</f>
      </c>
      <c r="CI484">
        <f>IF(ISBLANK('Data Entry'!$$484), "", 'Data Entry'!$$484)</f>
      </c>
      <c r="CJ484">
        <f>IF(ISBLANK('Data Entry'!$$484), "", 'Data Entry'!$$484)</f>
      </c>
      <c r="CK484">
        <f>IF(ISBLANK('Data Entry'!$$484), "", 'Data Entry'!$$484)</f>
      </c>
      <c r="CL484">
        <f>IF(ISBLANK('Data Entry'!$$484), "", 'Data Entry'!$$484)</f>
      </c>
      <c r="CM484">
        <f>IF(ISBLANK('Data Entry'!$$484), "", 'Data Entry'!$$484)</f>
      </c>
      <c r="CN484">
        <f>IF(ISBLANK('Data Entry'!$$484), "", 'Data Entry'!$$484)</f>
      </c>
      <c r="CO484">
        <f>IF(ISBLANK('Data Entry'!$$484), "", 'Data Entry'!$$484)</f>
      </c>
      <c r="CP484">
        <f>IF(ISBLANK('Data Entry'!$$484), "", 'Data Entry'!$$484)</f>
      </c>
      <c r="CQ484">
        <f>IF(ISBLANK('Data Entry'!$$484), "", 'Data Entry'!$$484)</f>
      </c>
      <c r="CR484">
        <f>IF(ISBLANK('Data Entry'!$ $484), "", 'Data Entry'!$ $484)</f>
      </c>
      <c r="CS484">
        <f>IF(ISBLANK('Data Entry'!$¡$484), "", 'Data Entry'!$¡$484)</f>
      </c>
      <c r="CT484">
        <f>IF(ISBLANK('Data Entry'!$¢$484), "", 'Data Entry'!$¢$484)</f>
      </c>
      <c r="CU484">
        <f>IF(ISBLANK('Data Entry'!$£$484), "", 'Data Entry'!$£$484)</f>
      </c>
      <c r="CV484">
        <f>IF(ISBLANK('Data Entry'!$¤$484), "", 'Data Entry'!$¤$484)</f>
      </c>
      <c r="CW484">
        <f>IF(ISBLANK('Data Entry'!$¥$484), "", 'Data Entry'!$¥$484)</f>
      </c>
      <c r="CX484">
        <f>IF(ISBLANK('Data Entry'!$¦$484), "", 'Data Entry'!$¦$484)</f>
      </c>
      <c r="CY484">
        <f>IF(ISBLANK('Data Entry'!$§$484), "", 'Data Entry'!$§$484)</f>
      </c>
      <c r="CZ484">
        <f>IF(ISBLANK('Data Entry'!$¨$484), "", 'Data Entry'!$¨$484)</f>
      </c>
      <c r="DA484">
        <f>IF(ISBLANK('Data Entry'!$©$484), "", 'Data Entry'!$©$484)</f>
      </c>
      <c r="DB484">
        <f>IF(ISBLANK('Data Entry'!$ª$484), "", 'Data Entry'!$ª$484)</f>
      </c>
      <c r="DC484">
        <f>IF(ISBLANK('Data Entry'!$«$484), "", 'Data Entry'!$«$484)</f>
      </c>
      <c r="DD484">
        <f>IF(ISBLANK('Data Entry'!$¬$484), "", 'Data Entry'!$¬$484)</f>
      </c>
      <c r="DE484">
        <f>IF(ISBLANK('Data Entry'!$­$484), "", 'Data Entry'!$­$484)</f>
      </c>
      <c r="DF484">
        <f>IF(ISBLANK('Data Entry'!$®$484), "", 'Data Entry'!$®$484)</f>
      </c>
      <c r="DG484">
        <f>IF(ISBLANK('Data Entry'!$¯$484), "", 'Data Entry'!$¯$484)</f>
      </c>
      <c r="DH484">
        <f>IF(ISBLANK('Data Entry'!$°$484), "", 'Data Entry'!$°$484)</f>
      </c>
      <c r="DI484">
        <f>IF(ISBLANK('Data Entry'!$±$484), "", 'Data Entry'!$±$484)</f>
      </c>
      <c r="DJ484">
        <f>IF(ISBLANK('Data Entry'!$²$484), "", 'Data Entry'!$²$484)</f>
      </c>
      <c r="DK484">
        <f>IF(ISBLANK('Data Entry'!$³$484), "", 'Data Entry'!$³$484)</f>
      </c>
      <c r="DL484">
        <f>IF(ISBLANK('Data Entry'!$´$484), "", 'Data Entry'!$´$484)</f>
      </c>
      <c r="DM484">
        <f>IF(ISBLANK('Data Entry'!$µ$484), "", 'Data Entry'!$µ$484)</f>
      </c>
      <c r="DN484">
        <f>IF(ISBLANK('Data Entry'!$¶$484), "", 'Data Entry'!$¶$484)</f>
      </c>
      <c r="DO484">
        <f>IF(ISBLANK('Data Entry'!$·$484), "", 'Data Entry'!$·$484)</f>
      </c>
      <c r="DP484">
        <f>IF(ISBLANK('Data Entry'!$¸$484), "", 'Data Entry'!$¸$484)</f>
      </c>
      <c r="DQ484">
        <f>IF(ISBLANK('Data Entry'!$¹$484), "", 'Data Entry'!$¹$484)</f>
      </c>
      <c r="DR484">
        <f>IF(ISBLANK('Data Entry'!$º$484), "", 'Data Entry'!$º$484)</f>
      </c>
      <c r="DS484">
        <f>IF(ISBLANK('Data Entry'!$»$484), "", 'Data Entry'!$»$484)</f>
      </c>
      <c r="DT484">
        <f>IF(ISBLANK('Data Entry'!$¼$484), "", 'Data Entry'!$¼$484)</f>
      </c>
      <c r="DU484">
        <f>IF(ISBLANK('Data Entry'!$½$484), "", 'Data Entry'!$½$484)</f>
      </c>
      <c r="DV484">
        <f>IF(ISBLANK('Data Entry'!$¾$484), "", 'Data Entry'!$¾$484)</f>
      </c>
      <c r="DW484">
        <f>IF(ISBLANK('Data Entry'!$¿$484), "", 'Data Entry'!$¿$484)</f>
      </c>
      <c r="DX484">
        <f>IF(ISBLANK('Data Entry'!$À$484), "", 'Data Entry'!$À$484)</f>
      </c>
      <c r="DY484">
        <f>IF(ISBLANK('Data Entry'!$Á$484), "", 'Data Entry'!$Á$484)</f>
      </c>
      <c r="DZ484">
        <f>IF(ISBLANK('Data Entry'!$Â$484), "", 'Data Entry'!$Â$484)</f>
      </c>
      <c r="EA484">
        <f>IF(ISBLANK('Data Entry'!$Ã$484), "", 'Data Entry'!$Ã$484)</f>
      </c>
      <c r="EB484">
        <f>IF(ISBLANK('Data Entry'!$Ä$484), "", 'Data Entry'!$Ä$484)</f>
      </c>
      <c r="EC484">
        <f>IF(ISBLANK('Data Entry'!$Å$484), "", 'Data Entry'!$Å$484)</f>
      </c>
      <c r="ED484">
        <f>IF(ISBLANK('Data Entry'!$Æ$484), "", 'Data Entry'!$Æ$484)</f>
      </c>
      <c r="EE484">
        <f>IF(ISBLANK('Data Entry'!$Ç$484), "", 'Data Entry'!$Ç$484)</f>
      </c>
      <c r="EF484">
        <f>IF(ISBLANK('Data Entry'!$È$484), "", 'Data Entry'!$È$484)</f>
      </c>
      <c r="EG484">
        <f>IF(ISBLANK('Data Entry'!$É$484), "", 'Data Entry'!$É$484)</f>
      </c>
      <c r="EH484">
        <f>IF(ISBLANK('Data Entry'!$Ê$484), "", 'Data Entry'!$Ê$484)</f>
      </c>
      <c r="EI484">
        <f>IF(ISBLANK('Data Entry'!$Ë$484), "", 'Data Entry'!$Ë$484)</f>
      </c>
      <c r="EJ484">
        <f>IF(ISBLANK('Data Entry'!$Ì$484), "", 'Data Entry'!$Ì$484)</f>
      </c>
      <c r="EK484">
        <f>IF(ISBLANK('Data Entry'!$Í$484), "", 'Data Entry'!$Í$484)</f>
      </c>
      <c r="EL484">
        <f>IF(ISBLANK('Data Entry'!$Î$484), "", 'Data Entry'!$Î$484)</f>
      </c>
      <c r="EM484">
        <f>IF(ISBLANK('Data Entry'!$Ï$484), "", 'Data Entry'!$Ï$484)</f>
      </c>
      <c r="EN484">
        <f>IF(ISBLANK('Data Entry'!$Ð$484), "", 'Data Entry'!$Ð$484)</f>
      </c>
      <c r="EO484">
        <f>IF(ISBLANK('Data Entry'!$Ñ$484), "", 'Data Entry'!$Ñ$484)</f>
      </c>
      <c r="EP484">
        <f>IF(ISBLANK('Data Entry'!$Ò$484), "", 'Data Entry'!$Ò$484)</f>
      </c>
      <c r="EQ484">
        <f>IF(ISBLANK('Data Entry'!$Ó$484), "", 'Data Entry'!$Ó$484)</f>
      </c>
      <c r="ER484">
        <f>IF(ISBLANK('Data Entry'!$Ô$484), "", 'Data Entry'!$Ô$484)</f>
      </c>
      <c r="ES484">
        <f>IF(ISBLANK('Data Entry'!$Õ$484), "", 'Data Entry'!$Õ$484)</f>
      </c>
      <c r="ET484">
        <f>IF(ISBLANK('Data Entry'!$Ö$484), "", 'Data Entry'!$Ö$484)</f>
      </c>
      <c r="EU484">
        <f>IF(ISBLANK('Data Entry'!$×$484), "", 'Data Entry'!$×$484)</f>
      </c>
      <c r="EV484">
        <f>IF(ISBLANK('Data Entry'!$Ø$484), "", 'Data Entry'!$Ø$484)</f>
      </c>
      <c r="EW484">
        <f>IF(ISBLANK('Data Entry'!$Ù$484), "", 'Data Entry'!$Ù$484)</f>
      </c>
      <c r="EX484">
        <f>IF(ISBLANK('Data Entry'!$Ú$484), "", 'Data Entry'!$Ú$484)</f>
      </c>
      <c r="EY484">
        <f>IF(ISBLANK('Data Entry'!$Û$484), "", 'Data Entry'!$Û$484)</f>
      </c>
      <c r="EZ484">
        <f>IF(ISBLANK('Data Entry'!$Ü$484), "", 'Data Entry'!$Ü$484)</f>
      </c>
      <c r="FA484">
        <f>IF(ISBLANK('Data Entry'!$Ý$484), "", 'Data Entry'!$Ý$484)</f>
      </c>
      <c r="FB484">
        <f>IF(ISBLANK('Data Entry'!$Þ$484), "", 'Data Entry'!$Þ$484)</f>
      </c>
      <c r="FC484">
        <f>IF(ISBLANK('Data Entry'!$ß$484), "", 'Data Entry'!$ß$484)</f>
      </c>
      <c r="FD484">
        <f>IF(ISBLANK('Data Entry'!$à$484), "", 'Data Entry'!$à$484)</f>
      </c>
      <c r="FE484">
        <f>IF(ISBLANK('Data Entry'!$á$484), "", 'Data Entry'!$á$484)</f>
      </c>
      <c r="FF484">
        <f>IF(ISBLANK('Data Entry'!$â$484), "", 'Data Entry'!$â$484)</f>
      </c>
      <c r="FG484">
        <f>IF(ISBLANK('Data Entry'!$ã$484), "", 'Data Entry'!$ã$484)</f>
      </c>
      <c r="FH484">
        <f>IF(ISBLANK('Data Entry'!$ä$484), "", 'Data Entry'!$ä$484)</f>
      </c>
      <c r="FI484">
        <f>IF(ISBLANK('Data Entry'!$å$484), "", 'Data Entry'!$å$484)</f>
      </c>
      <c r="FJ484">
        <f>IF(ISBLANK('Data Entry'!$æ$484), "", 'Data Entry'!$æ$484)</f>
      </c>
      <c r="FK484">
        <f>IF(ISBLANK('Data Entry'!$ç$484), "", 'Data Entry'!$ç$484)</f>
      </c>
      <c r="FL484">
        <f>IF(ISBLANK('Data Entry'!$è$484), "", 'Data Entry'!$è$484)</f>
      </c>
      <c r="FM484">
        <f>IF(ISBLANK('Data Entry'!$é$484), "", 'Data Entry'!$é$484)</f>
      </c>
      <c r="FN484">
        <f>IF(ISBLANK('Data Entry'!$ê$484), "", 'Data Entry'!$ê$484)</f>
      </c>
      <c r="FO484">
        <f>IF(ISBLANK('Data Entry'!$ë$484), "", 'Data Entry'!$ë$484)</f>
      </c>
      <c r="FP484">
        <f>IF(ISBLANK('Data Entry'!$ì$484), "", 'Data Entry'!$ì$484)</f>
      </c>
      <c r="FQ484">
        <f>IF(ISBLANK('Data Entry'!$í$484), "", 'Data Entry'!$í$484)</f>
      </c>
      <c r="FR484">
        <f>IF(ISBLANK('Data Entry'!$î$484), "", 'Data Entry'!$î$484)</f>
      </c>
      <c r="FS484">
        <f>IF(ISBLANK('Data Entry'!$ï$484), "", 'Data Entry'!$ï$484)</f>
      </c>
      <c r="FT484">
        <f>IF(ISBLANK('Data Entry'!$ð$484), "", 'Data Entry'!$ð$484)</f>
      </c>
      <c r="FU484">
        <f>IF(ISBLANK('Data Entry'!$ñ$484), "", 'Data Entry'!$ñ$484)</f>
      </c>
      <c r="FV484">
        <f>IF(ISBLANK('Data Entry'!$ò$484), "", 'Data Entry'!$ò$484)</f>
      </c>
      <c r="FW484">
        <f>IF(ISBLANK('Data Entry'!$ó$484), "", 'Data Entry'!$ó$484)</f>
      </c>
      <c r="FX484">
        <f>IF(ISBLANK('Data Entry'!$ô$484), "", 'Data Entry'!$ô$484)</f>
      </c>
      <c r="FY484">
        <f>IF(ISBLANK('Data Entry'!$õ$484), "", 'Data Entry'!$õ$484)</f>
      </c>
      <c r="FZ484">
        <f>IF(ISBLANK('Data Entry'!$ö$484), "", 'Data Entry'!$ö$484)</f>
      </c>
      <c r="GA484">
        <f>IF(ISBLANK('Data Entry'!$÷$484), "", 'Data Entry'!$÷$484)</f>
      </c>
      <c r="GB484">
        <f>IF(ISBLANK('Data Entry'!$ø$484), "", 'Data Entry'!$ø$484)</f>
      </c>
      <c r="GC484">
        <f>IF(ISBLANK('Data Entry'!$ù$484), "", 'Data Entry'!$ù$484)</f>
      </c>
      <c r="GD484">
        <f>IF(ISBLANK('Data Entry'!$ú$484), "", 'Data Entry'!$ú$484)</f>
      </c>
      <c r="GE484">
        <f>IF(ISBLANK('Data Entry'!$û$484), "", 'Data Entry'!$û$484)</f>
      </c>
      <c r="GF484">
        <f>IF(ISBLANK('Data Entry'!$ü$484), "", 'Data Entry'!$ü$484)</f>
      </c>
      <c r="GG484">
        <f>IF(ISBLANK('Data Entry'!$ý$484), "", 'Data Entry'!$ý$484)</f>
      </c>
      <c r="GH484">
        <f>IF(ISBLANK('Data Entry'!$þ$484), "", 'Data Entry'!$þ$484)</f>
      </c>
      <c r="GI484">
        <f>IF(ISBLANK('Data Entry'!$ÿ$484), "", 'Data Entry'!$ÿ$484)</f>
      </c>
      <c r="GJ484">
        <f>IF(ISBLANK('Data Entry'!$Ā$484), "", 'Data Entry'!$Ā$484)</f>
      </c>
      <c r="GK484">
        <f>IF(ISBLANK('Data Entry'!$ā$484), "", 'Data Entry'!$ā$484)</f>
      </c>
      <c r="GL484">
        <f>IF(ISBLANK('Data Entry'!$Ă$484), "", 'Data Entry'!$Ă$484)</f>
      </c>
      <c r="GM484">
        <f>IF(ISBLANK('Data Entry'!$ă$484), "", 'Data Entry'!$ă$484)</f>
      </c>
      <c r="GN484">
        <f>IF(ISBLANK('Data Entry'!$Ą$484), "", 'Data Entry'!$Ą$484)</f>
      </c>
      <c r="GO484">
        <f>IF(ISBLANK('Data Entry'!$ą$484), "", 'Data Entry'!$ą$484)</f>
      </c>
      <c r="GP484">
        <f>IF(ISBLANK('Data Entry'!$Ć$484), "", 'Data Entry'!$Ć$484)</f>
      </c>
      <c r="GQ484">
        <f>IF(ISBLANK('Data Entry'!$ć$484), "", 'Data Entry'!$ć$484)</f>
      </c>
      <c r="GR484">
        <f>IF(ISBLANK('Data Entry'!$Ĉ$484), "", 'Data Entry'!$Ĉ$484)</f>
      </c>
      <c r="GS484">
        <f>IF(ISBLANK('Data Entry'!$ĉ$484), "", 'Data Entry'!$ĉ$484)</f>
      </c>
      <c r="GT484">
        <f>IF(ISBLANK('Data Entry'!$Ċ$484), "", 'Data Entry'!$Ċ$484)</f>
      </c>
      <c r="GU484">
        <f>IF(ISBLANK('Data Entry'!$ċ$484), "", 'Data Entry'!$ċ$484)</f>
      </c>
      <c r="GV484">
        <f>IF(ISBLANK('Data Entry'!$Č$484), "", 'Data Entry'!$Č$484)</f>
      </c>
      <c r="GW484">
        <f>IF(ISBLANK('Data Entry'!$č$484), "", 'Data Entry'!$č$484)</f>
      </c>
      <c r="GX484">
        <f>IF(ISBLANK('Data Entry'!$Ď$484), "", 'Data Entry'!$Ď$484)</f>
      </c>
      <c r="GY484">
        <f>IF(ISBLANK('Data Entry'!$ď$484), "", 'Data Entry'!$ď$484)</f>
      </c>
      <c r="GZ484">
        <f>IF(ISBLANK('Data Entry'!$Đ$484), "", 'Data Entry'!$Đ$484)</f>
      </c>
      <c r="HA484">
        <f>IF(ISBLANK('Data Entry'!$đ$484), "", 'Data Entry'!$đ$484)</f>
      </c>
      <c r="HB484">
        <f>IF(ISBLANK('Data Entry'!$Ē$484), "", 'Data Entry'!$Ē$484)</f>
      </c>
      <c r="HC484">
        <f>IF(ISBLANK('Data Entry'!$ē$484), "", 'Data Entry'!$ē$484)</f>
      </c>
      <c r="HD484">
        <f>IF(ISBLANK('Data Entry'!$Ĕ$484), "", 'Data Entry'!$Ĕ$484)</f>
      </c>
      <c r="HE484">
        <f>IF(ISBLANK('Data Entry'!$ĕ$484), "", 'Data Entry'!$ĕ$484)</f>
      </c>
      <c r="HF484">
        <f>IF(ISBLANK('Data Entry'!$Ė$484), "", 'Data Entry'!$Ė$484)</f>
      </c>
      <c r="HG484">
        <f>IF(ISBLANK('Data Entry'!$ė$484), "", 'Data Entry'!$ė$484)</f>
      </c>
      <c r="HH484">
        <f>IF(ISBLANK('Data Entry'!$Ę$484), "", 'Data Entry'!$Ę$484)</f>
      </c>
      <c r="HI484">
        <f>IF(ISBLANK('Data Entry'!$ę$484), "", 'Data Entry'!$ę$484)</f>
      </c>
      <c r="HJ484">
        <f>IF(ISBLANK('Data Entry'!$Ě$484), "", 'Data Entry'!$Ě$484)</f>
      </c>
      <c r="HK484">
        <f>IF(ISBLANK('Data Entry'!$ě$484), "", 'Data Entry'!$ě$484)</f>
      </c>
      <c r="HL484">
        <f>IF(ISBLANK('Data Entry'!$Ĝ$484), "", 'Data Entry'!$Ĝ$484)</f>
      </c>
      <c r="HM484">
        <f>IF(ISBLANK('Data Entry'!$ĝ$484), "", 'Data Entry'!$ĝ$484)</f>
      </c>
      <c r="HN484">
        <f>IF(ISBLANK('Data Entry'!$Ğ$484), "", 'Data Entry'!$Ğ$484)</f>
      </c>
      <c r="HO484">
        <f>IF(ISBLANK('Data Entry'!$ğ$484), "", 'Data Entry'!$ğ$484)</f>
      </c>
      <c r="HP484">
        <f>IF(ISBLANK('Data Entry'!$Ġ$484), "", 'Data Entry'!$Ġ$484)</f>
      </c>
      <c r="HQ484">
        <f>IF(ISBLANK('Data Entry'!$ġ$484), "", 'Data Entry'!$ġ$484)</f>
      </c>
      <c r="HR484">
        <f>IF(ISBLANK('Data Entry'!$Ģ$484), "", 'Data Entry'!$Ģ$484)</f>
      </c>
      <c r="HS484">
        <f>IF(ISBLANK('Data Entry'!$ģ$484), "", 'Data Entry'!$ģ$484)</f>
      </c>
      <c r="HT484">
        <f>IF(ISBLANK('Data Entry'!$Ĥ$484), "", 'Data Entry'!$Ĥ$484)</f>
      </c>
      <c r="HU484">
        <f>IF(ISBLANK('Data Entry'!$ĥ$484), "", 'Data Entry'!$ĥ$484)</f>
      </c>
      <c r="HV484">
        <f>IF(ISBLANK('Data Entry'!$Ħ$484), "", 'Data Entry'!$Ħ$484)</f>
      </c>
      <c r="HW484">
        <f>IF(ISBLANK('Data Entry'!$ħ$484), "", 'Data Entry'!$ħ$484)</f>
      </c>
      <c r="HX484">
        <f>IF(ISBLANK('Data Entry'!$Ĩ$484), "", 'Data Entry'!$Ĩ$484)</f>
      </c>
      <c r="HY484">
        <f>IF(ISBLANK('Data Entry'!$ĩ$484), "", 'Data Entry'!$ĩ$484)</f>
      </c>
      <c r="HZ484">
        <f>IF(ISBLANK('Data Entry'!$Ī$484), "", 'Data Entry'!$Ī$484)</f>
      </c>
      <c r="IA484">
        <f>IF(ISBLANK('Data Entry'!$ī$484), "", 'Data Entry'!$ī$484)</f>
      </c>
      <c r="IB484">
        <f>IF(ISBLANK('Data Entry'!$Ĭ$484), "", 'Data Entry'!$Ĭ$484)</f>
      </c>
      <c r="IC484">
        <f>IF(ISBLANK('Data Entry'!$ĭ$484), "", 'Data Entry'!$ĭ$484)</f>
      </c>
      <c r="ID484">
        <f>IF(ISBLANK('Data Entry'!$Į$484), "", 'Data Entry'!$Į$484)</f>
      </c>
      <c r="IE484">
        <f>IF(ISBLANK('Data Entry'!$į$484), "", 'Data Entry'!$į$484)</f>
      </c>
      <c r="IF484">
        <f>IF(ISBLANK('Data Entry'!$İ$484), "", 'Data Entry'!$İ$484)</f>
      </c>
      <c r="IG484">
        <f>IF(ISBLANK('Data Entry'!$ı$484), "", 'Data Entry'!$ı$484)</f>
      </c>
      <c r="IH484">
        <f>IF(ISBLANK('Data Entry'!$Ĳ$484), "", 'Data Entry'!$Ĳ$484)</f>
      </c>
      <c r="II484">
        <f>IF(ISBLANK('Data Entry'!$ĳ$484), "", 'Data Entry'!$ĳ$484)</f>
      </c>
      <c r="IJ484">
        <f>IF(ISBLANK('Data Entry'!$Ĵ$484), "", 'Data Entry'!$Ĵ$484)</f>
      </c>
      <c r="IK484">
        <f>IF(ISBLANK('Data Entry'!$ĵ$484), "", 'Data Entry'!$ĵ$484)</f>
      </c>
      <c r="IL484">
        <f>IF(ISBLANK('Data Entry'!$Ķ$484), "", 'Data Entry'!$Ķ$484)</f>
      </c>
      <c r="IM484">
        <f>IF(ISBLANK('Data Entry'!$ķ$484), "", 'Data Entry'!$ķ$484)</f>
      </c>
      <c r="IN484">
        <f>IF(ISBLANK('Data Entry'!$ĸ$484), "", 'Data Entry'!$ĸ$484)</f>
      </c>
      <c r="IO484">
        <f>IF(ISBLANK('Data Entry'!$Ĺ$484), "", 'Data Entry'!$Ĺ$484)</f>
      </c>
      <c r="IP484">
        <f>IF(ISBLANK('Data Entry'!$ĺ$484), "", 'Data Entry'!$ĺ$484)</f>
      </c>
      <c r="IQ484">
        <f>IF(ISBLANK('Data Entry'!$Ļ$484), "", 'Data Entry'!$Ļ$484)</f>
      </c>
      <c r="IR484">
        <f>IF(ISBLANK('Data Entry'!$ļ$484), "", 'Data Entry'!$ļ$484)</f>
      </c>
      <c r="IS484">
        <f>IF(ISBLANK('Data Entry'!$Ľ$484), "", 'Data Entry'!$Ľ$484)</f>
      </c>
      <c r="IT484">
        <f>IF(ISBLANK('Data Entry'!$ľ$484), "", 'Data Entry'!$ľ$484)</f>
      </c>
    </row>
    <row r="485" spans="1:254" x14ac:dyDescent="0.25">
      <c r="A485">
        <f>IF(ISBLANK('Data Entry'!$A$485), "", 'Data Entry'!$A$485)</f>
      </c>
      <c r="B485">
        <f>IF(ISBLANK('Data Entry'!$B$485), "", 'Data Entry'!$B$485)</f>
      </c>
      <c r="C485">
        <f>IF(ISBLANK('Data Entry'!$C$485), "", 'Data Entry'!$C$485)</f>
      </c>
      <c r="D485">
        <f>IF(ISBLANK('Data Entry'!$D$485), "", 'Data Entry'!$D$485)</f>
      </c>
      <c r="E485">
        <f>IF(ISBLANK('Data Entry'!$E$485), "", 'Data Entry'!$E$485)</f>
      </c>
      <c r="F485">
        <f>IF(ISBLANK('Data Entry'!$F$485), "", 'Data Entry'!$F$485)</f>
      </c>
      <c r="G485">
        <f>IF(ISBLANK('Data Entry'!$G$485), "", 'Data Entry'!$G$485)</f>
      </c>
      <c r="H485">
        <f>IF(ISBLANK('Data Entry'!$H$485), "", 'Data Entry'!$H$485)</f>
      </c>
      <c r="I485">
        <f>IF(ISBLANK('Data Entry'!$I$485), "", 'Data Entry'!$I$485)</f>
      </c>
      <c r="J485">
        <f>IF(ISBLANK('Data Entry'!$J$485), "", 'Data Entry'!$J$485)</f>
      </c>
      <c r="K485">
        <f>IF(ISBLANK('Data Entry'!$K$485), "", 'Data Entry'!$K$485)</f>
      </c>
      <c r="L485">
        <f>IF(ISBLANK('Data Entry'!$L$485), "", 'Data Entry'!$L$485)</f>
      </c>
      <c r="M485">
        <f>IF(ISBLANK('Data Entry'!$M$485), "", 'Data Entry'!$M$485)</f>
      </c>
      <c r="N485">
        <f>IF(ISBLANK('Data Entry'!$N$485), "", 'Data Entry'!$N$485)</f>
      </c>
      <c r="O485">
        <f>IF(ISBLANK('Data Entry'!$O$485), "", 'Data Entry'!$O$485)</f>
      </c>
      <c r="P485">
        <f>IF(ISBLANK('Data Entry'!$P$485), "", 'Data Entry'!$P$485)</f>
      </c>
      <c r="Q485">
        <f>IF(ISBLANK('Data Entry'!$Q$485), "", 'Data Entry'!$Q$485)</f>
      </c>
      <c r="R485">
        <f>IF(ISBLANK('Data Entry'!$R$485), "", 'Data Entry'!$R$485)</f>
      </c>
      <c r="S485">
        <f>IF(ISBLANK('Data Entry'!$S$485), "", 'Data Entry'!$S$485)</f>
      </c>
      <c r="T485">
        <f>IF(ISBLANK('Data Entry'!$T$485), "", 'Data Entry'!$T$485)</f>
      </c>
      <c r="U485">
        <f>IF(ISBLANK('Data Entry'!$U$485), "", 'Data Entry'!$U$485)</f>
      </c>
      <c r="V485">
        <f>IF(ISBLANK('Data Entry'!$V$485), "", 'Data Entry'!$V$485)</f>
      </c>
      <c r="W485">
        <f>IF(ISBLANK('Data Entry'!$W$485), "", 'Data Entry'!$W$485)</f>
      </c>
      <c r="X485">
        <f>IF(ISBLANK('Data Entry'!$X$485), "", 'Data Entry'!$X$485)</f>
      </c>
      <c r="Y485">
        <f>IF(ISBLANK('Data Entry'!$Y$485), "", 'Data Entry'!$Y$485)</f>
      </c>
      <c r="Z485">
        <f>IF(ISBLANK('Data Entry'!$Z$485), "", 'Data Entry'!$Z$485)</f>
      </c>
      <c r="AA485">
        <f>IF(ISBLANK('Data Entry'!$[$485), "", 'Data Entry'!$[$485)</f>
      </c>
      <c r="AB485">
        <f>IF(ISBLANK('Data Entry'!$\$485), "", 'Data Entry'!$\$485)</f>
      </c>
      <c r="AC485">
        <f>IF(ISBLANK('Data Entry'!$]$485), "", 'Data Entry'!$]$485)</f>
      </c>
      <c r="AD485">
        <f>IF(ISBLANK('Data Entry'!$^$485), "", 'Data Entry'!$^$485)</f>
      </c>
      <c r="AE485">
        <f>IF(ISBLANK('Data Entry'!$_$485), "", 'Data Entry'!$_$485)</f>
      </c>
      <c r="AF485">
        <f>IF(ISBLANK('Data Entry'!$`$485), "", 'Data Entry'!$`$485)</f>
      </c>
      <c r="AG485">
        <f>IF(ISBLANK('Data Entry'!$a$485), "", 'Data Entry'!$a$485)</f>
      </c>
      <c r="AH485">
        <f>IF(ISBLANK('Data Entry'!$b$485), "", 'Data Entry'!$b$485)</f>
      </c>
      <c r="AI485">
        <f>IF(ISBLANK('Data Entry'!$c$485), "", 'Data Entry'!$c$485)</f>
      </c>
      <c r="AJ485">
        <f>IF(ISBLANK('Data Entry'!$d$485), "", 'Data Entry'!$d$485)</f>
      </c>
      <c r="AK485">
        <f>IF(ISBLANK('Data Entry'!$e$485), "", 'Data Entry'!$e$485)</f>
      </c>
      <c r="AL485">
        <f>IF(ISBLANK('Data Entry'!$f$485), "", 'Data Entry'!$f$485)</f>
      </c>
      <c r="AM485">
        <f>IF(ISBLANK('Data Entry'!$g$485), "", 'Data Entry'!$g$485)</f>
      </c>
      <c r="AN485">
        <f>IF(ISBLANK('Data Entry'!$h$485), "", 'Data Entry'!$h$485)</f>
      </c>
      <c r="AO485">
        <f>IF(ISBLANK('Data Entry'!$i$485), "", 'Data Entry'!$i$485)</f>
      </c>
      <c r="AP485">
        <f>IF(ISBLANK('Data Entry'!$j$485), "", 'Data Entry'!$j$485)</f>
      </c>
      <c r="AQ485">
        <f>IF(ISBLANK('Data Entry'!$k$485), "", 'Data Entry'!$k$485)</f>
      </c>
      <c r="AR485">
        <f>IF(ISBLANK('Data Entry'!$l$485), "", 'Data Entry'!$l$485)</f>
      </c>
      <c r="AS485">
        <f>IF(ISBLANK('Data Entry'!$m$485), "", 'Data Entry'!$m$485)</f>
      </c>
      <c r="AT485">
        <f>IF(ISBLANK('Data Entry'!$n$485), "", 'Data Entry'!$n$485)</f>
      </c>
      <c r="AU485">
        <f>IF(ISBLANK('Data Entry'!$o$485), "", 'Data Entry'!$o$485)</f>
      </c>
      <c r="AV485">
        <f>IF(ISBLANK('Data Entry'!$p$485), "", 'Data Entry'!$p$485)</f>
      </c>
      <c r="AW485">
        <f>IF(ISBLANK('Data Entry'!$q$485), "", 'Data Entry'!$q$485)</f>
      </c>
      <c r="AX485">
        <f>IF(ISBLANK('Data Entry'!$r$485), "", 'Data Entry'!$r$485)</f>
      </c>
      <c r="AY485">
        <f>IF(ISBLANK('Data Entry'!$s$485), "", 'Data Entry'!$s$485)</f>
      </c>
      <c r="AZ485">
        <f>IF(ISBLANK('Data Entry'!$t$485), "", 'Data Entry'!$t$485)</f>
      </c>
      <c r="BA485">
        <f>IF(ISBLANK('Data Entry'!$u$485), "", 'Data Entry'!$u$485)</f>
      </c>
      <c r="BB485">
        <f>IF(ISBLANK('Data Entry'!$v$485), "", 'Data Entry'!$v$485)</f>
      </c>
      <c r="BC485">
        <f>IF(ISBLANK('Data Entry'!$w$485), "", 'Data Entry'!$w$485)</f>
      </c>
      <c r="BD485">
        <f>IF(ISBLANK('Data Entry'!$x$485), "", 'Data Entry'!$x$485)</f>
      </c>
      <c r="BE485">
        <f>IF(ISBLANK('Data Entry'!$y$485), "", 'Data Entry'!$y$485)</f>
      </c>
      <c r="BF485">
        <f>IF(ISBLANK('Data Entry'!$z$485), "", 'Data Entry'!$z$485)</f>
      </c>
      <c r="BG485">
        <f>IF(ISBLANK('Data Entry'!${$485), "", 'Data Entry'!${$485)</f>
      </c>
      <c r="BH485">
        <f>IF(ISBLANK('Data Entry'!$|$485), "", 'Data Entry'!$|$485)</f>
      </c>
      <c r="BI485">
        <f>IF(ISBLANK('Data Entry'!$}$485), "", 'Data Entry'!$}$485)</f>
      </c>
      <c r="BJ485">
        <f>IF(ISBLANK('Data Entry'!$~$485), "", 'Data Entry'!$~$485)</f>
      </c>
      <c r="BK485">
        <f>IF(ISBLANK('Data Entry'!$$485), "", 'Data Entry'!$$485)</f>
      </c>
      <c r="BL485">
        <f>IF(ISBLANK('Data Entry'!$$485), "", 'Data Entry'!$$485)</f>
      </c>
      <c r="BM485">
        <f>IF(ISBLANK('Data Entry'!$$485), "", 'Data Entry'!$$485)</f>
      </c>
      <c r="BN485">
        <f>IF(ISBLANK('Data Entry'!$$485), "", 'Data Entry'!$$485)</f>
      </c>
      <c r="BO485">
        <f>IF(ISBLANK('Data Entry'!$$485), "", 'Data Entry'!$$485)</f>
      </c>
      <c r="BP485">
        <f>IF(ISBLANK('Data Entry'!$$485), "", 'Data Entry'!$$485)</f>
      </c>
      <c r="BQ485">
        <f>IF(ISBLANK('Data Entry'!$$485), "", 'Data Entry'!$$485)</f>
      </c>
      <c r="BR485">
        <f>IF(ISBLANK('Data Entry'!$$485), "", 'Data Entry'!$$485)</f>
      </c>
      <c r="BS485">
        <f>IF(ISBLANK('Data Entry'!$$485), "", 'Data Entry'!$$485)</f>
      </c>
      <c r="BT485">
        <f>IF(ISBLANK('Data Entry'!$$485), "", 'Data Entry'!$$485)</f>
      </c>
      <c r="BU485">
        <f>IF(ISBLANK('Data Entry'!$$485), "", 'Data Entry'!$$485)</f>
      </c>
      <c r="BV485">
        <f>IF(ISBLANK('Data Entry'!$$485), "", 'Data Entry'!$$485)</f>
      </c>
      <c r="BW485">
        <f>IF(ISBLANK('Data Entry'!$$485), "", 'Data Entry'!$$485)</f>
      </c>
      <c r="BX485">
        <f>IF(ISBLANK('Data Entry'!$$485), "", 'Data Entry'!$$485)</f>
      </c>
      <c r="BY485">
        <f>IF(ISBLANK('Data Entry'!$$485), "", 'Data Entry'!$$485)</f>
      </c>
      <c r="BZ485">
        <f>IF(ISBLANK('Data Entry'!$$485), "", 'Data Entry'!$$485)</f>
      </c>
      <c r="CA485">
        <f>IF(ISBLANK('Data Entry'!$$485), "", 'Data Entry'!$$485)</f>
      </c>
      <c r="CB485">
        <f>IF(ISBLANK('Data Entry'!$$485), "", 'Data Entry'!$$485)</f>
      </c>
      <c r="CC485">
        <f>IF(ISBLANK('Data Entry'!$$485), "", 'Data Entry'!$$485)</f>
      </c>
      <c r="CD485">
        <f>IF(ISBLANK('Data Entry'!$$485), "", 'Data Entry'!$$485)</f>
      </c>
      <c r="CE485">
        <f>IF(ISBLANK('Data Entry'!$$485), "", 'Data Entry'!$$485)</f>
      </c>
      <c r="CF485">
        <f>IF(ISBLANK('Data Entry'!$$485), "", 'Data Entry'!$$485)</f>
      </c>
      <c r="CG485">
        <f>IF(ISBLANK('Data Entry'!$$485), "", 'Data Entry'!$$485)</f>
      </c>
      <c r="CH485">
        <f>IF(ISBLANK('Data Entry'!$$485), "", 'Data Entry'!$$485)</f>
      </c>
      <c r="CI485">
        <f>IF(ISBLANK('Data Entry'!$$485), "", 'Data Entry'!$$485)</f>
      </c>
      <c r="CJ485">
        <f>IF(ISBLANK('Data Entry'!$$485), "", 'Data Entry'!$$485)</f>
      </c>
      <c r="CK485">
        <f>IF(ISBLANK('Data Entry'!$$485), "", 'Data Entry'!$$485)</f>
      </c>
      <c r="CL485">
        <f>IF(ISBLANK('Data Entry'!$$485), "", 'Data Entry'!$$485)</f>
      </c>
      <c r="CM485">
        <f>IF(ISBLANK('Data Entry'!$$485), "", 'Data Entry'!$$485)</f>
      </c>
      <c r="CN485">
        <f>IF(ISBLANK('Data Entry'!$$485), "", 'Data Entry'!$$485)</f>
      </c>
      <c r="CO485">
        <f>IF(ISBLANK('Data Entry'!$$485), "", 'Data Entry'!$$485)</f>
      </c>
      <c r="CP485">
        <f>IF(ISBLANK('Data Entry'!$$485), "", 'Data Entry'!$$485)</f>
      </c>
      <c r="CQ485">
        <f>IF(ISBLANK('Data Entry'!$$485), "", 'Data Entry'!$$485)</f>
      </c>
      <c r="CR485">
        <f>IF(ISBLANK('Data Entry'!$ $485), "", 'Data Entry'!$ $485)</f>
      </c>
      <c r="CS485">
        <f>IF(ISBLANK('Data Entry'!$¡$485), "", 'Data Entry'!$¡$485)</f>
      </c>
      <c r="CT485">
        <f>IF(ISBLANK('Data Entry'!$¢$485), "", 'Data Entry'!$¢$485)</f>
      </c>
      <c r="CU485">
        <f>IF(ISBLANK('Data Entry'!$£$485), "", 'Data Entry'!$£$485)</f>
      </c>
      <c r="CV485">
        <f>IF(ISBLANK('Data Entry'!$¤$485), "", 'Data Entry'!$¤$485)</f>
      </c>
      <c r="CW485">
        <f>IF(ISBLANK('Data Entry'!$¥$485), "", 'Data Entry'!$¥$485)</f>
      </c>
      <c r="CX485">
        <f>IF(ISBLANK('Data Entry'!$¦$485), "", 'Data Entry'!$¦$485)</f>
      </c>
      <c r="CY485">
        <f>IF(ISBLANK('Data Entry'!$§$485), "", 'Data Entry'!$§$485)</f>
      </c>
      <c r="CZ485">
        <f>IF(ISBLANK('Data Entry'!$¨$485), "", 'Data Entry'!$¨$485)</f>
      </c>
      <c r="DA485">
        <f>IF(ISBLANK('Data Entry'!$©$485), "", 'Data Entry'!$©$485)</f>
      </c>
      <c r="DB485">
        <f>IF(ISBLANK('Data Entry'!$ª$485), "", 'Data Entry'!$ª$485)</f>
      </c>
      <c r="DC485">
        <f>IF(ISBLANK('Data Entry'!$«$485), "", 'Data Entry'!$«$485)</f>
      </c>
      <c r="DD485">
        <f>IF(ISBLANK('Data Entry'!$¬$485), "", 'Data Entry'!$¬$485)</f>
      </c>
      <c r="DE485">
        <f>IF(ISBLANK('Data Entry'!$­$485), "", 'Data Entry'!$­$485)</f>
      </c>
      <c r="DF485">
        <f>IF(ISBLANK('Data Entry'!$®$485), "", 'Data Entry'!$®$485)</f>
      </c>
      <c r="DG485">
        <f>IF(ISBLANK('Data Entry'!$¯$485), "", 'Data Entry'!$¯$485)</f>
      </c>
      <c r="DH485">
        <f>IF(ISBLANK('Data Entry'!$°$485), "", 'Data Entry'!$°$485)</f>
      </c>
      <c r="DI485">
        <f>IF(ISBLANK('Data Entry'!$±$485), "", 'Data Entry'!$±$485)</f>
      </c>
      <c r="DJ485">
        <f>IF(ISBLANK('Data Entry'!$²$485), "", 'Data Entry'!$²$485)</f>
      </c>
      <c r="DK485">
        <f>IF(ISBLANK('Data Entry'!$³$485), "", 'Data Entry'!$³$485)</f>
      </c>
      <c r="DL485">
        <f>IF(ISBLANK('Data Entry'!$´$485), "", 'Data Entry'!$´$485)</f>
      </c>
      <c r="DM485">
        <f>IF(ISBLANK('Data Entry'!$µ$485), "", 'Data Entry'!$µ$485)</f>
      </c>
      <c r="DN485">
        <f>IF(ISBLANK('Data Entry'!$¶$485), "", 'Data Entry'!$¶$485)</f>
      </c>
      <c r="DO485">
        <f>IF(ISBLANK('Data Entry'!$·$485), "", 'Data Entry'!$·$485)</f>
      </c>
      <c r="DP485">
        <f>IF(ISBLANK('Data Entry'!$¸$485), "", 'Data Entry'!$¸$485)</f>
      </c>
      <c r="DQ485">
        <f>IF(ISBLANK('Data Entry'!$¹$485), "", 'Data Entry'!$¹$485)</f>
      </c>
      <c r="DR485">
        <f>IF(ISBLANK('Data Entry'!$º$485), "", 'Data Entry'!$º$485)</f>
      </c>
      <c r="DS485">
        <f>IF(ISBLANK('Data Entry'!$»$485), "", 'Data Entry'!$»$485)</f>
      </c>
      <c r="DT485">
        <f>IF(ISBLANK('Data Entry'!$¼$485), "", 'Data Entry'!$¼$485)</f>
      </c>
      <c r="DU485">
        <f>IF(ISBLANK('Data Entry'!$½$485), "", 'Data Entry'!$½$485)</f>
      </c>
      <c r="DV485">
        <f>IF(ISBLANK('Data Entry'!$¾$485), "", 'Data Entry'!$¾$485)</f>
      </c>
      <c r="DW485">
        <f>IF(ISBLANK('Data Entry'!$¿$485), "", 'Data Entry'!$¿$485)</f>
      </c>
      <c r="DX485">
        <f>IF(ISBLANK('Data Entry'!$À$485), "", 'Data Entry'!$À$485)</f>
      </c>
      <c r="DY485">
        <f>IF(ISBLANK('Data Entry'!$Á$485), "", 'Data Entry'!$Á$485)</f>
      </c>
      <c r="DZ485">
        <f>IF(ISBLANK('Data Entry'!$Â$485), "", 'Data Entry'!$Â$485)</f>
      </c>
      <c r="EA485">
        <f>IF(ISBLANK('Data Entry'!$Ã$485), "", 'Data Entry'!$Ã$485)</f>
      </c>
      <c r="EB485">
        <f>IF(ISBLANK('Data Entry'!$Ä$485), "", 'Data Entry'!$Ä$485)</f>
      </c>
      <c r="EC485">
        <f>IF(ISBLANK('Data Entry'!$Å$485), "", 'Data Entry'!$Å$485)</f>
      </c>
      <c r="ED485">
        <f>IF(ISBLANK('Data Entry'!$Æ$485), "", 'Data Entry'!$Æ$485)</f>
      </c>
      <c r="EE485">
        <f>IF(ISBLANK('Data Entry'!$Ç$485), "", 'Data Entry'!$Ç$485)</f>
      </c>
      <c r="EF485">
        <f>IF(ISBLANK('Data Entry'!$È$485), "", 'Data Entry'!$È$485)</f>
      </c>
      <c r="EG485">
        <f>IF(ISBLANK('Data Entry'!$É$485), "", 'Data Entry'!$É$485)</f>
      </c>
      <c r="EH485">
        <f>IF(ISBLANK('Data Entry'!$Ê$485), "", 'Data Entry'!$Ê$485)</f>
      </c>
      <c r="EI485">
        <f>IF(ISBLANK('Data Entry'!$Ë$485), "", 'Data Entry'!$Ë$485)</f>
      </c>
      <c r="EJ485">
        <f>IF(ISBLANK('Data Entry'!$Ì$485), "", 'Data Entry'!$Ì$485)</f>
      </c>
      <c r="EK485">
        <f>IF(ISBLANK('Data Entry'!$Í$485), "", 'Data Entry'!$Í$485)</f>
      </c>
      <c r="EL485">
        <f>IF(ISBLANK('Data Entry'!$Î$485), "", 'Data Entry'!$Î$485)</f>
      </c>
      <c r="EM485">
        <f>IF(ISBLANK('Data Entry'!$Ï$485), "", 'Data Entry'!$Ï$485)</f>
      </c>
      <c r="EN485">
        <f>IF(ISBLANK('Data Entry'!$Ð$485), "", 'Data Entry'!$Ð$485)</f>
      </c>
      <c r="EO485">
        <f>IF(ISBLANK('Data Entry'!$Ñ$485), "", 'Data Entry'!$Ñ$485)</f>
      </c>
      <c r="EP485">
        <f>IF(ISBLANK('Data Entry'!$Ò$485), "", 'Data Entry'!$Ò$485)</f>
      </c>
      <c r="EQ485">
        <f>IF(ISBLANK('Data Entry'!$Ó$485), "", 'Data Entry'!$Ó$485)</f>
      </c>
      <c r="ER485">
        <f>IF(ISBLANK('Data Entry'!$Ô$485), "", 'Data Entry'!$Ô$485)</f>
      </c>
      <c r="ES485">
        <f>IF(ISBLANK('Data Entry'!$Õ$485), "", 'Data Entry'!$Õ$485)</f>
      </c>
      <c r="ET485">
        <f>IF(ISBLANK('Data Entry'!$Ö$485), "", 'Data Entry'!$Ö$485)</f>
      </c>
      <c r="EU485">
        <f>IF(ISBLANK('Data Entry'!$×$485), "", 'Data Entry'!$×$485)</f>
      </c>
      <c r="EV485">
        <f>IF(ISBLANK('Data Entry'!$Ø$485), "", 'Data Entry'!$Ø$485)</f>
      </c>
      <c r="EW485">
        <f>IF(ISBLANK('Data Entry'!$Ù$485), "", 'Data Entry'!$Ù$485)</f>
      </c>
      <c r="EX485">
        <f>IF(ISBLANK('Data Entry'!$Ú$485), "", 'Data Entry'!$Ú$485)</f>
      </c>
      <c r="EY485">
        <f>IF(ISBLANK('Data Entry'!$Û$485), "", 'Data Entry'!$Û$485)</f>
      </c>
      <c r="EZ485">
        <f>IF(ISBLANK('Data Entry'!$Ü$485), "", 'Data Entry'!$Ü$485)</f>
      </c>
      <c r="FA485">
        <f>IF(ISBLANK('Data Entry'!$Ý$485), "", 'Data Entry'!$Ý$485)</f>
      </c>
      <c r="FB485">
        <f>IF(ISBLANK('Data Entry'!$Þ$485), "", 'Data Entry'!$Þ$485)</f>
      </c>
      <c r="FC485">
        <f>IF(ISBLANK('Data Entry'!$ß$485), "", 'Data Entry'!$ß$485)</f>
      </c>
      <c r="FD485">
        <f>IF(ISBLANK('Data Entry'!$à$485), "", 'Data Entry'!$à$485)</f>
      </c>
      <c r="FE485">
        <f>IF(ISBLANK('Data Entry'!$á$485), "", 'Data Entry'!$á$485)</f>
      </c>
      <c r="FF485">
        <f>IF(ISBLANK('Data Entry'!$â$485), "", 'Data Entry'!$â$485)</f>
      </c>
      <c r="FG485">
        <f>IF(ISBLANK('Data Entry'!$ã$485), "", 'Data Entry'!$ã$485)</f>
      </c>
      <c r="FH485">
        <f>IF(ISBLANK('Data Entry'!$ä$485), "", 'Data Entry'!$ä$485)</f>
      </c>
      <c r="FI485">
        <f>IF(ISBLANK('Data Entry'!$å$485), "", 'Data Entry'!$å$485)</f>
      </c>
      <c r="FJ485">
        <f>IF(ISBLANK('Data Entry'!$æ$485), "", 'Data Entry'!$æ$485)</f>
      </c>
      <c r="FK485">
        <f>IF(ISBLANK('Data Entry'!$ç$485), "", 'Data Entry'!$ç$485)</f>
      </c>
      <c r="FL485">
        <f>IF(ISBLANK('Data Entry'!$è$485), "", 'Data Entry'!$è$485)</f>
      </c>
      <c r="FM485">
        <f>IF(ISBLANK('Data Entry'!$é$485), "", 'Data Entry'!$é$485)</f>
      </c>
      <c r="FN485">
        <f>IF(ISBLANK('Data Entry'!$ê$485), "", 'Data Entry'!$ê$485)</f>
      </c>
      <c r="FO485">
        <f>IF(ISBLANK('Data Entry'!$ë$485), "", 'Data Entry'!$ë$485)</f>
      </c>
      <c r="FP485">
        <f>IF(ISBLANK('Data Entry'!$ì$485), "", 'Data Entry'!$ì$485)</f>
      </c>
      <c r="FQ485">
        <f>IF(ISBLANK('Data Entry'!$í$485), "", 'Data Entry'!$í$485)</f>
      </c>
      <c r="FR485">
        <f>IF(ISBLANK('Data Entry'!$î$485), "", 'Data Entry'!$î$485)</f>
      </c>
      <c r="FS485">
        <f>IF(ISBLANK('Data Entry'!$ï$485), "", 'Data Entry'!$ï$485)</f>
      </c>
      <c r="FT485">
        <f>IF(ISBLANK('Data Entry'!$ð$485), "", 'Data Entry'!$ð$485)</f>
      </c>
      <c r="FU485">
        <f>IF(ISBLANK('Data Entry'!$ñ$485), "", 'Data Entry'!$ñ$485)</f>
      </c>
      <c r="FV485">
        <f>IF(ISBLANK('Data Entry'!$ò$485), "", 'Data Entry'!$ò$485)</f>
      </c>
      <c r="FW485">
        <f>IF(ISBLANK('Data Entry'!$ó$485), "", 'Data Entry'!$ó$485)</f>
      </c>
      <c r="FX485">
        <f>IF(ISBLANK('Data Entry'!$ô$485), "", 'Data Entry'!$ô$485)</f>
      </c>
      <c r="FY485">
        <f>IF(ISBLANK('Data Entry'!$õ$485), "", 'Data Entry'!$õ$485)</f>
      </c>
      <c r="FZ485">
        <f>IF(ISBLANK('Data Entry'!$ö$485), "", 'Data Entry'!$ö$485)</f>
      </c>
      <c r="GA485">
        <f>IF(ISBLANK('Data Entry'!$÷$485), "", 'Data Entry'!$÷$485)</f>
      </c>
      <c r="GB485">
        <f>IF(ISBLANK('Data Entry'!$ø$485), "", 'Data Entry'!$ø$485)</f>
      </c>
      <c r="GC485">
        <f>IF(ISBLANK('Data Entry'!$ù$485), "", 'Data Entry'!$ù$485)</f>
      </c>
      <c r="GD485">
        <f>IF(ISBLANK('Data Entry'!$ú$485), "", 'Data Entry'!$ú$485)</f>
      </c>
      <c r="GE485">
        <f>IF(ISBLANK('Data Entry'!$û$485), "", 'Data Entry'!$û$485)</f>
      </c>
      <c r="GF485">
        <f>IF(ISBLANK('Data Entry'!$ü$485), "", 'Data Entry'!$ü$485)</f>
      </c>
      <c r="GG485">
        <f>IF(ISBLANK('Data Entry'!$ý$485), "", 'Data Entry'!$ý$485)</f>
      </c>
      <c r="GH485">
        <f>IF(ISBLANK('Data Entry'!$þ$485), "", 'Data Entry'!$þ$485)</f>
      </c>
      <c r="GI485">
        <f>IF(ISBLANK('Data Entry'!$ÿ$485), "", 'Data Entry'!$ÿ$485)</f>
      </c>
      <c r="GJ485">
        <f>IF(ISBLANK('Data Entry'!$Ā$485), "", 'Data Entry'!$Ā$485)</f>
      </c>
      <c r="GK485">
        <f>IF(ISBLANK('Data Entry'!$ā$485), "", 'Data Entry'!$ā$485)</f>
      </c>
      <c r="GL485">
        <f>IF(ISBLANK('Data Entry'!$Ă$485), "", 'Data Entry'!$Ă$485)</f>
      </c>
      <c r="GM485">
        <f>IF(ISBLANK('Data Entry'!$ă$485), "", 'Data Entry'!$ă$485)</f>
      </c>
      <c r="GN485">
        <f>IF(ISBLANK('Data Entry'!$Ą$485), "", 'Data Entry'!$Ą$485)</f>
      </c>
      <c r="GO485">
        <f>IF(ISBLANK('Data Entry'!$ą$485), "", 'Data Entry'!$ą$485)</f>
      </c>
      <c r="GP485">
        <f>IF(ISBLANK('Data Entry'!$Ć$485), "", 'Data Entry'!$Ć$485)</f>
      </c>
      <c r="GQ485">
        <f>IF(ISBLANK('Data Entry'!$ć$485), "", 'Data Entry'!$ć$485)</f>
      </c>
      <c r="GR485">
        <f>IF(ISBLANK('Data Entry'!$Ĉ$485), "", 'Data Entry'!$Ĉ$485)</f>
      </c>
      <c r="GS485">
        <f>IF(ISBLANK('Data Entry'!$ĉ$485), "", 'Data Entry'!$ĉ$485)</f>
      </c>
      <c r="GT485">
        <f>IF(ISBLANK('Data Entry'!$Ċ$485), "", 'Data Entry'!$Ċ$485)</f>
      </c>
      <c r="GU485">
        <f>IF(ISBLANK('Data Entry'!$ċ$485), "", 'Data Entry'!$ċ$485)</f>
      </c>
      <c r="GV485">
        <f>IF(ISBLANK('Data Entry'!$Č$485), "", 'Data Entry'!$Č$485)</f>
      </c>
      <c r="GW485">
        <f>IF(ISBLANK('Data Entry'!$č$485), "", 'Data Entry'!$č$485)</f>
      </c>
      <c r="GX485">
        <f>IF(ISBLANK('Data Entry'!$Ď$485), "", 'Data Entry'!$Ď$485)</f>
      </c>
      <c r="GY485">
        <f>IF(ISBLANK('Data Entry'!$ď$485), "", 'Data Entry'!$ď$485)</f>
      </c>
      <c r="GZ485">
        <f>IF(ISBLANK('Data Entry'!$Đ$485), "", 'Data Entry'!$Đ$485)</f>
      </c>
      <c r="HA485">
        <f>IF(ISBLANK('Data Entry'!$đ$485), "", 'Data Entry'!$đ$485)</f>
      </c>
      <c r="HB485">
        <f>IF(ISBLANK('Data Entry'!$Ē$485), "", 'Data Entry'!$Ē$485)</f>
      </c>
      <c r="HC485">
        <f>IF(ISBLANK('Data Entry'!$ē$485), "", 'Data Entry'!$ē$485)</f>
      </c>
      <c r="HD485">
        <f>IF(ISBLANK('Data Entry'!$Ĕ$485), "", 'Data Entry'!$Ĕ$485)</f>
      </c>
      <c r="HE485">
        <f>IF(ISBLANK('Data Entry'!$ĕ$485), "", 'Data Entry'!$ĕ$485)</f>
      </c>
      <c r="HF485">
        <f>IF(ISBLANK('Data Entry'!$Ė$485), "", 'Data Entry'!$Ė$485)</f>
      </c>
      <c r="HG485">
        <f>IF(ISBLANK('Data Entry'!$ė$485), "", 'Data Entry'!$ė$485)</f>
      </c>
      <c r="HH485">
        <f>IF(ISBLANK('Data Entry'!$Ę$485), "", 'Data Entry'!$Ę$485)</f>
      </c>
      <c r="HI485">
        <f>IF(ISBLANK('Data Entry'!$ę$485), "", 'Data Entry'!$ę$485)</f>
      </c>
      <c r="HJ485">
        <f>IF(ISBLANK('Data Entry'!$Ě$485), "", 'Data Entry'!$Ě$485)</f>
      </c>
      <c r="HK485">
        <f>IF(ISBLANK('Data Entry'!$ě$485), "", 'Data Entry'!$ě$485)</f>
      </c>
      <c r="HL485">
        <f>IF(ISBLANK('Data Entry'!$Ĝ$485), "", 'Data Entry'!$Ĝ$485)</f>
      </c>
      <c r="HM485">
        <f>IF(ISBLANK('Data Entry'!$ĝ$485), "", 'Data Entry'!$ĝ$485)</f>
      </c>
      <c r="HN485">
        <f>IF(ISBLANK('Data Entry'!$Ğ$485), "", 'Data Entry'!$Ğ$485)</f>
      </c>
      <c r="HO485">
        <f>IF(ISBLANK('Data Entry'!$ğ$485), "", 'Data Entry'!$ğ$485)</f>
      </c>
      <c r="HP485">
        <f>IF(ISBLANK('Data Entry'!$Ġ$485), "", 'Data Entry'!$Ġ$485)</f>
      </c>
      <c r="HQ485">
        <f>IF(ISBLANK('Data Entry'!$ġ$485), "", 'Data Entry'!$ġ$485)</f>
      </c>
      <c r="HR485">
        <f>IF(ISBLANK('Data Entry'!$Ģ$485), "", 'Data Entry'!$Ģ$485)</f>
      </c>
      <c r="HS485">
        <f>IF(ISBLANK('Data Entry'!$ģ$485), "", 'Data Entry'!$ģ$485)</f>
      </c>
      <c r="HT485">
        <f>IF(ISBLANK('Data Entry'!$Ĥ$485), "", 'Data Entry'!$Ĥ$485)</f>
      </c>
      <c r="HU485">
        <f>IF(ISBLANK('Data Entry'!$ĥ$485), "", 'Data Entry'!$ĥ$485)</f>
      </c>
      <c r="HV485">
        <f>IF(ISBLANK('Data Entry'!$Ħ$485), "", 'Data Entry'!$Ħ$485)</f>
      </c>
      <c r="HW485">
        <f>IF(ISBLANK('Data Entry'!$ħ$485), "", 'Data Entry'!$ħ$485)</f>
      </c>
      <c r="HX485">
        <f>IF(ISBLANK('Data Entry'!$Ĩ$485), "", 'Data Entry'!$Ĩ$485)</f>
      </c>
      <c r="HY485">
        <f>IF(ISBLANK('Data Entry'!$ĩ$485), "", 'Data Entry'!$ĩ$485)</f>
      </c>
      <c r="HZ485">
        <f>IF(ISBLANK('Data Entry'!$Ī$485), "", 'Data Entry'!$Ī$485)</f>
      </c>
      <c r="IA485">
        <f>IF(ISBLANK('Data Entry'!$ī$485), "", 'Data Entry'!$ī$485)</f>
      </c>
      <c r="IB485">
        <f>IF(ISBLANK('Data Entry'!$Ĭ$485), "", 'Data Entry'!$Ĭ$485)</f>
      </c>
      <c r="IC485">
        <f>IF(ISBLANK('Data Entry'!$ĭ$485), "", 'Data Entry'!$ĭ$485)</f>
      </c>
      <c r="ID485">
        <f>IF(ISBLANK('Data Entry'!$Į$485), "", 'Data Entry'!$Į$485)</f>
      </c>
      <c r="IE485">
        <f>IF(ISBLANK('Data Entry'!$į$485), "", 'Data Entry'!$į$485)</f>
      </c>
      <c r="IF485">
        <f>IF(ISBLANK('Data Entry'!$İ$485), "", 'Data Entry'!$İ$485)</f>
      </c>
      <c r="IG485">
        <f>IF(ISBLANK('Data Entry'!$ı$485), "", 'Data Entry'!$ı$485)</f>
      </c>
      <c r="IH485">
        <f>IF(ISBLANK('Data Entry'!$Ĳ$485), "", 'Data Entry'!$Ĳ$485)</f>
      </c>
      <c r="II485">
        <f>IF(ISBLANK('Data Entry'!$ĳ$485), "", 'Data Entry'!$ĳ$485)</f>
      </c>
      <c r="IJ485">
        <f>IF(ISBLANK('Data Entry'!$Ĵ$485), "", 'Data Entry'!$Ĵ$485)</f>
      </c>
      <c r="IK485">
        <f>IF(ISBLANK('Data Entry'!$ĵ$485), "", 'Data Entry'!$ĵ$485)</f>
      </c>
      <c r="IL485">
        <f>IF(ISBLANK('Data Entry'!$Ķ$485), "", 'Data Entry'!$Ķ$485)</f>
      </c>
      <c r="IM485">
        <f>IF(ISBLANK('Data Entry'!$ķ$485), "", 'Data Entry'!$ķ$485)</f>
      </c>
      <c r="IN485">
        <f>IF(ISBLANK('Data Entry'!$ĸ$485), "", 'Data Entry'!$ĸ$485)</f>
      </c>
      <c r="IO485">
        <f>IF(ISBLANK('Data Entry'!$Ĺ$485), "", 'Data Entry'!$Ĺ$485)</f>
      </c>
      <c r="IP485">
        <f>IF(ISBLANK('Data Entry'!$ĺ$485), "", 'Data Entry'!$ĺ$485)</f>
      </c>
      <c r="IQ485">
        <f>IF(ISBLANK('Data Entry'!$Ļ$485), "", 'Data Entry'!$Ļ$485)</f>
      </c>
      <c r="IR485">
        <f>IF(ISBLANK('Data Entry'!$ļ$485), "", 'Data Entry'!$ļ$485)</f>
      </c>
      <c r="IS485">
        <f>IF(ISBLANK('Data Entry'!$Ľ$485), "", 'Data Entry'!$Ľ$485)</f>
      </c>
      <c r="IT485">
        <f>IF(ISBLANK('Data Entry'!$ľ$485), "", 'Data Entry'!$ľ$485)</f>
      </c>
    </row>
    <row r="486" spans="1:254" x14ac:dyDescent="0.25">
      <c r="A486">
        <f>IF(ISBLANK('Data Entry'!$A$486), "", 'Data Entry'!$A$486)</f>
      </c>
      <c r="B486">
        <f>IF(ISBLANK('Data Entry'!$B$486), "", 'Data Entry'!$B$486)</f>
      </c>
      <c r="C486">
        <f>IF(ISBLANK('Data Entry'!$C$486), "", 'Data Entry'!$C$486)</f>
      </c>
      <c r="D486">
        <f>IF(ISBLANK('Data Entry'!$D$486), "", 'Data Entry'!$D$486)</f>
      </c>
      <c r="E486">
        <f>IF(ISBLANK('Data Entry'!$E$486), "", 'Data Entry'!$E$486)</f>
      </c>
      <c r="F486">
        <f>IF(ISBLANK('Data Entry'!$F$486), "", 'Data Entry'!$F$486)</f>
      </c>
      <c r="G486">
        <f>IF(ISBLANK('Data Entry'!$G$486), "", 'Data Entry'!$G$486)</f>
      </c>
      <c r="H486">
        <f>IF(ISBLANK('Data Entry'!$H$486), "", 'Data Entry'!$H$486)</f>
      </c>
      <c r="I486">
        <f>IF(ISBLANK('Data Entry'!$I$486), "", 'Data Entry'!$I$486)</f>
      </c>
      <c r="J486">
        <f>IF(ISBLANK('Data Entry'!$J$486), "", 'Data Entry'!$J$486)</f>
      </c>
      <c r="K486">
        <f>IF(ISBLANK('Data Entry'!$K$486), "", 'Data Entry'!$K$486)</f>
      </c>
      <c r="L486">
        <f>IF(ISBLANK('Data Entry'!$L$486), "", 'Data Entry'!$L$486)</f>
      </c>
      <c r="M486">
        <f>IF(ISBLANK('Data Entry'!$M$486), "", 'Data Entry'!$M$486)</f>
      </c>
      <c r="N486">
        <f>IF(ISBLANK('Data Entry'!$N$486), "", 'Data Entry'!$N$486)</f>
      </c>
      <c r="O486">
        <f>IF(ISBLANK('Data Entry'!$O$486), "", 'Data Entry'!$O$486)</f>
      </c>
      <c r="P486">
        <f>IF(ISBLANK('Data Entry'!$P$486), "", 'Data Entry'!$P$486)</f>
      </c>
      <c r="Q486">
        <f>IF(ISBLANK('Data Entry'!$Q$486), "", 'Data Entry'!$Q$486)</f>
      </c>
      <c r="R486">
        <f>IF(ISBLANK('Data Entry'!$R$486), "", 'Data Entry'!$R$486)</f>
      </c>
      <c r="S486">
        <f>IF(ISBLANK('Data Entry'!$S$486), "", 'Data Entry'!$S$486)</f>
      </c>
      <c r="T486">
        <f>IF(ISBLANK('Data Entry'!$T$486), "", 'Data Entry'!$T$486)</f>
      </c>
      <c r="U486">
        <f>IF(ISBLANK('Data Entry'!$U$486), "", 'Data Entry'!$U$486)</f>
      </c>
      <c r="V486">
        <f>IF(ISBLANK('Data Entry'!$V$486), "", 'Data Entry'!$V$486)</f>
      </c>
      <c r="W486">
        <f>IF(ISBLANK('Data Entry'!$W$486), "", 'Data Entry'!$W$486)</f>
      </c>
      <c r="X486">
        <f>IF(ISBLANK('Data Entry'!$X$486), "", 'Data Entry'!$X$486)</f>
      </c>
      <c r="Y486">
        <f>IF(ISBLANK('Data Entry'!$Y$486), "", 'Data Entry'!$Y$486)</f>
      </c>
      <c r="Z486">
        <f>IF(ISBLANK('Data Entry'!$Z$486), "", 'Data Entry'!$Z$486)</f>
      </c>
      <c r="AA486">
        <f>IF(ISBLANK('Data Entry'!$[$486), "", 'Data Entry'!$[$486)</f>
      </c>
      <c r="AB486">
        <f>IF(ISBLANK('Data Entry'!$\$486), "", 'Data Entry'!$\$486)</f>
      </c>
      <c r="AC486">
        <f>IF(ISBLANK('Data Entry'!$]$486), "", 'Data Entry'!$]$486)</f>
      </c>
      <c r="AD486">
        <f>IF(ISBLANK('Data Entry'!$^$486), "", 'Data Entry'!$^$486)</f>
      </c>
      <c r="AE486">
        <f>IF(ISBLANK('Data Entry'!$_$486), "", 'Data Entry'!$_$486)</f>
      </c>
      <c r="AF486">
        <f>IF(ISBLANK('Data Entry'!$`$486), "", 'Data Entry'!$`$486)</f>
      </c>
      <c r="AG486">
        <f>IF(ISBLANK('Data Entry'!$a$486), "", 'Data Entry'!$a$486)</f>
      </c>
      <c r="AH486">
        <f>IF(ISBLANK('Data Entry'!$b$486), "", 'Data Entry'!$b$486)</f>
      </c>
      <c r="AI486">
        <f>IF(ISBLANK('Data Entry'!$c$486), "", 'Data Entry'!$c$486)</f>
      </c>
      <c r="AJ486">
        <f>IF(ISBLANK('Data Entry'!$d$486), "", 'Data Entry'!$d$486)</f>
      </c>
      <c r="AK486">
        <f>IF(ISBLANK('Data Entry'!$e$486), "", 'Data Entry'!$e$486)</f>
      </c>
      <c r="AL486">
        <f>IF(ISBLANK('Data Entry'!$f$486), "", 'Data Entry'!$f$486)</f>
      </c>
      <c r="AM486">
        <f>IF(ISBLANK('Data Entry'!$g$486), "", 'Data Entry'!$g$486)</f>
      </c>
      <c r="AN486">
        <f>IF(ISBLANK('Data Entry'!$h$486), "", 'Data Entry'!$h$486)</f>
      </c>
      <c r="AO486">
        <f>IF(ISBLANK('Data Entry'!$i$486), "", 'Data Entry'!$i$486)</f>
      </c>
      <c r="AP486">
        <f>IF(ISBLANK('Data Entry'!$j$486), "", 'Data Entry'!$j$486)</f>
      </c>
      <c r="AQ486">
        <f>IF(ISBLANK('Data Entry'!$k$486), "", 'Data Entry'!$k$486)</f>
      </c>
      <c r="AR486">
        <f>IF(ISBLANK('Data Entry'!$l$486), "", 'Data Entry'!$l$486)</f>
      </c>
      <c r="AS486">
        <f>IF(ISBLANK('Data Entry'!$m$486), "", 'Data Entry'!$m$486)</f>
      </c>
      <c r="AT486">
        <f>IF(ISBLANK('Data Entry'!$n$486), "", 'Data Entry'!$n$486)</f>
      </c>
      <c r="AU486">
        <f>IF(ISBLANK('Data Entry'!$o$486), "", 'Data Entry'!$o$486)</f>
      </c>
      <c r="AV486">
        <f>IF(ISBLANK('Data Entry'!$p$486), "", 'Data Entry'!$p$486)</f>
      </c>
      <c r="AW486">
        <f>IF(ISBLANK('Data Entry'!$q$486), "", 'Data Entry'!$q$486)</f>
      </c>
      <c r="AX486">
        <f>IF(ISBLANK('Data Entry'!$r$486), "", 'Data Entry'!$r$486)</f>
      </c>
      <c r="AY486">
        <f>IF(ISBLANK('Data Entry'!$s$486), "", 'Data Entry'!$s$486)</f>
      </c>
      <c r="AZ486">
        <f>IF(ISBLANK('Data Entry'!$t$486), "", 'Data Entry'!$t$486)</f>
      </c>
      <c r="BA486">
        <f>IF(ISBLANK('Data Entry'!$u$486), "", 'Data Entry'!$u$486)</f>
      </c>
      <c r="BB486">
        <f>IF(ISBLANK('Data Entry'!$v$486), "", 'Data Entry'!$v$486)</f>
      </c>
      <c r="BC486">
        <f>IF(ISBLANK('Data Entry'!$w$486), "", 'Data Entry'!$w$486)</f>
      </c>
      <c r="BD486">
        <f>IF(ISBLANK('Data Entry'!$x$486), "", 'Data Entry'!$x$486)</f>
      </c>
      <c r="BE486">
        <f>IF(ISBLANK('Data Entry'!$y$486), "", 'Data Entry'!$y$486)</f>
      </c>
      <c r="BF486">
        <f>IF(ISBLANK('Data Entry'!$z$486), "", 'Data Entry'!$z$486)</f>
      </c>
      <c r="BG486">
        <f>IF(ISBLANK('Data Entry'!${$486), "", 'Data Entry'!${$486)</f>
      </c>
      <c r="BH486">
        <f>IF(ISBLANK('Data Entry'!$|$486), "", 'Data Entry'!$|$486)</f>
      </c>
      <c r="BI486">
        <f>IF(ISBLANK('Data Entry'!$}$486), "", 'Data Entry'!$}$486)</f>
      </c>
      <c r="BJ486">
        <f>IF(ISBLANK('Data Entry'!$~$486), "", 'Data Entry'!$~$486)</f>
      </c>
      <c r="BK486">
        <f>IF(ISBLANK('Data Entry'!$$486), "", 'Data Entry'!$$486)</f>
      </c>
      <c r="BL486">
        <f>IF(ISBLANK('Data Entry'!$$486), "", 'Data Entry'!$$486)</f>
      </c>
      <c r="BM486">
        <f>IF(ISBLANK('Data Entry'!$$486), "", 'Data Entry'!$$486)</f>
      </c>
      <c r="BN486">
        <f>IF(ISBLANK('Data Entry'!$$486), "", 'Data Entry'!$$486)</f>
      </c>
      <c r="BO486">
        <f>IF(ISBLANK('Data Entry'!$$486), "", 'Data Entry'!$$486)</f>
      </c>
      <c r="BP486">
        <f>IF(ISBLANK('Data Entry'!$$486), "", 'Data Entry'!$$486)</f>
      </c>
      <c r="BQ486">
        <f>IF(ISBLANK('Data Entry'!$$486), "", 'Data Entry'!$$486)</f>
      </c>
      <c r="BR486">
        <f>IF(ISBLANK('Data Entry'!$$486), "", 'Data Entry'!$$486)</f>
      </c>
      <c r="BS486">
        <f>IF(ISBLANK('Data Entry'!$$486), "", 'Data Entry'!$$486)</f>
      </c>
      <c r="BT486">
        <f>IF(ISBLANK('Data Entry'!$$486), "", 'Data Entry'!$$486)</f>
      </c>
      <c r="BU486">
        <f>IF(ISBLANK('Data Entry'!$$486), "", 'Data Entry'!$$486)</f>
      </c>
      <c r="BV486">
        <f>IF(ISBLANK('Data Entry'!$$486), "", 'Data Entry'!$$486)</f>
      </c>
      <c r="BW486">
        <f>IF(ISBLANK('Data Entry'!$$486), "", 'Data Entry'!$$486)</f>
      </c>
      <c r="BX486">
        <f>IF(ISBLANK('Data Entry'!$$486), "", 'Data Entry'!$$486)</f>
      </c>
      <c r="BY486">
        <f>IF(ISBLANK('Data Entry'!$$486), "", 'Data Entry'!$$486)</f>
      </c>
      <c r="BZ486">
        <f>IF(ISBLANK('Data Entry'!$$486), "", 'Data Entry'!$$486)</f>
      </c>
      <c r="CA486">
        <f>IF(ISBLANK('Data Entry'!$$486), "", 'Data Entry'!$$486)</f>
      </c>
      <c r="CB486">
        <f>IF(ISBLANK('Data Entry'!$$486), "", 'Data Entry'!$$486)</f>
      </c>
      <c r="CC486">
        <f>IF(ISBLANK('Data Entry'!$$486), "", 'Data Entry'!$$486)</f>
      </c>
      <c r="CD486">
        <f>IF(ISBLANK('Data Entry'!$$486), "", 'Data Entry'!$$486)</f>
      </c>
      <c r="CE486">
        <f>IF(ISBLANK('Data Entry'!$$486), "", 'Data Entry'!$$486)</f>
      </c>
      <c r="CF486">
        <f>IF(ISBLANK('Data Entry'!$$486), "", 'Data Entry'!$$486)</f>
      </c>
      <c r="CG486">
        <f>IF(ISBLANK('Data Entry'!$$486), "", 'Data Entry'!$$486)</f>
      </c>
      <c r="CH486">
        <f>IF(ISBLANK('Data Entry'!$$486), "", 'Data Entry'!$$486)</f>
      </c>
      <c r="CI486">
        <f>IF(ISBLANK('Data Entry'!$$486), "", 'Data Entry'!$$486)</f>
      </c>
      <c r="CJ486">
        <f>IF(ISBLANK('Data Entry'!$$486), "", 'Data Entry'!$$486)</f>
      </c>
      <c r="CK486">
        <f>IF(ISBLANK('Data Entry'!$$486), "", 'Data Entry'!$$486)</f>
      </c>
      <c r="CL486">
        <f>IF(ISBLANK('Data Entry'!$$486), "", 'Data Entry'!$$486)</f>
      </c>
      <c r="CM486">
        <f>IF(ISBLANK('Data Entry'!$$486), "", 'Data Entry'!$$486)</f>
      </c>
      <c r="CN486">
        <f>IF(ISBLANK('Data Entry'!$$486), "", 'Data Entry'!$$486)</f>
      </c>
      <c r="CO486">
        <f>IF(ISBLANK('Data Entry'!$$486), "", 'Data Entry'!$$486)</f>
      </c>
      <c r="CP486">
        <f>IF(ISBLANK('Data Entry'!$$486), "", 'Data Entry'!$$486)</f>
      </c>
      <c r="CQ486">
        <f>IF(ISBLANK('Data Entry'!$$486), "", 'Data Entry'!$$486)</f>
      </c>
      <c r="CR486">
        <f>IF(ISBLANK('Data Entry'!$ $486), "", 'Data Entry'!$ $486)</f>
      </c>
      <c r="CS486">
        <f>IF(ISBLANK('Data Entry'!$¡$486), "", 'Data Entry'!$¡$486)</f>
      </c>
      <c r="CT486">
        <f>IF(ISBLANK('Data Entry'!$¢$486), "", 'Data Entry'!$¢$486)</f>
      </c>
      <c r="CU486">
        <f>IF(ISBLANK('Data Entry'!$£$486), "", 'Data Entry'!$£$486)</f>
      </c>
      <c r="CV486">
        <f>IF(ISBLANK('Data Entry'!$¤$486), "", 'Data Entry'!$¤$486)</f>
      </c>
      <c r="CW486">
        <f>IF(ISBLANK('Data Entry'!$¥$486), "", 'Data Entry'!$¥$486)</f>
      </c>
      <c r="CX486">
        <f>IF(ISBLANK('Data Entry'!$¦$486), "", 'Data Entry'!$¦$486)</f>
      </c>
      <c r="CY486">
        <f>IF(ISBLANK('Data Entry'!$§$486), "", 'Data Entry'!$§$486)</f>
      </c>
      <c r="CZ486">
        <f>IF(ISBLANK('Data Entry'!$¨$486), "", 'Data Entry'!$¨$486)</f>
      </c>
      <c r="DA486">
        <f>IF(ISBLANK('Data Entry'!$©$486), "", 'Data Entry'!$©$486)</f>
      </c>
      <c r="DB486">
        <f>IF(ISBLANK('Data Entry'!$ª$486), "", 'Data Entry'!$ª$486)</f>
      </c>
      <c r="DC486">
        <f>IF(ISBLANK('Data Entry'!$«$486), "", 'Data Entry'!$«$486)</f>
      </c>
      <c r="DD486">
        <f>IF(ISBLANK('Data Entry'!$¬$486), "", 'Data Entry'!$¬$486)</f>
      </c>
      <c r="DE486">
        <f>IF(ISBLANK('Data Entry'!$­$486), "", 'Data Entry'!$­$486)</f>
      </c>
      <c r="DF486">
        <f>IF(ISBLANK('Data Entry'!$®$486), "", 'Data Entry'!$®$486)</f>
      </c>
      <c r="DG486">
        <f>IF(ISBLANK('Data Entry'!$¯$486), "", 'Data Entry'!$¯$486)</f>
      </c>
      <c r="DH486">
        <f>IF(ISBLANK('Data Entry'!$°$486), "", 'Data Entry'!$°$486)</f>
      </c>
      <c r="DI486">
        <f>IF(ISBLANK('Data Entry'!$±$486), "", 'Data Entry'!$±$486)</f>
      </c>
      <c r="DJ486">
        <f>IF(ISBLANK('Data Entry'!$²$486), "", 'Data Entry'!$²$486)</f>
      </c>
      <c r="DK486">
        <f>IF(ISBLANK('Data Entry'!$³$486), "", 'Data Entry'!$³$486)</f>
      </c>
      <c r="DL486">
        <f>IF(ISBLANK('Data Entry'!$´$486), "", 'Data Entry'!$´$486)</f>
      </c>
      <c r="DM486">
        <f>IF(ISBLANK('Data Entry'!$µ$486), "", 'Data Entry'!$µ$486)</f>
      </c>
      <c r="DN486">
        <f>IF(ISBLANK('Data Entry'!$¶$486), "", 'Data Entry'!$¶$486)</f>
      </c>
      <c r="DO486">
        <f>IF(ISBLANK('Data Entry'!$·$486), "", 'Data Entry'!$·$486)</f>
      </c>
      <c r="DP486">
        <f>IF(ISBLANK('Data Entry'!$¸$486), "", 'Data Entry'!$¸$486)</f>
      </c>
      <c r="DQ486">
        <f>IF(ISBLANK('Data Entry'!$¹$486), "", 'Data Entry'!$¹$486)</f>
      </c>
      <c r="DR486">
        <f>IF(ISBLANK('Data Entry'!$º$486), "", 'Data Entry'!$º$486)</f>
      </c>
      <c r="DS486">
        <f>IF(ISBLANK('Data Entry'!$»$486), "", 'Data Entry'!$»$486)</f>
      </c>
      <c r="DT486">
        <f>IF(ISBLANK('Data Entry'!$¼$486), "", 'Data Entry'!$¼$486)</f>
      </c>
      <c r="DU486">
        <f>IF(ISBLANK('Data Entry'!$½$486), "", 'Data Entry'!$½$486)</f>
      </c>
      <c r="DV486">
        <f>IF(ISBLANK('Data Entry'!$¾$486), "", 'Data Entry'!$¾$486)</f>
      </c>
      <c r="DW486">
        <f>IF(ISBLANK('Data Entry'!$¿$486), "", 'Data Entry'!$¿$486)</f>
      </c>
      <c r="DX486">
        <f>IF(ISBLANK('Data Entry'!$À$486), "", 'Data Entry'!$À$486)</f>
      </c>
      <c r="DY486">
        <f>IF(ISBLANK('Data Entry'!$Á$486), "", 'Data Entry'!$Á$486)</f>
      </c>
      <c r="DZ486">
        <f>IF(ISBLANK('Data Entry'!$Â$486), "", 'Data Entry'!$Â$486)</f>
      </c>
      <c r="EA486">
        <f>IF(ISBLANK('Data Entry'!$Ã$486), "", 'Data Entry'!$Ã$486)</f>
      </c>
      <c r="EB486">
        <f>IF(ISBLANK('Data Entry'!$Ä$486), "", 'Data Entry'!$Ä$486)</f>
      </c>
      <c r="EC486">
        <f>IF(ISBLANK('Data Entry'!$Å$486), "", 'Data Entry'!$Å$486)</f>
      </c>
      <c r="ED486">
        <f>IF(ISBLANK('Data Entry'!$Æ$486), "", 'Data Entry'!$Æ$486)</f>
      </c>
      <c r="EE486">
        <f>IF(ISBLANK('Data Entry'!$Ç$486), "", 'Data Entry'!$Ç$486)</f>
      </c>
      <c r="EF486">
        <f>IF(ISBLANK('Data Entry'!$È$486), "", 'Data Entry'!$È$486)</f>
      </c>
      <c r="EG486">
        <f>IF(ISBLANK('Data Entry'!$É$486), "", 'Data Entry'!$É$486)</f>
      </c>
      <c r="EH486">
        <f>IF(ISBLANK('Data Entry'!$Ê$486), "", 'Data Entry'!$Ê$486)</f>
      </c>
      <c r="EI486">
        <f>IF(ISBLANK('Data Entry'!$Ë$486), "", 'Data Entry'!$Ë$486)</f>
      </c>
      <c r="EJ486">
        <f>IF(ISBLANK('Data Entry'!$Ì$486), "", 'Data Entry'!$Ì$486)</f>
      </c>
      <c r="EK486">
        <f>IF(ISBLANK('Data Entry'!$Í$486), "", 'Data Entry'!$Í$486)</f>
      </c>
      <c r="EL486">
        <f>IF(ISBLANK('Data Entry'!$Î$486), "", 'Data Entry'!$Î$486)</f>
      </c>
      <c r="EM486">
        <f>IF(ISBLANK('Data Entry'!$Ï$486), "", 'Data Entry'!$Ï$486)</f>
      </c>
      <c r="EN486">
        <f>IF(ISBLANK('Data Entry'!$Ð$486), "", 'Data Entry'!$Ð$486)</f>
      </c>
      <c r="EO486">
        <f>IF(ISBLANK('Data Entry'!$Ñ$486), "", 'Data Entry'!$Ñ$486)</f>
      </c>
      <c r="EP486">
        <f>IF(ISBLANK('Data Entry'!$Ò$486), "", 'Data Entry'!$Ò$486)</f>
      </c>
      <c r="EQ486">
        <f>IF(ISBLANK('Data Entry'!$Ó$486), "", 'Data Entry'!$Ó$486)</f>
      </c>
      <c r="ER486">
        <f>IF(ISBLANK('Data Entry'!$Ô$486), "", 'Data Entry'!$Ô$486)</f>
      </c>
      <c r="ES486">
        <f>IF(ISBLANK('Data Entry'!$Õ$486), "", 'Data Entry'!$Õ$486)</f>
      </c>
      <c r="ET486">
        <f>IF(ISBLANK('Data Entry'!$Ö$486), "", 'Data Entry'!$Ö$486)</f>
      </c>
      <c r="EU486">
        <f>IF(ISBLANK('Data Entry'!$×$486), "", 'Data Entry'!$×$486)</f>
      </c>
      <c r="EV486">
        <f>IF(ISBLANK('Data Entry'!$Ø$486), "", 'Data Entry'!$Ø$486)</f>
      </c>
      <c r="EW486">
        <f>IF(ISBLANK('Data Entry'!$Ù$486), "", 'Data Entry'!$Ù$486)</f>
      </c>
      <c r="EX486">
        <f>IF(ISBLANK('Data Entry'!$Ú$486), "", 'Data Entry'!$Ú$486)</f>
      </c>
      <c r="EY486">
        <f>IF(ISBLANK('Data Entry'!$Û$486), "", 'Data Entry'!$Û$486)</f>
      </c>
      <c r="EZ486">
        <f>IF(ISBLANK('Data Entry'!$Ü$486), "", 'Data Entry'!$Ü$486)</f>
      </c>
      <c r="FA486">
        <f>IF(ISBLANK('Data Entry'!$Ý$486), "", 'Data Entry'!$Ý$486)</f>
      </c>
      <c r="FB486">
        <f>IF(ISBLANK('Data Entry'!$Þ$486), "", 'Data Entry'!$Þ$486)</f>
      </c>
      <c r="FC486">
        <f>IF(ISBLANK('Data Entry'!$ß$486), "", 'Data Entry'!$ß$486)</f>
      </c>
      <c r="FD486">
        <f>IF(ISBLANK('Data Entry'!$à$486), "", 'Data Entry'!$à$486)</f>
      </c>
      <c r="FE486">
        <f>IF(ISBLANK('Data Entry'!$á$486), "", 'Data Entry'!$á$486)</f>
      </c>
      <c r="FF486">
        <f>IF(ISBLANK('Data Entry'!$â$486), "", 'Data Entry'!$â$486)</f>
      </c>
      <c r="FG486">
        <f>IF(ISBLANK('Data Entry'!$ã$486), "", 'Data Entry'!$ã$486)</f>
      </c>
      <c r="FH486">
        <f>IF(ISBLANK('Data Entry'!$ä$486), "", 'Data Entry'!$ä$486)</f>
      </c>
      <c r="FI486">
        <f>IF(ISBLANK('Data Entry'!$å$486), "", 'Data Entry'!$å$486)</f>
      </c>
      <c r="FJ486">
        <f>IF(ISBLANK('Data Entry'!$æ$486), "", 'Data Entry'!$æ$486)</f>
      </c>
      <c r="FK486">
        <f>IF(ISBLANK('Data Entry'!$ç$486), "", 'Data Entry'!$ç$486)</f>
      </c>
      <c r="FL486">
        <f>IF(ISBLANK('Data Entry'!$è$486), "", 'Data Entry'!$è$486)</f>
      </c>
      <c r="FM486">
        <f>IF(ISBLANK('Data Entry'!$é$486), "", 'Data Entry'!$é$486)</f>
      </c>
      <c r="FN486">
        <f>IF(ISBLANK('Data Entry'!$ê$486), "", 'Data Entry'!$ê$486)</f>
      </c>
      <c r="FO486">
        <f>IF(ISBLANK('Data Entry'!$ë$486), "", 'Data Entry'!$ë$486)</f>
      </c>
      <c r="FP486">
        <f>IF(ISBLANK('Data Entry'!$ì$486), "", 'Data Entry'!$ì$486)</f>
      </c>
      <c r="FQ486">
        <f>IF(ISBLANK('Data Entry'!$í$486), "", 'Data Entry'!$í$486)</f>
      </c>
      <c r="FR486">
        <f>IF(ISBLANK('Data Entry'!$î$486), "", 'Data Entry'!$î$486)</f>
      </c>
      <c r="FS486">
        <f>IF(ISBLANK('Data Entry'!$ï$486), "", 'Data Entry'!$ï$486)</f>
      </c>
      <c r="FT486">
        <f>IF(ISBLANK('Data Entry'!$ð$486), "", 'Data Entry'!$ð$486)</f>
      </c>
      <c r="FU486">
        <f>IF(ISBLANK('Data Entry'!$ñ$486), "", 'Data Entry'!$ñ$486)</f>
      </c>
      <c r="FV486">
        <f>IF(ISBLANK('Data Entry'!$ò$486), "", 'Data Entry'!$ò$486)</f>
      </c>
      <c r="FW486">
        <f>IF(ISBLANK('Data Entry'!$ó$486), "", 'Data Entry'!$ó$486)</f>
      </c>
      <c r="FX486">
        <f>IF(ISBLANK('Data Entry'!$ô$486), "", 'Data Entry'!$ô$486)</f>
      </c>
      <c r="FY486">
        <f>IF(ISBLANK('Data Entry'!$õ$486), "", 'Data Entry'!$õ$486)</f>
      </c>
      <c r="FZ486">
        <f>IF(ISBLANK('Data Entry'!$ö$486), "", 'Data Entry'!$ö$486)</f>
      </c>
      <c r="GA486">
        <f>IF(ISBLANK('Data Entry'!$÷$486), "", 'Data Entry'!$÷$486)</f>
      </c>
      <c r="GB486">
        <f>IF(ISBLANK('Data Entry'!$ø$486), "", 'Data Entry'!$ø$486)</f>
      </c>
      <c r="GC486">
        <f>IF(ISBLANK('Data Entry'!$ù$486), "", 'Data Entry'!$ù$486)</f>
      </c>
      <c r="GD486">
        <f>IF(ISBLANK('Data Entry'!$ú$486), "", 'Data Entry'!$ú$486)</f>
      </c>
      <c r="GE486">
        <f>IF(ISBLANK('Data Entry'!$û$486), "", 'Data Entry'!$û$486)</f>
      </c>
      <c r="GF486">
        <f>IF(ISBLANK('Data Entry'!$ü$486), "", 'Data Entry'!$ü$486)</f>
      </c>
      <c r="GG486">
        <f>IF(ISBLANK('Data Entry'!$ý$486), "", 'Data Entry'!$ý$486)</f>
      </c>
      <c r="GH486">
        <f>IF(ISBLANK('Data Entry'!$þ$486), "", 'Data Entry'!$þ$486)</f>
      </c>
      <c r="GI486">
        <f>IF(ISBLANK('Data Entry'!$ÿ$486), "", 'Data Entry'!$ÿ$486)</f>
      </c>
      <c r="GJ486">
        <f>IF(ISBLANK('Data Entry'!$Ā$486), "", 'Data Entry'!$Ā$486)</f>
      </c>
      <c r="GK486">
        <f>IF(ISBLANK('Data Entry'!$ā$486), "", 'Data Entry'!$ā$486)</f>
      </c>
      <c r="GL486">
        <f>IF(ISBLANK('Data Entry'!$Ă$486), "", 'Data Entry'!$Ă$486)</f>
      </c>
      <c r="GM486">
        <f>IF(ISBLANK('Data Entry'!$ă$486), "", 'Data Entry'!$ă$486)</f>
      </c>
      <c r="GN486">
        <f>IF(ISBLANK('Data Entry'!$Ą$486), "", 'Data Entry'!$Ą$486)</f>
      </c>
      <c r="GO486">
        <f>IF(ISBLANK('Data Entry'!$ą$486), "", 'Data Entry'!$ą$486)</f>
      </c>
      <c r="GP486">
        <f>IF(ISBLANK('Data Entry'!$Ć$486), "", 'Data Entry'!$Ć$486)</f>
      </c>
      <c r="GQ486">
        <f>IF(ISBLANK('Data Entry'!$ć$486), "", 'Data Entry'!$ć$486)</f>
      </c>
      <c r="GR486">
        <f>IF(ISBLANK('Data Entry'!$Ĉ$486), "", 'Data Entry'!$Ĉ$486)</f>
      </c>
      <c r="GS486">
        <f>IF(ISBLANK('Data Entry'!$ĉ$486), "", 'Data Entry'!$ĉ$486)</f>
      </c>
      <c r="GT486">
        <f>IF(ISBLANK('Data Entry'!$Ċ$486), "", 'Data Entry'!$Ċ$486)</f>
      </c>
      <c r="GU486">
        <f>IF(ISBLANK('Data Entry'!$ċ$486), "", 'Data Entry'!$ċ$486)</f>
      </c>
      <c r="GV486">
        <f>IF(ISBLANK('Data Entry'!$Č$486), "", 'Data Entry'!$Č$486)</f>
      </c>
      <c r="GW486">
        <f>IF(ISBLANK('Data Entry'!$č$486), "", 'Data Entry'!$č$486)</f>
      </c>
      <c r="GX486">
        <f>IF(ISBLANK('Data Entry'!$Ď$486), "", 'Data Entry'!$Ď$486)</f>
      </c>
      <c r="GY486">
        <f>IF(ISBLANK('Data Entry'!$ď$486), "", 'Data Entry'!$ď$486)</f>
      </c>
      <c r="GZ486">
        <f>IF(ISBLANK('Data Entry'!$Đ$486), "", 'Data Entry'!$Đ$486)</f>
      </c>
      <c r="HA486">
        <f>IF(ISBLANK('Data Entry'!$đ$486), "", 'Data Entry'!$đ$486)</f>
      </c>
      <c r="HB486">
        <f>IF(ISBLANK('Data Entry'!$Ē$486), "", 'Data Entry'!$Ē$486)</f>
      </c>
      <c r="HC486">
        <f>IF(ISBLANK('Data Entry'!$ē$486), "", 'Data Entry'!$ē$486)</f>
      </c>
      <c r="HD486">
        <f>IF(ISBLANK('Data Entry'!$Ĕ$486), "", 'Data Entry'!$Ĕ$486)</f>
      </c>
      <c r="HE486">
        <f>IF(ISBLANK('Data Entry'!$ĕ$486), "", 'Data Entry'!$ĕ$486)</f>
      </c>
      <c r="HF486">
        <f>IF(ISBLANK('Data Entry'!$Ė$486), "", 'Data Entry'!$Ė$486)</f>
      </c>
      <c r="HG486">
        <f>IF(ISBLANK('Data Entry'!$ė$486), "", 'Data Entry'!$ė$486)</f>
      </c>
      <c r="HH486">
        <f>IF(ISBLANK('Data Entry'!$Ę$486), "", 'Data Entry'!$Ę$486)</f>
      </c>
      <c r="HI486">
        <f>IF(ISBLANK('Data Entry'!$ę$486), "", 'Data Entry'!$ę$486)</f>
      </c>
      <c r="HJ486">
        <f>IF(ISBLANK('Data Entry'!$Ě$486), "", 'Data Entry'!$Ě$486)</f>
      </c>
      <c r="HK486">
        <f>IF(ISBLANK('Data Entry'!$ě$486), "", 'Data Entry'!$ě$486)</f>
      </c>
      <c r="HL486">
        <f>IF(ISBLANK('Data Entry'!$Ĝ$486), "", 'Data Entry'!$Ĝ$486)</f>
      </c>
      <c r="HM486">
        <f>IF(ISBLANK('Data Entry'!$ĝ$486), "", 'Data Entry'!$ĝ$486)</f>
      </c>
      <c r="HN486">
        <f>IF(ISBLANK('Data Entry'!$Ğ$486), "", 'Data Entry'!$Ğ$486)</f>
      </c>
      <c r="HO486">
        <f>IF(ISBLANK('Data Entry'!$ğ$486), "", 'Data Entry'!$ğ$486)</f>
      </c>
      <c r="HP486">
        <f>IF(ISBLANK('Data Entry'!$Ġ$486), "", 'Data Entry'!$Ġ$486)</f>
      </c>
      <c r="HQ486">
        <f>IF(ISBLANK('Data Entry'!$ġ$486), "", 'Data Entry'!$ġ$486)</f>
      </c>
      <c r="HR486">
        <f>IF(ISBLANK('Data Entry'!$Ģ$486), "", 'Data Entry'!$Ģ$486)</f>
      </c>
      <c r="HS486">
        <f>IF(ISBLANK('Data Entry'!$ģ$486), "", 'Data Entry'!$ģ$486)</f>
      </c>
      <c r="HT486">
        <f>IF(ISBLANK('Data Entry'!$Ĥ$486), "", 'Data Entry'!$Ĥ$486)</f>
      </c>
      <c r="HU486">
        <f>IF(ISBLANK('Data Entry'!$ĥ$486), "", 'Data Entry'!$ĥ$486)</f>
      </c>
      <c r="HV486">
        <f>IF(ISBLANK('Data Entry'!$Ħ$486), "", 'Data Entry'!$Ħ$486)</f>
      </c>
      <c r="HW486">
        <f>IF(ISBLANK('Data Entry'!$ħ$486), "", 'Data Entry'!$ħ$486)</f>
      </c>
      <c r="HX486">
        <f>IF(ISBLANK('Data Entry'!$Ĩ$486), "", 'Data Entry'!$Ĩ$486)</f>
      </c>
      <c r="HY486">
        <f>IF(ISBLANK('Data Entry'!$ĩ$486), "", 'Data Entry'!$ĩ$486)</f>
      </c>
      <c r="HZ486">
        <f>IF(ISBLANK('Data Entry'!$Ī$486), "", 'Data Entry'!$Ī$486)</f>
      </c>
      <c r="IA486">
        <f>IF(ISBLANK('Data Entry'!$ī$486), "", 'Data Entry'!$ī$486)</f>
      </c>
      <c r="IB486">
        <f>IF(ISBLANK('Data Entry'!$Ĭ$486), "", 'Data Entry'!$Ĭ$486)</f>
      </c>
      <c r="IC486">
        <f>IF(ISBLANK('Data Entry'!$ĭ$486), "", 'Data Entry'!$ĭ$486)</f>
      </c>
      <c r="ID486">
        <f>IF(ISBLANK('Data Entry'!$Į$486), "", 'Data Entry'!$Į$486)</f>
      </c>
      <c r="IE486">
        <f>IF(ISBLANK('Data Entry'!$į$486), "", 'Data Entry'!$į$486)</f>
      </c>
      <c r="IF486">
        <f>IF(ISBLANK('Data Entry'!$İ$486), "", 'Data Entry'!$İ$486)</f>
      </c>
      <c r="IG486">
        <f>IF(ISBLANK('Data Entry'!$ı$486), "", 'Data Entry'!$ı$486)</f>
      </c>
      <c r="IH486">
        <f>IF(ISBLANK('Data Entry'!$Ĳ$486), "", 'Data Entry'!$Ĳ$486)</f>
      </c>
      <c r="II486">
        <f>IF(ISBLANK('Data Entry'!$ĳ$486), "", 'Data Entry'!$ĳ$486)</f>
      </c>
      <c r="IJ486">
        <f>IF(ISBLANK('Data Entry'!$Ĵ$486), "", 'Data Entry'!$Ĵ$486)</f>
      </c>
      <c r="IK486">
        <f>IF(ISBLANK('Data Entry'!$ĵ$486), "", 'Data Entry'!$ĵ$486)</f>
      </c>
      <c r="IL486">
        <f>IF(ISBLANK('Data Entry'!$Ķ$486), "", 'Data Entry'!$Ķ$486)</f>
      </c>
      <c r="IM486">
        <f>IF(ISBLANK('Data Entry'!$ķ$486), "", 'Data Entry'!$ķ$486)</f>
      </c>
      <c r="IN486">
        <f>IF(ISBLANK('Data Entry'!$ĸ$486), "", 'Data Entry'!$ĸ$486)</f>
      </c>
      <c r="IO486">
        <f>IF(ISBLANK('Data Entry'!$Ĺ$486), "", 'Data Entry'!$Ĺ$486)</f>
      </c>
      <c r="IP486">
        <f>IF(ISBLANK('Data Entry'!$ĺ$486), "", 'Data Entry'!$ĺ$486)</f>
      </c>
      <c r="IQ486">
        <f>IF(ISBLANK('Data Entry'!$Ļ$486), "", 'Data Entry'!$Ļ$486)</f>
      </c>
      <c r="IR486">
        <f>IF(ISBLANK('Data Entry'!$ļ$486), "", 'Data Entry'!$ļ$486)</f>
      </c>
      <c r="IS486">
        <f>IF(ISBLANK('Data Entry'!$Ľ$486), "", 'Data Entry'!$Ľ$486)</f>
      </c>
      <c r="IT486">
        <f>IF(ISBLANK('Data Entry'!$ľ$486), "", 'Data Entry'!$ľ$486)</f>
      </c>
    </row>
    <row r="487" spans="1:254" x14ac:dyDescent="0.25">
      <c r="A487">
        <f>IF(ISBLANK('Data Entry'!$A$487), "", 'Data Entry'!$A$487)</f>
      </c>
      <c r="B487">
        <f>IF(ISBLANK('Data Entry'!$B$487), "", 'Data Entry'!$B$487)</f>
      </c>
      <c r="C487">
        <f>IF(ISBLANK('Data Entry'!$C$487), "", 'Data Entry'!$C$487)</f>
      </c>
      <c r="D487">
        <f>IF(ISBLANK('Data Entry'!$D$487), "", 'Data Entry'!$D$487)</f>
      </c>
      <c r="E487">
        <f>IF(ISBLANK('Data Entry'!$E$487), "", 'Data Entry'!$E$487)</f>
      </c>
      <c r="F487">
        <f>IF(ISBLANK('Data Entry'!$F$487), "", 'Data Entry'!$F$487)</f>
      </c>
      <c r="G487">
        <f>IF(ISBLANK('Data Entry'!$G$487), "", 'Data Entry'!$G$487)</f>
      </c>
      <c r="H487">
        <f>IF(ISBLANK('Data Entry'!$H$487), "", 'Data Entry'!$H$487)</f>
      </c>
      <c r="I487">
        <f>IF(ISBLANK('Data Entry'!$I$487), "", 'Data Entry'!$I$487)</f>
      </c>
      <c r="J487">
        <f>IF(ISBLANK('Data Entry'!$J$487), "", 'Data Entry'!$J$487)</f>
      </c>
      <c r="K487">
        <f>IF(ISBLANK('Data Entry'!$K$487), "", 'Data Entry'!$K$487)</f>
      </c>
      <c r="L487">
        <f>IF(ISBLANK('Data Entry'!$L$487), "", 'Data Entry'!$L$487)</f>
      </c>
      <c r="M487">
        <f>IF(ISBLANK('Data Entry'!$M$487), "", 'Data Entry'!$M$487)</f>
      </c>
      <c r="N487">
        <f>IF(ISBLANK('Data Entry'!$N$487), "", 'Data Entry'!$N$487)</f>
      </c>
      <c r="O487">
        <f>IF(ISBLANK('Data Entry'!$O$487), "", 'Data Entry'!$O$487)</f>
      </c>
      <c r="P487">
        <f>IF(ISBLANK('Data Entry'!$P$487), "", 'Data Entry'!$P$487)</f>
      </c>
      <c r="Q487">
        <f>IF(ISBLANK('Data Entry'!$Q$487), "", 'Data Entry'!$Q$487)</f>
      </c>
      <c r="R487">
        <f>IF(ISBLANK('Data Entry'!$R$487), "", 'Data Entry'!$R$487)</f>
      </c>
      <c r="S487">
        <f>IF(ISBLANK('Data Entry'!$S$487), "", 'Data Entry'!$S$487)</f>
      </c>
      <c r="T487">
        <f>IF(ISBLANK('Data Entry'!$T$487), "", 'Data Entry'!$T$487)</f>
      </c>
      <c r="U487">
        <f>IF(ISBLANK('Data Entry'!$U$487), "", 'Data Entry'!$U$487)</f>
      </c>
      <c r="V487">
        <f>IF(ISBLANK('Data Entry'!$V$487), "", 'Data Entry'!$V$487)</f>
      </c>
      <c r="W487">
        <f>IF(ISBLANK('Data Entry'!$W$487), "", 'Data Entry'!$W$487)</f>
      </c>
      <c r="X487">
        <f>IF(ISBLANK('Data Entry'!$X$487), "", 'Data Entry'!$X$487)</f>
      </c>
      <c r="Y487">
        <f>IF(ISBLANK('Data Entry'!$Y$487), "", 'Data Entry'!$Y$487)</f>
      </c>
      <c r="Z487">
        <f>IF(ISBLANK('Data Entry'!$Z$487), "", 'Data Entry'!$Z$487)</f>
      </c>
      <c r="AA487">
        <f>IF(ISBLANK('Data Entry'!$[$487), "", 'Data Entry'!$[$487)</f>
      </c>
      <c r="AB487">
        <f>IF(ISBLANK('Data Entry'!$\$487), "", 'Data Entry'!$\$487)</f>
      </c>
      <c r="AC487">
        <f>IF(ISBLANK('Data Entry'!$]$487), "", 'Data Entry'!$]$487)</f>
      </c>
      <c r="AD487">
        <f>IF(ISBLANK('Data Entry'!$^$487), "", 'Data Entry'!$^$487)</f>
      </c>
      <c r="AE487">
        <f>IF(ISBLANK('Data Entry'!$_$487), "", 'Data Entry'!$_$487)</f>
      </c>
      <c r="AF487">
        <f>IF(ISBLANK('Data Entry'!$`$487), "", 'Data Entry'!$`$487)</f>
      </c>
      <c r="AG487">
        <f>IF(ISBLANK('Data Entry'!$a$487), "", 'Data Entry'!$a$487)</f>
      </c>
      <c r="AH487">
        <f>IF(ISBLANK('Data Entry'!$b$487), "", 'Data Entry'!$b$487)</f>
      </c>
      <c r="AI487">
        <f>IF(ISBLANK('Data Entry'!$c$487), "", 'Data Entry'!$c$487)</f>
      </c>
      <c r="AJ487">
        <f>IF(ISBLANK('Data Entry'!$d$487), "", 'Data Entry'!$d$487)</f>
      </c>
      <c r="AK487">
        <f>IF(ISBLANK('Data Entry'!$e$487), "", 'Data Entry'!$e$487)</f>
      </c>
      <c r="AL487">
        <f>IF(ISBLANK('Data Entry'!$f$487), "", 'Data Entry'!$f$487)</f>
      </c>
      <c r="AM487">
        <f>IF(ISBLANK('Data Entry'!$g$487), "", 'Data Entry'!$g$487)</f>
      </c>
      <c r="AN487">
        <f>IF(ISBLANK('Data Entry'!$h$487), "", 'Data Entry'!$h$487)</f>
      </c>
      <c r="AO487">
        <f>IF(ISBLANK('Data Entry'!$i$487), "", 'Data Entry'!$i$487)</f>
      </c>
      <c r="AP487">
        <f>IF(ISBLANK('Data Entry'!$j$487), "", 'Data Entry'!$j$487)</f>
      </c>
      <c r="AQ487">
        <f>IF(ISBLANK('Data Entry'!$k$487), "", 'Data Entry'!$k$487)</f>
      </c>
      <c r="AR487">
        <f>IF(ISBLANK('Data Entry'!$l$487), "", 'Data Entry'!$l$487)</f>
      </c>
      <c r="AS487">
        <f>IF(ISBLANK('Data Entry'!$m$487), "", 'Data Entry'!$m$487)</f>
      </c>
      <c r="AT487">
        <f>IF(ISBLANK('Data Entry'!$n$487), "", 'Data Entry'!$n$487)</f>
      </c>
      <c r="AU487">
        <f>IF(ISBLANK('Data Entry'!$o$487), "", 'Data Entry'!$o$487)</f>
      </c>
      <c r="AV487">
        <f>IF(ISBLANK('Data Entry'!$p$487), "", 'Data Entry'!$p$487)</f>
      </c>
      <c r="AW487">
        <f>IF(ISBLANK('Data Entry'!$q$487), "", 'Data Entry'!$q$487)</f>
      </c>
      <c r="AX487">
        <f>IF(ISBLANK('Data Entry'!$r$487), "", 'Data Entry'!$r$487)</f>
      </c>
      <c r="AY487">
        <f>IF(ISBLANK('Data Entry'!$s$487), "", 'Data Entry'!$s$487)</f>
      </c>
      <c r="AZ487">
        <f>IF(ISBLANK('Data Entry'!$t$487), "", 'Data Entry'!$t$487)</f>
      </c>
      <c r="BA487">
        <f>IF(ISBLANK('Data Entry'!$u$487), "", 'Data Entry'!$u$487)</f>
      </c>
      <c r="BB487">
        <f>IF(ISBLANK('Data Entry'!$v$487), "", 'Data Entry'!$v$487)</f>
      </c>
      <c r="BC487">
        <f>IF(ISBLANK('Data Entry'!$w$487), "", 'Data Entry'!$w$487)</f>
      </c>
      <c r="BD487">
        <f>IF(ISBLANK('Data Entry'!$x$487), "", 'Data Entry'!$x$487)</f>
      </c>
      <c r="BE487">
        <f>IF(ISBLANK('Data Entry'!$y$487), "", 'Data Entry'!$y$487)</f>
      </c>
      <c r="BF487">
        <f>IF(ISBLANK('Data Entry'!$z$487), "", 'Data Entry'!$z$487)</f>
      </c>
      <c r="BG487">
        <f>IF(ISBLANK('Data Entry'!${$487), "", 'Data Entry'!${$487)</f>
      </c>
      <c r="BH487">
        <f>IF(ISBLANK('Data Entry'!$|$487), "", 'Data Entry'!$|$487)</f>
      </c>
      <c r="BI487">
        <f>IF(ISBLANK('Data Entry'!$}$487), "", 'Data Entry'!$}$487)</f>
      </c>
      <c r="BJ487">
        <f>IF(ISBLANK('Data Entry'!$~$487), "", 'Data Entry'!$~$487)</f>
      </c>
      <c r="BK487">
        <f>IF(ISBLANK('Data Entry'!$$487), "", 'Data Entry'!$$487)</f>
      </c>
      <c r="BL487">
        <f>IF(ISBLANK('Data Entry'!$$487), "", 'Data Entry'!$$487)</f>
      </c>
      <c r="BM487">
        <f>IF(ISBLANK('Data Entry'!$$487), "", 'Data Entry'!$$487)</f>
      </c>
      <c r="BN487">
        <f>IF(ISBLANK('Data Entry'!$$487), "", 'Data Entry'!$$487)</f>
      </c>
      <c r="BO487">
        <f>IF(ISBLANK('Data Entry'!$$487), "", 'Data Entry'!$$487)</f>
      </c>
      <c r="BP487">
        <f>IF(ISBLANK('Data Entry'!$$487), "", 'Data Entry'!$$487)</f>
      </c>
      <c r="BQ487">
        <f>IF(ISBLANK('Data Entry'!$$487), "", 'Data Entry'!$$487)</f>
      </c>
      <c r="BR487">
        <f>IF(ISBLANK('Data Entry'!$$487), "", 'Data Entry'!$$487)</f>
      </c>
      <c r="BS487">
        <f>IF(ISBLANK('Data Entry'!$$487), "", 'Data Entry'!$$487)</f>
      </c>
      <c r="BT487">
        <f>IF(ISBLANK('Data Entry'!$$487), "", 'Data Entry'!$$487)</f>
      </c>
      <c r="BU487">
        <f>IF(ISBLANK('Data Entry'!$$487), "", 'Data Entry'!$$487)</f>
      </c>
      <c r="BV487">
        <f>IF(ISBLANK('Data Entry'!$$487), "", 'Data Entry'!$$487)</f>
      </c>
      <c r="BW487">
        <f>IF(ISBLANK('Data Entry'!$$487), "", 'Data Entry'!$$487)</f>
      </c>
      <c r="BX487">
        <f>IF(ISBLANK('Data Entry'!$$487), "", 'Data Entry'!$$487)</f>
      </c>
      <c r="BY487">
        <f>IF(ISBLANK('Data Entry'!$$487), "", 'Data Entry'!$$487)</f>
      </c>
      <c r="BZ487">
        <f>IF(ISBLANK('Data Entry'!$$487), "", 'Data Entry'!$$487)</f>
      </c>
      <c r="CA487">
        <f>IF(ISBLANK('Data Entry'!$$487), "", 'Data Entry'!$$487)</f>
      </c>
      <c r="CB487">
        <f>IF(ISBLANK('Data Entry'!$$487), "", 'Data Entry'!$$487)</f>
      </c>
      <c r="CC487">
        <f>IF(ISBLANK('Data Entry'!$$487), "", 'Data Entry'!$$487)</f>
      </c>
      <c r="CD487">
        <f>IF(ISBLANK('Data Entry'!$$487), "", 'Data Entry'!$$487)</f>
      </c>
      <c r="CE487">
        <f>IF(ISBLANK('Data Entry'!$$487), "", 'Data Entry'!$$487)</f>
      </c>
      <c r="CF487">
        <f>IF(ISBLANK('Data Entry'!$$487), "", 'Data Entry'!$$487)</f>
      </c>
      <c r="CG487">
        <f>IF(ISBLANK('Data Entry'!$$487), "", 'Data Entry'!$$487)</f>
      </c>
      <c r="CH487">
        <f>IF(ISBLANK('Data Entry'!$$487), "", 'Data Entry'!$$487)</f>
      </c>
      <c r="CI487">
        <f>IF(ISBLANK('Data Entry'!$$487), "", 'Data Entry'!$$487)</f>
      </c>
      <c r="CJ487">
        <f>IF(ISBLANK('Data Entry'!$$487), "", 'Data Entry'!$$487)</f>
      </c>
      <c r="CK487">
        <f>IF(ISBLANK('Data Entry'!$$487), "", 'Data Entry'!$$487)</f>
      </c>
      <c r="CL487">
        <f>IF(ISBLANK('Data Entry'!$$487), "", 'Data Entry'!$$487)</f>
      </c>
      <c r="CM487">
        <f>IF(ISBLANK('Data Entry'!$$487), "", 'Data Entry'!$$487)</f>
      </c>
      <c r="CN487">
        <f>IF(ISBLANK('Data Entry'!$$487), "", 'Data Entry'!$$487)</f>
      </c>
      <c r="CO487">
        <f>IF(ISBLANK('Data Entry'!$$487), "", 'Data Entry'!$$487)</f>
      </c>
      <c r="CP487">
        <f>IF(ISBLANK('Data Entry'!$$487), "", 'Data Entry'!$$487)</f>
      </c>
      <c r="CQ487">
        <f>IF(ISBLANK('Data Entry'!$$487), "", 'Data Entry'!$$487)</f>
      </c>
      <c r="CR487">
        <f>IF(ISBLANK('Data Entry'!$ $487), "", 'Data Entry'!$ $487)</f>
      </c>
      <c r="CS487">
        <f>IF(ISBLANK('Data Entry'!$¡$487), "", 'Data Entry'!$¡$487)</f>
      </c>
      <c r="CT487">
        <f>IF(ISBLANK('Data Entry'!$¢$487), "", 'Data Entry'!$¢$487)</f>
      </c>
      <c r="CU487">
        <f>IF(ISBLANK('Data Entry'!$£$487), "", 'Data Entry'!$£$487)</f>
      </c>
      <c r="CV487">
        <f>IF(ISBLANK('Data Entry'!$¤$487), "", 'Data Entry'!$¤$487)</f>
      </c>
      <c r="CW487">
        <f>IF(ISBLANK('Data Entry'!$¥$487), "", 'Data Entry'!$¥$487)</f>
      </c>
      <c r="CX487">
        <f>IF(ISBLANK('Data Entry'!$¦$487), "", 'Data Entry'!$¦$487)</f>
      </c>
      <c r="CY487">
        <f>IF(ISBLANK('Data Entry'!$§$487), "", 'Data Entry'!$§$487)</f>
      </c>
      <c r="CZ487">
        <f>IF(ISBLANK('Data Entry'!$¨$487), "", 'Data Entry'!$¨$487)</f>
      </c>
      <c r="DA487">
        <f>IF(ISBLANK('Data Entry'!$©$487), "", 'Data Entry'!$©$487)</f>
      </c>
      <c r="DB487">
        <f>IF(ISBLANK('Data Entry'!$ª$487), "", 'Data Entry'!$ª$487)</f>
      </c>
      <c r="DC487">
        <f>IF(ISBLANK('Data Entry'!$«$487), "", 'Data Entry'!$«$487)</f>
      </c>
      <c r="DD487">
        <f>IF(ISBLANK('Data Entry'!$¬$487), "", 'Data Entry'!$¬$487)</f>
      </c>
      <c r="DE487">
        <f>IF(ISBLANK('Data Entry'!$­$487), "", 'Data Entry'!$­$487)</f>
      </c>
      <c r="DF487">
        <f>IF(ISBLANK('Data Entry'!$®$487), "", 'Data Entry'!$®$487)</f>
      </c>
      <c r="DG487">
        <f>IF(ISBLANK('Data Entry'!$¯$487), "", 'Data Entry'!$¯$487)</f>
      </c>
      <c r="DH487">
        <f>IF(ISBLANK('Data Entry'!$°$487), "", 'Data Entry'!$°$487)</f>
      </c>
      <c r="DI487">
        <f>IF(ISBLANK('Data Entry'!$±$487), "", 'Data Entry'!$±$487)</f>
      </c>
      <c r="DJ487">
        <f>IF(ISBLANK('Data Entry'!$²$487), "", 'Data Entry'!$²$487)</f>
      </c>
      <c r="DK487">
        <f>IF(ISBLANK('Data Entry'!$³$487), "", 'Data Entry'!$³$487)</f>
      </c>
      <c r="DL487">
        <f>IF(ISBLANK('Data Entry'!$´$487), "", 'Data Entry'!$´$487)</f>
      </c>
      <c r="DM487">
        <f>IF(ISBLANK('Data Entry'!$µ$487), "", 'Data Entry'!$µ$487)</f>
      </c>
      <c r="DN487">
        <f>IF(ISBLANK('Data Entry'!$¶$487), "", 'Data Entry'!$¶$487)</f>
      </c>
      <c r="DO487">
        <f>IF(ISBLANK('Data Entry'!$·$487), "", 'Data Entry'!$·$487)</f>
      </c>
      <c r="DP487">
        <f>IF(ISBLANK('Data Entry'!$¸$487), "", 'Data Entry'!$¸$487)</f>
      </c>
      <c r="DQ487">
        <f>IF(ISBLANK('Data Entry'!$¹$487), "", 'Data Entry'!$¹$487)</f>
      </c>
      <c r="DR487">
        <f>IF(ISBLANK('Data Entry'!$º$487), "", 'Data Entry'!$º$487)</f>
      </c>
      <c r="DS487">
        <f>IF(ISBLANK('Data Entry'!$»$487), "", 'Data Entry'!$»$487)</f>
      </c>
      <c r="DT487">
        <f>IF(ISBLANK('Data Entry'!$¼$487), "", 'Data Entry'!$¼$487)</f>
      </c>
      <c r="DU487">
        <f>IF(ISBLANK('Data Entry'!$½$487), "", 'Data Entry'!$½$487)</f>
      </c>
      <c r="DV487">
        <f>IF(ISBLANK('Data Entry'!$¾$487), "", 'Data Entry'!$¾$487)</f>
      </c>
      <c r="DW487">
        <f>IF(ISBLANK('Data Entry'!$¿$487), "", 'Data Entry'!$¿$487)</f>
      </c>
      <c r="DX487">
        <f>IF(ISBLANK('Data Entry'!$À$487), "", 'Data Entry'!$À$487)</f>
      </c>
      <c r="DY487">
        <f>IF(ISBLANK('Data Entry'!$Á$487), "", 'Data Entry'!$Á$487)</f>
      </c>
      <c r="DZ487">
        <f>IF(ISBLANK('Data Entry'!$Â$487), "", 'Data Entry'!$Â$487)</f>
      </c>
      <c r="EA487">
        <f>IF(ISBLANK('Data Entry'!$Ã$487), "", 'Data Entry'!$Ã$487)</f>
      </c>
      <c r="EB487">
        <f>IF(ISBLANK('Data Entry'!$Ä$487), "", 'Data Entry'!$Ä$487)</f>
      </c>
      <c r="EC487">
        <f>IF(ISBLANK('Data Entry'!$Å$487), "", 'Data Entry'!$Å$487)</f>
      </c>
      <c r="ED487">
        <f>IF(ISBLANK('Data Entry'!$Æ$487), "", 'Data Entry'!$Æ$487)</f>
      </c>
      <c r="EE487">
        <f>IF(ISBLANK('Data Entry'!$Ç$487), "", 'Data Entry'!$Ç$487)</f>
      </c>
      <c r="EF487">
        <f>IF(ISBLANK('Data Entry'!$È$487), "", 'Data Entry'!$È$487)</f>
      </c>
      <c r="EG487">
        <f>IF(ISBLANK('Data Entry'!$É$487), "", 'Data Entry'!$É$487)</f>
      </c>
      <c r="EH487">
        <f>IF(ISBLANK('Data Entry'!$Ê$487), "", 'Data Entry'!$Ê$487)</f>
      </c>
      <c r="EI487">
        <f>IF(ISBLANK('Data Entry'!$Ë$487), "", 'Data Entry'!$Ë$487)</f>
      </c>
      <c r="EJ487">
        <f>IF(ISBLANK('Data Entry'!$Ì$487), "", 'Data Entry'!$Ì$487)</f>
      </c>
      <c r="EK487">
        <f>IF(ISBLANK('Data Entry'!$Í$487), "", 'Data Entry'!$Í$487)</f>
      </c>
      <c r="EL487">
        <f>IF(ISBLANK('Data Entry'!$Î$487), "", 'Data Entry'!$Î$487)</f>
      </c>
      <c r="EM487">
        <f>IF(ISBLANK('Data Entry'!$Ï$487), "", 'Data Entry'!$Ï$487)</f>
      </c>
      <c r="EN487">
        <f>IF(ISBLANK('Data Entry'!$Ð$487), "", 'Data Entry'!$Ð$487)</f>
      </c>
      <c r="EO487">
        <f>IF(ISBLANK('Data Entry'!$Ñ$487), "", 'Data Entry'!$Ñ$487)</f>
      </c>
      <c r="EP487">
        <f>IF(ISBLANK('Data Entry'!$Ò$487), "", 'Data Entry'!$Ò$487)</f>
      </c>
      <c r="EQ487">
        <f>IF(ISBLANK('Data Entry'!$Ó$487), "", 'Data Entry'!$Ó$487)</f>
      </c>
      <c r="ER487">
        <f>IF(ISBLANK('Data Entry'!$Ô$487), "", 'Data Entry'!$Ô$487)</f>
      </c>
      <c r="ES487">
        <f>IF(ISBLANK('Data Entry'!$Õ$487), "", 'Data Entry'!$Õ$487)</f>
      </c>
      <c r="ET487">
        <f>IF(ISBLANK('Data Entry'!$Ö$487), "", 'Data Entry'!$Ö$487)</f>
      </c>
      <c r="EU487">
        <f>IF(ISBLANK('Data Entry'!$×$487), "", 'Data Entry'!$×$487)</f>
      </c>
      <c r="EV487">
        <f>IF(ISBLANK('Data Entry'!$Ø$487), "", 'Data Entry'!$Ø$487)</f>
      </c>
      <c r="EW487">
        <f>IF(ISBLANK('Data Entry'!$Ù$487), "", 'Data Entry'!$Ù$487)</f>
      </c>
      <c r="EX487">
        <f>IF(ISBLANK('Data Entry'!$Ú$487), "", 'Data Entry'!$Ú$487)</f>
      </c>
      <c r="EY487">
        <f>IF(ISBLANK('Data Entry'!$Û$487), "", 'Data Entry'!$Û$487)</f>
      </c>
      <c r="EZ487">
        <f>IF(ISBLANK('Data Entry'!$Ü$487), "", 'Data Entry'!$Ü$487)</f>
      </c>
      <c r="FA487">
        <f>IF(ISBLANK('Data Entry'!$Ý$487), "", 'Data Entry'!$Ý$487)</f>
      </c>
      <c r="FB487">
        <f>IF(ISBLANK('Data Entry'!$Þ$487), "", 'Data Entry'!$Þ$487)</f>
      </c>
      <c r="FC487">
        <f>IF(ISBLANK('Data Entry'!$ß$487), "", 'Data Entry'!$ß$487)</f>
      </c>
      <c r="FD487">
        <f>IF(ISBLANK('Data Entry'!$à$487), "", 'Data Entry'!$à$487)</f>
      </c>
      <c r="FE487">
        <f>IF(ISBLANK('Data Entry'!$á$487), "", 'Data Entry'!$á$487)</f>
      </c>
      <c r="FF487">
        <f>IF(ISBLANK('Data Entry'!$â$487), "", 'Data Entry'!$â$487)</f>
      </c>
      <c r="FG487">
        <f>IF(ISBLANK('Data Entry'!$ã$487), "", 'Data Entry'!$ã$487)</f>
      </c>
      <c r="FH487">
        <f>IF(ISBLANK('Data Entry'!$ä$487), "", 'Data Entry'!$ä$487)</f>
      </c>
      <c r="FI487">
        <f>IF(ISBLANK('Data Entry'!$å$487), "", 'Data Entry'!$å$487)</f>
      </c>
      <c r="FJ487">
        <f>IF(ISBLANK('Data Entry'!$æ$487), "", 'Data Entry'!$æ$487)</f>
      </c>
      <c r="FK487">
        <f>IF(ISBLANK('Data Entry'!$ç$487), "", 'Data Entry'!$ç$487)</f>
      </c>
      <c r="FL487">
        <f>IF(ISBLANK('Data Entry'!$è$487), "", 'Data Entry'!$è$487)</f>
      </c>
      <c r="FM487">
        <f>IF(ISBLANK('Data Entry'!$é$487), "", 'Data Entry'!$é$487)</f>
      </c>
      <c r="FN487">
        <f>IF(ISBLANK('Data Entry'!$ê$487), "", 'Data Entry'!$ê$487)</f>
      </c>
      <c r="FO487">
        <f>IF(ISBLANK('Data Entry'!$ë$487), "", 'Data Entry'!$ë$487)</f>
      </c>
      <c r="FP487">
        <f>IF(ISBLANK('Data Entry'!$ì$487), "", 'Data Entry'!$ì$487)</f>
      </c>
      <c r="FQ487">
        <f>IF(ISBLANK('Data Entry'!$í$487), "", 'Data Entry'!$í$487)</f>
      </c>
      <c r="FR487">
        <f>IF(ISBLANK('Data Entry'!$î$487), "", 'Data Entry'!$î$487)</f>
      </c>
      <c r="FS487">
        <f>IF(ISBLANK('Data Entry'!$ï$487), "", 'Data Entry'!$ï$487)</f>
      </c>
      <c r="FT487">
        <f>IF(ISBLANK('Data Entry'!$ð$487), "", 'Data Entry'!$ð$487)</f>
      </c>
      <c r="FU487">
        <f>IF(ISBLANK('Data Entry'!$ñ$487), "", 'Data Entry'!$ñ$487)</f>
      </c>
      <c r="FV487">
        <f>IF(ISBLANK('Data Entry'!$ò$487), "", 'Data Entry'!$ò$487)</f>
      </c>
      <c r="FW487">
        <f>IF(ISBLANK('Data Entry'!$ó$487), "", 'Data Entry'!$ó$487)</f>
      </c>
      <c r="FX487">
        <f>IF(ISBLANK('Data Entry'!$ô$487), "", 'Data Entry'!$ô$487)</f>
      </c>
      <c r="FY487">
        <f>IF(ISBLANK('Data Entry'!$õ$487), "", 'Data Entry'!$õ$487)</f>
      </c>
      <c r="FZ487">
        <f>IF(ISBLANK('Data Entry'!$ö$487), "", 'Data Entry'!$ö$487)</f>
      </c>
      <c r="GA487">
        <f>IF(ISBLANK('Data Entry'!$÷$487), "", 'Data Entry'!$÷$487)</f>
      </c>
      <c r="GB487">
        <f>IF(ISBLANK('Data Entry'!$ø$487), "", 'Data Entry'!$ø$487)</f>
      </c>
      <c r="GC487">
        <f>IF(ISBLANK('Data Entry'!$ù$487), "", 'Data Entry'!$ù$487)</f>
      </c>
      <c r="GD487">
        <f>IF(ISBLANK('Data Entry'!$ú$487), "", 'Data Entry'!$ú$487)</f>
      </c>
      <c r="GE487">
        <f>IF(ISBLANK('Data Entry'!$û$487), "", 'Data Entry'!$û$487)</f>
      </c>
      <c r="GF487">
        <f>IF(ISBLANK('Data Entry'!$ü$487), "", 'Data Entry'!$ü$487)</f>
      </c>
      <c r="GG487">
        <f>IF(ISBLANK('Data Entry'!$ý$487), "", 'Data Entry'!$ý$487)</f>
      </c>
      <c r="GH487">
        <f>IF(ISBLANK('Data Entry'!$þ$487), "", 'Data Entry'!$þ$487)</f>
      </c>
      <c r="GI487">
        <f>IF(ISBLANK('Data Entry'!$ÿ$487), "", 'Data Entry'!$ÿ$487)</f>
      </c>
      <c r="GJ487">
        <f>IF(ISBLANK('Data Entry'!$Ā$487), "", 'Data Entry'!$Ā$487)</f>
      </c>
      <c r="GK487">
        <f>IF(ISBLANK('Data Entry'!$ā$487), "", 'Data Entry'!$ā$487)</f>
      </c>
      <c r="GL487">
        <f>IF(ISBLANK('Data Entry'!$Ă$487), "", 'Data Entry'!$Ă$487)</f>
      </c>
      <c r="GM487">
        <f>IF(ISBLANK('Data Entry'!$ă$487), "", 'Data Entry'!$ă$487)</f>
      </c>
      <c r="GN487">
        <f>IF(ISBLANK('Data Entry'!$Ą$487), "", 'Data Entry'!$Ą$487)</f>
      </c>
      <c r="GO487">
        <f>IF(ISBLANK('Data Entry'!$ą$487), "", 'Data Entry'!$ą$487)</f>
      </c>
      <c r="GP487">
        <f>IF(ISBLANK('Data Entry'!$Ć$487), "", 'Data Entry'!$Ć$487)</f>
      </c>
      <c r="GQ487">
        <f>IF(ISBLANK('Data Entry'!$ć$487), "", 'Data Entry'!$ć$487)</f>
      </c>
      <c r="GR487">
        <f>IF(ISBLANK('Data Entry'!$Ĉ$487), "", 'Data Entry'!$Ĉ$487)</f>
      </c>
      <c r="GS487">
        <f>IF(ISBLANK('Data Entry'!$ĉ$487), "", 'Data Entry'!$ĉ$487)</f>
      </c>
      <c r="GT487">
        <f>IF(ISBLANK('Data Entry'!$Ċ$487), "", 'Data Entry'!$Ċ$487)</f>
      </c>
      <c r="GU487">
        <f>IF(ISBLANK('Data Entry'!$ċ$487), "", 'Data Entry'!$ċ$487)</f>
      </c>
      <c r="GV487">
        <f>IF(ISBLANK('Data Entry'!$Č$487), "", 'Data Entry'!$Č$487)</f>
      </c>
      <c r="GW487">
        <f>IF(ISBLANK('Data Entry'!$č$487), "", 'Data Entry'!$č$487)</f>
      </c>
      <c r="GX487">
        <f>IF(ISBLANK('Data Entry'!$Ď$487), "", 'Data Entry'!$Ď$487)</f>
      </c>
      <c r="GY487">
        <f>IF(ISBLANK('Data Entry'!$ď$487), "", 'Data Entry'!$ď$487)</f>
      </c>
      <c r="GZ487">
        <f>IF(ISBLANK('Data Entry'!$Đ$487), "", 'Data Entry'!$Đ$487)</f>
      </c>
      <c r="HA487">
        <f>IF(ISBLANK('Data Entry'!$đ$487), "", 'Data Entry'!$đ$487)</f>
      </c>
      <c r="HB487">
        <f>IF(ISBLANK('Data Entry'!$Ē$487), "", 'Data Entry'!$Ē$487)</f>
      </c>
      <c r="HC487">
        <f>IF(ISBLANK('Data Entry'!$ē$487), "", 'Data Entry'!$ē$487)</f>
      </c>
      <c r="HD487">
        <f>IF(ISBLANK('Data Entry'!$Ĕ$487), "", 'Data Entry'!$Ĕ$487)</f>
      </c>
      <c r="HE487">
        <f>IF(ISBLANK('Data Entry'!$ĕ$487), "", 'Data Entry'!$ĕ$487)</f>
      </c>
      <c r="HF487">
        <f>IF(ISBLANK('Data Entry'!$Ė$487), "", 'Data Entry'!$Ė$487)</f>
      </c>
      <c r="HG487">
        <f>IF(ISBLANK('Data Entry'!$ė$487), "", 'Data Entry'!$ė$487)</f>
      </c>
      <c r="HH487">
        <f>IF(ISBLANK('Data Entry'!$Ę$487), "", 'Data Entry'!$Ę$487)</f>
      </c>
      <c r="HI487">
        <f>IF(ISBLANK('Data Entry'!$ę$487), "", 'Data Entry'!$ę$487)</f>
      </c>
      <c r="HJ487">
        <f>IF(ISBLANK('Data Entry'!$Ě$487), "", 'Data Entry'!$Ě$487)</f>
      </c>
      <c r="HK487">
        <f>IF(ISBLANK('Data Entry'!$ě$487), "", 'Data Entry'!$ě$487)</f>
      </c>
      <c r="HL487">
        <f>IF(ISBLANK('Data Entry'!$Ĝ$487), "", 'Data Entry'!$Ĝ$487)</f>
      </c>
      <c r="HM487">
        <f>IF(ISBLANK('Data Entry'!$ĝ$487), "", 'Data Entry'!$ĝ$487)</f>
      </c>
      <c r="HN487">
        <f>IF(ISBLANK('Data Entry'!$Ğ$487), "", 'Data Entry'!$Ğ$487)</f>
      </c>
      <c r="HO487">
        <f>IF(ISBLANK('Data Entry'!$ğ$487), "", 'Data Entry'!$ğ$487)</f>
      </c>
      <c r="HP487">
        <f>IF(ISBLANK('Data Entry'!$Ġ$487), "", 'Data Entry'!$Ġ$487)</f>
      </c>
      <c r="HQ487">
        <f>IF(ISBLANK('Data Entry'!$ġ$487), "", 'Data Entry'!$ġ$487)</f>
      </c>
      <c r="HR487">
        <f>IF(ISBLANK('Data Entry'!$Ģ$487), "", 'Data Entry'!$Ģ$487)</f>
      </c>
      <c r="HS487">
        <f>IF(ISBLANK('Data Entry'!$ģ$487), "", 'Data Entry'!$ģ$487)</f>
      </c>
      <c r="HT487">
        <f>IF(ISBLANK('Data Entry'!$Ĥ$487), "", 'Data Entry'!$Ĥ$487)</f>
      </c>
      <c r="HU487">
        <f>IF(ISBLANK('Data Entry'!$ĥ$487), "", 'Data Entry'!$ĥ$487)</f>
      </c>
      <c r="HV487">
        <f>IF(ISBLANK('Data Entry'!$Ħ$487), "", 'Data Entry'!$Ħ$487)</f>
      </c>
      <c r="HW487">
        <f>IF(ISBLANK('Data Entry'!$ħ$487), "", 'Data Entry'!$ħ$487)</f>
      </c>
      <c r="HX487">
        <f>IF(ISBLANK('Data Entry'!$Ĩ$487), "", 'Data Entry'!$Ĩ$487)</f>
      </c>
      <c r="HY487">
        <f>IF(ISBLANK('Data Entry'!$ĩ$487), "", 'Data Entry'!$ĩ$487)</f>
      </c>
      <c r="HZ487">
        <f>IF(ISBLANK('Data Entry'!$Ī$487), "", 'Data Entry'!$Ī$487)</f>
      </c>
      <c r="IA487">
        <f>IF(ISBLANK('Data Entry'!$ī$487), "", 'Data Entry'!$ī$487)</f>
      </c>
      <c r="IB487">
        <f>IF(ISBLANK('Data Entry'!$Ĭ$487), "", 'Data Entry'!$Ĭ$487)</f>
      </c>
      <c r="IC487">
        <f>IF(ISBLANK('Data Entry'!$ĭ$487), "", 'Data Entry'!$ĭ$487)</f>
      </c>
      <c r="ID487">
        <f>IF(ISBLANK('Data Entry'!$Į$487), "", 'Data Entry'!$Į$487)</f>
      </c>
      <c r="IE487">
        <f>IF(ISBLANK('Data Entry'!$į$487), "", 'Data Entry'!$į$487)</f>
      </c>
      <c r="IF487">
        <f>IF(ISBLANK('Data Entry'!$İ$487), "", 'Data Entry'!$İ$487)</f>
      </c>
      <c r="IG487">
        <f>IF(ISBLANK('Data Entry'!$ı$487), "", 'Data Entry'!$ı$487)</f>
      </c>
      <c r="IH487">
        <f>IF(ISBLANK('Data Entry'!$Ĳ$487), "", 'Data Entry'!$Ĳ$487)</f>
      </c>
      <c r="II487">
        <f>IF(ISBLANK('Data Entry'!$ĳ$487), "", 'Data Entry'!$ĳ$487)</f>
      </c>
      <c r="IJ487">
        <f>IF(ISBLANK('Data Entry'!$Ĵ$487), "", 'Data Entry'!$Ĵ$487)</f>
      </c>
      <c r="IK487">
        <f>IF(ISBLANK('Data Entry'!$ĵ$487), "", 'Data Entry'!$ĵ$487)</f>
      </c>
      <c r="IL487">
        <f>IF(ISBLANK('Data Entry'!$Ķ$487), "", 'Data Entry'!$Ķ$487)</f>
      </c>
      <c r="IM487">
        <f>IF(ISBLANK('Data Entry'!$ķ$487), "", 'Data Entry'!$ķ$487)</f>
      </c>
      <c r="IN487">
        <f>IF(ISBLANK('Data Entry'!$ĸ$487), "", 'Data Entry'!$ĸ$487)</f>
      </c>
      <c r="IO487">
        <f>IF(ISBLANK('Data Entry'!$Ĺ$487), "", 'Data Entry'!$Ĺ$487)</f>
      </c>
      <c r="IP487">
        <f>IF(ISBLANK('Data Entry'!$ĺ$487), "", 'Data Entry'!$ĺ$487)</f>
      </c>
      <c r="IQ487">
        <f>IF(ISBLANK('Data Entry'!$Ļ$487), "", 'Data Entry'!$Ļ$487)</f>
      </c>
      <c r="IR487">
        <f>IF(ISBLANK('Data Entry'!$ļ$487), "", 'Data Entry'!$ļ$487)</f>
      </c>
      <c r="IS487">
        <f>IF(ISBLANK('Data Entry'!$Ľ$487), "", 'Data Entry'!$Ľ$487)</f>
      </c>
      <c r="IT487">
        <f>IF(ISBLANK('Data Entry'!$ľ$487), "", 'Data Entry'!$ľ$487)</f>
      </c>
    </row>
    <row r="488" spans="1:254" x14ac:dyDescent="0.25">
      <c r="A488">
        <f>IF(ISBLANK('Data Entry'!$A$488), "", 'Data Entry'!$A$488)</f>
      </c>
      <c r="B488">
        <f>IF(ISBLANK('Data Entry'!$B$488), "", 'Data Entry'!$B$488)</f>
      </c>
      <c r="C488">
        <f>IF(ISBLANK('Data Entry'!$C$488), "", 'Data Entry'!$C$488)</f>
      </c>
      <c r="D488">
        <f>IF(ISBLANK('Data Entry'!$D$488), "", 'Data Entry'!$D$488)</f>
      </c>
      <c r="E488">
        <f>IF(ISBLANK('Data Entry'!$E$488), "", 'Data Entry'!$E$488)</f>
      </c>
      <c r="F488">
        <f>IF(ISBLANK('Data Entry'!$F$488), "", 'Data Entry'!$F$488)</f>
      </c>
      <c r="G488">
        <f>IF(ISBLANK('Data Entry'!$G$488), "", 'Data Entry'!$G$488)</f>
      </c>
      <c r="H488">
        <f>IF(ISBLANK('Data Entry'!$H$488), "", 'Data Entry'!$H$488)</f>
      </c>
      <c r="I488">
        <f>IF(ISBLANK('Data Entry'!$I$488), "", 'Data Entry'!$I$488)</f>
      </c>
      <c r="J488">
        <f>IF(ISBLANK('Data Entry'!$J$488), "", 'Data Entry'!$J$488)</f>
      </c>
      <c r="K488">
        <f>IF(ISBLANK('Data Entry'!$K$488), "", 'Data Entry'!$K$488)</f>
      </c>
      <c r="L488">
        <f>IF(ISBLANK('Data Entry'!$L$488), "", 'Data Entry'!$L$488)</f>
      </c>
      <c r="M488">
        <f>IF(ISBLANK('Data Entry'!$M$488), "", 'Data Entry'!$M$488)</f>
      </c>
      <c r="N488">
        <f>IF(ISBLANK('Data Entry'!$N$488), "", 'Data Entry'!$N$488)</f>
      </c>
      <c r="O488">
        <f>IF(ISBLANK('Data Entry'!$O$488), "", 'Data Entry'!$O$488)</f>
      </c>
      <c r="P488">
        <f>IF(ISBLANK('Data Entry'!$P$488), "", 'Data Entry'!$P$488)</f>
      </c>
      <c r="Q488">
        <f>IF(ISBLANK('Data Entry'!$Q$488), "", 'Data Entry'!$Q$488)</f>
      </c>
      <c r="R488">
        <f>IF(ISBLANK('Data Entry'!$R$488), "", 'Data Entry'!$R$488)</f>
      </c>
      <c r="S488">
        <f>IF(ISBLANK('Data Entry'!$S$488), "", 'Data Entry'!$S$488)</f>
      </c>
      <c r="T488">
        <f>IF(ISBLANK('Data Entry'!$T$488), "", 'Data Entry'!$T$488)</f>
      </c>
      <c r="U488">
        <f>IF(ISBLANK('Data Entry'!$U$488), "", 'Data Entry'!$U$488)</f>
      </c>
      <c r="V488">
        <f>IF(ISBLANK('Data Entry'!$V$488), "", 'Data Entry'!$V$488)</f>
      </c>
      <c r="W488">
        <f>IF(ISBLANK('Data Entry'!$W$488), "", 'Data Entry'!$W$488)</f>
      </c>
      <c r="X488">
        <f>IF(ISBLANK('Data Entry'!$X$488), "", 'Data Entry'!$X$488)</f>
      </c>
      <c r="Y488">
        <f>IF(ISBLANK('Data Entry'!$Y$488), "", 'Data Entry'!$Y$488)</f>
      </c>
      <c r="Z488">
        <f>IF(ISBLANK('Data Entry'!$Z$488), "", 'Data Entry'!$Z$488)</f>
      </c>
      <c r="AA488">
        <f>IF(ISBLANK('Data Entry'!$[$488), "", 'Data Entry'!$[$488)</f>
      </c>
      <c r="AB488">
        <f>IF(ISBLANK('Data Entry'!$\$488), "", 'Data Entry'!$\$488)</f>
      </c>
      <c r="AC488">
        <f>IF(ISBLANK('Data Entry'!$]$488), "", 'Data Entry'!$]$488)</f>
      </c>
      <c r="AD488">
        <f>IF(ISBLANK('Data Entry'!$^$488), "", 'Data Entry'!$^$488)</f>
      </c>
      <c r="AE488">
        <f>IF(ISBLANK('Data Entry'!$_$488), "", 'Data Entry'!$_$488)</f>
      </c>
      <c r="AF488">
        <f>IF(ISBLANK('Data Entry'!$`$488), "", 'Data Entry'!$`$488)</f>
      </c>
      <c r="AG488">
        <f>IF(ISBLANK('Data Entry'!$a$488), "", 'Data Entry'!$a$488)</f>
      </c>
      <c r="AH488">
        <f>IF(ISBLANK('Data Entry'!$b$488), "", 'Data Entry'!$b$488)</f>
      </c>
      <c r="AI488">
        <f>IF(ISBLANK('Data Entry'!$c$488), "", 'Data Entry'!$c$488)</f>
      </c>
      <c r="AJ488">
        <f>IF(ISBLANK('Data Entry'!$d$488), "", 'Data Entry'!$d$488)</f>
      </c>
      <c r="AK488">
        <f>IF(ISBLANK('Data Entry'!$e$488), "", 'Data Entry'!$e$488)</f>
      </c>
      <c r="AL488">
        <f>IF(ISBLANK('Data Entry'!$f$488), "", 'Data Entry'!$f$488)</f>
      </c>
      <c r="AM488">
        <f>IF(ISBLANK('Data Entry'!$g$488), "", 'Data Entry'!$g$488)</f>
      </c>
      <c r="AN488">
        <f>IF(ISBLANK('Data Entry'!$h$488), "", 'Data Entry'!$h$488)</f>
      </c>
      <c r="AO488">
        <f>IF(ISBLANK('Data Entry'!$i$488), "", 'Data Entry'!$i$488)</f>
      </c>
      <c r="AP488">
        <f>IF(ISBLANK('Data Entry'!$j$488), "", 'Data Entry'!$j$488)</f>
      </c>
      <c r="AQ488">
        <f>IF(ISBLANK('Data Entry'!$k$488), "", 'Data Entry'!$k$488)</f>
      </c>
      <c r="AR488">
        <f>IF(ISBLANK('Data Entry'!$l$488), "", 'Data Entry'!$l$488)</f>
      </c>
      <c r="AS488">
        <f>IF(ISBLANK('Data Entry'!$m$488), "", 'Data Entry'!$m$488)</f>
      </c>
      <c r="AT488">
        <f>IF(ISBLANK('Data Entry'!$n$488), "", 'Data Entry'!$n$488)</f>
      </c>
      <c r="AU488">
        <f>IF(ISBLANK('Data Entry'!$o$488), "", 'Data Entry'!$o$488)</f>
      </c>
      <c r="AV488">
        <f>IF(ISBLANK('Data Entry'!$p$488), "", 'Data Entry'!$p$488)</f>
      </c>
      <c r="AW488">
        <f>IF(ISBLANK('Data Entry'!$q$488), "", 'Data Entry'!$q$488)</f>
      </c>
      <c r="AX488">
        <f>IF(ISBLANK('Data Entry'!$r$488), "", 'Data Entry'!$r$488)</f>
      </c>
      <c r="AY488">
        <f>IF(ISBLANK('Data Entry'!$s$488), "", 'Data Entry'!$s$488)</f>
      </c>
      <c r="AZ488">
        <f>IF(ISBLANK('Data Entry'!$t$488), "", 'Data Entry'!$t$488)</f>
      </c>
      <c r="BA488">
        <f>IF(ISBLANK('Data Entry'!$u$488), "", 'Data Entry'!$u$488)</f>
      </c>
      <c r="BB488">
        <f>IF(ISBLANK('Data Entry'!$v$488), "", 'Data Entry'!$v$488)</f>
      </c>
      <c r="BC488">
        <f>IF(ISBLANK('Data Entry'!$w$488), "", 'Data Entry'!$w$488)</f>
      </c>
      <c r="BD488">
        <f>IF(ISBLANK('Data Entry'!$x$488), "", 'Data Entry'!$x$488)</f>
      </c>
      <c r="BE488">
        <f>IF(ISBLANK('Data Entry'!$y$488), "", 'Data Entry'!$y$488)</f>
      </c>
      <c r="BF488">
        <f>IF(ISBLANK('Data Entry'!$z$488), "", 'Data Entry'!$z$488)</f>
      </c>
      <c r="BG488">
        <f>IF(ISBLANK('Data Entry'!${$488), "", 'Data Entry'!${$488)</f>
      </c>
      <c r="BH488">
        <f>IF(ISBLANK('Data Entry'!$|$488), "", 'Data Entry'!$|$488)</f>
      </c>
      <c r="BI488">
        <f>IF(ISBLANK('Data Entry'!$}$488), "", 'Data Entry'!$}$488)</f>
      </c>
      <c r="BJ488">
        <f>IF(ISBLANK('Data Entry'!$~$488), "", 'Data Entry'!$~$488)</f>
      </c>
      <c r="BK488">
        <f>IF(ISBLANK('Data Entry'!$$488), "", 'Data Entry'!$$488)</f>
      </c>
      <c r="BL488">
        <f>IF(ISBLANK('Data Entry'!$$488), "", 'Data Entry'!$$488)</f>
      </c>
      <c r="BM488">
        <f>IF(ISBLANK('Data Entry'!$$488), "", 'Data Entry'!$$488)</f>
      </c>
      <c r="BN488">
        <f>IF(ISBLANK('Data Entry'!$$488), "", 'Data Entry'!$$488)</f>
      </c>
      <c r="BO488">
        <f>IF(ISBLANK('Data Entry'!$$488), "", 'Data Entry'!$$488)</f>
      </c>
      <c r="BP488">
        <f>IF(ISBLANK('Data Entry'!$$488), "", 'Data Entry'!$$488)</f>
      </c>
      <c r="BQ488">
        <f>IF(ISBLANK('Data Entry'!$$488), "", 'Data Entry'!$$488)</f>
      </c>
      <c r="BR488">
        <f>IF(ISBLANK('Data Entry'!$$488), "", 'Data Entry'!$$488)</f>
      </c>
      <c r="BS488">
        <f>IF(ISBLANK('Data Entry'!$$488), "", 'Data Entry'!$$488)</f>
      </c>
      <c r="BT488">
        <f>IF(ISBLANK('Data Entry'!$$488), "", 'Data Entry'!$$488)</f>
      </c>
      <c r="BU488">
        <f>IF(ISBLANK('Data Entry'!$$488), "", 'Data Entry'!$$488)</f>
      </c>
      <c r="BV488">
        <f>IF(ISBLANK('Data Entry'!$$488), "", 'Data Entry'!$$488)</f>
      </c>
      <c r="BW488">
        <f>IF(ISBLANK('Data Entry'!$$488), "", 'Data Entry'!$$488)</f>
      </c>
      <c r="BX488">
        <f>IF(ISBLANK('Data Entry'!$$488), "", 'Data Entry'!$$488)</f>
      </c>
      <c r="BY488">
        <f>IF(ISBLANK('Data Entry'!$$488), "", 'Data Entry'!$$488)</f>
      </c>
      <c r="BZ488">
        <f>IF(ISBLANK('Data Entry'!$$488), "", 'Data Entry'!$$488)</f>
      </c>
      <c r="CA488">
        <f>IF(ISBLANK('Data Entry'!$$488), "", 'Data Entry'!$$488)</f>
      </c>
      <c r="CB488">
        <f>IF(ISBLANK('Data Entry'!$$488), "", 'Data Entry'!$$488)</f>
      </c>
      <c r="CC488">
        <f>IF(ISBLANK('Data Entry'!$$488), "", 'Data Entry'!$$488)</f>
      </c>
      <c r="CD488">
        <f>IF(ISBLANK('Data Entry'!$$488), "", 'Data Entry'!$$488)</f>
      </c>
      <c r="CE488">
        <f>IF(ISBLANK('Data Entry'!$$488), "", 'Data Entry'!$$488)</f>
      </c>
      <c r="CF488">
        <f>IF(ISBLANK('Data Entry'!$$488), "", 'Data Entry'!$$488)</f>
      </c>
      <c r="CG488">
        <f>IF(ISBLANK('Data Entry'!$$488), "", 'Data Entry'!$$488)</f>
      </c>
      <c r="CH488">
        <f>IF(ISBLANK('Data Entry'!$$488), "", 'Data Entry'!$$488)</f>
      </c>
      <c r="CI488">
        <f>IF(ISBLANK('Data Entry'!$$488), "", 'Data Entry'!$$488)</f>
      </c>
      <c r="CJ488">
        <f>IF(ISBLANK('Data Entry'!$$488), "", 'Data Entry'!$$488)</f>
      </c>
      <c r="CK488">
        <f>IF(ISBLANK('Data Entry'!$$488), "", 'Data Entry'!$$488)</f>
      </c>
      <c r="CL488">
        <f>IF(ISBLANK('Data Entry'!$$488), "", 'Data Entry'!$$488)</f>
      </c>
      <c r="CM488">
        <f>IF(ISBLANK('Data Entry'!$$488), "", 'Data Entry'!$$488)</f>
      </c>
      <c r="CN488">
        <f>IF(ISBLANK('Data Entry'!$$488), "", 'Data Entry'!$$488)</f>
      </c>
      <c r="CO488">
        <f>IF(ISBLANK('Data Entry'!$$488), "", 'Data Entry'!$$488)</f>
      </c>
      <c r="CP488">
        <f>IF(ISBLANK('Data Entry'!$$488), "", 'Data Entry'!$$488)</f>
      </c>
      <c r="CQ488">
        <f>IF(ISBLANK('Data Entry'!$$488), "", 'Data Entry'!$$488)</f>
      </c>
      <c r="CR488">
        <f>IF(ISBLANK('Data Entry'!$ $488), "", 'Data Entry'!$ $488)</f>
      </c>
      <c r="CS488">
        <f>IF(ISBLANK('Data Entry'!$¡$488), "", 'Data Entry'!$¡$488)</f>
      </c>
      <c r="CT488">
        <f>IF(ISBLANK('Data Entry'!$¢$488), "", 'Data Entry'!$¢$488)</f>
      </c>
      <c r="CU488">
        <f>IF(ISBLANK('Data Entry'!$£$488), "", 'Data Entry'!$£$488)</f>
      </c>
      <c r="CV488">
        <f>IF(ISBLANK('Data Entry'!$¤$488), "", 'Data Entry'!$¤$488)</f>
      </c>
      <c r="CW488">
        <f>IF(ISBLANK('Data Entry'!$¥$488), "", 'Data Entry'!$¥$488)</f>
      </c>
      <c r="CX488">
        <f>IF(ISBLANK('Data Entry'!$¦$488), "", 'Data Entry'!$¦$488)</f>
      </c>
      <c r="CY488">
        <f>IF(ISBLANK('Data Entry'!$§$488), "", 'Data Entry'!$§$488)</f>
      </c>
      <c r="CZ488">
        <f>IF(ISBLANK('Data Entry'!$¨$488), "", 'Data Entry'!$¨$488)</f>
      </c>
      <c r="DA488">
        <f>IF(ISBLANK('Data Entry'!$©$488), "", 'Data Entry'!$©$488)</f>
      </c>
      <c r="DB488">
        <f>IF(ISBLANK('Data Entry'!$ª$488), "", 'Data Entry'!$ª$488)</f>
      </c>
      <c r="DC488">
        <f>IF(ISBLANK('Data Entry'!$«$488), "", 'Data Entry'!$«$488)</f>
      </c>
      <c r="DD488">
        <f>IF(ISBLANK('Data Entry'!$¬$488), "", 'Data Entry'!$¬$488)</f>
      </c>
      <c r="DE488">
        <f>IF(ISBLANK('Data Entry'!$­$488), "", 'Data Entry'!$­$488)</f>
      </c>
      <c r="DF488">
        <f>IF(ISBLANK('Data Entry'!$®$488), "", 'Data Entry'!$®$488)</f>
      </c>
      <c r="DG488">
        <f>IF(ISBLANK('Data Entry'!$¯$488), "", 'Data Entry'!$¯$488)</f>
      </c>
      <c r="DH488">
        <f>IF(ISBLANK('Data Entry'!$°$488), "", 'Data Entry'!$°$488)</f>
      </c>
      <c r="DI488">
        <f>IF(ISBLANK('Data Entry'!$±$488), "", 'Data Entry'!$±$488)</f>
      </c>
      <c r="DJ488">
        <f>IF(ISBLANK('Data Entry'!$²$488), "", 'Data Entry'!$²$488)</f>
      </c>
      <c r="DK488">
        <f>IF(ISBLANK('Data Entry'!$³$488), "", 'Data Entry'!$³$488)</f>
      </c>
      <c r="DL488">
        <f>IF(ISBLANK('Data Entry'!$´$488), "", 'Data Entry'!$´$488)</f>
      </c>
      <c r="DM488">
        <f>IF(ISBLANK('Data Entry'!$µ$488), "", 'Data Entry'!$µ$488)</f>
      </c>
      <c r="DN488">
        <f>IF(ISBLANK('Data Entry'!$¶$488), "", 'Data Entry'!$¶$488)</f>
      </c>
      <c r="DO488">
        <f>IF(ISBLANK('Data Entry'!$·$488), "", 'Data Entry'!$·$488)</f>
      </c>
      <c r="DP488">
        <f>IF(ISBLANK('Data Entry'!$¸$488), "", 'Data Entry'!$¸$488)</f>
      </c>
      <c r="DQ488">
        <f>IF(ISBLANK('Data Entry'!$¹$488), "", 'Data Entry'!$¹$488)</f>
      </c>
      <c r="DR488">
        <f>IF(ISBLANK('Data Entry'!$º$488), "", 'Data Entry'!$º$488)</f>
      </c>
      <c r="DS488">
        <f>IF(ISBLANK('Data Entry'!$»$488), "", 'Data Entry'!$»$488)</f>
      </c>
      <c r="DT488">
        <f>IF(ISBLANK('Data Entry'!$¼$488), "", 'Data Entry'!$¼$488)</f>
      </c>
      <c r="DU488">
        <f>IF(ISBLANK('Data Entry'!$½$488), "", 'Data Entry'!$½$488)</f>
      </c>
      <c r="DV488">
        <f>IF(ISBLANK('Data Entry'!$¾$488), "", 'Data Entry'!$¾$488)</f>
      </c>
      <c r="DW488">
        <f>IF(ISBLANK('Data Entry'!$¿$488), "", 'Data Entry'!$¿$488)</f>
      </c>
      <c r="DX488">
        <f>IF(ISBLANK('Data Entry'!$À$488), "", 'Data Entry'!$À$488)</f>
      </c>
      <c r="DY488">
        <f>IF(ISBLANK('Data Entry'!$Á$488), "", 'Data Entry'!$Á$488)</f>
      </c>
      <c r="DZ488">
        <f>IF(ISBLANK('Data Entry'!$Â$488), "", 'Data Entry'!$Â$488)</f>
      </c>
      <c r="EA488">
        <f>IF(ISBLANK('Data Entry'!$Ã$488), "", 'Data Entry'!$Ã$488)</f>
      </c>
      <c r="EB488">
        <f>IF(ISBLANK('Data Entry'!$Ä$488), "", 'Data Entry'!$Ä$488)</f>
      </c>
      <c r="EC488">
        <f>IF(ISBLANK('Data Entry'!$Å$488), "", 'Data Entry'!$Å$488)</f>
      </c>
      <c r="ED488">
        <f>IF(ISBLANK('Data Entry'!$Æ$488), "", 'Data Entry'!$Æ$488)</f>
      </c>
      <c r="EE488">
        <f>IF(ISBLANK('Data Entry'!$Ç$488), "", 'Data Entry'!$Ç$488)</f>
      </c>
      <c r="EF488">
        <f>IF(ISBLANK('Data Entry'!$È$488), "", 'Data Entry'!$È$488)</f>
      </c>
      <c r="EG488">
        <f>IF(ISBLANK('Data Entry'!$É$488), "", 'Data Entry'!$É$488)</f>
      </c>
      <c r="EH488">
        <f>IF(ISBLANK('Data Entry'!$Ê$488), "", 'Data Entry'!$Ê$488)</f>
      </c>
      <c r="EI488">
        <f>IF(ISBLANK('Data Entry'!$Ë$488), "", 'Data Entry'!$Ë$488)</f>
      </c>
      <c r="EJ488">
        <f>IF(ISBLANK('Data Entry'!$Ì$488), "", 'Data Entry'!$Ì$488)</f>
      </c>
      <c r="EK488">
        <f>IF(ISBLANK('Data Entry'!$Í$488), "", 'Data Entry'!$Í$488)</f>
      </c>
      <c r="EL488">
        <f>IF(ISBLANK('Data Entry'!$Î$488), "", 'Data Entry'!$Î$488)</f>
      </c>
      <c r="EM488">
        <f>IF(ISBLANK('Data Entry'!$Ï$488), "", 'Data Entry'!$Ï$488)</f>
      </c>
      <c r="EN488">
        <f>IF(ISBLANK('Data Entry'!$Ð$488), "", 'Data Entry'!$Ð$488)</f>
      </c>
      <c r="EO488">
        <f>IF(ISBLANK('Data Entry'!$Ñ$488), "", 'Data Entry'!$Ñ$488)</f>
      </c>
      <c r="EP488">
        <f>IF(ISBLANK('Data Entry'!$Ò$488), "", 'Data Entry'!$Ò$488)</f>
      </c>
      <c r="EQ488">
        <f>IF(ISBLANK('Data Entry'!$Ó$488), "", 'Data Entry'!$Ó$488)</f>
      </c>
      <c r="ER488">
        <f>IF(ISBLANK('Data Entry'!$Ô$488), "", 'Data Entry'!$Ô$488)</f>
      </c>
      <c r="ES488">
        <f>IF(ISBLANK('Data Entry'!$Õ$488), "", 'Data Entry'!$Õ$488)</f>
      </c>
      <c r="ET488">
        <f>IF(ISBLANK('Data Entry'!$Ö$488), "", 'Data Entry'!$Ö$488)</f>
      </c>
      <c r="EU488">
        <f>IF(ISBLANK('Data Entry'!$×$488), "", 'Data Entry'!$×$488)</f>
      </c>
      <c r="EV488">
        <f>IF(ISBLANK('Data Entry'!$Ø$488), "", 'Data Entry'!$Ø$488)</f>
      </c>
      <c r="EW488">
        <f>IF(ISBLANK('Data Entry'!$Ù$488), "", 'Data Entry'!$Ù$488)</f>
      </c>
      <c r="EX488">
        <f>IF(ISBLANK('Data Entry'!$Ú$488), "", 'Data Entry'!$Ú$488)</f>
      </c>
      <c r="EY488">
        <f>IF(ISBLANK('Data Entry'!$Û$488), "", 'Data Entry'!$Û$488)</f>
      </c>
      <c r="EZ488">
        <f>IF(ISBLANK('Data Entry'!$Ü$488), "", 'Data Entry'!$Ü$488)</f>
      </c>
      <c r="FA488">
        <f>IF(ISBLANK('Data Entry'!$Ý$488), "", 'Data Entry'!$Ý$488)</f>
      </c>
      <c r="FB488">
        <f>IF(ISBLANK('Data Entry'!$Þ$488), "", 'Data Entry'!$Þ$488)</f>
      </c>
      <c r="FC488">
        <f>IF(ISBLANK('Data Entry'!$ß$488), "", 'Data Entry'!$ß$488)</f>
      </c>
      <c r="FD488">
        <f>IF(ISBLANK('Data Entry'!$à$488), "", 'Data Entry'!$à$488)</f>
      </c>
      <c r="FE488">
        <f>IF(ISBLANK('Data Entry'!$á$488), "", 'Data Entry'!$á$488)</f>
      </c>
      <c r="FF488">
        <f>IF(ISBLANK('Data Entry'!$â$488), "", 'Data Entry'!$â$488)</f>
      </c>
      <c r="FG488">
        <f>IF(ISBLANK('Data Entry'!$ã$488), "", 'Data Entry'!$ã$488)</f>
      </c>
      <c r="FH488">
        <f>IF(ISBLANK('Data Entry'!$ä$488), "", 'Data Entry'!$ä$488)</f>
      </c>
      <c r="FI488">
        <f>IF(ISBLANK('Data Entry'!$å$488), "", 'Data Entry'!$å$488)</f>
      </c>
      <c r="FJ488">
        <f>IF(ISBLANK('Data Entry'!$æ$488), "", 'Data Entry'!$æ$488)</f>
      </c>
      <c r="FK488">
        <f>IF(ISBLANK('Data Entry'!$ç$488), "", 'Data Entry'!$ç$488)</f>
      </c>
      <c r="FL488">
        <f>IF(ISBLANK('Data Entry'!$è$488), "", 'Data Entry'!$è$488)</f>
      </c>
      <c r="FM488">
        <f>IF(ISBLANK('Data Entry'!$é$488), "", 'Data Entry'!$é$488)</f>
      </c>
      <c r="FN488">
        <f>IF(ISBLANK('Data Entry'!$ê$488), "", 'Data Entry'!$ê$488)</f>
      </c>
      <c r="FO488">
        <f>IF(ISBLANK('Data Entry'!$ë$488), "", 'Data Entry'!$ë$488)</f>
      </c>
      <c r="FP488">
        <f>IF(ISBLANK('Data Entry'!$ì$488), "", 'Data Entry'!$ì$488)</f>
      </c>
      <c r="FQ488">
        <f>IF(ISBLANK('Data Entry'!$í$488), "", 'Data Entry'!$í$488)</f>
      </c>
      <c r="FR488">
        <f>IF(ISBLANK('Data Entry'!$î$488), "", 'Data Entry'!$î$488)</f>
      </c>
      <c r="FS488">
        <f>IF(ISBLANK('Data Entry'!$ï$488), "", 'Data Entry'!$ï$488)</f>
      </c>
      <c r="FT488">
        <f>IF(ISBLANK('Data Entry'!$ð$488), "", 'Data Entry'!$ð$488)</f>
      </c>
      <c r="FU488">
        <f>IF(ISBLANK('Data Entry'!$ñ$488), "", 'Data Entry'!$ñ$488)</f>
      </c>
      <c r="FV488">
        <f>IF(ISBLANK('Data Entry'!$ò$488), "", 'Data Entry'!$ò$488)</f>
      </c>
      <c r="FW488">
        <f>IF(ISBLANK('Data Entry'!$ó$488), "", 'Data Entry'!$ó$488)</f>
      </c>
      <c r="FX488">
        <f>IF(ISBLANK('Data Entry'!$ô$488), "", 'Data Entry'!$ô$488)</f>
      </c>
      <c r="FY488">
        <f>IF(ISBLANK('Data Entry'!$õ$488), "", 'Data Entry'!$õ$488)</f>
      </c>
      <c r="FZ488">
        <f>IF(ISBLANK('Data Entry'!$ö$488), "", 'Data Entry'!$ö$488)</f>
      </c>
      <c r="GA488">
        <f>IF(ISBLANK('Data Entry'!$÷$488), "", 'Data Entry'!$÷$488)</f>
      </c>
      <c r="GB488">
        <f>IF(ISBLANK('Data Entry'!$ø$488), "", 'Data Entry'!$ø$488)</f>
      </c>
      <c r="GC488">
        <f>IF(ISBLANK('Data Entry'!$ù$488), "", 'Data Entry'!$ù$488)</f>
      </c>
      <c r="GD488">
        <f>IF(ISBLANK('Data Entry'!$ú$488), "", 'Data Entry'!$ú$488)</f>
      </c>
      <c r="GE488">
        <f>IF(ISBLANK('Data Entry'!$û$488), "", 'Data Entry'!$û$488)</f>
      </c>
      <c r="GF488">
        <f>IF(ISBLANK('Data Entry'!$ü$488), "", 'Data Entry'!$ü$488)</f>
      </c>
      <c r="GG488">
        <f>IF(ISBLANK('Data Entry'!$ý$488), "", 'Data Entry'!$ý$488)</f>
      </c>
      <c r="GH488">
        <f>IF(ISBLANK('Data Entry'!$þ$488), "", 'Data Entry'!$þ$488)</f>
      </c>
      <c r="GI488">
        <f>IF(ISBLANK('Data Entry'!$ÿ$488), "", 'Data Entry'!$ÿ$488)</f>
      </c>
      <c r="GJ488">
        <f>IF(ISBLANK('Data Entry'!$Ā$488), "", 'Data Entry'!$Ā$488)</f>
      </c>
      <c r="GK488">
        <f>IF(ISBLANK('Data Entry'!$ā$488), "", 'Data Entry'!$ā$488)</f>
      </c>
      <c r="GL488">
        <f>IF(ISBLANK('Data Entry'!$Ă$488), "", 'Data Entry'!$Ă$488)</f>
      </c>
      <c r="GM488">
        <f>IF(ISBLANK('Data Entry'!$ă$488), "", 'Data Entry'!$ă$488)</f>
      </c>
      <c r="GN488">
        <f>IF(ISBLANK('Data Entry'!$Ą$488), "", 'Data Entry'!$Ą$488)</f>
      </c>
      <c r="GO488">
        <f>IF(ISBLANK('Data Entry'!$ą$488), "", 'Data Entry'!$ą$488)</f>
      </c>
      <c r="GP488">
        <f>IF(ISBLANK('Data Entry'!$Ć$488), "", 'Data Entry'!$Ć$488)</f>
      </c>
      <c r="GQ488">
        <f>IF(ISBLANK('Data Entry'!$ć$488), "", 'Data Entry'!$ć$488)</f>
      </c>
      <c r="GR488">
        <f>IF(ISBLANK('Data Entry'!$Ĉ$488), "", 'Data Entry'!$Ĉ$488)</f>
      </c>
      <c r="GS488">
        <f>IF(ISBLANK('Data Entry'!$ĉ$488), "", 'Data Entry'!$ĉ$488)</f>
      </c>
      <c r="GT488">
        <f>IF(ISBLANK('Data Entry'!$Ċ$488), "", 'Data Entry'!$Ċ$488)</f>
      </c>
      <c r="GU488">
        <f>IF(ISBLANK('Data Entry'!$ċ$488), "", 'Data Entry'!$ċ$488)</f>
      </c>
      <c r="GV488">
        <f>IF(ISBLANK('Data Entry'!$Č$488), "", 'Data Entry'!$Č$488)</f>
      </c>
      <c r="GW488">
        <f>IF(ISBLANK('Data Entry'!$č$488), "", 'Data Entry'!$č$488)</f>
      </c>
      <c r="GX488">
        <f>IF(ISBLANK('Data Entry'!$Ď$488), "", 'Data Entry'!$Ď$488)</f>
      </c>
      <c r="GY488">
        <f>IF(ISBLANK('Data Entry'!$ď$488), "", 'Data Entry'!$ď$488)</f>
      </c>
      <c r="GZ488">
        <f>IF(ISBLANK('Data Entry'!$Đ$488), "", 'Data Entry'!$Đ$488)</f>
      </c>
      <c r="HA488">
        <f>IF(ISBLANK('Data Entry'!$đ$488), "", 'Data Entry'!$đ$488)</f>
      </c>
      <c r="HB488">
        <f>IF(ISBLANK('Data Entry'!$Ē$488), "", 'Data Entry'!$Ē$488)</f>
      </c>
      <c r="HC488">
        <f>IF(ISBLANK('Data Entry'!$ē$488), "", 'Data Entry'!$ē$488)</f>
      </c>
      <c r="HD488">
        <f>IF(ISBLANK('Data Entry'!$Ĕ$488), "", 'Data Entry'!$Ĕ$488)</f>
      </c>
      <c r="HE488">
        <f>IF(ISBLANK('Data Entry'!$ĕ$488), "", 'Data Entry'!$ĕ$488)</f>
      </c>
      <c r="HF488">
        <f>IF(ISBLANK('Data Entry'!$Ė$488), "", 'Data Entry'!$Ė$488)</f>
      </c>
      <c r="HG488">
        <f>IF(ISBLANK('Data Entry'!$ė$488), "", 'Data Entry'!$ė$488)</f>
      </c>
      <c r="HH488">
        <f>IF(ISBLANK('Data Entry'!$Ę$488), "", 'Data Entry'!$Ę$488)</f>
      </c>
      <c r="HI488">
        <f>IF(ISBLANK('Data Entry'!$ę$488), "", 'Data Entry'!$ę$488)</f>
      </c>
      <c r="HJ488">
        <f>IF(ISBLANK('Data Entry'!$Ě$488), "", 'Data Entry'!$Ě$488)</f>
      </c>
      <c r="HK488">
        <f>IF(ISBLANK('Data Entry'!$ě$488), "", 'Data Entry'!$ě$488)</f>
      </c>
      <c r="HL488">
        <f>IF(ISBLANK('Data Entry'!$Ĝ$488), "", 'Data Entry'!$Ĝ$488)</f>
      </c>
      <c r="HM488">
        <f>IF(ISBLANK('Data Entry'!$ĝ$488), "", 'Data Entry'!$ĝ$488)</f>
      </c>
      <c r="HN488">
        <f>IF(ISBLANK('Data Entry'!$Ğ$488), "", 'Data Entry'!$Ğ$488)</f>
      </c>
      <c r="HO488">
        <f>IF(ISBLANK('Data Entry'!$ğ$488), "", 'Data Entry'!$ğ$488)</f>
      </c>
      <c r="HP488">
        <f>IF(ISBLANK('Data Entry'!$Ġ$488), "", 'Data Entry'!$Ġ$488)</f>
      </c>
      <c r="HQ488">
        <f>IF(ISBLANK('Data Entry'!$ġ$488), "", 'Data Entry'!$ġ$488)</f>
      </c>
      <c r="HR488">
        <f>IF(ISBLANK('Data Entry'!$Ģ$488), "", 'Data Entry'!$Ģ$488)</f>
      </c>
      <c r="HS488">
        <f>IF(ISBLANK('Data Entry'!$ģ$488), "", 'Data Entry'!$ģ$488)</f>
      </c>
      <c r="HT488">
        <f>IF(ISBLANK('Data Entry'!$Ĥ$488), "", 'Data Entry'!$Ĥ$488)</f>
      </c>
      <c r="HU488">
        <f>IF(ISBLANK('Data Entry'!$ĥ$488), "", 'Data Entry'!$ĥ$488)</f>
      </c>
      <c r="HV488">
        <f>IF(ISBLANK('Data Entry'!$Ħ$488), "", 'Data Entry'!$Ħ$488)</f>
      </c>
      <c r="HW488">
        <f>IF(ISBLANK('Data Entry'!$ħ$488), "", 'Data Entry'!$ħ$488)</f>
      </c>
      <c r="HX488">
        <f>IF(ISBLANK('Data Entry'!$Ĩ$488), "", 'Data Entry'!$Ĩ$488)</f>
      </c>
      <c r="HY488">
        <f>IF(ISBLANK('Data Entry'!$ĩ$488), "", 'Data Entry'!$ĩ$488)</f>
      </c>
      <c r="HZ488">
        <f>IF(ISBLANK('Data Entry'!$Ī$488), "", 'Data Entry'!$Ī$488)</f>
      </c>
      <c r="IA488">
        <f>IF(ISBLANK('Data Entry'!$ī$488), "", 'Data Entry'!$ī$488)</f>
      </c>
      <c r="IB488">
        <f>IF(ISBLANK('Data Entry'!$Ĭ$488), "", 'Data Entry'!$Ĭ$488)</f>
      </c>
      <c r="IC488">
        <f>IF(ISBLANK('Data Entry'!$ĭ$488), "", 'Data Entry'!$ĭ$488)</f>
      </c>
      <c r="ID488">
        <f>IF(ISBLANK('Data Entry'!$Į$488), "", 'Data Entry'!$Į$488)</f>
      </c>
      <c r="IE488">
        <f>IF(ISBLANK('Data Entry'!$į$488), "", 'Data Entry'!$į$488)</f>
      </c>
      <c r="IF488">
        <f>IF(ISBLANK('Data Entry'!$İ$488), "", 'Data Entry'!$İ$488)</f>
      </c>
      <c r="IG488">
        <f>IF(ISBLANK('Data Entry'!$ı$488), "", 'Data Entry'!$ı$488)</f>
      </c>
      <c r="IH488">
        <f>IF(ISBLANK('Data Entry'!$Ĳ$488), "", 'Data Entry'!$Ĳ$488)</f>
      </c>
      <c r="II488">
        <f>IF(ISBLANK('Data Entry'!$ĳ$488), "", 'Data Entry'!$ĳ$488)</f>
      </c>
      <c r="IJ488">
        <f>IF(ISBLANK('Data Entry'!$Ĵ$488), "", 'Data Entry'!$Ĵ$488)</f>
      </c>
      <c r="IK488">
        <f>IF(ISBLANK('Data Entry'!$ĵ$488), "", 'Data Entry'!$ĵ$488)</f>
      </c>
      <c r="IL488">
        <f>IF(ISBLANK('Data Entry'!$Ķ$488), "", 'Data Entry'!$Ķ$488)</f>
      </c>
      <c r="IM488">
        <f>IF(ISBLANK('Data Entry'!$ķ$488), "", 'Data Entry'!$ķ$488)</f>
      </c>
      <c r="IN488">
        <f>IF(ISBLANK('Data Entry'!$ĸ$488), "", 'Data Entry'!$ĸ$488)</f>
      </c>
      <c r="IO488">
        <f>IF(ISBLANK('Data Entry'!$Ĺ$488), "", 'Data Entry'!$Ĺ$488)</f>
      </c>
      <c r="IP488">
        <f>IF(ISBLANK('Data Entry'!$ĺ$488), "", 'Data Entry'!$ĺ$488)</f>
      </c>
      <c r="IQ488">
        <f>IF(ISBLANK('Data Entry'!$Ļ$488), "", 'Data Entry'!$Ļ$488)</f>
      </c>
      <c r="IR488">
        <f>IF(ISBLANK('Data Entry'!$ļ$488), "", 'Data Entry'!$ļ$488)</f>
      </c>
      <c r="IS488">
        <f>IF(ISBLANK('Data Entry'!$Ľ$488), "", 'Data Entry'!$Ľ$488)</f>
      </c>
      <c r="IT488">
        <f>IF(ISBLANK('Data Entry'!$ľ$488), "", 'Data Entry'!$ľ$488)</f>
      </c>
    </row>
    <row r="489" spans="1:254" x14ac:dyDescent="0.25">
      <c r="A489">
        <f>IF(ISBLANK('Data Entry'!$A$489), "", 'Data Entry'!$A$489)</f>
      </c>
      <c r="B489">
        <f>IF(ISBLANK('Data Entry'!$B$489), "", 'Data Entry'!$B$489)</f>
      </c>
      <c r="C489">
        <f>IF(ISBLANK('Data Entry'!$C$489), "", 'Data Entry'!$C$489)</f>
      </c>
      <c r="D489">
        <f>IF(ISBLANK('Data Entry'!$D$489), "", 'Data Entry'!$D$489)</f>
      </c>
      <c r="E489">
        <f>IF(ISBLANK('Data Entry'!$E$489), "", 'Data Entry'!$E$489)</f>
      </c>
      <c r="F489">
        <f>IF(ISBLANK('Data Entry'!$F$489), "", 'Data Entry'!$F$489)</f>
      </c>
      <c r="G489">
        <f>IF(ISBLANK('Data Entry'!$G$489), "", 'Data Entry'!$G$489)</f>
      </c>
      <c r="H489">
        <f>IF(ISBLANK('Data Entry'!$H$489), "", 'Data Entry'!$H$489)</f>
      </c>
      <c r="I489">
        <f>IF(ISBLANK('Data Entry'!$I$489), "", 'Data Entry'!$I$489)</f>
      </c>
      <c r="J489">
        <f>IF(ISBLANK('Data Entry'!$J$489), "", 'Data Entry'!$J$489)</f>
      </c>
      <c r="K489">
        <f>IF(ISBLANK('Data Entry'!$K$489), "", 'Data Entry'!$K$489)</f>
      </c>
      <c r="L489">
        <f>IF(ISBLANK('Data Entry'!$L$489), "", 'Data Entry'!$L$489)</f>
      </c>
      <c r="M489">
        <f>IF(ISBLANK('Data Entry'!$M$489), "", 'Data Entry'!$M$489)</f>
      </c>
      <c r="N489">
        <f>IF(ISBLANK('Data Entry'!$N$489), "", 'Data Entry'!$N$489)</f>
      </c>
      <c r="O489">
        <f>IF(ISBLANK('Data Entry'!$O$489), "", 'Data Entry'!$O$489)</f>
      </c>
      <c r="P489">
        <f>IF(ISBLANK('Data Entry'!$P$489), "", 'Data Entry'!$P$489)</f>
      </c>
      <c r="Q489">
        <f>IF(ISBLANK('Data Entry'!$Q$489), "", 'Data Entry'!$Q$489)</f>
      </c>
      <c r="R489">
        <f>IF(ISBLANK('Data Entry'!$R$489), "", 'Data Entry'!$R$489)</f>
      </c>
      <c r="S489">
        <f>IF(ISBLANK('Data Entry'!$S$489), "", 'Data Entry'!$S$489)</f>
      </c>
      <c r="T489">
        <f>IF(ISBLANK('Data Entry'!$T$489), "", 'Data Entry'!$T$489)</f>
      </c>
      <c r="U489">
        <f>IF(ISBLANK('Data Entry'!$U$489), "", 'Data Entry'!$U$489)</f>
      </c>
      <c r="V489">
        <f>IF(ISBLANK('Data Entry'!$V$489), "", 'Data Entry'!$V$489)</f>
      </c>
      <c r="W489">
        <f>IF(ISBLANK('Data Entry'!$W$489), "", 'Data Entry'!$W$489)</f>
      </c>
      <c r="X489">
        <f>IF(ISBLANK('Data Entry'!$X$489), "", 'Data Entry'!$X$489)</f>
      </c>
      <c r="Y489">
        <f>IF(ISBLANK('Data Entry'!$Y$489), "", 'Data Entry'!$Y$489)</f>
      </c>
      <c r="Z489">
        <f>IF(ISBLANK('Data Entry'!$Z$489), "", 'Data Entry'!$Z$489)</f>
      </c>
      <c r="AA489">
        <f>IF(ISBLANK('Data Entry'!$[$489), "", 'Data Entry'!$[$489)</f>
      </c>
      <c r="AB489">
        <f>IF(ISBLANK('Data Entry'!$\$489), "", 'Data Entry'!$\$489)</f>
      </c>
      <c r="AC489">
        <f>IF(ISBLANK('Data Entry'!$]$489), "", 'Data Entry'!$]$489)</f>
      </c>
      <c r="AD489">
        <f>IF(ISBLANK('Data Entry'!$^$489), "", 'Data Entry'!$^$489)</f>
      </c>
      <c r="AE489">
        <f>IF(ISBLANK('Data Entry'!$_$489), "", 'Data Entry'!$_$489)</f>
      </c>
      <c r="AF489">
        <f>IF(ISBLANK('Data Entry'!$`$489), "", 'Data Entry'!$`$489)</f>
      </c>
      <c r="AG489">
        <f>IF(ISBLANK('Data Entry'!$a$489), "", 'Data Entry'!$a$489)</f>
      </c>
      <c r="AH489">
        <f>IF(ISBLANK('Data Entry'!$b$489), "", 'Data Entry'!$b$489)</f>
      </c>
      <c r="AI489">
        <f>IF(ISBLANK('Data Entry'!$c$489), "", 'Data Entry'!$c$489)</f>
      </c>
      <c r="AJ489">
        <f>IF(ISBLANK('Data Entry'!$d$489), "", 'Data Entry'!$d$489)</f>
      </c>
      <c r="AK489">
        <f>IF(ISBLANK('Data Entry'!$e$489), "", 'Data Entry'!$e$489)</f>
      </c>
      <c r="AL489">
        <f>IF(ISBLANK('Data Entry'!$f$489), "", 'Data Entry'!$f$489)</f>
      </c>
      <c r="AM489">
        <f>IF(ISBLANK('Data Entry'!$g$489), "", 'Data Entry'!$g$489)</f>
      </c>
      <c r="AN489">
        <f>IF(ISBLANK('Data Entry'!$h$489), "", 'Data Entry'!$h$489)</f>
      </c>
      <c r="AO489">
        <f>IF(ISBLANK('Data Entry'!$i$489), "", 'Data Entry'!$i$489)</f>
      </c>
      <c r="AP489">
        <f>IF(ISBLANK('Data Entry'!$j$489), "", 'Data Entry'!$j$489)</f>
      </c>
      <c r="AQ489">
        <f>IF(ISBLANK('Data Entry'!$k$489), "", 'Data Entry'!$k$489)</f>
      </c>
      <c r="AR489">
        <f>IF(ISBLANK('Data Entry'!$l$489), "", 'Data Entry'!$l$489)</f>
      </c>
      <c r="AS489">
        <f>IF(ISBLANK('Data Entry'!$m$489), "", 'Data Entry'!$m$489)</f>
      </c>
      <c r="AT489">
        <f>IF(ISBLANK('Data Entry'!$n$489), "", 'Data Entry'!$n$489)</f>
      </c>
      <c r="AU489">
        <f>IF(ISBLANK('Data Entry'!$o$489), "", 'Data Entry'!$o$489)</f>
      </c>
      <c r="AV489">
        <f>IF(ISBLANK('Data Entry'!$p$489), "", 'Data Entry'!$p$489)</f>
      </c>
      <c r="AW489">
        <f>IF(ISBLANK('Data Entry'!$q$489), "", 'Data Entry'!$q$489)</f>
      </c>
      <c r="AX489">
        <f>IF(ISBLANK('Data Entry'!$r$489), "", 'Data Entry'!$r$489)</f>
      </c>
      <c r="AY489">
        <f>IF(ISBLANK('Data Entry'!$s$489), "", 'Data Entry'!$s$489)</f>
      </c>
      <c r="AZ489">
        <f>IF(ISBLANK('Data Entry'!$t$489), "", 'Data Entry'!$t$489)</f>
      </c>
      <c r="BA489">
        <f>IF(ISBLANK('Data Entry'!$u$489), "", 'Data Entry'!$u$489)</f>
      </c>
      <c r="BB489">
        <f>IF(ISBLANK('Data Entry'!$v$489), "", 'Data Entry'!$v$489)</f>
      </c>
      <c r="BC489">
        <f>IF(ISBLANK('Data Entry'!$w$489), "", 'Data Entry'!$w$489)</f>
      </c>
      <c r="BD489">
        <f>IF(ISBLANK('Data Entry'!$x$489), "", 'Data Entry'!$x$489)</f>
      </c>
      <c r="BE489">
        <f>IF(ISBLANK('Data Entry'!$y$489), "", 'Data Entry'!$y$489)</f>
      </c>
      <c r="BF489">
        <f>IF(ISBLANK('Data Entry'!$z$489), "", 'Data Entry'!$z$489)</f>
      </c>
      <c r="BG489">
        <f>IF(ISBLANK('Data Entry'!${$489), "", 'Data Entry'!${$489)</f>
      </c>
      <c r="BH489">
        <f>IF(ISBLANK('Data Entry'!$|$489), "", 'Data Entry'!$|$489)</f>
      </c>
      <c r="BI489">
        <f>IF(ISBLANK('Data Entry'!$}$489), "", 'Data Entry'!$}$489)</f>
      </c>
      <c r="BJ489">
        <f>IF(ISBLANK('Data Entry'!$~$489), "", 'Data Entry'!$~$489)</f>
      </c>
      <c r="BK489">
        <f>IF(ISBLANK('Data Entry'!$$489), "", 'Data Entry'!$$489)</f>
      </c>
      <c r="BL489">
        <f>IF(ISBLANK('Data Entry'!$$489), "", 'Data Entry'!$$489)</f>
      </c>
      <c r="BM489">
        <f>IF(ISBLANK('Data Entry'!$$489), "", 'Data Entry'!$$489)</f>
      </c>
      <c r="BN489">
        <f>IF(ISBLANK('Data Entry'!$$489), "", 'Data Entry'!$$489)</f>
      </c>
      <c r="BO489">
        <f>IF(ISBLANK('Data Entry'!$$489), "", 'Data Entry'!$$489)</f>
      </c>
      <c r="BP489">
        <f>IF(ISBLANK('Data Entry'!$$489), "", 'Data Entry'!$$489)</f>
      </c>
      <c r="BQ489">
        <f>IF(ISBLANK('Data Entry'!$$489), "", 'Data Entry'!$$489)</f>
      </c>
      <c r="BR489">
        <f>IF(ISBLANK('Data Entry'!$$489), "", 'Data Entry'!$$489)</f>
      </c>
      <c r="BS489">
        <f>IF(ISBLANK('Data Entry'!$$489), "", 'Data Entry'!$$489)</f>
      </c>
      <c r="BT489">
        <f>IF(ISBLANK('Data Entry'!$$489), "", 'Data Entry'!$$489)</f>
      </c>
      <c r="BU489">
        <f>IF(ISBLANK('Data Entry'!$$489), "", 'Data Entry'!$$489)</f>
      </c>
      <c r="BV489">
        <f>IF(ISBLANK('Data Entry'!$$489), "", 'Data Entry'!$$489)</f>
      </c>
      <c r="BW489">
        <f>IF(ISBLANK('Data Entry'!$$489), "", 'Data Entry'!$$489)</f>
      </c>
      <c r="BX489">
        <f>IF(ISBLANK('Data Entry'!$$489), "", 'Data Entry'!$$489)</f>
      </c>
      <c r="BY489">
        <f>IF(ISBLANK('Data Entry'!$$489), "", 'Data Entry'!$$489)</f>
      </c>
      <c r="BZ489">
        <f>IF(ISBLANK('Data Entry'!$$489), "", 'Data Entry'!$$489)</f>
      </c>
      <c r="CA489">
        <f>IF(ISBLANK('Data Entry'!$$489), "", 'Data Entry'!$$489)</f>
      </c>
      <c r="CB489">
        <f>IF(ISBLANK('Data Entry'!$$489), "", 'Data Entry'!$$489)</f>
      </c>
      <c r="CC489">
        <f>IF(ISBLANK('Data Entry'!$$489), "", 'Data Entry'!$$489)</f>
      </c>
      <c r="CD489">
        <f>IF(ISBLANK('Data Entry'!$$489), "", 'Data Entry'!$$489)</f>
      </c>
      <c r="CE489">
        <f>IF(ISBLANK('Data Entry'!$$489), "", 'Data Entry'!$$489)</f>
      </c>
      <c r="CF489">
        <f>IF(ISBLANK('Data Entry'!$$489), "", 'Data Entry'!$$489)</f>
      </c>
      <c r="CG489">
        <f>IF(ISBLANK('Data Entry'!$$489), "", 'Data Entry'!$$489)</f>
      </c>
      <c r="CH489">
        <f>IF(ISBLANK('Data Entry'!$$489), "", 'Data Entry'!$$489)</f>
      </c>
      <c r="CI489">
        <f>IF(ISBLANK('Data Entry'!$$489), "", 'Data Entry'!$$489)</f>
      </c>
      <c r="CJ489">
        <f>IF(ISBLANK('Data Entry'!$$489), "", 'Data Entry'!$$489)</f>
      </c>
      <c r="CK489">
        <f>IF(ISBLANK('Data Entry'!$$489), "", 'Data Entry'!$$489)</f>
      </c>
      <c r="CL489">
        <f>IF(ISBLANK('Data Entry'!$$489), "", 'Data Entry'!$$489)</f>
      </c>
      <c r="CM489">
        <f>IF(ISBLANK('Data Entry'!$$489), "", 'Data Entry'!$$489)</f>
      </c>
      <c r="CN489">
        <f>IF(ISBLANK('Data Entry'!$$489), "", 'Data Entry'!$$489)</f>
      </c>
      <c r="CO489">
        <f>IF(ISBLANK('Data Entry'!$$489), "", 'Data Entry'!$$489)</f>
      </c>
      <c r="CP489">
        <f>IF(ISBLANK('Data Entry'!$$489), "", 'Data Entry'!$$489)</f>
      </c>
      <c r="CQ489">
        <f>IF(ISBLANK('Data Entry'!$$489), "", 'Data Entry'!$$489)</f>
      </c>
      <c r="CR489">
        <f>IF(ISBLANK('Data Entry'!$ $489), "", 'Data Entry'!$ $489)</f>
      </c>
      <c r="CS489">
        <f>IF(ISBLANK('Data Entry'!$¡$489), "", 'Data Entry'!$¡$489)</f>
      </c>
      <c r="CT489">
        <f>IF(ISBLANK('Data Entry'!$¢$489), "", 'Data Entry'!$¢$489)</f>
      </c>
      <c r="CU489">
        <f>IF(ISBLANK('Data Entry'!$£$489), "", 'Data Entry'!$£$489)</f>
      </c>
      <c r="CV489">
        <f>IF(ISBLANK('Data Entry'!$¤$489), "", 'Data Entry'!$¤$489)</f>
      </c>
      <c r="CW489">
        <f>IF(ISBLANK('Data Entry'!$¥$489), "", 'Data Entry'!$¥$489)</f>
      </c>
      <c r="CX489">
        <f>IF(ISBLANK('Data Entry'!$¦$489), "", 'Data Entry'!$¦$489)</f>
      </c>
      <c r="CY489">
        <f>IF(ISBLANK('Data Entry'!$§$489), "", 'Data Entry'!$§$489)</f>
      </c>
      <c r="CZ489">
        <f>IF(ISBLANK('Data Entry'!$¨$489), "", 'Data Entry'!$¨$489)</f>
      </c>
      <c r="DA489">
        <f>IF(ISBLANK('Data Entry'!$©$489), "", 'Data Entry'!$©$489)</f>
      </c>
      <c r="DB489">
        <f>IF(ISBLANK('Data Entry'!$ª$489), "", 'Data Entry'!$ª$489)</f>
      </c>
      <c r="DC489">
        <f>IF(ISBLANK('Data Entry'!$«$489), "", 'Data Entry'!$«$489)</f>
      </c>
      <c r="DD489">
        <f>IF(ISBLANK('Data Entry'!$¬$489), "", 'Data Entry'!$¬$489)</f>
      </c>
      <c r="DE489">
        <f>IF(ISBLANK('Data Entry'!$­$489), "", 'Data Entry'!$­$489)</f>
      </c>
      <c r="DF489">
        <f>IF(ISBLANK('Data Entry'!$®$489), "", 'Data Entry'!$®$489)</f>
      </c>
      <c r="DG489">
        <f>IF(ISBLANK('Data Entry'!$¯$489), "", 'Data Entry'!$¯$489)</f>
      </c>
      <c r="DH489">
        <f>IF(ISBLANK('Data Entry'!$°$489), "", 'Data Entry'!$°$489)</f>
      </c>
      <c r="DI489">
        <f>IF(ISBLANK('Data Entry'!$±$489), "", 'Data Entry'!$±$489)</f>
      </c>
      <c r="DJ489">
        <f>IF(ISBLANK('Data Entry'!$²$489), "", 'Data Entry'!$²$489)</f>
      </c>
      <c r="DK489">
        <f>IF(ISBLANK('Data Entry'!$³$489), "", 'Data Entry'!$³$489)</f>
      </c>
      <c r="DL489">
        <f>IF(ISBLANK('Data Entry'!$´$489), "", 'Data Entry'!$´$489)</f>
      </c>
      <c r="DM489">
        <f>IF(ISBLANK('Data Entry'!$µ$489), "", 'Data Entry'!$µ$489)</f>
      </c>
      <c r="DN489">
        <f>IF(ISBLANK('Data Entry'!$¶$489), "", 'Data Entry'!$¶$489)</f>
      </c>
      <c r="DO489">
        <f>IF(ISBLANK('Data Entry'!$·$489), "", 'Data Entry'!$·$489)</f>
      </c>
      <c r="DP489">
        <f>IF(ISBLANK('Data Entry'!$¸$489), "", 'Data Entry'!$¸$489)</f>
      </c>
      <c r="DQ489">
        <f>IF(ISBLANK('Data Entry'!$¹$489), "", 'Data Entry'!$¹$489)</f>
      </c>
      <c r="DR489">
        <f>IF(ISBLANK('Data Entry'!$º$489), "", 'Data Entry'!$º$489)</f>
      </c>
      <c r="DS489">
        <f>IF(ISBLANK('Data Entry'!$»$489), "", 'Data Entry'!$»$489)</f>
      </c>
      <c r="DT489">
        <f>IF(ISBLANK('Data Entry'!$¼$489), "", 'Data Entry'!$¼$489)</f>
      </c>
      <c r="DU489">
        <f>IF(ISBLANK('Data Entry'!$½$489), "", 'Data Entry'!$½$489)</f>
      </c>
      <c r="DV489">
        <f>IF(ISBLANK('Data Entry'!$¾$489), "", 'Data Entry'!$¾$489)</f>
      </c>
      <c r="DW489">
        <f>IF(ISBLANK('Data Entry'!$¿$489), "", 'Data Entry'!$¿$489)</f>
      </c>
      <c r="DX489">
        <f>IF(ISBLANK('Data Entry'!$À$489), "", 'Data Entry'!$À$489)</f>
      </c>
      <c r="DY489">
        <f>IF(ISBLANK('Data Entry'!$Á$489), "", 'Data Entry'!$Á$489)</f>
      </c>
      <c r="DZ489">
        <f>IF(ISBLANK('Data Entry'!$Â$489), "", 'Data Entry'!$Â$489)</f>
      </c>
      <c r="EA489">
        <f>IF(ISBLANK('Data Entry'!$Ã$489), "", 'Data Entry'!$Ã$489)</f>
      </c>
      <c r="EB489">
        <f>IF(ISBLANK('Data Entry'!$Ä$489), "", 'Data Entry'!$Ä$489)</f>
      </c>
      <c r="EC489">
        <f>IF(ISBLANK('Data Entry'!$Å$489), "", 'Data Entry'!$Å$489)</f>
      </c>
      <c r="ED489">
        <f>IF(ISBLANK('Data Entry'!$Æ$489), "", 'Data Entry'!$Æ$489)</f>
      </c>
      <c r="EE489">
        <f>IF(ISBLANK('Data Entry'!$Ç$489), "", 'Data Entry'!$Ç$489)</f>
      </c>
      <c r="EF489">
        <f>IF(ISBLANK('Data Entry'!$È$489), "", 'Data Entry'!$È$489)</f>
      </c>
      <c r="EG489">
        <f>IF(ISBLANK('Data Entry'!$É$489), "", 'Data Entry'!$É$489)</f>
      </c>
      <c r="EH489">
        <f>IF(ISBLANK('Data Entry'!$Ê$489), "", 'Data Entry'!$Ê$489)</f>
      </c>
      <c r="EI489">
        <f>IF(ISBLANK('Data Entry'!$Ë$489), "", 'Data Entry'!$Ë$489)</f>
      </c>
      <c r="EJ489">
        <f>IF(ISBLANK('Data Entry'!$Ì$489), "", 'Data Entry'!$Ì$489)</f>
      </c>
      <c r="EK489">
        <f>IF(ISBLANK('Data Entry'!$Í$489), "", 'Data Entry'!$Í$489)</f>
      </c>
      <c r="EL489">
        <f>IF(ISBLANK('Data Entry'!$Î$489), "", 'Data Entry'!$Î$489)</f>
      </c>
      <c r="EM489">
        <f>IF(ISBLANK('Data Entry'!$Ï$489), "", 'Data Entry'!$Ï$489)</f>
      </c>
      <c r="EN489">
        <f>IF(ISBLANK('Data Entry'!$Ð$489), "", 'Data Entry'!$Ð$489)</f>
      </c>
      <c r="EO489">
        <f>IF(ISBLANK('Data Entry'!$Ñ$489), "", 'Data Entry'!$Ñ$489)</f>
      </c>
      <c r="EP489">
        <f>IF(ISBLANK('Data Entry'!$Ò$489), "", 'Data Entry'!$Ò$489)</f>
      </c>
      <c r="EQ489">
        <f>IF(ISBLANK('Data Entry'!$Ó$489), "", 'Data Entry'!$Ó$489)</f>
      </c>
      <c r="ER489">
        <f>IF(ISBLANK('Data Entry'!$Ô$489), "", 'Data Entry'!$Ô$489)</f>
      </c>
      <c r="ES489">
        <f>IF(ISBLANK('Data Entry'!$Õ$489), "", 'Data Entry'!$Õ$489)</f>
      </c>
      <c r="ET489">
        <f>IF(ISBLANK('Data Entry'!$Ö$489), "", 'Data Entry'!$Ö$489)</f>
      </c>
      <c r="EU489">
        <f>IF(ISBLANK('Data Entry'!$×$489), "", 'Data Entry'!$×$489)</f>
      </c>
      <c r="EV489">
        <f>IF(ISBLANK('Data Entry'!$Ø$489), "", 'Data Entry'!$Ø$489)</f>
      </c>
      <c r="EW489">
        <f>IF(ISBLANK('Data Entry'!$Ù$489), "", 'Data Entry'!$Ù$489)</f>
      </c>
      <c r="EX489">
        <f>IF(ISBLANK('Data Entry'!$Ú$489), "", 'Data Entry'!$Ú$489)</f>
      </c>
      <c r="EY489">
        <f>IF(ISBLANK('Data Entry'!$Û$489), "", 'Data Entry'!$Û$489)</f>
      </c>
      <c r="EZ489">
        <f>IF(ISBLANK('Data Entry'!$Ü$489), "", 'Data Entry'!$Ü$489)</f>
      </c>
      <c r="FA489">
        <f>IF(ISBLANK('Data Entry'!$Ý$489), "", 'Data Entry'!$Ý$489)</f>
      </c>
      <c r="FB489">
        <f>IF(ISBLANK('Data Entry'!$Þ$489), "", 'Data Entry'!$Þ$489)</f>
      </c>
      <c r="FC489">
        <f>IF(ISBLANK('Data Entry'!$ß$489), "", 'Data Entry'!$ß$489)</f>
      </c>
      <c r="FD489">
        <f>IF(ISBLANK('Data Entry'!$à$489), "", 'Data Entry'!$à$489)</f>
      </c>
      <c r="FE489">
        <f>IF(ISBLANK('Data Entry'!$á$489), "", 'Data Entry'!$á$489)</f>
      </c>
      <c r="FF489">
        <f>IF(ISBLANK('Data Entry'!$â$489), "", 'Data Entry'!$â$489)</f>
      </c>
      <c r="FG489">
        <f>IF(ISBLANK('Data Entry'!$ã$489), "", 'Data Entry'!$ã$489)</f>
      </c>
      <c r="FH489">
        <f>IF(ISBLANK('Data Entry'!$ä$489), "", 'Data Entry'!$ä$489)</f>
      </c>
      <c r="FI489">
        <f>IF(ISBLANK('Data Entry'!$å$489), "", 'Data Entry'!$å$489)</f>
      </c>
      <c r="FJ489">
        <f>IF(ISBLANK('Data Entry'!$æ$489), "", 'Data Entry'!$æ$489)</f>
      </c>
      <c r="FK489">
        <f>IF(ISBLANK('Data Entry'!$ç$489), "", 'Data Entry'!$ç$489)</f>
      </c>
      <c r="FL489">
        <f>IF(ISBLANK('Data Entry'!$è$489), "", 'Data Entry'!$è$489)</f>
      </c>
      <c r="FM489">
        <f>IF(ISBLANK('Data Entry'!$é$489), "", 'Data Entry'!$é$489)</f>
      </c>
      <c r="FN489">
        <f>IF(ISBLANK('Data Entry'!$ê$489), "", 'Data Entry'!$ê$489)</f>
      </c>
      <c r="FO489">
        <f>IF(ISBLANK('Data Entry'!$ë$489), "", 'Data Entry'!$ë$489)</f>
      </c>
      <c r="FP489">
        <f>IF(ISBLANK('Data Entry'!$ì$489), "", 'Data Entry'!$ì$489)</f>
      </c>
      <c r="FQ489">
        <f>IF(ISBLANK('Data Entry'!$í$489), "", 'Data Entry'!$í$489)</f>
      </c>
      <c r="FR489">
        <f>IF(ISBLANK('Data Entry'!$î$489), "", 'Data Entry'!$î$489)</f>
      </c>
      <c r="FS489">
        <f>IF(ISBLANK('Data Entry'!$ï$489), "", 'Data Entry'!$ï$489)</f>
      </c>
      <c r="FT489">
        <f>IF(ISBLANK('Data Entry'!$ð$489), "", 'Data Entry'!$ð$489)</f>
      </c>
      <c r="FU489">
        <f>IF(ISBLANK('Data Entry'!$ñ$489), "", 'Data Entry'!$ñ$489)</f>
      </c>
      <c r="FV489">
        <f>IF(ISBLANK('Data Entry'!$ò$489), "", 'Data Entry'!$ò$489)</f>
      </c>
      <c r="FW489">
        <f>IF(ISBLANK('Data Entry'!$ó$489), "", 'Data Entry'!$ó$489)</f>
      </c>
      <c r="FX489">
        <f>IF(ISBLANK('Data Entry'!$ô$489), "", 'Data Entry'!$ô$489)</f>
      </c>
      <c r="FY489">
        <f>IF(ISBLANK('Data Entry'!$õ$489), "", 'Data Entry'!$õ$489)</f>
      </c>
      <c r="FZ489">
        <f>IF(ISBLANK('Data Entry'!$ö$489), "", 'Data Entry'!$ö$489)</f>
      </c>
      <c r="GA489">
        <f>IF(ISBLANK('Data Entry'!$÷$489), "", 'Data Entry'!$÷$489)</f>
      </c>
      <c r="GB489">
        <f>IF(ISBLANK('Data Entry'!$ø$489), "", 'Data Entry'!$ø$489)</f>
      </c>
      <c r="GC489">
        <f>IF(ISBLANK('Data Entry'!$ù$489), "", 'Data Entry'!$ù$489)</f>
      </c>
      <c r="GD489">
        <f>IF(ISBLANK('Data Entry'!$ú$489), "", 'Data Entry'!$ú$489)</f>
      </c>
      <c r="GE489">
        <f>IF(ISBLANK('Data Entry'!$û$489), "", 'Data Entry'!$û$489)</f>
      </c>
      <c r="GF489">
        <f>IF(ISBLANK('Data Entry'!$ü$489), "", 'Data Entry'!$ü$489)</f>
      </c>
      <c r="GG489">
        <f>IF(ISBLANK('Data Entry'!$ý$489), "", 'Data Entry'!$ý$489)</f>
      </c>
      <c r="GH489">
        <f>IF(ISBLANK('Data Entry'!$þ$489), "", 'Data Entry'!$þ$489)</f>
      </c>
      <c r="GI489">
        <f>IF(ISBLANK('Data Entry'!$ÿ$489), "", 'Data Entry'!$ÿ$489)</f>
      </c>
      <c r="GJ489">
        <f>IF(ISBLANK('Data Entry'!$Ā$489), "", 'Data Entry'!$Ā$489)</f>
      </c>
      <c r="GK489">
        <f>IF(ISBLANK('Data Entry'!$ā$489), "", 'Data Entry'!$ā$489)</f>
      </c>
      <c r="GL489">
        <f>IF(ISBLANK('Data Entry'!$Ă$489), "", 'Data Entry'!$Ă$489)</f>
      </c>
      <c r="GM489">
        <f>IF(ISBLANK('Data Entry'!$ă$489), "", 'Data Entry'!$ă$489)</f>
      </c>
      <c r="GN489">
        <f>IF(ISBLANK('Data Entry'!$Ą$489), "", 'Data Entry'!$Ą$489)</f>
      </c>
      <c r="GO489">
        <f>IF(ISBLANK('Data Entry'!$ą$489), "", 'Data Entry'!$ą$489)</f>
      </c>
      <c r="GP489">
        <f>IF(ISBLANK('Data Entry'!$Ć$489), "", 'Data Entry'!$Ć$489)</f>
      </c>
      <c r="GQ489">
        <f>IF(ISBLANK('Data Entry'!$ć$489), "", 'Data Entry'!$ć$489)</f>
      </c>
      <c r="GR489">
        <f>IF(ISBLANK('Data Entry'!$Ĉ$489), "", 'Data Entry'!$Ĉ$489)</f>
      </c>
      <c r="GS489">
        <f>IF(ISBLANK('Data Entry'!$ĉ$489), "", 'Data Entry'!$ĉ$489)</f>
      </c>
      <c r="GT489">
        <f>IF(ISBLANK('Data Entry'!$Ċ$489), "", 'Data Entry'!$Ċ$489)</f>
      </c>
      <c r="GU489">
        <f>IF(ISBLANK('Data Entry'!$ċ$489), "", 'Data Entry'!$ċ$489)</f>
      </c>
      <c r="GV489">
        <f>IF(ISBLANK('Data Entry'!$Č$489), "", 'Data Entry'!$Č$489)</f>
      </c>
      <c r="GW489">
        <f>IF(ISBLANK('Data Entry'!$č$489), "", 'Data Entry'!$č$489)</f>
      </c>
      <c r="GX489">
        <f>IF(ISBLANK('Data Entry'!$Ď$489), "", 'Data Entry'!$Ď$489)</f>
      </c>
      <c r="GY489">
        <f>IF(ISBLANK('Data Entry'!$ď$489), "", 'Data Entry'!$ď$489)</f>
      </c>
      <c r="GZ489">
        <f>IF(ISBLANK('Data Entry'!$Đ$489), "", 'Data Entry'!$Đ$489)</f>
      </c>
      <c r="HA489">
        <f>IF(ISBLANK('Data Entry'!$đ$489), "", 'Data Entry'!$đ$489)</f>
      </c>
      <c r="HB489">
        <f>IF(ISBLANK('Data Entry'!$Ē$489), "", 'Data Entry'!$Ē$489)</f>
      </c>
      <c r="HC489">
        <f>IF(ISBLANK('Data Entry'!$ē$489), "", 'Data Entry'!$ē$489)</f>
      </c>
      <c r="HD489">
        <f>IF(ISBLANK('Data Entry'!$Ĕ$489), "", 'Data Entry'!$Ĕ$489)</f>
      </c>
      <c r="HE489">
        <f>IF(ISBLANK('Data Entry'!$ĕ$489), "", 'Data Entry'!$ĕ$489)</f>
      </c>
      <c r="HF489">
        <f>IF(ISBLANK('Data Entry'!$Ė$489), "", 'Data Entry'!$Ė$489)</f>
      </c>
      <c r="HG489">
        <f>IF(ISBLANK('Data Entry'!$ė$489), "", 'Data Entry'!$ė$489)</f>
      </c>
      <c r="HH489">
        <f>IF(ISBLANK('Data Entry'!$Ę$489), "", 'Data Entry'!$Ę$489)</f>
      </c>
      <c r="HI489">
        <f>IF(ISBLANK('Data Entry'!$ę$489), "", 'Data Entry'!$ę$489)</f>
      </c>
      <c r="HJ489">
        <f>IF(ISBLANK('Data Entry'!$Ě$489), "", 'Data Entry'!$Ě$489)</f>
      </c>
      <c r="HK489">
        <f>IF(ISBLANK('Data Entry'!$ě$489), "", 'Data Entry'!$ě$489)</f>
      </c>
      <c r="HL489">
        <f>IF(ISBLANK('Data Entry'!$Ĝ$489), "", 'Data Entry'!$Ĝ$489)</f>
      </c>
      <c r="HM489">
        <f>IF(ISBLANK('Data Entry'!$ĝ$489), "", 'Data Entry'!$ĝ$489)</f>
      </c>
      <c r="HN489">
        <f>IF(ISBLANK('Data Entry'!$Ğ$489), "", 'Data Entry'!$Ğ$489)</f>
      </c>
      <c r="HO489">
        <f>IF(ISBLANK('Data Entry'!$ğ$489), "", 'Data Entry'!$ğ$489)</f>
      </c>
      <c r="HP489">
        <f>IF(ISBLANK('Data Entry'!$Ġ$489), "", 'Data Entry'!$Ġ$489)</f>
      </c>
      <c r="HQ489">
        <f>IF(ISBLANK('Data Entry'!$ġ$489), "", 'Data Entry'!$ġ$489)</f>
      </c>
      <c r="HR489">
        <f>IF(ISBLANK('Data Entry'!$Ģ$489), "", 'Data Entry'!$Ģ$489)</f>
      </c>
      <c r="HS489">
        <f>IF(ISBLANK('Data Entry'!$ģ$489), "", 'Data Entry'!$ģ$489)</f>
      </c>
      <c r="HT489">
        <f>IF(ISBLANK('Data Entry'!$Ĥ$489), "", 'Data Entry'!$Ĥ$489)</f>
      </c>
      <c r="HU489">
        <f>IF(ISBLANK('Data Entry'!$ĥ$489), "", 'Data Entry'!$ĥ$489)</f>
      </c>
      <c r="HV489">
        <f>IF(ISBLANK('Data Entry'!$Ħ$489), "", 'Data Entry'!$Ħ$489)</f>
      </c>
      <c r="HW489">
        <f>IF(ISBLANK('Data Entry'!$ħ$489), "", 'Data Entry'!$ħ$489)</f>
      </c>
      <c r="HX489">
        <f>IF(ISBLANK('Data Entry'!$Ĩ$489), "", 'Data Entry'!$Ĩ$489)</f>
      </c>
      <c r="HY489">
        <f>IF(ISBLANK('Data Entry'!$ĩ$489), "", 'Data Entry'!$ĩ$489)</f>
      </c>
      <c r="HZ489">
        <f>IF(ISBLANK('Data Entry'!$Ī$489), "", 'Data Entry'!$Ī$489)</f>
      </c>
      <c r="IA489">
        <f>IF(ISBLANK('Data Entry'!$ī$489), "", 'Data Entry'!$ī$489)</f>
      </c>
      <c r="IB489">
        <f>IF(ISBLANK('Data Entry'!$Ĭ$489), "", 'Data Entry'!$Ĭ$489)</f>
      </c>
      <c r="IC489">
        <f>IF(ISBLANK('Data Entry'!$ĭ$489), "", 'Data Entry'!$ĭ$489)</f>
      </c>
      <c r="ID489">
        <f>IF(ISBLANK('Data Entry'!$Į$489), "", 'Data Entry'!$Į$489)</f>
      </c>
      <c r="IE489">
        <f>IF(ISBLANK('Data Entry'!$į$489), "", 'Data Entry'!$į$489)</f>
      </c>
      <c r="IF489">
        <f>IF(ISBLANK('Data Entry'!$İ$489), "", 'Data Entry'!$İ$489)</f>
      </c>
      <c r="IG489">
        <f>IF(ISBLANK('Data Entry'!$ı$489), "", 'Data Entry'!$ı$489)</f>
      </c>
      <c r="IH489">
        <f>IF(ISBLANK('Data Entry'!$Ĳ$489), "", 'Data Entry'!$Ĳ$489)</f>
      </c>
      <c r="II489">
        <f>IF(ISBLANK('Data Entry'!$ĳ$489), "", 'Data Entry'!$ĳ$489)</f>
      </c>
      <c r="IJ489">
        <f>IF(ISBLANK('Data Entry'!$Ĵ$489), "", 'Data Entry'!$Ĵ$489)</f>
      </c>
      <c r="IK489">
        <f>IF(ISBLANK('Data Entry'!$ĵ$489), "", 'Data Entry'!$ĵ$489)</f>
      </c>
      <c r="IL489">
        <f>IF(ISBLANK('Data Entry'!$Ķ$489), "", 'Data Entry'!$Ķ$489)</f>
      </c>
      <c r="IM489">
        <f>IF(ISBLANK('Data Entry'!$ķ$489), "", 'Data Entry'!$ķ$489)</f>
      </c>
      <c r="IN489">
        <f>IF(ISBLANK('Data Entry'!$ĸ$489), "", 'Data Entry'!$ĸ$489)</f>
      </c>
      <c r="IO489">
        <f>IF(ISBLANK('Data Entry'!$Ĺ$489), "", 'Data Entry'!$Ĺ$489)</f>
      </c>
      <c r="IP489">
        <f>IF(ISBLANK('Data Entry'!$ĺ$489), "", 'Data Entry'!$ĺ$489)</f>
      </c>
      <c r="IQ489">
        <f>IF(ISBLANK('Data Entry'!$Ļ$489), "", 'Data Entry'!$Ļ$489)</f>
      </c>
      <c r="IR489">
        <f>IF(ISBLANK('Data Entry'!$ļ$489), "", 'Data Entry'!$ļ$489)</f>
      </c>
      <c r="IS489">
        <f>IF(ISBLANK('Data Entry'!$Ľ$489), "", 'Data Entry'!$Ľ$489)</f>
      </c>
      <c r="IT489">
        <f>IF(ISBLANK('Data Entry'!$ľ$489), "", 'Data Entry'!$ľ$489)</f>
      </c>
    </row>
    <row r="490" spans="1:254" x14ac:dyDescent="0.25">
      <c r="A490">
        <f>IF(ISBLANK('Data Entry'!$A$490), "", 'Data Entry'!$A$490)</f>
      </c>
      <c r="B490">
        <f>IF(ISBLANK('Data Entry'!$B$490), "", 'Data Entry'!$B$490)</f>
      </c>
      <c r="C490">
        <f>IF(ISBLANK('Data Entry'!$C$490), "", 'Data Entry'!$C$490)</f>
      </c>
      <c r="D490">
        <f>IF(ISBLANK('Data Entry'!$D$490), "", 'Data Entry'!$D$490)</f>
      </c>
      <c r="E490">
        <f>IF(ISBLANK('Data Entry'!$E$490), "", 'Data Entry'!$E$490)</f>
      </c>
      <c r="F490">
        <f>IF(ISBLANK('Data Entry'!$F$490), "", 'Data Entry'!$F$490)</f>
      </c>
      <c r="G490">
        <f>IF(ISBLANK('Data Entry'!$G$490), "", 'Data Entry'!$G$490)</f>
      </c>
      <c r="H490">
        <f>IF(ISBLANK('Data Entry'!$H$490), "", 'Data Entry'!$H$490)</f>
      </c>
      <c r="I490">
        <f>IF(ISBLANK('Data Entry'!$I$490), "", 'Data Entry'!$I$490)</f>
      </c>
      <c r="J490">
        <f>IF(ISBLANK('Data Entry'!$J$490), "", 'Data Entry'!$J$490)</f>
      </c>
      <c r="K490">
        <f>IF(ISBLANK('Data Entry'!$K$490), "", 'Data Entry'!$K$490)</f>
      </c>
      <c r="L490">
        <f>IF(ISBLANK('Data Entry'!$L$490), "", 'Data Entry'!$L$490)</f>
      </c>
      <c r="M490">
        <f>IF(ISBLANK('Data Entry'!$M$490), "", 'Data Entry'!$M$490)</f>
      </c>
      <c r="N490">
        <f>IF(ISBLANK('Data Entry'!$N$490), "", 'Data Entry'!$N$490)</f>
      </c>
      <c r="O490">
        <f>IF(ISBLANK('Data Entry'!$O$490), "", 'Data Entry'!$O$490)</f>
      </c>
      <c r="P490">
        <f>IF(ISBLANK('Data Entry'!$P$490), "", 'Data Entry'!$P$490)</f>
      </c>
      <c r="Q490">
        <f>IF(ISBLANK('Data Entry'!$Q$490), "", 'Data Entry'!$Q$490)</f>
      </c>
      <c r="R490">
        <f>IF(ISBLANK('Data Entry'!$R$490), "", 'Data Entry'!$R$490)</f>
      </c>
      <c r="S490">
        <f>IF(ISBLANK('Data Entry'!$S$490), "", 'Data Entry'!$S$490)</f>
      </c>
      <c r="T490">
        <f>IF(ISBLANK('Data Entry'!$T$490), "", 'Data Entry'!$T$490)</f>
      </c>
      <c r="U490">
        <f>IF(ISBLANK('Data Entry'!$U$490), "", 'Data Entry'!$U$490)</f>
      </c>
      <c r="V490">
        <f>IF(ISBLANK('Data Entry'!$V$490), "", 'Data Entry'!$V$490)</f>
      </c>
      <c r="W490">
        <f>IF(ISBLANK('Data Entry'!$W$490), "", 'Data Entry'!$W$490)</f>
      </c>
      <c r="X490">
        <f>IF(ISBLANK('Data Entry'!$X$490), "", 'Data Entry'!$X$490)</f>
      </c>
      <c r="Y490">
        <f>IF(ISBLANK('Data Entry'!$Y$490), "", 'Data Entry'!$Y$490)</f>
      </c>
      <c r="Z490">
        <f>IF(ISBLANK('Data Entry'!$Z$490), "", 'Data Entry'!$Z$490)</f>
      </c>
      <c r="AA490">
        <f>IF(ISBLANK('Data Entry'!$[$490), "", 'Data Entry'!$[$490)</f>
      </c>
      <c r="AB490">
        <f>IF(ISBLANK('Data Entry'!$\$490), "", 'Data Entry'!$\$490)</f>
      </c>
      <c r="AC490">
        <f>IF(ISBLANK('Data Entry'!$]$490), "", 'Data Entry'!$]$490)</f>
      </c>
      <c r="AD490">
        <f>IF(ISBLANK('Data Entry'!$^$490), "", 'Data Entry'!$^$490)</f>
      </c>
      <c r="AE490">
        <f>IF(ISBLANK('Data Entry'!$_$490), "", 'Data Entry'!$_$490)</f>
      </c>
      <c r="AF490">
        <f>IF(ISBLANK('Data Entry'!$`$490), "", 'Data Entry'!$`$490)</f>
      </c>
      <c r="AG490">
        <f>IF(ISBLANK('Data Entry'!$a$490), "", 'Data Entry'!$a$490)</f>
      </c>
      <c r="AH490">
        <f>IF(ISBLANK('Data Entry'!$b$490), "", 'Data Entry'!$b$490)</f>
      </c>
      <c r="AI490">
        <f>IF(ISBLANK('Data Entry'!$c$490), "", 'Data Entry'!$c$490)</f>
      </c>
      <c r="AJ490">
        <f>IF(ISBLANK('Data Entry'!$d$490), "", 'Data Entry'!$d$490)</f>
      </c>
      <c r="AK490">
        <f>IF(ISBLANK('Data Entry'!$e$490), "", 'Data Entry'!$e$490)</f>
      </c>
      <c r="AL490">
        <f>IF(ISBLANK('Data Entry'!$f$490), "", 'Data Entry'!$f$490)</f>
      </c>
      <c r="AM490">
        <f>IF(ISBLANK('Data Entry'!$g$490), "", 'Data Entry'!$g$490)</f>
      </c>
      <c r="AN490">
        <f>IF(ISBLANK('Data Entry'!$h$490), "", 'Data Entry'!$h$490)</f>
      </c>
      <c r="AO490">
        <f>IF(ISBLANK('Data Entry'!$i$490), "", 'Data Entry'!$i$490)</f>
      </c>
      <c r="AP490">
        <f>IF(ISBLANK('Data Entry'!$j$490), "", 'Data Entry'!$j$490)</f>
      </c>
      <c r="AQ490">
        <f>IF(ISBLANK('Data Entry'!$k$490), "", 'Data Entry'!$k$490)</f>
      </c>
      <c r="AR490">
        <f>IF(ISBLANK('Data Entry'!$l$490), "", 'Data Entry'!$l$490)</f>
      </c>
      <c r="AS490">
        <f>IF(ISBLANK('Data Entry'!$m$490), "", 'Data Entry'!$m$490)</f>
      </c>
      <c r="AT490">
        <f>IF(ISBLANK('Data Entry'!$n$490), "", 'Data Entry'!$n$490)</f>
      </c>
      <c r="AU490">
        <f>IF(ISBLANK('Data Entry'!$o$490), "", 'Data Entry'!$o$490)</f>
      </c>
      <c r="AV490">
        <f>IF(ISBLANK('Data Entry'!$p$490), "", 'Data Entry'!$p$490)</f>
      </c>
      <c r="AW490">
        <f>IF(ISBLANK('Data Entry'!$q$490), "", 'Data Entry'!$q$490)</f>
      </c>
      <c r="AX490">
        <f>IF(ISBLANK('Data Entry'!$r$490), "", 'Data Entry'!$r$490)</f>
      </c>
      <c r="AY490">
        <f>IF(ISBLANK('Data Entry'!$s$490), "", 'Data Entry'!$s$490)</f>
      </c>
      <c r="AZ490">
        <f>IF(ISBLANK('Data Entry'!$t$490), "", 'Data Entry'!$t$490)</f>
      </c>
      <c r="BA490">
        <f>IF(ISBLANK('Data Entry'!$u$490), "", 'Data Entry'!$u$490)</f>
      </c>
      <c r="BB490">
        <f>IF(ISBLANK('Data Entry'!$v$490), "", 'Data Entry'!$v$490)</f>
      </c>
      <c r="BC490">
        <f>IF(ISBLANK('Data Entry'!$w$490), "", 'Data Entry'!$w$490)</f>
      </c>
      <c r="BD490">
        <f>IF(ISBLANK('Data Entry'!$x$490), "", 'Data Entry'!$x$490)</f>
      </c>
      <c r="BE490">
        <f>IF(ISBLANK('Data Entry'!$y$490), "", 'Data Entry'!$y$490)</f>
      </c>
      <c r="BF490">
        <f>IF(ISBLANK('Data Entry'!$z$490), "", 'Data Entry'!$z$490)</f>
      </c>
      <c r="BG490">
        <f>IF(ISBLANK('Data Entry'!${$490), "", 'Data Entry'!${$490)</f>
      </c>
      <c r="BH490">
        <f>IF(ISBLANK('Data Entry'!$|$490), "", 'Data Entry'!$|$490)</f>
      </c>
      <c r="BI490">
        <f>IF(ISBLANK('Data Entry'!$}$490), "", 'Data Entry'!$}$490)</f>
      </c>
      <c r="BJ490">
        <f>IF(ISBLANK('Data Entry'!$~$490), "", 'Data Entry'!$~$490)</f>
      </c>
      <c r="BK490">
        <f>IF(ISBLANK('Data Entry'!$$490), "", 'Data Entry'!$$490)</f>
      </c>
      <c r="BL490">
        <f>IF(ISBLANK('Data Entry'!$$490), "", 'Data Entry'!$$490)</f>
      </c>
      <c r="BM490">
        <f>IF(ISBLANK('Data Entry'!$$490), "", 'Data Entry'!$$490)</f>
      </c>
      <c r="BN490">
        <f>IF(ISBLANK('Data Entry'!$$490), "", 'Data Entry'!$$490)</f>
      </c>
      <c r="BO490">
        <f>IF(ISBLANK('Data Entry'!$$490), "", 'Data Entry'!$$490)</f>
      </c>
      <c r="BP490">
        <f>IF(ISBLANK('Data Entry'!$$490), "", 'Data Entry'!$$490)</f>
      </c>
      <c r="BQ490">
        <f>IF(ISBLANK('Data Entry'!$$490), "", 'Data Entry'!$$490)</f>
      </c>
      <c r="BR490">
        <f>IF(ISBLANK('Data Entry'!$$490), "", 'Data Entry'!$$490)</f>
      </c>
      <c r="BS490">
        <f>IF(ISBLANK('Data Entry'!$$490), "", 'Data Entry'!$$490)</f>
      </c>
      <c r="BT490">
        <f>IF(ISBLANK('Data Entry'!$$490), "", 'Data Entry'!$$490)</f>
      </c>
      <c r="BU490">
        <f>IF(ISBLANK('Data Entry'!$$490), "", 'Data Entry'!$$490)</f>
      </c>
      <c r="BV490">
        <f>IF(ISBLANK('Data Entry'!$$490), "", 'Data Entry'!$$490)</f>
      </c>
      <c r="BW490">
        <f>IF(ISBLANK('Data Entry'!$$490), "", 'Data Entry'!$$490)</f>
      </c>
      <c r="BX490">
        <f>IF(ISBLANK('Data Entry'!$$490), "", 'Data Entry'!$$490)</f>
      </c>
      <c r="BY490">
        <f>IF(ISBLANK('Data Entry'!$$490), "", 'Data Entry'!$$490)</f>
      </c>
      <c r="BZ490">
        <f>IF(ISBLANK('Data Entry'!$$490), "", 'Data Entry'!$$490)</f>
      </c>
      <c r="CA490">
        <f>IF(ISBLANK('Data Entry'!$$490), "", 'Data Entry'!$$490)</f>
      </c>
      <c r="CB490">
        <f>IF(ISBLANK('Data Entry'!$$490), "", 'Data Entry'!$$490)</f>
      </c>
      <c r="CC490">
        <f>IF(ISBLANK('Data Entry'!$$490), "", 'Data Entry'!$$490)</f>
      </c>
      <c r="CD490">
        <f>IF(ISBLANK('Data Entry'!$$490), "", 'Data Entry'!$$490)</f>
      </c>
      <c r="CE490">
        <f>IF(ISBLANK('Data Entry'!$$490), "", 'Data Entry'!$$490)</f>
      </c>
      <c r="CF490">
        <f>IF(ISBLANK('Data Entry'!$$490), "", 'Data Entry'!$$490)</f>
      </c>
      <c r="CG490">
        <f>IF(ISBLANK('Data Entry'!$$490), "", 'Data Entry'!$$490)</f>
      </c>
      <c r="CH490">
        <f>IF(ISBLANK('Data Entry'!$$490), "", 'Data Entry'!$$490)</f>
      </c>
      <c r="CI490">
        <f>IF(ISBLANK('Data Entry'!$$490), "", 'Data Entry'!$$490)</f>
      </c>
      <c r="CJ490">
        <f>IF(ISBLANK('Data Entry'!$$490), "", 'Data Entry'!$$490)</f>
      </c>
      <c r="CK490">
        <f>IF(ISBLANK('Data Entry'!$$490), "", 'Data Entry'!$$490)</f>
      </c>
      <c r="CL490">
        <f>IF(ISBLANK('Data Entry'!$$490), "", 'Data Entry'!$$490)</f>
      </c>
      <c r="CM490">
        <f>IF(ISBLANK('Data Entry'!$$490), "", 'Data Entry'!$$490)</f>
      </c>
      <c r="CN490">
        <f>IF(ISBLANK('Data Entry'!$$490), "", 'Data Entry'!$$490)</f>
      </c>
      <c r="CO490">
        <f>IF(ISBLANK('Data Entry'!$$490), "", 'Data Entry'!$$490)</f>
      </c>
      <c r="CP490">
        <f>IF(ISBLANK('Data Entry'!$$490), "", 'Data Entry'!$$490)</f>
      </c>
      <c r="CQ490">
        <f>IF(ISBLANK('Data Entry'!$$490), "", 'Data Entry'!$$490)</f>
      </c>
      <c r="CR490">
        <f>IF(ISBLANK('Data Entry'!$ $490), "", 'Data Entry'!$ $490)</f>
      </c>
      <c r="CS490">
        <f>IF(ISBLANK('Data Entry'!$¡$490), "", 'Data Entry'!$¡$490)</f>
      </c>
      <c r="CT490">
        <f>IF(ISBLANK('Data Entry'!$¢$490), "", 'Data Entry'!$¢$490)</f>
      </c>
      <c r="CU490">
        <f>IF(ISBLANK('Data Entry'!$£$490), "", 'Data Entry'!$£$490)</f>
      </c>
      <c r="CV490">
        <f>IF(ISBLANK('Data Entry'!$¤$490), "", 'Data Entry'!$¤$490)</f>
      </c>
      <c r="CW490">
        <f>IF(ISBLANK('Data Entry'!$¥$490), "", 'Data Entry'!$¥$490)</f>
      </c>
      <c r="CX490">
        <f>IF(ISBLANK('Data Entry'!$¦$490), "", 'Data Entry'!$¦$490)</f>
      </c>
      <c r="CY490">
        <f>IF(ISBLANK('Data Entry'!$§$490), "", 'Data Entry'!$§$490)</f>
      </c>
      <c r="CZ490">
        <f>IF(ISBLANK('Data Entry'!$¨$490), "", 'Data Entry'!$¨$490)</f>
      </c>
      <c r="DA490">
        <f>IF(ISBLANK('Data Entry'!$©$490), "", 'Data Entry'!$©$490)</f>
      </c>
      <c r="DB490">
        <f>IF(ISBLANK('Data Entry'!$ª$490), "", 'Data Entry'!$ª$490)</f>
      </c>
      <c r="DC490">
        <f>IF(ISBLANK('Data Entry'!$«$490), "", 'Data Entry'!$«$490)</f>
      </c>
      <c r="DD490">
        <f>IF(ISBLANK('Data Entry'!$¬$490), "", 'Data Entry'!$¬$490)</f>
      </c>
      <c r="DE490">
        <f>IF(ISBLANK('Data Entry'!$­$490), "", 'Data Entry'!$­$490)</f>
      </c>
      <c r="DF490">
        <f>IF(ISBLANK('Data Entry'!$®$490), "", 'Data Entry'!$®$490)</f>
      </c>
      <c r="DG490">
        <f>IF(ISBLANK('Data Entry'!$¯$490), "", 'Data Entry'!$¯$490)</f>
      </c>
      <c r="DH490">
        <f>IF(ISBLANK('Data Entry'!$°$490), "", 'Data Entry'!$°$490)</f>
      </c>
      <c r="DI490">
        <f>IF(ISBLANK('Data Entry'!$±$490), "", 'Data Entry'!$±$490)</f>
      </c>
      <c r="DJ490">
        <f>IF(ISBLANK('Data Entry'!$²$490), "", 'Data Entry'!$²$490)</f>
      </c>
      <c r="DK490">
        <f>IF(ISBLANK('Data Entry'!$³$490), "", 'Data Entry'!$³$490)</f>
      </c>
      <c r="DL490">
        <f>IF(ISBLANK('Data Entry'!$´$490), "", 'Data Entry'!$´$490)</f>
      </c>
      <c r="DM490">
        <f>IF(ISBLANK('Data Entry'!$µ$490), "", 'Data Entry'!$µ$490)</f>
      </c>
      <c r="DN490">
        <f>IF(ISBLANK('Data Entry'!$¶$490), "", 'Data Entry'!$¶$490)</f>
      </c>
      <c r="DO490">
        <f>IF(ISBLANK('Data Entry'!$·$490), "", 'Data Entry'!$·$490)</f>
      </c>
      <c r="DP490">
        <f>IF(ISBLANK('Data Entry'!$¸$490), "", 'Data Entry'!$¸$490)</f>
      </c>
      <c r="DQ490">
        <f>IF(ISBLANK('Data Entry'!$¹$490), "", 'Data Entry'!$¹$490)</f>
      </c>
      <c r="DR490">
        <f>IF(ISBLANK('Data Entry'!$º$490), "", 'Data Entry'!$º$490)</f>
      </c>
      <c r="DS490">
        <f>IF(ISBLANK('Data Entry'!$»$490), "", 'Data Entry'!$»$490)</f>
      </c>
      <c r="DT490">
        <f>IF(ISBLANK('Data Entry'!$¼$490), "", 'Data Entry'!$¼$490)</f>
      </c>
      <c r="DU490">
        <f>IF(ISBLANK('Data Entry'!$½$490), "", 'Data Entry'!$½$490)</f>
      </c>
      <c r="DV490">
        <f>IF(ISBLANK('Data Entry'!$¾$490), "", 'Data Entry'!$¾$490)</f>
      </c>
      <c r="DW490">
        <f>IF(ISBLANK('Data Entry'!$¿$490), "", 'Data Entry'!$¿$490)</f>
      </c>
      <c r="DX490">
        <f>IF(ISBLANK('Data Entry'!$À$490), "", 'Data Entry'!$À$490)</f>
      </c>
      <c r="DY490">
        <f>IF(ISBLANK('Data Entry'!$Á$490), "", 'Data Entry'!$Á$490)</f>
      </c>
      <c r="DZ490">
        <f>IF(ISBLANK('Data Entry'!$Â$490), "", 'Data Entry'!$Â$490)</f>
      </c>
      <c r="EA490">
        <f>IF(ISBLANK('Data Entry'!$Ã$490), "", 'Data Entry'!$Ã$490)</f>
      </c>
      <c r="EB490">
        <f>IF(ISBLANK('Data Entry'!$Ä$490), "", 'Data Entry'!$Ä$490)</f>
      </c>
      <c r="EC490">
        <f>IF(ISBLANK('Data Entry'!$Å$490), "", 'Data Entry'!$Å$490)</f>
      </c>
      <c r="ED490">
        <f>IF(ISBLANK('Data Entry'!$Æ$490), "", 'Data Entry'!$Æ$490)</f>
      </c>
      <c r="EE490">
        <f>IF(ISBLANK('Data Entry'!$Ç$490), "", 'Data Entry'!$Ç$490)</f>
      </c>
      <c r="EF490">
        <f>IF(ISBLANK('Data Entry'!$È$490), "", 'Data Entry'!$È$490)</f>
      </c>
      <c r="EG490">
        <f>IF(ISBLANK('Data Entry'!$É$490), "", 'Data Entry'!$É$490)</f>
      </c>
      <c r="EH490">
        <f>IF(ISBLANK('Data Entry'!$Ê$490), "", 'Data Entry'!$Ê$490)</f>
      </c>
      <c r="EI490">
        <f>IF(ISBLANK('Data Entry'!$Ë$490), "", 'Data Entry'!$Ë$490)</f>
      </c>
      <c r="EJ490">
        <f>IF(ISBLANK('Data Entry'!$Ì$490), "", 'Data Entry'!$Ì$490)</f>
      </c>
      <c r="EK490">
        <f>IF(ISBLANK('Data Entry'!$Í$490), "", 'Data Entry'!$Í$490)</f>
      </c>
      <c r="EL490">
        <f>IF(ISBLANK('Data Entry'!$Î$490), "", 'Data Entry'!$Î$490)</f>
      </c>
      <c r="EM490">
        <f>IF(ISBLANK('Data Entry'!$Ï$490), "", 'Data Entry'!$Ï$490)</f>
      </c>
      <c r="EN490">
        <f>IF(ISBLANK('Data Entry'!$Ð$490), "", 'Data Entry'!$Ð$490)</f>
      </c>
      <c r="EO490">
        <f>IF(ISBLANK('Data Entry'!$Ñ$490), "", 'Data Entry'!$Ñ$490)</f>
      </c>
      <c r="EP490">
        <f>IF(ISBLANK('Data Entry'!$Ò$490), "", 'Data Entry'!$Ò$490)</f>
      </c>
      <c r="EQ490">
        <f>IF(ISBLANK('Data Entry'!$Ó$490), "", 'Data Entry'!$Ó$490)</f>
      </c>
      <c r="ER490">
        <f>IF(ISBLANK('Data Entry'!$Ô$490), "", 'Data Entry'!$Ô$490)</f>
      </c>
      <c r="ES490">
        <f>IF(ISBLANK('Data Entry'!$Õ$490), "", 'Data Entry'!$Õ$490)</f>
      </c>
      <c r="ET490">
        <f>IF(ISBLANK('Data Entry'!$Ö$490), "", 'Data Entry'!$Ö$490)</f>
      </c>
      <c r="EU490">
        <f>IF(ISBLANK('Data Entry'!$×$490), "", 'Data Entry'!$×$490)</f>
      </c>
      <c r="EV490">
        <f>IF(ISBLANK('Data Entry'!$Ø$490), "", 'Data Entry'!$Ø$490)</f>
      </c>
      <c r="EW490">
        <f>IF(ISBLANK('Data Entry'!$Ù$490), "", 'Data Entry'!$Ù$490)</f>
      </c>
      <c r="EX490">
        <f>IF(ISBLANK('Data Entry'!$Ú$490), "", 'Data Entry'!$Ú$490)</f>
      </c>
      <c r="EY490">
        <f>IF(ISBLANK('Data Entry'!$Û$490), "", 'Data Entry'!$Û$490)</f>
      </c>
      <c r="EZ490">
        <f>IF(ISBLANK('Data Entry'!$Ü$490), "", 'Data Entry'!$Ü$490)</f>
      </c>
      <c r="FA490">
        <f>IF(ISBLANK('Data Entry'!$Ý$490), "", 'Data Entry'!$Ý$490)</f>
      </c>
      <c r="FB490">
        <f>IF(ISBLANK('Data Entry'!$Þ$490), "", 'Data Entry'!$Þ$490)</f>
      </c>
      <c r="FC490">
        <f>IF(ISBLANK('Data Entry'!$ß$490), "", 'Data Entry'!$ß$490)</f>
      </c>
      <c r="FD490">
        <f>IF(ISBLANK('Data Entry'!$à$490), "", 'Data Entry'!$à$490)</f>
      </c>
      <c r="FE490">
        <f>IF(ISBLANK('Data Entry'!$á$490), "", 'Data Entry'!$á$490)</f>
      </c>
      <c r="FF490">
        <f>IF(ISBLANK('Data Entry'!$â$490), "", 'Data Entry'!$â$490)</f>
      </c>
      <c r="FG490">
        <f>IF(ISBLANK('Data Entry'!$ã$490), "", 'Data Entry'!$ã$490)</f>
      </c>
      <c r="FH490">
        <f>IF(ISBLANK('Data Entry'!$ä$490), "", 'Data Entry'!$ä$490)</f>
      </c>
      <c r="FI490">
        <f>IF(ISBLANK('Data Entry'!$å$490), "", 'Data Entry'!$å$490)</f>
      </c>
      <c r="FJ490">
        <f>IF(ISBLANK('Data Entry'!$æ$490), "", 'Data Entry'!$æ$490)</f>
      </c>
      <c r="FK490">
        <f>IF(ISBLANK('Data Entry'!$ç$490), "", 'Data Entry'!$ç$490)</f>
      </c>
      <c r="FL490">
        <f>IF(ISBLANK('Data Entry'!$è$490), "", 'Data Entry'!$è$490)</f>
      </c>
      <c r="FM490">
        <f>IF(ISBLANK('Data Entry'!$é$490), "", 'Data Entry'!$é$490)</f>
      </c>
      <c r="FN490">
        <f>IF(ISBLANK('Data Entry'!$ê$490), "", 'Data Entry'!$ê$490)</f>
      </c>
      <c r="FO490">
        <f>IF(ISBLANK('Data Entry'!$ë$490), "", 'Data Entry'!$ë$490)</f>
      </c>
      <c r="FP490">
        <f>IF(ISBLANK('Data Entry'!$ì$490), "", 'Data Entry'!$ì$490)</f>
      </c>
      <c r="FQ490">
        <f>IF(ISBLANK('Data Entry'!$í$490), "", 'Data Entry'!$í$490)</f>
      </c>
      <c r="FR490">
        <f>IF(ISBLANK('Data Entry'!$î$490), "", 'Data Entry'!$î$490)</f>
      </c>
      <c r="FS490">
        <f>IF(ISBLANK('Data Entry'!$ï$490), "", 'Data Entry'!$ï$490)</f>
      </c>
      <c r="FT490">
        <f>IF(ISBLANK('Data Entry'!$ð$490), "", 'Data Entry'!$ð$490)</f>
      </c>
      <c r="FU490">
        <f>IF(ISBLANK('Data Entry'!$ñ$490), "", 'Data Entry'!$ñ$490)</f>
      </c>
      <c r="FV490">
        <f>IF(ISBLANK('Data Entry'!$ò$490), "", 'Data Entry'!$ò$490)</f>
      </c>
      <c r="FW490">
        <f>IF(ISBLANK('Data Entry'!$ó$490), "", 'Data Entry'!$ó$490)</f>
      </c>
      <c r="FX490">
        <f>IF(ISBLANK('Data Entry'!$ô$490), "", 'Data Entry'!$ô$490)</f>
      </c>
      <c r="FY490">
        <f>IF(ISBLANK('Data Entry'!$õ$490), "", 'Data Entry'!$õ$490)</f>
      </c>
      <c r="FZ490">
        <f>IF(ISBLANK('Data Entry'!$ö$490), "", 'Data Entry'!$ö$490)</f>
      </c>
      <c r="GA490">
        <f>IF(ISBLANK('Data Entry'!$÷$490), "", 'Data Entry'!$÷$490)</f>
      </c>
      <c r="GB490">
        <f>IF(ISBLANK('Data Entry'!$ø$490), "", 'Data Entry'!$ø$490)</f>
      </c>
      <c r="GC490">
        <f>IF(ISBLANK('Data Entry'!$ù$490), "", 'Data Entry'!$ù$490)</f>
      </c>
      <c r="GD490">
        <f>IF(ISBLANK('Data Entry'!$ú$490), "", 'Data Entry'!$ú$490)</f>
      </c>
      <c r="GE490">
        <f>IF(ISBLANK('Data Entry'!$û$490), "", 'Data Entry'!$û$490)</f>
      </c>
      <c r="GF490">
        <f>IF(ISBLANK('Data Entry'!$ü$490), "", 'Data Entry'!$ü$490)</f>
      </c>
      <c r="GG490">
        <f>IF(ISBLANK('Data Entry'!$ý$490), "", 'Data Entry'!$ý$490)</f>
      </c>
      <c r="GH490">
        <f>IF(ISBLANK('Data Entry'!$þ$490), "", 'Data Entry'!$þ$490)</f>
      </c>
      <c r="GI490">
        <f>IF(ISBLANK('Data Entry'!$ÿ$490), "", 'Data Entry'!$ÿ$490)</f>
      </c>
      <c r="GJ490">
        <f>IF(ISBLANK('Data Entry'!$Ā$490), "", 'Data Entry'!$Ā$490)</f>
      </c>
      <c r="GK490">
        <f>IF(ISBLANK('Data Entry'!$ā$490), "", 'Data Entry'!$ā$490)</f>
      </c>
      <c r="GL490">
        <f>IF(ISBLANK('Data Entry'!$Ă$490), "", 'Data Entry'!$Ă$490)</f>
      </c>
      <c r="GM490">
        <f>IF(ISBLANK('Data Entry'!$ă$490), "", 'Data Entry'!$ă$490)</f>
      </c>
      <c r="GN490">
        <f>IF(ISBLANK('Data Entry'!$Ą$490), "", 'Data Entry'!$Ą$490)</f>
      </c>
      <c r="GO490">
        <f>IF(ISBLANK('Data Entry'!$ą$490), "", 'Data Entry'!$ą$490)</f>
      </c>
      <c r="GP490">
        <f>IF(ISBLANK('Data Entry'!$Ć$490), "", 'Data Entry'!$Ć$490)</f>
      </c>
      <c r="GQ490">
        <f>IF(ISBLANK('Data Entry'!$ć$490), "", 'Data Entry'!$ć$490)</f>
      </c>
      <c r="GR490">
        <f>IF(ISBLANK('Data Entry'!$Ĉ$490), "", 'Data Entry'!$Ĉ$490)</f>
      </c>
      <c r="GS490">
        <f>IF(ISBLANK('Data Entry'!$ĉ$490), "", 'Data Entry'!$ĉ$490)</f>
      </c>
      <c r="GT490">
        <f>IF(ISBLANK('Data Entry'!$Ċ$490), "", 'Data Entry'!$Ċ$490)</f>
      </c>
      <c r="GU490">
        <f>IF(ISBLANK('Data Entry'!$ċ$490), "", 'Data Entry'!$ċ$490)</f>
      </c>
      <c r="GV490">
        <f>IF(ISBLANK('Data Entry'!$Č$490), "", 'Data Entry'!$Č$490)</f>
      </c>
      <c r="GW490">
        <f>IF(ISBLANK('Data Entry'!$č$490), "", 'Data Entry'!$č$490)</f>
      </c>
      <c r="GX490">
        <f>IF(ISBLANK('Data Entry'!$Ď$490), "", 'Data Entry'!$Ď$490)</f>
      </c>
      <c r="GY490">
        <f>IF(ISBLANK('Data Entry'!$ď$490), "", 'Data Entry'!$ď$490)</f>
      </c>
      <c r="GZ490">
        <f>IF(ISBLANK('Data Entry'!$Đ$490), "", 'Data Entry'!$Đ$490)</f>
      </c>
      <c r="HA490">
        <f>IF(ISBLANK('Data Entry'!$đ$490), "", 'Data Entry'!$đ$490)</f>
      </c>
      <c r="HB490">
        <f>IF(ISBLANK('Data Entry'!$Ē$490), "", 'Data Entry'!$Ē$490)</f>
      </c>
      <c r="HC490">
        <f>IF(ISBLANK('Data Entry'!$ē$490), "", 'Data Entry'!$ē$490)</f>
      </c>
      <c r="HD490">
        <f>IF(ISBLANK('Data Entry'!$Ĕ$490), "", 'Data Entry'!$Ĕ$490)</f>
      </c>
      <c r="HE490">
        <f>IF(ISBLANK('Data Entry'!$ĕ$490), "", 'Data Entry'!$ĕ$490)</f>
      </c>
      <c r="HF490">
        <f>IF(ISBLANK('Data Entry'!$Ė$490), "", 'Data Entry'!$Ė$490)</f>
      </c>
      <c r="HG490">
        <f>IF(ISBLANK('Data Entry'!$ė$490), "", 'Data Entry'!$ė$490)</f>
      </c>
      <c r="HH490">
        <f>IF(ISBLANK('Data Entry'!$Ę$490), "", 'Data Entry'!$Ę$490)</f>
      </c>
      <c r="HI490">
        <f>IF(ISBLANK('Data Entry'!$ę$490), "", 'Data Entry'!$ę$490)</f>
      </c>
      <c r="HJ490">
        <f>IF(ISBLANK('Data Entry'!$Ě$490), "", 'Data Entry'!$Ě$490)</f>
      </c>
      <c r="HK490">
        <f>IF(ISBLANK('Data Entry'!$ě$490), "", 'Data Entry'!$ě$490)</f>
      </c>
      <c r="HL490">
        <f>IF(ISBLANK('Data Entry'!$Ĝ$490), "", 'Data Entry'!$Ĝ$490)</f>
      </c>
      <c r="HM490">
        <f>IF(ISBLANK('Data Entry'!$ĝ$490), "", 'Data Entry'!$ĝ$490)</f>
      </c>
      <c r="HN490">
        <f>IF(ISBLANK('Data Entry'!$Ğ$490), "", 'Data Entry'!$Ğ$490)</f>
      </c>
      <c r="HO490">
        <f>IF(ISBLANK('Data Entry'!$ğ$490), "", 'Data Entry'!$ğ$490)</f>
      </c>
      <c r="HP490">
        <f>IF(ISBLANK('Data Entry'!$Ġ$490), "", 'Data Entry'!$Ġ$490)</f>
      </c>
      <c r="HQ490">
        <f>IF(ISBLANK('Data Entry'!$ġ$490), "", 'Data Entry'!$ġ$490)</f>
      </c>
      <c r="HR490">
        <f>IF(ISBLANK('Data Entry'!$Ģ$490), "", 'Data Entry'!$Ģ$490)</f>
      </c>
      <c r="HS490">
        <f>IF(ISBLANK('Data Entry'!$ģ$490), "", 'Data Entry'!$ģ$490)</f>
      </c>
      <c r="HT490">
        <f>IF(ISBLANK('Data Entry'!$Ĥ$490), "", 'Data Entry'!$Ĥ$490)</f>
      </c>
      <c r="HU490">
        <f>IF(ISBLANK('Data Entry'!$ĥ$490), "", 'Data Entry'!$ĥ$490)</f>
      </c>
      <c r="HV490">
        <f>IF(ISBLANK('Data Entry'!$Ħ$490), "", 'Data Entry'!$Ħ$490)</f>
      </c>
      <c r="HW490">
        <f>IF(ISBLANK('Data Entry'!$ħ$490), "", 'Data Entry'!$ħ$490)</f>
      </c>
      <c r="HX490">
        <f>IF(ISBLANK('Data Entry'!$Ĩ$490), "", 'Data Entry'!$Ĩ$490)</f>
      </c>
      <c r="HY490">
        <f>IF(ISBLANK('Data Entry'!$ĩ$490), "", 'Data Entry'!$ĩ$490)</f>
      </c>
      <c r="HZ490">
        <f>IF(ISBLANK('Data Entry'!$Ī$490), "", 'Data Entry'!$Ī$490)</f>
      </c>
      <c r="IA490">
        <f>IF(ISBLANK('Data Entry'!$ī$490), "", 'Data Entry'!$ī$490)</f>
      </c>
      <c r="IB490">
        <f>IF(ISBLANK('Data Entry'!$Ĭ$490), "", 'Data Entry'!$Ĭ$490)</f>
      </c>
      <c r="IC490">
        <f>IF(ISBLANK('Data Entry'!$ĭ$490), "", 'Data Entry'!$ĭ$490)</f>
      </c>
      <c r="ID490">
        <f>IF(ISBLANK('Data Entry'!$Į$490), "", 'Data Entry'!$Į$490)</f>
      </c>
      <c r="IE490">
        <f>IF(ISBLANK('Data Entry'!$į$490), "", 'Data Entry'!$į$490)</f>
      </c>
      <c r="IF490">
        <f>IF(ISBLANK('Data Entry'!$İ$490), "", 'Data Entry'!$İ$490)</f>
      </c>
      <c r="IG490">
        <f>IF(ISBLANK('Data Entry'!$ı$490), "", 'Data Entry'!$ı$490)</f>
      </c>
      <c r="IH490">
        <f>IF(ISBLANK('Data Entry'!$Ĳ$490), "", 'Data Entry'!$Ĳ$490)</f>
      </c>
      <c r="II490">
        <f>IF(ISBLANK('Data Entry'!$ĳ$490), "", 'Data Entry'!$ĳ$490)</f>
      </c>
      <c r="IJ490">
        <f>IF(ISBLANK('Data Entry'!$Ĵ$490), "", 'Data Entry'!$Ĵ$490)</f>
      </c>
      <c r="IK490">
        <f>IF(ISBLANK('Data Entry'!$ĵ$490), "", 'Data Entry'!$ĵ$490)</f>
      </c>
      <c r="IL490">
        <f>IF(ISBLANK('Data Entry'!$Ķ$490), "", 'Data Entry'!$Ķ$490)</f>
      </c>
      <c r="IM490">
        <f>IF(ISBLANK('Data Entry'!$ķ$490), "", 'Data Entry'!$ķ$490)</f>
      </c>
      <c r="IN490">
        <f>IF(ISBLANK('Data Entry'!$ĸ$490), "", 'Data Entry'!$ĸ$490)</f>
      </c>
      <c r="IO490">
        <f>IF(ISBLANK('Data Entry'!$Ĺ$490), "", 'Data Entry'!$Ĺ$490)</f>
      </c>
      <c r="IP490">
        <f>IF(ISBLANK('Data Entry'!$ĺ$490), "", 'Data Entry'!$ĺ$490)</f>
      </c>
      <c r="IQ490">
        <f>IF(ISBLANK('Data Entry'!$Ļ$490), "", 'Data Entry'!$Ļ$490)</f>
      </c>
      <c r="IR490">
        <f>IF(ISBLANK('Data Entry'!$ļ$490), "", 'Data Entry'!$ļ$490)</f>
      </c>
      <c r="IS490">
        <f>IF(ISBLANK('Data Entry'!$Ľ$490), "", 'Data Entry'!$Ľ$490)</f>
      </c>
      <c r="IT490">
        <f>IF(ISBLANK('Data Entry'!$ľ$490), "", 'Data Entry'!$ľ$490)</f>
      </c>
    </row>
    <row r="491" spans="1:254" x14ac:dyDescent="0.25">
      <c r="A491">
        <f>IF(ISBLANK('Data Entry'!$A$491), "", 'Data Entry'!$A$491)</f>
      </c>
      <c r="B491">
        <f>IF(ISBLANK('Data Entry'!$B$491), "", 'Data Entry'!$B$491)</f>
      </c>
      <c r="C491">
        <f>IF(ISBLANK('Data Entry'!$C$491), "", 'Data Entry'!$C$491)</f>
      </c>
      <c r="D491">
        <f>IF(ISBLANK('Data Entry'!$D$491), "", 'Data Entry'!$D$491)</f>
      </c>
      <c r="E491">
        <f>IF(ISBLANK('Data Entry'!$E$491), "", 'Data Entry'!$E$491)</f>
      </c>
      <c r="F491">
        <f>IF(ISBLANK('Data Entry'!$F$491), "", 'Data Entry'!$F$491)</f>
      </c>
      <c r="G491">
        <f>IF(ISBLANK('Data Entry'!$G$491), "", 'Data Entry'!$G$491)</f>
      </c>
      <c r="H491">
        <f>IF(ISBLANK('Data Entry'!$H$491), "", 'Data Entry'!$H$491)</f>
      </c>
      <c r="I491">
        <f>IF(ISBLANK('Data Entry'!$I$491), "", 'Data Entry'!$I$491)</f>
      </c>
      <c r="J491">
        <f>IF(ISBLANK('Data Entry'!$J$491), "", 'Data Entry'!$J$491)</f>
      </c>
      <c r="K491">
        <f>IF(ISBLANK('Data Entry'!$K$491), "", 'Data Entry'!$K$491)</f>
      </c>
      <c r="L491">
        <f>IF(ISBLANK('Data Entry'!$L$491), "", 'Data Entry'!$L$491)</f>
      </c>
      <c r="M491">
        <f>IF(ISBLANK('Data Entry'!$M$491), "", 'Data Entry'!$M$491)</f>
      </c>
      <c r="N491">
        <f>IF(ISBLANK('Data Entry'!$N$491), "", 'Data Entry'!$N$491)</f>
      </c>
      <c r="O491">
        <f>IF(ISBLANK('Data Entry'!$O$491), "", 'Data Entry'!$O$491)</f>
      </c>
      <c r="P491">
        <f>IF(ISBLANK('Data Entry'!$P$491), "", 'Data Entry'!$P$491)</f>
      </c>
      <c r="Q491">
        <f>IF(ISBLANK('Data Entry'!$Q$491), "", 'Data Entry'!$Q$491)</f>
      </c>
      <c r="R491">
        <f>IF(ISBLANK('Data Entry'!$R$491), "", 'Data Entry'!$R$491)</f>
      </c>
      <c r="S491">
        <f>IF(ISBLANK('Data Entry'!$S$491), "", 'Data Entry'!$S$491)</f>
      </c>
      <c r="T491">
        <f>IF(ISBLANK('Data Entry'!$T$491), "", 'Data Entry'!$T$491)</f>
      </c>
      <c r="U491">
        <f>IF(ISBLANK('Data Entry'!$U$491), "", 'Data Entry'!$U$491)</f>
      </c>
      <c r="V491">
        <f>IF(ISBLANK('Data Entry'!$V$491), "", 'Data Entry'!$V$491)</f>
      </c>
      <c r="W491">
        <f>IF(ISBLANK('Data Entry'!$W$491), "", 'Data Entry'!$W$491)</f>
      </c>
      <c r="X491">
        <f>IF(ISBLANK('Data Entry'!$X$491), "", 'Data Entry'!$X$491)</f>
      </c>
      <c r="Y491">
        <f>IF(ISBLANK('Data Entry'!$Y$491), "", 'Data Entry'!$Y$491)</f>
      </c>
      <c r="Z491">
        <f>IF(ISBLANK('Data Entry'!$Z$491), "", 'Data Entry'!$Z$491)</f>
      </c>
      <c r="AA491">
        <f>IF(ISBLANK('Data Entry'!$[$491), "", 'Data Entry'!$[$491)</f>
      </c>
      <c r="AB491">
        <f>IF(ISBLANK('Data Entry'!$\$491), "", 'Data Entry'!$\$491)</f>
      </c>
      <c r="AC491">
        <f>IF(ISBLANK('Data Entry'!$]$491), "", 'Data Entry'!$]$491)</f>
      </c>
      <c r="AD491">
        <f>IF(ISBLANK('Data Entry'!$^$491), "", 'Data Entry'!$^$491)</f>
      </c>
      <c r="AE491">
        <f>IF(ISBLANK('Data Entry'!$_$491), "", 'Data Entry'!$_$491)</f>
      </c>
      <c r="AF491">
        <f>IF(ISBLANK('Data Entry'!$`$491), "", 'Data Entry'!$`$491)</f>
      </c>
      <c r="AG491">
        <f>IF(ISBLANK('Data Entry'!$a$491), "", 'Data Entry'!$a$491)</f>
      </c>
      <c r="AH491">
        <f>IF(ISBLANK('Data Entry'!$b$491), "", 'Data Entry'!$b$491)</f>
      </c>
      <c r="AI491">
        <f>IF(ISBLANK('Data Entry'!$c$491), "", 'Data Entry'!$c$491)</f>
      </c>
      <c r="AJ491">
        <f>IF(ISBLANK('Data Entry'!$d$491), "", 'Data Entry'!$d$491)</f>
      </c>
      <c r="AK491">
        <f>IF(ISBLANK('Data Entry'!$e$491), "", 'Data Entry'!$e$491)</f>
      </c>
      <c r="AL491">
        <f>IF(ISBLANK('Data Entry'!$f$491), "", 'Data Entry'!$f$491)</f>
      </c>
      <c r="AM491">
        <f>IF(ISBLANK('Data Entry'!$g$491), "", 'Data Entry'!$g$491)</f>
      </c>
      <c r="AN491">
        <f>IF(ISBLANK('Data Entry'!$h$491), "", 'Data Entry'!$h$491)</f>
      </c>
      <c r="AO491">
        <f>IF(ISBLANK('Data Entry'!$i$491), "", 'Data Entry'!$i$491)</f>
      </c>
      <c r="AP491">
        <f>IF(ISBLANK('Data Entry'!$j$491), "", 'Data Entry'!$j$491)</f>
      </c>
      <c r="AQ491">
        <f>IF(ISBLANK('Data Entry'!$k$491), "", 'Data Entry'!$k$491)</f>
      </c>
      <c r="AR491">
        <f>IF(ISBLANK('Data Entry'!$l$491), "", 'Data Entry'!$l$491)</f>
      </c>
      <c r="AS491">
        <f>IF(ISBLANK('Data Entry'!$m$491), "", 'Data Entry'!$m$491)</f>
      </c>
      <c r="AT491">
        <f>IF(ISBLANK('Data Entry'!$n$491), "", 'Data Entry'!$n$491)</f>
      </c>
      <c r="AU491">
        <f>IF(ISBLANK('Data Entry'!$o$491), "", 'Data Entry'!$o$491)</f>
      </c>
      <c r="AV491">
        <f>IF(ISBLANK('Data Entry'!$p$491), "", 'Data Entry'!$p$491)</f>
      </c>
      <c r="AW491">
        <f>IF(ISBLANK('Data Entry'!$q$491), "", 'Data Entry'!$q$491)</f>
      </c>
      <c r="AX491">
        <f>IF(ISBLANK('Data Entry'!$r$491), "", 'Data Entry'!$r$491)</f>
      </c>
      <c r="AY491">
        <f>IF(ISBLANK('Data Entry'!$s$491), "", 'Data Entry'!$s$491)</f>
      </c>
      <c r="AZ491">
        <f>IF(ISBLANK('Data Entry'!$t$491), "", 'Data Entry'!$t$491)</f>
      </c>
      <c r="BA491">
        <f>IF(ISBLANK('Data Entry'!$u$491), "", 'Data Entry'!$u$491)</f>
      </c>
      <c r="BB491">
        <f>IF(ISBLANK('Data Entry'!$v$491), "", 'Data Entry'!$v$491)</f>
      </c>
      <c r="BC491">
        <f>IF(ISBLANK('Data Entry'!$w$491), "", 'Data Entry'!$w$491)</f>
      </c>
      <c r="BD491">
        <f>IF(ISBLANK('Data Entry'!$x$491), "", 'Data Entry'!$x$491)</f>
      </c>
      <c r="BE491">
        <f>IF(ISBLANK('Data Entry'!$y$491), "", 'Data Entry'!$y$491)</f>
      </c>
      <c r="BF491">
        <f>IF(ISBLANK('Data Entry'!$z$491), "", 'Data Entry'!$z$491)</f>
      </c>
      <c r="BG491">
        <f>IF(ISBLANK('Data Entry'!${$491), "", 'Data Entry'!${$491)</f>
      </c>
      <c r="BH491">
        <f>IF(ISBLANK('Data Entry'!$|$491), "", 'Data Entry'!$|$491)</f>
      </c>
      <c r="BI491">
        <f>IF(ISBLANK('Data Entry'!$}$491), "", 'Data Entry'!$}$491)</f>
      </c>
      <c r="BJ491">
        <f>IF(ISBLANK('Data Entry'!$~$491), "", 'Data Entry'!$~$491)</f>
      </c>
      <c r="BK491">
        <f>IF(ISBLANK('Data Entry'!$$491), "", 'Data Entry'!$$491)</f>
      </c>
      <c r="BL491">
        <f>IF(ISBLANK('Data Entry'!$$491), "", 'Data Entry'!$$491)</f>
      </c>
      <c r="BM491">
        <f>IF(ISBLANK('Data Entry'!$$491), "", 'Data Entry'!$$491)</f>
      </c>
      <c r="BN491">
        <f>IF(ISBLANK('Data Entry'!$$491), "", 'Data Entry'!$$491)</f>
      </c>
      <c r="BO491">
        <f>IF(ISBLANK('Data Entry'!$$491), "", 'Data Entry'!$$491)</f>
      </c>
      <c r="BP491">
        <f>IF(ISBLANK('Data Entry'!$$491), "", 'Data Entry'!$$491)</f>
      </c>
      <c r="BQ491">
        <f>IF(ISBLANK('Data Entry'!$$491), "", 'Data Entry'!$$491)</f>
      </c>
      <c r="BR491">
        <f>IF(ISBLANK('Data Entry'!$$491), "", 'Data Entry'!$$491)</f>
      </c>
      <c r="BS491">
        <f>IF(ISBLANK('Data Entry'!$$491), "", 'Data Entry'!$$491)</f>
      </c>
      <c r="BT491">
        <f>IF(ISBLANK('Data Entry'!$$491), "", 'Data Entry'!$$491)</f>
      </c>
      <c r="BU491">
        <f>IF(ISBLANK('Data Entry'!$$491), "", 'Data Entry'!$$491)</f>
      </c>
      <c r="BV491">
        <f>IF(ISBLANK('Data Entry'!$$491), "", 'Data Entry'!$$491)</f>
      </c>
      <c r="BW491">
        <f>IF(ISBLANK('Data Entry'!$$491), "", 'Data Entry'!$$491)</f>
      </c>
      <c r="BX491">
        <f>IF(ISBLANK('Data Entry'!$$491), "", 'Data Entry'!$$491)</f>
      </c>
      <c r="BY491">
        <f>IF(ISBLANK('Data Entry'!$$491), "", 'Data Entry'!$$491)</f>
      </c>
      <c r="BZ491">
        <f>IF(ISBLANK('Data Entry'!$$491), "", 'Data Entry'!$$491)</f>
      </c>
      <c r="CA491">
        <f>IF(ISBLANK('Data Entry'!$$491), "", 'Data Entry'!$$491)</f>
      </c>
      <c r="CB491">
        <f>IF(ISBLANK('Data Entry'!$$491), "", 'Data Entry'!$$491)</f>
      </c>
      <c r="CC491">
        <f>IF(ISBLANK('Data Entry'!$$491), "", 'Data Entry'!$$491)</f>
      </c>
      <c r="CD491">
        <f>IF(ISBLANK('Data Entry'!$$491), "", 'Data Entry'!$$491)</f>
      </c>
      <c r="CE491">
        <f>IF(ISBLANK('Data Entry'!$$491), "", 'Data Entry'!$$491)</f>
      </c>
      <c r="CF491">
        <f>IF(ISBLANK('Data Entry'!$$491), "", 'Data Entry'!$$491)</f>
      </c>
      <c r="CG491">
        <f>IF(ISBLANK('Data Entry'!$$491), "", 'Data Entry'!$$491)</f>
      </c>
      <c r="CH491">
        <f>IF(ISBLANK('Data Entry'!$$491), "", 'Data Entry'!$$491)</f>
      </c>
      <c r="CI491">
        <f>IF(ISBLANK('Data Entry'!$$491), "", 'Data Entry'!$$491)</f>
      </c>
      <c r="CJ491">
        <f>IF(ISBLANK('Data Entry'!$$491), "", 'Data Entry'!$$491)</f>
      </c>
      <c r="CK491">
        <f>IF(ISBLANK('Data Entry'!$$491), "", 'Data Entry'!$$491)</f>
      </c>
      <c r="CL491">
        <f>IF(ISBLANK('Data Entry'!$$491), "", 'Data Entry'!$$491)</f>
      </c>
      <c r="CM491">
        <f>IF(ISBLANK('Data Entry'!$$491), "", 'Data Entry'!$$491)</f>
      </c>
      <c r="CN491">
        <f>IF(ISBLANK('Data Entry'!$$491), "", 'Data Entry'!$$491)</f>
      </c>
      <c r="CO491">
        <f>IF(ISBLANK('Data Entry'!$$491), "", 'Data Entry'!$$491)</f>
      </c>
      <c r="CP491">
        <f>IF(ISBLANK('Data Entry'!$$491), "", 'Data Entry'!$$491)</f>
      </c>
      <c r="CQ491">
        <f>IF(ISBLANK('Data Entry'!$$491), "", 'Data Entry'!$$491)</f>
      </c>
      <c r="CR491">
        <f>IF(ISBLANK('Data Entry'!$ $491), "", 'Data Entry'!$ $491)</f>
      </c>
      <c r="CS491">
        <f>IF(ISBLANK('Data Entry'!$¡$491), "", 'Data Entry'!$¡$491)</f>
      </c>
      <c r="CT491">
        <f>IF(ISBLANK('Data Entry'!$¢$491), "", 'Data Entry'!$¢$491)</f>
      </c>
      <c r="CU491">
        <f>IF(ISBLANK('Data Entry'!$£$491), "", 'Data Entry'!$£$491)</f>
      </c>
      <c r="CV491">
        <f>IF(ISBLANK('Data Entry'!$¤$491), "", 'Data Entry'!$¤$491)</f>
      </c>
      <c r="CW491">
        <f>IF(ISBLANK('Data Entry'!$¥$491), "", 'Data Entry'!$¥$491)</f>
      </c>
      <c r="CX491">
        <f>IF(ISBLANK('Data Entry'!$¦$491), "", 'Data Entry'!$¦$491)</f>
      </c>
      <c r="CY491">
        <f>IF(ISBLANK('Data Entry'!$§$491), "", 'Data Entry'!$§$491)</f>
      </c>
      <c r="CZ491">
        <f>IF(ISBLANK('Data Entry'!$¨$491), "", 'Data Entry'!$¨$491)</f>
      </c>
      <c r="DA491">
        <f>IF(ISBLANK('Data Entry'!$©$491), "", 'Data Entry'!$©$491)</f>
      </c>
      <c r="DB491">
        <f>IF(ISBLANK('Data Entry'!$ª$491), "", 'Data Entry'!$ª$491)</f>
      </c>
      <c r="DC491">
        <f>IF(ISBLANK('Data Entry'!$«$491), "", 'Data Entry'!$«$491)</f>
      </c>
      <c r="DD491">
        <f>IF(ISBLANK('Data Entry'!$¬$491), "", 'Data Entry'!$¬$491)</f>
      </c>
      <c r="DE491">
        <f>IF(ISBLANK('Data Entry'!$­$491), "", 'Data Entry'!$­$491)</f>
      </c>
      <c r="DF491">
        <f>IF(ISBLANK('Data Entry'!$®$491), "", 'Data Entry'!$®$491)</f>
      </c>
      <c r="DG491">
        <f>IF(ISBLANK('Data Entry'!$¯$491), "", 'Data Entry'!$¯$491)</f>
      </c>
      <c r="DH491">
        <f>IF(ISBLANK('Data Entry'!$°$491), "", 'Data Entry'!$°$491)</f>
      </c>
      <c r="DI491">
        <f>IF(ISBLANK('Data Entry'!$±$491), "", 'Data Entry'!$±$491)</f>
      </c>
      <c r="DJ491">
        <f>IF(ISBLANK('Data Entry'!$²$491), "", 'Data Entry'!$²$491)</f>
      </c>
      <c r="DK491">
        <f>IF(ISBLANK('Data Entry'!$³$491), "", 'Data Entry'!$³$491)</f>
      </c>
      <c r="DL491">
        <f>IF(ISBLANK('Data Entry'!$´$491), "", 'Data Entry'!$´$491)</f>
      </c>
      <c r="DM491">
        <f>IF(ISBLANK('Data Entry'!$µ$491), "", 'Data Entry'!$µ$491)</f>
      </c>
      <c r="DN491">
        <f>IF(ISBLANK('Data Entry'!$¶$491), "", 'Data Entry'!$¶$491)</f>
      </c>
      <c r="DO491">
        <f>IF(ISBLANK('Data Entry'!$·$491), "", 'Data Entry'!$·$491)</f>
      </c>
      <c r="DP491">
        <f>IF(ISBLANK('Data Entry'!$¸$491), "", 'Data Entry'!$¸$491)</f>
      </c>
      <c r="DQ491">
        <f>IF(ISBLANK('Data Entry'!$¹$491), "", 'Data Entry'!$¹$491)</f>
      </c>
      <c r="DR491">
        <f>IF(ISBLANK('Data Entry'!$º$491), "", 'Data Entry'!$º$491)</f>
      </c>
      <c r="DS491">
        <f>IF(ISBLANK('Data Entry'!$»$491), "", 'Data Entry'!$»$491)</f>
      </c>
      <c r="DT491">
        <f>IF(ISBLANK('Data Entry'!$¼$491), "", 'Data Entry'!$¼$491)</f>
      </c>
      <c r="DU491">
        <f>IF(ISBLANK('Data Entry'!$½$491), "", 'Data Entry'!$½$491)</f>
      </c>
      <c r="DV491">
        <f>IF(ISBLANK('Data Entry'!$¾$491), "", 'Data Entry'!$¾$491)</f>
      </c>
      <c r="DW491">
        <f>IF(ISBLANK('Data Entry'!$¿$491), "", 'Data Entry'!$¿$491)</f>
      </c>
      <c r="DX491">
        <f>IF(ISBLANK('Data Entry'!$À$491), "", 'Data Entry'!$À$491)</f>
      </c>
      <c r="DY491">
        <f>IF(ISBLANK('Data Entry'!$Á$491), "", 'Data Entry'!$Á$491)</f>
      </c>
      <c r="DZ491">
        <f>IF(ISBLANK('Data Entry'!$Â$491), "", 'Data Entry'!$Â$491)</f>
      </c>
      <c r="EA491">
        <f>IF(ISBLANK('Data Entry'!$Ã$491), "", 'Data Entry'!$Ã$491)</f>
      </c>
      <c r="EB491">
        <f>IF(ISBLANK('Data Entry'!$Ä$491), "", 'Data Entry'!$Ä$491)</f>
      </c>
      <c r="EC491">
        <f>IF(ISBLANK('Data Entry'!$Å$491), "", 'Data Entry'!$Å$491)</f>
      </c>
      <c r="ED491">
        <f>IF(ISBLANK('Data Entry'!$Æ$491), "", 'Data Entry'!$Æ$491)</f>
      </c>
      <c r="EE491">
        <f>IF(ISBLANK('Data Entry'!$Ç$491), "", 'Data Entry'!$Ç$491)</f>
      </c>
      <c r="EF491">
        <f>IF(ISBLANK('Data Entry'!$È$491), "", 'Data Entry'!$È$491)</f>
      </c>
      <c r="EG491">
        <f>IF(ISBLANK('Data Entry'!$É$491), "", 'Data Entry'!$É$491)</f>
      </c>
      <c r="EH491">
        <f>IF(ISBLANK('Data Entry'!$Ê$491), "", 'Data Entry'!$Ê$491)</f>
      </c>
      <c r="EI491">
        <f>IF(ISBLANK('Data Entry'!$Ë$491), "", 'Data Entry'!$Ë$491)</f>
      </c>
      <c r="EJ491">
        <f>IF(ISBLANK('Data Entry'!$Ì$491), "", 'Data Entry'!$Ì$491)</f>
      </c>
      <c r="EK491">
        <f>IF(ISBLANK('Data Entry'!$Í$491), "", 'Data Entry'!$Í$491)</f>
      </c>
      <c r="EL491">
        <f>IF(ISBLANK('Data Entry'!$Î$491), "", 'Data Entry'!$Î$491)</f>
      </c>
      <c r="EM491">
        <f>IF(ISBLANK('Data Entry'!$Ï$491), "", 'Data Entry'!$Ï$491)</f>
      </c>
      <c r="EN491">
        <f>IF(ISBLANK('Data Entry'!$Ð$491), "", 'Data Entry'!$Ð$491)</f>
      </c>
      <c r="EO491">
        <f>IF(ISBLANK('Data Entry'!$Ñ$491), "", 'Data Entry'!$Ñ$491)</f>
      </c>
      <c r="EP491">
        <f>IF(ISBLANK('Data Entry'!$Ò$491), "", 'Data Entry'!$Ò$491)</f>
      </c>
      <c r="EQ491">
        <f>IF(ISBLANK('Data Entry'!$Ó$491), "", 'Data Entry'!$Ó$491)</f>
      </c>
      <c r="ER491">
        <f>IF(ISBLANK('Data Entry'!$Ô$491), "", 'Data Entry'!$Ô$491)</f>
      </c>
      <c r="ES491">
        <f>IF(ISBLANK('Data Entry'!$Õ$491), "", 'Data Entry'!$Õ$491)</f>
      </c>
      <c r="ET491">
        <f>IF(ISBLANK('Data Entry'!$Ö$491), "", 'Data Entry'!$Ö$491)</f>
      </c>
      <c r="EU491">
        <f>IF(ISBLANK('Data Entry'!$×$491), "", 'Data Entry'!$×$491)</f>
      </c>
      <c r="EV491">
        <f>IF(ISBLANK('Data Entry'!$Ø$491), "", 'Data Entry'!$Ø$491)</f>
      </c>
      <c r="EW491">
        <f>IF(ISBLANK('Data Entry'!$Ù$491), "", 'Data Entry'!$Ù$491)</f>
      </c>
      <c r="EX491">
        <f>IF(ISBLANK('Data Entry'!$Ú$491), "", 'Data Entry'!$Ú$491)</f>
      </c>
      <c r="EY491">
        <f>IF(ISBLANK('Data Entry'!$Û$491), "", 'Data Entry'!$Û$491)</f>
      </c>
      <c r="EZ491">
        <f>IF(ISBLANK('Data Entry'!$Ü$491), "", 'Data Entry'!$Ü$491)</f>
      </c>
      <c r="FA491">
        <f>IF(ISBLANK('Data Entry'!$Ý$491), "", 'Data Entry'!$Ý$491)</f>
      </c>
      <c r="FB491">
        <f>IF(ISBLANK('Data Entry'!$Þ$491), "", 'Data Entry'!$Þ$491)</f>
      </c>
      <c r="FC491">
        <f>IF(ISBLANK('Data Entry'!$ß$491), "", 'Data Entry'!$ß$491)</f>
      </c>
      <c r="FD491">
        <f>IF(ISBLANK('Data Entry'!$à$491), "", 'Data Entry'!$à$491)</f>
      </c>
      <c r="FE491">
        <f>IF(ISBLANK('Data Entry'!$á$491), "", 'Data Entry'!$á$491)</f>
      </c>
      <c r="FF491">
        <f>IF(ISBLANK('Data Entry'!$â$491), "", 'Data Entry'!$â$491)</f>
      </c>
      <c r="FG491">
        <f>IF(ISBLANK('Data Entry'!$ã$491), "", 'Data Entry'!$ã$491)</f>
      </c>
      <c r="FH491">
        <f>IF(ISBLANK('Data Entry'!$ä$491), "", 'Data Entry'!$ä$491)</f>
      </c>
      <c r="FI491">
        <f>IF(ISBLANK('Data Entry'!$å$491), "", 'Data Entry'!$å$491)</f>
      </c>
      <c r="FJ491">
        <f>IF(ISBLANK('Data Entry'!$æ$491), "", 'Data Entry'!$æ$491)</f>
      </c>
      <c r="FK491">
        <f>IF(ISBLANK('Data Entry'!$ç$491), "", 'Data Entry'!$ç$491)</f>
      </c>
      <c r="FL491">
        <f>IF(ISBLANK('Data Entry'!$è$491), "", 'Data Entry'!$è$491)</f>
      </c>
      <c r="FM491">
        <f>IF(ISBLANK('Data Entry'!$é$491), "", 'Data Entry'!$é$491)</f>
      </c>
      <c r="FN491">
        <f>IF(ISBLANK('Data Entry'!$ê$491), "", 'Data Entry'!$ê$491)</f>
      </c>
      <c r="FO491">
        <f>IF(ISBLANK('Data Entry'!$ë$491), "", 'Data Entry'!$ë$491)</f>
      </c>
      <c r="FP491">
        <f>IF(ISBLANK('Data Entry'!$ì$491), "", 'Data Entry'!$ì$491)</f>
      </c>
      <c r="FQ491">
        <f>IF(ISBLANK('Data Entry'!$í$491), "", 'Data Entry'!$í$491)</f>
      </c>
      <c r="FR491">
        <f>IF(ISBLANK('Data Entry'!$î$491), "", 'Data Entry'!$î$491)</f>
      </c>
      <c r="FS491">
        <f>IF(ISBLANK('Data Entry'!$ï$491), "", 'Data Entry'!$ï$491)</f>
      </c>
      <c r="FT491">
        <f>IF(ISBLANK('Data Entry'!$ð$491), "", 'Data Entry'!$ð$491)</f>
      </c>
      <c r="FU491">
        <f>IF(ISBLANK('Data Entry'!$ñ$491), "", 'Data Entry'!$ñ$491)</f>
      </c>
      <c r="FV491">
        <f>IF(ISBLANK('Data Entry'!$ò$491), "", 'Data Entry'!$ò$491)</f>
      </c>
      <c r="FW491">
        <f>IF(ISBLANK('Data Entry'!$ó$491), "", 'Data Entry'!$ó$491)</f>
      </c>
      <c r="FX491">
        <f>IF(ISBLANK('Data Entry'!$ô$491), "", 'Data Entry'!$ô$491)</f>
      </c>
      <c r="FY491">
        <f>IF(ISBLANK('Data Entry'!$õ$491), "", 'Data Entry'!$õ$491)</f>
      </c>
      <c r="FZ491">
        <f>IF(ISBLANK('Data Entry'!$ö$491), "", 'Data Entry'!$ö$491)</f>
      </c>
      <c r="GA491">
        <f>IF(ISBLANK('Data Entry'!$÷$491), "", 'Data Entry'!$÷$491)</f>
      </c>
      <c r="GB491">
        <f>IF(ISBLANK('Data Entry'!$ø$491), "", 'Data Entry'!$ø$491)</f>
      </c>
      <c r="GC491">
        <f>IF(ISBLANK('Data Entry'!$ù$491), "", 'Data Entry'!$ù$491)</f>
      </c>
      <c r="GD491">
        <f>IF(ISBLANK('Data Entry'!$ú$491), "", 'Data Entry'!$ú$491)</f>
      </c>
      <c r="GE491">
        <f>IF(ISBLANK('Data Entry'!$û$491), "", 'Data Entry'!$û$491)</f>
      </c>
      <c r="GF491">
        <f>IF(ISBLANK('Data Entry'!$ü$491), "", 'Data Entry'!$ü$491)</f>
      </c>
      <c r="GG491">
        <f>IF(ISBLANK('Data Entry'!$ý$491), "", 'Data Entry'!$ý$491)</f>
      </c>
      <c r="GH491">
        <f>IF(ISBLANK('Data Entry'!$þ$491), "", 'Data Entry'!$þ$491)</f>
      </c>
      <c r="GI491">
        <f>IF(ISBLANK('Data Entry'!$ÿ$491), "", 'Data Entry'!$ÿ$491)</f>
      </c>
      <c r="GJ491">
        <f>IF(ISBLANK('Data Entry'!$Ā$491), "", 'Data Entry'!$Ā$491)</f>
      </c>
      <c r="GK491">
        <f>IF(ISBLANK('Data Entry'!$ā$491), "", 'Data Entry'!$ā$491)</f>
      </c>
      <c r="GL491">
        <f>IF(ISBLANK('Data Entry'!$Ă$491), "", 'Data Entry'!$Ă$491)</f>
      </c>
      <c r="GM491">
        <f>IF(ISBLANK('Data Entry'!$ă$491), "", 'Data Entry'!$ă$491)</f>
      </c>
      <c r="GN491">
        <f>IF(ISBLANK('Data Entry'!$Ą$491), "", 'Data Entry'!$Ą$491)</f>
      </c>
      <c r="GO491">
        <f>IF(ISBLANK('Data Entry'!$ą$491), "", 'Data Entry'!$ą$491)</f>
      </c>
      <c r="GP491">
        <f>IF(ISBLANK('Data Entry'!$Ć$491), "", 'Data Entry'!$Ć$491)</f>
      </c>
      <c r="GQ491">
        <f>IF(ISBLANK('Data Entry'!$ć$491), "", 'Data Entry'!$ć$491)</f>
      </c>
      <c r="GR491">
        <f>IF(ISBLANK('Data Entry'!$Ĉ$491), "", 'Data Entry'!$Ĉ$491)</f>
      </c>
      <c r="GS491">
        <f>IF(ISBLANK('Data Entry'!$ĉ$491), "", 'Data Entry'!$ĉ$491)</f>
      </c>
      <c r="GT491">
        <f>IF(ISBLANK('Data Entry'!$Ċ$491), "", 'Data Entry'!$Ċ$491)</f>
      </c>
      <c r="GU491">
        <f>IF(ISBLANK('Data Entry'!$ċ$491), "", 'Data Entry'!$ċ$491)</f>
      </c>
      <c r="GV491">
        <f>IF(ISBLANK('Data Entry'!$Č$491), "", 'Data Entry'!$Č$491)</f>
      </c>
      <c r="GW491">
        <f>IF(ISBLANK('Data Entry'!$č$491), "", 'Data Entry'!$č$491)</f>
      </c>
      <c r="GX491">
        <f>IF(ISBLANK('Data Entry'!$Ď$491), "", 'Data Entry'!$Ď$491)</f>
      </c>
      <c r="GY491">
        <f>IF(ISBLANK('Data Entry'!$ď$491), "", 'Data Entry'!$ď$491)</f>
      </c>
      <c r="GZ491">
        <f>IF(ISBLANK('Data Entry'!$Đ$491), "", 'Data Entry'!$Đ$491)</f>
      </c>
      <c r="HA491">
        <f>IF(ISBLANK('Data Entry'!$đ$491), "", 'Data Entry'!$đ$491)</f>
      </c>
      <c r="HB491">
        <f>IF(ISBLANK('Data Entry'!$Ē$491), "", 'Data Entry'!$Ē$491)</f>
      </c>
      <c r="HC491">
        <f>IF(ISBLANK('Data Entry'!$ē$491), "", 'Data Entry'!$ē$491)</f>
      </c>
      <c r="HD491">
        <f>IF(ISBLANK('Data Entry'!$Ĕ$491), "", 'Data Entry'!$Ĕ$491)</f>
      </c>
      <c r="HE491">
        <f>IF(ISBLANK('Data Entry'!$ĕ$491), "", 'Data Entry'!$ĕ$491)</f>
      </c>
      <c r="HF491">
        <f>IF(ISBLANK('Data Entry'!$Ė$491), "", 'Data Entry'!$Ė$491)</f>
      </c>
      <c r="HG491">
        <f>IF(ISBLANK('Data Entry'!$ė$491), "", 'Data Entry'!$ė$491)</f>
      </c>
      <c r="HH491">
        <f>IF(ISBLANK('Data Entry'!$Ę$491), "", 'Data Entry'!$Ę$491)</f>
      </c>
      <c r="HI491">
        <f>IF(ISBLANK('Data Entry'!$ę$491), "", 'Data Entry'!$ę$491)</f>
      </c>
      <c r="HJ491">
        <f>IF(ISBLANK('Data Entry'!$Ě$491), "", 'Data Entry'!$Ě$491)</f>
      </c>
      <c r="HK491">
        <f>IF(ISBLANK('Data Entry'!$ě$491), "", 'Data Entry'!$ě$491)</f>
      </c>
      <c r="HL491">
        <f>IF(ISBLANK('Data Entry'!$Ĝ$491), "", 'Data Entry'!$Ĝ$491)</f>
      </c>
      <c r="HM491">
        <f>IF(ISBLANK('Data Entry'!$ĝ$491), "", 'Data Entry'!$ĝ$491)</f>
      </c>
      <c r="HN491">
        <f>IF(ISBLANK('Data Entry'!$Ğ$491), "", 'Data Entry'!$Ğ$491)</f>
      </c>
      <c r="HO491">
        <f>IF(ISBLANK('Data Entry'!$ğ$491), "", 'Data Entry'!$ğ$491)</f>
      </c>
      <c r="HP491">
        <f>IF(ISBLANK('Data Entry'!$Ġ$491), "", 'Data Entry'!$Ġ$491)</f>
      </c>
      <c r="HQ491">
        <f>IF(ISBLANK('Data Entry'!$ġ$491), "", 'Data Entry'!$ġ$491)</f>
      </c>
      <c r="HR491">
        <f>IF(ISBLANK('Data Entry'!$Ģ$491), "", 'Data Entry'!$Ģ$491)</f>
      </c>
      <c r="HS491">
        <f>IF(ISBLANK('Data Entry'!$ģ$491), "", 'Data Entry'!$ģ$491)</f>
      </c>
      <c r="HT491">
        <f>IF(ISBLANK('Data Entry'!$Ĥ$491), "", 'Data Entry'!$Ĥ$491)</f>
      </c>
      <c r="HU491">
        <f>IF(ISBLANK('Data Entry'!$ĥ$491), "", 'Data Entry'!$ĥ$491)</f>
      </c>
      <c r="HV491">
        <f>IF(ISBLANK('Data Entry'!$Ħ$491), "", 'Data Entry'!$Ħ$491)</f>
      </c>
      <c r="HW491">
        <f>IF(ISBLANK('Data Entry'!$ħ$491), "", 'Data Entry'!$ħ$491)</f>
      </c>
      <c r="HX491">
        <f>IF(ISBLANK('Data Entry'!$Ĩ$491), "", 'Data Entry'!$Ĩ$491)</f>
      </c>
      <c r="HY491">
        <f>IF(ISBLANK('Data Entry'!$ĩ$491), "", 'Data Entry'!$ĩ$491)</f>
      </c>
      <c r="HZ491">
        <f>IF(ISBLANK('Data Entry'!$Ī$491), "", 'Data Entry'!$Ī$491)</f>
      </c>
      <c r="IA491">
        <f>IF(ISBLANK('Data Entry'!$ī$491), "", 'Data Entry'!$ī$491)</f>
      </c>
      <c r="IB491">
        <f>IF(ISBLANK('Data Entry'!$Ĭ$491), "", 'Data Entry'!$Ĭ$491)</f>
      </c>
      <c r="IC491">
        <f>IF(ISBLANK('Data Entry'!$ĭ$491), "", 'Data Entry'!$ĭ$491)</f>
      </c>
      <c r="ID491">
        <f>IF(ISBLANK('Data Entry'!$Į$491), "", 'Data Entry'!$Į$491)</f>
      </c>
      <c r="IE491">
        <f>IF(ISBLANK('Data Entry'!$į$491), "", 'Data Entry'!$į$491)</f>
      </c>
      <c r="IF491">
        <f>IF(ISBLANK('Data Entry'!$İ$491), "", 'Data Entry'!$İ$491)</f>
      </c>
      <c r="IG491">
        <f>IF(ISBLANK('Data Entry'!$ı$491), "", 'Data Entry'!$ı$491)</f>
      </c>
      <c r="IH491">
        <f>IF(ISBLANK('Data Entry'!$Ĳ$491), "", 'Data Entry'!$Ĳ$491)</f>
      </c>
      <c r="II491">
        <f>IF(ISBLANK('Data Entry'!$ĳ$491), "", 'Data Entry'!$ĳ$491)</f>
      </c>
      <c r="IJ491">
        <f>IF(ISBLANK('Data Entry'!$Ĵ$491), "", 'Data Entry'!$Ĵ$491)</f>
      </c>
      <c r="IK491">
        <f>IF(ISBLANK('Data Entry'!$ĵ$491), "", 'Data Entry'!$ĵ$491)</f>
      </c>
      <c r="IL491">
        <f>IF(ISBLANK('Data Entry'!$Ķ$491), "", 'Data Entry'!$Ķ$491)</f>
      </c>
      <c r="IM491">
        <f>IF(ISBLANK('Data Entry'!$ķ$491), "", 'Data Entry'!$ķ$491)</f>
      </c>
      <c r="IN491">
        <f>IF(ISBLANK('Data Entry'!$ĸ$491), "", 'Data Entry'!$ĸ$491)</f>
      </c>
      <c r="IO491">
        <f>IF(ISBLANK('Data Entry'!$Ĺ$491), "", 'Data Entry'!$Ĺ$491)</f>
      </c>
      <c r="IP491">
        <f>IF(ISBLANK('Data Entry'!$ĺ$491), "", 'Data Entry'!$ĺ$491)</f>
      </c>
      <c r="IQ491">
        <f>IF(ISBLANK('Data Entry'!$Ļ$491), "", 'Data Entry'!$Ļ$491)</f>
      </c>
      <c r="IR491">
        <f>IF(ISBLANK('Data Entry'!$ļ$491), "", 'Data Entry'!$ļ$491)</f>
      </c>
      <c r="IS491">
        <f>IF(ISBLANK('Data Entry'!$Ľ$491), "", 'Data Entry'!$Ľ$491)</f>
      </c>
      <c r="IT491">
        <f>IF(ISBLANK('Data Entry'!$ľ$491), "", 'Data Entry'!$ľ$491)</f>
      </c>
    </row>
    <row r="492" spans="1:254" x14ac:dyDescent="0.25">
      <c r="A492">
        <f>IF(ISBLANK('Data Entry'!$A$492), "", 'Data Entry'!$A$492)</f>
      </c>
      <c r="B492">
        <f>IF(ISBLANK('Data Entry'!$B$492), "", 'Data Entry'!$B$492)</f>
      </c>
      <c r="C492">
        <f>IF(ISBLANK('Data Entry'!$C$492), "", 'Data Entry'!$C$492)</f>
      </c>
      <c r="D492">
        <f>IF(ISBLANK('Data Entry'!$D$492), "", 'Data Entry'!$D$492)</f>
      </c>
      <c r="E492">
        <f>IF(ISBLANK('Data Entry'!$E$492), "", 'Data Entry'!$E$492)</f>
      </c>
      <c r="F492">
        <f>IF(ISBLANK('Data Entry'!$F$492), "", 'Data Entry'!$F$492)</f>
      </c>
      <c r="G492">
        <f>IF(ISBLANK('Data Entry'!$G$492), "", 'Data Entry'!$G$492)</f>
      </c>
      <c r="H492">
        <f>IF(ISBLANK('Data Entry'!$H$492), "", 'Data Entry'!$H$492)</f>
      </c>
      <c r="I492">
        <f>IF(ISBLANK('Data Entry'!$I$492), "", 'Data Entry'!$I$492)</f>
      </c>
      <c r="J492">
        <f>IF(ISBLANK('Data Entry'!$J$492), "", 'Data Entry'!$J$492)</f>
      </c>
      <c r="K492">
        <f>IF(ISBLANK('Data Entry'!$K$492), "", 'Data Entry'!$K$492)</f>
      </c>
      <c r="L492">
        <f>IF(ISBLANK('Data Entry'!$L$492), "", 'Data Entry'!$L$492)</f>
      </c>
      <c r="M492">
        <f>IF(ISBLANK('Data Entry'!$M$492), "", 'Data Entry'!$M$492)</f>
      </c>
      <c r="N492">
        <f>IF(ISBLANK('Data Entry'!$N$492), "", 'Data Entry'!$N$492)</f>
      </c>
      <c r="O492">
        <f>IF(ISBLANK('Data Entry'!$O$492), "", 'Data Entry'!$O$492)</f>
      </c>
      <c r="P492">
        <f>IF(ISBLANK('Data Entry'!$P$492), "", 'Data Entry'!$P$492)</f>
      </c>
      <c r="Q492">
        <f>IF(ISBLANK('Data Entry'!$Q$492), "", 'Data Entry'!$Q$492)</f>
      </c>
      <c r="R492">
        <f>IF(ISBLANK('Data Entry'!$R$492), "", 'Data Entry'!$R$492)</f>
      </c>
      <c r="S492">
        <f>IF(ISBLANK('Data Entry'!$S$492), "", 'Data Entry'!$S$492)</f>
      </c>
      <c r="T492">
        <f>IF(ISBLANK('Data Entry'!$T$492), "", 'Data Entry'!$T$492)</f>
      </c>
      <c r="U492">
        <f>IF(ISBLANK('Data Entry'!$U$492), "", 'Data Entry'!$U$492)</f>
      </c>
      <c r="V492">
        <f>IF(ISBLANK('Data Entry'!$V$492), "", 'Data Entry'!$V$492)</f>
      </c>
      <c r="W492">
        <f>IF(ISBLANK('Data Entry'!$W$492), "", 'Data Entry'!$W$492)</f>
      </c>
      <c r="X492">
        <f>IF(ISBLANK('Data Entry'!$X$492), "", 'Data Entry'!$X$492)</f>
      </c>
      <c r="Y492">
        <f>IF(ISBLANK('Data Entry'!$Y$492), "", 'Data Entry'!$Y$492)</f>
      </c>
      <c r="Z492">
        <f>IF(ISBLANK('Data Entry'!$Z$492), "", 'Data Entry'!$Z$492)</f>
      </c>
      <c r="AA492">
        <f>IF(ISBLANK('Data Entry'!$[$492), "", 'Data Entry'!$[$492)</f>
      </c>
      <c r="AB492">
        <f>IF(ISBLANK('Data Entry'!$\$492), "", 'Data Entry'!$\$492)</f>
      </c>
      <c r="AC492">
        <f>IF(ISBLANK('Data Entry'!$]$492), "", 'Data Entry'!$]$492)</f>
      </c>
      <c r="AD492">
        <f>IF(ISBLANK('Data Entry'!$^$492), "", 'Data Entry'!$^$492)</f>
      </c>
      <c r="AE492">
        <f>IF(ISBLANK('Data Entry'!$_$492), "", 'Data Entry'!$_$492)</f>
      </c>
      <c r="AF492">
        <f>IF(ISBLANK('Data Entry'!$`$492), "", 'Data Entry'!$`$492)</f>
      </c>
      <c r="AG492">
        <f>IF(ISBLANK('Data Entry'!$a$492), "", 'Data Entry'!$a$492)</f>
      </c>
      <c r="AH492">
        <f>IF(ISBLANK('Data Entry'!$b$492), "", 'Data Entry'!$b$492)</f>
      </c>
      <c r="AI492">
        <f>IF(ISBLANK('Data Entry'!$c$492), "", 'Data Entry'!$c$492)</f>
      </c>
      <c r="AJ492">
        <f>IF(ISBLANK('Data Entry'!$d$492), "", 'Data Entry'!$d$492)</f>
      </c>
      <c r="AK492">
        <f>IF(ISBLANK('Data Entry'!$e$492), "", 'Data Entry'!$e$492)</f>
      </c>
      <c r="AL492">
        <f>IF(ISBLANK('Data Entry'!$f$492), "", 'Data Entry'!$f$492)</f>
      </c>
      <c r="AM492">
        <f>IF(ISBLANK('Data Entry'!$g$492), "", 'Data Entry'!$g$492)</f>
      </c>
      <c r="AN492">
        <f>IF(ISBLANK('Data Entry'!$h$492), "", 'Data Entry'!$h$492)</f>
      </c>
      <c r="AO492">
        <f>IF(ISBLANK('Data Entry'!$i$492), "", 'Data Entry'!$i$492)</f>
      </c>
      <c r="AP492">
        <f>IF(ISBLANK('Data Entry'!$j$492), "", 'Data Entry'!$j$492)</f>
      </c>
      <c r="AQ492">
        <f>IF(ISBLANK('Data Entry'!$k$492), "", 'Data Entry'!$k$492)</f>
      </c>
      <c r="AR492">
        <f>IF(ISBLANK('Data Entry'!$l$492), "", 'Data Entry'!$l$492)</f>
      </c>
      <c r="AS492">
        <f>IF(ISBLANK('Data Entry'!$m$492), "", 'Data Entry'!$m$492)</f>
      </c>
      <c r="AT492">
        <f>IF(ISBLANK('Data Entry'!$n$492), "", 'Data Entry'!$n$492)</f>
      </c>
      <c r="AU492">
        <f>IF(ISBLANK('Data Entry'!$o$492), "", 'Data Entry'!$o$492)</f>
      </c>
      <c r="AV492">
        <f>IF(ISBLANK('Data Entry'!$p$492), "", 'Data Entry'!$p$492)</f>
      </c>
      <c r="AW492">
        <f>IF(ISBLANK('Data Entry'!$q$492), "", 'Data Entry'!$q$492)</f>
      </c>
      <c r="AX492">
        <f>IF(ISBLANK('Data Entry'!$r$492), "", 'Data Entry'!$r$492)</f>
      </c>
      <c r="AY492">
        <f>IF(ISBLANK('Data Entry'!$s$492), "", 'Data Entry'!$s$492)</f>
      </c>
      <c r="AZ492">
        <f>IF(ISBLANK('Data Entry'!$t$492), "", 'Data Entry'!$t$492)</f>
      </c>
      <c r="BA492">
        <f>IF(ISBLANK('Data Entry'!$u$492), "", 'Data Entry'!$u$492)</f>
      </c>
      <c r="BB492">
        <f>IF(ISBLANK('Data Entry'!$v$492), "", 'Data Entry'!$v$492)</f>
      </c>
      <c r="BC492">
        <f>IF(ISBLANK('Data Entry'!$w$492), "", 'Data Entry'!$w$492)</f>
      </c>
      <c r="BD492">
        <f>IF(ISBLANK('Data Entry'!$x$492), "", 'Data Entry'!$x$492)</f>
      </c>
      <c r="BE492">
        <f>IF(ISBLANK('Data Entry'!$y$492), "", 'Data Entry'!$y$492)</f>
      </c>
      <c r="BF492">
        <f>IF(ISBLANK('Data Entry'!$z$492), "", 'Data Entry'!$z$492)</f>
      </c>
      <c r="BG492">
        <f>IF(ISBLANK('Data Entry'!${$492), "", 'Data Entry'!${$492)</f>
      </c>
      <c r="BH492">
        <f>IF(ISBLANK('Data Entry'!$|$492), "", 'Data Entry'!$|$492)</f>
      </c>
      <c r="BI492">
        <f>IF(ISBLANK('Data Entry'!$}$492), "", 'Data Entry'!$}$492)</f>
      </c>
      <c r="BJ492">
        <f>IF(ISBLANK('Data Entry'!$~$492), "", 'Data Entry'!$~$492)</f>
      </c>
      <c r="BK492">
        <f>IF(ISBLANK('Data Entry'!$$492), "", 'Data Entry'!$$492)</f>
      </c>
      <c r="BL492">
        <f>IF(ISBLANK('Data Entry'!$$492), "", 'Data Entry'!$$492)</f>
      </c>
      <c r="BM492">
        <f>IF(ISBLANK('Data Entry'!$$492), "", 'Data Entry'!$$492)</f>
      </c>
      <c r="BN492">
        <f>IF(ISBLANK('Data Entry'!$$492), "", 'Data Entry'!$$492)</f>
      </c>
      <c r="BO492">
        <f>IF(ISBLANK('Data Entry'!$$492), "", 'Data Entry'!$$492)</f>
      </c>
      <c r="BP492">
        <f>IF(ISBLANK('Data Entry'!$$492), "", 'Data Entry'!$$492)</f>
      </c>
      <c r="BQ492">
        <f>IF(ISBLANK('Data Entry'!$$492), "", 'Data Entry'!$$492)</f>
      </c>
      <c r="BR492">
        <f>IF(ISBLANK('Data Entry'!$$492), "", 'Data Entry'!$$492)</f>
      </c>
      <c r="BS492">
        <f>IF(ISBLANK('Data Entry'!$$492), "", 'Data Entry'!$$492)</f>
      </c>
      <c r="BT492">
        <f>IF(ISBLANK('Data Entry'!$$492), "", 'Data Entry'!$$492)</f>
      </c>
      <c r="BU492">
        <f>IF(ISBLANK('Data Entry'!$$492), "", 'Data Entry'!$$492)</f>
      </c>
      <c r="BV492">
        <f>IF(ISBLANK('Data Entry'!$$492), "", 'Data Entry'!$$492)</f>
      </c>
      <c r="BW492">
        <f>IF(ISBLANK('Data Entry'!$$492), "", 'Data Entry'!$$492)</f>
      </c>
      <c r="BX492">
        <f>IF(ISBLANK('Data Entry'!$$492), "", 'Data Entry'!$$492)</f>
      </c>
      <c r="BY492">
        <f>IF(ISBLANK('Data Entry'!$$492), "", 'Data Entry'!$$492)</f>
      </c>
      <c r="BZ492">
        <f>IF(ISBLANK('Data Entry'!$$492), "", 'Data Entry'!$$492)</f>
      </c>
      <c r="CA492">
        <f>IF(ISBLANK('Data Entry'!$$492), "", 'Data Entry'!$$492)</f>
      </c>
      <c r="CB492">
        <f>IF(ISBLANK('Data Entry'!$$492), "", 'Data Entry'!$$492)</f>
      </c>
      <c r="CC492">
        <f>IF(ISBLANK('Data Entry'!$$492), "", 'Data Entry'!$$492)</f>
      </c>
      <c r="CD492">
        <f>IF(ISBLANK('Data Entry'!$$492), "", 'Data Entry'!$$492)</f>
      </c>
      <c r="CE492">
        <f>IF(ISBLANK('Data Entry'!$$492), "", 'Data Entry'!$$492)</f>
      </c>
      <c r="CF492">
        <f>IF(ISBLANK('Data Entry'!$$492), "", 'Data Entry'!$$492)</f>
      </c>
      <c r="CG492">
        <f>IF(ISBLANK('Data Entry'!$$492), "", 'Data Entry'!$$492)</f>
      </c>
      <c r="CH492">
        <f>IF(ISBLANK('Data Entry'!$$492), "", 'Data Entry'!$$492)</f>
      </c>
      <c r="CI492">
        <f>IF(ISBLANK('Data Entry'!$$492), "", 'Data Entry'!$$492)</f>
      </c>
      <c r="CJ492">
        <f>IF(ISBLANK('Data Entry'!$$492), "", 'Data Entry'!$$492)</f>
      </c>
      <c r="CK492">
        <f>IF(ISBLANK('Data Entry'!$$492), "", 'Data Entry'!$$492)</f>
      </c>
      <c r="CL492">
        <f>IF(ISBLANK('Data Entry'!$$492), "", 'Data Entry'!$$492)</f>
      </c>
      <c r="CM492">
        <f>IF(ISBLANK('Data Entry'!$$492), "", 'Data Entry'!$$492)</f>
      </c>
      <c r="CN492">
        <f>IF(ISBLANK('Data Entry'!$$492), "", 'Data Entry'!$$492)</f>
      </c>
      <c r="CO492">
        <f>IF(ISBLANK('Data Entry'!$$492), "", 'Data Entry'!$$492)</f>
      </c>
      <c r="CP492">
        <f>IF(ISBLANK('Data Entry'!$$492), "", 'Data Entry'!$$492)</f>
      </c>
      <c r="CQ492">
        <f>IF(ISBLANK('Data Entry'!$$492), "", 'Data Entry'!$$492)</f>
      </c>
      <c r="CR492">
        <f>IF(ISBLANK('Data Entry'!$ $492), "", 'Data Entry'!$ $492)</f>
      </c>
      <c r="CS492">
        <f>IF(ISBLANK('Data Entry'!$¡$492), "", 'Data Entry'!$¡$492)</f>
      </c>
      <c r="CT492">
        <f>IF(ISBLANK('Data Entry'!$¢$492), "", 'Data Entry'!$¢$492)</f>
      </c>
      <c r="CU492">
        <f>IF(ISBLANK('Data Entry'!$£$492), "", 'Data Entry'!$£$492)</f>
      </c>
      <c r="CV492">
        <f>IF(ISBLANK('Data Entry'!$¤$492), "", 'Data Entry'!$¤$492)</f>
      </c>
      <c r="CW492">
        <f>IF(ISBLANK('Data Entry'!$¥$492), "", 'Data Entry'!$¥$492)</f>
      </c>
      <c r="CX492">
        <f>IF(ISBLANK('Data Entry'!$¦$492), "", 'Data Entry'!$¦$492)</f>
      </c>
      <c r="CY492">
        <f>IF(ISBLANK('Data Entry'!$§$492), "", 'Data Entry'!$§$492)</f>
      </c>
      <c r="CZ492">
        <f>IF(ISBLANK('Data Entry'!$¨$492), "", 'Data Entry'!$¨$492)</f>
      </c>
      <c r="DA492">
        <f>IF(ISBLANK('Data Entry'!$©$492), "", 'Data Entry'!$©$492)</f>
      </c>
      <c r="DB492">
        <f>IF(ISBLANK('Data Entry'!$ª$492), "", 'Data Entry'!$ª$492)</f>
      </c>
      <c r="DC492">
        <f>IF(ISBLANK('Data Entry'!$«$492), "", 'Data Entry'!$«$492)</f>
      </c>
      <c r="DD492">
        <f>IF(ISBLANK('Data Entry'!$¬$492), "", 'Data Entry'!$¬$492)</f>
      </c>
      <c r="DE492">
        <f>IF(ISBLANK('Data Entry'!$­$492), "", 'Data Entry'!$­$492)</f>
      </c>
      <c r="DF492">
        <f>IF(ISBLANK('Data Entry'!$®$492), "", 'Data Entry'!$®$492)</f>
      </c>
      <c r="DG492">
        <f>IF(ISBLANK('Data Entry'!$¯$492), "", 'Data Entry'!$¯$492)</f>
      </c>
      <c r="DH492">
        <f>IF(ISBLANK('Data Entry'!$°$492), "", 'Data Entry'!$°$492)</f>
      </c>
      <c r="DI492">
        <f>IF(ISBLANK('Data Entry'!$±$492), "", 'Data Entry'!$±$492)</f>
      </c>
      <c r="DJ492">
        <f>IF(ISBLANK('Data Entry'!$²$492), "", 'Data Entry'!$²$492)</f>
      </c>
      <c r="DK492">
        <f>IF(ISBLANK('Data Entry'!$³$492), "", 'Data Entry'!$³$492)</f>
      </c>
      <c r="DL492">
        <f>IF(ISBLANK('Data Entry'!$´$492), "", 'Data Entry'!$´$492)</f>
      </c>
      <c r="DM492">
        <f>IF(ISBLANK('Data Entry'!$µ$492), "", 'Data Entry'!$µ$492)</f>
      </c>
      <c r="DN492">
        <f>IF(ISBLANK('Data Entry'!$¶$492), "", 'Data Entry'!$¶$492)</f>
      </c>
      <c r="DO492">
        <f>IF(ISBLANK('Data Entry'!$·$492), "", 'Data Entry'!$·$492)</f>
      </c>
      <c r="DP492">
        <f>IF(ISBLANK('Data Entry'!$¸$492), "", 'Data Entry'!$¸$492)</f>
      </c>
      <c r="DQ492">
        <f>IF(ISBLANK('Data Entry'!$¹$492), "", 'Data Entry'!$¹$492)</f>
      </c>
      <c r="DR492">
        <f>IF(ISBLANK('Data Entry'!$º$492), "", 'Data Entry'!$º$492)</f>
      </c>
      <c r="DS492">
        <f>IF(ISBLANK('Data Entry'!$»$492), "", 'Data Entry'!$»$492)</f>
      </c>
      <c r="DT492">
        <f>IF(ISBLANK('Data Entry'!$¼$492), "", 'Data Entry'!$¼$492)</f>
      </c>
      <c r="DU492">
        <f>IF(ISBLANK('Data Entry'!$½$492), "", 'Data Entry'!$½$492)</f>
      </c>
      <c r="DV492">
        <f>IF(ISBLANK('Data Entry'!$¾$492), "", 'Data Entry'!$¾$492)</f>
      </c>
      <c r="DW492">
        <f>IF(ISBLANK('Data Entry'!$¿$492), "", 'Data Entry'!$¿$492)</f>
      </c>
      <c r="DX492">
        <f>IF(ISBLANK('Data Entry'!$À$492), "", 'Data Entry'!$À$492)</f>
      </c>
      <c r="DY492">
        <f>IF(ISBLANK('Data Entry'!$Á$492), "", 'Data Entry'!$Á$492)</f>
      </c>
      <c r="DZ492">
        <f>IF(ISBLANK('Data Entry'!$Â$492), "", 'Data Entry'!$Â$492)</f>
      </c>
      <c r="EA492">
        <f>IF(ISBLANK('Data Entry'!$Ã$492), "", 'Data Entry'!$Ã$492)</f>
      </c>
      <c r="EB492">
        <f>IF(ISBLANK('Data Entry'!$Ä$492), "", 'Data Entry'!$Ä$492)</f>
      </c>
      <c r="EC492">
        <f>IF(ISBLANK('Data Entry'!$Å$492), "", 'Data Entry'!$Å$492)</f>
      </c>
      <c r="ED492">
        <f>IF(ISBLANK('Data Entry'!$Æ$492), "", 'Data Entry'!$Æ$492)</f>
      </c>
      <c r="EE492">
        <f>IF(ISBLANK('Data Entry'!$Ç$492), "", 'Data Entry'!$Ç$492)</f>
      </c>
      <c r="EF492">
        <f>IF(ISBLANK('Data Entry'!$È$492), "", 'Data Entry'!$È$492)</f>
      </c>
      <c r="EG492">
        <f>IF(ISBLANK('Data Entry'!$É$492), "", 'Data Entry'!$É$492)</f>
      </c>
      <c r="EH492">
        <f>IF(ISBLANK('Data Entry'!$Ê$492), "", 'Data Entry'!$Ê$492)</f>
      </c>
      <c r="EI492">
        <f>IF(ISBLANK('Data Entry'!$Ë$492), "", 'Data Entry'!$Ë$492)</f>
      </c>
      <c r="EJ492">
        <f>IF(ISBLANK('Data Entry'!$Ì$492), "", 'Data Entry'!$Ì$492)</f>
      </c>
      <c r="EK492">
        <f>IF(ISBLANK('Data Entry'!$Í$492), "", 'Data Entry'!$Í$492)</f>
      </c>
      <c r="EL492">
        <f>IF(ISBLANK('Data Entry'!$Î$492), "", 'Data Entry'!$Î$492)</f>
      </c>
      <c r="EM492">
        <f>IF(ISBLANK('Data Entry'!$Ï$492), "", 'Data Entry'!$Ï$492)</f>
      </c>
      <c r="EN492">
        <f>IF(ISBLANK('Data Entry'!$Ð$492), "", 'Data Entry'!$Ð$492)</f>
      </c>
      <c r="EO492">
        <f>IF(ISBLANK('Data Entry'!$Ñ$492), "", 'Data Entry'!$Ñ$492)</f>
      </c>
      <c r="EP492">
        <f>IF(ISBLANK('Data Entry'!$Ò$492), "", 'Data Entry'!$Ò$492)</f>
      </c>
      <c r="EQ492">
        <f>IF(ISBLANK('Data Entry'!$Ó$492), "", 'Data Entry'!$Ó$492)</f>
      </c>
      <c r="ER492">
        <f>IF(ISBLANK('Data Entry'!$Ô$492), "", 'Data Entry'!$Ô$492)</f>
      </c>
      <c r="ES492">
        <f>IF(ISBLANK('Data Entry'!$Õ$492), "", 'Data Entry'!$Õ$492)</f>
      </c>
      <c r="ET492">
        <f>IF(ISBLANK('Data Entry'!$Ö$492), "", 'Data Entry'!$Ö$492)</f>
      </c>
      <c r="EU492">
        <f>IF(ISBLANK('Data Entry'!$×$492), "", 'Data Entry'!$×$492)</f>
      </c>
      <c r="EV492">
        <f>IF(ISBLANK('Data Entry'!$Ø$492), "", 'Data Entry'!$Ø$492)</f>
      </c>
      <c r="EW492">
        <f>IF(ISBLANK('Data Entry'!$Ù$492), "", 'Data Entry'!$Ù$492)</f>
      </c>
      <c r="EX492">
        <f>IF(ISBLANK('Data Entry'!$Ú$492), "", 'Data Entry'!$Ú$492)</f>
      </c>
      <c r="EY492">
        <f>IF(ISBLANK('Data Entry'!$Û$492), "", 'Data Entry'!$Û$492)</f>
      </c>
      <c r="EZ492">
        <f>IF(ISBLANK('Data Entry'!$Ü$492), "", 'Data Entry'!$Ü$492)</f>
      </c>
      <c r="FA492">
        <f>IF(ISBLANK('Data Entry'!$Ý$492), "", 'Data Entry'!$Ý$492)</f>
      </c>
      <c r="FB492">
        <f>IF(ISBLANK('Data Entry'!$Þ$492), "", 'Data Entry'!$Þ$492)</f>
      </c>
      <c r="FC492">
        <f>IF(ISBLANK('Data Entry'!$ß$492), "", 'Data Entry'!$ß$492)</f>
      </c>
      <c r="FD492">
        <f>IF(ISBLANK('Data Entry'!$à$492), "", 'Data Entry'!$à$492)</f>
      </c>
      <c r="FE492">
        <f>IF(ISBLANK('Data Entry'!$á$492), "", 'Data Entry'!$á$492)</f>
      </c>
      <c r="FF492">
        <f>IF(ISBLANK('Data Entry'!$â$492), "", 'Data Entry'!$â$492)</f>
      </c>
      <c r="FG492">
        <f>IF(ISBLANK('Data Entry'!$ã$492), "", 'Data Entry'!$ã$492)</f>
      </c>
      <c r="FH492">
        <f>IF(ISBLANK('Data Entry'!$ä$492), "", 'Data Entry'!$ä$492)</f>
      </c>
      <c r="FI492">
        <f>IF(ISBLANK('Data Entry'!$å$492), "", 'Data Entry'!$å$492)</f>
      </c>
      <c r="FJ492">
        <f>IF(ISBLANK('Data Entry'!$æ$492), "", 'Data Entry'!$æ$492)</f>
      </c>
      <c r="FK492">
        <f>IF(ISBLANK('Data Entry'!$ç$492), "", 'Data Entry'!$ç$492)</f>
      </c>
      <c r="FL492">
        <f>IF(ISBLANK('Data Entry'!$è$492), "", 'Data Entry'!$è$492)</f>
      </c>
      <c r="FM492">
        <f>IF(ISBLANK('Data Entry'!$é$492), "", 'Data Entry'!$é$492)</f>
      </c>
      <c r="FN492">
        <f>IF(ISBLANK('Data Entry'!$ê$492), "", 'Data Entry'!$ê$492)</f>
      </c>
      <c r="FO492">
        <f>IF(ISBLANK('Data Entry'!$ë$492), "", 'Data Entry'!$ë$492)</f>
      </c>
      <c r="FP492">
        <f>IF(ISBLANK('Data Entry'!$ì$492), "", 'Data Entry'!$ì$492)</f>
      </c>
      <c r="FQ492">
        <f>IF(ISBLANK('Data Entry'!$í$492), "", 'Data Entry'!$í$492)</f>
      </c>
      <c r="FR492">
        <f>IF(ISBLANK('Data Entry'!$î$492), "", 'Data Entry'!$î$492)</f>
      </c>
      <c r="FS492">
        <f>IF(ISBLANK('Data Entry'!$ï$492), "", 'Data Entry'!$ï$492)</f>
      </c>
      <c r="FT492">
        <f>IF(ISBLANK('Data Entry'!$ð$492), "", 'Data Entry'!$ð$492)</f>
      </c>
      <c r="FU492">
        <f>IF(ISBLANK('Data Entry'!$ñ$492), "", 'Data Entry'!$ñ$492)</f>
      </c>
      <c r="FV492">
        <f>IF(ISBLANK('Data Entry'!$ò$492), "", 'Data Entry'!$ò$492)</f>
      </c>
      <c r="FW492">
        <f>IF(ISBLANK('Data Entry'!$ó$492), "", 'Data Entry'!$ó$492)</f>
      </c>
      <c r="FX492">
        <f>IF(ISBLANK('Data Entry'!$ô$492), "", 'Data Entry'!$ô$492)</f>
      </c>
      <c r="FY492">
        <f>IF(ISBLANK('Data Entry'!$õ$492), "", 'Data Entry'!$õ$492)</f>
      </c>
      <c r="FZ492">
        <f>IF(ISBLANK('Data Entry'!$ö$492), "", 'Data Entry'!$ö$492)</f>
      </c>
      <c r="GA492">
        <f>IF(ISBLANK('Data Entry'!$÷$492), "", 'Data Entry'!$÷$492)</f>
      </c>
      <c r="GB492">
        <f>IF(ISBLANK('Data Entry'!$ø$492), "", 'Data Entry'!$ø$492)</f>
      </c>
      <c r="GC492">
        <f>IF(ISBLANK('Data Entry'!$ù$492), "", 'Data Entry'!$ù$492)</f>
      </c>
      <c r="GD492">
        <f>IF(ISBLANK('Data Entry'!$ú$492), "", 'Data Entry'!$ú$492)</f>
      </c>
      <c r="GE492">
        <f>IF(ISBLANK('Data Entry'!$û$492), "", 'Data Entry'!$û$492)</f>
      </c>
      <c r="GF492">
        <f>IF(ISBLANK('Data Entry'!$ü$492), "", 'Data Entry'!$ü$492)</f>
      </c>
      <c r="GG492">
        <f>IF(ISBLANK('Data Entry'!$ý$492), "", 'Data Entry'!$ý$492)</f>
      </c>
      <c r="GH492">
        <f>IF(ISBLANK('Data Entry'!$þ$492), "", 'Data Entry'!$þ$492)</f>
      </c>
      <c r="GI492">
        <f>IF(ISBLANK('Data Entry'!$ÿ$492), "", 'Data Entry'!$ÿ$492)</f>
      </c>
      <c r="GJ492">
        <f>IF(ISBLANK('Data Entry'!$Ā$492), "", 'Data Entry'!$Ā$492)</f>
      </c>
      <c r="GK492">
        <f>IF(ISBLANK('Data Entry'!$ā$492), "", 'Data Entry'!$ā$492)</f>
      </c>
      <c r="GL492">
        <f>IF(ISBLANK('Data Entry'!$Ă$492), "", 'Data Entry'!$Ă$492)</f>
      </c>
      <c r="GM492">
        <f>IF(ISBLANK('Data Entry'!$ă$492), "", 'Data Entry'!$ă$492)</f>
      </c>
      <c r="GN492">
        <f>IF(ISBLANK('Data Entry'!$Ą$492), "", 'Data Entry'!$Ą$492)</f>
      </c>
      <c r="GO492">
        <f>IF(ISBLANK('Data Entry'!$ą$492), "", 'Data Entry'!$ą$492)</f>
      </c>
      <c r="GP492">
        <f>IF(ISBLANK('Data Entry'!$Ć$492), "", 'Data Entry'!$Ć$492)</f>
      </c>
      <c r="GQ492">
        <f>IF(ISBLANK('Data Entry'!$ć$492), "", 'Data Entry'!$ć$492)</f>
      </c>
      <c r="GR492">
        <f>IF(ISBLANK('Data Entry'!$Ĉ$492), "", 'Data Entry'!$Ĉ$492)</f>
      </c>
      <c r="GS492">
        <f>IF(ISBLANK('Data Entry'!$ĉ$492), "", 'Data Entry'!$ĉ$492)</f>
      </c>
      <c r="GT492">
        <f>IF(ISBLANK('Data Entry'!$Ċ$492), "", 'Data Entry'!$Ċ$492)</f>
      </c>
      <c r="GU492">
        <f>IF(ISBLANK('Data Entry'!$ċ$492), "", 'Data Entry'!$ċ$492)</f>
      </c>
      <c r="GV492">
        <f>IF(ISBLANK('Data Entry'!$Č$492), "", 'Data Entry'!$Č$492)</f>
      </c>
      <c r="GW492">
        <f>IF(ISBLANK('Data Entry'!$č$492), "", 'Data Entry'!$č$492)</f>
      </c>
      <c r="GX492">
        <f>IF(ISBLANK('Data Entry'!$Ď$492), "", 'Data Entry'!$Ď$492)</f>
      </c>
      <c r="GY492">
        <f>IF(ISBLANK('Data Entry'!$ď$492), "", 'Data Entry'!$ď$492)</f>
      </c>
      <c r="GZ492">
        <f>IF(ISBLANK('Data Entry'!$Đ$492), "", 'Data Entry'!$Đ$492)</f>
      </c>
      <c r="HA492">
        <f>IF(ISBLANK('Data Entry'!$đ$492), "", 'Data Entry'!$đ$492)</f>
      </c>
      <c r="HB492">
        <f>IF(ISBLANK('Data Entry'!$Ē$492), "", 'Data Entry'!$Ē$492)</f>
      </c>
      <c r="HC492">
        <f>IF(ISBLANK('Data Entry'!$ē$492), "", 'Data Entry'!$ē$492)</f>
      </c>
      <c r="HD492">
        <f>IF(ISBLANK('Data Entry'!$Ĕ$492), "", 'Data Entry'!$Ĕ$492)</f>
      </c>
      <c r="HE492">
        <f>IF(ISBLANK('Data Entry'!$ĕ$492), "", 'Data Entry'!$ĕ$492)</f>
      </c>
      <c r="HF492">
        <f>IF(ISBLANK('Data Entry'!$Ė$492), "", 'Data Entry'!$Ė$492)</f>
      </c>
      <c r="HG492">
        <f>IF(ISBLANK('Data Entry'!$ė$492), "", 'Data Entry'!$ė$492)</f>
      </c>
      <c r="HH492">
        <f>IF(ISBLANK('Data Entry'!$Ę$492), "", 'Data Entry'!$Ę$492)</f>
      </c>
      <c r="HI492">
        <f>IF(ISBLANK('Data Entry'!$ę$492), "", 'Data Entry'!$ę$492)</f>
      </c>
      <c r="HJ492">
        <f>IF(ISBLANK('Data Entry'!$Ě$492), "", 'Data Entry'!$Ě$492)</f>
      </c>
      <c r="HK492">
        <f>IF(ISBLANK('Data Entry'!$ě$492), "", 'Data Entry'!$ě$492)</f>
      </c>
      <c r="HL492">
        <f>IF(ISBLANK('Data Entry'!$Ĝ$492), "", 'Data Entry'!$Ĝ$492)</f>
      </c>
      <c r="HM492">
        <f>IF(ISBLANK('Data Entry'!$ĝ$492), "", 'Data Entry'!$ĝ$492)</f>
      </c>
      <c r="HN492">
        <f>IF(ISBLANK('Data Entry'!$Ğ$492), "", 'Data Entry'!$Ğ$492)</f>
      </c>
      <c r="HO492">
        <f>IF(ISBLANK('Data Entry'!$ğ$492), "", 'Data Entry'!$ğ$492)</f>
      </c>
      <c r="HP492">
        <f>IF(ISBLANK('Data Entry'!$Ġ$492), "", 'Data Entry'!$Ġ$492)</f>
      </c>
      <c r="HQ492">
        <f>IF(ISBLANK('Data Entry'!$ġ$492), "", 'Data Entry'!$ġ$492)</f>
      </c>
      <c r="HR492">
        <f>IF(ISBLANK('Data Entry'!$Ģ$492), "", 'Data Entry'!$Ģ$492)</f>
      </c>
      <c r="HS492">
        <f>IF(ISBLANK('Data Entry'!$ģ$492), "", 'Data Entry'!$ģ$492)</f>
      </c>
      <c r="HT492">
        <f>IF(ISBLANK('Data Entry'!$Ĥ$492), "", 'Data Entry'!$Ĥ$492)</f>
      </c>
      <c r="HU492">
        <f>IF(ISBLANK('Data Entry'!$ĥ$492), "", 'Data Entry'!$ĥ$492)</f>
      </c>
      <c r="HV492">
        <f>IF(ISBLANK('Data Entry'!$Ħ$492), "", 'Data Entry'!$Ħ$492)</f>
      </c>
      <c r="HW492">
        <f>IF(ISBLANK('Data Entry'!$ħ$492), "", 'Data Entry'!$ħ$492)</f>
      </c>
      <c r="HX492">
        <f>IF(ISBLANK('Data Entry'!$Ĩ$492), "", 'Data Entry'!$Ĩ$492)</f>
      </c>
      <c r="HY492">
        <f>IF(ISBLANK('Data Entry'!$ĩ$492), "", 'Data Entry'!$ĩ$492)</f>
      </c>
      <c r="HZ492">
        <f>IF(ISBLANK('Data Entry'!$Ī$492), "", 'Data Entry'!$Ī$492)</f>
      </c>
      <c r="IA492">
        <f>IF(ISBLANK('Data Entry'!$ī$492), "", 'Data Entry'!$ī$492)</f>
      </c>
      <c r="IB492">
        <f>IF(ISBLANK('Data Entry'!$Ĭ$492), "", 'Data Entry'!$Ĭ$492)</f>
      </c>
      <c r="IC492">
        <f>IF(ISBLANK('Data Entry'!$ĭ$492), "", 'Data Entry'!$ĭ$492)</f>
      </c>
      <c r="ID492">
        <f>IF(ISBLANK('Data Entry'!$Į$492), "", 'Data Entry'!$Į$492)</f>
      </c>
      <c r="IE492">
        <f>IF(ISBLANK('Data Entry'!$į$492), "", 'Data Entry'!$į$492)</f>
      </c>
      <c r="IF492">
        <f>IF(ISBLANK('Data Entry'!$İ$492), "", 'Data Entry'!$İ$492)</f>
      </c>
      <c r="IG492">
        <f>IF(ISBLANK('Data Entry'!$ı$492), "", 'Data Entry'!$ı$492)</f>
      </c>
      <c r="IH492">
        <f>IF(ISBLANK('Data Entry'!$Ĳ$492), "", 'Data Entry'!$Ĳ$492)</f>
      </c>
      <c r="II492">
        <f>IF(ISBLANK('Data Entry'!$ĳ$492), "", 'Data Entry'!$ĳ$492)</f>
      </c>
      <c r="IJ492">
        <f>IF(ISBLANK('Data Entry'!$Ĵ$492), "", 'Data Entry'!$Ĵ$492)</f>
      </c>
      <c r="IK492">
        <f>IF(ISBLANK('Data Entry'!$ĵ$492), "", 'Data Entry'!$ĵ$492)</f>
      </c>
      <c r="IL492">
        <f>IF(ISBLANK('Data Entry'!$Ķ$492), "", 'Data Entry'!$Ķ$492)</f>
      </c>
      <c r="IM492">
        <f>IF(ISBLANK('Data Entry'!$ķ$492), "", 'Data Entry'!$ķ$492)</f>
      </c>
      <c r="IN492">
        <f>IF(ISBLANK('Data Entry'!$ĸ$492), "", 'Data Entry'!$ĸ$492)</f>
      </c>
      <c r="IO492">
        <f>IF(ISBLANK('Data Entry'!$Ĺ$492), "", 'Data Entry'!$Ĺ$492)</f>
      </c>
      <c r="IP492">
        <f>IF(ISBLANK('Data Entry'!$ĺ$492), "", 'Data Entry'!$ĺ$492)</f>
      </c>
      <c r="IQ492">
        <f>IF(ISBLANK('Data Entry'!$Ļ$492), "", 'Data Entry'!$Ļ$492)</f>
      </c>
      <c r="IR492">
        <f>IF(ISBLANK('Data Entry'!$ļ$492), "", 'Data Entry'!$ļ$492)</f>
      </c>
      <c r="IS492">
        <f>IF(ISBLANK('Data Entry'!$Ľ$492), "", 'Data Entry'!$Ľ$492)</f>
      </c>
      <c r="IT492">
        <f>IF(ISBLANK('Data Entry'!$ľ$492), "", 'Data Entry'!$ľ$492)</f>
      </c>
    </row>
    <row r="493" spans="1:254" x14ac:dyDescent="0.25">
      <c r="A493">
        <f>IF(ISBLANK('Data Entry'!$A$493), "", 'Data Entry'!$A$493)</f>
      </c>
      <c r="B493">
        <f>IF(ISBLANK('Data Entry'!$B$493), "", 'Data Entry'!$B$493)</f>
      </c>
      <c r="C493">
        <f>IF(ISBLANK('Data Entry'!$C$493), "", 'Data Entry'!$C$493)</f>
      </c>
      <c r="D493">
        <f>IF(ISBLANK('Data Entry'!$D$493), "", 'Data Entry'!$D$493)</f>
      </c>
      <c r="E493">
        <f>IF(ISBLANK('Data Entry'!$E$493), "", 'Data Entry'!$E$493)</f>
      </c>
      <c r="F493">
        <f>IF(ISBLANK('Data Entry'!$F$493), "", 'Data Entry'!$F$493)</f>
      </c>
      <c r="G493">
        <f>IF(ISBLANK('Data Entry'!$G$493), "", 'Data Entry'!$G$493)</f>
      </c>
      <c r="H493">
        <f>IF(ISBLANK('Data Entry'!$H$493), "", 'Data Entry'!$H$493)</f>
      </c>
      <c r="I493">
        <f>IF(ISBLANK('Data Entry'!$I$493), "", 'Data Entry'!$I$493)</f>
      </c>
      <c r="J493">
        <f>IF(ISBLANK('Data Entry'!$J$493), "", 'Data Entry'!$J$493)</f>
      </c>
      <c r="K493">
        <f>IF(ISBLANK('Data Entry'!$K$493), "", 'Data Entry'!$K$493)</f>
      </c>
      <c r="L493">
        <f>IF(ISBLANK('Data Entry'!$L$493), "", 'Data Entry'!$L$493)</f>
      </c>
      <c r="M493">
        <f>IF(ISBLANK('Data Entry'!$M$493), "", 'Data Entry'!$M$493)</f>
      </c>
      <c r="N493">
        <f>IF(ISBLANK('Data Entry'!$N$493), "", 'Data Entry'!$N$493)</f>
      </c>
      <c r="O493">
        <f>IF(ISBLANK('Data Entry'!$O$493), "", 'Data Entry'!$O$493)</f>
      </c>
      <c r="P493">
        <f>IF(ISBLANK('Data Entry'!$P$493), "", 'Data Entry'!$P$493)</f>
      </c>
      <c r="Q493">
        <f>IF(ISBLANK('Data Entry'!$Q$493), "", 'Data Entry'!$Q$493)</f>
      </c>
      <c r="R493">
        <f>IF(ISBLANK('Data Entry'!$R$493), "", 'Data Entry'!$R$493)</f>
      </c>
      <c r="S493">
        <f>IF(ISBLANK('Data Entry'!$S$493), "", 'Data Entry'!$S$493)</f>
      </c>
      <c r="T493">
        <f>IF(ISBLANK('Data Entry'!$T$493), "", 'Data Entry'!$T$493)</f>
      </c>
      <c r="U493">
        <f>IF(ISBLANK('Data Entry'!$U$493), "", 'Data Entry'!$U$493)</f>
      </c>
      <c r="V493">
        <f>IF(ISBLANK('Data Entry'!$V$493), "", 'Data Entry'!$V$493)</f>
      </c>
      <c r="W493">
        <f>IF(ISBLANK('Data Entry'!$W$493), "", 'Data Entry'!$W$493)</f>
      </c>
      <c r="X493">
        <f>IF(ISBLANK('Data Entry'!$X$493), "", 'Data Entry'!$X$493)</f>
      </c>
      <c r="Y493">
        <f>IF(ISBLANK('Data Entry'!$Y$493), "", 'Data Entry'!$Y$493)</f>
      </c>
      <c r="Z493">
        <f>IF(ISBLANK('Data Entry'!$Z$493), "", 'Data Entry'!$Z$493)</f>
      </c>
      <c r="AA493">
        <f>IF(ISBLANK('Data Entry'!$[$493), "", 'Data Entry'!$[$493)</f>
      </c>
      <c r="AB493">
        <f>IF(ISBLANK('Data Entry'!$\$493), "", 'Data Entry'!$\$493)</f>
      </c>
      <c r="AC493">
        <f>IF(ISBLANK('Data Entry'!$]$493), "", 'Data Entry'!$]$493)</f>
      </c>
      <c r="AD493">
        <f>IF(ISBLANK('Data Entry'!$^$493), "", 'Data Entry'!$^$493)</f>
      </c>
      <c r="AE493">
        <f>IF(ISBLANK('Data Entry'!$_$493), "", 'Data Entry'!$_$493)</f>
      </c>
      <c r="AF493">
        <f>IF(ISBLANK('Data Entry'!$`$493), "", 'Data Entry'!$`$493)</f>
      </c>
      <c r="AG493">
        <f>IF(ISBLANK('Data Entry'!$a$493), "", 'Data Entry'!$a$493)</f>
      </c>
      <c r="AH493">
        <f>IF(ISBLANK('Data Entry'!$b$493), "", 'Data Entry'!$b$493)</f>
      </c>
      <c r="AI493">
        <f>IF(ISBLANK('Data Entry'!$c$493), "", 'Data Entry'!$c$493)</f>
      </c>
      <c r="AJ493">
        <f>IF(ISBLANK('Data Entry'!$d$493), "", 'Data Entry'!$d$493)</f>
      </c>
      <c r="AK493">
        <f>IF(ISBLANK('Data Entry'!$e$493), "", 'Data Entry'!$e$493)</f>
      </c>
      <c r="AL493">
        <f>IF(ISBLANK('Data Entry'!$f$493), "", 'Data Entry'!$f$493)</f>
      </c>
      <c r="AM493">
        <f>IF(ISBLANK('Data Entry'!$g$493), "", 'Data Entry'!$g$493)</f>
      </c>
      <c r="AN493">
        <f>IF(ISBLANK('Data Entry'!$h$493), "", 'Data Entry'!$h$493)</f>
      </c>
      <c r="AO493">
        <f>IF(ISBLANK('Data Entry'!$i$493), "", 'Data Entry'!$i$493)</f>
      </c>
      <c r="AP493">
        <f>IF(ISBLANK('Data Entry'!$j$493), "", 'Data Entry'!$j$493)</f>
      </c>
      <c r="AQ493">
        <f>IF(ISBLANK('Data Entry'!$k$493), "", 'Data Entry'!$k$493)</f>
      </c>
      <c r="AR493">
        <f>IF(ISBLANK('Data Entry'!$l$493), "", 'Data Entry'!$l$493)</f>
      </c>
      <c r="AS493">
        <f>IF(ISBLANK('Data Entry'!$m$493), "", 'Data Entry'!$m$493)</f>
      </c>
      <c r="AT493">
        <f>IF(ISBLANK('Data Entry'!$n$493), "", 'Data Entry'!$n$493)</f>
      </c>
      <c r="AU493">
        <f>IF(ISBLANK('Data Entry'!$o$493), "", 'Data Entry'!$o$493)</f>
      </c>
      <c r="AV493">
        <f>IF(ISBLANK('Data Entry'!$p$493), "", 'Data Entry'!$p$493)</f>
      </c>
      <c r="AW493">
        <f>IF(ISBLANK('Data Entry'!$q$493), "", 'Data Entry'!$q$493)</f>
      </c>
      <c r="AX493">
        <f>IF(ISBLANK('Data Entry'!$r$493), "", 'Data Entry'!$r$493)</f>
      </c>
      <c r="AY493">
        <f>IF(ISBLANK('Data Entry'!$s$493), "", 'Data Entry'!$s$493)</f>
      </c>
      <c r="AZ493">
        <f>IF(ISBLANK('Data Entry'!$t$493), "", 'Data Entry'!$t$493)</f>
      </c>
      <c r="BA493">
        <f>IF(ISBLANK('Data Entry'!$u$493), "", 'Data Entry'!$u$493)</f>
      </c>
      <c r="BB493">
        <f>IF(ISBLANK('Data Entry'!$v$493), "", 'Data Entry'!$v$493)</f>
      </c>
      <c r="BC493">
        <f>IF(ISBLANK('Data Entry'!$w$493), "", 'Data Entry'!$w$493)</f>
      </c>
      <c r="BD493">
        <f>IF(ISBLANK('Data Entry'!$x$493), "", 'Data Entry'!$x$493)</f>
      </c>
      <c r="BE493">
        <f>IF(ISBLANK('Data Entry'!$y$493), "", 'Data Entry'!$y$493)</f>
      </c>
      <c r="BF493">
        <f>IF(ISBLANK('Data Entry'!$z$493), "", 'Data Entry'!$z$493)</f>
      </c>
      <c r="BG493">
        <f>IF(ISBLANK('Data Entry'!${$493), "", 'Data Entry'!${$493)</f>
      </c>
      <c r="BH493">
        <f>IF(ISBLANK('Data Entry'!$|$493), "", 'Data Entry'!$|$493)</f>
      </c>
      <c r="BI493">
        <f>IF(ISBLANK('Data Entry'!$}$493), "", 'Data Entry'!$}$493)</f>
      </c>
      <c r="BJ493">
        <f>IF(ISBLANK('Data Entry'!$~$493), "", 'Data Entry'!$~$493)</f>
      </c>
      <c r="BK493">
        <f>IF(ISBLANK('Data Entry'!$$493), "", 'Data Entry'!$$493)</f>
      </c>
      <c r="BL493">
        <f>IF(ISBLANK('Data Entry'!$$493), "", 'Data Entry'!$$493)</f>
      </c>
      <c r="BM493">
        <f>IF(ISBLANK('Data Entry'!$$493), "", 'Data Entry'!$$493)</f>
      </c>
      <c r="BN493">
        <f>IF(ISBLANK('Data Entry'!$$493), "", 'Data Entry'!$$493)</f>
      </c>
      <c r="BO493">
        <f>IF(ISBLANK('Data Entry'!$$493), "", 'Data Entry'!$$493)</f>
      </c>
      <c r="BP493">
        <f>IF(ISBLANK('Data Entry'!$$493), "", 'Data Entry'!$$493)</f>
      </c>
      <c r="BQ493">
        <f>IF(ISBLANK('Data Entry'!$$493), "", 'Data Entry'!$$493)</f>
      </c>
      <c r="BR493">
        <f>IF(ISBLANK('Data Entry'!$$493), "", 'Data Entry'!$$493)</f>
      </c>
      <c r="BS493">
        <f>IF(ISBLANK('Data Entry'!$$493), "", 'Data Entry'!$$493)</f>
      </c>
      <c r="BT493">
        <f>IF(ISBLANK('Data Entry'!$$493), "", 'Data Entry'!$$493)</f>
      </c>
      <c r="BU493">
        <f>IF(ISBLANK('Data Entry'!$$493), "", 'Data Entry'!$$493)</f>
      </c>
      <c r="BV493">
        <f>IF(ISBLANK('Data Entry'!$$493), "", 'Data Entry'!$$493)</f>
      </c>
      <c r="BW493">
        <f>IF(ISBLANK('Data Entry'!$$493), "", 'Data Entry'!$$493)</f>
      </c>
      <c r="BX493">
        <f>IF(ISBLANK('Data Entry'!$$493), "", 'Data Entry'!$$493)</f>
      </c>
      <c r="BY493">
        <f>IF(ISBLANK('Data Entry'!$$493), "", 'Data Entry'!$$493)</f>
      </c>
      <c r="BZ493">
        <f>IF(ISBLANK('Data Entry'!$$493), "", 'Data Entry'!$$493)</f>
      </c>
      <c r="CA493">
        <f>IF(ISBLANK('Data Entry'!$$493), "", 'Data Entry'!$$493)</f>
      </c>
      <c r="CB493">
        <f>IF(ISBLANK('Data Entry'!$$493), "", 'Data Entry'!$$493)</f>
      </c>
      <c r="CC493">
        <f>IF(ISBLANK('Data Entry'!$$493), "", 'Data Entry'!$$493)</f>
      </c>
      <c r="CD493">
        <f>IF(ISBLANK('Data Entry'!$$493), "", 'Data Entry'!$$493)</f>
      </c>
      <c r="CE493">
        <f>IF(ISBLANK('Data Entry'!$$493), "", 'Data Entry'!$$493)</f>
      </c>
      <c r="CF493">
        <f>IF(ISBLANK('Data Entry'!$$493), "", 'Data Entry'!$$493)</f>
      </c>
      <c r="CG493">
        <f>IF(ISBLANK('Data Entry'!$$493), "", 'Data Entry'!$$493)</f>
      </c>
      <c r="CH493">
        <f>IF(ISBLANK('Data Entry'!$$493), "", 'Data Entry'!$$493)</f>
      </c>
      <c r="CI493">
        <f>IF(ISBLANK('Data Entry'!$$493), "", 'Data Entry'!$$493)</f>
      </c>
      <c r="CJ493">
        <f>IF(ISBLANK('Data Entry'!$$493), "", 'Data Entry'!$$493)</f>
      </c>
      <c r="CK493">
        <f>IF(ISBLANK('Data Entry'!$$493), "", 'Data Entry'!$$493)</f>
      </c>
      <c r="CL493">
        <f>IF(ISBLANK('Data Entry'!$$493), "", 'Data Entry'!$$493)</f>
      </c>
      <c r="CM493">
        <f>IF(ISBLANK('Data Entry'!$$493), "", 'Data Entry'!$$493)</f>
      </c>
      <c r="CN493">
        <f>IF(ISBLANK('Data Entry'!$$493), "", 'Data Entry'!$$493)</f>
      </c>
      <c r="CO493">
        <f>IF(ISBLANK('Data Entry'!$$493), "", 'Data Entry'!$$493)</f>
      </c>
      <c r="CP493">
        <f>IF(ISBLANK('Data Entry'!$$493), "", 'Data Entry'!$$493)</f>
      </c>
      <c r="CQ493">
        <f>IF(ISBLANK('Data Entry'!$$493), "", 'Data Entry'!$$493)</f>
      </c>
      <c r="CR493">
        <f>IF(ISBLANK('Data Entry'!$ $493), "", 'Data Entry'!$ $493)</f>
      </c>
      <c r="CS493">
        <f>IF(ISBLANK('Data Entry'!$¡$493), "", 'Data Entry'!$¡$493)</f>
      </c>
      <c r="CT493">
        <f>IF(ISBLANK('Data Entry'!$¢$493), "", 'Data Entry'!$¢$493)</f>
      </c>
      <c r="CU493">
        <f>IF(ISBLANK('Data Entry'!$£$493), "", 'Data Entry'!$£$493)</f>
      </c>
      <c r="CV493">
        <f>IF(ISBLANK('Data Entry'!$¤$493), "", 'Data Entry'!$¤$493)</f>
      </c>
      <c r="CW493">
        <f>IF(ISBLANK('Data Entry'!$¥$493), "", 'Data Entry'!$¥$493)</f>
      </c>
      <c r="CX493">
        <f>IF(ISBLANK('Data Entry'!$¦$493), "", 'Data Entry'!$¦$493)</f>
      </c>
      <c r="CY493">
        <f>IF(ISBLANK('Data Entry'!$§$493), "", 'Data Entry'!$§$493)</f>
      </c>
      <c r="CZ493">
        <f>IF(ISBLANK('Data Entry'!$¨$493), "", 'Data Entry'!$¨$493)</f>
      </c>
      <c r="DA493">
        <f>IF(ISBLANK('Data Entry'!$©$493), "", 'Data Entry'!$©$493)</f>
      </c>
      <c r="DB493">
        <f>IF(ISBLANK('Data Entry'!$ª$493), "", 'Data Entry'!$ª$493)</f>
      </c>
      <c r="DC493">
        <f>IF(ISBLANK('Data Entry'!$«$493), "", 'Data Entry'!$«$493)</f>
      </c>
      <c r="DD493">
        <f>IF(ISBLANK('Data Entry'!$¬$493), "", 'Data Entry'!$¬$493)</f>
      </c>
      <c r="DE493">
        <f>IF(ISBLANK('Data Entry'!$­$493), "", 'Data Entry'!$­$493)</f>
      </c>
      <c r="DF493">
        <f>IF(ISBLANK('Data Entry'!$®$493), "", 'Data Entry'!$®$493)</f>
      </c>
      <c r="DG493">
        <f>IF(ISBLANK('Data Entry'!$¯$493), "", 'Data Entry'!$¯$493)</f>
      </c>
      <c r="DH493">
        <f>IF(ISBLANK('Data Entry'!$°$493), "", 'Data Entry'!$°$493)</f>
      </c>
      <c r="DI493">
        <f>IF(ISBLANK('Data Entry'!$±$493), "", 'Data Entry'!$±$493)</f>
      </c>
      <c r="DJ493">
        <f>IF(ISBLANK('Data Entry'!$²$493), "", 'Data Entry'!$²$493)</f>
      </c>
      <c r="DK493">
        <f>IF(ISBLANK('Data Entry'!$³$493), "", 'Data Entry'!$³$493)</f>
      </c>
      <c r="DL493">
        <f>IF(ISBLANK('Data Entry'!$´$493), "", 'Data Entry'!$´$493)</f>
      </c>
      <c r="DM493">
        <f>IF(ISBLANK('Data Entry'!$µ$493), "", 'Data Entry'!$µ$493)</f>
      </c>
      <c r="DN493">
        <f>IF(ISBLANK('Data Entry'!$¶$493), "", 'Data Entry'!$¶$493)</f>
      </c>
      <c r="DO493">
        <f>IF(ISBLANK('Data Entry'!$·$493), "", 'Data Entry'!$·$493)</f>
      </c>
      <c r="DP493">
        <f>IF(ISBLANK('Data Entry'!$¸$493), "", 'Data Entry'!$¸$493)</f>
      </c>
      <c r="DQ493">
        <f>IF(ISBLANK('Data Entry'!$¹$493), "", 'Data Entry'!$¹$493)</f>
      </c>
      <c r="DR493">
        <f>IF(ISBLANK('Data Entry'!$º$493), "", 'Data Entry'!$º$493)</f>
      </c>
      <c r="DS493">
        <f>IF(ISBLANK('Data Entry'!$»$493), "", 'Data Entry'!$»$493)</f>
      </c>
      <c r="DT493">
        <f>IF(ISBLANK('Data Entry'!$¼$493), "", 'Data Entry'!$¼$493)</f>
      </c>
      <c r="DU493">
        <f>IF(ISBLANK('Data Entry'!$½$493), "", 'Data Entry'!$½$493)</f>
      </c>
      <c r="DV493">
        <f>IF(ISBLANK('Data Entry'!$¾$493), "", 'Data Entry'!$¾$493)</f>
      </c>
      <c r="DW493">
        <f>IF(ISBLANK('Data Entry'!$¿$493), "", 'Data Entry'!$¿$493)</f>
      </c>
      <c r="DX493">
        <f>IF(ISBLANK('Data Entry'!$À$493), "", 'Data Entry'!$À$493)</f>
      </c>
      <c r="DY493">
        <f>IF(ISBLANK('Data Entry'!$Á$493), "", 'Data Entry'!$Á$493)</f>
      </c>
      <c r="DZ493">
        <f>IF(ISBLANK('Data Entry'!$Â$493), "", 'Data Entry'!$Â$493)</f>
      </c>
      <c r="EA493">
        <f>IF(ISBLANK('Data Entry'!$Ã$493), "", 'Data Entry'!$Ã$493)</f>
      </c>
      <c r="EB493">
        <f>IF(ISBLANK('Data Entry'!$Ä$493), "", 'Data Entry'!$Ä$493)</f>
      </c>
      <c r="EC493">
        <f>IF(ISBLANK('Data Entry'!$Å$493), "", 'Data Entry'!$Å$493)</f>
      </c>
      <c r="ED493">
        <f>IF(ISBLANK('Data Entry'!$Æ$493), "", 'Data Entry'!$Æ$493)</f>
      </c>
      <c r="EE493">
        <f>IF(ISBLANK('Data Entry'!$Ç$493), "", 'Data Entry'!$Ç$493)</f>
      </c>
      <c r="EF493">
        <f>IF(ISBLANK('Data Entry'!$È$493), "", 'Data Entry'!$È$493)</f>
      </c>
      <c r="EG493">
        <f>IF(ISBLANK('Data Entry'!$É$493), "", 'Data Entry'!$É$493)</f>
      </c>
      <c r="EH493">
        <f>IF(ISBLANK('Data Entry'!$Ê$493), "", 'Data Entry'!$Ê$493)</f>
      </c>
      <c r="EI493">
        <f>IF(ISBLANK('Data Entry'!$Ë$493), "", 'Data Entry'!$Ë$493)</f>
      </c>
      <c r="EJ493">
        <f>IF(ISBLANK('Data Entry'!$Ì$493), "", 'Data Entry'!$Ì$493)</f>
      </c>
      <c r="EK493">
        <f>IF(ISBLANK('Data Entry'!$Í$493), "", 'Data Entry'!$Í$493)</f>
      </c>
      <c r="EL493">
        <f>IF(ISBLANK('Data Entry'!$Î$493), "", 'Data Entry'!$Î$493)</f>
      </c>
      <c r="EM493">
        <f>IF(ISBLANK('Data Entry'!$Ï$493), "", 'Data Entry'!$Ï$493)</f>
      </c>
      <c r="EN493">
        <f>IF(ISBLANK('Data Entry'!$Ð$493), "", 'Data Entry'!$Ð$493)</f>
      </c>
      <c r="EO493">
        <f>IF(ISBLANK('Data Entry'!$Ñ$493), "", 'Data Entry'!$Ñ$493)</f>
      </c>
      <c r="EP493">
        <f>IF(ISBLANK('Data Entry'!$Ò$493), "", 'Data Entry'!$Ò$493)</f>
      </c>
      <c r="EQ493">
        <f>IF(ISBLANK('Data Entry'!$Ó$493), "", 'Data Entry'!$Ó$493)</f>
      </c>
      <c r="ER493">
        <f>IF(ISBLANK('Data Entry'!$Ô$493), "", 'Data Entry'!$Ô$493)</f>
      </c>
      <c r="ES493">
        <f>IF(ISBLANK('Data Entry'!$Õ$493), "", 'Data Entry'!$Õ$493)</f>
      </c>
      <c r="ET493">
        <f>IF(ISBLANK('Data Entry'!$Ö$493), "", 'Data Entry'!$Ö$493)</f>
      </c>
      <c r="EU493">
        <f>IF(ISBLANK('Data Entry'!$×$493), "", 'Data Entry'!$×$493)</f>
      </c>
      <c r="EV493">
        <f>IF(ISBLANK('Data Entry'!$Ø$493), "", 'Data Entry'!$Ø$493)</f>
      </c>
      <c r="EW493">
        <f>IF(ISBLANK('Data Entry'!$Ù$493), "", 'Data Entry'!$Ù$493)</f>
      </c>
      <c r="EX493">
        <f>IF(ISBLANK('Data Entry'!$Ú$493), "", 'Data Entry'!$Ú$493)</f>
      </c>
      <c r="EY493">
        <f>IF(ISBLANK('Data Entry'!$Û$493), "", 'Data Entry'!$Û$493)</f>
      </c>
      <c r="EZ493">
        <f>IF(ISBLANK('Data Entry'!$Ü$493), "", 'Data Entry'!$Ü$493)</f>
      </c>
      <c r="FA493">
        <f>IF(ISBLANK('Data Entry'!$Ý$493), "", 'Data Entry'!$Ý$493)</f>
      </c>
      <c r="FB493">
        <f>IF(ISBLANK('Data Entry'!$Þ$493), "", 'Data Entry'!$Þ$493)</f>
      </c>
      <c r="FC493">
        <f>IF(ISBLANK('Data Entry'!$ß$493), "", 'Data Entry'!$ß$493)</f>
      </c>
      <c r="FD493">
        <f>IF(ISBLANK('Data Entry'!$à$493), "", 'Data Entry'!$à$493)</f>
      </c>
      <c r="FE493">
        <f>IF(ISBLANK('Data Entry'!$á$493), "", 'Data Entry'!$á$493)</f>
      </c>
      <c r="FF493">
        <f>IF(ISBLANK('Data Entry'!$â$493), "", 'Data Entry'!$â$493)</f>
      </c>
      <c r="FG493">
        <f>IF(ISBLANK('Data Entry'!$ã$493), "", 'Data Entry'!$ã$493)</f>
      </c>
      <c r="FH493">
        <f>IF(ISBLANK('Data Entry'!$ä$493), "", 'Data Entry'!$ä$493)</f>
      </c>
      <c r="FI493">
        <f>IF(ISBLANK('Data Entry'!$å$493), "", 'Data Entry'!$å$493)</f>
      </c>
      <c r="FJ493">
        <f>IF(ISBLANK('Data Entry'!$æ$493), "", 'Data Entry'!$æ$493)</f>
      </c>
      <c r="FK493">
        <f>IF(ISBLANK('Data Entry'!$ç$493), "", 'Data Entry'!$ç$493)</f>
      </c>
      <c r="FL493">
        <f>IF(ISBLANK('Data Entry'!$è$493), "", 'Data Entry'!$è$493)</f>
      </c>
      <c r="FM493">
        <f>IF(ISBLANK('Data Entry'!$é$493), "", 'Data Entry'!$é$493)</f>
      </c>
      <c r="FN493">
        <f>IF(ISBLANK('Data Entry'!$ê$493), "", 'Data Entry'!$ê$493)</f>
      </c>
      <c r="FO493">
        <f>IF(ISBLANK('Data Entry'!$ë$493), "", 'Data Entry'!$ë$493)</f>
      </c>
      <c r="FP493">
        <f>IF(ISBLANK('Data Entry'!$ì$493), "", 'Data Entry'!$ì$493)</f>
      </c>
      <c r="FQ493">
        <f>IF(ISBLANK('Data Entry'!$í$493), "", 'Data Entry'!$í$493)</f>
      </c>
      <c r="FR493">
        <f>IF(ISBLANK('Data Entry'!$î$493), "", 'Data Entry'!$î$493)</f>
      </c>
      <c r="FS493">
        <f>IF(ISBLANK('Data Entry'!$ï$493), "", 'Data Entry'!$ï$493)</f>
      </c>
      <c r="FT493">
        <f>IF(ISBLANK('Data Entry'!$ð$493), "", 'Data Entry'!$ð$493)</f>
      </c>
      <c r="FU493">
        <f>IF(ISBLANK('Data Entry'!$ñ$493), "", 'Data Entry'!$ñ$493)</f>
      </c>
      <c r="FV493">
        <f>IF(ISBLANK('Data Entry'!$ò$493), "", 'Data Entry'!$ò$493)</f>
      </c>
      <c r="FW493">
        <f>IF(ISBLANK('Data Entry'!$ó$493), "", 'Data Entry'!$ó$493)</f>
      </c>
      <c r="FX493">
        <f>IF(ISBLANK('Data Entry'!$ô$493), "", 'Data Entry'!$ô$493)</f>
      </c>
      <c r="FY493">
        <f>IF(ISBLANK('Data Entry'!$õ$493), "", 'Data Entry'!$õ$493)</f>
      </c>
      <c r="FZ493">
        <f>IF(ISBLANK('Data Entry'!$ö$493), "", 'Data Entry'!$ö$493)</f>
      </c>
      <c r="GA493">
        <f>IF(ISBLANK('Data Entry'!$÷$493), "", 'Data Entry'!$÷$493)</f>
      </c>
      <c r="GB493">
        <f>IF(ISBLANK('Data Entry'!$ø$493), "", 'Data Entry'!$ø$493)</f>
      </c>
      <c r="GC493">
        <f>IF(ISBLANK('Data Entry'!$ù$493), "", 'Data Entry'!$ù$493)</f>
      </c>
      <c r="GD493">
        <f>IF(ISBLANK('Data Entry'!$ú$493), "", 'Data Entry'!$ú$493)</f>
      </c>
      <c r="GE493">
        <f>IF(ISBLANK('Data Entry'!$û$493), "", 'Data Entry'!$û$493)</f>
      </c>
      <c r="GF493">
        <f>IF(ISBLANK('Data Entry'!$ü$493), "", 'Data Entry'!$ü$493)</f>
      </c>
      <c r="GG493">
        <f>IF(ISBLANK('Data Entry'!$ý$493), "", 'Data Entry'!$ý$493)</f>
      </c>
      <c r="GH493">
        <f>IF(ISBLANK('Data Entry'!$þ$493), "", 'Data Entry'!$þ$493)</f>
      </c>
      <c r="GI493">
        <f>IF(ISBLANK('Data Entry'!$ÿ$493), "", 'Data Entry'!$ÿ$493)</f>
      </c>
      <c r="GJ493">
        <f>IF(ISBLANK('Data Entry'!$Ā$493), "", 'Data Entry'!$Ā$493)</f>
      </c>
      <c r="GK493">
        <f>IF(ISBLANK('Data Entry'!$ā$493), "", 'Data Entry'!$ā$493)</f>
      </c>
      <c r="GL493">
        <f>IF(ISBLANK('Data Entry'!$Ă$493), "", 'Data Entry'!$Ă$493)</f>
      </c>
      <c r="GM493">
        <f>IF(ISBLANK('Data Entry'!$ă$493), "", 'Data Entry'!$ă$493)</f>
      </c>
      <c r="GN493">
        <f>IF(ISBLANK('Data Entry'!$Ą$493), "", 'Data Entry'!$Ą$493)</f>
      </c>
      <c r="GO493">
        <f>IF(ISBLANK('Data Entry'!$ą$493), "", 'Data Entry'!$ą$493)</f>
      </c>
      <c r="GP493">
        <f>IF(ISBLANK('Data Entry'!$Ć$493), "", 'Data Entry'!$Ć$493)</f>
      </c>
      <c r="GQ493">
        <f>IF(ISBLANK('Data Entry'!$ć$493), "", 'Data Entry'!$ć$493)</f>
      </c>
      <c r="GR493">
        <f>IF(ISBLANK('Data Entry'!$Ĉ$493), "", 'Data Entry'!$Ĉ$493)</f>
      </c>
      <c r="GS493">
        <f>IF(ISBLANK('Data Entry'!$ĉ$493), "", 'Data Entry'!$ĉ$493)</f>
      </c>
      <c r="GT493">
        <f>IF(ISBLANK('Data Entry'!$Ċ$493), "", 'Data Entry'!$Ċ$493)</f>
      </c>
      <c r="GU493">
        <f>IF(ISBLANK('Data Entry'!$ċ$493), "", 'Data Entry'!$ċ$493)</f>
      </c>
      <c r="GV493">
        <f>IF(ISBLANK('Data Entry'!$Č$493), "", 'Data Entry'!$Č$493)</f>
      </c>
      <c r="GW493">
        <f>IF(ISBLANK('Data Entry'!$č$493), "", 'Data Entry'!$č$493)</f>
      </c>
      <c r="GX493">
        <f>IF(ISBLANK('Data Entry'!$Ď$493), "", 'Data Entry'!$Ď$493)</f>
      </c>
      <c r="GY493">
        <f>IF(ISBLANK('Data Entry'!$ď$493), "", 'Data Entry'!$ď$493)</f>
      </c>
      <c r="GZ493">
        <f>IF(ISBLANK('Data Entry'!$Đ$493), "", 'Data Entry'!$Đ$493)</f>
      </c>
      <c r="HA493">
        <f>IF(ISBLANK('Data Entry'!$đ$493), "", 'Data Entry'!$đ$493)</f>
      </c>
      <c r="HB493">
        <f>IF(ISBLANK('Data Entry'!$Ē$493), "", 'Data Entry'!$Ē$493)</f>
      </c>
      <c r="HC493">
        <f>IF(ISBLANK('Data Entry'!$ē$493), "", 'Data Entry'!$ē$493)</f>
      </c>
      <c r="HD493">
        <f>IF(ISBLANK('Data Entry'!$Ĕ$493), "", 'Data Entry'!$Ĕ$493)</f>
      </c>
      <c r="HE493">
        <f>IF(ISBLANK('Data Entry'!$ĕ$493), "", 'Data Entry'!$ĕ$493)</f>
      </c>
      <c r="HF493">
        <f>IF(ISBLANK('Data Entry'!$Ė$493), "", 'Data Entry'!$Ė$493)</f>
      </c>
      <c r="HG493">
        <f>IF(ISBLANK('Data Entry'!$ė$493), "", 'Data Entry'!$ė$493)</f>
      </c>
      <c r="HH493">
        <f>IF(ISBLANK('Data Entry'!$Ę$493), "", 'Data Entry'!$Ę$493)</f>
      </c>
      <c r="HI493">
        <f>IF(ISBLANK('Data Entry'!$ę$493), "", 'Data Entry'!$ę$493)</f>
      </c>
      <c r="HJ493">
        <f>IF(ISBLANK('Data Entry'!$Ě$493), "", 'Data Entry'!$Ě$493)</f>
      </c>
      <c r="HK493">
        <f>IF(ISBLANK('Data Entry'!$ě$493), "", 'Data Entry'!$ě$493)</f>
      </c>
      <c r="HL493">
        <f>IF(ISBLANK('Data Entry'!$Ĝ$493), "", 'Data Entry'!$Ĝ$493)</f>
      </c>
      <c r="HM493">
        <f>IF(ISBLANK('Data Entry'!$ĝ$493), "", 'Data Entry'!$ĝ$493)</f>
      </c>
      <c r="HN493">
        <f>IF(ISBLANK('Data Entry'!$Ğ$493), "", 'Data Entry'!$Ğ$493)</f>
      </c>
      <c r="HO493">
        <f>IF(ISBLANK('Data Entry'!$ğ$493), "", 'Data Entry'!$ğ$493)</f>
      </c>
      <c r="HP493">
        <f>IF(ISBLANK('Data Entry'!$Ġ$493), "", 'Data Entry'!$Ġ$493)</f>
      </c>
      <c r="HQ493">
        <f>IF(ISBLANK('Data Entry'!$ġ$493), "", 'Data Entry'!$ġ$493)</f>
      </c>
      <c r="HR493">
        <f>IF(ISBLANK('Data Entry'!$Ģ$493), "", 'Data Entry'!$Ģ$493)</f>
      </c>
      <c r="HS493">
        <f>IF(ISBLANK('Data Entry'!$ģ$493), "", 'Data Entry'!$ģ$493)</f>
      </c>
      <c r="HT493">
        <f>IF(ISBLANK('Data Entry'!$Ĥ$493), "", 'Data Entry'!$Ĥ$493)</f>
      </c>
      <c r="HU493">
        <f>IF(ISBLANK('Data Entry'!$ĥ$493), "", 'Data Entry'!$ĥ$493)</f>
      </c>
      <c r="HV493">
        <f>IF(ISBLANK('Data Entry'!$Ħ$493), "", 'Data Entry'!$Ħ$493)</f>
      </c>
      <c r="HW493">
        <f>IF(ISBLANK('Data Entry'!$ħ$493), "", 'Data Entry'!$ħ$493)</f>
      </c>
      <c r="HX493">
        <f>IF(ISBLANK('Data Entry'!$Ĩ$493), "", 'Data Entry'!$Ĩ$493)</f>
      </c>
      <c r="HY493">
        <f>IF(ISBLANK('Data Entry'!$ĩ$493), "", 'Data Entry'!$ĩ$493)</f>
      </c>
      <c r="HZ493">
        <f>IF(ISBLANK('Data Entry'!$Ī$493), "", 'Data Entry'!$Ī$493)</f>
      </c>
      <c r="IA493">
        <f>IF(ISBLANK('Data Entry'!$ī$493), "", 'Data Entry'!$ī$493)</f>
      </c>
      <c r="IB493">
        <f>IF(ISBLANK('Data Entry'!$Ĭ$493), "", 'Data Entry'!$Ĭ$493)</f>
      </c>
      <c r="IC493">
        <f>IF(ISBLANK('Data Entry'!$ĭ$493), "", 'Data Entry'!$ĭ$493)</f>
      </c>
      <c r="ID493">
        <f>IF(ISBLANK('Data Entry'!$Į$493), "", 'Data Entry'!$Į$493)</f>
      </c>
      <c r="IE493">
        <f>IF(ISBLANK('Data Entry'!$į$493), "", 'Data Entry'!$į$493)</f>
      </c>
      <c r="IF493">
        <f>IF(ISBLANK('Data Entry'!$İ$493), "", 'Data Entry'!$İ$493)</f>
      </c>
      <c r="IG493">
        <f>IF(ISBLANK('Data Entry'!$ı$493), "", 'Data Entry'!$ı$493)</f>
      </c>
      <c r="IH493">
        <f>IF(ISBLANK('Data Entry'!$Ĳ$493), "", 'Data Entry'!$Ĳ$493)</f>
      </c>
      <c r="II493">
        <f>IF(ISBLANK('Data Entry'!$ĳ$493), "", 'Data Entry'!$ĳ$493)</f>
      </c>
      <c r="IJ493">
        <f>IF(ISBLANK('Data Entry'!$Ĵ$493), "", 'Data Entry'!$Ĵ$493)</f>
      </c>
      <c r="IK493">
        <f>IF(ISBLANK('Data Entry'!$ĵ$493), "", 'Data Entry'!$ĵ$493)</f>
      </c>
      <c r="IL493">
        <f>IF(ISBLANK('Data Entry'!$Ķ$493), "", 'Data Entry'!$Ķ$493)</f>
      </c>
      <c r="IM493">
        <f>IF(ISBLANK('Data Entry'!$ķ$493), "", 'Data Entry'!$ķ$493)</f>
      </c>
      <c r="IN493">
        <f>IF(ISBLANK('Data Entry'!$ĸ$493), "", 'Data Entry'!$ĸ$493)</f>
      </c>
      <c r="IO493">
        <f>IF(ISBLANK('Data Entry'!$Ĺ$493), "", 'Data Entry'!$Ĺ$493)</f>
      </c>
      <c r="IP493">
        <f>IF(ISBLANK('Data Entry'!$ĺ$493), "", 'Data Entry'!$ĺ$493)</f>
      </c>
      <c r="IQ493">
        <f>IF(ISBLANK('Data Entry'!$Ļ$493), "", 'Data Entry'!$Ļ$493)</f>
      </c>
      <c r="IR493">
        <f>IF(ISBLANK('Data Entry'!$ļ$493), "", 'Data Entry'!$ļ$493)</f>
      </c>
      <c r="IS493">
        <f>IF(ISBLANK('Data Entry'!$Ľ$493), "", 'Data Entry'!$Ľ$493)</f>
      </c>
      <c r="IT493">
        <f>IF(ISBLANK('Data Entry'!$ľ$493), "", 'Data Entry'!$ľ$493)</f>
      </c>
    </row>
    <row r="494" spans="1:254" x14ac:dyDescent="0.25">
      <c r="A494">
        <f>IF(ISBLANK('Data Entry'!$A$494), "", 'Data Entry'!$A$494)</f>
      </c>
      <c r="B494">
        <f>IF(ISBLANK('Data Entry'!$B$494), "", 'Data Entry'!$B$494)</f>
      </c>
      <c r="C494">
        <f>IF(ISBLANK('Data Entry'!$C$494), "", 'Data Entry'!$C$494)</f>
      </c>
      <c r="D494">
        <f>IF(ISBLANK('Data Entry'!$D$494), "", 'Data Entry'!$D$494)</f>
      </c>
      <c r="E494">
        <f>IF(ISBLANK('Data Entry'!$E$494), "", 'Data Entry'!$E$494)</f>
      </c>
      <c r="F494">
        <f>IF(ISBLANK('Data Entry'!$F$494), "", 'Data Entry'!$F$494)</f>
      </c>
      <c r="G494">
        <f>IF(ISBLANK('Data Entry'!$G$494), "", 'Data Entry'!$G$494)</f>
      </c>
      <c r="H494">
        <f>IF(ISBLANK('Data Entry'!$H$494), "", 'Data Entry'!$H$494)</f>
      </c>
      <c r="I494">
        <f>IF(ISBLANK('Data Entry'!$I$494), "", 'Data Entry'!$I$494)</f>
      </c>
      <c r="J494">
        <f>IF(ISBLANK('Data Entry'!$J$494), "", 'Data Entry'!$J$494)</f>
      </c>
      <c r="K494">
        <f>IF(ISBLANK('Data Entry'!$K$494), "", 'Data Entry'!$K$494)</f>
      </c>
      <c r="L494">
        <f>IF(ISBLANK('Data Entry'!$L$494), "", 'Data Entry'!$L$494)</f>
      </c>
      <c r="M494">
        <f>IF(ISBLANK('Data Entry'!$M$494), "", 'Data Entry'!$M$494)</f>
      </c>
      <c r="N494">
        <f>IF(ISBLANK('Data Entry'!$N$494), "", 'Data Entry'!$N$494)</f>
      </c>
      <c r="O494">
        <f>IF(ISBLANK('Data Entry'!$O$494), "", 'Data Entry'!$O$494)</f>
      </c>
      <c r="P494">
        <f>IF(ISBLANK('Data Entry'!$P$494), "", 'Data Entry'!$P$494)</f>
      </c>
      <c r="Q494">
        <f>IF(ISBLANK('Data Entry'!$Q$494), "", 'Data Entry'!$Q$494)</f>
      </c>
      <c r="R494">
        <f>IF(ISBLANK('Data Entry'!$R$494), "", 'Data Entry'!$R$494)</f>
      </c>
      <c r="S494">
        <f>IF(ISBLANK('Data Entry'!$S$494), "", 'Data Entry'!$S$494)</f>
      </c>
      <c r="T494">
        <f>IF(ISBLANK('Data Entry'!$T$494), "", 'Data Entry'!$T$494)</f>
      </c>
      <c r="U494">
        <f>IF(ISBLANK('Data Entry'!$U$494), "", 'Data Entry'!$U$494)</f>
      </c>
      <c r="V494">
        <f>IF(ISBLANK('Data Entry'!$V$494), "", 'Data Entry'!$V$494)</f>
      </c>
      <c r="W494">
        <f>IF(ISBLANK('Data Entry'!$W$494), "", 'Data Entry'!$W$494)</f>
      </c>
      <c r="X494">
        <f>IF(ISBLANK('Data Entry'!$X$494), "", 'Data Entry'!$X$494)</f>
      </c>
      <c r="Y494">
        <f>IF(ISBLANK('Data Entry'!$Y$494), "", 'Data Entry'!$Y$494)</f>
      </c>
      <c r="Z494">
        <f>IF(ISBLANK('Data Entry'!$Z$494), "", 'Data Entry'!$Z$494)</f>
      </c>
      <c r="AA494">
        <f>IF(ISBLANK('Data Entry'!$[$494), "", 'Data Entry'!$[$494)</f>
      </c>
      <c r="AB494">
        <f>IF(ISBLANK('Data Entry'!$\$494), "", 'Data Entry'!$\$494)</f>
      </c>
      <c r="AC494">
        <f>IF(ISBLANK('Data Entry'!$]$494), "", 'Data Entry'!$]$494)</f>
      </c>
      <c r="AD494">
        <f>IF(ISBLANK('Data Entry'!$^$494), "", 'Data Entry'!$^$494)</f>
      </c>
      <c r="AE494">
        <f>IF(ISBLANK('Data Entry'!$_$494), "", 'Data Entry'!$_$494)</f>
      </c>
      <c r="AF494">
        <f>IF(ISBLANK('Data Entry'!$`$494), "", 'Data Entry'!$`$494)</f>
      </c>
      <c r="AG494">
        <f>IF(ISBLANK('Data Entry'!$a$494), "", 'Data Entry'!$a$494)</f>
      </c>
      <c r="AH494">
        <f>IF(ISBLANK('Data Entry'!$b$494), "", 'Data Entry'!$b$494)</f>
      </c>
      <c r="AI494">
        <f>IF(ISBLANK('Data Entry'!$c$494), "", 'Data Entry'!$c$494)</f>
      </c>
      <c r="AJ494">
        <f>IF(ISBLANK('Data Entry'!$d$494), "", 'Data Entry'!$d$494)</f>
      </c>
      <c r="AK494">
        <f>IF(ISBLANK('Data Entry'!$e$494), "", 'Data Entry'!$e$494)</f>
      </c>
      <c r="AL494">
        <f>IF(ISBLANK('Data Entry'!$f$494), "", 'Data Entry'!$f$494)</f>
      </c>
      <c r="AM494">
        <f>IF(ISBLANK('Data Entry'!$g$494), "", 'Data Entry'!$g$494)</f>
      </c>
      <c r="AN494">
        <f>IF(ISBLANK('Data Entry'!$h$494), "", 'Data Entry'!$h$494)</f>
      </c>
      <c r="AO494">
        <f>IF(ISBLANK('Data Entry'!$i$494), "", 'Data Entry'!$i$494)</f>
      </c>
      <c r="AP494">
        <f>IF(ISBLANK('Data Entry'!$j$494), "", 'Data Entry'!$j$494)</f>
      </c>
      <c r="AQ494">
        <f>IF(ISBLANK('Data Entry'!$k$494), "", 'Data Entry'!$k$494)</f>
      </c>
      <c r="AR494">
        <f>IF(ISBLANK('Data Entry'!$l$494), "", 'Data Entry'!$l$494)</f>
      </c>
      <c r="AS494">
        <f>IF(ISBLANK('Data Entry'!$m$494), "", 'Data Entry'!$m$494)</f>
      </c>
      <c r="AT494">
        <f>IF(ISBLANK('Data Entry'!$n$494), "", 'Data Entry'!$n$494)</f>
      </c>
      <c r="AU494">
        <f>IF(ISBLANK('Data Entry'!$o$494), "", 'Data Entry'!$o$494)</f>
      </c>
      <c r="AV494">
        <f>IF(ISBLANK('Data Entry'!$p$494), "", 'Data Entry'!$p$494)</f>
      </c>
      <c r="AW494">
        <f>IF(ISBLANK('Data Entry'!$q$494), "", 'Data Entry'!$q$494)</f>
      </c>
      <c r="AX494">
        <f>IF(ISBLANK('Data Entry'!$r$494), "", 'Data Entry'!$r$494)</f>
      </c>
      <c r="AY494">
        <f>IF(ISBLANK('Data Entry'!$s$494), "", 'Data Entry'!$s$494)</f>
      </c>
      <c r="AZ494">
        <f>IF(ISBLANK('Data Entry'!$t$494), "", 'Data Entry'!$t$494)</f>
      </c>
      <c r="BA494">
        <f>IF(ISBLANK('Data Entry'!$u$494), "", 'Data Entry'!$u$494)</f>
      </c>
      <c r="BB494">
        <f>IF(ISBLANK('Data Entry'!$v$494), "", 'Data Entry'!$v$494)</f>
      </c>
      <c r="BC494">
        <f>IF(ISBLANK('Data Entry'!$w$494), "", 'Data Entry'!$w$494)</f>
      </c>
      <c r="BD494">
        <f>IF(ISBLANK('Data Entry'!$x$494), "", 'Data Entry'!$x$494)</f>
      </c>
      <c r="BE494">
        <f>IF(ISBLANK('Data Entry'!$y$494), "", 'Data Entry'!$y$494)</f>
      </c>
      <c r="BF494">
        <f>IF(ISBLANK('Data Entry'!$z$494), "", 'Data Entry'!$z$494)</f>
      </c>
      <c r="BG494">
        <f>IF(ISBLANK('Data Entry'!${$494), "", 'Data Entry'!${$494)</f>
      </c>
      <c r="BH494">
        <f>IF(ISBLANK('Data Entry'!$|$494), "", 'Data Entry'!$|$494)</f>
      </c>
      <c r="BI494">
        <f>IF(ISBLANK('Data Entry'!$}$494), "", 'Data Entry'!$}$494)</f>
      </c>
      <c r="BJ494">
        <f>IF(ISBLANK('Data Entry'!$~$494), "", 'Data Entry'!$~$494)</f>
      </c>
      <c r="BK494">
        <f>IF(ISBLANK('Data Entry'!$$494), "", 'Data Entry'!$$494)</f>
      </c>
      <c r="BL494">
        <f>IF(ISBLANK('Data Entry'!$$494), "", 'Data Entry'!$$494)</f>
      </c>
      <c r="BM494">
        <f>IF(ISBLANK('Data Entry'!$$494), "", 'Data Entry'!$$494)</f>
      </c>
      <c r="BN494">
        <f>IF(ISBLANK('Data Entry'!$$494), "", 'Data Entry'!$$494)</f>
      </c>
      <c r="BO494">
        <f>IF(ISBLANK('Data Entry'!$$494), "", 'Data Entry'!$$494)</f>
      </c>
      <c r="BP494">
        <f>IF(ISBLANK('Data Entry'!$$494), "", 'Data Entry'!$$494)</f>
      </c>
      <c r="BQ494">
        <f>IF(ISBLANK('Data Entry'!$$494), "", 'Data Entry'!$$494)</f>
      </c>
      <c r="BR494">
        <f>IF(ISBLANK('Data Entry'!$$494), "", 'Data Entry'!$$494)</f>
      </c>
      <c r="BS494">
        <f>IF(ISBLANK('Data Entry'!$$494), "", 'Data Entry'!$$494)</f>
      </c>
      <c r="BT494">
        <f>IF(ISBLANK('Data Entry'!$$494), "", 'Data Entry'!$$494)</f>
      </c>
      <c r="BU494">
        <f>IF(ISBLANK('Data Entry'!$$494), "", 'Data Entry'!$$494)</f>
      </c>
      <c r="BV494">
        <f>IF(ISBLANK('Data Entry'!$$494), "", 'Data Entry'!$$494)</f>
      </c>
      <c r="BW494">
        <f>IF(ISBLANK('Data Entry'!$$494), "", 'Data Entry'!$$494)</f>
      </c>
      <c r="BX494">
        <f>IF(ISBLANK('Data Entry'!$$494), "", 'Data Entry'!$$494)</f>
      </c>
      <c r="BY494">
        <f>IF(ISBLANK('Data Entry'!$$494), "", 'Data Entry'!$$494)</f>
      </c>
      <c r="BZ494">
        <f>IF(ISBLANK('Data Entry'!$$494), "", 'Data Entry'!$$494)</f>
      </c>
      <c r="CA494">
        <f>IF(ISBLANK('Data Entry'!$$494), "", 'Data Entry'!$$494)</f>
      </c>
      <c r="CB494">
        <f>IF(ISBLANK('Data Entry'!$$494), "", 'Data Entry'!$$494)</f>
      </c>
      <c r="CC494">
        <f>IF(ISBLANK('Data Entry'!$$494), "", 'Data Entry'!$$494)</f>
      </c>
      <c r="CD494">
        <f>IF(ISBLANK('Data Entry'!$$494), "", 'Data Entry'!$$494)</f>
      </c>
      <c r="CE494">
        <f>IF(ISBLANK('Data Entry'!$$494), "", 'Data Entry'!$$494)</f>
      </c>
      <c r="CF494">
        <f>IF(ISBLANK('Data Entry'!$$494), "", 'Data Entry'!$$494)</f>
      </c>
      <c r="CG494">
        <f>IF(ISBLANK('Data Entry'!$$494), "", 'Data Entry'!$$494)</f>
      </c>
      <c r="CH494">
        <f>IF(ISBLANK('Data Entry'!$$494), "", 'Data Entry'!$$494)</f>
      </c>
      <c r="CI494">
        <f>IF(ISBLANK('Data Entry'!$$494), "", 'Data Entry'!$$494)</f>
      </c>
      <c r="CJ494">
        <f>IF(ISBLANK('Data Entry'!$$494), "", 'Data Entry'!$$494)</f>
      </c>
      <c r="CK494">
        <f>IF(ISBLANK('Data Entry'!$$494), "", 'Data Entry'!$$494)</f>
      </c>
      <c r="CL494">
        <f>IF(ISBLANK('Data Entry'!$$494), "", 'Data Entry'!$$494)</f>
      </c>
      <c r="CM494">
        <f>IF(ISBLANK('Data Entry'!$$494), "", 'Data Entry'!$$494)</f>
      </c>
      <c r="CN494">
        <f>IF(ISBLANK('Data Entry'!$$494), "", 'Data Entry'!$$494)</f>
      </c>
      <c r="CO494">
        <f>IF(ISBLANK('Data Entry'!$$494), "", 'Data Entry'!$$494)</f>
      </c>
      <c r="CP494">
        <f>IF(ISBLANK('Data Entry'!$$494), "", 'Data Entry'!$$494)</f>
      </c>
      <c r="CQ494">
        <f>IF(ISBLANK('Data Entry'!$$494), "", 'Data Entry'!$$494)</f>
      </c>
      <c r="CR494">
        <f>IF(ISBLANK('Data Entry'!$ $494), "", 'Data Entry'!$ $494)</f>
      </c>
      <c r="CS494">
        <f>IF(ISBLANK('Data Entry'!$¡$494), "", 'Data Entry'!$¡$494)</f>
      </c>
      <c r="CT494">
        <f>IF(ISBLANK('Data Entry'!$¢$494), "", 'Data Entry'!$¢$494)</f>
      </c>
      <c r="CU494">
        <f>IF(ISBLANK('Data Entry'!$£$494), "", 'Data Entry'!$£$494)</f>
      </c>
      <c r="CV494">
        <f>IF(ISBLANK('Data Entry'!$¤$494), "", 'Data Entry'!$¤$494)</f>
      </c>
      <c r="CW494">
        <f>IF(ISBLANK('Data Entry'!$¥$494), "", 'Data Entry'!$¥$494)</f>
      </c>
      <c r="CX494">
        <f>IF(ISBLANK('Data Entry'!$¦$494), "", 'Data Entry'!$¦$494)</f>
      </c>
      <c r="CY494">
        <f>IF(ISBLANK('Data Entry'!$§$494), "", 'Data Entry'!$§$494)</f>
      </c>
      <c r="CZ494">
        <f>IF(ISBLANK('Data Entry'!$¨$494), "", 'Data Entry'!$¨$494)</f>
      </c>
      <c r="DA494">
        <f>IF(ISBLANK('Data Entry'!$©$494), "", 'Data Entry'!$©$494)</f>
      </c>
      <c r="DB494">
        <f>IF(ISBLANK('Data Entry'!$ª$494), "", 'Data Entry'!$ª$494)</f>
      </c>
      <c r="DC494">
        <f>IF(ISBLANK('Data Entry'!$«$494), "", 'Data Entry'!$«$494)</f>
      </c>
      <c r="DD494">
        <f>IF(ISBLANK('Data Entry'!$¬$494), "", 'Data Entry'!$¬$494)</f>
      </c>
      <c r="DE494">
        <f>IF(ISBLANK('Data Entry'!$­$494), "", 'Data Entry'!$­$494)</f>
      </c>
      <c r="DF494">
        <f>IF(ISBLANK('Data Entry'!$®$494), "", 'Data Entry'!$®$494)</f>
      </c>
      <c r="DG494">
        <f>IF(ISBLANK('Data Entry'!$¯$494), "", 'Data Entry'!$¯$494)</f>
      </c>
      <c r="DH494">
        <f>IF(ISBLANK('Data Entry'!$°$494), "", 'Data Entry'!$°$494)</f>
      </c>
      <c r="DI494">
        <f>IF(ISBLANK('Data Entry'!$±$494), "", 'Data Entry'!$±$494)</f>
      </c>
      <c r="DJ494">
        <f>IF(ISBLANK('Data Entry'!$²$494), "", 'Data Entry'!$²$494)</f>
      </c>
      <c r="DK494">
        <f>IF(ISBLANK('Data Entry'!$³$494), "", 'Data Entry'!$³$494)</f>
      </c>
      <c r="DL494">
        <f>IF(ISBLANK('Data Entry'!$´$494), "", 'Data Entry'!$´$494)</f>
      </c>
      <c r="DM494">
        <f>IF(ISBLANK('Data Entry'!$µ$494), "", 'Data Entry'!$µ$494)</f>
      </c>
      <c r="DN494">
        <f>IF(ISBLANK('Data Entry'!$¶$494), "", 'Data Entry'!$¶$494)</f>
      </c>
      <c r="DO494">
        <f>IF(ISBLANK('Data Entry'!$·$494), "", 'Data Entry'!$·$494)</f>
      </c>
      <c r="DP494">
        <f>IF(ISBLANK('Data Entry'!$¸$494), "", 'Data Entry'!$¸$494)</f>
      </c>
      <c r="DQ494">
        <f>IF(ISBLANK('Data Entry'!$¹$494), "", 'Data Entry'!$¹$494)</f>
      </c>
      <c r="DR494">
        <f>IF(ISBLANK('Data Entry'!$º$494), "", 'Data Entry'!$º$494)</f>
      </c>
      <c r="DS494">
        <f>IF(ISBLANK('Data Entry'!$»$494), "", 'Data Entry'!$»$494)</f>
      </c>
      <c r="DT494">
        <f>IF(ISBLANK('Data Entry'!$¼$494), "", 'Data Entry'!$¼$494)</f>
      </c>
      <c r="DU494">
        <f>IF(ISBLANK('Data Entry'!$½$494), "", 'Data Entry'!$½$494)</f>
      </c>
      <c r="DV494">
        <f>IF(ISBLANK('Data Entry'!$¾$494), "", 'Data Entry'!$¾$494)</f>
      </c>
      <c r="DW494">
        <f>IF(ISBLANK('Data Entry'!$¿$494), "", 'Data Entry'!$¿$494)</f>
      </c>
      <c r="DX494">
        <f>IF(ISBLANK('Data Entry'!$À$494), "", 'Data Entry'!$À$494)</f>
      </c>
      <c r="DY494">
        <f>IF(ISBLANK('Data Entry'!$Á$494), "", 'Data Entry'!$Á$494)</f>
      </c>
      <c r="DZ494">
        <f>IF(ISBLANK('Data Entry'!$Â$494), "", 'Data Entry'!$Â$494)</f>
      </c>
      <c r="EA494">
        <f>IF(ISBLANK('Data Entry'!$Ã$494), "", 'Data Entry'!$Ã$494)</f>
      </c>
      <c r="EB494">
        <f>IF(ISBLANK('Data Entry'!$Ä$494), "", 'Data Entry'!$Ä$494)</f>
      </c>
      <c r="EC494">
        <f>IF(ISBLANK('Data Entry'!$Å$494), "", 'Data Entry'!$Å$494)</f>
      </c>
      <c r="ED494">
        <f>IF(ISBLANK('Data Entry'!$Æ$494), "", 'Data Entry'!$Æ$494)</f>
      </c>
      <c r="EE494">
        <f>IF(ISBLANK('Data Entry'!$Ç$494), "", 'Data Entry'!$Ç$494)</f>
      </c>
      <c r="EF494">
        <f>IF(ISBLANK('Data Entry'!$È$494), "", 'Data Entry'!$È$494)</f>
      </c>
      <c r="EG494">
        <f>IF(ISBLANK('Data Entry'!$É$494), "", 'Data Entry'!$É$494)</f>
      </c>
      <c r="EH494">
        <f>IF(ISBLANK('Data Entry'!$Ê$494), "", 'Data Entry'!$Ê$494)</f>
      </c>
      <c r="EI494">
        <f>IF(ISBLANK('Data Entry'!$Ë$494), "", 'Data Entry'!$Ë$494)</f>
      </c>
      <c r="EJ494">
        <f>IF(ISBLANK('Data Entry'!$Ì$494), "", 'Data Entry'!$Ì$494)</f>
      </c>
      <c r="EK494">
        <f>IF(ISBLANK('Data Entry'!$Í$494), "", 'Data Entry'!$Í$494)</f>
      </c>
      <c r="EL494">
        <f>IF(ISBLANK('Data Entry'!$Î$494), "", 'Data Entry'!$Î$494)</f>
      </c>
      <c r="EM494">
        <f>IF(ISBLANK('Data Entry'!$Ï$494), "", 'Data Entry'!$Ï$494)</f>
      </c>
      <c r="EN494">
        <f>IF(ISBLANK('Data Entry'!$Ð$494), "", 'Data Entry'!$Ð$494)</f>
      </c>
      <c r="EO494">
        <f>IF(ISBLANK('Data Entry'!$Ñ$494), "", 'Data Entry'!$Ñ$494)</f>
      </c>
      <c r="EP494">
        <f>IF(ISBLANK('Data Entry'!$Ò$494), "", 'Data Entry'!$Ò$494)</f>
      </c>
      <c r="EQ494">
        <f>IF(ISBLANK('Data Entry'!$Ó$494), "", 'Data Entry'!$Ó$494)</f>
      </c>
      <c r="ER494">
        <f>IF(ISBLANK('Data Entry'!$Ô$494), "", 'Data Entry'!$Ô$494)</f>
      </c>
      <c r="ES494">
        <f>IF(ISBLANK('Data Entry'!$Õ$494), "", 'Data Entry'!$Õ$494)</f>
      </c>
      <c r="ET494">
        <f>IF(ISBLANK('Data Entry'!$Ö$494), "", 'Data Entry'!$Ö$494)</f>
      </c>
      <c r="EU494">
        <f>IF(ISBLANK('Data Entry'!$×$494), "", 'Data Entry'!$×$494)</f>
      </c>
      <c r="EV494">
        <f>IF(ISBLANK('Data Entry'!$Ø$494), "", 'Data Entry'!$Ø$494)</f>
      </c>
      <c r="EW494">
        <f>IF(ISBLANK('Data Entry'!$Ù$494), "", 'Data Entry'!$Ù$494)</f>
      </c>
      <c r="EX494">
        <f>IF(ISBLANK('Data Entry'!$Ú$494), "", 'Data Entry'!$Ú$494)</f>
      </c>
      <c r="EY494">
        <f>IF(ISBLANK('Data Entry'!$Û$494), "", 'Data Entry'!$Û$494)</f>
      </c>
      <c r="EZ494">
        <f>IF(ISBLANK('Data Entry'!$Ü$494), "", 'Data Entry'!$Ü$494)</f>
      </c>
      <c r="FA494">
        <f>IF(ISBLANK('Data Entry'!$Ý$494), "", 'Data Entry'!$Ý$494)</f>
      </c>
      <c r="FB494">
        <f>IF(ISBLANK('Data Entry'!$Þ$494), "", 'Data Entry'!$Þ$494)</f>
      </c>
      <c r="FC494">
        <f>IF(ISBLANK('Data Entry'!$ß$494), "", 'Data Entry'!$ß$494)</f>
      </c>
      <c r="FD494">
        <f>IF(ISBLANK('Data Entry'!$à$494), "", 'Data Entry'!$à$494)</f>
      </c>
      <c r="FE494">
        <f>IF(ISBLANK('Data Entry'!$á$494), "", 'Data Entry'!$á$494)</f>
      </c>
      <c r="FF494">
        <f>IF(ISBLANK('Data Entry'!$â$494), "", 'Data Entry'!$â$494)</f>
      </c>
      <c r="FG494">
        <f>IF(ISBLANK('Data Entry'!$ã$494), "", 'Data Entry'!$ã$494)</f>
      </c>
      <c r="FH494">
        <f>IF(ISBLANK('Data Entry'!$ä$494), "", 'Data Entry'!$ä$494)</f>
      </c>
      <c r="FI494">
        <f>IF(ISBLANK('Data Entry'!$å$494), "", 'Data Entry'!$å$494)</f>
      </c>
      <c r="FJ494">
        <f>IF(ISBLANK('Data Entry'!$æ$494), "", 'Data Entry'!$æ$494)</f>
      </c>
      <c r="FK494">
        <f>IF(ISBLANK('Data Entry'!$ç$494), "", 'Data Entry'!$ç$494)</f>
      </c>
      <c r="FL494">
        <f>IF(ISBLANK('Data Entry'!$è$494), "", 'Data Entry'!$è$494)</f>
      </c>
      <c r="FM494">
        <f>IF(ISBLANK('Data Entry'!$é$494), "", 'Data Entry'!$é$494)</f>
      </c>
      <c r="FN494">
        <f>IF(ISBLANK('Data Entry'!$ê$494), "", 'Data Entry'!$ê$494)</f>
      </c>
      <c r="FO494">
        <f>IF(ISBLANK('Data Entry'!$ë$494), "", 'Data Entry'!$ë$494)</f>
      </c>
      <c r="FP494">
        <f>IF(ISBLANK('Data Entry'!$ì$494), "", 'Data Entry'!$ì$494)</f>
      </c>
      <c r="FQ494">
        <f>IF(ISBLANK('Data Entry'!$í$494), "", 'Data Entry'!$í$494)</f>
      </c>
      <c r="FR494">
        <f>IF(ISBLANK('Data Entry'!$î$494), "", 'Data Entry'!$î$494)</f>
      </c>
      <c r="FS494">
        <f>IF(ISBLANK('Data Entry'!$ï$494), "", 'Data Entry'!$ï$494)</f>
      </c>
      <c r="FT494">
        <f>IF(ISBLANK('Data Entry'!$ð$494), "", 'Data Entry'!$ð$494)</f>
      </c>
      <c r="FU494">
        <f>IF(ISBLANK('Data Entry'!$ñ$494), "", 'Data Entry'!$ñ$494)</f>
      </c>
      <c r="FV494">
        <f>IF(ISBLANK('Data Entry'!$ò$494), "", 'Data Entry'!$ò$494)</f>
      </c>
      <c r="FW494">
        <f>IF(ISBLANK('Data Entry'!$ó$494), "", 'Data Entry'!$ó$494)</f>
      </c>
      <c r="FX494">
        <f>IF(ISBLANK('Data Entry'!$ô$494), "", 'Data Entry'!$ô$494)</f>
      </c>
      <c r="FY494">
        <f>IF(ISBLANK('Data Entry'!$õ$494), "", 'Data Entry'!$õ$494)</f>
      </c>
      <c r="FZ494">
        <f>IF(ISBLANK('Data Entry'!$ö$494), "", 'Data Entry'!$ö$494)</f>
      </c>
      <c r="GA494">
        <f>IF(ISBLANK('Data Entry'!$÷$494), "", 'Data Entry'!$÷$494)</f>
      </c>
      <c r="GB494">
        <f>IF(ISBLANK('Data Entry'!$ø$494), "", 'Data Entry'!$ø$494)</f>
      </c>
      <c r="GC494">
        <f>IF(ISBLANK('Data Entry'!$ù$494), "", 'Data Entry'!$ù$494)</f>
      </c>
      <c r="GD494">
        <f>IF(ISBLANK('Data Entry'!$ú$494), "", 'Data Entry'!$ú$494)</f>
      </c>
      <c r="GE494">
        <f>IF(ISBLANK('Data Entry'!$û$494), "", 'Data Entry'!$û$494)</f>
      </c>
      <c r="GF494">
        <f>IF(ISBLANK('Data Entry'!$ü$494), "", 'Data Entry'!$ü$494)</f>
      </c>
      <c r="GG494">
        <f>IF(ISBLANK('Data Entry'!$ý$494), "", 'Data Entry'!$ý$494)</f>
      </c>
      <c r="GH494">
        <f>IF(ISBLANK('Data Entry'!$þ$494), "", 'Data Entry'!$þ$494)</f>
      </c>
      <c r="GI494">
        <f>IF(ISBLANK('Data Entry'!$ÿ$494), "", 'Data Entry'!$ÿ$494)</f>
      </c>
      <c r="GJ494">
        <f>IF(ISBLANK('Data Entry'!$Ā$494), "", 'Data Entry'!$Ā$494)</f>
      </c>
      <c r="GK494">
        <f>IF(ISBLANK('Data Entry'!$ā$494), "", 'Data Entry'!$ā$494)</f>
      </c>
      <c r="GL494">
        <f>IF(ISBLANK('Data Entry'!$Ă$494), "", 'Data Entry'!$Ă$494)</f>
      </c>
      <c r="GM494">
        <f>IF(ISBLANK('Data Entry'!$ă$494), "", 'Data Entry'!$ă$494)</f>
      </c>
      <c r="GN494">
        <f>IF(ISBLANK('Data Entry'!$Ą$494), "", 'Data Entry'!$Ą$494)</f>
      </c>
      <c r="GO494">
        <f>IF(ISBLANK('Data Entry'!$ą$494), "", 'Data Entry'!$ą$494)</f>
      </c>
      <c r="GP494">
        <f>IF(ISBLANK('Data Entry'!$Ć$494), "", 'Data Entry'!$Ć$494)</f>
      </c>
      <c r="GQ494">
        <f>IF(ISBLANK('Data Entry'!$ć$494), "", 'Data Entry'!$ć$494)</f>
      </c>
      <c r="GR494">
        <f>IF(ISBLANK('Data Entry'!$Ĉ$494), "", 'Data Entry'!$Ĉ$494)</f>
      </c>
      <c r="GS494">
        <f>IF(ISBLANK('Data Entry'!$ĉ$494), "", 'Data Entry'!$ĉ$494)</f>
      </c>
      <c r="GT494">
        <f>IF(ISBLANK('Data Entry'!$Ċ$494), "", 'Data Entry'!$Ċ$494)</f>
      </c>
      <c r="GU494">
        <f>IF(ISBLANK('Data Entry'!$ċ$494), "", 'Data Entry'!$ċ$494)</f>
      </c>
      <c r="GV494">
        <f>IF(ISBLANK('Data Entry'!$Č$494), "", 'Data Entry'!$Č$494)</f>
      </c>
      <c r="GW494">
        <f>IF(ISBLANK('Data Entry'!$č$494), "", 'Data Entry'!$č$494)</f>
      </c>
      <c r="GX494">
        <f>IF(ISBLANK('Data Entry'!$Ď$494), "", 'Data Entry'!$Ď$494)</f>
      </c>
      <c r="GY494">
        <f>IF(ISBLANK('Data Entry'!$ď$494), "", 'Data Entry'!$ď$494)</f>
      </c>
      <c r="GZ494">
        <f>IF(ISBLANK('Data Entry'!$Đ$494), "", 'Data Entry'!$Đ$494)</f>
      </c>
      <c r="HA494">
        <f>IF(ISBLANK('Data Entry'!$đ$494), "", 'Data Entry'!$đ$494)</f>
      </c>
      <c r="HB494">
        <f>IF(ISBLANK('Data Entry'!$Ē$494), "", 'Data Entry'!$Ē$494)</f>
      </c>
      <c r="HC494">
        <f>IF(ISBLANK('Data Entry'!$ē$494), "", 'Data Entry'!$ē$494)</f>
      </c>
      <c r="HD494">
        <f>IF(ISBLANK('Data Entry'!$Ĕ$494), "", 'Data Entry'!$Ĕ$494)</f>
      </c>
      <c r="HE494">
        <f>IF(ISBLANK('Data Entry'!$ĕ$494), "", 'Data Entry'!$ĕ$494)</f>
      </c>
      <c r="HF494">
        <f>IF(ISBLANK('Data Entry'!$Ė$494), "", 'Data Entry'!$Ė$494)</f>
      </c>
      <c r="HG494">
        <f>IF(ISBLANK('Data Entry'!$ė$494), "", 'Data Entry'!$ė$494)</f>
      </c>
      <c r="HH494">
        <f>IF(ISBLANK('Data Entry'!$Ę$494), "", 'Data Entry'!$Ę$494)</f>
      </c>
      <c r="HI494">
        <f>IF(ISBLANK('Data Entry'!$ę$494), "", 'Data Entry'!$ę$494)</f>
      </c>
      <c r="HJ494">
        <f>IF(ISBLANK('Data Entry'!$Ě$494), "", 'Data Entry'!$Ě$494)</f>
      </c>
      <c r="HK494">
        <f>IF(ISBLANK('Data Entry'!$ě$494), "", 'Data Entry'!$ě$494)</f>
      </c>
      <c r="HL494">
        <f>IF(ISBLANK('Data Entry'!$Ĝ$494), "", 'Data Entry'!$Ĝ$494)</f>
      </c>
      <c r="HM494">
        <f>IF(ISBLANK('Data Entry'!$ĝ$494), "", 'Data Entry'!$ĝ$494)</f>
      </c>
      <c r="HN494">
        <f>IF(ISBLANK('Data Entry'!$Ğ$494), "", 'Data Entry'!$Ğ$494)</f>
      </c>
      <c r="HO494">
        <f>IF(ISBLANK('Data Entry'!$ğ$494), "", 'Data Entry'!$ğ$494)</f>
      </c>
      <c r="HP494">
        <f>IF(ISBLANK('Data Entry'!$Ġ$494), "", 'Data Entry'!$Ġ$494)</f>
      </c>
      <c r="HQ494">
        <f>IF(ISBLANK('Data Entry'!$ġ$494), "", 'Data Entry'!$ġ$494)</f>
      </c>
      <c r="HR494">
        <f>IF(ISBLANK('Data Entry'!$Ģ$494), "", 'Data Entry'!$Ģ$494)</f>
      </c>
      <c r="HS494">
        <f>IF(ISBLANK('Data Entry'!$ģ$494), "", 'Data Entry'!$ģ$494)</f>
      </c>
      <c r="HT494">
        <f>IF(ISBLANK('Data Entry'!$Ĥ$494), "", 'Data Entry'!$Ĥ$494)</f>
      </c>
      <c r="HU494">
        <f>IF(ISBLANK('Data Entry'!$ĥ$494), "", 'Data Entry'!$ĥ$494)</f>
      </c>
      <c r="HV494">
        <f>IF(ISBLANK('Data Entry'!$Ħ$494), "", 'Data Entry'!$Ħ$494)</f>
      </c>
      <c r="HW494">
        <f>IF(ISBLANK('Data Entry'!$ħ$494), "", 'Data Entry'!$ħ$494)</f>
      </c>
      <c r="HX494">
        <f>IF(ISBLANK('Data Entry'!$Ĩ$494), "", 'Data Entry'!$Ĩ$494)</f>
      </c>
      <c r="HY494">
        <f>IF(ISBLANK('Data Entry'!$ĩ$494), "", 'Data Entry'!$ĩ$494)</f>
      </c>
      <c r="HZ494">
        <f>IF(ISBLANK('Data Entry'!$Ī$494), "", 'Data Entry'!$Ī$494)</f>
      </c>
      <c r="IA494">
        <f>IF(ISBLANK('Data Entry'!$ī$494), "", 'Data Entry'!$ī$494)</f>
      </c>
      <c r="IB494">
        <f>IF(ISBLANK('Data Entry'!$Ĭ$494), "", 'Data Entry'!$Ĭ$494)</f>
      </c>
      <c r="IC494">
        <f>IF(ISBLANK('Data Entry'!$ĭ$494), "", 'Data Entry'!$ĭ$494)</f>
      </c>
      <c r="ID494">
        <f>IF(ISBLANK('Data Entry'!$Į$494), "", 'Data Entry'!$Į$494)</f>
      </c>
      <c r="IE494">
        <f>IF(ISBLANK('Data Entry'!$į$494), "", 'Data Entry'!$į$494)</f>
      </c>
      <c r="IF494">
        <f>IF(ISBLANK('Data Entry'!$İ$494), "", 'Data Entry'!$İ$494)</f>
      </c>
      <c r="IG494">
        <f>IF(ISBLANK('Data Entry'!$ı$494), "", 'Data Entry'!$ı$494)</f>
      </c>
      <c r="IH494">
        <f>IF(ISBLANK('Data Entry'!$Ĳ$494), "", 'Data Entry'!$Ĳ$494)</f>
      </c>
      <c r="II494">
        <f>IF(ISBLANK('Data Entry'!$ĳ$494), "", 'Data Entry'!$ĳ$494)</f>
      </c>
      <c r="IJ494">
        <f>IF(ISBLANK('Data Entry'!$Ĵ$494), "", 'Data Entry'!$Ĵ$494)</f>
      </c>
      <c r="IK494">
        <f>IF(ISBLANK('Data Entry'!$ĵ$494), "", 'Data Entry'!$ĵ$494)</f>
      </c>
      <c r="IL494">
        <f>IF(ISBLANK('Data Entry'!$Ķ$494), "", 'Data Entry'!$Ķ$494)</f>
      </c>
      <c r="IM494">
        <f>IF(ISBLANK('Data Entry'!$ķ$494), "", 'Data Entry'!$ķ$494)</f>
      </c>
      <c r="IN494">
        <f>IF(ISBLANK('Data Entry'!$ĸ$494), "", 'Data Entry'!$ĸ$494)</f>
      </c>
      <c r="IO494">
        <f>IF(ISBLANK('Data Entry'!$Ĺ$494), "", 'Data Entry'!$Ĺ$494)</f>
      </c>
      <c r="IP494">
        <f>IF(ISBLANK('Data Entry'!$ĺ$494), "", 'Data Entry'!$ĺ$494)</f>
      </c>
      <c r="IQ494">
        <f>IF(ISBLANK('Data Entry'!$Ļ$494), "", 'Data Entry'!$Ļ$494)</f>
      </c>
      <c r="IR494">
        <f>IF(ISBLANK('Data Entry'!$ļ$494), "", 'Data Entry'!$ļ$494)</f>
      </c>
      <c r="IS494">
        <f>IF(ISBLANK('Data Entry'!$Ľ$494), "", 'Data Entry'!$Ľ$494)</f>
      </c>
      <c r="IT494">
        <f>IF(ISBLANK('Data Entry'!$ľ$494), "", 'Data Entry'!$ľ$494)</f>
      </c>
    </row>
    <row r="495" spans="1:254" x14ac:dyDescent="0.25">
      <c r="A495">
        <f>IF(ISBLANK('Data Entry'!$A$495), "", 'Data Entry'!$A$495)</f>
      </c>
      <c r="B495">
        <f>IF(ISBLANK('Data Entry'!$B$495), "", 'Data Entry'!$B$495)</f>
      </c>
      <c r="C495">
        <f>IF(ISBLANK('Data Entry'!$C$495), "", 'Data Entry'!$C$495)</f>
      </c>
      <c r="D495">
        <f>IF(ISBLANK('Data Entry'!$D$495), "", 'Data Entry'!$D$495)</f>
      </c>
      <c r="E495">
        <f>IF(ISBLANK('Data Entry'!$E$495), "", 'Data Entry'!$E$495)</f>
      </c>
      <c r="F495">
        <f>IF(ISBLANK('Data Entry'!$F$495), "", 'Data Entry'!$F$495)</f>
      </c>
      <c r="G495">
        <f>IF(ISBLANK('Data Entry'!$G$495), "", 'Data Entry'!$G$495)</f>
      </c>
      <c r="H495">
        <f>IF(ISBLANK('Data Entry'!$H$495), "", 'Data Entry'!$H$495)</f>
      </c>
      <c r="I495">
        <f>IF(ISBLANK('Data Entry'!$I$495), "", 'Data Entry'!$I$495)</f>
      </c>
      <c r="J495">
        <f>IF(ISBLANK('Data Entry'!$J$495), "", 'Data Entry'!$J$495)</f>
      </c>
      <c r="K495">
        <f>IF(ISBLANK('Data Entry'!$K$495), "", 'Data Entry'!$K$495)</f>
      </c>
      <c r="L495">
        <f>IF(ISBLANK('Data Entry'!$L$495), "", 'Data Entry'!$L$495)</f>
      </c>
      <c r="M495">
        <f>IF(ISBLANK('Data Entry'!$M$495), "", 'Data Entry'!$M$495)</f>
      </c>
      <c r="N495">
        <f>IF(ISBLANK('Data Entry'!$N$495), "", 'Data Entry'!$N$495)</f>
      </c>
      <c r="O495">
        <f>IF(ISBLANK('Data Entry'!$O$495), "", 'Data Entry'!$O$495)</f>
      </c>
      <c r="P495">
        <f>IF(ISBLANK('Data Entry'!$P$495), "", 'Data Entry'!$P$495)</f>
      </c>
      <c r="Q495">
        <f>IF(ISBLANK('Data Entry'!$Q$495), "", 'Data Entry'!$Q$495)</f>
      </c>
      <c r="R495">
        <f>IF(ISBLANK('Data Entry'!$R$495), "", 'Data Entry'!$R$495)</f>
      </c>
      <c r="S495">
        <f>IF(ISBLANK('Data Entry'!$S$495), "", 'Data Entry'!$S$495)</f>
      </c>
      <c r="T495">
        <f>IF(ISBLANK('Data Entry'!$T$495), "", 'Data Entry'!$T$495)</f>
      </c>
      <c r="U495">
        <f>IF(ISBLANK('Data Entry'!$U$495), "", 'Data Entry'!$U$495)</f>
      </c>
      <c r="V495">
        <f>IF(ISBLANK('Data Entry'!$V$495), "", 'Data Entry'!$V$495)</f>
      </c>
      <c r="W495">
        <f>IF(ISBLANK('Data Entry'!$W$495), "", 'Data Entry'!$W$495)</f>
      </c>
      <c r="X495">
        <f>IF(ISBLANK('Data Entry'!$X$495), "", 'Data Entry'!$X$495)</f>
      </c>
      <c r="Y495">
        <f>IF(ISBLANK('Data Entry'!$Y$495), "", 'Data Entry'!$Y$495)</f>
      </c>
      <c r="Z495">
        <f>IF(ISBLANK('Data Entry'!$Z$495), "", 'Data Entry'!$Z$495)</f>
      </c>
      <c r="AA495">
        <f>IF(ISBLANK('Data Entry'!$[$495), "", 'Data Entry'!$[$495)</f>
      </c>
      <c r="AB495">
        <f>IF(ISBLANK('Data Entry'!$\$495), "", 'Data Entry'!$\$495)</f>
      </c>
      <c r="AC495">
        <f>IF(ISBLANK('Data Entry'!$]$495), "", 'Data Entry'!$]$495)</f>
      </c>
      <c r="AD495">
        <f>IF(ISBLANK('Data Entry'!$^$495), "", 'Data Entry'!$^$495)</f>
      </c>
      <c r="AE495">
        <f>IF(ISBLANK('Data Entry'!$_$495), "", 'Data Entry'!$_$495)</f>
      </c>
      <c r="AF495">
        <f>IF(ISBLANK('Data Entry'!$`$495), "", 'Data Entry'!$`$495)</f>
      </c>
      <c r="AG495">
        <f>IF(ISBLANK('Data Entry'!$a$495), "", 'Data Entry'!$a$495)</f>
      </c>
      <c r="AH495">
        <f>IF(ISBLANK('Data Entry'!$b$495), "", 'Data Entry'!$b$495)</f>
      </c>
      <c r="AI495">
        <f>IF(ISBLANK('Data Entry'!$c$495), "", 'Data Entry'!$c$495)</f>
      </c>
      <c r="AJ495">
        <f>IF(ISBLANK('Data Entry'!$d$495), "", 'Data Entry'!$d$495)</f>
      </c>
      <c r="AK495">
        <f>IF(ISBLANK('Data Entry'!$e$495), "", 'Data Entry'!$e$495)</f>
      </c>
      <c r="AL495">
        <f>IF(ISBLANK('Data Entry'!$f$495), "", 'Data Entry'!$f$495)</f>
      </c>
      <c r="AM495">
        <f>IF(ISBLANK('Data Entry'!$g$495), "", 'Data Entry'!$g$495)</f>
      </c>
      <c r="AN495">
        <f>IF(ISBLANK('Data Entry'!$h$495), "", 'Data Entry'!$h$495)</f>
      </c>
      <c r="AO495">
        <f>IF(ISBLANK('Data Entry'!$i$495), "", 'Data Entry'!$i$495)</f>
      </c>
      <c r="AP495">
        <f>IF(ISBLANK('Data Entry'!$j$495), "", 'Data Entry'!$j$495)</f>
      </c>
      <c r="AQ495">
        <f>IF(ISBLANK('Data Entry'!$k$495), "", 'Data Entry'!$k$495)</f>
      </c>
      <c r="AR495">
        <f>IF(ISBLANK('Data Entry'!$l$495), "", 'Data Entry'!$l$495)</f>
      </c>
      <c r="AS495">
        <f>IF(ISBLANK('Data Entry'!$m$495), "", 'Data Entry'!$m$495)</f>
      </c>
      <c r="AT495">
        <f>IF(ISBLANK('Data Entry'!$n$495), "", 'Data Entry'!$n$495)</f>
      </c>
      <c r="AU495">
        <f>IF(ISBLANK('Data Entry'!$o$495), "", 'Data Entry'!$o$495)</f>
      </c>
      <c r="AV495">
        <f>IF(ISBLANK('Data Entry'!$p$495), "", 'Data Entry'!$p$495)</f>
      </c>
      <c r="AW495">
        <f>IF(ISBLANK('Data Entry'!$q$495), "", 'Data Entry'!$q$495)</f>
      </c>
      <c r="AX495">
        <f>IF(ISBLANK('Data Entry'!$r$495), "", 'Data Entry'!$r$495)</f>
      </c>
      <c r="AY495">
        <f>IF(ISBLANK('Data Entry'!$s$495), "", 'Data Entry'!$s$495)</f>
      </c>
      <c r="AZ495">
        <f>IF(ISBLANK('Data Entry'!$t$495), "", 'Data Entry'!$t$495)</f>
      </c>
      <c r="BA495">
        <f>IF(ISBLANK('Data Entry'!$u$495), "", 'Data Entry'!$u$495)</f>
      </c>
      <c r="BB495">
        <f>IF(ISBLANK('Data Entry'!$v$495), "", 'Data Entry'!$v$495)</f>
      </c>
      <c r="BC495">
        <f>IF(ISBLANK('Data Entry'!$w$495), "", 'Data Entry'!$w$495)</f>
      </c>
      <c r="BD495">
        <f>IF(ISBLANK('Data Entry'!$x$495), "", 'Data Entry'!$x$495)</f>
      </c>
      <c r="BE495">
        <f>IF(ISBLANK('Data Entry'!$y$495), "", 'Data Entry'!$y$495)</f>
      </c>
      <c r="BF495">
        <f>IF(ISBLANK('Data Entry'!$z$495), "", 'Data Entry'!$z$495)</f>
      </c>
      <c r="BG495">
        <f>IF(ISBLANK('Data Entry'!${$495), "", 'Data Entry'!${$495)</f>
      </c>
      <c r="BH495">
        <f>IF(ISBLANK('Data Entry'!$|$495), "", 'Data Entry'!$|$495)</f>
      </c>
      <c r="BI495">
        <f>IF(ISBLANK('Data Entry'!$}$495), "", 'Data Entry'!$}$495)</f>
      </c>
      <c r="BJ495">
        <f>IF(ISBLANK('Data Entry'!$~$495), "", 'Data Entry'!$~$495)</f>
      </c>
      <c r="BK495">
        <f>IF(ISBLANK('Data Entry'!$$495), "", 'Data Entry'!$$495)</f>
      </c>
      <c r="BL495">
        <f>IF(ISBLANK('Data Entry'!$$495), "", 'Data Entry'!$$495)</f>
      </c>
      <c r="BM495">
        <f>IF(ISBLANK('Data Entry'!$$495), "", 'Data Entry'!$$495)</f>
      </c>
      <c r="BN495">
        <f>IF(ISBLANK('Data Entry'!$$495), "", 'Data Entry'!$$495)</f>
      </c>
      <c r="BO495">
        <f>IF(ISBLANK('Data Entry'!$$495), "", 'Data Entry'!$$495)</f>
      </c>
      <c r="BP495">
        <f>IF(ISBLANK('Data Entry'!$$495), "", 'Data Entry'!$$495)</f>
      </c>
      <c r="BQ495">
        <f>IF(ISBLANK('Data Entry'!$$495), "", 'Data Entry'!$$495)</f>
      </c>
      <c r="BR495">
        <f>IF(ISBLANK('Data Entry'!$$495), "", 'Data Entry'!$$495)</f>
      </c>
      <c r="BS495">
        <f>IF(ISBLANK('Data Entry'!$$495), "", 'Data Entry'!$$495)</f>
      </c>
      <c r="BT495">
        <f>IF(ISBLANK('Data Entry'!$$495), "", 'Data Entry'!$$495)</f>
      </c>
      <c r="BU495">
        <f>IF(ISBLANK('Data Entry'!$$495), "", 'Data Entry'!$$495)</f>
      </c>
      <c r="BV495">
        <f>IF(ISBLANK('Data Entry'!$$495), "", 'Data Entry'!$$495)</f>
      </c>
      <c r="BW495">
        <f>IF(ISBLANK('Data Entry'!$$495), "", 'Data Entry'!$$495)</f>
      </c>
      <c r="BX495">
        <f>IF(ISBLANK('Data Entry'!$$495), "", 'Data Entry'!$$495)</f>
      </c>
      <c r="BY495">
        <f>IF(ISBLANK('Data Entry'!$$495), "", 'Data Entry'!$$495)</f>
      </c>
      <c r="BZ495">
        <f>IF(ISBLANK('Data Entry'!$$495), "", 'Data Entry'!$$495)</f>
      </c>
      <c r="CA495">
        <f>IF(ISBLANK('Data Entry'!$$495), "", 'Data Entry'!$$495)</f>
      </c>
      <c r="CB495">
        <f>IF(ISBLANK('Data Entry'!$$495), "", 'Data Entry'!$$495)</f>
      </c>
      <c r="CC495">
        <f>IF(ISBLANK('Data Entry'!$$495), "", 'Data Entry'!$$495)</f>
      </c>
      <c r="CD495">
        <f>IF(ISBLANK('Data Entry'!$$495), "", 'Data Entry'!$$495)</f>
      </c>
      <c r="CE495">
        <f>IF(ISBLANK('Data Entry'!$$495), "", 'Data Entry'!$$495)</f>
      </c>
      <c r="CF495">
        <f>IF(ISBLANK('Data Entry'!$$495), "", 'Data Entry'!$$495)</f>
      </c>
      <c r="CG495">
        <f>IF(ISBLANK('Data Entry'!$$495), "", 'Data Entry'!$$495)</f>
      </c>
      <c r="CH495">
        <f>IF(ISBLANK('Data Entry'!$$495), "", 'Data Entry'!$$495)</f>
      </c>
      <c r="CI495">
        <f>IF(ISBLANK('Data Entry'!$$495), "", 'Data Entry'!$$495)</f>
      </c>
      <c r="CJ495">
        <f>IF(ISBLANK('Data Entry'!$$495), "", 'Data Entry'!$$495)</f>
      </c>
      <c r="CK495">
        <f>IF(ISBLANK('Data Entry'!$$495), "", 'Data Entry'!$$495)</f>
      </c>
      <c r="CL495">
        <f>IF(ISBLANK('Data Entry'!$$495), "", 'Data Entry'!$$495)</f>
      </c>
      <c r="CM495">
        <f>IF(ISBLANK('Data Entry'!$$495), "", 'Data Entry'!$$495)</f>
      </c>
      <c r="CN495">
        <f>IF(ISBLANK('Data Entry'!$$495), "", 'Data Entry'!$$495)</f>
      </c>
      <c r="CO495">
        <f>IF(ISBLANK('Data Entry'!$$495), "", 'Data Entry'!$$495)</f>
      </c>
      <c r="CP495">
        <f>IF(ISBLANK('Data Entry'!$$495), "", 'Data Entry'!$$495)</f>
      </c>
      <c r="CQ495">
        <f>IF(ISBLANK('Data Entry'!$$495), "", 'Data Entry'!$$495)</f>
      </c>
      <c r="CR495">
        <f>IF(ISBLANK('Data Entry'!$ $495), "", 'Data Entry'!$ $495)</f>
      </c>
      <c r="CS495">
        <f>IF(ISBLANK('Data Entry'!$¡$495), "", 'Data Entry'!$¡$495)</f>
      </c>
      <c r="CT495">
        <f>IF(ISBLANK('Data Entry'!$¢$495), "", 'Data Entry'!$¢$495)</f>
      </c>
      <c r="CU495">
        <f>IF(ISBLANK('Data Entry'!$£$495), "", 'Data Entry'!$£$495)</f>
      </c>
      <c r="CV495">
        <f>IF(ISBLANK('Data Entry'!$¤$495), "", 'Data Entry'!$¤$495)</f>
      </c>
      <c r="CW495">
        <f>IF(ISBLANK('Data Entry'!$¥$495), "", 'Data Entry'!$¥$495)</f>
      </c>
      <c r="CX495">
        <f>IF(ISBLANK('Data Entry'!$¦$495), "", 'Data Entry'!$¦$495)</f>
      </c>
      <c r="CY495">
        <f>IF(ISBLANK('Data Entry'!$§$495), "", 'Data Entry'!$§$495)</f>
      </c>
      <c r="CZ495">
        <f>IF(ISBLANK('Data Entry'!$¨$495), "", 'Data Entry'!$¨$495)</f>
      </c>
      <c r="DA495">
        <f>IF(ISBLANK('Data Entry'!$©$495), "", 'Data Entry'!$©$495)</f>
      </c>
      <c r="DB495">
        <f>IF(ISBLANK('Data Entry'!$ª$495), "", 'Data Entry'!$ª$495)</f>
      </c>
      <c r="DC495">
        <f>IF(ISBLANK('Data Entry'!$«$495), "", 'Data Entry'!$«$495)</f>
      </c>
      <c r="DD495">
        <f>IF(ISBLANK('Data Entry'!$¬$495), "", 'Data Entry'!$¬$495)</f>
      </c>
      <c r="DE495">
        <f>IF(ISBLANK('Data Entry'!$­$495), "", 'Data Entry'!$­$495)</f>
      </c>
      <c r="DF495">
        <f>IF(ISBLANK('Data Entry'!$®$495), "", 'Data Entry'!$®$495)</f>
      </c>
      <c r="DG495">
        <f>IF(ISBLANK('Data Entry'!$¯$495), "", 'Data Entry'!$¯$495)</f>
      </c>
      <c r="DH495">
        <f>IF(ISBLANK('Data Entry'!$°$495), "", 'Data Entry'!$°$495)</f>
      </c>
      <c r="DI495">
        <f>IF(ISBLANK('Data Entry'!$±$495), "", 'Data Entry'!$±$495)</f>
      </c>
      <c r="DJ495">
        <f>IF(ISBLANK('Data Entry'!$²$495), "", 'Data Entry'!$²$495)</f>
      </c>
      <c r="DK495">
        <f>IF(ISBLANK('Data Entry'!$³$495), "", 'Data Entry'!$³$495)</f>
      </c>
      <c r="DL495">
        <f>IF(ISBLANK('Data Entry'!$´$495), "", 'Data Entry'!$´$495)</f>
      </c>
      <c r="DM495">
        <f>IF(ISBLANK('Data Entry'!$µ$495), "", 'Data Entry'!$µ$495)</f>
      </c>
      <c r="DN495">
        <f>IF(ISBLANK('Data Entry'!$¶$495), "", 'Data Entry'!$¶$495)</f>
      </c>
      <c r="DO495">
        <f>IF(ISBLANK('Data Entry'!$·$495), "", 'Data Entry'!$·$495)</f>
      </c>
      <c r="DP495">
        <f>IF(ISBLANK('Data Entry'!$¸$495), "", 'Data Entry'!$¸$495)</f>
      </c>
      <c r="DQ495">
        <f>IF(ISBLANK('Data Entry'!$¹$495), "", 'Data Entry'!$¹$495)</f>
      </c>
      <c r="DR495">
        <f>IF(ISBLANK('Data Entry'!$º$495), "", 'Data Entry'!$º$495)</f>
      </c>
      <c r="DS495">
        <f>IF(ISBLANK('Data Entry'!$»$495), "", 'Data Entry'!$»$495)</f>
      </c>
      <c r="DT495">
        <f>IF(ISBLANK('Data Entry'!$¼$495), "", 'Data Entry'!$¼$495)</f>
      </c>
      <c r="DU495">
        <f>IF(ISBLANK('Data Entry'!$½$495), "", 'Data Entry'!$½$495)</f>
      </c>
      <c r="DV495">
        <f>IF(ISBLANK('Data Entry'!$¾$495), "", 'Data Entry'!$¾$495)</f>
      </c>
      <c r="DW495">
        <f>IF(ISBLANK('Data Entry'!$¿$495), "", 'Data Entry'!$¿$495)</f>
      </c>
      <c r="DX495">
        <f>IF(ISBLANK('Data Entry'!$À$495), "", 'Data Entry'!$À$495)</f>
      </c>
      <c r="DY495">
        <f>IF(ISBLANK('Data Entry'!$Á$495), "", 'Data Entry'!$Á$495)</f>
      </c>
      <c r="DZ495">
        <f>IF(ISBLANK('Data Entry'!$Â$495), "", 'Data Entry'!$Â$495)</f>
      </c>
      <c r="EA495">
        <f>IF(ISBLANK('Data Entry'!$Ã$495), "", 'Data Entry'!$Ã$495)</f>
      </c>
      <c r="EB495">
        <f>IF(ISBLANK('Data Entry'!$Ä$495), "", 'Data Entry'!$Ä$495)</f>
      </c>
      <c r="EC495">
        <f>IF(ISBLANK('Data Entry'!$Å$495), "", 'Data Entry'!$Å$495)</f>
      </c>
      <c r="ED495">
        <f>IF(ISBLANK('Data Entry'!$Æ$495), "", 'Data Entry'!$Æ$495)</f>
      </c>
      <c r="EE495">
        <f>IF(ISBLANK('Data Entry'!$Ç$495), "", 'Data Entry'!$Ç$495)</f>
      </c>
      <c r="EF495">
        <f>IF(ISBLANK('Data Entry'!$È$495), "", 'Data Entry'!$È$495)</f>
      </c>
      <c r="EG495">
        <f>IF(ISBLANK('Data Entry'!$É$495), "", 'Data Entry'!$É$495)</f>
      </c>
      <c r="EH495">
        <f>IF(ISBLANK('Data Entry'!$Ê$495), "", 'Data Entry'!$Ê$495)</f>
      </c>
      <c r="EI495">
        <f>IF(ISBLANK('Data Entry'!$Ë$495), "", 'Data Entry'!$Ë$495)</f>
      </c>
      <c r="EJ495">
        <f>IF(ISBLANK('Data Entry'!$Ì$495), "", 'Data Entry'!$Ì$495)</f>
      </c>
      <c r="EK495">
        <f>IF(ISBLANK('Data Entry'!$Í$495), "", 'Data Entry'!$Í$495)</f>
      </c>
      <c r="EL495">
        <f>IF(ISBLANK('Data Entry'!$Î$495), "", 'Data Entry'!$Î$495)</f>
      </c>
      <c r="EM495">
        <f>IF(ISBLANK('Data Entry'!$Ï$495), "", 'Data Entry'!$Ï$495)</f>
      </c>
      <c r="EN495">
        <f>IF(ISBLANK('Data Entry'!$Ð$495), "", 'Data Entry'!$Ð$495)</f>
      </c>
      <c r="EO495">
        <f>IF(ISBLANK('Data Entry'!$Ñ$495), "", 'Data Entry'!$Ñ$495)</f>
      </c>
      <c r="EP495">
        <f>IF(ISBLANK('Data Entry'!$Ò$495), "", 'Data Entry'!$Ò$495)</f>
      </c>
      <c r="EQ495">
        <f>IF(ISBLANK('Data Entry'!$Ó$495), "", 'Data Entry'!$Ó$495)</f>
      </c>
      <c r="ER495">
        <f>IF(ISBLANK('Data Entry'!$Ô$495), "", 'Data Entry'!$Ô$495)</f>
      </c>
      <c r="ES495">
        <f>IF(ISBLANK('Data Entry'!$Õ$495), "", 'Data Entry'!$Õ$495)</f>
      </c>
      <c r="ET495">
        <f>IF(ISBLANK('Data Entry'!$Ö$495), "", 'Data Entry'!$Ö$495)</f>
      </c>
      <c r="EU495">
        <f>IF(ISBLANK('Data Entry'!$×$495), "", 'Data Entry'!$×$495)</f>
      </c>
      <c r="EV495">
        <f>IF(ISBLANK('Data Entry'!$Ø$495), "", 'Data Entry'!$Ø$495)</f>
      </c>
      <c r="EW495">
        <f>IF(ISBLANK('Data Entry'!$Ù$495), "", 'Data Entry'!$Ù$495)</f>
      </c>
      <c r="EX495">
        <f>IF(ISBLANK('Data Entry'!$Ú$495), "", 'Data Entry'!$Ú$495)</f>
      </c>
      <c r="EY495">
        <f>IF(ISBLANK('Data Entry'!$Û$495), "", 'Data Entry'!$Û$495)</f>
      </c>
      <c r="EZ495">
        <f>IF(ISBLANK('Data Entry'!$Ü$495), "", 'Data Entry'!$Ü$495)</f>
      </c>
      <c r="FA495">
        <f>IF(ISBLANK('Data Entry'!$Ý$495), "", 'Data Entry'!$Ý$495)</f>
      </c>
      <c r="FB495">
        <f>IF(ISBLANK('Data Entry'!$Þ$495), "", 'Data Entry'!$Þ$495)</f>
      </c>
      <c r="FC495">
        <f>IF(ISBLANK('Data Entry'!$ß$495), "", 'Data Entry'!$ß$495)</f>
      </c>
      <c r="FD495">
        <f>IF(ISBLANK('Data Entry'!$à$495), "", 'Data Entry'!$à$495)</f>
      </c>
      <c r="FE495">
        <f>IF(ISBLANK('Data Entry'!$á$495), "", 'Data Entry'!$á$495)</f>
      </c>
      <c r="FF495">
        <f>IF(ISBLANK('Data Entry'!$â$495), "", 'Data Entry'!$â$495)</f>
      </c>
      <c r="FG495">
        <f>IF(ISBLANK('Data Entry'!$ã$495), "", 'Data Entry'!$ã$495)</f>
      </c>
      <c r="FH495">
        <f>IF(ISBLANK('Data Entry'!$ä$495), "", 'Data Entry'!$ä$495)</f>
      </c>
      <c r="FI495">
        <f>IF(ISBLANK('Data Entry'!$å$495), "", 'Data Entry'!$å$495)</f>
      </c>
      <c r="FJ495">
        <f>IF(ISBLANK('Data Entry'!$æ$495), "", 'Data Entry'!$æ$495)</f>
      </c>
      <c r="FK495">
        <f>IF(ISBLANK('Data Entry'!$ç$495), "", 'Data Entry'!$ç$495)</f>
      </c>
      <c r="FL495">
        <f>IF(ISBLANK('Data Entry'!$è$495), "", 'Data Entry'!$è$495)</f>
      </c>
      <c r="FM495">
        <f>IF(ISBLANK('Data Entry'!$é$495), "", 'Data Entry'!$é$495)</f>
      </c>
      <c r="FN495">
        <f>IF(ISBLANK('Data Entry'!$ê$495), "", 'Data Entry'!$ê$495)</f>
      </c>
      <c r="FO495">
        <f>IF(ISBLANK('Data Entry'!$ë$495), "", 'Data Entry'!$ë$495)</f>
      </c>
      <c r="FP495">
        <f>IF(ISBLANK('Data Entry'!$ì$495), "", 'Data Entry'!$ì$495)</f>
      </c>
      <c r="FQ495">
        <f>IF(ISBLANK('Data Entry'!$í$495), "", 'Data Entry'!$í$495)</f>
      </c>
      <c r="FR495">
        <f>IF(ISBLANK('Data Entry'!$î$495), "", 'Data Entry'!$î$495)</f>
      </c>
      <c r="FS495">
        <f>IF(ISBLANK('Data Entry'!$ï$495), "", 'Data Entry'!$ï$495)</f>
      </c>
      <c r="FT495">
        <f>IF(ISBLANK('Data Entry'!$ð$495), "", 'Data Entry'!$ð$495)</f>
      </c>
      <c r="FU495">
        <f>IF(ISBLANK('Data Entry'!$ñ$495), "", 'Data Entry'!$ñ$495)</f>
      </c>
      <c r="FV495">
        <f>IF(ISBLANK('Data Entry'!$ò$495), "", 'Data Entry'!$ò$495)</f>
      </c>
      <c r="FW495">
        <f>IF(ISBLANK('Data Entry'!$ó$495), "", 'Data Entry'!$ó$495)</f>
      </c>
      <c r="FX495">
        <f>IF(ISBLANK('Data Entry'!$ô$495), "", 'Data Entry'!$ô$495)</f>
      </c>
      <c r="FY495">
        <f>IF(ISBLANK('Data Entry'!$õ$495), "", 'Data Entry'!$õ$495)</f>
      </c>
      <c r="FZ495">
        <f>IF(ISBLANK('Data Entry'!$ö$495), "", 'Data Entry'!$ö$495)</f>
      </c>
      <c r="GA495">
        <f>IF(ISBLANK('Data Entry'!$÷$495), "", 'Data Entry'!$÷$495)</f>
      </c>
      <c r="GB495">
        <f>IF(ISBLANK('Data Entry'!$ø$495), "", 'Data Entry'!$ø$495)</f>
      </c>
      <c r="GC495">
        <f>IF(ISBLANK('Data Entry'!$ù$495), "", 'Data Entry'!$ù$495)</f>
      </c>
      <c r="GD495">
        <f>IF(ISBLANK('Data Entry'!$ú$495), "", 'Data Entry'!$ú$495)</f>
      </c>
      <c r="GE495">
        <f>IF(ISBLANK('Data Entry'!$û$495), "", 'Data Entry'!$û$495)</f>
      </c>
      <c r="GF495">
        <f>IF(ISBLANK('Data Entry'!$ü$495), "", 'Data Entry'!$ü$495)</f>
      </c>
      <c r="GG495">
        <f>IF(ISBLANK('Data Entry'!$ý$495), "", 'Data Entry'!$ý$495)</f>
      </c>
      <c r="GH495">
        <f>IF(ISBLANK('Data Entry'!$þ$495), "", 'Data Entry'!$þ$495)</f>
      </c>
      <c r="GI495">
        <f>IF(ISBLANK('Data Entry'!$ÿ$495), "", 'Data Entry'!$ÿ$495)</f>
      </c>
      <c r="GJ495">
        <f>IF(ISBLANK('Data Entry'!$Ā$495), "", 'Data Entry'!$Ā$495)</f>
      </c>
      <c r="GK495">
        <f>IF(ISBLANK('Data Entry'!$ā$495), "", 'Data Entry'!$ā$495)</f>
      </c>
      <c r="GL495">
        <f>IF(ISBLANK('Data Entry'!$Ă$495), "", 'Data Entry'!$Ă$495)</f>
      </c>
      <c r="GM495">
        <f>IF(ISBLANK('Data Entry'!$ă$495), "", 'Data Entry'!$ă$495)</f>
      </c>
      <c r="GN495">
        <f>IF(ISBLANK('Data Entry'!$Ą$495), "", 'Data Entry'!$Ą$495)</f>
      </c>
      <c r="GO495">
        <f>IF(ISBLANK('Data Entry'!$ą$495), "", 'Data Entry'!$ą$495)</f>
      </c>
      <c r="GP495">
        <f>IF(ISBLANK('Data Entry'!$Ć$495), "", 'Data Entry'!$Ć$495)</f>
      </c>
      <c r="GQ495">
        <f>IF(ISBLANK('Data Entry'!$ć$495), "", 'Data Entry'!$ć$495)</f>
      </c>
      <c r="GR495">
        <f>IF(ISBLANK('Data Entry'!$Ĉ$495), "", 'Data Entry'!$Ĉ$495)</f>
      </c>
      <c r="GS495">
        <f>IF(ISBLANK('Data Entry'!$ĉ$495), "", 'Data Entry'!$ĉ$495)</f>
      </c>
      <c r="GT495">
        <f>IF(ISBLANK('Data Entry'!$Ċ$495), "", 'Data Entry'!$Ċ$495)</f>
      </c>
      <c r="GU495">
        <f>IF(ISBLANK('Data Entry'!$ċ$495), "", 'Data Entry'!$ċ$495)</f>
      </c>
      <c r="GV495">
        <f>IF(ISBLANK('Data Entry'!$Č$495), "", 'Data Entry'!$Č$495)</f>
      </c>
      <c r="GW495">
        <f>IF(ISBLANK('Data Entry'!$č$495), "", 'Data Entry'!$č$495)</f>
      </c>
      <c r="GX495">
        <f>IF(ISBLANK('Data Entry'!$Ď$495), "", 'Data Entry'!$Ď$495)</f>
      </c>
      <c r="GY495">
        <f>IF(ISBLANK('Data Entry'!$ď$495), "", 'Data Entry'!$ď$495)</f>
      </c>
      <c r="GZ495">
        <f>IF(ISBLANK('Data Entry'!$Đ$495), "", 'Data Entry'!$Đ$495)</f>
      </c>
      <c r="HA495">
        <f>IF(ISBLANK('Data Entry'!$đ$495), "", 'Data Entry'!$đ$495)</f>
      </c>
      <c r="HB495">
        <f>IF(ISBLANK('Data Entry'!$Ē$495), "", 'Data Entry'!$Ē$495)</f>
      </c>
      <c r="HC495">
        <f>IF(ISBLANK('Data Entry'!$ē$495), "", 'Data Entry'!$ē$495)</f>
      </c>
      <c r="HD495">
        <f>IF(ISBLANK('Data Entry'!$Ĕ$495), "", 'Data Entry'!$Ĕ$495)</f>
      </c>
      <c r="HE495">
        <f>IF(ISBLANK('Data Entry'!$ĕ$495), "", 'Data Entry'!$ĕ$495)</f>
      </c>
      <c r="HF495">
        <f>IF(ISBLANK('Data Entry'!$Ė$495), "", 'Data Entry'!$Ė$495)</f>
      </c>
      <c r="HG495">
        <f>IF(ISBLANK('Data Entry'!$ė$495), "", 'Data Entry'!$ė$495)</f>
      </c>
      <c r="HH495">
        <f>IF(ISBLANK('Data Entry'!$Ę$495), "", 'Data Entry'!$Ę$495)</f>
      </c>
      <c r="HI495">
        <f>IF(ISBLANK('Data Entry'!$ę$495), "", 'Data Entry'!$ę$495)</f>
      </c>
      <c r="HJ495">
        <f>IF(ISBLANK('Data Entry'!$Ě$495), "", 'Data Entry'!$Ě$495)</f>
      </c>
      <c r="HK495">
        <f>IF(ISBLANK('Data Entry'!$ě$495), "", 'Data Entry'!$ě$495)</f>
      </c>
      <c r="HL495">
        <f>IF(ISBLANK('Data Entry'!$Ĝ$495), "", 'Data Entry'!$Ĝ$495)</f>
      </c>
      <c r="HM495">
        <f>IF(ISBLANK('Data Entry'!$ĝ$495), "", 'Data Entry'!$ĝ$495)</f>
      </c>
      <c r="HN495">
        <f>IF(ISBLANK('Data Entry'!$Ğ$495), "", 'Data Entry'!$Ğ$495)</f>
      </c>
      <c r="HO495">
        <f>IF(ISBLANK('Data Entry'!$ğ$495), "", 'Data Entry'!$ğ$495)</f>
      </c>
      <c r="HP495">
        <f>IF(ISBLANK('Data Entry'!$Ġ$495), "", 'Data Entry'!$Ġ$495)</f>
      </c>
      <c r="HQ495">
        <f>IF(ISBLANK('Data Entry'!$ġ$495), "", 'Data Entry'!$ġ$495)</f>
      </c>
      <c r="HR495">
        <f>IF(ISBLANK('Data Entry'!$Ģ$495), "", 'Data Entry'!$Ģ$495)</f>
      </c>
      <c r="HS495">
        <f>IF(ISBLANK('Data Entry'!$ģ$495), "", 'Data Entry'!$ģ$495)</f>
      </c>
      <c r="HT495">
        <f>IF(ISBLANK('Data Entry'!$Ĥ$495), "", 'Data Entry'!$Ĥ$495)</f>
      </c>
      <c r="HU495">
        <f>IF(ISBLANK('Data Entry'!$ĥ$495), "", 'Data Entry'!$ĥ$495)</f>
      </c>
      <c r="HV495">
        <f>IF(ISBLANK('Data Entry'!$Ħ$495), "", 'Data Entry'!$Ħ$495)</f>
      </c>
      <c r="HW495">
        <f>IF(ISBLANK('Data Entry'!$ħ$495), "", 'Data Entry'!$ħ$495)</f>
      </c>
      <c r="HX495">
        <f>IF(ISBLANK('Data Entry'!$Ĩ$495), "", 'Data Entry'!$Ĩ$495)</f>
      </c>
      <c r="HY495">
        <f>IF(ISBLANK('Data Entry'!$ĩ$495), "", 'Data Entry'!$ĩ$495)</f>
      </c>
      <c r="HZ495">
        <f>IF(ISBLANK('Data Entry'!$Ī$495), "", 'Data Entry'!$Ī$495)</f>
      </c>
      <c r="IA495">
        <f>IF(ISBLANK('Data Entry'!$ī$495), "", 'Data Entry'!$ī$495)</f>
      </c>
      <c r="IB495">
        <f>IF(ISBLANK('Data Entry'!$Ĭ$495), "", 'Data Entry'!$Ĭ$495)</f>
      </c>
      <c r="IC495">
        <f>IF(ISBLANK('Data Entry'!$ĭ$495), "", 'Data Entry'!$ĭ$495)</f>
      </c>
      <c r="ID495">
        <f>IF(ISBLANK('Data Entry'!$Į$495), "", 'Data Entry'!$Į$495)</f>
      </c>
      <c r="IE495">
        <f>IF(ISBLANK('Data Entry'!$į$495), "", 'Data Entry'!$į$495)</f>
      </c>
      <c r="IF495">
        <f>IF(ISBLANK('Data Entry'!$İ$495), "", 'Data Entry'!$İ$495)</f>
      </c>
      <c r="IG495">
        <f>IF(ISBLANK('Data Entry'!$ı$495), "", 'Data Entry'!$ı$495)</f>
      </c>
      <c r="IH495">
        <f>IF(ISBLANK('Data Entry'!$Ĳ$495), "", 'Data Entry'!$Ĳ$495)</f>
      </c>
      <c r="II495">
        <f>IF(ISBLANK('Data Entry'!$ĳ$495), "", 'Data Entry'!$ĳ$495)</f>
      </c>
      <c r="IJ495">
        <f>IF(ISBLANK('Data Entry'!$Ĵ$495), "", 'Data Entry'!$Ĵ$495)</f>
      </c>
      <c r="IK495">
        <f>IF(ISBLANK('Data Entry'!$ĵ$495), "", 'Data Entry'!$ĵ$495)</f>
      </c>
      <c r="IL495">
        <f>IF(ISBLANK('Data Entry'!$Ķ$495), "", 'Data Entry'!$Ķ$495)</f>
      </c>
      <c r="IM495">
        <f>IF(ISBLANK('Data Entry'!$ķ$495), "", 'Data Entry'!$ķ$495)</f>
      </c>
      <c r="IN495">
        <f>IF(ISBLANK('Data Entry'!$ĸ$495), "", 'Data Entry'!$ĸ$495)</f>
      </c>
      <c r="IO495">
        <f>IF(ISBLANK('Data Entry'!$Ĺ$495), "", 'Data Entry'!$Ĺ$495)</f>
      </c>
      <c r="IP495">
        <f>IF(ISBLANK('Data Entry'!$ĺ$495), "", 'Data Entry'!$ĺ$495)</f>
      </c>
      <c r="IQ495">
        <f>IF(ISBLANK('Data Entry'!$Ļ$495), "", 'Data Entry'!$Ļ$495)</f>
      </c>
      <c r="IR495">
        <f>IF(ISBLANK('Data Entry'!$ļ$495), "", 'Data Entry'!$ļ$495)</f>
      </c>
      <c r="IS495">
        <f>IF(ISBLANK('Data Entry'!$Ľ$495), "", 'Data Entry'!$Ľ$495)</f>
      </c>
      <c r="IT495">
        <f>IF(ISBLANK('Data Entry'!$ľ$495), "", 'Data Entry'!$ľ$495)</f>
      </c>
    </row>
    <row r="496" spans="1:254" x14ac:dyDescent="0.25">
      <c r="A496">
        <f>IF(ISBLANK('Data Entry'!$A$496), "", 'Data Entry'!$A$496)</f>
      </c>
      <c r="B496">
        <f>IF(ISBLANK('Data Entry'!$B$496), "", 'Data Entry'!$B$496)</f>
      </c>
      <c r="C496">
        <f>IF(ISBLANK('Data Entry'!$C$496), "", 'Data Entry'!$C$496)</f>
      </c>
      <c r="D496">
        <f>IF(ISBLANK('Data Entry'!$D$496), "", 'Data Entry'!$D$496)</f>
      </c>
      <c r="E496">
        <f>IF(ISBLANK('Data Entry'!$E$496), "", 'Data Entry'!$E$496)</f>
      </c>
      <c r="F496">
        <f>IF(ISBLANK('Data Entry'!$F$496), "", 'Data Entry'!$F$496)</f>
      </c>
      <c r="G496">
        <f>IF(ISBLANK('Data Entry'!$G$496), "", 'Data Entry'!$G$496)</f>
      </c>
      <c r="H496">
        <f>IF(ISBLANK('Data Entry'!$H$496), "", 'Data Entry'!$H$496)</f>
      </c>
      <c r="I496">
        <f>IF(ISBLANK('Data Entry'!$I$496), "", 'Data Entry'!$I$496)</f>
      </c>
      <c r="J496">
        <f>IF(ISBLANK('Data Entry'!$J$496), "", 'Data Entry'!$J$496)</f>
      </c>
      <c r="K496">
        <f>IF(ISBLANK('Data Entry'!$K$496), "", 'Data Entry'!$K$496)</f>
      </c>
      <c r="L496">
        <f>IF(ISBLANK('Data Entry'!$L$496), "", 'Data Entry'!$L$496)</f>
      </c>
      <c r="M496">
        <f>IF(ISBLANK('Data Entry'!$M$496), "", 'Data Entry'!$M$496)</f>
      </c>
      <c r="N496">
        <f>IF(ISBLANK('Data Entry'!$N$496), "", 'Data Entry'!$N$496)</f>
      </c>
      <c r="O496">
        <f>IF(ISBLANK('Data Entry'!$O$496), "", 'Data Entry'!$O$496)</f>
      </c>
      <c r="P496">
        <f>IF(ISBLANK('Data Entry'!$P$496), "", 'Data Entry'!$P$496)</f>
      </c>
      <c r="Q496">
        <f>IF(ISBLANK('Data Entry'!$Q$496), "", 'Data Entry'!$Q$496)</f>
      </c>
      <c r="R496">
        <f>IF(ISBLANK('Data Entry'!$R$496), "", 'Data Entry'!$R$496)</f>
      </c>
      <c r="S496">
        <f>IF(ISBLANK('Data Entry'!$S$496), "", 'Data Entry'!$S$496)</f>
      </c>
      <c r="T496">
        <f>IF(ISBLANK('Data Entry'!$T$496), "", 'Data Entry'!$T$496)</f>
      </c>
      <c r="U496">
        <f>IF(ISBLANK('Data Entry'!$U$496), "", 'Data Entry'!$U$496)</f>
      </c>
      <c r="V496">
        <f>IF(ISBLANK('Data Entry'!$V$496), "", 'Data Entry'!$V$496)</f>
      </c>
      <c r="W496">
        <f>IF(ISBLANK('Data Entry'!$W$496), "", 'Data Entry'!$W$496)</f>
      </c>
      <c r="X496">
        <f>IF(ISBLANK('Data Entry'!$X$496), "", 'Data Entry'!$X$496)</f>
      </c>
      <c r="Y496">
        <f>IF(ISBLANK('Data Entry'!$Y$496), "", 'Data Entry'!$Y$496)</f>
      </c>
      <c r="Z496">
        <f>IF(ISBLANK('Data Entry'!$Z$496), "", 'Data Entry'!$Z$496)</f>
      </c>
      <c r="AA496">
        <f>IF(ISBLANK('Data Entry'!$[$496), "", 'Data Entry'!$[$496)</f>
      </c>
      <c r="AB496">
        <f>IF(ISBLANK('Data Entry'!$\$496), "", 'Data Entry'!$\$496)</f>
      </c>
      <c r="AC496">
        <f>IF(ISBLANK('Data Entry'!$]$496), "", 'Data Entry'!$]$496)</f>
      </c>
      <c r="AD496">
        <f>IF(ISBLANK('Data Entry'!$^$496), "", 'Data Entry'!$^$496)</f>
      </c>
      <c r="AE496">
        <f>IF(ISBLANK('Data Entry'!$_$496), "", 'Data Entry'!$_$496)</f>
      </c>
      <c r="AF496">
        <f>IF(ISBLANK('Data Entry'!$`$496), "", 'Data Entry'!$`$496)</f>
      </c>
      <c r="AG496">
        <f>IF(ISBLANK('Data Entry'!$a$496), "", 'Data Entry'!$a$496)</f>
      </c>
      <c r="AH496">
        <f>IF(ISBLANK('Data Entry'!$b$496), "", 'Data Entry'!$b$496)</f>
      </c>
      <c r="AI496">
        <f>IF(ISBLANK('Data Entry'!$c$496), "", 'Data Entry'!$c$496)</f>
      </c>
      <c r="AJ496">
        <f>IF(ISBLANK('Data Entry'!$d$496), "", 'Data Entry'!$d$496)</f>
      </c>
      <c r="AK496">
        <f>IF(ISBLANK('Data Entry'!$e$496), "", 'Data Entry'!$e$496)</f>
      </c>
      <c r="AL496">
        <f>IF(ISBLANK('Data Entry'!$f$496), "", 'Data Entry'!$f$496)</f>
      </c>
      <c r="AM496">
        <f>IF(ISBLANK('Data Entry'!$g$496), "", 'Data Entry'!$g$496)</f>
      </c>
      <c r="AN496">
        <f>IF(ISBLANK('Data Entry'!$h$496), "", 'Data Entry'!$h$496)</f>
      </c>
      <c r="AO496">
        <f>IF(ISBLANK('Data Entry'!$i$496), "", 'Data Entry'!$i$496)</f>
      </c>
      <c r="AP496">
        <f>IF(ISBLANK('Data Entry'!$j$496), "", 'Data Entry'!$j$496)</f>
      </c>
      <c r="AQ496">
        <f>IF(ISBLANK('Data Entry'!$k$496), "", 'Data Entry'!$k$496)</f>
      </c>
      <c r="AR496">
        <f>IF(ISBLANK('Data Entry'!$l$496), "", 'Data Entry'!$l$496)</f>
      </c>
      <c r="AS496">
        <f>IF(ISBLANK('Data Entry'!$m$496), "", 'Data Entry'!$m$496)</f>
      </c>
      <c r="AT496">
        <f>IF(ISBLANK('Data Entry'!$n$496), "", 'Data Entry'!$n$496)</f>
      </c>
      <c r="AU496">
        <f>IF(ISBLANK('Data Entry'!$o$496), "", 'Data Entry'!$o$496)</f>
      </c>
      <c r="AV496">
        <f>IF(ISBLANK('Data Entry'!$p$496), "", 'Data Entry'!$p$496)</f>
      </c>
      <c r="AW496">
        <f>IF(ISBLANK('Data Entry'!$q$496), "", 'Data Entry'!$q$496)</f>
      </c>
      <c r="AX496">
        <f>IF(ISBLANK('Data Entry'!$r$496), "", 'Data Entry'!$r$496)</f>
      </c>
      <c r="AY496">
        <f>IF(ISBLANK('Data Entry'!$s$496), "", 'Data Entry'!$s$496)</f>
      </c>
      <c r="AZ496">
        <f>IF(ISBLANK('Data Entry'!$t$496), "", 'Data Entry'!$t$496)</f>
      </c>
      <c r="BA496">
        <f>IF(ISBLANK('Data Entry'!$u$496), "", 'Data Entry'!$u$496)</f>
      </c>
      <c r="BB496">
        <f>IF(ISBLANK('Data Entry'!$v$496), "", 'Data Entry'!$v$496)</f>
      </c>
      <c r="BC496">
        <f>IF(ISBLANK('Data Entry'!$w$496), "", 'Data Entry'!$w$496)</f>
      </c>
      <c r="BD496">
        <f>IF(ISBLANK('Data Entry'!$x$496), "", 'Data Entry'!$x$496)</f>
      </c>
      <c r="BE496">
        <f>IF(ISBLANK('Data Entry'!$y$496), "", 'Data Entry'!$y$496)</f>
      </c>
      <c r="BF496">
        <f>IF(ISBLANK('Data Entry'!$z$496), "", 'Data Entry'!$z$496)</f>
      </c>
      <c r="BG496">
        <f>IF(ISBLANK('Data Entry'!${$496), "", 'Data Entry'!${$496)</f>
      </c>
      <c r="BH496">
        <f>IF(ISBLANK('Data Entry'!$|$496), "", 'Data Entry'!$|$496)</f>
      </c>
      <c r="BI496">
        <f>IF(ISBLANK('Data Entry'!$}$496), "", 'Data Entry'!$}$496)</f>
      </c>
      <c r="BJ496">
        <f>IF(ISBLANK('Data Entry'!$~$496), "", 'Data Entry'!$~$496)</f>
      </c>
      <c r="BK496">
        <f>IF(ISBLANK('Data Entry'!$$496), "", 'Data Entry'!$$496)</f>
      </c>
      <c r="BL496">
        <f>IF(ISBLANK('Data Entry'!$$496), "", 'Data Entry'!$$496)</f>
      </c>
      <c r="BM496">
        <f>IF(ISBLANK('Data Entry'!$$496), "", 'Data Entry'!$$496)</f>
      </c>
      <c r="BN496">
        <f>IF(ISBLANK('Data Entry'!$$496), "", 'Data Entry'!$$496)</f>
      </c>
      <c r="BO496">
        <f>IF(ISBLANK('Data Entry'!$$496), "", 'Data Entry'!$$496)</f>
      </c>
      <c r="BP496">
        <f>IF(ISBLANK('Data Entry'!$$496), "", 'Data Entry'!$$496)</f>
      </c>
      <c r="BQ496">
        <f>IF(ISBLANK('Data Entry'!$$496), "", 'Data Entry'!$$496)</f>
      </c>
      <c r="BR496">
        <f>IF(ISBLANK('Data Entry'!$$496), "", 'Data Entry'!$$496)</f>
      </c>
      <c r="BS496">
        <f>IF(ISBLANK('Data Entry'!$$496), "", 'Data Entry'!$$496)</f>
      </c>
      <c r="BT496">
        <f>IF(ISBLANK('Data Entry'!$$496), "", 'Data Entry'!$$496)</f>
      </c>
      <c r="BU496">
        <f>IF(ISBLANK('Data Entry'!$$496), "", 'Data Entry'!$$496)</f>
      </c>
      <c r="BV496">
        <f>IF(ISBLANK('Data Entry'!$$496), "", 'Data Entry'!$$496)</f>
      </c>
      <c r="BW496">
        <f>IF(ISBLANK('Data Entry'!$$496), "", 'Data Entry'!$$496)</f>
      </c>
      <c r="BX496">
        <f>IF(ISBLANK('Data Entry'!$$496), "", 'Data Entry'!$$496)</f>
      </c>
      <c r="BY496">
        <f>IF(ISBLANK('Data Entry'!$$496), "", 'Data Entry'!$$496)</f>
      </c>
      <c r="BZ496">
        <f>IF(ISBLANK('Data Entry'!$$496), "", 'Data Entry'!$$496)</f>
      </c>
      <c r="CA496">
        <f>IF(ISBLANK('Data Entry'!$$496), "", 'Data Entry'!$$496)</f>
      </c>
      <c r="CB496">
        <f>IF(ISBLANK('Data Entry'!$$496), "", 'Data Entry'!$$496)</f>
      </c>
      <c r="CC496">
        <f>IF(ISBLANK('Data Entry'!$$496), "", 'Data Entry'!$$496)</f>
      </c>
      <c r="CD496">
        <f>IF(ISBLANK('Data Entry'!$$496), "", 'Data Entry'!$$496)</f>
      </c>
      <c r="CE496">
        <f>IF(ISBLANK('Data Entry'!$$496), "", 'Data Entry'!$$496)</f>
      </c>
      <c r="CF496">
        <f>IF(ISBLANK('Data Entry'!$$496), "", 'Data Entry'!$$496)</f>
      </c>
      <c r="CG496">
        <f>IF(ISBLANK('Data Entry'!$$496), "", 'Data Entry'!$$496)</f>
      </c>
      <c r="CH496">
        <f>IF(ISBLANK('Data Entry'!$$496), "", 'Data Entry'!$$496)</f>
      </c>
      <c r="CI496">
        <f>IF(ISBLANK('Data Entry'!$$496), "", 'Data Entry'!$$496)</f>
      </c>
      <c r="CJ496">
        <f>IF(ISBLANK('Data Entry'!$$496), "", 'Data Entry'!$$496)</f>
      </c>
      <c r="CK496">
        <f>IF(ISBLANK('Data Entry'!$$496), "", 'Data Entry'!$$496)</f>
      </c>
      <c r="CL496">
        <f>IF(ISBLANK('Data Entry'!$$496), "", 'Data Entry'!$$496)</f>
      </c>
      <c r="CM496">
        <f>IF(ISBLANK('Data Entry'!$$496), "", 'Data Entry'!$$496)</f>
      </c>
      <c r="CN496">
        <f>IF(ISBLANK('Data Entry'!$$496), "", 'Data Entry'!$$496)</f>
      </c>
      <c r="CO496">
        <f>IF(ISBLANK('Data Entry'!$$496), "", 'Data Entry'!$$496)</f>
      </c>
      <c r="CP496">
        <f>IF(ISBLANK('Data Entry'!$$496), "", 'Data Entry'!$$496)</f>
      </c>
      <c r="CQ496">
        <f>IF(ISBLANK('Data Entry'!$$496), "", 'Data Entry'!$$496)</f>
      </c>
      <c r="CR496">
        <f>IF(ISBLANK('Data Entry'!$ $496), "", 'Data Entry'!$ $496)</f>
      </c>
      <c r="CS496">
        <f>IF(ISBLANK('Data Entry'!$¡$496), "", 'Data Entry'!$¡$496)</f>
      </c>
      <c r="CT496">
        <f>IF(ISBLANK('Data Entry'!$¢$496), "", 'Data Entry'!$¢$496)</f>
      </c>
      <c r="CU496">
        <f>IF(ISBLANK('Data Entry'!$£$496), "", 'Data Entry'!$£$496)</f>
      </c>
      <c r="CV496">
        <f>IF(ISBLANK('Data Entry'!$¤$496), "", 'Data Entry'!$¤$496)</f>
      </c>
      <c r="CW496">
        <f>IF(ISBLANK('Data Entry'!$¥$496), "", 'Data Entry'!$¥$496)</f>
      </c>
      <c r="CX496">
        <f>IF(ISBLANK('Data Entry'!$¦$496), "", 'Data Entry'!$¦$496)</f>
      </c>
      <c r="CY496">
        <f>IF(ISBLANK('Data Entry'!$§$496), "", 'Data Entry'!$§$496)</f>
      </c>
      <c r="CZ496">
        <f>IF(ISBLANK('Data Entry'!$¨$496), "", 'Data Entry'!$¨$496)</f>
      </c>
      <c r="DA496">
        <f>IF(ISBLANK('Data Entry'!$©$496), "", 'Data Entry'!$©$496)</f>
      </c>
      <c r="DB496">
        <f>IF(ISBLANK('Data Entry'!$ª$496), "", 'Data Entry'!$ª$496)</f>
      </c>
      <c r="DC496">
        <f>IF(ISBLANK('Data Entry'!$«$496), "", 'Data Entry'!$«$496)</f>
      </c>
      <c r="DD496">
        <f>IF(ISBLANK('Data Entry'!$¬$496), "", 'Data Entry'!$¬$496)</f>
      </c>
      <c r="DE496">
        <f>IF(ISBLANK('Data Entry'!$­$496), "", 'Data Entry'!$­$496)</f>
      </c>
      <c r="DF496">
        <f>IF(ISBLANK('Data Entry'!$®$496), "", 'Data Entry'!$®$496)</f>
      </c>
      <c r="DG496">
        <f>IF(ISBLANK('Data Entry'!$¯$496), "", 'Data Entry'!$¯$496)</f>
      </c>
      <c r="DH496">
        <f>IF(ISBLANK('Data Entry'!$°$496), "", 'Data Entry'!$°$496)</f>
      </c>
      <c r="DI496">
        <f>IF(ISBLANK('Data Entry'!$±$496), "", 'Data Entry'!$±$496)</f>
      </c>
      <c r="DJ496">
        <f>IF(ISBLANK('Data Entry'!$²$496), "", 'Data Entry'!$²$496)</f>
      </c>
      <c r="DK496">
        <f>IF(ISBLANK('Data Entry'!$³$496), "", 'Data Entry'!$³$496)</f>
      </c>
      <c r="DL496">
        <f>IF(ISBLANK('Data Entry'!$´$496), "", 'Data Entry'!$´$496)</f>
      </c>
      <c r="DM496">
        <f>IF(ISBLANK('Data Entry'!$µ$496), "", 'Data Entry'!$µ$496)</f>
      </c>
      <c r="DN496">
        <f>IF(ISBLANK('Data Entry'!$¶$496), "", 'Data Entry'!$¶$496)</f>
      </c>
      <c r="DO496">
        <f>IF(ISBLANK('Data Entry'!$·$496), "", 'Data Entry'!$·$496)</f>
      </c>
      <c r="DP496">
        <f>IF(ISBLANK('Data Entry'!$¸$496), "", 'Data Entry'!$¸$496)</f>
      </c>
      <c r="DQ496">
        <f>IF(ISBLANK('Data Entry'!$¹$496), "", 'Data Entry'!$¹$496)</f>
      </c>
      <c r="DR496">
        <f>IF(ISBLANK('Data Entry'!$º$496), "", 'Data Entry'!$º$496)</f>
      </c>
      <c r="DS496">
        <f>IF(ISBLANK('Data Entry'!$»$496), "", 'Data Entry'!$»$496)</f>
      </c>
      <c r="DT496">
        <f>IF(ISBLANK('Data Entry'!$¼$496), "", 'Data Entry'!$¼$496)</f>
      </c>
      <c r="DU496">
        <f>IF(ISBLANK('Data Entry'!$½$496), "", 'Data Entry'!$½$496)</f>
      </c>
      <c r="DV496">
        <f>IF(ISBLANK('Data Entry'!$¾$496), "", 'Data Entry'!$¾$496)</f>
      </c>
      <c r="DW496">
        <f>IF(ISBLANK('Data Entry'!$¿$496), "", 'Data Entry'!$¿$496)</f>
      </c>
      <c r="DX496">
        <f>IF(ISBLANK('Data Entry'!$À$496), "", 'Data Entry'!$À$496)</f>
      </c>
      <c r="DY496">
        <f>IF(ISBLANK('Data Entry'!$Á$496), "", 'Data Entry'!$Á$496)</f>
      </c>
      <c r="DZ496">
        <f>IF(ISBLANK('Data Entry'!$Â$496), "", 'Data Entry'!$Â$496)</f>
      </c>
      <c r="EA496">
        <f>IF(ISBLANK('Data Entry'!$Ã$496), "", 'Data Entry'!$Ã$496)</f>
      </c>
      <c r="EB496">
        <f>IF(ISBLANK('Data Entry'!$Ä$496), "", 'Data Entry'!$Ä$496)</f>
      </c>
      <c r="EC496">
        <f>IF(ISBLANK('Data Entry'!$Å$496), "", 'Data Entry'!$Å$496)</f>
      </c>
      <c r="ED496">
        <f>IF(ISBLANK('Data Entry'!$Æ$496), "", 'Data Entry'!$Æ$496)</f>
      </c>
      <c r="EE496">
        <f>IF(ISBLANK('Data Entry'!$Ç$496), "", 'Data Entry'!$Ç$496)</f>
      </c>
      <c r="EF496">
        <f>IF(ISBLANK('Data Entry'!$È$496), "", 'Data Entry'!$È$496)</f>
      </c>
      <c r="EG496">
        <f>IF(ISBLANK('Data Entry'!$É$496), "", 'Data Entry'!$É$496)</f>
      </c>
      <c r="EH496">
        <f>IF(ISBLANK('Data Entry'!$Ê$496), "", 'Data Entry'!$Ê$496)</f>
      </c>
      <c r="EI496">
        <f>IF(ISBLANK('Data Entry'!$Ë$496), "", 'Data Entry'!$Ë$496)</f>
      </c>
      <c r="EJ496">
        <f>IF(ISBLANK('Data Entry'!$Ì$496), "", 'Data Entry'!$Ì$496)</f>
      </c>
      <c r="EK496">
        <f>IF(ISBLANK('Data Entry'!$Í$496), "", 'Data Entry'!$Í$496)</f>
      </c>
      <c r="EL496">
        <f>IF(ISBLANK('Data Entry'!$Î$496), "", 'Data Entry'!$Î$496)</f>
      </c>
      <c r="EM496">
        <f>IF(ISBLANK('Data Entry'!$Ï$496), "", 'Data Entry'!$Ï$496)</f>
      </c>
      <c r="EN496">
        <f>IF(ISBLANK('Data Entry'!$Ð$496), "", 'Data Entry'!$Ð$496)</f>
      </c>
      <c r="EO496">
        <f>IF(ISBLANK('Data Entry'!$Ñ$496), "", 'Data Entry'!$Ñ$496)</f>
      </c>
      <c r="EP496">
        <f>IF(ISBLANK('Data Entry'!$Ò$496), "", 'Data Entry'!$Ò$496)</f>
      </c>
      <c r="EQ496">
        <f>IF(ISBLANK('Data Entry'!$Ó$496), "", 'Data Entry'!$Ó$496)</f>
      </c>
      <c r="ER496">
        <f>IF(ISBLANK('Data Entry'!$Ô$496), "", 'Data Entry'!$Ô$496)</f>
      </c>
      <c r="ES496">
        <f>IF(ISBLANK('Data Entry'!$Õ$496), "", 'Data Entry'!$Õ$496)</f>
      </c>
      <c r="ET496">
        <f>IF(ISBLANK('Data Entry'!$Ö$496), "", 'Data Entry'!$Ö$496)</f>
      </c>
      <c r="EU496">
        <f>IF(ISBLANK('Data Entry'!$×$496), "", 'Data Entry'!$×$496)</f>
      </c>
      <c r="EV496">
        <f>IF(ISBLANK('Data Entry'!$Ø$496), "", 'Data Entry'!$Ø$496)</f>
      </c>
      <c r="EW496">
        <f>IF(ISBLANK('Data Entry'!$Ù$496), "", 'Data Entry'!$Ù$496)</f>
      </c>
      <c r="EX496">
        <f>IF(ISBLANK('Data Entry'!$Ú$496), "", 'Data Entry'!$Ú$496)</f>
      </c>
      <c r="EY496">
        <f>IF(ISBLANK('Data Entry'!$Û$496), "", 'Data Entry'!$Û$496)</f>
      </c>
      <c r="EZ496">
        <f>IF(ISBLANK('Data Entry'!$Ü$496), "", 'Data Entry'!$Ü$496)</f>
      </c>
      <c r="FA496">
        <f>IF(ISBLANK('Data Entry'!$Ý$496), "", 'Data Entry'!$Ý$496)</f>
      </c>
      <c r="FB496">
        <f>IF(ISBLANK('Data Entry'!$Þ$496), "", 'Data Entry'!$Þ$496)</f>
      </c>
      <c r="FC496">
        <f>IF(ISBLANK('Data Entry'!$ß$496), "", 'Data Entry'!$ß$496)</f>
      </c>
      <c r="FD496">
        <f>IF(ISBLANK('Data Entry'!$à$496), "", 'Data Entry'!$à$496)</f>
      </c>
      <c r="FE496">
        <f>IF(ISBLANK('Data Entry'!$á$496), "", 'Data Entry'!$á$496)</f>
      </c>
      <c r="FF496">
        <f>IF(ISBLANK('Data Entry'!$â$496), "", 'Data Entry'!$â$496)</f>
      </c>
      <c r="FG496">
        <f>IF(ISBLANK('Data Entry'!$ã$496), "", 'Data Entry'!$ã$496)</f>
      </c>
      <c r="FH496">
        <f>IF(ISBLANK('Data Entry'!$ä$496), "", 'Data Entry'!$ä$496)</f>
      </c>
      <c r="FI496">
        <f>IF(ISBLANK('Data Entry'!$å$496), "", 'Data Entry'!$å$496)</f>
      </c>
      <c r="FJ496">
        <f>IF(ISBLANK('Data Entry'!$æ$496), "", 'Data Entry'!$æ$496)</f>
      </c>
      <c r="FK496">
        <f>IF(ISBLANK('Data Entry'!$ç$496), "", 'Data Entry'!$ç$496)</f>
      </c>
      <c r="FL496">
        <f>IF(ISBLANK('Data Entry'!$è$496), "", 'Data Entry'!$è$496)</f>
      </c>
      <c r="FM496">
        <f>IF(ISBLANK('Data Entry'!$é$496), "", 'Data Entry'!$é$496)</f>
      </c>
      <c r="FN496">
        <f>IF(ISBLANK('Data Entry'!$ê$496), "", 'Data Entry'!$ê$496)</f>
      </c>
      <c r="FO496">
        <f>IF(ISBLANK('Data Entry'!$ë$496), "", 'Data Entry'!$ë$496)</f>
      </c>
      <c r="FP496">
        <f>IF(ISBLANK('Data Entry'!$ì$496), "", 'Data Entry'!$ì$496)</f>
      </c>
      <c r="FQ496">
        <f>IF(ISBLANK('Data Entry'!$í$496), "", 'Data Entry'!$í$496)</f>
      </c>
      <c r="FR496">
        <f>IF(ISBLANK('Data Entry'!$î$496), "", 'Data Entry'!$î$496)</f>
      </c>
      <c r="FS496">
        <f>IF(ISBLANK('Data Entry'!$ï$496), "", 'Data Entry'!$ï$496)</f>
      </c>
      <c r="FT496">
        <f>IF(ISBLANK('Data Entry'!$ð$496), "", 'Data Entry'!$ð$496)</f>
      </c>
      <c r="FU496">
        <f>IF(ISBLANK('Data Entry'!$ñ$496), "", 'Data Entry'!$ñ$496)</f>
      </c>
      <c r="FV496">
        <f>IF(ISBLANK('Data Entry'!$ò$496), "", 'Data Entry'!$ò$496)</f>
      </c>
      <c r="FW496">
        <f>IF(ISBLANK('Data Entry'!$ó$496), "", 'Data Entry'!$ó$496)</f>
      </c>
      <c r="FX496">
        <f>IF(ISBLANK('Data Entry'!$ô$496), "", 'Data Entry'!$ô$496)</f>
      </c>
      <c r="FY496">
        <f>IF(ISBLANK('Data Entry'!$õ$496), "", 'Data Entry'!$õ$496)</f>
      </c>
      <c r="FZ496">
        <f>IF(ISBLANK('Data Entry'!$ö$496), "", 'Data Entry'!$ö$496)</f>
      </c>
      <c r="GA496">
        <f>IF(ISBLANK('Data Entry'!$÷$496), "", 'Data Entry'!$÷$496)</f>
      </c>
      <c r="GB496">
        <f>IF(ISBLANK('Data Entry'!$ø$496), "", 'Data Entry'!$ø$496)</f>
      </c>
      <c r="GC496">
        <f>IF(ISBLANK('Data Entry'!$ù$496), "", 'Data Entry'!$ù$496)</f>
      </c>
      <c r="GD496">
        <f>IF(ISBLANK('Data Entry'!$ú$496), "", 'Data Entry'!$ú$496)</f>
      </c>
      <c r="GE496">
        <f>IF(ISBLANK('Data Entry'!$û$496), "", 'Data Entry'!$û$496)</f>
      </c>
      <c r="GF496">
        <f>IF(ISBLANK('Data Entry'!$ü$496), "", 'Data Entry'!$ü$496)</f>
      </c>
      <c r="GG496">
        <f>IF(ISBLANK('Data Entry'!$ý$496), "", 'Data Entry'!$ý$496)</f>
      </c>
      <c r="GH496">
        <f>IF(ISBLANK('Data Entry'!$þ$496), "", 'Data Entry'!$þ$496)</f>
      </c>
      <c r="GI496">
        <f>IF(ISBLANK('Data Entry'!$ÿ$496), "", 'Data Entry'!$ÿ$496)</f>
      </c>
      <c r="GJ496">
        <f>IF(ISBLANK('Data Entry'!$Ā$496), "", 'Data Entry'!$Ā$496)</f>
      </c>
      <c r="GK496">
        <f>IF(ISBLANK('Data Entry'!$ā$496), "", 'Data Entry'!$ā$496)</f>
      </c>
      <c r="GL496">
        <f>IF(ISBLANK('Data Entry'!$Ă$496), "", 'Data Entry'!$Ă$496)</f>
      </c>
      <c r="GM496">
        <f>IF(ISBLANK('Data Entry'!$ă$496), "", 'Data Entry'!$ă$496)</f>
      </c>
      <c r="GN496">
        <f>IF(ISBLANK('Data Entry'!$Ą$496), "", 'Data Entry'!$Ą$496)</f>
      </c>
      <c r="GO496">
        <f>IF(ISBLANK('Data Entry'!$ą$496), "", 'Data Entry'!$ą$496)</f>
      </c>
      <c r="GP496">
        <f>IF(ISBLANK('Data Entry'!$Ć$496), "", 'Data Entry'!$Ć$496)</f>
      </c>
      <c r="GQ496">
        <f>IF(ISBLANK('Data Entry'!$ć$496), "", 'Data Entry'!$ć$496)</f>
      </c>
      <c r="GR496">
        <f>IF(ISBLANK('Data Entry'!$Ĉ$496), "", 'Data Entry'!$Ĉ$496)</f>
      </c>
      <c r="GS496">
        <f>IF(ISBLANK('Data Entry'!$ĉ$496), "", 'Data Entry'!$ĉ$496)</f>
      </c>
      <c r="GT496">
        <f>IF(ISBLANK('Data Entry'!$Ċ$496), "", 'Data Entry'!$Ċ$496)</f>
      </c>
      <c r="GU496">
        <f>IF(ISBLANK('Data Entry'!$ċ$496), "", 'Data Entry'!$ċ$496)</f>
      </c>
      <c r="GV496">
        <f>IF(ISBLANK('Data Entry'!$Č$496), "", 'Data Entry'!$Č$496)</f>
      </c>
      <c r="GW496">
        <f>IF(ISBLANK('Data Entry'!$č$496), "", 'Data Entry'!$č$496)</f>
      </c>
      <c r="GX496">
        <f>IF(ISBLANK('Data Entry'!$Ď$496), "", 'Data Entry'!$Ď$496)</f>
      </c>
      <c r="GY496">
        <f>IF(ISBLANK('Data Entry'!$ď$496), "", 'Data Entry'!$ď$496)</f>
      </c>
      <c r="GZ496">
        <f>IF(ISBLANK('Data Entry'!$Đ$496), "", 'Data Entry'!$Đ$496)</f>
      </c>
      <c r="HA496">
        <f>IF(ISBLANK('Data Entry'!$đ$496), "", 'Data Entry'!$đ$496)</f>
      </c>
      <c r="HB496">
        <f>IF(ISBLANK('Data Entry'!$Ē$496), "", 'Data Entry'!$Ē$496)</f>
      </c>
      <c r="HC496">
        <f>IF(ISBLANK('Data Entry'!$ē$496), "", 'Data Entry'!$ē$496)</f>
      </c>
      <c r="HD496">
        <f>IF(ISBLANK('Data Entry'!$Ĕ$496), "", 'Data Entry'!$Ĕ$496)</f>
      </c>
      <c r="HE496">
        <f>IF(ISBLANK('Data Entry'!$ĕ$496), "", 'Data Entry'!$ĕ$496)</f>
      </c>
      <c r="HF496">
        <f>IF(ISBLANK('Data Entry'!$Ė$496), "", 'Data Entry'!$Ė$496)</f>
      </c>
      <c r="HG496">
        <f>IF(ISBLANK('Data Entry'!$ė$496), "", 'Data Entry'!$ė$496)</f>
      </c>
      <c r="HH496">
        <f>IF(ISBLANK('Data Entry'!$Ę$496), "", 'Data Entry'!$Ę$496)</f>
      </c>
      <c r="HI496">
        <f>IF(ISBLANK('Data Entry'!$ę$496), "", 'Data Entry'!$ę$496)</f>
      </c>
      <c r="HJ496">
        <f>IF(ISBLANK('Data Entry'!$Ě$496), "", 'Data Entry'!$Ě$496)</f>
      </c>
      <c r="HK496">
        <f>IF(ISBLANK('Data Entry'!$ě$496), "", 'Data Entry'!$ě$496)</f>
      </c>
      <c r="HL496">
        <f>IF(ISBLANK('Data Entry'!$Ĝ$496), "", 'Data Entry'!$Ĝ$496)</f>
      </c>
      <c r="HM496">
        <f>IF(ISBLANK('Data Entry'!$ĝ$496), "", 'Data Entry'!$ĝ$496)</f>
      </c>
      <c r="HN496">
        <f>IF(ISBLANK('Data Entry'!$Ğ$496), "", 'Data Entry'!$Ğ$496)</f>
      </c>
      <c r="HO496">
        <f>IF(ISBLANK('Data Entry'!$ğ$496), "", 'Data Entry'!$ğ$496)</f>
      </c>
      <c r="HP496">
        <f>IF(ISBLANK('Data Entry'!$Ġ$496), "", 'Data Entry'!$Ġ$496)</f>
      </c>
      <c r="HQ496">
        <f>IF(ISBLANK('Data Entry'!$ġ$496), "", 'Data Entry'!$ġ$496)</f>
      </c>
      <c r="HR496">
        <f>IF(ISBLANK('Data Entry'!$Ģ$496), "", 'Data Entry'!$Ģ$496)</f>
      </c>
      <c r="HS496">
        <f>IF(ISBLANK('Data Entry'!$ģ$496), "", 'Data Entry'!$ģ$496)</f>
      </c>
      <c r="HT496">
        <f>IF(ISBLANK('Data Entry'!$Ĥ$496), "", 'Data Entry'!$Ĥ$496)</f>
      </c>
      <c r="HU496">
        <f>IF(ISBLANK('Data Entry'!$ĥ$496), "", 'Data Entry'!$ĥ$496)</f>
      </c>
      <c r="HV496">
        <f>IF(ISBLANK('Data Entry'!$Ħ$496), "", 'Data Entry'!$Ħ$496)</f>
      </c>
      <c r="HW496">
        <f>IF(ISBLANK('Data Entry'!$ħ$496), "", 'Data Entry'!$ħ$496)</f>
      </c>
      <c r="HX496">
        <f>IF(ISBLANK('Data Entry'!$Ĩ$496), "", 'Data Entry'!$Ĩ$496)</f>
      </c>
      <c r="HY496">
        <f>IF(ISBLANK('Data Entry'!$ĩ$496), "", 'Data Entry'!$ĩ$496)</f>
      </c>
      <c r="HZ496">
        <f>IF(ISBLANK('Data Entry'!$Ī$496), "", 'Data Entry'!$Ī$496)</f>
      </c>
      <c r="IA496">
        <f>IF(ISBLANK('Data Entry'!$ī$496), "", 'Data Entry'!$ī$496)</f>
      </c>
      <c r="IB496">
        <f>IF(ISBLANK('Data Entry'!$Ĭ$496), "", 'Data Entry'!$Ĭ$496)</f>
      </c>
      <c r="IC496">
        <f>IF(ISBLANK('Data Entry'!$ĭ$496), "", 'Data Entry'!$ĭ$496)</f>
      </c>
      <c r="ID496">
        <f>IF(ISBLANK('Data Entry'!$Į$496), "", 'Data Entry'!$Į$496)</f>
      </c>
      <c r="IE496">
        <f>IF(ISBLANK('Data Entry'!$į$496), "", 'Data Entry'!$į$496)</f>
      </c>
      <c r="IF496">
        <f>IF(ISBLANK('Data Entry'!$İ$496), "", 'Data Entry'!$İ$496)</f>
      </c>
      <c r="IG496">
        <f>IF(ISBLANK('Data Entry'!$ı$496), "", 'Data Entry'!$ı$496)</f>
      </c>
      <c r="IH496">
        <f>IF(ISBLANK('Data Entry'!$Ĳ$496), "", 'Data Entry'!$Ĳ$496)</f>
      </c>
      <c r="II496">
        <f>IF(ISBLANK('Data Entry'!$ĳ$496), "", 'Data Entry'!$ĳ$496)</f>
      </c>
      <c r="IJ496">
        <f>IF(ISBLANK('Data Entry'!$Ĵ$496), "", 'Data Entry'!$Ĵ$496)</f>
      </c>
      <c r="IK496">
        <f>IF(ISBLANK('Data Entry'!$ĵ$496), "", 'Data Entry'!$ĵ$496)</f>
      </c>
      <c r="IL496">
        <f>IF(ISBLANK('Data Entry'!$Ķ$496), "", 'Data Entry'!$Ķ$496)</f>
      </c>
      <c r="IM496">
        <f>IF(ISBLANK('Data Entry'!$ķ$496), "", 'Data Entry'!$ķ$496)</f>
      </c>
      <c r="IN496">
        <f>IF(ISBLANK('Data Entry'!$ĸ$496), "", 'Data Entry'!$ĸ$496)</f>
      </c>
      <c r="IO496">
        <f>IF(ISBLANK('Data Entry'!$Ĺ$496), "", 'Data Entry'!$Ĺ$496)</f>
      </c>
      <c r="IP496">
        <f>IF(ISBLANK('Data Entry'!$ĺ$496), "", 'Data Entry'!$ĺ$496)</f>
      </c>
      <c r="IQ496">
        <f>IF(ISBLANK('Data Entry'!$Ļ$496), "", 'Data Entry'!$Ļ$496)</f>
      </c>
      <c r="IR496">
        <f>IF(ISBLANK('Data Entry'!$ļ$496), "", 'Data Entry'!$ļ$496)</f>
      </c>
      <c r="IS496">
        <f>IF(ISBLANK('Data Entry'!$Ľ$496), "", 'Data Entry'!$Ľ$496)</f>
      </c>
      <c r="IT496">
        <f>IF(ISBLANK('Data Entry'!$ľ$496), "", 'Data Entry'!$ľ$496)</f>
      </c>
    </row>
    <row r="497" spans="1:254" x14ac:dyDescent="0.25">
      <c r="A497">
        <f>IF(ISBLANK('Data Entry'!$A$497), "", 'Data Entry'!$A$497)</f>
      </c>
      <c r="B497">
        <f>IF(ISBLANK('Data Entry'!$B$497), "", 'Data Entry'!$B$497)</f>
      </c>
      <c r="C497">
        <f>IF(ISBLANK('Data Entry'!$C$497), "", 'Data Entry'!$C$497)</f>
      </c>
      <c r="D497">
        <f>IF(ISBLANK('Data Entry'!$D$497), "", 'Data Entry'!$D$497)</f>
      </c>
      <c r="E497">
        <f>IF(ISBLANK('Data Entry'!$E$497), "", 'Data Entry'!$E$497)</f>
      </c>
      <c r="F497">
        <f>IF(ISBLANK('Data Entry'!$F$497), "", 'Data Entry'!$F$497)</f>
      </c>
      <c r="G497">
        <f>IF(ISBLANK('Data Entry'!$G$497), "", 'Data Entry'!$G$497)</f>
      </c>
      <c r="H497">
        <f>IF(ISBLANK('Data Entry'!$H$497), "", 'Data Entry'!$H$497)</f>
      </c>
      <c r="I497">
        <f>IF(ISBLANK('Data Entry'!$I$497), "", 'Data Entry'!$I$497)</f>
      </c>
      <c r="J497">
        <f>IF(ISBLANK('Data Entry'!$J$497), "", 'Data Entry'!$J$497)</f>
      </c>
      <c r="K497">
        <f>IF(ISBLANK('Data Entry'!$K$497), "", 'Data Entry'!$K$497)</f>
      </c>
      <c r="L497">
        <f>IF(ISBLANK('Data Entry'!$L$497), "", 'Data Entry'!$L$497)</f>
      </c>
      <c r="M497">
        <f>IF(ISBLANK('Data Entry'!$M$497), "", 'Data Entry'!$M$497)</f>
      </c>
      <c r="N497">
        <f>IF(ISBLANK('Data Entry'!$N$497), "", 'Data Entry'!$N$497)</f>
      </c>
      <c r="O497">
        <f>IF(ISBLANK('Data Entry'!$O$497), "", 'Data Entry'!$O$497)</f>
      </c>
      <c r="P497">
        <f>IF(ISBLANK('Data Entry'!$P$497), "", 'Data Entry'!$P$497)</f>
      </c>
      <c r="Q497">
        <f>IF(ISBLANK('Data Entry'!$Q$497), "", 'Data Entry'!$Q$497)</f>
      </c>
      <c r="R497">
        <f>IF(ISBLANK('Data Entry'!$R$497), "", 'Data Entry'!$R$497)</f>
      </c>
      <c r="S497">
        <f>IF(ISBLANK('Data Entry'!$S$497), "", 'Data Entry'!$S$497)</f>
      </c>
      <c r="T497">
        <f>IF(ISBLANK('Data Entry'!$T$497), "", 'Data Entry'!$T$497)</f>
      </c>
      <c r="U497">
        <f>IF(ISBLANK('Data Entry'!$U$497), "", 'Data Entry'!$U$497)</f>
      </c>
      <c r="V497">
        <f>IF(ISBLANK('Data Entry'!$V$497), "", 'Data Entry'!$V$497)</f>
      </c>
      <c r="W497">
        <f>IF(ISBLANK('Data Entry'!$W$497), "", 'Data Entry'!$W$497)</f>
      </c>
      <c r="X497">
        <f>IF(ISBLANK('Data Entry'!$X$497), "", 'Data Entry'!$X$497)</f>
      </c>
      <c r="Y497">
        <f>IF(ISBLANK('Data Entry'!$Y$497), "", 'Data Entry'!$Y$497)</f>
      </c>
      <c r="Z497">
        <f>IF(ISBLANK('Data Entry'!$Z$497), "", 'Data Entry'!$Z$497)</f>
      </c>
      <c r="AA497">
        <f>IF(ISBLANK('Data Entry'!$[$497), "", 'Data Entry'!$[$497)</f>
      </c>
      <c r="AB497">
        <f>IF(ISBLANK('Data Entry'!$\$497), "", 'Data Entry'!$\$497)</f>
      </c>
      <c r="AC497">
        <f>IF(ISBLANK('Data Entry'!$]$497), "", 'Data Entry'!$]$497)</f>
      </c>
      <c r="AD497">
        <f>IF(ISBLANK('Data Entry'!$^$497), "", 'Data Entry'!$^$497)</f>
      </c>
      <c r="AE497">
        <f>IF(ISBLANK('Data Entry'!$_$497), "", 'Data Entry'!$_$497)</f>
      </c>
      <c r="AF497">
        <f>IF(ISBLANK('Data Entry'!$`$497), "", 'Data Entry'!$`$497)</f>
      </c>
      <c r="AG497">
        <f>IF(ISBLANK('Data Entry'!$a$497), "", 'Data Entry'!$a$497)</f>
      </c>
      <c r="AH497">
        <f>IF(ISBLANK('Data Entry'!$b$497), "", 'Data Entry'!$b$497)</f>
      </c>
      <c r="AI497">
        <f>IF(ISBLANK('Data Entry'!$c$497), "", 'Data Entry'!$c$497)</f>
      </c>
      <c r="AJ497">
        <f>IF(ISBLANK('Data Entry'!$d$497), "", 'Data Entry'!$d$497)</f>
      </c>
      <c r="AK497">
        <f>IF(ISBLANK('Data Entry'!$e$497), "", 'Data Entry'!$e$497)</f>
      </c>
      <c r="AL497">
        <f>IF(ISBLANK('Data Entry'!$f$497), "", 'Data Entry'!$f$497)</f>
      </c>
      <c r="AM497">
        <f>IF(ISBLANK('Data Entry'!$g$497), "", 'Data Entry'!$g$497)</f>
      </c>
      <c r="AN497">
        <f>IF(ISBLANK('Data Entry'!$h$497), "", 'Data Entry'!$h$497)</f>
      </c>
      <c r="AO497">
        <f>IF(ISBLANK('Data Entry'!$i$497), "", 'Data Entry'!$i$497)</f>
      </c>
      <c r="AP497">
        <f>IF(ISBLANK('Data Entry'!$j$497), "", 'Data Entry'!$j$497)</f>
      </c>
      <c r="AQ497">
        <f>IF(ISBLANK('Data Entry'!$k$497), "", 'Data Entry'!$k$497)</f>
      </c>
      <c r="AR497">
        <f>IF(ISBLANK('Data Entry'!$l$497), "", 'Data Entry'!$l$497)</f>
      </c>
      <c r="AS497">
        <f>IF(ISBLANK('Data Entry'!$m$497), "", 'Data Entry'!$m$497)</f>
      </c>
      <c r="AT497">
        <f>IF(ISBLANK('Data Entry'!$n$497), "", 'Data Entry'!$n$497)</f>
      </c>
      <c r="AU497">
        <f>IF(ISBLANK('Data Entry'!$o$497), "", 'Data Entry'!$o$497)</f>
      </c>
      <c r="AV497">
        <f>IF(ISBLANK('Data Entry'!$p$497), "", 'Data Entry'!$p$497)</f>
      </c>
      <c r="AW497">
        <f>IF(ISBLANK('Data Entry'!$q$497), "", 'Data Entry'!$q$497)</f>
      </c>
      <c r="AX497">
        <f>IF(ISBLANK('Data Entry'!$r$497), "", 'Data Entry'!$r$497)</f>
      </c>
      <c r="AY497">
        <f>IF(ISBLANK('Data Entry'!$s$497), "", 'Data Entry'!$s$497)</f>
      </c>
      <c r="AZ497">
        <f>IF(ISBLANK('Data Entry'!$t$497), "", 'Data Entry'!$t$497)</f>
      </c>
      <c r="BA497">
        <f>IF(ISBLANK('Data Entry'!$u$497), "", 'Data Entry'!$u$497)</f>
      </c>
      <c r="BB497">
        <f>IF(ISBLANK('Data Entry'!$v$497), "", 'Data Entry'!$v$497)</f>
      </c>
      <c r="BC497">
        <f>IF(ISBLANK('Data Entry'!$w$497), "", 'Data Entry'!$w$497)</f>
      </c>
      <c r="BD497">
        <f>IF(ISBLANK('Data Entry'!$x$497), "", 'Data Entry'!$x$497)</f>
      </c>
      <c r="BE497">
        <f>IF(ISBLANK('Data Entry'!$y$497), "", 'Data Entry'!$y$497)</f>
      </c>
      <c r="BF497">
        <f>IF(ISBLANK('Data Entry'!$z$497), "", 'Data Entry'!$z$497)</f>
      </c>
      <c r="BG497">
        <f>IF(ISBLANK('Data Entry'!${$497), "", 'Data Entry'!${$497)</f>
      </c>
      <c r="BH497">
        <f>IF(ISBLANK('Data Entry'!$|$497), "", 'Data Entry'!$|$497)</f>
      </c>
      <c r="BI497">
        <f>IF(ISBLANK('Data Entry'!$}$497), "", 'Data Entry'!$}$497)</f>
      </c>
      <c r="BJ497">
        <f>IF(ISBLANK('Data Entry'!$~$497), "", 'Data Entry'!$~$497)</f>
      </c>
      <c r="BK497">
        <f>IF(ISBLANK('Data Entry'!$$497), "", 'Data Entry'!$$497)</f>
      </c>
      <c r="BL497">
        <f>IF(ISBLANK('Data Entry'!$$497), "", 'Data Entry'!$$497)</f>
      </c>
      <c r="BM497">
        <f>IF(ISBLANK('Data Entry'!$$497), "", 'Data Entry'!$$497)</f>
      </c>
      <c r="BN497">
        <f>IF(ISBLANK('Data Entry'!$$497), "", 'Data Entry'!$$497)</f>
      </c>
      <c r="BO497">
        <f>IF(ISBLANK('Data Entry'!$$497), "", 'Data Entry'!$$497)</f>
      </c>
      <c r="BP497">
        <f>IF(ISBLANK('Data Entry'!$$497), "", 'Data Entry'!$$497)</f>
      </c>
      <c r="BQ497">
        <f>IF(ISBLANK('Data Entry'!$$497), "", 'Data Entry'!$$497)</f>
      </c>
      <c r="BR497">
        <f>IF(ISBLANK('Data Entry'!$$497), "", 'Data Entry'!$$497)</f>
      </c>
      <c r="BS497">
        <f>IF(ISBLANK('Data Entry'!$$497), "", 'Data Entry'!$$497)</f>
      </c>
      <c r="BT497">
        <f>IF(ISBLANK('Data Entry'!$$497), "", 'Data Entry'!$$497)</f>
      </c>
      <c r="BU497">
        <f>IF(ISBLANK('Data Entry'!$$497), "", 'Data Entry'!$$497)</f>
      </c>
      <c r="BV497">
        <f>IF(ISBLANK('Data Entry'!$$497), "", 'Data Entry'!$$497)</f>
      </c>
      <c r="BW497">
        <f>IF(ISBLANK('Data Entry'!$$497), "", 'Data Entry'!$$497)</f>
      </c>
      <c r="BX497">
        <f>IF(ISBLANK('Data Entry'!$$497), "", 'Data Entry'!$$497)</f>
      </c>
      <c r="BY497">
        <f>IF(ISBLANK('Data Entry'!$$497), "", 'Data Entry'!$$497)</f>
      </c>
      <c r="BZ497">
        <f>IF(ISBLANK('Data Entry'!$$497), "", 'Data Entry'!$$497)</f>
      </c>
      <c r="CA497">
        <f>IF(ISBLANK('Data Entry'!$$497), "", 'Data Entry'!$$497)</f>
      </c>
      <c r="CB497">
        <f>IF(ISBLANK('Data Entry'!$$497), "", 'Data Entry'!$$497)</f>
      </c>
      <c r="CC497">
        <f>IF(ISBLANK('Data Entry'!$$497), "", 'Data Entry'!$$497)</f>
      </c>
      <c r="CD497">
        <f>IF(ISBLANK('Data Entry'!$$497), "", 'Data Entry'!$$497)</f>
      </c>
      <c r="CE497">
        <f>IF(ISBLANK('Data Entry'!$$497), "", 'Data Entry'!$$497)</f>
      </c>
      <c r="CF497">
        <f>IF(ISBLANK('Data Entry'!$$497), "", 'Data Entry'!$$497)</f>
      </c>
      <c r="CG497">
        <f>IF(ISBLANK('Data Entry'!$$497), "", 'Data Entry'!$$497)</f>
      </c>
      <c r="CH497">
        <f>IF(ISBLANK('Data Entry'!$$497), "", 'Data Entry'!$$497)</f>
      </c>
      <c r="CI497">
        <f>IF(ISBLANK('Data Entry'!$$497), "", 'Data Entry'!$$497)</f>
      </c>
      <c r="CJ497">
        <f>IF(ISBLANK('Data Entry'!$$497), "", 'Data Entry'!$$497)</f>
      </c>
      <c r="CK497">
        <f>IF(ISBLANK('Data Entry'!$$497), "", 'Data Entry'!$$497)</f>
      </c>
      <c r="CL497">
        <f>IF(ISBLANK('Data Entry'!$$497), "", 'Data Entry'!$$497)</f>
      </c>
      <c r="CM497">
        <f>IF(ISBLANK('Data Entry'!$$497), "", 'Data Entry'!$$497)</f>
      </c>
      <c r="CN497">
        <f>IF(ISBLANK('Data Entry'!$$497), "", 'Data Entry'!$$497)</f>
      </c>
      <c r="CO497">
        <f>IF(ISBLANK('Data Entry'!$$497), "", 'Data Entry'!$$497)</f>
      </c>
      <c r="CP497">
        <f>IF(ISBLANK('Data Entry'!$$497), "", 'Data Entry'!$$497)</f>
      </c>
      <c r="CQ497">
        <f>IF(ISBLANK('Data Entry'!$$497), "", 'Data Entry'!$$497)</f>
      </c>
      <c r="CR497">
        <f>IF(ISBLANK('Data Entry'!$ $497), "", 'Data Entry'!$ $497)</f>
      </c>
      <c r="CS497">
        <f>IF(ISBLANK('Data Entry'!$¡$497), "", 'Data Entry'!$¡$497)</f>
      </c>
      <c r="CT497">
        <f>IF(ISBLANK('Data Entry'!$¢$497), "", 'Data Entry'!$¢$497)</f>
      </c>
      <c r="CU497">
        <f>IF(ISBLANK('Data Entry'!$£$497), "", 'Data Entry'!$£$497)</f>
      </c>
      <c r="CV497">
        <f>IF(ISBLANK('Data Entry'!$¤$497), "", 'Data Entry'!$¤$497)</f>
      </c>
      <c r="CW497">
        <f>IF(ISBLANK('Data Entry'!$¥$497), "", 'Data Entry'!$¥$497)</f>
      </c>
      <c r="CX497">
        <f>IF(ISBLANK('Data Entry'!$¦$497), "", 'Data Entry'!$¦$497)</f>
      </c>
      <c r="CY497">
        <f>IF(ISBLANK('Data Entry'!$§$497), "", 'Data Entry'!$§$497)</f>
      </c>
      <c r="CZ497">
        <f>IF(ISBLANK('Data Entry'!$¨$497), "", 'Data Entry'!$¨$497)</f>
      </c>
      <c r="DA497">
        <f>IF(ISBLANK('Data Entry'!$©$497), "", 'Data Entry'!$©$497)</f>
      </c>
      <c r="DB497">
        <f>IF(ISBLANK('Data Entry'!$ª$497), "", 'Data Entry'!$ª$497)</f>
      </c>
      <c r="DC497">
        <f>IF(ISBLANK('Data Entry'!$«$497), "", 'Data Entry'!$«$497)</f>
      </c>
      <c r="DD497">
        <f>IF(ISBLANK('Data Entry'!$¬$497), "", 'Data Entry'!$¬$497)</f>
      </c>
      <c r="DE497">
        <f>IF(ISBLANK('Data Entry'!$­$497), "", 'Data Entry'!$­$497)</f>
      </c>
      <c r="DF497">
        <f>IF(ISBLANK('Data Entry'!$®$497), "", 'Data Entry'!$®$497)</f>
      </c>
      <c r="DG497">
        <f>IF(ISBLANK('Data Entry'!$¯$497), "", 'Data Entry'!$¯$497)</f>
      </c>
      <c r="DH497">
        <f>IF(ISBLANK('Data Entry'!$°$497), "", 'Data Entry'!$°$497)</f>
      </c>
      <c r="DI497">
        <f>IF(ISBLANK('Data Entry'!$±$497), "", 'Data Entry'!$±$497)</f>
      </c>
      <c r="DJ497">
        <f>IF(ISBLANK('Data Entry'!$²$497), "", 'Data Entry'!$²$497)</f>
      </c>
      <c r="DK497">
        <f>IF(ISBLANK('Data Entry'!$³$497), "", 'Data Entry'!$³$497)</f>
      </c>
      <c r="DL497">
        <f>IF(ISBLANK('Data Entry'!$´$497), "", 'Data Entry'!$´$497)</f>
      </c>
      <c r="DM497">
        <f>IF(ISBLANK('Data Entry'!$µ$497), "", 'Data Entry'!$µ$497)</f>
      </c>
      <c r="DN497">
        <f>IF(ISBLANK('Data Entry'!$¶$497), "", 'Data Entry'!$¶$497)</f>
      </c>
      <c r="DO497">
        <f>IF(ISBLANK('Data Entry'!$·$497), "", 'Data Entry'!$·$497)</f>
      </c>
      <c r="DP497">
        <f>IF(ISBLANK('Data Entry'!$¸$497), "", 'Data Entry'!$¸$497)</f>
      </c>
      <c r="DQ497">
        <f>IF(ISBLANK('Data Entry'!$¹$497), "", 'Data Entry'!$¹$497)</f>
      </c>
      <c r="DR497">
        <f>IF(ISBLANK('Data Entry'!$º$497), "", 'Data Entry'!$º$497)</f>
      </c>
      <c r="DS497">
        <f>IF(ISBLANK('Data Entry'!$»$497), "", 'Data Entry'!$»$497)</f>
      </c>
      <c r="DT497">
        <f>IF(ISBLANK('Data Entry'!$¼$497), "", 'Data Entry'!$¼$497)</f>
      </c>
      <c r="DU497">
        <f>IF(ISBLANK('Data Entry'!$½$497), "", 'Data Entry'!$½$497)</f>
      </c>
      <c r="DV497">
        <f>IF(ISBLANK('Data Entry'!$¾$497), "", 'Data Entry'!$¾$497)</f>
      </c>
      <c r="DW497">
        <f>IF(ISBLANK('Data Entry'!$¿$497), "", 'Data Entry'!$¿$497)</f>
      </c>
      <c r="DX497">
        <f>IF(ISBLANK('Data Entry'!$À$497), "", 'Data Entry'!$À$497)</f>
      </c>
      <c r="DY497">
        <f>IF(ISBLANK('Data Entry'!$Á$497), "", 'Data Entry'!$Á$497)</f>
      </c>
      <c r="DZ497">
        <f>IF(ISBLANK('Data Entry'!$Â$497), "", 'Data Entry'!$Â$497)</f>
      </c>
      <c r="EA497">
        <f>IF(ISBLANK('Data Entry'!$Ã$497), "", 'Data Entry'!$Ã$497)</f>
      </c>
      <c r="EB497">
        <f>IF(ISBLANK('Data Entry'!$Ä$497), "", 'Data Entry'!$Ä$497)</f>
      </c>
      <c r="EC497">
        <f>IF(ISBLANK('Data Entry'!$Å$497), "", 'Data Entry'!$Å$497)</f>
      </c>
      <c r="ED497">
        <f>IF(ISBLANK('Data Entry'!$Æ$497), "", 'Data Entry'!$Æ$497)</f>
      </c>
      <c r="EE497">
        <f>IF(ISBLANK('Data Entry'!$Ç$497), "", 'Data Entry'!$Ç$497)</f>
      </c>
      <c r="EF497">
        <f>IF(ISBLANK('Data Entry'!$È$497), "", 'Data Entry'!$È$497)</f>
      </c>
      <c r="EG497">
        <f>IF(ISBLANK('Data Entry'!$É$497), "", 'Data Entry'!$É$497)</f>
      </c>
      <c r="EH497">
        <f>IF(ISBLANK('Data Entry'!$Ê$497), "", 'Data Entry'!$Ê$497)</f>
      </c>
      <c r="EI497">
        <f>IF(ISBLANK('Data Entry'!$Ë$497), "", 'Data Entry'!$Ë$497)</f>
      </c>
      <c r="EJ497">
        <f>IF(ISBLANK('Data Entry'!$Ì$497), "", 'Data Entry'!$Ì$497)</f>
      </c>
      <c r="EK497">
        <f>IF(ISBLANK('Data Entry'!$Í$497), "", 'Data Entry'!$Í$497)</f>
      </c>
      <c r="EL497">
        <f>IF(ISBLANK('Data Entry'!$Î$497), "", 'Data Entry'!$Î$497)</f>
      </c>
      <c r="EM497">
        <f>IF(ISBLANK('Data Entry'!$Ï$497), "", 'Data Entry'!$Ï$497)</f>
      </c>
      <c r="EN497">
        <f>IF(ISBLANK('Data Entry'!$Ð$497), "", 'Data Entry'!$Ð$497)</f>
      </c>
      <c r="EO497">
        <f>IF(ISBLANK('Data Entry'!$Ñ$497), "", 'Data Entry'!$Ñ$497)</f>
      </c>
      <c r="EP497">
        <f>IF(ISBLANK('Data Entry'!$Ò$497), "", 'Data Entry'!$Ò$497)</f>
      </c>
      <c r="EQ497">
        <f>IF(ISBLANK('Data Entry'!$Ó$497), "", 'Data Entry'!$Ó$497)</f>
      </c>
      <c r="ER497">
        <f>IF(ISBLANK('Data Entry'!$Ô$497), "", 'Data Entry'!$Ô$497)</f>
      </c>
      <c r="ES497">
        <f>IF(ISBLANK('Data Entry'!$Õ$497), "", 'Data Entry'!$Õ$497)</f>
      </c>
      <c r="ET497">
        <f>IF(ISBLANK('Data Entry'!$Ö$497), "", 'Data Entry'!$Ö$497)</f>
      </c>
      <c r="EU497">
        <f>IF(ISBLANK('Data Entry'!$×$497), "", 'Data Entry'!$×$497)</f>
      </c>
      <c r="EV497">
        <f>IF(ISBLANK('Data Entry'!$Ø$497), "", 'Data Entry'!$Ø$497)</f>
      </c>
      <c r="EW497">
        <f>IF(ISBLANK('Data Entry'!$Ù$497), "", 'Data Entry'!$Ù$497)</f>
      </c>
      <c r="EX497">
        <f>IF(ISBLANK('Data Entry'!$Ú$497), "", 'Data Entry'!$Ú$497)</f>
      </c>
      <c r="EY497">
        <f>IF(ISBLANK('Data Entry'!$Û$497), "", 'Data Entry'!$Û$497)</f>
      </c>
      <c r="EZ497">
        <f>IF(ISBLANK('Data Entry'!$Ü$497), "", 'Data Entry'!$Ü$497)</f>
      </c>
      <c r="FA497">
        <f>IF(ISBLANK('Data Entry'!$Ý$497), "", 'Data Entry'!$Ý$497)</f>
      </c>
      <c r="FB497">
        <f>IF(ISBLANK('Data Entry'!$Þ$497), "", 'Data Entry'!$Þ$497)</f>
      </c>
      <c r="FC497">
        <f>IF(ISBLANK('Data Entry'!$ß$497), "", 'Data Entry'!$ß$497)</f>
      </c>
      <c r="FD497">
        <f>IF(ISBLANK('Data Entry'!$à$497), "", 'Data Entry'!$à$497)</f>
      </c>
      <c r="FE497">
        <f>IF(ISBLANK('Data Entry'!$á$497), "", 'Data Entry'!$á$497)</f>
      </c>
      <c r="FF497">
        <f>IF(ISBLANK('Data Entry'!$â$497), "", 'Data Entry'!$â$497)</f>
      </c>
      <c r="FG497">
        <f>IF(ISBLANK('Data Entry'!$ã$497), "", 'Data Entry'!$ã$497)</f>
      </c>
      <c r="FH497">
        <f>IF(ISBLANK('Data Entry'!$ä$497), "", 'Data Entry'!$ä$497)</f>
      </c>
      <c r="FI497">
        <f>IF(ISBLANK('Data Entry'!$å$497), "", 'Data Entry'!$å$497)</f>
      </c>
      <c r="FJ497">
        <f>IF(ISBLANK('Data Entry'!$æ$497), "", 'Data Entry'!$æ$497)</f>
      </c>
      <c r="FK497">
        <f>IF(ISBLANK('Data Entry'!$ç$497), "", 'Data Entry'!$ç$497)</f>
      </c>
      <c r="FL497">
        <f>IF(ISBLANK('Data Entry'!$è$497), "", 'Data Entry'!$è$497)</f>
      </c>
      <c r="FM497">
        <f>IF(ISBLANK('Data Entry'!$é$497), "", 'Data Entry'!$é$497)</f>
      </c>
      <c r="FN497">
        <f>IF(ISBLANK('Data Entry'!$ê$497), "", 'Data Entry'!$ê$497)</f>
      </c>
      <c r="FO497">
        <f>IF(ISBLANK('Data Entry'!$ë$497), "", 'Data Entry'!$ë$497)</f>
      </c>
      <c r="FP497">
        <f>IF(ISBLANK('Data Entry'!$ì$497), "", 'Data Entry'!$ì$497)</f>
      </c>
      <c r="FQ497">
        <f>IF(ISBLANK('Data Entry'!$í$497), "", 'Data Entry'!$í$497)</f>
      </c>
      <c r="FR497">
        <f>IF(ISBLANK('Data Entry'!$î$497), "", 'Data Entry'!$î$497)</f>
      </c>
      <c r="FS497">
        <f>IF(ISBLANK('Data Entry'!$ï$497), "", 'Data Entry'!$ï$497)</f>
      </c>
      <c r="FT497">
        <f>IF(ISBLANK('Data Entry'!$ð$497), "", 'Data Entry'!$ð$497)</f>
      </c>
      <c r="FU497">
        <f>IF(ISBLANK('Data Entry'!$ñ$497), "", 'Data Entry'!$ñ$497)</f>
      </c>
      <c r="FV497">
        <f>IF(ISBLANK('Data Entry'!$ò$497), "", 'Data Entry'!$ò$497)</f>
      </c>
      <c r="FW497">
        <f>IF(ISBLANK('Data Entry'!$ó$497), "", 'Data Entry'!$ó$497)</f>
      </c>
      <c r="FX497">
        <f>IF(ISBLANK('Data Entry'!$ô$497), "", 'Data Entry'!$ô$497)</f>
      </c>
      <c r="FY497">
        <f>IF(ISBLANK('Data Entry'!$õ$497), "", 'Data Entry'!$õ$497)</f>
      </c>
      <c r="FZ497">
        <f>IF(ISBLANK('Data Entry'!$ö$497), "", 'Data Entry'!$ö$497)</f>
      </c>
      <c r="GA497">
        <f>IF(ISBLANK('Data Entry'!$÷$497), "", 'Data Entry'!$÷$497)</f>
      </c>
      <c r="GB497">
        <f>IF(ISBLANK('Data Entry'!$ø$497), "", 'Data Entry'!$ø$497)</f>
      </c>
      <c r="GC497">
        <f>IF(ISBLANK('Data Entry'!$ù$497), "", 'Data Entry'!$ù$497)</f>
      </c>
      <c r="GD497">
        <f>IF(ISBLANK('Data Entry'!$ú$497), "", 'Data Entry'!$ú$497)</f>
      </c>
      <c r="GE497">
        <f>IF(ISBLANK('Data Entry'!$û$497), "", 'Data Entry'!$û$497)</f>
      </c>
      <c r="GF497">
        <f>IF(ISBLANK('Data Entry'!$ü$497), "", 'Data Entry'!$ü$497)</f>
      </c>
      <c r="GG497">
        <f>IF(ISBLANK('Data Entry'!$ý$497), "", 'Data Entry'!$ý$497)</f>
      </c>
      <c r="GH497">
        <f>IF(ISBLANK('Data Entry'!$þ$497), "", 'Data Entry'!$þ$497)</f>
      </c>
      <c r="GI497">
        <f>IF(ISBLANK('Data Entry'!$ÿ$497), "", 'Data Entry'!$ÿ$497)</f>
      </c>
      <c r="GJ497">
        <f>IF(ISBLANK('Data Entry'!$Ā$497), "", 'Data Entry'!$Ā$497)</f>
      </c>
      <c r="GK497">
        <f>IF(ISBLANK('Data Entry'!$ā$497), "", 'Data Entry'!$ā$497)</f>
      </c>
      <c r="GL497">
        <f>IF(ISBLANK('Data Entry'!$Ă$497), "", 'Data Entry'!$Ă$497)</f>
      </c>
      <c r="GM497">
        <f>IF(ISBLANK('Data Entry'!$ă$497), "", 'Data Entry'!$ă$497)</f>
      </c>
      <c r="GN497">
        <f>IF(ISBLANK('Data Entry'!$Ą$497), "", 'Data Entry'!$Ą$497)</f>
      </c>
      <c r="GO497">
        <f>IF(ISBLANK('Data Entry'!$ą$497), "", 'Data Entry'!$ą$497)</f>
      </c>
      <c r="GP497">
        <f>IF(ISBLANK('Data Entry'!$Ć$497), "", 'Data Entry'!$Ć$497)</f>
      </c>
      <c r="GQ497">
        <f>IF(ISBLANK('Data Entry'!$ć$497), "", 'Data Entry'!$ć$497)</f>
      </c>
      <c r="GR497">
        <f>IF(ISBLANK('Data Entry'!$Ĉ$497), "", 'Data Entry'!$Ĉ$497)</f>
      </c>
      <c r="GS497">
        <f>IF(ISBLANK('Data Entry'!$ĉ$497), "", 'Data Entry'!$ĉ$497)</f>
      </c>
      <c r="GT497">
        <f>IF(ISBLANK('Data Entry'!$Ċ$497), "", 'Data Entry'!$Ċ$497)</f>
      </c>
      <c r="GU497">
        <f>IF(ISBLANK('Data Entry'!$ċ$497), "", 'Data Entry'!$ċ$497)</f>
      </c>
      <c r="GV497">
        <f>IF(ISBLANK('Data Entry'!$Č$497), "", 'Data Entry'!$Č$497)</f>
      </c>
      <c r="GW497">
        <f>IF(ISBLANK('Data Entry'!$č$497), "", 'Data Entry'!$č$497)</f>
      </c>
      <c r="GX497">
        <f>IF(ISBLANK('Data Entry'!$Ď$497), "", 'Data Entry'!$Ď$497)</f>
      </c>
      <c r="GY497">
        <f>IF(ISBLANK('Data Entry'!$ď$497), "", 'Data Entry'!$ď$497)</f>
      </c>
      <c r="GZ497">
        <f>IF(ISBLANK('Data Entry'!$Đ$497), "", 'Data Entry'!$Đ$497)</f>
      </c>
      <c r="HA497">
        <f>IF(ISBLANK('Data Entry'!$đ$497), "", 'Data Entry'!$đ$497)</f>
      </c>
      <c r="HB497">
        <f>IF(ISBLANK('Data Entry'!$Ē$497), "", 'Data Entry'!$Ē$497)</f>
      </c>
      <c r="HC497">
        <f>IF(ISBLANK('Data Entry'!$ē$497), "", 'Data Entry'!$ē$497)</f>
      </c>
      <c r="HD497">
        <f>IF(ISBLANK('Data Entry'!$Ĕ$497), "", 'Data Entry'!$Ĕ$497)</f>
      </c>
      <c r="HE497">
        <f>IF(ISBLANK('Data Entry'!$ĕ$497), "", 'Data Entry'!$ĕ$497)</f>
      </c>
      <c r="HF497">
        <f>IF(ISBLANK('Data Entry'!$Ė$497), "", 'Data Entry'!$Ė$497)</f>
      </c>
      <c r="HG497">
        <f>IF(ISBLANK('Data Entry'!$ė$497), "", 'Data Entry'!$ė$497)</f>
      </c>
      <c r="HH497">
        <f>IF(ISBLANK('Data Entry'!$Ę$497), "", 'Data Entry'!$Ę$497)</f>
      </c>
      <c r="HI497">
        <f>IF(ISBLANK('Data Entry'!$ę$497), "", 'Data Entry'!$ę$497)</f>
      </c>
      <c r="HJ497">
        <f>IF(ISBLANK('Data Entry'!$Ě$497), "", 'Data Entry'!$Ě$497)</f>
      </c>
      <c r="HK497">
        <f>IF(ISBLANK('Data Entry'!$ě$497), "", 'Data Entry'!$ě$497)</f>
      </c>
      <c r="HL497">
        <f>IF(ISBLANK('Data Entry'!$Ĝ$497), "", 'Data Entry'!$Ĝ$497)</f>
      </c>
      <c r="HM497">
        <f>IF(ISBLANK('Data Entry'!$ĝ$497), "", 'Data Entry'!$ĝ$497)</f>
      </c>
      <c r="HN497">
        <f>IF(ISBLANK('Data Entry'!$Ğ$497), "", 'Data Entry'!$Ğ$497)</f>
      </c>
      <c r="HO497">
        <f>IF(ISBLANK('Data Entry'!$ğ$497), "", 'Data Entry'!$ğ$497)</f>
      </c>
      <c r="HP497">
        <f>IF(ISBLANK('Data Entry'!$Ġ$497), "", 'Data Entry'!$Ġ$497)</f>
      </c>
      <c r="HQ497">
        <f>IF(ISBLANK('Data Entry'!$ġ$497), "", 'Data Entry'!$ġ$497)</f>
      </c>
      <c r="HR497">
        <f>IF(ISBLANK('Data Entry'!$Ģ$497), "", 'Data Entry'!$Ģ$497)</f>
      </c>
      <c r="HS497">
        <f>IF(ISBLANK('Data Entry'!$ģ$497), "", 'Data Entry'!$ģ$497)</f>
      </c>
      <c r="HT497">
        <f>IF(ISBLANK('Data Entry'!$Ĥ$497), "", 'Data Entry'!$Ĥ$497)</f>
      </c>
      <c r="HU497">
        <f>IF(ISBLANK('Data Entry'!$ĥ$497), "", 'Data Entry'!$ĥ$497)</f>
      </c>
      <c r="HV497">
        <f>IF(ISBLANK('Data Entry'!$Ħ$497), "", 'Data Entry'!$Ħ$497)</f>
      </c>
      <c r="HW497">
        <f>IF(ISBLANK('Data Entry'!$ħ$497), "", 'Data Entry'!$ħ$497)</f>
      </c>
      <c r="HX497">
        <f>IF(ISBLANK('Data Entry'!$Ĩ$497), "", 'Data Entry'!$Ĩ$497)</f>
      </c>
      <c r="HY497">
        <f>IF(ISBLANK('Data Entry'!$ĩ$497), "", 'Data Entry'!$ĩ$497)</f>
      </c>
      <c r="HZ497">
        <f>IF(ISBLANK('Data Entry'!$Ī$497), "", 'Data Entry'!$Ī$497)</f>
      </c>
      <c r="IA497">
        <f>IF(ISBLANK('Data Entry'!$ī$497), "", 'Data Entry'!$ī$497)</f>
      </c>
      <c r="IB497">
        <f>IF(ISBLANK('Data Entry'!$Ĭ$497), "", 'Data Entry'!$Ĭ$497)</f>
      </c>
      <c r="IC497">
        <f>IF(ISBLANK('Data Entry'!$ĭ$497), "", 'Data Entry'!$ĭ$497)</f>
      </c>
      <c r="ID497">
        <f>IF(ISBLANK('Data Entry'!$Į$497), "", 'Data Entry'!$Į$497)</f>
      </c>
      <c r="IE497">
        <f>IF(ISBLANK('Data Entry'!$į$497), "", 'Data Entry'!$į$497)</f>
      </c>
      <c r="IF497">
        <f>IF(ISBLANK('Data Entry'!$İ$497), "", 'Data Entry'!$İ$497)</f>
      </c>
      <c r="IG497">
        <f>IF(ISBLANK('Data Entry'!$ı$497), "", 'Data Entry'!$ı$497)</f>
      </c>
      <c r="IH497">
        <f>IF(ISBLANK('Data Entry'!$Ĳ$497), "", 'Data Entry'!$Ĳ$497)</f>
      </c>
      <c r="II497">
        <f>IF(ISBLANK('Data Entry'!$ĳ$497), "", 'Data Entry'!$ĳ$497)</f>
      </c>
      <c r="IJ497">
        <f>IF(ISBLANK('Data Entry'!$Ĵ$497), "", 'Data Entry'!$Ĵ$497)</f>
      </c>
      <c r="IK497">
        <f>IF(ISBLANK('Data Entry'!$ĵ$497), "", 'Data Entry'!$ĵ$497)</f>
      </c>
      <c r="IL497">
        <f>IF(ISBLANK('Data Entry'!$Ķ$497), "", 'Data Entry'!$Ķ$497)</f>
      </c>
      <c r="IM497">
        <f>IF(ISBLANK('Data Entry'!$ķ$497), "", 'Data Entry'!$ķ$497)</f>
      </c>
      <c r="IN497">
        <f>IF(ISBLANK('Data Entry'!$ĸ$497), "", 'Data Entry'!$ĸ$497)</f>
      </c>
      <c r="IO497">
        <f>IF(ISBLANK('Data Entry'!$Ĺ$497), "", 'Data Entry'!$Ĺ$497)</f>
      </c>
      <c r="IP497">
        <f>IF(ISBLANK('Data Entry'!$ĺ$497), "", 'Data Entry'!$ĺ$497)</f>
      </c>
      <c r="IQ497">
        <f>IF(ISBLANK('Data Entry'!$Ļ$497), "", 'Data Entry'!$Ļ$497)</f>
      </c>
      <c r="IR497">
        <f>IF(ISBLANK('Data Entry'!$ļ$497), "", 'Data Entry'!$ļ$497)</f>
      </c>
      <c r="IS497">
        <f>IF(ISBLANK('Data Entry'!$Ľ$497), "", 'Data Entry'!$Ľ$497)</f>
      </c>
      <c r="IT497">
        <f>IF(ISBLANK('Data Entry'!$ľ$497), "", 'Data Entry'!$ľ$497)</f>
      </c>
    </row>
    <row r="498" spans="1:254" x14ac:dyDescent="0.25">
      <c r="A498">
        <f>IF(ISBLANK('Data Entry'!$A$498), "", 'Data Entry'!$A$498)</f>
      </c>
      <c r="B498">
        <f>IF(ISBLANK('Data Entry'!$B$498), "", 'Data Entry'!$B$498)</f>
      </c>
      <c r="C498">
        <f>IF(ISBLANK('Data Entry'!$C$498), "", 'Data Entry'!$C$498)</f>
      </c>
      <c r="D498">
        <f>IF(ISBLANK('Data Entry'!$D$498), "", 'Data Entry'!$D$498)</f>
      </c>
      <c r="E498">
        <f>IF(ISBLANK('Data Entry'!$E$498), "", 'Data Entry'!$E$498)</f>
      </c>
      <c r="F498">
        <f>IF(ISBLANK('Data Entry'!$F$498), "", 'Data Entry'!$F$498)</f>
      </c>
      <c r="G498">
        <f>IF(ISBLANK('Data Entry'!$G$498), "", 'Data Entry'!$G$498)</f>
      </c>
      <c r="H498">
        <f>IF(ISBLANK('Data Entry'!$H$498), "", 'Data Entry'!$H$498)</f>
      </c>
      <c r="I498">
        <f>IF(ISBLANK('Data Entry'!$I$498), "", 'Data Entry'!$I$498)</f>
      </c>
      <c r="J498">
        <f>IF(ISBLANK('Data Entry'!$J$498), "", 'Data Entry'!$J$498)</f>
      </c>
      <c r="K498">
        <f>IF(ISBLANK('Data Entry'!$K$498), "", 'Data Entry'!$K$498)</f>
      </c>
      <c r="L498">
        <f>IF(ISBLANK('Data Entry'!$L$498), "", 'Data Entry'!$L$498)</f>
      </c>
      <c r="M498">
        <f>IF(ISBLANK('Data Entry'!$M$498), "", 'Data Entry'!$M$498)</f>
      </c>
      <c r="N498">
        <f>IF(ISBLANK('Data Entry'!$N$498), "", 'Data Entry'!$N$498)</f>
      </c>
      <c r="O498">
        <f>IF(ISBLANK('Data Entry'!$O$498), "", 'Data Entry'!$O$498)</f>
      </c>
      <c r="P498">
        <f>IF(ISBLANK('Data Entry'!$P$498), "", 'Data Entry'!$P$498)</f>
      </c>
      <c r="Q498">
        <f>IF(ISBLANK('Data Entry'!$Q$498), "", 'Data Entry'!$Q$498)</f>
      </c>
      <c r="R498">
        <f>IF(ISBLANK('Data Entry'!$R$498), "", 'Data Entry'!$R$498)</f>
      </c>
      <c r="S498">
        <f>IF(ISBLANK('Data Entry'!$S$498), "", 'Data Entry'!$S$498)</f>
      </c>
      <c r="T498">
        <f>IF(ISBLANK('Data Entry'!$T$498), "", 'Data Entry'!$T$498)</f>
      </c>
      <c r="U498">
        <f>IF(ISBLANK('Data Entry'!$U$498), "", 'Data Entry'!$U$498)</f>
      </c>
      <c r="V498">
        <f>IF(ISBLANK('Data Entry'!$V$498), "", 'Data Entry'!$V$498)</f>
      </c>
      <c r="W498">
        <f>IF(ISBLANK('Data Entry'!$W$498), "", 'Data Entry'!$W$498)</f>
      </c>
      <c r="X498">
        <f>IF(ISBLANK('Data Entry'!$X$498), "", 'Data Entry'!$X$498)</f>
      </c>
      <c r="Y498">
        <f>IF(ISBLANK('Data Entry'!$Y$498), "", 'Data Entry'!$Y$498)</f>
      </c>
      <c r="Z498">
        <f>IF(ISBLANK('Data Entry'!$Z$498), "", 'Data Entry'!$Z$498)</f>
      </c>
      <c r="AA498">
        <f>IF(ISBLANK('Data Entry'!$[$498), "", 'Data Entry'!$[$498)</f>
      </c>
      <c r="AB498">
        <f>IF(ISBLANK('Data Entry'!$\$498), "", 'Data Entry'!$\$498)</f>
      </c>
      <c r="AC498">
        <f>IF(ISBLANK('Data Entry'!$]$498), "", 'Data Entry'!$]$498)</f>
      </c>
      <c r="AD498">
        <f>IF(ISBLANK('Data Entry'!$^$498), "", 'Data Entry'!$^$498)</f>
      </c>
      <c r="AE498">
        <f>IF(ISBLANK('Data Entry'!$_$498), "", 'Data Entry'!$_$498)</f>
      </c>
      <c r="AF498">
        <f>IF(ISBLANK('Data Entry'!$`$498), "", 'Data Entry'!$`$498)</f>
      </c>
      <c r="AG498">
        <f>IF(ISBLANK('Data Entry'!$a$498), "", 'Data Entry'!$a$498)</f>
      </c>
      <c r="AH498">
        <f>IF(ISBLANK('Data Entry'!$b$498), "", 'Data Entry'!$b$498)</f>
      </c>
      <c r="AI498">
        <f>IF(ISBLANK('Data Entry'!$c$498), "", 'Data Entry'!$c$498)</f>
      </c>
      <c r="AJ498">
        <f>IF(ISBLANK('Data Entry'!$d$498), "", 'Data Entry'!$d$498)</f>
      </c>
      <c r="AK498">
        <f>IF(ISBLANK('Data Entry'!$e$498), "", 'Data Entry'!$e$498)</f>
      </c>
      <c r="AL498">
        <f>IF(ISBLANK('Data Entry'!$f$498), "", 'Data Entry'!$f$498)</f>
      </c>
      <c r="AM498">
        <f>IF(ISBLANK('Data Entry'!$g$498), "", 'Data Entry'!$g$498)</f>
      </c>
      <c r="AN498">
        <f>IF(ISBLANK('Data Entry'!$h$498), "", 'Data Entry'!$h$498)</f>
      </c>
      <c r="AO498">
        <f>IF(ISBLANK('Data Entry'!$i$498), "", 'Data Entry'!$i$498)</f>
      </c>
      <c r="AP498">
        <f>IF(ISBLANK('Data Entry'!$j$498), "", 'Data Entry'!$j$498)</f>
      </c>
      <c r="AQ498">
        <f>IF(ISBLANK('Data Entry'!$k$498), "", 'Data Entry'!$k$498)</f>
      </c>
      <c r="AR498">
        <f>IF(ISBLANK('Data Entry'!$l$498), "", 'Data Entry'!$l$498)</f>
      </c>
      <c r="AS498">
        <f>IF(ISBLANK('Data Entry'!$m$498), "", 'Data Entry'!$m$498)</f>
      </c>
      <c r="AT498">
        <f>IF(ISBLANK('Data Entry'!$n$498), "", 'Data Entry'!$n$498)</f>
      </c>
      <c r="AU498">
        <f>IF(ISBLANK('Data Entry'!$o$498), "", 'Data Entry'!$o$498)</f>
      </c>
      <c r="AV498">
        <f>IF(ISBLANK('Data Entry'!$p$498), "", 'Data Entry'!$p$498)</f>
      </c>
      <c r="AW498">
        <f>IF(ISBLANK('Data Entry'!$q$498), "", 'Data Entry'!$q$498)</f>
      </c>
      <c r="AX498">
        <f>IF(ISBLANK('Data Entry'!$r$498), "", 'Data Entry'!$r$498)</f>
      </c>
      <c r="AY498">
        <f>IF(ISBLANK('Data Entry'!$s$498), "", 'Data Entry'!$s$498)</f>
      </c>
      <c r="AZ498">
        <f>IF(ISBLANK('Data Entry'!$t$498), "", 'Data Entry'!$t$498)</f>
      </c>
      <c r="BA498">
        <f>IF(ISBLANK('Data Entry'!$u$498), "", 'Data Entry'!$u$498)</f>
      </c>
      <c r="BB498">
        <f>IF(ISBLANK('Data Entry'!$v$498), "", 'Data Entry'!$v$498)</f>
      </c>
      <c r="BC498">
        <f>IF(ISBLANK('Data Entry'!$w$498), "", 'Data Entry'!$w$498)</f>
      </c>
      <c r="BD498">
        <f>IF(ISBLANK('Data Entry'!$x$498), "", 'Data Entry'!$x$498)</f>
      </c>
      <c r="BE498">
        <f>IF(ISBLANK('Data Entry'!$y$498), "", 'Data Entry'!$y$498)</f>
      </c>
      <c r="BF498">
        <f>IF(ISBLANK('Data Entry'!$z$498), "", 'Data Entry'!$z$498)</f>
      </c>
      <c r="BG498">
        <f>IF(ISBLANK('Data Entry'!${$498), "", 'Data Entry'!${$498)</f>
      </c>
      <c r="BH498">
        <f>IF(ISBLANK('Data Entry'!$|$498), "", 'Data Entry'!$|$498)</f>
      </c>
      <c r="BI498">
        <f>IF(ISBLANK('Data Entry'!$}$498), "", 'Data Entry'!$}$498)</f>
      </c>
      <c r="BJ498">
        <f>IF(ISBLANK('Data Entry'!$~$498), "", 'Data Entry'!$~$498)</f>
      </c>
      <c r="BK498">
        <f>IF(ISBLANK('Data Entry'!$$498), "", 'Data Entry'!$$498)</f>
      </c>
      <c r="BL498">
        <f>IF(ISBLANK('Data Entry'!$$498), "", 'Data Entry'!$$498)</f>
      </c>
      <c r="BM498">
        <f>IF(ISBLANK('Data Entry'!$$498), "", 'Data Entry'!$$498)</f>
      </c>
      <c r="BN498">
        <f>IF(ISBLANK('Data Entry'!$$498), "", 'Data Entry'!$$498)</f>
      </c>
      <c r="BO498">
        <f>IF(ISBLANK('Data Entry'!$$498), "", 'Data Entry'!$$498)</f>
      </c>
      <c r="BP498">
        <f>IF(ISBLANK('Data Entry'!$$498), "", 'Data Entry'!$$498)</f>
      </c>
      <c r="BQ498">
        <f>IF(ISBLANK('Data Entry'!$$498), "", 'Data Entry'!$$498)</f>
      </c>
      <c r="BR498">
        <f>IF(ISBLANK('Data Entry'!$$498), "", 'Data Entry'!$$498)</f>
      </c>
      <c r="BS498">
        <f>IF(ISBLANK('Data Entry'!$$498), "", 'Data Entry'!$$498)</f>
      </c>
      <c r="BT498">
        <f>IF(ISBLANK('Data Entry'!$$498), "", 'Data Entry'!$$498)</f>
      </c>
      <c r="BU498">
        <f>IF(ISBLANK('Data Entry'!$$498), "", 'Data Entry'!$$498)</f>
      </c>
      <c r="BV498">
        <f>IF(ISBLANK('Data Entry'!$$498), "", 'Data Entry'!$$498)</f>
      </c>
      <c r="BW498">
        <f>IF(ISBLANK('Data Entry'!$$498), "", 'Data Entry'!$$498)</f>
      </c>
      <c r="BX498">
        <f>IF(ISBLANK('Data Entry'!$$498), "", 'Data Entry'!$$498)</f>
      </c>
      <c r="BY498">
        <f>IF(ISBLANK('Data Entry'!$$498), "", 'Data Entry'!$$498)</f>
      </c>
      <c r="BZ498">
        <f>IF(ISBLANK('Data Entry'!$$498), "", 'Data Entry'!$$498)</f>
      </c>
      <c r="CA498">
        <f>IF(ISBLANK('Data Entry'!$$498), "", 'Data Entry'!$$498)</f>
      </c>
      <c r="CB498">
        <f>IF(ISBLANK('Data Entry'!$$498), "", 'Data Entry'!$$498)</f>
      </c>
      <c r="CC498">
        <f>IF(ISBLANK('Data Entry'!$$498), "", 'Data Entry'!$$498)</f>
      </c>
      <c r="CD498">
        <f>IF(ISBLANK('Data Entry'!$$498), "", 'Data Entry'!$$498)</f>
      </c>
      <c r="CE498">
        <f>IF(ISBLANK('Data Entry'!$$498), "", 'Data Entry'!$$498)</f>
      </c>
      <c r="CF498">
        <f>IF(ISBLANK('Data Entry'!$$498), "", 'Data Entry'!$$498)</f>
      </c>
      <c r="CG498">
        <f>IF(ISBLANK('Data Entry'!$$498), "", 'Data Entry'!$$498)</f>
      </c>
      <c r="CH498">
        <f>IF(ISBLANK('Data Entry'!$$498), "", 'Data Entry'!$$498)</f>
      </c>
      <c r="CI498">
        <f>IF(ISBLANK('Data Entry'!$$498), "", 'Data Entry'!$$498)</f>
      </c>
      <c r="CJ498">
        <f>IF(ISBLANK('Data Entry'!$$498), "", 'Data Entry'!$$498)</f>
      </c>
      <c r="CK498">
        <f>IF(ISBLANK('Data Entry'!$$498), "", 'Data Entry'!$$498)</f>
      </c>
      <c r="CL498">
        <f>IF(ISBLANK('Data Entry'!$$498), "", 'Data Entry'!$$498)</f>
      </c>
      <c r="CM498">
        <f>IF(ISBLANK('Data Entry'!$$498), "", 'Data Entry'!$$498)</f>
      </c>
      <c r="CN498">
        <f>IF(ISBLANK('Data Entry'!$$498), "", 'Data Entry'!$$498)</f>
      </c>
      <c r="CO498">
        <f>IF(ISBLANK('Data Entry'!$$498), "", 'Data Entry'!$$498)</f>
      </c>
      <c r="CP498">
        <f>IF(ISBLANK('Data Entry'!$$498), "", 'Data Entry'!$$498)</f>
      </c>
      <c r="CQ498">
        <f>IF(ISBLANK('Data Entry'!$$498), "", 'Data Entry'!$$498)</f>
      </c>
      <c r="CR498">
        <f>IF(ISBLANK('Data Entry'!$ $498), "", 'Data Entry'!$ $498)</f>
      </c>
      <c r="CS498">
        <f>IF(ISBLANK('Data Entry'!$¡$498), "", 'Data Entry'!$¡$498)</f>
      </c>
      <c r="CT498">
        <f>IF(ISBLANK('Data Entry'!$¢$498), "", 'Data Entry'!$¢$498)</f>
      </c>
      <c r="CU498">
        <f>IF(ISBLANK('Data Entry'!$£$498), "", 'Data Entry'!$£$498)</f>
      </c>
      <c r="CV498">
        <f>IF(ISBLANK('Data Entry'!$¤$498), "", 'Data Entry'!$¤$498)</f>
      </c>
      <c r="CW498">
        <f>IF(ISBLANK('Data Entry'!$¥$498), "", 'Data Entry'!$¥$498)</f>
      </c>
      <c r="CX498">
        <f>IF(ISBLANK('Data Entry'!$¦$498), "", 'Data Entry'!$¦$498)</f>
      </c>
      <c r="CY498">
        <f>IF(ISBLANK('Data Entry'!$§$498), "", 'Data Entry'!$§$498)</f>
      </c>
      <c r="CZ498">
        <f>IF(ISBLANK('Data Entry'!$¨$498), "", 'Data Entry'!$¨$498)</f>
      </c>
      <c r="DA498">
        <f>IF(ISBLANK('Data Entry'!$©$498), "", 'Data Entry'!$©$498)</f>
      </c>
      <c r="DB498">
        <f>IF(ISBLANK('Data Entry'!$ª$498), "", 'Data Entry'!$ª$498)</f>
      </c>
      <c r="DC498">
        <f>IF(ISBLANK('Data Entry'!$«$498), "", 'Data Entry'!$«$498)</f>
      </c>
      <c r="DD498">
        <f>IF(ISBLANK('Data Entry'!$¬$498), "", 'Data Entry'!$¬$498)</f>
      </c>
      <c r="DE498">
        <f>IF(ISBLANK('Data Entry'!$­$498), "", 'Data Entry'!$­$498)</f>
      </c>
      <c r="DF498">
        <f>IF(ISBLANK('Data Entry'!$®$498), "", 'Data Entry'!$®$498)</f>
      </c>
      <c r="DG498">
        <f>IF(ISBLANK('Data Entry'!$¯$498), "", 'Data Entry'!$¯$498)</f>
      </c>
      <c r="DH498">
        <f>IF(ISBLANK('Data Entry'!$°$498), "", 'Data Entry'!$°$498)</f>
      </c>
      <c r="DI498">
        <f>IF(ISBLANK('Data Entry'!$±$498), "", 'Data Entry'!$±$498)</f>
      </c>
      <c r="DJ498">
        <f>IF(ISBLANK('Data Entry'!$²$498), "", 'Data Entry'!$²$498)</f>
      </c>
      <c r="DK498">
        <f>IF(ISBLANK('Data Entry'!$³$498), "", 'Data Entry'!$³$498)</f>
      </c>
      <c r="DL498">
        <f>IF(ISBLANK('Data Entry'!$´$498), "", 'Data Entry'!$´$498)</f>
      </c>
      <c r="DM498">
        <f>IF(ISBLANK('Data Entry'!$µ$498), "", 'Data Entry'!$µ$498)</f>
      </c>
      <c r="DN498">
        <f>IF(ISBLANK('Data Entry'!$¶$498), "", 'Data Entry'!$¶$498)</f>
      </c>
      <c r="DO498">
        <f>IF(ISBLANK('Data Entry'!$·$498), "", 'Data Entry'!$·$498)</f>
      </c>
      <c r="DP498">
        <f>IF(ISBLANK('Data Entry'!$¸$498), "", 'Data Entry'!$¸$498)</f>
      </c>
      <c r="DQ498">
        <f>IF(ISBLANK('Data Entry'!$¹$498), "", 'Data Entry'!$¹$498)</f>
      </c>
      <c r="DR498">
        <f>IF(ISBLANK('Data Entry'!$º$498), "", 'Data Entry'!$º$498)</f>
      </c>
      <c r="DS498">
        <f>IF(ISBLANK('Data Entry'!$»$498), "", 'Data Entry'!$»$498)</f>
      </c>
      <c r="DT498">
        <f>IF(ISBLANK('Data Entry'!$¼$498), "", 'Data Entry'!$¼$498)</f>
      </c>
      <c r="DU498">
        <f>IF(ISBLANK('Data Entry'!$½$498), "", 'Data Entry'!$½$498)</f>
      </c>
      <c r="DV498">
        <f>IF(ISBLANK('Data Entry'!$¾$498), "", 'Data Entry'!$¾$498)</f>
      </c>
      <c r="DW498">
        <f>IF(ISBLANK('Data Entry'!$¿$498), "", 'Data Entry'!$¿$498)</f>
      </c>
      <c r="DX498">
        <f>IF(ISBLANK('Data Entry'!$À$498), "", 'Data Entry'!$À$498)</f>
      </c>
      <c r="DY498">
        <f>IF(ISBLANK('Data Entry'!$Á$498), "", 'Data Entry'!$Á$498)</f>
      </c>
      <c r="DZ498">
        <f>IF(ISBLANK('Data Entry'!$Â$498), "", 'Data Entry'!$Â$498)</f>
      </c>
      <c r="EA498">
        <f>IF(ISBLANK('Data Entry'!$Ã$498), "", 'Data Entry'!$Ã$498)</f>
      </c>
      <c r="EB498">
        <f>IF(ISBLANK('Data Entry'!$Ä$498), "", 'Data Entry'!$Ä$498)</f>
      </c>
      <c r="EC498">
        <f>IF(ISBLANK('Data Entry'!$Å$498), "", 'Data Entry'!$Å$498)</f>
      </c>
      <c r="ED498">
        <f>IF(ISBLANK('Data Entry'!$Æ$498), "", 'Data Entry'!$Æ$498)</f>
      </c>
      <c r="EE498">
        <f>IF(ISBLANK('Data Entry'!$Ç$498), "", 'Data Entry'!$Ç$498)</f>
      </c>
      <c r="EF498">
        <f>IF(ISBLANK('Data Entry'!$È$498), "", 'Data Entry'!$È$498)</f>
      </c>
      <c r="EG498">
        <f>IF(ISBLANK('Data Entry'!$É$498), "", 'Data Entry'!$É$498)</f>
      </c>
      <c r="EH498">
        <f>IF(ISBLANK('Data Entry'!$Ê$498), "", 'Data Entry'!$Ê$498)</f>
      </c>
      <c r="EI498">
        <f>IF(ISBLANK('Data Entry'!$Ë$498), "", 'Data Entry'!$Ë$498)</f>
      </c>
      <c r="EJ498">
        <f>IF(ISBLANK('Data Entry'!$Ì$498), "", 'Data Entry'!$Ì$498)</f>
      </c>
      <c r="EK498">
        <f>IF(ISBLANK('Data Entry'!$Í$498), "", 'Data Entry'!$Í$498)</f>
      </c>
      <c r="EL498">
        <f>IF(ISBLANK('Data Entry'!$Î$498), "", 'Data Entry'!$Î$498)</f>
      </c>
      <c r="EM498">
        <f>IF(ISBLANK('Data Entry'!$Ï$498), "", 'Data Entry'!$Ï$498)</f>
      </c>
      <c r="EN498">
        <f>IF(ISBLANK('Data Entry'!$Ð$498), "", 'Data Entry'!$Ð$498)</f>
      </c>
      <c r="EO498">
        <f>IF(ISBLANK('Data Entry'!$Ñ$498), "", 'Data Entry'!$Ñ$498)</f>
      </c>
      <c r="EP498">
        <f>IF(ISBLANK('Data Entry'!$Ò$498), "", 'Data Entry'!$Ò$498)</f>
      </c>
      <c r="EQ498">
        <f>IF(ISBLANK('Data Entry'!$Ó$498), "", 'Data Entry'!$Ó$498)</f>
      </c>
      <c r="ER498">
        <f>IF(ISBLANK('Data Entry'!$Ô$498), "", 'Data Entry'!$Ô$498)</f>
      </c>
      <c r="ES498">
        <f>IF(ISBLANK('Data Entry'!$Õ$498), "", 'Data Entry'!$Õ$498)</f>
      </c>
      <c r="ET498">
        <f>IF(ISBLANK('Data Entry'!$Ö$498), "", 'Data Entry'!$Ö$498)</f>
      </c>
      <c r="EU498">
        <f>IF(ISBLANK('Data Entry'!$×$498), "", 'Data Entry'!$×$498)</f>
      </c>
      <c r="EV498">
        <f>IF(ISBLANK('Data Entry'!$Ø$498), "", 'Data Entry'!$Ø$498)</f>
      </c>
      <c r="EW498">
        <f>IF(ISBLANK('Data Entry'!$Ù$498), "", 'Data Entry'!$Ù$498)</f>
      </c>
      <c r="EX498">
        <f>IF(ISBLANK('Data Entry'!$Ú$498), "", 'Data Entry'!$Ú$498)</f>
      </c>
      <c r="EY498">
        <f>IF(ISBLANK('Data Entry'!$Û$498), "", 'Data Entry'!$Û$498)</f>
      </c>
      <c r="EZ498">
        <f>IF(ISBLANK('Data Entry'!$Ü$498), "", 'Data Entry'!$Ü$498)</f>
      </c>
      <c r="FA498">
        <f>IF(ISBLANK('Data Entry'!$Ý$498), "", 'Data Entry'!$Ý$498)</f>
      </c>
      <c r="FB498">
        <f>IF(ISBLANK('Data Entry'!$Þ$498), "", 'Data Entry'!$Þ$498)</f>
      </c>
      <c r="FC498">
        <f>IF(ISBLANK('Data Entry'!$ß$498), "", 'Data Entry'!$ß$498)</f>
      </c>
      <c r="FD498">
        <f>IF(ISBLANK('Data Entry'!$à$498), "", 'Data Entry'!$à$498)</f>
      </c>
      <c r="FE498">
        <f>IF(ISBLANK('Data Entry'!$á$498), "", 'Data Entry'!$á$498)</f>
      </c>
      <c r="FF498">
        <f>IF(ISBLANK('Data Entry'!$â$498), "", 'Data Entry'!$â$498)</f>
      </c>
      <c r="FG498">
        <f>IF(ISBLANK('Data Entry'!$ã$498), "", 'Data Entry'!$ã$498)</f>
      </c>
      <c r="FH498">
        <f>IF(ISBLANK('Data Entry'!$ä$498), "", 'Data Entry'!$ä$498)</f>
      </c>
      <c r="FI498">
        <f>IF(ISBLANK('Data Entry'!$å$498), "", 'Data Entry'!$å$498)</f>
      </c>
      <c r="FJ498">
        <f>IF(ISBLANK('Data Entry'!$æ$498), "", 'Data Entry'!$æ$498)</f>
      </c>
      <c r="FK498">
        <f>IF(ISBLANK('Data Entry'!$ç$498), "", 'Data Entry'!$ç$498)</f>
      </c>
      <c r="FL498">
        <f>IF(ISBLANK('Data Entry'!$è$498), "", 'Data Entry'!$è$498)</f>
      </c>
      <c r="FM498">
        <f>IF(ISBLANK('Data Entry'!$é$498), "", 'Data Entry'!$é$498)</f>
      </c>
      <c r="FN498">
        <f>IF(ISBLANK('Data Entry'!$ê$498), "", 'Data Entry'!$ê$498)</f>
      </c>
      <c r="FO498">
        <f>IF(ISBLANK('Data Entry'!$ë$498), "", 'Data Entry'!$ë$498)</f>
      </c>
      <c r="FP498">
        <f>IF(ISBLANK('Data Entry'!$ì$498), "", 'Data Entry'!$ì$498)</f>
      </c>
      <c r="FQ498">
        <f>IF(ISBLANK('Data Entry'!$í$498), "", 'Data Entry'!$í$498)</f>
      </c>
      <c r="FR498">
        <f>IF(ISBLANK('Data Entry'!$î$498), "", 'Data Entry'!$î$498)</f>
      </c>
      <c r="FS498">
        <f>IF(ISBLANK('Data Entry'!$ï$498), "", 'Data Entry'!$ï$498)</f>
      </c>
      <c r="FT498">
        <f>IF(ISBLANK('Data Entry'!$ð$498), "", 'Data Entry'!$ð$498)</f>
      </c>
      <c r="FU498">
        <f>IF(ISBLANK('Data Entry'!$ñ$498), "", 'Data Entry'!$ñ$498)</f>
      </c>
      <c r="FV498">
        <f>IF(ISBLANK('Data Entry'!$ò$498), "", 'Data Entry'!$ò$498)</f>
      </c>
      <c r="FW498">
        <f>IF(ISBLANK('Data Entry'!$ó$498), "", 'Data Entry'!$ó$498)</f>
      </c>
      <c r="FX498">
        <f>IF(ISBLANK('Data Entry'!$ô$498), "", 'Data Entry'!$ô$498)</f>
      </c>
      <c r="FY498">
        <f>IF(ISBLANK('Data Entry'!$õ$498), "", 'Data Entry'!$õ$498)</f>
      </c>
      <c r="FZ498">
        <f>IF(ISBLANK('Data Entry'!$ö$498), "", 'Data Entry'!$ö$498)</f>
      </c>
      <c r="GA498">
        <f>IF(ISBLANK('Data Entry'!$÷$498), "", 'Data Entry'!$÷$498)</f>
      </c>
      <c r="GB498">
        <f>IF(ISBLANK('Data Entry'!$ø$498), "", 'Data Entry'!$ø$498)</f>
      </c>
      <c r="GC498">
        <f>IF(ISBLANK('Data Entry'!$ù$498), "", 'Data Entry'!$ù$498)</f>
      </c>
      <c r="GD498">
        <f>IF(ISBLANK('Data Entry'!$ú$498), "", 'Data Entry'!$ú$498)</f>
      </c>
      <c r="GE498">
        <f>IF(ISBLANK('Data Entry'!$û$498), "", 'Data Entry'!$û$498)</f>
      </c>
      <c r="GF498">
        <f>IF(ISBLANK('Data Entry'!$ü$498), "", 'Data Entry'!$ü$498)</f>
      </c>
      <c r="GG498">
        <f>IF(ISBLANK('Data Entry'!$ý$498), "", 'Data Entry'!$ý$498)</f>
      </c>
      <c r="GH498">
        <f>IF(ISBLANK('Data Entry'!$þ$498), "", 'Data Entry'!$þ$498)</f>
      </c>
      <c r="GI498">
        <f>IF(ISBLANK('Data Entry'!$ÿ$498), "", 'Data Entry'!$ÿ$498)</f>
      </c>
      <c r="GJ498">
        <f>IF(ISBLANK('Data Entry'!$Ā$498), "", 'Data Entry'!$Ā$498)</f>
      </c>
      <c r="GK498">
        <f>IF(ISBLANK('Data Entry'!$ā$498), "", 'Data Entry'!$ā$498)</f>
      </c>
      <c r="GL498">
        <f>IF(ISBLANK('Data Entry'!$Ă$498), "", 'Data Entry'!$Ă$498)</f>
      </c>
      <c r="GM498">
        <f>IF(ISBLANK('Data Entry'!$ă$498), "", 'Data Entry'!$ă$498)</f>
      </c>
      <c r="GN498">
        <f>IF(ISBLANK('Data Entry'!$Ą$498), "", 'Data Entry'!$Ą$498)</f>
      </c>
      <c r="GO498">
        <f>IF(ISBLANK('Data Entry'!$ą$498), "", 'Data Entry'!$ą$498)</f>
      </c>
      <c r="GP498">
        <f>IF(ISBLANK('Data Entry'!$Ć$498), "", 'Data Entry'!$Ć$498)</f>
      </c>
      <c r="GQ498">
        <f>IF(ISBLANK('Data Entry'!$ć$498), "", 'Data Entry'!$ć$498)</f>
      </c>
      <c r="GR498">
        <f>IF(ISBLANK('Data Entry'!$Ĉ$498), "", 'Data Entry'!$Ĉ$498)</f>
      </c>
      <c r="GS498">
        <f>IF(ISBLANK('Data Entry'!$ĉ$498), "", 'Data Entry'!$ĉ$498)</f>
      </c>
      <c r="GT498">
        <f>IF(ISBLANK('Data Entry'!$Ċ$498), "", 'Data Entry'!$Ċ$498)</f>
      </c>
      <c r="GU498">
        <f>IF(ISBLANK('Data Entry'!$ċ$498), "", 'Data Entry'!$ċ$498)</f>
      </c>
      <c r="GV498">
        <f>IF(ISBLANK('Data Entry'!$Č$498), "", 'Data Entry'!$Č$498)</f>
      </c>
      <c r="GW498">
        <f>IF(ISBLANK('Data Entry'!$č$498), "", 'Data Entry'!$č$498)</f>
      </c>
      <c r="GX498">
        <f>IF(ISBLANK('Data Entry'!$Ď$498), "", 'Data Entry'!$Ď$498)</f>
      </c>
      <c r="GY498">
        <f>IF(ISBLANK('Data Entry'!$ď$498), "", 'Data Entry'!$ď$498)</f>
      </c>
      <c r="GZ498">
        <f>IF(ISBLANK('Data Entry'!$Đ$498), "", 'Data Entry'!$Đ$498)</f>
      </c>
      <c r="HA498">
        <f>IF(ISBLANK('Data Entry'!$đ$498), "", 'Data Entry'!$đ$498)</f>
      </c>
      <c r="HB498">
        <f>IF(ISBLANK('Data Entry'!$Ē$498), "", 'Data Entry'!$Ē$498)</f>
      </c>
      <c r="HC498">
        <f>IF(ISBLANK('Data Entry'!$ē$498), "", 'Data Entry'!$ē$498)</f>
      </c>
      <c r="HD498">
        <f>IF(ISBLANK('Data Entry'!$Ĕ$498), "", 'Data Entry'!$Ĕ$498)</f>
      </c>
      <c r="HE498">
        <f>IF(ISBLANK('Data Entry'!$ĕ$498), "", 'Data Entry'!$ĕ$498)</f>
      </c>
      <c r="HF498">
        <f>IF(ISBLANK('Data Entry'!$Ė$498), "", 'Data Entry'!$Ė$498)</f>
      </c>
      <c r="HG498">
        <f>IF(ISBLANK('Data Entry'!$ė$498), "", 'Data Entry'!$ė$498)</f>
      </c>
      <c r="HH498">
        <f>IF(ISBLANK('Data Entry'!$Ę$498), "", 'Data Entry'!$Ę$498)</f>
      </c>
      <c r="HI498">
        <f>IF(ISBLANK('Data Entry'!$ę$498), "", 'Data Entry'!$ę$498)</f>
      </c>
      <c r="HJ498">
        <f>IF(ISBLANK('Data Entry'!$Ě$498), "", 'Data Entry'!$Ě$498)</f>
      </c>
      <c r="HK498">
        <f>IF(ISBLANK('Data Entry'!$ě$498), "", 'Data Entry'!$ě$498)</f>
      </c>
      <c r="HL498">
        <f>IF(ISBLANK('Data Entry'!$Ĝ$498), "", 'Data Entry'!$Ĝ$498)</f>
      </c>
      <c r="HM498">
        <f>IF(ISBLANK('Data Entry'!$ĝ$498), "", 'Data Entry'!$ĝ$498)</f>
      </c>
      <c r="HN498">
        <f>IF(ISBLANK('Data Entry'!$Ğ$498), "", 'Data Entry'!$Ğ$498)</f>
      </c>
      <c r="HO498">
        <f>IF(ISBLANK('Data Entry'!$ğ$498), "", 'Data Entry'!$ğ$498)</f>
      </c>
      <c r="HP498">
        <f>IF(ISBLANK('Data Entry'!$Ġ$498), "", 'Data Entry'!$Ġ$498)</f>
      </c>
      <c r="HQ498">
        <f>IF(ISBLANK('Data Entry'!$ġ$498), "", 'Data Entry'!$ġ$498)</f>
      </c>
      <c r="HR498">
        <f>IF(ISBLANK('Data Entry'!$Ģ$498), "", 'Data Entry'!$Ģ$498)</f>
      </c>
      <c r="HS498">
        <f>IF(ISBLANK('Data Entry'!$ģ$498), "", 'Data Entry'!$ģ$498)</f>
      </c>
      <c r="HT498">
        <f>IF(ISBLANK('Data Entry'!$Ĥ$498), "", 'Data Entry'!$Ĥ$498)</f>
      </c>
      <c r="HU498">
        <f>IF(ISBLANK('Data Entry'!$ĥ$498), "", 'Data Entry'!$ĥ$498)</f>
      </c>
      <c r="HV498">
        <f>IF(ISBLANK('Data Entry'!$Ħ$498), "", 'Data Entry'!$Ħ$498)</f>
      </c>
      <c r="HW498">
        <f>IF(ISBLANK('Data Entry'!$ħ$498), "", 'Data Entry'!$ħ$498)</f>
      </c>
      <c r="HX498">
        <f>IF(ISBLANK('Data Entry'!$Ĩ$498), "", 'Data Entry'!$Ĩ$498)</f>
      </c>
      <c r="HY498">
        <f>IF(ISBLANK('Data Entry'!$ĩ$498), "", 'Data Entry'!$ĩ$498)</f>
      </c>
      <c r="HZ498">
        <f>IF(ISBLANK('Data Entry'!$Ī$498), "", 'Data Entry'!$Ī$498)</f>
      </c>
      <c r="IA498">
        <f>IF(ISBLANK('Data Entry'!$ī$498), "", 'Data Entry'!$ī$498)</f>
      </c>
      <c r="IB498">
        <f>IF(ISBLANK('Data Entry'!$Ĭ$498), "", 'Data Entry'!$Ĭ$498)</f>
      </c>
      <c r="IC498">
        <f>IF(ISBLANK('Data Entry'!$ĭ$498), "", 'Data Entry'!$ĭ$498)</f>
      </c>
      <c r="ID498">
        <f>IF(ISBLANK('Data Entry'!$Į$498), "", 'Data Entry'!$Į$498)</f>
      </c>
      <c r="IE498">
        <f>IF(ISBLANK('Data Entry'!$į$498), "", 'Data Entry'!$į$498)</f>
      </c>
      <c r="IF498">
        <f>IF(ISBLANK('Data Entry'!$İ$498), "", 'Data Entry'!$İ$498)</f>
      </c>
      <c r="IG498">
        <f>IF(ISBLANK('Data Entry'!$ı$498), "", 'Data Entry'!$ı$498)</f>
      </c>
      <c r="IH498">
        <f>IF(ISBLANK('Data Entry'!$Ĳ$498), "", 'Data Entry'!$Ĳ$498)</f>
      </c>
      <c r="II498">
        <f>IF(ISBLANK('Data Entry'!$ĳ$498), "", 'Data Entry'!$ĳ$498)</f>
      </c>
      <c r="IJ498">
        <f>IF(ISBLANK('Data Entry'!$Ĵ$498), "", 'Data Entry'!$Ĵ$498)</f>
      </c>
      <c r="IK498">
        <f>IF(ISBLANK('Data Entry'!$ĵ$498), "", 'Data Entry'!$ĵ$498)</f>
      </c>
      <c r="IL498">
        <f>IF(ISBLANK('Data Entry'!$Ķ$498), "", 'Data Entry'!$Ķ$498)</f>
      </c>
      <c r="IM498">
        <f>IF(ISBLANK('Data Entry'!$ķ$498), "", 'Data Entry'!$ķ$498)</f>
      </c>
      <c r="IN498">
        <f>IF(ISBLANK('Data Entry'!$ĸ$498), "", 'Data Entry'!$ĸ$498)</f>
      </c>
      <c r="IO498">
        <f>IF(ISBLANK('Data Entry'!$Ĺ$498), "", 'Data Entry'!$Ĺ$498)</f>
      </c>
      <c r="IP498">
        <f>IF(ISBLANK('Data Entry'!$ĺ$498), "", 'Data Entry'!$ĺ$498)</f>
      </c>
      <c r="IQ498">
        <f>IF(ISBLANK('Data Entry'!$Ļ$498), "", 'Data Entry'!$Ļ$498)</f>
      </c>
      <c r="IR498">
        <f>IF(ISBLANK('Data Entry'!$ļ$498), "", 'Data Entry'!$ļ$498)</f>
      </c>
      <c r="IS498">
        <f>IF(ISBLANK('Data Entry'!$Ľ$498), "", 'Data Entry'!$Ľ$498)</f>
      </c>
      <c r="IT498">
        <f>IF(ISBLANK('Data Entry'!$ľ$498), "", 'Data Entry'!$ľ$498)</f>
      </c>
    </row>
    <row r="499" spans="1:254" x14ac:dyDescent="0.25">
      <c r="A499">
        <f>IF(ISBLANK('Data Entry'!$A$499), "", 'Data Entry'!$A$499)</f>
      </c>
      <c r="B499">
        <f>IF(ISBLANK('Data Entry'!$B$499), "", 'Data Entry'!$B$499)</f>
      </c>
      <c r="C499">
        <f>IF(ISBLANK('Data Entry'!$C$499), "", 'Data Entry'!$C$499)</f>
      </c>
      <c r="D499">
        <f>IF(ISBLANK('Data Entry'!$D$499), "", 'Data Entry'!$D$499)</f>
      </c>
      <c r="E499">
        <f>IF(ISBLANK('Data Entry'!$E$499), "", 'Data Entry'!$E$499)</f>
      </c>
      <c r="F499">
        <f>IF(ISBLANK('Data Entry'!$F$499), "", 'Data Entry'!$F$499)</f>
      </c>
      <c r="G499">
        <f>IF(ISBLANK('Data Entry'!$G$499), "", 'Data Entry'!$G$499)</f>
      </c>
      <c r="H499">
        <f>IF(ISBLANK('Data Entry'!$H$499), "", 'Data Entry'!$H$499)</f>
      </c>
      <c r="I499">
        <f>IF(ISBLANK('Data Entry'!$I$499), "", 'Data Entry'!$I$499)</f>
      </c>
      <c r="J499">
        <f>IF(ISBLANK('Data Entry'!$J$499), "", 'Data Entry'!$J$499)</f>
      </c>
      <c r="K499">
        <f>IF(ISBLANK('Data Entry'!$K$499), "", 'Data Entry'!$K$499)</f>
      </c>
      <c r="L499">
        <f>IF(ISBLANK('Data Entry'!$L$499), "", 'Data Entry'!$L$499)</f>
      </c>
      <c r="M499">
        <f>IF(ISBLANK('Data Entry'!$M$499), "", 'Data Entry'!$M$499)</f>
      </c>
      <c r="N499">
        <f>IF(ISBLANK('Data Entry'!$N$499), "", 'Data Entry'!$N$499)</f>
      </c>
      <c r="O499">
        <f>IF(ISBLANK('Data Entry'!$O$499), "", 'Data Entry'!$O$499)</f>
      </c>
      <c r="P499">
        <f>IF(ISBLANK('Data Entry'!$P$499), "", 'Data Entry'!$P$499)</f>
      </c>
      <c r="Q499">
        <f>IF(ISBLANK('Data Entry'!$Q$499), "", 'Data Entry'!$Q$499)</f>
      </c>
      <c r="R499">
        <f>IF(ISBLANK('Data Entry'!$R$499), "", 'Data Entry'!$R$499)</f>
      </c>
      <c r="S499">
        <f>IF(ISBLANK('Data Entry'!$S$499), "", 'Data Entry'!$S$499)</f>
      </c>
      <c r="T499">
        <f>IF(ISBLANK('Data Entry'!$T$499), "", 'Data Entry'!$T$499)</f>
      </c>
      <c r="U499">
        <f>IF(ISBLANK('Data Entry'!$U$499), "", 'Data Entry'!$U$499)</f>
      </c>
      <c r="V499">
        <f>IF(ISBLANK('Data Entry'!$V$499), "", 'Data Entry'!$V$499)</f>
      </c>
      <c r="W499">
        <f>IF(ISBLANK('Data Entry'!$W$499), "", 'Data Entry'!$W$499)</f>
      </c>
      <c r="X499">
        <f>IF(ISBLANK('Data Entry'!$X$499), "", 'Data Entry'!$X$499)</f>
      </c>
      <c r="Y499">
        <f>IF(ISBLANK('Data Entry'!$Y$499), "", 'Data Entry'!$Y$499)</f>
      </c>
      <c r="Z499">
        <f>IF(ISBLANK('Data Entry'!$Z$499), "", 'Data Entry'!$Z$499)</f>
      </c>
      <c r="AA499">
        <f>IF(ISBLANK('Data Entry'!$[$499), "", 'Data Entry'!$[$499)</f>
      </c>
      <c r="AB499">
        <f>IF(ISBLANK('Data Entry'!$\$499), "", 'Data Entry'!$\$499)</f>
      </c>
      <c r="AC499">
        <f>IF(ISBLANK('Data Entry'!$]$499), "", 'Data Entry'!$]$499)</f>
      </c>
      <c r="AD499">
        <f>IF(ISBLANK('Data Entry'!$^$499), "", 'Data Entry'!$^$499)</f>
      </c>
      <c r="AE499">
        <f>IF(ISBLANK('Data Entry'!$_$499), "", 'Data Entry'!$_$499)</f>
      </c>
      <c r="AF499">
        <f>IF(ISBLANK('Data Entry'!$`$499), "", 'Data Entry'!$`$499)</f>
      </c>
      <c r="AG499">
        <f>IF(ISBLANK('Data Entry'!$a$499), "", 'Data Entry'!$a$499)</f>
      </c>
      <c r="AH499">
        <f>IF(ISBLANK('Data Entry'!$b$499), "", 'Data Entry'!$b$499)</f>
      </c>
      <c r="AI499">
        <f>IF(ISBLANK('Data Entry'!$c$499), "", 'Data Entry'!$c$499)</f>
      </c>
      <c r="AJ499">
        <f>IF(ISBLANK('Data Entry'!$d$499), "", 'Data Entry'!$d$499)</f>
      </c>
      <c r="AK499">
        <f>IF(ISBLANK('Data Entry'!$e$499), "", 'Data Entry'!$e$499)</f>
      </c>
      <c r="AL499">
        <f>IF(ISBLANK('Data Entry'!$f$499), "", 'Data Entry'!$f$499)</f>
      </c>
      <c r="AM499">
        <f>IF(ISBLANK('Data Entry'!$g$499), "", 'Data Entry'!$g$499)</f>
      </c>
      <c r="AN499">
        <f>IF(ISBLANK('Data Entry'!$h$499), "", 'Data Entry'!$h$499)</f>
      </c>
      <c r="AO499">
        <f>IF(ISBLANK('Data Entry'!$i$499), "", 'Data Entry'!$i$499)</f>
      </c>
      <c r="AP499">
        <f>IF(ISBLANK('Data Entry'!$j$499), "", 'Data Entry'!$j$499)</f>
      </c>
      <c r="AQ499">
        <f>IF(ISBLANK('Data Entry'!$k$499), "", 'Data Entry'!$k$499)</f>
      </c>
      <c r="AR499">
        <f>IF(ISBLANK('Data Entry'!$l$499), "", 'Data Entry'!$l$499)</f>
      </c>
      <c r="AS499">
        <f>IF(ISBLANK('Data Entry'!$m$499), "", 'Data Entry'!$m$499)</f>
      </c>
      <c r="AT499">
        <f>IF(ISBLANK('Data Entry'!$n$499), "", 'Data Entry'!$n$499)</f>
      </c>
      <c r="AU499">
        <f>IF(ISBLANK('Data Entry'!$o$499), "", 'Data Entry'!$o$499)</f>
      </c>
      <c r="AV499">
        <f>IF(ISBLANK('Data Entry'!$p$499), "", 'Data Entry'!$p$499)</f>
      </c>
      <c r="AW499">
        <f>IF(ISBLANK('Data Entry'!$q$499), "", 'Data Entry'!$q$499)</f>
      </c>
      <c r="AX499">
        <f>IF(ISBLANK('Data Entry'!$r$499), "", 'Data Entry'!$r$499)</f>
      </c>
      <c r="AY499">
        <f>IF(ISBLANK('Data Entry'!$s$499), "", 'Data Entry'!$s$499)</f>
      </c>
      <c r="AZ499">
        <f>IF(ISBLANK('Data Entry'!$t$499), "", 'Data Entry'!$t$499)</f>
      </c>
      <c r="BA499">
        <f>IF(ISBLANK('Data Entry'!$u$499), "", 'Data Entry'!$u$499)</f>
      </c>
      <c r="BB499">
        <f>IF(ISBLANK('Data Entry'!$v$499), "", 'Data Entry'!$v$499)</f>
      </c>
      <c r="BC499">
        <f>IF(ISBLANK('Data Entry'!$w$499), "", 'Data Entry'!$w$499)</f>
      </c>
      <c r="BD499">
        <f>IF(ISBLANK('Data Entry'!$x$499), "", 'Data Entry'!$x$499)</f>
      </c>
      <c r="BE499">
        <f>IF(ISBLANK('Data Entry'!$y$499), "", 'Data Entry'!$y$499)</f>
      </c>
      <c r="BF499">
        <f>IF(ISBLANK('Data Entry'!$z$499), "", 'Data Entry'!$z$499)</f>
      </c>
      <c r="BG499">
        <f>IF(ISBLANK('Data Entry'!${$499), "", 'Data Entry'!${$499)</f>
      </c>
      <c r="BH499">
        <f>IF(ISBLANK('Data Entry'!$|$499), "", 'Data Entry'!$|$499)</f>
      </c>
      <c r="BI499">
        <f>IF(ISBLANK('Data Entry'!$}$499), "", 'Data Entry'!$}$499)</f>
      </c>
      <c r="BJ499">
        <f>IF(ISBLANK('Data Entry'!$~$499), "", 'Data Entry'!$~$499)</f>
      </c>
      <c r="BK499">
        <f>IF(ISBLANK('Data Entry'!$$499), "", 'Data Entry'!$$499)</f>
      </c>
      <c r="BL499">
        <f>IF(ISBLANK('Data Entry'!$$499), "", 'Data Entry'!$$499)</f>
      </c>
      <c r="BM499">
        <f>IF(ISBLANK('Data Entry'!$$499), "", 'Data Entry'!$$499)</f>
      </c>
      <c r="BN499">
        <f>IF(ISBLANK('Data Entry'!$$499), "", 'Data Entry'!$$499)</f>
      </c>
      <c r="BO499">
        <f>IF(ISBLANK('Data Entry'!$$499), "", 'Data Entry'!$$499)</f>
      </c>
      <c r="BP499">
        <f>IF(ISBLANK('Data Entry'!$$499), "", 'Data Entry'!$$499)</f>
      </c>
      <c r="BQ499">
        <f>IF(ISBLANK('Data Entry'!$$499), "", 'Data Entry'!$$499)</f>
      </c>
      <c r="BR499">
        <f>IF(ISBLANK('Data Entry'!$$499), "", 'Data Entry'!$$499)</f>
      </c>
      <c r="BS499">
        <f>IF(ISBLANK('Data Entry'!$$499), "", 'Data Entry'!$$499)</f>
      </c>
      <c r="BT499">
        <f>IF(ISBLANK('Data Entry'!$$499), "", 'Data Entry'!$$499)</f>
      </c>
      <c r="BU499">
        <f>IF(ISBLANK('Data Entry'!$$499), "", 'Data Entry'!$$499)</f>
      </c>
      <c r="BV499">
        <f>IF(ISBLANK('Data Entry'!$$499), "", 'Data Entry'!$$499)</f>
      </c>
      <c r="BW499">
        <f>IF(ISBLANK('Data Entry'!$$499), "", 'Data Entry'!$$499)</f>
      </c>
      <c r="BX499">
        <f>IF(ISBLANK('Data Entry'!$$499), "", 'Data Entry'!$$499)</f>
      </c>
      <c r="BY499">
        <f>IF(ISBLANK('Data Entry'!$$499), "", 'Data Entry'!$$499)</f>
      </c>
      <c r="BZ499">
        <f>IF(ISBLANK('Data Entry'!$$499), "", 'Data Entry'!$$499)</f>
      </c>
      <c r="CA499">
        <f>IF(ISBLANK('Data Entry'!$$499), "", 'Data Entry'!$$499)</f>
      </c>
      <c r="CB499">
        <f>IF(ISBLANK('Data Entry'!$$499), "", 'Data Entry'!$$499)</f>
      </c>
      <c r="CC499">
        <f>IF(ISBLANK('Data Entry'!$$499), "", 'Data Entry'!$$499)</f>
      </c>
      <c r="CD499">
        <f>IF(ISBLANK('Data Entry'!$$499), "", 'Data Entry'!$$499)</f>
      </c>
      <c r="CE499">
        <f>IF(ISBLANK('Data Entry'!$$499), "", 'Data Entry'!$$499)</f>
      </c>
      <c r="CF499">
        <f>IF(ISBLANK('Data Entry'!$$499), "", 'Data Entry'!$$499)</f>
      </c>
      <c r="CG499">
        <f>IF(ISBLANK('Data Entry'!$$499), "", 'Data Entry'!$$499)</f>
      </c>
      <c r="CH499">
        <f>IF(ISBLANK('Data Entry'!$$499), "", 'Data Entry'!$$499)</f>
      </c>
      <c r="CI499">
        <f>IF(ISBLANK('Data Entry'!$$499), "", 'Data Entry'!$$499)</f>
      </c>
      <c r="CJ499">
        <f>IF(ISBLANK('Data Entry'!$$499), "", 'Data Entry'!$$499)</f>
      </c>
      <c r="CK499">
        <f>IF(ISBLANK('Data Entry'!$$499), "", 'Data Entry'!$$499)</f>
      </c>
      <c r="CL499">
        <f>IF(ISBLANK('Data Entry'!$$499), "", 'Data Entry'!$$499)</f>
      </c>
      <c r="CM499">
        <f>IF(ISBLANK('Data Entry'!$$499), "", 'Data Entry'!$$499)</f>
      </c>
      <c r="CN499">
        <f>IF(ISBLANK('Data Entry'!$$499), "", 'Data Entry'!$$499)</f>
      </c>
      <c r="CO499">
        <f>IF(ISBLANK('Data Entry'!$$499), "", 'Data Entry'!$$499)</f>
      </c>
      <c r="CP499">
        <f>IF(ISBLANK('Data Entry'!$$499), "", 'Data Entry'!$$499)</f>
      </c>
      <c r="CQ499">
        <f>IF(ISBLANK('Data Entry'!$$499), "", 'Data Entry'!$$499)</f>
      </c>
      <c r="CR499">
        <f>IF(ISBLANK('Data Entry'!$ $499), "", 'Data Entry'!$ $499)</f>
      </c>
      <c r="CS499">
        <f>IF(ISBLANK('Data Entry'!$¡$499), "", 'Data Entry'!$¡$499)</f>
      </c>
      <c r="CT499">
        <f>IF(ISBLANK('Data Entry'!$¢$499), "", 'Data Entry'!$¢$499)</f>
      </c>
      <c r="CU499">
        <f>IF(ISBLANK('Data Entry'!$£$499), "", 'Data Entry'!$£$499)</f>
      </c>
      <c r="CV499">
        <f>IF(ISBLANK('Data Entry'!$¤$499), "", 'Data Entry'!$¤$499)</f>
      </c>
      <c r="CW499">
        <f>IF(ISBLANK('Data Entry'!$¥$499), "", 'Data Entry'!$¥$499)</f>
      </c>
      <c r="CX499">
        <f>IF(ISBLANK('Data Entry'!$¦$499), "", 'Data Entry'!$¦$499)</f>
      </c>
      <c r="CY499">
        <f>IF(ISBLANK('Data Entry'!$§$499), "", 'Data Entry'!$§$499)</f>
      </c>
      <c r="CZ499">
        <f>IF(ISBLANK('Data Entry'!$¨$499), "", 'Data Entry'!$¨$499)</f>
      </c>
      <c r="DA499">
        <f>IF(ISBLANK('Data Entry'!$©$499), "", 'Data Entry'!$©$499)</f>
      </c>
      <c r="DB499">
        <f>IF(ISBLANK('Data Entry'!$ª$499), "", 'Data Entry'!$ª$499)</f>
      </c>
      <c r="DC499">
        <f>IF(ISBLANK('Data Entry'!$«$499), "", 'Data Entry'!$«$499)</f>
      </c>
      <c r="DD499">
        <f>IF(ISBLANK('Data Entry'!$¬$499), "", 'Data Entry'!$¬$499)</f>
      </c>
      <c r="DE499">
        <f>IF(ISBLANK('Data Entry'!$­$499), "", 'Data Entry'!$­$499)</f>
      </c>
      <c r="DF499">
        <f>IF(ISBLANK('Data Entry'!$®$499), "", 'Data Entry'!$®$499)</f>
      </c>
      <c r="DG499">
        <f>IF(ISBLANK('Data Entry'!$¯$499), "", 'Data Entry'!$¯$499)</f>
      </c>
      <c r="DH499">
        <f>IF(ISBLANK('Data Entry'!$°$499), "", 'Data Entry'!$°$499)</f>
      </c>
      <c r="DI499">
        <f>IF(ISBLANK('Data Entry'!$±$499), "", 'Data Entry'!$±$499)</f>
      </c>
      <c r="DJ499">
        <f>IF(ISBLANK('Data Entry'!$²$499), "", 'Data Entry'!$²$499)</f>
      </c>
      <c r="DK499">
        <f>IF(ISBLANK('Data Entry'!$³$499), "", 'Data Entry'!$³$499)</f>
      </c>
      <c r="DL499">
        <f>IF(ISBLANK('Data Entry'!$´$499), "", 'Data Entry'!$´$499)</f>
      </c>
      <c r="DM499">
        <f>IF(ISBLANK('Data Entry'!$µ$499), "", 'Data Entry'!$µ$499)</f>
      </c>
      <c r="DN499">
        <f>IF(ISBLANK('Data Entry'!$¶$499), "", 'Data Entry'!$¶$499)</f>
      </c>
      <c r="DO499">
        <f>IF(ISBLANK('Data Entry'!$·$499), "", 'Data Entry'!$·$499)</f>
      </c>
      <c r="DP499">
        <f>IF(ISBLANK('Data Entry'!$¸$499), "", 'Data Entry'!$¸$499)</f>
      </c>
      <c r="DQ499">
        <f>IF(ISBLANK('Data Entry'!$¹$499), "", 'Data Entry'!$¹$499)</f>
      </c>
      <c r="DR499">
        <f>IF(ISBLANK('Data Entry'!$º$499), "", 'Data Entry'!$º$499)</f>
      </c>
      <c r="DS499">
        <f>IF(ISBLANK('Data Entry'!$»$499), "", 'Data Entry'!$»$499)</f>
      </c>
      <c r="DT499">
        <f>IF(ISBLANK('Data Entry'!$¼$499), "", 'Data Entry'!$¼$499)</f>
      </c>
      <c r="DU499">
        <f>IF(ISBLANK('Data Entry'!$½$499), "", 'Data Entry'!$½$499)</f>
      </c>
      <c r="DV499">
        <f>IF(ISBLANK('Data Entry'!$¾$499), "", 'Data Entry'!$¾$499)</f>
      </c>
      <c r="DW499">
        <f>IF(ISBLANK('Data Entry'!$¿$499), "", 'Data Entry'!$¿$499)</f>
      </c>
      <c r="DX499">
        <f>IF(ISBLANK('Data Entry'!$À$499), "", 'Data Entry'!$À$499)</f>
      </c>
      <c r="DY499">
        <f>IF(ISBLANK('Data Entry'!$Á$499), "", 'Data Entry'!$Á$499)</f>
      </c>
      <c r="DZ499">
        <f>IF(ISBLANK('Data Entry'!$Â$499), "", 'Data Entry'!$Â$499)</f>
      </c>
      <c r="EA499">
        <f>IF(ISBLANK('Data Entry'!$Ã$499), "", 'Data Entry'!$Ã$499)</f>
      </c>
      <c r="EB499">
        <f>IF(ISBLANK('Data Entry'!$Ä$499), "", 'Data Entry'!$Ä$499)</f>
      </c>
      <c r="EC499">
        <f>IF(ISBLANK('Data Entry'!$Å$499), "", 'Data Entry'!$Å$499)</f>
      </c>
      <c r="ED499">
        <f>IF(ISBLANK('Data Entry'!$Æ$499), "", 'Data Entry'!$Æ$499)</f>
      </c>
      <c r="EE499">
        <f>IF(ISBLANK('Data Entry'!$Ç$499), "", 'Data Entry'!$Ç$499)</f>
      </c>
      <c r="EF499">
        <f>IF(ISBLANK('Data Entry'!$È$499), "", 'Data Entry'!$È$499)</f>
      </c>
      <c r="EG499">
        <f>IF(ISBLANK('Data Entry'!$É$499), "", 'Data Entry'!$É$499)</f>
      </c>
      <c r="EH499">
        <f>IF(ISBLANK('Data Entry'!$Ê$499), "", 'Data Entry'!$Ê$499)</f>
      </c>
      <c r="EI499">
        <f>IF(ISBLANK('Data Entry'!$Ë$499), "", 'Data Entry'!$Ë$499)</f>
      </c>
      <c r="EJ499">
        <f>IF(ISBLANK('Data Entry'!$Ì$499), "", 'Data Entry'!$Ì$499)</f>
      </c>
      <c r="EK499">
        <f>IF(ISBLANK('Data Entry'!$Í$499), "", 'Data Entry'!$Í$499)</f>
      </c>
      <c r="EL499">
        <f>IF(ISBLANK('Data Entry'!$Î$499), "", 'Data Entry'!$Î$499)</f>
      </c>
      <c r="EM499">
        <f>IF(ISBLANK('Data Entry'!$Ï$499), "", 'Data Entry'!$Ï$499)</f>
      </c>
      <c r="EN499">
        <f>IF(ISBLANK('Data Entry'!$Ð$499), "", 'Data Entry'!$Ð$499)</f>
      </c>
      <c r="EO499">
        <f>IF(ISBLANK('Data Entry'!$Ñ$499), "", 'Data Entry'!$Ñ$499)</f>
      </c>
      <c r="EP499">
        <f>IF(ISBLANK('Data Entry'!$Ò$499), "", 'Data Entry'!$Ò$499)</f>
      </c>
      <c r="EQ499">
        <f>IF(ISBLANK('Data Entry'!$Ó$499), "", 'Data Entry'!$Ó$499)</f>
      </c>
      <c r="ER499">
        <f>IF(ISBLANK('Data Entry'!$Ô$499), "", 'Data Entry'!$Ô$499)</f>
      </c>
      <c r="ES499">
        <f>IF(ISBLANK('Data Entry'!$Õ$499), "", 'Data Entry'!$Õ$499)</f>
      </c>
      <c r="ET499">
        <f>IF(ISBLANK('Data Entry'!$Ö$499), "", 'Data Entry'!$Ö$499)</f>
      </c>
      <c r="EU499">
        <f>IF(ISBLANK('Data Entry'!$×$499), "", 'Data Entry'!$×$499)</f>
      </c>
      <c r="EV499">
        <f>IF(ISBLANK('Data Entry'!$Ø$499), "", 'Data Entry'!$Ø$499)</f>
      </c>
      <c r="EW499">
        <f>IF(ISBLANK('Data Entry'!$Ù$499), "", 'Data Entry'!$Ù$499)</f>
      </c>
      <c r="EX499">
        <f>IF(ISBLANK('Data Entry'!$Ú$499), "", 'Data Entry'!$Ú$499)</f>
      </c>
      <c r="EY499">
        <f>IF(ISBLANK('Data Entry'!$Û$499), "", 'Data Entry'!$Û$499)</f>
      </c>
      <c r="EZ499">
        <f>IF(ISBLANK('Data Entry'!$Ü$499), "", 'Data Entry'!$Ü$499)</f>
      </c>
      <c r="FA499">
        <f>IF(ISBLANK('Data Entry'!$Ý$499), "", 'Data Entry'!$Ý$499)</f>
      </c>
      <c r="FB499">
        <f>IF(ISBLANK('Data Entry'!$Þ$499), "", 'Data Entry'!$Þ$499)</f>
      </c>
      <c r="FC499">
        <f>IF(ISBLANK('Data Entry'!$ß$499), "", 'Data Entry'!$ß$499)</f>
      </c>
      <c r="FD499">
        <f>IF(ISBLANK('Data Entry'!$à$499), "", 'Data Entry'!$à$499)</f>
      </c>
      <c r="FE499">
        <f>IF(ISBLANK('Data Entry'!$á$499), "", 'Data Entry'!$á$499)</f>
      </c>
      <c r="FF499">
        <f>IF(ISBLANK('Data Entry'!$â$499), "", 'Data Entry'!$â$499)</f>
      </c>
      <c r="FG499">
        <f>IF(ISBLANK('Data Entry'!$ã$499), "", 'Data Entry'!$ã$499)</f>
      </c>
      <c r="FH499">
        <f>IF(ISBLANK('Data Entry'!$ä$499), "", 'Data Entry'!$ä$499)</f>
      </c>
      <c r="FI499">
        <f>IF(ISBLANK('Data Entry'!$å$499), "", 'Data Entry'!$å$499)</f>
      </c>
      <c r="FJ499">
        <f>IF(ISBLANK('Data Entry'!$æ$499), "", 'Data Entry'!$æ$499)</f>
      </c>
      <c r="FK499">
        <f>IF(ISBLANK('Data Entry'!$ç$499), "", 'Data Entry'!$ç$499)</f>
      </c>
      <c r="FL499">
        <f>IF(ISBLANK('Data Entry'!$è$499), "", 'Data Entry'!$è$499)</f>
      </c>
      <c r="FM499">
        <f>IF(ISBLANK('Data Entry'!$é$499), "", 'Data Entry'!$é$499)</f>
      </c>
      <c r="FN499">
        <f>IF(ISBLANK('Data Entry'!$ê$499), "", 'Data Entry'!$ê$499)</f>
      </c>
      <c r="FO499">
        <f>IF(ISBLANK('Data Entry'!$ë$499), "", 'Data Entry'!$ë$499)</f>
      </c>
      <c r="FP499">
        <f>IF(ISBLANK('Data Entry'!$ì$499), "", 'Data Entry'!$ì$499)</f>
      </c>
      <c r="FQ499">
        <f>IF(ISBLANK('Data Entry'!$í$499), "", 'Data Entry'!$í$499)</f>
      </c>
      <c r="FR499">
        <f>IF(ISBLANK('Data Entry'!$î$499), "", 'Data Entry'!$î$499)</f>
      </c>
      <c r="FS499">
        <f>IF(ISBLANK('Data Entry'!$ï$499), "", 'Data Entry'!$ï$499)</f>
      </c>
      <c r="FT499">
        <f>IF(ISBLANK('Data Entry'!$ð$499), "", 'Data Entry'!$ð$499)</f>
      </c>
      <c r="FU499">
        <f>IF(ISBLANK('Data Entry'!$ñ$499), "", 'Data Entry'!$ñ$499)</f>
      </c>
      <c r="FV499">
        <f>IF(ISBLANK('Data Entry'!$ò$499), "", 'Data Entry'!$ò$499)</f>
      </c>
      <c r="FW499">
        <f>IF(ISBLANK('Data Entry'!$ó$499), "", 'Data Entry'!$ó$499)</f>
      </c>
      <c r="FX499">
        <f>IF(ISBLANK('Data Entry'!$ô$499), "", 'Data Entry'!$ô$499)</f>
      </c>
      <c r="FY499">
        <f>IF(ISBLANK('Data Entry'!$õ$499), "", 'Data Entry'!$õ$499)</f>
      </c>
      <c r="FZ499">
        <f>IF(ISBLANK('Data Entry'!$ö$499), "", 'Data Entry'!$ö$499)</f>
      </c>
      <c r="GA499">
        <f>IF(ISBLANK('Data Entry'!$÷$499), "", 'Data Entry'!$÷$499)</f>
      </c>
      <c r="GB499">
        <f>IF(ISBLANK('Data Entry'!$ø$499), "", 'Data Entry'!$ø$499)</f>
      </c>
      <c r="GC499">
        <f>IF(ISBLANK('Data Entry'!$ù$499), "", 'Data Entry'!$ù$499)</f>
      </c>
      <c r="GD499">
        <f>IF(ISBLANK('Data Entry'!$ú$499), "", 'Data Entry'!$ú$499)</f>
      </c>
      <c r="GE499">
        <f>IF(ISBLANK('Data Entry'!$û$499), "", 'Data Entry'!$û$499)</f>
      </c>
      <c r="GF499">
        <f>IF(ISBLANK('Data Entry'!$ü$499), "", 'Data Entry'!$ü$499)</f>
      </c>
      <c r="GG499">
        <f>IF(ISBLANK('Data Entry'!$ý$499), "", 'Data Entry'!$ý$499)</f>
      </c>
      <c r="GH499">
        <f>IF(ISBLANK('Data Entry'!$þ$499), "", 'Data Entry'!$þ$499)</f>
      </c>
      <c r="GI499">
        <f>IF(ISBLANK('Data Entry'!$ÿ$499), "", 'Data Entry'!$ÿ$499)</f>
      </c>
      <c r="GJ499">
        <f>IF(ISBLANK('Data Entry'!$Ā$499), "", 'Data Entry'!$Ā$499)</f>
      </c>
      <c r="GK499">
        <f>IF(ISBLANK('Data Entry'!$ā$499), "", 'Data Entry'!$ā$499)</f>
      </c>
      <c r="GL499">
        <f>IF(ISBLANK('Data Entry'!$Ă$499), "", 'Data Entry'!$Ă$499)</f>
      </c>
      <c r="GM499">
        <f>IF(ISBLANK('Data Entry'!$ă$499), "", 'Data Entry'!$ă$499)</f>
      </c>
      <c r="GN499">
        <f>IF(ISBLANK('Data Entry'!$Ą$499), "", 'Data Entry'!$Ą$499)</f>
      </c>
      <c r="GO499">
        <f>IF(ISBLANK('Data Entry'!$ą$499), "", 'Data Entry'!$ą$499)</f>
      </c>
      <c r="GP499">
        <f>IF(ISBLANK('Data Entry'!$Ć$499), "", 'Data Entry'!$Ć$499)</f>
      </c>
      <c r="GQ499">
        <f>IF(ISBLANK('Data Entry'!$ć$499), "", 'Data Entry'!$ć$499)</f>
      </c>
      <c r="GR499">
        <f>IF(ISBLANK('Data Entry'!$Ĉ$499), "", 'Data Entry'!$Ĉ$499)</f>
      </c>
      <c r="GS499">
        <f>IF(ISBLANK('Data Entry'!$ĉ$499), "", 'Data Entry'!$ĉ$499)</f>
      </c>
      <c r="GT499">
        <f>IF(ISBLANK('Data Entry'!$Ċ$499), "", 'Data Entry'!$Ċ$499)</f>
      </c>
      <c r="GU499">
        <f>IF(ISBLANK('Data Entry'!$ċ$499), "", 'Data Entry'!$ċ$499)</f>
      </c>
      <c r="GV499">
        <f>IF(ISBLANK('Data Entry'!$Č$499), "", 'Data Entry'!$Č$499)</f>
      </c>
      <c r="GW499">
        <f>IF(ISBLANK('Data Entry'!$č$499), "", 'Data Entry'!$č$499)</f>
      </c>
      <c r="GX499">
        <f>IF(ISBLANK('Data Entry'!$Ď$499), "", 'Data Entry'!$Ď$499)</f>
      </c>
      <c r="GY499">
        <f>IF(ISBLANK('Data Entry'!$ď$499), "", 'Data Entry'!$ď$499)</f>
      </c>
      <c r="GZ499">
        <f>IF(ISBLANK('Data Entry'!$Đ$499), "", 'Data Entry'!$Đ$499)</f>
      </c>
      <c r="HA499">
        <f>IF(ISBLANK('Data Entry'!$đ$499), "", 'Data Entry'!$đ$499)</f>
      </c>
      <c r="HB499">
        <f>IF(ISBLANK('Data Entry'!$Ē$499), "", 'Data Entry'!$Ē$499)</f>
      </c>
      <c r="HC499">
        <f>IF(ISBLANK('Data Entry'!$ē$499), "", 'Data Entry'!$ē$499)</f>
      </c>
      <c r="HD499">
        <f>IF(ISBLANK('Data Entry'!$Ĕ$499), "", 'Data Entry'!$Ĕ$499)</f>
      </c>
      <c r="HE499">
        <f>IF(ISBLANK('Data Entry'!$ĕ$499), "", 'Data Entry'!$ĕ$499)</f>
      </c>
      <c r="HF499">
        <f>IF(ISBLANK('Data Entry'!$Ė$499), "", 'Data Entry'!$Ė$499)</f>
      </c>
      <c r="HG499">
        <f>IF(ISBLANK('Data Entry'!$ė$499), "", 'Data Entry'!$ė$499)</f>
      </c>
      <c r="HH499">
        <f>IF(ISBLANK('Data Entry'!$Ę$499), "", 'Data Entry'!$Ę$499)</f>
      </c>
      <c r="HI499">
        <f>IF(ISBLANK('Data Entry'!$ę$499), "", 'Data Entry'!$ę$499)</f>
      </c>
      <c r="HJ499">
        <f>IF(ISBLANK('Data Entry'!$Ě$499), "", 'Data Entry'!$Ě$499)</f>
      </c>
      <c r="HK499">
        <f>IF(ISBLANK('Data Entry'!$ě$499), "", 'Data Entry'!$ě$499)</f>
      </c>
      <c r="HL499">
        <f>IF(ISBLANK('Data Entry'!$Ĝ$499), "", 'Data Entry'!$Ĝ$499)</f>
      </c>
      <c r="HM499">
        <f>IF(ISBLANK('Data Entry'!$ĝ$499), "", 'Data Entry'!$ĝ$499)</f>
      </c>
      <c r="HN499">
        <f>IF(ISBLANK('Data Entry'!$Ğ$499), "", 'Data Entry'!$Ğ$499)</f>
      </c>
      <c r="HO499">
        <f>IF(ISBLANK('Data Entry'!$ğ$499), "", 'Data Entry'!$ğ$499)</f>
      </c>
      <c r="HP499">
        <f>IF(ISBLANK('Data Entry'!$Ġ$499), "", 'Data Entry'!$Ġ$499)</f>
      </c>
      <c r="HQ499">
        <f>IF(ISBLANK('Data Entry'!$ġ$499), "", 'Data Entry'!$ġ$499)</f>
      </c>
      <c r="HR499">
        <f>IF(ISBLANK('Data Entry'!$Ģ$499), "", 'Data Entry'!$Ģ$499)</f>
      </c>
      <c r="HS499">
        <f>IF(ISBLANK('Data Entry'!$ģ$499), "", 'Data Entry'!$ģ$499)</f>
      </c>
      <c r="HT499">
        <f>IF(ISBLANK('Data Entry'!$Ĥ$499), "", 'Data Entry'!$Ĥ$499)</f>
      </c>
      <c r="HU499">
        <f>IF(ISBLANK('Data Entry'!$ĥ$499), "", 'Data Entry'!$ĥ$499)</f>
      </c>
      <c r="HV499">
        <f>IF(ISBLANK('Data Entry'!$Ħ$499), "", 'Data Entry'!$Ħ$499)</f>
      </c>
      <c r="HW499">
        <f>IF(ISBLANK('Data Entry'!$ħ$499), "", 'Data Entry'!$ħ$499)</f>
      </c>
      <c r="HX499">
        <f>IF(ISBLANK('Data Entry'!$Ĩ$499), "", 'Data Entry'!$Ĩ$499)</f>
      </c>
      <c r="HY499">
        <f>IF(ISBLANK('Data Entry'!$ĩ$499), "", 'Data Entry'!$ĩ$499)</f>
      </c>
      <c r="HZ499">
        <f>IF(ISBLANK('Data Entry'!$Ī$499), "", 'Data Entry'!$Ī$499)</f>
      </c>
      <c r="IA499">
        <f>IF(ISBLANK('Data Entry'!$ī$499), "", 'Data Entry'!$ī$499)</f>
      </c>
      <c r="IB499">
        <f>IF(ISBLANK('Data Entry'!$Ĭ$499), "", 'Data Entry'!$Ĭ$499)</f>
      </c>
      <c r="IC499">
        <f>IF(ISBLANK('Data Entry'!$ĭ$499), "", 'Data Entry'!$ĭ$499)</f>
      </c>
      <c r="ID499">
        <f>IF(ISBLANK('Data Entry'!$Į$499), "", 'Data Entry'!$Į$499)</f>
      </c>
      <c r="IE499">
        <f>IF(ISBLANK('Data Entry'!$į$499), "", 'Data Entry'!$į$499)</f>
      </c>
      <c r="IF499">
        <f>IF(ISBLANK('Data Entry'!$İ$499), "", 'Data Entry'!$İ$499)</f>
      </c>
      <c r="IG499">
        <f>IF(ISBLANK('Data Entry'!$ı$499), "", 'Data Entry'!$ı$499)</f>
      </c>
      <c r="IH499">
        <f>IF(ISBLANK('Data Entry'!$Ĳ$499), "", 'Data Entry'!$Ĳ$499)</f>
      </c>
      <c r="II499">
        <f>IF(ISBLANK('Data Entry'!$ĳ$499), "", 'Data Entry'!$ĳ$499)</f>
      </c>
      <c r="IJ499">
        <f>IF(ISBLANK('Data Entry'!$Ĵ$499), "", 'Data Entry'!$Ĵ$499)</f>
      </c>
      <c r="IK499">
        <f>IF(ISBLANK('Data Entry'!$ĵ$499), "", 'Data Entry'!$ĵ$499)</f>
      </c>
      <c r="IL499">
        <f>IF(ISBLANK('Data Entry'!$Ķ$499), "", 'Data Entry'!$Ķ$499)</f>
      </c>
      <c r="IM499">
        <f>IF(ISBLANK('Data Entry'!$ķ$499), "", 'Data Entry'!$ķ$499)</f>
      </c>
      <c r="IN499">
        <f>IF(ISBLANK('Data Entry'!$ĸ$499), "", 'Data Entry'!$ĸ$499)</f>
      </c>
      <c r="IO499">
        <f>IF(ISBLANK('Data Entry'!$Ĺ$499), "", 'Data Entry'!$Ĺ$499)</f>
      </c>
      <c r="IP499">
        <f>IF(ISBLANK('Data Entry'!$ĺ$499), "", 'Data Entry'!$ĺ$499)</f>
      </c>
      <c r="IQ499">
        <f>IF(ISBLANK('Data Entry'!$Ļ$499), "", 'Data Entry'!$Ļ$499)</f>
      </c>
      <c r="IR499">
        <f>IF(ISBLANK('Data Entry'!$ļ$499), "", 'Data Entry'!$ļ$499)</f>
      </c>
      <c r="IS499">
        <f>IF(ISBLANK('Data Entry'!$Ľ$499), "", 'Data Entry'!$Ľ$499)</f>
      </c>
      <c r="IT499">
        <f>IF(ISBLANK('Data Entry'!$ľ$499), "", 'Data Entry'!$ľ$499)</f>
      </c>
    </row>
    <row r="500" spans="1:254" x14ac:dyDescent="0.25">
      <c r="A500">
        <f>IF(ISBLANK('Data Entry'!$A$500), "", 'Data Entry'!$A$500)</f>
      </c>
      <c r="B500">
        <f>IF(ISBLANK('Data Entry'!$B$500), "", 'Data Entry'!$B$500)</f>
      </c>
      <c r="C500">
        <f>IF(ISBLANK('Data Entry'!$C$500), "", 'Data Entry'!$C$500)</f>
      </c>
      <c r="D500">
        <f>IF(ISBLANK('Data Entry'!$D$500), "", 'Data Entry'!$D$500)</f>
      </c>
      <c r="E500">
        <f>IF(ISBLANK('Data Entry'!$E$500), "", 'Data Entry'!$E$500)</f>
      </c>
      <c r="F500">
        <f>IF(ISBLANK('Data Entry'!$F$500), "", 'Data Entry'!$F$500)</f>
      </c>
      <c r="G500">
        <f>IF(ISBLANK('Data Entry'!$G$500), "", 'Data Entry'!$G$500)</f>
      </c>
      <c r="H500">
        <f>IF(ISBLANK('Data Entry'!$H$500), "", 'Data Entry'!$H$500)</f>
      </c>
      <c r="I500">
        <f>IF(ISBLANK('Data Entry'!$I$500), "", 'Data Entry'!$I$500)</f>
      </c>
      <c r="J500">
        <f>IF(ISBLANK('Data Entry'!$J$500), "", 'Data Entry'!$J$500)</f>
      </c>
      <c r="K500">
        <f>IF(ISBLANK('Data Entry'!$K$500), "", 'Data Entry'!$K$500)</f>
      </c>
      <c r="L500">
        <f>IF(ISBLANK('Data Entry'!$L$500), "", 'Data Entry'!$L$500)</f>
      </c>
      <c r="M500">
        <f>IF(ISBLANK('Data Entry'!$M$500), "", 'Data Entry'!$M$500)</f>
      </c>
      <c r="N500">
        <f>IF(ISBLANK('Data Entry'!$N$500), "", 'Data Entry'!$N$500)</f>
      </c>
      <c r="O500">
        <f>IF(ISBLANK('Data Entry'!$O$500), "", 'Data Entry'!$O$500)</f>
      </c>
      <c r="P500">
        <f>IF(ISBLANK('Data Entry'!$P$500), "", 'Data Entry'!$P$500)</f>
      </c>
      <c r="Q500">
        <f>IF(ISBLANK('Data Entry'!$Q$500), "", 'Data Entry'!$Q$500)</f>
      </c>
      <c r="R500">
        <f>IF(ISBLANK('Data Entry'!$R$500), "", 'Data Entry'!$R$500)</f>
      </c>
      <c r="S500">
        <f>IF(ISBLANK('Data Entry'!$S$500), "", 'Data Entry'!$S$500)</f>
      </c>
      <c r="T500">
        <f>IF(ISBLANK('Data Entry'!$T$500), "", 'Data Entry'!$T$500)</f>
      </c>
      <c r="U500">
        <f>IF(ISBLANK('Data Entry'!$U$500), "", 'Data Entry'!$U$500)</f>
      </c>
      <c r="V500">
        <f>IF(ISBLANK('Data Entry'!$V$500), "", 'Data Entry'!$V$500)</f>
      </c>
      <c r="W500">
        <f>IF(ISBLANK('Data Entry'!$W$500), "", 'Data Entry'!$W$500)</f>
      </c>
      <c r="X500">
        <f>IF(ISBLANK('Data Entry'!$X$500), "", 'Data Entry'!$X$500)</f>
      </c>
      <c r="Y500">
        <f>IF(ISBLANK('Data Entry'!$Y$500), "", 'Data Entry'!$Y$500)</f>
      </c>
      <c r="Z500">
        <f>IF(ISBLANK('Data Entry'!$Z$500), "", 'Data Entry'!$Z$500)</f>
      </c>
      <c r="AA500">
        <f>IF(ISBLANK('Data Entry'!$[$500), "", 'Data Entry'!$[$500)</f>
      </c>
      <c r="AB500">
        <f>IF(ISBLANK('Data Entry'!$\$500), "", 'Data Entry'!$\$500)</f>
      </c>
      <c r="AC500">
        <f>IF(ISBLANK('Data Entry'!$]$500), "", 'Data Entry'!$]$500)</f>
      </c>
      <c r="AD500">
        <f>IF(ISBLANK('Data Entry'!$^$500), "", 'Data Entry'!$^$500)</f>
      </c>
      <c r="AE500">
        <f>IF(ISBLANK('Data Entry'!$_$500), "", 'Data Entry'!$_$500)</f>
      </c>
      <c r="AF500">
        <f>IF(ISBLANK('Data Entry'!$`$500), "", 'Data Entry'!$`$500)</f>
      </c>
      <c r="AG500">
        <f>IF(ISBLANK('Data Entry'!$a$500), "", 'Data Entry'!$a$500)</f>
      </c>
      <c r="AH500">
        <f>IF(ISBLANK('Data Entry'!$b$500), "", 'Data Entry'!$b$500)</f>
      </c>
      <c r="AI500">
        <f>IF(ISBLANK('Data Entry'!$c$500), "", 'Data Entry'!$c$500)</f>
      </c>
      <c r="AJ500">
        <f>IF(ISBLANK('Data Entry'!$d$500), "", 'Data Entry'!$d$500)</f>
      </c>
      <c r="AK500">
        <f>IF(ISBLANK('Data Entry'!$e$500), "", 'Data Entry'!$e$500)</f>
      </c>
      <c r="AL500">
        <f>IF(ISBLANK('Data Entry'!$f$500), "", 'Data Entry'!$f$500)</f>
      </c>
      <c r="AM500">
        <f>IF(ISBLANK('Data Entry'!$g$500), "", 'Data Entry'!$g$500)</f>
      </c>
      <c r="AN500">
        <f>IF(ISBLANK('Data Entry'!$h$500), "", 'Data Entry'!$h$500)</f>
      </c>
      <c r="AO500">
        <f>IF(ISBLANK('Data Entry'!$i$500), "", 'Data Entry'!$i$500)</f>
      </c>
      <c r="AP500">
        <f>IF(ISBLANK('Data Entry'!$j$500), "", 'Data Entry'!$j$500)</f>
      </c>
      <c r="AQ500">
        <f>IF(ISBLANK('Data Entry'!$k$500), "", 'Data Entry'!$k$500)</f>
      </c>
      <c r="AR500">
        <f>IF(ISBLANK('Data Entry'!$l$500), "", 'Data Entry'!$l$500)</f>
      </c>
      <c r="AS500">
        <f>IF(ISBLANK('Data Entry'!$m$500), "", 'Data Entry'!$m$500)</f>
      </c>
      <c r="AT500">
        <f>IF(ISBLANK('Data Entry'!$n$500), "", 'Data Entry'!$n$500)</f>
      </c>
      <c r="AU500">
        <f>IF(ISBLANK('Data Entry'!$o$500), "", 'Data Entry'!$o$500)</f>
      </c>
      <c r="AV500">
        <f>IF(ISBLANK('Data Entry'!$p$500), "", 'Data Entry'!$p$500)</f>
      </c>
      <c r="AW500">
        <f>IF(ISBLANK('Data Entry'!$q$500), "", 'Data Entry'!$q$500)</f>
      </c>
      <c r="AX500">
        <f>IF(ISBLANK('Data Entry'!$r$500), "", 'Data Entry'!$r$500)</f>
      </c>
      <c r="AY500">
        <f>IF(ISBLANK('Data Entry'!$s$500), "", 'Data Entry'!$s$500)</f>
      </c>
      <c r="AZ500">
        <f>IF(ISBLANK('Data Entry'!$t$500), "", 'Data Entry'!$t$500)</f>
      </c>
      <c r="BA500">
        <f>IF(ISBLANK('Data Entry'!$u$500), "", 'Data Entry'!$u$500)</f>
      </c>
      <c r="BB500">
        <f>IF(ISBLANK('Data Entry'!$v$500), "", 'Data Entry'!$v$500)</f>
      </c>
      <c r="BC500">
        <f>IF(ISBLANK('Data Entry'!$w$500), "", 'Data Entry'!$w$500)</f>
      </c>
      <c r="BD500">
        <f>IF(ISBLANK('Data Entry'!$x$500), "", 'Data Entry'!$x$500)</f>
      </c>
      <c r="BE500">
        <f>IF(ISBLANK('Data Entry'!$y$500), "", 'Data Entry'!$y$500)</f>
      </c>
      <c r="BF500">
        <f>IF(ISBLANK('Data Entry'!$z$500), "", 'Data Entry'!$z$500)</f>
      </c>
      <c r="BG500">
        <f>IF(ISBLANK('Data Entry'!${$500), "", 'Data Entry'!${$500)</f>
      </c>
      <c r="BH500">
        <f>IF(ISBLANK('Data Entry'!$|$500), "", 'Data Entry'!$|$500)</f>
      </c>
      <c r="BI500">
        <f>IF(ISBLANK('Data Entry'!$}$500), "", 'Data Entry'!$}$500)</f>
      </c>
      <c r="BJ500">
        <f>IF(ISBLANK('Data Entry'!$~$500), "", 'Data Entry'!$~$500)</f>
      </c>
      <c r="BK500">
        <f>IF(ISBLANK('Data Entry'!$$500), "", 'Data Entry'!$$500)</f>
      </c>
      <c r="BL500">
        <f>IF(ISBLANK('Data Entry'!$$500), "", 'Data Entry'!$$500)</f>
      </c>
      <c r="BM500">
        <f>IF(ISBLANK('Data Entry'!$$500), "", 'Data Entry'!$$500)</f>
      </c>
      <c r="BN500">
        <f>IF(ISBLANK('Data Entry'!$$500), "", 'Data Entry'!$$500)</f>
      </c>
      <c r="BO500">
        <f>IF(ISBLANK('Data Entry'!$$500), "", 'Data Entry'!$$500)</f>
      </c>
      <c r="BP500">
        <f>IF(ISBLANK('Data Entry'!$$500), "", 'Data Entry'!$$500)</f>
      </c>
      <c r="BQ500">
        <f>IF(ISBLANK('Data Entry'!$$500), "", 'Data Entry'!$$500)</f>
      </c>
      <c r="BR500">
        <f>IF(ISBLANK('Data Entry'!$$500), "", 'Data Entry'!$$500)</f>
      </c>
      <c r="BS500">
        <f>IF(ISBLANK('Data Entry'!$$500), "", 'Data Entry'!$$500)</f>
      </c>
      <c r="BT500">
        <f>IF(ISBLANK('Data Entry'!$$500), "", 'Data Entry'!$$500)</f>
      </c>
      <c r="BU500">
        <f>IF(ISBLANK('Data Entry'!$$500), "", 'Data Entry'!$$500)</f>
      </c>
      <c r="BV500">
        <f>IF(ISBLANK('Data Entry'!$$500), "", 'Data Entry'!$$500)</f>
      </c>
      <c r="BW500">
        <f>IF(ISBLANK('Data Entry'!$$500), "", 'Data Entry'!$$500)</f>
      </c>
      <c r="BX500">
        <f>IF(ISBLANK('Data Entry'!$$500), "", 'Data Entry'!$$500)</f>
      </c>
      <c r="BY500">
        <f>IF(ISBLANK('Data Entry'!$$500), "", 'Data Entry'!$$500)</f>
      </c>
      <c r="BZ500">
        <f>IF(ISBLANK('Data Entry'!$$500), "", 'Data Entry'!$$500)</f>
      </c>
      <c r="CA500">
        <f>IF(ISBLANK('Data Entry'!$$500), "", 'Data Entry'!$$500)</f>
      </c>
      <c r="CB500">
        <f>IF(ISBLANK('Data Entry'!$$500), "", 'Data Entry'!$$500)</f>
      </c>
      <c r="CC500">
        <f>IF(ISBLANK('Data Entry'!$$500), "", 'Data Entry'!$$500)</f>
      </c>
      <c r="CD500">
        <f>IF(ISBLANK('Data Entry'!$$500), "", 'Data Entry'!$$500)</f>
      </c>
      <c r="CE500">
        <f>IF(ISBLANK('Data Entry'!$$500), "", 'Data Entry'!$$500)</f>
      </c>
      <c r="CF500">
        <f>IF(ISBLANK('Data Entry'!$$500), "", 'Data Entry'!$$500)</f>
      </c>
      <c r="CG500">
        <f>IF(ISBLANK('Data Entry'!$$500), "", 'Data Entry'!$$500)</f>
      </c>
      <c r="CH500">
        <f>IF(ISBLANK('Data Entry'!$$500), "", 'Data Entry'!$$500)</f>
      </c>
      <c r="CI500">
        <f>IF(ISBLANK('Data Entry'!$$500), "", 'Data Entry'!$$500)</f>
      </c>
      <c r="CJ500">
        <f>IF(ISBLANK('Data Entry'!$$500), "", 'Data Entry'!$$500)</f>
      </c>
      <c r="CK500">
        <f>IF(ISBLANK('Data Entry'!$$500), "", 'Data Entry'!$$500)</f>
      </c>
      <c r="CL500">
        <f>IF(ISBLANK('Data Entry'!$$500), "", 'Data Entry'!$$500)</f>
      </c>
      <c r="CM500">
        <f>IF(ISBLANK('Data Entry'!$$500), "", 'Data Entry'!$$500)</f>
      </c>
      <c r="CN500">
        <f>IF(ISBLANK('Data Entry'!$$500), "", 'Data Entry'!$$500)</f>
      </c>
      <c r="CO500">
        <f>IF(ISBLANK('Data Entry'!$$500), "", 'Data Entry'!$$500)</f>
      </c>
      <c r="CP500">
        <f>IF(ISBLANK('Data Entry'!$$500), "", 'Data Entry'!$$500)</f>
      </c>
      <c r="CQ500">
        <f>IF(ISBLANK('Data Entry'!$$500), "", 'Data Entry'!$$500)</f>
      </c>
      <c r="CR500">
        <f>IF(ISBLANK('Data Entry'!$ $500), "", 'Data Entry'!$ $500)</f>
      </c>
      <c r="CS500">
        <f>IF(ISBLANK('Data Entry'!$¡$500), "", 'Data Entry'!$¡$500)</f>
      </c>
      <c r="CT500">
        <f>IF(ISBLANK('Data Entry'!$¢$500), "", 'Data Entry'!$¢$500)</f>
      </c>
      <c r="CU500">
        <f>IF(ISBLANK('Data Entry'!$£$500), "", 'Data Entry'!$£$500)</f>
      </c>
      <c r="CV500">
        <f>IF(ISBLANK('Data Entry'!$¤$500), "", 'Data Entry'!$¤$500)</f>
      </c>
      <c r="CW500">
        <f>IF(ISBLANK('Data Entry'!$¥$500), "", 'Data Entry'!$¥$500)</f>
      </c>
      <c r="CX500">
        <f>IF(ISBLANK('Data Entry'!$¦$500), "", 'Data Entry'!$¦$500)</f>
      </c>
      <c r="CY500">
        <f>IF(ISBLANK('Data Entry'!$§$500), "", 'Data Entry'!$§$500)</f>
      </c>
      <c r="CZ500">
        <f>IF(ISBLANK('Data Entry'!$¨$500), "", 'Data Entry'!$¨$500)</f>
      </c>
      <c r="DA500">
        <f>IF(ISBLANK('Data Entry'!$©$500), "", 'Data Entry'!$©$500)</f>
      </c>
      <c r="DB500">
        <f>IF(ISBLANK('Data Entry'!$ª$500), "", 'Data Entry'!$ª$500)</f>
      </c>
      <c r="DC500">
        <f>IF(ISBLANK('Data Entry'!$«$500), "", 'Data Entry'!$«$500)</f>
      </c>
      <c r="DD500">
        <f>IF(ISBLANK('Data Entry'!$¬$500), "", 'Data Entry'!$¬$500)</f>
      </c>
      <c r="DE500">
        <f>IF(ISBLANK('Data Entry'!$­$500), "", 'Data Entry'!$­$500)</f>
      </c>
      <c r="DF500">
        <f>IF(ISBLANK('Data Entry'!$®$500), "", 'Data Entry'!$®$500)</f>
      </c>
      <c r="DG500">
        <f>IF(ISBLANK('Data Entry'!$¯$500), "", 'Data Entry'!$¯$500)</f>
      </c>
      <c r="DH500">
        <f>IF(ISBLANK('Data Entry'!$°$500), "", 'Data Entry'!$°$500)</f>
      </c>
      <c r="DI500">
        <f>IF(ISBLANK('Data Entry'!$±$500), "", 'Data Entry'!$±$500)</f>
      </c>
      <c r="DJ500">
        <f>IF(ISBLANK('Data Entry'!$²$500), "", 'Data Entry'!$²$500)</f>
      </c>
      <c r="DK500">
        <f>IF(ISBLANK('Data Entry'!$³$500), "", 'Data Entry'!$³$500)</f>
      </c>
      <c r="DL500">
        <f>IF(ISBLANK('Data Entry'!$´$500), "", 'Data Entry'!$´$500)</f>
      </c>
      <c r="DM500">
        <f>IF(ISBLANK('Data Entry'!$µ$500), "", 'Data Entry'!$µ$500)</f>
      </c>
      <c r="DN500">
        <f>IF(ISBLANK('Data Entry'!$¶$500), "", 'Data Entry'!$¶$500)</f>
      </c>
      <c r="DO500">
        <f>IF(ISBLANK('Data Entry'!$·$500), "", 'Data Entry'!$·$500)</f>
      </c>
      <c r="DP500">
        <f>IF(ISBLANK('Data Entry'!$¸$500), "", 'Data Entry'!$¸$500)</f>
      </c>
      <c r="DQ500">
        <f>IF(ISBLANK('Data Entry'!$¹$500), "", 'Data Entry'!$¹$500)</f>
      </c>
      <c r="DR500">
        <f>IF(ISBLANK('Data Entry'!$º$500), "", 'Data Entry'!$º$500)</f>
      </c>
      <c r="DS500">
        <f>IF(ISBLANK('Data Entry'!$»$500), "", 'Data Entry'!$»$500)</f>
      </c>
      <c r="DT500">
        <f>IF(ISBLANK('Data Entry'!$¼$500), "", 'Data Entry'!$¼$500)</f>
      </c>
      <c r="DU500">
        <f>IF(ISBLANK('Data Entry'!$½$500), "", 'Data Entry'!$½$500)</f>
      </c>
      <c r="DV500">
        <f>IF(ISBLANK('Data Entry'!$¾$500), "", 'Data Entry'!$¾$500)</f>
      </c>
      <c r="DW500">
        <f>IF(ISBLANK('Data Entry'!$¿$500), "", 'Data Entry'!$¿$500)</f>
      </c>
      <c r="DX500">
        <f>IF(ISBLANK('Data Entry'!$À$500), "", 'Data Entry'!$À$500)</f>
      </c>
      <c r="DY500">
        <f>IF(ISBLANK('Data Entry'!$Á$500), "", 'Data Entry'!$Á$500)</f>
      </c>
      <c r="DZ500">
        <f>IF(ISBLANK('Data Entry'!$Â$500), "", 'Data Entry'!$Â$500)</f>
      </c>
      <c r="EA500">
        <f>IF(ISBLANK('Data Entry'!$Ã$500), "", 'Data Entry'!$Ã$500)</f>
      </c>
      <c r="EB500">
        <f>IF(ISBLANK('Data Entry'!$Ä$500), "", 'Data Entry'!$Ä$500)</f>
      </c>
      <c r="EC500">
        <f>IF(ISBLANK('Data Entry'!$Å$500), "", 'Data Entry'!$Å$500)</f>
      </c>
      <c r="ED500">
        <f>IF(ISBLANK('Data Entry'!$Æ$500), "", 'Data Entry'!$Æ$500)</f>
      </c>
      <c r="EE500">
        <f>IF(ISBLANK('Data Entry'!$Ç$500), "", 'Data Entry'!$Ç$500)</f>
      </c>
      <c r="EF500">
        <f>IF(ISBLANK('Data Entry'!$È$500), "", 'Data Entry'!$È$500)</f>
      </c>
      <c r="EG500">
        <f>IF(ISBLANK('Data Entry'!$É$500), "", 'Data Entry'!$É$500)</f>
      </c>
      <c r="EH500">
        <f>IF(ISBLANK('Data Entry'!$Ê$500), "", 'Data Entry'!$Ê$500)</f>
      </c>
      <c r="EI500">
        <f>IF(ISBLANK('Data Entry'!$Ë$500), "", 'Data Entry'!$Ë$500)</f>
      </c>
      <c r="EJ500">
        <f>IF(ISBLANK('Data Entry'!$Ì$500), "", 'Data Entry'!$Ì$500)</f>
      </c>
      <c r="EK500">
        <f>IF(ISBLANK('Data Entry'!$Í$500), "", 'Data Entry'!$Í$500)</f>
      </c>
      <c r="EL500">
        <f>IF(ISBLANK('Data Entry'!$Î$500), "", 'Data Entry'!$Î$500)</f>
      </c>
      <c r="EM500">
        <f>IF(ISBLANK('Data Entry'!$Ï$500), "", 'Data Entry'!$Ï$500)</f>
      </c>
      <c r="EN500">
        <f>IF(ISBLANK('Data Entry'!$Ð$500), "", 'Data Entry'!$Ð$500)</f>
      </c>
      <c r="EO500">
        <f>IF(ISBLANK('Data Entry'!$Ñ$500), "", 'Data Entry'!$Ñ$500)</f>
      </c>
      <c r="EP500">
        <f>IF(ISBLANK('Data Entry'!$Ò$500), "", 'Data Entry'!$Ò$500)</f>
      </c>
      <c r="EQ500">
        <f>IF(ISBLANK('Data Entry'!$Ó$500), "", 'Data Entry'!$Ó$500)</f>
      </c>
      <c r="ER500">
        <f>IF(ISBLANK('Data Entry'!$Ô$500), "", 'Data Entry'!$Ô$500)</f>
      </c>
      <c r="ES500">
        <f>IF(ISBLANK('Data Entry'!$Õ$500), "", 'Data Entry'!$Õ$500)</f>
      </c>
      <c r="ET500">
        <f>IF(ISBLANK('Data Entry'!$Ö$500), "", 'Data Entry'!$Ö$500)</f>
      </c>
      <c r="EU500">
        <f>IF(ISBLANK('Data Entry'!$×$500), "", 'Data Entry'!$×$500)</f>
      </c>
      <c r="EV500">
        <f>IF(ISBLANK('Data Entry'!$Ø$500), "", 'Data Entry'!$Ø$500)</f>
      </c>
      <c r="EW500">
        <f>IF(ISBLANK('Data Entry'!$Ù$500), "", 'Data Entry'!$Ù$500)</f>
      </c>
      <c r="EX500">
        <f>IF(ISBLANK('Data Entry'!$Ú$500), "", 'Data Entry'!$Ú$500)</f>
      </c>
      <c r="EY500">
        <f>IF(ISBLANK('Data Entry'!$Û$500), "", 'Data Entry'!$Û$500)</f>
      </c>
      <c r="EZ500">
        <f>IF(ISBLANK('Data Entry'!$Ü$500), "", 'Data Entry'!$Ü$500)</f>
      </c>
      <c r="FA500">
        <f>IF(ISBLANK('Data Entry'!$Ý$500), "", 'Data Entry'!$Ý$500)</f>
      </c>
      <c r="FB500">
        <f>IF(ISBLANK('Data Entry'!$Þ$500), "", 'Data Entry'!$Þ$500)</f>
      </c>
      <c r="FC500">
        <f>IF(ISBLANK('Data Entry'!$ß$500), "", 'Data Entry'!$ß$500)</f>
      </c>
      <c r="FD500">
        <f>IF(ISBLANK('Data Entry'!$à$500), "", 'Data Entry'!$à$500)</f>
      </c>
      <c r="FE500">
        <f>IF(ISBLANK('Data Entry'!$á$500), "", 'Data Entry'!$á$500)</f>
      </c>
      <c r="FF500">
        <f>IF(ISBLANK('Data Entry'!$â$500), "", 'Data Entry'!$â$500)</f>
      </c>
      <c r="FG500">
        <f>IF(ISBLANK('Data Entry'!$ã$500), "", 'Data Entry'!$ã$500)</f>
      </c>
      <c r="FH500">
        <f>IF(ISBLANK('Data Entry'!$ä$500), "", 'Data Entry'!$ä$500)</f>
      </c>
      <c r="FI500">
        <f>IF(ISBLANK('Data Entry'!$å$500), "", 'Data Entry'!$å$500)</f>
      </c>
      <c r="FJ500">
        <f>IF(ISBLANK('Data Entry'!$æ$500), "", 'Data Entry'!$æ$500)</f>
      </c>
      <c r="FK500">
        <f>IF(ISBLANK('Data Entry'!$ç$500), "", 'Data Entry'!$ç$500)</f>
      </c>
      <c r="FL500">
        <f>IF(ISBLANK('Data Entry'!$è$500), "", 'Data Entry'!$è$500)</f>
      </c>
      <c r="FM500">
        <f>IF(ISBLANK('Data Entry'!$é$500), "", 'Data Entry'!$é$500)</f>
      </c>
      <c r="FN500">
        <f>IF(ISBLANK('Data Entry'!$ê$500), "", 'Data Entry'!$ê$500)</f>
      </c>
      <c r="FO500">
        <f>IF(ISBLANK('Data Entry'!$ë$500), "", 'Data Entry'!$ë$500)</f>
      </c>
      <c r="FP500">
        <f>IF(ISBLANK('Data Entry'!$ì$500), "", 'Data Entry'!$ì$500)</f>
      </c>
      <c r="FQ500">
        <f>IF(ISBLANK('Data Entry'!$í$500), "", 'Data Entry'!$í$500)</f>
      </c>
      <c r="FR500">
        <f>IF(ISBLANK('Data Entry'!$î$500), "", 'Data Entry'!$î$500)</f>
      </c>
      <c r="FS500">
        <f>IF(ISBLANK('Data Entry'!$ï$500), "", 'Data Entry'!$ï$500)</f>
      </c>
      <c r="FT500">
        <f>IF(ISBLANK('Data Entry'!$ð$500), "", 'Data Entry'!$ð$500)</f>
      </c>
      <c r="FU500">
        <f>IF(ISBLANK('Data Entry'!$ñ$500), "", 'Data Entry'!$ñ$500)</f>
      </c>
      <c r="FV500">
        <f>IF(ISBLANK('Data Entry'!$ò$500), "", 'Data Entry'!$ò$500)</f>
      </c>
      <c r="FW500">
        <f>IF(ISBLANK('Data Entry'!$ó$500), "", 'Data Entry'!$ó$500)</f>
      </c>
      <c r="FX500">
        <f>IF(ISBLANK('Data Entry'!$ô$500), "", 'Data Entry'!$ô$500)</f>
      </c>
      <c r="FY500">
        <f>IF(ISBLANK('Data Entry'!$õ$500), "", 'Data Entry'!$õ$500)</f>
      </c>
      <c r="FZ500">
        <f>IF(ISBLANK('Data Entry'!$ö$500), "", 'Data Entry'!$ö$500)</f>
      </c>
      <c r="GA500">
        <f>IF(ISBLANK('Data Entry'!$÷$500), "", 'Data Entry'!$÷$500)</f>
      </c>
      <c r="GB500">
        <f>IF(ISBLANK('Data Entry'!$ø$500), "", 'Data Entry'!$ø$500)</f>
      </c>
      <c r="GC500">
        <f>IF(ISBLANK('Data Entry'!$ù$500), "", 'Data Entry'!$ù$500)</f>
      </c>
      <c r="GD500">
        <f>IF(ISBLANK('Data Entry'!$ú$500), "", 'Data Entry'!$ú$500)</f>
      </c>
      <c r="GE500">
        <f>IF(ISBLANK('Data Entry'!$û$500), "", 'Data Entry'!$û$500)</f>
      </c>
      <c r="GF500">
        <f>IF(ISBLANK('Data Entry'!$ü$500), "", 'Data Entry'!$ü$500)</f>
      </c>
      <c r="GG500">
        <f>IF(ISBLANK('Data Entry'!$ý$500), "", 'Data Entry'!$ý$500)</f>
      </c>
      <c r="GH500">
        <f>IF(ISBLANK('Data Entry'!$þ$500), "", 'Data Entry'!$þ$500)</f>
      </c>
      <c r="GI500">
        <f>IF(ISBLANK('Data Entry'!$ÿ$500), "", 'Data Entry'!$ÿ$500)</f>
      </c>
      <c r="GJ500">
        <f>IF(ISBLANK('Data Entry'!$Ā$500), "", 'Data Entry'!$Ā$500)</f>
      </c>
      <c r="GK500">
        <f>IF(ISBLANK('Data Entry'!$ā$500), "", 'Data Entry'!$ā$500)</f>
      </c>
      <c r="GL500">
        <f>IF(ISBLANK('Data Entry'!$Ă$500), "", 'Data Entry'!$Ă$500)</f>
      </c>
      <c r="GM500">
        <f>IF(ISBLANK('Data Entry'!$ă$500), "", 'Data Entry'!$ă$500)</f>
      </c>
      <c r="GN500">
        <f>IF(ISBLANK('Data Entry'!$Ą$500), "", 'Data Entry'!$Ą$500)</f>
      </c>
      <c r="GO500">
        <f>IF(ISBLANK('Data Entry'!$ą$500), "", 'Data Entry'!$ą$500)</f>
      </c>
      <c r="GP500">
        <f>IF(ISBLANK('Data Entry'!$Ć$500), "", 'Data Entry'!$Ć$500)</f>
      </c>
      <c r="GQ500">
        <f>IF(ISBLANK('Data Entry'!$ć$500), "", 'Data Entry'!$ć$500)</f>
      </c>
      <c r="GR500">
        <f>IF(ISBLANK('Data Entry'!$Ĉ$500), "", 'Data Entry'!$Ĉ$500)</f>
      </c>
      <c r="GS500">
        <f>IF(ISBLANK('Data Entry'!$ĉ$500), "", 'Data Entry'!$ĉ$500)</f>
      </c>
      <c r="GT500">
        <f>IF(ISBLANK('Data Entry'!$Ċ$500), "", 'Data Entry'!$Ċ$500)</f>
      </c>
      <c r="GU500">
        <f>IF(ISBLANK('Data Entry'!$ċ$500), "", 'Data Entry'!$ċ$500)</f>
      </c>
      <c r="GV500">
        <f>IF(ISBLANK('Data Entry'!$Č$500), "", 'Data Entry'!$Č$500)</f>
      </c>
      <c r="GW500">
        <f>IF(ISBLANK('Data Entry'!$č$500), "", 'Data Entry'!$č$500)</f>
      </c>
      <c r="GX500">
        <f>IF(ISBLANK('Data Entry'!$Ď$500), "", 'Data Entry'!$Ď$500)</f>
      </c>
      <c r="GY500">
        <f>IF(ISBLANK('Data Entry'!$ď$500), "", 'Data Entry'!$ď$500)</f>
      </c>
      <c r="GZ500">
        <f>IF(ISBLANK('Data Entry'!$Đ$500), "", 'Data Entry'!$Đ$500)</f>
      </c>
      <c r="HA500">
        <f>IF(ISBLANK('Data Entry'!$đ$500), "", 'Data Entry'!$đ$500)</f>
      </c>
      <c r="HB500">
        <f>IF(ISBLANK('Data Entry'!$Ē$500), "", 'Data Entry'!$Ē$500)</f>
      </c>
      <c r="HC500">
        <f>IF(ISBLANK('Data Entry'!$ē$500), "", 'Data Entry'!$ē$500)</f>
      </c>
      <c r="HD500">
        <f>IF(ISBLANK('Data Entry'!$Ĕ$500), "", 'Data Entry'!$Ĕ$500)</f>
      </c>
      <c r="HE500">
        <f>IF(ISBLANK('Data Entry'!$ĕ$500), "", 'Data Entry'!$ĕ$500)</f>
      </c>
      <c r="HF500">
        <f>IF(ISBLANK('Data Entry'!$Ė$500), "", 'Data Entry'!$Ė$500)</f>
      </c>
      <c r="HG500">
        <f>IF(ISBLANK('Data Entry'!$ė$500), "", 'Data Entry'!$ė$500)</f>
      </c>
      <c r="HH500">
        <f>IF(ISBLANK('Data Entry'!$Ę$500), "", 'Data Entry'!$Ę$500)</f>
      </c>
      <c r="HI500">
        <f>IF(ISBLANK('Data Entry'!$ę$500), "", 'Data Entry'!$ę$500)</f>
      </c>
      <c r="HJ500">
        <f>IF(ISBLANK('Data Entry'!$Ě$500), "", 'Data Entry'!$Ě$500)</f>
      </c>
      <c r="HK500">
        <f>IF(ISBLANK('Data Entry'!$ě$500), "", 'Data Entry'!$ě$500)</f>
      </c>
      <c r="HL500">
        <f>IF(ISBLANK('Data Entry'!$Ĝ$500), "", 'Data Entry'!$Ĝ$500)</f>
      </c>
      <c r="HM500">
        <f>IF(ISBLANK('Data Entry'!$ĝ$500), "", 'Data Entry'!$ĝ$500)</f>
      </c>
      <c r="HN500">
        <f>IF(ISBLANK('Data Entry'!$Ğ$500), "", 'Data Entry'!$Ğ$500)</f>
      </c>
      <c r="HO500">
        <f>IF(ISBLANK('Data Entry'!$ğ$500), "", 'Data Entry'!$ğ$500)</f>
      </c>
      <c r="HP500">
        <f>IF(ISBLANK('Data Entry'!$Ġ$500), "", 'Data Entry'!$Ġ$500)</f>
      </c>
      <c r="HQ500">
        <f>IF(ISBLANK('Data Entry'!$ġ$500), "", 'Data Entry'!$ġ$500)</f>
      </c>
      <c r="HR500">
        <f>IF(ISBLANK('Data Entry'!$Ģ$500), "", 'Data Entry'!$Ģ$500)</f>
      </c>
      <c r="HS500">
        <f>IF(ISBLANK('Data Entry'!$ģ$500), "", 'Data Entry'!$ģ$500)</f>
      </c>
      <c r="HT500">
        <f>IF(ISBLANK('Data Entry'!$Ĥ$500), "", 'Data Entry'!$Ĥ$500)</f>
      </c>
      <c r="HU500">
        <f>IF(ISBLANK('Data Entry'!$ĥ$500), "", 'Data Entry'!$ĥ$500)</f>
      </c>
      <c r="HV500">
        <f>IF(ISBLANK('Data Entry'!$Ħ$500), "", 'Data Entry'!$Ħ$500)</f>
      </c>
      <c r="HW500">
        <f>IF(ISBLANK('Data Entry'!$ħ$500), "", 'Data Entry'!$ħ$500)</f>
      </c>
      <c r="HX500">
        <f>IF(ISBLANK('Data Entry'!$Ĩ$500), "", 'Data Entry'!$Ĩ$500)</f>
      </c>
      <c r="HY500">
        <f>IF(ISBLANK('Data Entry'!$ĩ$500), "", 'Data Entry'!$ĩ$500)</f>
      </c>
      <c r="HZ500">
        <f>IF(ISBLANK('Data Entry'!$Ī$500), "", 'Data Entry'!$Ī$500)</f>
      </c>
      <c r="IA500">
        <f>IF(ISBLANK('Data Entry'!$ī$500), "", 'Data Entry'!$ī$500)</f>
      </c>
      <c r="IB500">
        <f>IF(ISBLANK('Data Entry'!$Ĭ$500), "", 'Data Entry'!$Ĭ$500)</f>
      </c>
      <c r="IC500">
        <f>IF(ISBLANK('Data Entry'!$ĭ$500), "", 'Data Entry'!$ĭ$500)</f>
      </c>
      <c r="ID500">
        <f>IF(ISBLANK('Data Entry'!$Į$500), "", 'Data Entry'!$Į$500)</f>
      </c>
      <c r="IE500">
        <f>IF(ISBLANK('Data Entry'!$į$500), "", 'Data Entry'!$į$500)</f>
      </c>
      <c r="IF500">
        <f>IF(ISBLANK('Data Entry'!$İ$500), "", 'Data Entry'!$İ$500)</f>
      </c>
      <c r="IG500">
        <f>IF(ISBLANK('Data Entry'!$ı$500), "", 'Data Entry'!$ı$500)</f>
      </c>
      <c r="IH500">
        <f>IF(ISBLANK('Data Entry'!$Ĳ$500), "", 'Data Entry'!$Ĳ$500)</f>
      </c>
      <c r="II500">
        <f>IF(ISBLANK('Data Entry'!$ĳ$500), "", 'Data Entry'!$ĳ$500)</f>
      </c>
      <c r="IJ500">
        <f>IF(ISBLANK('Data Entry'!$Ĵ$500), "", 'Data Entry'!$Ĵ$500)</f>
      </c>
      <c r="IK500">
        <f>IF(ISBLANK('Data Entry'!$ĵ$500), "", 'Data Entry'!$ĵ$500)</f>
      </c>
      <c r="IL500">
        <f>IF(ISBLANK('Data Entry'!$Ķ$500), "", 'Data Entry'!$Ķ$500)</f>
      </c>
      <c r="IM500">
        <f>IF(ISBLANK('Data Entry'!$ķ$500), "", 'Data Entry'!$ķ$500)</f>
      </c>
      <c r="IN500">
        <f>IF(ISBLANK('Data Entry'!$ĸ$500), "", 'Data Entry'!$ĸ$500)</f>
      </c>
      <c r="IO500">
        <f>IF(ISBLANK('Data Entry'!$Ĺ$500), "", 'Data Entry'!$Ĺ$500)</f>
      </c>
      <c r="IP500">
        <f>IF(ISBLANK('Data Entry'!$ĺ$500), "", 'Data Entry'!$ĺ$500)</f>
      </c>
      <c r="IQ500">
        <f>IF(ISBLANK('Data Entry'!$Ļ$500), "", 'Data Entry'!$Ļ$500)</f>
      </c>
      <c r="IR500">
        <f>IF(ISBLANK('Data Entry'!$ļ$500), "", 'Data Entry'!$ļ$500)</f>
      </c>
      <c r="IS500">
        <f>IF(ISBLANK('Data Entry'!$Ľ$500), "", 'Data Entry'!$Ľ$500)</f>
      </c>
      <c r="IT500">
        <f>IF(ISBLANK('Data Entry'!$ľ$500), "", 'Data Entry'!$ľ$500)</f>
      </c>
    </row>
    <row r="501" spans="1:254" x14ac:dyDescent="0.25">
      <c r="A501">
        <f>IF(ISBLANK('Data Entry'!$A$501), "", 'Data Entry'!$A$501)</f>
      </c>
      <c r="B501">
        <f>IF(ISBLANK('Data Entry'!$B$501), "", 'Data Entry'!$B$501)</f>
      </c>
      <c r="C501">
        <f>IF(ISBLANK('Data Entry'!$C$501), "", 'Data Entry'!$C$501)</f>
      </c>
      <c r="D501">
        <f>IF(ISBLANK('Data Entry'!$D$501), "", 'Data Entry'!$D$501)</f>
      </c>
      <c r="E501">
        <f>IF(ISBLANK('Data Entry'!$E$501), "", 'Data Entry'!$E$501)</f>
      </c>
      <c r="F501">
        <f>IF(ISBLANK('Data Entry'!$F$501), "", 'Data Entry'!$F$501)</f>
      </c>
      <c r="G501">
        <f>IF(ISBLANK('Data Entry'!$G$501), "", 'Data Entry'!$G$501)</f>
      </c>
      <c r="H501">
        <f>IF(ISBLANK('Data Entry'!$H$501), "", 'Data Entry'!$H$501)</f>
      </c>
      <c r="I501">
        <f>IF(ISBLANK('Data Entry'!$I$501), "", 'Data Entry'!$I$501)</f>
      </c>
      <c r="J501">
        <f>IF(ISBLANK('Data Entry'!$J$501), "", 'Data Entry'!$J$501)</f>
      </c>
      <c r="K501">
        <f>IF(ISBLANK('Data Entry'!$K$501), "", 'Data Entry'!$K$501)</f>
      </c>
      <c r="L501">
        <f>IF(ISBLANK('Data Entry'!$L$501), "", 'Data Entry'!$L$501)</f>
      </c>
      <c r="M501">
        <f>IF(ISBLANK('Data Entry'!$M$501), "", 'Data Entry'!$M$501)</f>
      </c>
      <c r="N501">
        <f>IF(ISBLANK('Data Entry'!$N$501), "", 'Data Entry'!$N$501)</f>
      </c>
      <c r="O501">
        <f>IF(ISBLANK('Data Entry'!$O$501), "", 'Data Entry'!$O$501)</f>
      </c>
      <c r="P501">
        <f>IF(ISBLANK('Data Entry'!$P$501), "", 'Data Entry'!$P$501)</f>
      </c>
      <c r="Q501">
        <f>IF(ISBLANK('Data Entry'!$Q$501), "", 'Data Entry'!$Q$501)</f>
      </c>
      <c r="R501">
        <f>IF(ISBLANK('Data Entry'!$R$501), "", 'Data Entry'!$R$501)</f>
      </c>
      <c r="S501">
        <f>IF(ISBLANK('Data Entry'!$S$501), "", 'Data Entry'!$S$501)</f>
      </c>
      <c r="T501">
        <f>IF(ISBLANK('Data Entry'!$T$501), "", 'Data Entry'!$T$501)</f>
      </c>
      <c r="U501">
        <f>IF(ISBLANK('Data Entry'!$U$501), "", 'Data Entry'!$U$501)</f>
      </c>
      <c r="V501">
        <f>IF(ISBLANK('Data Entry'!$V$501), "", 'Data Entry'!$V$501)</f>
      </c>
      <c r="W501">
        <f>IF(ISBLANK('Data Entry'!$W$501), "", 'Data Entry'!$W$501)</f>
      </c>
      <c r="X501">
        <f>IF(ISBLANK('Data Entry'!$X$501), "", 'Data Entry'!$X$501)</f>
      </c>
      <c r="Y501">
        <f>IF(ISBLANK('Data Entry'!$Y$501), "", 'Data Entry'!$Y$501)</f>
      </c>
      <c r="Z501">
        <f>IF(ISBLANK('Data Entry'!$Z$501), "", 'Data Entry'!$Z$501)</f>
      </c>
      <c r="AA501">
        <f>IF(ISBLANK('Data Entry'!$[$501), "", 'Data Entry'!$[$501)</f>
      </c>
      <c r="AB501">
        <f>IF(ISBLANK('Data Entry'!$\$501), "", 'Data Entry'!$\$501)</f>
      </c>
      <c r="AC501">
        <f>IF(ISBLANK('Data Entry'!$]$501), "", 'Data Entry'!$]$501)</f>
      </c>
      <c r="AD501">
        <f>IF(ISBLANK('Data Entry'!$^$501), "", 'Data Entry'!$^$501)</f>
      </c>
      <c r="AE501">
        <f>IF(ISBLANK('Data Entry'!$_$501), "", 'Data Entry'!$_$501)</f>
      </c>
      <c r="AF501">
        <f>IF(ISBLANK('Data Entry'!$`$501), "", 'Data Entry'!$`$501)</f>
      </c>
      <c r="AG501">
        <f>IF(ISBLANK('Data Entry'!$a$501), "", 'Data Entry'!$a$501)</f>
      </c>
      <c r="AH501">
        <f>IF(ISBLANK('Data Entry'!$b$501), "", 'Data Entry'!$b$501)</f>
      </c>
      <c r="AI501">
        <f>IF(ISBLANK('Data Entry'!$c$501), "", 'Data Entry'!$c$501)</f>
      </c>
      <c r="AJ501">
        <f>IF(ISBLANK('Data Entry'!$d$501), "", 'Data Entry'!$d$501)</f>
      </c>
      <c r="AK501">
        <f>IF(ISBLANK('Data Entry'!$e$501), "", 'Data Entry'!$e$501)</f>
      </c>
      <c r="AL501">
        <f>IF(ISBLANK('Data Entry'!$f$501), "", 'Data Entry'!$f$501)</f>
      </c>
      <c r="AM501">
        <f>IF(ISBLANK('Data Entry'!$g$501), "", 'Data Entry'!$g$501)</f>
      </c>
      <c r="AN501">
        <f>IF(ISBLANK('Data Entry'!$h$501), "", 'Data Entry'!$h$501)</f>
      </c>
      <c r="AO501">
        <f>IF(ISBLANK('Data Entry'!$i$501), "", 'Data Entry'!$i$501)</f>
      </c>
      <c r="AP501">
        <f>IF(ISBLANK('Data Entry'!$j$501), "", 'Data Entry'!$j$501)</f>
      </c>
      <c r="AQ501">
        <f>IF(ISBLANK('Data Entry'!$k$501), "", 'Data Entry'!$k$501)</f>
      </c>
      <c r="AR501">
        <f>IF(ISBLANK('Data Entry'!$l$501), "", 'Data Entry'!$l$501)</f>
      </c>
      <c r="AS501">
        <f>IF(ISBLANK('Data Entry'!$m$501), "", 'Data Entry'!$m$501)</f>
      </c>
      <c r="AT501">
        <f>IF(ISBLANK('Data Entry'!$n$501), "", 'Data Entry'!$n$501)</f>
      </c>
      <c r="AU501">
        <f>IF(ISBLANK('Data Entry'!$o$501), "", 'Data Entry'!$o$501)</f>
      </c>
      <c r="AV501">
        <f>IF(ISBLANK('Data Entry'!$p$501), "", 'Data Entry'!$p$501)</f>
      </c>
      <c r="AW501">
        <f>IF(ISBLANK('Data Entry'!$q$501), "", 'Data Entry'!$q$501)</f>
      </c>
      <c r="AX501">
        <f>IF(ISBLANK('Data Entry'!$r$501), "", 'Data Entry'!$r$501)</f>
      </c>
      <c r="AY501">
        <f>IF(ISBLANK('Data Entry'!$s$501), "", 'Data Entry'!$s$501)</f>
      </c>
      <c r="AZ501">
        <f>IF(ISBLANK('Data Entry'!$t$501), "", 'Data Entry'!$t$501)</f>
      </c>
      <c r="BA501">
        <f>IF(ISBLANK('Data Entry'!$u$501), "", 'Data Entry'!$u$501)</f>
      </c>
      <c r="BB501">
        <f>IF(ISBLANK('Data Entry'!$v$501), "", 'Data Entry'!$v$501)</f>
      </c>
      <c r="BC501">
        <f>IF(ISBLANK('Data Entry'!$w$501), "", 'Data Entry'!$w$501)</f>
      </c>
      <c r="BD501">
        <f>IF(ISBLANK('Data Entry'!$x$501), "", 'Data Entry'!$x$501)</f>
      </c>
      <c r="BE501">
        <f>IF(ISBLANK('Data Entry'!$y$501), "", 'Data Entry'!$y$501)</f>
      </c>
      <c r="BF501">
        <f>IF(ISBLANK('Data Entry'!$z$501), "", 'Data Entry'!$z$501)</f>
      </c>
      <c r="BG501">
        <f>IF(ISBLANK('Data Entry'!${$501), "", 'Data Entry'!${$501)</f>
      </c>
      <c r="BH501">
        <f>IF(ISBLANK('Data Entry'!$|$501), "", 'Data Entry'!$|$501)</f>
      </c>
      <c r="BI501">
        <f>IF(ISBLANK('Data Entry'!$}$501), "", 'Data Entry'!$}$501)</f>
      </c>
      <c r="BJ501">
        <f>IF(ISBLANK('Data Entry'!$~$501), "", 'Data Entry'!$~$501)</f>
      </c>
      <c r="BK501">
        <f>IF(ISBLANK('Data Entry'!$$501), "", 'Data Entry'!$$501)</f>
      </c>
      <c r="BL501">
        <f>IF(ISBLANK('Data Entry'!$$501), "", 'Data Entry'!$$501)</f>
      </c>
      <c r="BM501">
        <f>IF(ISBLANK('Data Entry'!$$501), "", 'Data Entry'!$$501)</f>
      </c>
      <c r="BN501">
        <f>IF(ISBLANK('Data Entry'!$$501), "", 'Data Entry'!$$501)</f>
      </c>
      <c r="BO501">
        <f>IF(ISBLANK('Data Entry'!$$501), "", 'Data Entry'!$$501)</f>
      </c>
      <c r="BP501">
        <f>IF(ISBLANK('Data Entry'!$$501), "", 'Data Entry'!$$501)</f>
      </c>
      <c r="BQ501">
        <f>IF(ISBLANK('Data Entry'!$$501), "", 'Data Entry'!$$501)</f>
      </c>
      <c r="BR501">
        <f>IF(ISBLANK('Data Entry'!$$501), "", 'Data Entry'!$$501)</f>
      </c>
      <c r="BS501">
        <f>IF(ISBLANK('Data Entry'!$$501), "", 'Data Entry'!$$501)</f>
      </c>
      <c r="BT501">
        <f>IF(ISBLANK('Data Entry'!$$501), "", 'Data Entry'!$$501)</f>
      </c>
      <c r="BU501">
        <f>IF(ISBLANK('Data Entry'!$$501), "", 'Data Entry'!$$501)</f>
      </c>
      <c r="BV501">
        <f>IF(ISBLANK('Data Entry'!$$501), "", 'Data Entry'!$$501)</f>
      </c>
      <c r="BW501">
        <f>IF(ISBLANK('Data Entry'!$$501), "", 'Data Entry'!$$501)</f>
      </c>
      <c r="BX501">
        <f>IF(ISBLANK('Data Entry'!$$501), "", 'Data Entry'!$$501)</f>
      </c>
      <c r="BY501">
        <f>IF(ISBLANK('Data Entry'!$$501), "", 'Data Entry'!$$501)</f>
      </c>
      <c r="BZ501">
        <f>IF(ISBLANK('Data Entry'!$$501), "", 'Data Entry'!$$501)</f>
      </c>
      <c r="CA501">
        <f>IF(ISBLANK('Data Entry'!$$501), "", 'Data Entry'!$$501)</f>
      </c>
      <c r="CB501">
        <f>IF(ISBLANK('Data Entry'!$$501), "", 'Data Entry'!$$501)</f>
      </c>
      <c r="CC501">
        <f>IF(ISBLANK('Data Entry'!$$501), "", 'Data Entry'!$$501)</f>
      </c>
      <c r="CD501">
        <f>IF(ISBLANK('Data Entry'!$$501), "", 'Data Entry'!$$501)</f>
      </c>
      <c r="CE501">
        <f>IF(ISBLANK('Data Entry'!$$501), "", 'Data Entry'!$$501)</f>
      </c>
      <c r="CF501">
        <f>IF(ISBLANK('Data Entry'!$$501), "", 'Data Entry'!$$501)</f>
      </c>
      <c r="CG501">
        <f>IF(ISBLANK('Data Entry'!$$501), "", 'Data Entry'!$$501)</f>
      </c>
      <c r="CH501">
        <f>IF(ISBLANK('Data Entry'!$$501), "", 'Data Entry'!$$501)</f>
      </c>
      <c r="CI501">
        <f>IF(ISBLANK('Data Entry'!$$501), "", 'Data Entry'!$$501)</f>
      </c>
      <c r="CJ501">
        <f>IF(ISBLANK('Data Entry'!$$501), "", 'Data Entry'!$$501)</f>
      </c>
      <c r="CK501">
        <f>IF(ISBLANK('Data Entry'!$$501), "", 'Data Entry'!$$501)</f>
      </c>
      <c r="CL501">
        <f>IF(ISBLANK('Data Entry'!$$501), "", 'Data Entry'!$$501)</f>
      </c>
      <c r="CM501">
        <f>IF(ISBLANK('Data Entry'!$$501), "", 'Data Entry'!$$501)</f>
      </c>
      <c r="CN501">
        <f>IF(ISBLANK('Data Entry'!$$501), "", 'Data Entry'!$$501)</f>
      </c>
      <c r="CO501">
        <f>IF(ISBLANK('Data Entry'!$$501), "", 'Data Entry'!$$501)</f>
      </c>
      <c r="CP501">
        <f>IF(ISBLANK('Data Entry'!$$501), "", 'Data Entry'!$$501)</f>
      </c>
      <c r="CQ501">
        <f>IF(ISBLANK('Data Entry'!$$501), "", 'Data Entry'!$$501)</f>
      </c>
      <c r="CR501">
        <f>IF(ISBLANK('Data Entry'!$ $501), "", 'Data Entry'!$ $501)</f>
      </c>
      <c r="CS501">
        <f>IF(ISBLANK('Data Entry'!$¡$501), "", 'Data Entry'!$¡$501)</f>
      </c>
      <c r="CT501">
        <f>IF(ISBLANK('Data Entry'!$¢$501), "", 'Data Entry'!$¢$501)</f>
      </c>
      <c r="CU501">
        <f>IF(ISBLANK('Data Entry'!$£$501), "", 'Data Entry'!$£$501)</f>
      </c>
      <c r="CV501">
        <f>IF(ISBLANK('Data Entry'!$¤$501), "", 'Data Entry'!$¤$501)</f>
      </c>
      <c r="CW501">
        <f>IF(ISBLANK('Data Entry'!$¥$501), "", 'Data Entry'!$¥$501)</f>
      </c>
      <c r="CX501">
        <f>IF(ISBLANK('Data Entry'!$¦$501), "", 'Data Entry'!$¦$501)</f>
      </c>
      <c r="CY501">
        <f>IF(ISBLANK('Data Entry'!$§$501), "", 'Data Entry'!$§$501)</f>
      </c>
      <c r="CZ501">
        <f>IF(ISBLANK('Data Entry'!$¨$501), "", 'Data Entry'!$¨$501)</f>
      </c>
      <c r="DA501">
        <f>IF(ISBLANK('Data Entry'!$©$501), "", 'Data Entry'!$©$501)</f>
      </c>
      <c r="DB501">
        <f>IF(ISBLANK('Data Entry'!$ª$501), "", 'Data Entry'!$ª$501)</f>
      </c>
      <c r="DC501">
        <f>IF(ISBLANK('Data Entry'!$«$501), "", 'Data Entry'!$«$501)</f>
      </c>
      <c r="DD501">
        <f>IF(ISBLANK('Data Entry'!$¬$501), "", 'Data Entry'!$¬$501)</f>
      </c>
      <c r="DE501">
        <f>IF(ISBLANK('Data Entry'!$­$501), "", 'Data Entry'!$­$501)</f>
      </c>
      <c r="DF501">
        <f>IF(ISBLANK('Data Entry'!$®$501), "", 'Data Entry'!$®$501)</f>
      </c>
      <c r="DG501">
        <f>IF(ISBLANK('Data Entry'!$¯$501), "", 'Data Entry'!$¯$501)</f>
      </c>
      <c r="DH501">
        <f>IF(ISBLANK('Data Entry'!$°$501), "", 'Data Entry'!$°$501)</f>
      </c>
      <c r="DI501">
        <f>IF(ISBLANK('Data Entry'!$±$501), "", 'Data Entry'!$±$501)</f>
      </c>
      <c r="DJ501">
        <f>IF(ISBLANK('Data Entry'!$²$501), "", 'Data Entry'!$²$501)</f>
      </c>
      <c r="DK501">
        <f>IF(ISBLANK('Data Entry'!$³$501), "", 'Data Entry'!$³$501)</f>
      </c>
      <c r="DL501">
        <f>IF(ISBLANK('Data Entry'!$´$501), "", 'Data Entry'!$´$501)</f>
      </c>
      <c r="DM501">
        <f>IF(ISBLANK('Data Entry'!$µ$501), "", 'Data Entry'!$µ$501)</f>
      </c>
      <c r="DN501">
        <f>IF(ISBLANK('Data Entry'!$¶$501), "", 'Data Entry'!$¶$501)</f>
      </c>
      <c r="DO501">
        <f>IF(ISBLANK('Data Entry'!$·$501), "", 'Data Entry'!$·$501)</f>
      </c>
      <c r="DP501">
        <f>IF(ISBLANK('Data Entry'!$¸$501), "", 'Data Entry'!$¸$501)</f>
      </c>
      <c r="DQ501">
        <f>IF(ISBLANK('Data Entry'!$¹$501), "", 'Data Entry'!$¹$501)</f>
      </c>
      <c r="DR501">
        <f>IF(ISBLANK('Data Entry'!$º$501), "", 'Data Entry'!$º$501)</f>
      </c>
      <c r="DS501">
        <f>IF(ISBLANK('Data Entry'!$»$501), "", 'Data Entry'!$»$501)</f>
      </c>
      <c r="DT501">
        <f>IF(ISBLANK('Data Entry'!$¼$501), "", 'Data Entry'!$¼$501)</f>
      </c>
      <c r="DU501">
        <f>IF(ISBLANK('Data Entry'!$½$501), "", 'Data Entry'!$½$501)</f>
      </c>
      <c r="DV501">
        <f>IF(ISBLANK('Data Entry'!$¾$501), "", 'Data Entry'!$¾$501)</f>
      </c>
      <c r="DW501">
        <f>IF(ISBLANK('Data Entry'!$¿$501), "", 'Data Entry'!$¿$501)</f>
      </c>
      <c r="DX501">
        <f>IF(ISBLANK('Data Entry'!$À$501), "", 'Data Entry'!$À$501)</f>
      </c>
      <c r="DY501">
        <f>IF(ISBLANK('Data Entry'!$Á$501), "", 'Data Entry'!$Á$501)</f>
      </c>
      <c r="DZ501">
        <f>IF(ISBLANK('Data Entry'!$Â$501), "", 'Data Entry'!$Â$501)</f>
      </c>
      <c r="EA501">
        <f>IF(ISBLANK('Data Entry'!$Ã$501), "", 'Data Entry'!$Ã$501)</f>
      </c>
      <c r="EB501">
        <f>IF(ISBLANK('Data Entry'!$Ä$501), "", 'Data Entry'!$Ä$501)</f>
      </c>
      <c r="EC501">
        <f>IF(ISBLANK('Data Entry'!$Å$501), "", 'Data Entry'!$Å$501)</f>
      </c>
      <c r="ED501">
        <f>IF(ISBLANK('Data Entry'!$Æ$501), "", 'Data Entry'!$Æ$501)</f>
      </c>
      <c r="EE501">
        <f>IF(ISBLANK('Data Entry'!$Ç$501), "", 'Data Entry'!$Ç$501)</f>
      </c>
      <c r="EF501">
        <f>IF(ISBLANK('Data Entry'!$È$501), "", 'Data Entry'!$È$501)</f>
      </c>
      <c r="EG501">
        <f>IF(ISBLANK('Data Entry'!$É$501), "", 'Data Entry'!$É$501)</f>
      </c>
      <c r="EH501">
        <f>IF(ISBLANK('Data Entry'!$Ê$501), "", 'Data Entry'!$Ê$501)</f>
      </c>
      <c r="EI501">
        <f>IF(ISBLANK('Data Entry'!$Ë$501), "", 'Data Entry'!$Ë$501)</f>
      </c>
      <c r="EJ501">
        <f>IF(ISBLANK('Data Entry'!$Ì$501), "", 'Data Entry'!$Ì$501)</f>
      </c>
      <c r="EK501">
        <f>IF(ISBLANK('Data Entry'!$Í$501), "", 'Data Entry'!$Í$501)</f>
      </c>
      <c r="EL501">
        <f>IF(ISBLANK('Data Entry'!$Î$501), "", 'Data Entry'!$Î$501)</f>
      </c>
      <c r="EM501">
        <f>IF(ISBLANK('Data Entry'!$Ï$501), "", 'Data Entry'!$Ï$501)</f>
      </c>
      <c r="EN501">
        <f>IF(ISBLANK('Data Entry'!$Ð$501), "", 'Data Entry'!$Ð$501)</f>
      </c>
      <c r="EO501">
        <f>IF(ISBLANK('Data Entry'!$Ñ$501), "", 'Data Entry'!$Ñ$501)</f>
      </c>
      <c r="EP501">
        <f>IF(ISBLANK('Data Entry'!$Ò$501), "", 'Data Entry'!$Ò$501)</f>
      </c>
      <c r="EQ501">
        <f>IF(ISBLANK('Data Entry'!$Ó$501), "", 'Data Entry'!$Ó$501)</f>
      </c>
      <c r="ER501">
        <f>IF(ISBLANK('Data Entry'!$Ô$501), "", 'Data Entry'!$Ô$501)</f>
      </c>
      <c r="ES501">
        <f>IF(ISBLANK('Data Entry'!$Õ$501), "", 'Data Entry'!$Õ$501)</f>
      </c>
      <c r="ET501">
        <f>IF(ISBLANK('Data Entry'!$Ö$501), "", 'Data Entry'!$Ö$501)</f>
      </c>
      <c r="EU501">
        <f>IF(ISBLANK('Data Entry'!$×$501), "", 'Data Entry'!$×$501)</f>
      </c>
      <c r="EV501">
        <f>IF(ISBLANK('Data Entry'!$Ø$501), "", 'Data Entry'!$Ø$501)</f>
      </c>
      <c r="EW501">
        <f>IF(ISBLANK('Data Entry'!$Ù$501), "", 'Data Entry'!$Ù$501)</f>
      </c>
      <c r="EX501">
        <f>IF(ISBLANK('Data Entry'!$Ú$501), "", 'Data Entry'!$Ú$501)</f>
      </c>
      <c r="EY501">
        <f>IF(ISBLANK('Data Entry'!$Û$501), "", 'Data Entry'!$Û$501)</f>
      </c>
      <c r="EZ501">
        <f>IF(ISBLANK('Data Entry'!$Ü$501), "", 'Data Entry'!$Ü$501)</f>
      </c>
      <c r="FA501">
        <f>IF(ISBLANK('Data Entry'!$Ý$501), "", 'Data Entry'!$Ý$501)</f>
      </c>
      <c r="FB501">
        <f>IF(ISBLANK('Data Entry'!$Þ$501), "", 'Data Entry'!$Þ$501)</f>
      </c>
      <c r="FC501">
        <f>IF(ISBLANK('Data Entry'!$ß$501), "", 'Data Entry'!$ß$501)</f>
      </c>
      <c r="FD501">
        <f>IF(ISBLANK('Data Entry'!$à$501), "", 'Data Entry'!$à$501)</f>
      </c>
      <c r="FE501">
        <f>IF(ISBLANK('Data Entry'!$á$501), "", 'Data Entry'!$á$501)</f>
      </c>
      <c r="FF501">
        <f>IF(ISBLANK('Data Entry'!$â$501), "", 'Data Entry'!$â$501)</f>
      </c>
      <c r="FG501">
        <f>IF(ISBLANK('Data Entry'!$ã$501), "", 'Data Entry'!$ã$501)</f>
      </c>
      <c r="FH501">
        <f>IF(ISBLANK('Data Entry'!$ä$501), "", 'Data Entry'!$ä$501)</f>
      </c>
      <c r="FI501">
        <f>IF(ISBLANK('Data Entry'!$å$501), "", 'Data Entry'!$å$501)</f>
      </c>
      <c r="FJ501">
        <f>IF(ISBLANK('Data Entry'!$æ$501), "", 'Data Entry'!$æ$501)</f>
      </c>
      <c r="FK501">
        <f>IF(ISBLANK('Data Entry'!$ç$501), "", 'Data Entry'!$ç$501)</f>
      </c>
      <c r="FL501">
        <f>IF(ISBLANK('Data Entry'!$è$501), "", 'Data Entry'!$è$501)</f>
      </c>
      <c r="FM501">
        <f>IF(ISBLANK('Data Entry'!$é$501), "", 'Data Entry'!$é$501)</f>
      </c>
      <c r="FN501">
        <f>IF(ISBLANK('Data Entry'!$ê$501), "", 'Data Entry'!$ê$501)</f>
      </c>
      <c r="FO501">
        <f>IF(ISBLANK('Data Entry'!$ë$501), "", 'Data Entry'!$ë$501)</f>
      </c>
      <c r="FP501">
        <f>IF(ISBLANK('Data Entry'!$ì$501), "", 'Data Entry'!$ì$501)</f>
      </c>
      <c r="FQ501">
        <f>IF(ISBLANK('Data Entry'!$í$501), "", 'Data Entry'!$í$501)</f>
      </c>
      <c r="FR501">
        <f>IF(ISBLANK('Data Entry'!$î$501), "", 'Data Entry'!$î$501)</f>
      </c>
      <c r="FS501">
        <f>IF(ISBLANK('Data Entry'!$ï$501), "", 'Data Entry'!$ï$501)</f>
      </c>
      <c r="FT501">
        <f>IF(ISBLANK('Data Entry'!$ð$501), "", 'Data Entry'!$ð$501)</f>
      </c>
      <c r="FU501">
        <f>IF(ISBLANK('Data Entry'!$ñ$501), "", 'Data Entry'!$ñ$501)</f>
      </c>
      <c r="FV501">
        <f>IF(ISBLANK('Data Entry'!$ò$501), "", 'Data Entry'!$ò$501)</f>
      </c>
      <c r="FW501">
        <f>IF(ISBLANK('Data Entry'!$ó$501), "", 'Data Entry'!$ó$501)</f>
      </c>
      <c r="FX501">
        <f>IF(ISBLANK('Data Entry'!$ô$501), "", 'Data Entry'!$ô$501)</f>
      </c>
      <c r="FY501">
        <f>IF(ISBLANK('Data Entry'!$õ$501), "", 'Data Entry'!$õ$501)</f>
      </c>
      <c r="FZ501">
        <f>IF(ISBLANK('Data Entry'!$ö$501), "", 'Data Entry'!$ö$501)</f>
      </c>
      <c r="GA501">
        <f>IF(ISBLANK('Data Entry'!$÷$501), "", 'Data Entry'!$÷$501)</f>
      </c>
      <c r="GB501">
        <f>IF(ISBLANK('Data Entry'!$ø$501), "", 'Data Entry'!$ø$501)</f>
      </c>
      <c r="GC501">
        <f>IF(ISBLANK('Data Entry'!$ù$501), "", 'Data Entry'!$ù$501)</f>
      </c>
      <c r="GD501">
        <f>IF(ISBLANK('Data Entry'!$ú$501), "", 'Data Entry'!$ú$501)</f>
      </c>
      <c r="GE501">
        <f>IF(ISBLANK('Data Entry'!$û$501), "", 'Data Entry'!$û$501)</f>
      </c>
      <c r="GF501">
        <f>IF(ISBLANK('Data Entry'!$ü$501), "", 'Data Entry'!$ü$501)</f>
      </c>
      <c r="GG501">
        <f>IF(ISBLANK('Data Entry'!$ý$501), "", 'Data Entry'!$ý$501)</f>
      </c>
      <c r="GH501">
        <f>IF(ISBLANK('Data Entry'!$þ$501), "", 'Data Entry'!$þ$501)</f>
      </c>
      <c r="GI501">
        <f>IF(ISBLANK('Data Entry'!$ÿ$501), "", 'Data Entry'!$ÿ$501)</f>
      </c>
      <c r="GJ501">
        <f>IF(ISBLANK('Data Entry'!$Ā$501), "", 'Data Entry'!$Ā$501)</f>
      </c>
      <c r="GK501">
        <f>IF(ISBLANK('Data Entry'!$ā$501), "", 'Data Entry'!$ā$501)</f>
      </c>
      <c r="GL501">
        <f>IF(ISBLANK('Data Entry'!$Ă$501), "", 'Data Entry'!$Ă$501)</f>
      </c>
      <c r="GM501">
        <f>IF(ISBLANK('Data Entry'!$ă$501), "", 'Data Entry'!$ă$501)</f>
      </c>
      <c r="GN501">
        <f>IF(ISBLANK('Data Entry'!$Ą$501), "", 'Data Entry'!$Ą$501)</f>
      </c>
      <c r="GO501">
        <f>IF(ISBLANK('Data Entry'!$ą$501), "", 'Data Entry'!$ą$501)</f>
      </c>
      <c r="GP501">
        <f>IF(ISBLANK('Data Entry'!$Ć$501), "", 'Data Entry'!$Ć$501)</f>
      </c>
      <c r="GQ501">
        <f>IF(ISBLANK('Data Entry'!$ć$501), "", 'Data Entry'!$ć$501)</f>
      </c>
      <c r="GR501">
        <f>IF(ISBLANK('Data Entry'!$Ĉ$501), "", 'Data Entry'!$Ĉ$501)</f>
      </c>
      <c r="GS501">
        <f>IF(ISBLANK('Data Entry'!$ĉ$501), "", 'Data Entry'!$ĉ$501)</f>
      </c>
      <c r="GT501">
        <f>IF(ISBLANK('Data Entry'!$Ċ$501), "", 'Data Entry'!$Ċ$501)</f>
      </c>
      <c r="GU501">
        <f>IF(ISBLANK('Data Entry'!$ċ$501), "", 'Data Entry'!$ċ$501)</f>
      </c>
      <c r="GV501">
        <f>IF(ISBLANK('Data Entry'!$Č$501), "", 'Data Entry'!$Č$501)</f>
      </c>
      <c r="GW501">
        <f>IF(ISBLANK('Data Entry'!$č$501), "", 'Data Entry'!$č$501)</f>
      </c>
      <c r="GX501">
        <f>IF(ISBLANK('Data Entry'!$Ď$501), "", 'Data Entry'!$Ď$501)</f>
      </c>
      <c r="GY501">
        <f>IF(ISBLANK('Data Entry'!$ď$501), "", 'Data Entry'!$ď$501)</f>
      </c>
      <c r="GZ501">
        <f>IF(ISBLANK('Data Entry'!$Đ$501), "", 'Data Entry'!$Đ$501)</f>
      </c>
      <c r="HA501">
        <f>IF(ISBLANK('Data Entry'!$đ$501), "", 'Data Entry'!$đ$501)</f>
      </c>
      <c r="HB501">
        <f>IF(ISBLANK('Data Entry'!$Ē$501), "", 'Data Entry'!$Ē$501)</f>
      </c>
      <c r="HC501">
        <f>IF(ISBLANK('Data Entry'!$ē$501), "", 'Data Entry'!$ē$501)</f>
      </c>
      <c r="HD501">
        <f>IF(ISBLANK('Data Entry'!$Ĕ$501), "", 'Data Entry'!$Ĕ$501)</f>
      </c>
      <c r="HE501">
        <f>IF(ISBLANK('Data Entry'!$ĕ$501), "", 'Data Entry'!$ĕ$501)</f>
      </c>
      <c r="HF501">
        <f>IF(ISBLANK('Data Entry'!$Ė$501), "", 'Data Entry'!$Ė$501)</f>
      </c>
      <c r="HG501">
        <f>IF(ISBLANK('Data Entry'!$ė$501), "", 'Data Entry'!$ė$501)</f>
      </c>
      <c r="HH501">
        <f>IF(ISBLANK('Data Entry'!$Ę$501), "", 'Data Entry'!$Ę$501)</f>
      </c>
      <c r="HI501">
        <f>IF(ISBLANK('Data Entry'!$ę$501), "", 'Data Entry'!$ę$501)</f>
      </c>
      <c r="HJ501">
        <f>IF(ISBLANK('Data Entry'!$Ě$501), "", 'Data Entry'!$Ě$501)</f>
      </c>
      <c r="HK501">
        <f>IF(ISBLANK('Data Entry'!$ě$501), "", 'Data Entry'!$ě$501)</f>
      </c>
      <c r="HL501">
        <f>IF(ISBLANK('Data Entry'!$Ĝ$501), "", 'Data Entry'!$Ĝ$501)</f>
      </c>
      <c r="HM501">
        <f>IF(ISBLANK('Data Entry'!$ĝ$501), "", 'Data Entry'!$ĝ$501)</f>
      </c>
      <c r="HN501">
        <f>IF(ISBLANK('Data Entry'!$Ğ$501), "", 'Data Entry'!$Ğ$501)</f>
      </c>
      <c r="HO501">
        <f>IF(ISBLANK('Data Entry'!$ğ$501), "", 'Data Entry'!$ğ$501)</f>
      </c>
      <c r="HP501">
        <f>IF(ISBLANK('Data Entry'!$Ġ$501), "", 'Data Entry'!$Ġ$501)</f>
      </c>
      <c r="HQ501">
        <f>IF(ISBLANK('Data Entry'!$ġ$501), "", 'Data Entry'!$ġ$501)</f>
      </c>
      <c r="HR501">
        <f>IF(ISBLANK('Data Entry'!$Ģ$501), "", 'Data Entry'!$Ģ$501)</f>
      </c>
      <c r="HS501">
        <f>IF(ISBLANK('Data Entry'!$ģ$501), "", 'Data Entry'!$ģ$501)</f>
      </c>
      <c r="HT501">
        <f>IF(ISBLANK('Data Entry'!$Ĥ$501), "", 'Data Entry'!$Ĥ$501)</f>
      </c>
      <c r="HU501">
        <f>IF(ISBLANK('Data Entry'!$ĥ$501), "", 'Data Entry'!$ĥ$501)</f>
      </c>
      <c r="HV501">
        <f>IF(ISBLANK('Data Entry'!$Ħ$501), "", 'Data Entry'!$Ħ$501)</f>
      </c>
      <c r="HW501">
        <f>IF(ISBLANK('Data Entry'!$ħ$501), "", 'Data Entry'!$ħ$501)</f>
      </c>
      <c r="HX501">
        <f>IF(ISBLANK('Data Entry'!$Ĩ$501), "", 'Data Entry'!$Ĩ$501)</f>
      </c>
      <c r="HY501">
        <f>IF(ISBLANK('Data Entry'!$ĩ$501), "", 'Data Entry'!$ĩ$501)</f>
      </c>
      <c r="HZ501">
        <f>IF(ISBLANK('Data Entry'!$Ī$501), "", 'Data Entry'!$Ī$501)</f>
      </c>
      <c r="IA501">
        <f>IF(ISBLANK('Data Entry'!$ī$501), "", 'Data Entry'!$ī$501)</f>
      </c>
      <c r="IB501">
        <f>IF(ISBLANK('Data Entry'!$Ĭ$501), "", 'Data Entry'!$Ĭ$501)</f>
      </c>
      <c r="IC501">
        <f>IF(ISBLANK('Data Entry'!$ĭ$501), "", 'Data Entry'!$ĭ$501)</f>
      </c>
      <c r="ID501">
        <f>IF(ISBLANK('Data Entry'!$Į$501), "", 'Data Entry'!$Į$501)</f>
      </c>
      <c r="IE501">
        <f>IF(ISBLANK('Data Entry'!$į$501), "", 'Data Entry'!$į$501)</f>
      </c>
      <c r="IF501">
        <f>IF(ISBLANK('Data Entry'!$İ$501), "", 'Data Entry'!$İ$501)</f>
      </c>
      <c r="IG501">
        <f>IF(ISBLANK('Data Entry'!$ı$501), "", 'Data Entry'!$ı$501)</f>
      </c>
      <c r="IH501">
        <f>IF(ISBLANK('Data Entry'!$Ĳ$501), "", 'Data Entry'!$Ĳ$501)</f>
      </c>
      <c r="II501">
        <f>IF(ISBLANK('Data Entry'!$ĳ$501), "", 'Data Entry'!$ĳ$501)</f>
      </c>
      <c r="IJ501">
        <f>IF(ISBLANK('Data Entry'!$Ĵ$501), "", 'Data Entry'!$Ĵ$501)</f>
      </c>
      <c r="IK501">
        <f>IF(ISBLANK('Data Entry'!$ĵ$501), "", 'Data Entry'!$ĵ$501)</f>
      </c>
      <c r="IL501">
        <f>IF(ISBLANK('Data Entry'!$Ķ$501), "", 'Data Entry'!$Ķ$501)</f>
      </c>
      <c r="IM501">
        <f>IF(ISBLANK('Data Entry'!$ķ$501), "", 'Data Entry'!$ķ$501)</f>
      </c>
      <c r="IN501">
        <f>IF(ISBLANK('Data Entry'!$ĸ$501), "", 'Data Entry'!$ĸ$501)</f>
      </c>
      <c r="IO501">
        <f>IF(ISBLANK('Data Entry'!$Ĺ$501), "", 'Data Entry'!$Ĺ$501)</f>
      </c>
      <c r="IP501">
        <f>IF(ISBLANK('Data Entry'!$ĺ$501), "", 'Data Entry'!$ĺ$501)</f>
      </c>
      <c r="IQ501">
        <f>IF(ISBLANK('Data Entry'!$Ļ$501), "", 'Data Entry'!$Ļ$501)</f>
      </c>
      <c r="IR501">
        <f>IF(ISBLANK('Data Entry'!$ļ$501), "", 'Data Entry'!$ļ$501)</f>
      </c>
      <c r="IS501">
        <f>IF(ISBLANK('Data Entry'!$Ľ$501), "", 'Data Entry'!$Ľ$501)</f>
      </c>
      <c r="IT501">
        <f>IF(ISBLANK('Data Entry'!$ľ$501), "", 'Data Entry'!$ľ$501)</f>
      </c>
    </row>
    <row r="502" spans="1:254" x14ac:dyDescent="0.25">
      <c r="A502">
        <f>IF(ISBLANK('Data Entry'!$A$502), "", 'Data Entry'!$A$502)</f>
      </c>
      <c r="B502">
        <f>IF(ISBLANK('Data Entry'!$B$502), "", 'Data Entry'!$B$502)</f>
      </c>
      <c r="C502">
        <f>IF(ISBLANK('Data Entry'!$C$502), "", 'Data Entry'!$C$502)</f>
      </c>
      <c r="D502">
        <f>IF(ISBLANK('Data Entry'!$D$502), "", 'Data Entry'!$D$502)</f>
      </c>
      <c r="E502">
        <f>IF(ISBLANK('Data Entry'!$E$502), "", 'Data Entry'!$E$502)</f>
      </c>
      <c r="F502">
        <f>IF(ISBLANK('Data Entry'!$F$502), "", 'Data Entry'!$F$502)</f>
      </c>
      <c r="G502">
        <f>IF(ISBLANK('Data Entry'!$G$502), "", 'Data Entry'!$G$502)</f>
      </c>
      <c r="H502">
        <f>IF(ISBLANK('Data Entry'!$H$502), "", 'Data Entry'!$H$502)</f>
      </c>
      <c r="I502">
        <f>IF(ISBLANK('Data Entry'!$I$502), "", 'Data Entry'!$I$502)</f>
      </c>
      <c r="J502">
        <f>IF(ISBLANK('Data Entry'!$J$502), "", 'Data Entry'!$J$502)</f>
      </c>
      <c r="K502">
        <f>IF(ISBLANK('Data Entry'!$K$502), "", 'Data Entry'!$K$502)</f>
      </c>
      <c r="L502">
        <f>IF(ISBLANK('Data Entry'!$L$502), "", 'Data Entry'!$L$502)</f>
      </c>
      <c r="M502">
        <f>IF(ISBLANK('Data Entry'!$M$502), "", 'Data Entry'!$M$502)</f>
      </c>
      <c r="N502">
        <f>IF(ISBLANK('Data Entry'!$N$502), "", 'Data Entry'!$N$502)</f>
      </c>
      <c r="O502">
        <f>IF(ISBLANK('Data Entry'!$O$502), "", 'Data Entry'!$O$502)</f>
      </c>
      <c r="P502">
        <f>IF(ISBLANK('Data Entry'!$P$502), "", 'Data Entry'!$P$502)</f>
      </c>
      <c r="Q502">
        <f>IF(ISBLANK('Data Entry'!$Q$502), "", 'Data Entry'!$Q$502)</f>
      </c>
      <c r="R502">
        <f>IF(ISBLANK('Data Entry'!$R$502), "", 'Data Entry'!$R$502)</f>
      </c>
      <c r="S502">
        <f>IF(ISBLANK('Data Entry'!$S$502), "", 'Data Entry'!$S$502)</f>
      </c>
      <c r="T502">
        <f>IF(ISBLANK('Data Entry'!$T$502), "", 'Data Entry'!$T$502)</f>
      </c>
      <c r="U502">
        <f>IF(ISBLANK('Data Entry'!$U$502), "", 'Data Entry'!$U$502)</f>
      </c>
      <c r="V502">
        <f>IF(ISBLANK('Data Entry'!$V$502), "", 'Data Entry'!$V$502)</f>
      </c>
      <c r="W502">
        <f>IF(ISBLANK('Data Entry'!$W$502), "", 'Data Entry'!$W$502)</f>
      </c>
      <c r="X502">
        <f>IF(ISBLANK('Data Entry'!$X$502), "", 'Data Entry'!$X$502)</f>
      </c>
      <c r="Y502">
        <f>IF(ISBLANK('Data Entry'!$Y$502), "", 'Data Entry'!$Y$502)</f>
      </c>
      <c r="Z502">
        <f>IF(ISBLANK('Data Entry'!$Z$502), "", 'Data Entry'!$Z$502)</f>
      </c>
      <c r="AA502">
        <f>IF(ISBLANK('Data Entry'!$[$502), "", 'Data Entry'!$[$502)</f>
      </c>
      <c r="AB502">
        <f>IF(ISBLANK('Data Entry'!$\$502), "", 'Data Entry'!$\$502)</f>
      </c>
      <c r="AC502">
        <f>IF(ISBLANK('Data Entry'!$]$502), "", 'Data Entry'!$]$502)</f>
      </c>
      <c r="AD502">
        <f>IF(ISBLANK('Data Entry'!$^$502), "", 'Data Entry'!$^$502)</f>
      </c>
      <c r="AE502">
        <f>IF(ISBLANK('Data Entry'!$_$502), "", 'Data Entry'!$_$502)</f>
      </c>
      <c r="AF502">
        <f>IF(ISBLANK('Data Entry'!$`$502), "", 'Data Entry'!$`$502)</f>
      </c>
      <c r="AG502">
        <f>IF(ISBLANK('Data Entry'!$a$502), "", 'Data Entry'!$a$502)</f>
      </c>
      <c r="AH502">
        <f>IF(ISBLANK('Data Entry'!$b$502), "", 'Data Entry'!$b$502)</f>
      </c>
      <c r="AI502">
        <f>IF(ISBLANK('Data Entry'!$c$502), "", 'Data Entry'!$c$502)</f>
      </c>
      <c r="AJ502">
        <f>IF(ISBLANK('Data Entry'!$d$502), "", 'Data Entry'!$d$502)</f>
      </c>
      <c r="AK502">
        <f>IF(ISBLANK('Data Entry'!$e$502), "", 'Data Entry'!$e$502)</f>
      </c>
      <c r="AL502">
        <f>IF(ISBLANK('Data Entry'!$f$502), "", 'Data Entry'!$f$502)</f>
      </c>
      <c r="AM502">
        <f>IF(ISBLANK('Data Entry'!$g$502), "", 'Data Entry'!$g$502)</f>
      </c>
      <c r="AN502">
        <f>IF(ISBLANK('Data Entry'!$h$502), "", 'Data Entry'!$h$502)</f>
      </c>
      <c r="AO502">
        <f>IF(ISBLANK('Data Entry'!$i$502), "", 'Data Entry'!$i$502)</f>
      </c>
      <c r="AP502">
        <f>IF(ISBLANK('Data Entry'!$j$502), "", 'Data Entry'!$j$502)</f>
      </c>
      <c r="AQ502">
        <f>IF(ISBLANK('Data Entry'!$k$502), "", 'Data Entry'!$k$502)</f>
      </c>
      <c r="AR502">
        <f>IF(ISBLANK('Data Entry'!$l$502), "", 'Data Entry'!$l$502)</f>
      </c>
      <c r="AS502">
        <f>IF(ISBLANK('Data Entry'!$m$502), "", 'Data Entry'!$m$502)</f>
      </c>
      <c r="AT502">
        <f>IF(ISBLANK('Data Entry'!$n$502), "", 'Data Entry'!$n$502)</f>
      </c>
      <c r="AU502">
        <f>IF(ISBLANK('Data Entry'!$o$502), "", 'Data Entry'!$o$502)</f>
      </c>
      <c r="AV502">
        <f>IF(ISBLANK('Data Entry'!$p$502), "", 'Data Entry'!$p$502)</f>
      </c>
      <c r="AW502">
        <f>IF(ISBLANK('Data Entry'!$q$502), "", 'Data Entry'!$q$502)</f>
      </c>
      <c r="AX502">
        <f>IF(ISBLANK('Data Entry'!$r$502), "", 'Data Entry'!$r$502)</f>
      </c>
      <c r="AY502">
        <f>IF(ISBLANK('Data Entry'!$s$502), "", 'Data Entry'!$s$502)</f>
      </c>
      <c r="AZ502">
        <f>IF(ISBLANK('Data Entry'!$t$502), "", 'Data Entry'!$t$502)</f>
      </c>
      <c r="BA502">
        <f>IF(ISBLANK('Data Entry'!$u$502), "", 'Data Entry'!$u$502)</f>
      </c>
      <c r="BB502">
        <f>IF(ISBLANK('Data Entry'!$v$502), "", 'Data Entry'!$v$502)</f>
      </c>
      <c r="BC502">
        <f>IF(ISBLANK('Data Entry'!$w$502), "", 'Data Entry'!$w$502)</f>
      </c>
      <c r="BD502">
        <f>IF(ISBLANK('Data Entry'!$x$502), "", 'Data Entry'!$x$502)</f>
      </c>
      <c r="BE502">
        <f>IF(ISBLANK('Data Entry'!$y$502), "", 'Data Entry'!$y$502)</f>
      </c>
      <c r="BF502">
        <f>IF(ISBLANK('Data Entry'!$z$502), "", 'Data Entry'!$z$502)</f>
      </c>
      <c r="BG502">
        <f>IF(ISBLANK('Data Entry'!${$502), "", 'Data Entry'!${$502)</f>
      </c>
      <c r="BH502">
        <f>IF(ISBLANK('Data Entry'!$|$502), "", 'Data Entry'!$|$502)</f>
      </c>
      <c r="BI502">
        <f>IF(ISBLANK('Data Entry'!$}$502), "", 'Data Entry'!$}$502)</f>
      </c>
      <c r="BJ502">
        <f>IF(ISBLANK('Data Entry'!$~$502), "", 'Data Entry'!$~$502)</f>
      </c>
      <c r="BK502">
        <f>IF(ISBLANK('Data Entry'!$$502), "", 'Data Entry'!$$502)</f>
      </c>
      <c r="BL502">
        <f>IF(ISBLANK('Data Entry'!$$502), "", 'Data Entry'!$$502)</f>
      </c>
      <c r="BM502">
        <f>IF(ISBLANK('Data Entry'!$$502), "", 'Data Entry'!$$502)</f>
      </c>
      <c r="BN502">
        <f>IF(ISBLANK('Data Entry'!$$502), "", 'Data Entry'!$$502)</f>
      </c>
      <c r="BO502">
        <f>IF(ISBLANK('Data Entry'!$$502), "", 'Data Entry'!$$502)</f>
      </c>
      <c r="BP502">
        <f>IF(ISBLANK('Data Entry'!$$502), "", 'Data Entry'!$$502)</f>
      </c>
      <c r="BQ502">
        <f>IF(ISBLANK('Data Entry'!$$502), "", 'Data Entry'!$$502)</f>
      </c>
      <c r="BR502">
        <f>IF(ISBLANK('Data Entry'!$$502), "", 'Data Entry'!$$502)</f>
      </c>
      <c r="BS502">
        <f>IF(ISBLANK('Data Entry'!$$502), "", 'Data Entry'!$$502)</f>
      </c>
      <c r="BT502">
        <f>IF(ISBLANK('Data Entry'!$$502), "", 'Data Entry'!$$502)</f>
      </c>
      <c r="BU502">
        <f>IF(ISBLANK('Data Entry'!$$502), "", 'Data Entry'!$$502)</f>
      </c>
      <c r="BV502">
        <f>IF(ISBLANK('Data Entry'!$$502), "", 'Data Entry'!$$502)</f>
      </c>
      <c r="BW502">
        <f>IF(ISBLANK('Data Entry'!$$502), "", 'Data Entry'!$$502)</f>
      </c>
      <c r="BX502">
        <f>IF(ISBLANK('Data Entry'!$$502), "", 'Data Entry'!$$502)</f>
      </c>
      <c r="BY502">
        <f>IF(ISBLANK('Data Entry'!$$502), "", 'Data Entry'!$$502)</f>
      </c>
      <c r="BZ502">
        <f>IF(ISBLANK('Data Entry'!$$502), "", 'Data Entry'!$$502)</f>
      </c>
      <c r="CA502">
        <f>IF(ISBLANK('Data Entry'!$$502), "", 'Data Entry'!$$502)</f>
      </c>
      <c r="CB502">
        <f>IF(ISBLANK('Data Entry'!$$502), "", 'Data Entry'!$$502)</f>
      </c>
      <c r="CC502">
        <f>IF(ISBLANK('Data Entry'!$$502), "", 'Data Entry'!$$502)</f>
      </c>
      <c r="CD502">
        <f>IF(ISBLANK('Data Entry'!$$502), "", 'Data Entry'!$$502)</f>
      </c>
      <c r="CE502">
        <f>IF(ISBLANK('Data Entry'!$$502), "", 'Data Entry'!$$502)</f>
      </c>
      <c r="CF502">
        <f>IF(ISBLANK('Data Entry'!$$502), "", 'Data Entry'!$$502)</f>
      </c>
      <c r="CG502">
        <f>IF(ISBLANK('Data Entry'!$$502), "", 'Data Entry'!$$502)</f>
      </c>
      <c r="CH502">
        <f>IF(ISBLANK('Data Entry'!$$502), "", 'Data Entry'!$$502)</f>
      </c>
      <c r="CI502">
        <f>IF(ISBLANK('Data Entry'!$$502), "", 'Data Entry'!$$502)</f>
      </c>
      <c r="CJ502">
        <f>IF(ISBLANK('Data Entry'!$$502), "", 'Data Entry'!$$502)</f>
      </c>
      <c r="CK502">
        <f>IF(ISBLANK('Data Entry'!$$502), "", 'Data Entry'!$$502)</f>
      </c>
      <c r="CL502">
        <f>IF(ISBLANK('Data Entry'!$$502), "", 'Data Entry'!$$502)</f>
      </c>
      <c r="CM502">
        <f>IF(ISBLANK('Data Entry'!$$502), "", 'Data Entry'!$$502)</f>
      </c>
      <c r="CN502">
        <f>IF(ISBLANK('Data Entry'!$$502), "", 'Data Entry'!$$502)</f>
      </c>
      <c r="CO502">
        <f>IF(ISBLANK('Data Entry'!$$502), "", 'Data Entry'!$$502)</f>
      </c>
      <c r="CP502">
        <f>IF(ISBLANK('Data Entry'!$$502), "", 'Data Entry'!$$502)</f>
      </c>
      <c r="CQ502">
        <f>IF(ISBLANK('Data Entry'!$$502), "", 'Data Entry'!$$502)</f>
      </c>
      <c r="CR502">
        <f>IF(ISBLANK('Data Entry'!$ $502), "", 'Data Entry'!$ $502)</f>
      </c>
      <c r="CS502">
        <f>IF(ISBLANK('Data Entry'!$¡$502), "", 'Data Entry'!$¡$502)</f>
      </c>
      <c r="CT502">
        <f>IF(ISBLANK('Data Entry'!$¢$502), "", 'Data Entry'!$¢$502)</f>
      </c>
      <c r="CU502">
        <f>IF(ISBLANK('Data Entry'!$£$502), "", 'Data Entry'!$£$502)</f>
      </c>
      <c r="CV502">
        <f>IF(ISBLANK('Data Entry'!$¤$502), "", 'Data Entry'!$¤$502)</f>
      </c>
      <c r="CW502">
        <f>IF(ISBLANK('Data Entry'!$¥$502), "", 'Data Entry'!$¥$502)</f>
      </c>
      <c r="CX502">
        <f>IF(ISBLANK('Data Entry'!$¦$502), "", 'Data Entry'!$¦$502)</f>
      </c>
      <c r="CY502">
        <f>IF(ISBLANK('Data Entry'!$§$502), "", 'Data Entry'!$§$502)</f>
      </c>
      <c r="CZ502">
        <f>IF(ISBLANK('Data Entry'!$¨$502), "", 'Data Entry'!$¨$502)</f>
      </c>
      <c r="DA502">
        <f>IF(ISBLANK('Data Entry'!$©$502), "", 'Data Entry'!$©$502)</f>
      </c>
      <c r="DB502">
        <f>IF(ISBLANK('Data Entry'!$ª$502), "", 'Data Entry'!$ª$502)</f>
      </c>
      <c r="DC502">
        <f>IF(ISBLANK('Data Entry'!$«$502), "", 'Data Entry'!$«$502)</f>
      </c>
      <c r="DD502">
        <f>IF(ISBLANK('Data Entry'!$¬$502), "", 'Data Entry'!$¬$502)</f>
      </c>
      <c r="DE502">
        <f>IF(ISBLANK('Data Entry'!$­$502), "", 'Data Entry'!$­$502)</f>
      </c>
      <c r="DF502">
        <f>IF(ISBLANK('Data Entry'!$®$502), "", 'Data Entry'!$®$502)</f>
      </c>
      <c r="DG502">
        <f>IF(ISBLANK('Data Entry'!$¯$502), "", 'Data Entry'!$¯$502)</f>
      </c>
      <c r="DH502">
        <f>IF(ISBLANK('Data Entry'!$°$502), "", 'Data Entry'!$°$502)</f>
      </c>
      <c r="DI502">
        <f>IF(ISBLANK('Data Entry'!$±$502), "", 'Data Entry'!$±$502)</f>
      </c>
      <c r="DJ502">
        <f>IF(ISBLANK('Data Entry'!$²$502), "", 'Data Entry'!$²$502)</f>
      </c>
      <c r="DK502">
        <f>IF(ISBLANK('Data Entry'!$³$502), "", 'Data Entry'!$³$502)</f>
      </c>
      <c r="DL502">
        <f>IF(ISBLANK('Data Entry'!$´$502), "", 'Data Entry'!$´$502)</f>
      </c>
      <c r="DM502">
        <f>IF(ISBLANK('Data Entry'!$µ$502), "", 'Data Entry'!$µ$502)</f>
      </c>
      <c r="DN502">
        <f>IF(ISBLANK('Data Entry'!$¶$502), "", 'Data Entry'!$¶$502)</f>
      </c>
      <c r="DO502">
        <f>IF(ISBLANK('Data Entry'!$·$502), "", 'Data Entry'!$·$502)</f>
      </c>
      <c r="DP502">
        <f>IF(ISBLANK('Data Entry'!$¸$502), "", 'Data Entry'!$¸$502)</f>
      </c>
      <c r="DQ502">
        <f>IF(ISBLANK('Data Entry'!$¹$502), "", 'Data Entry'!$¹$502)</f>
      </c>
      <c r="DR502">
        <f>IF(ISBLANK('Data Entry'!$º$502), "", 'Data Entry'!$º$502)</f>
      </c>
      <c r="DS502">
        <f>IF(ISBLANK('Data Entry'!$»$502), "", 'Data Entry'!$»$502)</f>
      </c>
      <c r="DT502">
        <f>IF(ISBLANK('Data Entry'!$¼$502), "", 'Data Entry'!$¼$502)</f>
      </c>
      <c r="DU502">
        <f>IF(ISBLANK('Data Entry'!$½$502), "", 'Data Entry'!$½$502)</f>
      </c>
      <c r="DV502">
        <f>IF(ISBLANK('Data Entry'!$¾$502), "", 'Data Entry'!$¾$502)</f>
      </c>
      <c r="DW502">
        <f>IF(ISBLANK('Data Entry'!$¿$502), "", 'Data Entry'!$¿$502)</f>
      </c>
      <c r="DX502">
        <f>IF(ISBLANK('Data Entry'!$À$502), "", 'Data Entry'!$À$502)</f>
      </c>
      <c r="DY502">
        <f>IF(ISBLANK('Data Entry'!$Á$502), "", 'Data Entry'!$Á$502)</f>
      </c>
      <c r="DZ502">
        <f>IF(ISBLANK('Data Entry'!$Â$502), "", 'Data Entry'!$Â$502)</f>
      </c>
      <c r="EA502">
        <f>IF(ISBLANK('Data Entry'!$Ã$502), "", 'Data Entry'!$Ã$502)</f>
      </c>
      <c r="EB502">
        <f>IF(ISBLANK('Data Entry'!$Ä$502), "", 'Data Entry'!$Ä$502)</f>
      </c>
      <c r="EC502">
        <f>IF(ISBLANK('Data Entry'!$Å$502), "", 'Data Entry'!$Å$502)</f>
      </c>
      <c r="ED502">
        <f>IF(ISBLANK('Data Entry'!$Æ$502), "", 'Data Entry'!$Æ$502)</f>
      </c>
      <c r="EE502">
        <f>IF(ISBLANK('Data Entry'!$Ç$502), "", 'Data Entry'!$Ç$502)</f>
      </c>
      <c r="EF502">
        <f>IF(ISBLANK('Data Entry'!$È$502), "", 'Data Entry'!$È$502)</f>
      </c>
      <c r="EG502">
        <f>IF(ISBLANK('Data Entry'!$É$502), "", 'Data Entry'!$É$502)</f>
      </c>
      <c r="EH502">
        <f>IF(ISBLANK('Data Entry'!$Ê$502), "", 'Data Entry'!$Ê$502)</f>
      </c>
      <c r="EI502">
        <f>IF(ISBLANK('Data Entry'!$Ë$502), "", 'Data Entry'!$Ë$502)</f>
      </c>
      <c r="EJ502">
        <f>IF(ISBLANK('Data Entry'!$Ì$502), "", 'Data Entry'!$Ì$502)</f>
      </c>
      <c r="EK502">
        <f>IF(ISBLANK('Data Entry'!$Í$502), "", 'Data Entry'!$Í$502)</f>
      </c>
      <c r="EL502">
        <f>IF(ISBLANK('Data Entry'!$Î$502), "", 'Data Entry'!$Î$502)</f>
      </c>
      <c r="EM502">
        <f>IF(ISBLANK('Data Entry'!$Ï$502), "", 'Data Entry'!$Ï$502)</f>
      </c>
      <c r="EN502">
        <f>IF(ISBLANK('Data Entry'!$Ð$502), "", 'Data Entry'!$Ð$502)</f>
      </c>
      <c r="EO502">
        <f>IF(ISBLANK('Data Entry'!$Ñ$502), "", 'Data Entry'!$Ñ$502)</f>
      </c>
      <c r="EP502">
        <f>IF(ISBLANK('Data Entry'!$Ò$502), "", 'Data Entry'!$Ò$502)</f>
      </c>
      <c r="EQ502">
        <f>IF(ISBLANK('Data Entry'!$Ó$502), "", 'Data Entry'!$Ó$502)</f>
      </c>
      <c r="ER502">
        <f>IF(ISBLANK('Data Entry'!$Ô$502), "", 'Data Entry'!$Ô$502)</f>
      </c>
      <c r="ES502">
        <f>IF(ISBLANK('Data Entry'!$Õ$502), "", 'Data Entry'!$Õ$502)</f>
      </c>
      <c r="ET502">
        <f>IF(ISBLANK('Data Entry'!$Ö$502), "", 'Data Entry'!$Ö$502)</f>
      </c>
      <c r="EU502">
        <f>IF(ISBLANK('Data Entry'!$×$502), "", 'Data Entry'!$×$502)</f>
      </c>
      <c r="EV502">
        <f>IF(ISBLANK('Data Entry'!$Ø$502), "", 'Data Entry'!$Ø$502)</f>
      </c>
      <c r="EW502">
        <f>IF(ISBLANK('Data Entry'!$Ù$502), "", 'Data Entry'!$Ù$502)</f>
      </c>
      <c r="EX502">
        <f>IF(ISBLANK('Data Entry'!$Ú$502), "", 'Data Entry'!$Ú$502)</f>
      </c>
      <c r="EY502">
        <f>IF(ISBLANK('Data Entry'!$Û$502), "", 'Data Entry'!$Û$502)</f>
      </c>
      <c r="EZ502">
        <f>IF(ISBLANK('Data Entry'!$Ü$502), "", 'Data Entry'!$Ü$502)</f>
      </c>
      <c r="FA502">
        <f>IF(ISBLANK('Data Entry'!$Ý$502), "", 'Data Entry'!$Ý$502)</f>
      </c>
      <c r="FB502">
        <f>IF(ISBLANK('Data Entry'!$Þ$502), "", 'Data Entry'!$Þ$502)</f>
      </c>
      <c r="FC502">
        <f>IF(ISBLANK('Data Entry'!$ß$502), "", 'Data Entry'!$ß$502)</f>
      </c>
      <c r="FD502">
        <f>IF(ISBLANK('Data Entry'!$à$502), "", 'Data Entry'!$à$502)</f>
      </c>
      <c r="FE502">
        <f>IF(ISBLANK('Data Entry'!$á$502), "", 'Data Entry'!$á$502)</f>
      </c>
      <c r="FF502">
        <f>IF(ISBLANK('Data Entry'!$â$502), "", 'Data Entry'!$â$502)</f>
      </c>
      <c r="FG502">
        <f>IF(ISBLANK('Data Entry'!$ã$502), "", 'Data Entry'!$ã$502)</f>
      </c>
      <c r="FH502">
        <f>IF(ISBLANK('Data Entry'!$ä$502), "", 'Data Entry'!$ä$502)</f>
      </c>
      <c r="FI502">
        <f>IF(ISBLANK('Data Entry'!$å$502), "", 'Data Entry'!$å$502)</f>
      </c>
      <c r="FJ502">
        <f>IF(ISBLANK('Data Entry'!$æ$502), "", 'Data Entry'!$æ$502)</f>
      </c>
      <c r="FK502">
        <f>IF(ISBLANK('Data Entry'!$ç$502), "", 'Data Entry'!$ç$502)</f>
      </c>
      <c r="FL502">
        <f>IF(ISBLANK('Data Entry'!$è$502), "", 'Data Entry'!$è$502)</f>
      </c>
      <c r="FM502">
        <f>IF(ISBLANK('Data Entry'!$é$502), "", 'Data Entry'!$é$502)</f>
      </c>
      <c r="FN502">
        <f>IF(ISBLANK('Data Entry'!$ê$502), "", 'Data Entry'!$ê$502)</f>
      </c>
      <c r="FO502">
        <f>IF(ISBLANK('Data Entry'!$ë$502), "", 'Data Entry'!$ë$502)</f>
      </c>
      <c r="FP502">
        <f>IF(ISBLANK('Data Entry'!$ì$502), "", 'Data Entry'!$ì$502)</f>
      </c>
      <c r="FQ502">
        <f>IF(ISBLANK('Data Entry'!$í$502), "", 'Data Entry'!$í$502)</f>
      </c>
      <c r="FR502">
        <f>IF(ISBLANK('Data Entry'!$î$502), "", 'Data Entry'!$î$502)</f>
      </c>
      <c r="FS502">
        <f>IF(ISBLANK('Data Entry'!$ï$502), "", 'Data Entry'!$ï$502)</f>
      </c>
      <c r="FT502">
        <f>IF(ISBLANK('Data Entry'!$ð$502), "", 'Data Entry'!$ð$502)</f>
      </c>
      <c r="FU502">
        <f>IF(ISBLANK('Data Entry'!$ñ$502), "", 'Data Entry'!$ñ$502)</f>
      </c>
      <c r="FV502">
        <f>IF(ISBLANK('Data Entry'!$ò$502), "", 'Data Entry'!$ò$502)</f>
      </c>
      <c r="FW502">
        <f>IF(ISBLANK('Data Entry'!$ó$502), "", 'Data Entry'!$ó$502)</f>
      </c>
      <c r="FX502">
        <f>IF(ISBLANK('Data Entry'!$ô$502), "", 'Data Entry'!$ô$502)</f>
      </c>
      <c r="FY502">
        <f>IF(ISBLANK('Data Entry'!$õ$502), "", 'Data Entry'!$õ$502)</f>
      </c>
      <c r="FZ502">
        <f>IF(ISBLANK('Data Entry'!$ö$502), "", 'Data Entry'!$ö$502)</f>
      </c>
      <c r="GA502">
        <f>IF(ISBLANK('Data Entry'!$÷$502), "", 'Data Entry'!$÷$502)</f>
      </c>
      <c r="GB502">
        <f>IF(ISBLANK('Data Entry'!$ø$502), "", 'Data Entry'!$ø$502)</f>
      </c>
      <c r="GC502">
        <f>IF(ISBLANK('Data Entry'!$ù$502), "", 'Data Entry'!$ù$502)</f>
      </c>
      <c r="GD502">
        <f>IF(ISBLANK('Data Entry'!$ú$502), "", 'Data Entry'!$ú$502)</f>
      </c>
      <c r="GE502">
        <f>IF(ISBLANK('Data Entry'!$û$502), "", 'Data Entry'!$û$502)</f>
      </c>
      <c r="GF502">
        <f>IF(ISBLANK('Data Entry'!$ü$502), "", 'Data Entry'!$ü$502)</f>
      </c>
      <c r="GG502">
        <f>IF(ISBLANK('Data Entry'!$ý$502), "", 'Data Entry'!$ý$502)</f>
      </c>
      <c r="GH502">
        <f>IF(ISBLANK('Data Entry'!$þ$502), "", 'Data Entry'!$þ$502)</f>
      </c>
      <c r="GI502">
        <f>IF(ISBLANK('Data Entry'!$ÿ$502), "", 'Data Entry'!$ÿ$502)</f>
      </c>
      <c r="GJ502">
        <f>IF(ISBLANK('Data Entry'!$Ā$502), "", 'Data Entry'!$Ā$502)</f>
      </c>
      <c r="GK502">
        <f>IF(ISBLANK('Data Entry'!$ā$502), "", 'Data Entry'!$ā$502)</f>
      </c>
      <c r="GL502">
        <f>IF(ISBLANK('Data Entry'!$Ă$502), "", 'Data Entry'!$Ă$502)</f>
      </c>
      <c r="GM502">
        <f>IF(ISBLANK('Data Entry'!$ă$502), "", 'Data Entry'!$ă$502)</f>
      </c>
      <c r="GN502">
        <f>IF(ISBLANK('Data Entry'!$Ą$502), "", 'Data Entry'!$Ą$502)</f>
      </c>
      <c r="GO502">
        <f>IF(ISBLANK('Data Entry'!$ą$502), "", 'Data Entry'!$ą$502)</f>
      </c>
      <c r="GP502">
        <f>IF(ISBLANK('Data Entry'!$Ć$502), "", 'Data Entry'!$Ć$502)</f>
      </c>
      <c r="GQ502">
        <f>IF(ISBLANK('Data Entry'!$ć$502), "", 'Data Entry'!$ć$502)</f>
      </c>
      <c r="GR502">
        <f>IF(ISBLANK('Data Entry'!$Ĉ$502), "", 'Data Entry'!$Ĉ$502)</f>
      </c>
      <c r="GS502">
        <f>IF(ISBLANK('Data Entry'!$ĉ$502), "", 'Data Entry'!$ĉ$502)</f>
      </c>
      <c r="GT502">
        <f>IF(ISBLANK('Data Entry'!$Ċ$502), "", 'Data Entry'!$Ċ$502)</f>
      </c>
      <c r="GU502">
        <f>IF(ISBLANK('Data Entry'!$ċ$502), "", 'Data Entry'!$ċ$502)</f>
      </c>
      <c r="GV502">
        <f>IF(ISBLANK('Data Entry'!$Č$502), "", 'Data Entry'!$Č$502)</f>
      </c>
      <c r="GW502">
        <f>IF(ISBLANK('Data Entry'!$č$502), "", 'Data Entry'!$č$502)</f>
      </c>
      <c r="GX502">
        <f>IF(ISBLANK('Data Entry'!$Ď$502), "", 'Data Entry'!$Ď$502)</f>
      </c>
      <c r="GY502">
        <f>IF(ISBLANK('Data Entry'!$ď$502), "", 'Data Entry'!$ď$502)</f>
      </c>
      <c r="GZ502">
        <f>IF(ISBLANK('Data Entry'!$Đ$502), "", 'Data Entry'!$Đ$502)</f>
      </c>
      <c r="HA502">
        <f>IF(ISBLANK('Data Entry'!$đ$502), "", 'Data Entry'!$đ$502)</f>
      </c>
      <c r="HB502">
        <f>IF(ISBLANK('Data Entry'!$Ē$502), "", 'Data Entry'!$Ē$502)</f>
      </c>
      <c r="HC502">
        <f>IF(ISBLANK('Data Entry'!$ē$502), "", 'Data Entry'!$ē$502)</f>
      </c>
      <c r="HD502">
        <f>IF(ISBLANK('Data Entry'!$Ĕ$502), "", 'Data Entry'!$Ĕ$502)</f>
      </c>
      <c r="HE502">
        <f>IF(ISBLANK('Data Entry'!$ĕ$502), "", 'Data Entry'!$ĕ$502)</f>
      </c>
      <c r="HF502">
        <f>IF(ISBLANK('Data Entry'!$Ė$502), "", 'Data Entry'!$Ė$502)</f>
      </c>
      <c r="HG502">
        <f>IF(ISBLANK('Data Entry'!$ė$502), "", 'Data Entry'!$ė$502)</f>
      </c>
      <c r="HH502">
        <f>IF(ISBLANK('Data Entry'!$Ę$502), "", 'Data Entry'!$Ę$502)</f>
      </c>
      <c r="HI502">
        <f>IF(ISBLANK('Data Entry'!$ę$502), "", 'Data Entry'!$ę$502)</f>
      </c>
      <c r="HJ502">
        <f>IF(ISBLANK('Data Entry'!$Ě$502), "", 'Data Entry'!$Ě$502)</f>
      </c>
      <c r="HK502">
        <f>IF(ISBLANK('Data Entry'!$ě$502), "", 'Data Entry'!$ě$502)</f>
      </c>
      <c r="HL502">
        <f>IF(ISBLANK('Data Entry'!$Ĝ$502), "", 'Data Entry'!$Ĝ$502)</f>
      </c>
      <c r="HM502">
        <f>IF(ISBLANK('Data Entry'!$ĝ$502), "", 'Data Entry'!$ĝ$502)</f>
      </c>
      <c r="HN502">
        <f>IF(ISBLANK('Data Entry'!$Ğ$502), "", 'Data Entry'!$Ğ$502)</f>
      </c>
      <c r="HO502">
        <f>IF(ISBLANK('Data Entry'!$ğ$502), "", 'Data Entry'!$ğ$502)</f>
      </c>
      <c r="HP502">
        <f>IF(ISBLANK('Data Entry'!$Ġ$502), "", 'Data Entry'!$Ġ$502)</f>
      </c>
      <c r="HQ502">
        <f>IF(ISBLANK('Data Entry'!$ġ$502), "", 'Data Entry'!$ġ$502)</f>
      </c>
      <c r="HR502">
        <f>IF(ISBLANK('Data Entry'!$Ģ$502), "", 'Data Entry'!$Ģ$502)</f>
      </c>
      <c r="HS502">
        <f>IF(ISBLANK('Data Entry'!$ģ$502), "", 'Data Entry'!$ģ$502)</f>
      </c>
      <c r="HT502">
        <f>IF(ISBLANK('Data Entry'!$Ĥ$502), "", 'Data Entry'!$Ĥ$502)</f>
      </c>
      <c r="HU502">
        <f>IF(ISBLANK('Data Entry'!$ĥ$502), "", 'Data Entry'!$ĥ$502)</f>
      </c>
      <c r="HV502">
        <f>IF(ISBLANK('Data Entry'!$Ħ$502), "", 'Data Entry'!$Ħ$502)</f>
      </c>
      <c r="HW502">
        <f>IF(ISBLANK('Data Entry'!$ħ$502), "", 'Data Entry'!$ħ$502)</f>
      </c>
      <c r="HX502">
        <f>IF(ISBLANK('Data Entry'!$Ĩ$502), "", 'Data Entry'!$Ĩ$502)</f>
      </c>
      <c r="HY502">
        <f>IF(ISBLANK('Data Entry'!$ĩ$502), "", 'Data Entry'!$ĩ$502)</f>
      </c>
      <c r="HZ502">
        <f>IF(ISBLANK('Data Entry'!$Ī$502), "", 'Data Entry'!$Ī$502)</f>
      </c>
      <c r="IA502">
        <f>IF(ISBLANK('Data Entry'!$ī$502), "", 'Data Entry'!$ī$502)</f>
      </c>
      <c r="IB502">
        <f>IF(ISBLANK('Data Entry'!$Ĭ$502), "", 'Data Entry'!$Ĭ$502)</f>
      </c>
      <c r="IC502">
        <f>IF(ISBLANK('Data Entry'!$ĭ$502), "", 'Data Entry'!$ĭ$502)</f>
      </c>
      <c r="ID502">
        <f>IF(ISBLANK('Data Entry'!$Į$502), "", 'Data Entry'!$Į$502)</f>
      </c>
      <c r="IE502">
        <f>IF(ISBLANK('Data Entry'!$į$502), "", 'Data Entry'!$į$502)</f>
      </c>
      <c r="IF502">
        <f>IF(ISBLANK('Data Entry'!$İ$502), "", 'Data Entry'!$İ$502)</f>
      </c>
      <c r="IG502">
        <f>IF(ISBLANK('Data Entry'!$ı$502), "", 'Data Entry'!$ı$502)</f>
      </c>
      <c r="IH502">
        <f>IF(ISBLANK('Data Entry'!$Ĳ$502), "", 'Data Entry'!$Ĳ$502)</f>
      </c>
      <c r="II502">
        <f>IF(ISBLANK('Data Entry'!$ĳ$502), "", 'Data Entry'!$ĳ$502)</f>
      </c>
      <c r="IJ502">
        <f>IF(ISBLANK('Data Entry'!$Ĵ$502), "", 'Data Entry'!$Ĵ$502)</f>
      </c>
      <c r="IK502">
        <f>IF(ISBLANK('Data Entry'!$ĵ$502), "", 'Data Entry'!$ĵ$502)</f>
      </c>
      <c r="IL502">
        <f>IF(ISBLANK('Data Entry'!$Ķ$502), "", 'Data Entry'!$Ķ$502)</f>
      </c>
      <c r="IM502">
        <f>IF(ISBLANK('Data Entry'!$ķ$502), "", 'Data Entry'!$ķ$502)</f>
      </c>
      <c r="IN502">
        <f>IF(ISBLANK('Data Entry'!$ĸ$502), "", 'Data Entry'!$ĸ$502)</f>
      </c>
      <c r="IO502">
        <f>IF(ISBLANK('Data Entry'!$Ĺ$502), "", 'Data Entry'!$Ĺ$502)</f>
      </c>
      <c r="IP502">
        <f>IF(ISBLANK('Data Entry'!$ĺ$502), "", 'Data Entry'!$ĺ$502)</f>
      </c>
      <c r="IQ502">
        <f>IF(ISBLANK('Data Entry'!$Ļ$502), "", 'Data Entry'!$Ļ$502)</f>
      </c>
      <c r="IR502">
        <f>IF(ISBLANK('Data Entry'!$ļ$502), "", 'Data Entry'!$ļ$502)</f>
      </c>
      <c r="IS502">
        <f>IF(ISBLANK('Data Entry'!$Ľ$502), "", 'Data Entry'!$Ľ$502)</f>
      </c>
      <c r="IT502">
        <f>IF(ISBLANK('Data Entry'!$ľ$502), "", 'Data Entry'!$ľ$502)</f>
      </c>
    </row>
    <row r="503" spans="1:254" x14ac:dyDescent="0.25">
      <c r="A503">
        <f>IF(ISBLANK('Data Entry'!$A$503), "", 'Data Entry'!$A$503)</f>
      </c>
      <c r="B503">
        <f>IF(ISBLANK('Data Entry'!$B$503), "", 'Data Entry'!$B$503)</f>
      </c>
      <c r="C503">
        <f>IF(ISBLANK('Data Entry'!$C$503), "", 'Data Entry'!$C$503)</f>
      </c>
      <c r="D503">
        <f>IF(ISBLANK('Data Entry'!$D$503), "", 'Data Entry'!$D$503)</f>
      </c>
      <c r="E503">
        <f>IF(ISBLANK('Data Entry'!$E$503), "", 'Data Entry'!$E$503)</f>
      </c>
      <c r="F503">
        <f>IF(ISBLANK('Data Entry'!$F$503), "", 'Data Entry'!$F$503)</f>
      </c>
      <c r="G503">
        <f>IF(ISBLANK('Data Entry'!$G$503), "", 'Data Entry'!$G$503)</f>
      </c>
      <c r="H503">
        <f>IF(ISBLANK('Data Entry'!$H$503), "", 'Data Entry'!$H$503)</f>
      </c>
      <c r="I503">
        <f>IF(ISBLANK('Data Entry'!$I$503), "", 'Data Entry'!$I$503)</f>
      </c>
      <c r="J503">
        <f>IF(ISBLANK('Data Entry'!$J$503), "", 'Data Entry'!$J$503)</f>
      </c>
      <c r="K503">
        <f>IF(ISBLANK('Data Entry'!$K$503), "", 'Data Entry'!$K$503)</f>
      </c>
      <c r="L503">
        <f>IF(ISBLANK('Data Entry'!$L$503), "", 'Data Entry'!$L$503)</f>
      </c>
      <c r="M503">
        <f>IF(ISBLANK('Data Entry'!$M$503), "", 'Data Entry'!$M$503)</f>
      </c>
      <c r="N503">
        <f>IF(ISBLANK('Data Entry'!$N$503), "", 'Data Entry'!$N$503)</f>
      </c>
      <c r="O503">
        <f>IF(ISBLANK('Data Entry'!$O$503), "", 'Data Entry'!$O$503)</f>
      </c>
      <c r="P503">
        <f>IF(ISBLANK('Data Entry'!$P$503), "", 'Data Entry'!$P$503)</f>
      </c>
      <c r="Q503">
        <f>IF(ISBLANK('Data Entry'!$Q$503), "", 'Data Entry'!$Q$503)</f>
      </c>
      <c r="R503">
        <f>IF(ISBLANK('Data Entry'!$R$503), "", 'Data Entry'!$R$503)</f>
      </c>
      <c r="S503">
        <f>IF(ISBLANK('Data Entry'!$S$503), "", 'Data Entry'!$S$503)</f>
      </c>
      <c r="T503">
        <f>IF(ISBLANK('Data Entry'!$T$503), "", 'Data Entry'!$T$503)</f>
      </c>
      <c r="U503">
        <f>IF(ISBLANK('Data Entry'!$U$503), "", 'Data Entry'!$U$503)</f>
      </c>
      <c r="V503">
        <f>IF(ISBLANK('Data Entry'!$V$503), "", 'Data Entry'!$V$503)</f>
      </c>
      <c r="W503">
        <f>IF(ISBLANK('Data Entry'!$W$503), "", 'Data Entry'!$W$503)</f>
      </c>
      <c r="X503">
        <f>IF(ISBLANK('Data Entry'!$X$503), "", 'Data Entry'!$X$503)</f>
      </c>
      <c r="Y503">
        <f>IF(ISBLANK('Data Entry'!$Y$503), "", 'Data Entry'!$Y$503)</f>
      </c>
      <c r="Z503">
        <f>IF(ISBLANK('Data Entry'!$Z$503), "", 'Data Entry'!$Z$503)</f>
      </c>
      <c r="AA503">
        <f>IF(ISBLANK('Data Entry'!$[$503), "", 'Data Entry'!$[$503)</f>
      </c>
      <c r="AB503">
        <f>IF(ISBLANK('Data Entry'!$\$503), "", 'Data Entry'!$\$503)</f>
      </c>
      <c r="AC503">
        <f>IF(ISBLANK('Data Entry'!$]$503), "", 'Data Entry'!$]$503)</f>
      </c>
      <c r="AD503">
        <f>IF(ISBLANK('Data Entry'!$^$503), "", 'Data Entry'!$^$503)</f>
      </c>
      <c r="AE503">
        <f>IF(ISBLANK('Data Entry'!$_$503), "", 'Data Entry'!$_$503)</f>
      </c>
      <c r="AF503">
        <f>IF(ISBLANK('Data Entry'!$`$503), "", 'Data Entry'!$`$503)</f>
      </c>
      <c r="AG503">
        <f>IF(ISBLANK('Data Entry'!$a$503), "", 'Data Entry'!$a$503)</f>
      </c>
      <c r="AH503">
        <f>IF(ISBLANK('Data Entry'!$b$503), "", 'Data Entry'!$b$503)</f>
      </c>
      <c r="AI503">
        <f>IF(ISBLANK('Data Entry'!$c$503), "", 'Data Entry'!$c$503)</f>
      </c>
      <c r="AJ503">
        <f>IF(ISBLANK('Data Entry'!$d$503), "", 'Data Entry'!$d$503)</f>
      </c>
      <c r="AK503">
        <f>IF(ISBLANK('Data Entry'!$e$503), "", 'Data Entry'!$e$503)</f>
      </c>
      <c r="AL503">
        <f>IF(ISBLANK('Data Entry'!$f$503), "", 'Data Entry'!$f$503)</f>
      </c>
      <c r="AM503">
        <f>IF(ISBLANK('Data Entry'!$g$503), "", 'Data Entry'!$g$503)</f>
      </c>
      <c r="AN503">
        <f>IF(ISBLANK('Data Entry'!$h$503), "", 'Data Entry'!$h$503)</f>
      </c>
      <c r="AO503">
        <f>IF(ISBLANK('Data Entry'!$i$503), "", 'Data Entry'!$i$503)</f>
      </c>
      <c r="AP503">
        <f>IF(ISBLANK('Data Entry'!$j$503), "", 'Data Entry'!$j$503)</f>
      </c>
      <c r="AQ503">
        <f>IF(ISBLANK('Data Entry'!$k$503), "", 'Data Entry'!$k$503)</f>
      </c>
      <c r="AR503">
        <f>IF(ISBLANK('Data Entry'!$l$503), "", 'Data Entry'!$l$503)</f>
      </c>
      <c r="AS503">
        <f>IF(ISBLANK('Data Entry'!$m$503), "", 'Data Entry'!$m$503)</f>
      </c>
      <c r="AT503">
        <f>IF(ISBLANK('Data Entry'!$n$503), "", 'Data Entry'!$n$503)</f>
      </c>
      <c r="AU503">
        <f>IF(ISBLANK('Data Entry'!$o$503), "", 'Data Entry'!$o$503)</f>
      </c>
      <c r="AV503">
        <f>IF(ISBLANK('Data Entry'!$p$503), "", 'Data Entry'!$p$503)</f>
      </c>
      <c r="AW503">
        <f>IF(ISBLANK('Data Entry'!$q$503), "", 'Data Entry'!$q$503)</f>
      </c>
      <c r="AX503">
        <f>IF(ISBLANK('Data Entry'!$r$503), "", 'Data Entry'!$r$503)</f>
      </c>
      <c r="AY503">
        <f>IF(ISBLANK('Data Entry'!$s$503), "", 'Data Entry'!$s$503)</f>
      </c>
      <c r="AZ503">
        <f>IF(ISBLANK('Data Entry'!$t$503), "", 'Data Entry'!$t$503)</f>
      </c>
      <c r="BA503">
        <f>IF(ISBLANK('Data Entry'!$u$503), "", 'Data Entry'!$u$503)</f>
      </c>
      <c r="BB503">
        <f>IF(ISBLANK('Data Entry'!$v$503), "", 'Data Entry'!$v$503)</f>
      </c>
      <c r="BC503">
        <f>IF(ISBLANK('Data Entry'!$w$503), "", 'Data Entry'!$w$503)</f>
      </c>
      <c r="BD503">
        <f>IF(ISBLANK('Data Entry'!$x$503), "", 'Data Entry'!$x$503)</f>
      </c>
      <c r="BE503">
        <f>IF(ISBLANK('Data Entry'!$y$503), "", 'Data Entry'!$y$503)</f>
      </c>
      <c r="BF503">
        <f>IF(ISBLANK('Data Entry'!$z$503), "", 'Data Entry'!$z$503)</f>
      </c>
      <c r="BG503">
        <f>IF(ISBLANK('Data Entry'!${$503), "", 'Data Entry'!${$503)</f>
      </c>
      <c r="BH503">
        <f>IF(ISBLANK('Data Entry'!$|$503), "", 'Data Entry'!$|$503)</f>
      </c>
      <c r="BI503">
        <f>IF(ISBLANK('Data Entry'!$}$503), "", 'Data Entry'!$}$503)</f>
      </c>
      <c r="BJ503">
        <f>IF(ISBLANK('Data Entry'!$~$503), "", 'Data Entry'!$~$503)</f>
      </c>
      <c r="BK503">
        <f>IF(ISBLANK('Data Entry'!$$503), "", 'Data Entry'!$$503)</f>
      </c>
      <c r="BL503">
        <f>IF(ISBLANK('Data Entry'!$$503), "", 'Data Entry'!$$503)</f>
      </c>
      <c r="BM503">
        <f>IF(ISBLANK('Data Entry'!$$503), "", 'Data Entry'!$$503)</f>
      </c>
      <c r="BN503">
        <f>IF(ISBLANK('Data Entry'!$$503), "", 'Data Entry'!$$503)</f>
      </c>
      <c r="BO503">
        <f>IF(ISBLANK('Data Entry'!$$503), "", 'Data Entry'!$$503)</f>
      </c>
      <c r="BP503">
        <f>IF(ISBLANK('Data Entry'!$$503), "", 'Data Entry'!$$503)</f>
      </c>
      <c r="BQ503">
        <f>IF(ISBLANK('Data Entry'!$$503), "", 'Data Entry'!$$503)</f>
      </c>
      <c r="BR503">
        <f>IF(ISBLANK('Data Entry'!$$503), "", 'Data Entry'!$$503)</f>
      </c>
      <c r="BS503">
        <f>IF(ISBLANK('Data Entry'!$$503), "", 'Data Entry'!$$503)</f>
      </c>
      <c r="BT503">
        <f>IF(ISBLANK('Data Entry'!$$503), "", 'Data Entry'!$$503)</f>
      </c>
      <c r="BU503">
        <f>IF(ISBLANK('Data Entry'!$$503), "", 'Data Entry'!$$503)</f>
      </c>
      <c r="BV503">
        <f>IF(ISBLANK('Data Entry'!$$503), "", 'Data Entry'!$$503)</f>
      </c>
      <c r="BW503">
        <f>IF(ISBLANK('Data Entry'!$$503), "", 'Data Entry'!$$503)</f>
      </c>
      <c r="BX503">
        <f>IF(ISBLANK('Data Entry'!$$503), "", 'Data Entry'!$$503)</f>
      </c>
      <c r="BY503">
        <f>IF(ISBLANK('Data Entry'!$$503), "", 'Data Entry'!$$503)</f>
      </c>
      <c r="BZ503">
        <f>IF(ISBLANK('Data Entry'!$$503), "", 'Data Entry'!$$503)</f>
      </c>
      <c r="CA503">
        <f>IF(ISBLANK('Data Entry'!$$503), "", 'Data Entry'!$$503)</f>
      </c>
      <c r="CB503">
        <f>IF(ISBLANK('Data Entry'!$$503), "", 'Data Entry'!$$503)</f>
      </c>
      <c r="CC503">
        <f>IF(ISBLANK('Data Entry'!$$503), "", 'Data Entry'!$$503)</f>
      </c>
      <c r="CD503">
        <f>IF(ISBLANK('Data Entry'!$$503), "", 'Data Entry'!$$503)</f>
      </c>
      <c r="CE503">
        <f>IF(ISBLANK('Data Entry'!$$503), "", 'Data Entry'!$$503)</f>
      </c>
      <c r="CF503">
        <f>IF(ISBLANK('Data Entry'!$$503), "", 'Data Entry'!$$503)</f>
      </c>
      <c r="CG503">
        <f>IF(ISBLANK('Data Entry'!$$503), "", 'Data Entry'!$$503)</f>
      </c>
      <c r="CH503">
        <f>IF(ISBLANK('Data Entry'!$$503), "", 'Data Entry'!$$503)</f>
      </c>
      <c r="CI503">
        <f>IF(ISBLANK('Data Entry'!$$503), "", 'Data Entry'!$$503)</f>
      </c>
      <c r="CJ503">
        <f>IF(ISBLANK('Data Entry'!$$503), "", 'Data Entry'!$$503)</f>
      </c>
      <c r="CK503">
        <f>IF(ISBLANK('Data Entry'!$$503), "", 'Data Entry'!$$503)</f>
      </c>
      <c r="CL503">
        <f>IF(ISBLANK('Data Entry'!$$503), "", 'Data Entry'!$$503)</f>
      </c>
      <c r="CM503">
        <f>IF(ISBLANK('Data Entry'!$$503), "", 'Data Entry'!$$503)</f>
      </c>
      <c r="CN503">
        <f>IF(ISBLANK('Data Entry'!$$503), "", 'Data Entry'!$$503)</f>
      </c>
      <c r="CO503">
        <f>IF(ISBLANK('Data Entry'!$$503), "", 'Data Entry'!$$503)</f>
      </c>
      <c r="CP503">
        <f>IF(ISBLANK('Data Entry'!$$503), "", 'Data Entry'!$$503)</f>
      </c>
      <c r="CQ503">
        <f>IF(ISBLANK('Data Entry'!$$503), "", 'Data Entry'!$$503)</f>
      </c>
      <c r="CR503">
        <f>IF(ISBLANK('Data Entry'!$ $503), "", 'Data Entry'!$ $503)</f>
      </c>
      <c r="CS503">
        <f>IF(ISBLANK('Data Entry'!$¡$503), "", 'Data Entry'!$¡$503)</f>
      </c>
      <c r="CT503">
        <f>IF(ISBLANK('Data Entry'!$¢$503), "", 'Data Entry'!$¢$503)</f>
      </c>
      <c r="CU503">
        <f>IF(ISBLANK('Data Entry'!$£$503), "", 'Data Entry'!$£$503)</f>
      </c>
      <c r="CV503">
        <f>IF(ISBLANK('Data Entry'!$¤$503), "", 'Data Entry'!$¤$503)</f>
      </c>
      <c r="CW503">
        <f>IF(ISBLANK('Data Entry'!$¥$503), "", 'Data Entry'!$¥$503)</f>
      </c>
      <c r="CX503">
        <f>IF(ISBLANK('Data Entry'!$¦$503), "", 'Data Entry'!$¦$503)</f>
      </c>
      <c r="CY503">
        <f>IF(ISBLANK('Data Entry'!$§$503), "", 'Data Entry'!$§$503)</f>
      </c>
      <c r="CZ503">
        <f>IF(ISBLANK('Data Entry'!$¨$503), "", 'Data Entry'!$¨$503)</f>
      </c>
      <c r="DA503">
        <f>IF(ISBLANK('Data Entry'!$©$503), "", 'Data Entry'!$©$503)</f>
      </c>
      <c r="DB503">
        <f>IF(ISBLANK('Data Entry'!$ª$503), "", 'Data Entry'!$ª$503)</f>
      </c>
      <c r="DC503">
        <f>IF(ISBLANK('Data Entry'!$«$503), "", 'Data Entry'!$«$503)</f>
      </c>
      <c r="DD503">
        <f>IF(ISBLANK('Data Entry'!$¬$503), "", 'Data Entry'!$¬$503)</f>
      </c>
      <c r="DE503">
        <f>IF(ISBLANK('Data Entry'!$­$503), "", 'Data Entry'!$­$503)</f>
      </c>
      <c r="DF503">
        <f>IF(ISBLANK('Data Entry'!$®$503), "", 'Data Entry'!$®$503)</f>
      </c>
      <c r="DG503">
        <f>IF(ISBLANK('Data Entry'!$¯$503), "", 'Data Entry'!$¯$503)</f>
      </c>
      <c r="DH503">
        <f>IF(ISBLANK('Data Entry'!$°$503), "", 'Data Entry'!$°$503)</f>
      </c>
      <c r="DI503">
        <f>IF(ISBLANK('Data Entry'!$±$503), "", 'Data Entry'!$±$503)</f>
      </c>
      <c r="DJ503">
        <f>IF(ISBLANK('Data Entry'!$²$503), "", 'Data Entry'!$²$503)</f>
      </c>
      <c r="DK503">
        <f>IF(ISBLANK('Data Entry'!$³$503), "", 'Data Entry'!$³$503)</f>
      </c>
      <c r="DL503">
        <f>IF(ISBLANK('Data Entry'!$´$503), "", 'Data Entry'!$´$503)</f>
      </c>
      <c r="DM503">
        <f>IF(ISBLANK('Data Entry'!$µ$503), "", 'Data Entry'!$µ$503)</f>
      </c>
      <c r="DN503">
        <f>IF(ISBLANK('Data Entry'!$¶$503), "", 'Data Entry'!$¶$503)</f>
      </c>
      <c r="DO503">
        <f>IF(ISBLANK('Data Entry'!$·$503), "", 'Data Entry'!$·$503)</f>
      </c>
      <c r="DP503">
        <f>IF(ISBLANK('Data Entry'!$¸$503), "", 'Data Entry'!$¸$503)</f>
      </c>
      <c r="DQ503">
        <f>IF(ISBLANK('Data Entry'!$¹$503), "", 'Data Entry'!$¹$503)</f>
      </c>
      <c r="DR503">
        <f>IF(ISBLANK('Data Entry'!$º$503), "", 'Data Entry'!$º$503)</f>
      </c>
      <c r="DS503">
        <f>IF(ISBLANK('Data Entry'!$»$503), "", 'Data Entry'!$»$503)</f>
      </c>
      <c r="DT503">
        <f>IF(ISBLANK('Data Entry'!$¼$503), "", 'Data Entry'!$¼$503)</f>
      </c>
      <c r="DU503">
        <f>IF(ISBLANK('Data Entry'!$½$503), "", 'Data Entry'!$½$503)</f>
      </c>
      <c r="DV503">
        <f>IF(ISBLANK('Data Entry'!$¾$503), "", 'Data Entry'!$¾$503)</f>
      </c>
      <c r="DW503">
        <f>IF(ISBLANK('Data Entry'!$¿$503), "", 'Data Entry'!$¿$503)</f>
      </c>
      <c r="DX503">
        <f>IF(ISBLANK('Data Entry'!$À$503), "", 'Data Entry'!$À$503)</f>
      </c>
      <c r="DY503">
        <f>IF(ISBLANK('Data Entry'!$Á$503), "", 'Data Entry'!$Á$503)</f>
      </c>
      <c r="DZ503">
        <f>IF(ISBLANK('Data Entry'!$Â$503), "", 'Data Entry'!$Â$503)</f>
      </c>
      <c r="EA503">
        <f>IF(ISBLANK('Data Entry'!$Ã$503), "", 'Data Entry'!$Ã$503)</f>
      </c>
      <c r="EB503">
        <f>IF(ISBLANK('Data Entry'!$Ä$503), "", 'Data Entry'!$Ä$503)</f>
      </c>
      <c r="EC503">
        <f>IF(ISBLANK('Data Entry'!$Å$503), "", 'Data Entry'!$Å$503)</f>
      </c>
      <c r="ED503">
        <f>IF(ISBLANK('Data Entry'!$Æ$503), "", 'Data Entry'!$Æ$503)</f>
      </c>
      <c r="EE503">
        <f>IF(ISBLANK('Data Entry'!$Ç$503), "", 'Data Entry'!$Ç$503)</f>
      </c>
      <c r="EF503">
        <f>IF(ISBLANK('Data Entry'!$È$503), "", 'Data Entry'!$È$503)</f>
      </c>
      <c r="EG503">
        <f>IF(ISBLANK('Data Entry'!$É$503), "", 'Data Entry'!$É$503)</f>
      </c>
      <c r="EH503">
        <f>IF(ISBLANK('Data Entry'!$Ê$503), "", 'Data Entry'!$Ê$503)</f>
      </c>
      <c r="EI503">
        <f>IF(ISBLANK('Data Entry'!$Ë$503), "", 'Data Entry'!$Ë$503)</f>
      </c>
      <c r="EJ503">
        <f>IF(ISBLANK('Data Entry'!$Ì$503), "", 'Data Entry'!$Ì$503)</f>
      </c>
      <c r="EK503">
        <f>IF(ISBLANK('Data Entry'!$Í$503), "", 'Data Entry'!$Í$503)</f>
      </c>
      <c r="EL503">
        <f>IF(ISBLANK('Data Entry'!$Î$503), "", 'Data Entry'!$Î$503)</f>
      </c>
      <c r="EM503">
        <f>IF(ISBLANK('Data Entry'!$Ï$503), "", 'Data Entry'!$Ï$503)</f>
      </c>
      <c r="EN503">
        <f>IF(ISBLANK('Data Entry'!$Ð$503), "", 'Data Entry'!$Ð$503)</f>
      </c>
      <c r="EO503">
        <f>IF(ISBLANK('Data Entry'!$Ñ$503), "", 'Data Entry'!$Ñ$503)</f>
      </c>
      <c r="EP503">
        <f>IF(ISBLANK('Data Entry'!$Ò$503), "", 'Data Entry'!$Ò$503)</f>
      </c>
      <c r="EQ503">
        <f>IF(ISBLANK('Data Entry'!$Ó$503), "", 'Data Entry'!$Ó$503)</f>
      </c>
      <c r="ER503">
        <f>IF(ISBLANK('Data Entry'!$Ô$503), "", 'Data Entry'!$Ô$503)</f>
      </c>
      <c r="ES503">
        <f>IF(ISBLANK('Data Entry'!$Õ$503), "", 'Data Entry'!$Õ$503)</f>
      </c>
      <c r="ET503">
        <f>IF(ISBLANK('Data Entry'!$Ö$503), "", 'Data Entry'!$Ö$503)</f>
      </c>
      <c r="EU503">
        <f>IF(ISBLANK('Data Entry'!$×$503), "", 'Data Entry'!$×$503)</f>
      </c>
      <c r="EV503">
        <f>IF(ISBLANK('Data Entry'!$Ø$503), "", 'Data Entry'!$Ø$503)</f>
      </c>
      <c r="EW503">
        <f>IF(ISBLANK('Data Entry'!$Ù$503), "", 'Data Entry'!$Ù$503)</f>
      </c>
      <c r="EX503">
        <f>IF(ISBLANK('Data Entry'!$Ú$503), "", 'Data Entry'!$Ú$503)</f>
      </c>
      <c r="EY503">
        <f>IF(ISBLANK('Data Entry'!$Û$503), "", 'Data Entry'!$Û$503)</f>
      </c>
      <c r="EZ503">
        <f>IF(ISBLANK('Data Entry'!$Ü$503), "", 'Data Entry'!$Ü$503)</f>
      </c>
      <c r="FA503">
        <f>IF(ISBLANK('Data Entry'!$Ý$503), "", 'Data Entry'!$Ý$503)</f>
      </c>
      <c r="FB503">
        <f>IF(ISBLANK('Data Entry'!$Þ$503), "", 'Data Entry'!$Þ$503)</f>
      </c>
      <c r="FC503">
        <f>IF(ISBLANK('Data Entry'!$ß$503), "", 'Data Entry'!$ß$503)</f>
      </c>
      <c r="FD503">
        <f>IF(ISBLANK('Data Entry'!$à$503), "", 'Data Entry'!$à$503)</f>
      </c>
      <c r="FE503">
        <f>IF(ISBLANK('Data Entry'!$á$503), "", 'Data Entry'!$á$503)</f>
      </c>
      <c r="FF503">
        <f>IF(ISBLANK('Data Entry'!$â$503), "", 'Data Entry'!$â$503)</f>
      </c>
      <c r="FG503">
        <f>IF(ISBLANK('Data Entry'!$ã$503), "", 'Data Entry'!$ã$503)</f>
      </c>
      <c r="FH503">
        <f>IF(ISBLANK('Data Entry'!$ä$503), "", 'Data Entry'!$ä$503)</f>
      </c>
      <c r="FI503">
        <f>IF(ISBLANK('Data Entry'!$å$503), "", 'Data Entry'!$å$503)</f>
      </c>
      <c r="FJ503">
        <f>IF(ISBLANK('Data Entry'!$æ$503), "", 'Data Entry'!$æ$503)</f>
      </c>
      <c r="FK503">
        <f>IF(ISBLANK('Data Entry'!$ç$503), "", 'Data Entry'!$ç$503)</f>
      </c>
      <c r="FL503">
        <f>IF(ISBLANK('Data Entry'!$è$503), "", 'Data Entry'!$è$503)</f>
      </c>
      <c r="FM503">
        <f>IF(ISBLANK('Data Entry'!$é$503), "", 'Data Entry'!$é$503)</f>
      </c>
      <c r="FN503">
        <f>IF(ISBLANK('Data Entry'!$ê$503), "", 'Data Entry'!$ê$503)</f>
      </c>
      <c r="FO503">
        <f>IF(ISBLANK('Data Entry'!$ë$503), "", 'Data Entry'!$ë$503)</f>
      </c>
      <c r="FP503">
        <f>IF(ISBLANK('Data Entry'!$ì$503), "", 'Data Entry'!$ì$503)</f>
      </c>
      <c r="FQ503">
        <f>IF(ISBLANK('Data Entry'!$í$503), "", 'Data Entry'!$í$503)</f>
      </c>
      <c r="FR503">
        <f>IF(ISBLANK('Data Entry'!$î$503), "", 'Data Entry'!$î$503)</f>
      </c>
      <c r="FS503">
        <f>IF(ISBLANK('Data Entry'!$ï$503), "", 'Data Entry'!$ï$503)</f>
      </c>
      <c r="FT503">
        <f>IF(ISBLANK('Data Entry'!$ð$503), "", 'Data Entry'!$ð$503)</f>
      </c>
      <c r="FU503">
        <f>IF(ISBLANK('Data Entry'!$ñ$503), "", 'Data Entry'!$ñ$503)</f>
      </c>
      <c r="FV503">
        <f>IF(ISBLANK('Data Entry'!$ò$503), "", 'Data Entry'!$ò$503)</f>
      </c>
      <c r="FW503">
        <f>IF(ISBLANK('Data Entry'!$ó$503), "", 'Data Entry'!$ó$503)</f>
      </c>
      <c r="FX503">
        <f>IF(ISBLANK('Data Entry'!$ô$503), "", 'Data Entry'!$ô$503)</f>
      </c>
      <c r="FY503">
        <f>IF(ISBLANK('Data Entry'!$õ$503), "", 'Data Entry'!$õ$503)</f>
      </c>
      <c r="FZ503">
        <f>IF(ISBLANK('Data Entry'!$ö$503), "", 'Data Entry'!$ö$503)</f>
      </c>
      <c r="GA503">
        <f>IF(ISBLANK('Data Entry'!$÷$503), "", 'Data Entry'!$÷$503)</f>
      </c>
      <c r="GB503">
        <f>IF(ISBLANK('Data Entry'!$ø$503), "", 'Data Entry'!$ø$503)</f>
      </c>
      <c r="GC503">
        <f>IF(ISBLANK('Data Entry'!$ù$503), "", 'Data Entry'!$ù$503)</f>
      </c>
      <c r="GD503">
        <f>IF(ISBLANK('Data Entry'!$ú$503), "", 'Data Entry'!$ú$503)</f>
      </c>
      <c r="GE503">
        <f>IF(ISBLANK('Data Entry'!$û$503), "", 'Data Entry'!$û$503)</f>
      </c>
      <c r="GF503">
        <f>IF(ISBLANK('Data Entry'!$ü$503), "", 'Data Entry'!$ü$503)</f>
      </c>
      <c r="GG503">
        <f>IF(ISBLANK('Data Entry'!$ý$503), "", 'Data Entry'!$ý$503)</f>
      </c>
      <c r="GH503">
        <f>IF(ISBLANK('Data Entry'!$þ$503), "", 'Data Entry'!$þ$503)</f>
      </c>
      <c r="GI503">
        <f>IF(ISBLANK('Data Entry'!$ÿ$503), "", 'Data Entry'!$ÿ$503)</f>
      </c>
      <c r="GJ503">
        <f>IF(ISBLANK('Data Entry'!$Ā$503), "", 'Data Entry'!$Ā$503)</f>
      </c>
      <c r="GK503">
        <f>IF(ISBLANK('Data Entry'!$ā$503), "", 'Data Entry'!$ā$503)</f>
      </c>
      <c r="GL503">
        <f>IF(ISBLANK('Data Entry'!$Ă$503), "", 'Data Entry'!$Ă$503)</f>
      </c>
      <c r="GM503">
        <f>IF(ISBLANK('Data Entry'!$ă$503), "", 'Data Entry'!$ă$503)</f>
      </c>
      <c r="GN503">
        <f>IF(ISBLANK('Data Entry'!$Ą$503), "", 'Data Entry'!$Ą$503)</f>
      </c>
      <c r="GO503">
        <f>IF(ISBLANK('Data Entry'!$ą$503), "", 'Data Entry'!$ą$503)</f>
      </c>
      <c r="GP503">
        <f>IF(ISBLANK('Data Entry'!$Ć$503), "", 'Data Entry'!$Ć$503)</f>
      </c>
      <c r="GQ503">
        <f>IF(ISBLANK('Data Entry'!$ć$503), "", 'Data Entry'!$ć$503)</f>
      </c>
      <c r="GR503">
        <f>IF(ISBLANK('Data Entry'!$Ĉ$503), "", 'Data Entry'!$Ĉ$503)</f>
      </c>
      <c r="GS503">
        <f>IF(ISBLANK('Data Entry'!$ĉ$503), "", 'Data Entry'!$ĉ$503)</f>
      </c>
      <c r="GT503">
        <f>IF(ISBLANK('Data Entry'!$Ċ$503), "", 'Data Entry'!$Ċ$503)</f>
      </c>
      <c r="GU503">
        <f>IF(ISBLANK('Data Entry'!$ċ$503), "", 'Data Entry'!$ċ$503)</f>
      </c>
      <c r="GV503">
        <f>IF(ISBLANK('Data Entry'!$Č$503), "", 'Data Entry'!$Č$503)</f>
      </c>
      <c r="GW503">
        <f>IF(ISBLANK('Data Entry'!$č$503), "", 'Data Entry'!$č$503)</f>
      </c>
      <c r="GX503">
        <f>IF(ISBLANK('Data Entry'!$Ď$503), "", 'Data Entry'!$Ď$503)</f>
      </c>
      <c r="GY503">
        <f>IF(ISBLANK('Data Entry'!$ď$503), "", 'Data Entry'!$ď$503)</f>
      </c>
      <c r="GZ503">
        <f>IF(ISBLANK('Data Entry'!$Đ$503), "", 'Data Entry'!$Đ$503)</f>
      </c>
      <c r="HA503">
        <f>IF(ISBLANK('Data Entry'!$đ$503), "", 'Data Entry'!$đ$503)</f>
      </c>
      <c r="HB503">
        <f>IF(ISBLANK('Data Entry'!$Ē$503), "", 'Data Entry'!$Ē$503)</f>
      </c>
      <c r="HC503">
        <f>IF(ISBLANK('Data Entry'!$ē$503), "", 'Data Entry'!$ē$503)</f>
      </c>
      <c r="HD503">
        <f>IF(ISBLANK('Data Entry'!$Ĕ$503), "", 'Data Entry'!$Ĕ$503)</f>
      </c>
      <c r="HE503">
        <f>IF(ISBLANK('Data Entry'!$ĕ$503), "", 'Data Entry'!$ĕ$503)</f>
      </c>
      <c r="HF503">
        <f>IF(ISBLANK('Data Entry'!$Ė$503), "", 'Data Entry'!$Ė$503)</f>
      </c>
      <c r="HG503">
        <f>IF(ISBLANK('Data Entry'!$ė$503), "", 'Data Entry'!$ė$503)</f>
      </c>
      <c r="HH503">
        <f>IF(ISBLANK('Data Entry'!$Ę$503), "", 'Data Entry'!$Ę$503)</f>
      </c>
      <c r="HI503">
        <f>IF(ISBLANK('Data Entry'!$ę$503), "", 'Data Entry'!$ę$503)</f>
      </c>
      <c r="HJ503">
        <f>IF(ISBLANK('Data Entry'!$Ě$503), "", 'Data Entry'!$Ě$503)</f>
      </c>
      <c r="HK503">
        <f>IF(ISBLANK('Data Entry'!$ě$503), "", 'Data Entry'!$ě$503)</f>
      </c>
      <c r="HL503">
        <f>IF(ISBLANK('Data Entry'!$Ĝ$503), "", 'Data Entry'!$Ĝ$503)</f>
      </c>
      <c r="HM503">
        <f>IF(ISBLANK('Data Entry'!$ĝ$503), "", 'Data Entry'!$ĝ$503)</f>
      </c>
      <c r="HN503">
        <f>IF(ISBLANK('Data Entry'!$Ğ$503), "", 'Data Entry'!$Ğ$503)</f>
      </c>
      <c r="HO503">
        <f>IF(ISBLANK('Data Entry'!$ğ$503), "", 'Data Entry'!$ğ$503)</f>
      </c>
      <c r="HP503">
        <f>IF(ISBLANK('Data Entry'!$Ġ$503), "", 'Data Entry'!$Ġ$503)</f>
      </c>
      <c r="HQ503">
        <f>IF(ISBLANK('Data Entry'!$ġ$503), "", 'Data Entry'!$ġ$503)</f>
      </c>
      <c r="HR503">
        <f>IF(ISBLANK('Data Entry'!$Ģ$503), "", 'Data Entry'!$Ģ$503)</f>
      </c>
      <c r="HS503">
        <f>IF(ISBLANK('Data Entry'!$ģ$503), "", 'Data Entry'!$ģ$503)</f>
      </c>
      <c r="HT503">
        <f>IF(ISBLANK('Data Entry'!$Ĥ$503), "", 'Data Entry'!$Ĥ$503)</f>
      </c>
      <c r="HU503">
        <f>IF(ISBLANK('Data Entry'!$ĥ$503), "", 'Data Entry'!$ĥ$503)</f>
      </c>
      <c r="HV503">
        <f>IF(ISBLANK('Data Entry'!$Ħ$503), "", 'Data Entry'!$Ħ$503)</f>
      </c>
      <c r="HW503">
        <f>IF(ISBLANK('Data Entry'!$ħ$503), "", 'Data Entry'!$ħ$503)</f>
      </c>
      <c r="HX503">
        <f>IF(ISBLANK('Data Entry'!$Ĩ$503), "", 'Data Entry'!$Ĩ$503)</f>
      </c>
      <c r="HY503">
        <f>IF(ISBLANK('Data Entry'!$ĩ$503), "", 'Data Entry'!$ĩ$503)</f>
      </c>
      <c r="HZ503">
        <f>IF(ISBLANK('Data Entry'!$Ī$503), "", 'Data Entry'!$Ī$503)</f>
      </c>
      <c r="IA503">
        <f>IF(ISBLANK('Data Entry'!$ī$503), "", 'Data Entry'!$ī$503)</f>
      </c>
      <c r="IB503">
        <f>IF(ISBLANK('Data Entry'!$Ĭ$503), "", 'Data Entry'!$Ĭ$503)</f>
      </c>
      <c r="IC503">
        <f>IF(ISBLANK('Data Entry'!$ĭ$503), "", 'Data Entry'!$ĭ$503)</f>
      </c>
      <c r="ID503">
        <f>IF(ISBLANK('Data Entry'!$Į$503), "", 'Data Entry'!$Į$503)</f>
      </c>
      <c r="IE503">
        <f>IF(ISBLANK('Data Entry'!$į$503), "", 'Data Entry'!$į$503)</f>
      </c>
      <c r="IF503">
        <f>IF(ISBLANK('Data Entry'!$İ$503), "", 'Data Entry'!$İ$503)</f>
      </c>
      <c r="IG503">
        <f>IF(ISBLANK('Data Entry'!$ı$503), "", 'Data Entry'!$ı$503)</f>
      </c>
      <c r="IH503">
        <f>IF(ISBLANK('Data Entry'!$Ĳ$503), "", 'Data Entry'!$Ĳ$503)</f>
      </c>
      <c r="II503">
        <f>IF(ISBLANK('Data Entry'!$ĳ$503), "", 'Data Entry'!$ĳ$503)</f>
      </c>
      <c r="IJ503">
        <f>IF(ISBLANK('Data Entry'!$Ĵ$503), "", 'Data Entry'!$Ĵ$503)</f>
      </c>
      <c r="IK503">
        <f>IF(ISBLANK('Data Entry'!$ĵ$503), "", 'Data Entry'!$ĵ$503)</f>
      </c>
      <c r="IL503">
        <f>IF(ISBLANK('Data Entry'!$Ķ$503), "", 'Data Entry'!$Ķ$503)</f>
      </c>
      <c r="IM503">
        <f>IF(ISBLANK('Data Entry'!$ķ$503), "", 'Data Entry'!$ķ$503)</f>
      </c>
      <c r="IN503">
        <f>IF(ISBLANK('Data Entry'!$ĸ$503), "", 'Data Entry'!$ĸ$503)</f>
      </c>
      <c r="IO503">
        <f>IF(ISBLANK('Data Entry'!$Ĺ$503), "", 'Data Entry'!$Ĺ$503)</f>
      </c>
      <c r="IP503">
        <f>IF(ISBLANK('Data Entry'!$ĺ$503), "", 'Data Entry'!$ĺ$503)</f>
      </c>
      <c r="IQ503">
        <f>IF(ISBLANK('Data Entry'!$Ļ$503), "", 'Data Entry'!$Ļ$503)</f>
      </c>
      <c r="IR503">
        <f>IF(ISBLANK('Data Entry'!$ļ$503), "", 'Data Entry'!$ļ$503)</f>
      </c>
      <c r="IS503">
        <f>IF(ISBLANK('Data Entry'!$Ľ$503), "", 'Data Entry'!$Ľ$503)</f>
      </c>
      <c r="IT503">
        <f>IF(ISBLANK('Data Entry'!$ľ$503), "", 'Data Entry'!$ľ$503)</f>
      </c>
    </row>
    <row r="504" spans="1:254" x14ac:dyDescent="0.25">
      <c r="A504">
        <f>IF(ISBLANK('Data Entry'!$A$504), "", 'Data Entry'!$A$504)</f>
      </c>
      <c r="B504">
        <f>IF(ISBLANK('Data Entry'!$B$504), "", 'Data Entry'!$B$504)</f>
      </c>
      <c r="C504">
        <f>IF(ISBLANK('Data Entry'!$C$504), "", 'Data Entry'!$C$504)</f>
      </c>
      <c r="D504">
        <f>IF(ISBLANK('Data Entry'!$D$504), "", 'Data Entry'!$D$504)</f>
      </c>
      <c r="E504">
        <f>IF(ISBLANK('Data Entry'!$E$504), "", 'Data Entry'!$E$504)</f>
      </c>
      <c r="F504">
        <f>IF(ISBLANK('Data Entry'!$F$504), "", 'Data Entry'!$F$504)</f>
      </c>
      <c r="G504">
        <f>IF(ISBLANK('Data Entry'!$G$504), "", 'Data Entry'!$G$504)</f>
      </c>
      <c r="H504">
        <f>IF(ISBLANK('Data Entry'!$H$504), "", 'Data Entry'!$H$504)</f>
      </c>
      <c r="I504">
        <f>IF(ISBLANK('Data Entry'!$I$504), "", 'Data Entry'!$I$504)</f>
      </c>
      <c r="J504">
        <f>IF(ISBLANK('Data Entry'!$J$504), "", 'Data Entry'!$J$504)</f>
      </c>
      <c r="K504">
        <f>IF(ISBLANK('Data Entry'!$K$504), "", 'Data Entry'!$K$504)</f>
      </c>
      <c r="L504">
        <f>IF(ISBLANK('Data Entry'!$L$504), "", 'Data Entry'!$L$504)</f>
      </c>
      <c r="M504">
        <f>IF(ISBLANK('Data Entry'!$M$504), "", 'Data Entry'!$M$504)</f>
      </c>
      <c r="N504">
        <f>IF(ISBLANK('Data Entry'!$N$504), "", 'Data Entry'!$N$504)</f>
      </c>
      <c r="O504">
        <f>IF(ISBLANK('Data Entry'!$O$504), "", 'Data Entry'!$O$504)</f>
      </c>
      <c r="P504">
        <f>IF(ISBLANK('Data Entry'!$P$504), "", 'Data Entry'!$P$504)</f>
      </c>
      <c r="Q504">
        <f>IF(ISBLANK('Data Entry'!$Q$504), "", 'Data Entry'!$Q$504)</f>
      </c>
      <c r="R504">
        <f>IF(ISBLANK('Data Entry'!$R$504), "", 'Data Entry'!$R$504)</f>
      </c>
      <c r="S504">
        <f>IF(ISBLANK('Data Entry'!$S$504), "", 'Data Entry'!$S$504)</f>
      </c>
      <c r="T504">
        <f>IF(ISBLANK('Data Entry'!$T$504), "", 'Data Entry'!$T$504)</f>
      </c>
      <c r="U504">
        <f>IF(ISBLANK('Data Entry'!$U$504), "", 'Data Entry'!$U$504)</f>
      </c>
      <c r="V504">
        <f>IF(ISBLANK('Data Entry'!$V$504), "", 'Data Entry'!$V$504)</f>
      </c>
      <c r="W504">
        <f>IF(ISBLANK('Data Entry'!$W$504), "", 'Data Entry'!$W$504)</f>
      </c>
      <c r="X504">
        <f>IF(ISBLANK('Data Entry'!$X$504), "", 'Data Entry'!$X$504)</f>
      </c>
      <c r="Y504">
        <f>IF(ISBLANK('Data Entry'!$Y$504), "", 'Data Entry'!$Y$504)</f>
      </c>
      <c r="Z504">
        <f>IF(ISBLANK('Data Entry'!$Z$504), "", 'Data Entry'!$Z$504)</f>
      </c>
      <c r="AA504">
        <f>IF(ISBLANK('Data Entry'!$[$504), "", 'Data Entry'!$[$504)</f>
      </c>
      <c r="AB504">
        <f>IF(ISBLANK('Data Entry'!$\$504), "", 'Data Entry'!$\$504)</f>
      </c>
      <c r="AC504">
        <f>IF(ISBLANK('Data Entry'!$]$504), "", 'Data Entry'!$]$504)</f>
      </c>
      <c r="AD504">
        <f>IF(ISBLANK('Data Entry'!$^$504), "", 'Data Entry'!$^$504)</f>
      </c>
      <c r="AE504">
        <f>IF(ISBLANK('Data Entry'!$_$504), "", 'Data Entry'!$_$504)</f>
      </c>
      <c r="AF504">
        <f>IF(ISBLANK('Data Entry'!$`$504), "", 'Data Entry'!$`$504)</f>
      </c>
      <c r="AG504">
        <f>IF(ISBLANK('Data Entry'!$a$504), "", 'Data Entry'!$a$504)</f>
      </c>
      <c r="AH504">
        <f>IF(ISBLANK('Data Entry'!$b$504), "", 'Data Entry'!$b$504)</f>
      </c>
      <c r="AI504">
        <f>IF(ISBLANK('Data Entry'!$c$504), "", 'Data Entry'!$c$504)</f>
      </c>
      <c r="AJ504">
        <f>IF(ISBLANK('Data Entry'!$d$504), "", 'Data Entry'!$d$504)</f>
      </c>
      <c r="AK504">
        <f>IF(ISBLANK('Data Entry'!$e$504), "", 'Data Entry'!$e$504)</f>
      </c>
      <c r="AL504">
        <f>IF(ISBLANK('Data Entry'!$f$504), "", 'Data Entry'!$f$504)</f>
      </c>
      <c r="AM504">
        <f>IF(ISBLANK('Data Entry'!$g$504), "", 'Data Entry'!$g$504)</f>
      </c>
      <c r="AN504">
        <f>IF(ISBLANK('Data Entry'!$h$504), "", 'Data Entry'!$h$504)</f>
      </c>
      <c r="AO504">
        <f>IF(ISBLANK('Data Entry'!$i$504), "", 'Data Entry'!$i$504)</f>
      </c>
      <c r="AP504">
        <f>IF(ISBLANK('Data Entry'!$j$504), "", 'Data Entry'!$j$504)</f>
      </c>
      <c r="AQ504">
        <f>IF(ISBLANK('Data Entry'!$k$504), "", 'Data Entry'!$k$504)</f>
      </c>
      <c r="AR504">
        <f>IF(ISBLANK('Data Entry'!$l$504), "", 'Data Entry'!$l$504)</f>
      </c>
      <c r="AS504">
        <f>IF(ISBLANK('Data Entry'!$m$504), "", 'Data Entry'!$m$504)</f>
      </c>
      <c r="AT504">
        <f>IF(ISBLANK('Data Entry'!$n$504), "", 'Data Entry'!$n$504)</f>
      </c>
      <c r="AU504">
        <f>IF(ISBLANK('Data Entry'!$o$504), "", 'Data Entry'!$o$504)</f>
      </c>
      <c r="AV504">
        <f>IF(ISBLANK('Data Entry'!$p$504), "", 'Data Entry'!$p$504)</f>
      </c>
      <c r="AW504">
        <f>IF(ISBLANK('Data Entry'!$q$504), "", 'Data Entry'!$q$504)</f>
      </c>
      <c r="AX504">
        <f>IF(ISBLANK('Data Entry'!$r$504), "", 'Data Entry'!$r$504)</f>
      </c>
      <c r="AY504">
        <f>IF(ISBLANK('Data Entry'!$s$504), "", 'Data Entry'!$s$504)</f>
      </c>
      <c r="AZ504">
        <f>IF(ISBLANK('Data Entry'!$t$504), "", 'Data Entry'!$t$504)</f>
      </c>
      <c r="BA504">
        <f>IF(ISBLANK('Data Entry'!$u$504), "", 'Data Entry'!$u$504)</f>
      </c>
      <c r="BB504">
        <f>IF(ISBLANK('Data Entry'!$v$504), "", 'Data Entry'!$v$504)</f>
      </c>
      <c r="BC504">
        <f>IF(ISBLANK('Data Entry'!$w$504), "", 'Data Entry'!$w$504)</f>
      </c>
      <c r="BD504">
        <f>IF(ISBLANK('Data Entry'!$x$504), "", 'Data Entry'!$x$504)</f>
      </c>
      <c r="BE504">
        <f>IF(ISBLANK('Data Entry'!$y$504), "", 'Data Entry'!$y$504)</f>
      </c>
      <c r="BF504">
        <f>IF(ISBLANK('Data Entry'!$z$504), "", 'Data Entry'!$z$504)</f>
      </c>
      <c r="BG504">
        <f>IF(ISBLANK('Data Entry'!${$504), "", 'Data Entry'!${$504)</f>
      </c>
      <c r="BH504">
        <f>IF(ISBLANK('Data Entry'!$|$504), "", 'Data Entry'!$|$504)</f>
      </c>
      <c r="BI504">
        <f>IF(ISBLANK('Data Entry'!$}$504), "", 'Data Entry'!$}$504)</f>
      </c>
      <c r="BJ504">
        <f>IF(ISBLANK('Data Entry'!$~$504), "", 'Data Entry'!$~$504)</f>
      </c>
      <c r="BK504">
        <f>IF(ISBLANK('Data Entry'!$$504), "", 'Data Entry'!$$504)</f>
      </c>
      <c r="BL504">
        <f>IF(ISBLANK('Data Entry'!$$504), "", 'Data Entry'!$$504)</f>
      </c>
      <c r="BM504">
        <f>IF(ISBLANK('Data Entry'!$$504), "", 'Data Entry'!$$504)</f>
      </c>
      <c r="BN504">
        <f>IF(ISBLANK('Data Entry'!$$504), "", 'Data Entry'!$$504)</f>
      </c>
      <c r="BO504">
        <f>IF(ISBLANK('Data Entry'!$$504), "", 'Data Entry'!$$504)</f>
      </c>
      <c r="BP504">
        <f>IF(ISBLANK('Data Entry'!$$504), "", 'Data Entry'!$$504)</f>
      </c>
      <c r="BQ504">
        <f>IF(ISBLANK('Data Entry'!$$504), "", 'Data Entry'!$$504)</f>
      </c>
      <c r="BR504">
        <f>IF(ISBLANK('Data Entry'!$$504), "", 'Data Entry'!$$504)</f>
      </c>
      <c r="BS504">
        <f>IF(ISBLANK('Data Entry'!$$504), "", 'Data Entry'!$$504)</f>
      </c>
      <c r="BT504">
        <f>IF(ISBLANK('Data Entry'!$$504), "", 'Data Entry'!$$504)</f>
      </c>
      <c r="BU504">
        <f>IF(ISBLANK('Data Entry'!$$504), "", 'Data Entry'!$$504)</f>
      </c>
      <c r="BV504">
        <f>IF(ISBLANK('Data Entry'!$$504), "", 'Data Entry'!$$504)</f>
      </c>
      <c r="BW504">
        <f>IF(ISBLANK('Data Entry'!$$504), "", 'Data Entry'!$$504)</f>
      </c>
      <c r="BX504">
        <f>IF(ISBLANK('Data Entry'!$$504), "", 'Data Entry'!$$504)</f>
      </c>
      <c r="BY504">
        <f>IF(ISBLANK('Data Entry'!$$504), "", 'Data Entry'!$$504)</f>
      </c>
      <c r="BZ504">
        <f>IF(ISBLANK('Data Entry'!$$504), "", 'Data Entry'!$$504)</f>
      </c>
      <c r="CA504">
        <f>IF(ISBLANK('Data Entry'!$$504), "", 'Data Entry'!$$504)</f>
      </c>
      <c r="CB504">
        <f>IF(ISBLANK('Data Entry'!$$504), "", 'Data Entry'!$$504)</f>
      </c>
      <c r="CC504">
        <f>IF(ISBLANK('Data Entry'!$$504), "", 'Data Entry'!$$504)</f>
      </c>
      <c r="CD504">
        <f>IF(ISBLANK('Data Entry'!$$504), "", 'Data Entry'!$$504)</f>
      </c>
      <c r="CE504">
        <f>IF(ISBLANK('Data Entry'!$$504), "", 'Data Entry'!$$504)</f>
      </c>
      <c r="CF504">
        <f>IF(ISBLANK('Data Entry'!$$504), "", 'Data Entry'!$$504)</f>
      </c>
      <c r="CG504">
        <f>IF(ISBLANK('Data Entry'!$$504), "", 'Data Entry'!$$504)</f>
      </c>
      <c r="CH504">
        <f>IF(ISBLANK('Data Entry'!$$504), "", 'Data Entry'!$$504)</f>
      </c>
      <c r="CI504">
        <f>IF(ISBLANK('Data Entry'!$$504), "", 'Data Entry'!$$504)</f>
      </c>
      <c r="CJ504">
        <f>IF(ISBLANK('Data Entry'!$$504), "", 'Data Entry'!$$504)</f>
      </c>
      <c r="CK504">
        <f>IF(ISBLANK('Data Entry'!$$504), "", 'Data Entry'!$$504)</f>
      </c>
      <c r="CL504">
        <f>IF(ISBLANK('Data Entry'!$$504), "", 'Data Entry'!$$504)</f>
      </c>
      <c r="CM504">
        <f>IF(ISBLANK('Data Entry'!$$504), "", 'Data Entry'!$$504)</f>
      </c>
      <c r="CN504">
        <f>IF(ISBLANK('Data Entry'!$$504), "", 'Data Entry'!$$504)</f>
      </c>
      <c r="CO504">
        <f>IF(ISBLANK('Data Entry'!$$504), "", 'Data Entry'!$$504)</f>
      </c>
      <c r="CP504">
        <f>IF(ISBLANK('Data Entry'!$$504), "", 'Data Entry'!$$504)</f>
      </c>
      <c r="CQ504">
        <f>IF(ISBLANK('Data Entry'!$$504), "", 'Data Entry'!$$504)</f>
      </c>
      <c r="CR504">
        <f>IF(ISBLANK('Data Entry'!$ $504), "", 'Data Entry'!$ $504)</f>
      </c>
      <c r="CS504">
        <f>IF(ISBLANK('Data Entry'!$¡$504), "", 'Data Entry'!$¡$504)</f>
      </c>
      <c r="CT504">
        <f>IF(ISBLANK('Data Entry'!$¢$504), "", 'Data Entry'!$¢$504)</f>
      </c>
      <c r="CU504">
        <f>IF(ISBLANK('Data Entry'!$£$504), "", 'Data Entry'!$£$504)</f>
      </c>
      <c r="CV504">
        <f>IF(ISBLANK('Data Entry'!$¤$504), "", 'Data Entry'!$¤$504)</f>
      </c>
      <c r="CW504">
        <f>IF(ISBLANK('Data Entry'!$¥$504), "", 'Data Entry'!$¥$504)</f>
      </c>
      <c r="CX504">
        <f>IF(ISBLANK('Data Entry'!$¦$504), "", 'Data Entry'!$¦$504)</f>
      </c>
      <c r="CY504">
        <f>IF(ISBLANK('Data Entry'!$§$504), "", 'Data Entry'!$§$504)</f>
      </c>
      <c r="CZ504">
        <f>IF(ISBLANK('Data Entry'!$¨$504), "", 'Data Entry'!$¨$504)</f>
      </c>
      <c r="DA504">
        <f>IF(ISBLANK('Data Entry'!$©$504), "", 'Data Entry'!$©$504)</f>
      </c>
      <c r="DB504">
        <f>IF(ISBLANK('Data Entry'!$ª$504), "", 'Data Entry'!$ª$504)</f>
      </c>
      <c r="DC504">
        <f>IF(ISBLANK('Data Entry'!$«$504), "", 'Data Entry'!$«$504)</f>
      </c>
      <c r="DD504">
        <f>IF(ISBLANK('Data Entry'!$¬$504), "", 'Data Entry'!$¬$504)</f>
      </c>
      <c r="DE504">
        <f>IF(ISBLANK('Data Entry'!$­$504), "", 'Data Entry'!$­$504)</f>
      </c>
      <c r="DF504">
        <f>IF(ISBLANK('Data Entry'!$®$504), "", 'Data Entry'!$®$504)</f>
      </c>
      <c r="DG504">
        <f>IF(ISBLANK('Data Entry'!$¯$504), "", 'Data Entry'!$¯$504)</f>
      </c>
      <c r="DH504">
        <f>IF(ISBLANK('Data Entry'!$°$504), "", 'Data Entry'!$°$504)</f>
      </c>
      <c r="DI504">
        <f>IF(ISBLANK('Data Entry'!$±$504), "", 'Data Entry'!$±$504)</f>
      </c>
      <c r="DJ504">
        <f>IF(ISBLANK('Data Entry'!$²$504), "", 'Data Entry'!$²$504)</f>
      </c>
      <c r="DK504">
        <f>IF(ISBLANK('Data Entry'!$³$504), "", 'Data Entry'!$³$504)</f>
      </c>
      <c r="DL504">
        <f>IF(ISBLANK('Data Entry'!$´$504), "", 'Data Entry'!$´$504)</f>
      </c>
      <c r="DM504">
        <f>IF(ISBLANK('Data Entry'!$µ$504), "", 'Data Entry'!$µ$504)</f>
      </c>
      <c r="DN504">
        <f>IF(ISBLANK('Data Entry'!$¶$504), "", 'Data Entry'!$¶$504)</f>
      </c>
      <c r="DO504">
        <f>IF(ISBLANK('Data Entry'!$·$504), "", 'Data Entry'!$·$504)</f>
      </c>
      <c r="DP504">
        <f>IF(ISBLANK('Data Entry'!$¸$504), "", 'Data Entry'!$¸$504)</f>
      </c>
      <c r="DQ504">
        <f>IF(ISBLANK('Data Entry'!$¹$504), "", 'Data Entry'!$¹$504)</f>
      </c>
      <c r="DR504">
        <f>IF(ISBLANK('Data Entry'!$º$504), "", 'Data Entry'!$º$504)</f>
      </c>
      <c r="DS504">
        <f>IF(ISBLANK('Data Entry'!$»$504), "", 'Data Entry'!$»$504)</f>
      </c>
      <c r="DT504">
        <f>IF(ISBLANK('Data Entry'!$¼$504), "", 'Data Entry'!$¼$504)</f>
      </c>
      <c r="DU504">
        <f>IF(ISBLANK('Data Entry'!$½$504), "", 'Data Entry'!$½$504)</f>
      </c>
      <c r="DV504">
        <f>IF(ISBLANK('Data Entry'!$¾$504), "", 'Data Entry'!$¾$504)</f>
      </c>
      <c r="DW504">
        <f>IF(ISBLANK('Data Entry'!$¿$504), "", 'Data Entry'!$¿$504)</f>
      </c>
      <c r="DX504">
        <f>IF(ISBLANK('Data Entry'!$À$504), "", 'Data Entry'!$À$504)</f>
      </c>
      <c r="DY504">
        <f>IF(ISBLANK('Data Entry'!$Á$504), "", 'Data Entry'!$Á$504)</f>
      </c>
      <c r="DZ504">
        <f>IF(ISBLANK('Data Entry'!$Â$504), "", 'Data Entry'!$Â$504)</f>
      </c>
      <c r="EA504">
        <f>IF(ISBLANK('Data Entry'!$Ã$504), "", 'Data Entry'!$Ã$504)</f>
      </c>
      <c r="EB504">
        <f>IF(ISBLANK('Data Entry'!$Ä$504), "", 'Data Entry'!$Ä$504)</f>
      </c>
      <c r="EC504">
        <f>IF(ISBLANK('Data Entry'!$Å$504), "", 'Data Entry'!$Å$504)</f>
      </c>
      <c r="ED504">
        <f>IF(ISBLANK('Data Entry'!$Æ$504), "", 'Data Entry'!$Æ$504)</f>
      </c>
      <c r="EE504">
        <f>IF(ISBLANK('Data Entry'!$Ç$504), "", 'Data Entry'!$Ç$504)</f>
      </c>
      <c r="EF504">
        <f>IF(ISBLANK('Data Entry'!$È$504), "", 'Data Entry'!$È$504)</f>
      </c>
      <c r="EG504">
        <f>IF(ISBLANK('Data Entry'!$É$504), "", 'Data Entry'!$É$504)</f>
      </c>
      <c r="EH504">
        <f>IF(ISBLANK('Data Entry'!$Ê$504), "", 'Data Entry'!$Ê$504)</f>
      </c>
      <c r="EI504">
        <f>IF(ISBLANK('Data Entry'!$Ë$504), "", 'Data Entry'!$Ë$504)</f>
      </c>
      <c r="EJ504">
        <f>IF(ISBLANK('Data Entry'!$Ì$504), "", 'Data Entry'!$Ì$504)</f>
      </c>
      <c r="EK504">
        <f>IF(ISBLANK('Data Entry'!$Í$504), "", 'Data Entry'!$Í$504)</f>
      </c>
      <c r="EL504">
        <f>IF(ISBLANK('Data Entry'!$Î$504), "", 'Data Entry'!$Î$504)</f>
      </c>
      <c r="EM504">
        <f>IF(ISBLANK('Data Entry'!$Ï$504), "", 'Data Entry'!$Ï$504)</f>
      </c>
      <c r="EN504">
        <f>IF(ISBLANK('Data Entry'!$Ð$504), "", 'Data Entry'!$Ð$504)</f>
      </c>
      <c r="EO504">
        <f>IF(ISBLANK('Data Entry'!$Ñ$504), "", 'Data Entry'!$Ñ$504)</f>
      </c>
      <c r="EP504">
        <f>IF(ISBLANK('Data Entry'!$Ò$504), "", 'Data Entry'!$Ò$504)</f>
      </c>
      <c r="EQ504">
        <f>IF(ISBLANK('Data Entry'!$Ó$504), "", 'Data Entry'!$Ó$504)</f>
      </c>
      <c r="ER504">
        <f>IF(ISBLANK('Data Entry'!$Ô$504), "", 'Data Entry'!$Ô$504)</f>
      </c>
      <c r="ES504">
        <f>IF(ISBLANK('Data Entry'!$Õ$504), "", 'Data Entry'!$Õ$504)</f>
      </c>
      <c r="ET504">
        <f>IF(ISBLANK('Data Entry'!$Ö$504), "", 'Data Entry'!$Ö$504)</f>
      </c>
      <c r="EU504">
        <f>IF(ISBLANK('Data Entry'!$×$504), "", 'Data Entry'!$×$504)</f>
      </c>
      <c r="EV504">
        <f>IF(ISBLANK('Data Entry'!$Ø$504), "", 'Data Entry'!$Ø$504)</f>
      </c>
      <c r="EW504">
        <f>IF(ISBLANK('Data Entry'!$Ù$504), "", 'Data Entry'!$Ù$504)</f>
      </c>
      <c r="EX504">
        <f>IF(ISBLANK('Data Entry'!$Ú$504), "", 'Data Entry'!$Ú$504)</f>
      </c>
      <c r="EY504">
        <f>IF(ISBLANK('Data Entry'!$Û$504), "", 'Data Entry'!$Û$504)</f>
      </c>
      <c r="EZ504">
        <f>IF(ISBLANK('Data Entry'!$Ü$504), "", 'Data Entry'!$Ü$504)</f>
      </c>
      <c r="FA504">
        <f>IF(ISBLANK('Data Entry'!$Ý$504), "", 'Data Entry'!$Ý$504)</f>
      </c>
      <c r="FB504">
        <f>IF(ISBLANK('Data Entry'!$Þ$504), "", 'Data Entry'!$Þ$504)</f>
      </c>
      <c r="FC504">
        <f>IF(ISBLANK('Data Entry'!$ß$504), "", 'Data Entry'!$ß$504)</f>
      </c>
      <c r="FD504">
        <f>IF(ISBLANK('Data Entry'!$à$504), "", 'Data Entry'!$à$504)</f>
      </c>
      <c r="FE504">
        <f>IF(ISBLANK('Data Entry'!$á$504), "", 'Data Entry'!$á$504)</f>
      </c>
      <c r="FF504">
        <f>IF(ISBLANK('Data Entry'!$â$504), "", 'Data Entry'!$â$504)</f>
      </c>
      <c r="FG504">
        <f>IF(ISBLANK('Data Entry'!$ã$504), "", 'Data Entry'!$ã$504)</f>
      </c>
      <c r="FH504">
        <f>IF(ISBLANK('Data Entry'!$ä$504), "", 'Data Entry'!$ä$504)</f>
      </c>
      <c r="FI504">
        <f>IF(ISBLANK('Data Entry'!$å$504), "", 'Data Entry'!$å$504)</f>
      </c>
      <c r="FJ504">
        <f>IF(ISBLANK('Data Entry'!$æ$504), "", 'Data Entry'!$æ$504)</f>
      </c>
      <c r="FK504">
        <f>IF(ISBLANK('Data Entry'!$ç$504), "", 'Data Entry'!$ç$504)</f>
      </c>
      <c r="FL504">
        <f>IF(ISBLANK('Data Entry'!$è$504), "", 'Data Entry'!$è$504)</f>
      </c>
      <c r="FM504">
        <f>IF(ISBLANK('Data Entry'!$é$504), "", 'Data Entry'!$é$504)</f>
      </c>
      <c r="FN504">
        <f>IF(ISBLANK('Data Entry'!$ê$504), "", 'Data Entry'!$ê$504)</f>
      </c>
      <c r="FO504">
        <f>IF(ISBLANK('Data Entry'!$ë$504), "", 'Data Entry'!$ë$504)</f>
      </c>
      <c r="FP504">
        <f>IF(ISBLANK('Data Entry'!$ì$504), "", 'Data Entry'!$ì$504)</f>
      </c>
      <c r="FQ504">
        <f>IF(ISBLANK('Data Entry'!$í$504), "", 'Data Entry'!$í$504)</f>
      </c>
      <c r="FR504">
        <f>IF(ISBLANK('Data Entry'!$î$504), "", 'Data Entry'!$î$504)</f>
      </c>
      <c r="FS504">
        <f>IF(ISBLANK('Data Entry'!$ï$504), "", 'Data Entry'!$ï$504)</f>
      </c>
      <c r="FT504">
        <f>IF(ISBLANK('Data Entry'!$ð$504), "", 'Data Entry'!$ð$504)</f>
      </c>
      <c r="FU504">
        <f>IF(ISBLANK('Data Entry'!$ñ$504), "", 'Data Entry'!$ñ$504)</f>
      </c>
      <c r="FV504">
        <f>IF(ISBLANK('Data Entry'!$ò$504), "", 'Data Entry'!$ò$504)</f>
      </c>
      <c r="FW504">
        <f>IF(ISBLANK('Data Entry'!$ó$504), "", 'Data Entry'!$ó$504)</f>
      </c>
      <c r="FX504">
        <f>IF(ISBLANK('Data Entry'!$ô$504), "", 'Data Entry'!$ô$504)</f>
      </c>
      <c r="FY504">
        <f>IF(ISBLANK('Data Entry'!$õ$504), "", 'Data Entry'!$õ$504)</f>
      </c>
      <c r="FZ504">
        <f>IF(ISBLANK('Data Entry'!$ö$504), "", 'Data Entry'!$ö$504)</f>
      </c>
      <c r="GA504">
        <f>IF(ISBLANK('Data Entry'!$÷$504), "", 'Data Entry'!$÷$504)</f>
      </c>
      <c r="GB504">
        <f>IF(ISBLANK('Data Entry'!$ø$504), "", 'Data Entry'!$ø$504)</f>
      </c>
      <c r="GC504">
        <f>IF(ISBLANK('Data Entry'!$ù$504), "", 'Data Entry'!$ù$504)</f>
      </c>
      <c r="GD504">
        <f>IF(ISBLANK('Data Entry'!$ú$504), "", 'Data Entry'!$ú$504)</f>
      </c>
      <c r="GE504">
        <f>IF(ISBLANK('Data Entry'!$û$504), "", 'Data Entry'!$û$504)</f>
      </c>
      <c r="GF504">
        <f>IF(ISBLANK('Data Entry'!$ü$504), "", 'Data Entry'!$ü$504)</f>
      </c>
      <c r="GG504">
        <f>IF(ISBLANK('Data Entry'!$ý$504), "", 'Data Entry'!$ý$504)</f>
      </c>
      <c r="GH504">
        <f>IF(ISBLANK('Data Entry'!$þ$504), "", 'Data Entry'!$þ$504)</f>
      </c>
      <c r="GI504">
        <f>IF(ISBLANK('Data Entry'!$ÿ$504), "", 'Data Entry'!$ÿ$504)</f>
      </c>
      <c r="GJ504">
        <f>IF(ISBLANK('Data Entry'!$Ā$504), "", 'Data Entry'!$Ā$504)</f>
      </c>
      <c r="GK504">
        <f>IF(ISBLANK('Data Entry'!$ā$504), "", 'Data Entry'!$ā$504)</f>
      </c>
      <c r="GL504">
        <f>IF(ISBLANK('Data Entry'!$Ă$504), "", 'Data Entry'!$Ă$504)</f>
      </c>
      <c r="GM504">
        <f>IF(ISBLANK('Data Entry'!$ă$504), "", 'Data Entry'!$ă$504)</f>
      </c>
      <c r="GN504">
        <f>IF(ISBLANK('Data Entry'!$Ą$504), "", 'Data Entry'!$Ą$504)</f>
      </c>
      <c r="GO504">
        <f>IF(ISBLANK('Data Entry'!$ą$504), "", 'Data Entry'!$ą$504)</f>
      </c>
      <c r="GP504">
        <f>IF(ISBLANK('Data Entry'!$Ć$504), "", 'Data Entry'!$Ć$504)</f>
      </c>
      <c r="GQ504">
        <f>IF(ISBLANK('Data Entry'!$ć$504), "", 'Data Entry'!$ć$504)</f>
      </c>
      <c r="GR504">
        <f>IF(ISBLANK('Data Entry'!$Ĉ$504), "", 'Data Entry'!$Ĉ$504)</f>
      </c>
      <c r="GS504">
        <f>IF(ISBLANK('Data Entry'!$ĉ$504), "", 'Data Entry'!$ĉ$504)</f>
      </c>
      <c r="GT504">
        <f>IF(ISBLANK('Data Entry'!$Ċ$504), "", 'Data Entry'!$Ċ$504)</f>
      </c>
      <c r="GU504">
        <f>IF(ISBLANK('Data Entry'!$ċ$504), "", 'Data Entry'!$ċ$504)</f>
      </c>
      <c r="GV504">
        <f>IF(ISBLANK('Data Entry'!$Č$504), "", 'Data Entry'!$Č$504)</f>
      </c>
      <c r="GW504">
        <f>IF(ISBLANK('Data Entry'!$č$504), "", 'Data Entry'!$č$504)</f>
      </c>
      <c r="GX504">
        <f>IF(ISBLANK('Data Entry'!$Ď$504), "", 'Data Entry'!$Ď$504)</f>
      </c>
      <c r="GY504">
        <f>IF(ISBLANK('Data Entry'!$ď$504), "", 'Data Entry'!$ď$504)</f>
      </c>
      <c r="GZ504">
        <f>IF(ISBLANK('Data Entry'!$Đ$504), "", 'Data Entry'!$Đ$504)</f>
      </c>
      <c r="HA504">
        <f>IF(ISBLANK('Data Entry'!$đ$504), "", 'Data Entry'!$đ$504)</f>
      </c>
      <c r="HB504">
        <f>IF(ISBLANK('Data Entry'!$Ē$504), "", 'Data Entry'!$Ē$504)</f>
      </c>
      <c r="HC504">
        <f>IF(ISBLANK('Data Entry'!$ē$504), "", 'Data Entry'!$ē$504)</f>
      </c>
      <c r="HD504">
        <f>IF(ISBLANK('Data Entry'!$Ĕ$504), "", 'Data Entry'!$Ĕ$504)</f>
      </c>
      <c r="HE504">
        <f>IF(ISBLANK('Data Entry'!$ĕ$504), "", 'Data Entry'!$ĕ$504)</f>
      </c>
      <c r="HF504">
        <f>IF(ISBLANK('Data Entry'!$Ė$504), "", 'Data Entry'!$Ė$504)</f>
      </c>
      <c r="HG504">
        <f>IF(ISBLANK('Data Entry'!$ė$504), "", 'Data Entry'!$ė$504)</f>
      </c>
      <c r="HH504">
        <f>IF(ISBLANK('Data Entry'!$Ę$504), "", 'Data Entry'!$Ę$504)</f>
      </c>
      <c r="HI504">
        <f>IF(ISBLANK('Data Entry'!$ę$504), "", 'Data Entry'!$ę$504)</f>
      </c>
      <c r="HJ504">
        <f>IF(ISBLANK('Data Entry'!$Ě$504), "", 'Data Entry'!$Ě$504)</f>
      </c>
      <c r="HK504">
        <f>IF(ISBLANK('Data Entry'!$ě$504), "", 'Data Entry'!$ě$504)</f>
      </c>
      <c r="HL504">
        <f>IF(ISBLANK('Data Entry'!$Ĝ$504), "", 'Data Entry'!$Ĝ$504)</f>
      </c>
      <c r="HM504">
        <f>IF(ISBLANK('Data Entry'!$ĝ$504), "", 'Data Entry'!$ĝ$504)</f>
      </c>
      <c r="HN504">
        <f>IF(ISBLANK('Data Entry'!$Ğ$504), "", 'Data Entry'!$Ğ$504)</f>
      </c>
      <c r="HO504">
        <f>IF(ISBLANK('Data Entry'!$ğ$504), "", 'Data Entry'!$ğ$504)</f>
      </c>
      <c r="HP504">
        <f>IF(ISBLANK('Data Entry'!$Ġ$504), "", 'Data Entry'!$Ġ$504)</f>
      </c>
      <c r="HQ504">
        <f>IF(ISBLANK('Data Entry'!$ġ$504), "", 'Data Entry'!$ġ$504)</f>
      </c>
      <c r="HR504">
        <f>IF(ISBLANK('Data Entry'!$Ģ$504), "", 'Data Entry'!$Ģ$504)</f>
      </c>
      <c r="HS504">
        <f>IF(ISBLANK('Data Entry'!$ģ$504), "", 'Data Entry'!$ģ$504)</f>
      </c>
      <c r="HT504">
        <f>IF(ISBLANK('Data Entry'!$Ĥ$504), "", 'Data Entry'!$Ĥ$504)</f>
      </c>
      <c r="HU504">
        <f>IF(ISBLANK('Data Entry'!$ĥ$504), "", 'Data Entry'!$ĥ$504)</f>
      </c>
      <c r="HV504">
        <f>IF(ISBLANK('Data Entry'!$Ħ$504), "", 'Data Entry'!$Ħ$504)</f>
      </c>
      <c r="HW504">
        <f>IF(ISBLANK('Data Entry'!$ħ$504), "", 'Data Entry'!$ħ$504)</f>
      </c>
      <c r="HX504">
        <f>IF(ISBLANK('Data Entry'!$Ĩ$504), "", 'Data Entry'!$Ĩ$504)</f>
      </c>
      <c r="HY504">
        <f>IF(ISBLANK('Data Entry'!$ĩ$504), "", 'Data Entry'!$ĩ$504)</f>
      </c>
      <c r="HZ504">
        <f>IF(ISBLANK('Data Entry'!$Ī$504), "", 'Data Entry'!$Ī$504)</f>
      </c>
      <c r="IA504">
        <f>IF(ISBLANK('Data Entry'!$ī$504), "", 'Data Entry'!$ī$504)</f>
      </c>
      <c r="IB504">
        <f>IF(ISBLANK('Data Entry'!$Ĭ$504), "", 'Data Entry'!$Ĭ$504)</f>
      </c>
      <c r="IC504">
        <f>IF(ISBLANK('Data Entry'!$ĭ$504), "", 'Data Entry'!$ĭ$504)</f>
      </c>
      <c r="ID504">
        <f>IF(ISBLANK('Data Entry'!$Į$504), "", 'Data Entry'!$Į$504)</f>
      </c>
      <c r="IE504">
        <f>IF(ISBLANK('Data Entry'!$į$504), "", 'Data Entry'!$į$504)</f>
      </c>
      <c r="IF504">
        <f>IF(ISBLANK('Data Entry'!$İ$504), "", 'Data Entry'!$İ$504)</f>
      </c>
      <c r="IG504">
        <f>IF(ISBLANK('Data Entry'!$ı$504), "", 'Data Entry'!$ı$504)</f>
      </c>
      <c r="IH504">
        <f>IF(ISBLANK('Data Entry'!$Ĳ$504), "", 'Data Entry'!$Ĳ$504)</f>
      </c>
      <c r="II504">
        <f>IF(ISBLANK('Data Entry'!$ĳ$504), "", 'Data Entry'!$ĳ$504)</f>
      </c>
      <c r="IJ504">
        <f>IF(ISBLANK('Data Entry'!$Ĵ$504), "", 'Data Entry'!$Ĵ$504)</f>
      </c>
      <c r="IK504">
        <f>IF(ISBLANK('Data Entry'!$ĵ$504), "", 'Data Entry'!$ĵ$504)</f>
      </c>
      <c r="IL504">
        <f>IF(ISBLANK('Data Entry'!$Ķ$504), "", 'Data Entry'!$Ķ$504)</f>
      </c>
      <c r="IM504">
        <f>IF(ISBLANK('Data Entry'!$ķ$504), "", 'Data Entry'!$ķ$504)</f>
      </c>
      <c r="IN504">
        <f>IF(ISBLANK('Data Entry'!$ĸ$504), "", 'Data Entry'!$ĸ$504)</f>
      </c>
      <c r="IO504">
        <f>IF(ISBLANK('Data Entry'!$Ĺ$504), "", 'Data Entry'!$Ĺ$504)</f>
      </c>
      <c r="IP504">
        <f>IF(ISBLANK('Data Entry'!$ĺ$504), "", 'Data Entry'!$ĺ$504)</f>
      </c>
      <c r="IQ504">
        <f>IF(ISBLANK('Data Entry'!$Ļ$504), "", 'Data Entry'!$Ļ$504)</f>
      </c>
      <c r="IR504">
        <f>IF(ISBLANK('Data Entry'!$ļ$504), "", 'Data Entry'!$ļ$504)</f>
      </c>
      <c r="IS504">
        <f>IF(ISBLANK('Data Entry'!$Ľ$504), "", 'Data Entry'!$Ľ$504)</f>
      </c>
      <c r="IT504">
        <f>IF(ISBLANK('Data Entry'!$ľ$504), "", 'Data Entry'!$ľ$504)</f>
      </c>
    </row>
    <row r="505" spans="1:254" x14ac:dyDescent="0.25">
      <c r="A505">
        <f>IF(ISBLANK('Data Entry'!$A$505), "", 'Data Entry'!$A$505)</f>
      </c>
      <c r="B505">
        <f>IF(ISBLANK('Data Entry'!$B$505), "", 'Data Entry'!$B$505)</f>
      </c>
      <c r="C505">
        <f>IF(ISBLANK('Data Entry'!$C$505), "", 'Data Entry'!$C$505)</f>
      </c>
      <c r="D505">
        <f>IF(ISBLANK('Data Entry'!$D$505), "", 'Data Entry'!$D$505)</f>
      </c>
      <c r="E505">
        <f>IF(ISBLANK('Data Entry'!$E$505), "", 'Data Entry'!$E$505)</f>
      </c>
      <c r="F505">
        <f>IF(ISBLANK('Data Entry'!$F$505), "", 'Data Entry'!$F$505)</f>
      </c>
      <c r="G505">
        <f>IF(ISBLANK('Data Entry'!$G$505), "", 'Data Entry'!$G$505)</f>
      </c>
      <c r="H505">
        <f>IF(ISBLANK('Data Entry'!$H$505), "", 'Data Entry'!$H$505)</f>
      </c>
      <c r="I505">
        <f>IF(ISBLANK('Data Entry'!$I$505), "", 'Data Entry'!$I$505)</f>
      </c>
      <c r="J505">
        <f>IF(ISBLANK('Data Entry'!$J$505), "", 'Data Entry'!$J$505)</f>
      </c>
      <c r="K505">
        <f>IF(ISBLANK('Data Entry'!$K$505), "", 'Data Entry'!$K$505)</f>
      </c>
      <c r="L505">
        <f>IF(ISBLANK('Data Entry'!$L$505), "", 'Data Entry'!$L$505)</f>
      </c>
      <c r="M505">
        <f>IF(ISBLANK('Data Entry'!$M$505), "", 'Data Entry'!$M$505)</f>
      </c>
      <c r="N505">
        <f>IF(ISBLANK('Data Entry'!$N$505), "", 'Data Entry'!$N$505)</f>
      </c>
      <c r="O505">
        <f>IF(ISBLANK('Data Entry'!$O$505), "", 'Data Entry'!$O$505)</f>
      </c>
      <c r="P505">
        <f>IF(ISBLANK('Data Entry'!$P$505), "", 'Data Entry'!$P$505)</f>
      </c>
      <c r="Q505">
        <f>IF(ISBLANK('Data Entry'!$Q$505), "", 'Data Entry'!$Q$505)</f>
      </c>
      <c r="R505">
        <f>IF(ISBLANK('Data Entry'!$R$505), "", 'Data Entry'!$R$505)</f>
      </c>
      <c r="S505">
        <f>IF(ISBLANK('Data Entry'!$S$505), "", 'Data Entry'!$S$505)</f>
      </c>
      <c r="T505">
        <f>IF(ISBLANK('Data Entry'!$T$505), "", 'Data Entry'!$T$505)</f>
      </c>
      <c r="U505">
        <f>IF(ISBLANK('Data Entry'!$U$505), "", 'Data Entry'!$U$505)</f>
      </c>
      <c r="V505">
        <f>IF(ISBLANK('Data Entry'!$V$505), "", 'Data Entry'!$V$505)</f>
      </c>
      <c r="W505">
        <f>IF(ISBLANK('Data Entry'!$W$505), "", 'Data Entry'!$W$505)</f>
      </c>
      <c r="X505">
        <f>IF(ISBLANK('Data Entry'!$X$505), "", 'Data Entry'!$X$505)</f>
      </c>
      <c r="Y505">
        <f>IF(ISBLANK('Data Entry'!$Y$505), "", 'Data Entry'!$Y$505)</f>
      </c>
      <c r="Z505">
        <f>IF(ISBLANK('Data Entry'!$Z$505), "", 'Data Entry'!$Z$505)</f>
      </c>
      <c r="AA505">
        <f>IF(ISBLANK('Data Entry'!$[$505), "", 'Data Entry'!$[$505)</f>
      </c>
      <c r="AB505">
        <f>IF(ISBLANK('Data Entry'!$\$505), "", 'Data Entry'!$\$505)</f>
      </c>
      <c r="AC505">
        <f>IF(ISBLANK('Data Entry'!$]$505), "", 'Data Entry'!$]$505)</f>
      </c>
      <c r="AD505">
        <f>IF(ISBLANK('Data Entry'!$^$505), "", 'Data Entry'!$^$505)</f>
      </c>
      <c r="AE505">
        <f>IF(ISBLANK('Data Entry'!$_$505), "", 'Data Entry'!$_$505)</f>
      </c>
      <c r="AF505">
        <f>IF(ISBLANK('Data Entry'!$`$505), "", 'Data Entry'!$`$505)</f>
      </c>
      <c r="AG505">
        <f>IF(ISBLANK('Data Entry'!$a$505), "", 'Data Entry'!$a$505)</f>
      </c>
      <c r="AH505">
        <f>IF(ISBLANK('Data Entry'!$b$505), "", 'Data Entry'!$b$505)</f>
      </c>
      <c r="AI505">
        <f>IF(ISBLANK('Data Entry'!$c$505), "", 'Data Entry'!$c$505)</f>
      </c>
      <c r="AJ505">
        <f>IF(ISBLANK('Data Entry'!$d$505), "", 'Data Entry'!$d$505)</f>
      </c>
      <c r="AK505">
        <f>IF(ISBLANK('Data Entry'!$e$505), "", 'Data Entry'!$e$505)</f>
      </c>
      <c r="AL505">
        <f>IF(ISBLANK('Data Entry'!$f$505), "", 'Data Entry'!$f$505)</f>
      </c>
      <c r="AM505">
        <f>IF(ISBLANK('Data Entry'!$g$505), "", 'Data Entry'!$g$505)</f>
      </c>
      <c r="AN505">
        <f>IF(ISBLANK('Data Entry'!$h$505), "", 'Data Entry'!$h$505)</f>
      </c>
      <c r="AO505">
        <f>IF(ISBLANK('Data Entry'!$i$505), "", 'Data Entry'!$i$505)</f>
      </c>
      <c r="AP505">
        <f>IF(ISBLANK('Data Entry'!$j$505), "", 'Data Entry'!$j$505)</f>
      </c>
      <c r="AQ505">
        <f>IF(ISBLANK('Data Entry'!$k$505), "", 'Data Entry'!$k$505)</f>
      </c>
      <c r="AR505">
        <f>IF(ISBLANK('Data Entry'!$l$505), "", 'Data Entry'!$l$505)</f>
      </c>
      <c r="AS505">
        <f>IF(ISBLANK('Data Entry'!$m$505), "", 'Data Entry'!$m$505)</f>
      </c>
      <c r="AT505">
        <f>IF(ISBLANK('Data Entry'!$n$505), "", 'Data Entry'!$n$505)</f>
      </c>
      <c r="AU505">
        <f>IF(ISBLANK('Data Entry'!$o$505), "", 'Data Entry'!$o$505)</f>
      </c>
      <c r="AV505">
        <f>IF(ISBLANK('Data Entry'!$p$505), "", 'Data Entry'!$p$505)</f>
      </c>
      <c r="AW505">
        <f>IF(ISBLANK('Data Entry'!$q$505), "", 'Data Entry'!$q$505)</f>
      </c>
      <c r="AX505">
        <f>IF(ISBLANK('Data Entry'!$r$505), "", 'Data Entry'!$r$505)</f>
      </c>
      <c r="AY505">
        <f>IF(ISBLANK('Data Entry'!$s$505), "", 'Data Entry'!$s$505)</f>
      </c>
      <c r="AZ505">
        <f>IF(ISBLANK('Data Entry'!$t$505), "", 'Data Entry'!$t$505)</f>
      </c>
      <c r="BA505">
        <f>IF(ISBLANK('Data Entry'!$u$505), "", 'Data Entry'!$u$505)</f>
      </c>
      <c r="BB505">
        <f>IF(ISBLANK('Data Entry'!$v$505), "", 'Data Entry'!$v$505)</f>
      </c>
      <c r="BC505">
        <f>IF(ISBLANK('Data Entry'!$w$505), "", 'Data Entry'!$w$505)</f>
      </c>
      <c r="BD505">
        <f>IF(ISBLANK('Data Entry'!$x$505), "", 'Data Entry'!$x$505)</f>
      </c>
      <c r="BE505">
        <f>IF(ISBLANK('Data Entry'!$y$505), "", 'Data Entry'!$y$505)</f>
      </c>
      <c r="BF505">
        <f>IF(ISBLANK('Data Entry'!$z$505), "", 'Data Entry'!$z$505)</f>
      </c>
      <c r="BG505">
        <f>IF(ISBLANK('Data Entry'!${$505), "", 'Data Entry'!${$505)</f>
      </c>
      <c r="BH505">
        <f>IF(ISBLANK('Data Entry'!$|$505), "", 'Data Entry'!$|$505)</f>
      </c>
      <c r="BI505">
        <f>IF(ISBLANK('Data Entry'!$}$505), "", 'Data Entry'!$}$505)</f>
      </c>
      <c r="BJ505">
        <f>IF(ISBLANK('Data Entry'!$~$505), "", 'Data Entry'!$~$505)</f>
      </c>
      <c r="BK505">
        <f>IF(ISBLANK('Data Entry'!$$505), "", 'Data Entry'!$$505)</f>
      </c>
      <c r="BL505">
        <f>IF(ISBLANK('Data Entry'!$$505), "", 'Data Entry'!$$505)</f>
      </c>
      <c r="BM505">
        <f>IF(ISBLANK('Data Entry'!$$505), "", 'Data Entry'!$$505)</f>
      </c>
      <c r="BN505">
        <f>IF(ISBLANK('Data Entry'!$$505), "", 'Data Entry'!$$505)</f>
      </c>
      <c r="BO505">
        <f>IF(ISBLANK('Data Entry'!$$505), "", 'Data Entry'!$$505)</f>
      </c>
      <c r="BP505">
        <f>IF(ISBLANK('Data Entry'!$$505), "", 'Data Entry'!$$505)</f>
      </c>
      <c r="BQ505">
        <f>IF(ISBLANK('Data Entry'!$$505), "", 'Data Entry'!$$505)</f>
      </c>
      <c r="BR505">
        <f>IF(ISBLANK('Data Entry'!$$505), "", 'Data Entry'!$$505)</f>
      </c>
      <c r="BS505">
        <f>IF(ISBLANK('Data Entry'!$$505), "", 'Data Entry'!$$505)</f>
      </c>
      <c r="BT505">
        <f>IF(ISBLANK('Data Entry'!$$505), "", 'Data Entry'!$$505)</f>
      </c>
      <c r="BU505">
        <f>IF(ISBLANK('Data Entry'!$$505), "", 'Data Entry'!$$505)</f>
      </c>
      <c r="BV505">
        <f>IF(ISBLANK('Data Entry'!$$505), "", 'Data Entry'!$$505)</f>
      </c>
      <c r="BW505">
        <f>IF(ISBLANK('Data Entry'!$$505), "", 'Data Entry'!$$505)</f>
      </c>
      <c r="BX505">
        <f>IF(ISBLANK('Data Entry'!$$505), "", 'Data Entry'!$$505)</f>
      </c>
      <c r="BY505">
        <f>IF(ISBLANK('Data Entry'!$$505), "", 'Data Entry'!$$505)</f>
      </c>
      <c r="BZ505">
        <f>IF(ISBLANK('Data Entry'!$$505), "", 'Data Entry'!$$505)</f>
      </c>
      <c r="CA505">
        <f>IF(ISBLANK('Data Entry'!$$505), "", 'Data Entry'!$$505)</f>
      </c>
      <c r="CB505">
        <f>IF(ISBLANK('Data Entry'!$$505), "", 'Data Entry'!$$505)</f>
      </c>
      <c r="CC505">
        <f>IF(ISBLANK('Data Entry'!$$505), "", 'Data Entry'!$$505)</f>
      </c>
      <c r="CD505">
        <f>IF(ISBLANK('Data Entry'!$$505), "", 'Data Entry'!$$505)</f>
      </c>
      <c r="CE505">
        <f>IF(ISBLANK('Data Entry'!$$505), "", 'Data Entry'!$$505)</f>
      </c>
      <c r="CF505">
        <f>IF(ISBLANK('Data Entry'!$$505), "", 'Data Entry'!$$505)</f>
      </c>
      <c r="CG505">
        <f>IF(ISBLANK('Data Entry'!$$505), "", 'Data Entry'!$$505)</f>
      </c>
      <c r="CH505">
        <f>IF(ISBLANK('Data Entry'!$$505), "", 'Data Entry'!$$505)</f>
      </c>
      <c r="CI505">
        <f>IF(ISBLANK('Data Entry'!$$505), "", 'Data Entry'!$$505)</f>
      </c>
      <c r="CJ505">
        <f>IF(ISBLANK('Data Entry'!$$505), "", 'Data Entry'!$$505)</f>
      </c>
      <c r="CK505">
        <f>IF(ISBLANK('Data Entry'!$$505), "", 'Data Entry'!$$505)</f>
      </c>
      <c r="CL505">
        <f>IF(ISBLANK('Data Entry'!$$505), "", 'Data Entry'!$$505)</f>
      </c>
      <c r="CM505">
        <f>IF(ISBLANK('Data Entry'!$$505), "", 'Data Entry'!$$505)</f>
      </c>
      <c r="CN505">
        <f>IF(ISBLANK('Data Entry'!$$505), "", 'Data Entry'!$$505)</f>
      </c>
      <c r="CO505">
        <f>IF(ISBLANK('Data Entry'!$$505), "", 'Data Entry'!$$505)</f>
      </c>
      <c r="CP505">
        <f>IF(ISBLANK('Data Entry'!$$505), "", 'Data Entry'!$$505)</f>
      </c>
      <c r="CQ505">
        <f>IF(ISBLANK('Data Entry'!$$505), "", 'Data Entry'!$$505)</f>
      </c>
      <c r="CR505">
        <f>IF(ISBLANK('Data Entry'!$ $505), "", 'Data Entry'!$ $505)</f>
      </c>
      <c r="CS505">
        <f>IF(ISBLANK('Data Entry'!$¡$505), "", 'Data Entry'!$¡$505)</f>
      </c>
      <c r="CT505">
        <f>IF(ISBLANK('Data Entry'!$¢$505), "", 'Data Entry'!$¢$505)</f>
      </c>
      <c r="CU505">
        <f>IF(ISBLANK('Data Entry'!$£$505), "", 'Data Entry'!$£$505)</f>
      </c>
      <c r="CV505">
        <f>IF(ISBLANK('Data Entry'!$¤$505), "", 'Data Entry'!$¤$505)</f>
      </c>
      <c r="CW505">
        <f>IF(ISBLANK('Data Entry'!$¥$505), "", 'Data Entry'!$¥$505)</f>
      </c>
      <c r="CX505">
        <f>IF(ISBLANK('Data Entry'!$¦$505), "", 'Data Entry'!$¦$505)</f>
      </c>
      <c r="CY505">
        <f>IF(ISBLANK('Data Entry'!$§$505), "", 'Data Entry'!$§$505)</f>
      </c>
      <c r="CZ505">
        <f>IF(ISBLANK('Data Entry'!$¨$505), "", 'Data Entry'!$¨$505)</f>
      </c>
      <c r="DA505">
        <f>IF(ISBLANK('Data Entry'!$©$505), "", 'Data Entry'!$©$505)</f>
      </c>
      <c r="DB505">
        <f>IF(ISBLANK('Data Entry'!$ª$505), "", 'Data Entry'!$ª$505)</f>
      </c>
      <c r="DC505">
        <f>IF(ISBLANK('Data Entry'!$«$505), "", 'Data Entry'!$«$505)</f>
      </c>
      <c r="DD505">
        <f>IF(ISBLANK('Data Entry'!$¬$505), "", 'Data Entry'!$¬$505)</f>
      </c>
      <c r="DE505">
        <f>IF(ISBLANK('Data Entry'!$­$505), "", 'Data Entry'!$­$505)</f>
      </c>
      <c r="DF505">
        <f>IF(ISBLANK('Data Entry'!$®$505), "", 'Data Entry'!$®$505)</f>
      </c>
      <c r="DG505">
        <f>IF(ISBLANK('Data Entry'!$¯$505), "", 'Data Entry'!$¯$505)</f>
      </c>
      <c r="DH505">
        <f>IF(ISBLANK('Data Entry'!$°$505), "", 'Data Entry'!$°$505)</f>
      </c>
      <c r="DI505">
        <f>IF(ISBLANK('Data Entry'!$±$505), "", 'Data Entry'!$±$505)</f>
      </c>
      <c r="DJ505">
        <f>IF(ISBLANK('Data Entry'!$²$505), "", 'Data Entry'!$²$505)</f>
      </c>
      <c r="DK505">
        <f>IF(ISBLANK('Data Entry'!$³$505), "", 'Data Entry'!$³$505)</f>
      </c>
      <c r="DL505">
        <f>IF(ISBLANK('Data Entry'!$´$505), "", 'Data Entry'!$´$505)</f>
      </c>
      <c r="DM505">
        <f>IF(ISBLANK('Data Entry'!$µ$505), "", 'Data Entry'!$µ$505)</f>
      </c>
      <c r="DN505">
        <f>IF(ISBLANK('Data Entry'!$¶$505), "", 'Data Entry'!$¶$505)</f>
      </c>
      <c r="DO505">
        <f>IF(ISBLANK('Data Entry'!$·$505), "", 'Data Entry'!$·$505)</f>
      </c>
      <c r="DP505">
        <f>IF(ISBLANK('Data Entry'!$¸$505), "", 'Data Entry'!$¸$505)</f>
      </c>
      <c r="DQ505">
        <f>IF(ISBLANK('Data Entry'!$¹$505), "", 'Data Entry'!$¹$505)</f>
      </c>
      <c r="DR505">
        <f>IF(ISBLANK('Data Entry'!$º$505), "", 'Data Entry'!$º$505)</f>
      </c>
      <c r="DS505">
        <f>IF(ISBLANK('Data Entry'!$»$505), "", 'Data Entry'!$»$505)</f>
      </c>
      <c r="DT505">
        <f>IF(ISBLANK('Data Entry'!$¼$505), "", 'Data Entry'!$¼$505)</f>
      </c>
      <c r="DU505">
        <f>IF(ISBLANK('Data Entry'!$½$505), "", 'Data Entry'!$½$505)</f>
      </c>
      <c r="DV505">
        <f>IF(ISBLANK('Data Entry'!$¾$505), "", 'Data Entry'!$¾$505)</f>
      </c>
      <c r="DW505">
        <f>IF(ISBLANK('Data Entry'!$¿$505), "", 'Data Entry'!$¿$505)</f>
      </c>
      <c r="DX505">
        <f>IF(ISBLANK('Data Entry'!$À$505), "", 'Data Entry'!$À$505)</f>
      </c>
      <c r="DY505">
        <f>IF(ISBLANK('Data Entry'!$Á$505), "", 'Data Entry'!$Á$505)</f>
      </c>
      <c r="DZ505">
        <f>IF(ISBLANK('Data Entry'!$Â$505), "", 'Data Entry'!$Â$505)</f>
      </c>
      <c r="EA505">
        <f>IF(ISBLANK('Data Entry'!$Ã$505), "", 'Data Entry'!$Ã$505)</f>
      </c>
      <c r="EB505">
        <f>IF(ISBLANK('Data Entry'!$Ä$505), "", 'Data Entry'!$Ä$505)</f>
      </c>
      <c r="EC505">
        <f>IF(ISBLANK('Data Entry'!$Å$505), "", 'Data Entry'!$Å$505)</f>
      </c>
      <c r="ED505">
        <f>IF(ISBLANK('Data Entry'!$Æ$505), "", 'Data Entry'!$Æ$505)</f>
      </c>
      <c r="EE505">
        <f>IF(ISBLANK('Data Entry'!$Ç$505), "", 'Data Entry'!$Ç$505)</f>
      </c>
      <c r="EF505">
        <f>IF(ISBLANK('Data Entry'!$È$505), "", 'Data Entry'!$È$505)</f>
      </c>
      <c r="EG505">
        <f>IF(ISBLANK('Data Entry'!$É$505), "", 'Data Entry'!$É$505)</f>
      </c>
      <c r="EH505">
        <f>IF(ISBLANK('Data Entry'!$Ê$505), "", 'Data Entry'!$Ê$505)</f>
      </c>
      <c r="EI505">
        <f>IF(ISBLANK('Data Entry'!$Ë$505), "", 'Data Entry'!$Ë$505)</f>
      </c>
      <c r="EJ505">
        <f>IF(ISBLANK('Data Entry'!$Ì$505), "", 'Data Entry'!$Ì$505)</f>
      </c>
      <c r="EK505">
        <f>IF(ISBLANK('Data Entry'!$Í$505), "", 'Data Entry'!$Í$505)</f>
      </c>
      <c r="EL505">
        <f>IF(ISBLANK('Data Entry'!$Î$505), "", 'Data Entry'!$Î$505)</f>
      </c>
      <c r="EM505">
        <f>IF(ISBLANK('Data Entry'!$Ï$505), "", 'Data Entry'!$Ï$505)</f>
      </c>
      <c r="EN505">
        <f>IF(ISBLANK('Data Entry'!$Ð$505), "", 'Data Entry'!$Ð$505)</f>
      </c>
      <c r="EO505">
        <f>IF(ISBLANK('Data Entry'!$Ñ$505), "", 'Data Entry'!$Ñ$505)</f>
      </c>
      <c r="EP505">
        <f>IF(ISBLANK('Data Entry'!$Ò$505), "", 'Data Entry'!$Ò$505)</f>
      </c>
      <c r="EQ505">
        <f>IF(ISBLANK('Data Entry'!$Ó$505), "", 'Data Entry'!$Ó$505)</f>
      </c>
      <c r="ER505">
        <f>IF(ISBLANK('Data Entry'!$Ô$505), "", 'Data Entry'!$Ô$505)</f>
      </c>
      <c r="ES505">
        <f>IF(ISBLANK('Data Entry'!$Õ$505), "", 'Data Entry'!$Õ$505)</f>
      </c>
      <c r="ET505">
        <f>IF(ISBLANK('Data Entry'!$Ö$505), "", 'Data Entry'!$Ö$505)</f>
      </c>
      <c r="EU505">
        <f>IF(ISBLANK('Data Entry'!$×$505), "", 'Data Entry'!$×$505)</f>
      </c>
      <c r="EV505">
        <f>IF(ISBLANK('Data Entry'!$Ø$505), "", 'Data Entry'!$Ø$505)</f>
      </c>
      <c r="EW505">
        <f>IF(ISBLANK('Data Entry'!$Ù$505), "", 'Data Entry'!$Ù$505)</f>
      </c>
      <c r="EX505">
        <f>IF(ISBLANK('Data Entry'!$Ú$505), "", 'Data Entry'!$Ú$505)</f>
      </c>
      <c r="EY505">
        <f>IF(ISBLANK('Data Entry'!$Û$505), "", 'Data Entry'!$Û$505)</f>
      </c>
      <c r="EZ505">
        <f>IF(ISBLANK('Data Entry'!$Ü$505), "", 'Data Entry'!$Ü$505)</f>
      </c>
      <c r="FA505">
        <f>IF(ISBLANK('Data Entry'!$Ý$505), "", 'Data Entry'!$Ý$505)</f>
      </c>
      <c r="FB505">
        <f>IF(ISBLANK('Data Entry'!$Þ$505), "", 'Data Entry'!$Þ$505)</f>
      </c>
      <c r="FC505">
        <f>IF(ISBLANK('Data Entry'!$ß$505), "", 'Data Entry'!$ß$505)</f>
      </c>
      <c r="FD505">
        <f>IF(ISBLANK('Data Entry'!$à$505), "", 'Data Entry'!$à$505)</f>
      </c>
      <c r="FE505">
        <f>IF(ISBLANK('Data Entry'!$á$505), "", 'Data Entry'!$á$505)</f>
      </c>
      <c r="FF505">
        <f>IF(ISBLANK('Data Entry'!$â$505), "", 'Data Entry'!$â$505)</f>
      </c>
      <c r="FG505">
        <f>IF(ISBLANK('Data Entry'!$ã$505), "", 'Data Entry'!$ã$505)</f>
      </c>
      <c r="FH505">
        <f>IF(ISBLANK('Data Entry'!$ä$505), "", 'Data Entry'!$ä$505)</f>
      </c>
      <c r="FI505">
        <f>IF(ISBLANK('Data Entry'!$å$505), "", 'Data Entry'!$å$505)</f>
      </c>
      <c r="FJ505">
        <f>IF(ISBLANK('Data Entry'!$æ$505), "", 'Data Entry'!$æ$505)</f>
      </c>
      <c r="FK505">
        <f>IF(ISBLANK('Data Entry'!$ç$505), "", 'Data Entry'!$ç$505)</f>
      </c>
      <c r="FL505">
        <f>IF(ISBLANK('Data Entry'!$è$505), "", 'Data Entry'!$è$505)</f>
      </c>
      <c r="FM505">
        <f>IF(ISBLANK('Data Entry'!$é$505), "", 'Data Entry'!$é$505)</f>
      </c>
      <c r="FN505">
        <f>IF(ISBLANK('Data Entry'!$ê$505), "", 'Data Entry'!$ê$505)</f>
      </c>
      <c r="FO505">
        <f>IF(ISBLANK('Data Entry'!$ë$505), "", 'Data Entry'!$ë$505)</f>
      </c>
      <c r="FP505">
        <f>IF(ISBLANK('Data Entry'!$ì$505), "", 'Data Entry'!$ì$505)</f>
      </c>
      <c r="FQ505">
        <f>IF(ISBLANK('Data Entry'!$í$505), "", 'Data Entry'!$í$505)</f>
      </c>
      <c r="FR505">
        <f>IF(ISBLANK('Data Entry'!$î$505), "", 'Data Entry'!$î$505)</f>
      </c>
      <c r="FS505">
        <f>IF(ISBLANK('Data Entry'!$ï$505), "", 'Data Entry'!$ï$505)</f>
      </c>
      <c r="FT505">
        <f>IF(ISBLANK('Data Entry'!$ð$505), "", 'Data Entry'!$ð$505)</f>
      </c>
      <c r="FU505">
        <f>IF(ISBLANK('Data Entry'!$ñ$505), "", 'Data Entry'!$ñ$505)</f>
      </c>
      <c r="FV505">
        <f>IF(ISBLANK('Data Entry'!$ò$505), "", 'Data Entry'!$ò$505)</f>
      </c>
      <c r="FW505">
        <f>IF(ISBLANK('Data Entry'!$ó$505), "", 'Data Entry'!$ó$505)</f>
      </c>
      <c r="FX505">
        <f>IF(ISBLANK('Data Entry'!$ô$505), "", 'Data Entry'!$ô$505)</f>
      </c>
      <c r="FY505">
        <f>IF(ISBLANK('Data Entry'!$õ$505), "", 'Data Entry'!$õ$505)</f>
      </c>
      <c r="FZ505">
        <f>IF(ISBLANK('Data Entry'!$ö$505), "", 'Data Entry'!$ö$505)</f>
      </c>
      <c r="GA505">
        <f>IF(ISBLANK('Data Entry'!$÷$505), "", 'Data Entry'!$÷$505)</f>
      </c>
      <c r="GB505">
        <f>IF(ISBLANK('Data Entry'!$ø$505), "", 'Data Entry'!$ø$505)</f>
      </c>
      <c r="GC505">
        <f>IF(ISBLANK('Data Entry'!$ù$505), "", 'Data Entry'!$ù$505)</f>
      </c>
      <c r="GD505">
        <f>IF(ISBLANK('Data Entry'!$ú$505), "", 'Data Entry'!$ú$505)</f>
      </c>
      <c r="GE505">
        <f>IF(ISBLANK('Data Entry'!$û$505), "", 'Data Entry'!$û$505)</f>
      </c>
      <c r="GF505">
        <f>IF(ISBLANK('Data Entry'!$ü$505), "", 'Data Entry'!$ü$505)</f>
      </c>
      <c r="GG505">
        <f>IF(ISBLANK('Data Entry'!$ý$505), "", 'Data Entry'!$ý$505)</f>
      </c>
      <c r="GH505">
        <f>IF(ISBLANK('Data Entry'!$þ$505), "", 'Data Entry'!$þ$505)</f>
      </c>
      <c r="GI505">
        <f>IF(ISBLANK('Data Entry'!$ÿ$505), "", 'Data Entry'!$ÿ$505)</f>
      </c>
      <c r="GJ505">
        <f>IF(ISBLANK('Data Entry'!$Ā$505), "", 'Data Entry'!$Ā$505)</f>
      </c>
      <c r="GK505">
        <f>IF(ISBLANK('Data Entry'!$ā$505), "", 'Data Entry'!$ā$505)</f>
      </c>
      <c r="GL505">
        <f>IF(ISBLANK('Data Entry'!$Ă$505), "", 'Data Entry'!$Ă$505)</f>
      </c>
      <c r="GM505">
        <f>IF(ISBLANK('Data Entry'!$ă$505), "", 'Data Entry'!$ă$505)</f>
      </c>
      <c r="GN505">
        <f>IF(ISBLANK('Data Entry'!$Ą$505), "", 'Data Entry'!$Ą$505)</f>
      </c>
      <c r="GO505">
        <f>IF(ISBLANK('Data Entry'!$ą$505), "", 'Data Entry'!$ą$505)</f>
      </c>
      <c r="GP505">
        <f>IF(ISBLANK('Data Entry'!$Ć$505), "", 'Data Entry'!$Ć$505)</f>
      </c>
      <c r="GQ505">
        <f>IF(ISBLANK('Data Entry'!$ć$505), "", 'Data Entry'!$ć$505)</f>
      </c>
      <c r="GR505">
        <f>IF(ISBLANK('Data Entry'!$Ĉ$505), "", 'Data Entry'!$Ĉ$505)</f>
      </c>
      <c r="GS505">
        <f>IF(ISBLANK('Data Entry'!$ĉ$505), "", 'Data Entry'!$ĉ$505)</f>
      </c>
      <c r="GT505">
        <f>IF(ISBLANK('Data Entry'!$Ċ$505), "", 'Data Entry'!$Ċ$505)</f>
      </c>
      <c r="GU505">
        <f>IF(ISBLANK('Data Entry'!$ċ$505), "", 'Data Entry'!$ċ$505)</f>
      </c>
      <c r="GV505">
        <f>IF(ISBLANK('Data Entry'!$Č$505), "", 'Data Entry'!$Č$505)</f>
      </c>
      <c r="GW505">
        <f>IF(ISBLANK('Data Entry'!$č$505), "", 'Data Entry'!$č$505)</f>
      </c>
      <c r="GX505">
        <f>IF(ISBLANK('Data Entry'!$Ď$505), "", 'Data Entry'!$Ď$505)</f>
      </c>
      <c r="GY505">
        <f>IF(ISBLANK('Data Entry'!$ď$505), "", 'Data Entry'!$ď$505)</f>
      </c>
      <c r="GZ505">
        <f>IF(ISBLANK('Data Entry'!$Đ$505), "", 'Data Entry'!$Đ$505)</f>
      </c>
      <c r="HA505">
        <f>IF(ISBLANK('Data Entry'!$đ$505), "", 'Data Entry'!$đ$505)</f>
      </c>
      <c r="HB505">
        <f>IF(ISBLANK('Data Entry'!$Ē$505), "", 'Data Entry'!$Ē$505)</f>
      </c>
      <c r="HC505">
        <f>IF(ISBLANK('Data Entry'!$ē$505), "", 'Data Entry'!$ē$505)</f>
      </c>
      <c r="HD505">
        <f>IF(ISBLANK('Data Entry'!$Ĕ$505), "", 'Data Entry'!$Ĕ$505)</f>
      </c>
      <c r="HE505">
        <f>IF(ISBLANK('Data Entry'!$ĕ$505), "", 'Data Entry'!$ĕ$505)</f>
      </c>
      <c r="HF505">
        <f>IF(ISBLANK('Data Entry'!$Ė$505), "", 'Data Entry'!$Ė$505)</f>
      </c>
      <c r="HG505">
        <f>IF(ISBLANK('Data Entry'!$ė$505), "", 'Data Entry'!$ė$505)</f>
      </c>
      <c r="HH505">
        <f>IF(ISBLANK('Data Entry'!$Ę$505), "", 'Data Entry'!$Ę$505)</f>
      </c>
      <c r="HI505">
        <f>IF(ISBLANK('Data Entry'!$ę$505), "", 'Data Entry'!$ę$505)</f>
      </c>
      <c r="HJ505">
        <f>IF(ISBLANK('Data Entry'!$Ě$505), "", 'Data Entry'!$Ě$505)</f>
      </c>
      <c r="HK505">
        <f>IF(ISBLANK('Data Entry'!$ě$505), "", 'Data Entry'!$ě$505)</f>
      </c>
      <c r="HL505">
        <f>IF(ISBLANK('Data Entry'!$Ĝ$505), "", 'Data Entry'!$Ĝ$505)</f>
      </c>
      <c r="HM505">
        <f>IF(ISBLANK('Data Entry'!$ĝ$505), "", 'Data Entry'!$ĝ$505)</f>
      </c>
      <c r="HN505">
        <f>IF(ISBLANK('Data Entry'!$Ğ$505), "", 'Data Entry'!$Ğ$505)</f>
      </c>
      <c r="HO505">
        <f>IF(ISBLANK('Data Entry'!$ğ$505), "", 'Data Entry'!$ğ$505)</f>
      </c>
      <c r="HP505">
        <f>IF(ISBLANK('Data Entry'!$Ġ$505), "", 'Data Entry'!$Ġ$505)</f>
      </c>
      <c r="HQ505">
        <f>IF(ISBLANK('Data Entry'!$ġ$505), "", 'Data Entry'!$ġ$505)</f>
      </c>
      <c r="HR505">
        <f>IF(ISBLANK('Data Entry'!$Ģ$505), "", 'Data Entry'!$Ģ$505)</f>
      </c>
      <c r="HS505">
        <f>IF(ISBLANK('Data Entry'!$ģ$505), "", 'Data Entry'!$ģ$505)</f>
      </c>
      <c r="HT505">
        <f>IF(ISBLANK('Data Entry'!$Ĥ$505), "", 'Data Entry'!$Ĥ$505)</f>
      </c>
      <c r="HU505">
        <f>IF(ISBLANK('Data Entry'!$ĥ$505), "", 'Data Entry'!$ĥ$505)</f>
      </c>
      <c r="HV505">
        <f>IF(ISBLANK('Data Entry'!$Ħ$505), "", 'Data Entry'!$Ħ$505)</f>
      </c>
      <c r="HW505">
        <f>IF(ISBLANK('Data Entry'!$ħ$505), "", 'Data Entry'!$ħ$505)</f>
      </c>
      <c r="HX505">
        <f>IF(ISBLANK('Data Entry'!$Ĩ$505), "", 'Data Entry'!$Ĩ$505)</f>
      </c>
      <c r="HY505">
        <f>IF(ISBLANK('Data Entry'!$ĩ$505), "", 'Data Entry'!$ĩ$505)</f>
      </c>
      <c r="HZ505">
        <f>IF(ISBLANK('Data Entry'!$Ī$505), "", 'Data Entry'!$Ī$505)</f>
      </c>
      <c r="IA505">
        <f>IF(ISBLANK('Data Entry'!$ī$505), "", 'Data Entry'!$ī$505)</f>
      </c>
      <c r="IB505">
        <f>IF(ISBLANK('Data Entry'!$Ĭ$505), "", 'Data Entry'!$Ĭ$505)</f>
      </c>
      <c r="IC505">
        <f>IF(ISBLANK('Data Entry'!$ĭ$505), "", 'Data Entry'!$ĭ$505)</f>
      </c>
      <c r="ID505">
        <f>IF(ISBLANK('Data Entry'!$Į$505), "", 'Data Entry'!$Į$505)</f>
      </c>
      <c r="IE505">
        <f>IF(ISBLANK('Data Entry'!$į$505), "", 'Data Entry'!$į$505)</f>
      </c>
      <c r="IF505">
        <f>IF(ISBLANK('Data Entry'!$İ$505), "", 'Data Entry'!$İ$505)</f>
      </c>
      <c r="IG505">
        <f>IF(ISBLANK('Data Entry'!$ı$505), "", 'Data Entry'!$ı$505)</f>
      </c>
      <c r="IH505">
        <f>IF(ISBLANK('Data Entry'!$Ĳ$505), "", 'Data Entry'!$Ĳ$505)</f>
      </c>
      <c r="II505">
        <f>IF(ISBLANK('Data Entry'!$ĳ$505), "", 'Data Entry'!$ĳ$505)</f>
      </c>
      <c r="IJ505">
        <f>IF(ISBLANK('Data Entry'!$Ĵ$505), "", 'Data Entry'!$Ĵ$505)</f>
      </c>
      <c r="IK505">
        <f>IF(ISBLANK('Data Entry'!$ĵ$505), "", 'Data Entry'!$ĵ$505)</f>
      </c>
      <c r="IL505">
        <f>IF(ISBLANK('Data Entry'!$Ķ$505), "", 'Data Entry'!$Ķ$505)</f>
      </c>
      <c r="IM505">
        <f>IF(ISBLANK('Data Entry'!$ķ$505), "", 'Data Entry'!$ķ$505)</f>
      </c>
      <c r="IN505">
        <f>IF(ISBLANK('Data Entry'!$ĸ$505), "", 'Data Entry'!$ĸ$505)</f>
      </c>
      <c r="IO505">
        <f>IF(ISBLANK('Data Entry'!$Ĺ$505), "", 'Data Entry'!$Ĺ$505)</f>
      </c>
      <c r="IP505">
        <f>IF(ISBLANK('Data Entry'!$ĺ$505), "", 'Data Entry'!$ĺ$505)</f>
      </c>
      <c r="IQ505">
        <f>IF(ISBLANK('Data Entry'!$Ļ$505), "", 'Data Entry'!$Ļ$505)</f>
      </c>
      <c r="IR505">
        <f>IF(ISBLANK('Data Entry'!$ļ$505), "", 'Data Entry'!$ļ$505)</f>
      </c>
      <c r="IS505">
        <f>IF(ISBLANK('Data Entry'!$Ľ$505), "", 'Data Entry'!$Ľ$505)</f>
      </c>
      <c r="IT505">
        <f>IF(ISBLANK('Data Entry'!$ľ$505), "", 'Data Entry'!$ľ$505)</f>
      </c>
    </row>
    <row r="506" spans="1:254" x14ac:dyDescent="0.25">
      <c r="A506">
        <f>IF(ISBLANK('Data Entry'!$A$506), "", 'Data Entry'!$A$506)</f>
      </c>
      <c r="B506">
        <f>IF(ISBLANK('Data Entry'!$B$506), "", 'Data Entry'!$B$506)</f>
      </c>
      <c r="C506">
        <f>IF(ISBLANK('Data Entry'!$C$506), "", 'Data Entry'!$C$506)</f>
      </c>
      <c r="D506">
        <f>IF(ISBLANK('Data Entry'!$D$506), "", 'Data Entry'!$D$506)</f>
      </c>
      <c r="E506">
        <f>IF(ISBLANK('Data Entry'!$E$506), "", 'Data Entry'!$E$506)</f>
      </c>
      <c r="F506">
        <f>IF(ISBLANK('Data Entry'!$F$506), "", 'Data Entry'!$F$506)</f>
      </c>
      <c r="G506">
        <f>IF(ISBLANK('Data Entry'!$G$506), "", 'Data Entry'!$G$506)</f>
      </c>
      <c r="H506">
        <f>IF(ISBLANK('Data Entry'!$H$506), "", 'Data Entry'!$H$506)</f>
      </c>
      <c r="I506">
        <f>IF(ISBLANK('Data Entry'!$I$506), "", 'Data Entry'!$I$506)</f>
      </c>
      <c r="J506">
        <f>IF(ISBLANK('Data Entry'!$J$506), "", 'Data Entry'!$J$506)</f>
      </c>
      <c r="K506">
        <f>IF(ISBLANK('Data Entry'!$K$506), "", 'Data Entry'!$K$506)</f>
      </c>
      <c r="L506">
        <f>IF(ISBLANK('Data Entry'!$L$506), "", 'Data Entry'!$L$506)</f>
      </c>
      <c r="M506">
        <f>IF(ISBLANK('Data Entry'!$M$506), "", 'Data Entry'!$M$506)</f>
      </c>
      <c r="N506">
        <f>IF(ISBLANK('Data Entry'!$N$506), "", 'Data Entry'!$N$506)</f>
      </c>
      <c r="O506">
        <f>IF(ISBLANK('Data Entry'!$O$506), "", 'Data Entry'!$O$506)</f>
      </c>
      <c r="P506">
        <f>IF(ISBLANK('Data Entry'!$P$506), "", 'Data Entry'!$P$506)</f>
      </c>
      <c r="Q506">
        <f>IF(ISBLANK('Data Entry'!$Q$506), "", 'Data Entry'!$Q$506)</f>
      </c>
      <c r="R506">
        <f>IF(ISBLANK('Data Entry'!$R$506), "", 'Data Entry'!$R$506)</f>
      </c>
      <c r="S506">
        <f>IF(ISBLANK('Data Entry'!$S$506), "", 'Data Entry'!$S$506)</f>
      </c>
      <c r="T506">
        <f>IF(ISBLANK('Data Entry'!$T$506), "", 'Data Entry'!$T$506)</f>
      </c>
      <c r="U506">
        <f>IF(ISBLANK('Data Entry'!$U$506), "", 'Data Entry'!$U$506)</f>
      </c>
      <c r="V506">
        <f>IF(ISBLANK('Data Entry'!$V$506), "", 'Data Entry'!$V$506)</f>
      </c>
      <c r="W506">
        <f>IF(ISBLANK('Data Entry'!$W$506), "", 'Data Entry'!$W$506)</f>
      </c>
      <c r="X506">
        <f>IF(ISBLANK('Data Entry'!$X$506), "", 'Data Entry'!$X$506)</f>
      </c>
      <c r="Y506">
        <f>IF(ISBLANK('Data Entry'!$Y$506), "", 'Data Entry'!$Y$506)</f>
      </c>
      <c r="Z506">
        <f>IF(ISBLANK('Data Entry'!$Z$506), "", 'Data Entry'!$Z$506)</f>
      </c>
      <c r="AA506">
        <f>IF(ISBLANK('Data Entry'!$[$506), "", 'Data Entry'!$[$506)</f>
      </c>
      <c r="AB506">
        <f>IF(ISBLANK('Data Entry'!$\$506), "", 'Data Entry'!$\$506)</f>
      </c>
      <c r="AC506">
        <f>IF(ISBLANK('Data Entry'!$]$506), "", 'Data Entry'!$]$506)</f>
      </c>
      <c r="AD506">
        <f>IF(ISBLANK('Data Entry'!$^$506), "", 'Data Entry'!$^$506)</f>
      </c>
      <c r="AE506">
        <f>IF(ISBLANK('Data Entry'!$_$506), "", 'Data Entry'!$_$506)</f>
      </c>
      <c r="AF506">
        <f>IF(ISBLANK('Data Entry'!$`$506), "", 'Data Entry'!$`$506)</f>
      </c>
      <c r="AG506">
        <f>IF(ISBLANK('Data Entry'!$a$506), "", 'Data Entry'!$a$506)</f>
      </c>
      <c r="AH506">
        <f>IF(ISBLANK('Data Entry'!$b$506), "", 'Data Entry'!$b$506)</f>
      </c>
      <c r="AI506">
        <f>IF(ISBLANK('Data Entry'!$c$506), "", 'Data Entry'!$c$506)</f>
      </c>
      <c r="AJ506">
        <f>IF(ISBLANK('Data Entry'!$d$506), "", 'Data Entry'!$d$506)</f>
      </c>
      <c r="AK506">
        <f>IF(ISBLANK('Data Entry'!$e$506), "", 'Data Entry'!$e$506)</f>
      </c>
      <c r="AL506">
        <f>IF(ISBLANK('Data Entry'!$f$506), "", 'Data Entry'!$f$506)</f>
      </c>
      <c r="AM506">
        <f>IF(ISBLANK('Data Entry'!$g$506), "", 'Data Entry'!$g$506)</f>
      </c>
      <c r="AN506">
        <f>IF(ISBLANK('Data Entry'!$h$506), "", 'Data Entry'!$h$506)</f>
      </c>
      <c r="AO506">
        <f>IF(ISBLANK('Data Entry'!$i$506), "", 'Data Entry'!$i$506)</f>
      </c>
      <c r="AP506">
        <f>IF(ISBLANK('Data Entry'!$j$506), "", 'Data Entry'!$j$506)</f>
      </c>
      <c r="AQ506">
        <f>IF(ISBLANK('Data Entry'!$k$506), "", 'Data Entry'!$k$506)</f>
      </c>
      <c r="AR506">
        <f>IF(ISBLANK('Data Entry'!$l$506), "", 'Data Entry'!$l$506)</f>
      </c>
      <c r="AS506">
        <f>IF(ISBLANK('Data Entry'!$m$506), "", 'Data Entry'!$m$506)</f>
      </c>
      <c r="AT506">
        <f>IF(ISBLANK('Data Entry'!$n$506), "", 'Data Entry'!$n$506)</f>
      </c>
      <c r="AU506">
        <f>IF(ISBLANK('Data Entry'!$o$506), "", 'Data Entry'!$o$506)</f>
      </c>
      <c r="AV506">
        <f>IF(ISBLANK('Data Entry'!$p$506), "", 'Data Entry'!$p$506)</f>
      </c>
      <c r="AW506">
        <f>IF(ISBLANK('Data Entry'!$q$506), "", 'Data Entry'!$q$506)</f>
      </c>
      <c r="AX506">
        <f>IF(ISBLANK('Data Entry'!$r$506), "", 'Data Entry'!$r$506)</f>
      </c>
      <c r="AY506">
        <f>IF(ISBLANK('Data Entry'!$s$506), "", 'Data Entry'!$s$506)</f>
      </c>
      <c r="AZ506">
        <f>IF(ISBLANK('Data Entry'!$t$506), "", 'Data Entry'!$t$506)</f>
      </c>
      <c r="BA506">
        <f>IF(ISBLANK('Data Entry'!$u$506), "", 'Data Entry'!$u$506)</f>
      </c>
      <c r="BB506">
        <f>IF(ISBLANK('Data Entry'!$v$506), "", 'Data Entry'!$v$506)</f>
      </c>
      <c r="BC506">
        <f>IF(ISBLANK('Data Entry'!$w$506), "", 'Data Entry'!$w$506)</f>
      </c>
      <c r="BD506">
        <f>IF(ISBLANK('Data Entry'!$x$506), "", 'Data Entry'!$x$506)</f>
      </c>
      <c r="BE506">
        <f>IF(ISBLANK('Data Entry'!$y$506), "", 'Data Entry'!$y$506)</f>
      </c>
      <c r="BF506">
        <f>IF(ISBLANK('Data Entry'!$z$506), "", 'Data Entry'!$z$506)</f>
      </c>
      <c r="BG506">
        <f>IF(ISBLANK('Data Entry'!${$506), "", 'Data Entry'!${$506)</f>
      </c>
      <c r="BH506">
        <f>IF(ISBLANK('Data Entry'!$|$506), "", 'Data Entry'!$|$506)</f>
      </c>
      <c r="BI506">
        <f>IF(ISBLANK('Data Entry'!$}$506), "", 'Data Entry'!$}$506)</f>
      </c>
      <c r="BJ506">
        <f>IF(ISBLANK('Data Entry'!$~$506), "", 'Data Entry'!$~$506)</f>
      </c>
      <c r="BK506">
        <f>IF(ISBLANK('Data Entry'!$$506), "", 'Data Entry'!$$506)</f>
      </c>
      <c r="BL506">
        <f>IF(ISBLANK('Data Entry'!$$506), "", 'Data Entry'!$$506)</f>
      </c>
      <c r="BM506">
        <f>IF(ISBLANK('Data Entry'!$$506), "", 'Data Entry'!$$506)</f>
      </c>
      <c r="BN506">
        <f>IF(ISBLANK('Data Entry'!$$506), "", 'Data Entry'!$$506)</f>
      </c>
      <c r="BO506">
        <f>IF(ISBLANK('Data Entry'!$$506), "", 'Data Entry'!$$506)</f>
      </c>
      <c r="BP506">
        <f>IF(ISBLANK('Data Entry'!$$506), "", 'Data Entry'!$$506)</f>
      </c>
      <c r="BQ506">
        <f>IF(ISBLANK('Data Entry'!$$506), "", 'Data Entry'!$$506)</f>
      </c>
      <c r="BR506">
        <f>IF(ISBLANK('Data Entry'!$$506), "", 'Data Entry'!$$506)</f>
      </c>
      <c r="BS506">
        <f>IF(ISBLANK('Data Entry'!$$506), "", 'Data Entry'!$$506)</f>
      </c>
      <c r="BT506">
        <f>IF(ISBLANK('Data Entry'!$$506), "", 'Data Entry'!$$506)</f>
      </c>
      <c r="BU506">
        <f>IF(ISBLANK('Data Entry'!$$506), "", 'Data Entry'!$$506)</f>
      </c>
      <c r="BV506">
        <f>IF(ISBLANK('Data Entry'!$$506), "", 'Data Entry'!$$506)</f>
      </c>
      <c r="BW506">
        <f>IF(ISBLANK('Data Entry'!$$506), "", 'Data Entry'!$$506)</f>
      </c>
      <c r="BX506">
        <f>IF(ISBLANK('Data Entry'!$$506), "", 'Data Entry'!$$506)</f>
      </c>
      <c r="BY506">
        <f>IF(ISBLANK('Data Entry'!$$506), "", 'Data Entry'!$$506)</f>
      </c>
      <c r="BZ506">
        <f>IF(ISBLANK('Data Entry'!$$506), "", 'Data Entry'!$$506)</f>
      </c>
      <c r="CA506">
        <f>IF(ISBLANK('Data Entry'!$$506), "", 'Data Entry'!$$506)</f>
      </c>
      <c r="CB506">
        <f>IF(ISBLANK('Data Entry'!$$506), "", 'Data Entry'!$$506)</f>
      </c>
      <c r="CC506">
        <f>IF(ISBLANK('Data Entry'!$$506), "", 'Data Entry'!$$506)</f>
      </c>
      <c r="CD506">
        <f>IF(ISBLANK('Data Entry'!$$506), "", 'Data Entry'!$$506)</f>
      </c>
      <c r="CE506">
        <f>IF(ISBLANK('Data Entry'!$$506), "", 'Data Entry'!$$506)</f>
      </c>
      <c r="CF506">
        <f>IF(ISBLANK('Data Entry'!$$506), "", 'Data Entry'!$$506)</f>
      </c>
      <c r="CG506">
        <f>IF(ISBLANK('Data Entry'!$$506), "", 'Data Entry'!$$506)</f>
      </c>
      <c r="CH506">
        <f>IF(ISBLANK('Data Entry'!$$506), "", 'Data Entry'!$$506)</f>
      </c>
      <c r="CI506">
        <f>IF(ISBLANK('Data Entry'!$$506), "", 'Data Entry'!$$506)</f>
      </c>
      <c r="CJ506">
        <f>IF(ISBLANK('Data Entry'!$$506), "", 'Data Entry'!$$506)</f>
      </c>
      <c r="CK506">
        <f>IF(ISBLANK('Data Entry'!$$506), "", 'Data Entry'!$$506)</f>
      </c>
      <c r="CL506">
        <f>IF(ISBLANK('Data Entry'!$$506), "", 'Data Entry'!$$506)</f>
      </c>
      <c r="CM506">
        <f>IF(ISBLANK('Data Entry'!$$506), "", 'Data Entry'!$$506)</f>
      </c>
      <c r="CN506">
        <f>IF(ISBLANK('Data Entry'!$$506), "", 'Data Entry'!$$506)</f>
      </c>
      <c r="CO506">
        <f>IF(ISBLANK('Data Entry'!$$506), "", 'Data Entry'!$$506)</f>
      </c>
      <c r="CP506">
        <f>IF(ISBLANK('Data Entry'!$$506), "", 'Data Entry'!$$506)</f>
      </c>
      <c r="CQ506">
        <f>IF(ISBLANK('Data Entry'!$$506), "", 'Data Entry'!$$506)</f>
      </c>
      <c r="CR506">
        <f>IF(ISBLANK('Data Entry'!$ $506), "", 'Data Entry'!$ $506)</f>
      </c>
      <c r="CS506">
        <f>IF(ISBLANK('Data Entry'!$¡$506), "", 'Data Entry'!$¡$506)</f>
      </c>
      <c r="CT506">
        <f>IF(ISBLANK('Data Entry'!$¢$506), "", 'Data Entry'!$¢$506)</f>
      </c>
      <c r="CU506">
        <f>IF(ISBLANK('Data Entry'!$£$506), "", 'Data Entry'!$£$506)</f>
      </c>
      <c r="CV506">
        <f>IF(ISBLANK('Data Entry'!$¤$506), "", 'Data Entry'!$¤$506)</f>
      </c>
      <c r="CW506">
        <f>IF(ISBLANK('Data Entry'!$¥$506), "", 'Data Entry'!$¥$506)</f>
      </c>
      <c r="CX506">
        <f>IF(ISBLANK('Data Entry'!$¦$506), "", 'Data Entry'!$¦$506)</f>
      </c>
      <c r="CY506">
        <f>IF(ISBLANK('Data Entry'!$§$506), "", 'Data Entry'!$§$506)</f>
      </c>
      <c r="CZ506">
        <f>IF(ISBLANK('Data Entry'!$¨$506), "", 'Data Entry'!$¨$506)</f>
      </c>
      <c r="DA506">
        <f>IF(ISBLANK('Data Entry'!$©$506), "", 'Data Entry'!$©$506)</f>
      </c>
      <c r="DB506">
        <f>IF(ISBLANK('Data Entry'!$ª$506), "", 'Data Entry'!$ª$506)</f>
      </c>
      <c r="DC506">
        <f>IF(ISBLANK('Data Entry'!$«$506), "", 'Data Entry'!$«$506)</f>
      </c>
      <c r="DD506">
        <f>IF(ISBLANK('Data Entry'!$¬$506), "", 'Data Entry'!$¬$506)</f>
      </c>
      <c r="DE506">
        <f>IF(ISBLANK('Data Entry'!$­$506), "", 'Data Entry'!$­$506)</f>
      </c>
      <c r="DF506">
        <f>IF(ISBLANK('Data Entry'!$®$506), "", 'Data Entry'!$®$506)</f>
      </c>
      <c r="DG506">
        <f>IF(ISBLANK('Data Entry'!$¯$506), "", 'Data Entry'!$¯$506)</f>
      </c>
      <c r="DH506">
        <f>IF(ISBLANK('Data Entry'!$°$506), "", 'Data Entry'!$°$506)</f>
      </c>
      <c r="DI506">
        <f>IF(ISBLANK('Data Entry'!$±$506), "", 'Data Entry'!$±$506)</f>
      </c>
      <c r="DJ506">
        <f>IF(ISBLANK('Data Entry'!$²$506), "", 'Data Entry'!$²$506)</f>
      </c>
      <c r="DK506">
        <f>IF(ISBLANK('Data Entry'!$³$506), "", 'Data Entry'!$³$506)</f>
      </c>
      <c r="DL506">
        <f>IF(ISBLANK('Data Entry'!$´$506), "", 'Data Entry'!$´$506)</f>
      </c>
      <c r="DM506">
        <f>IF(ISBLANK('Data Entry'!$µ$506), "", 'Data Entry'!$µ$506)</f>
      </c>
      <c r="DN506">
        <f>IF(ISBLANK('Data Entry'!$¶$506), "", 'Data Entry'!$¶$506)</f>
      </c>
      <c r="DO506">
        <f>IF(ISBLANK('Data Entry'!$·$506), "", 'Data Entry'!$·$506)</f>
      </c>
      <c r="DP506">
        <f>IF(ISBLANK('Data Entry'!$¸$506), "", 'Data Entry'!$¸$506)</f>
      </c>
      <c r="DQ506">
        <f>IF(ISBLANK('Data Entry'!$¹$506), "", 'Data Entry'!$¹$506)</f>
      </c>
      <c r="DR506">
        <f>IF(ISBLANK('Data Entry'!$º$506), "", 'Data Entry'!$º$506)</f>
      </c>
      <c r="DS506">
        <f>IF(ISBLANK('Data Entry'!$»$506), "", 'Data Entry'!$»$506)</f>
      </c>
      <c r="DT506">
        <f>IF(ISBLANK('Data Entry'!$¼$506), "", 'Data Entry'!$¼$506)</f>
      </c>
      <c r="DU506">
        <f>IF(ISBLANK('Data Entry'!$½$506), "", 'Data Entry'!$½$506)</f>
      </c>
      <c r="DV506">
        <f>IF(ISBLANK('Data Entry'!$¾$506), "", 'Data Entry'!$¾$506)</f>
      </c>
      <c r="DW506">
        <f>IF(ISBLANK('Data Entry'!$¿$506), "", 'Data Entry'!$¿$506)</f>
      </c>
      <c r="DX506">
        <f>IF(ISBLANK('Data Entry'!$À$506), "", 'Data Entry'!$À$506)</f>
      </c>
      <c r="DY506">
        <f>IF(ISBLANK('Data Entry'!$Á$506), "", 'Data Entry'!$Á$506)</f>
      </c>
      <c r="DZ506">
        <f>IF(ISBLANK('Data Entry'!$Â$506), "", 'Data Entry'!$Â$506)</f>
      </c>
      <c r="EA506">
        <f>IF(ISBLANK('Data Entry'!$Ã$506), "", 'Data Entry'!$Ã$506)</f>
      </c>
      <c r="EB506">
        <f>IF(ISBLANK('Data Entry'!$Ä$506), "", 'Data Entry'!$Ä$506)</f>
      </c>
      <c r="EC506">
        <f>IF(ISBLANK('Data Entry'!$Å$506), "", 'Data Entry'!$Å$506)</f>
      </c>
      <c r="ED506">
        <f>IF(ISBLANK('Data Entry'!$Æ$506), "", 'Data Entry'!$Æ$506)</f>
      </c>
      <c r="EE506">
        <f>IF(ISBLANK('Data Entry'!$Ç$506), "", 'Data Entry'!$Ç$506)</f>
      </c>
      <c r="EF506">
        <f>IF(ISBLANK('Data Entry'!$È$506), "", 'Data Entry'!$È$506)</f>
      </c>
      <c r="EG506">
        <f>IF(ISBLANK('Data Entry'!$É$506), "", 'Data Entry'!$É$506)</f>
      </c>
      <c r="EH506">
        <f>IF(ISBLANK('Data Entry'!$Ê$506), "", 'Data Entry'!$Ê$506)</f>
      </c>
      <c r="EI506">
        <f>IF(ISBLANK('Data Entry'!$Ë$506), "", 'Data Entry'!$Ë$506)</f>
      </c>
      <c r="EJ506">
        <f>IF(ISBLANK('Data Entry'!$Ì$506), "", 'Data Entry'!$Ì$506)</f>
      </c>
      <c r="EK506">
        <f>IF(ISBLANK('Data Entry'!$Í$506), "", 'Data Entry'!$Í$506)</f>
      </c>
      <c r="EL506">
        <f>IF(ISBLANK('Data Entry'!$Î$506), "", 'Data Entry'!$Î$506)</f>
      </c>
      <c r="EM506">
        <f>IF(ISBLANK('Data Entry'!$Ï$506), "", 'Data Entry'!$Ï$506)</f>
      </c>
      <c r="EN506">
        <f>IF(ISBLANK('Data Entry'!$Ð$506), "", 'Data Entry'!$Ð$506)</f>
      </c>
      <c r="EO506">
        <f>IF(ISBLANK('Data Entry'!$Ñ$506), "", 'Data Entry'!$Ñ$506)</f>
      </c>
      <c r="EP506">
        <f>IF(ISBLANK('Data Entry'!$Ò$506), "", 'Data Entry'!$Ò$506)</f>
      </c>
      <c r="EQ506">
        <f>IF(ISBLANK('Data Entry'!$Ó$506), "", 'Data Entry'!$Ó$506)</f>
      </c>
      <c r="ER506">
        <f>IF(ISBLANK('Data Entry'!$Ô$506), "", 'Data Entry'!$Ô$506)</f>
      </c>
      <c r="ES506">
        <f>IF(ISBLANK('Data Entry'!$Õ$506), "", 'Data Entry'!$Õ$506)</f>
      </c>
      <c r="ET506">
        <f>IF(ISBLANK('Data Entry'!$Ö$506), "", 'Data Entry'!$Ö$506)</f>
      </c>
      <c r="EU506">
        <f>IF(ISBLANK('Data Entry'!$×$506), "", 'Data Entry'!$×$506)</f>
      </c>
      <c r="EV506">
        <f>IF(ISBLANK('Data Entry'!$Ø$506), "", 'Data Entry'!$Ø$506)</f>
      </c>
      <c r="EW506">
        <f>IF(ISBLANK('Data Entry'!$Ù$506), "", 'Data Entry'!$Ù$506)</f>
      </c>
      <c r="EX506">
        <f>IF(ISBLANK('Data Entry'!$Ú$506), "", 'Data Entry'!$Ú$506)</f>
      </c>
      <c r="EY506">
        <f>IF(ISBLANK('Data Entry'!$Û$506), "", 'Data Entry'!$Û$506)</f>
      </c>
      <c r="EZ506">
        <f>IF(ISBLANK('Data Entry'!$Ü$506), "", 'Data Entry'!$Ü$506)</f>
      </c>
      <c r="FA506">
        <f>IF(ISBLANK('Data Entry'!$Ý$506), "", 'Data Entry'!$Ý$506)</f>
      </c>
      <c r="FB506">
        <f>IF(ISBLANK('Data Entry'!$Þ$506), "", 'Data Entry'!$Þ$506)</f>
      </c>
      <c r="FC506">
        <f>IF(ISBLANK('Data Entry'!$ß$506), "", 'Data Entry'!$ß$506)</f>
      </c>
      <c r="FD506">
        <f>IF(ISBLANK('Data Entry'!$à$506), "", 'Data Entry'!$à$506)</f>
      </c>
      <c r="FE506">
        <f>IF(ISBLANK('Data Entry'!$á$506), "", 'Data Entry'!$á$506)</f>
      </c>
      <c r="FF506">
        <f>IF(ISBLANK('Data Entry'!$â$506), "", 'Data Entry'!$â$506)</f>
      </c>
      <c r="FG506">
        <f>IF(ISBLANK('Data Entry'!$ã$506), "", 'Data Entry'!$ã$506)</f>
      </c>
      <c r="FH506">
        <f>IF(ISBLANK('Data Entry'!$ä$506), "", 'Data Entry'!$ä$506)</f>
      </c>
      <c r="FI506">
        <f>IF(ISBLANK('Data Entry'!$å$506), "", 'Data Entry'!$å$506)</f>
      </c>
      <c r="FJ506">
        <f>IF(ISBLANK('Data Entry'!$æ$506), "", 'Data Entry'!$æ$506)</f>
      </c>
      <c r="FK506">
        <f>IF(ISBLANK('Data Entry'!$ç$506), "", 'Data Entry'!$ç$506)</f>
      </c>
      <c r="FL506">
        <f>IF(ISBLANK('Data Entry'!$è$506), "", 'Data Entry'!$è$506)</f>
      </c>
      <c r="FM506">
        <f>IF(ISBLANK('Data Entry'!$é$506), "", 'Data Entry'!$é$506)</f>
      </c>
      <c r="FN506">
        <f>IF(ISBLANK('Data Entry'!$ê$506), "", 'Data Entry'!$ê$506)</f>
      </c>
      <c r="FO506">
        <f>IF(ISBLANK('Data Entry'!$ë$506), "", 'Data Entry'!$ë$506)</f>
      </c>
      <c r="FP506">
        <f>IF(ISBLANK('Data Entry'!$ì$506), "", 'Data Entry'!$ì$506)</f>
      </c>
      <c r="FQ506">
        <f>IF(ISBLANK('Data Entry'!$í$506), "", 'Data Entry'!$í$506)</f>
      </c>
      <c r="FR506">
        <f>IF(ISBLANK('Data Entry'!$î$506), "", 'Data Entry'!$î$506)</f>
      </c>
      <c r="FS506">
        <f>IF(ISBLANK('Data Entry'!$ï$506), "", 'Data Entry'!$ï$506)</f>
      </c>
      <c r="FT506">
        <f>IF(ISBLANK('Data Entry'!$ð$506), "", 'Data Entry'!$ð$506)</f>
      </c>
      <c r="FU506">
        <f>IF(ISBLANK('Data Entry'!$ñ$506), "", 'Data Entry'!$ñ$506)</f>
      </c>
      <c r="FV506">
        <f>IF(ISBLANK('Data Entry'!$ò$506), "", 'Data Entry'!$ò$506)</f>
      </c>
      <c r="FW506">
        <f>IF(ISBLANK('Data Entry'!$ó$506), "", 'Data Entry'!$ó$506)</f>
      </c>
      <c r="FX506">
        <f>IF(ISBLANK('Data Entry'!$ô$506), "", 'Data Entry'!$ô$506)</f>
      </c>
      <c r="FY506">
        <f>IF(ISBLANK('Data Entry'!$õ$506), "", 'Data Entry'!$õ$506)</f>
      </c>
      <c r="FZ506">
        <f>IF(ISBLANK('Data Entry'!$ö$506), "", 'Data Entry'!$ö$506)</f>
      </c>
      <c r="GA506">
        <f>IF(ISBLANK('Data Entry'!$÷$506), "", 'Data Entry'!$÷$506)</f>
      </c>
      <c r="GB506">
        <f>IF(ISBLANK('Data Entry'!$ø$506), "", 'Data Entry'!$ø$506)</f>
      </c>
      <c r="GC506">
        <f>IF(ISBLANK('Data Entry'!$ù$506), "", 'Data Entry'!$ù$506)</f>
      </c>
      <c r="GD506">
        <f>IF(ISBLANK('Data Entry'!$ú$506), "", 'Data Entry'!$ú$506)</f>
      </c>
      <c r="GE506">
        <f>IF(ISBLANK('Data Entry'!$û$506), "", 'Data Entry'!$û$506)</f>
      </c>
      <c r="GF506">
        <f>IF(ISBLANK('Data Entry'!$ü$506), "", 'Data Entry'!$ü$506)</f>
      </c>
      <c r="GG506">
        <f>IF(ISBLANK('Data Entry'!$ý$506), "", 'Data Entry'!$ý$506)</f>
      </c>
      <c r="GH506">
        <f>IF(ISBLANK('Data Entry'!$þ$506), "", 'Data Entry'!$þ$506)</f>
      </c>
      <c r="GI506">
        <f>IF(ISBLANK('Data Entry'!$ÿ$506), "", 'Data Entry'!$ÿ$506)</f>
      </c>
      <c r="GJ506">
        <f>IF(ISBLANK('Data Entry'!$Ā$506), "", 'Data Entry'!$Ā$506)</f>
      </c>
      <c r="GK506">
        <f>IF(ISBLANK('Data Entry'!$ā$506), "", 'Data Entry'!$ā$506)</f>
      </c>
      <c r="GL506">
        <f>IF(ISBLANK('Data Entry'!$Ă$506), "", 'Data Entry'!$Ă$506)</f>
      </c>
      <c r="GM506">
        <f>IF(ISBLANK('Data Entry'!$ă$506), "", 'Data Entry'!$ă$506)</f>
      </c>
      <c r="GN506">
        <f>IF(ISBLANK('Data Entry'!$Ą$506), "", 'Data Entry'!$Ą$506)</f>
      </c>
      <c r="GO506">
        <f>IF(ISBLANK('Data Entry'!$ą$506), "", 'Data Entry'!$ą$506)</f>
      </c>
      <c r="GP506">
        <f>IF(ISBLANK('Data Entry'!$Ć$506), "", 'Data Entry'!$Ć$506)</f>
      </c>
      <c r="GQ506">
        <f>IF(ISBLANK('Data Entry'!$ć$506), "", 'Data Entry'!$ć$506)</f>
      </c>
      <c r="GR506">
        <f>IF(ISBLANK('Data Entry'!$Ĉ$506), "", 'Data Entry'!$Ĉ$506)</f>
      </c>
      <c r="GS506">
        <f>IF(ISBLANK('Data Entry'!$ĉ$506), "", 'Data Entry'!$ĉ$506)</f>
      </c>
      <c r="GT506">
        <f>IF(ISBLANK('Data Entry'!$Ċ$506), "", 'Data Entry'!$Ċ$506)</f>
      </c>
      <c r="GU506">
        <f>IF(ISBLANK('Data Entry'!$ċ$506), "", 'Data Entry'!$ċ$506)</f>
      </c>
      <c r="GV506">
        <f>IF(ISBLANK('Data Entry'!$Č$506), "", 'Data Entry'!$Č$506)</f>
      </c>
      <c r="GW506">
        <f>IF(ISBLANK('Data Entry'!$č$506), "", 'Data Entry'!$č$506)</f>
      </c>
      <c r="GX506">
        <f>IF(ISBLANK('Data Entry'!$Ď$506), "", 'Data Entry'!$Ď$506)</f>
      </c>
      <c r="GY506">
        <f>IF(ISBLANK('Data Entry'!$ď$506), "", 'Data Entry'!$ď$506)</f>
      </c>
      <c r="GZ506">
        <f>IF(ISBLANK('Data Entry'!$Đ$506), "", 'Data Entry'!$Đ$506)</f>
      </c>
      <c r="HA506">
        <f>IF(ISBLANK('Data Entry'!$đ$506), "", 'Data Entry'!$đ$506)</f>
      </c>
      <c r="HB506">
        <f>IF(ISBLANK('Data Entry'!$Ē$506), "", 'Data Entry'!$Ē$506)</f>
      </c>
      <c r="HC506">
        <f>IF(ISBLANK('Data Entry'!$ē$506), "", 'Data Entry'!$ē$506)</f>
      </c>
      <c r="HD506">
        <f>IF(ISBLANK('Data Entry'!$Ĕ$506), "", 'Data Entry'!$Ĕ$506)</f>
      </c>
      <c r="HE506">
        <f>IF(ISBLANK('Data Entry'!$ĕ$506), "", 'Data Entry'!$ĕ$506)</f>
      </c>
      <c r="HF506">
        <f>IF(ISBLANK('Data Entry'!$Ė$506), "", 'Data Entry'!$Ė$506)</f>
      </c>
      <c r="HG506">
        <f>IF(ISBLANK('Data Entry'!$ė$506), "", 'Data Entry'!$ė$506)</f>
      </c>
      <c r="HH506">
        <f>IF(ISBLANK('Data Entry'!$Ę$506), "", 'Data Entry'!$Ę$506)</f>
      </c>
      <c r="HI506">
        <f>IF(ISBLANK('Data Entry'!$ę$506), "", 'Data Entry'!$ę$506)</f>
      </c>
      <c r="HJ506">
        <f>IF(ISBLANK('Data Entry'!$Ě$506), "", 'Data Entry'!$Ě$506)</f>
      </c>
      <c r="HK506">
        <f>IF(ISBLANK('Data Entry'!$ě$506), "", 'Data Entry'!$ě$506)</f>
      </c>
      <c r="HL506">
        <f>IF(ISBLANK('Data Entry'!$Ĝ$506), "", 'Data Entry'!$Ĝ$506)</f>
      </c>
      <c r="HM506">
        <f>IF(ISBLANK('Data Entry'!$ĝ$506), "", 'Data Entry'!$ĝ$506)</f>
      </c>
      <c r="HN506">
        <f>IF(ISBLANK('Data Entry'!$Ğ$506), "", 'Data Entry'!$Ğ$506)</f>
      </c>
      <c r="HO506">
        <f>IF(ISBLANK('Data Entry'!$ğ$506), "", 'Data Entry'!$ğ$506)</f>
      </c>
      <c r="HP506">
        <f>IF(ISBLANK('Data Entry'!$Ġ$506), "", 'Data Entry'!$Ġ$506)</f>
      </c>
      <c r="HQ506">
        <f>IF(ISBLANK('Data Entry'!$ġ$506), "", 'Data Entry'!$ġ$506)</f>
      </c>
      <c r="HR506">
        <f>IF(ISBLANK('Data Entry'!$Ģ$506), "", 'Data Entry'!$Ģ$506)</f>
      </c>
      <c r="HS506">
        <f>IF(ISBLANK('Data Entry'!$ģ$506), "", 'Data Entry'!$ģ$506)</f>
      </c>
      <c r="HT506">
        <f>IF(ISBLANK('Data Entry'!$Ĥ$506), "", 'Data Entry'!$Ĥ$506)</f>
      </c>
      <c r="HU506">
        <f>IF(ISBLANK('Data Entry'!$ĥ$506), "", 'Data Entry'!$ĥ$506)</f>
      </c>
      <c r="HV506">
        <f>IF(ISBLANK('Data Entry'!$Ħ$506), "", 'Data Entry'!$Ħ$506)</f>
      </c>
      <c r="HW506">
        <f>IF(ISBLANK('Data Entry'!$ħ$506), "", 'Data Entry'!$ħ$506)</f>
      </c>
      <c r="HX506">
        <f>IF(ISBLANK('Data Entry'!$Ĩ$506), "", 'Data Entry'!$Ĩ$506)</f>
      </c>
      <c r="HY506">
        <f>IF(ISBLANK('Data Entry'!$ĩ$506), "", 'Data Entry'!$ĩ$506)</f>
      </c>
      <c r="HZ506">
        <f>IF(ISBLANK('Data Entry'!$Ī$506), "", 'Data Entry'!$Ī$506)</f>
      </c>
      <c r="IA506">
        <f>IF(ISBLANK('Data Entry'!$ī$506), "", 'Data Entry'!$ī$506)</f>
      </c>
      <c r="IB506">
        <f>IF(ISBLANK('Data Entry'!$Ĭ$506), "", 'Data Entry'!$Ĭ$506)</f>
      </c>
      <c r="IC506">
        <f>IF(ISBLANK('Data Entry'!$ĭ$506), "", 'Data Entry'!$ĭ$506)</f>
      </c>
      <c r="ID506">
        <f>IF(ISBLANK('Data Entry'!$Į$506), "", 'Data Entry'!$Į$506)</f>
      </c>
      <c r="IE506">
        <f>IF(ISBLANK('Data Entry'!$į$506), "", 'Data Entry'!$į$506)</f>
      </c>
      <c r="IF506">
        <f>IF(ISBLANK('Data Entry'!$İ$506), "", 'Data Entry'!$İ$506)</f>
      </c>
      <c r="IG506">
        <f>IF(ISBLANK('Data Entry'!$ı$506), "", 'Data Entry'!$ı$506)</f>
      </c>
      <c r="IH506">
        <f>IF(ISBLANK('Data Entry'!$Ĳ$506), "", 'Data Entry'!$Ĳ$506)</f>
      </c>
      <c r="II506">
        <f>IF(ISBLANK('Data Entry'!$ĳ$506), "", 'Data Entry'!$ĳ$506)</f>
      </c>
      <c r="IJ506">
        <f>IF(ISBLANK('Data Entry'!$Ĵ$506), "", 'Data Entry'!$Ĵ$506)</f>
      </c>
      <c r="IK506">
        <f>IF(ISBLANK('Data Entry'!$ĵ$506), "", 'Data Entry'!$ĵ$506)</f>
      </c>
      <c r="IL506">
        <f>IF(ISBLANK('Data Entry'!$Ķ$506), "", 'Data Entry'!$Ķ$506)</f>
      </c>
      <c r="IM506">
        <f>IF(ISBLANK('Data Entry'!$ķ$506), "", 'Data Entry'!$ķ$506)</f>
      </c>
      <c r="IN506">
        <f>IF(ISBLANK('Data Entry'!$ĸ$506), "", 'Data Entry'!$ĸ$506)</f>
      </c>
      <c r="IO506">
        <f>IF(ISBLANK('Data Entry'!$Ĺ$506), "", 'Data Entry'!$Ĺ$506)</f>
      </c>
      <c r="IP506">
        <f>IF(ISBLANK('Data Entry'!$ĺ$506), "", 'Data Entry'!$ĺ$506)</f>
      </c>
      <c r="IQ506">
        <f>IF(ISBLANK('Data Entry'!$Ļ$506), "", 'Data Entry'!$Ļ$506)</f>
      </c>
      <c r="IR506">
        <f>IF(ISBLANK('Data Entry'!$ļ$506), "", 'Data Entry'!$ļ$506)</f>
      </c>
      <c r="IS506">
        <f>IF(ISBLANK('Data Entry'!$Ľ$506), "", 'Data Entry'!$Ľ$506)</f>
      </c>
      <c r="IT506">
        <f>IF(ISBLANK('Data Entry'!$ľ$506), "", 'Data Entry'!$ľ$506)</f>
      </c>
    </row>
    <row r="507" spans="1:254" x14ac:dyDescent="0.25">
      <c r="A507">
        <f>IF(ISBLANK('Data Entry'!$A$507), "", 'Data Entry'!$A$507)</f>
      </c>
      <c r="B507">
        <f>IF(ISBLANK('Data Entry'!$B$507), "", 'Data Entry'!$B$507)</f>
      </c>
      <c r="C507">
        <f>IF(ISBLANK('Data Entry'!$C$507), "", 'Data Entry'!$C$507)</f>
      </c>
      <c r="D507">
        <f>IF(ISBLANK('Data Entry'!$D$507), "", 'Data Entry'!$D$507)</f>
      </c>
      <c r="E507">
        <f>IF(ISBLANK('Data Entry'!$E$507), "", 'Data Entry'!$E$507)</f>
      </c>
      <c r="F507">
        <f>IF(ISBLANK('Data Entry'!$F$507), "", 'Data Entry'!$F$507)</f>
      </c>
      <c r="G507">
        <f>IF(ISBLANK('Data Entry'!$G$507), "", 'Data Entry'!$G$507)</f>
      </c>
      <c r="H507">
        <f>IF(ISBLANK('Data Entry'!$H$507), "", 'Data Entry'!$H$507)</f>
      </c>
      <c r="I507">
        <f>IF(ISBLANK('Data Entry'!$I$507), "", 'Data Entry'!$I$507)</f>
      </c>
      <c r="J507">
        <f>IF(ISBLANK('Data Entry'!$J$507), "", 'Data Entry'!$J$507)</f>
      </c>
      <c r="K507">
        <f>IF(ISBLANK('Data Entry'!$K$507), "", 'Data Entry'!$K$507)</f>
      </c>
      <c r="L507">
        <f>IF(ISBLANK('Data Entry'!$L$507), "", 'Data Entry'!$L$507)</f>
      </c>
      <c r="M507">
        <f>IF(ISBLANK('Data Entry'!$M$507), "", 'Data Entry'!$M$507)</f>
      </c>
      <c r="N507">
        <f>IF(ISBLANK('Data Entry'!$N$507), "", 'Data Entry'!$N$507)</f>
      </c>
      <c r="O507">
        <f>IF(ISBLANK('Data Entry'!$O$507), "", 'Data Entry'!$O$507)</f>
      </c>
      <c r="P507">
        <f>IF(ISBLANK('Data Entry'!$P$507), "", 'Data Entry'!$P$507)</f>
      </c>
      <c r="Q507">
        <f>IF(ISBLANK('Data Entry'!$Q$507), "", 'Data Entry'!$Q$507)</f>
      </c>
      <c r="R507">
        <f>IF(ISBLANK('Data Entry'!$R$507), "", 'Data Entry'!$R$507)</f>
      </c>
      <c r="S507">
        <f>IF(ISBLANK('Data Entry'!$S$507), "", 'Data Entry'!$S$507)</f>
      </c>
      <c r="T507">
        <f>IF(ISBLANK('Data Entry'!$T$507), "", 'Data Entry'!$T$507)</f>
      </c>
      <c r="U507">
        <f>IF(ISBLANK('Data Entry'!$U$507), "", 'Data Entry'!$U$507)</f>
      </c>
      <c r="V507">
        <f>IF(ISBLANK('Data Entry'!$V$507), "", 'Data Entry'!$V$507)</f>
      </c>
      <c r="W507">
        <f>IF(ISBLANK('Data Entry'!$W$507), "", 'Data Entry'!$W$507)</f>
      </c>
      <c r="X507">
        <f>IF(ISBLANK('Data Entry'!$X$507), "", 'Data Entry'!$X$507)</f>
      </c>
      <c r="Y507">
        <f>IF(ISBLANK('Data Entry'!$Y$507), "", 'Data Entry'!$Y$507)</f>
      </c>
      <c r="Z507">
        <f>IF(ISBLANK('Data Entry'!$Z$507), "", 'Data Entry'!$Z$507)</f>
      </c>
      <c r="AA507">
        <f>IF(ISBLANK('Data Entry'!$[$507), "", 'Data Entry'!$[$507)</f>
      </c>
      <c r="AB507">
        <f>IF(ISBLANK('Data Entry'!$\$507), "", 'Data Entry'!$\$507)</f>
      </c>
      <c r="AC507">
        <f>IF(ISBLANK('Data Entry'!$]$507), "", 'Data Entry'!$]$507)</f>
      </c>
      <c r="AD507">
        <f>IF(ISBLANK('Data Entry'!$^$507), "", 'Data Entry'!$^$507)</f>
      </c>
      <c r="AE507">
        <f>IF(ISBLANK('Data Entry'!$_$507), "", 'Data Entry'!$_$507)</f>
      </c>
      <c r="AF507">
        <f>IF(ISBLANK('Data Entry'!$`$507), "", 'Data Entry'!$`$507)</f>
      </c>
      <c r="AG507">
        <f>IF(ISBLANK('Data Entry'!$a$507), "", 'Data Entry'!$a$507)</f>
      </c>
      <c r="AH507">
        <f>IF(ISBLANK('Data Entry'!$b$507), "", 'Data Entry'!$b$507)</f>
      </c>
      <c r="AI507">
        <f>IF(ISBLANK('Data Entry'!$c$507), "", 'Data Entry'!$c$507)</f>
      </c>
      <c r="AJ507">
        <f>IF(ISBLANK('Data Entry'!$d$507), "", 'Data Entry'!$d$507)</f>
      </c>
      <c r="AK507">
        <f>IF(ISBLANK('Data Entry'!$e$507), "", 'Data Entry'!$e$507)</f>
      </c>
      <c r="AL507">
        <f>IF(ISBLANK('Data Entry'!$f$507), "", 'Data Entry'!$f$507)</f>
      </c>
      <c r="AM507">
        <f>IF(ISBLANK('Data Entry'!$g$507), "", 'Data Entry'!$g$507)</f>
      </c>
      <c r="AN507">
        <f>IF(ISBLANK('Data Entry'!$h$507), "", 'Data Entry'!$h$507)</f>
      </c>
      <c r="AO507">
        <f>IF(ISBLANK('Data Entry'!$i$507), "", 'Data Entry'!$i$507)</f>
      </c>
      <c r="AP507">
        <f>IF(ISBLANK('Data Entry'!$j$507), "", 'Data Entry'!$j$507)</f>
      </c>
      <c r="AQ507">
        <f>IF(ISBLANK('Data Entry'!$k$507), "", 'Data Entry'!$k$507)</f>
      </c>
      <c r="AR507">
        <f>IF(ISBLANK('Data Entry'!$l$507), "", 'Data Entry'!$l$507)</f>
      </c>
      <c r="AS507">
        <f>IF(ISBLANK('Data Entry'!$m$507), "", 'Data Entry'!$m$507)</f>
      </c>
      <c r="AT507">
        <f>IF(ISBLANK('Data Entry'!$n$507), "", 'Data Entry'!$n$507)</f>
      </c>
      <c r="AU507">
        <f>IF(ISBLANK('Data Entry'!$o$507), "", 'Data Entry'!$o$507)</f>
      </c>
      <c r="AV507">
        <f>IF(ISBLANK('Data Entry'!$p$507), "", 'Data Entry'!$p$507)</f>
      </c>
      <c r="AW507">
        <f>IF(ISBLANK('Data Entry'!$q$507), "", 'Data Entry'!$q$507)</f>
      </c>
      <c r="AX507">
        <f>IF(ISBLANK('Data Entry'!$r$507), "", 'Data Entry'!$r$507)</f>
      </c>
      <c r="AY507">
        <f>IF(ISBLANK('Data Entry'!$s$507), "", 'Data Entry'!$s$507)</f>
      </c>
      <c r="AZ507">
        <f>IF(ISBLANK('Data Entry'!$t$507), "", 'Data Entry'!$t$507)</f>
      </c>
      <c r="BA507">
        <f>IF(ISBLANK('Data Entry'!$u$507), "", 'Data Entry'!$u$507)</f>
      </c>
      <c r="BB507">
        <f>IF(ISBLANK('Data Entry'!$v$507), "", 'Data Entry'!$v$507)</f>
      </c>
      <c r="BC507">
        <f>IF(ISBLANK('Data Entry'!$w$507), "", 'Data Entry'!$w$507)</f>
      </c>
      <c r="BD507">
        <f>IF(ISBLANK('Data Entry'!$x$507), "", 'Data Entry'!$x$507)</f>
      </c>
      <c r="BE507">
        <f>IF(ISBLANK('Data Entry'!$y$507), "", 'Data Entry'!$y$507)</f>
      </c>
      <c r="BF507">
        <f>IF(ISBLANK('Data Entry'!$z$507), "", 'Data Entry'!$z$507)</f>
      </c>
      <c r="BG507">
        <f>IF(ISBLANK('Data Entry'!${$507), "", 'Data Entry'!${$507)</f>
      </c>
      <c r="BH507">
        <f>IF(ISBLANK('Data Entry'!$|$507), "", 'Data Entry'!$|$507)</f>
      </c>
      <c r="BI507">
        <f>IF(ISBLANK('Data Entry'!$}$507), "", 'Data Entry'!$}$507)</f>
      </c>
      <c r="BJ507">
        <f>IF(ISBLANK('Data Entry'!$~$507), "", 'Data Entry'!$~$507)</f>
      </c>
      <c r="BK507">
        <f>IF(ISBLANK('Data Entry'!$$507), "", 'Data Entry'!$$507)</f>
      </c>
      <c r="BL507">
        <f>IF(ISBLANK('Data Entry'!$$507), "", 'Data Entry'!$$507)</f>
      </c>
      <c r="BM507">
        <f>IF(ISBLANK('Data Entry'!$$507), "", 'Data Entry'!$$507)</f>
      </c>
      <c r="BN507">
        <f>IF(ISBLANK('Data Entry'!$$507), "", 'Data Entry'!$$507)</f>
      </c>
      <c r="BO507">
        <f>IF(ISBLANK('Data Entry'!$$507), "", 'Data Entry'!$$507)</f>
      </c>
      <c r="BP507">
        <f>IF(ISBLANK('Data Entry'!$$507), "", 'Data Entry'!$$507)</f>
      </c>
      <c r="BQ507">
        <f>IF(ISBLANK('Data Entry'!$$507), "", 'Data Entry'!$$507)</f>
      </c>
      <c r="BR507">
        <f>IF(ISBLANK('Data Entry'!$$507), "", 'Data Entry'!$$507)</f>
      </c>
      <c r="BS507">
        <f>IF(ISBLANK('Data Entry'!$$507), "", 'Data Entry'!$$507)</f>
      </c>
      <c r="BT507">
        <f>IF(ISBLANK('Data Entry'!$$507), "", 'Data Entry'!$$507)</f>
      </c>
      <c r="BU507">
        <f>IF(ISBLANK('Data Entry'!$$507), "", 'Data Entry'!$$507)</f>
      </c>
      <c r="BV507">
        <f>IF(ISBLANK('Data Entry'!$$507), "", 'Data Entry'!$$507)</f>
      </c>
      <c r="BW507">
        <f>IF(ISBLANK('Data Entry'!$$507), "", 'Data Entry'!$$507)</f>
      </c>
      <c r="BX507">
        <f>IF(ISBLANK('Data Entry'!$$507), "", 'Data Entry'!$$507)</f>
      </c>
      <c r="BY507">
        <f>IF(ISBLANK('Data Entry'!$$507), "", 'Data Entry'!$$507)</f>
      </c>
      <c r="BZ507">
        <f>IF(ISBLANK('Data Entry'!$$507), "", 'Data Entry'!$$507)</f>
      </c>
      <c r="CA507">
        <f>IF(ISBLANK('Data Entry'!$$507), "", 'Data Entry'!$$507)</f>
      </c>
      <c r="CB507">
        <f>IF(ISBLANK('Data Entry'!$$507), "", 'Data Entry'!$$507)</f>
      </c>
      <c r="CC507">
        <f>IF(ISBLANK('Data Entry'!$$507), "", 'Data Entry'!$$507)</f>
      </c>
      <c r="CD507">
        <f>IF(ISBLANK('Data Entry'!$$507), "", 'Data Entry'!$$507)</f>
      </c>
      <c r="CE507">
        <f>IF(ISBLANK('Data Entry'!$$507), "", 'Data Entry'!$$507)</f>
      </c>
      <c r="CF507">
        <f>IF(ISBLANK('Data Entry'!$$507), "", 'Data Entry'!$$507)</f>
      </c>
      <c r="CG507">
        <f>IF(ISBLANK('Data Entry'!$$507), "", 'Data Entry'!$$507)</f>
      </c>
      <c r="CH507">
        <f>IF(ISBLANK('Data Entry'!$$507), "", 'Data Entry'!$$507)</f>
      </c>
      <c r="CI507">
        <f>IF(ISBLANK('Data Entry'!$$507), "", 'Data Entry'!$$507)</f>
      </c>
      <c r="CJ507">
        <f>IF(ISBLANK('Data Entry'!$$507), "", 'Data Entry'!$$507)</f>
      </c>
      <c r="CK507">
        <f>IF(ISBLANK('Data Entry'!$$507), "", 'Data Entry'!$$507)</f>
      </c>
      <c r="CL507">
        <f>IF(ISBLANK('Data Entry'!$$507), "", 'Data Entry'!$$507)</f>
      </c>
      <c r="CM507">
        <f>IF(ISBLANK('Data Entry'!$$507), "", 'Data Entry'!$$507)</f>
      </c>
      <c r="CN507">
        <f>IF(ISBLANK('Data Entry'!$$507), "", 'Data Entry'!$$507)</f>
      </c>
      <c r="CO507">
        <f>IF(ISBLANK('Data Entry'!$$507), "", 'Data Entry'!$$507)</f>
      </c>
      <c r="CP507">
        <f>IF(ISBLANK('Data Entry'!$$507), "", 'Data Entry'!$$507)</f>
      </c>
      <c r="CQ507">
        <f>IF(ISBLANK('Data Entry'!$$507), "", 'Data Entry'!$$507)</f>
      </c>
      <c r="CR507">
        <f>IF(ISBLANK('Data Entry'!$ $507), "", 'Data Entry'!$ $507)</f>
      </c>
      <c r="CS507">
        <f>IF(ISBLANK('Data Entry'!$¡$507), "", 'Data Entry'!$¡$507)</f>
      </c>
      <c r="CT507">
        <f>IF(ISBLANK('Data Entry'!$¢$507), "", 'Data Entry'!$¢$507)</f>
      </c>
      <c r="CU507">
        <f>IF(ISBLANK('Data Entry'!$£$507), "", 'Data Entry'!$£$507)</f>
      </c>
      <c r="CV507">
        <f>IF(ISBLANK('Data Entry'!$¤$507), "", 'Data Entry'!$¤$507)</f>
      </c>
      <c r="CW507">
        <f>IF(ISBLANK('Data Entry'!$¥$507), "", 'Data Entry'!$¥$507)</f>
      </c>
      <c r="CX507">
        <f>IF(ISBLANK('Data Entry'!$¦$507), "", 'Data Entry'!$¦$507)</f>
      </c>
      <c r="CY507">
        <f>IF(ISBLANK('Data Entry'!$§$507), "", 'Data Entry'!$§$507)</f>
      </c>
      <c r="CZ507">
        <f>IF(ISBLANK('Data Entry'!$¨$507), "", 'Data Entry'!$¨$507)</f>
      </c>
      <c r="DA507">
        <f>IF(ISBLANK('Data Entry'!$©$507), "", 'Data Entry'!$©$507)</f>
      </c>
      <c r="DB507">
        <f>IF(ISBLANK('Data Entry'!$ª$507), "", 'Data Entry'!$ª$507)</f>
      </c>
      <c r="DC507">
        <f>IF(ISBLANK('Data Entry'!$«$507), "", 'Data Entry'!$«$507)</f>
      </c>
      <c r="DD507">
        <f>IF(ISBLANK('Data Entry'!$¬$507), "", 'Data Entry'!$¬$507)</f>
      </c>
      <c r="DE507">
        <f>IF(ISBLANK('Data Entry'!$­$507), "", 'Data Entry'!$­$507)</f>
      </c>
      <c r="DF507">
        <f>IF(ISBLANK('Data Entry'!$®$507), "", 'Data Entry'!$®$507)</f>
      </c>
      <c r="DG507">
        <f>IF(ISBLANK('Data Entry'!$¯$507), "", 'Data Entry'!$¯$507)</f>
      </c>
      <c r="DH507">
        <f>IF(ISBLANK('Data Entry'!$°$507), "", 'Data Entry'!$°$507)</f>
      </c>
      <c r="DI507">
        <f>IF(ISBLANK('Data Entry'!$±$507), "", 'Data Entry'!$±$507)</f>
      </c>
      <c r="DJ507">
        <f>IF(ISBLANK('Data Entry'!$²$507), "", 'Data Entry'!$²$507)</f>
      </c>
      <c r="DK507">
        <f>IF(ISBLANK('Data Entry'!$³$507), "", 'Data Entry'!$³$507)</f>
      </c>
      <c r="DL507">
        <f>IF(ISBLANK('Data Entry'!$´$507), "", 'Data Entry'!$´$507)</f>
      </c>
      <c r="DM507">
        <f>IF(ISBLANK('Data Entry'!$µ$507), "", 'Data Entry'!$µ$507)</f>
      </c>
      <c r="DN507">
        <f>IF(ISBLANK('Data Entry'!$¶$507), "", 'Data Entry'!$¶$507)</f>
      </c>
      <c r="DO507">
        <f>IF(ISBLANK('Data Entry'!$·$507), "", 'Data Entry'!$·$507)</f>
      </c>
      <c r="DP507">
        <f>IF(ISBLANK('Data Entry'!$¸$507), "", 'Data Entry'!$¸$507)</f>
      </c>
      <c r="DQ507">
        <f>IF(ISBLANK('Data Entry'!$¹$507), "", 'Data Entry'!$¹$507)</f>
      </c>
      <c r="DR507">
        <f>IF(ISBLANK('Data Entry'!$º$507), "", 'Data Entry'!$º$507)</f>
      </c>
      <c r="DS507">
        <f>IF(ISBLANK('Data Entry'!$»$507), "", 'Data Entry'!$»$507)</f>
      </c>
      <c r="DT507">
        <f>IF(ISBLANK('Data Entry'!$¼$507), "", 'Data Entry'!$¼$507)</f>
      </c>
      <c r="DU507">
        <f>IF(ISBLANK('Data Entry'!$½$507), "", 'Data Entry'!$½$507)</f>
      </c>
      <c r="DV507">
        <f>IF(ISBLANK('Data Entry'!$¾$507), "", 'Data Entry'!$¾$507)</f>
      </c>
      <c r="DW507">
        <f>IF(ISBLANK('Data Entry'!$¿$507), "", 'Data Entry'!$¿$507)</f>
      </c>
      <c r="DX507">
        <f>IF(ISBLANK('Data Entry'!$À$507), "", 'Data Entry'!$À$507)</f>
      </c>
      <c r="DY507">
        <f>IF(ISBLANK('Data Entry'!$Á$507), "", 'Data Entry'!$Á$507)</f>
      </c>
      <c r="DZ507">
        <f>IF(ISBLANK('Data Entry'!$Â$507), "", 'Data Entry'!$Â$507)</f>
      </c>
      <c r="EA507">
        <f>IF(ISBLANK('Data Entry'!$Ã$507), "", 'Data Entry'!$Ã$507)</f>
      </c>
      <c r="EB507">
        <f>IF(ISBLANK('Data Entry'!$Ä$507), "", 'Data Entry'!$Ä$507)</f>
      </c>
      <c r="EC507">
        <f>IF(ISBLANK('Data Entry'!$Å$507), "", 'Data Entry'!$Å$507)</f>
      </c>
      <c r="ED507">
        <f>IF(ISBLANK('Data Entry'!$Æ$507), "", 'Data Entry'!$Æ$507)</f>
      </c>
      <c r="EE507">
        <f>IF(ISBLANK('Data Entry'!$Ç$507), "", 'Data Entry'!$Ç$507)</f>
      </c>
      <c r="EF507">
        <f>IF(ISBLANK('Data Entry'!$È$507), "", 'Data Entry'!$È$507)</f>
      </c>
      <c r="EG507">
        <f>IF(ISBLANK('Data Entry'!$É$507), "", 'Data Entry'!$É$507)</f>
      </c>
      <c r="EH507">
        <f>IF(ISBLANK('Data Entry'!$Ê$507), "", 'Data Entry'!$Ê$507)</f>
      </c>
      <c r="EI507">
        <f>IF(ISBLANK('Data Entry'!$Ë$507), "", 'Data Entry'!$Ë$507)</f>
      </c>
      <c r="EJ507">
        <f>IF(ISBLANK('Data Entry'!$Ì$507), "", 'Data Entry'!$Ì$507)</f>
      </c>
      <c r="EK507">
        <f>IF(ISBLANK('Data Entry'!$Í$507), "", 'Data Entry'!$Í$507)</f>
      </c>
      <c r="EL507">
        <f>IF(ISBLANK('Data Entry'!$Î$507), "", 'Data Entry'!$Î$507)</f>
      </c>
      <c r="EM507">
        <f>IF(ISBLANK('Data Entry'!$Ï$507), "", 'Data Entry'!$Ï$507)</f>
      </c>
      <c r="EN507">
        <f>IF(ISBLANK('Data Entry'!$Ð$507), "", 'Data Entry'!$Ð$507)</f>
      </c>
      <c r="EO507">
        <f>IF(ISBLANK('Data Entry'!$Ñ$507), "", 'Data Entry'!$Ñ$507)</f>
      </c>
      <c r="EP507">
        <f>IF(ISBLANK('Data Entry'!$Ò$507), "", 'Data Entry'!$Ò$507)</f>
      </c>
      <c r="EQ507">
        <f>IF(ISBLANK('Data Entry'!$Ó$507), "", 'Data Entry'!$Ó$507)</f>
      </c>
      <c r="ER507">
        <f>IF(ISBLANK('Data Entry'!$Ô$507), "", 'Data Entry'!$Ô$507)</f>
      </c>
      <c r="ES507">
        <f>IF(ISBLANK('Data Entry'!$Õ$507), "", 'Data Entry'!$Õ$507)</f>
      </c>
      <c r="ET507">
        <f>IF(ISBLANK('Data Entry'!$Ö$507), "", 'Data Entry'!$Ö$507)</f>
      </c>
      <c r="EU507">
        <f>IF(ISBLANK('Data Entry'!$×$507), "", 'Data Entry'!$×$507)</f>
      </c>
      <c r="EV507">
        <f>IF(ISBLANK('Data Entry'!$Ø$507), "", 'Data Entry'!$Ø$507)</f>
      </c>
      <c r="EW507">
        <f>IF(ISBLANK('Data Entry'!$Ù$507), "", 'Data Entry'!$Ù$507)</f>
      </c>
      <c r="EX507">
        <f>IF(ISBLANK('Data Entry'!$Ú$507), "", 'Data Entry'!$Ú$507)</f>
      </c>
      <c r="EY507">
        <f>IF(ISBLANK('Data Entry'!$Û$507), "", 'Data Entry'!$Û$507)</f>
      </c>
      <c r="EZ507">
        <f>IF(ISBLANK('Data Entry'!$Ü$507), "", 'Data Entry'!$Ü$507)</f>
      </c>
      <c r="FA507">
        <f>IF(ISBLANK('Data Entry'!$Ý$507), "", 'Data Entry'!$Ý$507)</f>
      </c>
      <c r="FB507">
        <f>IF(ISBLANK('Data Entry'!$Þ$507), "", 'Data Entry'!$Þ$507)</f>
      </c>
      <c r="FC507">
        <f>IF(ISBLANK('Data Entry'!$ß$507), "", 'Data Entry'!$ß$507)</f>
      </c>
      <c r="FD507">
        <f>IF(ISBLANK('Data Entry'!$à$507), "", 'Data Entry'!$à$507)</f>
      </c>
      <c r="FE507">
        <f>IF(ISBLANK('Data Entry'!$á$507), "", 'Data Entry'!$á$507)</f>
      </c>
      <c r="FF507">
        <f>IF(ISBLANK('Data Entry'!$â$507), "", 'Data Entry'!$â$507)</f>
      </c>
      <c r="FG507">
        <f>IF(ISBLANK('Data Entry'!$ã$507), "", 'Data Entry'!$ã$507)</f>
      </c>
      <c r="FH507">
        <f>IF(ISBLANK('Data Entry'!$ä$507), "", 'Data Entry'!$ä$507)</f>
      </c>
      <c r="FI507">
        <f>IF(ISBLANK('Data Entry'!$å$507), "", 'Data Entry'!$å$507)</f>
      </c>
      <c r="FJ507">
        <f>IF(ISBLANK('Data Entry'!$æ$507), "", 'Data Entry'!$æ$507)</f>
      </c>
      <c r="FK507">
        <f>IF(ISBLANK('Data Entry'!$ç$507), "", 'Data Entry'!$ç$507)</f>
      </c>
      <c r="FL507">
        <f>IF(ISBLANK('Data Entry'!$è$507), "", 'Data Entry'!$è$507)</f>
      </c>
      <c r="FM507">
        <f>IF(ISBLANK('Data Entry'!$é$507), "", 'Data Entry'!$é$507)</f>
      </c>
      <c r="FN507">
        <f>IF(ISBLANK('Data Entry'!$ê$507), "", 'Data Entry'!$ê$507)</f>
      </c>
      <c r="FO507">
        <f>IF(ISBLANK('Data Entry'!$ë$507), "", 'Data Entry'!$ë$507)</f>
      </c>
      <c r="FP507">
        <f>IF(ISBLANK('Data Entry'!$ì$507), "", 'Data Entry'!$ì$507)</f>
      </c>
      <c r="FQ507">
        <f>IF(ISBLANK('Data Entry'!$í$507), "", 'Data Entry'!$í$507)</f>
      </c>
      <c r="FR507">
        <f>IF(ISBLANK('Data Entry'!$î$507), "", 'Data Entry'!$î$507)</f>
      </c>
      <c r="FS507">
        <f>IF(ISBLANK('Data Entry'!$ï$507), "", 'Data Entry'!$ï$507)</f>
      </c>
      <c r="FT507">
        <f>IF(ISBLANK('Data Entry'!$ð$507), "", 'Data Entry'!$ð$507)</f>
      </c>
      <c r="FU507">
        <f>IF(ISBLANK('Data Entry'!$ñ$507), "", 'Data Entry'!$ñ$507)</f>
      </c>
      <c r="FV507">
        <f>IF(ISBLANK('Data Entry'!$ò$507), "", 'Data Entry'!$ò$507)</f>
      </c>
      <c r="FW507">
        <f>IF(ISBLANK('Data Entry'!$ó$507), "", 'Data Entry'!$ó$507)</f>
      </c>
      <c r="FX507">
        <f>IF(ISBLANK('Data Entry'!$ô$507), "", 'Data Entry'!$ô$507)</f>
      </c>
      <c r="FY507">
        <f>IF(ISBLANK('Data Entry'!$õ$507), "", 'Data Entry'!$õ$507)</f>
      </c>
      <c r="FZ507">
        <f>IF(ISBLANK('Data Entry'!$ö$507), "", 'Data Entry'!$ö$507)</f>
      </c>
      <c r="GA507">
        <f>IF(ISBLANK('Data Entry'!$÷$507), "", 'Data Entry'!$÷$507)</f>
      </c>
      <c r="GB507">
        <f>IF(ISBLANK('Data Entry'!$ø$507), "", 'Data Entry'!$ø$507)</f>
      </c>
      <c r="GC507">
        <f>IF(ISBLANK('Data Entry'!$ù$507), "", 'Data Entry'!$ù$507)</f>
      </c>
      <c r="GD507">
        <f>IF(ISBLANK('Data Entry'!$ú$507), "", 'Data Entry'!$ú$507)</f>
      </c>
      <c r="GE507">
        <f>IF(ISBLANK('Data Entry'!$û$507), "", 'Data Entry'!$û$507)</f>
      </c>
      <c r="GF507">
        <f>IF(ISBLANK('Data Entry'!$ü$507), "", 'Data Entry'!$ü$507)</f>
      </c>
      <c r="GG507">
        <f>IF(ISBLANK('Data Entry'!$ý$507), "", 'Data Entry'!$ý$507)</f>
      </c>
      <c r="GH507">
        <f>IF(ISBLANK('Data Entry'!$þ$507), "", 'Data Entry'!$þ$507)</f>
      </c>
      <c r="GI507">
        <f>IF(ISBLANK('Data Entry'!$ÿ$507), "", 'Data Entry'!$ÿ$507)</f>
      </c>
      <c r="GJ507">
        <f>IF(ISBLANK('Data Entry'!$Ā$507), "", 'Data Entry'!$Ā$507)</f>
      </c>
      <c r="GK507">
        <f>IF(ISBLANK('Data Entry'!$ā$507), "", 'Data Entry'!$ā$507)</f>
      </c>
      <c r="GL507">
        <f>IF(ISBLANK('Data Entry'!$Ă$507), "", 'Data Entry'!$Ă$507)</f>
      </c>
      <c r="GM507">
        <f>IF(ISBLANK('Data Entry'!$ă$507), "", 'Data Entry'!$ă$507)</f>
      </c>
      <c r="GN507">
        <f>IF(ISBLANK('Data Entry'!$Ą$507), "", 'Data Entry'!$Ą$507)</f>
      </c>
      <c r="GO507">
        <f>IF(ISBLANK('Data Entry'!$ą$507), "", 'Data Entry'!$ą$507)</f>
      </c>
      <c r="GP507">
        <f>IF(ISBLANK('Data Entry'!$Ć$507), "", 'Data Entry'!$Ć$507)</f>
      </c>
      <c r="GQ507">
        <f>IF(ISBLANK('Data Entry'!$ć$507), "", 'Data Entry'!$ć$507)</f>
      </c>
      <c r="GR507">
        <f>IF(ISBLANK('Data Entry'!$Ĉ$507), "", 'Data Entry'!$Ĉ$507)</f>
      </c>
      <c r="GS507">
        <f>IF(ISBLANK('Data Entry'!$ĉ$507), "", 'Data Entry'!$ĉ$507)</f>
      </c>
      <c r="GT507">
        <f>IF(ISBLANK('Data Entry'!$Ċ$507), "", 'Data Entry'!$Ċ$507)</f>
      </c>
      <c r="GU507">
        <f>IF(ISBLANK('Data Entry'!$ċ$507), "", 'Data Entry'!$ċ$507)</f>
      </c>
      <c r="GV507">
        <f>IF(ISBLANK('Data Entry'!$Č$507), "", 'Data Entry'!$Č$507)</f>
      </c>
      <c r="GW507">
        <f>IF(ISBLANK('Data Entry'!$č$507), "", 'Data Entry'!$č$507)</f>
      </c>
      <c r="GX507">
        <f>IF(ISBLANK('Data Entry'!$Ď$507), "", 'Data Entry'!$Ď$507)</f>
      </c>
      <c r="GY507">
        <f>IF(ISBLANK('Data Entry'!$ď$507), "", 'Data Entry'!$ď$507)</f>
      </c>
      <c r="GZ507">
        <f>IF(ISBLANK('Data Entry'!$Đ$507), "", 'Data Entry'!$Đ$507)</f>
      </c>
      <c r="HA507">
        <f>IF(ISBLANK('Data Entry'!$đ$507), "", 'Data Entry'!$đ$507)</f>
      </c>
      <c r="HB507">
        <f>IF(ISBLANK('Data Entry'!$Ē$507), "", 'Data Entry'!$Ē$507)</f>
      </c>
      <c r="HC507">
        <f>IF(ISBLANK('Data Entry'!$ē$507), "", 'Data Entry'!$ē$507)</f>
      </c>
      <c r="HD507">
        <f>IF(ISBLANK('Data Entry'!$Ĕ$507), "", 'Data Entry'!$Ĕ$507)</f>
      </c>
      <c r="HE507">
        <f>IF(ISBLANK('Data Entry'!$ĕ$507), "", 'Data Entry'!$ĕ$507)</f>
      </c>
      <c r="HF507">
        <f>IF(ISBLANK('Data Entry'!$Ė$507), "", 'Data Entry'!$Ė$507)</f>
      </c>
      <c r="HG507">
        <f>IF(ISBLANK('Data Entry'!$ė$507), "", 'Data Entry'!$ė$507)</f>
      </c>
      <c r="HH507">
        <f>IF(ISBLANK('Data Entry'!$Ę$507), "", 'Data Entry'!$Ę$507)</f>
      </c>
      <c r="HI507">
        <f>IF(ISBLANK('Data Entry'!$ę$507), "", 'Data Entry'!$ę$507)</f>
      </c>
      <c r="HJ507">
        <f>IF(ISBLANK('Data Entry'!$Ě$507), "", 'Data Entry'!$Ě$507)</f>
      </c>
      <c r="HK507">
        <f>IF(ISBLANK('Data Entry'!$ě$507), "", 'Data Entry'!$ě$507)</f>
      </c>
      <c r="HL507">
        <f>IF(ISBLANK('Data Entry'!$Ĝ$507), "", 'Data Entry'!$Ĝ$507)</f>
      </c>
      <c r="HM507">
        <f>IF(ISBLANK('Data Entry'!$ĝ$507), "", 'Data Entry'!$ĝ$507)</f>
      </c>
      <c r="HN507">
        <f>IF(ISBLANK('Data Entry'!$Ğ$507), "", 'Data Entry'!$Ğ$507)</f>
      </c>
      <c r="HO507">
        <f>IF(ISBLANK('Data Entry'!$ğ$507), "", 'Data Entry'!$ğ$507)</f>
      </c>
      <c r="HP507">
        <f>IF(ISBLANK('Data Entry'!$Ġ$507), "", 'Data Entry'!$Ġ$507)</f>
      </c>
      <c r="HQ507">
        <f>IF(ISBLANK('Data Entry'!$ġ$507), "", 'Data Entry'!$ġ$507)</f>
      </c>
      <c r="HR507">
        <f>IF(ISBLANK('Data Entry'!$Ģ$507), "", 'Data Entry'!$Ģ$507)</f>
      </c>
      <c r="HS507">
        <f>IF(ISBLANK('Data Entry'!$ģ$507), "", 'Data Entry'!$ģ$507)</f>
      </c>
      <c r="HT507">
        <f>IF(ISBLANK('Data Entry'!$Ĥ$507), "", 'Data Entry'!$Ĥ$507)</f>
      </c>
      <c r="HU507">
        <f>IF(ISBLANK('Data Entry'!$ĥ$507), "", 'Data Entry'!$ĥ$507)</f>
      </c>
      <c r="HV507">
        <f>IF(ISBLANK('Data Entry'!$Ħ$507), "", 'Data Entry'!$Ħ$507)</f>
      </c>
      <c r="HW507">
        <f>IF(ISBLANK('Data Entry'!$ħ$507), "", 'Data Entry'!$ħ$507)</f>
      </c>
      <c r="HX507">
        <f>IF(ISBLANK('Data Entry'!$Ĩ$507), "", 'Data Entry'!$Ĩ$507)</f>
      </c>
      <c r="HY507">
        <f>IF(ISBLANK('Data Entry'!$ĩ$507), "", 'Data Entry'!$ĩ$507)</f>
      </c>
      <c r="HZ507">
        <f>IF(ISBLANK('Data Entry'!$Ī$507), "", 'Data Entry'!$Ī$507)</f>
      </c>
      <c r="IA507">
        <f>IF(ISBLANK('Data Entry'!$ī$507), "", 'Data Entry'!$ī$507)</f>
      </c>
      <c r="IB507">
        <f>IF(ISBLANK('Data Entry'!$Ĭ$507), "", 'Data Entry'!$Ĭ$507)</f>
      </c>
      <c r="IC507">
        <f>IF(ISBLANK('Data Entry'!$ĭ$507), "", 'Data Entry'!$ĭ$507)</f>
      </c>
      <c r="ID507">
        <f>IF(ISBLANK('Data Entry'!$Į$507), "", 'Data Entry'!$Į$507)</f>
      </c>
      <c r="IE507">
        <f>IF(ISBLANK('Data Entry'!$į$507), "", 'Data Entry'!$į$507)</f>
      </c>
      <c r="IF507">
        <f>IF(ISBLANK('Data Entry'!$İ$507), "", 'Data Entry'!$İ$507)</f>
      </c>
      <c r="IG507">
        <f>IF(ISBLANK('Data Entry'!$ı$507), "", 'Data Entry'!$ı$507)</f>
      </c>
      <c r="IH507">
        <f>IF(ISBLANK('Data Entry'!$Ĳ$507), "", 'Data Entry'!$Ĳ$507)</f>
      </c>
      <c r="II507">
        <f>IF(ISBLANK('Data Entry'!$ĳ$507), "", 'Data Entry'!$ĳ$507)</f>
      </c>
      <c r="IJ507">
        <f>IF(ISBLANK('Data Entry'!$Ĵ$507), "", 'Data Entry'!$Ĵ$507)</f>
      </c>
      <c r="IK507">
        <f>IF(ISBLANK('Data Entry'!$ĵ$507), "", 'Data Entry'!$ĵ$507)</f>
      </c>
      <c r="IL507">
        <f>IF(ISBLANK('Data Entry'!$Ķ$507), "", 'Data Entry'!$Ķ$507)</f>
      </c>
      <c r="IM507">
        <f>IF(ISBLANK('Data Entry'!$ķ$507), "", 'Data Entry'!$ķ$507)</f>
      </c>
      <c r="IN507">
        <f>IF(ISBLANK('Data Entry'!$ĸ$507), "", 'Data Entry'!$ĸ$507)</f>
      </c>
      <c r="IO507">
        <f>IF(ISBLANK('Data Entry'!$Ĺ$507), "", 'Data Entry'!$Ĺ$507)</f>
      </c>
      <c r="IP507">
        <f>IF(ISBLANK('Data Entry'!$ĺ$507), "", 'Data Entry'!$ĺ$507)</f>
      </c>
      <c r="IQ507">
        <f>IF(ISBLANK('Data Entry'!$Ļ$507), "", 'Data Entry'!$Ļ$507)</f>
      </c>
      <c r="IR507">
        <f>IF(ISBLANK('Data Entry'!$ļ$507), "", 'Data Entry'!$ļ$507)</f>
      </c>
      <c r="IS507">
        <f>IF(ISBLANK('Data Entry'!$Ľ$507), "", 'Data Entry'!$Ľ$507)</f>
      </c>
      <c r="IT507">
        <f>IF(ISBLANK('Data Entry'!$ľ$507), "", 'Data Entry'!$ľ$507)</f>
      </c>
    </row>
    <row r="508" spans="1:254" x14ac:dyDescent="0.25">
      <c r="A508">
        <f>IF(ISBLANK('Data Entry'!$A$508), "", 'Data Entry'!$A$508)</f>
      </c>
      <c r="B508">
        <f>IF(ISBLANK('Data Entry'!$B$508), "", 'Data Entry'!$B$508)</f>
      </c>
      <c r="C508">
        <f>IF(ISBLANK('Data Entry'!$C$508), "", 'Data Entry'!$C$508)</f>
      </c>
      <c r="D508">
        <f>IF(ISBLANK('Data Entry'!$D$508), "", 'Data Entry'!$D$508)</f>
      </c>
      <c r="E508">
        <f>IF(ISBLANK('Data Entry'!$E$508), "", 'Data Entry'!$E$508)</f>
      </c>
      <c r="F508">
        <f>IF(ISBLANK('Data Entry'!$F$508), "", 'Data Entry'!$F$508)</f>
      </c>
      <c r="G508">
        <f>IF(ISBLANK('Data Entry'!$G$508), "", 'Data Entry'!$G$508)</f>
      </c>
      <c r="H508">
        <f>IF(ISBLANK('Data Entry'!$H$508), "", 'Data Entry'!$H$508)</f>
      </c>
      <c r="I508">
        <f>IF(ISBLANK('Data Entry'!$I$508), "", 'Data Entry'!$I$508)</f>
      </c>
      <c r="J508">
        <f>IF(ISBLANK('Data Entry'!$J$508), "", 'Data Entry'!$J$508)</f>
      </c>
      <c r="K508">
        <f>IF(ISBLANK('Data Entry'!$K$508), "", 'Data Entry'!$K$508)</f>
      </c>
      <c r="L508">
        <f>IF(ISBLANK('Data Entry'!$L$508), "", 'Data Entry'!$L$508)</f>
      </c>
      <c r="M508">
        <f>IF(ISBLANK('Data Entry'!$M$508), "", 'Data Entry'!$M$508)</f>
      </c>
      <c r="N508">
        <f>IF(ISBLANK('Data Entry'!$N$508), "", 'Data Entry'!$N$508)</f>
      </c>
      <c r="O508">
        <f>IF(ISBLANK('Data Entry'!$O$508), "", 'Data Entry'!$O$508)</f>
      </c>
      <c r="P508">
        <f>IF(ISBLANK('Data Entry'!$P$508), "", 'Data Entry'!$P$508)</f>
      </c>
      <c r="Q508">
        <f>IF(ISBLANK('Data Entry'!$Q$508), "", 'Data Entry'!$Q$508)</f>
      </c>
      <c r="R508">
        <f>IF(ISBLANK('Data Entry'!$R$508), "", 'Data Entry'!$R$508)</f>
      </c>
      <c r="S508">
        <f>IF(ISBLANK('Data Entry'!$S$508), "", 'Data Entry'!$S$508)</f>
      </c>
      <c r="T508">
        <f>IF(ISBLANK('Data Entry'!$T$508), "", 'Data Entry'!$T$508)</f>
      </c>
      <c r="U508">
        <f>IF(ISBLANK('Data Entry'!$U$508), "", 'Data Entry'!$U$508)</f>
      </c>
      <c r="V508">
        <f>IF(ISBLANK('Data Entry'!$V$508), "", 'Data Entry'!$V$508)</f>
      </c>
      <c r="W508">
        <f>IF(ISBLANK('Data Entry'!$W$508), "", 'Data Entry'!$W$508)</f>
      </c>
      <c r="X508">
        <f>IF(ISBLANK('Data Entry'!$X$508), "", 'Data Entry'!$X$508)</f>
      </c>
      <c r="Y508">
        <f>IF(ISBLANK('Data Entry'!$Y$508), "", 'Data Entry'!$Y$508)</f>
      </c>
      <c r="Z508">
        <f>IF(ISBLANK('Data Entry'!$Z$508), "", 'Data Entry'!$Z$508)</f>
      </c>
      <c r="AA508">
        <f>IF(ISBLANK('Data Entry'!$[$508), "", 'Data Entry'!$[$508)</f>
      </c>
      <c r="AB508">
        <f>IF(ISBLANK('Data Entry'!$\$508), "", 'Data Entry'!$\$508)</f>
      </c>
      <c r="AC508">
        <f>IF(ISBLANK('Data Entry'!$]$508), "", 'Data Entry'!$]$508)</f>
      </c>
      <c r="AD508">
        <f>IF(ISBLANK('Data Entry'!$^$508), "", 'Data Entry'!$^$508)</f>
      </c>
      <c r="AE508">
        <f>IF(ISBLANK('Data Entry'!$_$508), "", 'Data Entry'!$_$508)</f>
      </c>
      <c r="AF508">
        <f>IF(ISBLANK('Data Entry'!$`$508), "", 'Data Entry'!$`$508)</f>
      </c>
      <c r="AG508">
        <f>IF(ISBLANK('Data Entry'!$a$508), "", 'Data Entry'!$a$508)</f>
      </c>
      <c r="AH508">
        <f>IF(ISBLANK('Data Entry'!$b$508), "", 'Data Entry'!$b$508)</f>
      </c>
      <c r="AI508">
        <f>IF(ISBLANK('Data Entry'!$c$508), "", 'Data Entry'!$c$508)</f>
      </c>
      <c r="AJ508">
        <f>IF(ISBLANK('Data Entry'!$d$508), "", 'Data Entry'!$d$508)</f>
      </c>
      <c r="AK508">
        <f>IF(ISBLANK('Data Entry'!$e$508), "", 'Data Entry'!$e$508)</f>
      </c>
      <c r="AL508">
        <f>IF(ISBLANK('Data Entry'!$f$508), "", 'Data Entry'!$f$508)</f>
      </c>
      <c r="AM508">
        <f>IF(ISBLANK('Data Entry'!$g$508), "", 'Data Entry'!$g$508)</f>
      </c>
      <c r="AN508">
        <f>IF(ISBLANK('Data Entry'!$h$508), "", 'Data Entry'!$h$508)</f>
      </c>
      <c r="AO508">
        <f>IF(ISBLANK('Data Entry'!$i$508), "", 'Data Entry'!$i$508)</f>
      </c>
      <c r="AP508">
        <f>IF(ISBLANK('Data Entry'!$j$508), "", 'Data Entry'!$j$508)</f>
      </c>
      <c r="AQ508">
        <f>IF(ISBLANK('Data Entry'!$k$508), "", 'Data Entry'!$k$508)</f>
      </c>
      <c r="AR508">
        <f>IF(ISBLANK('Data Entry'!$l$508), "", 'Data Entry'!$l$508)</f>
      </c>
      <c r="AS508">
        <f>IF(ISBLANK('Data Entry'!$m$508), "", 'Data Entry'!$m$508)</f>
      </c>
      <c r="AT508">
        <f>IF(ISBLANK('Data Entry'!$n$508), "", 'Data Entry'!$n$508)</f>
      </c>
      <c r="AU508">
        <f>IF(ISBLANK('Data Entry'!$o$508), "", 'Data Entry'!$o$508)</f>
      </c>
      <c r="AV508">
        <f>IF(ISBLANK('Data Entry'!$p$508), "", 'Data Entry'!$p$508)</f>
      </c>
      <c r="AW508">
        <f>IF(ISBLANK('Data Entry'!$q$508), "", 'Data Entry'!$q$508)</f>
      </c>
      <c r="AX508">
        <f>IF(ISBLANK('Data Entry'!$r$508), "", 'Data Entry'!$r$508)</f>
      </c>
      <c r="AY508">
        <f>IF(ISBLANK('Data Entry'!$s$508), "", 'Data Entry'!$s$508)</f>
      </c>
      <c r="AZ508">
        <f>IF(ISBLANK('Data Entry'!$t$508), "", 'Data Entry'!$t$508)</f>
      </c>
      <c r="BA508">
        <f>IF(ISBLANK('Data Entry'!$u$508), "", 'Data Entry'!$u$508)</f>
      </c>
      <c r="BB508">
        <f>IF(ISBLANK('Data Entry'!$v$508), "", 'Data Entry'!$v$508)</f>
      </c>
      <c r="BC508">
        <f>IF(ISBLANK('Data Entry'!$w$508), "", 'Data Entry'!$w$508)</f>
      </c>
      <c r="BD508">
        <f>IF(ISBLANK('Data Entry'!$x$508), "", 'Data Entry'!$x$508)</f>
      </c>
      <c r="BE508">
        <f>IF(ISBLANK('Data Entry'!$y$508), "", 'Data Entry'!$y$508)</f>
      </c>
      <c r="BF508">
        <f>IF(ISBLANK('Data Entry'!$z$508), "", 'Data Entry'!$z$508)</f>
      </c>
      <c r="BG508">
        <f>IF(ISBLANK('Data Entry'!${$508), "", 'Data Entry'!${$508)</f>
      </c>
      <c r="BH508">
        <f>IF(ISBLANK('Data Entry'!$|$508), "", 'Data Entry'!$|$508)</f>
      </c>
      <c r="BI508">
        <f>IF(ISBLANK('Data Entry'!$}$508), "", 'Data Entry'!$}$508)</f>
      </c>
      <c r="BJ508">
        <f>IF(ISBLANK('Data Entry'!$~$508), "", 'Data Entry'!$~$508)</f>
      </c>
      <c r="BK508">
        <f>IF(ISBLANK('Data Entry'!$$508), "", 'Data Entry'!$$508)</f>
      </c>
      <c r="BL508">
        <f>IF(ISBLANK('Data Entry'!$$508), "", 'Data Entry'!$$508)</f>
      </c>
      <c r="BM508">
        <f>IF(ISBLANK('Data Entry'!$$508), "", 'Data Entry'!$$508)</f>
      </c>
      <c r="BN508">
        <f>IF(ISBLANK('Data Entry'!$$508), "", 'Data Entry'!$$508)</f>
      </c>
      <c r="BO508">
        <f>IF(ISBLANK('Data Entry'!$$508), "", 'Data Entry'!$$508)</f>
      </c>
      <c r="BP508">
        <f>IF(ISBLANK('Data Entry'!$$508), "", 'Data Entry'!$$508)</f>
      </c>
      <c r="BQ508">
        <f>IF(ISBLANK('Data Entry'!$$508), "", 'Data Entry'!$$508)</f>
      </c>
      <c r="BR508">
        <f>IF(ISBLANK('Data Entry'!$$508), "", 'Data Entry'!$$508)</f>
      </c>
      <c r="BS508">
        <f>IF(ISBLANK('Data Entry'!$$508), "", 'Data Entry'!$$508)</f>
      </c>
      <c r="BT508">
        <f>IF(ISBLANK('Data Entry'!$$508), "", 'Data Entry'!$$508)</f>
      </c>
      <c r="BU508">
        <f>IF(ISBLANK('Data Entry'!$$508), "", 'Data Entry'!$$508)</f>
      </c>
      <c r="BV508">
        <f>IF(ISBLANK('Data Entry'!$$508), "", 'Data Entry'!$$508)</f>
      </c>
      <c r="BW508">
        <f>IF(ISBLANK('Data Entry'!$$508), "", 'Data Entry'!$$508)</f>
      </c>
      <c r="BX508">
        <f>IF(ISBLANK('Data Entry'!$$508), "", 'Data Entry'!$$508)</f>
      </c>
      <c r="BY508">
        <f>IF(ISBLANK('Data Entry'!$$508), "", 'Data Entry'!$$508)</f>
      </c>
      <c r="BZ508">
        <f>IF(ISBLANK('Data Entry'!$$508), "", 'Data Entry'!$$508)</f>
      </c>
      <c r="CA508">
        <f>IF(ISBLANK('Data Entry'!$$508), "", 'Data Entry'!$$508)</f>
      </c>
      <c r="CB508">
        <f>IF(ISBLANK('Data Entry'!$$508), "", 'Data Entry'!$$508)</f>
      </c>
      <c r="CC508">
        <f>IF(ISBLANK('Data Entry'!$$508), "", 'Data Entry'!$$508)</f>
      </c>
      <c r="CD508">
        <f>IF(ISBLANK('Data Entry'!$$508), "", 'Data Entry'!$$508)</f>
      </c>
      <c r="CE508">
        <f>IF(ISBLANK('Data Entry'!$$508), "", 'Data Entry'!$$508)</f>
      </c>
      <c r="CF508">
        <f>IF(ISBLANK('Data Entry'!$$508), "", 'Data Entry'!$$508)</f>
      </c>
      <c r="CG508">
        <f>IF(ISBLANK('Data Entry'!$$508), "", 'Data Entry'!$$508)</f>
      </c>
      <c r="CH508">
        <f>IF(ISBLANK('Data Entry'!$$508), "", 'Data Entry'!$$508)</f>
      </c>
      <c r="CI508">
        <f>IF(ISBLANK('Data Entry'!$$508), "", 'Data Entry'!$$508)</f>
      </c>
      <c r="CJ508">
        <f>IF(ISBLANK('Data Entry'!$$508), "", 'Data Entry'!$$508)</f>
      </c>
      <c r="CK508">
        <f>IF(ISBLANK('Data Entry'!$$508), "", 'Data Entry'!$$508)</f>
      </c>
      <c r="CL508">
        <f>IF(ISBLANK('Data Entry'!$$508), "", 'Data Entry'!$$508)</f>
      </c>
      <c r="CM508">
        <f>IF(ISBLANK('Data Entry'!$$508), "", 'Data Entry'!$$508)</f>
      </c>
      <c r="CN508">
        <f>IF(ISBLANK('Data Entry'!$$508), "", 'Data Entry'!$$508)</f>
      </c>
      <c r="CO508">
        <f>IF(ISBLANK('Data Entry'!$$508), "", 'Data Entry'!$$508)</f>
      </c>
      <c r="CP508">
        <f>IF(ISBLANK('Data Entry'!$$508), "", 'Data Entry'!$$508)</f>
      </c>
      <c r="CQ508">
        <f>IF(ISBLANK('Data Entry'!$$508), "", 'Data Entry'!$$508)</f>
      </c>
      <c r="CR508">
        <f>IF(ISBLANK('Data Entry'!$ $508), "", 'Data Entry'!$ $508)</f>
      </c>
      <c r="CS508">
        <f>IF(ISBLANK('Data Entry'!$¡$508), "", 'Data Entry'!$¡$508)</f>
      </c>
      <c r="CT508">
        <f>IF(ISBLANK('Data Entry'!$¢$508), "", 'Data Entry'!$¢$508)</f>
      </c>
      <c r="CU508">
        <f>IF(ISBLANK('Data Entry'!$£$508), "", 'Data Entry'!$£$508)</f>
      </c>
      <c r="CV508">
        <f>IF(ISBLANK('Data Entry'!$¤$508), "", 'Data Entry'!$¤$508)</f>
      </c>
      <c r="CW508">
        <f>IF(ISBLANK('Data Entry'!$¥$508), "", 'Data Entry'!$¥$508)</f>
      </c>
      <c r="CX508">
        <f>IF(ISBLANK('Data Entry'!$¦$508), "", 'Data Entry'!$¦$508)</f>
      </c>
      <c r="CY508">
        <f>IF(ISBLANK('Data Entry'!$§$508), "", 'Data Entry'!$§$508)</f>
      </c>
      <c r="CZ508">
        <f>IF(ISBLANK('Data Entry'!$¨$508), "", 'Data Entry'!$¨$508)</f>
      </c>
      <c r="DA508">
        <f>IF(ISBLANK('Data Entry'!$©$508), "", 'Data Entry'!$©$508)</f>
      </c>
      <c r="DB508">
        <f>IF(ISBLANK('Data Entry'!$ª$508), "", 'Data Entry'!$ª$508)</f>
      </c>
      <c r="DC508">
        <f>IF(ISBLANK('Data Entry'!$«$508), "", 'Data Entry'!$«$508)</f>
      </c>
      <c r="DD508">
        <f>IF(ISBLANK('Data Entry'!$¬$508), "", 'Data Entry'!$¬$508)</f>
      </c>
      <c r="DE508">
        <f>IF(ISBLANK('Data Entry'!$­$508), "", 'Data Entry'!$­$508)</f>
      </c>
      <c r="DF508">
        <f>IF(ISBLANK('Data Entry'!$®$508), "", 'Data Entry'!$®$508)</f>
      </c>
      <c r="DG508">
        <f>IF(ISBLANK('Data Entry'!$¯$508), "", 'Data Entry'!$¯$508)</f>
      </c>
      <c r="DH508">
        <f>IF(ISBLANK('Data Entry'!$°$508), "", 'Data Entry'!$°$508)</f>
      </c>
      <c r="DI508">
        <f>IF(ISBLANK('Data Entry'!$±$508), "", 'Data Entry'!$±$508)</f>
      </c>
      <c r="DJ508">
        <f>IF(ISBLANK('Data Entry'!$²$508), "", 'Data Entry'!$²$508)</f>
      </c>
      <c r="DK508">
        <f>IF(ISBLANK('Data Entry'!$³$508), "", 'Data Entry'!$³$508)</f>
      </c>
      <c r="DL508">
        <f>IF(ISBLANK('Data Entry'!$´$508), "", 'Data Entry'!$´$508)</f>
      </c>
      <c r="DM508">
        <f>IF(ISBLANK('Data Entry'!$µ$508), "", 'Data Entry'!$µ$508)</f>
      </c>
      <c r="DN508">
        <f>IF(ISBLANK('Data Entry'!$¶$508), "", 'Data Entry'!$¶$508)</f>
      </c>
      <c r="DO508">
        <f>IF(ISBLANK('Data Entry'!$·$508), "", 'Data Entry'!$·$508)</f>
      </c>
      <c r="DP508">
        <f>IF(ISBLANK('Data Entry'!$¸$508), "", 'Data Entry'!$¸$508)</f>
      </c>
      <c r="DQ508">
        <f>IF(ISBLANK('Data Entry'!$¹$508), "", 'Data Entry'!$¹$508)</f>
      </c>
      <c r="DR508">
        <f>IF(ISBLANK('Data Entry'!$º$508), "", 'Data Entry'!$º$508)</f>
      </c>
      <c r="DS508">
        <f>IF(ISBLANK('Data Entry'!$»$508), "", 'Data Entry'!$»$508)</f>
      </c>
      <c r="DT508">
        <f>IF(ISBLANK('Data Entry'!$¼$508), "", 'Data Entry'!$¼$508)</f>
      </c>
      <c r="DU508">
        <f>IF(ISBLANK('Data Entry'!$½$508), "", 'Data Entry'!$½$508)</f>
      </c>
      <c r="DV508">
        <f>IF(ISBLANK('Data Entry'!$¾$508), "", 'Data Entry'!$¾$508)</f>
      </c>
      <c r="DW508">
        <f>IF(ISBLANK('Data Entry'!$¿$508), "", 'Data Entry'!$¿$508)</f>
      </c>
      <c r="DX508">
        <f>IF(ISBLANK('Data Entry'!$À$508), "", 'Data Entry'!$À$508)</f>
      </c>
      <c r="DY508">
        <f>IF(ISBLANK('Data Entry'!$Á$508), "", 'Data Entry'!$Á$508)</f>
      </c>
      <c r="DZ508">
        <f>IF(ISBLANK('Data Entry'!$Â$508), "", 'Data Entry'!$Â$508)</f>
      </c>
      <c r="EA508">
        <f>IF(ISBLANK('Data Entry'!$Ã$508), "", 'Data Entry'!$Ã$508)</f>
      </c>
      <c r="EB508">
        <f>IF(ISBLANK('Data Entry'!$Ä$508), "", 'Data Entry'!$Ä$508)</f>
      </c>
      <c r="EC508">
        <f>IF(ISBLANK('Data Entry'!$Å$508), "", 'Data Entry'!$Å$508)</f>
      </c>
      <c r="ED508">
        <f>IF(ISBLANK('Data Entry'!$Æ$508), "", 'Data Entry'!$Æ$508)</f>
      </c>
      <c r="EE508">
        <f>IF(ISBLANK('Data Entry'!$Ç$508), "", 'Data Entry'!$Ç$508)</f>
      </c>
      <c r="EF508">
        <f>IF(ISBLANK('Data Entry'!$È$508), "", 'Data Entry'!$È$508)</f>
      </c>
      <c r="EG508">
        <f>IF(ISBLANK('Data Entry'!$É$508), "", 'Data Entry'!$É$508)</f>
      </c>
      <c r="EH508">
        <f>IF(ISBLANK('Data Entry'!$Ê$508), "", 'Data Entry'!$Ê$508)</f>
      </c>
      <c r="EI508">
        <f>IF(ISBLANK('Data Entry'!$Ë$508), "", 'Data Entry'!$Ë$508)</f>
      </c>
      <c r="EJ508">
        <f>IF(ISBLANK('Data Entry'!$Ì$508), "", 'Data Entry'!$Ì$508)</f>
      </c>
      <c r="EK508">
        <f>IF(ISBLANK('Data Entry'!$Í$508), "", 'Data Entry'!$Í$508)</f>
      </c>
      <c r="EL508">
        <f>IF(ISBLANK('Data Entry'!$Î$508), "", 'Data Entry'!$Î$508)</f>
      </c>
      <c r="EM508">
        <f>IF(ISBLANK('Data Entry'!$Ï$508), "", 'Data Entry'!$Ï$508)</f>
      </c>
      <c r="EN508">
        <f>IF(ISBLANK('Data Entry'!$Ð$508), "", 'Data Entry'!$Ð$508)</f>
      </c>
      <c r="EO508">
        <f>IF(ISBLANK('Data Entry'!$Ñ$508), "", 'Data Entry'!$Ñ$508)</f>
      </c>
      <c r="EP508">
        <f>IF(ISBLANK('Data Entry'!$Ò$508), "", 'Data Entry'!$Ò$508)</f>
      </c>
      <c r="EQ508">
        <f>IF(ISBLANK('Data Entry'!$Ó$508), "", 'Data Entry'!$Ó$508)</f>
      </c>
      <c r="ER508">
        <f>IF(ISBLANK('Data Entry'!$Ô$508), "", 'Data Entry'!$Ô$508)</f>
      </c>
      <c r="ES508">
        <f>IF(ISBLANK('Data Entry'!$Õ$508), "", 'Data Entry'!$Õ$508)</f>
      </c>
      <c r="ET508">
        <f>IF(ISBLANK('Data Entry'!$Ö$508), "", 'Data Entry'!$Ö$508)</f>
      </c>
      <c r="EU508">
        <f>IF(ISBLANK('Data Entry'!$×$508), "", 'Data Entry'!$×$508)</f>
      </c>
      <c r="EV508">
        <f>IF(ISBLANK('Data Entry'!$Ø$508), "", 'Data Entry'!$Ø$508)</f>
      </c>
      <c r="EW508">
        <f>IF(ISBLANK('Data Entry'!$Ù$508), "", 'Data Entry'!$Ù$508)</f>
      </c>
      <c r="EX508">
        <f>IF(ISBLANK('Data Entry'!$Ú$508), "", 'Data Entry'!$Ú$508)</f>
      </c>
      <c r="EY508">
        <f>IF(ISBLANK('Data Entry'!$Û$508), "", 'Data Entry'!$Û$508)</f>
      </c>
      <c r="EZ508">
        <f>IF(ISBLANK('Data Entry'!$Ü$508), "", 'Data Entry'!$Ü$508)</f>
      </c>
      <c r="FA508">
        <f>IF(ISBLANK('Data Entry'!$Ý$508), "", 'Data Entry'!$Ý$508)</f>
      </c>
      <c r="FB508">
        <f>IF(ISBLANK('Data Entry'!$Þ$508), "", 'Data Entry'!$Þ$508)</f>
      </c>
      <c r="FC508">
        <f>IF(ISBLANK('Data Entry'!$ß$508), "", 'Data Entry'!$ß$508)</f>
      </c>
      <c r="FD508">
        <f>IF(ISBLANK('Data Entry'!$à$508), "", 'Data Entry'!$à$508)</f>
      </c>
      <c r="FE508">
        <f>IF(ISBLANK('Data Entry'!$á$508), "", 'Data Entry'!$á$508)</f>
      </c>
      <c r="FF508">
        <f>IF(ISBLANK('Data Entry'!$â$508), "", 'Data Entry'!$â$508)</f>
      </c>
      <c r="FG508">
        <f>IF(ISBLANK('Data Entry'!$ã$508), "", 'Data Entry'!$ã$508)</f>
      </c>
      <c r="FH508">
        <f>IF(ISBLANK('Data Entry'!$ä$508), "", 'Data Entry'!$ä$508)</f>
      </c>
      <c r="FI508">
        <f>IF(ISBLANK('Data Entry'!$å$508), "", 'Data Entry'!$å$508)</f>
      </c>
      <c r="FJ508">
        <f>IF(ISBLANK('Data Entry'!$æ$508), "", 'Data Entry'!$æ$508)</f>
      </c>
      <c r="FK508">
        <f>IF(ISBLANK('Data Entry'!$ç$508), "", 'Data Entry'!$ç$508)</f>
      </c>
      <c r="FL508">
        <f>IF(ISBLANK('Data Entry'!$è$508), "", 'Data Entry'!$è$508)</f>
      </c>
      <c r="FM508">
        <f>IF(ISBLANK('Data Entry'!$é$508), "", 'Data Entry'!$é$508)</f>
      </c>
      <c r="FN508">
        <f>IF(ISBLANK('Data Entry'!$ê$508), "", 'Data Entry'!$ê$508)</f>
      </c>
      <c r="FO508">
        <f>IF(ISBLANK('Data Entry'!$ë$508), "", 'Data Entry'!$ë$508)</f>
      </c>
      <c r="FP508">
        <f>IF(ISBLANK('Data Entry'!$ì$508), "", 'Data Entry'!$ì$508)</f>
      </c>
      <c r="FQ508">
        <f>IF(ISBLANK('Data Entry'!$í$508), "", 'Data Entry'!$í$508)</f>
      </c>
      <c r="FR508">
        <f>IF(ISBLANK('Data Entry'!$î$508), "", 'Data Entry'!$î$508)</f>
      </c>
      <c r="FS508">
        <f>IF(ISBLANK('Data Entry'!$ï$508), "", 'Data Entry'!$ï$508)</f>
      </c>
      <c r="FT508">
        <f>IF(ISBLANK('Data Entry'!$ð$508), "", 'Data Entry'!$ð$508)</f>
      </c>
      <c r="FU508">
        <f>IF(ISBLANK('Data Entry'!$ñ$508), "", 'Data Entry'!$ñ$508)</f>
      </c>
      <c r="FV508">
        <f>IF(ISBLANK('Data Entry'!$ò$508), "", 'Data Entry'!$ò$508)</f>
      </c>
      <c r="FW508">
        <f>IF(ISBLANK('Data Entry'!$ó$508), "", 'Data Entry'!$ó$508)</f>
      </c>
      <c r="FX508">
        <f>IF(ISBLANK('Data Entry'!$ô$508), "", 'Data Entry'!$ô$508)</f>
      </c>
      <c r="FY508">
        <f>IF(ISBLANK('Data Entry'!$õ$508), "", 'Data Entry'!$õ$508)</f>
      </c>
      <c r="FZ508">
        <f>IF(ISBLANK('Data Entry'!$ö$508), "", 'Data Entry'!$ö$508)</f>
      </c>
      <c r="GA508">
        <f>IF(ISBLANK('Data Entry'!$÷$508), "", 'Data Entry'!$÷$508)</f>
      </c>
      <c r="GB508">
        <f>IF(ISBLANK('Data Entry'!$ø$508), "", 'Data Entry'!$ø$508)</f>
      </c>
      <c r="GC508">
        <f>IF(ISBLANK('Data Entry'!$ù$508), "", 'Data Entry'!$ù$508)</f>
      </c>
      <c r="GD508">
        <f>IF(ISBLANK('Data Entry'!$ú$508), "", 'Data Entry'!$ú$508)</f>
      </c>
      <c r="GE508">
        <f>IF(ISBLANK('Data Entry'!$û$508), "", 'Data Entry'!$û$508)</f>
      </c>
      <c r="GF508">
        <f>IF(ISBLANK('Data Entry'!$ü$508), "", 'Data Entry'!$ü$508)</f>
      </c>
      <c r="GG508">
        <f>IF(ISBLANK('Data Entry'!$ý$508), "", 'Data Entry'!$ý$508)</f>
      </c>
      <c r="GH508">
        <f>IF(ISBLANK('Data Entry'!$þ$508), "", 'Data Entry'!$þ$508)</f>
      </c>
      <c r="GI508">
        <f>IF(ISBLANK('Data Entry'!$ÿ$508), "", 'Data Entry'!$ÿ$508)</f>
      </c>
      <c r="GJ508">
        <f>IF(ISBLANK('Data Entry'!$Ā$508), "", 'Data Entry'!$Ā$508)</f>
      </c>
      <c r="GK508">
        <f>IF(ISBLANK('Data Entry'!$ā$508), "", 'Data Entry'!$ā$508)</f>
      </c>
      <c r="GL508">
        <f>IF(ISBLANK('Data Entry'!$Ă$508), "", 'Data Entry'!$Ă$508)</f>
      </c>
      <c r="GM508">
        <f>IF(ISBLANK('Data Entry'!$ă$508), "", 'Data Entry'!$ă$508)</f>
      </c>
      <c r="GN508">
        <f>IF(ISBLANK('Data Entry'!$Ą$508), "", 'Data Entry'!$Ą$508)</f>
      </c>
      <c r="GO508">
        <f>IF(ISBLANK('Data Entry'!$ą$508), "", 'Data Entry'!$ą$508)</f>
      </c>
      <c r="GP508">
        <f>IF(ISBLANK('Data Entry'!$Ć$508), "", 'Data Entry'!$Ć$508)</f>
      </c>
      <c r="GQ508">
        <f>IF(ISBLANK('Data Entry'!$ć$508), "", 'Data Entry'!$ć$508)</f>
      </c>
      <c r="GR508">
        <f>IF(ISBLANK('Data Entry'!$Ĉ$508), "", 'Data Entry'!$Ĉ$508)</f>
      </c>
      <c r="GS508">
        <f>IF(ISBLANK('Data Entry'!$ĉ$508), "", 'Data Entry'!$ĉ$508)</f>
      </c>
      <c r="GT508">
        <f>IF(ISBLANK('Data Entry'!$Ċ$508), "", 'Data Entry'!$Ċ$508)</f>
      </c>
      <c r="GU508">
        <f>IF(ISBLANK('Data Entry'!$ċ$508), "", 'Data Entry'!$ċ$508)</f>
      </c>
      <c r="GV508">
        <f>IF(ISBLANK('Data Entry'!$Č$508), "", 'Data Entry'!$Č$508)</f>
      </c>
      <c r="GW508">
        <f>IF(ISBLANK('Data Entry'!$č$508), "", 'Data Entry'!$č$508)</f>
      </c>
      <c r="GX508">
        <f>IF(ISBLANK('Data Entry'!$Ď$508), "", 'Data Entry'!$Ď$508)</f>
      </c>
      <c r="GY508">
        <f>IF(ISBLANK('Data Entry'!$ď$508), "", 'Data Entry'!$ď$508)</f>
      </c>
      <c r="GZ508">
        <f>IF(ISBLANK('Data Entry'!$Đ$508), "", 'Data Entry'!$Đ$508)</f>
      </c>
      <c r="HA508">
        <f>IF(ISBLANK('Data Entry'!$đ$508), "", 'Data Entry'!$đ$508)</f>
      </c>
      <c r="HB508">
        <f>IF(ISBLANK('Data Entry'!$Ē$508), "", 'Data Entry'!$Ē$508)</f>
      </c>
      <c r="HC508">
        <f>IF(ISBLANK('Data Entry'!$ē$508), "", 'Data Entry'!$ē$508)</f>
      </c>
      <c r="HD508">
        <f>IF(ISBLANK('Data Entry'!$Ĕ$508), "", 'Data Entry'!$Ĕ$508)</f>
      </c>
      <c r="HE508">
        <f>IF(ISBLANK('Data Entry'!$ĕ$508), "", 'Data Entry'!$ĕ$508)</f>
      </c>
      <c r="HF508">
        <f>IF(ISBLANK('Data Entry'!$Ė$508), "", 'Data Entry'!$Ė$508)</f>
      </c>
      <c r="HG508">
        <f>IF(ISBLANK('Data Entry'!$ė$508), "", 'Data Entry'!$ė$508)</f>
      </c>
      <c r="HH508">
        <f>IF(ISBLANK('Data Entry'!$Ę$508), "", 'Data Entry'!$Ę$508)</f>
      </c>
      <c r="HI508">
        <f>IF(ISBLANK('Data Entry'!$ę$508), "", 'Data Entry'!$ę$508)</f>
      </c>
      <c r="HJ508">
        <f>IF(ISBLANK('Data Entry'!$Ě$508), "", 'Data Entry'!$Ě$508)</f>
      </c>
      <c r="HK508">
        <f>IF(ISBLANK('Data Entry'!$ě$508), "", 'Data Entry'!$ě$508)</f>
      </c>
      <c r="HL508">
        <f>IF(ISBLANK('Data Entry'!$Ĝ$508), "", 'Data Entry'!$Ĝ$508)</f>
      </c>
      <c r="HM508">
        <f>IF(ISBLANK('Data Entry'!$ĝ$508), "", 'Data Entry'!$ĝ$508)</f>
      </c>
      <c r="HN508">
        <f>IF(ISBLANK('Data Entry'!$Ğ$508), "", 'Data Entry'!$Ğ$508)</f>
      </c>
      <c r="HO508">
        <f>IF(ISBLANK('Data Entry'!$ğ$508), "", 'Data Entry'!$ğ$508)</f>
      </c>
      <c r="HP508">
        <f>IF(ISBLANK('Data Entry'!$Ġ$508), "", 'Data Entry'!$Ġ$508)</f>
      </c>
      <c r="HQ508">
        <f>IF(ISBLANK('Data Entry'!$ġ$508), "", 'Data Entry'!$ġ$508)</f>
      </c>
      <c r="HR508">
        <f>IF(ISBLANK('Data Entry'!$Ģ$508), "", 'Data Entry'!$Ģ$508)</f>
      </c>
      <c r="HS508">
        <f>IF(ISBLANK('Data Entry'!$ģ$508), "", 'Data Entry'!$ģ$508)</f>
      </c>
      <c r="HT508">
        <f>IF(ISBLANK('Data Entry'!$Ĥ$508), "", 'Data Entry'!$Ĥ$508)</f>
      </c>
      <c r="HU508">
        <f>IF(ISBLANK('Data Entry'!$ĥ$508), "", 'Data Entry'!$ĥ$508)</f>
      </c>
      <c r="HV508">
        <f>IF(ISBLANK('Data Entry'!$Ħ$508), "", 'Data Entry'!$Ħ$508)</f>
      </c>
      <c r="HW508">
        <f>IF(ISBLANK('Data Entry'!$ħ$508), "", 'Data Entry'!$ħ$508)</f>
      </c>
      <c r="HX508">
        <f>IF(ISBLANK('Data Entry'!$Ĩ$508), "", 'Data Entry'!$Ĩ$508)</f>
      </c>
      <c r="HY508">
        <f>IF(ISBLANK('Data Entry'!$ĩ$508), "", 'Data Entry'!$ĩ$508)</f>
      </c>
      <c r="HZ508">
        <f>IF(ISBLANK('Data Entry'!$Ī$508), "", 'Data Entry'!$Ī$508)</f>
      </c>
      <c r="IA508">
        <f>IF(ISBLANK('Data Entry'!$ī$508), "", 'Data Entry'!$ī$508)</f>
      </c>
      <c r="IB508">
        <f>IF(ISBLANK('Data Entry'!$Ĭ$508), "", 'Data Entry'!$Ĭ$508)</f>
      </c>
      <c r="IC508">
        <f>IF(ISBLANK('Data Entry'!$ĭ$508), "", 'Data Entry'!$ĭ$508)</f>
      </c>
      <c r="ID508">
        <f>IF(ISBLANK('Data Entry'!$Į$508), "", 'Data Entry'!$Į$508)</f>
      </c>
      <c r="IE508">
        <f>IF(ISBLANK('Data Entry'!$į$508), "", 'Data Entry'!$į$508)</f>
      </c>
      <c r="IF508">
        <f>IF(ISBLANK('Data Entry'!$İ$508), "", 'Data Entry'!$İ$508)</f>
      </c>
      <c r="IG508">
        <f>IF(ISBLANK('Data Entry'!$ı$508), "", 'Data Entry'!$ı$508)</f>
      </c>
      <c r="IH508">
        <f>IF(ISBLANK('Data Entry'!$Ĳ$508), "", 'Data Entry'!$Ĳ$508)</f>
      </c>
      <c r="II508">
        <f>IF(ISBLANK('Data Entry'!$ĳ$508), "", 'Data Entry'!$ĳ$508)</f>
      </c>
      <c r="IJ508">
        <f>IF(ISBLANK('Data Entry'!$Ĵ$508), "", 'Data Entry'!$Ĵ$508)</f>
      </c>
      <c r="IK508">
        <f>IF(ISBLANK('Data Entry'!$ĵ$508), "", 'Data Entry'!$ĵ$508)</f>
      </c>
      <c r="IL508">
        <f>IF(ISBLANK('Data Entry'!$Ķ$508), "", 'Data Entry'!$Ķ$508)</f>
      </c>
      <c r="IM508">
        <f>IF(ISBLANK('Data Entry'!$ķ$508), "", 'Data Entry'!$ķ$508)</f>
      </c>
      <c r="IN508">
        <f>IF(ISBLANK('Data Entry'!$ĸ$508), "", 'Data Entry'!$ĸ$508)</f>
      </c>
      <c r="IO508">
        <f>IF(ISBLANK('Data Entry'!$Ĺ$508), "", 'Data Entry'!$Ĺ$508)</f>
      </c>
      <c r="IP508">
        <f>IF(ISBLANK('Data Entry'!$ĺ$508), "", 'Data Entry'!$ĺ$508)</f>
      </c>
      <c r="IQ508">
        <f>IF(ISBLANK('Data Entry'!$Ļ$508), "", 'Data Entry'!$Ļ$508)</f>
      </c>
      <c r="IR508">
        <f>IF(ISBLANK('Data Entry'!$ļ$508), "", 'Data Entry'!$ļ$508)</f>
      </c>
      <c r="IS508">
        <f>IF(ISBLANK('Data Entry'!$Ľ$508), "", 'Data Entry'!$Ľ$508)</f>
      </c>
      <c r="IT508">
        <f>IF(ISBLANK('Data Entry'!$ľ$508), "", 'Data Entry'!$ľ$508)</f>
      </c>
    </row>
    <row r="509" spans="1:254" x14ac:dyDescent="0.25">
      <c r="A509">
        <f>IF(ISBLANK('Data Entry'!$A$509), "", 'Data Entry'!$A$509)</f>
      </c>
      <c r="B509">
        <f>IF(ISBLANK('Data Entry'!$B$509), "", 'Data Entry'!$B$509)</f>
      </c>
      <c r="C509">
        <f>IF(ISBLANK('Data Entry'!$C$509), "", 'Data Entry'!$C$509)</f>
      </c>
      <c r="D509">
        <f>IF(ISBLANK('Data Entry'!$D$509), "", 'Data Entry'!$D$509)</f>
      </c>
      <c r="E509">
        <f>IF(ISBLANK('Data Entry'!$E$509), "", 'Data Entry'!$E$509)</f>
      </c>
      <c r="F509">
        <f>IF(ISBLANK('Data Entry'!$F$509), "", 'Data Entry'!$F$509)</f>
      </c>
      <c r="G509">
        <f>IF(ISBLANK('Data Entry'!$G$509), "", 'Data Entry'!$G$509)</f>
      </c>
      <c r="H509">
        <f>IF(ISBLANK('Data Entry'!$H$509), "", 'Data Entry'!$H$509)</f>
      </c>
      <c r="I509">
        <f>IF(ISBLANK('Data Entry'!$I$509), "", 'Data Entry'!$I$509)</f>
      </c>
      <c r="J509">
        <f>IF(ISBLANK('Data Entry'!$J$509), "", 'Data Entry'!$J$509)</f>
      </c>
      <c r="K509">
        <f>IF(ISBLANK('Data Entry'!$K$509), "", 'Data Entry'!$K$509)</f>
      </c>
      <c r="L509">
        <f>IF(ISBLANK('Data Entry'!$L$509), "", 'Data Entry'!$L$509)</f>
      </c>
      <c r="M509">
        <f>IF(ISBLANK('Data Entry'!$M$509), "", 'Data Entry'!$M$509)</f>
      </c>
      <c r="N509">
        <f>IF(ISBLANK('Data Entry'!$N$509), "", 'Data Entry'!$N$509)</f>
      </c>
      <c r="O509">
        <f>IF(ISBLANK('Data Entry'!$O$509), "", 'Data Entry'!$O$509)</f>
      </c>
      <c r="P509">
        <f>IF(ISBLANK('Data Entry'!$P$509), "", 'Data Entry'!$P$509)</f>
      </c>
      <c r="Q509">
        <f>IF(ISBLANK('Data Entry'!$Q$509), "", 'Data Entry'!$Q$509)</f>
      </c>
      <c r="R509">
        <f>IF(ISBLANK('Data Entry'!$R$509), "", 'Data Entry'!$R$509)</f>
      </c>
      <c r="S509">
        <f>IF(ISBLANK('Data Entry'!$S$509), "", 'Data Entry'!$S$509)</f>
      </c>
      <c r="T509">
        <f>IF(ISBLANK('Data Entry'!$T$509), "", 'Data Entry'!$T$509)</f>
      </c>
      <c r="U509">
        <f>IF(ISBLANK('Data Entry'!$U$509), "", 'Data Entry'!$U$509)</f>
      </c>
      <c r="V509">
        <f>IF(ISBLANK('Data Entry'!$V$509), "", 'Data Entry'!$V$509)</f>
      </c>
      <c r="W509">
        <f>IF(ISBLANK('Data Entry'!$W$509), "", 'Data Entry'!$W$509)</f>
      </c>
      <c r="X509">
        <f>IF(ISBLANK('Data Entry'!$X$509), "", 'Data Entry'!$X$509)</f>
      </c>
      <c r="Y509">
        <f>IF(ISBLANK('Data Entry'!$Y$509), "", 'Data Entry'!$Y$509)</f>
      </c>
      <c r="Z509">
        <f>IF(ISBLANK('Data Entry'!$Z$509), "", 'Data Entry'!$Z$509)</f>
      </c>
      <c r="AA509">
        <f>IF(ISBLANK('Data Entry'!$[$509), "", 'Data Entry'!$[$509)</f>
      </c>
      <c r="AB509">
        <f>IF(ISBLANK('Data Entry'!$\$509), "", 'Data Entry'!$\$509)</f>
      </c>
      <c r="AC509">
        <f>IF(ISBLANK('Data Entry'!$]$509), "", 'Data Entry'!$]$509)</f>
      </c>
      <c r="AD509">
        <f>IF(ISBLANK('Data Entry'!$^$509), "", 'Data Entry'!$^$509)</f>
      </c>
      <c r="AE509">
        <f>IF(ISBLANK('Data Entry'!$_$509), "", 'Data Entry'!$_$509)</f>
      </c>
      <c r="AF509">
        <f>IF(ISBLANK('Data Entry'!$`$509), "", 'Data Entry'!$`$509)</f>
      </c>
      <c r="AG509">
        <f>IF(ISBLANK('Data Entry'!$a$509), "", 'Data Entry'!$a$509)</f>
      </c>
      <c r="AH509">
        <f>IF(ISBLANK('Data Entry'!$b$509), "", 'Data Entry'!$b$509)</f>
      </c>
      <c r="AI509">
        <f>IF(ISBLANK('Data Entry'!$c$509), "", 'Data Entry'!$c$509)</f>
      </c>
      <c r="AJ509">
        <f>IF(ISBLANK('Data Entry'!$d$509), "", 'Data Entry'!$d$509)</f>
      </c>
      <c r="AK509">
        <f>IF(ISBLANK('Data Entry'!$e$509), "", 'Data Entry'!$e$509)</f>
      </c>
      <c r="AL509">
        <f>IF(ISBLANK('Data Entry'!$f$509), "", 'Data Entry'!$f$509)</f>
      </c>
      <c r="AM509">
        <f>IF(ISBLANK('Data Entry'!$g$509), "", 'Data Entry'!$g$509)</f>
      </c>
      <c r="AN509">
        <f>IF(ISBLANK('Data Entry'!$h$509), "", 'Data Entry'!$h$509)</f>
      </c>
      <c r="AO509">
        <f>IF(ISBLANK('Data Entry'!$i$509), "", 'Data Entry'!$i$509)</f>
      </c>
      <c r="AP509">
        <f>IF(ISBLANK('Data Entry'!$j$509), "", 'Data Entry'!$j$509)</f>
      </c>
      <c r="AQ509">
        <f>IF(ISBLANK('Data Entry'!$k$509), "", 'Data Entry'!$k$509)</f>
      </c>
      <c r="AR509">
        <f>IF(ISBLANK('Data Entry'!$l$509), "", 'Data Entry'!$l$509)</f>
      </c>
      <c r="AS509">
        <f>IF(ISBLANK('Data Entry'!$m$509), "", 'Data Entry'!$m$509)</f>
      </c>
      <c r="AT509">
        <f>IF(ISBLANK('Data Entry'!$n$509), "", 'Data Entry'!$n$509)</f>
      </c>
      <c r="AU509">
        <f>IF(ISBLANK('Data Entry'!$o$509), "", 'Data Entry'!$o$509)</f>
      </c>
      <c r="AV509">
        <f>IF(ISBLANK('Data Entry'!$p$509), "", 'Data Entry'!$p$509)</f>
      </c>
      <c r="AW509">
        <f>IF(ISBLANK('Data Entry'!$q$509), "", 'Data Entry'!$q$509)</f>
      </c>
      <c r="AX509">
        <f>IF(ISBLANK('Data Entry'!$r$509), "", 'Data Entry'!$r$509)</f>
      </c>
      <c r="AY509">
        <f>IF(ISBLANK('Data Entry'!$s$509), "", 'Data Entry'!$s$509)</f>
      </c>
      <c r="AZ509">
        <f>IF(ISBLANK('Data Entry'!$t$509), "", 'Data Entry'!$t$509)</f>
      </c>
      <c r="BA509">
        <f>IF(ISBLANK('Data Entry'!$u$509), "", 'Data Entry'!$u$509)</f>
      </c>
      <c r="BB509">
        <f>IF(ISBLANK('Data Entry'!$v$509), "", 'Data Entry'!$v$509)</f>
      </c>
      <c r="BC509">
        <f>IF(ISBLANK('Data Entry'!$w$509), "", 'Data Entry'!$w$509)</f>
      </c>
      <c r="BD509">
        <f>IF(ISBLANK('Data Entry'!$x$509), "", 'Data Entry'!$x$509)</f>
      </c>
      <c r="BE509">
        <f>IF(ISBLANK('Data Entry'!$y$509), "", 'Data Entry'!$y$509)</f>
      </c>
      <c r="BF509">
        <f>IF(ISBLANK('Data Entry'!$z$509), "", 'Data Entry'!$z$509)</f>
      </c>
      <c r="BG509">
        <f>IF(ISBLANK('Data Entry'!${$509), "", 'Data Entry'!${$509)</f>
      </c>
      <c r="BH509">
        <f>IF(ISBLANK('Data Entry'!$|$509), "", 'Data Entry'!$|$509)</f>
      </c>
      <c r="BI509">
        <f>IF(ISBLANK('Data Entry'!$}$509), "", 'Data Entry'!$}$509)</f>
      </c>
      <c r="BJ509">
        <f>IF(ISBLANK('Data Entry'!$~$509), "", 'Data Entry'!$~$509)</f>
      </c>
      <c r="BK509">
        <f>IF(ISBLANK('Data Entry'!$$509), "", 'Data Entry'!$$509)</f>
      </c>
      <c r="BL509">
        <f>IF(ISBLANK('Data Entry'!$$509), "", 'Data Entry'!$$509)</f>
      </c>
      <c r="BM509">
        <f>IF(ISBLANK('Data Entry'!$$509), "", 'Data Entry'!$$509)</f>
      </c>
      <c r="BN509">
        <f>IF(ISBLANK('Data Entry'!$$509), "", 'Data Entry'!$$509)</f>
      </c>
      <c r="BO509">
        <f>IF(ISBLANK('Data Entry'!$$509), "", 'Data Entry'!$$509)</f>
      </c>
      <c r="BP509">
        <f>IF(ISBLANK('Data Entry'!$$509), "", 'Data Entry'!$$509)</f>
      </c>
      <c r="BQ509">
        <f>IF(ISBLANK('Data Entry'!$$509), "", 'Data Entry'!$$509)</f>
      </c>
      <c r="BR509">
        <f>IF(ISBLANK('Data Entry'!$$509), "", 'Data Entry'!$$509)</f>
      </c>
      <c r="BS509">
        <f>IF(ISBLANK('Data Entry'!$$509), "", 'Data Entry'!$$509)</f>
      </c>
      <c r="BT509">
        <f>IF(ISBLANK('Data Entry'!$$509), "", 'Data Entry'!$$509)</f>
      </c>
      <c r="BU509">
        <f>IF(ISBLANK('Data Entry'!$$509), "", 'Data Entry'!$$509)</f>
      </c>
      <c r="BV509">
        <f>IF(ISBLANK('Data Entry'!$$509), "", 'Data Entry'!$$509)</f>
      </c>
      <c r="BW509">
        <f>IF(ISBLANK('Data Entry'!$$509), "", 'Data Entry'!$$509)</f>
      </c>
      <c r="BX509">
        <f>IF(ISBLANK('Data Entry'!$$509), "", 'Data Entry'!$$509)</f>
      </c>
      <c r="BY509">
        <f>IF(ISBLANK('Data Entry'!$$509), "", 'Data Entry'!$$509)</f>
      </c>
      <c r="BZ509">
        <f>IF(ISBLANK('Data Entry'!$$509), "", 'Data Entry'!$$509)</f>
      </c>
      <c r="CA509">
        <f>IF(ISBLANK('Data Entry'!$$509), "", 'Data Entry'!$$509)</f>
      </c>
      <c r="CB509">
        <f>IF(ISBLANK('Data Entry'!$$509), "", 'Data Entry'!$$509)</f>
      </c>
      <c r="CC509">
        <f>IF(ISBLANK('Data Entry'!$$509), "", 'Data Entry'!$$509)</f>
      </c>
      <c r="CD509">
        <f>IF(ISBLANK('Data Entry'!$$509), "", 'Data Entry'!$$509)</f>
      </c>
      <c r="CE509">
        <f>IF(ISBLANK('Data Entry'!$$509), "", 'Data Entry'!$$509)</f>
      </c>
      <c r="CF509">
        <f>IF(ISBLANK('Data Entry'!$$509), "", 'Data Entry'!$$509)</f>
      </c>
      <c r="CG509">
        <f>IF(ISBLANK('Data Entry'!$$509), "", 'Data Entry'!$$509)</f>
      </c>
      <c r="CH509">
        <f>IF(ISBLANK('Data Entry'!$$509), "", 'Data Entry'!$$509)</f>
      </c>
      <c r="CI509">
        <f>IF(ISBLANK('Data Entry'!$$509), "", 'Data Entry'!$$509)</f>
      </c>
      <c r="CJ509">
        <f>IF(ISBLANK('Data Entry'!$$509), "", 'Data Entry'!$$509)</f>
      </c>
      <c r="CK509">
        <f>IF(ISBLANK('Data Entry'!$$509), "", 'Data Entry'!$$509)</f>
      </c>
      <c r="CL509">
        <f>IF(ISBLANK('Data Entry'!$$509), "", 'Data Entry'!$$509)</f>
      </c>
      <c r="CM509">
        <f>IF(ISBLANK('Data Entry'!$$509), "", 'Data Entry'!$$509)</f>
      </c>
      <c r="CN509">
        <f>IF(ISBLANK('Data Entry'!$$509), "", 'Data Entry'!$$509)</f>
      </c>
      <c r="CO509">
        <f>IF(ISBLANK('Data Entry'!$$509), "", 'Data Entry'!$$509)</f>
      </c>
      <c r="CP509">
        <f>IF(ISBLANK('Data Entry'!$$509), "", 'Data Entry'!$$509)</f>
      </c>
      <c r="CQ509">
        <f>IF(ISBLANK('Data Entry'!$$509), "", 'Data Entry'!$$509)</f>
      </c>
      <c r="CR509">
        <f>IF(ISBLANK('Data Entry'!$ $509), "", 'Data Entry'!$ $509)</f>
      </c>
      <c r="CS509">
        <f>IF(ISBLANK('Data Entry'!$¡$509), "", 'Data Entry'!$¡$509)</f>
      </c>
      <c r="CT509">
        <f>IF(ISBLANK('Data Entry'!$¢$509), "", 'Data Entry'!$¢$509)</f>
      </c>
      <c r="CU509">
        <f>IF(ISBLANK('Data Entry'!$£$509), "", 'Data Entry'!$£$509)</f>
      </c>
      <c r="CV509">
        <f>IF(ISBLANK('Data Entry'!$¤$509), "", 'Data Entry'!$¤$509)</f>
      </c>
      <c r="CW509">
        <f>IF(ISBLANK('Data Entry'!$¥$509), "", 'Data Entry'!$¥$509)</f>
      </c>
      <c r="CX509">
        <f>IF(ISBLANK('Data Entry'!$¦$509), "", 'Data Entry'!$¦$509)</f>
      </c>
      <c r="CY509">
        <f>IF(ISBLANK('Data Entry'!$§$509), "", 'Data Entry'!$§$509)</f>
      </c>
      <c r="CZ509">
        <f>IF(ISBLANK('Data Entry'!$¨$509), "", 'Data Entry'!$¨$509)</f>
      </c>
      <c r="DA509">
        <f>IF(ISBLANK('Data Entry'!$©$509), "", 'Data Entry'!$©$509)</f>
      </c>
      <c r="DB509">
        <f>IF(ISBLANK('Data Entry'!$ª$509), "", 'Data Entry'!$ª$509)</f>
      </c>
      <c r="DC509">
        <f>IF(ISBLANK('Data Entry'!$«$509), "", 'Data Entry'!$«$509)</f>
      </c>
      <c r="DD509">
        <f>IF(ISBLANK('Data Entry'!$¬$509), "", 'Data Entry'!$¬$509)</f>
      </c>
      <c r="DE509">
        <f>IF(ISBLANK('Data Entry'!$­$509), "", 'Data Entry'!$­$509)</f>
      </c>
      <c r="DF509">
        <f>IF(ISBLANK('Data Entry'!$®$509), "", 'Data Entry'!$®$509)</f>
      </c>
      <c r="DG509">
        <f>IF(ISBLANK('Data Entry'!$¯$509), "", 'Data Entry'!$¯$509)</f>
      </c>
      <c r="DH509">
        <f>IF(ISBLANK('Data Entry'!$°$509), "", 'Data Entry'!$°$509)</f>
      </c>
      <c r="DI509">
        <f>IF(ISBLANK('Data Entry'!$±$509), "", 'Data Entry'!$±$509)</f>
      </c>
      <c r="DJ509">
        <f>IF(ISBLANK('Data Entry'!$²$509), "", 'Data Entry'!$²$509)</f>
      </c>
      <c r="DK509">
        <f>IF(ISBLANK('Data Entry'!$³$509), "", 'Data Entry'!$³$509)</f>
      </c>
      <c r="DL509">
        <f>IF(ISBLANK('Data Entry'!$´$509), "", 'Data Entry'!$´$509)</f>
      </c>
      <c r="DM509">
        <f>IF(ISBLANK('Data Entry'!$µ$509), "", 'Data Entry'!$µ$509)</f>
      </c>
      <c r="DN509">
        <f>IF(ISBLANK('Data Entry'!$¶$509), "", 'Data Entry'!$¶$509)</f>
      </c>
      <c r="DO509">
        <f>IF(ISBLANK('Data Entry'!$·$509), "", 'Data Entry'!$·$509)</f>
      </c>
      <c r="DP509">
        <f>IF(ISBLANK('Data Entry'!$¸$509), "", 'Data Entry'!$¸$509)</f>
      </c>
      <c r="DQ509">
        <f>IF(ISBLANK('Data Entry'!$¹$509), "", 'Data Entry'!$¹$509)</f>
      </c>
      <c r="DR509">
        <f>IF(ISBLANK('Data Entry'!$º$509), "", 'Data Entry'!$º$509)</f>
      </c>
      <c r="DS509">
        <f>IF(ISBLANK('Data Entry'!$»$509), "", 'Data Entry'!$»$509)</f>
      </c>
      <c r="DT509">
        <f>IF(ISBLANK('Data Entry'!$¼$509), "", 'Data Entry'!$¼$509)</f>
      </c>
      <c r="DU509">
        <f>IF(ISBLANK('Data Entry'!$½$509), "", 'Data Entry'!$½$509)</f>
      </c>
      <c r="DV509">
        <f>IF(ISBLANK('Data Entry'!$¾$509), "", 'Data Entry'!$¾$509)</f>
      </c>
      <c r="DW509">
        <f>IF(ISBLANK('Data Entry'!$¿$509), "", 'Data Entry'!$¿$509)</f>
      </c>
      <c r="DX509">
        <f>IF(ISBLANK('Data Entry'!$À$509), "", 'Data Entry'!$À$509)</f>
      </c>
      <c r="DY509">
        <f>IF(ISBLANK('Data Entry'!$Á$509), "", 'Data Entry'!$Á$509)</f>
      </c>
      <c r="DZ509">
        <f>IF(ISBLANK('Data Entry'!$Â$509), "", 'Data Entry'!$Â$509)</f>
      </c>
      <c r="EA509">
        <f>IF(ISBLANK('Data Entry'!$Ã$509), "", 'Data Entry'!$Ã$509)</f>
      </c>
      <c r="EB509">
        <f>IF(ISBLANK('Data Entry'!$Ä$509), "", 'Data Entry'!$Ä$509)</f>
      </c>
      <c r="EC509">
        <f>IF(ISBLANK('Data Entry'!$Å$509), "", 'Data Entry'!$Å$509)</f>
      </c>
      <c r="ED509">
        <f>IF(ISBLANK('Data Entry'!$Æ$509), "", 'Data Entry'!$Æ$509)</f>
      </c>
      <c r="EE509">
        <f>IF(ISBLANK('Data Entry'!$Ç$509), "", 'Data Entry'!$Ç$509)</f>
      </c>
      <c r="EF509">
        <f>IF(ISBLANK('Data Entry'!$È$509), "", 'Data Entry'!$È$509)</f>
      </c>
      <c r="EG509">
        <f>IF(ISBLANK('Data Entry'!$É$509), "", 'Data Entry'!$É$509)</f>
      </c>
      <c r="EH509">
        <f>IF(ISBLANK('Data Entry'!$Ê$509), "", 'Data Entry'!$Ê$509)</f>
      </c>
      <c r="EI509">
        <f>IF(ISBLANK('Data Entry'!$Ë$509), "", 'Data Entry'!$Ë$509)</f>
      </c>
      <c r="EJ509">
        <f>IF(ISBLANK('Data Entry'!$Ì$509), "", 'Data Entry'!$Ì$509)</f>
      </c>
      <c r="EK509">
        <f>IF(ISBLANK('Data Entry'!$Í$509), "", 'Data Entry'!$Í$509)</f>
      </c>
      <c r="EL509">
        <f>IF(ISBLANK('Data Entry'!$Î$509), "", 'Data Entry'!$Î$509)</f>
      </c>
      <c r="EM509">
        <f>IF(ISBLANK('Data Entry'!$Ï$509), "", 'Data Entry'!$Ï$509)</f>
      </c>
      <c r="EN509">
        <f>IF(ISBLANK('Data Entry'!$Ð$509), "", 'Data Entry'!$Ð$509)</f>
      </c>
      <c r="EO509">
        <f>IF(ISBLANK('Data Entry'!$Ñ$509), "", 'Data Entry'!$Ñ$509)</f>
      </c>
      <c r="EP509">
        <f>IF(ISBLANK('Data Entry'!$Ò$509), "", 'Data Entry'!$Ò$509)</f>
      </c>
      <c r="EQ509">
        <f>IF(ISBLANK('Data Entry'!$Ó$509), "", 'Data Entry'!$Ó$509)</f>
      </c>
      <c r="ER509">
        <f>IF(ISBLANK('Data Entry'!$Ô$509), "", 'Data Entry'!$Ô$509)</f>
      </c>
      <c r="ES509">
        <f>IF(ISBLANK('Data Entry'!$Õ$509), "", 'Data Entry'!$Õ$509)</f>
      </c>
      <c r="ET509">
        <f>IF(ISBLANK('Data Entry'!$Ö$509), "", 'Data Entry'!$Ö$509)</f>
      </c>
      <c r="EU509">
        <f>IF(ISBLANK('Data Entry'!$×$509), "", 'Data Entry'!$×$509)</f>
      </c>
      <c r="EV509">
        <f>IF(ISBLANK('Data Entry'!$Ø$509), "", 'Data Entry'!$Ø$509)</f>
      </c>
      <c r="EW509">
        <f>IF(ISBLANK('Data Entry'!$Ù$509), "", 'Data Entry'!$Ù$509)</f>
      </c>
      <c r="EX509">
        <f>IF(ISBLANK('Data Entry'!$Ú$509), "", 'Data Entry'!$Ú$509)</f>
      </c>
      <c r="EY509">
        <f>IF(ISBLANK('Data Entry'!$Û$509), "", 'Data Entry'!$Û$509)</f>
      </c>
      <c r="EZ509">
        <f>IF(ISBLANK('Data Entry'!$Ü$509), "", 'Data Entry'!$Ü$509)</f>
      </c>
      <c r="FA509">
        <f>IF(ISBLANK('Data Entry'!$Ý$509), "", 'Data Entry'!$Ý$509)</f>
      </c>
      <c r="FB509">
        <f>IF(ISBLANK('Data Entry'!$Þ$509), "", 'Data Entry'!$Þ$509)</f>
      </c>
      <c r="FC509">
        <f>IF(ISBLANK('Data Entry'!$ß$509), "", 'Data Entry'!$ß$509)</f>
      </c>
      <c r="FD509">
        <f>IF(ISBLANK('Data Entry'!$à$509), "", 'Data Entry'!$à$509)</f>
      </c>
      <c r="FE509">
        <f>IF(ISBLANK('Data Entry'!$á$509), "", 'Data Entry'!$á$509)</f>
      </c>
      <c r="FF509">
        <f>IF(ISBLANK('Data Entry'!$â$509), "", 'Data Entry'!$â$509)</f>
      </c>
      <c r="FG509">
        <f>IF(ISBLANK('Data Entry'!$ã$509), "", 'Data Entry'!$ã$509)</f>
      </c>
      <c r="FH509">
        <f>IF(ISBLANK('Data Entry'!$ä$509), "", 'Data Entry'!$ä$509)</f>
      </c>
      <c r="FI509">
        <f>IF(ISBLANK('Data Entry'!$å$509), "", 'Data Entry'!$å$509)</f>
      </c>
      <c r="FJ509">
        <f>IF(ISBLANK('Data Entry'!$æ$509), "", 'Data Entry'!$æ$509)</f>
      </c>
      <c r="FK509">
        <f>IF(ISBLANK('Data Entry'!$ç$509), "", 'Data Entry'!$ç$509)</f>
      </c>
      <c r="FL509">
        <f>IF(ISBLANK('Data Entry'!$è$509), "", 'Data Entry'!$è$509)</f>
      </c>
      <c r="FM509">
        <f>IF(ISBLANK('Data Entry'!$é$509), "", 'Data Entry'!$é$509)</f>
      </c>
      <c r="FN509">
        <f>IF(ISBLANK('Data Entry'!$ê$509), "", 'Data Entry'!$ê$509)</f>
      </c>
      <c r="FO509">
        <f>IF(ISBLANK('Data Entry'!$ë$509), "", 'Data Entry'!$ë$509)</f>
      </c>
      <c r="FP509">
        <f>IF(ISBLANK('Data Entry'!$ì$509), "", 'Data Entry'!$ì$509)</f>
      </c>
      <c r="FQ509">
        <f>IF(ISBLANK('Data Entry'!$í$509), "", 'Data Entry'!$í$509)</f>
      </c>
      <c r="FR509">
        <f>IF(ISBLANK('Data Entry'!$î$509), "", 'Data Entry'!$î$509)</f>
      </c>
      <c r="FS509">
        <f>IF(ISBLANK('Data Entry'!$ï$509), "", 'Data Entry'!$ï$509)</f>
      </c>
      <c r="FT509">
        <f>IF(ISBLANK('Data Entry'!$ð$509), "", 'Data Entry'!$ð$509)</f>
      </c>
      <c r="FU509">
        <f>IF(ISBLANK('Data Entry'!$ñ$509), "", 'Data Entry'!$ñ$509)</f>
      </c>
      <c r="FV509">
        <f>IF(ISBLANK('Data Entry'!$ò$509), "", 'Data Entry'!$ò$509)</f>
      </c>
      <c r="FW509">
        <f>IF(ISBLANK('Data Entry'!$ó$509), "", 'Data Entry'!$ó$509)</f>
      </c>
      <c r="FX509">
        <f>IF(ISBLANK('Data Entry'!$ô$509), "", 'Data Entry'!$ô$509)</f>
      </c>
      <c r="FY509">
        <f>IF(ISBLANK('Data Entry'!$õ$509), "", 'Data Entry'!$õ$509)</f>
      </c>
      <c r="FZ509">
        <f>IF(ISBLANK('Data Entry'!$ö$509), "", 'Data Entry'!$ö$509)</f>
      </c>
      <c r="GA509">
        <f>IF(ISBLANK('Data Entry'!$÷$509), "", 'Data Entry'!$÷$509)</f>
      </c>
      <c r="GB509">
        <f>IF(ISBLANK('Data Entry'!$ø$509), "", 'Data Entry'!$ø$509)</f>
      </c>
      <c r="GC509">
        <f>IF(ISBLANK('Data Entry'!$ù$509), "", 'Data Entry'!$ù$509)</f>
      </c>
      <c r="GD509">
        <f>IF(ISBLANK('Data Entry'!$ú$509), "", 'Data Entry'!$ú$509)</f>
      </c>
      <c r="GE509">
        <f>IF(ISBLANK('Data Entry'!$û$509), "", 'Data Entry'!$û$509)</f>
      </c>
      <c r="GF509">
        <f>IF(ISBLANK('Data Entry'!$ü$509), "", 'Data Entry'!$ü$509)</f>
      </c>
      <c r="GG509">
        <f>IF(ISBLANK('Data Entry'!$ý$509), "", 'Data Entry'!$ý$509)</f>
      </c>
      <c r="GH509">
        <f>IF(ISBLANK('Data Entry'!$þ$509), "", 'Data Entry'!$þ$509)</f>
      </c>
      <c r="GI509">
        <f>IF(ISBLANK('Data Entry'!$ÿ$509), "", 'Data Entry'!$ÿ$509)</f>
      </c>
      <c r="GJ509">
        <f>IF(ISBLANK('Data Entry'!$Ā$509), "", 'Data Entry'!$Ā$509)</f>
      </c>
      <c r="GK509">
        <f>IF(ISBLANK('Data Entry'!$ā$509), "", 'Data Entry'!$ā$509)</f>
      </c>
      <c r="GL509">
        <f>IF(ISBLANK('Data Entry'!$Ă$509), "", 'Data Entry'!$Ă$509)</f>
      </c>
      <c r="GM509">
        <f>IF(ISBLANK('Data Entry'!$ă$509), "", 'Data Entry'!$ă$509)</f>
      </c>
      <c r="GN509">
        <f>IF(ISBLANK('Data Entry'!$Ą$509), "", 'Data Entry'!$Ą$509)</f>
      </c>
      <c r="GO509">
        <f>IF(ISBLANK('Data Entry'!$ą$509), "", 'Data Entry'!$ą$509)</f>
      </c>
      <c r="GP509">
        <f>IF(ISBLANK('Data Entry'!$Ć$509), "", 'Data Entry'!$Ć$509)</f>
      </c>
      <c r="GQ509">
        <f>IF(ISBLANK('Data Entry'!$ć$509), "", 'Data Entry'!$ć$509)</f>
      </c>
      <c r="GR509">
        <f>IF(ISBLANK('Data Entry'!$Ĉ$509), "", 'Data Entry'!$Ĉ$509)</f>
      </c>
      <c r="GS509">
        <f>IF(ISBLANK('Data Entry'!$ĉ$509), "", 'Data Entry'!$ĉ$509)</f>
      </c>
      <c r="GT509">
        <f>IF(ISBLANK('Data Entry'!$Ċ$509), "", 'Data Entry'!$Ċ$509)</f>
      </c>
      <c r="GU509">
        <f>IF(ISBLANK('Data Entry'!$ċ$509), "", 'Data Entry'!$ċ$509)</f>
      </c>
      <c r="GV509">
        <f>IF(ISBLANK('Data Entry'!$Č$509), "", 'Data Entry'!$Č$509)</f>
      </c>
      <c r="GW509">
        <f>IF(ISBLANK('Data Entry'!$č$509), "", 'Data Entry'!$č$509)</f>
      </c>
      <c r="GX509">
        <f>IF(ISBLANK('Data Entry'!$Ď$509), "", 'Data Entry'!$Ď$509)</f>
      </c>
      <c r="GY509">
        <f>IF(ISBLANK('Data Entry'!$ď$509), "", 'Data Entry'!$ď$509)</f>
      </c>
      <c r="GZ509">
        <f>IF(ISBLANK('Data Entry'!$Đ$509), "", 'Data Entry'!$Đ$509)</f>
      </c>
      <c r="HA509">
        <f>IF(ISBLANK('Data Entry'!$đ$509), "", 'Data Entry'!$đ$509)</f>
      </c>
      <c r="HB509">
        <f>IF(ISBLANK('Data Entry'!$Ē$509), "", 'Data Entry'!$Ē$509)</f>
      </c>
      <c r="HC509">
        <f>IF(ISBLANK('Data Entry'!$ē$509), "", 'Data Entry'!$ē$509)</f>
      </c>
      <c r="HD509">
        <f>IF(ISBLANK('Data Entry'!$Ĕ$509), "", 'Data Entry'!$Ĕ$509)</f>
      </c>
      <c r="HE509">
        <f>IF(ISBLANK('Data Entry'!$ĕ$509), "", 'Data Entry'!$ĕ$509)</f>
      </c>
      <c r="HF509">
        <f>IF(ISBLANK('Data Entry'!$Ė$509), "", 'Data Entry'!$Ė$509)</f>
      </c>
      <c r="HG509">
        <f>IF(ISBLANK('Data Entry'!$ė$509), "", 'Data Entry'!$ė$509)</f>
      </c>
      <c r="HH509">
        <f>IF(ISBLANK('Data Entry'!$Ę$509), "", 'Data Entry'!$Ę$509)</f>
      </c>
      <c r="HI509">
        <f>IF(ISBLANK('Data Entry'!$ę$509), "", 'Data Entry'!$ę$509)</f>
      </c>
      <c r="HJ509">
        <f>IF(ISBLANK('Data Entry'!$Ě$509), "", 'Data Entry'!$Ě$509)</f>
      </c>
      <c r="HK509">
        <f>IF(ISBLANK('Data Entry'!$ě$509), "", 'Data Entry'!$ě$509)</f>
      </c>
      <c r="HL509">
        <f>IF(ISBLANK('Data Entry'!$Ĝ$509), "", 'Data Entry'!$Ĝ$509)</f>
      </c>
      <c r="HM509">
        <f>IF(ISBLANK('Data Entry'!$ĝ$509), "", 'Data Entry'!$ĝ$509)</f>
      </c>
      <c r="HN509">
        <f>IF(ISBLANK('Data Entry'!$Ğ$509), "", 'Data Entry'!$Ğ$509)</f>
      </c>
      <c r="HO509">
        <f>IF(ISBLANK('Data Entry'!$ğ$509), "", 'Data Entry'!$ğ$509)</f>
      </c>
      <c r="HP509">
        <f>IF(ISBLANK('Data Entry'!$Ġ$509), "", 'Data Entry'!$Ġ$509)</f>
      </c>
      <c r="HQ509">
        <f>IF(ISBLANK('Data Entry'!$ġ$509), "", 'Data Entry'!$ġ$509)</f>
      </c>
      <c r="HR509">
        <f>IF(ISBLANK('Data Entry'!$Ģ$509), "", 'Data Entry'!$Ģ$509)</f>
      </c>
      <c r="HS509">
        <f>IF(ISBLANK('Data Entry'!$ģ$509), "", 'Data Entry'!$ģ$509)</f>
      </c>
      <c r="HT509">
        <f>IF(ISBLANK('Data Entry'!$Ĥ$509), "", 'Data Entry'!$Ĥ$509)</f>
      </c>
      <c r="HU509">
        <f>IF(ISBLANK('Data Entry'!$ĥ$509), "", 'Data Entry'!$ĥ$509)</f>
      </c>
      <c r="HV509">
        <f>IF(ISBLANK('Data Entry'!$Ħ$509), "", 'Data Entry'!$Ħ$509)</f>
      </c>
      <c r="HW509">
        <f>IF(ISBLANK('Data Entry'!$ħ$509), "", 'Data Entry'!$ħ$509)</f>
      </c>
      <c r="HX509">
        <f>IF(ISBLANK('Data Entry'!$Ĩ$509), "", 'Data Entry'!$Ĩ$509)</f>
      </c>
      <c r="HY509">
        <f>IF(ISBLANK('Data Entry'!$ĩ$509), "", 'Data Entry'!$ĩ$509)</f>
      </c>
      <c r="HZ509">
        <f>IF(ISBLANK('Data Entry'!$Ī$509), "", 'Data Entry'!$Ī$509)</f>
      </c>
      <c r="IA509">
        <f>IF(ISBLANK('Data Entry'!$ī$509), "", 'Data Entry'!$ī$509)</f>
      </c>
      <c r="IB509">
        <f>IF(ISBLANK('Data Entry'!$Ĭ$509), "", 'Data Entry'!$Ĭ$509)</f>
      </c>
      <c r="IC509">
        <f>IF(ISBLANK('Data Entry'!$ĭ$509), "", 'Data Entry'!$ĭ$509)</f>
      </c>
      <c r="ID509">
        <f>IF(ISBLANK('Data Entry'!$Į$509), "", 'Data Entry'!$Į$509)</f>
      </c>
      <c r="IE509">
        <f>IF(ISBLANK('Data Entry'!$į$509), "", 'Data Entry'!$į$509)</f>
      </c>
      <c r="IF509">
        <f>IF(ISBLANK('Data Entry'!$İ$509), "", 'Data Entry'!$İ$509)</f>
      </c>
      <c r="IG509">
        <f>IF(ISBLANK('Data Entry'!$ı$509), "", 'Data Entry'!$ı$509)</f>
      </c>
      <c r="IH509">
        <f>IF(ISBLANK('Data Entry'!$Ĳ$509), "", 'Data Entry'!$Ĳ$509)</f>
      </c>
      <c r="II509">
        <f>IF(ISBLANK('Data Entry'!$ĳ$509), "", 'Data Entry'!$ĳ$509)</f>
      </c>
      <c r="IJ509">
        <f>IF(ISBLANK('Data Entry'!$Ĵ$509), "", 'Data Entry'!$Ĵ$509)</f>
      </c>
      <c r="IK509">
        <f>IF(ISBLANK('Data Entry'!$ĵ$509), "", 'Data Entry'!$ĵ$509)</f>
      </c>
      <c r="IL509">
        <f>IF(ISBLANK('Data Entry'!$Ķ$509), "", 'Data Entry'!$Ķ$509)</f>
      </c>
      <c r="IM509">
        <f>IF(ISBLANK('Data Entry'!$ķ$509), "", 'Data Entry'!$ķ$509)</f>
      </c>
      <c r="IN509">
        <f>IF(ISBLANK('Data Entry'!$ĸ$509), "", 'Data Entry'!$ĸ$509)</f>
      </c>
      <c r="IO509">
        <f>IF(ISBLANK('Data Entry'!$Ĺ$509), "", 'Data Entry'!$Ĺ$509)</f>
      </c>
      <c r="IP509">
        <f>IF(ISBLANK('Data Entry'!$ĺ$509), "", 'Data Entry'!$ĺ$509)</f>
      </c>
      <c r="IQ509">
        <f>IF(ISBLANK('Data Entry'!$Ļ$509), "", 'Data Entry'!$Ļ$509)</f>
      </c>
      <c r="IR509">
        <f>IF(ISBLANK('Data Entry'!$ļ$509), "", 'Data Entry'!$ļ$509)</f>
      </c>
      <c r="IS509">
        <f>IF(ISBLANK('Data Entry'!$Ľ$509), "", 'Data Entry'!$Ľ$509)</f>
      </c>
      <c r="IT509">
        <f>IF(ISBLANK('Data Entry'!$ľ$509), "", 'Data Entry'!$ľ$509)</f>
      </c>
    </row>
    <row r="510" spans="1:254" x14ac:dyDescent="0.25">
      <c r="A510">
        <f>IF(ISBLANK('Data Entry'!$A$510), "", 'Data Entry'!$A$510)</f>
      </c>
      <c r="B510">
        <f>IF(ISBLANK('Data Entry'!$B$510), "", 'Data Entry'!$B$510)</f>
      </c>
      <c r="C510">
        <f>IF(ISBLANK('Data Entry'!$C$510), "", 'Data Entry'!$C$510)</f>
      </c>
      <c r="D510">
        <f>IF(ISBLANK('Data Entry'!$D$510), "", 'Data Entry'!$D$510)</f>
      </c>
      <c r="E510">
        <f>IF(ISBLANK('Data Entry'!$E$510), "", 'Data Entry'!$E$510)</f>
      </c>
      <c r="F510">
        <f>IF(ISBLANK('Data Entry'!$F$510), "", 'Data Entry'!$F$510)</f>
      </c>
      <c r="G510">
        <f>IF(ISBLANK('Data Entry'!$G$510), "", 'Data Entry'!$G$510)</f>
      </c>
      <c r="H510">
        <f>IF(ISBLANK('Data Entry'!$H$510), "", 'Data Entry'!$H$510)</f>
      </c>
      <c r="I510">
        <f>IF(ISBLANK('Data Entry'!$I$510), "", 'Data Entry'!$I$510)</f>
      </c>
      <c r="J510">
        <f>IF(ISBLANK('Data Entry'!$J$510), "", 'Data Entry'!$J$510)</f>
      </c>
      <c r="K510">
        <f>IF(ISBLANK('Data Entry'!$K$510), "", 'Data Entry'!$K$510)</f>
      </c>
      <c r="L510">
        <f>IF(ISBLANK('Data Entry'!$L$510), "", 'Data Entry'!$L$510)</f>
      </c>
      <c r="M510">
        <f>IF(ISBLANK('Data Entry'!$M$510), "", 'Data Entry'!$M$510)</f>
      </c>
      <c r="N510">
        <f>IF(ISBLANK('Data Entry'!$N$510), "", 'Data Entry'!$N$510)</f>
      </c>
      <c r="O510">
        <f>IF(ISBLANK('Data Entry'!$O$510), "", 'Data Entry'!$O$510)</f>
      </c>
      <c r="P510">
        <f>IF(ISBLANK('Data Entry'!$P$510), "", 'Data Entry'!$P$510)</f>
      </c>
      <c r="Q510">
        <f>IF(ISBLANK('Data Entry'!$Q$510), "", 'Data Entry'!$Q$510)</f>
      </c>
      <c r="R510">
        <f>IF(ISBLANK('Data Entry'!$R$510), "", 'Data Entry'!$R$510)</f>
      </c>
      <c r="S510">
        <f>IF(ISBLANK('Data Entry'!$S$510), "", 'Data Entry'!$S$510)</f>
      </c>
      <c r="T510">
        <f>IF(ISBLANK('Data Entry'!$T$510), "", 'Data Entry'!$T$510)</f>
      </c>
      <c r="U510">
        <f>IF(ISBLANK('Data Entry'!$U$510), "", 'Data Entry'!$U$510)</f>
      </c>
      <c r="V510">
        <f>IF(ISBLANK('Data Entry'!$V$510), "", 'Data Entry'!$V$510)</f>
      </c>
      <c r="W510">
        <f>IF(ISBLANK('Data Entry'!$W$510), "", 'Data Entry'!$W$510)</f>
      </c>
      <c r="X510">
        <f>IF(ISBLANK('Data Entry'!$X$510), "", 'Data Entry'!$X$510)</f>
      </c>
      <c r="Y510">
        <f>IF(ISBLANK('Data Entry'!$Y$510), "", 'Data Entry'!$Y$510)</f>
      </c>
      <c r="Z510">
        <f>IF(ISBLANK('Data Entry'!$Z$510), "", 'Data Entry'!$Z$510)</f>
      </c>
      <c r="AA510">
        <f>IF(ISBLANK('Data Entry'!$[$510), "", 'Data Entry'!$[$510)</f>
      </c>
      <c r="AB510">
        <f>IF(ISBLANK('Data Entry'!$\$510), "", 'Data Entry'!$\$510)</f>
      </c>
      <c r="AC510">
        <f>IF(ISBLANK('Data Entry'!$]$510), "", 'Data Entry'!$]$510)</f>
      </c>
      <c r="AD510">
        <f>IF(ISBLANK('Data Entry'!$^$510), "", 'Data Entry'!$^$510)</f>
      </c>
      <c r="AE510">
        <f>IF(ISBLANK('Data Entry'!$_$510), "", 'Data Entry'!$_$510)</f>
      </c>
      <c r="AF510">
        <f>IF(ISBLANK('Data Entry'!$`$510), "", 'Data Entry'!$`$510)</f>
      </c>
      <c r="AG510">
        <f>IF(ISBLANK('Data Entry'!$a$510), "", 'Data Entry'!$a$510)</f>
      </c>
      <c r="AH510">
        <f>IF(ISBLANK('Data Entry'!$b$510), "", 'Data Entry'!$b$510)</f>
      </c>
      <c r="AI510">
        <f>IF(ISBLANK('Data Entry'!$c$510), "", 'Data Entry'!$c$510)</f>
      </c>
      <c r="AJ510">
        <f>IF(ISBLANK('Data Entry'!$d$510), "", 'Data Entry'!$d$510)</f>
      </c>
      <c r="AK510">
        <f>IF(ISBLANK('Data Entry'!$e$510), "", 'Data Entry'!$e$510)</f>
      </c>
      <c r="AL510">
        <f>IF(ISBLANK('Data Entry'!$f$510), "", 'Data Entry'!$f$510)</f>
      </c>
      <c r="AM510">
        <f>IF(ISBLANK('Data Entry'!$g$510), "", 'Data Entry'!$g$510)</f>
      </c>
      <c r="AN510">
        <f>IF(ISBLANK('Data Entry'!$h$510), "", 'Data Entry'!$h$510)</f>
      </c>
      <c r="AO510">
        <f>IF(ISBLANK('Data Entry'!$i$510), "", 'Data Entry'!$i$510)</f>
      </c>
      <c r="AP510">
        <f>IF(ISBLANK('Data Entry'!$j$510), "", 'Data Entry'!$j$510)</f>
      </c>
      <c r="AQ510">
        <f>IF(ISBLANK('Data Entry'!$k$510), "", 'Data Entry'!$k$510)</f>
      </c>
      <c r="AR510">
        <f>IF(ISBLANK('Data Entry'!$l$510), "", 'Data Entry'!$l$510)</f>
      </c>
      <c r="AS510">
        <f>IF(ISBLANK('Data Entry'!$m$510), "", 'Data Entry'!$m$510)</f>
      </c>
      <c r="AT510">
        <f>IF(ISBLANK('Data Entry'!$n$510), "", 'Data Entry'!$n$510)</f>
      </c>
      <c r="AU510">
        <f>IF(ISBLANK('Data Entry'!$o$510), "", 'Data Entry'!$o$510)</f>
      </c>
      <c r="AV510">
        <f>IF(ISBLANK('Data Entry'!$p$510), "", 'Data Entry'!$p$510)</f>
      </c>
      <c r="AW510">
        <f>IF(ISBLANK('Data Entry'!$q$510), "", 'Data Entry'!$q$510)</f>
      </c>
      <c r="AX510">
        <f>IF(ISBLANK('Data Entry'!$r$510), "", 'Data Entry'!$r$510)</f>
      </c>
      <c r="AY510">
        <f>IF(ISBLANK('Data Entry'!$s$510), "", 'Data Entry'!$s$510)</f>
      </c>
      <c r="AZ510">
        <f>IF(ISBLANK('Data Entry'!$t$510), "", 'Data Entry'!$t$510)</f>
      </c>
      <c r="BA510">
        <f>IF(ISBLANK('Data Entry'!$u$510), "", 'Data Entry'!$u$510)</f>
      </c>
      <c r="BB510">
        <f>IF(ISBLANK('Data Entry'!$v$510), "", 'Data Entry'!$v$510)</f>
      </c>
      <c r="BC510">
        <f>IF(ISBLANK('Data Entry'!$w$510), "", 'Data Entry'!$w$510)</f>
      </c>
      <c r="BD510">
        <f>IF(ISBLANK('Data Entry'!$x$510), "", 'Data Entry'!$x$510)</f>
      </c>
      <c r="BE510">
        <f>IF(ISBLANK('Data Entry'!$y$510), "", 'Data Entry'!$y$510)</f>
      </c>
      <c r="BF510">
        <f>IF(ISBLANK('Data Entry'!$z$510), "", 'Data Entry'!$z$510)</f>
      </c>
      <c r="BG510">
        <f>IF(ISBLANK('Data Entry'!${$510), "", 'Data Entry'!${$510)</f>
      </c>
      <c r="BH510">
        <f>IF(ISBLANK('Data Entry'!$|$510), "", 'Data Entry'!$|$510)</f>
      </c>
      <c r="BI510">
        <f>IF(ISBLANK('Data Entry'!$}$510), "", 'Data Entry'!$}$510)</f>
      </c>
      <c r="BJ510">
        <f>IF(ISBLANK('Data Entry'!$~$510), "", 'Data Entry'!$~$510)</f>
      </c>
      <c r="BK510">
        <f>IF(ISBLANK('Data Entry'!$$510), "", 'Data Entry'!$$510)</f>
      </c>
      <c r="BL510">
        <f>IF(ISBLANK('Data Entry'!$$510), "", 'Data Entry'!$$510)</f>
      </c>
      <c r="BM510">
        <f>IF(ISBLANK('Data Entry'!$$510), "", 'Data Entry'!$$510)</f>
      </c>
      <c r="BN510">
        <f>IF(ISBLANK('Data Entry'!$$510), "", 'Data Entry'!$$510)</f>
      </c>
      <c r="BO510">
        <f>IF(ISBLANK('Data Entry'!$$510), "", 'Data Entry'!$$510)</f>
      </c>
      <c r="BP510">
        <f>IF(ISBLANK('Data Entry'!$$510), "", 'Data Entry'!$$510)</f>
      </c>
      <c r="BQ510">
        <f>IF(ISBLANK('Data Entry'!$$510), "", 'Data Entry'!$$510)</f>
      </c>
      <c r="BR510">
        <f>IF(ISBLANK('Data Entry'!$$510), "", 'Data Entry'!$$510)</f>
      </c>
      <c r="BS510">
        <f>IF(ISBLANK('Data Entry'!$$510), "", 'Data Entry'!$$510)</f>
      </c>
      <c r="BT510">
        <f>IF(ISBLANK('Data Entry'!$$510), "", 'Data Entry'!$$510)</f>
      </c>
      <c r="BU510">
        <f>IF(ISBLANK('Data Entry'!$$510), "", 'Data Entry'!$$510)</f>
      </c>
      <c r="BV510">
        <f>IF(ISBLANK('Data Entry'!$$510), "", 'Data Entry'!$$510)</f>
      </c>
      <c r="BW510">
        <f>IF(ISBLANK('Data Entry'!$$510), "", 'Data Entry'!$$510)</f>
      </c>
      <c r="BX510">
        <f>IF(ISBLANK('Data Entry'!$$510), "", 'Data Entry'!$$510)</f>
      </c>
      <c r="BY510">
        <f>IF(ISBLANK('Data Entry'!$$510), "", 'Data Entry'!$$510)</f>
      </c>
      <c r="BZ510">
        <f>IF(ISBLANK('Data Entry'!$$510), "", 'Data Entry'!$$510)</f>
      </c>
      <c r="CA510">
        <f>IF(ISBLANK('Data Entry'!$$510), "", 'Data Entry'!$$510)</f>
      </c>
      <c r="CB510">
        <f>IF(ISBLANK('Data Entry'!$$510), "", 'Data Entry'!$$510)</f>
      </c>
      <c r="CC510">
        <f>IF(ISBLANK('Data Entry'!$$510), "", 'Data Entry'!$$510)</f>
      </c>
      <c r="CD510">
        <f>IF(ISBLANK('Data Entry'!$$510), "", 'Data Entry'!$$510)</f>
      </c>
      <c r="CE510">
        <f>IF(ISBLANK('Data Entry'!$$510), "", 'Data Entry'!$$510)</f>
      </c>
      <c r="CF510">
        <f>IF(ISBLANK('Data Entry'!$$510), "", 'Data Entry'!$$510)</f>
      </c>
      <c r="CG510">
        <f>IF(ISBLANK('Data Entry'!$$510), "", 'Data Entry'!$$510)</f>
      </c>
      <c r="CH510">
        <f>IF(ISBLANK('Data Entry'!$$510), "", 'Data Entry'!$$510)</f>
      </c>
      <c r="CI510">
        <f>IF(ISBLANK('Data Entry'!$$510), "", 'Data Entry'!$$510)</f>
      </c>
      <c r="CJ510">
        <f>IF(ISBLANK('Data Entry'!$$510), "", 'Data Entry'!$$510)</f>
      </c>
      <c r="CK510">
        <f>IF(ISBLANK('Data Entry'!$$510), "", 'Data Entry'!$$510)</f>
      </c>
      <c r="CL510">
        <f>IF(ISBLANK('Data Entry'!$$510), "", 'Data Entry'!$$510)</f>
      </c>
      <c r="CM510">
        <f>IF(ISBLANK('Data Entry'!$$510), "", 'Data Entry'!$$510)</f>
      </c>
      <c r="CN510">
        <f>IF(ISBLANK('Data Entry'!$$510), "", 'Data Entry'!$$510)</f>
      </c>
      <c r="CO510">
        <f>IF(ISBLANK('Data Entry'!$$510), "", 'Data Entry'!$$510)</f>
      </c>
      <c r="CP510">
        <f>IF(ISBLANK('Data Entry'!$$510), "", 'Data Entry'!$$510)</f>
      </c>
      <c r="CQ510">
        <f>IF(ISBLANK('Data Entry'!$$510), "", 'Data Entry'!$$510)</f>
      </c>
      <c r="CR510">
        <f>IF(ISBLANK('Data Entry'!$ $510), "", 'Data Entry'!$ $510)</f>
      </c>
      <c r="CS510">
        <f>IF(ISBLANK('Data Entry'!$¡$510), "", 'Data Entry'!$¡$510)</f>
      </c>
      <c r="CT510">
        <f>IF(ISBLANK('Data Entry'!$¢$510), "", 'Data Entry'!$¢$510)</f>
      </c>
      <c r="CU510">
        <f>IF(ISBLANK('Data Entry'!$£$510), "", 'Data Entry'!$£$510)</f>
      </c>
      <c r="CV510">
        <f>IF(ISBLANK('Data Entry'!$¤$510), "", 'Data Entry'!$¤$510)</f>
      </c>
      <c r="CW510">
        <f>IF(ISBLANK('Data Entry'!$¥$510), "", 'Data Entry'!$¥$510)</f>
      </c>
      <c r="CX510">
        <f>IF(ISBLANK('Data Entry'!$¦$510), "", 'Data Entry'!$¦$510)</f>
      </c>
      <c r="CY510">
        <f>IF(ISBLANK('Data Entry'!$§$510), "", 'Data Entry'!$§$510)</f>
      </c>
      <c r="CZ510">
        <f>IF(ISBLANK('Data Entry'!$¨$510), "", 'Data Entry'!$¨$510)</f>
      </c>
      <c r="DA510">
        <f>IF(ISBLANK('Data Entry'!$©$510), "", 'Data Entry'!$©$510)</f>
      </c>
      <c r="DB510">
        <f>IF(ISBLANK('Data Entry'!$ª$510), "", 'Data Entry'!$ª$510)</f>
      </c>
      <c r="DC510">
        <f>IF(ISBLANK('Data Entry'!$«$510), "", 'Data Entry'!$«$510)</f>
      </c>
      <c r="DD510">
        <f>IF(ISBLANK('Data Entry'!$¬$510), "", 'Data Entry'!$¬$510)</f>
      </c>
      <c r="DE510">
        <f>IF(ISBLANK('Data Entry'!$­$510), "", 'Data Entry'!$­$510)</f>
      </c>
      <c r="DF510">
        <f>IF(ISBLANK('Data Entry'!$®$510), "", 'Data Entry'!$®$510)</f>
      </c>
      <c r="DG510">
        <f>IF(ISBLANK('Data Entry'!$¯$510), "", 'Data Entry'!$¯$510)</f>
      </c>
      <c r="DH510">
        <f>IF(ISBLANK('Data Entry'!$°$510), "", 'Data Entry'!$°$510)</f>
      </c>
      <c r="DI510">
        <f>IF(ISBLANK('Data Entry'!$±$510), "", 'Data Entry'!$±$510)</f>
      </c>
      <c r="DJ510">
        <f>IF(ISBLANK('Data Entry'!$²$510), "", 'Data Entry'!$²$510)</f>
      </c>
      <c r="DK510">
        <f>IF(ISBLANK('Data Entry'!$³$510), "", 'Data Entry'!$³$510)</f>
      </c>
      <c r="DL510">
        <f>IF(ISBLANK('Data Entry'!$´$510), "", 'Data Entry'!$´$510)</f>
      </c>
      <c r="DM510">
        <f>IF(ISBLANK('Data Entry'!$µ$510), "", 'Data Entry'!$µ$510)</f>
      </c>
      <c r="DN510">
        <f>IF(ISBLANK('Data Entry'!$¶$510), "", 'Data Entry'!$¶$510)</f>
      </c>
      <c r="DO510">
        <f>IF(ISBLANK('Data Entry'!$·$510), "", 'Data Entry'!$·$510)</f>
      </c>
      <c r="DP510">
        <f>IF(ISBLANK('Data Entry'!$¸$510), "", 'Data Entry'!$¸$510)</f>
      </c>
      <c r="DQ510">
        <f>IF(ISBLANK('Data Entry'!$¹$510), "", 'Data Entry'!$¹$510)</f>
      </c>
      <c r="DR510">
        <f>IF(ISBLANK('Data Entry'!$º$510), "", 'Data Entry'!$º$510)</f>
      </c>
      <c r="DS510">
        <f>IF(ISBLANK('Data Entry'!$»$510), "", 'Data Entry'!$»$510)</f>
      </c>
      <c r="DT510">
        <f>IF(ISBLANK('Data Entry'!$¼$510), "", 'Data Entry'!$¼$510)</f>
      </c>
      <c r="DU510">
        <f>IF(ISBLANK('Data Entry'!$½$510), "", 'Data Entry'!$½$510)</f>
      </c>
      <c r="DV510">
        <f>IF(ISBLANK('Data Entry'!$¾$510), "", 'Data Entry'!$¾$510)</f>
      </c>
      <c r="DW510">
        <f>IF(ISBLANK('Data Entry'!$¿$510), "", 'Data Entry'!$¿$510)</f>
      </c>
      <c r="DX510">
        <f>IF(ISBLANK('Data Entry'!$À$510), "", 'Data Entry'!$À$510)</f>
      </c>
      <c r="DY510">
        <f>IF(ISBLANK('Data Entry'!$Á$510), "", 'Data Entry'!$Á$510)</f>
      </c>
      <c r="DZ510">
        <f>IF(ISBLANK('Data Entry'!$Â$510), "", 'Data Entry'!$Â$510)</f>
      </c>
      <c r="EA510">
        <f>IF(ISBLANK('Data Entry'!$Ã$510), "", 'Data Entry'!$Ã$510)</f>
      </c>
      <c r="EB510">
        <f>IF(ISBLANK('Data Entry'!$Ä$510), "", 'Data Entry'!$Ä$510)</f>
      </c>
      <c r="EC510">
        <f>IF(ISBLANK('Data Entry'!$Å$510), "", 'Data Entry'!$Å$510)</f>
      </c>
      <c r="ED510">
        <f>IF(ISBLANK('Data Entry'!$Æ$510), "", 'Data Entry'!$Æ$510)</f>
      </c>
      <c r="EE510">
        <f>IF(ISBLANK('Data Entry'!$Ç$510), "", 'Data Entry'!$Ç$510)</f>
      </c>
      <c r="EF510">
        <f>IF(ISBLANK('Data Entry'!$È$510), "", 'Data Entry'!$È$510)</f>
      </c>
      <c r="EG510">
        <f>IF(ISBLANK('Data Entry'!$É$510), "", 'Data Entry'!$É$510)</f>
      </c>
      <c r="EH510">
        <f>IF(ISBLANK('Data Entry'!$Ê$510), "", 'Data Entry'!$Ê$510)</f>
      </c>
      <c r="EI510">
        <f>IF(ISBLANK('Data Entry'!$Ë$510), "", 'Data Entry'!$Ë$510)</f>
      </c>
      <c r="EJ510">
        <f>IF(ISBLANK('Data Entry'!$Ì$510), "", 'Data Entry'!$Ì$510)</f>
      </c>
      <c r="EK510">
        <f>IF(ISBLANK('Data Entry'!$Í$510), "", 'Data Entry'!$Í$510)</f>
      </c>
      <c r="EL510">
        <f>IF(ISBLANK('Data Entry'!$Î$510), "", 'Data Entry'!$Î$510)</f>
      </c>
      <c r="EM510">
        <f>IF(ISBLANK('Data Entry'!$Ï$510), "", 'Data Entry'!$Ï$510)</f>
      </c>
      <c r="EN510">
        <f>IF(ISBLANK('Data Entry'!$Ð$510), "", 'Data Entry'!$Ð$510)</f>
      </c>
      <c r="EO510">
        <f>IF(ISBLANK('Data Entry'!$Ñ$510), "", 'Data Entry'!$Ñ$510)</f>
      </c>
      <c r="EP510">
        <f>IF(ISBLANK('Data Entry'!$Ò$510), "", 'Data Entry'!$Ò$510)</f>
      </c>
      <c r="EQ510">
        <f>IF(ISBLANK('Data Entry'!$Ó$510), "", 'Data Entry'!$Ó$510)</f>
      </c>
      <c r="ER510">
        <f>IF(ISBLANK('Data Entry'!$Ô$510), "", 'Data Entry'!$Ô$510)</f>
      </c>
      <c r="ES510">
        <f>IF(ISBLANK('Data Entry'!$Õ$510), "", 'Data Entry'!$Õ$510)</f>
      </c>
      <c r="ET510">
        <f>IF(ISBLANK('Data Entry'!$Ö$510), "", 'Data Entry'!$Ö$510)</f>
      </c>
      <c r="EU510">
        <f>IF(ISBLANK('Data Entry'!$×$510), "", 'Data Entry'!$×$510)</f>
      </c>
      <c r="EV510">
        <f>IF(ISBLANK('Data Entry'!$Ø$510), "", 'Data Entry'!$Ø$510)</f>
      </c>
      <c r="EW510">
        <f>IF(ISBLANK('Data Entry'!$Ù$510), "", 'Data Entry'!$Ù$510)</f>
      </c>
      <c r="EX510">
        <f>IF(ISBLANK('Data Entry'!$Ú$510), "", 'Data Entry'!$Ú$510)</f>
      </c>
      <c r="EY510">
        <f>IF(ISBLANK('Data Entry'!$Û$510), "", 'Data Entry'!$Û$510)</f>
      </c>
      <c r="EZ510">
        <f>IF(ISBLANK('Data Entry'!$Ü$510), "", 'Data Entry'!$Ü$510)</f>
      </c>
      <c r="FA510">
        <f>IF(ISBLANK('Data Entry'!$Ý$510), "", 'Data Entry'!$Ý$510)</f>
      </c>
      <c r="FB510">
        <f>IF(ISBLANK('Data Entry'!$Þ$510), "", 'Data Entry'!$Þ$510)</f>
      </c>
      <c r="FC510">
        <f>IF(ISBLANK('Data Entry'!$ß$510), "", 'Data Entry'!$ß$510)</f>
      </c>
      <c r="FD510">
        <f>IF(ISBLANK('Data Entry'!$à$510), "", 'Data Entry'!$à$510)</f>
      </c>
      <c r="FE510">
        <f>IF(ISBLANK('Data Entry'!$á$510), "", 'Data Entry'!$á$510)</f>
      </c>
      <c r="FF510">
        <f>IF(ISBLANK('Data Entry'!$â$510), "", 'Data Entry'!$â$510)</f>
      </c>
      <c r="FG510">
        <f>IF(ISBLANK('Data Entry'!$ã$510), "", 'Data Entry'!$ã$510)</f>
      </c>
      <c r="FH510">
        <f>IF(ISBLANK('Data Entry'!$ä$510), "", 'Data Entry'!$ä$510)</f>
      </c>
      <c r="FI510">
        <f>IF(ISBLANK('Data Entry'!$å$510), "", 'Data Entry'!$å$510)</f>
      </c>
      <c r="FJ510">
        <f>IF(ISBLANK('Data Entry'!$æ$510), "", 'Data Entry'!$æ$510)</f>
      </c>
      <c r="FK510">
        <f>IF(ISBLANK('Data Entry'!$ç$510), "", 'Data Entry'!$ç$510)</f>
      </c>
      <c r="FL510">
        <f>IF(ISBLANK('Data Entry'!$è$510), "", 'Data Entry'!$è$510)</f>
      </c>
      <c r="FM510">
        <f>IF(ISBLANK('Data Entry'!$é$510), "", 'Data Entry'!$é$510)</f>
      </c>
      <c r="FN510">
        <f>IF(ISBLANK('Data Entry'!$ê$510), "", 'Data Entry'!$ê$510)</f>
      </c>
      <c r="FO510">
        <f>IF(ISBLANK('Data Entry'!$ë$510), "", 'Data Entry'!$ë$510)</f>
      </c>
      <c r="FP510">
        <f>IF(ISBLANK('Data Entry'!$ì$510), "", 'Data Entry'!$ì$510)</f>
      </c>
      <c r="FQ510">
        <f>IF(ISBLANK('Data Entry'!$í$510), "", 'Data Entry'!$í$510)</f>
      </c>
      <c r="FR510">
        <f>IF(ISBLANK('Data Entry'!$î$510), "", 'Data Entry'!$î$510)</f>
      </c>
      <c r="FS510">
        <f>IF(ISBLANK('Data Entry'!$ï$510), "", 'Data Entry'!$ï$510)</f>
      </c>
      <c r="FT510">
        <f>IF(ISBLANK('Data Entry'!$ð$510), "", 'Data Entry'!$ð$510)</f>
      </c>
      <c r="FU510">
        <f>IF(ISBLANK('Data Entry'!$ñ$510), "", 'Data Entry'!$ñ$510)</f>
      </c>
      <c r="FV510">
        <f>IF(ISBLANK('Data Entry'!$ò$510), "", 'Data Entry'!$ò$510)</f>
      </c>
      <c r="FW510">
        <f>IF(ISBLANK('Data Entry'!$ó$510), "", 'Data Entry'!$ó$510)</f>
      </c>
      <c r="FX510">
        <f>IF(ISBLANK('Data Entry'!$ô$510), "", 'Data Entry'!$ô$510)</f>
      </c>
      <c r="FY510">
        <f>IF(ISBLANK('Data Entry'!$õ$510), "", 'Data Entry'!$õ$510)</f>
      </c>
      <c r="FZ510">
        <f>IF(ISBLANK('Data Entry'!$ö$510), "", 'Data Entry'!$ö$510)</f>
      </c>
      <c r="GA510">
        <f>IF(ISBLANK('Data Entry'!$÷$510), "", 'Data Entry'!$÷$510)</f>
      </c>
      <c r="GB510">
        <f>IF(ISBLANK('Data Entry'!$ø$510), "", 'Data Entry'!$ø$510)</f>
      </c>
      <c r="GC510">
        <f>IF(ISBLANK('Data Entry'!$ù$510), "", 'Data Entry'!$ù$510)</f>
      </c>
      <c r="GD510">
        <f>IF(ISBLANK('Data Entry'!$ú$510), "", 'Data Entry'!$ú$510)</f>
      </c>
      <c r="GE510">
        <f>IF(ISBLANK('Data Entry'!$û$510), "", 'Data Entry'!$û$510)</f>
      </c>
      <c r="GF510">
        <f>IF(ISBLANK('Data Entry'!$ü$510), "", 'Data Entry'!$ü$510)</f>
      </c>
      <c r="GG510">
        <f>IF(ISBLANK('Data Entry'!$ý$510), "", 'Data Entry'!$ý$510)</f>
      </c>
      <c r="GH510">
        <f>IF(ISBLANK('Data Entry'!$þ$510), "", 'Data Entry'!$þ$510)</f>
      </c>
      <c r="GI510">
        <f>IF(ISBLANK('Data Entry'!$ÿ$510), "", 'Data Entry'!$ÿ$510)</f>
      </c>
      <c r="GJ510">
        <f>IF(ISBLANK('Data Entry'!$Ā$510), "", 'Data Entry'!$Ā$510)</f>
      </c>
      <c r="GK510">
        <f>IF(ISBLANK('Data Entry'!$ā$510), "", 'Data Entry'!$ā$510)</f>
      </c>
      <c r="GL510">
        <f>IF(ISBLANK('Data Entry'!$Ă$510), "", 'Data Entry'!$Ă$510)</f>
      </c>
      <c r="GM510">
        <f>IF(ISBLANK('Data Entry'!$ă$510), "", 'Data Entry'!$ă$510)</f>
      </c>
      <c r="GN510">
        <f>IF(ISBLANK('Data Entry'!$Ą$510), "", 'Data Entry'!$Ą$510)</f>
      </c>
      <c r="GO510">
        <f>IF(ISBLANK('Data Entry'!$ą$510), "", 'Data Entry'!$ą$510)</f>
      </c>
      <c r="GP510">
        <f>IF(ISBLANK('Data Entry'!$Ć$510), "", 'Data Entry'!$Ć$510)</f>
      </c>
      <c r="GQ510">
        <f>IF(ISBLANK('Data Entry'!$ć$510), "", 'Data Entry'!$ć$510)</f>
      </c>
      <c r="GR510">
        <f>IF(ISBLANK('Data Entry'!$Ĉ$510), "", 'Data Entry'!$Ĉ$510)</f>
      </c>
      <c r="GS510">
        <f>IF(ISBLANK('Data Entry'!$ĉ$510), "", 'Data Entry'!$ĉ$510)</f>
      </c>
      <c r="GT510">
        <f>IF(ISBLANK('Data Entry'!$Ċ$510), "", 'Data Entry'!$Ċ$510)</f>
      </c>
      <c r="GU510">
        <f>IF(ISBLANK('Data Entry'!$ċ$510), "", 'Data Entry'!$ċ$510)</f>
      </c>
      <c r="GV510">
        <f>IF(ISBLANK('Data Entry'!$Č$510), "", 'Data Entry'!$Č$510)</f>
      </c>
      <c r="GW510">
        <f>IF(ISBLANK('Data Entry'!$č$510), "", 'Data Entry'!$č$510)</f>
      </c>
      <c r="GX510">
        <f>IF(ISBLANK('Data Entry'!$Ď$510), "", 'Data Entry'!$Ď$510)</f>
      </c>
      <c r="GY510">
        <f>IF(ISBLANK('Data Entry'!$ď$510), "", 'Data Entry'!$ď$510)</f>
      </c>
      <c r="GZ510">
        <f>IF(ISBLANK('Data Entry'!$Đ$510), "", 'Data Entry'!$Đ$510)</f>
      </c>
      <c r="HA510">
        <f>IF(ISBLANK('Data Entry'!$đ$510), "", 'Data Entry'!$đ$510)</f>
      </c>
      <c r="HB510">
        <f>IF(ISBLANK('Data Entry'!$Ē$510), "", 'Data Entry'!$Ē$510)</f>
      </c>
      <c r="HC510">
        <f>IF(ISBLANK('Data Entry'!$ē$510), "", 'Data Entry'!$ē$510)</f>
      </c>
      <c r="HD510">
        <f>IF(ISBLANK('Data Entry'!$Ĕ$510), "", 'Data Entry'!$Ĕ$510)</f>
      </c>
      <c r="HE510">
        <f>IF(ISBLANK('Data Entry'!$ĕ$510), "", 'Data Entry'!$ĕ$510)</f>
      </c>
      <c r="HF510">
        <f>IF(ISBLANK('Data Entry'!$Ė$510), "", 'Data Entry'!$Ė$510)</f>
      </c>
      <c r="HG510">
        <f>IF(ISBLANK('Data Entry'!$ė$510), "", 'Data Entry'!$ė$510)</f>
      </c>
      <c r="HH510">
        <f>IF(ISBLANK('Data Entry'!$Ę$510), "", 'Data Entry'!$Ę$510)</f>
      </c>
      <c r="HI510">
        <f>IF(ISBLANK('Data Entry'!$ę$510), "", 'Data Entry'!$ę$510)</f>
      </c>
      <c r="HJ510">
        <f>IF(ISBLANK('Data Entry'!$Ě$510), "", 'Data Entry'!$Ě$510)</f>
      </c>
      <c r="HK510">
        <f>IF(ISBLANK('Data Entry'!$ě$510), "", 'Data Entry'!$ě$510)</f>
      </c>
      <c r="HL510">
        <f>IF(ISBLANK('Data Entry'!$Ĝ$510), "", 'Data Entry'!$Ĝ$510)</f>
      </c>
      <c r="HM510">
        <f>IF(ISBLANK('Data Entry'!$ĝ$510), "", 'Data Entry'!$ĝ$510)</f>
      </c>
      <c r="HN510">
        <f>IF(ISBLANK('Data Entry'!$Ğ$510), "", 'Data Entry'!$Ğ$510)</f>
      </c>
      <c r="HO510">
        <f>IF(ISBLANK('Data Entry'!$ğ$510), "", 'Data Entry'!$ğ$510)</f>
      </c>
      <c r="HP510">
        <f>IF(ISBLANK('Data Entry'!$Ġ$510), "", 'Data Entry'!$Ġ$510)</f>
      </c>
      <c r="HQ510">
        <f>IF(ISBLANK('Data Entry'!$ġ$510), "", 'Data Entry'!$ġ$510)</f>
      </c>
      <c r="HR510">
        <f>IF(ISBLANK('Data Entry'!$Ģ$510), "", 'Data Entry'!$Ģ$510)</f>
      </c>
      <c r="HS510">
        <f>IF(ISBLANK('Data Entry'!$ģ$510), "", 'Data Entry'!$ģ$510)</f>
      </c>
      <c r="HT510">
        <f>IF(ISBLANK('Data Entry'!$Ĥ$510), "", 'Data Entry'!$Ĥ$510)</f>
      </c>
      <c r="HU510">
        <f>IF(ISBLANK('Data Entry'!$ĥ$510), "", 'Data Entry'!$ĥ$510)</f>
      </c>
      <c r="HV510">
        <f>IF(ISBLANK('Data Entry'!$Ħ$510), "", 'Data Entry'!$Ħ$510)</f>
      </c>
      <c r="HW510">
        <f>IF(ISBLANK('Data Entry'!$ħ$510), "", 'Data Entry'!$ħ$510)</f>
      </c>
      <c r="HX510">
        <f>IF(ISBLANK('Data Entry'!$Ĩ$510), "", 'Data Entry'!$Ĩ$510)</f>
      </c>
      <c r="HY510">
        <f>IF(ISBLANK('Data Entry'!$ĩ$510), "", 'Data Entry'!$ĩ$510)</f>
      </c>
      <c r="HZ510">
        <f>IF(ISBLANK('Data Entry'!$Ī$510), "", 'Data Entry'!$Ī$510)</f>
      </c>
      <c r="IA510">
        <f>IF(ISBLANK('Data Entry'!$ī$510), "", 'Data Entry'!$ī$510)</f>
      </c>
      <c r="IB510">
        <f>IF(ISBLANK('Data Entry'!$Ĭ$510), "", 'Data Entry'!$Ĭ$510)</f>
      </c>
      <c r="IC510">
        <f>IF(ISBLANK('Data Entry'!$ĭ$510), "", 'Data Entry'!$ĭ$510)</f>
      </c>
      <c r="ID510">
        <f>IF(ISBLANK('Data Entry'!$Į$510), "", 'Data Entry'!$Į$510)</f>
      </c>
      <c r="IE510">
        <f>IF(ISBLANK('Data Entry'!$į$510), "", 'Data Entry'!$į$510)</f>
      </c>
      <c r="IF510">
        <f>IF(ISBLANK('Data Entry'!$İ$510), "", 'Data Entry'!$İ$510)</f>
      </c>
      <c r="IG510">
        <f>IF(ISBLANK('Data Entry'!$ı$510), "", 'Data Entry'!$ı$510)</f>
      </c>
      <c r="IH510">
        <f>IF(ISBLANK('Data Entry'!$Ĳ$510), "", 'Data Entry'!$Ĳ$510)</f>
      </c>
      <c r="II510">
        <f>IF(ISBLANK('Data Entry'!$ĳ$510), "", 'Data Entry'!$ĳ$510)</f>
      </c>
      <c r="IJ510">
        <f>IF(ISBLANK('Data Entry'!$Ĵ$510), "", 'Data Entry'!$Ĵ$510)</f>
      </c>
      <c r="IK510">
        <f>IF(ISBLANK('Data Entry'!$ĵ$510), "", 'Data Entry'!$ĵ$510)</f>
      </c>
      <c r="IL510">
        <f>IF(ISBLANK('Data Entry'!$Ķ$510), "", 'Data Entry'!$Ķ$510)</f>
      </c>
      <c r="IM510">
        <f>IF(ISBLANK('Data Entry'!$ķ$510), "", 'Data Entry'!$ķ$510)</f>
      </c>
      <c r="IN510">
        <f>IF(ISBLANK('Data Entry'!$ĸ$510), "", 'Data Entry'!$ĸ$510)</f>
      </c>
      <c r="IO510">
        <f>IF(ISBLANK('Data Entry'!$Ĺ$510), "", 'Data Entry'!$Ĺ$510)</f>
      </c>
      <c r="IP510">
        <f>IF(ISBLANK('Data Entry'!$ĺ$510), "", 'Data Entry'!$ĺ$510)</f>
      </c>
      <c r="IQ510">
        <f>IF(ISBLANK('Data Entry'!$Ļ$510), "", 'Data Entry'!$Ļ$510)</f>
      </c>
      <c r="IR510">
        <f>IF(ISBLANK('Data Entry'!$ļ$510), "", 'Data Entry'!$ļ$510)</f>
      </c>
      <c r="IS510">
        <f>IF(ISBLANK('Data Entry'!$Ľ$510), "", 'Data Entry'!$Ľ$510)</f>
      </c>
      <c r="IT510">
        <f>IF(ISBLANK('Data Entry'!$ľ$510), "", 'Data Entry'!$ľ$510)</f>
      </c>
    </row>
    <row r="511" spans="1:254" x14ac:dyDescent="0.25">
      <c r="A511">
        <f>IF(ISBLANK('Data Entry'!$A$511), "", 'Data Entry'!$A$511)</f>
      </c>
      <c r="B511">
        <f>IF(ISBLANK('Data Entry'!$B$511), "", 'Data Entry'!$B$511)</f>
      </c>
      <c r="C511">
        <f>IF(ISBLANK('Data Entry'!$C$511), "", 'Data Entry'!$C$511)</f>
      </c>
      <c r="D511">
        <f>IF(ISBLANK('Data Entry'!$D$511), "", 'Data Entry'!$D$511)</f>
      </c>
      <c r="E511">
        <f>IF(ISBLANK('Data Entry'!$E$511), "", 'Data Entry'!$E$511)</f>
      </c>
      <c r="F511">
        <f>IF(ISBLANK('Data Entry'!$F$511), "", 'Data Entry'!$F$511)</f>
      </c>
      <c r="G511">
        <f>IF(ISBLANK('Data Entry'!$G$511), "", 'Data Entry'!$G$511)</f>
      </c>
      <c r="H511">
        <f>IF(ISBLANK('Data Entry'!$H$511), "", 'Data Entry'!$H$511)</f>
      </c>
      <c r="I511">
        <f>IF(ISBLANK('Data Entry'!$I$511), "", 'Data Entry'!$I$511)</f>
      </c>
      <c r="J511">
        <f>IF(ISBLANK('Data Entry'!$J$511), "", 'Data Entry'!$J$511)</f>
      </c>
      <c r="K511">
        <f>IF(ISBLANK('Data Entry'!$K$511), "", 'Data Entry'!$K$511)</f>
      </c>
      <c r="L511">
        <f>IF(ISBLANK('Data Entry'!$L$511), "", 'Data Entry'!$L$511)</f>
      </c>
      <c r="M511">
        <f>IF(ISBLANK('Data Entry'!$M$511), "", 'Data Entry'!$M$511)</f>
      </c>
      <c r="N511">
        <f>IF(ISBLANK('Data Entry'!$N$511), "", 'Data Entry'!$N$511)</f>
      </c>
      <c r="O511">
        <f>IF(ISBLANK('Data Entry'!$O$511), "", 'Data Entry'!$O$511)</f>
      </c>
      <c r="P511">
        <f>IF(ISBLANK('Data Entry'!$P$511), "", 'Data Entry'!$P$511)</f>
      </c>
      <c r="Q511">
        <f>IF(ISBLANK('Data Entry'!$Q$511), "", 'Data Entry'!$Q$511)</f>
      </c>
      <c r="R511">
        <f>IF(ISBLANK('Data Entry'!$R$511), "", 'Data Entry'!$R$511)</f>
      </c>
      <c r="S511">
        <f>IF(ISBLANK('Data Entry'!$S$511), "", 'Data Entry'!$S$511)</f>
      </c>
      <c r="T511">
        <f>IF(ISBLANK('Data Entry'!$T$511), "", 'Data Entry'!$T$511)</f>
      </c>
      <c r="U511">
        <f>IF(ISBLANK('Data Entry'!$U$511), "", 'Data Entry'!$U$511)</f>
      </c>
      <c r="V511">
        <f>IF(ISBLANK('Data Entry'!$V$511), "", 'Data Entry'!$V$511)</f>
      </c>
      <c r="W511">
        <f>IF(ISBLANK('Data Entry'!$W$511), "", 'Data Entry'!$W$511)</f>
      </c>
      <c r="X511">
        <f>IF(ISBLANK('Data Entry'!$X$511), "", 'Data Entry'!$X$511)</f>
      </c>
      <c r="Y511">
        <f>IF(ISBLANK('Data Entry'!$Y$511), "", 'Data Entry'!$Y$511)</f>
      </c>
      <c r="Z511">
        <f>IF(ISBLANK('Data Entry'!$Z$511), "", 'Data Entry'!$Z$511)</f>
      </c>
      <c r="AA511">
        <f>IF(ISBLANK('Data Entry'!$[$511), "", 'Data Entry'!$[$511)</f>
      </c>
      <c r="AB511">
        <f>IF(ISBLANK('Data Entry'!$\$511), "", 'Data Entry'!$\$511)</f>
      </c>
      <c r="AC511">
        <f>IF(ISBLANK('Data Entry'!$]$511), "", 'Data Entry'!$]$511)</f>
      </c>
      <c r="AD511">
        <f>IF(ISBLANK('Data Entry'!$^$511), "", 'Data Entry'!$^$511)</f>
      </c>
      <c r="AE511">
        <f>IF(ISBLANK('Data Entry'!$_$511), "", 'Data Entry'!$_$511)</f>
      </c>
      <c r="AF511">
        <f>IF(ISBLANK('Data Entry'!$`$511), "", 'Data Entry'!$`$511)</f>
      </c>
      <c r="AG511">
        <f>IF(ISBLANK('Data Entry'!$a$511), "", 'Data Entry'!$a$511)</f>
      </c>
      <c r="AH511">
        <f>IF(ISBLANK('Data Entry'!$b$511), "", 'Data Entry'!$b$511)</f>
      </c>
      <c r="AI511">
        <f>IF(ISBLANK('Data Entry'!$c$511), "", 'Data Entry'!$c$511)</f>
      </c>
      <c r="AJ511">
        <f>IF(ISBLANK('Data Entry'!$d$511), "", 'Data Entry'!$d$511)</f>
      </c>
      <c r="AK511">
        <f>IF(ISBLANK('Data Entry'!$e$511), "", 'Data Entry'!$e$511)</f>
      </c>
      <c r="AL511">
        <f>IF(ISBLANK('Data Entry'!$f$511), "", 'Data Entry'!$f$511)</f>
      </c>
      <c r="AM511">
        <f>IF(ISBLANK('Data Entry'!$g$511), "", 'Data Entry'!$g$511)</f>
      </c>
      <c r="AN511">
        <f>IF(ISBLANK('Data Entry'!$h$511), "", 'Data Entry'!$h$511)</f>
      </c>
      <c r="AO511">
        <f>IF(ISBLANK('Data Entry'!$i$511), "", 'Data Entry'!$i$511)</f>
      </c>
      <c r="AP511">
        <f>IF(ISBLANK('Data Entry'!$j$511), "", 'Data Entry'!$j$511)</f>
      </c>
      <c r="AQ511">
        <f>IF(ISBLANK('Data Entry'!$k$511), "", 'Data Entry'!$k$511)</f>
      </c>
      <c r="AR511">
        <f>IF(ISBLANK('Data Entry'!$l$511), "", 'Data Entry'!$l$511)</f>
      </c>
      <c r="AS511">
        <f>IF(ISBLANK('Data Entry'!$m$511), "", 'Data Entry'!$m$511)</f>
      </c>
      <c r="AT511">
        <f>IF(ISBLANK('Data Entry'!$n$511), "", 'Data Entry'!$n$511)</f>
      </c>
      <c r="AU511">
        <f>IF(ISBLANK('Data Entry'!$o$511), "", 'Data Entry'!$o$511)</f>
      </c>
      <c r="AV511">
        <f>IF(ISBLANK('Data Entry'!$p$511), "", 'Data Entry'!$p$511)</f>
      </c>
      <c r="AW511">
        <f>IF(ISBLANK('Data Entry'!$q$511), "", 'Data Entry'!$q$511)</f>
      </c>
      <c r="AX511">
        <f>IF(ISBLANK('Data Entry'!$r$511), "", 'Data Entry'!$r$511)</f>
      </c>
      <c r="AY511">
        <f>IF(ISBLANK('Data Entry'!$s$511), "", 'Data Entry'!$s$511)</f>
      </c>
      <c r="AZ511">
        <f>IF(ISBLANK('Data Entry'!$t$511), "", 'Data Entry'!$t$511)</f>
      </c>
      <c r="BA511">
        <f>IF(ISBLANK('Data Entry'!$u$511), "", 'Data Entry'!$u$511)</f>
      </c>
      <c r="BB511">
        <f>IF(ISBLANK('Data Entry'!$v$511), "", 'Data Entry'!$v$511)</f>
      </c>
      <c r="BC511">
        <f>IF(ISBLANK('Data Entry'!$w$511), "", 'Data Entry'!$w$511)</f>
      </c>
      <c r="BD511">
        <f>IF(ISBLANK('Data Entry'!$x$511), "", 'Data Entry'!$x$511)</f>
      </c>
      <c r="BE511">
        <f>IF(ISBLANK('Data Entry'!$y$511), "", 'Data Entry'!$y$511)</f>
      </c>
      <c r="BF511">
        <f>IF(ISBLANK('Data Entry'!$z$511), "", 'Data Entry'!$z$511)</f>
      </c>
      <c r="BG511">
        <f>IF(ISBLANK('Data Entry'!${$511), "", 'Data Entry'!${$511)</f>
      </c>
      <c r="BH511">
        <f>IF(ISBLANK('Data Entry'!$|$511), "", 'Data Entry'!$|$511)</f>
      </c>
      <c r="BI511">
        <f>IF(ISBLANK('Data Entry'!$}$511), "", 'Data Entry'!$}$511)</f>
      </c>
      <c r="BJ511">
        <f>IF(ISBLANK('Data Entry'!$~$511), "", 'Data Entry'!$~$511)</f>
      </c>
      <c r="BK511">
        <f>IF(ISBLANK('Data Entry'!$$511), "", 'Data Entry'!$$511)</f>
      </c>
      <c r="BL511">
        <f>IF(ISBLANK('Data Entry'!$$511), "", 'Data Entry'!$$511)</f>
      </c>
      <c r="BM511">
        <f>IF(ISBLANK('Data Entry'!$$511), "", 'Data Entry'!$$511)</f>
      </c>
      <c r="BN511">
        <f>IF(ISBLANK('Data Entry'!$$511), "", 'Data Entry'!$$511)</f>
      </c>
      <c r="BO511">
        <f>IF(ISBLANK('Data Entry'!$$511), "", 'Data Entry'!$$511)</f>
      </c>
      <c r="BP511">
        <f>IF(ISBLANK('Data Entry'!$$511), "", 'Data Entry'!$$511)</f>
      </c>
      <c r="BQ511">
        <f>IF(ISBLANK('Data Entry'!$$511), "", 'Data Entry'!$$511)</f>
      </c>
      <c r="BR511">
        <f>IF(ISBLANK('Data Entry'!$$511), "", 'Data Entry'!$$511)</f>
      </c>
      <c r="BS511">
        <f>IF(ISBLANK('Data Entry'!$$511), "", 'Data Entry'!$$511)</f>
      </c>
      <c r="BT511">
        <f>IF(ISBLANK('Data Entry'!$$511), "", 'Data Entry'!$$511)</f>
      </c>
      <c r="BU511">
        <f>IF(ISBLANK('Data Entry'!$$511), "", 'Data Entry'!$$511)</f>
      </c>
      <c r="BV511">
        <f>IF(ISBLANK('Data Entry'!$$511), "", 'Data Entry'!$$511)</f>
      </c>
      <c r="BW511">
        <f>IF(ISBLANK('Data Entry'!$$511), "", 'Data Entry'!$$511)</f>
      </c>
      <c r="BX511">
        <f>IF(ISBLANK('Data Entry'!$$511), "", 'Data Entry'!$$511)</f>
      </c>
      <c r="BY511">
        <f>IF(ISBLANK('Data Entry'!$$511), "", 'Data Entry'!$$511)</f>
      </c>
      <c r="BZ511">
        <f>IF(ISBLANK('Data Entry'!$$511), "", 'Data Entry'!$$511)</f>
      </c>
      <c r="CA511">
        <f>IF(ISBLANK('Data Entry'!$$511), "", 'Data Entry'!$$511)</f>
      </c>
      <c r="CB511">
        <f>IF(ISBLANK('Data Entry'!$$511), "", 'Data Entry'!$$511)</f>
      </c>
      <c r="CC511">
        <f>IF(ISBLANK('Data Entry'!$$511), "", 'Data Entry'!$$511)</f>
      </c>
      <c r="CD511">
        <f>IF(ISBLANK('Data Entry'!$$511), "", 'Data Entry'!$$511)</f>
      </c>
      <c r="CE511">
        <f>IF(ISBLANK('Data Entry'!$$511), "", 'Data Entry'!$$511)</f>
      </c>
      <c r="CF511">
        <f>IF(ISBLANK('Data Entry'!$$511), "", 'Data Entry'!$$511)</f>
      </c>
      <c r="CG511">
        <f>IF(ISBLANK('Data Entry'!$$511), "", 'Data Entry'!$$511)</f>
      </c>
      <c r="CH511">
        <f>IF(ISBLANK('Data Entry'!$$511), "", 'Data Entry'!$$511)</f>
      </c>
      <c r="CI511">
        <f>IF(ISBLANK('Data Entry'!$$511), "", 'Data Entry'!$$511)</f>
      </c>
      <c r="CJ511">
        <f>IF(ISBLANK('Data Entry'!$$511), "", 'Data Entry'!$$511)</f>
      </c>
      <c r="CK511">
        <f>IF(ISBLANK('Data Entry'!$$511), "", 'Data Entry'!$$511)</f>
      </c>
      <c r="CL511">
        <f>IF(ISBLANK('Data Entry'!$$511), "", 'Data Entry'!$$511)</f>
      </c>
      <c r="CM511">
        <f>IF(ISBLANK('Data Entry'!$$511), "", 'Data Entry'!$$511)</f>
      </c>
      <c r="CN511">
        <f>IF(ISBLANK('Data Entry'!$$511), "", 'Data Entry'!$$511)</f>
      </c>
      <c r="CO511">
        <f>IF(ISBLANK('Data Entry'!$$511), "", 'Data Entry'!$$511)</f>
      </c>
      <c r="CP511">
        <f>IF(ISBLANK('Data Entry'!$$511), "", 'Data Entry'!$$511)</f>
      </c>
      <c r="CQ511">
        <f>IF(ISBLANK('Data Entry'!$$511), "", 'Data Entry'!$$511)</f>
      </c>
      <c r="CR511">
        <f>IF(ISBLANK('Data Entry'!$ $511), "", 'Data Entry'!$ $511)</f>
      </c>
      <c r="CS511">
        <f>IF(ISBLANK('Data Entry'!$¡$511), "", 'Data Entry'!$¡$511)</f>
      </c>
      <c r="CT511">
        <f>IF(ISBLANK('Data Entry'!$¢$511), "", 'Data Entry'!$¢$511)</f>
      </c>
      <c r="CU511">
        <f>IF(ISBLANK('Data Entry'!$£$511), "", 'Data Entry'!$£$511)</f>
      </c>
      <c r="CV511">
        <f>IF(ISBLANK('Data Entry'!$¤$511), "", 'Data Entry'!$¤$511)</f>
      </c>
      <c r="CW511">
        <f>IF(ISBLANK('Data Entry'!$¥$511), "", 'Data Entry'!$¥$511)</f>
      </c>
      <c r="CX511">
        <f>IF(ISBLANK('Data Entry'!$¦$511), "", 'Data Entry'!$¦$511)</f>
      </c>
      <c r="CY511">
        <f>IF(ISBLANK('Data Entry'!$§$511), "", 'Data Entry'!$§$511)</f>
      </c>
      <c r="CZ511">
        <f>IF(ISBLANK('Data Entry'!$¨$511), "", 'Data Entry'!$¨$511)</f>
      </c>
      <c r="DA511">
        <f>IF(ISBLANK('Data Entry'!$©$511), "", 'Data Entry'!$©$511)</f>
      </c>
      <c r="DB511">
        <f>IF(ISBLANK('Data Entry'!$ª$511), "", 'Data Entry'!$ª$511)</f>
      </c>
      <c r="DC511">
        <f>IF(ISBLANK('Data Entry'!$«$511), "", 'Data Entry'!$«$511)</f>
      </c>
      <c r="DD511">
        <f>IF(ISBLANK('Data Entry'!$¬$511), "", 'Data Entry'!$¬$511)</f>
      </c>
      <c r="DE511">
        <f>IF(ISBLANK('Data Entry'!$­$511), "", 'Data Entry'!$­$511)</f>
      </c>
      <c r="DF511">
        <f>IF(ISBLANK('Data Entry'!$®$511), "", 'Data Entry'!$®$511)</f>
      </c>
      <c r="DG511">
        <f>IF(ISBLANK('Data Entry'!$¯$511), "", 'Data Entry'!$¯$511)</f>
      </c>
      <c r="DH511">
        <f>IF(ISBLANK('Data Entry'!$°$511), "", 'Data Entry'!$°$511)</f>
      </c>
      <c r="DI511">
        <f>IF(ISBLANK('Data Entry'!$±$511), "", 'Data Entry'!$±$511)</f>
      </c>
      <c r="DJ511">
        <f>IF(ISBLANK('Data Entry'!$²$511), "", 'Data Entry'!$²$511)</f>
      </c>
      <c r="DK511">
        <f>IF(ISBLANK('Data Entry'!$³$511), "", 'Data Entry'!$³$511)</f>
      </c>
      <c r="DL511">
        <f>IF(ISBLANK('Data Entry'!$´$511), "", 'Data Entry'!$´$511)</f>
      </c>
      <c r="DM511">
        <f>IF(ISBLANK('Data Entry'!$µ$511), "", 'Data Entry'!$µ$511)</f>
      </c>
      <c r="DN511">
        <f>IF(ISBLANK('Data Entry'!$¶$511), "", 'Data Entry'!$¶$511)</f>
      </c>
      <c r="DO511">
        <f>IF(ISBLANK('Data Entry'!$·$511), "", 'Data Entry'!$·$511)</f>
      </c>
      <c r="DP511">
        <f>IF(ISBLANK('Data Entry'!$¸$511), "", 'Data Entry'!$¸$511)</f>
      </c>
      <c r="DQ511">
        <f>IF(ISBLANK('Data Entry'!$¹$511), "", 'Data Entry'!$¹$511)</f>
      </c>
      <c r="DR511">
        <f>IF(ISBLANK('Data Entry'!$º$511), "", 'Data Entry'!$º$511)</f>
      </c>
      <c r="DS511">
        <f>IF(ISBLANK('Data Entry'!$»$511), "", 'Data Entry'!$»$511)</f>
      </c>
      <c r="DT511">
        <f>IF(ISBLANK('Data Entry'!$¼$511), "", 'Data Entry'!$¼$511)</f>
      </c>
      <c r="DU511">
        <f>IF(ISBLANK('Data Entry'!$½$511), "", 'Data Entry'!$½$511)</f>
      </c>
      <c r="DV511">
        <f>IF(ISBLANK('Data Entry'!$¾$511), "", 'Data Entry'!$¾$511)</f>
      </c>
      <c r="DW511">
        <f>IF(ISBLANK('Data Entry'!$¿$511), "", 'Data Entry'!$¿$511)</f>
      </c>
      <c r="DX511">
        <f>IF(ISBLANK('Data Entry'!$À$511), "", 'Data Entry'!$À$511)</f>
      </c>
      <c r="DY511">
        <f>IF(ISBLANK('Data Entry'!$Á$511), "", 'Data Entry'!$Á$511)</f>
      </c>
      <c r="DZ511">
        <f>IF(ISBLANK('Data Entry'!$Â$511), "", 'Data Entry'!$Â$511)</f>
      </c>
      <c r="EA511">
        <f>IF(ISBLANK('Data Entry'!$Ã$511), "", 'Data Entry'!$Ã$511)</f>
      </c>
      <c r="EB511">
        <f>IF(ISBLANK('Data Entry'!$Ä$511), "", 'Data Entry'!$Ä$511)</f>
      </c>
      <c r="EC511">
        <f>IF(ISBLANK('Data Entry'!$Å$511), "", 'Data Entry'!$Å$511)</f>
      </c>
      <c r="ED511">
        <f>IF(ISBLANK('Data Entry'!$Æ$511), "", 'Data Entry'!$Æ$511)</f>
      </c>
      <c r="EE511">
        <f>IF(ISBLANK('Data Entry'!$Ç$511), "", 'Data Entry'!$Ç$511)</f>
      </c>
      <c r="EF511">
        <f>IF(ISBLANK('Data Entry'!$È$511), "", 'Data Entry'!$È$511)</f>
      </c>
      <c r="EG511">
        <f>IF(ISBLANK('Data Entry'!$É$511), "", 'Data Entry'!$É$511)</f>
      </c>
      <c r="EH511">
        <f>IF(ISBLANK('Data Entry'!$Ê$511), "", 'Data Entry'!$Ê$511)</f>
      </c>
      <c r="EI511">
        <f>IF(ISBLANK('Data Entry'!$Ë$511), "", 'Data Entry'!$Ë$511)</f>
      </c>
      <c r="EJ511">
        <f>IF(ISBLANK('Data Entry'!$Ì$511), "", 'Data Entry'!$Ì$511)</f>
      </c>
      <c r="EK511">
        <f>IF(ISBLANK('Data Entry'!$Í$511), "", 'Data Entry'!$Í$511)</f>
      </c>
      <c r="EL511">
        <f>IF(ISBLANK('Data Entry'!$Î$511), "", 'Data Entry'!$Î$511)</f>
      </c>
      <c r="EM511">
        <f>IF(ISBLANK('Data Entry'!$Ï$511), "", 'Data Entry'!$Ï$511)</f>
      </c>
      <c r="EN511">
        <f>IF(ISBLANK('Data Entry'!$Ð$511), "", 'Data Entry'!$Ð$511)</f>
      </c>
      <c r="EO511">
        <f>IF(ISBLANK('Data Entry'!$Ñ$511), "", 'Data Entry'!$Ñ$511)</f>
      </c>
      <c r="EP511">
        <f>IF(ISBLANK('Data Entry'!$Ò$511), "", 'Data Entry'!$Ò$511)</f>
      </c>
      <c r="EQ511">
        <f>IF(ISBLANK('Data Entry'!$Ó$511), "", 'Data Entry'!$Ó$511)</f>
      </c>
      <c r="ER511">
        <f>IF(ISBLANK('Data Entry'!$Ô$511), "", 'Data Entry'!$Ô$511)</f>
      </c>
      <c r="ES511">
        <f>IF(ISBLANK('Data Entry'!$Õ$511), "", 'Data Entry'!$Õ$511)</f>
      </c>
      <c r="ET511">
        <f>IF(ISBLANK('Data Entry'!$Ö$511), "", 'Data Entry'!$Ö$511)</f>
      </c>
      <c r="EU511">
        <f>IF(ISBLANK('Data Entry'!$×$511), "", 'Data Entry'!$×$511)</f>
      </c>
      <c r="EV511">
        <f>IF(ISBLANK('Data Entry'!$Ø$511), "", 'Data Entry'!$Ø$511)</f>
      </c>
      <c r="EW511">
        <f>IF(ISBLANK('Data Entry'!$Ù$511), "", 'Data Entry'!$Ù$511)</f>
      </c>
      <c r="EX511">
        <f>IF(ISBLANK('Data Entry'!$Ú$511), "", 'Data Entry'!$Ú$511)</f>
      </c>
      <c r="EY511">
        <f>IF(ISBLANK('Data Entry'!$Û$511), "", 'Data Entry'!$Û$511)</f>
      </c>
      <c r="EZ511">
        <f>IF(ISBLANK('Data Entry'!$Ü$511), "", 'Data Entry'!$Ü$511)</f>
      </c>
      <c r="FA511">
        <f>IF(ISBLANK('Data Entry'!$Ý$511), "", 'Data Entry'!$Ý$511)</f>
      </c>
      <c r="FB511">
        <f>IF(ISBLANK('Data Entry'!$Þ$511), "", 'Data Entry'!$Þ$511)</f>
      </c>
      <c r="FC511">
        <f>IF(ISBLANK('Data Entry'!$ß$511), "", 'Data Entry'!$ß$511)</f>
      </c>
      <c r="FD511">
        <f>IF(ISBLANK('Data Entry'!$à$511), "", 'Data Entry'!$à$511)</f>
      </c>
      <c r="FE511">
        <f>IF(ISBLANK('Data Entry'!$á$511), "", 'Data Entry'!$á$511)</f>
      </c>
      <c r="FF511">
        <f>IF(ISBLANK('Data Entry'!$â$511), "", 'Data Entry'!$â$511)</f>
      </c>
      <c r="FG511">
        <f>IF(ISBLANK('Data Entry'!$ã$511), "", 'Data Entry'!$ã$511)</f>
      </c>
      <c r="FH511">
        <f>IF(ISBLANK('Data Entry'!$ä$511), "", 'Data Entry'!$ä$511)</f>
      </c>
      <c r="FI511">
        <f>IF(ISBLANK('Data Entry'!$å$511), "", 'Data Entry'!$å$511)</f>
      </c>
      <c r="FJ511">
        <f>IF(ISBLANK('Data Entry'!$æ$511), "", 'Data Entry'!$æ$511)</f>
      </c>
      <c r="FK511">
        <f>IF(ISBLANK('Data Entry'!$ç$511), "", 'Data Entry'!$ç$511)</f>
      </c>
      <c r="FL511">
        <f>IF(ISBLANK('Data Entry'!$è$511), "", 'Data Entry'!$è$511)</f>
      </c>
      <c r="FM511">
        <f>IF(ISBLANK('Data Entry'!$é$511), "", 'Data Entry'!$é$511)</f>
      </c>
      <c r="FN511">
        <f>IF(ISBLANK('Data Entry'!$ê$511), "", 'Data Entry'!$ê$511)</f>
      </c>
      <c r="FO511">
        <f>IF(ISBLANK('Data Entry'!$ë$511), "", 'Data Entry'!$ë$511)</f>
      </c>
      <c r="FP511">
        <f>IF(ISBLANK('Data Entry'!$ì$511), "", 'Data Entry'!$ì$511)</f>
      </c>
      <c r="FQ511">
        <f>IF(ISBLANK('Data Entry'!$í$511), "", 'Data Entry'!$í$511)</f>
      </c>
      <c r="FR511">
        <f>IF(ISBLANK('Data Entry'!$î$511), "", 'Data Entry'!$î$511)</f>
      </c>
      <c r="FS511">
        <f>IF(ISBLANK('Data Entry'!$ï$511), "", 'Data Entry'!$ï$511)</f>
      </c>
      <c r="FT511">
        <f>IF(ISBLANK('Data Entry'!$ð$511), "", 'Data Entry'!$ð$511)</f>
      </c>
      <c r="FU511">
        <f>IF(ISBLANK('Data Entry'!$ñ$511), "", 'Data Entry'!$ñ$511)</f>
      </c>
      <c r="FV511">
        <f>IF(ISBLANK('Data Entry'!$ò$511), "", 'Data Entry'!$ò$511)</f>
      </c>
      <c r="FW511">
        <f>IF(ISBLANK('Data Entry'!$ó$511), "", 'Data Entry'!$ó$511)</f>
      </c>
      <c r="FX511">
        <f>IF(ISBLANK('Data Entry'!$ô$511), "", 'Data Entry'!$ô$511)</f>
      </c>
      <c r="FY511">
        <f>IF(ISBLANK('Data Entry'!$õ$511), "", 'Data Entry'!$õ$511)</f>
      </c>
      <c r="FZ511">
        <f>IF(ISBLANK('Data Entry'!$ö$511), "", 'Data Entry'!$ö$511)</f>
      </c>
      <c r="GA511">
        <f>IF(ISBLANK('Data Entry'!$÷$511), "", 'Data Entry'!$÷$511)</f>
      </c>
      <c r="GB511">
        <f>IF(ISBLANK('Data Entry'!$ø$511), "", 'Data Entry'!$ø$511)</f>
      </c>
      <c r="GC511">
        <f>IF(ISBLANK('Data Entry'!$ù$511), "", 'Data Entry'!$ù$511)</f>
      </c>
      <c r="GD511">
        <f>IF(ISBLANK('Data Entry'!$ú$511), "", 'Data Entry'!$ú$511)</f>
      </c>
      <c r="GE511">
        <f>IF(ISBLANK('Data Entry'!$û$511), "", 'Data Entry'!$û$511)</f>
      </c>
      <c r="GF511">
        <f>IF(ISBLANK('Data Entry'!$ü$511), "", 'Data Entry'!$ü$511)</f>
      </c>
      <c r="GG511">
        <f>IF(ISBLANK('Data Entry'!$ý$511), "", 'Data Entry'!$ý$511)</f>
      </c>
      <c r="GH511">
        <f>IF(ISBLANK('Data Entry'!$þ$511), "", 'Data Entry'!$þ$511)</f>
      </c>
      <c r="GI511">
        <f>IF(ISBLANK('Data Entry'!$ÿ$511), "", 'Data Entry'!$ÿ$511)</f>
      </c>
      <c r="GJ511">
        <f>IF(ISBLANK('Data Entry'!$Ā$511), "", 'Data Entry'!$Ā$511)</f>
      </c>
      <c r="GK511">
        <f>IF(ISBLANK('Data Entry'!$ā$511), "", 'Data Entry'!$ā$511)</f>
      </c>
      <c r="GL511">
        <f>IF(ISBLANK('Data Entry'!$Ă$511), "", 'Data Entry'!$Ă$511)</f>
      </c>
      <c r="GM511">
        <f>IF(ISBLANK('Data Entry'!$ă$511), "", 'Data Entry'!$ă$511)</f>
      </c>
      <c r="GN511">
        <f>IF(ISBLANK('Data Entry'!$Ą$511), "", 'Data Entry'!$Ą$511)</f>
      </c>
      <c r="GO511">
        <f>IF(ISBLANK('Data Entry'!$ą$511), "", 'Data Entry'!$ą$511)</f>
      </c>
      <c r="GP511">
        <f>IF(ISBLANK('Data Entry'!$Ć$511), "", 'Data Entry'!$Ć$511)</f>
      </c>
      <c r="GQ511">
        <f>IF(ISBLANK('Data Entry'!$ć$511), "", 'Data Entry'!$ć$511)</f>
      </c>
      <c r="GR511">
        <f>IF(ISBLANK('Data Entry'!$Ĉ$511), "", 'Data Entry'!$Ĉ$511)</f>
      </c>
      <c r="GS511">
        <f>IF(ISBLANK('Data Entry'!$ĉ$511), "", 'Data Entry'!$ĉ$511)</f>
      </c>
      <c r="GT511">
        <f>IF(ISBLANK('Data Entry'!$Ċ$511), "", 'Data Entry'!$Ċ$511)</f>
      </c>
      <c r="GU511">
        <f>IF(ISBLANK('Data Entry'!$ċ$511), "", 'Data Entry'!$ċ$511)</f>
      </c>
      <c r="GV511">
        <f>IF(ISBLANK('Data Entry'!$Č$511), "", 'Data Entry'!$Č$511)</f>
      </c>
      <c r="GW511">
        <f>IF(ISBLANK('Data Entry'!$č$511), "", 'Data Entry'!$č$511)</f>
      </c>
      <c r="GX511">
        <f>IF(ISBLANK('Data Entry'!$Ď$511), "", 'Data Entry'!$Ď$511)</f>
      </c>
      <c r="GY511">
        <f>IF(ISBLANK('Data Entry'!$ď$511), "", 'Data Entry'!$ď$511)</f>
      </c>
      <c r="GZ511">
        <f>IF(ISBLANK('Data Entry'!$Đ$511), "", 'Data Entry'!$Đ$511)</f>
      </c>
      <c r="HA511">
        <f>IF(ISBLANK('Data Entry'!$đ$511), "", 'Data Entry'!$đ$511)</f>
      </c>
      <c r="HB511">
        <f>IF(ISBLANK('Data Entry'!$Ē$511), "", 'Data Entry'!$Ē$511)</f>
      </c>
      <c r="HC511">
        <f>IF(ISBLANK('Data Entry'!$ē$511), "", 'Data Entry'!$ē$511)</f>
      </c>
      <c r="HD511">
        <f>IF(ISBLANK('Data Entry'!$Ĕ$511), "", 'Data Entry'!$Ĕ$511)</f>
      </c>
      <c r="HE511">
        <f>IF(ISBLANK('Data Entry'!$ĕ$511), "", 'Data Entry'!$ĕ$511)</f>
      </c>
      <c r="HF511">
        <f>IF(ISBLANK('Data Entry'!$Ė$511), "", 'Data Entry'!$Ė$511)</f>
      </c>
      <c r="HG511">
        <f>IF(ISBLANK('Data Entry'!$ė$511), "", 'Data Entry'!$ė$511)</f>
      </c>
      <c r="HH511">
        <f>IF(ISBLANK('Data Entry'!$Ę$511), "", 'Data Entry'!$Ę$511)</f>
      </c>
      <c r="HI511">
        <f>IF(ISBLANK('Data Entry'!$ę$511), "", 'Data Entry'!$ę$511)</f>
      </c>
      <c r="HJ511">
        <f>IF(ISBLANK('Data Entry'!$Ě$511), "", 'Data Entry'!$Ě$511)</f>
      </c>
      <c r="HK511">
        <f>IF(ISBLANK('Data Entry'!$ě$511), "", 'Data Entry'!$ě$511)</f>
      </c>
      <c r="HL511">
        <f>IF(ISBLANK('Data Entry'!$Ĝ$511), "", 'Data Entry'!$Ĝ$511)</f>
      </c>
      <c r="HM511">
        <f>IF(ISBLANK('Data Entry'!$ĝ$511), "", 'Data Entry'!$ĝ$511)</f>
      </c>
      <c r="HN511">
        <f>IF(ISBLANK('Data Entry'!$Ğ$511), "", 'Data Entry'!$Ğ$511)</f>
      </c>
      <c r="HO511">
        <f>IF(ISBLANK('Data Entry'!$ğ$511), "", 'Data Entry'!$ğ$511)</f>
      </c>
      <c r="HP511">
        <f>IF(ISBLANK('Data Entry'!$Ġ$511), "", 'Data Entry'!$Ġ$511)</f>
      </c>
      <c r="HQ511">
        <f>IF(ISBLANK('Data Entry'!$ġ$511), "", 'Data Entry'!$ġ$511)</f>
      </c>
      <c r="HR511">
        <f>IF(ISBLANK('Data Entry'!$Ģ$511), "", 'Data Entry'!$Ģ$511)</f>
      </c>
      <c r="HS511">
        <f>IF(ISBLANK('Data Entry'!$ģ$511), "", 'Data Entry'!$ģ$511)</f>
      </c>
      <c r="HT511">
        <f>IF(ISBLANK('Data Entry'!$Ĥ$511), "", 'Data Entry'!$Ĥ$511)</f>
      </c>
      <c r="HU511">
        <f>IF(ISBLANK('Data Entry'!$ĥ$511), "", 'Data Entry'!$ĥ$511)</f>
      </c>
      <c r="HV511">
        <f>IF(ISBLANK('Data Entry'!$Ħ$511), "", 'Data Entry'!$Ħ$511)</f>
      </c>
      <c r="HW511">
        <f>IF(ISBLANK('Data Entry'!$ħ$511), "", 'Data Entry'!$ħ$511)</f>
      </c>
      <c r="HX511">
        <f>IF(ISBLANK('Data Entry'!$Ĩ$511), "", 'Data Entry'!$Ĩ$511)</f>
      </c>
      <c r="HY511">
        <f>IF(ISBLANK('Data Entry'!$ĩ$511), "", 'Data Entry'!$ĩ$511)</f>
      </c>
      <c r="HZ511">
        <f>IF(ISBLANK('Data Entry'!$Ī$511), "", 'Data Entry'!$Ī$511)</f>
      </c>
      <c r="IA511">
        <f>IF(ISBLANK('Data Entry'!$ī$511), "", 'Data Entry'!$ī$511)</f>
      </c>
      <c r="IB511">
        <f>IF(ISBLANK('Data Entry'!$Ĭ$511), "", 'Data Entry'!$Ĭ$511)</f>
      </c>
      <c r="IC511">
        <f>IF(ISBLANK('Data Entry'!$ĭ$511), "", 'Data Entry'!$ĭ$511)</f>
      </c>
      <c r="ID511">
        <f>IF(ISBLANK('Data Entry'!$Į$511), "", 'Data Entry'!$Į$511)</f>
      </c>
      <c r="IE511">
        <f>IF(ISBLANK('Data Entry'!$į$511), "", 'Data Entry'!$į$511)</f>
      </c>
      <c r="IF511">
        <f>IF(ISBLANK('Data Entry'!$İ$511), "", 'Data Entry'!$İ$511)</f>
      </c>
      <c r="IG511">
        <f>IF(ISBLANK('Data Entry'!$ı$511), "", 'Data Entry'!$ı$511)</f>
      </c>
      <c r="IH511">
        <f>IF(ISBLANK('Data Entry'!$Ĳ$511), "", 'Data Entry'!$Ĳ$511)</f>
      </c>
      <c r="II511">
        <f>IF(ISBLANK('Data Entry'!$ĳ$511), "", 'Data Entry'!$ĳ$511)</f>
      </c>
      <c r="IJ511">
        <f>IF(ISBLANK('Data Entry'!$Ĵ$511), "", 'Data Entry'!$Ĵ$511)</f>
      </c>
      <c r="IK511">
        <f>IF(ISBLANK('Data Entry'!$ĵ$511), "", 'Data Entry'!$ĵ$511)</f>
      </c>
      <c r="IL511">
        <f>IF(ISBLANK('Data Entry'!$Ķ$511), "", 'Data Entry'!$Ķ$511)</f>
      </c>
      <c r="IM511">
        <f>IF(ISBLANK('Data Entry'!$ķ$511), "", 'Data Entry'!$ķ$511)</f>
      </c>
      <c r="IN511">
        <f>IF(ISBLANK('Data Entry'!$ĸ$511), "", 'Data Entry'!$ĸ$511)</f>
      </c>
      <c r="IO511">
        <f>IF(ISBLANK('Data Entry'!$Ĺ$511), "", 'Data Entry'!$Ĺ$511)</f>
      </c>
      <c r="IP511">
        <f>IF(ISBLANK('Data Entry'!$ĺ$511), "", 'Data Entry'!$ĺ$511)</f>
      </c>
      <c r="IQ511">
        <f>IF(ISBLANK('Data Entry'!$Ļ$511), "", 'Data Entry'!$Ļ$511)</f>
      </c>
      <c r="IR511">
        <f>IF(ISBLANK('Data Entry'!$ļ$511), "", 'Data Entry'!$ļ$511)</f>
      </c>
      <c r="IS511">
        <f>IF(ISBLANK('Data Entry'!$Ľ$511), "", 'Data Entry'!$Ľ$511)</f>
      </c>
      <c r="IT511">
        <f>IF(ISBLANK('Data Entry'!$ľ$511), "", 'Data Entry'!$ľ$511)</f>
      </c>
    </row>
    <row r="512" spans="1:254" x14ac:dyDescent="0.25">
      <c r="A512">
        <f>IF(ISBLANK('Data Entry'!$A$512), "", 'Data Entry'!$A$512)</f>
      </c>
      <c r="B512">
        <f>IF(ISBLANK('Data Entry'!$B$512), "", 'Data Entry'!$B$512)</f>
      </c>
      <c r="C512">
        <f>IF(ISBLANK('Data Entry'!$C$512), "", 'Data Entry'!$C$512)</f>
      </c>
      <c r="D512">
        <f>IF(ISBLANK('Data Entry'!$D$512), "", 'Data Entry'!$D$512)</f>
      </c>
      <c r="E512">
        <f>IF(ISBLANK('Data Entry'!$E$512), "", 'Data Entry'!$E$512)</f>
      </c>
      <c r="F512">
        <f>IF(ISBLANK('Data Entry'!$F$512), "", 'Data Entry'!$F$512)</f>
      </c>
      <c r="G512">
        <f>IF(ISBLANK('Data Entry'!$G$512), "", 'Data Entry'!$G$512)</f>
      </c>
      <c r="H512">
        <f>IF(ISBLANK('Data Entry'!$H$512), "", 'Data Entry'!$H$512)</f>
      </c>
      <c r="I512">
        <f>IF(ISBLANK('Data Entry'!$I$512), "", 'Data Entry'!$I$512)</f>
      </c>
      <c r="J512">
        <f>IF(ISBLANK('Data Entry'!$J$512), "", 'Data Entry'!$J$512)</f>
      </c>
      <c r="K512">
        <f>IF(ISBLANK('Data Entry'!$K$512), "", 'Data Entry'!$K$512)</f>
      </c>
      <c r="L512">
        <f>IF(ISBLANK('Data Entry'!$L$512), "", 'Data Entry'!$L$512)</f>
      </c>
      <c r="M512">
        <f>IF(ISBLANK('Data Entry'!$M$512), "", 'Data Entry'!$M$512)</f>
      </c>
      <c r="N512">
        <f>IF(ISBLANK('Data Entry'!$N$512), "", 'Data Entry'!$N$512)</f>
      </c>
      <c r="O512">
        <f>IF(ISBLANK('Data Entry'!$O$512), "", 'Data Entry'!$O$512)</f>
      </c>
      <c r="P512">
        <f>IF(ISBLANK('Data Entry'!$P$512), "", 'Data Entry'!$P$512)</f>
      </c>
      <c r="Q512">
        <f>IF(ISBLANK('Data Entry'!$Q$512), "", 'Data Entry'!$Q$512)</f>
      </c>
      <c r="R512">
        <f>IF(ISBLANK('Data Entry'!$R$512), "", 'Data Entry'!$R$512)</f>
      </c>
      <c r="S512">
        <f>IF(ISBLANK('Data Entry'!$S$512), "", 'Data Entry'!$S$512)</f>
      </c>
      <c r="T512">
        <f>IF(ISBLANK('Data Entry'!$T$512), "", 'Data Entry'!$T$512)</f>
      </c>
      <c r="U512">
        <f>IF(ISBLANK('Data Entry'!$U$512), "", 'Data Entry'!$U$512)</f>
      </c>
      <c r="V512">
        <f>IF(ISBLANK('Data Entry'!$V$512), "", 'Data Entry'!$V$512)</f>
      </c>
      <c r="W512">
        <f>IF(ISBLANK('Data Entry'!$W$512), "", 'Data Entry'!$W$512)</f>
      </c>
      <c r="X512">
        <f>IF(ISBLANK('Data Entry'!$X$512), "", 'Data Entry'!$X$512)</f>
      </c>
      <c r="Y512">
        <f>IF(ISBLANK('Data Entry'!$Y$512), "", 'Data Entry'!$Y$512)</f>
      </c>
      <c r="Z512">
        <f>IF(ISBLANK('Data Entry'!$Z$512), "", 'Data Entry'!$Z$512)</f>
      </c>
      <c r="AA512">
        <f>IF(ISBLANK('Data Entry'!$[$512), "", 'Data Entry'!$[$512)</f>
      </c>
      <c r="AB512">
        <f>IF(ISBLANK('Data Entry'!$\$512), "", 'Data Entry'!$\$512)</f>
      </c>
      <c r="AC512">
        <f>IF(ISBLANK('Data Entry'!$]$512), "", 'Data Entry'!$]$512)</f>
      </c>
      <c r="AD512">
        <f>IF(ISBLANK('Data Entry'!$^$512), "", 'Data Entry'!$^$512)</f>
      </c>
      <c r="AE512">
        <f>IF(ISBLANK('Data Entry'!$_$512), "", 'Data Entry'!$_$512)</f>
      </c>
      <c r="AF512">
        <f>IF(ISBLANK('Data Entry'!$`$512), "", 'Data Entry'!$`$512)</f>
      </c>
      <c r="AG512">
        <f>IF(ISBLANK('Data Entry'!$a$512), "", 'Data Entry'!$a$512)</f>
      </c>
      <c r="AH512">
        <f>IF(ISBLANK('Data Entry'!$b$512), "", 'Data Entry'!$b$512)</f>
      </c>
      <c r="AI512">
        <f>IF(ISBLANK('Data Entry'!$c$512), "", 'Data Entry'!$c$512)</f>
      </c>
      <c r="AJ512">
        <f>IF(ISBLANK('Data Entry'!$d$512), "", 'Data Entry'!$d$512)</f>
      </c>
      <c r="AK512">
        <f>IF(ISBLANK('Data Entry'!$e$512), "", 'Data Entry'!$e$512)</f>
      </c>
      <c r="AL512">
        <f>IF(ISBLANK('Data Entry'!$f$512), "", 'Data Entry'!$f$512)</f>
      </c>
      <c r="AM512">
        <f>IF(ISBLANK('Data Entry'!$g$512), "", 'Data Entry'!$g$512)</f>
      </c>
      <c r="AN512">
        <f>IF(ISBLANK('Data Entry'!$h$512), "", 'Data Entry'!$h$512)</f>
      </c>
      <c r="AO512">
        <f>IF(ISBLANK('Data Entry'!$i$512), "", 'Data Entry'!$i$512)</f>
      </c>
      <c r="AP512">
        <f>IF(ISBLANK('Data Entry'!$j$512), "", 'Data Entry'!$j$512)</f>
      </c>
      <c r="AQ512">
        <f>IF(ISBLANK('Data Entry'!$k$512), "", 'Data Entry'!$k$512)</f>
      </c>
      <c r="AR512">
        <f>IF(ISBLANK('Data Entry'!$l$512), "", 'Data Entry'!$l$512)</f>
      </c>
      <c r="AS512">
        <f>IF(ISBLANK('Data Entry'!$m$512), "", 'Data Entry'!$m$512)</f>
      </c>
      <c r="AT512">
        <f>IF(ISBLANK('Data Entry'!$n$512), "", 'Data Entry'!$n$512)</f>
      </c>
      <c r="AU512">
        <f>IF(ISBLANK('Data Entry'!$o$512), "", 'Data Entry'!$o$512)</f>
      </c>
      <c r="AV512">
        <f>IF(ISBLANK('Data Entry'!$p$512), "", 'Data Entry'!$p$512)</f>
      </c>
      <c r="AW512">
        <f>IF(ISBLANK('Data Entry'!$q$512), "", 'Data Entry'!$q$512)</f>
      </c>
      <c r="AX512">
        <f>IF(ISBLANK('Data Entry'!$r$512), "", 'Data Entry'!$r$512)</f>
      </c>
      <c r="AY512">
        <f>IF(ISBLANK('Data Entry'!$s$512), "", 'Data Entry'!$s$512)</f>
      </c>
      <c r="AZ512">
        <f>IF(ISBLANK('Data Entry'!$t$512), "", 'Data Entry'!$t$512)</f>
      </c>
      <c r="BA512">
        <f>IF(ISBLANK('Data Entry'!$u$512), "", 'Data Entry'!$u$512)</f>
      </c>
      <c r="BB512">
        <f>IF(ISBLANK('Data Entry'!$v$512), "", 'Data Entry'!$v$512)</f>
      </c>
      <c r="BC512">
        <f>IF(ISBLANK('Data Entry'!$w$512), "", 'Data Entry'!$w$512)</f>
      </c>
      <c r="BD512">
        <f>IF(ISBLANK('Data Entry'!$x$512), "", 'Data Entry'!$x$512)</f>
      </c>
      <c r="BE512">
        <f>IF(ISBLANK('Data Entry'!$y$512), "", 'Data Entry'!$y$512)</f>
      </c>
      <c r="BF512">
        <f>IF(ISBLANK('Data Entry'!$z$512), "", 'Data Entry'!$z$512)</f>
      </c>
      <c r="BG512">
        <f>IF(ISBLANK('Data Entry'!${$512), "", 'Data Entry'!${$512)</f>
      </c>
      <c r="BH512">
        <f>IF(ISBLANK('Data Entry'!$|$512), "", 'Data Entry'!$|$512)</f>
      </c>
      <c r="BI512">
        <f>IF(ISBLANK('Data Entry'!$}$512), "", 'Data Entry'!$}$512)</f>
      </c>
      <c r="BJ512">
        <f>IF(ISBLANK('Data Entry'!$~$512), "", 'Data Entry'!$~$512)</f>
      </c>
      <c r="BK512">
        <f>IF(ISBLANK('Data Entry'!$$512), "", 'Data Entry'!$$512)</f>
      </c>
      <c r="BL512">
        <f>IF(ISBLANK('Data Entry'!$$512), "", 'Data Entry'!$$512)</f>
      </c>
      <c r="BM512">
        <f>IF(ISBLANK('Data Entry'!$$512), "", 'Data Entry'!$$512)</f>
      </c>
      <c r="BN512">
        <f>IF(ISBLANK('Data Entry'!$$512), "", 'Data Entry'!$$512)</f>
      </c>
      <c r="BO512">
        <f>IF(ISBLANK('Data Entry'!$$512), "", 'Data Entry'!$$512)</f>
      </c>
      <c r="BP512">
        <f>IF(ISBLANK('Data Entry'!$$512), "", 'Data Entry'!$$512)</f>
      </c>
      <c r="BQ512">
        <f>IF(ISBLANK('Data Entry'!$$512), "", 'Data Entry'!$$512)</f>
      </c>
      <c r="BR512">
        <f>IF(ISBLANK('Data Entry'!$$512), "", 'Data Entry'!$$512)</f>
      </c>
      <c r="BS512">
        <f>IF(ISBLANK('Data Entry'!$$512), "", 'Data Entry'!$$512)</f>
      </c>
      <c r="BT512">
        <f>IF(ISBLANK('Data Entry'!$$512), "", 'Data Entry'!$$512)</f>
      </c>
      <c r="BU512">
        <f>IF(ISBLANK('Data Entry'!$$512), "", 'Data Entry'!$$512)</f>
      </c>
      <c r="BV512">
        <f>IF(ISBLANK('Data Entry'!$$512), "", 'Data Entry'!$$512)</f>
      </c>
      <c r="BW512">
        <f>IF(ISBLANK('Data Entry'!$$512), "", 'Data Entry'!$$512)</f>
      </c>
      <c r="BX512">
        <f>IF(ISBLANK('Data Entry'!$$512), "", 'Data Entry'!$$512)</f>
      </c>
      <c r="BY512">
        <f>IF(ISBLANK('Data Entry'!$$512), "", 'Data Entry'!$$512)</f>
      </c>
      <c r="BZ512">
        <f>IF(ISBLANK('Data Entry'!$$512), "", 'Data Entry'!$$512)</f>
      </c>
      <c r="CA512">
        <f>IF(ISBLANK('Data Entry'!$$512), "", 'Data Entry'!$$512)</f>
      </c>
      <c r="CB512">
        <f>IF(ISBLANK('Data Entry'!$$512), "", 'Data Entry'!$$512)</f>
      </c>
      <c r="CC512">
        <f>IF(ISBLANK('Data Entry'!$$512), "", 'Data Entry'!$$512)</f>
      </c>
      <c r="CD512">
        <f>IF(ISBLANK('Data Entry'!$$512), "", 'Data Entry'!$$512)</f>
      </c>
      <c r="CE512">
        <f>IF(ISBLANK('Data Entry'!$$512), "", 'Data Entry'!$$512)</f>
      </c>
      <c r="CF512">
        <f>IF(ISBLANK('Data Entry'!$$512), "", 'Data Entry'!$$512)</f>
      </c>
      <c r="CG512">
        <f>IF(ISBLANK('Data Entry'!$$512), "", 'Data Entry'!$$512)</f>
      </c>
      <c r="CH512">
        <f>IF(ISBLANK('Data Entry'!$$512), "", 'Data Entry'!$$512)</f>
      </c>
      <c r="CI512">
        <f>IF(ISBLANK('Data Entry'!$$512), "", 'Data Entry'!$$512)</f>
      </c>
      <c r="CJ512">
        <f>IF(ISBLANK('Data Entry'!$$512), "", 'Data Entry'!$$512)</f>
      </c>
      <c r="CK512">
        <f>IF(ISBLANK('Data Entry'!$$512), "", 'Data Entry'!$$512)</f>
      </c>
      <c r="CL512">
        <f>IF(ISBLANK('Data Entry'!$$512), "", 'Data Entry'!$$512)</f>
      </c>
      <c r="CM512">
        <f>IF(ISBLANK('Data Entry'!$$512), "", 'Data Entry'!$$512)</f>
      </c>
      <c r="CN512">
        <f>IF(ISBLANK('Data Entry'!$$512), "", 'Data Entry'!$$512)</f>
      </c>
      <c r="CO512">
        <f>IF(ISBLANK('Data Entry'!$$512), "", 'Data Entry'!$$512)</f>
      </c>
      <c r="CP512">
        <f>IF(ISBLANK('Data Entry'!$$512), "", 'Data Entry'!$$512)</f>
      </c>
      <c r="CQ512">
        <f>IF(ISBLANK('Data Entry'!$$512), "", 'Data Entry'!$$512)</f>
      </c>
      <c r="CR512">
        <f>IF(ISBLANK('Data Entry'!$ $512), "", 'Data Entry'!$ $512)</f>
      </c>
      <c r="CS512">
        <f>IF(ISBLANK('Data Entry'!$¡$512), "", 'Data Entry'!$¡$512)</f>
      </c>
      <c r="CT512">
        <f>IF(ISBLANK('Data Entry'!$¢$512), "", 'Data Entry'!$¢$512)</f>
      </c>
      <c r="CU512">
        <f>IF(ISBLANK('Data Entry'!$£$512), "", 'Data Entry'!$£$512)</f>
      </c>
      <c r="CV512">
        <f>IF(ISBLANK('Data Entry'!$¤$512), "", 'Data Entry'!$¤$512)</f>
      </c>
      <c r="CW512">
        <f>IF(ISBLANK('Data Entry'!$¥$512), "", 'Data Entry'!$¥$512)</f>
      </c>
      <c r="CX512">
        <f>IF(ISBLANK('Data Entry'!$¦$512), "", 'Data Entry'!$¦$512)</f>
      </c>
      <c r="CY512">
        <f>IF(ISBLANK('Data Entry'!$§$512), "", 'Data Entry'!$§$512)</f>
      </c>
      <c r="CZ512">
        <f>IF(ISBLANK('Data Entry'!$¨$512), "", 'Data Entry'!$¨$512)</f>
      </c>
      <c r="DA512">
        <f>IF(ISBLANK('Data Entry'!$©$512), "", 'Data Entry'!$©$512)</f>
      </c>
      <c r="DB512">
        <f>IF(ISBLANK('Data Entry'!$ª$512), "", 'Data Entry'!$ª$512)</f>
      </c>
      <c r="DC512">
        <f>IF(ISBLANK('Data Entry'!$«$512), "", 'Data Entry'!$«$512)</f>
      </c>
      <c r="DD512">
        <f>IF(ISBLANK('Data Entry'!$¬$512), "", 'Data Entry'!$¬$512)</f>
      </c>
      <c r="DE512">
        <f>IF(ISBLANK('Data Entry'!$­$512), "", 'Data Entry'!$­$512)</f>
      </c>
      <c r="DF512">
        <f>IF(ISBLANK('Data Entry'!$®$512), "", 'Data Entry'!$®$512)</f>
      </c>
      <c r="DG512">
        <f>IF(ISBLANK('Data Entry'!$¯$512), "", 'Data Entry'!$¯$512)</f>
      </c>
      <c r="DH512">
        <f>IF(ISBLANK('Data Entry'!$°$512), "", 'Data Entry'!$°$512)</f>
      </c>
      <c r="DI512">
        <f>IF(ISBLANK('Data Entry'!$±$512), "", 'Data Entry'!$±$512)</f>
      </c>
      <c r="DJ512">
        <f>IF(ISBLANK('Data Entry'!$²$512), "", 'Data Entry'!$²$512)</f>
      </c>
      <c r="DK512">
        <f>IF(ISBLANK('Data Entry'!$³$512), "", 'Data Entry'!$³$512)</f>
      </c>
      <c r="DL512">
        <f>IF(ISBLANK('Data Entry'!$´$512), "", 'Data Entry'!$´$512)</f>
      </c>
      <c r="DM512">
        <f>IF(ISBLANK('Data Entry'!$µ$512), "", 'Data Entry'!$µ$512)</f>
      </c>
      <c r="DN512">
        <f>IF(ISBLANK('Data Entry'!$¶$512), "", 'Data Entry'!$¶$512)</f>
      </c>
      <c r="DO512">
        <f>IF(ISBLANK('Data Entry'!$·$512), "", 'Data Entry'!$·$512)</f>
      </c>
      <c r="DP512">
        <f>IF(ISBLANK('Data Entry'!$¸$512), "", 'Data Entry'!$¸$512)</f>
      </c>
      <c r="DQ512">
        <f>IF(ISBLANK('Data Entry'!$¹$512), "", 'Data Entry'!$¹$512)</f>
      </c>
      <c r="DR512">
        <f>IF(ISBLANK('Data Entry'!$º$512), "", 'Data Entry'!$º$512)</f>
      </c>
      <c r="DS512">
        <f>IF(ISBLANK('Data Entry'!$»$512), "", 'Data Entry'!$»$512)</f>
      </c>
      <c r="DT512">
        <f>IF(ISBLANK('Data Entry'!$¼$512), "", 'Data Entry'!$¼$512)</f>
      </c>
      <c r="DU512">
        <f>IF(ISBLANK('Data Entry'!$½$512), "", 'Data Entry'!$½$512)</f>
      </c>
      <c r="DV512">
        <f>IF(ISBLANK('Data Entry'!$¾$512), "", 'Data Entry'!$¾$512)</f>
      </c>
      <c r="DW512">
        <f>IF(ISBLANK('Data Entry'!$¿$512), "", 'Data Entry'!$¿$512)</f>
      </c>
      <c r="DX512">
        <f>IF(ISBLANK('Data Entry'!$À$512), "", 'Data Entry'!$À$512)</f>
      </c>
      <c r="DY512">
        <f>IF(ISBLANK('Data Entry'!$Á$512), "", 'Data Entry'!$Á$512)</f>
      </c>
      <c r="DZ512">
        <f>IF(ISBLANK('Data Entry'!$Â$512), "", 'Data Entry'!$Â$512)</f>
      </c>
      <c r="EA512">
        <f>IF(ISBLANK('Data Entry'!$Ã$512), "", 'Data Entry'!$Ã$512)</f>
      </c>
      <c r="EB512">
        <f>IF(ISBLANK('Data Entry'!$Ä$512), "", 'Data Entry'!$Ä$512)</f>
      </c>
      <c r="EC512">
        <f>IF(ISBLANK('Data Entry'!$Å$512), "", 'Data Entry'!$Å$512)</f>
      </c>
      <c r="ED512">
        <f>IF(ISBLANK('Data Entry'!$Æ$512), "", 'Data Entry'!$Æ$512)</f>
      </c>
      <c r="EE512">
        <f>IF(ISBLANK('Data Entry'!$Ç$512), "", 'Data Entry'!$Ç$512)</f>
      </c>
      <c r="EF512">
        <f>IF(ISBLANK('Data Entry'!$È$512), "", 'Data Entry'!$È$512)</f>
      </c>
      <c r="EG512">
        <f>IF(ISBLANK('Data Entry'!$É$512), "", 'Data Entry'!$É$512)</f>
      </c>
      <c r="EH512">
        <f>IF(ISBLANK('Data Entry'!$Ê$512), "", 'Data Entry'!$Ê$512)</f>
      </c>
      <c r="EI512">
        <f>IF(ISBLANK('Data Entry'!$Ë$512), "", 'Data Entry'!$Ë$512)</f>
      </c>
      <c r="EJ512">
        <f>IF(ISBLANK('Data Entry'!$Ì$512), "", 'Data Entry'!$Ì$512)</f>
      </c>
      <c r="EK512">
        <f>IF(ISBLANK('Data Entry'!$Í$512), "", 'Data Entry'!$Í$512)</f>
      </c>
      <c r="EL512">
        <f>IF(ISBLANK('Data Entry'!$Î$512), "", 'Data Entry'!$Î$512)</f>
      </c>
      <c r="EM512">
        <f>IF(ISBLANK('Data Entry'!$Ï$512), "", 'Data Entry'!$Ï$512)</f>
      </c>
      <c r="EN512">
        <f>IF(ISBLANK('Data Entry'!$Ð$512), "", 'Data Entry'!$Ð$512)</f>
      </c>
      <c r="EO512">
        <f>IF(ISBLANK('Data Entry'!$Ñ$512), "", 'Data Entry'!$Ñ$512)</f>
      </c>
      <c r="EP512">
        <f>IF(ISBLANK('Data Entry'!$Ò$512), "", 'Data Entry'!$Ò$512)</f>
      </c>
      <c r="EQ512">
        <f>IF(ISBLANK('Data Entry'!$Ó$512), "", 'Data Entry'!$Ó$512)</f>
      </c>
      <c r="ER512">
        <f>IF(ISBLANK('Data Entry'!$Ô$512), "", 'Data Entry'!$Ô$512)</f>
      </c>
      <c r="ES512">
        <f>IF(ISBLANK('Data Entry'!$Õ$512), "", 'Data Entry'!$Õ$512)</f>
      </c>
      <c r="ET512">
        <f>IF(ISBLANK('Data Entry'!$Ö$512), "", 'Data Entry'!$Ö$512)</f>
      </c>
      <c r="EU512">
        <f>IF(ISBLANK('Data Entry'!$×$512), "", 'Data Entry'!$×$512)</f>
      </c>
      <c r="EV512">
        <f>IF(ISBLANK('Data Entry'!$Ø$512), "", 'Data Entry'!$Ø$512)</f>
      </c>
      <c r="EW512">
        <f>IF(ISBLANK('Data Entry'!$Ù$512), "", 'Data Entry'!$Ù$512)</f>
      </c>
      <c r="EX512">
        <f>IF(ISBLANK('Data Entry'!$Ú$512), "", 'Data Entry'!$Ú$512)</f>
      </c>
      <c r="EY512">
        <f>IF(ISBLANK('Data Entry'!$Û$512), "", 'Data Entry'!$Û$512)</f>
      </c>
      <c r="EZ512">
        <f>IF(ISBLANK('Data Entry'!$Ü$512), "", 'Data Entry'!$Ü$512)</f>
      </c>
      <c r="FA512">
        <f>IF(ISBLANK('Data Entry'!$Ý$512), "", 'Data Entry'!$Ý$512)</f>
      </c>
      <c r="FB512">
        <f>IF(ISBLANK('Data Entry'!$Þ$512), "", 'Data Entry'!$Þ$512)</f>
      </c>
      <c r="FC512">
        <f>IF(ISBLANK('Data Entry'!$ß$512), "", 'Data Entry'!$ß$512)</f>
      </c>
      <c r="FD512">
        <f>IF(ISBLANK('Data Entry'!$à$512), "", 'Data Entry'!$à$512)</f>
      </c>
      <c r="FE512">
        <f>IF(ISBLANK('Data Entry'!$á$512), "", 'Data Entry'!$á$512)</f>
      </c>
      <c r="FF512">
        <f>IF(ISBLANK('Data Entry'!$â$512), "", 'Data Entry'!$â$512)</f>
      </c>
      <c r="FG512">
        <f>IF(ISBLANK('Data Entry'!$ã$512), "", 'Data Entry'!$ã$512)</f>
      </c>
      <c r="FH512">
        <f>IF(ISBLANK('Data Entry'!$ä$512), "", 'Data Entry'!$ä$512)</f>
      </c>
      <c r="FI512">
        <f>IF(ISBLANK('Data Entry'!$å$512), "", 'Data Entry'!$å$512)</f>
      </c>
      <c r="FJ512">
        <f>IF(ISBLANK('Data Entry'!$æ$512), "", 'Data Entry'!$æ$512)</f>
      </c>
      <c r="FK512">
        <f>IF(ISBLANK('Data Entry'!$ç$512), "", 'Data Entry'!$ç$512)</f>
      </c>
      <c r="FL512">
        <f>IF(ISBLANK('Data Entry'!$è$512), "", 'Data Entry'!$è$512)</f>
      </c>
      <c r="FM512">
        <f>IF(ISBLANK('Data Entry'!$é$512), "", 'Data Entry'!$é$512)</f>
      </c>
      <c r="FN512">
        <f>IF(ISBLANK('Data Entry'!$ê$512), "", 'Data Entry'!$ê$512)</f>
      </c>
      <c r="FO512">
        <f>IF(ISBLANK('Data Entry'!$ë$512), "", 'Data Entry'!$ë$512)</f>
      </c>
      <c r="FP512">
        <f>IF(ISBLANK('Data Entry'!$ì$512), "", 'Data Entry'!$ì$512)</f>
      </c>
      <c r="FQ512">
        <f>IF(ISBLANK('Data Entry'!$í$512), "", 'Data Entry'!$í$512)</f>
      </c>
      <c r="FR512">
        <f>IF(ISBLANK('Data Entry'!$î$512), "", 'Data Entry'!$î$512)</f>
      </c>
      <c r="FS512">
        <f>IF(ISBLANK('Data Entry'!$ï$512), "", 'Data Entry'!$ï$512)</f>
      </c>
      <c r="FT512">
        <f>IF(ISBLANK('Data Entry'!$ð$512), "", 'Data Entry'!$ð$512)</f>
      </c>
      <c r="FU512">
        <f>IF(ISBLANK('Data Entry'!$ñ$512), "", 'Data Entry'!$ñ$512)</f>
      </c>
      <c r="FV512">
        <f>IF(ISBLANK('Data Entry'!$ò$512), "", 'Data Entry'!$ò$512)</f>
      </c>
      <c r="FW512">
        <f>IF(ISBLANK('Data Entry'!$ó$512), "", 'Data Entry'!$ó$512)</f>
      </c>
      <c r="FX512">
        <f>IF(ISBLANK('Data Entry'!$ô$512), "", 'Data Entry'!$ô$512)</f>
      </c>
      <c r="FY512">
        <f>IF(ISBLANK('Data Entry'!$õ$512), "", 'Data Entry'!$õ$512)</f>
      </c>
      <c r="FZ512">
        <f>IF(ISBLANK('Data Entry'!$ö$512), "", 'Data Entry'!$ö$512)</f>
      </c>
      <c r="GA512">
        <f>IF(ISBLANK('Data Entry'!$÷$512), "", 'Data Entry'!$÷$512)</f>
      </c>
      <c r="GB512">
        <f>IF(ISBLANK('Data Entry'!$ø$512), "", 'Data Entry'!$ø$512)</f>
      </c>
      <c r="GC512">
        <f>IF(ISBLANK('Data Entry'!$ù$512), "", 'Data Entry'!$ù$512)</f>
      </c>
      <c r="GD512">
        <f>IF(ISBLANK('Data Entry'!$ú$512), "", 'Data Entry'!$ú$512)</f>
      </c>
      <c r="GE512">
        <f>IF(ISBLANK('Data Entry'!$û$512), "", 'Data Entry'!$û$512)</f>
      </c>
      <c r="GF512">
        <f>IF(ISBLANK('Data Entry'!$ü$512), "", 'Data Entry'!$ü$512)</f>
      </c>
      <c r="GG512">
        <f>IF(ISBLANK('Data Entry'!$ý$512), "", 'Data Entry'!$ý$512)</f>
      </c>
      <c r="GH512">
        <f>IF(ISBLANK('Data Entry'!$þ$512), "", 'Data Entry'!$þ$512)</f>
      </c>
      <c r="GI512">
        <f>IF(ISBLANK('Data Entry'!$ÿ$512), "", 'Data Entry'!$ÿ$512)</f>
      </c>
      <c r="GJ512">
        <f>IF(ISBLANK('Data Entry'!$Ā$512), "", 'Data Entry'!$Ā$512)</f>
      </c>
      <c r="GK512">
        <f>IF(ISBLANK('Data Entry'!$ā$512), "", 'Data Entry'!$ā$512)</f>
      </c>
      <c r="GL512">
        <f>IF(ISBLANK('Data Entry'!$Ă$512), "", 'Data Entry'!$Ă$512)</f>
      </c>
      <c r="GM512">
        <f>IF(ISBLANK('Data Entry'!$ă$512), "", 'Data Entry'!$ă$512)</f>
      </c>
      <c r="GN512">
        <f>IF(ISBLANK('Data Entry'!$Ą$512), "", 'Data Entry'!$Ą$512)</f>
      </c>
      <c r="GO512">
        <f>IF(ISBLANK('Data Entry'!$ą$512), "", 'Data Entry'!$ą$512)</f>
      </c>
      <c r="GP512">
        <f>IF(ISBLANK('Data Entry'!$Ć$512), "", 'Data Entry'!$Ć$512)</f>
      </c>
      <c r="GQ512">
        <f>IF(ISBLANK('Data Entry'!$ć$512), "", 'Data Entry'!$ć$512)</f>
      </c>
      <c r="GR512">
        <f>IF(ISBLANK('Data Entry'!$Ĉ$512), "", 'Data Entry'!$Ĉ$512)</f>
      </c>
      <c r="GS512">
        <f>IF(ISBLANK('Data Entry'!$ĉ$512), "", 'Data Entry'!$ĉ$512)</f>
      </c>
      <c r="GT512">
        <f>IF(ISBLANK('Data Entry'!$Ċ$512), "", 'Data Entry'!$Ċ$512)</f>
      </c>
      <c r="GU512">
        <f>IF(ISBLANK('Data Entry'!$ċ$512), "", 'Data Entry'!$ċ$512)</f>
      </c>
      <c r="GV512">
        <f>IF(ISBLANK('Data Entry'!$Č$512), "", 'Data Entry'!$Č$512)</f>
      </c>
      <c r="GW512">
        <f>IF(ISBLANK('Data Entry'!$č$512), "", 'Data Entry'!$č$512)</f>
      </c>
      <c r="GX512">
        <f>IF(ISBLANK('Data Entry'!$Ď$512), "", 'Data Entry'!$Ď$512)</f>
      </c>
      <c r="GY512">
        <f>IF(ISBLANK('Data Entry'!$ď$512), "", 'Data Entry'!$ď$512)</f>
      </c>
      <c r="GZ512">
        <f>IF(ISBLANK('Data Entry'!$Đ$512), "", 'Data Entry'!$Đ$512)</f>
      </c>
      <c r="HA512">
        <f>IF(ISBLANK('Data Entry'!$đ$512), "", 'Data Entry'!$đ$512)</f>
      </c>
      <c r="HB512">
        <f>IF(ISBLANK('Data Entry'!$Ē$512), "", 'Data Entry'!$Ē$512)</f>
      </c>
      <c r="HC512">
        <f>IF(ISBLANK('Data Entry'!$ē$512), "", 'Data Entry'!$ē$512)</f>
      </c>
      <c r="HD512">
        <f>IF(ISBLANK('Data Entry'!$Ĕ$512), "", 'Data Entry'!$Ĕ$512)</f>
      </c>
      <c r="HE512">
        <f>IF(ISBLANK('Data Entry'!$ĕ$512), "", 'Data Entry'!$ĕ$512)</f>
      </c>
      <c r="HF512">
        <f>IF(ISBLANK('Data Entry'!$Ė$512), "", 'Data Entry'!$Ė$512)</f>
      </c>
      <c r="HG512">
        <f>IF(ISBLANK('Data Entry'!$ė$512), "", 'Data Entry'!$ė$512)</f>
      </c>
      <c r="HH512">
        <f>IF(ISBLANK('Data Entry'!$Ę$512), "", 'Data Entry'!$Ę$512)</f>
      </c>
      <c r="HI512">
        <f>IF(ISBLANK('Data Entry'!$ę$512), "", 'Data Entry'!$ę$512)</f>
      </c>
      <c r="HJ512">
        <f>IF(ISBLANK('Data Entry'!$Ě$512), "", 'Data Entry'!$Ě$512)</f>
      </c>
      <c r="HK512">
        <f>IF(ISBLANK('Data Entry'!$ě$512), "", 'Data Entry'!$ě$512)</f>
      </c>
      <c r="HL512">
        <f>IF(ISBLANK('Data Entry'!$Ĝ$512), "", 'Data Entry'!$Ĝ$512)</f>
      </c>
      <c r="HM512">
        <f>IF(ISBLANK('Data Entry'!$ĝ$512), "", 'Data Entry'!$ĝ$512)</f>
      </c>
      <c r="HN512">
        <f>IF(ISBLANK('Data Entry'!$Ğ$512), "", 'Data Entry'!$Ğ$512)</f>
      </c>
      <c r="HO512">
        <f>IF(ISBLANK('Data Entry'!$ğ$512), "", 'Data Entry'!$ğ$512)</f>
      </c>
      <c r="HP512">
        <f>IF(ISBLANK('Data Entry'!$Ġ$512), "", 'Data Entry'!$Ġ$512)</f>
      </c>
      <c r="HQ512">
        <f>IF(ISBLANK('Data Entry'!$ġ$512), "", 'Data Entry'!$ġ$512)</f>
      </c>
      <c r="HR512">
        <f>IF(ISBLANK('Data Entry'!$Ģ$512), "", 'Data Entry'!$Ģ$512)</f>
      </c>
      <c r="HS512">
        <f>IF(ISBLANK('Data Entry'!$ģ$512), "", 'Data Entry'!$ģ$512)</f>
      </c>
      <c r="HT512">
        <f>IF(ISBLANK('Data Entry'!$Ĥ$512), "", 'Data Entry'!$Ĥ$512)</f>
      </c>
      <c r="HU512">
        <f>IF(ISBLANK('Data Entry'!$ĥ$512), "", 'Data Entry'!$ĥ$512)</f>
      </c>
      <c r="HV512">
        <f>IF(ISBLANK('Data Entry'!$Ħ$512), "", 'Data Entry'!$Ħ$512)</f>
      </c>
      <c r="HW512">
        <f>IF(ISBLANK('Data Entry'!$ħ$512), "", 'Data Entry'!$ħ$512)</f>
      </c>
      <c r="HX512">
        <f>IF(ISBLANK('Data Entry'!$Ĩ$512), "", 'Data Entry'!$Ĩ$512)</f>
      </c>
      <c r="HY512">
        <f>IF(ISBLANK('Data Entry'!$ĩ$512), "", 'Data Entry'!$ĩ$512)</f>
      </c>
      <c r="HZ512">
        <f>IF(ISBLANK('Data Entry'!$Ī$512), "", 'Data Entry'!$Ī$512)</f>
      </c>
      <c r="IA512">
        <f>IF(ISBLANK('Data Entry'!$ī$512), "", 'Data Entry'!$ī$512)</f>
      </c>
      <c r="IB512">
        <f>IF(ISBLANK('Data Entry'!$Ĭ$512), "", 'Data Entry'!$Ĭ$512)</f>
      </c>
      <c r="IC512">
        <f>IF(ISBLANK('Data Entry'!$ĭ$512), "", 'Data Entry'!$ĭ$512)</f>
      </c>
      <c r="ID512">
        <f>IF(ISBLANK('Data Entry'!$Į$512), "", 'Data Entry'!$Į$512)</f>
      </c>
      <c r="IE512">
        <f>IF(ISBLANK('Data Entry'!$į$512), "", 'Data Entry'!$į$512)</f>
      </c>
      <c r="IF512">
        <f>IF(ISBLANK('Data Entry'!$İ$512), "", 'Data Entry'!$İ$512)</f>
      </c>
      <c r="IG512">
        <f>IF(ISBLANK('Data Entry'!$ı$512), "", 'Data Entry'!$ı$512)</f>
      </c>
      <c r="IH512">
        <f>IF(ISBLANK('Data Entry'!$Ĳ$512), "", 'Data Entry'!$Ĳ$512)</f>
      </c>
      <c r="II512">
        <f>IF(ISBLANK('Data Entry'!$ĳ$512), "", 'Data Entry'!$ĳ$512)</f>
      </c>
      <c r="IJ512">
        <f>IF(ISBLANK('Data Entry'!$Ĵ$512), "", 'Data Entry'!$Ĵ$512)</f>
      </c>
      <c r="IK512">
        <f>IF(ISBLANK('Data Entry'!$ĵ$512), "", 'Data Entry'!$ĵ$512)</f>
      </c>
      <c r="IL512">
        <f>IF(ISBLANK('Data Entry'!$Ķ$512), "", 'Data Entry'!$Ķ$512)</f>
      </c>
      <c r="IM512">
        <f>IF(ISBLANK('Data Entry'!$ķ$512), "", 'Data Entry'!$ķ$512)</f>
      </c>
      <c r="IN512">
        <f>IF(ISBLANK('Data Entry'!$ĸ$512), "", 'Data Entry'!$ĸ$512)</f>
      </c>
      <c r="IO512">
        <f>IF(ISBLANK('Data Entry'!$Ĺ$512), "", 'Data Entry'!$Ĺ$512)</f>
      </c>
      <c r="IP512">
        <f>IF(ISBLANK('Data Entry'!$ĺ$512), "", 'Data Entry'!$ĺ$512)</f>
      </c>
      <c r="IQ512">
        <f>IF(ISBLANK('Data Entry'!$Ļ$512), "", 'Data Entry'!$Ļ$512)</f>
      </c>
      <c r="IR512">
        <f>IF(ISBLANK('Data Entry'!$ļ$512), "", 'Data Entry'!$ļ$512)</f>
      </c>
      <c r="IS512">
        <f>IF(ISBLANK('Data Entry'!$Ľ$512), "", 'Data Entry'!$Ľ$512)</f>
      </c>
      <c r="IT512">
        <f>IF(ISBLANK('Data Entry'!$ľ$512), "", 'Data Entry'!$ľ$512)</f>
      </c>
    </row>
    <row r="513" spans="1:254" x14ac:dyDescent="0.25">
      <c r="A513">
        <f>IF(ISBLANK('Data Entry'!$A$513), "", 'Data Entry'!$A$513)</f>
      </c>
      <c r="B513">
        <f>IF(ISBLANK('Data Entry'!$B$513), "", 'Data Entry'!$B$513)</f>
      </c>
      <c r="C513">
        <f>IF(ISBLANK('Data Entry'!$C$513), "", 'Data Entry'!$C$513)</f>
      </c>
      <c r="D513">
        <f>IF(ISBLANK('Data Entry'!$D$513), "", 'Data Entry'!$D$513)</f>
      </c>
      <c r="E513">
        <f>IF(ISBLANK('Data Entry'!$E$513), "", 'Data Entry'!$E$513)</f>
      </c>
      <c r="F513">
        <f>IF(ISBLANK('Data Entry'!$F$513), "", 'Data Entry'!$F$513)</f>
      </c>
      <c r="G513">
        <f>IF(ISBLANK('Data Entry'!$G$513), "", 'Data Entry'!$G$513)</f>
      </c>
      <c r="H513">
        <f>IF(ISBLANK('Data Entry'!$H$513), "", 'Data Entry'!$H$513)</f>
      </c>
      <c r="I513">
        <f>IF(ISBLANK('Data Entry'!$I$513), "", 'Data Entry'!$I$513)</f>
      </c>
      <c r="J513">
        <f>IF(ISBLANK('Data Entry'!$J$513), "", 'Data Entry'!$J$513)</f>
      </c>
      <c r="K513">
        <f>IF(ISBLANK('Data Entry'!$K$513), "", 'Data Entry'!$K$513)</f>
      </c>
      <c r="L513">
        <f>IF(ISBLANK('Data Entry'!$L$513), "", 'Data Entry'!$L$513)</f>
      </c>
      <c r="M513">
        <f>IF(ISBLANK('Data Entry'!$M$513), "", 'Data Entry'!$M$513)</f>
      </c>
      <c r="N513">
        <f>IF(ISBLANK('Data Entry'!$N$513), "", 'Data Entry'!$N$513)</f>
      </c>
      <c r="O513">
        <f>IF(ISBLANK('Data Entry'!$O$513), "", 'Data Entry'!$O$513)</f>
      </c>
      <c r="P513">
        <f>IF(ISBLANK('Data Entry'!$P$513), "", 'Data Entry'!$P$513)</f>
      </c>
      <c r="Q513">
        <f>IF(ISBLANK('Data Entry'!$Q$513), "", 'Data Entry'!$Q$513)</f>
      </c>
      <c r="R513">
        <f>IF(ISBLANK('Data Entry'!$R$513), "", 'Data Entry'!$R$513)</f>
      </c>
      <c r="S513">
        <f>IF(ISBLANK('Data Entry'!$S$513), "", 'Data Entry'!$S$513)</f>
      </c>
      <c r="T513">
        <f>IF(ISBLANK('Data Entry'!$T$513), "", 'Data Entry'!$T$513)</f>
      </c>
      <c r="U513">
        <f>IF(ISBLANK('Data Entry'!$U$513), "", 'Data Entry'!$U$513)</f>
      </c>
      <c r="V513">
        <f>IF(ISBLANK('Data Entry'!$V$513), "", 'Data Entry'!$V$513)</f>
      </c>
      <c r="W513">
        <f>IF(ISBLANK('Data Entry'!$W$513), "", 'Data Entry'!$W$513)</f>
      </c>
      <c r="X513">
        <f>IF(ISBLANK('Data Entry'!$X$513), "", 'Data Entry'!$X$513)</f>
      </c>
      <c r="Y513">
        <f>IF(ISBLANK('Data Entry'!$Y$513), "", 'Data Entry'!$Y$513)</f>
      </c>
      <c r="Z513">
        <f>IF(ISBLANK('Data Entry'!$Z$513), "", 'Data Entry'!$Z$513)</f>
      </c>
      <c r="AA513">
        <f>IF(ISBLANK('Data Entry'!$[$513), "", 'Data Entry'!$[$513)</f>
      </c>
      <c r="AB513">
        <f>IF(ISBLANK('Data Entry'!$\$513), "", 'Data Entry'!$\$513)</f>
      </c>
      <c r="AC513">
        <f>IF(ISBLANK('Data Entry'!$]$513), "", 'Data Entry'!$]$513)</f>
      </c>
      <c r="AD513">
        <f>IF(ISBLANK('Data Entry'!$^$513), "", 'Data Entry'!$^$513)</f>
      </c>
      <c r="AE513">
        <f>IF(ISBLANK('Data Entry'!$_$513), "", 'Data Entry'!$_$513)</f>
      </c>
      <c r="AF513">
        <f>IF(ISBLANK('Data Entry'!$`$513), "", 'Data Entry'!$`$513)</f>
      </c>
      <c r="AG513">
        <f>IF(ISBLANK('Data Entry'!$a$513), "", 'Data Entry'!$a$513)</f>
      </c>
      <c r="AH513">
        <f>IF(ISBLANK('Data Entry'!$b$513), "", 'Data Entry'!$b$513)</f>
      </c>
      <c r="AI513">
        <f>IF(ISBLANK('Data Entry'!$c$513), "", 'Data Entry'!$c$513)</f>
      </c>
      <c r="AJ513">
        <f>IF(ISBLANK('Data Entry'!$d$513), "", 'Data Entry'!$d$513)</f>
      </c>
      <c r="AK513">
        <f>IF(ISBLANK('Data Entry'!$e$513), "", 'Data Entry'!$e$513)</f>
      </c>
      <c r="AL513">
        <f>IF(ISBLANK('Data Entry'!$f$513), "", 'Data Entry'!$f$513)</f>
      </c>
      <c r="AM513">
        <f>IF(ISBLANK('Data Entry'!$g$513), "", 'Data Entry'!$g$513)</f>
      </c>
      <c r="AN513">
        <f>IF(ISBLANK('Data Entry'!$h$513), "", 'Data Entry'!$h$513)</f>
      </c>
      <c r="AO513">
        <f>IF(ISBLANK('Data Entry'!$i$513), "", 'Data Entry'!$i$513)</f>
      </c>
      <c r="AP513">
        <f>IF(ISBLANK('Data Entry'!$j$513), "", 'Data Entry'!$j$513)</f>
      </c>
      <c r="AQ513">
        <f>IF(ISBLANK('Data Entry'!$k$513), "", 'Data Entry'!$k$513)</f>
      </c>
      <c r="AR513">
        <f>IF(ISBLANK('Data Entry'!$l$513), "", 'Data Entry'!$l$513)</f>
      </c>
      <c r="AS513">
        <f>IF(ISBLANK('Data Entry'!$m$513), "", 'Data Entry'!$m$513)</f>
      </c>
      <c r="AT513">
        <f>IF(ISBLANK('Data Entry'!$n$513), "", 'Data Entry'!$n$513)</f>
      </c>
      <c r="AU513">
        <f>IF(ISBLANK('Data Entry'!$o$513), "", 'Data Entry'!$o$513)</f>
      </c>
      <c r="AV513">
        <f>IF(ISBLANK('Data Entry'!$p$513), "", 'Data Entry'!$p$513)</f>
      </c>
      <c r="AW513">
        <f>IF(ISBLANK('Data Entry'!$q$513), "", 'Data Entry'!$q$513)</f>
      </c>
      <c r="AX513">
        <f>IF(ISBLANK('Data Entry'!$r$513), "", 'Data Entry'!$r$513)</f>
      </c>
      <c r="AY513">
        <f>IF(ISBLANK('Data Entry'!$s$513), "", 'Data Entry'!$s$513)</f>
      </c>
      <c r="AZ513">
        <f>IF(ISBLANK('Data Entry'!$t$513), "", 'Data Entry'!$t$513)</f>
      </c>
      <c r="BA513">
        <f>IF(ISBLANK('Data Entry'!$u$513), "", 'Data Entry'!$u$513)</f>
      </c>
      <c r="BB513">
        <f>IF(ISBLANK('Data Entry'!$v$513), "", 'Data Entry'!$v$513)</f>
      </c>
      <c r="BC513">
        <f>IF(ISBLANK('Data Entry'!$w$513), "", 'Data Entry'!$w$513)</f>
      </c>
      <c r="BD513">
        <f>IF(ISBLANK('Data Entry'!$x$513), "", 'Data Entry'!$x$513)</f>
      </c>
      <c r="BE513">
        <f>IF(ISBLANK('Data Entry'!$y$513), "", 'Data Entry'!$y$513)</f>
      </c>
      <c r="BF513">
        <f>IF(ISBLANK('Data Entry'!$z$513), "", 'Data Entry'!$z$513)</f>
      </c>
      <c r="BG513">
        <f>IF(ISBLANK('Data Entry'!${$513), "", 'Data Entry'!${$513)</f>
      </c>
      <c r="BH513">
        <f>IF(ISBLANK('Data Entry'!$|$513), "", 'Data Entry'!$|$513)</f>
      </c>
      <c r="BI513">
        <f>IF(ISBLANK('Data Entry'!$}$513), "", 'Data Entry'!$}$513)</f>
      </c>
      <c r="BJ513">
        <f>IF(ISBLANK('Data Entry'!$~$513), "", 'Data Entry'!$~$513)</f>
      </c>
      <c r="BK513">
        <f>IF(ISBLANK('Data Entry'!$$513), "", 'Data Entry'!$$513)</f>
      </c>
      <c r="BL513">
        <f>IF(ISBLANK('Data Entry'!$$513), "", 'Data Entry'!$$513)</f>
      </c>
      <c r="BM513">
        <f>IF(ISBLANK('Data Entry'!$$513), "", 'Data Entry'!$$513)</f>
      </c>
      <c r="BN513">
        <f>IF(ISBLANK('Data Entry'!$$513), "", 'Data Entry'!$$513)</f>
      </c>
      <c r="BO513">
        <f>IF(ISBLANK('Data Entry'!$$513), "", 'Data Entry'!$$513)</f>
      </c>
      <c r="BP513">
        <f>IF(ISBLANK('Data Entry'!$$513), "", 'Data Entry'!$$513)</f>
      </c>
      <c r="BQ513">
        <f>IF(ISBLANK('Data Entry'!$$513), "", 'Data Entry'!$$513)</f>
      </c>
      <c r="BR513">
        <f>IF(ISBLANK('Data Entry'!$$513), "", 'Data Entry'!$$513)</f>
      </c>
      <c r="BS513">
        <f>IF(ISBLANK('Data Entry'!$$513), "", 'Data Entry'!$$513)</f>
      </c>
      <c r="BT513">
        <f>IF(ISBLANK('Data Entry'!$$513), "", 'Data Entry'!$$513)</f>
      </c>
      <c r="BU513">
        <f>IF(ISBLANK('Data Entry'!$$513), "", 'Data Entry'!$$513)</f>
      </c>
      <c r="BV513">
        <f>IF(ISBLANK('Data Entry'!$$513), "", 'Data Entry'!$$513)</f>
      </c>
      <c r="BW513">
        <f>IF(ISBLANK('Data Entry'!$$513), "", 'Data Entry'!$$513)</f>
      </c>
      <c r="BX513">
        <f>IF(ISBLANK('Data Entry'!$$513), "", 'Data Entry'!$$513)</f>
      </c>
      <c r="BY513">
        <f>IF(ISBLANK('Data Entry'!$$513), "", 'Data Entry'!$$513)</f>
      </c>
      <c r="BZ513">
        <f>IF(ISBLANK('Data Entry'!$$513), "", 'Data Entry'!$$513)</f>
      </c>
      <c r="CA513">
        <f>IF(ISBLANK('Data Entry'!$$513), "", 'Data Entry'!$$513)</f>
      </c>
      <c r="CB513">
        <f>IF(ISBLANK('Data Entry'!$$513), "", 'Data Entry'!$$513)</f>
      </c>
      <c r="CC513">
        <f>IF(ISBLANK('Data Entry'!$$513), "", 'Data Entry'!$$513)</f>
      </c>
      <c r="CD513">
        <f>IF(ISBLANK('Data Entry'!$$513), "", 'Data Entry'!$$513)</f>
      </c>
      <c r="CE513">
        <f>IF(ISBLANK('Data Entry'!$$513), "", 'Data Entry'!$$513)</f>
      </c>
      <c r="CF513">
        <f>IF(ISBLANK('Data Entry'!$$513), "", 'Data Entry'!$$513)</f>
      </c>
      <c r="CG513">
        <f>IF(ISBLANK('Data Entry'!$$513), "", 'Data Entry'!$$513)</f>
      </c>
      <c r="CH513">
        <f>IF(ISBLANK('Data Entry'!$$513), "", 'Data Entry'!$$513)</f>
      </c>
      <c r="CI513">
        <f>IF(ISBLANK('Data Entry'!$$513), "", 'Data Entry'!$$513)</f>
      </c>
      <c r="CJ513">
        <f>IF(ISBLANK('Data Entry'!$$513), "", 'Data Entry'!$$513)</f>
      </c>
      <c r="CK513">
        <f>IF(ISBLANK('Data Entry'!$$513), "", 'Data Entry'!$$513)</f>
      </c>
      <c r="CL513">
        <f>IF(ISBLANK('Data Entry'!$$513), "", 'Data Entry'!$$513)</f>
      </c>
      <c r="CM513">
        <f>IF(ISBLANK('Data Entry'!$$513), "", 'Data Entry'!$$513)</f>
      </c>
      <c r="CN513">
        <f>IF(ISBLANK('Data Entry'!$$513), "", 'Data Entry'!$$513)</f>
      </c>
      <c r="CO513">
        <f>IF(ISBLANK('Data Entry'!$$513), "", 'Data Entry'!$$513)</f>
      </c>
      <c r="CP513">
        <f>IF(ISBLANK('Data Entry'!$$513), "", 'Data Entry'!$$513)</f>
      </c>
      <c r="CQ513">
        <f>IF(ISBLANK('Data Entry'!$$513), "", 'Data Entry'!$$513)</f>
      </c>
      <c r="CR513">
        <f>IF(ISBLANK('Data Entry'!$ $513), "", 'Data Entry'!$ $513)</f>
      </c>
      <c r="CS513">
        <f>IF(ISBLANK('Data Entry'!$¡$513), "", 'Data Entry'!$¡$513)</f>
      </c>
      <c r="CT513">
        <f>IF(ISBLANK('Data Entry'!$¢$513), "", 'Data Entry'!$¢$513)</f>
      </c>
      <c r="CU513">
        <f>IF(ISBLANK('Data Entry'!$£$513), "", 'Data Entry'!$£$513)</f>
      </c>
      <c r="CV513">
        <f>IF(ISBLANK('Data Entry'!$¤$513), "", 'Data Entry'!$¤$513)</f>
      </c>
      <c r="CW513">
        <f>IF(ISBLANK('Data Entry'!$¥$513), "", 'Data Entry'!$¥$513)</f>
      </c>
      <c r="CX513">
        <f>IF(ISBLANK('Data Entry'!$¦$513), "", 'Data Entry'!$¦$513)</f>
      </c>
      <c r="CY513">
        <f>IF(ISBLANK('Data Entry'!$§$513), "", 'Data Entry'!$§$513)</f>
      </c>
      <c r="CZ513">
        <f>IF(ISBLANK('Data Entry'!$¨$513), "", 'Data Entry'!$¨$513)</f>
      </c>
      <c r="DA513">
        <f>IF(ISBLANK('Data Entry'!$©$513), "", 'Data Entry'!$©$513)</f>
      </c>
      <c r="DB513">
        <f>IF(ISBLANK('Data Entry'!$ª$513), "", 'Data Entry'!$ª$513)</f>
      </c>
      <c r="DC513">
        <f>IF(ISBLANK('Data Entry'!$«$513), "", 'Data Entry'!$«$513)</f>
      </c>
      <c r="DD513">
        <f>IF(ISBLANK('Data Entry'!$¬$513), "", 'Data Entry'!$¬$513)</f>
      </c>
      <c r="DE513">
        <f>IF(ISBLANK('Data Entry'!$­$513), "", 'Data Entry'!$­$513)</f>
      </c>
      <c r="DF513">
        <f>IF(ISBLANK('Data Entry'!$®$513), "", 'Data Entry'!$®$513)</f>
      </c>
      <c r="DG513">
        <f>IF(ISBLANK('Data Entry'!$¯$513), "", 'Data Entry'!$¯$513)</f>
      </c>
      <c r="DH513">
        <f>IF(ISBLANK('Data Entry'!$°$513), "", 'Data Entry'!$°$513)</f>
      </c>
      <c r="DI513">
        <f>IF(ISBLANK('Data Entry'!$±$513), "", 'Data Entry'!$±$513)</f>
      </c>
      <c r="DJ513">
        <f>IF(ISBLANK('Data Entry'!$²$513), "", 'Data Entry'!$²$513)</f>
      </c>
      <c r="DK513">
        <f>IF(ISBLANK('Data Entry'!$³$513), "", 'Data Entry'!$³$513)</f>
      </c>
      <c r="DL513">
        <f>IF(ISBLANK('Data Entry'!$´$513), "", 'Data Entry'!$´$513)</f>
      </c>
      <c r="DM513">
        <f>IF(ISBLANK('Data Entry'!$µ$513), "", 'Data Entry'!$µ$513)</f>
      </c>
      <c r="DN513">
        <f>IF(ISBLANK('Data Entry'!$¶$513), "", 'Data Entry'!$¶$513)</f>
      </c>
      <c r="DO513">
        <f>IF(ISBLANK('Data Entry'!$·$513), "", 'Data Entry'!$·$513)</f>
      </c>
      <c r="DP513">
        <f>IF(ISBLANK('Data Entry'!$¸$513), "", 'Data Entry'!$¸$513)</f>
      </c>
      <c r="DQ513">
        <f>IF(ISBLANK('Data Entry'!$¹$513), "", 'Data Entry'!$¹$513)</f>
      </c>
      <c r="DR513">
        <f>IF(ISBLANK('Data Entry'!$º$513), "", 'Data Entry'!$º$513)</f>
      </c>
      <c r="DS513">
        <f>IF(ISBLANK('Data Entry'!$»$513), "", 'Data Entry'!$»$513)</f>
      </c>
      <c r="DT513">
        <f>IF(ISBLANK('Data Entry'!$¼$513), "", 'Data Entry'!$¼$513)</f>
      </c>
      <c r="DU513">
        <f>IF(ISBLANK('Data Entry'!$½$513), "", 'Data Entry'!$½$513)</f>
      </c>
      <c r="DV513">
        <f>IF(ISBLANK('Data Entry'!$¾$513), "", 'Data Entry'!$¾$513)</f>
      </c>
      <c r="DW513">
        <f>IF(ISBLANK('Data Entry'!$¿$513), "", 'Data Entry'!$¿$513)</f>
      </c>
      <c r="DX513">
        <f>IF(ISBLANK('Data Entry'!$À$513), "", 'Data Entry'!$À$513)</f>
      </c>
      <c r="DY513">
        <f>IF(ISBLANK('Data Entry'!$Á$513), "", 'Data Entry'!$Á$513)</f>
      </c>
      <c r="DZ513">
        <f>IF(ISBLANK('Data Entry'!$Â$513), "", 'Data Entry'!$Â$513)</f>
      </c>
      <c r="EA513">
        <f>IF(ISBLANK('Data Entry'!$Ã$513), "", 'Data Entry'!$Ã$513)</f>
      </c>
      <c r="EB513">
        <f>IF(ISBLANK('Data Entry'!$Ä$513), "", 'Data Entry'!$Ä$513)</f>
      </c>
      <c r="EC513">
        <f>IF(ISBLANK('Data Entry'!$Å$513), "", 'Data Entry'!$Å$513)</f>
      </c>
      <c r="ED513">
        <f>IF(ISBLANK('Data Entry'!$Æ$513), "", 'Data Entry'!$Æ$513)</f>
      </c>
      <c r="EE513">
        <f>IF(ISBLANK('Data Entry'!$Ç$513), "", 'Data Entry'!$Ç$513)</f>
      </c>
      <c r="EF513">
        <f>IF(ISBLANK('Data Entry'!$È$513), "", 'Data Entry'!$È$513)</f>
      </c>
      <c r="EG513">
        <f>IF(ISBLANK('Data Entry'!$É$513), "", 'Data Entry'!$É$513)</f>
      </c>
      <c r="EH513">
        <f>IF(ISBLANK('Data Entry'!$Ê$513), "", 'Data Entry'!$Ê$513)</f>
      </c>
      <c r="EI513">
        <f>IF(ISBLANK('Data Entry'!$Ë$513), "", 'Data Entry'!$Ë$513)</f>
      </c>
      <c r="EJ513">
        <f>IF(ISBLANK('Data Entry'!$Ì$513), "", 'Data Entry'!$Ì$513)</f>
      </c>
      <c r="EK513">
        <f>IF(ISBLANK('Data Entry'!$Í$513), "", 'Data Entry'!$Í$513)</f>
      </c>
      <c r="EL513">
        <f>IF(ISBLANK('Data Entry'!$Î$513), "", 'Data Entry'!$Î$513)</f>
      </c>
      <c r="EM513">
        <f>IF(ISBLANK('Data Entry'!$Ï$513), "", 'Data Entry'!$Ï$513)</f>
      </c>
      <c r="EN513">
        <f>IF(ISBLANK('Data Entry'!$Ð$513), "", 'Data Entry'!$Ð$513)</f>
      </c>
      <c r="EO513">
        <f>IF(ISBLANK('Data Entry'!$Ñ$513), "", 'Data Entry'!$Ñ$513)</f>
      </c>
      <c r="EP513">
        <f>IF(ISBLANK('Data Entry'!$Ò$513), "", 'Data Entry'!$Ò$513)</f>
      </c>
      <c r="EQ513">
        <f>IF(ISBLANK('Data Entry'!$Ó$513), "", 'Data Entry'!$Ó$513)</f>
      </c>
      <c r="ER513">
        <f>IF(ISBLANK('Data Entry'!$Ô$513), "", 'Data Entry'!$Ô$513)</f>
      </c>
      <c r="ES513">
        <f>IF(ISBLANK('Data Entry'!$Õ$513), "", 'Data Entry'!$Õ$513)</f>
      </c>
      <c r="ET513">
        <f>IF(ISBLANK('Data Entry'!$Ö$513), "", 'Data Entry'!$Ö$513)</f>
      </c>
      <c r="EU513">
        <f>IF(ISBLANK('Data Entry'!$×$513), "", 'Data Entry'!$×$513)</f>
      </c>
      <c r="EV513">
        <f>IF(ISBLANK('Data Entry'!$Ø$513), "", 'Data Entry'!$Ø$513)</f>
      </c>
      <c r="EW513">
        <f>IF(ISBLANK('Data Entry'!$Ù$513), "", 'Data Entry'!$Ù$513)</f>
      </c>
      <c r="EX513">
        <f>IF(ISBLANK('Data Entry'!$Ú$513), "", 'Data Entry'!$Ú$513)</f>
      </c>
      <c r="EY513">
        <f>IF(ISBLANK('Data Entry'!$Û$513), "", 'Data Entry'!$Û$513)</f>
      </c>
      <c r="EZ513">
        <f>IF(ISBLANK('Data Entry'!$Ü$513), "", 'Data Entry'!$Ü$513)</f>
      </c>
      <c r="FA513">
        <f>IF(ISBLANK('Data Entry'!$Ý$513), "", 'Data Entry'!$Ý$513)</f>
      </c>
      <c r="FB513">
        <f>IF(ISBLANK('Data Entry'!$Þ$513), "", 'Data Entry'!$Þ$513)</f>
      </c>
      <c r="FC513">
        <f>IF(ISBLANK('Data Entry'!$ß$513), "", 'Data Entry'!$ß$513)</f>
      </c>
      <c r="FD513">
        <f>IF(ISBLANK('Data Entry'!$à$513), "", 'Data Entry'!$à$513)</f>
      </c>
      <c r="FE513">
        <f>IF(ISBLANK('Data Entry'!$á$513), "", 'Data Entry'!$á$513)</f>
      </c>
      <c r="FF513">
        <f>IF(ISBLANK('Data Entry'!$â$513), "", 'Data Entry'!$â$513)</f>
      </c>
      <c r="FG513">
        <f>IF(ISBLANK('Data Entry'!$ã$513), "", 'Data Entry'!$ã$513)</f>
      </c>
      <c r="FH513">
        <f>IF(ISBLANK('Data Entry'!$ä$513), "", 'Data Entry'!$ä$513)</f>
      </c>
      <c r="FI513">
        <f>IF(ISBLANK('Data Entry'!$å$513), "", 'Data Entry'!$å$513)</f>
      </c>
      <c r="FJ513">
        <f>IF(ISBLANK('Data Entry'!$æ$513), "", 'Data Entry'!$æ$513)</f>
      </c>
      <c r="FK513">
        <f>IF(ISBLANK('Data Entry'!$ç$513), "", 'Data Entry'!$ç$513)</f>
      </c>
      <c r="FL513">
        <f>IF(ISBLANK('Data Entry'!$è$513), "", 'Data Entry'!$è$513)</f>
      </c>
      <c r="FM513">
        <f>IF(ISBLANK('Data Entry'!$é$513), "", 'Data Entry'!$é$513)</f>
      </c>
      <c r="FN513">
        <f>IF(ISBLANK('Data Entry'!$ê$513), "", 'Data Entry'!$ê$513)</f>
      </c>
      <c r="FO513">
        <f>IF(ISBLANK('Data Entry'!$ë$513), "", 'Data Entry'!$ë$513)</f>
      </c>
      <c r="FP513">
        <f>IF(ISBLANK('Data Entry'!$ì$513), "", 'Data Entry'!$ì$513)</f>
      </c>
      <c r="FQ513">
        <f>IF(ISBLANK('Data Entry'!$í$513), "", 'Data Entry'!$í$513)</f>
      </c>
      <c r="FR513">
        <f>IF(ISBLANK('Data Entry'!$î$513), "", 'Data Entry'!$î$513)</f>
      </c>
      <c r="FS513">
        <f>IF(ISBLANK('Data Entry'!$ï$513), "", 'Data Entry'!$ï$513)</f>
      </c>
      <c r="FT513">
        <f>IF(ISBLANK('Data Entry'!$ð$513), "", 'Data Entry'!$ð$513)</f>
      </c>
      <c r="FU513">
        <f>IF(ISBLANK('Data Entry'!$ñ$513), "", 'Data Entry'!$ñ$513)</f>
      </c>
      <c r="FV513">
        <f>IF(ISBLANK('Data Entry'!$ò$513), "", 'Data Entry'!$ò$513)</f>
      </c>
      <c r="FW513">
        <f>IF(ISBLANK('Data Entry'!$ó$513), "", 'Data Entry'!$ó$513)</f>
      </c>
      <c r="FX513">
        <f>IF(ISBLANK('Data Entry'!$ô$513), "", 'Data Entry'!$ô$513)</f>
      </c>
      <c r="FY513">
        <f>IF(ISBLANK('Data Entry'!$õ$513), "", 'Data Entry'!$õ$513)</f>
      </c>
      <c r="FZ513">
        <f>IF(ISBLANK('Data Entry'!$ö$513), "", 'Data Entry'!$ö$513)</f>
      </c>
      <c r="GA513">
        <f>IF(ISBLANK('Data Entry'!$÷$513), "", 'Data Entry'!$÷$513)</f>
      </c>
      <c r="GB513">
        <f>IF(ISBLANK('Data Entry'!$ø$513), "", 'Data Entry'!$ø$513)</f>
      </c>
      <c r="GC513">
        <f>IF(ISBLANK('Data Entry'!$ù$513), "", 'Data Entry'!$ù$513)</f>
      </c>
      <c r="GD513">
        <f>IF(ISBLANK('Data Entry'!$ú$513), "", 'Data Entry'!$ú$513)</f>
      </c>
      <c r="GE513">
        <f>IF(ISBLANK('Data Entry'!$û$513), "", 'Data Entry'!$û$513)</f>
      </c>
      <c r="GF513">
        <f>IF(ISBLANK('Data Entry'!$ü$513), "", 'Data Entry'!$ü$513)</f>
      </c>
      <c r="GG513">
        <f>IF(ISBLANK('Data Entry'!$ý$513), "", 'Data Entry'!$ý$513)</f>
      </c>
      <c r="GH513">
        <f>IF(ISBLANK('Data Entry'!$þ$513), "", 'Data Entry'!$þ$513)</f>
      </c>
      <c r="GI513">
        <f>IF(ISBLANK('Data Entry'!$ÿ$513), "", 'Data Entry'!$ÿ$513)</f>
      </c>
      <c r="GJ513">
        <f>IF(ISBLANK('Data Entry'!$Ā$513), "", 'Data Entry'!$Ā$513)</f>
      </c>
      <c r="GK513">
        <f>IF(ISBLANK('Data Entry'!$ā$513), "", 'Data Entry'!$ā$513)</f>
      </c>
      <c r="GL513">
        <f>IF(ISBLANK('Data Entry'!$Ă$513), "", 'Data Entry'!$Ă$513)</f>
      </c>
      <c r="GM513">
        <f>IF(ISBLANK('Data Entry'!$ă$513), "", 'Data Entry'!$ă$513)</f>
      </c>
      <c r="GN513">
        <f>IF(ISBLANK('Data Entry'!$Ą$513), "", 'Data Entry'!$Ą$513)</f>
      </c>
      <c r="GO513">
        <f>IF(ISBLANK('Data Entry'!$ą$513), "", 'Data Entry'!$ą$513)</f>
      </c>
      <c r="GP513">
        <f>IF(ISBLANK('Data Entry'!$Ć$513), "", 'Data Entry'!$Ć$513)</f>
      </c>
      <c r="GQ513">
        <f>IF(ISBLANK('Data Entry'!$ć$513), "", 'Data Entry'!$ć$513)</f>
      </c>
      <c r="GR513">
        <f>IF(ISBLANK('Data Entry'!$Ĉ$513), "", 'Data Entry'!$Ĉ$513)</f>
      </c>
      <c r="GS513">
        <f>IF(ISBLANK('Data Entry'!$ĉ$513), "", 'Data Entry'!$ĉ$513)</f>
      </c>
      <c r="GT513">
        <f>IF(ISBLANK('Data Entry'!$Ċ$513), "", 'Data Entry'!$Ċ$513)</f>
      </c>
      <c r="GU513">
        <f>IF(ISBLANK('Data Entry'!$ċ$513), "", 'Data Entry'!$ċ$513)</f>
      </c>
      <c r="GV513">
        <f>IF(ISBLANK('Data Entry'!$Č$513), "", 'Data Entry'!$Č$513)</f>
      </c>
      <c r="GW513">
        <f>IF(ISBLANK('Data Entry'!$č$513), "", 'Data Entry'!$č$513)</f>
      </c>
      <c r="GX513">
        <f>IF(ISBLANK('Data Entry'!$Ď$513), "", 'Data Entry'!$Ď$513)</f>
      </c>
      <c r="GY513">
        <f>IF(ISBLANK('Data Entry'!$ď$513), "", 'Data Entry'!$ď$513)</f>
      </c>
      <c r="GZ513">
        <f>IF(ISBLANK('Data Entry'!$Đ$513), "", 'Data Entry'!$Đ$513)</f>
      </c>
      <c r="HA513">
        <f>IF(ISBLANK('Data Entry'!$đ$513), "", 'Data Entry'!$đ$513)</f>
      </c>
      <c r="HB513">
        <f>IF(ISBLANK('Data Entry'!$Ē$513), "", 'Data Entry'!$Ē$513)</f>
      </c>
      <c r="HC513">
        <f>IF(ISBLANK('Data Entry'!$ē$513), "", 'Data Entry'!$ē$513)</f>
      </c>
      <c r="HD513">
        <f>IF(ISBLANK('Data Entry'!$Ĕ$513), "", 'Data Entry'!$Ĕ$513)</f>
      </c>
      <c r="HE513">
        <f>IF(ISBLANK('Data Entry'!$ĕ$513), "", 'Data Entry'!$ĕ$513)</f>
      </c>
      <c r="HF513">
        <f>IF(ISBLANK('Data Entry'!$Ė$513), "", 'Data Entry'!$Ė$513)</f>
      </c>
      <c r="HG513">
        <f>IF(ISBLANK('Data Entry'!$ė$513), "", 'Data Entry'!$ė$513)</f>
      </c>
      <c r="HH513">
        <f>IF(ISBLANK('Data Entry'!$Ę$513), "", 'Data Entry'!$Ę$513)</f>
      </c>
      <c r="HI513">
        <f>IF(ISBLANK('Data Entry'!$ę$513), "", 'Data Entry'!$ę$513)</f>
      </c>
      <c r="HJ513">
        <f>IF(ISBLANK('Data Entry'!$Ě$513), "", 'Data Entry'!$Ě$513)</f>
      </c>
      <c r="HK513">
        <f>IF(ISBLANK('Data Entry'!$ě$513), "", 'Data Entry'!$ě$513)</f>
      </c>
      <c r="HL513">
        <f>IF(ISBLANK('Data Entry'!$Ĝ$513), "", 'Data Entry'!$Ĝ$513)</f>
      </c>
      <c r="HM513">
        <f>IF(ISBLANK('Data Entry'!$ĝ$513), "", 'Data Entry'!$ĝ$513)</f>
      </c>
      <c r="HN513">
        <f>IF(ISBLANK('Data Entry'!$Ğ$513), "", 'Data Entry'!$Ğ$513)</f>
      </c>
      <c r="HO513">
        <f>IF(ISBLANK('Data Entry'!$ğ$513), "", 'Data Entry'!$ğ$513)</f>
      </c>
      <c r="HP513">
        <f>IF(ISBLANK('Data Entry'!$Ġ$513), "", 'Data Entry'!$Ġ$513)</f>
      </c>
      <c r="HQ513">
        <f>IF(ISBLANK('Data Entry'!$ġ$513), "", 'Data Entry'!$ġ$513)</f>
      </c>
      <c r="HR513">
        <f>IF(ISBLANK('Data Entry'!$Ģ$513), "", 'Data Entry'!$Ģ$513)</f>
      </c>
      <c r="HS513">
        <f>IF(ISBLANK('Data Entry'!$ģ$513), "", 'Data Entry'!$ģ$513)</f>
      </c>
      <c r="HT513">
        <f>IF(ISBLANK('Data Entry'!$Ĥ$513), "", 'Data Entry'!$Ĥ$513)</f>
      </c>
      <c r="HU513">
        <f>IF(ISBLANK('Data Entry'!$ĥ$513), "", 'Data Entry'!$ĥ$513)</f>
      </c>
      <c r="HV513">
        <f>IF(ISBLANK('Data Entry'!$Ħ$513), "", 'Data Entry'!$Ħ$513)</f>
      </c>
      <c r="HW513">
        <f>IF(ISBLANK('Data Entry'!$ħ$513), "", 'Data Entry'!$ħ$513)</f>
      </c>
      <c r="HX513">
        <f>IF(ISBLANK('Data Entry'!$Ĩ$513), "", 'Data Entry'!$Ĩ$513)</f>
      </c>
      <c r="HY513">
        <f>IF(ISBLANK('Data Entry'!$ĩ$513), "", 'Data Entry'!$ĩ$513)</f>
      </c>
      <c r="HZ513">
        <f>IF(ISBLANK('Data Entry'!$Ī$513), "", 'Data Entry'!$Ī$513)</f>
      </c>
      <c r="IA513">
        <f>IF(ISBLANK('Data Entry'!$ī$513), "", 'Data Entry'!$ī$513)</f>
      </c>
      <c r="IB513">
        <f>IF(ISBLANK('Data Entry'!$Ĭ$513), "", 'Data Entry'!$Ĭ$513)</f>
      </c>
      <c r="IC513">
        <f>IF(ISBLANK('Data Entry'!$ĭ$513), "", 'Data Entry'!$ĭ$513)</f>
      </c>
      <c r="ID513">
        <f>IF(ISBLANK('Data Entry'!$Į$513), "", 'Data Entry'!$Į$513)</f>
      </c>
      <c r="IE513">
        <f>IF(ISBLANK('Data Entry'!$į$513), "", 'Data Entry'!$į$513)</f>
      </c>
      <c r="IF513">
        <f>IF(ISBLANK('Data Entry'!$İ$513), "", 'Data Entry'!$İ$513)</f>
      </c>
      <c r="IG513">
        <f>IF(ISBLANK('Data Entry'!$ı$513), "", 'Data Entry'!$ı$513)</f>
      </c>
      <c r="IH513">
        <f>IF(ISBLANK('Data Entry'!$Ĳ$513), "", 'Data Entry'!$Ĳ$513)</f>
      </c>
      <c r="II513">
        <f>IF(ISBLANK('Data Entry'!$ĳ$513), "", 'Data Entry'!$ĳ$513)</f>
      </c>
      <c r="IJ513">
        <f>IF(ISBLANK('Data Entry'!$Ĵ$513), "", 'Data Entry'!$Ĵ$513)</f>
      </c>
      <c r="IK513">
        <f>IF(ISBLANK('Data Entry'!$ĵ$513), "", 'Data Entry'!$ĵ$513)</f>
      </c>
      <c r="IL513">
        <f>IF(ISBLANK('Data Entry'!$Ķ$513), "", 'Data Entry'!$Ķ$513)</f>
      </c>
      <c r="IM513">
        <f>IF(ISBLANK('Data Entry'!$ķ$513), "", 'Data Entry'!$ķ$513)</f>
      </c>
      <c r="IN513">
        <f>IF(ISBLANK('Data Entry'!$ĸ$513), "", 'Data Entry'!$ĸ$513)</f>
      </c>
      <c r="IO513">
        <f>IF(ISBLANK('Data Entry'!$Ĺ$513), "", 'Data Entry'!$Ĺ$513)</f>
      </c>
      <c r="IP513">
        <f>IF(ISBLANK('Data Entry'!$ĺ$513), "", 'Data Entry'!$ĺ$513)</f>
      </c>
      <c r="IQ513">
        <f>IF(ISBLANK('Data Entry'!$Ļ$513), "", 'Data Entry'!$Ļ$513)</f>
      </c>
      <c r="IR513">
        <f>IF(ISBLANK('Data Entry'!$ļ$513), "", 'Data Entry'!$ļ$513)</f>
      </c>
      <c r="IS513">
        <f>IF(ISBLANK('Data Entry'!$Ľ$513), "", 'Data Entry'!$Ľ$513)</f>
      </c>
      <c r="IT513">
        <f>IF(ISBLANK('Data Entry'!$ľ$513), "", 'Data Entry'!$ľ$513)</f>
      </c>
    </row>
    <row r="514" spans="1:254" x14ac:dyDescent="0.25">
      <c r="A514">
        <f>IF(ISBLANK('Data Entry'!$A$514), "", 'Data Entry'!$A$514)</f>
      </c>
      <c r="B514">
        <f>IF(ISBLANK('Data Entry'!$B$514), "", 'Data Entry'!$B$514)</f>
      </c>
      <c r="C514">
        <f>IF(ISBLANK('Data Entry'!$C$514), "", 'Data Entry'!$C$514)</f>
      </c>
      <c r="D514">
        <f>IF(ISBLANK('Data Entry'!$D$514), "", 'Data Entry'!$D$514)</f>
      </c>
      <c r="E514">
        <f>IF(ISBLANK('Data Entry'!$E$514), "", 'Data Entry'!$E$514)</f>
      </c>
      <c r="F514">
        <f>IF(ISBLANK('Data Entry'!$F$514), "", 'Data Entry'!$F$514)</f>
      </c>
      <c r="G514">
        <f>IF(ISBLANK('Data Entry'!$G$514), "", 'Data Entry'!$G$514)</f>
      </c>
      <c r="H514">
        <f>IF(ISBLANK('Data Entry'!$H$514), "", 'Data Entry'!$H$514)</f>
      </c>
      <c r="I514">
        <f>IF(ISBLANK('Data Entry'!$I$514), "", 'Data Entry'!$I$514)</f>
      </c>
      <c r="J514">
        <f>IF(ISBLANK('Data Entry'!$J$514), "", 'Data Entry'!$J$514)</f>
      </c>
      <c r="K514">
        <f>IF(ISBLANK('Data Entry'!$K$514), "", 'Data Entry'!$K$514)</f>
      </c>
      <c r="L514">
        <f>IF(ISBLANK('Data Entry'!$L$514), "", 'Data Entry'!$L$514)</f>
      </c>
      <c r="M514">
        <f>IF(ISBLANK('Data Entry'!$M$514), "", 'Data Entry'!$M$514)</f>
      </c>
      <c r="N514">
        <f>IF(ISBLANK('Data Entry'!$N$514), "", 'Data Entry'!$N$514)</f>
      </c>
      <c r="O514">
        <f>IF(ISBLANK('Data Entry'!$O$514), "", 'Data Entry'!$O$514)</f>
      </c>
      <c r="P514">
        <f>IF(ISBLANK('Data Entry'!$P$514), "", 'Data Entry'!$P$514)</f>
      </c>
      <c r="Q514">
        <f>IF(ISBLANK('Data Entry'!$Q$514), "", 'Data Entry'!$Q$514)</f>
      </c>
      <c r="R514">
        <f>IF(ISBLANK('Data Entry'!$R$514), "", 'Data Entry'!$R$514)</f>
      </c>
      <c r="S514">
        <f>IF(ISBLANK('Data Entry'!$S$514), "", 'Data Entry'!$S$514)</f>
      </c>
      <c r="T514">
        <f>IF(ISBLANK('Data Entry'!$T$514), "", 'Data Entry'!$T$514)</f>
      </c>
      <c r="U514">
        <f>IF(ISBLANK('Data Entry'!$U$514), "", 'Data Entry'!$U$514)</f>
      </c>
      <c r="V514">
        <f>IF(ISBLANK('Data Entry'!$V$514), "", 'Data Entry'!$V$514)</f>
      </c>
      <c r="W514">
        <f>IF(ISBLANK('Data Entry'!$W$514), "", 'Data Entry'!$W$514)</f>
      </c>
      <c r="X514">
        <f>IF(ISBLANK('Data Entry'!$X$514), "", 'Data Entry'!$X$514)</f>
      </c>
      <c r="Y514">
        <f>IF(ISBLANK('Data Entry'!$Y$514), "", 'Data Entry'!$Y$514)</f>
      </c>
      <c r="Z514">
        <f>IF(ISBLANK('Data Entry'!$Z$514), "", 'Data Entry'!$Z$514)</f>
      </c>
      <c r="AA514">
        <f>IF(ISBLANK('Data Entry'!$[$514), "", 'Data Entry'!$[$514)</f>
      </c>
      <c r="AB514">
        <f>IF(ISBLANK('Data Entry'!$\$514), "", 'Data Entry'!$\$514)</f>
      </c>
      <c r="AC514">
        <f>IF(ISBLANK('Data Entry'!$]$514), "", 'Data Entry'!$]$514)</f>
      </c>
      <c r="AD514">
        <f>IF(ISBLANK('Data Entry'!$^$514), "", 'Data Entry'!$^$514)</f>
      </c>
      <c r="AE514">
        <f>IF(ISBLANK('Data Entry'!$_$514), "", 'Data Entry'!$_$514)</f>
      </c>
      <c r="AF514">
        <f>IF(ISBLANK('Data Entry'!$`$514), "", 'Data Entry'!$`$514)</f>
      </c>
      <c r="AG514">
        <f>IF(ISBLANK('Data Entry'!$a$514), "", 'Data Entry'!$a$514)</f>
      </c>
      <c r="AH514">
        <f>IF(ISBLANK('Data Entry'!$b$514), "", 'Data Entry'!$b$514)</f>
      </c>
      <c r="AI514">
        <f>IF(ISBLANK('Data Entry'!$c$514), "", 'Data Entry'!$c$514)</f>
      </c>
      <c r="AJ514">
        <f>IF(ISBLANK('Data Entry'!$d$514), "", 'Data Entry'!$d$514)</f>
      </c>
      <c r="AK514">
        <f>IF(ISBLANK('Data Entry'!$e$514), "", 'Data Entry'!$e$514)</f>
      </c>
      <c r="AL514">
        <f>IF(ISBLANK('Data Entry'!$f$514), "", 'Data Entry'!$f$514)</f>
      </c>
      <c r="AM514">
        <f>IF(ISBLANK('Data Entry'!$g$514), "", 'Data Entry'!$g$514)</f>
      </c>
      <c r="AN514">
        <f>IF(ISBLANK('Data Entry'!$h$514), "", 'Data Entry'!$h$514)</f>
      </c>
      <c r="AO514">
        <f>IF(ISBLANK('Data Entry'!$i$514), "", 'Data Entry'!$i$514)</f>
      </c>
      <c r="AP514">
        <f>IF(ISBLANK('Data Entry'!$j$514), "", 'Data Entry'!$j$514)</f>
      </c>
      <c r="AQ514">
        <f>IF(ISBLANK('Data Entry'!$k$514), "", 'Data Entry'!$k$514)</f>
      </c>
      <c r="AR514">
        <f>IF(ISBLANK('Data Entry'!$l$514), "", 'Data Entry'!$l$514)</f>
      </c>
      <c r="AS514">
        <f>IF(ISBLANK('Data Entry'!$m$514), "", 'Data Entry'!$m$514)</f>
      </c>
      <c r="AT514">
        <f>IF(ISBLANK('Data Entry'!$n$514), "", 'Data Entry'!$n$514)</f>
      </c>
      <c r="AU514">
        <f>IF(ISBLANK('Data Entry'!$o$514), "", 'Data Entry'!$o$514)</f>
      </c>
      <c r="AV514">
        <f>IF(ISBLANK('Data Entry'!$p$514), "", 'Data Entry'!$p$514)</f>
      </c>
      <c r="AW514">
        <f>IF(ISBLANK('Data Entry'!$q$514), "", 'Data Entry'!$q$514)</f>
      </c>
      <c r="AX514">
        <f>IF(ISBLANK('Data Entry'!$r$514), "", 'Data Entry'!$r$514)</f>
      </c>
      <c r="AY514">
        <f>IF(ISBLANK('Data Entry'!$s$514), "", 'Data Entry'!$s$514)</f>
      </c>
      <c r="AZ514">
        <f>IF(ISBLANK('Data Entry'!$t$514), "", 'Data Entry'!$t$514)</f>
      </c>
      <c r="BA514">
        <f>IF(ISBLANK('Data Entry'!$u$514), "", 'Data Entry'!$u$514)</f>
      </c>
      <c r="BB514">
        <f>IF(ISBLANK('Data Entry'!$v$514), "", 'Data Entry'!$v$514)</f>
      </c>
      <c r="BC514">
        <f>IF(ISBLANK('Data Entry'!$w$514), "", 'Data Entry'!$w$514)</f>
      </c>
      <c r="BD514">
        <f>IF(ISBLANK('Data Entry'!$x$514), "", 'Data Entry'!$x$514)</f>
      </c>
      <c r="BE514">
        <f>IF(ISBLANK('Data Entry'!$y$514), "", 'Data Entry'!$y$514)</f>
      </c>
      <c r="BF514">
        <f>IF(ISBLANK('Data Entry'!$z$514), "", 'Data Entry'!$z$514)</f>
      </c>
      <c r="BG514">
        <f>IF(ISBLANK('Data Entry'!${$514), "", 'Data Entry'!${$514)</f>
      </c>
      <c r="BH514">
        <f>IF(ISBLANK('Data Entry'!$|$514), "", 'Data Entry'!$|$514)</f>
      </c>
      <c r="BI514">
        <f>IF(ISBLANK('Data Entry'!$}$514), "", 'Data Entry'!$}$514)</f>
      </c>
      <c r="BJ514">
        <f>IF(ISBLANK('Data Entry'!$~$514), "", 'Data Entry'!$~$514)</f>
      </c>
      <c r="BK514">
        <f>IF(ISBLANK('Data Entry'!$$514), "", 'Data Entry'!$$514)</f>
      </c>
      <c r="BL514">
        <f>IF(ISBLANK('Data Entry'!$$514), "", 'Data Entry'!$$514)</f>
      </c>
      <c r="BM514">
        <f>IF(ISBLANK('Data Entry'!$$514), "", 'Data Entry'!$$514)</f>
      </c>
      <c r="BN514">
        <f>IF(ISBLANK('Data Entry'!$$514), "", 'Data Entry'!$$514)</f>
      </c>
      <c r="BO514">
        <f>IF(ISBLANK('Data Entry'!$$514), "", 'Data Entry'!$$514)</f>
      </c>
      <c r="BP514">
        <f>IF(ISBLANK('Data Entry'!$$514), "", 'Data Entry'!$$514)</f>
      </c>
      <c r="BQ514">
        <f>IF(ISBLANK('Data Entry'!$$514), "", 'Data Entry'!$$514)</f>
      </c>
      <c r="BR514">
        <f>IF(ISBLANK('Data Entry'!$$514), "", 'Data Entry'!$$514)</f>
      </c>
      <c r="BS514">
        <f>IF(ISBLANK('Data Entry'!$$514), "", 'Data Entry'!$$514)</f>
      </c>
      <c r="BT514">
        <f>IF(ISBLANK('Data Entry'!$$514), "", 'Data Entry'!$$514)</f>
      </c>
      <c r="BU514">
        <f>IF(ISBLANK('Data Entry'!$$514), "", 'Data Entry'!$$514)</f>
      </c>
      <c r="BV514">
        <f>IF(ISBLANK('Data Entry'!$$514), "", 'Data Entry'!$$514)</f>
      </c>
      <c r="BW514">
        <f>IF(ISBLANK('Data Entry'!$$514), "", 'Data Entry'!$$514)</f>
      </c>
      <c r="BX514">
        <f>IF(ISBLANK('Data Entry'!$$514), "", 'Data Entry'!$$514)</f>
      </c>
      <c r="BY514">
        <f>IF(ISBLANK('Data Entry'!$$514), "", 'Data Entry'!$$514)</f>
      </c>
      <c r="BZ514">
        <f>IF(ISBLANK('Data Entry'!$$514), "", 'Data Entry'!$$514)</f>
      </c>
      <c r="CA514">
        <f>IF(ISBLANK('Data Entry'!$$514), "", 'Data Entry'!$$514)</f>
      </c>
      <c r="CB514">
        <f>IF(ISBLANK('Data Entry'!$$514), "", 'Data Entry'!$$514)</f>
      </c>
      <c r="CC514">
        <f>IF(ISBLANK('Data Entry'!$$514), "", 'Data Entry'!$$514)</f>
      </c>
      <c r="CD514">
        <f>IF(ISBLANK('Data Entry'!$$514), "", 'Data Entry'!$$514)</f>
      </c>
      <c r="CE514">
        <f>IF(ISBLANK('Data Entry'!$$514), "", 'Data Entry'!$$514)</f>
      </c>
      <c r="CF514">
        <f>IF(ISBLANK('Data Entry'!$$514), "", 'Data Entry'!$$514)</f>
      </c>
      <c r="CG514">
        <f>IF(ISBLANK('Data Entry'!$$514), "", 'Data Entry'!$$514)</f>
      </c>
      <c r="CH514">
        <f>IF(ISBLANK('Data Entry'!$$514), "", 'Data Entry'!$$514)</f>
      </c>
      <c r="CI514">
        <f>IF(ISBLANK('Data Entry'!$$514), "", 'Data Entry'!$$514)</f>
      </c>
      <c r="CJ514">
        <f>IF(ISBLANK('Data Entry'!$$514), "", 'Data Entry'!$$514)</f>
      </c>
      <c r="CK514">
        <f>IF(ISBLANK('Data Entry'!$$514), "", 'Data Entry'!$$514)</f>
      </c>
      <c r="CL514">
        <f>IF(ISBLANK('Data Entry'!$$514), "", 'Data Entry'!$$514)</f>
      </c>
      <c r="CM514">
        <f>IF(ISBLANK('Data Entry'!$$514), "", 'Data Entry'!$$514)</f>
      </c>
      <c r="CN514">
        <f>IF(ISBLANK('Data Entry'!$$514), "", 'Data Entry'!$$514)</f>
      </c>
      <c r="CO514">
        <f>IF(ISBLANK('Data Entry'!$$514), "", 'Data Entry'!$$514)</f>
      </c>
      <c r="CP514">
        <f>IF(ISBLANK('Data Entry'!$$514), "", 'Data Entry'!$$514)</f>
      </c>
      <c r="CQ514">
        <f>IF(ISBLANK('Data Entry'!$$514), "", 'Data Entry'!$$514)</f>
      </c>
      <c r="CR514">
        <f>IF(ISBLANK('Data Entry'!$ $514), "", 'Data Entry'!$ $514)</f>
      </c>
      <c r="CS514">
        <f>IF(ISBLANK('Data Entry'!$¡$514), "", 'Data Entry'!$¡$514)</f>
      </c>
      <c r="CT514">
        <f>IF(ISBLANK('Data Entry'!$¢$514), "", 'Data Entry'!$¢$514)</f>
      </c>
      <c r="CU514">
        <f>IF(ISBLANK('Data Entry'!$£$514), "", 'Data Entry'!$£$514)</f>
      </c>
      <c r="CV514">
        <f>IF(ISBLANK('Data Entry'!$¤$514), "", 'Data Entry'!$¤$514)</f>
      </c>
      <c r="CW514">
        <f>IF(ISBLANK('Data Entry'!$¥$514), "", 'Data Entry'!$¥$514)</f>
      </c>
      <c r="CX514">
        <f>IF(ISBLANK('Data Entry'!$¦$514), "", 'Data Entry'!$¦$514)</f>
      </c>
      <c r="CY514">
        <f>IF(ISBLANK('Data Entry'!$§$514), "", 'Data Entry'!$§$514)</f>
      </c>
      <c r="CZ514">
        <f>IF(ISBLANK('Data Entry'!$¨$514), "", 'Data Entry'!$¨$514)</f>
      </c>
      <c r="DA514">
        <f>IF(ISBLANK('Data Entry'!$©$514), "", 'Data Entry'!$©$514)</f>
      </c>
      <c r="DB514">
        <f>IF(ISBLANK('Data Entry'!$ª$514), "", 'Data Entry'!$ª$514)</f>
      </c>
      <c r="DC514">
        <f>IF(ISBLANK('Data Entry'!$«$514), "", 'Data Entry'!$«$514)</f>
      </c>
      <c r="DD514">
        <f>IF(ISBLANK('Data Entry'!$¬$514), "", 'Data Entry'!$¬$514)</f>
      </c>
      <c r="DE514">
        <f>IF(ISBLANK('Data Entry'!$­$514), "", 'Data Entry'!$­$514)</f>
      </c>
      <c r="DF514">
        <f>IF(ISBLANK('Data Entry'!$®$514), "", 'Data Entry'!$®$514)</f>
      </c>
      <c r="DG514">
        <f>IF(ISBLANK('Data Entry'!$¯$514), "", 'Data Entry'!$¯$514)</f>
      </c>
      <c r="DH514">
        <f>IF(ISBLANK('Data Entry'!$°$514), "", 'Data Entry'!$°$514)</f>
      </c>
      <c r="DI514">
        <f>IF(ISBLANK('Data Entry'!$±$514), "", 'Data Entry'!$±$514)</f>
      </c>
      <c r="DJ514">
        <f>IF(ISBLANK('Data Entry'!$²$514), "", 'Data Entry'!$²$514)</f>
      </c>
      <c r="DK514">
        <f>IF(ISBLANK('Data Entry'!$³$514), "", 'Data Entry'!$³$514)</f>
      </c>
      <c r="DL514">
        <f>IF(ISBLANK('Data Entry'!$´$514), "", 'Data Entry'!$´$514)</f>
      </c>
      <c r="DM514">
        <f>IF(ISBLANK('Data Entry'!$µ$514), "", 'Data Entry'!$µ$514)</f>
      </c>
      <c r="DN514">
        <f>IF(ISBLANK('Data Entry'!$¶$514), "", 'Data Entry'!$¶$514)</f>
      </c>
      <c r="DO514">
        <f>IF(ISBLANK('Data Entry'!$·$514), "", 'Data Entry'!$·$514)</f>
      </c>
      <c r="DP514">
        <f>IF(ISBLANK('Data Entry'!$¸$514), "", 'Data Entry'!$¸$514)</f>
      </c>
      <c r="DQ514">
        <f>IF(ISBLANK('Data Entry'!$¹$514), "", 'Data Entry'!$¹$514)</f>
      </c>
      <c r="DR514">
        <f>IF(ISBLANK('Data Entry'!$º$514), "", 'Data Entry'!$º$514)</f>
      </c>
      <c r="DS514">
        <f>IF(ISBLANK('Data Entry'!$»$514), "", 'Data Entry'!$»$514)</f>
      </c>
      <c r="DT514">
        <f>IF(ISBLANK('Data Entry'!$¼$514), "", 'Data Entry'!$¼$514)</f>
      </c>
      <c r="DU514">
        <f>IF(ISBLANK('Data Entry'!$½$514), "", 'Data Entry'!$½$514)</f>
      </c>
      <c r="DV514">
        <f>IF(ISBLANK('Data Entry'!$¾$514), "", 'Data Entry'!$¾$514)</f>
      </c>
      <c r="DW514">
        <f>IF(ISBLANK('Data Entry'!$¿$514), "", 'Data Entry'!$¿$514)</f>
      </c>
      <c r="DX514">
        <f>IF(ISBLANK('Data Entry'!$À$514), "", 'Data Entry'!$À$514)</f>
      </c>
      <c r="DY514">
        <f>IF(ISBLANK('Data Entry'!$Á$514), "", 'Data Entry'!$Á$514)</f>
      </c>
      <c r="DZ514">
        <f>IF(ISBLANK('Data Entry'!$Â$514), "", 'Data Entry'!$Â$514)</f>
      </c>
      <c r="EA514">
        <f>IF(ISBLANK('Data Entry'!$Ã$514), "", 'Data Entry'!$Ã$514)</f>
      </c>
      <c r="EB514">
        <f>IF(ISBLANK('Data Entry'!$Ä$514), "", 'Data Entry'!$Ä$514)</f>
      </c>
      <c r="EC514">
        <f>IF(ISBLANK('Data Entry'!$Å$514), "", 'Data Entry'!$Å$514)</f>
      </c>
      <c r="ED514">
        <f>IF(ISBLANK('Data Entry'!$Æ$514), "", 'Data Entry'!$Æ$514)</f>
      </c>
      <c r="EE514">
        <f>IF(ISBLANK('Data Entry'!$Ç$514), "", 'Data Entry'!$Ç$514)</f>
      </c>
      <c r="EF514">
        <f>IF(ISBLANK('Data Entry'!$È$514), "", 'Data Entry'!$È$514)</f>
      </c>
      <c r="EG514">
        <f>IF(ISBLANK('Data Entry'!$É$514), "", 'Data Entry'!$É$514)</f>
      </c>
      <c r="EH514">
        <f>IF(ISBLANK('Data Entry'!$Ê$514), "", 'Data Entry'!$Ê$514)</f>
      </c>
      <c r="EI514">
        <f>IF(ISBLANK('Data Entry'!$Ë$514), "", 'Data Entry'!$Ë$514)</f>
      </c>
      <c r="EJ514">
        <f>IF(ISBLANK('Data Entry'!$Ì$514), "", 'Data Entry'!$Ì$514)</f>
      </c>
      <c r="EK514">
        <f>IF(ISBLANK('Data Entry'!$Í$514), "", 'Data Entry'!$Í$514)</f>
      </c>
      <c r="EL514">
        <f>IF(ISBLANK('Data Entry'!$Î$514), "", 'Data Entry'!$Î$514)</f>
      </c>
      <c r="EM514">
        <f>IF(ISBLANK('Data Entry'!$Ï$514), "", 'Data Entry'!$Ï$514)</f>
      </c>
      <c r="EN514">
        <f>IF(ISBLANK('Data Entry'!$Ð$514), "", 'Data Entry'!$Ð$514)</f>
      </c>
      <c r="EO514">
        <f>IF(ISBLANK('Data Entry'!$Ñ$514), "", 'Data Entry'!$Ñ$514)</f>
      </c>
      <c r="EP514">
        <f>IF(ISBLANK('Data Entry'!$Ò$514), "", 'Data Entry'!$Ò$514)</f>
      </c>
      <c r="EQ514">
        <f>IF(ISBLANK('Data Entry'!$Ó$514), "", 'Data Entry'!$Ó$514)</f>
      </c>
      <c r="ER514">
        <f>IF(ISBLANK('Data Entry'!$Ô$514), "", 'Data Entry'!$Ô$514)</f>
      </c>
      <c r="ES514">
        <f>IF(ISBLANK('Data Entry'!$Õ$514), "", 'Data Entry'!$Õ$514)</f>
      </c>
      <c r="ET514">
        <f>IF(ISBLANK('Data Entry'!$Ö$514), "", 'Data Entry'!$Ö$514)</f>
      </c>
      <c r="EU514">
        <f>IF(ISBLANK('Data Entry'!$×$514), "", 'Data Entry'!$×$514)</f>
      </c>
      <c r="EV514">
        <f>IF(ISBLANK('Data Entry'!$Ø$514), "", 'Data Entry'!$Ø$514)</f>
      </c>
      <c r="EW514">
        <f>IF(ISBLANK('Data Entry'!$Ù$514), "", 'Data Entry'!$Ù$514)</f>
      </c>
      <c r="EX514">
        <f>IF(ISBLANK('Data Entry'!$Ú$514), "", 'Data Entry'!$Ú$514)</f>
      </c>
      <c r="EY514">
        <f>IF(ISBLANK('Data Entry'!$Û$514), "", 'Data Entry'!$Û$514)</f>
      </c>
      <c r="EZ514">
        <f>IF(ISBLANK('Data Entry'!$Ü$514), "", 'Data Entry'!$Ü$514)</f>
      </c>
      <c r="FA514">
        <f>IF(ISBLANK('Data Entry'!$Ý$514), "", 'Data Entry'!$Ý$514)</f>
      </c>
      <c r="FB514">
        <f>IF(ISBLANK('Data Entry'!$Þ$514), "", 'Data Entry'!$Þ$514)</f>
      </c>
      <c r="FC514">
        <f>IF(ISBLANK('Data Entry'!$ß$514), "", 'Data Entry'!$ß$514)</f>
      </c>
      <c r="FD514">
        <f>IF(ISBLANK('Data Entry'!$à$514), "", 'Data Entry'!$à$514)</f>
      </c>
      <c r="FE514">
        <f>IF(ISBLANK('Data Entry'!$á$514), "", 'Data Entry'!$á$514)</f>
      </c>
      <c r="FF514">
        <f>IF(ISBLANK('Data Entry'!$â$514), "", 'Data Entry'!$â$514)</f>
      </c>
      <c r="FG514">
        <f>IF(ISBLANK('Data Entry'!$ã$514), "", 'Data Entry'!$ã$514)</f>
      </c>
      <c r="FH514">
        <f>IF(ISBLANK('Data Entry'!$ä$514), "", 'Data Entry'!$ä$514)</f>
      </c>
      <c r="FI514">
        <f>IF(ISBLANK('Data Entry'!$å$514), "", 'Data Entry'!$å$514)</f>
      </c>
      <c r="FJ514">
        <f>IF(ISBLANK('Data Entry'!$æ$514), "", 'Data Entry'!$æ$514)</f>
      </c>
      <c r="FK514">
        <f>IF(ISBLANK('Data Entry'!$ç$514), "", 'Data Entry'!$ç$514)</f>
      </c>
      <c r="FL514">
        <f>IF(ISBLANK('Data Entry'!$è$514), "", 'Data Entry'!$è$514)</f>
      </c>
      <c r="FM514">
        <f>IF(ISBLANK('Data Entry'!$é$514), "", 'Data Entry'!$é$514)</f>
      </c>
      <c r="FN514">
        <f>IF(ISBLANK('Data Entry'!$ê$514), "", 'Data Entry'!$ê$514)</f>
      </c>
      <c r="FO514">
        <f>IF(ISBLANK('Data Entry'!$ë$514), "", 'Data Entry'!$ë$514)</f>
      </c>
      <c r="FP514">
        <f>IF(ISBLANK('Data Entry'!$ì$514), "", 'Data Entry'!$ì$514)</f>
      </c>
      <c r="FQ514">
        <f>IF(ISBLANK('Data Entry'!$í$514), "", 'Data Entry'!$í$514)</f>
      </c>
      <c r="FR514">
        <f>IF(ISBLANK('Data Entry'!$î$514), "", 'Data Entry'!$î$514)</f>
      </c>
      <c r="FS514">
        <f>IF(ISBLANK('Data Entry'!$ï$514), "", 'Data Entry'!$ï$514)</f>
      </c>
      <c r="FT514">
        <f>IF(ISBLANK('Data Entry'!$ð$514), "", 'Data Entry'!$ð$514)</f>
      </c>
      <c r="FU514">
        <f>IF(ISBLANK('Data Entry'!$ñ$514), "", 'Data Entry'!$ñ$514)</f>
      </c>
      <c r="FV514">
        <f>IF(ISBLANK('Data Entry'!$ò$514), "", 'Data Entry'!$ò$514)</f>
      </c>
      <c r="FW514">
        <f>IF(ISBLANK('Data Entry'!$ó$514), "", 'Data Entry'!$ó$514)</f>
      </c>
      <c r="FX514">
        <f>IF(ISBLANK('Data Entry'!$ô$514), "", 'Data Entry'!$ô$514)</f>
      </c>
      <c r="FY514">
        <f>IF(ISBLANK('Data Entry'!$õ$514), "", 'Data Entry'!$õ$514)</f>
      </c>
      <c r="FZ514">
        <f>IF(ISBLANK('Data Entry'!$ö$514), "", 'Data Entry'!$ö$514)</f>
      </c>
      <c r="GA514">
        <f>IF(ISBLANK('Data Entry'!$÷$514), "", 'Data Entry'!$÷$514)</f>
      </c>
      <c r="GB514">
        <f>IF(ISBLANK('Data Entry'!$ø$514), "", 'Data Entry'!$ø$514)</f>
      </c>
      <c r="GC514">
        <f>IF(ISBLANK('Data Entry'!$ù$514), "", 'Data Entry'!$ù$514)</f>
      </c>
      <c r="GD514">
        <f>IF(ISBLANK('Data Entry'!$ú$514), "", 'Data Entry'!$ú$514)</f>
      </c>
      <c r="GE514">
        <f>IF(ISBLANK('Data Entry'!$û$514), "", 'Data Entry'!$û$514)</f>
      </c>
      <c r="GF514">
        <f>IF(ISBLANK('Data Entry'!$ü$514), "", 'Data Entry'!$ü$514)</f>
      </c>
      <c r="GG514">
        <f>IF(ISBLANK('Data Entry'!$ý$514), "", 'Data Entry'!$ý$514)</f>
      </c>
      <c r="GH514">
        <f>IF(ISBLANK('Data Entry'!$þ$514), "", 'Data Entry'!$þ$514)</f>
      </c>
      <c r="GI514">
        <f>IF(ISBLANK('Data Entry'!$ÿ$514), "", 'Data Entry'!$ÿ$514)</f>
      </c>
      <c r="GJ514">
        <f>IF(ISBLANK('Data Entry'!$Ā$514), "", 'Data Entry'!$Ā$514)</f>
      </c>
      <c r="GK514">
        <f>IF(ISBLANK('Data Entry'!$ā$514), "", 'Data Entry'!$ā$514)</f>
      </c>
      <c r="GL514">
        <f>IF(ISBLANK('Data Entry'!$Ă$514), "", 'Data Entry'!$Ă$514)</f>
      </c>
      <c r="GM514">
        <f>IF(ISBLANK('Data Entry'!$ă$514), "", 'Data Entry'!$ă$514)</f>
      </c>
      <c r="GN514">
        <f>IF(ISBLANK('Data Entry'!$Ą$514), "", 'Data Entry'!$Ą$514)</f>
      </c>
      <c r="GO514">
        <f>IF(ISBLANK('Data Entry'!$ą$514), "", 'Data Entry'!$ą$514)</f>
      </c>
      <c r="GP514">
        <f>IF(ISBLANK('Data Entry'!$Ć$514), "", 'Data Entry'!$Ć$514)</f>
      </c>
      <c r="GQ514">
        <f>IF(ISBLANK('Data Entry'!$ć$514), "", 'Data Entry'!$ć$514)</f>
      </c>
      <c r="GR514">
        <f>IF(ISBLANK('Data Entry'!$Ĉ$514), "", 'Data Entry'!$Ĉ$514)</f>
      </c>
      <c r="GS514">
        <f>IF(ISBLANK('Data Entry'!$ĉ$514), "", 'Data Entry'!$ĉ$514)</f>
      </c>
      <c r="GT514">
        <f>IF(ISBLANK('Data Entry'!$Ċ$514), "", 'Data Entry'!$Ċ$514)</f>
      </c>
      <c r="GU514">
        <f>IF(ISBLANK('Data Entry'!$ċ$514), "", 'Data Entry'!$ċ$514)</f>
      </c>
      <c r="GV514">
        <f>IF(ISBLANK('Data Entry'!$Č$514), "", 'Data Entry'!$Č$514)</f>
      </c>
      <c r="GW514">
        <f>IF(ISBLANK('Data Entry'!$č$514), "", 'Data Entry'!$č$514)</f>
      </c>
      <c r="GX514">
        <f>IF(ISBLANK('Data Entry'!$Ď$514), "", 'Data Entry'!$Ď$514)</f>
      </c>
      <c r="GY514">
        <f>IF(ISBLANK('Data Entry'!$ď$514), "", 'Data Entry'!$ď$514)</f>
      </c>
      <c r="GZ514">
        <f>IF(ISBLANK('Data Entry'!$Đ$514), "", 'Data Entry'!$Đ$514)</f>
      </c>
      <c r="HA514">
        <f>IF(ISBLANK('Data Entry'!$đ$514), "", 'Data Entry'!$đ$514)</f>
      </c>
      <c r="HB514">
        <f>IF(ISBLANK('Data Entry'!$Ē$514), "", 'Data Entry'!$Ē$514)</f>
      </c>
      <c r="HC514">
        <f>IF(ISBLANK('Data Entry'!$ē$514), "", 'Data Entry'!$ē$514)</f>
      </c>
      <c r="HD514">
        <f>IF(ISBLANK('Data Entry'!$Ĕ$514), "", 'Data Entry'!$Ĕ$514)</f>
      </c>
      <c r="HE514">
        <f>IF(ISBLANK('Data Entry'!$ĕ$514), "", 'Data Entry'!$ĕ$514)</f>
      </c>
      <c r="HF514">
        <f>IF(ISBLANK('Data Entry'!$Ė$514), "", 'Data Entry'!$Ė$514)</f>
      </c>
      <c r="HG514">
        <f>IF(ISBLANK('Data Entry'!$ė$514), "", 'Data Entry'!$ė$514)</f>
      </c>
      <c r="HH514">
        <f>IF(ISBLANK('Data Entry'!$Ę$514), "", 'Data Entry'!$Ę$514)</f>
      </c>
      <c r="HI514">
        <f>IF(ISBLANK('Data Entry'!$ę$514), "", 'Data Entry'!$ę$514)</f>
      </c>
      <c r="HJ514">
        <f>IF(ISBLANK('Data Entry'!$Ě$514), "", 'Data Entry'!$Ě$514)</f>
      </c>
      <c r="HK514">
        <f>IF(ISBLANK('Data Entry'!$ě$514), "", 'Data Entry'!$ě$514)</f>
      </c>
      <c r="HL514">
        <f>IF(ISBLANK('Data Entry'!$Ĝ$514), "", 'Data Entry'!$Ĝ$514)</f>
      </c>
      <c r="HM514">
        <f>IF(ISBLANK('Data Entry'!$ĝ$514), "", 'Data Entry'!$ĝ$514)</f>
      </c>
      <c r="HN514">
        <f>IF(ISBLANK('Data Entry'!$Ğ$514), "", 'Data Entry'!$Ğ$514)</f>
      </c>
      <c r="HO514">
        <f>IF(ISBLANK('Data Entry'!$ğ$514), "", 'Data Entry'!$ğ$514)</f>
      </c>
      <c r="HP514">
        <f>IF(ISBLANK('Data Entry'!$Ġ$514), "", 'Data Entry'!$Ġ$514)</f>
      </c>
      <c r="HQ514">
        <f>IF(ISBLANK('Data Entry'!$ġ$514), "", 'Data Entry'!$ġ$514)</f>
      </c>
      <c r="HR514">
        <f>IF(ISBLANK('Data Entry'!$Ģ$514), "", 'Data Entry'!$Ģ$514)</f>
      </c>
      <c r="HS514">
        <f>IF(ISBLANK('Data Entry'!$ģ$514), "", 'Data Entry'!$ģ$514)</f>
      </c>
      <c r="HT514">
        <f>IF(ISBLANK('Data Entry'!$Ĥ$514), "", 'Data Entry'!$Ĥ$514)</f>
      </c>
      <c r="HU514">
        <f>IF(ISBLANK('Data Entry'!$ĥ$514), "", 'Data Entry'!$ĥ$514)</f>
      </c>
      <c r="HV514">
        <f>IF(ISBLANK('Data Entry'!$Ħ$514), "", 'Data Entry'!$Ħ$514)</f>
      </c>
      <c r="HW514">
        <f>IF(ISBLANK('Data Entry'!$ħ$514), "", 'Data Entry'!$ħ$514)</f>
      </c>
      <c r="HX514">
        <f>IF(ISBLANK('Data Entry'!$Ĩ$514), "", 'Data Entry'!$Ĩ$514)</f>
      </c>
      <c r="HY514">
        <f>IF(ISBLANK('Data Entry'!$ĩ$514), "", 'Data Entry'!$ĩ$514)</f>
      </c>
      <c r="HZ514">
        <f>IF(ISBLANK('Data Entry'!$Ī$514), "", 'Data Entry'!$Ī$514)</f>
      </c>
      <c r="IA514">
        <f>IF(ISBLANK('Data Entry'!$ī$514), "", 'Data Entry'!$ī$514)</f>
      </c>
      <c r="IB514">
        <f>IF(ISBLANK('Data Entry'!$Ĭ$514), "", 'Data Entry'!$Ĭ$514)</f>
      </c>
      <c r="IC514">
        <f>IF(ISBLANK('Data Entry'!$ĭ$514), "", 'Data Entry'!$ĭ$514)</f>
      </c>
      <c r="ID514">
        <f>IF(ISBLANK('Data Entry'!$Į$514), "", 'Data Entry'!$Į$514)</f>
      </c>
      <c r="IE514">
        <f>IF(ISBLANK('Data Entry'!$į$514), "", 'Data Entry'!$į$514)</f>
      </c>
      <c r="IF514">
        <f>IF(ISBLANK('Data Entry'!$İ$514), "", 'Data Entry'!$İ$514)</f>
      </c>
      <c r="IG514">
        <f>IF(ISBLANK('Data Entry'!$ı$514), "", 'Data Entry'!$ı$514)</f>
      </c>
      <c r="IH514">
        <f>IF(ISBLANK('Data Entry'!$Ĳ$514), "", 'Data Entry'!$Ĳ$514)</f>
      </c>
      <c r="II514">
        <f>IF(ISBLANK('Data Entry'!$ĳ$514), "", 'Data Entry'!$ĳ$514)</f>
      </c>
      <c r="IJ514">
        <f>IF(ISBLANK('Data Entry'!$Ĵ$514), "", 'Data Entry'!$Ĵ$514)</f>
      </c>
      <c r="IK514">
        <f>IF(ISBLANK('Data Entry'!$ĵ$514), "", 'Data Entry'!$ĵ$514)</f>
      </c>
      <c r="IL514">
        <f>IF(ISBLANK('Data Entry'!$Ķ$514), "", 'Data Entry'!$Ķ$514)</f>
      </c>
      <c r="IM514">
        <f>IF(ISBLANK('Data Entry'!$ķ$514), "", 'Data Entry'!$ķ$514)</f>
      </c>
      <c r="IN514">
        <f>IF(ISBLANK('Data Entry'!$ĸ$514), "", 'Data Entry'!$ĸ$514)</f>
      </c>
      <c r="IO514">
        <f>IF(ISBLANK('Data Entry'!$Ĺ$514), "", 'Data Entry'!$Ĺ$514)</f>
      </c>
      <c r="IP514">
        <f>IF(ISBLANK('Data Entry'!$ĺ$514), "", 'Data Entry'!$ĺ$514)</f>
      </c>
      <c r="IQ514">
        <f>IF(ISBLANK('Data Entry'!$Ļ$514), "", 'Data Entry'!$Ļ$514)</f>
      </c>
      <c r="IR514">
        <f>IF(ISBLANK('Data Entry'!$ļ$514), "", 'Data Entry'!$ļ$514)</f>
      </c>
      <c r="IS514">
        <f>IF(ISBLANK('Data Entry'!$Ľ$514), "", 'Data Entry'!$Ľ$514)</f>
      </c>
      <c r="IT514">
        <f>IF(ISBLANK('Data Entry'!$ľ$514), "", 'Data Entry'!$ľ$514)</f>
      </c>
    </row>
    <row r="515" spans="1:254" x14ac:dyDescent="0.25">
      <c r="A515">
        <f>IF(ISBLANK('Data Entry'!$A$515), "", 'Data Entry'!$A$515)</f>
      </c>
      <c r="B515">
        <f>IF(ISBLANK('Data Entry'!$B$515), "", 'Data Entry'!$B$515)</f>
      </c>
      <c r="C515">
        <f>IF(ISBLANK('Data Entry'!$C$515), "", 'Data Entry'!$C$515)</f>
      </c>
      <c r="D515">
        <f>IF(ISBLANK('Data Entry'!$D$515), "", 'Data Entry'!$D$515)</f>
      </c>
      <c r="E515">
        <f>IF(ISBLANK('Data Entry'!$E$515), "", 'Data Entry'!$E$515)</f>
      </c>
      <c r="F515">
        <f>IF(ISBLANK('Data Entry'!$F$515), "", 'Data Entry'!$F$515)</f>
      </c>
      <c r="G515">
        <f>IF(ISBLANK('Data Entry'!$G$515), "", 'Data Entry'!$G$515)</f>
      </c>
      <c r="H515">
        <f>IF(ISBLANK('Data Entry'!$H$515), "", 'Data Entry'!$H$515)</f>
      </c>
      <c r="I515">
        <f>IF(ISBLANK('Data Entry'!$I$515), "", 'Data Entry'!$I$515)</f>
      </c>
      <c r="J515">
        <f>IF(ISBLANK('Data Entry'!$J$515), "", 'Data Entry'!$J$515)</f>
      </c>
      <c r="K515">
        <f>IF(ISBLANK('Data Entry'!$K$515), "", 'Data Entry'!$K$515)</f>
      </c>
      <c r="L515">
        <f>IF(ISBLANK('Data Entry'!$L$515), "", 'Data Entry'!$L$515)</f>
      </c>
      <c r="M515">
        <f>IF(ISBLANK('Data Entry'!$M$515), "", 'Data Entry'!$M$515)</f>
      </c>
      <c r="N515">
        <f>IF(ISBLANK('Data Entry'!$N$515), "", 'Data Entry'!$N$515)</f>
      </c>
      <c r="O515">
        <f>IF(ISBLANK('Data Entry'!$O$515), "", 'Data Entry'!$O$515)</f>
      </c>
      <c r="P515">
        <f>IF(ISBLANK('Data Entry'!$P$515), "", 'Data Entry'!$P$515)</f>
      </c>
      <c r="Q515">
        <f>IF(ISBLANK('Data Entry'!$Q$515), "", 'Data Entry'!$Q$515)</f>
      </c>
      <c r="R515">
        <f>IF(ISBLANK('Data Entry'!$R$515), "", 'Data Entry'!$R$515)</f>
      </c>
      <c r="S515">
        <f>IF(ISBLANK('Data Entry'!$S$515), "", 'Data Entry'!$S$515)</f>
      </c>
      <c r="T515">
        <f>IF(ISBLANK('Data Entry'!$T$515), "", 'Data Entry'!$T$515)</f>
      </c>
      <c r="U515">
        <f>IF(ISBLANK('Data Entry'!$U$515), "", 'Data Entry'!$U$515)</f>
      </c>
      <c r="V515">
        <f>IF(ISBLANK('Data Entry'!$V$515), "", 'Data Entry'!$V$515)</f>
      </c>
      <c r="W515">
        <f>IF(ISBLANK('Data Entry'!$W$515), "", 'Data Entry'!$W$515)</f>
      </c>
      <c r="X515">
        <f>IF(ISBLANK('Data Entry'!$X$515), "", 'Data Entry'!$X$515)</f>
      </c>
      <c r="Y515">
        <f>IF(ISBLANK('Data Entry'!$Y$515), "", 'Data Entry'!$Y$515)</f>
      </c>
      <c r="Z515">
        <f>IF(ISBLANK('Data Entry'!$Z$515), "", 'Data Entry'!$Z$515)</f>
      </c>
      <c r="AA515">
        <f>IF(ISBLANK('Data Entry'!$[$515), "", 'Data Entry'!$[$515)</f>
      </c>
      <c r="AB515">
        <f>IF(ISBLANK('Data Entry'!$\$515), "", 'Data Entry'!$\$515)</f>
      </c>
      <c r="AC515">
        <f>IF(ISBLANK('Data Entry'!$]$515), "", 'Data Entry'!$]$515)</f>
      </c>
      <c r="AD515">
        <f>IF(ISBLANK('Data Entry'!$^$515), "", 'Data Entry'!$^$515)</f>
      </c>
      <c r="AE515">
        <f>IF(ISBLANK('Data Entry'!$_$515), "", 'Data Entry'!$_$515)</f>
      </c>
      <c r="AF515">
        <f>IF(ISBLANK('Data Entry'!$`$515), "", 'Data Entry'!$`$515)</f>
      </c>
      <c r="AG515">
        <f>IF(ISBLANK('Data Entry'!$a$515), "", 'Data Entry'!$a$515)</f>
      </c>
      <c r="AH515">
        <f>IF(ISBLANK('Data Entry'!$b$515), "", 'Data Entry'!$b$515)</f>
      </c>
      <c r="AI515">
        <f>IF(ISBLANK('Data Entry'!$c$515), "", 'Data Entry'!$c$515)</f>
      </c>
      <c r="AJ515">
        <f>IF(ISBLANK('Data Entry'!$d$515), "", 'Data Entry'!$d$515)</f>
      </c>
      <c r="AK515">
        <f>IF(ISBLANK('Data Entry'!$e$515), "", 'Data Entry'!$e$515)</f>
      </c>
      <c r="AL515">
        <f>IF(ISBLANK('Data Entry'!$f$515), "", 'Data Entry'!$f$515)</f>
      </c>
      <c r="AM515">
        <f>IF(ISBLANK('Data Entry'!$g$515), "", 'Data Entry'!$g$515)</f>
      </c>
      <c r="AN515">
        <f>IF(ISBLANK('Data Entry'!$h$515), "", 'Data Entry'!$h$515)</f>
      </c>
      <c r="AO515">
        <f>IF(ISBLANK('Data Entry'!$i$515), "", 'Data Entry'!$i$515)</f>
      </c>
      <c r="AP515">
        <f>IF(ISBLANK('Data Entry'!$j$515), "", 'Data Entry'!$j$515)</f>
      </c>
      <c r="AQ515">
        <f>IF(ISBLANK('Data Entry'!$k$515), "", 'Data Entry'!$k$515)</f>
      </c>
      <c r="AR515">
        <f>IF(ISBLANK('Data Entry'!$l$515), "", 'Data Entry'!$l$515)</f>
      </c>
      <c r="AS515">
        <f>IF(ISBLANK('Data Entry'!$m$515), "", 'Data Entry'!$m$515)</f>
      </c>
      <c r="AT515">
        <f>IF(ISBLANK('Data Entry'!$n$515), "", 'Data Entry'!$n$515)</f>
      </c>
      <c r="AU515">
        <f>IF(ISBLANK('Data Entry'!$o$515), "", 'Data Entry'!$o$515)</f>
      </c>
      <c r="AV515">
        <f>IF(ISBLANK('Data Entry'!$p$515), "", 'Data Entry'!$p$515)</f>
      </c>
      <c r="AW515">
        <f>IF(ISBLANK('Data Entry'!$q$515), "", 'Data Entry'!$q$515)</f>
      </c>
      <c r="AX515">
        <f>IF(ISBLANK('Data Entry'!$r$515), "", 'Data Entry'!$r$515)</f>
      </c>
      <c r="AY515">
        <f>IF(ISBLANK('Data Entry'!$s$515), "", 'Data Entry'!$s$515)</f>
      </c>
      <c r="AZ515">
        <f>IF(ISBLANK('Data Entry'!$t$515), "", 'Data Entry'!$t$515)</f>
      </c>
      <c r="BA515">
        <f>IF(ISBLANK('Data Entry'!$u$515), "", 'Data Entry'!$u$515)</f>
      </c>
      <c r="BB515">
        <f>IF(ISBLANK('Data Entry'!$v$515), "", 'Data Entry'!$v$515)</f>
      </c>
      <c r="BC515">
        <f>IF(ISBLANK('Data Entry'!$w$515), "", 'Data Entry'!$w$515)</f>
      </c>
      <c r="BD515">
        <f>IF(ISBLANK('Data Entry'!$x$515), "", 'Data Entry'!$x$515)</f>
      </c>
      <c r="BE515">
        <f>IF(ISBLANK('Data Entry'!$y$515), "", 'Data Entry'!$y$515)</f>
      </c>
      <c r="BF515">
        <f>IF(ISBLANK('Data Entry'!$z$515), "", 'Data Entry'!$z$515)</f>
      </c>
      <c r="BG515">
        <f>IF(ISBLANK('Data Entry'!${$515), "", 'Data Entry'!${$515)</f>
      </c>
      <c r="BH515">
        <f>IF(ISBLANK('Data Entry'!$|$515), "", 'Data Entry'!$|$515)</f>
      </c>
      <c r="BI515">
        <f>IF(ISBLANK('Data Entry'!$}$515), "", 'Data Entry'!$}$515)</f>
      </c>
      <c r="BJ515">
        <f>IF(ISBLANK('Data Entry'!$~$515), "", 'Data Entry'!$~$515)</f>
      </c>
      <c r="BK515">
        <f>IF(ISBLANK('Data Entry'!$$515), "", 'Data Entry'!$$515)</f>
      </c>
      <c r="BL515">
        <f>IF(ISBLANK('Data Entry'!$$515), "", 'Data Entry'!$$515)</f>
      </c>
      <c r="BM515">
        <f>IF(ISBLANK('Data Entry'!$$515), "", 'Data Entry'!$$515)</f>
      </c>
      <c r="BN515">
        <f>IF(ISBLANK('Data Entry'!$$515), "", 'Data Entry'!$$515)</f>
      </c>
      <c r="BO515">
        <f>IF(ISBLANK('Data Entry'!$$515), "", 'Data Entry'!$$515)</f>
      </c>
      <c r="BP515">
        <f>IF(ISBLANK('Data Entry'!$$515), "", 'Data Entry'!$$515)</f>
      </c>
      <c r="BQ515">
        <f>IF(ISBLANK('Data Entry'!$$515), "", 'Data Entry'!$$515)</f>
      </c>
      <c r="BR515">
        <f>IF(ISBLANK('Data Entry'!$$515), "", 'Data Entry'!$$515)</f>
      </c>
      <c r="BS515">
        <f>IF(ISBLANK('Data Entry'!$$515), "", 'Data Entry'!$$515)</f>
      </c>
      <c r="BT515">
        <f>IF(ISBLANK('Data Entry'!$$515), "", 'Data Entry'!$$515)</f>
      </c>
      <c r="BU515">
        <f>IF(ISBLANK('Data Entry'!$$515), "", 'Data Entry'!$$515)</f>
      </c>
      <c r="BV515">
        <f>IF(ISBLANK('Data Entry'!$$515), "", 'Data Entry'!$$515)</f>
      </c>
      <c r="BW515">
        <f>IF(ISBLANK('Data Entry'!$$515), "", 'Data Entry'!$$515)</f>
      </c>
      <c r="BX515">
        <f>IF(ISBLANK('Data Entry'!$$515), "", 'Data Entry'!$$515)</f>
      </c>
      <c r="BY515">
        <f>IF(ISBLANK('Data Entry'!$$515), "", 'Data Entry'!$$515)</f>
      </c>
      <c r="BZ515">
        <f>IF(ISBLANK('Data Entry'!$$515), "", 'Data Entry'!$$515)</f>
      </c>
      <c r="CA515">
        <f>IF(ISBLANK('Data Entry'!$$515), "", 'Data Entry'!$$515)</f>
      </c>
      <c r="CB515">
        <f>IF(ISBLANK('Data Entry'!$$515), "", 'Data Entry'!$$515)</f>
      </c>
      <c r="CC515">
        <f>IF(ISBLANK('Data Entry'!$$515), "", 'Data Entry'!$$515)</f>
      </c>
      <c r="CD515">
        <f>IF(ISBLANK('Data Entry'!$$515), "", 'Data Entry'!$$515)</f>
      </c>
      <c r="CE515">
        <f>IF(ISBLANK('Data Entry'!$$515), "", 'Data Entry'!$$515)</f>
      </c>
      <c r="CF515">
        <f>IF(ISBLANK('Data Entry'!$$515), "", 'Data Entry'!$$515)</f>
      </c>
      <c r="CG515">
        <f>IF(ISBLANK('Data Entry'!$$515), "", 'Data Entry'!$$515)</f>
      </c>
      <c r="CH515">
        <f>IF(ISBLANK('Data Entry'!$$515), "", 'Data Entry'!$$515)</f>
      </c>
      <c r="CI515">
        <f>IF(ISBLANK('Data Entry'!$$515), "", 'Data Entry'!$$515)</f>
      </c>
      <c r="CJ515">
        <f>IF(ISBLANK('Data Entry'!$$515), "", 'Data Entry'!$$515)</f>
      </c>
      <c r="CK515">
        <f>IF(ISBLANK('Data Entry'!$$515), "", 'Data Entry'!$$515)</f>
      </c>
      <c r="CL515">
        <f>IF(ISBLANK('Data Entry'!$$515), "", 'Data Entry'!$$515)</f>
      </c>
      <c r="CM515">
        <f>IF(ISBLANK('Data Entry'!$$515), "", 'Data Entry'!$$515)</f>
      </c>
      <c r="CN515">
        <f>IF(ISBLANK('Data Entry'!$$515), "", 'Data Entry'!$$515)</f>
      </c>
      <c r="CO515">
        <f>IF(ISBLANK('Data Entry'!$$515), "", 'Data Entry'!$$515)</f>
      </c>
      <c r="CP515">
        <f>IF(ISBLANK('Data Entry'!$$515), "", 'Data Entry'!$$515)</f>
      </c>
      <c r="CQ515">
        <f>IF(ISBLANK('Data Entry'!$$515), "", 'Data Entry'!$$515)</f>
      </c>
      <c r="CR515">
        <f>IF(ISBLANK('Data Entry'!$ $515), "", 'Data Entry'!$ $515)</f>
      </c>
      <c r="CS515">
        <f>IF(ISBLANK('Data Entry'!$¡$515), "", 'Data Entry'!$¡$515)</f>
      </c>
      <c r="CT515">
        <f>IF(ISBLANK('Data Entry'!$¢$515), "", 'Data Entry'!$¢$515)</f>
      </c>
      <c r="CU515">
        <f>IF(ISBLANK('Data Entry'!$£$515), "", 'Data Entry'!$£$515)</f>
      </c>
      <c r="CV515">
        <f>IF(ISBLANK('Data Entry'!$¤$515), "", 'Data Entry'!$¤$515)</f>
      </c>
      <c r="CW515">
        <f>IF(ISBLANK('Data Entry'!$¥$515), "", 'Data Entry'!$¥$515)</f>
      </c>
      <c r="CX515">
        <f>IF(ISBLANK('Data Entry'!$¦$515), "", 'Data Entry'!$¦$515)</f>
      </c>
      <c r="CY515">
        <f>IF(ISBLANK('Data Entry'!$§$515), "", 'Data Entry'!$§$515)</f>
      </c>
      <c r="CZ515">
        <f>IF(ISBLANK('Data Entry'!$¨$515), "", 'Data Entry'!$¨$515)</f>
      </c>
      <c r="DA515">
        <f>IF(ISBLANK('Data Entry'!$©$515), "", 'Data Entry'!$©$515)</f>
      </c>
      <c r="DB515">
        <f>IF(ISBLANK('Data Entry'!$ª$515), "", 'Data Entry'!$ª$515)</f>
      </c>
      <c r="DC515">
        <f>IF(ISBLANK('Data Entry'!$«$515), "", 'Data Entry'!$«$515)</f>
      </c>
      <c r="DD515">
        <f>IF(ISBLANK('Data Entry'!$¬$515), "", 'Data Entry'!$¬$515)</f>
      </c>
      <c r="DE515">
        <f>IF(ISBLANK('Data Entry'!$­$515), "", 'Data Entry'!$­$515)</f>
      </c>
      <c r="DF515">
        <f>IF(ISBLANK('Data Entry'!$®$515), "", 'Data Entry'!$®$515)</f>
      </c>
      <c r="DG515">
        <f>IF(ISBLANK('Data Entry'!$¯$515), "", 'Data Entry'!$¯$515)</f>
      </c>
      <c r="DH515">
        <f>IF(ISBLANK('Data Entry'!$°$515), "", 'Data Entry'!$°$515)</f>
      </c>
      <c r="DI515">
        <f>IF(ISBLANK('Data Entry'!$±$515), "", 'Data Entry'!$±$515)</f>
      </c>
      <c r="DJ515">
        <f>IF(ISBLANK('Data Entry'!$²$515), "", 'Data Entry'!$²$515)</f>
      </c>
      <c r="DK515">
        <f>IF(ISBLANK('Data Entry'!$³$515), "", 'Data Entry'!$³$515)</f>
      </c>
      <c r="DL515">
        <f>IF(ISBLANK('Data Entry'!$´$515), "", 'Data Entry'!$´$515)</f>
      </c>
      <c r="DM515">
        <f>IF(ISBLANK('Data Entry'!$µ$515), "", 'Data Entry'!$µ$515)</f>
      </c>
      <c r="DN515">
        <f>IF(ISBLANK('Data Entry'!$¶$515), "", 'Data Entry'!$¶$515)</f>
      </c>
      <c r="DO515">
        <f>IF(ISBLANK('Data Entry'!$·$515), "", 'Data Entry'!$·$515)</f>
      </c>
      <c r="DP515">
        <f>IF(ISBLANK('Data Entry'!$¸$515), "", 'Data Entry'!$¸$515)</f>
      </c>
      <c r="DQ515">
        <f>IF(ISBLANK('Data Entry'!$¹$515), "", 'Data Entry'!$¹$515)</f>
      </c>
      <c r="DR515">
        <f>IF(ISBLANK('Data Entry'!$º$515), "", 'Data Entry'!$º$515)</f>
      </c>
      <c r="DS515">
        <f>IF(ISBLANK('Data Entry'!$»$515), "", 'Data Entry'!$»$515)</f>
      </c>
      <c r="DT515">
        <f>IF(ISBLANK('Data Entry'!$¼$515), "", 'Data Entry'!$¼$515)</f>
      </c>
      <c r="DU515">
        <f>IF(ISBLANK('Data Entry'!$½$515), "", 'Data Entry'!$½$515)</f>
      </c>
      <c r="DV515">
        <f>IF(ISBLANK('Data Entry'!$¾$515), "", 'Data Entry'!$¾$515)</f>
      </c>
      <c r="DW515">
        <f>IF(ISBLANK('Data Entry'!$¿$515), "", 'Data Entry'!$¿$515)</f>
      </c>
      <c r="DX515">
        <f>IF(ISBLANK('Data Entry'!$À$515), "", 'Data Entry'!$À$515)</f>
      </c>
      <c r="DY515">
        <f>IF(ISBLANK('Data Entry'!$Á$515), "", 'Data Entry'!$Á$515)</f>
      </c>
      <c r="DZ515">
        <f>IF(ISBLANK('Data Entry'!$Â$515), "", 'Data Entry'!$Â$515)</f>
      </c>
      <c r="EA515">
        <f>IF(ISBLANK('Data Entry'!$Ã$515), "", 'Data Entry'!$Ã$515)</f>
      </c>
      <c r="EB515">
        <f>IF(ISBLANK('Data Entry'!$Ä$515), "", 'Data Entry'!$Ä$515)</f>
      </c>
      <c r="EC515">
        <f>IF(ISBLANK('Data Entry'!$Å$515), "", 'Data Entry'!$Å$515)</f>
      </c>
      <c r="ED515">
        <f>IF(ISBLANK('Data Entry'!$Æ$515), "", 'Data Entry'!$Æ$515)</f>
      </c>
      <c r="EE515">
        <f>IF(ISBLANK('Data Entry'!$Ç$515), "", 'Data Entry'!$Ç$515)</f>
      </c>
      <c r="EF515">
        <f>IF(ISBLANK('Data Entry'!$È$515), "", 'Data Entry'!$È$515)</f>
      </c>
      <c r="EG515">
        <f>IF(ISBLANK('Data Entry'!$É$515), "", 'Data Entry'!$É$515)</f>
      </c>
      <c r="EH515">
        <f>IF(ISBLANK('Data Entry'!$Ê$515), "", 'Data Entry'!$Ê$515)</f>
      </c>
      <c r="EI515">
        <f>IF(ISBLANK('Data Entry'!$Ë$515), "", 'Data Entry'!$Ë$515)</f>
      </c>
      <c r="EJ515">
        <f>IF(ISBLANK('Data Entry'!$Ì$515), "", 'Data Entry'!$Ì$515)</f>
      </c>
      <c r="EK515">
        <f>IF(ISBLANK('Data Entry'!$Í$515), "", 'Data Entry'!$Í$515)</f>
      </c>
      <c r="EL515">
        <f>IF(ISBLANK('Data Entry'!$Î$515), "", 'Data Entry'!$Î$515)</f>
      </c>
      <c r="EM515">
        <f>IF(ISBLANK('Data Entry'!$Ï$515), "", 'Data Entry'!$Ï$515)</f>
      </c>
      <c r="EN515">
        <f>IF(ISBLANK('Data Entry'!$Ð$515), "", 'Data Entry'!$Ð$515)</f>
      </c>
      <c r="EO515">
        <f>IF(ISBLANK('Data Entry'!$Ñ$515), "", 'Data Entry'!$Ñ$515)</f>
      </c>
      <c r="EP515">
        <f>IF(ISBLANK('Data Entry'!$Ò$515), "", 'Data Entry'!$Ò$515)</f>
      </c>
      <c r="EQ515">
        <f>IF(ISBLANK('Data Entry'!$Ó$515), "", 'Data Entry'!$Ó$515)</f>
      </c>
      <c r="ER515">
        <f>IF(ISBLANK('Data Entry'!$Ô$515), "", 'Data Entry'!$Ô$515)</f>
      </c>
      <c r="ES515">
        <f>IF(ISBLANK('Data Entry'!$Õ$515), "", 'Data Entry'!$Õ$515)</f>
      </c>
      <c r="ET515">
        <f>IF(ISBLANK('Data Entry'!$Ö$515), "", 'Data Entry'!$Ö$515)</f>
      </c>
      <c r="EU515">
        <f>IF(ISBLANK('Data Entry'!$×$515), "", 'Data Entry'!$×$515)</f>
      </c>
      <c r="EV515">
        <f>IF(ISBLANK('Data Entry'!$Ø$515), "", 'Data Entry'!$Ø$515)</f>
      </c>
      <c r="EW515">
        <f>IF(ISBLANK('Data Entry'!$Ù$515), "", 'Data Entry'!$Ù$515)</f>
      </c>
      <c r="EX515">
        <f>IF(ISBLANK('Data Entry'!$Ú$515), "", 'Data Entry'!$Ú$515)</f>
      </c>
      <c r="EY515">
        <f>IF(ISBLANK('Data Entry'!$Û$515), "", 'Data Entry'!$Û$515)</f>
      </c>
      <c r="EZ515">
        <f>IF(ISBLANK('Data Entry'!$Ü$515), "", 'Data Entry'!$Ü$515)</f>
      </c>
      <c r="FA515">
        <f>IF(ISBLANK('Data Entry'!$Ý$515), "", 'Data Entry'!$Ý$515)</f>
      </c>
      <c r="FB515">
        <f>IF(ISBLANK('Data Entry'!$Þ$515), "", 'Data Entry'!$Þ$515)</f>
      </c>
      <c r="FC515">
        <f>IF(ISBLANK('Data Entry'!$ß$515), "", 'Data Entry'!$ß$515)</f>
      </c>
      <c r="FD515">
        <f>IF(ISBLANK('Data Entry'!$à$515), "", 'Data Entry'!$à$515)</f>
      </c>
      <c r="FE515">
        <f>IF(ISBLANK('Data Entry'!$á$515), "", 'Data Entry'!$á$515)</f>
      </c>
      <c r="FF515">
        <f>IF(ISBLANK('Data Entry'!$â$515), "", 'Data Entry'!$â$515)</f>
      </c>
      <c r="FG515">
        <f>IF(ISBLANK('Data Entry'!$ã$515), "", 'Data Entry'!$ã$515)</f>
      </c>
      <c r="FH515">
        <f>IF(ISBLANK('Data Entry'!$ä$515), "", 'Data Entry'!$ä$515)</f>
      </c>
      <c r="FI515">
        <f>IF(ISBLANK('Data Entry'!$å$515), "", 'Data Entry'!$å$515)</f>
      </c>
      <c r="FJ515">
        <f>IF(ISBLANK('Data Entry'!$æ$515), "", 'Data Entry'!$æ$515)</f>
      </c>
      <c r="FK515">
        <f>IF(ISBLANK('Data Entry'!$ç$515), "", 'Data Entry'!$ç$515)</f>
      </c>
      <c r="FL515">
        <f>IF(ISBLANK('Data Entry'!$è$515), "", 'Data Entry'!$è$515)</f>
      </c>
      <c r="FM515">
        <f>IF(ISBLANK('Data Entry'!$é$515), "", 'Data Entry'!$é$515)</f>
      </c>
      <c r="FN515">
        <f>IF(ISBLANK('Data Entry'!$ê$515), "", 'Data Entry'!$ê$515)</f>
      </c>
      <c r="FO515">
        <f>IF(ISBLANK('Data Entry'!$ë$515), "", 'Data Entry'!$ë$515)</f>
      </c>
      <c r="FP515">
        <f>IF(ISBLANK('Data Entry'!$ì$515), "", 'Data Entry'!$ì$515)</f>
      </c>
      <c r="FQ515">
        <f>IF(ISBLANK('Data Entry'!$í$515), "", 'Data Entry'!$í$515)</f>
      </c>
      <c r="FR515">
        <f>IF(ISBLANK('Data Entry'!$î$515), "", 'Data Entry'!$î$515)</f>
      </c>
      <c r="FS515">
        <f>IF(ISBLANK('Data Entry'!$ï$515), "", 'Data Entry'!$ï$515)</f>
      </c>
      <c r="FT515">
        <f>IF(ISBLANK('Data Entry'!$ð$515), "", 'Data Entry'!$ð$515)</f>
      </c>
      <c r="FU515">
        <f>IF(ISBLANK('Data Entry'!$ñ$515), "", 'Data Entry'!$ñ$515)</f>
      </c>
      <c r="FV515">
        <f>IF(ISBLANK('Data Entry'!$ò$515), "", 'Data Entry'!$ò$515)</f>
      </c>
      <c r="FW515">
        <f>IF(ISBLANK('Data Entry'!$ó$515), "", 'Data Entry'!$ó$515)</f>
      </c>
      <c r="FX515">
        <f>IF(ISBLANK('Data Entry'!$ô$515), "", 'Data Entry'!$ô$515)</f>
      </c>
      <c r="FY515">
        <f>IF(ISBLANK('Data Entry'!$õ$515), "", 'Data Entry'!$õ$515)</f>
      </c>
      <c r="FZ515">
        <f>IF(ISBLANK('Data Entry'!$ö$515), "", 'Data Entry'!$ö$515)</f>
      </c>
      <c r="GA515">
        <f>IF(ISBLANK('Data Entry'!$÷$515), "", 'Data Entry'!$÷$515)</f>
      </c>
      <c r="GB515">
        <f>IF(ISBLANK('Data Entry'!$ø$515), "", 'Data Entry'!$ø$515)</f>
      </c>
      <c r="GC515">
        <f>IF(ISBLANK('Data Entry'!$ù$515), "", 'Data Entry'!$ù$515)</f>
      </c>
      <c r="GD515">
        <f>IF(ISBLANK('Data Entry'!$ú$515), "", 'Data Entry'!$ú$515)</f>
      </c>
      <c r="GE515">
        <f>IF(ISBLANK('Data Entry'!$û$515), "", 'Data Entry'!$û$515)</f>
      </c>
      <c r="GF515">
        <f>IF(ISBLANK('Data Entry'!$ü$515), "", 'Data Entry'!$ü$515)</f>
      </c>
      <c r="GG515">
        <f>IF(ISBLANK('Data Entry'!$ý$515), "", 'Data Entry'!$ý$515)</f>
      </c>
      <c r="GH515">
        <f>IF(ISBLANK('Data Entry'!$þ$515), "", 'Data Entry'!$þ$515)</f>
      </c>
      <c r="GI515">
        <f>IF(ISBLANK('Data Entry'!$ÿ$515), "", 'Data Entry'!$ÿ$515)</f>
      </c>
      <c r="GJ515">
        <f>IF(ISBLANK('Data Entry'!$Ā$515), "", 'Data Entry'!$Ā$515)</f>
      </c>
      <c r="GK515">
        <f>IF(ISBLANK('Data Entry'!$ā$515), "", 'Data Entry'!$ā$515)</f>
      </c>
      <c r="GL515">
        <f>IF(ISBLANK('Data Entry'!$Ă$515), "", 'Data Entry'!$Ă$515)</f>
      </c>
      <c r="GM515">
        <f>IF(ISBLANK('Data Entry'!$ă$515), "", 'Data Entry'!$ă$515)</f>
      </c>
      <c r="GN515">
        <f>IF(ISBLANK('Data Entry'!$Ą$515), "", 'Data Entry'!$Ą$515)</f>
      </c>
      <c r="GO515">
        <f>IF(ISBLANK('Data Entry'!$ą$515), "", 'Data Entry'!$ą$515)</f>
      </c>
      <c r="GP515">
        <f>IF(ISBLANK('Data Entry'!$Ć$515), "", 'Data Entry'!$Ć$515)</f>
      </c>
      <c r="GQ515">
        <f>IF(ISBLANK('Data Entry'!$ć$515), "", 'Data Entry'!$ć$515)</f>
      </c>
      <c r="GR515">
        <f>IF(ISBLANK('Data Entry'!$Ĉ$515), "", 'Data Entry'!$Ĉ$515)</f>
      </c>
      <c r="GS515">
        <f>IF(ISBLANK('Data Entry'!$ĉ$515), "", 'Data Entry'!$ĉ$515)</f>
      </c>
      <c r="GT515">
        <f>IF(ISBLANK('Data Entry'!$Ċ$515), "", 'Data Entry'!$Ċ$515)</f>
      </c>
      <c r="GU515">
        <f>IF(ISBLANK('Data Entry'!$ċ$515), "", 'Data Entry'!$ċ$515)</f>
      </c>
      <c r="GV515">
        <f>IF(ISBLANK('Data Entry'!$Č$515), "", 'Data Entry'!$Č$515)</f>
      </c>
      <c r="GW515">
        <f>IF(ISBLANK('Data Entry'!$č$515), "", 'Data Entry'!$č$515)</f>
      </c>
      <c r="GX515">
        <f>IF(ISBLANK('Data Entry'!$Ď$515), "", 'Data Entry'!$Ď$515)</f>
      </c>
      <c r="GY515">
        <f>IF(ISBLANK('Data Entry'!$ď$515), "", 'Data Entry'!$ď$515)</f>
      </c>
      <c r="GZ515">
        <f>IF(ISBLANK('Data Entry'!$Đ$515), "", 'Data Entry'!$Đ$515)</f>
      </c>
      <c r="HA515">
        <f>IF(ISBLANK('Data Entry'!$đ$515), "", 'Data Entry'!$đ$515)</f>
      </c>
      <c r="HB515">
        <f>IF(ISBLANK('Data Entry'!$Ē$515), "", 'Data Entry'!$Ē$515)</f>
      </c>
      <c r="HC515">
        <f>IF(ISBLANK('Data Entry'!$ē$515), "", 'Data Entry'!$ē$515)</f>
      </c>
      <c r="HD515">
        <f>IF(ISBLANK('Data Entry'!$Ĕ$515), "", 'Data Entry'!$Ĕ$515)</f>
      </c>
      <c r="HE515">
        <f>IF(ISBLANK('Data Entry'!$ĕ$515), "", 'Data Entry'!$ĕ$515)</f>
      </c>
      <c r="HF515">
        <f>IF(ISBLANK('Data Entry'!$Ė$515), "", 'Data Entry'!$Ė$515)</f>
      </c>
      <c r="HG515">
        <f>IF(ISBLANK('Data Entry'!$ė$515), "", 'Data Entry'!$ė$515)</f>
      </c>
      <c r="HH515">
        <f>IF(ISBLANK('Data Entry'!$Ę$515), "", 'Data Entry'!$Ę$515)</f>
      </c>
      <c r="HI515">
        <f>IF(ISBLANK('Data Entry'!$ę$515), "", 'Data Entry'!$ę$515)</f>
      </c>
      <c r="HJ515">
        <f>IF(ISBLANK('Data Entry'!$Ě$515), "", 'Data Entry'!$Ě$515)</f>
      </c>
      <c r="HK515">
        <f>IF(ISBLANK('Data Entry'!$ě$515), "", 'Data Entry'!$ě$515)</f>
      </c>
      <c r="HL515">
        <f>IF(ISBLANK('Data Entry'!$Ĝ$515), "", 'Data Entry'!$Ĝ$515)</f>
      </c>
      <c r="HM515">
        <f>IF(ISBLANK('Data Entry'!$ĝ$515), "", 'Data Entry'!$ĝ$515)</f>
      </c>
      <c r="HN515">
        <f>IF(ISBLANK('Data Entry'!$Ğ$515), "", 'Data Entry'!$Ğ$515)</f>
      </c>
      <c r="HO515">
        <f>IF(ISBLANK('Data Entry'!$ğ$515), "", 'Data Entry'!$ğ$515)</f>
      </c>
      <c r="HP515">
        <f>IF(ISBLANK('Data Entry'!$Ġ$515), "", 'Data Entry'!$Ġ$515)</f>
      </c>
      <c r="HQ515">
        <f>IF(ISBLANK('Data Entry'!$ġ$515), "", 'Data Entry'!$ġ$515)</f>
      </c>
      <c r="HR515">
        <f>IF(ISBLANK('Data Entry'!$Ģ$515), "", 'Data Entry'!$Ģ$515)</f>
      </c>
      <c r="HS515">
        <f>IF(ISBLANK('Data Entry'!$ģ$515), "", 'Data Entry'!$ģ$515)</f>
      </c>
      <c r="HT515">
        <f>IF(ISBLANK('Data Entry'!$Ĥ$515), "", 'Data Entry'!$Ĥ$515)</f>
      </c>
      <c r="HU515">
        <f>IF(ISBLANK('Data Entry'!$ĥ$515), "", 'Data Entry'!$ĥ$515)</f>
      </c>
      <c r="HV515">
        <f>IF(ISBLANK('Data Entry'!$Ħ$515), "", 'Data Entry'!$Ħ$515)</f>
      </c>
      <c r="HW515">
        <f>IF(ISBLANK('Data Entry'!$ħ$515), "", 'Data Entry'!$ħ$515)</f>
      </c>
      <c r="HX515">
        <f>IF(ISBLANK('Data Entry'!$Ĩ$515), "", 'Data Entry'!$Ĩ$515)</f>
      </c>
      <c r="HY515">
        <f>IF(ISBLANK('Data Entry'!$ĩ$515), "", 'Data Entry'!$ĩ$515)</f>
      </c>
      <c r="HZ515">
        <f>IF(ISBLANK('Data Entry'!$Ī$515), "", 'Data Entry'!$Ī$515)</f>
      </c>
      <c r="IA515">
        <f>IF(ISBLANK('Data Entry'!$ī$515), "", 'Data Entry'!$ī$515)</f>
      </c>
      <c r="IB515">
        <f>IF(ISBLANK('Data Entry'!$Ĭ$515), "", 'Data Entry'!$Ĭ$515)</f>
      </c>
      <c r="IC515">
        <f>IF(ISBLANK('Data Entry'!$ĭ$515), "", 'Data Entry'!$ĭ$515)</f>
      </c>
      <c r="ID515">
        <f>IF(ISBLANK('Data Entry'!$Į$515), "", 'Data Entry'!$Į$515)</f>
      </c>
      <c r="IE515">
        <f>IF(ISBLANK('Data Entry'!$į$515), "", 'Data Entry'!$į$515)</f>
      </c>
      <c r="IF515">
        <f>IF(ISBLANK('Data Entry'!$İ$515), "", 'Data Entry'!$İ$515)</f>
      </c>
      <c r="IG515">
        <f>IF(ISBLANK('Data Entry'!$ı$515), "", 'Data Entry'!$ı$515)</f>
      </c>
      <c r="IH515">
        <f>IF(ISBLANK('Data Entry'!$Ĳ$515), "", 'Data Entry'!$Ĳ$515)</f>
      </c>
      <c r="II515">
        <f>IF(ISBLANK('Data Entry'!$ĳ$515), "", 'Data Entry'!$ĳ$515)</f>
      </c>
      <c r="IJ515">
        <f>IF(ISBLANK('Data Entry'!$Ĵ$515), "", 'Data Entry'!$Ĵ$515)</f>
      </c>
      <c r="IK515">
        <f>IF(ISBLANK('Data Entry'!$ĵ$515), "", 'Data Entry'!$ĵ$515)</f>
      </c>
      <c r="IL515">
        <f>IF(ISBLANK('Data Entry'!$Ķ$515), "", 'Data Entry'!$Ķ$515)</f>
      </c>
      <c r="IM515">
        <f>IF(ISBLANK('Data Entry'!$ķ$515), "", 'Data Entry'!$ķ$515)</f>
      </c>
      <c r="IN515">
        <f>IF(ISBLANK('Data Entry'!$ĸ$515), "", 'Data Entry'!$ĸ$515)</f>
      </c>
      <c r="IO515">
        <f>IF(ISBLANK('Data Entry'!$Ĺ$515), "", 'Data Entry'!$Ĺ$515)</f>
      </c>
      <c r="IP515">
        <f>IF(ISBLANK('Data Entry'!$ĺ$515), "", 'Data Entry'!$ĺ$515)</f>
      </c>
      <c r="IQ515">
        <f>IF(ISBLANK('Data Entry'!$Ļ$515), "", 'Data Entry'!$Ļ$515)</f>
      </c>
      <c r="IR515">
        <f>IF(ISBLANK('Data Entry'!$ļ$515), "", 'Data Entry'!$ļ$515)</f>
      </c>
      <c r="IS515">
        <f>IF(ISBLANK('Data Entry'!$Ľ$515), "", 'Data Entry'!$Ľ$515)</f>
      </c>
      <c r="IT515">
        <f>IF(ISBLANK('Data Entry'!$ľ$515), "", 'Data Entry'!$ľ$515)</f>
      </c>
    </row>
    <row r="516" spans="1:254" x14ac:dyDescent="0.25">
      <c r="A516">
        <f>IF(ISBLANK('Data Entry'!$A$516), "", 'Data Entry'!$A$516)</f>
      </c>
      <c r="B516">
        <f>IF(ISBLANK('Data Entry'!$B$516), "", 'Data Entry'!$B$516)</f>
      </c>
      <c r="C516">
        <f>IF(ISBLANK('Data Entry'!$C$516), "", 'Data Entry'!$C$516)</f>
      </c>
      <c r="D516">
        <f>IF(ISBLANK('Data Entry'!$D$516), "", 'Data Entry'!$D$516)</f>
      </c>
      <c r="E516">
        <f>IF(ISBLANK('Data Entry'!$E$516), "", 'Data Entry'!$E$516)</f>
      </c>
      <c r="F516">
        <f>IF(ISBLANK('Data Entry'!$F$516), "", 'Data Entry'!$F$516)</f>
      </c>
      <c r="G516">
        <f>IF(ISBLANK('Data Entry'!$G$516), "", 'Data Entry'!$G$516)</f>
      </c>
      <c r="H516">
        <f>IF(ISBLANK('Data Entry'!$H$516), "", 'Data Entry'!$H$516)</f>
      </c>
      <c r="I516">
        <f>IF(ISBLANK('Data Entry'!$I$516), "", 'Data Entry'!$I$516)</f>
      </c>
      <c r="J516">
        <f>IF(ISBLANK('Data Entry'!$J$516), "", 'Data Entry'!$J$516)</f>
      </c>
      <c r="K516">
        <f>IF(ISBLANK('Data Entry'!$K$516), "", 'Data Entry'!$K$516)</f>
      </c>
      <c r="L516">
        <f>IF(ISBLANK('Data Entry'!$L$516), "", 'Data Entry'!$L$516)</f>
      </c>
      <c r="M516">
        <f>IF(ISBLANK('Data Entry'!$M$516), "", 'Data Entry'!$M$516)</f>
      </c>
      <c r="N516">
        <f>IF(ISBLANK('Data Entry'!$N$516), "", 'Data Entry'!$N$516)</f>
      </c>
      <c r="O516">
        <f>IF(ISBLANK('Data Entry'!$O$516), "", 'Data Entry'!$O$516)</f>
      </c>
      <c r="P516">
        <f>IF(ISBLANK('Data Entry'!$P$516), "", 'Data Entry'!$P$516)</f>
      </c>
      <c r="Q516">
        <f>IF(ISBLANK('Data Entry'!$Q$516), "", 'Data Entry'!$Q$516)</f>
      </c>
      <c r="R516">
        <f>IF(ISBLANK('Data Entry'!$R$516), "", 'Data Entry'!$R$516)</f>
      </c>
      <c r="S516">
        <f>IF(ISBLANK('Data Entry'!$S$516), "", 'Data Entry'!$S$516)</f>
      </c>
      <c r="T516">
        <f>IF(ISBLANK('Data Entry'!$T$516), "", 'Data Entry'!$T$516)</f>
      </c>
      <c r="U516">
        <f>IF(ISBLANK('Data Entry'!$U$516), "", 'Data Entry'!$U$516)</f>
      </c>
      <c r="V516">
        <f>IF(ISBLANK('Data Entry'!$V$516), "", 'Data Entry'!$V$516)</f>
      </c>
      <c r="W516">
        <f>IF(ISBLANK('Data Entry'!$W$516), "", 'Data Entry'!$W$516)</f>
      </c>
      <c r="X516">
        <f>IF(ISBLANK('Data Entry'!$X$516), "", 'Data Entry'!$X$516)</f>
      </c>
      <c r="Y516">
        <f>IF(ISBLANK('Data Entry'!$Y$516), "", 'Data Entry'!$Y$516)</f>
      </c>
      <c r="Z516">
        <f>IF(ISBLANK('Data Entry'!$Z$516), "", 'Data Entry'!$Z$516)</f>
      </c>
      <c r="AA516">
        <f>IF(ISBLANK('Data Entry'!$[$516), "", 'Data Entry'!$[$516)</f>
      </c>
      <c r="AB516">
        <f>IF(ISBLANK('Data Entry'!$\$516), "", 'Data Entry'!$\$516)</f>
      </c>
      <c r="AC516">
        <f>IF(ISBLANK('Data Entry'!$]$516), "", 'Data Entry'!$]$516)</f>
      </c>
      <c r="AD516">
        <f>IF(ISBLANK('Data Entry'!$^$516), "", 'Data Entry'!$^$516)</f>
      </c>
      <c r="AE516">
        <f>IF(ISBLANK('Data Entry'!$_$516), "", 'Data Entry'!$_$516)</f>
      </c>
      <c r="AF516">
        <f>IF(ISBLANK('Data Entry'!$`$516), "", 'Data Entry'!$`$516)</f>
      </c>
      <c r="AG516">
        <f>IF(ISBLANK('Data Entry'!$a$516), "", 'Data Entry'!$a$516)</f>
      </c>
      <c r="AH516">
        <f>IF(ISBLANK('Data Entry'!$b$516), "", 'Data Entry'!$b$516)</f>
      </c>
      <c r="AI516">
        <f>IF(ISBLANK('Data Entry'!$c$516), "", 'Data Entry'!$c$516)</f>
      </c>
      <c r="AJ516">
        <f>IF(ISBLANK('Data Entry'!$d$516), "", 'Data Entry'!$d$516)</f>
      </c>
      <c r="AK516">
        <f>IF(ISBLANK('Data Entry'!$e$516), "", 'Data Entry'!$e$516)</f>
      </c>
      <c r="AL516">
        <f>IF(ISBLANK('Data Entry'!$f$516), "", 'Data Entry'!$f$516)</f>
      </c>
      <c r="AM516">
        <f>IF(ISBLANK('Data Entry'!$g$516), "", 'Data Entry'!$g$516)</f>
      </c>
      <c r="AN516">
        <f>IF(ISBLANK('Data Entry'!$h$516), "", 'Data Entry'!$h$516)</f>
      </c>
      <c r="AO516">
        <f>IF(ISBLANK('Data Entry'!$i$516), "", 'Data Entry'!$i$516)</f>
      </c>
      <c r="AP516">
        <f>IF(ISBLANK('Data Entry'!$j$516), "", 'Data Entry'!$j$516)</f>
      </c>
      <c r="AQ516">
        <f>IF(ISBLANK('Data Entry'!$k$516), "", 'Data Entry'!$k$516)</f>
      </c>
      <c r="AR516">
        <f>IF(ISBLANK('Data Entry'!$l$516), "", 'Data Entry'!$l$516)</f>
      </c>
      <c r="AS516">
        <f>IF(ISBLANK('Data Entry'!$m$516), "", 'Data Entry'!$m$516)</f>
      </c>
      <c r="AT516">
        <f>IF(ISBLANK('Data Entry'!$n$516), "", 'Data Entry'!$n$516)</f>
      </c>
      <c r="AU516">
        <f>IF(ISBLANK('Data Entry'!$o$516), "", 'Data Entry'!$o$516)</f>
      </c>
      <c r="AV516">
        <f>IF(ISBLANK('Data Entry'!$p$516), "", 'Data Entry'!$p$516)</f>
      </c>
      <c r="AW516">
        <f>IF(ISBLANK('Data Entry'!$q$516), "", 'Data Entry'!$q$516)</f>
      </c>
      <c r="AX516">
        <f>IF(ISBLANK('Data Entry'!$r$516), "", 'Data Entry'!$r$516)</f>
      </c>
      <c r="AY516">
        <f>IF(ISBLANK('Data Entry'!$s$516), "", 'Data Entry'!$s$516)</f>
      </c>
      <c r="AZ516">
        <f>IF(ISBLANK('Data Entry'!$t$516), "", 'Data Entry'!$t$516)</f>
      </c>
      <c r="BA516">
        <f>IF(ISBLANK('Data Entry'!$u$516), "", 'Data Entry'!$u$516)</f>
      </c>
      <c r="BB516">
        <f>IF(ISBLANK('Data Entry'!$v$516), "", 'Data Entry'!$v$516)</f>
      </c>
      <c r="BC516">
        <f>IF(ISBLANK('Data Entry'!$w$516), "", 'Data Entry'!$w$516)</f>
      </c>
      <c r="BD516">
        <f>IF(ISBLANK('Data Entry'!$x$516), "", 'Data Entry'!$x$516)</f>
      </c>
      <c r="BE516">
        <f>IF(ISBLANK('Data Entry'!$y$516), "", 'Data Entry'!$y$516)</f>
      </c>
      <c r="BF516">
        <f>IF(ISBLANK('Data Entry'!$z$516), "", 'Data Entry'!$z$516)</f>
      </c>
      <c r="BG516">
        <f>IF(ISBLANK('Data Entry'!${$516), "", 'Data Entry'!${$516)</f>
      </c>
      <c r="BH516">
        <f>IF(ISBLANK('Data Entry'!$|$516), "", 'Data Entry'!$|$516)</f>
      </c>
      <c r="BI516">
        <f>IF(ISBLANK('Data Entry'!$}$516), "", 'Data Entry'!$}$516)</f>
      </c>
      <c r="BJ516">
        <f>IF(ISBLANK('Data Entry'!$~$516), "", 'Data Entry'!$~$516)</f>
      </c>
      <c r="BK516">
        <f>IF(ISBLANK('Data Entry'!$$516), "", 'Data Entry'!$$516)</f>
      </c>
      <c r="BL516">
        <f>IF(ISBLANK('Data Entry'!$$516), "", 'Data Entry'!$$516)</f>
      </c>
      <c r="BM516">
        <f>IF(ISBLANK('Data Entry'!$$516), "", 'Data Entry'!$$516)</f>
      </c>
      <c r="BN516">
        <f>IF(ISBLANK('Data Entry'!$$516), "", 'Data Entry'!$$516)</f>
      </c>
      <c r="BO516">
        <f>IF(ISBLANK('Data Entry'!$$516), "", 'Data Entry'!$$516)</f>
      </c>
      <c r="BP516">
        <f>IF(ISBLANK('Data Entry'!$$516), "", 'Data Entry'!$$516)</f>
      </c>
      <c r="BQ516">
        <f>IF(ISBLANK('Data Entry'!$$516), "", 'Data Entry'!$$516)</f>
      </c>
      <c r="BR516">
        <f>IF(ISBLANK('Data Entry'!$$516), "", 'Data Entry'!$$516)</f>
      </c>
      <c r="BS516">
        <f>IF(ISBLANK('Data Entry'!$$516), "", 'Data Entry'!$$516)</f>
      </c>
      <c r="BT516">
        <f>IF(ISBLANK('Data Entry'!$$516), "", 'Data Entry'!$$516)</f>
      </c>
      <c r="BU516">
        <f>IF(ISBLANK('Data Entry'!$$516), "", 'Data Entry'!$$516)</f>
      </c>
      <c r="BV516">
        <f>IF(ISBLANK('Data Entry'!$$516), "", 'Data Entry'!$$516)</f>
      </c>
      <c r="BW516">
        <f>IF(ISBLANK('Data Entry'!$$516), "", 'Data Entry'!$$516)</f>
      </c>
      <c r="BX516">
        <f>IF(ISBLANK('Data Entry'!$$516), "", 'Data Entry'!$$516)</f>
      </c>
      <c r="BY516">
        <f>IF(ISBLANK('Data Entry'!$$516), "", 'Data Entry'!$$516)</f>
      </c>
      <c r="BZ516">
        <f>IF(ISBLANK('Data Entry'!$$516), "", 'Data Entry'!$$516)</f>
      </c>
      <c r="CA516">
        <f>IF(ISBLANK('Data Entry'!$$516), "", 'Data Entry'!$$516)</f>
      </c>
      <c r="CB516">
        <f>IF(ISBLANK('Data Entry'!$$516), "", 'Data Entry'!$$516)</f>
      </c>
      <c r="CC516">
        <f>IF(ISBLANK('Data Entry'!$$516), "", 'Data Entry'!$$516)</f>
      </c>
      <c r="CD516">
        <f>IF(ISBLANK('Data Entry'!$$516), "", 'Data Entry'!$$516)</f>
      </c>
      <c r="CE516">
        <f>IF(ISBLANK('Data Entry'!$$516), "", 'Data Entry'!$$516)</f>
      </c>
      <c r="CF516">
        <f>IF(ISBLANK('Data Entry'!$$516), "", 'Data Entry'!$$516)</f>
      </c>
      <c r="CG516">
        <f>IF(ISBLANK('Data Entry'!$$516), "", 'Data Entry'!$$516)</f>
      </c>
      <c r="CH516">
        <f>IF(ISBLANK('Data Entry'!$$516), "", 'Data Entry'!$$516)</f>
      </c>
      <c r="CI516">
        <f>IF(ISBLANK('Data Entry'!$$516), "", 'Data Entry'!$$516)</f>
      </c>
      <c r="CJ516">
        <f>IF(ISBLANK('Data Entry'!$$516), "", 'Data Entry'!$$516)</f>
      </c>
      <c r="CK516">
        <f>IF(ISBLANK('Data Entry'!$$516), "", 'Data Entry'!$$516)</f>
      </c>
      <c r="CL516">
        <f>IF(ISBLANK('Data Entry'!$$516), "", 'Data Entry'!$$516)</f>
      </c>
      <c r="CM516">
        <f>IF(ISBLANK('Data Entry'!$$516), "", 'Data Entry'!$$516)</f>
      </c>
      <c r="CN516">
        <f>IF(ISBLANK('Data Entry'!$$516), "", 'Data Entry'!$$516)</f>
      </c>
      <c r="CO516">
        <f>IF(ISBLANK('Data Entry'!$$516), "", 'Data Entry'!$$516)</f>
      </c>
      <c r="CP516">
        <f>IF(ISBLANK('Data Entry'!$$516), "", 'Data Entry'!$$516)</f>
      </c>
      <c r="CQ516">
        <f>IF(ISBLANK('Data Entry'!$$516), "", 'Data Entry'!$$516)</f>
      </c>
      <c r="CR516">
        <f>IF(ISBLANK('Data Entry'!$ $516), "", 'Data Entry'!$ $516)</f>
      </c>
      <c r="CS516">
        <f>IF(ISBLANK('Data Entry'!$¡$516), "", 'Data Entry'!$¡$516)</f>
      </c>
      <c r="CT516">
        <f>IF(ISBLANK('Data Entry'!$¢$516), "", 'Data Entry'!$¢$516)</f>
      </c>
      <c r="CU516">
        <f>IF(ISBLANK('Data Entry'!$£$516), "", 'Data Entry'!$£$516)</f>
      </c>
      <c r="CV516">
        <f>IF(ISBLANK('Data Entry'!$¤$516), "", 'Data Entry'!$¤$516)</f>
      </c>
      <c r="CW516">
        <f>IF(ISBLANK('Data Entry'!$¥$516), "", 'Data Entry'!$¥$516)</f>
      </c>
      <c r="CX516">
        <f>IF(ISBLANK('Data Entry'!$¦$516), "", 'Data Entry'!$¦$516)</f>
      </c>
      <c r="CY516">
        <f>IF(ISBLANK('Data Entry'!$§$516), "", 'Data Entry'!$§$516)</f>
      </c>
      <c r="CZ516">
        <f>IF(ISBLANK('Data Entry'!$¨$516), "", 'Data Entry'!$¨$516)</f>
      </c>
      <c r="DA516">
        <f>IF(ISBLANK('Data Entry'!$©$516), "", 'Data Entry'!$©$516)</f>
      </c>
      <c r="DB516">
        <f>IF(ISBLANK('Data Entry'!$ª$516), "", 'Data Entry'!$ª$516)</f>
      </c>
      <c r="DC516">
        <f>IF(ISBLANK('Data Entry'!$«$516), "", 'Data Entry'!$«$516)</f>
      </c>
      <c r="DD516">
        <f>IF(ISBLANK('Data Entry'!$¬$516), "", 'Data Entry'!$¬$516)</f>
      </c>
      <c r="DE516">
        <f>IF(ISBLANK('Data Entry'!$­$516), "", 'Data Entry'!$­$516)</f>
      </c>
      <c r="DF516">
        <f>IF(ISBLANK('Data Entry'!$®$516), "", 'Data Entry'!$®$516)</f>
      </c>
      <c r="DG516">
        <f>IF(ISBLANK('Data Entry'!$¯$516), "", 'Data Entry'!$¯$516)</f>
      </c>
      <c r="DH516">
        <f>IF(ISBLANK('Data Entry'!$°$516), "", 'Data Entry'!$°$516)</f>
      </c>
      <c r="DI516">
        <f>IF(ISBLANK('Data Entry'!$±$516), "", 'Data Entry'!$±$516)</f>
      </c>
      <c r="DJ516">
        <f>IF(ISBLANK('Data Entry'!$²$516), "", 'Data Entry'!$²$516)</f>
      </c>
      <c r="DK516">
        <f>IF(ISBLANK('Data Entry'!$³$516), "", 'Data Entry'!$³$516)</f>
      </c>
      <c r="DL516">
        <f>IF(ISBLANK('Data Entry'!$´$516), "", 'Data Entry'!$´$516)</f>
      </c>
      <c r="DM516">
        <f>IF(ISBLANK('Data Entry'!$µ$516), "", 'Data Entry'!$µ$516)</f>
      </c>
      <c r="DN516">
        <f>IF(ISBLANK('Data Entry'!$¶$516), "", 'Data Entry'!$¶$516)</f>
      </c>
      <c r="DO516">
        <f>IF(ISBLANK('Data Entry'!$·$516), "", 'Data Entry'!$·$516)</f>
      </c>
      <c r="DP516">
        <f>IF(ISBLANK('Data Entry'!$¸$516), "", 'Data Entry'!$¸$516)</f>
      </c>
      <c r="DQ516">
        <f>IF(ISBLANK('Data Entry'!$¹$516), "", 'Data Entry'!$¹$516)</f>
      </c>
      <c r="DR516">
        <f>IF(ISBLANK('Data Entry'!$º$516), "", 'Data Entry'!$º$516)</f>
      </c>
      <c r="DS516">
        <f>IF(ISBLANK('Data Entry'!$»$516), "", 'Data Entry'!$»$516)</f>
      </c>
      <c r="DT516">
        <f>IF(ISBLANK('Data Entry'!$¼$516), "", 'Data Entry'!$¼$516)</f>
      </c>
      <c r="DU516">
        <f>IF(ISBLANK('Data Entry'!$½$516), "", 'Data Entry'!$½$516)</f>
      </c>
      <c r="DV516">
        <f>IF(ISBLANK('Data Entry'!$¾$516), "", 'Data Entry'!$¾$516)</f>
      </c>
      <c r="DW516">
        <f>IF(ISBLANK('Data Entry'!$¿$516), "", 'Data Entry'!$¿$516)</f>
      </c>
      <c r="DX516">
        <f>IF(ISBLANK('Data Entry'!$À$516), "", 'Data Entry'!$À$516)</f>
      </c>
      <c r="DY516">
        <f>IF(ISBLANK('Data Entry'!$Á$516), "", 'Data Entry'!$Á$516)</f>
      </c>
      <c r="DZ516">
        <f>IF(ISBLANK('Data Entry'!$Â$516), "", 'Data Entry'!$Â$516)</f>
      </c>
      <c r="EA516">
        <f>IF(ISBLANK('Data Entry'!$Ã$516), "", 'Data Entry'!$Ã$516)</f>
      </c>
      <c r="EB516">
        <f>IF(ISBLANK('Data Entry'!$Ä$516), "", 'Data Entry'!$Ä$516)</f>
      </c>
      <c r="EC516">
        <f>IF(ISBLANK('Data Entry'!$Å$516), "", 'Data Entry'!$Å$516)</f>
      </c>
      <c r="ED516">
        <f>IF(ISBLANK('Data Entry'!$Æ$516), "", 'Data Entry'!$Æ$516)</f>
      </c>
      <c r="EE516">
        <f>IF(ISBLANK('Data Entry'!$Ç$516), "", 'Data Entry'!$Ç$516)</f>
      </c>
      <c r="EF516">
        <f>IF(ISBLANK('Data Entry'!$È$516), "", 'Data Entry'!$È$516)</f>
      </c>
      <c r="EG516">
        <f>IF(ISBLANK('Data Entry'!$É$516), "", 'Data Entry'!$É$516)</f>
      </c>
      <c r="EH516">
        <f>IF(ISBLANK('Data Entry'!$Ê$516), "", 'Data Entry'!$Ê$516)</f>
      </c>
      <c r="EI516">
        <f>IF(ISBLANK('Data Entry'!$Ë$516), "", 'Data Entry'!$Ë$516)</f>
      </c>
      <c r="EJ516">
        <f>IF(ISBLANK('Data Entry'!$Ì$516), "", 'Data Entry'!$Ì$516)</f>
      </c>
      <c r="EK516">
        <f>IF(ISBLANK('Data Entry'!$Í$516), "", 'Data Entry'!$Í$516)</f>
      </c>
      <c r="EL516">
        <f>IF(ISBLANK('Data Entry'!$Î$516), "", 'Data Entry'!$Î$516)</f>
      </c>
      <c r="EM516">
        <f>IF(ISBLANK('Data Entry'!$Ï$516), "", 'Data Entry'!$Ï$516)</f>
      </c>
      <c r="EN516">
        <f>IF(ISBLANK('Data Entry'!$Ð$516), "", 'Data Entry'!$Ð$516)</f>
      </c>
      <c r="EO516">
        <f>IF(ISBLANK('Data Entry'!$Ñ$516), "", 'Data Entry'!$Ñ$516)</f>
      </c>
      <c r="EP516">
        <f>IF(ISBLANK('Data Entry'!$Ò$516), "", 'Data Entry'!$Ò$516)</f>
      </c>
      <c r="EQ516">
        <f>IF(ISBLANK('Data Entry'!$Ó$516), "", 'Data Entry'!$Ó$516)</f>
      </c>
      <c r="ER516">
        <f>IF(ISBLANK('Data Entry'!$Ô$516), "", 'Data Entry'!$Ô$516)</f>
      </c>
      <c r="ES516">
        <f>IF(ISBLANK('Data Entry'!$Õ$516), "", 'Data Entry'!$Õ$516)</f>
      </c>
      <c r="ET516">
        <f>IF(ISBLANK('Data Entry'!$Ö$516), "", 'Data Entry'!$Ö$516)</f>
      </c>
      <c r="EU516">
        <f>IF(ISBLANK('Data Entry'!$×$516), "", 'Data Entry'!$×$516)</f>
      </c>
      <c r="EV516">
        <f>IF(ISBLANK('Data Entry'!$Ø$516), "", 'Data Entry'!$Ø$516)</f>
      </c>
      <c r="EW516">
        <f>IF(ISBLANK('Data Entry'!$Ù$516), "", 'Data Entry'!$Ù$516)</f>
      </c>
      <c r="EX516">
        <f>IF(ISBLANK('Data Entry'!$Ú$516), "", 'Data Entry'!$Ú$516)</f>
      </c>
      <c r="EY516">
        <f>IF(ISBLANK('Data Entry'!$Û$516), "", 'Data Entry'!$Û$516)</f>
      </c>
      <c r="EZ516">
        <f>IF(ISBLANK('Data Entry'!$Ü$516), "", 'Data Entry'!$Ü$516)</f>
      </c>
      <c r="FA516">
        <f>IF(ISBLANK('Data Entry'!$Ý$516), "", 'Data Entry'!$Ý$516)</f>
      </c>
      <c r="FB516">
        <f>IF(ISBLANK('Data Entry'!$Þ$516), "", 'Data Entry'!$Þ$516)</f>
      </c>
      <c r="FC516">
        <f>IF(ISBLANK('Data Entry'!$ß$516), "", 'Data Entry'!$ß$516)</f>
      </c>
      <c r="FD516">
        <f>IF(ISBLANK('Data Entry'!$à$516), "", 'Data Entry'!$à$516)</f>
      </c>
      <c r="FE516">
        <f>IF(ISBLANK('Data Entry'!$á$516), "", 'Data Entry'!$á$516)</f>
      </c>
      <c r="FF516">
        <f>IF(ISBLANK('Data Entry'!$â$516), "", 'Data Entry'!$â$516)</f>
      </c>
      <c r="FG516">
        <f>IF(ISBLANK('Data Entry'!$ã$516), "", 'Data Entry'!$ã$516)</f>
      </c>
      <c r="FH516">
        <f>IF(ISBLANK('Data Entry'!$ä$516), "", 'Data Entry'!$ä$516)</f>
      </c>
      <c r="FI516">
        <f>IF(ISBLANK('Data Entry'!$å$516), "", 'Data Entry'!$å$516)</f>
      </c>
      <c r="FJ516">
        <f>IF(ISBLANK('Data Entry'!$æ$516), "", 'Data Entry'!$æ$516)</f>
      </c>
      <c r="FK516">
        <f>IF(ISBLANK('Data Entry'!$ç$516), "", 'Data Entry'!$ç$516)</f>
      </c>
      <c r="FL516">
        <f>IF(ISBLANK('Data Entry'!$è$516), "", 'Data Entry'!$è$516)</f>
      </c>
      <c r="FM516">
        <f>IF(ISBLANK('Data Entry'!$é$516), "", 'Data Entry'!$é$516)</f>
      </c>
      <c r="FN516">
        <f>IF(ISBLANK('Data Entry'!$ê$516), "", 'Data Entry'!$ê$516)</f>
      </c>
      <c r="FO516">
        <f>IF(ISBLANK('Data Entry'!$ë$516), "", 'Data Entry'!$ë$516)</f>
      </c>
      <c r="FP516">
        <f>IF(ISBLANK('Data Entry'!$ì$516), "", 'Data Entry'!$ì$516)</f>
      </c>
      <c r="FQ516">
        <f>IF(ISBLANK('Data Entry'!$í$516), "", 'Data Entry'!$í$516)</f>
      </c>
      <c r="FR516">
        <f>IF(ISBLANK('Data Entry'!$î$516), "", 'Data Entry'!$î$516)</f>
      </c>
      <c r="FS516">
        <f>IF(ISBLANK('Data Entry'!$ï$516), "", 'Data Entry'!$ï$516)</f>
      </c>
      <c r="FT516">
        <f>IF(ISBLANK('Data Entry'!$ð$516), "", 'Data Entry'!$ð$516)</f>
      </c>
      <c r="FU516">
        <f>IF(ISBLANK('Data Entry'!$ñ$516), "", 'Data Entry'!$ñ$516)</f>
      </c>
      <c r="FV516">
        <f>IF(ISBLANK('Data Entry'!$ò$516), "", 'Data Entry'!$ò$516)</f>
      </c>
      <c r="FW516">
        <f>IF(ISBLANK('Data Entry'!$ó$516), "", 'Data Entry'!$ó$516)</f>
      </c>
      <c r="FX516">
        <f>IF(ISBLANK('Data Entry'!$ô$516), "", 'Data Entry'!$ô$516)</f>
      </c>
      <c r="FY516">
        <f>IF(ISBLANK('Data Entry'!$õ$516), "", 'Data Entry'!$õ$516)</f>
      </c>
      <c r="FZ516">
        <f>IF(ISBLANK('Data Entry'!$ö$516), "", 'Data Entry'!$ö$516)</f>
      </c>
      <c r="GA516">
        <f>IF(ISBLANK('Data Entry'!$÷$516), "", 'Data Entry'!$÷$516)</f>
      </c>
      <c r="GB516">
        <f>IF(ISBLANK('Data Entry'!$ø$516), "", 'Data Entry'!$ø$516)</f>
      </c>
      <c r="GC516">
        <f>IF(ISBLANK('Data Entry'!$ù$516), "", 'Data Entry'!$ù$516)</f>
      </c>
      <c r="GD516">
        <f>IF(ISBLANK('Data Entry'!$ú$516), "", 'Data Entry'!$ú$516)</f>
      </c>
      <c r="GE516">
        <f>IF(ISBLANK('Data Entry'!$û$516), "", 'Data Entry'!$û$516)</f>
      </c>
      <c r="GF516">
        <f>IF(ISBLANK('Data Entry'!$ü$516), "", 'Data Entry'!$ü$516)</f>
      </c>
      <c r="GG516">
        <f>IF(ISBLANK('Data Entry'!$ý$516), "", 'Data Entry'!$ý$516)</f>
      </c>
      <c r="GH516">
        <f>IF(ISBLANK('Data Entry'!$þ$516), "", 'Data Entry'!$þ$516)</f>
      </c>
      <c r="GI516">
        <f>IF(ISBLANK('Data Entry'!$ÿ$516), "", 'Data Entry'!$ÿ$516)</f>
      </c>
      <c r="GJ516">
        <f>IF(ISBLANK('Data Entry'!$Ā$516), "", 'Data Entry'!$Ā$516)</f>
      </c>
      <c r="GK516">
        <f>IF(ISBLANK('Data Entry'!$ā$516), "", 'Data Entry'!$ā$516)</f>
      </c>
      <c r="GL516">
        <f>IF(ISBLANK('Data Entry'!$Ă$516), "", 'Data Entry'!$Ă$516)</f>
      </c>
      <c r="GM516">
        <f>IF(ISBLANK('Data Entry'!$ă$516), "", 'Data Entry'!$ă$516)</f>
      </c>
      <c r="GN516">
        <f>IF(ISBLANK('Data Entry'!$Ą$516), "", 'Data Entry'!$Ą$516)</f>
      </c>
      <c r="GO516">
        <f>IF(ISBLANK('Data Entry'!$ą$516), "", 'Data Entry'!$ą$516)</f>
      </c>
      <c r="GP516">
        <f>IF(ISBLANK('Data Entry'!$Ć$516), "", 'Data Entry'!$Ć$516)</f>
      </c>
      <c r="GQ516">
        <f>IF(ISBLANK('Data Entry'!$ć$516), "", 'Data Entry'!$ć$516)</f>
      </c>
      <c r="GR516">
        <f>IF(ISBLANK('Data Entry'!$Ĉ$516), "", 'Data Entry'!$Ĉ$516)</f>
      </c>
      <c r="GS516">
        <f>IF(ISBLANK('Data Entry'!$ĉ$516), "", 'Data Entry'!$ĉ$516)</f>
      </c>
      <c r="GT516">
        <f>IF(ISBLANK('Data Entry'!$Ċ$516), "", 'Data Entry'!$Ċ$516)</f>
      </c>
      <c r="GU516">
        <f>IF(ISBLANK('Data Entry'!$ċ$516), "", 'Data Entry'!$ċ$516)</f>
      </c>
      <c r="GV516">
        <f>IF(ISBLANK('Data Entry'!$Č$516), "", 'Data Entry'!$Č$516)</f>
      </c>
      <c r="GW516">
        <f>IF(ISBLANK('Data Entry'!$č$516), "", 'Data Entry'!$č$516)</f>
      </c>
      <c r="GX516">
        <f>IF(ISBLANK('Data Entry'!$Ď$516), "", 'Data Entry'!$Ď$516)</f>
      </c>
      <c r="GY516">
        <f>IF(ISBLANK('Data Entry'!$ď$516), "", 'Data Entry'!$ď$516)</f>
      </c>
      <c r="GZ516">
        <f>IF(ISBLANK('Data Entry'!$Đ$516), "", 'Data Entry'!$Đ$516)</f>
      </c>
      <c r="HA516">
        <f>IF(ISBLANK('Data Entry'!$đ$516), "", 'Data Entry'!$đ$516)</f>
      </c>
      <c r="HB516">
        <f>IF(ISBLANK('Data Entry'!$Ē$516), "", 'Data Entry'!$Ē$516)</f>
      </c>
      <c r="HC516">
        <f>IF(ISBLANK('Data Entry'!$ē$516), "", 'Data Entry'!$ē$516)</f>
      </c>
      <c r="HD516">
        <f>IF(ISBLANK('Data Entry'!$Ĕ$516), "", 'Data Entry'!$Ĕ$516)</f>
      </c>
      <c r="HE516">
        <f>IF(ISBLANK('Data Entry'!$ĕ$516), "", 'Data Entry'!$ĕ$516)</f>
      </c>
      <c r="HF516">
        <f>IF(ISBLANK('Data Entry'!$Ė$516), "", 'Data Entry'!$Ė$516)</f>
      </c>
      <c r="HG516">
        <f>IF(ISBLANK('Data Entry'!$ė$516), "", 'Data Entry'!$ė$516)</f>
      </c>
      <c r="HH516">
        <f>IF(ISBLANK('Data Entry'!$Ę$516), "", 'Data Entry'!$Ę$516)</f>
      </c>
      <c r="HI516">
        <f>IF(ISBLANK('Data Entry'!$ę$516), "", 'Data Entry'!$ę$516)</f>
      </c>
      <c r="HJ516">
        <f>IF(ISBLANK('Data Entry'!$Ě$516), "", 'Data Entry'!$Ě$516)</f>
      </c>
      <c r="HK516">
        <f>IF(ISBLANK('Data Entry'!$ě$516), "", 'Data Entry'!$ě$516)</f>
      </c>
      <c r="HL516">
        <f>IF(ISBLANK('Data Entry'!$Ĝ$516), "", 'Data Entry'!$Ĝ$516)</f>
      </c>
      <c r="HM516">
        <f>IF(ISBLANK('Data Entry'!$ĝ$516), "", 'Data Entry'!$ĝ$516)</f>
      </c>
      <c r="HN516">
        <f>IF(ISBLANK('Data Entry'!$Ğ$516), "", 'Data Entry'!$Ğ$516)</f>
      </c>
      <c r="HO516">
        <f>IF(ISBLANK('Data Entry'!$ğ$516), "", 'Data Entry'!$ğ$516)</f>
      </c>
      <c r="HP516">
        <f>IF(ISBLANK('Data Entry'!$Ġ$516), "", 'Data Entry'!$Ġ$516)</f>
      </c>
      <c r="HQ516">
        <f>IF(ISBLANK('Data Entry'!$ġ$516), "", 'Data Entry'!$ġ$516)</f>
      </c>
      <c r="HR516">
        <f>IF(ISBLANK('Data Entry'!$Ģ$516), "", 'Data Entry'!$Ģ$516)</f>
      </c>
      <c r="HS516">
        <f>IF(ISBLANK('Data Entry'!$ģ$516), "", 'Data Entry'!$ģ$516)</f>
      </c>
      <c r="HT516">
        <f>IF(ISBLANK('Data Entry'!$Ĥ$516), "", 'Data Entry'!$Ĥ$516)</f>
      </c>
      <c r="HU516">
        <f>IF(ISBLANK('Data Entry'!$ĥ$516), "", 'Data Entry'!$ĥ$516)</f>
      </c>
      <c r="HV516">
        <f>IF(ISBLANK('Data Entry'!$Ħ$516), "", 'Data Entry'!$Ħ$516)</f>
      </c>
      <c r="HW516">
        <f>IF(ISBLANK('Data Entry'!$ħ$516), "", 'Data Entry'!$ħ$516)</f>
      </c>
      <c r="HX516">
        <f>IF(ISBLANK('Data Entry'!$Ĩ$516), "", 'Data Entry'!$Ĩ$516)</f>
      </c>
      <c r="HY516">
        <f>IF(ISBLANK('Data Entry'!$ĩ$516), "", 'Data Entry'!$ĩ$516)</f>
      </c>
      <c r="HZ516">
        <f>IF(ISBLANK('Data Entry'!$Ī$516), "", 'Data Entry'!$Ī$516)</f>
      </c>
      <c r="IA516">
        <f>IF(ISBLANK('Data Entry'!$ī$516), "", 'Data Entry'!$ī$516)</f>
      </c>
      <c r="IB516">
        <f>IF(ISBLANK('Data Entry'!$Ĭ$516), "", 'Data Entry'!$Ĭ$516)</f>
      </c>
      <c r="IC516">
        <f>IF(ISBLANK('Data Entry'!$ĭ$516), "", 'Data Entry'!$ĭ$516)</f>
      </c>
      <c r="ID516">
        <f>IF(ISBLANK('Data Entry'!$Į$516), "", 'Data Entry'!$Į$516)</f>
      </c>
      <c r="IE516">
        <f>IF(ISBLANK('Data Entry'!$į$516), "", 'Data Entry'!$į$516)</f>
      </c>
      <c r="IF516">
        <f>IF(ISBLANK('Data Entry'!$İ$516), "", 'Data Entry'!$İ$516)</f>
      </c>
      <c r="IG516">
        <f>IF(ISBLANK('Data Entry'!$ı$516), "", 'Data Entry'!$ı$516)</f>
      </c>
      <c r="IH516">
        <f>IF(ISBLANK('Data Entry'!$Ĳ$516), "", 'Data Entry'!$Ĳ$516)</f>
      </c>
      <c r="II516">
        <f>IF(ISBLANK('Data Entry'!$ĳ$516), "", 'Data Entry'!$ĳ$516)</f>
      </c>
      <c r="IJ516">
        <f>IF(ISBLANK('Data Entry'!$Ĵ$516), "", 'Data Entry'!$Ĵ$516)</f>
      </c>
      <c r="IK516">
        <f>IF(ISBLANK('Data Entry'!$ĵ$516), "", 'Data Entry'!$ĵ$516)</f>
      </c>
      <c r="IL516">
        <f>IF(ISBLANK('Data Entry'!$Ķ$516), "", 'Data Entry'!$Ķ$516)</f>
      </c>
      <c r="IM516">
        <f>IF(ISBLANK('Data Entry'!$ķ$516), "", 'Data Entry'!$ķ$516)</f>
      </c>
      <c r="IN516">
        <f>IF(ISBLANK('Data Entry'!$ĸ$516), "", 'Data Entry'!$ĸ$516)</f>
      </c>
      <c r="IO516">
        <f>IF(ISBLANK('Data Entry'!$Ĺ$516), "", 'Data Entry'!$Ĺ$516)</f>
      </c>
      <c r="IP516">
        <f>IF(ISBLANK('Data Entry'!$ĺ$516), "", 'Data Entry'!$ĺ$516)</f>
      </c>
      <c r="IQ516">
        <f>IF(ISBLANK('Data Entry'!$Ļ$516), "", 'Data Entry'!$Ļ$516)</f>
      </c>
      <c r="IR516">
        <f>IF(ISBLANK('Data Entry'!$ļ$516), "", 'Data Entry'!$ļ$516)</f>
      </c>
      <c r="IS516">
        <f>IF(ISBLANK('Data Entry'!$Ľ$516), "", 'Data Entry'!$Ľ$516)</f>
      </c>
      <c r="IT516">
        <f>IF(ISBLANK('Data Entry'!$ľ$516), "", 'Data Entry'!$ľ$516)</f>
      </c>
    </row>
    <row r="517" spans="1:254" x14ac:dyDescent="0.25">
      <c r="A517">
        <f>IF(ISBLANK('Data Entry'!$A$517), "", 'Data Entry'!$A$517)</f>
      </c>
      <c r="B517">
        <f>IF(ISBLANK('Data Entry'!$B$517), "", 'Data Entry'!$B$517)</f>
      </c>
      <c r="C517">
        <f>IF(ISBLANK('Data Entry'!$C$517), "", 'Data Entry'!$C$517)</f>
      </c>
      <c r="D517">
        <f>IF(ISBLANK('Data Entry'!$D$517), "", 'Data Entry'!$D$517)</f>
      </c>
      <c r="E517">
        <f>IF(ISBLANK('Data Entry'!$E$517), "", 'Data Entry'!$E$517)</f>
      </c>
      <c r="F517">
        <f>IF(ISBLANK('Data Entry'!$F$517), "", 'Data Entry'!$F$517)</f>
      </c>
      <c r="G517">
        <f>IF(ISBLANK('Data Entry'!$G$517), "", 'Data Entry'!$G$517)</f>
      </c>
      <c r="H517">
        <f>IF(ISBLANK('Data Entry'!$H$517), "", 'Data Entry'!$H$517)</f>
      </c>
      <c r="I517">
        <f>IF(ISBLANK('Data Entry'!$I$517), "", 'Data Entry'!$I$517)</f>
      </c>
      <c r="J517">
        <f>IF(ISBLANK('Data Entry'!$J$517), "", 'Data Entry'!$J$517)</f>
      </c>
      <c r="K517">
        <f>IF(ISBLANK('Data Entry'!$K$517), "", 'Data Entry'!$K$517)</f>
      </c>
      <c r="L517">
        <f>IF(ISBLANK('Data Entry'!$L$517), "", 'Data Entry'!$L$517)</f>
      </c>
      <c r="M517">
        <f>IF(ISBLANK('Data Entry'!$M$517), "", 'Data Entry'!$M$517)</f>
      </c>
      <c r="N517">
        <f>IF(ISBLANK('Data Entry'!$N$517), "", 'Data Entry'!$N$517)</f>
      </c>
      <c r="O517">
        <f>IF(ISBLANK('Data Entry'!$O$517), "", 'Data Entry'!$O$517)</f>
      </c>
      <c r="P517">
        <f>IF(ISBLANK('Data Entry'!$P$517), "", 'Data Entry'!$P$517)</f>
      </c>
      <c r="Q517">
        <f>IF(ISBLANK('Data Entry'!$Q$517), "", 'Data Entry'!$Q$517)</f>
      </c>
      <c r="R517">
        <f>IF(ISBLANK('Data Entry'!$R$517), "", 'Data Entry'!$R$517)</f>
      </c>
      <c r="S517">
        <f>IF(ISBLANK('Data Entry'!$S$517), "", 'Data Entry'!$S$517)</f>
      </c>
      <c r="T517">
        <f>IF(ISBLANK('Data Entry'!$T$517), "", 'Data Entry'!$T$517)</f>
      </c>
      <c r="U517">
        <f>IF(ISBLANK('Data Entry'!$U$517), "", 'Data Entry'!$U$517)</f>
      </c>
      <c r="V517">
        <f>IF(ISBLANK('Data Entry'!$V$517), "", 'Data Entry'!$V$517)</f>
      </c>
      <c r="W517">
        <f>IF(ISBLANK('Data Entry'!$W$517), "", 'Data Entry'!$W$517)</f>
      </c>
      <c r="X517">
        <f>IF(ISBLANK('Data Entry'!$X$517), "", 'Data Entry'!$X$517)</f>
      </c>
      <c r="Y517">
        <f>IF(ISBLANK('Data Entry'!$Y$517), "", 'Data Entry'!$Y$517)</f>
      </c>
      <c r="Z517">
        <f>IF(ISBLANK('Data Entry'!$Z$517), "", 'Data Entry'!$Z$517)</f>
      </c>
      <c r="AA517">
        <f>IF(ISBLANK('Data Entry'!$[$517), "", 'Data Entry'!$[$517)</f>
      </c>
      <c r="AB517">
        <f>IF(ISBLANK('Data Entry'!$\$517), "", 'Data Entry'!$\$517)</f>
      </c>
      <c r="AC517">
        <f>IF(ISBLANK('Data Entry'!$]$517), "", 'Data Entry'!$]$517)</f>
      </c>
      <c r="AD517">
        <f>IF(ISBLANK('Data Entry'!$^$517), "", 'Data Entry'!$^$517)</f>
      </c>
      <c r="AE517">
        <f>IF(ISBLANK('Data Entry'!$_$517), "", 'Data Entry'!$_$517)</f>
      </c>
      <c r="AF517">
        <f>IF(ISBLANK('Data Entry'!$`$517), "", 'Data Entry'!$`$517)</f>
      </c>
      <c r="AG517">
        <f>IF(ISBLANK('Data Entry'!$a$517), "", 'Data Entry'!$a$517)</f>
      </c>
      <c r="AH517">
        <f>IF(ISBLANK('Data Entry'!$b$517), "", 'Data Entry'!$b$517)</f>
      </c>
      <c r="AI517">
        <f>IF(ISBLANK('Data Entry'!$c$517), "", 'Data Entry'!$c$517)</f>
      </c>
      <c r="AJ517">
        <f>IF(ISBLANK('Data Entry'!$d$517), "", 'Data Entry'!$d$517)</f>
      </c>
      <c r="AK517">
        <f>IF(ISBLANK('Data Entry'!$e$517), "", 'Data Entry'!$e$517)</f>
      </c>
      <c r="AL517">
        <f>IF(ISBLANK('Data Entry'!$f$517), "", 'Data Entry'!$f$517)</f>
      </c>
      <c r="AM517">
        <f>IF(ISBLANK('Data Entry'!$g$517), "", 'Data Entry'!$g$517)</f>
      </c>
      <c r="AN517">
        <f>IF(ISBLANK('Data Entry'!$h$517), "", 'Data Entry'!$h$517)</f>
      </c>
      <c r="AO517">
        <f>IF(ISBLANK('Data Entry'!$i$517), "", 'Data Entry'!$i$517)</f>
      </c>
      <c r="AP517">
        <f>IF(ISBLANK('Data Entry'!$j$517), "", 'Data Entry'!$j$517)</f>
      </c>
      <c r="AQ517">
        <f>IF(ISBLANK('Data Entry'!$k$517), "", 'Data Entry'!$k$517)</f>
      </c>
      <c r="AR517">
        <f>IF(ISBLANK('Data Entry'!$l$517), "", 'Data Entry'!$l$517)</f>
      </c>
      <c r="AS517">
        <f>IF(ISBLANK('Data Entry'!$m$517), "", 'Data Entry'!$m$517)</f>
      </c>
      <c r="AT517">
        <f>IF(ISBLANK('Data Entry'!$n$517), "", 'Data Entry'!$n$517)</f>
      </c>
      <c r="AU517">
        <f>IF(ISBLANK('Data Entry'!$o$517), "", 'Data Entry'!$o$517)</f>
      </c>
      <c r="AV517">
        <f>IF(ISBLANK('Data Entry'!$p$517), "", 'Data Entry'!$p$517)</f>
      </c>
      <c r="AW517">
        <f>IF(ISBLANK('Data Entry'!$q$517), "", 'Data Entry'!$q$517)</f>
      </c>
      <c r="AX517">
        <f>IF(ISBLANK('Data Entry'!$r$517), "", 'Data Entry'!$r$517)</f>
      </c>
      <c r="AY517">
        <f>IF(ISBLANK('Data Entry'!$s$517), "", 'Data Entry'!$s$517)</f>
      </c>
      <c r="AZ517">
        <f>IF(ISBLANK('Data Entry'!$t$517), "", 'Data Entry'!$t$517)</f>
      </c>
      <c r="BA517">
        <f>IF(ISBLANK('Data Entry'!$u$517), "", 'Data Entry'!$u$517)</f>
      </c>
      <c r="BB517">
        <f>IF(ISBLANK('Data Entry'!$v$517), "", 'Data Entry'!$v$517)</f>
      </c>
      <c r="BC517">
        <f>IF(ISBLANK('Data Entry'!$w$517), "", 'Data Entry'!$w$517)</f>
      </c>
      <c r="BD517">
        <f>IF(ISBLANK('Data Entry'!$x$517), "", 'Data Entry'!$x$517)</f>
      </c>
      <c r="BE517">
        <f>IF(ISBLANK('Data Entry'!$y$517), "", 'Data Entry'!$y$517)</f>
      </c>
      <c r="BF517">
        <f>IF(ISBLANK('Data Entry'!$z$517), "", 'Data Entry'!$z$517)</f>
      </c>
      <c r="BG517">
        <f>IF(ISBLANK('Data Entry'!${$517), "", 'Data Entry'!${$517)</f>
      </c>
      <c r="BH517">
        <f>IF(ISBLANK('Data Entry'!$|$517), "", 'Data Entry'!$|$517)</f>
      </c>
      <c r="BI517">
        <f>IF(ISBLANK('Data Entry'!$}$517), "", 'Data Entry'!$}$517)</f>
      </c>
      <c r="BJ517">
        <f>IF(ISBLANK('Data Entry'!$~$517), "", 'Data Entry'!$~$517)</f>
      </c>
      <c r="BK517">
        <f>IF(ISBLANK('Data Entry'!$$517), "", 'Data Entry'!$$517)</f>
      </c>
      <c r="BL517">
        <f>IF(ISBLANK('Data Entry'!$$517), "", 'Data Entry'!$$517)</f>
      </c>
      <c r="BM517">
        <f>IF(ISBLANK('Data Entry'!$$517), "", 'Data Entry'!$$517)</f>
      </c>
      <c r="BN517">
        <f>IF(ISBLANK('Data Entry'!$$517), "", 'Data Entry'!$$517)</f>
      </c>
      <c r="BO517">
        <f>IF(ISBLANK('Data Entry'!$$517), "", 'Data Entry'!$$517)</f>
      </c>
      <c r="BP517">
        <f>IF(ISBLANK('Data Entry'!$$517), "", 'Data Entry'!$$517)</f>
      </c>
      <c r="BQ517">
        <f>IF(ISBLANK('Data Entry'!$$517), "", 'Data Entry'!$$517)</f>
      </c>
      <c r="BR517">
        <f>IF(ISBLANK('Data Entry'!$$517), "", 'Data Entry'!$$517)</f>
      </c>
      <c r="BS517">
        <f>IF(ISBLANK('Data Entry'!$$517), "", 'Data Entry'!$$517)</f>
      </c>
      <c r="BT517">
        <f>IF(ISBLANK('Data Entry'!$$517), "", 'Data Entry'!$$517)</f>
      </c>
      <c r="BU517">
        <f>IF(ISBLANK('Data Entry'!$$517), "", 'Data Entry'!$$517)</f>
      </c>
      <c r="BV517">
        <f>IF(ISBLANK('Data Entry'!$$517), "", 'Data Entry'!$$517)</f>
      </c>
      <c r="BW517">
        <f>IF(ISBLANK('Data Entry'!$$517), "", 'Data Entry'!$$517)</f>
      </c>
      <c r="BX517">
        <f>IF(ISBLANK('Data Entry'!$$517), "", 'Data Entry'!$$517)</f>
      </c>
      <c r="BY517">
        <f>IF(ISBLANK('Data Entry'!$$517), "", 'Data Entry'!$$517)</f>
      </c>
      <c r="BZ517">
        <f>IF(ISBLANK('Data Entry'!$$517), "", 'Data Entry'!$$517)</f>
      </c>
      <c r="CA517">
        <f>IF(ISBLANK('Data Entry'!$$517), "", 'Data Entry'!$$517)</f>
      </c>
      <c r="CB517">
        <f>IF(ISBLANK('Data Entry'!$$517), "", 'Data Entry'!$$517)</f>
      </c>
      <c r="CC517">
        <f>IF(ISBLANK('Data Entry'!$$517), "", 'Data Entry'!$$517)</f>
      </c>
      <c r="CD517">
        <f>IF(ISBLANK('Data Entry'!$$517), "", 'Data Entry'!$$517)</f>
      </c>
      <c r="CE517">
        <f>IF(ISBLANK('Data Entry'!$$517), "", 'Data Entry'!$$517)</f>
      </c>
      <c r="CF517">
        <f>IF(ISBLANK('Data Entry'!$$517), "", 'Data Entry'!$$517)</f>
      </c>
      <c r="CG517">
        <f>IF(ISBLANK('Data Entry'!$$517), "", 'Data Entry'!$$517)</f>
      </c>
      <c r="CH517">
        <f>IF(ISBLANK('Data Entry'!$$517), "", 'Data Entry'!$$517)</f>
      </c>
      <c r="CI517">
        <f>IF(ISBLANK('Data Entry'!$$517), "", 'Data Entry'!$$517)</f>
      </c>
      <c r="CJ517">
        <f>IF(ISBLANK('Data Entry'!$$517), "", 'Data Entry'!$$517)</f>
      </c>
      <c r="CK517">
        <f>IF(ISBLANK('Data Entry'!$$517), "", 'Data Entry'!$$517)</f>
      </c>
      <c r="CL517">
        <f>IF(ISBLANK('Data Entry'!$$517), "", 'Data Entry'!$$517)</f>
      </c>
      <c r="CM517">
        <f>IF(ISBLANK('Data Entry'!$$517), "", 'Data Entry'!$$517)</f>
      </c>
      <c r="CN517">
        <f>IF(ISBLANK('Data Entry'!$$517), "", 'Data Entry'!$$517)</f>
      </c>
      <c r="CO517">
        <f>IF(ISBLANK('Data Entry'!$$517), "", 'Data Entry'!$$517)</f>
      </c>
      <c r="CP517">
        <f>IF(ISBLANK('Data Entry'!$$517), "", 'Data Entry'!$$517)</f>
      </c>
      <c r="CQ517">
        <f>IF(ISBLANK('Data Entry'!$$517), "", 'Data Entry'!$$517)</f>
      </c>
      <c r="CR517">
        <f>IF(ISBLANK('Data Entry'!$ $517), "", 'Data Entry'!$ $517)</f>
      </c>
      <c r="CS517">
        <f>IF(ISBLANK('Data Entry'!$¡$517), "", 'Data Entry'!$¡$517)</f>
      </c>
      <c r="CT517">
        <f>IF(ISBLANK('Data Entry'!$¢$517), "", 'Data Entry'!$¢$517)</f>
      </c>
      <c r="CU517">
        <f>IF(ISBLANK('Data Entry'!$£$517), "", 'Data Entry'!$£$517)</f>
      </c>
      <c r="CV517">
        <f>IF(ISBLANK('Data Entry'!$¤$517), "", 'Data Entry'!$¤$517)</f>
      </c>
      <c r="CW517">
        <f>IF(ISBLANK('Data Entry'!$¥$517), "", 'Data Entry'!$¥$517)</f>
      </c>
      <c r="CX517">
        <f>IF(ISBLANK('Data Entry'!$¦$517), "", 'Data Entry'!$¦$517)</f>
      </c>
      <c r="CY517">
        <f>IF(ISBLANK('Data Entry'!$§$517), "", 'Data Entry'!$§$517)</f>
      </c>
      <c r="CZ517">
        <f>IF(ISBLANK('Data Entry'!$¨$517), "", 'Data Entry'!$¨$517)</f>
      </c>
      <c r="DA517">
        <f>IF(ISBLANK('Data Entry'!$©$517), "", 'Data Entry'!$©$517)</f>
      </c>
      <c r="DB517">
        <f>IF(ISBLANK('Data Entry'!$ª$517), "", 'Data Entry'!$ª$517)</f>
      </c>
      <c r="DC517">
        <f>IF(ISBLANK('Data Entry'!$«$517), "", 'Data Entry'!$«$517)</f>
      </c>
      <c r="DD517">
        <f>IF(ISBLANK('Data Entry'!$¬$517), "", 'Data Entry'!$¬$517)</f>
      </c>
      <c r="DE517">
        <f>IF(ISBLANK('Data Entry'!$­$517), "", 'Data Entry'!$­$517)</f>
      </c>
      <c r="DF517">
        <f>IF(ISBLANK('Data Entry'!$®$517), "", 'Data Entry'!$®$517)</f>
      </c>
      <c r="DG517">
        <f>IF(ISBLANK('Data Entry'!$¯$517), "", 'Data Entry'!$¯$517)</f>
      </c>
      <c r="DH517">
        <f>IF(ISBLANK('Data Entry'!$°$517), "", 'Data Entry'!$°$517)</f>
      </c>
      <c r="DI517">
        <f>IF(ISBLANK('Data Entry'!$±$517), "", 'Data Entry'!$±$517)</f>
      </c>
      <c r="DJ517">
        <f>IF(ISBLANK('Data Entry'!$²$517), "", 'Data Entry'!$²$517)</f>
      </c>
      <c r="DK517">
        <f>IF(ISBLANK('Data Entry'!$³$517), "", 'Data Entry'!$³$517)</f>
      </c>
      <c r="DL517">
        <f>IF(ISBLANK('Data Entry'!$´$517), "", 'Data Entry'!$´$517)</f>
      </c>
      <c r="DM517">
        <f>IF(ISBLANK('Data Entry'!$µ$517), "", 'Data Entry'!$µ$517)</f>
      </c>
      <c r="DN517">
        <f>IF(ISBLANK('Data Entry'!$¶$517), "", 'Data Entry'!$¶$517)</f>
      </c>
      <c r="DO517">
        <f>IF(ISBLANK('Data Entry'!$·$517), "", 'Data Entry'!$·$517)</f>
      </c>
      <c r="DP517">
        <f>IF(ISBLANK('Data Entry'!$¸$517), "", 'Data Entry'!$¸$517)</f>
      </c>
      <c r="DQ517">
        <f>IF(ISBLANK('Data Entry'!$¹$517), "", 'Data Entry'!$¹$517)</f>
      </c>
      <c r="DR517">
        <f>IF(ISBLANK('Data Entry'!$º$517), "", 'Data Entry'!$º$517)</f>
      </c>
      <c r="DS517">
        <f>IF(ISBLANK('Data Entry'!$»$517), "", 'Data Entry'!$»$517)</f>
      </c>
      <c r="DT517">
        <f>IF(ISBLANK('Data Entry'!$¼$517), "", 'Data Entry'!$¼$517)</f>
      </c>
      <c r="DU517">
        <f>IF(ISBLANK('Data Entry'!$½$517), "", 'Data Entry'!$½$517)</f>
      </c>
      <c r="DV517">
        <f>IF(ISBLANK('Data Entry'!$¾$517), "", 'Data Entry'!$¾$517)</f>
      </c>
      <c r="DW517">
        <f>IF(ISBLANK('Data Entry'!$¿$517), "", 'Data Entry'!$¿$517)</f>
      </c>
      <c r="DX517">
        <f>IF(ISBLANK('Data Entry'!$À$517), "", 'Data Entry'!$À$517)</f>
      </c>
      <c r="DY517">
        <f>IF(ISBLANK('Data Entry'!$Á$517), "", 'Data Entry'!$Á$517)</f>
      </c>
      <c r="DZ517">
        <f>IF(ISBLANK('Data Entry'!$Â$517), "", 'Data Entry'!$Â$517)</f>
      </c>
      <c r="EA517">
        <f>IF(ISBLANK('Data Entry'!$Ã$517), "", 'Data Entry'!$Ã$517)</f>
      </c>
      <c r="EB517">
        <f>IF(ISBLANK('Data Entry'!$Ä$517), "", 'Data Entry'!$Ä$517)</f>
      </c>
      <c r="EC517">
        <f>IF(ISBLANK('Data Entry'!$Å$517), "", 'Data Entry'!$Å$517)</f>
      </c>
      <c r="ED517">
        <f>IF(ISBLANK('Data Entry'!$Æ$517), "", 'Data Entry'!$Æ$517)</f>
      </c>
      <c r="EE517">
        <f>IF(ISBLANK('Data Entry'!$Ç$517), "", 'Data Entry'!$Ç$517)</f>
      </c>
      <c r="EF517">
        <f>IF(ISBLANK('Data Entry'!$È$517), "", 'Data Entry'!$È$517)</f>
      </c>
      <c r="EG517">
        <f>IF(ISBLANK('Data Entry'!$É$517), "", 'Data Entry'!$É$517)</f>
      </c>
      <c r="EH517">
        <f>IF(ISBLANK('Data Entry'!$Ê$517), "", 'Data Entry'!$Ê$517)</f>
      </c>
      <c r="EI517">
        <f>IF(ISBLANK('Data Entry'!$Ë$517), "", 'Data Entry'!$Ë$517)</f>
      </c>
      <c r="EJ517">
        <f>IF(ISBLANK('Data Entry'!$Ì$517), "", 'Data Entry'!$Ì$517)</f>
      </c>
      <c r="EK517">
        <f>IF(ISBLANK('Data Entry'!$Í$517), "", 'Data Entry'!$Í$517)</f>
      </c>
      <c r="EL517">
        <f>IF(ISBLANK('Data Entry'!$Î$517), "", 'Data Entry'!$Î$517)</f>
      </c>
      <c r="EM517">
        <f>IF(ISBLANK('Data Entry'!$Ï$517), "", 'Data Entry'!$Ï$517)</f>
      </c>
      <c r="EN517">
        <f>IF(ISBLANK('Data Entry'!$Ð$517), "", 'Data Entry'!$Ð$517)</f>
      </c>
      <c r="EO517">
        <f>IF(ISBLANK('Data Entry'!$Ñ$517), "", 'Data Entry'!$Ñ$517)</f>
      </c>
      <c r="EP517">
        <f>IF(ISBLANK('Data Entry'!$Ò$517), "", 'Data Entry'!$Ò$517)</f>
      </c>
      <c r="EQ517">
        <f>IF(ISBLANK('Data Entry'!$Ó$517), "", 'Data Entry'!$Ó$517)</f>
      </c>
      <c r="ER517">
        <f>IF(ISBLANK('Data Entry'!$Ô$517), "", 'Data Entry'!$Ô$517)</f>
      </c>
      <c r="ES517">
        <f>IF(ISBLANK('Data Entry'!$Õ$517), "", 'Data Entry'!$Õ$517)</f>
      </c>
      <c r="ET517">
        <f>IF(ISBLANK('Data Entry'!$Ö$517), "", 'Data Entry'!$Ö$517)</f>
      </c>
      <c r="EU517">
        <f>IF(ISBLANK('Data Entry'!$×$517), "", 'Data Entry'!$×$517)</f>
      </c>
      <c r="EV517">
        <f>IF(ISBLANK('Data Entry'!$Ø$517), "", 'Data Entry'!$Ø$517)</f>
      </c>
      <c r="EW517">
        <f>IF(ISBLANK('Data Entry'!$Ù$517), "", 'Data Entry'!$Ù$517)</f>
      </c>
      <c r="EX517">
        <f>IF(ISBLANK('Data Entry'!$Ú$517), "", 'Data Entry'!$Ú$517)</f>
      </c>
      <c r="EY517">
        <f>IF(ISBLANK('Data Entry'!$Û$517), "", 'Data Entry'!$Û$517)</f>
      </c>
      <c r="EZ517">
        <f>IF(ISBLANK('Data Entry'!$Ü$517), "", 'Data Entry'!$Ü$517)</f>
      </c>
      <c r="FA517">
        <f>IF(ISBLANK('Data Entry'!$Ý$517), "", 'Data Entry'!$Ý$517)</f>
      </c>
      <c r="FB517">
        <f>IF(ISBLANK('Data Entry'!$Þ$517), "", 'Data Entry'!$Þ$517)</f>
      </c>
      <c r="FC517">
        <f>IF(ISBLANK('Data Entry'!$ß$517), "", 'Data Entry'!$ß$517)</f>
      </c>
      <c r="FD517">
        <f>IF(ISBLANK('Data Entry'!$à$517), "", 'Data Entry'!$à$517)</f>
      </c>
      <c r="FE517">
        <f>IF(ISBLANK('Data Entry'!$á$517), "", 'Data Entry'!$á$517)</f>
      </c>
      <c r="FF517">
        <f>IF(ISBLANK('Data Entry'!$â$517), "", 'Data Entry'!$â$517)</f>
      </c>
      <c r="FG517">
        <f>IF(ISBLANK('Data Entry'!$ã$517), "", 'Data Entry'!$ã$517)</f>
      </c>
      <c r="FH517">
        <f>IF(ISBLANK('Data Entry'!$ä$517), "", 'Data Entry'!$ä$517)</f>
      </c>
      <c r="FI517">
        <f>IF(ISBLANK('Data Entry'!$å$517), "", 'Data Entry'!$å$517)</f>
      </c>
      <c r="FJ517">
        <f>IF(ISBLANK('Data Entry'!$æ$517), "", 'Data Entry'!$æ$517)</f>
      </c>
      <c r="FK517">
        <f>IF(ISBLANK('Data Entry'!$ç$517), "", 'Data Entry'!$ç$517)</f>
      </c>
      <c r="FL517">
        <f>IF(ISBLANK('Data Entry'!$è$517), "", 'Data Entry'!$è$517)</f>
      </c>
      <c r="FM517">
        <f>IF(ISBLANK('Data Entry'!$é$517), "", 'Data Entry'!$é$517)</f>
      </c>
      <c r="FN517">
        <f>IF(ISBLANK('Data Entry'!$ê$517), "", 'Data Entry'!$ê$517)</f>
      </c>
      <c r="FO517">
        <f>IF(ISBLANK('Data Entry'!$ë$517), "", 'Data Entry'!$ë$517)</f>
      </c>
      <c r="FP517">
        <f>IF(ISBLANK('Data Entry'!$ì$517), "", 'Data Entry'!$ì$517)</f>
      </c>
      <c r="FQ517">
        <f>IF(ISBLANK('Data Entry'!$í$517), "", 'Data Entry'!$í$517)</f>
      </c>
      <c r="FR517">
        <f>IF(ISBLANK('Data Entry'!$î$517), "", 'Data Entry'!$î$517)</f>
      </c>
      <c r="FS517">
        <f>IF(ISBLANK('Data Entry'!$ï$517), "", 'Data Entry'!$ï$517)</f>
      </c>
      <c r="FT517">
        <f>IF(ISBLANK('Data Entry'!$ð$517), "", 'Data Entry'!$ð$517)</f>
      </c>
      <c r="FU517">
        <f>IF(ISBLANK('Data Entry'!$ñ$517), "", 'Data Entry'!$ñ$517)</f>
      </c>
      <c r="FV517">
        <f>IF(ISBLANK('Data Entry'!$ò$517), "", 'Data Entry'!$ò$517)</f>
      </c>
      <c r="FW517">
        <f>IF(ISBLANK('Data Entry'!$ó$517), "", 'Data Entry'!$ó$517)</f>
      </c>
      <c r="FX517">
        <f>IF(ISBLANK('Data Entry'!$ô$517), "", 'Data Entry'!$ô$517)</f>
      </c>
      <c r="FY517">
        <f>IF(ISBLANK('Data Entry'!$õ$517), "", 'Data Entry'!$õ$517)</f>
      </c>
      <c r="FZ517">
        <f>IF(ISBLANK('Data Entry'!$ö$517), "", 'Data Entry'!$ö$517)</f>
      </c>
      <c r="GA517">
        <f>IF(ISBLANK('Data Entry'!$÷$517), "", 'Data Entry'!$÷$517)</f>
      </c>
      <c r="GB517">
        <f>IF(ISBLANK('Data Entry'!$ø$517), "", 'Data Entry'!$ø$517)</f>
      </c>
      <c r="GC517">
        <f>IF(ISBLANK('Data Entry'!$ù$517), "", 'Data Entry'!$ù$517)</f>
      </c>
      <c r="GD517">
        <f>IF(ISBLANK('Data Entry'!$ú$517), "", 'Data Entry'!$ú$517)</f>
      </c>
      <c r="GE517">
        <f>IF(ISBLANK('Data Entry'!$û$517), "", 'Data Entry'!$û$517)</f>
      </c>
      <c r="GF517">
        <f>IF(ISBLANK('Data Entry'!$ü$517), "", 'Data Entry'!$ü$517)</f>
      </c>
      <c r="GG517">
        <f>IF(ISBLANK('Data Entry'!$ý$517), "", 'Data Entry'!$ý$517)</f>
      </c>
      <c r="GH517">
        <f>IF(ISBLANK('Data Entry'!$þ$517), "", 'Data Entry'!$þ$517)</f>
      </c>
      <c r="GI517">
        <f>IF(ISBLANK('Data Entry'!$ÿ$517), "", 'Data Entry'!$ÿ$517)</f>
      </c>
      <c r="GJ517">
        <f>IF(ISBLANK('Data Entry'!$Ā$517), "", 'Data Entry'!$Ā$517)</f>
      </c>
      <c r="GK517">
        <f>IF(ISBLANK('Data Entry'!$ā$517), "", 'Data Entry'!$ā$517)</f>
      </c>
      <c r="GL517">
        <f>IF(ISBLANK('Data Entry'!$Ă$517), "", 'Data Entry'!$Ă$517)</f>
      </c>
      <c r="GM517">
        <f>IF(ISBLANK('Data Entry'!$ă$517), "", 'Data Entry'!$ă$517)</f>
      </c>
      <c r="GN517">
        <f>IF(ISBLANK('Data Entry'!$Ą$517), "", 'Data Entry'!$Ą$517)</f>
      </c>
      <c r="GO517">
        <f>IF(ISBLANK('Data Entry'!$ą$517), "", 'Data Entry'!$ą$517)</f>
      </c>
      <c r="GP517">
        <f>IF(ISBLANK('Data Entry'!$Ć$517), "", 'Data Entry'!$Ć$517)</f>
      </c>
      <c r="GQ517">
        <f>IF(ISBLANK('Data Entry'!$ć$517), "", 'Data Entry'!$ć$517)</f>
      </c>
      <c r="GR517">
        <f>IF(ISBLANK('Data Entry'!$Ĉ$517), "", 'Data Entry'!$Ĉ$517)</f>
      </c>
      <c r="GS517">
        <f>IF(ISBLANK('Data Entry'!$ĉ$517), "", 'Data Entry'!$ĉ$517)</f>
      </c>
      <c r="GT517">
        <f>IF(ISBLANK('Data Entry'!$Ċ$517), "", 'Data Entry'!$Ċ$517)</f>
      </c>
      <c r="GU517">
        <f>IF(ISBLANK('Data Entry'!$ċ$517), "", 'Data Entry'!$ċ$517)</f>
      </c>
      <c r="GV517">
        <f>IF(ISBLANK('Data Entry'!$Č$517), "", 'Data Entry'!$Č$517)</f>
      </c>
      <c r="GW517">
        <f>IF(ISBLANK('Data Entry'!$č$517), "", 'Data Entry'!$č$517)</f>
      </c>
      <c r="GX517">
        <f>IF(ISBLANK('Data Entry'!$Ď$517), "", 'Data Entry'!$Ď$517)</f>
      </c>
      <c r="GY517">
        <f>IF(ISBLANK('Data Entry'!$ď$517), "", 'Data Entry'!$ď$517)</f>
      </c>
      <c r="GZ517">
        <f>IF(ISBLANK('Data Entry'!$Đ$517), "", 'Data Entry'!$Đ$517)</f>
      </c>
      <c r="HA517">
        <f>IF(ISBLANK('Data Entry'!$đ$517), "", 'Data Entry'!$đ$517)</f>
      </c>
      <c r="HB517">
        <f>IF(ISBLANK('Data Entry'!$Ē$517), "", 'Data Entry'!$Ē$517)</f>
      </c>
      <c r="HC517">
        <f>IF(ISBLANK('Data Entry'!$ē$517), "", 'Data Entry'!$ē$517)</f>
      </c>
      <c r="HD517">
        <f>IF(ISBLANK('Data Entry'!$Ĕ$517), "", 'Data Entry'!$Ĕ$517)</f>
      </c>
      <c r="HE517">
        <f>IF(ISBLANK('Data Entry'!$ĕ$517), "", 'Data Entry'!$ĕ$517)</f>
      </c>
      <c r="HF517">
        <f>IF(ISBLANK('Data Entry'!$Ė$517), "", 'Data Entry'!$Ė$517)</f>
      </c>
      <c r="HG517">
        <f>IF(ISBLANK('Data Entry'!$ė$517), "", 'Data Entry'!$ė$517)</f>
      </c>
      <c r="HH517">
        <f>IF(ISBLANK('Data Entry'!$Ę$517), "", 'Data Entry'!$Ę$517)</f>
      </c>
      <c r="HI517">
        <f>IF(ISBLANK('Data Entry'!$ę$517), "", 'Data Entry'!$ę$517)</f>
      </c>
      <c r="HJ517">
        <f>IF(ISBLANK('Data Entry'!$Ě$517), "", 'Data Entry'!$Ě$517)</f>
      </c>
      <c r="HK517">
        <f>IF(ISBLANK('Data Entry'!$ě$517), "", 'Data Entry'!$ě$517)</f>
      </c>
      <c r="HL517">
        <f>IF(ISBLANK('Data Entry'!$Ĝ$517), "", 'Data Entry'!$Ĝ$517)</f>
      </c>
      <c r="HM517">
        <f>IF(ISBLANK('Data Entry'!$ĝ$517), "", 'Data Entry'!$ĝ$517)</f>
      </c>
      <c r="HN517">
        <f>IF(ISBLANK('Data Entry'!$Ğ$517), "", 'Data Entry'!$Ğ$517)</f>
      </c>
      <c r="HO517">
        <f>IF(ISBLANK('Data Entry'!$ğ$517), "", 'Data Entry'!$ğ$517)</f>
      </c>
      <c r="HP517">
        <f>IF(ISBLANK('Data Entry'!$Ġ$517), "", 'Data Entry'!$Ġ$517)</f>
      </c>
      <c r="HQ517">
        <f>IF(ISBLANK('Data Entry'!$ġ$517), "", 'Data Entry'!$ġ$517)</f>
      </c>
      <c r="HR517">
        <f>IF(ISBLANK('Data Entry'!$Ģ$517), "", 'Data Entry'!$Ģ$517)</f>
      </c>
      <c r="HS517">
        <f>IF(ISBLANK('Data Entry'!$ģ$517), "", 'Data Entry'!$ģ$517)</f>
      </c>
      <c r="HT517">
        <f>IF(ISBLANK('Data Entry'!$Ĥ$517), "", 'Data Entry'!$Ĥ$517)</f>
      </c>
      <c r="HU517">
        <f>IF(ISBLANK('Data Entry'!$ĥ$517), "", 'Data Entry'!$ĥ$517)</f>
      </c>
      <c r="HV517">
        <f>IF(ISBLANK('Data Entry'!$Ħ$517), "", 'Data Entry'!$Ħ$517)</f>
      </c>
      <c r="HW517">
        <f>IF(ISBLANK('Data Entry'!$ħ$517), "", 'Data Entry'!$ħ$517)</f>
      </c>
      <c r="HX517">
        <f>IF(ISBLANK('Data Entry'!$Ĩ$517), "", 'Data Entry'!$Ĩ$517)</f>
      </c>
      <c r="HY517">
        <f>IF(ISBLANK('Data Entry'!$ĩ$517), "", 'Data Entry'!$ĩ$517)</f>
      </c>
      <c r="HZ517">
        <f>IF(ISBLANK('Data Entry'!$Ī$517), "", 'Data Entry'!$Ī$517)</f>
      </c>
      <c r="IA517">
        <f>IF(ISBLANK('Data Entry'!$ī$517), "", 'Data Entry'!$ī$517)</f>
      </c>
      <c r="IB517">
        <f>IF(ISBLANK('Data Entry'!$Ĭ$517), "", 'Data Entry'!$Ĭ$517)</f>
      </c>
      <c r="IC517">
        <f>IF(ISBLANK('Data Entry'!$ĭ$517), "", 'Data Entry'!$ĭ$517)</f>
      </c>
      <c r="ID517">
        <f>IF(ISBLANK('Data Entry'!$Į$517), "", 'Data Entry'!$Į$517)</f>
      </c>
      <c r="IE517">
        <f>IF(ISBLANK('Data Entry'!$į$517), "", 'Data Entry'!$į$517)</f>
      </c>
      <c r="IF517">
        <f>IF(ISBLANK('Data Entry'!$İ$517), "", 'Data Entry'!$İ$517)</f>
      </c>
      <c r="IG517">
        <f>IF(ISBLANK('Data Entry'!$ı$517), "", 'Data Entry'!$ı$517)</f>
      </c>
      <c r="IH517">
        <f>IF(ISBLANK('Data Entry'!$Ĳ$517), "", 'Data Entry'!$Ĳ$517)</f>
      </c>
      <c r="II517">
        <f>IF(ISBLANK('Data Entry'!$ĳ$517), "", 'Data Entry'!$ĳ$517)</f>
      </c>
      <c r="IJ517">
        <f>IF(ISBLANK('Data Entry'!$Ĵ$517), "", 'Data Entry'!$Ĵ$517)</f>
      </c>
      <c r="IK517">
        <f>IF(ISBLANK('Data Entry'!$ĵ$517), "", 'Data Entry'!$ĵ$517)</f>
      </c>
      <c r="IL517">
        <f>IF(ISBLANK('Data Entry'!$Ķ$517), "", 'Data Entry'!$Ķ$517)</f>
      </c>
      <c r="IM517">
        <f>IF(ISBLANK('Data Entry'!$ķ$517), "", 'Data Entry'!$ķ$517)</f>
      </c>
      <c r="IN517">
        <f>IF(ISBLANK('Data Entry'!$ĸ$517), "", 'Data Entry'!$ĸ$517)</f>
      </c>
      <c r="IO517">
        <f>IF(ISBLANK('Data Entry'!$Ĺ$517), "", 'Data Entry'!$Ĺ$517)</f>
      </c>
      <c r="IP517">
        <f>IF(ISBLANK('Data Entry'!$ĺ$517), "", 'Data Entry'!$ĺ$517)</f>
      </c>
      <c r="IQ517">
        <f>IF(ISBLANK('Data Entry'!$Ļ$517), "", 'Data Entry'!$Ļ$517)</f>
      </c>
      <c r="IR517">
        <f>IF(ISBLANK('Data Entry'!$ļ$517), "", 'Data Entry'!$ļ$517)</f>
      </c>
      <c r="IS517">
        <f>IF(ISBLANK('Data Entry'!$Ľ$517), "", 'Data Entry'!$Ľ$517)</f>
      </c>
      <c r="IT517">
        <f>IF(ISBLANK('Data Entry'!$ľ$517), "", 'Data Entry'!$ľ$517)</f>
      </c>
    </row>
    <row r="518" spans="1:254" x14ac:dyDescent="0.25">
      <c r="A518">
        <f>IF(ISBLANK('Data Entry'!$A$518), "", 'Data Entry'!$A$518)</f>
      </c>
      <c r="B518">
        <f>IF(ISBLANK('Data Entry'!$B$518), "", 'Data Entry'!$B$518)</f>
      </c>
      <c r="C518">
        <f>IF(ISBLANK('Data Entry'!$C$518), "", 'Data Entry'!$C$518)</f>
      </c>
      <c r="D518">
        <f>IF(ISBLANK('Data Entry'!$D$518), "", 'Data Entry'!$D$518)</f>
      </c>
      <c r="E518">
        <f>IF(ISBLANK('Data Entry'!$E$518), "", 'Data Entry'!$E$518)</f>
      </c>
      <c r="F518">
        <f>IF(ISBLANK('Data Entry'!$F$518), "", 'Data Entry'!$F$518)</f>
      </c>
      <c r="G518">
        <f>IF(ISBLANK('Data Entry'!$G$518), "", 'Data Entry'!$G$518)</f>
      </c>
      <c r="H518">
        <f>IF(ISBLANK('Data Entry'!$H$518), "", 'Data Entry'!$H$518)</f>
      </c>
      <c r="I518">
        <f>IF(ISBLANK('Data Entry'!$I$518), "", 'Data Entry'!$I$518)</f>
      </c>
      <c r="J518">
        <f>IF(ISBLANK('Data Entry'!$J$518), "", 'Data Entry'!$J$518)</f>
      </c>
      <c r="K518">
        <f>IF(ISBLANK('Data Entry'!$K$518), "", 'Data Entry'!$K$518)</f>
      </c>
      <c r="L518">
        <f>IF(ISBLANK('Data Entry'!$L$518), "", 'Data Entry'!$L$518)</f>
      </c>
      <c r="M518">
        <f>IF(ISBLANK('Data Entry'!$M$518), "", 'Data Entry'!$M$518)</f>
      </c>
      <c r="N518">
        <f>IF(ISBLANK('Data Entry'!$N$518), "", 'Data Entry'!$N$518)</f>
      </c>
      <c r="O518">
        <f>IF(ISBLANK('Data Entry'!$O$518), "", 'Data Entry'!$O$518)</f>
      </c>
      <c r="P518">
        <f>IF(ISBLANK('Data Entry'!$P$518), "", 'Data Entry'!$P$518)</f>
      </c>
      <c r="Q518">
        <f>IF(ISBLANK('Data Entry'!$Q$518), "", 'Data Entry'!$Q$518)</f>
      </c>
      <c r="R518">
        <f>IF(ISBLANK('Data Entry'!$R$518), "", 'Data Entry'!$R$518)</f>
      </c>
      <c r="S518">
        <f>IF(ISBLANK('Data Entry'!$S$518), "", 'Data Entry'!$S$518)</f>
      </c>
      <c r="T518">
        <f>IF(ISBLANK('Data Entry'!$T$518), "", 'Data Entry'!$T$518)</f>
      </c>
      <c r="U518">
        <f>IF(ISBLANK('Data Entry'!$U$518), "", 'Data Entry'!$U$518)</f>
      </c>
      <c r="V518">
        <f>IF(ISBLANK('Data Entry'!$V$518), "", 'Data Entry'!$V$518)</f>
      </c>
      <c r="W518">
        <f>IF(ISBLANK('Data Entry'!$W$518), "", 'Data Entry'!$W$518)</f>
      </c>
      <c r="X518">
        <f>IF(ISBLANK('Data Entry'!$X$518), "", 'Data Entry'!$X$518)</f>
      </c>
      <c r="Y518">
        <f>IF(ISBLANK('Data Entry'!$Y$518), "", 'Data Entry'!$Y$518)</f>
      </c>
      <c r="Z518">
        <f>IF(ISBLANK('Data Entry'!$Z$518), "", 'Data Entry'!$Z$518)</f>
      </c>
      <c r="AA518">
        <f>IF(ISBLANK('Data Entry'!$[$518), "", 'Data Entry'!$[$518)</f>
      </c>
      <c r="AB518">
        <f>IF(ISBLANK('Data Entry'!$\$518), "", 'Data Entry'!$\$518)</f>
      </c>
      <c r="AC518">
        <f>IF(ISBLANK('Data Entry'!$]$518), "", 'Data Entry'!$]$518)</f>
      </c>
      <c r="AD518">
        <f>IF(ISBLANK('Data Entry'!$^$518), "", 'Data Entry'!$^$518)</f>
      </c>
      <c r="AE518">
        <f>IF(ISBLANK('Data Entry'!$_$518), "", 'Data Entry'!$_$518)</f>
      </c>
      <c r="AF518">
        <f>IF(ISBLANK('Data Entry'!$`$518), "", 'Data Entry'!$`$518)</f>
      </c>
      <c r="AG518">
        <f>IF(ISBLANK('Data Entry'!$a$518), "", 'Data Entry'!$a$518)</f>
      </c>
      <c r="AH518">
        <f>IF(ISBLANK('Data Entry'!$b$518), "", 'Data Entry'!$b$518)</f>
      </c>
      <c r="AI518">
        <f>IF(ISBLANK('Data Entry'!$c$518), "", 'Data Entry'!$c$518)</f>
      </c>
      <c r="AJ518">
        <f>IF(ISBLANK('Data Entry'!$d$518), "", 'Data Entry'!$d$518)</f>
      </c>
      <c r="AK518">
        <f>IF(ISBLANK('Data Entry'!$e$518), "", 'Data Entry'!$e$518)</f>
      </c>
      <c r="AL518">
        <f>IF(ISBLANK('Data Entry'!$f$518), "", 'Data Entry'!$f$518)</f>
      </c>
      <c r="AM518">
        <f>IF(ISBLANK('Data Entry'!$g$518), "", 'Data Entry'!$g$518)</f>
      </c>
      <c r="AN518">
        <f>IF(ISBLANK('Data Entry'!$h$518), "", 'Data Entry'!$h$518)</f>
      </c>
      <c r="AO518">
        <f>IF(ISBLANK('Data Entry'!$i$518), "", 'Data Entry'!$i$518)</f>
      </c>
      <c r="AP518">
        <f>IF(ISBLANK('Data Entry'!$j$518), "", 'Data Entry'!$j$518)</f>
      </c>
      <c r="AQ518">
        <f>IF(ISBLANK('Data Entry'!$k$518), "", 'Data Entry'!$k$518)</f>
      </c>
      <c r="AR518">
        <f>IF(ISBLANK('Data Entry'!$l$518), "", 'Data Entry'!$l$518)</f>
      </c>
      <c r="AS518">
        <f>IF(ISBLANK('Data Entry'!$m$518), "", 'Data Entry'!$m$518)</f>
      </c>
      <c r="AT518">
        <f>IF(ISBLANK('Data Entry'!$n$518), "", 'Data Entry'!$n$518)</f>
      </c>
      <c r="AU518">
        <f>IF(ISBLANK('Data Entry'!$o$518), "", 'Data Entry'!$o$518)</f>
      </c>
      <c r="AV518">
        <f>IF(ISBLANK('Data Entry'!$p$518), "", 'Data Entry'!$p$518)</f>
      </c>
      <c r="AW518">
        <f>IF(ISBLANK('Data Entry'!$q$518), "", 'Data Entry'!$q$518)</f>
      </c>
      <c r="AX518">
        <f>IF(ISBLANK('Data Entry'!$r$518), "", 'Data Entry'!$r$518)</f>
      </c>
      <c r="AY518">
        <f>IF(ISBLANK('Data Entry'!$s$518), "", 'Data Entry'!$s$518)</f>
      </c>
      <c r="AZ518">
        <f>IF(ISBLANK('Data Entry'!$t$518), "", 'Data Entry'!$t$518)</f>
      </c>
      <c r="BA518">
        <f>IF(ISBLANK('Data Entry'!$u$518), "", 'Data Entry'!$u$518)</f>
      </c>
      <c r="BB518">
        <f>IF(ISBLANK('Data Entry'!$v$518), "", 'Data Entry'!$v$518)</f>
      </c>
      <c r="BC518">
        <f>IF(ISBLANK('Data Entry'!$w$518), "", 'Data Entry'!$w$518)</f>
      </c>
      <c r="BD518">
        <f>IF(ISBLANK('Data Entry'!$x$518), "", 'Data Entry'!$x$518)</f>
      </c>
      <c r="BE518">
        <f>IF(ISBLANK('Data Entry'!$y$518), "", 'Data Entry'!$y$518)</f>
      </c>
      <c r="BF518">
        <f>IF(ISBLANK('Data Entry'!$z$518), "", 'Data Entry'!$z$518)</f>
      </c>
      <c r="BG518">
        <f>IF(ISBLANK('Data Entry'!${$518), "", 'Data Entry'!${$518)</f>
      </c>
      <c r="BH518">
        <f>IF(ISBLANK('Data Entry'!$|$518), "", 'Data Entry'!$|$518)</f>
      </c>
      <c r="BI518">
        <f>IF(ISBLANK('Data Entry'!$}$518), "", 'Data Entry'!$}$518)</f>
      </c>
      <c r="BJ518">
        <f>IF(ISBLANK('Data Entry'!$~$518), "", 'Data Entry'!$~$518)</f>
      </c>
      <c r="BK518">
        <f>IF(ISBLANK('Data Entry'!$$518), "", 'Data Entry'!$$518)</f>
      </c>
      <c r="BL518">
        <f>IF(ISBLANK('Data Entry'!$$518), "", 'Data Entry'!$$518)</f>
      </c>
      <c r="BM518">
        <f>IF(ISBLANK('Data Entry'!$$518), "", 'Data Entry'!$$518)</f>
      </c>
      <c r="BN518">
        <f>IF(ISBLANK('Data Entry'!$$518), "", 'Data Entry'!$$518)</f>
      </c>
      <c r="BO518">
        <f>IF(ISBLANK('Data Entry'!$$518), "", 'Data Entry'!$$518)</f>
      </c>
      <c r="BP518">
        <f>IF(ISBLANK('Data Entry'!$$518), "", 'Data Entry'!$$518)</f>
      </c>
      <c r="BQ518">
        <f>IF(ISBLANK('Data Entry'!$$518), "", 'Data Entry'!$$518)</f>
      </c>
      <c r="BR518">
        <f>IF(ISBLANK('Data Entry'!$$518), "", 'Data Entry'!$$518)</f>
      </c>
      <c r="BS518">
        <f>IF(ISBLANK('Data Entry'!$$518), "", 'Data Entry'!$$518)</f>
      </c>
      <c r="BT518">
        <f>IF(ISBLANK('Data Entry'!$$518), "", 'Data Entry'!$$518)</f>
      </c>
      <c r="BU518">
        <f>IF(ISBLANK('Data Entry'!$$518), "", 'Data Entry'!$$518)</f>
      </c>
      <c r="BV518">
        <f>IF(ISBLANK('Data Entry'!$$518), "", 'Data Entry'!$$518)</f>
      </c>
      <c r="BW518">
        <f>IF(ISBLANK('Data Entry'!$$518), "", 'Data Entry'!$$518)</f>
      </c>
      <c r="BX518">
        <f>IF(ISBLANK('Data Entry'!$$518), "", 'Data Entry'!$$518)</f>
      </c>
      <c r="BY518">
        <f>IF(ISBLANK('Data Entry'!$$518), "", 'Data Entry'!$$518)</f>
      </c>
      <c r="BZ518">
        <f>IF(ISBLANK('Data Entry'!$$518), "", 'Data Entry'!$$518)</f>
      </c>
      <c r="CA518">
        <f>IF(ISBLANK('Data Entry'!$$518), "", 'Data Entry'!$$518)</f>
      </c>
      <c r="CB518">
        <f>IF(ISBLANK('Data Entry'!$$518), "", 'Data Entry'!$$518)</f>
      </c>
      <c r="CC518">
        <f>IF(ISBLANK('Data Entry'!$$518), "", 'Data Entry'!$$518)</f>
      </c>
      <c r="CD518">
        <f>IF(ISBLANK('Data Entry'!$$518), "", 'Data Entry'!$$518)</f>
      </c>
      <c r="CE518">
        <f>IF(ISBLANK('Data Entry'!$$518), "", 'Data Entry'!$$518)</f>
      </c>
      <c r="CF518">
        <f>IF(ISBLANK('Data Entry'!$$518), "", 'Data Entry'!$$518)</f>
      </c>
      <c r="CG518">
        <f>IF(ISBLANK('Data Entry'!$$518), "", 'Data Entry'!$$518)</f>
      </c>
      <c r="CH518">
        <f>IF(ISBLANK('Data Entry'!$$518), "", 'Data Entry'!$$518)</f>
      </c>
      <c r="CI518">
        <f>IF(ISBLANK('Data Entry'!$$518), "", 'Data Entry'!$$518)</f>
      </c>
      <c r="CJ518">
        <f>IF(ISBLANK('Data Entry'!$$518), "", 'Data Entry'!$$518)</f>
      </c>
      <c r="CK518">
        <f>IF(ISBLANK('Data Entry'!$$518), "", 'Data Entry'!$$518)</f>
      </c>
      <c r="CL518">
        <f>IF(ISBLANK('Data Entry'!$$518), "", 'Data Entry'!$$518)</f>
      </c>
      <c r="CM518">
        <f>IF(ISBLANK('Data Entry'!$$518), "", 'Data Entry'!$$518)</f>
      </c>
      <c r="CN518">
        <f>IF(ISBLANK('Data Entry'!$$518), "", 'Data Entry'!$$518)</f>
      </c>
      <c r="CO518">
        <f>IF(ISBLANK('Data Entry'!$$518), "", 'Data Entry'!$$518)</f>
      </c>
      <c r="CP518">
        <f>IF(ISBLANK('Data Entry'!$$518), "", 'Data Entry'!$$518)</f>
      </c>
      <c r="CQ518">
        <f>IF(ISBLANK('Data Entry'!$$518), "", 'Data Entry'!$$518)</f>
      </c>
      <c r="CR518">
        <f>IF(ISBLANK('Data Entry'!$ $518), "", 'Data Entry'!$ $518)</f>
      </c>
      <c r="CS518">
        <f>IF(ISBLANK('Data Entry'!$¡$518), "", 'Data Entry'!$¡$518)</f>
      </c>
      <c r="CT518">
        <f>IF(ISBLANK('Data Entry'!$¢$518), "", 'Data Entry'!$¢$518)</f>
      </c>
      <c r="CU518">
        <f>IF(ISBLANK('Data Entry'!$£$518), "", 'Data Entry'!$£$518)</f>
      </c>
      <c r="CV518">
        <f>IF(ISBLANK('Data Entry'!$¤$518), "", 'Data Entry'!$¤$518)</f>
      </c>
      <c r="CW518">
        <f>IF(ISBLANK('Data Entry'!$¥$518), "", 'Data Entry'!$¥$518)</f>
      </c>
      <c r="CX518">
        <f>IF(ISBLANK('Data Entry'!$¦$518), "", 'Data Entry'!$¦$518)</f>
      </c>
      <c r="CY518">
        <f>IF(ISBLANK('Data Entry'!$§$518), "", 'Data Entry'!$§$518)</f>
      </c>
      <c r="CZ518">
        <f>IF(ISBLANK('Data Entry'!$¨$518), "", 'Data Entry'!$¨$518)</f>
      </c>
      <c r="DA518">
        <f>IF(ISBLANK('Data Entry'!$©$518), "", 'Data Entry'!$©$518)</f>
      </c>
      <c r="DB518">
        <f>IF(ISBLANK('Data Entry'!$ª$518), "", 'Data Entry'!$ª$518)</f>
      </c>
      <c r="DC518">
        <f>IF(ISBLANK('Data Entry'!$«$518), "", 'Data Entry'!$«$518)</f>
      </c>
      <c r="DD518">
        <f>IF(ISBLANK('Data Entry'!$¬$518), "", 'Data Entry'!$¬$518)</f>
      </c>
      <c r="DE518">
        <f>IF(ISBLANK('Data Entry'!$­$518), "", 'Data Entry'!$­$518)</f>
      </c>
      <c r="DF518">
        <f>IF(ISBLANK('Data Entry'!$®$518), "", 'Data Entry'!$®$518)</f>
      </c>
      <c r="DG518">
        <f>IF(ISBLANK('Data Entry'!$¯$518), "", 'Data Entry'!$¯$518)</f>
      </c>
      <c r="DH518">
        <f>IF(ISBLANK('Data Entry'!$°$518), "", 'Data Entry'!$°$518)</f>
      </c>
      <c r="DI518">
        <f>IF(ISBLANK('Data Entry'!$±$518), "", 'Data Entry'!$±$518)</f>
      </c>
      <c r="DJ518">
        <f>IF(ISBLANK('Data Entry'!$²$518), "", 'Data Entry'!$²$518)</f>
      </c>
      <c r="DK518">
        <f>IF(ISBLANK('Data Entry'!$³$518), "", 'Data Entry'!$³$518)</f>
      </c>
      <c r="DL518">
        <f>IF(ISBLANK('Data Entry'!$´$518), "", 'Data Entry'!$´$518)</f>
      </c>
      <c r="DM518">
        <f>IF(ISBLANK('Data Entry'!$µ$518), "", 'Data Entry'!$µ$518)</f>
      </c>
      <c r="DN518">
        <f>IF(ISBLANK('Data Entry'!$¶$518), "", 'Data Entry'!$¶$518)</f>
      </c>
      <c r="DO518">
        <f>IF(ISBLANK('Data Entry'!$·$518), "", 'Data Entry'!$·$518)</f>
      </c>
      <c r="DP518">
        <f>IF(ISBLANK('Data Entry'!$¸$518), "", 'Data Entry'!$¸$518)</f>
      </c>
      <c r="DQ518">
        <f>IF(ISBLANK('Data Entry'!$¹$518), "", 'Data Entry'!$¹$518)</f>
      </c>
      <c r="DR518">
        <f>IF(ISBLANK('Data Entry'!$º$518), "", 'Data Entry'!$º$518)</f>
      </c>
      <c r="DS518">
        <f>IF(ISBLANK('Data Entry'!$»$518), "", 'Data Entry'!$»$518)</f>
      </c>
      <c r="DT518">
        <f>IF(ISBLANK('Data Entry'!$¼$518), "", 'Data Entry'!$¼$518)</f>
      </c>
      <c r="DU518">
        <f>IF(ISBLANK('Data Entry'!$½$518), "", 'Data Entry'!$½$518)</f>
      </c>
      <c r="DV518">
        <f>IF(ISBLANK('Data Entry'!$¾$518), "", 'Data Entry'!$¾$518)</f>
      </c>
      <c r="DW518">
        <f>IF(ISBLANK('Data Entry'!$¿$518), "", 'Data Entry'!$¿$518)</f>
      </c>
      <c r="DX518">
        <f>IF(ISBLANK('Data Entry'!$À$518), "", 'Data Entry'!$À$518)</f>
      </c>
      <c r="DY518">
        <f>IF(ISBLANK('Data Entry'!$Á$518), "", 'Data Entry'!$Á$518)</f>
      </c>
      <c r="DZ518">
        <f>IF(ISBLANK('Data Entry'!$Â$518), "", 'Data Entry'!$Â$518)</f>
      </c>
      <c r="EA518">
        <f>IF(ISBLANK('Data Entry'!$Ã$518), "", 'Data Entry'!$Ã$518)</f>
      </c>
      <c r="EB518">
        <f>IF(ISBLANK('Data Entry'!$Ä$518), "", 'Data Entry'!$Ä$518)</f>
      </c>
      <c r="EC518">
        <f>IF(ISBLANK('Data Entry'!$Å$518), "", 'Data Entry'!$Å$518)</f>
      </c>
      <c r="ED518">
        <f>IF(ISBLANK('Data Entry'!$Æ$518), "", 'Data Entry'!$Æ$518)</f>
      </c>
      <c r="EE518">
        <f>IF(ISBLANK('Data Entry'!$Ç$518), "", 'Data Entry'!$Ç$518)</f>
      </c>
      <c r="EF518">
        <f>IF(ISBLANK('Data Entry'!$È$518), "", 'Data Entry'!$È$518)</f>
      </c>
      <c r="EG518">
        <f>IF(ISBLANK('Data Entry'!$É$518), "", 'Data Entry'!$É$518)</f>
      </c>
      <c r="EH518">
        <f>IF(ISBLANK('Data Entry'!$Ê$518), "", 'Data Entry'!$Ê$518)</f>
      </c>
      <c r="EI518">
        <f>IF(ISBLANK('Data Entry'!$Ë$518), "", 'Data Entry'!$Ë$518)</f>
      </c>
      <c r="EJ518">
        <f>IF(ISBLANK('Data Entry'!$Ì$518), "", 'Data Entry'!$Ì$518)</f>
      </c>
      <c r="EK518">
        <f>IF(ISBLANK('Data Entry'!$Í$518), "", 'Data Entry'!$Í$518)</f>
      </c>
      <c r="EL518">
        <f>IF(ISBLANK('Data Entry'!$Î$518), "", 'Data Entry'!$Î$518)</f>
      </c>
      <c r="EM518">
        <f>IF(ISBLANK('Data Entry'!$Ï$518), "", 'Data Entry'!$Ï$518)</f>
      </c>
      <c r="EN518">
        <f>IF(ISBLANK('Data Entry'!$Ð$518), "", 'Data Entry'!$Ð$518)</f>
      </c>
      <c r="EO518">
        <f>IF(ISBLANK('Data Entry'!$Ñ$518), "", 'Data Entry'!$Ñ$518)</f>
      </c>
      <c r="EP518">
        <f>IF(ISBLANK('Data Entry'!$Ò$518), "", 'Data Entry'!$Ò$518)</f>
      </c>
      <c r="EQ518">
        <f>IF(ISBLANK('Data Entry'!$Ó$518), "", 'Data Entry'!$Ó$518)</f>
      </c>
      <c r="ER518">
        <f>IF(ISBLANK('Data Entry'!$Ô$518), "", 'Data Entry'!$Ô$518)</f>
      </c>
      <c r="ES518">
        <f>IF(ISBLANK('Data Entry'!$Õ$518), "", 'Data Entry'!$Õ$518)</f>
      </c>
      <c r="ET518">
        <f>IF(ISBLANK('Data Entry'!$Ö$518), "", 'Data Entry'!$Ö$518)</f>
      </c>
      <c r="EU518">
        <f>IF(ISBLANK('Data Entry'!$×$518), "", 'Data Entry'!$×$518)</f>
      </c>
      <c r="EV518">
        <f>IF(ISBLANK('Data Entry'!$Ø$518), "", 'Data Entry'!$Ø$518)</f>
      </c>
      <c r="EW518">
        <f>IF(ISBLANK('Data Entry'!$Ù$518), "", 'Data Entry'!$Ù$518)</f>
      </c>
      <c r="EX518">
        <f>IF(ISBLANK('Data Entry'!$Ú$518), "", 'Data Entry'!$Ú$518)</f>
      </c>
      <c r="EY518">
        <f>IF(ISBLANK('Data Entry'!$Û$518), "", 'Data Entry'!$Û$518)</f>
      </c>
      <c r="EZ518">
        <f>IF(ISBLANK('Data Entry'!$Ü$518), "", 'Data Entry'!$Ü$518)</f>
      </c>
      <c r="FA518">
        <f>IF(ISBLANK('Data Entry'!$Ý$518), "", 'Data Entry'!$Ý$518)</f>
      </c>
      <c r="FB518">
        <f>IF(ISBLANK('Data Entry'!$Þ$518), "", 'Data Entry'!$Þ$518)</f>
      </c>
      <c r="FC518">
        <f>IF(ISBLANK('Data Entry'!$ß$518), "", 'Data Entry'!$ß$518)</f>
      </c>
      <c r="FD518">
        <f>IF(ISBLANK('Data Entry'!$à$518), "", 'Data Entry'!$à$518)</f>
      </c>
      <c r="FE518">
        <f>IF(ISBLANK('Data Entry'!$á$518), "", 'Data Entry'!$á$518)</f>
      </c>
      <c r="FF518">
        <f>IF(ISBLANK('Data Entry'!$â$518), "", 'Data Entry'!$â$518)</f>
      </c>
      <c r="FG518">
        <f>IF(ISBLANK('Data Entry'!$ã$518), "", 'Data Entry'!$ã$518)</f>
      </c>
      <c r="FH518">
        <f>IF(ISBLANK('Data Entry'!$ä$518), "", 'Data Entry'!$ä$518)</f>
      </c>
      <c r="FI518">
        <f>IF(ISBLANK('Data Entry'!$å$518), "", 'Data Entry'!$å$518)</f>
      </c>
      <c r="FJ518">
        <f>IF(ISBLANK('Data Entry'!$æ$518), "", 'Data Entry'!$æ$518)</f>
      </c>
      <c r="FK518">
        <f>IF(ISBLANK('Data Entry'!$ç$518), "", 'Data Entry'!$ç$518)</f>
      </c>
      <c r="FL518">
        <f>IF(ISBLANK('Data Entry'!$è$518), "", 'Data Entry'!$è$518)</f>
      </c>
      <c r="FM518">
        <f>IF(ISBLANK('Data Entry'!$é$518), "", 'Data Entry'!$é$518)</f>
      </c>
      <c r="FN518">
        <f>IF(ISBLANK('Data Entry'!$ê$518), "", 'Data Entry'!$ê$518)</f>
      </c>
      <c r="FO518">
        <f>IF(ISBLANK('Data Entry'!$ë$518), "", 'Data Entry'!$ë$518)</f>
      </c>
      <c r="FP518">
        <f>IF(ISBLANK('Data Entry'!$ì$518), "", 'Data Entry'!$ì$518)</f>
      </c>
      <c r="FQ518">
        <f>IF(ISBLANK('Data Entry'!$í$518), "", 'Data Entry'!$í$518)</f>
      </c>
      <c r="FR518">
        <f>IF(ISBLANK('Data Entry'!$î$518), "", 'Data Entry'!$î$518)</f>
      </c>
      <c r="FS518">
        <f>IF(ISBLANK('Data Entry'!$ï$518), "", 'Data Entry'!$ï$518)</f>
      </c>
      <c r="FT518">
        <f>IF(ISBLANK('Data Entry'!$ð$518), "", 'Data Entry'!$ð$518)</f>
      </c>
      <c r="FU518">
        <f>IF(ISBLANK('Data Entry'!$ñ$518), "", 'Data Entry'!$ñ$518)</f>
      </c>
      <c r="FV518">
        <f>IF(ISBLANK('Data Entry'!$ò$518), "", 'Data Entry'!$ò$518)</f>
      </c>
      <c r="FW518">
        <f>IF(ISBLANK('Data Entry'!$ó$518), "", 'Data Entry'!$ó$518)</f>
      </c>
      <c r="FX518">
        <f>IF(ISBLANK('Data Entry'!$ô$518), "", 'Data Entry'!$ô$518)</f>
      </c>
      <c r="FY518">
        <f>IF(ISBLANK('Data Entry'!$õ$518), "", 'Data Entry'!$õ$518)</f>
      </c>
      <c r="FZ518">
        <f>IF(ISBLANK('Data Entry'!$ö$518), "", 'Data Entry'!$ö$518)</f>
      </c>
      <c r="GA518">
        <f>IF(ISBLANK('Data Entry'!$÷$518), "", 'Data Entry'!$÷$518)</f>
      </c>
      <c r="GB518">
        <f>IF(ISBLANK('Data Entry'!$ø$518), "", 'Data Entry'!$ø$518)</f>
      </c>
      <c r="GC518">
        <f>IF(ISBLANK('Data Entry'!$ù$518), "", 'Data Entry'!$ù$518)</f>
      </c>
      <c r="GD518">
        <f>IF(ISBLANK('Data Entry'!$ú$518), "", 'Data Entry'!$ú$518)</f>
      </c>
      <c r="GE518">
        <f>IF(ISBLANK('Data Entry'!$û$518), "", 'Data Entry'!$û$518)</f>
      </c>
      <c r="GF518">
        <f>IF(ISBLANK('Data Entry'!$ü$518), "", 'Data Entry'!$ü$518)</f>
      </c>
      <c r="GG518">
        <f>IF(ISBLANK('Data Entry'!$ý$518), "", 'Data Entry'!$ý$518)</f>
      </c>
      <c r="GH518">
        <f>IF(ISBLANK('Data Entry'!$þ$518), "", 'Data Entry'!$þ$518)</f>
      </c>
      <c r="GI518">
        <f>IF(ISBLANK('Data Entry'!$ÿ$518), "", 'Data Entry'!$ÿ$518)</f>
      </c>
      <c r="GJ518">
        <f>IF(ISBLANK('Data Entry'!$Ā$518), "", 'Data Entry'!$Ā$518)</f>
      </c>
      <c r="GK518">
        <f>IF(ISBLANK('Data Entry'!$ā$518), "", 'Data Entry'!$ā$518)</f>
      </c>
      <c r="GL518">
        <f>IF(ISBLANK('Data Entry'!$Ă$518), "", 'Data Entry'!$Ă$518)</f>
      </c>
      <c r="GM518">
        <f>IF(ISBLANK('Data Entry'!$ă$518), "", 'Data Entry'!$ă$518)</f>
      </c>
      <c r="GN518">
        <f>IF(ISBLANK('Data Entry'!$Ą$518), "", 'Data Entry'!$Ą$518)</f>
      </c>
      <c r="GO518">
        <f>IF(ISBLANK('Data Entry'!$ą$518), "", 'Data Entry'!$ą$518)</f>
      </c>
      <c r="GP518">
        <f>IF(ISBLANK('Data Entry'!$Ć$518), "", 'Data Entry'!$Ć$518)</f>
      </c>
      <c r="GQ518">
        <f>IF(ISBLANK('Data Entry'!$ć$518), "", 'Data Entry'!$ć$518)</f>
      </c>
      <c r="GR518">
        <f>IF(ISBLANK('Data Entry'!$Ĉ$518), "", 'Data Entry'!$Ĉ$518)</f>
      </c>
      <c r="GS518">
        <f>IF(ISBLANK('Data Entry'!$ĉ$518), "", 'Data Entry'!$ĉ$518)</f>
      </c>
      <c r="GT518">
        <f>IF(ISBLANK('Data Entry'!$Ċ$518), "", 'Data Entry'!$Ċ$518)</f>
      </c>
      <c r="GU518">
        <f>IF(ISBLANK('Data Entry'!$ċ$518), "", 'Data Entry'!$ċ$518)</f>
      </c>
      <c r="GV518">
        <f>IF(ISBLANK('Data Entry'!$Č$518), "", 'Data Entry'!$Č$518)</f>
      </c>
      <c r="GW518">
        <f>IF(ISBLANK('Data Entry'!$č$518), "", 'Data Entry'!$č$518)</f>
      </c>
      <c r="GX518">
        <f>IF(ISBLANK('Data Entry'!$Ď$518), "", 'Data Entry'!$Ď$518)</f>
      </c>
      <c r="GY518">
        <f>IF(ISBLANK('Data Entry'!$ď$518), "", 'Data Entry'!$ď$518)</f>
      </c>
      <c r="GZ518">
        <f>IF(ISBLANK('Data Entry'!$Đ$518), "", 'Data Entry'!$Đ$518)</f>
      </c>
      <c r="HA518">
        <f>IF(ISBLANK('Data Entry'!$đ$518), "", 'Data Entry'!$đ$518)</f>
      </c>
      <c r="HB518">
        <f>IF(ISBLANK('Data Entry'!$Ē$518), "", 'Data Entry'!$Ē$518)</f>
      </c>
      <c r="HC518">
        <f>IF(ISBLANK('Data Entry'!$ē$518), "", 'Data Entry'!$ē$518)</f>
      </c>
      <c r="HD518">
        <f>IF(ISBLANK('Data Entry'!$Ĕ$518), "", 'Data Entry'!$Ĕ$518)</f>
      </c>
      <c r="HE518">
        <f>IF(ISBLANK('Data Entry'!$ĕ$518), "", 'Data Entry'!$ĕ$518)</f>
      </c>
      <c r="HF518">
        <f>IF(ISBLANK('Data Entry'!$Ė$518), "", 'Data Entry'!$Ė$518)</f>
      </c>
      <c r="HG518">
        <f>IF(ISBLANK('Data Entry'!$ė$518), "", 'Data Entry'!$ė$518)</f>
      </c>
      <c r="HH518">
        <f>IF(ISBLANK('Data Entry'!$Ę$518), "", 'Data Entry'!$Ę$518)</f>
      </c>
      <c r="HI518">
        <f>IF(ISBLANK('Data Entry'!$ę$518), "", 'Data Entry'!$ę$518)</f>
      </c>
      <c r="HJ518">
        <f>IF(ISBLANK('Data Entry'!$Ě$518), "", 'Data Entry'!$Ě$518)</f>
      </c>
      <c r="HK518">
        <f>IF(ISBLANK('Data Entry'!$ě$518), "", 'Data Entry'!$ě$518)</f>
      </c>
      <c r="HL518">
        <f>IF(ISBLANK('Data Entry'!$Ĝ$518), "", 'Data Entry'!$Ĝ$518)</f>
      </c>
      <c r="HM518">
        <f>IF(ISBLANK('Data Entry'!$ĝ$518), "", 'Data Entry'!$ĝ$518)</f>
      </c>
      <c r="HN518">
        <f>IF(ISBLANK('Data Entry'!$Ğ$518), "", 'Data Entry'!$Ğ$518)</f>
      </c>
      <c r="HO518">
        <f>IF(ISBLANK('Data Entry'!$ğ$518), "", 'Data Entry'!$ğ$518)</f>
      </c>
      <c r="HP518">
        <f>IF(ISBLANK('Data Entry'!$Ġ$518), "", 'Data Entry'!$Ġ$518)</f>
      </c>
      <c r="HQ518">
        <f>IF(ISBLANK('Data Entry'!$ġ$518), "", 'Data Entry'!$ġ$518)</f>
      </c>
      <c r="HR518">
        <f>IF(ISBLANK('Data Entry'!$Ģ$518), "", 'Data Entry'!$Ģ$518)</f>
      </c>
      <c r="HS518">
        <f>IF(ISBLANK('Data Entry'!$ģ$518), "", 'Data Entry'!$ģ$518)</f>
      </c>
      <c r="HT518">
        <f>IF(ISBLANK('Data Entry'!$Ĥ$518), "", 'Data Entry'!$Ĥ$518)</f>
      </c>
      <c r="HU518">
        <f>IF(ISBLANK('Data Entry'!$ĥ$518), "", 'Data Entry'!$ĥ$518)</f>
      </c>
      <c r="HV518">
        <f>IF(ISBLANK('Data Entry'!$Ħ$518), "", 'Data Entry'!$Ħ$518)</f>
      </c>
      <c r="HW518">
        <f>IF(ISBLANK('Data Entry'!$ħ$518), "", 'Data Entry'!$ħ$518)</f>
      </c>
      <c r="HX518">
        <f>IF(ISBLANK('Data Entry'!$Ĩ$518), "", 'Data Entry'!$Ĩ$518)</f>
      </c>
      <c r="HY518">
        <f>IF(ISBLANK('Data Entry'!$ĩ$518), "", 'Data Entry'!$ĩ$518)</f>
      </c>
      <c r="HZ518">
        <f>IF(ISBLANK('Data Entry'!$Ī$518), "", 'Data Entry'!$Ī$518)</f>
      </c>
      <c r="IA518">
        <f>IF(ISBLANK('Data Entry'!$ī$518), "", 'Data Entry'!$ī$518)</f>
      </c>
      <c r="IB518">
        <f>IF(ISBLANK('Data Entry'!$Ĭ$518), "", 'Data Entry'!$Ĭ$518)</f>
      </c>
      <c r="IC518">
        <f>IF(ISBLANK('Data Entry'!$ĭ$518), "", 'Data Entry'!$ĭ$518)</f>
      </c>
      <c r="ID518">
        <f>IF(ISBLANK('Data Entry'!$Į$518), "", 'Data Entry'!$Į$518)</f>
      </c>
      <c r="IE518">
        <f>IF(ISBLANK('Data Entry'!$į$518), "", 'Data Entry'!$į$518)</f>
      </c>
      <c r="IF518">
        <f>IF(ISBLANK('Data Entry'!$İ$518), "", 'Data Entry'!$İ$518)</f>
      </c>
      <c r="IG518">
        <f>IF(ISBLANK('Data Entry'!$ı$518), "", 'Data Entry'!$ı$518)</f>
      </c>
      <c r="IH518">
        <f>IF(ISBLANK('Data Entry'!$Ĳ$518), "", 'Data Entry'!$Ĳ$518)</f>
      </c>
      <c r="II518">
        <f>IF(ISBLANK('Data Entry'!$ĳ$518), "", 'Data Entry'!$ĳ$518)</f>
      </c>
      <c r="IJ518">
        <f>IF(ISBLANK('Data Entry'!$Ĵ$518), "", 'Data Entry'!$Ĵ$518)</f>
      </c>
      <c r="IK518">
        <f>IF(ISBLANK('Data Entry'!$ĵ$518), "", 'Data Entry'!$ĵ$518)</f>
      </c>
      <c r="IL518">
        <f>IF(ISBLANK('Data Entry'!$Ķ$518), "", 'Data Entry'!$Ķ$518)</f>
      </c>
      <c r="IM518">
        <f>IF(ISBLANK('Data Entry'!$ķ$518), "", 'Data Entry'!$ķ$518)</f>
      </c>
      <c r="IN518">
        <f>IF(ISBLANK('Data Entry'!$ĸ$518), "", 'Data Entry'!$ĸ$518)</f>
      </c>
      <c r="IO518">
        <f>IF(ISBLANK('Data Entry'!$Ĺ$518), "", 'Data Entry'!$Ĺ$518)</f>
      </c>
      <c r="IP518">
        <f>IF(ISBLANK('Data Entry'!$ĺ$518), "", 'Data Entry'!$ĺ$518)</f>
      </c>
      <c r="IQ518">
        <f>IF(ISBLANK('Data Entry'!$Ļ$518), "", 'Data Entry'!$Ļ$518)</f>
      </c>
      <c r="IR518">
        <f>IF(ISBLANK('Data Entry'!$ļ$518), "", 'Data Entry'!$ļ$518)</f>
      </c>
      <c r="IS518">
        <f>IF(ISBLANK('Data Entry'!$Ľ$518), "", 'Data Entry'!$Ľ$518)</f>
      </c>
      <c r="IT518">
        <f>IF(ISBLANK('Data Entry'!$ľ$518), "", 'Data Entry'!$ľ$518)</f>
      </c>
    </row>
    <row r="519" spans="1:254" x14ac:dyDescent="0.25">
      <c r="A519">
        <f>IF(ISBLANK('Data Entry'!$A$519), "", 'Data Entry'!$A$519)</f>
      </c>
      <c r="B519">
        <f>IF(ISBLANK('Data Entry'!$B$519), "", 'Data Entry'!$B$519)</f>
      </c>
      <c r="C519">
        <f>IF(ISBLANK('Data Entry'!$C$519), "", 'Data Entry'!$C$519)</f>
      </c>
      <c r="D519">
        <f>IF(ISBLANK('Data Entry'!$D$519), "", 'Data Entry'!$D$519)</f>
      </c>
      <c r="E519">
        <f>IF(ISBLANK('Data Entry'!$E$519), "", 'Data Entry'!$E$519)</f>
      </c>
      <c r="F519">
        <f>IF(ISBLANK('Data Entry'!$F$519), "", 'Data Entry'!$F$519)</f>
      </c>
      <c r="G519">
        <f>IF(ISBLANK('Data Entry'!$G$519), "", 'Data Entry'!$G$519)</f>
      </c>
      <c r="H519">
        <f>IF(ISBLANK('Data Entry'!$H$519), "", 'Data Entry'!$H$519)</f>
      </c>
      <c r="I519">
        <f>IF(ISBLANK('Data Entry'!$I$519), "", 'Data Entry'!$I$519)</f>
      </c>
      <c r="J519">
        <f>IF(ISBLANK('Data Entry'!$J$519), "", 'Data Entry'!$J$519)</f>
      </c>
      <c r="K519">
        <f>IF(ISBLANK('Data Entry'!$K$519), "", 'Data Entry'!$K$519)</f>
      </c>
      <c r="L519">
        <f>IF(ISBLANK('Data Entry'!$L$519), "", 'Data Entry'!$L$519)</f>
      </c>
      <c r="M519">
        <f>IF(ISBLANK('Data Entry'!$M$519), "", 'Data Entry'!$M$519)</f>
      </c>
      <c r="N519">
        <f>IF(ISBLANK('Data Entry'!$N$519), "", 'Data Entry'!$N$519)</f>
      </c>
      <c r="O519">
        <f>IF(ISBLANK('Data Entry'!$O$519), "", 'Data Entry'!$O$519)</f>
      </c>
      <c r="P519">
        <f>IF(ISBLANK('Data Entry'!$P$519), "", 'Data Entry'!$P$519)</f>
      </c>
      <c r="Q519">
        <f>IF(ISBLANK('Data Entry'!$Q$519), "", 'Data Entry'!$Q$519)</f>
      </c>
      <c r="R519">
        <f>IF(ISBLANK('Data Entry'!$R$519), "", 'Data Entry'!$R$519)</f>
      </c>
      <c r="S519">
        <f>IF(ISBLANK('Data Entry'!$S$519), "", 'Data Entry'!$S$519)</f>
      </c>
      <c r="T519">
        <f>IF(ISBLANK('Data Entry'!$T$519), "", 'Data Entry'!$T$519)</f>
      </c>
      <c r="U519">
        <f>IF(ISBLANK('Data Entry'!$U$519), "", 'Data Entry'!$U$519)</f>
      </c>
      <c r="V519">
        <f>IF(ISBLANK('Data Entry'!$V$519), "", 'Data Entry'!$V$519)</f>
      </c>
      <c r="W519">
        <f>IF(ISBLANK('Data Entry'!$W$519), "", 'Data Entry'!$W$519)</f>
      </c>
      <c r="X519">
        <f>IF(ISBLANK('Data Entry'!$X$519), "", 'Data Entry'!$X$519)</f>
      </c>
      <c r="Y519">
        <f>IF(ISBLANK('Data Entry'!$Y$519), "", 'Data Entry'!$Y$519)</f>
      </c>
      <c r="Z519">
        <f>IF(ISBLANK('Data Entry'!$Z$519), "", 'Data Entry'!$Z$519)</f>
      </c>
      <c r="AA519">
        <f>IF(ISBLANK('Data Entry'!$[$519), "", 'Data Entry'!$[$519)</f>
      </c>
      <c r="AB519">
        <f>IF(ISBLANK('Data Entry'!$\$519), "", 'Data Entry'!$\$519)</f>
      </c>
      <c r="AC519">
        <f>IF(ISBLANK('Data Entry'!$]$519), "", 'Data Entry'!$]$519)</f>
      </c>
      <c r="AD519">
        <f>IF(ISBLANK('Data Entry'!$^$519), "", 'Data Entry'!$^$519)</f>
      </c>
      <c r="AE519">
        <f>IF(ISBLANK('Data Entry'!$_$519), "", 'Data Entry'!$_$519)</f>
      </c>
      <c r="AF519">
        <f>IF(ISBLANK('Data Entry'!$`$519), "", 'Data Entry'!$`$519)</f>
      </c>
      <c r="AG519">
        <f>IF(ISBLANK('Data Entry'!$a$519), "", 'Data Entry'!$a$519)</f>
      </c>
      <c r="AH519">
        <f>IF(ISBLANK('Data Entry'!$b$519), "", 'Data Entry'!$b$519)</f>
      </c>
      <c r="AI519">
        <f>IF(ISBLANK('Data Entry'!$c$519), "", 'Data Entry'!$c$519)</f>
      </c>
      <c r="AJ519">
        <f>IF(ISBLANK('Data Entry'!$d$519), "", 'Data Entry'!$d$519)</f>
      </c>
      <c r="AK519">
        <f>IF(ISBLANK('Data Entry'!$e$519), "", 'Data Entry'!$e$519)</f>
      </c>
      <c r="AL519">
        <f>IF(ISBLANK('Data Entry'!$f$519), "", 'Data Entry'!$f$519)</f>
      </c>
      <c r="AM519">
        <f>IF(ISBLANK('Data Entry'!$g$519), "", 'Data Entry'!$g$519)</f>
      </c>
      <c r="AN519">
        <f>IF(ISBLANK('Data Entry'!$h$519), "", 'Data Entry'!$h$519)</f>
      </c>
      <c r="AO519">
        <f>IF(ISBLANK('Data Entry'!$i$519), "", 'Data Entry'!$i$519)</f>
      </c>
      <c r="AP519">
        <f>IF(ISBLANK('Data Entry'!$j$519), "", 'Data Entry'!$j$519)</f>
      </c>
      <c r="AQ519">
        <f>IF(ISBLANK('Data Entry'!$k$519), "", 'Data Entry'!$k$519)</f>
      </c>
      <c r="AR519">
        <f>IF(ISBLANK('Data Entry'!$l$519), "", 'Data Entry'!$l$519)</f>
      </c>
      <c r="AS519">
        <f>IF(ISBLANK('Data Entry'!$m$519), "", 'Data Entry'!$m$519)</f>
      </c>
      <c r="AT519">
        <f>IF(ISBLANK('Data Entry'!$n$519), "", 'Data Entry'!$n$519)</f>
      </c>
      <c r="AU519">
        <f>IF(ISBLANK('Data Entry'!$o$519), "", 'Data Entry'!$o$519)</f>
      </c>
      <c r="AV519">
        <f>IF(ISBLANK('Data Entry'!$p$519), "", 'Data Entry'!$p$519)</f>
      </c>
      <c r="AW519">
        <f>IF(ISBLANK('Data Entry'!$q$519), "", 'Data Entry'!$q$519)</f>
      </c>
      <c r="AX519">
        <f>IF(ISBLANK('Data Entry'!$r$519), "", 'Data Entry'!$r$519)</f>
      </c>
      <c r="AY519">
        <f>IF(ISBLANK('Data Entry'!$s$519), "", 'Data Entry'!$s$519)</f>
      </c>
      <c r="AZ519">
        <f>IF(ISBLANK('Data Entry'!$t$519), "", 'Data Entry'!$t$519)</f>
      </c>
      <c r="BA519">
        <f>IF(ISBLANK('Data Entry'!$u$519), "", 'Data Entry'!$u$519)</f>
      </c>
      <c r="BB519">
        <f>IF(ISBLANK('Data Entry'!$v$519), "", 'Data Entry'!$v$519)</f>
      </c>
      <c r="BC519">
        <f>IF(ISBLANK('Data Entry'!$w$519), "", 'Data Entry'!$w$519)</f>
      </c>
      <c r="BD519">
        <f>IF(ISBLANK('Data Entry'!$x$519), "", 'Data Entry'!$x$519)</f>
      </c>
      <c r="BE519">
        <f>IF(ISBLANK('Data Entry'!$y$519), "", 'Data Entry'!$y$519)</f>
      </c>
      <c r="BF519">
        <f>IF(ISBLANK('Data Entry'!$z$519), "", 'Data Entry'!$z$519)</f>
      </c>
      <c r="BG519">
        <f>IF(ISBLANK('Data Entry'!${$519), "", 'Data Entry'!${$519)</f>
      </c>
      <c r="BH519">
        <f>IF(ISBLANK('Data Entry'!$|$519), "", 'Data Entry'!$|$519)</f>
      </c>
      <c r="BI519">
        <f>IF(ISBLANK('Data Entry'!$}$519), "", 'Data Entry'!$}$519)</f>
      </c>
      <c r="BJ519">
        <f>IF(ISBLANK('Data Entry'!$~$519), "", 'Data Entry'!$~$519)</f>
      </c>
      <c r="BK519">
        <f>IF(ISBLANK('Data Entry'!$$519), "", 'Data Entry'!$$519)</f>
      </c>
      <c r="BL519">
        <f>IF(ISBLANK('Data Entry'!$$519), "", 'Data Entry'!$$519)</f>
      </c>
      <c r="BM519">
        <f>IF(ISBLANK('Data Entry'!$$519), "", 'Data Entry'!$$519)</f>
      </c>
      <c r="BN519">
        <f>IF(ISBLANK('Data Entry'!$$519), "", 'Data Entry'!$$519)</f>
      </c>
      <c r="BO519">
        <f>IF(ISBLANK('Data Entry'!$$519), "", 'Data Entry'!$$519)</f>
      </c>
      <c r="BP519">
        <f>IF(ISBLANK('Data Entry'!$$519), "", 'Data Entry'!$$519)</f>
      </c>
      <c r="BQ519">
        <f>IF(ISBLANK('Data Entry'!$$519), "", 'Data Entry'!$$519)</f>
      </c>
      <c r="BR519">
        <f>IF(ISBLANK('Data Entry'!$$519), "", 'Data Entry'!$$519)</f>
      </c>
      <c r="BS519">
        <f>IF(ISBLANK('Data Entry'!$$519), "", 'Data Entry'!$$519)</f>
      </c>
      <c r="BT519">
        <f>IF(ISBLANK('Data Entry'!$$519), "", 'Data Entry'!$$519)</f>
      </c>
      <c r="BU519">
        <f>IF(ISBLANK('Data Entry'!$$519), "", 'Data Entry'!$$519)</f>
      </c>
      <c r="BV519">
        <f>IF(ISBLANK('Data Entry'!$$519), "", 'Data Entry'!$$519)</f>
      </c>
      <c r="BW519">
        <f>IF(ISBLANK('Data Entry'!$$519), "", 'Data Entry'!$$519)</f>
      </c>
      <c r="BX519">
        <f>IF(ISBLANK('Data Entry'!$$519), "", 'Data Entry'!$$519)</f>
      </c>
      <c r="BY519">
        <f>IF(ISBLANK('Data Entry'!$$519), "", 'Data Entry'!$$519)</f>
      </c>
      <c r="BZ519">
        <f>IF(ISBLANK('Data Entry'!$$519), "", 'Data Entry'!$$519)</f>
      </c>
      <c r="CA519">
        <f>IF(ISBLANK('Data Entry'!$$519), "", 'Data Entry'!$$519)</f>
      </c>
      <c r="CB519">
        <f>IF(ISBLANK('Data Entry'!$$519), "", 'Data Entry'!$$519)</f>
      </c>
      <c r="CC519">
        <f>IF(ISBLANK('Data Entry'!$$519), "", 'Data Entry'!$$519)</f>
      </c>
      <c r="CD519">
        <f>IF(ISBLANK('Data Entry'!$$519), "", 'Data Entry'!$$519)</f>
      </c>
      <c r="CE519">
        <f>IF(ISBLANK('Data Entry'!$$519), "", 'Data Entry'!$$519)</f>
      </c>
      <c r="CF519">
        <f>IF(ISBLANK('Data Entry'!$$519), "", 'Data Entry'!$$519)</f>
      </c>
      <c r="CG519">
        <f>IF(ISBLANK('Data Entry'!$$519), "", 'Data Entry'!$$519)</f>
      </c>
      <c r="CH519">
        <f>IF(ISBLANK('Data Entry'!$$519), "", 'Data Entry'!$$519)</f>
      </c>
      <c r="CI519">
        <f>IF(ISBLANK('Data Entry'!$$519), "", 'Data Entry'!$$519)</f>
      </c>
      <c r="CJ519">
        <f>IF(ISBLANK('Data Entry'!$$519), "", 'Data Entry'!$$519)</f>
      </c>
      <c r="CK519">
        <f>IF(ISBLANK('Data Entry'!$$519), "", 'Data Entry'!$$519)</f>
      </c>
      <c r="CL519">
        <f>IF(ISBLANK('Data Entry'!$$519), "", 'Data Entry'!$$519)</f>
      </c>
      <c r="CM519">
        <f>IF(ISBLANK('Data Entry'!$$519), "", 'Data Entry'!$$519)</f>
      </c>
      <c r="CN519">
        <f>IF(ISBLANK('Data Entry'!$$519), "", 'Data Entry'!$$519)</f>
      </c>
      <c r="CO519">
        <f>IF(ISBLANK('Data Entry'!$$519), "", 'Data Entry'!$$519)</f>
      </c>
      <c r="CP519">
        <f>IF(ISBLANK('Data Entry'!$$519), "", 'Data Entry'!$$519)</f>
      </c>
      <c r="CQ519">
        <f>IF(ISBLANK('Data Entry'!$$519), "", 'Data Entry'!$$519)</f>
      </c>
      <c r="CR519">
        <f>IF(ISBLANK('Data Entry'!$ $519), "", 'Data Entry'!$ $519)</f>
      </c>
      <c r="CS519">
        <f>IF(ISBLANK('Data Entry'!$¡$519), "", 'Data Entry'!$¡$519)</f>
      </c>
      <c r="CT519">
        <f>IF(ISBLANK('Data Entry'!$¢$519), "", 'Data Entry'!$¢$519)</f>
      </c>
      <c r="CU519">
        <f>IF(ISBLANK('Data Entry'!$£$519), "", 'Data Entry'!$£$519)</f>
      </c>
      <c r="CV519">
        <f>IF(ISBLANK('Data Entry'!$¤$519), "", 'Data Entry'!$¤$519)</f>
      </c>
      <c r="CW519">
        <f>IF(ISBLANK('Data Entry'!$¥$519), "", 'Data Entry'!$¥$519)</f>
      </c>
      <c r="CX519">
        <f>IF(ISBLANK('Data Entry'!$¦$519), "", 'Data Entry'!$¦$519)</f>
      </c>
      <c r="CY519">
        <f>IF(ISBLANK('Data Entry'!$§$519), "", 'Data Entry'!$§$519)</f>
      </c>
      <c r="CZ519">
        <f>IF(ISBLANK('Data Entry'!$¨$519), "", 'Data Entry'!$¨$519)</f>
      </c>
      <c r="DA519">
        <f>IF(ISBLANK('Data Entry'!$©$519), "", 'Data Entry'!$©$519)</f>
      </c>
      <c r="DB519">
        <f>IF(ISBLANK('Data Entry'!$ª$519), "", 'Data Entry'!$ª$519)</f>
      </c>
      <c r="DC519">
        <f>IF(ISBLANK('Data Entry'!$«$519), "", 'Data Entry'!$«$519)</f>
      </c>
      <c r="DD519">
        <f>IF(ISBLANK('Data Entry'!$¬$519), "", 'Data Entry'!$¬$519)</f>
      </c>
      <c r="DE519">
        <f>IF(ISBLANK('Data Entry'!$­$519), "", 'Data Entry'!$­$519)</f>
      </c>
      <c r="DF519">
        <f>IF(ISBLANK('Data Entry'!$®$519), "", 'Data Entry'!$®$519)</f>
      </c>
      <c r="DG519">
        <f>IF(ISBLANK('Data Entry'!$¯$519), "", 'Data Entry'!$¯$519)</f>
      </c>
      <c r="DH519">
        <f>IF(ISBLANK('Data Entry'!$°$519), "", 'Data Entry'!$°$519)</f>
      </c>
      <c r="DI519">
        <f>IF(ISBLANK('Data Entry'!$±$519), "", 'Data Entry'!$±$519)</f>
      </c>
      <c r="DJ519">
        <f>IF(ISBLANK('Data Entry'!$²$519), "", 'Data Entry'!$²$519)</f>
      </c>
      <c r="DK519">
        <f>IF(ISBLANK('Data Entry'!$³$519), "", 'Data Entry'!$³$519)</f>
      </c>
      <c r="DL519">
        <f>IF(ISBLANK('Data Entry'!$´$519), "", 'Data Entry'!$´$519)</f>
      </c>
      <c r="DM519">
        <f>IF(ISBLANK('Data Entry'!$µ$519), "", 'Data Entry'!$µ$519)</f>
      </c>
      <c r="DN519">
        <f>IF(ISBLANK('Data Entry'!$¶$519), "", 'Data Entry'!$¶$519)</f>
      </c>
      <c r="DO519">
        <f>IF(ISBLANK('Data Entry'!$·$519), "", 'Data Entry'!$·$519)</f>
      </c>
      <c r="DP519">
        <f>IF(ISBLANK('Data Entry'!$¸$519), "", 'Data Entry'!$¸$519)</f>
      </c>
      <c r="DQ519">
        <f>IF(ISBLANK('Data Entry'!$¹$519), "", 'Data Entry'!$¹$519)</f>
      </c>
      <c r="DR519">
        <f>IF(ISBLANK('Data Entry'!$º$519), "", 'Data Entry'!$º$519)</f>
      </c>
      <c r="DS519">
        <f>IF(ISBLANK('Data Entry'!$»$519), "", 'Data Entry'!$»$519)</f>
      </c>
      <c r="DT519">
        <f>IF(ISBLANK('Data Entry'!$¼$519), "", 'Data Entry'!$¼$519)</f>
      </c>
      <c r="DU519">
        <f>IF(ISBLANK('Data Entry'!$½$519), "", 'Data Entry'!$½$519)</f>
      </c>
      <c r="DV519">
        <f>IF(ISBLANK('Data Entry'!$¾$519), "", 'Data Entry'!$¾$519)</f>
      </c>
      <c r="DW519">
        <f>IF(ISBLANK('Data Entry'!$¿$519), "", 'Data Entry'!$¿$519)</f>
      </c>
      <c r="DX519">
        <f>IF(ISBLANK('Data Entry'!$À$519), "", 'Data Entry'!$À$519)</f>
      </c>
      <c r="DY519">
        <f>IF(ISBLANK('Data Entry'!$Á$519), "", 'Data Entry'!$Á$519)</f>
      </c>
      <c r="DZ519">
        <f>IF(ISBLANK('Data Entry'!$Â$519), "", 'Data Entry'!$Â$519)</f>
      </c>
      <c r="EA519">
        <f>IF(ISBLANK('Data Entry'!$Ã$519), "", 'Data Entry'!$Ã$519)</f>
      </c>
      <c r="EB519">
        <f>IF(ISBLANK('Data Entry'!$Ä$519), "", 'Data Entry'!$Ä$519)</f>
      </c>
      <c r="EC519">
        <f>IF(ISBLANK('Data Entry'!$Å$519), "", 'Data Entry'!$Å$519)</f>
      </c>
      <c r="ED519">
        <f>IF(ISBLANK('Data Entry'!$Æ$519), "", 'Data Entry'!$Æ$519)</f>
      </c>
      <c r="EE519">
        <f>IF(ISBLANK('Data Entry'!$Ç$519), "", 'Data Entry'!$Ç$519)</f>
      </c>
      <c r="EF519">
        <f>IF(ISBLANK('Data Entry'!$È$519), "", 'Data Entry'!$È$519)</f>
      </c>
      <c r="EG519">
        <f>IF(ISBLANK('Data Entry'!$É$519), "", 'Data Entry'!$É$519)</f>
      </c>
      <c r="EH519">
        <f>IF(ISBLANK('Data Entry'!$Ê$519), "", 'Data Entry'!$Ê$519)</f>
      </c>
      <c r="EI519">
        <f>IF(ISBLANK('Data Entry'!$Ë$519), "", 'Data Entry'!$Ë$519)</f>
      </c>
      <c r="EJ519">
        <f>IF(ISBLANK('Data Entry'!$Ì$519), "", 'Data Entry'!$Ì$519)</f>
      </c>
      <c r="EK519">
        <f>IF(ISBLANK('Data Entry'!$Í$519), "", 'Data Entry'!$Í$519)</f>
      </c>
      <c r="EL519">
        <f>IF(ISBLANK('Data Entry'!$Î$519), "", 'Data Entry'!$Î$519)</f>
      </c>
      <c r="EM519">
        <f>IF(ISBLANK('Data Entry'!$Ï$519), "", 'Data Entry'!$Ï$519)</f>
      </c>
      <c r="EN519">
        <f>IF(ISBLANK('Data Entry'!$Ð$519), "", 'Data Entry'!$Ð$519)</f>
      </c>
      <c r="EO519">
        <f>IF(ISBLANK('Data Entry'!$Ñ$519), "", 'Data Entry'!$Ñ$519)</f>
      </c>
      <c r="EP519">
        <f>IF(ISBLANK('Data Entry'!$Ò$519), "", 'Data Entry'!$Ò$519)</f>
      </c>
      <c r="EQ519">
        <f>IF(ISBLANK('Data Entry'!$Ó$519), "", 'Data Entry'!$Ó$519)</f>
      </c>
      <c r="ER519">
        <f>IF(ISBLANK('Data Entry'!$Ô$519), "", 'Data Entry'!$Ô$519)</f>
      </c>
      <c r="ES519">
        <f>IF(ISBLANK('Data Entry'!$Õ$519), "", 'Data Entry'!$Õ$519)</f>
      </c>
      <c r="ET519">
        <f>IF(ISBLANK('Data Entry'!$Ö$519), "", 'Data Entry'!$Ö$519)</f>
      </c>
      <c r="EU519">
        <f>IF(ISBLANK('Data Entry'!$×$519), "", 'Data Entry'!$×$519)</f>
      </c>
      <c r="EV519">
        <f>IF(ISBLANK('Data Entry'!$Ø$519), "", 'Data Entry'!$Ø$519)</f>
      </c>
      <c r="EW519">
        <f>IF(ISBLANK('Data Entry'!$Ù$519), "", 'Data Entry'!$Ù$519)</f>
      </c>
      <c r="EX519">
        <f>IF(ISBLANK('Data Entry'!$Ú$519), "", 'Data Entry'!$Ú$519)</f>
      </c>
      <c r="EY519">
        <f>IF(ISBLANK('Data Entry'!$Û$519), "", 'Data Entry'!$Û$519)</f>
      </c>
      <c r="EZ519">
        <f>IF(ISBLANK('Data Entry'!$Ü$519), "", 'Data Entry'!$Ü$519)</f>
      </c>
      <c r="FA519">
        <f>IF(ISBLANK('Data Entry'!$Ý$519), "", 'Data Entry'!$Ý$519)</f>
      </c>
      <c r="FB519">
        <f>IF(ISBLANK('Data Entry'!$Þ$519), "", 'Data Entry'!$Þ$519)</f>
      </c>
      <c r="FC519">
        <f>IF(ISBLANK('Data Entry'!$ß$519), "", 'Data Entry'!$ß$519)</f>
      </c>
      <c r="FD519">
        <f>IF(ISBLANK('Data Entry'!$à$519), "", 'Data Entry'!$à$519)</f>
      </c>
      <c r="FE519">
        <f>IF(ISBLANK('Data Entry'!$á$519), "", 'Data Entry'!$á$519)</f>
      </c>
      <c r="FF519">
        <f>IF(ISBLANK('Data Entry'!$â$519), "", 'Data Entry'!$â$519)</f>
      </c>
      <c r="FG519">
        <f>IF(ISBLANK('Data Entry'!$ã$519), "", 'Data Entry'!$ã$519)</f>
      </c>
      <c r="FH519">
        <f>IF(ISBLANK('Data Entry'!$ä$519), "", 'Data Entry'!$ä$519)</f>
      </c>
      <c r="FI519">
        <f>IF(ISBLANK('Data Entry'!$å$519), "", 'Data Entry'!$å$519)</f>
      </c>
      <c r="FJ519">
        <f>IF(ISBLANK('Data Entry'!$æ$519), "", 'Data Entry'!$æ$519)</f>
      </c>
      <c r="FK519">
        <f>IF(ISBLANK('Data Entry'!$ç$519), "", 'Data Entry'!$ç$519)</f>
      </c>
      <c r="FL519">
        <f>IF(ISBLANK('Data Entry'!$è$519), "", 'Data Entry'!$è$519)</f>
      </c>
      <c r="FM519">
        <f>IF(ISBLANK('Data Entry'!$é$519), "", 'Data Entry'!$é$519)</f>
      </c>
      <c r="FN519">
        <f>IF(ISBLANK('Data Entry'!$ê$519), "", 'Data Entry'!$ê$519)</f>
      </c>
      <c r="FO519">
        <f>IF(ISBLANK('Data Entry'!$ë$519), "", 'Data Entry'!$ë$519)</f>
      </c>
      <c r="FP519">
        <f>IF(ISBLANK('Data Entry'!$ì$519), "", 'Data Entry'!$ì$519)</f>
      </c>
      <c r="FQ519">
        <f>IF(ISBLANK('Data Entry'!$í$519), "", 'Data Entry'!$í$519)</f>
      </c>
      <c r="FR519">
        <f>IF(ISBLANK('Data Entry'!$î$519), "", 'Data Entry'!$î$519)</f>
      </c>
      <c r="FS519">
        <f>IF(ISBLANK('Data Entry'!$ï$519), "", 'Data Entry'!$ï$519)</f>
      </c>
      <c r="FT519">
        <f>IF(ISBLANK('Data Entry'!$ð$519), "", 'Data Entry'!$ð$519)</f>
      </c>
      <c r="FU519">
        <f>IF(ISBLANK('Data Entry'!$ñ$519), "", 'Data Entry'!$ñ$519)</f>
      </c>
      <c r="FV519">
        <f>IF(ISBLANK('Data Entry'!$ò$519), "", 'Data Entry'!$ò$519)</f>
      </c>
      <c r="FW519">
        <f>IF(ISBLANK('Data Entry'!$ó$519), "", 'Data Entry'!$ó$519)</f>
      </c>
      <c r="FX519">
        <f>IF(ISBLANK('Data Entry'!$ô$519), "", 'Data Entry'!$ô$519)</f>
      </c>
      <c r="FY519">
        <f>IF(ISBLANK('Data Entry'!$õ$519), "", 'Data Entry'!$õ$519)</f>
      </c>
      <c r="FZ519">
        <f>IF(ISBLANK('Data Entry'!$ö$519), "", 'Data Entry'!$ö$519)</f>
      </c>
      <c r="GA519">
        <f>IF(ISBLANK('Data Entry'!$÷$519), "", 'Data Entry'!$÷$519)</f>
      </c>
      <c r="GB519">
        <f>IF(ISBLANK('Data Entry'!$ø$519), "", 'Data Entry'!$ø$519)</f>
      </c>
      <c r="GC519">
        <f>IF(ISBLANK('Data Entry'!$ù$519), "", 'Data Entry'!$ù$519)</f>
      </c>
      <c r="GD519">
        <f>IF(ISBLANK('Data Entry'!$ú$519), "", 'Data Entry'!$ú$519)</f>
      </c>
      <c r="GE519">
        <f>IF(ISBLANK('Data Entry'!$û$519), "", 'Data Entry'!$û$519)</f>
      </c>
      <c r="GF519">
        <f>IF(ISBLANK('Data Entry'!$ü$519), "", 'Data Entry'!$ü$519)</f>
      </c>
      <c r="GG519">
        <f>IF(ISBLANK('Data Entry'!$ý$519), "", 'Data Entry'!$ý$519)</f>
      </c>
      <c r="GH519">
        <f>IF(ISBLANK('Data Entry'!$þ$519), "", 'Data Entry'!$þ$519)</f>
      </c>
      <c r="GI519">
        <f>IF(ISBLANK('Data Entry'!$ÿ$519), "", 'Data Entry'!$ÿ$519)</f>
      </c>
      <c r="GJ519">
        <f>IF(ISBLANK('Data Entry'!$Ā$519), "", 'Data Entry'!$Ā$519)</f>
      </c>
      <c r="GK519">
        <f>IF(ISBLANK('Data Entry'!$ā$519), "", 'Data Entry'!$ā$519)</f>
      </c>
      <c r="GL519">
        <f>IF(ISBLANK('Data Entry'!$Ă$519), "", 'Data Entry'!$Ă$519)</f>
      </c>
      <c r="GM519">
        <f>IF(ISBLANK('Data Entry'!$ă$519), "", 'Data Entry'!$ă$519)</f>
      </c>
      <c r="GN519">
        <f>IF(ISBLANK('Data Entry'!$Ą$519), "", 'Data Entry'!$Ą$519)</f>
      </c>
      <c r="GO519">
        <f>IF(ISBLANK('Data Entry'!$ą$519), "", 'Data Entry'!$ą$519)</f>
      </c>
      <c r="GP519">
        <f>IF(ISBLANK('Data Entry'!$Ć$519), "", 'Data Entry'!$Ć$519)</f>
      </c>
      <c r="GQ519">
        <f>IF(ISBLANK('Data Entry'!$ć$519), "", 'Data Entry'!$ć$519)</f>
      </c>
      <c r="GR519">
        <f>IF(ISBLANK('Data Entry'!$Ĉ$519), "", 'Data Entry'!$Ĉ$519)</f>
      </c>
      <c r="GS519">
        <f>IF(ISBLANK('Data Entry'!$ĉ$519), "", 'Data Entry'!$ĉ$519)</f>
      </c>
      <c r="GT519">
        <f>IF(ISBLANK('Data Entry'!$Ċ$519), "", 'Data Entry'!$Ċ$519)</f>
      </c>
      <c r="GU519">
        <f>IF(ISBLANK('Data Entry'!$ċ$519), "", 'Data Entry'!$ċ$519)</f>
      </c>
      <c r="GV519">
        <f>IF(ISBLANK('Data Entry'!$Č$519), "", 'Data Entry'!$Č$519)</f>
      </c>
      <c r="GW519">
        <f>IF(ISBLANK('Data Entry'!$č$519), "", 'Data Entry'!$č$519)</f>
      </c>
      <c r="GX519">
        <f>IF(ISBLANK('Data Entry'!$Ď$519), "", 'Data Entry'!$Ď$519)</f>
      </c>
      <c r="GY519">
        <f>IF(ISBLANK('Data Entry'!$ď$519), "", 'Data Entry'!$ď$519)</f>
      </c>
      <c r="GZ519">
        <f>IF(ISBLANK('Data Entry'!$Đ$519), "", 'Data Entry'!$Đ$519)</f>
      </c>
      <c r="HA519">
        <f>IF(ISBLANK('Data Entry'!$đ$519), "", 'Data Entry'!$đ$519)</f>
      </c>
      <c r="HB519">
        <f>IF(ISBLANK('Data Entry'!$Ē$519), "", 'Data Entry'!$Ē$519)</f>
      </c>
      <c r="HC519">
        <f>IF(ISBLANK('Data Entry'!$ē$519), "", 'Data Entry'!$ē$519)</f>
      </c>
      <c r="HD519">
        <f>IF(ISBLANK('Data Entry'!$Ĕ$519), "", 'Data Entry'!$Ĕ$519)</f>
      </c>
      <c r="HE519">
        <f>IF(ISBLANK('Data Entry'!$ĕ$519), "", 'Data Entry'!$ĕ$519)</f>
      </c>
      <c r="HF519">
        <f>IF(ISBLANK('Data Entry'!$Ė$519), "", 'Data Entry'!$Ė$519)</f>
      </c>
      <c r="HG519">
        <f>IF(ISBLANK('Data Entry'!$ė$519), "", 'Data Entry'!$ė$519)</f>
      </c>
      <c r="HH519">
        <f>IF(ISBLANK('Data Entry'!$Ę$519), "", 'Data Entry'!$Ę$519)</f>
      </c>
      <c r="HI519">
        <f>IF(ISBLANK('Data Entry'!$ę$519), "", 'Data Entry'!$ę$519)</f>
      </c>
      <c r="HJ519">
        <f>IF(ISBLANK('Data Entry'!$Ě$519), "", 'Data Entry'!$Ě$519)</f>
      </c>
      <c r="HK519">
        <f>IF(ISBLANK('Data Entry'!$ě$519), "", 'Data Entry'!$ě$519)</f>
      </c>
      <c r="HL519">
        <f>IF(ISBLANK('Data Entry'!$Ĝ$519), "", 'Data Entry'!$Ĝ$519)</f>
      </c>
      <c r="HM519">
        <f>IF(ISBLANK('Data Entry'!$ĝ$519), "", 'Data Entry'!$ĝ$519)</f>
      </c>
      <c r="HN519">
        <f>IF(ISBLANK('Data Entry'!$Ğ$519), "", 'Data Entry'!$Ğ$519)</f>
      </c>
      <c r="HO519">
        <f>IF(ISBLANK('Data Entry'!$ğ$519), "", 'Data Entry'!$ğ$519)</f>
      </c>
      <c r="HP519">
        <f>IF(ISBLANK('Data Entry'!$Ġ$519), "", 'Data Entry'!$Ġ$519)</f>
      </c>
      <c r="HQ519">
        <f>IF(ISBLANK('Data Entry'!$ġ$519), "", 'Data Entry'!$ġ$519)</f>
      </c>
      <c r="HR519">
        <f>IF(ISBLANK('Data Entry'!$Ģ$519), "", 'Data Entry'!$Ģ$519)</f>
      </c>
      <c r="HS519">
        <f>IF(ISBLANK('Data Entry'!$ģ$519), "", 'Data Entry'!$ģ$519)</f>
      </c>
      <c r="HT519">
        <f>IF(ISBLANK('Data Entry'!$Ĥ$519), "", 'Data Entry'!$Ĥ$519)</f>
      </c>
      <c r="HU519">
        <f>IF(ISBLANK('Data Entry'!$ĥ$519), "", 'Data Entry'!$ĥ$519)</f>
      </c>
      <c r="HV519">
        <f>IF(ISBLANK('Data Entry'!$Ħ$519), "", 'Data Entry'!$Ħ$519)</f>
      </c>
      <c r="HW519">
        <f>IF(ISBLANK('Data Entry'!$ħ$519), "", 'Data Entry'!$ħ$519)</f>
      </c>
      <c r="HX519">
        <f>IF(ISBLANK('Data Entry'!$Ĩ$519), "", 'Data Entry'!$Ĩ$519)</f>
      </c>
      <c r="HY519">
        <f>IF(ISBLANK('Data Entry'!$ĩ$519), "", 'Data Entry'!$ĩ$519)</f>
      </c>
      <c r="HZ519">
        <f>IF(ISBLANK('Data Entry'!$Ī$519), "", 'Data Entry'!$Ī$519)</f>
      </c>
      <c r="IA519">
        <f>IF(ISBLANK('Data Entry'!$ī$519), "", 'Data Entry'!$ī$519)</f>
      </c>
      <c r="IB519">
        <f>IF(ISBLANK('Data Entry'!$Ĭ$519), "", 'Data Entry'!$Ĭ$519)</f>
      </c>
      <c r="IC519">
        <f>IF(ISBLANK('Data Entry'!$ĭ$519), "", 'Data Entry'!$ĭ$519)</f>
      </c>
      <c r="ID519">
        <f>IF(ISBLANK('Data Entry'!$Į$519), "", 'Data Entry'!$Į$519)</f>
      </c>
      <c r="IE519">
        <f>IF(ISBLANK('Data Entry'!$į$519), "", 'Data Entry'!$į$519)</f>
      </c>
      <c r="IF519">
        <f>IF(ISBLANK('Data Entry'!$İ$519), "", 'Data Entry'!$İ$519)</f>
      </c>
      <c r="IG519">
        <f>IF(ISBLANK('Data Entry'!$ı$519), "", 'Data Entry'!$ı$519)</f>
      </c>
      <c r="IH519">
        <f>IF(ISBLANK('Data Entry'!$Ĳ$519), "", 'Data Entry'!$Ĳ$519)</f>
      </c>
      <c r="II519">
        <f>IF(ISBLANK('Data Entry'!$ĳ$519), "", 'Data Entry'!$ĳ$519)</f>
      </c>
      <c r="IJ519">
        <f>IF(ISBLANK('Data Entry'!$Ĵ$519), "", 'Data Entry'!$Ĵ$519)</f>
      </c>
      <c r="IK519">
        <f>IF(ISBLANK('Data Entry'!$ĵ$519), "", 'Data Entry'!$ĵ$519)</f>
      </c>
      <c r="IL519">
        <f>IF(ISBLANK('Data Entry'!$Ķ$519), "", 'Data Entry'!$Ķ$519)</f>
      </c>
      <c r="IM519">
        <f>IF(ISBLANK('Data Entry'!$ķ$519), "", 'Data Entry'!$ķ$519)</f>
      </c>
      <c r="IN519">
        <f>IF(ISBLANK('Data Entry'!$ĸ$519), "", 'Data Entry'!$ĸ$519)</f>
      </c>
      <c r="IO519">
        <f>IF(ISBLANK('Data Entry'!$Ĺ$519), "", 'Data Entry'!$Ĺ$519)</f>
      </c>
      <c r="IP519">
        <f>IF(ISBLANK('Data Entry'!$ĺ$519), "", 'Data Entry'!$ĺ$519)</f>
      </c>
      <c r="IQ519">
        <f>IF(ISBLANK('Data Entry'!$Ļ$519), "", 'Data Entry'!$Ļ$519)</f>
      </c>
      <c r="IR519">
        <f>IF(ISBLANK('Data Entry'!$ļ$519), "", 'Data Entry'!$ļ$519)</f>
      </c>
      <c r="IS519">
        <f>IF(ISBLANK('Data Entry'!$Ľ$519), "", 'Data Entry'!$Ľ$519)</f>
      </c>
      <c r="IT519">
        <f>IF(ISBLANK('Data Entry'!$ľ$519), "", 'Data Entry'!$ľ$519)</f>
      </c>
    </row>
    <row r="520" spans="1:254" x14ac:dyDescent="0.25">
      <c r="A520">
        <f>IF(ISBLANK('Data Entry'!$A$520), "", 'Data Entry'!$A$520)</f>
      </c>
      <c r="B520">
        <f>IF(ISBLANK('Data Entry'!$B$520), "", 'Data Entry'!$B$520)</f>
      </c>
      <c r="C520">
        <f>IF(ISBLANK('Data Entry'!$C$520), "", 'Data Entry'!$C$520)</f>
      </c>
      <c r="D520">
        <f>IF(ISBLANK('Data Entry'!$D$520), "", 'Data Entry'!$D$520)</f>
      </c>
      <c r="E520">
        <f>IF(ISBLANK('Data Entry'!$E$520), "", 'Data Entry'!$E$520)</f>
      </c>
      <c r="F520">
        <f>IF(ISBLANK('Data Entry'!$F$520), "", 'Data Entry'!$F$520)</f>
      </c>
      <c r="G520">
        <f>IF(ISBLANK('Data Entry'!$G$520), "", 'Data Entry'!$G$520)</f>
      </c>
      <c r="H520">
        <f>IF(ISBLANK('Data Entry'!$H$520), "", 'Data Entry'!$H$520)</f>
      </c>
      <c r="I520">
        <f>IF(ISBLANK('Data Entry'!$I$520), "", 'Data Entry'!$I$520)</f>
      </c>
      <c r="J520">
        <f>IF(ISBLANK('Data Entry'!$J$520), "", 'Data Entry'!$J$520)</f>
      </c>
      <c r="K520">
        <f>IF(ISBLANK('Data Entry'!$K$520), "", 'Data Entry'!$K$520)</f>
      </c>
      <c r="L520">
        <f>IF(ISBLANK('Data Entry'!$L$520), "", 'Data Entry'!$L$520)</f>
      </c>
      <c r="M520">
        <f>IF(ISBLANK('Data Entry'!$M$520), "", 'Data Entry'!$M$520)</f>
      </c>
      <c r="N520">
        <f>IF(ISBLANK('Data Entry'!$N$520), "", 'Data Entry'!$N$520)</f>
      </c>
      <c r="O520">
        <f>IF(ISBLANK('Data Entry'!$O$520), "", 'Data Entry'!$O$520)</f>
      </c>
      <c r="P520">
        <f>IF(ISBLANK('Data Entry'!$P$520), "", 'Data Entry'!$P$520)</f>
      </c>
      <c r="Q520">
        <f>IF(ISBLANK('Data Entry'!$Q$520), "", 'Data Entry'!$Q$520)</f>
      </c>
      <c r="R520">
        <f>IF(ISBLANK('Data Entry'!$R$520), "", 'Data Entry'!$R$520)</f>
      </c>
      <c r="S520">
        <f>IF(ISBLANK('Data Entry'!$S$520), "", 'Data Entry'!$S$520)</f>
      </c>
      <c r="T520">
        <f>IF(ISBLANK('Data Entry'!$T$520), "", 'Data Entry'!$T$520)</f>
      </c>
      <c r="U520">
        <f>IF(ISBLANK('Data Entry'!$U$520), "", 'Data Entry'!$U$520)</f>
      </c>
      <c r="V520">
        <f>IF(ISBLANK('Data Entry'!$V$520), "", 'Data Entry'!$V$520)</f>
      </c>
      <c r="W520">
        <f>IF(ISBLANK('Data Entry'!$W$520), "", 'Data Entry'!$W$520)</f>
      </c>
      <c r="X520">
        <f>IF(ISBLANK('Data Entry'!$X$520), "", 'Data Entry'!$X$520)</f>
      </c>
      <c r="Y520">
        <f>IF(ISBLANK('Data Entry'!$Y$520), "", 'Data Entry'!$Y$520)</f>
      </c>
      <c r="Z520">
        <f>IF(ISBLANK('Data Entry'!$Z$520), "", 'Data Entry'!$Z$520)</f>
      </c>
      <c r="AA520">
        <f>IF(ISBLANK('Data Entry'!$[$520), "", 'Data Entry'!$[$520)</f>
      </c>
      <c r="AB520">
        <f>IF(ISBLANK('Data Entry'!$\$520), "", 'Data Entry'!$\$520)</f>
      </c>
      <c r="AC520">
        <f>IF(ISBLANK('Data Entry'!$]$520), "", 'Data Entry'!$]$520)</f>
      </c>
      <c r="AD520">
        <f>IF(ISBLANK('Data Entry'!$^$520), "", 'Data Entry'!$^$520)</f>
      </c>
      <c r="AE520">
        <f>IF(ISBLANK('Data Entry'!$_$520), "", 'Data Entry'!$_$520)</f>
      </c>
      <c r="AF520">
        <f>IF(ISBLANK('Data Entry'!$`$520), "", 'Data Entry'!$`$520)</f>
      </c>
      <c r="AG520">
        <f>IF(ISBLANK('Data Entry'!$a$520), "", 'Data Entry'!$a$520)</f>
      </c>
      <c r="AH520">
        <f>IF(ISBLANK('Data Entry'!$b$520), "", 'Data Entry'!$b$520)</f>
      </c>
      <c r="AI520">
        <f>IF(ISBLANK('Data Entry'!$c$520), "", 'Data Entry'!$c$520)</f>
      </c>
      <c r="AJ520">
        <f>IF(ISBLANK('Data Entry'!$d$520), "", 'Data Entry'!$d$520)</f>
      </c>
      <c r="AK520">
        <f>IF(ISBLANK('Data Entry'!$e$520), "", 'Data Entry'!$e$520)</f>
      </c>
      <c r="AL520">
        <f>IF(ISBLANK('Data Entry'!$f$520), "", 'Data Entry'!$f$520)</f>
      </c>
      <c r="AM520">
        <f>IF(ISBLANK('Data Entry'!$g$520), "", 'Data Entry'!$g$520)</f>
      </c>
      <c r="AN520">
        <f>IF(ISBLANK('Data Entry'!$h$520), "", 'Data Entry'!$h$520)</f>
      </c>
      <c r="AO520">
        <f>IF(ISBLANK('Data Entry'!$i$520), "", 'Data Entry'!$i$520)</f>
      </c>
      <c r="AP520">
        <f>IF(ISBLANK('Data Entry'!$j$520), "", 'Data Entry'!$j$520)</f>
      </c>
      <c r="AQ520">
        <f>IF(ISBLANK('Data Entry'!$k$520), "", 'Data Entry'!$k$520)</f>
      </c>
      <c r="AR520">
        <f>IF(ISBLANK('Data Entry'!$l$520), "", 'Data Entry'!$l$520)</f>
      </c>
      <c r="AS520">
        <f>IF(ISBLANK('Data Entry'!$m$520), "", 'Data Entry'!$m$520)</f>
      </c>
      <c r="AT520">
        <f>IF(ISBLANK('Data Entry'!$n$520), "", 'Data Entry'!$n$520)</f>
      </c>
      <c r="AU520">
        <f>IF(ISBLANK('Data Entry'!$o$520), "", 'Data Entry'!$o$520)</f>
      </c>
      <c r="AV520">
        <f>IF(ISBLANK('Data Entry'!$p$520), "", 'Data Entry'!$p$520)</f>
      </c>
      <c r="AW520">
        <f>IF(ISBLANK('Data Entry'!$q$520), "", 'Data Entry'!$q$520)</f>
      </c>
      <c r="AX520">
        <f>IF(ISBLANK('Data Entry'!$r$520), "", 'Data Entry'!$r$520)</f>
      </c>
      <c r="AY520">
        <f>IF(ISBLANK('Data Entry'!$s$520), "", 'Data Entry'!$s$520)</f>
      </c>
      <c r="AZ520">
        <f>IF(ISBLANK('Data Entry'!$t$520), "", 'Data Entry'!$t$520)</f>
      </c>
      <c r="BA520">
        <f>IF(ISBLANK('Data Entry'!$u$520), "", 'Data Entry'!$u$520)</f>
      </c>
      <c r="BB520">
        <f>IF(ISBLANK('Data Entry'!$v$520), "", 'Data Entry'!$v$520)</f>
      </c>
      <c r="BC520">
        <f>IF(ISBLANK('Data Entry'!$w$520), "", 'Data Entry'!$w$520)</f>
      </c>
      <c r="BD520">
        <f>IF(ISBLANK('Data Entry'!$x$520), "", 'Data Entry'!$x$520)</f>
      </c>
      <c r="BE520">
        <f>IF(ISBLANK('Data Entry'!$y$520), "", 'Data Entry'!$y$520)</f>
      </c>
      <c r="BF520">
        <f>IF(ISBLANK('Data Entry'!$z$520), "", 'Data Entry'!$z$520)</f>
      </c>
      <c r="BG520">
        <f>IF(ISBLANK('Data Entry'!${$520), "", 'Data Entry'!${$520)</f>
      </c>
      <c r="BH520">
        <f>IF(ISBLANK('Data Entry'!$|$520), "", 'Data Entry'!$|$520)</f>
      </c>
      <c r="BI520">
        <f>IF(ISBLANK('Data Entry'!$}$520), "", 'Data Entry'!$}$520)</f>
      </c>
      <c r="BJ520">
        <f>IF(ISBLANK('Data Entry'!$~$520), "", 'Data Entry'!$~$520)</f>
      </c>
      <c r="BK520">
        <f>IF(ISBLANK('Data Entry'!$$520), "", 'Data Entry'!$$520)</f>
      </c>
      <c r="BL520">
        <f>IF(ISBLANK('Data Entry'!$$520), "", 'Data Entry'!$$520)</f>
      </c>
      <c r="BM520">
        <f>IF(ISBLANK('Data Entry'!$$520), "", 'Data Entry'!$$520)</f>
      </c>
      <c r="BN520">
        <f>IF(ISBLANK('Data Entry'!$$520), "", 'Data Entry'!$$520)</f>
      </c>
      <c r="BO520">
        <f>IF(ISBLANK('Data Entry'!$$520), "", 'Data Entry'!$$520)</f>
      </c>
      <c r="BP520">
        <f>IF(ISBLANK('Data Entry'!$$520), "", 'Data Entry'!$$520)</f>
      </c>
      <c r="BQ520">
        <f>IF(ISBLANK('Data Entry'!$$520), "", 'Data Entry'!$$520)</f>
      </c>
      <c r="BR520">
        <f>IF(ISBLANK('Data Entry'!$$520), "", 'Data Entry'!$$520)</f>
      </c>
      <c r="BS520">
        <f>IF(ISBLANK('Data Entry'!$$520), "", 'Data Entry'!$$520)</f>
      </c>
      <c r="BT520">
        <f>IF(ISBLANK('Data Entry'!$$520), "", 'Data Entry'!$$520)</f>
      </c>
      <c r="BU520">
        <f>IF(ISBLANK('Data Entry'!$$520), "", 'Data Entry'!$$520)</f>
      </c>
      <c r="BV520">
        <f>IF(ISBLANK('Data Entry'!$$520), "", 'Data Entry'!$$520)</f>
      </c>
      <c r="BW520">
        <f>IF(ISBLANK('Data Entry'!$$520), "", 'Data Entry'!$$520)</f>
      </c>
      <c r="BX520">
        <f>IF(ISBLANK('Data Entry'!$$520), "", 'Data Entry'!$$520)</f>
      </c>
      <c r="BY520">
        <f>IF(ISBLANK('Data Entry'!$$520), "", 'Data Entry'!$$520)</f>
      </c>
      <c r="BZ520">
        <f>IF(ISBLANK('Data Entry'!$$520), "", 'Data Entry'!$$520)</f>
      </c>
      <c r="CA520">
        <f>IF(ISBLANK('Data Entry'!$$520), "", 'Data Entry'!$$520)</f>
      </c>
      <c r="CB520">
        <f>IF(ISBLANK('Data Entry'!$$520), "", 'Data Entry'!$$520)</f>
      </c>
      <c r="CC520">
        <f>IF(ISBLANK('Data Entry'!$$520), "", 'Data Entry'!$$520)</f>
      </c>
      <c r="CD520">
        <f>IF(ISBLANK('Data Entry'!$$520), "", 'Data Entry'!$$520)</f>
      </c>
      <c r="CE520">
        <f>IF(ISBLANK('Data Entry'!$$520), "", 'Data Entry'!$$520)</f>
      </c>
      <c r="CF520">
        <f>IF(ISBLANK('Data Entry'!$$520), "", 'Data Entry'!$$520)</f>
      </c>
      <c r="CG520">
        <f>IF(ISBLANK('Data Entry'!$$520), "", 'Data Entry'!$$520)</f>
      </c>
      <c r="CH520">
        <f>IF(ISBLANK('Data Entry'!$$520), "", 'Data Entry'!$$520)</f>
      </c>
      <c r="CI520">
        <f>IF(ISBLANK('Data Entry'!$$520), "", 'Data Entry'!$$520)</f>
      </c>
      <c r="CJ520">
        <f>IF(ISBLANK('Data Entry'!$$520), "", 'Data Entry'!$$520)</f>
      </c>
      <c r="CK520">
        <f>IF(ISBLANK('Data Entry'!$$520), "", 'Data Entry'!$$520)</f>
      </c>
      <c r="CL520">
        <f>IF(ISBLANK('Data Entry'!$$520), "", 'Data Entry'!$$520)</f>
      </c>
      <c r="CM520">
        <f>IF(ISBLANK('Data Entry'!$$520), "", 'Data Entry'!$$520)</f>
      </c>
      <c r="CN520">
        <f>IF(ISBLANK('Data Entry'!$$520), "", 'Data Entry'!$$520)</f>
      </c>
      <c r="CO520">
        <f>IF(ISBLANK('Data Entry'!$$520), "", 'Data Entry'!$$520)</f>
      </c>
      <c r="CP520">
        <f>IF(ISBLANK('Data Entry'!$$520), "", 'Data Entry'!$$520)</f>
      </c>
      <c r="CQ520">
        <f>IF(ISBLANK('Data Entry'!$$520), "", 'Data Entry'!$$520)</f>
      </c>
      <c r="CR520">
        <f>IF(ISBLANK('Data Entry'!$ $520), "", 'Data Entry'!$ $520)</f>
      </c>
      <c r="CS520">
        <f>IF(ISBLANK('Data Entry'!$¡$520), "", 'Data Entry'!$¡$520)</f>
      </c>
      <c r="CT520">
        <f>IF(ISBLANK('Data Entry'!$¢$520), "", 'Data Entry'!$¢$520)</f>
      </c>
      <c r="CU520">
        <f>IF(ISBLANK('Data Entry'!$£$520), "", 'Data Entry'!$£$520)</f>
      </c>
      <c r="CV520">
        <f>IF(ISBLANK('Data Entry'!$¤$520), "", 'Data Entry'!$¤$520)</f>
      </c>
      <c r="CW520">
        <f>IF(ISBLANK('Data Entry'!$¥$520), "", 'Data Entry'!$¥$520)</f>
      </c>
      <c r="CX520">
        <f>IF(ISBLANK('Data Entry'!$¦$520), "", 'Data Entry'!$¦$520)</f>
      </c>
      <c r="CY520">
        <f>IF(ISBLANK('Data Entry'!$§$520), "", 'Data Entry'!$§$520)</f>
      </c>
      <c r="CZ520">
        <f>IF(ISBLANK('Data Entry'!$¨$520), "", 'Data Entry'!$¨$520)</f>
      </c>
      <c r="DA520">
        <f>IF(ISBLANK('Data Entry'!$©$520), "", 'Data Entry'!$©$520)</f>
      </c>
      <c r="DB520">
        <f>IF(ISBLANK('Data Entry'!$ª$520), "", 'Data Entry'!$ª$520)</f>
      </c>
      <c r="DC520">
        <f>IF(ISBLANK('Data Entry'!$«$520), "", 'Data Entry'!$«$520)</f>
      </c>
      <c r="DD520">
        <f>IF(ISBLANK('Data Entry'!$¬$520), "", 'Data Entry'!$¬$520)</f>
      </c>
      <c r="DE520">
        <f>IF(ISBLANK('Data Entry'!$­$520), "", 'Data Entry'!$­$520)</f>
      </c>
      <c r="DF520">
        <f>IF(ISBLANK('Data Entry'!$®$520), "", 'Data Entry'!$®$520)</f>
      </c>
      <c r="DG520">
        <f>IF(ISBLANK('Data Entry'!$¯$520), "", 'Data Entry'!$¯$520)</f>
      </c>
      <c r="DH520">
        <f>IF(ISBLANK('Data Entry'!$°$520), "", 'Data Entry'!$°$520)</f>
      </c>
      <c r="DI520">
        <f>IF(ISBLANK('Data Entry'!$±$520), "", 'Data Entry'!$±$520)</f>
      </c>
      <c r="DJ520">
        <f>IF(ISBLANK('Data Entry'!$²$520), "", 'Data Entry'!$²$520)</f>
      </c>
      <c r="DK520">
        <f>IF(ISBLANK('Data Entry'!$³$520), "", 'Data Entry'!$³$520)</f>
      </c>
      <c r="DL520">
        <f>IF(ISBLANK('Data Entry'!$´$520), "", 'Data Entry'!$´$520)</f>
      </c>
      <c r="DM520">
        <f>IF(ISBLANK('Data Entry'!$µ$520), "", 'Data Entry'!$µ$520)</f>
      </c>
      <c r="DN520">
        <f>IF(ISBLANK('Data Entry'!$¶$520), "", 'Data Entry'!$¶$520)</f>
      </c>
      <c r="DO520">
        <f>IF(ISBLANK('Data Entry'!$·$520), "", 'Data Entry'!$·$520)</f>
      </c>
      <c r="DP520">
        <f>IF(ISBLANK('Data Entry'!$¸$520), "", 'Data Entry'!$¸$520)</f>
      </c>
      <c r="DQ520">
        <f>IF(ISBLANK('Data Entry'!$¹$520), "", 'Data Entry'!$¹$520)</f>
      </c>
      <c r="DR520">
        <f>IF(ISBLANK('Data Entry'!$º$520), "", 'Data Entry'!$º$520)</f>
      </c>
      <c r="DS520">
        <f>IF(ISBLANK('Data Entry'!$»$520), "", 'Data Entry'!$»$520)</f>
      </c>
      <c r="DT520">
        <f>IF(ISBLANK('Data Entry'!$¼$520), "", 'Data Entry'!$¼$520)</f>
      </c>
      <c r="DU520">
        <f>IF(ISBLANK('Data Entry'!$½$520), "", 'Data Entry'!$½$520)</f>
      </c>
      <c r="DV520">
        <f>IF(ISBLANK('Data Entry'!$¾$520), "", 'Data Entry'!$¾$520)</f>
      </c>
      <c r="DW520">
        <f>IF(ISBLANK('Data Entry'!$¿$520), "", 'Data Entry'!$¿$520)</f>
      </c>
      <c r="DX520">
        <f>IF(ISBLANK('Data Entry'!$À$520), "", 'Data Entry'!$À$520)</f>
      </c>
      <c r="DY520">
        <f>IF(ISBLANK('Data Entry'!$Á$520), "", 'Data Entry'!$Á$520)</f>
      </c>
      <c r="DZ520">
        <f>IF(ISBLANK('Data Entry'!$Â$520), "", 'Data Entry'!$Â$520)</f>
      </c>
      <c r="EA520">
        <f>IF(ISBLANK('Data Entry'!$Ã$520), "", 'Data Entry'!$Ã$520)</f>
      </c>
      <c r="EB520">
        <f>IF(ISBLANK('Data Entry'!$Ä$520), "", 'Data Entry'!$Ä$520)</f>
      </c>
      <c r="EC520">
        <f>IF(ISBLANK('Data Entry'!$Å$520), "", 'Data Entry'!$Å$520)</f>
      </c>
      <c r="ED520">
        <f>IF(ISBLANK('Data Entry'!$Æ$520), "", 'Data Entry'!$Æ$520)</f>
      </c>
      <c r="EE520">
        <f>IF(ISBLANK('Data Entry'!$Ç$520), "", 'Data Entry'!$Ç$520)</f>
      </c>
      <c r="EF520">
        <f>IF(ISBLANK('Data Entry'!$È$520), "", 'Data Entry'!$È$520)</f>
      </c>
      <c r="EG520">
        <f>IF(ISBLANK('Data Entry'!$É$520), "", 'Data Entry'!$É$520)</f>
      </c>
      <c r="EH520">
        <f>IF(ISBLANK('Data Entry'!$Ê$520), "", 'Data Entry'!$Ê$520)</f>
      </c>
      <c r="EI520">
        <f>IF(ISBLANK('Data Entry'!$Ë$520), "", 'Data Entry'!$Ë$520)</f>
      </c>
      <c r="EJ520">
        <f>IF(ISBLANK('Data Entry'!$Ì$520), "", 'Data Entry'!$Ì$520)</f>
      </c>
      <c r="EK520">
        <f>IF(ISBLANK('Data Entry'!$Í$520), "", 'Data Entry'!$Í$520)</f>
      </c>
      <c r="EL520">
        <f>IF(ISBLANK('Data Entry'!$Î$520), "", 'Data Entry'!$Î$520)</f>
      </c>
      <c r="EM520">
        <f>IF(ISBLANK('Data Entry'!$Ï$520), "", 'Data Entry'!$Ï$520)</f>
      </c>
      <c r="EN520">
        <f>IF(ISBLANK('Data Entry'!$Ð$520), "", 'Data Entry'!$Ð$520)</f>
      </c>
      <c r="EO520">
        <f>IF(ISBLANK('Data Entry'!$Ñ$520), "", 'Data Entry'!$Ñ$520)</f>
      </c>
      <c r="EP520">
        <f>IF(ISBLANK('Data Entry'!$Ò$520), "", 'Data Entry'!$Ò$520)</f>
      </c>
      <c r="EQ520">
        <f>IF(ISBLANK('Data Entry'!$Ó$520), "", 'Data Entry'!$Ó$520)</f>
      </c>
      <c r="ER520">
        <f>IF(ISBLANK('Data Entry'!$Ô$520), "", 'Data Entry'!$Ô$520)</f>
      </c>
      <c r="ES520">
        <f>IF(ISBLANK('Data Entry'!$Õ$520), "", 'Data Entry'!$Õ$520)</f>
      </c>
      <c r="ET520">
        <f>IF(ISBLANK('Data Entry'!$Ö$520), "", 'Data Entry'!$Ö$520)</f>
      </c>
      <c r="EU520">
        <f>IF(ISBLANK('Data Entry'!$×$520), "", 'Data Entry'!$×$520)</f>
      </c>
      <c r="EV520">
        <f>IF(ISBLANK('Data Entry'!$Ø$520), "", 'Data Entry'!$Ø$520)</f>
      </c>
      <c r="EW520">
        <f>IF(ISBLANK('Data Entry'!$Ù$520), "", 'Data Entry'!$Ù$520)</f>
      </c>
      <c r="EX520">
        <f>IF(ISBLANK('Data Entry'!$Ú$520), "", 'Data Entry'!$Ú$520)</f>
      </c>
      <c r="EY520">
        <f>IF(ISBLANK('Data Entry'!$Û$520), "", 'Data Entry'!$Û$520)</f>
      </c>
      <c r="EZ520">
        <f>IF(ISBLANK('Data Entry'!$Ü$520), "", 'Data Entry'!$Ü$520)</f>
      </c>
      <c r="FA520">
        <f>IF(ISBLANK('Data Entry'!$Ý$520), "", 'Data Entry'!$Ý$520)</f>
      </c>
      <c r="FB520">
        <f>IF(ISBLANK('Data Entry'!$Þ$520), "", 'Data Entry'!$Þ$520)</f>
      </c>
      <c r="FC520">
        <f>IF(ISBLANK('Data Entry'!$ß$520), "", 'Data Entry'!$ß$520)</f>
      </c>
      <c r="FD520">
        <f>IF(ISBLANK('Data Entry'!$à$520), "", 'Data Entry'!$à$520)</f>
      </c>
      <c r="FE520">
        <f>IF(ISBLANK('Data Entry'!$á$520), "", 'Data Entry'!$á$520)</f>
      </c>
      <c r="FF520">
        <f>IF(ISBLANK('Data Entry'!$â$520), "", 'Data Entry'!$â$520)</f>
      </c>
      <c r="FG520">
        <f>IF(ISBLANK('Data Entry'!$ã$520), "", 'Data Entry'!$ã$520)</f>
      </c>
      <c r="FH520">
        <f>IF(ISBLANK('Data Entry'!$ä$520), "", 'Data Entry'!$ä$520)</f>
      </c>
      <c r="FI520">
        <f>IF(ISBLANK('Data Entry'!$å$520), "", 'Data Entry'!$å$520)</f>
      </c>
      <c r="FJ520">
        <f>IF(ISBLANK('Data Entry'!$æ$520), "", 'Data Entry'!$æ$520)</f>
      </c>
      <c r="FK520">
        <f>IF(ISBLANK('Data Entry'!$ç$520), "", 'Data Entry'!$ç$520)</f>
      </c>
      <c r="FL520">
        <f>IF(ISBLANK('Data Entry'!$è$520), "", 'Data Entry'!$è$520)</f>
      </c>
      <c r="FM520">
        <f>IF(ISBLANK('Data Entry'!$é$520), "", 'Data Entry'!$é$520)</f>
      </c>
      <c r="FN520">
        <f>IF(ISBLANK('Data Entry'!$ê$520), "", 'Data Entry'!$ê$520)</f>
      </c>
      <c r="FO520">
        <f>IF(ISBLANK('Data Entry'!$ë$520), "", 'Data Entry'!$ë$520)</f>
      </c>
      <c r="FP520">
        <f>IF(ISBLANK('Data Entry'!$ì$520), "", 'Data Entry'!$ì$520)</f>
      </c>
      <c r="FQ520">
        <f>IF(ISBLANK('Data Entry'!$í$520), "", 'Data Entry'!$í$520)</f>
      </c>
      <c r="FR520">
        <f>IF(ISBLANK('Data Entry'!$î$520), "", 'Data Entry'!$î$520)</f>
      </c>
      <c r="FS520">
        <f>IF(ISBLANK('Data Entry'!$ï$520), "", 'Data Entry'!$ï$520)</f>
      </c>
      <c r="FT520">
        <f>IF(ISBLANK('Data Entry'!$ð$520), "", 'Data Entry'!$ð$520)</f>
      </c>
      <c r="FU520">
        <f>IF(ISBLANK('Data Entry'!$ñ$520), "", 'Data Entry'!$ñ$520)</f>
      </c>
      <c r="FV520">
        <f>IF(ISBLANK('Data Entry'!$ò$520), "", 'Data Entry'!$ò$520)</f>
      </c>
      <c r="FW520">
        <f>IF(ISBLANK('Data Entry'!$ó$520), "", 'Data Entry'!$ó$520)</f>
      </c>
      <c r="FX520">
        <f>IF(ISBLANK('Data Entry'!$ô$520), "", 'Data Entry'!$ô$520)</f>
      </c>
      <c r="FY520">
        <f>IF(ISBLANK('Data Entry'!$õ$520), "", 'Data Entry'!$õ$520)</f>
      </c>
      <c r="FZ520">
        <f>IF(ISBLANK('Data Entry'!$ö$520), "", 'Data Entry'!$ö$520)</f>
      </c>
      <c r="GA520">
        <f>IF(ISBLANK('Data Entry'!$÷$520), "", 'Data Entry'!$÷$520)</f>
      </c>
      <c r="GB520">
        <f>IF(ISBLANK('Data Entry'!$ø$520), "", 'Data Entry'!$ø$520)</f>
      </c>
      <c r="GC520">
        <f>IF(ISBLANK('Data Entry'!$ù$520), "", 'Data Entry'!$ù$520)</f>
      </c>
      <c r="GD520">
        <f>IF(ISBLANK('Data Entry'!$ú$520), "", 'Data Entry'!$ú$520)</f>
      </c>
      <c r="GE520">
        <f>IF(ISBLANK('Data Entry'!$û$520), "", 'Data Entry'!$û$520)</f>
      </c>
      <c r="GF520">
        <f>IF(ISBLANK('Data Entry'!$ü$520), "", 'Data Entry'!$ü$520)</f>
      </c>
      <c r="GG520">
        <f>IF(ISBLANK('Data Entry'!$ý$520), "", 'Data Entry'!$ý$520)</f>
      </c>
      <c r="GH520">
        <f>IF(ISBLANK('Data Entry'!$þ$520), "", 'Data Entry'!$þ$520)</f>
      </c>
      <c r="GI520">
        <f>IF(ISBLANK('Data Entry'!$ÿ$520), "", 'Data Entry'!$ÿ$520)</f>
      </c>
      <c r="GJ520">
        <f>IF(ISBLANK('Data Entry'!$Ā$520), "", 'Data Entry'!$Ā$520)</f>
      </c>
      <c r="GK520">
        <f>IF(ISBLANK('Data Entry'!$ā$520), "", 'Data Entry'!$ā$520)</f>
      </c>
      <c r="GL520">
        <f>IF(ISBLANK('Data Entry'!$Ă$520), "", 'Data Entry'!$Ă$520)</f>
      </c>
      <c r="GM520">
        <f>IF(ISBLANK('Data Entry'!$ă$520), "", 'Data Entry'!$ă$520)</f>
      </c>
      <c r="GN520">
        <f>IF(ISBLANK('Data Entry'!$Ą$520), "", 'Data Entry'!$Ą$520)</f>
      </c>
      <c r="GO520">
        <f>IF(ISBLANK('Data Entry'!$ą$520), "", 'Data Entry'!$ą$520)</f>
      </c>
      <c r="GP520">
        <f>IF(ISBLANK('Data Entry'!$Ć$520), "", 'Data Entry'!$Ć$520)</f>
      </c>
      <c r="GQ520">
        <f>IF(ISBLANK('Data Entry'!$ć$520), "", 'Data Entry'!$ć$520)</f>
      </c>
      <c r="GR520">
        <f>IF(ISBLANK('Data Entry'!$Ĉ$520), "", 'Data Entry'!$Ĉ$520)</f>
      </c>
      <c r="GS520">
        <f>IF(ISBLANK('Data Entry'!$ĉ$520), "", 'Data Entry'!$ĉ$520)</f>
      </c>
      <c r="GT520">
        <f>IF(ISBLANK('Data Entry'!$Ċ$520), "", 'Data Entry'!$Ċ$520)</f>
      </c>
      <c r="GU520">
        <f>IF(ISBLANK('Data Entry'!$ċ$520), "", 'Data Entry'!$ċ$520)</f>
      </c>
      <c r="GV520">
        <f>IF(ISBLANK('Data Entry'!$Č$520), "", 'Data Entry'!$Č$520)</f>
      </c>
      <c r="GW520">
        <f>IF(ISBLANK('Data Entry'!$č$520), "", 'Data Entry'!$č$520)</f>
      </c>
      <c r="GX520">
        <f>IF(ISBLANK('Data Entry'!$Ď$520), "", 'Data Entry'!$Ď$520)</f>
      </c>
      <c r="GY520">
        <f>IF(ISBLANK('Data Entry'!$ď$520), "", 'Data Entry'!$ď$520)</f>
      </c>
      <c r="GZ520">
        <f>IF(ISBLANK('Data Entry'!$Đ$520), "", 'Data Entry'!$Đ$520)</f>
      </c>
      <c r="HA520">
        <f>IF(ISBLANK('Data Entry'!$đ$520), "", 'Data Entry'!$đ$520)</f>
      </c>
      <c r="HB520">
        <f>IF(ISBLANK('Data Entry'!$Ē$520), "", 'Data Entry'!$Ē$520)</f>
      </c>
      <c r="HC520">
        <f>IF(ISBLANK('Data Entry'!$ē$520), "", 'Data Entry'!$ē$520)</f>
      </c>
      <c r="HD520">
        <f>IF(ISBLANK('Data Entry'!$Ĕ$520), "", 'Data Entry'!$Ĕ$520)</f>
      </c>
      <c r="HE520">
        <f>IF(ISBLANK('Data Entry'!$ĕ$520), "", 'Data Entry'!$ĕ$520)</f>
      </c>
      <c r="HF520">
        <f>IF(ISBLANK('Data Entry'!$Ė$520), "", 'Data Entry'!$Ė$520)</f>
      </c>
      <c r="HG520">
        <f>IF(ISBLANK('Data Entry'!$ė$520), "", 'Data Entry'!$ė$520)</f>
      </c>
      <c r="HH520">
        <f>IF(ISBLANK('Data Entry'!$Ę$520), "", 'Data Entry'!$Ę$520)</f>
      </c>
      <c r="HI520">
        <f>IF(ISBLANK('Data Entry'!$ę$520), "", 'Data Entry'!$ę$520)</f>
      </c>
      <c r="HJ520">
        <f>IF(ISBLANK('Data Entry'!$Ě$520), "", 'Data Entry'!$Ě$520)</f>
      </c>
      <c r="HK520">
        <f>IF(ISBLANK('Data Entry'!$ě$520), "", 'Data Entry'!$ě$520)</f>
      </c>
      <c r="HL520">
        <f>IF(ISBLANK('Data Entry'!$Ĝ$520), "", 'Data Entry'!$Ĝ$520)</f>
      </c>
      <c r="HM520">
        <f>IF(ISBLANK('Data Entry'!$ĝ$520), "", 'Data Entry'!$ĝ$520)</f>
      </c>
      <c r="HN520">
        <f>IF(ISBLANK('Data Entry'!$Ğ$520), "", 'Data Entry'!$Ğ$520)</f>
      </c>
      <c r="HO520">
        <f>IF(ISBLANK('Data Entry'!$ğ$520), "", 'Data Entry'!$ğ$520)</f>
      </c>
      <c r="HP520">
        <f>IF(ISBLANK('Data Entry'!$Ġ$520), "", 'Data Entry'!$Ġ$520)</f>
      </c>
      <c r="HQ520">
        <f>IF(ISBLANK('Data Entry'!$ġ$520), "", 'Data Entry'!$ġ$520)</f>
      </c>
      <c r="HR520">
        <f>IF(ISBLANK('Data Entry'!$Ģ$520), "", 'Data Entry'!$Ģ$520)</f>
      </c>
      <c r="HS520">
        <f>IF(ISBLANK('Data Entry'!$ģ$520), "", 'Data Entry'!$ģ$520)</f>
      </c>
      <c r="HT520">
        <f>IF(ISBLANK('Data Entry'!$Ĥ$520), "", 'Data Entry'!$Ĥ$520)</f>
      </c>
      <c r="HU520">
        <f>IF(ISBLANK('Data Entry'!$ĥ$520), "", 'Data Entry'!$ĥ$520)</f>
      </c>
      <c r="HV520">
        <f>IF(ISBLANK('Data Entry'!$Ħ$520), "", 'Data Entry'!$Ħ$520)</f>
      </c>
      <c r="HW520">
        <f>IF(ISBLANK('Data Entry'!$ħ$520), "", 'Data Entry'!$ħ$520)</f>
      </c>
      <c r="HX520">
        <f>IF(ISBLANK('Data Entry'!$Ĩ$520), "", 'Data Entry'!$Ĩ$520)</f>
      </c>
      <c r="HY520">
        <f>IF(ISBLANK('Data Entry'!$ĩ$520), "", 'Data Entry'!$ĩ$520)</f>
      </c>
      <c r="HZ520">
        <f>IF(ISBLANK('Data Entry'!$Ī$520), "", 'Data Entry'!$Ī$520)</f>
      </c>
      <c r="IA520">
        <f>IF(ISBLANK('Data Entry'!$ī$520), "", 'Data Entry'!$ī$520)</f>
      </c>
      <c r="IB520">
        <f>IF(ISBLANK('Data Entry'!$Ĭ$520), "", 'Data Entry'!$Ĭ$520)</f>
      </c>
      <c r="IC520">
        <f>IF(ISBLANK('Data Entry'!$ĭ$520), "", 'Data Entry'!$ĭ$520)</f>
      </c>
      <c r="ID520">
        <f>IF(ISBLANK('Data Entry'!$Į$520), "", 'Data Entry'!$Į$520)</f>
      </c>
      <c r="IE520">
        <f>IF(ISBLANK('Data Entry'!$į$520), "", 'Data Entry'!$į$520)</f>
      </c>
      <c r="IF520">
        <f>IF(ISBLANK('Data Entry'!$İ$520), "", 'Data Entry'!$İ$520)</f>
      </c>
      <c r="IG520">
        <f>IF(ISBLANK('Data Entry'!$ı$520), "", 'Data Entry'!$ı$520)</f>
      </c>
      <c r="IH520">
        <f>IF(ISBLANK('Data Entry'!$Ĳ$520), "", 'Data Entry'!$Ĳ$520)</f>
      </c>
      <c r="II520">
        <f>IF(ISBLANK('Data Entry'!$ĳ$520), "", 'Data Entry'!$ĳ$520)</f>
      </c>
      <c r="IJ520">
        <f>IF(ISBLANK('Data Entry'!$Ĵ$520), "", 'Data Entry'!$Ĵ$520)</f>
      </c>
      <c r="IK520">
        <f>IF(ISBLANK('Data Entry'!$ĵ$520), "", 'Data Entry'!$ĵ$520)</f>
      </c>
      <c r="IL520">
        <f>IF(ISBLANK('Data Entry'!$Ķ$520), "", 'Data Entry'!$Ķ$520)</f>
      </c>
      <c r="IM520">
        <f>IF(ISBLANK('Data Entry'!$ķ$520), "", 'Data Entry'!$ķ$520)</f>
      </c>
      <c r="IN520">
        <f>IF(ISBLANK('Data Entry'!$ĸ$520), "", 'Data Entry'!$ĸ$520)</f>
      </c>
      <c r="IO520">
        <f>IF(ISBLANK('Data Entry'!$Ĺ$520), "", 'Data Entry'!$Ĺ$520)</f>
      </c>
      <c r="IP520">
        <f>IF(ISBLANK('Data Entry'!$ĺ$520), "", 'Data Entry'!$ĺ$520)</f>
      </c>
      <c r="IQ520">
        <f>IF(ISBLANK('Data Entry'!$Ļ$520), "", 'Data Entry'!$Ļ$520)</f>
      </c>
      <c r="IR520">
        <f>IF(ISBLANK('Data Entry'!$ļ$520), "", 'Data Entry'!$ļ$520)</f>
      </c>
      <c r="IS520">
        <f>IF(ISBLANK('Data Entry'!$Ľ$520), "", 'Data Entry'!$Ľ$520)</f>
      </c>
      <c r="IT520">
        <f>IF(ISBLANK('Data Entry'!$ľ$520), "", 'Data Entry'!$ľ$520)</f>
      </c>
    </row>
    <row r="521" spans="1:254" x14ac:dyDescent="0.25">
      <c r="A521">
        <f>IF(ISBLANK('Data Entry'!$A$521), "", 'Data Entry'!$A$521)</f>
      </c>
      <c r="B521">
        <f>IF(ISBLANK('Data Entry'!$B$521), "", 'Data Entry'!$B$521)</f>
      </c>
      <c r="C521">
        <f>IF(ISBLANK('Data Entry'!$C$521), "", 'Data Entry'!$C$521)</f>
      </c>
      <c r="D521">
        <f>IF(ISBLANK('Data Entry'!$D$521), "", 'Data Entry'!$D$521)</f>
      </c>
      <c r="E521">
        <f>IF(ISBLANK('Data Entry'!$E$521), "", 'Data Entry'!$E$521)</f>
      </c>
      <c r="F521">
        <f>IF(ISBLANK('Data Entry'!$F$521), "", 'Data Entry'!$F$521)</f>
      </c>
      <c r="G521">
        <f>IF(ISBLANK('Data Entry'!$G$521), "", 'Data Entry'!$G$521)</f>
      </c>
      <c r="H521">
        <f>IF(ISBLANK('Data Entry'!$H$521), "", 'Data Entry'!$H$521)</f>
      </c>
      <c r="I521">
        <f>IF(ISBLANK('Data Entry'!$I$521), "", 'Data Entry'!$I$521)</f>
      </c>
      <c r="J521">
        <f>IF(ISBLANK('Data Entry'!$J$521), "", 'Data Entry'!$J$521)</f>
      </c>
      <c r="K521">
        <f>IF(ISBLANK('Data Entry'!$K$521), "", 'Data Entry'!$K$521)</f>
      </c>
      <c r="L521">
        <f>IF(ISBLANK('Data Entry'!$L$521), "", 'Data Entry'!$L$521)</f>
      </c>
      <c r="M521">
        <f>IF(ISBLANK('Data Entry'!$M$521), "", 'Data Entry'!$M$521)</f>
      </c>
      <c r="N521">
        <f>IF(ISBLANK('Data Entry'!$N$521), "", 'Data Entry'!$N$521)</f>
      </c>
      <c r="O521">
        <f>IF(ISBLANK('Data Entry'!$O$521), "", 'Data Entry'!$O$521)</f>
      </c>
      <c r="P521">
        <f>IF(ISBLANK('Data Entry'!$P$521), "", 'Data Entry'!$P$521)</f>
      </c>
      <c r="Q521">
        <f>IF(ISBLANK('Data Entry'!$Q$521), "", 'Data Entry'!$Q$521)</f>
      </c>
      <c r="R521">
        <f>IF(ISBLANK('Data Entry'!$R$521), "", 'Data Entry'!$R$521)</f>
      </c>
      <c r="S521">
        <f>IF(ISBLANK('Data Entry'!$S$521), "", 'Data Entry'!$S$521)</f>
      </c>
      <c r="T521">
        <f>IF(ISBLANK('Data Entry'!$T$521), "", 'Data Entry'!$T$521)</f>
      </c>
      <c r="U521">
        <f>IF(ISBLANK('Data Entry'!$U$521), "", 'Data Entry'!$U$521)</f>
      </c>
      <c r="V521">
        <f>IF(ISBLANK('Data Entry'!$V$521), "", 'Data Entry'!$V$521)</f>
      </c>
      <c r="W521">
        <f>IF(ISBLANK('Data Entry'!$W$521), "", 'Data Entry'!$W$521)</f>
      </c>
      <c r="X521">
        <f>IF(ISBLANK('Data Entry'!$X$521), "", 'Data Entry'!$X$521)</f>
      </c>
      <c r="Y521">
        <f>IF(ISBLANK('Data Entry'!$Y$521), "", 'Data Entry'!$Y$521)</f>
      </c>
      <c r="Z521">
        <f>IF(ISBLANK('Data Entry'!$Z$521), "", 'Data Entry'!$Z$521)</f>
      </c>
      <c r="AA521">
        <f>IF(ISBLANK('Data Entry'!$[$521), "", 'Data Entry'!$[$521)</f>
      </c>
      <c r="AB521">
        <f>IF(ISBLANK('Data Entry'!$\$521), "", 'Data Entry'!$\$521)</f>
      </c>
      <c r="AC521">
        <f>IF(ISBLANK('Data Entry'!$]$521), "", 'Data Entry'!$]$521)</f>
      </c>
      <c r="AD521">
        <f>IF(ISBLANK('Data Entry'!$^$521), "", 'Data Entry'!$^$521)</f>
      </c>
      <c r="AE521">
        <f>IF(ISBLANK('Data Entry'!$_$521), "", 'Data Entry'!$_$521)</f>
      </c>
      <c r="AF521">
        <f>IF(ISBLANK('Data Entry'!$`$521), "", 'Data Entry'!$`$521)</f>
      </c>
      <c r="AG521">
        <f>IF(ISBLANK('Data Entry'!$a$521), "", 'Data Entry'!$a$521)</f>
      </c>
      <c r="AH521">
        <f>IF(ISBLANK('Data Entry'!$b$521), "", 'Data Entry'!$b$521)</f>
      </c>
      <c r="AI521">
        <f>IF(ISBLANK('Data Entry'!$c$521), "", 'Data Entry'!$c$521)</f>
      </c>
      <c r="AJ521">
        <f>IF(ISBLANK('Data Entry'!$d$521), "", 'Data Entry'!$d$521)</f>
      </c>
      <c r="AK521">
        <f>IF(ISBLANK('Data Entry'!$e$521), "", 'Data Entry'!$e$521)</f>
      </c>
      <c r="AL521">
        <f>IF(ISBLANK('Data Entry'!$f$521), "", 'Data Entry'!$f$521)</f>
      </c>
      <c r="AM521">
        <f>IF(ISBLANK('Data Entry'!$g$521), "", 'Data Entry'!$g$521)</f>
      </c>
      <c r="AN521">
        <f>IF(ISBLANK('Data Entry'!$h$521), "", 'Data Entry'!$h$521)</f>
      </c>
      <c r="AO521">
        <f>IF(ISBLANK('Data Entry'!$i$521), "", 'Data Entry'!$i$521)</f>
      </c>
      <c r="AP521">
        <f>IF(ISBLANK('Data Entry'!$j$521), "", 'Data Entry'!$j$521)</f>
      </c>
      <c r="AQ521">
        <f>IF(ISBLANK('Data Entry'!$k$521), "", 'Data Entry'!$k$521)</f>
      </c>
      <c r="AR521">
        <f>IF(ISBLANK('Data Entry'!$l$521), "", 'Data Entry'!$l$521)</f>
      </c>
      <c r="AS521">
        <f>IF(ISBLANK('Data Entry'!$m$521), "", 'Data Entry'!$m$521)</f>
      </c>
      <c r="AT521">
        <f>IF(ISBLANK('Data Entry'!$n$521), "", 'Data Entry'!$n$521)</f>
      </c>
      <c r="AU521">
        <f>IF(ISBLANK('Data Entry'!$o$521), "", 'Data Entry'!$o$521)</f>
      </c>
      <c r="AV521">
        <f>IF(ISBLANK('Data Entry'!$p$521), "", 'Data Entry'!$p$521)</f>
      </c>
      <c r="AW521">
        <f>IF(ISBLANK('Data Entry'!$q$521), "", 'Data Entry'!$q$521)</f>
      </c>
      <c r="AX521">
        <f>IF(ISBLANK('Data Entry'!$r$521), "", 'Data Entry'!$r$521)</f>
      </c>
      <c r="AY521">
        <f>IF(ISBLANK('Data Entry'!$s$521), "", 'Data Entry'!$s$521)</f>
      </c>
      <c r="AZ521">
        <f>IF(ISBLANK('Data Entry'!$t$521), "", 'Data Entry'!$t$521)</f>
      </c>
      <c r="BA521">
        <f>IF(ISBLANK('Data Entry'!$u$521), "", 'Data Entry'!$u$521)</f>
      </c>
      <c r="BB521">
        <f>IF(ISBLANK('Data Entry'!$v$521), "", 'Data Entry'!$v$521)</f>
      </c>
      <c r="BC521">
        <f>IF(ISBLANK('Data Entry'!$w$521), "", 'Data Entry'!$w$521)</f>
      </c>
      <c r="BD521">
        <f>IF(ISBLANK('Data Entry'!$x$521), "", 'Data Entry'!$x$521)</f>
      </c>
      <c r="BE521">
        <f>IF(ISBLANK('Data Entry'!$y$521), "", 'Data Entry'!$y$521)</f>
      </c>
      <c r="BF521">
        <f>IF(ISBLANK('Data Entry'!$z$521), "", 'Data Entry'!$z$521)</f>
      </c>
      <c r="BG521">
        <f>IF(ISBLANK('Data Entry'!${$521), "", 'Data Entry'!${$521)</f>
      </c>
      <c r="BH521">
        <f>IF(ISBLANK('Data Entry'!$|$521), "", 'Data Entry'!$|$521)</f>
      </c>
      <c r="BI521">
        <f>IF(ISBLANK('Data Entry'!$}$521), "", 'Data Entry'!$}$521)</f>
      </c>
      <c r="BJ521">
        <f>IF(ISBLANK('Data Entry'!$~$521), "", 'Data Entry'!$~$521)</f>
      </c>
      <c r="BK521">
        <f>IF(ISBLANK('Data Entry'!$$521), "", 'Data Entry'!$$521)</f>
      </c>
      <c r="BL521">
        <f>IF(ISBLANK('Data Entry'!$$521), "", 'Data Entry'!$$521)</f>
      </c>
      <c r="BM521">
        <f>IF(ISBLANK('Data Entry'!$$521), "", 'Data Entry'!$$521)</f>
      </c>
      <c r="BN521">
        <f>IF(ISBLANK('Data Entry'!$$521), "", 'Data Entry'!$$521)</f>
      </c>
      <c r="BO521">
        <f>IF(ISBLANK('Data Entry'!$$521), "", 'Data Entry'!$$521)</f>
      </c>
      <c r="BP521">
        <f>IF(ISBLANK('Data Entry'!$$521), "", 'Data Entry'!$$521)</f>
      </c>
      <c r="BQ521">
        <f>IF(ISBLANK('Data Entry'!$$521), "", 'Data Entry'!$$521)</f>
      </c>
      <c r="BR521">
        <f>IF(ISBLANK('Data Entry'!$$521), "", 'Data Entry'!$$521)</f>
      </c>
      <c r="BS521">
        <f>IF(ISBLANK('Data Entry'!$$521), "", 'Data Entry'!$$521)</f>
      </c>
      <c r="BT521">
        <f>IF(ISBLANK('Data Entry'!$$521), "", 'Data Entry'!$$521)</f>
      </c>
      <c r="BU521">
        <f>IF(ISBLANK('Data Entry'!$$521), "", 'Data Entry'!$$521)</f>
      </c>
      <c r="BV521">
        <f>IF(ISBLANK('Data Entry'!$$521), "", 'Data Entry'!$$521)</f>
      </c>
      <c r="BW521">
        <f>IF(ISBLANK('Data Entry'!$$521), "", 'Data Entry'!$$521)</f>
      </c>
      <c r="BX521">
        <f>IF(ISBLANK('Data Entry'!$$521), "", 'Data Entry'!$$521)</f>
      </c>
      <c r="BY521">
        <f>IF(ISBLANK('Data Entry'!$$521), "", 'Data Entry'!$$521)</f>
      </c>
      <c r="BZ521">
        <f>IF(ISBLANK('Data Entry'!$$521), "", 'Data Entry'!$$521)</f>
      </c>
      <c r="CA521">
        <f>IF(ISBLANK('Data Entry'!$$521), "", 'Data Entry'!$$521)</f>
      </c>
      <c r="CB521">
        <f>IF(ISBLANK('Data Entry'!$$521), "", 'Data Entry'!$$521)</f>
      </c>
      <c r="CC521">
        <f>IF(ISBLANK('Data Entry'!$$521), "", 'Data Entry'!$$521)</f>
      </c>
      <c r="CD521">
        <f>IF(ISBLANK('Data Entry'!$$521), "", 'Data Entry'!$$521)</f>
      </c>
      <c r="CE521">
        <f>IF(ISBLANK('Data Entry'!$$521), "", 'Data Entry'!$$521)</f>
      </c>
      <c r="CF521">
        <f>IF(ISBLANK('Data Entry'!$$521), "", 'Data Entry'!$$521)</f>
      </c>
      <c r="CG521">
        <f>IF(ISBLANK('Data Entry'!$$521), "", 'Data Entry'!$$521)</f>
      </c>
      <c r="CH521">
        <f>IF(ISBLANK('Data Entry'!$$521), "", 'Data Entry'!$$521)</f>
      </c>
      <c r="CI521">
        <f>IF(ISBLANK('Data Entry'!$$521), "", 'Data Entry'!$$521)</f>
      </c>
      <c r="CJ521">
        <f>IF(ISBLANK('Data Entry'!$$521), "", 'Data Entry'!$$521)</f>
      </c>
      <c r="CK521">
        <f>IF(ISBLANK('Data Entry'!$$521), "", 'Data Entry'!$$521)</f>
      </c>
      <c r="CL521">
        <f>IF(ISBLANK('Data Entry'!$$521), "", 'Data Entry'!$$521)</f>
      </c>
      <c r="CM521">
        <f>IF(ISBLANK('Data Entry'!$$521), "", 'Data Entry'!$$521)</f>
      </c>
      <c r="CN521">
        <f>IF(ISBLANK('Data Entry'!$$521), "", 'Data Entry'!$$521)</f>
      </c>
      <c r="CO521">
        <f>IF(ISBLANK('Data Entry'!$$521), "", 'Data Entry'!$$521)</f>
      </c>
      <c r="CP521">
        <f>IF(ISBLANK('Data Entry'!$$521), "", 'Data Entry'!$$521)</f>
      </c>
      <c r="CQ521">
        <f>IF(ISBLANK('Data Entry'!$$521), "", 'Data Entry'!$$521)</f>
      </c>
      <c r="CR521">
        <f>IF(ISBLANK('Data Entry'!$ $521), "", 'Data Entry'!$ $521)</f>
      </c>
      <c r="CS521">
        <f>IF(ISBLANK('Data Entry'!$¡$521), "", 'Data Entry'!$¡$521)</f>
      </c>
      <c r="CT521">
        <f>IF(ISBLANK('Data Entry'!$¢$521), "", 'Data Entry'!$¢$521)</f>
      </c>
      <c r="CU521">
        <f>IF(ISBLANK('Data Entry'!$£$521), "", 'Data Entry'!$£$521)</f>
      </c>
      <c r="CV521">
        <f>IF(ISBLANK('Data Entry'!$¤$521), "", 'Data Entry'!$¤$521)</f>
      </c>
      <c r="CW521">
        <f>IF(ISBLANK('Data Entry'!$¥$521), "", 'Data Entry'!$¥$521)</f>
      </c>
      <c r="CX521">
        <f>IF(ISBLANK('Data Entry'!$¦$521), "", 'Data Entry'!$¦$521)</f>
      </c>
      <c r="CY521">
        <f>IF(ISBLANK('Data Entry'!$§$521), "", 'Data Entry'!$§$521)</f>
      </c>
      <c r="CZ521">
        <f>IF(ISBLANK('Data Entry'!$¨$521), "", 'Data Entry'!$¨$521)</f>
      </c>
      <c r="DA521">
        <f>IF(ISBLANK('Data Entry'!$©$521), "", 'Data Entry'!$©$521)</f>
      </c>
      <c r="DB521">
        <f>IF(ISBLANK('Data Entry'!$ª$521), "", 'Data Entry'!$ª$521)</f>
      </c>
      <c r="DC521">
        <f>IF(ISBLANK('Data Entry'!$«$521), "", 'Data Entry'!$«$521)</f>
      </c>
      <c r="DD521">
        <f>IF(ISBLANK('Data Entry'!$¬$521), "", 'Data Entry'!$¬$521)</f>
      </c>
      <c r="DE521">
        <f>IF(ISBLANK('Data Entry'!$­$521), "", 'Data Entry'!$­$521)</f>
      </c>
      <c r="DF521">
        <f>IF(ISBLANK('Data Entry'!$®$521), "", 'Data Entry'!$®$521)</f>
      </c>
      <c r="DG521">
        <f>IF(ISBLANK('Data Entry'!$¯$521), "", 'Data Entry'!$¯$521)</f>
      </c>
      <c r="DH521">
        <f>IF(ISBLANK('Data Entry'!$°$521), "", 'Data Entry'!$°$521)</f>
      </c>
      <c r="DI521">
        <f>IF(ISBLANK('Data Entry'!$±$521), "", 'Data Entry'!$±$521)</f>
      </c>
      <c r="DJ521">
        <f>IF(ISBLANK('Data Entry'!$²$521), "", 'Data Entry'!$²$521)</f>
      </c>
      <c r="DK521">
        <f>IF(ISBLANK('Data Entry'!$³$521), "", 'Data Entry'!$³$521)</f>
      </c>
      <c r="DL521">
        <f>IF(ISBLANK('Data Entry'!$´$521), "", 'Data Entry'!$´$521)</f>
      </c>
      <c r="DM521">
        <f>IF(ISBLANK('Data Entry'!$µ$521), "", 'Data Entry'!$µ$521)</f>
      </c>
      <c r="DN521">
        <f>IF(ISBLANK('Data Entry'!$¶$521), "", 'Data Entry'!$¶$521)</f>
      </c>
      <c r="DO521">
        <f>IF(ISBLANK('Data Entry'!$·$521), "", 'Data Entry'!$·$521)</f>
      </c>
      <c r="DP521">
        <f>IF(ISBLANK('Data Entry'!$¸$521), "", 'Data Entry'!$¸$521)</f>
      </c>
      <c r="DQ521">
        <f>IF(ISBLANK('Data Entry'!$¹$521), "", 'Data Entry'!$¹$521)</f>
      </c>
      <c r="DR521">
        <f>IF(ISBLANK('Data Entry'!$º$521), "", 'Data Entry'!$º$521)</f>
      </c>
      <c r="DS521">
        <f>IF(ISBLANK('Data Entry'!$»$521), "", 'Data Entry'!$»$521)</f>
      </c>
      <c r="DT521">
        <f>IF(ISBLANK('Data Entry'!$¼$521), "", 'Data Entry'!$¼$521)</f>
      </c>
      <c r="DU521">
        <f>IF(ISBLANK('Data Entry'!$½$521), "", 'Data Entry'!$½$521)</f>
      </c>
      <c r="DV521">
        <f>IF(ISBLANK('Data Entry'!$¾$521), "", 'Data Entry'!$¾$521)</f>
      </c>
      <c r="DW521">
        <f>IF(ISBLANK('Data Entry'!$¿$521), "", 'Data Entry'!$¿$521)</f>
      </c>
      <c r="DX521">
        <f>IF(ISBLANK('Data Entry'!$À$521), "", 'Data Entry'!$À$521)</f>
      </c>
      <c r="DY521">
        <f>IF(ISBLANK('Data Entry'!$Á$521), "", 'Data Entry'!$Á$521)</f>
      </c>
      <c r="DZ521">
        <f>IF(ISBLANK('Data Entry'!$Â$521), "", 'Data Entry'!$Â$521)</f>
      </c>
      <c r="EA521">
        <f>IF(ISBLANK('Data Entry'!$Ã$521), "", 'Data Entry'!$Ã$521)</f>
      </c>
      <c r="EB521">
        <f>IF(ISBLANK('Data Entry'!$Ä$521), "", 'Data Entry'!$Ä$521)</f>
      </c>
      <c r="EC521">
        <f>IF(ISBLANK('Data Entry'!$Å$521), "", 'Data Entry'!$Å$521)</f>
      </c>
      <c r="ED521">
        <f>IF(ISBLANK('Data Entry'!$Æ$521), "", 'Data Entry'!$Æ$521)</f>
      </c>
      <c r="EE521">
        <f>IF(ISBLANK('Data Entry'!$Ç$521), "", 'Data Entry'!$Ç$521)</f>
      </c>
      <c r="EF521">
        <f>IF(ISBLANK('Data Entry'!$È$521), "", 'Data Entry'!$È$521)</f>
      </c>
      <c r="EG521">
        <f>IF(ISBLANK('Data Entry'!$É$521), "", 'Data Entry'!$É$521)</f>
      </c>
      <c r="EH521">
        <f>IF(ISBLANK('Data Entry'!$Ê$521), "", 'Data Entry'!$Ê$521)</f>
      </c>
      <c r="EI521">
        <f>IF(ISBLANK('Data Entry'!$Ë$521), "", 'Data Entry'!$Ë$521)</f>
      </c>
      <c r="EJ521">
        <f>IF(ISBLANK('Data Entry'!$Ì$521), "", 'Data Entry'!$Ì$521)</f>
      </c>
      <c r="EK521">
        <f>IF(ISBLANK('Data Entry'!$Í$521), "", 'Data Entry'!$Í$521)</f>
      </c>
      <c r="EL521">
        <f>IF(ISBLANK('Data Entry'!$Î$521), "", 'Data Entry'!$Î$521)</f>
      </c>
      <c r="EM521">
        <f>IF(ISBLANK('Data Entry'!$Ï$521), "", 'Data Entry'!$Ï$521)</f>
      </c>
      <c r="EN521">
        <f>IF(ISBLANK('Data Entry'!$Ð$521), "", 'Data Entry'!$Ð$521)</f>
      </c>
      <c r="EO521">
        <f>IF(ISBLANK('Data Entry'!$Ñ$521), "", 'Data Entry'!$Ñ$521)</f>
      </c>
      <c r="EP521">
        <f>IF(ISBLANK('Data Entry'!$Ò$521), "", 'Data Entry'!$Ò$521)</f>
      </c>
      <c r="EQ521">
        <f>IF(ISBLANK('Data Entry'!$Ó$521), "", 'Data Entry'!$Ó$521)</f>
      </c>
      <c r="ER521">
        <f>IF(ISBLANK('Data Entry'!$Ô$521), "", 'Data Entry'!$Ô$521)</f>
      </c>
      <c r="ES521">
        <f>IF(ISBLANK('Data Entry'!$Õ$521), "", 'Data Entry'!$Õ$521)</f>
      </c>
      <c r="ET521">
        <f>IF(ISBLANK('Data Entry'!$Ö$521), "", 'Data Entry'!$Ö$521)</f>
      </c>
      <c r="EU521">
        <f>IF(ISBLANK('Data Entry'!$×$521), "", 'Data Entry'!$×$521)</f>
      </c>
      <c r="EV521">
        <f>IF(ISBLANK('Data Entry'!$Ø$521), "", 'Data Entry'!$Ø$521)</f>
      </c>
      <c r="EW521">
        <f>IF(ISBLANK('Data Entry'!$Ù$521), "", 'Data Entry'!$Ù$521)</f>
      </c>
      <c r="EX521">
        <f>IF(ISBLANK('Data Entry'!$Ú$521), "", 'Data Entry'!$Ú$521)</f>
      </c>
      <c r="EY521">
        <f>IF(ISBLANK('Data Entry'!$Û$521), "", 'Data Entry'!$Û$521)</f>
      </c>
      <c r="EZ521">
        <f>IF(ISBLANK('Data Entry'!$Ü$521), "", 'Data Entry'!$Ü$521)</f>
      </c>
      <c r="FA521">
        <f>IF(ISBLANK('Data Entry'!$Ý$521), "", 'Data Entry'!$Ý$521)</f>
      </c>
      <c r="FB521">
        <f>IF(ISBLANK('Data Entry'!$Þ$521), "", 'Data Entry'!$Þ$521)</f>
      </c>
      <c r="FC521">
        <f>IF(ISBLANK('Data Entry'!$ß$521), "", 'Data Entry'!$ß$521)</f>
      </c>
      <c r="FD521">
        <f>IF(ISBLANK('Data Entry'!$à$521), "", 'Data Entry'!$à$521)</f>
      </c>
      <c r="FE521">
        <f>IF(ISBLANK('Data Entry'!$á$521), "", 'Data Entry'!$á$521)</f>
      </c>
      <c r="FF521">
        <f>IF(ISBLANK('Data Entry'!$â$521), "", 'Data Entry'!$â$521)</f>
      </c>
      <c r="FG521">
        <f>IF(ISBLANK('Data Entry'!$ã$521), "", 'Data Entry'!$ã$521)</f>
      </c>
      <c r="FH521">
        <f>IF(ISBLANK('Data Entry'!$ä$521), "", 'Data Entry'!$ä$521)</f>
      </c>
      <c r="FI521">
        <f>IF(ISBLANK('Data Entry'!$å$521), "", 'Data Entry'!$å$521)</f>
      </c>
      <c r="FJ521">
        <f>IF(ISBLANK('Data Entry'!$æ$521), "", 'Data Entry'!$æ$521)</f>
      </c>
      <c r="FK521">
        <f>IF(ISBLANK('Data Entry'!$ç$521), "", 'Data Entry'!$ç$521)</f>
      </c>
      <c r="FL521">
        <f>IF(ISBLANK('Data Entry'!$è$521), "", 'Data Entry'!$è$521)</f>
      </c>
      <c r="FM521">
        <f>IF(ISBLANK('Data Entry'!$é$521), "", 'Data Entry'!$é$521)</f>
      </c>
      <c r="FN521">
        <f>IF(ISBLANK('Data Entry'!$ê$521), "", 'Data Entry'!$ê$521)</f>
      </c>
      <c r="FO521">
        <f>IF(ISBLANK('Data Entry'!$ë$521), "", 'Data Entry'!$ë$521)</f>
      </c>
      <c r="FP521">
        <f>IF(ISBLANK('Data Entry'!$ì$521), "", 'Data Entry'!$ì$521)</f>
      </c>
      <c r="FQ521">
        <f>IF(ISBLANK('Data Entry'!$í$521), "", 'Data Entry'!$í$521)</f>
      </c>
      <c r="FR521">
        <f>IF(ISBLANK('Data Entry'!$î$521), "", 'Data Entry'!$î$521)</f>
      </c>
      <c r="FS521">
        <f>IF(ISBLANK('Data Entry'!$ï$521), "", 'Data Entry'!$ï$521)</f>
      </c>
      <c r="FT521">
        <f>IF(ISBLANK('Data Entry'!$ð$521), "", 'Data Entry'!$ð$521)</f>
      </c>
      <c r="FU521">
        <f>IF(ISBLANK('Data Entry'!$ñ$521), "", 'Data Entry'!$ñ$521)</f>
      </c>
      <c r="FV521">
        <f>IF(ISBLANK('Data Entry'!$ò$521), "", 'Data Entry'!$ò$521)</f>
      </c>
      <c r="FW521">
        <f>IF(ISBLANK('Data Entry'!$ó$521), "", 'Data Entry'!$ó$521)</f>
      </c>
      <c r="FX521">
        <f>IF(ISBLANK('Data Entry'!$ô$521), "", 'Data Entry'!$ô$521)</f>
      </c>
      <c r="FY521">
        <f>IF(ISBLANK('Data Entry'!$õ$521), "", 'Data Entry'!$õ$521)</f>
      </c>
      <c r="FZ521">
        <f>IF(ISBLANK('Data Entry'!$ö$521), "", 'Data Entry'!$ö$521)</f>
      </c>
      <c r="GA521">
        <f>IF(ISBLANK('Data Entry'!$÷$521), "", 'Data Entry'!$÷$521)</f>
      </c>
      <c r="GB521">
        <f>IF(ISBLANK('Data Entry'!$ø$521), "", 'Data Entry'!$ø$521)</f>
      </c>
      <c r="GC521">
        <f>IF(ISBLANK('Data Entry'!$ù$521), "", 'Data Entry'!$ù$521)</f>
      </c>
      <c r="GD521">
        <f>IF(ISBLANK('Data Entry'!$ú$521), "", 'Data Entry'!$ú$521)</f>
      </c>
      <c r="GE521">
        <f>IF(ISBLANK('Data Entry'!$û$521), "", 'Data Entry'!$û$521)</f>
      </c>
      <c r="GF521">
        <f>IF(ISBLANK('Data Entry'!$ü$521), "", 'Data Entry'!$ü$521)</f>
      </c>
      <c r="GG521">
        <f>IF(ISBLANK('Data Entry'!$ý$521), "", 'Data Entry'!$ý$521)</f>
      </c>
      <c r="GH521">
        <f>IF(ISBLANK('Data Entry'!$þ$521), "", 'Data Entry'!$þ$521)</f>
      </c>
      <c r="GI521">
        <f>IF(ISBLANK('Data Entry'!$ÿ$521), "", 'Data Entry'!$ÿ$521)</f>
      </c>
      <c r="GJ521">
        <f>IF(ISBLANK('Data Entry'!$Ā$521), "", 'Data Entry'!$Ā$521)</f>
      </c>
      <c r="GK521">
        <f>IF(ISBLANK('Data Entry'!$ā$521), "", 'Data Entry'!$ā$521)</f>
      </c>
      <c r="GL521">
        <f>IF(ISBLANK('Data Entry'!$Ă$521), "", 'Data Entry'!$Ă$521)</f>
      </c>
      <c r="GM521">
        <f>IF(ISBLANK('Data Entry'!$ă$521), "", 'Data Entry'!$ă$521)</f>
      </c>
      <c r="GN521">
        <f>IF(ISBLANK('Data Entry'!$Ą$521), "", 'Data Entry'!$Ą$521)</f>
      </c>
      <c r="GO521">
        <f>IF(ISBLANK('Data Entry'!$ą$521), "", 'Data Entry'!$ą$521)</f>
      </c>
      <c r="GP521">
        <f>IF(ISBLANK('Data Entry'!$Ć$521), "", 'Data Entry'!$Ć$521)</f>
      </c>
      <c r="GQ521">
        <f>IF(ISBLANK('Data Entry'!$ć$521), "", 'Data Entry'!$ć$521)</f>
      </c>
      <c r="GR521">
        <f>IF(ISBLANK('Data Entry'!$Ĉ$521), "", 'Data Entry'!$Ĉ$521)</f>
      </c>
      <c r="GS521">
        <f>IF(ISBLANK('Data Entry'!$ĉ$521), "", 'Data Entry'!$ĉ$521)</f>
      </c>
      <c r="GT521">
        <f>IF(ISBLANK('Data Entry'!$Ċ$521), "", 'Data Entry'!$Ċ$521)</f>
      </c>
      <c r="GU521">
        <f>IF(ISBLANK('Data Entry'!$ċ$521), "", 'Data Entry'!$ċ$521)</f>
      </c>
      <c r="GV521">
        <f>IF(ISBLANK('Data Entry'!$Č$521), "", 'Data Entry'!$Č$521)</f>
      </c>
      <c r="GW521">
        <f>IF(ISBLANK('Data Entry'!$č$521), "", 'Data Entry'!$č$521)</f>
      </c>
      <c r="GX521">
        <f>IF(ISBLANK('Data Entry'!$Ď$521), "", 'Data Entry'!$Ď$521)</f>
      </c>
      <c r="GY521">
        <f>IF(ISBLANK('Data Entry'!$ď$521), "", 'Data Entry'!$ď$521)</f>
      </c>
      <c r="GZ521">
        <f>IF(ISBLANK('Data Entry'!$Đ$521), "", 'Data Entry'!$Đ$521)</f>
      </c>
      <c r="HA521">
        <f>IF(ISBLANK('Data Entry'!$đ$521), "", 'Data Entry'!$đ$521)</f>
      </c>
      <c r="HB521">
        <f>IF(ISBLANK('Data Entry'!$Ē$521), "", 'Data Entry'!$Ē$521)</f>
      </c>
      <c r="HC521">
        <f>IF(ISBLANK('Data Entry'!$ē$521), "", 'Data Entry'!$ē$521)</f>
      </c>
      <c r="HD521">
        <f>IF(ISBLANK('Data Entry'!$Ĕ$521), "", 'Data Entry'!$Ĕ$521)</f>
      </c>
      <c r="HE521">
        <f>IF(ISBLANK('Data Entry'!$ĕ$521), "", 'Data Entry'!$ĕ$521)</f>
      </c>
      <c r="HF521">
        <f>IF(ISBLANK('Data Entry'!$Ė$521), "", 'Data Entry'!$Ė$521)</f>
      </c>
      <c r="HG521">
        <f>IF(ISBLANK('Data Entry'!$ė$521), "", 'Data Entry'!$ė$521)</f>
      </c>
      <c r="HH521">
        <f>IF(ISBLANK('Data Entry'!$Ę$521), "", 'Data Entry'!$Ę$521)</f>
      </c>
      <c r="HI521">
        <f>IF(ISBLANK('Data Entry'!$ę$521), "", 'Data Entry'!$ę$521)</f>
      </c>
      <c r="HJ521">
        <f>IF(ISBLANK('Data Entry'!$Ě$521), "", 'Data Entry'!$Ě$521)</f>
      </c>
      <c r="HK521">
        <f>IF(ISBLANK('Data Entry'!$ě$521), "", 'Data Entry'!$ě$521)</f>
      </c>
      <c r="HL521">
        <f>IF(ISBLANK('Data Entry'!$Ĝ$521), "", 'Data Entry'!$Ĝ$521)</f>
      </c>
      <c r="HM521">
        <f>IF(ISBLANK('Data Entry'!$ĝ$521), "", 'Data Entry'!$ĝ$521)</f>
      </c>
      <c r="HN521">
        <f>IF(ISBLANK('Data Entry'!$Ğ$521), "", 'Data Entry'!$Ğ$521)</f>
      </c>
      <c r="HO521">
        <f>IF(ISBLANK('Data Entry'!$ğ$521), "", 'Data Entry'!$ğ$521)</f>
      </c>
      <c r="HP521">
        <f>IF(ISBLANK('Data Entry'!$Ġ$521), "", 'Data Entry'!$Ġ$521)</f>
      </c>
      <c r="HQ521">
        <f>IF(ISBLANK('Data Entry'!$ġ$521), "", 'Data Entry'!$ġ$521)</f>
      </c>
      <c r="HR521">
        <f>IF(ISBLANK('Data Entry'!$Ģ$521), "", 'Data Entry'!$Ģ$521)</f>
      </c>
      <c r="HS521">
        <f>IF(ISBLANK('Data Entry'!$ģ$521), "", 'Data Entry'!$ģ$521)</f>
      </c>
      <c r="HT521">
        <f>IF(ISBLANK('Data Entry'!$Ĥ$521), "", 'Data Entry'!$Ĥ$521)</f>
      </c>
      <c r="HU521">
        <f>IF(ISBLANK('Data Entry'!$ĥ$521), "", 'Data Entry'!$ĥ$521)</f>
      </c>
      <c r="HV521">
        <f>IF(ISBLANK('Data Entry'!$Ħ$521), "", 'Data Entry'!$Ħ$521)</f>
      </c>
      <c r="HW521">
        <f>IF(ISBLANK('Data Entry'!$ħ$521), "", 'Data Entry'!$ħ$521)</f>
      </c>
      <c r="HX521">
        <f>IF(ISBLANK('Data Entry'!$Ĩ$521), "", 'Data Entry'!$Ĩ$521)</f>
      </c>
      <c r="HY521">
        <f>IF(ISBLANK('Data Entry'!$ĩ$521), "", 'Data Entry'!$ĩ$521)</f>
      </c>
      <c r="HZ521">
        <f>IF(ISBLANK('Data Entry'!$Ī$521), "", 'Data Entry'!$Ī$521)</f>
      </c>
      <c r="IA521">
        <f>IF(ISBLANK('Data Entry'!$ī$521), "", 'Data Entry'!$ī$521)</f>
      </c>
      <c r="IB521">
        <f>IF(ISBLANK('Data Entry'!$Ĭ$521), "", 'Data Entry'!$Ĭ$521)</f>
      </c>
      <c r="IC521">
        <f>IF(ISBLANK('Data Entry'!$ĭ$521), "", 'Data Entry'!$ĭ$521)</f>
      </c>
      <c r="ID521">
        <f>IF(ISBLANK('Data Entry'!$Į$521), "", 'Data Entry'!$Į$521)</f>
      </c>
      <c r="IE521">
        <f>IF(ISBLANK('Data Entry'!$į$521), "", 'Data Entry'!$į$521)</f>
      </c>
      <c r="IF521">
        <f>IF(ISBLANK('Data Entry'!$İ$521), "", 'Data Entry'!$İ$521)</f>
      </c>
      <c r="IG521">
        <f>IF(ISBLANK('Data Entry'!$ı$521), "", 'Data Entry'!$ı$521)</f>
      </c>
      <c r="IH521">
        <f>IF(ISBLANK('Data Entry'!$Ĳ$521), "", 'Data Entry'!$Ĳ$521)</f>
      </c>
      <c r="II521">
        <f>IF(ISBLANK('Data Entry'!$ĳ$521), "", 'Data Entry'!$ĳ$521)</f>
      </c>
      <c r="IJ521">
        <f>IF(ISBLANK('Data Entry'!$Ĵ$521), "", 'Data Entry'!$Ĵ$521)</f>
      </c>
      <c r="IK521">
        <f>IF(ISBLANK('Data Entry'!$ĵ$521), "", 'Data Entry'!$ĵ$521)</f>
      </c>
      <c r="IL521">
        <f>IF(ISBLANK('Data Entry'!$Ķ$521), "", 'Data Entry'!$Ķ$521)</f>
      </c>
      <c r="IM521">
        <f>IF(ISBLANK('Data Entry'!$ķ$521), "", 'Data Entry'!$ķ$521)</f>
      </c>
      <c r="IN521">
        <f>IF(ISBLANK('Data Entry'!$ĸ$521), "", 'Data Entry'!$ĸ$521)</f>
      </c>
      <c r="IO521">
        <f>IF(ISBLANK('Data Entry'!$Ĺ$521), "", 'Data Entry'!$Ĺ$521)</f>
      </c>
      <c r="IP521">
        <f>IF(ISBLANK('Data Entry'!$ĺ$521), "", 'Data Entry'!$ĺ$521)</f>
      </c>
      <c r="IQ521">
        <f>IF(ISBLANK('Data Entry'!$Ļ$521), "", 'Data Entry'!$Ļ$521)</f>
      </c>
      <c r="IR521">
        <f>IF(ISBLANK('Data Entry'!$ļ$521), "", 'Data Entry'!$ļ$521)</f>
      </c>
      <c r="IS521">
        <f>IF(ISBLANK('Data Entry'!$Ľ$521), "", 'Data Entry'!$Ľ$521)</f>
      </c>
      <c r="IT521">
        <f>IF(ISBLANK('Data Entry'!$ľ$521), "", 'Data Entry'!$ľ$521)</f>
      </c>
    </row>
    <row r="522" spans="1:254" x14ac:dyDescent="0.25">
      <c r="A522">
        <f>IF(ISBLANK('Data Entry'!$A$522), "", 'Data Entry'!$A$522)</f>
      </c>
      <c r="B522">
        <f>IF(ISBLANK('Data Entry'!$B$522), "", 'Data Entry'!$B$522)</f>
      </c>
      <c r="C522">
        <f>IF(ISBLANK('Data Entry'!$C$522), "", 'Data Entry'!$C$522)</f>
      </c>
      <c r="D522">
        <f>IF(ISBLANK('Data Entry'!$D$522), "", 'Data Entry'!$D$522)</f>
      </c>
      <c r="E522">
        <f>IF(ISBLANK('Data Entry'!$E$522), "", 'Data Entry'!$E$522)</f>
      </c>
      <c r="F522">
        <f>IF(ISBLANK('Data Entry'!$F$522), "", 'Data Entry'!$F$522)</f>
      </c>
      <c r="G522">
        <f>IF(ISBLANK('Data Entry'!$G$522), "", 'Data Entry'!$G$522)</f>
      </c>
      <c r="H522">
        <f>IF(ISBLANK('Data Entry'!$H$522), "", 'Data Entry'!$H$522)</f>
      </c>
      <c r="I522">
        <f>IF(ISBLANK('Data Entry'!$I$522), "", 'Data Entry'!$I$522)</f>
      </c>
      <c r="J522">
        <f>IF(ISBLANK('Data Entry'!$J$522), "", 'Data Entry'!$J$522)</f>
      </c>
      <c r="K522">
        <f>IF(ISBLANK('Data Entry'!$K$522), "", 'Data Entry'!$K$522)</f>
      </c>
      <c r="L522">
        <f>IF(ISBLANK('Data Entry'!$L$522), "", 'Data Entry'!$L$522)</f>
      </c>
      <c r="M522">
        <f>IF(ISBLANK('Data Entry'!$M$522), "", 'Data Entry'!$M$522)</f>
      </c>
      <c r="N522">
        <f>IF(ISBLANK('Data Entry'!$N$522), "", 'Data Entry'!$N$522)</f>
      </c>
      <c r="O522">
        <f>IF(ISBLANK('Data Entry'!$O$522), "", 'Data Entry'!$O$522)</f>
      </c>
      <c r="P522">
        <f>IF(ISBLANK('Data Entry'!$P$522), "", 'Data Entry'!$P$522)</f>
      </c>
      <c r="Q522">
        <f>IF(ISBLANK('Data Entry'!$Q$522), "", 'Data Entry'!$Q$522)</f>
      </c>
      <c r="R522">
        <f>IF(ISBLANK('Data Entry'!$R$522), "", 'Data Entry'!$R$522)</f>
      </c>
      <c r="S522">
        <f>IF(ISBLANK('Data Entry'!$S$522), "", 'Data Entry'!$S$522)</f>
      </c>
      <c r="T522">
        <f>IF(ISBLANK('Data Entry'!$T$522), "", 'Data Entry'!$T$522)</f>
      </c>
      <c r="U522">
        <f>IF(ISBLANK('Data Entry'!$U$522), "", 'Data Entry'!$U$522)</f>
      </c>
      <c r="V522">
        <f>IF(ISBLANK('Data Entry'!$V$522), "", 'Data Entry'!$V$522)</f>
      </c>
      <c r="W522">
        <f>IF(ISBLANK('Data Entry'!$W$522), "", 'Data Entry'!$W$522)</f>
      </c>
      <c r="X522">
        <f>IF(ISBLANK('Data Entry'!$X$522), "", 'Data Entry'!$X$522)</f>
      </c>
      <c r="Y522">
        <f>IF(ISBLANK('Data Entry'!$Y$522), "", 'Data Entry'!$Y$522)</f>
      </c>
      <c r="Z522">
        <f>IF(ISBLANK('Data Entry'!$Z$522), "", 'Data Entry'!$Z$522)</f>
      </c>
      <c r="AA522">
        <f>IF(ISBLANK('Data Entry'!$[$522), "", 'Data Entry'!$[$522)</f>
      </c>
      <c r="AB522">
        <f>IF(ISBLANK('Data Entry'!$\$522), "", 'Data Entry'!$\$522)</f>
      </c>
      <c r="AC522">
        <f>IF(ISBLANK('Data Entry'!$]$522), "", 'Data Entry'!$]$522)</f>
      </c>
      <c r="AD522">
        <f>IF(ISBLANK('Data Entry'!$^$522), "", 'Data Entry'!$^$522)</f>
      </c>
      <c r="AE522">
        <f>IF(ISBLANK('Data Entry'!$_$522), "", 'Data Entry'!$_$522)</f>
      </c>
      <c r="AF522">
        <f>IF(ISBLANK('Data Entry'!$`$522), "", 'Data Entry'!$`$522)</f>
      </c>
      <c r="AG522">
        <f>IF(ISBLANK('Data Entry'!$a$522), "", 'Data Entry'!$a$522)</f>
      </c>
      <c r="AH522">
        <f>IF(ISBLANK('Data Entry'!$b$522), "", 'Data Entry'!$b$522)</f>
      </c>
      <c r="AI522">
        <f>IF(ISBLANK('Data Entry'!$c$522), "", 'Data Entry'!$c$522)</f>
      </c>
      <c r="AJ522">
        <f>IF(ISBLANK('Data Entry'!$d$522), "", 'Data Entry'!$d$522)</f>
      </c>
      <c r="AK522">
        <f>IF(ISBLANK('Data Entry'!$e$522), "", 'Data Entry'!$e$522)</f>
      </c>
      <c r="AL522">
        <f>IF(ISBLANK('Data Entry'!$f$522), "", 'Data Entry'!$f$522)</f>
      </c>
      <c r="AM522">
        <f>IF(ISBLANK('Data Entry'!$g$522), "", 'Data Entry'!$g$522)</f>
      </c>
      <c r="AN522">
        <f>IF(ISBLANK('Data Entry'!$h$522), "", 'Data Entry'!$h$522)</f>
      </c>
      <c r="AO522">
        <f>IF(ISBLANK('Data Entry'!$i$522), "", 'Data Entry'!$i$522)</f>
      </c>
      <c r="AP522">
        <f>IF(ISBLANK('Data Entry'!$j$522), "", 'Data Entry'!$j$522)</f>
      </c>
      <c r="AQ522">
        <f>IF(ISBLANK('Data Entry'!$k$522), "", 'Data Entry'!$k$522)</f>
      </c>
      <c r="AR522">
        <f>IF(ISBLANK('Data Entry'!$l$522), "", 'Data Entry'!$l$522)</f>
      </c>
      <c r="AS522">
        <f>IF(ISBLANK('Data Entry'!$m$522), "", 'Data Entry'!$m$522)</f>
      </c>
      <c r="AT522">
        <f>IF(ISBLANK('Data Entry'!$n$522), "", 'Data Entry'!$n$522)</f>
      </c>
      <c r="AU522">
        <f>IF(ISBLANK('Data Entry'!$o$522), "", 'Data Entry'!$o$522)</f>
      </c>
      <c r="AV522">
        <f>IF(ISBLANK('Data Entry'!$p$522), "", 'Data Entry'!$p$522)</f>
      </c>
      <c r="AW522">
        <f>IF(ISBLANK('Data Entry'!$q$522), "", 'Data Entry'!$q$522)</f>
      </c>
      <c r="AX522">
        <f>IF(ISBLANK('Data Entry'!$r$522), "", 'Data Entry'!$r$522)</f>
      </c>
      <c r="AY522">
        <f>IF(ISBLANK('Data Entry'!$s$522), "", 'Data Entry'!$s$522)</f>
      </c>
      <c r="AZ522">
        <f>IF(ISBLANK('Data Entry'!$t$522), "", 'Data Entry'!$t$522)</f>
      </c>
      <c r="BA522">
        <f>IF(ISBLANK('Data Entry'!$u$522), "", 'Data Entry'!$u$522)</f>
      </c>
      <c r="BB522">
        <f>IF(ISBLANK('Data Entry'!$v$522), "", 'Data Entry'!$v$522)</f>
      </c>
      <c r="BC522">
        <f>IF(ISBLANK('Data Entry'!$w$522), "", 'Data Entry'!$w$522)</f>
      </c>
      <c r="BD522">
        <f>IF(ISBLANK('Data Entry'!$x$522), "", 'Data Entry'!$x$522)</f>
      </c>
      <c r="BE522">
        <f>IF(ISBLANK('Data Entry'!$y$522), "", 'Data Entry'!$y$522)</f>
      </c>
      <c r="BF522">
        <f>IF(ISBLANK('Data Entry'!$z$522), "", 'Data Entry'!$z$522)</f>
      </c>
      <c r="BG522">
        <f>IF(ISBLANK('Data Entry'!${$522), "", 'Data Entry'!${$522)</f>
      </c>
      <c r="BH522">
        <f>IF(ISBLANK('Data Entry'!$|$522), "", 'Data Entry'!$|$522)</f>
      </c>
      <c r="BI522">
        <f>IF(ISBLANK('Data Entry'!$}$522), "", 'Data Entry'!$}$522)</f>
      </c>
      <c r="BJ522">
        <f>IF(ISBLANK('Data Entry'!$~$522), "", 'Data Entry'!$~$522)</f>
      </c>
      <c r="BK522">
        <f>IF(ISBLANK('Data Entry'!$$522), "", 'Data Entry'!$$522)</f>
      </c>
      <c r="BL522">
        <f>IF(ISBLANK('Data Entry'!$$522), "", 'Data Entry'!$$522)</f>
      </c>
      <c r="BM522">
        <f>IF(ISBLANK('Data Entry'!$$522), "", 'Data Entry'!$$522)</f>
      </c>
      <c r="BN522">
        <f>IF(ISBLANK('Data Entry'!$$522), "", 'Data Entry'!$$522)</f>
      </c>
      <c r="BO522">
        <f>IF(ISBLANK('Data Entry'!$$522), "", 'Data Entry'!$$522)</f>
      </c>
      <c r="BP522">
        <f>IF(ISBLANK('Data Entry'!$$522), "", 'Data Entry'!$$522)</f>
      </c>
      <c r="BQ522">
        <f>IF(ISBLANK('Data Entry'!$$522), "", 'Data Entry'!$$522)</f>
      </c>
      <c r="BR522">
        <f>IF(ISBLANK('Data Entry'!$$522), "", 'Data Entry'!$$522)</f>
      </c>
      <c r="BS522">
        <f>IF(ISBLANK('Data Entry'!$$522), "", 'Data Entry'!$$522)</f>
      </c>
      <c r="BT522">
        <f>IF(ISBLANK('Data Entry'!$$522), "", 'Data Entry'!$$522)</f>
      </c>
      <c r="BU522">
        <f>IF(ISBLANK('Data Entry'!$$522), "", 'Data Entry'!$$522)</f>
      </c>
      <c r="BV522">
        <f>IF(ISBLANK('Data Entry'!$$522), "", 'Data Entry'!$$522)</f>
      </c>
      <c r="BW522">
        <f>IF(ISBLANK('Data Entry'!$$522), "", 'Data Entry'!$$522)</f>
      </c>
      <c r="BX522">
        <f>IF(ISBLANK('Data Entry'!$$522), "", 'Data Entry'!$$522)</f>
      </c>
      <c r="BY522">
        <f>IF(ISBLANK('Data Entry'!$$522), "", 'Data Entry'!$$522)</f>
      </c>
      <c r="BZ522">
        <f>IF(ISBLANK('Data Entry'!$$522), "", 'Data Entry'!$$522)</f>
      </c>
      <c r="CA522">
        <f>IF(ISBLANK('Data Entry'!$$522), "", 'Data Entry'!$$522)</f>
      </c>
      <c r="CB522">
        <f>IF(ISBLANK('Data Entry'!$$522), "", 'Data Entry'!$$522)</f>
      </c>
      <c r="CC522">
        <f>IF(ISBLANK('Data Entry'!$$522), "", 'Data Entry'!$$522)</f>
      </c>
      <c r="CD522">
        <f>IF(ISBLANK('Data Entry'!$$522), "", 'Data Entry'!$$522)</f>
      </c>
      <c r="CE522">
        <f>IF(ISBLANK('Data Entry'!$$522), "", 'Data Entry'!$$522)</f>
      </c>
      <c r="CF522">
        <f>IF(ISBLANK('Data Entry'!$$522), "", 'Data Entry'!$$522)</f>
      </c>
      <c r="CG522">
        <f>IF(ISBLANK('Data Entry'!$$522), "", 'Data Entry'!$$522)</f>
      </c>
      <c r="CH522">
        <f>IF(ISBLANK('Data Entry'!$$522), "", 'Data Entry'!$$522)</f>
      </c>
      <c r="CI522">
        <f>IF(ISBLANK('Data Entry'!$$522), "", 'Data Entry'!$$522)</f>
      </c>
      <c r="CJ522">
        <f>IF(ISBLANK('Data Entry'!$$522), "", 'Data Entry'!$$522)</f>
      </c>
      <c r="CK522">
        <f>IF(ISBLANK('Data Entry'!$$522), "", 'Data Entry'!$$522)</f>
      </c>
      <c r="CL522">
        <f>IF(ISBLANK('Data Entry'!$$522), "", 'Data Entry'!$$522)</f>
      </c>
      <c r="CM522">
        <f>IF(ISBLANK('Data Entry'!$$522), "", 'Data Entry'!$$522)</f>
      </c>
      <c r="CN522">
        <f>IF(ISBLANK('Data Entry'!$$522), "", 'Data Entry'!$$522)</f>
      </c>
      <c r="CO522">
        <f>IF(ISBLANK('Data Entry'!$$522), "", 'Data Entry'!$$522)</f>
      </c>
      <c r="CP522">
        <f>IF(ISBLANK('Data Entry'!$$522), "", 'Data Entry'!$$522)</f>
      </c>
      <c r="CQ522">
        <f>IF(ISBLANK('Data Entry'!$$522), "", 'Data Entry'!$$522)</f>
      </c>
      <c r="CR522">
        <f>IF(ISBLANK('Data Entry'!$ $522), "", 'Data Entry'!$ $522)</f>
      </c>
      <c r="CS522">
        <f>IF(ISBLANK('Data Entry'!$¡$522), "", 'Data Entry'!$¡$522)</f>
      </c>
      <c r="CT522">
        <f>IF(ISBLANK('Data Entry'!$¢$522), "", 'Data Entry'!$¢$522)</f>
      </c>
      <c r="CU522">
        <f>IF(ISBLANK('Data Entry'!$£$522), "", 'Data Entry'!$£$522)</f>
      </c>
      <c r="CV522">
        <f>IF(ISBLANK('Data Entry'!$¤$522), "", 'Data Entry'!$¤$522)</f>
      </c>
      <c r="CW522">
        <f>IF(ISBLANK('Data Entry'!$¥$522), "", 'Data Entry'!$¥$522)</f>
      </c>
      <c r="CX522">
        <f>IF(ISBLANK('Data Entry'!$¦$522), "", 'Data Entry'!$¦$522)</f>
      </c>
      <c r="CY522">
        <f>IF(ISBLANK('Data Entry'!$§$522), "", 'Data Entry'!$§$522)</f>
      </c>
      <c r="CZ522">
        <f>IF(ISBLANK('Data Entry'!$¨$522), "", 'Data Entry'!$¨$522)</f>
      </c>
      <c r="DA522">
        <f>IF(ISBLANK('Data Entry'!$©$522), "", 'Data Entry'!$©$522)</f>
      </c>
      <c r="DB522">
        <f>IF(ISBLANK('Data Entry'!$ª$522), "", 'Data Entry'!$ª$522)</f>
      </c>
      <c r="DC522">
        <f>IF(ISBLANK('Data Entry'!$«$522), "", 'Data Entry'!$«$522)</f>
      </c>
      <c r="DD522">
        <f>IF(ISBLANK('Data Entry'!$¬$522), "", 'Data Entry'!$¬$522)</f>
      </c>
      <c r="DE522">
        <f>IF(ISBLANK('Data Entry'!$­$522), "", 'Data Entry'!$­$522)</f>
      </c>
      <c r="DF522">
        <f>IF(ISBLANK('Data Entry'!$®$522), "", 'Data Entry'!$®$522)</f>
      </c>
      <c r="DG522">
        <f>IF(ISBLANK('Data Entry'!$¯$522), "", 'Data Entry'!$¯$522)</f>
      </c>
      <c r="DH522">
        <f>IF(ISBLANK('Data Entry'!$°$522), "", 'Data Entry'!$°$522)</f>
      </c>
      <c r="DI522">
        <f>IF(ISBLANK('Data Entry'!$±$522), "", 'Data Entry'!$±$522)</f>
      </c>
      <c r="DJ522">
        <f>IF(ISBLANK('Data Entry'!$²$522), "", 'Data Entry'!$²$522)</f>
      </c>
      <c r="DK522">
        <f>IF(ISBLANK('Data Entry'!$³$522), "", 'Data Entry'!$³$522)</f>
      </c>
      <c r="DL522">
        <f>IF(ISBLANK('Data Entry'!$´$522), "", 'Data Entry'!$´$522)</f>
      </c>
      <c r="DM522">
        <f>IF(ISBLANK('Data Entry'!$µ$522), "", 'Data Entry'!$µ$522)</f>
      </c>
      <c r="DN522">
        <f>IF(ISBLANK('Data Entry'!$¶$522), "", 'Data Entry'!$¶$522)</f>
      </c>
      <c r="DO522">
        <f>IF(ISBLANK('Data Entry'!$·$522), "", 'Data Entry'!$·$522)</f>
      </c>
      <c r="DP522">
        <f>IF(ISBLANK('Data Entry'!$¸$522), "", 'Data Entry'!$¸$522)</f>
      </c>
      <c r="DQ522">
        <f>IF(ISBLANK('Data Entry'!$¹$522), "", 'Data Entry'!$¹$522)</f>
      </c>
      <c r="DR522">
        <f>IF(ISBLANK('Data Entry'!$º$522), "", 'Data Entry'!$º$522)</f>
      </c>
      <c r="DS522">
        <f>IF(ISBLANK('Data Entry'!$»$522), "", 'Data Entry'!$»$522)</f>
      </c>
      <c r="DT522">
        <f>IF(ISBLANK('Data Entry'!$¼$522), "", 'Data Entry'!$¼$522)</f>
      </c>
      <c r="DU522">
        <f>IF(ISBLANK('Data Entry'!$½$522), "", 'Data Entry'!$½$522)</f>
      </c>
      <c r="DV522">
        <f>IF(ISBLANK('Data Entry'!$¾$522), "", 'Data Entry'!$¾$522)</f>
      </c>
      <c r="DW522">
        <f>IF(ISBLANK('Data Entry'!$¿$522), "", 'Data Entry'!$¿$522)</f>
      </c>
      <c r="DX522">
        <f>IF(ISBLANK('Data Entry'!$À$522), "", 'Data Entry'!$À$522)</f>
      </c>
      <c r="DY522">
        <f>IF(ISBLANK('Data Entry'!$Á$522), "", 'Data Entry'!$Á$522)</f>
      </c>
      <c r="DZ522">
        <f>IF(ISBLANK('Data Entry'!$Â$522), "", 'Data Entry'!$Â$522)</f>
      </c>
      <c r="EA522">
        <f>IF(ISBLANK('Data Entry'!$Ã$522), "", 'Data Entry'!$Ã$522)</f>
      </c>
      <c r="EB522">
        <f>IF(ISBLANK('Data Entry'!$Ä$522), "", 'Data Entry'!$Ä$522)</f>
      </c>
      <c r="EC522">
        <f>IF(ISBLANK('Data Entry'!$Å$522), "", 'Data Entry'!$Å$522)</f>
      </c>
      <c r="ED522">
        <f>IF(ISBLANK('Data Entry'!$Æ$522), "", 'Data Entry'!$Æ$522)</f>
      </c>
      <c r="EE522">
        <f>IF(ISBLANK('Data Entry'!$Ç$522), "", 'Data Entry'!$Ç$522)</f>
      </c>
      <c r="EF522">
        <f>IF(ISBLANK('Data Entry'!$È$522), "", 'Data Entry'!$È$522)</f>
      </c>
      <c r="EG522">
        <f>IF(ISBLANK('Data Entry'!$É$522), "", 'Data Entry'!$É$522)</f>
      </c>
      <c r="EH522">
        <f>IF(ISBLANK('Data Entry'!$Ê$522), "", 'Data Entry'!$Ê$522)</f>
      </c>
      <c r="EI522">
        <f>IF(ISBLANK('Data Entry'!$Ë$522), "", 'Data Entry'!$Ë$522)</f>
      </c>
      <c r="EJ522">
        <f>IF(ISBLANK('Data Entry'!$Ì$522), "", 'Data Entry'!$Ì$522)</f>
      </c>
      <c r="EK522">
        <f>IF(ISBLANK('Data Entry'!$Í$522), "", 'Data Entry'!$Í$522)</f>
      </c>
      <c r="EL522">
        <f>IF(ISBLANK('Data Entry'!$Î$522), "", 'Data Entry'!$Î$522)</f>
      </c>
      <c r="EM522">
        <f>IF(ISBLANK('Data Entry'!$Ï$522), "", 'Data Entry'!$Ï$522)</f>
      </c>
      <c r="EN522">
        <f>IF(ISBLANK('Data Entry'!$Ð$522), "", 'Data Entry'!$Ð$522)</f>
      </c>
      <c r="EO522">
        <f>IF(ISBLANK('Data Entry'!$Ñ$522), "", 'Data Entry'!$Ñ$522)</f>
      </c>
      <c r="EP522">
        <f>IF(ISBLANK('Data Entry'!$Ò$522), "", 'Data Entry'!$Ò$522)</f>
      </c>
      <c r="EQ522">
        <f>IF(ISBLANK('Data Entry'!$Ó$522), "", 'Data Entry'!$Ó$522)</f>
      </c>
      <c r="ER522">
        <f>IF(ISBLANK('Data Entry'!$Ô$522), "", 'Data Entry'!$Ô$522)</f>
      </c>
      <c r="ES522">
        <f>IF(ISBLANK('Data Entry'!$Õ$522), "", 'Data Entry'!$Õ$522)</f>
      </c>
      <c r="ET522">
        <f>IF(ISBLANK('Data Entry'!$Ö$522), "", 'Data Entry'!$Ö$522)</f>
      </c>
      <c r="EU522">
        <f>IF(ISBLANK('Data Entry'!$×$522), "", 'Data Entry'!$×$522)</f>
      </c>
      <c r="EV522">
        <f>IF(ISBLANK('Data Entry'!$Ø$522), "", 'Data Entry'!$Ø$522)</f>
      </c>
      <c r="EW522">
        <f>IF(ISBLANK('Data Entry'!$Ù$522), "", 'Data Entry'!$Ù$522)</f>
      </c>
      <c r="EX522">
        <f>IF(ISBLANK('Data Entry'!$Ú$522), "", 'Data Entry'!$Ú$522)</f>
      </c>
      <c r="EY522">
        <f>IF(ISBLANK('Data Entry'!$Û$522), "", 'Data Entry'!$Û$522)</f>
      </c>
      <c r="EZ522">
        <f>IF(ISBLANK('Data Entry'!$Ü$522), "", 'Data Entry'!$Ü$522)</f>
      </c>
      <c r="FA522">
        <f>IF(ISBLANK('Data Entry'!$Ý$522), "", 'Data Entry'!$Ý$522)</f>
      </c>
      <c r="FB522">
        <f>IF(ISBLANK('Data Entry'!$Þ$522), "", 'Data Entry'!$Þ$522)</f>
      </c>
      <c r="FC522">
        <f>IF(ISBLANK('Data Entry'!$ß$522), "", 'Data Entry'!$ß$522)</f>
      </c>
      <c r="FD522">
        <f>IF(ISBLANK('Data Entry'!$à$522), "", 'Data Entry'!$à$522)</f>
      </c>
      <c r="FE522">
        <f>IF(ISBLANK('Data Entry'!$á$522), "", 'Data Entry'!$á$522)</f>
      </c>
      <c r="FF522">
        <f>IF(ISBLANK('Data Entry'!$â$522), "", 'Data Entry'!$â$522)</f>
      </c>
      <c r="FG522">
        <f>IF(ISBLANK('Data Entry'!$ã$522), "", 'Data Entry'!$ã$522)</f>
      </c>
      <c r="FH522">
        <f>IF(ISBLANK('Data Entry'!$ä$522), "", 'Data Entry'!$ä$522)</f>
      </c>
      <c r="FI522">
        <f>IF(ISBLANK('Data Entry'!$å$522), "", 'Data Entry'!$å$522)</f>
      </c>
      <c r="FJ522">
        <f>IF(ISBLANK('Data Entry'!$æ$522), "", 'Data Entry'!$æ$522)</f>
      </c>
      <c r="FK522">
        <f>IF(ISBLANK('Data Entry'!$ç$522), "", 'Data Entry'!$ç$522)</f>
      </c>
      <c r="FL522">
        <f>IF(ISBLANK('Data Entry'!$è$522), "", 'Data Entry'!$è$522)</f>
      </c>
      <c r="FM522">
        <f>IF(ISBLANK('Data Entry'!$é$522), "", 'Data Entry'!$é$522)</f>
      </c>
      <c r="FN522">
        <f>IF(ISBLANK('Data Entry'!$ê$522), "", 'Data Entry'!$ê$522)</f>
      </c>
      <c r="FO522">
        <f>IF(ISBLANK('Data Entry'!$ë$522), "", 'Data Entry'!$ë$522)</f>
      </c>
      <c r="FP522">
        <f>IF(ISBLANK('Data Entry'!$ì$522), "", 'Data Entry'!$ì$522)</f>
      </c>
      <c r="FQ522">
        <f>IF(ISBLANK('Data Entry'!$í$522), "", 'Data Entry'!$í$522)</f>
      </c>
      <c r="FR522">
        <f>IF(ISBLANK('Data Entry'!$î$522), "", 'Data Entry'!$î$522)</f>
      </c>
      <c r="FS522">
        <f>IF(ISBLANK('Data Entry'!$ï$522), "", 'Data Entry'!$ï$522)</f>
      </c>
      <c r="FT522">
        <f>IF(ISBLANK('Data Entry'!$ð$522), "", 'Data Entry'!$ð$522)</f>
      </c>
      <c r="FU522">
        <f>IF(ISBLANK('Data Entry'!$ñ$522), "", 'Data Entry'!$ñ$522)</f>
      </c>
      <c r="FV522">
        <f>IF(ISBLANK('Data Entry'!$ò$522), "", 'Data Entry'!$ò$522)</f>
      </c>
      <c r="FW522">
        <f>IF(ISBLANK('Data Entry'!$ó$522), "", 'Data Entry'!$ó$522)</f>
      </c>
      <c r="FX522">
        <f>IF(ISBLANK('Data Entry'!$ô$522), "", 'Data Entry'!$ô$522)</f>
      </c>
      <c r="FY522">
        <f>IF(ISBLANK('Data Entry'!$õ$522), "", 'Data Entry'!$õ$522)</f>
      </c>
      <c r="FZ522">
        <f>IF(ISBLANK('Data Entry'!$ö$522), "", 'Data Entry'!$ö$522)</f>
      </c>
      <c r="GA522">
        <f>IF(ISBLANK('Data Entry'!$÷$522), "", 'Data Entry'!$÷$522)</f>
      </c>
      <c r="GB522">
        <f>IF(ISBLANK('Data Entry'!$ø$522), "", 'Data Entry'!$ø$522)</f>
      </c>
      <c r="GC522">
        <f>IF(ISBLANK('Data Entry'!$ù$522), "", 'Data Entry'!$ù$522)</f>
      </c>
      <c r="GD522">
        <f>IF(ISBLANK('Data Entry'!$ú$522), "", 'Data Entry'!$ú$522)</f>
      </c>
      <c r="GE522">
        <f>IF(ISBLANK('Data Entry'!$û$522), "", 'Data Entry'!$û$522)</f>
      </c>
      <c r="GF522">
        <f>IF(ISBLANK('Data Entry'!$ü$522), "", 'Data Entry'!$ü$522)</f>
      </c>
      <c r="GG522">
        <f>IF(ISBLANK('Data Entry'!$ý$522), "", 'Data Entry'!$ý$522)</f>
      </c>
      <c r="GH522">
        <f>IF(ISBLANK('Data Entry'!$þ$522), "", 'Data Entry'!$þ$522)</f>
      </c>
      <c r="GI522">
        <f>IF(ISBLANK('Data Entry'!$ÿ$522), "", 'Data Entry'!$ÿ$522)</f>
      </c>
      <c r="GJ522">
        <f>IF(ISBLANK('Data Entry'!$Ā$522), "", 'Data Entry'!$Ā$522)</f>
      </c>
      <c r="GK522">
        <f>IF(ISBLANK('Data Entry'!$ā$522), "", 'Data Entry'!$ā$522)</f>
      </c>
      <c r="GL522">
        <f>IF(ISBLANK('Data Entry'!$Ă$522), "", 'Data Entry'!$Ă$522)</f>
      </c>
      <c r="GM522">
        <f>IF(ISBLANK('Data Entry'!$ă$522), "", 'Data Entry'!$ă$522)</f>
      </c>
      <c r="GN522">
        <f>IF(ISBLANK('Data Entry'!$Ą$522), "", 'Data Entry'!$Ą$522)</f>
      </c>
      <c r="GO522">
        <f>IF(ISBLANK('Data Entry'!$ą$522), "", 'Data Entry'!$ą$522)</f>
      </c>
      <c r="GP522">
        <f>IF(ISBLANK('Data Entry'!$Ć$522), "", 'Data Entry'!$Ć$522)</f>
      </c>
      <c r="GQ522">
        <f>IF(ISBLANK('Data Entry'!$ć$522), "", 'Data Entry'!$ć$522)</f>
      </c>
      <c r="GR522">
        <f>IF(ISBLANK('Data Entry'!$Ĉ$522), "", 'Data Entry'!$Ĉ$522)</f>
      </c>
      <c r="GS522">
        <f>IF(ISBLANK('Data Entry'!$ĉ$522), "", 'Data Entry'!$ĉ$522)</f>
      </c>
      <c r="GT522">
        <f>IF(ISBLANK('Data Entry'!$Ċ$522), "", 'Data Entry'!$Ċ$522)</f>
      </c>
      <c r="GU522">
        <f>IF(ISBLANK('Data Entry'!$ċ$522), "", 'Data Entry'!$ċ$522)</f>
      </c>
      <c r="GV522">
        <f>IF(ISBLANK('Data Entry'!$Č$522), "", 'Data Entry'!$Č$522)</f>
      </c>
      <c r="GW522">
        <f>IF(ISBLANK('Data Entry'!$č$522), "", 'Data Entry'!$č$522)</f>
      </c>
      <c r="GX522">
        <f>IF(ISBLANK('Data Entry'!$Ď$522), "", 'Data Entry'!$Ď$522)</f>
      </c>
      <c r="GY522">
        <f>IF(ISBLANK('Data Entry'!$ď$522), "", 'Data Entry'!$ď$522)</f>
      </c>
      <c r="GZ522">
        <f>IF(ISBLANK('Data Entry'!$Đ$522), "", 'Data Entry'!$Đ$522)</f>
      </c>
      <c r="HA522">
        <f>IF(ISBLANK('Data Entry'!$đ$522), "", 'Data Entry'!$đ$522)</f>
      </c>
      <c r="HB522">
        <f>IF(ISBLANK('Data Entry'!$Ē$522), "", 'Data Entry'!$Ē$522)</f>
      </c>
      <c r="HC522">
        <f>IF(ISBLANK('Data Entry'!$ē$522), "", 'Data Entry'!$ē$522)</f>
      </c>
      <c r="HD522">
        <f>IF(ISBLANK('Data Entry'!$Ĕ$522), "", 'Data Entry'!$Ĕ$522)</f>
      </c>
      <c r="HE522">
        <f>IF(ISBLANK('Data Entry'!$ĕ$522), "", 'Data Entry'!$ĕ$522)</f>
      </c>
      <c r="HF522">
        <f>IF(ISBLANK('Data Entry'!$Ė$522), "", 'Data Entry'!$Ė$522)</f>
      </c>
      <c r="HG522">
        <f>IF(ISBLANK('Data Entry'!$ė$522), "", 'Data Entry'!$ė$522)</f>
      </c>
      <c r="HH522">
        <f>IF(ISBLANK('Data Entry'!$Ę$522), "", 'Data Entry'!$Ę$522)</f>
      </c>
      <c r="HI522">
        <f>IF(ISBLANK('Data Entry'!$ę$522), "", 'Data Entry'!$ę$522)</f>
      </c>
      <c r="HJ522">
        <f>IF(ISBLANK('Data Entry'!$Ě$522), "", 'Data Entry'!$Ě$522)</f>
      </c>
      <c r="HK522">
        <f>IF(ISBLANK('Data Entry'!$ě$522), "", 'Data Entry'!$ě$522)</f>
      </c>
      <c r="HL522">
        <f>IF(ISBLANK('Data Entry'!$Ĝ$522), "", 'Data Entry'!$Ĝ$522)</f>
      </c>
      <c r="HM522">
        <f>IF(ISBLANK('Data Entry'!$ĝ$522), "", 'Data Entry'!$ĝ$522)</f>
      </c>
      <c r="HN522">
        <f>IF(ISBLANK('Data Entry'!$Ğ$522), "", 'Data Entry'!$Ğ$522)</f>
      </c>
      <c r="HO522">
        <f>IF(ISBLANK('Data Entry'!$ğ$522), "", 'Data Entry'!$ğ$522)</f>
      </c>
      <c r="HP522">
        <f>IF(ISBLANK('Data Entry'!$Ġ$522), "", 'Data Entry'!$Ġ$522)</f>
      </c>
      <c r="HQ522">
        <f>IF(ISBLANK('Data Entry'!$ġ$522), "", 'Data Entry'!$ġ$522)</f>
      </c>
      <c r="HR522">
        <f>IF(ISBLANK('Data Entry'!$Ģ$522), "", 'Data Entry'!$Ģ$522)</f>
      </c>
      <c r="HS522">
        <f>IF(ISBLANK('Data Entry'!$ģ$522), "", 'Data Entry'!$ģ$522)</f>
      </c>
      <c r="HT522">
        <f>IF(ISBLANK('Data Entry'!$Ĥ$522), "", 'Data Entry'!$Ĥ$522)</f>
      </c>
      <c r="HU522">
        <f>IF(ISBLANK('Data Entry'!$ĥ$522), "", 'Data Entry'!$ĥ$522)</f>
      </c>
      <c r="HV522">
        <f>IF(ISBLANK('Data Entry'!$Ħ$522), "", 'Data Entry'!$Ħ$522)</f>
      </c>
      <c r="HW522">
        <f>IF(ISBLANK('Data Entry'!$ħ$522), "", 'Data Entry'!$ħ$522)</f>
      </c>
      <c r="HX522">
        <f>IF(ISBLANK('Data Entry'!$Ĩ$522), "", 'Data Entry'!$Ĩ$522)</f>
      </c>
      <c r="HY522">
        <f>IF(ISBLANK('Data Entry'!$ĩ$522), "", 'Data Entry'!$ĩ$522)</f>
      </c>
      <c r="HZ522">
        <f>IF(ISBLANK('Data Entry'!$Ī$522), "", 'Data Entry'!$Ī$522)</f>
      </c>
      <c r="IA522">
        <f>IF(ISBLANK('Data Entry'!$ī$522), "", 'Data Entry'!$ī$522)</f>
      </c>
      <c r="IB522">
        <f>IF(ISBLANK('Data Entry'!$Ĭ$522), "", 'Data Entry'!$Ĭ$522)</f>
      </c>
      <c r="IC522">
        <f>IF(ISBLANK('Data Entry'!$ĭ$522), "", 'Data Entry'!$ĭ$522)</f>
      </c>
      <c r="ID522">
        <f>IF(ISBLANK('Data Entry'!$Į$522), "", 'Data Entry'!$Į$522)</f>
      </c>
      <c r="IE522">
        <f>IF(ISBLANK('Data Entry'!$į$522), "", 'Data Entry'!$į$522)</f>
      </c>
      <c r="IF522">
        <f>IF(ISBLANK('Data Entry'!$İ$522), "", 'Data Entry'!$İ$522)</f>
      </c>
      <c r="IG522">
        <f>IF(ISBLANK('Data Entry'!$ı$522), "", 'Data Entry'!$ı$522)</f>
      </c>
      <c r="IH522">
        <f>IF(ISBLANK('Data Entry'!$Ĳ$522), "", 'Data Entry'!$Ĳ$522)</f>
      </c>
      <c r="II522">
        <f>IF(ISBLANK('Data Entry'!$ĳ$522), "", 'Data Entry'!$ĳ$522)</f>
      </c>
      <c r="IJ522">
        <f>IF(ISBLANK('Data Entry'!$Ĵ$522), "", 'Data Entry'!$Ĵ$522)</f>
      </c>
      <c r="IK522">
        <f>IF(ISBLANK('Data Entry'!$ĵ$522), "", 'Data Entry'!$ĵ$522)</f>
      </c>
      <c r="IL522">
        <f>IF(ISBLANK('Data Entry'!$Ķ$522), "", 'Data Entry'!$Ķ$522)</f>
      </c>
      <c r="IM522">
        <f>IF(ISBLANK('Data Entry'!$ķ$522), "", 'Data Entry'!$ķ$522)</f>
      </c>
      <c r="IN522">
        <f>IF(ISBLANK('Data Entry'!$ĸ$522), "", 'Data Entry'!$ĸ$522)</f>
      </c>
      <c r="IO522">
        <f>IF(ISBLANK('Data Entry'!$Ĺ$522), "", 'Data Entry'!$Ĺ$522)</f>
      </c>
      <c r="IP522">
        <f>IF(ISBLANK('Data Entry'!$ĺ$522), "", 'Data Entry'!$ĺ$522)</f>
      </c>
      <c r="IQ522">
        <f>IF(ISBLANK('Data Entry'!$Ļ$522), "", 'Data Entry'!$Ļ$522)</f>
      </c>
      <c r="IR522">
        <f>IF(ISBLANK('Data Entry'!$ļ$522), "", 'Data Entry'!$ļ$522)</f>
      </c>
      <c r="IS522">
        <f>IF(ISBLANK('Data Entry'!$Ľ$522), "", 'Data Entry'!$Ľ$522)</f>
      </c>
      <c r="IT522">
        <f>IF(ISBLANK('Data Entry'!$ľ$522), "", 'Data Entry'!$ľ$522)</f>
      </c>
    </row>
    <row r="523" spans="1:254" x14ac:dyDescent="0.25">
      <c r="A523">
        <f>IF(ISBLANK('Data Entry'!$A$523), "", 'Data Entry'!$A$523)</f>
      </c>
      <c r="B523">
        <f>IF(ISBLANK('Data Entry'!$B$523), "", 'Data Entry'!$B$523)</f>
      </c>
      <c r="C523">
        <f>IF(ISBLANK('Data Entry'!$C$523), "", 'Data Entry'!$C$523)</f>
      </c>
      <c r="D523">
        <f>IF(ISBLANK('Data Entry'!$D$523), "", 'Data Entry'!$D$523)</f>
      </c>
      <c r="E523">
        <f>IF(ISBLANK('Data Entry'!$E$523), "", 'Data Entry'!$E$523)</f>
      </c>
      <c r="F523">
        <f>IF(ISBLANK('Data Entry'!$F$523), "", 'Data Entry'!$F$523)</f>
      </c>
      <c r="G523">
        <f>IF(ISBLANK('Data Entry'!$G$523), "", 'Data Entry'!$G$523)</f>
      </c>
      <c r="H523">
        <f>IF(ISBLANK('Data Entry'!$H$523), "", 'Data Entry'!$H$523)</f>
      </c>
      <c r="I523">
        <f>IF(ISBLANK('Data Entry'!$I$523), "", 'Data Entry'!$I$523)</f>
      </c>
      <c r="J523">
        <f>IF(ISBLANK('Data Entry'!$J$523), "", 'Data Entry'!$J$523)</f>
      </c>
      <c r="K523">
        <f>IF(ISBLANK('Data Entry'!$K$523), "", 'Data Entry'!$K$523)</f>
      </c>
      <c r="L523">
        <f>IF(ISBLANK('Data Entry'!$L$523), "", 'Data Entry'!$L$523)</f>
      </c>
      <c r="M523">
        <f>IF(ISBLANK('Data Entry'!$M$523), "", 'Data Entry'!$M$523)</f>
      </c>
      <c r="N523">
        <f>IF(ISBLANK('Data Entry'!$N$523), "", 'Data Entry'!$N$523)</f>
      </c>
      <c r="O523">
        <f>IF(ISBLANK('Data Entry'!$O$523), "", 'Data Entry'!$O$523)</f>
      </c>
      <c r="P523">
        <f>IF(ISBLANK('Data Entry'!$P$523), "", 'Data Entry'!$P$523)</f>
      </c>
      <c r="Q523">
        <f>IF(ISBLANK('Data Entry'!$Q$523), "", 'Data Entry'!$Q$523)</f>
      </c>
      <c r="R523">
        <f>IF(ISBLANK('Data Entry'!$R$523), "", 'Data Entry'!$R$523)</f>
      </c>
      <c r="S523">
        <f>IF(ISBLANK('Data Entry'!$S$523), "", 'Data Entry'!$S$523)</f>
      </c>
      <c r="T523">
        <f>IF(ISBLANK('Data Entry'!$T$523), "", 'Data Entry'!$T$523)</f>
      </c>
      <c r="U523">
        <f>IF(ISBLANK('Data Entry'!$U$523), "", 'Data Entry'!$U$523)</f>
      </c>
      <c r="V523">
        <f>IF(ISBLANK('Data Entry'!$V$523), "", 'Data Entry'!$V$523)</f>
      </c>
      <c r="W523">
        <f>IF(ISBLANK('Data Entry'!$W$523), "", 'Data Entry'!$W$523)</f>
      </c>
      <c r="X523">
        <f>IF(ISBLANK('Data Entry'!$X$523), "", 'Data Entry'!$X$523)</f>
      </c>
      <c r="Y523">
        <f>IF(ISBLANK('Data Entry'!$Y$523), "", 'Data Entry'!$Y$523)</f>
      </c>
      <c r="Z523">
        <f>IF(ISBLANK('Data Entry'!$Z$523), "", 'Data Entry'!$Z$523)</f>
      </c>
      <c r="AA523">
        <f>IF(ISBLANK('Data Entry'!$[$523), "", 'Data Entry'!$[$523)</f>
      </c>
      <c r="AB523">
        <f>IF(ISBLANK('Data Entry'!$\$523), "", 'Data Entry'!$\$523)</f>
      </c>
      <c r="AC523">
        <f>IF(ISBLANK('Data Entry'!$]$523), "", 'Data Entry'!$]$523)</f>
      </c>
      <c r="AD523">
        <f>IF(ISBLANK('Data Entry'!$^$523), "", 'Data Entry'!$^$523)</f>
      </c>
      <c r="AE523">
        <f>IF(ISBLANK('Data Entry'!$_$523), "", 'Data Entry'!$_$523)</f>
      </c>
      <c r="AF523">
        <f>IF(ISBLANK('Data Entry'!$`$523), "", 'Data Entry'!$`$523)</f>
      </c>
      <c r="AG523">
        <f>IF(ISBLANK('Data Entry'!$a$523), "", 'Data Entry'!$a$523)</f>
      </c>
      <c r="AH523">
        <f>IF(ISBLANK('Data Entry'!$b$523), "", 'Data Entry'!$b$523)</f>
      </c>
      <c r="AI523">
        <f>IF(ISBLANK('Data Entry'!$c$523), "", 'Data Entry'!$c$523)</f>
      </c>
      <c r="AJ523">
        <f>IF(ISBLANK('Data Entry'!$d$523), "", 'Data Entry'!$d$523)</f>
      </c>
      <c r="AK523">
        <f>IF(ISBLANK('Data Entry'!$e$523), "", 'Data Entry'!$e$523)</f>
      </c>
      <c r="AL523">
        <f>IF(ISBLANK('Data Entry'!$f$523), "", 'Data Entry'!$f$523)</f>
      </c>
      <c r="AM523">
        <f>IF(ISBLANK('Data Entry'!$g$523), "", 'Data Entry'!$g$523)</f>
      </c>
      <c r="AN523">
        <f>IF(ISBLANK('Data Entry'!$h$523), "", 'Data Entry'!$h$523)</f>
      </c>
      <c r="AO523">
        <f>IF(ISBLANK('Data Entry'!$i$523), "", 'Data Entry'!$i$523)</f>
      </c>
      <c r="AP523">
        <f>IF(ISBLANK('Data Entry'!$j$523), "", 'Data Entry'!$j$523)</f>
      </c>
      <c r="AQ523">
        <f>IF(ISBLANK('Data Entry'!$k$523), "", 'Data Entry'!$k$523)</f>
      </c>
      <c r="AR523">
        <f>IF(ISBLANK('Data Entry'!$l$523), "", 'Data Entry'!$l$523)</f>
      </c>
      <c r="AS523">
        <f>IF(ISBLANK('Data Entry'!$m$523), "", 'Data Entry'!$m$523)</f>
      </c>
      <c r="AT523">
        <f>IF(ISBLANK('Data Entry'!$n$523), "", 'Data Entry'!$n$523)</f>
      </c>
      <c r="AU523">
        <f>IF(ISBLANK('Data Entry'!$o$523), "", 'Data Entry'!$o$523)</f>
      </c>
      <c r="AV523">
        <f>IF(ISBLANK('Data Entry'!$p$523), "", 'Data Entry'!$p$523)</f>
      </c>
      <c r="AW523">
        <f>IF(ISBLANK('Data Entry'!$q$523), "", 'Data Entry'!$q$523)</f>
      </c>
      <c r="AX523">
        <f>IF(ISBLANK('Data Entry'!$r$523), "", 'Data Entry'!$r$523)</f>
      </c>
      <c r="AY523">
        <f>IF(ISBLANK('Data Entry'!$s$523), "", 'Data Entry'!$s$523)</f>
      </c>
      <c r="AZ523">
        <f>IF(ISBLANK('Data Entry'!$t$523), "", 'Data Entry'!$t$523)</f>
      </c>
      <c r="BA523">
        <f>IF(ISBLANK('Data Entry'!$u$523), "", 'Data Entry'!$u$523)</f>
      </c>
      <c r="BB523">
        <f>IF(ISBLANK('Data Entry'!$v$523), "", 'Data Entry'!$v$523)</f>
      </c>
      <c r="BC523">
        <f>IF(ISBLANK('Data Entry'!$w$523), "", 'Data Entry'!$w$523)</f>
      </c>
      <c r="BD523">
        <f>IF(ISBLANK('Data Entry'!$x$523), "", 'Data Entry'!$x$523)</f>
      </c>
      <c r="BE523">
        <f>IF(ISBLANK('Data Entry'!$y$523), "", 'Data Entry'!$y$523)</f>
      </c>
      <c r="BF523">
        <f>IF(ISBLANK('Data Entry'!$z$523), "", 'Data Entry'!$z$523)</f>
      </c>
      <c r="BG523">
        <f>IF(ISBLANK('Data Entry'!${$523), "", 'Data Entry'!${$523)</f>
      </c>
      <c r="BH523">
        <f>IF(ISBLANK('Data Entry'!$|$523), "", 'Data Entry'!$|$523)</f>
      </c>
      <c r="BI523">
        <f>IF(ISBLANK('Data Entry'!$}$523), "", 'Data Entry'!$}$523)</f>
      </c>
      <c r="BJ523">
        <f>IF(ISBLANK('Data Entry'!$~$523), "", 'Data Entry'!$~$523)</f>
      </c>
      <c r="BK523">
        <f>IF(ISBLANK('Data Entry'!$$523), "", 'Data Entry'!$$523)</f>
      </c>
      <c r="BL523">
        <f>IF(ISBLANK('Data Entry'!$$523), "", 'Data Entry'!$$523)</f>
      </c>
      <c r="BM523">
        <f>IF(ISBLANK('Data Entry'!$$523), "", 'Data Entry'!$$523)</f>
      </c>
      <c r="BN523">
        <f>IF(ISBLANK('Data Entry'!$$523), "", 'Data Entry'!$$523)</f>
      </c>
      <c r="BO523">
        <f>IF(ISBLANK('Data Entry'!$$523), "", 'Data Entry'!$$523)</f>
      </c>
      <c r="BP523">
        <f>IF(ISBLANK('Data Entry'!$$523), "", 'Data Entry'!$$523)</f>
      </c>
      <c r="BQ523">
        <f>IF(ISBLANK('Data Entry'!$$523), "", 'Data Entry'!$$523)</f>
      </c>
      <c r="BR523">
        <f>IF(ISBLANK('Data Entry'!$$523), "", 'Data Entry'!$$523)</f>
      </c>
      <c r="BS523">
        <f>IF(ISBLANK('Data Entry'!$$523), "", 'Data Entry'!$$523)</f>
      </c>
      <c r="BT523">
        <f>IF(ISBLANK('Data Entry'!$$523), "", 'Data Entry'!$$523)</f>
      </c>
      <c r="BU523">
        <f>IF(ISBLANK('Data Entry'!$$523), "", 'Data Entry'!$$523)</f>
      </c>
      <c r="BV523">
        <f>IF(ISBLANK('Data Entry'!$$523), "", 'Data Entry'!$$523)</f>
      </c>
      <c r="BW523">
        <f>IF(ISBLANK('Data Entry'!$$523), "", 'Data Entry'!$$523)</f>
      </c>
      <c r="BX523">
        <f>IF(ISBLANK('Data Entry'!$$523), "", 'Data Entry'!$$523)</f>
      </c>
      <c r="BY523">
        <f>IF(ISBLANK('Data Entry'!$$523), "", 'Data Entry'!$$523)</f>
      </c>
      <c r="BZ523">
        <f>IF(ISBLANK('Data Entry'!$$523), "", 'Data Entry'!$$523)</f>
      </c>
      <c r="CA523">
        <f>IF(ISBLANK('Data Entry'!$$523), "", 'Data Entry'!$$523)</f>
      </c>
      <c r="CB523">
        <f>IF(ISBLANK('Data Entry'!$$523), "", 'Data Entry'!$$523)</f>
      </c>
      <c r="CC523">
        <f>IF(ISBLANK('Data Entry'!$$523), "", 'Data Entry'!$$523)</f>
      </c>
      <c r="CD523">
        <f>IF(ISBLANK('Data Entry'!$$523), "", 'Data Entry'!$$523)</f>
      </c>
      <c r="CE523">
        <f>IF(ISBLANK('Data Entry'!$$523), "", 'Data Entry'!$$523)</f>
      </c>
      <c r="CF523">
        <f>IF(ISBLANK('Data Entry'!$$523), "", 'Data Entry'!$$523)</f>
      </c>
      <c r="CG523">
        <f>IF(ISBLANK('Data Entry'!$$523), "", 'Data Entry'!$$523)</f>
      </c>
      <c r="CH523">
        <f>IF(ISBLANK('Data Entry'!$$523), "", 'Data Entry'!$$523)</f>
      </c>
      <c r="CI523">
        <f>IF(ISBLANK('Data Entry'!$$523), "", 'Data Entry'!$$523)</f>
      </c>
      <c r="CJ523">
        <f>IF(ISBLANK('Data Entry'!$$523), "", 'Data Entry'!$$523)</f>
      </c>
      <c r="CK523">
        <f>IF(ISBLANK('Data Entry'!$$523), "", 'Data Entry'!$$523)</f>
      </c>
      <c r="CL523">
        <f>IF(ISBLANK('Data Entry'!$$523), "", 'Data Entry'!$$523)</f>
      </c>
      <c r="CM523">
        <f>IF(ISBLANK('Data Entry'!$$523), "", 'Data Entry'!$$523)</f>
      </c>
      <c r="CN523">
        <f>IF(ISBLANK('Data Entry'!$$523), "", 'Data Entry'!$$523)</f>
      </c>
      <c r="CO523">
        <f>IF(ISBLANK('Data Entry'!$$523), "", 'Data Entry'!$$523)</f>
      </c>
      <c r="CP523">
        <f>IF(ISBLANK('Data Entry'!$$523), "", 'Data Entry'!$$523)</f>
      </c>
      <c r="CQ523">
        <f>IF(ISBLANK('Data Entry'!$$523), "", 'Data Entry'!$$523)</f>
      </c>
      <c r="CR523">
        <f>IF(ISBLANK('Data Entry'!$ $523), "", 'Data Entry'!$ $523)</f>
      </c>
      <c r="CS523">
        <f>IF(ISBLANK('Data Entry'!$¡$523), "", 'Data Entry'!$¡$523)</f>
      </c>
      <c r="CT523">
        <f>IF(ISBLANK('Data Entry'!$¢$523), "", 'Data Entry'!$¢$523)</f>
      </c>
      <c r="CU523">
        <f>IF(ISBLANK('Data Entry'!$£$523), "", 'Data Entry'!$£$523)</f>
      </c>
      <c r="CV523">
        <f>IF(ISBLANK('Data Entry'!$¤$523), "", 'Data Entry'!$¤$523)</f>
      </c>
      <c r="CW523">
        <f>IF(ISBLANK('Data Entry'!$¥$523), "", 'Data Entry'!$¥$523)</f>
      </c>
      <c r="CX523">
        <f>IF(ISBLANK('Data Entry'!$¦$523), "", 'Data Entry'!$¦$523)</f>
      </c>
      <c r="CY523">
        <f>IF(ISBLANK('Data Entry'!$§$523), "", 'Data Entry'!$§$523)</f>
      </c>
      <c r="CZ523">
        <f>IF(ISBLANK('Data Entry'!$¨$523), "", 'Data Entry'!$¨$523)</f>
      </c>
      <c r="DA523">
        <f>IF(ISBLANK('Data Entry'!$©$523), "", 'Data Entry'!$©$523)</f>
      </c>
      <c r="DB523">
        <f>IF(ISBLANK('Data Entry'!$ª$523), "", 'Data Entry'!$ª$523)</f>
      </c>
      <c r="DC523">
        <f>IF(ISBLANK('Data Entry'!$«$523), "", 'Data Entry'!$«$523)</f>
      </c>
      <c r="DD523">
        <f>IF(ISBLANK('Data Entry'!$¬$523), "", 'Data Entry'!$¬$523)</f>
      </c>
      <c r="DE523">
        <f>IF(ISBLANK('Data Entry'!$­$523), "", 'Data Entry'!$­$523)</f>
      </c>
      <c r="DF523">
        <f>IF(ISBLANK('Data Entry'!$®$523), "", 'Data Entry'!$®$523)</f>
      </c>
      <c r="DG523">
        <f>IF(ISBLANK('Data Entry'!$¯$523), "", 'Data Entry'!$¯$523)</f>
      </c>
      <c r="DH523">
        <f>IF(ISBLANK('Data Entry'!$°$523), "", 'Data Entry'!$°$523)</f>
      </c>
      <c r="DI523">
        <f>IF(ISBLANK('Data Entry'!$±$523), "", 'Data Entry'!$±$523)</f>
      </c>
      <c r="DJ523">
        <f>IF(ISBLANK('Data Entry'!$²$523), "", 'Data Entry'!$²$523)</f>
      </c>
      <c r="DK523">
        <f>IF(ISBLANK('Data Entry'!$³$523), "", 'Data Entry'!$³$523)</f>
      </c>
      <c r="DL523">
        <f>IF(ISBLANK('Data Entry'!$´$523), "", 'Data Entry'!$´$523)</f>
      </c>
      <c r="DM523">
        <f>IF(ISBLANK('Data Entry'!$µ$523), "", 'Data Entry'!$µ$523)</f>
      </c>
      <c r="DN523">
        <f>IF(ISBLANK('Data Entry'!$¶$523), "", 'Data Entry'!$¶$523)</f>
      </c>
      <c r="DO523">
        <f>IF(ISBLANK('Data Entry'!$·$523), "", 'Data Entry'!$·$523)</f>
      </c>
      <c r="DP523">
        <f>IF(ISBLANK('Data Entry'!$¸$523), "", 'Data Entry'!$¸$523)</f>
      </c>
      <c r="DQ523">
        <f>IF(ISBLANK('Data Entry'!$¹$523), "", 'Data Entry'!$¹$523)</f>
      </c>
      <c r="DR523">
        <f>IF(ISBLANK('Data Entry'!$º$523), "", 'Data Entry'!$º$523)</f>
      </c>
      <c r="DS523">
        <f>IF(ISBLANK('Data Entry'!$»$523), "", 'Data Entry'!$»$523)</f>
      </c>
      <c r="DT523">
        <f>IF(ISBLANK('Data Entry'!$¼$523), "", 'Data Entry'!$¼$523)</f>
      </c>
      <c r="DU523">
        <f>IF(ISBLANK('Data Entry'!$½$523), "", 'Data Entry'!$½$523)</f>
      </c>
      <c r="DV523">
        <f>IF(ISBLANK('Data Entry'!$¾$523), "", 'Data Entry'!$¾$523)</f>
      </c>
      <c r="DW523">
        <f>IF(ISBLANK('Data Entry'!$¿$523), "", 'Data Entry'!$¿$523)</f>
      </c>
      <c r="DX523">
        <f>IF(ISBLANK('Data Entry'!$À$523), "", 'Data Entry'!$À$523)</f>
      </c>
      <c r="DY523">
        <f>IF(ISBLANK('Data Entry'!$Á$523), "", 'Data Entry'!$Á$523)</f>
      </c>
      <c r="DZ523">
        <f>IF(ISBLANK('Data Entry'!$Â$523), "", 'Data Entry'!$Â$523)</f>
      </c>
      <c r="EA523">
        <f>IF(ISBLANK('Data Entry'!$Ã$523), "", 'Data Entry'!$Ã$523)</f>
      </c>
      <c r="EB523">
        <f>IF(ISBLANK('Data Entry'!$Ä$523), "", 'Data Entry'!$Ä$523)</f>
      </c>
      <c r="EC523">
        <f>IF(ISBLANK('Data Entry'!$Å$523), "", 'Data Entry'!$Å$523)</f>
      </c>
      <c r="ED523">
        <f>IF(ISBLANK('Data Entry'!$Æ$523), "", 'Data Entry'!$Æ$523)</f>
      </c>
      <c r="EE523">
        <f>IF(ISBLANK('Data Entry'!$Ç$523), "", 'Data Entry'!$Ç$523)</f>
      </c>
      <c r="EF523">
        <f>IF(ISBLANK('Data Entry'!$È$523), "", 'Data Entry'!$È$523)</f>
      </c>
      <c r="EG523">
        <f>IF(ISBLANK('Data Entry'!$É$523), "", 'Data Entry'!$É$523)</f>
      </c>
      <c r="EH523">
        <f>IF(ISBLANK('Data Entry'!$Ê$523), "", 'Data Entry'!$Ê$523)</f>
      </c>
      <c r="EI523">
        <f>IF(ISBLANK('Data Entry'!$Ë$523), "", 'Data Entry'!$Ë$523)</f>
      </c>
      <c r="EJ523">
        <f>IF(ISBLANK('Data Entry'!$Ì$523), "", 'Data Entry'!$Ì$523)</f>
      </c>
      <c r="EK523">
        <f>IF(ISBLANK('Data Entry'!$Í$523), "", 'Data Entry'!$Í$523)</f>
      </c>
      <c r="EL523">
        <f>IF(ISBLANK('Data Entry'!$Î$523), "", 'Data Entry'!$Î$523)</f>
      </c>
      <c r="EM523">
        <f>IF(ISBLANK('Data Entry'!$Ï$523), "", 'Data Entry'!$Ï$523)</f>
      </c>
      <c r="EN523">
        <f>IF(ISBLANK('Data Entry'!$Ð$523), "", 'Data Entry'!$Ð$523)</f>
      </c>
      <c r="EO523">
        <f>IF(ISBLANK('Data Entry'!$Ñ$523), "", 'Data Entry'!$Ñ$523)</f>
      </c>
      <c r="EP523">
        <f>IF(ISBLANK('Data Entry'!$Ò$523), "", 'Data Entry'!$Ò$523)</f>
      </c>
      <c r="EQ523">
        <f>IF(ISBLANK('Data Entry'!$Ó$523), "", 'Data Entry'!$Ó$523)</f>
      </c>
      <c r="ER523">
        <f>IF(ISBLANK('Data Entry'!$Ô$523), "", 'Data Entry'!$Ô$523)</f>
      </c>
      <c r="ES523">
        <f>IF(ISBLANK('Data Entry'!$Õ$523), "", 'Data Entry'!$Õ$523)</f>
      </c>
      <c r="ET523">
        <f>IF(ISBLANK('Data Entry'!$Ö$523), "", 'Data Entry'!$Ö$523)</f>
      </c>
      <c r="EU523">
        <f>IF(ISBLANK('Data Entry'!$×$523), "", 'Data Entry'!$×$523)</f>
      </c>
      <c r="EV523">
        <f>IF(ISBLANK('Data Entry'!$Ø$523), "", 'Data Entry'!$Ø$523)</f>
      </c>
      <c r="EW523">
        <f>IF(ISBLANK('Data Entry'!$Ù$523), "", 'Data Entry'!$Ù$523)</f>
      </c>
      <c r="EX523">
        <f>IF(ISBLANK('Data Entry'!$Ú$523), "", 'Data Entry'!$Ú$523)</f>
      </c>
      <c r="EY523">
        <f>IF(ISBLANK('Data Entry'!$Û$523), "", 'Data Entry'!$Û$523)</f>
      </c>
      <c r="EZ523">
        <f>IF(ISBLANK('Data Entry'!$Ü$523), "", 'Data Entry'!$Ü$523)</f>
      </c>
      <c r="FA523">
        <f>IF(ISBLANK('Data Entry'!$Ý$523), "", 'Data Entry'!$Ý$523)</f>
      </c>
      <c r="FB523">
        <f>IF(ISBLANK('Data Entry'!$Þ$523), "", 'Data Entry'!$Þ$523)</f>
      </c>
      <c r="FC523">
        <f>IF(ISBLANK('Data Entry'!$ß$523), "", 'Data Entry'!$ß$523)</f>
      </c>
      <c r="FD523">
        <f>IF(ISBLANK('Data Entry'!$à$523), "", 'Data Entry'!$à$523)</f>
      </c>
      <c r="FE523">
        <f>IF(ISBLANK('Data Entry'!$á$523), "", 'Data Entry'!$á$523)</f>
      </c>
      <c r="FF523">
        <f>IF(ISBLANK('Data Entry'!$â$523), "", 'Data Entry'!$â$523)</f>
      </c>
      <c r="FG523">
        <f>IF(ISBLANK('Data Entry'!$ã$523), "", 'Data Entry'!$ã$523)</f>
      </c>
      <c r="FH523">
        <f>IF(ISBLANK('Data Entry'!$ä$523), "", 'Data Entry'!$ä$523)</f>
      </c>
      <c r="FI523">
        <f>IF(ISBLANK('Data Entry'!$å$523), "", 'Data Entry'!$å$523)</f>
      </c>
      <c r="FJ523">
        <f>IF(ISBLANK('Data Entry'!$æ$523), "", 'Data Entry'!$æ$523)</f>
      </c>
      <c r="FK523">
        <f>IF(ISBLANK('Data Entry'!$ç$523), "", 'Data Entry'!$ç$523)</f>
      </c>
      <c r="FL523">
        <f>IF(ISBLANK('Data Entry'!$è$523), "", 'Data Entry'!$è$523)</f>
      </c>
      <c r="FM523">
        <f>IF(ISBLANK('Data Entry'!$é$523), "", 'Data Entry'!$é$523)</f>
      </c>
      <c r="FN523">
        <f>IF(ISBLANK('Data Entry'!$ê$523), "", 'Data Entry'!$ê$523)</f>
      </c>
      <c r="FO523">
        <f>IF(ISBLANK('Data Entry'!$ë$523), "", 'Data Entry'!$ë$523)</f>
      </c>
      <c r="FP523">
        <f>IF(ISBLANK('Data Entry'!$ì$523), "", 'Data Entry'!$ì$523)</f>
      </c>
      <c r="FQ523">
        <f>IF(ISBLANK('Data Entry'!$í$523), "", 'Data Entry'!$í$523)</f>
      </c>
      <c r="FR523">
        <f>IF(ISBLANK('Data Entry'!$î$523), "", 'Data Entry'!$î$523)</f>
      </c>
      <c r="FS523">
        <f>IF(ISBLANK('Data Entry'!$ï$523), "", 'Data Entry'!$ï$523)</f>
      </c>
      <c r="FT523">
        <f>IF(ISBLANK('Data Entry'!$ð$523), "", 'Data Entry'!$ð$523)</f>
      </c>
      <c r="FU523">
        <f>IF(ISBLANK('Data Entry'!$ñ$523), "", 'Data Entry'!$ñ$523)</f>
      </c>
      <c r="FV523">
        <f>IF(ISBLANK('Data Entry'!$ò$523), "", 'Data Entry'!$ò$523)</f>
      </c>
      <c r="FW523">
        <f>IF(ISBLANK('Data Entry'!$ó$523), "", 'Data Entry'!$ó$523)</f>
      </c>
      <c r="FX523">
        <f>IF(ISBLANK('Data Entry'!$ô$523), "", 'Data Entry'!$ô$523)</f>
      </c>
      <c r="FY523">
        <f>IF(ISBLANK('Data Entry'!$õ$523), "", 'Data Entry'!$õ$523)</f>
      </c>
      <c r="FZ523">
        <f>IF(ISBLANK('Data Entry'!$ö$523), "", 'Data Entry'!$ö$523)</f>
      </c>
      <c r="GA523">
        <f>IF(ISBLANK('Data Entry'!$÷$523), "", 'Data Entry'!$÷$523)</f>
      </c>
      <c r="GB523">
        <f>IF(ISBLANK('Data Entry'!$ø$523), "", 'Data Entry'!$ø$523)</f>
      </c>
      <c r="GC523">
        <f>IF(ISBLANK('Data Entry'!$ù$523), "", 'Data Entry'!$ù$523)</f>
      </c>
      <c r="GD523">
        <f>IF(ISBLANK('Data Entry'!$ú$523), "", 'Data Entry'!$ú$523)</f>
      </c>
      <c r="GE523">
        <f>IF(ISBLANK('Data Entry'!$û$523), "", 'Data Entry'!$û$523)</f>
      </c>
      <c r="GF523">
        <f>IF(ISBLANK('Data Entry'!$ü$523), "", 'Data Entry'!$ü$523)</f>
      </c>
      <c r="GG523">
        <f>IF(ISBLANK('Data Entry'!$ý$523), "", 'Data Entry'!$ý$523)</f>
      </c>
      <c r="GH523">
        <f>IF(ISBLANK('Data Entry'!$þ$523), "", 'Data Entry'!$þ$523)</f>
      </c>
      <c r="GI523">
        <f>IF(ISBLANK('Data Entry'!$ÿ$523), "", 'Data Entry'!$ÿ$523)</f>
      </c>
      <c r="GJ523">
        <f>IF(ISBLANK('Data Entry'!$Ā$523), "", 'Data Entry'!$Ā$523)</f>
      </c>
      <c r="GK523">
        <f>IF(ISBLANK('Data Entry'!$ā$523), "", 'Data Entry'!$ā$523)</f>
      </c>
      <c r="GL523">
        <f>IF(ISBLANK('Data Entry'!$Ă$523), "", 'Data Entry'!$Ă$523)</f>
      </c>
      <c r="GM523">
        <f>IF(ISBLANK('Data Entry'!$ă$523), "", 'Data Entry'!$ă$523)</f>
      </c>
      <c r="GN523">
        <f>IF(ISBLANK('Data Entry'!$Ą$523), "", 'Data Entry'!$Ą$523)</f>
      </c>
      <c r="GO523">
        <f>IF(ISBLANK('Data Entry'!$ą$523), "", 'Data Entry'!$ą$523)</f>
      </c>
      <c r="GP523">
        <f>IF(ISBLANK('Data Entry'!$Ć$523), "", 'Data Entry'!$Ć$523)</f>
      </c>
      <c r="GQ523">
        <f>IF(ISBLANK('Data Entry'!$ć$523), "", 'Data Entry'!$ć$523)</f>
      </c>
      <c r="GR523">
        <f>IF(ISBLANK('Data Entry'!$Ĉ$523), "", 'Data Entry'!$Ĉ$523)</f>
      </c>
      <c r="GS523">
        <f>IF(ISBLANK('Data Entry'!$ĉ$523), "", 'Data Entry'!$ĉ$523)</f>
      </c>
      <c r="GT523">
        <f>IF(ISBLANK('Data Entry'!$Ċ$523), "", 'Data Entry'!$Ċ$523)</f>
      </c>
      <c r="GU523">
        <f>IF(ISBLANK('Data Entry'!$ċ$523), "", 'Data Entry'!$ċ$523)</f>
      </c>
      <c r="GV523">
        <f>IF(ISBLANK('Data Entry'!$Č$523), "", 'Data Entry'!$Č$523)</f>
      </c>
      <c r="GW523">
        <f>IF(ISBLANK('Data Entry'!$č$523), "", 'Data Entry'!$č$523)</f>
      </c>
      <c r="GX523">
        <f>IF(ISBLANK('Data Entry'!$Ď$523), "", 'Data Entry'!$Ď$523)</f>
      </c>
      <c r="GY523">
        <f>IF(ISBLANK('Data Entry'!$ď$523), "", 'Data Entry'!$ď$523)</f>
      </c>
      <c r="GZ523">
        <f>IF(ISBLANK('Data Entry'!$Đ$523), "", 'Data Entry'!$Đ$523)</f>
      </c>
      <c r="HA523">
        <f>IF(ISBLANK('Data Entry'!$đ$523), "", 'Data Entry'!$đ$523)</f>
      </c>
      <c r="HB523">
        <f>IF(ISBLANK('Data Entry'!$Ē$523), "", 'Data Entry'!$Ē$523)</f>
      </c>
      <c r="HC523">
        <f>IF(ISBLANK('Data Entry'!$ē$523), "", 'Data Entry'!$ē$523)</f>
      </c>
      <c r="HD523">
        <f>IF(ISBLANK('Data Entry'!$Ĕ$523), "", 'Data Entry'!$Ĕ$523)</f>
      </c>
      <c r="HE523">
        <f>IF(ISBLANK('Data Entry'!$ĕ$523), "", 'Data Entry'!$ĕ$523)</f>
      </c>
      <c r="HF523">
        <f>IF(ISBLANK('Data Entry'!$Ė$523), "", 'Data Entry'!$Ė$523)</f>
      </c>
      <c r="HG523">
        <f>IF(ISBLANK('Data Entry'!$ė$523), "", 'Data Entry'!$ė$523)</f>
      </c>
      <c r="HH523">
        <f>IF(ISBLANK('Data Entry'!$Ę$523), "", 'Data Entry'!$Ę$523)</f>
      </c>
      <c r="HI523">
        <f>IF(ISBLANK('Data Entry'!$ę$523), "", 'Data Entry'!$ę$523)</f>
      </c>
      <c r="HJ523">
        <f>IF(ISBLANK('Data Entry'!$Ě$523), "", 'Data Entry'!$Ě$523)</f>
      </c>
      <c r="HK523">
        <f>IF(ISBLANK('Data Entry'!$ě$523), "", 'Data Entry'!$ě$523)</f>
      </c>
      <c r="HL523">
        <f>IF(ISBLANK('Data Entry'!$Ĝ$523), "", 'Data Entry'!$Ĝ$523)</f>
      </c>
      <c r="HM523">
        <f>IF(ISBLANK('Data Entry'!$ĝ$523), "", 'Data Entry'!$ĝ$523)</f>
      </c>
      <c r="HN523">
        <f>IF(ISBLANK('Data Entry'!$Ğ$523), "", 'Data Entry'!$Ğ$523)</f>
      </c>
      <c r="HO523">
        <f>IF(ISBLANK('Data Entry'!$ğ$523), "", 'Data Entry'!$ğ$523)</f>
      </c>
      <c r="HP523">
        <f>IF(ISBLANK('Data Entry'!$Ġ$523), "", 'Data Entry'!$Ġ$523)</f>
      </c>
      <c r="HQ523">
        <f>IF(ISBLANK('Data Entry'!$ġ$523), "", 'Data Entry'!$ġ$523)</f>
      </c>
      <c r="HR523">
        <f>IF(ISBLANK('Data Entry'!$Ģ$523), "", 'Data Entry'!$Ģ$523)</f>
      </c>
      <c r="HS523">
        <f>IF(ISBLANK('Data Entry'!$ģ$523), "", 'Data Entry'!$ģ$523)</f>
      </c>
      <c r="HT523">
        <f>IF(ISBLANK('Data Entry'!$Ĥ$523), "", 'Data Entry'!$Ĥ$523)</f>
      </c>
      <c r="HU523">
        <f>IF(ISBLANK('Data Entry'!$ĥ$523), "", 'Data Entry'!$ĥ$523)</f>
      </c>
      <c r="HV523">
        <f>IF(ISBLANK('Data Entry'!$Ħ$523), "", 'Data Entry'!$Ħ$523)</f>
      </c>
      <c r="HW523">
        <f>IF(ISBLANK('Data Entry'!$ħ$523), "", 'Data Entry'!$ħ$523)</f>
      </c>
      <c r="HX523">
        <f>IF(ISBLANK('Data Entry'!$Ĩ$523), "", 'Data Entry'!$Ĩ$523)</f>
      </c>
      <c r="HY523">
        <f>IF(ISBLANK('Data Entry'!$ĩ$523), "", 'Data Entry'!$ĩ$523)</f>
      </c>
      <c r="HZ523">
        <f>IF(ISBLANK('Data Entry'!$Ī$523), "", 'Data Entry'!$Ī$523)</f>
      </c>
      <c r="IA523">
        <f>IF(ISBLANK('Data Entry'!$ī$523), "", 'Data Entry'!$ī$523)</f>
      </c>
      <c r="IB523">
        <f>IF(ISBLANK('Data Entry'!$Ĭ$523), "", 'Data Entry'!$Ĭ$523)</f>
      </c>
      <c r="IC523">
        <f>IF(ISBLANK('Data Entry'!$ĭ$523), "", 'Data Entry'!$ĭ$523)</f>
      </c>
      <c r="ID523">
        <f>IF(ISBLANK('Data Entry'!$Į$523), "", 'Data Entry'!$Į$523)</f>
      </c>
      <c r="IE523">
        <f>IF(ISBLANK('Data Entry'!$į$523), "", 'Data Entry'!$į$523)</f>
      </c>
      <c r="IF523">
        <f>IF(ISBLANK('Data Entry'!$İ$523), "", 'Data Entry'!$İ$523)</f>
      </c>
      <c r="IG523">
        <f>IF(ISBLANK('Data Entry'!$ı$523), "", 'Data Entry'!$ı$523)</f>
      </c>
      <c r="IH523">
        <f>IF(ISBLANK('Data Entry'!$Ĳ$523), "", 'Data Entry'!$Ĳ$523)</f>
      </c>
      <c r="II523">
        <f>IF(ISBLANK('Data Entry'!$ĳ$523), "", 'Data Entry'!$ĳ$523)</f>
      </c>
      <c r="IJ523">
        <f>IF(ISBLANK('Data Entry'!$Ĵ$523), "", 'Data Entry'!$Ĵ$523)</f>
      </c>
      <c r="IK523">
        <f>IF(ISBLANK('Data Entry'!$ĵ$523), "", 'Data Entry'!$ĵ$523)</f>
      </c>
      <c r="IL523">
        <f>IF(ISBLANK('Data Entry'!$Ķ$523), "", 'Data Entry'!$Ķ$523)</f>
      </c>
      <c r="IM523">
        <f>IF(ISBLANK('Data Entry'!$ķ$523), "", 'Data Entry'!$ķ$523)</f>
      </c>
      <c r="IN523">
        <f>IF(ISBLANK('Data Entry'!$ĸ$523), "", 'Data Entry'!$ĸ$523)</f>
      </c>
      <c r="IO523">
        <f>IF(ISBLANK('Data Entry'!$Ĺ$523), "", 'Data Entry'!$Ĺ$523)</f>
      </c>
      <c r="IP523">
        <f>IF(ISBLANK('Data Entry'!$ĺ$523), "", 'Data Entry'!$ĺ$523)</f>
      </c>
      <c r="IQ523">
        <f>IF(ISBLANK('Data Entry'!$Ļ$523), "", 'Data Entry'!$Ļ$523)</f>
      </c>
      <c r="IR523">
        <f>IF(ISBLANK('Data Entry'!$ļ$523), "", 'Data Entry'!$ļ$523)</f>
      </c>
      <c r="IS523">
        <f>IF(ISBLANK('Data Entry'!$Ľ$523), "", 'Data Entry'!$Ľ$523)</f>
      </c>
      <c r="IT523">
        <f>IF(ISBLANK('Data Entry'!$ľ$523), "", 'Data Entry'!$ľ$523)</f>
      </c>
    </row>
    <row r="524" spans="1:254" x14ac:dyDescent="0.25">
      <c r="A524">
        <f>IF(ISBLANK('Data Entry'!$A$524), "", 'Data Entry'!$A$524)</f>
      </c>
      <c r="B524">
        <f>IF(ISBLANK('Data Entry'!$B$524), "", 'Data Entry'!$B$524)</f>
      </c>
      <c r="C524">
        <f>IF(ISBLANK('Data Entry'!$C$524), "", 'Data Entry'!$C$524)</f>
      </c>
      <c r="D524">
        <f>IF(ISBLANK('Data Entry'!$D$524), "", 'Data Entry'!$D$524)</f>
      </c>
      <c r="E524">
        <f>IF(ISBLANK('Data Entry'!$E$524), "", 'Data Entry'!$E$524)</f>
      </c>
      <c r="F524">
        <f>IF(ISBLANK('Data Entry'!$F$524), "", 'Data Entry'!$F$524)</f>
      </c>
      <c r="G524">
        <f>IF(ISBLANK('Data Entry'!$G$524), "", 'Data Entry'!$G$524)</f>
      </c>
      <c r="H524">
        <f>IF(ISBLANK('Data Entry'!$H$524), "", 'Data Entry'!$H$524)</f>
      </c>
      <c r="I524">
        <f>IF(ISBLANK('Data Entry'!$I$524), "", 'Data Entry'!$I$524)</f>
      </c>
      <c r="J524">
        <f>IF(ISBLANK('Data Entry'!$J$524), "", 'Data Entry'!$J$524)</f>
      </c>
      <c r="K524">
        <f>IF(ISBLANK('Data Entry'!$K$524), "", 'Data Entry'!$K$524)</f>
      </c>
      <c r="L524">
        <f>IF(ISBLANK('Data Entry'!$L$524), "", 'Data Entry'!$L$524)</f>
      </c>
      <c r="M524">
        <f>IF(ISBLANK('Data Entry'!$M$524), "", 'Data Entry'!$M$524)</f>
      </c>
      <c r="N524">
        <f>IF(ISBLANK('Data Entry'!$N$524), "", 'Data Entry'!$N$524)</f>
      </c>
      <c r="O524">
        <f>IF(ISBLANK('Data Entry'!$O$524), "", 'Data Entry'!$O$524)</f>
      </c>
      <c r="P524">
        <f>IF(ISBLANK('Data Entry'!$P$524), "", 'Data Entry'!$P$524)</f>
      </c>
      <c r="Q524">
        <f>IF(ISBLANK('Data Entry'!$Q$524), "", 'Data Entry'!$Q$524)</f>
      </c>
      <c r="R524">
        <f>IF(ISBLANK('Data Entry'!$R$524), "", 'Data Entry'!$R$524)</f>
      </c>
      <c r="S524">
        <f>IF(ISBLANK('Data Entry'!$S$524), "", 'Data Entry'!$S$524)</f>
      </c>
      <c r="T524">
        <f>IF(ISBLANK('Data Entry'!$T$524), "", 'Data Entry'!$T$524)</f>
      </c>
      <c r="U524">
        <f>IF(ISBLANK('Data Entry'!$U$524), "", 'Data Entry'!$U$524)</f>
      </c>
      <c r="V524">
        <f>IF(ISBLANK('Data Entry'!$V$524), "", 'Data Entry'!$V$524)</f>
      </c>
      <c r="W524">
        <f>IF(ISBLANK('Data Entry'!$W$524), "", 'Data Entry'!$W$524)</f>
      </c>
      <c r="X524">
        <f>IF(ISBLANK('Data Entry'!$X$524), "", 'Data Entry'!$X$524)</f>
      </c>
      <c r="Y524">
        <f>IF(ISBLANK('Data Entry'!$Y$524), "", 'Data Entry'!$Y$524)</f>
      </c>
      <c r="Z524">
        <f>IF(ISBLANK('Data Entry'!$Z$524), "", 'Data Entry'!$Z$524)</f>
      </c>
      <c r="AA524">
        <f>IF(ISBLANK('Data Entry'!$[$524), "", 'Data Entry'!$[$524)</f>
      </c>
      <c r="AB524">
        <f>IF(ISBLANK('Data Entry'!$\$524), "", 'Data Entry'!$\$524)</f>
      </c>
      <c r="AC524">
        <f>IF(ISBLANK('Data Entry'!$]$524), "", 'Data Entry'!$]$524)</f>
      </c>
      <c r="AD524">
        <f>IF(ISBLANK('Data Entry'!$^$524), "", 'Data Entry'!$^$524)</f>
      </c>
      <c r="AE524">
        <f>IF(ISBLANK('Data Entry'!$_$524), "", 'Data Entry'!$_$524)</f>
      </c>
      <c r="AF524">
        <f>IF(ISBLANK('Data Entry'!$`$524), "", 'Data Entry'!$`$524)</f>
      </c>
      <c r="AG524">
        <f>IF(ISBLANK('Data Entry'!$a$524), "", 'Data Entry'!$a$524)</f>
      </c>
      <c r="AH524">
        <f>IF(ISBLANK('Data Entry'!$b$524), "", 'Data Entry'!$b$524)</f>
      </c>
      <c r="AI524">
        <f>IF(ISBLANK('Data Entry'!$c$524), "", 'Data Entry'!$c$524)</f>
      </c>
      <c r="AJ524">
        <f>IF(ISBLANK('Data Entry'!$d$524), "", 'Data Entry'!$d$524)</f>
      </c>
      <c r="AK524">
        <f>IF(ISBLANK('Data Entry'!$e$524), "", 'Data Entry'!$e$524)</f>
      </c>
      <c r="AL524">
        <f>IF(ISBLANK('Data Entry'!$f$524), "", 'Data Entry'!$f$524)</f>
      </c>
      <c r="AM524">
        <f>IF(ISBLANK('Data Entry'!$g$524), "", 'Data Entry'!$g$524)</f>
      </c>
      <c r="AN524">
        <f>IF(ISBLANK('Data Entry'!$h$524), "", 'Data Entry'!$h$524)</f>
      </c>
      <c r="AO524">
        <f>IF(ISBLANK('Data Entry'!$i$524), "", 'Data Entry'!$i$524)</f>
      </c>
      <c r="AP524">
        <f>IF(ISBLANK('Data Entry'!$j$524), "", 'Data Entry'!$j$524)</f>
      </c>
      <c r="AQ524">
        <f>IF(ISBLANK('Data Entry'!$k$524), "", 'Data Entry'!$k$524)</f>
      </c>
      <c r="AR524">
        <f>IF(ISBLANK('Data Entry'!$l$524), "", 'Data Entry'!$l$524)</f>
      </c>
      <c r="AS524">
        <f>IF(ISBLANK('Data Entry'!$m$524), "", 'Data Entry'!$m$524)</f>
      </c>
      <c r="AT524">
        <f>IF(ISBLANK('Data Entry'!$n$524), "", 'Data Entry'!$n$524)</f>
      </c>
      <c r="AU524">
        <f>IF(ISBLANK('Data Entry'!$o$524), "", 'Data Entry'!$o$524)</f>
      </c>
      <c r="AV524">
        <f>IF(ISBLANK('Data Entry'!$p$524), "", 'Data Entry'!$p$524)</f>
      </c>
      <c r="AW524">
        <f>IF(ISBLANK('Data Entry'!$q$524), "", 'Data Entry'!$q$524)</f>
      </c>
      <c r="AX524">
        <f>IF(ISBLANK('Data Entry'!$r$524), "", 'Data Entry'!$r$524)</f>
      </c>
      <c r="AY524">
        <f>IF(ISBLANK('Data Entry'!$s$524), "", 'Data Entry'!$s$524)</f>
      </c>
      <c r="AZ524">
        <f>IF(ISBLANK('Data Entry'!$t$524), "", 'Data Entry'!$t$524)</f>
      </c>
      <c r="BA524">
        <f>IF(ISBLANK('Data Entry'!$u$524), "", 'Data Entry'!$u$524)</f>
      </c>
      <c r="BB524">
        <f>IF(ISBLANK('Data Entry'!$v$524), "", 'Data Entry'!$v$524)</f>
      </c>
      <c r="BC524">
        <f>IF(ISBLANK('Data Entry'!$w$524), "", 'Data Entry'!$w$524)</f>
      </c>
      <c r="BD524">
        <f>IF(ISBLANK('Data Entry'!$x$524), "", 'Data Entry'!$x$524)</f>
      </c>
      <c r="BE524">
        <f>IF(ISBLANK('Data Entry'!$y$524), "", 'Data Entry'!$y$524)</f>
      </c>
      <c r="BF524">
        <f>IF(ISBLANK('Data Entry'!$z$524), "", 'Data Entry'!$z$524)</f>
      </c>
      <c r="BG524">
        <f>IF(ISBLANK('Data Entry'!${$524), "", 'Data Entry'!${$524)</f>
      </c>
      <c r="BH524">
        <f>IF(ISBLANK('Data Entry'!$|$524), "", 'Data Entry'!$|$524)</f>
      </c>
      <c r="BI524">
        <f>IF(ISBLANK('Data Entry'!$}$524), "", 'Data Entry'!$}$524)</f>
      </c>
      <c r="BJ524">
        <f>IF(ISBLANK('Data Entry'!$~$524), "", 'Data Entry'!$~$524)</f>
      </c>
      <c r="BK524">
        <f>IF(ISBLANK('Data Entry'!$$524), "", 'Data Entry'!$$524)</f>
      </c>
      <c r="BL524">
        <f>IF(ISBLANK('Data Entry'!$$524), "", 'Data Entry'!$$524)</f>
      </c>
      <c r="BM524">
        <f>IF(ISBLANK('Data Entry'!$$524), "", 'Data Entry'!$$524)</f>
      </c>
      <c r="BN524">
        <f>IF(ISBLANK('Data Entry'!$$524), "", 'Data Entry'!$$524)</f>
      </c>
      <c r="BO524">
        <f>IF(ISBLANK('Data Entry'!$$524), "", 'Data Entry'!$$524)</f>
      </c>
      <c r="BP524">
        <f>IF(ISBLANK('Data Entry'!$$524), "", 'Data Entry'!$$524)</f>
      </c>
      <c r="BQ524">
        <f>IF(ISBLANK('Data Entry'!$$524), "", 'Data Entry'!$$524)</f>
      </c>
      <c r="BR524">
        <f>IF(ISBLANK('Data Entry'!$$524), "", 'Data Entry'!$$524)</f>
      </c>
      <c r="BS524">
        <f>IF(ISBLANK('Data Entry'!$$524), "", 'Data Entry'!$$524)</f>
      </c>
      <c r="BT524">
        <f>IF(ISBLANK('Data Entry'!$$524), "", 'Data Entry'!$$524)</f>
      </c>
      <c r="BU524">
        <f>IF(ISBLANK('Data Entry'!$$524), "", 'Data Entry'!$$524)</f>
      </c>
      <c r="BV524">
        <f>IF(ISBLANK('Data Entry'!$$524), "", 'Data Entry'!$$524)</f>
      </c>
      <c r="BW524">
        <f>IF(ISBLANK('Data Entry'!$$524), "", 'Data Entry'!$$524)</f>
      </c>
      <c r="BX524">
        <f>IF(ISBLANK('Data Entry'!$$524), "", 'Data Entry'!$$524)</f>
      </c>
      <c r="BY524">
        <f>IF(ISBLANK('Data Entry'!$$524), "", 'Data Entry'!$$524)</f>
      </c>
      <c r="BZ524">
        <f>IF(ISBLANK('Data Entry'!$$524), "", 'Data Entry'!$$524)</f>
      </c>
      <c r="CA524">
        <f>IF(ISBLANK('Data Entry'!$$524), "", 'Data Entry'!$$524)</f>
      </c>
      <c r="CB524">
        <f>IF(ISBLANK('Data Entry'!$$524), "", 'Data Entry'!$$524)</f>
      </c>
      <c r="CC524">
        <f>IF(ISBLANK('Data Entry'!$$524), "", 'Data Entry'!$$524)</f>
      </c>
      <c r="CD524">
        <f>IF(ISBLANK('Data Entry'!$$524), "", 'Data Entry'!$$524)</f>
      </c>
      <c r="CE524">
        <f>IF(ISBLANK('Data Entry'!$$524), "", 'Data Entry'!$$524)</f>
      </c>
      <c r="CF524">
        <f>IF(ISBLANK('Data Entry'!$$524), "", 'Data Entry'!$$524)</f>
      </c>
      <c r="CG524">
        <f>IF(ISBLANK('Data Entry'!$$524), "", 'Data Entry'!$$524)</f>
      </c>
      <c r="CH524">
        <f>IF(ISBLANK('Data Entry'!$$524), "", 'Data Entry'!$$524)</f>
      </c>
      <c r="CI524">
        <f>IF(ISBLANK('Data Entry'!$$524), "", 'Data Entry'!$$524)</f>
      </c>
      <c r="CJ524">
        <f>IF(ISBLANK('Data Entry'!$$524), "", 'Data Entry'!$$524)</f>
      </c>
      <c r="CK524">
        <f>IF(ISBLANK('Data Entry'!$$524), "", 'Data Entry'!$$524)</f>
      </c>
      <c r="CL524">
        <f>IF(ISBLANK('Data Entry'!$$524), "", 'Data Entry'!$$524)</f>
      </c>
      <c r="CM524">
        <f>IF(ISBLANK('Data Entry'!$$524), "", 'Data Entry'!$$524)</f>
      </c>
      <c r="CN524">
        <f>IF(ISBLANK('Data Entry'!$$524), "", 'Data Entry'!$$524)</f>
      </c>
      <c r="CO524">
        <f>IF(ISBLANK('Data Entry'!$$524), "", 'Data Entry'!$$524)</f>
      </c>
      <c r="CP524">
        <f>IF(ISBLANK('Data Entry'!$$524), "", 'Data Entry'!$$524)</f>
      </c>
      <c r="CQ524">
        <f>IF(ISBLANK('Data Entry'!$$524), "", 'Data Entry'!$$524)</f>
      </c>
      <c r="CR524">
        <f>IF(ISBLANK('Data Entry'!$ $524), "", 'Data Entry'!$ $524)</f>
      </c>
      <c r="CS524">
        <f>IF(ISBLANK('Data Entry'!$¡$524), "", 'Data Entry'!$¡$524)</f>
      </c>
      <c r="CT524">
        <f>IF(ISBLANK('Data Entry'!$¢$524), "", 'Data Entry'!$¢$524)</f>
      </c>
      <c r="CU524">
        <f>IF(ISBLANK('Data Entry'!$£$524), "", 'Data Entry'!$£$524)</f>
      </c>
      <c r="CV524">
        <f>IF(ISBLANK('Data Entry'!$¤$524), "", 'Data Entry'!$¤$524)</f>
      </c>
      <c r="CW524">
        <f>IF(ISBLANK('Data Entry'!$¥$524), "", 'Data Entry'!$¥$524)</f>
      </c>
      <c r="CX524">
        <f>IF(ISBLANK('Data Entry'!$¦$524), "", 'Data Entry'!$¦$524)</f>
      </c>
      <c r="CY524">
        <f>IF(ISBLANK('Data Entry'!$§$524), "", 'Data Entry'!$§$524)</f>
      </c>
      <c r="CZ524">
        <f>IF(ISBLANK('Data Entry'!$¨$524), "", 'Data Entry'!$¨$524)</f>
      </c>
      <c r="DA524">
        <f>IF(ISBLANK('Data Entry'!$©$524), "", 'Data Entry'!$©$524)</f>
      </c>
      <c r="DB524">
        <f>IF(ISBLANK('Data Entry'!$ª$524), "", 'Data Entry'!$ª$524)</f>
      </c>
      <c r="DC524">
        <f>IF(ISBLANK('Data Entry'!$«$524), "", 'Data Entry'!$«$524)</f>
      </c>
      <c r="DD524">
        <f>IF(ISBLANK('Data Entry'!$¬$524), "", 'Data Entry'!$¬$524)</f>
      </c>
      <c r="DE524">
        <f>IF(ISBLANK('Data Entry'!$­$524), "", 'Data Entry'!$­$524)</f>
      </c>
      <c r="DF524">
        <f>IF(ISBLANK('Data Entry'!$®$524), "", 'Data Entry'!$®$524)</f>
      </c>
      <c r="DG524">
        <f>IF(ISBLANK('Data Entry'!$¯$524), "", 'Data Entry'!$¯$524)</f>
      </c>
      <c r="DH524">
        <f>IF(ISBLANK('Data Entry'!$°$524), "", 'Data Entry'!$°$524)</f>
      </c>
      <c r="DI524">
        <f>IF(ISBLANK('Data Entry'!$±$524), "", 'Data Entry'!$±$524)</f>
      </c>
      <c r="DJ524">
        <f>IF(ISBLANK('Data Entry'!$²$524), "", 'Data Entry'!$²$524)</f>
      </c>
      <c r="DK524">
        <f>IF(ISBLANK('Data Entry'!$³$524), "", 'Data Entry'!$³$524)</f>
      </c>
      <c r="DL524">
        <f>IF(ISBLANK('Data Entry'!$´$524), "", 'Data Entry'!$´$524)</f>
      </c>
      <c r="DM524">
        <f>IF(ISBLANK('Data Entry'!$µ$524), "", 'Data Entry'!$µ$524)</f>
      </c>
      <c r="DN524">
        <f>IF(ISBLANK('Data Entry'!$¶$524), "", 'Data Entry'!$¶$524)</f>
      </c>
      <c r="DO524">
        <f>IF(ISBLANK('Data Entry'!$·$524), "", 'Data Entry'!$·$524)</f>
      </c>
      <c r="DP524">
        <f>IF(ISBLANK('Data Entry'!$¸$524), "", 'Data Entry'!$¸$524)</f>
      </c>
      <c r="DQ524">
        <f>IF(ISBLANK('Data Entry'!$¹$524), "", 'Data Entry'!$¹$524)</f>
      </c>
      <c r="DR524">
        <f>IF(ISBLANK('Data Entry'!$º$524), "", 'Data Entry'!$º$524)</f>
      </c>
      <c r="DS524">
        <f>IF(ISBLANK('Data Entry'!$»$524), "", 'Data Entry'!$»$524)</f>
      </c>
      <c r="DT524">
        <f>IF(ISBLANK('Data Entry'!$¼$524), "", 'Data Entry'!$¼$524)</f>
      </c>
      <c r="DU524">
        <f>IF(ISBLANK('Data Entry'!$½$524), "", 'Data Entry'!$½$524)</f>
      </c>
      <c r="DV524">
        <f>IF(ISBLANK('Data Entry'!$¾$524), "", 'Data Entry'!$¾$524)</f>
      </c>
      <c r="DW524">
        <f>IF(ISBLANK('Data Entry'!$¿$524), "", 'Data Entry'!$¿$524)</f>
      </c>
      <c r="DX524">
        <f>IF(ISBLANK('Data Entry'!$À$524), "", 'Data Entry'!$À$524)</f>
      </c>
      <c r="DY524">
        <f>IF(ISBLANK('Data Entry'!$Á$524), "", 'Data Entry'!$Á$524)</f>
      </c>
      <c r="DZ524">
        <f>IF(ISBLANK('Data Entry'!$Â$524), "", 'Data Entry'!$Â$524)</f>
      </c>
      <c r="EA524">
        <f>IF(ISBLANK('Data Entry'!$Ã$524), "", 'Data Entry'!$Ã$524)</f>
      </c>
      <c r="EB524">
        <f>IF(ISBLANK('Data Entry'!$Ä$524), "", 'Data Entry'!$Ä$524)</f>
      </c>
      <c r="EC524">
        <f>IF(ISBLANK('Data Entry'!$Å$524), "", 'Data Entry'!$Å$524)</f>
      </c>
      <c r="ED524">
        <f>IF(ISBLANK('Data Entry'!$Æ$524), "", 'Data Entry'!$Æ$524)</f>
      </c>
      <c r="EE524">
        <f>IF(ISBLANK('Data Entry'!$Ç$524), "", 'Data Entry'!$Ç$524)</f>
      </c>
      <c r="EF524">
        <f>IF(ISBLANK('Data Entry'!$È$524), "", 'Data Entry'!$È$524)</f>
      </c>
      <c r="EG524">
        <f>IF(ISBLANK('Data Entry'!$É$524), "", 'Data Entry'!$É$524)</f>
      </c>
      <c r="EH524">
        <f>IF(ISBLANK('Data Entry'!$Ê$524), "", 'Data Entry'!$Ê$524)</f>
      </c>
      <c r="EI524">
        <f>IF(ISBLANK('Data Entry'!$Ë$524), "", 'Data Entry'!$Ë$524)</f>
      </c>
      <c r="EJ524">
        <f>IF(ISBLANK('Data Entry'!$Ì$524), "", 'Data Entry'!$Ì$524)</f>
      </c>
      <c r="EK524">
        <f>IF(ISBLANK('Data Entry'!$Í$524), "", 'Data Entry'!$Í$524)</f>
      </c>
      <c r="EL524">
        <f>IF(ISBLANK('Data Entry'!$Î$524), "", 'Data Entry'!$Î$524)</f>
      </c>
      <c r="EM524">
        <f>IF(ISBLANK('Data Entry'!$Ï$524), "", 'Data Entry'!$Ï$524)</f>
      </c>
      <c r="EN524">
        <f>IF(ISBLANK('Data Entry'!$Ð$524), "", 'Data Entry'!$Ð$524)</f>
      </c>
      <c r="EO524">
        <f>IF(ISBLANK('Data Entry'!$Ñ$524), "", 'Data Entry'!$Ñ$524)</f>
      </c>
      <c r="EP524">
        <f>IF(ISBLANK('Data Entry'!$Ò$524), "", 'Data Entry'!$Ò$524)</f>
      </c>
      <c r="EQ524">
        <f>IF(ISBLANK('Data Entry'!$Ó$524), "", 'Data Entry'!$Ó$524)</f>
      </c>
      <c r="ER524">
        <f>IF(ISBLANK('Data Entry'!$Ô$524), "", 'Data Entry'!$Ô$524)</f>
      </c>
      <c r="ES524">
        <f>IF(ISBLANK('Data Entry'!$Õ$524), "", 'Data Entry'!$Õ$524)</f>
      </c>
      <c r="ET524">
        <f>IF(ISBLANK('Data Entry'!$Ö$524), "", 'Data Entry'!$Ö$524)</f>
      </c>
      <c r="EU524">
        <f>IF(ISBLANK('Data Entry'!$×$524), "", 'Data Entry'!$×$524)</f>
      </c>
      <c r="EV524">
        <f>IF(ISBLANK('Data Entry'!$Ø$524), "", 'Data Entry'!$Ø$524)</f>
      </c>
      <c r="EW524">
        <f>IF(ISBLANK('Data Entry'!$Ù$524), "", 'Data Entry'!$Ù$524)</f>
      </c>
      <c r="EX524">
        <f>IF(ISBLANK('Data Entry'!$Ú$524), "", 'Data Entry'!$Ú$524)</f>
      </c>
      <c r="EY524">
        <f>IF(ISBLANK('Data Entry'!$Û$524), "", 'Data Entry'!$Û$524)</f>
      </c>
      <c r="EZ524">
        <f>IF(ISBLANK('Data Entry'!$Ü$524), "", 'Data Entry'!$Ü$524)</f>
      </c>
      <c r="FA524">
        <f>IF(ISBLANK('Data Entry'!$Ý$524), "", 'Data Entry'!$Ý$524)</f>
      </c>
      <c r="FB524">
        <f>IF(ISBLANK('Data Entry'!$Þ$524), "", 'Data Entry'!$Þ$524)</f>
      </c>
      <c r="FC524">
        <f>IF(ISBLANK('Data Entry'!$ß$524), "", 'Data Entry'!$ß$524)</f>
      </c>
      <c r="FD524">
        <f>IF(ISBLANK('Data Entry'!$à$524), "", 'Data Entry'!$à$524)</f>
      </c>
      <c r="FE524">
        <f>IF(ISBLANK('Data Entry'!$á$524), "", 'Data Entry'!$á$524)</f>
      </c>
      <c r="FF524">
        <f>IF(ISBLANK('Data Entry'!$â$524), "", 'Data Entry'!$â$524)</f>
      </c>
      <c r="FG524">
        <f>IF(ISBLANK('Data Entry'!$ã$524), "", 'Data Entry'!$ã$524)</f>
      </c>
      <c r="FH524">
        <f>IF(ISBLANK('Data Entry'!$ä$524), "", 'Data Entry'!$ä$524)</f>
      </c>
      <c r="FI524">
        <f>IF(ISBLANK('Data Entry'!$å$524), "", 'Data Entry'!$å$524)</f>
      </c>
      <c r="FJ524">
        <f>IF(ISBLANK('Data Entry'!$æ$524), "", 'Data Entry'!$æ$524)</f>
      </c>
      <c r="FK524">
        <f>IF(ISBLANK('Data Entry'!$ç$524), "", 'Data Entry'!$ç$524)</f>
      </c>
      <c r="FL524">
        <f>IF(ISBLANK('Data Entry'!$è$524), "", 'Data Entry'!$è$524)</f>
      </c>
      <c r="FM524">
        <f>IF(ISBLANK('Data Entry'!$é$524), "", 'Data Entry'!$é$524)</f>
      </c>
      <c r="FN524">
        <f>IF(ISBLANK('Data Entry'!$ê$524), "", 'Data Entry'!$ê$524)</f>
      </c>
      <c r="FO524">
        <f>IF(ISBLANK('Data Entry'!$ë$524), "", 'Data Entry'!$ë$524)</f>
      </c>
      <c r="FP524">
        <f>IF(ISBLANK('Data Entry'!$ì$524), "", 'Data Entry'!$ì$524)</f>
      </c>
      <c r="FQ524">
        <f>IF(ISBLANK('Data Entry'!$í$524), "", 'Data Entry'!$í$524)</f>
      </c>
      <c r="FR524">
        <f>IF(ISBLANK('Data Entry'!$î$524), "", 'Data Entry'!$î$524)</f>
      </c>
      <c r="FS524">
        <f>IF(ISBLANK('Data Entry'!$ï$524), "", 'Data Entry'!$ï$524)</f>
      </c>
      <c r="FT524">
        <f>IF(ISBLANK('Data Entry'!$ð$524), "", 'Data Entry'!$ð$524)</f>
      </c>
      <c r="FU524">
        <f>IF(ISBLANK('Data Entry'!$ñ$524), "", 'Data Entry'!$ñ$524)</f>
      </c>
      <c r="FV524">
        <f>IF(ISBLANK('Data Entry'!$ò$524), "", 'Data Entry'!$ò$524)</f>
      </c>
      <c r="FW524">
        <f>IF(ISBLANK('Data Entry'!$ó$524), "", 'Data Entry'!$ó$524)</f>
      </c>
      <c r="FX524">
        <f>IF(ISBLANK('Data Entry'!$ô$524), "", 'Data Entry'!$ô$524)</f>
      </c>
      <c r="FY524">
        <f>IF(ISBLANK('Data Entry'!$õ$524), "", 'Data Entry'!$õ$524)</f>
      </c>
      <c r="FZ524">
        <f>IF(ISBLANK('Data Entry'!$ö$524), "", 'Data Entry'!$ö$524)</f>
      </c>
      <c r="GA524">
        <f>IF(ISBLANK('Data Entry'!$÷$524), "", 'Data Entry'!$÷$524)</f>
      </c>
      <c r="GB524">
        <f>IF(ISBLANK('Data Entry'!$ø$524), "", 'Data Entry'!$ø$524)</f>
      </c>
      <c r="GC524">
        <f>IF(ISBLANK('Data Entry'!$ù$524), "", 'Data Entry'!$ù$524)</f>
      </c>
      <c r="GD524">
        <f>IF(ISBLANK('Data Entry'!$ú$524), "", 'Data Entry'!$ú$524)</f>
      </c>
      <c r="GE524">
        <f>IF(ISBLANK('Data Entry'!$û$524), "", 'Data Entry'!$û$524)</f>
      </c>
      <c r="GF524">
        <f>IF(ISBLANK('Data Entry'!$ü$524), "", 'Data Entry'!$ü$524)</f>
      </c>
      <c r="GG524">
        <f>IF(ISBLANK('Data Entry'!$ý$524), "", 'Data Entry'!$ý$524)</f>
      </c>
      <c r="GH524">
        <f>IF(ISBLANK('Data Entry'!$þ$524), "", 'Data Entry'!$þ$524)</f>
      </c>
      <c r="GI524">
        <f>IF(ISBLANK('Data Entry'!$ÿ$524), "", 'Data Entry'!$ÿ$524)</f>
      </c>
      <c r="GJ524">
        <f>IF(ISBLANK('Data Entry'!$Ā$524), "", 'Data Entry'!$Ā$524)</f>
      </c>
      <c r="GK524">
        <f>IF(ISBLANK('Data Entry'!$ā$524), "", 'Data Entry'!$ā$524)</f>
      </c>
      <c r="GL524">
        <f>IF(ISBLANK('Data Entry'!$Ă$524), "", 'Data Entry'!$Ă$524)</f>
      </c>
      <c r="GM524">
        <f>IF(ISBLANK('Data Entry'!$ă$524), "", 'Data Entry'!$ă$524)</f>
      </c>
      <c r="GN524">
        <f>IF(ISBLANK('Data Entry'!$Ą$524), "", 'Data Entry'!$Ą$524)</f>
      </c>
      <c r="GO524">
        <f>IF(ISBLANK('Data Entry'!$ą$524), "", 'Data Entry'!$ą$524)</f>
      </c>
      <c r="GP524">
        <f>IF(ISBLANK('Data Entry'!$Ć$524), "", 'Data Entry'!$Ć$524)</f>
      </c>
      <c r="GQ524">
        <f>IF(ISBLANK('Data Entry'!$ć$524), "", 'Data Entry'!$ć$524)</f>
      </c>
      <c r="GR524">
        <f>IF(ISBLANK('Data Entry'!$Ĉ$524), "", 'Data Entry'!$Ĉ$524)</f>
      </c>
      <c r="GS524">
        <f>IF(ISBLANK('Data Entry'!$ĉ$524), "", 'Data Entry'!$ĉ$524)</f>
      </c>
      <c r="GT524">
        <f>IF(ISBLANK('Data Entry'!$Ċ$524), "", 'Data Entry'!$Ċ$524)</f>
      </c>
      <c r="GU524">
        <f>IF(ISBLANK('Data Entry'!$ċ$524), "", 'Data Entry'!$ċ$524)</f>
      </c>
      <c r="GV524">
        <f>IF(ISBLANK('Data Entry'!$Č$524), "", 'Data Entry'!$Č$524)</f>
      </c>
      <c r="GW524">
        <f>IF(ISBLANK('Data Entry'!$č$524), "", 'Data Entry'!$č$524)</f>
      </c>
      <c r="GX524">
        <f>IF(ISBLANK('Data Entry'!$Ď$524), "", 'Data Entry'!$Ď$524)</f>
      </c>
      <c r="GY524">
        <f>IF(ISBLANK('Data Entry'!$ď$524), "", 'Data Entry'!$ď$524)</f>
      </c>
      <c r="GZ524">
        <f>IF(ISBLANK('Data Entry'!$Đ$524), "", 'Data Entry'!$Đ$524)</f>
      </c>
      <c r="HA524">
        <f>IF(ISBLANK('Data Entry'!$đ$524), "", 'Data Entry'!$đ$524)</f>
      </c>
      <c r="HB524">
        <f>IF(ISBLANK('Data Entry'!$Ē$524), "", 'Data Entry'!$Ē$524)</f>
      </c>
      <c r="HC524">
        <f>IF(ISBLANK('Data Entry'!$ē$524), "", 'Data Entry'!$ē$524)</f>
      </c>
      <c r="HD524">
        <f>IF(ISBLANK('Data Entry'!$Ĕ$524), "", 'Data Entry'!$Ĕ$524)</f>
      </c>
      <c r="HE524">
        <f>IF(ISBLANK('Data Entry'!$ĕ$524), "", 'Data Entry'!$ĕ$524)</f>
      </c>
      <c r="HF524">
        <f>IF(ISBLANK('Data Entry'!$Ė$524), "", 'Data Entry'!$Ė$524)</f>
      </c>
      <c r="HG524">
        <f>IF(ISBLANK('Data Entry'!$ė$524), "", 'Data Entry'!$ė$524)</f>
      </c>
      <c r="HH524">
        <f>IF(ISBLANK('Data Entry'!$Ę$524), "", 'Data Entry'!$Ę$524)</f>
      </c>
      <c r="HI524">
        <f>IF(ISBLANK('Data Entry'!$ę$524), "", 'Data Entry'!$ę$524)</f>
      </c>
      <c r="HJ524">
        <f>IF(ISBLANK('Data Entry'!$Ě$524), "", 'Data Entry'!$Ě$524)</f>
      </c>
      <c r="HK524">
        <f>IF(ISBLANK('Data Entry'!$ě$524), "", 'Data Entry'!$ě$524)</f>
      </c>
      <c r="HL524">
        <f>IF(ISBLANK('Data Entry'!$Ĝ$524), "", 'Data Entry'!$Ĝ$524)</f>
      </c>
      <c r="HM524">
        <f>IF(ISBLANK('Data Entry'!$ĝ$524), "", 'Data Entry'!$ĝ$524)</f>
      </c>
      <c r="HN524">
        <f>IF(ISBLANK('Data Entry'!$Ğ$524), "", 'Data Entry'!$Ğ$524)</f>
      </c>
      <c r="HO524">
        <f>IF(ISBLANK('Data Entry'!$ğ$524), "", 'Data Entry'!$ğ$524)</f>
      </c>
      <c r="HP524">
        <f>IF(ISBLANK('Data Entry'!$Ġ$524), "", 'Data Entry'!$Ġ$524)</f>
      </c>
      <c r="HQ524">
        <f>IF(ISBLANK('Data Entry'!$ġ$524), "", 'Data Entry'!$ġ$524)</f>
      </c>
      <c r="HR524">
        <f>IF(ISBLANK('Data Entry'!$Ģ$524), "", 'Data Entry'!$Ģ$524)</f>
      </c>
      <c r="HS524">
        <f>IF(ISBLANK('Data Entry'!$ģ$524), "", 'Data Entry'!$ģ$524)</f>
      </c>
      <c r="HT524">
        <f>IF(ISBLANK('Data Entry'!$Ĥ$524), "", 'Data Entry'!$Ĥ$524)</f>
      </c>
      <c r="HU524">
        <f>IF(ISBLANK('Data Entry'!$ĥ$524), "", 'Data Entry'!$ĥ$524)</f>
      </c>
      <c r="HV524">
        <f>IF(ISBLANK('Data Entry'!$Ħ$524), "", 'Data Entry'!$Ħ$524)</f>
      </c>
      <c r="HW524">
        <f>IF(ISBLANK('Data Entry'!$ħ$524), "", 'Data Entry'!$ħ$524)</f>
      </c>
      <c r="HX524">
        <f>IF(ISBLANK('Data Entry'!$Ĩ$524), "", 'Data Entry'!$Ĩ$524)</f>
      </c>
      <c r="HY524">
        <f>IF(ISBLANK('Data Entry'!$ĩ$524), "", 'Data Entry'!$ĩ$524)</f>
      </c>
      <c r="HZ524">
        <f>IF(ISBLANK('Data Entry'!$Ī$524), "", 'Data Entry'!$Ī$524)</f>
      </c>
      <c r="IA524">
        <f>IF(ISBLANK('Data Entry'!$ī$524), "", 'Data Entry'!$ī$524)</f>
      </c>
      <c r="IB524">
        <f>IF(ISBLANK('Data Entry'!$Ĭ$524), "", 'Data Entry'!$Ĭ$524)</f>
      </c>
      <c r="IC524">
        <f>IF(ISBLANK('Data Entry'!$ĭ$524), "", 'Data Entry'!$ĭ$524)</f>
      </c>
      <c r="ID524">
        <f>IF(ISBLANK('Data Entry'!$Į$524), "", 'Data Entry'!$Į$524)</f>
      </c>
      <c r="IE524">
        <f>IF(ISBLANK('Data Entry'!$į$524), "", 'Data Entry'!$į$524)</f>
      </c>
      <c r="IF524">
        <f>IF(ISBLANK('Data Entry'!$İ$524), "", 'Data Entry'!$İ$524)</f>
      </c>
      <c r="IG524">
        <f>IF(ISBLANK('Data Entry'!$ı$524), "", 'Data Entry'!$ı$524)</f>
      </c>
      <c r="IH524">
        <f>IF(ISBLANK('Data Entry'!$Ĳ$524), "", 'Data Entry'!$Ĳ$524)</f>
      </c>
      <c r="II524">
        <f>IF(ISBLANK('Data Entry'!$ĳ$524), "", 'Data Entry'!$ĳ$524)</f>
      </c>
      <c r="IJ524">
        <f>IF(ISBLANK('Data Entry'!$Ĵ$524), "", 'Data Entry'!$Ĵ$524)</f>
      </c>
      <c r="IK524">
        <f>IF(ISBLANK('Data Entry'!$ĵ$524), "", 'Data Entry'!$ĵ$524)</f>
      </c>
      <c r="IL524">
        <f>IF(ISBLANK('Data Entry'!$Ķ$524), "", 'Data Entry'!$Ķ$524)</f>
      </c>
      <c r="IM524">
        <f>IF(ISBLANK('Data Entry'!$ķ$524), "", 'Data Entry'!$ķ$524)</f>
      </c>
      <c r="IN524">
        <f>IF(ISBLANK('Data Entry'!$ĸ$524), "", 'Data Entry'!$ĸ$524)</f>
      </c>
      <c r="IO524">
        <f>IF(ISBLANK('Data Entry'!$Ĺ$524), "", 'Data Entry'!$Ĺ$524)</f>
      </c>
      <c r="IP524">
        <f>IF(ISBLANK('Data Entry'!$ĺ$524), "", 'Data Entry'!$ĺ$524)</f>
      </c>
      <c r="IQ524">
        <f>IF(ISBLANK('Data Entry'!$Ļ$524), "", 'Data Entry'!$Ļ$524)</f>
      </c>
      <c r="IR524">
        <f>IF(ISBLANK('Data Entry'!$ļ$524), "", 'Data Entry'!$ļ$524)</f>
      </c>
      <c r="IS524">
        <f>IF(ISBLANK('Data Entry'!$Ľ$524), "", 'Data Entry'!$Ľ$524)</f>
      </c>
      <c r="IT524">
        <f>IF(ISBLANK('Data Entry'!$ľ$524), "", 'Data Entry'!$ľ$524)</f>
      </c>
    </row>
    <row r="525" spans="1:254" x14ac:dyDescent="0.25">
      <c r="A525">
        <f>IF(ISBLANK('Data Entry'!$A$525), "", 'Data Entry'!$A$525)</f>
      </c>
      <c r="B525">
        <f>IF(ISBLANK('Data Entry'!$B$525), "", 'Data Entry'!$B$525)</f>
      </c>
      <c r="C525">
        <f>IF(ISBLANK('Data Entry'!$C$525), "", 'Data Entry'!$C$525)</f>
      </c>
      <c r="D525">
        <f>IF(ISBLANK('Data Entry'!$D$525), "", 'Data Entry'!$D$525)</f>
      </c>
      <c r="E525">
        <f>IF(ISBLANK('Data Entry'!$E$525), "", 'Data Entry'!$E$525)</f>
      </c>
      <c r="F525">
        <f>IF(ISBLANK('Data Entry'!$F$525), "", 'Data Entry'!$F$525)</f>
      </c>
      <c r="G525">
        <f>IF(ISBLANK('Data Entry'!$G$525), "", 'Data Entry'!$G$525)</f>
      </c>
      <c r="H525">
        <f>IF(ISBLANK('Data Entry'!$H$525), "", 'Data Entry'!$H$525)</f>
      </c>
      <c r="I525">
        <f>IF(ISBLANK('Data Entry'!$I$525), "", 'Data Entry'!$I$525)</f>
      </c>
      <c r="J525">
        <f>IF(ISBLANK('Data Entry'!$J$525), "", 'Data Entry'!$J$525)</f>
      </c>
      <c r="K525">
        <f>IF(ISBLANK('Data Entry'!$K$525), "", 'Data Entry'!$K$525)</f>
      </c>
      <c r="L525">
        <f>IF(ISBLANK('Data Entry'!$L$525), "", 'Data Entry'!$L$525)</f>
      </c>
      <c r="M525">
        <f>IF(ISBLANK('Data Entry'!$M$525), "", 'Data Entry'!$M$525)</f>
      </c>
      <c r="N525">
        <f>IF(ISBLANK('Data Entry'!$N$525), "", 'Data Entry'!$N$525)</f>
      </c>
      <c r="O525">
        <f>IF(ISBLANK('Data Entry'!$O$525), "", 'Data Entry'!$O$525)</f>
      </c>
      <c r="P525">
        <f>IF(ISBLANK('Data Entry'!$P$525), "", 'Data Entry'!$P$525)</f>
      </c>
      <c r="Q525">
        <f>IF(ISBLANK('Data Entry'!$Q$525), "", 'Data Entry'!$Q$525)</f>
      </c>
      <c r="R525">
        <f>IF(ISBLANK('Data Entry'!$R$525), "", 'Data Entry'!$R$525)</f>
      </c>
      <c r="S525">
        <f>IF(ISBLANK('Data Entry'!$S$525), "", 'Data Entry'!$S$525)</f>
      </c>
      <c r="T525">
        <f>IF(ISBLANK('Data Entry'!$T$525), "", 'Data Entry'!$T$525)</f>
      </c>
      <c r="U525">
        <f>IF(ISBLANK('Data Entry'!$U$525), "", 'Data Entry'!$U$525)</f>
      </c>
      <c r="V525">
        <f>IF(ISBLANK('Data Entry'!$V$525), "", 'Data Entry'!$V$525)</f>
      </c>
      <c r="W525">
        <f>IF(ISBLANK('Data Entry'!$W$525), "", 'Data Entry'!$W$525)</f>
      </c>
      <c r="X525">
        <f>IF(ISBLANK('Data Entry'!$X$525), "", 'Data Entry'!$X$525)</f>
      </c>
      <c r="Y525">
        <f>IF(ISBLANK('Data Entry'!$Y$525), "", 'Data Entry'!$Y$525)</f>
      </c>
      <c r="Z525">
        <f>IF(ISBLANK('Data Entry'!$Z$525), "", 'Data Entry'!$Z$525)</f>
      </c>
      <c r="AA525">
        <f>IF(ISBLANK('Data Entry'!$[$525), "", 'Data Entry'!$[$525)</f>
      </c>
      <c r="AB525">
        <f>IF(ISBLANK('Data Entry'!$\$525), "", 'Data Entry'!$\$525)</f>
      </c>
      <c r="AC525">
        <f>IF(ISBLANK('Data Entry'!$]$525), "", 'Data Entry'!$]$525)</f>
      </c>
      <c r="AD525">
        <f>IF(ISBLANK('Data Entry'!$^$525), "", 'Data Entry'!$^$525)</f>
      </c>
      <c r="AE525">
        <f>IF(ISBLANK('Data Entry'!$_$525), "", 'Data Entry'!$_$525)</f>
      </c>
      <c r="AF525">
        <f>IF(ISBLANK('Data Entry'!$`$525), "", 'Data Entry'!$`$525)</f>
      </c>
      <c r="AG525">
        <f>IF(ISBLANK('Data Entry'!$a$525), "", 'Data Entry'!$a$525)</f>
      </c>
      <c r="AH525">
        <f>IF(ISBLANK('Data Entry'!$b$525), "", 'Data Entry'!$b$525)</f>
      </c>
      <c r="AI525">
        <f>IF(ISBLANK('Data Entry'!$c$525), "", 'Data Entry'!$c$525)</f>
      </c>
      <c r="AJ525">
        <f>IF(ISBLANK('Data Entry'!$d$525), "", 'Data Entry'!$d$525)</f>
      </c>
      <c r="AK525">
        <f>IF(ISBLANK('Data Entry'!$e$525), "", 'Data Entry'!$e$525)</f>
      </c>
      <c r="AL525">
        <f>IF(ISBLANK('Data Entry'!$f$525), "", 'Data Entry'!$f$525)</f>
      </c>
      <c r="AM525">
        <f>IF(ISBLANK('Data Entry'!$g$525), "", 'Data Entry'!$g$525)</f>
      </c>
      <c r="AN525">
        <f>IF(ISBLANK('Data Entry'!$h$525), "", 'Data Entry'!$h$525)</f>
      </c>
      <c r="AO525">
        <f>IF(ISBLANK('Data Entry'!$i$525), "", 'Data Entry'!$i$525)</f>
      </c>
      <c r="AP525">
        <f>IF(ISBLANK('Data Entry'!$j$525), "", 'Data Entry'!$j$525)</f>
      </c>
      <c r="AQ525">
        <f>IF(ISBLANK('Data Entry'!$k$525), "", 'Data Entry'!$k$525)</f>
      </c>
      <c r="AR525">
        <f>IF(ISBLANK('Data Entry'!$l$525), "", 'Data Entry'!$l$525)</f>
      </c>
      <c r="AS525">
        <f>IF(ISBLANK('Data Entry'!$m$525), "", 'Data Entry'!$m$525)</f>
      </c>
      <c r="AT525">
        <f>IF(ISBLANK('Data Entry'!$n$525), "", 'Data Entry'!$n$525)</f>
      </c>
      <c r="AU525">
        <f>IF(ISBLANK('Data Entry'!$o$525), "", 'Data Entry'!$o$525)</f>
      </c>
      <c r="AV525">
        <f>IF(ISBLANK('Data Entry'!$p$525), "", 'Data Entry'!$p$525)</f>
      </c>
      <c r="AW525">
        <f>IF(ISBLANK('Data Entry'!$q$525), "", 'Data Entry'!$q$525)</f>
      </c>
      <c r="AX525">
        <f>IF(ISBLANK('Data Entry'!$r$525), "", 'Data Entry'!$r$525)</f>
      </c>
      <c r="AY525">
        <f>IF(ISBLANK('Data Entry'!$s$525), "", 'Data Entry'!$s$525)</f>
      </c>
      <c r="AZ525">
        <f>IF(ISBLANK('Data Entry'!$t$525), "", 'Data Entry'!$t$525)</f>
      </c>
      <c r="BA525">
        <f>IF(ISBLANK('Data Entry'!$u$525), "", 'Data Entry'!$u$525)</f>
      </c>
      <c r="BB525">
        <f>IF(ISBLANK('Data Entry'!$v$525), "", 'Data Entry'!$v$525)</f>
      </c>
      <c r="BC525">
        <f>IF(ISBLANK('Data Entry'!$w$525), "", 'Data Entry'!$w$525)</f>
      </c>
      <c r="BD525">
        <f>IF(ISBLANK('Data Entry'!$x$525), "", 'Data Entry'!$x$525)</f>
      </c>
      <c r="BE525">
        <f>IF(ISBLANK('Data Entry'!$y$525), "", 'Data Entry'!$y$525)</f>
      </c>
      <c r="BF525">
        <f>IF(ISBLANK('Data Entry'!$z$525), "", 'Data Entry'!$z$525)</f>
      </c>
      <c r="BG525">
        <f>IF(ISBLANK('Data Entry'!${$525), "", 'Data Entry'!${$525)</f>
      </c>
      <c r="BH525">
        <f>IF(ISBLANK('Data Entry'!$|$525), "", 'Data Entry'!$|$525)</f>
      </c>
      <c r="BI525">
        <f>IF(ISBLANK('Data Entry'!$}$525), "", 'Data Entry'!$}$525)</f>
      </c>
      <c r="BJ525">
        <f>IF(ISBLANK('Data Entry'!$~$525), "", 'Data Entry'!$~$525)</f>
      </c>
      <c r="BK525">
        <f>IF(ISBLANK('Data Entry'!$$525), "", 'Data Entry'!$$525)</f>
      </c>
      <c r="BL525">
        <f>IF(ISBLANK('Data Entry'!$$525), "", 'Data Entry'!$$525)</f>
      </c>
      <c r="BM525">
        <f>IF(ISBLANK('Data Entry'!$$525), "", 'Data Entry'!$$525)</f>
      </c>
      <c r="BN525">
        <f>IF(ISBLANK('Data Entry'!$$525), "", 'Data Entry'!$$525)</f>
      </c>
      <c r="BO525">
        <f>IF(ISBLANK('Data Entry'!$$525), "", 'Data Entry'!$$525)</f>
      </c>
      <c r="BP525">
        <f>IF(ISBLANK('Data Entry'!$$525), "", 'Data Entry'!$$525)</f>
      </c>
      <c r="BQ525">
        <f>IF(ISBLANK('Data Entry'!$$525), "", 'Data Entry'!$$525)</f>
      </c>
      <c r="BR525">
        <f>IF(ISBLANK('Data Entry'!$$525), "", 'Data Entry'!$$525)</f>
      </c>
      <c r="BS525">
        <f>IF(ISBLANK('Data Entry'!$$525), "", 'Data Entry'!$$525)</f>
      </c>
      <c r="BT525">
        <f>IF(ISBLANK('Data Entry'!$$525), "", 'Data Entry'!$$525)</f>
      </c>
      <c r="BU525">
        <f>IF(ISBLANK('Data Entry'!$$525), "", 'Data Entry'!$$525)</f>
      </c>
      <c r="BV525">
        <f>IF(ISBLANK('Data Entry'!$$525), "", 'Data Entry'!$$525)</f>
      </c>
      <c r="BW525">
        <f>IF(ISBLANK('Data Entry'!$$525), "", 'Data Entry'!$$525)</f>
      </c>
      <c r="BX525">
        <f>IF(ISBLANK('Data Entry'!$$525), "", 'Data Entry'!$$525)</f>
      </c>
      <c r="BY525">
        <f>IF(ISBLANK('Data Entry'!$$525), "", 'Data Entry'!$$525)</f>
      </c>
      <c r="BZ525">
        <f>IF(ISBLANK('Data Entry'!$$525), "", 'Data Entry'!$$525)</f>
      </c>
      <c r="CA525">
        <f>IF(ISBLANK('Data Entry'!$$525), "", 'Data Entry'!$$525)</f>
      </c>
      <c r="CB525">
        <f>IF(ISBLANK('Data Entry'!$$525), "", 'Data Entry'!$$525)</f>
      </c>
      <c r="CC525">
        <f>IF(ISBLANK('Data Entry'!$$525), "", 'Data Entry'!$$525)</f>
      </c>
      <c r="CD525">
        <f>IF(ISBLANK('Data Entry'!$$525), "", 'Data Entry'!$$525)</f>
      </c>
      <c r="CE525">
        <f>IF(ISBLANK('Data Entry'!$$525), "", 'Data Entry'!$$525)</f>
      </c>
      <c r="CF525">
        <f>IF(ISBLANK('Data Entry'!$$525), "", 'Data Entry'!$$525)</f>
      </c>
      <c r="CG525">
        <f>IF(ISBLANK('Data Entry'!$$525), "", 'Data Entry'!$$525)</f>
      </c>
      <c r="CH525">
        <f>IF(ISBLANK('Data Entry'!$$525), "", 'Data Entry'!$$525)</f>
      </c>
      <c r="CI525">
        <f>IF(ISBLANK('Data Entry'!$$525), "", 'Data Entry'!$$525)</f>
      </c>
      <c r="CJ525">
        <f>IF(ISBLANK('Data Entry'!$$525), "", 'Data Entry'!$$525)</f>
      </c>
      <c r="CK525">
        <f>IF(ISBLANK('Data Entry'!$$525), "", 'Data Entry'!$$525)</f>
      </c>
      <c r="CL525">
        <f>IF(ISBLANK('Data Entry'!$$525), "", 'Data Entry'!$$525)</f>
      </c>
      <c r="CM525">
        <f>IF(ISBLANK('Data Entry'!$$525), "", 'Data Entry'!$$525)</f>
      </c>
      <c r="CN525">
        <f>IF(ISBLANK('Data Entry'!$$525), "", 'Data Entry'!$$525)</f>
      </c>
      <c r="CO525">
        <f>IF(ISBLANK('Data Entry'!$$525), "", 'Data Entry'!$$525)</f>
      </c>
      <c r="CP525">
        <f>IF(ISBLANK('Data Entry'!$$525), "", 'Data Entry'!$$525)</f>
      </c>
      <c r="CQ525">
        <f>IF(ISBLANK('Data Entry'!$$525), "", 'Data Entry'!$$525)</f>
      </c>
      <c r="CR525">
        <f>IF(ISBLANK('Data Entry'!$ $525), "", 'Data Entry'!$ $525)</f>
      </c>
      <c r="CS525">
        <f>IF(ISBLANK('Data Entry'!$¡$525), "", 'Data Entry'!$¡$525)</f>
      </c>
      <c r="CT525">
        <f>IF(ISBLANK('Data Entry'!$¢$525), "", 'Data Entry'!$¢$525)</f>
      </c>
      <c r="CU525">
        <f>IF(ISBLANK('Data Entry'!$£$525), "", 'Data Entry'!$£$525)</f>
      </c>
      <c r="CV525">
        <f>IF(ISBLANK('Data Entry'!$¤$525), "", 'Data Entry'!$¤$525)</f>
      </c>
      <c r="CW525">
        <f>IF(ISBLANK('Data Entry'!$¥$525), "", 'Data Entry'!$¥$525)</f>
      </c>
      <c r="CX525">
        <f>IF(ISBLANK('Data Entry'!$¦$525), "", 'Data Entry'!$¦$525)</f>
      </c>
      <c r="CY525">
        <f>IF(ISBLANK('Data Entry'!$§$525), "", 'Data Entry'!$§$525)</f>
      </c>
      <c r="CZ525">
        <f>IF(ISBLANK('Data Entry'!$¨$525), "", 'Data Entry'!$¨$525)</f>
      </c>
      <c r="DA525">
        <f>IF(ISBLANK('Data Entry'!$©$525), "", 'Data Entry'!$©$525)</f>
      </c>
      <c r="DB525">
        <f>IF(ISBLANK('Data Entry'!$ª$525), "", 'Data Entry'!$ª$525)</f>
      </c>
      <c r="DC525">
        <f>IF(ISBLANK('Data Entry'!$«$525), "", 'Data Entry'!$«$525)</f>
      </c>
      <c r="DD525">
        <f>IF(ISBLANK('Data Entry'!$¬$525), "", 'Data Entry'!$¬$525)</f>
      </c>
      <c r="DE525">
        <f>IF(ISBLANK('Data Entry'!$­$525), "", 'Data Entry'!$­$525)</f>
      </c>
      <c r="DF525">
        <f>IF(ISBLANK('Data Entry'!$®$525), "", 'Data Entry'!$®$525)</f>
      </c>
      <c r="DG525">
        <f>IF(ISBLANK('Data Entry'!$¯$525), "", 'Data Entry'!$¯$525)</f>
      </c>
      <c r="DH525">
        <f>IF(ISBLANK('Data Entry'!$°$525), "", 'Data Entry'!$°$525)</f>
      </c>
      <c r="DI525">
        <f>IF(ISBLANK('Data Entry'!$±$525), "", 'Data Entry'!$±$525)</f>
      </c>
      <c r="DJ525">
        <f>IF(ISBLANK('Data Entry'!$²$525), "", 'Data Entry'!$²$525)</f>
      </c>
      <c r="DK525">
        <f>IF(ISBLANK('Data Entry'!$³$525), "", 'Data Entry'!$³$525)</f>
      </c>
      <c r="DL525">
        <f>IF(ISBLANK('Data Entry'!$´$525), "", 'Data Entry'!$´$525)</f>
      </c>
      <c r="DM525">
        <f>IF(ISBLANK('Data Entry'!$µ$525), "", 'Data Entry'!$µ$525)</f>
      </c>
      <c r="DN525">
        <f>IF(ISBLANK('Data Entry'!$¶$525), "", 'Data Entry'!$¶$525)</f>
      </c>
      <c r="DO525">
        <f>IF(ISBLANK('Data Entry'!$·$525), "", 'Data Entry'!$·$525)</f>
      </c>
      <c r="DP525">
        <f>IF(ISBLANK('Data Entry'!$¸$525), "", 'Data Entry'!$¸$525)</f>
      </c>
      <c r="DQ525">
        <f>IF(ISBLANK('Data Entry'!$¹$525), "", 'Data Entry'!$¹$525)</f>
      </c>
      <c r="DR525">
        <f>IF(ISBLANK('Data Entry'!$º$525), "", 'Data Entry'!$º$525)</f>
      </c>
      <c r="DS525">
        <f>IF(ISBLANK('Data Entry'!$»$525), "", 'Data Entry'!$»$525)</f>
      </c>
      <c r="DT525">
        <f>IF(ISBLANK('Data Entry'!$¼$525), "", 'Data Entry'!$¼$525)</f>
      </c>
      <c r="DU525">
        <f>IF(ISBLANK('Data Entry'!$½$525), "", 'Data Entry'!$½$525)</f>
      </c>
      <c r="DV525">
        <f>IF(ISBLANK('Data Entry'!$¾$525), "", 'Data Entry'!$¾$525)</f>
      </c>
      <c r="DW525">
        <f>IF(ISBLANK('Data Entry'!$¿$525), "", 'Data Entry'!$¿$525)</f>
      </c>
      <c r="DX525">
        <f>IF(ISBLANK('Data Entry'!$À$525), "", 'Data Entry'!$À$525)</f>
      </c>
      <c r="DY525">
        <f>IF(ISBLANK('Data Entry'!$Á$525), "", 'Data Entry'!$Á$525)</f>
      </c>
      <c r="DZ525">
        <f>IF(ISBLANK('Data Entry'!$Â$525), "", 'Data Entry'!$Â$525)</f>
      </c>
      <c r="EA525">
        <f>IF(ISBLANK('Data Entry'!$Ã$525), "", 'Data Entry'!$Ã$525)</f>
      </c>
      <c r="EB525">
        <f>IF(ISBLANK('Data Entry'!$Ä$525), "", 'Data Entry'!$Ä$525)</f>
      </c>
      <c r="EC525">
        <f>IF(ISBLANK('Data Entry'!$Å$525), "", 'Data Entry'!$Å$525)</f>
      </c>
      <c r="ED525">
        <f>IF(ISBLANK('Data Entry'!$Æ$525), "", 'Data Entry'!$Æ$525)</f>
      </c>
      <c r="EE525">
        <f>IF(ISBLANK('Data Entry'!$Ç$525), "", 'Data Entry'!$Ç$525)</f>
      </c>
      <c r="EF525">
        <f>IF(ISBLANK('Data Entry'!$È$525), "", 'Data Entry'!$È$525)</f>
      </c>
      <c r="EG525">
        <f>IF(ISBLANK('Data Entry'!$É$525), "", 'Data Entry'!$É$525)</f>
      </c>
      <c r="EH525">
        <f>IF(ISBLANK('Data Entry'!$Ê$525), "", 'Data Entry'!$Ê$525)</f>
      </c>
      <c r="EI525">
        <f>IF(ISBLANK('Data Entry'!$Ë$525), "", 'Data Entry'!$Ë$525)</f>
      </c>
      <c r="EJ525">
        <f>IF(ISBLANK('Data Entry'!$Ì$525), "", 'Data Entry'!$Ì$525)</f>
      </c>
      <c r="EK525">
        <f>IF(ISBLANK('Data Entry'!$Í$525), "", 'Data Entry'!$Í$525)</f>
      </c>
      <c r="EL525">
        <f>IF(ISBLANK('Data Entry'!$Î$525), "", 'Data Entry'!$Î$525)</f>
      </c>
      <c r="EM525">
        <f>IF(ISBLANK('Data Entry'!$Ï$525), "", 'Data Entry'!$Ï$525)</f>
      </c>
      <c r="EN525">
        <f>IF(ISBLANK('Data Entry'!$Ð$525), "", 'Data Entry'!$Ð$525)</f>
      </c>
      <c r="EO525">
        <f>IF(ISBLANK('Data Entry'!$Ñ$525), "", 'Data Entry'!$Ñ$525)</f>
      </c>
      <c r="EP525">
        <f>IF(ISBLANK('Data Entry'!$Ò$525), "", 'Data Entry'!$Ò$525)</f>
      </c>
      <c r="EQ525">
        <f>IF(ISBLANK('Data Entry'!$Ó$525), "", 'Data Entry'!$Ó$525)</f>
      </c>
      <c r="ER525">
        <f>IF(ISBLANK('Data Entry'!$Ô$525), "", 'Data Entry'!$Ô$525)</f>
      </c>
      <c r="ES525">
        <f>IF(ISBLANK('Data Entry'!$Õ$525), "", 'Data Entry'!$Õ$525)</f>
      </c>
      <c r="ET525">
        <f>IF(ISBLANK('Data Entry'!$Ö$525), "", 'Data Entry'!$Ö$525)</f>
      </c>
      <c r="EU525">
        <f>IF(ISBLANK('Data Entry'!$×$525), "", 'Data Entry'!$×$525)</f>
      </c>
      <c r="EV525">
        <f>IF(ISBLANK('Data Entry'!$Ø$525), "", 'Data Entry'!$Ø$525)</f>
      </c>
      <c r="EW525">
        <f>IF(ISBLANK('Data Entry'!$Ù$525), "", 'Data Entry'!$Ù$525)</f>
      </c>
      <c r="EX525">
        <f>IF(ISBLANK('Data Entry'!$Ú$525), "", 'Data Entry'!$Ú$525)</f>
      </c>
      <c r="EY525">
        <f>IF(ISBLANK('Data Entry'!$Û$525), "", 'Data Entry'!$Û$525)</f>
      </c>
      <c r="EZ525">
        <f>IF(ISBLANK('Data Entry'!$Ü$525), "", 'Data Entry'!$Ü$525)</f>
      </c>
      <c r="FA525">
        <f>IF(ISBLANK('Data Entry'!$Ý$525), "", 'Data Entry'!$Ý$525)</f>
      </c>
      <c r="FB525">
        <f>IF(ISBLANK('Data Entry'!$Þ$525), "", 'Data Entry'!$Þ$525)</f>
      </c>
      <c r="FC525">
        <f>IF(ISBLANK('Data Entry'!$ß$525), "", 'Data Entry'!$ß$525)</f>
      </c>
      <c r="FD525">
        <f>IF(ISBLANK('Data Entry'!$à$525), "", 'Data Entry'!$à$525)</f>
      </c>
      <c r="FE525">
        <f>IF(ISBLANK('Data Entry'!$á$525), "", 'Data Entry'!$á$525)</f>
      </c>
      <c r="FF525">
        <f>IF(ISBLANK('Data Entry'!$â$525), "", 'Data Entry'!$â$525)</f>
      </c>
      <c r="FG525">
        <f>IF(ISBLANK('Data Entry'!$ã$525), "", 'Data Entry'!$ã$525)</f>
      </c>
      <c r="FH525">
        <f>IF(ISBLANK('Data Entry'!$ä$525), "", 'Data Entry'!$ä$525)</f>
      </c>
      <c r="FI525">
        <f>IF(ISBLANK('Data Entry'!$å$525), "", 'Data Entry'!$å$525)</f>
      </c>
      <c r="FJ525">
        <f>IF(ISBLANK('Data Entry'!$æ$525), "", 'Data Entry'!$æ$525)</f>
      </c>
      <c r="FK525">
        <f>IF(ISBLANK('Data Entry'!$ç$525), "", 'Data Entry'!$ç$525)</f>
      </c>
      <c r="FL525">
        <f>IF(ISBLANK('Data Entry'!$è$525), "", 'Data Entry'!$è$525)</f>
      </c>
      <c r="FM525">
        <f>IF(ISBLANK('Data Entry'!$é$525), "", 'Data Entry'!$é$525)</f>
      </c>
      <c r="FN525">
        <f>IF(ISBLANK('Data Entry'!$ê$525), "", 'Data Entry'!$ê$525)</f>
      </c>
      <c r="FO525">
        <f>IF(ISBLANK('Data Entry'!$ë$525), "", 'Data Entry'!$ë$525)</f>
      </c>
      <c r="FP525">
        <f>IF(ISBLANK('Data Entry'!$ì$525), "", 'Data Entry'!$ì$525)</f>
      </c>
      <c r="FQ525">
        <f>IF(ISBLANK('Data Entry'!$í$525), "", 'Data Entry'!$í$525)</f>
      </c>
      <c r="FR525">
        <f>IF(ISBLANK('Data Entry'!$î$525), "", 'Data Entry'!$î$525)</f>
      </c>
      <c r="FS525">
        <f>IF(ISBLANK('Data Entry'!$ï$525), "", 'Data Entry'!$ï$525)</f>
      </c>
      <c r="FT525">
        <f>IF(ISBLANK('Data Entry'!$ð$525), "", 'Data Entry'!$ð$525)</f>
      </c>
      <c r="FU525">
        <f>IF(ISBLANK('Data Entry'!$ñ$525), "", 'Data Entry'!$ñ$525)</f>
      </c>
      <c r="FV525">
        <f>IF(ISBLANK('Data Entry'!$ò$525), "", 'Data Entry'!$ò$525)</f>
      </c>
      <c r="FW525">
        <f>IF(ISBLANK('Data Entry'!$ó$525), "", 'Data Entry'!$ó$525)</f>
      </c>
      <c r="FX525">
        <f>IF(ISBLANK('Data Entry'!$ô$525), "", 'Data Entry'!$ô$525)</f>
      </c>
      <c r="FY525">
        <f>IF(ISBLANK('Data Entry'!$õ$525), "", 'Data Entry'!$õ$525)</f>
      </c>
      <c r="FZ525">
        <f>IF(ISBLANK('Data Entry'!$ö$525), "", 'Data Entry'!$ö$525)</f>
      </c>
      <c r="GA525">
        <f>IF(ISBLANK('Data Entry'!$÷$525), "", 'Data Entry'!$÷$525)</f>
      </c>
      <c r="GB525">
        <f>IF(ISBLANK('Data Entry'!$ø$525), "", 'Data Entry'!$ø$525)</f>
      </c>
      <c r="GC525">
        <f>IF(ISBLANK('Data Entry'!$ù$525), "", 'Data Entry'!$ù$525)</f>
      </c>
      <c r="GD525">
        <f>IF(ISBLANK('Data Entry'!$ú$525), "", 'Data Entry'!$ú$525)</f>
      </c>
      <c r="GE525">
        <f>IF(ISBLANK('Data Entry'!$û$525), "", 'Data Entry'!$û$525)</f>
      </c>
      <c r="GF525">
        <f>IF(ISBLANK('Data Entry'!$ü$525), "", 'Data Entry'!$ü$525)</f>
      </c>
      <c r="GG525">
        <f>IF(ISBLANK('Data Entry'!$ý$525), "", 'Data Entry'!$ý$525)</f>
      </c>
      <c r="GH525">
        <f>IF(ISBLANK('Data Entry'!$þ$525), "", 'Data Entry'!$þ$525)</f>
      </c>
      <c r="GI525">
        <f>IF(ISBLANK('Data Entry'!$ÿ$525), "", 'Data Entry'!$ÿ$525)</f>
      </c>
      <c r="GJ525">
        <f>IF(ISBLANK('Data Entry'!$Ā$525), "", 'Data Entry'!$Ā$525)</f>
      </c>
      <c r="GK525">
        <f>IF(ISBLANK('Data Entry'!$ā$525), "", 'Data Entry'!$ā$525)</f>
      </c>
      <c r="GL525">
        <f>IF(ISBLANK('Data Entry'!$Ă$525), "", 'Data Entry'!$Ă$525)</f>
      </c>
      <c r="GM525">
        <f>IF(ISBLANK('Data Entry'!$ă$525), "", 'Data Entry'!$ă$525)</f>
      </c>
      <c r="GN525">
        <f>IF(ISBLANK('Data Entry'!$Ą$525), "", 'Data Entry'!$Ą$525)</f>
      </c>
      <c r="GO525">
        <f>IF(ISBLANK('Data Entry'!$ą$525), "", 'Data Entry'!$ą$525)</f>
      </c>
      <c r="GP525">
        <f>IF(ISBLANK('Data Entry'!$Ć$525), "", 'Data Entry'!$Ć$525)</f>
      </c>
      <c r="GQ525">
        <f>IF(ISBLANK('Data Entry'!$ć$525), "", 'Data Entry'!$ć$525)</f>
      </c>
      <c r="GR525">
        <f>IF(ISBLANK('Data Entry'!$Ĉ$525), "", 'Data Entry'!$Ĉ$525)</f>
      </c>
      <c r="GS525">
        <f>IF(ISBLANK('Data Entry'!$ĉ$525), "", 'Data Entry'!$ĉ$525)</f>
      </c>
      <c r="GT525">
        <f>IF(ISBLANK('Data Entry'!$Ċ$525), "", 'Data Entry'!$Ċ$525)</f>
      </c>
      <c r="GU525">
        <f>IF(ISBLANK('Data Entry'!$ċ$525), "", 'Data Entry'!$ċ$525)</f>
      </c>
      <c r="GV525">
        <f>IF(ISBLANK('Data Entry'!$Č$525), "", 'Data Entry'!$Č$525)</f>
      </c>
      <c r="GW525">
        <f>IF(ISBLANK('Data Entry'!$č$525), "", 'Data Entry'!$č$525)</f>
      </c>
      <c r="GX525">
        <f>IF(ISBLANK('Data Entry'!$Ď$525), "", 'Data Entry'!$Ď$525)</f>
      </c>
      <c r="GY525">
        <f>IF(ISBLANK('Data Entry'!$ď$525), "", 'Data Entry'!$ď$525)</f>
      </c>
      <c r="GZ525">
        <f>IF(ISBLANK('Data Entry'!$Đ$525), "", 'Data Entry'!$Đ$525)</f>
      </c>
      <c r="HA525">
        <f>IF(ISBLANK('Data Entry'!$đ$525), "", 'Data Entry'!$đ$525)</f>
      </c>
      <c r="HB525">
        <f>IF(ISBLANK('Data Entry'!$Ē$525), "", 'Data Entry'!$Ē$525)</f>
      </c>
      <c r="HC525">
        <f>IF(ISBLANK('Data Entry'!$ē$525), "", 'Data Entry'!$ē$525)</f>
      </c>
      <c r="HD525">
        <f>IF(ISBLANK('Data Entry'!$Ĕ$525), "", 'Data Entry'!$Ĕ$525)</f>
      </c>
      <c r="HE525">
        <f>IF(ISBLANK('Data Entry'!$ĕ$525), "", 'Data Entry'!$ĕ$525)</f>
      </c>
      <c r="HF525">
        <f>IF(ISBLANK('Data Entry'!$Ė$525), "", 'Data Entry'!$Ė$525)</f>
      </c>
      <c r="HG525">
        <f>IF(ISBLANK('Data Entry'!$ė$525), "", 'Data Entry'!$ė$525)</f>
      </c>
      <c r="HH525">
        <f>IF(ISBLANK('Data Entry'!$Ę$525), "", 'Data Entry'!$Ę$525)</f>
      </c>
      <c r="HI525">
        <f>IF(ISBLANK('Data Entry'!$ę$525), "", 'Data Entry'!$ę$525)</f>
      </c>
      <c r="HJ525">
        <f>IF(ISBLANK('Data Entry'!$Ě$525), "", 'Data Entry'!$Ě$525)</f>
      </c>
      <c r="HK525">
        <f>IF(ISBLANK('Data Entry'!$ě$525), "", 'Data Entry'!$ě$525)</f>
      </c>
      <c r="HL525">
        <f>IF(ISBLANK('Data Entry'!$Ĝ$525), "", 'Data Entry'!$Ĝ$525)</f>
      </c>
      <c r="HM525">
        <f>IF(ISBLANK('Data Entry'!$ĝ$525), "", 'Data Entry'!$ĝ$525)</f>
      </c>
      <c r="HN525">
        <f>IF(ISBLANK('Data Entry'!$Ğ$525), "", 'Data Entry'!$Ğ$525)</f>
      </c>
      <c r="HO525">
        <f>IF(ISBLANK('Data Entry'!$ğ$525), "", 'Data Entry'!$ğ$525)</f>
      </c>
      <c r="HP525">
        <f>IF(ISBLANK('Data Entry'!$Ġ$525), "", 'Data Entry'!$Ġ$525)</f>
      </c>
      <c r="HQ525">
        <f>IF(ISBLANK('Data Entry'!$ġ$525), "", 'Data Entry'!$ġ$525)</f>
      </c>
      <c r="HR525">
        <f>IF(ISBLANK('Data Entry'!$Ģ$525), "", 'Data Entry'!$Ģ$525)</f>
      </c>
      <c r="HS525">
        <f>IF(ISBLANK('Data Entry'!$ģ$525), "", 'Data Entry'!$ģ$525)</f>
      </c>
      <c r="HT525">
        <f>IF(ISBLANK('Data Entry'!$Ĥ$525), "", 'Data Entry'!$Ĥ$525)</f>
      </c>
      <c r="HU525">
        <f>IF(ISBLANK('Data Entry'!$ĥ$525), "", 'Data Entry'!$ĥ$525)</f>
      </c>
      <c r="HV525">
        <f>IF(ISBLANK('Data Entry'!$Ħ$525), "", 'Data Entry'!$Ħ$525)</f>
      </c>
      <c r="HW525">
        <f>IF(ISBLANK('Data Entry'!$ħ$525), "", 'Data Entry'!$ħ$525)</f>
      </c>
      <c r="HX525">
        <f>IF(ISBLANK('Data Entry'!$Ĩ$525), "", 'Data Entry'!$Ĩ$525)</f>
      </c>
      <c r="HY525">
        <f>IF(ISBLANK('Data Entry'!$ĩ$525), "", 'Data Entry'!$ĩ$525)</f>
      </c>
      <c r="HZ525">
        <f>IF(ISBLANK('Data Entry'!$Ī$525), "", 'Data Entry'!$Ī$525)</f>
      </c>
      <c r="IA525">
        <f>IF(ISBLANK('Data Entry'!$ī$525), "", 'Data Entry'!$ī$525)</f>
      </c>
      <c r="IB525">
        <f>IF(ISBLANK('Data Entry'!$Ĭ$525), "", 'Data Entry'!$Ĭ$525)</f>
      </c>
      <c r="IC525">
        <f>IF(ISBLANK('Data Entry'!$ĭ$525), "", 'Data Entry'!$ĭ$525)</f>
      </c>
      <c r="ID525">
        <f>IF(ISBLANK('Data Entry'!$Į$525), "", 'Data Entry'!$Į$525)</f>
      </c>
      <c r="IE525">
        <f>IF(ISBLANK('Data Entry'!$į$525), "", 'Data Entry'!$į$525)</f>
      </c>
      <c r="IF525">
        <f>IF(ISBLANK('Data Entry'!$İ$525), "", 'Data Entry'!$İ$525)</f>
      </c>
      <c r="IG525">
        <f>IF(ISBLANK('Data Entry'!$ı$525), "", 'Data Entry'!$ı$525)</f>
      </c>
      <c r="IH525">
        <f>IF(ISBLANK('Data Entry'!$Ĳ$525), "", 'Data Entry'!$Ĳ$525)</f>
      </c>
      <c r="II525">
        <f>IF(ISBLANK('Data Entry'!$ĳ$525), "", 'Data Entry'!$ĳ$525)</f>
      </c>
      <c r="IJ525">
        <f>IF(ISBLANK('Data Entry'!$Ĵ$525), "", 'Data Entry'!$Ĵ$525)</f>
      </c>
      <c r="IK525">
        <f>IF(ISBLANK('Data Entry'!$ĵ$525), "", 'Data Entry'!$ĵ$525)</f>
      </c>
      <c r="IL525">
        <f>IF(ISBLANK('Data Entry'!$Ķ$525), "", 'Data Entry'!$Ķ$525)</f>
      </c>
      <c r="IM525">
        <f>IF(ISBLANK('Data Entry'!$ķ$525), "", 'Data Entry'!$ķ$525)</f>
      </c>
      <c r="IN525">
        <f>IF(ISBLANK('Data Entry'!$ĸ$525), "", 'Data Entry'!$ĸ$525)</f>
      </c>
      <c r="IO525">
        <f>IF(ISBLANK('Data Entry'!$Ĺ$525), "", 'Data Entry'!$Ĺ$525)</f>
      </c>
      <c r="IP525">
        <f>IF(ISBLANK('Data Entry'!$ĺ$525), "", 'Data Entry'!$ĺ$525)</f>
      </c>
      <c r="IQ525">
        <f>IF(ISBLANK('Data Entry'!$Ļ$525), "", 'Data Entry'!$Ļ$525)</f>
      </c>
      <c r="IR525">
        <f>IF(ISBLANK('Data Entry'!$ļ$525), "", 'Data Entry'!$ļ$525)</f>
      </c>
      <c r="IS525">
        <f>IF(ISBLANK('Data Entry'!$Ľ$525), "", 'Data Entry'!$Ľ$525)</f>
      </c>
      <c r="IT525">
        <f>IF(ISBLANK('Data Entry'!$ľ$525), "", 'Data Entry'!$ľ$525)</f>
      </c>
    </row>
    <row r="526" spans="1:254" x14ac:dyDescent="0.25">
      <c r="A526">
        <f>IF(ISBLANK('Data Entry'!$A$526), "", 'Data Entry'!$A$526)</f>
      </c>
      <c r="B526">
        <f>IF(ISBLANK('Data Entry'!$B$526), "", 'Data Entry'!$B$526)</f>
      </c>
      <c r="C526">
        <f>IF(ISBLANK('Data Entry'!$C$526), "", 'Data Entry'!$C$526)</f>
      </c>
      <c r="D526">
        <f>IF(ISBLANK('Data Entry'!$D$526), "", 'Data Entry'!$D$526)</f>
      </c>
      <c r="E526">
        <f>IF(ISBLANK('Data Entry'!$E$526), "", 'Data Entry'!$E$526)</f>
      </c>
      <c r="F526">
        <f>IF(ISBLANK('Data Entry'!$F$526), "", 'Data Entry'!$F$526)</f>
      </c>
      <c r="G526">
        <f>IF(ISBLANK('Data Entry'!$G$526), "", 'Data Entry'!$G$526)</f>
      </c>
      <c r="H526">
        <f>IF(ISBLANK('Data Entry'!$H$526), "", 'Data Entry'!$H$526)</f>
      </c>
      <c r="I526">
        <f>IF(ISBLANK('Data Entry'!$I$526), "", 'Data Entry'!$I$526)</f>
      </c>
      <c r="J526">
        <f>IF(ISBLANK('Data Entry'!$J$526), "", 'Data Entry'!$J$526)</f>
      </c>
      <c r="K526">
        <f>IF(ISBLANK('Data Entry'!$K$526), "", 'Data Entry'!$K$526)</f>
      </c>
      <c r="L526">
        <f>IF(ISBLANK('Data Entry'!$L$526), "", 'Data Entry'!$L$526)</f>
      </c>
      <c r="M526">
        <f>IF(ISBLANK('Data Entry'!$M$526), "", 'Data Entry'!$M$526)</f>
      </c>
      <c r="N526">
        <f>IF(ISBLANK('Data Entry'!$N$526), "", 'Data Entry'!$N$526)</f>
      </c>
      <c r="O526">
        <f>IF(ISBLANK('Data Entry'!$O$526), "", 'Data Entry'!$O$526)</f>
      </c>
      <c r="P526">
        <f>IF(ISBLANK('Data Entry'!$P$526), "", 'Data Entry'!$P$526)</f>
      </c>
      <c r="Q526">
        <f>IF(ISBLANK('Data Entry'!$Q$526), "", 'Data Entry'!$Q$526)</f>
      </c>
      <c r="R526">
        <f>IF(ISBLANK('Data Entry'!$R$526), "", 'Data Entry'!$R$526)</f>
      </c>
      <c r="S526">
        <f>IF(ISBLANK('Data Entry'!$S$526), "", 'Data Entry'!$S$526)</f>
      </c>
      <c r="T526">
        <f>IF(ISBLANK('Data Entry'!$T$526), "", 'Data Entry'!$T$526)</f>
      </c>
      <c r="U526">
        <f>IF(ISBLANK('Data Entry'!$U$526), "", 'Data Entry'!$U$526)</f>
      </c>
      <c r="V526">
        <f>IF(ISBLANK('Data Entry'!$V$526), "", 'Data Entry'!$V$526)</f>
      </c>
      <c r="W526">
        <f>IF(ISBLANK('Data Entry'!$W$526), "", 'Data Entry'!$W$526)</f>
      </c>
      <c r="X526">
        <f>IF(ISBLANK('Data Entry'!$X$526), "", 'Data Entry'!$X$526)</f>
      </c>
      <c r="Y526">
        <f>IF(ISBLANK('Data Entry'!$Y$526), "", 'Data Entry'!$Y$526)</f>
      </c>
      <c r="Z526">
        <f>IF(ISBLANK('Data Entry'!$Z$526), "", 'Data Entry'!$Z$526)</f>
      </c>
      <c r="AA526">
        <f>IF(ISBLANK('Data Entry'!$[$526), "", 'Data Entry'!$[$526)</f>
      </c>
      <c r="AB526">
        <f>IF(ISBLANK('Data Entry'!$\$526), "", 'Data Entry'!$\$526)</f>
      </c>
      <c r="AC526">
        <f>IF(ISBLANK('Data Entry'!$]$526), "", 'Data Entry'!$]$526)</f>
      </c>
      <c r="AD526">
        <f>IF(ISBLANK('Data Entry'!$^$526), "", 'Data Entry'!$^$526)</f>
      </c>
      <c r="AE526">
        <f>IF(ISBLANK('Data Entry'!$_$526), "", 'Data Entry'!$_$526)</f>
      </c>
      <c r="AF526">
        <f>IF(ISBLANK('Data Entry'!$`$526), "", 'Data Entry'!$`$526)</f>
      </c>
      <c r="AG526">
        <f>IF(ISBLANK('Data Entry'!$a$526), "", 'Data Entry'!$a$526)</f>
      </c>
      <c r="AH526">
        <f>IF(ISBLANK('Data Entry'!$b$526), "", 'Data Entry'!$b$526)</f>
      </c>
      <c r="AI526">
        <f>IF(ISBLANK('Data Entry'!$c$526), "", 'Data Entry'!$c$526)</f>
      </c>
      <c r="AJ526">
        <f>IF(ISBLANK('Data Entry'!$d$526), "", 'Data Entry'!$d$526)</f>
      </c>
      <c r="AK526">
        <f>IF(ISBLANK('Data Entry'!$e$526), "", 'Data Entry'!$e$526)</f>
      </c>
      <c r="AL526">
        <f>IF(ISBLANK('Data Entry'!$f$526), "", 'Data Entry'!$f$526)</f>
      </c>
      <c r="AM526">
        <f>IF(ISBLANK('Data Entry'!$g$526), "", 'Data Entry'!$g$526)</f>
      </c>
      <c r="AN526">
        <f>IF(ISBLANK('Data Entry'!$h$526), "", 'Data Entry'!$h$526)</f>
      </c>
      <c r="AO526">
        <f>IF(ISBLANK('Data Entry'!$i$526), "", 'Data Entry'!$i$526)</f>
      </c>
      <c r="AP526">
        <f>IF(ISBLANK('Data Entry'!$j$526), "", 'Data Entry'!$j$526)</f>
      </c>
      <c r="AQ526">
        <f>IF(ISBLANK('Data Entry'!$k$526), "", 'Data Entry'!$k$526)</f>
      </c>
      <c r="AR526">
        <f>IF(ISBLANK('Data Entry'!$l$526), "", 'Data Entry'!$l$526)</f>
      </c>
      <c r="AS526">
        <f>IF(ISBLANK('Data Entry'!$m$526), "", 'Data Entry'!$m$526)</f>
      </c>
      <c r="AT526">
        <f>IF(ISBLANK('Data Entry'!$n$526), "", 'Data Entry'!$n$526)</f>
      </c>
      <c r="AU526">
        <f>IF(ISBLANK('Data Entry'!$o$526), "", 'Data Entry'!$o$526)</f>
      </c>
      <c r="AV526">
        <f>IF(ISBLANK('Data Entry'!$p$526), "", 'Data Entry'!$p$526)</f>
      </c>
      <c r="AW526">
        <f>IF(ISBLANK('Data Entry'!$q$526), "", 'Data Entry'!$q$526)</f>
      </c>
      <c r="AX526">
        <f>IF(ISBLANK('Data Entry'!$r$526), "", 'Data Entry'!$r$526)</f>
      </c>
      <c r="AY526">
        <f>IF(ISBLANK('Data Entry'!$s$526), "", 'Data Entry'!$s$526)</f>
      </c>
      <c r="AZ526">
        <f>IF(ISBLANK('Data Entry'!$t$526), "", 'Data Entry'!$t$526)</f>
      </c>
      <c r="BA526">
        <f>IF(ISBLANK('Data Entry'!$u$526), "", 'Data Entry'!$u$526)</f>
      </c>
      <c r="BB526">
        <f>IF(ISBLANK('Data Entry'!$v$526), "", 'Data Entry'!$v$526)</f>
      </c>
      <c r="BC526">
        <f>IF(ISBLANK('Data Entry'!$w$526), "", 'Data Entry'!$w$526)</f>
      </c>
      <c r="BD526">
        <f>IF(ISBLANK('Data Entry'!$x$526), "", 'Data Entry'!$x$526)</f>
      </c>
      <c r="BE526">
        <f>IF(ISBLANK('Data Entry'!$y$526), "", 'Data Entry'!$y$526)</f>
      </c>
      <c r="BF526">
        <f>IF(ISBLANK('Data Entry'!$z$526), "", 'Data Entry'!$z$526)</f>
      </c>
      <c r="BG526">
        <f>IF(ISBLANK('Data Entry'!${$526), "", 'Data Entry'!${$526)</f>
      </c>
      <c r="BH526">
        <f>IF(ISBLANK('Data Entry'!$|$526), "", 'Data Entry'!$|$526)</f>
      </c>
      <c r="BI526">
        <f>IF(ISBLANK('Data Entry'!$}$526), "", 'Data Entry'!$}$526)</f>
      </c>
      <c r="BJ526">
        <f>IF(ISBLANK('Data Entry'!$~$526), "", 'Data Entry'!$~$526)</f>
      </c>
      <c r="BK526">
        <f>IF(ISBLANK('Data Entry'!$$526), "", 'Data Entry'!$$526)</f>
      </c>
      <c r="BL526">
        <f>IF(ISBLANK('Data Entry'!$$526), "", 'Data Entry'!$$526)</f>
      </c>
      <c r="BM526">
        <f>IF(ISBLANK('Data Entry'!$$526), "", 'Data Entry'!$$526)</f>
      </c>
      <c r="BN526">
        <f>IF(ISBLANK('Data Entry'!$$526), "", 'Data Entry'!$$526)</f>
      </c>
      <c r="BO526">
        <f>IF(ISBLANK('Data Entry'!$$526), "", 'Data Entry'!$$526)</f>
      </c>
      <c r="BP526">
        <f>IF(ISBLANK('Data Entry'!$$526), "", 'Data Entry'!$$526)</f>
      </c>
      <c r="BQ526">
        <f>IF(ISBLANK('Data Entry'!$$526), "", 'Data Entry'!$$526)</f>
      </c>
      <c r="BR526">
        <f>IF(ISBLANK('Data Entry'!$$526), "", 'Data Entry'!$$526)</f>
      </c>
      <c r="BS526">
        <f>IF(ISBLANK('Data Entry'!$$526), "", 'Data Entry'!$$526)</f>
      </c>
      <c r="BT526">
        <f>IF(ISBLANK('Data Entry'!$$526), "", 'Data Entry'!$$526)</f>
      </c>
      <c r="BU526">
        <f>IF(ISBLANK('Data Entry'!$$526), "", 'Data Entry'!$$526)</f>
      </c>
      <c r="BV526">
        <f>IF(ISBLANK('Data Entry'!$$526), "", 'Data Entry'!$$526)</f>
      </c>
      <c r="BW526">
        <f>IF(ISBLANK('Data Entry'!$$526), "", 'Data Entry'!$$526)</f>
      </c>
      <c r="BX526">
        <f>IF(ISBLANK('Data Entry'!$$526), "", 'Data Entry'!$$526)</f>
      </c>
      <c r="BY526">
        <f>IF(ISBLANK('Data Entry'!$$526), "", 'Data Entry'!$$526)</f>
      </c>
      <c r="BZ526">
        <f>IF(ISBLANK('Data Entry'!$$526), "", 'Data Entry'!$$526)</f>
      </c>
      <c r="CA526">
        <f>IF(ISBLANK('Data Entry'!$$526), "", 'Data Entry'!$$526)</f>
      </c>
      <c r="CB526">
        <f>IF(ISBLANK('Data Entry'!$$526), "", 'Data Entry'!$$526)</f>
      </c>
      <c r="CC526">
        <f>IF(ISBLANK('Data Entry'!$$526), "", 'Data Entry'!$$526)</f>
      </c>
      <c r="CD526">
        <f>IF(ISBLANK('Data Entry'!$$526), "", 'Data Entry'!$$526)</f>
      </c>
      <c r="CE526">
        <f>IF(ISBLANK('Data Entry'!$$526), "", 'Data Entry'!$$526)</f>
      </c>
      <c r="CF526">
        <f>IF(ISBLANK('Data Entry'!$$526), "", 'Data Entry'!$$526)</f>
      </c>
      <c r="CG526">
        <f>IF(ISBLANK('Data Entry'!$$526), "", 'Data Entry'!$$526)</f>
      </c>
      <c r="CH526">
        <f>IF(ISBLANK('Data Entry'!$$526), "", 'Data Entry'!$$526)</f>
      </c>
      <c r="CI526">
        <f>IF(ISBLANK('Data Entry'!$$526), "", 'Data Entry'!$$526)</f>
      </c>
      <c r="CJ526">
        <f>IF(ISBLANK('Data Entry'!$$526), "", 'Data Entry'!$$526)</f>
      </c>
      <c r="CK526">
        <f>IF(ISBLANK('Data Entry'!$$526), "", 'Data Entry'!$$526)</f>
      </c>
      <c r="CL526">
        <f>IF(ISBLANK('Data Entry'!$$526), "", 'Data Entry'!$$526)</f>
      </c>
      <c r="CM526">
        <f>IF(ISBLANK('Data Entry'!$$526), "", 'Data Entry'!$$526)</f>
      </c>
      <c r="CN526">
        <f>IF(ISBLANK('Data Entry'!$$526), "", 'Data Entry'!$$526)</f>
      </c>
      <c r="CO526">
        <f>IF(ISBLANK('Data Entry'!$$526), "", 'Data Entry'!$$526)</f>
      </c>
      <c r="CP526">
        <f>IF(ISBLANK('Data Entry'!$$526), "", 'Data Entry'!$$526)</f>
      </c>
      <c r="CQ526">
        <f>IF(ISBLANK('Data Entry'!$$526), "", 'Data Entry'!$$526)</f>
      </c>
      <c r="CR526">
        <f>IF(ISBLANK('Data Entry'!$ $526), "", 'Data Entry'!$ $526)</f>
      </c>
      <c r="CS526">
        <f>IF(ISBLANK('Data Entry'!$¡$526), "", 'Data Entry'!$¡$526)</f>
      </c>
      <c r="CT526">
        <f>IF(ISBLANK('Data Entry'!$¢$526), "", 'Data Entry'!$¢$526)</f>
      </c>
      <c r="CU526">
        <f>IF(ISBLANK('Data Entry'!$£$526), "", 'Data Entry'!$£$526)</f>
      </c>
      <c r="CV526">
        <f>IF(ISBLANK('Data Entry'!$¤$526), "", 'Data Entry'!$¤$526)</f>
      </c>
      <c r="CW526">
        <f>IF(ISBLANK('Data Entry'!$¥$526), "", 'Data Entry'!$¥$526)</f>
      </c>
      <c r="CX526">
        <f>IF(ISBLANK('Data Entry'!$¦$526), "", 'Data Entry'!$¦$526)</f>
      </c>
      <c r="CY526">
        <f>IF(ISBLANK('Data Entry'!$§$526), "", 'Data Entry'!$§$526)</f>
      </c>
      <c r="CZ526">
        <f>IF(ISBLANK('Data Entry'!$¨$526), "", 'Data Entry'!$¨$526)</f>
      </c>
      <c r="DA526">
        <f>IF(ISBLANK('Data Entry'!$©$526), "", 'Data Entry'!$©$526)</f>
      </c>
      <c r="DB526">
        <f>IF(ISBLANK('Data Entry'!$ª$526), "", 'Data Entry'!$ª$526)</f>
      </c>
      <c r="DC526">
        <f>IF(ISBLANK('Data Entry'!$«$526), "", 'Data Entry'!$«$526)</f>
      </c>
      <c r="DD526">
        <f>IF(ISBLANK('Data Entry'!$¬$526), "", 'Data Entry'!$¬$526)</f>
      </c>
      <c r="DE526">
        <f>IF(ISBLANK('Data Entry'!$­$526), "", 'Data Entry'!$­$526)</f>
      </c>
      <c r="DF526">
        <f>IF(ISBLANK('Data Entry'!$®$526), "", 'Data Entry'!$®$526)</f>
      </c>
      <c r="DG526">
        <f>IF(ISBLANK('Data Entry'!$¯$526), "", 'Data Entry'!$¯$526)</f>
      </c>
      <c r="DH526">
        <f>IF(ISBLANK('Data Entry'!$°$526), "", 'Data Entry'!$°$526)</f>
      </c>
      <c r="DI526">
        <f>IF(ISBLANK('Data Entry'!$±$526), "", 'Data Entry'!$±$526)</f>
      </c>
      <c r="DJ526">
        <f>IF(ISBLANK('Data Entry'!$²$526), "", 'Data Entry'!$²$526)</f>
      </c>
      <c r="DK526">
        <f>IF(ISBLANK('Data Entry'!$³$526), "", 'Data Entry'!$³$526)</f>
      </c>
      <c r="DL526">
        <f>IF(ISBLANK('Data Entry'!$´$526), "", 'Data Entry'!$´$526)</f>
      </c>
      <c r="DM526">
        <f>IF(ISBLANK('Data Entry'!$µ$526), "", 'Data Entry'!$µ$526)</f>
      </c>
      <c r="DN526">
        <f>IF(ISBLANK('Data Entry'!$¶$526), "", 'Data Entry'!$¶$526)</f>
      </c>
      <c r="DO526">
        <f>IF(ISBLANK('Data Entry'!$·$526), "", 'Data Entry'!$·$526)</f>
      </c>
      <c r="DP526">
        <f>IF(ISBLANK('Data Entry'!$¸$526), "", 'Data Entry'!$¸$526)</f>
      </c>
      <c r="DQ526">
        <f>IF(ISBLANK('Data Entry'!$¹$526), "", 'Data Entry'!$¹$526)</f>
      </c>
      <c r="DR526">
        <f>IF(ISBLANK('Data Entry'!$º$526), "", 'Data Entry'!$º$526)</f>
      </c>
      <c r="DS526">
        <f>IF(ISBLANK('Data Entry'!$»$526), "", 'Data Entry'!$»$526)</f>
      </c>
      <c r="DT526">
        <f>IF(ISBLANK('Data Entry'!$¼$526), "", 'Data Entry'!$¼$526)</f>
      </c>
      <c r="DU526">
        <f>IF(ISBLANK('Data Entry'!$½$526), "", 'Data Entry'!$½$526)</f>
      </c>
      <c r="DV526">
        <f>IF(ISBLANK('Data Entry'!$¾$526), "", 'Data Entry'!$¾$526)</f>
      </c>
      <c r="DW526">
        <f>IF(ISBLANK('Data Entry'!$¿$526), "", 'Data Entry'!$¿$526)</f>
      </c>
      <c r="DX526">
        <f>IF(ISBLANK('Data Entry'!$À$526), "", 'Data Entry'!$À$526)</f>
      </c>
      <c r="DY526">
        <f>IF(ISBLANK('Data Entry'!$Á$526), "", 'Data Entry'!$Á$526)</f>
      </c>
      <c r="DZ526">
        <f>IF(ISBLANK('Data Entry'!$Â$526), "", 'Data Entry'!$Â$526)</f>
      </c>
      <c r="EA526">
        <f>IF(ISBLANK('Data Entry'!$Ã$526), "", 'Data Entry'!$Ã$526)</f>
      </c>
      <c r="EB526">
        <f>IF(ISBLANK('Data Entry'!$Ä$526), "", 'Data Entry'!$Ä$526)</f>
      </c>
      <c r="EC526">
        <f>IF(ISBLANK('Data Entry'!$Å$526), "", 'Data Entry'!$Å$526)</f>
      </c>
      <c r="ED526">
        <f>IF(ISBLANK('Data Entry'!$Æ$526), "", 'Data Entry'!$Æ$526)</f>
      </c>
      <c r="EE526">
        <f>IF(ISBLANK('Data Entry'!$Ç$526), "", 'Data Entry'!$Ç$526)</f>
      </c>
      <c r="EF526">
        <f>IF(ISBLANK('Data Entry'!$È$526), "", 'Data Entry'!$È$526)</f>
      </c>
      <c r="EG526">
        <f>IF(ISBLANK('Data Entry'!$É$526), "", 'Data Entry'!$É$526)</f>
      </c>
      <c r="EH526">
        <f>IF(ISBLANK('Data Entry'!$Ê$526), "", 'Data Entry'!$Ê$526)</f>
      </c>
      <c r="EI526">
        <f>IF(ISBLANK('Data Entry'!$Ë$526), "", 'Data Entry'!$Ë$526)</f>
      </c>
      <c r="EJ526">
        <f>IF(ISBLANK('Data Entry'!$Ì$526), "", 'Data Entry'!$Ì$526)</f>
      </c>
      <c r="EK526">
        <f>IF(ISBLANK('Data Entry'!$Í$526), "", 'Data Entry'!$Í$526)</f>
      </c>
      <c r="EL526">
        <f>IF(ISBLANK('Data Entry'!$Î$526), "", 'Data Entry'!$Î$526)</f>
      </c>
      <c r="EM526">
        <f>IF(ISBLANK('Data Entry'!$Ï$526), "", 'Data Entry'!$Ï$526)</f>
      </c>
      <c r="EN526">
        <f>IF(ISBLANK('Data Entry'!$Ð$526), "", 'Data Entry'!$Ð$526)</f>
      </c>
      <c r="EO526">
        <f>IF(ISBLANK('Data Entry'!$Ñ$526), "", 'Data Entry'!$Ñ$526)</f>
      </c>
      <c r="EP526">
        <f>IF(ISBLANK('Data Entry'!$Ò$526), "", 'Data Entry'!$Ò$526)</f>
      </c>
      <c r="EQ526">
        <f>IF(ISBLANK('Data Entry'!$Ó$526), "", 'Data Entry'!$Ó$526)</f>
      </c>
      <c r="ER526">
        <f>IF(ISBLANK('Data Entry'!$Ô$526), "", 'Data Entry'!$Ô$526)</f>
      </c>
      <c r="ES526">
        <f>IF(ISBLANK('Data Entry'!$Õ$526), "", 'Data Entry'!$Õ$526)</f>
      </c>
      <c r="ET526">
        <f>IF(ISBLANK('Data Entry'!$Ö$526), "", 'Data Entry'!$Ö$526)</f>
      </c>
      <c r="EU526">
        <f>IF(ISBLANK('Data Entry'!$×$526), "", 'Data Entry'!$×$526)</f>
      </c>
      <c r="EV526">
        <f>IF(ISBLANK('Data Entry'!$Ø$526), "", 'Data Entry'!$Ø$526)</f>
      </c>
      <c r="EW526">
        <f>IF(ISBLANK('Data Entry'!$Ù$526), "", 'Data Entry'!$Ù$526)</f>
      </c>
      <c r="EX526">
        <f>IF(ISBLANK('Data Entry'!$Ú$526), "", 'Data Entry'!$Ú$526)</f>
      </c>
      <c r="EY526">
        <f>IF(ISBLANK('Data Entry'!$Û$526), "", 'Data Entry'!$Û$526)</f>
      </c>
      <c r="EZ526">
        <f>IF(ISBLANK('Data Entry'!$Ü$526), "", 'Data Entry'!$Ü$526)</f>
      </c>
      <c r="FA526">
        <f>IF(ISBLANK('Data Entry'!$Ý$526), "", 'Data Entry'!$Ý$526)</f>
      </c>
      <c r="FB526">
        <f>IF(ISBLANK('Data Entry'!$Þ$526), "", 'Data Entry'!$Þ$526)</f>
      </c>
      <c r="FC526">
        <f>IF(ISBLANK('Data Entry'!$ß$526), "", 'Data Entry'!$ß$526)</f>
      </c>
      <c r="FD526">
        <f>IF(ISBLANK('Data Entry'!$à$526), "", 'Data Entry'!$à$526)</f>
      </c>
      <c r="FE526">
        <f>IF(ISBLANK('Data Entry'!$á$526), "", 'Data Entry'!$á$526)</f>
      </c>
      <c r="FF526">
        <f>IF(ISBLANK('Data Entry'!$â$526), "", 'Data Entry'!$â$526)</f>
      </c>
      <c r="FG526">
        <f>IF(ISBLANK('Data Entry'!$ã$526), "", 'Data Entry'!$ã$526)</f>
      </c>
      <c r="FH526">
        <f>IF(ISBLANK('Data Entry'!$ä$526), "", 'Data Entry'!$ä$526)</f>
      </c>
      <c r="FI526">
        <f>IF(ISBLANK('Data Entry'!$å$526), "", 'Data Entry'!$å$526)</f>
      </c>
      <c r="FJ526">
        <f>IF(ISBLANK('Data Entry'!$æ$526), "", 'Data Entry'!$æ$526)</f>
      </c>
      <c r="FK526">
        <f>IF(ISBLANK('Data Entry'!$ç$526), "", 'Data Entry'!$ç$526)</f>
      </c>
      <c r="FL526">
        <f>IF(ISBLANK('Data Entry'!$è$526), "", 'Data Entry'!$è$526)</f>
      </c>
      <c r="FM526">
        <f>IF(ISBLANK('Data Entry'!$é$526), "", 'Data Entry'!$é$526)</f>
      </c>
      <c r="FN526">
        <f>IF(ISBLANK('Data Entry'!$ê$526), "", 'Data Entry'!$ê$526)</f>
      </c>
      <c r="FO526">
        <f>IF(ISBLANK('Data Entry'!$ë$526), "", 'Data Entry'!$ë$526)</f>
      </c>
      <c r="FP526">
        <f>IF(ISBLANK('Data Entry'!$ì$526), "", 'Data Entry'!$ì$526)</f>
      </c>
      <c r="FQ526">
        <f>IF(ISBLANK('Data Entry'!$í$526), "", 'Data Entry'!$í$526)</f>
      </c>
      <c r="FR526">
        <f>IF(ISBLANK('Data Entry'!$î$526), "", 'Data Entry'!$î$526)</f>
      </c>
      <c r="FS526">
        <f>IF(ISBLANK('Data Entry'!$ï$526), "", 'Data Entry'!$ï$526)</f>
      </c>
      <c r="FT526">
        <f>IF(ISBLANK('Data Entry'!$ð$526), "", 'Data Entry'!$ð$526)</f>
      </c>
      <c r="FU526">
        <f>IF(ISBLANK('Data Entry'!$ñ$526), "", 'Data Entry'!$ñ$526)</f>
      </c>
      <c r="FV526">
        <f>IF(ISBLANK('Data Entry'!$ò$526), "", 'Data Entry'!$ò$526)</f>
      </c>
      <c r="FW526">
        <f>IF(ISBLANK('Data Entry'!$ó$526), "", 'Data Entry'!$ó$526)</f>
      </c>
      <c r="FX526">
        <f>IF(ISBLANK('Data Entry'!$ô$526), "", 'Data Entry'!$ô$526)</f>
      </c>
      <c r="FY526">
        <f>IF(ISBLANK('Data Entry'!$õ$526), "", 'Data Entry'!$õ$526)</f>
      </c>
      <c r="FZ526">
        <f>IF(ISBLANK('Data Entry'!$ö$526), "", 'Data Entry'!$ö$526)</f>
      </c>
      <c r="GA526">
        <f>IF(ISBLANK('Data Entry'!$÷$526), "", 'Data Entry'!$÷$526)</f>
      </c>
      <c r="GB526">
        <f>IF(ISBLANK('Data Entry'!$ø$526), "", 'Data Entry'!$ø$526)</f>
      </c>
      <c r="GC526">
        <f>IF(ISBLANK('Data Entry'!$ù$526), "", 'Data Entry'!$ù$526)</f>
      </c>
      <c r="GD526">
        <f>IF(ISBLANK('Data Entry'!$ú$526), "", 'Data Entry'!$ú$526)</f>
      </c>
      <c r="GE526">
        <f>IF(ISBLANK('Data Entry'!$û$526), "", 'Data Entry'!$û$526)</f>
      </c>
      <c r="GF526">
        <f>IF(ISBLANK('Data Entry'!$ü$526), "", 'Data Entry'!$ü$526)</f>
      </c>
      <c r="GG526">
        <f>IF(ISBLANK('Data Entry'!$ý$526), "", 'Data Entry'!$ý$526)</f>
      </c>
      <c r="GH526">
        <f>IF(ISBLANK('Data Entry'!$þ$526), "", 'Data Entry'!$þ$526)</f>
      </c>
      <c r="GI526">
        <f>IF(ISBLANK('Data Entry'!$ÿ$526), "", 'Data Entry'!$ÿ$526)</f>
      </c>
      <c r="GJ526">
        <f>IF(ISBLANK('Data Entry'!$Ā$526), "", 'Data Entry'!$Ā$526)</f>
      </c>
      <c r="GK526">
        <f>IF(ISBLANK('Data Entry'!$ā$526), "", 'Data Entry'!$ā$526)</f>
      </c>
      <c r="GL526">
        <f>IF(ISBLANK('Data Entry'!$Ă$526), "", 'Data Entry'!$Ă$526)</f>
      </c>
      <c r="GM526">
        <f>IF(ISBLANK('Data Entry'!$ă$526), "", 'Data Entry'!$ă$526)</f>
      </c>
      <c r="GN526">
        <f>IF(ISBLANK('Data Entry'!$Ą$526), "", 'Data Entry'!$Ą$526)</f>
      </c>
      <c r="GO526">
        <f>IF(ISBLANK('Data Entry'!$ą$526), "", 'Data Entry'!$ą$526)</f>
      </c>
      <c r="GP526">
        <f>IF(ISBLANK('Data Entry'!$Ć$526), "", 'Data Entry'!$Ć$526)</f>
      </c>
      <c r="GQ526">
        <f>IF(ISBLANK('Data Entry'!$ć$526), "", 'Data Entry'!$ć$526)</f>
      </c>
      <c r="GR526">
        <f>IF(ISBLANK('Data Entry'!$Ĉ$526), "", 'Data Entry'!$Ĉ$526)</f>
      </c>
      <c r="GS526">
        <f>IF(ISBLANK('Data Entry'!$ĉ$526), "", 'Data Entry'!$ĉ$526)</f>
      </c>
      <c r="GT526">
        <f>IF(ISBLANK('Data Entry'!$Ċ$526), "", 'Data Entry'!$Ċ$526)</f>
      </c>
      <c r="GU526">
        <f>IF(ISBLANK('Data Entry'!$ċ$526), "", 'Data Entry'!$ċ$526)</f>
      </c>
      <c r="GV526">
        <f>IF(ISBLANK('Data Entry'!$Č$526), "", 'Data Entry'!$Č$526)</f>
      </c>
      <c r="GW526">
        <f>IF(ISBLANK('Data Entry'!$č$526), "", 'Data Entry'!$č$526)</f>
      </c>
      <c r="GX526">
        <f>IF(ISBLANK('Data Entry'!$Ď$526), "", 'Data Entry'!$Ď$526)</f>
      </c>
      <c r="GY526">
        <f>IF(ISBLANK('Data Entry'!$ď$526), "", 'Data Entry'!$ď$526)</f>
      </c>
      <c r="GZ526">
        <f>IF(ISBLANK('Data Entry'!$Đ$526), "", 'Data Entry'!$Đ$526)</f>
      </c>
      <c r="HA526">
        <f>IF(ISBLANK('Data Entry'!$đ$526), "", 'Data Entry'!$đ$526)</f>
      </c>
      <c r="HB526">
        <f>IF(ISBLANK('Data Entry'!$Ē$526), "", 'Data Entry'!$Ē$526)</f>
      </c>
      <c r="HC526">
        <f>IF(ISBLANK('Data Entry'!$ē$526), "", 'Data Entry'!$ē$526)</f>
      </c>
      <c r="HD526">
        <f>IF(ISBLANK('Data Entry'!$Ĕ$526), "", 'Data Entry'!$Ĕ$526)</f>
      </c>
      <c r="HE526">
        <f>IF(ISBLANK('Data Entry'!$ĕ$526), "", 'Data Entry'!$ĕ$526)</f>
      </c>
      <c r="HF526">
        <f>IF(ISBLANK('Data Entry'!$Ė$526), "", 'Data Entry'!$Ė$526)</f>
      </c>
      <c r="HG526">
        <f>IF(ISBLANK('Data Entry'!$ė$526), "", 'Data Entry'!$ė$526)</f>
      </c>
      <c r="HH526">
        <f>IF(ISBLANK('Data Entry'!$Ę$526), "", 'Data Entry'!$Ę$526)</f>
      </c>
      <c r="HI526">
        <f>IF(ISBLANK('Data Entry'!$ę$526), "", 'Data Entry'!$ę$526)</f>
      </c>
      <c r="HJ526">
        <f>IF(ISBLANK('Data Entry'!$Ě$526), "", 'Data Entry'!$Ě$526)</f>
      </c>
      <c r="HK526">
        <f>IF(ISBLANK('Data Entry'!$ě$526), "", 'Data Entry'!$ě$526)</f>
      </c>
      <c r="HL526">
        <f>IF(ISBLANK('Data Entry'!$Ĝ$526), "", 'Data Entry'!$Ĝ$526)</f>
      </c>
      <c r="HM526">
        <f>IF(ISBLANK('Data Entry'!$ĝ$526), "", 'Data Entry'!$ĝ$526)</f>
      </c>
      <c r="HN526">
        <f>IF(ISBLANK('Data Entry'!$Ğ$526), "", 'Data Entry'!$Ğ$526)</f>
      </c>
      <c r="HO526">
        <f>IF(ISBLANK('Data Entry'!$ğ$526), "", 'Data Entry'!$ğ$526)</f>
      </c>
      <c r="HP526">
        <f>IF(ISBLANK('Data Entry'!$Ġ$526), "", 'Data Entry'!$Ġ$526)</f>
      </c>
      <c r="HQ526">
        <f>IF(ISBLANK('Data Entry'!$ġ$526), "", 'Data Entry'!$ġ$526)</f>
      </c>
      <c r="HR526">
        <f>IF(ISBLANK('Data Entry'!$Ģ$526), "", 'Data Entry'!$Ģ$526)</f>
      </c>
      <c r="HS526">
        <f>IF(ISBLANK('Data Entry'!$ģ$526), "", 'Data Entry'!$ģ$526)</f>
      </c>
      <c r="HT526">
        <f>IF(ISBLANK('Data Entry'!$Ĥ$526), "", 'Data Entry'!$Ĥ$526)</f>
      </c>
      <c r="HU526">
        <f>IF(ISBLANK('Data Entry'!$ĥ$526), "", 'Data Entry'!$ĥ$526)</f>
      </c>
      <c r="HV526">
        <f>IF(ISBLANK('Data Entry'!$Ħ$526), "", 'Data Entry'!$Ħ$526)</f>
      </c>
      <c r="HW526">
        <f>IF(ISBLANK('Data Entry'!$ħ$526), "", 'Data Entry'!$ħ$526)</f>
      </c>
      <c r="HX526">
        <f>IF(ISBLANK('Data Entry'!$Ĩ$526), "", 'Data Entry'!$Ĩ$526)</f>
      </c>
      <c r="HY526">
        <f>IF(ISBLANK('Data Entry'!$ĩ$526), "", 'Data Entry'!$ĩ$526)</f>
      </c>
      <c r="HZ526">
        <f>IF(ISBLANK('Data Entry'!$Ī$526), "", 'Data Entry'!$Ī$526)</f>
      </c>
      <c r="IA526">
        <f>IF(ISBLANK('Data Entry'!$ī$526), "", 'Data Entry'!$ī$526)</f>
      </c>
      <c r="IB526">
        <f>IF(ISBLANK('Data Entry'!$Ĭ$526), "", 'Data Entry'!$Ĭ$526)</f>
      </c>
      <c r="IC526">
        <f>IF(ISBLANK('Data Entry'!$ĭ$526), "", 'Data Entry'!$ĭ$526)</f>
      </c>
      <c r="ID526">
        <f>IF(ISBLANK('Data Entry'!$Į$526), "", 'Data Entry'!$Į$526)</f>
      </c>
      <c r="IE526">
        <f>IF(ISBLANK('Data Entry'!$į$526), "", 'Data Entry'!$į$526)</f>
      </c>
      <c r="IF526">
        <f>IF(ISBLANK('Data Entry'!$İ$526), "", 'Data Entry'!$İ$526)</f>
      </c>
      <c r="IG526">
        <f>IF(ISBLANK('Data Entry'!$ı$526), "", 'Data Entry'!$ı$526)</f>
      </c>
      <c r="IH526">
        <f>IF(ISBLANK('Data Entry'!$Ĳ$526), "", 'Data Entry'!$Ĳ$526)</f>
      </c>
      <c r="II526">
        <f>IF(ISBLANK('Data Entry'!$ĳ$526), "", 'Data Entry'!$ĳ$526)</f>
      </c>
      <c r="IJ526">
        <f>IF(ISBLANK('Data Entry'!$Ĵ$526), "", 'Data Entry'!$Ĵ$526)</f>
      </c>
      <c r="IK526">
        <f>IF(ISBLANK('Data Entry'!$ĵ$526), "", 'Data Entry'!$ĵ$526)</f>
      </c>
      <c r="IL526">
        <f>IF(ISBLANK('Data Entry'!$Ķ$526), "", 'Data Entry'!$Ķ$526)</f>
      </c>
      <c r="IM526">
        <f>IF(ISBLANK('Data Entry'!$ķ$526), "", 'Data Entry'!$ķ$526)</f>
      </c>
      <c r="IN526">
        <f>IF(ISBLANK('Data Entry'!$ĸ$526), "", 'Data Entry'!$ĸ$526)</f>
      </c>
      <c r="IO526">
        <f>IF(ISBLANK('Data Entry'!$Ĺ$526), "", 'Data Entry'!$Ĺ$526)</f>
      </c>
      <c r="IP526">
        <f>IF(ISBLANK('Data Entry'!$ĺ$526), "", 'Data Entry'!$ĺ$526)</f>
      </c>
      <c r="IQ526">
        <f>IF(ISBLANK('Data Entry'!$Ļ$526), "", 'Data Entry'!$Ļ$526)</f>
      </c>
      <c r="IR526">
        <f>IF(ISBLANK('Data Entry'!$ļ$526), "", 'Data Entry'!$ļ$526)</f>
      </c>
      <c r="IS526">
        <f>IF(ISBLANK('Data Entry'!$Ľ$526), "", 'Data Entry'!$Ľ$526)</f>
      </c>
      <c r="IT526">
        <f>IF(ISBLANK('Data Entry'!$ľ$526), "", 'Data Entry'!$ľ$526)</f>
      </c>
    </row>
    <row r="527" spans="1:254" x14ac:dyDescent="0.25">
      <c r="A527">
        <f>IF(ISBLANK('Data Entry'!$A$527), "", 'Data Entry'!$A$527)</f>
      </c>
      <c r="B527">
        <f>IF(ISBLANK('Data Entry'!$B$527), "", 'Data Entry'!$B$527)</f>
      </c>
      <c r="C527">
        <f>IF(ISBLANK('Data Entry'!$C$527), "", 'Data Entry'!$C$527)</f>
      </c>
      <c r="D527">
        <f>IF(ISBLANK('Data Entry'!$D$527), "", 'Data Entry'!$D$527)</f>
      </c>
      <c r="E527">
        <f>IF(ISBLANK('Data Entry'!$E$527), "", 'Data Entry'!$E$527)</f>
      </c>
      <c r="F527">
        <f>IF(ISBLANK('Data Entry'!$F$527), "", 'Data Entry'!$F$527)</f>
      </c>
      <c r="G527">
        <f>IF(ISBLANK('Data Entry'!$G$527), "", 'Data Entry'!$G$527)</f>
      </c>
      <c r="H527">
        <f>IF(ISBLANK('Data Entry'!$H$527), "", 'Data Entry'!$H$527)</f>
      </c>
      <c r="I527">
        <f>IF(ISBLANK('Data Entry'!$I$527), "", 'Data Entry'!$I$527)</f>
      </c>
      <c r="J527">
        <f>IF(ISBLANK('Data Entry'!$J$527), "", 'Data Entry'!$J$527)</f>
      </c>
      <c r="K527">
        <f>IF(ISBLANK('Data Entry'!$K$527), "", 'Data Entry'!$K$527)</f>
      </c>
      <c r="L527">
        <f>IF(ISBLANK('Data Entry'!$L$527), "", 'Data Entry'!$L$527)</f>
      </c>
      <c r="M527">
        <f>IF(ISBLANK('Data Entry'!$M$527), "", 'Data Entry'!$M$527)</f>
      </c>
      <c r="N527">
        <f>IF(ISBLANK('Data Entry'!$N$527), "", 'Data Entry'!$N$527)</f>
      </c>
      <c r="O527">
        <f>IF(ISBLANK('Data Entry'!$O$527), "", 'Data Entry'!$O$527)</f>
      </c>
      <c r="P527">
        <f>IF(ISBLANK('Data Entry'!$P$527), "", 'Data Entry'!$P$527)</f>
      </c>
      <c r="Q527">
        <f>IF(ISBLANK('Data Entry'!$Q$527), "", 'Data Entry'!$Q$527)</f>
      </c>
      <c r="R527">
        <f>IF(ISBLANK('Data Entry'!$R$527), "", 'Data Entry'!$R$527)</f>
      </c>
      <c r="S527">
        <f>IF(ISBLANK('Data Entry'!$S$527), "", 'Data Entry'!$S$527)</f>
      </c>
      <c r="T527">
        <f>IF(ISBLANK('Data Entry'!$T$527), "", 'Data Entry'!$T$527)</f>
      </c>
      <c r="U527">
        <f>IF(ISBLANK('Data Entry'!$U$527), "", 'Data Entry'!$U$527)</f>
      </c>
      <c r="V527">
        <f>IF(ISBLANK('Data Entry'!$V$527), "", 'Data Entry'!$V$527)</f>
      </c>
      <c r="W527">
        <f>IF(ISBLANK('Data Entry'!$W$527), "", 'Data Entry'!$W$527)</f>
      </c>
      <c r="X527">
        <f>IF(ISBLANK('Data Entry'!$X$527), "", 'Data Entry'!$X$527)</f>
      </c>
      <c r="Y527">
        <f>IF(ISBLANK('Data Entry'!$Y$527), "", 'Data Entry'!$Y$527)</f>
      </c>
      <c r="Z527">
        <f>IF(ISBLANK('Data Entry'!$Z$527), "", 'Data Entry'!$Z$527)</f>
      </c>
      <c r="AA527">
        <f>IF(ISBLANK('Data Entry'!$[$527), "", 'Data Entry'!$[$527)</f>
      </c>
      <c r="AB527">
        <f>IF(ISBLANK('Data Entry'!$\$527), "", 'Data Entry'!$\$527)</f>
      </c>
      <c r="AC527">
        <f>IF(ISBLANK('Data Entry'!$]$527), "", 'Data Entry'!$]$527)</f>
      </c>
      <c r="AD527">
        <f>IF(ISBLANK('Data Entry'!$^$527), "", 'Data Entry'!$^$527)</f>
      </c>
      <c r="AE527">
        <f>IF(ISBLANK('Data Entry'!$_$527), "", 'Data Entry'!$_$527)</f>
      </c>
      <c r="AF527">
        <f>IF(ISBLANK('Data Entry'!$`$527), "", 'Data Entry'!$`$527)</f>
      </c>
      <c r="AG527">
        <f>IF(ISBLANK('Data Entry'!$a$527), "", 'Data Entry'!$a$527)</f>
      </c>
      <c r="AH527">
        <f>IF(ISBLANK('Data Entry'!$b$527), "", 'Data Entry'!$b$527)</f>
      </c>
      <c r="AI527">
        <f>IF(ISBLANK('Data Entry'!$c$527), "", 'Data Entry'!$c$527)</f>
      </c>
      <c r="AJ527">
        <f>IF(ISBLANK('Data Entry'!$d$527), "", 'Data Entry'!$d$527)</f>
      </c>
      <c r="AK527">
        <f>IF(ISBLANK('Data Entry'!$e$527), "", 'Data Entry'!$e$527)</f>
      </c>
      <c r="AL527">
        <f>IF(ISBLANK('Data Entry'!$f$527), "", 'Data Entry'!$f$527)</f>
      </c>
      <c r="AM527">
        <f>IF(ISBLANK('Data Entry'!$g$527), "", 'Data Entry'!$g$527)</f>
      </c>
      <c r="AN527">
        <f>IF(ISBLANK('Data Entry'!$h$527), "", 'Data Entry'!$h$527)</f>
      </c>
      <c r="AO527">
        <f>IF(ISBLANK('Data Entry'!$i$527), "", 'Data Entry'!$i$527)</f>
      </c>
      <c r="AP527">
        <f>IF(ISBLANK('Data Entry'!$j$527), "", 'Data Entry'!$j$527)</f>
      </c>
      <c r="AQ527">
        <f>IF(ISBLANK('Data Entry'!$k$527), "", 'Data Entry'!$k$527)</f>
      </c>
      <c r="AR527">
        <f>IF(ISBLANK('Data Entry'!$l$527), "", 'Data Entry'!$l$527)</f>
      </c>
      <c r="AS527">
        <f>IF(ISBLANK('Data Entry'!$m$527), "", 'Data Entry'!$m$527)</f>
      </c>
      <c r="AT527">
        <f>IF(ISBLANK('Data Entry'!$n$527), "", 'Data Entry'!$n$527)</f>
      </c>
      <c r="AU527">
        <f>IF(ISBLANK('Data Entry'!$o$527), "", 'Data Entry'!$o$527)</f>
      </c>
      <c r="AV527">
        <f>IF(ISBLANK('Data Entry'!$p$527), "", 'Data Entry'!$p$527)</f>
      </c>
      <c r="AW527">
        <f>IF(ISBLANK('Data Entry'!$q$527), "", 'Data Entry'!$q$527)</f>
      </c>
      <c r="AX527">
        <f>IF(ISBLANK('Data Entry'!$r$527), "", 'Data Entry'!$r$527)</f>
      </c>
      <c r="AY527">
        <f>IF(ISBLANK('Data Entry'!$s$527), "", 'Data Entry'!$s$527)</f>
      </c>
      <c r="AZ527">
        <f>IF(ISBLANK('Data Entry'!$t$527), "", 'Data Entry'!$t$527)</f>
      </c>
      <c r="BA527">
        <f>IF(ISBLANK('Data Entry'!$u$527), "", 'Data Entry'!$u$527)</f>
      </c>
      <c r="BB527">
        <f>IF(ISBLANK('Data Entry'!$v$527), "", 'Data Entry'!$v$527)</f>
      </c>
      <c r="BC527">
        <f>IF(ISBLANK('Data Entry'!$w$527), "", 'Data Entry'!$w$527)</f>
      </c>
      <c r="BD527">
        <f>IF(ISBLANK('Data Entry'!$x$527), "", 'Data Entry'!$x$527)</f>
      </c>
      <c r="BE527">
        <f>IF(ISBLANK('Data Entry'!$y$527), "", 'Data Entry'!$y$527)</f>
      </c>
      <c r="BF527">
        <f>IF(ISBLANK('Data Entry'!$z$527), "", 'Data Entry'!$z$527)</f>
      </c>
      <c r="BG527">
        <f>IF(ISBLANK('Data Entry'!${$527), "", 'Data Entry'!${$527)</f>
      </c>
      <c r="BH527">
        <f>IF(ISBLANK('Data Entry'!$|$527), "", 'Data Entry'!$|$527)</f>
      </c>
      <c r="BI527">
        <f>IF(ISBLANK('Data Entry'!$}$527), "", 'Data Entry'!$}$527)</f>
      </c>
      <c r="BJ527">
        <f>IF(ISBLANK('Data Entry'!$~$527), "", 'Data Entry'!$~$527)</f>
      </c>
      <c r="BK527">
        <f>IF(ISBLANK('Data Entry'!$$527), "", 'Data Entry'!$$527)</f>
      </c>
      <c r="BL527">
        <f>IF(ISBLANK('Data Entry'!$$527), "", 'Data Entry'!$$527)</f>
      </c>
      <c r="BM527">
        <f>IF(ISBLANK('Data Entry'!$$527), "", 'Data Entry'!$$527)</f>
      </c>
      <c r="BN527">
        <f>IF(ISBLANK('Data Entry'!$$527), "", 'Data Entry'!$$527)</f>
      </c>
      <c r="BO527">
        <f>IF(ISBLANK('Data Entry'!$$527), "", 'Data Entry'!$$527)</f>
      </c>
      <c r="BP527">
        <f>IF(ISBLANK('Data Entry'!$$527), "", 'Data Entry'!$$527)</f>
      </c>
      <c r="BQ527">
        <f>IF(ISBLANK('Data Entry'!$$527), "", 'Data Entry'!$$527)</f>
      </c>
      <c r="BR527">
        <f>IF(ISBLANK('Data Entry'!$$527), "", 'Data Entry'!$$527)</f>
      </c>
      <c r="BS527">
        <f>IF(ISBLANK('Data Entry'!$$527), "", 'Data Entry'!$$527)</f>
      </c>
      <c r="BT527">
        <f>IF(ISBLANK('Data Entry'!$$527), "", 'Data Entry'!$$527)</f>
      </c>
      <c r="BU527">
        <f>IF(ISBLANK('Data Entry'!$$527), "", 'Data Entry'!$$527)</f>
      </c>
      <c r="BV527">
        <f>IF(ISBLANK('Data Entry'!$$527), "", 'Data Entry'!$$527)</f>
      </c>
      <c r="BW527">
        <f>IF(ISBLANK('Data Entry'!$$527), "", 'Data Entry'!$$527)</f>
      </c>
      <c r="BX527">
        <f>IF(ISBLANK('Data Entry'!$$527), "", 'Data Entry'!$$527)</f>
      </c>
      <c r="BY527">
        <f>IF(ISBLANK('Data Entry'!$$527), "", 'Data Entry'!$$527)</f>
      </c>
      <c r="BZ527">
        <f>IF(ISBLANK('Data Entry'!$$527), "", 'Data Entry'!$$527)</f>
      </c>
      <c r="CA527">
        <f>IF(ISBLANK('Data Entry'!$$527), "", 'Data Entry'!$$527)</f>
      </c>
      <c r="CB527">
        <f>IF(ISBLANK('Data Entry'!$$527), "", 'Data Entry'!$$527)</f>
      </c>
      <c r="CC527">
        <f>IF(ISBLANK('Data Entry'!$$527), "", 'Data Entry'!$$527)</f>
      </c>
      <c r="CD527">
        <f>IF(ISBLANK('Data Entry'!$$527), "", 'Data Entry'!$$527)</f>
      </c>
      <c r="CE527">
        <f>IF(ISBLANK('Data Entry'!$$527), "", 'Data Entry'!$$527)</f>
      </c>
      <c r="CF527">
        <f>IF(ISBLANK('Data Entry'!$$527), "", 'Data Entry'!$$527)</f>
      </c>
      <c r="CG527">
        <f>IF(ISBLANK('Data Entry'!$$527), "", 'Data Entry'!$$527)</f>
      </c>
      <c r="CH527">
        <f>IF(ISBLANK('Data Entry'!$$527), "", 'Data Entry'!$$527)</f>
      </c>
      <c r="CI527">
        <f>IF(ISBLANK('Data Entry'!$$527), "", 'Data Entry'!$$527)</f>
      </c>
      <c r="CJ527">
        <f>IF(ISBLANK('Data Entry'!$$527), "", 'Data Entry'!$$527)</f>
      </c>
      <c r="CK527">
        <f>IF(ISBLANK('Data Entry'!$$527), "", 'Data Entry'!$$527)</f>
      </c>
      <c r="CL527">
        <f>IF(ISBLANK('Data Entry'!$$527), "", 'Data Entry'!$$527)</f>
      </c>
      <c r="CM527">
        <f>IF(ISBLANK('Data Entry'!$$527), "", 'Data Entry'!$$527)</f>
      </c>
      <c r="CN527">
        <f>IF(ISBLANK('Data Entry'!$$527), "", 'Data Entry'!$$527)</f>
      </c>
      <c r="CO527">
        <f>IF(ISBLANK('Data Entry'!$$527), "", 'Data Entry'!$$527)</f>
      </c>
      <c r="CP527">
        <f>IF(ISBLANK('Data Entry'!$$527), "", 'Data Entry'!$$527)</f>
      </c>
      <c r="CQ527">
        <f>IF(ISBLANK('Data Entry'!$$527), "", 'Data Entry'!$$527)</f>
      </c>
      <c r="CR527">
        <f>IF(ISBLANK('Data Entry'!$ $527), "", 'Data Entry'!$ $527)</f>
      </c>
      <c r="CS527">
        <f>IF(ISBLANK('Data Entry'!$¡$527), "", 'Data Entry'!$¡$527)</f>
      </c>
      <c r="CT527">
        <f>IF(ISBLANK('Data Entry'!$¢$527), "", 'Data Entry'!$¢$527)</f>
      </c>
      <c r="CU527">
        <f>IF(ISBLANK('Data Entry'!$£$527), "", 'Data Entry'!$£$527)</f>
      </c>
      <c r="CV527">
        <f>IF(ISBLANK('Data Entry'!$¤$527), "", 'Data Entry'!$¤$527)</f>
      </c>
      <c r="CW527">
        <f>IF(ISBLANK('Data Entry'!$¥$527), "", 'Data Entry'!$¥$527)</f>
      </c>
      <c r="CX527">
        <f>IF(ISBLANK('Data Entry'!$¦$527), "", 'Data Entry'!$¦$527)</f>
      </c>
      <c r="CY527">
        <f>IF(ISBLANK('Data Entry'!$§$527), "", 'Data Entry'!$§$527)</f>
      </c>
      <c r="CZ527">
        <f>IF(ISBLANK('Data Entry'!$¨$527), "", 'Data Entry'!$¨$527)</f>
      </c>
      <c r="DA527">
        <f>IF(ISBLANK('Data Entry'!$©$527), "", 'Data Entry'!$©$527)</f>
      </c>
      <c r="DB527">
        <f>IF(ISBLANK('Data Entry'!$ª$527), "", 'Data Entry'!$ª$527)</f>
      </c>
      <c r="DC527">
        <f>IF(ISBLANK('Data Entry'!$«$527), "", 'Data Entry'!$«$527)</f>
      </c>
      <c r="DD527">
        <f>IF(ISBLANK('Data Entry'!$¬$527), "", 'Data Entry'!$¬$527)</f>
      </c>
      <c r="DE527">
        <f>IF(ISBLANK('Data Entry'!$­$527), "", 'Data Entry'!$­$527)</f>
      </c>
      <c r="DF527">
        <f>IF(ISBLANK('Data Entry'!$®$527), "", 'Data Entry'!$®$527)</f>
      </c>
      <c r="DG527">
        <f>IF(ISBLANK('Data Entry'!$¯$527), "", 'Data Entry'!$¯$527)</f>
      </c>
      <c r="DH527">
        <f>IF(ISBLANK('Data Entry'!$°$527), "", 'Data Entry'!$°$527)</f>
      </c>
      <c r="DI527">
        <f>IF(ISBLANK('Data Entry'!$±$527), "", 'Data Entry'!$±$527)</f>
      </c>
      <c r="DJ527">
        <f>IF(ISBLANK('Data Entry'!$²$527), "", 'Data Entry'!$²$527)</f>
      </c>
      <c r="DK527">
        <f>IF(ISBLANK('Data Entry'!$³$527), "", 'Data Entry'!$³$527)</f>
      </c>
      <c r="DL527">
        <f>IF(ISBLANK('Data Entry'!$´$527), "", 'Data Entry'!$´$527)</f>
      </c>
      <c r="DM527">
        <f>IF(ISBLANK('Data Entry'!$µ$527), "", 'Data Entry'!$µ$527)</f>
      </c>
      <c r="DN527">
        <f>IF(ISBLANK('Data Entry'!$¶$527), "", 'Data Entry'!$¶$527)</f>
      </c>
      <c r="DO527">
        <f>IF(ISBLANK('Data Entry'!$·$527), "", 'Data Entry'!$·$527)</f>
      </c>
      <c r="DP527">
        <f>IF(ISBLANK('Data Entry'!$¸$527), "", 'Data Entry'!$¸$527)</f>
      </c>
      <c r="DQ527">
        <f>IF(ISBLANK('Data Entry'!$¹$527), "", 'Data Entry'!$¹$527)</f>
      </c>
      <c r="DR527">
        <f>IF(ISBLANK('Data Entry'!$º$527), "", 'Data Entry'!$º$527)</f>
      </c>
      <c r="DS527">
        <f>IF(ISBLANK('Data Entry'!$»$527), "", 'Data Entry'!$»$527)</f>
      </c>
      <c r="DT527">
        <f>IF(ISBLANK('Data Entry'!$¼$527), "", 'Data Entry'!$¼$527)</f>
      </c>
      <c r="DU527">
        <f>IF(ISBLANK('Data Entry'!$½$527), "", 'Data Entry'!$½$527)</f>
      </c>
      <c r="DV527">
        <f>IF(ISBLANK('Data Entry'!$¾$527), "", 'Data Entry'!$¾$527)</f>
      </c>
      <c r="DW527">
        <f>IF(ISBLANK('Data Entry'!$¿$527), "", 'Data Entry'!$¿$527)</f>
      </c>
      <c r="DX527">
        <f>IF(ISBLANK('Data Entry'!$À$527), "", 'Data Entry'!$À$527)</f>
      </c>
      <c r="DY527">
        <f>IF(ISBLANK('Data Entry'!$Á$527), "", 'Data Entry'!$Á$527)</f>
      </c>
      <c r="DZ527">
        <f>IF(ISBLANK('Data Entry'!$Â$527), "", 'Data Entry'!$Â$527)</f>
      </c>
      <c r="EA527">
        <f>IF(ISBLANK('Data Entry'!$Ã$527), "", 'Data Entry'!$Ã$527)</f>
      </c>
      <c r="EB527">
        <f>IF(ISBLANK('Data Entry'!$Ä$527), "", 'Data Entry'!$Ä$527)</f>
      </c>
      <c r="EC527">
        <f>IF(ISBLANK('Data Entry'!$Å$527), "", 'Data Entry'!$Å$527)</f>
      </c>
      <c r="ED527">
        <f>IF(ISBLANK('Data Entry'!$Æ$527), "", 'Data Entry'!$Æ$527)</f>
      </c>
      <c r="EE527">
        <f>IF(ISBLANK('Data Entry'!$Ç$527), "", 'Data Entry'!$Ç$527)</f>
      </c>
      <c r="EF527">
        <f>IF(ISBLANK('Data Entry'!$È$527), "", 'Data Entry'!$È$527)</f>
      </c>
      <c r="EG527">
        <f>IF(ISBLANK('Data Entry'!$É$527), "", 'Data Entry'!$É$527)</f>
      </c>
      <c r="EH527">
        <f>IF(ISBLANK('Data Entry'!$Ê$527), "", 'Data Entry'!$Ê$527)</f>
      </c>
      <c r="EI527">
        <f>IF(ISBLANK('Data Entry'!$Ë$527), "", 'Data Entry'!$Ë$527)</f>
      </c>
      <c r="EJ527">
        <f>IF(ISBLANK('Data Entry'!$Ì$527), "", 'Data Entry'!$Ì$527)</f>
      </c>
      <c r="EK527">
        <f>IF(ISBLANK('Data Entry'!$Í$527), "", 'Data Entry'!$Í$527)</f>
      </c>
      <c r="EL527">
        <f>IF(ISBLANK('Data Entry'!$Î$527), "", 'Data Entry'!$Î$527)</f>
      </c>
      <c r="EM527">
        <f>IF(ISBLANK('Data Entry'!$Ï$527), "", 'Data Entry'!$Ï$527)</f>
      </c>
      <c r="EN527">
        <f>IF(ISBLANK('Data Entry'!$Ð$527), "", 'Data Entry'!$Ð$527)</f>
      </c>
      <c r="EO527">
        <f>IF(ISBLANK('Data Entry'!$Ñ$527), "", 'Data Entry'!$Ñ$527)</f>
      </c>
      <c r="EP527">
        <f>IF(ISBLANK('Data Entry'!$Ò$527), "", 'Data Entry'!$Ò$527)</f>
      </c>
      <c r="EQ527">
        <f>IF(ISBLANK('Data Entry'!$Ó$527), "", 'Data Entry'!$Ó$527)</f>
      </c>
      <c r="ER527">
        <f>IF(ISBLANK('Data Entry'!$Ô$527), "", 'Data Entry'!$Ô$527)</f>
      </c>
      <c r="ES527">
        <f>IF(ISBLANK('Data Entry'!$Õ$527), "", 'Data Entry'!$Õ$527)</f>
      </c>
      <c r="ET527">
        <f>IF(ISBLANK('Data Entry'!$Ö$527), "", 'Data Entry'!$Ö$527)</f>
      </c>
      <c r="EU527">
        <f>IF(ISBLANK('Data Entry'!$×$527), "", 'Data Entry'!$×$527)</f>
      </c>
      <c r="EV527">
        <f>IF(ISBLANK('Data Entry'!$Ø$527), "", 'Data Entry'!$Ø$527)</f>
      </c>
      <c r="EW527">
        <f>IF(ISBLANK('Data Entry'!$Ù$527), "", 'Data Entry'!$Ù$527)</f>
      </c>
      <c r="EX527">
        <f>IF(ISBLANK('Data Entry'!$Ú$527), "", 'Data Entry'!$Ú$527)</f>
      </c>
      <c r="EY527">
        <f>IF(ISBLANK('Data Entry'!$Û$527), "", 'Data Entry'!$Û$527)</f>
      </c>
      <c r="EZ527">
        <f>IF(ISBLANK('Data Entry'!$Ü$527), "", 'Data Entry'!$Ü$527)</f>
      </c>
      <c r="FA527">
        <f>IF(ISBLANK('Data Entry'!$Ý$527), "", 'Data Entry'!$Ý$527)</f>
      </c>
      <c r="FB527">
        <f>IF(ISBLANK('Data Entry'!$Þ$527), "", 'Data Entry'!$Þ$527)</f>
      </c>
      <c r="FC527">
        <f>IF(ISBLANK('Data Entry'!$ß$527), "", 'Data Entry'!$ß$527)</f>
      </c>
      <c r="FD527">
        <f>IF(ISBLANK('Data Entry'!$à$527), "", 'Data Entry'!$à$527)</f>
      </c>
      <c r="FE527">
        <f>IF(ISBLANK('Data Entry'!$á$527), "", 'Data Entry'!$á$527)</f>
      </c>
      <c r="FF527">
        <f>IF(ISBLANK('Data Entry'!$â$527), "", 'Data Entry'!$â$527)</f>
      </c>
      <c r="FG527">
        <f>IF(ISBLANK('Data Entry'!$ã$527), "", 'Data Entry'!$ã$527)</f>
      </c>
      <c r="FH527">
        <f>IF(ISBLANK('Data Entry'!$ä$527), "", 'Data Entry'!$ä$527)</f>
      </c>
      <c r="FI527">
        <f>IF(ISBLANK('Data Entry'!$å$527), "", 'Data Entry'!$å$527)</f>
      </c>
      <c r="FJ527">
        <f>IF(ISBLANK('Data Entry'!$æ$527), "", 'Data Entry'!$æ$527)</f>
      </c>
      <c r="FK527">
        <f>IF(ISBLANK('Data Entry'!$ç$527), "", 'Data Entry'!$ç$527)</f>
      </c>
      <c r="FL527">
        <f>IF(ISBLANK('Data Entry'!$è$527), "", 'Data Entry'!$è$527)</f>
      </c>
      <c r="FM527">
        <f>IF(ISBLANK('Data Entry'!$é$527), "", 'Data Entry'!$é$527)</f>
      </c>
      <c r="FN527">
        <f>IF(ISBLANK('Data Entry'!$ê$527), "", 'Data Entry'!$ê$527)</f>
      </c>
      <c r="FO527">
        <f>IF(ISBLANK('Data Entry'!$ë$527), "", 'Data Entry'!$ë$527)</f>
      </c>
      <c r="FP527">
        <f>IF(ISBLANK('Data Entry'!$ì$527), "", 'Data Entry'!$ì$527)</f>
      </c>
      <c r="FQ527">
        <f>IF(ISBLANK('Data Entry'!$í$527), "", 'Data Entry'!$í$527)</f>
      </c>
      <c r="FR527">
        <f>IF(ISBLANK('Data Entry'!$î$527), "", 'Data Entry'!$î$527)</f>
      </c>
      <c r="FS527">
        <f>IF(ISBLANK('Data Entry'!$ï$527), "", 'Data Entry'!$ï$527)</f>
      </c>
      <c r="FT527">
        <f>IF(ISBLANK('Data Entry'!$ð$527), "", 'Data Entry'!$ð$527)</f>
      </c>
      <c r="FU527">
        <f>IF(ISBLANK('Data Entry'!$ñ$527), "", 'Data Entry'!$ñ$527)</f>
      </c>
      <c r="FV527">
        <f>IF(ISBLANK('Data Entry'!$ò$527), "", 'Data Entry'!$ò$527)</f>
      </c>
      <c r="FW527">
        <f>IF(ISBLANK('Data Entry'!$ó$527), "", 'Data Entry'!$ó$527)</f>
      </c>
      <c r="FX527">
        <f>IF(ISBLANK('Data Entry'!$ô$527), "", 'Data Entry'!$ô$527)</f>
      </c>
      <c r="FY527">
        <f>IF(ISBLANK('Data Entry'!$õ$527), "", 'Data Entry'!$õ$527)</f>
      </c>
      <c r="FZ527">
        <f>IF(ISBLANK('Data Entry'!$ö$527), "", 'Data Entry'!$ö$527)</f>
      </c>
      <c r="GA527">
        <f>IF(ISBLANK('Data Entry'!$÷$527), "", 'Data Entry'!$÷$527)</f>
      </c>
      <c r="GB527">
        <f>IF(ISBLANK('Data Entry'!$ø$527), "", 'Data Entry'!$ø$527)</f>
      </c>
      <c r="GC527">
        <f>IF(ISBLANK('Data Entry'!$ù$527), "", 'Data Entry'!$ù$527)</f>
      </c>
      <c r="GD527">
        <f>IF(ISBLANK('Data Entry'!$ú$527), "", 'Data Entry'!$ú$527)</f>
      </c>
      <c r="GE527">
        <f>IF(ISBLANK('Data Entry'!$û$527), "", 'Data Entry'!$û$527)</f>
      </c>
      <c r="GF527">
        <f>IF(ISBLANK('Data Entry'!$ü$527), "", 'Data Entry'!$ü$527)</f>
      </c>
      <c r="GG527">
        <f>IF(ISBLANK('Data Entry'!$ý$527), "", 'Data Entry'!$ý$527)</f>
      </c>
      <c r="GH527">
        <f>IF(ISBLANK('Data Entry'!$þ$527), "", 'Data Entry'!$þ$527)</f>
      </c>
      <c r="GI527">
        <f>IF(ISBLANK('Data Entry'!$ÿ$527), "", 'Data Entry'!$ÿ$527)</f>
      </c>
      <c r="GJ527">
        <f>IF(ISBLANK('Data Entry'!$Ā$527), "", 'Data Entry'!$Ā$527)</f>
      </c>
      <c r="GK527">
        <f>IF(ISBLANK('Data Entry'!$ā$527), "", 'Data Entry'!$ā$527)</f>
      </c>
      <c r="GL527">
        <f>IF(ISBLANK('Data Entry'!$Ă$527), "", 'Data Entry'!$Ă$527)</f>
      </c>
      <c r="GM527">
        <f>IF(ISBLANK('Data Entry'!$ă$527), "", 'Data Entry'!$ă$527)</f>
      </c>
      <c r="GN527">
        <f>IF(ISBLANK('Data Entry'!$Ą$527), "", 'Data Entry'!$Ą$527)</f>
      </c>
      <c r="GO527">
        <f>IF(ISBLANK('Data Entry'!$ą$527), "", 'Data Entry'!$ą$527)</f>
      </c>
      <c r="GP527">
        <f>IF(ISBLANK('Data Entry'!$Ć$527), "", 'Data Entry'!$Ć$527)</f>
      </c>
      <c r="GQ527">
        <f>IF(ISBLANK('Data Entry'!$ć$527), "", 'Data Entry'!$ć$527)</f>
      </c>
      <c r="GR527">
        <f>IF(ISBLANK('Data Entry'!$Ĉ$527), "", 'Data Entry'!$Ĉ$527)</f>
      </c>
      <c r="GS527">
        <f>IF(ISBLANK('Data Entry'!$ĉ$527), "", 'Data Entry'!$ĉ$527)</f>
      </c>
      <c r="GT527">
        <f>IF(ISBLANK('Data Entry'!$Ċ$527), "", 'Data Entry'!$Ċ$527)</f>
      </c>
      <c r="GU527">
        <f>IF(ISBLANK('Data Entry'!$ċ$527), "", 'Data Entry'!$ċ$527)</f>
      </c>
      <c r="GV527">
        <f>IF(ISBLANK('Data Entry'!$Č$527), "", 'Data Entry'!$Č$527)</f>
      </c>
      <c r="GW527">
        <f>IF(ISBLANK('Data Entry'!$č$527), "", 'Data Entry'!$č$527)</f>
      </c>
      <c r="GX527">
        <f>IF(ISBLANK('Data Entry'!$Ď$527), "", 'Data Entry'!$Ď$527)</f>
      </c>
      <c r="GY527">
        <f>IF(ISBLANK('Data Entry'!$ď$527), "", 'Data Entry'!$ď$527)</f>
      </c>
      <c r="GZ527">
        <f>IF(ISBLANK('Data Entry'!$Đ$527), "", 'Data Entry'!$Đ$527)</f>
      </c>
      <c r="HA527">
        <f>IF(ISBLANK('Data Entry'!$đ$527), "", 'Data Entry'!$đ$527)</f>
      </c>
      <c r="HB527">
        <f>IF(ISBLANK('Data Entry'!$Ē$527), "", 'Data Entry'!$Ē$527)</f>
      </c>
      <c r="HC527">
        <f>IF(ISBLANK('Data Entry'!$ē$527), "", 'Data Entry'!$ē$527)</f>
      </c>
      <c r="HD527">
        <f>IF(ISBLANK('Data Entry'!$Ĕ$527), "", 'Data Entry'!$Ĕ$527)</f>
      </c>
      <c r="HE527">
        <f>IF(ISBLANK('Data Entry'!$ĕ$527), "", 'Data Entry'!$ĕ$527)</f>
      </c>
      <c r="HF527">
        <f>IF(ISBLANK('Data Entry'!$Ė$527), "", 'Data Entry'!$Ė$527)</f>
      </c>
      <c r="HG527">
        <f>IF(ISBLANK('Data Entry'!$ė$527), "", 'Data Entry'!$ė$527)</f>
      </c>
      <c r="HH527">
        <f>IF(ISBLANK('Data Entry'!$Ę$527), "", 'Data Entry'!$Ę$527)</f>
      </c>
      <c r="HI527">
        <f>IF(ISBLANK('Data Entry'!$ę$527), "", 'Data Entry'!$ę$527)</f>
      </c>
      <c r="HJ527">
        <f>IF(ISBLANK('Data Entry'!$Ě$527), "", 'Data Entry'!$Ě$527)</f>
      </c>
      <c r="HK527">
        <f>IF(ISBLANK('Data Entry'!$ě$527), "", 'Data Entry'!$ě$527)</f>
      </c>
      <c r="HL527">
        <f>IF(ISBLANK('Data Entry'!$Ĝ$527), "", 'Data Entry'!$Ĝ$527)</f>
      </c>
      <c r="HM527">
        <f>IF(ISBLANK('Data Entry'!$ĝ$527), "", 'Data Entry'!$ĝ$527)</f>
      </c>
      <c r="HN527">
        <f>IF(ISBLANK('Data Entry'!$Ğ$527), "", 'Data Entry'!$Ğ$527)</f>
      </c>
      <c r="HO527">
        <f>IF(ISBLANK('Data Entry'!$ğ$527), "", 'Data Entry'!$ğ$527)</f>
      </c>
      <c r="HP527">
        <f>IF(ISBLANK('Data Entry'!$Ġ$527), "", 'Data Entry'!$Ġ$527)</f>
      </c>
      <c r="HQ527">
        <f>IF(ISBLANK('Data Entry'!$ġ$527), "", 'Data Entry'!$ġ$527)</f>
      </c>
      <c r="HR527">
        <f>IF(ISBLANK('Data Entry'!$Ģ$527), "", 'Data Entry'!$Ģ$527)</f>
      </c>
      <c r="HS527">
        <f>IF(ISBLANK('Data Entry'!$ģ$527), "", 'Data Entry'!$ģ$527)</f>
      </c>
      <c r="HT527">
        <f>IF(ISBLANK('Data Entry'!$Ĥ$527), "", 'Data Entry'!$Ĥ$527)</f>
      </c>
      <c r="HU527">
        <f>IF(ISBLANK('Data Entry'!$ĥ$527), "", 'Data Entry'!$ĥ$527)</f>
      </c>
      <c r="HV527">
        <f>IF(ISBLANK('Data Entry'!$Ħ$527), "", 'Data Entry'!$Ħ$527)</f>
      </c>
      <c r="HW527">
        <f>IF(ISBLANK('Data Entry'!$ħ$527), "", 'Data Entry'!$ħ$527)</f>
      </c>
      <c r="HX527">
        <f>IF(ISBLANK('Data Entry'!$Ĩ$527), "", 'Data Entry'!$Ĩ$527)</f>
      </c>
      <c r="HY527">
        <f>IF(ISBLANK('Data Entry'!$ĩ$527), "", 'Data Entry'!$ĩ$527)</f>
      </c>
      <c r="HZ527">
        <f>IF(ISBLANK('Data Entry'!$Ī$527), "", 'Data Entry'!$Ī$527)</f>
      </c>
      <c r="IA527">
        <f>IF(ISBLANK('Data Entry'!$ī$527), "", 'Data Entry'!$ī$527)</f>
      </c>
      <c r="IB527">
        <f>IF(ISBLANK('Data Entry'!$Ĭ$527), "", 'Data Entry'!$Ĭ$527)</f>
      </c>
      <c r="IC527">
        <f>IF(ISBLANK('Data Entry'!$ĭ$527), "", 'Data Entry'!$ĭ$527)</f>
      </c>
      <c r="ID527">
        <f>IF(ISBLANK('Data Entry'!$Į$527), "", 'Data Entry'!$Į$527)</f>
      </c>
      <c r="IE527">
        <f>IF(ISBLANK('Data Entry'!$į$527), "", 'Data Entry'!$į$527)</f>
      </c>
      <c r="IF527">
        <f>IF(ISBLANK('Data Entry'!$İ$527), "", 'Data Entry'!$İ$527)</f>
      </c>
      <c r="IG527">
        <f>IF(ISBLANK('Data Entry'!$ı$527), "", 'Data Entry'!$ı$527)</f>
      </c>
      <c r="IH527">
        <f>IF(ISBLANK('Data Entry'!$Ĳ$527), "", 'Data Entry'!$Ĳ$527)</f>
      </c>
      <c r="II527">
        <f>IF(ISBLANK('Data Entry'!$ĳ$527), "", 'Data Entry'!$ĳ$527)</f>
      </c>
      <c r="IJ527">
        <f>IF(ISBLANK('Data Entry'!$Ĵ$527), "", 'Data Entry'!$Ĵ$527)</f>
      </c>
      <c r="IK527">
        <f>IF(ISBLANK('Data Entry'!$ĵ$527), "", 'Data Entry'!$ĵ$527)</f>
      </c>
      <c r="IL527">
        <f>IF(ISBLANK('Data Entry'!$Ķ$527), "", 'Data Entry'!$Ķ$527)</f>
      </c>
      <c r="IM527">
        <f>IF(ISBLANK('Data Entry'!$ķ$527), "", 'Data Entry'!$ķ$527)</f>
      </c>
      <c r="IN527">
        <f>IF(ISBLANK('Data Entry'!$ĸ$527), "", 'Data Entry'!$ĸ$527)</f>
      </c>
      <c r="IO527">
        <f>IF(ISBLANK('Data Entry'!$Ĺ$527), "", 'Data Entry'!$Ĺ$527)</f>
      </c>
      <c r="IP527">
        <f>IF(ISBLANK('Data Entry'!$ĺ$527), "", 'Data Entry'!$ĺ$527)</f>
      </c>
      <c r="IQ527">
        <f>IF(ISBLANK('Data Entry'!$Ļ$527), "", 'Data Entry'!$Ļ$527)</f>
      </c>
      <c r="IR527">
        <f>IF(ISBLANK('Data Entry'!$ļ$527), "", 'Data Entry'!$ļ$527)</f>
      </c>
      <c r="IS527">
        <f>IF(ISBLANK('Data Entry'!$Ľ$527), "", 'Data Entry'!$Ľ$527)</f>
      </c>
      <c r="IT527">
        <f>IF(ISBLANK('Data Entry'!$ľ$527), "", 'Data Entry'!$ľ$527)</f>
      </c>
    </row>
    <row r="528" spans="1:254" x14ac:dyDescent="0.25">
      <c r="A528">
        <f>IF(ISBLANK('Data Entry'!$A$528), "", 'Data Entry'!$A$528)</f>
      </c>
      <c r="B528">
        <f>IF(ISBLANK('Data Entry'!$B$528), "", 'Data Entry'!$B$528)</f>
      </c>
      <c r="C528">
        <f>IF(ISBLANK('Data Entry'!$C$528), "", 'Data Entry'!$C$528)</f>
      </c>
      <c r="D528">
        <f>IF(ISBLANK('Data Entry'!$D$528), "", 'Data Entry'!$D$528)</f>
      </c>
      <c r="E528">
        <f>IF(ISBLANK('Data Entry'!$E$528), "", 'Data Entry'!$E$528)</f>
      </c>
      <c r="F528">
        <f>IF(ISBLANK('Data Entry'!$F$528), "", 'Data Entry'!$F$528)</f>
      </c>
      <c r="G528">
        <f>IF(ISBLANK('Data Entry'!$G$528), "", 'Data Entry'!$G$528)</f>
      </c>
      <c r="H528">
        <f>IF(ISBLANK('Data Entry'!$H$528), "", 'Data Entry'!$H$528)</f>
      </c>
      <c r="I528">
        <f>IF(ISBLANK('Data Entry'!$I$528), "", 'Data Entry'!$I$528)</f>
      </c>
      <c r="J528">
        <f>IF(ISBLANK('Data Entry'!$J$528), "", 'Data Entry'!$J$528)</f>
      </c>
      <c r="K528">
        <f>IF(ISBLANK('Data Entry'!$K$528), "", 'Data Entry'!$K$528)</f>
      </c>
      <c r="L528">
        <f>IF(ISBLANK('Data Entry'!$L$528), "", 'Data Entry'!$L$528)</f>
      </c>
      <c r="M528">
        <f>IF(ISBLANK('Data Entry'!$M$528), "", 'Data Entry'!$M$528)</f>
      </c>
      <c r="N528">
        <f>IF(ISBLANK('Data Entry'!$N$528), "", 'Data Entry'!$N$528)</f>
      </c>
      <c r="O528">
        <f>IF(ISBLANK('Data Entry'!$O$528), "", 'Data Entry'!$O$528)</f>
      </c>
      <c r="P528">
        <f>IF(ISBLANK('Data Entry'!$P$528), "", 'Data Entry'!$P$528)</f>
      </c>
      <c r="Q528">
        <f>IF(ISBLANK('Data Entry'!$Q$528), "", 'Data Entry'!$Q$528)</f>
      </c>
      <c r="R528">
        <f>IF(ISBLANK('Data Entry'!$R$528), "", 'Data Entry'!$R$528)</f>
      </c>
      <c r="S528">
        <f>IF(ISBLANK('Data Entry'!$S$528), "", 'Data Entry'!$S$528)</f>
      </c>
      <c r="T528">
        <f>IF(ISBLANK('Data Entry'!$T$528), "", 'Data Entry'!$T$528)</f>
      </c>
      <c r="U528">
        <f>IF(ISBLANK('Data Entry'!$U$528), "", 'Data Entry'!$U$528)</f>
      </c>
      <c r="V528">
        <f>IF(ISBLANK('Data Entry'!$V$528), "", 'Data Entry'!$V$528)</f>
      </c>
      <c r="W528">
        <f>IF(ISBLANK('Data Entry'!$W$528), "", 'Data Entry'!$W$528)</f>
      </c>
      <c r="X528">
        <f>IF(ISBLANK('Data Entry'!$X$528), "", 'Data Entry'!$X$528)</f>
      </c>
      <c r="Y528">
        <f>IF(ISBLANK('Data Entry'!$Y$528), "", 'Data Entry'!$Y$528)</f>
      </c>
      <c r="Z528">
        <f>IF(ISBLANK('Data Entry'!$Z$528), "", 'Data Entry'!$Z$528)</f>
      </c>
      <c r="AA528">
        <f>IF(ISBLANK('Data Entry'!$[$528), "", 'Data Entry'!$[$528)</f>
      </c>
      <c r="AB528">
        <f>IF(ISBLANK('Data Entry'!$\$528), "", 'Data Entry'!$\$528)</f>
      </c>
      <c r="AC528">
        <f>IF(ISBLANK('Data Entry'!$]$528), "", 'Data Entry'!$]$528)</f>
      </c>
      <c r="AD528">
        <f>IF(ISBLANK('Data Entry'!$^$528), "", 'Data Entry'!$^$528)</f>
      </c>
      <c r="AE528">
        <f>IF(ISBLANK('Data Entry'!$_$528), "", 'Data Entry'!$_$528)</f>
      </c>
      <c r="AF528">
        <f>IF(ISBLANK('Data Entry'!$`$528), "", 'Data Entry'!$`$528)</f>
      </c>
      <c r="AG528">
        <f>IF(ISBLANK('Data Entry'!$a$528), "", 'Data Entry'!$a$528)</f>
      </c>
      <c r="AH528">
        <f>IF(ISBLANK('Data Entry'!$b$528), "", 'Data Entry'!$b$528)</f>
      </c>
      <c r="AI528">
        <f>IF(ISBLANK('Data Entry'!$c$528), "", 'Data Entry'!$c$528)</f>
      </c>
      <c r="AJ528">
        <f>IF(ISBLANK('Data Entry'!$d$528), "", 'Data Entry'!$d$528)</f>
      </c>
      <c r="AK528">
        <f>IF(ISBLANK('Data Entry'!$e$528), "", 'Data Entry'!$e$528)</f>
      </c>
      <c r="AL528">
        <f>IF(ISBLANK('Data Entry'!$f$528), "", 'Data Entry'!$f$528)</f>
      </c>
      <c r="AM528">
        <f>IF(ISBLANK('Data Entry'!$g$528), "", 'Data Entry'!$g$528)</f>
      </c>
      <c r="AN528">
        <f>IF(ISBLANK('Data Entry'!$h$528), "", 'Data Entry'!$h$528)</f>
      </c>
      <c r="AO528">
        <f>IF(ISBLANK('Data Entry'!$i$528), "", 'Data Entry'!$i$528)</f>
      </c>
      <c r="AP528">
        <f>IF(ISBLANK('Data Entry'!$j$528), "", 'Data Entry'!$j$528)</f>
      </c>
      <c r="AQ528">
        <f>IF(ISBLANK('Data Entry'!$k$528), "", 'Data Entry'!$k$528)</f>
      </c>
      <c r="AR528">
        <f>IF(ISBLANK('Data Entry'!$l$528), "", 'Data Entry'!$l$528)</f>
      </c>
      <c r="AS528">
        <f>IF(ISBLANK('Data Entry'!$m$528), "", 'Data Entry'!$m$528)</f>
      </c>
      <c r="AT528">
        <f>IF(ISBLANK('Data Entry'!$n$528), "", 'Data Entry'!$n$528)</f>
      </c>
      <c r="AU528">
        <f>IF(ISBLANK('Data Entry'!$o$528), "", 'Data Entry'!$o$528)</f>
      </c>
      <c r="AV528">
        <f>IF(ISBLANK('Data Entry'!$p$528), "", 'Data Entry'!$p$528)</f>
      </c>
      <c r="AW528">
        <f>IF(ISBLANK('Data Entry'!$q$528), "", 'Data Entry'!$q$528)</f>
      </c>
      <c r="AX528">
        <f>IF(ISBLANK('Data Entry'!$r$528), "", 'Data Entry'!$r$528)</f>
      </c>
      <c r="AY528">
        <f>IF(ISBLANK('Data Entry'!$s$528), "", 'Data Entry'!$s$528)</f>
      </c>
      <c r="AZ528">
        <f>IF(ISBLANK('Data Entry'!$t$528), "", 'Data Entry'!$t$528)</f>
      </c>
      <c r="BA528">
        <f>IF(ISBLANK('Data Entry'!$u$528), "", 'Data Entry'!$u$528)</f>
      </c>
      <c r="BB528">
        <f>IF(ISBLANK('Data Entry'!$v$528), "", 'Data Entry'!$v$528)</f>
      </c>
      <c r="BC528">
        <f>IF(ISBLANK('Data Entry'!$w$528), "", 'Data Entry'!$w$528)</f>
      </c>
      <c r="BD528">
        <f>IF(ISBLANK('Data Entry'!$x$528), "", 'Data Entry'!$x$528)</f>
      </c>
      <c r="BE528">
        <f>IF(ISBLANK('Data Entry'!$y$528), "", 'Data Entry'!$y$528)</f>
      </c>
      <c r="BF528">
        <f>IF(ISBLANK('Data Entry'!$z$528), "", 'Data Entry'!$z$528)</f>
      </c>
      <c r="BG528">
        <f>IF(ISBLANK('Data Entry'!${$528), "", 'Data Entry'!${$528)</f>
      </c>
      <c r="BH528">
        <f>IF(ISBLANK('Data Entry'!$|$528), "", 'Data Entry'!$|$528)</f>
      </c>
      <c r="BI528">
        <f>IF(ISBLANK('Data Entry'!$}$528), "", 'Data Entry'!$}$528)</f>
      </c>
      <c r="BJ528">
        <f>IF(ISBLANK('Data Entry'!$~$528), "", 'Data Entry'!$~$528)</f>
      </c>
      <c r="BK528">
        <f>IF(ISBLANK('Data Entry'!$$528), "", 'Data Entry'!$$528)</f>
      </c>
      <c r="BL528">
        <f>IF(ISBLANK('Data Entry'!$$528), "", 'Data Entry'!$$528)</f>
      </c>
      <c r="BM528">
        <f>IF(ISBLANK('Data Entry'!$$528), "", 'Data Entry'!$$528)</f>
      </c>
      <c r="BN528">
        <f>IF(ISBLANK('Data Entry'!$$528), "", 'Data Entry'!$$528)</f>
      </c>
      <c r="BO528">
        <f>IF(ISBLANK('Data Entry'!$$528), "", 'Data Entry'!$$528)</f>
      </c>
      <c r="BP528">
        <f>IF(ISBLANK('Data Entry'!$$528), "", 'Data Entry'!$$528)</f>
      </c>
      <c r="BQ528">
        <f>IF(ISBLANK('Data Entry'!$$528), "", 'Data Entry'!$$528)</f>
      </c>
      <c r="BR528">
        <f>IF(ISBLANK('Data Entry'!$$528), "", 'Data Entry'!$$528)</f>
      </c>
      <c r="BS528">
        <f>IF(ISBLANK('Data Entry'!$$528), "", 'Data Entry'!$$528)</f>
      </c>
      <c r="BT528">
        <f>IF(ISBLANK('Data Entry'!$$528), "", 'Data Entry'!$$528)</f>
      </c>
      <c r="BU528">
        <f>IF(ISBLANK('Data Entry'!$$528), "", 'Data Entry'!$$528)</f>
      </c>
      <c r="BV528">
        <f>IF(ISBLANK('Data Entry'!$$528), "", 'Data Entry'!$$528)</f>
      </c>
      <c r="BW528">
        <f>IF(ISBLANK('Data Entry'!$$528), "", 'Data Entry'!$$528)</f>
      </c>
      <c r="BX528">
        <f>IF(ISBLANK('Data Entry'!$$528), "", 'Data Entry'!$$528)</f>
      </c>
      <c r="BY528">
        <f>IF(ISBLANK('Data Entry'!$$528), "", 'Data Entry'!$$528)</f>
      </c>
      <c r="BZ528">
        <f>IF(ISBLANK('Data Entry'!$$528), "", 'Data Entry'!$$528)</f>
      </c>
      <c r="CA528">
        <f>IF(ISBLANK('Data Entry'!$$528), "", 'Data Entry'!$$528)</f>
      </c>
      <c r="CB528">
        <f>IF(ISBLANK('Data Entry'!$$528), "", 'Data Entry'!$$528)</f>
      </c>
      <c r="CC528">
        <f>IF(ISBLANK('Data Entry'!$$528), "", 'Data Entry'!$$528)</f>
      </c>
      <c r="CD528">
        <f>IF(ISBLANK('Data Entry'!$$528), "", 'Data Entry'!$$528)</f>
      </c>
      <c r="CE528">
        <f>IF(ISBLANK('Data Entry'!$$528), "", 'Data Entry'!$$528)</f>
      </c>
      <c r="CF528">
        <f>IF(ISBLANK('Data Entry'!$$528), "", 'Data Entry'!$$528)</f>
      </c>
      <c r="CG528">
        <f>IF(ISBLANK('Data Entry'!$$528), "", 'Data Entry'!$$528)</f>
      </c>
      <c r="CH528">
        <f>IF(ISBLANK('Data Entry'!$$528), "", 'Data Entry'!$$528)</f>
      </c>
      <c r="CI528">
        <f>IF(ISBLANK('Data Entry'!$$528), "", 'Data Entry'!$$528)</f>
      </c>
      <c r="CJ528">
        <f>IF(ISBLANK('Data Entry'!$$528), "", 'Data Entry'!$$528)</f>
      </c>
      <c r="CK528">
        <f>IF(ISBLANK('Data Entry'!$$528), "", 'Data Entry'!$$528)</f>
      </c>
      <c r="CL528">
        <f>IF(ISBLANK('Data Entry'!$$528), "", 'Data Entry'!$$528)</f>
      </c>
      <c r="CM528">
        <f>IF(ISBLANK('Data Entry'!$$528), "", 'Data Entry'!$$528)</f>
      </c>
      <c r="CN528">
        <f>IF(ISBLANK('Data Entry'!$$528), "", 'Data Entry'!$$528)</f>
      </c>
      <c r="CO528">
        <f>IF(ISBLANK('Data Entry'!$$528), "", 'Data Entry'!$$528)</f>
      </c>
      <c r="CP528">
        <f>IF(ISBLANK('Data Entry'!$$528), "", 'Data Entry'!$$528)</f>
      </c>
      <c r="CQ528">
        <f>IF(ISBLANK('Data Entry'!$$528), "", 'Data Entry'!$$528)</f>
      </c>
      <c r="CR528">
        <f>IF(ISBLANK('Data Entry'!$ $528), "", 'Data Entry'!$ $528)</f>
      </c>
      <c r="CS528">
        <f>IF(ISBLANK('Data Entry'!$¡$528), "", 'Data Entry'!$¡$528)</f>
      </c>
      <c r="CT528">
        <f>IF(ISBLANK('Data Entry'!$¢$528), "", 'Data Entry'!$¢$528)</f>
      </c>
      <c r="CU528">
        <f>IF(ISBLANK('Data Entry'!$£$528), "", 'Data Entry'!$£$528)</f>
      </c>
      <c r="CV528">
        <f>IF(ISBLANK('Data Entry'!$¤$528), "", 'Data Entry'!$¤$528)</f>
      </c>
      <c r="CW528">
        <f>IF(ISBLANK('Data Entry'!$¥$528), "", 'Data Entry'!$¥$528)</f>
      </c>
      <c r="CX528">
        <f>IF(ISBLANK('Data Entry'!$¦$528), "", 'Data Entry'!$¦$528)</f>
      </c>
      <c r="CY528">
        <f>IF(ISBLANK('Data Entry'!$§$528), "", 'Data Entry'!$§$528)</f>
      </c>
      <c r="CZ528">
        <f>IF(ISBLANK('Data Entry'!$¨$528), "", 'Data Entry'!$¨$528)</f>
      </c>
      <c r="DA528">
        <f>IF(ISBLANK('Data Entry'!$©$528), "", 'Data Entry'!$©$528)</f>
      </c>
      <c r="DB528">
        <f>IF(ISBLANK('Data Entry'!$ª$528), "", 'Data Entry'!$ª$528)</f>
      </c>
      <c r="DC528">
        <f>IF(ISBLANK('Data Entry'!$«$528), "", 'Data Entry'!$«$528)</f>
      </c>
      <c r="DD528">
        <f>IF(ISBLANK('Data Entry'!$¬$528), "", 'Data Entry'!$¬$528)</f>
      </c>
      <c r="DE528">
        <f>IF(ISBLANK('Data Entry'!$­$528), "", 'Data Entry'!$­$528)</f>
      </c>
      <c r="DF528">
        <f>IF(ISBLANK('Data Entry'!$®$528), "", 'Data Entry'!$®$528)</f>
      </c>
      <c r="DG528">
        <f>IF(ISBLANK('Data Entry'!$¯$528), "", 'Data Entry'!$¯$528)</f>
      </c>
      <c r="DH528">
        <f>IF(ISBLANK('Data Entry'!$°$528), "", 'Data Entry'!$°$528)</f>
      </c>
      <c r="DI528">
        <f>IF(ISBLANK('Data Entry'!$±$528), "", 'Data Entry'!$±$528)</f>
      </c>
      <c r="DJ528">
        <f>IF(ISBLANK('Data Entry'!$²$528), "", 'Data Entry'!$²$528)</f>
      </c>
      <c r="DK528">
        <f>IF(ISBLANK('Data Entry'!$³$528), "", 'Data Entry'!$³$528)</f>
      </c>
      <c r="DL528">
        <f>IF(ISBLANK('Data Entry'!$´$528), "", 'Data Entry'!$´$528)</f>
      </c>
      <c r="DM528">
        <f>IF(ISBLANK('Data Entry'!$µ$528), "", 'Data Entry'!$µ$528)</f>
      </c>
      <c r="DN528">
        <f>IF(ISBLANK('Data Entry'!$¶$528), "", 'Data Entry'!$¶$528)</f>
      </c>
      <c r="DO528">
        <f>IF(ISBLANK('Data Entry'!$·$528), "", 'Data Entry'!$·$528)</f>
      </c>
      <c r="DP528">
        <f>IF(ISBLANK('Data Entry'!$¸$528), "", 'Data Entry'!$¸$528)</f>
      </c>
      <c r="DQ528">
        <f>IF(ISBLANK('Data Entry'!$¹$528), "", 'Data Entry'!$¹$528)</f>
      </c>
      <c r="DR528">
        <f>IF(ISBLANK('Data Entry'!$º$528), "", 'Data Entry'!$º$528)</f>
      </c>
      <c r="DS528">
        <f>IF(ISBLANK('Data Entry'!$»$528), "", 'Data Entry'!$»$528)</f>
      </c>
      <c r="DT528">
        <f>IF(ISBLANK('Data Entry'!$¼$528), "", 'Data Entry'!$¼$528)</f>
      </c>
      <c r="DU528">
        <f>IF(ISBLANK('Data Entry'!$½$528), "", 'Data Entry'!$½$528)</f>
      </c>
      <c r="DV528">
        <f>IF(ISBLANK('Data Entry'!$¾$528), "", 'Data Entry'!$¾$528)</f>
      </c>
      <c r="DW528">
        <f>IF(ISBLANK('Data Entry'!$¿$528), "", 'Data Entry'!$¿$528)</f>
      </c>
      <c r="DX528">
        <f>IF(ISBLANK('Data Entry'!$À$528), "", 'Data Entry'!$À$528)</f>
      </c>
      <c r="DY528">
        <f>IF(ISBLANK('Data Entry'!$Á$528), "", 'Data Entry'!$Á$528)</f>
      </c>
      <c r="DZ528">
        <f>IF(ISBLANK('Data Entry'!$Â$528), "", 'Data Entry'!$Â$528)</f>
      </c>
      <c r="EA528">
        <f>IF(ISBLANK('Data Entry'!$Ã$528), "", 'Data Entry'!$Ã$528)</f>
      </c>
      <c r="EB528">
        <f>IF(ISBLANK('Data Entry'!$Ä$528), "", 'Data Entry'!$Ä$528)</f>
      </c>
      <c r="EC528">
        <f>IF(ISBLANK('Data Entry'!$Å$528), "", 'Data Entry'!$Å$528)</f>
      </c>
      <c r="ED528">
        <f>IF(ISBLANK('Data Entry'!$Æ$528), "", 'Data Entry'!$Æ$528)</f>
      </c>
      <c r="EE528">
        <f>IF(ISBLANK('Data Entry'!$Ç$528), "", 'Data Entry'!$Ç$528)</f>
      </c>
      <c r="EF528">
        <f>IF(ISBLANK('Data Entry'!$È$528), "", 'Data Entry'!$È$528)</f>
      </c>
      <c r="EG528">
        <f>IF(ISBLANK('Data Entry'!$É$528), "", 'Data Entry'!$É$528)</f>
      </c>
      <c r="EH528">
        <f>IF(ISBLANK('Data Entry'!$Ê$528), "", 'Data Entry'!$Ê$528)</f>
      </c>
      <c r="EI528">
        <f>IF(ISBLANK('Data Entry'!$Ë$528), "", 'Data Entry'!$Ë$528)</f>
      </c>
      <c r="EJ528">
        <f>IF(ISBLANK('Data Entry'!$Ì$528), "", 'Data Entry'!$Ì$528)</f>
      </c>
      <c r="EK528">
        <f>IF(ISBLANK('Data Entry'!$Í$528), "", 'Data Entry'!$Í$528)</f>
      </c>
      <c r="EL528">
        <f>IF(ISBLANK('Data Entry'!$Î$528), "", 'Data Entry'!$Î$528)</f>
      </c>
      <c r="EM528">
        <f>IF(ISBLANK('Data Entry'!$Ï$528), "", 'Data Entry'!$Ï$528)</f>
      </c>
      <c r="EN528">
        <f>IF(ISBLANK('Data Entry'!$Ð$528), "", 'Data Entry'!$Ð$528)</f>
      </c>
      <c r="EO528">
        <f>IF(ISBLANK('Data Entry'!$Ñ$528), "", 'Data Entry'!$Ñ$528)</f>
      </c>
      <c r="EP528">
        <f>IF(ISBLANK('Data Entry'!$Ò$528), "", 'Data Entry'!$Ò$528)</f>
      </c>
      <c r="EQ528">
        <f>IF(ISBLANK('Data Entry'!$Ó$528), "", 'Data Entry'!$Ó$528)</f>
      </c>
      <c r="ER528">
        <f>IF(ISBLANK('Data Entry'!$Ô$528), "", 'Data Entry'!$Ô$528)</f>
      </c>
      <c r="ES528">
        <f>IF(ISBLANK('Data Entry'!$Õ$528), "", 'Data Entry'!$Õ$528)</f>
      </c>
      <c r="ET528">
        <f>IF(ISBLANK('Data Entry'!$Ö$528), "", 'Data Entry'!$Ö$528)</f>
      </c>
      <c r="EU528">
        <f>IF(ISBLANK('Data Entry'!$×$528), "", 'Data Entry'!$×$528)</f>
      </c>
      <c r="EV528">
        <f>IF(ISBLANK('Data Entry'!$Ø$528), "", 'Data Entry'!$Ø$528)</f>
      </c>
      <c r="EW528">
        <f>IF(ISBLANK('Data Entry'!$Ù$528), "", 'Data Entry'!$Ù$528)</f>
      </c>
      <c r="EX528">
        <f>IF(ISBLANK('Data Entry'!$Ú$528), "", 'Data Entry'!$Ú$528)</f>
      </c>
      <c r="EY528">
        <f>IF(ISBLANK('Data Entry'!$Û$528), "", 'Data Entry'!$Û$528)</f>
      </c>
      <c r="EZ528">
        <f>IF(ISBLANK('Data Entry'!$Ü$528), "", 'Data Entry'!$Ü$528)</f>
      </c>
      <c r="FA528">
        <f>IF(ISBLANK('Data Entry'!$Ý$528), "", 'Data Entry'!$Ý$528)</f>
      </c>
      <c r="FB528">
        <f>IF(ISBLANK('Data Entry'!$Þ$528), "", 'Data Entry'!$Þ$528)</f>
      </c>
      <c r="FC528">
        <f>IF(ISBLANK('Data Entry'!$ß$528), "", 'Data Entry'!$ß$528)</f>
      </c>
      <c r="FD528">
        <f>IF(ISBLANK('Data Entry'!$à$528), "", 'Data Entry'!$à$528)</f>
      </c>
      <c r="FE528">
        <f>IF(ISBLANK('Data Entry'!$á$528), "", 'Data Entry'!$á$528)</f>
      </c>
      <c r="FF528">
        <f>IF(ISBLANK('Data Entry'!$â$528), "", 'Data Entry'!$â$528)</f>
      </c>
      <c r="FG528">
        <f>IF(ISBLANK('Data Entry'!$ã$528), "", 'Data Entry'!$ã$528)</f>
      </c>
      <c r="FH528">
        <f>IF(ISBLANK('Data Entry'!$ä$528), "", 'Data Entry'!$ä$528)</f>
      </c>
      <c r="FI528">
        <f>IF(ISBLANK('Data Entry'!$å$528), "", 'Data Entry'!$å$528)</f>
      </c>
      <c r="FJ528">
        <f>IF(ISBLANK('Data Entry'!$æ$528), "", 'Data Entry'!$æ$528)</f>
      </c>
      <c r="FK528">
        <f>IF(ISBLANK('Data Entry'!$ç$528), "", 'Data Entry'!$ç$528)</f>
      </c>
      <c r="FL528">
        <f>IF(ISBLANK('Data Entry'!$è$528), "", 'Data Entry'!$è$528)</f>
      </c>
      <c r="FM528">
        <f>IF(ISBLANK('Data Entry'!$é$528), "", 'Data Entry'!$é$528)</f>
      </c>
      <c r="FN528">
        <f>IF(ISBLANK('Data Entry'!$ê$528), "", 'Data Entry'!$ê$528)</f>
      </c>
      <c r="FO528">
        <f>IF(ISBLANK('Data Entry'!$ë$528), "", 'Data Entry'!$ë$528)</f>
      </c>
      <c r="FP528">
        <f>IF(ISBLANK('Data Entry'!$ì$528), "", 'Data Entry'!$ì$528)</f>
      </c>
      <c r="FQ528">
        <f>IF(ISBLANK('Data Entry'!$í$528), "", 'Data Entry'!$í$528)</f>
      </c>
      <c r="FR528">
        <f>IF(ISBLANK('Data Entry'!$î$528), "", 'Data Entry'!$î$528)</f>
      </c>
      <c r="FS528">
        <f>IF(ISBLANK('Data Entry'!$ï$528), "", 'Data Entry'!$ï$528)</f>
      </c>
      <c r="FT528">
        <f>IF(ISBLANK('Data Entry'!$ð$528), "", 'Data Entry'!$ð$528)</f>
      </c>
      <c r="FU528">
        <f>IF(ISBLANK('Data Entry'!$ñ$528), "", 'Data Entry'!$ñ$528)</f>
      </c>
      <c r="FV528">
        <f>IF(ISBLANK('Data Entry'!$ò$528), "", 'Data Entry'!$ò$528)</f>
      </c>
      <c r="FW528">
        <f>IF(ISBLANK('Data Entry'!$ó$528), "", 'Data Entry'!$ó$528)</f>
      </c>
      <c r="FX528">
        <f>IF(ISBLANK('Data Entry'!$ô$528), "", 'Data Entry'!$ô$528)</f>
      </c>
      <c r="FY528">
        <f>IF(ISBLANK('Data Entry'!$õ$528), "", 'Data Entry'!$õ$528)</f>
      </c>
      <c r="FZ528">
        <f>IF(ISBLANK('Data Entry'!$ö$528), "", 'Data Entry'!$ö$528)</f>
      </c>
      <c r="GA528">
        <f>IF(ISBLANK('Data Entry'!$÷$528), "", 'Data Entry'!$÷$528)</f>
      </c>
      <c r="GB528">
        <f>IF(ISBLANK('Data Entry'!$ø$528), "", 'Data Entry'!$ø$528)</f>
      </c>
      <c r="GC528">
        <f>IF(ISBLANK('Data Entry'!$ù$528), "", 'Data Entry'!$ù$528)</f>
      </c>
      <c r="GD528">
        <f>IF(ISBLANK('Data Entry'!$ú$528), "", 'Data Entry'!$ú$528)</f>
      </c>
      <c r="GE528">
        <f>IF(ISBLANK('Data Entry'!$û$528), "", 'Data Entry'!$û$528)</f>
      </c>
      <c r="GF528">
        <f>IF(ISBLANK('Data Entry'!$ü$528), "", 'Data Entry'!$ü$528)</f>
      </c>
      <c r="GG528">
        <f>IF(ISBLANK('Data Entry'!$ý$528), "", 'Data Entry'!$ý$528)</f>
      </c>
      <c r="GH528">
        <f>IF(ISBLANK('Data Entry'!$þ$528), "", 'Data Entry'!$þ$528)</f>
      </c>
      <c r="GI528">
        <f>IF(ISBLANK('Data Entry'!$ÿ$528), "", 'Data Entry'!$ÿ$528)</f>
      </c>
      <c r="GJ528">
        <f>IF(ISBLANK('Data Entry'!$Ā$528), "", 'Data Entry'!$Ā$528)</f>
      </c>
      <c r="GK528">
        <f>IF(ISBLANK('Data Entry'!$ā$528), "", 'Data Entry'!$ā$528)</f>
      </c>
      <c r="GL528">
        <f>IF(ISBLANK('Data Entry'!$Ă$528), "", 'Data Entry'!$Ă$528)</f>
      </c>
      <c r="GM528">
        <f>IF(ISBLANK('Data Entry'!$ă$528), "", 'Data Entry'!$ă$528)</f>
      </c>
      <c r="GN528">
        <f>IF(ISBLANK('Data Entry'!$Ą$528), "", 'Data Entry'!$Ą$528)</f>
      </c>
      <c r="GO528">
        <f>IF(ISBLANK('Data Entry'!$ą$528), "", 'Data Entry'!$ą$528)</f>
      </c>
      <c r="GP528">
        <f>IF(ISBLANK('Data Entry'!$Ć$528), "", 'Data Entry'!$Ć$528)</f>
      </c>
      <c r="GQ528">
        <f>IF(ISBLANK('Data Entry'!$ć$528), "", 'Data Entry'!$ć$528)</f>
      </c>
      <c r="GR528">
        <f>IF(ISBLANK('Data Entry'!$Ĉ$528), "", 'Data Entry'!$Ĉ$528)</f>
      </c>
      <c r="GS528">
        <f>IF(ISBLANK('Data Entry'!$ĉ$528), "", 'Data Entry'!$ĉ$528)</f>
      </c>
      <c r="GT528">
        <f>IF(ISBLANK('Data Entry'!$Ċ$528), "", 'Data Entry'!$Ċ$528)</f>
      </c>
      <c r="GU528">
        <f>IF(ISBLANK('Data Entry'!$ċ$528), "", 'Data Entry'!$ċ$528)</f>
      </c>
      <c r="GV528">
        <f>IF(ISBLANK('Data Entry'!$Č$528), "", 'Data Entry'!$Č$528)</f>
      </c>
      <c r="GW528">
        <f>IF(ISBLANK('Data Entry'!$č$528), "", 'Data Entry'!$č$528)</f>
      </c>
      <c r="GX528">
        <f>IF(ISBLANK('Data Entry'!$Ď$528), "", 'Data Entry'!$Ď$528)</f>
      </c>
      <c r="GY528">
        <f>IF(ISBLANK('Data Entry'!$ď$528), "", 'Data Entry'!$ď$528)</f>
      </c>
      <c r="GZ528">
        <f>IF(ISBLANK('Data Entry'!$Đ$528), "", 'Data Entry'!$Đ$528)</f>
      </c>
      <c r="HA528">
        <f>IF(ISBLANK('Data Entry'!$đ$528), "", 'Data Entry'!$đ$528)</f>
      </c>
      <c r="HB528">
        <f>IF(ISBLANK('Data Entry'!$Ē$528), "", 'Data Entry'!$Ē$528)</f>
      </c>
      <c r="HC528">
        <f>IF(ISBLANK('Data Entry'!$ē$528), "", 'Data Entry'!$ē$528)</f>
      </c>
      <c r="HD528">
        <f>IF(ISBLANK('Data Entry'!$Ĕ$528), "", 'Data Entry'!$Ĕ$528)</f>
      </c>
      <c r="HE528">
        <f>IF(ISBLANK('Data Entry'!$ĕ$528), "", 'Data Entry'!$ĕ$528)</f>
      </c>
      <c r="HF528">
        <f>IF(ISBLANK('Data Entry'!$Ė$528), "", 'Data Entry'!$Ė$528)</f>
      </c>
      <c r="HG528">
        <f>IF(ISBLANK('Data Entry'!$ė$528), "", 'Data Entry'!$ė$528)</f>
      </c>
      <c r="HH528">
        <f>IF(ISBLANK('Data Entry'!$Ę$528), "", 'Data Entry'!$Ę$528)</f>
      </c>
      <c r="HI528">
        <f>IF(ISBLANK('Data Entry'!$ę$528), "", 'Data Entry'!$ę$528)</f>
      </c>
      <c r="HJ528">
        <f>IF(ISBLANK('Data Entry'!$Ě$528), "", 'Data Entry'!$Ě$528)</f>
      </c>
      <c r="HK528">
        <f>IF(ISBLANK('Data Entry'!$ě$528), "", 'Data Entry'!$ě$528)</f>
      </c>
      <c r="HL528">
        <f>IF(ISBLANK('Data Entry'!$Ĝ$528), "", 'Data Entry'!$Ĝ$528)</f>
      </c>
      <c r="HM528">
        <f>IF(ISBLANK('Data Entry'!$ĝ$528), "", 'Data Entry'!$ĝ$528)</f>
      </c>
      <c r="HN528">
        <f>IF(ISBLANK('Data Entry'!$Ğ$528), "", 'Data Entry'!$Ğ$528)</f>
      </c>
      <c r="HO528">
        <f>IF(ISBLANK('Data Entry'!$ğ$528), "", 'Data Entry'!$ğ$528)</f>
      </c>
      <c r="HP528">
        <f>IF(ISBLANK('Data Entry'!$Ġ$528), "", 'Data Entry'!$Ġ$528)</f>
      </c>
      <c r="HQ528">
        <f>IF(ISBLANK('Data Entry'!$ġ$528), "", 'Data Entry'!$ġ$528)</f>
      </c>
      <c r="HR528">
        <f>IF(ISBLANK('Data Entry'!$Ģ$528), "", 'Data Entry'!$Ģ$528)</f>
      </c>
      <c r="HS528">
        <f>IF(ISBLANK('Data Entry'!$ģ$528), "", 'Data Entry'!$ģ$528)</f>
      </c>
      <c r="HT528">
        <f>IF(ISBLANK('Data Entry'!$Ĥ$528), "", 'Data Entry'!$Ĥ$528)</f>
      </c>
      <c r="HU528">
        <f>IF(ISBLANK('Data Entry'!$ĥ$528), "", 'Data Entry'!$ĥ$528)</f>
      </c>
      <c r="HV528">
        <f>IF(ISBLANK('Data Entry'!$Ħ$528), "", 'Data Entry'!$Ħ$528)</f>
      </c>
      <c r="HW528">
        <f>IF(ISBLANK('Data Entry'!$ħ$528), "", 'Data Entry'!$ħ$528)</f>
      </c>
      <c r="HX528">
        <f>IF(ISBLANK('Data Entry'!$Ĩ$528), "", 'Data Entry'!$Ĩ$528)</f>
      </c>
      <c r="HY528">
        <f>IF(ISBLANK('Data Entry'!$ĩ$528), "", 'Data Entry'!$ĩ$528)</f>
      </c>
      <c r="HZ528">
        <f>IF(ISBLANK('Data Entry'!$Ī$528), "", 'Data Entry'!$Ī$528)</f>
      </c>
      <c r="IA528">
        <f>IF(ISBLANK('Data Entry'!$ī$528), "", 'Data Entry'!$ī$528)</f>
      </c>
      <c r="IB528">
        <f>IF(ISBLANK('Data Entry'!$Ĭ$528), "", 'Data Entry'!$Ĭ$528)</f>
      </c>
      <c r="IC528">
        <f>IF(ISBLANK('Data Entry'!$ĭ$528), "", 'Data Entry'!$ĭ$528)</f>
      </c>
      <c r="ID528">
        <f>IF(ISBLANK('Data Entry'!$Į$528), "", 'Data Entry'!$Į$528)</f>
      </c>
      <c r="IE528">
        <f>IF(ISBLANK('Data Entry'!$į$528), "", 'Data Entry'!$į$528)</f>
      </c>
      <c r="IF528">
        <f>IF(ISBLANK('Data Entry'!$İ$528), "", 'Data Entry'!$İ$528)</f>
      </c>
      <c r="IG528">
        <f>IF(ISBLANK('Data Entry'!$ı$528), "", 'Data Entry'!$ı$528)</f>
      </c>
      <c r="IH528">
        <f>IF(ISBLANK('Data Entry'!$Ĳ$528), "", 'Data Entry'!$Ĳ$528)</f>
      </c>
      <c r="II528">
        <f>IF(ISBLANK('Data Entry'!$ĳ$528), "", 'Data Entry'!$ĳ$528)</f>
      </c>
      <c r="IJ528">
        <f>IF(ISBLANK('Data Entry'!$Ĵ$528), "", 'Data Entry'!$Ĵ$528)</f>
      </c>
      <c r="IK528">
        <f>IF(ISBLANK('Data Entry'!$ĵ$528), "", 'Data Entry'!$ĵ$528)</f>
      </c>
      <c r="IL528">
        <f>IF(ISBLANK('Data Entry'!$Ķ$528), "", 'Data Entry'!$Ķ$528)</f>
      </c>
      <c r="IM528">
        <f>IF(ISBLANK('Data Entry'!$ķ$528), "", 'Data Entry'!$ķ$528)</f>
      </c>
      <c r="IN528">
        <f>IF(ISBLANK('Data Entry'!$ĸ$528), "", 'Data Entry'!$ĸ$528)</f>
      </c>
      <c r="IO528">
        <f>IF(ISBLANK('Data Entry'!$Ĺ$528), "", 'Data Entry'!$Ĺ$528)</f>
      </c>
      <c r="IP528">
        <f>IF(ISBLANK('Data Entry'!$ĺ$528), "", 'Data Entry'!$ĺ$528)</f>
      </c>
      <c r="IQ528">
        <f>IF(ISBLANK('Data Entry'!$Ļ$528), "", 'Data Entry'!$Ļ$528)</f>
      </c>
      <c r="IR528">
        <f>IF(ISBLANK('Data Entry'!$ļ$528), "", 'Data Entry'!$ļ$528)</f>
      </c>
      <c r="IS528">
        <f>IF(ISBLANK('Data Entry'!$Ľ$528), "", 'Data Entry'!$Ľ$528)</f>
      </c>
      <c r="IT528">
        <f>IF(ISBLANK('Data Entry'!$ľ$528), "", 'Data Entry'!$ľ$528)</f>
      </c>
    </row>
    <row r="529" spans="1:254" x14ac:dyDescent="0.25">
      <c r="A529">
        <f>IF(ISBLANK('Data Entry'!$A$529), "", 'Data Entry'!$A$529)</f>
      </c>
      <c r="B529">
        <f>IF(ISBLANK('Data Entry'!$B$529), "", 'Data Entry'!$B$529)</f>
      </c>
      <c r="C529">
        <f>IF(ISBLANK('Data Entry'!$C$529), "", 'Data Entry'!$C$529)</f>
      </c>
      <c r="D529">
        <f>IF(ISBLANK('Data Entry'!$D$529), "", 'Data Entry'!$D$529)</f>
      </c>
      <c r="E529">
        <f>IF(ISBLANK('Data Entry'!$E$529), "", 'Data Entry'!$E$529)</f>
      </c>
      <c r="F529">
        <f>IF(ISBLANK('Data Entry'!$F$529), "", 'Data Entry'!$F$529)</f>
      </c>
      <c r="G529">
        <f>IF(ISBLANK('Data Entry'!$G$529), "", 'Data Entry'!$G$529)</f>
      </c>
      <c r="H529">
        <f>IF(ISBLANK('Data Entry'!$H$529), "", 'Data Entry'!$H$529)</f>
      </c>
      <c r="I529">
        <f>IF(ISBLANK('Data Entry'!$I$529), "", 'Data Entry'!$I$529)</f>
      </c>
      <c r="J529">
        <f>IF(ISBLANK('Data Entry'!$J$529), "", 'Data Entry'!$J$529)</f>
      </c>
      <c r="K529">
        <f>IF(ISBLANK('Data Entry'!$K$529), "", 'Data Entry'!$K$529)</f>
      </c>
      <c r="L529">
        <f>IF(ISBLANK('Data Entry'!$L$529), "", 'Data Entry'!$L$529)</f>
      </c>
      <c r="M529">
        <f>IF(ISBLANK('Data Entry'!$M$529), "", 'Data Entry'!$M$529)</f>
      </c>
      <c r="N529">
        <f>IF(ISBLANK('Data Entry'!$N$529), "", 'Data Entry'!$N$529)</f>
      </c>
      <c r="O529">
        <f>IF(ISBLANK('Data Entry'!$O$529), "", 'Data Entry'!$O$529)</f>
      </c>
      <c r="P529">
        <f>IF(ISBLANK('Data Entry'!$P$529), "", 'Data Entry'!$P$529)</f>
      </c>
      <c r="Q529">
        <f>IF(ISBLANK('Data Entry'!$Q$529), "", 'Data Entry'!$Q$529)</f>
      </c>
      <c r="R529">
        <f>IF(ISBLANK('Data Entry'!$R$529), "", 'Data Entry'!$R$529)</f>
      </c>
      <c r="S529">
        <f>IF(ISBLANK('Data Entry'!$S$529), "", 'Data Entry'!$S$529)</f>
      </c>
      <c r="T529">
        <f>IF(ISBLANK('Data Entry'!$T$529), "", 'Data Entry'!$T$529)</f>
      </c>
      <c r="U529">
        <f>IF(ISBLANK('Data Entry'!$U$529), "", 'Data Entry'!$U$529)</f>
      </c>
      <c r="V529">
        <f>IF(ISBLANK('Data Entry'!$V$529), "", 'Data Entry'!$V$529)</f>
      </c>
      <c r="W529">
        <f>IF(ISBLANK('Data Entry'!$W$529), "", 'Data Entry'!$W$529)</f>
      </c>
      <c r="X529">
        <f>IF(ISBLANK('Data Entry'!$X$529), "", 'Data Entry'!$X$529)</f>
      </c>
      <c r="Y529">
        <f>IF(ISBLANK('Data Entry'!$Y$529), "", 'Data Entry'!$Y$529)</f>
      </c>
      <c r="Z529">
        <f>IF(ISBLANK('Data Entry'!$Z$529), "", 'Data Entry'!$Z$529)</f>
      </c>
      <c r="AA529">
        <f>IF(ISBLANK('Data Entry'!$[$529), "", 'Data Entry'!$[$529)</f>
      </c>
      <c r="AB529">
        <f>IF(ISBLANK('Data Entry'!$\$529), "", 'Data Entry'!$\$529)</f>
      </c>
      <c r="AC529">
        <f>IF(ISBLANK('Data Entry'!$]$529), "", 'Data Entry'!$]$529)</f>
      </c>
      <c r="AD529">
        <f>IF(ISBLANK('Data Entry'!$^$529), "", 'Data Entry'!$^$529)</f>
      </c>
      <c r="AE529">
        <f>IF(ISBLANK('Data Entry'!$_$529), "", 'Data Entry'!$_$529)</f>
      </c>
      <c r="AF529">
        <f>IF(ISBLANK('Data Entry'!$`$529), "", 'Data Entry'!$`$529)</f>
      </c>
      <c r="AG529">
        <f>IF(ISBLANK('Data Entry'!$a$529), "", 'Data Entry'!$a$529)</f>
      </c>
      <c r="AH529">
        <f>IF(ISBLANK('Data Entry'!$b$529), "", 'Data Entry'!$b$529)</f>
      </c>
      <c r="AI529">
        <f>IF(ISBLANK('Data Entry'!$c$529), "", 'Data Entry'!$c$529)</f>
      </c>
      <c r="AJ529">
        <f>IF(ISBLANK('Data Entry'!$d$529), "", 'Data Entry'!$d$529)</f>
      </c>
      <c r="AK529">
        <f>IF(ISBLANK('Data Entry'!$e$529), "", 'Data Entry'!$e$529)</f>
      </c>
      <c r="AL529">
        <f>IF(ISBLANK('Data Entry'!$f$529), "", 'Data Entry'!$f$529)</f>
      </c>
      <c r="AM529">
        <f>IF(ISBLANK('Data Entry'!$g$529), "", 'Data Entry'!$g$529)</f>
      </c>
      <c r="AN529">
        <f>IF(ISBLANK('Data Entry'!$h$529), "", 'Data Entry'!$h$529)</f>
      </c>
      <c r="AO529">
        <f>IF(ISBLANK('Data Entry'!$i$529), "", 'Data Entry'!$i$529)</f>
      </c>
      <c r="AP529">
        <f>IF(ISBLANK('Data Entry'!$j$529), "", 'Data Entry'!$j$529)</f>
      </c>
      <c r="AQ529">
        <f>IF(ISBLANK('Data Entry'!$k$529), "", 'Data Entry'!$k$529)</f>
      </c>
      <c r="AR529">
        <f>IF(ISBLANK('Data Entry'!$l$529), "", 'Data Entry'!$l$529)</f>
      </c>
      <c r="AS529">
        <f>IF(ISBLANK('Data Entry'!$m$529), "", 'Data Entry'!$m$529)</f>
      </c>
      <c r="AT529">
        <f>IF(ISBLANK('Data Entry'!$n$529), "", 'Data Entry'!$n$529)</f>
      </c>
      <c r="AU529">
        <f>IF(ISBLANK('Data Entry'!$o$529), "", 'Data Entry'!$o$529)</f>
      </c>
      <c r="AV529">
        <f>IF(ISBLANK('Data Entry'!$p$529), "", 'Data Entry'!$p$529)</f>
      </c>
      <c r="AW529">
        <f>IF(ISBLANK('Data Entry'!$q$529), "", 'Data Entry'!$q$529)</f>
      </c>
      <c r="AX529">
        <f>IF(ISBLANK('Data Entry'!$r$529), "", 'Data Entry'!$r$529)</f>
      </c>
      <c r="AY529">
        <f>IF(ISBLANK('Data Entry'!$s$529), "", 'Data Entry'!$s$529)</f>
      </c>
      <c r="AZ529">
        <f>IF(ISBLANK('Data Entry'!$t$529), "", 'Data Entry'!$t$529)</f>
      </c>
      <c r="BA529">
        <f>IF(ISBLANK('Data Entry'!$u$529), "", 'Data Entry'!$u$529)</f>
      </c>
      <c r="BB529">
        <f>IF(ISBLANK('Data Entry'!$v$529), "", 'Data Entry'!$v$529)</f>
      </c>
      <c r="BC529">
        <f>IF(ISBLANK('Data Entry'!$w$529), "", 'Data Entry'!$w$529)</f>
      </c>
      <c r="BD529">
        <f>IF(ISBLANK('Data Entry'!$x$529), "", 'Data Entry'!$x$529)</f>
      </c>
      <c r="BE529">
        <f>IF(ISBLANK('Data Entry'!$y$529), "", 'Data Entry'!$y$529)</f>
      </c>
      <c r="BF529">
        <f>IF(ISBLANK('Data Entry'!$z$529), "", 'Data Entry'!$z$529)</f>
      </c>
      <c r="BG529">
        <f>IF(ISBLANK('Data Entry'!${$529), "", 'Data Entry'!${$529)</f>
      </c>
      <c r="BH529">
        <f>IF(ISBLANK('Data Entry'!$|$529), "", 'Data Entry'!$|$529)</f>
      </c>
      <c r="BI529">
        <f>IF(ISBLANK('Data Entry'!$}$529), "", 'Data Entry'!$}$529)</f>
      </c>
      <c r="BJ529">
        <f>IF(ISBLANK('Data Entry'!$~$529), "", 'Data Entry'!$~$529)</f>
      </c>
      <c r="BK529">
        <f>IF(ISBLANK('Data Entry'!$$529), "", 'Data Entry'!$$529)</f>
      </c>
      <c r="BL529">
        <f>IF(ISBLANK('Data Entry'!$$529), "", 'Data Entry'!$$529)</f>
      </c>
      <c r="BM529">
        <f>IF(ISBLANK('Data Entry'!$$529), "", 'Data Entry'!$$529)</f>
      </c>
      <c r="BN529">
        <f>IF(ISBLANK('Data Entry'!$$529), "", 'Data Entry'!$$529)</f>
      </c>
      <c r="BO529">
        <f>IF(ISBLANK('Data Entry'!$$529), "", 'Data Entry'!$$529)</f>
      </c>
      <c r="BP529">
        <f>IF(ISBLANK('Data Entry'!$$529), "", 'Data Entry'!$$529)</f>
      </c>
      <c r="BQ529">
        <f>IF(ISBLANK('Data Entry'!$$529), "", 'Data Entry'!$$529)</f>
      </c>
      <c r="BR529">
        <f>IF(ISBLANK('Data Entry'!$$529), "", 'Data Entry'!$$529)</f>
      </c>
      <c r="BS529">
        <f>IF(ISBLANK('Data Entry'!$$529), "", 'Data Entry'!$$529)</f>
      </c>
      <c r="BT529">
        <f>IF(ISBLANK('Data Entry'!$$529), "", 'Data Entry'!$$529)</f>
      </c>
      <c r="BU529">
        <f>IF(ISBLANK('Data Entry'!$$529), "", 'Data Entry'!$$529)</f>
      </c>
      <c r="BV529">
        <f>IF(ISBLANK('Data Entry'!$$529), "", 'Data Entry'!$$529)</f>
      </c>
      <c r="BW529">
        <f>IF(ISBLANK('Data Entry'!$$529), "", 'Data Entry'!$$529)</f>
      </c>
      <c r="BX529">
        <f>IF(ISBLANK('Data Entry'!$$529), "", 'Data Entry'!$$529)</f>
      </c>
      <c r="BY529">
        <f>IF(ISBLANK('Data Entry'!$$529), "", 'Data Entry'!$$529)</f>
      </c>
      <c r="BZ529">
        <f>IF(ISBLANK('Data Entry'!$$529), "", 'Data Entry'!$$529)</f>
      </c>
      <c r="CA529">
        <f>IF(ISBLANK('Data Entry'!$$529), "", 'Data Entry'!$$529)</f>
      </c>
      <c r="CB529">
        <f>IF(ISBLANK('Data Entry'!$$529), "", 'Data Entry'!$$529)</f>
      </c>
      <c r="CC529">
        <f>IF(ISBLANK('Data Entry'!$$529), "", 'Data Entry'!$$529)</f>
      </c>
      <c r="CD529">
        <f>IF(ISBLANK('Data Entry'!$$529), "", 'Data Entry'!$$529)</f>
      </c>
      <c r="CE529">
        <f>IF(ISBLANK('Data Entry'!$$529), "", 'Data Entry'!$$529)</f>
      </c>
      <c r="CF529">
        <f>IF(ISBLANK('Data Entry'!$$529), "", 'Data Entry'!$$529)</f>
      </c>
      <c r="CG529">
        <f>IF(ISBLANK('Data Entry'!$$529), "", 'Data Entry'!$$529)</f>
      </c>
      <c r="CH529">
        <f>IF(ISBLANK('Data Entry'!$$529), "", 'Data Entry'!$$529)</f>
      </c>
      <c r="CI529">
        <f>IF(ISBLANK('Data Entry'!$$529), "", 'Data Entry'!$$529)</f>
      </c>
      <c r="CJ529">
        <f>IF(ISBLANK('Data Entry'!$$529), "", 'Data Entry'!$$529)</f>
      </c>
      <c r="CK529">
        <f>IF(ISBLANK('Data Entry'!$$529), "", 'Data Entry'!$$529)</f>
      </c>
      <c r="CL529">
        <f>IF(ISBLANK('Data Entry'!$$529), "", 'Data Entry'!$$529)</f>
      </c>
      <c r="CM529">
        <f>IF(ISBLANK('Data Entry'!$$529), "", 'Data Entry'!$$529)</f>
      </c>
      <c r="CN529">
        <f>IF(ISBLANK('Data Entry'!$$529), "", 'Data Entry'!$$529)</f>
      </c>
      <c r="CO529">
        <f>IF(ISBLANK('Data Entry'!$$529), "", 'Data Entry'!$$529)</f>
      </c>
      <c r="CP529">
        <f>IF(ISBLANK('Data Entry'!$$529), "", 'Data Entry'!$$529)</f>
      </c>
      <c r="CQ529">
        <f>IF(ISBLANK('Data Entry'!$$529), "", 'Data Entry'!$$529)</f>
      </c>
      <c r="CR529">
        <f>IF(ISBLANK('Data Entry'!$ $529), "", 'Data Entry'!$ $529)</f>
      </c>
      <c r="CS529">
        <f>IF(ISBLANK('Data Entry'!$¡$529), "", 'Data Entry'!$¡$529)</f>
      </c>
      <c r="CT529">
        <f>IF(ISBLANK('Data Entry'!$¢$529), "", 'Data Entry'!$¢$529)</f>
      </c>
      <c r="CU529">
        <f>IF(ISBLANK('Data Entry'!$£$529), "", 'Data Entry'!$£$529)</f>
      </c>
      <c r="CV529">
        <f>IF(ISBLANK('Data Entry'!$¤$529), "", 'Data Entry'!$¤$529)</f>
      </c>
      <c r="CW529">
        <f>IF(ISBLANK('Data Entry'!$¥$529), "", 'Data Entry'!$¥$529)</f>
      </c>
      <c r="CX529">
        <f>IF(ISBLANK('Data Entry'!$¦$529), "", 'Data Entry'!$¦$529)</f>
      </c>
      <c r="CY529">
        <f>IF(ISBLANK('Data Entry'!$§$529), "", 'Data Entry'!$§$529)</f>
      </c>
      <c r="CZ529">
        <f>IF(ISBLANK('Data Entry'!$¨$529), "", 'Data Entry'!$¨$529)</f>
      </c>
      <c r="DA529">
        <f>IF(ISBLANK('Data Entry'!$©$529), "", 'Data Entry'!$©$529)</f>
      </c>
      <c r="DB529">
        <f>IF(ISBLANK('Data Entry'!$ª$529), "", 'Data Entry'!$ª$529)</f>
      </c>
      <c r="DC529">
        <f>IF(ISBLANK('Data Entry'!$«$529), "", 'Data Entry'!$«$529)</f>
      </c>
      <c r="DD529">
        <f>IF(ISBLANK('Data Entry'!$¬$529), "", 'Data Entry'!$¬$529)</f>
      </c>
      <c r="DE529">
        <f>IF(ISBLANK('Data Entry'!$­$529), "", 'Data Entry'!$­$529)</f>
      </c>
      <c r="DF529">
        <f>IF(ISBLANK('Data Entry'!$®$529), "", 'Data Entry'!$®$529)</f>
      </c>
      <c r="DG529">
        <f>IF(ISBLANK('Data Entry'!$¯$529), "", 'Data Entry'!$¯$529)</f>
      </c>
      <c r="DH529">
        <f>IF(ISBLANK('Data Entry'!$°$529), "", 'Data Entry'!$°$529)</f>
      </c>
      <c r="DI529">
        <f>IF(ISBLANK('Data Entry'!$±$529), "", 'Data Entry'!$±$529)</f>
      </c>
      <c r="DJ529">
        <f>IF(ISBLANK('Data Entry'!$²$529), "", 'Data Entry'!$²$529)</f>
      </c>
      <c r="DK529">
        <f>IF(ISBLANK('Data Entry'!$³$529), "", 'Data Entry'!$³$529)</f>
      </c>
      <c r="DL529">
        <f>IF(ISBLANK('Data Entry'!$´$529), "", 'Data Entry'!$´$529)</f>
      </c>
      <c r="DM529">
        <f>IF(ISBLANK('Data Entry'!$µ$529), "", 'Data Entry'!$µ$529)</f>
      </c>
      <c r="DN529">
        <f>IF(ISBLANK('Data Entry'!$¶$529), "", 'Data Entry'!$¶$529)</f>
      </c>
      <c r="DO529">
        <f>IF(ISBLANK('Data Entry'!$·$529), "", 'Data Entry'!$·$529)</f>
      </c>
      <c r="DP529">
        <f>IF(ISBLANK('Data Entry'!$¸$529), "", 'Data Entry'!$¸$529)</f>
      </c>
      <c r="DQ529">
        <f>IF(ISBLANK('Data Entry'!$¹$529), "", 'Data Entry'!$¹$529)</f>
      </c>
      <c r="DR529">
        <f>IF(ISBLANK('Data Entry'!$º$529), "", 'Data Entry'!$º$529)</f>
      </c>
      <c r="DS529">
        <f>IF(ISBLANK('Data Entry'!$»$529), "", 'Data Entry'!$»$529)</f>
      </c>
      <c r="DT529">
        <f>IF(ISBLANK('Data Entry'!$¼$529), "", 'Data Entry'!$¼$529)</f>
      </c>
      <c r="DU529">
        <f>IF(ISBLANK('Data Entry'!$½$529), "", 'Data Entry'!$½$529)</f>
      </c>
      <c r="DV529">
        <f>IF(ISBLANK('Data Entry'!$¾$529), "", 'Data Entry'!$¾$529)</f>
      </c>
      <c r="DW529">
        <f>IF(ISBLANK('Data Entry'!$¿$529), "", 'Data Entry'!$¿$529)</f>
      </c>
      <c r="DX529">
        <f>IF(ISBLANK('Data Entry'!$À$529), "", 'Data Entry'!$À$529)</f>
      </c>
      <c r="DY529">
        <f>IF(ISBLANK('Data Entry'!$Á$529), "", 'Data Entry'!$Á$529)</f>
      </c>
      <c r="DZ529">
        <f>IF(ISBLANK('Data Entry'!$Â$529), "", 'Data Entry'!$Â$529)</f>
      </c>
      <c r="EA529">
        <f>IF(ISBLANK('Data Entry'!$Ã$529), "", 'Data Entry'!$Ã$529)</f>
      </c>
      <c r="EB529">
        <f>IF(ISBLANK('Data Entry'!$Ä$529), "", 'Data Entry'!$Ä$529)</f>
      </c>
      <c r="EC529">
        <f>IF(ISBLANK('Data Entry'!$Å$529), "", 'Data Entry'!$Å$529)</f>
      </c>
      <c r="ED529">
        <f>IF(ISBLANK('Data Entry'!$Æ$529), "", 'Data Entry'!$Æ$529)</f>
      </c>
      <c r="EE529">
        <f>IF(ISBLANK('Data Entry'!$Ç$529), "", 'Data Entry'!$Ç$529)</f>
      </c>
      <c r="EF529">
        <f>IF(ISBLANK('Data Entry'!$È$529), "", 'Data Entry'!$È$529)</f>
      </c>
      <c r="EG529">
        <f>IF(ISBLANK('Data Entry'!$É$529), "", 'Data Entry'!$É$529)</f>
      </c>
      <c r="EH529">
        <f>IF(ISBLANK('Data Entry'!$Ê$529), "", 'Data Entry'!$Ê$529)</f>
      </c>
      <c r="EI529">
        <f>IF(ISBLANK('Data Entry'!$Ë$529), "", 'Data Entry'!$Ë$529)</f>
      </c>
      <c r="EJ529">
        <f>IF(ISBLANK('Data Entry'!$Ì$529), "", 'Data Entry'!$Ì$529)</f>
      </c>
      <c r="EK529">
        <f>IF(ISBLANK('Data Entry'!$Í$529), "", 'Data Entry'!$Í$529)</f>
      </c>
      <c r="EL529">
        <f>IF(ISBLANK('Data Entry'!$Î$529), "", 'Data Entry'!$Î$529)</f>
      </c>
      <c r="EM529">
        <f>IF(ISBLANK('Data Entry'!$Ï$529), "", 'Data Entry'!$Ï$529)</f>
      </c>
      <c r="EN529">
        <f>IF(ISBLANK('Data Entry'!$Ð$529), "", 'Data Entry'!$Ð$529)</f>
      </c>
      <c r="EO529">
        <f>IF(ISBLANK('Data Entry'!$Ñ$529), "", 'Data Entry'!$Ñ$529)</f>
      </c>
      <c r="EP529">
        <f>IF(ISBLANK('Data Entry'!$Ò$529), "", 'Data Entry'!$Ò$529)</f>
      </c>
      <c r="EQ529">
        <f>IF(ISBLANK('Data Entry'!$Ó$529), "", 'Data Entry'!$Ó$529)</f>
      </c>
      <c r="ER529">
        <f>IF(ISBLANK('Data Entry'!$Ô$529), "", 'Data Entry'!$Ô$529)</f>
      </c>
      <c r="ES529">
        <f>IF(ISBLANK('Data Entry'!$Õ$529), "", 'Data Entry'!$Õ$529)</f>
      </c>
      <c r="ET529">
        <f>IF(ISBLANK('Data Entry'!$Ö$529), "", 'Data Entry'!$Ö$529)</f>
      </c>
      <c r="EU529">
        <f>IF(ISBLANK('Data Entry'!$×$529), "", 'Data Entry'!$×$529)</f>
      </c>
      <c r="EV529">
        <f>IF(ISBLANK('Data Entry'!$Ø$529), "", 'Data Entry'!$Ø$529)</f>
      </c>
      <c r="EW529">
        <f>IF(ISBLANK('Data Entry'!$Ù$529), "", 'Data Entry'!$Ù$529)</f>
      </c>
      <c r="EX529">
        <f>IF(ISBLANK('Data Entry'!$Ú$529), "", 'Data Entry'!$Ú$529)</f>
      </c>
      <c r="EY529">
        <f>IF(ISBLANK('Data Entry'!$Û$529), "", 'Data Entry'!$Û$529)</f>
      </c>
      <c r="EZ529">
        <f>IF(ISBLANK('Data Entry'!$Ü$529), "", 'Data Entry'!$Ü$529)</f>
      </c>
      <c r="FA529">
        <f>IF(ISBLANK('Data Entry'!$Ý$529), "", 'Data Entry'!$Ý$529)</f>
      </c>
      <c r="FB529">
        <f>IF(ISBLANK('Data Entry'!$Þ$529), "", 'Data Entry'!$Þ$529)</f>
      </c>
      <c r="FC529">
        <f>IF(ISBLANK('Data Entry'!$ß$529), "", 'Data Entry'!$ß$529)</f>
      </c>
      <c r="FD529">
        <f>IF(ISBLANK('Data Entry'!$à$529), "", 'Data Entry'!$à$529)</f>
      </c>
      <c r="FE529">
        <f>IF(ISBLANK('Data Entry'!$á$529), "", 'Data Entry'!$á$529)</f>
      </c>
      <c r="FF529">
        <f>IF(ISBLANK('Data Entry'!$â$529), "", 'Data Entry'!$â$529)</f>
      </c>
      <c r="FG529">
        <f>IF(ISBLANK('Data Entry'!$ã$529), "", 'Data Entry'!$ã$529)</f>
      </c>
      <c r="FH529">
        <f>IF(ISBLANK('Data Entry'!$ä$529), "", 'Data Entry'!$ä$529)</f>
      </c>
      <c r="FI529">
        <f>IF(ISBLANK('Data Entry'!$å$529), "", 'Data Entry'!$å$529)</f>
      </c>
      <c r="FJ529">
        <f>IF(ISBLANK('Data Entry'!$æ$529), "", 'Data Entry'!$æ$529)</f>
      </c>
      <c r="FK529">
        <f>IF(ISBLANK('Data Entry'!$ç$529), "", 'Data Entry'!$ç$529)</f>
      </c>
      <c r="FL529">
        <f>IF(ISBLANK('Data Entry'!$è$529), "", 'Data Entry'!$è$529)</f>
      </c>
      <c r="FM529">
        <f>IF(ISBLANK('Data Entry'!$é$529), "", 'Data Entry'!$é$529)</f>
      </c>
      <c r="FN529">
        <f>IF(ISBLANK('Data Entry'!$ê$529), "", 'Data Entry'!$ê$529)</f>
      </c>
      <c r="FO529">
        <f>IF(ISBLANK('Data Entry'!$ë$529), "", 'Data Entry'!$ë$529)</f>
      </c>
      <c r="FP529">
        <f>IF(ISBLANK('Data Entry'!$ì$529), "", 'Data Entry'!$ì$529)</f>
      </c>
      <c r="FQ529">
        <f>IF(ISBLANK('Data Entry'!$í$529), "", 'Data Entry'!$í$529)</f>
      </c>
      <c r="FR529">
        <f>IF(ISBLANK('Data Entry'!$î$529), "", 'Data Entry'!$î$529)</f>
      </c>
      <c r="FS529">
        <f>IF(ISBLANK('Data Entry'!$ï$529), "", 'Data Entry'!$ï$529)</f>
      </c>
      <c r="FT529">
        <f>IF(ISBLANK('Data Entry'!$ð$529), "", 'Data Entry'!$ð$529)</f>
      </c>
      <c r="FU529">
        <f>IF(ISBLANK('Data Entry'!$ñ$529), "", 'Data Entry'!$ñ$529)</f>
      </c>
      <c r="FV529">
        <f>IF(ISBLANK('Data Entry'!$ò$529), "", 'Data Entry'!$ò$529)</f>
      </c>
      <c r="FW529">
        <f>IF(ISBLANK('Data Entry'!$ó$529), "", 'Data Entry'!$ó$529)</f>
      </c>
      <c r="FX529">
        <f>IF(ISBLANK('Data Entry'!$ô$529), "", 'Data Entry'!$ô$529)</f>
      </c>
      <c r="FY529">
        <f>IF(ISBLANK('Data Entry'!$õ$529), "", 'Data Entry'!$õ$529)</f>
      </c>
      <c r="FZ529">
        <f>IF(ISBLANK('Data Entry'!$ö$529), "", 'Data Entry'!$ö$529)</f>
      </c>
      <c r="GA529">
        <f>IF(ISBLANK('Data Entry'!$÷$529), "", 'Data Entry'!$÷$529)</f>
      </c>
      <c r="GB529">
        <f>IF(ISBLANK('Data Entry'!$ø$529), "", 'Data Entry'!$ø$529)</f>
      </c>
      <c r="GC529">
        <f>IF(ISBLANK('Data Entry'!$ù$529), "", 'Data Entry'!$ù$529)</f>
      </c>
      <c r="GD529">
        <f>IF(ISBLANK('Data Entry'!$ú$529), "", 'Data Entry'!$ú$529)</f>
      </c>
      <c r="GE529">
        <f>IF(ISBLANK('Data Entry'!$û$529), "", 'Data Entry'!$û$529)</f>
      </c>
      <c r="GF529">
        <f>IF(ISBLANK('Data Entry'!$ü$529), "", 'Data Entry'!$ü$529)</f>
      </c>
      <c r="GG529">
        <f>IF(ISBLANK('Data Entry'!$ý$529), "", 'Data Entry'!$ý$529)</f>
      </c>
      <c r="GH529">
        <f>IF(ISBLANK('Data Entry'!$þ$529), "", 'Data Entry'!$þ$529)</f>
      </c>
      <c r="GI529">
        <f>IF(ISBLANK('Data Entry'!$ÿ$529), "", 'Data Entry'!$ÿ$529)</f>
      </c>
      <c r="GJ529">
        <f>IF(ISBLANK('Data Entry'!$Ā$529), "", 'Data Entry'!$Ā$529)</f>
      </c>
      <c r="GK529">
        <f>IF(ISBLANK('Data Entry'!$ā$529), "", 'Data Entry'!$ā$529)</f>
      </c>
      <c r="GL529">
        <f>IF(ISBLANK('Data Entry'!$Ă$529), "", 'Data Entry'!$Ă$529)</f>
      </c>
      <c r="GM529">
        <f>IF(ISBLANK('Data Entry'!$ă$529), "", 'Data Entry'!$ă$529)</f>
      </c>
      <c r="GN529">
        <f>IF(ISBLANK('Data Entry'!$Ą$529), "", 'Data Entry'!$Ą$529)</f>
      </c>
      <c r="GO529">
        <f>IF(ISBLANK('Data Entry'!$ą$529), "", 'Data Entry'!$ą$529)</f>
      </c>
      <c r="GP529">
        <f>IF(ISBLANK('Data Entry'!$Ć$529), "", 'Data Entry'!$Ć$529)</f>
      </c>
      <c r="GQ529">
        <f>IF(ISBLANK('Data Entry'!$ć$529), "", 'Data Entry'!$ć$529)</f>
      </c>
      <c r="GR529">
        <f>IF(ISBLANK('Data Entry'!$Ĉ$529), "", 'Data Entry'!$Ĉ$529)</f>
      </c>
      <c r="GS529">
        <f>IF(ISBLANK('Data Entry'!$ĉ$529), "", 'Data Entry'!$ĉ$529)</f>
      </c>
      <c r="GT529">
        <f>IF(ISBLANK('Data Entry'!$Ċ$529), "", 'Data Entry'!$Ċ$529)</f>
      </c>
      <c r="GU529">
        <f>IF(ISBLANK('Data Entry'!$ċ$529), "", 'Data Entry'!$ċ$529)</f>
      </c>
      <c r="GV529">
        <f>IF(ISBLANK('Data Entry'!$Č$529), "", 'Data Entry'!$Č$529)</f>
      </c>
      <c r="GW529">
        <f>IF(ISBLANK('Data Entry'!$č$529), "", 'Data Entry'!$č$529)</f>
      </c>
      <c r="GX529">
        <f>IF(ISBLANK('Data Entry'!$Ď$529), "", 'Data Entry'!$Ď$529)</f>
      </c>
      <c r="GY529">
        <f>IF(ISBLANK('Data Entry'!$ď$529), "", 'Data Entry'!$ď$529)</f>
      </c>
      <c r="GZ529">
        <f>IF(ISBLANK('Data Entry'!$Đ$529), "", 'Data Entry'!$Đ$529)</f>
      </c>
      <c r="HA529">
        <f>IF(ISBLANK('Data Entry'!$đ$529), "", 'Data Entry'!$đ$529)</f>
      </c>
      <c r="HB529">
        <f>IF(ISBLANK('Data Entry'!$Ē$529), "", 'Data Entry'!$Ē$529)</f>
      </c>
      <c r="HC529">
        <f>IF(ISBLANK('Data Entry'!$ē$529), "", 'Data Entry'!$ē$529)</f>
      </c>
      <c r="HD529">
        <f>IF(ISBLANK('Data Entry'!$Ĕ$529), "", 'Data Entry'!$Ĕ$529)</f>
      </c>
      <c r="HE529">
        <f>IF(ISBLANK('Data Entry'!$ĕ$529), "", 'Data Entry'!$ĕ$529)</f>
      </c>
      <c r="HF529">
        <f>IF(ISBLANK('Data Entry'!$Ė$529), "", 'Data Entry'!$Ė$529)</f>
      </c>
      <c r="HG529">
        <f>IF(ISBLANK('Data Entry'!$ė$529), "", 'Data Entry'!$ė$529)</f>
      </c>
      <c r="HH529">
        <f>IF(ISBLANK('Data Entry'!$Ę$529), "", 'Data Entry'!$Ę$529)</f>
      </c>
      <c r="HI529">
        <f>IF(ISBLANK('Data Entry'!$ę$529), "", 'Data Entry'!$ę$529)</f>
      </c>
      <c r="HJ529">
        <f>IF(ISBLANK('Data Entry'!$Ě$529), "", 'Data Entry'!$Ě$529)</f>
      </c>
      <c r="HK529">
        <f>IF(ISBLANK('Data Entry'!$ě$529), "", 'Data Entry'!$ě$529)</f>
      </c>
      <c r="HL529">
        <f>IF(ISBLANK('Data Entry'!$Ĝ$529), "", 'Data Entry'!$Ĝ$529)</f>
      </c>
      <c r="HM529">
        <f>IF(ISBLANK('Data Entry'!$ĝ$529), "", 'Data Entry'!$ĝ$529)</f>
      </c>
      <c r="HN529">
        <f>IF(ISBLANK('Data Entry'!$Ğ$529), "", 'Data Entry'!$Ğ$529)</f>
      </c>
      <c r="HO529">
        <f>IF(ISBLANK('Data Entry'!$ğ$529), "", 'Data Entry'!$ğ$529)</f>
      </c>
      <c r="HP529">
        <f>IF(ISBLANK('Data Entry'!$Ġ$529), "", 'Data Entry'!$Ġ$529)</f>
      </c>
      <c r="HQ529">
        <f>IF(ISBLANK('Data Entry'!$ġ$529), "", 'Data Entry'!$ġ$529)</f>
      </c>
      <c r="HR529">
        <f>IF(ISBLANK('Data Entry'!$Ģ$529), "", 'Data Entry'!$Ģ$529)</f>
      </c>
      <c r="HS529">
        <f>IF(ISBLANK('Data Entry'!$ģ$529), "", 'Data Entry'!$ģ$529)</f>
      </c>
      <c r="HT529">
        <f>IF(ISBLANK('Data Entry'!$Ĥ$529), "", 'Data Entry'!$Ĥ$529)</f>
      </c>
      <c r="HU529">
        <f>IF(ISBLANK('Data Entry'!$ĥ$529), "", 'Data Entry'!$ĥ$529)</f>
      </c>
      <c r="HV529">
        <f>IF(ISBLANK('Data Entry'!$Ħ$529), "", 'Data Entry'!$Ħ$529)</f>
      </c>
      <c r="HW529">
        <f>IF(ISBLANK('Data Entry'!$ħ$529), "", 'Data Entry'!$ħ$529)</f>
      </c>
      <c r="HX529">
        <f>IF(ISBLANK('Data Entry'!$Ĩ$529), "", 'Data Entry'!$Ĩ$529)</f>
      </c>
      <c r="HY529">
        <f>IF(ISBLANK('Data Entry'!$ĩ$529), "", 'Data Entry'!$ĩ$529)</f>
      </c>
      <c r="HZ529">
        <f>IF(ISBLANK('Data Entry'!$Ī$529), "", 'Data Entry'!$Ī$529)</f>
      </c>
      <c r="IA529">
        <f>IF(ISBLANK('Data Entry'!$ī$529), "", 'Data Entry'!$ī$529)</f>
      </c>
      <c r="IB529">
        <f>IF(ISBLANK('Data Entry'!$Ĭ$529), "", 'Data Entry'!$Ĭ$529)</f>
      </c>
      <c r="IC529">
        <f>IF(ISBLANK('Data Entry'!$ĭ$529), "", 'Data Entry'!$ĭ$529)</f>
      </c>
      <c r="ID529">
        <f>IF(ISBLANK('Data Entry'!$Į$529), "", 'Data Entry'!$Į$529)</f>
      </c>
      <c r="IE529">
        <f>IF(ISBLANK('Data Entry'!$į$529), "", 'Data Entry'!$į$529)</f>
      </c>
      <c r="IF529">
        <f>IF(ISBLANK('Data Entry'!$İ$529), "", 'Data Entry'!$İ$529)</f>
      </c>
      <c r="IG529">
        <f>IF(ISBLANK('Data Entry'!$ı$529), "", 'Data Entry'!$ı$529)</f>
      </c>
      <c r="IH529">
        <f>IF(ISBLANK('Data Entry'!$Ĳ$529), "", 'Data Entry'!$Ĳ$529)</f>
      </c>
      <c r="II529">
        <f>IF(ISBLANK('Data Entry'!$ĳ$529), "", 'Data Entry'!$ĳ$529)</f>
      </c>
      <c r="IJ529">
        <f>IF(ISBLANK('Data Entry'!$Ĵ$529), "", 'Data Entry'!$Ĵ$529)</f>
      </c>
      <c r="IK529">
        <f>IF(ISBLANK('Data Entry'!$ĵ$529), "", 'Data Entry'!$ĵ$529)</f>
      </c>
      <c r="IL529">
        <f>IF(ISBLANK('Data Entry'!$Ķ$529), "", 'Data Entry'!$Ķ$529)</f>
      </c>
      <c r="IM529">
        <f>IF(ISBLANK('Data Entry'!$ķ$529), "", 'Data Entry'!$ķ$529)</f>
      </c>
      <c r="IN529">
        <f>IF(ISBLANK('Data Entry'!$ĸ$529), "", 'Data Entry'!$ĸ$529)</f>
      </c>
      <c r="IO529">
        <f>IF(ISBLANK('Data Entry'!$Ĺ$529), "", 'Data Entry'!$Ĺ$529)</f>
      </c>
      <c r="IP529">
        <f>IF(ISBLANK('Data Entry'!$ĺ$529), "", 'Data Entry'!$ĺ$529)</f>
      </c>
      <c r="IQ529">
        <f>IF(ISBLANK('Data Entry'!$Ļ$529), "", 'Data Entry'!$Ļ$529)</f>
      </c>
      <c r="IR529">
        <f>IF(ISBLANK('Data Entry'!$ļ$529), "", 'Data Entry'!$ļ$529)</f>
      </c>
      <c r="IS529">
        <f>IF(ISBLANK('Data Entry'!$Ľ$529), "", 'Data Entry'!$Ľ$529)</f>
      </c>
      <c r="IT529">
        <f>IF(ISBLANK('Data Entry'!$ľ$529), "", 'Data Entry'!$ľ$529)</f>
      </c>
    </row>
    <row r="530" spans="1:254" x14ac:dyDescent="0.25">
      <c r="A530">
        <f>IF(ISBLANK('Data Entry'!$A$530), "", 'Data Entry'!$A$530)</f>
      </c>
      <c r="B530">
        <f>IF(ISBLANK('Data Entry'!$B$530), "", 'Data Entry'!$B$530)</f>
      </c>
      <c r="C530">
        <f>IF(ISBLANK('Data Entry'!$C$530), "", 'Data Entry'!$C$530)</f>
      </c>
      <c r="D530">
        <f>IF(ISBLANK('Data Entry'!$D$530), "", 'Data Entry'!$D$530)</f>
      </c>
      <c r="E530">
        <f>IF(ISBLANK('Data Entry'!$E$530), "", 'Data Entry'!$E$530)</f>
      </c>
      <c r="F530">
        <f>IF(ISBLANK('Data Entry'!$F$530), "", 'Data Entry'!$F$530)</f>
      </c>
      <c r="G530">
        <f>IF(ISBLANK('Data Entry'!$G$530), "", 'Data Entry'!$G$530)</f>
      </c>
      <c r="H530">
        <f>IF(ISBLANK('Data Entry'!$H$530), "", 'Data Entry'!$H$530)</f>
      </c>
      <c r="I530">
        <f>IF(ISBLANK('Data Entry'!$I$530), "", 'Data Entry'!$I$530)</f>
      </c>
      <c r="J530">
        <f>IF(ISBLANK('Data Entry'!$J$530), "", 'Data Entry'!$J$530)</f>
      </c>
      <c r="K530">
        <f>IF(ISBLANK('Data Entry'!$K$530), "", 'Data Entry'!$K$530)</f>
      </c>
      <c r="L530">
        <f>IF(ISBLANK('Data Entry'!$L$530), "", 'Data Entry'!$L$530)</f>
      </c>
      <c r="M530">
        <f>IF(ISBLANK('Data Entry'!$M$530), "", 'Data Entry'!$M$530)</f>
      </c>
      <c r="N530">
        <f>IF(ISBLANK('Data Entry'!$N$530), "", 'Data Entry'!$N$530)</f>
      </c>
      <c r="O530">
        <f>IF(ISBLANK('Data Entry'!$O$530), "", 'Data Entry'!$O$530)</f>
      </c>
      <c r="P530">
        <f>IF(ISBLANK('Data Entry'!$P$530), "", 'Data Entry'!$P$530)</f>
      </c>
      <c r="Q530">
        <f>IF(ISBLANK('Data Entry'!$Q$530), "", 'Data Entry'!$Q$530)</f>
      </c>
      <c r="R530">
        <f>IF(ISBLANK('Data Entry'!$R$530), "", 'Data Entry'!$R$530)</f>
      </c>
      <c r="S530">
        <f>IF(ISBLANK('Data Entry'!$S$530), "", 'Data Entry'!$S$530)</f>
      </c>
      <c r="T530">
        <f>IF(ISBLANK('Data Entry'!$T$530), "", 'Data Entry'!$T$530)</f>
      </c>
      <c r="U530">
        <f>IF(ISBLANK('Data Entry'!$U$530), "", 'Data Entry'!$U$530)</f>
      </c>
      <c r="V530">
        <f>IF(ISBLANK('Data Entry'!$V$530), "", 'Data Entry'!$V$530)</f>
      </c>
      <c r="W530">
        <f>IF(ISBLANK('Data Entry'!$W$530), "", 'Data Entry'!$W$530)</f>
      </c>
      <c r="X530">
        <f>IF(ISBLANK('Data Entry'!$X$530), "", 'Data Entry'!$X$530)</f>
      </c>
      <c r="Y530">
        <f>IF(ISBLANK('Data Entry'!$Y$530), "", 'Data Entry'!$Y$530)</f>
      </c>
      <c r="Z530">
        <f>IF(ISBLANK('Data Entry'!$Z$530), "", 'Data Entry'!$Z$530)</f>
      </c>
      <c r="AA530">
        <f>IF(ISBLANK('Data Entry'!$[$530), "", 'Data Entry'!$[$530)</f>
      </c>
      <c r="AB530">
        <f>IF(ISBLANK('Data Entry'!$\$530), "", 'Data Entry'!$\$530)</f>
      </c>
      <c r="AC530">
        <f>IF(ISBLANK('Data Entry'!$]$530), "", 'Data Entry'!$]$530)</f>
      </c>
      <c r="AD530">
        <f>IF(ISBLANK('Data Entry'!$^$530), "", 'Data Entry'!$^$530)</f>
      </c>
      <c r="AE530">
        <f>IF(ISBLANK('Data Entry'!$_$530), "", 'Data Entry'!$_$530)</f>
      </c>
      <c r="AF530">
        <f>IF(ISBLANK('Data Entry'!$`$530), "", 'Data Entry'!$`$530)</f>
      </c>
      <c r="AG530">
        <f>IF(ISBLANK('Data Entry'!$a$530), "", 'Data Entry'!$a$530)</f>
      </c>
      <c r="AH530">
        <f>IF(ISBLANK('Data Entry'!$b$530), "", 'Data Entry'!$b$530)</f>
      </c>
      <c r="AI530">
        <f>IF(ISBLANK('Data Entry'!$c$530), "", 'Data Entry'!$c$530)</f>
      </c>
      <c r="AJ530">
        <f>IF(ISBLANK('Data Entry'!$d$530), "", 'Data Entry'!$d$530)</f>
      </c>
      <c r="AK530">
        <f>IF(ISBLANK('Data Entry'!$e$530), "", 'Data Entry'!$e$530)</f>
      </c>
      <c r="AL530">
        <f>IF(ISBLANK('Data Entry'!$f$530), "", 'Data Entry'!$f$530)</f>
      </c>
      <c r="AM530">
        <f>IF(ISBLANK('Data Entry'!$g$530), "", 'Data Entry'!$g$530)</f>
      </c>
      <c r="AN530">
        <f>IF(ISBLANK('Data Entry'!$h$530), "", 'Data Entry'!$h$530)</f>
      </c>
      <c r="AO530">
        <f>IF(ISBLANK('Data Entry'!$i$530), "", 'Data Entry'!$i$530)</f>
      </c>
      <c r="AP530">
        <f>IF(ISBLANK('Data Entry'!$j$530), "", 'Data Entry'!$j$530)</f>
      </c>
      <c r="AQ530">
        <f>IF(ISBLANK('Data Entry'!$k$530), "", 'Data Entry'!$k$530)</f>
      </c>
      <c r="AR530">
        <f>IF(ISBLANK('Data Entry'!$l$530), "", 'Data Entry'!$l$530)</f>
      </c>
      <c r="AS530">
        <f>IF(ISBLANK('Data Entry'!$m$530), "", 'Data Entry'!$m$530)</f>
      </c>
      <c r="AT530">
        <f>IF(ISBLANK('Data Entry'!$n$530), "", 'Data Entry'!$n$530)</f>
      </c>
      <c r="AU530">
        <f>IF(ISBLANK('Data Entry'!$o$530), "", 'Data Entry'!$o$530)</f>
      </c>
      <c r="AV530">
        <f>IF(ISBLANK('Data Entry'!$p$530), "", 'Data Entry'!$p$530)</f>
      </c>
      <c r="AW530">
        <f>IF(ISBLANK('Data Entry'!$q$530), "", 'Data Entry'!$q$530)</f>
      </c>
      <c r="AX530">
        <f>IF(ISBLANK('Data Entry'!$r$530), "", 'Data Entry'!$r$530)</f>
      </c>
      <c r="AY530">
        <f>IF(ISBLANK('Data Entry'!$s$530), "", 'Data Entry'!$s$530)</f>
      </c>
      <c r="AZ530">
        <f>IF(ISBLANK('Data Entry'!$t$530), "", 'Data Entry'!$t$530)</f>
      </c>
      <c r="BA530">
        <f>IF(ISBLANK('Data Entry'!$u$530), "", 'Data Entry'!$u$530)</f>
      </c>
      <c r="BB530">
        <f>IF(ISBLANK('Data Entry'!$v$530), "", 'Data Entry'!$v$530)</f>
      </c>
      <c r="BC530">
        <f>IF(ISBLANK('Data Entry'!$w$530), "", 'Data Entry'!$w$530)</f>
      </c>
      <c r="BD530">
        <f>IF(ISBLANK('Data Entry'!$x$530), "", 'Data Entry'!$x$530)</f>
      </c>
      <c r="BE530">
        <f>IF(ISBLANK('Data Entry'!$y$530), "", 'Data Entry'!$y$530)</f>
      </c>
      <c r="BF530">
        <f>IF(ISBLANK('Data Entry'!$z$530), "", 'Data Entry'!$z$530)</f>
      </c>
      <c r="BG530">
        <f>IF(ISBLANK('Data Entry'!${$530), "", 'Data Entry'!${$530)</f>
      </c>
      <c r="BH530">
        <f>IF(ISBLANK('Data Entry'!$|$530), "", 'Data Entry'!$|$530)</f>
      </c>
      <c r="BI530">
        <f>IF(ISBLANK('Data Entry'!$}$530), "", 'Data Entry'!$}$530)</f>
      </c>
      <c r="BJ530">
        <f>IF(ISBLANK('Data Entry'!$~$530), "", 'Data Entry'!$~$530)</f>
      </c>
      <c r="BK530">
        <f>IF(ISBLANK('Data Entry'!$$530), "", 'Data Entry'!$$530)</f>
      </c>
      <c r="BL530">
        <f>IF(ISBLANK('Data Entry'!$$530), "", 'Data Entry'!$$530)</f>
      </c>
      <c r="BM530">
        <f>IF(ISBLANK('Data Entry'!$$530), "", 'Data Entry'!$$530)</f>
      </c>
      <c r="BN530">
        <f>IF(ISBLANK('Data Entry'!$$530), "", 'Data Entry'!$$530)</f>
      </c>
      <c r="BO530">
        <f>IF(ISBLANK('Data Entry'!$$530), "", 'Data Entry'!$$530)</f>
      </c>
      <c r="BP530">
        <f>IF(ISBLANK('Data Entry'!$$530), "", 'Data Entry'!$$530)</f>
      </c>
      <c r="BQ530">
        <f>IF(ISBLANK('Data Entry'!$$530), "", 'Data Entry'!$$530)</f>
      </c>
      <c r="BR530">
        <f>IF(ISBLANK('Data Entry'!$$530), "", 'Data Entry'!$$530)</f>
      </c>
      <c r="BS530">
        <f>IF(ISBLANK('Data Entry'!$$530), "", 'Data Entry'!$$530)</f>
      </c>
      <c r="BT530">
        <f>IF(ISBLANK('Data Entry'!$$530), "", 'Data Entry'!$$530)</f>
      </c>
      <c r="BU530">
        <f>IF(ISBLANK('Data Entry'!$$530), "", 'Data Entry'!$$530)</f>
      </c>
      <c r="BV530">
        <f>IF(ISBLANK('Data Entry'!$$530), "", 'Data Entry'!$$530)</f>
      </c>
      <c r="BW530">
        <f>IF(ISBLANK('Data Entry'!$$530), "", 'Data Entry'!$$530)</f>
      </c>
      <c r="BX530">
        <f>IF(ISBLANK('Data Entry'!$$530), "", 'Data Entry'!$$530)</f>
      </c>
      <c r="BY530">
        <f>IF(ISBLANK('Data Entry'!$$530), "", 'Data Entry'!$$530)</f>
      </c>
      <c r="BZ530">
        <f>IF(ISBLANK('Data Entry'!$$530), "", 'Data Entry'!$$530)</f>
      </c>
      <c r="CA530">
        <f>IF(ISBLANK('Data Entry'!$$530), "", 'Data Entry'!$$530)</f>
      </c>
      <c r="CB530">
        <f>IF(ISBLANK('Data Entry'!$$530), "", 'Data Entry'!$$530)</f>
      </c>
      <c r="CC530">
        <f>IF(ISBLANK('Data Entry'!$$530), "", 'Data Entry'!$$530)</f>
      </c>
      <c r="CD530">
        <f>IF(ISBLANK('Data Entry'!$$530), "", 'Data Entry'!$$530)</f>
      </c>
      <c r="CE530">
        <f>IF(ISBLANK('Data Entry'!$$530), "", 'Data Entry'!$$530)</f>
      </c>
      <c r="CF530">
        <f>IF(ISBLANK('Data Entry'!$$530), "", 'Data Entry'!$$530)</f>
      </c>
      <c r="CG530">
        <f>IF(ISBLANK('Data Entry'!$$530), "", 'Data Entry'!$$530)</f>
      </c>
      <c r="CH530">
        <f>IF(ISBLANK('Data Entry'!$$530), "", 'Data Entry'!$$530)</f>
      </c>
      <c r="CI530">
        <f>IF(ISBLANK('Data Entry'!$$530), "", 'Data Entry'!$$530)</f>
      </c>
      <c r="CJ530">
        <f>IF(ISBLANK('Data Entry'!$$530), "", 'Data Entry'!$$530)</f>
      </c>
      <c r="CK530">
        <f>IF(ISBLANK('Data Entry'!$$530), "", 'Data Entry'!$$530)</f>
      </c>
      <c r="CL530">
        <f>IF(ISBLANK('Data Entry'!$$530), "", 'Data Entry'!$$530)</f>
      </c>
      <c r="CM530">
        <f>IF(ISBLANK('Data Entry'!$$530), "", 'Data Entry'!$$530)</f>
      </c>
      <c r="CN530">
        <f>IF(ISBLANK('Data Entry'!$$530), "", 'Data Entry'!$$530)</f>
      </c>
      <c r="CO530">
        <f>IF(ISBLANK('Data Entry'!$$530), "", 'Data Entry'!$$530)</f>
      </c>
      <c r="CP530">
        <f>IF(ISBLANK('Data Entry'!$$530), "", 'Data Entry'!$$530)</f>
      </c>
      <c r="CQ530">
        <f>IF(ISBLANK('Data Entry'!$$530), "", 'Data Entry'!$$530)</f>
      </c>
      <c r="CR530">
        <f>IF(ISBLANK('Data Entry'!$ $530), "", 'Data Entry'!$ $530)</f>
      </c>
      <c r="CS530">
        <f>IF(ISBLANK('Data Entry'!$¡$530), "", 'Data Entry'!$¡$530)</f>
      </c>
      <c r="CT530">
        <f>IF(ISBLANK('Data Entry'!$¢$530), "", 'Data Entry'!$¢$530)</f>
      </c>
      <c r="CU530">
        <f>IF(ISBLANK('Data Entry'!$£$530), "", 'Data Entry'!$£$530)</f>
      </c>
      <c r="CV530">
        <f>IF(ISBLANK('Data Entry'!$¤$530), "", 'Data Entry'!$¤$530)</f>
      </c>
      <c r="CW530">
        <f>IF(ISBLANK('Data Entry'!$¥$530), "", 'Data Entry'!$¥$530)</f>
      </c>
      <c r="CX530">
        <f>IF(ISBLANK('Data Entry'!$¦$530), "", 'Data Entry'!$¦$530)</f>
      </c>
      <c r="CY530">
        <f>IF(ISBLANK('Data Entry'!$§$530), "", 'Data Entry'!$§$530)</f>
      </c>
      <c r="CZ530">
        <f>IF(ISBLANK('Data Entry'!$¨$530), "", 'Data Entry'!$¨$530)</f>
      </c>
      <c r="DA530">
        <f>IF(ISBLANK('Data Entry'!$©$530), "", 'Data Entry'!$©$530)</f>
      </c>
      <c r="DB530">
        <f>IF(ISBLANK('Data Entry'!$ª$530), "", 'Data Entry'!$ª$530)</f>
      </c>
      <c r="DC530">
        <f>IF(ISBLANK('Data Entry'!$«$530), "", 'Data Entry'!$«$530)</f>
      </c>
      <c r="DD530">
        <f>IF(ISBLANK('Data Entry'!$¬$530), "", 'Data Entry'!$¬$530)</f>
      </c>
      <c r="DE530">
        <f>IF(ISBLANK('Data Entry'!$­$530), "", 'Data Entry'!$­$530)</f>
      </c>
      <c r="DF530">
        <f>IF(ISBLANK('Data Entry'!$®$530), "", 'Data Entry'!$®$530)</f>
      </c>
      <c r="DG530">
        <f>IF(ISBLANK('Data Entry'!$¯$530), "", 'Data Entry'!$¯$530)</f>
      </c>
      <c r="DH530">
        <f>IF(ISBLANK('Data Entry'!$°$530), "", 'Data Entry'!$°$530)</f>
      </c>
      <c r="DI530">
        <f>IF(ISBLANK('Data Entry'!$±$530), "", 'Data Entry'!$±$530)</f>
      </c>
      <c r="DJ530">
        <f>IF(ISBLANK('Data Entry'!$²$530), "", 'Data Entry'!$²$530)</f>
      </c>
      <c r="DK530">
        <f>IF(ISBLANK('Data Entry'!$³$530), "", 'Data Entry'!$³$530)</f>
      </c>
      <c r="DL530">
        <f>IF(ISBLANK('Data Entry'!$´$530), "", 'Data Entry'!$´$530)</f>
      </c>
      <c r="DM530">
        <f>IF(ISBLANK('Data Entry'!$µ$530), "", 'Data Entry'!$µ$530)</f>
      </c>
      <c r="DN530">
        <f>IF(ISBLANK('Data Entry'!$¶$530), "", 'Data Entry'!$¶$530)</f>
      </c>
      <c r="DO530">
        <f>IF(ISBLANK('Data Entry'!$·$530), "", 'Data Entry'!$·$530)</f>
      </c>
      <c r="DP530">
        <f>IF(ISBLANK('Data Entry'!$¸$530), "", 'Data Entry'!$¸$530)</f>
      </c>
      <c r="DQ530">
        <f>IF(ISBLANK('Data Entry'!$¹$530), "", 'Data Entry'!$¹$530)</f>
      </c>
      <c r="DR530">
        <f>IF(ISBLANK('Data Entry'!$º$530), "", 'Data Entry'!$º$530)</f>
      </c>
      <c r="DS530">
        <f>IF(ISBLANK('Data Entry'!$»$530), "", 'Data Entry'!$»$530)</f>
      </c>
      <c r="DT530">
        <f>IF(ISBLANK('Data Entry'!$¼$530), "", 'Data Entry'!$¼$530)</f>
      </c>
      <c r="DU530">
        <f>IF(ISBLANK('Data Entry'!$½$530), "", 'Data Entry'!$½$530)</f>
      </c>
      <c r="DV530">
        <f>IF(ISBLANK('Data Entry'!$¾$530), "", 'Data Entry'!$¾$530)</f>
      </c>
      <c r="DW530">
        <f>IF(ISBLANK('Data Entry'!$¿$530), "", 'Data Entry'!$¿$530)</f>
      </c>
      <c r="DX530">
        <f>IF(ISBLANK('Data Entry'!$À$530), "", 'Data Entry'!$À$530)</f>
      </c>
      <c r="DY530">
        <f>IF(ISBLANK('Data Entry'!$Á$530), "", 'Data Entry'!$Á$530)</f>
      </c>
      <c r="DZ530">
        <f>IF(ISBLANK('Data Entry'!$Â$530), "", 'Data Entry'!$Â$530)</f>
      </c>
      <c r="EA530">
        <f>IF(ISBLANK('Data Entry'!$Ã$530), "", 'Data Entry'!$Ã$530)</f>
      </c>
      <c r="EB530">
        <f>IF(ISBLANK('Data Entry'!$Ä$530), "", 'Data Entry'!$Ä$530)</f>
      </c>
      <c r="EC530">
        <f>IF(ISBLANK('Data Entry'!$Å$530), "", 'Data Entry'!$Å$530)</f>
      </c>
      <c r="ED530">
        <f>IF(ISBLANK('Data Entry'!$Æ$530), "", 'Data Entry'!$Æ$530)</f>
      </c>
      <c r="EE530">
        <f>IF(ISBLANK('Data Entry'!$Ç$530), "", 'Data Entry'!$Ç$530)</f>
      </c>
      <c r="EF530">
        <f>IF(ISBLANK('Data Entry'!$È$530), "", 'Data Entry'!$È$530)</f>
      </c>
      <c r="EG530">
        <f>IF(ISBLANK('Data Entry'!$É$530), "", 'Data Entry'!$É$530)</f>
      </c>
      <c r="EH530">
        <f>IF(ISBLANK('Data Entry'!$Ê$530), "", 'Data Entry'!$Ê$530)</f>
      </c>
      <c r="EI530">
        <f>IF(ISBLANK('Data Entry'!$Ë$530), "", 'Data Entry'!$Ë$530)</f>
      </c>
      <c r="EJ530">
        <f>IF(ISBLANK('Data Entry'!$Ì$530), "", 'Data Entry'!$Ì$530)</f>
      </c>
      <c r="EK530">
        <f>IF(ISBLANK('Data Entry'!$Í$530), "", 'Data Entry'!$Í$530)</f>
      </c>
      <c r="EL530">
        <f>IF(ISBLANK('Data Entry'!$Î$530), "", 'Data Entry'!$Î$530)</f>
      </c>
      <c r="EM530">
        <f>IF(ISBLANK('Data Entry'!$Ï$530), "", 'Data Entry'!$Ï$530)</f>
      </c>
      <c r="EN530">
        <f>IF(ISBLANK('Data Entry'!$Ð$530), "", 'Data Entry'!$Ð$530)</f>
      </c>
      <c r="EO530">
        <f>IF(ISBLANK('Data Entry'!$Ñ$530), "", 'Data Entry'!$Ñ$530)</f>
      </c>
      <c r="EP530">
        <f>IF(ISBLANK('Data Entry'!$Ò$530), "", 'Data Entry'!$Ò$530)</f>
      </c>
      <c r="EQ530">
        <f>IF(ISBLANK('Data Entry'!$Ó$530), "", 'Data Entry'!$Ó$530)</f>
      </c>
      <c r="ER530">
        <f>IF(ISBLANK('Data Entry'!$Ô$530), "", 'Data Entry'!$Ô$530)</f>
      </c>
      <c r="ES530">
        <f>IF(ISBLANK('Data Entry'!$Õ$530), "", 'Data Entry'!$Õ$530)</f>
      </c>
      <c r="ET530">
        <f>IF(ISBLANK('Data Entry'!$Ö$530), "", 'Data Entry'!$Ö$530)</f>
      </c>
      <c r="EU530">
        <f>IF(ISBLANK('Data Entry'!$×$530), "", 'Data Entry'!$×$530)</f>
      </c>
      <c r="EV530">
        <f>IF(ISBLANK('Data Entry'!$Ø$530), "", 'Data Entry'!$Ø$530)</f>
      </c>
      <c r="EW530">
        <f>IF(ISBLANK('Data Entry'!$Ù$530), "", 'Data Entry'!$Ù$530)</f>
      </c>
      <c r="EX530">
        <f>IF(ISBLANK('Data Entry'!$Ú$530), "", 'Data Entry'!$Ú$530)</f>
      </c>
      <c r="EY530">
        <f>IF(ISBLANK('Data Entry'!$Û$530), "", 'Data Entry'!$Û$530)</f>
      </c>
      <c r="EZ530">
        <f>IF(ISBLANK('Data Entry'!$Ü$530), "", 'Data Entry'!$Ü$530)</f>
      </c>
      <c r="FA530">
        <f>IF(ISBLANK('Data Entry'!$Ý$530), "", 'Data Entry'!$Ý$530)</f>
      </c>
      <c r="FB530">
        <f>IF(ISBLANK('Data Entry'!$Þ$530), "", 'Data Entry'!$Þ$530)</f>
      </c>
      <c r="FC530">
        <f>IF(ISBLANK('Data Entry'!$ß$530), "", 'Data Entry'!$ß$530)</f>
      </c>
      <c r="FD530">
        <f>IF(ISBLANK('Data Entry'!$à$530), "", 'Data Entry'!$à$530)</f>
      </c>
      <c r="FE530">
        <f>IF(ISBLANK('Data Entry'!$á$530), "", 'Data Entry'!$á$530)</f>
      </c>
      <c r="FF530">
        <f>IF(ISBLANK('Data Entry'!$â$530), "", 'Data Entry'!$â$530)</f>
      </c>
      <c r="FG530">
        <f>IF(ISBLANK('Data Entry'!$ã$530), "", 'Data Entry'!$ã$530)</f>
      </c>
      <c r="FH530">
        <f>IF(ISBLANK('Data Entry'!$ä$530), "", 'Data Entry'!$ä$530)</f>
      </c>
      <c r="FI530">
        <f>IF(ISBLANK('Data Entry'!$å$530), "", 'Data Entry'!$å$530)</f>
      </c>
      <c r="FJ530">
        <f>IF(ISBLANK('Data Entry'!$æ$530), "", 'Data Entry'!$æ$530)</f>
      </c>
      <c r="FK530">
        <f>IF(ISBLANK('Data Entry'!$ç$530), "", 'Data Entry'!$ç$530)</f>
      </c>
      <c r="FL530">
        <f>IF(ISBLANK('Data Entry'!$è$530), "", 'Data Entry'!$è$530)</f>
      </c>
      <c r="FM530">
        <f>IF(ISBLANK('Data Entry'!$é$530), "", 'Data Entry'!$é$530)</f>
      </c>
      <c r="FN530">
        <f>IF(ISBLANK('Data Entry'!$ê$530), "", 'Data Entry'!$ê$530)</f>
      </c>
      <c r="FO530">
        <f>IF(ISBLANK('Data Entry'!$ë$530), "", 'Data Entry'!$ë$530)</f>
      </c>
      <c r="FP530">
        <f>IF(ISBLANK('Data Entry'!$ì$530), "", 'Data Entry'!$ì$530)</f>
      </c>
      <c r="FQ530">
        <f>IF(ISBLANK('Data Entry'!$í$530), "", 'Data Entry'!$í$530)</f>
      </c>
      <c r="FR530">
        <f>IF(ISBLANK('Data Entry'!$î$530), "", 'Data Entry'!$î$530)</f>
      </c>
      <c r="FS530">
        <f>IF(ISBLANK('Data Entry'!$ï$530), "", 'Data Entry'!$ï$530)</f>
      </c>
      <c r="FT530">
        <f>IF(ISBLANK('Data Entry'!$ð$530), "", 'Data Entry'!$ð$530)</f>
      </c>
      <c r="FU530">
        <f>IF(ISBLANK('Data Entry'!$ñ$530), "", 'Data Entry'!$ñ$530)</f>
      </c>
      <c r="FV530">
        <f>IF(ISBLANK('Data Entry'!$ò$530), "", 'Data Entry'!$ò$530)</f>
      </c>
      <c r="FW530">
        <f>IF(ISBLANK('Data Entry'!$ó$530), "", 'Data Entry'!$ó$530)</f>
      </c>
      <c r="FX530">
        <f>IF(ISBLANK('Data Entry'!$ô$530), "", 'Data Entry'!$ô$530)</f>
      </c>
      <c r="FY530">
        <f>IF(ISBLANK('Data Entry'!$õ$530), "", 'Data Entry'!$õ$530)</f>
      </c>
      <c r="FZ530">
        <f>IF(ISBLANK('Data Entry'!$ö$530), "", 'Data Entry'!$ö$530)</f>
      </c>
      <c r="GA530">
        <f>IF(ISBLANK('Data Entry'!$÷$530), "", 'Data Entry'!$÷$530)</f>
      </c>
      <c r="GB530">
        <f>IF(ISBLANK('Data Entry'!$ø$530), "", 'Data Entry'!$ø$530)</f>
      </c>
      <c r="GC530">
        <f>IF(ISBLANK('Data Entry'!$ù$530), "", 'Data Entry'!$ù$530)</f>
      </c>
      <c r="GD530">
        <f>IF(ISBLANK('Data Entry'!$ú$530), "", 'Data Entry'!$ú$530)</f>
      </c>
      <c r="GE530">
        <f>IF(ISBLANK('Data Entry'!$û$530), "", 'Data Entry'!$û$530)</f>
      </c>
      <c r="GF530">
        <f>IF(ISBLANK('Data Entry'!$ü$530), "", 'Data Entry'!$ü$530)</f>
      </c>
      <c r="GG530">
        <f>IF(ISBLANK('Data Entry'!$ý$530), "", 'Data Entry'!$ý$530)</f>
      </c>
      <c r="GH530">
        <f>IF(ISBLANK('Data Entry'!$þ$530), "", 'Data Entry'!$þ$530)</f>
      </c>
      <c r="GI530">
        <f>IF(ISBLANK('Data Entry'!$ÿ$530), "", 'Data Entry'!$ÿ$530)</f>
      </c>
      <c r="GJ530">
        <f>IF(ISBLANK('Data Entry'!$Ā$530), "", 'Data Entry'!$Ā$530)</f>
      </c>
      <c r="GK530">
        <f>IF(ISBLANK('Data Entry'!$ā$530), "", 'Data Entry'!$ā$530)</f>
      </c>
      <c r="GL530">
        <f>IF(ISBLANK('Data Entry'!$Ă$530), "", 'Data Entry'!$Ă$530)</f>
      </c>
      <c r="GM530">
        <f>IF(ISBLANK('Data Entry'!$ă$530), "", 'Data Entry'!$ă$530)</f>
      </c>
      <c r="GN530">
        <f>IF(ISBLANK('Data Entry'!$Ą$530), "", 'Data Entry'!$Ą$530)</f>
      </c>
      <c r="GO530">
        <f>IF(ISBLANK('Data Entry'!$ą$530), "", 'Data Entry'!$ą$530)</f>
      </c>
      <c r="GP530">
        <f>IF(ISBLANK('Data Entry'!$Ć$530), "", 'Data Entry'!$Ć$530)</f>
      </c>
      <c r="GQ530">
        <f>IF(ISBLANK('Data Entry'!$ć$530), "", 'Data Entry'!$ć$530)</f>
      </c>
      <c r="GR530">
        <f>IF(ISBLANK('Data Entry'!$Ĉ$530), "", 'Data Entry'!$Ĉ$530)</f>
      </c>
      <c r="GS530">
        <f>IF(ISBLANK('Data Entry'!$ĉ$530), "", 'Data Entry'!$ĉ$530)</f>
      </c>
      <c r="GT530">
        <f>IF(ISBLANK('Data Entry'!$Ċ$530), "", 'Data Entry'!$Ċ$530)</f>
      </c>
      <c r="GU530">
        <f>IF(ISBLANK('Data Entry'!$ċ$530), "", 'Data Entry'!$ċ$530)</f>
      </c>
      <c r="GV530">
        <f>IF(ISBLANK('Data Entry'!$Č$530), "", 'Data Entry'!$Č$530)</f>
      </c>
      <c r="GW530">
        <f>IF(ISBLANK('Data Entry'!$č$530), "", 'Data Entry'!$č$530)</f>
      </c>
      <c r="GX530">
        <f>IF(ISBLANK('Data Entry'!$Ď$530), "", 'Data Entry'!$Ď$530)</f>
      </c>
      <c r="GY530">
        <f>IF(ISBLANK('Data Entry'!$ď$530), "", 'Data Entry'!$ď$530)</f>
      </c>
      <c r="GZ530">
        <f>IF(ISBLANK('Data Entry'!$Đ$530), "", 'Data Entry'!$Đ$530)</f>
      </c>
      <c r="HA530">
        <f>IF(ISBLANK('Data Entry'!$đ$530), "", 'Data Entry'!$đ$530)</f>
      </c>
      <c r="HB530">
        <f>IF(ISBLANK('Data Entry'!$Ē$530), "", 'Data Entry'!$Ē$530)</f>
      </c>
      <c r="HC530">
        <f>IF(ISBLANK('Data Entry'!$ē$530), "", 'Data Entry'!$ē$530)</f>
      </c>
      <c r="HD530">
        <f>IF(ISBLANK('Data Entry'!$Ĕ$530), "", 'Data Entry'!$Ĕ$530)</f>
      </c>
      <c r="HE530">
        <f>IF(ISBLANK('Data Entry'!$ĕ$530), "", 'Data Entry'!$ĕ$530)</f>
      </c>
      <c r="HF530">
        <f>IF(ISBLANK('Data Entry'!$Ė$530), "", 'Data Entry'!$Ė$530)</f>
      </c>
      <c r="HG530">
        <f>IF(ISBLANK('Data Entry'!$ė$530), "", 'Data Entry'!$ė$530)</f>
      </c>
      <c r="HH530">
        <f>IF(ISBLANK('Data Entry'!$Ę$530), "", 'Data Entry'!$Ę$530)</f>
      </c>
      <c r="HI530">
        <f>IF(ISBLANK('Data Entry'!$ę$530), "", 'Data Entry'!$ę$530)</f>
      </c>
      <c r="HJ530">
        <f>IF(ISBLANK('Data Entry'!$Ě$530), "", 'Data Entry'!$Ě$530)</f>
      </c>
      <c r="HK530">
        <f>IF(ISBLANK('Data Entry'!$ě$530), "", 'Data Entry'!$ě$530)</f>
      </c>
      <c r="HL530">
        <f>IF(ISBLANK('Data Entry'!$Ĝ$530), "", 'Data Entry'!$Ĝ$530)</f>
      </c>
      <c r="HM530">
        <f>IF(ISBLANK('Data Entry'!$ĝ$530), "", 'Data Entry'!$ĝ$530)</f>
      </c>
      <c r="HN530">
        <f>IF(ISBLANK('Data Entry'!$Ğ$530), "", 'Data Entry'!$Ğ$530)</f>
      </c>
      <c r="HO530">
        <f>IF(ISBLANK('Data Entry'!$ğ$530), "", 'Data Entry'!$ğ$530)</f>
      </c>
      <c r="HP530">
        <f>IF(ISBLANK('Data Entry'!$Ġ$530), "", 'Data Entry'!$Ġ$530)</f>
      </c>
      <c r="HQ530">
        <f>IF(ISBLANK('Data Entry'!$ġ$530), "", 'Data Entry'!$ġ$530)</f>
      </c>
      <c r="HR530">
        <f>IF(ISBLANK('Data Entry'!$Ģ$530), "", 'Data Entry'!$Ģ$530)</f>
      </c>
      <c r="HS530">
        <f>IF(ISBLANK('Data Entry'!$ģ$530), "", 'Data Entry'!$ģ$530)</f>
      </c>
      <c r="HT530">
        <f>IF(ISBLANK('Data Entry'!$Ĥ$530), "", 'Data Entry'!$Ĥ$530)</f>
      </c>
      <c r="HU530">
        <f>IF(ISBLANK('Data Entry'!$ĥ$530), "", 'Data Entry'!$ĥ$530)</f>
      </c>
      <c r="HV530">
        <f>IF(ISBLANK('Data Entry'!$Ħ$530), "", 'Data Entry'!$Ħ$530)</f>
      </c>
      <c r="HW530">
        <f>IF(ISBLANK('Data Entry'!$ħ$530), "", 'Data Entry'!$ħ$530)</f>
      </c>
      <c r="HX530">
        <f>IF(ISBLANK('Data Entry'!$Ĩ$530), "", 'Data Entry'!$Ĩ$530)</f>
      </c>
      <c r="HY530">
        <f>IF(ISBLANK('Data Entry'!$ĩ$530), "", 'Data Entry'!$ĩ$530)</f>
      </c>
      <c r="HZ530">
        <f>IF(ISBLANK('Data Entry'!$Ī$530), "", 'Data Entry'!$Ī$530)</f>
      </c>
      <c r="IA530">
        <f>IF(ISBLANK('Data Entry'!$ī$530), "", 'Data Entry'!$ī$530)</f>
      </c>
      <c r="IB530">
        <f>IF(ISBLANK('Data Entry'!$Ĭ$530), "", 'Data Entry'!$Ĭ$530)</f>
      </c>
      <c r="IC530">
        <f>IF(ISBLANK('Data Entry'!$ĭ$530), "", 'Data Entry'!$ĭ$530)</f>
      </c>
      <c r="ID530">
        <f>IF(ISBLANK('Data Entry'!$Į$530), "", 'Data Entry'!$Į$530)</f>
      </c>
      <c r="IE530">
        <f>IF(ISBLANK('Data Entry'!$į$530), "", 'Data Entry'!$į$530)</f>
      </c>
      <c r="IF530">
        <f>IF(ISBLANK('Data Entry'!$İ$530), "", 'Data Entry'!$İ$530)</f>
      </c>
      <c r="IG530">
        <f>IF(ISBLANK('Data Entry'!$ı$530), "", 'Data Entry'!$ı$530)</f>
      </c>
      <c r="IH530">
        <f>IF(ISBLANK('Data Entry'!$Ĳ$530), "", 'Data Entry'!$Ĳ$530)</f>
      </c>
      <c r="II530">
        <f>IF(ISBLANK('Data Entry'!$ĳ$530), "", 'Data Entry'!$ĳ$530)</f>
      </c>
      <c r="IJ530">
        <f>IF(ISBLANK('Data Entry'!$Ĵ$530), "", 'Data Entry'!$Ĵ$530)</f>
      </c>
      <c r="IK530">
        <f>IF(ISBLANK('Data Entry'!$ĵ$530), "", 'Data Entry'!$ĵ$530)</f>
      </c>
      <c r="IL530">
        <f>IF(ISBLANK('Data Entry'!$Ķ$530), "", 'Data Entry'!$Ķ$530)</f>
      </c>
      <c r="IM530">
        <f>IF(ISBLANK('Data Entry'!$ķ$530), "", 'Data Entry'!$ķ$530)</f>
      </c>
      <c r="IN530">
        <f>IF(ISBLANK('Data Entry'!$ĸ$530), "", 'Data Entry'!$ĸ$530)</f>
      </c>
      <c r="IO530">
        <f>IF(ISBLANK('Data Entry'!$Ĺ$530), "", 'Data Entry'!$Ĺ$530)</f>
      </c>
      <c r="IP530">
        <f>IF(ISBLANK('Data Entry'!$ĺ$530), "", 'Data Entry'!$ĺ$530)</f>
      </c>
      <c r="IQ530">
        <f>IF(ISBLANK('Data Entry'!$Ļ$530), "", 'Data Entry'!$Ļ$530)</f>
      </c>
      <c r="IR530">
        <f>IF(ISBLANK('Data Entry'!$ļ$530), "", 'Data Entry'!$ļ$530)</f>
      </c>
      <c r="IS530">
        <f>IF(ISBLANK('Data Entry'!$Ľ$530), "", 'Data Entry'!$Ľ$530)</f>
      </c>
      <c r="IT530">
        <f>IF(ISBLANK('Data Entry'!$ľ$530), "", 'Data Entry'!$ľ$530)</f>
      </c>
    </row>
    <row r="531" spans="1:254" x14ac:dyDescent="0.25">
      <c r="A531">
        <f>IF(ISBLANK('Data Entry'!$A$531), "", 'Data Entry'!$A$531)</f>
      </c>
      <c r="B531">
        <f>IF(ISBLANK('Data Entry'!$B$531), "", 'Data Entry'!$B$531)</f>
      </c>
      <c r="C531">
        <f>IF(ISBLANK('Data Entry'!$C$531), "", 'Data Entry'!$C$531)</f>
      </c>
      <c r="D531">
        <f>IF(ISBLANK('Data Entry'!$D$531), "", 'Data Entry'!$D$531)</f>
      </c>
      <c r="E531">
        <f>IF(ISBLANK('Data Entry'!$E$531), "", 'Data Entry'!$E$531)</f>
      </c>
      <c r="F531">
        <f>IF(ISBLANK('Data Entry'!$F$531), "", 'Data Entry'!$F$531)</f>
      </c>
      <c r="G531">
        <f>IF(ISBLANK('Data Entry'!$G$531), "", 'Data Entry'!$G$531)</f>
      </c>
      <c r="H531">
        <f>IF(ISBLANK('Data Entry'!$H$531), "", 'Data Entry'!$H$531)</f>
      </c>
      <c r="I531">
        <f>IF(ISBLANK('Data Entry'!$I$531), "", 'Data Entry'!$I$531)</f>
      </c>
      <c r="J531">
        <f>IF(ISBLANK('Data Entry'!$J$531), "", 'Data Entry'!$J$531)</f>
      </c>
      <c r="K531">
        <f>IF(ISBLANK('Data Entry'!$K$531), "", 'Data Entry'!$K$531)</f>
      </c>
      <c r="L531">
        <f>IF(ISBLANK('Data Entry'!$L$531), "", 'Data Entry'!$L$531)</f>
      </c>
      <c r="M531">
        <f>IF(ISBLANK('Data Entry'!$M$531), "", 'Data Entry'!$M$531)</f>
      </c>
      <c r="N531">
        <f>IF(ISBLANK('Data Entry'!$N$531), "", 'Data Entry'!$N$531)</f>
      </c>
      <c r="O531">
        <f>IF(ISBLANK('Data Entry'!$O$531), "", 'Data Entry'!$O$531)</f>
      </c>
      <c r="P531">
        <f>IF(ISBLANK('Data Entry'!$P$531), "", 'Data Entry'!$P$531)</f>
      </c>
      <c r="Q531">
        <f>IF(ISBLANK('Data Entry'!$Q$531), "", 'Data Entry'!$Q$531)</f>
      </c>
      <c r="R531">
        <f>IF(ISBLANK('Data Entry'!$R$531), "", 'Data Entry'!$R$531)</f>
      </c>
      <c r="S531">
        <f>IF(ISBLANK('Data Entry'!$S$531), "", 'Data Entry'!$S$531)</f>
      </c>
      <c r="T531">
        <f>IF(ISBLANK('Data Entry'!$T$531), "", 'Data Entry'!$T$531)</f>
      </c>
      <c r="U531">
        <f>IF(ISBLANK('Data Entry'!$U$531), "", 'Data Entry'!$U$531)</f>
      </c>
      <c r="V531">
        <f>IF(ISBLANK('Data Entry'!$V$531), "", 'Data Entry'!$V$531)</f>
      </c>
      <c r="W531">
        <f>IF(ISBLANK('Data Entry'!$W$531), "", 'Data Entry'!$W$531)</f>
      </c>
      <c r="X531">
        <f>IF(ISBLANK('Data Entry'!$X$531), "", 'Data Entry'!$X$531)</f>
      </c>
      <c r="Y531">
        <f>IF(ISBLANK('Data Entry'!$Y$531), "", 'Data Entry'!$Y$531)</f>
      </c>
      <c r="Z531">
        <f>IF(ISBLANK('Data Entry'!$Z$531), "", 'Data Entry'!$Z$531)</f>
      </c>
      <c r="AA531">
        <f>IF(ISBLANK('Data Entry'!$[$531), "", 'Data Entry'!$[$531)</f>
      </c>
      <c r="AB531">
        <f>IF(ISBLANK('Data Entry'!$\$531), "", 'Data Entry'!$\$531)</f>
      </c>
      <c r="AC531">
        <f>IF(ISBLANK('Data Entry'!$]$531), "", 'Data Entry'!$]$531)</f>
      </c>
      <c r="AD531">
        <f>IF(ISBLANK('Data Entry'!$^$531), "", 'Data Entry'!$^$531)</f>
      </c>
      <c r="AE531">
        <f>IF(ISBLANK('Data Entry'!$_$531), "", 'Data Entry'!$_$531)</f>
      </c>
      <c r="AF531">
        <f>IF(ISBLANK('Data Entry'!$`$531), "", 'Data Entry'!$`$531)</f>
      </c>
      <c r="AG531">
        <f>IF(ISBLANK('Data Entry'!$a$531), "", 'Data Entry'!$a$531)</f>
      </c>
      <c r="AH531">
        <f>IF(ISBLANK('Data Entry'!$b$531), "", 'Data Entry'!$b$531)</f>
      </c>
      <c r="AI531">
        <f>IF(ISBLANK('Data Entry'!$c$531), "", 'Data Entry'!$c$531)</f>
      </c>
      <c r="AJ531">
        <f>IF(ISBLANK('Data Entry'!$d$531), "", 'Data Entry'!$d$531)</f>
      </c>
      <c r="AK531">
        <f>IF(ISBLANK('Data Entry'!$e$531), "", 'Data Entry'!$e$531)</f>
      </c>
      <c r="AL531">
        <f>IF(ISBLANK('Data Entry'!$f$531), "", 'Data Entry'!$f$531)</f>
      </c>
      <c r="AM531">
        <f>IF(ISBLANK('Data Entry'!$g$531), "", 'Data Entry'!$g$531)</f>
      </c>
      <c r="AN531">
        <f>IF(ISBLANK('Data Entry'!$h$531), "", 'Data Entry'!$h$531)</f>
      </c>
      <c r="AO531">
        <f>IF(ISBLANK('Data Entry'!$i$531), "", 'Data Entry'!$i$531)</f>
      </c>
      <c r="AP531">
        <f>IF(ISBLANK('Data Entry'!$j$531), "", 'Data Entry'!$j$531)</f>
      </c>
      <c r="AQ531">
        <f>IF(ISBLANK('Data Entry'!$k$531), "", 'Data Entry'!$k$531)</f>
      </c>
      <c r="AR531">
        <f>IF(ISBLANK('Data Entry'!$l$531), "", 'Data Entry'!$l$531)</f>
      </c>
      <c r="AS531">
        <f>IF(ISBLANK('Data Entry'!$m$531), "", 'Data Entry'!$m$531)</f>
      </c>
      <c r="AT531">
        <f>IF(ISBLANK('Data Entry'!$n$531), "", 'Data Entry'!$n$531)</f>
      </c>
      <c r="AU531">
        <f>IF(ISBLANK('Data Entry'!$o$531), "", 'Data Entry'!$o$531)</f>
      </c>
      <c r="AV531">
        <f>IF(ISBLANK('Data Entry'!$p$531), "", 'Data Entry'!$p$531)</f>
      </c>
      <c r="AW531">
        <f>IF(ISBLANK('Data Entry'!$q$531), "", 'Data Entry'!$q$531)</f>
      </c>
      <c r="AX531">
        <f>IF(ISBLANK('Data Entry'!$r$531), "", 'Data Entry'!$r$531)</f>
      </c>
      <c r="AY531">
        <f>IF(ISBLANK('Data Entry'!$s$531), "", 'Data Entry'!$s$531)</f>
      </c>
      <c r="AZ531">
        <f>IF(ISBLANK('Data Entry'!$t$531), "", 'Data Entry'!$t$531)</f>
      </c>
      <c r="BA531">
        <f>IF(ISBLANK('Data Entry'!$u$531), "", 'Data Entry'!$u$531)</f>
      </c>
      <c r="BB531">
        <f>IF(ISBLANK('Data Entry'!$v$531), "", 'Data Entry'!$v$531)</f>
      </c>
      <c r="BC531">
        <f>IF(ISBLANK('Data Entry'!$w$531), "", 'Data Entry'!$w$531)</f>
      </c>
      <c r="BD531">
        <f>IF(ISBLANK('Data Entry'!$x$531), "", 'Data Entry'!$x$531)</f>
      </c>
      <c r="BE531">
        <f>IF(ISBLANK('Data Entry'!$y$531), "", 'Data Entry'!$y$531)</f>
      </c>
      <c r="BF531">
        <f>IF(ISBLANK('Data Entry'!$z$531), "", 'Data Entry'!$z$531)</f>
      </c>
      <c r="BG531">
        <f>IF(ISBLANK('Data Entry'!${$531), "", 'Data Entry'!${$531)</f>
      </c>
      <c r="BH531">
        <f>IF(ISBLANK('Data Entry'!$|$531), "", 'Data Entry'!$|$531)</f>
      </c>
      <c r="BI531">
        <f>IF(ISBLANK('Data Entry'!$}$531), "", 'Data Entry'!$}$531)</f>
      </c>
      <c r="BJ531">
        <f>IF(ISBLANK('Data Entry'!$~$531), "", 'Data Entry'!$~$531)</f>
      </c>
      <c r="BK531">
        <f>IF(ISBLANK('Data Entry'!$$531), "", 'Data Entry'!$$531)</f>
      </c>
      <c r="BL531">
        <f>IF(ISBLANK('Data Entry'!$$531), "", 'Data Entry'!$$531)</f>
      </c>
      <c r="BM531">
        <f>IF(ISBLANK('Data Entry'!$$531), "", 'Data Entry'!$$531)</f>
      </c>
      <c r="BN531">
        <f>IF(ISBLANK('Data Entry'!$$531), "", 'Data Entry'!$$531)</f>
      </c>
      <c r="BO531">
        <f>IF(ISBLANK('Data Entry'!$$531), "", 'Data Entry'!$$531)</f>
      </c>
      <c r="BP531">
        <f>IF(ISBLANK('Data Entry'!$$531), "", 'Data Entry'!$$531)</f>
      </c>
      <c r="BQ531">
        <f>IF(ISBLANK('Data Entry'!$$531), "", 'Data Entry'!$$531)</f>
      </c>
      <c r="BR531">
        <f>IF(ISBLANK('Data Entry'!$$531), "", 'Data Entry'!$$531)</f>
      </c>
      <c r="BS531">
        <f>IF(ISBLANK('Data Entry'!$$531), "", 'Data Entry'!$$531)</f>
      </c>
      <c r="BT531">
        <f>IF(ISBLANK('Data Entry'!$$531), "", 'Data Entry'!$$531)</f>
      </c>
      <c r="BU531">
        <f>IF(ISBLANK('Data Entry'!$$531), "", 'Data Entry'!$$531)</f>
      </c>
      <c r="BV531">
        <f>IF(ISBLANK('Data Entry'!$$531), "", 'Data Entry'!$$531)</f>
      </c>
      <c r="BW531">
        <f>IF(ISBLANK('Data Entry'!$$531), "", 'Data Entry'!$$531)</f>
      </c>
      <c r="BX531">
        <f>IF(ISBLANK('Data Entry'!$$531), "", 'Data Entry'!$$531)</f>
      </c>
      <c r="BY531">
        <f>IF(ISBLANK('Data Entry'!$$531), "", 'Data Entry'!$$531)</f>
      </c>
      <c r="BZ531">
        <f>IF(ISBLANK('Data Entry'!$$531), "", 'Data Entry'!$$531)</f>
      </c>
      <c r="CA531">
        <f>IF(ISBLANK('Data Entry'!$$531), "", 'Data Entry'!$$531)</f>
      </c>
      <c r="CB531">
        <f>IF(ISBLANK('Data Entry'!$$531), "", 'Data Entry'!$$531)</f>
      </c>
      <c r="CC531">
        <f>IF(ISBLANK('Data Entry'!$$531), "", 'Data Entry'!$$531)</f>
      </c>
      <c r="CD531">
        <f>IF(ISBLANK('Data Entry'!$$531), "", 'Data Entry'!$$531)</f>
      </c>
      <c r="CE531">
        <f>IF(ISBLANK('Data Entry'!$$531), "", 'Data Entry'!$$531)</f>
      </c>
      <c r="CF531">
        <f>IF(ISBLANK('Data Entry'!$$531), "", 'Data Entry'!$$531)</f>
      </c>
      <c r="CG531">
        <f>IF(ISBLANK('Data Entry'!$$531), "", 'Data Entry'!$$531)</f>
      </c>
      <c r="CH531">
        <f>IF(ISBLANK('Data Entry'!$$531), "", 'Data Entry'!$$531)</f>
      </c>
      <c r="CI531">
        <f>IF(ISBLANK('Data Entry'!$$531), "", 'Data Entry'!$$531)</f>
      </c>
      <c r="CJ531">
        <f>IF(ISBLANK('Data Entry'!$$531), "", 'Data Entry'!$$531)</f>
      </c>
      <c r="CK531">
        <f>IF(ISBLANK('Data Entry'!$$531), "", 'Data Entry'!$$531)</f>
      </c>
      <c r="CL531">
        <f>IF(ISBLANK('Data Entry'!$$531), "", 'Data Entry'!$$531)</f>
      </c>
      <c r="CM531">
        <f>IF(ISBLANK('Data Entry'!$$531), "", 'Data Entry'!$$531)</f>
      </c>
      <c r="CN531">
        <f>IF(ISBLANK('Data Entry'!$$531), "", 'Data Entry'!$$531)</f>
      </c>
      <c r="CO531">
        <f>IF(ISBLANK('Data Entry'!$$531), "", 'Data Entry'!$$531)</f>
      </c>
      <c r="CP531">
        <f>IF(ISBLANK('Data Entry'!$$531), "", 'Data Entry'!$$531)</f>
      </c>
      <c r="CQ531">
        <f>IF(ISBLANK('Data Entry'!$$531), "", 'Data Entry'!$$531)</f>
      </c>
      <c r="CR531">
        <f>IF(ISBLANK('Data Entry'!$ $531), "", 'Data Entry'!$ $531)</f>
      </c>
      <c r="CS531">
        <f>IF(ISBLANK('Data Entry'!$¡$531), "", 'Data Entry'!$¡$531)</f>
      </c>
      <c r="CT531">
        <f>IF(ISBLANK('Data Entry'!$¢$531), "", 'Data Entry'!$¢$531)</f>
      </c>
      <c r="CU531">
        <f>IF(ISBLANK('Data Entry'!$£$531), "", 'Data Entry'!$£$531)</f>
      </c>
      <c r="CV531">
        <f>IF(ISBLANK('Data Entry'!$¤$531), "", 'Data Entry'!$¤$531)</f>
      </c>
      <c r="CW531">
        <f>IF(ISBLANK('Data Entry'!$¥$531), "", 'Data Entry'!$¥$531)</f>
      </c>
      <c r="CX531">
        <f>IF(ISBLANK('Data Entry'!$¦$531), "", 'Data Entry'!$¦$531)</f>
      </c>
      <c r="CY531">
        <f>IF(ISBLANK('Data Entry'!$§$531), "", 'Data Entry'!$§$531)</f>
      </c>
      <c r="CZ531">
        <f>IF(ISBLANK('Data Entry'!$¨$531), "", 'Data Entry'!$¨$531)</f>
      </c>
      <c r="DA531">
        <f>IF(ISBLANK('Data Entry'!$©$531), "", 'Data Entry'!$©$531)</f>
      </c>
      <c r="DB531">
        <f>IF(ISBLANK('Data Entry'!$ª$531), "", 'Data Entry'!$ª$531)</f>
      </c>
      <c r="DC531">
        <f>IF(ISBLANK('Data Entry'!$«$531), "", 'Data Entry'!$«$531)</f>
      </c>
      <c r="DD531">
        <f>IF(ISBLANK('Data Entry'!$¬$531), "", 'Data Entry'!$¬$531)</f>
      </c>
      <c r="DE531">
        <f>IF(ISBLANK('Data Entry'!$­$531), "", 'Data Entry'!$­$531)</f>
      </c>
      <c r="DF531">
        <f>IF(ISBLANK('Data Entry'!$®$531), "", 'Data Entry'!$®$531)</f>
      </c>
      <c r="DG531">
        <f>IF(ISBLANK('Data Entry'!$¯$531), "", 'Data Entry'!$¯$531)</f>
      </c>
      <c r="DH531">
        <f>IF(ISBLANK('Data Entry'!$°$531), "", 'Data Entry'!$°$531)</f>
      </c>
      <c r="DI531">
        <f>IF(ISBLANK('Data Entry'!$±$531), "", 'Data Entry'!$±$531)</f>
      </c>
      <c r="DJ531">
        <f>IF(ISBLANK('Data Entry'!$²$531), "", 'Data Entry'!$²$531)</f>
      </c>
      <c r="DK531">
        <f>IF(ISBLANK('Data Entry'!$³$531), "", 'Data Entry'!$³$531)</f>
      </c>
      <c r="DL531">
        <f>IF(ISBLANK('Data Entry'!$´$531), "", 'Data Entry'!$´$531)</f>
      </c>
      <c r="DM531">
        <f>IF(ISBLANK('Data Entry'!$µ$531), "", 'Data Entry'!$µ$531)</f>
      </c>
      <c r="DN531">
        <f>IF(ISBLANK('Data Entry'!$¶$531), "", 'Data Entry'!$¶$531)</f>
      </c>
      <c r="DO531">
        <f>IF(ISBLANK('Data Entry'!$·$531), "", 'Data Entry'!$·$531)</f>
      </c>
      <c r="DP531">
        <f>IF(ISBLANK('Data Entry'!$¸$531), "", 'Data Entry'!$¸$531)</f>
      </c>
      <c r="DQ531">
        <f>IF(ISBLANK('Data Entry'!$¹$531), "", 'Data Entry'!$¹$531)</f>
      </c>
      <c r="DR531">
        <f>IF(ISBLANK('Data Entry'!$º$531), "", 'Data Entry'!$º$531)</f>
      </c>
      <c r="DS531">
        <f>IF(ISBLANK('Data Entry'!$»$531), "", 'Data Entry'!$»$531)</f>
      </c>
      <c r="DT531">
        <f>IF(ISBLANK('Data Entry'!$¼$531), "", 'Data Entry'!$¼$531)</f>
      </c>
      <c r="DU531">
        <f>IF(ISBLANK('Data Entry'!$½$531), "", 'Data Entry'!$½$531)</f>
      </c>
      <c r="DV531">
        <f>IF(ISBLANK('Data Entry'!$¾$531), "", 'Data Entry'!$¾$531)</f>
      </c>
      <c r="DW531">
        <f>IF(ISBLANK('Data Entry'!$¿$531), "", 'Data Entry'!$¿$531)</f>
      </c>
      <c r="DX531">
        <f>IF(ISBLANK('Data Entry'!$À$531), "", 'Data Entry'!$À$531)</f>
      </c>
      <c r="DY531">
        <f>IF(ISBLANK('Data Entry'!$Á$531), "", 'Data Entry'!$Á$531)</f>
      </c>
      <c r="DZ531">
        <f>IF(ISBLANK('Data Entry'!$Â$531), "", 'Data Entry'!$Â$531)</f>
      </c>
      <c r="EA531">
        <f>IF(ISBLANK('Data Entry'!$Ã$531), "", 'Data Entry'!$Ã$531)</f>
      </c>
      <c r="EB531">
        <f>IF(ISBLANK('Data Entry'!$Ä$531), "", 'Data Entry'!$Ä$531)</f>
      </c>
      <c r="EC531">
        <f>IF(ISBLANK('Data Entry'!$Å$531), "", 'Data Entry'!$Å$531)</f>
      </c>
      <c r="ED531">
        <f>IF(ISBLANK('Data Entry'!$Æ$531), "", 'Data Entry'!$Æ$531)</f>
      </c>
      <c r="EE531">
        <f>IF(ISBLANK('Data Entry'!$Ç$531), "", 'Data Entry'!$Ç$531)</f>
      </c>
      <c r="EF531">
        <f>IF(ISBLANK('Data Entry'!$È$531), "", 'Data Entry'!$È$531)</f>
      </c>
      <c r="EG531">
        <f>IF(ISBLANK('Data Entry'!$É$531), "", 'Data Entry'!$É$531)</f>
      </c>
      <c r="EH531">
        <f>IF(ISBLANK('Data Entry'!$Ê$531), "", 'Data Entry'!$Ê$531)</f>
      </c>
      <c r="EI531">
        <f>IF(ISBLANK('Data Entry'!$Ë$531), "", 'Data Entry'!$Ë$531)</f>
      </c>
      <c r="EJ531">
        <f>IF(ISBLANK('Data Entry'!$Ì$531), "", 'Data Entry'!$Ì$531)</f>
      </c>
      <c r="EK531">
        <f>IF(ISBLANK('Data Entry'!$Í$531), "", 'Data Entry'!$Í$531)</f>
      </c>
      <c r="EL531">
        <f>IF(ISBLANK('Data Entry'!$Î$531), "", 'Data Entry'!$Î$531)</f>
      </c>
      <c r="EM531">
        <f>IF(ISBLANK('Data Entry'!$Ï$531), "", 'Data Entry'!$Ï$531)</f>
      </c>
      <c r="EN531">
        <f>IF(ISBLANK('Data Entry'!$Ð$531), "", 'Data Entry'!$Ð$531)</f>
      </c>
      <c r="EO531">
        <f>IF(ISBLANK('Data Entry'!$Ñ$531), "", 'Data Entry'!$Ñ$531)</f>
      </c>
      <c r="EP531">
        <f>IF(ISBLANK('Data Entry'!$Ò$531), "", 'Data Entry'!$Ò$531)</f>
      </c>
      <c r="EQ531">
        <f>IF(ISBLANK('Data Entry'!$Ó$531), "", 'Data Entry'!$Ó$531)</f>
      </c>
      <c r="ER531">
        <f>IF(ISBLANK('Data Entry'!$Ô$531), "", 'Data Entry'!$Ô$531)</f>
      </c>
      <c r="ES531">
        <f>IF(ISBLANK('Data Entry'!$Õ$531), "", 'Data Entry'!$Õ$531)</f>
      </c>
      <c r="ET531">
        <f>IF(ISBLANK('Data Entry'!$Ö$531), "", 'Data Entry'!$Ö$531)</f>
      </c>
      <c r="EU531">
        <f>IF(ISBLANK('Data Entry'!$×$531), "", 'Data Entry'!$×$531)</f>
      </c>
      <c r="EV531">
        <f>IF(ISBLANK('Data Entry'!$Ø$531), "", 'Data Entry'!$Ø$531)</f>
      </c>
      <c r="EW531">
        <f>IF(ISBLANK('Data Entry'!$Ù$531), "", 'Data Entry'!$Ù$531)</f>
      </c>
      <c r="EX531">
        <f>IF(ISBLANK('Data Entry'!$Ú$531), "", 'Data Entry'!$Ú$531)</f>
      </c>
      <c r="EY531">
        <f>IF(ISBLANK('Data Entry'!$Û$531), "", 'Data Entry'!$Û$531)</f>
      </c>
      <c r="EZ531">
        <f>IF(ISBLANK('Data Entry'!$Ü$531), "", 'Data Entry'!$Ü$531)</f>
      </c>
      <c r="FA531">
        <f>IF(ISBLANK('Data Entry'!$Ý$531), "", 'Data Entry'!$Ý$531)</f>
      </c>
      <c r="FB531">
        <f>IF(ISBLANK('Data Entry'!$Þ$531), "", 'Data Entry'!$Þ$531)</f>
      </c>
      <c r="FC531">
        <f>IF(ISBLANK('Data Entry'!$ß$531), "", 'Data Entry'!$ß$531)</f>
      </c>
      <c r="FD531">
        <f>IF(ISBLANK('Data Entry'!$à$531), "", 'Data Entry'!$à$531)</f>
      </c>
      <c r="FE531">
        <f>IF(ISBLANK('Data Entry'!$á$531), "", 'Data Entry'!$á$531)</f>
      </c>
      <c r="FF531">
        <f>IF(ISBLANK('Data Entry'!$â$531), "", 'Data Entry'!$â$531)</f>
      </c>
      <c r="FG531">
        <f>IF(ISBLANK('Data Entry'!$ã$531), "", 'Data Entry'!$ã$531)</f>
      </c>
      <c r="FH531">
        <f>IF(ISBLANK('Data Entry'!$ä$531), "", 'Data Entry'!$ä$531)</f>
      </c>
      <c r="FI531">
        <f>IF(ISBLANK('Data Entry'!$å$531), "", 'Data Entry'!$å$531)</f>
      </c>
      <c r="FJ531">
        <f>IF(ISBLANK('Data Entry'!$æ$531), "", 'Data Entry'!$æ$531)</f>
      </c>
      <c r="FK531">
        <f>IF(ISBLANK('Data Entry'!$ç$531), "", 'Data Entry'!$ç$531)</f>
      </c>
      <c r="FL531">
        <f>IF(ISBLANK('Data Entry'!$è$531), "", 'Data Entry'!$è$531)</f>
      </c>
      <c r="FM531">
        <f>IF(ISBLANK('Data Entry'!$é$531), "", 'Data Entry'!$é$531)</f>
      </c>
      <c r="FN531">
        <f>IF(ISBLANK('Data Entry'!$ê$531), "", 'Data Entry'!$ê$531)</f>
      </c>
      <c r="FO531">
        <f>IF(ISBLANK('Data Entry'!$ë$531), "", 'Data Entry'!$ë$531)</f>
      </c>
      <c r="FP531">
        <f>IF(ISBLANK('Data Entry'!$ì$531), "", 'Data Entry'!$ì$531)</f>
      </c>
      <c r="FQ531">
        <f>IF(ISBLANK('Data Entry'!$í$531), "", 'Data Entry'!$í$531)</f>
      </c>
      <c r="FR531">
        <f>IF(ISBLANK('Data Entry'!$î$531), "", 'Data Entry'!$î$531)</f>
      </c>
      <c r="FS531">
        <f>IF(ISBLANK('Data Entry'!$ï$531), "", 'Data Entry'!$ï$531)</f>
      </c>
      <c r="FT531">
        <f>IF(ISBLANK('Data Entry'!$ð$531), "", 'Data Entry'!$ð$531)</f>
      </c>
      <c r="FU531">
        <f>IF(ISBLANK('Data Entry'!$ñ$531), "", 'Data Entry'!$ñ$531)</f>
      </c>
      <c r="FV531">
        <f>IF(ISBLANK('Data Entry'!$ò$531), "", 'Data Entry'!$ò$531)</f>
      </c>
      <c r="FW531">
        <f>IF(ISBLANK('Data Entry'!$ó$531), "", 'Data Entry'!$ó$531)</f>
      </c>
      <c r="FX531">
        <f>IF(ISBLANK('Data Entry'!$ô$531), "", 'Data Entry'!$ô$531)</f>
      </c>
      <c r="FY531">
        <f>IF(ISBLANK('Data Entry'!$õ$531), "", 'Data Entry'!$õ$531)</f>
      </c>
      <c r="FZ531">
        <f>IF(ISBLANK('Data Entry'!$ö$531), "", 'Data Entry'!$ö$531)</f>
      </c>
      <c r="GA531">
        <f>IF(ISBLANK('Data Entry'!$÷$531), "", 'Data Entry'!$÷$531)</f>
      </c>
      <c r="GB531">
        <f>IF(ISBLANK('Data Entry'!$ø$531), "", 'Data Entry'!$ø$531)</f>
      </c>
      <c r="GC531">
        <f>IF(ISBLANK('Data Entry'!$ù$531), "", 'Data Entry'!$ù$531)</f>
      </c>
      <c r="GD531">
        <f>IF(ISBLANK('Data Entry'!$ú$531), "", 'Data Entry'!$ú$531)</f>
      </c>
      <c r="GE531">
        <f>IF(ISBLANK('Data Entry'!$û$531), "", 'Data Entry'!$û$531)</f>
      </c>
      <c r="GF531">
        <f>IF(ISBLANK('Data Entry'!$ü$531), "", 'Data Entry'!$ü$531)</f>
      </c>
      <c r="GG531">
        <f>IF(ISBLANK('Data Entry'!$ý$531), "", 'Data Entry'!$ý$531)</f>
      </c>
      <c r="GH531">
        <f>IF(ISBLANK('Data Entry'!$þ$531), "", 'Data Entry'!$þ$531)</f>
      </c>
      <c r="GI531">
        <f>IF(ISBLANK('Data Entry'!$ÿ$531), "", 'Data Entry'!$ÿ$531)</f>
      </c>
      <c r="GJ531">
        <f>IF(ISBLANK('Data Entry'!$Ā$531), "", 'Data Entry'!$Ā$531)</f>
      </c>
      <c r="GK531">
        <f>IF(ISBLANK('Data Entry'!$ā$531), "", 'Data Entry'!$ā$531)</f>
      </c>
      <c r="GL531">
        <f>IF(ISBLANK('Data Entry'!$Ă$531), "", 'Data Entry'!$Ă$531)</f>
      </c>
      <c r="GM531">
        <f>IF(ISBLANK('Data Entry'!$ă$531), "", 'Data Entry'!$ă$531)</f>
      </c>
      <c r="GN531">
        <f>IF(ISBLANK('Data Entry'!$Ą$531), "", 'Data Entry'!$Ą$531)</f>
      </c>
      <c r="GO531">
        <f>IF(ISBLANK('Data Entry'!$ą$531), "", 'Data Entry'!$ą$531)</f>
      </c>
      <c r="GP531">
        <f>IF(ISBLANK('Data Entry'!$Ć$531), "", 'Data Entry'!$Ć$531)</f>
      </c>
      <c r="GQ531">
        <f>IF(ISBLANK('Data Entry'!$ć$531), "", 'Data Entry'!$ć$531)</f>
      </c>
      <c r="GR531">
        <f>IF(ISBLANK('Data Entry'!$Ĉ$531), "", 'Data Entry'!$Ĉ$531)</f>
      </c>
      <c r="GS531">
        <f>IF(ISBLANK('Data Entry'!$ĉ$531), "", 'Data Entry'!$ĉ$531)</f>
      </c>
      <c r="GT531">
        <f>IF(ISBLANK('Data Entry'!$Ċ$531), "", 'Data Entry'!$Ċ$531)</f>
      </c>
      <c r="GU531">
        <f>IF(ISBLANK('Data Entry'!$ċ$531), "", 'Data Entry'!$ċ$531)</f>
      </c>
      <c r="GV531">
        <f>IF(ISBLANK('Data Entry'!$Č$531), "", 'Data Entry'!$Č$531)</f>
      </c>
      <c r="GW531">
        <f>IF(ISBLANK('Data Entry'!$č$531), "", 'Data Entry'!$č$531)</f>
      </c>
      <c r="GX531">
        <f>IF(ISBLANK('Data Entry'!$Ď$531), "", 'Data Entry'!$Ď$531)</f>
      </c>
      <c r="GY531">
        <f>IF(ISBLANK('Data Entry'!$ď$531), "", 'Data Entry'!$ď$531)</f>
      </c>
      <c r="GZ531">
        <f>IF(ISBLANK('Data Entry'!$Đ$531), "", 'Data Entry'!$Đ$531)</f>
      </c>
      <c r="HA531">
        <f>IF(ISBLANK('Data Entry'!$đ$531), "", 'Data Entry'!$đ$531)</f>
      </c>
      <c r="HB531">
        <f>IF(ISBLANK('Data Entry'!$Ē$531), "", 'Data Entry'!$Ē$531)</f>
      </c>
      <c r="HC531">
        <f>IF(ISBLANK('Data Entry'!$ē$531), "", 'Data Entry'!$ē$531)</f>
      </c>
      <c r="HD531">
        <f>IF(ISBLANK('Data Entry'!$Ĕ$531), "", 'Data Entry'!$Ĕ$531)</f>
      </c>
      <c r="HE531">
        <f>IF(ISBLANK('Data Entry'!$ĕ$531), "", 'Data Entry'!$ĕ$531)</f>
      </c>
      <c r="HF531">
        <f>IF(ISBLANK('Data Entry'!$Ė$531), "", 'Data Entry'!$Ė$531)</f>
      </c>
      <c r="HG531">
        <f>IF(ISBLANK('Data Entry'!$ė$531), "", 'Data Entry'!$ė$531)</f>
      </c>
      <c r="HH531">
        <f>IF(ISBLANK('Data Entry'!$Ę$531), "", 'Data Entry'!$Ę$531)</f>
      </c>
      <c r="HI531">
        <f>IF(ISBLANK('Data Entry'!$ę$531), "", 'Data Entry'!$ę$531)</f>
      </c>
      <c r="HJ531">
        <f>IF(ISBLANK('Data Entry'!$Ě$531), "", 'Data Entry'!$Ě$531)</f>
      </c>
      <c r="HK531">
        <f>IF(ISBLANK('Data Entry'!$ě$531), "", 'Data Entry'!$ě$531)</f>
      </c>
      <c r="HL531">
        <f>IF(ISBLANK('Data Entry'!$Ĝ$531), "", 'Data Entry'!$Ĝ$531)</f>
      </c>
      <c r="HM531">
        <f>IF(ISBLANK('Data Entry'!$ĝ$531), "", 'Data Entry'!$ĝ$531)</f>
      </c>
      <c r="HN531">
        <f>IF(ISBLANK('Data Entry'!$Ğ$531), "", 'Data Entry'!$Ğ$531)</f>
      </c>
      <c r="HO531">
        <f>IF(ISBLANK('Data Entry'!$ğ$531), "", 'Data Entry'!$ğ$531)</f>
      </c>
      <c r="HP531">
        <f>IF(ISBLANK('Data Entry'!$Ġ$531), "", 'Data Entry'!$Ġ$531)</f>
      </c>
      <c r="HQ531">
        <f>IF(ISBLANK('Data Entry'!$ġ$531), "", 'Data Entry'!$ġ$531)</f>
      </c>
      <c r="HR531">
        <f>IF(ISBLANK('Data Entry'!$Ģ$531), "", 'Data Entry'!$Ģ$531)</f>
      </c>
      <c r="HS531">
        <f>IF(ISBLANK('Data Entry'!$ģ$531), "", 'Data Entry'!$ģ$531)</f>
      </c>
      <c r="HT531">
        <f>IF(ISBLANK('Data Entry'!$Ĥ$531), "", 'Data Entry'!$Ĥ$531)</f>
      </c>
      <c r="HU531">
        <f>IF(ISBLANK('Data Entry'!$ĥ$531), "", 'Data Entry'!$ĥ$531)</f>
      </c>
      <c r="HV531">
        <f>IF(ISBLANK('Data Entry'!$Ħ$531), "", 'Data Entry'!$Ħ$531)</f>
      </c>
      <c r="HW531">
        <f>IF(ISBLANK('Data Entry'!$ħ$531), "", 'Data Entry'!$ħ$531)</f>
      </c>
      <c r="HX531">
        <f>IF(ISBLANK('Data Entry'!$Ĩ$531), "", 'Data Entry'!$Ĩ$531)</f>
      </c>
      <c r="HY531">
        <f>IF(ISBLANK('Data Entry'!$ĩ$531), "", 'Data Entry'!$ĩ$531)</f>
      </c>
      <c r="HZ531">
        <f>IF(ISBLANK('Data Entry'!$Ī$531), "", 'Data Entry'!$Ī$531)</f>
      </c>
      <c r="IA531">
        <f>IF(ISBLANK('Data Entry'!$ī$531), "", 'Data Entry'!$ī$531)</f>
      </c>
      <c r="IB531">
        <f>IF(ISBLANK('Data Entry'!$Ĭ$531), "", 'Data Entry'!$Ĭ$531)</f>
      </c>
      <c r="IC531">
        <f>IF(ISBLANK('Data Entry'!$ĭ$531), "", 'Data Entry'!$ĭ$531)</f>
      </c>
      <c r="ID531">
        <f>IF(ISBLANK('Data Entry'!$Į$531), "", 'Data Entry'!$Į$531)</f>
      </c>
      <c r="IE531">
        <f>IF(ISBLANK('Data Entry'!$į$531), "", 'Data Entry'!$į$531)</f>
      </c>
      <c r="IF531">
        <f>IF(ISBLANK('Data Entry'!$İ$531), "", 'Data Entry'!$İ$531)</f>
      </c>
      <c r="IG531">
        <f>IF(ISBLANK('Data Entry'!$ı$531), "", 'Data Entry'!$ı$531)</f>
      </c>
      <c r="IH531">
        <f>IF(ISBLANK('Data Entry'!$Ĳ$531), "", 'Data Entry'!$Ĳ$531)</f>
      </c>
      <c r="II531">
        <f>IF(ISBLANK('Data Entry'!$ĳ$531), "", 'Data Entry'!$ĳ$531)</f>
      </c>
      <c r="IJ531">
        <f>IF(ISBLANK('Data Entry'!$Ĵ$531), "", 'Data Entry'!$Ĵ$531)</f>
      </c>
      <c r="IK531">
        <f>IF(ISBLANK('Data Entry'!$ĵ$531), "", 'Data Entry'!$ĵ$531)</f>
      </c>
      <c r="IL531">
        <f>IF(ISBLANK('Data Entry'!$Ķ$531), "", 'Data Entry'!$Ķ$531)</f>
      </c>
      <c r="IM531">
        <f>IF(ISBLANK('Data Entry'!$ķ$531), "", 'Data Entry'!$ķ$531)</f>
      </c>
      <c r="IN531">
        <f>IF(ISBLANK('Data Entry'!$ĸ$531), "", 'Data Entry'!$ĸ$531)</f>
      </c>
      <c r="IO531">
        <f>IF(ISBLANK('Data Entry'!$Ĺ$531), "", 'Data Entry'!$Ĺ$531)</f>
      </c>
      <c r="IP531">
        <f>IF(ISBLANK('Data Entry'!$ĺ$531), "", 'Data Entry'!$ĺ$531)</f>
      </c>
      <c r="IQ531">
        <f>IF(ISBLANK('Data Entry'!$Ļ$531), "", 'Data Entry'!$Ļ$531)</f>
      </c>
      <c r="IR531">
        <f>IF(ISBLANK('Data Entry'!$ļ$531), "", 'Data Entry'!$ļ$531)</f>
      </c>
      <c r="IS531">
        <f>IF(ISBLANK('Data Entry'!$Ľ$531), "", 'Data Entry'!$Ľ$531)</f>
      </c>
      <c r="IT531">
        <f>IF(ISBLANK('Data Entry'!$ľ$531), "", 'Data Entry'!$ľ$531)</f>
      </c>
    </row>
    <row r="532" spans="1:254" x14ac:dyDescent="0.25">
      <c r="A532">
        <f>IF(ISBLANK('Data Entry'!$A$532), "", 'Data Entry'!$A$532)</f>
      </c>
      <c r="B532">
        <f>IF(ISBLANK('Data Entry'!$B$532), "", 'Data Entry'!$B$532)</f>
      </c>
      <c r="C532">
        <f>IF(ISBLANK('Data Entry'!$C$532), "", 'Data Entry'!$C$532)</f>
      </c>
      <c r="D532">
        <f>IF(ISBLANK('Data Entry'!$D$532), "", 'Data Entry'!$D$532)</f>
      </c>
      <c r="E532">
        <f>IF(ISBLANK('Data Entry'!$E$532), "", 'Data Entry'!$E$532)</f>
      </c>
      <c r="F532">
        <f>IF(ISBLANK('Data Entry'!$F$532), "", 'Data Entry'!$F$532)</f>
      </c>
      <c r="G532">
        <f>IF(ISBLANK('Data Entry'!$G$532), "", 'Data Entry'!$G$532)</f>
      </c>
      <c r="H532">
        <f>IF(ISBLANK('Data Entry'!$H$532), "", 'Data Entry'!$H$532)</f>
      </c>
      <c r="I532">
        <f>IF(ISBLANK('Data Entry'!$I$532), "", 'Data Entry'!$I$532)</f>
      </c>
      <c r="J532">
        <f>IF(ISBLANK('Data Entry'!$J$532), "", 'Data Entry'!$J$532)</f>
      </c>
      <c r="K532">
        <f>IF(ISBLANK('Data Entry'!$K$532), "", 'Data Entry'!$K$532)</f>
      </c>
      <c r="L532">
        <f>IF(ISBLANK('Data Entry'!$L$532), "", 'Data Entry'!$L$532)</f>
      </c>
      <c r="M532">
        <f>IF(ISBLANK('Data Entry'!$M$532), "", 'Data Entry'!$M$532)</f>
      </c>
      <c r="N532">
        <f>IF(ISBLANK('Data Entry'!$N$532), "", 'Data Entry'!$N$532)</f>
      </c>
      <c r="O532">
        <f>IF(ISBLANK('Data Entry'!$O$532), "", 'Data Entry'!$O$532)</f>
      </c>
      <c r="P532">
        <f>IF(ISBLANK('Data Entry'!$P$532), "", 'Data Entry'!$P$532)</f>
      </c>
      <c r="Q532">
        <f>IF(ISBLANK('Data Entry'!$Q$532), "", 'Data Entry'!$Q$532)</f>
      </c>
      <c r="R532">
        <f>IF(ISBLANK('Data Entry'!$R$532), "", 'Data Entry'!$R$532)</f>
      </c>
      <c r="S532">
        <f>IF(ISBLANK('Data Entry'!$S$532), "", 'Data Entry'!$S$532)</f>
      </c>
      <c r="T532">
        <f>IF(ISBLANK('Data Entry'!$T$532), "", 'Data Entry'!$T$532)</f>
      </c>
      <c r="U532">
        <f>IF(ISBLANK('Data Entry'!$U$532), "", 'Data Entry'!$U$532)</f>
      </c>
      <c r="V532">
        <f>IF(ISBLANK('Data Entry'!$V$532), "", 'Data Entry'!$V$532)</f>
      </c>
      <c r="W532">
        <f>IF(ISBLANK('Data Entry'!$W$532), "", 'Data Entry'!$W$532)</f>
      </c>
      <c r="X532">
        <f>IF(ISBLANK('Data Entry'!$X$532), "", 'Data Entry'!$X$532)</f>
      </c>
      <c r="Y532">
        <f>IF(ISBLANK('Data Entry'!$Y$532), "", 'Data Entry'!$Y$532)</f>
      </c>
      <c r="Z532">
        <f>IF(ISBLANK('Data Entry'!$Z$532), "", 'Data Entry'!$Z$532)</f>
      </c>
      <c r="AA532">
        <f>IF(ISBLANK('Data Entry'!$[$532), "", 'Data Entry'!$[$532)</f>
      </c>
      <c r="AB532">
        <f>IF(ISBLANK('Data Entry'!$\$532), "", 'Data Entry'!$\$532)</f>
      </c>
      <c r="AC532">
        <f>IF(ISBLANK('Data Entry'!$]$532), "", 'Data Entry'!$]$532)</f>
      </c>
      <c r="AD532">
        <f>IF(ISBLANK('Data Entry'!$^$532), "", 'Data Entry'!$^$532)</f>
      </c>
      <c r="AE532">
        <f>IF(ISBLANK('Data Entry'!$_$532), "", 'Data Entry'!$_$532)</f>
      </c>
      <c r="AF532">
        <f>IF(ISBLANK('Data Entry'!$`$532), "", 'Data Entry'!$`$532)</f>
      </c>
      <c r="AG532">
        <f>IF(ISBLANK('Data Entry'!$a$532), "", 'Data Entry'!$a$532)</f>
      </c>
      <c r="AH532">
        <f>IF(ISBLANK('Data Entry'!$b$532), "", 'Data Entry'!$b$532)</f>
      </c>
      <c r="AI532">
        <f>IF(ISBLANK('Data Entry'!$c$532), "", 'Data Entry'!$c$532)</f>
      </c>
      <c r="AJ532">
        <f>IF(ISBLANK('Data Entry'!$d$532), "", 'Data Entry'!$d$532)</f>
      </c>
      <c r="AK532">
        <f>IF(ISBLANK('Data Entry'!$e$532), "", 'Data Entry'!$e$532)</f>
      </c>
      <c r="AL532">
        <f>IF(ISBLANK('Data Entry'!$f$532), "", 'Data Entry'!$f$532)</f>
      </c>
      <c r="AM532">
        <f>IF(ISBLANK('Data Entry'!$g$532), "", 'Data Entry'!$g$532)</f>
      </c>
      <c r="AN532">
        <f>IF(ISBLANK('Data Entry'!$h$532), "", 'Data Entry'!$h$532)</f>
      </c>
      <c r="AO532">
        <f>IF(ISBLANK('Data Entry'!$i$532), "", 'Data Entry'!$i$532)</f>
      </c>
      <c r="AP532">
        <f>IF(ISBLANK('Data Entry'!$j$532), "", 'Data Entry'!$j$532)</f>
      </c>
      <c r="AQ532">
        <f>IF(ISBLANK('Data Entry'!$k$532), "", 'Data Entry'!$k$532)</f>
      </c>
      <c r="AR532">
        <f>IF(ISBLANK('Data Entry'!$l$532), "", 'Data Entry'!$l$532)</f>
      </c>
      <c r="AS532">
        <f>IF(ISBLANK('Data Entry'!$m$532), "", 'Data Entry'!$m$532)</f>
      </c>
      <c r="AT532">
        <f>IF(ISBLANK('Data Entry'!$n$532), "", 'Data Entry'!$n$532)</f>
      </c>
      <c r="AU532">
        <f>IF(ISBLANK('Data Entry'!$o$532), "", 'Data Entry'!$o$532)</f>
      </c>
      <c r="AV532">
        <f>IF(ISBLANK('Data Entry'!$p$532), "", 'Data Entry'!$p$532)</f>
      </c>
      <c r="AW532">
        <f>IF(ISBLANK('Data Entry'!$q$532), "", 'Data Entry'!$q$532)</f>
      </c>
      <c r="AX532">
        <f>IF(ISBLANK('Data Entry'!$r$532), "", 'Data Entry'!$r$532)</f>
      </c>
      <c r="AY532">
        <f>IF(ISBLANK('Data Entry'!$s$532), "", 'Data Entry'!$s$532)</f>
      </c>
      <c r="AZ532">
        <f>IF(ISBLANK('Data Entry'!$t$532), "", 'Data Entry'!$t$532)</f>
      </c>
      <c r="BA532">
        <f>IF(ISBLANK('Data Entry'!$u$532), "", 'Data Entry'!$u$532)</f>
      </c>
      <c r="BB532">
        <f>IF(ISBLANK('Data Entry'!$v$532), "", 'Data Entry'!$v$532)</f>
      </c>
      <c r="BC532">
        <f>IF(ISBLANK('Data Entry'!$w$532), "", 'Data Entry'!$w$532)</f>
      </c>
      <c r="BD532">
        <f>IF(ISBLANK('Data Entry'!$x$532), "", 'Data Entry'!$x$532)</f>
      </c>
      <c r="BE532">
        <f>IF(ISBLANK('Data Entry'!$y$532), "", 'Data Entry'!$y$532)</f>
      </c>
      <c r="BF532">
        <f>IF(ISBLANK('Data Entry'!$z$532), "", 'Data Entry'!$z$532)</f>
      </c>
      <c r="BG532">
        <f>IF(ISBLANK('Data Entry'!${$532), "", 'Data Entry'!${$532)</f>
      </c>
      <c r="BH532">
        <f>IF(ISBLANK('Data Entry'!$|$532), "", 'Data Entry'!$|$532)</f>
      </c>
      <c r="BI532">
        <f>IF(ISBLANK('Data Entry'!$}$532), "", 'Data Entry'!$}$532)</f>
      </c>
      <c r="BJ532">
        <f>IF(ISBLANK('Data Entry'!$~$532), "", 'Data Entry'!$~$532)</f>
      </c>
      <c r="BK532">
        <f>IF(ISBLANK('Data Entry'!$$532), "", 'Data Entry'!$$532)</f>
      </c>
      <c r="BL532">
        <f>IF(ISBLANK('Data Entry'!$$532), "", 'Data Entry'!$$532)</f>
      </c>
      <c r="BM532">
        <f>IF(ISBLANK('Data Entry'!$$532), "", 'Data Entry'!$$532)</f>
      </c>
      <c r="BN532">
        <f>IF(ISBLANK('Data Entry'!$$532), "", 'Data Entry'!$$532)</f>
      </c>
      <c r="BO532">
        <f>IF(ISBLANK('Data Entry'!$$532), "", 'Data Entry'!$$532)</f>
      </c>
      <c r="BP532">
        <f>IF(ISBLANK('Data Entry'!$$532), "", 'Data Entry'!$$532)</f>
      </c>
      <c r="BQ532">
        <f>IF(ISBLANK('Data Entry'!$$532), "", 'Data Entry'!$$532)</f>
      </c>
      <c r="BR532">
        <f>IF(ISBLANK('Data Entry'!$$532), "", 'Data Entry'!$$532)</f>
      </c>
      <c r="BS532">
        <f>IF(ISBLANK('Data Entry'!$$532), "", 'Data Entry'!$$532)</f>
      </c>
      <c r="BT532">
        <f>IF(ISBLANK('Data Entry'!$$532), "", 'Data Entry'!$$532)</f>
      </c>
      <c r="BU532">
        <f>IF(ISBLANK('Data Entry'!$$532), "", 'Data Entry'!$$532)</f>
      </c>
      <c r="BV532">
        <f>IF(ISBLANK('Data Entry'!$$532), "", 'Data Entry'!$$532)</f>
      </c>
      <c r="BW532">
        <f>IF(ISBLANK('Data Entry'!$$532), "", 'Data Entry'!$$532)</f>
      </c>
      <c r="BX532">
        <f>IF(ISBLANK('Data Entry'!$$532), "", 'Data Entry'!$$532)</f>
      </c>
      <c r="BY532">
        <f>IF(ISBLANK('Data Entry'!$$532), "", 'Data Entry'!$$532)</f>
      </c>
      <c r="BZ532">
        <f>IF(ISBLANK('Data Entry'!$$532), "", 'Data Entry'!$$532)</f>
      </c>
      <c r="CA532">
        <f>IF(ISBLANK('Data Entry'!$$532), "", 'Data Entry'!$$532)</f>
      </c>
      <c r="CB532">
        <f>IF(ISBLANK('Data Entry'!$$532), "", 'Data Entry'!$$532)</f>
      </c>
      <c r="CC532">
        <f>IF(ISBLANK('Data Entry'!$$532), "", 'Data Entry'!$$532)</f>
      </c>
      <c r="CD532">
        <f>IF(ISBLANK('Data Entry'!$$532), "", 'Data Entry'!$$532)</f>
      </c>
      <c r="CE532">
        <f>IF(ISBLANK('Data Entry'!$$532), "", 'Data Entry'!$$532)</f>
      </c>
      <c r="CF532">
        <f>IF(ISBLANK('Data Entry'!$$532), "", 'Data Entry'!$$532)</f>
      </c>
      <c r="CG532">
        <f>IF(ISBLANK('Data Entry'!$$532), "", 'Data Entry'!$$532)</f>
      </c>
      <c r="CH532">
        <f>IF(ISBLANK('Data Entry'!$$532), "", 'Data Entry'!$$532)</f>
      </c>
      <c r="CI532">
        <f>IF(ISBLANK('Data Entry'!$$532), "", 'Data Entry'!$$532)</f>
      </c>
      <c r="CJ532">
        <f>IF(ISBLANK('Data Entry'!$$532), "", 'Data Entry'!$$532)</f>
      </c>
      <c r="CK532">
        <f>IF(ISBLANK('Data Entry'!$$532), "", 'Data Entry'!$$532)</f>
      </c>
      <c r="CL532">
        <f>IF(ISBLANK('Data Entry'!$$532), "", 'Data Entry'!$$532)</f>
      </c>
      <c r="CM532">
        <f>IF(ISBLANK('Data Entry'!$$532), "", 'Data Entry'!$$532)</f>
      </c>
      <c r="CN532">
        <f>IF(ISBLANK('Data Entry'!$$532), "", 'Data Entry'!$$532)</f>
      </c>
      <c r="CO532">
        <f>IF(ISBLANK('Data Entry'!$$532), "", 'Data Entry'!$$532)</f>
      </c>
      <c r="CP532">
        <f>IF(ISBLANK('Data Entry'!$$532), "", 'Data Entry'!$$532)</f>
      </c>
      <c r="CQ532">
        <f>IF(ISBLANK('Data Entry'!$$532), "", 'Data Entry'!$$532)</f>
      </c>
      <c r="CR532">
        <f>IF(ISBLANK('Data Entry'!$ $532), "", 'Data Entry'!$ $532)</f>
      </c>
      <c r="CS532">
        <f>IF(ISBLANK('Data Entry'!$¡$532), "", 'Data Entry'!$¡$532)</f>
      </c>
      <c r="CT532">
        <f>IF(ISBLANK('Data Entry'!$¢$532), "", 'Data Entry'!$¢$532)</f>
      </c>
      <c r="CU532">
        <f>IF(ISBLANK('Data Entry'!$£$532), "", 'Data Entry'!$£$532)</f>
      </c>
      <c r="CV532">
        <f>IF(ISBLANK('Data Entry'!$¤$532), "", 'Data Entry'!$¤$532)</f>
      </c>
      <c r="CW532">
        <f>IF(ISBLANK('Data Entry'!$¥$532), "", 'Data Entry'!$¥$532)</f>
      </c>
      <c r="CX532">
        <f>IF(ISBLANK('Data Entry'!$¦$532), "", 'Data Entry'!$¦$532)</f>
      </c>
      <c r="CY532">
        <f>IF(ISBLANK('Data Entry'!$§$532), "", 'Data Entry'!$§$532)</f>
      </c>
      <c r="CZ532">
        <f>IF(ISBLANK('Data Entry'!$¨$532), "", 'Data Entry'!$¨$532)</f>
      </c>
      <c r="DA532">
        <f>IF(ISBLANK('Data Entry'!$©$532), "", 'Data Entry'!$©$532)</f>
      </c>
      <c r="DB532">
        <f>IF(ISBLANK('Data Entry'!$ª$532), "", 'Data Entry'!$ª$532)</f>
      </c>
      <c r="DC532">
        <f>IF(ISBLANK('Data Entry'!$«$532), "", 'Data Entry'!$«$532)</f>
      </c>
      <c r="DD532">
        <f>IF(ISBLANK('Data Entry'!$¬$532), "", 'Data Entry'!$¬$532)</f>
      </c>
      <c r="DE532">
        <f>IF(ISBLANK('Data Entry'!$­$532), "", 'Data Entry'!$­$532)</f>
      </c>
      <c r="DF532">
        <f>IF(ISBLANK('Data Entry'!$®$532), "", 'Data Entry'!$®$532)</f>
      </c>
      <c r="DG532">
        <f>IF(ISBLANK('Data Entry'!$¯$532), "", 'Data Entry'!$¯$532)</f>
      </c>
      <c r="DH532">
        <f>IF(ISBLANK('Data Entry'!$°$532), "", 'Data Entry'!$°$532)</f>
      </c>
      <c r="DI532">
        <f>IF(ISBLANK('Data Entry'!$±$532), "", 'Data Entry'!$±$532)</f>
      </c>
      <c r="DJ532">
        <f>IF(ISBLANK('Data Entry'!$²$532), "", 'Data Entry'!$²$532)</f>
      </c>
      <c r="DK532">
        <f>IF(ISBLANK('Data Entry'!$³$532), "", 'Data Entry'!$³$532)</f>
      </c>
      <c r="DL532">
        <f>IF(ISBLANK('Data Entry'!$´$532), "", 'Data Entry'!$´$532)</f>
      </c>
      <c r="DM532">
        <f>IF(ISBLANK('Data Entry'!$µ$532), "", 'Data Entry'!$µ$532)</f>
      </c>
      <c r="DN532">
        <f>IF(ISBLANK('Data Entry'!$¶$532), "", 'Data Entry'!$¶$532)</f>
      </c>
      <c r="DO532">
        <f>IF(ISBLANK('Data Entry'!$·$532), "", 'Data Entry'!$·$532)</f>
      </c>
      <c r="DP532">
        <f>IF(ISBLANK('Data Entry'!$¸$532), "", 'Data Entry'!$¸$532)</f>
      </c>
      <c r="DQ532">
        <f>IF(ISBLANK('Data Entry'!$¹$532), "", 'Data Entry'!$¹$532)</f>
      </c>
      <c r="DR532">
        <f>IF(ISBLANK('Data Entry'!$º$532), "", 'Data Entry'!$º$532)</f>
      </c>
      <c r="DS532">
        <f>IF(ISBLANK('Data Entry'!$»$532), "", 'Data Entry'!$»$532)</f>
      </c>
      <c r="DT532">
        <f>IF(ISBLANK('Data Entry'!$¼$532), "", 'Data Entry'!$¼$532)</f>
      </c>
      <c r="DU532">
        <f>IF(ISBLANK('Data Entry'!$½$532), "", 'Data Entry'!$½$532)</f>
      </c>
      <c r="DV532">
        <f>IF(ISBLANK('Data Entry'!$¾$532), "", 'Data Entry'!$¾$532)</f>
      </c>
      <c r="DW532">
        <f>IF(ISBLANK('Data Entry'!$¿$532), "", 'Data Entry'!$¿$532)</f>
      </c>
      <c r="DX532">
        <f>IF(ISBLANK('Data Entry'!$À$532), "", 'Data Entry'!$À$532)</f>
      </c>
      <c r="DY532">
        <f>IF(ISBLANK('Data Entry'!$Á$532), "", 'Data Entry'!$Á$532)</f>
      </c>
      <c r="DZ532">
        <f>IF(ISBLANK('Data Entry'!$Â$532), "", 'Data Entry'!$Â$532)</f>
      </c>
      <c r="EA532">
        <f>IF(ISBLANK('Data Entry'!$Ã$532), "", 'Data Entry'!$Ã$532)</f>
      </c>
      <c r="EB532">
        <f>IF(ISBLANK('Data Entry'!$Ä$532), "", 'Data Entry'!$Ä$532)</f>
      </c>
      <c r="EC532">
        <f>IF(ISBLANK('Data Entry'!$Å$532), "", 'Data Entry'!$Å$532)</f>
      </c>
      <c r="ED532">
        <f>IF(ISBLANK('Data Entry'!$Æ$532), "", 'Data Entry'!$Æ$532)</f>
      </c>
      <c r="EE532">
        <f>IF(ISBLANK('Data Entry'!$Ç$532), "", 'Data Entry'!$Ç$532)</f>
      </c>
      <c r="EF532">
        <f>IF(ISBLANK('Data Entry'!$È$532), "", 'Data Entry'!$È$532)</f>
      </c>
      <c r="EG532">
        <f>IF(ISBLANK('Data Entry'!$É$532), "", 'Data Entry'!$É$532)</f>
      </c>
      <c r="EH532">
        <f>IF(ISBLANK('Data Entry'!$Ê$532), "", 'Data Entry'!$Ê$532)</f>
      </c>
      <c r="EI532">
        <f>IF(ISBLANK('Data Entry'!$Ë$532), "", 'Data Entry'!$Ë$532)</f>
      </c>
      <c r="EJ532">
        <f>IF(ISBLANK('Data Entry'!$Ì$532), "", 'Data Entry'!$Ì$532)</f>
      </c>
      <c r="EK532">
        <f>IF(ISBLANK('Data Entry'!$Í$532), "", 'Data Entry'!$Í$532)</f>
      </c>
      <c r="EL532">
        <f>IF(ISBLANK('Data Entry'!$Î$532), "", 'Data Entry'!$Î$532)</f>
      </c>
      <c r="EM532">
        <f>IF(ISBLANK('Data Entry'!$Ï$532), "", 'Data Entry'!$Ï$532)</f>
      </c>
      <c r="EN532">
        <f>IF(ISBLANK('Data Entry'!$Ð$532), "", 'Data Entry'!$Ð$532)</f>
      </c>
      <c r="EO532">
        <f>IF(ISBLANK('Data Entry'!$Ñ$532), "", 'Data Entry'!$Ñ$532)</f>
      </c>
      <c r="EP532">
        <f>IF(ISBLANK('Data Entry'!$Ò$532), "", 'Data Entry'!$Ò$532)</f>
      </c>
      <c r="EQ532">
        <f>IF(ISBLANK('Data Entry'!$Ó$532), "", 'Data Entry'!$Ó$532)</f>
      </c>
      <c r="ER532">
        <f>IF(ISBLANK('Data Entry'!$Ô$532), "", 'Data Entry'!$Ô$532)</f>
      </c>
      <c r="ES532">
        <f>IF(ISBLANK('Data Entry'!$Õ$532), "", 'Data Entry'!$Õ$532)</f>
      </c>
      <c r="ET532">
        <f>IF(ISBLANK('Data Entry'!$Ö$532), "", 'Data Entry'!$Ö$532)</f>
      </c>
      <c r="EU532">
        <f>IF(ISBLANK('Data Entry'!$×$532), "", 'Data Entry'!$×$532)</f>
      </c>
      <c r="EV532">
        <f>IF(ISBLANK('Data Entry'!$Ø$532), "", 'Data Entry'!$Ø$532)</f>
      </c>
      <c r="EW532">
        <f>IF(ISBLANK('Data Entry'!$Ù$532), "", 'Data Entry'!$Ù$532)</f>
      </c>
      <c r="EX532">
        <f>IF(ISBLANK('Data Entry'!$Ú$532), "", 'Data Entry'!$Ú$532)</f>
      </c>
      <c r="EY532">
        <f>IF(ISBLANK('Data Entry'!$Û$532), "", 'Data Entry'!$Û$532)</f>
      </c>
      <c r="EZ532">
        <f>IF(ISBLANK('Data Entry'!$Ü$532), "", 'Data Entry'!$Ü$532)</f>
      </c>
      <c r="FA532">
        <f>IF(ISBLANK('Data Entry'!$Ý$532), "", 'Data Entry'!$Ý$532)</f>
      </c>
      <c r="FB532">
        <f>IF(ISBLANK('Data Entry'!$Þ$532), "", 'Data Entry'!$Þ$532)</f>
      </c>
      <c r="FC532">
        <f>IF(ISBLANK('Data Entry'!$ß$532), "", 'Data Entry'!$ß$532)</f>
      </c>
      <c r="FD532">
        <f>IF(ISBLANK('Data Entry'!$à$532), "", 'Data Entry'!$à$532)</f>
      </c>
      <c r="FE532">
        <f>IF(ISBLANK('Data Entry'!$á$532), "", 'Data Entry'!$á$532)</f>
      </c>
      <c r="FF532">
        <f>IF(ISBLANK('Data Entry'!$â$532), "", 'Data Entry'!$â$532)</f>
      </c>
      <c r="FG532">
        <f>IF(ISBLANK('Data Entry'!$ã$532), "", 'Data Entry'!$ã$532)</f>
      </c>
      <c r="FH532">
        <f>IF(ISBLANK('Data Entry'!$ä$532), "", 'Data Entry'!$ä$532)</f>
      </c>
      <c r="FI532">
        <f>IF(ISBLANK('Data Entry'!$å$532), "", 'Data Entry'!$å$532)</f>
      </c>
      <c r="FJ532">
        <f>IF(ISBLANK('Data Entry'!$æ$532), "", 'Data Entry'!$æ$532)</f>
      </c>
      <c r="FK532">
        <f>IF(ISBLANK('Data Entry'!$ç$532), "", 'Data Entry'!$ç$532)</f>
      </c>
      <c r="FL532">
        <f>IF(ISBLANK('Data Entry'!$è$532), "", 'Data Entry'!$è$532)</f>
      </c>
      <c r="FM532">
        <f>IF(ISBLANK('Data Entry'!$é$532), "", 'Data Entry'!$é$532)</f>
      </c>
      <c r="FN532">
        <f>IF(ISBLANK('Data Entry'!$ê$532), "", 'Data Entry'!$ê$532)</f>
      </c>
      <c r="FO532">
        <f>IF(ISBLANK('Data Entry'!$ë$532), "", 'Data Entry'!$ë$532)</f>
      </c>
      <c r="FP532">
        <f>IF(ISBLANK('Data Entry'!$ì$532), "", 'Data Entry'!$ì$532)</f>
      </c>
      <c r="FQ532">
        <f>IF(ISBLANK('Data Entry'!$í$532), "", 'Data Entry'!$í$532)</f>
      </c>
      <c r="FR532">
        <f>IF(ISBLANK('Data Entry'!$î$532), "", 'Data Entry'!$î$532)</f>
      </c>
      <c r="FS532">
        <f>IF(ISBLANK('Data Entry'!$ï$532), "", 'Data Entry'!$ï$532)</f>
      </c>
      <c r="FT532">
        <f>IF(ISBLANK('Data Entry'!$ð$532), "", 'Data Entry'!$ð$532)</f>
      </c>
      <c r="FU532">
        <f>IF(ISBLANK('Data Entry'!$ñ$532), "", 'Data Entry'!$ñ$532)</f>
      </c>
      <c r="FV532">
        <f>IF(ISBLANK('Data Entry'!$ò$532), "", 'Data Entry'!$ò$532)</f>
      </c>
      <c r="FW532">
        <f>IF(ISBLANK('Data Entry'!$ó$532), "", 'Data Entry'!$ó$532)</f>
      </c>
      <c r="FX532">
        <f>IF(ISBLANK('Data Entry'!$ô$532), "", 'Data Entry'!$ô$532)</f>
      </c>
      <c r="FY532">
        <f>IF(ISBLANK('Data Entry'!$õ$532), "", 'Data Entry'!$õ$532)</f>
      </c>
      <c r="FZ532">
        <f>IF(ISBLANK('Data Entry'!$ö$532), "", 'Data Entry'!$ö$532)</f>
      </c>
      <c r="GA532">
        <f>IF(ISBLANK('Data Entry'!$÷$532), "", 'Data Entry'!$÷$532)</f>
      </c>
      <c r="GB532">
        <f>IF(ISBLANK('Data Entry'!$ø$532), "", 'Data Entry'!$ø$532)</f>
      </c>
      <c r="GC532">
        <f>IF(ISBLANK('Data Entry'!$ù$532), "", 'Data Entry'!$ù$532)</f>
      </c>
      <c r="GD532">
        <f>IF(ISBLANK('Data Entry'!$ú$532), "", 'Data Entry'!$ú$532)</f>
      </c>
      <c r="GE532">
        <f>IF(ISBLANK('Data Entry'!$û$532), "", 'Data Entry'!$û$532)</f>
      </c>
      <c r="GF532">
        <f>IF(ISBLANK('Data Entry'!$ü$532), "", 'Data Entry'!$ü$532)</f>
      </c>
      <c r="GG532">
        <f>IF(ISBLANK('Data Entry'!$ý$532), "", 'Data Entry'!$ý$532)</f>
      </c>
      <c r="GH532">
        <f>IF(ISBLANK('Data Entry'!$þ$532), "", 'Data Entry'!$þ$532)</f>
      </c>
      <c r="GI532">
        <f>IF(ISBLANK('Data Entry'!$ÿ$532), "", 'Data Entry'!$ÿ$532)</f>
      </c>
      <c r="GJ532">
        <f>IF(ISBLANK('Data Entry'!$Ā$532), "", 'Data Entry'!$Ā$532)</f>
      </c>
      <c r="GK532">
        <f>IF(ISBLANK('Data Entry'!$ā$532), "", 'Data Entry'!$ā$532)</f>
      </c>
      <c r="GL532">
        <f>IF(ISBLANK('Data Entry'!$Ă$532), "", 'Data Entry'!$Ă$532)</f>
      </c>
      <c r="GM532">
        <f>IF(ISBLANK('Data Entry'!$ă$532), "", 'Data Entry'!$ă$532)</f>
      </c>
      <c r="GN532">
        <f>IF(ISBLANK('Data Entry'!$Ą$532), "", 'Data Entry'!$Ą$532)</f>
      </c>
      <c r="GO532">
        <f>IF(ISBLANK('Data Entry'!$ą$532), "", 'Data Entry'!$ą$532)</f>
      </c>
      <c r="GP532">
        <f>IF(ISBLANK('Data Entry'!$Ć$532), "", 'Data Entry'!$Ć$532)</f>
      </c>
      <c r="GQ532">
        <f>IF(ISBLANK('Data Entry'!$ć$532), "", 'Data Entry'!$ć$532)</f>
      </c>
      <c r="GR532">
        <f>IF(ISBLANK('Data Entry'!$Ĉ$532), "", 'Data Entry'!$Ĉ$532)</f>
      </c>
      <c r="GS532">
        <f>IF(ISBLANK('Data Entry'!$ĉ$532), "", 'Data Entry'!$ĉ$532)</f>
      </c>
      <c r="GT532">
        <f>IF(ISBLANK('Data Entry'!$Ċ$532), "", 'Data Entry'!$Ċ$532)</f>
      </c>
      <c r="GU532">
        <f>IF(ISBLANK('Data Entry'!$ċ$532), "", 'Data Entry'!$ċ$532)</f>
      </c>
      <c r="GV532">
        <f>IF(ISBLANK('Data Entry'!$Č$532), "", 'Data Entry'!$Č$532)</f>
      </c>
      <c r="GW532">
        <f>IF(ISBLANK('Data Entry'!$č$532), "", 'Data Entry'!$č$532)</f>
      </c>
      <c r="GX532">
        <f>IF(ISBLANK('Data Entry'!$Ď$532), "", 'Data Entry'!$Ď$532)</f>
      </c>
      <c r="GY532">
        <f>IF(ISBLANK('Data Entry'!$ď$532), "", 'Data Entry'!$ď$532)</f>
      </c>
      <c r="GZ532">
        <f>IF(ISBLANK('Data Entry'!$Đ$532), "", 'Data Entry'!$Đ$532)</f>
      </c>
      <c r="HA532">
        <f>IF(ISBLANK('Data Entry'!$đ$532), "", 'Data Entry'!$đ$532)</f>
      </c>
      <c r="HB532">
        <f>IF(ISBLANK('Data Entry'!$Ē$532), "", 'Data Entry'!$Ē$532)</f>
      </c>
      <c r="HC532">
        <f>IF(ISBLANK('Data Entry'!$ē$532), "", 'Data Entry'!$ē$532)</f>
      </c>
      <c r="HD532">
        <f>IF(ISBLANK('Data Entry'!$Ĕ$532), "", 'Data Entry'!$Ĕ$532)</f>
      </c>
      <c r="HE532">
        <f>IF(ISBLANK('Data Entry'!$ĕ$532), "", 'Data Entry'!$ĕ$532)</f>
      </c>
      <c r="HF532">
        <f>IF(ISBLANK('Data Entry'!$Ė$532), "", 'Data Entry'!$Ė$532)</f>
      </c>
      <c r="HG532">
        <f>IF(ISBLANK('Data Entry'!$ė$532), "", 'Data Entry'!$ė$532)</f>
      </c>
      <c r="HH532">
        <f>IF(ISBLANK('Data Entry'!$Ę$532), "", 'Data Entry'!$Ę$532)</f>
      </c>
      <c r="HI532">
        <f>IF(ISBLANK('Data Entry'!$ę$532), "", 'Data Entry'!$ę$532)</f>
      </c>
      <c r="HJ532">
        <f>IF(ISBLANK('Data Entry'!$Ě$532), "", 'Data Entry'!$Ě$532)</f>
      </c>
      <c r="HK532">
        <f>IF(ISBLANK('Data Entry'!$ě$532), "", 'Data Entry'!$ě$532)</f>
      </c>
      <c r="HL532">
        <f>IF(ISBLANK('Data Entry'!$Ĝ$532), "", 'Data Entry'!$Ĝ$532)</f>
      </c>
      <c r="HM532">
        <f>IF(ISBLANK('Data Entry'!$ĝ$532), "", 'Data Entry'!$ĝ$532)</f>
      </c>
      <c r="HN532">
        <f>IF(ISBLANK('Data Entry'!$Ğ$532), "", 'Data Entry'!$Ğ$532)</f>
      </c>
      <c r="HO532">
        <f>IF(ISBLANK('Data Entry'!$ğ$532), "", 'Data Entry'!$ğ$532)</f>
      </c>
      <c r="HP532">
        <f>IF(ISBLANK('Data Entry'!$Ġ$532), "", 'Data Entry'!$Ġ$532)</f>
      </c>
      <c r="HQ532">
        <f>IF(ISBLANK('Data Entry'!$ġ$532), "", 'Data Entry'!$ġ$532)</f>
      </c>
      <c r="HR532">
        <f>IF(ISBLANK('Data Entry'!$Ģ$532), "", 'Data Entry'!$Ģ$532)</f>
      </c>
      <c r="HS532">
        <f>IF(ISBLANK('Data Entry'!$ģ$532), "", 'Data Entry'!$ģ$532)</f>
      </c>
      <c r="HT532">
        <f>IF(ISBLANK('Data Entry'!$Ĥ$532), "", 'Data Entry'!$Ĥ$532)</f>
      </c>
      <c r="HU532">
        <f>IF(ISBLANK('Data Entry'!$ĥ$532), "", 'Data Entry'!$ĥ$532)</f>
      </c>
      <c r="HV532">
        <f>IF(ISBLANK('Data Entry'!$Ħ$532), "", 'Data Entry'!$Ħ$532)</f>
      </c>
      <c r="HW532">
        <f>IF(ISBLANK('Data Entry'!$ħ$532), "", 'Data Entry'!$ħ$532)</f>
      </c>
      <c r="HX532">
        <f>IF(ISBLANK('Data Entry'!$Ĩ$532), "", 'Data Entry'!$Ĩ$532)</f>
      </c>
      <c r="HY532">
        <f>IF(ISBLANK('Data Entry'!$ĩ$532), "", 'Data Entry'!$ĩ$532)</f>
      </c>
      <c r="HZ532">
        <f>IF(ISBLANK('Data Entry'!$Ī$532), "", 'Data Entry'!$Ī$532)</f>
      </c>
      <c r="IA532">
        <f>IF(ISBLANK('Data Entry'!$ī$532), "", 'Data Entry'!$ī$532)</f>
      </c>
      <c r="IB532">
        <f>IF(ISBLANK('Data Entry'!$Ĭ$532), "", 'Data Entry'!$Ĭ$532)</f>
      </c>
      <c r="IC532">
        <f>IF(ISBLANK('Data Entry'!$ĭ$532), "", 'Data Entry'!$ĭ$532)</f>
      </c>
      <c r="ID532">
        <f>IF(ISBLANK('Data Entry'!$Į$532), "", 'Data Entry'!$Į$532)</f>
      </c>
      <c r="IE532">
        <f>IF(ISBLANK('Data Entry'!$į$532), "", 'Data Entry'!$į$532)</f>
      </c>
      <c r="IF532">
        <f>IF(ISBLANK('Data Entry'!$İ$532), "", 'Data Entry'!$İ$532)</f>
      </c>
      <c r="IG532">
        <f>IF(ISBLANK('Data Entry'!$ı$532), "", 'Data Entry'!$ı$532)</f>
      </c>
      <c r="IH532">
        <f>IF(ISBLANK('Data Entry'!$Ĳ$532), "", 'Data Entry'!$Ĳ$532)</f>
      </c>
      <c r="II532">
        <f>IF(ISBLANK('Data Entry'!$ĳ$532), "", 'Data Entry'!$ĳ$532)</f>
      </c>
      <c r="IJ532">
        <f>IF(ISBLANK('Data Entry'!$Ĵ$532), "", 'Data Entry'!$Ĵ$532)</f>
      </c>
      <c r="IK532">
        <f>IF(ISBLANK('Data Entry'!$ĵ$532), "", 'Data Entry'!$ĵ$532)</f>
      </c>
      <c r="IL532">
        <f>IF(ISBLANK('Data Entry'!$Ķ$532), "", 'Data Entry'!$Ķ$532)</f>
      </c>
      <c r="IM532">
        <f>IF(ISBLANK('Data Entry'!$ķ$532), "", 'Data Entry'!$ķ$532)</f>
      </c>
      <c r="IN532">
        <f>IF(ISBLANK('Data Entry'!$ĸ$532), "", 'Data Entry'!$ĸ$532)</f>
      </c>
      <c r="IO532">
        <f>IF(ISBLANK('Data Entry'!$Ĺ$532), "", 'Data Entry'!$Ĺ$532)</f>
      </c>
      <c r="IP532">
        <f>IF(ISBLANK('Data Entry'!$ĺ$532), "", 'Data Entry'!$ĺ$532)</f>
      </c>
      <c r="IQ532">
        <f>IF(ISBLANK('Data Entry'!$Ļ$532), "", 'Data Entry'!$Ļ$532)</f>
      </c>
      <c r="IR532">
        <f>IF(ISBLANK('Data Entry'!$ļ$532), "", 'Data Entry'!$ļ$532)</f>
      </c>
      <c r="IS532">
        <f>IF(ISBLANK('Data Entry'!$Ľ$532), "", 'Data Entry'!$Ľ$532)</f>
      </c>
      <c r="IT532">
        <f>IF(ISBLANK('Data Entry'!$ľ$532), "", 'Data Entry'!$ľ$532)</f>
      </c>
    </row>
    <row r="533" spans="1:254" x14ac:dyDescent="0.25">
      <c r="A533">
        <f>IF(ISBLANK('Data Entry'!$A$533), "", 'Data Entry'!$A$533)</f>
      </c>
      <c r="B533">
        <f>IF(ISBLANK('Data Entry'!$B$533), "", 'Data Entry'!$B$533)</f>
      </c>
      <c r="C533">
        <f>IF(ISBLANK('Data Entry'!$C$533), "", 'Data Entry'!$C$533)</f>
      </c>
      <c r="D533">
        <f>IF(ISBLANK('Data Entry'!$D$533), "", 'Data Entry'!$D$533)</f>
      </c>
      <c r="E533">
        <f>IF(ISBLANK('Data Entry'!$E$533), "", 'Data Entry'!$E$533)</f>
      </c>
      <c r="F533">
        <f>IF(ISBLANK('Data Entry'!$F$533), "", 'Data Entry'!$F$533)</f>
      </c>
      <c r="G533">
        <f>IF(ISBLANK('Data Entry'!$G$533), "", 'Data Entry'!$G$533)</f>
      </c>
      <c r="H533">
        <f>IF(ISBLANK('Data Entry'!$H$533), "", 'Data Entry'!$H$533)</f>
      </c>
      <c r="I533">
        <f>IF(ISBLANK('Data Entry'!$I$533), "", 'Data Entry'!$I$533)</f>
      </c>
      <c r="J533">
        <f>IF(ISBLANK('Data Entry'!$J$533), "", 'Data Entry'!$J$533)</f>
      </c>
      <c r="K533">
        <f>IF(ISBLANK('Data Entry'!$K$533), "", 'Data Entry'!$K$533)</f>
      </c>
      <c r="L533">
        <f>IF(ISBLANK('Data Entry'!$L$533), "", 'Data Entry'!$L$533)</f>
      </c>
      <c r="M533">
        <f>IF(ISBLANK('Data Entry'!$M$533), "", 'Data Entry'!$M$533)</f>
      </c>
      <c r="N533">
        <f>IF(ISBLANK('Data Entry'!$N$533), "", 'Data Entry'!$N$533)</f>
      </c>
      <c r="O533">
        <f>IF(ISBLANK('Data Entry'!$O$533), "", 'Data Entry'!$O$533)</f>
      </c>
      <c r="P533">
        <f>IF(ISBLANK('Data Entry'!$P$533), "", 'Data Entry'!$P$533)</f>
      </c>
      <c r="Q533">
        <f>IF(ISBLANK('Data Entry'!$Q$533), "", 'Data Entry'!$Q$533)</f>
      </c>
      <c r="R533">
        <f>IF(ISBLANK('Data Entry'!$R$533), "", 'Data Entry'!$R$533)</f>
      </c>
      <c r="S533">
        <f>IF(ISBLANK('Data Entry'!$S$533), "", 'Data Entry'!$S$533)</f>
      </c>
      <c r="T533">
        <f>IF(ISBLANK('Data Entry'!$T$533), "", 'Data Entry'!$T$533)</f>
      </c>
      <c r="U533">
        <f>IF(ISBLANK('Data Entry'!$U$533), "", 'Data Entry'!$U$533)</f>
      </c>
      <c r="V533">
        <f>IF(ISBLANK('Data Entry'!$V$533), "", 'Data Entry'!$V$533)</f>
      </c>
      <c r="W533">
        <f>IF(ISBLANK('Data Entry'!$W$533), "", 'Data Entry'!$W$533)</f>
      </c>
      <c r="X533">
        <f>IF(ISBLANK('Data Entry'!$X$533), "", 'Data Entry'!$X$533)</f>
      </c>
      <c r="Y533">
        <f>IF(ISBLANK('Data Entry'!$Y$533), "", 'Data Entry'!$Y$533)</f>
      </c>
      <c r="Z533">
        <f>IF(ISBLANK('Data Entry'!$Z$533), "", 'Data Entry'!$Z$533)</f>
      </c>
      <c r="AA533">
        <f>IF(ISBLANK('Data Entry'!$[$533), "", 'Data Entry'!$[$533)</f>
      </c>
      <c r="AB533">
        <f>IF(ISBLANK('Data Entry'!$\$533), "", 'Data Entry'!$\$533)</f>
      </c>
      <c r="AC533">
        <f>IF(ISBLANK('Data Entry'!$]$533), "", 'Data Entry'!$]$533)</f>
      </c>
      <c r="AD533">
        <f>IF(ISBLANK('Data Entry'!$^$533), "", 'Data Entry'!$^$533)</f>
      </c>
      <c r="AE533">
        <f>IF(ISBLANK('Data Entry'!$_$533), "", 'Data Entry'!$_$533)</f>
      </c>
      <c r="AF533">
        <f>IF(ISBLANK('Data Entry'!$`$533), "", 'Data Entry'!$`$533)</f>
      </c>
      <c r="AG533">
        <f>IF(ISBLANK('Data Entry'!$a$533), "", 'Data Entry'!$a$533)</f>
      </c>
      <c r="AH533">
        <f>IF(ISBLANK('Data Entry'!$b$533), "", 'Data Entry'!$b$533)</f>
      </c>
      <c r="AI533">
        <f>IF(ISBLANK('Data Entry'!$c$533), "", 'Data Entry'!$c$533)</f>
      </c>
      <c r="AJ533">
        <f>IF(ISBLANK('Data Entry'!$d$533), "", 'Data Entry'!$d$533)</f>
      </c>
      <c r="AK533">
        <f>IF(ISBLANK('Data Entry'!$e$533), "", 'Data Entry'!$e$533)</f>
      </c>
      <c r="AL533">
        <f>IF(ISBLANK('Data Entry'!$f$533), "", 'Data Entry'!$f$533)</f>
      </c>
      <c r="AM533">
        <f>IF(ISBLANK('Data Entry'!$g$533), "", 'Data Entry'!$g$533)</f>
      </c>
      <c r="AN533">
        <f>IF(ISBLANK('Data Entry'!$h$533), "", 'Data Entry'!$h$533)</f>
      </c>
      <c r="AO533">
        <f>IF(ISBLANK('Data Entry'!$i$533), "", 'Data Entry'!$i$533)</f>
      </c>
      <c r="AP533">
        <f>IF(ISBLANK('Data Entry'!$j$533), "", 'Data Entry'!$j$533)</f>
      </c>
      <c r="AQ533">
        <f>IF(ISBLANK('Data Entry'!$k$533), "", 'Data Entry'!$k$533)</f>
      </c>
      <c r="AR533">
        <f>IF(ISBLANK('Data Entry'!$l$533), "", 'Data Entry'!$l$533)</f>
      </c>
      <c r="AS533">
        <f>IF(ISBLANK('Data Entry'!$m$533), "", 'Data Entry'!$m$533)</f>
      </c>
      <c r="AT533">
        <f>IF(ISBLANK('Data Entry'!$n$533), "", 'Data Entry'!$n$533)</f>
      </c>
      <c r="AU533">
        <f>IF(ISBLANK('Data Entry'!$o$533), "", 'Data Entry'!$o$533)</f>
      </c>
      <c r="AV533">
        <f>IF(ISBLANK('Data Entry'!$p$533), "", 'Data Entry'!$p$533)</f>
      </c>
      <c r="AW533">
        <f>IF(ISBLANK('Data Entry'!$q$533), "", 'Data Entry'!$q$533)</f>
      </c>
      <c r="AX533">
        <f>IF(ISBLANK('Data Entry'!$r$533), "", 'Data Entry'!$r$533)</f>
      </c>
      <c r="AY533">
        <f>IF(ISBLANK('Data Entry'!$s$533), "", 'Data Entry'!$s$533)</f>
      </c>
      <c r="AZ533">
        <f>IF(ISBLANK('Data Entry'!$t$533), "", 'Data Entry'!$t$533)</f>
      </c>
      <c r="BA533">
        <f>IF(ISBLANK('Data Entry'!$u$533), "", 'Data Entry'!$u$533)</f>
      </c>
      <c r="BB533">
        <f>IF(ISBLANK('Data Entry'!$v$533), "", 'Data Entry'!$v$533)</f>
      </c>
      <c r="BC533">
        <f>IF(ISBLANK('Data Entry'!$w$533), "", 'Data Entry'!$w$533)</f>
      </c>
      <c r="BD533">
        <f>IF(ISBLANK('Data Entry'!$x$533), "", 'Data Entry'!$x$533)</f>
      </c>
      <c r="BE533">
        <f>IF(ISBLANK('Data Entry'!$y$533), "", 'Data Entry'!$y$533)</f>
      </c>
      <c r="BF533">
        <f>IF(ISBLANK('Data Entry'!$z$533), "", 'Data Entry'!$z$533)</f>
      </c>
      <c r="BG533">
        <f>IF(ISBLANK('Data Entry'!${$533), "", 'Data Entry'!${$533)</f>
      </c>
      <c r="BH533">
        <f>IF(ISBLANK('Data Entry'!$|$533), "", 'Data Entry'!$|$533)</f>
      </c>
      <c r="BI533">
        <f>IF(ISBLANK('Data Entry'!$}$533), "", 'Data Entry'!$}$533)</f>
      </c>
      <c r="BJ533">
        <f>IF(ISBLANK('Data Entry'!$~$533), "", 'Data Entry'!$~$533)</f>
      </c>
      <c r="BK533">
        <f>IF(ISBLANK('Data Entry'!$$533), "", 'Data Entry'!$$533)</f>
      </c>
      <c r="BL533">
        <f>IF(ISBLANK('Data Entry'!$$533), "", 'Data Entry'!$$533)</f>
      </c>
      <c r="BM533">
        <f>IF(ISBLANK('Data Entry'!$$533), "", 'Data Entry'!$$533)</f>
      </c>
      <c r="BN533">
        <f>IF(ISBLANK('Data Entry'!$$533), "", 'Data Entry'!$$533)</f>
      </c>
      <c r="BO533">
        <f>IF(ISBLANK('Data Entry'!$$533), "", 'Data Entry'!$$533)</f>
      </c>
      <c r="BP533">
        <f>IF(ISBLANK('Data Entry'!$$533), "", 'Data Entry'!$$533)</f>
      </c>
      <c r="BQ533">
        <f>IF(ISBLANK('Data Entry'!$$533), "", 'Data Entry'!$$533)</f>
      </c>
      <c r="BR533">
        <f>IF(ISBLANK('Data Entry'!$$533), "", 'Data Entry'!$$533)</f>
      </c>
      <c r="BS533">
        <f>IF(ISBLANK('Data Entry'!$$533), "", 'Data Entry'!$$533)</f>
      </c>
      <c r="BT533">
        <f>IF(ISBLANK('Data Entry'!$$533), "", 'Data Entry'!$$533)</f>
      </c>
      <c r="BU533">
        <f>IF(ISBLANK('Data Entry'!$$533), "", 'Data Entry'!$$533)</f>
      </c>
      <c r="BV533">
        <f>IF(ISBLANK('Data Entry'!$$533), "", 'Data Entry'!$$533)</f>
      </c>
      <c r="BW533">
        <f>IF(ISBLANK('Data Entry'!$$533), "", 'Data Entry'!$$533)</f>
      </c>
      <c r="BX533">
        <f>IF(ISBLANK('Data Entry'!$$533), "", 'Data Entry'!$$533)</f>
      </c>
      <c r="BY533">
        <f>IF(ISBLANK('Data Entry'!$$533), "", 'Data Entry'!$$533)</f>
      </c>
      <c r="BZ533">
        <f>IF(ISBLANK('Data Entry'!$$533), "", 'Data Entry'!$$533)</f>
      </c>
      <c r="CA533">
        <f>IF(ISBLANK('Data Entry'!$$533), "", 'Data Entry'!$$533)</f>
      </c>
      <c r="CB533">
        <f>IF(ISBLANK('Data Entry'!$$533), "", 'Data Entry'!$$533)</f>
      </c>
      <c r="CC533">
        <f>IF(ISBLANK('Data Entry'!$$533), "", 'Data Entry'!$$533)</f>
      </c>
      <c r="CD533">
        <f>IF(ISBLANK('Data Entry'!$$533), "", 'Data Entry'!$$533)</f>
      </c>
      <c r="CE533">
        <f>IF(ISBLANK('Data Entry'!$$533), "", 'Data Entry'!$$533)</f>
      </c>
      <c r="CF533">
        <f>IF(ISBLANK('Data Entry'!$$533), "", 'Data Entry'!$$533)</f>
      </c>
      <c r="CG533">
        <f>IF(ISBLANK('Data Entry'!$$533), "", 'Data Entry'!$$533)</f>
      </c>
      <c r="CH533">
        <f>IF(ISBLANK('Data Entry'!$$533), "", 'Data Entry'!$$533)</f>
      </c>
      <c r="CI533">
        <f>IF(ISBLANK('Data Entry'!$$533), "", 'Data Entry'!$$533)</f>
      </c>
      <c r="CJ533">
        <f>IF(ISBLANK('Data Entry'!$$533), "", 'Data Entry'!$$533)</f>
      </c>
      <c r="CK533">
        <f>IF(ISBLANK('Data Entry'!$$533), "", 'Data Entry'!$$533)</f>
      </c>
      <c r="CL533">
        <f>IF(ISBLANK('Data Entry'!$$533), "", 'Data Entry'!$$533)</f>
      </c>
      <c r="CM533">
        <f>IF(ISBLANK('Data Entry'!$$533), "", 'Data Entry'!$$533)</f>
      </c>
      <c r="CN533">
        <f>IF(ISBLANK('Data Entry'!$$533), "", 'Data Entry'!$$533)</f>
      </c>
      <c r="CO533">
        <f>IF(ISBLANK('Data Entry'!$$533), "", 'Data Entry'!$$533)</f>
      </c>
      <c r="CP533">
        <f>IF(ISBLANK('Data Entry'!$$533), "", 'Data Entry'!$$533)</f>
      </c>
      <c r="CQ533">
        <f>IF(ISBLANK('Data Entry'!$$533), "", 'Data Entry'!$$533)</f>
      </c>
      <c r="CR533">
        <f>IF(ISBLANK('Data Entry'!$ $533), "", 'Data Entry'!$ $533)</f>
      </c>
      <c r="CS533">
        <f>IF(ISBLANK('Data Entry'!$¡$533), "", 'Data Entry'!$¡$533)</f>
      </c>
      <c r="CT533">
        <f>IF(ISBLANK('Data Entry'!$¢$533), "", 'Data Entry'!$¢$533)</f>
      </c>
      <c r="CU533">
        <f>IF(ISBLANK('Data Entry'!$£$533), "", 'Data Entry'!$£$533)</f>
      </c>
      <c r="CV533">
        <f>IF(ISBLANK('Data Entry'!$¤$533), "", 'Data Entry'!$¤$533)</f>
      </c>
      <c r="CW533">
        <f>IF(ISBLANK('Data Entry'!$¥$533), "", 'Data Entry'!$¥$533)</f>
      </c>
      <c r="CX533">
        <f>IF(ISBLANK('Data Entry'!$¦$533), "", 'Data Entry'!$¦$533)</f>
      </c>
      <c r="CY533">
        <f>IF(ISBLANK('Data Entry'!$§$533), "", 'Data Entry'!$§$533)</f>
      </c>
      <c r="CZ533">
        <f>IF(ISBLANK('Data Entry'!$¨$533), "", 'Data Entry'!$¨$533)</f>
      </c>
      <c r="DA533">
        <f>IF(ISBLANK('Data Entry'!$©$533), "", 'Data Entry'!$©$533)</f>
      </c>
      <c r="DB533">
        <f>IF(ISBLANK('Data Entry'!$ª$533), "", 'Data Entry'!$ª$533)</f>
      </c>
      <c r="DC533">
        <f>IF(ISBLANK('Data Entry'!$«$533), "", 'Data Entry'!$«$533)</f>
      </c>
      <c r="DD533">
        <f>IF(ISBLANK('Data Entry'!$¬$533), "", 'Data Entry'!$¬$533)</f>
      </c>
      <c r="DE533">
        <f>IF(ISBLANK('Data Entry'!$­$533), "", 'Data Entry'!$­$533)</f>
      </c>
      <c r="DF533">
        <f>IF(ISBLANK('Data Entry'!$®$533), "", 'Data Entry'!$®$533)</f>
      </c>
      <c r="DG533">
        <f>IF(ISBLANK('Data Entry'!$¯$533), "", 'Data Entry'!$¯$533)</f>
      </c>
      <c r="DH533">
        <f>IF(ISBLANK('Data Entry'!$°$533), "", 'Data Entry'!$°$533)</f>
      </c>
      <c r="DI533">
        <f>IF(ISBLANK('Data Entry'!$±$533), "", 'Data Entry'!$±$533)</f>
      </c>
      <c r="DJ533">
        <f>IF(ISBLANK('Data Entry'!$²$533), "", 'Data Entry'!$²$533)</f>
      </c>
      <c r="DK533">
        <f>IF(ISBLANK('Data Entry'!$³$533), "", 'Data Entry'!$³$533)</f>
      </c>
      <c r="DL533">
        <f>IF(ISBLANK('Data Entry'!$´$533), "", 'Data Entry'!$´$533)</f>
      </c>
      <c r="DM533">
        <f>IF(ISBLANK('Data Entry'!$µ$533), "", 'Data Entry'!$µ$533)</f>
      </c>
      <c r="DN533">
        <f>IF(ISBLANK('Data Entry'!$¶$533), "", 'Data Entry'!$¶$533)</f>
      </c>
      <c r="DO533">
        <f>IF(ISBLANK('Data Entry'!$·$533), "", 'Data Entry'!$·$533)</f>
      </c>
      <c r="DP533">
        <f>IF(ISBLANK('Data Entry'!$¸$533), "", 'Data Entry'!$¸$533)</f>
      </c>
      <c r="DQ533">
        <f>IF(ISBLANK('Data Entry'!$¹$533), "", 'Data Entry'!$¹$533)</f>
      </c>
      <c r="DR533">
        <f>IF(ISBLANK('Data Entry'!$º$533), "", 'Data Entry'!$º$533)</f>
      </c>
      <c r="DS533">
        <f>IF(ISBLANK('Data Entry'!$»$533), "", 'Data Entry'!$»$533)</f>
      </c>
      <c r="DT533">
        <f>IF(ISBLANK('Data Entry'!$¼$533), "", 'Data Entry'!$¼$533)</f>
      </c>
      <c r="DU533">
        <f>IF(ISBLANK('Data Entry'!$½$533), "", 'Data Entry'!$½$533)</f>
      </c>
      <c r="DV533">
        <f>IF(ISBLANK('Data Entry'!$¾$533), "", 'Data Entry'!$¾$533)</f>
      </c>
      <c r="DW533">
        <f>IF(ISBLANK('Data Entry'!$¿$533), "", 'Data Entry'!$¿$533)</f>
      </c>
      <c r="DX533">
        <f>IF(ISBLANK('Data Entry'!$À$533), "", 'Data Entry'!$À$533)</f>
      </c>
      <c r="DY533">
        <f>IF(ISBLANK('Data Entry'!$Á$533), "", 'Data Entry'!$Á$533)</f>
      </c>
      <c r="DZ533">
        <f>IF(ISBLANK('Data Entry'!$Â$533), "", 'Data Entry'!$Â$533)</f>
      </c>
      <c r="EA533">
        <f>IF(ISBLANK('Data Entry'!$Ã$533), "", 'Data Entry'!$Ã$533)</f>
      </c>
      <c r="EB533">
        <f>IF(ISBLANK('Data Entry'!$Ä$533), "", 'Data Entry'!$Ä$533)</f>
      </c>
      <c r="EC533">
        <f>IF(ISBLANK('Data Entry'!$Å$533), "", 'Data Entry'!$Å$533)</f>
      </c>
      <c r="ED533">
        <f>IF(ISBLANK('Data Entry'!$Æ$533), "", 'Data Entry'!$Æ$533)</f>
      </c>
      <c r="EE533">
        <f>IF(ISBLANK('Data Entry'!$Ç$533), "", 'Data Entry'!$Ç$533)</f>
      </c>
      <c r="EF533">
        <f>IF(ISBLANK('Data Entry'!$È$533), "", 'Data Entry'!$È$533)</f>
      </c>
      <c r="EG533">
        <f>IF(ISBLANK('Data Entry'!$É$533), "", 'Data Entry'!$É$533)</f>
      </c>
      <c r="EH533">
        <f>IF(ISBLANK('Data Entry'!$Ê$533), "", 'Data Entry'!$Ê$533)</f>
      </c>
      <c r="EI533">
        <f>IF(ISBLANK('Data Entry'!$Ë$533), "", 'Data Entry'!$Ë$533)</f>
      </c>
      <c r="EJ533">
        <f>IF(ISBLANK('Data Entry'!$Ì$533), "", 'Data Entry'!$Ì$533)</f>
      </c>
      <c r="EK533">
        <f>IF(ISBLANK('Data Entry'!$Í$533), "", 'Data Entry'!$Í$533)</f>
      </c>
      <c r="EL533">
        <f>IF(ISBLANK('Data Entry'!$Î$533), "", 'Data Entry'!$Î$533)</f>
      </c>
      <c r="EM533">
        <f>IF(ISBLANK('Data Entry'!$Ï$533), "", 'Data Entry'!$Ï$533)</f>
      </c>
      <c r="EN533">
        <f>IF(ISBLANK('Data Entry'!$Ð$533), "", 'Data Entry'!$Ð$533)</f>
      </c>
      <c r="EO533">
        <f>IF(ISBLANK('Data Entry'!$Ñ$533), "", 'Data Entry'!$Ñ$533)</f>
      </c>
      <c r="EP533">
        <f>IF(ISBLANK('Data Entry'!$Ò$533), "", 'Data Entry'!$Ò$533)</f>
      </c>
      <c r="EQ533">
        <f>IF(ISBLANK('Data Entry'!$Ó$533), "", 'Data Entry'!$Ó$533)</f>
      </c>
      <c r="ER533">
        <f>IF(ISBLANK('Data Entry'!$Ô$533), "", 'Data Entry'!$Ô$533)</f>
      </c>
      <c r="ES533">
        <f>IF(ISBLANK('Data Entry'!$Õ$533), "", 'Data Entry'!$Õ$533)</f>
      </c>
      <c r="ET533">
        <f>IF(ISBLANK('Data Entry'!$Ö$533), "", 'Data Entry'!$Ö$533)</f>
      </c>
      <c r="EU533">
        <f>IF(ISBLANK('Data Entry'!$×$533), "", 'Data Entry'!$×$533)</f>
      </c>
      <c r="EV533">
        <f>IF(ISBLANK('Data Entry'!$Ø$533), "", 'Data Entry'!$Ø$533)</f>
      </c>
      <c r="EW533">
        <f>IF(ISBLANK('Data Entry'!$Ù$533), "", 'Data Entry'!$Ù$533)</f>
      </c>
      <c r="EX533">
        <f>IF(ISBLANK('Data Entry'!$Ú$533), "", 'Data Entry'!$Ú$533)</f>
      </c>
      <c r="EY533">
        <f>IF(ISBLANK('Data Entry'!$Û$533), "", 'Data Entry'!$Û$533)</f>
      </c>
      <c r="EZ533">
        <f>IF(ISBLANK('Data Entry'!$Ü$533), "", 'Data Entry'!$Ü$533)</f>
      </c>
      <c r="FA533">
        <f>IF(ISBLANK('Data Entry'!$Ý$533), "", 'Data Entry'!$Ý$533)</f>
      </c>
      <c r="FB533">
        <f>IF(ISBLANK('Data Entry'!$Þ$533), "", 'Data Entry'!$Þ$533)</f>
      </c>
      <c r="FC533">
        <f>IF(ISBLANK('Data Entry'!$ß$533), "", 'Data Entry'!$ß$533)</f>
      </c>
      <c r="FD533">
        <f>IF(ISBLANK('Data Entry'!$à$533), "", 'Data Entry'!$à$533)</f>
      </c>
      <c r="FE533">
        <f>IF(ISBLANK('Data Entry'!$á$533), "", 'Data Entry'!$á$533)</f>
      </c>
      <c r="FF533">
        <f>IF(ISBLANK('Data Entry'!$â$533), "", 'Data Entry'!$â$533)</f>
      </c>
      <c r="FG533">
        <f>IF(ISBLANK('Data Entry'!$ã$533), "", 'Data Entry'!$ã$533)</f>
      </c>
      <c r="FH533">
        <f>IF(ISBLANK('Data Entry'!$ä$533), "", 'Data Entry'!$ä$533)</f>
      </c>
      <c r="FI533">
        <f>IF(ISBLANK('Data Entry'!$å$533), "", 'Data Entry'!$å$533)</f>
      </c>
      <c r="FJ533">
        <f>IF(ISBLANK('Data Entry'!$æ$533), "", 'Data Entry'!$æ$533)</f>
      </c>
      <c r="FK533">
        <f>IF(ISBLANK('Data Entry'!$ç$533), "", 'Data Entry'!$ç$533)</f>
      </c>
      <c r="FL533">
        <f>IF(ISBLANK('Data Entry'!$è$533), "", 'Data Entry'!$è$533)</f>
      </c>
      <c r="FM533">
        <f>IF(ISBLANK('Data Entry'!$é$533), "", 'Data Entry'!$é$533)</f>
      </c>
      <c r="FN533">
        <f>IF(ISBLANK('Data Entry'!$ê$533), "", 'Data Entry'!$ê$533)</f>
      </c>
      <c r="FO533">
        <f>IF(ISBLANK('Data Entry'!$ë$533), "", 'Data Entry'!$ë$533)</f>
      </c>
      <c r="FP533">
        <f>IF(ISBLANK('Data Entry'!$ì$533), "", 'Data Entry'!$ì$533)</f>
      </c>
      <c r="FQ533">
        <f>IF(ISBLANK('Data Entry'!$í$533), "", 'Data Entry'!$í$533)</f>
      </c>
      <c r="FR533">
        <f>IF(ISBLANK('Data Entry'!$î$533), "", 'Data Entry'!$î$533)</f>
      </c>
      <c r="FS533">
        <f>IF(ISBLANK('Data Entry'!$ï$533), "", 'Data Entry'!$ï$533)</f>
      </c>
      <c r="FT533">
        <f>IF(ISBLANK('Data Entry'!$ð$533), "", 'Data Entry'!$ð$533)</f>
      </c>
      <c r="FU533">
        <f>IF(ISBLANK('Data Entry'!$ñ$533), "", 'Data Entry'!$ñ$533)</f>
      </c>
      <c r="FV533">
        <f>IF(ISBLANK('Data Entry'!$ò$533), "", 'Data Entry'!$ò$533)</f>
      </c>
      <c r="FW533">
        <f>IF(ISBLANK('Data Entry'!$ó$533), "", 'Data Entry'!$ó$533)</f>
      </c>
      <c r="FX533">
        <f>IF(ISBLANK('Data Entry'!$ô$533), "", 'Data Entry'!$ô$533)</f>
      </c>
      <c r="FY533">
        <f>IF(ISBLANK('Data Entry'!$õ$533), "", 'Data Entry'!$õ$533)</f>
      </c>
      <c r="FZ533">
        <f>IF(ISBLANK('Data Entry'!$ö$533), "", 'Data Entry'!$ö$533)</f>
      </c>
      <c r="GA533">
        <f>IF(ISBLANK('Data Entry'!$÷$533), "", 'Data Entry'!$÷$533)</f>
      </c>
      <c r="GB533">
        <f>IF(ISBLANK('Data Entry'!$ø$533), "", 'Data Entry'!$ø$533)</f>
      </c>
      <c r="GC533">
        <f>IF(ISBLANK('Data Entry'!$ù$533), "", 'Data Entry'!$ù$533)</f>
      </c>
      <c r="GD533">
        <f>IF(ISBLANK('Data Entry'!$ú$533), "", 'Data Entry'!$ú$533)</f>
      </c>
      <c r="GE533">
        <f>IF(ISBLANK('Data Entry'!$û$533), "", 'Data Entry'!$û$533)</f>
      </c>
      <c r="GF533">
        <f>IF(ISBLANK('Data Entry'!$ü$533), "", 'Data Entry'!$ü$533)</f>
      </c>
      <c r="GG533">
        <f>IF(ISBLANK('Data Entry'!$ý$533), "", 'Data Entry'!$ý$533)</f>
      </c>
      <c r="GH533">
        <f>IF(ISBLANK('Data Entry'!$þ$533), "", 'Data Entry'!$þ$533)</f>
      </c>
      <c r="GI533">
        <f>IF(ISBLANK('Data Entry'!$ÿ$533), "", 'Data Entry'!$ÿ$533)</f>
      </c>
      <c r="GJ533">
        <f>IF(ISBLANK('Data Entry'!$Ā$533), "", 'Data Entry'!$Ā$533)</f>
      </c>
      <c r="GK533">
        <f>IF(ISBLANK('Data Entry'!$ā$533), "", 'Data Entry'!$ā$533)</f>
      </c>
      <c r="GL533">
        <f>IF(ISBLANK('Data Entry'!$Ă$533), "", 'Data Entry'!$Ă$533)</f>
      </c>
      <c r="GM533">
        <f>IF(ISBLANK('Data Entry'!$ă$533), "", 'Data Entry'!$ă$533)</f>
      </c>
      <c r="GN533">
        <f>IF(ISBLANK('Data Entry'!$Ą$533), "", 'Data Entry'!$Ą$533)</f>
      </c>
      <c r="GO533">
        <f>IF(ISBLANK('Data Entry'!$ą$533), "", 'Data Entry'!$ą$533)</f>
      </c>
      <c r="GP533">
        <f>IF(ISBLANK('Data Entry'!$Ć$533), "", 'Data Entry'!$Ć$533)</f>
      </c>
      <c r="GQ533">
        <f>IF(ISBLANK('Data Entry'!$ć$533), "", 'Data Entry'!$ć$533)</f>
      </c>
      <c r="GR533">
        <f>IF(ISBLANK('Data Entry'!$Ĉ$533), "", 'Data Entry'!$Ĉ$533)</f>
      </c>
      <c r="GS533">
        <f>IF(ISBLANK('Data Entry'!$ĉ$533), "", 'Data Entry'!$ĉ$533)</f>
      </c>
      <c r="GT533">
        <f>IF(ISBLANK('Data Entry'!$Ċ$533), "", 'Data Entry'!$Ċ$533)</f>
      </c>
      <c r="GU533">
        <f>IF(ISBLANK('Data Entry'!$ċ$533), "", 'Data Entry'!$ċ$533)</f>
      </c>
      <c r="GV533">
        <f>IF(ISBLANK('Data Entry'!$Č$533), "", 'Data Entry'!$Č$533)</f>
      </c>
      <c r="GW533">
        <f>IF(ISBLANK('Data Entry'!$č$533), "", 'Data Entry'!$č$533)</f>
      </c>
      <c r="GX533">
        <f>IF(ISBLANK('Data Entry'!$Ď$533), "", 'Data Entry'!$Ď$533)</f>
      </c>
      <c r="GY533">
        <f>IF(ISBLANK('Data Entry'!$ď$533), "", 'Data Entry'!$ď$533)</f>
      </c>
      <c r="GZ533">
        <f>IF(ISBLANK('Data Entry'!$Đ$533), "", 'Data Entry'!$Đ$533)</f>
      </c>
      <c r="HA533">
        <f>IF(ISBLANK('Data Entry'!$đ$533), "", 'Data Entry'!$đ$533)</f>
      </c>
      <c r="HB533">
        <f>IF(ISBLANK('Data Entry'!$Ē$533), "", 'Data Entry'!$Ē$533)</f>
      </c>
      <c r="HC533">
        <f>IF(ISBLANK('Data Entry'!$ē$533), "", 'Data Entry'!$ē$533)</f>
      </c>
      <c r="HD533">
        <f>IF(ISBLANK('Data Entry'!$Ĕ$533), "", 'Data Entry'!$Ĕ$533)</f>
      </c>
      <c r="HE533">
        <f>IF(ISBLANK('Data Entry'!$ĕ$533), "", 'Data Entry'!$ĕ$533)</f>
      </c>
      <c r="HF533">
        <f>IF(ISBLANK('Data Entry'!$Ė$533), "", 'Data Entry'!$Ė$533)</f>
      </c>
      <c r="HG533">
        <f>IF(ISBLANK('Data Entry'!$ė$533), "", 'Data Entry'!$ė$533)</f>
      </c>
      <c r="HH533">
        <f>IF(ISBLANK('Data Entry'!$Ę$533), "", 'Data Entry'!$Ę$533)</f>
      </c>
      <c r="HI533">
        <f>IF(ISBLANK('Data Entry'!$ę$533), "", 'Data Entry'!$ę$533)</f>
      </c>
      <c r="HJ533">
        <f>IF(ISBLANK('Data Entry'!$Ě$533), "", 'Data Entry'!$Ě$533)</f>
      </c>
      <c r="HK533">
        <f>IF(ISBLANK('Data Entry'!$ě$533), "", 'Data Entry'!$ě$533)</f>
      </c>
      <c r="HL533">
        <f>IF(ISBLANK('Data Entry'!$Ĝ$533), "", 'Data Entry'!$Ĝ$533)</f>
      </c>
      <c r="HM533">
        <f>IF(ISBLANK('Data Entry'!$ĝ$533), "", 'Data Entry'!$ĝ$533)</f>
      </c>
      <c r="HN533">
        <f>IF(ISBLANK('Data Entry'!$Ğ$533), "", 'Data Entry'!$Ğ$533)</f>
      </c>
      <c r="HO533">
        <f>IF(ISBLANK('Data Entry'!$ğ$533), "", 'Data Entry'!$ğ$533)</f>
      </c>
      <c r="HP533">
        <f>IF(ISBLANK('Data Entry'!$Ġ$533), "", 'Data Entry'!$Ġ$533)</f>
      </c>
      <c r="HQ533">
        <f>IF(ISBLANK('Data Entry'!$ġ$533), "", 'Data Entry'!$ġ$533)</f>
      </c>
      <c r="HR533">
        <f>IF(ISBLANK('Data Entry'!$Ģ$533), "", 'Data Entry'!$Ģ$533)</f>
      </c>
      <c r="HS533">
        <f>IF(ISBLANK('Data Entry'!$ģ$533), "", 'Data Entry'!$ģ$533)</f>
      </c>
      <c r="HT533">
        <f>IF(ISBLANK('Data Entry'!$Ĥ$533), "", 'Data Entry'!$Ĥ$533)</f>
      </c>
      <c r="HU533">
        <f>IF(ISBLANK('Data Entry'!$ĥ$533), "", 'Data Entry'!$ĥ$533)</f>
      </c>
      <c r="HV533">
        <f>IF(ISBLANK('Data Entry'!$Ħ$533), "", 'Data Entry'!$Ħ$533)</f>
      </c>
      <c r="HW533">
        <f>IF(ISBLANK('Data Entry'!$ħ$533), "", 'Data Entry'!$ħ$533)</f>
      </c>
      <c r="HX533">
        <f>IF(ISBLANK('Data Entry'!$Ĩ$533), "", 'Data Entry'!$Ĩ$533)</f>
      </c>
      <c r="HY533">
        <f>IF(ISBLANK('Data Entry'!$ĩ$533), "", 'Data Entry'!$ĩ$533)</f>
      </c>
      <c r="HZ533">
        <f>IF(ISBLANK('Data Entry'!$Ī$533), "", 'Data Entry'!$Ī$533)</f>
      </c>
      <c r="IA533">
        <f>IF(ISBLANK('Data Entry'!$ī$533), "", 'Data Entry'!$ī$533)</f>
      </c>
      <c r="IB533">
        <f>IF(ISBLANK('Data Entry'!$Ĭ$533), "", 'Data Entry'!$Ĭ$533)</f>
      </c>
      <c r="IC533">
        <f>IF(ISBLANK('Data Entry'!$ĭ$533), "", 'Data Entry'!$ĭ$533)</f>
      </c>
      <c r="ID533">
        <f>IF(ISBLANK('Data Entry'!$Į$533), "", 'Data Entry'!$Į$533)</f>
      </c>
      <c r="IE533">
        <f>IF(ISBLANK('Data Entry'!$į$533), "", 'Data Entry'!$į$533)</f>
      </c>
      <c r="IF533">
        <f>IF(ISBLANK('Data Entry'!$İ$533), "", 'Data Entry'!$İ$533)</f>
      </c>
      <c r="IG533">
        <f>IF(ISBLANK('Data Entry'!$ı$533), "", 'Data Entry'!$ı$533)</f>
      </c>
      <c r="IH533">
        <f>IF(ISBLANK('Data Entry'!$Ĳ$533), "", 'Data Entry'!$Ĳ$533)</f>
      </c>
      <c r="II533">
        <f>IF(ISBLANK('Data Entry'!$ĳ$533), "", 'Data Entry'!$ĳ$533)</f>
      </c>
      <c r="IJ533">
        <f>IF(ISBLANK('Data Entry'!$Ĵ$533), "", 'Data Entry'!$Ĵ$533)</f>
      </c>
      <c r="IK533">
        <f>IF(ISBLANK('Data Entry'!$ĵ$533), "", 'Data Entry'!$ĵ$533)</f>
      </c>
      <c r="IL533">
        <f>IF(ISBLANK('Data Entry'!$Ķ$533), "", 'Data Entry'!$Ķ$533)</f>
      </c>
      <c r="IM533">
        <f>IF(ISBLANK('Data Entry'!$ķ$533), "", 'Data Entry'!$ķ$533)</f>
      </c>
      <c r="IN533">
        <f>IF(ISBLANK('Data Entry'!$ĸ$533), "", 'Data Entry'!$ĸ$533)</f>
      </c>
      <c r="IO533">
        <f>IF(ISBLANK('Data Entry'!$Ĺ$533), "", 'Data Entry'!$Ĺ$533)</f>
      </c>
      <c r="IP533">
        <f>IF(ISBLANK('Data Entry'!$ĺ$533), "", 'Data Entry'!$ĺ$533)</f>
      </c>
      <c r="IQ533">
        <f>IF(ISBLANK('Data Entry'!$Ļ$533), "", 'Data Entry'!$Ļ$533)</f>
      </c>
      <c r="IR533">
        <f>IF(ISBLANK('Data Entry'!$ļ$533), "", 'Data Entry'!$ļ$533)</f>
      </c>
      <c r="IS533">
        <f>IF(ISBLANK('Data Entry'!$Ľ$533), "", 'Data Entry'!$Ľ$533)</f>
      </c>
      <c r="IT533">
        <f>IF(ISBLANK('Data Entry'!$ľ$533), "", 'Data Entry'!$ľ$533)</f>
      </c>
    </row>
    <row r="534" spans="1:254" x14ac:dyDescent="0.25">
      <c r="A534">
        <f>IF(ISBLANK('Data Entry'!$A$534), "", 'Data Entry'!$A$534)</f>
      </c>
      <c r="B534">
        <f>IF(ISBLANK('Data Entry'!$B$534), "", 'Data Entry'!$B$534)</f>
      </c>
      <c r="C534">
        <f>IF(ISBLANK('Data Entry'!$C$534), "", 'Data Entry'!$C$534)</f>
      </c>
      <c r="D534">
        <f>IF(ISBLANK('Data Entry'!$D$534), "", 'Data Entry'!$D$534)</f>
      </c>
      <c r="E534">
        <f>IF(ISBLANK('Data Entry'!$E$534), "", 'Data Entry'!$E$534)</f>
      </c>
      <c r="F534">
        <f>IF(ISBLANK('Data Entry'!$F$534), "", 'Data Entry'!$F$534)</f>
      </c>
      <c r="G534">
        <f>IF(ISBLANK('Data Entry'!$G$534), "", 'Data Entry'!$G$534)</f>
      </c>
      <c r="H534">
        <f>IF(ISBLANK('Data Entry'!$H$534), "", 'Data Entry'!$H$534)</f>
      </c>
      <c r="I534">
        <f>IF(ISBLANK('Data Entry'!$I$534), "", 'Data Entry'!$I$534)</f>
      </c>
      <c r="J534">
        <f>IF(ISBLANK('Data Entry'!$J$534), "", 'Data Entry'!$J$534)</f>
      </c>
      <c r="K534">
        <f>IF(ISBLANK('Data Entry'!$K$534), "", 'Data Entry'!$K$534)</f>
      </c>
      <c r="L534">
        <f>IF(ISBLANK('Data Entry'!$L$534), "", 'Data Entry'!$L$534)</f>
      </c>
      <c r="M534">
        <f>IF(ISBLANK('Data Entry'!$M$534), "", 'Data Entry'!$M$534)</f>
      </c>
      <c r="N534">
        <f>IF(ISBLANK('Data Entry'!$N$534), "", 'Data Entry'!$N$534)</f>
      </c>
      <c r="O534">
        <f>IF(ISBLANK('Data Entry'!$O$534), "", 'Data Entry'!$O$534)</f>
      </c>
      <c r="P534">
        <f>IF(ISBLANK('Data Entry'!$P$534), "", 'Data Entry'!$P$534)</f>
      </c>
      <c r="Q534">
        <f>IF(ISBLANK('Data Entry'!$Q$534), "", 'Data Entry'!$Q$534)</f>
      </c>
      <c r="R534">
        <f>IF(ISBLANK('Data Entry'!$R$534), "", 'Data Entry'!$R$534)</f>
      </c>
      <c r="S534">
        <f>IF(ISBLANK('Data Entry'!$S$534), "", 'Data Entry'!$S$534)</f>
      </c>
      <c r="T534">
        <f>IF(ISBLANK('Data Entry'!$T$534), "", 'Data Entry'!$T$534)</f>
      </c>
      <c r="U534">
        <f>IF(ISBLANK('Data Entry'!$U$534), "", 'Data Entry'!$U$534)</f>
      </c>
      <c r="V534">
        <f>IF(ISBLANK('Data Entry'!$V$534), "", 'Data Entry'!$V$534)</f>
      </c>
      <c r="W534">
        <f>IF(ISBLANK('Data Entry'!$W$534), "", 'Data Entry'!$W$534)</f>
      </c>
      <c r="X534">
        <f>IF(ISBLANK('Data Entry'!$X$534), "", 'Data Entry'!$X$534)</f>
      </c>
      <c r="Y534">
        <f>IF(ISBLANK('Data Entry'!$Y$534), "", 'Data Entry'!$Y$534)</f>
      </c>
      <c r="Z534">
        <f>IF(ISBLANK('Data Entry'!$Z$534), "", 'Data Entry'!$Z$534)</f>
      </c>
      <c r="AA534">
        <f>IF(ISBLANK('Data Entry'!$[$534), "", 'Data Entry'!$[$534)</f>
      </c>
      <c r="AB534">
        <f>IF(ISBLANK('Data Entry'!$\$534), "", 'Data Entry'!$\$534)</f>
      </c>
      <c r="AC534">
        <f>IF(ISBLANK('Data Entry'!$]$534), "", 'Data Entry'!$]$534)</f>
      </c>
      <c r="AD534">
        <f>IF(ISBLANK('Data Entry'!$^$534), "", 'Data Entry'!$^$534)</f>
      </c>
      <c r="AE534">
        <f>IF(ISBLANK('Data Entry'!$_$534), "", 'Data Entry'!$_$534)</f>
      </c>
      <c r="AF534">
        <f>IF(ISBLANK('Data Entry'!$`$534), "", 'Data Entry'!$`$534)</f>
      </c>
      <c r="AG534">
        <f>IF(ISBLANK('Data Entry'!$a$534), "", 'Data Entry'!$a$534)</f>
      </c>
      <c r="AH534">
        <f>IF(ISBLANK('Data Entry'!$b$534), "", 'Data Entry'!$b$534)</f>
      </c>
      <c r="AI534">
        <f>IF(ISBLANK('Data Entry'!$c$534), "", 'Data Entry'!$c$534)</f>
      </c>
      <c r="AJ534">
        <f>IF(ISBLANK('Data Entry'!$d$534), "", 'Data Entry'!$d$534)</f>
      </c>
      <c r="AK534">
        <f>IF(ISBLANK('Data Entry'!$e$534), "", 'Data Entry'!$e$534)</f>
      </c>
      <c r="AL534">
        <f>IF(ISBLANK('Data Entry'!$f$534), "", 'Data Entry'!$f$534)</f>
      </c>
      <c r="AM534">
        <f>IF(ISBLANK('Data Entry'!$g$534), "", 'Data Entry'!$g$534)</f>
      </c>
      <c r="AN534">
        <f>IF(ISBLANK('Data Entry'!$h$534), "", 'Data Entry'!$h$534)</f>
      </c>
      <c r="AO534">
        <f>IF(ISBLANK('Data Entry'!$i$534), "", 'Data Entry'!$i$534)</f>
      </c>
      <c r="AP534">
        <f>IF(ISBLANK('Data Entry'!$j$534), "", 'Data Entry'!$j$534)</f>
      </c>
      <c r="AQ534">
        <f>IF(ISBLANK('Data Entry'!$k$534), "", 'Data Entry'!$k$534)</f>
      </c>
      <c r="AR534">
        <f>IF(ISBLANK('Data Entry'!$l$534), "", 'Data Entry'!$l$534)</f>
      </c>
      <c r="AS534">
        <f>IF(ISBLANK('Data Entry'!$m$534), "", 'Data Entry'!$m$534)</f>
      </c>
      <c r="AT534">
        <f>IF(ISBLANK('Data Entry'!$n$534), "", 'Data Entry'!$n$534)</f>
      </c>
      <c r="AU534">
        <f>IF(ISBLANK('Data Entry'!$o$534), "", 'Data Entry'!$o$534)</f>
      </c>
      <c r="AV534">
        <f>IF(ISBLANK('Data Entry'!$p$534), "", 'Data Entry'!$p$534)</f>
      </c>
      <c r="AW534">
        <f>IF(ISBLANK('Data Entry'!$q$534), "", 'Data Entry'!$q$534)</f>
      </c>
      <c r="AX534">
        <f>IF(ISBLANK('Data Entry'!$r$534), "", 'Data Entry'!$r$534)</f>
      </c>
      <c r="AY534">
        <f>IF(ISBLANK('Data Entry'!$s$534), "", 'Data Entry'!$s$534)</f>
      </c>
      <c r="AZ534">
        <f>IF(ISBLANK('Data Entry'!$t$534), "", 'Data Entry'!$t$534)</f>
      </c>
      <c r="BA534">
        <f>IF(ISBLANK('Data Entry'!$u$534), "", 'Data Entry'!$u$534)</f>
      </c>
      <c r="BB534">
        <f>IF(ISBLANK('Data Entry'!$v$534), "", 'Data Entry'!$v$534)</f>
      </c>
      <c r="BC534">
        <f>IF(ISBLANK('Data Entry'!$w$534), "", 'Data Entry'!$w$534)</f>
      </c>
      <c r="BD534">
        <f>IF(ISBLANK('Data Entry'!$x$534), "", 'Data Entry'!$x$534)</f>
      </c>
      <c r="BE534">
        <f>IF(ISBLANK('Data Entry'!$y$534), "", 'Data Entry'!$y$534)</f>
      </c>
      <c r="BF534">
        <f>IF(ISBLANK('Data Entry'!$z$534), "", 'Data Entry'!$z$534)</f>
      </c>
      <c r="BG534">
        <f>IF(ISBLANK('Data Entry'!${$534), "", 'Data Entry'!${$534)</f>
      </c>
      <c r="BH534">
        <f>IF(ISBLANK('Data Entry'!$|$534), "", 'Data Entry'!$|$534)</f>
      </c>
      <c r="BI534">
        <f>IF(ISBLANK('Data Entry'!$}$534), "", 'Data Entry'!$}$534)</f>
      </c>
      <c r="BJ534">
        <f>IF(ISBLANK('Data Entry'!$~$534), "", 'Data Entry'!$~$534)</f>
      </c>
      <c r="BK534">
        <f>IF(ISBLANK('Data Entry'!$$534), "", 'Data Entry'!$$534)</f>
      </c>
      <c r="BL534">
        <f>IF(ISBLANK('Data Entry'!$$534), "", 'Data Entry'!$$534)</f>
      </c>
      <c r="BM534">
        <f>IF(ISBLANK('Data Entry'!$$534), "", 'Data Entry'!$$534)</f>
      </c>
      <c r="BN534">
        <f>IF(ISBLANK('Data Entry'!$$534), "", 'Data Entry'!$$534)</f>
      </c>
      <c r="BO534">
        <f>IF(ISBLANK('Data Entry'!$$534), "", 'Data Entry'!$$534)</f>
      </c>
      <c r="BP534">
        <f>IF(ISBLANK('Data Entry'!$$534), "", 'Data Entry'!$$534)</f>
      </c>
      <c r="BQ534">
        <f>IF(ISBLANK('Data Entry'!$$534), "", 'Data Entry'!$$534)</f>
      </c>
      <c r="BR534">
        <f>IF(ISBLANK('Data Entry'!$$534), "", 'Data Entry'!$$534)</f>
      </c>
      <c r="BS534">
        <f>IF(ISBLANK('Data Entry'!$$534), "", 'Data Entry'!$$534)</f>
      </c>
      <c r="BT534">
        <f>IF(ISBLANK('Data Entry'!$$534), "", 'Data Entry'!$$534)</f>
      </c>
      <c r="BU534">
        <f>IF(ISBLANK('Data Entry'!$$534), "", 'Data Entry'!$$534)</f>
      </c>
      <c r="BV534">
        <f>IF(ISBLANK('Data Entry'!$$534), "", 'Data Entry'!$$534)</f>
      </c>
      <c r="BW534">
        <f>IF(ISBLANK('Data Entry'!$$534), "", 'Data Entry'!$$534)</f>
      </c>
      <c r="BX534">
        <f>IF(ISBLANK('Data Entry'!$$534), "", 'Data Entry'!$$534)</f>
      </c>
      <c r="BY534">
        <f>IF(ISBLANK('Data Entry'!$$534), "", 'Data Entry'!$$534)</f>
      </c>
      <c r="BZ534">
        <f>IF(ISBLANK('Data Entry'!$$534), "", 'Data Entry'!$$534)</f>
      </c>
      <c r="CA534">
        <f>IF(ISBLANK('Data Entry'!$$534), "", 'Data Entry'!$$534)</f>
      </c>
      <c r="CB534">
        <f>IF(ISBLANK('Data Entry'!$$534), "", 'Data Entry'!$$534)</f>
      </c>
      <c r="CC534">
        <f>IF(ISBLANK('Data Entry'!$$534), "", 'Data Entry'!$$534)</f>
      </c>
      <c r="CD534">
        <f>IF(ISBLANK('Data Entry'!$$534), "", 'Data Entry'!$$534)</f>
      </c>
      <c r="CE534">
        <f>IF(ISBLANK('Data Entry'!$$534), "", 'Data Entry'!$$534)</f>
      </c>
      <c r="CF534">
        <f>IF(ISBLANK('Data Entry'!$$534), "", 'Data Entry'!$$534)</f>
      </c>
      <c r="CG534">
        <f>IF(ISBLANK('Data Entry'!$$534), "", 'Data Entry'!$$534)</f>
      </c>
      <c r="CH534">
        <f>IF(ISBLANK('Data Entry'!$$534), "", 'Data Entry'!$$534)</f>
      </c>
      <c r="CI534">
        <f>IF(ISBLANK('Data Entry'!$$534), "", 'Data Entry'!$$534)</f>
      </c>
      <c r="CJ534">
        <f>IF(ISBLANK('Data Entry'!$$534), "", 'Data Entry'!$$534)</f>
      </c>
      <c r="CK534">
        <f>IF(ISBLANK('Data Entry'!$$534), "", 'Data Entry'!$$534)</f>
      </c>
      <c r="CL534">
        <f>IF(ISBLANK('Data Entry'!$$534), "", 'Data Entry'!$$534)</f>
      </c>
      <c r="CM534">
        <f>IF(ISBLANK('Data Entry'!$$534), "", 'Data Entry'!$$534)</f>
      </c>
      <c r="CN534">
        <f>IF(ISBLANK('Data Entry'!$$534), "", 'Data Entry'!$$534)</f>
      </c>
      <c r="CO534">
        <f>IF(ISBLANK('Data Entry'!$$534), "", 'Data Entry'!$$534)</f>
      </c>
      <c r="CP534">
        <f>IF(ISBLANK('Data Entry'!$$534), "", 'Data Entry'!$$534)</f>
      </c>
      <c r="CQ534">
        <f>IF(ISBLANK('Data Entry'!$$534), "", 'Data Entry'!$$534)</f>
      </c>
      <c r="CR534">
        <f>IF(ISBLANK('Data Entry'!$ $534), "", 'Data Entry'!$ $534)</f>
      </c>
      <c r="CS534">
        <f>IF(ISBLANK('Data Entry'!$¡$534), "", 'Data Entry'!$¡$534)</f>
      </c>
      <c r="CT534">
        <f>IF(ISBLANK('Data Entry'!$¢$534), "", 'Data Entry'!$¢$534)</f>
      </c>
      <c r="CU534">
        <f>IF(ISBLANK('Data Entry'!$£$534), "", 'Data Entry'!$£$534)</f>
      </c>
      <c r="CV534">
        <f>IF(ISBLANK('Data Entry'!$¤$534), "", 'Data Entry'!$¤$534)</f>
      </c>
      <c r="CW534">
        <f>IF(ISBLANK('Data Entry'!$¥$534), "", 'Data Entry'!$¥$534)</f>
      </c>
      <c r="CX534">
        <f>IF(ISBLANK('Data Entry'!$¦$534), "", 'Data Entry'!$¦$534)</f>
      </c>
      <c r="CY534">
        <f>IF(ISBLANK('Data Entry'!$§$534), "", 'Data Entry'!$§$534)</f>
      </c>
      <c r="CZ534">
        <f>IF(ISBLANK('Data Entry'!$¨$534), "", 'Data Entry'!$¨$534)</f>
      </c>
      <c r="DA534">
        <f>IF(ISBLANK('Data Entry'!$©$534), "", 'Data Entry'!$©$534)</f>
      </c>
      <c r="DB534">
        <f>IF(ISBLANK('Data Entry'!$ª$534), "", 'Data Entry'!$ª$534)</f>
      </c>
      <c r="DC534">
        <f>IF(ISBLANK('Data Entry'!$«$534), "", 'Data Entry'!$«$534)</f>
      </c>
      <c r="DD534">
        <f>IF(ISBLANK('Data Entry'!$¬$534), "", 'Data Entry'!$¬$534)</f>
      </c>
      <c r="DE534">
        <f>IF(ISBLANK('Data Entry'!$­$534), "", 'Data Entry'!$­$534)</f>
      </c>
      <c r="DF534">
        <f>IF(ISBLANK('Data Entry'!$®$534), "", 'Data Entry'!$®$534)</f>
      </c>
      <c r="DG534">
        <f>IF(ISBLANK('Data Entry'!$¯$534), "", 'Data Entry'!$¯$534)</f>
      </c>
      <c r="DH534">
        <f>IF(ISBLANK('Data Entry'!$°$534), "", 'Data Entry'!$°$534)</f>
      </c>
      <c r="DI534">
        <f>IF(ISBLANK('Data Entry'!$±$534), "", 'Data Entry'!$±$534)</f>
      </c>
      <c r="DJ534">
        <f>IF(ISBLANK('Data Entry'!$²$534), "", 'Data Entry'!$²$534)</f>
      </c>
      <c r="DK534">
        <f>IF(ISBLANK('Data Entry'!$³$534), "", 'Data Entry'!$³$534)</f>
      </c>
      <c r="DL534">
        <f>IF(ISBLANK('Data Entry'!$´$534), "", 'Data Entry'!$´$534)</f>
      </c>
      <c r="DM534">
        <f>IF(ISBLANK('Data Entry'!$µ$534), "", 'Data Entry'!$µ$534)</f>
      </c>
      <c r="DN534">
        <f>IF(ISBLANK('Data Entry'!$¶$534), "", 'Data Entry'!$¶$534)</f>
      </c>
      <c r="DO534">
        <f>IF(ISBLANK('Data Entry'!$·$534), "", 'Data Entry'!$·$534)</f>
      </c>
      <c r="DP534">
        <f>IF(ISBLANK('Data Entry'!$¸$534), "", 'Data Entry'!$¸$534)</f>
      </c>
      <c r="DQ534">
        <f>IF(ISBLANK('Data Entry'!$¹$534), "", 'Data Entry'!$¹$534)</f>
      </c>
      <c r="DR534">
        <f>IF(ISBLANK('Data Entry'!$º$534), "", 'Data Entry'!$º$534)</f>
      </c>
      <c r="DS534">
        <f>IF(ISBLANK('Data Entry'!$»$534), "", 'Data Entry'!$»$534)</f>
      </c>
      <c r="DT534">
        <f>IF(ISBLANK('Data Entry'!$¼$534), "", 'Data Entry'!$¼$534)</f>
      </c>
      <c r="DU534">
        <f>IF(ISBLANK('Data Entry'!$½$534), "", 'Data Entry'!$½$534)</f>
      </c>
      <c r="DV534">
        <f>IF(ISBLANK('Data Entry'!$¾$534), "", 'Data Entry'!$¾$534)</f>
      </c>
      <c r="DW534">
        <f>IF(ISBLANK('Data Entry'!$¿$534), "", 'Data Entry'!$¿$534)</f>
      </c>
      <c r="DX534">
        <f>IF(ISBLANK('Data Entry'!$À$534), "", 'Data Entry'!$À$534)</f>
      </c>
      <c r="DY534">
        <f>IF(ISBLANK('Data Entry'!$Á$534), "", 'Data Entry'!$Á$534)</f>
      </c>
      <c r="DZ534">
        <f>IF(ISBLANK('Data Entry'!$Â$534), "", 'Data Entry'!$Â$534)</f>
      </c>
      <c r="EA534">
        <f>IF(ISBLANK('Data Entry'!$Ã$534), "", 'Data Entry'!$Ã$534)</f>
      </c>
      <c r="EB534">
        <f>IF(ISBLANK('Data Entry'!$Ä$534), "", 'Data Entry'!$Ä$534)</f>
      </c>
      <c r="EC534">
        <f>IF(ISBLANK('Data Entry'!$Å$534), "", 'Data Entry'!$Å$534)</f>
      </c>
      <c r="ED534">
        <f>IF(ISBLANK('Data Entry'!$Æ$534), "", 'Data Entry'!$Æ$534)</f>
      </c>
      <c r="EE534">
        <f>IF(ISBLANK('Data Entry'!$Ç$534), "", 'Data Entry'!$Ç$534)</f>
      </c>
      <c r="EF534">
        <f>IF(ISBLANK('Data Entry'!$È$534), "", 'Data Entry'!$È$534)</f>
      </c>
      <c r="EG534">
        <f>IF(ISBLANK('Data Entry'!$É$534), "", 'Data Entry'!$É$534)</f>
      </c>
      <c r="EH534">
        <f>IF(ISBLANK('Data Entry'!$Ê$534), "", 'Data Entry'!$Ê$534)</f>
      </c>
      <c r="EI534">
        <f>IF(ISBLANK('Data Entry'!$Ë$534), "", 'Data Entry'!$Ë$534)</f>
      </c>
      <c r="EJ534">
        <f>IF(ISBLANK('Data Entry'!$Ì$534), "", 'Data Entry'!$Ì$534)</f>
      </c>
      <c r="EK534">
        <f>IF(ISBLANK('Data Entry'!$Í$534), "", 'Data Entry'!$Í$534)</f>
      </c>
      <c r="EL534">
        <f>IF(ISBLANK('Data Entry'!$Î$534), "", 'Data Entry'!$Î$534)</f>
      </c>
      <c r="EM534">
        <f>IF(ISBLANK('Data Entry'!$Ï$534), "", 'Data Entry'!$Ï$534)</f>
      </c>
      <c r="EN534">
        <f>IF(ISBLANK('Data Entry'!$Ð$534), "", 'Data Entry'!$Ð$534)</f>
      </c>
      <c r="EO534">
        <f>IF(ISBLANK('Data Entry'!$Ñ$534), "", 'Data Entry'!$Ñ$534)</f>
      </c>
      <c r="EP534">
        <f>IF(ISBLANK('Data Entry'!$Ò$534), "", 'Data Entry'!$Ò$534)</f>
      </c>
      <c r="EQ534">
        <f>IF(ISBLANK('Data Entry'!$Ó$534), "", 'Data Entry'!$Ó$534)</f>
      </c>
      <c r="ER534">
        <f>IF(ISBLANK('Data Entry'!$Ô$534), "", 'Data Entry'!$Ô$534)</f>
      </c>
      <c r="ES534">
        <f>IF(ISBLANK('Data Entry'!$Õ$534), "", 'Data Entry'!$Õ$534)</f>
      </c>
      <c r="ET534">
        <f>IF(ISBLANK('Data Entry'!$Ö$534), "", 'Data Entry'!$Ö$534)</f>
      </c>
      <c r="EU534">
        <f>IF(ISBLANK('Data Entry'!$×$534), "", 'Data Entry'!$×$534)</f>
      </c>
      <c r="EV534">
        <f>IF(ISBLANK('Data Entry'!$Ø$534), "", 'Data Entry'!$Ø$534)</f>
      </c>
      <c r="EW534">
        <f>IF(ISBLANK('Data Entry'!$Ù$534), "", 'Data Entry'!$Ù$534)</f>
      </c>
      <c r="EX534">
        <f>IF(ISBLANK('Data Entry'!$Ú$534), "", 'Data Entry'!$Ú$534)</f>
      </c>
      <c r="EY534">
        <f>IF(ISBLANK('Data Entry'!$Û$534), "", 'Data Entry'!$Û$534)</f>
      </c>
      <c r="EZ534">
        <f>IF(ISBLANK('Data Entry'!$Ü$534), "", 'Data Entry'!$Ü$534)</f>
      </c>
      <c r="FA534">
        <f>IF(ISBLANK('Data Entry'!$Ý$534), "", 'Data Entry'!$Ý$534)</f>
      </c>
      <c r="FB534">
        <f>IF(ISBLANK('Data Entry'!$Þ$534), "", 'Data Entry'!$Þ$534)</f>
      </c>
      <c r="FC534">
        <f>IF(ISBLANK('Data Entry'!$ß$534), "", 'Data Entry'!$ß$534)</f>
      </c>
      <c r="FD534">
        <f>IF(ISBLANK('Data Entry'!$à$534), "", 'Data Entry'!$à$534)</f>
      </c>
      <c r="FE534">
        <f>IF(ISBLANK('Data Entry'!$á$534), "", 'Data Entry'!$á$534)</f>
      </c>
      <c r="FF534">
        <f>IF(ISBLANK('Data Entry'!$â$534), "", 'Data Entry'!$â$534)</f>
      </c>
      <c r="FG534">
        <f>IF(ISBLANK('Data Entry'!$ã$534), "", 'Data Entry'!$ã$534)</f>
      </c>
      <c r="FH534">
        <f>IF(ISBLANK('Data Entry'!$ä$534), "", 'Data Entry'!$ä$534)</f>
      </c>
      <c r="FI534">
        <f>IF(ISBLANK('Data Entry'!$å$534), "", 'Data Entry'!$å$534)</f>
      </c>
      <c r="FJ534">
        <f>IF(ISBLANK('Data Entry'!$æ$534), "", 'Data Entry'!$æ$534)</f>
      </c>
      <c r="FK534">
        <f>IF(ISBLANK('Data Entry'!$ç$534), "", 'Data Entry'!$ç$534)</f>
      </c>
      <c r="FL534">
        <f>IF(ISBLANK('Data Entry'!$è$534), "", 'Data Entry'!$è$534)</f>
      </c>
      <c r="FM534">
        <f>IF(ISBLANK('Data Entry'!$é$534), "", 'Data Entry'!$é$534)</f>
      </c>
      <c r="FN534">
        <f>IF(ISBLANK('Data Entry'!$ê$534), "", 'Data Entry'!$ê$534)</f>
      </c>
      <c r="FO534">
        <f>IF(ISBLANK('Data Entry'!$ë$534), "", 'Data Entry'!$ë$534)</f>
      </c>
      <c r="FP534">
        <f>IF(ISBLANK('Data Entry'!$ì$534), "", 'Data Entry'!$ì$534)</f>
      </c>
      <c r="FQ534">
        <f>IF(ISBLANK('Data Entry'!$í$534), "", 'Data Entry'!$í$534)</f>
      </c>
      <c r="FR534">
        <f>IF(ISBLANK('Data Entry'!$î$534), "", 'Data Entry'!$î$534)</f>
      </c>
      <c r="FS534">
        <f>IF(ISBLANK('Data Entry'!$ï$534), "", 'Data Entry'!$ï$534)</f>
      </c>
      <c r="FT534">
        <f>IF(ISBLANK('Data Entry'!$ð$534), "", 'Data Entry'!$ð$534)</f>
      </c>
      <c r="FU534">
        <f>IF(ISBLANK('Data Entry'!$ñ$534), "", 'Data Entry'!$ñ$534)</f>
      </c>
      <c r="FV534">
        <f>IF(ISBLANK('Data Entry'!$ò$534), "", 'Data Entry'!$ò$534)</f>
      </c>
      <c r="FW534">
        <f>IF(ISBLANK('Data Entry'!$ó$534), "", 'Data Entry'!$ó$534)</f>
      </c>
      <c r="FX534">
        <f>IF(ISBLANK('Data Entry'!$ô$534), "", 'Data Entry'!$ô$534)</f>
      </c>
      <c r="FY534">
        <f>IF(ISBLANK('Data Entry'!$õ$534), "", 'Data Entry'!$õ$534)</f>
      </c>
      <c r="FZ534">
        <f>IF(ISBLANK('Data Entry'!$ö$534), "", 'Data Entry'!$ö$534)</f>
      </c>
      <c r="GA534">
        <f>IF(ISBLANK('Data Entry'!$÷$534), "", 'Data Entry'!$÷$534)</f>
      </c>
      <c r="GB534">
        <f>IF(ISBLANK('Data Entry'!$ø$534), "", 'Data Entry'!$ø$534)</f>
      </c>
      <c r="GC534">
        <f>IF(ISBLANK('Data Entry'!$ù$534), "", 'Data Entry'!$ù$534)</f>
      </c>
      <c r="GD534">
        <f>IF(ISBLANK('Data Entry'!$ú$534), "", 'Data Entry'!$ú$534)</f>
      </c>
      <c r="GE534">
        <f>IF(ISBLANK('Data Entry'!$û$534), "", 'Data Entry'!$û$534)</f>
      </c>
      <c r="GF534">
        <f>IF(ISBLANK('Data Entry'!$ü$534), "", 'Data Entry'!$ü$534)</f>
      </c>
      <c r="GG534">
        <f>IF(ISBLANK('Data Entry'!$ý$534), "", 'Data Entry'!$ý$534)</f>
      </c>
      <c r="GH534">
        <f>IF(ISBLANK('Data Entry'!$þ$534), "", 'Data Entry'!$þ$534)</f>
      </c>
      <c r="GI534">
        <f>IF(ISBLANK('Data Entry'!$ÿ$534), "", 'Data Entry'!$ÿ$534)</f>
      </c>
      <c r="GJ534">
        <f>IF(ISBLANK('Data Entry'!$Ā$534), "", 'Data Entry'!$Ā$534)</f>
      </c>
      <c r="GK534">
        <f>IF(ISBLANK('Data Entry'!$ā$534), "", 'Data Entry'!$ā$534)</f>
      </c>
      <c r="GL534">
        <f>IF(ISBLANK('Data Entry'!$Ă$534), "", 'Data Entry'!$Ă$534)</f>
      </c>
      <c r="GM534">
        <f>IF(ISBLANK('Data Entry'!$ă$534), "", 'Data Entry'!$ă$534)</f>
      </c>
      <c r="GN534">
        <f>IF(ISBLANK('Data Entry'!$Ą$534), "", 'Data Entry'!$Ą$534)</f>
      </c>
      <c r="GO534">
        <f>IF(ISBLANK('Data Entry'!$ą$534), "", 'Data Entry'!$ą$534)</f>
      </c>
      <c r="GP534">
        <f>IF(ISBLANK('Data Entry'!$Ć$534), "", 'Data Entry'!$Ć$534)</f>
      </c>
      <c r="GQ534">
        <f>IF(ISBLANK('Data Entry'!$ć$534), "", 'Data Entry'!$ć$534)</f>
      </c>
      <c r="GR534">
        <f>IF(ISBLANK('Data Entry'!$Ĉ$534), "", 'Data Entry'!$Ĉ$534)</f>
      </c>
      <c r="GS534">
        <f>IF(ISBLANK('Data Entry'!$ĉ$534), "", 'Data Entry'!$ĉ$534)</f>
      </c>
      <c r="GT534">
        <f>IF(ISBLANK('Data Entry'!$Ċ$534), "", 'Data Entry'!$Ċ$534)</f>
      </c>
      <c r="GU534">
        <f>IF(ISBLANK('Data Entry'!$ċ$534), "", 'Data Entry'!$ċ$534)</f>
      </c>
      <c r="GV534">
        <f>IF(ISBLANK('Data Entry'!$Č$534), "", 'Data Entry'!$Č$534)</f>
      </c>
      <c r="GW534">
        <f>IF(ISBLANK('Data Entry'!$č$534), "", 'Data Entry'!$č$534)</f>
      </c>
      <c r="GX534">
        <f>IF(ISBLANK('Data Entry'!$Ď$534), "", 'Data Entry'!$Ď$534)</f>
      </c>
      <c r="GY534">
        <f>IF(ISBLANK('Data Entry'!$ď$534), "", 'Data Entry'!$ď$534)</f>
      </c>
      <c r="GZ534">
        <f>IF(ISBLANK('Data Entry'!$Đ$534), "", 'Data Entry'!$Đ$534)</f>
      </c>
      <c r="HA534">
        <f>IF(ISBLANK('Data Entry'!$đ$534), "", 'Data Entry'!$đ$534)</f>
      </c>
      <c r="HB534">
        <f>IF(ISBLANK('Data Entry'!$Ē$534), "", 'Data Entry'!$Ē$534)</f>
      </c>
      <c r="HC534">
        <f>IF(ISBLANK('Data Entry'!$ē$534), "", 'Data Entry'!$ē$534)</f>
      </c>
      <c r="HD534">
        <f>IF(ISBLANK('Data Entry'!$Ĕ$534), "", 'Data Entry'!$Ĕ$534)</f>
      </c>
      <c r="HE534">
        <f>IF(ISBLANK('Data Entry'!$ĕ$534), "", 'Data Entry'!$ĕ$534)</f>
      </c>
      <c r="HF534">
        <f>IF(ISBLANK('Data Entry'!$Ė$534), "", 'Data Entry'!$Ė$534)</f>
      </c>
      <c r="HG534">
        <f>IF(ISBLANK('Data Entry'!$ė$534), "", 'Data Entry'!$ė$534)</f>
      </c>
      <c r="HH534">
        <f>IF(ISBLANK('Data Entry'!$Ę$534), "", 'Data Entry'!$Ę$534)</f>
      </c>
      <c r="HI534">
        <f>IF(ISBLANK('Data Entry'!$ę$534), "", 'Data Entry'!$ę$534)</f>
      </c>
      <c r="HJ534">
        <f>IF(ISBLANK('Data Entry'!$Ě$534), "", 'Data Entry'!$Ě$534)</f>
      </c>
      <c r="HK534">
        <f>IF(ISBLANK('Data Entry'!$ě$534), "", 'Data Entry'!$ě$534)</f>
      </c>
      <c r="HL534">
        <f>IF(ISBLANK('Data Entry'!$Ĝ$534), "", 'Data Entry'!$Ĝ$534)</f>
      </c>
      <c r="HM534">
        <f>IF(ISBLANK('Data Entry'!$ĝ$534), "", 'Data Entry'!$ĝ$534)</f>
      </c>
      <c r="HN534">
        <f>IF(ISBLANK('Data Entry'!$Ğ$534), "", 'Data Entry'!$Ğ$534)</f>
      </c>
      <c r="HO534">
        <f>IF(ISBLANK('Data Entry'!$ğ$534), "", 'Data Entry'!$ğ$534)</f>
      </c>
      <c r="HP534">
        <f>IF(ISBLANK('Data Entry'!$Ġ$534), "", 'Data Entry'!$Ġ$534)</f>
      </c>
      <c r="HQ534">
        <f>IF(ISBLANK('Data Entry'!$ġ$534), "", 'Data Entry'!$ġ$534)</f>
      </c>
      <c r="HR534">
        <f>IF(ISBLANK('Data Entry'!$Ģ$534), "", 'Data Entry'!$Ģ$534)</f>
      </c>
      <c r="HS534">
        <f>IF(ISBLANK('Data Entry'!$ģ$534), "", 'Data Entry'!$ģ$534)</f>
      </c>
      <c r="HT534">
        <f>IF(ISBLANK('Data Entry'!$Ĥ$534), "", 'Data Entry'!$Ĥ$534)</f>
      </c>
      <c r="HU534">
        <f>IF(ISBLANK('Data Entry'!$ĥ$534), "", 'Data Entry'!$ĥ$534)</f>
      </c>
      <c r="HV534">
        <f>IF(ISBLANK('Data Entry'!$Ħ$534), "", 'Data Entry'!$Ħ$534)</f>
      </c>
      <c r="HW534">
        <f>IF(ISBLANK('Data Entry'!$ħ$534), "", 'Data Entry'!$ħ$534)</f>
      </c>
      <c r="HX534">
        <f>IF(ISBLANK('Data Entry'!$Ĩ$534), "", 'Data Entry'!$Ĩ$534)</f>
      </c>
      <c r="HY534">
        <f>IF(ISBLANK('Data Entry'!$ĩ$534), "", 'Data Entry'!$ĩ$534)</f>
      </c>
      <c r="HZ534">
        <f>IF(ISBLANK('Data Entry'!$Ī$534), "", 'Data Entry'!$Ī$534)</f>
      </c>
      <c r="IA534">
        <f>IF(ISBLANK('Data Entry'!$ī$534), "", 'Data Entry'!$ī$534)</f>
      </c>
      <c r="IB534">
        <f>IF(ISBLANK('Data Entry'!$Ĭ$534), "", 'Data Entry'!$Ĭ$534)</f>
      </c>
      <c r="IC534">
        <f>IF(ISBLANK('Data Entry'!$ĭ$534), "", 'Data Entry'!$ĭ$534)</f>
      </c>
      <c r="ID534">
        <f>IF(ISBLANK('Data Entry'!$Į$534), "", 'Data Entry'!$Į$534)</f>
      </c>
      <c r="IE534">
        <f>IF(ISBLANK('Data Entry'!$į$534), "", 'Data Entry'!$į$534)</f>
      </c>
      <c r="IF534">
        <f>IF(ISBLANK('Data Entry'!$İ$534), "", 'Data Entry'!$İ$534)</f>
      </c>
      <c r="IG534">
        <f>IF(ISBLANK('Data Entry'!$ı$534), "", 'Data Entry'!$ı$534)</f>
      </c>
      <c r="IH534">
        <f>IF(ISBLANK('Data Entry'!$Ĳ$534), "", 'Data Entry'!$Ĳ$534)</f>
      </c>
      <c r="II534">
        <f>IF(ISBLANK('Data Entry'!$ĳ$534), "", 'Data Entry'!$ĳ$534)</f>
      </c>
      <c r="IJ534">
        <f>IF(ISBLANK('Data Entry'!$Ĵ$534), "", 'Data Entry'!$Ĵ$534)</f>
      </c>
      <c r="IK534">
        <f>IF(ISBLANK('Data Entry'!$ĵ$534), "", 'Data Entry'!$ĵ$534)</f>
      </c>
      <c r="IL534">
        <f>IF(ISBLANK('Data Entry'!$Ķ$534), "", 'Data Entry'!$Ķ$534)</f>
      </c>
      <c r="IM534">
        <f>IF(ISBLANK('Data Entry'!$ķ$534), "", 'Data Entry'!$ķ$534)</f>
      </c>
      <c r="IN534">
        <f>IF(ISBLANK('Data Entry'!$ĸ$534), "", 'Data Entry'!$ĸ$534)</f>
      </c>
      <c r="IO534">
        <f>IF(ISBLANK('Data Entry'!$Ĺ$534), "", 'Data Entry'!$Ĺ$534)</f>
      </c>
      <c r="IP534">
        <f>IF(ISBLANK('Data Entry'!$ĺ$534), "", 'Data Entry'!$ĺ$534)</f>
      </c>
      <c r="IQ534">
        <f>IF(ISBLANK('Data Entry'!$Ļ$534), "", 'Data Entry'!$Ļ$534)</f>
      </c>
      <c r="IR534">
        <f>IF(ISBLANK('Data Entry'!$ļ$534), "", 'Data Entry'!$ļ$534)</f>
      </c>
      <c r="IS534">
        <f>IF(ISBLANK('Data Entry'!$Ľ$534), "", 'Data Entry'!$Ľ$534)</f>
      </c>
      <c r="IT534">
        <f>IF(ISBLANK('Data Entry'!$ľ$534), "", 'Data Entry'!$ľ$534)</f>
      </c>
    </row>
    <row r="535" spans="1:254" x14ac:dyDescent="0.25">
      <c r="A535">
        <f>IF(ISBLANK('Data Entry'!$A$535), "", 'Data Entry'!$A$535)</f>
      </c>
      <c r="B535">
        <f>IF(ISBLANK('Data Entry'!$B$535), "", 'Data Entry'!$B$535)</f>
      </c>
      <c r="C535">
        <f>IF(ISBLANK('Data Entry'!$C$535), "", 'Data Entry'!$C$535)</f>
      </c>
      <c r="D535">
        <f>IF(ISBLANK('Data Entry'!$D$535), "", 'Data Entry'!$D$535)</f>
      </c>
      <c r="E535">
        <f>IF(ISBLANK('Data Entry'!$E$535), "", 'Data Entry'!$E$535)</f>
      </c>
      <c r="F535">
        <f>IF(ISBLANK('Data Entry'!$F$535), "", 'Data Entry'!$F$535)</f>
      </c>
      <c r="G535">
        <f>IF(ISBLANK('Data Entry'!$G$535), "", 'Data Entry'!$G$535)</f>
      </c>
      <c r="H535">
        <f>IF(ISBLANK('Data Entry'!$H$535), "", 'Data Entry'!$H$535)</f>
      </c>
      <c r="I535">
        <f>IF(ISBLANK('Data Entry'!$I$535), "", 'Data Entry'!$I$535)</f>
      </c>
      <c r="J535">
        <f>IF(ISBLANK('Data Entry'!$J$535), "", 'Data Entry'!$J$535)</f>
      </c>
      <c r="K535">
        <f>IF(ISBLANK('Data Entry'!$K$535), "", 'Data Entry'!$K$535)</f>
      </c>
      <c r="L535">
        <f>IF(ISBLANK('Data Entry'!$L$535), "", 'Data Entry'!$L$535)</f>
      </c>
      <c r="M535">
        <f>IF(ISBLANK('Data Entry'!$M$535), "", 'Data Entry'!$M$535)</f>
      </c>
      <c r="N535">
        <f>IF(ISBLANK('Data Entry'!$N$535), "", 'Data Entry'!$N$535)</f>
      </c>
      <c r="O535">
        <f>IF(ISBLANK('Data Entry'!$O$535), "", 'Data Entry'!$O$535)</f>
      </c>
      <c r="P535">
        <f>IF(ISBLANK('Data Entry'!$P$535), "", 'Data Entry'!$P$535)</f>
      </c>
      <c r="Q535">
        <f>IF(ISBLANK('Data Entry'!$Q$535), "", 'Data Entry'!$Q$535)</f>
      </c>
      <c r="R535">
        <f>IF(ISBLANK('Data Entry'!$R$535), "", 'Data Entry'!$R$535)</f>
      </c>
      <c r="S535">
        <f>IF(ISBLANK('Data Entry'!$S$535), "", 'Data Entry'!$S$535)</f>
      </c>
      <c r="T535">
        <f>IF(ISBLANK('Data Entry'!$T$535), "", 'Data Entry'!$T$535)</f>
      </c>
      <c r="U535">
        <f>IF(ISBLANK('Data Entry'!$U$535), "", 'Data Entry'!$U$535)</f>
      </c>
      <c r="V535">
        <f>IF(ISBLANK('Data Entry'!$V$535), "", 'Data Entry'!$V$535)</f>
      </c>
      <c r="W535">
        <f>IF(ISBLANK('Data Entry'!$W$535), "", 'Data Entry'!$W$535)</f>
      </c>
      <c r="X535">
        <f>IF(ISBLANK('Data Entry'!$X$535), "", 'Data Entry'!$X$535)</f>
      </c>
      <c r="Y535">
        <f>IF(ISBLANK('Data Entry'!$Y$535), "", 'Data Entry'!$Y$535)</f>
      </c>
      <c r="Z535">
        <f>IF(ISBLANK('Data Entry'!$Z$535), "", 'Data Entry'!$Z$535)</f>
      </c>
      <c r="AA535">
        <f>IF(ISBLANK('Data Entry'!$[$535), "", 'Data Entry'!$[$535)</f>
      </c>
      <c r="AB535">
        <f>IF(ISBLANK('Data Entry'!$\$535), "", 'Data Entry'!$\$535)</f>
      </c>
      <c r="AC535">
        <f>IF(ISBLANK('Data Entry'!$]$535), "", 'Data Entry'!$]$535)</f>
      </c>
      <c r="AD535">
        <f>IF(ISBLANK('Data Entry'!$^$535), "", 'Data Entry'!$^$535)</f>
      </c>
      <c r="AE535">
        <f>IF(ISBLANK('Data Entry'!$_$535), "", 'Data Entry'!$_$535)</f>
      </c>
      <c r="AF535">
        <f>IF(ISBLANK('Data Entry'!$`$535), "", 'Data Entry'!$`$535)</f>
      </c>
      <c r="AG535">
        <f>IF(ISBLANK('Data Entry'!$a$535), "", 'Data Entry'!$a$535)</f>
      </c>
      <c r="AH535">
        <f>IF(ISBLANK('Data Entry'!$b$535), "", 'Data Entry'!$b$535)</f>
      </c>
      <c r="AI535">
        <f>IF(ISBLANK('Data Entry'!$c$535), "", 'Data Entry'!$c$535)</f>
      </c>
      <c r="AJ535">
        <f>IF(ISBLANK('Data Entry'!$d$535), "", 'Data Entry'!$d$535)</f>
      </c>
      <c r="AK535">
        <f>IF(ISBLANK('Data Entry'!$e$535), "", 'Data Entry'!$e$535)</f>
      </c>
      <c r="AL535">
        <f>IF(ISBLANK('Data Entry'!$f$535), "", 'Data Entry'!$f$535)</f>
      </c>
      <c r="AM535">
        <f>IF(ISBLANK('Data Entry'!$g$535), "", 'Data Entry'!$g$535)</f>
      </c>
      <c r="AN535">
        <f>IF(ISBLANK('Data Entry'!$h$535), "", 'Data Entry'!$h$535)</f>
      </c>
      <c r="AO535">
        <f>IF(ISBLANK('Data Entry'!$i$535), "", 'Data Entry'!$i$535)</f>
      </c>
      <c r="AP535">
        <f>IF(ISBLANK('Data Entry'!$j$535), "", 'Data Entry'!$j$535)</f>
      </c>
      <c r="AQ535">
        <f>IF(ISBLANK('Data Entry'!$k$535), "", 'Data Entry'!$k$535)</f>
      </c>
      <c r="AR535">
        <f>IF(ISBLANK('Data Entry'!$l$535), "", 'Data Entry'!$l$535)</f>
      </c>
      <c r="AS535">
        <f>IF(ISBLANK('Data Entry'!$m$535), "", 'Data Entry'!$m$535)</f>
      </c>
      <c r="AT535">
        <f>IF(ISBLANK('Data Entry'!$n$535), "", 'Data Entry'!$n$535)</f>
      </c>
      <c r="AU535">
        <f>IF(ISBLANK('Data Entry'!$o$535), "", 'Data Entry'!$o$535)</f>
      </c>
      <c r="AV535">
        <f>IF(ISBLANK('Data Entry'!$p$535), "", 'Data Entry'!$p$535)</f>
      </c>
      <c r="AW535">
        <f>IF(ISBLANK('Data Entry'!$q$535), "", 'Data Entry'!$q$535)</f>
      </c>
      <c r="AX535">
        <f>IF(ISBLANK('Data Entry'!$r$535), "", 'Data Entry'!$r$535)</f>
      </c>
      <c r="AY535">
        <f>IF(ISBLANK('Data Entry'!$s$535), "", 'Data Entry'!$s$535)</f>
      </c>
      <c r="AZ535">
        <f>IF(ISBLANK('Data Entry'!$t$535), "", 'Data Entry'!$t$535)</f>
      </c>
      <c r="BA535">
        <f>IF(ISBLANK('Data Entry'!$u$535), "", 'Data Entry'!$u$535)</f>
      </c>
      <c r="BB535">
        <f>IF(ISBLANK('Data Entry'!$v$535), "", 'Data Entry'!$v$535)</f>
      </c>
      <c r="BC535">
        <f>IF(ISBLANK('Data Entry'!$w$535), "", 'Data Entry'!$w$535)</f>
      </c>
      <c r="BD535">
        <f>IF(ISBLANK('Data Entry'!$x$535), "", 'Data Entry'!$x$535)</f>
      </c>
      <c r="BE535">
        <f>IF(ISBLANK('Data Entry'!$y$535), "", 'Data Entry'!$y$535)</f>
      </c>
      <c r="BF535">
        <f>IF(ISBLANK('Data Entry'!$z$535), "", 'Data Entry'!$z$535)</f>
      </c>
      <c r="BG535">
        <f>IF(ISBLANK('Data Entry'!${$535), "", 'Data Entry'!${$535)</f>
      </c>
      <c r="BH535">
        <f>IF(ISBLANK('Data Entry'!$|$535), "", 'Data Entry'!$|$535)</f>
      </c>
      <c r="BI535">
        <f>IF(ISBLANK('Data Entry'!$}$535), "", 'Data Entry'!$}$535)</f>
      </c>
      <c r="BJ535">
        <f>IF(ISBLANK('Data Entry'!$~$535), "", 'Data Entry'!$~$535)</f>
      </c>
      <c r="BK535">
        <f>IF(ISBLANK('Data Entry'!$$535), "", 'Data Entry'!$$535)</f>
      </c>
      <c r="BL535">
        <f>IF(ISBLANK('Data Entry'!$$535), "", 'Data Entry'!$$535)</f>
      </c>
      <c r="BM535">
        <f>IF(ISBLANK('Data Entry'!$$535), "", 'Data Entry'!$$535)</f>
      </c>
      <c r="BN535">
        <f>IF(ISBLANK('Data Entry'!$$535), "", 'Data Entry'!$$535)</f>
      </c>
      <c r="BO535">
        <f>IF(ISBLANK('Data Entry'!$$535), "", 'Data Entry'!$$535)</f>
      </c>
      <c r="BP535">
        <f>IF(ISBLANK('Data Entry'!$$535), "", 'Data Entry'!$$535)</f>
      </c>
      <c r="BQ535">
        <f>IF(ISBLANK('Data Entry'!$$535), "", 'Data Entry'!$$535)</f>
      </c>
      <c r="BR535">
        <f>IF(ISBLANK('Data Entry'!$$535), "", 'Data Entry'!$$535)</f>
      </c>
      <c r="BS535">
        <f>IF(ISBLANK('Data Entry'!$$535), "", 'Data Entry'!$$535)</f>
      </c>
      <c r="BT535">
        <f>IF(ISBLANK('Data Entry'!$$535), "", 'Data Entry'!$$535)</f>
      </c>
      <c r="BU535">
        <f>IF(ISBLANK('Data Entry'!$$535), "", 'Data Entry'!$$535)</f>
      </c>
      <c r="BV535">
        <f>IF(ISBLANK('Data Entry'!$$535), "", 'Data Entry'!$$535)</f>
      </c>
      <c r="BW535">
        <f>IF(ISBLANK('Data Entry'!$$535), "", 'Data Entry'!$$535)</f>
      </c>
      <c r="BX535">
        <f>IF(ISBLANK('Data Entry'!$$535), "", 'Data Entry'!$$535)</f>
      </c>
      <c r="BY535">
        <f>IF(ISBLANK('Data Entry'!$$535), "", 'Data Entry'!$$535)</f>
      </c>
      <c r="BZ535">
        <f>IF(ISBLANK('Data Entry'!$$535), "", 'Data Entry'!$$535)</f>
      </c>
      <c r="CA535">
        <f>IF(ISBLANK('Data Entry'!$$535), "", 'Data Entry'!$$535)</f>
      </c>
      <c r="CB535">
        <f>IF(ISBLANK('Data Entry'!$$535), "", 'Data Entry'!$$535)</f>
      </c>
      <c r="CC535">
        <f>IF(ISBLANK('Data Entry'!$$535), "", 'Data Entry'!$$535)</f>
      </c>
      <c r="CD535">
        <f>IF(ISBLANK('Data Entry'!$$535), "", 'Data Entry'!$$535)</f>
      </c>
      <c r="CE535">
        <f>IF(ISBLANK('Data Entry'!$$535), "", 'Data Entry'!$$535)</f>
      </c>
      <c r="CF535">
        <f>IF(ISBLANK('Data Entry'!$$535), "", 'Data Entry'!$$535)</f>
      </c>
      <c r="CG535">
        <f>IF(ISBLANK('Data Entry'!$$535), "", 'Data Entry'!$$535)</f>
      </c>
      <c r="CH535">
        <f>IF(ISBLANK('Data Entry'!$$535), "", 'Data Entry'!$$535)</f>
      </c>
      <c r="CI535">
        <f>IF(ISBLANK('Data Entry'!$$535), "", 'Data Entry'!$$535)</f>
      </c>
      <c r="CJ535">
        <f>IF(ISBLANK('Data Entry'!$$535), "", 'Data Entry'!$$535)</f>
      </c>
      <c r="CK535">
        <f>IF(ISBLANK('Data Entry'!$$535), "", 'Data Entry'!$$535)</f>
      </c>
      <c r="CL535">
        <f>IF(ISBLANK('Data Entry'!$$535), "", 'Data Entry'!$$535)</f>
      </c>
      <c r="CM535">
        <f>IF(ISBLANK('Data Entry'!$$535), "", 'Data Entry'!$$535)</f>
      </c>
      <c r="CN535">
        <f>IF(ISBLANK('Data Entry'!$$535), "", 'Data Entry'!$$535)</f>
      </c>
      <c r="CO535">
        <f>IF(ISBLANK('Data Entry'!$$535), "", 'Data Entry'!$$535)</f>
      </c>
      <c r="CP535">
        <f>IF(ISBLANK('Data Entry'!$$535), "", 'Data Entry'!$$535)</f>
      </c>
      <c r="CQ535">
        <f>IF(ISBLANK('Data Entry'!$$535), "", 'Data Entry'!$$535)</f>
      </c>
      <c r="CR535">
        <f>IF(ISBLANK('Data Entry'!$ $535), "", 'Data Entry'!$ $535)</f>
      </c>
      <c r="CS535">
        <f>IF(ISBLANK('Data Entry'!$¡$535), "", 'Data Entry'!$¡$535)</f>
      </c>
      <c r="CT535">
        <f>IF(ISBLANK('Data Entry'!$¢$535), "", 'Data Entry'!$¢$535)</f>
      </c>
      <c r="CU535">
        <f>IF(ISBLANK('Data Entry'!$£$535), "", 'Data Entry'!$£$535)</f>
      </c>
      <c r="CV535">
        <f>IF(ISBLANK('Data Entry'!$¤$535), "", 'Data Entry'!$¤$535)</f>
      </c>
      <c r="CW535">
        <f>IF(ISBLANK('Data Entry'!$¥$535), "", 'Data Entry'!$¥$535)</f>
      </c>
      <c r="CX535">
        <f>IF(ISBLANK('Data Entry'!$¦$535), "", 'Data Entry'!$¦$535)</f>
      </c>
      <c r="CY535">
        <f>IF(ISBLANK('Data Entry'!$§$535), "", 'Data Entry'!$§$535)</f>
      </c>
      <c r="CZ535">
        <f>IF(ISBLANK('Data Entry'!$¨$535), "", 'Data Entry'!$¨$535)</f>
      </c>
      <c r="DA535">
        <f>IF(ISBLANK('Data Entry'!$©$535), "", 'Data Entry'!$©$535)</f>
      </c>
      <c r="DB535">
        <f>IF(ISBLANK('Data Entry'!$ª$535), "", 'Data Entry'!$ª$535)</f>
      </c>
      <c r="DC535">
        <f>IF(ISBLANK('Data Entry'!$«$535), "", 'Data Entry'!$«$535)</f>
      </c>
      <c r="DD535">
        <f>IF(ISBLANK('Data Entry'!$¬$535), "", 'Data Entry'!$¬$535)</f>
      </c>
      <c r="DE535">
        <f>IF(ISBLANK('Data Entry'!$­$535), "", 'Data Entry'!$­$535)</f>
      </c>
      <c r="DF535">
        <f>IF(ISBLANK('Data Entry'!$®$535), "", 'Data Entry'!$®$535)</f>
      </c>
      <c r="DG535">
        <f>IF(ISBLANK('Data Entry'!$¯$535), "", 'Data Entry'!$¯$535)</f>
      </c>
      <c r="DH535">
        <f>IF(ISBLANK('Data Entry'!$°$535), "", 'Data Entry'!$°$535)</f>
      </c>
      <c r="DI535">
        <f>IF(ISBLANK('Data Entry'!$±$535), "", 'Data Entry'!$±$535)</f>
      </c>
      <c r="DJ535">
        <f>IF(ISBLANK('Data Entry'!$²$535), "", 'Data Entry'!$²$535)</f>
      </c>
      <c r="DK535">
        <f>IF(ISBLANK('Data Entry'!$³$535), "", 'Data Entry'!$³$535)</f>
      </c>
      <c r="DL535">
        <f>IF(ISBLANK('Data Entry'!$´$535), "", 'Data Entry'!$´$535)</f>
      </c>
      <c r="DM535">
        <f>IF(ISBLANK('Data Entry'!$µ$535), "", 'Data Entry'!$µ$535)</f>
      </c>
      <c r="DN535">
        <f>IF(ISBLANK('Data Entry'!$¶$535), "", 'Data Entry'!$¶$535)</f>
      </c>
      <c r="DO535">
        <f>IF(ISBLANK('Data Entry'!$·$535), "", 'Data Entry'!$·$535)</f>
      </c>
      <c r="DP535">
        <f>IF(ISBLANK('Data Entry'!$¸$535), "", 'Data Entry'!$¸$535)</f>
      </c>
      <c r="DQ535">
        <f>IF(ISBLANK('Data Entry'!$¹$535), "", 'Data Entry'!$¹$535)</f>
      </c>
      <c r="DR535">
        <f>IF(ISBLANK('Data Entry'!$º$535), "", 'Data Entry'!$º$535)</f>
      </c>
      <c r="DS535">
        <f>IF(ISBLANK('Data Entry'!$»$535), "", 'Data Entry'!$»$535)</f>
      </c>
      <c r="DT535">
        <f>IF(ISBLANK('Data Entry'!$¼$535), "", 'Data Entry'!$¼$535)</f>
      </c>
      <c r="DU535">
        <f>IF(ISBLANK('Data Entry'!$½$535), "", 'Data Entry'!$½$535)</f>
      </c>
      <c r="DV535">
        <f>IF(ISBLANK('Data Entry'!$¾$535), "", 'Data Entry'!$¾$535)</f>
      </c>
      <c r="DW535">
        <f>IF(ISBLANK('Data Entry'!$¿$535), "", 'Data Entry'!$¿$535)</f>
      </c>
      <c r="DX535">
        <f>IF(ISBLANK('Data Entry'!$À$535), "", 'Data Entry'!$À$535)</f>
      </c>
      <c r="DY535">
        <f>IF(ISBLANK('Data Entry'!$Á$535), "", 'Data Entry'!$Á$535)</f>
      </c>
      <c r="DZ535">
        <f>IF(ISBLANK('Data Entry'!$Â$535), "", 'Data Entry'!$Â$535)</f>
      </c>
      <c r="EA535">
        <f>IF(ISBLANK('Data Entry'!$Ã$535), "", 'Data Entry'!$Ã$535)</f>
      </c>
      <c r="EB535">
        <f>IF(ISBLANK('Data Entry'!$Ä$535), "", 'Data Entry'!$Ä$535)</f>
      </c>
      <c r="EC535">
        <f>IF(ISBLANK('Data Entry'!$Å$535), "", 'Data Entry'!$Å$535)</f>
      </c>
      <c r="ED535">
        <f>IF(ISBLANK('Data Entry'!$Æ$535), "", 'Data Entry'!$Æ$535)</f>
      </c>
      <c r="EE535">
        <f>IF(ISBLANK('Data Entry'!$Ç$535), "", 'Data Entry'!$Ç$535)</f>
      </c>
      <c r="EF535">
        <f>IF(ISBLANK('Data Entry'!$È$535), "", 'Data Entry'!$È$535)</f>
      </c>
      <c r="EG535">
        <f>IF(ISBLANK('Data Entry'!$É$535), "", 'Data Entry'!$É$535)</f>
      </c>
      <c r="EH535">
        <f>IF(ISBLANK('Data Entry'!$Ê$535), "", 'Data Entry'!$Ê$535)</f>
      </c>
      <c r="EI535">
        <f>IF(ISBLANK('Data Entry'!$Ë$535), "", 'Data Entry'!$Ë$535)</f>
      </c>
      <c r="EJ535">
        <f>IF(ISBLANK('Data Entry'!$Ì$535), "", 'Data Entry'!$Ì$535)</f>
      </c>
      <c r="EK535">
        <f>IF(ISBLANK('Data Entry'!$Í$535), "", 'Data Entry'!$Í$535)</f>
      </c>
      <c r="EL535">
        <f>IF(ISBLANK('Data Entry'!$Î$535), "", 'Data Entry'!$Î$535)</f>
      </c>
      <c r="EM535">
        <f>IF(ISBLANK('Data Entry'!$Ï$535), "", 'Data Entry'!$Ï$535)</f>
      </c>
      <c r="EN535">
        <f>IF(ISBLANK('Data Entry'!$Ð$535), "", 'Data Entry'!$Ð$535)</f>
      </c>
      <c r="EO535">
        <f>IF(ISBLANK('Data Entry'!$Ñ$535), "", 'Data Entry'!$Ñ$535)</f>
      </c>
      <c r="EP535">
        <f>IF(ISBLANK('Data Entry'!$Ò$535), "", 'Data Entry'!$Ò$535)</f>
      </c>
      <c r="EQ535">
        <f>IF(ISBLANK('Data Entry'!$Ó$535), "", 'Data Entry'!$Ó$535)</f>
      </c>
      <c r="ER535">
        <f>IF(ISBLANK('Data Entry'!$Ô$535), "", 'Data Entry'!$Ô$535)</f>
      </c>
      <c r="ES535">
        <f>IF(ISBLANK('Data Entry'!$Õ$535), "", 'Data Entry'!$Õ$535)</f>
      </c>
      <c r="ET535">
        <f>IF(ISBLANK('Data Entry'!$Ö$535), "", 'Data Entry'!$Ö$535)</f>
      </c>
      <c r="EU535">
        <f>IF(ISBLANK('Data Entry'!$×$535), "", 'Data Entry'!$×$535)</f>
      </c>
      <c r="EV535">
        <f>IF(ISBLANK('Data Entry'!$Ø$535), "", 'Data Entry'!$Ø$535)</f>
      </c>
      <c r="EW535">
        <f>IF(ISBLANK('Data Entry'!$Ù$535), "", 'Data Entry'!$Ù$535)</f>
      </c>
      <c r="EX535">
        <f>IF(ISBLANK('Data Entry'!$Ú$535), "", 'Data Entry'!$Ú$535)</f>
      </c>
      <c r="EY535">
        <f>IF(ISBLANK('Data Entry'!$Û$535), "", 'Data Entry'!$Û$535)</f>
      </c>
      <c r="EZ535">
        <f>IF(ISBLANK('Data Entry'!$Ü$535), "", 'Data Entry'!$Ü$535)</f>
      </c>
      <c r="FA535">
        <f>IF(ISBLANK('Data Entry'!$Ý$535), "", 'Data Entry'!$Ý$535)</f>
      </c>
      <c r="FB535">
        <f>IF(ISBLANK('Data Entry'!$Þ$535), "", 'Data Entry'!$Þ$535)</f>
      </c>
      <c r="FC535">
        <f>IF(ISBLANK('Data Entry'!$ß$535), "", 'Data Entry'!$ß$535)</f>
      </c>
      <c r="FD535">
        <f>IF(ISBLANK('Data Entry'!$à$535), "", 'Data Entry'!$à$535)</f>
      </c>
      <c r="FE535">
        <f>IF(ISBLANK('Data Entry'!$á$535), "", 'Data Entry'!$á$535)</f>
      </c>
      <c r="FF535">
        <f>IF(ISBLANK('Data Entry'!$â$535), "", 'Data Entry'!$â$535)</f>
      </c>
      <c r="FG535">
        <f>IF(ISBLANK('Data Entry'!$ã$535), "", 'Data Entry'!$ã$535)</f>
      </c>
      <c r="FH535">
        <f>IF(ISBLANK('Data Entry'!$ä$535), "", 'Data Entry'!$ä$535)</f>
      </c>
      <c r="FI535">
        <f>IF(ISBLANK('Data Entry'!$å$535), "", 'Data Entry'!$å$535)</f>
      </c>
      <c r="FJ535">
        <f>IF(ISBLANK('Data Entry'!$æ$535), "", 'Data Entry'!$æ$535)</f>
      </c>
      <c r="FK535">
        <f>IF(ISBLANK('Data Entry'!$ç$535), "", 'Data Entry'!$ç$535)</f>
      </c>
      <c r="FL535">
        <f>IF(ISBLANK('Data Entry'!$è$535), "", 'Data Entry'!$è$535)</f>
      </c>
      <c r="FM535">
        <f>IF(ISBLANK('Data Entry'!$é$535), "", 'Data Entry'!$é$535)</f>
      </c>
      <c r="FN535">
        <f>IF(ISBLANK('Data Entry'!$ê$535), "", 'Data Entry'!$ê$535)</f>
      </c>
      <c r="FO535">
        <f>IF(ISBLANK('Data Entry'!$ë$535), "", 'Data Entry'!$ë$535)</f>
      </c>
      <c r="FP535">
        <f>IF(ISBLANK('Data Entry'!$ì$535), "", 'Data Entry'!$ì$535)</f>
      </c>
      <c r="FQ535">
        <f>IF(ISBLANK('Data Entry'!$í$535), "", 'Data Entry'!$í$535)</f>
      </c>
      <c r="FR535">
        <f>IF(ISBLANK('Data Entry'!$î$535), "", 'Data Entry'!$î$535)</f>
      </c>
      <c r="FS535">
        <f>IF(ISBLANK('Data Entry'!$ï$535), "", 'Data Entry'!$ï$535)</f>
      </c>
      <c r="FT535">
        <f>IF(ISBLANK('Data Entry'!$ð$535), "", 'Data Entry'!$ð$535)</f>
      </c>
      <c r="FU535">
        <f>IF(ISBLANK('Data Entry'!$ñ$535), "", 'Data Entry'!$ñ$535)</f>
      </c>
      <c r="FV535">
        <f>IF(ISBLANK('Data Entry'!$ò$535), "", 'Data Entry'!$ò$535)</f>
      </c>
      <c r="FW535">
        <f>IF(ISBLANK('Data Entry'!$ó$535), "", 'Data Entry'!$ó$535)</f>
      </c>
      <c r="FX535">
        <f>IF(ISBLANK('Data Entry'!$ô$535), "", 'Data Entry'!$ô$535)</f>
      </c>
      <c r="FY535">
        <f>IF(ISBLANK('Data Entry'!$õ$535), "", 'Data Entry'!$õ$535)</f>
      </c>
      <c r="FZ535">
        <f>IF(ISBLANK('Data Entry'!$ö$535), "", 'Data Entry'!$ö$535)</f>
      </c>
      <c r="GA535">
        <f>IF(ISBLANK('Data Entry'!$÷$535), "", 'Data Entry'!$÷$535)</f>
      </c>
      <c r="GB535">
        <f>IF(ISBLANK('Data Entry'!$ø$535), "", 'Data Entry'!$ø$535)</f>
      </c>
      <c r="GC535">
        <f>IF(ISBLANK('Data Entry'!$ù$535), "", 'Data Entry'!$ù$535)</f>
      </c>
      <c r="GD535">
        <f>IF(ISBLANK('Data Entry'!$ú$535), "", 'Data Entry'!$ú$535)</f>
      </c>
      <c r="GE535">
        <f>IF(ISBLANK('Data Entry'!$û$535), "", 'Data Entry'!$û$535)</f>
      </c>
      <c r="GF535">
        <f>IF(ISBLANK('Data Entry'!$ü$535), "", 'Data Entry'!$ü$535)</f>
      </c>
      <c r="GG535">
        <f>IF(ISBLANK('Data Entry'!$ý$535), "", 'Data Entry'!$ý$535)</f>
      </c>
      <c r="GH535">
        <f>IF(ISBLANK('Data Entry'!$þ$535), "", 'Data Entry'!$þ$535)</f>
      </c>
      <c r="GI535">
        <f>IF(ISBLANK('Data Entry'!$ÿ$535), "", 'Data Entry'!$ÿ$535)</f>
      </c>
      <c r="GJ535">
        <f>IF(ISBLANK('Data Entry'!$Ā$535), "", 'Data Entry'!$Ā$535)</f>
      </c>
      <c r="GK535">
        <f>IF(ISBLANK('Data Entry'!$ā$535), "", 'Data Entry'!$ā$535)</f>
      </c>
      <c r="GL535">
        <f>IF(ISBLANK('Data Entry'!$Ă$535), "", 'Data Entry'!$Ă$535)</f>
      </c>
      <c r="GM535">
        <f>IF(ISBLANK('Data Entry'!$ă$535), "", 'Data Entry'!$ă$535)</f>
      </c>
      <c r="GN535">
        <f>IF(ISBLANK('Data Entry'!$Ą$535), "", 'Data Entry'!$Ą$535)</f>
      </c>
      <c r="GO535">
        <f>IF(ISBLANK('Data Entry'!$ą$535), "", 'Data Entry'!$ą$535)</f>
      </c>
      <c r="GP535">
        <f>IF(ISBLANK('Data Entry'!$Ć$535), "", 'Data Entry'!$Ć$535)</f>
      </c>
      <c r="GQ535">
        <f>IF(ISBLANK('Data Entry'!$ć$535), "", 'Data Entry'!$ć$535)</f>
      </c>
      <c r="GR535">
        <f>IF(ISBLANK('Data Entry'!$Ĉ$535), "", 'Data Entry'!$Ĉ$535)</f>
      </c>
      <c r="GS535">
        <f>IF(ISBLANK('Data Entry'!$ĉ$535), "", 'Data Entry'!$ĉ$535)</f>
      </c>
      <c r="GT535">
        <f>IF(ISBLANK('Data Entry'!$Ċ$535), "", 'Data Entry'!$Ċ$535)</f>
      </c>
      <c r="GU535">
        <f>IF(ISBLANK('Data Entry'!$ċ$535), "", 'Data Entry'!$ċ$535)</f>
      </c>
      <c r="GV535">
        <f>IF(ISBLANK('Data Entry'!$Č$535), "", 'Data Entry'!$Č$535)</f>
      </c>
      <c r="GW535">
        <f>IF(ISBLANK('Data Entry'!$č$535), "", 'Data Entry'!$č$535)</f>
      </c>
      <c r="GX535">
        <f>IF(ISBLANK('Data Entry'!$Ď$535), "", 'Data Entry'!$Ď$535)</f>
      </c>
      <c r="GY535">
        <f>IF(ISBLANK('Data Entry'!$ď$535), "", 'Data Entry'!$ď$535)</f>
      </c>
      <c r="GZ535">
        <f>IF(ISBLANK('Data Entry'!$Đ$535), "", 'Data Entry'!$Đ$535)</f>
      </c>
      <c r="HA535">
        <f>IF(ISBLANK('Data Entry'!$đ$535), "", 'Data Entry'!$đ$535)</f>
      </c>
      <c r="HB535">
        <f>IF(ISBLANK('Data Entry'!$Ē$535), "", 'Data Entry'!$Ē$535)</f>
      </c>
      <c r="HC535">
        <f>IF(ISBLANK('Data Entry'!$ē$535), "", 'Data Entry'!$ē$535)</f>
      </c>
      <c r="HD535">
        <f>IF(ISBLANK('Data Entry'!$Ĕ$535), "", 'Data Entry'!$Ĕ$535)</f>
      </c>
      <c r="HE535">
        <f>IF(ISBLANK('Data Entry'!$ĕ$535), "", 'Data Entry'!$ĕ$535)</f>
      </c>
      <c r="HF535">
        <f>IF(ISBLANK('Data Entry'!$Ė$535), "", 'Data Entry'!$Ė$535)</f>
      </c>
      <c r="HG535">
        <f>IF(ISBLANK('Data Entry'!$ė$535), "", 'Data Entry'!$ė$535)</f>
      </c>
      <c r="HH535">
        <f>IF(ISBLANK('Data Entry'!$Ę$535), "", 'Data Entry'!$Ę$535)</f>
      </c>
      <c r="HI535">
        <f>IF(ISBLANK('Data Entry'!$ę$535), "", 'Data Entry'!$ę$535)</f>
      </c>
      <c r="HJ535">
        <f>IF(ISBLANK('Data Entry'!$Ě$535), "", 'Data Entry'!$Ě$535)</f>
      </c>
      <c r="HK535">
        <f>IF(ISBLANK('Data Entry'!$ě$535), "", 'Data Entry'!$ě$535)</f>
      </c>
      <c r="HL535">
        <f>IF(ISBLANK('Data Entry'!$Ĝ$535), "", 'Data Entry'!$Ĝ$535)</f>
      </c>
      <c r="HM535">
        <f>IF(ISBLANK('Data Entry'!$ĝ$535), "", 'Data Entry'!$ĝ$535)</f>
      </c>
      <c r="HN535">
        <f>IF(ISBLANK('Data Entry'!$Ğ$535), "", 'Data Entry'!$Ğ$535)</f>
      </c>
      <c r="HO535">
        <f>IF(ISBLANK('Data Entry'!$ğ$535), "", 'Data Entry'!$ğ$535)</f>
      </c>
      <c r="HP535">
        <f>IF(ISBLANK('Data Entry'!$Ġ$535), "", 'Data Entry'!$Ġ$535)</f>
      </c>
      <c r="HQ535">
        <f>IF(ISBLANK('Data Entry'!$ġ$535), "", 'Data Entry'!$ġ$535)</f>
      </c>
      <c r="HR535">
        <f>IF(ISBLANK('Data Entry'!$Ģ$535), "", 'Data Entry'!$Ģ$535)</f>
      </c>
      <c r="HS535">
        <f>IF(ISBLANK('Data Entry'!$ģ$535), "", 'Data Entry'!$ģ$535)</f>
      </c>
      <c r="HT535">
        <f>IF(ISBLANK('Data Entry'!$Ĥ$535), "", 'Data Entry'!$Ĥ$535)</f>
      </c>
      <c r="HU535">
        <f>IF(ISBLANK('Data Entry'!$ĥ$535), "", 'Data Entry'!$ĥ$535)</f>
      </c>
      <c r="HV535">
        <f>IF(ISBLANK('Data Entry'!$Ħ$535), "", 'Data Entry'!$Ħ$535)</f>
      </c>
      <c r="HW535">
        <f>IF(ISBLANK('Data Entry'!$ħ$535), "", 'Data Entry'!$ħ$535)</f>
      </c>
      <c r="HX535">
        <f>IF(ISBLANK('Data Entry'!$Ĩ$535), "", 'Data Entry'!$Ĩ$535)</f>
      </c>
      <c r="HY535">
        <f>IF(ISBLANK('Data Entry'!$ĩ$535), "", 'Data Entry'!$ĩ$535)</f>
      </c>
      <c r="HZ535">
        <f>IF(ISBLANK('Data Entry'!$Ī$535), "", 'Data Entry'!$Ī$535)</f>
      </c>
      <c r="IA535">
        <f>IF(ISBLANK('Data Entry'!$ī$535), "", 'Data Entry'!$ī$535)</f>
      </c>
      <c r="IB535">
        <f>IF(ISBLANK('Data Entry'!$Ĭ$535), "", 'Data Entry'!$Ĭ$535)</f>
      </c>
      <c r="IC535">
        <f>IF(ISBLANK('Data Entry'!$ĭ$535), "", 'Data Entry'!$ĭ$535)</f>
      </c>
      <c r="ID535">
        <f>IF(ISBLANK('Data Entry'!$Į$535), "", 'Data Entry'!$Į$535)</f>
      </c>
      <c r="IE535">
        <f>IF(ISBLANK('Data Entry'!$į$535), "", 'Data Entry'!$į$535)</f>
      </c>
      <c r="IF535">
        <f>IF(ISBLANK('Data Entry'!$İ$535), "", 'Data Entry'!$İ$535)</f>
      </c>
      <c r="IG535">
        <f>IF(ISBLANK('Data Entry'!$ı$535), "", 'Data Entry'!$ı$535)</f>
      </c>
      <c r="IH535">
        <f>IF(ISBLANK('Data Entry'!$Ĳ$535), "", 'Data Entry'!$Ĳ$535)</f>
      </c>
      <c r="II535">
        <f>IF(ISBLANK('Data Entry'!$ĳ$535), "", 'Data Entry'!$ĳ$535)</f>
      </c>
      <c r="IJ535">
        <f>IF(ISBLANK('Data Entry'!$Ĵ$535), "", 'Data Entry'!$Ĵ$535)</f>
      </c>
      <c r="IK535">
        <f>IF(ISBLANK('Data Entry'!$ĵ$535), "", 'Data Entry'!$ĵ$535)</f>
      </c>
      <c r="IL535">
        <f>IF(ISBLANK('Data Entry'!$Ķ$535), "", 'Data Entry'!$Ķ$535)</f>
      </c>
      <c r="IM535">
        <f>IF(ISBLANK('Data Entry'!$ķ$535), "", 'Data Entry'!$ķ$535)</f>
      </c>
      <c r="IN535">
        <f>IF(ISBLANK('Data Entry'!$ĸ$535), "", 'Data Entry'!$ĸ$535)</f>
      </c>
      <c r="IO535">
        <f>IF(ISBLANK('Data Entry'!$Ĺ$535), "", 'Data Entry'!$Ĺ$535)</f>
      </c>
      <c r="IP535">
        <f>IF(ISBLANK('Data Entry'!$ĺ$535), "", 'Data Entry'!$ĺ$535)</f>
      </c>
      <c r="IQ535">
        <f>IF(ISBLANK('Data Entry'!$Ļ$535), "", 'Data Entry'!$Ļ$535)</f>
      </c>
      <c r="IR535">
        <f>IF(ISBLANK('Data Entry'!$ļ$535), "", 'Data Entry'!$ļ$535)</f>
      </c>
      <c r="IS535">
        <f>IF(ISBLANK('Data Entry'!$Ľ$535), "", 'Data Entry'!$Ľ$535)</f>
      </c>
      <c r="IT535">
        <f>IF(ISBLANK('Data Entry'!$ľ$535), "", 'Data Entry'!$ľ$535)</f>
      </c>
    </row>
    <row r="536" spans="1:254" x14ac:dyDescent="0.25">
      <c r="A536">
        <f>IF(ISBLANK('Data Entry'!$A$536), "", 'Data Entry'!$A$536)</f>
      </c>
      <c r="B536">
        <f>IF(ISBLANK('Data Entry'!$B$536), "", 'Data Entry'!$B$536)</f>
      </c>
      <c r="C536">
        <f>IF(ISBLANK('Data Entry'!$C$536), "", 'Data Entry'!$C$536)</f>
      </c>
      <c r="D536">
        <f>IF(ISBLANK('Data Entry'!$D$536), "", 'Data Entry'!$D$536)</f>
      </c>
      <c r="E536">
        <f>IF(ISBLANK('Data Entry'!$E$536), "", 'Data Entry'!$E$536)</f>
      </c>
      <c r="F536">
        <f>IF(ISBLANK('Data Entry'!$F$536), "", 'Data Entry'!$F$536)</f>
      </c>
      <c r="G536">
        <f>IF(ISBLANK('Data Entry'!$G$536), "", 'Data Entry'!$G$536)</f>
      </c>
      <c r="H536">
        <f>IF(ISBLANK('Data Entry'!$H$536), "", 'Data Entry'!$H$536)</f>
      </c>
      <c r="I536">
        <f>IF(ISBLANK('Data Entry'!$I$536), "", 'Data Entry'!$I$536)</f>
      </c>
      <c r="J536">
        <f>IF(ISBLANK('Data Entry'!$J$536), "", 'Data Entry'!$J$536)</f>
      </c>
      <c r="K536">
        <f>IF(ISBLANK('Data Entry'!$K$536), "", 'Data Entry'!$K$536)</f>
      </c>
      <c r="L536">
        <f>IF(ISBLANK('Data Entry'!$L$536), "", 'Data Entry'!$L$536)</f>
      </c>
      <c r="M536">
        <f>IF(ISBLANK('Data Entry'!$M$536), "", 'Data Entry'!$M$536)</f>
      </c>
      <c r="N536">
        <f>IF(ISBLANK('Data Entry'!$N$536), "", 'Data Entry'!$N$536)</f>
      </c>
      <c r="O536">
        <f>IF(ISBLANK('Data Entry'!$O$536), "", 'Data Entry'!$O$536)</f>
      </c>
      <c r="P536">
        <f>IF(ISBLANK('Data Entry'!$P$536), "", 'Data Entry'!$P$536)</f>
      </c>
      <c r="Q536">
        <f>IF(ISBLANK('Data Entry'!$Q$536), "", 'Data Entry'!$Q$536)</f>
      </c>
      <c r="R536">
        <f>IF(ISBLANK('Data Entry'!$R$536), "", 'Data Entry'!$R$536)</f>
      </c>
      <c r="S536">
        <f>IF(ISBLANK('Data Entry'!$S$536), "", 'Data Entry'!$S$536)</f>
      </c>
      <c r="T536">
        <f>IF(ISBLANK('Data Entry'!$T$536), "", 'Data Entry'!$T$536)</f>
      </c>
      <c r="U536">
        <f>IF(ISBLANK('Data Entry'!$U$536), "", 'Data Entry'!$U$536)</f>
      </c>
      <c r="V536">
        <f>IF(ISBLANK('Data Entry'!$V$536), "", 'Data Entry'!$V$536)</f>
      </c>
      <c r="W536">
        <f>IF(ISBLANK('Data Entry'!$W$536), "", 'Data Entry'!$W$536)</f>
      </c>
      <c r="X536">
        <f>IF(ISBLANK('Data Entry'!$X$536), "", 'Data Entry'!$X$536)</f>
      </c>
      <c r="Y536">
        <f>IF(ISBLANK('Data Entry'!$Y$536), "", 'Data Entry'!$Y$536)</f>
      </c>
      <c r="Z536">
        <f>IF(ISBLANK('Data Entry'!$Z$536), "", 'Data Entry'!$Z$536)</f>
      </c>
      <c r="AA536">
        <f>IF(ISBLANK('Data Entry'!$[$536), "", 'Data Entry'!$[$536)</f>
      </c>
      <c r="AB536">
        <f>IF(ISBLANK('Data Entry'!$\$536), "", 'Data Entry'!$\$536)</f>
      </c>
      <c r="AC536">
        <f>IF(ISBLANK('Data Entry'!$]$536), "", 'Data Entry'!$]$536)</f>
      </c>
      <c r="AD536">
        <f>IF(ISBLANK('Data Entry'!$^$536), "", 'Data Entry'!$^$536)</f>
      </c>
      <c r="AE536">
        <f>IF(ISBLANK('Data Entry'!$_$536), "", 'Data Entry'!$_$536)</f>
      </c>
      <c r="AF536">
        <f>IF(ISBLANK('Data Entry'!$`$536), "", 'Data Entry'!$`$536)</f>
      </c>
      <c r="AG536">
        <f>IF(ISBLANK('Data Entry'!$a$536), "", 'Data Entry'!$a$536)</f>
      </c>
      <c r="AH536">
        <f>IF(ISBLANK('Data Entry'!$b$536), "", 'Data Entry'!$b$536)</f>
      </c>
      <c r="AI536">
        <f>IF(ISBLANK('Data Entry'!$c$536), "", 'Data Entry'!$c$536)</f>
      </c>
      <c r="AJ536">
        <f>IF(ISBLANK('Data Entry'!$d$536), "", 'Data Entry'!$d$536)</f>
      </c>
      <c r="AK536">
        <f>IF(ISBLANK('Data Entry'!$e$536), "", 'Data Entry'!$e$536)</f>
      </c>
      <c r="AL536">
        <f>IF(ISBLANK('Data Entry'!$f$536), "", 'Data Entry'!$f$536)</f>
      </c>
      <c r="AM536">
        <f>IF(ISBLANK('Data Entry'!$g$536), "", 'Data Entry'!$g$536)</f>
      </c>
      <c r="AN536">
        <f>IF(ISBLANK('Data Entry'!$h$536), "", 'Data Entry'!$h$536)</f>
      </c>
      <c r="AO536">
        <f>IF(ISBLANK('Data Entry'!$i$536), "", 'Data Entry'!$i$536)</f>
      </c>
      <c r="AP536">
        <f>IF(ISBLANK('Data Entry'!$j$536), "", 'Data Entry'!$j$536)</f>
      </c>
      <c r="AQ536">
        <f>IF(ISBLANK('Data Entry'!$k$536), "", 'Data Entry'!$k$536)</f>
      </c>
      <c r="AR536">
        <f>IF(ISBLANK('Data Entry'!$l$536), "", 'Data Entry'!$l$536)</f>
      </c>
      <c r="AS536">
        <f>IF(ISBLANK('Data Entry'!$m$536), "", 'Data Entry'!$m$536)</f>
      </c>
      <c r="AT536">
        <f>IF(ISBLANK('Data Entry'!$n$536), "", 'Data Entry'!$n$536)</f>
      </c>
      <c r="AU536">
        <f>IF(ISBLANK('Data Entry'!$o$536), "", 'Data Entry'!$o$536)</f>
      </c>
      <c r="AV536">
        <f>IF(ISBLANK('Data Entry'!$p$536), "", 'Data Entry'!$p$536)</f>
      </c>
      <c r="AW536">
        <f>IF(ISBLANK('Data Entry'!$q$536), "", 'Data Entry'!$q$536)</f>
      </c>
      <c r="AX536">
        <f>IF(ISBLANK('Data Entry'!$r$536), "", 'Data Entry'!$r$536)</f>
      </c>
      <c r="AY536">
        <f>IF(ISBLANK('Data Entry'!$s$536), "", 'Data Entry'!$s$536)</f>
      </c>
      <c r="AZ536">
        <f>IF(ISBLANK('Data Entry'!$t$536), "", 'Data Entry'!$t$536)</f>
      </c>
      <c r="BA536">
        <f>IF(ISBLANK('Data Entry'!$u$536), "", 'Data Entry'!$u$536)</f>
      </c>
      <c r="BB536">
        <f>IF(ISBLANK('Data Entry'!$v$536), "", 'Data Entry'!$v$536)</f>
      </c>
      <c r="BC536">
        <f>IF(ISBLANK('Data Entry'!$w$536), "", 'Data Entry'!$w$536)</f>
      </c>
      <c r="BD536">
        <f>IF(ISBLANK('Data Entry'!$x$536), "", 'Data Entry'!$x$536)</f>
      </c>
      <c r="BE536">
        <f>IF(ISBLANK('Data Entry'!$y$536), "", 'Data Entry'!$y$536)</f>
      </c>
      <c r="BF536">
        <f>IF(ISBLANK('Data Entry'!$z$536), "", 'Data Entry'!$z$536)</f>
      </c>
      <c r="BG536">
        <f>IF(ISBLANK('Data Entry'!${$536), "", 'Data Entry'!${$536)</f>
      </c>
      <c r="BH536">
        <f>IF(ISBLANK('Data Entry'!$|$536), "", 'Data Entry'!$|$536)</f>
      </c>
      <c r="BI536">
        <f>IF(ISBLANK('Data Entry'!$}$536), "", 'Data Entry'!$}$536)</f>
      </c>
      <c r="BJ536">
        <f>IF(ISBLANK('Data Entry'!$~$536), "", 'Data Entry'!$~$536)</f>
      </c>
      <c r="BK536">
        <f>IF(ISBLANK('Data Entry'!$$536), "", 'Data Entry'!$$536)</f>
      </c>
      <c r="BL536">
        <f>IF(ISBLANK('Data Entry'!$$536), "", 'Data Entry'!$$536)</f>
      </c>
      <c r="BM536">
        <f>IF(ISBLANK('Data Entry'!$$536), "", 'Data Entry'!$$536)</f>
      </c>
      <c r="BN536">
        <f>IF(ISBLANK('Data Entry'!$$536), "", 'Data Entry'!$$536)</f>
      </c>
      <c r="BO536">
        <f>IF(ISBLANK('Data Entry'!$$536), "", 'Data Entry'!$$536)</f>
      </c>
      <c r="BP536">
        <f>IF(ISBLANK('Data Entry'!$$536), "", 'Data Entry'!$$536)</f>
      </c>
      <c r="BQ536">
        <f>IF(ISBLANK('Data Entry'!$$536), "", 'Data Entry'!$$536)</f>
      </c>
      <c r="BR536">
        <f>IF(ISBLANK('Data Entry'!$$536), "", 'Data Entry'!$$536)</f>
      </c>
      <c r="BS536">
        <f>IF(ISBLANK('Data Entry'!$$536), "", 'Data Entry'!$$536)</f>
      </c>
      <c r="BT536">
        <f>IF(ISBLANK('Data Entry'!$$536), "", 'Data Entry'!$$536)</f>
      </c>
      <c r="BU536">
        <f>IF(ISBLANK('Data Entry'!$$536), "", 'Data Entry'!$$536)</f>
      </c>
      <c r="BV536">
        <f>IF(ISBLANK('Data Entry'!$$536), "", 'Data Entry'!$$536)</f>
      </c>
      <c r="BW536">
        <f>IF(ISBLANK('Data Entry'!$$536), "", 'Data Entry'!$$536)</f>
      </c>
      <c r="BX536">
        <f>IF(ISBLANK('Data Entry'!$$536), "", 'Data Entry'!$$536)</f>
      </c>
      <c r="BY536">
        <f>IF(ISBLANK('Data Entry'!$$536), "", 'Data Entry'!$$536)</f>
      </c>
      <c r="BZ536">
        <f>IF(ISBLANK('Data Entry'!$$536), "", 'Data Entry'!$$536)</f>
      </c>
      <c r="CA536">
        <f>IF(ISBLANK('Data Entry'!$$536), "", 'Data Entry'!$$536)</f>
      </c>
      <c r="CB536">
        <f>IF(ISBLANK('Data Entry'!$$536), "", 'Data Entry'!$$536)</f>
      </c>
      <c r="CC536">
        <f>IF(ISBLANK('Data Entry'!$$536), "", 'Data Entry'!$$536)</f>
      </c>
      <c r="CD536">
        <f>IF(ISBLANK('Data Entry'!$$536), "", 'Data Entry'!$$536)</f>
      </c>
      <c r="CE536">
        <f>IF(ISBLANK('Data Entry'!$$536), "", 'Data Entry'!$$536)</f>
      </c>
      <c r="CF536">
        <f>IF(ISBLANK('Data Entry'!$$536), "", 'Data Entry'!$$536)</f>
      </c>
      <c r="CG536">
        <f>IF(ISBLANK('Data Entry'!$$536), "", 'Data Entry'!$$536)</f>
      </c>
      <c r="CH536">
        <f>IF(ISBLANK('Data Entry'!$$536), "", 'Data Entry'!$$536)</f>
      </c>
      <c r="CI536">
        <f>IF(ISBLANK('Data Entry'!$$536), "", 'Data Entry'!$$536)</f>
      </c>
      <c r="CJ536">
        <f>IF(ISBLANK('Data Entry'!$$536), "", 'Data Entry'!$$536)</f>
      </c>
      <c r="CK536">
        <f>IF(ISBLANK('Data Entry'!$$536), "", 'Data Entry'!$$536)</f>
      </c>
      <c r="CL536">
        <f>IF(ISBLANK('Data Entry'!$$536), "", 'Data Entry'!$$536)</f>
      </c>
      <c r="CM536">
        <f>IF(ISBLANK('Data Entry'!$$536), "", 'Data Entry'!$$536)</f>
      </c>
      <c r="CN536">
        <f>IF(ISBLANK('Data Entry'!$$536), "", 'Data Entry'!$$536)</f>
      </c>
      <c r="CO536">
        <f>IF(ISBLANK('Data Entry'!$$536), "", 'Data Entry'!$$536)</f>
      </c>
      <c r="CP536">
        <f>IF(ISBLANK('Data Entry'!$$536), "", 'Data Entry'!$$536)</f>
      </c>
      <c r="CQ536">
        <f>IF(ISBLANK('Data Entry'!$$536), "", 'Data Entry'!$$536)</f>
      </c>
      <c r="CR536">
        <f>IF(ISBLANK('Data Entry'!$ $536), "", 'Data Entry'!$ $536)</f>
      </c>
      <c r="CS536">
        <f>IF(ISBLANK('Data Entry'!$¡$536), "", 'Data Entry'!$¡$536)</f>
      </c>
      <c r="CT536">
        <f>IF(ISBLANK('Data Entry'!$¢$536), "", 'Data Entry'!$¢$536)</f>
      </c>
      <c r="CU536">
        <f>IF(ISBLANK('Data Entry'!$£$536), "", 'Data Entry'!$£$536)</f>
      </c>
      <c r="CV536">
        <f>IF(ISBLANK('Data Entry'!$¤$536), "", 'Data Entry'!$¤$536)</f>
      </c>
      <c r="CW536">
        <f>IF(ISBLANK('Data Entry'!$¥$536), "", 'Data Entry'!$¥$536)</f>
      </c>
      <c r="CX536">
        <f>IF(ISBLANK('Data Entry'!$¦$536), "", 'Data Entry'!$¦$536)</f>
      </c>
      <c r="CY536">
        <f>IF(ISBLANK('Data Entry'!$§$536), "", 'Data Entry'!$§$536)</f>
      </c>
      <c r="CZ536">
        <f>IF(ISBLANK('Data Entry'!$¨$536), "", 'Data Entry'!$¨$536)</f>
      </c>
      <c r="DA536">
        <f>IF(ISBLANK('Data Entry'!$©$536), "", 'Data Entry'!$©$536)</f>
      </c>
      <c r="DB536">
        <f>IF(ISBLANK('Data Entry'!$ª$536), "", 'Data Entry'!$ª$536)</f>
      </c>
      <c r="DC536">
        <f>IF(ISBLANK('Data Entry'!$«$536), "", 'Data Entry'!$«$536)</f>
      </c>
      <c r="DD536">
        <f>IF(ISBLANK('Data Entry'!$¬$536), "", 'Data Entry'!$¬$536)</f>
      </c>
      <c r="DE536">
        <f>IF(ISBLANK('Data Entry'!$­$536), "", 'Data Entry'!$­$536)</f>
      </c>
      <c r="DF536">
        <f>IF(ISBLANK('Data Entry'!$®$536), "", 'Data Entry'!$®$536)</f>
      </c>
      <c r="DG536">
        <f>IF(ISBLANK('Data Entry'!$¯$536), "", 'Data Entry'!$¯$536)</f>
      </c>
      <c r="DH536">
        <f>IF(ISBLANK('Data Entry'!$°$536), "", 'Data Entry'!$°$536)</f>
      </c>
      <c r="DI536">
        <f>IF(ISBLANK('Data Entry'!$±$536), "", 'Data Entry'!$±$536)</f>
      </c>
      <c r="DJ536">
        <f>IF(ISBLANK('Data Entry'!$²$536), "", 'Data Entry'!$²$536)</f>
      </c>
      <c r="DK536">
        <f>IF(ISBLANK('Data Entry'!$³$536), "", 'Data Entry'!$³$536)</f>
      </c>
      <c r="DL536">
        <f>IF(ISBLANK('Data Entry'!$´$536), "", 'Data Entry'!$´$536)</f>
      </c>
      <c r="DM536">
        <f>IF(ISBLANK('Data Entry'!$µ$536), "", 'Data Entry'!$µ$536)</f>
      </c>
      <c r="DN536">
        <f>IF(ISBLANK('Data Entry'!$¶$536), "", 'Data Entry'!$¶$536)</f>
      </c>
      <c r="DO536">
        <f>IF(ISBLANK('Data Entry'!$·$536), "", 'Data Entry'!$·$536)</f>
      </c>
      <c r="DP536">
        <f>IF(ISBLANK('Data Entry'!$¸$536), "", 'Data Entry'!$¸$536)</f>
      </c>
      <c r="DQ536">
        <f>IF(ISBLANK('Data Entry'!$¹$536), "", 'Data Entry'!$¹$536)</f>
      </c>
      <c r="DR536">
        <f>IF(ISBLANK('Data Entry'!$º$536), "", 'Data Entry'!$º$536)</f>
      </c>
      <c r="DS536">
        <f>IF(ISBLANK('Data Entry'!$»$536), "", 'Data Entry'!$»$536)</f>
      </c>
      <c r="DT536">
        <f>IF(ISBLANK('Data Entry'!$¼$536), "", 'Data Entry'!$¼$536)</f>
      </c>
      <c r="DU536">
        <f>IF(ISBLANK('Data Entry'!$½$536), "", 'Data Entry'!$½$536)</f>
      </c>
      <c r="DV536">
        <f>IF(ISBLANK('Data Entry'!$¾$536), "", 'Data Entry'!$¾$536)</f>
      </c>
      <c r="DW536">
        <f>IF(ISBLANK('Data Entry'!$¿$536), "", 'Data Entry'!$¿$536)</f>
      </c>
      <c r="DX536">
        <f>IF(ISBLANK('Data Entry'!$À$536), "", 'Data Entry'!$À$536)</f>
      </c>
      <c r="DY536">
        <f>IF(ISBLANK('Data Entry'!$Á$536), "", 'Data Entry'!$Á$536)</f>
      </c>
      <c r="DZ536">
        <f>IF(ISBLANK('Data Entry'!$Â$536), "", 'Data Entry'!$Â$536)</f>
      </c>
      <c r="EA536">
        <f>IF(ISBLANK('Data Entry'!$Ã$536), "", 'Data Entry'!$Ã$536)</f>
      </c>
      <c r="EB536">
        <f>IF(ISBLANK('Data Entry'!$Ä$536), "", 'Data Entry'!$Ä$536)</f>
      </c>
      <c r="EC536">
        <f>IF(ISBLANK('Data Entry'!$Å$536), "", 'Data Entry'!$Å$536)</f>
      </c>
      <c r="ED536">
        <f>IF(ISBLANK('Data Entry'!$Æ$536), "", 'Data Entry'!$Æ$536)</f>
      </c>
      <c r="EE536">
        <f>IF(ISBLANK('Data Entry'!$Ç$536), "", 'Data Entry'!$Ç$536)</f>
      </c>
      <c r="EF536">
        <f>IF(ISBLANK('Data Entry'!$È$536), "", 'Data Entry'!$È$536)</f>
      </c>
      <c r="EG536">
        <f>IF(ISBLANK('Data Entry'!$É$536), "", 'Data Entry'!$É$536)</f>
      </c>
      <c r="EH536">
        <f>IF(ISBLANK('Data Entry'!$Ê$536), "", 'Data Entry'!$Ê$536)</f>
      </c>
      <c r="EI536">
        <f>IF(ISBLANK('Data Entry'!$Ë$536), "", 'Data Entry'!$Ë$536)</f>
      </c>
      <c r="EJ536">
        <f>IF(ISBLANK('Data Entry'!$Ì$536), "", 'Data Entry'!$Ì$536)</f>
      </c>
      <c r="EK536">
        <f>IF(ISBLANK('Data Entry'!$Í$536), "", 'Data Entry'!$Í$536)</f>
      </c>
      <c r="EL536">
        <f>IF(ISBLANK('Data Entry'!$Î$536), "", 'Data Entry'!$Î$536)</f>
      </c>
      <c r="EM536">
        <f>IF(ISBLANK('Data Entry'!$Ï$536), "", 'Data Entry'!$Ï$536)</f>
      </c>
      <c r="EN536">
        <f>IF(ISBLANK('Data Entry'!$Ð$536), "", 'Data Entry'!$Ð$536)</f>
      </c>
      <c r="EO536">
        <f>IF(ISBLANK('Data Entry'!$Ñ$536), "", 'Data Entry'!$Ñ$536)</f>
      </c>
      <c r="EP536">
        <f>IF(ISBLANK('Data Entry'!$Ò$536), "", 'Data Entry'!$Ò$536)</f>
      </c>
      <c r="EQ536">
        <f>IF(ISBLANK('Data Entry'!$Ó$536), "", 'Data Entry'!$Ó$536)</f>
      </c>
      <c r="ER536">
        <f>IF(ISBLANK('Data Entry'!$Ô$536), "", 'Data Entry'!$Ô$536)</f>
      </c>
      <c r="ES536">
        <f>IF(ISBLANK('Data Entry'!$Õ$536), "", 'Data Entry'!$Õ$536)</f>
      </c>
      <c r="ET536">
        <f>IF(ISBLANK('Data Entry'!$Ö$536), "", 'Data Entry'!$Ö$536)</f>
      </c>
      <c r="EU536">
        <f>IF(ISBLANK('Data Entry'!$×$536), "", 'Data Entry'!$×$536)</f>
      </c>
      <c r="EV536">
        <f>IF(ISBLANK('Data Entry'!$Ø$536), "", 'Data Entry'!$Ø$536)</f>
      </c>
      <c r="EW536">
        <f>IF(ISBLANK('Data Entry'!$Ù$536), "", 'Data Entry'!$Ù$536)</f>
      </c>
      <c r="EX536">
        <f>IF(ISBLANK('Data Entry'!$Ú$536), "", 'Data Entry'!$Ú$536)</f>
      </c>
      <c r="EY536">
        <f>IF(ISBLANK('Data Entry'!$Û$536), "", 'Data Entry'!$Û$536)</f>
      </c>
      <c r="EZ536">
        <f>IF(ISBLANK('Data Entry'!$Ü$536), "", 'Data Entry'!$Ü$536)</f>
      </c>
      <c r="FA536">
        <f>IF(ISBLANK('Data Entry'!$Ý$536), "", 'Data Entry'!$Ý$536)</f>
      </c>
      <c r="FB536">
        <f>IF(ISBLANK('Data Entry'!$Þ$536), "", 'Data Entry'!$Þ$536)</f>
      </c>
      <c r="FC536">
        <f>IF(ISBLANK('Data Entry'!$ß$536), "", 'Data Entry'!$ß$536)</f>
      </c>
      <c r="FD536">
        <f>IF(ISBLANK('Data Entry'!$à$536), "", 'Data Entry'!$à$536)</f>
      </c>
      <c r="FE536">
        <f>IF(ISBLANK('Data Entry'!$á$536), "", 'Data Entry'!$á$536)</f>
      </c>
      <c r="FF536">
        <f>IF(ISBLANK('Data Entry'!$â$536), "", 'Data Entry'!$â$536)</f>
      </c>
      <c r="FG536">
        <f>IF(ISBLANK('Data Entry'!$ã$536), "", 'Data Entry'!$ã$536)</f>
      </c>
      <c r="FH536">
        <f>IF(ISBLANK('Data Entry'!$ä$536), "", 'Data Entry'!$ä$536)</f>
      </c>
      <c r="FI536">
        <f>IF(ISBLANK('Data Entry'!$å$536), "", 'Data Entry'!$å$536)</f>
      </c>
      <c r="FJ536">
        <f>IF(ISBLANK('Data Entry'!$æ$536), "", 'Data Entry'!$æ$536)</f>
      </c>
      <c r="FK536">
        <f>IF(ISBLANK('Data Entry'!$ç$536), "", 'Data Entry'!$ç$536)</f>
      </c>
      <c r="FL536">
        <f>IF(ISBLANK('Data Entry'!$è$536), "", 'Data Entry'!$è$536)</f>
      </c>
      <c r="FM536">
        <f>IF(ISBLANK('Data Entry'!$é$536), "", 'Data Entry'!$é$536)</f>
      </c>
      <c r="FN536">
        <f>IF(ISBLANK('Data Entry'!$ê$536), "", 'Data Entry'!$ê$536)</f>
      </c>
      <c r="FO536">
        <f>IF(ISBLANK('Data Entry'!$ë$536), "", 'Data Entry'!$ë$536)</f>
      </c>
      <c r="FP536">
        <f>IF(ISBLANK('Data Entry'!$ì$536), "", 'Data Entry'!$ì$536)</f>
      </c>
      <c r="FQ536">
        <f>IF(ISBLANK('Data Entry'!$í$536), "", 'Data Entry'!$í$536)</f>
      </c>
      <c r="FR536">
        <f>IF(ISBLANK('Data Entry'!$î$536), "", 'Data Entry'!$î$536)</f>
      </c>
      <c r="FS536">
        <f>IF(ISBLANK('Data Entry'!$ï$536), "", 'Data Entry'!$ï$536)</f>
      </c>
      <c r="FT536">
        <f>IF(ISBLANK('Data Entry'!$ð$536), "", 'Data Entry'!$ð$536)</f>
      </c>
      <c r="FU536">
        <f>IF(ISBLANK('Data Entry'!$ñ$536), "", 'Data Entry'!$ñ$536)</f>
      </c>
      <c r="FV536">
        <f>IF(ISBLANK('Data Entry'!$ò$536), "", 'Data Entry'!$ò$536)</f>
      </c>
      <c r="FW536">
        <f>IF(ISBLANK('Data Entry'!$ó$536), "", 'Data Entry'!$ó$536)</f>
      </c>
      <c r="FX536">
        <f>IF(ISBLANK('Data Entry'!$ô$536), "", 'Data Entry'!$ô$536)</f>
      </c>
      <c r="FY536">
        <f>IF(ISBLANK('Data Entry'!$õ$536), "", 'Data Entry'!$õ$536)</f>
      </c>
      <c r="FZ536">
        <f>IF(ISBLANK('Data Entry'!$ö$536), "", 'Data Entry'!$ö$536)</f>
      </c>
      <c r="GA536">
        <f>IF(ISBLANK('Data Entry'!$÷$536), "", 'Data Entry'!$÷$536)</f>
      </c>
      <c r="GB536">
        <f>IF(ISBLANK('Data Entry'!$ø$536), "", 'Data Entry'!$ø$536)</f>
      </c>
      <c r="GC536">
        <f>IF(ISBLANK('Data Entry'!$ù$536), "", 'Data Entry'!$ù$536)</f>
      </c>
      <c r="GD536">
        <f>IF(ISBLANK('Data Entry'!$ú$536), "", 'Data Entry'!$ú$536)</f>
      </c>
      <c r="GE536">
        <f>IF(ISBLANK('Data Entry'!$û$536), "", 'Data Entry'!$û$536)</f>
      </c>
      <c r="GF536">
        <f>IF(ISBLANK('Data Entry'!$ü$536), "", 'Data Entry'!$ü$536)</f>
      </c>
      <c r="GG536">
        <f>IF(ISBLANK('Data Entry'!$ý$536), "", 'Data Entry'!$ý$536)</f>
      </c>
      <c r="GH536">
        <f>IF(ISBLANK('Data Entry'!$þ$536), "", 'Data Entry'!$þ$536)</f>
      </c>
      <c r="GI536">
        <f>IF(ISBLANK('Data Entry'!$ÿ$536), "", 'Data Entry'!$ÿ$536)</f>
      </c>
      <c r="GJ536">
        <f>IF(ISBLANK('Data Entry'!$Ā$536), "", 'Data Entry'!$Ā$536)</f>
      </c>
      <c r="GK536">
        <f>IF(ISBLANK('Data Entry'!$ā$536), "", 'Data Entry'!$ā$536)</f>
      </c>
      <c r="GL536">
        <f>IF(ISBLANK('Data Entry'!$Ă$536), "", 'Data Entry'!$Ă$536)</f>
      </c>
      <c r="GM536">
        <f>IF(ISBLANK('Data Entry'!$ă$536), "", 'Data Entry'!$ă$536)</f>
      </c>
      <c r="GN536">
        <f>IF(ISBLANK('Data Entry'!$Ą$536), "", 'Data Entry'!$Ą$536)</f>
      </c>
      <c r="GO536">
        <f>IF(ISBLANK('Data Entry'!$ą$536), "", 'Data Entry'!$ą$536)</f>
      </c>
      <c r="GP536">
        <f>IF(ISBLANK('Data Entry'!$Ć$536), "", 'Data Entry'!$Ć$536)</f>
      </c>
      <c r="GQ536">
        <f>IF(ISBLANK('Data Entry'!$ć$536), "", 'Data Entry'!$ć$536)</f>
      </c>
      <c r="GR536">
        <f>IF(ISBLANK('Data Entry'!$Ĉ$536), "", 'Data Entry'!$Ĉ$536)</f>
      </c>
      <c r="GS536">
        <f>IF(ISBLANK('Data Entry'!$ĉ$536), "", 'Data Entry'!$ĉ$536)</f>
      </c>
      <c r="GT536">
        <f>IF(ISBLANK('Data Entry'!$Ċ$536), "", 'Data Entry'!$Ċ$536)</f>
      </c>
      <c r="GU536">
        <f>IF(ISBLANK('Data Entry'!$ċ$536), "", 'Data Entry'!$ċ$536)</f>
      </c>
      <c r="GV536">
        <f>IF(ISBLANK('Data Entry'!$Č$536), "", 'Data Entry'!$Č$536)</f>
      </c>
      <c r="GW536">
        <f>IF(ISBLANK('Data Entry'!$č$536), "", 'Data Entry'!$č$536)</f>
      </c>
      <c r="GX536">
        <f>IF(ISBLANK('Data Entry'!$Ď$536), "", 'Data Entry'!$Ď$536)</f>
      </c>
      <c r="GY536">
        <f>IF(ISBLANK('Data Entry'!$ď$536), "", 'Data Entry'!$ď$536)</f>
      </c>
      <c r="GZ536">
        <f>IF(ISBLANK('Data Entry'!$Đ$536), "", 'Data Entry'!$Đ$536)</f>
      </c>
      <c r="HA536">
        <f>IF(ISBLANK('Data Entry'!$đ$536), "", 'Data Entry'!$đ$536)</f>
      </c>
      <c r="HB536">
        <f>IF(ISBLANK('Data Entry'!$Ē$536), "", 'Data Entry'!$Ē$536)</f>
      </c>
      <c r="HC536">
        <f>IF(ISBLANK('Data Entry'!$ē$536), "", 'Data Entry'!$ē$536)</f>
      </c>
      <c r="HD536">
        <f>IF(ISBLANK('Data Entry'!$Ĕ$536), "", 'Data Entry'!$Ĕ$536)</f>
      </c>
      <c r="HE536">
        <f>IF(ISBLANK('Data Entry'!$ĕ$536), "", 'Data Entry'!$ĕ$536)</f>
      </c>
      <c r="HF536">
        <f>IF(ISBLANK('Data Entry'!$Ė$536), "", 'Data Entry'!$Ė$536)</f>
      </c>
      <c r="HG536">
        <f>IF(ISBLANK('Data Entry'!$ė$536), "", 'Data Entry'!$ė$536)</f>
      </c>
      <c r="HH536">
        <f>IF(ISBLANK('Data Entry'!$Ę$536), "", 'Data Entry'!$Ę$536)</f>
      </c>
      <c r="HI536">
        <f>IF(ISBLANK('Data Entry'!$ę$536), "", 'Data Entry'!$ę$536)</f>
      </c>
      <c r="HJ536">
        <f>IF(ISBLANK('Data Entry'!$Ě$536), "", 'Data Entry'!$Ě$536)</f>
      </c>
      <c r="HK536">
        <f>IF(ISBLANK('Data Entry'!$ě$536), "", 'Data Entry'!$ě$536)</f>
      </c>
      <c r="HL536">
        <f>IF(ISBLANK('Data Entry'!$Ĝ$536), "", 'Data Entry'!$Ĝ$536)</f>
      </c>
      <c r="HM536">
        <f>IF(ISBLANK('Data Entry'!$ĝ$536), "", 'Data Entry'!$ĝ$536)</f>
      </c>
      <c r="HN536">
        <f>IF(ISBLANK('Data Entry'!$Ğ$536), "", 'Data Entry'!$Ğ$536)</f>
      </c>
      <c r="HO536">
        <f>IF(ISBLANK('Data Entry'!$ğ$536), "", 'Data Entry'!$ğ$536)</f>
      </c>
      <c r="HP536">
        <f>IF(ISBLANK('Data Entry'!$Ġ$536), "", 'Data Entry'!$Ġ$536)</f>
      </c>
      <c r="HQ536">
        <f>IF(ISBLANK('Data Entry'!$ġ$536), "", 'Data Entry'!$ġ$536)</f>
      </c>
      <c r="HR536">
        <f>IF(ISBLANK('Data Entry'!$Ģ$536), "", 'Data Entry'!$Ģ$536)</f>
      </c>
      <c r="HS536">
        <f>IF(ISBLANK('Data Entry'!$ģ$536), "", 'Data Entry'!$ģ$536)</f>
      </c>
      <c r="HT536">
        <f>IF(ISBLANK('Data Entry'!$Ĥ$536), "", 'Data Entry'!$Ĥ$536)</f>
      </c>
      <c r="HU536">
        <f>IF(ISBLANK('Data Entry'!$ĥ$536), "", 'Data Entry'!$ĥ$536)</f>
      </c>
      <c r="HV536">
        <f>IF(ISBLANK('Data Entry'!$Ħ$536), "", 'Data Entry'!$Ħ$536)</f>
      </c>
      <c r="HW536">
        <f>IF(ISBLANK('Data Entry'!$ħ$536), "", 'Data Entry'!$ħ$536)</f>
      </c>
      <c r="HX536">
        <f>IF(ISBLANK('Data Entry'!$Ĩ$536), "", 'Data Entry'!$Ĩ$536)</f>
      </c>
      <c r="HY536">
        <f>IF(ISBLANK('Data Entry'!$ĩ$536), "", 'Data Entry'!$ĩ$536)</f>
      </c>
      <c r="HZ536">
        <f>IF(ISBLANK('Data Entry'!$Ī$536), "", 'Data Entry'!$Ī$536)</f>
      </c>
      <c r="IA536">
        <f>IF(ISBLANK('Data Entry'!$ī$536), "", 'Data Entry'!$ī$536)</f>
      </c>
      <c r="IB536">
        <f>IF(ISBLANK('Data Entry'!$Ĭ$536), "", 'Data Entry'!$Ĭ$536)</f>
      </c>
      <c r="IC536">
        <f>IF(ISBLANK('Data Entry'!$ĭ$536), "", 'Data Entry'!$ĭ$536)</f>
      </c>
      <c r="ID536">
        <f>IF(ISBLANK('Data Entry'!$Į$536), "", 'Data Entry'!$Į$536)</f>
      </c>
      <c r="IE536">
        <f>IF(ISBLANK('Data Entry'!$į$536), "", 'Data Entry'!$į$536)</f>
      </c>
      <c r="IF536">
        <f>IF(ISBLANK('Data Entry'!$İ$536), "", 'Data Entry'!$İ$536)</f>
      </c>
      <c r="IG536">
        <f>IF(ISBLANK('Data Entry'!$ı$536), "", 'Data Entry'!$ı$536)</f>
      </c>
      <c r="IH536">
        <f>IF(ISBLANK('Data Entry'!$Ĳ$536), "", 'Data Entry'!$Ĳ$536)</f>
      </c>
      <c r="II536">
        <f>IF(ISBLANK('Data Entry'!$ĳ$536), "", 'Data Entry'!$ĳ$536)</f>
      </c>
      <c r="IJ536">
        <f>IF(ISBLANK('Data Entry'!$Ĵ$536), "", 'Data Entry'!$Ĵ$536)</f>
      </c>
      <c r="IK536">
        <f>IF(ISBLANK('Data Entry'!$ĵ$536), "", 'Data Entry'!$ĵ$536)</f>
      </c>
      <c r="IL536">
        <f>IF(ISBLANK('Data Entry'!$Ķ$536), "", 'Data Entry'!$Ķ$536)</f>
      </c>
      <c r="IM536">
        <f>IF(ISBLANK('Data Entry'!$ķ$536), "", 'Data Entry'!$ķ$536)</f>
      </c>
      <c r="IN536">
        <f>IF(ISBLANK('Data Entry'!$ĸ$536), "", 'Data Entry'!$ĸ$536)</f>
      </c>
      <c r="IO536">
        <f>IF(ISBLANK('Data Entry'!$Ĺ$536), "", 'Data Entry'!$Ĺ$536)</f>
      </c>
      <c r="IP536">
        <f>IF(ISBLANK('Data Entry'!$ĺ$536), "", 'Data Entry'!$ĺ$536)</f>
      </c>
      <c r="IQ536">
        <f>IF(ISBLANK('Data Entry'!$Ļ$536), "", 'Data Entry'!$Ļ$536)</f>
      </c>
      <c r="IR536">
        <f>IF(ISBLANK('Data Entry'!$ļ$536), "", 'Data Entry'!$ļ$536)</f>
      </c>
      <c r="IS536">
        <f>IF(ISBLANK('Data Entry'!$Ľ$536), "", 'Data Entry'!$Ľ$536)</f>
      </c>
      <c r="IT536">
        <f>IF(ISBLANK('Data Entry'!$ľ$536), "", 'Data Entry'!$ľ$536)</f>
      </c>
    </row>
    <row r="537" spans="1:254" x14ac:dyDescent="0.25">
      <c r="A537">
        <f>IF(ISBLANK('Data Entry'!$A$537), "", 'Data Entry'!$A$537)</f>
      </c>
      <c r="B537">
        <f>IF(ISBLANK('Data Entry'!$B$537), "", 'Data Entry'!$B$537)</f>
      </c>
      <c r="C537">
        <f>IF(ISBLANK('Data Entry'!$C$537), "", 'Data Entry'!$C$537)</f>
      </c>
      <c r="D537">
        <f>IF(ISBLANK('Data Entry'!$D$537), "", 'Data Entry'!$D$537)</f>
      </c>
      <c r="E537">
        <f>IF(ISBLANK('Data Entry'!$E$537), "", 'Data Entry'!$E$537)</f>
      </c>
      <c r="F537">
        <f>IF(ISBLANK('Data Entry'!$F$537), "", 'Data Entry'!$F$537)</f>
      </c>
      <c r="G537">
        <f>IF(ISBLANK('Data Entry'!$G$537), "", 'Data Entry'!$G$537)</f>
      </c>
      <c r="H537">
        <f>IF(ISBLANK('Data Entry'!$H$537), "", 'Data Entry'!$H$537)</f>
      </c>
      <c r="I537">
        <f>IF(ISBLANK('Data Entry'!$I$537), "", 'Data Entry'!$I$537)</f>
      </c>
      <c r="J537">
        <f>IF(ISBLANK('Data Entry'!$J$537), "", 'Data Entry'!$J$537)</f>
      </c>
      <c r="K537">
        <f>IF(ISBLANK('Data Entry'!$K$537), "", 'Data Entry'!$K$537)</f>
      </c>
      <c r="L537">
        <f>IF(ISBLANK('Data Entry'!$L$537), "", 'Data Entry'!$L$537)</f>
      </c>
      <c r="M537">
        <f>IF(ISBLANK('Data Entry'!$M$537), "", 'Data Entry'!$M$537)</f>
      </c>
      <c r="N537">
        <f>IF(ISBLANK('Data Entry'!$N$537), "", 'Data Entry'!$N$537)</f>
      </c>
      <c r="O537">
        <f>IF(ISBLANK('Data Entry'!$O$537), "", 'Data Entry'!$O$537)</f>
      </c>
      <c r="P537">
        <f>IF(ISBLANK('Data Entry'!$P$537), "", 'Data Entry'!$P$537)</f>
      </c>
      <c r="Q537">
        <f>IF(ISBLANK('Data Entry'!$Q$537), "", 'Data Entry'!$Q$537)</f>
      </c>
      <c r="R537">
        <f>IF(ISBLANK('Data Entry'!$R$537), "", 'Data Entry'!$R$537)</f>
      </c>
      <c r="S537">
        <f>IF(ISBLANK('Data Entry'!$S$537), "", 'Data Entry'!$S$537)</f>
      </c>
      <c r="T537">
        <f>IF(ISBLANK('Data Entry'!$T$537), "", 'Data Entry'!$T$537)</f>
      </c>
      <c r="U537">
        <f>IF(ISBLANK('Data Entry'!$U$537), "", 'Data Entry'!$U$537)</f>
      </c>
      <c r="V537">
        <f>IF(ISBLANK('Data Entry'!$V$537), "", 'Data Entry'!$V$537)</f>
      </c>
      <c r="W537">
        <f>IF(ISBLANK('Data Entry'!$W$537), "", 'Data Entry'!$W$537)</f>
      </c>
      <c r="X537">
        <f>IF(ISBLANK('Data Entry'!$X$537), "", 'Data Entry'!$X$537)</f>
      </c>
      <c r="Y537">
        <f>IF(ISBLANK('Data Entry'!$Y$537), "", 'Data Entry'!$Y$537)</f>
      </c>
      <c r="Z537">
        <f>IF(ISBLANK('Data Entry'!$Z$537), "", 'Data Entry'!$Z$537)</f>
      </c>
      <c r="AA537">
        <f>IF(ISBLANK('Data Entry'!$[$537), "", 'Data Entry'!$[$537)</f>
      </c>
      <c r="AB537">
        <f>IF(ISBLANK('Data Entry'!$\$537), "", 'Data Entry'!$\$537)</f>
      </c>
      <c r="AC537">
        <f>IF(ISBLANK('Data Entry'!$]$537), "", 'Data Entry'!$]$537)</f>
      </c>
      <c r="AD537">
        <f>IF(ISBLANK('Data Entry'!$^$537), "", 'Data Entry'!$^$537)</f>
      </c>
      <c r="AE537">
        <f>IF(ISBLANK('Data Entry'!$_$537), "", 'Data Entry'!$_$537)</f>
      </c>
      <c r="AF537">
        <f>IF(ISBLANK('Data Entry'!$`$537), "", 'Data Entry'!$`$537)</f>
      </c>
      <c r="AG537">
        <f>IF(ISBLANK('Data Entry'!$a$537), "", 'Data Entry'!$a$537)</f>
      </c>
      <c r="AH537">
        <f>IF(ISBLANK('Data Entry'!$b$537), "", 'Data Entry'!$b$537)</f>
      </c>
      <c r="AI537">
        <f>IF(ISBLANK('Data Entry'!$c$537), "", 'Data Entry'!$c$537)</f>
      </c>
      <c r="AJ537">
        <f>IF(ISBLANK('Data Entry'!$d$537), "", 'Data Entry'!$d$537)</f>
      </c>
      <c r="AK537">
        <f>IF(ISBLANK('Data Entry'!$e$537), "", 'Data Entry'!$e$537)</f>
      </c>
      <c r="AL537">
        <f>IF(ISBLANK('Data Entry'!$f$537), "", 'Data Entry'!$f$537)</f>
      </c>
      <c r="AM537">
        <f>IF(ISBLANK('Data Entry'!$g$537), "", 'Data Entry'!$g$537)</f>
      </c>
      <c r="AN537">
        <f>IF(ISBLANK('Data Entry'!$h$537), "", 'Data Entry'!$h$537)</f>
      </c>
      <c r="AO537">
        <f>IF(ISBLANK('Data Entry'!$i$537), "", 'Data Entry'!$i$537)</f>
      </c>
      <c r="AP537">
        <f>IF(ISBLANK('Data Entry'!$j$537), "", 'Data Entry'!$j$537)</f>
      </c>
      <c r="AQ537">
        <f>IF(ISBLANK('Data Entry'!$k$537), "", 'Data Entry'!$k$537)</f>
      </c>
      <c r="AR537">
        <f>IF(ISBLANK('Data Entry'!$l$537), "", 'Data Entry'!$l$537)</f>
      </c>
      <c r="AS537">
        <f>IF(ISBLANK('Data Entry'!$m$537), "", 'Data Entry'!$m$537)</f>
      </c>
      <c r="AT537">
        <f>IF(ISBLANK('Data Entry'!$n$537), "", 'Data Entry'!$n$537)</f>
      </c>
      <c r="AU537">
        <f>IF(ISBLANK('Data Entry'!$o$537), "", 'Data Entry'!$o$537)</f>
      </c>
      <c r="AV537">
        <f>IF(ISBLANK('Data Entry'!$p$537), "", 'Data Entry'!$p$537)</f>
      </c>
      <c r="AW537">
        <f>IF(ISBLANK('Data Entry'!$q$537), "", 'Data Entry'!$q$537)</f>
      </c>
      <c r="AX537">
        <f>IF(ISBLANK('Data Entry'!$r$537), "", 'Data Entry'!$r$537)</f>
      </c>
      <c r="AY537">
        <f>IF(ISBLANK('Data Entry'!$s$537), "", 'Data Entry'!$s$537)</f>
      </c>
      <c r="AZ537">
        <f>IF(ISBLANK('Data Entry'!$t$537), "", 'Data Entry'!$t$537)</f>
      </c>
      <c r="BA537">
        <f>IF(ISBLANK('Data Entry'!$u$537), "", 'Data Entry'!$u$537)</f>
      </c>
      <c r="BB537">
        <f>IF(ISBLANK('Data Entry'!$v$537), "", 'Data Entry'!$v$537)</f>
      </c>
      <c r="BC537">
        <f>IF(ISBLANK('Data Entry'!$w$537), "", 'Data Entry'!$w$537)</f>
      </c>
      <c r="BD537">
        <f>IF(ISBLANK('Data Entry'!$x$537), "", 'Data Entry'!$x$537)</f>
      </c>
      <c r="BE537">
        <f>IF(ISBLANK('Data Entry'!$y$537), "", 'Data Entry'!$y$537)</f>
      </c>
      <c r="BF537">
        <f>IF(ISBLANK('Data Entry'!$z$537), "", 'Data Entry'!$z$537)</f>
      </c>
      <c r="BG537">
        <f>IF(ISBLANK('Data Entry'!${$537), "", 'Data Entry'!${$537)</f>
      </c>
      <c r="BH537">
        <f>IF(ISBLANK('Data Entry'!$|$537), "", 'Data Entry'!$|$537)</f>
      </c>
      <c r="BI537">
        <f>IF(ISBLANK('Data Entry'!$}$537), "", 'Data Entry'!$}$537)</f>
      </c>
      <c r="BJ537">
        <f>IF(ISBLANK('Data Entry'!$~$537), "", 'Data Entry'!$~$537)</f>
      </c>
      <c r="BK537">
        <f>IF(ISBLANK('Data Entry'!$$537), "", 'Data Entry'!$$537)</f>
      </c>
      <c r="BL537">
        <f>IF(ISBLANK('Data Entry'!$$537), "", 'Data Entry'!$$537)</f>
      </c>
      <c r="BM537">
        <f>IF(ISBLANK('Data Entry'!$$537), "", 'Data Entry'!$$537)</f>
      </c>
      <c r="BN537">
        <f>IF(ISBLANK('Data Entry'!$$537), "", 'Data Entry'!$$537)</f>
      </c>
      <c r="BO537">
        <f>IF(ISBLANK('Data Entry'!$$537), "", 'Data Entry'!$$537)</f>
      </c>
      <c r="BP537">
        <f>IF(ISBLANK('Data Entry'!$$537), "", 'Data Entry'!$$537)</f>
      </c>
      <c r="BQ537">
        <f>IF(ISBLANK('Data Entry'!$$537), "", 'Data Entry'!$$537)</f>
      </c>
      <c r="BR537">
        <f>IF(ISBLANK('Data Entry'!$$537), "", 'Data Entry'!$$537)</f>
      </c>
      <c r="BS537">
        <f>IF(ISBLANK('Data Entry'!$$537), "", 'Data Entry'!$$537)</f>
      </c>
      <c r="BT537">
        <f>IF(ISBLANK('Data Entry'!$$537), "", 'Data Entry'!$$537)</f>
      </c>
      <c r="BU537">
        <f>IF(ISBLANK('Data Entry'!$$537), "", 'Data Entry'!$$537)</f>
      </c>
      <c r="BV537">
        <f>IF(ISBLANK('Data Entry'!$$537), "", 'Data Entry'!$$537)</f>
      </c>
      <c r="BW537">
        <f>IF(ISBLANK('Data Entry'!$$537), "", 'Data Entry'!$$537)</f>
      </c>
      <c r="BX537">
        <f>IF(ISBLANK('Data Entry'!$$537), "", 'Data Entry'!$$537)</f>
      </c>
      <c r="BY537">
        <f>IF(ISBLANK('Data Entry'!$$537), "", 'Data Entry'!$$537)</f>
      </c>
      <c r="BZ537">
        <f>IF(ISBLANK('Data Entry'!$$537), "", 'Data Entry'!$$537)</f>
      </c>
      <c r="CA537">
        <f>IF(ISBLANK('Data Entry'!$$537), "", 'Data Entry'!$$537)</f>
      </c>
      <c r="CB537">
        <f>IF(ISBLANK('Data Entry'!$$537), "", 'Data Entry'!$$537)</f>
      </c>
      <c r="CC537">
        <f>IF(ISBLANK('Data Entry'!$$537), "", 'Data Entry'!$$537)</f>
      </c>
      <c r="CD537">
        <f>IF(ISBLANK('Data Entry'!$$537), "", 'Data Entry'!$$537)</f>
      </c>
      <c r="CE537">
        <f>IF(ISBLANK('Data Entry'!$$537), "", 'Data Entry'!$$537)</f>
      </c>
      <c r="CF537">
        <f>IF(ISBLANK('Data Entry'!$$537), "", 'Data Entry'!$$537)</f>
      </c>
      <c r="CG537">
        <f>IF(ISBLANK('Data Entry'!$$537), "", 'Data Entry'!$$537)</f>
      </c>
      <c r="CH537">
        <f>IF(ISBLANK('Data Entry'!$$537), "", 'Data Entry'!$$537)</f>
      </c>
      <c r="CI537">
        <f>IF(ISBLANK('Data Entry'!$$537), "", 'Data Entry'!$$537)</f>
      </c>
      <c r="CJ537">
        <f>IF(ISBLANK('Data Entry'!$$537), "", 'Data Entry'!$$537)</f>
      </c>
      <c r="CK537">
        <f>IF(ISBLANK('Data Entry'!$$537), "", 'Data Entry'!$$537)</f>
      </c>
      <c r="CL537">
        <f>IF(ISBLANK('Data Entry'!$$537), "", 'Data Entry'!$$537)</f>
      </c>
      <c r="CM537">
        <f>IF(ISBLANK('Data Entry'!$$537), "", 'Data Entry'!$$537)</f>
      </c>
      <c r="CN537">
        <f>IF(ISBLANK('Data Entry'!$$537), "", 'Data Entry'!$$537)</f>
      </c>
      <c r="CO537">
        <f>IF(ISBLANK('Data Entry'!$$537), "", 'Data Entry'!$$537)</f>
      </c>
      <c r="CP537">
        <f>IF(ISBLANK('Data Entry'!$$537), "", 'Data Entry'!$$537)</f>
      </c>
      <c r="CQ537">
        <f>IF(ISBLANK('Data Entry'!$$537), "", 'Data Entry'!$$537)</f>
      </c>
      <c r="CR537">
        <f>IF(ISBLANK('Data Entry'!$ $537), "", 'Data Entry'!$ $537)</f>
      </c>
      <c r="CS537">
        <f>IF(ISBLANK('Data Entry'!$¡$537), "", 'Data Entry'!$¡$537)</f>
      </c>
      <c r="CT537">
        <f>IF(ISBLANK('Data Entry'!$¢$537), "", 'Data Entry'!$¢$537)</f>
      </c>
      <c r="CU537">
        <f>IF(ISBLANK('Data Entry'!$£$537), "", 'Data Entry'!$£$537)</f>
      </c>
      <c r="CV537">
        <f>IF(ISBLANK('Data Entry'!$¤$537), "", 'Data Entry'!$¤$537)</f>
      </c>
      <c r="CW537">
        <f>IF(ISBLANK('Data Entry'!$¥$537), "", 'Data Entry'!$¥$537)</f>
      </c>
      <c r="CX537">
        <f>IF(ISBLANK('Data Entry'!$¦$537), "", 'Data Entry'!$¦$537)</f>
      </c>
      <c r="CY537">
        <f>IF(ISBLANK('Data Entry'!$§$537), "", 'Data Entry'!$§$537)</f>
      </c>
      <c r="CZ537">
        <f>IF(ISBLANK('Data Entry'!$¨$537), "", 'Data Entry'!$¨$537)</f>
      </c>
      <c r="DA537">
        <f>IF(ISBLANK('Data Entry'!$©$537), "", 'Data Entry'!$©$537)</f>
      </c>
      <c r="DB537">
        <f>IF(ISBLANK('Data Entry'!$ª$537), "", 'Data Entry'!$ª$537)</f>
      </c>
      <c r="DC537">
        <f>IF(ISBLANK('Data Entry'!$«$537), "", 'Data Entry'!$«$537)</f>
      </c>
      <c r="DD537">
        <f>IF(ISBLANK('Data Entry'!$¬$537), "", 'Data Entry'!$¬$537)</f>
      </c>
      <c r="DE537">
        <f>IF(ISBLANK('Data Entry'!$­$537), "", 'Data Entry'!$­$537)</f>
      </c>
      <c r="DF537">
        <f>IF(ISBLANK('Data Entry'!$®$537), "", 'Data Entry'!$®$537)</f>
      </c>
      <c r="DG537">
        <f>IF(ISBLANK('Data Entry'!$¯$537), "", 'Data Entry'!$¯$537)</f>
      </c>
      <c r="DH537">
        <f>IF(ISBLANK('Data Entry'!$°$537), "", 'Data Entry'!$°$537)</f>
      </c>
      <c r="DI537">
        <f>IF(ISBLANK('Data Entry'!$±$537), "", 'Data Entry'!$±$537)</f>
      </c>
      <c r="DJ537">
        <f>IF(ISBLANK('Data Entry'!$²$537), "", 'Data Entry'!$²$537)</f>
      </c>
      <c r="DK537">
        <f>IF(ISBLANK('Data Entry'!$³$537), "", 'Data Entry'!$³$537)</f>
      </c>
      <c r="DL537">
        <f>IF(ISBLANK('Data Entry'!$´$537), "", 'Data Entry'!$´$537)</f>
      </c>
      <c r="DM537">
        <f>IF(ISBLANK('Data Entry'!$µ$537), "", 'Data Entry'!$µ$537)</f>
      </c>
      <c r="DN537">
        <f>IF(ISBLANK('Data Entry'!$¶$537), "", 'Data Entry'!$¶$537)</f>
      </c>
      <c r="DO537">
        <f>IF(ISBLANK('Data Entry'!$·$537), "", 'Data Entry'!$·$537)</f>
      </c>
      <c r="DP537">
        <f>IF(ISBLANK('Data Entry'!$¸$537), "", 'Data Entry'!$¸$537)</f>
      </c>
      <c r="DQ537">
        <f>IF(ISBLANK('Data Entry'!$¹$537), "", 'Data Entry'!$¹$537)</f>
      </c>
      <c r="DR537">
        <f>IF(ISBLANK('Data Entry'!$º$537), "", 'Data Entry'!$º$537)</f>
      </c>
      <c r="DS537">
        <f>IF(ISBLANK('Data Entry'!$»$537), "", 'Data Entry'!$»$537)</f>
      </c>
      <c r="DT537">
        <f>IF(ISBLANK('Data Entry'!$¼$537), "", 'Data Entry'!$¼$537)</f>
      </c>
      <c r="DU537">
        <f>IF(ISBLANK('Data Entry'!$½$537), "", 'Data Entry'!$½$537)</f>
      </c>
      <c r="DV537">
        <f>IF(ISBLANK('Data Entry'!$¾$537), "", 'Data Entry'!$¾$537)</f>
      </c>
      <c r="DW537">
        <f>IF(ISBLANK('Data Entry'!$¿$537), "", 'Data Entry'!$¿$537)</f>
      </c>
      <c r="DX537">
        <f>IF(ISBLANK('Data Entry'!$À$537), "", 'Data Entry'!$À$537)</f>
      </c>
      <c r="DY537">
        <f>IF(ISBLANK('Data Entry'!$Á$537), "", 'Data Entry'!$Á$537)</f>
      </c>
      <c r="DZ537">
        <f>IF(ISBLANK('Data Entry'!$Â$537), "", 'Data Entry'!$Â$537)</f>
      </c>
      <c r="EA537">
        <f>IF(ISBLANK('Data Entry'!$Ã$537), "", 'Data Entry'!$Ã$537)</f>
      </c>
      <c r="EB537">
        <f>IF(ISBLANK('Data Entry'!$Ä$537), "", 'Data Entry'!$Ä$537)</f>
      </c>
      <c r="EC537">
        <f>IF(ISBLANK('Data Entry'!$Å$537), "", 'Data Entry'!$Å$537)</f>
      </c>
      <c r="ED537">
        <f>IF(ISBLANK('Data Entry'!$Æ$537), "", 'Data Entry'!$Æ$537)</f>
      </c>
      <c r="EE537">
        <f>IF(ISBLANK('Data Entry'!$Ç$537), "", 'Data Entry'!$Ç$537)</f>
      </c>
      <c r="EF537">
        <f>IF(ISBLANK('Data Entry'!$È$537), "", 'Data Entry'!$È$537)</f>
      </c>
      <c r="EG537">
        <f>IF(ISBLANK('Data Entry'!$É$537), "", 'Data Entry'!$É$537)</f>
      </c>
      <c r="EH537">
        <f>IF(ISBLANK('Data Entry'!$Ê$537), "", 'Data Entry'!$Ê$537)</f>
      </c>
      <c r="EI537">
        <f>IF(ISBLANK('Data Entry'!$Ë$537), "", 'Data Entry'!$Ë$537)</f>
      </c>
      <c r="EJ537">
        <f>IF(ISBLANK('Data Entry'!$Ì$537), "", 'Data Entry'!$Ì$537)</f>
      </c>
      <c r="EK537">
        <f>IF(ISBLANK('Data Entry'!$Í$537), "", 'Data Entry'!$Í$537)</f>
      </c>
      <c r="EL537">
        <f>IF(ISBLANK('Data Entry'!$Î$537), "", 'Data Entry'!$Î$537)</f>
      </c>
      <c r="EM537">
        <f>IF(ISBLANK('Data Entry'!$Ï$537), "", 'Data Entry'!$Ï$537)</f>
      </c>
      <c r="EN537">
        <f>IF(ISBLANK('Data Entry'!$Ð$537), "", 'Data Entry'!$Ð$537)</f>
      </c>
      <c r="EO537">
        <f>IF(ISBLANK('Data Entry'!$Ñ$537), "", 'Data Entry'!$Ñ$537)</f>
      </c>
      <c r="EP537">
        <f>IF(ISBLANK('Data Entry'!$Ò$537), "", 'Data Entry'!$Ò$537)</f>
      </c>
      <c r="EQ537">
        <f>IF(ISBLANK('Data Entry'!$Ó$537), "", 'Data Entry'!$Ó$537)</f>
      </c>
      <c r="ER537">
        <f>IF(ISBLANK('Data Entry'!$Ô$537), "", 'Data Entry'!$Ô$537)</f>
      </c>
      <c r="ES537">
        <f>IF(ISBLANK('Data Entry'!$Õ$537), "", 'Data Entry'!$Õ$537)</f>
      </c>
      <c r="ET537">
        <f>IF(ISBLANK('Data Entry'!$Ö$537), "", 'Data Entry'!$Ö$537)</f>
      </c>
      <c r="EU537">
        <f>IF(ISBLANK('Data Entry'!$×$537), "", 'Data Entry'!$×$537)</f>
      </c>
      <c r="EV537">
        <f>IF(ISBLANK('Data Entry'!$Ø$537), "", 'Data Entry'!$Ø$537)</f>
      </c>
      <c r="EW537">
        <f>IF(ISBLANK('Data Entry'!$Ù$537), "", 'Data Entry'!$Ù$537)</f>
      </c>
      <c r="EX537">
        <f>IF(ISBLANK('Data Entry'!$Ú$537), "", 'Data Entry'!$Ú$537)</f>
      </c>
      <c r="EY537">
        <f>IF(ISBLANK('Data Entry'!$Û$537), "", 'Data Entry'!$Û$537)</f>
      </c>
      <c r="EZ537">
        <f>IF(ISBLANK('Data Entry'!$Ü$537), "", 'Data Entry'!$Ü$537)</f>
      </c>
      <c r="FA537">
        <f>IF(ISBLANK('Data Entry'!$Ý$537), "", 'Data Entry'!$Ý$537)</f>
      </c>
      <c r="FB537">
        <f>IF(ISBLANK('Data Entry'!$Þ$537), "", 'Data Entry'!$Þ$537)</f>
      </c>
      <c r="FC537">
        <f>IF(ISBLANK('Data Entry'!$ß$537), "", 'Data Entry'!$ß$537)</f>
      </c>
      <c r="FD537">
        <f>IF(ISBLANK('Data Entry'!$à$537), "", 'Data Entry'!$à$537)</f>
      </c>
      <c r="FE537">
        <f>IF(ISBLANK('Data Entry'!$á$537), "", 'Data Entry'!$á$537)</f>
      </c>
      <c r="FF537">
        <f>IF(ISBLANK('Data Entry'!$â$537), "", 'Data Entry'!$â$537)</f>
      </c>
      <c r="FG537">
        <f>IF(ISBLANK('Data Entry'!$ã$537), "", 'Data Entry'!$ã$537)</f>
      </c>
      <c r="FH537">
        <f>IF(ISBLANK('Data Entry'!$ä$537), "", 'Data Entry'!$ä$537)</f>
      </c>
      <c r="FI537">
        <f>IF(ISBLANK('Data Entry'!$å$537), "", 'Data Entry'!$å$537)</f>
      </c>
      <c r="FJ537">
        <f>IF(ISBLANK('Data Entry'!$æ$537), "", 'Data Entry'!$æ$537)</f>
      </c>
      <c r="FK537">
        <f>IF(ISBLANK('Data Entry'!$ç$537), "", 'Data Entry'!$ç$537)</f>
      </c>
      <c r="FL537">
        <f>IF(ISBLANK('Data Entry'!$è$537), "", 'Data Entry'!$è$537)</f>
      </c>
      <c r="FM537">
        <f>IF(ISBLANK('Data Entry'!$é$537), "", 'Data Entry'!$é$537)</f>
      </c>
      <c r="FN537">
        <f>IF(ISBLANK('Data Entry'!$ê$537), "", 'Data Entry'!$ê$537)</f>
      </c>
      <c r="FO537">
        <f>IF(ISBLANK('Data Entry'!$ë$537), "", 'Data Entry'!$ë$537)</f>
      </c>
      <c r="FP537">
        <f>IF(ISBLANK('Data Entry'!$ì$537), "", 'Data Entry'!$ì$537)</f>
      </c>
      <c r="FQ537">
        <f>IF(ISBLANK('Data Entry'!$í$537), "", 'Data Entry'!$í$537)</f>
      </c>
      <c r="FR537">
        <f>IF(ISBLANK('Data Entry'!$î$537), "", 'Data Entry'!$î$537)</f>
      </c>
      <c r="FS537">
        <f>IF(ISBLANK('Data Entry'!$ï$537), "", 'Data Entry'!$ï$537)</f>
      </c>
      <c r="FT537">
        <f>IF(ISBLANK('Data Entry'!$ð$537), "", 'Data Entry'!$ð$537)</f>
      </c>
      <c r="FU537">
        <f>IF(ISBLANK('Data Entry'!$ñ$537), "", 'Data Entry'!$ñ$537)</f>
      </c>
      <c r="FV537">
        <f>IF(ISBLANK('Data Entry'!$ò$537), "", 'Data Entry'!$ò$537)</f>
      </c>
      <c r="FW537">
        <f>IF(ISBLANK('Data Entry'!$ó$537), "", 'Data Entry'!$ó$537)</f>
      </c>
      <c r="FX537">
        <f>IF(ISBLANK('Data Entry'!$ô$537), "", 'Data Entry'!$ô$537)</f>
      </c>
      <c r="FY537">
        <f>IF(ISBLANK('Data Entry'!$õ$537), "", 'Data Entry'!$õ$537)</f>
      </c>
      <c r="FZ537">
        <f>IF(ISBLANK('Data Entry'!$ö$537), "", 'Data Entry'!$ö$537)</f>
      </c>
      <c r="GA537">
        <f>IF(ISBLANK('Data Entry'!$÷$537), "", 'Data Entry'!$÷$537)</f>
      </c>
      <c r="GB537">
        <f>IF(ISBLANK('Data Entry'!$ø$537), "", 'Data Entry'!$ø$537)</f>
      </c>
      <c r="GC537">
        <f>IF(ISBLANK('Data Entry'!$ù$537), "", 'Data Entry'!$ù$537)</f>
      </c>
      <c r="GD537">
        <f>IF(ISBLANK('Data Entry'!$ú$537), "", 'Data Entry'!$ú$537)</f>
      </c>
      <c r="GE537">
        <f>IF(ISBLANK('Data Entry'!$û$537), "", 'Data Entry'!$û$537)</f>
      </c>
      <c r="GF537">
        <f>IF(ISBLANK('Data Entry'!$ü$537), "", 'Data Entry'!$ü$537)</f>
      </c>
      <c r="GG537">
        <f>IF(ISBLANK('Data Entry'!$ý$537), "", 'Data Entry'!$ý$537)</f>
      </c>
      <c r="GH537">
        <f>IF(ISBLANK('Data Entry'!$þ$537), "", 'Data Entry'!$þ$537)</f>
      </c>
      <c r="GI537">
        <f>IF(ISBLANK('Data Entry'!$ÿ$537), "", 'Data Entry'!$ÿ$537)</f>
      </c>
      <c r="GJ537">
        <f>IF(ISBLANK('Data Entry'!$Ā$537), "", 'Data Entry'!$Ā$537)</f>
      </c>
      <c r="GK537">
        <f>IF(ISBLANK('Data Entry'!$ā$537), "", 'Data Entry'!$ā$537)</f>
      </c>
      <c r="GL537">
        <f>IF(ISBLANK('Data Entry'!$Ă$537), "", 'Data Entry'!$Ă$537)</f>
      </c>
      <c r="GM537">
        <f>IF(ISBLANK('Data Entry'!$ă$537), "", 'Data Entry'!$ă$537)</f>
      </c>
      <c r="GN537">
        <f>IF(ISBLANK('Data Entry'!$Ą$537), "", 'Data Entry'!$Ą$537)</f>
      </c>
      <c r="GO537">
        <f>IF(ISBLANK('Data Entry'!$ą$537), "", 'Data Entry'!$ą$537)</f>
      </c>
      <c r="GP537">
        <f>IF(ISBLANK('Data Entry'!$Ć$537), "", 'Data Entry'!$Ć$537)</f>
      </c>
      <c r="GQ537">
        <f>IF(ISBLANK('Data Entry'!$ć$537), "", 'Data Entry'!$ć$537)</f>
      </c>
      <c r="GR537">
        <f>IF(ISBLANK('Data Entry'!$Ĉ$537), "", 'Data Entry'!$Ĉ$537)</f>
      </c>
      <c r="GS537">
        <f>IF(ISBLANK('Data Entry'!$ĉ$537), "", 'Data Entry'!$ĉ$537)</f>
      </c>
      <c r="GT537">
        <f>IF(ISBLANK('Data Entry'!$Ċ$537), "", 'Data Entry'!$Ċ$537)</f>
      </c>
      <c r="GU537">
        <f>IF(ISBLANK('Data Entry'!$ċ$537), "", 'Data Entry'!$ċ$537)</f>
      </c>
      <c r="GV537">
        <f>IF(ISBLANK('Data Entry'!$Č$537), "", 'Data Entry'!$Č$537)</f>
      </c>
      <c r="GW537">
        <f>IF(ISBLANK('Data Entry'!$č$537), "", 'Data Entry'!$č$537)</f>
      </c>
      <c r="GX537">
        <f>IF(ISBLANK('Data Entry'!$Ď$537), "", 'Data Entry'!$Ď$537)</f>
      </c>
      <c r="GY537">
        <f>IF(ISBLANK('Data Entry'!$ď$537), "", 'Data Entry'!$ď$537)</f>
      </c>
      <c r="GZ537">
        <f>IF(ISBLANK('Data Entry'!$Đ$537), "", 'Data Entry'!$Đ$537)</f>
      </c>
      <c r="HA537">
        <f>IF(ISBLANK('Data Entry'!$đ$537), "", 'Data Entry'!$đ$537)</f>
      </c>
      <c r="HB537">
        <f>IF(ISBLANK('Data Entry'!$Ē$537), "", 'Data Entry'!$Ē$537)</f>
      </c>
      <c r="HC537">
        <f>IF(ISBLANK('Data Entry'!$ē$537), "", 'Data Entry'!$ē$537)</f>
      </c>
      <c r="HD537">
        <f>IF(ISBLANK('Data Entry'!$Ĕ$537), "", 'Data Entry'!$Ĕ$537)</f>
      </c>
      <c r="HE537">
        <f>IF(ISBLANK('Data Entry'!$ĕ$537), "", 'Data Entry'!$ĕ$537)</f>
      </c>
      <c r="HF537">
        <f>IF(ISBLANK('Data Entry'!$Ė$537), "", 'Data Entry'!$Ė$537)</f>
      </c>
      <c r="HG537">
        <f>IF(ISBLANK('Data Entry'!$ė$537), "", 'Data Entry'!$ė$537)</f>
      </c>
      <c r="HH537">
        <f>IF(ISBLANK('Data Entry'!$Ę$537), "", 'Data Entry'!$Ę$537)</f>
      </c>
      <c r="HI537">
        <f>IF(ISBLANK('Data Entry'!$ę$537), "", 'Data Entry'!$ę$537)</f>
      </c>
      <c r="HJ537">
        <f>IF(ISBLANK('Data Entry'!$Ě$537), "", 'Data Entry'!$Ě$537)</f>
      </c>
      <c r="HK537">
        <f>IF(ISBLANK('Data Entry'!$ě$537), "", 'Data Entry'!$ě$537)</f>
      </c>
      <c r="HL537">
        <f>IF(ISBLANK('Data Entry'!$Ĝ$537), "", 'Data Entry'!$Ĝ$537)</f>
      </c>
      <c r="HM537">
        <f>IF(ISBLANK('Data Entry'!$ĝ$537), "", 'Data Entry'!$ĝ$537)</f>
      </c>
      <c r="HN537">
        <f>IF(ISBLANK('Data Entry'!$Ğ$537), "", 'Data Entry'!$Ğ$537)</f>
      </c>
      <c r="HO537">
        <f>IF(ISBLANK('Data Entry'!$ğ$537), "", 'Data Entry'!$ğ$537)</f>
      </c>
      <c r="HP537">
        <f>IF(ISBLANK('Data Entry'!$Ġ$537), "", 'Data Entry'!$Ġ$537)</f>
      </c>
      <c r="HQ537">
        <f>IF(ISBLANK('Data Entry'!$ġ$537), "", 'Data Entry'!$ġ$537)</f>
      </c>
      <c r="HR537">
        <f>IF(ISBLANK('Data Entry'!$Ģ$537), "", 'Data Entry'!$Ģ$537)</f>
      </c>
      <c r="HS537">
        <f>IF(ISBLANK('Data Entry'!$ģ$537), "", 'Data Entry'!$ģ$537)</f>
      </c>
      <c r="HT537">
        <f>IF(ISBLANK('Data Entry'!$Ĥ$537), "", 'Data Entry'!$Ĥ$537)</f>
      </c>
      <c r="HU537">
        <f>IF(ISBLANK('Data Entry'!$ĥ$537), "", 'Data Entry'!$ĥ$537)</f>
      </c>
      <c r="HV537">
        <f>IF(ISBLANK('Data Entry'!$Ħ$537), "", 'Data Entry'!$Ħ$537)</f>
      </c>
      <c r="HW537">
        <f>IF(ISBLANK('Data Entry'!$ħ$537), "", 'Data Entry'!$ħ$537)</f>
      </c>
      <c r="HX537">
        <f>IF(ISBLANK('Data Entry'!$Ĩ$537), "", 'Data Entry'!$Ĩ$537)</f>
      </c>
      <c r="HY537">
        <f>IF(ISBLANK('Data Entry'!$ĩ$537), "", 'Data Entry'!$ĩ$537)</f>
      </c>
      <c r="HZ537">
        <f>IF(ISBLANK('Data Entry'!$Ī$537), "", 'Data Entry'!$Ī$537)</f>
      </c>
      <c r="IA537">
        <f>IF(ISBLANK('Data Entry'!$ī$537), "", 'Data Entry'!$ī$537)</f>
      </c>
      <c r="IB537">
        <f>IF(ISBLANK('Data Entry'!$Ĭ$537), "", 'Data Entry'!$Ĭ$537)</f>
      </c>
      <c r="IC537">
        <f>IF(ISBLANK('Data Entry'!$ĭ$537), "", 'Data Entry'!$ĭ$537)</f>
      </c>
      <c r="ID537">
        <f>IF(ISBLANK('Data Entry'!$Į$537), "", 'Data Entry'!$Į$537)</f>
      </c>
      <c r="IE537">
        <f>IF(ISBLANK('Data Entry'!$į$537), "", 'Data Entry'!$į$537)</f>
      </c>
      <c r="IF537">
        <f>IF(ISBLANK('Data Entry'!$İ$537), "", 'Data Entry'!$İ$537)</f>
      </c>
      <c r="IG537">
        <f>IF(ISBLANK('Data Entry'!$ı$537), "", 'Data Entry'!$ı$537)</f>
      </c>
      <c r="IH537">
        <f>IF(ISBLANK('Data Entry'!$Ĳ$537), "", 'Data Entry'!$Ĳ$537)</f>
      </c>
      <c r="II537">
        <f>IF(ISBLANK('Data Entry'!$ĳ$537), "", 'Data Entry'!$ĳ$537)</f>
      </c>
      <c r="IJ537">
        <f>IF(ISBLANK('Data Entry'!$Ĵ$537), "", 'Data Entry'!$Ĵ$537)</f>
      </c>
      <c r="IK537">
        <f>IF(ISBLANK('Data Entry'!$ĵ$537), "", 'Data Entry'!$ĵ$537)</f>
      </c>
      <c r="IL537">
        <f>IF(ISBLANK('Data Entry'!$Ķ$537), "", 'Data Entry'!$Ķ$537)</f>
      </c>
      <c r="IM537">
        <f>IF(ISBLANK('Data Entry'!$ķ$537), "", 'Data Entry'!$ķ$537)</f>
      </c>
      <c r="IN537">
        <f>IF(ISBLANK('Data Entry'!$ĸ$537), "", 'Data Entry'!$ĸ$537)</f>
      </c>
      <c r="IO537">
        <f>IF(ISBLANK('Data Entry'!$Ĺ$537), "", 'Data Entry'!$Ĺ$537)</f>
      </c>
      <c r="IP537">
        <f>IF(ISBLANK('Data Entry'!$ĺ$537), "", 'Data Entry'!$ĺ$537)</f>
      </c>
      <c r="IQ537">
        <f>IF(ISBLANK('Data Entry'!$Ļ$537), "", 'Data Entry'!$Ļ$537)</f>
      </c>
      <c r="IR537">
        <f>IF(ISBLANK('Data Entry'!$ļ$537), "", 'Data Entry'!$ļ$537)</f>
      </c>
      <c r="IS537">
        <f>IF(ISBLANK('Data Entry'!$Ľ$537), "", 'Data Entry'!$Ľ$537)</f>
      </c>
      <c r="IT537">
        <f>IF(ISBLANK('Data Entry'!$ľ$537), "", 'Data Entry'!$ľ$537)</f>
      </c>
    </row>
    <row r="538" spans="1:254" x14ac:dyDescent="0.25">
      <c r="A538">
        <f>IF(ISBLANK('Data Entry'!$A$538), "", 'Data Entry'!$A$538)</f>
      </c>
      <c r="B538">
        <f>IF(ISBLANK('Data Entry'!$B$538), "", 'Data Entry'!$B$538)</f>
      </c>
      <c r="C538">
        <f>IF(ISBLANK('Data Entry'!$C$538), "", 'Data Entry'!$C$538)</f>
      </c>
      <c r="D538">
        <f>IF(ISBLANK('Data Entry'!$D$538), "", 'Data Entry'!$D$538)</f>
      </c>
      <c r="E538">
        <f>IF(ISBLANK('Data Entry'!$E$538), "", 'Data Entry'!$E$538)</f>
      </c>
      <c r="F538">
        <f>IF(ISBLANK('Data Entry'!$F$538), "", 'Data Entry'!$F$538)</f>
      </c>
      <c r="G538">
        <f>IF(ISBLANK('Data Entry'!$G$538), "", 'Data Entry'!$G$538)</f>
      </c>
      <c r="H538">
        <f>IF(ISBLANK('Data Entry'!$H$538), "", 'Data Entry'!$H$538)</f>
      </c>
      <c r="I538">
        <f>IF(ISBLANK('Data Entry'!$I$538), "", 'Data Entry'!$I$538)</f>
      </c>
      <c r="J538">
        <f>IF(ISBLANK('Data Entry'!$J$538), "", 'Data Entry'!$J$538)</f>
      </c>
      <c r="K538">
        <f>IF(ISBLANK('Data Entry'!$K$538), "", 'Data Entry'!$K$538)</f>
      </c>
      <c r="L538">
        <f>IF(ISBLANK('Data Entry'!$L$538), "", 'Data Entry'!$L$538)</f>
      </c>
      <c r="M538">
        <f>IF(ISBLANK('Data Entry'!$M$538), "", 'Data Entry'!$M$538)</f>
      </c>
      <c r="N538">
        <f>IF(ISBLANK('Data Entry'!$N$538), "", 'Data Entry'!$N$538)</f>
      </c>
      <c r="O538">
        <f>IF(ISBLANK('Data Entry'!$O$538), "", 'Data Entry'!$O$538)</f>
      </c>
      <c r="P538">
        <f>IF(ISBLANK('Data Entry'!$P$538), "", 'Data Entry'!$P$538)</f>
      </c>
      <c r="Q538">
        <f>IF(ISBLANK('Data Entry'!$Q$538), "", 'Data Entry'!$Q$538)</f>
      </c>
      <c r="R538">
        <f>IF(ISBLANK('Data Entry'!$R$538), "", 'Data Entry'!$R$538)</f>
      </c>
      <c r="S538">
        <f>IF(ISBLANK('Data Entry'!$S$538), "", 'Data Entry'!$S$538)</f>
      </c>
      <c r="T538">
        <f>IF(ISBLANK('Data Entry'!$T$538), "", 'Data Entry'!$T$538)</f>
      </c>
      <c r="U538">
        <f>IF(ISBLANK('Data Entry'!$U$538), "", 'Data Entry'!$U$538)</f>
      </c>
      <c r="V538">
        <f>IF(ISBLANK('Data Entry'!$V$538), "", 'Data Entry'!$V$538)</f>
      </c>
      <c r="W538">
        <f>IF(ISBLANK('Data Entry'!$W$538), "", 'Data Entry'!$W$538)</f>
      </c>
      <c r="X538">
        <f>IF(ISBLANK('Data Entry'!$X$538), "", 'Data Entry'!$X$538)</f>
      </c>
      <c r="Y538">
        <f>IF(ISBLANK('Data Entry'!$Y$538), "", 'Data Entry'!$Y$538)</f>
      </c>
      <c r="Z538">
        <f>IF(ISBLANK('Data Entry'!$Z$538), "", 'Data Entry'!$Z$538)</f>
      </c>
      <c r="AA538">
        <f>IF(ISBLANK('Data Entry'!$[$538), "", 'Data Entry'!$[$538)</f>
      </c>
      <c r="AB538">
        <f>IF(ISBLANK('Data Entry'!$\$538), "", 'Data Entry'!$\$538)</f>
      </c>
      <c r="AC538">
        <f>IF(ISBLANK('Data Entry'!$]$538), "", 'Data Entry'!$]$538)</f>
      </c>
      <c r="AD538">
        <f>IF(ISBLANK('Data Entry'!$^$538), "", 'Data Entry'!$^$538)</f>
      </c>
      <c r="AE538">
        <f>IF(ISBLANK('Data Entry'!$_$538), "", 'Data Entry'!$_$538)</f>
      </c>
      <c r="AF538">
        <f>IF(ISBLANK('Data Entry'!$`$538), "", 'Data Entry'!$`$538)</f>
      </c>
      <c r="AG538">
        <f>IF(ISBLANK('Data Entry'!$a$538), "", 'Data Entry'!$a$538)</f>
      </c>
      <c r="AH538">
        <f>IF(ISBLANK('Data Entry'!$b$538), "", 'Data Entry'!$b$538)</f>
      </c>
      <c r="AI538">
        <f>IF(ISBLANK('Data Entry'!$c$538), "", 'Data Entry'!$c$538)</f>
      </c>
      <c r="AJ538">
        <f>IF(ISBLANK('Data Entry'!$d$538), "", 'Data Entry'!$d$538)</f>
      </c>
      <c r="AK538">
        <f>IF(ISBLANK('Data Entry'!$e$538), "", 'Data Entry'!$e$538)</f>
      </c>
      <c r="AL538">
        <f>IF(ISBLANK('Data Entry'!$f$538), "", 'Data Entry'!$f$538)</f>
      </c>
      <c r="AM538">
        <f>IF(ISBLANK('Data Entry'!$g$538), "", 'Data Entry'!$g$538)</f>
      </c>
      <c r="AN538">
        <f>IF(ISBLANK('Data Entry'!$h$538), "", 'Data Entry'!$h$538)</f>
      </c>
      <c r="AO538">
        <f>IF(ISBLANK('Data Entry'!$i$538), "", 'Data Entry'!$i$538)</f>
      </c>
      <c r="AP538">
        <f>IF(ISBLANK('Data Entry'!$j$538), "", 'Data Entry'!$j$538)</f>
      </c>
      <c r="AQ538">
        <f>IF(ISBLANK('Data Entry'!$k$538), "", 'Data Entry'!$k$538)</f>
      </c>
      <c r="AR538">
        <f>IF(ISBLANK('Data Entry'!$l$538), "", 'Data Entry'!$l$538)</f>
      </c>
      <c r="AS538">
        <f>IF(ISBLANK('Data Entry'!$m$538), "", 'Data Entry'!$m$538)</f>
      </c>
      <c r="AT538">
        <f>IF(ISBLANK('Data Entry'!$n$538), "", 'Data Entry'!$n$538)</f>
      </c>
      <c r="AU538">
        <f>IF(ISBLANK('Data Entry'!$o$538), "", 'Data Entry'!$o$538)</f>
      </c>
      <c r="AV538">
        <f>IF(ISBLANK('Data Entry'!$p$538), "", 'Data Entry'!$p$538)</f>
      </c>
      <c r="AW538">
        <f>IF(ISBLANK('Data Entry'!$q$538), "", 'Data Entry'!$q$538)</f>
      </c>
      <c r="AX538">
        <f>IF(ISBLANK('Data Entry'!$r$538), "", 'Data Entry'!$r$538)</f>
      </c>
      <c r="AY538">
        <f>IF(ISBLANK('Data Entry'!$s$538), "", 'Data Entry'!$s$538)</f>
      </c>
      <c r="AZ538">
        <f>IF(ISBLANK('Data Entry'!$t$538), "", 'Data Entry'!$t$538)</f>
      </c>
      <c r="BA538">
        <f>IF(ISBLANK('Data Entry'!$u$538), "", 'Data Entry'!$u$538)</f>
      </c>
      <c r="BB538">
        <f>IF(ISBLANK('Data Entry'!$v$538), "", 'Data Entry'!$v$538)</f>
      </c>
      <c r="BC538">
        <f>IF(ISBLANK('Data Entry'!$w$538), "", 'Data Entry'!$w$538)</f>
      </c>
      <c r="BD538">
        <f>IF(ISBLANK('Data Entry'!$x$538), "", 'Data Entry'!$x$538)</f>
      </c>
      <c r="BE538">
        <f>IF(ISBLANK('Data Entry'!$y$538), "", 'Data Entry'!$y$538)</f>
      </c>
      <c r="BF538">
        <f>IF(ISBLANK('Data Entry'!$z$538), "", 'Data Entry'!$z$538)</f>
      </c>
      <c r="BG538">
        <f>IF(ISBLANK('Data Entry'!${$538), "", 'Data Entry'!${$538)</f>
      </c>
      <c r="BH538">
        <f>IF(ISBLANK('Data Entry'!$|$538), "", 'Data Entry'!$|$538)</f>
      </c>
      <c r="BI538">
        <f>IF(ISBLANK('Data Entry'!$}$538), "", 'Data Entry'!$}$538)</f>
      </c>
      <c r="BJ538">
        <f>IF(ISBLANK('Data Entry'!$~$538), "", 'Data Entry'!$~$538)</f>
      </c>
      <c r="BK538">
        <f>IF(ISBLANK('Data Entry'!$$538), "", 'Data Entry'!$$538)</f>
      </c>
      <c r="BL538">
        <f>IF(ISBLANK('Data Entry'!$$538), "", 'Data Entry'!$$538)</f>
      </c>
      <c r="BM538">
        <f>IF(ISBLANK('Data Entry'!$$538), "", 'Data Entry'!$$538)</f>
      </c>
      <c r="BN538">
        <f>IF(ISBLANK('Data Entry'!$$538), "", 'Data Entry'!$$538)</f>
      </c>
      <c r="BO538">
        <f>IF(ISBLANK('Data Entry'!$$538), "", 'Data Entry'!$$538)</f>
      </c>
      <c r="BP538">
        <f>IF(ISBLANK('Data Entry'!$$538), "", 'Data Entry'!$$538)</f>
      </c>
      <c r="BQ538">
        <f>IF(ISBLANK('Data Entry'!$$538), "", 'Data Entry'!$$538)</f>
      </c>
      <c r="BR538">
        <f>IF(ISBLANK('Data Entry'!$$538), "", 'Data Entry'!$$538)</f>
      </c>
      <c r="BS538">
        <f>IF(ISBLANK('Data Entry'!$$538), "", 'Data Entry'!$$538)</f>
      </c>
      <c r="BT538">
        <f>IF(ISBLANK('Data Entry'!$$538), "", 'Data Entry'!$$538)</f>
      </c>
      <c r="BU538">
        <f>IF(ISBLANK('Data Entry'!$$538), "", 'Data Entry'!$$538)</f>
      </c>
      <c r="BV538">
        <f>IF(ISBLANK('Data Entry'!$$538), "", 'Data Entry'!$$538)</f>
      </c>
      <c r="BW538">
        <f>IF(ISBLANK('Data Entry'!$$538), "", 'Data Entry'!$$538)</f>
      </c>
      <c r="BX538">
        <f>IF(ISBLANK('Data Entry'!$$538), "", 'Data Entry'!$$538)</f>
      </c>
      <c r="BY538">
        <f>IF(ISBLANK('Data Entry'!$$538), "", 'Data Entry'!$$538)</f>
      </c>
      <c r="BZ538">
        <f>IF(ISBLANK('Data Entry'!$$538), "", 'Data Entry'!$$538)</f>
      </c>
      <c r="CA538">
        <f>IF(ISBLANK('Data Entry'!$$538), "", 'Data Entry'!$$538)</f>
      </c>
      <c r="CB538">
        <f>IF(ISBLANK('Data Entry'!$$538), "", 'Data Entry'!$$538)</f>
      </c>
      <c r="CC538">
        <f>IF(ISBLANK('Data Entry'!$$538), "", 'Data Entry'!$$538)</f>
      </c>
      <c r="CD538">
        <f>IF(ISBLANK('Data Entry'!$$538), "", 'Data Entry'!$$538)</f>
      </c>
      <c r="CE538">
        <f>IF(ISBLANK('Data Entry'!$$538), "", 'Data Entry'!$$538)</f>
      </c>
      <c r="CF538">
        <f>IF(ISBLANK('Data Entry'!$$538), "", 'Data Entry'!$$538)</f>
      </c>
      <c r="CG538">
        <f>IF(ISBLANK('Data Entry'!$$538), "", 'Data Entry'!$$538)</f>
      </c>
      <c r="CH538">
        <f>IF(ISBLANK('Data Entry'!$$538), "", 'Data Entry'!$$538)</f>
      </c>
      <c r="CI538">
        <f>IF(ISBLANK('Data Entry'!$$538), "", 'Data Entry'!$$538)</f>
      </c>
      <c r="CJ538">
        <f>IF(ISBLANK('Data Entry'!$$538), "", 'Data Entry'!$$538)</f>
      </c>
      <c r="CK538">
        <f>IF(ISBLANK('Data Entry'!$$538), "", 'Data Entry'!$$538)</f>
      </c>
      <c r="CL538">
        <f>IF(ISBLANK('Data Entry'!$$538), "", 'Data Entry'!$$538)</f>
      </c>
      <c r="CM538">
        <f>IF(ISBLANK('Data Entry'!$$538), "", 'Data Entry'!$$538)</f>
      </c>
      <c r="CN538">
        <f>IF(ISBLANK('Data Entry'!$$538), "", 'Data Entry'!$$538)</f>
      </c>
      <c r="CO538">
        <f>IF(ISBLANK('Data Entry'!$$538), "", 'Data Entry'!$$538)</f>
      </c>
      <c r="CP538">
        <f>IF(ISBLANK('Data Entry'!$$538), "", 'Data Entry'!$$538)</f>
      </c>
      <c r="CQ538">
        <f>IF(ISBLANK('Data Entry'!$$538), "", 'Data Entry'!$$538)</f>
      </c>
      <c r="CR538">
        <f>IF(ISBLANK('Data Entry'!$ $538), "", 'Data Entry'!$ $538)</f>
      </c>
      <c r="CS538">
        <f>IF(ISBLANK('Data Entry'!$¡$538), "", 'Data Entry'!$¡$538)</f>
      </c>
      <c r="CT538">
        <f>IF(ISBLANK('Data Entry'!$¢$538), "", 'Data Entry'!$¢$538)</f>
      </c>
      <c r="CU538">
        <f>IF(ISBLANK('Data Entry'!$£$538), "", 'Data Entry'!$£$538)</f>
      </c>
      <c r="CV538">
        <f>IF(ISBLANK('Data Entry'!$¤$538), "", 'Data Entry'!$¤$538)</f>
      </c>
      <c r="CW538">
        <f>IF(ISBLANK('Data Entry'!$¥$538), "", 'Data Entry'!$¥$538)</f>
      </c>
      <c r="CX538">
        <f>IF(ISBLANK('Data Entry'!$¦$538), "", 'Data Entry'!$¦$538)</f>
      </c>
      <c r="CY538">
        <f>IF(ISBLANK('Data Entry'!$§$538), "", 'Data Entry'!$§$538)</f>
      </c>
      <c r="CZ538">
        <f>IF(ISBLANK('Data Entry'!$¨$538), "", 'Data Entry'!$¨$538)</f>
      </c>
      <c r="DA538">
        <f>IF(ISBLANK('Data Entry'!$©$538), "", 'Data Entry'!$©$538)</f>
      </c>
      <c r="DB538">
        <f>IF(ISBLANK('Data Entry'!$ª$538), "", 'Data Entry'!$ª$538)</f>
      </c>
      <c r="DC538">
        <f>IF(ISBLANK('Data Entry'!$«$538), "", 'Data Entry'!$«$538)</f>
      </c>
      <c r="DD538">
        <f>IF(ISBLANK('Data Entry'!$¬$538), "", 'Data Entry'!$¬$538)</f>
      </c>
      <c r="DE538">
        <f>IF(ISBLANK('Data Entry'!$­$538), "", 'Data Entry'!$­$538)</f>
      </c>
      <c r="DF538">
        <f>IF(ISBLANK('Data Entry'!$®$538), "", 'Data Entry'!$®$538)</f>
      </c>
      <c r="DG538">
        <f>IF(ISBLANK('Data Entry'!$¯$538), "", 'Data Entry'!$¯$538)</f>
      </c>
      <c r="DH538">
        <f>IF(ISBLANK('Data Entry'!$°$538), "", 'Data Entry'!$°$538)</f>
      </c>
      <c r="DI538">
        <f>IF(ISBLANK('Data Entry'!$±$538), "", 'Data Entry'!$±$538)</f>
      </c>
      <c r="DJ538">
        <f>IF(ISBLANK('Data Entry'!$²$538), "", 'Data Entry'!$²$538)</f>
      </c>
      <c r="DK538">
        <f>IF(ISBLANK('Data Entry'!$³$538), "", 'Data Entry'!$³$538)</f>
      </c>
      <c r="DL538">
        <f>IF(ISBLANK('Data Entry'!$´$538), "", 'Data Entry'!$´$538)</f>
      </c>
      <c r="DM538">
        <f>IF(ISBLANK('Data Entry'!$µ$538), "", 'Data Entry'!$µ$538)</f>
      </c>
      <c r="DN538">
        <f>IF(ISBLANK('Data Entry'!$¶$538), "", 'Data Entry'!$¶$538)</f>
      </c>
      <c r="DO538">
        <f>IF(ISBLANK('Data Entry'!$·$538), "", 'Data Entry'!$·$538)</f>
      </c>
      <c r="DP538">
        <f>IF(ISBLANK('Data Entry'!$¸$538), "", 'Data Entry'!$¸$538)</f>
      </c>
      <c r="DQ538">
        <f>IF(ISBLANK('Data Entry'!$¹$538), "", 'Data Entry'!$¹$538)</f>
      </c>
      <c r="DR538">
        <f>IF(ISBLANK('Data Entry'!$º$538), "", 'Data Entry'!$º$538)</f>
      </c>
      <c r="DS538">
        <f>IF(ISBLANK('Data Entry'!$»$538), "", 'Data Entry'!$»$538)</f>
      </c>
      <c r="DT538">
        <f>IF(ISBLANK('Data Entry'!$¼$538), "", 'Data Entry'!$¼$538)</f>
      </c>
      <c r="DU538">
        <f>IF(ISBLANK('Data Entry'!$½$538), "", 'Data Entry'!$½$538)</f>
      </c>
      <c r="DV538">
        <f>IF(ISBLANK('Data Entry'!$¾$538), "", 'Data Entry'!$¾$538)</f>
      </c>
      <c r="DW538">
        <f>IF(ISBLANK('Data Entry'!$¿$538), "", 'Data Entry'!$¿$538)</f>
      </c>
      <c r="DX538">
        <f>IF(ISBLANK('Data Entry'!$À$538), "", 'Data Entry'!$À$538)</f>
      </c>
      <c r="DY538">
        <f>IF(ISBLANK('Data Entry'!$Á$538), "", 'Data Entry'!$Á$538)</f>
      </c>
      <c r="DZ538">
        <f>IF(ISBLANK('Data Entry'!$Â$538), "", 'Data Entry'!$Â$538)</f>
      </c>
      <c r="EA538">
        <f>IF(ISBLANK('Data Entry'!$Ã$538), "", 'Data Entry'!$Ã$538)</f>
      </c>
      <c r="EB538">
        <f>IF(ISBLANK('Data Entry'!$Ä$538), "", 'Data Entry'!$Ä$538)</f>
      </c>
      <c r="EC538">
        <f>IF(ISBLANK('Data Entry'!$Å$538), "", 'Data Entry'!$Å$538)</f>
      </c>
      <c r="ED538">
        <f>IF(ISBLANK('Data Entry'!$Æ$538), "", 'Data Entry'!$Æ$538)</f>
      </c>
      <c r="EE538">
        <f>IF(ISBLANK('Data Entry'!$Ç$538), "", 'Data Entry'!$Ç$538)</f>
      </c>
      <c r="EF538">
        <f>IF(ISBLANK('Data Entry'!$È$538), "", 'Data Entry'!$È$538)</f>
      </c>
      <c r="EG538">
        <f>IF(ISBLANK('Data Entry'!$É$538), "", 'Data Entry'!$É$538)</f>
      </c>
      <c r="EH538">
        <f>IF(ISBLANK('Data Entry'!$Ê$538), "", 'Data Entry'!$Ê$538)</f>
      </c>
      <c r="EI538">
        <f>IF(ISBLANK('Data Entry'!$Ë$538), "", 'Data Entry'!$Ë$538)</f>
      </c>
      <c r="EJ538">
        <f>IF(ISBLANK('Data Entry'!$Ì$538), "", 'Data Entry'!$Ì$538)</f>
      </c>
      <c r="EK538">
        <f>IF(ISBLANK('Data Entry'!$Í$538), "", 'Data Entry'!$Í$538)</f>
      </c>
      <c r="EL538">
        <f>IF(ISBLANK('Data Entry'!$Î$538), "", 'Data Entry'!$Î$538)</f>
      </c>
      <c r="EM538">
        <f>IF(ISBLANK('Data Entry'!$Ï$538), "", 'Data Entry'!$Ï$538)</f>
      </c>
      <c r="EN538">
        <f>IF(ISBLANK('Data Entry'!$Ð$538), "", 'Data Entry'!$Ð$538)</f>
      </c>
      <c r="EO538">
        <f>IF(ISBLANK('Data Entry'!$Ñ$538), "", 'Data Entry'!$Ñ$538)</f>
      </c>
      <c r="EP538">
        <f>IF(ISBLANK('Data Entry'!$Ò$538), "", 'Data Entry'!$Ò$538)</f>
      </c>
      <c r="EQ538">
        <f>IF(ISBLANK('Data Entry'!$Ó$538), "", 'Data Entry'!$Ó$538)</f>
      </c>
      <c r="ER538">
        <f>IF(ISBLANK('Data Entry'!$Ô$538), "", 'Data Entry'!$Ô$538)</f>
      </c>
      <c r="ES538">
        <f>IF(ISBLANK('Data Entry'!$Õ$538), "", 'Data Entry'!$Õ$538)</f>
      </c>
      <c r="ET538">
        <f>IF(ISBLANK('Data Entry'!$Ö$538), "", 'Data Entry'!$Ö$538)</f>
      </c>
      <c r="EU538">
        <f>IF(ISBLANK('Data Entry'!$×$538), "", 'Data Entry'!$×$538)</f>
      </c>
      <c r="EV538">
        <f>IF(ISBLANK('Data Entry'!$Ø$538), "", 'Data Entry'!$Ø$538)</f>
      </c>
      <c r="EW538">
        <f>IF(ISBLANK('Data Entry'!$Ù$538), "", 'Data Entry'!$Ù$538)</f>
      </c>
      <c r="EX538">
        <f>IF(ISBLANK('Data Entry'!$Ú$538), "", 'Data Entry'!$Ú$538)</f>
      </c>
      <c r="EY538">
        <f>IF(ISBLANK('Data Entry'!$Û$538), "", 'Data Entry'!$Û$538)</f>
      </c>
      <c r="EZ538">
        <f>IF(ISBLANK('Data Entry'!$Ü$538), "", 'Data Entry'!$Ü$538)</f>
      </c>
      <c r="FA538">
        <f>IF(ISBLANK('Data Entry'!$Ý$538), "", 'Data Entry'!$Ý$538)</f>
      </c>
      <c r="FB538">
        <f>IF(ISBLANK('Data Entry'!$Þ$538), "", 'Data Entry'!$Þ$538)</f>
      </c>
      <c r="FC538">
        <f>IF(ISBLANK('Data Entry'!$ß$538), "", 'Data Entry'!$ß$538)</f>
      </c>
      <c r="FD538">
        <f>IF(ISBLANK('Data Entry'!$à$538), "", 'Data Entry'!$à$538)</f>
      </c>
      <c r="FE538">
        <f>IF(ISBLANK('Data Entry'!$á$538), "", 'Data Entry'!$á$538)</f>
      </c>
      <c r="FF538">
        <f>IF(ISBLANK('Data Entry'!$â$538), "", 'Data Entry'!$â$538)</f>
      </c>
      <c r="FG538">
        <f>IF(ISBLANK('Data Entry'!$ã$538), "", 'Data Entry'!$ã$538)</f>
      </c>
      <c r="FH538">
        <f>IF(ISBLANK('Data Entry'!$ä$538), "", 'Data Entry'!$ä$538)</f>
      </c>
      <c r="FI538">
        <f>IF(ISBLANK('Data Entry'!$å$538), "", 'Data Entry'!$å$538)</f>
      </c>
      <c r="FJ538">
        <f>IF(ISBLANK('Data Entry'!$æ$538), "", 'Data Entry'!$æ$538)</f>
      </c>
      <c r="FK538">
        <f>IF(ISBLANK('Data Entry'!$ç$538), "", 'Data Entry'!$ç$538)</f>
      </c>
      <c r="FL538">
        <f>IF(ISBLANK('Data Entry'!$è$538), "", 'Data Entry'!$è$538)</f>
      </c>
      <c r="FM538">
        <f>IF(ISBLANK('Data Entry'!$é$538), "", 'Data Entry'!$é$538)</f>
      </c>
      <c r="FN538">
        <f>IF(ISBLANK('Data Entry'!$ê$538), "", 'Data Entry'!$ê$538)</f>
      </c>
      <c r="FO538">
        <f>IF(ISBLANK('Data Entry'!$ë$538), "", 'Data Entry'!$ë$538)</f>
      </c>
      <c r="FP538">
        <f>IF(ISBLANK('Data Entry'!$ì$538), "", 'Data Entry'!$ì$538)</f>
      </c>
      <c r="FQ538">
        <f>IF(ISBLANK('Data Entry'!$í$538), "", 'Data Entry'!$í$538)</f>
      </c>
      <c r="FR538">
        <f>IF(ISBLANK('Data Entry'!$î$538), "", 'Data Entry'!$î$538)</f>
      </c>
      <c r="FS538">
        <f>IF(ISBLANK('Data Entry'!$ï$538), "", 'Data Entry'!$ï$538)</f>
      </c>
      <c r="FT538">
        <f>IF(ISBLANK('Data Entry'!$ð$538), "", 'Data Entry'!$ð$538)</f>
      </c>
      <c r="FU538">
        <f>IF(ISBLANK('Data Entry'!$ñ$538), "", 'Data Entry'!$ñ$538)</f>
      </c>
      <c r="FV538">
        <f>IF(ISBLANK('Data Entry'!$ò$538), "", 'Data Entry'!$ò$538)</f>
      </c>
      <c r="FW538">
        <f>IF(ISBLANK('Data Entry'!$ó$538), "", 'Data Entry'!$ó$538)</f>
      </c>
      <c r="FX538">
        <f>IF(ISBLANK('Data Entry'!$ô$538), "", 'Data Entry'!$ô$538)</f>
      </c>
      <c r="FY538">
        <f>IF(ISBLANK('Data Entry'!$õ$538), "", 'Data Entry'!$õ$538)</f>
      </c>
      <c r="FZ538">
        <f>IF(ISBLANK('Data Entry'!$ö$538), "", 'Data Entry'!$ö$538)</f>
      </c>
      <c r="GA538">
        <f>IF(ISBLANK('Data Entry'!$÷$538), "", 'Data Entry'!$÷$538)</f>
      </c>
      <c r="GB538">
        <f>IF(ISBLANK('Data Entry'!$ø$538), "", 'Data Entry'!$ø$538)</f>
      </c>
      <c r="GC538">
        <f>IF(ISBLANK('Data Entry'!$ù$538), "", 'Data Entry'!$ù$538)</f>
      </c>
      <c r="GD538">
        <f>IF(ISBLANK('Data Entry'!$ú$538), "", 'Data Entry'!$ú$538)</f>
      </c>
      <c r="GE538">
        <f>IF(ISBLANK('Data Entry'!$û$538), "", 'Data Entry'!$û$538)</f>
      </c>
      <c r="GF538">
        <f>IF(ISBLANK('Data Entry'!$ü$538), "", 'Data Entry'!$ü$538)</f>
      </c>
      <c r="GG538">
        <f>IF(ISBLANK('Data Entry'!$ý$538), "", 'Data Entry'!$ý$538)</f>
      </c>
      <c r="GH538">
        <f>IF(ISBLANK('Data Entry'!$þ$538), "", 'Data Entry'!$þ$538)</f>
      </c>
      <c r="GI538">
        <f>IF(ISBLANK('Data Entry'!$ÿ$538), "", 'Data Entry'!$ÿ$538)</f>
      </c>
      <c r="GJ538">
        <f>IF(ISBLANK('Data Entry'!$Ā$538), "", 'Data Entry'!$Ā$538)</f>
      </c>
      <c r="GK538">
        <f>IF(ISBLANK('Data Entry'!$ā$538), "", 'Data Entry'!$ā$538)</f>
      </c>
      <c r="GL538">
        <f>IF(ISBLANK('Data Entry'!$Ă$538), "", 'Data Entry'!$Ă$538)</f>
      </c>
      <c r="GM538">
        <f>IF(ISBLANK('Data Entry'!$ă$538), "", 'Data Entry'!$ă$538)</f>
      </c>
      <c r="GN538">
        <f>IF(ISBLANK('Data Entry'!$Ą$538), "", 'Data Entry'!$Ą$538)</f>
      </c>
      <c r="GO538">
        <f>IF(ISBLANK('Data Entry'!$ą$538), "", 'Data Entry'!$ą$538)</f>
      </c>
      <c r="GP538">
        <f>IF(ISBLANK('Data Entry'!$Ć$538), "", 'Data Entry'!$Ć$538)</f>
      </c>
      <c r="GQ538">
        <f>IF(ISBLANK('Data Entry'!$ć$538), "", 'Data Entry'!$ć$538)</f>
      </c>
      <c r="GR538">
        <f>IF(ISBLANK('Data Entry'!$Ĉ$538), "", 'Data Entry'!$Ĉ$538)</f>
      </c>
      <c r="GS538">
        <f>IF(ISBLANK('Data Entry'!$ĉ$538), "", 'Data Entry'!$ĉ$538)</f>
      </c>
      <c r="GT538">
        <f>IF(ISBLANK('Data Entry'!$Ċ$538), "", 'Data Entry'!$Ċ$538)</f>
      </c>
      <c r="GU538">
        <f>IF(ISBLANK('Data Entry'!$ċ$538), "", 'Data Entry'!$ċ$538)</f>
      </c>
      <c r="GV538">
        <f>IF(ISBLANK('Data Entry'!$Č$538), "", 'Data Entry'!$Č$538)</f>
      </c>
      <c r="GW538">
        <f>IF(ISBLANK('Data Entry'!$č$538), "", 'Data Entry'!$č$538)</f>
      </c>
      <c r="GX538">
        <f>IF(ISBLANK('Data Entry'!$Ď$538), "", 'Data Entry'!$Ď$538)</f>
      </c>
      <c r="GY538">
        <f>IF(ISBLANK('Data Entry'!$ď$538), "", 'Data Entry'!$ď$538)</f>
      </c>
      <c r="GZ538">
        <f>IF(ISBLANK('Data Entry'!$Đ$538), "", 'Data Entry'!$Đ$538)</f>
      </c>
      <c r="HA538">
        <f>IF(ISBLANK('Data Entry'!$đ$538), "", 'Data Entry'!$đ$538)</f>
      </c>
      <c r="HB538">
        <f>IF(ISBLANK('Data Entry'!$Ē$538), "", 'Data Entry'!$Ē$538)</f>
      </c>
      <c r="HC538">
        <f>IF(ISBLANK('Data Entry'!$ē$538), "", 'Data Entry'!$ē$538)</f>
      </c>
      <c r="HD538">
        <f>IF(ISBLANK('Data Entry'!$Ĕ$538), "", 'Data Entry'!$Ĕ$538)</f>
      </c>
      <c r="HE538">
        <f>IF(ISBLANK('Data Entry'!$ĕ$538), "", 'Data Entry'!$ĕ$538)</f>
      </c>
      <c r="HF538">
        <f>IF(ISBLANK('Data Entry'!$Ė$538), "", 'Data Entry'!$Ė$538)</f>
      </c>
      <c r="HG538">
        <f>IF(ISBLANK('Data Entry'!$ė$538), "", 'Data Entry'!$ė$538)</f>
      </c>
      <c r="HH538">
        <f>IF(ISBLANK('Data Entry'!$Ę$538), "", 'Data Entry'!$Ę$538)</f>
      </c>
      <c r="HI538">
        <f>IF(ISBLANK('Data Entry'!$ę$538), "", 'Data Entry'!$ę$538)</f>
      </c>
      <c r="HJ538">
        <f>IF(ISBLANK('Data Entry'!$Ě$538), "", 'Data Entry'!$Ě$538)</f>
      </c>
      <c r="HK538">
        <f>IF(ISBLANK('Data Entry'!$ě$538), "", 'Data Entry'!$ě$538)</f>
      </c>
      <c r="HL538">
        <f>IF(ISBLANK('Data Entry'!$Ĝ$538), "", 'Data Entry'!$Ĝ$538)</f>
      </c>
      <c r="HM538">
        <f>IF(ISBLANK('Data Entry'!$ĝ$538), "", 'Data Entry'!$ĝ$538)</f>
      </c>
      <c r="HN538">
        <f>IF(ISBLANK('Data Entry'!$Ğ$538), "", 'Data Entry'!$Ğ$538)</f>
      </c>
      <c r="HO538">
        <f>IF(ISBLANK('Data Entry'!$ğ$538), "", 'Data Entry'!$ğ$538)</f>
      </c>
      <c r="HP538">
        <f>IF(ISBLANK('Data Entry'!$Ġ$538), "", 'Data Entry'!$Ġ$538)</f>
      </c>
      <c r="HQ538">
        <f>IF(ISBLANK('Data Entry'!$ġ$538), "", 'Data Entry'!$ġ$538)</f>
      </c>
      <c r="HR538">
        <f>IF(ISBLANK('Data Entry'!$Ģ$538), "", 'Data Entry'!$Ģ$538)</f>
      </c>
      <c r="HS538">
        <f>IF(ISBLANK('Data Entry'!$ģ$538), "", 'Data Entry'!$ģ$538)</f>
      </c>
      <c r="HT538">
        <f>IF(ISBLANK('Data Entry'!$Ĥ$538), "", 'Data Entry'!$Ĥ$538)</f>
      </c>
      <c r="HU538">
        <f>IF(ISBLANK('Data Entry'!$ĥ$538), "", 'Data Entry'!$ĥ$538)</f>
      </c>
      <c r="HV538">
        <f>IF(ISBLANK('Data Entry'!$Ħ$538), "", 'Data Entry'!$Ħ$538)</f>
      </c>
      <c r="HW538">
        <f>IF(ISBLANK('Data Entry'!$ħ$538), "", 'Data Entry'!$ħ$538)</f>
      </c>
      <c r="HX538">
        <f>IF(ISBLANK('Data Entry'!$Ĩ$538), "", 'Data Entry'!$Ĩ$538)</f>
      </c>
      <c r="HY538">
        <f>IF(ISBLANK('Data Entry'!$ĩ$538), "", 'Data Entry'!$ĩ$538)</f>
      </c>
      <c r="HZ538">
        <f>IF(ISBLANK('Data Entry'!$Ī$538), "", 'Data Entry'!$Ī$538)</f>
      </c>
      <c r="IA538">
        <f>IF(ISBLANK('Data Entry'!$ī$538), "", 'Data Entry'!$ī$538)</f>
      </c>
      <c r="IB538">
        <f>IF(ISBLANK('Data Entry'!$Ĭ$538), "", 'Data Entry'!$Ĭ$538)</f>
      </c>
      <c r="IC538">
        <f>IF(ISBLANK('Data Entry'!$ĭ$538), "", 'Data Entry'!$ĭ$538)</f>
      </c>
      <c r="ID538">
        <f>IF(ISBLANK('Data Entry'!$Į$538), "", 'Data Entry'!$Į$538)</f>
      </c>
      <c r="IE538">
        <f>IF(ISBLANK('Data Entry'!$į$538), "", 'Data Entry'!$į$538)</f>
      </c>
      <c r="IF538">
        <f>IF(ISBLANK('Data Entry'!$İ$538), "", 'Data Entry'!$İ$538)</f>
      </c>
      <c r="IG538">
        <f>IF(ISBLANK('Data Entry'!$ı$538), "", 'Data Entry'!$ı$538)</f>
      </c>
      <c r="IH538">
        <f>IF(ISBLANK('Data Entry'!$Ĳ$538), "", 'Data Entry'!$Ĳ$538)</f>
      </c>
      <c r="II538">
        <f>IF(ISBLANK('Data Entry'!$ĳ$538), "", 'Data Entry'!$ĳ$538)</f>
      </c>
      <c r="IJ538">
        <f>IF(ISBLANK('Data Entry'!$Ĵ$538), "", 'Data Entry'!$Ĵ$538)</f>
      </c>
      <c r="IK538">
        <f>IF(ISBLANK('Data Entry'!$ĵ$538), "", 'Data Entry'!$ĵ$538)</f>
      </c>
      <c r="IL538">
        <f>IF(ISBLANK('Data Entry'!$Ķ$538), "", 'Data Entry'!$Ķ$538)</f>
      </c>
      <c r="IM538">
        <f>IF(ISBLANK('Data Entry'!$ķ$538), "", 'Data Entry'!$ķ$538)</f>
      </c>
      <c r="IN538">
        <f>IF(ISBLANK('Data Entry'!$ĸ$538), "", 'Data Entry'!$ĸ$538)</f>
      </c>
      <c r="IO538">
        <f>IF(ISBLANK('Data Entry'!$Ĺ$538), "", 'Data Entry'!$Ĺ$538)</f>
      </c>
      <c r="IP538">
        <f>IF(ISBLANK('Data Entry'!$ĺ$538), "", 'Data Entry'!$ĺ$538)</f>
      </c>
      <c r="IQ538">
        <f>IF(ISBLANK('Data Entry'!$Ļ$538), "", 'Data Entry'!$Ļ$538)</f>
      </c>
      <c r="IR538">
        <f>IF(ISBLANK('Data Entry'!$ļ$538), "", 'Data Entry'!$ļ$538)</f>
      </c>
      <c r="IS538">
        <f>IF(ISBLANK('Data Entry'!$Ľ$538), "", 'Data Entry'!$Ľ$538)</f>
      </c>
      <c r="IT538">
        <f>IF(ISBLANK('Data Entry'!$ľ$538), "", 'Data Entry'!$ľ$538)</f>
      </c>
    </row>
    <row r="539" spans="1:254" x14ac:dyDescent="0.25">
      <c r="A539">
        <f>IF(ISBLANK('Data Entry'!$A$539), "", 'Data Entry'!$A$539)</f>
      </c>
      <c r="B539">
        <f>IF(ISBLANK('Data Entry'!$B$539), "", 'Data Entry'!$B$539)</f>
      </c>
      <c r="C539">
        <f>IF(ISBLANK('Data Entry'!$C$539), "", 'Data Entry'!$C$539)</f>
      </c>
      <c r="D539">
        <f>IF(ISBLANK('Data Entry'!$D$539), "", 'Data Entry'!$D$539)</f>
      </c>
      <c r="E539">
        <f>IF(ISBLANK('Data Entry'!$E$539), "", 'Data Entry'!$E$539)</f>
      </c>
      <c r="F539">
        <f>IF(ISBLANK('Data Entry'!$F$539), "", 'Data Entry'!$F$539)</f>
      </c>
      <c r="G539">
        <f>IF(ISBLANK('Data Entry'!$G$539), "", 'Data Entry'!$G$539)</f>
      </c>
      <c r="H539">
        <f>IF(ISBLANK('Data Entry'!$H$539), "", 'Data Entry'!$H$539)</f>
      </c>
      <c r="I539">
        <f>IF(ISBLANK('Data Entry'!$I$539), "", 'Data Entry'!$I$539)</f>
      </c>
      <c r="J539">
        <f>IF(ISBLANK('Data Entry'!$J$539), "", 'Data Entry'!$J$539)</f>
      </c>
      <c r="K539">
        <f>IF(ISBLANK('Data Entry'!$K$539), "", 'Data Entry'!$K$539)</f>
      </c>
      <c r="L539">
        <f>IF(ISBLANK('Data Entry'!$L$539), "", 'Data Entry'!$L$539)</f>
      </c>
      <c r="M539">
        <f>IF(ISBLANK('Data Entry'!$M$539), "", 'Data Entry'!$M$539)</f>
      </c>
      <c r="N539">
        <f>IF(ISBLANK('Data Entry'!$N$539), "", 'Data Entry'!$N$539)</f>
      </c>
      <c r="O539">
        <f>IF(ISBLANK('Data Entry'!$O$539), "", 'Data Entry'!$O$539)</f>
      </c>
      <c r="P539">
        <f>IF(ISBLANK('Data Entry'!$P$539), "", 'Data Entry'!$P$539)</f>
      </c>
      <c r="Q539">
        <f>IF(ISBLANK('Data Entry'!$Q$539), "", 'Data Entry'!$Q$539)</f>
      </c>
      <c r="R539">
        <f>IF(ISBLANK('Data Entry'!$R$539), "", 'Data Entry'!$R$539)</f>
      </c>
      <c r="S539">
        <f>IF(ISBLANK('Data Entry'!$S$539), "", 'Data Entry'!$S$539)</f>
      </c>
      <c r="T539">
        <f>IF(ISBLANK('Data Entry'!$T$539), "", 'Data Entry'!$T$539)</f>
      </c>
      <c r="U539">
        <f>IF(ISBLANK('Data Entry'!$U$539), "", 'Data Entry'!$U$539)</f>
      </c>
      <c r="V539">
        <f>IF(ISBLANK('Data Entry'!$V$539), "", 'Data Entry'!$V$539)</f>
      </c>
      <c r="W539">
        <f>IF(ISBLANK('Data Entry'!$W$539), "", 'Data Entry'!$W$539)</f>
      </c>
      <c r="X539">
        <f>IF(ISBLANK('Data Entry'!$X$539), "", 'Data Entry'!$X$539)</f>
      </c>
      <c r="Y539">
        <f>IF(ISBLANK('Data Entry'!$Y$539), "", 'Data Entry'!$Y$539)</f>
      </c>
      <c r="Z539">
        <f>IF(ISBLANK('Data Entry'!$Z$539), "", 'Data Entry'!$Z$539)</f>
      </c>
      <c r="AA539">
        <f>IF(ISBLANK('Data Entry'!$[$539), "", 'Data Entry'!$[$539)</f>
      </c>
      <c r="AB539">
        <f>IF(ISBLANK('Data Entry'!$\$539), "", 'Data Entry'!$\$539)</f>
      </c>
      <c r="AC539">
        <f>IF(ISBLANK('Data Entry'!$]$539), "", 'Data Entry'!$]$539)</f>
      </c>
      <c r="AD539">
        <f>IF(ISBLANK('Data Entry'!$^$539), "", 'Data Entry'!$^$539)</f>
      </c>
      <c r="AE539">
        <f>IF(ISBLANK('Data Entry'!$_$539), "", 'Data Entry'!$_$539)</f>
      </c>
      <c r="AF539">
        <f>IF(ISBLANK('Data Entry'!$`$539), "", 'Data Entry'!$`$539)</f>
      </c>
      <c r="AG539">
        <f>IF(ISBLANK('Data Entry'!$a$539), "", 'Data Entry'!$a$539)</f>
      </c>
      <c r="AH539">
        <f>IF(ISBLANK('Data Entry'!$b$539), "", 'Data Entry'!$b$539)</f>
      </c>
      <c r="AI539">
        <f>IF(ISBLANK('Data Entry'!$c$539), "", 'Data Entry'!$c$539)</f>
      </c>
      <c r="AJ539">
        <f>IF(ISBLANK('Data Entry'!$d$539), "", 'Data Entry'!$d$539)</f>
      </c>
      <c r="AK539">
        <f>IF(ISBLANK('Data Entry'!$e$539), "", 'Data Entry'!$e$539)</f>
      </c>
      <c r="AL539">
        <f>IF(ISBLANK('Data Entry'!$f$539), "", 'Data Entry'!$f$539)</f>
      </c>
      <c r="AM539">
        <f>IF(ISBLANK('Data Entry'!$g$539), "", 'Data Entry'!$g$539)</f>
      </c>
      <c r="AN539">
        <f>IF(ISBLANK('Data Entry'!$h$539), "", 'Data Entry'!$h$539)</f>
      </c>
      <c r="AO539">
        <f>IF(ISBLANK('Data Entry'!$i$539), "", 'Data Entry'!$i$539)</f>
      </c>
      <c r="AP539">
        <f>IF(ISBLANK('Data Entry'!$j$539), "", 'Data Entry'!$j$539)</f>
      </c>
      <c r="AQ539">
        <f>IF(ISBLANK('Data Entry'!$k$539), "", 'Data Entry'!$k$539)</f>
      </c>
      <c r="AR539">
        <f>IF(ISBLANK('Data Entry'!$l$539), "", 'Data Entry'!$l$539)</f>
      </c>
      <c r="AS539">
        <f>IF(ISBLANK('Data Entry'!$m$539), "", 'Data Entry'!$m$539)</f>
      </c>
      <c r="AT539">
        <f>IF(ISBLANK('Data Entry'!$n$539), "", 'Data Entry'!$n$539)</f>
      </c>
      <c r="AU539">
        <f>IF(ISBLANK('Data Entry'!$o$539), "", 'Data Entry'!$o$539)</f>
      </c>
      <c r="AV539">
        <f>IF(ISBLANK('Data Entry'!$p$539), "", 'Data Entry'!$p$539)</f>
      </c>
      <c r="AW539">
        <f>IF(ISBLANK('Data Entry'!$q$539), "", 'Data Entry'!$q$539)</f>
      </c>
      <c r="AX539">
        <f>IF(ISBLANK('Data Entry'!$r$539), "", 'Data Entry'!$r$539)</f>
      </c>
      <c r="AY539">
        <f>IF(ISBLANK('Data Entry'!$s$539), "", 'Data Entry'!$s$539)</f>
      </c>
      <c r="AZ539">
        <f>IF(ISBLANK('Data Entry'!$t$539), "", 'Data Entry'!$t$539)</f>
      </c>
      <c r="BA539">
        <f>IF(ISBLANK('Data Entry'!$u$539), "", 'Data Entry'!$u$539)</f>
      </c>
      <c r="BB539">
        <f>IF(ISBLANK('Data Entry'!$v$539), "", 'Data Entry'!$v$539)</f>
      </c>
      <c r="BC539">
        <f>IF(ISBLANK('Data Entry'!$w$539), "", 'Data Entry'!$w$539)</f>
      </c>
      <c r="BD539">
        <f>IF(ISBLANK('Data Entry'!$x$539), "", 'Data Entry'!$x$539)</f>
      </c>
      <c r="BE539">
        <f>IF(ISBLANK('Data Entry'!$y$539), "", 'Data Entry'!$y$539)</f>
      </c>
      <c r="BF539">
        <f>IF(ISBLANK('Data Entry'!$z$539), "", 'Data Entry'!$z$539)</f>
      </c>
      <c r="BG539">
        <f>IF(ISBLANK('Data Entry'!${$539), "", 'Data Entry'!${$539)</f>
      </c>
      <c r="BH539">
        <f>IF(ISBLANK('Data Entry'!$|$539), "", 'Data Entry'!$|$539)</f>
      </c>
      <c r="BI539">
        <f>IF(ISBLANK('Data Entry'!$}$539), "", 'Data Entry'!$}$539)</f>
      </c>
      <c r="BJ539">
        <f>IF(ISBLANK('Data Entry'!$~$539), "", 'Data Entry'!$~$539)</f>
      </c>
      <c r="BK539">
        <f>IF(ISBLANK('Data Entry'!$$539), "", 'Data Entry'!$$539)</f>
      </c>
      <c r="BL539">
        <f>IF(ISBLANK('Data Entry'!$$539), "", 'Data Entry'!$$539)</f>
      </c>
      <c r="BM539">
        <f>IF(ISBLANK('Data Entry'!$$539), "", 'Data Entry'!$$539)</f>
      </c>
      <c r="BN539">
        <f>IF(ISBLANK('Data Entry'!$$539), "", 'Data Entry'!$$539)</f>
      </c>
      <c r="BO539">
        <f>IF(ISBLANK('Data Entry'!$$539), "", 'Data Entry'!$$539)</f>
      </c>
      <c r="BP539">
        <f>IF(ISBLANK('Data Entry'!$$539), "", 'Data Entry'!$$539)</f>
      </c>
      <c r="BQ539">
        <f>IF(ISBLANK('Data Entry'!$$539), "", 'Data Entry'!$$539)</f>
      </c>
      <c r="BR539">
        <f>IF(ISBLANK('Data Entry'!$$539), "", 'Data Entry'!$$539)</f>
      </c>
      <c r="BS539">
        <f>IF(ISBLANK('Data Entry'!$$539), "", 'Data Entry'!$$539)</f>
      </c>
      <c r="BT539">
        <f>IF(ISBLANK('Data Entry'!$$539), "", 'Data Entry'!$$539)</f>
      </c>
      <c r="BU539">
        <f>IF(ISBLANK('Data Entry'!$$539), "", 'Data Entry'!$$539)</f>
      </c>
      <c r="BV539">
        <f>IF(ISBLANK('Data Entry'!$$539), "", 'Data Entry'!$$539)</f>
      </c>
      <c r="BW539">
        <f>IF(ISBLANK('Data Entry'!$$539), "", 'Data Entry'!$$539)</f>
      </c>
      <c r="BX539">
        <f>IF(ISBLANK('Data Entry'!$$539), "", 'Data Entry'!$$539)</f>
      </c>
      <c r="BY539">
        <f>IF(ISBLANK('Data Entry'!$$539), "", 'Data Entry'!$$539)</f>
      </c>
      <c r="BZ539">
        <f>IF(ISBLANK('Data Entry'!$$539), "", 'Data Entry'!$$539)</f>
      </c>
      <c r="CA539">
        <f>IF(ISBLANK('Data Entry'!$$539), "", 'Data Entry'!$$539)</f>
      </c>
      <c r="CB539">
        <f>IF(ISBLANK('Data Entry'!$$539), "", 'Data Entry'!$$539)</f>
      </c>
      <c r="CC539">
        <f>IF(ISBLANK('Data Entry'!$$539), "", 'Data Entry'!$$539)</f>
      </c>
      <c r="CD539">
        <f>IF(ISBLANK('Data Entry'!$$539), "", 'Data Entry'!$$539)</f>
      </c>
      <c r="CE539">
        <f>IF(ISBLANK('Data Entry'!$$539), "", 'Data Entry'!$$539)</f>
      </c>
      <c r="CF539">
        <f>IF(ISBLANK('Data Entry'!$$539), "", 'Data Entry'!$$539)</f>
      </c>
      <c r="CG539">
        <f>IF(ISBLANK('Data Entry'!$$539), "", 'Data Entry'!$$539)</f>
      </c>
      <c r="CH539">
        <f>IF(ISBLANK('Data Entry'!$$539), "", 'Data Entry'!$$539)</f>
      </c>
      <c r="CI539">
        <f>IF(ISBLANK('Data Entry'!$$539), "", 'Data Entry'!$$539)</f>
      </c>
      <c r="CJ539">
        <f>IF(ISBLANK('Data Entry'!$$539), "", 'Data Entry'!$$539)</f>
      </c>
      <c r="CK539">
        <f>IF(ISBLANK('Data Entry'!$$539), "", 'Data Entry'!$$539)</f>
      </c>
      <c r="CL539">
        <f>IF(ISBLANK('Data Entry'!$$539), "", 'Data Entry'!$$539)</f>
      </c>
      <c r="CM539">
        <f>IF(ISBLANK('Data Entry'!$$539), "", 'Data Entry'!$$539)</f>
      </c>
      <c r="CN539">
        <f>IF(ISBLANK('Data Entry'!$$539), "", 'Data Entry'!$$539)</f>
      </c>
      <c r="CO539">
        <f>IF(ISBLANK('Data Entry'!$$539), "", 'Data Entry'!$$539)</f>
      </c>
      <c r="CP539">
        <f>IF(ISBLANK('Data Entry'!$$539), "", 'Data Entry'!$$539)</f>
      </c>
      <c r="CQ539">
        <f>IF(ISBLANK('Data Entry'!$$539), "", 'Data Entry'!$$539)</f>
      </c>
      <c r="CR539">
        <f>IF(ISBLANK('Data Entry'!$ $539), "", 'Data Entry'!$ $539)</f>
      </c>
      <c r="CS539">
        <f>IF(ISBLANK('Data Entry'!$¡$539), "", 'Data Entry'!$¡$539)</f>
      </c>
      <c r="CT539">
        <f>IF(ISBLANK('Data Entry'!$¢$539), "", 'Data Entry'!$¢$539)</f>
      </c>
      <c r="CU539">
        <f>IF(ISBLANK('Data Entry'!$£$539), "", 'Data Entry'!$£$539)</f>
      </c>
      <c r="CV539">
        <f>IF(ISBLANK('Data Entry'!$¤$539), "", 'Data Entry'!$¤$539)</f>
      </c>
      <c r="CW539">
        <f>IF(ISBLANK('Data Entry'!$¥$539), "", 'Data Entry'!$¥$539)</f>
      </c>
      <c r="CX539">
        <f>IF(ISBLANK('Data Entry'!$¦$539), "", 'Data Entry'!$¦$539)</f>
      </c>
      <c r="CY539">
        <f>IF(ISBLANK('Data Entry'!$§$539), "", 'Data Entry'!$§$539)</f>
      </c>
      <c r="CZ539">
        <f>IF(ISBLANK('Data Entry'!$¨$539), "", 'Data Entry'!$¨$539)</f>
      </c>
      <c r="DA539">
        <f>IF(ISBLANK('Data Entry'!$©$539), "", 'Data Entry'!$©$539)</f>
      </c>
      <c r="DB539">
        <f>IF(ISBLANK('Data Entry'!$ª$539), "", 'Data Entry'!$ª$539)</f>
      </c>
      <c r="DC539">
        <f>IF(ISBLANK('Data Entry'!$«$539), "", 'Data Entry'!$«$539)</f>
      </c>
      <c r="DD539">
        <f>IF(ISBLANK('Data Entry'!$¬$539), "", 'Data Entry'!$¬$539)</f>
      </c>
      <c r="DE539">
        <f>IF(ISBLANK('Data Entry'!$­$539), "", 'Data Entry'!$­$539)</f>
      </c>
      <c r="DF539">
        <f>IF(ISBLANK('Data Entry'!$®$539), "", 'Data Entry'!$®$539)</f>
      </c>
      <c r="DG539">
        <f>IF(ISBLANK('Data Entry'!$¯$539), "", 'Data Entry'!$¯$539)</f>
      </c>
      <c r="DH539">
        <f>IF(ISBLANK('Data Entry'!$°$539), "", 'Data Entry'!$°$539)</f>
      </c>
      <c r="DI539">
        <f>IF(ISBLANK('Data Entry'!$±$539), "", 'Data Entry'!$±$539)</f>
      </c>
      <c r="DJ539">
        <f>IF(ISBLANK('Data Entry'!$²$539), "", 'Data Entry'!$²$539)</f>
      </c>
      <c r="DK539">
        <f>IF(ISBLANK('Data Entry'!$³$539), "", 'Data Entry'!$³$539)</f>
      </c>
      <c r="DL539">
        <f>IF(ISBLANK('Data Entry'!$´$539), "", 'Data Entry'!$´$539)</f>
      </c>
      <c r="DM539">
        <f>IF(ISBLANK('Data Entry'!$µ$539), "", 'Data Entry'!$µ$539)</f>
      </c>
      <c r="DN539">
        <f>IF(ISBLANK('Data Entry'!$¶$539), "", 'Data Entry'!$¶$539)</f>
      </c>
      <c r="DO539">
        <f>IF(ISBLANK('Data Entry'!$·$539), "", 'Data Entry'!$·$539)</f>
      </c>
      <c r="DP539">
        <f>IF(ISBLANK('Data Entry'!$¸$539), "", 'Data Entry'!$¸$539)</f>
      </c>
      <c r="DQ539">
        <f>IF(ISBLANK('Data Entry'!$¹$539), "", 'Data Entry'!$¹$539)</f>
      </c>
      <c r="DR539">
        <f>IF(ISBLANK('Data Entry'!$º$539), "", 'Data Entry'!$º$539)</f>
      </c>
      <c r="DS539">
        <f>IF(ISBLANK('Data Entry'!$»$539), "", 'Data Entry'!$»$539)</f>
      </c>
      <c r="DT539">
        <f>IF(ISBLANK('Data Entry'!$¼$539), "", 'Data Entry'!$¼$539)</f>
      </c>
      <c r="DU539">
        <f>IF(ISBLANK('Data Entry'!$½$539), "", 'Data Entry'!$½$539)</f>
      </c>
      <c r="DV539">
        <f>IF(ISBLANK('Data Entry'!$¾$539), "", 'Data Entry'!$¾$539)</f>
      </c>
      <c r="DW539">
        <f>IF(ISBLANK('Data Entry'!$¿$539), "", 'Data Entry'!$¿$539)</f>
      </c>
      <c r="DX539">
        <f>IF(ISBLANK('Data Entry'!$À$539), "", 'Data Entry'!$À$539)</f>
      </c>
      <c r="DY539">
        <f>IF(ISBLANK('Data Entry'!$Á$539), "", 'Data Entry'!$Á$539)</f>
      </c>
      <c r="DZ539">
        <f>IF(ISBLANK('Data Entry'!$Â$539), "", 'Data Entry'!$Â$539)</f>
      </c>
      <c r="EA539">
        <f>IF(ISBLANK('Data Entry'!$Ã$539), "", 'Data Entry'!$Ã$539)</f>
      </c>
      <c r="EB539">
        <f>IF(ISBLANK('Data Entry'!$Ä$539), "", 'Data Entry'!$Ä$539)</f>
      </c>
      <c r="EC539">
        <f>IF(ISBLANK('Data Entry'!$Å$539), "", 'Data Entry'!$Å$539)</f>
      </c>
      <c r="ED539">
        <f>IF(ISBLANK('Data Entry'!$Æ$539), "", 'Data Entry'!$Æ$539)</f>
      </c>
      <c r="EE539">
        <f>IF(ISBLANK('Data Entry'!$Ç$539), "", 'Data Entry'!$Ç$539)</f>
      </c>
      <c r="EF539">
        <f>IF(ISBLANK('Data Entry'!$È$539), "", 'Data Entry'!$È$539)</f>
      </c>
      <c r="EG539">
        <f>IF(ISBLANK('Data Entry'!$É$539), "", 'Data Entry'!$É$539)</f>
      </c>
      <c r="EH539">
        <f>IF(ISBLANK('Data Entry'!$Ê$539), "", 'Data Entry'!$Ê$539)</f>
      </c>
      <c r="EI539">
        <f>IF(ISBLANK('Data Entry'!$Ë$539), "", 'Data Entry'!$Ë$539)</f>
      </c>
      <c r="EJ539">
        <f>IF(ISBLANK('Data Entry'!$Ì$539), "", 'Data Entry'!$Ì$539)</f>
      </c>
      <c r="EK539">
        <f>IF(ISBLANK('Data Entry'!$Í$539), "", 'Data Entry'!$Í$539)</f>
      </c>
      <c r="EL539">
        <f>IF(ISBLANK('Data Entry'!$Î$539), "", 'Data Entry'!$Î$539)</f>
      </c>
      <c r="EM539">
        <f>IF(ISBLANK('Data Entry'!$Ï$539), "", 'Data Entry'!$Ï$539)</f>
      </c>
      <c r="EN539">
        <f>IF(ISBLANK('Data Entry'!$Ð$539), "", 'Data Entry'!$Ð$539)</f>
      </c>
      <c r="EO539">
        <f>IF(ISBLANK('Data Entry'!$Ñ$539), "", 'Data Entry'!$Ñ$539)</f>
      </c>
      <c r="EP539">
        <f>IF(ISBLANK('Data Entry'!$Ò$539), "", 'Data Entry'!$Ò$539)</f>
      </c>
      <c r="EQ539">
        <f>IF(ISBLANK('Data Entry'!$Ó$539), "", 'Data Entry'!$Ó$539)</f>
      </c>
      <c r="ER539">
        <f>IF(ISBLANK('Data Entry'!$Ô$539), "", 'Data Entry'!$Ô$539)</f>
      </c>
      <c r="ES539">
        <f>IF(ISBLANK('Data Entry'!$Õ$539), "", 'Data Entry'!$Õ$539)</f>
      </c>
      <c r="ET539">
        <f>IF(ISBLANK('Data Entry'!$Ö$539), "", 'Data Entry'!$Ö$539)</f>
      </c>
      <c r="EU539">
        <f>IF(ISBLANK('Data Entry'!$×$539), "", 'Data Entry'!$×$539)</f>
      </c>
      <c r="EV539">
        <f>IF(ISBLANK('Data Entry'!$Ø$539), "", 'Data Entry'!$Ø$539)</f>
      </c>
      <c r="EW539">
        <f>IF(ISBLANK('Data Entry'!$Ù$539), "", 'Data Entry'!$Ù$539)</f>
      </c>
      <c r="EX539">
        <f>IF(ISBLANK('Data Entry'!$Ú$539), "", 'Data Entry'!$Ú$539)</f>
      </c>
      <c r="EY539">
        <f>IF(ISBLANK('Data Entry'!$Û$539), "", 'Data Entry'!$Û$539)</f>
      </c>
      <c r="EZ539">
        <f>IF(ISBLANK('Data Entry'!$Ü$539), "", 'Data Entry'!$Ü$539)</f>
      </c>
      <c r="FA539">
        <f>IF(ISBLANK('Data Entry'!$Ý$539), "", 'Data Entry'!$Ý$539)</f>
      </c>
      <c r="FB539">
        <f>IF(ISBLANK('Data Entry'!$Þ$539), "", 'Data Entry'!$Þ$539)</f>
      </c>
      <c r="FC539">
        <f>IF(ISBLANK('Data Entry'!$ß$539), "", 'Data Entry'!$ß$539)</f>
      </c>
      <c r="FD539">
        <f>IF(ISBLANK('Data Entry'!$à$539), "", 'Data Entry'!$à$539)</f>
      </c>
      <c r="FE539">
        <f>IF(ISBLANK('Data Entry'!$á$539), "", 'Data Entry'!$á$539)</f>
      </c>
      <c r="FF539">
        <f>IF(ISBLANK('Data Entry'!$â$539), "", 'Data Entry'!$â$539)</f>
      </c>
      <c r="FG539">
        <f>IF(ISBLANK('Data Entry'!$ã$539), "", 'Data Entry'!$ã$539)</f>
      </c>
      <c r="FH539">
        <f>IF(ISBLANK('Data Entry'!$ä$539), "", 'Data Entry'!$ä$539)</f>
      </c>
      <c r="FI539">
        <f>IF(ISBLANK('Data Entry'!$å$539), "", 'Data Entry'!$å$539)</f>
      </c>
      <c r="FJ539">
        <f>IF(ISBLANK('Data Entry'!$æ$539), "", 'Data Entry'!$æ$539)</f>
      </c>
      <c r="FK539">
        <f>IF(ISBLANK('Data Entry'!$ç$539), "", 'Data Entry'!$ç$539)</f>
      </c>
      <c r="FL539">
        <f>IF(ISBLANK('Data Entry'!$è$539), "", 'Data Entry'!$è$539)</f>
      </c>
      <c r="FM539">
        <f>IF(ISBLANK('Data Entry'!$é$539), "", 'Data Entry'!$é$539)</f>
      </c>
      <c r="FN539">
        <f>IF(ISBLANK('Data Entry'!$ê$539), "", 'Data Entry'!$ê$539)</f>
      </c>
      <c r="FO539">
        <f>IF(ISBLANK('Data Entry'!$ë$539), "", 'Data Entry'!$ë$539)</f>
      </c>
      <c r="FP539">
        <f>IF(ISBLANK('Data Entry'!$ì$539), "", 'Data Entry'!$ì$539)</f>
      </c>
      <c r="FQ539">
        <f>IF(ISBLANK('Data Entry'!$í$539), "", 'Data Entry'!$í$539)</f>
      </c>
      <c r="FR539">
        <f>IF(ISBLANK('Data Entry'!$î$539), "", 'Data Entry'!$î$539)</f>
      </c>
      <c r="FS539">
        <f>IF(ISBLANK('Data Entry'!$ï$539), "", 'Data Entry'!$ï$539)</f>
      </c>
      <c r="FT539">
        <f>IF(ISBLANK('Data Entry'!$ð$539), "", 'Data Entry'!$ð$539)</f>
      </c>
      <c r="FU539">
        <f>IF(ISBLANK('Data Entry'!$ñ$539), "", 'Data Entry'!$ñ$539)</f>
      </c>
      <c r="FV539">
        <f>IF(ISBLANK('Data Entry'!$ò$539), "", 'Data Entry'!$ò$539)</f>
      </c>
      <c r="FW539">
        <f>IF(ISBLANK('Data Entry'!$ó$539), "", 'Data Entry'!$ó$539)</f>
      </c>
      <c r="FX539">
        <f>IF(ISBLANK('Data Entry'!$ô$539), "", 'Data Entry'!$ô$539)</f>
      </c>
      <c r="FY539">
        <f>IF(ISBLANK('Data Entry'!$õ$539), "", 'Data Entry'!$õ$539)</f>
      </c>
      <c r="FZ539">
        <f>IF(ISBLANK('Data Entry'!$ö$539), "", 'Data Entry'!$ö$539)</f>
      </c>
      <c r="GA539">
        <f>IF(ISBLANK('Data Entry'!$÷$539), "", 'Data Entry'!$÷$539)</f>
      </c>
      <c r="GB539">
        <f>IF(ISBLANK('Data Entry'!$ø$539), "", 'Data Entry'!$ø$539)</f>
      </c>
      <c r="GC539">
        <f>IF(ISBLANK('Data Entry'!$ù$539), "", 'Data Entry'!$ù$539)</f>
      </c>
      <c r="GD539">
        <f>IF(ISBLANK('Data Entry'!$ú$539), "", 'Data Entry'!$ú$539)</f>
      </c>
      <c r="GE539">
        <f>IF(ISBLANK('Data Entry'!$û$539), "", 'Data Entry'!$û$539)</f>
      </c>
      <c r="GF539">
        <f>IF(ISBLANK('Data Entry'!$ü$539), "", 'Data Entry'!$ü$539)</f>
      </c>
      <c r="GG539">
        <f>IF(ISBLANK('Data Entry'!$ý$539), "", 'Data Entry'!$ý$539)</f>
      </c>
      <c r="GH539">
        <f>IF(ISBLANK('Data Entry'!$þ$539), "", 'Data Entry'!$þ$539)</f>
      </c>
      <c r="GI539">
        <f>IF(ISBLANK('Data Entry'!$ÿ$539), "", 'Data Entry'!$ÿ$539)</f>
      </c>
      <c r="GJ539">
        <f>IF(ISBLANK('Data Entry'!$Ā$539), "", 'Data Entry'!$Ā$539)</f>
      </c>
      <c r="GK539">
        <f>IF(ISBLANK('Data Entry'!$ā$539), "", 'Data Entry'!$ā$539)</f>
      </c>
      <c r="GL539">
        <f>IF(ISBLANK('Data Entry'!$Ă$539), "", 'Data Entry'!$Ă$539)</f>
      </c>
      <c r="GM539">
        <f>IF(ISBLANK('Data Entry'!$ă$539), "", 'Data Entry'!$ă$539)</f>
      </c>
      <c r="GN539">
        <f>IF(ISBLANK('Data Entry'!$Ą$539), "", 'Data Entry'!$Ą$539)</f>
      </c>
      <c r="GO539">
        <f>IF(ISBLANK('Data Entry'!$ą$539), "", 'Data Entry'!$ą$539)</f>
      </c>
      <c r="GP539">
        <f>IF(ISBLANK('Data Entry'!$Ć$539), "", 'Data Entry'!$Ć$539)</f>
      </c>
      <c r="GQ539">
        <f>IF(ISBLANK('Data Entry'!$ć$539), "", 'Data Entry'!$ć$539)</f>
      </c>
      <c r="GR539">
        <f>IF(ISBLANK('Data Entry'!$Ĉ$539), "", 'Data Entry'!$Ĉ$539)</f>
      </c>
      <c r="GS539">
        <f>IF(ISBLANK('Data Entry'!$ĉ$539), "", 'Data Entry'!$ĉ$539)</f>
      </c>
      <c r="GT539">
        <f>IF(ISBLANK('Data Entry'!$Ċ$539), "", 'Data Entry'!$Ċ$539)</f>
      </c>
      <c r="GU539">
        <f>IF(ISBLANK('Data Entry'!$ċ$539), "", 'Data Entry'!$ċ$539)</f>
      </c>
      <c r="GV539">
        <f>IF(ISBLANK('Data Entry'!$Č$539), "", 'Data Entry'!$Č$539)</f>
      </c>
      <c r="GW539">
        <f>IF(ISBLANK('Data Entry'!$č$539), "", 'Data Entry'!$č$539)</f>
      </c>
      <c r="GX539">
        <f>IF(ISBLANK('Data Entry'!$Ď$539), "", 'Data Entry'!$Ď$539)</f>
      </c>
      <c r="GY539">
        <f>IF(ISBLANK('Data Entry'!$ď$539), "", 'Data Entry'!$ď$539)</f>
      </c>
      <c r="GZ539">
        <f>IF(ISBLANK('Data Entry'!$Đ$539), "", 'Data Entry'!$Đ$539)</f>
      </c>
      <c r="HA539">
        <f>IF(ISBLANK('Data Entry'!$đ$539), "", 'Data Entry'!$đ$539)</f>
      </c>
      <c r="HB539">
        <f>IF(ISBLANK('Data Entry'!$Ē$539), "", 'Data Entry'!$Ē$539)</f>
      </c>
      <c r="HC539">
        <f>IF(ISBLANK('Data Entry'!$ē$539), "", 'Data Entry'!$ē$539)</f>
      </c>
      <c r="HD539">
        <f>IF(ISBLANK('Data Entry'!$Ĕ$539), "", 'Data Entry'!$Ĕ$539)</f>
      </c>
      <c r="HE539">
        <f>IF(ISBLANK('Data Entry'!$ĕ$539), "", 'Data Entry'!$ĕ$539)</f>
      </c>
      <c r="HF539">
        <f>IF(ISBLANK('Data Entry'!$Ė$539), "", 'Data Entry'!$Ė$539)</f>
      </c>
      <c r="HG539">
        <f>IF(ISBLANK('Data Entry'!$ė$539), "", 'Data Entry'!$ė$539)</f>
      </c>
      <c r="HH539">
        <f>IF(ISBLANK('Data Entry'!$Ę$539), "", 'Data Entry'!$Ę$539)</f>
      </c>
      <c r="HI539">
        <f>IF(ISBLANK('Data Entry'!$ę$539), "", 'Data Entry'!$ę$539)</f>
      </c>
      <c r="HJ539">
        <f>IF(ISBLANK('Data Entry'!$Ě$539), "", 'Data Entry'!$Ě$539)</f>
      </c>
      <c r="HK539">
        <f>IF(ISBLANK('Data Entry'!$ě$539), "", 'Data Entry'!$ě$539)</f>
      </c>
      <c r="HL539">
        <f>IF(ISBLANK('Data Entry'!$Ĝ$539), "", 'Data Entry'!$Ĝ$539)</f>
      </c>
      <c r="HM539">
        <f>IF(ISBLANK('Data Entry'!$ĝ$539), "", 'Data Entry'!$ĝ$539)</f>
      </c>
      <c r="HN539">
        <f>IF(ISBLANK('Data Entry'!$Ğ$539), "", 'Data Entry'!$Ğ$539)</f>
      </c>
      <c r="HO539">
        <f>IF(ISBLANK('Data Entry'!$ğ$539), "", 'Data Entry'!$ğ$539)</f>
      </c>
      <c r="HP539">
        <f>IF(ISBLANK('Data Entry'!$Ġ$539), "", 'Data Entry'!$Ġ$539)</f>
      </c>
      <c r="HQ539">
        <f>IF(ISBLANK('Data Entry'!$ġ$539), "", 'Data Entry'!$ġ$539)</f>
      </c>
      <c r="HR539">
        <f>IF(ISBLANK('Data Entry'!$Ģ$539), "", 'Data Entry'!$Ģ$539)</f>
      </c>
      <c r="HS539">
        <f>IF(ISBLANK('Data Entry'!$ģ$539), "", 'Data Entry'!$ģ$539)</f>
      </c>
      <c r="HT539">
        <f>IF(ISBLANK('Data Entry'!$Ĥ$539), "", 'Data Entry'!$Ĥ$539)</f>
      </c>
      <c r="HU539">
        <f>IF(ISBLANK('Data Entry'!$ĥ$539), "", 'Data Entry'!$ĥ$539)</f>
      </c>
      <c r="HV539">
        <f>IF(ISBLANK('Data Entry'!$Ħ$539), "", 'Data Entry'!$Ħ$539)</f>
      </c>
      <c r="HW539">
        <f>IF(ISBLANK('Data Entry'!$ħ$539), "", 'Data Entry'!$ħ$539)</f>
      </c>
      <c r="HX539">
        <f>IF(ISBLANK('Data Entry'!$Ĩ$539), "", 'Data Entry'!$Ĩ$539)</f>
      </c>
      <c r="HY539">
        <f>IF(ISBLANK('Data Entry'!$ĩ$539), "", 'Data Entry'!$ĩ$539)</f>
      </c>
      <c r="HZ539">
        <f>IF(ISBLANK('Data Entry'!$Ī$539), "", 'Data Entry'!$Ī$539)</f>
      </c>
      <c r="IA539">
        <f>IF(ISBLANK('Data Entry'!$ī$539), "", 'Data Entry'!$ī$539)</f>
      </c>
      <c r="IB539">
        <f>IF(ISBLANK('Data Entry'!$Ĭ$539), "", 'Data Entry'!$Ĭ$539)</f>
      </c>
      <c r="IC539">
        <f>IF(ISBLANK('Data Entry'!$ĭ$539), "", 'Data Entry'!$ĭ$539)</f>
      </c>
      <c r="ID539">
        <f>IF(ISBLANK('Data Entry'!$Į$539), "", 'Data Entry'!$Į$539)</f>
      </c>
      <c r="IE539">
        <f>IF(ISBLANK('Data Entry'!$į$539), "", 'Data Entry'!$į$539)</f>
      </c>
      <c r="IF539">
        <f>IF(ISBLANK('Data Entry'!$İ$539), "", 'Data Entry'!$İ$539)</f>
      </c>
      <c r="IG539">
        <f>IF(ISBLANK('Data Entry'!$ı$539), "", 'Data Entry'!$ı$539)</f>
      </c>
      <c r="IH539">
        <f>IF(ISBLANK('Data Entry'!$Ĳ$539), "", 'Data Entry'!$Ĳ$539)</f>
      </c>
      <c r="II539">
        <f>IF(ISBLANK('Data Entry'!$ĳ$539), "", 'Data Entry'!$ĳ$539)</f>
      </c>
      <c r="IJ539">
        <f>IF(ISBLANK('Data Entry'!$Ĵ$539), "", 'Data Entry'!$Ĵ$539)</f>
      </c>
      <c r="IK539">
        <f>IF(ISBLANK('Data Entry'!$ĵ$539), "", 'Data Entry'!$ĵ$539)</f>
      </c>
      <c r="IL539">
        <f>IF(ISBLANK('Data Entry'!$Ķ$539), "", 'Data Entry'!$Ķ$539)</f>
      </c>
      <c r="IM539">
        <f>IF(ISBLANK('Data Entry'!$ķ$539), "", 'Data Entry'!$ķ$539)</f>
      </c>
      <c r="IN539">
        <f>IF(ISBLANK('Data Entry'!$ĸ$539), "", 'Data Entry'!$ĸ$539)</f>
      </c>
      <c r="IO539">
        <f>IF(ISBLANK('Data Entry'!$Ĺ$539), "", 'Data Entry'!$Ĺ$539)</f>
      </c>
      <c r="IP539">
        <f>IF(ISBLANK('Data Entry'!$ĺ$539), "", 'Data Entry'!$ĺ$539)</f>
      </c>
      <c r="IQ539">
        <f>IF(ISBLANK('Data Entry'!$Ļ$539), "", 'Data Entry'!$Ļ$539)</f>
      </c>
      <c r="IR539">
        <f>IF(ISBLANK('Data Entry'!$ļ$539), "", 'Data Entry'!$ļ$539)</f>
      </c>
      <c r="IS539">
        <f>IF(ISBLANK('Data Entry'!$Ľ$539), "", 'Data Entry'!$Ľ$539)</f>
      </c>
      <c r="IT539">
        <f>IF(ISBLANK('Data Entry'!$ľ$539), "", 'Data Entry'!$ľ$539)</f>
      </c>
    </row>
    <row r="540" spans="1:254" x14ac:dyDescent="0.25">
      <c r="A540">
        <f>IF(ISBLANK('Data Entry'!$A$540), "", 'Data Entry'!$A$540)</f>
      </c>
      <c r="B540">
        <f>IF(ISBLANK('Data Entry'!$B$540), "", 'Data Entry'!$B$540)</f>
      </c>
      <c r="C540">
        <f>IF(ISBLANK('Data Entry'!$C$540), "", 'Data Entry'!$C$540)</f>
      </c>
      <c r="D540">
        <f>IF(ISBLANK('Data Entry'!$D$540), "", 'Data Entry'!$D$540)</f>
      </c>
      <c r="E540">
        <f>IF(ISBLANK('Data Entry'!$E$540), "", 'Data Entry'!$E$540)</f>
      </c>
      <c r="F540">
        <f>IF(ISBLANK('Data Entry'!$F$540), "", 'Data Entry'!$F$540)</f>
      </c>
      <c r="G540">
        <f>IF(ISBLANK('Data Entry'!$G$540), "", 'Data Entry'!$G$540)</f>
      </c>
      <c r="H540">
        <f>IF(ISBLANK('Data Entry'!$H$540), "", 'Data Entry'!$H$540)</f>
      </c>
      <c r="I540">
        <f>IF(ISBLANK('Data Entry'!$I$540), "", 'Data Entry'!$I$540)</f>
      </c>
      <c r="J540">
        <f>IF(ISBLANK('Data Entry'!$J$540), "", 'Data Entry'!$J$540)</f>
      </c>
      <c r="K540">
        <f>IF(ISBLANK('Data Entry'!$K$540), "", 'Data Entry'!$K$540)</f>
      </c>
      <c r="L540">
        <f>IF(ISBLANK('Data Entry'!$L$540), "", 'Data Entry'!$L$540)</f>
      </c>
      <c r="M540">
        <f>IF(ISBLANK('Data Entry'!$M$540), "", 'Data Entry'!$M$540)</f>
      </c>
      <c r="N540">
        <f>IF(ISBLANK('Data Entry'!$N$540), "", 'Data Entry'!$N$540)</f>
      </c>
      <c r="O540">
        <f>IF(ISBLANK('Data Entry'!$O$540), "", 'Data Entry'!$O$540)</f>
      </c>
      <c r="P540">
        <f>IF(ISBLANK('Data Entry'!$P$540), "", 'Data Entry'!$P$540)</f>
      </c>
      <c r="Q540">
        <f>IF(ISBLANK('Data Entry'!$Q$540), "", 'Data Entry'!$Q$540)</f>
      </c>
      <c r="R540">
        <f>IF(ISBLANK('Data Entry'!$R$540), "", 'Data Entry'!$R$540)</f>
      </c>
      <c r="S540">
        <f>IF(ISBLANK('Data Entry'!$S$540), "", 'Data Entry'!$S$540)</f>
      </c>
      <c r="T540">
        <f>IF(ISBLANK('Data Entry'!$T$540), "", 'Data Entry'!$T$540)</f>
      </c>
      <c r="U540">
        <f>IF(ISBLANK('Data Entry'!$U$540), "", 'Data Entry'!$U$540)</f>
      </c>
      <c r="V540">
        <f>IF(ISBLANK('Data Entry'!$V$540), "", 'Data Entry'!$V$540)</f>
      </c>
      <c r="W540">
        <f>IF(ISBLANK('Data Entry'!$W$540), "", 'Data Entry'!$W$540)</f>
      </c>
      <c r="X540">
        <f>IF(ISBLANK('Data Entry'!$X$540), "", 'Data Entry'!$X$540)</f>
      </c>
      <c r="Y540">
        <f>IF(ISBLANK('Data Entry'!$Y$540), "", 'Data Entry'!$Y$540)</f>
      </c>
      <c r="Z540">
        <f>IF(ISBLANK('Data Entry'!$Z$540), "", 'Data Entry'!$Z$540)</f>
      </c>
      <c r="AA540">
        <f>IF(ISBLANK('Data Entry'!$[$540), "", 'Data Entry'!$[$540)</f>
      </c>
      <c r="AB540">
        <f>IF(ISBLANK('Data Entry'!$\$540), "", 'Data Entry'!$\$540)</f>
      </c>
      <c r="AC540">
        <f>IF(ISBLANK('Data Entry'!$]$540), "", 'Data Entry'!$]$540)</f>
      </c>
      <c r="AD540">
        <f>IF(ISBLANK('Data Entry'!$^$540), "", 'Data Entry'!$^$540)</f>
      </c>
      <c r="AE540">
        <f>IF(ISBLANK('Data Entry'!$_$540), "", 'Data Entry'!$_$540)</f>
      </c>
      <c r="AF540">
        <f>IF(ISBLANK('Data Entry'!$`$540), "", 'Data Entry'!$`$540)</f>
      </c>
      <c r="AG540">
        <f>IF(ISBLANK('Data Entry'!$a$540), "", 'Data Entry'!$a$540)</f>
      </c>
      <c r="AH540">
        <f>IF(ISBLANK('Data Entry'!$b$540), "", 'Data Entry'!$b$540)</f>
      </c>
      <c r="AI540">
        <f>IF(ISBLANK('Data Entry'!$c$540), "", 'Data Entry'!$c$540)</f>
      </c>
      <c r="AJ540">
        <f>IF(ISBLANK('Data Entry'!$d$540), "", 'Data Entry'!$d$540)</f>
      </c>
      <c r="AK540">
        <f>IF(ISBLANK('Data Entry'!$e$540), "", 'Data Entry'!$e$540)</f>
      </c>
      <c r="AL540">
        <f>IF(ISBLANK('Data Entry'!$f$540), "", 'Data Entry'!$f$540)</f>
      </c>
      <c r="AM540">
        <f>IF(ISBLANK('Data Entry'!$g$540), "", 'Data Entry'!$g$540)</f>
      </c>
      <c r="AN540">
        <f>IF(ISBLANK('Data Entry'!$h$540), "", 'Data Entry'!$h$540)</f>
      </c>
      <c r="AO540">
        <f>IF(ISBLANK('Data Entry'!$i$540), "", 'Data Entry'!$i$540)</f>
      </c>
      <c r="AP540">
        <f>IF(ISBLANK('Data Entry'!$j$540), "", 'Data Entry'!$j$540)</f>
      </c>
      <c r="AQ540">
        <f>IF(ISBLANK('Data Entry'!$k$540), "", 'Data Entry'!$k$540)</f>
      </c>
      <c r="AR540">
        <f>IF(ISBLANK('Data Entry'!$l$540), "", 'Data Entry'!$l$540)</f>
      </c>
      <c r="AS540">
        <f>IF(ISBLANK('Data Entry'!$m$540), "", 'Data Entry'!$m$540)</f>
      </c>
      <c r="AT540">
        <f>IF(ISBLANK('Data Entry'!$n$540), "", 'Data Entry'!$n$540)</f>
      </c>
      <c r="AU540">
        <f>IF(ISBLANK('Data Entry'!$o$540), "", 'Data Entry'!$o$540)</f>
      </c>
      <c r="AV540">
        <f>IF(ISBLANK('Data Entry'!$p$540), "", 'Data Entry'!$p$540)</f>
      </c>
      <c r="AW540">
        <f>IF(ISBLANK('Data Entry'!$q$540), "", 'Data Entry'!$q$540)</f>
      </c>
      <c r="AX540">
        <f>IF(ISBLANK('Data Entry'!$r$540), "", 'Data Entry'!$r$540)</f>
      </c>
      <c r="AY540">
        <f>IF(ISBLANK('Data Entry'!$s$540), "", 'Data Entry'!$s$540)</f>
      </c>
      <c r="AZ540">
        <f>IF(ISBLANK('Data Entry'!$t$540), "", 'Data Entry'!$t$540)</f>
      </c>
      <c r="BA540">
        <f>IF(ISBLANK('Data Entry'!$u$540), "", 'Data Entry'!$u$540)</f>
      </c>
      <c r="BB540">
        <f>IF(ISBLANK('Data Entry'!$v$540), "", 'Data Entry'!$v$540)</f>
      </c>
      <c r="BC540">
        <f>IF(ISBLANK('Data Entry'!$w$540), "", 'Data Entry'!$w$540)</f>
      </c>
      <c r="BD540">
        <f>IF(ISBLANK('Data Entry'!$x$540), "", 'Data Entry'!$x$540)</f>
      </c>
      <c r="BE540">
        <f>IF(ISBLANK('Data Entry'!$y$540), "", 'Data Entry'!$y$540)</f>
      </c>
      <c r="BF540">
        <f>IF(ISBLANK('Data Entry'!$z$540), "", 'Data Entry'!$z$540)</f>
      </c>
      <c r="BG540">
        <f>IF(ISBLANK('Data Entry'!${$540), "", 'Data Entry'!${$540)</f>
      </c>
      <c r="BH540">
        <f>IF(ISBLANK('Data Entry'!$|$540), "", 'Data Entry'!$|$540)</f>
      </c>
      <c r="BI540">
        <f>IF(ISBLANK('Data Entry'!$}$540), "", 'Data Entry'!$}$540)</f>
      </c>
      <c r="BJ540">
        <f>IF(ISBLANK('Data Entry'!$~$540), "", 'Data Entry'!$~$540)</f>
      </c>
      <c r="BK540">
        <f>IF(ISBLANK('Data Entry'!$$540), "", 'Data Entry'!$$540)</f>
      </c>
      <c r="BL540">
        <f>IF(ISBLANK('Data Entry'!$$540), "", 'Data Entry'!$$540)</f>
      </c>
      <c r="BM540">
        <f>IF(ISBLANK('Data Entry'!$$540), "", 'Data Entry'!$$540)</f>
      </c>
      <c r="BN540">
        <f>IF(ISBLANK('Data Entry'!$$540), "", 'Data Entry'!$$540)</f>
      </c>
      <c r="BO540">
        <f>IF(ISBLANK('Data Entry'!$$540), "", 'Data Entry'!$$540)</f>
      </c>
      <c r="BP540">
        <f>IF(ISBLANK('Data Entry'!$$540), "", 'Data Entry'!$$540)</f>
      </c>
      <c r="BQ540">
        <f>IF(ISBLANK('Data Entry'!$$540), "", 'Data Entry'!$$540)</f>
      </c>
      <c r="BR540">
        <f>IF(ISBLANK('Data Entry'!$$540), "", 'Data Entry'!$$540)</f>
      </c>
      <c r="BS540">
        <f>IF(ISBLANK('Data Entry'!$$540), "", 'Data Entry'!$$540)</f>
      </c>
      <c r="BT540">
        <f>IF(ISBLANK('Data Entry'!$$540), "", 'Data Entry'!$$540)</f>
      </c>
      <c r="BU540">
        <f>IF(ISBLANK('Data Entry'!$$540), "", 'Data Entry'!$$540)</f>
      </c>
      <c r="BV540">
        <f>IF(ISBLANK('Data Entry'!$$540), "", 'Data Entry'!$$540)</f>
      </c>
      <c r="BW540">
        <f>IF(ISBLANK('Data Entry'!$$540), "", 'Data Entry'!$$540)</f>
      </c>
      <c r="BX540">
        <f>IF(ISBLANK('Data Entry'!$$540), "", 'Data Entry'!$$540)</f>
      </c>
      <c r="BY540">
        <f>IF(ISBLANK('Data Entry'!$$540), "", 'Data Entry'!$$540)</f>
      </c>
      <c r="BZ540">
        <f>IF(ISBLANK('Data Entry'!$$540), "", 'Data Entry'!$$540)</f>
      </c>
      <c r="CA540">
        <f>IF(ISBLANK('Data Entry'!$$540), "", 'Data Entry'!$$540)</f>
      </c>
      <c r="CB540">
        <f>IF(ISBLANK('Data Entry'!$$540), "", 'Data Entry'!$$540)</f>
      </c>
      <c r="CC540">
        <f>IF(ISBLANK('Data Entry'!$$540), "", 'Data Entry'!$$540)</f>
      </c>
      <c r="CD540">
        <f>IF(ISBLANK('Data Entry'!$$540), "", 'Data Entry'!$$540)</f>
      </c>
      <c r="CE540">
        <f>IF(ISBLANK('Data Entry'!$$540), "", 'Data Entry'!$$540)</f>
      </c>
      <c r="CF540">
        <f>IF(ISBLANK('Data Entry'!$$540), "", 'Data Entry'!$$540)</f>
      </c>
      <c r="CG540">
        <f>IF(ISBLANK('Data Entry'!$$540), "", 'Data Entry'!$$540)</f>
      </c>
      <c r="CH540">
        <f>IF(ISBLANK('Data Entry'!$$540), "", 'Data Entry'!$$540)</f>
      </c>
      <c r="CI540">
        <f>IF(ISBLANK('Data Entry'!$$540), "", 'Data Entry'!$$540)</f>
      </c>
      <c r="CJ540">
        <f>IF(ISBLANK('Data Entry'!$$540), "", 'Data Entry'!$$540)</f>
      </c>
      <c r="CK540">
        <f>IF(ISBLANK('Data Entry'!$$540), "", 'Data Entry'!$$540)</f>
      </c>
      <c r="CL540">
        <f>IF(ISBLANK('Data Entry'!$$540), "", 'Data Entry'!$$540)</f>
      </c>
      <c r="CM540">
        <f>IF(ISBLANK('Data Entry'!$$540), "", 'Data Entry'!$$540)</f>
      </c>
      <c r="CN540">
        <f>IF(ISBLANK('Data Entry'!$$540), "", 'Data Entry'!$$540)</f>
      </c>
      <c r="CO540">
        <f>IF(ISBLANK('Data Entry'!$$540), "", 'Data Entry'!$$540)</f>
      </c>
      <c r="CP540">
        <f>IF(ISBLANK('Data Entry'!$$540), "", 'Data Entry'!$$540)</f>
      </c>
      <c r="CQ540">
        <f>IF(ISBLANK('Data Entry'!$$540), "", 'Data Entry'!$$540)</f>
      </c>
      <c r="CR540">
        <f>IF(ISBLANK('Data Entry'!$ $540), "", 'Data Entry'!$ $540)</f>
      </c>
      <c r="CS540">
        <f>IF(ISBLANK('Data Entry'!$¡$540), "", 'Data Entry'!$¡$540)</f>
      </c>
      <c r="CT540">
        <f>IF(ISBLANK('Data Entry'!$¢$540), "", 'Data Entry'!$¢$540)</f>
      </c>
      <c r="CU540">
        <f>IF(ISBLANK('Data Entry'!$£$540), "", 'Data Entry'!$£$540)</f>
      </c>
      <c r="CV540">
        <f>IF(ISBLANK('Data Entry'!$¤$540), "", 'Data Entry'!$¤$540)</f>
      </c>
      <c r="CW540">
        <f>IF(ISBLANK('Data Entry'!$¥$540), "", 'Data Entry'!$¥$540)</f>
      </c>
      <c r="CX540">
        <f>IF(ISBLANK('Data Entry'!$¦$540), "", 'Data Entry'!$¦$540)</f>
      </c>
      <c r="CY540">
        <f>IF(ISBLANK('Data Entry'!$§$540), "", 'Data Entry'!$§$540)</f>
      </c>
      <c r="CZ540">
        <f>IF(ISBLANK('Data Entry'!$¨$540), "", 'Data Entry'!$¨$540)</f>
      </c>
      <c r="DA540">
        <f>IF(ISBLANK('Data Entry'!$©$540), "", 'Data Entry'!$©$540)</f>
      </c>
      <c r="DB540">
        <f>IF(ISBLANK('Data Entry'!$ª$540), "", 'Data Entry'!$ª$540)</f>
      </c>
      <c r="DC540">
        <f>IF(ISBLANK('Data Entry'!$«$540), "", 'Data Entry'!$«$540)</f>
      </c>
      <c r="DD540">
        <f>IF(ISBLANK('Data Entry'!$¬$540), "", 'Data Entry'!$¬$540)</f>
      </c>
      <c r="DE540">
        <f>IF(ISBLANK('Data Entry'!$­$540), "", 'Data Entry'!$­$540)</f>
      </c>
      <c r="DF540">
        <f>IF(ISBLANK('Data Entry'!$®$540), "", 'Data Entry'!$®$540)</f>
      </c>
      <c r="DG540">
        <f>IF(ISBLANK('Data Entry'!$¯$540), "", 'Data Entry'!$¯$540)</f>
      </c>
      <c r="DH540">
        <f>IF(ISBLANK('Data Entry'!$°$540), "", 'Data Entry'!$°$540)</f>
      </c>
      <c r="DI540">
        <f>IF(ISBLANK('Data Entry'!$±$540), "", 'Data Entry'!$±$540)</f>
      </c>
      <c r="DJ540">
        <f>IF(ISBLANK('Data Entry'!$²$540), "", 'Data Entry'!$²$540)</f>
      </c>
      <c r="DK540">
        <f>IF(ISBLANK('Data Entry'!$³$540), "", 'Data Entry'!$³$540)</f>
      </c>
      <c r="DL540">
        <f>IF(ISBLANK('Data Entry'!$´$540), "", 'Data Entry'!$´$540)</f>
      </c>
      <c r="DM540">
        <f>IF(ISBLANK('Data Entry'!$µ$540), "", 'Data Entry'!$µ$540)</f>
      </c>
      <c r="DN540">
        <f>IF(ISBLANK('Data Entry'!$¶$540), "", 'Data Entry'!$¶$540)</f>
      </c>
      <c r="DO540">
        <f>IF(ISBLANK('Data Entry'!$·$540), "", 'Data Entry'!$·$540)</f>
      </c>
      <c r="DP540">
        <f>IF(ISBLANK('Data Entry'!$¸$540), "", 'Data Entry'!$¸$540)</f>
      </c>
      <c r="DQ540">
        <f>IF(ISBLANK('Data Entry'!$¹$540), "", 'Data Entry'!$¹$540)</f>
      </c>
      <c r="DR540">
        <f>IF(ISBLANK('Data Entry'!$º$540), "", 'Data Entry'!$º$540)</f>
      </c>
      <c r="DS540">
        <f>IF(ISBLANK('Data Entry'!$»$540), "", 'Data Entry'!$»$540)</f>
      </c>
      <c r="DT540">
        <f>IF(ISBLANK('Data Entry'!$¼$540), "", 'Data Entry'!$¼$540)</f>
      </c>
      <c r="DU540">
        <f>IF(ISBLANK('Data Entry'!$½$540), "", 'Data Entry'!$½$540)</f>
      </c>
      <c r="DV540">
        <f>IF(ISBLANK('Data Entry'!$¾$540), "", 'Data Entry'!$¾$540)</f>
      </c>
      <c r="DW540">
        <f>IF(ISBLANK('Data Entry'!$¿$540), "", 'Data Entry'!$¿$540)</f>
      </c>
      <c r="DX540">
        <f>IF(ISBLANK('Data Entry'!$À$540), "", 'Data Entry'!$À$540)</f>
      </c>
      <c r="DY540">
        <f>IF(ISBLANK('Data Entry'!$Á$540), "", 'Data Entry'!$Á$540)</f>
      </c>
      <c r="DZ540">
        <f>IF(ISBLANK('Data Entry'!$Â$540), "", 'Data Entry'!$Â$540)</f>
      </c>
      <c r="EA540">
        <f>IF(ISBLANK('Data Entry'!$Ã$540), "", 'Data Entry'!$Ã$540)</f>
      </c>
      <c r="EB540">
        <f>IF(ISBLANK('Data Entry'!$Ä$540), "", 'Data Entry'!$Ä$540)</f>
      </c>
      <c r="EC540">
        <f>IF(ISBLANK('Data Entry'!$Å$540), "", 'Data Entry'!$Å$540)</f>
      </c>
      <c r="ED540">
        <f>IF(ISBLANK('Data Entry'!$Æ$540), "", 'Data Entry'!$Æ$540)</f>
      </c>
      <c r="EE540">
        <f>IF(ISBLANK('Data Entry'!$Ç$540), "", 'Data Entry'!$Ç$540)</f>
      </c>
      <c r="EF540">
        <f>IF(ISBLANK('Data Entry'!$È$540), "", 'Data Entry'!$È$540)</f>
      </c>
      <c r="EG540">
        <f>IF(ISBLANK('Data Entry'!$É$540), "", 'Data Entry'!$É$540)</f>
      </c>
      <c r="EH540">
        <f>IF(ISBLANK('Data Entry'!$Ê$540), "", 'Data Entry'!$Ê$540)</f>
      </c>
      <c r="EI540">
        <f>IF(ISBLANK('Data Entry'!$Ë$540), "", 'Data Entry'!$Ë$540)</f>
      </c>
      <c r="EJ540">
        <f>IF(ISBLANK('Data Entry'!$Ì$540), "", 'Data Entry'!$Ì$540)</f>
      </c>
      <c r="EK540">
        <f>IF(ISBLANK('Data Entry'!$Í$540), "", 'Data Entry'!$Í$540)</f>
      </c>
      <c r="EL540">
        <f>IF(ISBLANK('Data Entry'!$Î$540), "", 'Data Entry'!$Î$540)</f>
      </c>
      <c r="EM540">
        <f>IF(ISBLANK('Data Entry'!$Ï$540), "", 'Data Entry'!$Ï$540)</f>
      </c>
      <c r="EN540">
        <f>IF(ISBLANK('Data Entry'!$Ð$540), "", 'Data Entry'!$Ð$540)</f>
      </c>
      <c r="EO540">
        <f>IF(ISBLANK('Data Entry'!$Ñ$540), "", 'Data Entry'!$Ñ$540)</f>
      </c>
      <c r="EP540">
        <f>IF(ISBLANK('Data Entry'!$Ò$540), "", 'Data Entry'!$Ò$540)</f>
      </c>
      <c r="EQ540">
        <f>IF(ISBLANK('Data Entry'!$Ó$540), "", 'Data Entry'!$Ó$540)</f>
      </c>
      <c r="ER540">
        <f>IF(ISBLANK('Data Entry'!$Ô$540), "", 'Data Entry'!$Ô$540)</f>
      </c>
      <c r="ES540">
        <f>IF(ISBLANK('Data Entry'!$Õ$540), "", 'Data Entry'!$Õ$540)</f>
      </c>
      <c r="ET540">
        <f>IF(ISBLANK('Data Entry'!$Ö$540), "", 'Data Entry'!$Ö$540)</f>
      </c>
      <c r="EU540">
        <f>IF(ISBLANK('Data Entry'!$×$540), "", 'Data Entry'!$×$540)</f>
      </c>
      <c r="EV540">
        <f>IF(ISBLANK('Data Entry'!$Ø$540), "", 'Data Entry'!$Ø$540)</f>
      </c>
      <c r="EW540">
        <f>IF(ISBLANK('Data Entry'!$Ù$540), "", 'Data Entry'!$Ù$540)</f>
      </c>
      <c r="EX540">
        <f>IF(ISBLANK('Data Entry'!$Ú$540), "", 'Data Entry'!$Ú$540)</f>
      </c>
      <c r="EY540">
        <f>IF(ISBLANK('Data Entry'!$Û$540), "", 'Data Entry'!$Û$540)</f>
      </c>
      <c r="EZ540">
        <f>IF(ISBLANK('Data Entry'!$Ü$540), "", 'Data Entry'!$Ü$540)</f>
      </c>
      <c r="FA540">
        <f>IF(ISBLANK('Data Entry'!$Ý$540), "", 'Data Entry'!$Ý$540)</f>
      </c>
      <c r="FB540">
        <f>IF(ISBLANK('Data Entry'!$Þ$540), "", 'Data Entry'!$Þ$540)</f>
      </c>
      <c r="FC540">
        <f>IF(ISBLANK('Data Entry'!$ß$540), "", 'Data Entry'!$ß$540)</f>
      </c>
      <c r="FD540">
        <f>IF(ISBLANK('Data Entry'!$à$540), "", 'Data Entry'!$à$540)</f>
      </c>
      <c r="FE540">
        <f>IF(ISBLANK('Data Entry'!$á$540), "", 'Data Entry'!$á$540)</f>
      </c>
      <c r="FF540">
        <f>IF(ISBLANK('Data Entry'!$â$540), "", 'Data Entry'!$â$540)</f>
      </c>
      <c r="FG540">
        <f>IF(ISBLANK('Data Entry'!$ã$540), "", 'Data Entry'!$ã$540)</f>
      </c>
      <c r="FH540">
        <f>IF(ISBLANK('Data Entry'!$ä$540), "", 'Data Entry'!$ä$540)</f>
      </c>
      <c r="FI540">
        <f>IF(ISBLANK('Data Entry'!$å$540), "", 'Data Entry'!$å$540)</f>
      </c>
      <c r="FJ540">
        <f>IF(ISBLANK('Data Entry'!$æ$540), "", 'Data Entry'!$æ$540)</f>
      </c>
      <c r="FK540">
        <f>IF(ISBLANK('Data Entry'!$ç$540), "", 'Data Entry'!$ç$540)</f>
      </c>
      <c r="FL540">
        <f>IF(ISBLANK('Data Entry'!$è$540), "", 'Data Entry'!$è$540)</f>
      </c>
      <c r="FM540">
        <f>IF(ISBLANK('Data Entry'!$é$540), "", 'Data Entry'!$é$540)</f>
      </c>
      <c r="FN540">
        <f>IF(ISBLANK('Data Entry'!$ê$540), "", 'Data Entry'!$ê$540)</f>
      </c>
      <c r="FO540">
        <f>IF(ISBLANK('Data Entry'!$ë$540), "", 'Data Entry'!$ë$540)</f>
      </c>
      <c r="FP540">
        <f>IF(ISBLANK('Data Entry'!$ì$540), "", 'Data Entry'!$ì$540)</f>
      </c>
      <c r="FQ540">
        <f>IF(ISBLANK('Data Entry'!$í$540), "", 'Data Entry'!$í$540)</f>
      </c>
      <c r="FR540">
        <f>IF(ISBLANK('Data Entry'!$î$540), "", 'Data Entry'!$î$540)</f>
      </c>
      <c r="FS540">
        <f>IF(ISBLANK('Data Entry'!$ï$540), "", 'Data Entry'!$ï$540)</f>
      </c>
      <c r="FT540">
        <f>IF(ISBLANK('Data Entry'!$ð$540), "", 'Data Entry'!$ð$540)</f>
      </c>
      <c r="FU540">
        <f>IF(ISBLANK('Data Entry'!$ñ$540), "", 'Data Entry'!$ñ$540)</f>
      </c>
      <c r="FV540">
        <f>IF(ISBLANK('Data Entry'!$ò$540), "", 'Data Entry'!$ò$540)</f>
      </c>
      <c r="FW540">
        <f>IF(ISBLANK('Data Entry'!$ó$540), "", 'Data Entry'!$ó$540)</f>
      </c>
      <c r="FX540">
        <f>IF(ISBLANK('Data Entry'!$ô$540), "", 'Data Entry'!$ô$540)</f>
      </c>
      <c r="FY540">
        <f>IF(ISBLANK('Data Entry'!$õ$540), "", 'Data Entry'!$õ$540)</f>
      </c>
      <c r="FZ540">
        <f>IF(ISBLANK('Data Entry'!$ö$540), "", 'Data Entry'!$ö$540)</f>
      </c>
      <c r="GA540">
        <f>IF(ISBLANK('Data Entry'!$÷$540), "", 'Data Entry'!$÷$540)</f>
      </c>
      <c r="GB540">
        <f>IF(ISBLANK('Data Entry'!$ø$540), "", 'Data Entry'!$ø$540)</f>
      </c>
      <c r="GC540">
        <f>IF(ISBLANK('Data Entry'!$ù$540), "", 'Data Entry'!$ù$540)</f>
      </c>
      <c r="GD540">
        <f>IF(ISBLANK('Data Entry'!$ú$540), "", 'Data Entry'!$ú$540)</f>
      </c>
      <c r="GE540">
        <f>IF(ISBLANK('Data Entry'!$û$540), "", 'Data Entry'!$û$540)</f>
      </c>
      <c r="GF540">
        <f>IF(ISBLANK('Data Entry'!$ü$540), "", 'Data Entry'!$ü$540)</f>
      </c>
      <c r="GG540">
        <f>IF(ISBLANK('Data Entry'!$ý$540), "", 'Data Entry'!$ý$540)</f>
      </c>
      <c r="GH540">
        <f>IF(ISBLANK('Data Entry'!$þ$540), "", 'Data Entry'!$þ$540)</f>
      </c>
      <c r="GI540">
        <f>IF(ISBLANK('Data Entry'!$ÿ$540), "", 'Data Entry'!$ÿ$540)</f>
      </c>
      <c r="GJ540">
        <f>IF(ISBLANK('Data Entry'!$Ā$540), "", 'Data Entry'!$Ā$540)</f>
      </c>
      <c r="GK540">
        <f>IF(ISBLANK('Data Entry'!$ā$540), "", 'Data Entry'!$ā$540)</f>
      </c>
      <c r="GL540">
        <f>IF(ISBLANK('Data Entry'!$Ă$540), "", 'Data Entry'!$Ă$540)</f>
      </c>
      <c r="GM540">
        <f>IF(ISBLANK('Data Entry'!$ă$540), "", 'Data Entry'!$ă$540)</f>
      </c>
      <c r="GN540">
        <f>IF(ISBLANK('Data Entry'!$Ą$540), "", 'Data Entry'!$Ą$540)</f>
      </c>
      <c r="GO540">
        <f>IF(ISBLANK('Data Entry'!$ą$540), "", 'Data Entry'!$ą$540)</f>
      </c>
      <c r="GP540">
        <f>IF(ISBLANK('Data Entry'!$Ć$540), "", 'Data Entry'!$Ć$540)</f>
      </c>
      <c r="GQ540">
        <f>IF(ISBLANK('Data Entry'!$ć$540), "", 'Data Entry'!$ć$540)</f>
      </c>
      <c r="GR540">
        <f>IF(ISBLANK('Data Entry'!$Ĉ$540), "", 'Data Entry'!$Ĉ$540)</f>
      </c>
      <c r="GS540">
        <f>IF(ISBLANK('Data Entry'!$ĉ$540), "", 'Data Entry'!$ĉ$540)</f>
      </c>
      <c r="GT540">
        <f>IF(ISBLANK('Data Entry'!$Ċ$540), "", 'Data Entry'!$Ċ$540)</f>
      </c>
      <c r="GU540">
        <f>IF(ISBLANK('Data Entry'!$ċ$540), "", 'Data Entry'!$ċ$540)</f>
      </c>
      <c r="GV540">
        <f>IF(ISBLANK('Data Entry'!$Č$540), "", 'Data Entry'!$Č$540)</f>
      </c>
      <c r="GW540">
        <f>IF(ISBLANK('Data Entry'!$č$540), "", 'Data Entry'!$č$540)</f>
      </c>
      <c r="GX540">
        <f>IF(ISBLANK('Data Entry'!$Ď$540), "", 'Data Entry'!$Ď$540)</f>
      </c>
      <c r="GY540">
        <f>IF(ISBLANK('Data Entry'!$ď$540), "", 'Data Entry'!$ď$540)</f>
      </c>
      <c r="GZ540">
        <f>IF(ISBLANK('Data Entry'!$Đ$540), "", 'Data Entry'!$Đ$540)</f>
      </c>
      <c r="HA540">
        <f>IF(ISBLANK('Data Entry'!$đ$540), "", 'Data Entry'!$đ$540)</f>
      </c>
      <c r="HB540">
        <f>IF(ISBLANK('Data Entry'!$Ē$540), "", 'Data Entry'!$Ē$540)</f>
      </c>
      <c r="HC540">
        <f>IF(ISBLANK('Data Entry'!$ē$540), "", 'Data Entry'!$ē$540)</f>
      </c>
      <c r="HD540">
        <f>IF(ISBLANK('Data Entry'!$Ĕ$540), "", 'Data Entry'!$Ĕ$540)</f>
      </c>
      <c r="HE540">
        <f>IF(ISBLANK('Data Entry'!$ĕ$540), "", 'Data Entry'!$ĕ$540)</f>
      </c>
      <c r="HF540">
        <f>IF(ISBLANK('Data Entry'!$Ė$540), "", 'Data Entry'!$Ė$540)</f>
      </c>
      <c r="HG540">
        <f>IF(ISBLANK('Data Entry'!$ė$540), "", 'Data Entry'!$ė$540)</f>
      </c>
      <c r="HH540">
        <f>IF(ISBLANK('Data Entry'!$Ę$540), "", 'Data Entry'!$Ę$540)</f>
      </c>
      <c r="HI540">
        <f>IF(ISBLANK('Data Entry'!$ę$540), "", 'Data Entry'!$ę$540)</f>
      </c>
      <c r="HJ540">
        <f>IF(ISBLANK('Data Entry'!$Ě$540), "", 'Data Entry'!$Ě$540)</f>
      </c>
      <c r="HK540">
        <f>IF(ISBLANK('Data Entry'!$ě$540), "", 'Data Entry'!$ě$540)</f>
      </c>
      <c r="HL540">
        <f>IF(ISBLANK('Data Entry'!$Ĝ$540), "", 'Data Entry'!$Ĝ$540)</f>
      </c>
      <c r="HM540">
        <f>IF(ISBLANK('Data Entry'!$ĝ$540), "", 'Data Entry'!$ĝ$540)</f>
      </c>
      <c r="HN540">
        <f>IF(ISBLANK('Data Entry'!$Ğ$540), "", 'Data Entry'!$Ğ$540)</f>
      </c>
      <c r="HO540">
        <f>IF(ISBLANK('Data Entry'!$ğ$540), "", 'Data Entry'!$ğ$540)</f>
      </c>
      <c r="HP540">
        <f>IF(ISBLANK('Data Entry'!$Ġ$540), "", 'Data Entry'!$Ġ$540)</f>
      </c>
      <c r="HQ540">
        <f>IF(ISBLANK('Data Entry'!$ġ$540), "", 'Data Entry'!$ġ$540)</f>
      </c>
      <c r="HR540">
        <f>IF(ISBLANK('Data Entry'!$Ģ$540), "", 'Data Entry'!$Ģ$540)</f>
      </c>
      <c r="HS540">
        <f>IF(ISBLANK('Data Entry'!$ģ$540), "", 'Data Entry'!$ģ$540)</f>
      </c>
      <c r="HT540">
        <f>IF(ISBLANK('Data Entry'!$Ĥ$540), "", 'Data Entry'!$Ĥ$540)</f>
      </c>
      <c r="HU540">
        <f>IF(ISBLANK('Data Entry'!$ĥ$540), "", 'Data Entry'!$ĥ$540)</f>
      </c>
      <c r="HV540">
        <f>IF(ISBLANK('Data Entry'!$Ħ$540), "", 'Data Entry'!$Ħ$540)</f>
      </c>
      <c r="HW540">
        <f>IF(ISBLANK('Data Entry'!$ħ$540), "", 'Data Entry'!$ħ$540)</f>
      </c>
      <c r="HX540">
        <f>IF(ISBLANK('Data Entry'!$Ĩ$540), "", 'Data Entry'!$Ĩ$540)</f>
      </c>
      <c r="HY540">
        <f>IF(ISBLANK('Data Entry'!$ĩ$540), "", 'Data Entry'!$ĩ$540)</f>
      </c>
      <c r="HZ540">
        <f>IF(ISBLANK('Data Entry'!$Ī$540), "", 'Data Entry'!$Ī$540)</f>
      </c>
      <c r="IA540">
        <f>IF(ISBLANK('Data Entry'!$ī$540), "", 'Data Entry'!$ī$540)</f>
      </c>
      <c r="IB540">
        <f>IF(ISBLANK('Data Entry'!$Ĭ$540), "", 'Data Entry'!$Ĭ$540)</f>
      </c>
      <c r="IC540">
        <f>IF(ISBLANK('Data Entry'!$ĭ$540), "", 'Data Entry'!$ĭ$540)</f>
      </c>
      <c r="ID540">
        <f>IF(ISBLANK('Data Entry'!$Į$540), "", 'Data Entry'!$Į$540)</f>
      </c>
      <c r="IE540">
        <f>IF(ISBLANK('Data Entry'!$į$540), "", 'Data Entry'!$į$540)</f>
      </c>
      <c r="IF540">
        <f>IF(ISBLANK('Data Entry'!$İ$540), "", 'Data Entry'!$İ$540)</f>
      </c>
      <c r="IG540">
        <f>IF(ISBLANK('Data Entry'!$ı$540), "", 'Data Entry'!$ı$540)</f>
      </c>
      <c r="IH540">
        <f>IF(ISBLANK('Data Entry'!$Ĳ$540), "", 'Data Entry'!$Ĳ$540)</f>
      </c>
      <c r="II540">
        <f>IF(ISBLANK('Data Entry'!$ĳ$540), "", 'Data Entry'!$ĳ$540)</f>
      </c>
      <c r="IJ540">
        <f>IF(ISBLANK('Data Entry'!$Ĵ$540), "", 'Data Entry'!$Ĵ$540)</f>
      </c>
      <c r="IK540">
        <f>IF(ISBLANK('Data Entry'!$ĵ$540), "", 'Data Entry'!$ĵ$540)</f>
      </c>
      <c r="IL540">
        <f>IF(ISBLANK('Data Entry'!$Ķ$540), "", 'Data Entry'!$Ķ$540)</f>
      </c>
      <c r="IM540">
        <f>IF(ISBLANK('Data Entry'!$ķ$540), "", 'Data Entry'!$ķ$540)</f>
      </c>
      <c r="IN540">
        <f>IF(ISBLANK('Data Entry'!$ĸ$540), "", 'Data Entry'!$ĸ$540)</f>
      </c>
      <c r="IO540">
        <f>IF(ISBLANK('Data Entry'!$Ĺ$540), "", 'Data Entry'!$Ĺ$540)</f>
      </c>
      <c r="IP540">
        <f>IF(ISBLANK('Data Entry'!$ĺ$540), "", 'Data Entry'!$ĺ$540)</f>
      </c>
      <c r="IQ540">
        <f>IF(ISBLANK('Data Entry'!$Ļ$540), "", 'Data Entry'!$Ļ$540)</f>
      </c>
      <c r="IR540">
        <f>IF(ISBLANK('Data Entry'!$ļ$540), "", 'Data Entry'!$ļ$540)</f>
      </c>
      <c r="IS540">
        <f>IF(ISBLANK('Data Entry'!$Ľ$540), "", 'Data Entry'!$Ľ$540)</f>
      </c>
      <c r="IT540">
        <f>IF(ISBLANK('Data Entry'!$ľ$540), "", 'Data Entry'!$ľ$540)</f>
      </c>
    </row>
    <row r="541" spans="1:254" x14ac:dyDescent="0.25">
      <c r="A541">
        <f>IF(ISBLANK('Data Entry'!$A$541), "", 'Data Entry'!$A$541)</f>
      </c>
      <c r="B541">
        <f>IF(ISBLANK('Data Entry'!$B$541), "", 'Data Entry'!$B$541)</f>
      </c>
      <c r="C541">
        <f>IF(ISBLANK('Data Entry'!$C$541), "", 'Data Entry'!$C$541)</f>
      </c>
      <c r="D541">
        <f>IF(ISBLANK('Data Entry'!$D$541), "", 'Data Entry'!$D$541)</f>
      </c>
      <c r="E541">
        <f>IF(ISBLANK('Data Entry'!$E$541), "", 'Data Entry'!$E$541)</f>
      </c>
      <c r="F541">
        <f>IF(ISBLANK('Data Entry'!$F$541), "", 'Data Entry'!$F$541)</f>
      </c>
      <c r="G541">
        <f>IF(ISBLANK('Data Entry'!$G$541), "", 'Data Entry'!$G$541)</f>
      </c>
      <c r="H541">
        <f>IF(ISBLANK('Data Entry'!$H$541), "", 'Data Entry'!$H$541)</f>
      </c>
      <c r="I541">
        <f>IF(ISBLANK('Data Entry'!$I$541), "", 'Data Entry'!$I$541)</f>
      </c>
      <c r="J541">
        <f>IF(ISBLANK('Data Entry'!$J$541), "", 'Data Entry'!$J$541)</f>
      </c>
      <c r="K541">
        <f>IF(ISBLANK('Data Entry'!$K$541), "", 'Data Entry'!$K$541)</f>
      </c>
      <c r="L541">
        <f>IF(ISBLANK('Data Entry'!$L$541), "", 'Data Entry'!$L$541)</f>
      </c>
      <c r="M541">
        <f>IF(ISBLANK('Data Entry'!$M$541), "", 'Data Entry'!$M$541)</f>
      </c>
      <c r="N541">
        <f>IF(ISBLANK('Data Entry'!$N$541), "", 'Data Entry'!$N$541)</f>
      </c>
      <c r="O541">
        <f>IF(ISBLANK('Data Entry'!$O$541), "", 'Data Entry'!$O$541)</f>
      </c>
      <c r="P541">
        <f>IF(ISBLANK('Data Entry'!$P$541), "", 'Data Entry'!$P$541)</f>
      </c>
      <c r="Q541">
        <f>IF(ISBLANK('Data Entry'!$Q$541), "", 'Data Entry'!$Q$541)</f>
      </c>
      <c r="R541">
        <f>IF(ISBLANK('Data Entry'!$R$541), "", 'Data Entry'!$R$541)</f>
      </c>
      <c r="S541">
        <f>IF(ISBLANK('Data Entry'!$S$541), "", 'Data Entry'!$S$541)</f>
      </c>
      <c r="T541">
        <f>IF(ISBLANK('Data Entry'!$T$541), "", 'Data Entry'!$T$541)</f>
      </c>
      <c r="U541">
        <f>IF(ISBLANK('Data Entry'!$U$541), "", 'Data Entry'!$U$541)</f>
      </c>
      <c r="V541">
        <f>IF(ISBLANK('Data Entry'!$V$541), "", 'Data Entry'!$V$541)</f>
      </c>
      <c r="W541">
        <f>IF(ISBLANK('Data Entry'!$W$541), "", 'Data Entry'!$W$541)</f>
      </c>
      <c r="X541">
        <f>IF(ISBLANK('Data Entry'!$X$541), "", 'Data Entry'!$X$541)</f>
      </c>
      <c r="Y541">
        <f>IF(ISBLANK('Data Entry'!$Y$541), "", 'Data Entry'!$Y$541)</f>
      </c>
      <c r="Z541">
        <f>IF(ISBLANK('Data Entry'!$Z$541), "", 'Data Entry'!$Z$541)</f>
      </c>
      <c r="AA541">
        <f>IF(ISBLANK('Data Entry'!$[$541), "", 'Data Entry'!$[$541)</f>
      </c>
      <c r="AB541">
        <f>IF(ISBLANK('Data Entry'!$\$541), "", 'Data Entry'!$\$541)</f>
      </c>
      <c r="AC541">
        <f>IF(ISBLANK('Data Entry'!$]$541), "", 'Data Entry'!$]$541)</f>
      </c>
      <c r="AD541">
        <f>IF(ISBLANK('Data Entry'!$^$541), "", 'Data Entry'!$^$541)</f>
      </c>
      <c r="AE541">
        <f>IF(ISBLANK('Data Entry'!$_$541), "", 'Data Entry'!$_$541)</f>
      </c>
      <c r="AF541">
        <f>IF(ISBLANK('Data Entry'!$`$541), "", 'Data Entry'!$`$541)</f>
      </c>
      <c r="AG541">
        <f>IF(ISBLANK('Data Entry'!$a$541), "", 'Data Entry'!$a$541)</f>
      </c>
      <c r="AH541">
        <f>IF(ISBLANK('Data Entry'!$b$541), "", 'Data Entry'!$b$541)</f>
      </c>
      <c r="AI541">
        <f>IF(ISBLANK('Data Entry'!$c$541), "", 'Data Entry'!$c$541)</f>
      </c>
      <c r="AJ541">
        <f>IF(ISBLANK('Data Entry'!$d$541), "", 'Data Entry'!$d$541)</f>
      </c>
      <c r="AK541">
        <f>IF(ISBLANK('Data Entry'!$e$541), "", 'Data Entry'!$e$541)</f>
      </c>
      <c r="AL541">
        <f>IF(ISBLANK('Data Entry'!$f$541), "", 'Data Entry'!$f$541)</f>
      </c>
      <c r="AM541">
        <f>IF(ISBLANK('Data Entry'!$g$541), "", 'Data Entry'!$g$541)</f>
      </c>
      <c r="AN541">
        <f>IF(ISBLANK('Data Entry'!$h$541), "", 'Data Entry'!$h$541)</f>
      </c>
      <c r="AO541">
        <f>IF(ISBLANK('Data Entry'!$i$541), "", 'Data Entry'!$i$541)</f>
      </c>
      <c r="AP541">
        <f>IF(ISBLANK('Data Entry'!$j$541), "", 'Data Entry'!$j$541)</f>
      </c>
      <c r="AQ541">
        <f>IF(ISBLANK('Data Entry'!$k$541), "", 'Data Entry'!$k$541)</f>
      </c>
      <c r="AR541">
        <f>IF(ISBLANK('Data Entry'!$l$541), "", 'Data Entry'!$l$541)</f>
      </c>
      <c r="AS541">
        <f>IF(ISBLANK('Data Entry'!$m$541), "", 'Data Entry'!$m$541)</f>
      </c>
      <c r="AT541">
        <f>IF(ISBLANK('Data Entry'!$n$541), "", 'Data Entry'!$n$541)</f>
      </c>
      <c r="AU541">
        <f>IF(ISBLANK('Data Entry'!$o$541), "", 'Data Entry'!$o$541)</f>
      </c>
      <c r="AV541">
        <f>IF(ISBLANK('Data Entry'!$p$541), "", 'Data Entry'!$p$541)</f>
      </c>
      <c r="AW541">
        <f>IF(ISBLANK('Data Entry'!$q$541), "", 'Data Entry'!$q$541)</f>
      </c>
      <c r="AX541">
        <f>IF(ISBLANK('Data Entry'!$r$541), "", 'Data Entry'!$r$541)</f>
      </c>
      <c r="AY541">
        <f>IF(ISBLANK('Data Entry'!$s$541), "", 'Data Entry'!$s$541)</f>
      </c>
      <c r="AZ541">
        <f>IF(ISBLANK('Data Entry'!$t$541), "", 'Data Entry'!$t$541)</f>
      </c>
      <c r="BA541">
        <f>IF(ISBLANK('Data Entry'!$u$541), "", 'Data Entry'!$u$541)</f>
      </c>
      <c r="BB541">
        <f>IF(ISBLANK('Data Entry'!$v$541), "", 'Data Entry'!$v$541)</f>
      </c>
      <c r="BC541">
        <f>IF(ISBLANK('Data Entry'!$w$541), "", 'Data Entry'!$w$541)</f>
      </c>
      <c r="BD541">
        <f>IF(ISBLANK('Data Entry'!$x$541), "", 'Data Entry'!$x$541)</f>
      </c>
      <c r="BE541">
        <f>IF(ISBLANK('Data Entry'!$y$541), "", 'Data Entry'!$y$541)</f>
      </c>
      <c r="BF541">
        <f>IF(ISBLANK('Data Entry'!$z$541), "", 'Data Entry'!$z$541)</f>
      </c>
      <c r="BG541">
        <f>IF(ISBLANK('Data Entry'!${$541), "", 'Data Entry'!${$541)</f>
      </c>
      <c r="BH541">
        <f>IF(ISBLANK('Data Entry'!$|$541), "", 'Data Entry'!$|$541)</f>
      </c>
      <c r="BI541">
        <f>IF(ISBLANK('Data Entry'!$}$541), "", 'Data Entry'!$}$541)</f>
      </c>
      <c r="BJ541">
        <f>IF(ISBLANK('Data Entry'!$~$541), "", 'Data Entry'!$~$541)</f>
      </c>
      <c r="BK541">
        <f>IF(ISBLANK('Data Entry'!$$541), "", 'Data Entry'!$$541)</f>
      </c>
      <c r="BL541">
        <f>IF(ISBLANK('Data Entry'!$$541), "", 'Data Entry'!$$541)</f>
      </c>
      <c r="BM541">
        <f>IF(ISBLANK('Data Entry'!$$541), "", 'Data Entry'!$$541)</f>
      </c>
      <c r="BN541">
        <f>IF(ISBLANK('Data Entry'!$$541), "", 'Data Entry'!$$541)</f>
      </c>
      <c r="BO541">
        <f>IF(ISBLANK('Data Entry'!$$541), "", 'Data Entry'!$$541)</f>
      </c>
      <c r="BP541">
        <f>IF(ISBLANK('Data Entry'!$$541), "", 'Data Entry'!$$541)</f>
      </c>
      <c r="BQ541">
        <f>IF(ISBLANK('Data Entry'!$$541), "", 'Data Entry'!$$541)</f>
      </c>
      <c r="BR541">
        <f>IF(ISBLANK('Data Entry'!$$541), "", 'Data Entry'!$$541)</f>
      </c>
      <c r="BS541">
        <f>IF(ISBLANK('Data Entry'!$$541), "", 'Data Entry'!$$541)</f>
      </c>
      <c r="BT541">
        <f>IF(ISBLANK('Data Entry'!$$541), "", 'Data Entry'!$$541)</f>
      </c>
      <c r="BU541">
        <f>IF(ISBLANK('Data Entry'!$$541), "", 'Data Entry'!$$541)</f>
      </c>
      <c r="BV541">
        <f>IF(ISBLANK('Data Entry'!$$541), "", 'Data Entry'!$$541)</f>
      </c>
      <c r="BW541">
        <f>IF(ISBLANK('Data Entry'!$$541), "", 'Data Entry'!$$541)</f>
      </c>
      <c r="BX541">
        <f>IF(ISBLANK('Data Entry'!$$541), "", 'Data Entry'!$$541)</f>
      </c>
      <c r="BY541">
        <f>IF(ISBLANK('Data Entry'!$$541), "", 'Data Entry'!$$541)</f>
      </c>
      <c r="BZ541">
        <f>IF(ISBLANK('Data Entry'!$$541), "", 'Data Entry'!$$541)</f>
      </c>
      <c r="CA541">
        <f>IF(ISBLANK('Data Entry'!$$541), "", 'Data Entry'!$$541)</f>
      </c>
      <c r="CB541">
        <f>IF(ISBLANK('Data Entry'!$$541), "", 'Data Entry'!$$541)</f>
      </c>
      <c r="CC541">
        <f>IF(ISBLANK('Data Entry'!$$541), "", 'Data Entry'!$$541)</f>
      </c>
      <c r="CD541">
        <f>IF(ISBLANK('Data Entry'!$$541), "", 'Data Entry'!$$541)</f>
      </c>
      <c r="CE541">
        <f>IF(ISBLANK('Data Entry'!$$541), "", 'Data Entry'!$$541)</f>
      </c>
      <c r="CF541">
        <f>IF(ISBLANK('Data Entry'!$$541), "", 'Data Entry'!$$541)</f>
      </c>
      <c r="CG541">
        <f>IF(ISBLANK('Data Entry'!$$541), "", 'Data Entry'!$$541)</f>
      </c>
      <c r="CH541">
        <f>IF(ISBLANK('Data Entry'!$$541), "", 'Data Entry'!$$541)</f>
      </c>
      <c r="CI541">
        <f>IF(ISBLANK('Data Entry'!$$541), "", 'Data Entry'!$$541)</f>
      </c>
      <c r="CJ541">
        <f>IF(ISBLANK('Data Entry'!$$541), "", 'Data Entry'!$$541)</f>
      </c>
      <c r="CK541">
        <f>IF(ISBLANK('Data Entry'!$$541), "", 'Data Entry'!$$541)</f>
      </c>
      <c r="CL541">
        <f>IF(ISBLANK('Data Entry'!$$541), "", 'Data Entry'!$$541)</f>
      </c>
      <c r="CM541">
        <f>IF(ISBLANK('Data Entry'!$$541), "", 'Data Entry'!$$541)</f>
      </c>
      <c r="CN541">
        <f>IF(ISBLANK('Data Entry'!$$541), "", 'Data Entry'!$$541)</f>
      </c>
      <c r="CO541">
        <f>IF(ISBLANK('Data Entry'!$$541), "", 'Data Entry'!$$541)</f>
      </c>
      <c r="CP541">
        <f>IF(ISBLANK('Data Entry'!$$541), "", 'Data Entry'!$$541)</f>
      </c>
      <c r="CQ541">
        <f>IF(ISBLANK('Data Entry'!$$541), "", 'Data Entry'!$$541)</f>
      </c>
      <c r="CR541">
        <f>IF(ISBLANK('Data Entry'!$ $541), "", 'Data Entry'!$ $541)</f>
      </c>
      <c r="CS541">
        <f>IF(ISBLANK('Data Entry'!$¡$541), "", 'Data Entry'!$¡$541)</f>
      </c>
      <c r="CT541">
        <f>IF(ISBLANK('Data Entry'!$¢$541), "", 'Data Entry'!$¢$541)</f>
      </c>
      <c r="CU541">
        <f>IF(ISBLANK('Data Entry'!$£$541), "", 'Data Entry'!$£$541)</f>
      </c>
      <c r="CV541">
        <f>IF(ISBLANK('Data Entry'!$¤$541), "", 'Data Entry'!$¤$541)</f>
      </c>
      <c r="CW541">
        <f>IF(ISBLANK('Data Entry'!$¥$541), "", 'Data Entry'!$¥$541)</f>
      </c>
      <c r="CX541">
        <f>IF(ISBLANK('Data Entry'!$¦$541), "", 'Data Entry'!$¦$541)</f>
      </c>
      <c r="CY541">
        <f>IF(ISBLANK('Data Entry'!$§$541), "", 'Data Entry'!$§$541)</f>
      </c>
      <c r="CZ541">
        <f>IF(ISBLANK('Data Entry'!$¨$541), "", 'Data Entry'!$¨$541)</f>
      </c>
      <c r="DA541">
        <f>IF(ISBLANK('Data Entry'!$©$541), "", 'Data Entry'!$©$541)</f>
      </c>
      <c r="DB541">
        <f>IF(ISBLANK('Data Entry'!$ª$541), "", 'Data Entry'!$ª$541)</f>
      </c>
      <c r="DC541">
        <f>IF(ISBLANK('Data Entry'!$«$541), "", 'Data Entry'!$«$541)</f>
      </c>
      <c r="DD541">
        <f>IF(ISBLANK('Data Entry'!$¬$541), "", 'Data Entry'!$¬$541)</f>
      </c>
      <c r="DE541">
        <f>IF(ISBLANK('Data Entry'!$­$541), "", 'Data Entry'!$­$541)</f>
      </c>
      <c r="DF541">
        <f>IF(ISBLANK('Data Entry'!$®$541), "", 'Data Entry'!$®$541)</f>
      </c>
      <c r="DG541">
        <f>IF(ISBLANK('Data Entry'!$¯$541), "", 'Data Entry'!$¯$541)</f>
      </c>
      <c r="DH541">
        <f>IF(ISBLANK('Data Entry'!$°$541), "", 'Data Entry'!$°$541)</f>
      </c>
      <c r="DI541">
        <f>IF(ISBLANK('Data Entry'!$±$541), "", 'Data Entry'!$±$541)</f>
      </c>
      <c r="DJ541">
        <f>IF(ISBLANK('Data Entry'!$²$541), "", 'Data Entry'!$²$541)</f>
      </c>
      <c r="DK541">
        <f>IF(ISBLANK('Data Entry'!$³$541), "", 'Data Entry'!$³$541)</f>
      </c>
      <c r="DL541">
        <f>IF(ISBLANK('Data Entry'!$´$541), "", 'Data Entry'!$´$541)</f>
      </c>
      <c r="DM541">
        <f>IF(ISBLANK('Data Entry'!$µ$541), "", 'Data Entry'!$µ$541)</f>
      </c>
      <c r="DN541">
        <f>IF(ISBLANK('Data Entry'!$¶$541), "", 'Data Entry'!$¶$541)</f>
      </c>
      <c r="DO541">
        <f>IF(ISBLANK('Data Entry'!$·$541), "", 'Data Entry'!$·$541)</f>
      </c>
      <c r="DP541">
        <f>IF(ISBLANK('Data Entry'!$¸$541), "", 'Data Entry'!$¸$541)</f>
      </c>
      <c r="DQ541">
        <f>IF(ISBLANK('Data Entry'!$¹$541), "", 'Data Entry'!$¹$541)</f>
      </c>
      <c r="DR541">
        <f>IF(ISBLANK('Data Entry'!$º$541), "", 'Data Entry'!$º$541)</f>
      </c>
      <c r="DS541">
        <f>IF(ISBLANK('Data Entry'!$»$541), "", 'Data Entry'!$»$541)</f>
      </c>
      <c r="DT541">
        <f>IF(ISBLANK('Data Entry'!$¼$541), "", 'Data Entry'!$¼$541)</f>
      </c>
      <c r="DU541">
        <f>IF(ISBLANK('Data Entry'!$½$541), "", 'Data Entry'!$½$541)</f>
      </c>
      <c r="DV541">
        <f>IF(ISBLANK('Data Entry'!$¾$541), "", 'Data Entry'!$¾$541)</f>
      </c>
      <c r="DW541">
        <f>IF(ISBLANK('Data Entry'!$¿$541), "", 'Data Entry'!$¿$541)</f>
      </c>
      <c r="DX541">
        <f>IF(ISBLANK('Data Entry'!$À$541), "", 'Data Entry'!$À$541)</f>
      </c>
      <c r="DY541">
        <f>IF(ISBLANK('Data Entry'!$Á$541), "", 'Data Entry'!$Á$541)</f>
      </c>
      <c r="DZ541">
        <f>IF(ISBLANK('Data Entry'!$Â$541), "", 'Data Entry'!$Â$541)</f>
      </c>
      <c r="EA541">
        <f>IF(ISBLANK('Data Entry'!$Ã$541), "", 'Data Entry'!$Ã$541)</f>
      </c>
      <c r="EB541">
        <f>IF(ISBLANK('Data Entry'!$Ä$541), "", 'Data Entry'!$Ä$541)</f>
      </c>
      <c r="EC541">
        <f>IF(ISBLANK('Data Entry'!$Å$541), "", 'Data Entry'!$Å$541)</f>
      </c>
      <c r="ED541">
        <f>IF(ISBLANK('Data Entry'!$Æ$541), "", 'Data Entry'!$Æ$541)</f>
      </c>
      <c r="EE541">
        <f>IF(ISBLANK('Data Entry'!$Ç$541), "", 'Data Entry'!$Ç$541)</f>
      </c>
      <c r="EF541">
        <f>IF(ISBLANK('Data Entry'!$È$541), "", 'Data Entry'!$È$541)</f>
      </c>
      <c r="EG541">
        <f>IF(ISBLANK('Data Entry'!$É$541), "", 'Data Entry'!$É$541)</f>
      </c>
      <c r="EH541">
        <f>IF(ISBLANK('Data Entry'!$Ê$541), "", 'Data Entry'!$Ê$541)</f>
      </c>
      <c r="EI541">
        <f>IF(ISBLANK('Data Entry'!$Ë$541), "", 'Data Entry'!$Ë$541)</f>
      </c>
      <c r="EJ541">
        <f>IF(ISBLANK('Data Entry'!$Ì$541), "", 'Data Entry'!$Ì$541)</f>
      </c>
      <c r="EK541">
        <f>IF(ISBLANK('Data Entry'!$Í$541), "", 'Data Entry'!$Í$541)</f>
      </c>
      <c r="EL541">
        <f>IF(ISBLANK('Data Entry'!$Î$541), "", 'Data Entry'!$Î$541)</f>
      </c>
      <c r="EM541">
        <f>IF(ISBLANK('Data Entry'!$Ï$541), "", 'Data Entry'!$Ï$541)</f>
      </c>
      <c r="EN541">
        <f>IF(ISBLANK('Data Entry'!$Ð$541), "", 'Data Entry'!$Ð$541)</f>
      </c>
      <c r="EO541">
        <f>IF(ISBLANK('Data Entry'!$Ñ$541), "", 'Data Entry'!$Ñ$541)</f>
      </c>
      <c r="EP541">
        <f>IF(ISBLANK('Data Entry'!$Ò$541), "", 'Data Entry'!$Ò$541)</f>
      </c>
      <c r="EQ541">
        <f>IF(ISBLANK('Data Entry'!$Ó$541), "", 'Data Entry'!$Ó$541)</f>
      </c>
      <c r="ER541">
        <f>IF(ISBLANK('Data Entry'!$Ô$541), "", 'Data Entry'!$Ô$541)</f>
      </c>
      <c r="ES541">
        <f>IF(ISBLANK('Data Entry'!$Õ$541), "", 'Data Entry'!$Õ$541)</f>
      </c>
      <c r="ET541">
        <f>IF(ISBLANK('Data Entry'!$Ö$541), "", 'Data Entry'!$Ö$541)</f>
      </c>
      <c r="EU541">
        <f>IF(ISBLANK('Data Entry'!$×$541), "", 'Data Entry'!$×$541)</f>
      </c>
      <c r="EV541">
        <f>IF(ISBLANK('Data Entry'!$Ø$541), "", 'Data Entry'!$Ø$541)</f>
      </c>
      <c r="EW541">
        <f>IF(ISBLANK('Data Entry'!$Ù$541), "", 'Data Entry'!$Ù$541)</f>
      </c>
      <c r="EX541">
        <f>IF(ISBLANK('Data Entry'!$Ú$541), "", 'Data Entry'!$Ú$541)</f>
      </c>
      <c r="EY541">
        <f>IF(ISBLANK('Data Entry'!$Û$541), "", 'Data Entry'!$Û$541)</f>
      </c>
      <c r="EZ541">
        <f>IF(ISBLANK('Data Entry'!$Ü$541), "", 'Data Entry'!$Ü$541)</f>
      </c>
      <c r="FA541">
        <f>IF(ISBLANK('Data Entry'!$Ý$541), "", 'Data Entry'!$Ý$541)</f>
      </c>
      <c r="FB541">
        <f>IF(ISBLANK('Data Entry'!$Þ$541), "", 'Data Entry'!$Þ$541)</f>
      </c>
      <c r="FC541">
        <f>IF(ISBLANK('Data Entry'!$ß$541), "", 'Data Entry'!$ß$541)</f>
      </c>
      <c r="FD541">
        <f>IF(ISBLANK('Data Entry'!$à$541), "", 'Data Entry'!$à$541)</f>
      </c>
      <c r="FE541">
        <f>IF(ISBLANK('Data Entry'!$á$541), "", 'Data Entry'!$á$541)</f>
      </c>
      <c r="FF541">
        <f>IF(ISBLANK('Data Entry'!$â$541), "", 'Data Entry'!$â$541)</f>
      </c>
      <c r="FG541">
        <f>IF(ISBLANK('Data Entry'!$ã$541), "", 'Data Entry'!$ã$541)</f>
      </c>
      <c r="FH541">
        <f>IF(ISBLANK('Data Entry'!$ä$541), "", 'Data Entry'!$ä$541)</f>
      </c>
      <c r="FI541">
        <f>IF(ISBLANK('Data Entry'!$å$541), "", 'Data Entry'!$å$541)</f>
      </c>
      <c r="FJ541">
        <f>IF(ISBLANK('Data Entry'!$æ$541), "", 'Data Entry'!$æ$541)</f>
      </c>
      <c r="FK541">
        <f>IF(ISBLANK('Data Entry'!$ç$541), "", 'Data Entry'!$ç$541)</f>
      </c>
      <c r="FL541">
        <f>IF(ISBLANK('Data Entry'!$è$541), "", 'Data Entry'!$è$541)</f>
      </c>
      <c r="FM541">
        <f>IF(ISBLANK('Data Entry'!$é$541), "", 'Data Entry'!$é$541)</f>
      </c>
      <c r="FN541">
        <f>IF(ISBLANK('Data Entry'!$ê$541), "", 'Data Entry'!$ê$541)</f>
      </c>
      <c r="FO541">
        <f>IF(ISBLANK('Data Entry'!$ë$541), "", 'Data Entry'!$ë$541)</f>
      </c>
      <c r="FP541">
        <f>IF(ISBLANK('Data Entry'!$ì$541), "", 'Data Entry'!$ì$541)</f>
      </c>
      <c r="FQ541">
        <f>IF(ISBLANK('Data Entry'!$í$541), "", 'Data Entry'!$í$541)</f>
      </c>
      <c r="FR541">
        <f>IF(ISBLANK('Data Entry'!$î$541), "", 'Data Entry'!$î$541)</f>
      </c>
      <c r="FS541">
        <f>IF(ISBLANK('Data Entry'!$ï$541), "", 'Data Entry'!$ï$541)</f>
      </c>
      <c r="FT541">
        <f>IF(ISBLANK('Data Entry'!$ð$541), "", 'Data Entry'!$ð$541)</f>
      </c>
      <c r="FU541">
        <f>IF(ISBLANK('Data Entry'!$ñ$541), "", 'Data Entry'!$ñ$541)</f>
      </c>
      <c r="FV541">
        <f>IF(ISBLANK('Data Entry'!$ò$541), "", 'Data Entry'!$ò$541)</f>
      </c>
      <c r="FW541">
        <f>IF(ISBLANK('Data Entry'!$ó$541), "", 'Data Entry'!$ó$541)</f>
      </c>
      <c r="FX541">
        <f>IF(ISBLANK('Data Entry'!$ô$541), "", 'Data Entry'!$ô$541)</f>
      </c>
      <c r="FY541">
        <f>IF(ISBLANK('Data Entry'!$õ$541), "", 'Data Entry'!$õ$541)</f>
      </c>
      <c r="FZ541">
        <f>IF(ISBLANK('Data Entry'!$ö$541), "", 'Data Entry'!$ö$541)</f>
      </c>
      <c r="GA541">
        <f>IF(ISBLANK('Data Entry'!$÷$541), "", 'Data Entry'!$÷$541)</f>
      </c>
      <c r="GB541">
        <f>IF(ISBLANK('Data Entry'!$ø$541), "", 'Data Entry'!$ø$541)</f>
      </c>
      <c r="GC541">
        <f>IF(ISBLANK('Data Entry'!$ù$541), "", 'Data Entry'!$ù$541)</f>
      </c>
      <c r="GD541">
        <f>IF(ISBLANK('Data Entry'!$ú$541), "", 'Data Entry'!$ú$541)</f>
      </c>
      <c r="GE541">
        <f>IF(ISBLANK('Data Entry'!$û$541), "", 'Data Entry'!$û$541)</f>
      </c>
      <c r="GF541">
        <f>IF(ISBLANK('Data Entry'!$ü$541), "", 'Data Entry'!$ü$541)</f>
      </c>
      <c r="GG541">
        <f>IF(ISBLANK('Data Entry'!$ý$541), "", 'Data Entry'!$ý$541)</f>
      </c>
      <c r="GH541">
        <f>IF(ISBLANK('Data Entry'!$þ$541), "", 'Data Entry'!$þ$541)</f>
      </c>
      <c r="GI541">
        <f>IF(ISBLANK('Data Entry'!$ÿ$541), "", 'Data Entry'!$ÿ$541)</f>
      </c>
      <c r="GJ541">
        <f>IF(ISBLANK('Data Entry'!$Ā$541), "", 'Data Entry'!$Ā$541)</f>
      </c>
      <c r="GK541">
        <f>IF(ISBLANK('Data Entry'!$ā$541), "", 'Data Entry'!$ā$541)</f>
      </c>
      <c r="GL541">
        <f>IF(ISBLANK('Data Entry'!$Ă$541), "", 'Data Entry'!$Ă$541)</f>
      </c>
      <c r="GM541">
        <f>IF(ISBLANK('Data Entry'!$ă$541), "", 'Data Entry'!$ă$541)</f>
      </c>
      <c r="GN541">
        <f>IF(ISBLANK('Data Entry'!$Ą$541), "", 'Data Entry'!$Ą$541)</f>
      </c>
      <c r="GO541">
        <f>IF(ISBLANK('Data Entry'!$ą$541), "", 'Data Entry'!$ą$541)</f>
      </c>
      <c r="GP541">
        <f>IF(ISBLANK('Data Entry'!$Ć$541), "", 'Data Entry'!$Ć$541)</f>
      </c>
      <c r="GQ541">
        <f>IF(ISBLANK('Data Entry'!$ć$541), "", 'Data Entry'!$ć$541)</f>
      </c>
      <c r="GR541">
        <f>IF(ISBLANK('Data Entry'!$Ĉ$541), "", 'Data Entry'!$Ĉ$541)</f>
      </c>
      <c r="GS541">
        <f>IF(ISBLANK('Data Entry'!$ĉ$541), "", 'Data Entry'!$ĉ$541)</f>
      </c>
      <c r="GT541">
        <f>IF(ISBLANK('Data Entry'!$Ċ$541), "", 'Data Entry'!$Ċ$541)</f>
      </c>
      <c r="GU541">
        <f>IF(ISBLANK('Data Entry'!$ċ$541), "", 'Data Entry'!$ċ$541)</f>
      </c>
      <c r="GV541">
        <f>IF(ISBLANK('Data Entry'!$Č$541), "", 'Data Entry'!$Č$541)</f>
      </c>
      <c r="GW541">
        <f>IF(ISBLANK('Data Entry'!$č$541), "", 'Data Entry'!$č$541)</f>
      </c>
      <c r="GX541">
        <f>IF(ISBLANK('Data Entry'!$Ď$541), "", 'Data Entry'!$Ď$541)</f>
      </c>
      <c r="GY541">
        <f>IF(ISBLANK('Data Entry'!$ď$541), "", 'Data Entry'!$ď$541)</f>
      </c>
      <c r="GZ541">
        <f>IF(ISBLANK('Data Entry'!$Đ$541), "", 'Data Entry'!$Đ$541)</f>
      </c>
      <c r="HA541">
        <f>IF(ISBLANK('Data Entry'!$đ$541), "", 'Data Entry'!$đ$541)</f>
      </c>
      <c r="HB541">
        <f>IF(ISBLANK('Data Entry'!$Ē$541), "", 'Data Entry'!$Ē$541)</f>
      </c>
      <c r="HC541">
        <f>IF(ISBLANK('Data Entry'!$ē$541), "", 'Data Entry'!$ē$541)</f>
      </c>
      <c r="HD541">
        <f>IF(ISBLANK('Data Entry'!$Ĕ$541), "", 'Data Entry'!$Ĕ$541)</f>
      </c>
      <c r="HE541">
        <f>IF(ISBLANK('Data Entry'!$ĕ$541), "", 'Data Entry'!$ĕ$541)</f>
      </c>
      <c r="HF541">
        <f>IF(ISBLANK('Data Entry'!$Ė$541), "", 'Data Entry'!$Ė$541)</f>
      </c>
      <c r="HG541">
        <f>IF(ISBLANK('Data Entry'!$ė$541), "", 'Data Entry'!$ė$541)</f>
      </c>
      <c r="HH541">
        <f>IF(ISBLANK('Data Entry'!$Ę$541), "", 'Data Entry'!$Ę$541)</f>
      </c>
      <c r="HI541">
        <f>IF(ISBLANK('Data Entry'!$ę$541), "", 'Data Entry'!$ę$541)</f>
      </c>
      <c r="HJ541">
        <f>IF(ISBLANK('Data Entry'!$Ě$541), "", 'Data Entry'!$Ě$541)</f>
      </c>
      <c r="HK541">
        <f>IF(ISBLANK('Data Entry'!$ě$541), "", 'Data Entry'!$ě$541)</f>
      </c>
      <c r="HL541">
        <f>IF(ISBLANK('Data Entry'!$Ĝ$541), "", 'Data Entry'!$Ĝ$541)</f>
      </c>
      <c r="HM541">
        <f>IF(ISBLANK('Data Entry'!$ĝ$541), "", 'Data Entry'!$ĝ$541)</f>
      </c>
      <c r="HN541">
        <f>IF(ISBLANK('Data Entry'!$Ğ$541), "", 'Data Entry'!$Ğ$541)</f>
      </c>
      <c r="HO541">
        <f>IF(ISBLANK('Data Entry'!$ğ$541), "", 'Data Entry'!$ğ$541)</f>
      </c>
      <c r="HP541">
        <f>IF(ISBLANK('Data Entry'!$Ġ$541), "", 'Data Entry'!$Ġ$541)</f>
      </c>
      <c r="HQ541">
        <f>IF(ISBLANK('Data Entry'!$ġ$541), "", 'Data Entry'!$ġ$541)</f>
      </c>
      <c r="HR541">
        <f>IF(ISBLANK('Data Entry'!$Ģ$541), "", 'Data Entry'!$Ģ$541)</f>
      </c>
      <c r="HS541">
        <f>IF(ISBLANK('Data Entry'!$ģ$541), "", 'Data Entry'!$ģ$541)</f>
      </c>
      <c r="HT541">
        <f>IF(ISBLANK('Data Entry'!$Ĥ$541), "", 'Data Entry'!$Ĥ$541)</f>
      </c>
      <c r="HU541">
        <f>IF(ISBLANK('Data Entry'!$ĥ$541), "", 'Data Entry'!$ĥ$541)</f>
      </c>
      <c r="HV541">
        <f>IF(ISBLANK('Data Entry'!$Ħ$541), "", 'Data Entry'!$Ħ$541)</f>
      </c>
      <c r="HW541">
        <f>IF(ISBLANK('Data Entry'!$ħ$541), "", 'Data Entry'!$ħ$541)</f>
      </c>
      <c r="HX541">
        <f>IF(ISBLANK('Data Entry'!$Ĩ$541), "", 'Data Entry'!$Ĩ$541)</f>
      </c>
      <c r="HY541">
        <f>IF(ISBLANK('Data Entry'!$ĩ$541), "", 'Data Entry'!$ĩ$541)</f>
      </c>
      <c r="HZ541">
        <f>IF(ISBLANK('Data Entry'!$Ī$541), "", 'Data Entry'!$Ī$541)</f>
      </c>
      <c r="IA541">
        <f>IF(ISBLANK('Data Entry'!$ī$541), "", 'Data Entry'!$ī$541)</f>
      </c>
      <c r="IB541">
        <f>IF(ISBLANK('Data Entry'!$Ĭ$541), "", 'Data Entry'!$Ĭ$541)</f>
      </c>
      <c r="IC541">
        <f>IF(ISBLANK('Data Entry'!$ĭ$541), "", 'Data Entry'!$ĭ$541)</f>
      </c>
      <c r="ID541">
        <f>IF(ISBLANK('Data Entry'!$Į$541), "", 'Data Entry'!$Į$541)</f>
      </c>
      <c r="IE541">
        <f>IF(ISBLANK('Data Entry'!$į$541), "", 'Data Entry'!$į$541)</f>
      </c>
      <c r="IF541">
        <f>IF(ISBLANK('Data Entry'!$İ$541), "", 'Data Entry'!$İ$541)</f>
      </c>
      <c r="IG541">
        <f>IF(ISBLANK('Data Entry'!$ı$541), "", 'Data Entry'!$ı$541)</f>
      </c>
      <c r="IH541">
        <f>IF(ISBLANK('Data Entry'!$Ĳ$541), "", 'Data Entry'!$Ĳ$541)</f>
      </c>
      <c r="II541">
        <f>IF(ISBLANK('Data Entry'!$ĳ$541), "", 'Data Entry'!$ĳ$541)</f>
      </c>
      <c r="IJ541">
        <f>IF(ISBLANK('Data Entry'!$Ĵ$541), "", 'Data Entry'!$Ĵ$541)</f>
      </c>
      <c r="IK541">
        <f>IF(ISBLANK('Data Entry'!$ĵ$541), "", 'Data Entry'!$ĵ$541)</f>
      </c>
      <c r="IL541">
        <f>IF(ISBLANK('Data Entry'!$Ķ$541), "", 'Data Entry'!$Ķ$541)</f>
      </c>
      <c r="IM541">
        <f>IF(ISBLANK('Data Entry'!$ķ$541), "", 'Data Entry'!$ķ$541)</f>
      </c>
      <c r="IN541">
        <f>IF(ISBLANK('Data Entry'!$ĸ$541), "", 'Data Entry'!$ĸ$541)</f>
      </c>
      <c r="IO541">
        <f>IF(ISBLANK('Data Entry'!$Ĺ$541), "", 'Data Entry'!$Ĺ$541)</f>
      </c>
      <c r="IP541">
        <f>IF(ISBLANK('Data Entry'!$ĺ$541), "", 'Data Entry'!$ĺ$541)</f>
      </c>
      <c r="IQ541">
        <f>IF(ISBLANK('Data Entry'!$Ļ$541), "", 'Data Entry'!$Ļ$541)</f>
      </c>
      <c r="IR541">
        <f>IF(ISBLANK('Data Entry'!$ļ$541), "", 'Data Entry'!$ļ$541)</f>
      </c>
      <c r="IS541">
        <f>IF(ISBLANK('Data Entry'!$Ľ$541), "", 'Data Entry'!$Ľ$541)</f>
      </c>
      <c r="IT541">
        <f>IF(ISBLANK('Data Entry'!$ľ$541), "", 'Data Entry'!$ľ$541)</f>
      </c>
    </row>
    <row r="542" spans="1:254" x14ac:dyDescent="0.25">
      <c r="A542">
        <f>IF(ISBLANK('Data Entry'!$A$542), "", 'Data Entry'!$A$542)</f>
      </c>
      <c r="B542">
        <f>IF(ISBLANK('Data Entry'!$B$542), "", 'Data Entry'!$B$542)</f>
      </c>
      <c r="C542">
        <f>IF(ISBLANK('Data Entry'!$C$542), "", 'Data Entry'!$C$542)</f>
      </c>
      <c r="D542">
        <f>IF(ISBLANK('Data Entry'!$D$542), "", 'Data Entry'!$D$542)</f>
      </c>
      <c r="E542">
        <f>IF(ISBLANK('Data Entry'!$E$542), "", 'Data Entry'!$E$542)</f>
      </c>
      <c r="F542">
        <f>IF(ISBLANK('Data Entry'!$F$542), "", 'Data Entry'!$F$542)</f>
      </c>
      <c r="G542">
        <f>IF(ISBLANK('Data Entry'!$G$542), "", 'Data Entry'!$G$542)</f>
      </c>
      <c r="H542">
        <f>IF(ISBLANK('Data Entry'!$H$542), "", 'Data Entry'!$H$542)</f>
      </c>
      <c r="I542">
        <f>IF(ISBLANK('Data Entry'!$I$542), "", 'Data Entry'!$I$542)</f>
      </c>
      <c r="J542">
        <f>IF(ISBLANK('Data Entry'!$J$542), "", 'Data Entry'!$J$542)</f>
      </c>
      <c r="K542">
        <f>IF(ISBLANK('Data Entry'!$K$542), "", 'Data Entry'!$K$542)</f>
      </c>
      <c r="L542">
        <f>IF(ISBLANK('Data Entry'!$L$542), "", 'Data Entry'!$L$542)</f>
      </c>
      <c r="M542">
        <f>IF(ISBLANK('Data Entry'!$M$542), "", 'Data Entry'!$M$542)</f>
      </c>
      <c r="N542">
        <f>IF(ISBLANK('Data Entry'!$N$542), "", 'Data Entry'!$N$542)</f>
      </c>
      <c r="O542">
        <f>IF(ISBLANK('Data Entry'!$O$542), "", 'Data Entry'!$O$542)</f>
      </c>
      <c r="P542">
        <f>IF(ISBLANK('Data Entry'!$P$542), "", 'Data Entry'!$P$542)</f>
      </c>
      <c r="Q542">
        <f>IF(ISBLANK('Data Entry'!$Q$542), "", 'Data Entry'!$Q$542)</f>
      </c>
      <c r="R542">
        <f>IF(ISBLANK('Data Entry'!$R$542), "", 'Data Entry'!$R$542)</f>
      </c>
      <c r="S542">
        <f>IF(ISBLANK('Data Entry'!$S$542), "", 'Data Entry'!$S$542)</f>
      </c>
      <c r="T542">
        <f>IF(ISBLANK('Data Entry'!$T$542), "", 'Data Entry'!$T$542)</f>
      </c>
      <c r="U542">
        <f>IF(ISBLANK('Data Entry'!$U$542), "", 'Data Entry'!$U$542)</f>
      </c>
      <c r="V542">
        <f>IF(ISBLANK('Data Entry'!$V$542), "", 'Data Entry'!$V$542)</f>
      </c>
      <c r="W542">
        <f>IF(ISBLANK('Data Entry'!$W$542), "", 'Data Entry'!$W$542)</f>
      </c>
      <c r="X542">
        <f>IF(ISBLANK('Data Entry'!$X$542), "", 'Data Entry'!$X$542)</f>
      </c>
      <c r="Y542">
        <f>IF(ISBLANK('Data Entry'!$Y$542), "", 'Data Entry'!$Y$542)</f>
      </c>
      <c r="Z542">
        <f>IF(ISBLANK('Data Entry'!$Z$542), "", 'Data Entry'!$Z$542)</f>
      </c>
      <c r="AA542">
        <f>IF(ISBLANK('Data Entry'!$[$542), "", 'Data Entry'!$[$542)</f>
      </c>
      <c r="AB542">
        <f>IF(ISBLANK('Data Entry'!$\$542), "", 'Data Entry'!$\$542)</f>
      </c>
      <c r="AC542">
        <f>IF(ISBLANK('Data Entry'!$]$542), "", 'Data Entry'!$]$542)</f>
      </c>
      <c r="AD542">
        <f>IF(ISBLANK('Data Entry'!$^$542), "", 'Data Entry'!$^$542)</f>
      </c>
      <c r="AE542">
        <f>IF(ISBLANK('Data Entry'!$_$542), "", 'Data Entry'!$_$542)</f>
      </c>
      <c r="AF542">
        <f>IF(ISBLANK('Data Entry'!$`$542), "", 'Data Entry'!$`$542)</f>
      </c>
      <c r="AG542">
        <f>IF(ISBLANK('Data Entry'!$a$542), "", 'Data Entry'!$a$542)</f>
      </c>
      <c r="AH542">
        <f>IF(ISBLANK('Data Entry'!$b$542), "", 'Data Entry'!$b$542)</f>
      </c>
      <c r="AI542">
        <f>IF(ISBLANK('Data Entry'!$c$542), "", 'Data Entry'!$c$542)</f>
      </c>
      <c r="AJ542">
        <f>IF(ISBLANK('Data Entry'!$d$542), "", 'Data Entry'!$d$542)</f>
      </c>
      <c r="AK542">
        <f>IF(ISBLANK('Data Entry'!$e$542), "", 'Data Entry'!$e$542)</f>
      </c>
      <c r="AL542">
        <f>IF(ISBLANK('Data Entry'!$f$542), "", 'Data Entry'!$f$542)</f>
      </c>
      <c r="AM542">
        <f>IF(ISBLANK('Data Entry'!$g$542), "", 'Data Entry'!$g$542)</f>
      </c>
      <c r="AN542">
        <f>IF(ISBLANK('Data Entry'!$h$542), "", 'Data Entry'!$h$542)</f>
      </c>
      <c r="AO542">
        <f>IF(ISBLANK('Data Entry'!$i$542), "", 'Data Entry'!$i$542)</f>
      </c>
      <c r="AP542">
        <f>IF(ISBLANK('Data Entry'!$j$542), "", 'Data Entry'!$j$542)</f>
      </c>
      <c r="AQ542">
        <f>IF(ISBLANK('Data Entry'!$k$542), "", 'Data Entry'!$k$542)</f>
      </c>
      <c r="AR542">
        <f>IF(ISBLANK('Data Entry'!$l$542), "", 'Data Entry'!$l$542)</f>
      </c>
      <c r="AS542">
        <f>IF(ISBLANK('Data Entry'!$m$542), "", 'Data Entry'!$m$542)</f>
      </c>
      <c r="AT542">
        <f>IF(ISBLANK('Data Entry'!$n$542), "", 'Data Entry'!$n$542)</f>
      </c>
      <c r="AU542">
        <f>IF(ISBLANK('Data Entry'!$o$542), "", 'Data Entry'!$o$542)</f>
      </c>
      <c r="AV542">
        <f>IF(ISBLANK('Data Entry'!$p$542), "", 'Data Entry'!$p$542)</f>
      </c>
      <c r="AW542">
        <f>IF(ISBLANK('Data Entry'!$q$542), "", 'Data Entry'!$q$542)</f>
      </c>
      <c r="AX542">
        <f>IF(ISBLANK('Data Entry'!$r$542), "", 'Data Entry'!$r$542)</f>
      </c>
      <c r="AY542">
        <f>IF(ISBLANK('Data Entry'!$s$542), "", 'Data Entry'!$s$542)</f>
      </c>
      <c r="AZ542">
        <f>IF(ISBLANK('Data Entry'!$t$542), "", 'Data Entry'!$t$542)</f>
      </c>
      <c r="BA542">
        <f>IF(ISBLANK('Data Entry'!$u$542), "", 'Data Entry'!$u$542)</f>
      </c>
      <c r="BB542">
        <f>IF(ISBLANK('Data Entry'!$v$542), "", 'Data Entry'!$v$542)</f>
      </c>
      <c r="BC542">
        <f>IF(ISBLANK('Data Entry'!$w$542), "", 'Data Entry'!$w$542)</f>
      </c>
      <c r="BD542">
        <f>IF(ISBLANK('Data Entry'!$x$542), "", 'Data Entry'!$x$542)</f>
      </c>
      <c r="BE542">
        <f>IF(ISBLANK('Data Entry'!$y$542), "", 'Data Entry'!$y$542)</f>
      </c>
      <c r="BF542">
        <f>IF(ISBLANK('Data Entry'!$z$542), "", 'Data Entry'!$z$542)</f>
      </c>
      <c r="BG542">
        <f>IF(ISBLANK('Data Entry'!${$542), "", 'Data Entry'!${$542)</f>
      </c>
      <c r="BH542">
        <f>IF(ISBLANK('Data Entry'!$|$542), "", 'Data Entry'!$|$542)</f>
      </c>
      <c r="BI542">
        <f>IF(ISBLANK('Data Entry'!$}$542), "", 'Data Entry'!$}$542)</f>
      </c>
      <c r="BJ542">
        <f>IF(ISBLANK('Data Entry'!$~$542), "", 'Data Entry'!$~$542)</f>
      </c>
      <c r="BK542">
        <f>IF(ISBLANK('Data Entry'!$$542), "", 'Data Entry'!$$542)</f>
      </c>
      <c r="BL542">
        <f>IF(ISBLANK('Data Entry'!$$542), "", 'Data Entry'!$$542)</f>
      </c>
      <c r="BM542">
        <f>IF(ISBLANK('Data Entry'!$$542), "", 'Data Entry'!$$542)</f>
      </c>
      <c r="BN542">
        <f>IF(ISBLANK('Data Entry'!$$542), "", 'Data Entry'!$$542)</f>
      </c>
      <c r="BO542">
        <f>IF(ISBLANK('Data Entry'!$$542), "", 'Data Entry'!$$542)</f>
      </c>
      <c r="BP542">
        <f>IF(ISBLANK('Data Entry'!$$542), "", 'Data Entry'!$$542)</f>
      </c>
      <c r="BQ542">
        <f>IF(ISBLANK('Data Entry'!$$542), "", 'Data Entry'!$$542)</f>
      </c>
      <c r="BR542">
        <f>IF(ISBLANK('Data Entry'!$$542), "", 'Data Entry'!$$542)</f>
      </c>
      <c r="BS542">
        <f>IF(ISBLANK('Data Entry'!$$542), "", 'Data Entry'!$$542)</f>
      </c>
      <c r="BT542">
        <f>IF(ISBLANK('Data Entry'!$$542), "", 'Data Entry'!$$542)</f>
      </c>
      <c r="BU542">
        <f>IF(ISBLANK('Data Entry'!$$542), "", 'Data Entry'!$$542)</f>
      </c>
      <c r="BV542">
        <f>IF(ISBLANK('Data Entry'!$$542), "", 'Data Entry'!$$542)</f>
      </c>
      <c r="BW542">
        <f>IF(ISBLANK('Data Entry'!$$542), "", 'Data Entry'!$$542)</f>
      </c>
      <c r="BX542">
        <f>IF(ISBLANK('Data Entry'!$$542), "", 'Data Entry'!$$542)</f>
      </c>
      <c r="BY542">
        <f>IF(ISBLANK('Data Entry'!$$542), "", 'Data Entry'!$$542)</f>
      </c>
      <c r="BZ542">
        <f>IF(ISBLANK('Data Entry'!$$542), "", 'Data Entry'!$$542)</f>
      </c>
      <c r="CA542">
        <f>IF(ISBLANK('Data Entry'!$$542), "", 'Data Entry'!$$542)</f>
      </c>
      <c r="CB542">
        <f>IF(ISBLANK('Data Entry'!$$542), "", 'Data Entry'!$$542)</f>
      </c>
      <c r="CC542">
        <f>IF(ISBLANK('Data Entry'!$$542), "", 'Data Entry'!$$542)</f>
      </c>
      <c r="CD542">
        <f>IF(ISBLANK('Data Entry'!$$542), "", 'Data Entry'!$$542)</f>
      </c>
      <c r="CE542">
        <f>IF(ISBLANK('Data Entry'!$$542), "", 'Data Entry'!$$542)</f>
      </c>
      <c r="CF542">
        <f>IF(ISBLANK('Data Entry'!$$542), "", 'Data Entry'!$$542)</f>
      </c>
      <c r="CG542">
        <f>IF(ISBLANK('Data Entry'!$$542), "", 'Data Entry'!$$542)</f>
      </c>
      <c r="CH542">
        <f>IF(ISBLANK('Data Entry'!$$542), "", 'Data Entry'!$$542)</f>
      </c>
      <c r="CI542">
        <f>IF(ISBLANK('Data Entry'!$$542), "", 'Data Entry'!$$542)</f>
      </c>
      <c r="CJ542">
        <f>IF(ISBLANK('Data Entry'!$$542), "", 'Data Entry'!$$542)</f>
      </c>
      <c r="CK542">
        <f>IF(ISBLANK('Data Entry'!$$542), "", 'Data Entry'!$$542)</f>
      </c>
      <c r="CL542">
        <f>IF(ISBLANK('Data Entry'!$$542), "", 'Data Entry'!$$542)</f>
      </c>
      <c r="CM542">
        <f>IF(ISBLANK('Data Entry'!$$542), "", 'Data Entry'!$$542)</f>
      </c>
      <c r="CN542">
        <f>IF(ISBLANK('Data Entry'!$$542), "", 'Data Entry'!$$542)</f>
      </c>
      <c r="CO542">
        <f>IF(ISBLANK('Data Entry'!$$542), "", 'Data Entry'!$$542)</f>
      </c>
      <c r="CP542">
        <f>IF(ISBLANK('Data Entry'!$$542), "", 'Data Entry'!$$542)</f>
      </c>
      <c r="CQ542">
        <f>IF(ISBLANK('Data Entry'!$$542), "", 'Data Entry'!$$542)</f>
      </c>
      <c r="CR542">
        <f>IF(ISBLANK('Data Entry'!$ $542), "", 'Data Entry'!$ $542)</f>
      </c>
      <c r="CS542">
        <f>IF(ISBLANK('Data Entry'!$¡$542), "", 'Data Entry'!$¡$542)</f>
      </c>
      <c r="CT542">
        <f>IF(ISBLANK('Data Entry'!$¢$542), "", 'Data Entry'!$¢$542)</f>
      </c>
      <c r="CU542">
        <f>IF(ISBLANK('Data Entry'!$£$542), "", 'Data Entry'!$£$542)</f>
      </c>
      <c r="CV542">
        <f>IF(ISBLANK('Data Entry'!$¤$542), "", 'Data Entry'!$¤$542)</f>
      </c>
      <c r="CW542">
        <f>IF(ISBLANK('Data Entry'!$¥$542), "", 'Data Entry'!$¥$542)</f>
      </c>
      <c r="CX542">
        <f>IF(ISBLANK('Data Entry'!$¦$542), "", 'Data Entry'!$¦$542)</f>
      </c>
      <c r="CY542">
        <f>IF(ISBLANK('Data Entry'!$§$542), "", 'Data Entry'!$§$542)</f>
      </c>
      <c r="CZ542">
        <f>IF(ISBLANK('Data Entry'!$¨$542), "", 'Data Entry'!$¨$542)</f>
      </c>
      <c r="DA542">
        <f>IF(ISBLANK('Data Entry'!$©$542), "", 'Data Entry'!$©$542)</f>
      </c>
      <c r="DB542">
        <f>IF(ISBLANK('Data Entry'!$ª$542), "", 'Data Entry'!$ª$542)</f>
      </c>
      <c r="DC542">
        <f>IF(ISBLANK('Data Entry'!$«$542), "", 'Data Entry'!$«$542)</f>
      </c>
      <c r="DD542">
        <f>IF(ISBLANK('Data Entry'!$¬$542), "", 'Data Entry'!$¬$542)</f>
      </c>
      <c r="DE542">
        <f>IF(ISBLANK('Data Entry'!$­$542), "", 'Data Entry'!$­$542)</f>
      </c>
      <c r="DF542">
        <f>IF(ISBLANK('Data Entry'!$®$542), "", 'Data Entry'!$®$542)</f>
      </c>
      <c r="DG542">
        <f>IF(ISBLANK('Data Entry'!$¯$542), "", 'Data Entry'!$¯$542)</f>
      </c>
      <c r="DH542">
        <f>IF(ISBLANK('Data Entry'!$°$542), "", 'Data Entry'!$°$542)</f>
      </c>
      <c r="DI542">
        <f>IF(ISBLANK('Data Entry'!$±$542), "", 'Data Entry'!$±$542)</f>
      </c>
      <c r="DJ542">
        <f>IF(ISBLANK('Data Entry'!$²$542), "", 'Data Entry'!$²$542)</f>
      </c>
      <c r="DK542">
        <f>IF(ISBLANK('Data Entry'!$³$542), "", 'Data Entry'!$³$542)</f>
      </c>
      <c r="DL542">
        <f>IF(ISBLANK('Data Entry'!$´$542), "", 'Data Entry'!$´$542)</f>
      </c>
      <c r="DM542">
        <f>IF(ISBLANK('Data Entry'!$µ$542), "", 'Data Entry'!$µ$542)</f>
      </c>
      <c r="DN542">
        <f>IF(ISBLANK('Data Entry'!$¶$542), "", 'Data Entry'!$¶$542)</f>
      </c>
      <c r="DO542">
        <f>IF(ISBLANK('Data Entry'!$·$542), "", 'Data Entry'!$·$542)</f>
      </c>
      <c r="DP542">
        <f>IF(ISBLANK('Data Entry'!$¸$542), "", 'Data Entry'!$¸$542)</f>
      </c>
      <c r="DQ542">
        <f>IF(ISBLANK('Data Entry'!$¹$542), "", 'Data Entry'!$¹$542)</f>
      </c>
      <c r="DR542">
        <f>IF(ISBLANK('Data Entry'!$º$542), "", 'Data Entry'!$º$542)</f>
      </c>
      <c r="DS542">
        <f>IF(ISBLANK('Data Entry'!$»$542), "", 'Data Entry'!$»$542)</f>
      </c>
      <c r="DT542">
        <f>IF(ISBLANK('Data Entry'!$¼$542), "", 'Data Entry'!$¼$542)</f>
      </c>
      <c r="DU542">
        <f>IF(ISBLANK('Data Entry'!$½$542), "", 'Data Entry'!$½$542)</f>
      </c>
      <c r="DV542">
        <f>IF(ISBLANK('Data Entry'!$¾$542), "", 'Data Entry'!$¾$542)</f>
      </c>
      <c r="DW542">
        <f>IF(ISBLANK('Data Entry'!$¿$542), "", 'Data Entry'!$¿$542)</f>
      </c>
      <c r="DX542">
        <f>IF(ISBLANK('Data Entry'!$À$542), "", 'Data Entry'!$À$542)</f>
      </c>
      <c r="DY542">
        <f>IF(ISBLANK('Data Entry'!$Á$542), "", 'Data Entry'!$Á$542)</f>
      </c>
      <c r="DZ542">
        <f>IF(ISBLANK('Data Entry'!$Â$542), "", 'Data Entry'!$Â$542)</f>
      </c>
      <c r="EA542">
        <f>IF(ISBLANK('Data Entry'!$Ã$542), "", 'Data Entry'!$Ã$542)</f>
      </c>
      <c r="EB542">
        <f>IF(ISBLANK('Data Entry'!$Ä$542), "", 'Data Entry'!$Ä$542)</f>
      </c>
      <c r="EC542">
        <f>IF(ISBLANK('Data Entry'!$Å$542), "", 'Data Entry'!$Å$542)</f>
      </c>
      <c r="ED542">
        <f>IF(ISBLANK('Data Entry'!$Æ$542), "", 'Data Entry'!$Æ$542)</f>
      </c>
      <c r="EE542">
        <f>IF(ISBLANK('Data Entry'!$Ç$542), "", 'Data Entry'!$Ç$542)</f>
      </c>
      <c r="EF542">
        <f>IF(ISBLANK('Data Entry'!$È$542), "", 'Data Entry'!$È$542)</f>
      </c>
      <c r="EG542">
        <f>IF(ISBLANK('Data Entry'!$É$542), "", 'Data Entry'!$É$542)</f>
      </c>
      <c r="EH542">
        <f>IF(ISBLANK('Data Entry'!$Ê$542), "", 'Data Entry'!$Ê$542)</f>
      </c>
      <c r="EI542">
        <f>IF(ISBLANK('Data Entry'!$Ë$542), "", 'Data Entry'!$Ë$542)</f>
      </c>
      <c r="EJ542">
        <f>IF(ISBLANK('Data Entry'!$Ì$542), "", 'Data Entry'!$Ì$542)</f>
      </c>
      <c r="EK542">
        <f>IF(ISBLANK('Data Entry'!$Í$542), "", 'Data Entry'!$Í$542)</f>
      </c>
      <c r="EL542">
        <f>IF(ISBLANK('Data Entry'!$Î$542), "", 'Data Entry'!$Î$542)</f>
      </c>
      <c r="EM542">
        <f>IF(ISBLANK('Data Entry'!$Ï$542), "", 'Data Entry'!$Ï$542)</f>
      </c>
      <c r="EN542">
        <f>IF(ISBLANK('Data Entry'!$Ð$542), "", 'Data Entry'!$Ð$542)</f>
      </c>
      <c r="EO542">
        <f>IF(ISBLANK('Data Entry'!$Ñ$542), "", 'Data Entry'!$Ñ$542)</f>
      </c>
      <c r="EP542">
        <f>IF(ISBLANK('Data Entry'!$Ò$542), "", 'Data Entry'!$Ò$542)</f>
      </c>
      <c r="EQ542">
        <f>IF(ISBLANK('Data Entry'!$Ó$542), "", 'Data Entry'!$Ó$542)</f>
      </c>
      <c r="ER542">
        <f>IF(ISBLANK('Data Entry'!$Ô$542), "", 'Data Entry'!$Ô$542)</f>
      </c>
      <c r="ES542">
        <f>IF(ISBLANK('Data Entry'!$Õ$542), "", 'Data Entry'!$Õ$542)</f>
      </c>
      <c r="ET542">
        <f>IF(ISBLANK('Data Entry'!$Ö$542), "", 'Data Entry'!$Ö$542)</f>
      </c>
      <c r="EU542">
        <f>IF(ISBLANK('Data Entry'!$×$542), "", 'Data Entry'!$×$542)</f>
      </c>
      <c r="EV542">
        <f>IF(ISBLANK('Data Entry'!$Ø$542), "", 'Data Entry'!$Ø$542)</f>
      </c>
      <c r="EW542">
        <f>IF(ISBLANK('Data Entry'!$Ù$542), "", 'Data Entry'!$Ù$542)</f>
      </c>
      <c r="EX542">
        <f>IF(ISBLANK('Data Entry'!$Ú$542), "", 'Data Entry'!$Ú$542)</f>
      </c>
      <c r="EY542">
        <f>IF(ISBLANK('Data Entry'!$Û$542), "", 'Data Entry'!$Û$542)</f>
      </c>
      <c r="EZ542">
        <f>IF(ISBLANK('Data Entry'!$Ü$542), "", 'Data Entry'!$Ü$542)</f>
      </c>
      <c r="FA542">
        <f>IF(ISBLANK('Data Entry'!$Ý$542), "", 'Data Entry'!$Ý$542)</f>
      </c>
      <c r="FB542">
        <f>IF(ISBLANK('Data Entry'!$Þ$542), "", 'Data Entry'!$Þ$542)</f>
      </c>
      <c r="FC542">
        <f>IF(ISBLANK('Data Entry'!$ß$542), "", 'Data Entry'!$ß$542)</f>
      </c>
      <c r="FD542">
        <f>IF(ISBLANK('Data Entry'!$à$542), "", 'Data Entry'!$à$542)</f>
      </c>
      <c r="FE542">
        <f>IF(ISBLANK('Data Entry'!$á$542), "", 'Data Entry'!$á$542)</f>
      </c>
      <c r="FF542">
        <f>IF(ISBLANK('Data Entry'!$â$542), "", 'Data Entry'!$â$542)</f>
      </c>
      <c r="FG542">
        <f>IF(ISBLANK('Data Entry'!$ã$542), "", 'Data Entry'!$ã$542)</f>
      </c>
      <c r="FH542">
        <f>IF(ISBLANK('Data Entry'!$ä$542), "", 'Data Entry'!$ä$542)</f>
      </c>
      <c r="FI542">
        <f>IF(ISBLANK('Data Entry'!$å$542), "", 'Data Entry'!$å$542)</f>
      </c>
      <c r="FJ542">
        <f>IF(ISBLANK('Data Entry'!$æ$542), "", 'Data Entry'!$æ$542)</f>
      </c>
      <c r="FK542">
        <f>IF(ISBLANK('Data Entry'!$ç$542), "", 'Data Entry'!$ç$542)</f>
      </c>
      <c r="FL542">
        <f>IF(ISBLANK('Data Entry'!$è$542), "", 'Data Entry'!$è$542)</f>
      </c>
      <c r="FM542">
        <f>IF(ISBLANK('Data Entry'!$é$542), "", 'Data Entry'!$é$542)</f>
      </c>
      <c r="FN542">
        <f>IF(ISBLANK('Data Entry'!$ê$542), "", 'Data Entry'!$ê$542)</f>
      </c>
      <c r="FO542">
        <f>IF(ISBLANK('Data Entry'!$ë$542), "", 'Data Entry'!$ë$542)</f>
      </c>
      <c r="FP542">
        <f>IF(ISBLANK('Data Entry'!$ì$542), "", 'Data Entry'!$ì$542)</f>
      </c>
      <c r="FQ542">
        <f>IF(ISBLANK('Data Entry'!$í$542), "", 'Data Entry'!$í$542)</f>
      </c>
      <c r="FR542">
        <f>IF(ISBLANK('Data Entry'!$î$542), "", 'Data Entry'!$î$542)</f>
      </c>
      <c r="FS542">
        <f>IF(ISBLANK('Data Entry'!$ï$542), "", 'Data Entry'!$ï$542)</f>
      </c>
      <c r="FT542">
        <f>IF(ISBLANK('Data Entry'!$ð$542), "", 'Data Entry'!$ð$542)</f>
      </c>
      <c r="FU542">
        <f>IF(ISBLANK('Data Entry'!$ñ$542), "", 'Data Entry'!$ñ$542)</f>
      </c>
      <c r="FV542">
        <f>IF(ISBLANK('Data Entry'!$ò$542), "", 'Data Entry'!$ò$542)</f>
      </c>
      <c r="FW542">
        <f>IF(ISBLANK('Data Entry'!$ó$542), "", 'Data Entry'!$ó$542)</f>
      </c>
      <c r="FX542">
        <f>IF(ISBLANK('Data Entry'!$ô$542), "", 'Data Entry'!$ô$542)</f>
      </c>
      <c r="FY542">
        <f>IF(ISBLANK('Data Entry'!$õ$542), "", 'Data Entry'!$õ$542)</f>
      </c>
      <c r="FZ542">
        <f>IF(ISBLANK('Data Entry'!$ö$542), "", 'Data Entry'!$ö$542)</f>
      </c>
      <c r="GA542">
        <f>IF(ISBLANK('Data Entry'!$÷$542), "", 'Data Entry'!$÷$542)</f>
      </c>
      <c r="GB542">
        <f>IF(ISBLANK('Data Entry'!$ø$542), "", 'Data Entry'!$ø$542)</f>
      </c>
      <c r="GC542">
        <f>IF(ISBLANK('Data Entry'!$ù$542), "", 'Data Entry'!$ù$542)</f>
      </c>
      <c r="GD542">
        <f>IF(ISBLANK('Data Entry'!$ú$542), "", 'Data Entry'!$ú$542)</f>
      </c>
      <c r="GE542">
        <f>IF(ISBLANK('Data Entry'!$û$542), "", 'Data Entry'!$û$542)</f>
      </c>
      <c r="GF542">
        <f>IF(ISBLANK('Data Entry'!$ü$542), "", 'Data Entry'!$ü$542)</f>
      </c>
      <c r="GG542">
        <f>IF(ISBLANK('Data Entry'!$ý$542), "", 'Data Entry'!$ý$542)</f>
      </c>
      <c r="GH542">
        <f>IF(ISBLANK('Data Entry'!$þ$542), "", 'Data Entry'!$þ$542)</f>
      </c>
      <c r="GI542">
        <f>IF(ISBLANK('Data Entry'!$ÿ$542), "", 'Data Entry'!$ÿ$542)</f>
      </c>
      <c r="GJ542">
        <f>IF(ISBLANK('Data Entry'!$Ā$542), "", 'Data Entry'!$Ā$542)</f>
      </c>
      <c r="GK542">
        <f>IF(ISBLANK('Data Entry'!$ā$542), "", 'Data Entry'!$ā$542)</f>
      </c>
      <c r="GL542">
        <f>IF(ISBLANK('Data Entry'!$Ă$542), "", 'Data Entry'!$Ă$542)</f>
      </c>
      <c r="GM542">
        <f>IF(ISBLANK('Data Entry'!$ă$542), "", 'Data Entry'!$ă$542)</f>
      </c>
      <c r="GN542">
        <f>IF(ISBLANK('Data Entry'!$Ą$542), "", 'Data Entry'!$Ą$542)</f>
      </c>
      <c r="GO542">
        <f>IF(ISBLANK('Data Entry'!$ą$542), "", 'Data Entry'!$ą$542)</f>
      </c>
      <c r="GP542">
        <f>IF(ISBLANK('Data Entry'!$Ć$542), "", 'Data Entry'!$Ć$542)</f>
      </c>
      <c r="GQ542">
        <f>IF(ISBLANK('Data Entry'!$ć$542), "", 'Data Entry'!$ć$542)</f>
      </c>
      <c r="GR542">
        <f>IF(ISBLANK('Data Entry'!$Ĉ$542), "", 'Data Entry'!$Ĉ$542)</f>
      </c>
      <c r="GS542">
        <f>IF(ISBLANK('Data Entry'!$ĉ$542), "", 'Data Entry'!$ĉ$542)</f>
      </c>
      <c r="GT542">
        <f>IF(ISBLANK('Data Entry'!$Ċ$542), "", 'Data Entry'!$Ċ$542)</f>
      </c>
      <c r="GU542">
        <f>IF(ISBLANK('Data Entry'!$ċ$542), "", 'Data Entry'!$ċ$542)</f>
      </c>
      <c r="GV542">
        <f>IF(ISBLANK('Data Entry'!$Č$542), "", 'Data Entry'!$Č$542)</f>
      </c>
      <c r="GW542">
        <f>IF(ISBLANK('Data Entry'!$č$542), "", 'Data Entry'!$č$542)</f>
      </c>
      <c r="GX542">
        <f>IF(ISBLANK('Data Entry'!$Ď$542), "", 'Data Entry'!$Ď$542)</f>
      </c>
      <c r="GY542">
        <f>IF(ISBLANK('Data Entry'!$ď$542), "", 'Data Entry'!$ď$542)</f>
      </c>
      <c r="GZ542">
        <f>IF(ISBLANK('Data Entry'!$Đ$542), "", 'Data Entry'!$Đ$542)</f>
      </c>
      <c r="HA542">
        <f>IF(ISBLANK('Data Entry'!$đ$542), "", 'Data Entry'!$đ$542)</f>
      </c>
      <c r="HB542">
        <f>IF(ISBLANK('Data Entry'!$Ē$542), "", 'Data Entry'!$Ē$542)</f>
      </c>
      <c r="HC542">
        <f>IF(ISBLANK('Data Entry'!$ē$542), "", 'Data Entry'!$ē$542)</f>
      </c>
      <c r="HD542">
        <f>IF(ISBLANK('Data Entry'!$Ĕ$542), "", 'Data Entry'!$Ĕ$542)</f>
      </c>
      <c r="HE542">
        <f>IF(ISBLANK('Data Entry'!$ĕ$542), "", 'Data Entry'!$ĕ$542)</f>
      </c>
      <c r="HF542">
        <f>IF(ISBLANK('Data Entry'!$Ė$542), "", 'Data Entry'!$Ė$542)</f>
      </c>
      <c r="HG542">
        <f>IF(ISBLANK('Data Entry'!$ė$542), "", 'Data Entry'!$ė$542)</f>
      </c>
      <c r="HH542">
        <f>IF(ISBLANK('Data Entry'!$Ę$542), "", 'Data Entry'!$Ę$542)</f>
      </c>
      <c r="HI542">
        <f>IF(ISBLANK('Data Entry'!$ę$542), "", 'Data Entry'!$ę$542)</f>
      </c>
      <c r="HJ542">
        <f>IF(ISBLANK('Data Entry'!$Ě$542), "", 'Data Entry'!$Ě$542)</f>
      </c>
      <c r="HK542">
        <f>IF(ISBLANK('Data Entry'!$ě$542), "", 'Data Entry'!$ě$542)</f>
      </c>
      <c r="HL542">
        <f>IF(ISBLANK('Data Entry'!$Ĝ$542), "", 'Data Entry'!$Ĝ$542)</f>
      </c>
      <c r="HM542">
        <f>IF(ISBLANK('Data Entry'!$ĝ$542), "", 'Data Entry'!$ĝ$542)</f>
      </c>
      <c r="HN542">
        <f>IF(ISBLANK('Data Entry'!$Ğ$542), "", 'Data Entry'!$Ğ$542)</f>
      </c>
      <c r="HO542">
        <f>IF(ISBLANK('Data Entry'!$ğ$542), "", 'Data Entry'!$ğ$542)</f>
      </c>
      <c r="HP542">
        <f>IF(ISBLANK('Data Entry'!$Ġ$542), "", 'Data Entry'!$Ġ$542)</f>
      </c>
      <c r="HQ542">
        <f>IF(ISBLANK('Data Entry'!$ġ$542), "", 'Data Entry'!$ġ$542)</f>
      </c>
      <c r="HR542">
        <f>IF(ISBLANK('Data Entry'!$Ģ$542), "", 'Data Entry'!$Ģ$542)</f>
      </c>
      <c r="HS542">
        <f>IF(ISBLANK('Data Entry'!$ģ$542), "", 'Data Entry'!$ģ$542)</f>
      </c>
      <c r="HT542">
        <f>IF(ISBLANK('Data Entry'!$Ĥ$542), "", 'Data Entry'!$Ĥ$542)</f>
      </c>
      <c r="HU542">
        <f>IF(ISBLANK('Data Entry'!$ĥ$542), "", 'Data Entry'!$ĥ$542)</f>
      </c>
      <c r="HV542">
        <f>IF(ISBLANK('Data Entry'!$Ħ$542), "", 'Data Entry'!$Ħ$542)</f>
      </c>
      <c r="HW542">
        <f>IF(ISBLANK('Data Entry'!$ħ$542), "", 'Data Entry'!$ħ$542)</f>
      </c>
      <c r="HX542">
        <f>IF(ISBLANK('Data Entry'!$Ĩ$542), "", 'Data Entry'!$Ĩ$542)</f>
      </c>
      <c r="HY542">
        <f>IF(ISBLANK('Data Entry'!$ĩ$542), "", 'Data Entry'!$ĩ$542)</f>
      </c>
      <c r="HZ542">
        <f>IF(ISBLANK('Data Entry'!$Ī$542), "", 'Data Entry'!$Ī$542)</f>
      </c>
      <c r="IA542">
        <f>IF(ISBLANK('Data Entry'!$ī$542), "", 'Data Entry'!$ī$542)</f>
      </c>
      <c r="IB542">
        <f>IF(ISBLANK('Data Entry'!$Ĭ$542), "", 'Data Entry'!$Ĭ$542)</f>
      </c>
      <c r="IC542">
        <f>IF(ISBLANK('Data Entry'!$ĭ$542), "", 'Data Entry'!$ĭ$542)</f>
      </c>
      <c r="ID542">
        <f>IF(ISBLANK('Data Entry'!$Į$542), "", 'Data Entry'!$Į$542)</f>
      </c>
      <c r="IE542">
        <f>IF(ISBLANK('Data Entry'!$į$542), "", 'Data Entry'!$į$542)</f>
      </c>
      <c r="IF542">
        <f>IF(ISBLANK('Data Entry'!$İ$542), "", 'Data Entry'!$İ$542)</f>
      </c>
      <c r="IG542">
        <f>IF(ISBLANK('Data Entry'!$ı$542), "", 'Data Entry'!$ı$542)</f>
      </c>
      <c r="IH542">
        <f>IF(ISBLANK('Data Entry'!$Ĳ$542), "", 'Data Entry'!$Ĳ$542)</f>
      </c>
      <c r="II542">
        <f>IF(ISBLANK('Data Entry'!$ĳ$542), "", 'Data Entry'!$ĳ$542)</f>
      </c>
      <c r="IJ542">
        <f>IF(ISBLANK('Data Entry'!$Ĵ$542), "", 'Data Entry'!$Ĵ$542)</f>
      </c>
      <c r="IK542">
        <f>IF(ISBLANK('Data Entry'!$ĵ$542), "", 'Data Entry'!$ĵ$542)</f>
      </c>
      <c r="IL542">
        <f>IF(ISBLANK('Data Entry'!$Ķ$542), "", 'Data Entry'!$Ķ$542)</f>
      </c>
      <c r="IM542">
        <f>IF(ISBLANK('Data Entry'!$ķ$542), "", 'Data Entry'!$ķ$542)</f>
      </c>
      <c r="IN542">
        <f>IF(ISBLANK('Data Entry'!$ĸ$542), "", 'Data Entry'!$ĸ$542)</f>
      </c>
      <c r="IO542">
        <f>IF(ISBLANK('Data Entry'!$Ĺ$542), "", 'Data Entry'!$Ĺ$542)</f>
      </c>
      <c r="IP542">
        <f>IF(ISBLANK('Data Entry'!$ĺ$542), "", 'Data Entry'!$ĺ$542)</f>
      </c>
      <c r="IQ542">
        <f>IF(ISBLANK('Data Entry'!$Ļ$542), "", 'Data Entry'!$Ļ$542)</f>
      </c>
      <c r="IR542">
        <f>IF(ISBLANK('Data Entry'!$ļ$542), "", 'Data Entry'!$ļ$542)</f>
      </c>
      <c r="IS542">
        <f>IF(ISBLANK('Data Entry'!$Ľ$542), "", 'Data Entry'!$Ľ$542)</f>
      </c>
      <c r="IT542">
        <f>IF(ISBLANK('Data Entry'!$ľ$542), "", 'Data Entry'!$ľ$542)</f>
      </c>
    </row>
    <row r="543" spans="1:254" x14ac:dyDescent="0.25">
      <c r="A543">
        <f>IF(ISBLANK('Data Entry'!$A$543), "", 'Data Entry'!$A$543)</f>
      </c>
      <c r="B543">
        <f>IF(ISBLANK('Data Entry'!$B$543), "", 'Data Entry'!$B$543)</f>
      </c>
      <c r="C543">
        <f>IF(ISBLANK('Data Entry'!$C$543), "", 'Data Entry'!$C$543)</f>
      </c>
      <c r="D543">
        <f>IF(ISBLANK('Data Entry'!$D$543), "", 'Data Entry'!$D$543)</f>
      </c>
      <c r="E543">
        <f>IF(ISBLANK('Data Entry'!$E$543), "", 'Data Entry'!$E$543)</f>
      </c>
      <c r="F543">
        <f>IF(ISBLANK('Data Entry'!$F$543), "", 'Data Entry'!$F$543)</f>
      </c>
      <c r="G543">
        <f>IF(ISBLANK('Data Entry'!$G$543), "", 'Data Entry'!$G$543)</f>
      </c>
      <c r="H543">
        <f>IF(ISBLANK('Data Entry'!$H$543), "", 'Data Entry'!$H$543)</f>
      </c>
      <c r="I543">
        <f>IF(ISBLANK('Data Entry'!$I$543), "", 'Data Entry'!$I$543)</f>
      </c>
      <c r="J543">
        <f>IF(ISBLANK('Data Entry'!$J$543), "", 'Data Entry'!$J$543)</f>
      </c>
      <c r="K543">
        <f>IF(ISBLANK('Data Entry'!$K$543), "", 'Data Entry'!$K$543)</f>
      </c>
      <c r="L543">
        <f>IF(ISBLANK('Data Entry'!$L$543), "", 'Data Entry'!$L$543)</f>
      </c>
      <c r="M543">
        <f>IF(ISBLANK('Data Entry'!$M$543), "", 'Data Entry'!$M$543)</f>
      </c>
      <c r="N543">
        <f>IF(ISBLANK('Data Entry'!$N$543), "", 'Data Entry'!$N$543)</f>
      </c>
      <c r="O543">
        <f>IF(ISBLANK('Data Entry'!$O$543), "", 'Data Entry'!$O$543)</f>
      </c>
      <c r="P543">
        <f>IF(ISBLANK('Data Entry'!$P$543), "", 'Data Entry'!$P$543)</f>
      </c>
      <c r="Q543">
        <f>IF(ISBLANK('Data Entry'!$Q$543), "", 'Data Entry'!$Q$543)</f>
      </c>
      <c r="R543">
        <f>IF(ISBLANK('Data Entry'!$R$543), "", 'Data Entry'!$R$543)</f>
      </c>
      <c r="S543">
        <f>IF(ISBLANK('Data Entry'!$S$543), "", 'Data Entry'!$S$543)</f>
      </c>
      <c r="T543">
        <f>IF(ISBLANK('Data Entry'!$T$543), "", 'Data Entry'!$T$543)</f>
      </c>
      <c r="U543">
        <f>IF(ISBLANK('Data Entry'!$U$543), "", 'Data Entry'!$U$543)</f>
      </c>
      <c r="V543">
        <f>IF(ISBLANK('Data Entry'!$V$543), "", 'Data Entry'!$V$543)</f>
      </c>
      <c r="W543">
        <f>IF(ISBLANK('Data Entry'!$W$543), "", 'Data Entry'!$W$543)</f>
      </c>
      <c r="X543">
        <f>IF(ISBLANK('Data Entry'!$X$543), "", 'Data Entry'!$X$543)</f>
      </c>
      <c r="Y543">
        <f>IF(ISBLANK('Data Entry'!$Y$543), "", 'Data Entry'!$Y$543)</f>
      </c>
      <c r="Z543">
        <f>IF(ISBLANK('Data Entry'!$Z$543), "", 'Data Entry'!$Z$543)</f>
      </c>
      <c r="AA543">
        <f>IF(ISBLANK('Data Entry'!$[$543), "", 'Data Entry'!$[$543)</f>
      </c>
      <c r="AB543">
        <f>IF(ISBLANK('Data Entry'!$\$543), "", 'Data Entry'!$\$543)</f>
      </c>
      <c r="AC543">
        <f>IF(ISBLANK('Data Entry'!$]$543), "", 'Data Entry'!$]$543)</f>
      </c>
      <c r="AD543">
        <f>IF(ISBLANK('Data Entry'!$^$543), "", 'Data Entry'!$^$543)</f>
      </c>
      <c r="AE543">
        <f>IF(ISBLANK('Data Entry'!$_$543), "", 'Data Entry'!$_$543)</f>
      </c>
      <c r="AF543">
        <f>IF(ISBLANK('Data Entry'!$`$543), "", 'Data Entry'!$`$543)</f>
      </c>
      <c r="AG543">
        <f>IF(ISBLANK('Data Entry'!$a$543), "", 'Data Entry'!$a$543)</f>
      </c>
      <c r="AH543">
        <f>IF(ISBLANK('Data Entry'!$b$543), "", 'Data Entry'!$b$543)</f>
      </c>
      <c r="AI543">
        <f>IF(ISBLANK('Data Entry'!$c$543), "", 'Data Entry'!$c$543)</f>
      </c>
      <c r="AJ543">
        <f>IF(ISBLANK('Data Entry'!$d$543), "", 'Data Entry'!$d$543)</f>
      </c>
      <c r="AK543">
        <f>IF(ISBLANK('Data Entry'!$e$543), "", 'Data Entry'!$e$543)</f>
      </c>
      <c r="AL543">
        <f>IF(ISBLANK('Data Entry'!$f$543), "", 'Data Entry'!$f$543)</f>
      </c>
      <c r="AM543">
        <f>IF(ISBLANK('Data Entry'!$g$543), "", 'Data Entry'!$g$543)</f>
      </c>
      <c r="AN543">
        <f>IF(ISBLANK('Data Entry'!$h$543), "", 'Data Entry'!$h$543)</f>
      </c>
      <c r="AO543">
        <f>IF(ISBLANK('Data Entry'!$i$543), "", 'Data Entry'!$i$543)</f>
      </c>
      <c r="AP543">
        <f>IF(ISBLANK('Data Entry'!$j$543), "", 'Data Entry'!$j$543)</f>
      </c>
      <c r="AQ543">
        <f>IF(ISBLANK('Data Entry'!$k$543), "", 'Data Entry'!$k$543)</f>
      </c>
      <c r="AR543">
        <f>IF(ISBLANK('Data Entry'!$l$543), "", 'Data Entry'!$l$543)</f>
      </c>
      <c r="AS543">
        <f>IF(ISBLANK('Data Entry'!$m$543), "", 'Data Entry'!$m$543)</f>
      </c>
      <c r="AT543">
        <f>IF(ISBLANK('Data Entry'!$n$543), "", 'Data Entry'!$n$543)</f>
      </c>
      <c r="AU543">
        <f>IF(ISBLANK('Data Entry'!$o$543), "", 'Data Entry'!$o$543)</f>
      </c>
      <c r="AV543">
        <f>IF(ISBLANK('Data Entry'!$p$543), "", 'Data Entry'!$p$543)</f>
      </c>
      <c r="AW543">
        <f>IF(ISBLANK('Data Entry'!$q$543), "", 'Data Entry'!$q$543)</f>
      </c>
      <c r="AX543">
        <f>IF(ISBLANK('Data Entry'!$r$543), "", 'Data Entry'!$r$543)</f>
      </c>
      <c r="AY543">
        <f>IF(ISBLANK('Data Entry'!$s$543), "", 'Data Entry'!$s$543)</f>
      </c>
      <c r="AZ543">
        <f>IF(ISBLANK('Data Entry'!$t$543), "", 'Data Entry'!$t$543)</f>
      </c>
      <c r="BA543">
        <f>IF(ISBLANK('Data Entry'!$u$543), "", 'Data Entry'!$u$543)</f>
      </c>
      <c r="BB543">
        <f>IF(ISBLANK('Data Entry'!$v$543), "", 'Data Entry'!$v$543)</f>
      </c>
      <c r="BC543">
        <f>IF(ISBLANK('Data Entry'!$w$543), "", 'Data Entry'!$w$543)</f>
      </c>
      <c r="BD543">
        <f>IF(ISBLANK('Data Entry'!$x$543), "", 'Data Entry'!$x$543)</f>
      </c>
      <c r="BE543">
        <f>IF(ISBLANK('Data Entry'!$y$543), "", 'Data Entry'!$y$543)</f>
      </c>
      <c r="BF543">
        <f>IF(ISBLANK('Data Entry'!$z$543), "", 'Data Entry'!$z$543)</f>
      </c>
      <c r="BG543">
        <f>IF(ISBLANK('Data Entry'!${$543), "", 'Data Entry'!${$543)</f>
      </c>
      <c r="BH543">
        <f>IF(ISBLANK('Data Entry'!$|$543), "", 'Data Entry'!$|$543)</f>
      </c>
      <c r="BI543">
        <f>IF(ISBLANK('Data Entry'!$}$543), "", 'Data Entry'!$}$543)</f>
      </c>
      <c r="BJ543">
        <f>IF(ISBLANK('Data Entry'!$~$543), "", 'Data Entry'!$~$543)</f>
      </c>
      <c r="BK543">
        <f>IF(ISBLANK('Data Entry'!$$543), "", 'Data Entry'!$$543)</f>
      </c>
      <c r="BL543">
        <f>IF(ISBLANK('Data Entry'!$$543), "", 'Data Entry'!$$543)</f>
      </c>
      <c r="BM543">
        <f>IF(ISBLANK('Data Entry'!$$543), "", 'Data Entry'!$$543)</f>
      </c>
      <c r="BN543">
        <f>IF(ISBLANK('Data Entry'!$$543), "", 'Data Entry'!$$543)</f>
      </c>
      <c r="BO543">
        <f>IF(ISBLANK('Data Entry'!$$543), "", 'Data Entry'!$$543)</f>
      </c>
      <c r="BP543">
        <f>IF(ISBLANK('Data Entry'!$$543), "", 'Data Entry'!$$543)</f>
      </c>
      <c r="BQ543">
        <f>IF(ISBLANK('Data Entry'!$$543), "", 'Data Entry'!$$543)</f>
      </c>
      <c r="BR543">
        <f>IF(ISBLANK('Data Entry'!$$543), "", 'Data Entry'!$$543)</f>
      </c>
      <c r="BS543">
        <f>IF(ISBLANK('Data Entry'!$$543), "", 'Data Entry'!$$543)</f>
      </c>
      <c r="BT543">
        <f>IF(ISBLANK('Data Entry'!$$543), "", 'Data Entry'!$$543)</f>
      </c>
      <c r="BU543">
        <f>IF(ISBLANK('Data Entry'!$$543), "", 'Data Entry'!$$543)</f>
      </c>
      <c r="BV543">
        <f>IF(ISBLANK('Data Entry'!$$543), "", 'Data Entry'!$$543)</f>
      </c>
      <c r="BW543">
        <f>IF(ISBLANK('Data Entry'!$$543), "", 'Data Entry'!$$543)</f>
      </c>
      <c r="BX543">
        <f>IF(ISBLANK('Data Entry'!$$543), "", 'Data Entry'!$$543)</f>
      </c>
      <c r="BY543">
        <f>IF(ISBLANK('Data Entry'!$$543), "", 'Data Entry'!$$543)</f>
      </c>
      <c r="BZ543">
        <f>IF(ISBLANK('Data Entry'!$$543), "", 'Data Entry'!$$543)</f>
      </c>
      <c r="CA543">
        <f>IF(ISBLANK('Data Entry'!$$543), "", 'Data Entry'!$$543)</f>
      </c>
      <c r="CB543">
        <f>IF(ISBLANK('Data Entry'!$$543), "", 'Data Entry'!$$543)</f>
      </c>
      <c r="CC543">
        <f>IF(ISBLANK('Data Entry'!$$543), "", 'Data Entry'!$$543)</f>
      </c>
      <c r="CD543">
        <f>IF(ISBLANK('Data Entry'!$$543), "", 'Data Entry'!$$543)</f>
      </c>
      <c r="CE543">
        <f>IF(ISBLANK('Data Entry'!$$543), "", 'Data Entry'!$$543)</f>
      </c>
      <c r="CF543">
        <f>IF(ISBLANK('Data Entry'!$$543), "", 'Data Entry'!$$543)</f>
      </c>
      <c r="CG543">
        <f>IF(ISBLANK('Data Entry'!$$543), "", 'Data Entry'!$$543)</f>
      </c>
      <c r="CH543">
        <f>IF(ISBLANK('Data Entry'!$$543), "", 'Data Entry'!$$543)</f>
      </c>
      <c r="CI543">
        <f>IF(ISBLANK('Data Entry'!$$543), "", 'Data Entry'!$$543)</f>
      </c>
      <c r="CJ543">
        <f>IF(ISBLANK('Data Entry'!$$543), "", 'Data Entry'!$$543)</f>
      </c>
      <c r="CK543">
        <f>IF(ISBLANK('Data Entry'!$$543), "", 'Data Entry'!$$543)</f>
      </c>
      <c r="CL543">
        <f>IF(ISBLANK('Data Entry'!$$543), "", 'Data Entry'!$$543)</f>
      </c>
      <c r="CM543">
        <f>IF(ISBLANK('Data Entry'!$$543), "", 'Data Entry'!$$543)</f>
      </c>
      <c r="CN543">
        <f>IF(ISBLANK('Data Entry'!$$543), "", 'Data Entry'!$$543)</f>
      </c>
      <c r="CO543">
        <f>IF(ISBLANK('Data Entry'!$$543), "", 'Data Entry'!$$543)</f>
      </c>
      <c r="CP543">
        <f>IF(ISBLANK('Data Entry'!$$543), "", 'Data Entry'!$$543)</f>
      </c>
      <c r="CQ543">
        <f>IF(ISBLANK('Data Entry'!$$543), "", 'Data Entry'!$$543)</f>
      </c>
      <c r="CR543">
        <f>IF(ISBLANK('Data Entry'!$ $543), "", 'Data Entry'!$ $543)</f>
      </c>
      <c r="CS543">
        <f>IF(ISBLANK('Data Entry'!$¡$543), "", 'Data Entry'!$¡$543)</f>
      </c>
      <c r="CT543">
        <f>IF(ISBLANK('Data Entry'!$¢$543), "", 'Data Entry'!$¢$543)</f>
      </c>
      <c r="CU543">
        <f>IF(ISBLANK('Data Entry'!$£$543), "", 'Data Entry'!$£$543)</f>
      </c>
      <c r="CV543">
        <f>IF(ISBLANK('Data Entry'!$¤$543), "", 'Data Entry'!$¤$543)</f>
      </c>
      <c r="CW543">
        <f>IF(ISBLANK('Data Entry'!$¥$543), "", 'Data Entry'!$¥$543)</f>
      </c>
      <c r="CX543">
        <f>IF(ISBLANK('Data Entry'!$¦$543), "", 'Data Entry'!$¦$543)</f>
      </c>
      <c r="CY543">
        <f>IF(ISBLANK('Data Entry'!$§$543), "", 'Data Entry'!$§$543)</f>
      </c>
      <c r="CZ543">
        <f>IF(ISBLANK('Data Entry'!$¨$543), "", 'Data Entry'!$¨$543)</f>
      </c>
      <c r="DA543">
        <f>IF(ISBLANK('Data Entry'!$©$543), "", 'Data Entry'!$©$543)</f>
      </c>
      <c r="DB543">
        <f>IF(ISBLANK('Data Entry'!$ª$543), "", 'Data Entry'!$ª$543)</f>
      </c>
      <c r="DC543">
        <f>IF(ISBLANK('Data Entry'!$«$543), "", 'Data Entry'!$«$543)</f>
      </c>
      <c r="DD543">
        <f>IF(ISBLANK('Data Entry'!$¬$543), "", 'Data Entry'!$¬$543)</f>
      </c>
      <c r="DE543">
        <f>IF(ISBLANK('Data Entry'!$­$543), "", 'Data Entry'!$­$543)</f>
      </c>
      <c r="DF543">
        <f>IF(ISBLANK('Data Entry'!$®$543), "", 'Data Entry'!$®$543)</f>
      </c>
      <c r="DG543">
        <f>IF(ISBLANK('Data Entry'!$¯$543), "", 'Data Entry'!$¯$543)</f>
      </c>
      <c r="DH543">
        <f>IF(ISBLANK('Data Entry'!$°$543), "", 'Data Entry'!$°$543)</f>
      </c>
      <c r="DI543">
        <f>IF(ISBLANK('Data Entry'!$±$543), "", 'Data Entry'!$±$543)</f>
      </c>
      <c r="DJ543">
        <f>IF(ISBLANK('Data Entry'!$²$543), "", 'Data Entry'!$²$543)</f>
      </c>
      <c r="DK543">
        <f>IF(ISBLANK('Data Entry'!$³$543), "", 'Data Entry'!$³$543)</f>
      </c>
      <c r="DL543">
        <f>IF(ISBLANK('Data Entry'!$´$543), "", 'Data Entry'!$´$543)</f>
      </c>
      <c r="DM543">
        <f>IF(ISBLANK('Data Entry'!$µ$543), "", 'Data Entry'!$µ$543)</f>
      </c>
      <c r="DN543">
        <f>IF(ISBLANK('Data Entry'!$¶$543), "", 'Data Entry'!$¶$543)</f>
      </c>
      <c r="DO543">
        <f>IF(ISBLANK('Data Entry'!$·$543), "", 'Data Entry'!$·$543)</f>
      </c>
      <c r="DP543">
        <f>IF(ISBLANK('Data Entry'!$¸$543), "", 'Data Entry'!$¸$543)</f>
      </c>
      <c r="DQ543">
        <f>IF(ISBLANK('Data Entry'!$¹$543), "", 'Data Entry'!$¹$543)</f>
      </c>
      <c r="DR543">
        <f>IF(ISBLANK('Data Entry'!$º$543), "", 'Data Entry'!$º$543)</f>
      </c>
      <c r="DS543">
        <f>IF(ISBLANK('Data Entry'!$»$543), "", 'Data Entry'!$»$543)</f>
      </c>
      <c r="DT543">
        <f>IF(ISBLANK('Data Entry'!$¼$543), "", 'Data Entry'!$¼$543)</f>
      </c>
      <c r="DU543">
        <f>IF(ISBLANK('Data Entry'!$½$543), "", 'Data Entry'!$½$543)</f>
      </c>
      <c r="DV543">
        <f>IF(ISBLANK('Data Entry'!$¾$543), "", 'Data Entry'!$¾$543)</f>
      </c>
      <c r="DW543">
        <f>IF(ISBLANK('Data Entry'!$¿$543), "", 'Data Entry'!$¿$543)</f>
      </c>
      <c r="DX543">
        <f>IF(ISBLANK('Data Entry'!$À$543), "", 'Data Entry'!$À$543)</f>
      </c>
      <c r="DY543">
        <f>IF(ISBLANK('Data Entry'!$Á$543), "", 'Data Entry'!$Á$543)</f>
      </c>
      <c r="DZ543">
        <f>IF(ISBLANK('Data Entry'!$Â$543), "", 'Data Entry'!$Â$543)</f>
      </c>
      <c r="EA543">
        <f>IF(ISBLANK('Data Entry'!$Ã$543), "", 'Data Entry'!$Ã$543)</f>
      </c>
      <c r="EB543">
        <f>IF(ISBLANK('Data Entry'!$Ä$543), "", 'Data Entry'!$Ä$543)</f>
      </c>
      <c r="EC543">
        <f>IF(ISBLANK('Data Entry'!$Å$543), "", 'Data Entry'!$Å$543)</f>
      </c>
      <c r="ED543">
        <f>IF(ISBLANK('Data Entry'!$Æ$543), "", 'Data Entry'!$Æ$543)</f>
      </c>
      <c r="EE543">
        <f>IF(ISBLANK('Data Entry'!$Ç$543), "", 'Data Entry'!$Ç$543)</f>
      </c>
      <c r="EF543">
        <f>IF(ISBLANK('Data Entry'!$È$543), "", 'Data Entry'!$È$543)</f>
      </c>
      <c r="EG543">
        <f>IF(ISBLANK('Data Entry'!$É$543), "", 'Data Entry'!$É$543)</f>
      </c>
      <c r="EH543">
        <f>IF(ISBLANK('Data Entry'!$Ê$543), "", 'Data Entry'!$Ê$543)</f>
      </c>
      <c r="EI543">
        <f>IF(ISBLANK('Data Entry'!$Ë$543), "", 'Data Entry'!$Ë$543)</f>
      </c>
      <c r="EJ543">
        <f>IF(ISBLANK('Data Entry'!$Ì$543), "", 'Data Entry'!$Ì$543)</f>
      </c>
      <c r="EK543">
        <f>IF(ISBLANK('Data Entry'!$Í$543), "", 'Data Entry'!$Í$543)</f>
      </c>
      <c r="EL543">
        <f>IF(ISBLANK('Data Entry'!$Î$543), "", 'Data Entry'!$Î$543)</f>
      </c>
      <c r="EM543">
        <f>IF(ISBLANK('Data Entry'!$Ï$543), "", 'Data Entry'!$Ï$543)</f>
      </c>
      <c r="EN543">
        <f>IF(ISBLANK('Data Entry'!$Ð$543), "", 'Data Entry'!$Ð$543)</f>
      </c>
      <c r="EO543">
        <f>IF(ISBLANK('Data Entry'!$Ñ$543), "", 'Data Entry'!$Ñ$543)</f>
      </c>
      <c r="EP543">
        <f>IF(ISBLANK('Data Entry'!$Ò$543), "", 'Data Entry'!$Ò$543)</f>
      </c>
      <c r="EQ543">
        <f>IF(ISBLANK('Data Entry'!$Ó$543), "", 'Data Entry'!$Ó$543)</f>
      </c>
      <c r="ER543">
        <f>IF(ISBLANK('Data Entry'!$Ô$543), "", 'Data Entry'!$Ô$543)</f>
      </c>
      <c r="ES543">
        <f>IF(ISBLANK('Data Entry'!$Õ$543), "", 'Data Entry'!$Õ$543)</f>
      </c>
      <c r="ET543">
        <f>IF(ISBLANK('Data Entry'!$Ö$543), "", 'Data Entry'!$Ö$543)</f>
      </c>
      <c r="EU543">
        <f>IF(ISBLANK('Data Entry'!$×$543), "", 'Data Entry'!$×$543)</f>
      </c>
      <c r="EV543">
        <f>IF(ISBLANK('Data Entry'!$Ø$543), "", 'Data Entry'!$Ø$543)</f>
      </c>
      <c r="EW543">
        <f>IF(ISBLANK('Data Entry'!$Ù$543), "", 'Data Entry'!$Ù$543)</f>
      </c>
      <c r="EX543">
        <f>IF(ISBLANK('Data Entry'!$Ú$543), "", 'Data Entry'!$Ú$543)</f>
      </c>
      <c r="EY543">
        <f>IF(ISBLANK('Data Entry'!$Û$543), "", 'Data Entry'!$Û$543)</f>
      </c>
      <c r="EZ543">
        <f>IF(ISBLANK('Data Entry'!$Ü$543), "", 'Data Entry'!$Ü$543)</f>
      </c>
      <c r="FA543">
        <f>IF(ISBLANK('Data Entry'!$Ý$543), "", 'Data Entry'!$Ý$543)</f>
      </c>
      <c r="FB543">
        <f>IF(ISBLANK('Data Entry'!$Þ$543), "", 'Data Entry'!$Þ$543)</f>
      </c>
      <c r="FC543">
        <f>IF(ISBLANK('Data Entry'!$ß$543), "", 'Data Entry'!$ß$543)</f>
      </c>
      <c r="FD543">
        <f>IF(ISBLANK('Data Entry'!$à$543), "", 'Data Entry'!$à$543)</f>
      </c>
      <c r="FE543">
        <f>IF(ISBLANK('Data Entry'!$á$543), "", 'Data Entry'!$á$543)</f>
      </c>
      <c r="FF543">
        <f>IF(ISBLANK('Data Entry'!$â$543), "", 'Data Entry'!$â$543)</f>
      </c>
      <c r="FG543">
        <f>IF(ISBLANK('Data Entry'!$ã$543), "", 'Data Entry'!$ã$543)</f>
      </c>
      <c r="FH543">
        <f>IF(ISBLANK('Data Entry'!$ä$543), "", 'Data Entry'!$ä$543)</f>
      </c>
      <c r="FI543">
        <f>IF(ISBLANK('Data Entry'!$å$543), "", 'Data Entry'!$å$543)</f>
      </c>
      <c r="FJ543">
        <f>IF(ISBLANK('Data Entry'!$æ$543), "", 'Data Entry'!$æ$543)</f>
      </c>
      <c r="FK543">
        <f>IF(ISBLANK('Data Entry'!$ç$543), "", 'Data Entry'!$ç$543)</f>
      </c>
      <c r="FL543">
        <f>IF(ISBLANK('Data Entry'!$è$543), "", 'Data Entry'!$è$543)</f>
      </c>
      <c r="FM543">
        <f>IF(ISBLANK('Data Entry'!$é$543), "", 'Data Entry'!$é$543)</f>
      </c>
      <c r="FN543">
        <f>IF(ISBLANK('Data Entry'!$ê$543), "", 'Data Entry'!$ê$543)</f>
      </c>
      <c r="FO543">
        <f>IF(ISBLANK('Data Entry'!$ë$543), "", 'Data Entry'!$ë$543)</f>
      </c>
      <c r="FP543">
        <f>IF(ISBLANK('Data Entry'!$ì$543), "", 'Data Entry'!$ì$543)</f>
      </c>
      <c r="FQ543">
        <f>IF(ISBLANK('Data Entry'!$í$543), "", 'Data Entry'!$í$543)</f>
      </c>
      <c r="FR543">
        <f>IF(ISBLANK('Data Entry'!$î$543), "", 'Data Entry'!$î$543)</f>
      </c>
      <c r="FS543">
        <f>IF(ISBLANK('Data Entry'!$ï$543), "", 'Data Entry'!$ï$543)</f>
      </c>
      <c r="FT543">
        <f>IF(ISBLANK('Data Entry'!$ð$543), "", 'Data Entry'!$ð$543)</f>
      </c>
      <c r="FU543">
        <f>IF(ISBLANK('Data Entry'!$ñ$543), "", 'Data Entry'!$ñ$543)</f>
      </c>
      <c r="FV543">
        <f>IF(ISBLANK('Data Entry'!$ò$543), "", 'Data Entry'!$ò$543)</f>
      </c>
      <c r="FW543">
        <f>IF(ISBLANK('Data Entry'!$ó$543), "", 'Data Entry'!$ó$543)</f>
      </c>
      <c r="FX543">
        <f>IF(ISBLANK('Data Entry'!$ô$543), "", 'Data Entry'!$ô$543)</f>
      </c>
      <c r="FY543">
        <f>IF(ISBLANK('Data Entry'!$õ$543), "", 'Data Entry'!$õ$543)</f>
      </c>
      <c r="FZ543">
        <f>IF(ISBLANK('Data Entry'!$ö$543), "", 'Data Entry'!$ö$543)</f>
      </c>
      <c r="GA543">
        <f>IF(ISBLANK('Data Entry'!$÷$543), "", 'Data Entry'!$÷$543)</f>
      </c>
      <c r="GB543">
        <f>IF(ISBLANK('Data Entry'!$ø$543), "", 'Data Entry'!$ø$543)</f>
      </c>
      <c r="GC543">
        <f>IF(ISBLANK('Data Entry'!$ù$543), "", 'Data Entry'!$ù$543)</f>
      </c>
      <c r="GD543">
        <f>IF(ISBLANK('Data Entry'!$ú$543), "", 'Data Entry'!$ú$543)</f>
      </c>
      <c r="GE543">
        <f>IF(ISBLANK('Data Entry'!$û$543), "", 'Data Entry'!$û$543)</f>
      </c>
      <c r="GF543">
        <f>IF(ISBLANK('Data Entry'!$ü$543), "", 'Data Entry'!$ü$543)</f>
      </c>
      <c r="GG543">
        <f>IF(ISBLANK('Data Entry'!$ý$543), "", 'Data Entry'!$ý$543)</f>
      </c>
      <c r="GH543">
        <f>IF(ISBLANK('Data Entry'!$þ$543), "", 'Data Entry'!$þ$543)</f>
      </c>
      <c r="GI543">
        <f>IF(ISBLANK('Data Entry'!$ÿ$543), "", 'Data Entry'!$ÿ$543)</f>
      </c>
      <c r="GJ543">
        <f>IF(ISBLANK('Data Entry'!$Ā$543), "", 'Data Entry'!$Ā$543)</f>
      </c>
      <c r="GK543">
        <f>IF(ISBLANK('Data Entry'!$ā$543), "", 'Data Entry'!$ā$543)</f>
      </c>
      <c r="GL543">
        <f>IF(ISBLANK('Data Entry'!$Ă$543), "", 'Data Entry'!$Ă$543)</f>
      </c>
      <c r="GM543">
        <f>IF(ISBLANK('Data Entry'!$ă$543), "", 'Data Entry'!$ă$543)</f>
      </c>
      <c r="GN543">
        <f>IF(ISBLANK('Data Entry'!$Ą$543), "", 'Data Entry'!$Ą$543)</f>
      </c>
      <c r="GO543">
        <f>IF(ISBLANK('Data Entry'!$ą$543), "", 'Data Entry'!$ą$543)</f>
      </c>
      <c r="GP543">
        <f>IF(ISBLANK('Data Entry'!$Ć$543), "", 'Data Entry'!$Ć$543)</f>
      </c>
      <c r="GQ543">
        <f>IF(ISBLANK('Data Entry'!$ć$543), "", 'Data Entry'!$ć$543)</f>
      </c>
      <c r="GR543">
        <f>IF(ISBLANK('Data Entry'!$Ĉ$543), "", 'Data Entry'!$Ĉ$543)</f>
      </c>
      <c r="GS543">
        <f>IF(ISBLANK('Data Entry'!$ĉ$543), "", 'Data Entry'!$ĉ$543)</f>
      </c>
      <c r="GT543">
        <f>IF(ISBLANK('Data Entry'!$Ċ$543), "", 'Data Entry'!$Ċ$543)</f>
      </c>
      <c r="GU543">
        <f>IF(ISBLANK('Data Entry'!$ċ$543), "", 'Data Entry'!$ċ$543)</f>
      </c>
      <c r="GV543">
        <f>IF(ISBLANK('Data Entry'!$Č$543), "", 'Data Entry'!$Č$543)</f>
      </c>
      <c r="GW543">
        <f>IF(ISBLANK('Data Entry'!$č$543), "", 'Data Entry'!$č$543)</f>
      </c>
      <c r="GX543">
        <f>IF(ISBLANK('Data Entry'!$Ď$543), "", 'Data Entry'!$Ď$543)</f>
      </c>
      <c r="GY543">
        <f>IF(ISBLANK('Data Entry'!$ď$543), "", 'Data Entry'!$ď$543)</f>
      </c>
      <c r="GZ543">
        <f>IF(ISBLANK('Data Entry'!$Đ$543), "", 'Data Entry'!$Đ$543)</f>
      </c>
      <c r="HA543">
        <f>IF(ISBLANK('Data Entry'!$đ$543), "", 'Data Entry'!$đ$543)</f>
      </c>
      <c r="HB543">
        <f>IF(ISBLANK('Data Entry'!$Ē$543), "", 'Data Entry'!$Ē$543)</f>
      </c>
      <c r="HC543">
        <f>IF(ISBLANK('Data Entry'!$ē$543), "", 'Data Entry'!$ē$543)</f>
      </c>
      <c r="HD543">
        <f>IF(ISBLANK('Data Entry'!$Ĕ$543), "", 'Data Entry'!$Ĕ$543)</f>
      </c>
      <c r="HE543">
        <f>IF(ISBLANK('Data Entry'!$ĕ$543), "", 'Data Entry'!$ĕ$543)</f>
      </c>
      <c r="HF543">
        <f>IF(ISBLANK('Data Entry'!$Ė$543), "", 'Data Entry'!$Ė$543)</f>
      </c>
      <c r="HG543">
        <f>IF(ISBLANK('Data Entry'!$ė$543), "", 'Data Entry'!$ė$543)</f>
      </c>
      <c r="HH543">
        <f>IF(ISBLANK('Data Entry'!$Ę$543), "", 'Data Entry'!$Ę$543)</f>
      </c>
      <c r="HI543">
        <f>IF(ISBLANK('Data Entry'!$ę$543), "", 'Data Entry'!$ę$543)</f>
      </c>
      <c r="HJ543">
        <f>IF(ISBLANK('Data Entry'!$Ě$543), "", 'Data Entry'!$Ě$543)</f>
      </c>
      <c r="HK543">
        <f>IF(ISBLANK('Data Entry'!$ě$543), "", 'Data Entry'!$ě$543)</f>
      </c>
      <c r="HL543">
        <f>IF(ISBLANK('Data Entry'!$Ĝ$543), "", 'Data Entry'!$Ĝ$543)</f>
      </c>
      <c r="HM543">
        <f>IF(ISBLANK('Data Entry'!$ĝ$543), "", 'Data Entry'!$ĝ$543)</f>
      </c>
      <c r="HN543">
        <f>IF(ISBLANK('Data Entry'!$Ğ$543), "", 'Data Entry'!$Ğ$543)</f>
      </c>
      <c r="HO543">
        <f>IF(ISBLANK('Data Entry'!$ğ$543), "", 'Data Entry'!$ğ$543)</f>
      </c>
      <c r="HP543">
        <f>IF(ISBLANK('Data Entry'!$Ġ$543), "", 'Data Entry'!$Ġ$543)</f>
      </c>
      <c r="HQ543">
        <f>IF(ISBLANK('Data Entry'!$ġ$543), "", 'Data Entry'!$ġ$543)</f>
      </c>
      <c r="HR543">
        <f>IF(ISBLANK('Data Entry'!$Ģ$543), "", 'Data Entry'!$Ģ$543)</f>
      </c>
      <c r="HS543">
        <f>IF(ISBLANK('Data Entry'!$ģ$543), "", 'Data Entry'!$ģ$543)</f>
      </c>
      <c r="HT543">
        <f>IF(ISBLANK('Data Entry'!$Ĥ$543), "", 'Data Entry'!$Ĥ$543)</f>
      </c>
      <c r="HU543">
        <f>IF(ISBLANK('Data Entry'!$ĥ$543), "", 'Data Entry'!$ĥ$543)</f>
      </c>
      <c r="HV543">
        <f>IF(ISBLANK('Data Entry'!$Ħ$543), "", 'Data Entry'!$Ħ$543)</f>
      </c>
      <c r="HW543">
        <f>IF(ISBLANK('Data Entry'!$ħ$543), "", 'Data Entry'!$ħ$543)</f>
      </c>
      <c r="HX543">
        <f>IF(ISBLANK('Data Entry'!$Ĩ$543), "", 'Data Entry'!$Ĩ$543)</f>
      </c>
      <c r="HY543">
        <f>IF(ISBLANK('Data Entry'!$ĩ$543), "", 'Data Entry'!$ĩ$543)</f>
      </c>
      <c r="HZ543">
        <f>IF(ISBLANK('Data Entry'!$Ī$543), "", 'Data Entry'!$Ī$543)</f>
      </c>
      <c r="IA543">
        <f>IF(ISBLANK('Data Entry'!$ī$543), "", 'Data Entry'!$ī$543)</f>
      </c>
      <c r="IB543">
        <f>IF(ISBLANK('Data Entry'!$Ĭ$543), "", 'Data Entry'!$Ĭ$543)</f>
      </c>
      <c r="IC543">
        <f>IF(ISBLANK('Data Entry'!$ĭ$543), "", 'Data Entry'!$ĭ$543)</f>
      </c>
      <c r="ID543">
        <f>IF(ISBLANK('Data Entry'!$Į$543), "", 'Data Entry'!$Į$543)</f>
      </c>
      <c r="IE543">
        <f>IF(ISBLANK('Data Entry'!$į$543), "", 'Data Entry'!$į$543)</f>
      </c>
      <c r="IF543">
        <f>IF(ISBLANK('Data Entry'!$İ$543), "", 'Data Entry'!$İ$543)</f>
      </c>
      <c r="IG543">
        <f>IF(ISBLANK('Data Entry'!$ı$543), "", 'Data Entry'!$ı$543)</f>
      </c>
      <c r="IH543">
        <f>IF(ISBLANK('Data Entry'!$Ĳ$543), "", 'Data Entry'!$Ĳ$543)</f>
      </c>
      <c r="II543">
        <f>IF(ISBLANK('Data Entry'!$ĳ$543), "", 'Data Entry'!$ĳ$543)</f>
      </c>
      <c r="IJ543">
        <f>IF(ISBLANK('Data Entry'!$Ĵ$543), "", 'Data Entry'!$Ĵ$543)</f>
      </c>
      <c r="IK543">
        <f>IF(ISBLANK('Data Entry'!$ĵ$543), "", 'Data Entry'!$ĵ$543)</f>
      </c>
      <c r="IL543">
        <f>IF(ISBLANK('Data Entry'!$Ķ$543), "", 'Data Entry'!$Ķ$543)</f>
      </c>
      <c r="IM543">
        <f>IF(ISBLANK('Data Entry'!$ķ$543), "", 'Data Entry'!$ķ$543)</f>
      </c>
      <c r="IN543">
        <f>IF(ISBLANK('Data Entry'!$ĸ$543), "", 'Data Entry'!$ĸ$543)</f>
      </c>
      <c r="IO543">
        <f>IF(ISBLANK('Data Entry'!$Ĺ$543), "", 'Data Entry'!$Ĺ$543)</f>
      </c>
      <c r="IP543">
        <f>IF(ISBLANK('Data Entry'!$ĺ$543), "", 'Data Entry'!$ĺ$543)</f>
      </c>
      <c r="IQ543">
        <f>IF(ISBLANK('Data Entry'!$Ļ$543), "", 'Data Entry'!$Ļ$543)</f>
      </c>
      <c r="IR543">
        <f>IF(ISBLANK('Data Entry'!$ļ$543), "", 'Data Entry'!$ļ$543)</f>
      </c>
      <c r="IS543">
        <f>IF(ISBLANK('Data Entry'!$Ľ$543), "", 'Data Entry'!$Ľ$543)</f>
      </c>
      <c r="IT543">
        <f>IF(ISBLANK('Data Entry'!$ľ$543), "", 'Data Entry'!$ľ$543)</f>
      </c>
    </row>
    <row r="544" spans="1:254" x14ac:dyDescent="0.25">
      <c r="A544">
        <f>IF(ISBLANK('Data Entry'!$A$544), "", 'Data Entry'!$A$544)</f>
      </c>
      <c r="B544">
        <f>IF(ISBLANK('Data Entry'!$B$544), "", 'Data Entry'!$B$544)</f>
      </c>
      <c r="C544">
        <f>IF(ISBLANK('Data Entry'!$C$544), "", 'Data Entry'!$C$544)</f>
      </c>
      <c r="D544">
        <f>IF(ISBLANK('Data Entry'!$D$544), "", 'Data Entry'!$D$544)</f>
      </c>
      <c r="E544">
        <f>IF(ISBLANK('Data Entry'!$E$544), "", 'Data Entry'!$E$544)</f>
      </c>
      <c r="F544">
        <f>IF(ISBLANK('Data Entry'!$F$544), "", 'Data Entry'!$F$544)</f>
      </c>
      <c r="G544">
        <f>IF(ISBLANK('Data Entry'!$G$544), "", 'Data Entry'!$G$544)</f>
      </c>
      <c r="H544">
        <f>IF(ISBLANK('Data Entry'!$H$544), "", 'Data Entry'!$H$544)</f>
      </c>
      <c r="I544">
        <f>IF(ISBLANK('Data Entry'!$I$544), "", 'Data Entry'!$I$544)</f>
      </c>
      <c r="J544">
        <f>IF(ISBLANK('Data Entry'!$J$544), "", 'Data Entry'!$J$544)</f>
      </c>
      <c r="K544">
        <f>IF(ISBLANK('Data Entry'!$K$544), "", 'Data Entry'!$K$544)</f>
      </c>
      <c r="L544">
        <f>IF(ISBLANK('Data Entry'!$L$544), "", 'Data Entry'!$L$544)</f>
      </c>
      <c r="M544">
        <f>IF(ISBLANK('Data Entry'!$M$544), "", 'Data Entry'!$M$544)</f>
      </c>
      <c r="N544">
        <f>IF(ISBLANK('Data Entry'!$N$544), "", 'Data Entry'!$N$544)</f>
      </c>
      <c r="O544">
        <f>IF(ISBLANK('Data Entry'!$O$544), "", 'Data Entry'!$O$544)</f>
      </c>
      <c r="P544">
        <f>IF(ISBLANK('Data Entry'!$P$544), "", 'Data Entry'!$P$544)</f>
      </c>
      <c r="Q544">
        <f>IF(ISBLANK('Data Entry'!$Q$544), "", 'Data Entry'!$Q$544)</f>
      </c>
      <c r="R544">
        <f>IF(ISBLANK('Data Entry'!$R$544), "", 'Data Entry'!$R$544)</f>
      </c>
      <c r="S544">
        <f>IF(ISBLANK('Data Entry'!$S$544), "", 'Data Entry'!$S$544)</f>
      </c>
      <c r="T544">
        <f>IF(ISBLANK('Data Entry'!$T$544), "", 'Data Entry'!$T$544)</f>
      </c>
      <c r="U544">
        <f>IF(ISBLANK('Data Entry'!$U$544), "", 'Data Entry'!$U$544)</f>
      </c>
      <c r="V544">
        <f>IF(ISBLANK('Data Entry'!$V$544), "", 'Data Entry'!$V$544)</f>
      </c>
      <c r="W544">
        <f>IF(ISBLANK('Data Entry'!$W$544), "", 'Data Entry'!$W$544)</f>
      </c>
      <c r="X544">
        <f>IF(ISBLANK('Data Entry'!$X$544), "", 'Data Entry'!$X$544)</f>
      </c>
      <c r="Y544">
        <f>IF(ISBLANK('Data Entry'!$Y$544), "", 'Data Entry'!$Y$544)</f>
      </c>
      <c r="Z544">
        <f>IF(ISBLANK('Data Entry'!$Z$544), "", 'Data Entry'!$Z$544)</f>
      </c>
      <c r="AA544">
        <f>IF(ISBLANK('Data Entry'!$[$544), "", 'Data Entry'!$[$544)</f>
      </c>
      <c r="AB544">
        <f>IF(ISBLANK('Data Entry'!$\$544), "", 'Data Entry'!$\$544)</f>
      </c>
      <c r="AC544">
        <f>IF(ISBLANK('Data Entry'!$]$544), "", 'Data Entry'!$]$544)</f>
      </c>
      <c r="AD544">
        <f>IF(ISBLANK('Data Entry'!$^$544), "", 'Data Entry'!$^$544)</f>
      </c>
      <c r="AE544">
        <f>IF(ISBLANK('Data Entry'!$_$544), "", 'Data Entry'!$_$544)</f>
      </c>
      <c r="AF544">
        <f>IF(ISBLANK('Data Entry'!$`$544), "", 'Data Entry'!$`$544)</f>
      </c>
      <c r="AG544">
        <f>IF(ISBLANK('Data Entry'!$a$544), "", 'Data Entry'!$a$544)</f>
      </c>
      <c r="AH544">
        <f>IF(ISBLANK('Data Entry'!$b$544), "", 'Data Entry'!$b$544)</f>
      </c>
      <c r="AI544">
        <f>IF(ISBLANK('Data Entry'!$c$544), "", 'Data Entry'!$c$544)</f>
      </c>
      <c r="AJ544">
        <f>IF(ISBLANK('Data Entry'!$d$544), "", 'Data Entry'!$d$544)</f>
      </c>
      <c r="AK544">
        <f>IF(ISBLANK('Data Entry'!$e$544), "", 'Data Entry'!$e$544)</f>
      </c>
      <c r="AL544">
        <f>IF(ISBLANK('Data Entry'!$f$544), "", 'Data Entry'!$f$544)</f>
      </c>
      <c r="AM544">
        <f>IF(ISBLANK('Data Entry'!$g$544), "", 'Data Entry'!$g$544)</f>
      </c>
      <c r="AN544">
        <f>IF(ISBLANK('Data Entry'!$h$544), "", 'Data Entry'!$h$544)</f>
      </c>
      <c r="AO544">
        <f>IF(ISBLANK('Data Entry'!$i$544), "", 'Data Entry'!$i$544)</f>
      </c>
      <c r="AP544">
        <f>IF(ISBLANK('Data Entry'!$j$544), "", 'Data Entry'!$j$544)</f>
      </c>
      <c r="AQ544">
        <f>IF(ISBLANK('Data Entry'!$k$544), "", 'Data Entry'!$k$544)</f>
      </c>
      <c r="AR544">
        <f>IF(ISBLANK('Data Entry'!$l$544), "", 'Data Entry'!$l$544)</f>
      </c>
      <c r="AS544">
        <f>IF(ISBLANK('Data Entry'!$m$544), "", 'Data Entry'!$m$544)</f>
      </c>
      <c r="AT544">
        <f>IF(ISBLANK('Data Entry'!$n$544), "", 'Data Entry'!$n$544)</f>
      </c>
      <c r="AU544">
        <f>IF(ISBLANK('Data Entry'!$o$544), "", 'Data Entry'!$o$544)</f>
      </c>
      <c r="AV544">
        <f>IF(ISBLANK('Data Entry'!$p$544), "", 'Data Entry'!$p$544)</f>
      </c>
      <c r="AW544">
        <f>IF(ISBLANK('Data Entry'!$q$544), "", 'Data Entry'!$q$544)</f>
      </c>
      <c r="AX544">
        <f>IF(ISBLANK('Data Entry'!$r$544), "", 'Data Entry'!$r$544)</f>
      </c>
      <c r="AY544">
        <f>IF(ISBLANK('Data Entry'!$s$544), "", 'Data Entry'!$s$544)</f>
      </c>
      <c r="AZ544">
        <f>IF(ISBLANK('Data Entry'!$t$544), "", 'Data Entry'!$t$544)</f>
      </c>
      <c r="BA544">
        <f>IF(ISBLANK('Data Entry'!$u$544), "", 'Data Entry'!$u$544)</f>
      </c>
      <c r="BB544">
        <f>IF(ISBLANK('Data Entry'!$v$544), "", 'Data Entry'!$v$544)</f>
      </c>
      <c r="BC544">
        <f>IF(ISBLANK('Data Entry'!$w$544), "", 'Data Entry'!$w$544)</f>
      </c>
      <c r="BD544">
        <f>IF(ISBLANK('Data Entry'!$x$544), "", 'Data Entry'!$x$544)</f>
      </c>
      <c r="BE544">
        <f>IF(ISBLANK('Data Entry'!$y$544), "", 'Data Entry'!$y$544)</f>
      </c>
      <c r="BF544">
        <f>IF(ISBLANK('Data Entry'!$z$544), "", 'Data Entry'!$z$544)</f>
      </c>
      <c r="BG544">
        <f>IF(ISBLANK('Data Entry'!${$544), "", 'Data Entry'!${$544)</f>
      </c>
      <c r="BH544">
        <f>IF(ISBLANK('Data Entry'!$|$544), "", 'Data Entry'!$|$544)</f>
      </c>
      <c r="BI544">
        <f>IF(ISBLANK('Data Entry'!$}$544), "", 'Data Entry'!$}$544)</f>
      </c>
      <c r="BJ544">
        <f>IF(ISBLANK('Data Entry'!$~$544), "", 'Data Entry'!$~$544)</f>
      </c>
      <c r="BK544">
        <f>IF(ISBLANK('Data Entry'!$$544), "", 'Data Entry'!$$544)</f>
      </c>
      <c r="BL544">
        <f>IF(ISBLANK('Data Entry'!$$544), "", 'Data Entry'!$$544)</f>
      </c>
      <c r="BM544">
        <f>IF(ISBLANK('Data Entry'!$$544), "", 'Data Entry'!$$544)</f>
      </c>
      <c r="BN544">
        <f>IF(ISBLANK('Data Entry'!$$544), "", 'Data Entry'!$$544)</f>
      </c>
      <c r="BO544">
        <f>IF(ISBLANK('Data Entry'!$$544), "", 'Data Entry'!$$544)</f>
      </c>
      <c r="BP544">
        <f>IF(ISBLANK('Data Entry'!$$544), "", 'Data Entry'!$$544)</f>
      </c>
      <c r="BQ544">
        <f>IF(ISBLANK('Data Entry'!$$544), "", 'Data Entry'!$$544)</f>
      </c>
      <c r="BR544">
        <f>IF(ISBLANK('Data Entry'!$$544), "", 'Data Entry'!$$544)</f>
      </c>
      <c r="BS544">
        <f>IF(ISBLANK('Data Entry'!$$544), "", 'Data Entry'!$$544)</f>
      </c>
      <c r="BT544">
        <f>IF(ISBLANK('Data Entry'!$$544), "", 'Data Entry'!$$544)</f>
      </c>
      <c r="BU544">
        <f>IF(ISBLANK('Data Entry'!$$544), "", 'Data Entry'!$$544)</f>
      </c>
      <c r="BV544">
        <f>IF(ISBLANK('Data Entry'!$$544), "", 'Data Entry'!$$544)</f>
      </c>
      <c r="BW544">
        <f>IF(ISBLANK('Data Entry'!$$544), "", 'Data Entry'!$$544)</f>
      </c>
      <c r="BX544">
        <f>IF(ISBLANK('Data Entry'!$$544), "", 'Data Entry'!$$544)</f>
      </c>
      <c r="BY544">
        <f>IF(ISBLANK('Data Entry'!$$544), "", 'Data Entry'!$$544)</f>
      </c>
      <c r="BZ544">
        <f>IF(ISBLANK('Data Entry'!$$544), "", 'Data Entry'!$$544)</f>
      </c>
      <c r="CA544">
        <f>IF(ISBLANK('Data Entry'!$$544), "", 'Data Entry'!$$544)</f>
      </c>
      <c r="CB544">
        <f>IF(ISBLANK('Data Entry'!$$544), "", 'Data Entry'!$$544)</f>
      </c>
      <c r="CC544">
        <f>IF(ISBLANK('Data Entry'!$$544), "", 'Data Entry'!$$544)</f>
      </c>
      <c r="CD544">
        <f>IF(ISBLANK('Data Entry'!$$544), "", 'Data Entry'!$$544)</f>
      </c>
      <c r="CE544">
        <f>IF(ISBLANK('Data Entry'!$$544), "", 'Data Entry'!$$544)</f>
      </c>
      <c r="CF544">
        <f>IF(ISBLANK('Data Entry'!$$544), "", 'Data Entry'!$$544)</f>
      </c>
      <c r="CG544">
        <f>IF(ISBLANK('Data Entry'!$$544), "", 'Data Entry'!$$544)</f>
      </c>
      <c r="CH544">
        <f>IF(ISBLANK('Data Entry'!$$544), "", 'Data Entry'!$$544)</f>
      </c>
      <c r="CI544">
        <f>IF(ISBLANK('Data Entry'!$$544), "", 'Data Entry'!$$544)</f>
      </c>
      <c r="CJ544">
        <f>IF(ISBLANK('Data Entry'!$$544), "", 'Data Entry'!$$544)</f>
      </c>
      <c r="CK544">
        <f>IF(ISBLANK('Data Entry'!$$544), "", 'Data Entry'!$$544)</f>
      </c>
      <c r="CL544">
        <f>IF(ISBLANK('Data Entry'!$$544), "", 'Data Entry'!$$544)</f>
      </c>
      <c r="CM544">
        <f>IF(ISBLANK('Data Entry'!$$544), "", 'Data Entry'!$$544)</f>
      </c>
      <c r="CN544">
        <f>IF(ISBLANK('Data Entry'!$$544), "", 'Data Entry'!$$544)</f>
      </c>
      <c r="CO544">
        <f>IF(ISBLANK('Data Entry'!$$544), "", 'Data Entry'!$$544)</f>
      </c>
      <c r="CP544">
        <f>IF(ISBLANK('Data Entry'!$$544), "", 'Data Entry'!$$544)</f>
      </c>
      <c r="CQ544">
        <f>IF(ISBLANK('Data Entry'!$$544), "", 'Data Entry'!$$544)</f>
      </c>
      <c r="CR544">
        <f>IF(ISBLANK('Data Entry'!$ $544), "", 'Data Entry'!$ $544)</f>
      </c>
      <c r="CS544">
        <f>IF(ISBLANK('Data Entry'!$¡$544), "", 'Data Entry'!$¡$544)</f>
      </c>
      <c r="CT544">
        <f>IF(ISBLANK('Data Entry'!$¢$544), "", 'Data Entry'!$¢$544)</f>
      </c>
      <c r="CU544">
        <f>IF(ISBLANK('Data Entry'!$£$544), "", 'Data Entry'!$£$544)</f>
      </c>
      <c r="CV544">
        <f>IF(ISBLANK('Data Entry'!$¤$544), "", 'Data Entry'!$¤$544)</f>
      </c>
      <c r="CW544">
        <f>IF(ISBLANK('Data Entry'!$¥$544), "", 'Data Entry'!$¥$544)</f>
      </c>
      <c r="CX544">
        <f>IF(ISBLANK('Data Entry'!$¦$544), "", 'Data Entry'!$¦$544)</f>
      </c>
      <c r="CY544">
        <f>IF(ISBLANK('Data Entry'!$§$544), "", 'Data Entry'!$§$544)</f>
      </c>
      <c r="CZ544">
        <f>IF(ISBLANK('Data Entry'!$¨$544), "", 'Data Entry'!$¨$544)</f>
      </c>
      <c r="DA544">
        <f>IF(ISBLANK('Data Entry'!$©$544), "", 'Data Entry'!$©$544)</f>
      </c>
      <c r="DB544">
        <f>IF(ISBLANK('Data Entry'!$ª$544), "", 'Data Entry'!$ª$544)</f>
      </c>
      <c r="DC544">
        <f>IF(ISBLANK('Data Entry'!$«$544), "", 'Data Entry'!$«$544)</f>
      </c>
      <c r="DD544">
        <f>IF(ISBLANK('Data Entry'!$¬$544), "", 'Data Entry'!$¬$544)</f>
      </c>
      <c r="DE544">
        <f>IF(ISBLANK('Data Entry'!$­$544), "", 'Data Entry'!$­$544)</f>
      </c>
      <c r="DF544">
        <f>IF(ISBLANK('Data Entry'!$®$544), "", 'Data Entry'!$®$544)</f>
      </c>
      <c r="DG544">
        <f>IF(ISBLANK('Data Entry'!$¯$544), "", 'Data Entry'!$¯$544)</f>
      </c>
      <c r="DH544">
        <f>IF(ISBLANK('Data Entry'!$°$544), "", 'Data Entry'!$°$544)</f>
      </c>
      <c r="DI544">
        <f>IF(ISBLANK('Data Entry'!$±$544), "", 'Data Entry'!$±$544)</f>
      </c>
      <c r="DJ544">
        <f>IF(ISBLANK('Data Entry'!$²$544), "", 'Data Entry'!$²$544)</f>
      </c>
      <c r="DK544">
        <f>IF(ISBLANK('Data Entry'!$³$544), "", 'Data Entry'!$³$544)</f>
      </c>
      <c r="DL544">
        <f>IF(ISBLANK('Data Entry'!$´$544), "", 'Data Entry'!$´$544)</f>
      </c>
      <c r="DM544">
        <f>IF(ISBLANK('Data Entry'!$µ$544), "", 'Data Entry'!$µ$544)</f>
      </c>
      <c r="DN544">
        <f>IF(ISBLANK('Data Entry'!$¶$544), "", 'Data Entry'!$¶$544)</f>
      </c>
      <c r="DO544">
        <f>IF(ISBLANK('Data Entry'!$·$544), "", 'Data Entry'!$·$544)</f>
      </c>
      <c r="DP544">
        <f>IF(ISBLANK('Data Entry'!$¸$544), "", 'Data Entry'!$¸$544)</f>
      </c>
      <c r="DQ544">
        <f>IF(ISBLANK('Data Entry'!$¹$544), "", 'Data Entry'!$¹$544)</f>
      </c>
      <c r="DR544">
        <f>IF(ISBLANK('Data Entry'!$º$544), "", 'Data Entry'!$º$544)</f>
      </c>
      <c r="DS544">
        <f>IF(ISBLANK('Data Entry'!$»$544), "", 'Data Entry'!$»$544)</f>
      </c>
      <c r="DT544">
        <f>IF(ISBLANK('Data Entry'!$¼$544), "", 'Data Entry'!$¼$544)</f>
      </c>
      <c r="DU544">
        <f>IF(ISBLANK('Data Entry'!$½$544), "", 'Data Entry'!$½$544)</f>
      </c>
      <c r="DV544">
        <f>IF(ISBLANK('Data Entry'!$¾$544), "", 'Data Entry'!$¾$544)</f>
      </c>
      <c r="DW544">
        <f>IF(ISBLANK('Data Entry'!$¿$544), "", 'Data Entry'!$¿$544)</f>
      </c>
      <c r="DX544">
        <f>IF(ISBLANK('Data Entry'!$À$544), "", 'Data Entry'!$À$544)</f>
      </c>
      <c r="DY544">
        <f>IF(ISBLANK('Data Entry'!$Á$544), "", 'Data Entry'!$Á$544)</f>
      </c>
      <c r="DZ544">
        <f>IF(ISBLANK('Data Entry'!$Â$544), "", 'Data Entry'!$Â$544)</f>
      </c>
      <c r="EA544">
        <f>IF(ISBLANK('Data Entry'!$Ã$544), "", 'Data Entry'!$Ã$544)</f>
      </c>
      <c r="EB544">
        <f>IF(ISBLANK('Data Entry'!$Ä$544), "", 'Data Entry'!$Ä$544)</f>
      </c>
      <c r="EC544">
        <f>IF(ISBLANK('Data Entry'!$Å$544), "", 'Data Entry'!$Å$544)</f>
      </c>
      <c r="ED544">
        <f>IF(ISBLANK('Data Entry'!$Æ$544), "", 'Data Entry'!$Æ$544)</f>
      </c>
      <c r="EE544">
        <f>IF(ISBLANK('Data Entry'!$Ç$544), "", 'Data Entry'!$Ç$544)</f>
      </c>
      <c r="EF544">
        <f>IF(ISBLANK('Data Entry'!$È$544), "", 'Data Entry'!$È$544)</f>
      </c>
      <c r="EG544">
        <f>IF(ISBLANK('Data Entry'!$É$544), "", 'Data Entry'!$É$544)</f>
      </c>
      <c r="EH544">
        <f>IF(ISBLANK('Data Entry'!$Ê$544), "", 'Data Entry'!$Ê$544)</f>
      </c>
      <c r="EI544">
        <f>IF(ISBLANK('Data Entry'!$Ë$544), "", 'Data Entry'!$Ë$544)</f>
      </c>
      <c r="EJ544">
        <f>IF(ISBLANK('Data Entry'!$Ì$544), "", 'Data Entry'!$Ì$544)</f>
      </c>
      <c r="EK544">
        <f>IF(ISBLANK('Data Entry'!$Í$544), "", 'Data Entry'!$Í$544)</f>
      </c>
      <c r="EL544">
        <f>IF(ISBLANK('Data Entry'!$Î$544), "", 'Data Entry'!$Î$544)</f>
      </c>
      <c r="EM544">
        <f>IF(ISBLANK('Data Entry'!$Ï$544), "", 'Data Entry'!$Ï$544)</f>
      </c>
      <c r="EN544">
        <f>IF(ISBLANK('Data Entry'!$Ð$544), "", 'Data Entry'!$Ð$544)</f>
      </c>
      <c r="EO544">
        <f>IF(ISBLANK('Data Entry'!$Ñ$544), "", 'Data Entry'!$Ñ$544)</f>
      </c>
      <c r="EP544">
        <f>IF(ISBLANK('Data Entry'!$Ò$544), "", 'Data Entry'!$Ò$544)</f>
      </c>
      <c r="EQ544">
        <f>IF(ISBLANK('Data Entry'!$Ó$544), "", 'Data Entry'!$Ó$544)</f>
      </c>
      <c r="ER544">
        <f>IF(ISBLANK('Data Entry'!$Ô$544), "", 'Data Entry'!$Ô$544)</f>
      </c>
      <c r="ES544">
        <f>IF(ISBLANK('Data Entry'!$Õ$544), "", 'Data Entry'!$Õ$544)</f>
      </c>
      <c r="ET544">
        <f>IF(ISBLANK('Data Entry'!$Ö$544), "", 'Data Entry'!$Ö$544)</f>
      </c>
      <c r="EU544">
        <f>IF(ISBLANK('Data Entry'!$×$544), "", 'Data Entry'!$×$544)</f>
      </c>
      <c r="EV544">
        <f>IF(ISBLANK('Data Entry'!$Ø$544), "", 'Data Entry'!$Ø$544)</f>
      </c>
      <c r="EW544">
        <f>IF(ISBLANK('Data Entry'!$Ù$544), "", 'Data Entry'!$Ù$544)</f>
      </c>
      <c r="EX544">
        <f>IF(ISBLANK('Data Entry'!$Ú$544), "", 'Data Entry'!$Ú$544)</f>
      </c>
      <c r="EY544">
        <f>IF(ISBLANK('Data Entry'!$Û$544), "", 'Data Entry'!$Û$544)</f>
      </c>
      <c r="EZ544">
        <f>IF(ISBLANK('Data Entry'!$Ü$544), "", 'Data Entry'!$Ü$544)</f>
      </c>
      <c r="FA544">
        <f>IF(ISBLANK('Data Entry'!$Ý$544), "", 'Data Entry'!$Ý$544)</f>
      </c>
      <c r="FB544">
        <f>IF(ISBLANK('Data Entry'!$Þ$544), "", 'Data Entry'!$Þ$544)</f>
      </c>
      <c r="FC544">
        <f>IF(ISBLANK('Data Entry'!$ß$544), "", 'Data Entry'!$ß$544)</f>
      </c>
      <c r="FD544">
        <f>IF(ISBLANK('Data Entry'!$à$544), "", 'Data Entry'!$à$544)</f>
      </c>
      <c r="FE544">
        <f>IF(ISBLANK('Data Entry'!$á$544), "", 'Data Entry'!$á$544)</f>
      </c>
      <c r="FF544">
        <f>IF(ISBLANK('Data Entry'!$â$544), "", 'Data Entry'!$â$544)</f>
      </c>
      <c r="FG544">
        <f>IF(ISBLANK('Data Entry'!$ã$544), "", 'Data Entry'!$ã$544)</f>
      </c>
      <c r="FH544">
        <f>IF(ISBLANK('Data Entry'!$ä$544), "", 'Data Entry'!$ä$544)</f>
      </c>
      <c r="FI544">
        <f>IF(ISBLANK('Data Entry'!$å$544), "", 'Data Entry'!$å$544)</f>
      </c>
      <c r="FJ544">
        <f>IF(ISBLANK('Data Entry'!$æ$544), "", 'Data Entry'!$æ$544)</f>
      </c>
      <c r="FK544">
        <f>IF(ISBLANK('Data Entry'!$ç$544), "", 'Data Entry'!$ç$544)</f>
      </c>
      <c r="FL544">
        <f>IF(ISBLANK('Data Entry'!$è$544), "", 'Data Entry'!$è$544)</f>
      </c>
      <c r="FM544">
        <f>IF(ISBLANK('Data Entry'!$é$544), "", 'Data Entry'!$é$544)</f>
      </c>
      <c r="FN544">
        <f>IF(ISBLANK('Data Entry'!$ê$544), "", 'Data Entry'!$ê$544)</f>
      </c>
      <c r="FO544">
        <f>IF(ISBLANK('Data Entry'!$ë$544), "", 'Data Entry'!$ë$544)</f>
      </c>
      <c r="FP544">
        <f>IF(ISBLANK('Data Entry'!$ì$544), "", 'Data Entry'!$ì$544)</f>
      </c>
      <c r="FQ544">
        <f>IF(ISBLANK('Data Entry'!$í$544), "", 'Data Entry'!$í$544)</f>
      </c>
      <c r="FR544">
        <f>IF(ISBLANK('Data Entry'!$î$544), "", 'Data Entry'!$î$544)</f>
      </c>
      <c r="FS544">
        <f>IF(ISBLANK('Data Entry'!$ï$544), "", 'Data Entry'!$ï$544)</f>
      </c>
      <c r="FT544">
        <f>IF(ISBLANK('Data Entry'!$ð$544), "", 'Data Entry'!$ð$544)</f>
      </c>
      <c r="FU544">
        <f>IF(ISBLANK('Data Entry'!$ñ$544), "", 'Data Entry'!$ñ$544)</f>
      </c>
      <c r="FV544">
        <f>IF(ISBLANK('Data Entry'!$ò$544), "", 'Data Entry'!$ò$544)</f>
      </c>
      <c r="FW544">
        <f>IF(ISBLANK('Data Entry'!$ó$544), "", 'Data Entry'!$ó$544)</f>
      </c>
      <c r="FX544">
        <f>IF(ISBLANK('Data Entry'!$ô$544), "", 'Data Entry'!$ô$544)</f>
      </c>
      <c r="FY544">
        <f>IF(ISBLANK('Data Entry'!$õ$544), "", 'Data Entry'!$õ$544)</f>
      </c>
      <c r="FZ544">
        <f>IF(ISBLANK('Data Entry'!$ö$544), "", 'Data Entry'!$ö$544)</f>
      </c>
      <c r="GA544">
        <f>IF(ISBLANK('Data Entry'!$÷$544), "", 'Data Entry'!$÷$544)</f>
      </c>
      <c r="GB544">
        <f>IF(ISBLANK('Data Entry'!$ø$544), "", 'Data Entry'!$ø$544)</f>
      </c>
      <c r="GC544">
        <f>IF(ISBLANK('Data Entry'!$ù$544), "", 'Data Entry'!$ù$544)</f>
      </c>
      <c r="GD544">
        <f>IF(ISBLANK('Data Entry'!$ú$544), "", 'Data Entry'!$ú$544)</f>
      </c>
      <c r="GE544">
        <f>IF(ISBLANK('Data Entry'!$û$544), "", 'Data Entry'!$û$544)</f>
      </c>
      <c r="GF544">
        <f>IF(ISBLANK('Data Entry'!$ü$544), "", 'Data Entry'!$ü$544)</f>
      </c>
      <c r="GG544">
        <f>IF(ISBLANK('Data Entry'!$ý$544), "", 'Data Entry'!$ý$544)</f>
      </c>
      <c r="GH544">
        <f>IF(ISBLANK('Data Entry'!$þ$544), "", 'Data Entry'!$þ$544)</f>
      </c>
      <c r="GI544">
        <f>IF(ISBLANK('Data Entry'!$ÿ$544), "", 'Data Entry'!$ÿ$544)</f>
      </c>
      <c r="GJ544">
        <f>IF(ISBLANK('Data Entry'!$Ā$544), "", 'Data Entry'!$Ā$544)</f>
      </c>
      <c r="GK544">
        <f>IF(ISBLANK('Data Entry'!$ā$544), "", 'Data Entry'!$ā$544)</f>
      </c>
      <c r="GL544">
        <f>IF(ISBLANK('Data Entry'!$Ă$544), "", 'Data Entry'!$Ă$544)</f>
      </c>
      <c r="GM544">
        <f>IF(ISBLANK('Data Entry'!$ă$544), "", 'Data Entry'!$ă$544)</f>
      </c>
      <c r="GN544">
        <f>IF(ISBLANK('Data Entry'!$Ą$544), "", 'Data Entry'!$Ą$544)</f>
      </c>
      <c r="GO544">
        <f>IF(ISBLANK('Data Entry'!$ą$544), "", 'Data Entry'!$ą$544)</f>
      </c>
      <c r="GP544">
        <f>IF(ISBLANK('Data Entry'!$Ć$544), "", 'Data Entry'!$Ć$544)</f>
      </c>
      <c r="GQ544">
        <f>IF(ISBLANK('Data Entry'!$ć$544), "", 'Data Entry'!$ć$544)</f>
      </c>
      <c r="GR544">
        <f>IF(ISBLANK('Data Entry'!$Ĉ$544), "", 'Data Entry'!$Ĉ$544)</f>
      </c>
      <c r="GS544">
        <f>IF(ISBLANK('Data Entry'!$ĉ$544), "", 'Data Entry'!$ĉ$544)</f>
      </c>
      <c r="GT544">
        <f>IF(ISBLANK('Data Entry'!$Ċ$544), "", 'Data Entry'!$Ċ$544)</f>
      </c>
      <c r="GU544">
        <f>IF(ISBLANK('Data Entry'!$ċ$544), "", 'Data Entry'!$ċ$544)</f>
      </c>
      <c r="GV544">
        <f>IF(ISBLANK('Data Entry'!$Č$544), "", 'Data Entry'!$Č$544)</f>
      </c>
      <c r="GW544">
        <f>IF(ISBLANK('Data Entry'!$č$544), "", 'Data Entry'!$č$544)</f>
      </c>
      <c r="GX544">
        <f>IF(ISBLANK('Data Entry'!$Ď$544), "", 'Data Entry'!$Ď$544)</f>
      </c>
      <c r="GY544">
        <f>IF(ISBLANK('Data Entry'!$ď$544), "", 'Data Entry'!$ď$544)</f>
      </c>
      <c r="GZ544">
        <f>IF(ISBLANK('Data Entry'!$Đ$544), "", 'Data Entry'!$Đ$544)</f>
      </c>
      <c r="HA544">
        <f>IF(ISBLANK('Data Entry'!$đ$544), "", 'Data Entry'!$đ$544)</f>
      </c>
      <c r="HB544">
        <f>IF(ISBLANK('Data Entry'!$Ē$544), "", 'Data Entry'!$Ē$544)</f>
      </c>
      <c r="HC544">
        <f>IF(ISBLANK('Data Entry'!$ē$544), "", 'Data Entry'!$ē$544)</f>
      </c>
      <c r="HD544">
        <f>IF(ISBLANK('Data Entry'!$Ĕ$544), "", 'Data Entry'!$Ĕ$544)</f>
      </c>
      <c r="HE544">
        <f>IF(ISBLANK('Data Entry'!$ĕ$544), "", 'Data Entry'!$ĕ$544)</f>
      </c>
      <c r="HF544">
        <f>IF(ISBLANK('Data Entry'!$Ė$544), "", 'Data Entry'!$Ė$544)</f>
      </c>
      <c r="HG544">
        <f>IF(ISBLANK('Data Entry'!$ė$544), "", 'Data Entry'!$ė$544)</f>
      </c>
      <c r="HH544">
        <f>IF(ISBLANK('Data Entry'!$Ę$544), "", 'Data Entry'!$Ę$544)</f>
      </c>
      <c r="HI544">
        <f>IF(ISBLANK('Data Entry'!$ę$544), "", 'Data Entry'!$ę$544)</f>
      </c>
      <c r="HJ544">
        <f>IF(ISBLANK('Data Entry'!$Ě$544), "", 'Data Entry'!$Ě$544)</f>
      </c>
      <c r="HK544">
        <f>IF(ISBLANK('Data Entry'!$ě$544), "", 'Data Entry'!$ě$544)</f>
      </c>
      <c r="HL544">
        <f>IF(ISBLANK('Data Entry'!$Ĝ$544), "", 'Data Entry'!$Ĝ$544)</f>
      </c>
      <c r="HM544">
        <f>IF(ISBLANK('Data Entry'!$ĝ$544), "", 'Data Entry'!$ĝ$544)</f>
      </c>
      <c r="HN544">
        <f>IF(ISBLANK('Data Entry'!$Ğ$544), "", 'Data Entry'!$Ğ$544)</f>
      </c>
      <c r="HO544">
        <f>IF(ISBLANK('Data Entry'!$ğ$544), "", 'Data Entry'!$ğ$544)</f>
      </c>
      <c r="HP544">
        <f>IF(ISBLANK('Data Entry'!$Ġ$544), "", 'Data Entry'!$Ġ$544)</f>
      </c>
      <c r="HQ544">
        <f>IF(ISBLANK('Data Entry'!$ġ$544), "", 'Data Entry'!$ġ$544)</f>
      </c>
      <c r="HR544">
        <f>IF(ISBLANK('Data Entry'!$Ģ$544), "", 'Data Entry'!$Ģ$544)</f>
      </c>
      <c r="HS544">
        <f>IF(ISBLANK('Data Entry'!$ģ$544), "", 'Data Entry'!$ģ$544)</f>
      </c>
      <c r="HT544">
        <f>IF(ISBLANK('Data Entry'!$Ĥ$544), "", 'Data Entry'!$Ĥ$544)</f>
      </c>
      <c r="HU544">
        <f>IF(ISBLANK('Data Entry'!$ĥ$544), "", 'Data Entry'!$ĥ$544)</f>
      </c>
      <c r="HV544">
        <f>IF(ISBLANK('Data Entry'!$Ħ$544), "", 'Data Entry'!$Ħ$544)</f>
      </c>
      <c r="HW544">
        <f>IF(ISBLANK('Data Entry'!$ħ$544), "", 'Data Entry'!$ħ$544)</f>
      </c>
      <c r="HX544">
        <f>IF(ISBLANK('Data Entry'!$Ĩ$544), "", 'Data Entry'!$Ĩ$544)</f>
      </c>
      <c r="HY544">
        <f>IF(ISBLANK('Data Entry'!$ĩ$544), "", 'Data Entry'!$ĩ$544)</f>
      </c>
      <c r="HZ544">
        <f>IF(ISBLANK('Data Entry'!$Ī$544), "", 'Data Entry'!$Ī$544)</f>
      </c>
      <c r="IA544">
        <f>IF(ISBLANK('Data Entry'!$ī$544), "", 'Data Entry'!$ī$544)</f>
      </c>
      <c r="IB544">
        <f>IF(ISBLANK('Data Entry'!$Ĭ$544), "", 'Data Entry'!$Ĭ$544)</f>
      </c>
      <c r="IC544">
        <f>IF(ISBLANK('Data Entry'!$ĭ$544), "", 'Data Entry'!$ĭ$544)</f>
      </c>
      <c r="ID544">
        <f>IF(ISBLANK('Data Entry'!$Į$544), "", 'Data Entry'!$Į$544)</f>
      </c>
      <c r="IE544">
        <f>IF(ISBLANK('Data Entry'!$į$544), "", 'Data Entry'!$į$544)</f>
      </c>
      <c r="IF544">
        <f>IF(ISBLANK('Data Entry'!$İ$544), "", 'Data Entry'!$İ$544)</f>
      </c>
      <c r="IG544">
        <f>IF(ISBLANK('Data Entry'!$ı$544), "", 'Data Entry'!$ı$544)</f>
      </c>
      <c r="IH544">
        <f>IF(ISBLANK('Data Entry'!$Ĳ$544), "", 'Data Entry'!$Ĳ$544)</f>
      </c>
      <c r="II544">
        <f>IF(ISBLANK('Data Entry'!$ĳ$544), "", 'Data Entry'!$ĳ$544)</f>
      </c>
      <c r="IJ544">
        <f>IF(ISBLANK('Data Entry'!$Ĵ$544), "", 'Data Entry'!$Ĵ$544)</f>
      </c>
      <c r="IK544">
        <f>IF(ISBLANK('Data Entry'!$ĵ$544), "", 'Data Entry'!$ĵ$544)</f>
      </c>
      <c r="IL544">
        <f>IF(ISBLANK('Data Entry'!$Ķ$544), "", 'Data Entry'!$Ķ$544)</f>
      </c>
      <c r="IM544">
        <f>IF(ISBLANK('Data Entry'!$ķ$544), "", 'Data Entry'!$ķ$544)</f>
      </c>
      <c r="IN544">
        <f>IF(ISBLANK('Data Entry'!$ĸ$544), "", 'Data Entry'!$ĸ$544)</f>
      </c>
      <c r="IO544">
        <f>IF(ISBLANK('Data Entry'!$Ĺ$544), "", 'Data Entry'!$Ĺ$544)</f>
      </c>
      <c r="IP544">
        <f>IF(ISBLANK('Data Entry'!$ĺ$544), "", 'Data Entry'!$ĺ$544)</f>
      </c>
      <c r="IQ544">
        <f>IF(ISBLANK('Data Entry'!$Ļ$544), "", 'Data Entry'!$Ļ$544)</f>
      </c>
      <c r="IR544">
        <f>IF(ISBLANK('Data Entry'!$ļ$544), "", 'Data Entry'!$ļ$544)</f>
      </c>
      <c r="IS544">
        <f>IF(ISBLANK('Data Entry'!$Ľ$544), "", 'Data Entry'!$Ľ$544)</f>
      </c>
      <c r="IT544">
        <f>IF(ISBLANK('Data Entry'!$ľ$544), "", 'Data Entry'!$ľ$544)</f>
      </c>
    </row>
    <row r="545" spans="1:254" x14ac:dyDescent="0.25">
      <c r="A545">
        <f>IF(ISBLANK('Data Entry'!$A$545), "", 'Data Entry'!$A$545)</f>
      </c>
      <c r="B545">
        <f>IF(ISBLANK('Data Entry'!$B$545), "", 'Data Entry'!$B$545)</f>
      </c>
      <c r="C545">
        <f>IF(ISBLANK('Data Entry'!$C$545), "", 'Data Entry'!$C$545)</f>
      </c>
      <c r="D545">
        <f>IF(ISBLANK('Data Entry'!$D$545), "", 'Data Entry'!$D$545)</f>
      </c>
      <c r="E545">
        <f>IF(ISBLANK('Data Entry'!$E$545), "", 'Data Entry'!$E$545)</f>
      </c>
      <c r="F545">
        <f>IF(ISBLANK('Data Entry'!$F$545), "", 'Data Entry'!$F$545)</f>
      </c>
      <c r="G545">
        <f>IF(ISBLANK('Data Entry'!$G$545), "", 'Data Entry'!$G$545)</f>
      </c>
      <c r="H545">
        <f>IF(ISBLANK('Data Entry'!$H$545), "", 'Data Entry'!$H$545)</f>
      </c>
      <c r="I545">
        <f>IF(ISBLANK('Data Entry'!$I$545), "", 'Data Entry'!$I$545)</f>
      </c>
      <c r="J545">
        <f>IF(ISBLANK('Data Entry'!$J$545), "", 'Data Entry'!$J$545)</f>
      </c>
      <c r="K545">
        <f>IF(ISBLANK('Data Entry'!$K$545), "", 'Data Entry'!$K$545)</f>
      </c>
      <c r="L545">
        <f>IF(ISBLANK('Data Entry'!$L$545), "", 'Data Entry'!$L$545)</f>
      </c>
      <c r="M545">
        <f>IF(ISBLANK('Data Entry'!$M$545), "", 'Data Entry'!$M$545)</f>
      </c>
      <c r="N545">
        <f>IF(ISBLANK('Data Entry'!$N$545), "", 'Data Entry'!$N$545)</f>
      </c>
      <c r="O545">
        <f>IF(ISBLANK('Data Entry'!$O$545), "", 'Data Entry'!$O$545)</f>
      </c>
      <c r="P545">
        <f>IF(ISBLANK('Data Entry'!$P$545), "", 'Data Entry'!$P$545)</f>
      </c>
      <c r="Q545">
        <f>IF(ISBLANK('Data Entry'!$Q$545), "", 'Data Entry'!$Q$545)</f>
      </c>
      <c r="R545">
        <f>IF(ISBLANK('Data Entry'!$R$545), "", 'Data Entry'!$R$545)</f>
      </c>
      <c r="S545">
        <f>IF(ISBLANK('Data Entry'!$S$545), "", 'Data Entry'!$S$545)</f>
      </c>
      <c r="T545">
        <f>IF(ISBLANK('Data Entry'!$T$545), "", 'Data Entry'!$T$545)</f>
      </c>
      <c r="U545">
        <f>IF(ISBLANK('Data Entry'!$U$545), "", 'Data Entry'!$U$545)</f>
      </c>
      <c r="V545">
        <f>IF(ISBLANK('Data Entry'!$V$545), "", 'Data Entry'!$V$545)</f>
      </c>
      <c r="W545">
        <f>IF(ISBLANK('Data Entry'!$W$545), "", 'Data Entry'!$W$545)</f>
      </c>
      <c r="X545">
        <f>IF(ISBLANK('Data Entry'!$X$545), "", 'Data Entry'!$X$545)</f>
      </c>
      <c r="Y545">
        <f>IF(ISBLANK('Data Entry'!$Y$545), "", 'Data Entry'!$Y$545)</f>
      </c>
      <c r="Z545">
        <f>IF(ISBLANK('Data Entry'!$Z$545), "", 'Data Entry'!$Z$545)</f>
      </c>
      <c r="AA545">
        <f>IF(ISBLANK('Data Entry'!$[$545), "", 'Data Entry'!$[$545)</f>
      </c>
      <c r="AB545">
        <f>IF(ISBLANK('Data Entry'!$\$545), "", 'Data Entry'!$\$545)</f>
      </c>
      <c r="AC545">
        <f>IF(ISBLANK('Data Entry'!$]$545), "", 'Data Entry'!$]$545)</f>
      </c>
      <c r="AD545">
        <f>IF(ISBLANK('Data Entry'!$^$545), "", 'Data Entry'!$^$545)</f>
      </c>
      <c r="AE545">
        <f>IF(ISBLANK('Data Entry'!$_$545), "", 'Data Entry'!$_$545)</f>
      </c>
      <c r="AF545">
        <f>IF(ISBLANK('Data Entry'!$`$545), "", 'Data Entry'!$`$545)</f>
      </c>
      <c r="AG545">
        <f>IF(ISBLANK('Data Entry'!$a$545), "", 'Data Entry'!$a$545)</f>
      </c>
      <c r="AH545">
        <f>IF(ISBLANK('Data Entry'!$b$545), "", 'Data Entry'!$b$545)</f>
      </c>
      <c r="AI545">
        <f>IF(ISBLANK('Data Entry'!$c$545), "", 'Data Entry'!$c$545)</f>
      </c>
      <c r="AJ545">
        <f>IF(ISBLANK('Data Entry'!$d$545), "", 'Data Entry'!$d$545)</f>
      </c>
      <c r="AK545">
        <f>IF(ISBLANK('Data Entry'!$e$545), "", 'Data Entry'!$e$545)</f>
      </c>
      <c r="AL545">
        <f>IF(ISBLANK('Data Entry'!$f$545), "", 'Data Entry'!$f$545)</f>
      </c>
      <c r="AM545">
        <f>IF(ISBLANK('Data Entry'!$g$545), "", 'Data Entry'!$g$545)</f>
      </c>
      <c r="AN545">
        <f>IF(ISBLANK('Data Entry'!$h$545), "", 'Data Entry'!$h$545)</f>
      </c>
      <c r="AO545">
        <f>IF(ISBLANK('Data Entry'!$i$545), "", 'Data Entry'!$i$545)</f>
      </c>
      <c r="AP545">
        <f>IF(ISBLANK('Data Entry'!$j$545), "", 'Data Entry'!$j$545)</f>
      </c>
      <c r="AQ545">
        <f>IF(ISBLANK('Data Entry'!$k$545), "", 'Data Entry'!$k$545)</f>
      </c>
      <c r="AR545">
        <f>IF(ISBLANK('Data Entry'!$l$545), "", 'Data Entry'!$l$545)</f>
      </c>
      <c r="AS545">
        <f>IF(ISBLANK('Data Entry'!$m$545), "", 'Data Entry'!$m$545)</f>
      </c>
      <c r="AT545">
        <f>IF(ISBLANK('Data Entry'!$n$545), "", 'Data Entry'!$n$545)</f>
      </c>
      <c r="AU545">
        <f>IF(ISBLANK('Data Entry'!$o$545), "", 'Data Entry'!$o$545)</f>
      </c>
      <c r="AV545">
        <f>IF(ISBLANK('Data Entry'!$p$545), "", 'Data Entry'!$p$545)</f>
      </c>
      <c r="AW545">
        <f>IF(ISBLANK('Data Entry'!$q$545), "", 'Data Entry'!$q$545)</f>
      </c>
      <c r="AX545">
        <f>IF(ISBLANK('Data Entry'!$r$545), "", 'Data Entry'!$r$545)</f>
      </c>
      <c r="AY545">
        <f>IF(ISBLANK('Data Entry'!$s$545), "", 'Data Entry'!$s$545)</f>
      </c>
      <c r="AZ545">
        <f>IF(ISBLANK('Data Entry'!$t$545), "", 'Data Entry'!$t$545)</f>
      </c>
      <c r="BA545">
        <f>IF(ISBLANK('Data Entry'!$u$545), "", 'Data Entry'!$u$545)</f>
      </c>
      <c r="BB545">
        <f>IF(ISBLANK('Data Entry'!$v$545), "", 'Data Entry'!$v$545)</f>
      </c>
      <c r="BC545">
        <f>IF(ISBLANK('Data Entry'!$w$545), "", 'Data Entry'!$w$545)</f>
      </c>
      <c r="BD545">
        <f>IF(ISBLANK('Data Entry'!$x$545), "", 'Data Entry'!$x$545)</f>
      </c>
      <c r="BE545">
        <f>IF(ISBLANK('Data Entry'!$y$545), "", 'Data Entry'!$y$545)</f>
      </c>
      <c r="BF545">
        <f>IF(ISBLANK('Data Entry'!$z$545), "", 'Data Entry'!$z$545)</f>
      </c>
      <c r="BG545">
        <f>IF(ISBLANK('Data Entry'!${$545), "", 'Data Entry'!${$545)</f>
      </c>
      <c r="BH545">
        <f>IF(ISBLANK('Data Entry'!$|$545), "", 'Data Entry'!$|$545)</f>
      </c>
      <c r="BI545">
        <f>IF(ISBLANK('Data Entry'!$}$545), "", 'Data Entry'!$}$545)</f>
      </c>
      <c r="BJ545">
        <f>IF(ISBLANK('Data Entry'!$~$545), "", 'Data Entry'!$~$545)</f>
      </c>
      <c r="BK545">
        <f>IF(ISBLANK('Data Entry'!$$545), "", 'Data Entry'!$$545)</f>
      </c>
      <c r="BL545">
        <f>IF(ISBLANK('Data Entry'!$$545), "", 'Data Entry'!$$545)</f>
      </c>
      <c r="BM545">
        <f>IF(ISBLANK('Data Entry'!$$545), "", 'Data Entry'!$$545)</f>
      </c>
      <c r="BN545">
        <f>IF(ISBLANK('Data Entry'!$$545), "", 'Data Entry'!$$545)</f>
      </c>
      <c r="BO545">
        <f>IF(ISBLANK('Data Entry'!$$545), "", 'Data Entry'!$$545)</f>
      </c>
      <c r="BP545">
        <f>IF(ISBLANK('Data Entry'!$$545), "", 'Data Entry'!$$545)</f>
      </c>
      <c r="BQ545">
        <f>IF(ISBLANK('Data Entry'!$$545), "", 'Data Entry'!$$545)</f>
      </c>
      <c r="BR545">
        <f>IF(ISBLANK('Data Entry'!$$545), "", 'Data Entry'!$$545)</f>
      </c>
      <c r="BS545">
        <f>IF(ISBLANK('Data Entry'!$$545), "", 'Data Entry'!$$545)</f>
      </c>
      <c r="BT545">
        <f>IF(ISBLANK('Data Entry'!$$545), "", 'Data Entry'!$$545)</f>
      </c>
      <c r="BU545">
        <f>IF(ISBLANK('Data Entry'!$$545), "", 'Data Entry'!$$545)</f>
      </c>
      <c r="BV545">
        <f>IF(ISBLANK('Data Entry'!$$545), "", 'Data Entry'!$$545)</f>
      </c>
      <c r="BW545">
        <f>IF(ISBLANK('Data Entry'!$$545), "", 'Data Entry'!$$545)</f>
      </c>
      <c r="BX545">
        <f>IF(ISBLANK('Data Entry'!$$545), "", 'Data Entry'!$$545)</f>
      </c>
      <c r="BY545">
        <f>IF(ISBLANK('Data Entry'!$$545), "", 'Data Entry'!$$545)</f>
      </c>
      <c r="BZ545">
        <f>IF(ISBLANK('Data Entry'!$$545), "", 'Data Entry'!$$545)</f>
      </c>
      <c r="CA545">
        <f>IF(ISBLANK('Data Entry'!$$545), "", 'Data Entry'!$$545)</f>
      </c>
      <c r="CB545">
        <f>IF(ISBLANK('Data Entry'!$$545), "", 'Data Entry'!$$545)</f>
      </c>
      <c r="CC545">
        <f>IF(ISBLANK('Data Entry'!$$545), "", 'Data Entry'!$$545)</f>
      </c>
      <c r="CD545">
        <f>IF(ISBLANK('Data Entry'!$$545), "", 'Data Entry'!$$545)</f>
      </c>
      <c r="CE545">
        <f>IF(ISBLANK('Data Entry'!$$545), "", 'Data Entry'!$$545)</f>
      </c>
      <c r="CF545">
        <f>IF(ISBLANK('Data Entry'!$$545), "", 'Data Entry'!$$545)</f>
      </c>
      <c r="CG545">
        <f>IF(ISBLANK('Data Entry'!$$545), "", 'Data Entry'!$$545)</f>
      </c>
      <c r="CH545">
        <f>IF(ISBLANK('Data Entry'!$$545), "", 'Data Entry'!$$545)</f>
      </c>
      <c r="CI545">
        <f>IF(ISBLANK('Data Entry'!$$545), "", 'Data Entry'!$$545)</f>
      </c>
      <c r="CJ545">
        <f>IF(ISBLANK('Data Entry'!$$545), "", 'Data Entry'!$$545)</f>
      </c>
      <c r="CK545">
        <f>IF(ISBLANK('Data Entry'!$$545), "", 'Data Entry'!$$545)</f>
      </c>
      <c r="CL545">
        <f>IF(ISBLANK('Data Entry'!$$545), "", 'Data Entry'!$$545)</f>
      </c>
      <c r="CM545">
        <f>IF(ISBLANK('Data Entry'!$$545), "", 'Data Entry'!$$545)</f>
      </c>
      <c r="CN545">
        <f>IF(ISBLANK('Data Entry'!$$545), "", 'Data Entry'!$$545)</f>
      </c>
      <c r="CO545">
        <f>IF(ISBLANK('Data Entry'!$$545), "", 'Data Entry'!$$545)</f>
      </c>
      <c r="CP545">
        <f>IF(ISBLANK('Data Entry'!$$545), "", 'Data Entry'!$$545)</f>
      </c>
      <c r="CQ545">
        <f>IF(ISBLANK('Data Entry'!$$545), "", 'Data Entry'!$$545)</f>
      </c>
      <c r="CR545">
        <f>IF(ISBLANK('Data Entry'!$ $545), "", 'Data Entry'!$ $545)</f>
      </c>
      <c r="CS545">
        <f>IF(ISBLANK('Data Entry'!$¡$545), "", 'Data Entry'!$¡$545)</f>
      </c>
      <c r="CT545">
        <f>IF(ISBLANK('Data Entry'!$¢$545), "", 'Data Entry'!$¢$545)</f>
      </c>
      <c r="CU545">
        <f>IF(ISBLANK('Data Entry'!$£$545), "", 'Data Entry'!$£$545)</f>
      </c>
      <c r="CV545">
        <f>IF(ISBLANK('Data Entry'!$¤$545), "", 'Data Entry'!$¤$545)</f>
      </c>
      <c r="CW545">
        <f>IF(ISBLANK('Data Entry'!$¥$545), "", 'Data Entry'!$¥$545)</f>
      </c>
      <c r="CX545">
        <f>IF(ISBLANK('Data Entry'!$¦$545), "", 'Data Entry'!$¦$545)</f>
      </c>
      <c r="CY545">
        <f>IF(ISBLANK('Data Entry'!$§$545), "", 'Data Entry'!$§$545)</f>
      </c>
      <c r="CZ545">
        <f>IF(ISBLANK('Data Entry'!$¨$545), "", 'Data Entry'!$¨$545)</f>
      </c>
      <c r="DA545">
        <f>IF(ISBLANK('Data Entry'!$©$545), "", 'Data Entry'!$©$545)</f>
      </c>
      <c r="DB545">
        <f>IF(ISBLANK('Data Entry'!$ª$545), "", 'Data Entry'!$ª$545)</f>
      </c>
      <c r="DC545">
        <f>IF(ISBLANK('Data Entry'!$«$545), "", 'Data Entry'!$«$545)</f>
      </c>
      <c r="DD545">
        <f>IF(ISBLANK('Data Entry'!$¬$545), "", 'Data Entry'!$¬$545)</f>
      </c>
      <c r="DE545">
        <f>IF(ISBLANK('Data Entry'!$­$545), "", 'Data Entry'!$­$545)</f>
      </c>
      <c r="DF545">
        <f>IF(ISBLANK('Data Entry'!$®$545), "", 'Data Entry'!$®$545)</f>
      </c>
      <c r="DG545">
        <f>IF(ISBLANK('Data Entry'!$¯$545), "", 'Data Entry'!$¯$545)</f>
      </c>
      <c r="DH545">
        <f>IF(ISBLANK('Data Entry'!$°$545), "", 'Data Entry'!$°$545)</f>
      </c>
      <c r="DI545">
        <f>IF(ISBLANK('Data Entry'!$±$545), "", 'Data Entry'!$±$545)</f>
      </c>
      <c r="DJ545">
        <f>IF(ISBLANK('Data Entry'!$²$545), "", 'Data Entry'!$²$545)</f>
      </c>
      <c r="DK545">
        <f>IF(ISBLANK('Data Entry'!$³$545), "", 'Data Entry'!$³$545)</f>
      </c>
      <c r="DL545">
        <f>IF(ISBLANK('Data Entry'!$´$545), "", 'Data Entry'!$´$545)</f>
      </c>
      <c r="DM545">
        <f>IF(ISBLANK('Data Entry'!$µ$545), "", 'Data Entry'!$µ$545)</f>
      </c>
      <c r="DN545">
        <f>IF(ISBLANK('Data Entry'!$¶$545), "", 'Data Entry'!$¶$545)</f>
      </c>
      <c r="DO545">
        <f>IF(ISBLANK('Data Entry'!$·$545), "", 'Data Entry'!$·$545)</f>
      </c>
      <c r="DP545">
        <f>IF(ISBLANK('Data Entry'!$¸$545), "", 'Data Entry'!$¸$545)</f>
      </c>
      <c r="DQ545">
        <f>IF(ISBLANK('Data Entry'!$¹$545), "", 'Data Entry'!$¹$545)</f>
      </c>
      <c r="DR545">
        <f>IF(ISBLANK('Data Entry'!$º$545), "", 'Data Entry'!$º$545)</f>
      </c>
      <c r="DS545">
        <f>IF(ISBLANK('Data Entry'!$»$545), "", 'Data Entry'!$»$545)</f>
      </c>
      <c r="DT545">
        <f>IF(ISBLANK('Data Entry'!$¼$545), "", 'Data Entry'!$¼$545)</f>
      </c>
      <c r="DU545">
        <f>IF(ISBLANK('Data Entry'!$½$545), "", 'Data Entry'!$½$545)</f>
      </c>
      <c r="DV545">
        <f>IF(ISBLANK('Data Entry'!$¾$545), "", 'Data Entry'!$¾$545)</f>
      </c>
      <c r="DW545">
        <f>IF(ISBLANK('Data Entry'!$¿$545), "", 'Data Entry'!$¿$545)</f>
      </c>
      <c r="DX545">
        <f>IF(ISBLANK('Data Entry'!$À$545), "", 'Data Entry'!$À$545)</f>
      </c>
      <c r="DY545">
        <f>IF(ISBLANK('Data Entry'!$Á$545), "", 'Data Entry'!$Á$545)</f>
      </c>
      <c r="DZ545">
        <f>IF(ISBLANK('Data Entry'!$Â$545), "", 'Data Entry'!$Â$545)</f>
      </c>
      <c r="EA545">
        <f>IF(ISBLANK('Data Entry'!$Ã$545), "", 'Data Entry'!$Ã$545)</f>
      </c>
      <c r="EB545">
        <f>IF(ISBLANK('Data Entry'!$Ä$545), "", 'Data Entry'!$Ä$545)</f>
      </c>
      <c r="EC545">
        <f>IF(ISBLANK('Data Entry'!$Å$545), "", 'Data Entry'!$Å$545)</f>
      </c>
      <c r="ED545">
        <f>IF(ISBLANK('Data Entry'!$Æ$545), "", 'Data Entry'!$Æ$545)</f>
      </c>
      <c r="EE545">
        <f>IF(ISBLANK('Data Entry'!$Ç$545), "", 'Data Entry'!$Ç$545)</f>
      </c>
      <c r="EF545">
        <f>IF(ISBLANK('Data Entry'!$È$545), "", 'Data Entry'!$È$545)</f>
      </c>
      <c r="EG545">
        <f>IF(ISBLANK('Data Entry'!$É$545), "", 'Data Entry'!$É$545)</f>
      </c>
      <c r="EH545">
        <f>IF(ISBLANK('Data Entry'!$Ê$545), "", 'Data Entry'!$Ê$545)</f>
      </c>
      <c r="EI545">
        <f>IF(ISBLANK('Data Entry'!$Ë$545), "", 'Data Entry'!$Ë$545)</f>
      </c>
      <c r="EJ545">
        <f>IF(ISBLANK('Data Entry'!$Ì$545), "", 'Data Entry'!$Ì$545)</f>
      </c>
      <c r="EK545">
        <f>IF(ISBLANK('Data Entry'!$Í$545), "", 'Data Entry'!$Í$545)</f>
      </c>
      <c r="EL545">
        <f>IF(ISBLANK('Data Entry'!$Î$545), "", 'Data Entry'!$Î$545)</f>
      </c>
      <c r="EM545">
        <f>IF(ISBLANK('Data Entry'!$Ï$545), "", 'Data Entry'!$Ï$545)</f>
      </c>
      <c r="EN545">
        <f>IF(ISBLANK('Data Entry'!$Ð$545), "", 'Data Entry'!$Ð$545)</f>
      </c>
      <c r="EO545">
        <f>IF(ISBLANK('Data Entry'!$Ñ$545), "", 'Data Entry'!$Ñ$545)</f>
      </c>
      <c r="EP545">
        <f>IF(ISBLANK('Data Entry'!$Ò$545), "", 'Data Entry'!$Ò$545)</f>
      </c>
      <c r="EQ545">
        <f>IF(ISBLANK('Data Entry'!$Ó$545), "", 'Data Entry'!$Ó$545)</f>
      </c>
      <c r="ER545">
        <f>IF(ISBLANK('Data Entry'!$Ô$545), "", 'Data Entry'!$Ô$545)</f>
      </c>
      <c r="ES545">
        <f>IF(ISBLANK('Data Entry'!$Õ$545), "", 'Data Entry'!$Õ$545)</f>
      </c>
      <c r="ET545">
        <f>IF(ISBLANK('Data Entry'!$Ö$545), "", 'Data Entry'!$Ö$545)</f>
      </c>
      <c r="EU545">
        <f>IF(ISBLANK('Data Entry'!$×$545), "", 'Data Entry'!$×$545)</f>
      </c>
      <c r="EV545">
        <f>IF(ISBLANK('Data Entry'!$Ø$545), "", 'Data Entry'!$Ø$545)</f>
      </c>
      <c r="EW545">
        <f>IF(ISBLANK('Data Entry'!$Ù$545), "", 'Data Entry'!$Ù$545)</f>
      </c>
      <c r="EX545">
        <f>IF(ISBLANK('Data Entry'!$Ú$545), "", 'Data Entry'!$Ú$545)</f>
      </c>
      <c r="EY545">
        <f>IF(ISBLANK('Data Entry'!$Û$545), "", 'Data Entry'!$Û$545)</f>
      </c>
      <c r="EZ545">
        <f>IF(ISBLANK('Data Entry'!$Ü$545), "", 'Data Entry'!$Ü$545)</f>
      </c>
      <c r="FA545">
        <f>IF(ISBLANK('Data Entry'!$Ý$545), "", 'Data Entry'!$Ý$545)</f>
      </c>
      <c r="FB545">
        <f>IF(ISBLANK('Data Entry'!$Þ$545), "", 'Data Entry'!$Þ$545)</f>
      </c>
      <c r="FC545">
        <f>IF(ISBLANK('Data Entry'!$ß$545), "", 'Data Entry'!$ß$545)</f>
      </c>
      <c r="FD545">
        <f>IF(ISBLANK('Data Entry'!$à$545), "", 'Data Entry'!$à$545)</f>
      </c>
      <c r="FE545">
        <f>IF(ISBLANK('Data Entry'!$á$545), "", 'Data Entry'!$á$545)</f>
      </c>
      <c r="FF545">
        <f>IF(ISBLANK('Data Entry'!$â$545), "", 'Data Entry'!$â$545)</f>
      </c>
      <c r="FG545">
        <f>IF(ISBLANK('Data Entry'!$ã$545), "", 'Data Entry'!$ã$545)</f>
      </c>
      <c r="FH545">
        <f>IF(ISBLANK('Data Entry'!$ä$545), "", 'Data Entry'!$ä$545)</f>
      </c>
      <c r="FI545">
        <f>IF(ISBLANK('Data Entry'!$å$545), "", 'Data Entry'!$å$545)</f>
      </c>
      <c r="FJ545">
        <f>IF(ISBLANK('Data Entry'!$æ$545), "", 'Data Entry'!$æ$545)</f>
      </c>
      <c r="FK545">
        <f>IF(ISBLANK('Data Entry'!$ç$545), "", 'Data Entry'!$ç$545)</f>
      </c>
      <c r="FL545">
        <f>IF(ISBLANK('Data Entry'!$è$545), "", 'Data Entry'!$è$545)</f>
      </c>
      <c r="FM545">
        <f>IF(ISBLANK('Data Entry'!$é$545), "", 'Data Entry'!$é$545)</f>
      </c>
      <c r="FN545">
        <f>IF(ISBLANK('Data Entry'!$ê$545), "", 'Data Entry'!$ê$545)</f>
      </c>
      <c r="FO545">
        <f>IF(ISBLANK('Data Entry'!$ë$545), "", 'Data Entry'!$ë$545)</f>
      </c>
      <c r="FP545">
        <f>IF(ISBLANK('Data Entry'!$ì$545), "", 'Data Entry'!$ì$545)</f>
      </c>
      <c r="FQ545">
        <f>IF(ISBLANK('Data Entry'!$í$545), "", 'Data Entry'!$í$545)</f>
      </c>
      <c r="FR545">
        <f>IF(ISBLANK('Data Entry'!$î$545), "", 'Data Entry'!$î$545)</f>
      </c>
      <c r="FS545">
        <f>IF(ISBLANK('Data Entry'!$ï$545), "", 'Data Entry'!$ï$545)</f>
      </c>
      <c r="FT545">
        <f>IF(ISBLANK('Data Entry'!$ð$545), "", 'Data Entry'!$ð$545)</f>
      </c>
      <c r="FU545">
        <f>IF(ISBLANK('Data Entry'!$ñ$545), "", 'Data Entry'!$ñ$545)</f>
      </c>
      <c r="FV545">
        <f>IF(ISBLANK('Data Entry'!$ò$545), "", 'Data Entry'!$ò$545)</f>
      </c>
      <c r="FW545">
        <f>IF(ISBLANK('Data Entry'!$ó$545), "", 'Data Entry'!$ó$545)</f>
      </c>
      <c r="FX545">
        <f>IF(ISBLANK('Data Entry'!$ô$545), "", 'Data Entry'!$ô$545)</f>
      </c>
      <c r="FY545">
        <f>IF(ISBLANK('Data Entry'!$õ$545), "", 'Data Entry'!$õ$545)</f>
      </c>
      <c r="FZ545">
        <f>IF(ISBLANK('Data Entry'!$ö$545), "", 'Data Entry'!$ö$545)</f>
      </c>
      <c r="GA545">
        <f>IF(ISBLANK('Data Entry'!$÷$545), "", 'Data Entry'!$÷$545)</f>
      </c>
      <c r="GB545">
        <f>IF(ISBLANK('Data Entry'!$ø$545), "", 'Data Entry'!$ø$545)</f>
      </c>
      <c r="GC545">
        <f>IF(ISBLANK('Data Entry'!$ù$545), "", 'Data Entry'!$ù$545)</f>
      </c>
      <c r="GD545">
        <f>IF(ISBLANK('Data Entry'!$ú$545), "", 'Data Entry'!$ú$545)</f>
      </c>
      <c r="GE545">
        <f>IF(ISBLANK('Data Entry'!$û$545), "", 'Data Entry'!$û$545)</f>
      </c>
      <c r="GF545">
        <f>IF(ISBLANK('Data Entry'!$ü$545), "", 'Data Entry'!$ü$545)</f>
      </c>
      <c r="GG545">
        <f>IF(ISBLANK('Data Entry'!$ý$545), "", 'Data Entry'!$ý$545)</f>
      </c>
      <c r="GH545">
        <f>IF(ISBLANK('Data Entry'!$þ$545), "", 'Data Entry'!$þ$545)</f>
      </c>
      <c r="GI545">
        <f>IF(ISBLANK('Data Entry'!$ÿ$545), "", 'Data Entry'!$ÿ$545)</f>
      </c>
      <c r="GJ545">
        <f>IF(ISBLANK('Data Entry'!$Ā$545), "", 'Data Entry'!$Ā$545)</f>
      </c>
      <c r="GK545">
        <f>IF(ISBLANK('Data Entry'!$ā$545), "", 'Data Entry'!$ā$545)</f>
      </c>
      <c r="GL545">
        <f>IF(ISBLANK('Data Entry'!$Ă$545), "", 'Data Entry'!$Ă$545)</f>
      </c>
      <c r="GM545">
        <f>IF(ISBLANK('Data Entry'!$ă$545), "", 'Data Entry'!$ă$545)</f>
      </c>
      <c r="GN545">
        <f>IF(ISBLANK('Data Entry'!$Ą$545), "", 'Data Entry'!$Ą$545)</f>
      </c>
      <c r="GO545">
        <f>IF(ISBLANK('Data Entry'!$ą$545), "", 'Data Entry'!$ą$545)</f>
      </c>
      <c r="GP545">
        <f>IF(ISBLANK('Data Entry'!$Ć$545), "", 'Data Entry'!$Ć$545)</f>
      </c>
      <c r="GQ545">
        <f>IF(ISBLANK('Data Entry'!$ć$545), "", 'Data Entry'!$ć$545)</f>
      </c>
      <c r="GR545">
        <f>IF(ISBLANK('Data Entry'!$Ĉ$545), "", 'Data Entry'!$Ĉ$545)</f>
      </c>
      <c r="GS545">
        <f>IF(ISBLANK('Data Entry'!$ĉ$545), "", 'Data Entry'!$ĉ$545)</f>
      </c>
      <c r="GT545">
        <f>IF(ISBLANK('Data Entry'!$Ċ$545), "", 'Data Entry'!$Ċ$545)</f>
      </c>
      <c r="GU545">
        <f>IF(ISBLANK('Data Entry'!$ċ$545), "", 'Data Entry'!$ċ$545)</f>
      </c>
      <c r="GV545">
        <f>IF(ISBLANK('Data Entry'!$Č$545), "", 'Data Entry'!$Č$545)</f>
      </c>
      <c r="GW545">
        <f>IF(ISBLANK('Data Entry'!$č$545), "", 'Data Entry'!$č$545)</f>
      </c>
      <c r="GX545">
        <f>IF(ISBLANK('Data Entry'!$Ď$545), "", 'Data Entry'!$Ď$545)</f>
      </c>
      <c r="GY545">
        <f>IF(ISBLANK('Data Entry'!$ď$545), "", 'Data Entry'!$ď$545)</f>
      </c>
      <c r="GZ545">
        <f>IF(ISBLANK('Data Entry'!$Đ$545), "", 'Data Entry'!$Đ$545)</f>
      </c>
      <c r="HA545">
        <f>IF(ISBLANK('Data Entry'!$đ$545), "", 'Data Entry'!$đ$545)</f>
      </c>
      <c r="HB545">
        <f>IF(ISBLANK('Data Entry'!$Ē$545), "", 'Data Entry'!$Ē$545)</f>
      </c>
      <c r="HC545">
        <f>IF(ISBLANK('Data Entry'!$ē$545), "", 'Data Entry'!$ē$545)</f>
      </c>
      <c r="HD545">
        <f>IF(ISBLANK('Data Entry'!$Ĕ$545), "", 'Data Entry'!$Ĕ$545)</f>
      </c>
      <c r="HE545">
        <f>IF(ISBLANK('Data Entry'!$ĕ$545), "", 'Data Entry'!$ĕ$545)</f>
      </c>
      <c r="HF545">
        <f>IF(ISBLANK('Data Entry'!$Ė$545), "", 'Data Entry'!$Ė$545)</f>
      </c>
      <c r="HG545">
        <f>IF(ISBLANK('Data Entry'!$ė$545), "", 'Data Entry'!$ė$545)</f>
      </c>
      <c r="HH545">
        <f>IF(ISBLANK('Data Entry'!$Ę$545), "", 'Data Entry'!$Ę$545)</f>
      </c>
      <c r="HI545">
        <f>IF(ISBLANK('Data Entry'!$ę$545), "", 'Data Entry'!$ę$545)</f>
      </c>
      <c r="HJ545">
        <f>IF(ISBLANK('Data Entry'!$Ě$545), "", 'Data Entry'!$Ě$545)</f>
      </c>
      <c r="HK545">
        <f>IF(ISBLANK('Data Entry'!$ě$545), "", 'Data Entry'!$ě$545)</f>
      </c>
      <c r="HL545">
        <f>IF(ISBLANK('Data Entry'!$Ĝ$545), "", 'Data Entry'!$Ĝ$545)</f>
      </c>
      <c r="HM545">
        <f>IF(ISBLANK('Data Entry'!$ĝ$545), "", 'Data Entry'!$ĝ$545)</f>
      </c>
      <c r="HN545">
        <f>IF(ISBLANK('Data Entry'!$Ğ$545), "", 'Data Entry'!$Ğ$545)</f>
      </c>
      <c r="HO545">
        <f>IF(ISBLANK('Data Entry'!$ğ$545), "", 'Data Entry'!$ğ$545)</f>
      </c>
      <c r="HP545">
        <f>IF(ISBLANK('Data Entry'!$Ġ$545), "", 'Data Entry'!$Ġ$545)</f>
      </c>
      <c r="HQ545">
        <f>IF(ISBLANK('Data Entry'!$ġ$545), "", 'Data Entry'!$ġ$545)</f>
      </c>
      <c r="HR545">
        <f>IF(ISBLANK('Data Entry'!$Ģ$545), "", 'Data Entry'!$Ģ$545)</f>
      </c>
      <c r="HS545">
        <f>IF(ISBLANK('Data Entry'!$ģ$545), "", 'Data Entry'!$ģ$545)</f>
      </c>
      <c r="HT545">
        <f>IF(ISBLANK('Data Entry'!$Ĥ$545), "", 'Data Entry'!$Ĥ$545)</f>
      </c>
      <c r="HU545">
        <f>IF(ISBLANK('Data Entry'!$ĥ$545), "", 'Data Entry'!$ĥ$545)</f>
      </c>
      <c r="HV545">
        <f>IF(ISBLANK('Data Entry'!$Ħ$545), "", 'Data Entry'!$Ħ$545)</f>
      </c>
      <c r="HW545">
        <f>IF(ISBLANK('Data Entry'!$ħ$545), "", 'Data Entry'!$ħ$545)</f>
      </c>
      <c r="HX545">
        <f>IF(ISBLANK('Data Entry'!$Ĩ$545), "", 'Data Entry'!$Ĩ$545)</f>
      </c>
      <c r="HY545">
        <f>IF(ISBLANK('Data Entry'!$ĩ$545), "", 'Data Entry'!$ĩ$545)</f>
      </c>
      <c r="HZ545">
        <f>IF(ISBLANK('Data Entry'!$Ī$545), "", 'Data Entry'!$Ī$545)</f>
      </c>
      <c r="IA545">
        <f>IF(ISBLANK('Data Entry'!$ī$545), "", 'Data Entry'!$ī$545)</f>
      </c>
      <c r="IB545">
        <f>IF(ISBLANK('Data Entry'!$Ĭ$545), "", 'Data Entry'!$Ĭ$545)</f>
      </c>
      <c r="IC545">
        <f>IF(ISBLANK('Data Entry'!$ĭ$545), "", 'Data Entry'!$ĭ$545)</f>
      </c>
      <c r="ID545">
        <f>IF(ISBLANK('Data Entry'!$Į$545), "", 'Data Entry'!$Į$545)</f>
      </c>
      <c r="IE545">
        <f>IF(ISBLANK('Data Entry'!$į$545), "", 'Data Entry'!$į$545)</f>
      </c>
      <c r="IF545">
        <f>IF(ISBLANK('Data Entry'!$İ$545), "", 'Data Entry'!$İ$545)</f>
      </c>
      <c r="IG545">
        <f>IF(ISBLANK('Data Entry'!$ı$545), "", 'Data Entry'!$ı$545)</f>
      </c>
      <c r="IH545">
        <f>IF(ISBLANK('Data Entry'!$Ĳ$545), "", 'Data Entry'!$Ĳ$545)</f>
      </c>
      <c r="II545">
        <f>IF(ISBLANK('Data Entry'!$ĳ$545), "", 'Data Entry'!$ĳ$545)</f>
      </c>
      <c r="IJ545">
        <f>IF(ISBLANK('Data Entry'!$Ĵ$545), "", 'Data Entry'!$Ĵ$545)</f>
      </c>
      <c r="IK545">
        <f>IF(ISBLANK('Data Entry'!$ĵ$545), "", 'Data Entry'!$ĵ$545)</f>
      </c>
      <c r="IL545">
        <f>IF(ISBLANK('Data Entry'!$Ķ$545), "", 'Data Entry'!$Ķ$545)</f>
      </c>
      <c r="IM545">
        <f>IF(ISBLANK('Data Entry'!$ķ$545), "", 'Data Entry'!$ķ$545)</f>
      </c>
      <c r="IN545">
        <f>IF(ISBLANK('Data Entry'!$ĸ$545), "", 'Data Entry'!$ĸ$545)</f>
      </c>
      <c r="IO545">
        <f>IF(ISBLANK('Data Entry'!$Ĺ$545), "", 'Data Entry'!$Ĺ$545)</f>
      </c>
      <c r="IP545">
        <f>IF(ISBLANK('Data Entry'!$ĺ$545), "", 'Data Entry'!$ĺ$545)</f>
      </c>
      <c r="IQ545">
        <f>IF(ISBLANK('Data Entry'!$Ļ$545), "", 'Data Entry'!$Ļ$545)</f>
      </c>
      <c r="IR545">
        <f>IF(ISBLANK('Data Entry'!$ļ$545), "", 'Data Entry'!$ļ$545)</f>
      </c>
      <c r="IS545">
        <f>IF(ISBLANK('Data Entry'!$Ľ$545), "", 'Data Entry'!$Ľ$545)</f>
      </c>
      <c r="IT545">
        <f>IF(ISBLANK('Data Entry'!$ľ$545), "", 'Data Entry'!$ľ$545)</f>
      </c>
    </row>
    <row r="546" spans="1:254" x14ac:dyDescent="0.25">
      <c r="A546">
        <f>IF(ISBLANK('Data Entry'!$A$546), "", 'Data Entry'!$A$546)</f>
      </c>
      <c r="B546">
        <f>IF(ISBLANK('Data Entry'!$B$546), "", 'Data Entry'!$B$546)</f>
      </c>
      <c r="C546">
        <f>IF(ISBLANK('Data Entry'!$C$546), "", 'Data Entry'!$C$546)</f>
      </c>
      <c r="D546">
        <f>IF(ISBLANK('Data Entry'!$D$546), "", 'Data Entry'!$D$546)</f>
      </c>
      <c r="E546">
        <f>IF(ISBLANK('Data Entry'!$E$546), "", 'Data Entry'!$E$546)</f>
      </c>
      <c r="F546">
        <f>IF(ISBLANK('Data Entry'!$F$546), "", 'Data Entry'!$F$546)</f>
      </c>
      <c r="G546">
        <f>IF(ISBLANK('Data Entry'!$G$546), "", 'Data Entry'!$G$546)</f>
      </c>
      <c r="H546">
        <f>IF(ISBLANK('Data Entry'!$H$546), "", 'Data Entry'!$H$546)</f>
      </c>
      <c r="I546">
        <f>IF(ISBLANK('Data Entry'!$I$546), "", 'Data Entry'!$I$546)</f>
      </c>
      <c r="J546">
        <f>IF(ISBLANK('Data Entry'!$J$546), "", 'Data Entry'!$J$546)</f>
      </c>
      <c r="K546">
        <f>IF(ISBLANK('Data Entry'!$K$546), "", 'Data Entry'!$K$546)</f>
      </c>
      <c r="L546">
        <f>IF(ISBLANK('Data Entry'!$L$546), "", 'Data Entry'!$L$546)</f>
      </c>
      <c r="M546">
        <f>IF(ISBLANK('Data Entry'!$M$546), "", 'Data Entry'!$M$546)</f>
      </c>
      <c r="N546">
        <f>IF(ISBLANK('Data Entry'!$N$546), "", 'Data Entry'!$N$546)</f>
      </c>
      <c r="O546">
        <f>IF(ISBLANK('Data Entry'!$O$546), "", 'Data Entry'!$O$546)</f>
      </c>
      <c r="P546">
        <f>IF(ISBLANK('Data Entry'!$P$546), "", 'Data Entry'!$P$546)</f>
      </c>
      <c r="Q546">
        <f>IF(ISBLANK('Data Entry'!$Q$546), "", 'Data Entry'!$Q$546)</f>
      </c>
      <c r="R546">
        <f>IF(ISBLANK('Data Entry'!$R$546), "", 'Data Entry'!$R$546)</f>
      </c>
      <c r="S546">
        <f>IF(ISBLANK('Data Entry'!$S$546), "", 'Data Entry'!$S$546)</f>
      </c>
      <c r="T546">
        <f>IF(ISBLANK('Data Entry'!$T$546), "", 'Data Entry'!$T$546)</f>
      </c>
      <c r="U546">
        <f>IF(ISBLANK('Data Entry'!$U$546), "", 'Data Entry'!$U$546)</f>
      </c>
      <c r="V546">
        <f>IF(ISBLANK('Data Entry'!$V$546), "", 'Data Entry'!$V$546)</f>
      </c>
      <c r="W546">
        <f>IF(ISBLANK('Data Entry'!$W$546), "", 'Data Entry'!$W$546)</f>
      </c>
      <c r="X546">
        <f>IF(ISBLANK('Data Entry'!$X$546), "", 'Data Entry'!$X$546)</f>
      </c>
      <c r="Y546">
        <f>IF(ISBLANK('Data Entry'!$Y$546), "", 'Data Entry'!$Y$546)</f>
      </c>
      <c r="Z546">
        <f>IF(ISBLANK('Data Entry'!$Z$546), "", 'Data Entry'!$Z$546)</f>
      </c>
      <c r="AA546">
        <f>IF(ISBLANK('Data Entry'!$[$546), "", 'Data Entry'!$[$546)</f>
      </c>
      <c r="AB546">
        <f>IF(ISBLANK('Data Entry'!$\$546), "", 'Data Entry'!$\$546)</f>
      </c>
      <c r="AC546">
        <f>IF(ISBLANK('Data Entry'!$]$546), "", 'Data Entry'!$]$546)</f>
      </c>
      <c r="AD546">
        <f>IF(ISBLANK('Data Entry'!$^$546), "", 'Data Entry'!$^$546)</f>
      </c>
      <c r="AE546">
        <f>IF(ISBLANK('Data Entry'!$_$546), "", 'Data Entry'!$_$546)</f>
      </c>
      <c r="AF546">
        <f>IF(ISBLANK('Data Entry'!$`$546), "", 'Data Entry'!$`$546)</f>
      </c>
      <c r="AG546">
        <f>IF(ISBLANK('Data Entry'!$a$546), "", 'Data Entry'!$a$546)</f>
      </c>
      <c r="AH546">
        <f>IF(ISBLANK('Data Entry'!$b$546), "", 'Data Entry'!$b$546)</f>
      </c>
      <c r="AI546">
        <f>IF(ISBLANK('Data Entry'!$c$546), "", 'Data Entry'!$c$546)</f>
      </c>
      <c r="AJ546">
        <f>IF(ISBLANK('Data Entry'!$d$546), "", 'Data Entry'!$d$546)</f>
      </c>
      <c r="AK546">
        <f>IF(ISBLANK('Data Entry'!$e$546), "", 'Data Entry'!$e$546)</f>
      </c>
      <c r="AL546">
        <f>IF(ISBLANK('Data Entry'!$f$546), "", 'Data Entry'!$f$546)</f>
      </c>
      <c r="AM546">
        <f>IF(ISBLANK('Data Entry'!$g$546), "", 'Data Entry'!$g$546)</f>
      </c>
      <c r="AN546">
        <f>IF(ISBLANK('Data Entry'!$h$546), "", 'Data Entry'!$h$546)</f>
      </c>
      <c r="AO546">
        <f>IF(ISBLANK('Data Entry'!$i$546), "", 'Data Entry'!$i$546)</f>
      </c>
      <c r="AP546">
        <f>IF(ISBLANK('Data Entry'!$j$546), "", 'Data Entry'!$j$546)</f>
      </c>
      <c r="AQ546">
        <f>IF(ISBLANK('Data Entry'!$k$546), "", 'Data Entry'!$k$546)</f>
      </c>
      <c r="AR546">
        <f>IF(ISBLANK('Data Entry'!$l$546), "", 'Data Entry'!$l$546)</f>
      </c>
      <c r="AS546">
        <f>IF(ISBLANK('Data Entry'!$m$546), "", 'Data Entry'!$m$546)</f>
      </c>
      <c r="AT546">
        <f>IF(ISBLANK('Data Entry'!$n$546), "", 'Data Entry'!$n$546)</f>
      </c>
      <c r="AU546">
        <f>IF(ISBLANK('Data Entry'!$o$546), "", 'Data Entry'!$o$546)</f>
      </c>
      <c r="AV546">
        <f>IF(ISBLANK('Data Entry'!$p$546), "", 'Data Entry'!$p$546)</f>
      </c>
      <c r="AW546">
        <f>IF(ISBLANK('Data Entry'!$q$546), "", 'Data Entry'!$q$546)</f>
      </c>
      <c r="AX546">
        <f>IF(ISBLANK('Data Entry'!$r$546), "", 'Data Entry'!$r$546)</f>
      </c>
      <c r="AY546">
        <f>IF(ISBLANK('Data Entry'!$s$546), "", 'Data Entry'!$s$546)</f>
      </c>
      <c r="AZ546">
        <f>IF(ISBLANK('Data Entry'!$t$546), "", 'Data Entry'!$t$546)</f>
      </c>
      <c r="BA546">
        <f>IF(ISBLANK('Data Entry'!$u$546), "", 'Data Entry'!$u$546)</f>
      </c>
      <c r="BB546">
        <f>IF(ISBLANK('Data Entry'!$v$546), "", 'Data Entry'!$v$546)</f>
      </c>
      <c r="BC546">
        <f>IF(ISBLANK('Data Entry'!$w$546), "", 'Data Entry'!$w$546)</f>
      </c>
      <c r="BD546">
        <f>IF(ISBLANK('Data Entry'!$x$546), "", 'Data Entry'!$x$546)</f>
      </c>
      <c r="BE546">
        <f>IF(ISBLANK('Data Entry'!$y$546), "", 'Data Entry'!$y$546)</f>
      </c>
      <c r="BF546">
        <f>IF(ISBLANK('Data Entry'!$z$546), "", 'Data Entry'!$z$546)</f>
      </c>
      <c r="BG546">
        <f>IF(ISBLANK('Data Entry'!${$546), "", 'Data Entry'!${$546)</f>
      </c>
      <c r="BH546">
        <f>IF(ISBLANK('Data Entry'!$|$546), "", 'Data Entry'!$|$546)</f>
      </c>
      <c r="BI546">
        <f>IF(ISBLANK('Data Entry'!$}$546), "", 'Data Entry'!$}$546)</f>
      </c>
      <c r="BJ546">
        <f>IF(ISBLANK('Data Entry'!$~$546), "", 'Data Entry'!$~$546)</f>
      </c>
      <c r="BK546">
        <f>IF(ISBLANK('Data Entry'!$$546), "", 'Data Entry'!$$546)</f>
      </c>
      <c r="BL546">
        <f>IF(ISBLANK('Data Entry'!$$546), "", 'Data Entry'!$$546)</f>
      </c>
      <c r="BM546">
        <f>IF(ISBLANK('Data Entry'!$$546), "", 'Data Entry'!$$546)</f>
      </c>
      <c r="BN546">
        <f>IF(ISBLANK('Data Entry'!$$546), "", 'Data Entry'!$$546)</f>
      </c>
      <c r="BO546">
        <f>IF(ISBLANK('Data Entry'!$$546), "", 'Data Entry'!$$546)</f>
      </c>
      <c r="BP546">
        <f>IF(ISBLANK('Data Entry'!$$546), "", 'Data Entry'!$$546)</f>
      </c>
      <c r="BQ546">
        <f>IF(ISBLANK('Data Entry'!$$546), "", 'Data Entry'!$$546)</f>
      </c>
      <c r="BR546">
        <f>IF(ISBLANK('Data Entry'!$$546), "", 'Data Entry'!$$546)</f>
      </c>
      <c r="BS546">
        <f>IF(ISBLANK('Data Entry'!$$546), "", 'Data Entry'!$$546)</f>
      </c>
      <c r="BT546">
        <f>IF(ISBLANK('Data Entry'!$$546), "", 'Data Entry'!$$546)</f>
      </c>
      <c r="BU546">
        <f>IF(ISBLANK('Data Entry'!$$546), "", 'Data Entry'!$$546)</f>
      </c>
      <c r="BV546">
        <f>IF(ISBLANK('Data Entry'!$$546), "", 'Data Entry'!$$546)</f>
      </c>
      <c r="BW546">
        <f>IF(ISBLANK('Data Entry'!$$546), "", 'Data Entry'!$$546)</f>
      </c>
      <c r="BX546">
        <f>IF(ISBLANK('Data Entry'!$$546), "", 'Data Entry'!$$546)</f>
      </c>
      <c r="BY546">
        <f>IF(ISBLANK('Data Entry'!$$546), "", 'Data Entry'!$$546)</f>
      </c>
      <c r="BZ546">
        <f>IF(ISBLANK('Data Entry'!$$546), "", 'Data Entry'!$$546)</f>
      </c>
      <c r="CA546">
        <f>IF(ISBLANK('Data Entry'!$$546), "", 'Data Entry'!$$546)</f>
      </c>
      <c r="CB546">
        <f>IF(ISBLANK('Data Entry'!$$546), "", 'Data Entry'!$$546)</f>
      </c>
      <c r="CC546">
        <f>IF(ISBLANK('Data Entry'!$$546), "", 'Data Entry'!$$546)</f>
      </c>
      <c r="CD546">
        <f>IF(ISBLANK('Data Entry'!$$546), "", 'Data Entry'!$$546)</f>
      </c>
      <c r="CE546">
        <f>IF(ISBLANK('Data Entry'!$$546), "", 'Data Entry'!$$546)</f>
      </c>
      <c r="CF546">
        <f>IF(ISBLANK('Data Entry'!$$546), "", 'Data Entry'!$$546)</f>
      </c>
      <c r="CG546">
        <f>IF(ISBLANK('Data Entry'!$$546), "", 'Data Entry'!$$546)</f>
      </c>
      <c r="CH546">
        <f>IF(ISBLANK('Data Entry'!$$546), "", 'Data Entry'!$$546)</f>
      </c>
      <c r="CI546">
        <f>IF(ISBLANK('Data Entry'!$$546), "", 'Data Entry'!$$546)</f>
      </c>
      <c r="CJ546">
        <f>IF(ISBLANK('Data Entry'!$$546), "", 'Data Entry'!$$546)</f>
      </c>
      <c r="CK546">
        <f>IF(ISBLANK('Data Entry'!$$546), "", 'Data Entry'!$$546)</f>
      </c>
      <c r="CL546">
        <f>IF(ISBLANK('Data Entry'!$$546), "", 'Data Entry'!$$546)</f>
      </c>
      <c r="CM546">
        <f>IF(ISBLANK('Data Entry'!$$546), "", 'Data Entry'!$$546)</f>
      </c>
      <c r="CN546">
        <f>IF(ISBLANK('Data Entry'!$$546), "", 'Data Entry'!$$546)</f>
      </c>
      <c r="CO546">
        <f>IF(ISBLANK('Data Entry'!$$546), "", 'Data Entry'!$$546)</f>
      </c>
      <c r="CP546">
        <f>IF(ISBLANK('Data Entry'!$$546), "", 'Data Entry'!$$546)</f>
      </c>
      <c r="CQ546">
        <f>IF(ISBLANK('Data Entry'!$$546), "", 'Data Entry'!$$546)</f>
      </c>
      <c r="CR546">
        <f>IF(ISBLANK('Data Entry'!$ $546), "", 'Data Entry'!$ $546)</f>
      </c>
      <c r="CS546">
        <f>IF(ISBLANK('Data Entry'!$¡$546), "", 'Data Entry'!$¡$546)</f>
      </c>
      <c r="CT546">
        <f>IF(ISBLANK('Data Entry'!$¢$546), "", 'Data Entry'!$¢$546)</f>
      </c>
      <c r="CU546">
        <f>IF(ISBLANK('Data Entry'!$£$546), "", 'Data Entry'!$£$546)</f>
      </c>
      <c r="CV546">
        <f>IF(ISBLANK('Data Entry'!$¤$546), "", 'Data Entry'!$¤$546)</f>
      </c>
      <c r="CW546">
        <f>IF(ISBLANK('Data Entry'!$¥$546), "", 'Data Entry'!$¥$546)</f>
      </c>
      <c r="CX546">
        <f>IF(ISBLANK('Data Entry'!$¦$546), "", 'Data Entry'!$¦$546)</f>
      </c>
      <c r="CY546">
        <f>IF(ISBLANK('Data Entry'!$§$546), "", 'Data Entry'!$§$546)</f>
      </c>
      <c r="CZ546">
        <f>IF(ISBLANK('Data Entry'!$¨$546), "", 'Data Entry'!$¨$546)</f>
      </c>
      <c r="DA546">
        <f>IF(ISBLANK('Data Entry'!$©$546), "", 'Data Entry'!$©$546)</f>
      </c>
      <c r="DB546">
        <f>IF(ISBLANK('Data Entry'!$ª$546), "", 'Data Entry'!$ª$546)</f>
      </c>
      <c r="DC546">
        <f>IF(ISBLANK('Data Entry'!$«$546), "", 'Data Entry'!$«$546)</f>
      </c>
      <c r="DD546">
        <f>IF(ISBLANK('Data Entry'!$¬$546), "", 'Data Entry'!$¬$546)</f>
      </c>
      <c r="DE546">
        <f>IF(ISBLANK('Data Entry'!$­$546), "", 'Data Entry'!$­$546)</f>
      </c>
      <c r="DF546">
        <f>IF(ISBLANK('Data Entry'!$®$546), "", 'Data Entry'!$®$546)</f>
      </c>
      <c r="DG546">
        <f>IF(ISBLANK('Data Entry'!$¯$546), "", 'Data Entry'!$¯$546)</f>
      </c>
      <c r="DH546">
        <f>IF(ISBLANK('Data Entry'!$°$546), "", 'Data Entry'!$°$546)</f>
      </c>
      <c r="DI546">
        <f>IF(ISBLANK('Data Entry'!$±$546), "", 'Data Entry'!$±$546)</f>
      </c>
      <c r="DJ546">
        <f>IF(ISBLANK('Data Entry'!$²$546), "", 'Data Entry'!$²$546)</f>
      </c>
      <c r="DK546">
        <f>IF(ISBLANK('Data Entry'!$³$546), "", 'Data Entry'!$³$546)</f>
      </c>
      <c r="DL546">
        <f>IF(ISBLANK('Data Entry'!$´$546), "", 'Data Entry'!$´$546)</f>
      </c>
      <c r="DM546">
        <f>IF(ISBLANK('Data Entry'!$µ$546), "", 'Data Entry'!$µ$546)</f>
      </c>
      <c r="DN546">
        <f>IF(ISBLANK('Data Entry'!$¶$546), "", 'Data Entry'!$¶$546)</f>
      </c>
      <c r="DO546">
        <f>IF(ISBLANK('Data Entry'!$·$546), "", 'Data Entry'!$·$546)</f>
      </c>
      <c r="DP546">
        <f>IF(ISBLANK('Data Entry'!$¸$546), "", 'Data Entry'!$¸$546)</f>
      </c>
      <c r="DQ546">
        <f>IF(ISBLANK('Data Entry'!$¹$546), "", 'Data Entry'!$¹$546)</f>
      </c>
      <c r="DR546">
        <f>IF(ISBLANK('Data Entry'!$º$546), "", 'Data Entry'!$º$546)</f>
      </c>
      <c r="DS546">
        <f>IF(ISBLANK('Data Entry'!$»$546), "", 'Data Entry'!$»$546)</f>
      </c>
      <c r="DT546">
        <f>IF(ISBLANK('Data Entry'!$¼$546), "", 'Data Entry'!$¼$546)</f>
      </c>
      <c r="DU546">
        <f>IF(ISBLANK('Data Entry'!$½$546), "", 'Data Entry'!$½$546)</f>
      </c>
      <c r="DV546">
        <f>IF(ISBLANK('Data Entry'!$¾$546), "", 'Data Entry'!$¾$546)</f>
      </c>
      <c r="DW546">
        <f>IF(ISBLANK('Data Entry'!$¿$546), "", 'Data Entry'!$¿$546)</f>
      </c>
      <c r="DX546">
        <f>IF(ISBLANK('Data Entry'!$À$546), "", 'Data Entry'!$À$546)</f>
      </c>
      <c r="DY546">
        <f>IF(ISBLANK('Data Entry'!$Á$546), "", 'Data Entry'!$Á$546)</f>
      </c>
      <c r="DZ546">
        <f>IF(ISBLANK('Data Entry'!$Â$546), "", 'Data Entry'!$Â$546)</f>
      </c>
      <c r="EA546">
        <f>IF(ISBLANK('Data Entry'!$Ã$546), "", 'Data Entry'!$Ã$546)</f>
      </c>
      <c r="EB546">
        <f>IF(ISBLANK('Data Entry'!$Ä$546), "", 'Data Entry'!$Ä$546)</f>
      </c>
      <c r="EC546">
        <f>IF(ISBLANK('Data Entry'!$Å$546), "", 'Data Entry'!$Å$546)</f>
      </c>
      <c r="ED546">
        <f>IF(ISBLANK('Data Entry'!$Æ$546), "", 'Data Entry'!$Æ$546)</f>
      </c>
      <c r="EE546">
        <f>IF(ISBLANK('Data Entry'!$Ç$546), "", 'Data Entry'!$Ç$546)</f>
      </c>
      <c r="EF546">
        <f>IF(ISBLANK('Data Entry'!$È$546), "", 'Data Entry'!$È$546)</f>
      </c>
      <c r="EG546">
        <f>IF(ISBLANK('Data Entry'!$É$546), "", 'Data Entry'!$É$546)</f>
      </c>
      <c r="EH546">
        <f>IF(ISBLANK('Data Entry'!$Ê$546), "", 'Data Entry'!$Ê$546)</f>
      </c>
      <c r="EI546">
        <f>IF(ISBLANK('Data Entry'!$Ë$546), "", 'Data Entry'!$Ë$546)</f>
      </c>
      <c r="EJ546">
        <f>IF(ISBLANK('Data Entry'!$Ì$546), "", 'Data Entry'!$Ì$546)</f>
      </c>
      <c r="EK546">
        <f>IF(ISBLANK('Data Entry'!$Í$546), "", 'Data Entry'!$Í$546)</f>
      </c>
      <c r="EL546">
        <f>IF(ISBLANK('Data Entry'!$Î$546), "", 'Data Entry'!$Î$546)</f>
      </c>
      <c r="EM546">
        <f>IF(ISBLANK('Data Entry'!$Ï$546), "", 'Data Entry'!$Ï$546)</f>
      </c>
      <c r="EN546">
        <f>IF(ISBLANK('Data Entry'!$Ð$546), "", 'Data Entry'!$Ð$546)</f>
      </c>
      <c r="EO546">
        <f>IF(ISBLANK('Data Entry'!$Ñ$546), "", 'Data Entry'!$Ñ$546)</f>
      </c>
      <c r="EP546">
        <f>IF(ISBLANK('Data Entry'!$Ò$546), "", 'Data Entry'!$Ò$546)</f>
      </c>
      <c r="EQ546">
        <f>IF(ISBLANK('Data Entry'!$Ó$546), "", 'Data Entry'!$Ó$546)</f>
      </c>
      <c r="ER546">
        <f>IF(ISBLANK('Data Entry'!$Ô$546), "", 'Data Entry'!$Ô$546)</f>
      </c>
      <c r="ES546">
        <f>IF(ISBLANK('Data Entry'!$Õ$546), "", 'Data Entry'!$Õ$546)</f>
      </c>
      <c r="ET546">
        <f>IF(ISBLANK('Data Entry'!$Ö$546), "", 'Data Entry'!$Ö$546)</f>
      </c>
      <c r="EU546">
        <f>IF(ISBLANK('Data Entry'!$×$546), "", 'Data Entry'!$×$546)</f>
      </c>
      <c r="EV546">
        <f>IF(ISBLANK('Data Entry'!$Ø$546), "", 'Data Entry'!$Ø$546)</f>
      </c>
      <c r="EW546">
        <f>IF(ISBLANK('Data Entry'!$Ù$546), "", 'Data Entry'!$Ù$546)</f>
      </c>
      <c r="EX546">
        <f>IF(ISBLANK('Data Entry'!$Ú$546), "", 'Data Entry'!$Ú$546)</f>
      </c>
      <c r="EY546">
        <f>IF(ISBLANK('Data Entry'!$Û$546), "", 'Data Entry'!$Û$546)</f>
      </c>
      <c r="EZ546">
        <f>IF(ISBLANK('Data Entry'!$Ü$546), "", 'Data Entry'!$Ü$546)</f>
      </c>
      <c r="FA546">
        <f>IF(ISBLANK('Data Entry'!$Ý$546), "", 'Data Entry'!$Ý$546)</f>
      </c>
      <c r="FB546">
        <f>IF(ISBLANK('Data Entry'!$Þ$546), "", 'Data Entry'!$Þ$546)</f>
      </c>
      <c r="FC546">
        <f>IF(ISBLANK('Data Entry'!$ß$546), "", 'Data Entry'!$ß$546)</f>
      </c>
      <c r="FD546">
        <f>IF(ISBLANK('Data Entry'!$à$546), "", 'Data Entry'!$à$546)</f>
      </c>
      <c r="FE546">
        <f>IF(ISBLANK('Data Entry'!$á$546), "", 'Data Entry'!$á$546)</f>
      </c>
      <c r="FF546">
        <f>IF(ISBLANK('Data Entry'!$â$546), "", 'Data Entry'!$â$546)</f>
      </c>
      <c r="FG546">
        <f>IF(ISBLANK('Data Entry'!$ã$546), "", 'Data Entry'!$ã$546)</f>
      </c>
      <c r="FH546">
        <f>IF(ISBLANK('Data Entry'!$ä$546), "", 'Data Entry'!$ä$546)</f>
      </c>
      <c r="FI546">
        <f>IF(ISBLANK('Data Entry'!$å$546), "", 'Data Entry'!$å$546)</f>
      </c>
      <c r="FJ546">
        <f>IF(ISBLANK('Data Entry'!$æ$546), "", 'Data Entry'!$æ$546)</f>
      </c>
      <c r="FK546">
        <f>IF(ISBLANK('Data Entry'!$ç$546), "", 'Data Entry'!$ç$546)</f>
      </c>
      <c r="FL546">
        <f>IF(ISBLANK('Data Entry'!$è$546), "", 'Data Entry'!$è$546)</f>
      </c>
      <c r="FM546">
        <f>IF(ISBLANK('Data Entry'!$é$546), "", 'Data Entry'!$é$546)</f>
      </c>
      <c r="FN546">
        <f>IF(ISBLANK('Data Entry'!$ê$546), "", 'Data Entry'!$ê$546)</f>
      </c>
      <c r="FO546">
        <f>IF(ISBLANK('Data Entry'!$ë$546), "", 'Data Entry'!$ë$546)</f>
      </c>
      <c r="FP546">
        <f>IF(ISBLANK('Data Entry'!$ì$546), "", 'Data Entry'!$ì$546)</f>
      </c>
      <c r="FQ546">
        <f>IF(ISBLANK('Data Entry'!$í$546), "", 'Data Entry'!$í$546)</f>
      </c>
      <c r="FR546">
        <f>IF(ISBLANK('Data Entry'!$î$546), "", 'Data Entry'!$î$546)</f>
      </c>
      <c r="FS546">
        <f>IF(ISBLANK('Data Entry'!$ï$546), "", 'Data Entry'!$ï$546)</f>
      </c>
      <c r="FT546">
        <f>IF(ISBLANK('Data Entry'!$ð$546), "", 'Data Entry'!$ð$546)</f>
      </c>
      <c r="FU546">
        <f>IF(ISBLANK('Data Entry'!$ñ$546), "", 'Data Entry'!$ñ$546)</f>
      </c>
      <c r="FV546">
        <f>IF(ISBLANK('Data Entry'!$ò$546), "", 'Data Entry'!$ò$546)</f>
      </c>
      <c r="FW546">
        <f>IF(ISBLANK('Data Entry'!$ó$546), "", 'Data Entry'!$ó$546)</f>
      </c>
      <c r="FX546">
        <f>IF(ISBLANK('Data Entry'!$ô$546), "", 'Data Entry'!$ô$546)</f>
      </c>
      <c r="FY546">
        <f>IF(ISBLANK('Data Entry'!$õ$546), "", 'Data Entry'!$õ$546)</f>
      </c>
      <c r="FZ546">
        <f>IF(ISBLANK('Data Entry'!$ö$546), "", 'Data Entry'!$ö$546)</f>
      </c>
      <c r="GA546">
        <f>IF(ISBLANK('Data Entry'!$÷$546), "", 'Data Entry'!$÷$546)</f>
      </c>
      <c r="GB546">
        <f>IF(ISBLANK('Data Entry'!$ø$546), "", 'Data Entry'!$ø$546)</f>
      </c>
      <c r="GC546">
        <f>IF(ISBLANK('Data Entry'!$ù$546), "", 'Data Entry'!$ù$546)</f>
      </c>
      <c r="GD546">
        <f>IF(ISBLANK('Data Entry'!$ú$546), "", 'Data Entry'!$ú$546)</f>
      </c>
      <c r="GE546">
        <f>IF(ISBLANK('Data Entry'!$û$546), "", 'Data Entry'!$û$546)</f>
      </c>
      <c r="GF546">
        <f>IF(ISBLANK('Data Entry'!$ü$546), "", 'Data Entry'!$ü$546)</f>
      </c>
      <c r="GG546">
        <f>IF(ISBLANK('Data Entry'!$ý$546), "", 'Data Entry'!$ý$546)</f>
      </c>
      <c r="GH546">
        <f>IF(ISBLANK('Data Entry'!$þ$546), "", 'Data Entry'!$þ$546)</f>
      </c>
      <c r="GI546">
        <f>IF(ISBLANK('Data Entry'!$ÿ$546), "", 'Data Entry'!$ÿ$546)</f>
      </c>
      <c r="GJ546">
        <f>IF(ISBLANK('Data Entry'!$Ā$546), "", 'Data Entry'!$Ā$546)</f>
      </c>
      <c r="GK546">
        <f>IF(ISBLANK('Data Entry'!$ā$546), "", 'Data Entry'!$ā$546)</f>
      </c>
      <c r="GL546">
        <f>IF(ISBLANK('Data Entry'!$Ă$546), "", 'Data Entry'!$Ă$546)</f>
      </c>
      <c r="GM546">
        <f>IF(ISBLANK('Data Entry'!$ă$546), "", 'Data Entry'!$ă$546)</f>
      </c>
      <c r="GN546">
        <f>IF(ISBLANK('Data Entry'!$Ą$546), "", 'Data Entry'!$Ą$546)</f>
      </c>
      <c r="GO546">
        <f>IF(ISBLANK('Data Entry'!$ą$546), "", 'Data Entry'!$ą$546)</f>
      </c>
      <c r="GP546">
        <f>IF(ISBLANK('Data Entry'!$Ć$546), "", 'Data Entry'!$Ć$546)</f>
      </c>
      <c r="GQ546">
        <f>IF(ISBLANK('Data Entry'!$ć$546), "", 'Data Entry'!$ć$546)</f>
      </c>
      <c r="GR546">
        <f>IF(ISBLANK('Data Entry'!$Ĉ$546), "", 'Data Entry'!$Ĉ$546)</f>
      </c>
      <c r="GS546">
        <f>IF(ISBLANK('Data Entry'!$ĉ$546), "", 'Data Entry'!$ĉ$546)</f>
      </c>
      <c r="GT546">
        <f>IF(ISBLANK('Data Entry'!$Ċ$546), "", 'Data Entry'!$Ċ$546)</f>
      </c>
      <c r="GU546">
        <f>IF(ISBLANK('Data Entry'!$ċ$546), "", 'Data Entry'!$ċ$546)</f>
      </c>
      <c r="GV546">
        <f>IF(ISBLANK('Data Entry'!$Č$546), "", 'Data Entry'!$Č$546)</f>
      </c>
      <c r="GW546">
        <f>IF(ISBLANK('Data Entry'!$č$546), "", 'Data Entry'!$č$546)</f>
      </c>
      <c r="GX546">
        <f>IF(ISBLANK('Data Entry'!$Ď$546), "", 'Data Entry'!$Ď$546)</f>
      </c>
      <c r="GY546">
        <f>IF(ISBLANK('Data Entry'!$ď$546), "", 'Data Entry'!$ď$546)</f>
      </c>
      <c r="GZ546">
        <f>IF(ISBLANK('Data Entry'!$Đ$546), "", 'Data Entry'!$Đ$546)</f>
      </c>
      <c r="HA546">
        <f>IF(ISBLANK('Data Entry'!$đ$546), "", 'Data Entry'!$đ$546)</f>
      </c>
      <c r="HB546">
        <f>IF(ISBLANK('Data Entry'!$Ē$546), "", 'Data Entry'!$Ē$546)</f>
      </c>
      <c r="HC546">
        <f>IF(ISBLANK('Data Entry'!$ē$546), "", 'Data Entry'!$ē$546)</f>
      </c>
      <c r="HD546">
        <f>IF(ISBLANK('Data Entry'!$Ĕ$546), "", 'Data Entry'!$Ĕ$546)</f>
      </c>
      <c r="HE546">
        <f>IF(ISBLANK('Data Entry'!$ĕ$546), "", 'Data Entry'!$ĕ$546)</f>
      </c>
      <c r="HF546">
        <f>IF(ISBLANK('Data Entry'!$Ė$546), "", 'Data Entry'!$Ė$546)</f>
      </c>
      <c r="HG546">
        <f>IF(ISBLANK('Data Entry'!$ė$546), "", 'Data Entry'!$ė$546)</f>
      </c>
      <c r="HH546">
        <f>IF(ISBLANK('Data Entry'!$Ę$546), "", 'Data Entry'!$Ę$546)</f>
      </c>
      <c r="HI546">
        <f>IF(ISBLANK('Data Entry'!$ę$546), "", 'Data Entry'!$ę$546)</f>
      </c>
      <c r="HJ546">
        <f>IF(ISBLANK('Data Entry'!$Ě$546), "", 'Data Entry'!$Ě$546)</f>
      </c>
      <c r="HK546">
        <f>IF(ISBLANK('Data Entry'!$ě$546), "", 'Data Entry'!$ě$546)</f>
      </c>
      <c r="HL546">
        <f>IF(ISBLANK('Data Entry'!$Ĝ$546), "", 'Data Entry'!$Ĝ$546)</f>
      </c>
      <c r="HM546">
        <f>IF(ISBLANK('Data Entry'!$ĝ$546), "", 'Data Entry'!$ĝ$546)</f>
      </c>
      <c r="HN546">
        <f>IF(ISBLANK('Data Entry'!$Ğ$546), "", 'Data Entry'!$Ğ$546)</f>
      </c>
      <c r="HO546">
        <f>IF(ISBLANK('Data Entry'!$ğ$546), "", 'Data Entry'!$ğ$546)</f>
      </c>
      <c r="HP546">
        <f>IF(ISBLANK('Data Entry'!$Ġ$546), "", 'Data Entry'!$Ġ$546)</f>
      </c>
      <c r="HQ546">
        <f>IF(ISBLANK('Data Entry'!$ġ$546), "", 'Data Entry'!$ġ$546)</f>
      </c>
      <c r="HR546">
        <f>IF(ISBLANK('Data Entry'!$Ģ$546), "", 'Data Entry'!$Ģ$546)</f>
      </c>
      <c r="HS546">
        <f>IF(ISBLANK('Data Entry'!$ģ$546), "", 'Data Entry'!$ģ$546)</f>
      </c>
      <c r="HT546">
        <f>IF(ISBLANK('Data Entry'!$Ĥ$546), "", 'Data Entry'!$Ĥ$546)</f>
      </c>
      <c r="HU546">
        <f>IF(ISBLANK('Data Entry'!$ĥ$546), "", 'Data Entry'!$ĥ$546)</f>
      </c>
      <c r="HV546">
        <f>IF(ISBLANK('Data Entry'!$Ħ$546), "", 'Data Entry'!$Ħ$546)</f>
      </c>
      <c r="HW546">
        <f>IF(ISBLANK('Data Entry'!$ħ$546), "", 'Data Entry'!$ħ$546)</f>
      </c>
      <c r="HX546">
        <f>IF(ISBLANK('Data Entry'!$Ĩ$546), "", 'Data Entry'!$Ĩ$546)</f>
      </c>
      <c r="HY546">
        <f>IF(ISBLANK('Data Entry'!$ĩ$546), "", 'Data Entry'!$ĩ$546)</f>
      </c>
      <c r="HZ546">
        <f>IF(ISBLANK('Data Entry'!$Ī$546), "", 'Data Entry'!$Ī$546)</f>
      </c>
      <c r="IA546">
        <f>IF(ISBLANK('Data Entry'!$ī$546), "", 'Data Entry'!$ī$546)</f>
      </c>
      <c r="IB546">
        <f>IF(ISBLANK('Data Entry'!$Ĭ$546), "", 'Data Entry'!$Ĭ$546)</f>
      </c>
      <c r="IC546">
        <f>IF(ISBLANK('Data Entry'!$ĭ$546), "", 'Data Entry'!$ĭ$546)</f>
      </c>
      <c r="ID546">
        <f>IF(ISBLANK('Data Entry'!$Į$546), "", 'Data Entry'!$Į$546)</f>
      </c>
      <c r="IE546">
        <f>IF(ISBLANK('Data Entry'!$į$546), "", 'Data Entry'!$į$546)</f>
      </c>
      <c r="IF546">
        <f>IF(ISBLANK('Data Entry'!$İ$546), "", 'Data Entry'!$İ$546)</f>
      </c>
      <c r="IG546">
        <f>IF(ISBLANK('Data Entry'!$ı$546), "", 'Data Entry'!$ı$546)</f>
      </c>
      <c r="IH546">
        <f>IF(ISBLANK('Data Entry'!$Ĳ$546), "", 'Data Entry'!$Ĳ$546)</f>
      </c>
      <c r="II546">
        <f>IF(ISBLANK('Data Entry'!$ĳ$546), "", 'Data Entry'!$ĳ$546)</f>
      </c>
      <c r="IJ546">
        <f>IF(ISBLANK('Data Entry'!$Ĵ$546), "", 'Data Entry'!$Ĵ$546)</f>
      </c>
      <c r="IK546">
        <f>IF(ISBLANK('Data Entry'!$ĵ$546), "", 'Data Entry'!$ĵ$546)</f>
      </c>
      <c r="IL546">
        <f>IF(ISBLANK('Data Entry'!$Ķ$546), "", 'Data Entry'!$Ķ$546)</f>
      </c>
      <c r="IM546">
        <f>IF(ISBLANK('Data Entry'!$ķ$546), "", 'Data Entry'!$ķ$546)</f>
      </c>
      <c r="IN546">
        <f>IF(ISBLANK('Data Entry'!$ĸ$546), "", 'Data Entry'!$ĸ$546)</f>
      </c>
      <c r="IO546">
        <f>IF(ISBLANK('Data Entry'!$Ĺ$546), "", 'Data Entry'!$Ĺ$546)</f>
      </c>
      <c r="IP546">
        <f>IF(ISBLANK('Data Entry'!$ĺ$546), "", 'Data Entry'!$ĺ$546)</f>
      </c>
      <c r="IQ546">
        <f>IF(ISBLANK('Data Entry'!$Ļ$546), "", 'Data Entry'!$Ļ$546)</f>
      </c>
      <c r="IR546">
        <f>IF(ISBLANK('Data Entry'!$ļ$546), "", 'Data Entry'!$ļ$546)</f>
      </c>
      <c r="IS546">
        <f>IF(ISBLANK('Data Entry'!$Ľ$546), "", 'Data Entry'!$Ľ$546)</f>
      </c>
      <c r="IT546">
        <f>IF(ISBLANK('Data Entry'!$ľ$546), "", 'Data Entry'!$ľ$546)</f>
      </c>
    </row>
    <row r="547" spans="1:254" x14ac:dyDescent="0.25">
      <c r="A547">
        <f>IF(ISBLANK('Data Entry'!$A$547), "", 'Data Entry'!$A$547)</f>
      </c>
      <c r="B547">
        <f>IF(ISBLANK('Data Entry'!$B$547), "", 'Data Entry'!$B$547)</f>
      </c>
      <c r="C547">
        <f>IF(ISBLANK('Data Entry'!$C$547), "", 'Data Entry'!$C$547)</f>
      </c>
      <c r="D547">
        <f>IF(ISBLANK('Data Entry'!$D$547), "", 'Data Entry'!$D$547)</f>
      </c>
      <c r="E547">
        <f>IF(ISBLANK('Data Entry'!$E$547), "", 'Data Entry'!$E$547)</f>
      </c>
      <c r="F547">
        <f>IF(ISBLANK('Data Entry'!$F$547), "", 'Data Entry'!$F$547)</f>
      </c>
      <c r="G547">
        <f>IF(ISBLANK('Data Entry'!$G$547), "", 'Data Entry'!$G$547)</f>
      </c>
      <c r="H547">
        <f>IF(ISBLANK('Data Entry'!$H$547), "", 'Data Entry'!$H$547)</f>
      </c>
      <c r="I547">
        <f>IF(ISBLANK('Data Entry'!$I$547), "", 'Data Entry'!$I$547)</f>
      </c>
      <c r="J547">
        <f>IF(ISBLANK('Data Entry'!$J$547), "", 'Data Entry'!$J$547)</f>
      </c>
      <c r="K547">
        <f>IF(ISBLANK('Data Entry'!$K$547), "", 'Data Entry'!$K$547)</f>
      </c>
      <c r="L547">
        <f>IF(ISBLANK('Data Entry'!$L$547), "", 'Data Entry'!$L$547)</f>
      </c>
      <c r="M547">
        <f>IF(ISBLANK('Data Entry'!$M$547), "", 'Data Entry'!$M$547)</f>
      </c>
      <c r="N547">
        <f>IF(ISBLANK('Data Entry'!$N$547), "", 'Data Entry'!$N$547)</f>
      </c>
      <c r="O547">
        <f>IF(ISBLANK('Data Entry'!$O$547), "", 'Data Entry'!$O$547)</f>
      </c>
      <c r="P547">
        <f>IF(ISBLANK('Data Entry'!$P$547), "", 'Data Entry'!$P$547)</f>
      </c>
      <c r="Q547">
        <f>IF(ISBLANK('Data Entry'!$Q$547), "", 'Data Entry'!$Q$547)</f>
      </c>
      <c r="R547">
        <f>IF(ISBLANK('Data Entry'!$R$547), "", 'Data Entry'!$R$547)</f>
      </c>
      <c r="S547">
        <f>IF(ISBLANK('Data Entry'!$S$547), "", 'Data Entry'!$S$547)</f>
      </c>
      <c r="T547">
        <f>IF(ISBLANK('Data Entry'!$T$547), "", 'Data Entry'!$T$547)</f>
      </c>
      <c r="U547">
        <f>IF(ISBLANK('Data Entry'!$U$547), "", 'Data Entry'!$U$547)</f>
      </c>
      <c r="V547">
        <f>IF(ISBLANK('Data Entry'!$V$547), "", 'Data Entry'!$V$547)</f>
      </c>
      <c r="W547">
        <f>IF(ISBLANK('Data Entry'!$W$547), "", 'Data Entry'!$W$547)</f>
      </c>
      <c r="X547">
        <f>IF(ISBLANK('Data Entry'!$X$547), "", 'Data Entry'!$X$547)</f>
      </c>
      <c r="Y547">
        <f>IF(ISBLANK('Data Entry'!$Y$547), "", 'Data Entry'!$Y$547)</f>
      </c>
      <c r="Z547">
        <f>IF(ISBLANK('Data Entry'!$Z$547), "", 'Data Entry'!$Z$547)</f>
      </c>
      <c r="AA547">
        <f>IF(ISBLANK('Data Entry'!$[$547), "", 'Data Entry'!$[$547)</f>
      </c>
      <c r="AB547">
        <f>IF(ISBLANK('Data Entry'!$\$547), "", 'Data Entry'!$\$547)</f>
      </c>
      <c r="AC547">
        <f>IF(ISBLANK('Data Entry'!$]$547), "", 'Data Entry'!$]$547)</f>
      </c>
      <c r="AD547">
        <f>IF(ISBLANK('Data Entry'!$^$547), "", 'Data Entry'!$^$547)</f>
      </c>
      <c r="AE547">
        <f>IF(ISBLANK('Data Entry'!$_$547), "", 'Data Entry'!$_$547)</f>
      </c>
      <c r="AF547">
        <f>IF(ISBLANK('Data Entry'!$`$547), "", 'Data Entry'!$`$547)</f>
      </c>
      <c r="AG547">
        <f>IF(ISBLANK('Data Entry'!$a$547), "", 'Data Entry'!$a$547)</f>
      </c>
      <c r="AH547">
        <f>IF(ISBLANK('Data Entry'!$b$547), "", 'Data Entry'!$b$547)</f>
      </c>
      <c r="AI547">
        <f>IF(ISBLANK('Data Entry'!$c$547), "", 'Data Entry'!$c$547)</f>
      </c>
      <c r="AJ547">
        <f>IF(ISBLANK('Data Entry'!$d$547), "", 'Data Entry'!$d$547)</f>
      </c>
      <c r="AK547">
        <f>IF(ISBLANK('Data Entry'!$e$547), "", 'Data Entry'!$e$547)</f>
      </c>
      <c r="AL547">
        <f>IF(ISBLANK('Data Entry'!$f$547), "", 'Data Entry'!$f$547)</f>
      </c>
      <c r="AM547">
        <f>IF(ISBLANK('Data Entry'!$g$547), "", 'Data Entry'!$g$547)</f>
      </c>
      <c r="AN547">
        <f>IF(ISBLANK('Data Entry'!$h$547), "", 'Data Entry'!$h$547)</f>
      </c>
      <c r="AO547">
        <f>IF(ISBLANK('Data Entry'!$i$547), "", 'Data Entry'!$i$547)</f>
      </c>
      <c r="AP547">
        <f>IF(ISBLANK('Data Entry'!$j$547), "", 'Data Entry'!$j$547)</f>
      </c>
      <c r="AQ547">
        <f>IF(ISBLANK('Data Entry'!$k$547), "", 'Data Entry'!$k$547)</f>
      </c>
      <c r="AR547">
        <f>IF(ISBLANK('Data Entry'!$l$547), "", 'Data Entry'!$l$547)</f>
      </c>
      <c r="AS547">
        <f>IF(ISBLANK('Data Entry'!$m$547), "", 'Data Entry'!$m$547)</f>
      </c>
      <c r="AT547">
        <f>IF(ISBLANK('Data Entry'!$n$547), "", 'Data Entry'!$n$547)</f>
      </c>
      <c r="AU547">
        <f>IF(ISBLANK('Data Entry'!$o$547), "", 'Data Entry'!$o$547)</f>
      </c>
      <c r="AV547">
        <f>IF(ISBLANK('Data Entry'!$p$547), "", 'Data Entry'!$p$547)</f>
      </c>
      <c r="AW547">
        <f>IF(ISBLANK('Data Entry'!$q$547), "", 'Data Entry'!$q$547)</f>
      </c>
      <c r="AX547">
        <f>IF(ISBLANK('Data Entry'!$r$547), "", 'Data Entry'!$r$547)</f>
      </c>
      <c r="AY547">
        <f>IF(ISBLANK('Data Entry'!$s$547), "", 'Data Entry'!$s$547)</f>
      </c>
      <c r="AZ547">
        <f>IF(ISBLANK('Data Entry'!$t$547), "", 'Data Entry'!$t$547)</f>
      </c>
      <c r="BA547">
        <f>IF(ISBLANK('Data Entry'!$u$547), "", 'Data Entry'!$u$547)</f>
      </c>
      <c r="BB547">
        <f>IF(ISBLANK('Data Entry'!$v$547), "", 'Data Entry'!$v$547)</f>
      </c>
      <c r="BC547">
        <f>IF(ISBLANK('Data Entry'!$w$547), "", 'Data Entry'!$w$547)</f>
      </c>
      <c r="BD547">
        <f>IF(ISBLANK('Data Entry'!$x$547), "", 'Data Entry'!$x$547)</f>
      </c>
      <c r="BE547">
        <f>IF(ISBLANK('Data Entry'!$y$547), "", 'Data Entry'!$y$547)</f>
      </c>
      <c r="BF547">
        <f>IF(ISBLANK('Data Entry'!$z$547), "", 'Data Entry'!$z$547)</f>
      </c>
      <c r="BG547">
        <f>IF(ISBLANK('Data Entry'!${$547), "", 'Data Entry'!${$547)</f>
      </c>
      <c r="BH547">
        <f>IF(ISBLANK('Data Entry'!$|$547), "", 'Data Entry'!$|$547)</f>
      </c>
      <c r="BI547">
        <f>IF(ISBLANK('Data Entry'!$}$547), "", 'Data Entry'!$}$547)</f>
      </c>
      <c r="BJ547">
        <f>IF(ISBLANK('Data Entry'!$~$547), "", 'Data Entry'!$~$547)</f>
      </c>
      <c r="BK547">
        <f>IF(ISBLANK('Data Entry'!$$547), "", 'Data Entry'!$$547)</f>
      </c>
      <c r="BL547">
        <f>IF(ISBLANK('Data Entry'!$$547), "", 'Data Entry'!$$547)</f>
      </c>
      <c r="BM547">
        <f>IF(ISBLANK('Data Entry'!$$547), "", 'Data Entry'!$$547)</f>
      </c>
      <c r="BN547">
        <f>IF(ISBLANK('Data Entry'!$$547), "", 'Data Entry'!$$547)</f>
      </c>
      <c r="BO547">
        <f>IF(ISBLANK('Data Entry'!$$547), "", 'Data Entry'!$$547)</f>
      </c>
      <c r="BP547">
        <f>IF(ISBLANK('Data Entry'!$$547), "", 'Data Entry'!$$547)</f>
      </c>
      <c r="BQ547">
        <f>IF(ISBLANK('Data Entry'!$$547), "", 'Data Entry'!$$547)</f>
      </c>
      <c r="BR547">
        <f>IF(ISBLANK('Data Entry'!$$547), "", 'Data Entry'!$$547)</f>
      </c>
      <c r="BS547">
        <f>IF(ISBLANK('Data Entry'!$$547), "", 'Data Entry'!$$547)</f>
      </c>
      <c r="BT547">
        <f>IF(ISBLANK('Data Entry'!$$547), "", 'Data Entry'!$$547)</f>
      </c>
      <c r="BU547">
        <f>IF(ISBLANK('Data Entry'!$$547), "", 'Data Entry'!$$547)</f>
      </c>
      <c r="BV547">
        <f>IF(ISBLANK('Data Entry'!$$547), "", 'Data Entry'!$$547)</f>
      </c>
      <c r="BW547">
        <f>IF(ISBLANK('Data Entry'!$$547), "", 'Data Entry'!$$547)</f>
      </c>
      <c r="BX547">
        <f>IF(ISBLANK('Data Entry'!$$547), "", 'Data Entry'!$$547)</f>
      </c>
      <c r="BY547">
        <f>IF(ISBLANK('Data Entry'!$$547), "", 'Data Entry'!$$547)</f>
      </c>
      <c r="BZ547">
        <f>IF(ISBLANK('Data Entry'!$$547), "", 'Data Entry'!$$547)</f>
      </c>
      <c r="CA547">
        <f>IF(ISBLANK('Data Entry'!$$547), "", 'Data Entry'!$$547)</f>
      </c>
      <c r="CB547">
        <f>IF(ISBLANK('Data Entry'!$$547), "", 'Data Entry'!$$547)</f>
      </c>
      <c r="CC547">
        <f>IF(ISBLANK('Data Entry'!$$547), "", 'Data Entry'!$$547)</f>
      </c>
      <c r="CD547">
        <f>IF(ISBLANK('Data Entry'!$$547), "", 'Data Entry'!$$547)</f>
      </c>
      <c r="CE547">
        <f>IF(ISBLANK('Data Entry'!$$547), "", 'Data Entry'!$$547)</f>
      </c>
      <c r="CF547">
        <f>IF(ISBLANK('Data Entry'!$$547), "", 'Data Entry'!$$547)</f>
      </c>
      <c r="CG547">
        <f>IF(ISBLANK('Data Entry'!$$547), "", 'Data Entry'!$$547)</f>
      </c>
      <c r="CH547">
        <f>IF(ISBLANK('Data Entry'!$$547), "", 'Data Entry'!$$547)</f>
      </c>
      <c r="CI547">
        <f>IF(ISBLANK('Data Entry'!$$547), "", 'Data Entry'!$$547)</f>
      </c>
      <c r="CJ547">
        <f>IF(ISBLANK('Data Entry'!$$547), "", 'Data Entry'!$$547)</f>
      </c>
      <c r="CK547">
        <f>IF(ISBLANK('Data Entry'!$$547), "", 'Data Entry'!$$547)</f>
      </c>
      <c r="CL547">
        <f>IF(ISBLANK('Data Entry'!$$547), "", 'Data Entry'!$$547)</f>
      </c>
      <c r="CM547">
        <f>IF(ISBLANK('Data Entry'!$$547), "", 'Data Entry'!$$547)</f>
      </c>
      <c r="CN547">
        <f>IF(ISBLANK('Data Entry'!$$547), "", 'Data Entry'!$$547)</f>
      </c>
      <c r="CO547">
        <f>IF(ISBLANK('Data Entry'!$$547), "", 'Data Entry'!$$547)</f>
      </c>
      <c r="CP547">
        <f>IF(ISBLANK('Data Entry'!$$547), "", 'Data Entry'!$$547)</f>
      </c>
      <c r="CQ547">
        <f>IF(ISBLANK('Data Entry'!$$547), "", 'Data Entry'!$$547)</f>
      </c>
      <c r="CR547">
        <f>IF(ISBLANK('Data Entry'!$ $547), "", 'Data Entry'!$ $547)</f>
      </c>
      <c r="CS547">
        <f>IF(ISBLANK('Data Entry'!$¡$547), "", 'Data Entry'!$¡$547)</f>
      </c>
      <c r="CT547">
        <f>IF(ISBLANK('Data Entry'!$¢$547), "", 'Data Entry'!$¢$547)</f>
      </c>
      <c r="CU547">
        <f>IF(ISBLANK('Data Entry'!$£$547), "", 'Data Entry'!$£$547)</f>
      </c>
      <c r="CV547">
        <f>IF(ISBLANK('Data Entry'!$¤$547), "", 'Data Entry'!$¤$547)</f>
      </c>
      <c r="CW547">
        <f>IF(ISBLANK('Data Entry'!$¥$547), "", 'Data Entry'!$¥$547)</f>
      </c>
      <c r="CX547">
        <f>IF(ISBLANK('Data Entry'!$¦$547), "", 'Data Entry'!$¦$547)</f>
      </c>
      <c r="CY547">
        <f>IF(ISBLANK('Data Entry'!$§$547), "", 'Data Entry'!$§$547)</f>
      </c>
      <c r="CZ547">
        <f>IF(ISBLANK('Data Entry'!$¨$547), "", 'Data Entry'!$¨$547)</f>
      </c>
      <c r="DA547">
        <f>IF(ISBLANK('Data Entry'!$©$547), "", 'Data Entry'!$©$547)</f>
      </c>
      <c r="DB547">
        <f>IF(ISBLANK('Data Entry'!$ª$547), "", 'Data Entry'!$ª$547)</f>
      </c>
      <c r="DC547">
        <f>IF(ISBLANK('Data Entry'!$«$547), "", 'Data Entry'!$«$547)</f>
      </c>
      <c r="DD547">
        <f>IF(ISBLANK('Data Entry'!$¬$547), "", 'Data Entry'!$¬$547)</f>
      </c>
      <c r="DE547">
        <f>IF(ISBLANK('Data Entry'!$­$547), "", 'Data Entry'!$­$547)</f>
      </c>
      <c r="DF547">
        <f>IF(ISBLANK('Data Entry'!$®$547), "", 'Data Entry'!$®$547)</f>
      </c>
      <c r="DG547">
        <f>IF(ISBLANK('Data Entry'!$¯$547), "", 'Data Entry'!$¯$547)</f>
      </c>
      <c r="DH547">
        <f>IF(ISBLANK('Data Entry'!$°$547), "", 'Data Entry'!$°$547)</f>
      </c>
      <c r="DI547">
        <f>IF(ISBLANK('Data Entry'!$±$547), "", 'Data Entry'!$±$547)</f>
      </c>
      <c r="DJ547">
        <f>IF(ISBLANK('Data Entry'!$²$547), "", 'Data Entry'!$²$547)</f>
      </c>
      <c r="DK547">
        <f>IF(ISBLANK('Data Entry'!$³$547), "", 'Data Entry'!$³$547)</f>
      </c>
      <c r="DL547">
        <f>IF(ISBLANK('Data Entry'!$´$547), "", 'Data Entry'!$´$547)</f>
      </c>
      <c r="DM547">
        <f>IF(ISBLANK('Data Entry'!$µ$547), "", 'Data Entry'!$µ$547)</f>
      </c>
      <c r="DN547">
        <f>IF(ISBLANK('Data Entry'!$¶$547), "", 'Data Entry'!$¶$547)</f>
      </c>
      <c r="DO547">
        <f>IF(ISBLANK('Data Entry'!$·$547), "", 'Data Entry'!$·$547)</f>
      </c>
      <c r="DP547">
        <f>IF(ISBLANK('Data Entry'!$¸$547), "", 'Data Entry'!$¸$547)</f>
      </c>
      <c r="DQ547">
        <f>IF(ISBLANK('Data Entry'!$¹$547), "", 'Data Entry'!$¹$547)</f>
      </c>
      <c r="DR547">
        <f>IF(ISBLANK('Data Entry'!$º$547), "", 'Data Entry'!$º$547)</f>
      </c>
      <c r="DS547">
        <f>IF(ISBLANK('Data Entry'!$»$547), "", 'Data Entry'!$»$547)</f>
      </c>
      <c r="DT547">
        <f>IF(ISBLANK('Data Entry'!$¼$547), "", 'Data Entry'!$¼$547)</f>
      </c>
      <c r="DU547">
        <f>IF(ISBLANK('Data Entry'!$½$547), "", 'Data Entry'!$½$547)</f>
      </c>
      <c r="DV547">
        <f>IF(ISBLANK('Data Entry'!$¾$547), "", 'Data Entry'!$¾$547)</f>
      </c>
      <c r="DW547">
        <f>IF(ISBLANK('Data Entry'!$¿$547), "", 'Data Entry'!$¿$547)</f>
      </c>
      <c r="DX547">
        <f>IF(ISBLANK('Data Entry'!$À$547), "", 'Data Entry'!$À$547)</f>
      </c>
      <c r="DY547">
        <f>IF(ISBLANK('Data Entry'!$Á$547), "", 'Data Entry'!$Á$547)</f>
      </c>
      <c r="DZ547">
        <f>IF(ISBLANK('Data Entry'!$Â$547), "", 'Data Entry'!$Â$547)</f>
      </c>
      <c r="EA547">
        <f>IF(ISBLANK('Data Entry'!$Ã$547), "", 'Data Entry'!$Ã$547)</f>
      </c>
      <c r="EB547">
        <f>IF(ISBLANK('Data Entry'!$Ä$547), "", 'Data Entry'!$Ä$547)</f>
      </c>
      <c r="EC547">
        <f>IF(ISBLANK('Data Entry'!$Å$547), "", 'Data Entry'!$Å$547)</f>
      </c>
      <c r="ED547">
        <f>IF(ISBLANK('Data Entry'!$Æ$547), "", 'Data Entry'!$Æ$547)</f>
      </c>
      <c r="EE547">
        <f>IF(ISBLANK('Data Entry'!$Ç$547), "", 'Data Entry'!$Ç$547)</f>
      </c>
      <c r="EF547">
        <f>IF(ISBLANK('Data Entry'!$È$547), "", 'Data Entry'!$È$547)</f>
      </c>
      <c r="EG547">
        <f>IF(ISBLANK('Data Entry'!$É$547), "", 'Data Entry'!$É$547)</f>
      </c>
      <c r="EH547">
        <f>IF(ISBLANK('Data Entry'!$Ê$547), "", 'Data Entry'!$Ê$547)</f>
      </c>
      <c r="EI547">
        <f>IF(ISBLANK('Data Entry'!$Ë$547), "", 'Data Entry'!$Ë$547)</f>
      </c>
      <c r="EJ547">
        <f>IF(ISBLANK('Data Entry'!$Ì$547), "", 'Data Entry'!$Ì$547)</f>
      </c>
      <c r="EK547">
        <f>IF(ISBLANK('Data Entry'!$Í$547), "", 'Data Entry'!$Í$547)</f>
      </c>
      <c r="EL547">
        <f>IF(ISBLANK('Data Entry'!$Î$547), "", 'Data Entry'!$Î$547)</f>
      </c>
      <c r="EM547">
        <f>IF(ISBLANK('Data Entry'!$Ï$547), "", 'Data Entry'!$Ï$547)</f>
      </c>
      <c r="EN547">
        <f>IF(ISBLANK('Data Entry'!$Ð$547), "", 'Data Entry'!$Ð$547)</f>
      </c>
      <c r="EO547">
        <f>IF(ISBLANK('Data Entry'!$Ñ$547), "", 'Data Entry'!$Ñ$547)</f>
      </c>
      <c r="EP547">
        <f>IF(ISBLANK('Data Entry'!$Ò$547), "", 'Data Entry'!$Ò$547)</f>
      </c>
      <c r="EQ547">
        <f>IF(ISBLANK('Data Entry'!$Ó$547), "", 'Data Entry'!$Ó$547)</f>
      </c>
      <c r="ER547">
        <f>IF(ISBLANK('Data Entry'!$Ô$547), "", 'Data Entry'!$Ô$547)</f>
      </c>
      <c r="ES547">
        <f>IF(ISBLANK('Data Entry'!$Õ$547), "", 'Data Entry'!$Õ$547)</f>
      </c>
      <c r="ET547">
        <f>IF(ISBLANK('Data Entry'!$Ö$547), "", 'Data Entry'!$Ö$547)</f>
      </c>
      <c r="EU547">
        <f>IF(ISBLANK('Data Entry'!$×$547), "", 'Data Entry'!$×$547)</f>
      </c>
      <c r="EV547">
        <f>IF(ISBLANK('Data Entry'!$Ø$547), "", 'Data Entry'!$Ø$547)</f>
      </c>
      <c r="EW547">
        <f>IF(ISBLANK('Data Entry'!$Ù$547), "", 'Data Entry'!$Ù$547)</f>
      </c>
      <c r="EX547">
        <f>IF(ISBLANK('Data Entry'!$Ú$547), "", 'Data Entry'!$Ú$547)</f>
      </c>
      <c r="EY547">
        <f>IF(ISBLANK('Data Entry'!$Û$547), "", 'Data Entry'!$Û$547)</f>
      </c>
      <c r="EZ547">
        <f>IF(ISBLANK('Data Entry'!$Ü$547), "", 'Data Entry'!$Ü$547)</f>
      </c>
      <c r="FA547">
        <f>IF(ISBLANK('Data Entry'!$Ý$547), "", 'Data Entry'!$Ý$547)</f>
      </c>
      <c r="FB547">
        <f>IF(ISBLANK('Data Entry'!$Þ$547), "", 'Data Entry'!$Þ$547)</f>
      </c>
      <c r="FC547">
        <f>IF(ISBLANK('Data Entry'!$ß$547), "", 'Data Entry'!$ß$547)</f>
      </c>
      <c r="FD547">
        <f>IF(ISBLANK('Data Entry'!$à$547), "", 'Data Entry'!$à$547)</f>
      </c>
      <c r="FE547">
        <f>IF(ISBLANK('Data Entry'!$á$547), "", 'Data Entry'!$á$547)</f>
      </c>
      <c r="FF547">
        <f>IF(ISBLANK('Data Entry'!$â$547), "", 'Data Entry'!$â$547)</f>
      </c>
      <c r="FG547">
        <f>IF(ISBLANK('Data Entry'!$ã$547), "", 'Data Entry'!$ã$547)</f>
      </c>
      <c r="FH547">
        <f>IF(ISBLANK('Data Entry'!$ä$547), "", 'Data Entry'!$ä$547)</f>
      </c>
      <c r="FI547">
        <f>IF(ISBLANK('Data Entry'!$å$547), "", 'Data Entry'!$å$547)</f>
      </c>
      <c r="FJ547">
        <f>IF(ISBLANK('Data Entry'!$æ$547), "", 'Data Entry'!$æ$547)</f>
      </c>
      <c r="FK547">
        <f>IF(ISBLANK('Data Entry'!$ç$547), "", 'Data Entry'!$ç$547)</f>
      </c>
      <c r="FL547">
        <f>IF(ISBLANK('Data Entry'!$è$547), "", 'Data Entry'!$è$547)</f>
      </c>
      <c r="FM547">
        <f>IF(ISBLANK('Data Entry'!$é$547), "", 'Data Entry'!$é$547)</f>
      </c>
      <c r="FN547">
        <f>IF(ISBLANK('Data Entry'!$ê$547), "", 'Data Entry'!$ê$547)</f>
      </c>
      <c r="FO547">
        <f>IF(ISBLANK('Data Entry'!$ë$547), "", 'Data Entry'!$ë$547)</f>
      </c>
      <c r="FP547">
        <f>IF(ISBLANK('Data Entry'!$ì$547), "", 'Data Entry'!$ì$547)</f>
      </c>
      <c r="FQ547">
        <f>IF(ISBLANK('Data Entry'!$í$547), "", 'Data Entry'!$í$547)</f>
      </c>
      <c r="FR547">
        <f>IF(ISBLANK('Data Entry'!$î$547), "", 'Data Entry'!$î$547)</f>
      </c>
      <c r="FS547">
        <f>IF(ISBLANK('Data Entry'!$ï$547), "", 'Data Entry'!$ï$547)</f>
      </c>
      <c r="FT547">
        <f>IF(ISBLANK('Data Entry'!$ð$547), "", 'Data Entry'!$ð$547)</f>
      </c>
      <c r="FU547">
        <f>IF(ISBLANK('Data Entry'!$ñ$547), "", 'Data Entry'!$ñ$547)</f>
      </c>
      <c r="FV547">
        <f>IF(ISBLANK('Data Entry'!$ò$547), "", 'Data Entry'!$ò$547)</f>
      </c>
      <c r="FW547">
        <f>IF(ISBLANK('Data Entry'!$ó$547), "", 'Data Entry'!$ó$547)</f>
      </c>
      <c r="FX547">
        <f>IF(ISBLANK('Data Entry'!$ô$547), "", 'Data Entry'!$ô$547)</f>
      </c>
      <c r="FY547">
        <f>IF(ISBLANK('Data Entry'!$õ$547), "", 'Data Entry'!$õ$547)</f>
      </c>
      <c r="FZ547">
        <f>IF(ISBLANK('Data Entry'!$ö$547), "", 'Data Entry'!$ö$547)</f>
      </c>
      <c r="GA547">
        <f>IF(ISBLANK('Data Entry'!$÷$547), "", 'Data Entry'!$÷$547)</f>
      </c>
      <c r="GB547">
        <f>IF(ISBLANK('Data Entry'!$ø$547), "", 'Data Entry'!$ø$547)</f>
      </c>
      <c r="GC547">
        <f>IF(ISBLANK('Data Entry'!$ù$547), "", 'Data Entry'!$ù$547)</f>
      </c>
      <c r="GD547">
        <f>IF(ISBLANK('Data Entry'!$ú$547), "", 'Data Entry'!$ú$547)</f>
      </c>
      <c r="GE547">
        <f>IF(ISBLANK('Data Entry'!$û$547), "", 'Data Entry'!$û$547)</f>
      </c>
      <c r="GF547">
        <f>IF(ISBLANK('Data Entry'!$ü$547), "", 'Data Entry'!$ü$547)</f>
      </c>
      <c r="GG547">
        <f>IF(ISBLANK('Data Entry'!$ý$547), "", 'Data Entry'!$ý$547)</f>
      </c>
      <c r="GH547">
        <f>IF(ISBLANK('Data Entry'!$þ$547), "", 'Data Entry'!$þ$547)</f>
      </c>
      <c r="GI547">
        <f>IF(ISBLANK('Data Entry'!$ÿ$547), "", 'Data Entry'!$ÿ$547)</f>
      </c>
      <c r="GJ547">
        <f>IF(ISBLANK('Data Entry'!$Ā$547), "", 'Data Entry'!$Ā$547)</f>
      </c>
      <c r="GK547">
        <f>IF(ISBLANK('Data Entry'!$ā$547), "", 'Data Entry'!$ā$547)</f>
      </c>
      <c r="GL547">
        <f>IF(ISBLANK('Data Entry'!$Ă$547), "", 'Data Entry'!$Ă$547)</f>
      </c>
      <c r="GM547">
        <f>IF(ISBLANK('Data Entry'!$ă$547), "", 'Data Entry'!$ă$547)</f>
      </c>
      <c r="GN547">
        <f>IF(ISBLANK('Data Entry'!$Ą$547), "", 'Data Entry'!$Ą$547)</f>
      </c>
      <c r="GO547">
        <f>IF(ISBLANK('Data Entry'!$ą$547), "", 'Data Entry'!$ą$547)</f>
      </c>
      <c r="GP547">
        <f>IF(ISBLANK('Data Entry'!$Ć$547), "", 'Data Entry'!$Ć$547)</f>
      </c>
      <c r="GQ547">
        <f>IF(ISBLANK('Data Entry'!$ć$547), "", 'Data Entry'!$ć$547)</f>
      </c>
      <c r="GR547">
        <f>IF(ISBLANK('Data Entry'!$Ĉ$547), "", 'Data Entry'!$Ĉ$547)</f>
      </c>
      <c r="GS547">
        <f>IF(ISBLANK('Data Entry'!$ĉ$547), "", 'Data Entry'!$ĉ$547)</f>
      </c>
      <c r="GT547">
        <f>IF(ISBLANK('Data Entry'!$Ċ$547), "", 'Data Entry'!$Ċ$547)</f>
      </c>
      <c r="GU547">
        <f>IF(ISBLANK('Data Entry'!$ċ$547), "", 'Data Entry'!$ċ$547)</f>
      </c>
      <c r="GV547">
        <f>IF(ISBLANK('Data Entry'!$Č$547), "", 'Data Entry'!$Č$547)</f>
      </c>
      <c r="GW547">
        <f>IF(ISBLANK('Data Entry'!$č$547), "", 'Data Entry'!$č$547)</f>
      </c>
      <c r="GX547">
        <f>IF(ISBLANK('Data Entry'!$Ď$547), "", 'Data Entry'!$Ď$547)</f>
      </c>
      <c r="GY547">
        <f>IF(ISBLANK('Data Entry'!$ď$547), "", 'Data Entry'!$ď$547)</f>
      </c>
      <c r="GZ547">
        <f>IF(ISBLANK('Data Entry'!$Đ$547), "", 'Data Entry'!$Đ$547)</f>
      </c>
      <c r="HA547">
        <f>IF(ISBLANK('Data Entry'!$đ$547), "", 'Data Entry'!$đ$547)</f>
      </c>
      <c r="HB547">
        <f>IF(ISBLANK('Data Entry'!$Ē$547), "", 'Data Entry'!$Ē$547)</f>
      </c>
      <c r="HC547">
        <f>IF(ISBLANK('Data Entry'!$ē$547), "", 'Data Entry'!$ē$547)</f>
      </c>
      <c r="HD547">
        <f>IF(ISBLANK('Data Entry'!$Ĕ$547), "", 'Data Entry'!$Ĕ$547)</f>
      </c>
      <c r="HE547">
        <f>IF(ISBLANK('Data Entry'!$ĕ$547), "", 'Data Entry'!$ĕ$547)</f>
      </c>
      <c r="HF547">
        <f>IF(ISBLANK('Data Entry'!$Ė$547), "", 'Data Entry'!$Ė$547)</f>
      </c>
      <c r="HG547">
        <f>IF(ISBLANK('Data Entry'!$ė$547), "", 'Data Entry'!$ė$547)</f>
      </c>
      <c r="HH547">
        <f>IF(ISBLANK('Data Entry'!$Ę$547), "", 'Data Entry'!$Ę$547)</f>
      </c>
      <c r="HI547">
        <f>IF(ISBLANK('Data Entry'!$ę$547), "", 'Data Entry'!$ę$547)</f>
      </c>
      <c r="HJ547">
        <f>IF(ISBLANK('Data Entry'!$Ě$547), "", 'Data Entry'!$Ě$547)</f>
      </c>
      <c r="HK547">
        <f>IF(ISBLANK('Data Entry'!$ě$547), "", 'Data Entry'!$ě$547)</f>
      </c>
      <c r="HL547">
        <f>IF(ISBLANK('Data Entry'!$Ĝ$547), "", 'Data Entry'!$Ĝ$547)</f>
      </c>
      <c r="HM547">
        <f>IF(ISBLANK('Data Entry'!$ĝ$547), "", 'Data Entry'!$ĝ$547)</f>
      </c>
      <c r="HN547">
        <f>IF(ISBLANK('Data Entry'!$Ğ$547), "", 'Data Entry'!$Ğ$547)</f>
      </c>
      <c r="HO547">
        <f>IF(ISBLANK('Data Entry'!$ğ$547), "", 'Data Entry'!$ğ$547)</f>
      </c>
      <c r="HP547">
        <f>IF(ISBLANK('Data Entry'!$Ġ$547), "", 'Data Entry'!$Ġ$547)</f>
      </c>
      <c r="HQ547">
        <f>IF(ISBLANK('Data Entry'!$ġ$547), "", 'Data Entry'!$ġ$547)</f>
      </c>
      <c r="HR547">
        <f>IF(ISBLANK('Data Entry'!$Ģ$547), "", 'Data Entry'!$Ģ$547)</f>
      </c>
      <c r="HS547">
        <f>IF(ISBLANK('Data Entry'!$ģ$547), "", 'Data Entry'!$ģ$547)</f>
      </c>
      <c r="HT547">
        <f>IF(ISBLANK('Data Entry'!$Ĥ$547), "", 'Data Entry'!$Ĥ$547)</f>
      </c>
      <c r="HU547">
        <f>IF(ISBLANK('Data Entry'!$ĥ$547), "", 'Data Entry'!$ĥ$547)</f>
      </c>
      <c r="HV547">
        <f>IF(ISBLANK('Data Entry'!$Ħ$547), "", 'Data Entry'!$Ħ$547)</f>
      </c>
      <c r="HW547">
        <f>IF(ISBLANK('Data Entry'!$ħ$547), "", 'Data Entry'!$ħ$547)</f>
      </c>
      <c r="HX547">
        <f>IF(ISBLANK('Data Entry'!$Ĩ$547), "", 'Data Entry'!$Ĩ$547)</f>
      </c>
      <c r="HY547">
        <f>IF(ISBLANK('Data Entry'!$ĩ$547), "", 'Data Entry'!$ĩ$547)</f>
      </c>
      <c r="HZ547">
        <f>IF(ISBLANK('Data Entry'!$Ī$547), "", 'Data Entry'!$Ī$547)</f>
      </c>
      <c r="IA547">
        <f>IF(ISBLANK('Data Entry'!$ī$547), "", 'Data Entry'!$ī$547)</f>
      </c>
      <c r="IB547">
        <f>IF(ISBLANK('Data Entry'!$Ĭ$547), "", 'Data Entry'!$Ĭ$547)</f>
      </c>
      <c r="IC547">
        <f>IF(ISBLANK('Data Entry'!$ĭ$547), "", 'Data Entry'!$ĭ$547)</f>
      </c>
      <c r="ID547">
        <f>IF(ISBLANK('Data Entry'!$Į$547), "", 'Data Entry'!$Į$547)</f>
      </c>
      <c r="IE547">
        <f>IF(ISBLANK('Data Entry'!$į$547), "", 'Data Entry'!$į$547)</f>
      </c>
      <c r="IF547">
        <f>IF(ISBLANK('Data Entry'!$İ$547), "", 'Data Entry'!$İ$547)</f>
      </c>
      <c r="IG547">
        <f>IF(ISBLANK('Data Entry'!$ı$547), "", 'Data Entry'!$ı$547)</f>
      </c>
      <c r="IH547">
        <f>IF(ISBLANK('Data Entry'!$Ĳ$547), "", 'Data Entry'!$Ĳ$547)</f>
      </c>
      <c r="II547">
        <f>IF(ISBLANK('Data Entry'!$ĳ$547), "", 'Data Entry'!$ĳ$547)</f>
      </c>
      <c r="IJ547">
        <f>IF(ISBLANK('Data Entry'!$Ĵ$547), "", 'Data Entry'!$Ĵ$547)</f>
      </c>
      <c r="IK547">
        <f>IF(ISBLANK('Data Entry'!$ĵ$547), "", 'Data Entry'!$ĵ$547)</f>
      </c>
      <c r="IL547">
        <f>IF(ISBLANK('Data Entry'!$Ķ$547), "", 'Data Entry'!$Ķ$547)</f>
      </c>
      <c r="IM547">
        <f>IF(ISBLANK('Data Entry'!$ķ$547), "", 'Data Entry'!$ķ$547)</f>
      </c>
      <c r="IN547">
        <f>IF(ISBLANK('Data Entry'!$ĸ$547), "", 'Data Entry'!$ĸ$547)</f>
      </c>
      <c r="IO547">
        <f>IF(ISBLANK('Data Entry'!$Ĺ$547), "", 'Data Entry'!$Ĺ$547)</f>
      </c>
      <c r="IP547">
        <f>IF(ISBLANK('Data Entry'!$ĺ$547), "", 'Data Entry'!$ĺ$547)</f>
      </c>
      <c r="IQ547">
        <f>IF(ISBLANK('Data Entry'!$Ļ$547), "", 'Data Entry'!$Ļ$547)</f>
      </c>
      <c r="IR547">
        <f>IF(ISBLANK('Data Entry'!$ļ$547), "", 'Data Entry'!$ļ$547)</f>
      </c>
      <c r="IS547">
        <f>IF(ISBLANK('Data Entry'!$Ľ$547), "", 'Data Entry'!$Ľ$547)</f>
      </c>
      <c r="IT547">
        <f>IF(ISBLANK('Data Entry'!$ľ$547), "", 'Data Entry'!$ľ$547)</f>
      </c>
    </row>
    <row r="548" spans="1:254" x14ac:dyDescent="0.25">
      <c r="A548">
        <f>IF(ISBLANK('Data Entry'!$A$548), "", 'Data Entry'!$A$548)</f>
      </c>
      <c r="B548">
        <f>IF(ISBLANK('Data Entry'!$B$548), "", 'Data Entry'!$B$548)</f>
      </c>
      <c r="C548">
        <f>IF(ISBLANK('Data Entry'!$C$548), "", 'Data Entry'!$C$548)</f>
      </c>
      <c r="D548">
        <f>IF(ISBLANK('Data Entry'!$D$548), "", 'Data Entry'!$D$548)</f>
      </c>
      <c r="E548">
        <f>IF(ISBLANK('Data Entry'!$E$548), "", 'Data Entry'!$E$548)</f>
      </c>
      <c r="F548">
        <f>IF(ISBLANK('Data Entry'!$F$548), "", 'Data Entry'!$F$548)</f>
      </c>
      <c r="G548">
        <f>IF(ISBLANK('Data Entry'!$G$548), "", 'Data Entry'!$G$548)</f>
      </c>
      <c r="H548">
        <f>IF(ISBLANK('Data Entry'!$H$548), "", 'Data Entry'!$H$548)</f>
      </c>
      <c r="I548">
        <f>IF(ISBLANK('Data Entry'!$I$548), "", 'Data Entry'!$I$548)</f>
      </c>
      <c r="J548">
        <f>IF(ISBLANK('Data Entry'!$J$548), "", 'Data Entry'!$J$548)</f>
      </c>
      <c r="K548">
        <f>IF(ISBLANK('Data Entry'!$K$548), "", 'Data Entry'!$K$548)</f>
      </c>
      <c r="L548">
        <f>IF(ISBLANK('Data Entry'!$L$548), "", 'Data Entry'!$L$548)</f>
      </c>
      <c r="M548">
        <f>IF(ISBLANK('Data Entry'!$M$548), "", 'Data Entry'!$M$548)</f>
      </c>
      <c r="N548">
        <f>IF(ISBLANK('Data Entry'!$N$548), "", 'Data Entry'!$N$548)</f>
      </c>
      <c r="O548">
        <f>IF(ISBLANK('Data Entry'!$O$548), "", 'Data Entry'!$O$548)</f>
      </c>
      <c r="P548">
        <f>IF(ISBLANK('Data Entry'!$P$548), "", 'Data Entry'!$P$548)</f>
      </c>
      <c r="Q548">
        <f>IF(ISBLANK('Data Entry'!$Q$548), "", 'Data Entry'!$Q$548)</f>
      </c>
      <c r="R548">
        <f>IF(ISBLANK('Data Entry'!$R$548), "", 'Data Entry'!$R$548)</f>
      </c>
      <c r="S548">
        <f>IF(ISBLANK('Data Entry'!$S$548), "", 'Data Entry'!$S$548)</f>
      </c>
      <c r="T548">
        <f>IF(ISBLANK('Data Entry'!$T$548), "", 'Data Entry'!$T$548)</f>
      </c>
      <c r="U548">
        <f>IF(ISBLANK('Data Entry'!$U$548), "", 'Data Entry'!$U$548)</f>
      </c>
      <c r="V548">
        <f>IF(ISBLANK('Data Entry'!$V$548), "", 'Data Entry'!$V$548)</f>
      </c>
      <c r="W548">
        <f>IF(ISBLANK('Data Entry'!$W$548), "", 'Data Entry'!$W$548)</f>
      </c>
      <c r="X548">
        <f>IF(ISBLANK('Data Entry'!$X$548), "", 'Data Entry'!$X$548)</f>
      </c>
      <c r="Y548">
        <f>IF(ISBLANK('Data Entry'!$Y$548), "", 'Data Entry'!$Y$548)</f>
      </c>
      <c r="Z548">
        <f>IF(ISBLANK('Data Entry'!$Z$548), "", 'Data Entry'!$Z$548)</f>
      </c>
      <c r="AA548">
        <f>IF(ISBLANK('Data Entry'!$[$548), "", 'Data Entry'!$[$548)</f>
      </c>
      <c r="AB548">
        <f>IF(ISBLANK('Data Entry'!$\$548), "", 'Data Entry'!$\$548)</f>
      </c>
      <c r="AC548">
        <f>IF(ISBLANK('Data Entry'!$]$548), "", 'Data Entry'!$]$548)</f>
      </c>
      <c r="AD548">
        <f>IF(ISBLANK('Data Entry'!$^$548), "", 'Data Entry'!$^$548)</f>
      </c>
      <c r="AE548">
        <f>IF(ISBLANK('Data Entry'!$_$548), "", 'Data Entry'!$_$548)</f>
      </c>
      <c r="AF548">
        <f>IF(ISBLANK('Data Entry'!$`$548), "", 'Data Entry'!$`$548)</f>
      </c>
      <c r="AG548">
        <f>IF(ISBLANK('Data Entry'!$a$548), "", 'Data Entry'!$a$548)</f>
      </c>
      <c r="AH548">
        <f>IF(ISBLANK('Data Entry'!$b$548), "", 'Data Entry'!$b$548)</f>
      </c>
      <c r="AI548">
        <f>IF(ISBLANK('Data Entry'!$c$548), "", 'Data Entry'!$c$548)</f>
      </c>
      <c r="AJ548">
        <f>IF(ISBLANK('Data Entry'!$d$548), "", 'Data Entry'!$d$548)</f>
      </c>
      <c r="AK548">
        <f>IF(ISBLANK('Data Entry'!$e$548), "", 'Data Entry'!$e$548)</f>
      </c>
      <c r="AL548">
        <f>IF(ISBLANK('Data Entry'!$f$548), "", 'Data Entry'!$f$548)</f>
      </c>
      <c r="AM548">
        <f>IF(ISBLANK('Data Entry'!$g$548), "", 'Data Entry'!$g$548)</f>
      </c>
      <c r="AN548">
        <f>IF(ISBLANK('Data Entry'!$h$548), "", 'Data Entry'!$h$548)</f>
      </c>
      <c r="AO548">
        <f>IF(ISBLANK('Data Entry'!$i$548), "", 'Data Entry'!$i$548)</f>
      </c>
      <c r="AP548">
        <f>IF(ISBLANK('Data Entry'!$j$548), "", 'Data Entry'!$j$548)</f>
      </c>
      <c r="AQ548">
        <f>IF(ISBLANK('Data Entry'!$k$548), "", 'Data Entry'!$k$548)</f>
      </c>
      <c r="AR548">
        <f>IF(ISBLANK('Data Entry'!$l$548), "", 'Data Entry'!$l$548)</f>
      </c>
      <c r="AS548">
        <f>IF(ISBLANK('Data Entry'!$m$548), "", 'Data Entry'!$m$548)</f>
      </c>
      <c r="AT548">
        <f>IF(ISBLANK('Data Entry'!$n$548), "", 'Data Entry'!$n$548)</f>
      </c>
      <c r="AU548">
        <f>IF(ISBLANK('Data Entry'!$o$548), "", 'Data Entry'!$o$548)</f>
      </c>
      <c r="AV548">
        <f>IF(ISBLANK('Data Entry'!$p$548), "", 'Data Entry'!$p$548)</f>
      </c>
      <c r="AW548">
        <f>IF(ISBLANK('Data Entry'!$q$548), "", 'Data Entry'!$q$548)</f>
      </c>
      <c r="AX548">
        <f>IF(ISBLANK('Data Entry'!$r$548), "", 'Data Entry'!$r$548)</f>
      </c>
      <c r="AY548">
        <f>IF(ISBLANK('Data Entry'!$s$548), "", 'Data Entry'!$s$548)</f>
      </c>
      <c r="AZ548">
        <f>IF(ISBLANK('Data Entry'!$t$548), "", 'Data Entry'!$t$548)</f>
      </c>
      <c r="BA548">
        <f>IF(ISBLANK('Data Entry'!$u$548), "", 'Data Entry'!$u$548)</f>
      </c>
      <c r="BB548">
        <f>IF(ISBLANK('Data Entry'!$v$548), "", 'Data Entry'!$v$548)</f>
      </c>
      <c r="BC548">
        <f>IF(ISBLANK('Data Entry'!$w$548), "", 'Data Entry'!$w$548)</f>
      </c>
      <c r="BD548">
        <f>IF(ISBLANK('Data Entry'!$x$548), "", 'Data Entry'!$x$548)</f>
      </c>
      <c r="BE548">
        <f>IF(ISBLANK('Data Entry'!$y$548), "", 'Data Entry'!$y$548)</f>
      </c>
      <c r="BF548">
        <f>IF(ISBLANK('Data Entry'!$z$548), "", 'Data Entry'!$z$548)</f>
      </c>
      <c r="BG548">
        <f>IF(ISBLANK('Data Entry'!${$548), "", 'Data Entry'!${$548)</f>
      </c>
      <c r="BH548">
        <f>IF(ISBLANK('Data Entry'!$|$548), "", 'Data Entry'!$|$548)</f>
      </c>
      <c r="BI548">
        <f>IF(ISBLANK('Data Entry'!$}$548), "", 'Data Entry'!$}$548)</f>
      </c>
      <c r="BJ548">
        <f>IF(ISBLANK('Data Entry'!$~$548), "", 'Data Entry'!$~$548)</f>
      </c>
      <c r="BK548">
        <f>IF(ISBLANK('Data Entry'!$$548), "", 'Data Entry'!$$548)</f>
      </c>
      <c r="BL548">
        <f>IF(ISBLANK('Data Entry'!$$548), "", 'Data Entry'!$$548)</f>
      </c>
      <c r="BM548">
        <f>IF(ISBLANK('Data Entry'!$$548), "", 'Data Entry'!$$548)</f>
      </c>
      <c r="BN548">
        <f>IF(ISBLANK('Data Entry'!$$548), "", 'Data Entry'!$$548)</f>
      </c>
      <c r="BO548">
        <f>IF(ISBLANK('Data Entry'!$$548), "", 'Data Entry'!$$548)</f>
      </c>
      <c r="BP548">
        <f>IF(ISBLANK('Data Entry'!$$548), "", 'Data Entry'!$$548)</f>
      </c>
      <c r="BQ548">
        <f>IF(ISBLANK('Data Entry'!$$548), "", 'Data Entry'!$$548)</f>
      </c>
      <c r="BR548">
        <f>IF(ISBLANK('Data Entry'!$$548), "", 'Data Entry'!$$548)</f>
      </c>
      <c r="BS548">
        <f>IF(ISBLANK('Data Entry'!$$548), "", 'Data Entry'!$$548)</f>
      </c>
      <c r="BT548">
        <f>IF(ISBLANK('Data Entry'!$$548), "", 'Data Entry'!$$548)</f>
      </c>
      <c r="BU548">
        <f>IF(ISBLANK('Data Entry'!$$548), "", 'Data Entry'!$$548)</f>
      </c>
      <c r="BV548">
        <f>IF(ISBLANK('Data Entry'!$$548), "", 'Data Entry'!$$548)</f>
      </c>
      <c r="BW548">
        <f>IF(ISBLANK('Data Entry'!$$548), "", 'Data Entry'!$$548)</f>
      </c>
      <c r="BX548">
        <f>IF(ISBLANK('Data Entry'!$$548), "", 'Data Entry'!$$548)</f>
      </c>
      <c r="BY548">
        <f>IF(ISBLANK('Data Entry'!$$548), "", 'Data Entry'!$$548)</f>
      </c>
      <c r="BZ548">
        <f>IF(ISBLANK('Data Entry'!$$548), "", 'Data Entry'!$$548)</f>
      </c>
      <c r="CA548">
        <f>IF(ISBLANK('Data Entry'!$$548), "", 'Data Entry'!$$548)</f>
      </c>
      <c r="CB548">
        <f>IF(ISBLANK('Data Entry'!$$548), "", 'Data Entry'!$$548)</f>
      </c>
      <c r="CC548">
        <f>IF(ISBLANK('Data Entry'!$$548), "", 'Data Entry'!$$548)</f>
      </c>
      <c r="CD548">
        <f>IF(ISBLANK('Data Entry'!$$548), "", 'Data Entry'!$$548)</f>
      </c>
      <c r="CE548">
        <f>IF(ISBLANK('Data Entry'!$$548), "", 'Data Entry'!$$548)</f>
      </c>
      <c r="CF548">
        <f>IF(ISBLANK('Data Entry'!$$548), "", 'Data Entry'!$$548)</f>
      </c>
      <c r="CG548">
        <f>IF(ISBLANK('Data Entry'!$$548), "", 'Data Entry'!$$548)</f>
      </c>
      <c r="CH548">
        <f>IF(ISBLANK('Data Entry'!$$548), "", 'Data Entry'!$$548)</f>
      </c>
      <c r="CI548">
        <f>IF(ISBLANK('Data Entry'!$$548), "", 'Data Entry'!$$548)</f>
      </c>
      <c r="CJ548">
        <f>IF(ISBLANK('Data Entry'!$$548), "", 'Data Entry'!$$548)</f>
      </c>
      <c r="CK548">
        <f>IF(ISBLANK('Data Entry'!$$548), "", 'Data Entry'!$$548)</f>
      </c>
      <c r="CL548">
        <f>IF(ISBLANK('Data Entry'!$$548), "", 'Data Entry'!$$548)</f>
      </c>
      <c r="CM548">
        <f>IF(ISBLANK('Data Entry'!$$548), "", 'Data Entry'!$$548)</f>
      </c>
      <c r="CN548">
        <f>IF(ISBLANK('Data Entry'!$$548), "", 'Data Entry'!$$548)</f>
      </c>
      <c r="CO548">
        <f>IF(ISBLANK('Data Entry'!$$548), "", 'Data Entry'!$$548)</f>
      </c>
      <c r="CP548">
        <f>IF(ISBLANK('Data Entry'!$$548), "", 'Data Entry'!$$548)</f>
      </c>
      <c r="CQ548">
        <f>IF(ISBLANK('Data Entry'!$$548), "", 'Data Entry'!$$548)</f>
      </c>
      <c r="CR548">
        <f>IF(ISBLANK('Data Entry'!$ $548), "", 'Data Entry'!$ $548)</f>
      </c>
      <c r="CS548">
        <f>IF(ISBLANK('Data Entry'!$¡$548), "", 'Data Entry'!$¡$548)</f>
      </c>
      <c r="CT548">
        <f>IF(ISBLANK('Data Entry'!$¢$548), "", 'Data Entry'!$¢$548)</f>
      </c>
      <c r="CU548">
        <f>IF(ISBLANK('Data Entry'!$£$548), "", 'Data Entry'!$£$548)</f>
      </c>
      <c r="CV548">
        <f>IF(ISBLANK('Data Entry'!$¤$548), "", 'Data Entry'!$¤$548)</f>
      </c>
      <c r="CW548">
        <f>IF(ISBLANK('Data Entry'!$¥$548), "", 'Data Entry'!$¥$548)</f>
      </c>
      <c r="CX548">
        <f>IF(ISBLANK('Data Entry'!$¦$548), "", 'Data Entry'!$¦$548)</f>
      </c>
      <c r="CY548">
        <f>IF(ISBLANK('Data Entry'!$§$548), "", 'Data Entry'!$§$548)</f>
      </c>
      <c r="CZ548">
        <f>IF(ISBLANK('Data Entry'!$¨$548), "", 'Data Entry'!$¨$548)</f>
      </c>
      <c r="DA548">
        <f>IF(ISBLANK('Data Entry'!$©$548), "", 'Data Entry'!$©$548)</f>
      </c>
      <c r="DB548">
        <f>IF(ISBLANK('Data Entry'!$ª$548), "", 'Data Entry'!$ª$548)</f>
      </c>
      <c r="DC548">
        <f>IF(ISBLANK('Data Entry'!$«$548), "", 'Data Entry'!$«$548)</f>
      </c>
      <c r="DD548">
        <f>IF(ISBLANK('Data Entry'!$¬$548), "", 'Data Entry'!$¬$548)</f>
      </c>
      <c r="DE548">
        <f>IF(ISBLANK('Data Entry'!$­$548), "", 'Data Entry'!$­$548)</f>
      </c>
      <c r="DF548">
        <f>IF(ISBLANK('Data Entry'!$®$548), "", 'Data Entry'!$®$548)</f>
      </c>
      <c r="DG548">
        <f>IF(ISBLANK('Data Entry'!$¯$548), "", 'Data Entry'!$¯$548)</f>
      </c>
      <c r="DH548">
        <f>IF(ISBLANK('Data Entry'!$°$548), "", 'Data Entry'!$°$548)</f>
      </c>
      <c r="DI548">
        <f>IF(ISBLANK('Data Entry'!$±$548), "", 'Data Entry'!$±$548)</f>
      </c>
      <c r="DJ548">
        <f>IF(ISBLANK('Data Entry'!$²$548), "", 'Data Entry'!$²$548)</f>
      </c>
      <c r="DK548">
        <f>IF(ISBLANK('Data Entry'!$³$548), "", 'Data Entry'!$³$548)</f>
      </c>
      <c r="DL548">
        <f>IF(ISBLANK('Data Entry'!$´$548), "", 'Data Entry'!$´$548)</f>
      </c>
      <c r="DM548">
        <f>IF(ISBLANK('Data Entry'!$µ$548), "", 'Data Entry'!$µ$548)</f>
      </c>
      <c r="DN548">
        <f>IF(ISBLANK('Data Entry'!$¶$548), "", 'Data Entry'!$¶$548)</f>
      </c>
      <c r="DO548">
        <f>IF(ISBLANK('Data Entry'!$·$548), "", 'Data Entry'!$·$548)</f>
      </c>
      <c r="DP548">
        <f>IF(ISBLANK('Data Entry'!$¸$548), "", 'Data Entry'!$¸$548)</f>
      </c>
      <c r="DQ548">
        <f>IF(ISBLANK('Data Entry'!$¹$548), "", 'Data Entry'!$¹$548)</f>
      </c>
      <c r="DR548">
        <f>IF(ISBLANK('Data Entry'!$º$548), "", 'Data Entry'!$º$548)</f>
      </c>
      <c r="DS548">
        <f>IF(ISBLANK('Data Entry'!$»$548), "", 'Data Entry'!$»$548)</f>
      </c>
      <c r="DT548">
        <f>IF(ISBLANK('Data Entry'!$¼$548), "", 'Data Entry'!$¼$548)</f>
      </c>
      <c r="DU548">
        <f>IF(ISBLANK('Data Entry'!$½$548), "", 'Data Entry'!$½$548)</f>
      </c>
      <c r="DV548">
        <f>IF(ISBLANK('Data Entry'!$¾$548), "", 'Data Entry'!$¾$548)</f>
      </c>
      <c r="DW548">
        <f>IF(ISBLANK('Data Entry'!$¿$548), "", 'Data Entry'!$¿$548)</f>
      </c>
      <c r="DX548">
        <f>IF(ISBLANK('Data Entry'!$À$548), "", 'Data Entry'!$À$548)</f>
      </c>
      <c r="DY548">
        <f>IF(ISBLANK('Data Entry'!$Á$548), "", 'Data Entry'!$Á$548)</f>
      </c>
      <c r="DZ548">
        <f>IF(ISBLANK('Data Entry'!$Â$548), "", 'Data Entry'!$Â$548)</f>
      </c>
      <c r="EA548">
        <f>IF(ISBLANK('Data Entry'!$Ã$548), "", 'Data Entry'!$Ã$548)</f>
      </c>
      <c r="EB548">
        <f>IF(ISBLANK('Data Entry'!$Ä$548), "", 'Data Entry'!$Ä$548)</f>
      </c>
      <c r="EC548">
        <f>IF(ISBLANK('Data Entry'!$Å$548), "", 'Data Entry'!$Å$548)</f>
      </c>
      <c r="ED548">
        <f>IF(ISBLANK('Data Entry'!$Æ$548), "", 'Data Entry'!$Æ$548)</f>
      </c>
      <c r="EE548">
        <f>IF(ISBLANK('Data Entry'!$Ç$548), "", 'Data Entry'!$Ç$548)</f>
      </c>
      <c r="EF548">
        <f>IF(ISBLANK('Data Entry'!$È$548), "", 'Data Entry'!$È$548)</f>
      </c>
      <c r="EG548">
        <f>IF(ISBLANK('Data Entry'!$É$548), "", 'Data Entry'!$É$548)</f>
      </c>
      <c r="EH548">
        <f>IF(ISBLANK('Data Entry'!$Ê$548), "", 'Data Entry'!$Ê$548)</f>
      </c>
      <c r="EI548">
        <f>IF(ISBLANK('Data Entry'!$Ë$548), "", 'Data Entry'!$Ë$548)</f>
      </c>
      <c r="EJ548">
        <f>IF(ISBLANK('Data Entry'!$Ì$548), "", 'Data Entry'!$Ì$548)</f>
      </c>
      <c r="EK548">
        <f>IF(ISBLANK('Data Entry'!$Í$548), "", 'Data Entry'!$Í$548)</f>
      </c>
      <c r="EL548">
        <f>IF(ISBLANK('Data Entry'!$Î$548), "", 'Data Entry'!$Î$548)</f>
      </c>
      <c r="EM548">
        <f>IF(ISBLANK('Data Entry'!$Ï$548), "", 'Data Entry'!$Ï$548)</f>
      </c>
      <c r="EN548">
        <f>IF(ISBLANK('Data Entry'!$Ð$548), "", 'Data Entry'!$Ð$548)</f>
      </c>
      <c r="EO548">
        <f>IF(ISBLANK('Data Entry'!$Ñ$548), "", 'Data Entry'!$Ñ$548)</f>
      </c>
      <c r="EP548">
        <f>IF(ISBLANK('Data Entry'!$Ò$548), "", 'Data Entry'!$Ò$548)</f>
      </c>
      <c r="EQ548">
        <f>IF(ISBLANK('Data Entry'!$Ó$548), "", 'Data Entry'!$Ó$548)</f>
      </c>
      <c r="ER548">
        <f>IF(ISBLANK('Data Entry'!$Ô$548), "", 'Data Entry'!$Ô$548)</f>
      </c>
      <c r="ES548">
        <f>IF(ISBLANK('Data Entry'!$Õ$548), "", 'Data Entry'!$Õ$548)</f>
      </c>
      <c r="ET548">
        <f>IF(ISBLANK('Data Entry'!$Ö$548), "", 'Data Entry'!$Ö$548)</f>
      </c>
      <c r="EU548">
        <f>IF(ISBLANK('Data Entry'!$×$548), "", 'Data Entry'!$×$548)</f>
      </c>
      <c r="EV548">
        <f>IF(ISBLANK('Data Entry'!$Ø$548), "", 'Data Entry'!$Ø$548)</f>
      </c>
      <c r="EW548">
        <f>IF(ISBLANK('Data Entry'!$Ù$548), "", 'Data Entry'!$Ù$548)</f>
      </c>
      <c r="EX548">
        <f>IF(ISBLANK('Data Entry'!$Ú$548), "", 'Data Entry'!$Ú$548)</f>
      </c>
      <c r="EY548">
        <f>IF(ISBLANK('Data Entry'!$Û$548), "", 'Data Entry'!$Û$548)</f>
      </c>
      <c r="EZ548">
        <f>IF(ISBLANK('Data Entry'!$Ü$548), "", 'Data Entry'!$Ü$548)</f>
      </c>
      <c r="FA548">
        <f>IF(ISBLANK('Data Entry'!$Ý$548), "", 'Data Entry'!$Ý$548)</f>
      </c>
      <c r="FB548">
        <f>IF(ISBLANK('Data Entry'!$Þ$548), "", 'Data Entry'!$Þ$548)</f>
      </c>
      <c r="FC548">
        <f>IF(ISBLANK('Data Entry'!$ß$548), "", 'Data Entry'!$ß$548)</f>
      </c>
      <c r="FD548">
        <f>IF(ISBLANK('Data Entry'!$à$548), "", 'Data Entry'!$à$548)</f>
      </c>
      <c r="FE548">
        <f>IF(ISBLANK('Data Entry'!$á$548), "", 'Data Entry'!$á$548)</f>
      </c>
      <c r="FF548">
        <f>IF(ISBLANK('Data Entry'!$â$548), "", 'Data Entry'!$â$548)</f>
      </c>
      <c r="FG548">
        <f>IF(ISBLANK('Data Entry'!$ã$548), "", 'Data Entry'!$ã$548)</f>
      </c>
      <c r="FH548">
        <f>IF(ISBLANK('Data Entry'!$ä$548), "", 'Data Entry'!$ä$548)</f>
      </c>
      <c r="FI548">
        <f>IF(ISBLANK('Data Entry'!$å$548), "", 'Data Entry'!$å$548)</f>
      </c>
      <c r="FJ548">
        <f>IF(ISBLANK('Data Entry'!$æ$548), "", 'Data Entry'!$æ$548)</f>
      </c>
      <c r="FK548">
        <f>IF(ISBLANK('Data Entry'!$ç$548), "", 'Data Entry'!$ç$548)</f>
      </c>
      <c r="FL548">
        <f>IF(ISBLANK('Data Entry'!$è$548), "", 'Data Entry'!$è$548)</f>
      </c>
      <c r="FM548">
        <f>IF(ISBLANK('Data Entry'!$é$548), "", 'Data Entry'!$é$548)</f>
      </c>
      <c r="FN548">
        <f>IF(ISBLANK('Data Entry'!$ê$548), "", 'Data Entry'!$ê$548)</f>
      </c>
      <c r="FO548">
        <f>IF(ISBLANK('Data Entry'!$ë$548), "", 'Data Entry'!$ë$548)</f>
      </c>
      <c r="FP548">
        <f>IF(ISBLANK('Data Entry'!$ì$548), "", 'Data Entry'!$ì$548)</f>
      </c>
      <c r="FQ548">
        <f>IF(ISBLANK('Data Entry'!$í$548), "", 'Data Entry'!$í$548)</f>
      </c>
      <c r="FR548">
        <f>IF(ISBLANK('Data Entry'!$î$548), "", 'Data Entry'!$î$548)</f>
      </c>
      <c r="FS548">
        <f>IF(ISBLANK('Data Entry'!$ï$548), "", 'Data Entry'!$ï$548)</f>
      </c>
      <c r="FT548">
        <f>IF(ISBLANK('Data Entry'!$ð$548), "", 'Data Entry'!$ð$548)</f>
      </c>
      <c r="FU548">
        <f>IF(ISBLANK('Data Entry'!$ñ$548), "", 'Data Entry'!$ñ$548)</f>
      </c>
      <c r="FV548">
        <f>IF(ISBLANK('Data Entry'!$ò$548), "", 'Data Entry'!$ò$548)</f>
      </c>
      <c r="FW548">
        <f>IF(ISBLANK('Data Entry'!$ó$548), "", 'Data Entry'!$ó$548)</f>
      </c>
      <c r="FX548">
        <f>IF(ISBLANK('Data Entry'!$ô$548), "", 'Data Entry'!$ô$548)</f>
      </c>
      <c r="FY548">
        <f>IF(ISBLANK('Data Entry'!$õ$548), "", 'Data Entry'!$õ$548)</f>
      </c>
      <c r="FZ548">
        <f>IF(ISBLANK('Data Entry'!$ö$548), "", 'Data Entry'!$ö$548)</f>
      </c>
      <c r="GA548">
        <f>IF(ISBLANK('Data Entry'!$÷$548), "", 'Data Entry'!$÷$548)</f>
      </c>
      <c r="GB548">
        <f>IF(ISBLANK('Data Entry'!$ø$548), "", 'Data Entry'!$ø$548)</f>
      </c>
      <c r="GC548">
        <f>IF(ISBLANK('Data Entry'!$ù$548), "", 'Data Entry'!$ù$548)</f>
      </c>
      <c r="GD548">
        <f>IF(ISBLANK('Data Entry'!$ú$548), "", 'Data Entry'!$ú$548)</f>
      </c>
      <c r="GE548">
        <f>IF(ISBLANK('Data Entry'!$û$548), "", 'Data Entry'!$û$548)</f>
      </c>
      <c r="GF548">
        <f>IF(ISBLANK('Data Entry'!$ü$548), "", 'Data Entry'!$ü$548)</f>
      </c>
      <c r="GG548">
        <f>IF(ISBLANK('Data Entry'!$ý$548), "", 'Data Entry'!$ý$548)</f>
      </c>
      <c r="GH548">
        <f>IF(ISBLANK('Data Entry'!$þ$548), "", 'Data Entry'!$þ$548)</f>
      </c>
      <c r="GI548">
        <f>IF(ISBLANK('Data Entry'!$ÿ$548), "", 'Data Entry'!$ÿ$548)</f>
      </c>
      <c r="GJ548">
        <f>IF(ISBLANK('Data Entry'!$Ā$548), "", 'Data Entry'!$Ā$548)</f>
      </c>
      <c r="GK548">
        <f>IF(ISBLANK('Data Entry'!$ā$548), "", 'Data Entry'!$ā$548)</f>
      </c>
      <c r="GL548">
        <f>IF(ISBLANK('Data Entry'!$Ă$548), "", 'Data Entry'!$Ă$548)</f>
      </c>
      <c r="GM548">
        <f>IF(ISBLANK('Data Entry'!$ă$548), "", 'Data Entry'!$ă$548)</f>
      </c>
      <c r="GN548">
        <f>IF(ISBLANK('Data Entry'!$Ą$548), "", 'Data Entry'!$Ą$548)</f>
      </c>
      <c r="GO548">
        <f>IF(ISBLANK('Data Entry'!$ą$548), "", 'Data Entry'!$ą$548)</f>
      </c>
      <c r="GP548">
        <f>IF(ISBLANK('Data Entry'!$Ć$548), "", 'Data Entry'!$Ć$548)</f>
      </c>
      <c r="GQ548">
        <f>IF(ISBLANK('Data Entry'!$ć$548), "", 'Data Entry'!$ć$548)</f>
      </c>
      <c r="GR548">
        <f>IF(ISBLANK('Data Entry'!$Ĉ$548), "", 'Data Entry'!$Ĉ$548)</f>
      </c>
      <c r="GS548">
        <f>IF(ISBLANK('Data Entry'!$ĉ$548), "", 'Data Entry'!$ĉ$548)</f>
      </c>
      <c r="GT548">
        <f>IF(ISBLANK('Data Entry'!$Ċ$548), "", 'Data Entry'!$Ċ$548)</f>
      </c>
      <c r="GU548">
        <f>IF(ISBLANK('Data Entry'!$ċ$548), "", 'Data Entry'!$ċ$548)</f>
      </c>
      <c r="GV548">
        <f>IF(ISBLANK('Data Entry'!$Č$548), "", 'Data Entry'!$Č$548)</f>
      </c>
      <c r="GW548">
        <f>IF(ISBLANK('Data Entry'!$č$548), "", 'Data Entry'!$č$548)</f>
      </c>
      <c r="GX548">
        <f>IF(ISBLANK('Data Entry'!$Ď$548), "", 'Data Entry'!$Ď$548)</f>
      </c>
      <c r="GY548">
        <f>IF(ISBLANK('Data Entry'!$ď$548), "", 'Data Entry'!$ď$548)</f>
      </c>
      <c r="GZ548">
        <f>IF(ISBLANK('Data Entry'!$Đ$548), "", 'Data Entry'!$Đ$548)</f>
      </c>
      <c r="HA548">
        <f>IF(ISBLANK('Data Entry'!$đ$548), "", 'Data Entry'!$đ$548)</f>
      </c>
      <c r="HB548">
        <f>IF(ISBLANK('Data Entry'!$Ē$548), "", 'Data Entry'!$Ē$548)</f>
      </c>
      <c r="HC548">
        <f>IF(ISBLANK('Data Entry'!$ē$548), "", 'Data Entry'!$ē$548)</f>
      </c>
      <c r="HD548">
        <f>IF(ISBLANK('Data Entry'!$Ĕ$548), "", 'Data Entry'!$Ĕ$548)</f>
      </c>
      <c r="HE548">
        <f>IF(ISBLANK('Data Entry'!$ĕ$548), "", 'Data Entry'!$ĕ$548)</f>
      </c>
      <c r="HF548">
        <f>IF(ISBLANK('Data Entry'!$Ė$548), "", 'Data Entry'!$Ė$548)</f>
      </c>
      <c r="HG548">
        <f>IF(ISBLANK('Data Entry'!$ė$548), "", 'Data Entry'!$ė$548)</f>
      </c>
      <c r="HH548">
        <f>IF(ISBLANK('Data Entry'!$Ę$548), "", 'Data Entry'!$Ę$548)</f>
      </c>
      <c r="HI548">
        <f>IF(ISBLANK('Data Entry'!$ę$548), "", 'Data Entry'!$ę$548)</f>
      </c>
      <c r="HJ548">
        <f>IF(ISBLANK('Data Entry'!$Ě$548), "", 'Data Entry'!$Ě$548)</f>
      </c>
      <c r="HK548">
        <f>IF(ISBLANK('Data Entry'!$ě$548), "", 'Data Entry'!$ě$548)</f>
      </c>
      <c r="HL548">
        <f>IF(ISBLANK('Data Entry'!$Ĝ$548), "", 'Data Entry'!$Ĝ$548)</f>
      </c>
      <c r="HM548">
        <f>IF(ISBLANK('Data Entry'!$ĝ$548), "", 'Data Entry'!$ĝ$548)</f>
      </c>
      <c r="HN548">
        <f>IF(ISBLANK('Data Entry'!$Ğ$548), "", 'Data Entry'!$Ğ$548)</f>
      </c>
      <c r="HO548">
        <f>IF(ISBLANK('Data Entry'!$ğ$548), "", 'Data Entry'!$ğ$548)</f>
      </c>
      <c r="HP548">
        <f>IF(ISBLANK('Data Entry'!$Ġ$548), "", 'Data Entry'!$Ġ$548)</f>
      </c>
      <c r="HQ548">
        <f>IF(ISBLANK('Data Entry'!$ġ$548), "", 'Data Entry'!$ġ$548)</f>
      </c>
      <c r="HR548">
        <f>IF(ISBLANK('Data Entry'!$Ģ$548), "", 'Data Entry'!$Ģ$548)</f>
      </c>
      <c r="HS548">
        <f>IF(ISBLANK('Data Entry'!$ģ$548), "", 'Data Entry'!$ģ$548)</f>
      </c>
      <c r="HT548">
        <f>IF(ISBLANK('Data Entry'!$Ĥ$548), "", 'Data Entry'!$Ĥ$548)</f>
      </c>
      <c r="HU548">
        <f>IF(ISBLANK('Data Entry'!$ĥ$548), "", 'Data Entry'!$ĥ$548)</f>
      </c>
      <c r="HV548">
        <f>IF(ISBLANK('Data Entry'!$Ħ$548), "", 'Data Entry'!$Ħ$548)</f>
      </c>
      <c r="HW548">
        <f>IF(ISBLANK('Data Entry'!$ħ$548), "", 'Data Entry'!$ħ$548)</f>
      </c>
      <c r="HX548">
        <f>IF(ISBLANK('Data Entry'!$Ĩ$548), "", 'Data Entry'!$Ĩ$548)</f>
      </c>
      <c r="HY548">
        <f>IF(ISBLANK('Data Entry'!$ĩ$548), "", 'Data Entry'!$ĩ$548)</f>
      </c>
      <c r="HZ548">
        <f>IF(ISBLANK('Data Entry'!$Ī$548), "", 'Data Entry'!$Ī$548)</f>
      </c>
      <c r="IA548">
        <f>IF(ISBLANK('Data Entry'!$ī$548), "", 'Data Entry'!$ī$548)</f>
      </c>
      <c r="IB548">
        <f>IF(ISBLANK('Data Entry'!$Ĭ$548), "", 'Data Entry'!$Ĭ$548)</f>
      </c>
      <c r="IC548">
        <f>IF(ISBLANK('Data Entry'!$ĭ$548), "", 'Data Entry'!$ĭ$548)</f>
      </c>
      <c r="ID548">
        <f>IF(ISBLANK('Data Entry'!$Į$548), "", 'Data Entry'!$Į$548)</f>
      </c>
      <c r="IE548">
        <f>IF(ISBLANK('Data Entry'!$į$548), "", 'Data Entry'!$į$548)</f>
      </c>
      <c r="IF548">
        <f>IF(ISBLANK('Data Entry'!$İ$548), "", 'Data Entry'!$İ$548)</f>
      </c>
      <c r="IG548">
        <f>IF(ISBLANK('Data Entry'!$ı$548), "", 'Data Entry'!$ı$548)</f>
      </c>
      <c r="IH548">
        <f>IF(ISBLANK('Data Entry'!$Ĳ$548), "", 'Data Entry'!$Ĳ$548)</f>
      </c>
      <c r="II548">
        <f>IF(ISBLANK('Data Entry'!$ĳ$548), "", 'Data Entry'!$ĳ$548)</f>
      </c>
      <c r="IJ548">
        <f>IF(ISBLANK('Data Entry'!$Ĵ$548), "", 'Data Entry'!$Ĵ$548)</f>
      </c>
      <c r="IK548">
        <f>IF(ISBLANK('Data Entry'!$ĵ$548), "", 'Data Entry'!$ĵ$548)</f>
      </c>
      <c r="IL548">
        <f>IF(ISBLANK('Data Entry'!$Ķ$548), "", 'Data Entry'!$Ķ$548)</f>
      </c>
      <c r="IM548">
        <f>IF(ISBLANK('Data Entry'!$ķ$548), "", 'Data Entry'!$ķ$548)</f>
      </c>
      <c r="IN548">
        <f>IF(ISBLANK('Data Entry'!$ĸ$548), "", 'Data Entry'!$ĸ$548)</f>
      </c>
      <c r="IO548">
        <f>IF(ISBLANK('Data Entry'!$Ĺ$548), "", 'Data Entry'!$Ĺ$548)</f>
      </c>
      <c r="IP548">
        <f>IF(ISBLANK('Data Entry'!$ĺ$548), "", 'Data Entry'!$ĺ$548)</f>
      </c>
      <c r="IQ548">
        <f>IF(ISBLANK('Data Entry'!$Ļ$548), "", 'Data Entry'!$Ļ$548)</f>
      </c>
      <c r="IR548">
        <f>IF(ISBLANK('Data Entry'!$ļ$548), "", 'Data Entry'!$ļ$548)</f>
      </c>
      <c r="IS548">
        <f>IF(ISBLANK('Data Entry'!$Ľ$548), "", 'Data Entry'!$Ľ$548)</f>
      </c>
      <c r="IT548">
        <f>IF(ISBLANK('Data Entry'!$ľ$548), "", 'Data Entry'!$ľ$548)</f>
      </c>
    </row>
    <row r="549" spans="1:254" x14ac:dyDescent="0.25">
      <c r="A549">
        <f>IF(ISBLANK('Data Entry'!$A$549), "", 'Data Entry'!$A$549)</f>
      </c>
      <c r="B549">
        <f>IF(ISBLANK('Data Entry'!$B$549), "", 'Data Entry'!$B$549)</f>
      </c>
      <c r="C549">
        <f>IF(ISBLANK('Data Entry'!$C$549), "", 'Data Entry'!$C$549)</f>
      </c>
      <c r="D549">
        <f>IF(ISBLANK('Data Entry'!$D$549), "", 'Data Entry'!$D$549)</f>
      </c>
      <c r="E549">
        <f>IF(ISBLANK('Data Entry'!$E$549), "", 'Data Entry'!$E$549)</f>
      </c>
      <c r="F549">
        <f>IF(ISBLANK('Data Entry'!$F$549), "", 'Data Entry'!$F$549)</f>
      </c>
      <c r="G549">
        <f>IF(ISBLANK('Data Entry'!$G$549), "", 'Data Entry'!$G$549)</f>
      </c>
      <c r="H549">
        <f>IF(ISBLANK('Data Entry'!$H$549), "", 'Data Entry'!$H$549)</f>
      </c>
      <c r="I549">
        <f>IF(ISBLANK('Data Entry'!$I$549), "", 'Data Entry'!$I$549)</f>
      </c>
      <c r="J549">
        <f>IF(ISBLANK('Data Entry'!$J$549), "", 'Data Entry'!$J$549)</f>
      </c>
      <c r="K549">
        <f>IF(ISBLANK('Data Entry'!$K$549), "", 'Data Entry'!$K$549)</f>
      </c>
      <c r="L549">
        <f>IF(ISBLANK('Data Entry'!$L$549), "", 'Data Entry'!$L$549)</f>
      </c>
      <c r="M549">
        <f>IF(ISBLANK('Data Entry'!$M$549), "", 'Data Entry'!$M$549)</f>
      </c>
      <c r="N549">
        <f>IF(ISBLANK('Data Entry'!$N$549), "", 'Data Entry'!$N$549)</f>
      </c>
      <c r="O549">
        <f>IF(ISBLANK('Data Entry'!$O$549), "", 'Data Entry'!$O$549)</f>
      </c>
      <c r="P549">
        <f>IF(ISBLANK('Data Entry'!$P$549), "", 'Data Entry'!$P$549)</f>
      </c>
      <c r="Q549">
        <f>IF(ISBLANK('Data Entry'!$Q$549), "", 'Data Entry'!$Q$549)</f>
      </c>
      <c r="R549">
        <f>IF(ISBLANK('Data Entry'!$R$549), "", 'Data Entry'!$R$549)</f>
      </c>
      <c r="S549">
        <f>IF(ISBLANK('Data Entry'!$S$549), "", 'Data Entry'!$S$549)</f>
      </c>
      <c r="T549">
        <f>IF(ISBLANK('Data Entry'!$T$549), "", 'Data Entry'!$T$549)</f>
      </c>
      <c r="U549">
        <f>IF(ISBLANK('Data Entry'!$U$549), "", 'Data Entry'!$U$549)</f>
      </c>
      <c r="V549">
        <f>IF(ISBLANK('Data Entry'!$V$549), "", 'Data Entry'!$V$549)</f>
      </c>
      <c r="W549">
        <f>IF(ISBLANK('Data Entry'!$W$549), "", 'Data Entry'!$W$549)</f>
      </c>
      <c r="X549">
        <f>IF(ISBLANK('Data Entry'!$X$549), "", 'Data Entry'!$X$549)</f>
      </c>
      <c r="Y549">
        <f>IF(ISBLANK('Data Entry'!$Y$549), "", 'Data Entry'!$Y$549)</f>
      </c>
      <c r="Z549">
        <f>IF(ISBLANK('Data Entry'!$Z$549), "", 'Data Entry'!$Z$549)</f>
      </c>
      <c r="AA549">
        <f>IF(ISBLANK('Data Entry'!$[$549), "", 'Data Entry'!$[$549)</f>
      </c>
      <c r="AB549">
        <f>IF(ISBLANK('Data Entry'!$\$549), "", 'Data Entry'!$\$549)</f>
      </c>
      <c r="AC549">
        <f>IF(ISBLANK('Data Entry'!$]$549), "", 'Data Entry'!$]$549)</f>
      </c>
      <c r="AD549">
        <f>IF(ISBLANK('Data Entry'!$^$549), "", 'Data Entry'!$^$549)</f>
      </c>
      <c r="AE549">
        <f>IF(ISBLANK('Data Entry'!$_$549), "", 'Data Entry'!$_$549)</f>
      </c>
      <c r="AF549">
        <f>IF(ISBLANK('Data Entry'!$`$549), "", 'Data Entry'!$`$549)</f>
      </c>
      <c r="AG549">
        <f>IF(ISBLANK('Data Entry'!$a$549), "", 'Data Entry'!$a$549)</f>
      </c>
      <c r="AH549">
        <f>IF(ISBLANK('Data Entry'!$b$549), "", 'Data Entry'!$b$549)</f>
      </c>
      <c r="AI549">
        <f>IF(ISBLANK('Data Entry'!$c$549), "", 'Data Entry'!$c$549)</f>
      </c>
      <c r="AJ549">
        <f>IF(ISBLANK('Data Entry'!$d$549), "", 'Data Entry'!$d$549)</f>
      </c>
      <c r="AK549">
        <f>IF(ISBLANK('Data Entry'!$e$549), "", 'Data Entry'!$e$549)</f>
      </c>
      <c r="AL549">
        <f>IF(ISBLANK('Data Entry'!$f$549), "", 'Data Entry'!$f$549)</f>
      </c>
      <c r="AM549">
        <f>IF(ISBLANK('Data Entry'!$g$549), "", 'Data Entry'!$g$549)</f>
      </c>
      <c r="AN549">
        <f>IF(ISBLANK('Data Entry'!$h$549), "", 'Data Entry'!$h$549)</f>
      </c>
      <c r="AO549">
        <f>IF(ISBLANK('Data Entry'!$i$549), "", 'Data Entry'!$i$549)</f>
      </c>
      <c r="AP549">
        <f>IF(ISBLANK('Data Entry'!$j$549), "", 'Data Entry'!$j$549)</f>
      </c>
      <c r="AQ549">
        <f>IF(ISBLANK('Data Entry'!$k$549), "", 'Data Entry'!$k$549)</f>
      </c>
      <c r="AR549">
        <f>IF(ISBLANK('Data Entry'!$l$549), "", 'Data Entry'!$l$549)</f>
      </c>
      <c r="AS549">
        <f>IF(ISBLANK('Data Entry'!$m$549), "", 'Data Entry'!$m$549)</f>
      </c>
      <c r="AT549">
        <f>IF(ISBLANK('Data Entry'!$n$549), "", 'Data Entry'!$n$549)</f>
      </c>
      <c r="AU549">
        <f>IF(ISBLANK('Data Entry'!$o$549), "", 'Data Entry'!$o$549)</f>
      </c>
      <c r="AV549">
        <f>IF(ISBLANK('Data Entry'!$p$549), "", 'Data Entry'!$p$549)</f>
      </c>
      <c r="AW549">
        <f>IF(ISBLANK('Data Entry'!$q$549), "", 'Data Entry'!$q$549)</f>
      </c>
      <c r="AX549">
        <f>IF(ISBLANK('Data Entry'!$r$549), "", 'Data Entry'!$r$549)</f>
      </c>
      <c r="AY549">
        <f>IF(ISBLANK('Data Entry'!$s$549), "", 'Data Entry'!$s$549)</f>
      </c>
      <c r="AZ549">
        <f>IF(ISBLANK('Data Entry'!$t$549), "", 'Data Entry'!$t$549)</f>
      </c>
      <c r="BA549">
        <f>IF(ISBLANK('Data Entry'!$u$549), "", 'Data Entry'!$u$549)</f>
      </c>
      <c r="BB549">
        <f>IF(ISBLANK('Data Entry'!$v$549), "", 'Data Entry'!$v$549)</f>
      </c>
      <c r="BC549">
        <f>IF(ISBLANK('Data Entry'!$w$549), "", 'Data Entry'!$w$549)</f>
      </c>
      <c r="BD549">
        <f>IF(ISBLANK('Data Entry'!$x$549), "", 'Data Entry'!$x$549)</f>
      </c>
      <c r="BE549">
        <f>IF(ISBLANK('Data Entry'!$y$549), "", 'Data Entry'!$y$549)</f>
      </c>
      <c r="BF549">
        <f>IF(ISBLANK('Data Entry'!$z$549), "", 'Data Entry'!$z$549)</f>
      </c>
      <c r="BG549">
        <f>IF(ISBLANK('Data Entry'!${$549), "", 'Data Entry'!${$549)</f>
      </c>
      <c r="BH549">
        <f>IF(ISBLANK('Data Entry'!$|$549), "", 'Data Entry'!$|$549)</f>
      </c>
      <c r="BI549">
        <f>IF(ISBLANK('Data Entry'!$}$549), "", 'Data Entry'!$}$549)</f>
      </c>
      <c r="BJ549">
        <f>IF(ISBLANK('Data Entry'!$~$549), "", 'Data Entry'!$~$549)</f>
      </c>
      <c r="BK549">
        <f>IF(ISBLANK('Data Entry'!$$549), "", 'Data Entry'!$$549)</f>
      </c>
      <c r="BL549">
        <f>IF(ISBLANK('Data Entry'!$$549), "", 'Data Entry'!$$549)</f>
      </c>
      <c r="BM549">
        <f>IF(ISBLANK('Data Entry'!$$549), "", 'Data Entry'!$$549)</f>
      </c>
      <c r="BN549">
        <f>IF(ISBLANK('Data Entry'!$$549), "", 'Data Entry'!$$549)</f>
      </c>
      <c r="BO549">
        <f>IF(ISBLANK('Data Entry'!$$549), "", 'Data Entry'!$$549)</f>
      </c>
      <c r="BP549">
        <f>IF(ISBLANK('Data Entry'!$$549), "", 'Data Entry'!$$549)</f>
      </c>
      <c r="BQ549">
        <f>IF(ISBLANK('Data Entry'!$$549), "", 'Data Entry'!$$549)</f>
      </c>
      <c r="BR549">
        <f>IF(ISBLANK('Data Entry'!$$549), "", 'Data Entry'!$$549)</f>
      </c>
      <c r="BS549">
        <f>IF(ISBLANK('Data Entry'!$$549), "", 'Data Entry'!$$549)</f>
      </c>
      <c r="BT549">
        <f>IF(ISBLANK('Data Entry'!$$549), "", 'Data Entry'!$$549)</f>
      </c>
      <c r="BU549">
        <f>IF(ISBLANK('Data Entry'!$$549), "", 'Data Entry'!$$549)</f>
      </c>
      <c r="BV549">
        <f>IF(ISBLANK('Data Entry'!$$549), "", 'Data Entry'!$$549)</f>
      </c>
      <c r="BW549">
        <f>IF(ISBLANK('Data Entry'!$$549), "", 'Data Entry'!$$549)</f>
      </c>
      <c r="BX549">
        <f>IF(ISBLANK('Data Entry'!$$549), "", 'Data Entry'!$$549)</f>
      </c>
      <c r="BY549">
        <f>IF(ISBLANK('Data Entry'!$$549), "", 'Data Entry'!$$549)</f>
      </c>
      <c r="BZ549">
        <f>IF(ISBLANK('Data Entry'!$$549), "", 'Data Entry'!$$549)</f>
      </c>
      <c r="CA549">
        <f>IF(ISBLANK('Data Entry'!$$549), "", 'Data Entry'!$$549)</f>
      </c>
      <c r="CB549">
        <f>IF(ISBLANK('Data Entry'!$$549), "", 'Data Entry'!$$549)</f>
      </c>
      <c r="CC549">
        <f>IF(ISBLANK('Data Entry'!$$549), "", 'Data Entry'!$$549)</f>
      </c>
      <c r="CD549">
        <f>IF(ISBLANK('Data Entry'!$$549), "", 'Data Entry'!$$549)</f>
      </c>
      <c r="CE549">
        <f>IF(ISBLANK('Data Entry'!$$549), "", 'Data Entry'!$$549)</f>
      </c>
      <c r="CF549">
        <f>IF(ISBLANK('Data Entry'!$$549), "", 'Data Entry'!$$549)</f>
      </c>
      <c r="CG549">
        <f>IF(ISBLANK('Data Entry'!$$549), "", 'Data Entry'!$$549)</f>
      </c>
      <c r="CH549">
        <f>IF(ISBLANK('Data Entry'!$$549), "", 'Data Entry'!$$549)</f>
      </c>
      <c r="CI549">
        <f>IF(ISBLANK('Data Entry'!$$549), "", 'Data Entry'!$$549)</f>
      </c>
      <c r="CJ549">
        <f>IF(ISBLANK('Data Entry'!$$549), "", 'Data Entry'!$$549)</f>
      </c>
      <c r="CK549">
        <f>IF(ISBLANK('Data Entry'!$$549), "", 'Data Entry'!$$549)</f>
      </c>
      <c r="CL549">
        <f>IF(ISBLANK('Data Entry'!$$549), "", 'Data Entry'!$$549)</f>
      </c>
      <c r="CM549">
        <f>IF(ISBLANK('Data Entry'!$$549), "", 'Data Entry'!$$549)</f>
      </c>
      <c r="CN549">
        <f>IF(ISBLANK('Data Entry'!$$549), "", 'Data Entry'!$$549)</f>
      </c>
      <c r="CO549">
        <f>IF(ISBLANK('Data Entry'!$$549), "", 'Data Entry'!$$549)</f>
      </c>
      <c r="CP549">
        <f>IF(ISBLANK('Data Entry'!$$549), "", 'Data Entry'!$$549)</f>
      </c>
      <c r="CQ549">
        <f>IF(ISBLANK('Data Entry'!$$549), "", 'Data Entry'!$$549)</f>
      </c>
      <c r="CR549">
        <f>IF(ISBLANK('Data Entry'!$ $549), "", 'Data Entry'!$ $549)</f>
      </c>
      <c r="CS549">
        <f>IF(ISBLANK('Data Entry'!$¡$549), "", 'Data Entry'!$¡$549)</f>
      </c>
      <c r="CT549">
        <f>IF(ISBLANK('Data Entry'!$¢$549), "", 'Data Entry'!$¢$549)</f>
      </c>
      <c r="CU549">
        <f>IF(ISBLANK('Data Entry'!$£$549), "", 'Data Entry'!$£$549)</f>
      </c>
      <c r="CV549">
        <f>IF(ISBLANK('Data Entry'!$¤$549), "", 'Data Entry'!$¤$549)</f>
      </c>
      <c r="CW549">
        <f>IF(ISBLANK('Data Entry'!$¥$549), "", 'Data Entry'!$¥$549)</f>
      </c>
      <c r="CX549">
        <f>IF(ISBLANK('Data Entry'!$¦$549), "", 'Data Entry'!$¦$549)</f>
      </c>
      <c r="CY549">
        <f>IF(ISBLANK('Data Entry'!$§$549), "", 'Data Entry'!$§$549)</f>
      </c>
      <c r="CZ549">
        <f>IF(ISBLANK('Data Entry'!$¨$549), "", 'Data Entry'!$¨$549)</f>
      </c>
      <c r="DA549">
        <f>IF(ISBLANK('Data Entry'!$©$549), "", 'Data Entry'!$©$549)</f>
      </c>
      <c r="DB549">
        <f>IF(ISBLANK('Data Entry'!$ª$549), "", 'Data Entry'!$ª$549)</f>
      </c>
      <c r="DC549">
        <f>IF(ISBLANK('Data Entry'!$«$549), "", 'Data Entry'!$«$549)</f>
      </c>
      <c r="DD549">
        <f>IF(ISBLANK('Data Entry'!$¬$549), "", 'Data Entry'!$¬$549)</f>
      </c>
      <c r="DE549">
        <f>IF(ISBLANK('Data Entry'!$­$549), "", 'Data Entry'!$­$549)</f>
      </c>
      <c r="DF549">
        <f>IF(ISBLANK('Data Entry'!$®$549), "", 'Data Entry'!$®$549)</f>
      </c>
      <c r="DG549">
        <f>IF(ISBLANK('Data Entry'!$¯$549), "", 'Data Entry'!$¯$549)</f>
      </c>
      <c r="DH549">
        <f>IF(ISBLANK('Data Entry'!$°$549), "", 'Data Entry'!$°$549)</f>
      </c>
      <c r="DI549">
        <f>IF(ISBLANK('Data Entry'!$±$549), "", 'Data Entry'!$±$549)</f>
      </c>
      <c r="DJ549">
        <f>IF(ISBLANK('Data Entry'!$²$549), "", 'Data Entry'!$²$549)</f>
      </c>
      <c r="DK549">
        <f>IF(ISBLANK('Data Entry'!$³$549), "", 'Data Entry'!$³$549)</f>
      </c>
      <c r="DL549">
        <f>IF(ISBLANK('Data Entry'!$´$549), "", 'Data Entry'!$´$549)</f>
      </c>
      <c r="DM549">
        <f>IF(ISBLANK('Data Entry'!$µ$549), "", 'Data Entry'!$µ$549)</f>
      </c>
      <c r="DN549">
        <f>IF(ISBLANK('Data Entry'!$¶$549), "", 'Data Entry'!$¶$549)</f>
      </c>
      <c r="DO549">
        <f>IF(ISBLANK('Data Entry'!$·$549), "", 'Data Entry'!$·$549)</f>
      </c>
      <c r="DP549">
        <f>IF(ISBLANK('Data Entry'!$¸$549), "", 'Data Entry'!$¸$549)</f>
      </c>
      <c r="DQ549">
        <f>IF(ISBLANK('Data Entry'!$¹$549), "", 'Data Entry'!$¹$549)</f>
      </c>
      <c r="DR549">
        <f>IF(ISBLANK('Data Entry'!$º$549), "", 'Data Entry'!$º$549)</f>
      </c>
      <c r="DS549">
        <f>IF(ISBLANK('Data Entry'!$»$549), "", 'Data Entry'!$»$549)</f>
      </c>
      <c r="DT549">
        <f>IF(ISBLANK('Data Entry'!$¼$549), "", 'Data Entry'!$¼$549)</f>
      </c>
      <c r="DU549">
        <f>IF(ISBLANK('Data Entry'!$½$549), "", 'Data Entry'!$½$549)</f>
      </c>
      <c r="DV549">
        <f>IF(ISBLANK('Data Entry'!$¾$549), "", 'Data Entry'!$¾$549)</f>
      </c>
      <c r="DW549">
        <f>IF(ISBLANK('Data Entry'!$¿$549), "", 'Data Entry'!$¿$549)</f>
      </c>
      <c r="DX549">
        <f>IF(ISBLANK('Data Entry'!$À$549), "", 'Data Entry'!$À$549)</f>
      </c>
      <c r="DY549">
        <f>IF(ISBLANK('Data Entry'!$Á$549), "", 'Data Entry'!$Á$549)</f>
      </c>
      <c r="DZ549">
        <f>IF(ISBLANK('Data Entry'!$Â$549), "", 'Data Entry'!$Â$549)</f>
      </c>
      <c r="EA549">
        <f>IF(ISBLANK('Data Entry'!$Ã$549), "", 'Data Entry'!$Ã$549)</f>
      </c>
      <c r="EB549">
        <f>IF(ISBLANK('Data Entry'!$Ä$549), "", 'Data Entry'!$Ä$549)</f>
      </c>
      <c r="EC549">
        <f>IF(ISBLANK('Data Entry'!$Å$549), "", 'Data Entry'!$Å$549)</f>
      </c>
      <c r="ED549">
        <f>IF(ISBLANK('Data Entry'!$Æ$549), "", 'Data Entry'!$Æ$549)</f>
      </c>
      <c r="EE549">
        <f>IF(ISBLANK('Data Entry'!$Ç$549), "", 'Data Entry'!$Ç$549)</f>
      </c>
      <c r="EF549">
        <f>IF(ISBLANK('Data Entry'!$È$549), "", 'Data Entry'!$È$549)</f>
      </c>
      <c r="EG549">
        <f>IF(ISBLANK('Data Entry'!$É$549), "", 'Data Entry'!$É$549)</f>
      </c>
      <c r="EH549">
        <f>IF(ISBLANK('Data Entry'!$Ê$549), "", 'Data Entry'!$Ê$549)</f>
      </c>
      <c r="EI549">
        <f>IF(ISBLANK('Data Entry'!$Ë$549), "", 'Data Entry'!$Ë$549)</f>
      </c>
      <c r="EJ549">
        <f>IF(ISBLANK('Data Entry'!$Ì$549), "", 'Data Entry'!$Ì$549)</f>
      </c>
      <c r="EK549">
        <f>IF(ISBLANK('Data Entry'!$Í$549), "", 'Data Entry'!$Í$549)</f>
      </c>
      <c r="EL549">
        <f>IF(ISBLANK('Data Entry'!$Î$549), "", 'Data Entry'!$Î$549)</f>
      </c>
      <c r="EM549">
        <f>IF(ISBLANK('Data Entry'!$Ï$549), "", 'Data Entry'!$Ï$549)</f>
      </c>
      <c r="EN549">
        <f>IF(ISBLANK('Data Entry'!$Ð$549), "", 'Data Entry'!$Ð$549)</f>
      </c>
      <c r="EO549">
        <f>IF(ISBLANK('Data Entry'!$Ñ$549), "", 'Data Entry'!$Ñ$549)</f>
      </c>
      <c r="EP549">
        <f>IF(ISBLANK('Data Entry'!$Ò$549), "", 'Data Entry'!$Ò$549)</f>
      </c>
      <c r="EQ549">
        <f>IF(ISBLANK('Data Entry'!$Ó$549), "", 'Data Entry'!$Ó$549)</f>
      </c>
      <c r="ER549">
        <f>IF(ISBLANK('Data Entry'!$Ô$549), "", 'Data Entry'!$Ô$549)</f>
      </c>
      <c r="ES549">
        <f>IF(ISBLANK('Data Entry'!$Õ$549), "", 'Data Entry'!$Õ$549)</f>
      </c>
      <c r="ET549">
        <f>IF(ISBLANK('Data Entry'!$Ö$549), "", 'Data Entry'!$Ö$549)</f>
      </c>
      <c r="EU549">
        <f>IF(ISBLANK('Data Entry'!$×$549), "", 'Data Entry'!$×$549)</f>
      </c>
      <c r="EV549">
        <f>IF(ISBLANK('Data Entry'!$Ø$549), "", 'Data Entry'!$Ø$549)</f>
      </c>
      <c r="EW549">
        <f>IF(ISBLANK('Data Entry'!$Ù$549), "", 'Data Entry'!$Ù$549)</f>
      </c>
      <c r="EX549">
        <f>IF(ISBLANK('Data Entry'!$Ú$549), "", 'Data Entry'!$Ú$549)</f>
      </c>
      <c r="EY549">
        <f>IF(ISBLANK('Data Entry'!$Û$549), "", 'Data Entry'!$Û$549)</f>
      </c>
      <c r="EZ549">
        <f>IF(ISBLANK('Data Entry'!$Ü$549), "", 'Data Entry'!$Ü$549)</f>
      </c>
      <c r="FA549">
        <f>IF(ISBLANK('Data Entry'!$Ý$549), "", 'Data Entry'!$Ý$549)</f>
      </c>
      <c r="FB549">
        <f>IF(ISBLANK('Data Entry'!$Þ$549), "", 'Data Entry'!$Þ$549)</f>
      </c>
      <c r="FC549">
        <f>IF(ISBLANK('Data Entry'!$ß$549), "", 'Data Entry'!$ß$549)</f>
      </c>
      <c r="FD549">
        <f>IF(ISBLANK('Data Entry'!$à$549), "", 'Data Entry'!$à$549)</f>
      </c>
      <c r="FE549">
        <f>IF(ISBLANK('Data Entry'!$á$549), "", 'Data Entry'!$á$549)</f>
      </c>
      <c r="FF549">
        <f>IF(ISBLANK('Data Entry'!$â$549), "", 'Data Entry'!$â$549)</f>
      </c>
      <c r="FG549">
        <f>IF(ISBLANK('Data Entry'!$ã$549), "", 'Data Entry'!$ã$549)</f>
      </c>
      <c r="FH549">
        <f>IF(ISBLANK('Data Entry'!$ä$549), "", 'Data Entry'!$ä$549)</f>
      </c>
      <c r="FI549">
        <f>IF(ISBLANK('Data Entry'!$å$549), "", 'Data Entry'!$å$549)</f>
      </c>
      <c r="FJ549">
        <f>IF(ISBLANK('Data Entry'!$æ$549), "", 'Data Entry'!$æ$549)</f>
      </c>
      <c r="FK549">
        <f>IF(ISBLANK('Data Entry'!$ç$549), "", 'Data Entry'!$ç$549)</f>
      </c>
      <c r="FL549">
        <f>IF(ISBLANK('Data Entry'!$è$549), "", 'Data Entry'!$è$549)</f>
      </c>
      <c r="FM549">
        <f>IF(ISBLANK('Data Entry'!$é$549), "", 'Data Entry'!$é$549)</f>
      </c>
      <c r="FN549">
        <f>IF(ISBLANK('Data Entry'!$ê$549), "", 'Data Entry'!$ê$549)</f>
      </c>
      <c r="FO549">
        <f>IF(ISBLANK('Data Entry'!$ë$549), "", 'Data Entry'!$ë$549)</f>
      </c>
      <c r="FP549">
        <f>IF(ISBLANK('Data Entry'!$ì$549), "", 'Data Entry'!$ì$549)</f>
      </c>
      <c r="FQ549">
        <f>IF(ISBLANK('Data Entry'!$í$549), "", 'Data Entry'!$í$549)</f>
      </c>
      <c r="FR549">
        <f>IF(ISBLANK('Data Entry'!$î$549), "", 'Data Entry'!$î$549)</f>
      </c>
      <c r="FS549">
        <f>IF(ISBLANK('Data Entry'!$ï$549), "", 'Data Entry'!$ï$549)</f>
      </c>
      <c r="FT549">
        <f>IF(ISBLANK('Data Entry'!$ð$549), "", 'Data Entry'!$ð$549)</f>
      </c>
      <c r="FU549">
        <f>IF(ISBLANK('Data Entry'!$ñ$549), "", 'Data Entry'!$ñ$549)</f>
      </c>
      <c r="FV549">
        <f>IF(ISBLANK('Data Entry'!$ò$549), "", 'Data Entry'!$ò$549)</f>
      </c>
      <c r="FW549">
        <f>IF(ISBLANK('Data Entry'!$ó$549), "", 'Data Entry'!$ó$549)</f>
      </c>
      <c r="FX549">
        <f>IF(ISBLANK('Data Entry'!$ô$549), "", 'Data Entry'!$ô$549)</f>
      </c>
      <c r="FY549">
        <f>IF(ISBLANK('Data Entry'!$õ$549), "", 'Data Entry'!$õ$549)</f>
      </c>
      <c r="FZ549">
        <f>IF(ISBLANK('Data Entry'!$ö$549), "", 'Data Entry'!$ö$549)</f>
      </c>
      <c r="GA549">
        <f>IF(ISBLANK('Data Entry'!$÷$549), "", 'Data Entry'!$÷$549)</f>
      </c>
      <c r="GB549">
        <f>IF(ISBLANK('Data Entry'!$ø$549), "", 'Data Entry'!$ø$549)</f>
      </c>
      <c r="GC549">
        <f>IF(ISBLANK('Data Entry'!$ù$549), "", 'Data Entry'!$ù$549)</f>
      </c>
      <c r="GD549">
        <f>IF(ISBLANK('Data Entry'!$ú$549), "", 'Data Entry'!$ú$549)</f>
      </c>
      <c r="GE549">
        <f>IF(ISBLANK('Data Entry'!$û$549), "", 'Data Entry'!$û$549)</f>
      </c>
      <c r="GF549">
        <f>IF(ISBLANK('Data Entry'!$ü$549), "", 'Data Entry'!$ü$549)</f>
      </c>
      <c r="GG549">
        <f>IF(ISBLANK('Data Entry'!$ý$549), "", 'Data Entry'!$ý$549)</f>
      </c>
      <c r="GH549">
        <f>IF(ISBLANK('Data Entry'!$þ$549), "", 'Data Entry'!$þ$549)</f>
      </c>
      <c r="GI549">
        <f>IF(ISBLANK('Data Entry'!$ÿ$549), "", 'Data Entry'!$ÿ$549)</f>
      </c>
      <c r="GJ549">
        <f>IF(ISBLANK('Data Entry'!$Ā$549), "", 'Data Entry'!$Ā$549)</f>
      </c>
      <c r="GK549">
        <f>IF(ISBLANK('Data Entry'!$ā$549), "", 'Data Entry'!$ā$549)</f>
      </c>
      <c r="GL549">
        <f>IF(ISBLANK('Data Entry'!$Ă$549), "", 'Data Entry'!$Ă$549)</f>
      </c>
      <c r="GM549">
        <f>IF(ISBLANK('Data Entry'!$ă$549), "", 'Data Entry'!$ă$549)</f>
      </c>
      <c r="GN549">
        <f>IF(ISBLANK('Data Entry'!$Ą$549), "", 'Data Entry'!$Ą$549)</f>
      </c>
      <c r="GO549">
        <f>IF(ISBLANK('Data Entry'!$ą$549), "", 'Data Entry'!$ą$549)</f>
      </c>
      <c r="GP549">
        <f>IF(ISBLANK('Data Entry'!$Ć$549), "", 'Data Entry'!$Ć$549)</f>
      </c>
      <c r="GQ549">
        <f>IF(ISBLANK('Data Entry'!$ć$549), "", 'Data Entry'!$ć$549)</f>
      </c>
      <c r="GR549">
        <f>IF(ISBLANK('Data Entry'!$Ĉ$549), "", 'Data Entry'!$Ĉ$549)</f>
      </c>
      <c r="GS549">
        <f>IF(ISBLANK('Data Entry'!$ĉ$549), "", 'Data Entry'!$ĉ$549)</f>
      </c>
      <c r="GT549">
        <f>IF(ISBLANK('Data Entry'!$Ċ$549), "", 'Data Entry'!$Ċ$549)</f>
      </c>
      <c r="GU549">
        <f>IF(ISBLANK('Data Entry'!$ċ$549), "", 'Data Entry'!$ċ$549)</f>
      </c>
      <c r="GV549">
        <f>IF(ISBLANK('Data Entry'!$Č$549), "", 'Data Entry'!$Č$549)</f>
      </c>
      <c r="GW549">
        <f>IF(ISBLANK('Data Entry'!$č$549), "", 'Data Entry'!$č$549)</f>
      </c>
      <c r="GX549">
        <f>IF(ISBLANK('Data Entry'!$Ď$549), "", 'Data Entry'!$Ď$549)</f>
      </c>
      <c r="GY549">
        <f>IF(ISBLANK('Data Entry'!$ď$549), "", 'Data Entry'!$ď$549)</f>
      </c>
      <c r="GZ549">
        <f>IF(ISBLANK('Data Entry'!$Đ$549), "", 'Data Entry'!$Đ$549)</f>
      </c>
      <c r="HA549">
        <f>IF(ISBLANK('Data Entry'!$đ$549), "", 'Data Entry'!$đ$549)</f>
      </c>
      <c r="HB549">
        <f>IF(ISBLANK('Data Entry'!$Ē$549), "", 'Data Entry'!$Ē$549)</f>
      </c>
      <c r="HC549">
        <f>IF(ISBLANK('Data Entry'!$ē$549), "", 'Data Entry'!$ē$549)</f>
      </c>
      <c r="HD549">
        <f>IF(ISBLANK('Data Entry'!$Ĕ$549), "", 'Data Entry'!$Ĕ$549)</f>
      </c>
      <c r="HE549">
        <f>IF(ISBLANK('Data Entry'!$ĕ$549), "", 'Data Entry'!$ĕ$549)</f>
      </c>
      <c r="HF549">
        <f>IF(ISBLANK('Data Entry'!$Ė$549), "", 'Data Entry'!$Ė$549)</f>
      </c>
      <c r="HG549">
        <f>IF(ISBLANK('Data Entry'!$ė$549), "", 'Data Entry'!$ė$549)</f>
      </c>
      <c r="HH549">
        <f>IF(ISBLANK('Data Entry'!$Ę$549), "", 'Data Entry'!$Ę$549)</f>
      </c>
      <c r="HI549">
        <f>IF(ISBLANK('Data Entry'!$ę$549), "", 'Data Entry'!$ę$549)</f>
      </c>
      <c r="HJ549">
        <f>IF(ISBLANK('Data Entry'!$Ě$549), "", 'Data Entry'!$Ě$549)</f>
      </c>
      <c r="HK549">
        <f>IF(ISBLANK('Data Entry'!$ě$549), "", 'Data Entry'!$ě$549)</f>
      </c>
      <c r="HL549">
        <f>IF(ISBLANK('Data Entry'!$Ĝ$549), "", 'Data Entry'!$Ĝ$549)</f>
      </c>
      <c r="HM549">
        <f>IF(ISBLANK('Data Entry'!$ĝ$549), "", 'Data Entry'!$ĝ$549)</f>
      </c>
      <c r="HN549">
        <f>IF(ISBLANK('Data Entry'!$Ğ$549), "", 'Data Entry'!$Ğ$549)</f>
      </c>
      <c r="HO549">
        <f>IF(ISBLANK('Data Entry'!$ğ$549), "", 'Data Entry'!$ğ$549)</f>
      </c>
      <c r="HP549">
        <f>IF(ISBLANK('Data Entry'!$Ġ$549), "", 'Data Entry'!$Ġ$549)</f>
      </c>
      <c r="HQ549">
        <f>IF(ISBLANK('Data Entry'!$ġ$549), "", 'Data Entry'!$ġ$549)</f>
      </c>
      <c r="HR549">
        <f>IF(ISBLANK('Data Entry'!$Ģ$549), "", 'Data Entry'!$Ģ$549)</f>
      </c>
      <c r="HS549">
        <f>IF(ISBLANK('Data Entry'!$ģ$549), "", 'Data Entry'!$ģ$549)</f>
      </c>
      <c r="HT549">
        <f>IF(ISBLANK('Data Entry'!$Ĥ$549), "", 'Data Entry'!$Ĥ$549)</f>
      </c>
      <c r="HU549">
        <f>IF(ISBLANK('Data Entry'!$ĥ$549), "", 'Data Entry'!$ĥ$549)</f>
      </c>
      <c r="HV549">
        <f>IF(ISBLANK('Data Entry'!$Ħ$549), "", 'Data Entry'!$Ħ$549)</f>
      </c>
      <c r="HW549">
        <f>IF(ISBLANK('Data Entry'!$ħ$549), "", 'Data Entry'!$ħ$549)</f>
      </c>
      <c r="HX549">
        <f>IF(ISBLANK('Data Entry'!$Ĩ$549), "", 'Data Entry'!$Ĩ$549)</f>
      </c>
      <c r="HY549">
        <f>IF(ISBLANK('Data Entry'!$ĩ$549), "", 'Data Entry'!$ĩ$549)</f>
      </c>
      <c r="HZ549">
        <f>IF(ISBLANK('Data Entry'!$Ī$549), "", 'Data Entry'!$Ī$549)</f>
      </c>
      <c r="IA549">
        <f>IF(ISBLANK('Data Entry'!$ī$549), "", 'Data Entry'!$ī$549)</f>
      </c>
      <c r="IB549">
        <f>IF(ISBLANK('Data Entry'!$Ĭ$549), "", 'Data Entry'!$Ĭ$549)</f>
      </c>
      <c r="IC549">
        <f>IF(ISBLANK('Data Entry'!$ĭ$549), "", 'Data Entry'!$ĭ$549)</f>
      </c>
      <c r="ID549">
        <f>IF(ISBLANK('Data Entry'!$Į$549), "", 'Data Entry'!$Į$549)</f>
      </c>
      <c r="IE549">
        <f>IF(ISBLANK('Data Entry'!$į$549), "", 'Data Entry'!$į$549)</f>
      </c>
      <c r="IF549">
        <f>IF(ISBLANK('Data Entry'!$İ$549), "", 'Data Entry'!$İ$549)</f>
      </c>
      <c r="IG549">
        <f>IF(ISBLANK('Data Entry'!$ı$549), "", 'Data Entry'!$ı$549)</f>
      </c>
      <c r="IH549">
        <f>IF(ISBLANK('Data Entry'!$Ĳ$549), "", 'Data Entry'!$Ĳ$549)</f>
      </c>
      <c r="II549">
        <f>IF(ISBLANK('Data Entry'!$ĳ$549), "", 'Data Entry'!$ĳ$549)</f>
      </c>
      <c r="IJ549">
        <f>IF(ISBLANK('Data Entry'!$Ĵ$549), "", 'Data Entry'!$Ĵ$549)</f>
      </c>
      <c r="IK549">
        <f>IF(ISBLANK('Data Entry'!$ĵ$549), "", 'Data Entry'!$ĵ$549)</f>
      </c>
      <c r="IL549">
        <f>IF(ISBLANK('Data Entry'!$Ķ$549), "", 'Data Entry'!$Ķ$549)</f>
      </c>
      <c r="IM549">
        <f>IF(ISBLANK('Data Entry'!$ķ$549), "", 'Data Entry'!$ķ$549)</f>
      </c>
      <c r="IN549">
        <f>IF(ISBLANK('Data Entry'!$ĸ$549), "", 'Data Entry'!$ĸ$549)</f>
      </c>
      <c r="IO549">
        <f>IF(ISBLANK('Data Entry'!$Ĺ$549), "", 'Data Entry'!$Ĺ$549)</f>
      </c>
      <c r="IP549">
        <f>IF(ISBLANK('Data Entry'!$ĺ$549), "", 'Data Entry'!$ĺ$549)</f>
      </c>
      <c r="IQ549">
        <f>IF(ISBLANK('Data Entry'!$Ļ$549), "", 'Data Entry'!$Ļ$549)</f>
      </c>
      <c r="IR549">
        <f>IF(ISBLANK('Data Entry'!$ļ$549), "", 'Data Entry'!$ļ$549)</f>
      </c>
      <c r="IS549">
        <f>IF(ISBLANK('Data Entry'!$Ľ$549), "", 'Data Entry'!$Ľ$549)</f>
      </c>
      <c r="IT549">
        <f>IF(ISBLANK('Data Entry'!$ľ$549), "", 'Data Entry'!$ľ$549)</f>
      </c>
    </row>
    <row r="550" spans="1:254" x14ac:dyDescent="0.25">
      <c r="A550">
        <f>IF(ISBLANK('Data Entry'!$A$550), "", 'Data Entry'!$A$550)</f>
      </c>
      <c r="B550">
        <f>IF(ISBLANK('Data Entry'!$B$550), "", 'Data Entry'!$B$550)</f>
      </c>
      <c r="C550">
        <f>IF(ISBLANK('Data Entry'!$C$550), "", 'Data Entry'!$C$550)</f>
      </c>
      <c r="D550">
        <f>IF(ISBLANK('Data Entry'!$D$550), "", 'Data Entry'!$D$550)</f>
      </c>
      <c r="E550">
        <f>IF(ISBLANK('Data Entry'!$E$550), "", 'Data Entry'!$E$550)</f>
      </c>
      <c r="F550">
        <f>IF(ISBLANK('Data Entry'!$F$550), "", 'Data Entry'!$F$550)</f>
      </c>
      <c r="G550">
        <f>IF(ISBLANK('Data Entry'!$G$550), "", 'Data Entry'!$G$550)</f>
      </c>
      <c r="H550">
        <f>IF(ISBLANK('Data Entry'!$H$550), "", 'Data Entry'!$H$550)</f>
      </c>
      <c r="I550">
        <f>IF(ISBLANK('Data Entry'!$I$550), "", 'Data Entry'!$I$550)</f>
      </c>
      <c r="J550">
        <f>IF(ISBLANK('Data Entry'!$J$550), "", 'Data Entry'!$J$550)</f>
      </c>
      <c r="K550">
        <f>IF(ISBLANK('Data Entry'!$K$550), "", 'Data Entry'!$K$550)</f>
      </c>
      <c r="L550">
        <f>IF(ISBLANK('Data Entry'!$L$550), "", 'Data Entry'!$L$550)</f>
      </c>
      <c r="M550">
        <f>IF(ISBLANK('Data Entry'!$M$550), "", 'Data Entry'!$M$550)</f>
      </c>
      <c r="N550">
        <f>IF(ISBLANK('Data Entry'!$N$550), "", 'Data Entry'!$N$550)</f>
      </c>
      <c r="O550">
        <f>IF(ISBLANK('Data Entry'!$O$550), "", 'Data Entry'!$O$550)</f>
      </c>
      <c r="P550">
        <f>IF(ISBLANK('Data Entry'!$P$550), "", 'Data Entry'!$P$550)</f>
      </c>
      <c r="Q550">
        <f>IF(ISBLANK('Data Entry'!$Q$550), "", 'Data Entry'!$Q$550)</f>
      </c>
      <c r="R550">
        <f>IF(ISBLANK('Data Entry'!$R$550), "", 'Data Entry'!$R$550)</f>
      </c>
      <c r="S550">
        <f>IF(ISBLANK('Data Entry'!$S$550), "", 'Data Entry'!$S$550)</f>
      </c>
      <c r="T550">
        <f>IF(ISBLANK('Data Entry'!$T$550), "", 'Data Entry'!$T$550)</f>
      </c>
      <c r="U550">
        <f>IF(ISBLANK('Data Entry'!$U$550), "", 'Data Entry'!$U$550)</f>
      </c>
      <c r="V550">
        <f>IF(ISBLANK('Data Entry'!$V$550), "", 'Data Entry'!$V$550)</f>
      </c>
      <c r="W550">
        <f>IF(ISBLANK('Data Entry'!$W$550), "", 'Data Entry'!$W$550)</f>
      </c>
      <c r="X550">
        <f>IF(ISBLANK('Data Entry'!$X$550), "", 'Data Entry'!$X$550)</f>
      </c>
      <c r="Y550">
        <f>IF(ISBLANK('Data Entry'!$Y$550), "", 'Data Entry'!$Y$550)</f>
      </c>
      <c r="Z550">
        <f>IF(ISBLANK('Data Entry'!$Z$550), "", 'Data Entry'!$Z$550)</f>
      </c>
      <c r="AA550">
        <f>IF(ISBLANK('Data Entry'!$[$550), "", 'Data Entry'!$[$550)</f>
      </c>
      <c r="AB550">
        <f>IF(ISBLANK('Data Entry'!$\$550), "", 'Data Entry'!$\$550)</f>
      </c>
      <c r="AC550">
        <f>IF(ISBLANK('Data Entry'!$]$550), "", 'Data Entry'!$]$550)</f>
      </c>
      <c r="AD550">
        <f>IF(ISBLANK('Data Entry'!$^$550), "", 'Data Entry'!$^$550)</f>
      </c>
      <c r="AE550">
        <f>IF(ISBLANK('Data Entry'!$_$550), "", 'Data Entry'!$_$550)</f>
      </c>
      <c r="AF550">
        <f>IF(ISBLANK('Data Entry'!$`$550), "", 'Data Entry'!$`$550)</f>
      </c>
      <c r="AG550">
        <f>IF(ISBLANK('Data Entry'!$a$550), "", 'Data Entry'!$a$550)</f>
      </c>
      <c r="AH550">
        <f>IF(ISBLANK('Data Entry'!$b$550), "", 'Data Entry'!$b$550)</f>
      </c>
      <c r="AI550">
        <f>IF(ISBLANK('Data Entry'!$c$550), "", 'Data Entry'!$c$550)</f>
      </c>
      <c r="AJ550">
        <f>IF(ISBLANK('Data Entry'!$d$550), "", 'Data Entry'!$d$550)</f>
      </c>
      <c r="AK550">
        <f>IF(ISBLANK('Data Entry'!$e$550), "", 'Data Entry'!$e$550)</f>
      </c>
      <c r="AL550">
        <f>IF(ISBLANK('Data Entry'!$f$550), "", 'Data Entry'!$f$550)</f>
      </c>
      <c r="AM550">
        <f>IF(ISBLANK('Data Entry'!$g$550), "", 'Data Entry'!$g$550)</f>
      </c>
      <c r="AN550">
        <f>IF(ISBLANK('Data Entry'!$h$550), "", 'Data Entry'!$h$550)</f>
      </c>
      <c r="AO550">
        <f>IF(ISBLANK('Data Entry'!$i$550), "", 'Data Entry'!$i$550)</f>
      </c>
      <c r="AP550">
        <f>IF(ISBLANK('Data Entry'!$j$550), "", 'Data Entry'!$j$550)</f>
      </c>
      <c r="AQ550">
        <f>IF(ISBLANK('Data Entry'!$k$550), "", 'Data Entry'!$k$550)</f>
      </c>
      <c r="AR550">
        <f>IF(ISBLANK('Data Entry'!$l$550), "", 'Data Entry'!$l$550)</f>
      </c>
      <c r="AS550">
        <f>IF(ISBLANK('Data Entry'!$m$550), "", 'Data Entry'!$m$550)</f>
      </c>
      <c r="AT550">
        <f>IF(ISBLANK('Data Entry'!$n$550), "", 'Data Entry'!$n$550)</f>
      </c>
      <c r="AU550">
        <f>IF(ISBLANK('Data Entry'!$o$550), "", 'Data Entry'!$o$550)</f>
      </c>
      <c r="AV550">
        <f>IF(ISBLANK('Data Entry'!$p$550), "", 'Data Entry'!$p$550)</f>
      </c>
      <c r="AW550">
        <f>IF(ISBLANK('Data Entry'!$q$550), "", 'Data Entry'!$q$550)</f>
      </c>
      <c r="AX550">
        <f>IF(ISBLANK('Data Entry'!$r$550), "", 'Data Entry'!$r$550)</f>
      </c>
      <c r="AY550">
        <f>IF(ISBLANK('Data Entry'!$s$550), "", 'Data Entry'!$s$550)</f>
      </c>
      <c r="AZ550">
        <f>IF(ISBLANK('Data Entry'!$t$550), "", 'Data Entry'!$t$550)</f>
      </c>
      <c r="BA550">
        <f>IF(ISBLANK('Data Entry'!$u$550), "", 'Data Entry'!$u$550)</f>
      </c>
      <c r="BB550">
        <f>IF(ISBLANK('Data Entry'!$v$550), "", 'Data Entry'!$v$550)</f>
      </c>
      <c r="BC550">
        <f>IF(ISBLANK('Data Entry'!$w$550), "", 'Data Entry'!$w$550)</f>
      </c>
      <c r="BD550">
        <f>IF(ISBLANK('Data Entry'!$x$550), "", 'Data Entry'!$x$550)</f>
      </c>
      <c r="BE550">
        <f>IF(ISBLANK('Data Entry'!$y$550), "", 'Data Entry'!$y$550)</f>
      </c>
      <c r="BF550">
        <f>IF(ISBLANK('Data Entry'!$z$550), "", 'Data Entry'!$z$550)</f>
      </c>
      <c r="BG550">
        <f>IF(ISBLANK('Data Entry'!${$550), "", 'Data Entry'!${$550)</f>
      </c>
      <c r="BH550">
        <f>IF(ISBLANK('Data Entry'!$|$550), "", 'Data Entry'!$|$550)</f>
      </c>
      <c r="BI550">
        <f>IF(ISBLANK('Data Entry'!$}$550), "", 'Data Entry'!$}$550)</f>
      </c>
      <c r="BJ550">
        <f>IF(ISBLANK('Data Entry'!$~$550), "", 'Data Entry'!$~$550)</f>
      </c>
      <c r="BK550">
        <f>IF(ISBLANK('Data Entry'!$$550), "", 'Data Entry'!$$550)</f>
      </c>
      <c r="BL550">
        <f>IF(ISBLANK('Data Entry'!$$550), "", 'Data Entry'!$$550)</f>
      </c>
      <c r="BM550">
        <f>IF(ISBLANK('Data Entry'!$$550), "", 'Data Entry'!$$550)</f>
      </c>
      <c r="BN550">
        <f>IF(ISBLANK('Data Entry'!$$550), "", 'Data Entry'!$$550)</f>
      </c>
      <c r="BO550">
        <f>IF(ISBLANK('Data Entry'!$$550), "", 'Data Entry'!$$550)</f>
      </c>
      <c r="BP550">
        <f>IF(ISBLANK('Data Entry'!$$550), "", 'Data Entry'!$$550)</f>
      </c>
      <c r="BQ550">
        <f>IF(ISBLANK('Data Entry'!$$550), "", 'Data Entry'!$$550)</f>
      </c>
      <c r="BR550">
        <f>IF(ISBLANK('Data Entry'!$$550), "", 'Data Entry'!$$550)</f>
      </c>
      <c r="BS550">
        <f>IF(ISBLANK('Data Entry'!$$550), "", 'Data Entry'!$$550)</f>
      </c>
      <c r="BT550">
        <f>IF(ISBLANK('Data Entry'!$$550), "", 'Data Entry'!$$550)</f>
      </c>
      <c r="BU550">
        <f>IF(ISBLANK('Data Entry'!$$550), "", 'Data Entry'!$$550)</f>
      </c>
      <c r="BV550">
        <f>IF(ISBLANK('Data Entry'!$$550), "", 'Data Entry'!$$550)</f>
      </c>
      <c r="BW550">
        <f>IF(ISBLANK('Data Entry'!$$550), "", 'Data Entry'!$$550)</f>
      </c>
      <c r="BX550">
        <f>IF(ISBLANK('Data Entry'!$$550), "", 'Data Entry'!$$550)</f>
      </c>
      <c r="BY550">
        <f>IF(ISBLANK('Data Entry'!$$550), "", 'Data Entry'!$$550)</f>
      </c>
      <c r="BZ550">
        <f>IF(ISBLANK('Data Entry'!$$550), "", 'Data Entry'!$$550)</f>
      </c>
      <c r="CA550">
        <f>IF(ISBLANK('Data Entry'!$$550), "", 'Data Entry'!$$550)</f>
      </c>
      <c r="CB550">
        <f>IF(ISBLANK('Data Entry'!$$550), "", 'Data Entry'!$$550)</f>
      </c>
      <c r="CC550">
        <f>IF(ISBLANK('Data Entry'!$$550), "", 'Data Entry'!$$550)</f>
      </c>
      <c r="CD550">
        <f>IF(ISBLANK('Data Entry'!$$550), "", 'Data Entry'!$$550)</f>
      </c>
      <c r="CE550">
        <f>IF(ISBLANK('Data Entry'!$$550), "", 'Data Entry'!$$550)</f>
      </c>
      <c r="CF550">
        <f>IF(ISBLANK('Data Entry'!$$550), "", 'Data Entry'!$$550)</f>
      </c>
      <c r="CG550">
        <f>IF(ISBLANK('Data Entry'!$$550), "", 'Data Entry'!$$550)</f>
      </c>
      <c r="CH550">
        <f>IF(ISBLANK('Data Entry'!$$550), "", 'Data Entry'!$$550)</f>
      </c>
      <c r="CI550">
        <f>IF(ISBLANK('Data Entry'!$$550), "", 'Data Entry'!$$550)</f>
      </c>
      <c r="CJ550">
        <f>IF(ISBLANK('Data Entry'!$$550), "", 'Data Entry'!$$550)</f>
      </c>
      <c r="CK550">
        <f>IF(ISBLANK('Data Entry'!$$550), "", 'Data Entry'!$$550)</f>
      </c>
      <c r="CL550">
        <f>IF(ISBLANK('Data Entry'!$$550), "", 'Data Entry'!$$550)</f>
      </c>
      <c r="CM550">
        <f>IF(ISBLANK('Data Entry'!$$550), "", 'Data Entry'!$$550)</f>
      </c>
      <c r="CN550">
        <f>IF(ISBLANK('Data Entry'!$$550), "", 'Data Entry'!$$550)</f>
      </c>
      <c r="CO550">
        <f>IF(ISBLANK('Data Entry'!$$550), "", 'Data Entry'!$$550)</f>
      </c>
      <c r="CP550">
        <f>IF(ISBLANK('Data Entry'!$$550), "", 'Data Entry'!$$550)</f>
      </c>
      <c r="CQ550">
        <f>IF(ISBLANK('Data Entry'!$$550), "", 'Data Entry'!$$550)</f>
      </c>
      <c r="CR550">
        <f>IF(ISBLANK('Data Entry'!$ $550), "", 'Data Entry'!$ $550)</f>
      </c>
      <c r="CS550">
        <f>IF(ISBLANK('Data Entry'!$¡$550), "", 'Data Entry'!$¡$550)</f>
      </c>
      <c r="CT550">
        <f>IF(ISBLANK('Data Entry'!$¢$550), "", 'Data Entry'!$¢$550)</f>
      </c>
      <c r="CU550">
        <f>IF(ISBLANK('Data Entry'!$£$550), "", 'Data Entry'!$£$550)</f>
      </c>
      <c r="CV550">
        <f>IF(ISBLANK('Data Entry'!$¤$550), "", 'Data Entry'!$¤$550)</f>
      </c>
      <c r="CW550">
        <f>IF(ISBLANK('Data Entry'!$¥$550), "", 'Data Entry'!$¥$550)</f>
      </c>
      <c r="CX550">
        <f>IF(ISBLANK('Data Entry'!$¦$550), "", 'Data Entry'!$¦$550)</f>
      </c>
      <c r="CY550">
        <f>IF(ISBLANK('Data Entry'!$§$550), "", 'Data Entry'!$§$550)</f>
      </c>
      <c r="CZ550">
        <f>IF(ISBLANK('Data Entry'!$¨$550), "", 'Data Entry'!$¨$550)</f>
      </c>
      <c r="DA550">
        <f>IF(ISBLANK('Data Entry'!$©$550), "", 'Data Entry'!$©$550)</f>
      </c>
      <c r="DB550">
        <f>IF(ISBLANK('Data Entry'!$ª$550), "", 'Data Entry'!$ª$550)</f>
      </c>
      <c r="DC550">
        <f>IF(ISBLANK('Data Entry'!$«$550), "", 'Data Entry'!$«$550)</f>
      </c>
      <c r="DD550">
        <f>IF(ISBLANK('Data Entry'!$¬$550), "", 'Data Entry'!$¬$550)</f>
      </c>
      <c r="DE550">
        <f>IF(ISBLANK('Data Entry'!$­$550), "", 'Data Entry'!$­$550)</f>
      </c>
      <c r="DF550">
        <f>IF(ISBLANK('Data Entry'!$®$550), "", 'Data Entry'!$®$550)</f>
      </c>
      <c r="DG550">
        <f>IF(ISBLANK('Data Entry'!$¯$550), "", 'Data Entry'!$¯$550)</f>
      </c>
      <c r="DH550">
        <f>IF(ISBLANK('Data Entry'!$°$550), "", 'Data Entry'!$°$550)</f>
      </c>
      <c r="DI550">
        <f>IF(ISBLANK('Data Entry'!$±$550), "", 'Data Entry'!$±$550)</f>
      </c>
      <c r="DJ550">
        <f>IF(ISBLANK('Data Entry'!$²$550), "", 'Data Entry'!$²$550)</f>
      </c>
      <c r="DK550">
        <f>IF(ISBLANK('Data Entry'!$³$550), "", 'Data Entry'!$³$550)</f>
      </c>
      <c r="DL550">
        <f>IF(ISBLANK('Data Entry'!$´$550), "", 'Data Entry'!$´$550)</f>
      </c>
      <c r="DM550">
        <f>IF(ISBLANK('Data Entry'!$µ$550), "", 'Data Entry'!$µ$550)</f>
      </c>
      <c r="DN550">
        <f>IF(ISBLANK('Data Entry'!$¶$550), "", 'Data Entry'!$¶$550)</f>
      </c>
      <c r="DO550">
        <f>IF(ISBLANK('Data Entry'!$·$550), "", 'Data Entry'!$·$550)</f>
      </c>
      <c r="DP550">
        <f>IF(ISBLANK('Data Entry'!$¸$550), "", 'Data Entry'!$¸$550)</f>
      </c>
      <c r="DQ550">
        <f>IF(ISBLANK('Data Entry'!$¹$550), "", 'Data Entry'!$¹$550)</f>
      </c>
      <c r="DR550">
        <f>IF(ISBLANK('Data Entry'!$º$550), "", 'Data Entry'!$º$550)</f>
      </c>
      <c r="DS550">
        <f>IF(ISBLANK('Data Entry'!$»$550), "", 'Data Entry'!$»$550)</f>
      </c>
      <c r="DT550">
        <f>IF(ISBLANK('Data Entry'!$¼$550), "", 'Data Entry'!$¼$550)</f>
      </c>
      <c r="DU550">
        <f>IF(ISBLANK('Data Entry'!$½$550), "", 'Data Entry'!$½$550)</f>
      </c>
      <c r="DV550">
        <f>IF(ISBLANK('Data Entry'!$¾$550), "", 'Data Entry'!$¾$550)</f>
      </c>
      <c r="DW550">
        <f>IF(ISBLANK('Data Entry'!$¿$550), "", 'Data Entry'!$¿$550)</f>
      </c>
      <c r="DX550">
        <f>IF(ISBLANK('Data Entry'!$À$550), "", 'Data Entry'!$À$550)</f>
      </c>
      <c r="DY550">
        <f>IF(ISBLANK('Data Entry'!$Á$550), "", 'Data Entry'!$Á$550)</f>
      </c>
      <c r="DZ550">
        <f>IF(ISBLANK('Data Entry'!$Â$550), "", 'Data Entry'!$Â$550)</f>
      </c>
      <c r="EA550">
        <f>IF(ISBLANK('Data Entry'!$Ã$550), "", 'Data Entry'!$Ã$550)</f>
      </c>
      <c r="EB550">
        <f>IF(ISBLANK('Data Entry'!$Ä$550), "", 'Data Entry'!$Ä$550)</f>
      </c>
      <c r="EC550">
        <f>IF(ISBLANK('Data Entry'!$Å$550), "", 'Data Entry'!$Å$550)</f>
      </c>
      <c r="ED550">
        <f>IF(ISBLANK('Data Entry'!$Æ$550), "", 'Data Entry'!$Æ$550)</f>
      </c>
      <c r="EE550">
        <f>IF(ISBLANK('Data Entry'!$Ç$550), "", 'Data Entry'!$Ç$550)</f>
      </c>
      <c r="EF550">
        <f>IF(ISBLANK('Data Entry'!$È$550), "", 'Data Entry'!$È$550)</f>
      </c>
      <c r="EG550">
        <f>IF(ISBLANK('Data Entry'!$É$550), "", 'Data Entry'!$É$550)</f>
      </c>
      <c r="EH550">
        <f>IF(ISBLANK('Data Entry'!$Ê$550), "", 'Data Entry'!$Ê$550)</f>
      </c>
      <c r="EI550">
        <f>IF(ISBLANK('Data Entry'!$Ë$550), "", 'Data Entry'!$Ë$550)</f>
      </c>
      <c r="EJ550">
        <f>IF(ISBLANK('Data Entry'!$Ì$550), "", 'Data Entry'!$Ì$550)</f>
      </c>
      <c r="EK550">
        <f>IF(ISBLANK('Data Entry'!$Í$550), "", 'Data Entry'!$Í$550)</f>
      </c>
      <c r="EL550">
        <f>IF(ISBLANK('Data Entry'!$Î$550), "", 'Data Entry'!$Î$550)</f>
      </c>
      <c r="EM550">
        <f>IF(ISBLANK('Data Entry'!$Ï$550), "", 'Data Entry'!$Ï$550)</f>
      </c>
      <c r="EN550">
        <f>IF(ISBLANK('Data Entry'!$Ð$550), "", 'Data Entry'!$Ð$550)</f>
      </c>
      <c r="EO550">
        <f>IF(ISBLANK('Data Entry'!$Ñ$550), "", 'Data Entry'!$Ñ$550)</f>
      </c>
      <c r="EP550">
        <f>IF(ISBLANK('Data Entry'!$Ò$550), "", 'Data Entry'!$Ò$550)</f>
      </c>
      <c r="EQ550">
        <f>IF(ISBLANK('Data Entry'!$Ó$550), "", 'Data Entry'!$Ó$550)</f>
      </c>
      <c r="ER550">
        <f>IF(ISBLANK('Data Entry'!$Ô$550), "", 'Data Entry'!$Ô$550)</f>
      </c>
      <c r="ES550">
        <f>IF(ISBLANK('Data Entry'!$Õ$550), "", 'Data Entry'!$Õ$550)</f>
      </c>
      <c r="ET550">
        <f>IF(ISBLANK('Data Entry'!$Ö$550), "", 'Data Entry'!$Ö$550)</f>
      </c>
      <c r="EU550">
        <f>IF(ISBLANK('Data Entry'!$×$550), "", 'Data Entry'!$×$550)</f>
      </c>
      <c r="EV550">
        <f>IF(ISBLANK('Data Entry'!$Ø$550), "", 'Data Entry'!$Ø$550)</f>
      </c>
      <c r="EW550">
        <f>IF(ISBLANK('Data Entry'!$Ù$550), "", 'Data Entry'!$Ù$550)</f>
      </c>
      <c r="EX550">
        <f>IF(ISBLANK('Data Entry'!$Ú$550), "", 'Data Entry'!$Ú$550)</f>
      </c>
      <c r="EY550">
        <f>IF(ISBLANK('Data Entry'!$Û$550), "", 'Data Entry'!$Û$550)</f>
      </c>
      <c r="EZ550">
        <f>IF(ISBLANK('Data Entry'!$Ü$550), "", 'Data Entry'!$Ü$550)</f>
      </c>
      <c r="FA550">
        <f>IF(ISBLANK('Data Entry'!$Ý$550), "", 'Data Entry'!$Ý$550)</f>
      </c>
      <c r="FB550">
        <f>IF(ISBLANK('Data Entry'!$Þ$550), "", 'Data Entry'!$Þ$550)</f>
      </c>
      <c r="FC550">
        <f>IF(ISBLANK('Data Entry'!$ß$550), "", 'Data Entry'!$ß$550)</f>
      </c>
      <c r="FD550">
        <f>IF(ISBLANK('Data Entry'!$à$550), "", 'Data Entry'!$à$550)</f>
      </c>
      <c r="FE550">
        <f>IF(ISBLANK('Data Entry'!$á$550), "", 'Data Entry'!$á$550)</f>
      </c>
      <c r="FF550">
        <f>IF(ISBLANK('Data Entry'!$â$550), "", 'Data Entry'!$â$550)</f>
      </c>
      <c r="FG550">
        <f>IF(ISBLANK('Data Entry'!$ã$550), "", 'Data Entry'!$ã$550)</f>
      </c>
      <c r="FH550">
        <f>IF(ISBLANK('Data Entry'!$ä$550), "", 'Data Entry'!$ä$550)</f>
      </c>
      <c r="FI550">
        <f>IF(ISBLANK('Data Entry'!$å$550), "", 'Data Entry'!$å$550)</f>
      </c>
      <c r="FJ550">
        <f>IF(ISBLANK('Data Entry'!$æ$550), "", 'Data Entry'!$æ$550)</f>
      </c>
      <c r="FK550">
        <f>IF(ISBLANK('Data Entry'!$ç$550), "", 'Data Entry'!$ç$550)</f>
      </c>
      <c r="FL550">
        <f>IF(ISBLANK('Data Entry'!$è$550), "", 'Data Entry'!$è$550)</f>
      </c>
      <c r="FM550">
        <f>IF(ISBLANK('Data Entry'!$é$550), "", 'Data Entry'!$é$550)</f>
      </c>
      <c r="FN550">
        <f>IF(ISBLANK('Data Entry'!$ê$550), "", 'Data Entry'!$ê$550)</f>
      </c>
      <c r="FO550">
        <f>IF(ISBLANK('Data Entry'!$ë$550), "", 'Data Entry'!$ë$550)</f>
      </c>
      <c r="FP550">
        <f>IF(ISBLANK('Data Entry'!$ì$550), "", 'Data Entry'!$ì$550)</f>
      </c>
      <c r="FQ550">
        <f>IF(ISBLANK('Data Entry'!$í$550), "", 'Data Entry'!$í$550)</f>
      </c>
      <c r="FR550">
        <f>IF(ISBLANK('Data Entry'!$î$550), "", 'Data Entry'!$î$550)</f>
      </c>
      <c r="FS550">
        <f>IF(ISBLANK('Data Entry'!$ï$550), "", 'Data Entry'!$ï$550)</f>
      </c>
      <c r="FT550">
        <f>IF(ISBLANK('Data Entry'!$ð$550), "", 'Data Entry'!$ð$550)</f>
      </c>
      <c r="FU550">
        <f>IF(ISBLANK('Data Entry'!$ñ$550), "", 'Data Entry'!$ñ$550)</f>
      </c>
      <c r="FV550">
        <f>IF(ISBLANK('Data Entry'!$ò$550), "", 'Data Entry'!$ò$550)</f>
      </c>
      <c r="FW550">
        <f>IF(ISBLANK('Data Entry'!$ó$550), "", 'Data Entry'!$ó$550)</f>
      </c>
      <c r="FX550">
        <f>IF(ISBLANK('Data Entry'!$ô$550), "", 'Data Entry'!$ô$550)</f>
      </c>
      <c r="FY550">
        <f>IF(ISBLANK('Data Entry'!$õ$550), "", 'Data Entry'!$õ$550)</f>
      </c>
      <c r="FZ550">
        <f>IF(ISBLANK('Data Entry'!$ö$550), "", 'Data Entry'!$ö$550)</f>
      </c>
      <c r="GA550">
        <f>IF(ISBLANK('Data Entry'!$÷$550), "", 'Data Entry'!$÷$550)</f>
      </c>
      <c r="GB550">
        <f>IF(ISBLANK('Data Entry'!$ø$550), "", 'Data Entry'!$ø$550)</f>
      </c>
      <c r="GC550">
        <f>IF(ISBLANK('Data Entry'!$ù$550), "", 'Data Entry'!$ù$550)</f>
      </c>
      <c r="GD550">
        <f>IF(ISBLANK('Data Entry'!$ú$550), "", 'Data Entry'!$ú$550)</f>
      </c>
      <c r="GE550">
        <f>IF(ISBLANK('Data Entry'!$û$550), "", 'Data Entry'!$û$550)</f>
      </c>
      <c r="GF550">
        <f>IF(ISBLANK('Data Entry'!$ü$550), "", 'Data Entry'!$ü$550)</f>
      </c>
      <c r="GG550">
        <f>IF(ISBLANK('Data Entry'!$ý$550), "", 'Data Entry'!$ý$550)</f>
      </c>
      <c r="GH550">
        <f>IF(ISBLANK('Data Entry'!$þ$550), "", 'Data Entry'!$þ$550)</f>
      </c>
      <c r="GI550">
        <f>IF(ISBLANK('Data Entry'!$ÿ$550), "", 'Data Entry'!$ÿ$550)</f>
      </c>
      <c r="GJ550">
        <f>IF(ISBLANK('Data Entry'!$Ā$550), "", 'Data Entry'!$Ā$550)</f>
      </c>
      <c r="GK550">
        <f>IF(ISBLANK('Data Entry'!$ā$550), "", 'Data Entry'!$ā$550)</f>
      </c>
      <c r="GL550">
        <f>IF(ISBLANK('Data Entry'!$Ă$550), "", 'Data Entry'!$Ă$550)</f>
      </c>
      <c r="GM550">
        <f>IF(ISBLANK('Data Entry'!$ă$550), "", 'Data Entry'!$ă$550)</f>
      </c>
      <c r="GN550">
        <f>IF(ISBLANK('Data Entry'!$Ą$550), "", 'Data Entry'!$Ą$550)</f>
      </c>
      <c r="GO550">
        <f>IF(ISBLANK('Data Entry'!$ą$550), "", 'Data Entry'!$ą$550)</f>
      </c>
      <c r="GP550">
        <f>IF(ISBLANK('Data Entry'!$Ć$550), "", 'Data Entry'!$Ć$550)</f>
      </c>
      <c r="GQ550">
        <f>IF(ISBLANK('Data Entry'!$ć$550), "", 'Data Entry'!$ć$550)</f>
      </c>
      <c r="GR550">
        <f>IF(ISBLANK('Data Entry'!$Ĉ$550), "", 'Data Entry'!$Ĉ$550)</f>
      </c>
      <c r="GS550">
        <f>IF(ISBLANK('Data Entry'!$ĉ$550), "", 'Data Entry'!$ĉ$550)</f>
      </c>
      <c r="GT550">
        <f>IF(ISBLANK('Data Entry'!$Ċ$550), "", 'Data Entry'!$Ċ$550)</f>
      </c>
      <c r="GU550">
        <f>IF(ISBLANK('Data Entry'!$ċ$550), "", 'Data Entry'!$ċ$550)</f>
      </c>
      <c r="GV550">
        <f>IF(ISBLANK('Data Entry'!$Č$550), "", 'Data Entry'!$Č$550)</f>
      </c>
      <c r="GW550">
        <f>IF(ISBLANK('Data Entry'!$č$550), "", 'Data Entry'!$č$550)</f>
      </c>
      <c r="GX550">
        <f>IF(ISBLANK('Data Entry'!$Ď$550), "", 'Data Entry'!$Ď$550)</f>
      </c>
      <c r="GY550">
        <f>IF(ISBLANK('Data Entry'!$ď$550), "", 'Data Entry'!$ď$550)</f>
      </c>
      <c r="GZ550">
        <f>IF(ISBLANK('Data Entry'!$Đ$550), "", 'Data Entry'!$Đ$550)</f>
      </c>
      <c r="HA550">
        <f>IF(ISBLANK('Data Entry'!$đ$550), "", 'Data Entry'!$đ$550)</f>
      </c>
      <c r="HB550">
        <f>IF(ISBLANK('Data Entry'!$Ē$550), "", 'Data Entry'!$Ē$550)</f>
      </c>
      <c r="HC550">
        <f>IF(ISBLANK('Data Entry'!$ē$550), "", 'Data Entry'!$ē$550)</f>
      </c>
      <c r="HD550">
        <f>IF(ISBLANK('Data Entry'!$Ĕ$550), "", 'Data Entry'!$Ĕ$550)</f>
      </c>
      <c r="HE550">
        <f>IF(ISBLANK('Data Entry'!$ĕ$550), "", 'Data Entry'!$ĕ$550)</f>
      </c>
      <c r="HF550">
        <f>IF(ISBLANK('Data Entry'!$Ė$550), "", 'Data Entry'!$Ė$550)</f>
      </c>
      <c r="HG550">
        <f>IF(ISBLANK('Data Entry'!$ė$550), "", 'Data Entry'!$ė$550)</f>
      </c>
      <c r="HH550">
        <f>IF(ISBLANK('Data Entry'!$Ę$550), "", 'Data Entry'!$Ę$550)</f>
      </c>
      <c r="HI550">
        <f>IF(ISBLANK('Data Entry'!$ę$550), "", 'Data Entry'!$ę$550)</f>
      </c>
      <c r="HJ550">
        <f>IF(ISBLANK('Data Entry'!$Ě$550), "", 'Data Entry'!$Ě$550)</f>
      </c>
      <c r="HK550">
        <f>IF(ISBLANK('Data Entry'!$ě$550), "", 'Data Entry'!$ě$550)</f>
      </c>
      <c r="HL550">
        <f>IF(ISBLANK('Data Entry'!$Ĝ$550), "", 'Data Entry'!$Ĝ$550)</f>
      </c>
      <c r="HM550">
        <f>IF(ISBLANK('Data Entry'!$ĝ$550), "", 'Data Entry'!$ĝ$550)</f>
      </c>
      <c r="HN550">
        <f>IF(ISBLANK('Data Entry'!$Ğ$550), "", 'Data Entry'!$Ğ$550)</f>
      </c>
      <c r="HO550">
        <f>IF(ISBLANK('Data Entry'!$ğ$550), "", 'Data Entry'!$ğ$550)</f>
      </c>
      <c r="HP550">
        <f>IF(ISBLANK('Data Entry'!$Ġ$550), "", 'Data Entry'!$Ġ$550)</f>
      </c>
      <c r="HQ550">
        <f>IF(ISBLANK('Data Entry'!$ġ$550), "", 'Data Entry'!$ġ$550)</f>
      </c>
      <c r="HR550">
        <f>IF(ISBLANK('Data Entry'!$Ģ$550), "", 'Data Entry'!$Ģ$550)</f>
      </c>
      <c r="HS550">
        <f>IF(ISBLANK('Data Entry'!$ģ$550), "", 'Data Entry'!$ģ$550)</f>
      </c>
      <c r="HT550">
        <f>IF(ISBLANK('Data Entry'!$Ĥ$550), "", 'Data Entry'!$Ĥ$550)</f>
      </c>
      <c r="HU550">
        <f>IF(ISBLANK('Data Entry'!$ĥ$550), "", 'Data Entry'!$ĥ$550)</f>
      </c>
      <c r="HV550">
        <f>IF(ISBLANK('Data Entry'!$Ħ$550), "", 'Data Entry'!$Ħ$550)</f>
      </c>
      <c r="HW550">
        <f>IF(ISBLANK('Data Entry'!$ħ$550), "", 'Data Entry'!$ħ$550)</f>
      </c>
      <c r="HX550">
        <f>IF(ISBLANK('Data Entry'!$Ĩ$550), "", 'Data Entry'!$Ĩ$550)</f>
      </c>
      <c r="HY550">
        <f>IF(ISBLANK('Data Entry'!$ĩ$550), "", 'Data Entry'!$ĩ$550)</f>
      </c>
      <c r="HZ550">
        <f>IF(ISBLANK('Data Entry'!$Ī$550), "", 'Data Entry'!$Ī$550)</f>
      </c>
      <c r="IA550">
        <f>IF(ISBLANK('Data Entry'!$ī$550), "", 'Data Entry'!$ī$550)</f>
      </c>
      <c r="IB550">
        <f>IF(ISBLANK('Data Entry'!$Ĭ$550), "", 'Data Entry'!$Ĭ$550)</f>
      </c>
      <c r="IC550">
        <f>IF(ISBLANK('Data Entry'!$ĭ$550), "", 'Data Entry'!$ĭ$550)</f>
      </c>
      <c r="ID550">
        <f>IF(ISBLANK('Data Entry'!$Į$550), "", 'Data Entry'!$Į$550)</f>
      </c>
      <c r="IE550">
        <f>IF(ISBLANK('Data Entry'!$į$550), "", 'Data Entry'!$į$550)</f>
      </c>
      <c r="IF550">
        <f>IF(ISBLANK('Data Entry'!$İ$550), "", 'Data Entry'!$İ$550)</f>
      </c>
      <c r="IG550">
        <f>IF(ISBLANK('Data Entry'!$ı$550), "", 'Data Entry'!$ı$550)</f>
      </c>
      <c r="IH550">
        <f>IF(ISBLANK('Data Entry'!$Ĳ$550), "", 'Data Entry'!$Ĳ$550)</f>
      </c>
      <c r="II550">
        <f>IF(ISBLANK('Data Entry'!$ĳ$550), "", 'Data Entry'!$ĳ$550)</f>
      </c>
      <c r="IJ550">
        <f>IF(ISBLANK('Data Entry'!$Ĵ$550), "", 'Data Entry'!$Ĵ$550)</f>
      </c>
      <c r="IK550">
        <f>IF(ISBLANK('Data Entry'!$ĵ$550), "", 'Data Entry'!$ĵ$550)</f>
      </c>
      <c r="IL550">
        <f>IF(ISBLANK('Data Entry'!$Ķ$550), "", 'Data Entry'!$Ķ$550)</f>
      </c>
      <c r="IM550">
        <f>IF(ISBLANK('Data Entry'!$ķ$550), "", 'Data Entry'!$ķ$550)</f>
      </c>
      <c r="IN550">
        <f>IF(ISBLANK('Data Entry'!$ĸ$550), "", 'Data Entry'!$ĸ$550)</f>
      </c>
      <c r="IO550">
        <f>IF(ISBLANK('Data Entry'!$Ĺ$550), "", 'Data Entry'!$Ĺ$550)</f>
      </c>
      <c r="IP550">
        <f>IF(ISBLANK('Data Entry'!$ĺ$550), "", 'Data Entry'!$ĺ$550)</f>
      </c>
      <c r="IQ550">
        <f>IF(ISBLANK('Data Entry'!$Ļ$550), "", 'Data Entry'!$Ļ$550)</f>
      </c>
      <c r="IR550">
        <f>IF(ISBLANK('Data Entry'!$ļ$550), "", 'Data Entry'!$ļ$550)</f>
      </c>
      <c r="IS550">
        <f>IF(ISBLANK('Data Entry'!$Ľ$550), "", 'Data Entry'!$Ľ$550)</f>
      </c>
      <c r="IT550">
        <f>IF(ISBLANK('Data Entry'!$ľ$550), "", 'Data Entry'!$ľ$550)</f>
      </c>
    </row>
    <row r="551" spans="1:254" x14ac:dyDescent="0.25">
      <c r="A551">
        <f>IF(ISBLANK('Data Entry'!$A$551), "", 'Data Entry'!$A$551)</f>
      </c>
      <c r="B551">
        <f>IF(ISBLANK('Data Entry'!$B$551), "", 'Data Entry'!$B$551)</f>
      </c>
      <c r="C551">
        <f>IF(ISBLANK('Data Entry'!$C$551), "", 'Data Entry'!$C$551)</f>
      </c>
      <c r="D551">
        <f>IF(ISBLANK('Data Entry'!$D$551), "", 'Data Entry'!$D$551)</f>
      </c>
      <c r="E551">
        <f>IF(ISBLANK('Data Entry'!$E$551), "", 'Data Entry'!$E$551)</f>
      </c>
      <c r="F551">
        <f>IF(ISBLANK('Data Entry'!$F$551), "", 'Data Entry'!$F$551)</f>
      </c>
      <c r="G551">
        <f>IF(ISBLANK('Data Entry'!$G$551), "", 'Data Entry'!$G$551)</f>
      </c>
      <c r="H551">
        <f>IF(ISBLANK('Data Entry'!$H$551), "", 'Data Entry'!$H$551)</f>
      </c>
      <c r="I551">
        <f>IF(ISBLANK('Data Entry'!$I$551), "", 'Data Entry'!$I$551)</f>
      </c>
      <c r="J551">
        <f>IF(ISBLANK('Data Entry'!$J$551), "", 'Data Entry'!$J$551)</f>
      </c>
      <c r="K551">
        <f>IF(ISBLANK('Data Entry'!$K$551), "", 'Data Entry'!$K$551)</f>
      </c>
      <c r="L551">
        <f>IF(ISBLANK('Data Entry'!$L$551), "", 'Data Entry'!$L$551)</f>
      </c>
      <c r="M551">
        <f>IF(ISBLANK('Data Entry'!$M$551), "", 'Data Entry'!$M$551)</f>
      </c>
      <c r="N551">
        <f>IF(ISBLANK('Data Entry'!$N$551), "", 'Data Entry'!$N$551)</f>
      </c>
      <c r="O551">
        <f>IF(ISBLANK('Data Entry'!$O$551), "", 'Data Entry'!$O$551)</f>
      </c>
      <c r="P551">
        <f>IF(ISBLANK('Data Entry'!$P$551), "", 'Data Entry'!$P$551)</f>
      </c>
      <c r="Q551">
        <f>IF(ISBLANK('Data Entry'!$Q$551), "", 'Data Entry'!$Q$551)</f>
      </c>
      <c r="R551">
        <f>IF(ISBLANK('Data Entry'!$R$551), "", 'Data Entry'!$R$551)</f>
      </c>
      <c r="S551">
        <f>IF(ISBLANK('Data Entry'!$S$551), "", 'Data Entry'!$S$551)</f>
      </c>
      <c r="T551">
        <f>IF(ISBLANK('Data Entry'!$T$551), "", 'Data Entry'!$T$551)</f>
      </c>
      <c r="U551">
        <f>IF(ISBLANK('Data Entry'!$U$551), "", 'Data Entry'!$U$551)</f>
      </c>
      <c r="V551">
        <f>IF(ISBLANK('Data Entry'!$V$551), "", 'Data Entry'!$V$551)</f>
      </c>
      <c r="W551">
        <f>IF(ISBLANK('Data Entry'!$W$551), "", 'Data Entry'!$W$551)</f>
      </c>
      <c r="X551">
        <f>IF(ISBLANK('Data Entry'!$X$551), "", 'Data Entry'!$X$551)</f>
      </c>
      <c r="Y551">
        <f>IF(ISBLANK('Data Entry'!$Y$551), "", 'Data Entry'!$Y$551)</f>
      </c>
      <c r="Z551">
        <f>IF(ISBLANK('Data Entry'!$Z$551), "", 'Data Entry'!$Z$551)</f>
      </c>
      <c r="AA551">
        <f>IF(ISBLANK('Data Entry'!$[$551), "", 'Data Entry'!$[$551)</f>
      </c>
      <c r="AB551">
        <f>IF(ISBLANK('Data Entry'!$\$551), "", 'Data Entry'!$\$551)</f>
      </c>
      <c r="AC551">
        <f>IF(ISBLANK('Data Entry'!$]$551), "", 'Data Entry'!$]$551)</f>
      </c>
      <c r="AD551">
        <f>IF(ISBLANK('Data Entry'!$^$551), "", 'Data Entry'!$^$551)</f>
      </c>
      <c r="AE551">
        <f>IF(ISBLANK('Data Entry'!$_$551), "", 'Data Entry'!$_$551)</f>
      </c>
      <c r="AF551">
        <f>IF(ISBLANK('Data Entry'!$`$551), "", 'Data Entry'!$`$551)</f>
      </c>
      <c r="AG551">
        <f>IF(ISBLANK('Data Entry'!$a$551), "", 'Data Entry'!$a$551)</f>
      </c>
      <c r="AH551">
        <f>IF(ISBLANK('Data Entry'!$b$551), "", 'Data Entry'!$b$551)</f>
      </c>
      <c r="AI551">
        <f>IF(ISBLANK('Data Entry'!$c$551), "", 'Data Entry'!$c$551)</f>
      </c>
      <c r="AJ551">
        <f>IF(ISBLANK('Data Entry'!$d$551), "", 'Data Entry'!$d$551)</f>
      </c>
      <c r="AK551">
        <f>IF(ISBLANK('Data Entry'!$e$551), "", 'Data Entry'!$e$551)</f>
      </c>
      <c r="AL551">
        <f>IF(ISBLANK('Data Entry'!$f$551), "", 'Data Entry'!$f$551)</f>
      </c>
      <c r="AM551">
        <f>IF(ISBLANK('Data Entry'!$g$551), "", 'Data Entry'!$g$551)</f>
      </c>
      <c r="AN551">
        <f>IF(ISBLANK('Data Entry'!$h$551), "", 'Data Entry'!$h$551)</f>
      </c>
      <c r="AO551">
        <f>IF(ISBLANK('Data Entry'!$i$551), "", 'Data Entry'!$i$551)</f>
      </c>
      <c r="AP551">
        <f>IF(ISBLANK('Data Entry'!$j$551), "", 'Data Entry'!$j$551)</f>
      </c>
      <c r="AQ551">
        <f>IF(ISBLANK('Data Entry'!$k$551), "", 'Data Entry'!$k$551)</f>
      </c>
      <c r="AR551">
        <f>IF(ISBLANK('Data Entry'!$l$551), "", 'Data Entry'!$l$551)</f>
      </c>
      <c r="AS551">
        <f>IF(ISBLANK('Data Entry'!$m$551), "", 'Data Entry'!$m$551)</f>
      </c>
      <c r="AT551">
        <f>IF(ISBLANK('Data Entry'!$n$551), "", 'Data Entry'!$n$551)</f>
      </c>
      <c r="AU551">
        <f>IF(ISBLANK('Data Entry'!$o$551), "", 'Data Entry'!$o$551)</f>
      </c>
      <c r="AV551">
        <f>IF(ISBLANK('Data Entry'!$p$551), "", 'Data Entry'!$p$551)</f>
      </c>
      <c r="AW551">
        <f>IF(ISBLANK('Data Entry'!$q$551), "", 'Data Entry'!$q$551)</f>
      </c>
      <c r="AX551">
        <f>IF(ISBLANK('Data Entry'!$r$551), "", 'Data Entry'!$r$551)</f>
      </c>
      <c r="AY551">
        <f>IF(ISBLANK('Data Entry'!$s$551), "", 'Data Entry'!$s$551)</f>
      </c>
      <c r="AZ551">
        <f>IF(ISBLANK('Data Entry'!$t$551), "", 'Data Entry'!$t$551)</f>
      </c>
      <c r="BA551">
        <f>IF(ISBLANK('Data Entry'!$u$551), "", 'Data Entry'!$u$551)</f>
      </c>
      <c r="BB551">
        <f>IF(ISBLANK('Data Entry'!$v$551), "", 'Data Entry'!$v$551)</f>
      </c>
      <c r="BC551">
        <f>IF(ISBLANK('Data Entry'!$w$551), "", 'Data Entry'!$w$551)</f>
      </c>
      <c r="BD551">
        <f>IF(ISBLANK('Data Entry'!$x$551), "", 'Data Entry'!$x$551)</f>
      </c>
      <c r="BE551">
        <f>IF(ISBLANK('Data Entry'!$y$551), "", 'Data Entry'!$y$551)</f>
      </c>
      <c r="BF551">
        <f>IF(ISBLANK('Data Entry'!$z$551), "", 'Data Entry'!$z$551)</f>
      </c>
      <c r="BG551">
        <f>IF(ISBLANK('Data Entry'!${$551), "", 'Data Entry'!${$551)</f>
      </c>
      <c r="BH551">
        <f>IF(ISBLANK('Data Entry'!$|$551), "", 'Data Entry'!$|$551)</f>
      </c>
      <c r="BI551">
        <f>IF(ISBLANK('Data Entry'!$}$551), "", 'Data Entry'!$}$551)</f>
      </c>
      <c r="BJ551">
        <f>IF(ISBLANK('Data Entry'!$~$551), "", 'Data Entry'!$~$551)</f>
      </c>
      <c r="BK551">
        <f>IF(ISBLANK('Data Entry'!$$551), "", 'Data Entry'!$$551)</f>
      </c>
      <c r="BL551">
        <f>IF(ISBLANK('Data Entry'!$$551), "", 'Data Entry'!$$551)</f>
      </c>
      <c r="BM551">
        <f>IF(ISBLANK('Data Entry'!$$551), "", 'Data Entry'!$$551)</f>
      </c>
      <c r="BN551">
        <f>IF(ISBLANK('Data Entry'!$$551), "", 'Data Entry'!$$551)</f>
      </c>
      <c r="BO551">
        <f>IF(ISBLANK('Data Entry'!$$551), "", 'Data Entry'!$$551)</f>
      </c>
      <c r="BP551">
        <f>IF(ISBLANK('Data Entry'!$$551), "", 'Data Entry'!$$551)</f>
      </c>
      <c r="BQ551">
        <f>IF(ISBLANK('Data Entry'!$$551), "", 'Data Entry'!$$551)</f>
      </c>
      <c r="BR551">
        <f>IF(ISBLANK('Data Entry'!$$551), "", 'Data Entry'!$$551)</f>
      </c>
      <c r="BS551">
        <f>IF(ISBLANK('Data Entry'!$$551), "", 'Data Entry'!$$551)</f>
      </c>
      <c r="BT551">
        <f>IF(ISBLANK('Data Entry'!$$551), "", 'Data Entry'!$$551)</f>
      </c>
      <c r="BU551">
        <f>IF(ISBLANK('Data Entry'!$$551), "", 'Data Entry'!$$551)</f>
      </c>
      <c r="BV551">
        <f>IF(ISBLANK('Data Entry'!$$551), "", 'Data Entry'!$$551)</f>
      </c>
      <c r="BW551">
        <f>IF(ISBLANK('Data Entry'!$$551), "", 'Data Entry'!$$551)</f>
      </c>
      <c r="BX551">
        <f>IF(ISBLANK('Data Entry'!$$551), "", 'Data Entry'!$$551)</f>
      </c>
      <c r="BY551">
        <f>IF(ISBLANK('Data Entry'!$$551), "", 'Data Entry'!$$551)</f>
      </c>
      <c r="BZ551">
        <f>IF(ISBLANK('Data Entry'!$$551), "", 'Data Entry'!$$551)</f>
      </c>
      <c r="CA551">
        <f>IF(ISBLANK('Data Entry'!$$551), "", 'Data Entry'!$$551)</f>
      </c>
      <c r="CB551">
        <f>IF(ISBLANK('Data Entry'!$$551), "", 'Data Entry'!$$551)</f>
      </c>
      <c r="CC551">
        <f>IF(ISBLANK('Data Entry'!$$551), "", 'Data Entry'!$$551)</f>
      </c>
      <c r="CD551">
        <f>IF(ISBLANK('Data Entry'!$$551), "", 'Data Entry'!$$551)</f>
      </c>
      <c r="CE551">
        <f>IF(ISBLANK('Data Entry'!$$551), "", 'Data Entry'!$$551)</f>
      </c>
      <c r="CF551">
        <f>IF(ISBLANK('Data Entry'!$$551), "", 'Data Entry'!$$551)</f>
      </c>
      <c r="CG551">
        <f>IF(ISBLANK('Data Entry'!$$551), "", 'Data Entry'!$$551)</f>
      </c>
      <c r="CH551">
        <f>IF(ISBLANK('Data Entry'!$$551), "", 'Data Entry'!$$551)</f>
      </c>
      <c r="CI551">
        <f>IF(ISBLANK('Data Entry'!$$551), "", 'Data Entry'!$$551)</f>
      </c>
      <c r="CJ551">
        <f>IF(ISBLANK('Data Entry'!$$551), "", 'Data Entry'!$$551)</f>
      </c>
      <c r="CK551">
        <f>IF(ISBLANK('Data Entry'!$$551), "", 'Data Entry'!$$551)</f>
      </c>
      <c r="CL551">
        <f>IF(ISBLANK('Data Entry'!$$551), "", 'Data Entry'!$$551)</f>
      </c>
      <c r="CM551">
        <f>IF(ISBLANK('Data Entry'!$$551), "", 'Data Entry'!$$551)</f>
      </c>
      <c r="CN551">
        <f>IF(ISBLANK('Data Entry'!$$551), "", 'Data Entry'!$$551)</f>
      </c>
      <c r="CO551">
        <f>IF(ISBLANK('Data Entry'!$$551), "", 'Data Entry'!$$551)</f>
      </c>
      <c r="CP551">
        <f>IF(ISBLANK('Data Entry'!$$551), "", 'Data Entry'!$$551)</f>
      </c>
      <c r="CQ551">
        <f>IF(ISBLANK('Data Entry'!$$551), "", 'Data Entry'!$$551)</f>
      </c>
      <c r="CR551">
        <f>IF(ISBLANK('Data Entry'!$ $551), "", 'Data Entry'!$ $551)</f>
      </c>
      <c r="CS551">
        <f>IF(ISBLANK('Data Entry'!$¡$551), "", 'Data Entry'!$¡$551)</f>
      </c>
      <c r="CT551">
        <f>IF(ISBLANK('Data Entry'!$¢$551), "", 'Data Entry'!$¢$551)</f>
      </c>
      <c r="CU551">
        <f>IF(ISBLANK('Data Entry'!$£$551), "", 'Data Entry'!$£$551)</f>
      </c>
      <c r="CV551">
        <f>IF(ISBLANK('Data Entry'!$¤$551), "", 'Data Entry'!$¤$551)</f>
      </c>
      <c r="CW551">
        <f>IF(ISBLANK('Data Entry'!$¥$551), "", 'Data Entry'!$¥$551)</f>
      </c>
      <c r="CX551">
        <f>IF(ISBLANK('Data Entry'!$¦$551), "", 'Data Entry'!$¦$551)</f>
      </c>
      <c r="CY551">
        <f>IF(ISBLANK('Data Entry'!$§$551), "", 'Data Entry'!$§$551)</f>
      </c>
      <c r="CZ551">
        <f>IF(ISBLANK('Data Entry'!$¨$551), "", 'Data Entry'!$¨$551)</f>
      </c>
      <c r="DA551">
        <f>IF(ISBLANK('Data Entry'!$©$551), "", 'Data Entry'!$©$551)</f>
      </c>
      <c r="DB551">
        <f>IF(ISBLANK('Data Entry'!$ª$551), "", 'Data Entry'!$ª$551)</f>
      </c>
      <c r="DC551">
        <f>IF(ISBLANK('Data Entry'!$«$551), "", 'Data Entry'!$«$551)</f>
      </c>
      <c r="DD551">
        <f>IF(ISBLANK('Data Entry'!$¬$551), "", 'Data Entry'!$¬$551)</f>
      </c>
      <c r="DE551">
        <f>IF(ISBLANK('Data Entry'!$­$551), "", 'Data Entry'!$­$551)</f>
      </c>
      <c r="DF551">
        <f>IF(ISBLANK('Data Entry'!$®$551), "", 'Data Entry'!$®$551)</f>
      </c>
      <c r="DG551">
        <f>IF(ISBLANK('Data Entry'!$¯$551), "", 'Data Entry'!$¯$551)</f>
      </c>
      <c r="DH551">
        <f>IF(ISBLANK('Data Entry'!$°$551), "", 'Data Entry'!$°$551)</f>
      </c>
      <c r="DI551">
        <f>IF(ISBLANK('Data Entry'!$±$551), "", 'Data Entry'!$±$551)</f>
      </c>
      <c r="DJ551">
        <f>IF(ISBLANK('Data Entry'!$²$551), "", 'Data Entry'!$²$551)</f>
      </c>
      <c r="DK551">
        <f>IF(ISBLANK('Data Entry'!$³$551), "", 'Data Entry'!$³$551)</f>
      </c>
      <c r="DL551">
        <f>IF(ISBLANK('Data Entry'!$´$551), "", 'Data Entry'!$´$551)</f>
      </c>
      <c r="DM551">
        <f>IF(ISBLANK('Data Entry'!$µ$551), "", 'Data Entry'!$µ$551)</f>
      </c>
      <c r="DN551">
        <f>IF(ISBLANK('Data Entry'!$¶$551), "", 'Data Entry'!$¶$551)</f>
      </c>
      <c r="DO551">
        <f>IF(ISBLANK('Data Entry'!$·$551), "", 'Data Entry'!$·$551)</f>
      </c>
      <c r="DP551">
        <f>IF(ISBLANK('Data Entry'!$¸$551), "", 'Data Entry'!$¸$551)</f>
      </c>
      <c r="DQ551">
        <f>IF(ISBLANK('Data Entry'!$¹$551), "", 'Data Entry'!$¹$551)</f>
      </c>
      <c r="DR551">
        <f>IF(ISBLANK('Data Entry'!$º$551), "", 'Data Entry'!$º$551)</f>
      </c>
      <c r="DS551">
        <f>IF(ISBLANK('Data Entry'!$»$551), "", 'Data Entry'!$»$551)</f>
      </c>
      <c r="DT551">
        <f>IF(ISBLANK('Data Entry'!$¼$551), "", 'Data Entry'!$¼$551)</f>
      </c>
      <c r="DU551">
        <f>IF(ISBLANK('Data Entry'!$½$551), "", 'Data Entry'!$½$551)</f>
      </c>
      <c r="DV551">
        <f>IF(ISBLANK('Data Entry'!$¾$551), "", 'Data Entry'!$¾$551)</f>
      </c>
      <c r="DW551">
        <f>IF(ISBLANK('Data Entry'!$¿$551), "", 'Data Entry'!$¿$551)</f>
      </c>
      <c r="DX551">
        <f>IF(ISBLANK('Data Entry'!$À$551), "", 'Data Entry'!$À$551)</f>
      </c>
      <c r="DY551">
        <f>IF(ISBLANK('Data Entry'!$Á$551), "", 'Data Entry'!$Á$551)</f>
      </c>
      <c r="DZ551">
        <f>IF(ISBLANK('Data Entry'!$Â$551), "", 'Data Entry'!$Â$551)</f>
      </c>
      <c r="EA551">
        <f>IF(ISBLANK('Data Entry'!$Ã$551), "", 'Data Entry'!$Ã$551)</f>
      </c>
      <c r="EB551">
        <f>IF(ISBLANK('Data Entry'!$Ä$551), "", 'Data Entry'!$Ä$551)</f>
      </c>
      <c r="EC551">
        <f>IF(ISBLANK('Data Entry'!$Å$551), "", 'Data Entry'!$Å$551)</f>
      </c>
      <c r="ED551">
        <f>IF(ISBLANK('Data Entry'!$Æ$551), "", 'Data Entry'!$Æ$551)</f>
      </c>
      <c r="EE551">
        <f>IF(ISBLANK('Data Entry'!$Ç$551), "", 'Data Entry'!$Ç$551)</f>
      </c>
      <c r="EF551">
        <f>IF(ISBLANK('Data Entry'!$È$551), "", 'Data Entry'!$È$551)</f>
      </c>
      <c r="EG551">
        <f>IF(ISBLANK('Data Entry'!$É$551), "", 'Data Entry'!$É$551)</f>
      </c>
      <c r="EH551">
        <f>IF(ISBLANK('Data Entry'!$Ê$551), "", 'Data Entry'!$Ê$551)</f>
      </c>
      <c r="EI551">
        <f>IF(ISBLANK('Data Entry'!$Ë$551), "", 'Data Entry'!$Ë$551)</f>
      </c>
      <c r="EJ551">
        <f>IF(ISBLANK('Data Entry'!$Ì$551), "", 'Data Entry'!$Ì$551)</f>
      </c>
      <c r="EK551">
        <f>IF(ISBLANK('Data Entry'!$Í$551), "", 'Data Entry'!$Í$551)</f>
      </c>
      <c r="EL551">
        <f>IF(ISBLANK('Data Entry'!$Î$551), "", 'Data Entry'!$Î$551)</f>
      </c>
      <c r="EM551">
        <f>IF(ISBLANK('Data Entry'!$Ï$551), "", 'Data Entry'!$Ï$551)</f>
      </c>
      <c r="EN551">
        <f>IF(ISBLANK('Data Entry'!$Ð$551), "", 'Data Entry'!$Ð$551)</f>
      </c>
      <c r="EO551">
        <f>IF(ISBLANK('Data Entry'!$Ñ$551), "", 'Data Entry'!$Ñ$551)</f>
      </c>
      <c r="EP551">
        <f>IF(ISBLANK('Data Entry'!$Ò$551), "", 'Data Entry'!$Ò$551)</f>
      </c>
      <c r="EQ551">
        <f>IF(ISBLANK('Data Entry'!$Ó$551), "", 'Data Entry'!$Ó$551)</f>
      </c>
      <c r="ER551">
        <f>IF(ISBLANK('Data Entry'!$Ô$551), "", 'Data Entry'!$Ô$551)</f>
      </c>
      <c r="ES551">
        <f>IF(ISBLANK('Data Entry'!$Õ$551), "", 'Data Entry'!$Õ$551)</f>
      </c>
      <c r="ET551">
        <f>IF(ISBLANK('Data Entry'!$Ö$551), "", 'Data Entry'!$Ö$551)</f>
      </c>
      <c r="EU551">
        <f>IF(ISBLANK('Data Entry'!$×$551), "", 'Data Entry'!$×$551)</f>
      </c>
      <c r="EV551">
        <f>IF(ISBLANK('Data Entry'!$Ø$551), "", 'Data Entry'!$Ø$551)</f>
      </c>
      <c r="EW551">
        <f>IF(ISBLANK('Data Entry'!$Ù$551), "", 'Data Entry'!$Ù$551)</f>
      </c>
      <c r="EX551">
        <f>IF(ISBLANK('Data Entry'!$Ú$551), "", 'Data Entry'!$Ú$551)</f>
      </c>
      <c r="EY551">
        <f>IF(ISBLANK('Data Entry'!$Û$551), "", 'Data Entry'!$Û$551)</f>
      </c>
      <c r="EZ551">
        <f>IF(ISBLANK('Data Entry'!$Ü$551), "", 'Data Entry'!$Ü$551)</f>
      </c>
      <c r="FA551">
        <f>IF(ISBLANK('Data Entry'!$Ý$551), "", 'Data Entry'!$Ý$551)</f>
      </c>
      <c r="FB551">
        <f>IF(ISBLANK('Data Entry'!$Þ$551), "", 'Data Entry'!$Þ$551)</f>
      </c>
      <c r="FC551">
        <f>IF(ISBLANK('Data Entry'!$ß$551), "", 'Data Entry'!$ß$551)</f>
      </c>
      <c r="FD551">
        <f>IF(ISBLANK('Data Entry'!$à$551), "", 'Data Entry'!$à$551)</f>
      </c>
      <c r="FE551">
        <f>IF(ISBLANK('Data Entry'!$á$551), "", 'Data Entry'!$á$551)</f>
      </c>
      <c r="FF551">
        <f>IF(ISBLANK('Data Entry'!$â$551), "", 'Data Entry'!$â$551)</f>
      </c>
      <c r="FG551">
        <f>IF(ISBLANK('Data Entry'!$ã$551), "", 'Data Entry'!$ã$551)</f>
      </c>
      <c r="FH551">
        <f>IF(ISBLANK('Data Entry'!$ä$551), "", 'Data Entry'!$ä$551)</f>
      </c>
      <c r="FI551">
        <f>IF(ISBLANK('Data Entry'!$å$551), "", 'Data Entry'!$å$551)</f>
      </c>
      <c r="FJ551">
        <f>IF(ISBLANK('Data Entry'!$æ$551), "", 'Data Entry'!$æ$551)</f>
      </c>
      <c r="FK551">
        <f>IF(ISBLANK('Data Entry'!$ç$551), "", 'Data Entry'!$ç$551)</f>
      </c>
      <c r="FL551">
        <f>IF(ISBLANK('Data Entry'!$è$551), "", 'Data Entry'!$è$551)</f>
      </c>
      <c r="FM551">
        <f>IF(ISBLANK('Data Entry'!$é$551), "", 'Data Entry'!$é$551)</f>
      </c>
      <c r="FN551">
        <f>IF(ISBLANK('Data Entry'!$ê$551), "", 'Data Entry'!$ê$551)</f>
      </c>
      <c r="FO551">
        <f>IF(ISBLANK('Data Entry'!$ë$551), "", 'Data Entry'!$ë$551)</f>
      </c>
      <c r="FP551">
        <f>IF(ISBLANK('Data Entry'!$ì$551), "", 'Data Entry'!$ì$551)</f>
      </c>
      <c r="FQ551">
        <f>IF(ISBLANK('Data Entry'!$í$551), "", 'Data Entry'!$í$551)</f>
      </c>
      <c r="FR551">
        <f>IF(ISBLANK('Data Entry'!$î$551), "", 'Data Entry'!$î$551)</f>
      </c>
      <c r="FS551">
        <f>IF(ISBLANK('Data Entry'!$ï$551), "", 'Data Entry'!$ï$551)</f>
      </c>
      <c r="FT551">
        <f>IF(ISBLANK('Data Entry'!$ð$551), "", 'Data Entry'!$ð$551)</f>
      </c>
      <c r="FU551">
        <f>IF(ISBLANK('Data Entry'!$ñ$551), "", 'Data Entry'!$ñ$551)</f>
      </c>
      <c r="FV551">
        <f>IF(ISBLANK('Data Entry'!$ò$551), "", 'Data Entry'!$ò$551)</f>
      </c>
      <c r="FW551">
        <f>IF(ISBLANK('Data Entry'!$ó$551), "", 'Data Entry'!$ó$551)</f>
      </c>
      <c r="FX551">
        <f>IF(ISBLANK('Data Entry'!$ô$551), "", 'Data Entry'!$ô$551)</f>
      </c>
      <c r="FY551">
        <f>IF(ISBLANK('Data Entry'!$õ$551), "", 'Data Entry'!$õ$551)</f>
      </c>
      <c r="FZ551">
        <f>IF(ISBLANK('Data Entry'!$ö$551), "", 'Data Entry'!$ö$551)</f>
      </c>
      <c r="GA551">
        <f>IF(ISBLANK('Data Entry'!$÷$551), "", 'Data Entry'!$÷$551)</f>
      </c>
      <c r="GB551">
        <f>IF(ISBLANK('Data Entry'!$ø$551), "", 'Data Entry'!$ø$551)</f>
      </c>
      <c r="GC551">
        <f>IF(ISBLANK('Data Entry'!$ù$551), "", 'Data Entry'!$ù$551)</f>
      </c>
      <c r="GD551">
        <f>IF(ISBLANK('Data Entry'!$ú$551), "", 'Data Entry'!$ú$551)</f>
      </c>
      <c r="GE551">
        <f>IF(ISBLANK('Data Entry'!$û$551), "", 'Data Entry'!$û$551)</f>
      </c>
      <c r="GF551">
        <f>IF(ISBLANK('Data Entry'!$ü$551), "", 'Data Entry'!$ü$551)</f>
      </c>
      <c r="GG551">
        <f>IF(ISBLANK('Data Entry'!$ý$551), "", 'Data Entry'!$ý$551)</f>
      </c>
      <c r="GH551">
        <f>IF(ISBLANK('Data Entry'!$þ$551), "", 'Data Entry'!$þ$551)</f>
      </c>
      <c r="GI551">
        <f>IF(ISBLANK('Data Entry'!$ÿ$551), "", 'Data Entry'!$ÿ$551)</f>
      </c>
      <c r="GJ551">
        <f>IF(ISBLANK('Data Entry'!$Ā$551), "", 'Data Entry'!$Ā$551)</f>
      </c>
      <c r="GK551">
        <f>IF(ISBLANK('Data Entry'!$ā$551), "", 'Data Entry'!$ā$551)</f>
      </c>
      <c r="GL551">
        <f>IF(ISBLANK('Data Entry'!$Ă$551), "", 'Data Entry'!$Ă$551)</f>
      </c>
      <c r="GM551">
        <f>IF(ISBLANK('Data Entry'!$ă$551), "", 'Data Entry'!$ă$551)</f>
      </c>
      <c r="GN551">
        <f>IF(ISBLANK('Data Entry'!$Ą$551), "", 'Data Entry'!$Ą$551)</f>
      </c>
      <c r="GO551">
        <f>IF(ISBLANK('Data Entry'!$ą$551), "", 'Data Entry'!$ą$551)</f>
      </c>
      <c r="GP551">
        <f>IF(ISBLANK('Data Entry'!$Ć$551), "", 'Data Entry'!$Ć$551)</f>
      </c>
      <c r="GQ551">
        <f>IF(ISBLANK('Data Entry'!$ć$551), "", 'Data Entry'!$ć$551)</f>
      </c>
      <c r="GR551">
        <f>IF(ISBLANK('Data Entry'!$Ĉ$551), "", 'Data Entry'!$Ĉ$551)</f>
      </c>
      <c r="GS551">
        <f>IF(ISBLANK('Data Entry'!$ĉ$551), "", 'Data Entry'!$ĉ$551)</f>
      </c>
      <c r="GT551">
        <f>IF(ISBLANK('Data Entry'!$Ċ$551), "", 'Data Entry'!$Ċ$551)</f>
      </c>
      <c r="GU551">
        <f>IF(ISBLANK('Data Entry'!$ċ$551), "", 'Data Entry'!$ċ$551)</f>
      </c>
      <c r="GV551">
        <f>IF(ISBLANK('Data Entry'!$Č$551), "", 'Data Entry'!$Č$551)</f>
      </c>
      <c r="GW551">
        <f>IF(ISBLANK('Data Entry'!$č$551), "", 'Data Entry'!$č$551)</f>
      </c>
      <c r="GX551">
        <f>IF(ISBLANK('Data Entry'!$Ď$551), "", 'Data Entry'!$Ď$551)</f>
      </c>
      <c r="GY551">
        <f>IF(ISBLANK('Data Entry'!$ď$551), "", 'Data Entry'!$ď$551)</f>
      </c>
      <c r="GZ551">
        <f>IF(ISBLANK('Data Entry'!$Đ$551), "", 'Data Entry'!$Đ$551)</f>
      </c>
      <c r="HA551">
        <f>IF(ISBLANK('Data Entry'!$đ$551), "", 'Data Entry'!$đ$551)</f>
      </c>
      <c r="HB551">
        <f>IF(ISBLANK('Data Entry'!$Ē$551), "", 'Data Entry'!$Ē$551)</f>
      </c>
      <c r="HC551">
        <f>IF(ISBLANK('Data Entry'!$ē$551), "", 'Data Entry'!$ē$551)</f>
      </c>
      <c r="HD551">
        <f>IF(ISBLANK('Data Entry'!$Ĕ$551), "", 'Data Entry'!$Ĕ$551)</f>
      </c>
      <c r="HE551">
        <f>IF(ISBLANK('Data Entry'!$ĕ$551), "", 'Data Entry'!$ĕ$551)</f>
      </c>
      <c r="HF551">
        <f>IF(ISBLANK('Data Entry'!$Ė$551), "", 'Data Entry'!$Ė$551)</f>
      </c>
      <c r="HG551">
        <f>IF(ISBLANK('Data Entry'!$ė$551), "", 'Data Entry'!$ė$551)</f>
      </c>
      <c r="HH551">
        <f>IF(ISBLANK('Data Entry'!$Ę$551), "", 'Data Entry'!$Ę$551)</f>
      </c>
      <c r="HI551">
        <f>IF(ISBLANK('Data Entry'!$ę$551), "", 'Data Entry'!$ę$551)</f>
      </c>
      <c r="HJ551">
        <f>IF(ISBLANK('Data Entry'!$Ě$551), "", 'Data Entry'!$Ě$551)</f>
      </c>
      <c r="HK551">
        <f>IF(ISBLANK('Data Entry'!$ě$551), "", 'Data Entry'!$ě$551)</f>
      </c>
      <c r="HL551">
        <f>IF(ISBLANK('Data Entry'!$Ĝ$551), "", 'Data Entry'!$Ĝ$551)</f>
      </c>
      <c r="HM551">
        <f>IF(ISBLANK('Data Entry'!$ĝ$551), "", 'Data Entry'!$ĝ$551)</f>
      </c>
      <c r="HN551">
        <f>IF(ISBLANK('Data Entry'!$Ğ$551), "", 'Data Entry'!$Ğ$551)</f>
      </c>
      <c r="HO551">
        <f>IF(ISBLANK('Data Entry'!$ğ$551), "", 'Data Entry'!$ğ$551)</f>
      </c>
      <c r="HP551">
        <f>IF(ISBLANK('Data Entry'!$Ġ$551), "", 'Data Entry'!$Ġ$551)</f>
      </c>
      <c r="HQ551">
        <f>IF(ISBLANK('Data Entry'!$ġ$551), "", 'Data Entry'!$ġ$551)</f>
      </c>
      <c r="HR551">
        <f>IF(ISBLANK('Data Entry'!$Ģ$551), "", 'Data Entry'!$Ģ$551)</f>
      </c>
      <c r="HS551">
        <f>IF(ISBLANK('Data Entry'!$ģ$551), "", 'Data Entry'!$ģ$551)</f>
      </c>
      <c r="HT551">
        <f>IF(ISBLANK('Data Entry'!$Ĥ$551), "", 'Data Entry'!$Ĥ$551)</f>
      </c>
      <c r="HU551">
        <f>IF(ISBLANK('Data Entry'!$ĥ$551), "", 'Data Entry'!$ĥ$551)</f>
      </c>
      <c r="HV551">
        <f>IF(ISBLANK('Data Entry'!$Ħ$551), "", 'Data Entry'!$Ħ$551)</f>
      </c>
      <c r="HW551">
        <f>IF(ISBLANK('Data Entry'!$ħ$551), "", 'Data Entry'!$ħ$551)</f>
      </c>
      <c r="HX551">
        <f>IF(ISBLANK('Data Entry'!$Ĩ$551), "", 'Data Entry'!$Ĩ$551)</f>
      </c>
      <c r="HY551">
        <f>IF(ISBLANK('Data Entry'!$ĩ$551), "", 'Data Entry'!$ĩ$551)</f>
      </c>
      <c r="HZ551">
        <f>IF(ISBLANK('Data Entry'!$Ī$551), "", 'Data Entry'!$Ī$551)</f>
      </c>
      <c r="IA551">
        <f>IF(ISBLANK('Data Entry'!$ī$551), "", 'Data Entry'!$ī$551)</f>
      </c>
      <c r="IB551">
        <f>IF(ISBLANK('Data Entry'!$Ĭ$551), "", 'Data Entry'!$Ĭ$551)</f>
      </c>
      <c r="IC551">
        <f>IF(ISBLANK('Data Entry'!$ĭ$551), "", 'Data Entry'!$ĭ$551)</f>
      </c>
      <c r="ID551">
        <f>IF(ISBLANK('Data Entry'!$Į$551), "", 'Data Entry'!$Į$551)</f>
      </c>
      <c r="IE551">
        <f>IF(ISBLANK('Data Entry'!$į$551), "", 'Data Entry'!$į$551)</f>
      </c>
      <c r="IF551">
        <f>IF(ISBLANK('Data Entry'!$İ$551), "", 'Data Entry'!$İ$551)</f>
      </c>
      <c r="IG551">
        <f>IF(ISBLANK('Data Entry'!$ı$551), "", 'Data Entry'!$ı$551)</f>
      </c>
      <c r="IH551">
        <f>IF(ISBLANK('Data Entry'!$Ĳ$551), "", 'Data Entry'!$Ĳ$551)</f>
      </c>
      <c r="II551">
        <f>IF(ISBLANK('Data Entry'!$ĳ$551), "", 'Data Entry'!$ĳ$551)</f>
      </c>
      <c r="IJ551">
        <f>IF(ISBLANK('Data Entry'!$Ĵ$551), "", 'Data Entry'!$Ĵ$551)</f>
      </c>
      <c r="IK551">
        <f>IF(ISBLANK('Data Entry'!$ĵ$551), "", 'Data Entry'!$ĵ$551)</f>
      </c>
      <c r="IL551">
        <f>IF(ISBLANK('Data Entry'!$Ķ$551), "", 'Data Entry'!$Ķ$551)</f>
      </c>
      <c r="IM551">
        <f>IF(ISBLANK('Data Entry'!$ķ$551), "", 'Data Entry'!$ķ$551)</f>
      </c>
      <c r="IN551">
        <f>IF(ISBLANK('Data Entry'!$ĸ$551), "", 'Data Entry'!$ĸ$551)</f>
      </c>
      <c r="IO551">
        <f>IF(ISBLANK('Data Entry'!$Ĺ$551), "", 'Data Entry'!$Ĺ$551)</f>
      </c>
      <c r="IP551">
        <f>IF(ISBLANK('Data Entry'!$ĺ$551), "", 'Data Entry'!$ĺ$551)</f>
      </c>
      <c r="IQ551">
        <f>IF(ISBLANK('Data Entry'!$Ļ$551), "", 'Data Entry'!$Ļ$551)</f>
      </c>
      <c r="IR551">
        <f>IF(ISBLANK('Data Entry'!$ļ$551), "", 'Data Entry'!$ļ$551)</f>
      </c>
      <c r="IS551">
        <f>IF(ISBLANK('Data Entry'!$Ľ$551), "", 'Data Entry'!$Ľ$551)</f>
      </c>
      <c r="IT551">
        <f>IF(ISBLANK('Data Entry'!$ľ$551), "", 'Data Entry'!$ľ$551)</f>
      </c>
    </row>
    <row r="552" spans="1:254" x14ac:dyDescent="0.25">
      <c r="A552">
        <f>IF(ISBLANK('Data Entry'!$A$552), "", 'Data Entry'!$A$552)</f>
      </c>
      <c r="B552">
        <f>IF(ISBLANK('Data Entry'!$B$552), "", 'Data Entry'!$B$552)</f>
      </c>
      <c r="C552">
        <f>IF(ISBLANK('Data Entry'!$C$552), "", 'Data Entry'!$C$552)</f>
      </c>
      <c r="D552">
        <f>IF(ISBLANK('Data Entry'!$D$552), "", 'Data Entry'!$D$552)</f>
      </c>
      <c r="E552">
        <f>IF(ISBLANK('Data Entry'!$E$552), "", 'Data Entry'!$E$552)</f>
      </c>
      <c r="F552">
        <f>IF(ISBLANK('Data Entry'!$F$552), "", 'Data Entry'!$F$552)</f>
      </c>
      <c r="G552">
        <f>IF(ISBLANK('Data Entry'!$G$552), "", 'Data Entry'!$G$552)</f>
      </c>
      <c r="H552">
        <f>IF(ISBLANK('Data Entry'!$H$552), "", 'Data Entry'!$H$552)</f>
      </c>
      <c r="I552">
        <f>IF(ISBLANK('Data Entry'!$I$552), "", 'Data Entry'!$I$552)</f>
      </c>
      <c r="J552">
        <f>IF(ISBLANK('Data Entry'!$J$552), "", 'Data Entry'!$J$552)</f>
      </c>
      <c r="K552">
        <f>IF(ISBLANK('Data Entry'!$K$552), "", 'Data Entry'!$K$552)</f>
      </c>
      <c r="L552">
        <f>IF(ISBLANK('Data Entry'!$L$552), "", 'Data Entry'!$L$552)</f>
      </c>
      <c r="M552">
        <f>IF(ISBLANK('Data Entry'!$M$552), "", 'Data Entry'!$M$552)</f>
      </c>
      <c r="N552">
        <f>IF(ISBLANK('Data Entry'!$N$552), "", 'Data Entry'!$N$552)</f>
      </c>
      <c r="O552">
        <f>IF(ISBLANK('Data Entry'!$O$552), "", 'Data Entry'!$O$552)</f>
      </c>
      <c r="P552">
        <f>IF(ISBLANK('Data Entry'!$P$552), "", 'Data Entry'!$P$552)</f>
      </c>
      <c r="Q552">
        <f>IF(ISBLANK('Data Entry'!$Q$552), "", 'Data Entry'!$Q$552)</f>
      </c>
      <c r="R552">
        <f>IF(ISBLANK('Data Entry'!$R$552), "", 'Data Entry'!$R$552)</f>
      </c>
      <c r="S552">
        <f>IF(ISBLANK('Data Entry'!$S$552), "", 'Data Entry'!$S$552)</f>
      </c>
      <c r="T552">
        <f>IF(ISBLANK('Data Entry'!$T$552), "", 'Data Entry'!$T$552)</f>
      </c>
      <c r="U552">
        <f>IF(ISBLANK('Data Entry'!$U$552), "", 'Data Entry'!$U$552)</f>
      </c>
      <c r="V552">
        <f>IF(ISBLANK('Data Entry'!$V$552), "", 'Data Entry'!$V$552)</f>
      </c>
      <c r="W552">
        <f>IF(ISBLANK('Data Entry'!$W$552), "", 'Data Entry'!$W$552)</f>
      </c>
      <c r="X552">
        <f>IF(ISBLANK('Data Entry'!$X$552), "", 'Data Entry'!$X$552)</f>
      </c>
      <c r="Y552">
        <f>IF(ISBLANK('Data Entry'!$Y$552), "", 'Data Entry'!$Y$552)</f>
      </c>
      <c r="Z552">
        <f>IF(ISBLANK('Data Entry'!$Z$552), "", 'Data Entry'!$Z$552)</f>
      </c>
      <c r="AA552">
        <f>IF(ISBLANK('Data Entry'!$[$552), "", 'Data Entry'!$[$552)</f>
      </c>
      <c r="AB552">
        <f>IF(ISBLANK('Data Entry'!$\$552), "", 'Data Entry'!$\$552)</f>
      </c>
      <c r="AC552">
        <f>IF(ISBLANK('Data Entry'!$]$552), "", 'Data Entry'!$]$552)</f>
      </c>
      <c r="AD552">
        <f>IF(ISBLANK('Data Entry'!$^$552), "", 'Data Entry'!$^$552)</f>
      </c>
      <c r="AE552">
        <f>IF(ISBLANK('Data Entry'!$_$552), "", 'Data Entry'!$_$552)</f>
      </c>
      <c r="AF552">
        <f>IF(ISBLANK('Data Entry'!$`$552), "", 'Data Entry'!$`$552)</f>
      </c>
      <c r="AG552">
        <f>IF(ISBLANK('Data Entry'!$a$552), "", 'Data Entry'!$a$552)</f>
      </c>
      <c r="AH552">
        <f>IF(ISBLANK('Data Entry'!$b$552), "", 'Data Entry'!$b$552)</f>
      </c>
      <c r="AI552">
        <f>IF(ISBLANK('Data Entry'!$c$552), "", 'Data Entry'!$c$552)</f>
      </c>
      <c r="AJ552">
        <f>IF(ISBLANK('Data Entry'!$d$552), "", 'Data Entry'!$d$552)</f>
      </c>
      <c r="AK552">
        <f>IF(ISBLANK('Data Entry'!$e$552), "", 'Data Entry'!$e$552)</f>
      </c>
      <c r="AL552">
        <f>IF(ISBLANK('Data Entry'!$f$552), "", 'Data Entry'!$f$552)</f>
      </c>
      <c r="AM552">
        <f>IF(ISBLANK('Data Entry'!$g$552), "", 'Data Entry'!$g$552)</f>
      </c>
      <c r="AN552">
        <f>IF(ISBLANK('Data Entry'!$h$552), "", 'Data Entry'!$h$552)</f>
      </c>
      <c r="AO552">
        <f>IF(ISBLANK('Data Entry'!$i$552), "", 'Data Entry'!$i$552)</f>
      </c>
      <c r="AP552">
        <f>IF(ISBLANK('Data Entry'!$j$552), "", 'Data Entry'!$j$552)</f>
      </c>
      <c r="AQ552">
        <f>IF(ISBLANK('Data Entry'!$k$552), "", 'Data Entry'!$k$552)</f>
      </c>
      <c r="AR552">
        <f>IF(ISBLANK('Data Entry'!$l$552), "", 'Data Entry'!$l$552)</f>
      </c>
      <c r="AS552">
        <f>IF(ISBLANK('Data Entry'!$m$552), "", 'Data Entry'!$m$552)</f>
      </c>
      <c r="AT552">
        <f>IF(ISBLANK('Data Entry'!$n$552), "", 'Data Entry'!$n$552)</f>
      </c>
      <c r="AU552">
        <f>IF(ISBLANK('Data Entry'!$o$552), "", 'Data Entry'!$o$552)</f>
      </c>
      <c r="AV552">
        <f>IF(ISBLANK('Data Entry'!$p$552), "", 'Data Entry'!$p$552)</f>
      </c>
      <c r="AW552">
        <f>IF(ISBLANK('Data Entry'!$q$552), "", 'Data Entry'!$q$552)</f>
      </c>
      <c r="AX552">
        <f>IF(ISBLANK('Data Entry'!$r$552), "", 'Data Entry'!$r$552)</f>
      </c>
      <c r="AY552">
        <f>IF(ISBLANK('Data Entry'!$s$552), "", 'Data Entry'!$s$552)</f>
      </c>
      <c r="AZ552">
        <f>IF(ISBLANK('Data Entry'!$t$552), "", 'Data Entry'!$t$552)</f>
      </c>
      <c r="BA552">
        <f>IF(ISBLANK('Data Entry'!$u$552), "", 'Data Entry'!$u$552)</f>
      </c>
      <c r="BB552">
        <f>IF(ISBLANK('Data Entry'!$v$552), "", 'Data Entry'!$v$552)</f>
      </c>
      <c r="BC552">
        <f>IF(ISBLANK('Data Entry'!$w$552), "", 'Data Entry'!$w$552)</f>
      </c>
      <c r="BD552">
        <f>IF(ISBLANK('Data Entry'!$x$552), "", 'Data Entry'!$x$552)</f>
      </c>
      <c r="BE552">
        <f>IF(ISBLANK('Data Entry'!$y$552), "", 'Data Entry'!$y$552)</f>
      </c>
      <c r="BF552">
        <f>IF(ISBLANK('Data Entry'!$z$552), "", 'Data Entry'!$z$552)</f>
      </c>
      <c r="BG552">
        <f>IF(ISBLANK('Data Entry'!${$552), "", 'Data Entry'!${$552)</f>
      </c>
      <c r="BH552">
        <f>IF(ISBLANK('Data Entry'!$|$552), "", 'Data Entry'!$|$552)</f>
      </c>
      <c r="BI552">
        <f>IF(ISBLANK('Data Entry'!$}$552), "", 'Data Entry'!$}$552)</f>
      </c>
      <c r="BJ552">
        <f>IF(ISBLANK('Data Entry'!$~$552), "", 'Data Entry'!$~$552)</f>
      </c>
      <c r="BK552">
        <f>IF(ISBLANK('Data Entry'!$$552), "", 'Data Entry'!$$552)</f>
      </c>
      <c r="BL552">
        <f>IF(ISBLANK('Data Entry'!$$552), "", 'Data Entry'!$$552)</f>
      </c>
      <c r="BM552">
        <f>IF(ISBLANK('Data Entry'!$$552), "", 'Data Entry'!$$552)</f>
      </c>
      <c r="BN552">
        <f>IF(ISBLANK('Data Entry'!$$552), "", 'Data Entry'!$$552)</f>
      </c>
      <c r="BO552">
        <f>IF(ISBLANK('Data Entry'!$$552), "", 'Data Entry'!$$552)</f>
      </c>
      <c r="BP552">
        <f>IF(ISBLANK('Data Entry'!$$552), "", 'Data Entry'!$$552)</f>
      </c>
      <c r="BQ552">
        <f>IF(ISBLANK('Data Entry'!$$552), "", 'Data Entry'!$$552)</f>
      </c>
      <c r="BR552">
        <f>IF(ISBLANK('Data Entry'!$$552), "", 'Data Entry'!$$552)</f>
      </c>
      <c r="BS552">
        <f>IF(ISBLANK('Data Entry'!$$552), "", 'Data Entry'!$$552)</f>
      </c>
      <c r="BT552">
        <f>IF(ISBLANK('Data Entry'!$$552), "", 'Data Entry'!$$552)</f>
      </c>
      <c r="BU552">
        <f>IF(ISBLANK('Data Entry'!$$552), "", 'Data Entry'!$$552)</f>
      </c>
      <c r="BV552">
        <f>IF(ISBLANK('Data Entry'!$$552), "", 'Data Entry'!$$552)</f>
      </c>
      <c r="BW552">
        <f>IF(ISBLANK('Data Entry'!$$552), "", 'Data Entry'!$$552)</f>
      </c>
      <c r="BX552">
        <f>IF(ISBLANK('Data Entry'!$$552), "", 'Data Entry'!$$552)</f>
      </c>
      <c r="BY552">
        <f>IF(ISBLANK('Data Entry'!$$552), "", 'Data Entry'!$$552)</f>
      </c>
      <c r="BZ552">
        <f>IF(ISBLANK('Data Entry'!$$552), "", 'Data Entry'!$$552)</f>
      </c>
      <c r="CA552">
        <f>IF(ISBLANK('Data Entry'!$$552), "", 'Data Entry'!$$552)</f>
      </c>
      <c r="CB552">
        <f>IF(ISBLANK('Data Entry'!$$552), "", 'Data Entry'!$$552)</f>
      </c>
      <c r="CC552">
        <f>IF(ISBLANK('Data Entry'!$$552), "", 'Data Entry'!$$552)</f>
      </c>
      <c r="CD552">
        <f>IF(ISBLANK('Data Entry'!$$552), "", 'Data Entry'!$$552)</f>
      </c>
      <c r="CE552">
        <f>IF(ISBLANK('Data Entry'!$$552), "", 'Data Entry'!$$552)</f>
      </c>
      <c r="CF552">
        <f>IF(ISBLANK('Data Entry'!$$552), "", 'Data Entry'!$$552)</f>
      </c>
      <c r="CG552">
        <f>IF(ISBLANK('Data Entry'!$$552), "", 'Data Entry'!$$552)</f>
      </c>
      <c r="CH552">
        <f>IF(ISBLANK('Data Entry'!$$552), "", 'Data Entry'!$$552)</f>
      </c>
      <c r="CI552">
        <f>IF(ISBLANK('Data Entry'!$$552), "", 'Data Entry'!$$552)</f>
      </c>
      <c r="CJ552">
        <f>IF(ISBLANK('Data Entry'!$$552), "", 'Data Entry'!$$552)</f>
      </c>
      <c r="CK552">
        <f>IF(ISBLANK('Data Entry'!$$552), "", 'Data Entry'!$$552)</f>
      </c>
      <c r="CL552">
        <f>IF(ISBLANK('Data Entry'!$$552), "", 'Data Entry'!$$552)</f>
      </c>
      <c r="CM552">
        <f>IF(ISBLANK('Data Entry'!$$552), "", 'Data Entry'!$$552)</f>
      </c>
      <c r="CN552">
        <f>IF(ISBLANK('Data Entry'!$$552), "", 'Data Entry'!$$552)</f>
      </c>
      <c r="CO552">
        <f>IF(ISBLANK('Data Entry'!$$552), "", 'Data Entry'!$$552)</f>
      </c>
      <c r="CP552">
        <f>IF(ISBLANK('Data Entry'!$$552), "", 'Data Entry'!$$552)</f>
      </c>
      <c r="CQ552">
        <f>IF(ISBLANK('Data Entry'!$$552), "", 'Data Entry'!$$552)</f>
      </c>
      <c r="CR552">
        <f>IF(ISBLANK('Data Entry'!$ $552), "", 'Data Entry'!$ $552)</f>
      </c>
      <c r="CS552">
        <f>IF(ISBLANK('Data Entry'!$¡$552), "", 'Data Entry'!$¡$552)</f>
      </c>
      <c r="CT552">
        <f>IF(ISBLANK('Data Entry'!$¢$552), "", 'Data Entry'!$¢$552)</f>
      </c>
      <c r="CU552">
        <f>IF(ISBLANK('Data Entry'!$£$552), "", 'Data Entry'!$£$552)</f>
      </c>
      <c r="CV552">
        <f>IF(ISBLANK('Data Entry'!$¤$552), "", 'Data Entry'!$¤$552)</f>
      </c>
      <c r="CW552">
        <f>IF(ISBLANK('Data Entry'!$¥$552), "", 'Data Entry'!$¥$552)</f>
      </c>
      <c r="CX552">
        <f>IF(ISBLANK('Data Entry'!$¦$552), "", 'Data Entry'!$¦$552)</f>
      </c>
      <c r="CY552">
        <f>IF(ISBLANK('Data Entry'!$§$552), "", 'Data Entry'!$§$552)</f>
      </c>
      <c r="CZ552">
        <f>IF(ISBLANK('Data Entry'!$¨$552), "", 'Data Entry'!$¨$552)</f>
      </c>
      <c r="DA552">
        <f>IF(ISBLANK('Data Entry'!$©$552), "", 'Data Entry'!$©$552)</f>
      </c>
      <c r="DB552">
        <f>IF(ISBLANK('Data Entry'!$ª$552), "", 'Data Entry'!$ª$552)</f>
      </c>
      <c r="DC552">
        <f>IF(ISBLANK('Data Entry'!$«$552), "", 'Data Entry'!$«$552)</f>
      </c>
      <c r="DD552">
        <f>IF(ISBLANK('Data Entry'!$¬$552), "", 'Data Entry'!$¬$552)</f>
      </c>
      <c r="DE552">
        <f>IF(ISBLANK('Data Entry'!$­$552), "", 'Data Entry'!$­$552)</f>
      </c>
      <c r="DF552">
        <f>IF(ISBLANK('Data Entry'!$®$552), "", 'Data Entry'!$®$552)</f>
      </c>
      <c r="DG552">
        <f>IF(ISBLANK('Data Entry'!$¯$552), "", 'Data Entry'!$¯$552)</f>
      </c>
      <c r="DH552">
        <f>IF(ISBLANK('Data Entry'!$°$552), "", 'Data Entry'!$°$552)</f>
      </c>
      <c r="DI552">
        <f>IF(ISBLANK('Data Entry'!$±$552), "", 'Data Entry'!$±$552)</f>
      </c>
      <c r="DJ552">
        <f>IF(ISBLANK('Data Entry'!$²$552), "", 'Data Entry'!$²$552)</f>
      </c>
      <c r="DK552">
        <f>IF(ISBLANK('Data Entry'!$³$552), "", 'Data Entry'!$³$552)</f>
      </c>
      <c r="DL552">
        <f>IF(ISBLANK('Data Entry'!$´$552), "", 'Data Entry'!$´$552)</f>
      </c>
      <c r="DM552">
        <f>IF(ISBLANK('Data Entry'!$µ$552), "", 'Data Entry'!$µ$552)</f>
      </c>
      <c r="DN552">
        <f>IF(ISBLANK('Data Entry'!$¶$552), "", 'Data Entry'!$¶$552)</f>
      </c>
      <c r="DO552">
        <f>IF(ISBLANK('Data Entry'!$·$552), "", 'Data Entry'!$·$552)</f>
      </c>
      <c r="DP552">
        <f>IF(ISBLANK('Data Entry'!$¸$552), "", 'Data Entry'!$¸$552)</f>
      </c>
      <c r="DQ552">
        <f>IF(ISBLANK('Data Entry'!$¹$552), "", 'Data Entry'!$¹$552)</f>
      </c>
      <c r="DR552">
        <f>IF(ISBLANK('Data Entry'!$º$552), "", 'Data Entry'!$º$552)</f>
      </c>
      <c r="DS552">
        <f>IF(ISBLANK('Data Entry'!$»$552), "", 'Data Entry'!$»$552)</f>
      </c>
      <c r="DT552">
        <f>IF(ISBLANK('Data Entry'!$¼$552), "", 'Data Entry'!$¼$552)</f>
      </c>
      <c r="DU552">
        <f>IF(ISBLANK('Data Entry'!$½$552), "", 'Data Entry'!$½$552)</f>
      </c>
      <c r="DV552">
        <f>IF(ISBLANK('Data Entry'!$¾$552), "", 'Data Entry'!$¾$552)</f>
      </c>
      <c r="DW552">
        <f>IF(ISBLANK('Data Entry'!$¿$552), "", 'Data Entry'!$¿$552)</f>
      </c>
      <c r="DX552">
        <f>IF(ISBLANK('Data Entry'!$À$552), "", 'Data Entry'!$À$552)</f>
      </c>
      <c r="DY552">
        <f>IF(ISBLANK('Data Entry'!$Á$552), "", 'Data Entry'!$Á$552)</f>
      </c>
      <c r="DZ552">
        <f>IF(ISBLANK('Data Entry'!$Â$552), "", 'Data Entry'!$Â$552)</f>
      </c>
      <c r="EA552">
        <f>IF(ISBLANK('Data Entry'!$Ã$552), "", 'Data Entry'!$Ã$552)</f>
      </c>
      <c r="EB552">
        <f>IF(ISBLANK('Data Entry'!$Ä$552), "", 'Data Entry'!$Ä$552)</f>
      </c>
      <c r="EC552">
        <f>IF(ISBLANK('Data Entry'!$Å$552), "", 'Data Entry'!$Å$552)</f>
      </c>
      <c r="ED552">
        <f>IF(ISBLANK('Data Entry'!$Æ$552), "", 'Data Entry'!$Æ$552)</f>
      </c>
      <c r="EE552">
        <f>IF(ISBLANK('Data Entry'!$Ç$552), "", 'Data Entry'!$Ç$552)</f>
      </c>
      <c r="EF552">
        <f>IF(ISBLANK('Data Entry'!$È$552), "", 'Data Entry'!$È$552)</f>
      </c>
      <c r="EG552">
        <f>IF(ISBLANK('Data Entry'!$É$552), "", 'Data Entry'!$É$552)</f>
      </c>
      <c r="EH552">
        <f>IF(ISBLANK('Data Entry'!$Ê$552), "", 'Data Entry'!$Ê$552)</f>
      </c>
      <c r="EI552">
        <f>IF(ISBLANK('Data Entry'!$Ë$552), "", 'Data Entry'!$Ë$552)</f>
      </c>
      <c r="EJ552">
        <f>IF(ISBLANK('Data Entry'!$Ì$552), "", 'Data Entry'!$Ì$552)</f>
      </c>
      <c r="EK552">
        <f>IF(ISBLANK('Data Entry'!$Í$552), "", 'Data Entry'!$Í$552)</f>
      </c>
      <c r="EL552">
        <f>IF(ISBLANK('Data Entry'!$Î$552), "", 'Data Entry'!$Î$552)</f>
      </c>
      <c r="EM552">
        <f>IF(ISBLANK('Data Entry'!$Ï$552), "", 'Data Entry'!$Ï$552)</f>
      </c>
      <c r="EN552">
        <f>IF(ISBLANK('Data Entry'!$Ð$552), "", 'Data Entry'!$Ð$552)</f>
      </c>
      <c r="EO552">
        <f>IF(ISBLANK('Data Entry'!$Ñ$552), "", 'Data Entry'!$Ñ$552)</f>
      </c>
      <c r="EP552">
        <f>IF(ISBLANK('Data Entry'!$Ò$552), "", 'Data Entry'!$Ò$552)</f>
      </c>
      <c r="EQ552">
        <f>IF(ISBLANK('Data Entry'!$Ó$552), "", 'Data Entry'!$Ó$552)</f>
      </c>
      <c r="ER552">
        <f>IF(ISBLANK('Data Entry'!$Ô$552), "", 'Data Entry'!$Ô$552)</f>
      </c>
      <c r="ES552">
        <f>IF(ISBLANK('Data Entry'!$Õ$552), "", 'Data Entry'!$Õ$552)</f>
      </c>
      <c r="ET552">
        <f>IF(ISBLANK('Data Entry'!$Ö$552), "", 'Data Entry'!$Ö$552)</f>
      </c>
      <c r="EU552">
        <f>IF(ISBLANK('Data Entry'!$×$552), "", 'Data Entry'!$×$552)</f>
      </c>
      <c r="EV552">
        <f>IF(ISBLANK('Data Entry'!$Ø$552), "", 'Data Entry'!$Ø$552)</f>
      </c>
      <c r="EW552">
        <f>IF(ISBLANK('Data Entry'!$Ù$552), "", 'Data Entry'!$Ù$552)</f>
      </c>
      <c r="EX552">
        <f>IF(ISBLANK('Data Entry'!$Ú$552), "", 'Data Entry'!$Ú$552)</f>
      </c>
      <c r="EY552">
        <f>IF(ISBLANK('Data Entry'!$Û$552), "", 'Data Entry'!$Û$552)</f>
      </c>
      <c r="EZ552">
        <f>IF(ISBLANK('Data Entry'!$Ü$552), "", 'Data Entry'!$Ü$552)</f>
      </c>
      <c r="FA552">
        <f>IF(ISBLANK('Data Entry'!$Ý$552), "", 'Data Entry'!$Ý$552)</f>
      </c>
      <c r="FB552">
        <f>IF(ISBLANK('Data Entry'!$Þ$552), "", 'Data Entry'!$Þ$552)</f>
      </c>
      <c r="FC552">
        <f>IF(ISBLANK('Data Entry'!$ß$552), "", 'Data Entry'!$ß$552)</f>
      </c>
      <c r="FD552">
        <f>IF(ISBLANK('Data Entry'!$à$552), "", 'Data Entry'!$à$552)</f>
      </c>
      <c r="FE552">
        <f>IF(ISBLANK('Data Entry'!$á$552), "", 'Data Entry'!$á$552)</f>
      </c>
      <c r="FF552">
        <f>IF(ISBLANK('Data Entry'!$â$552), "", 'Data Entry'!$â$552)</f>
      </c>
      <c r="FG552">
        <f>IF(ISBLANK('Data Entry'!$ã$552), "", 'Data Entry'!$ã$552)</f>
      </c>
      <c r="FH552">
        <f>IF(ISBLANK('Data Entry'!$ä$552), "", 'Data Entry'!$ä$552)</f>
      </c>
      <c r="FI552">
        <f>IF(ISBLANK('Data Entry'!$å$552), "", 'Data Entry'!$å$552)</f>
      </c>
      <c r="FJ552">
        <f>IF(ISBLANK('Data Entry'!$æ$552), "", 'Data Entry'!$æ$552)</f>
      </c>
      <c r="FK552">
        <f>IF(ISBLANK('Data Entry'!$ç$552), "", 'Data Entry'!$ç$552)</f>
      </c>
      <c r="FL552">
        <f>IF(ISBLANK('Data Entry'!$è$552), "", 'Data Entry'!$è$552)</f>
      </c>
      <c r="FM552">
        <f>IF(ISBLANK('Data Entry'!$é$552), "", 'Data Entry'!$é$552)</f>
      </c>
      <c r="FN552">
        <f>IF(ISBLANK('Data Entry'!$ê$552), "", 'Data Entry'!$ê$552)</f>
      </c>
      <c r="FO552">
        <f>IF(ISBLANK('Data Entry'!$ë$552), "", 'Data Entry'!$ë$552)</f>
      </c>
      <c r="FP552">
        <f>IF(ISBLANK('Data Entry'!$ì$552), "", 'Data Entry'!$ì$552)</f>
      </c>
      <c r="FQ552">
        <f>IF(ISBLANK('Data Entry'!$í$552), "", 'Data Entry'!$í$552)</f>
      </c>
      <c r="FR552">
        <f>IF(ISBLANK('Data Entry'!$î$552), "", 'Data Entry'!$î$552)</f>
      </c>
      <c r="FS552">
        <f>IF(ISBLANK('Data Entry'!$ï$552), "", 'Data Entry'!$ï$552)</f>
      </c>
      <c r="FT552">
        <f>IF(ISBLANK('Data Entry'!$ð$552), "", 'Data Entry'!$ð$552)</f>
      </c>
      <c r="FU552">
        <f>IF(ISBLANK('Data Entry'!$ñ$552), "", 'Data Entry'!$ñ$552)</f>
      </c>
      <c r="FV552">
        <f>IF(ISBLANK('Data Entry'!$ò$552), "", 'Data Entry'!$ò$552)</f>
      </c>
      <c r="FW552">
        <f>IF(ISBLANK('Data Entry'!$ó$552), "", 'Data Entry'!$ó$552)</f>
      </c>
      <c r="FX552">
        <f>IF(ISBLANK('Data Entry'!$ô$552), "", 'Data Entry'!$ô$552)</f>
      </c>
      <c r="FY552">
        <f>IF(ISBLANK('Data Entry'!$õ$552), "", 'Data Entry'!$õ$552)</f>
      </c>
      <c r="FZ552">
        <f>IF(ISBLANK('Data Entry'!$ö$552), "", 'Data Entry'!$ö$552)</f>
      </c>
      <c r="GA552">
        <f>IF(ISBLANK('Data Entry'!$÷$552), "", 'Data Entry'!$÷$552)</f>
      </c>
      <c r="GB552">
        <f>IF(ISBLANK('Data Entry'!$ø$552), "", 'Data Entry'!$ø$552)</f>
      </c>
      <c r="GC552">
        <f>IF(ISBLANK('Data Entry'!$ù$552), "", 'Data Entry'!$ù$552)</f>
      </c>
      <c r="GD552">
        <f>IF(ISBLANK('Data Entry'!$ú$552), "", 'Data Entry'!$ú$552)</f>
      </c>
      <c r="GE552">
        <f>IF(ISBLANK('Data Entry'!$û$552), "", 'Data Entry'!$û$552)</f>
      </c>
      <c r="GF552">
        <f>IF(ISBLANK('Data Entry'!$ü$552), "", 'Data Entry'!$ü$552)</f>
      </c>
      <c r="GG552">
        <f>IF(ISBLANK('Data Entry'!$ý$552), "", 'Data Entry'!$ý$552)</f>
      </c>
      <c r="GH552">
        <f>IF(ISBLANK('Data Entry'!$þ$552), "", 'Data Entry'!$þ$552)</f>
      </c>
      <c r="GI552">
        <f>IF(ISBLANK('Data Entry'!$ÿ$552), "", 'Data Entry'!$ÿ$552)</f>
      </c>
      <c r="GJ552">
        <f>IF(ISBLANK('Data Entry'!$Ā$552), "", 'Data Entry'!$Ā$552)</f>
      </c>
      <c r="GK552">
        <f>IF(ISBLANK('Data Entry'!$ā$552), "", 'Data Entry'!$ā$552)</f>
      </c>
      <c r="GL552">
        <f>IF(ISBLANK('Data Entry'!$Ă$552), "", 'Data Entry'!$Ă$552)</f>
      </c>
      <c r="GM552">
        <f>IF(ISBLANK('Data Entry'!$ă$552), "", 'Data Entry'!$ă$552)</f>
      </c>
      <c r="GN552">
        <f>IF(ISBLANK('Data Entry'!$Ą$552), "", 'Data Entry'!$Ą$552)</f>
      </c>
      <c r="GO552">
        <f>IF(ISBLANK('Data Entry'!$ą$552), "", 'Data Entry'!$ą$552)</f>
      </c>
      <c r="GP552">
        <f>IF(ISBLANK('Data Entry'!$Ć$552), "", 'Data Entry'!$Ć$552)</f>
      </c>
      <c r="GQ552">
        <f>IF(ISBLANK('Data Entry'!$ć$552), "", 'Data Entry'!$ć$552)</f>
      </c>
      <c r="GR552">
        <f>IF(ISBLANK('Data Entry'!$Ĉ$552), "", 'Data Entry'!$Ĉ$552)</f>
      </c>
      <c r="GS552">
        <f>IF(ISBLANK('Data Entry'!$ĉ$552), "", 'Data Entry'!$ĉ$552)</f>
      </c>
      <c r="GT552">
        <f>IF(ISBLANK('Data Entry'!$Ċ$552), "", 'Data Entry'!$Ċ$552)</f>
      </c>
      <c r="GU552">
        <f>IF(ISBLANK('Data Entry'!$ċ$552), "", 'Data Entry'!$ċ$552)</f>
      </c>
      <c r="GV552">
        <f>IF(ISBLANK('Data Entry'!$Č$552), "", 'Data Entry'!$Č$552)</f>
      </c>
      <c r="GW552">
        <f>IF(ISBLANK('Data Entry'!$č$552), "", 'Data Entry'!$č$552)</f>
      </c>
      <c r="GX552">
        <f>IF(ISBLANK('Data Entry'!$Ď$552), "", 'Data Entry'!$Ď$552)</f>
      </c>
      <c r="GY552">
        <f>IF(ISBLANK('Data Entry'!$ď$552), "", 'Data Entry'!$ď$552)</f>
      </c>
      <c r="GZ552">
        <f>IF(ISBLANK('Data Entry'!$Đ$552), "", 'Data Entry'!$Đ$552)</f>
      </c>
      <c r="HA552">
        <f>IF(ISBLANK('Data Entry'!$đ$552), "", 'Data Entry'!$đ$552)</f>
      </c>
      <c r="HB552">
        <f>IF(ISBLANK('Data Entry'!$Ē$552), "", 'Data Entry'!$Ē$552)</f>
      </c>
      <c r="HC552">
        <f>IF(ISBLANK('Data Entry'!$ē$552), "", 'Data Entry'!$ē$552)</f>
      </c>
      <c r="HD552">
        <f>IF(ISBLANK('Data Entry'!$Ĕ$552), "", 'Data Entry'!$Ĕ$552)</f>
      </c>
      <c r="HE552">
        <f>IF(ISBLANK('Data Entry'!$ĕ$552), "", 'Data Entry'!$ĕ$552)</f>
      </c>
      <c r="HF552">
        <f>IF(ISBLANK('Data Entry'!$Ė$552), "", 'Data Entry'!$Ė$552)</f>
      </c>
      <c r="HG552">
        <f>IF(ISBLANK('Data Entry'!$ė$552), "", 'Data Entry'!$ė$552)</f>
      </c>
      <c r="HH552">
        <f>IF(ISBLANK('Data Entry'!$Ę$552), "", 'Data Entry'!$Ę$552)</f>
      </c>
      <c r="HI552">
        <f>IF(ISBLANK('Data Entry'!$ę$552), "", 'Data Entry'!$ę$552)</f>
      </c>
      <c r="HJ552">
        <f>IF(ISBLANK('Data Entry'!$Ě$552), "", 'Data Entry'!$Ě$552)</f>
      </c>
      <c r="HK552">
        <f>IF(ISBLANK('Data Entry'!$ě$552), "", 'Data Entry'!$ě$552)</f>
      </c>
      <c r="HL552">
        <f>IF(ISBLANK('Data Entry'!$Ĝ$552), "", 'Data Entry'!$Ĝ$552)</f>
      </c>
      <c r="HM552">
        <f>IF(ISBLANK('Data Entry'!$ĝ$552), "", 'Data Entry'!$ĝ$552)</f>
      </c>
      <c r="HN552">
        <f>IF(ISBLANK('Data Entry'!$Ğ$552), "", 'Data Entry'!$Ğ$552)</f>
      </c>
      <c r="HO552">
        <f>IF(ISBLANK('Data Entry'!$ğ$552), "", 'Data Entry'!$ğ$552)</f>
      </c>
      <c r="HP552">
        <f>IF(ISBLANK('Data Entry'!$Ġ$552), "", 'Data Entry'!$Ġ$552)</f>
      </c>
      <c r="HQ552">
        <f>IF(ISBLANK('Data Entry'!$ġ$552), "", 'Data Entry'!$ġ$552)</f>
      </c>
      <c r="HR552">
        <f>IF(ISBLANK('Data Entry'!$Ģ$552), "", 'Data Entry'!$Ģ$552)</f>
      </c>
      <c r="HS552">
        <f>IF(ISBLANK('Data Entry'!$ģ$552), "", 'Data Entry'!$ģ$552)</f>
      </c>
      <c r="HT552">
        <f>IF(ISBLANK('Data Entry'!$Ĥ$552), "", 'Data Entry'!$Ĥ$552)</f>
      </c>
      <c r="HU552">
        <f>IF(ISBLANK('Data Entry'!$ĥ$552), "", 'Data Entry'!$ĥ$552)</f>
      </c>
      <c r="HV552">
        <f>IF(ISBLANK('Data Entry'!$Ħ$552), "", 'Data Entry'!$Ħ$552)</f>
      </c>
      <c r="HW552">
        <f>IF(ISBLANK('Data Entry'!$ħ$552), "", 'Data Entry'!$ħ$552)</f>
      </c>
      <c r="HX552">
        <f>IF(ISBLANK('Data Entry'!$Ĩ$552), "", 'Data Entry'!$Ĩ$552)</f>
      </c>
      <c r="HY552">
        <f>IF(ISBLANK('Data Entry'!$ĩ$552), "", 'Data Entry'!$ĩ$552)</f>
      </c>
      <c r="HZ552">
        <f>IF(ISBLANK('Data Entry'!$Ī$552), "", 'Data Entry'!$Ī$552)</f>
      </c>
      <c r="IA552">
        <f>IF(ISBLANK('Data Entry'!$ī$552), "", 'Data Entry'!$ī$552)</f>
      </c>
      <c r="IB552">
        <f>IF(ISBLANK('Data Entry'!$Ĭ$552), "", 'Data Entry'!$Ĭ$552)</f>
      </c>
      <c r="IC552">
        <f>IF(ISBLANK('Data Entry'!$ĭ$552), "", 'Data Entry'!$ĭ$552)</f>
      </c>
      <c r="ID552">
        <f>IF(ISBLANK('Data Entry'!$Į$552), "", 'Data Entry'!$Į$552)</f>
      </c>
      <c r="IE552">
        <f>IF(ISBLANK('Data Entry'!$į$552), "", 'Data Entry'!$į$552)</f>
      </c>
      <c r="IF552">
        <f>IF(ISBLANK('Data Entry'!$İ$552), "", 'Data Entry'!$İ$552)</f>
      </c>
      <c r="IG552">
        <f>IF(ISBLANK('Data Entry'!$ı$552), "", 'Data Entry'!$ı$552)</f>
      </c>
      <c r="IH552">
        <f>IF(ISBLANK('Data Entry'!$Ĳ$552), "", 'Data Entry'!$Ĳ$552)</f>
      </c>
      <c r="II552">
        <f>IF(ISBLANK('Data Entry'!$ĳ$552), "", 'Data Entry'!$ĳ$552)</f>
      </c>
      <c r="IJ552">
        <f>IF(ISBLANK('Data Entry'!$Ĵ$552), "", 'Data Entry'!$Ĵ$552)</f>
      </c>
      <c r="IK552">
        <f>IF(ISBLANK('Data Entry'!$ĵ$552), "", 'Data Entry'!$ĵ$552)</f>
      </c>
      <c r="IL552">
        <f>IF(ISBLANK('Data Entry'!$Ķ$552), "", 'Data Entry'!$Ķ$552)</f>
      </c>
      <c r="IM552">
        <f>IF(ISBLANK('Data Entry'!$ķ$552), "", 'Data Entry'!$ķ$552)</f>
      </c>
      <c r="IN552">
        <f>IF(ISBLANK('Data Entry'!$ĸ$552), "", 'Data Entry'!$ĸ$552)</f>
      </c>
      <c r="IO552">
        <f>IF(ISBLANK('Data Entry'!$Ĺ$552), "", 'Data Entry'!$Ĺ$552)</f>
      </c>
      <c r="IP552">
        <f>IF(ISBLANK('Data Entry'!$ĺ$552), "", 'Data Entry'!$ĺ$552)</f>
      </c>
      <c r="IQ552">
        <f>IF(ISBLANK('Data Entry'!$Ļ$552), "", 'Data Entry'!$Ļ$552)</f>
      </c>
      <c r="IR552">
        <f>IF(ISBLANK('Data Entry'!$ļ$552), "", 'Data Entry'!$ļ$552)</f>
      </c>
      <c r="IS552">
        <f>IF(ISBLANK('Data Entry'!$Ľ$552), "", 'Data Entry'!$Ľ$552)</f>
      </c>
      <c r="IT552">
        <f>IF(ISBLANK('Data Entry'!$ľ$552), "", 'Data Entry'!$ľ$552)</f>
      </c>
    </row>
    <row r="553" spans="1:254" x14ac:dyDescent="0.25">
      <c r="A553">
        <f>IF(ISBLANK('Data Entry'!$A$553), "", 'Data Entry'!$A$553)</f>
      </c>
      <c r="B553">
        <f>IF(ISBLANK('Data Entry'!$B$553), "", 'Data Entry'!$B$553)</f>
      </c>
      <c r="C553">
        <f>IF(ISBLANK('Data Entry'!$C$553), "", 'Data Entry'!$C$553)</f>
      </c>
      <c r="D553">
        <f>IF(ISBLANK('Data Entry'!$D$553), "", 'Data Entry'!$D$553)</f>
      </c>
      <c r="E553">
        <f>IF(ISBLANK('Data Entry'!$E$553), "", 'Data Entry'!$E$553)</f>
      </c>
      <c r="F553">
        <f>IF(ISBLANK('Data Entry'!$F$553), "", 'Data Entry'!$F$553)</f>
      </c>
      <c r="G553">
        <f>IF(ISBLANK('Data Entry'!$G$553), "", 'Data Entry'!$G$553)</f>
      </c>
      <c r="H553">
        <f>IF(ISBLANK('Data Entry'!$H$553), "", 'Data Entry'!$H$553)</f>
      </c>
      <c r="I553">
        <f>IF(ISBLANK('Data Entry'!$I$553), "", 'Data Entry'!$I$553)</f>
      </c>
      <c r="J553">
        <f>IF(ISBLANK('Data Entry'!$J$553), "", 'Data Entry'!$J$553)</f>
      </c>
      <c r="K553">
        <f>IF(ISBLANK('Data Entry'!$K$553), "", 'Data Entry'!$K$553)</f>
      </c>
      <c r="L553">
        <f>IF(ISBLANK('Data Entry'!$L$553), "", 'Data Entry'!$L$553)</f>
      </c>
      <c r="M553">
        <f>IF(ISBLANK('Data Entry'!$M$553), "", 'Data Entry'!$M$553)</f>
      </c>
      <c r="N553">
        <f>IF(ISBLANK('Data Entry'!$N$553), "", 'Data Entry'!$N$553)</f>
      </c>
      <c r="O553">
        <f>IF(ISBLANK('Data Entry'!$O$553), "", 'Data Entry'!$O$553)</f>
      </c>
      <c r="P553">
        <f>IF(ISBLANK('Data Entry'!$P$553), "", 'Data Entry'!$P$553)</f>
      </c>
      <c r="Q553">
        <f>IF(ISBLANK('Data Entry'!$Q$553), "", 'Data Entry'!$Q$553)</f>
      </c>
      <c r="R553">
        <f>IF(ISBLANK('Data Entry'!$R$553), "", 'Data Entry'!$R$553)</f>
      </c>
      <c r="S553">
        <f>IF(ISBLANK('Data Entry'!$S$553), "", 'Data Entry'!$S$553)</f>
      </c>
      <c r="T553">
        <f>IF(ISBLANK('Data Entry'!$T$553), "", 'Data Entry'!$T$553)</f>
      </c>
      <c r="U553">
        <f>IF(ISBLANK('Data Entry'!$U$553), "", 'Data Entry'!$U$553)</f>
      </c>
      <c r="V553">
        <f>IF(ISBLANK('Data Entry'!$V$553), "", 'Data Entry'!$V$553)</f>
      </c>
      <c r="W553">
        <f>IF(ISBLANK('Data Entry'!$W$553), "", 'Data Entry'!$W$553)</f>
      </c>
      <c r="X553">
        <f>IF(ISBLANK('Data Entry'!$X$553), "", 'Data Entry'!$X$553)</f>
      </c>
      <c r="Y553">
        <f>IF(ISBLANK('Data Entry'!$Y$553), "", 'Data Entry'!$Y$553)</f>
      </c>
      <c r="Z553">
        <f>IF(ISBLANK('Data Entry'!$Z$553), "", 'Data Entry'!$Z$553)</f>
      </c>
      <c r="AA553">
        <f>IF(ISBLANK('Data Entry'!$[$553), "", 'Data Entry'!$[$553)</f>
      </c>
      <c r="AB553">
        <f>IF(ISBLANK('Data Entry'!$\$553), "", 'Data Entry'!$\$553)</f>
      </c>
      <c r="AC553">
        <f>IF(ISBLANK('Data Entry'!$]$553), "", 'Data Entry'!$]$553)</f>
      </c>
      <c r="AD553">
        <f>IF(ISBLANK('Data Entry'!$^$553), "", 'Data Entry'!$^$553)</f>
      </c>
      <c r="AE553">
        <f>IF(ISBLANK('Data Entry'!$_$553), "", 'Data Entry'!$_$553)</f>
      </c>
      <c r="AF553">
        <f>IF(ISBLANK('Data Entry'!$`$553), "", 'Data Entry'!$`$553)</f>
      </c>
      <c r="AG553">
        <f>IF(ISBLANK('Data Entry'!$a$553), "", 'Data Entry'!$a$553)</f>
      </c>
      <c r="AH553">
        <f>IF(ISBLANK('Data Entry'!$b$553), "", 'Data Entry'!$b$553)</f>
      </c>
      <c r="AI553">
        <f>IF(ISBLANK('Data Entry'!$c$553), "", 'Data Entry'!$c$553)</f>
      </c>
      <c r="AJ553">
        <f>IF(ISBLANK('Data Entry'!$d$553), "", 'Data Entry'!$d$553)</f>
      </c>
      <c r="AK553">
        <f>IF(ISBLANK('Data Entry'!$e$553), "", 'Data Entry'!$e$553)</f>
      </c>
      <c r="AL553">
        <f>IF(ISBLANK('Data Entry'!$f$553), "", 'Data Entry'!$f$553)</f>
      </c>
      <c r="AM553">
        <f>IF(ISBLANK('Data Entry'!$g$553), "", 'Data Entry'!$g$553)</f>
      </c>
      <c r="AN553">
        <f>IF(ISBLANK('Data Entry'!$h$553), "", 'Data Entry'!$h$553)</f>
      </c>
      <c r="AO553">
        <f>IF(ISBLANK('Data Entry'!$i$553), "", 'Data Entry'!$i$553)</f>
      </c>
      <c r="AP553">
        <f>IF(ISBLANK('Data Entry'!$j$553), "", 'Data Entry'!$j$553)</f>
      </c>
      <c r="AQ553">
        <f>IF(ISBLANK('Data Entry'!$k$553), "", 'Data Entry'!$k$553)</f>
      </c>
      <c r="AR553">
        <f>IF(ISBLANK('Data Entry'!$l$553), "", 'Data Entry'!$l$553)</f>
      </c>
      <c r="AS553">
        <f>IF(ISBLANK('Data Entry'!$m$553), "", 'Data Entry'!$m$553)</f>
      </c>
      <c r="AT553">
        <f>IF(ISBLANK('Data Entry'!$n$553), "", 'Data Entry'!$n$553)</f>
      </c>
      <c r="AU553">
        <f>IF(ISBLANK('Data Entry'!$o$553), "", 'Data Entry'!$o$553)</f>
      </c>
      <c r="AV553">
        <f>IF(ISBLANK('Data Entry'!$p$553), "", 'Data Entry'!$p$553)</f>
      </c>
      <c r="AW553">
        <f>IF(ISBLANK('Data Entry'!$q$553), "", 'Data Entry'!$q$553)</f>
      </c>
      <c r="AX553">
        <f>IF(ISBLANK('Data Entry'!$r$553), "", 'Data Entry'!$r$553)</f>
      </c>
      <c r="AY553">
        <f>IF(ISBLANK('Data Entry'!$s$553), "", 'Data Entry'!$s$553)</f>
      </c>
      <c r="AZ553">
        <f>IF(ISBLANK('Data Entry'!$t$553), "", 'Data Entry'!$t$553)</f>
      </c>
      <c r="BA553">
        <f>IF(ISBLANK('Data Entry'!$u$553), "", 'Data Entry'!$u$553)</f>
      </c>
      <c r="BB553">
        <f>IF(ISBLANK('Data Entry'!$v$553), "", 'Data Entry'!$v$553)</f>
      </c>
      <c r="BC553">
        <f>IF(ISBLANK('Data Entry'!$w$553), "", 'Data Entry'!$w$553)</f>
      </c>
      <c r="BD553">
        <f>IF(ISBLANK('Data Entry'!$x$553), "", 'Data Entry'!$x$553)</f>
      </c>
      <c r="BE553">
        <f>IF(ISBLANK('Data Entry'!$y$553), "", 'Data Entry'!$y$553)</f>
      </c>
      <c r="BF553">
        <f>IF(ISBLANK('Data Entry'!$z$553), "", 'Data Entry'!$z$553)</f>
      </c>
      <c r="BG553">
        <f>IF(ISBLANK('Data Entry'!${$553), "", 'Data Entry'!${$553)</f>
      </c>
      <c r="BH553">
        <f>IF(ISBLANK('Data Entry'!$|$553), "", 'Data Entry'!$|$553)</f>
      </c>
      <c r="BI553">
        <f>IF(ISBLANK('Data Entry'!$}$553), "", 'Data Entry'!$}$553)</f>
      </c>
      <c r="BJ553">
        <f>IF(ISBLANK('Data Entry'!$~$553), "", 'Data Entry'!$~$553)</f>
      </c>
      <c r="BK553">
        <f>IF(ISBLANK('Data Entry'!$$553), "", 'Data Entry'!$$553)</f>
      </c>
      <c r="BL553">
        <f>IF(ISBLANK('Data Entry'!$$553), "", 'Data Entry'!$$553)</f>
      </c>
      <c r="BM553">
        <f>IF(ISBLANK('Data Entry'!$$553), "", 'Data Entry'!$$553)</f>
      </c>
      <c r="BN553">
        <f>IF(ISBLANK('Data Entry'!$$553), "", 'Data Entry'!$$553)</f>
      </c>
      <c r="BO553">
        <f>IF(ISBLANK('Data Entry'!$$553), "", 'Data Entry'!$$553)</f>
      </c>
      <c r="BP553">
        <f>IF(ISBLANK('Data Entry'!$$553), "", 'Data Entry'!$$553)</f>
      </c>
      <c r="BQ553">
        <f>IF(ISBLANK('Data Entry'!$$553), "", 'Data Entry'!$$553)</f>
      </c>
      <c r="BR553">
        <f>IF(ISBLANK('Data Entry'!$$553), "", 'Data Entry'!$$553)</f>
      </c>
      <c r="BS553">
        <f>IF(ISBLANK('Data Entry'!$$553), "", 'Data Entry'!$$553)</f>
      </c>
      <c r="BT553">
        <f>IF(ISBLANK('Data Entry'!$$553), "", 'Data Entry'!$$553)</f>
      </c>
      <c r="BU553">
        <f>IF(ISBLANK('Data Entry'!$$553), "", 'Data Entry'!$$553)</f>
      </c>
      <c r="BV553">
        <f>IF(ISBLANK('Data Entry'!$$553), "", 'Data Entry'!$$553)</f>
      </c>
      <c r="BW553">
        <f>IF(ISBLANK('Data Entry'!$$553), "", 'Data Entry'!$$553)</f>
      </c>
      <c r="BX553">
        <f>IF(ISBLANK('Data Entry'!$$553), "", 'Data Entry'!$$553)</f>
      </c>
      <c r="BY553">
        <f>IF(ISBLANK('Data Entry'!$$553), "", 'Data Entry'!$$553)</f>
      </c>
      <c r="BZ553">
        <f>IF(ISBLANK('Data Entry'!$$553), "", 'Data Entry'!$$553)</f>
      </c>
      <c r="CA553">
        <f>IF(ISBLANK('Data Entry'!$$553), "", 'Data Entry'!$$553)</f>
      </c>
      <c r="CB553">
        <f>IF(ISBLANK('Data Entry'!$$553), "", 'Data Entry'!$$553)</f>
      </c>
      <c r="CC553">
        <f>IF(ISBLANK('Data Entry'!$$553), "", 'Data Entry'!$$553)</f>
      </c>
      <c r="CD553">
        <f>IF(ISBLANK('Data Entry'!$$553), "", 'Data Entry'!$$553)</f>
      </c>
      <c r="CE553">
        <f>IF(ISBLANK('Data Entry'!$$553), "", 'Data Entry'!$$553)</f>
      </c>
      <c r="CF553">
        <f>IF(ISBLANK('Data Entry'!$$553), "", 'Data Entry'!$$553)</f>
      </c>
      <c r="CG553">
        <f>IF(ISBLANK('Data Entry'!$$553), "", 'Data Entry'!$$553)</f>
      </c>
      <c r="CH553">
        <f>IF(ISBLANK('Data Entry'!$$553), "", 'Data Entry'!$$553)</f>
      </c>
      <c r="CI553">
        <f>IF(ISBLANK('Data Entry'!$$553), "", 'Data Entry'!$$553)</f>
      </c>
      <c r="CJ553">
        <f>IF(ISBLANK('Data Entry'!$$553), "", 'Data Entry'!$$553)</f>
      </c>
      <c r="CK553">
        <f>IF(ISBLANK('Data Entry'!$$553), "", 'Data Entry'!$$553)</f>
      </c>
      <c r="CL553">
        <f>IF(ISBLANK('Data Entry'!$$553), "", 'Data Entry'!$$553)</f>
      </c>
      <c r="CM553">
        <f>IF(ISBLANK('Data Entry'!$$553), "", 'Data Entry'!$$553)</f>
      </c>
      <c r="CN553">
        <f>IF(ISBLANK('Data Entry'!$$553), "", 'Data Entry'!$$553)</f>
      </c>
      <c r="CO553">
        <f>IF(ISBLANK('Data Entry'!$$553), "", 'Data Entry'!$$553)</f>
      </c>
      <c r="CP553">
        <f>IF(ISBLANK('Data Entry'!$$553), "", 'Data Entry'!$$553)</f>
      </c>
      <c r="CQ553">
        <f>IF(ISBLANK('Data Entry'!$$553), "", 'Data Entry'!$$553)</f>
      </c>
      <c r="CR553">
        <f>IF(ISBLANK('Data Entry'!$ $553), "", 'Data Entry'!$ $553)</f>
      </c>
      <c r="CS553">
        <f>IF(ISBLANK('Data Entry'!$¡$553), "", 'Data Entry'!$¡$553)</f>
      </c>
      <c r="CT553">
        <f>IF(ISBLANK('Data Entry'!$¢$553), "", 'Data Entry'!$¢$553)</f>
      </c>
      <c r="CU553">
        <f>IF(ISBLANK('Data Entry'!$£$553), "", 'Data Entry'!$£$553)</f>
      </c>
      <c r="CV553">
        <f>IF(ISBLANK('Data Entry'!$¤$553), "", 'Data Entry'!$¤$553)</f>
      </c>
      <c r="CW553">
        <f>IF(ISBLANK('Data Entry'!$¥$553), "", 'Data Entry'!$¥$553)</f>
      </c>
      <c r="CX553">
        <f>IF(ISBLANK('Data Entry'!$¦$553), "", 'Data Entry'!$¦$553)</f>
      </c>
      <c r="CY553">
        <f>IF(ISBLANK('Data Entry'!$§$553), "", 'Data Entry'!$§$553)</f>
      </c>
      <c r="CZ553">
        <f>IF(ISBLANK('Data Entry'!$¨$553), "", 'Data Entry'!$¨$553)</f>
      </c>
      <c r="DA553">
        <f>IF(ISBLANK('Data Entry'!$©$553), "", 'Data Entry'!$©$553)</f>
      </c>
      <c r="DB553">
        <f>IF(ISBLANK('Data Entry'!$ª$553), "", 'Data Entry'!$ª$553)</f>
      </c>
      <c r="DC553">
        <f>IF(ISBLANK('Data Entry'!$«$553), "", 'Data Entry'!$«$553)</f>
      </c>
      <c r="DD553">
        <f>IF(ISBLANK('Data Entry'!$¬$553), "", 'Data Entry'!$¬$553)</f>
      </c>
      <c r="DE553">
        <f>IF(ISBLANK('Data Entry'!$­$553), "", 'Data Entry'!$­$553)</f>
      </c>
      <c r="DF553">
        <f>IF(ISBLANK('Data Entry'!$®$553), "", 'Data Entry'!$®$553)</f>
      </c>
      <c r="DG553">
        <f>IF(ISBLANK('Data Entry'!$¯$553), "", 'Data Entry'!$¯$553)</f>
      </c>
      <c r="DH553">
        <f>IF(ISBLANK('Data Entry'!$°$553), "", 'Data Entry'!$°$553)</f>
      </c>
      <c r="DI553">
        <f>IF(ISBLANK('Data Entry'!$±$553), "", 'Data Entry'!$±$553)</f>
      </c>
      <c r="DJ553">
        <f>IF(ISBLANK('Data Entry'!$²$553), "", 'Data Entry'!$²$553)</f>
      </c>
      <c r="DK553">
        <f>IF(ISBLANK('Data Entry'!$³$553), "", 'Data Entry'!$³$553)</f>
      </c>
      <c r="DL553">
        <f>IF(ISBLANK('Data Entry'!$´$553), "", 'Data Entry'!$´$553)</f>
      </c>
      <c r="DM553">
        <f>IF(ISBLANK('Data Entry'!$µ$553), "", 'Data Entry'!$µ$553)</f>
      </c>
      <c r="DN553">
        <f>IF(ISBLANK('Data Entry'!$¶$553), "", 'Data Entry'!$¶$553)</f>
      </c>
      <c r="DO553">
        <f>IF(ISBLANK('Data Entry'!$·$553), "", 'Data Entry'!$·$553)</f>
      </c>
      <c r="DP553">
        <f>IF(ISBLANK('Data Entry'!$¸$553), "", 'Data Entry'!$¸$553)</f>
      </c>
      <c r="DQ553">
        <f>IF(ISBLANK('Data Entry'!$¹$553), "", 'Data Entry'!$¹$553)</f>
      </c>
      <c r="DR553">
        <f>IF(ISBLANK('Data Entry'!$º$553), "", 'Data Entry'!$º$553)</f>
      </c>
      <c r="DS553">
        <f>IF(ISBLANK('Data Entry'!$»$553), "", 'Data Entry'!$»$553)</f>
      </c>
      <c r="DT553">
        <f>IF(ISBLANK('Data Entry'!$¼$553), "", 'Data Entry'!$¼$553)</f>
      </c>
      <c r="DU553">
        <f>IF(ISBLANK('Data Entry'!$½$553), "", 'Data Entry'!$½$553)</f>
      </c>
      <c r="DV553">
        <f>IF(ISBLANK('Data Entry'!$¾$553), "", 'Data Entry'!$¾$553)</f>
      </c>
      <c r="DW553">
        <f>IF(ISBLANK('Data Entry'!$¿$553), "", 'Data Entry'!$¿$553)</f>
      </c>
      <c r="DX553">
        <f>IF(ISBLANK('Data Entry'!$À$553), "", 'Data Entry'!$À$553)</f>
      </c>
      <c r="DY553">
        <f>IF(ISBLANK('Data Entry'!$Á$553), "", 'Data Entry'!$Á$553)</f>
      </c>
      <c r="DZ553">
        <f>IF(ISBLANK('Data Entry'!$Â$553), "", 'Data Entry'!$Â$553)</f>
      </c>
      <c r="EA553">
        <f>IF(ISBLANK('Data Entry'!$Ã$553), "", 'Data Entry'!$Ã$553)</f>
      </c>
      <c r="EB553">
        <f>IF(ISBLANK('Data Entry'!$Ä$553), "", 'Data Entry'!$Ä$553)</f>
      </c>
      <c r="EC553">
        <f>IF(ISBLANK('Data Entry'!$Å$553), "", 'Data Entry'!$Å$553)</f>
      </c>
      <c r="ED553">
        <f>IF(ISBLANK('Data Entry'!$Æ$553), "", 'Data Entry'!$Æ$553)</f>
      </c>
      <c r="EE553">
        <f>IF(ISBLANK('Data Entry'!$Ç$553), "", 'Data Entry'!$Ç$553)</f>
      </c>
      <c r="EF553">
        <f>IF(ISBLANK('Data Entry'!$È$553), "", 'Data Entry'!$È$553)</f>
      </c>
      <c r="EG553">
        <f>IF(ISBLANK('Data Entry'!$É$553), "", 'Data Entry'!$É$553)</f>
      </c>
      <c r="EH553">
        <f>IF(ISBLANK('Data Entry'!$Ê$553), "", 'Data Entry'!$Ê$553)</f>
      </c>
      <c r="EI553">
        <f>IF(ISBLANK('Data Entry'!$Ë$553), "", 'Data Entry'!$Ë$553)</f>
      </c>
      <c r="EJ553">
        <f>IF(ISBLANK('Data Entry'!$Ì$553), "", 'Data Entry'!$Ì$553)</f>
      </c>
      <c r="EK553">
        <f>IF(ISBLANK('Data Entry'!$Í$553), "", 'Data Entry'!$Í$553)</f>
      </c>
      <c r="EL553">
        <f>IF(ISBLANK('Data Entry'!$Î$553), "", 'Data Entry'!$Î$553)</f>
      </c>
      <c r="EM553">
        <f>IF(ISBLANK('Data Entry'!$Ï$553), "", 'Data Entry'!$Ï$553)</f>
      </c>
      <c r="EN553">
        <f>IF(ISBLANK('Data Entry'!$Ð$553), "", 'Data Entry'!$Ð$553)</f>
      </c>
      <c r="EO553">
        <f>IF(ISBLANK('Data Entry'!$Ñ$553), "", 'Data Entry'!$Ñ$553)</f>
      </c>
      <c r="EP553">
        <f>IF(ISBLANK('Data Entry'!$Ò$553), "", 'Data Entry'!$Ò$553)</f>
      </c>
      <c r="EQ553">
        <f>IF(ISBLANK('Data Entry'!$Ó$553), "", 'Data Entry'!$Ó$553)</f>
      </c>
      <c r="ER553">
        <f>IF(ISBLANK('Data Entry'!$Ô$553), "", 'Data Entry'!$Ô$553)</f>
      </c>
      <c r="ES553">
        <f>IF(ISBLANK('Data Entry'!$Õ$553), "", 'Data Entry'!$Õ$553)</f>
      </c>
      <c r="ET553">
        <f>IF(ISBLANK('Data Entry'!$Ö$553), "", 'Data Entry'!$Ö$553)</f>
      </c>
      <c r="EU553">
        <f>IF(ISBLANK('Data Entry'!$×$553), "", 'Data Entry'!$×$553)</f>
      </c>
      <c r="EV553">
        <f>IF(ISBLANK('Data Entry'!$Ø$553), "", 'Data Entry'!$Ø$553)</f>
      </c>
      <c r="EW553">
        <f>IF(ISBLANK('Data Entry'!$Ù$553), "", 'Data Entry'!$Ù$553)</f>
      </c>
      <c r="EX553">
        <f>IF(ISBLANK('Data Entry'!$Ú$553), "", 'Data Entry'!$Ú$553)</f>
      </c>
      <c r="EY553">
        <f>IF(ISBLANK('Data Entry'!$Û$553), "", 'Data Entry'!$Û$553)</f>
      </c>
      <c r="EZ553">
        <f>IF(ISBLANK('Data Entry'!$Ü$553), "", 'Data Entry'!$Ü$553)</f>
      </c>
      <c r="FA553">
        <f>IF(ISBLANK('Data Entry'!$Ý$553), "", 'Data Entry'!$Ý$553)</f>
      </c>
      <c r="FB553">
        <f>IF(ISBLANK('Data Entry'!$Þ$553), "", 'Data Entry'!$Þ$553)</f>
      </c>
      <c r="FC553">
        <f>IF(ISBLANK('Data Entry'!$ß$553), "", 'Data Entry'!$ß$553)</f>
      </c>
      <c r="FD553">
        <f>IF(ISBLANK('Data Entry'!$à$553), "", 'Data Entry'!$à$553)</f>
      </c>
      <c r="FE553">
        <f>IF(ISBLANK('Data Entry'!$á$553), "", 'Data Entry'!$á$553)</f>
      </c>
      <c r="FF553">
        <f>IF(ISBLANK('Data Entry'!$â$553), "", 'Data Entry'!$â$553)</f>
      </c>
      <c r="FG553">
        <f>IF(ISBLANK('Data Entry'!$ã$553), "", 'Data Entry'!$ã$553)</f>
      </c>
      <c r="FH553">
        <f>IF(ISBLANK('Data Entry'!$ä$553), "", 'Data Entry'!$ä$553)</f>
      </c>
      <c r="FI553">
        <f>IF(ISBLANK('Data Entry'!$å$553), "", 'Data Entry'!$å$553)</f>
      </c>
      <c r="FJ553">
        <f>IF(ISBLANK('Data Entry'!$æ$553), "", 'Data Entry'!$æ$553)</f>
      </c>
      <c r="FK553">
        <f>IF(ISBLANK('Data Entry'!$ç$553), "", 'Data Entry'!$ç$553)</f>
      </c>
      <c r="FL553">
        <f>IF(ISBLANK('Data Entry'!$è$553), "", 'Data Entry'!$è$553)</f>
      </c>
      <c r="FM553">
        <f>IF(ISBLANK('Data Entry'!$é$553), "", 'Data Entry'!$é$553)</f>
      </c>
      <c r="FN553">
        <f>IF(ISBLANK('Data Entry'!$ê$553), "", 'Data Entry'!$ê$553)</f>
      </c>
      <c r="FO553">
        <f>IF(ISBLANK('Data Entry'!$ë$553), "", 'Data Entry'!$ë$553)</f>
      </c>
      <c r="FP553">
        <f>IF(ISBLANK('Data Entry'!$ì$553), "", 'Data Entry'!$ì$553)</f>
      </c>
      <c r="FQ553">
        <f>IF(ISBLANK('Data Entry'!$í$553), "", 'Data Entry'!$í$553)</f>
      </c>
      <c r="FR553">
        <f>IF(ISBLANK('Data Entry'!$î$553), "", 'Data Entry'!$î$553)</f>
      </c>
      <c r="FS553">
        <f>IF(ISBLANK('Data Entry'!$ï$553), "", 'Data Entry'!$ï$553)</f>
      </c>
      <c r="FT553">
        <f>IF(ISBLANK('Data Entry'!$ð$553), "", 'Data Entry'!$ð$553)</f>
      </c>
      <c r="FU553">
        <f>IF(ISBLANK('Data Entry'!$ñ$553), "", 'Data Entry'!$ñ$553)</f>
      </c>
      <c r="FV553">
        <f>IF(ISBLANK('Data Entry'!$ò$553), "", 'Data Entry'!$ò$553)</f>
      </c>
      <c r="FW553">
        <f>IF(ISBLANK('Data Entry'!$ó$553), "", 'Data Entry'!$ó$553)</f>
      </c>
      <c r="FX553">
        <f>IF(ISBLANK('Data Entry'!$ô$553), "", 'Data Entry'!$ô$553)</f>
      </c>
      <c r="FY553">
        <f>IF(ISBLANK('Data Entry'!$õ$553), "", 'Data Entry'!$õ$553)</f>
      </c>
      <c r="FZ553">
        <f>IF(ISBLANK('Data Entry'!$ö$553), "", 'Data Entry'!$ö$553)</f>
      </c>
      <c r="GA553">
        <f>IF(ISBLANK('Data Entry'!$÷$553), "", 'Data Entry'!$÷$553)</f>
      </c>
      <c r="GB553">
        <f>IF(ISBLANK('Data Entry'!$ø$553), "", 'Data Entry'!$ø$553)</f>
      </c>
      <c r="GC553">
        <f>IF(ISBLANK('Data Entry'!$ù$553), "", 'Data Entry'!$ù$553)</f>
      </c>
      <c r="GD553">
        <f>IF(ISBLANK('Data Entry'!$ú$553), "", 'Data Entry'!$ú$553)</f>
      </c>
      <c r="GE553">
        <f>IF(ISBLANK('Data Entry'!$û$553), "", 'Data Entry'!$û$553)</f>
      </c>
      <c r="GF553">
        <f>IF(ISBLANK('Data Entry'!$ü$553), "", 'Data Entry'!$ü$553)</f>
      </c>
      <c r="GG553">
        <f>IF(ISBLANK('Data Entry'!$ý$553), "", 'Data Entry'!$ý$553)</f>
      </c>
      <c r="GH553">
        <f>IF(ISBLANK('Data Entry'!$þ$553), "", 'Data Entry'!$þ$553)</f>
      </c>
      <c r="GI553">
        <f>IF(ISBLANK('Data Entry'!$ÿ$553), "", 'Data Entry'!$ÿ$553)</f>
      </c>
      <c r="GJ553">
        <f>IF(ISBLANK('Data Entry'!$Ā$553), "", 'Data Entry'!$Ā$553)</f>
      </c>
      <c r="GK553">
        <f>IF(ISBLANK('Data Entry'!$ā$553), "", 'Data Entry'!$ā$553)</f>
      </c>
      <c r="GL553">
        <f>IF(ISBLANK('Data Entry'!$Ă$553), "", 'Data Entry'!$Ă$553)</f>
      </c>
      <c r="GM553">
        <f>IF(ISBLANK('Data Entry'!$ă$553), "", 'Data Entry'!$ă$553)</f>
      </c>
      <c r="GN553">
        <f>IF(ISBLANK('Data Entry'!$Ą$553), "", 'Data Entry'!$Ą$553)</f>
      </c>
      <c r="GO553">
        <f>IF(ISBLANK('Data Entry'!$ą$553), "", 'Data Entry'!$ą$553)</f>
      </c>
      <c r="GP553">
        <f>IF(ISBLANK('Data Entry'!$Ć$553), "", 'Data Entry'!$Ć$553)</f>
      </c>
      <c r="GQ553">
        <f>IF(ISBLANK('Data Entry'!$ć$553), "", 'Data Entry'!$ć$553)</f>
      </c>
      <c r="GR553">
        <f>IF(ISBLANK('Data Entry'!$Ĉ$553), "", 'Data Entry'!$Ĉ$553)</f>
      </c>
      <c r="GS553">
        <f>IF(ISBLANK('Data Entry'!$ĉ$553), "", 'Data Entry'!$ĉ$553)</f>
      </c>
      <c r="GT553">
        <f>IF(ISBLANK('Data Entry'!$Ċ$553), "", 'Data Entry'!$Ċ$553)</f>
      </c>
      <c r="GU553">
        <f>IF(ISBLANK('Data Entry'!$ċ$553), "", 'Data Entry'!$ċ$553)</f>
      </c>
      <c r="GV553">
        <f>IF(ISBLANK('Data Entry'!$Č$553), "", 'Data Entry'!$Č$553)</f>
      </c>
      <c r="GW553">
        <f>IF(ISBLANK('Data Entry'!$č$553), "", 'Data Entry'!$č$553)</f>
      </c>
      <c r="GX553">
        <f>IF(ISBLANK('Data Entry'!$Ď$553), "", 'Data Entry'!$Ď$553)</f>
      </c>
      <c r="GY553">
        <f>IF(ISBLANK('Data Entry'!$ď$553), "", 'Data Entry'!$ď$553)</f>
      </c>
      <c r="GZ553">
        <f>IF(ISBLANK('Data Entry'!$Đ$553), "", 'Data Entry'!$Đ$553)</f>
      </c>
      <c r="HA553">
        <f>IF(ISBLANK('Data Entry'!$đ$553), "", 'Data Entry'!$đ$553)</f>
      </c>
      <c r="HB553">
        <f>IF(ISBLANK('Data Entry'!$Ē$553), "", 'Data Entry'!$Ē$553)</f>
      </c>
      <c r="HC553">
        <f>IF(ISBLANK('Data Entry'!$ē$553), "", 'Data Entry'!$ē$553)</f>
      </c>
      <c r="HD553">
        <f>IF(ISBLANK('Data Entry'!$Ĕ$553), "", 'Data Entry'!$Ĕ$553)</f>
      </c>
      <c r="HE553">
        <f>IF(ISBLANK('Data Entry'!$ĕ$553), "", 'Data Entry'!$ĕ$553)</f>
      </c>
      <c r="HF553">
        <f>IF(ISBLANK('Data Entry'!$Ė$553), "", 'Data Entry'!$Ė$553)</f>
      </c>
      <c r="HG553">
        <f>IF(ISBLANK('Data Entry'!$ė$553), "", 'Data Entry'!$ė$553)</f>
      </c>
      <c r="HH553">
        <f>IF(ISBLANK('Data Entry'!$Ę$553), "", 'Data Entry'!$Ę$553)</f>
      </c>
      <c r="HI553">
        <f>IF(ISBLANK('Data Entry'!$ę$553), "", 'Data Entry'!$ę$553)</f>
      </c>
      <c r="HJ553">
        <f>IF(ISBLANK('Data Entry'!$Ě$553), "", 'Data Entry'!$Ě$553)</f>
      </c>
      <c r="HK553">
        <f>IF(ISBLANK('Data Entry'!$ě$553), "", 'Data Entry'!$ě$553)</f>
      </c>
      <c r="HL553">
        <f>IF(ISBLANK('Data Entry'!$Ĝ$553), "", 'Data Entry'!$Ĝ$553)</f>
      </c>
      <c r="HM553">
        <f>IF(ISBLANK('Data Entry'!$ĝ$553), "", 'Data Entry'!$ĝ$553)</f>
      </c>
      <c r="HN553">
        <f>IF(ISBLANK('Data Entry'!$Ğ$553), "", 'Data Entry'!$Ğ$553)</f>
      </c>
      <c r="HO553">
        <f>IF(ISBLANK('Data Entry'!$ğ$553), "", 'Data Entry'!$ğ$553)</f>
      </c>
      <c r="HP553">
        <f>IF(ISBLANK('Data Entry'!$Ġ$553), "", 'Data Entry'!$Ġ$553)</f>
      </c>
      <c r="HQ553">
        <f>IF(ISBLANK('Data Entry'!$ġ$553), "", 'Data Entry'!$ġ$553)</f>
      </c>
      <c r="HR553">
        <f>IF(ISBLANK('Data Entry'!$Ģ$553), "", 'Data Entry'!$Ģ$553)</f>
      </c>
      <c r="HS553">
        <f>IF(ISBLANK('Data Entry'!$ģ$553), "", 'Data Entry'!$ģ$553)</f>
      </c>
      <c r="HT553">
        <f>IF(ISBLANK('Data Entry'!$Ĥ$553), "", 'Data Entry'!$Ĥ$553)</f>
      </c>
      <c r="HU553">
        <f>IF(ISBLANK('Data Entry'!$ĥ$553), "", 'Data Entry'!$ĥ$553)</f>
      </c>
      <c r="HV553">
        <f>IF(ISBLANK('Data Entry'!$Ħ$553), "", 'Data Entry'!$Ħ$553)</f>
      </c>
      <c r="HW553">
        <f>IF(ISBLANK('Data Entry'!$ħ$553), "", 'Data Entry'!$ħ$553)</f>
      </c>
      <c r="HX553">
        <f>IF(ISBLANK('Data Entry'!$Ĩ$553), "", 'Data Entry'!$Ĩ$553)</f>
      </c>
      <c r="HY553">
        <f>IF(ISBLANK('Data Entry'!$ĩ$553), "", 'Data Entry'!$ĩ$553)</f>
      </c>
      <c r="HZ553">
        <f>IF(ISBLANK('Data Entry'!$Ī$553), "", 'Data Entry'!$Ī$553)</f>
      </c>
      <c r="IA553">
        <f>IF(ISBLANK('Data Entry'!$ī$553), "", 'Data Entry'!$ī$553)</f>
      </c>
      <c r="IB553">
        <f>IF(ISBLANK('Data Entry'!$Ĭ$553), "", 'Data Entry'!$Ĭ$553)</f>
      </c>
      <c r="IC553">
        <f>IF(ISBLANK('Data Entry'!$ĭ$553), "", 'Data Entry'!$ĭ$553)</f>
      </c>
      <c r="ID553">
        <f>IF(ISBLANK('Data Entry'!$Į$553), "", 'Data Entry'!$Į$553)</f>
      </c>
      <c r="IE553">
        <f>IF(ISBLANK('Data Entry'!$į$553), "", 'Data Entry'!$į$553)</f>
      </c>
      <c r="IF553">
        <f>IF(ISBLANK('Data Entry'!$İ$553), "", 'Data Entry'!$İ$553)</f>
      </c>
      <c r="IG553">
        <f>IF(ISBLANK('Data Entry'!$ı$553), "", 'Data Entry'!$ı$553)</f>
      </c>
      <c r="IH553">
        <f>IF(ISBLANK('Data Entry'!$Ĳ$553), "", 'Data Entry'!$Ĳ$553)</f>
      </c>
      <c r="II553">
        <f>IF(ISBLANK('Data Entry'!$ĳ$553), "", 'Data Entry'!$ĳ$553)</f>
      </c>
      <c r="IJ553">
        <f>IF(ISBLANK('Data Entry'!$Ĵ$553), "", 'Data Entry'!$Ĵ$553)</f>
      </c>
      <c r="IK553">
        <f>IF(ISBLANK('Data Entry'!$ĵ$553), "", 'Data Entry'!$ĵ$553)</f>
      </c>
      <c r="IL553">
        <f>IF(ISBLANK('Data Entry'!$Ķ$553), "", 'Data Entry'!$Ķ$553)</f>
      </c>
      <c r="IM553">
        <f>IF(ISBLANK('Data Entry'!$ķ$553), "", 'Data Entry'!$ķ$553)</f>
      </c>
      <c r="IN553">
        <f>IF(ISBLANK('Data Entry'!$ĸ$553), "", 'Data Entry'!$ĸ$553)</f>
      </c>
      <c r="IO553">
        <f>IF(ISBLANK('Data Entry'!$Ĺ$553), "", 'Data Entry'!$Ĺ$553)</f>
      </c>
      <c r="IP553">
        <f>IF(ISBLANK('Data Entry'!$ĺ$553), "", 'Data Entry'!$ĺ$553)</f>
      </c>
      <c r="IQ553">
        <f>IF(ISBLANK('Data Entry'!$Ļ$553), "", 'Data Entry'!$Ļ$553)</f>
      </c>
      <c r="IR553">
        <f>IF(ISBLANK('Data Entry'!$ļ$553), "", 'Data Entry'!$ļ$553)</f>
      </c>
      <c r="IS553">
        <f>IF(ISBLANK('Data Entry'!$Ľ$553), "", 'Data Entry'!$Ľ$553)</f>
      </c>
      <c r="IT553">
        <f>IF(ISBLANK('Data Entry'!$ľ$553), "", 'Data Entry'!$ľ$553)</f>
      </c>
    </row>
    <row r="554" spans="1:254" x14ac:dyDescent="0.25">
      <c r="A554">
        <f>IF(ISBLANK('Data Entry'!$A$554), "", 'Data Entry'!$A$554)</f>
      </c>
      <c r="B554">
        <f>IF(ISBLANK('Data Entry'!$B$554), "", 'Data Entry'!$B$554)</f>
      </c>
      <c r="C554">
        <f>IF(ISBLANK('Data Entry'!$C$554), "", 'Data Entry'!$C$554)</f>
      </c>
      <c r="D554">
        <f>IF(ISBLANK('Data Entry'!$D$554), "", 'Data Entry'!$D$554)</f>
      </c>
      <c r="E554">
        <f>IF(ISBLANK('Data Entry'!$E$554), "", 'Data Entry'!$E$554)</f>
      </c>
      <c r="F554">
        <f>IF(ISBLANK('Data Entry'!$F$554), "", 'Data Entry'!$F$554)</f>
      </c>
      <c r="G554">
        <f>IF(ISBLANK('Data Entry'!$G$554), "", 'Data Entry'!$G$554)</f>
      </c>
      <c r="H554">
        <f>IF(ISBLANK('Data Entry'!$H$554), "", 'Data Entry'!$H$554)</f>
      </c>
      <c r="I554">
        <f>IF(ISBLANK('Data Entry'!$I$554), "", 'Data Entry'!$I$554)</f>
      </c>
      <c r="J554">
        <f>IF(ISBLANK('Data Entry'!$J$554), "", 'Data Entry'!$J$554)</f>
      </c>
      <c r="K554">
        <f>IF(ISBLANK('Data Entry'!$K$554), "", 'Data Entry'!$K$554)</f>
      </c>
      <c r="L554">
        <f>IF(ISBLANK('Data Entry'!$L$554), "", 'Data Entry'!$L$554)</f>
      </c>
      <c r="M554">
        <f>IF(ISBLANK('Data Entry'!$M$554), "", 'Data Entry'!$M$554)</f>
      </c>
      <c r="N554">
        <f>IF(ISBLANK('Data Entry'!$N$554), "", 'Data Entry'!$N$554)</f>
      </c>
      <c r="O554">
        <f>IF(ISBLANK('Data Entry'!$O$554), "", 'Data Entry'!$O$554)</f>
      </c>
      <c r="P554">
        <f>IF(ISBLANK('Data Entry'!$P$554), "", 'Data Entry'!$P$554)</f>
      </c>
      <c r="Q554">
        <f>IF(ISBLANK('Data Entry'!$Q$554), "", 'Data Entry'!$Q$554)</f>
      </c>
      <c r="R554">
        <f>IF(ISBLANK('Data Entry'!$R$554), "", 'Data Entry'!$R$554)</f>
      </c>
      <c r="S554">
        <f>IF(ISBLANK('Data Entry'!$S$554), "", 'Data Entry'!$S$554)</f>
      </c>
      <c r="T554">
        <f>IF(ISBLANK('Data Entry'!$T$554), "", 'Data Entry'!$T$554)</f>
      </c>
      <c r="U554">
        <f>IF(ISBLANK('Data Entry'!$U$554), "", 'Data Entry'!$U$554)</f>
      </c>
      <c r="V554">
        <f>IF(ISBLANK('Data Entry'!$V$554), "", 'Data Entry'!$V$554)</f>
      </c>
      <c r="W554">
        <f>IF(ISBLANK('Data Entry'!$W$554), "", 'Data Entry'!$W$554)</f>
      </c>
      <c r="X554">
        <f>IF(ISBLANK('Data Entry'!$X$554), "", 'Data Entry'!$X$554)</f>
      </c>
      <c r="Y554">
        <f>IF(ISBLANK('Data Entry'!$Y$554), "", 'Data Entry'!$Y$554)</f>
      </c>
      <c r="Z554">
        <f>IF(ISBLANK('Data Entry'!$Z$554), "", 'Data Entry'!$Z$554)</f>
      </c>
      <c r="AA554">
        <f>IF(ISBLANK('Data Entry'!$[$554), "", 'Data Entry'!$[$554)</f>
      </c>
      <c r="AB554">
        <f>IF(ISBLANK('Data Entry'!$\$554), "", 'Data Entry'!$\$554)</f>
      </c>
      <c r="AC554">
        <f>IF(ISBLANK('Data Entry'!$]$554), "", 'Data Entry'!$]$554)</f>
      </c>
      <c r="AD554">
        <f>IF(ISBLANK('Data Entry'!$^$554), "", 'Data Entry'!$^$554)</f>
      </c>
      <c r="AE554">
        <f>IF(ISBLANK('Data Entry'!$_$554), "", 'Data Entry'!$_$554)</f>
      </c>
      <c r="AF554">
        <f>IF(ISBLANK('Data Entry'!$`$554), "", 'Data Entry'!$`$554)</f>
      </c>
      <c r="AG554">
        <f>IF(ISBLANK('Data Entry'!$a$554), "", 'Data Entry'!$a$554)</f>
      </c>
      <c r="AH554">
        <f>IF(ISBLANK('Data Entry'!$b$554), "", 'Data Entry'!$b$554)</f>
      </c>
      <c r="AI554">
        <f>IF(ISBLANK('Data Entry'!$c$554), "", 'Data Entry'!$c$554)</f>
      </c>
      <c r="AJ554">
        <f>IF(ISBLANK('Data Entry'!$d$554), "", 'Data Entry'!$d$554)</f>
      </c>
      <c r="AK554">
        <f>IF(ISBLANK('Data Entry'!$e$554), "", 'Data Entry'!$e$554)</f>
      </c>
      <c r="AL554">
        <f>IF(ISBLANK('Data Entry'!$f$554), "", 'Data Entry'!$f$554)</f>
      </c>
      <c r="AM554">
        <f>IF(ISBLANK('Data Entry'!$g$554), "", 'Data Entry'!$g$554)</f>
      </c>
      <c r="AN554">
        <f>IF(ISBLANK('Data Entry'!$h$554), "", 'Data Entry'!$h$554)</f>
      </c>
      <c r="AO554">
        <f>IF(ISBLANK('Data Entry'!$i$554), "", 'Data Entry'!$i$554)</f>
      </c>
      <c r="AP554">
        <f>IF(ISBLANK('Data Entry'!$j$554), "", 'Data Entry'!$j$554)</f>
      </c>
      <c r="AQ554">
        <f>IF(ISBLANK('Data Entry'!$k$554), "", 'Data Entry'!$k$554)</f>
      </c>
      <c r="AR554">
        <f>IF(ISBLANK('Data Entry'!$l$554), "", 'Data Entry'!$l$554)</f>
      </c>
      <c r="AS554">
        <f>IF(ISBLANK('Data Entry'!$m$554), "", 'Data Entry'!$m$554)</f>
      </c>
      <c r="AT554">
        <f>IF(ISBLANK('Data Entry'!$n$554), "", 'Data Entry'!$n$554)</f>
      </c>
      <c r="AU554">
        <f>IF(ISBLANK('Data Entry'!$o$554), "", 'Data Entry'!$o$554)</f>
      </c>
      <c r="AV554">
        <f>IF(ISBLANK('Data Entry'!$p$554), "", 'Data Entry'!$p$554)</f>
      </c>
      <c r="AW554">
        <f>IF(ISBLANK('Data Entry'!$q$554), "", 'Data Entry'!$q$554)</f>
      </c>
      <c r="AX554">
        <f>IF(ISBLANK('Data Entry'!$r$554), "", 'Data Entry'!$r$554)</f>
      </c>
      <c r="AY554">
        <f>IF(ISBLANK('Data Entry'!$s$554), "", 'Data Entry'!$s$554)</f>
      </c>
      <c r="AZ554">
        <f>IF(ISBLANK('Data Entry'!$t$554), "", 'Data Entry'!$t$554)</f>
      </c>
      <c r="BA554">
        <f>IF(ISBLANK('Data Entry'!$u$554), "", 'Data Entry'!$u$554)</f>
      </c>
      <c r="BB554">
        <f>IF(ISBLANK('Data Entry'!$v$554), "", 'Data Entry'!$v$554)</f>
      </c>
      <c r="BC554">
        <f>IF(ISBLANK('Data Entry'!$w$554), "", 'Data Entry'!$w$554)</f>
      </c>
      <c r="BD554">
        <f>IF(ISBLANK('Data Entry'!$x$554), "", 'Data Entry'!$x$554)</f>
      </c>
      <c r="BE554">
        <f>IF(ISBLANK('Data Entry'!$y$554), "", 'Data Entry'!$y$554)</f>
      </c>
      <c r="BF554">
        <f>IF(ISBLANK('Data Entry'!$z$554), "", 'Data Entry'!$z$554)</f>
      </c>
      <c r="BG554">
        <f>IF(ISBLANK('Data Entry'!${$554), "", 'Data Entry'!${$554)</f>
      </c>
      <c r="BH554">
        <f>IF(ISBLANK('Data Entry'!$|$554), "", 'Data Entry'!$|$554)</f>
      </c>
      <c r="BI554">
        <f>IF(ISBLANK('Data Entry'!$}$554), "", 'Data Entry'!$}$554)</f>
      </c>
      <c r="BJ554">
        <f>IF(ISBLANK('Data Entry'!$~$554), "", 'Data Entry'!$~$554)</f>
      </c>
      <c r="BK554">
        <f>IF(ISBLANK('Data Entry'!$$554), "", 'Data Entry'!$$554)</f>
      </c>
      <c r="BL554">
        <f>IF(ISBLANK('Data Entry'!$$554), "", 'Data Entry'!$$554)</f>
      </c>
      <c r="BM554">
        <f>IF(ISBLANK('Data Entry'!$$554), "", 'Data Entry'!$$554)</f>
      </c>
      <c r="BN554">
        <f>IF(ISBLANK('Data Entry'!$$554), "", 'Data Entry'!$$554)</f>
      </c>
      <c r="BO554">
        <f>IF(ISBLANK('Data Entry'!$$554), "", 'Data Entry'!$$554)</f>
      </c>
      <c r="BP554">
        <f>IF(ISBLANK('Data Entry'!$$554), "", 'Data Entry'!$$554)</f>
      </c>
      <c r="BQ554">
        <f>IF(ISBLANK('Data Entry'!$$554), "", 'Data Entry'!$$554)</f>
      </c>
      <c r="BR554">
        <f>IF(ISBLANK('Data Entry'!$$554), "", 'Data Entry'!$$554)</f>
      </c>
      <c r="BS554">
        <f>IF(ISBLANK('Data Entry'!$$554), "", 'Data Entry'!$$554)</f>
      </c>
      <c r="BT554">
        <f>IF(ISBLANK('Data Entry'!$$554), "", 'Data Entry'!$$554)</f>
      </c>
      <c r="BU554">
        <f>IF(ISBLANK('Data Entry'!$$554), "", 'Data Entry'!$$554)</f>
      </c>
      <c r="BV554">
        <f>IF(ISBLANK('Data Entry'!$$554), "", 'Data Entry'!$$554)</f>
      </c>
      <c r="BW554">
        <f>IF(ISBLANK('Data Entry'!$$554), "", 'Data Entry'!$$554)</f>
      </c>
      <c r="BX554">
        <f>IF(ISBLANK('Data Entry'!$$554), "", 'Data Entry'!$$554)</f>
      </c>
      <c r="BY554">
        <f>IF(ISBLANK('Data Entry'!$$554), "", 'Data Entry'!$$554)</f>
      </c>
      <c r="BZ554">
        <f>IF(ISBLANK('Data Entry'!$$554), "", 'Data Entry'!$$554)</f>
      </c>
      <c r="CA554">
        <f>IF(ISBLANK('Data Entry'!$$554), "", 'Data Entry'!$$554)</f>
      </c>
      <c r="CB554">
        <f>IF(ISBLANK('Data Entry'!$$554), "", 'Data Entry'!$$554)</f>
      </c>
      <c r="CC554">
        <f>IF(ISBLANK('Data Entry'!$$554), "", 'Data Entry'!$$554)</f>
      </c>
      <c r="CD554">
        <f>IF(ISBLANK('Data Entry'!$$554), "", 'Data Entry'!$$554)</f>
      </c>
      <c r="CE554">
        <f>IF(ISBLANK('Data Entry'!$$554), "", 'Data Entry'!$$554)</f>
      </c>
      <c r="CF554">
        <f>IF(ISBLANK('Data Entry'!$$554), "", 'Data Entry'!$$554)</f>
      </c>
      <c r="CG554">
        <f>IF(ISBLANK('Data Entry'!$$554), "", 'Data Entry'!$$554)</f>
      </c>
      <c r="CH554">
        <f>IF(ISBLANK('Data Entry'!$$554), "", 'Data Entry'!$$554)</f>
      </c>
      <c r="CI554">
        <f>IF(ISBLANK('Data Entry'!$$554), "", 'Data Entry'!$$554)</f>
      </c>
      <c r="CJ554">
        <f>IF(ISBLANK('Data Entry'!$$554), "", 'Data Entry'!$$554)</f>
      </c>
      <c r="CK554">
        <f>IF(ISBLANK('Data Entry'!$$554), "", 'Data Entry'!$$554)</f>
      </c>
      <c r="CL554">
        <f>IF(ISBLANK('Data Entry'!$$554), "", 'Data Entry'!$$554)</f>
      </c>
      <c r="CM554">
        <f>IF(ISBLANK('Data Entry'!$$554), "", 'Data Entry'!$$554)</f>
      </c>
      <c r="CN554">
        <f>IF(ISBLANK('Data Entry'!$$554), "", 'Data Entry'!$$554)</f>
      </c>
      <c r="CO554">
        <f>IF(ISBLANK('Data Entry'!$$554), "", 'Data Entry'!$$554)</f>
      </c>
      <c r="CP554">
        <f>IF(ISBLANK('Data Entry'!$$554), "", 'Data Entry'!$$554)</f>
      </c>
      <c r="CQ554">
        <f>IF(ISBLANK('Data Entry'!$$554), "", 'Data Entry'!$$554)</f>
      </c>
      <c r="CR554">
        <f>IF(ISBLANK('Data Entry'!$ $554), "", 'Data Entry'!$ $554)</f>
      </c>
      <c r="CS554">
        <f>IF(ISBLANK('Data Entry'!$¡$554), "", 'Data Entry'!$¡$554)</f>
      </c>
      <c r="CT554">
        <f>IF(ISBLANK('Data Entry'!$¢$554), "", 'Data Entry'!$¢$554)</f>
      </c>
      <c r="CU554">
        <f>IF(ISBLANK('Data Entry'!$£$554), "", 'Data Entry'!$£$554)</f>
      </c>
      <c r="CV554">
        <f>IF(ISBLANK('Data Entry'!$¤$554), "", 'Data Entry'!$¤$554)</f>
      </c>
      <c r="CW554">
        <f>IF(ISBLANK('Data Entry'!$¥$554), "", 'Data Entry'!$¥$554)</f>
      </c>
      <c r="CX554">
        <f>IF(ISBLANK('Data Entry'!$¦$554), "", 'Data Entry'!$¦$554)</f>
      </c>
      <c r="CY554">
        <f>IF(ISBLANK('Data Entry'!$§$554), "", 'Data Entry'!$§$554)</f>
      </c>
      <c r="CZ554">
        <f>IF(ISBLANK('Data Entry'!$¨$554), "", 'Data Entry'!$¨$554)</f>
      </c>
      <c r="DA554">
        <f>IF(ISBLANK('Data Entry'!$©$554), "", 'Data Entry'!$©$554)</f>
      </c>
      <c r="DB554">
        <f>IF(ISBLANK('Data Entry'!$ª$554), "", 'Data Entry'!$ª$554)</f>
      </c>
      <c r="DC554">
        <f>IF(ISBLANK('Data Entry'!$«$554), "", 'Data Entry'!$«$554)</f>
      </c>
      <c r="DD554">
        <f>IF(ISBLANK('Data Entry'!$¬$554), "", 'Data Entry'!$¬$554)</f>
      </c>
      <c r="DE554">
        <f>IF(ISBLANK('Data Entry'!$­$554), "", 'Data Entry'!$­$554)</f>
      </c>
      <c r="DF554">
        <f>IF(ISBLANK('Data Entry'!$®$554), "", 'Data Entry'!$®$554)</f>
      </c>
      <c r="DG554">
        <f>IF(ISBLANK('Data Entry'!$¯$554), "", 'Data Entry'!$¯$554)</f>
      </c>
      <c r="DH554">
        <f>IF(ISBLANK('Data Entry'!$°$554), "", 'Data Entry'!$°$554)</f>
      </c>
      <c r="DI554">
        <f>IF(ISBLANK('Data Entry'!$±$554), "", 'Data Entry'!$±$554)</f>
      </c>
      <c r="DJ554">
        <f>IF(ISBLANK('Data Entry'!$²$554), "", 'Data Entry'!$²$554)</f>
      </c>
      <c r="DK554">
        <f>IF(ISBLANK('Data Entry'!$³$554), "", 'Data Entry'!$³$554)</f>
      </c>
      <c r="DL554">
        <f>IF(ISBLANK('Data Entry'!$´$554), "", 'Data Entry'!$´$554)</f>
      </c>
      <c r="DM554">
        <f>IF(ISBLANK('Data Entry'!$µ$554), "", 'Data Entry'!$µ$554)</f>
      </c>
      <c r="DN554">
        <f>IF(ISBLANK('Data Entry'!$¶$554), "", 'Data Entry'!$¶$554)</f>
      </c>
      <c r="DO554">
        <f>IF(ISBLANK('Data Entry'!$·$554), "", 'Data Entry'!$·$554)</f>
      </c>
      <c r="DP554">
        <f>IF(ISBLANK('Data Entry'!$¸$554), "", 'Data Entry'!$¸$554)</f>
      </c>
      <c r="DQ554">
        <f>IF(ISBLANK('Data Entry'!$¹$554), "", 'Data Entry'!$¹$554)</f>
      </c>
      <c r="DR554">
        <f>IF(ISBLANK('Data Entry'!$º$554), "", 'Data Entry'!$º$554)</f>
      </c>
      <c r="DS554">
        <f>IF(ISBLANK('Data Entry'!$»$554), "", 'Data Entry'!$»$554)</f>
      </c>
      <c r="DT554">
        <f>IF(ISBLANK('Data Entry'!$¼$554), "", 'Data Entry'!$¼$554)</f>
      </c>
      <c r="DU554">
        <f>IF(ISBLANK('Data Entry'!$½$554), "", 'Data Entry'!$½$554)</f>
      </c>
      <c r="DV554">
        <f>IF(ISBLANK('Data Entry'!$¾$554), "", 'Data Entry'!$¾$554)</f>
      </c>
      <c r="DW554">
        <f>IF(ISBLANK('Data Entry'!$¿$554), "", 'Data Entry'!$¿$554)</f>
      </c>
      <c r="DX554">
        <f>IF(ISBLANK('Data Entry'!$À$554), "", 'Data Entry'!$À$554)</f>
      </c>
      <c r="DY554">
        <f>IF(ISBLANK('Data Entry'!$Á$554), "", 'Data Entry'!$Á$554)</f>
      </c>
      <c r="DZ554">
        <f>IF(ISBLANK('Data Entry'!$Â$554), "", 'Data Entry'!$Â$554)</f>
      </c>
      <c r="EA554">
        <f>IF(ISBLANK('Data Entry'!$Ã$554), "", 'Data Entry'!$Ã$554)</f>
      </c>
      <c r="EB554">
        <f>IF(ISBLANK('Data Entry'!$Ä$554), "", 'Data Entry'!$Ä$554)</f>
      </c>
      <c r="EC554">
        <f>IF(ISBLANK('Data Entry'!$Å$554), "", 'Data Entry'!$Å$554)</f>
      </c>
      <c r="ED554">
        <f>IF(ISBLANK('Data Entry'!$Æ$554), "", 'Data Entry'!$Æ$554)</f>
      </c>
      <c r="EE554">
        <f>IF(ISBLANK('Data Entry'!$Ç$554), "", 'Data Entry'!$Ç$554)</f>
      </c>
      <c r="EF554">
        <f>IF(ISBLANK('Data Entry'!$È$554), "", 'Data Entry'!$È$554)</f>
      </c>
      <c r="EG554">
        <f>IF(ISBLANK('Data Entry'!$É$554), "", 'Data Entry'!$É$554)</f>
      </c>
      <c r="EH554">
        <f>IF(ISBLANK('Data Entry'!$Ê$554), "", 'Data Entry'!$Ê$554)</f>
      </c>
      <c r="EI554">
        <f>IF(ISBLANK('Data Entry'!$Ë$554), "", 'Data Entry'!$Ë$554)</f>
      </c>
      <c r="EJ554">
        <f>IF(ISBLANK('Data Entry'!$Ì$554), "", 'Data Entry'!$Ì$554)</f>
      </c>
      <c r="EK554">
        <f>IF(ISBLANK('Data Entry'!$Í$554), "", 'Data Entry'!$Í$554)</f>
      </c>
      <c r="EL554">
        <f>IF(ISBLANK('Data Entry'!$Î$554), "", 'Data Entry'!$Î$554)</f>
      </c>
      <c r="EM554">
        <f>IF(ISBLANK('Data Entry'!$Ï$554), "", 'Data Entry'!$Ï$554)</f>
      </c>
      <c r="EN554">
        <f>IF(ISBLANK('Data Entry'!$Ð$554), "", 'Data Entry'!$Ð$554)</f>
      </c>
      <c r="EO554">
        <f>IF(ISBLANK('Data Entry'!$Ñ$554), "", 'Data Entry'!$Ñ$554)</f>
      </c>
      <c r="EP554">
        <f>IF(ISBLANK('Data Entry'!$Ò$554), "", 'Data Entry'!$Ò$554)</f>
      </c>
      <c r="EQ554">
        <f>IF(ISBLANK('Data Entry'!$Ó$554), "", 'Data Entry'!$Ó$554)</f>
      </c>
      <c r="ER554">
        <f>IF(ISBLANK('Data Entry'!$Ô$554), "", 'Data Entry'!$Ô$554)</f>
      </c>
      <c r="ES554">
        <f>IF(ISBLANK('Data Entry'!$Õ$554), "", 'Data Entry'!$Õ$554)</f>
      </c>
      <c r="ET554">
        <f>IF(ISBLANK('Data Entry'!$Ö$554), "", 'Data Entry'!$Ö$554)</f>
      </c>
      <c r="EU554">
        <f>IF(ISBLANK('Data Entry'!$×$554), "", 'Data Entry'!$×$554)</f>
      </c>
      <c r="EV554">
        <f>IF(ISBLANK('Data Entry'!$Ø$554), "", 'Data Entry'!$Ø$554)</f>
      </c>
      <c r="EW554">
        <f>IF(ISBLANK('Data Entry'!$Ù$554), "", 'Data Entry'!$Ù$554)</f>
      </c>
      <c r="EX554">
        <f>IF(ISBLANK('Data Entry'!$Ú$554), "", 'Data Entry'!$Ú$554)</f>
      </c>
      <c r="EY554">
        <f>IF(ISBLANK('Data Entry'!$Û$554), "", 'Data Entry'!$Û$554)</f>
      </c>
      <c r="EZ554">
        <f>IF(ISBLANK('Data Entry'!$Ü$554), "", 'Data Entry'!$Ü$554)</f>
      </c>
      <c r="FA554">
        <f>IF(ISBLANK('Data Entry'!$Ý$554), "", 'Data Entry'!$Ý$554)</f>
      </c>
      <c r="FB554">
        <f>IF(ISBLANK('Data Entry'!$Þ$554), "", 'Data Entry'!$Þ$554)</f>
      </c>
      <c r="FC554">
        <f>IF(ISBLANK('Data Entry'!$ß$554), "", 'Data Entry'!$ß$554)</f>
      </c>
      <c r="FD554">
        <f>IF(ISBLANK('Data Entry'!$à$554), "", 'Data Entry'!$à$554)</f>
      </c>
      <c r="FE554">
        <f>IF(ISBLANK('Data Entry'!$á$554), "", 'Data Entry'!$á$554)</f>
      </c>
      <c r="FF554">
        <f>IF(ISBLANK('Data Entry'!$â$554), "", 'Data Entry'!$â$554)</f>
      </c>
      <c r="FG554">
        <f>IF(ISBLANK('Data Entry'!$ã$554), "", 'Data Entry'!$ã$554)</f>
      </c>
      <c r="FH554">
        <f>IF(ISBLANK('Data Entry'!$ä$554), "", 'Data Entry'!$ä$554)</f>
      </c>
      <c r="FI554">
        <f>IF(ISBLANK('Data Entry'!$å$554), "", 'Data Entry'!$å$554)</f>
      </c>
      <c r="FJ554">
        <f>IF(ISBLANK('Data Entry'!$æ$554), "", 'Data Entry'!$æ$554)</f>
      </c>
      <c r="FK554">
        <f>IF(ISBLANK('Data Entry'!$ç$554), "", 'Data Entry'!$ç$554)</f>
      </c>
      <c r="FL554">
        <f>IF(ISBLANK('Data Entry'!$è$554), "", 'Data Entry'!$è$554)</f>
      </c>
      <c r="FM554">
        <f>IF(ISBLANK('Data Entry'!$é$554), "", 'Data Entry'!$é$554)</f>
      </c>
      <c r="FN554">
        <f>IF(ISBLANK('Data Entry'!$ê$554), "", 'Data Entry'!$ê$554)</f>
      </c>
      <c r="FO554">
        <f>IF(ISBLANK('Data Entry'!$ë$554), "", 'Data Entry'!$ë$554)</f>
      </c>
      <c r="FP554">
        <f>IF(ISBLANK('Data Entry'!$ì$554), "", 'Data Entry'!$ì$554)</f>
      </c>
      <c r="FQ554">
        <f>IF(ISBLANK('Data Entry'!$í$554), "", 'Data Entry'!$í$554)</f>
      </c>
      <c r="FR554">
        <f>IF(ISBLANK('Data Entry'!$î$554), "", 'Data Entry'!$î$554)</f>
      </c>
      <c r="FS554">
        <f>IF(ISBLANK('Data Entry'!$ï$554), "", 'Data Entry'!$ï$554)</f>
      </c>
      <c r="FT554">
        <f>IF(ISBLANK('Data Entry'!$ð$554), "", 'Data Entry'!$ð$554)</f>
      </c>
      <c r="FU554">
        <f>IF(ISBLANK('Data Entry'!$ñ$554), "", 'Data Entry'!$ñ$554)</f>
      </c>
      <c r="FV554">
        <f>IF(ISBLANK('Data Entry'!$ò$554), "", 'Data Entry'!$ò$554)</f>
      </c>
      <c r="FW554">
        <f>IF(ISBLANK('Data Entry'!$ó$554), "", 'Data Entry'!$ó$554)</f>
      </c>
      <c r="FX554">
        <f>IF(ISBLANK('Data Entry'!$ô$554), "", 'Data Entry'!$ô$554)</f>
      </c>
      <c r="FY554">
        <f>IF(ISBLANK('Data Entry'!$õ$554), "", 'Data Entry'!$õ$554)</f>
      </c>
      <c r="FZ554">
        <f>IF(ISBLANK('Data Entry'!$ö$554), "", 'Data Entry'!$ö$554)</f>
      </c>
      <c r="GA554">
        <f>IF(ISBLANK('Data Entry'!$÷$554), "", 'Data Entry'!$÷$554)</f>
      </c>
      <c r="GB554">
        <f>IF(ISBLANK('Data Entry'!$ø$554), "", 'Data Entry'!$ø$554)</f>
      </c>
      <c r="GC554">
        <f>IF(ISBLANK('Data Entry'!$ù$554), "", 'Data Entry'!$ù$554)</f>
      </c>
      <c r="GD554">
        <f>IF(ISBLANK('Data Entry'!$ú$554), "", 'Data Entry'!$ú$554)</f>
      </c>
      <c r="GE554">
        <f>IF(ISBLANK('Data Entry'!$û$554), "", 'Data Entry'!$û$554)</f>
      </c>
      <c r="GF554">
        <f>IF(ISBLANK('Data Entry'!$ü$554), "", 'Data Entry'!$ü$554)</f>
      </c>
      <c r="GG554">
        <f>IF(ISBLANK('Data Entry'!$ý$554), "", 'Data Entry'!$ý$554)</f>
      </c>
      <c r="GH554">
        <f>IF(ISBLANK('Data Entry'!$þ$554), "", 'Data Entry'!$þ$554)</f>
      </c>
      <c r="GI554">
        <f>IF(ISBLANK('Data Entry'!$ÿ$554), "", 'Data Entry'!$ÿ$554)</f>
      </c>
      <c r="GJ554">
        <f>IF(ISBLANK('Data Entry'!$Ā$554), "", 'Data Entry'!$Ā$554)</f>
      </c>
      <c r="GK554">
        <f>IF(ISBLANK('Data Entry'!$ā$554), "", 'Data Entry'!$ā$554)</f>
      </c>
      <c r="GL554">
        <f>IF(ISBLANK('Data Entry'!$Ă$554), "", 'Data Entry'!$Ă$554)</f>
      </c>
      <c r="GM554">
        <f>IF(ISBLANK('Data Entry'!$ă$554), "", 'Data Entry'!$ă$554)</f>
      </c>
      <c r="GN554">
        <f>IF(ISBLANK('Data Entry'!$Ą$554), "", 'Data Entry'!$Ą$554)</f>
      </c>
      <c r="GO554">
        <f>IF(ISBLANK('Data Entry'!$ą$554), "", 'Data Entry'!$ą$554)</f>
      </c>
      <c r="GP554">
        <f>IF(ISBLANK('Data Entry'!$Ć$554), "", 'Data Entry'!$Ć$554)</f>
      </c>
      <c r="GQ554">
        <f>IF(ISBLANK('Data Entry'!$ć$554), "", 'Data Entry'!$ć$554)</f>
      </c>
      <c r="GR554">
        <f>IF(ISBLANK('Data Entry'!$Ĉ$554), "", 'Data Entry'!$Ĉ$554)</f>
      </c>
      <c r="GS554">
        <f>IF(ISBLANK('Data Entry'!$ĉ$554), "", 'Data Entry'!$ĉ$554)</f>
      </c>
      <c r="GT554">
        <f>IF(ISBLANK('Data Entry'!$Ċ$554), "", 'Data Entry'!$Ċ$554)</f>
      </c>
      <c r="GU554">
        <f>IF(ISBLANK('Data Entry'!$ċ$554), "", 'Data Entry'!$ċ$554)</f>
      </c>
      <c r="GV554">
        <f>IF(ISBLANK('Data Entry'!$Č$554), "", 'Data Entry'!$Č$554)</f>
      </c>
      <c r="GW554">
        <f>IF(ISBLANK('Data Entry'!$č$554), "", 'Data Entry'!$č$554)</f>
      </c>
      <c r="GX554">
        <f>IF(ISBLANK('Data Entry'!$Ď$554), "", 'Data Entry'!$Ď$554)</f>
      </c>
      <c r="GY554">
        <f>IF(ISBLANK('Data Entry'!$ď$554), "", 'Data Entry'!$ď$554)</f>
      </c>
      <c r="GZ554">
        <f>IF(ISBLANK('Data Entry'!$Đ$554), "", 'Data Entry'!$Đ$554)</f>
      </c>
      <c r="HA554">
        <f>IF(ISBLANK('Data Entry'!$đ$554), "", 'Data Entry'!$đ$554)</f>
      </c>
      <c r="HB554">
        <f>IF(ISBLANK('Data Entry'!$Ē$554), "", 'Data Entry'!$Ē$554)</f>
      </c>
      <c r="HC554">
        <f>IF(ISBLANK('Data Entry'!$ē$554), "", 'Data Entry'!$ē$554)</f>
      </c>
      <c r="HD554">
        <f>IF(ISBLANK('Data Entry'!$Ĕ$554), "", 'Data Entry'!$Ĕ$554)</f>
      </c>
      <c r="HE554">
        <f>IF(ISBLANK('Data Entry'!$ĕ$554), "", 'Data Entry'!$ĕ$554)</f>
      </c>
      <c r="HF554">
        <f>IF(ISBLANK('Data Entry'!$Ė$554), "", 'Data Entry'!$Ė$554)</f>
      </c>
      <c r="HG554">
        <f>IF(ISBLANK('Data Entry'!$ė$554), "", 'Data Entry'!$ė$554)</f>
      </c>
      <c r="HH554">
        <f>IF(ISBLANK('Data Entry'!$Ę$554), "", 'Data Entry'!$Ę$554)</f>
      </c>
      <c r="HI554">
        <f>IF(ISBLANK('Data Entry'!$ę$554), "", 'Data Entry'!$ę$554)</f>
      </c>
      <c r="HJ554">
        <f>IF(ISBLANK('Data Entry'!$Ě$554), "", 'Data Entry'!$Ě$554)</f>
      </c>
      <c r="HK554">
        <f>IF(ISBLANK('Data Entry'!$ě$554), "", 'Data Entry'!$ě$554)</f>
      </c>
      <c r="HL554">
        <f>IF(ISBLANK('Data Entry'!$Ĝ$554), "", 'Data Entry'!$Ĝ$554)</f>
      </c>
      <c r="HM554">
        <f>IF(ISBLANK('Data Entry'!$ĝ$554), "", 'Data Entry'!$ĝ$554)</f>
      </c>
      <c r="HN554">
        <f>IF(ISBLANK('Data Entry'!$Ğ$554), "", 'Data Entry'!$Ğ$554)</f>
      </c>
      <c r="HO554">
        <f>IF(ISBLANK('Data Entry'!$ğ$554), "", 'Data Entry'!$ğ$554)</f>
      </c>
      <c r="HP554">
        <f>IF(ISBLANK('Data Entry'!$Ġ$554), "", 'Data Entry'!$Ġ$554)</f>
      </c>
      <c r="HQ554">
        <f>IF(ISBLANK('Data Entry'!$ġ$554), "", 'Data Entry'!$ġ$554)</f>
      </c>
      <c r="HR554">
        <f>IF(ISBLANK('Data Entry'!$Ģ$554), "", 'Data Entry'!$Ģ$554)</f>
      </c>
      <c r="HS554">
        <f>IF(ISBLANK('Data Entry'!$ģ$554), "", 'Data Entry'!$ģ$554)</f>
      </c>
      <c r="HT554">
        <f>IF(ISBLANK('Data Entry'!$Ĥ$554), "", 'Data Entry'!$Ĥ$554)</f>
      </c>
      <c r="HU554">
        <f>IF(ISBLANK('Data Entry'!$ĥ$554), "", 'Data Entry'!$ĥ$554)</f>
      </c>
      <c r="HV554">
        <f>IF(ISBLANK('Data Entry'!$Ħ$554), "", 'Data Entry'!$Ħ$554)</f>
      </c>
      <c r="HW554">
        <f>IF(ISBLANK('Data Entry'!$ħ$554), "", 'Data Entry'!$ħ$554)</f>
      </c>
      <c r="HX554">
        <f>IF(ISBLANK('Data Entry'!$Ĩ$554), "", 'Data Entry'!$Ĩ$554)</f>
      </c>
      <c r="HY554">
        <f>IF(ISBLANK('Data Entry'!$ĩ$554), "", 'Data Entry'!$ĩ$554)</f>
      </c>
      <c r="HZ554">
        <f>IF(ISBLANK('Data Entry'!$Ī$554), "", 'Data Entry'!$Ī$554)</f>
      </c>
      <c r="IA554">
        <f>IF(ISBLANK('Data Entry'!$ī$554), "", 'Data Entry'!$ī$554)</f>
      </c>
      <c r="IB554">
        <f>IF(ISBLANK('Data Entry'!$Ĭ$554), "", 'Data Entry'!$Ĭ$554)</f>
      </c>
      <c r="IC554">
        <f>IF(ISBLANK('Data Entry'!$ĭ$554), "", 'Data Entry'!$ĭ$554)</f>
      </c>
      <c r="ID554">
        <f>IF(ISBLANK('Data Entry'!$Į$554), "", 'Data Entry'!$Į$554)</f>
      </c>
      <c r="IE554">
        <f>IF(ISBLANK('Data Entry'!$į$554), "", 'Data Entry'!$į$554)</f>
      </c>
      <c r="IF554">
        <f>IF(ISBLANK('Data Entry'!$İ$554), "", 'Data Entry'!$İ$554)</f>
      </c>
      <c r="IG554">
        <f>IF(ISBLANK('Data Entry'!$ı$554), "", 'Data Entry'!$ı$554)</f>
      </c>
      <c r="IH554">
        <f>IF(ISBLANK('Data Entry'!$Ĳ$554), "", 'Data Entry'!$Ĳ$554)</f>
      </c>
      <c r="II554">
        <f>IF(ISBLANK('Data Entry'!$ĳ$554), "", 'Data Entry'!$ĳ$554)</f>
      </c>
      <c r="IJ554">
        <f>IF(ISBLANK('Data Entry'!$Ĵ$554), "", 'Data Entry'!$Ĵ$554)</f>
      </c>
      <c r="IK554">
        <f>IF(ISBLANK('Data Entry'!$ĵ$554), "", 'Data Entry'!$ĵ$554)</f>
      </c>
      <c r="IL554">
        <f>IF(ISBLANK('Data Entry'!$Ķ$554), "", 'Data Entry'!$Ķ$554)</f>
      </c>
      <c r="IM554">
        <f>IF(ISBLANK('Data Entry'!$ķ$554), "", 'Data Entry'!$ķ$554)</f>
      </c>
      <c r="IN554">
        <f>IF(ISBLANK('Data Entry'!$ĸ$554), "", 'Data Entry'!$ĸ$554)</f>
      </c>
      <c r="IO554">
        <f>IF(ISBLANK('Data Entry'!$Ĺ$554), "", 'Data Entry'!$Ĺ$554)</f>
      </c>
      <c r="IP554">
        <f>IF(ISBLANK('Data Entry'!$ĺ$554), "", 'Data Entry'!$ĺ$554)</f>
      </c>
      <c r="IQ554">
        <f>IF(ISBLANK('Data Entry'!$Ļ$554), "", 'Data Entry'!$Ļ$554)</f>
      </c>
      <c r="IR554">
        <f>IF(ISBLANK('Data Entry'!$ļ$554), "", 'Data Entry'!$ļ$554)</f>
      </c>
      <c r="IS554">
        <f>IF(ISBLANK('Data Entry'!$Ľ$554), "", 'Data Entry'!$Ľ$554)</f>
      </c>
      <c r="IT554">
        <f>IF(ISBLANK('Data Entry'!$ľ$554), "", 'Data Entry'!$ľ$554)</f>
      </c>
    </row>
    <row r="555" spans="1:254" x14ac:dyDescent="0.25">
      <c r="A555">
        <f>IF(ISBLANK('Data Entry'!$A$555), "", 'Data Entry'!$A$555)</f>
      </c>
      <c r="B555">
        <f>IF(ISBLANK('Data Entry'!$B$555), "", 'Data Entry'!$B$555)</f>
      </c>
      <c r="C555">
        <f>IF(ISBLANK('Data Entry'!$C$555), "", 'Data Entry'!$C$555)</f>
      </c>
      <c r="D555">
        <f>IF(ISBLANK('Data Entry'!$D$555), "", 'Data Entry'!$D$555)</f>
      </c>
      <c r="E555">
        <f>IF(ISBLANK('Data Entry'!$E$555), "", 'Data Entry'!$E$555)</f>
      </c>
      <c r="F555">
        <f>IF(ISBLANK('Data Entry'!$F$555), "", 'Data Entry'!$F$555)</f>
      </c>
      <c r="G555">
        <f>IF(ISBLANK('Data Entry'!$G$555), "", 'Data Entry'!$G$555)</f>
      </c>
      <c r="H555">
        <f>IF(ISBLANK('Data Entry'!$H$555), "", 'Data Entry'!$H$555)</f>
      </c>
      <c r="I555">
        <f>IF(ISBLANK('Data Entry'!$I$555), "", 'Data Entry'!$I$555)</f>
      </c>
      <c r="J555">
        <f>IF(ISBLANK('Data Entry'!$J$555), "", 'Data Entry'!$J$555)</f>
      </c>
      <c r="K555">
        <f>IF(ISBLANK('Data Entry'!$K$555), "", 'Data Entry'!$K$555)</f>
      </c>
      <c r="L555">
        <f>IF(ISBLANK('Data Entry'!$L$555), "", 'Data Entry'!$L$555)</f>
      </c>
      <c r="M555">
        <f>IF(ISBLANK('Data Entry'!$M$555), "", 'Data Entry'!$M$555)</f>
      </c>
      <c r="N555">
        <f>IF(ISBLANK('Data Entry'!$N$555), "", 'Data Entry'!$N$555)</f>
      </c>
      <c r="O555">
        <f>IF(ISBLANK('Data Entry'!$O$555), "", 'Data Entry'!$O$555)</f>
      </c>
      <c r="P555">
        <f>IF(ISBLANK('Data Entry'!$P$555), "", 'Data Entry'!$P$555)</f>
      </c>
      <c r="Q555">
        <f>IF(ISBLANK('Data Entry'!$Q$555), "", 'Data Entry'!$Q$555)</f>
      </c>
      <c r="R555">
        <f>IF(ISBLANK('Data Entry'!$R$555), "", 'Data Entry'!$R$555)</f>
      </c>
      <c r="S555">
        <f>IF(ISBLANK('Data Entry'!$S$555), "", 'Data Entry'!$S$555)</f>
      </c>
      <c r="T555">
        <f>IF(ISBLANK('Data Entry'!$T$555), "", 'Data Entry'!$T$555)</f>
      </c>
      <c r="U555">
        <f>IF(ISBLANK('Data Entry'!$U$555), "", 'Data Entry'!$U$555)</f>
      </c>
      <c r="V555">
        <f>IF(ISBLANK('Data Entry'!$V$555), "", 'Data Entry'!$V$555)</f>
      </c>
      <c r="W555">
        <f>IF(ISBLANK('Data Entry'!$W$555), "", 'Data Entry'!$W$555)</f>
      </c>
      <c r="X555">
        <f>IF(ISBLANK('Data Entry'!$X$555), "", 'Data Entry'!$X$555)</f>
      </c>
      <c r="Y555">
        <f>IF(ISBLANK('Data Entry'!$Y$555), "", 'Data Entry'!$Y$555)</f>
      </c>
      <c r="Z555">
        <f>IF(ISBLANK('Data Entry'!$Z$555), "", 'Data Entry'!$Z$555)</f>
      </c>
      <c r="AA555">
        <f>IF(ISBLANK('Data Entry'!$[$555), "", 'Data Entry'!$[$555)</f>
      </c>
      <c r="AB555">
        <f>IF(ISBLANK('Data Entry'!$\$555), "", 'Data Entry'!$\$555)</f>
      </c>
      <c r="AC555">
        <f>IF(ISBLANK('Data Entry'!$]$555), "", 'Data Entry'!$]$555)</f>
      </c>
      <c r="AD555">
        <f>IF(ISBLANK('Data Entry'!$^$555), "", 'Data Entry'!$^$555)</f>
      </c>
      <c r="AE555">
        <f>IF(ISBLANK('Data Entry'!$_$555), "", 'Data Entry'!$_$555)</f>
      </c>
      <c r="AF555">
        <f>IF(ISBLANK('Data Entry'!$`$555), "", 'Data Entry'!$`$555)</f>
      </c>
      <c r="AG555">
        <f>IF(ISBLANK('Data Entry'!$a$555), "", 'Data Entry'!$a$555)</f>
      </c>
      <c r="AH555">
        <f>IF(ISBLANK('Data Entry'!$b$555), "", 'Data Entry'!$b$555)</f>
      </c>
      <c r="AI555">
        <f>IF(ISBLANK('Data Entry'!$c$555), "", 'Data Entry'!$c$555)</f>
      </c>
      <c r="AJ555">
        <f>IF(ISBLANK('Data Entry'!$d$555), "", 'Data Entry'!$d$555)</f>
      </c>
      <c r="AK555">
        <f>IF(ISBLANK('Data Entry'!$e$555), "", 'Data Entry'!$e$555)</f>
      </c>
      <c r="AL555">
        <f>IF(ISBLANK('Data Entry'!$f$555), "", 'Data Entry'!$f$555)</f>
      </c>
      <c r="AM555">
        <f>IF(ISBLANK('Data Entry'!$g$555), "", 'Data Entry'!$g$555)</f>
      </c>
      <c r="AN555">
        <f>IF(ISBLANK('Data Entry'!$h$555), "", 'Data Entry'!$h$555)</f>
      </c>
      <c r="AO555">
        <f>IF(ISBLANK('Data Entry'!$i$555), "", 'Data Entry'!$i$555)</f>
      </c>
      <c r="AP555">
        <f>IF(ISBLANK('Data Entry'!$j$555), "", 'Data Entry'!$j$555)</f>
      </c>
      <c r="AQ555">
        <f>IF(ISBLANK('Data Entry'!$k$555), "", 'Data Entry'!$k$555)</f>
      </c>
      <c r="AR555">
        <f>IF(ISBLANK('Data Entry'!$l$555), "", 'Data Entry'!$l$555)</f>
      </c>
      <c r="AS555">
        <f>IF(ISBLANK('Data Entry'!$m$555), "", 'Data Entry'!$m$555)</f>
      </c>
      <c r="AT555">
        <f>IF(ISBLANK('Data Entry'!$n$555), "", 'Data Entry'!$n$555)</f>
      </c>
      <c r="AU555">
        <f>IF(ISBLANK('Data Entry'!$o$555), "", 'Data Entry'!$o$555)</f>
      </c>
      <c r="AV555">
        <f>IF(ISBLANK('Data Entry'!$p$555), "", 'Data Entry'!$p$555)</f>
      </c>
      <c r="AW555">
        <f>IF(ISBLANK('Data Entry'!$q$555), "", 'Data Entry'!$q$555)</f>
      </c>
      <c r="AX555">
        <f>IF(ISBLANK('Data Entry'!$r$555), "", 'Data Entry'!$r$555)</f>
      </c>
      <c r="AY555">
        <f>IF(ISBLANK('Data Entry'!$s$555), "", 'Data Entry'!$s$555)</f>
      </c>
      <c r="AZ555">
        <f>IF(ISBLANK('Data Entry'!$t$555), "", 'Data Entry'!$t$555)</f>
      </c>
      <c r="BA555">
        <f>IF(ISBLANK('Data Entry'!$u$555), "", 'Data Entry'!$u$555)</f>
      </c>
      <c r="BB555">
        <f>IF(ISBLANK('Data Entry'!$v$555), "", 'Data Entry'!$v$555)</f>
      </c>
      <c r="BC555">
        <f>IF(ISBLANK('Data Entry'!$w$555), "", 'Data Entry'!$w$555)</f>
      </c>
      <c r="BD555">
        <f>IF(ISBLANK('Data Entry'!$x$555), "", 'Data Entry'!$x$555)</f>
      </c>
      <c r="BE555">
        <f>IF(ISBLANK('Data Entry'!$y$555), "", 'Data Entry'!$y$555)</f>
      </c>
      <c r="BF555">
        <f>IF(ISBLANK('Data Entry'!$z$555), "", 'Data Entry'!$z$555)</f>
      </c>
      <c r="BG555">
        <f>IF(ISBLANK('Data Entry'!${$555), "", 'Data Entry'!${$555)</f>
      </c>
      <c r="BH555">
        <f>IF(ISBLANK('Data Entry'!$|$555), "", 'Data Entry'!$|$555)</f>
      </c>
      <c r="BI555">
        <f>IF(ISBLANK('Data Entry'!$}$555), "", 'Data Entry'!$}$555)</f>
      </c>
      <c r="BJ555">
        <f>IF(ISBLANK('Data Entry'!$~$555), "", 'Data Entry'!$~$555)</f>
      </c>
      <c r="BK555">
        <f>IF(ISBLANK('Data Entry'!$$555), "", 'Data Entry'!$$555)</f>
      </c>
      <c r="BL555">
        <f>IF(ISBLANK('Data Entry'!$$555), "", 'Data Entry'!$$555)</f>
      </c>
      <c r="BM555">
        <f>IF(ISBLANK('Data Entry'!$$555), "", 'Data Entry'!$$555)</f>
      </c>
      <c r="BN555">
        <f>IF(ISBLANK('Data Entry'!$$555), "", 'Data Entry'!$$555)</f>
      </c>
      <c r="BO555">
        <f>IF(ISBLANK('Data Entry'!$$555), "", 'Data Entry'!$$555)</f>
      </c>
      <c r="BP555">
        <f>IF(ISBLANK('Data Entry'!$$555), "", 'Data Entry'!$$555)</f>
      </c>
      <c r="BQ555">
        <f>IF(ISBLANK('Data Entry'!$$555), "", 'Data Entry'!$$555)</f>
      </c>
      <c r="BR555">
        <f>IF(ISBLANK('Data Entry'!$$555), "", 'Data Entry'!$$555)</f>
      </c>
      <c r="BS555">
        <f>IF(ISBLANK('Data Entry'!$$555), "", 'Data Entry'!$$555)</f>
      </c>
      <c r="BT555">
        <f>IF(ISBLANK('Data Entry'!$$555), "", 'Data Entry'!$$555)</f>
      </c>
      <c r="BU555">
        <f>IF(ISBLANK('Data Entry'!$$555), "", 'Data Entry'!$$555)</f>
      </c>
      <c r="BV555">
        <f>IF(ISBLANK('Data Entry'!$$555), "", 'Data Entry'!$$555)</f>
      </c>
      <c r="BW555">
        <f>IF(ISBLANK('Data Entry'!$$555), "", 'Data Entry'!$$555)</f>
      </c>
      <c r="BX555">
        <f>IF(ISBLANK('Data Entry'!$$555), "", 'Data Entry'!$$555)</f>
      </c>
      <c r="BY555">
        <f>IF(ISBLANK('Data Entry'!$$555), "", 'Data Entry'!$$555)</f>
      </c>
      <c r="BZ555">
        <f>IF(ISBLANK('Data Entry'!$$555), "", 'Data Entry'!$$555)</f>
      </c>
      <c r="CA555">
        <f>IF(ISBLANK('Data Entry'!$$555), "", 'Data Entry'!$$555)</f>
      </c>
      <c r="CB555">
        <f>IF(ISBLANK('Data Entry'!$$555), "", 'Data Entry'!$$555)</f>
      </c>
      <c r="CC555">
        <f>IF(ISBLANK('Data Entry'!$$555), "", 'Data Entry'!$$555)</f>
      </c>
      <c r="CD555">
        <f>IF(ISBLANK('Data Entry'!$$555), "", 'Data Entry'!$$555)</f>
      </c>
      <c r="CE555">
        <f>IF(ISBLANK('Data Entry'!$$555), "", 'Data Entry'!$$555)</f>
      </c>
      <c r="CF555">
        <f>IF(ISBLANK('Data Entry'!$$555), "", 'Data Entry'!$$555)</f>
      </c>
      <c r="CG555">
        <f>IF(ISBLANK('Data Entry'!$$555), "", 'Data Entry'!$$555)</f>
      </c>
      <c r="CH555">
        <f>IF(ISBLANK('Data Entry'!$$555), "", 'Data Entry'!$$555)</f>
      </c>
      <c r="CI555">
        <f>IF(ISBLANK('Data Entry'!$$555), "", 'Data Entry'!$$555)</f>
      </c>
      <c r="CJ555">
        <f>IF(ISBLANK('Data Entry'!$$555), "", 'Data Entry'!$$555)</f>
      </c>
      <c r="CK555">
        <f>IF(ISBLANK('Data Entry'!$$555), "", 'Data Entry'!$$555)</f>
      </c>
      <c r="CL555">
        <f>IF(ISBLANK('Data Entry'!$$555), "", 'Data Entry'!$$555)</f>
      </c>
      <c r="CM555">
        <f>IF(ISBLANK('Data Entry'!$$555), "", 'Data Entry'!$$555)</f>
      </c>
      <c r="CN555">
        <f>IF(ISBLANK('Data Entry'!$$555), "", 'Data Entry'!$$555)</f>
      </c>
      <c r="CO555">
        <f>IF(ISBLANK('Data Entry'!$$555), "", 'Data Entry'!$$555)</f>
      </c>
      <c r="CP555">
        <f>IF(ISBLANK('Data Entry'!$$555), "", 'Data Entry'!$$555)</f>
      </c>
      <c r="CQ555">
        <f>IF(ISBLANK('Data Entry'!$$555), "", 'Data Entry'!$$555)</f>
      </c>
      <c r="CR555">
        <f>IF(ISBLANK('Data Entry'!$ $555), "", 'Data Entry'!$ $555)</f>
      </c>
      <c r="CS555">
        <f>IF(ISBLANK('Data Entry'!$¡$555), "", 'Data Entry'!$¡$555)</f>
      </c>
      <c r="CT555">
        <f>IF(ISBLANK('Data Entry'!$¢$555), "", 'Data Entry'!$¢$555)</f>
      </c>
      <c r="CU555">
        <f>IF(ISBLANK('Data Entry'!$£$555), "", 'Data Entry'!$£$555)</f>
      </c>
      <c r="CV555">
        <f>IF(ISBLANK('Data Entry'!$¤$555), "", 'Data Entry'!$¤$555)</f>
      </c>
      <c r="CW555">
        <f>IF(ISBLANK('Data Entry'!$¥$555), "", 'Data Entry'!$¥$555)</f>
      </c>
      <c r="CX555">
        <f>IF(ISBLANK('Data Entry'!$¦$555), "", 'Data Entry'!$¦$555)</f>
      </c>
      <c r="CY555">
        <f>IF(ISBLANK('Data Entry'!$§$555), "", 'Data Entry'!$§$555)</f>
      </c>
      <c r="CZ555">
        <f>IF(ISBLANK('Data Entry'!$¨$555), "", 'Data Entry'!$¨$555)</f>
      </c>
      <c r="DA555">
        <f>IF(ISBLANK('Data Entry'!$©$555), "", 'Data Entry'!$©$555)</f>
      </c>
      <c r="DB555">
        <f>IF(ISBLANK('Data Entry'!$ª$555), "", 'Data Entry'!$ª$555)</f>
      </c>
      <c r="DC555">
        <f>IF(ISBLANK('Data Entry'!$«$555), "", 'Data Entry'!$«$555)</f>
      </c>
      <c r="DD555">
        <f>IF(ISBLANK('Data Entry'!$¬$555), "", 'Data Entry'!$¬$555)</f>
      </c>
      <c r="DE555">
        <f>IF(ISBLANK('Data Entry'!$­$555), "", 'Data Entry'!$­$555)</f>
      </c>
      <c r="DF555">
        <f>IF(ISBLANK('Data Entry'!$®$555), "", 'Data Entry'!$®$555)</f>
      </c>
      <c r="DG555">
        <f>IF(ISBLANK('Data Entry'!$¯$555), "", 'Data Entry'!$¯$555)</f>
      </c>
      <c r="DH555">
        <f>IF(ISBLANK('Data Entry'!$°$555), "", 'Data Entry'!$°$555)</f>
      </c>
      <c r="DI555">
        <f>IF(ISBLANK('Data Entry'!$±$555), "", 'Data Entry'!$±$555)</f>
      </c>
      <c r="DJ555">
        <f>IF(ISBLANK('Data Entry'!$²$555), "", 'Data Entry'!$²$555)</f>
      </c>
      <c r="DK555">
        <f>IF(ISBLANK('Data Entry'!$³$555), "", 'Data Entry'!$³$555)</f>
      </c>
      <c r="DL555">
        <f>IF(ISBLANK('Data Entry'!$´$555), "", 'Data Entry'!$´$555)</f>
      </c>
      <c r="DM555">
        <f>IF(ISBLANK('Data Entry'!$µ$555), "", 'Data Entry'!$µ$555)</f>
      </c>
      <c r="DN555">
        <f>IF(ISBLANK('Data Entry'!$¶$555), "", 'Data Entry'!$¶$555)</f>
      </c>
      <c r="DO555">
        <f>IF(ISBLANK('Data Entry'!$·$555), "", 'Data Entry'!$·$555)</f>
      </c>
      <c r="DP555">
        <f>IF(ISBLANK('Data Entry'!$¸$555), "", 'Data Entry'!$¸$555)</f>
      </c>
      <c r="DQ555">
        <f>IF(ISBLANK('Data Entry'!$¹$555), "", 'Data Entry'!$¹$555)</f>
      </c>
      <c r="DR555">
        <f>IF(ISBLANK('Data Entry'!$º$555), "", 'Data Entry'!$º$555)</f>
      </c>
      <c r="DS555">
        <f>IF(ISBLANK('Data Entry'!$»$555), "", 'Data Entry'!$»$555)</f>
      </c>
      <c r="DT555">
        <f>IF(ISBLANK('Data Entry'!$¼$555), "", 'Data Entry'!$¼$555)</f>
      </c>
      <c r="DU555">
        <f>IF(ISBLANK('Data Entry'!$½$555), "", 'Data Entry'!$½$555)</f>
      </c>
      <c r="DV555">
        <f>IF(ISBLANK('Data Entry'!$¾$555), "", 'Data Entry'!$¾$555)</f>
      </c>
      <c r="DW555">
        <f>IF(ISBLANK('Data Entry'!$¿$555), "", 'Data Entry'!$¿$555)</f>
      </c>
      <c r="DX555">
        <f>IF(ISBLANK('Data Entry'!$À$555), "", 'Data Entry'!$À$555)</f>
      </c>
      <c r="DY555">
        <f>IF(ISBLANK('Data Entry'!$Á$555), "", 'Data Entry'!$Á$555)</f>
      </c>
      <c r="DZ555">
        <f>IF(ISBLANK('Data Entry'!$Â$555), "", 'Data Entry'!$Â$555)</f>
      </c>
      <c r="EA555">
        <f>IF(ISBLANK('Data Entry'!$Ã$555), "", 'Data Entry'!$Ã$555)</f>
      </c>
      <c r="EB555">
        <f>IF(ISBLANK('Data Entry'!$Ä$555), "", 'Data Entry'!$Ä$555)</f>
      </c>
      <c r="EC555">
        <f>IF(ISBLANK('Data Entry'!$Å$555), "", 'Data Entry'!$Å$555)</f>
      </c>
      <c r="ED555">
        <f>IF(ISBLANK('Data Entry'!$Æ$555), "", 'Data Entry'!$Æ$555)</f>
      </c>
      <c r="EE555">
        <f>IF(ISBLANK('Data Entry'!$Ç$555), "", 'Data Entry'!$Ç$555)</f>
      </c>
      <c r="EF555">
        <f>IF(ISBLANK('Data Entry'!$È$555), "", 'Data Entry'!$È$555)</f>
      </c>
      <c r="EG555">
        <f>IF(ISBLANK('Data Entry'!$É$555), "", 'Data Entry'!$É$555)</f>
      </c>
      <c r="EH555">
        <f>IF(ISBLANK('Data Entry'!$Ê$555), "", 'Data Entry'!$Ê$555)</f>
      </c>
      <c r="EI555">
        <f>IF(ISBLANK('Data Entry'!$Ë$555), "", 'Data Entry'!$Ë$555)</f>
      </c>
      <c r="EJ555">
        <f>IF(ISBLANK('Data Entry'!$Ì$555), "", 'Data Entry'!$Ì$555)</f>
      </c>
      <c r="EK555">
        <f>IF(ISBLANK('Data Entry'!$Í$555), "", 'Data Entry'!$Í$555)</f>
      </c>
      <c r="EL555">
        <f>IF(ISBLANK('Data Entry'!$Î$555), "", 'Data Entry'!$Î$555)</f>
      </c>
      <c r="EM555">
        <f>IF(ISBLANK('Data Entry'!$Ï$555), "", 'Data Entry'!$Ï$555)</f>
      </c>
      <c r="EN555">
        <f>IF(ISBLANK('Data Entry'!$Ð$555), "", 'Data Entry'!$Ð$555)</f>
      </c>
      <c r="EO555">
        <f>IF(ISBLANK('Data Entry'!$Ñ$555), "", 'Data Entry'!$Ñ$555)</f>
      </c>
      <c r="EP555">
        <f>IF(ISBLANK('Data Entry'!$Ò$555), "", 'Data Entry'!$Ò$555)</f>
      </c>
      <c r="EQ555">
        <f>IF(ISBLANK('Data Entry'!$Ó$555), "", 'Data Entry'!$Ó$555)</f>
      </c>
      <c r="ER555">
        <f>IF(ISBLANK('Data Entry'!$Ô$555), "", 'Data Entry'!$Ô$555)</f>
      </c>
      <c r="ES555">
        <f>IF(ISBLANK('Data Entry'!$Õ$555), "", 'Data Entry'!$Õ$555)</f>
      </c>
      <c r="ET555">
        <f>IF(ISBLANK('Data Entry'!$Ö$555), "", 'Data Entry'!$Ö$555)</f>
      </c>
      <c r="EU555">
        <f>IF(ISBLANK('Data Entry'!$×$555), "", 'Data Entry'!$×$555)</f>
      </c>
      <c r="EV555">
        <f>IF(ISBLANK('Data Entry'!$Ø$555), "", 'Data Entry'!$Ø$555)</f>
      </c>
      <c r="EW555">
        <f>IF(ISBLANK('Data Entry'!$Ù$555), "", 'Data Entry'!$Ù$555)</f>
      </c>
      <c r="EX555">
        <f>IF(ISBLANK('Data Entry'!$Ú$555), "", 'Data Entry'!$Ú$555)</f>
      </c>
      <c r="EY555">
        <f>IF(ISBLANK('Data Entry'!$Û$555), "", 'Data Entry'!$Û$555)</f>
      </c>
      <c r="EZ555">
        <f>IF(ISBLANK('Data Entry'!$Ü$555), "", 'Data Entry'!$Ü$555)</f>
      </c>
      <c r="FA555">
        <f>IF(ISBLANK('Data Entry'!$Ý$555), "", 'Data Entry'!$Ý$555)</f>
      </c>
      <c r="FB555">
        <f>IF(ISBLANK('Data Entry'!$Þ$555), "", 'Data Entry'!$Þ$555)</f>
      </c>
      <c r="FC555">
        <f>IF(ISBLANK('Data Entry'!$ß$555), "", 'Data Entry'!$ß$555)</f>
      </c>
      <c r="FD555">
        <f>IF(ISBLANK('Data Entry'!$à$555), "", 'Data Entry'!$à$555)</f>
      </c>
      <c r="FE555">
        <f>IF(ISBLANK('Data Entry'!$á$555), "", 'Data Entry'!$á$555)</f>
      </c>
      <c r="FF555">
        <f>IF(ISBLANK('Data Entry'!$â$555), "", 'Data Entry'!$â$555)</f>
      </c>
      <c r="FG555">
        <f>IF(ISBLANK('Data Entry'!$ã$555), "", 'Data Entry'!$ã$555)</f>
      </c>
      <c r="FH555">
        <f>IF(ISBLANK('Data Entry'!$ä$555), "", 'Data Entry'!$ä$555)</f>
      </c>
      <c r="FI555">
        <f>IF(ISBLANK('Data Entry'!$å$555), "", 'Data Entry'!$å$555)</f>
      </c>
      <c r="FJ555">
        <f>IF(ISBLANK('Data Entry'!$æ$555), "", 'Data Entry'!$æ$555)</f>
      </c>
      <c r="FK555">
        <f>IF(ISBLANK('Data Entry'!$ç$555), "", 'Data Entry'!$ç$555)</f>
      </c>
      <c r="FL555">
        <f>IF(ISBLANK('Data Entry'!$è$555), "", 'Data Entry'!$è$555)</f>
      </c>
      <c r="FM555">
        <f>IF(ISBLANK('Data Entry'!$é$555), "", 'Data Entry'!$é$555)</f>
      </c>
      <c r="FN555">
        <f>IF(ISBLANK('Data Entry'!$ê$555), "", 'Data Entry'!$ê$555)</f>
      </c>
      <c r="FO555">
        <f>IF(ISBLANK('Data Entry'!$ë$555), "", 'Data Entry'!$ë$555)</f>
      </c>
      <c r="FP555">
        <f>IF(ISBLANK('Data Entry'!$ì$555), "", 'Data Entry'!$ì$555)</f>
      </c>
      <c r="FQ555">
        <f>IF(ISBLANK('Data Entry'!$í$555), "", 'Data Entry'!$í$555)</f>
      </c>
      <c r="FR555">
        <f>IF(ISBLANK('Data Entry'!$î$555), "", 'Data Entry'!$î$555)</f>
      </c>
      <c r="FS555">
        <f>IF(ISBLANK('Data Entry'!$ï$555), "", 'Data Entry'!$ï$555)</f>
      </c>
      <c r="FT555">
        <f>IF(ISBLANK('Data Entry'!$ð$555), "", 'Data Entry'!$ð$555)</f>
      </c>
      <c r="FU555">
        <f>IF(ISBLANK('Data Entry'!$ñ$555), "", 'Data Entry'!$ñ$555)</f>
      </c>
      <c r="FV555">
        <f>IF(ISBLANK('Data Entry'!$ò$555), "", 'Data Entry'!$ò$555)</f>
      </c>
      <c r="FW555">
        <f>IF(ISBLANK('Data Entry'!$ó$555), "", 'Data Entry'!$ó$555)</f>
      </c>
      <c r="FX555">
        <f>IF(ISBLANK('Data Entry'!$ô$555), "", 'Data Entry'!$ô$555)</f>
      </c>
      <c r="FY555">
        <f>IF(ISBLANK('Data Entry'!$õ$555), "", 'Data Entry'!$õ$555)</f>
      </c>
      <c r="FZ555">
        <f>IF(ISBLANK('Data Entry'!$ö$555), "", 'Data Entry'!$ö$555)</f>
      </c>
      <c r="GA555">
        <f>IF(ISBLANK('Data Entry'!$÷$555), "", 'Data Entry'!$÷$555)</f>
      </c>
      <c r="GB555">
        <f>IF(ISBLANK('Data Entry'!$ø$555), "", 'Data Entry'!$ø$555)</f>
      </c>
      <c r="GC555">
        <f>IF(ISBLANK('Data Entry'!$ù$555), "", 'Data Entry'!$ù$555)</f>
      </c>
      <c r="GD555">
        <f>IF(ISBLANK('Data Entry'!$ú$555), "", 'Data Entry'!$ú$555)</f>
      </c>
      <c r="GE555">
        <f>IF(ISBLANK('Data Entry'!$û$555), "", 'Data Entry'!$û$555)</f>
      </c>
      <c r="GF555">
        <f>IF(ISBLANK('Data Entry'!$ü$555), "", 'Data Entry'!$ü$555)</f>
      </c>
      <c r="GG555">
        <f>IF(ISBLANK('Data Entry'!$ý$555), "", 'Data Entry'!$ý$555)</f>
      </c>
      <c r="GH555">
        <f>IF(ISBLANK('Data Entry'!$þ$555), "", 'Data Entry'!$þ$555)</f>
      </c>
      <c r="GI555">
        <f>IF(ISBLANK('Data Entry'!$ÿ$555), "", 'Data Entry'!$ÿ$555)</f>
      </c>
      <c r="GJ555">
        <f>IF(ISBLANK('Data Entry'!$Ā$555), "", 'Data Entry'!$Ā$555)</f>
      </c>
      <c r="GK555">
        <f>IF(ISBLANK('Data Entry'!$ā$555), "", 'Data Entry'!$ā$555)</f>
      </c>
      <c r="GL555">
        <f>IF(ISBLANK('Data Entry'!$Ă$555), "", 'Data Entry'!$Ă$555)</f>
      </c>
      <c r="GM555">
        <f>IF(ISBLANK('Data Entry'!$ă$555), "", 'Data Entry'!$ă$555)</f>
      </c>
      <c r="GN555">
        <f>IF(ISBLANK('Data Entry'!$Ą$555), "", 'Data Entry'!$Ą$555)</f>
      </c>
      <c r="GO555">
        <f>IF(ISBLANK('Data Entry'!$ą$555), "", 'Data Entry'!$ą$555)</f>
      </c>
      <c r="GP555">
        <f>IF(ISBLANK('Data Entry'!$Ć$555), "", 'Data Entry'!$Ć$555)</f>
      </c>
      <c r="GQ555">
        <f>IF(ISBLANK('Data Entry'!$ć$555), "", 'Data Entry'!$ć$555)</f>
      </c>
      <c r="GR555">
        <f>IF(ISBLANK('Data Entry'!$Ĉ$555), "", 'Data Entry'!$Ĉ$555)</f>
      </c>
      <c r="GS555">
        <f>IF(ISBLANK('Data Entry'!$ĉ$555), "", 'Data Entry'!$ĉ$555)</f>
      </c>
      <c r="GT555">
        <f>IF(ISBLANK('Data Entry'!$Ċ$555), "", 'Data Entry'!$Ċ$555)</f>
      </c>
      <c r="GU555">
        <f>IF(ISBLANK('Data Entry'!$ċ$555), "", 'Data Entry'!$ċ$555)</f>
      </c>
      <c r="GV555">
        <f>IF(ISBLANK('Data Entry'!$Č$555), "", 'Data Entry'!$Č$555)</f>
      </c>
      <c r="GW555">
        <f>IF(ISBLANK('Data Entry'!$č$555), "", 'Data Entry'!$č$555)</f>
      </c>
      <c r="GX555">
        <f>IF(ISBLANK('Data Entry'!$Ď$555), "", 'Data Entry'!$Ď$555)</f>
      </c>
      <c r="GY555">
        <f>IF(ISBLANK('Data Entry'!$ď$555), "", 'Data Entry'!$ď$555)</f>
      </c>
      <c r="GZ555">
        <f>IF(ISBLANK('Data Entry'!$Đ$555), "", 'Data Entry'!$Đ$555)</f>
      </c>
      <c r="HA555">
        <f>IF(ISBLANK('Data Entry'!$đ$555), "", 'Data Entry'!$đ$555)</f>
      </c>
      <c r="HB555">
        <f>IF(ISBLANK('Data Entry'!$Ē$555), "", 'Data Entry'!$Ē$555)</f>
      </c>
      <c r="HC555">
        <f>IF(ISBLANK('Data Entry'!$ē$555), "", 'Data Entry'!$ē$555)</f>
      </c>
      <c r="HD555">
        <f>IF(ISBLANK('Data Entry'!$Ĕ$555), "", 'Data Entry'!$Ĕ$555)</f>
      </c>
      <c r="HE555">
        <f>IF(ISBLANK('Data Entry'!$ĕ$555), "", 'Data Entry'!$ĕ$555)</f>
      </c>
      <c r="HF555">
        <f>IF(ISBLANK('Data Entry'!$Ė$555), "", 'Data Entry'!$Ė$555)</f>
      </c>
      <c r="HG555">
        <f>IF(ISBLANK('Data Entry'!$ė$555), "", 'Data Entry'!$ė$555)</f>
      </c>
      <c r="HH555">
        <f>IF(ISBLANK('Data Entry'!$Ę$555), "", 'Data Entry'!$Ę$555)</f>
      </c>
      <c r="HI555">
        <f>IF(ISBLANK('Data Entry'!$ę$555), "", 'Data Entry'!$ę$555)</f>
      </c>
      <c r="HJ555">
        <f>IF(ISBLANK('Data Entry'!$Ě$555), "", 'Data Entry'!$Ě$555)</f>
      </c>
      <c r="HK555">
        <f>IF(ISBLANK('Data Entry'!$ě$555), "", 'Data Entry'!$ě$555)</f>
      </c>
      <c r="HL555">
        <f>IF(ISBLANK('Data Entry'!$Ĝ$555), "", 'Data Entry'!$Ĝ$555)</f>
      </c>
      <c r="HM555">
        <f>IF(ISBLANK('Data Entry'!$ĝ$555), "", 'Data Entry'!$ĝ$555)</f>
      </c>
      <c r="HN555">
        <f>IF(ISBLANK('Data Entry'!$Ğ$555), "", 'Data Entry'!$Ğ$555)</f>
      </c>
      <c r="HO555">
        <f>IF(ISBLANK('Data Entry'!$ğ$555), "", 'Data Entry'!$ğ$555)</f>
      </c>
      <c r="HP555">
        <f>IF(ISBLANK('Data Entry'!$Ġ$555), "", 'Data Entry'!$Ġ$555)</f>
      </c>
      <c r="HQ555">
        <f>IF(ISBLANK('Data Entry'!$ġ$555), "", 'Data Entry'!$ġ$555)</f>
      </c>
      <c r="HR555">
        <f>IF(ISBLANK('Data Entry'!$Ģ$555), "", 'Data Entry'!$Ģ$555)</f>
      </c>
      <c r="HS555">
        <f>IF(ISBLANK('Data Entry'!$ģ$555), "", 'Data Entry'!$ģ$555)</f>
      </c>
      <c r="HT555">
        <f>IF(ISBLANK('Data Entry'!$Ĥ$555), "", 'Data Entry'!$Ĥ$555)</f>
      </c>
      <c r="HU555">
        <f>IF(ISBLANK('Data Entry'!$ĥ$555), "", 'Data Entry'!$ĥ$555)</f>
      </c>
      <c r="HV555">
        <f>IF(ISBLANK('Data Entry'!$Ħ$555), "", 'Data Entry'!$Ħ$555)</f>
      </c>
      <c r="HW555">
        <f>IF(ISBLANK('Data Entry'!$ħ$555), "", 'Data Entry'!$ħ$555)</f>
      </c>
      <c r="HX555">
        <f>IF(ISBLANK('Data Entry'!$Ĩ$555), "", 'Data Entry'!$Ĩ$555)</f>
      </c>
      <c r="HY555">
        <f>IF(ISBLANK('Data Entry'!$ĩ$555), "", 'Data Entry'!$ĩ$555)</f>
      </c>
      <c r="HZ555">
        <f>IF(ISBLANK('Data Entry'!$Ī$555), "", 'Data Entry'!$Ī$555)</f>
      </c>
      <c r="IA555">
        <f>IF(ISBLANK('Data Entry'!$ī$555), "", 'Data Entry'!$ī$555)</f>
      </c>
      <c r="IB555">
        <f>IF(ISBLANK('Data Entry'!$Ĭ$555), "", 'Data Entry'!$Ĭ$555)</f>
      </c>
      <c r="IC555">
        <f>IF(ISBLANK('Data Entry'!$ĭ$555), "", 'Data Entry'!$ĭ$555)</f>
      </c>
      <c r="ID555">
        <f>IF(ISBLANK('Data Entry'!$Į$555), "", 'Data Entry'!$Į$555)</f>
      </c>
      <c r="IE555">
        <f>IF(ISBLANK('Data Entry'!$į$555), "", 'Data Entry'!$į$555)</f>
      </c>
      <c r="IF555">
        <f>IF(ISBLANK('Data Entry'!$İ$555), "", 'Data Entry'!$İ$555)</f>
      </c>
      <c r="IG555">
        <f>IF(ISBLANK('Data Entry'!$ı$555), "", 'Data Entry'!$ı$555)</f>
      </c>
      <c r="IH555">
        <f>IF(ISBLANK('Data Entry'!$Ĳ$555), "", 'Data Entry'!$Ĳ$555)</f>
      </c>
      <c r="II555">
        <f>IF(ISBLANK('Data Entry'!$ĳ$555), "", 'Data Entry'!$ĳ$555)</f>
      </c>
      <c r="IJ555">
        <f>IF(ISBLANK('Data Entry'!$Ĵ$555), "", 'Data Entry'!$Ĵ$555)</f>
      </c>
      <c r="IK555">
        <f>IF(ISBLANK('Data Entry'!$ĵ$555), "", 'Data Entry'!$ĵ$555)</f>
      </c>
      <c r="IL555">
        <f>IF(ISBLANK('Data Entry'!$Ķ$555), "", 'Data Entry'!$Ķ$555)</f>
      </c>
      <c r="IM555">
        <f>IF(ISBLANK('Data Entry'!$ķ$555), "", 'Data Entry'!$ķ$555)</f>
      </c>
      <c r="IN555">
        <f>IF(ISBLANK('Data Entry'!$ĸ$555), "", 'Data Entry'!$ĸ$555)</f>
      </c>
      <c r="IO555">
        <f>IF(ISBLANK('Data Entry'!$Ĺ$555), "", 'Data Entry'!$Ĺ$555)</f>
      </c>
      <c r="IP555">
        <f>IF(ISBLANK('Data Entry'!$ĺ$555), "", 'Data Entry'!$ĺ$555)</f>
      </c>
      <c r="IQ555">
        <f>IF(ISBLANK('Data Entry'!$Ļ$555), "", 'Data Entry'!$Ļ$555)</f>
      </c>
      <c r="IR555">
        <f>IF(ISBLANK('Data Entry'!$ļ$555), "", 'Data Entry'!$ļ$555)</f>
      </c>
      <c r="IS555">
        <f>IF(ISBLANK('Data Entry'!$Ľ$555), "", 'Data Entry'!$Ľ$555)</f>
      </c>
      <c r="IT555">
        <f>IF(ISBLANK('Data Entry'!$ľ$555), "", 'Data Entry'!$ľ$555)</f>
      </c>
    </row>
    <row r="556" spans="1:254" x14ac:dyDescent="0.25">
      <c r="A556">
        <f>IF(ISBLANK('Data Entry'!$A$556), "", 'Data Entry'!$A$556)</f>
      </c>
      <c r="B556">
        <f>IF(ISBLANK('Data Entry'!$B$556), "", 'Data Entry'!$B$556)</f>
      </c>
      <c r="C556">
        <f>IF(ISBLANK('Data Entry'!$C$556), "", 'Data Entry'!$C$556)</f>
      </c>
      <c r="D556">
        <f>IF(ISBLANK('Data Entry'!$D$556), "", 'Data Entry'!$D$556)</f>
      </c>
      <c r="E556">
        <f>IF(ISBLANK('Data Entry'!$E$556), "", 'Data Entry'!$E$556)</f>
      </c>
      <c r="F556">
        <f>IF(ISBLANK('Data Entry'!$F$556), "", 'Data Entry'!$F$556)</f>
      </c>
      <c r="G556">
        <f>IF(ISBLANK('Data Entry'!$G$556), "", 'Data Entry'!$G$556)</f>
      </c>
      <c r="H556">
        <f>IF(ISBLANK('Data Entry'!$H$556), "", 'Data Entry'!$H$556)</f>
      </c>
      <c r="I556">
        <f>IF(ISBLANK('Data Entry'!$I$556), "", 'Data Entry'!$I$556)</f>
      </c>
      <c r="J556">
        <f>IF(ISBLANK('Data Entry'!$J$556), "", 'Data Entry'!$J$556)</f>
      </c>
      <c r="K556">
        <f>IF(ISBLANK('Data Entry'!$K$556), "", 'Data Entry'!$K$556)</f>
      </c>
      <c r="L556">
        <f>IF(ISBLANK('Data Entry'!$L$556), "", 'Data Entry'!$L$556)</f>
      </c>
      <c r="M556">
        <f>IF(ISBLANK('Data Entry'!$M$556), "", 'Data Entry'!$M$556)</f>
      </c>
      <c r="N556">
        <f>IF(ISBLANK('Data Entry'!$N$556), "", 'Data Entry'!$N$556)</f>
      </c>
      <c r="O556">
        <f>IF(ISBLANK('Data Entry'!$O$556), "", 'Data Entry'!$O$556)</f>
      </c>
      <c r="P556">
        <f>IF(ISBLANK('Data Entry'!$P$556), "", 'Data Entry'!$P$556)</f>
      </c>
      <c r="Q556">
        <f>IF(ISBLANK('Data Entry'!$Q$556), "", 'Data Entry'!$Q$556)</f>
      </c>
      <c r="R556">
        <f>IF(ISBLANK('Data Entry'!$R$556), "", 'Data Entry'!$R$556)</f>
      </c>
      <c r="S556">
        <f>IF(ISBLANK('Data Entry'!$S$556), "", 'Data Entry'!$S$556)</f>
      </c>
      <c r="T556">
        <f>IF(ISBLANK('Data Entry'!$T$556), "", 'Data Entry'!$T$556)</f>
      </c>
      <c r="U556">
        <f>IF(ISBLANK('Data Entry'!$U$556), "", 'Data Entry'!$U$556)</f>
      </c>
      <c r="V556">
        <f>IF(ISBLANK('Data Entry'!$V$556), "", 'Data Entry'!$V$556)</f>
      </c>
      <c r="W556">
        <f>IF(ISBLANK('Data Entry'!$W$556), "", 'Data Entry'!$W$556)</f>
      </c>
      <c r="X556">
        <f>IF(ISBLANK('Data Entry'!$X$556), "", 'Data Entry'!$X$556)</f>
      </c>
      <c r="Y556">
        <f>IF(ISBLANK('Data Entry'!$Y$556), "", 'Data Entry'!$Y$556)</f>
      </c>
      <c r="Z556">
        <f>IF(ISBLANK('Data Entry'!$Z$556), "", 'Data Entry'!$Z$556)</f>
      </c>
      <c r="AA556">
        <f>IF(ISBLANK('Data Entry'!$[$556), "", 'Data Entry'!$[$556)</f>
      </c>
      <c r="AB556">
        <f>IF(ISBLANK('Data Entry'!$\$556), "", 'Data Entry'!$\$556)</f>
      </c>
      <c r="AC556">
        <f>IF(ISBLANK('Data Entry'!$]$556), "", 'Data Entry'!$]$556)</f>
      </c>
      <c r="AD556">
        <f>IF(ISBLANK('Data Entry'!$^$556), "", 'Data Entry'!$^$556)</f>
      </c>
      <c r="AE556">
        <f>IF(ISBLANK('Data Entry'!$_$556), "", 'Data Entry'!$_$556)</f>
      </c>
      <c r="AF556">
        <f>IF(ISBLANK('Data Entry'!$`$556), "", 'Data Entry'!$`$556)</f>
      </c>
      <c r="AG556">
        <f>IF(ISBLANK('Data Entry'!$a$556), "", 'Data Entry'!$a$556)</f>
      </c>
      <c r="AH556">
        <f>IF(ISBLANK('Data Entry'!$b$556), "", 'Data Entry'!$b$556)</f>
      </c>
      <c r="AI556">
        <f>IF(ISBLANK('Data Entry'!$c$556), "", 'Data Entry'!$c$556)</f>
      </c>
      <c r="AJ556">
        <f>IF(ISBLANK('Data Entry'!$d$556), "", 'Data Entry'!$d$556)</f>
      </c>
      <c r="AK556">
        <f>IF(ISBLANK('Data Entry'!$e$556), "", 'Data Entry'!$e$556)</f>
      </c>
      <c r="AL556">
        <f>IF(ISBLANK('Data Entry'!$f$556), "", 'Data Entry'!$f$556)</f>
      </c>
      <c r="AM556">
        <f>IF(ISBLANK('Data Entry'!$g$556), "", 'Data Entry'!$g$556)</f>
      </c>
      <c r="AN556">
        <f>IF(ISBLANK('Data Entry'!$h$556), "", 'Data Entry'!$h$556)</f>
      </c>
      <c r="AO556">
        <f>IF(ISBLANK('Data Entry'!$i$556), "", 'Data Entry'!$i$556)</f>
      </c>
      <c r="AP556">
        <f>IF(ISBLANK('Data Entry'!$j$556), "", 'Data Entry'!$j$556)</f>
      </c>
      <c r="AQ556">
        <f>IF(ISBLANK('Data Entry'!$k$556), "", 'Data Entry'!$k$556)</f>
      </c>
      <c r="AR556">
        <f>IF(ISBLANK('Data Entry'!$l$556), "", 'Data Entry'!$l$556)</f>
      </c>
      <c r="AS556">
        <f>IF(ISBLANK('Data Entry'!$m$556), "", 'Data Entry'!$m$556)</f>
      </c>
      <c r="AT556">
        <f>IF(ISBLANK('Data Entry'!$n$556), "", 'Data Entry'!$n$556)</f>
      </c>
      <c r="AU556">
        <f>IF(ISBLANK('Data Entry'!$o$556), "", 'Data Entry'!$o$556)</f>
      </c>
      <c r="AV556">
        <f>IF(ISBLANK('Data Entry'!$p$556), "", 'Data Entry'!$p$556)</f>
      </c>
      <c r="AW556">
        <f>IF(ISBLANK('Data Entry'!$q$556), "", 'Data Entry'!$q$556)</f>
      </c>
      <c r="AX556">
        <f>IF(ISBLANK('Data Entry'!$r$556), "", 'Data Entry'!$r$556)</f>
      </c>
      <c r="AY556">
        <f>IF(ISBLANK('Data Entry'!$s$556), "", 'Data Entry'!$s$556)</f>
      </c>
      <c r="AZ556">
        <f>IF(ISBLANK('Data Entry'!$t$556), "", 'Data Entry'!$t$556)</f>
      </c>
      <c r="BA556">
        <f>IF(ISBLANK('Data Entry'!$u$556), "", 'Data Entry'!$u$556)</f>
      </c>
      <c r="BB556">
        <f>IF(ISBLANK('Data Entry'!$v$556), "", 'Data Entry'!$v$556)</f>
      </c>
      <c r="BC556">
        <f>IF(ISBLANK('Data Entry'!$w$556), "", 'Data Entry'!$w$556)</f>
      </c>
      <c r="BD556">
        <f>IF(ISBLANK('Data Entry'!$x$556), "", 'Data Entry'!$x$556)</f>
      </c>
      <c r="BE556">
        <f>IF(ISBLANK('Data Entry'!$y$556), "", 'Data Entry'!$y$556)</f>
      </c>
      <c r="BF556">
        <f>IF(ISBLANK('Data Entry'!$z$556), "", 'Data Entry'!$z$556)</f>
      </c>
      <c r="BG556">
        <f>IF(ISBLANK('Data Entry'!${$556), "", 'Data Entry'!${$556)</f>
      </c>
      <c r="BH556">
        <f>IF(ISBLANK('Data Entry'!$|$556), "", 'Data Entry'!$|$556)</f>
      </c>
      <c r="BI556">
        <f>IF(ISBLANK('Data Entry'!$}$556), "", 'Data Entry'!$}$556)</f>
      </c>
      <c r="BJ556">
        <f>IF(ISBLANK('Data Entry'!$~$556), "", 'Data Entry'!$~$556)</f>
      </c>
      <c r="BK556">
        <f>IF(ISBLANK('Data Entry'!$$556), "", 'Data Entry'!$$556)</f>
      </c>
      <c r="BL556">
        <f>IF(ISBLANK('Data Entry'!$$556), "", 'Data Entry'!$$556)</f>
      </c>
      <c r="BM556">
        <f>IF(ISBLANK('Data Entry'!$$556), "", 'Data Entry'!$$556)</f>
      </c>
      <c r="BN556">
        <f>IF(ISBLANK('Data Entry'!$$556), "", 'Data Entry'!$$556)</f>
      </c>
      <c r="BO556">
        <f>IF(ISBLANK('Data Entry'!$$556), "", 'Data Entry'!$$556)</f>
      </c>
      <c r="BP556">
        <f>IF(ISBLANK('Data Entry'!$$556), "", 'Data Entry'!$$556)</f>
      </c>
      <c r="BQ556">
        <f>IF(ISBLANK('Data Entry'!$$556), "", 'Data Entry'!$$556)</f>
      </c>
      <c r="BR556">
        <f>IF(ISBLANK('Data Entry'!$$556), "", 'Data Entry'!$$556)</f>
      </c>
      <c r="BS556">
        <f>IF(ISBLANK('Data Entry'!$$556), "", 'Data Entry'!$$556)</f>
      </c>
      <c r="BT556">
        <f>IF(ISBLANK('Data Entry'!$$556), "", 'Data Entry'!$$556)</f>
      </c>
      <c r="BU556">
        <f>IF(ISBLANK('Data Entry'!$$556), "", 'Data Entry'!$$556)</f>
      </c>
      <c r="BV556">
        <f>IF(ISBLANK('Data Entry'!$$556), "", 'Data Entry'!$$556)</f>
      </c>
      <c r="BW556">
        <f>IF(ISBLANK('Data Entry'!$$556), "", 'Data Entry'!$$556)</f>
      </c>
      <c r="BX556">
        <f>IF(ISBLANK('Data Entry'!$$556), "", 'Data Entry'!$$556)</f>
      </c>
      <c r="BY556">
        <f>IF(ISBLANK('Data Entry'!$$556), "", 'Data Entry'!$$556)</f>
      </c>
      <c r="BZ556">
        <f>IF(ISBLANK('Data Entry'!$$556), "", 'Data Entry'!$$556)</f>
      </c>
      <c r="CA556">
        <f>IF(ISBLANK('Data Entry'!$$556), "", 'Data Entry'!$$556)</f>
      </c>
      <c r="CB556">
        <f>IF(ISBLANK('Data Entry'!$$556), "", 'Data Entry'!$$556)</f>
      </c>
      <c r="CC556">
        <f>IF(ISBLANK('Data Entry'!$$556), "", 'Data Entry'!$$556)</f>
      </c>
      <c r="CD556">
        <f>IF(ISBLANK('Data Entry'!$$556), "", 'Data Entry'!$$556)</f>
      </c>
      <c r="CE556">
        <f>IF(ISBLANK('Data Entry'!$$556), "", 'Data Entry'!$$556)</f>
      </c>
      <c r="CF556">
        <f>IF(ISBLANK('Data Entry'!$$556), "", 'Data Entry'!$$556)</f>
      </c>
      <c r="CG556">
        <f>IF(ISBLANK('Data Entry'!$$556), "", 'Data Entry'!$$556)</f>
      </c>
      <c r="CH556">
        <f>IF(ISBLANK('Data Entry'!$$556), "", 'Data Entry'!$$556)</f>
      </c>
      <c r="CI556">
        <f>IF(ISBLANK('Data Entry'!$$556), "", 'Data Entry'!$$556)</f>
      </c>
      <c r="CJ556">
        <f>IF(ISBLANK('Data Entry'!$$556), "", 'Data Entry'!$$556)</f>
      </c>
      <c r="CK556">
        <f>IF(ISBLANK('Data Entry'!$$556), "", 'Data Entry'!$$556)</f>
      </c>
      <c r="CL556">
        <f>IF(ISBLANK('Data Entry'!$$556), "", 'Data Entry'!$$556)</f>
      </c>
      <c r="CM556">
        <f>IF(ISBLANK('Data Entry'!$$556), "", 'Data Entry'!$$556)</f>
      </c>
      <c r="CN556">
        <f>IF(ISBLANK('Data Entry'!$$556), "", 'Data Entry'!$$556)</f>
      </c>
      <c r="CO556">
        <f>IF(ISBLANK('Data Entry'!$$556), "", 'Data Entry'!$$556)</f>
      </c>
      <c r="CP556">
        <f>IF(ISBLANK('Data Entry'!$$556), "", 'Data Entry'!$$556)</f>
      </c>
      <c r="CQ556">
        <f>IF(ISBLANK('Data Entry'!$$556), "", 'Data Entry'!$$556)</f>
      </c>
      <c r="CR556">
        <f>IF(ISBLANK('Data Entry'!$ $556), "", 'Data Entry'!$ $556)</f>
      </c>
      <c r="CS556">
        <f>IF(ISBLANK('Data Entry'!$¡$556), "", 'Data Entry'!$¡$556)</f>
      </c>
      <c r="CT556">
        <f>IF(ISBLANK('Data Entry'!$¢$556), "", 'Data Entry'!$¢$556)</f>
      </c>
      <c r="CU556">
        <f>IF(ISBLANK('Data Entry'!$£$556), "", 'Data Entry'!$£$556)</f>
      </c>
      <c r="CV556">
        <f>IF(ISBLANK('Data Entry'!$¤$556), "", 'Data Entry'!$¤$556)</f>
      </c>
      <c r="CW556">
        <f>IF(ISBLANK('Data Entry'!$¥$556), "", 'Data Entry'!$¥$556)</f>
      </c>
      <c r="CX556">
        <f>IF(ISBLANK('Data Entry'!$¦$556), "", 'Data Entry'!$¦$556)</f>
      </c>
      <c r="CY556">
        <f>IF(ISBLANK('Data Entry'!$§$556), "", 'Data Entry'!$§$556)</f>
      </c>
      <c r="CZ556">
        <f>IF(ISBLANK('Data Entry'!$¨$556), "", 'Data Entry'!$¨$556)</f>
      </c>
      <c r="DA556">
        <f>IF(ISBLANK('Data Entry'!$©$556), "", 'Data Entry'!$©$556)</f>
      </c>
      <c r="DB556">
        <f>IF(ISBLANK('Data Entry'!$ª$556), "", 'Data Entry'!$ª$556)</f>
      </c>
      <c r="DC556">
        <f>IF(ISBLANK('Data Entry'!$«$556), "", 'Data Entry'!$«$556)</f>
      </c>
      <c r="DD556">
        <f>IF(ISBLANK('Data Entry'!$¬$556), "", 'Data Entry'!$¬$556)</f>
      </c>
      <c r="DE556">
        <f>IF(ISBLANK('Data Entry'!$­$556), "", 'Data Entry'!$­$556)</f>
      </c>
      <c r="DF556">
        <f>IF(ISBLANK('Data Entry'!$®$556), "", 'Data Entry'!$®$556)</f>
      </c>
      <c r="DG556">
        <f>IF(ISBLANK('Data Entry'!$¯$556), "", 'Data Entry'!$¯$556)</f>
      </c>
      <c r="DH556">
        <f>IF(ISBLANK('Data Entry'!$°$556), "", 'Data Entry'!$°$556)</f>
      </c>
      <c r="DI556">
        <f>IF(ISBLANK('Data Entry'!$±$556), "", 'Data Entry'!$±$556)</f>
      </c>
      <c r="DJ556">
        <f>IF(ISBLANK('Data Entry'!$²$556), "", 'Data Entry'!$²$556)</f>
      </c>
      <c r="DK556">
        <f>IF(ISBLANK('Data Entry'!$³$556), "", 'Data Entry'!$³$556)</f>
      </c>
      <c r="DL556">
        <f>IF(ISBLANK('Data Entry'!$´$556), "", 'Data Entry'!$´$556)</f>
      </c>
      <c r="DM556">
        <f>IF(ISBLANK('Data Entry'!$µ$556), "", 'Data Entry'!$µ$556)</f>
      </c>
      <c r="DN556">
        <f>IF(ISBLANK('Data Entry'!$¶$556), "", 'Data Entry'!$¶$556)</f>
      </c>
      <c r="DO556">
        <f>IF(ISBLANK('Data Entry'!$·$556), "", 'Data Entry'!$·$556)</f>
      </c>
      <c r="DP556">
        <f>IF(ISBLANK('Data Entry'!$¸$556), "", 'Data Entry'!$¸$556)</f>
      </c>
      <c r="DQ556">
        <f>IF(ISBLANK('Data Entry'!$¹$556), "", 'Data Entry'!$¹$556)</f>
      </c>
      <c r="DR556">
        <f>IF(ISBLANK('Data Entry'!$º$556), "", 'Data Entry'!$º$556)</f>
      </c>
      <c r="DS556">
        <f>IF(ISBLANK('Data Entry'!$»$556), "", 'Data Entry'!$»$556)</f>
      </c>
      <c r="DT556">
        <f>IF(ISBLANK('Data Entry'!$¼$556), "", 'Data Entry'!$¼$556)</f>
      </c>
      <c r="DU556">
        <f>IF(ISBLANK('Data Entry'!$½$556), "", 'Data Entry'!$½$556)</f>
      </c>
      <c r="DV556">
        <f>IF(ISBLANK('Data Entry'!$¾$556), "", 'Data Entry'!$¾$556)</f>
      </c>
      <c r="DW556">
        <f>IF(ISBLANK('Data Entry'!$¿$556), "", 'Data Entry'!$¿$556)</f>
      </c>
      <c r="DX556">
        <f>IF(ISBLANK('Data Entry'!$À$556), "", 'Data Entry'!$À$556)</f>
      </c>
      <c r="DY556">
        <f>IF(ISBLANK('Data Entry'!$Á$556), "", 'Data Entry'!$Á$556)</f>
      </c>
      <c r="DZ556">
        <f>IF(ISBLANK('Data Entry'!$Â$556), "", 'Data Entry'!$Â$556)</f>
      </c>
      <c r="EA556">
        <f>IF(ISBLANK('Data Entry'!$Ã$556), "", 'Data Entry'!$Ã$556)</f>
      </c>
      <c r="EB556">
        <f>IF(ISBLANK('Data Entry'!$Ä$556), "", 'Data Entry'!$Ä$556)</f>
      </c>
      <c r="EC556">
        <f>IF(ISBLANK('Data Entry'!$Å$556), "", 'Data Entry'!$Å$556)</f>
      </c>
      <c r="ED556">
        <f>IF(ISBLANK('Data Entry'!$Æ$556), "", 'Data Entry'!$Æ$556)</f>
      </c>
      <c r="EE556">
        <f>IF(ISBLANK('Data Entry'!$Ç$556), "", 'Data Entry'!$Ç$556)</f>
      </c>
      <c r="EF556">
        <f>IF(ISBLANK('Data Entry'!$È$556), "", 'Data Entry'!$È$556)</f>
      </c>
      <c r="EG556">
        <f>IF(ISBLANK('Data Entry'!$É$556), "", 'Data Entry'!$É$556)</f>
      </c>
      <c r="EH556">
        <f>IF(ISBLANK('Data Entry'!$Ê$556), "", 'Data Entry'!$Ê$556)</f>
      </c>
      <c r="EI556">
        <f>IF(ISBLANK('Data Entry'!$Ë$556), "", 'Data Entry'!$Ë$556)</f>
      </c>
      <c r="EJ556">
        <f>IF(ISBLANK('Data Entry'!$Ì$556), "", 'Data Entry'!$Ì$556)</f>
      </c>
      <c r="EK556">
        <f>IF(ISBLANK('Data Entry'!$Í$556), "", 'Data Entry'!$Í$556)</f>
      </c>
      <c r="EL556">
        <f>IF(ISBLANK('Data Entry'!$Î$556), "", 'Data Entry'!$Î$556)</f>
      </c>
      <c r="EM556">
        <f>IF(ISBLANK('Data Entry'!$Ï$556), "", 'Data Entry'!$Ï$556)</f>
      </c>
      <c r="EN556">
        <f>IF(ISBLANK('Data Entry'!$Ð$556), "", 'Data Entry'!$Ð$556)</f>
      </c>
      <c r="EO556">
        <f>IF(ISBLANK('Data Entry'!$Ñ$556), "", 'Data Entry'!$Ñ$556)</f>
      </c>
      <c r="EP556">
        <f>IF(ISBLANK('Data Entry'!$Ò$556), "", 'Data Entry'!$Ò$556)</f>
      </c>
      <c r="EQ556">
        <f>IF(ISBLANK('Data Entry'!$Ó$556), "", 'Data Entry'!$Ó$556)</f>
      </c>
      <c r="ER556">
        <f>IF(ISBLANK('Data Entry'!$Ô$556), "", 'Data Entry'!$Ô$556)</f>
      </c>
      <c r="ES556">
        <f>IF(ISBLANK('Data Entry'!$Õ$556), "", 'Data Entry'!$Õ$556)</f>
      </c>
      <c r="ET556">
        <f>IF(ISBLANK('Data Entry'!$Ö$556), "", 'Data Entry'!$Ö$556)</f>
      </c>
      <c r="EU556">
        <f>IF(ISBLANK('Data Entry'!$×$556), "", 'Data Entry'!$×$556)</f>
      </c>
      <c r="EV556">
        <f>IF(ISBLANK('Data Entry'!$Ø$556), "", 'Data Entry'!$Ø$556)</f>
      </c>
      <c r="EW556">
        <f>IF(ISBLANK('Data Entry'!$Ù$556), "", 'Data Entry'!$Ù$556)</f>
      </c>
      <c r="EX556">
        <f>IF(ISBLANK('Data Entry'!$Ú$556), "", 'Data Entry'!$Ú$556)</f>
      </c>
      <c r="EY556">
        <f>IF(ISBLANK('Data Entry'!$Û$556), "", 'Data Entry'!$Û$556)</f>
      </c>
      <c r="EZ556">
        <f>IF(ISBLANK('Data Entry'!$Ü$556), "", 'Data Entry'!$Ü$556)</f>
      </c>
      <c r="FA556">
        <f>IF(ISBLANK('Data Entry'!$Ý$556), "", 'Data Entry'!$Ý$556)</f>
      </c>
      <c r="FB556">
        <f>IF(ISBLANK('Data Entry'!$Þ$556), "", 'Data Entry'!$Þ$556)</f>
      </c>
      <c r="FC556">
        <f>IF(ISBLANK('Data Entry'!$ß$556), "", 'Data Entry'!$ß$556)</f>
      </c>
      <c r="FD556">
        <f>IF(ISBLANK('Data Entry'!$à$556), "", 'Data Entry'!$à$556)</f>
      </c>
      <c r="FE556">
        <f>IF(ISBLANK('Data Entry'!$á$556), "", 'Data Entry'!$á$556)</f>
      </c>
      <c r="FF556">
        <f>IF(ISBLANK('Data Entry'!$â$556), "", 'Data Entry'!$â$556)</f>
      </c>
      <c r="FG556">
        <f>IF(ISBLANK('Data Entry'!$ã$556), "", 'Data Entry'!$ã$556)</f>
      </c>
      <c r="FH556">
        <f>IF(ISBLANK('Data Entry'!$ä$556), "", 'Data Entry'!$ä$556)</f>
      </c>
      <c r="FI556">
        <f>IF(ISBLANK('Data Entry'!$å$556), "", 'Data Entry'!$å$556)</f>
      </c>
      <c r="FJ556">
        <f>IF(ISBLANK('Data Entry'!$æ$556), "", 'Data Entry'!$æ$556)</f>
      </c>
      <c r="FK556">
        <f>IF(ISBLANK('Data Entry'!$ç$556), "", 'Data Entry'!$ç$556)</f>
      </c>
      <c r="FL556">
        <f>IF(ISBLANK('Data Entry'!$è$556), "", 'Data Entry'!$è$556)</f>
      </c>
      <c r="FM556">
        <f>IF(ISBLANK('Data Entry'!$é$556), "", 'Data Entry'!$é$556)</f>
      </c>
      <c r="FN556">
        <f>IF(ISBLANK('Data Entry'!$ê$556), "", 'Data Entry'!$ê$556)</f>
      </c>
      <c r="FO556">
        <f>IF(ISBLANK('Data Entry'!$ë$556), "", 'Data Entry'!$ë$556)</f>
      </c>
      <c r="FP556">
        <f>IF(ISBLANK('Data Entry'!$ì$556), "", 'Data Entry'!$ì$556)</f>
      </c>
      <c r="FQ556">
        <f>IF(ISBLANK('Data Entry'!$í$556), "", 'Data Entry'!$í$556)</f>
      </c>
      <c r="FR556">
        <f>IF(ISBLANK('Data Entry'!$î$556), "", 'Data Entry'!$î$556)</f>
      </c>
      <c r="FS556">
        <f>IF(ISBLANK('Data Entry'!$ï$556), "", 'Data Entry'!$ï$556)</f>
      </c>
      <c r="FT556">
        <f>IF(ISBLANK('Data Entry'!$ð$556), "", 'Data Entry'!$ð$556)</f>
      </c>
      <c r="FU556">
        <f>IF(ISBLANK('Data Entry'!$ñ$556), "", 'Data Entry'!$ñ$556)</f>
      </c>
      <c r="FV556">
        <f>IF(ISBLANK('Data Entry'!$ò$556), "", 'Data Entry'!$ò$556)</f>
      </c>
      <c r="FW556">
        <f>IF(ISBLANK('Data Entry'!$ó$556), "", 'Data Entry'!$ó$556)</f>
      </c>
      <c r="FX556">
        <f>IF(ISBLANK('Data Entry'!$ô$556), "", 'Data Entry'!$ô$556)</f>
      </c>
      <c r="FY556">
        <f>IF(ISBLANK('Data Entry'!$õ$556), "", 'Data Entry'!$õ$556)</f>
      </c>
      <c r="FZ556">
        <f>IF(ISBLANK('Data Entry'!$ö$556), "", 'Data Entry'!$ö$556)</f>
      </c>
      <c r="GA556">
        <f>IF(ISBLANK('Data Entry'!$÷$556), "", 'Data Entry'!$÷$556)</f>
      </c>
      <c r="GB556">
        <f>IF(ISBLANK('Data Entry'!$ø$556), "", 'Data Entry'!$ø$556)</f>
      </c>
      <c r="GC556">
        <f>IF(ISBLANK('Data Entry'!$ù$556), "", 'Data Entry'!$ù$556)</f>
      </c>
      <c r="GD556">
        <f>IF(ISBLANK('Data Entry'!$ú$556), "", 'Data Entry'!$ú$556)</f>
      </c>
      <c r="GE556">
        <f>IF(ISBLANK('Data Entry'!$û$556), "", 'Data Entry'!$û$556)</f>
      </c>
      <c r="GF556">
        <f>IF(ISBLANK('Data Entry'!$ü$556), "", 'Data Entry'!$ü$556)</f>
      </c>
      <c r="GG556">
        <f>IF(ISBLANK('Data Entry'!$ý$556), "", 'Data Entry'!$ý$556)</f>
      </c>
      <c r="GH556">
        <f>IF(ISBLANK('Data Entry'!$þ$556), "", 'Data Entry'!$þ$556)</f>
      </c>
      <c r="GI556">
        <f>IF(ISBLANK('Data Entry'!$ÿ$556), "", 'Data Entry'!$ÿ$556)</f>
      </c>
      <c r="GJ556">
        <f>IF(ISBLANK('Data Entry'!$Ā$556), "", 'Data Entry'!$Ā$556)</f>
      </c>
      <c r="GK556">
        <f>IF(ISBLANK('Data Entry'!$ā$556), "", 'Data Entry'!$ā$556)</f>
      </c>
      <c r="GL556">
        <f>IF(ISBLANK('Data Entry'!$Ă$556), "", 'Data Entry'!$Ă$556)</f>
      </c>
      <c r="GM556">
        <f>IF(ISBLANK('Data Entry'!$ă$556), "", 'Data Entry'!$ă$556)</f>
      </c>
      <c r="GN556">
        <f>IF(ISBLANK('Data Entry'!$Ą$556), "", 'Data Entry'!$Ą$556)</f>
      </c>
      <c r="GO556">
        <f>IF(ISBLANK('Data Entry'!$ą$556), "", 'Data Entry'!$ą$556)</f>
      </c>
      <c r="GP556">
        <f>IF(ISBLANK('Data Entry'!$Ć$556), "", 'Data Entry'!$Ć$556)</f>
      </c>
      <c r="GQ556">
        <f>IF(ISBLANK('Data Entry'!$ć$556), "", 'Data Entry'!$ć$556)</f>
      </c>
      <c r="GR556">
        <f>IF(ISBLANK('Data Entry'!$Ĉ$556), "", 'Data Entry'!$Ĉ$556)</f>
      </c>
      <c r="GS556">
        <f>IF(ISBLANK('Data Entry'!$ĉ$556), "", 'Data Entry'!$ĉ$556)</f>
      </c>
      <c r="GT556">
        <f>IF(ISBLANK('Data Entry'!$Ċ$556), "", 'Data Entry'!$Ċ$556)</f>
      </c>
      <c r="GU556">
        <f>IF(ISBLANK('Data Entry'!$ċ$556), "", 'Data Entry'!$ċ$556)</f>
      </c>
      <c r="GV556">
        <f>IF(ISBLANK('Data Entry'!$Č$556), "", 'Data Entry'!$Č$556)</f>
      </c>
      <c r="GW556">
        <f>IF(ISBLANK('Data Entry'!$č$556), "", 'Data Entry'!$č$556)</f>
      </c>
      <c r="GX556">
        <f>IF(ISBLANK('Data Entry'!$Ď$556), "", 'Data Entry'!$Ď$556)</f>
      </c>
      <c r="GY556">
        <f>IF(ISBLANK('Data Entry'!$ď$556), "", 'Data Entry'!$ď$556)</f>
      </c>
      <c r="GZ556">
        <f>IF(ISBLANK('Data Entry'!$Đ$556), "", 'Data Entry'!$Đ$556)</f>
      </c>
      <c r="HA556">
        <f>IF(ISBLANK('Data Entry'!$đ$556), "", 'Data Entry'!$đ$556)</f>
      </c>
      <c r="HB556">
        <f>IF(ISBLANK('Data Entry'!$Ē$556), "", 'Data Entry'!$Ē$556)</f>
      </c>
      <c r="HC556">
        <f>IF(ISBLANK('Data Entry'!$ē$556), "", 'Data Entry'!$ē$556)</f>
      </c>
      <c r="HD556">
        <f>IF(ISBLANK('Data Entry'!$Ĕ$556), "", 'Data Entry'!$Ĕ$556)</f>
      </c>
      <c r="HE556">
        <f>IF(ISBLANK('Data Entry'!$ĕ$556), "", 'Data Entry'!$ĕ$556)</f>
      </c>
      <c r="HF556">
        <f>IF(ISBLANK('Data Entry'!$Ė$556), "", 'Data Entry'!$Ė$556)</f>
      </c>
      <c r="HG556">
        <f>IF(ISBLANK('Data Entry'!$ė$556), "", 'Data Entry'!$ė$556)</f>
      </c>
      <c r="HH556">
        <f>IF(ISBLANK('Data Entry'!$Ę$556), "", 'Data Entry'!$Ę$556)</f>
      </c>
      <c r="HI556">
        <f>IF(ISBLANK('Data Entry'!$ę$556), "", 'Data Entry'!$ę$556)</f>
      </c>
      <c r="HJ556">
        <f>IF(ISBLANK('Data Entry'!$Ě$556), "", 'Data Entry'!$Ě$556)</f>
      </c>
      <c r="HK556">
        <f>IF(ISBLANK('Data Entry'!$ě$556), "", 'Data Entry'!$ě$556)</f>
      </c>
      <c r="HL556">
        <f>IF(ISBLANK('Data Entry'!$Ĝ$556), "", 'Data Entry'!$Ĝ$556)</f>
      </c>
      <c r="HM556">
        <f>IF(ISBLANK('Data Entry'!$ĝ$556), "", 'Data Entry'!$ĝ$556)</f>
      </c>
      <c r="HN556">
        <f>IF(ISBLANK('Data Entry'!$Ğ$556), "", 'Data Entry'!$Ğ$556)</f>
      </c>
      <c r="HO556">
        <f>IF(ISBLANK('Data Entry'!$ğ$556), "", 'Data Entry'!$ğ$556)</f>
      </c>
      <c r="HP556">
        <f>IF(ISBLANK('Data Entry'!$Ġ$556), "", 'Data Entry'!$Ġ$556)</f>
      </c>
      <c r="HQ556">
        <f>IF(ISBLANK('Data Entry'!$ġ$556), "", 'Data Entry'!$ġ$556)</f>
      </c>
      <c r="HR556">
        <f>IF(ISBLANK('Data Entry'!$Ģ$556), "", 'Data Entry'!$Ģ$556)</f>
      </c>
      <c r="HS556">
        <f>IF(ISBLANK('Data Entry'!$ģ$556), "", 'Data Entry'!$ģ$556)</f>
      </c>
      <c r="HT556">
        <f>IF(ISBLANK('Data Entry'!$Ĥ$556), "", 'Data Entry'!$Ĥ$556)</f>
      </c>
      <c r="HU556">
        <f>IF(ISBLANK('Data Entry'!$ĥ$556), "", 'Data Entry'!$ĥ$556)</f>
      </c>
      <c r="HV556">
        <f>IF(ISBLANK('Data Entry'!$Ħ$556), "", 'Data Entry'!$Ħ$556)</f>
      </c>
      <c r="HW556">
        <f>IF(ISBLANK('Data Entry'!$ħ$556), "", 'Data Entry'!$ħ$556)</f>
      </c>
      <c r="HX556">
        <f>IF(ISBLANK('Data Entry'!$Ĩ$556), "", 'Data Entry'!$Ĩ$556)</f>
      </c>
      <c r="HY556">
        <f>IF(ISBLANK('Data Entry'!$ĩ$556), "", 'Data Entry'!$ĩ$556)</f>
      </c>
      <c r="HZ556">
        <f>IF(ISBLANK('Data Entry'!$Ī$556), "", 'Data Entry'!$Ī$556)</f>
      </c>
      <c r="IA556">
        <f>IF(ISBLANK('Data Entry'!$ī$556), "", 'Data Entry'!$ī$556)</f>
      </c>
      <c r="IB556">
        <f>IF(ISBLANK('Data Entry'!$Ĭ$556), "", 'Data Entry'!$Ĭ$556)</f>
      </c>
      <c r="IC556">
        <f>IF(ISBLANK('Data Entry'!$ĭ$556), "", 'Data Entry'!$ĭ$556)</f>
      </c>
      <c r="ID556">
        <f>IF(ISBLANK('Data Entry'!$Į$556), "", 'Data Entry'!$Į$556)</f>
      </c>
      <c r="IE556">
        <f>IF(ISBLANK('Data Entry'!$į$556), "", 'Data Entry'!$į$556)</f>
      </c>
      <c r="IF556">
        <f>IF(ISBLANK('Data Entry'!$İ$556), "", 'Data Entry'!$İ$556)</f>
      </c>
      <c r="IG556">
        <f>IF(ISBLANK('Data Entry'!$ı$556), "", 'Data Entry'!$ı$556)</f>
      </c>
      <c r="IH556">
        <f>IF(ISBLANK('Data Entry'!$Ĳ$556), "", 'Data Entry'!$Ĳ$556)</f>
      </c>
      <c r="II556">
        <f>IF(ISBLANK('Data Entry'!$ĳ$556), "", 'Data Entry'!$ĳ$556)</f>
      </c>
      <c r="IJ556">
        <f>IF(ISBLANK('Data Entry'!$Ĵ$556), "", 'Data Entry'!$Ĵ$556)</f>
      </c>
      <c r="IK556">
        <f>IF(ISBLANK('Data Entry'!$ĵ$556), "", 'Data Entry'!$ĵ$556)</f>
      </c>
      <c r="IL556">
        <f>IF(ISBLANK('Data Entry'!$Ķ$556), "", 'Data Entry'!$Ķ$556)</f>
      </c>
      <c r="IM556">
        <f>IF(ISBLANK('Data Entry'!$ķ$556), "", 'Data Entry'!$ķ$556)</f>
      </c>
      <c r="IN556">
        <f>IF(ISBLANK('Data Entry'!$ĸ$556), "", 'Data Entry'!$ĸ$556)</f>
      </c>
      <c r="IO556">
        <f>IF(ISBLANK('Data Entry'!$Ĺ$556), "", 'Data Entry'!$Ĺ$556)</f>
      </c>
      <c r="IP556">
        <f>IF(ISBLANK('Data Entry'!$ĺ$556), "", 'Data Entry'!$ĺ$556)</f>
      </c>
      <c r="IQ556">
        <f>IF(ISBLANK('Data Entry'!$Ļ$556), "", 'Data Entry'!$Ļ$556)</f>
      </c>
      <c r="IR556">
        <f>IF(ISBLANK('Data Entry'!$ļ$556), "", 'Data Entry'!$ļ$556)</f>
      </c>
      <c r="IS556">
        <f>IF(ISBLANK('Data Entry'!$Ľ$556), "", 'Data Entry'!$Ľ$556)</f>
      </c>
      <c r="IT556">
        <f>IF(ISBLANK('Data Entry'!$ľ$556), "", 'Data Entry'!$ľ$556)</f>
      </c>
    </row>
    <row r="557" spans="1:254" x14ac:dyDescent="0.25">
      <c r="A557">
        <f>IF(ISBLANK('Data Entry'!$A$557), "", 'Data Entry'!$A$557)</f>
      </c>
      <c r="B557">
        <f>IF(ISBLANK('Data Entry'!$B$557), "", 'Data Entry'!$B$557)</f>
      </c>
      <c r="C557">
        <f>IF(ISBLANK('Data Entry'!$C$557), "", 'Data Entry'!$C$557)</f>
      </c>
      <c r="D557">
        <f>IF(ISBLANK('Data Entry'!$D$557), "", 'Data Entry'!$D$557)</f>
      </c>
      <c r="E557">
        <f>IF(ISBLANK('Data Entry'!$E$557), "", 'Data Entry'!$E$557)</f>
      </c>
      <c r="F557">
        <f>IF(ISBLANK('Data Entry'!$F$557), "", 'Data Entry'!$F$557)</f>
      </c>
      <c r="G557">
        <f>IF(ISBLANK('Data Entry'!$G$557), "", 'Data Entry'!$G$557)</f>
      </c>
      <c r="H557">
        <f>IF(ISBLANK('Data Entry'!$H$557), "", 'Data Entry'!$H$557)</f>
      </c>
      <c r="I557">
        <f>IF(ISBLANK('Data Entry'!$I$557), "", 'Data Entry'!$I$557)</f>
      </c>
      <c r="J557">
        <f>IF(ISBLANK('Data Entry'!$J$557), "", 'Data Entry'!$J$557)</f>
      </c>
      <c r="K557">
        <f>IF(ISBLANK('Data Entry'!$K$557), "", 'Data Entry'!$K$557)</f>
      </c>
      <c r="L557">
        <f>IF(ISBLANK('Data Entry'!$L$557), "", 'Data Entry'!$L$557)</f>
      </c>
      <c r="M557">
        <f>IF(ISBLANK('Data Entry'!$M$557), "", 'Data Entry'!$M$557)</f>
      </c>
      <c r="N557">
        <f>IF(ISBLANK('Data Entry'!$N$557), "", 'Data Entry'!$N$557)</f>
      </c>
      <c r="O557">
        <f>IF(ISBLANK('Data Entry'!$O$557), "", 'Data Entry'!$O$557)</f>
      </c>
      <c r="P557">
        <f>IF(ISBLANK('Data Entry'!$P$557), "", 'Data Entry'!$P$557)</f>
      </c>
      <c r="Q557">
        <f>IF(ISBLANK('Data Entry'!$Q$557), "", 'Data Entry'!$Q$557)</f>
      </c>
      <c r="R557">
        <f>IF(ISBLANK('Data Entry'!$R$557), "", 'Data Entry'!$R$557)</f>
      </c>
      <c r="S557">
        <f>IF(ISBLANK('Data Entry'!$S$557), "", 'Data Entry'!$S$557)</f>
      </c>
      <c r="T557">
        <f>IF(ISBLANK('Data Entry'!$T$557), "", 'Data Entry'!$T$557)</f>
      </c>
      <c r="U557">
        <f>IF(ISBLANK('Data Entry'!$U$557), "", 'Data Entry'!$U$557)</f>
      </c>
      <c r="V557">
        <f>IF(ISBLANK('Data Entry'!$V$557), "", 'Data Entry'!$V$557)</f>
      </c>
      <c r="W557">
        <f>IF(ISBLANK('Data Entry'!$W$557), "", 'Data Entry'!$W$557)</f>
      </c>
      <c r="X557">
        <f>IF(ISBLANK('Data Entry'!$X$557), "", 'Data Entry'!$X$557)</f>
      </c>
      <c r="Y557">
        <f>IF(ISBLANK('Data Entry'!$Y$557), "", 'Data Entry'!$Y$557)</f>
      </c>
      <c r="Z557">
        <f>IF(ISBLANK('Data Entry'!$Z$557), "", 'Data Entry'!$Z$557)</f>
      </c>
      <c r="AA557">
        <f>IF(ISBLANK('Data Entry'!$[$557), "", 'Data Entry'!$[$557)</f>
      </c>
      <c r="AB557">
        <f>IF(ISBLANK('Data Entry'!$\$557), "", 'Data Entry'!$\$557)</f>
      </c>
      <c r="AC557">
        <f>IF(ISBLANK('Data Entry'!$]$557), "", 'Data Entry'!$]$557)</f>
      </c>
      <c r="AD557">
        <f>IF(ISBLANK('Data Entry'!$^$557), "", 'Data Entry'!$^$557)</f>
      </c>
      <c r="AE557">
        <f>IF(ISBLANK('Data Entry'!$_$557), "", 'Data Entry'!$_$557)</f>
      </c>
      <c r="AF557">
        <f>IF(ISBLANK('Data Entry'!$`$557), "", 'Data Entry'!$`$557)</f>
      </c>
      <c r="AG557">
        <f>IF(ISBLANK('Data Entry'!$a$557), "", 'Data Entry'!$a$557)</f>
      </c>
      <c r="AH557">
        <f>IF(ISBLANK('Data Entry'!$b$557), "", 'Data Entry'!$b$557)</f>
      </c>
      <c r="AI557">
        <f>IF(ISBLANK('Data Entry'!$c$557), "", 'Data Entry'!$c$557)</f>
      </c>
      <c r="AJ557">
        <f>IF(ISBLANK('Data Entry'!$d$557), "", 'Data Entry'!$d$557)</f>
      </c>
      <c r="AK557">
        <f>IF(ISBLANK('Data Entry'!$e$557), "", 'Data Entry'!$e$557)</f>
      </c>
      <c r="AL557">
        <f>IF(ISBLANK('Data Entry'!$f$557), "", 'Data Entry'!$f$557)</f>
      </c>
      <c r="AM557">
        <f>IF(ISBLANK('Data Entry'!$g$557), "", 'Data Entry'!$g$557)</f>
      </c>
      <c r="AN557">
        <f>IF(ISBLANK('Data Entry'!$h$557), "", 'Data Entry'!$h$557)</f>
      </c>
      <c r="AO557">
        <f>IF(ISBLANK('Data Entry'!$i$557), "", 'Data Entry'!$i$557)</f>
      </c>
      <c r="AP557">
        <f>IF(ISBLANK('Data Entry'!$j$557), "", 'Data Entry'!$j$557)</f>
      </c>
      <c r="AQ557">
        <f>IF(ISBLANK('Data Entry'!$k$557), "", 'Data Entry'!$k$557)</f>
      </c>
      <c r="AR557">
        <f>IF(ISBLANK('Data Entry'!$l$557), "", 'Data Entry'!$l$557)</f>
      </c>
      <c r="AS557">
        <f>IF(ISBLANK('Data Entry'!$m$557), "", 'Data Entry'!$m$557)</f>
      </c>
      <c r="AT557">
        <f>IF(ISBLANK('Data Entry'!$n$557), "", 'Data Entry'!$n$557)</f>
      </c>
      <c r="AU557">
        <f>IF(ISBLANK('Data Entry'!$o$557), "", 'Data Entry'!$o$557)</f>
      </c>
      <c r="AV557">
        <f>IF(ISBLANK('Data Entry'!$p$557), "", 'Data Entry'!$p$557)</f>
      </c>
      <c r="AW557">
        <f>IF(ISBLANK('Data Entry'!$q$557), "", 'Data Entry'!$q$557)</f>
      </c>
      <c r="AX557">
        <f>IF(ISBLANK('Data Entry'!$r$557), "", 'Data Entry'!$r$557)</f>
      </c>
      <c r="AY557">
        <f>IF(ISBLANK('Data Entry'!$s$557), "", 'Data Entry'!$s$557)</f>
      </c>
      <c r="AZ557">
        <f>IF(ISBLANK('Data Entry'!$t$557), "", 'Data Entry'!$t$557)</f>
      </c>
      <c r="BA557">
        <f>IF(ISBLANK('Data Entry'!$u$557), "", 'Data Entry'!$u$557)</f>
      </c>
      <c r="BB557">
        <f>IF(ISBLANK('Data Entry'!$v$557), "", 'Data Entry'!$v$557)</f>
      </c>
      <c r="BC557">
        <f>IF(ISBLANK('Data Entry'!$w$557), "", 'Data Entry'!$w$557)</f>
      </c>
      <c r="BD557">
        <f>IF(ISBLANK('Data Entry'!$x$557), "", 'Data Entry'!$x$557)</f>
      </c>
      <c r="BE557">
        <f>IF(ISBLANK('Data Entry'!$y$557), "", 'Data Entry'!$y$557)</f>
      </c>
      <c r="BF557">
        <f>IF(ISBLANK('Data Entry'!$z$557), "", 'Data Entry'!$z$557)</f>
      </c>
      <c r="BG557">
        <f>IF(ISBLANK('Data Entry'!${$557), "", 'Data Entry'!${$557)</f>
      </c>
      <c r="BH557">
        <f>IF(ISBLANK('Data Entry'!$|$557), "", 'Data Entry'!$|$557)</f>
      </c>
      <c r="BI557">
        <f>IF(ISBLANK('Data Entry'!$}$557), "", 'Data Entry'!$}$557)</f>
      </c>
      <c r="BJ557">
        <f>IF(ISBLANK('Data Entry'!$~$557), "", 'Data Entry'!$~$557)</f>
      </c>
      <c r="BK557">
        <f>IF(ISBLANK('Data Entry'!$$557), "", 'Data Entry'!$$557)</f>
      </c>
      <c r="BL557">
        <f>IF(ISBLANK('Data Entry'!$$557), "", 'Data Entry'!$$557)</f>
      </c>
      <c r="BM557">
        <f>IF(ISBLANK('Data Entry'!$$557), "", 'Data Entry'!$$557)</f>
      </c>
      <c r="BN557">
        <f>IF(ISBLANK('Data Entry'!$$557), "", 'Data Entry'!$$557)</f>
      </c>
      <c r="BO557">
        <f>IF(ISBLANK('Data Entry'!$$557), "", 'Data Entry'!$$557)</f>
      </c>
      <c r="BP557">
        <f>IF(ISBLANK('Data Entry'!$$557), "", 'Data Entry'!$$557)</f>
      </c>
      <c r="BQ557">
        <f>IF(ISBLANK('Data Entry'!$$557), "", 'Data Entry'!$$557)</f>
      </c>
      <c r="BR557">
        <f>IF(ISBLANK('Data Entry'!$$557), "", 'Data Entry'!$$557)</f>
      </c>
      <c r="BS557">
        <f>IF(ISBLANK('Data Entry'!$$557), "", 'Data Entry'!$$557)</f>
      </c>
      <c r="BT557">
        <f>IF(ISBLANK('Data Entry'!$$557), "", 'Data Entry'!$$557)</f>
      </c>
      <c r="BU557">
        <f>IF(ISBLANK('Data Entry'!$$557), "", 'Data Entry'!$$557)</f>
      </c>
      <c r="BV557">
        <f>IF(ISBLANK('Data Entry'!$$557), "", 'Data Entry'!$$557)</f>
      </c>
      <c r="BW557">
        <f>IF(ISBLANK('Data Entry'!$$557), "", 'Data Entry'!$$557)</f>
      </c>
      <c r="BX557">
        <f>IF(ISBLANK('Data Entry'!$$557), "", 'Data Entry'!$$557)</f>
      </c>
      <c r="BY557">
        <f>IF(ISBLANK('Data Entry'!$$557), "", 'Data Entry'!$$557)</f>
      </c>
      <c r="BZ557">
        <f>IF(ISBLANK('Data Entry'!$$557), "", 'Data Entry'!$$557)</f>
      </c>
      <c r="CA557">
        <f>IF(ISBLANK('Data Entry'!$$557), "", 'Data Entry'!$$557)</f>
      </c>
      <c r="CB557">
        <f>IF(ISBLANK('Data Entry'!$$557), "", 'Data Entry'!$$557)</f>
      </c>
      <c r="CC557">
        <f>IF(ISBLANK('Data Entry'!$$557), "", 'Data Entry'!$$557)</f>
      </c>
      <c r="CD557">
        <f>IF(ISBLANK('Data Entry'!$$557), "", 'Data Entry'!$$557)</f>
      </c>
      <c r="CE557">
        <f>IF(ISBLANK('Data Entry'!$$557), "", 'Data Entry'!$$557)</f>
      </c>
      <c r="CF557">
        <f>IF(ISBLANK('Data Entry'!$$557), "", 'Data Entry'!$$557)</f>
      </c>
      <c r="CG557">
        <f>IF(ISBLANK('Data Entry'!$$557), "", 'Data Entry'!$$557)</f>
      </c>
      <c r="CH557">
        <f>IF(ISBLANK('Data Entry'!$$557), "", 'Data Entry'!$$557)</f>
      </c>
      <c r="CI557">
        <f>IF(ISBLANK('Data Entry'!$$557), "", 'Data Entry'!$$557)</f>
      </c>
      <c r="CJ557">
        <f>IF(ISBLANK('Data Entry'!$$557), "", 'Data Entry'!$$557)</f>
      </c>
      <c r="CK557">
        <f>IF(ISBLANK('Data Entry'!$$557), "", 'Data Entry'!$$557)</f>
      </c>
      <c r="CL557">
        <f>IF(ISBLANK('Data Entry'!$$557), "", 'Data Entry'!$$557)</f>
      </c>
      <c r="CM557">
        <f>IF(ISBLANK('Data Entry'!$$557), "", 'Data Entry'!$$557)</f>
      </c>
      <c r="CN557">
        <f>IF(ISBLANK('Data Entry'!$$557), "", 'Data Entry'!$$557)</f>
      </c>
      <c r="CO557">
        <f>IF(ISBLANK('Data Entry'!$$557), "", 'Data Entry'!$$557)</f>
      </c>
      <c r="CP557">
        <f>IF(ISBLANK('Data Entry'!$$557), "", 'Data Entry'!$$557)</f>
      </c>
      <c r="CQ557">
        <f>IF(ISBLANK('Data Entry'!$$557), "", 'Data Entry'!$$557)</f>
      </c>
      <c r="CR557">
        <f>IF(ISBLANK('Data Entry'!$ $557), "", 'Data Entry'!$ $557)</f>
      </c>
      <c r="CS557">
        <f>IF(ISBLANK('Data Entry'!$¡$557), "", 'Data Entry'!$¡$557)</f>
      </c>
      <c r="CT557">
        <f>IF(ISBLANK('Data Entry'!$¢$557), "", 'Data Entry'!$¢$557)</f>
      </c>
      <c r="CU557">
        <f>IF(ISBLANK('Data Entry'!$£$557), "", 'Data Entry'!$£$557)</f>
      </c>
      <c r="CV557">
        <f>IF(ISBLANK('Data Entry'!$¤$557), "", 'Data Entry'!$¤$557)</f>
      </c>
      <c r="CW557">
        <f>IF(ISBLANK('Data Entry'!$¥$557), "", 'Data Entry'!$¥$557)</f>
      </c>
      <c r="CX557">
        <f>IF(ISBLANK('Data Entry'!$¦$557), "", 'Data Entry'!$¦$557)</f>
      </c>
      <c r="CY557">
        <f>IF(ISBLANK('Data Entry'!$§$557), "", 'Data Entry'!$§$557)</f>
      </c>
      <c r="CZ557">
        <f>IF(ISBLANK('Data Entry'!$¨$557), "", 'Data Entry'!$¨$557)</f>
      </c>
      <c r="DA557">
        <f>IF(ISBLANK('Data Entry'!$©$557), "", 'Data Entry'!$©$557)</f>
      </c>
      <c r="DB557">
        <f>IF(ISBLANK('Data Entry'!$ª$557), "", 'Data Entry'!$ª$557)</f>
      </c>
      <c r="DC557">
        <f>IF(ISBLANK('Data Entry'!$«$557), "", 'Data Entry'!$«$557)</f>
      </c>
      <c r="DD557">
        <f>IF(ISBLANK('Data Entry'!$¬$557), "", 'Data Entry'!$¬$557)</f>
      </c>
      <c r="DE557">
        <f>IF(ISBLANK('Data Entry'!$­$557), "", 'Data Entry'!$­$557)</f>
      </c>
      <c r="DF557">
        <f>IF(ISBLANK('Data Entry'!$®$557), "", 'Data Entry'!$®$557)</f>
      </c>
      <c r="DG557">
        <f>IF(ISBLANK('Data Entry'!$¯$557), "", 'Data Entry'!$¯$557)</f>
      </c>
      <c r="DH557">
        <f>IF(ISBLANK('Data Entry'!$°$557), "", 'Data Entry'!$°$557)</f>
      </c>
      <c r="DI557">
        <f>IF(ISBLANK('Data Entry'!$±$557), "", 'Data Entry'!$±$557)</f>
      </c>
      <c r="DJ557">
        <f>IF(ISBLANK('Data Entry'!$²$557), "", 'Data Entry'!$²$557)</f>
      </c>
      <c r="DK557">
        <f>IF(ISBLANK('Data Entry'!$³$557), "", 'Data Entry'!$³$557)</f>
      </c>
      <c r="DL557">
        <f>IF(ISBLANK('Data Entry'!$´$557), "", 'Data Entry'!$´$557)</f>
      </c>
      <c r="DM557">
        <f>IF(ISBLANK('Data Entry'!$µ$557), "", 'Data Entry'!$µ$557)</f>
      </c>
      <c r="DN557">
        <f>IF(ISBLANK('Data Entry'!$¶$557), "", 'Data Entry'!$¶$557)</f>
      </c>
      <c r="DO557">
        <f>IF(ISBLANK('Data Entry'!$·$557), "", 'Data Entry'!$·$557)</f>
      </c>
      <c r="DP557">
        <f>IF(ISBLANK('Data Entry'!$¸$557), "", 'Data Entry'!$¸$557)</f>
      </c>
      <c r="DQ557">
        <f>IF(ISBLANK('Data Entry'!$¹$557), "", 'Data Entry'!$¹$557)</f>
      </c>
      <c r="DR557">
        <f>IF(ISBLANK('Data Entry'!$º$557), "", 'Data Entry'!$º$557)</f>
      </c>
      <c r="DS557">
        <f>IF(ISBLANK('Data Entry'!$»$557), "", 'Data Entry'!$»$557)</f>
      </c>
      <c r="DT557">
        <f>IF(ISBLANK('Data Entry'!$¼$557), "", 'Data Entry'!$¼$557)</f>
      </c>
      <c r="DU557">
        <f>IF(ISBLANK('Data Entry'!$½$557), "", 'Data Entry'!$½$557)</f>
      </c>
      <c r="DV557">
        <f>IF(ISBLANK('Data Entry'!$¾$557), "", 'Data Entry'!$¾$557)</f>
      </c>
      <c r="DW557">
        <f>IF(ISBLANK('Data Entry'!$¿$557), "", 'Data Entry'!$¿$557)</f>
      </c>
      <c r="DX557">
        <f>IF(ISBLANK('Data Entry'!$À$557), "", 'Data Entry'!$À$557)</f>
      </c>
      <c r="DY557">
        <f>IF(ISBLANK('Data Entry'!$Á$557), "", 'Data Entry'!$Á$557)</f>
      </c>
      <c r="DZ557">
        <f>IF(ISBLANK('Data Entry'!$Â$557), "", 'Data Entry'!$Â$557)</f>
      </c>
      <c r="EA557">
        <f>IF(ISBLANK('Data Entry'!$Ã$557), "", 'Data Entry'!$Ã$557)</f>
      </c>
      <c r="EB557">
        <f>IF(ISBLANK('Data Entry'!$Ä$557), "", 'Data Entry'!$Ä$557)</f>
      </c>
      <c r="EC557">
        <f>IF(ISBLANK('Data Entry'!$Å$557), "", 'Data Entry'!$Å$557)</f>
      </c>
      <c r="ED557">
        <f>IF(ISBLANK('Data Entry'!$Æ$557), "", 'Data Entry'!$Æ$557)</f>
      </c>
      <c r="EE557">
        <f>IF(ISBLANK('Data Entry'!$Ç$557), "", 'Data Entry'!$Ç$557)</f>
      </c>
      <c r="EF557">
        <f>IF(ISBLANK('Data Entry'!$È$557), "", 'Data Entry'!$È$557)</f>
      </c>
      <c r="EG557">
        <f>IF(ISBLANK('Data Entry'!$É$557), "", 'Data Entry'!$É$557)</f>
      </c>
      <c r="EH557">
        <f>IF(ISBLANK('Data Entry'!$Ê$557), "", 'Data Entry'!$Ê$557)</f>
      </c>
      <c r="EI557">
        <f>IF(ISBLANK('Data Entry'!$Ë$557), "", 'Data Entry'!$Ë$557)</f>
      </c>
      <c r="EJ557">
        <f>IF(ISBLANK('Data Entry'!$Ì$557), "", 'Data Entry'!$Ì$557)</f>
      </c>
      <c r="EK557">
        <f>IF(ISBLANK('Data Entry'!$Í$557), "", 'Data Entry'!$Í$557)</f>
      </c>
      <c r="EL557">
        <f>IF(ISBLANK('Data Entry'!$Î$557), "", 'Data Entry'!$Î$557)</f>
      </c>
      <c r="EM557">
        <f>IF(ISBLANK('Data Entry'!$Ï$557), "", 'Data Entry'!$Ï$557)</f>
      </c>
      <c r="EN557">
        <f>IF(ISBLANK('Data Entry'!$Ð$557), "", 'Data Entry'!$Ð$557)</f>
      </c>
      <c r="EO557">
        <f>IF(ISBLANK('Data Entry'!$Ñ$557), "", 'Data Entry'!$Ñ$557)</f>
      </c>
      <c r="EP557">
        <f>IF(ISBLANK('Data Entry'!$Ò$557), "", 'Data Entry'!$Ò$557)</f>
      </c>
      <c r="EQ557">
        <f>IF(ISBLANK('Data Entry'!$Ó$557), "", 'Data Entry'!$Ó$557)</f>
      </c>
      <c r="ER557">
        <f>IF(ISBLANK('Data Entry'!$Ô$557), "", 'Data Entry'!$Ô$557)</f>
      </c>
      <c r="ES557">
        <f>IF(ISBLANK('Data Entry'!$Õ$557), "", 'Data Entry'!$Õ$557)</f>
      </c>
      <c r="ET557">
        <f>IF(ISBLANK('Data Entry'!$Ö$557), "", 'Data Entry'!$Ö$557)</f>
      </c>
      <c r="EU557">
        <f>IF(ISBLANK('Data Entry'!$×$557), "", 'Data Entry'!$×$557)</f>
      </c>
      <c r="EV557">
        <f>IF(ISBLANK('Data Entry'!$Ø$557), "", 'Data Entry'!$Ø$557)</f>
      </c>
      <c r="EW557">
        <f>IF(ISBLANK('Data Entry'!$Ù$557), "", 'Data Entry'!$Ù$557)</f>
      </c>
      <c r="EX557">
        <f>IF(ISBLANK('Data Entry'!$Ú$557), "", 'Data Entry'!$Ú$557)</f>
      </c>
      <c r="EY557">
        <f>IF(ISBLANK('Data Entry'!$Û$557), "", 'Data Entry'!$Û$557)</f>
      </c>
      <c r="EZ557">
        <f>IF(ISBLANK('Data Entry'!$Ü$557), "", 'Data Entry'!$Ü$557)</f>
      </c>
      <c r="FA557">
        <f>IF(ISBLANK('Data Entry'!$Ý$557), "", 'Data Entry'!$Ý$557)</f>
      </c>
      <c r="FB557">
        <f>IF(ISBLANK('Data Entry'!$Þ$557), "", 'Data Entry'!$Þ$557)</f>
      </c>
      <c r="FC557">
        <f>IF(ISBLANK('Data Entry'!$ß$557), "", 'Data Entry'!$ß$557)</f>
      </c>
      <c r="FD557">
        <f>IF(ISBLANK('Data Entry'!$à$557), "", 'Data Entry'!$à$557)</f>
      </c>
      <c r="FE557">
        <f>IF(ISBLANK('Data Entry'!$á$557), "", 'Data Entry'!$á$557)</f>
      </c>
      <c r="FF557">
        <f>IF(ISBLANK('Data Entry'!$â$557), "", 'Data Entry'!$â$557)</f>
      </c>
      <c r="FG557">
        <f>IF(ISBLANK('Data Entry'!$ã$557), "", 'Data Entry'!$ã$557)</f>
      </c>
      <c r="FH557">
        <f>IF(ISBLANK('Data Entry'!$ä$557), "", 'Data Entry'!$ä$557)</f>
      </c>
      <c r="FI557">
        <f>IF(ISBLANK('Data Entry'!$å$557), "", 'Data Entry'!$å$557)</f>
      </c>
      <c r="FJ557">
        <f>IF(ISBLANK('Data Entry'!$æ$557), "", 'Data Entry'!$æ$557)</f>
      </c>
      <c r="FK557">
        <f>IF(ISBLANK('Data Entry'!$ç$557), "", 'Data Entry'!$ç$557)</f>
      </c>
      <c r="FL557">
        <f>IF(ISBLANK('Data Entry'!$è$557), "", 'Data Entry'!$è$557)</f>
      </c>
      <c r="FM557">
        <f>IF(ISBLANK('Data Entry'!$é$557), "", 'Data Entry'!$é$557)</f>
      </c>
      <c r="FN557">
        <f>IF(ISBLANK('Data Entry'!$ê$557), "", 'Data Entry'!$ê$557)</f>
      </c>
      <c r="FO557">
        <f>IF(ISBLANK('Data Entry'!$ë$557), "", 'Data Entry'!$ë$557)</f>
      </c>
      <c r="FP557">
        <f>IF(ISBLANK('Data Entry'!$ì$557), "", 'Data Entry'!$ì$557)</f>
      </c>
      <c r="FQ557">
        <f>IF(ISBLANK('Data Entry'!$í$557), "", 'Data Entry'!$í$557)</f>
      </c>
      <c r="FR557">
        <f>IF(ISBLANK('Data Entry'!$î$557), "", 'Data Entry'!$î$557)</f>
      </c>
      <c r="FS557">
        <f>IF(ISBLANK('Data Entry'!$ï$557), "", 'Data Entry'!$ï$557)</f>
      </c>
      <c r="FT557">
        <f>IF(ISBLANK('Data Entry'!$ð$557), "", 'Data Entry'!$ð$557)</f>
      </c>
      <c r="FU557">
        <f>IF(ISBLANK('Data Entry'!$ñ$557), "", 'Data Entry'!$ñ$557)</f>
      </c>
      <c r="FV557">
        <f>IF(ISBLANK('Data Entry'!$ò$557), "", 'Data Entry'!$ò$557)</f>
      </c>
      <c r="FW557">
        <f>IF(ISBLANK('Data Entry'!$ó$557), "", 'Data Entry'!$ó$557)</f>
      </c>
      <c r="FX557">
        <f>IF(ISBLANK('Data Entry'!$ô$557), "", 'Data Entry'!$ô$557)</f>
      </c>
      <c r="FY557">
        <f>IF(ISBLANK('Data Entry'!$õ$557), "", 'Data Entry'!$õ$557)</f>
      </c>
      <c r="FZ557">
        <f>IF(ISBLANK('Data Entry'!$ö$557), "", 'Data Entry'!$ö$557)</f>
      </c>
      <c r="GA557">
        <f>IF(ISBLANK('Data Entry'!$÷$557), "", 'Data Entry'!$÷$557)</f>
      </c>
      <c r="GB557">
        <f>IF(ISBLANK('Data Entry'!$ø$557), "", 'Data Entry'!$ø$557)</f>
      </c>
      <c r="GC557">
        <f>IF(ISBLANK('Data Entry'!$ù$557), "", 'Data Entry'!$ù$557)</f>
      </c>
      <c r="GD557">
        <f>IF(ISBLANK('Data Entry'!$ú$557), "", 'Data Entry'!$ú$557)</f>
      </c>
      <c r="GE557">
        <f>IF(ISBLANK('Data Entry'!$û$557), "", 'Data Entry'!$û$557)</f>
      </c>
      <c r="GF557">
        <f>IF(ISBLANK('Data Entry'!$ü$557), "", 'Data Entry'!$ü$557)</f>
      </c>
      <c r="GG557">
        <f>IF(ISBLANK('Data Entry'!$ý$557), "", 'Data Entry'!$ý$557)</f>
      </c>
      <c r="GH557">
        <f>IF(ISBLANK('Data Entry'!$þ$557), "", 'Data Entry'!$þ$557)</f>
      </c>
      <c r="GI557">
        <f>IF(ISBLANK('Data Entry'!$ÿ$557), "", 'Data Entry'!$ÿ$557)</f>
      </c>
      <c r="GJ557">
        <f>IF(ISBLANK('Data Entry'!$Ā$557), "", 'Data Entry'!$Ā$557)</f>
      </c>
      <c r="GK557">
        <f>IF(ISBLANK('Data Entry'!$ā$557), "", 'Data Entry'!$ā$557)</f>
      </c>
      <c r="GL557">
        <f>IF(ISBLANK('Data Entry'!$Ă$557), "", 'Data Entry'!$Ă$557)</f>
      </c>
      <c r="GM557">
        <f>IF(ISBLANK('Data Entry'!$ă$557), "", 'Data Entry'!$ă$557)</f>
      </c>
      <c r="GN557">
        <f>IF(ISBLANK('Data Entry'!$Ą$557), "", 'Data Entry'!$Ą$557)</f>
      </c>
      <c r="GO557">
        <f>IF(ISBLANK('Data Entry'!$ą$557), "", 'Data Entry'!$ą$557)</f>
      </c>
      <c r="GP557">
        <f>IF(ISBLANK('Data Entry'!$Ć$557), "", 'Data Entry'!$Ć$557)</f>
      </c>
      <c r="GQ557">
        <f>IF(ISBLANK('Data Entry'!$ć$557), "", 'Data Entry'!$ć$557)</f>
      </c>
      <c r="GR557">
        <f>IF(ISBLANK('Data Entry'!$Ĉ$557), "", 'Data Entry'!$Ĉ$557)</f>
      </c>
      <c r="GS557">
        <f>IF(ISBLANK('Data Entry'!$ĉ$557), "", 'Data Entry'!$ĉ$557)</f>
      </c>
      <c r="GT557">
        <f>IF(ISBLANK('Data Entry'!$Ċ$557), "", 'Data Entry'!$Ċ$557)</f>
      </c>
      <c r="GU557">
        <f>IF(ISBLANK('Data Entry'!$ċ$557), "", 'Data Entry'!$ċ$557)</f>
      </c>
      <c r="GV557">
        <f>IF(ISBLANK('Data Entry'!$Č$557), "", 'Data Entry'!$Č$557)</f>
      </c>
      <c r="GW557">
        <f>IF(ISBLANK('Data Entry'!$č$557), "", 'Data Entry'!$č$557)</f>
      </c>
      <c r="GX557">
        <f>IF(ISBLANK('Data Entry'!$Ď$557), "", 'Data Entry'!$Ď$557)</f>
      </c>
      <c r="GY557">
        <f>IF(ISBLANK('Data Entry'!$ď$557), "", 'Data Entry'!$ď$557)</f>
      </c>
      <c r="GZ557">
        <f>IF(ISBLANK('Data Entry'!$Đ$557), "", 'Data Entry'!$Đ$557)</f>
      </c>
      <c r="HA557">
        <f>IF(ISBLANK('Data Entry'!$đ$557), "", 'Data Entry'!$đ$557)</f>
      </c>
      <c r="HB557">
        <f>IF(ISBLANK('Data Entry'!$Ē$557), "", 'Data Entry'!$Ē$557)</f>
      </c>
      <c r="HC557">
        <f>IF(ISBLANK('Data Entry'!$ē$557), "", 'Data Entry'!$ē$557)</f>
      </c>
      <c r="HD557">
        <f>IF(ISBLANK('Data Entry'!$Ĕ$557), "", 'Data Entry'!$Ĕ$557)</f>
      </c>
      <c r="HE557">
        <f>IF(ISBLANK('Data Entry'!$ĕ$557), "", 'Data Entry'!$ĕ$557)</f>
      </c>
      <c r="HF557">
        <f>IF(ISBLANK('Data Entry'!$Ė$557), "", 'Data Entry'!$Ė$557)</f>
      </c>
      <c r="HG557">
        <f>IF(ISBLANK('Data Entry'!$ė$557), "", 'Data Entry'!$ė$557)</f>
      </c>
      <c r="HH557">
        <f>IF(ISBLANK('Data Entry'!$Ę$557), "", 'Data Entry'!$Ę$557)</f>
      </c>
      <c r="HI557">
        <f>IF(ISBLANK('Data Entry'!$ę$557), "", 'Data Entry'!$ę$557)</f>
      </c>
      <c r="HJ557">
        <f>IF(ISBLANK('Data Entry'!$Ě$557), "", 'Data Entry'!$Ě$557)</f>
      </c>
      <c r="HK557">
        <f>IF(ISBLANK('Data Entry'!$ě$557), "", 'Data Entry'!$ě$557)</f>
      </c>
      <c r="HL557">
        <f>IF(ISBLANK('Data Entry'!$Ĝ$557), "", 'Data Entry'!$Ĝ$557)</f>
      </c>
      <c r="HM557">
        <f>IF(ISBLANK('Data Entry'!$ĝ$557), "", 'Data Entry'!$ĝ$557)</f>
      </c>
      <c r="HN557">
        <f>IF(ISBLANK('Data Entry'!$Ğ$557), "", 'Data Entry'!$Ğ$557)</f>
      </c>
      <c r="HO557">
        <f>IF(ISBLANK('Data Entry'!$ğ$557), "", 'Data Entry'!$ğ$557)</f>
      </c>
      <c r="HP557">
        <f>IF(ISBLANK('Data Entry'!$Ġ$557), "", 'Data Entry'!$Ġ$557)</f>
      </c>
      <c r="HQ557">
        <f>IF(ISBLANK('Data Entry'!$ġ$557), "", 'Data Entry'!$ġ$557)</f>
      </c>
      <c r="HR557">
        <f>IF(ISBLANK('Data Entry'!$Ģ$557), "", 'Data Entry'!$Ģ$557)</f>
      </c>
      <c r="HS557">
        <f>IF(ISBLANK('Data Entry'!$ģ$557), "", 'Data Entry'!$ģ$557)</f>
      </c>
      <c r="HT557">
        <f>IF(ISBLANK('Data Entry'!$Ĥ$557), "", 'Data Entry'!$Ĥ$557)</f>
      </c>
      <c r="HU557">
        <f>IF(ISBLANK('Data Entry'!$ĥ$557), "", 'Data Entry'!$ĥ$557)</f>
      </c>
      <c r="HV557">
        <f>IF(ISBLANK('Data Entry'!$Ħ$557), "", 'Data Entry'!$Ħ$557)</f>
      </c>
      <c r="HW557">
        <f>IF(ISBLANK('Data Entry'!$ħ$557), "", 'Data Entry'!$ħ$557)</f>
      </c>
      <c r="HX557">
        <f>IF(ISBLANK('Data Entry'!$Ĩ$557), "", 'Data Entry'!$Ĩ$557)</f>
      </c>
      <c r="HY557">
        <f>IF(ISBLANK('Data Entry'!$ĩ$557), "", 'Data Entry'!$ĩ$557)</f>
      </c>
      <c r="HZ557">
        <f>IF(ISBLANK('Data Entry'!$Ī$557), "", 'Data Entry'!$Ī$557)</f>
      </c>
      <c r="IA557">
        <f>IF(ISBLANK('Data Entry'!$ī$557), "", 'Data Entry'!$ī$557)</f>
      </c>
      <c r="IB557">
        <f>IF(ISBLANK('Data Entry'!$Ĭ$557), "", 'Data Entry'!$Ĭ$557)</f>
      </c>
      <c r="IC557">
        <f>IF(ISBLANK('Data Entry'!$ĭ$557), "", 'Data Entry'!$ĭ$557)</f>
      </c>
      <c r="ID557">
        <f>IF(ISBLANK('Data Entry'!$Į$557), "", 'Data Entry'!$Į$557)</f>
      </c>
      <c r="IE557">
        <f>IF(ISBLANK('Data Entry'!$į$557), "", 'Data Entry'!$į$557)</f>
      </c>
      <c r="IF557">
        <f>IF(ISBLANK('Data Entry'!$İ$557), "", 'Data Entry'!$İ$557)</f>
      </c>
      <c r="IG557">
        <f>IF(ISBLANK('Data Entry'!$ı$557), "", 'Data Entry'!$ı$557)</f>
      </c>
      <c r="IH557">
        <f>IF(ISBLANK('Data Entry'!$Ĳ$557), "", 'Data Entry'!$Ĳ$557)</f>
      </c>
      <c r="II557">
        <f>IF(ISBLANK('Data Entry'!$ĳ$557), "", 'Data Entry'!$ĳ$557)</f>
      </c>
      <c r="IJ557">
        <f>IF(ISBLANK('Data Entry'!$Ĵ$557), "", 'Data Entry'!$Ĵ$557)</f>
      </c>
      <c r="IK557">
        <f>IF(ISBLANK('Data Entry'!$ĵ$557), "", 'Data Entry'!$ĵ$557)</f>
      </c>
      <c r="IL557">
        <f>IF(ISBLANK('Data Entry'!$Ķ$557), "", 'Data Entry'!$Ķ$557)</f>
      </c>
      <c r="IM557">
        <f>IF(ISBLANK('Data Entry'!$ķ$557), "", 'Data Entry'!$ķ$557)</f>
      </c>
      <c r="IN557">
        <f>IF(ISBLANK('Data Entry'!$ĸ$557), "", 'Data Entry'!$ĸ$557)</f>
      </c>
      <c r="IO557">
        <f>IF(ISBLANK('Data Entry'!$Ĺ$557), "", 'Data Entry'!$Ĺ$557)</f>
      </c>
      <c r="IP557">
        <f>IF(ISBLANK('Data Entry'!$ĺ$557), "", 'Data Entry'!$ĺ$557)</f>
      </c>
      <c r="IQ557">
        <f>IF(ISBLANK('Data Entry'!$Ļ$557), "", 'Data Entry'!$Ļ$557)</f>
      </c>
      <c r="IR557">
        <f>IF(ISBLANK('Data Entry'!$ļ$557), "", 'Data Entry'!$ļ$557)</f>
      </c>
      <c r="IS557">
        <f>IF(ISBLANK('Data Entry'!$Ľ$557), "", 'Data Entry'!$Ľ$557)</f>
      </c>
      <c r="IT557">
        <f>IF(ISBLANK('Data Entry'!$ľ$557), "", 'Data Entry'!$ľ$557)</f>
      </c>
    </row>
    <row r="558" spans="1:254" x14ac:dyDescent="0.25">
      <c r="A558">
        <f>IF(ISBLANK('Data Entry'!$A$558), "", 'Data Entry'!$A$558)</f>
      </c>
      <c r="B558">
        <f>IF(ISBLANK('Data Entry'!$B$558), "", 'Data Entry'!$B$558)</f>
      </c>
      <c r="C558">
        <f>IF(ISBLANK('Data Entry'!$C$558), "", 'Data Entry'!$C$558)</f>
      </c>
      <c r="D558">
        <f>IF(ISBLANK('Data Entry'!$D$558), "", 'Data Entry'!$D$558)</f>
      </c>
      <c r="E558">
        <f>IF(ISBLANK('Data Entry'!$E$558), "", 'Data Entry'!$E$558)</f>
      </c>
      <c r="F558">
        <f>IF(ISBLANK('Data Entry'!$F$558), "", 'Data Entry'!$F$558)</f>
      </c>
      <c r="G558">
        <f>IF(ISBLANK('Data Entry'!$G$558), "", 'Data Entry'!$G$558)</f>
      </c>
      <c r="H558">
        <f>IF(ISBLANK('Data Entry'!$H$558), "", 'Data Entry'!$H$558)</f>
      </c>
      <c r="I558">
        <f>IF(ISBLANK('Data Entry'!$I$558), "", 'Data Entry'!$I$558)</f>
      </c>
      <c r="J558">
        <f>IF(ISBLANK('Data Entry'!$J$558), "", 'Data Entry'!$J$558)</f>
      </c>
      <c r="K558">
        <f>IF(ISBLANK('Data Entry'!$K$558), "", 'Data Entry'!$K$558)</f>
      </c>
      <c r="L558">
        <f>IF(ISBLANK('Data Entry'!$L$558), "", 'Data Entry'!$L$558)</f>
      </c>
      <c r="M558">
        <f>IF(ISBLANK('Data Entry'!$M$558), "", 'Data Entry'!$M$558)</f>
      </c>
      <c r="N558">
        <f>IF(ISBLANK('Data Entry'!$N$558), "", 'Data Entry'!$N$558)</f>
      </c>
      <c r="O558">
        <f>IF(ISBLANK('Data Entry'!$O$558), "", 'Data Entry'!$O$558)</f>
      </c>
      <c r="P558">
        <f>IF(ISBLANK('Data Entry'!$P$558), "", 'Data Entry'!$P$558)</f>
      </c>
      <c r="Q558">
        <f>IF(ISBLANK('Data Entry'!$Q$558), "", 'Data Entry'!$Q$558)</f>
      </c>
      <c r="R558">
        <f>IF(ISBLANK('Data Entry'!$R$558), "", 'Data Entry'!$R$558)</f>
      </c>
      <c r="S558">
        <f>IF(ISBLANK('Data Entry'!$S$558), "", 'Data Entry'!$S$558)</f>
      </c>
      <c r="T558">
        <f>IF(ISBLANK('Data Entry'!$T$558), "", 'Data Entry'!$T$558)</f>
      </c>
      <c r="U558">
        <f>IF(ISBLANK('Data Entry'!$U$558), "", 'Data Entry'!$U$558)</f>
      </c>
      <c r="V558">
        <f>IF(ISBLANK('Data Entry'!$V$558), "", 'Data Entry'!$V$558)</f>
      </c>
      <c r="W558">
        <f>IF(ISBLANK('Data Entry'!$W$558), "", 'Data Entry'!$W$558)</f>
      </c>
      <c r="X558">
        <f>IF(ISBLANK('Data Entry'!$X$558), "", 'Data Entry'!$X$558)</f>
      </c>
      <c r="Y558">
        <f>IF(ISBLANK('Data Entry'!$Y$558), "", 'Data Entry'!$Y$558)</f>
      </c>
      <c r="Z558">
        <f>IF(ISBLANK('Data Entry'!$Z$558), "", 'Data Entry'!$Z$558)</f>
      </c>
      <c r="AA558">
        <f>IF(ISBLANK('Data Entry'!$[$558), "", 'Data Entry'!$[$558)</f>
      </c>
      <c r="AB558">
        <f>IF(ISBLANK('Data Entry'!$\$558), "", 'Data Entry'!$\$558)</f>
      </c>
      <c r="AC558">
        <f>IF(ISBLANK('Data Entry'!$]$558), "", 'Data Entry'!$]$558)</f>
      </c>
      <c r="AD558">
        <f>IF(ISBLANK('Data Entry'!$^$558), "", 'Data Entry'!$^$558)</f>
      </c>
      <c r="AE558">
        <f>IF(ISBLANK('Data Entry'!$_$558), "", 'Data Entry'!$_$558)</f>
      </c>
      <c r="AF558">
        <f>IF(ISBLANK('Data Entry'!$`$558), "", 'Data Entry'!$`$558)</f>
      </c>
      <c r="AG558">
        <f>IF(ISBLANK('Data Entry'!$a$558), "", 'Data Entry'!$a$558)</f>
      </c>
      <c r="AH558">
        <f>IF(ISBLANK('Data Entry'!$b$558), "", 'Data Entry'!$b$558)</f>
      </c>
      <c r="AI558">
        <f>IF(ISBLANK('Data Entry'!$c$558), "", 'Data Entry'!$c$558)</f>
      </c>
      <c r="AJ558">
        <f>IF(ISBLANK('Data Entry'!$d$558), "", 'Data Entry'!$d$558)</f>
      </c>
      <c r="AK558">
        <f>IF(ISBLANK('Data Entry'!$e$558), "", 'Data Entry'!$e$558)</f>
      </c>
      <c r="AL558">
        <f>IF(ISBLANK('Data Entry'!$f$558), "", 'Data Entry'!$f$558)</f>
      </c>
      <c r="AM558">
        <f>IF(ISBLANK('Data Entry'!$g$558), "", 'Data Entry'!$g$558)</f>
      </c>
      <c r="AN558">
        <f>IF(ISBLANK('Data Entry'!$h$558), "", 'Data Entry'!$h$558)</f>
      </c>
      <c r="AO558">
        <f>IF(ISBLANK('Data Entry'!$i$558), "", 'Data Entry'!$i$558)</f>
      </c>
      <c r="AP558">
        <f>IF(ISBLANK('Data Entry'!$j$558), "", 'Data Entry'!$j$558)</f>
      </c>
      <c r="AQ558">
        <f>IF(ISBLANK('Data Entry'!$k$558), "", 'Data Entry'!$k$558)</f>
      </c>
      <c r="AR558">
        <f>IF(ISBLANK('Data Entry'!$l$558), "", 'Data Entry'!$l$558)</f>
      </c>
      <c r="AS558">
        <f>IF(ISBLANK('Data Entry'!$m$558), "", 'Data Entry'!$m$558)</f>
      </c>
      <c r="AT558">
        <f>IF(ISBLANK('Data Entry'!$n$558), "", 'Data Entry'!$n$558)</f>
      </c>
      <c r="AU558">
        <f>IF(ISBLANK('Data Entry'!$o$558), "", 'Data Entry'!$o$558)</f>
      </c>
      <c r="AV558">
        <f>IF(ISBLANK('Data Entry'!$p$558), "", 'Data Entry'!$p$558)</f>
      </c>
      <c r="AW558">
        <f>IF(ISBLANK('Data Entry'!$q$558), "", 'Data Entry'!$q$558)</f>
      </c>
      <c r="AX558">
        <f>IF(ISBLANK('Data Entry'!$r$558), "", 'Data Entry'!$r$558)</f>
      </c>
      <c r="AY558">
        <f>IF(ISBLANK('Data Entry'!$s$558), "", 'Data Entry'!$s$558)</f>
      </c>
      <c r="AZ558">
        <f>IF(ISBLANK('Data Entry'!$t$558), "", 'Data Entry'!$t$558)</f>
      </c>
      <c r="BA558">
        <f>IF(ISBLANK('Data Entry'!$u$558), "", 'Data Entry'!$u$558)</f>
      </c>
      <c r="BB558">
        <f>IF(ISBLANK('Data Entry'!$v$558), "", 'Data Entry'!$v$558)</f>
      </c>
      <c r="BC558">
        <f>IF(ISBLANK('Data Entry'!$w$558), "", 'Data Entry'!$w$558)</f>
      </c>
      <c r="BD558">
        <f>IF(ISBLANK('Data Entry'!$x$558), "", 'Data Entry'!$x$558)</f>
      </c>
      <c r="BE558">
        <f>IF(ISBLANK('Data Entry'!$y$558), "", 'Data Entry'!$y$558)</f>
      </c>
      <c r="BF558">
        <f>IF(ISBLANK('Data Entry'!$z$558), "", 'Data Entry'!$z$558)</f>
      </c>
      <c r="BG558">
        <f>IF(ISBLANK('Data Entry'!${$558), "", 'Data Entry'!${$558)</f>
      </c>
      <c r="BH558">
        <f>IF(ISBLANK('Data Entry'!$|$558), "", 'Data Entry'!$|$558)</f>
      </c>
      <c r="BI558">
        <f>IF(ISBLANK('Data Entry'!$}$558), "", 'Data Entry'!$}$558)</f>
      </c>
      <c r="BJ558">
        <f>IF(ISBLANK('Data Entry'!$~$558), "", 'Data Entry'!$~$558)</f>
      </c>
      <c r="BK558">
        <f>IF(ISBLANK('Data Entry'!$$558), "", 'Data Entry'!$$558)</f>
      </c>
      <c r="BL558">
        <f>IF(ISBLANK('Data Entry'!$$558), "", 'Data Entry'!$$558)</f>
      </c>
      <c r="BM558">
        <f>IF(ISBLANK('Data Entry'!$$558), "", 'Data Entry'!$$558)</f>
      </c>
      <c r="BN558">
        <f>IF(ISBLANK('Data Entry'!$$558), "", 'Data Entry'!$$558)</f>
      </c>
      <c r="BO558">
        <f>IF(ISBLANK('Data Entry'!$$558), "", 'Data Entry'!$$558)</f>
      </c>
      <c r="BP558">
        <f>IF(ISBLANK('Data Entry'!$$558), "", 'Data Entry'!$$558)</f>
      </c>
      <c r="BQ558">
        <f>IF(ISBLANK('Data Entry'!$$558), "", 'Data Entry'!$$558)</f>
      </c>
      <c r="BR558">
        <f>IF(ISBLANK('Data Entry'!$$558), "", 'Data Entry'!$$558)</f>
      </c>
      <c r="BS558">
        <f>IF(ISBLANK('Data Entry'!$$558), "", 'Data Entry'!$$558)</f>
      </c>
      <c r="BT558">
        <f>IF(ISBLANK('Data Entry'!$$558), "", 'Data Entry'!$$558)</f>
      </c>
      <c r="BU558">
        <f>IF(ISBLANK('Data Entry'!$$558), "", 'Data Entry'!$$558)</f>
      </c>
      <c r="BV558">
        <f>IF(ISBLANK('Data Entry'!$$558), "", 'Data Entry'!$$558)</f>
      </c>
      <c r="BW558">
        <f>IF(ISBLANK('Data Entry'!$$558), "", 'Data Entry'!$$558)</f>
      </c>
      <c r="BX558">
        <f>IF(ISBLANK('Data Entry'!$$558), "", 'Data Entry'!$$558)</f>
      </c>
      <c r="BY558">
        <f>IF(ISBLANK('Data Entry'!$$558), "", 'Data Entry'!$$558)</f>
      </c>
      <c r="BZ558">
        <f>IF(ISBLANK('Data Entry'!$$558), "", 'Data Entry'!$$558)</f>
      </c>
      <c r="CA558">
        <f>IF(ISBLANK('Data Entry'!$$558), "", 'Data Entry'!$$558)</f>
      </c>
      <c r="CB558">
        <f>IF(ISBLANK('Data Entry'!$$558), "", 'Data Entry'!$$558)</f>
      </c>
      <c r="CC558">
        <f>IF(ISBLANK('Data Entry'!$$558), "", 'Data Entry'!$$558)</f>
      </c>
      <c r="CD558">
        <f>IF(ISBLANK('Data Entry'!$$558), "", 'Data Entry'!$$558)</f>
      </c>
      <c r="CE558">
        <f>IF(ISBLANK('Data Entry'!$$558), "", 'Data Entry'!$$558)</f>
      </c>
      <c r="CF558">
        <f>IF(ISBLANK('Data Entry'!$$558), "", 'Data Entry'!$$558)</f>
      </c>
      <c r="CG558">
        <f>IF(ISBLANK('Data Entry'!$$558), "", 'Data Entry'!$$558)</f>
      </c>
      <c r="CH558">
        <f>IF(ISBLANK('Data Entry'!$$558), "", 'Data Entry'!$$558)</f>
      </c>
      <c r="CI558">
        <f>IF(ISBLANK('Data Entry'!$$558), "", 'Data Entry'!$$558)</f>
      </c>
      <c r="CJ558">
        <f>IF(ISBLANK('Data Entry'!$$558), "", 'Data Entry'!$$558)</f>
      </c>
      <c r="CK558">
        <f>IF(ISBLANK('Data Entry'!$$558), "", 'Data Entry'!$$558)</f>
      </c>
      <c r="CL558">
        <f>IF(ISBLANK('Data Entry'!$$558), "", 'Data Entry'!$$558)</f>
      </c>
      <c r="CM558">
        <f>IF(ISBLANK('Data Entry'!$$558), "", 'Data Entry'!$$558)</f>
      </c>
      <c r="CN558">
        <f>IF(ISBLANK('Data Entry'!$$558), "", 'Data Entry'!$$558)</f>
      </c>
      <c r="CO558">
        <f>IF(ISBLANK('Data Entry'!$$558), "", 'Data Entry'!$$558)</f>
      </c>
      <c r="CP558">
        <f>IF(ISBLANK('Data Entry'!$$558), "", 'Data Entry'!$$558)</f>
      </c>
      <c r="CQ558">
        <f>IF(ISBLANK('Data Entry'!$$558), "", 'Data Entry'!$$558)</f>
      </c>
      <c r="CR558">
        <f>IF(ISBLANK('Data Entry'!$ $558), "", 'Data Entry'!$ $558)</f>
      </c>
      <c r="CS558">
        <f>IF(ISBLANK('Data Entry'!$¡$558), "", 'Data Entry'!$¡$558)</f>
      </c>
      <c r="CT558">
        <f>IF(ISBLANK('Data Entry'!$¢$558), "", 'Data Entry'!$¢$558)</f>
      </c>
      <c r="CU558">
        <f>IF(ISBLANK('Data Entry'!$£$558), "", 'Data Entry'!$£$558)</f>
      </c>
      <c r="CV558">
        <f>IF(ISBLANK('Data Entry'!$¤$558), "", 'Data Entry'!$¤$558)</f>
      </c>
      <c r="CW558">
        <f>IF(ISBLANK('Data Entry'!$¥$558), "", 'Data Entry'!$¥$558)</f>
      </c>
      <c r="CX558">
        <f>IF(ISBLANK('Data Entry'!$¦$558), "", 'Data Entry'!$¦$558)</f>
      </c>
      <c r="CY558">
        <f>IF(ISBLANK('Data Entry'!$§$558), "", 'Data Entry'!$§$558)</f>
      </c>
      <c r="CZ558">
        <f>IF(ISBLANK('Data Entry'!$¨$558), "", 'Data Entry'!$¨$558)</f>
      </c>
      <c r="DA558">
        <f>IF(ISBLANK('Data Entry'!$©$558), "", 'Data Entry'!$©$558)</f>
      </c>
      <c r="DB558">
        <f>IF(ISBLANK('Data Entry'!$ª$558), "", 'Data Entry'!$ª$558)</f>
      </c>
      <c r="DC558">
        <f>IF(ISBLANK('Data Entry'!$«$558), "", 'Data Entry'!$«$558)</f>
      </c>
      <c r="DD558">
        <f>IF(ISBLANK('Data Entry'!$¬$558), "", 'Data Entry'!$¬$558)</f>
      </c>
      <c r="DE558">
        <f>IF(ISBLANK('Data Entry'!$­$558), "", 'Data Entry'!$­$558)</f>
      </c>
      <c r="DF558">
        <f>IF(ISBLANK('Data Entry'!$®$558), "", 'Data Entry'!$®$558)</f>
      </c>
      <c r="DG558">
        <f>IF(ISBLANK('Data Entry'!$¯$558), "", 'Data Entry'!$¯$558)</f>
      </c>
      <c r="DH558">
        <f>IF(ISBLANK('Data Entry'!$°$558), "", 'Data Entry'!$°$558)</f>
      </c>
      <c r="DI558">
        <f>IF(ISBLANK('Data Entry'!$±$558), "", 'Data Entry'!$±$558)</f>
      </c>
      <c r="DJ558">
        <f>IF(ISBLANK('Data Entry'!$²$558), "", 'Data Entry'!$²$558)</f>
      </c>
      <c r="DK558">
        <f>IF(ISBLANK('Data Entry'!$³$558), "", 'Data Entry'!$³$558)</f>
      </c>
      <c r="DL558">
        <f>IF(ISBLANK('Data Entry'!$´$558), "", 'Data Entry'!$´$558)</f>
      </c>
      <c r="DM558">
        <f>IF(ISBLANK('Data Entry'!$µ$558), "", 'Data Entry'!$µ$558)</f>
      </c>
      <c r="DN558">
        <f>IF(ISBLANK('Data Entry'!$¶$558), "", 'Data Entry'!$¶$558)</f>
      </c>
      <c r="DO558">
        <f>IF(ISBLANK('Data Entry'!$·$558), "", 'Data Entry'!$·$558)</f>
      </c>
      <c r="DP558">
        <f>IF(ISBLANK('Data Entry'!$¸$558), "", 'Data Entry'!$¸$558)</f>
      </c>
      <c r="DQ558">
        <f>IF(ISBLANK('Data Entry'!$¹$558), "", 'Data Entry'!$¹$558)</f>
      </c>
      <c r="DR558">
        <f>IF(ISBLANK('Data Entry'!$º$558), "", 'Data Entry'!$º$558)</f>
      </c>
      <c r="DS558">
        <f>IF(ISBLANK('Data Entry'!$»$558), "", 'Data Entry'!$»$558)</f>
      </c>
      <c r="DT558">
        <f>IF(ISBLANK('Data Entry'!$¼$558), "", 'Data Entry'!$¼$558)</f>
      </c>
      <c r="DU558">
        <f>IF(ISBLANK('Data Entry'!$½$558), "", 'Data Entry'!$½$558)</f>
      </c>
      <c r="DV558">
        <f>IF(ISBLANK('Data Entry'!$¾$558), "", 'Data Entry'!$¾$558)</f>
      </c>
      <c r="DW558">
        <f>IF(ISBLANK('Data Entry'!$¿$558), "", 'Data Entry'!$¿$558)</f>
      </c>
      <c r="DX558">
        <f>IF(ISBLANK('Data Entry'!$À$558), "", 'Data Entry'!$À$558)</f>
      </c>
      <c r="DY558">
        <f>IF(ISBLANK('Data Entry'!$Á$558), "", 'Data Entry'!$Á$558)</f>
      </c>
      <c r="DZ558">
        <f>IF(ISBLANK('Data Entry'!$Â$558), "", 'Data Entry'!$Â$558)</f>
      </c>
      <c r="EA558">
        <f>IF(ISBLANK('Data Entry'!$Ã$558), "", 'Data Entry'!$Ã$558)</f>
      </c>
      <c r="EB558">
        <f>IF(ISBLANK('Data Entry'!$Ä$558), "", 'Data Entry'!$Ä$558)</f>
      </c>
      <c r="EC558">
        <f>IF(ISBLANK('Data Entry'!$Å$558), "", 'Data Entry'!$Å$558)</f>
      </c>
      <c r="ED558">
        <f>IF(ISBLANK('Data Entry'!$Æ$558), "", 'Data Entry'!$Æ$558)</f>
      </c>
      <c r="EE558">
        <f>IF(ISBLANK('Data Entry'!$Ç$558), "", 'Data Entry'!$Ç$558)</f>
      </c>
      <c r="EF558">
        <f>IF(ISBLANK('Data Entry'!$È$558), "", 'Data Entry'!$È$558)</f>
      </c>
      <c r="EG558">
        <f>IF(ISBLANK('Data Entry'!$É$558), "", 'Data Entry'!$É$558)</f>
      </c>
      <c r="EH558">
        <f>IF(ISBLANK('Data Entry'!$Ê$558), "", 'Data Entry'!$Ê$558)</f>
      </c>
      <c r="EI558">
        <f>IF(ISBLANK('Data Entry'!$Ë$558), "", 'Data Entry'!$Ë$558)</f>
      </c>
      <c r="EJ558">
        <f>IF(ISBLANK('Data Entry'!$Ì$558), "", 'Data Entry'!$Ì$558)</f>
      </c>
      <c r="EK558">
        <f>IF(ISBLANK('Data Entry'!$Í$558), "", 'Data Entry'!$Í$558)</f>
      </c>
      <c r="EL558">
        <f>IF(ISBLANK('Data Entry'!$Î$558), "", 'Data Entry'!$Î$558)</f>
      </c>
      <c r="EM558">
        <f>IF(ISBLANK('Data Entry'!$Ï$558), "", 'Data Entry'!$Ï$558)</f>
      </c>
      <c r="EN558">
        <f>IF(ISBLANK('Data Entry'!$Ð$558), "", 'Data Entry'!$Ð$558)</f>
      </c>
      <c r="EO558">
        <f>IF(ISBLANK('Data Entry'!$Ñ$558), "", 'Data Entry'!$Ñ$558)</f>
      </c>
      <c r="EP558">
        <f>IF(ISBLANK('Data Entry'!$Ò$558), "", 'Data Entry'!$Ò$558)</f>
      </c>
      <c r="EQ558">
        <f>IF(ISBLANK('Data Entry'!$Ó$558), "", 'Data Entry'!$Ó$558)</f>
      </c>
      <c r="ER558">
        <f>IF(ISBLANK('Data Entry'!$Ô$558), "", 'Data Entry'!$Ô$558)</f>
      </c>
      <c r="ES558">
        <f>IF(ISBLANK('Data Entry'!$Õ$558), "", 'Data Entry'!$Õ$558)</f>
      </c>
      <c r="ET558">
        <f>IF(ISBLANK('Data Entry'!$Ö$558), "", 'Data Entry'!$Ö$558)</f>
      </c>
      <c r="EU558">
        <f>IF(ISBLANK('Data Entry'!$×$558), "", 'Data Entry'!$×$558)</f>
      </c>
      <c r="EV558">
        <f>IF(ISBLANK('Data Entry'!$Ø$558), "", 'Data Entry'!$Ø$558)</f>
      </c>
      <c r="EW558">
        <f>IF(ISBLANK('Data Entry'!$Ù$558), "", 'Data Entry'!$Ù$558)</f>
      </c>
      <c r="EX558">
        <f>IF(ISBLANK('Data Entry'!$Ú$558), "", 'Data Entry'!$Ú$558)</f>
      </c>
      <c r="EY558">
        <f>IF(ISBLANK('Data Entry'!$Û$558), "", 'Data Entry'!$Û$558)</f>
      </c>
      <c r="EZ558">
        <f>IF(ISBLANK('Data Entry'!$Ü$558), "", 'Data Entry'!$Ü$558)</f>
      </c>
      <c r="FA558">
        <f>IF(ISBLANK('Data Entry'!$Ý$558), "", 'Data Entry'!$Ý$558)</f>
      </c>
      <c r="FB558">
        <f>IF(ISBLANK('Data Entry'!$Þ$558), "", 'Data Entry'!$Þ$558)</f>
      </c>
      <c r="FC558">
        <f>IF(ISBLANK('Data Entry'!$ß$558), "", 'Data Entry'!$ß$558)</f>
      </c>
      <c r="FD558">
        <f>IF(ISBLANK('Data Entry'!$à$558), "", 'Data Entry'!$à$558)</f>
      </c>
      <c r="FE558">
        <f>IF(ISBLANK('Data Entry'!$á$558), "", 'Data Entry'!$á$558)</f>
      </c>
      <c r="FF558">
        <f>IF(ISBLANK('Data Entry'!$â$558), "", 'Data Entry'!$â$558)</f>
      </c>
      <c r="FG558">
        <f>IF(ISBLANK('Data Entry'!$ã$558), "", 'Data Entry'!$ã$558)</f>
      </c>
      <c r="FH558">
        <f>IF(ISBLANK('Data Entry'!$ä$558), "", 'Data Entry'!$ä$558)</f>
      </c>
      <c r="FI558">
        <f>IF(ISBLANK('Data Entry'!$å$558), "", 'Data Entry'!$å$558)</f>
      </c>
      <c r="FJ558">
        <f>IF(ISBLANK('Data Entry'!$æ$558), "", 'Data Entry'!$æ$558)</f>
      </c>
      <c r="FK558">
        <f>IF(ISBLANK('Data Entry'!$ç$558), "", 'Data Entry'!$ç$558)</f>
      </c>
      <c r="FL558">
        <f>IF(ISBLANK('Data Entry'!$è$558), "", 'Data Entry'!$è$558)</f>
      </c>
      <c r="FM558">
        <f>IF(ISBLANK('Data Entry'!$é$558), "", 'Data Entry'!$é$558)</f>
      </c>
      <c r="FN558">
        <f>IF(ISBLANK('Data Entry'!$ê$558), "", 'Data Entry'!$ê$558)</f>
      </c>
      <c r="FO558">
        <f>IF(ISBLANK('Data Entry'!$ë$558), "", 'Data Entry'!$ë$558)</f>
      </c>
      <c r="FP558">
        <f>IF(ISBLANK('Data Entry'!$ì$558), "", 'Data Entry'!$ì$558)</f>
      </c>
      <c r="FQ558">
        <f>IF(ISBLANK('Data Entry'!$í$558), "", 'Data Entry'!$í$558)</f>
      </c>
      <c r="FR558">
        <f>IF(ISBLANK('Data Entry'!$î$558), "", 'Data Entry'!$î$558)</f>
      </c>
      <c r="FS558">
        <f>IF(ISBLANK('Data Entry'!$ï$558), "", 'Data Entry'!$ï$558)</f>
      </c>
      <c r="FT558">
        <f>IF(ISBLANK('Data Entry'!$ð$558), "", 'Data Entry'!$ð$558)</f>
      </c>
      <c r="FU558">
        <f>IF(ISBLANK('Data Entry'!$ñ$558), "", 'Data Entry'!$ñ$558)</f>
      </c>
      <c r="FV558">
        <f>IF(ISBLANK('Data Entry'!$ò$558), "", 'Data Entry'!$ò$558)</f>
      </c>
      <c r="FW558">
        <f>IF(ISBLANK('Data Entry'!$ó$558), "", 'Data Entry'!$ó$558)</f>
      </c>
      <c r="FX558">
        <f>IF(ISBLANK('Data Entry'!$ô$558), "", 'Data Entry'!$ô$558)</f>
      </c>
      <c r="FY558">
        <f>IF(ISBLANK('Data Entry'!$õ$558), "", 'Data Entry'!$õ$558)</f>
      </c>
      <c r="FZ558">
        <f>IF(ISBLANK('Data Entry'!$ö$558), "", 'Data Entry'!$ö$558)</f>
      </c>
      <c r="GA558">
        <f>IF(ISBLANK('Data Entry'!$÷$558), "", 'Data Entry'!$÷$558)</f>
      </c>
      <c r="GB558">
        <f>IF(ISBLANK('Data Entry'!$ø$558), "", 'Data Entry'!$ø$558)</f>
      </c>
      <c r="GC558">
        <f>IF(ISBLANK('Data Entry'!$ù$558), "", 'Data Entry'!$ù$558)</f>
      </c>
      <c r="GD558">
        <f>IF(ISBLANK('Data Entry'!$ú$558), "", 'Data Entry'!$ú$558)</f>
      </c>
      <c r="GE558">
        <f>IF(ISBLANK('Data Entry'!$û$558), "", 'Data Entry'!$û$558)</f>
      </c>
      <c r="GF558">
        <f>IF(ISBLANK('Data Entry'!$ü$558), "", 'Data Entry'!$ü$558)</f>
      </c>
      <c r="GG558">
        <f>IF(ISBLANK('Data Entry'!$ý$558), "", 'Data Entry'!$ý$558)</f>
      </c>
      <c r="GH558">
        <f>IF(ISBLANK('Data Entry'!$þ$558), "", 'Data Entry'!$þ$558)</f>
      </c>
      <c r="GI558">
        <f>IF(ISBLANK('Data Entry'!$ÿ$558), "", 'Data Entry'!$ÿ$558)</f>
      </c>
      <c r="GJ558">
        <f>IF(ISBLANK('Data Entry'!$Ā$558), "", 'Data Entry'!$Ā$558)</f>
      </c>
      <c r="GK558">
        <f>IF(ISBLANK('Data Entry'!$ā$558), "", 'Data Entry'!$ā$558)</f>
      </c>
      <c r="GL558">
        <f>IF(ISBLANK('Data Entry'!$Ă$558), "", 'Data Entry'!$Ă$558)</f>
      </c>
      <c r="GM558">
        <f>IF(ISBLANK('Data Entry'!$ă$558), "", 'Data Entry'!$ă$558)</f>
      </c>
      <c r="GN558">
        <f>IF(ISBLANK('Data Entry'!$Ą$558), "", 'Data Entry'!$Ą$558)</f>
      </c>
      <c r="GO558">
        <f>IF(ISBLANK('Data Entry'!$ą$558), "", 'Data Entry'!$ą$558)</f>
      </c>
      <c r="GP558">
        <f>IF(ISBLANK('Data Entry'!$Ć$558), "", 'Data Entry'!$Ć$558)</f>
      </c>
      <c r="GQ558">
        <f>IF(ISBLANK('Data Entry'!$ć$558), "", 'Data Entry'!$ć$558)</f>
      </c>
      <c r="GR558">
        <f>IF(ISBLANK('Data Entry'!$Ĉ$558), "", 'Data Entry'!$Ĉ$558)</f>
      </c>
      <c r="GS558">
        <f>IF(ISBLANK('Data Entry'!$ĉ$558), "", 'Data Entry'!$ĉ$558)</f>
      </c>
      <c r="GT558">
        <f>IF(ISBLANK('Data Entry'!$Ċ$558), "", 'Data Entry'!$Ċ$558)</f>
      </c>
      <c r="GU558">
        <f>IF(ISBLANK('Data Entry'!$ċ$558), "", 'Data Entry'!$ċ$558)</f>
      </c>
      <c r="GV558">
        <f>IF(ISBLANK('Data Entry'!$Č$558), "", 'Data Entry'!$Č$558)</f>
      </c>
      <c r="GW558">
        <f>IF(ISBLANK('Data Entry'!$č$558), "", 'Data Entry'!$č$558)</f>
      </c>
      <c r="GX558">
        <f>IF(ISBLANK('Data Entry'!$Ď$558), "", 'Data Entry'!$Ď$558)</f>
      </c>
      <c r="GY558">
        <f>IF(ISBLANK('Data Entry'!$ď$558), "", 'Data Entry'!$ď$558)</f>
      </c>
      <c r="GZ558">
        <f>IF(ISBLANK('Data Entry'!$Đ$558), "", 'Data Entry'!$Đ$558)</f>
      </c>
      <c r="HA558">
        <f>IF(ISBLANK('Data Entry'!$đ$558), "", 'Data Entry'!$đ$558)</f>
      </c>
      <c r="HB558">
        <f>IF(ISBLANK('Data Entry'!$Ē$558), "", 'Data Entry'!$Ē$558)</f>
      </c>
      <c r="HC558">
        <f>IF(ISBLANK('Data Entry'!$ē$558), "", 'Data Entry'!$ē$558)</f>
      </c>
      <c r="HD558">
        <f>IF(ISBLANK('Data Entry'!$Ĕ$558), "", 'Data Entry'!$Ĕ$558)</f>
      </c>
      <c r="HE558">
        <f>IF(ISBLANK('Data Entry'!$ĕ$558), "", 'Data Entry'!$ĕ$558)</f>
      </c>
      <c r="HF558">
        <f>IF(ISBLANK('Data Entry'!$Ė$558), "", 'Data Entry'!$Ė$558)</f>
      </c>
      <c r="HG558">
        <f>IF(ISBLANK('Data Entry'!$ė$558), "", 'Data Entry'!$ė$558)</f>
      </c>
      <c r="HH558">
        <f>IF(ISBLANK('Data Entry'!$Ę$558), "", 'Data Entry'!$Ę$558)</f>
      </c>
      <c r="HI558">
        <f>IF(ISBLANK('Data Entry'!$ę$558), "", 'Data Entry'!$ę$558)</f>
      </c>
      <c r="HJ558">
        <f>IF(ISBLANK('Data Entry'!$Ě$558), "", 'Data Entry'!$Ě$558)</f>
      </c>
      <c r="HK558">
        <f>IF(ISBLANK('Data Entry'!$ě$558), "", 'Data Entry'!$ě$558)</f>
      </c>
      <c r="HL558">
        <f>IF(ISBLANK('Data Entry'!$Ĝ$558), "", 'Data Entry'!$Ĝ$558)</f>
      </c>
      <c r="HM558">
        <f>IF(ISBLANK('Data Entry'!$ĝ$558), "", 'Data Entry'!$ĝ$558)</f>
      </c>
      <c r="HN558">
        <f>IF(ISBLANK('Data Entry'!$Ğ$558), "", 'Data Entry'!$Ğ$558)</f>
      </c>
      <c r="HO558">
        <f>IF(ISBLANK('Data Entry'!$ğ$558), "", 'Data Entry'!$ğ$558)</f>
      </c>
      <c r="HP558">
        <f>IF(ISBLANK('Data Entry'!$Ġ$558), "", 'Data Entry'!$Ġ$558)</f>
      </c>
      <c r="HQ558">
        <f>IF(ISBLANK('Data Entry'!$ġ$558), "", 'Data Entry'!$ġ$558)</f>
      </c>
      <c r="HR558">
        <f>IF(ISBLANK('Data Entry'!$Ģ$558), "", 'Data Entry'!$Ģ$558)</f>
      </c>
      <c r="HS558">
        <f>IF(ISBLANK('Data Entry'!$ģ$558), "", 'Data Entry'!$ģ$558)</f>
      </c>
      <c r="HT558">
        <f>IF(ISBLANK('Data Entry'!$Ĥ$558), "", 'Data Entry'!$Ĥ$558)</f>
      </c>
      <c r="HU558">
        <f>IF(ISBLANK('Data Entry'!$ĥ$558), "", 'Data Entry'!$ĥ$558)</f>
      </c>
      <c r="HV558">
        <f>IF(ISBLANK('Data Entry'!$Ħ$558), "", 'Data Entry'!$Ħ$558)</f>
      </c>
      <c r="HW558">
        <f>IF(ISBLANK('Data Entry'!$ħ$558), "", 'Data Entry'!$ħ$558)</f>
      </c>
      <c r="HX558">
        <f>IF(ISBLANK('Data Entry'!$Ĩ$558), "", 'Data Entry'!$Ĩ$558)</f>
      </c>
      <c r="HY558">
        <f>IF(ISBLANK('Data Entry'!$ĩ$558), "", 'Data Entry'!$ĩ$558)</f>
      </c>
      <c r="HZ558">
        <f>IF(ISBLANK('Data Entry'!$Ī$558), "", 'Data Entry'!$Ī$558)</f>
      </c>
      <c r="IA558">
        <f>IF(ISBLANK('Data Entry'!$ī$558), "", 'Data Entry'!$ī$558)</f>
      </c>
      <c r="IB558">
        <f>IF(ISBLANK('Data Entry'!$Ĭ$558), "", 'Data Entry'!$Ĭ$558)</f>
      </c>
      <c r="IC558">
        <f>IF(ISBLANK('Data Entry'!$ĭ$558), "", 'Data Entry'!$ĭ$558)</f>
      </c>
      <c r="ID558">
        <f>IF(ISBLANK('Data Entry'!$Į$558), "", 'Data Entry'!$Į$558)</f>
      </c>
      <c r="IE558">
        <f>IF(ISBLANK('Data Entry'!$į$558), "", 'Data Entry'!$į$558)</f>
      </c>
      <c r="IF558">
        <f>IF(ISBLANK('Data Entry'!$İ$558), "", 'Data Entry'!$İ$558)</f>
      </c>
      <c r="IG558">
        <f>IF(ISBLANK('Data Entry'!$ı$558), "", 'Data Entry'!$ı$558)</f>
      </c>
      <c r="IH558">
        <f>IF(ISBLANK('Data Entry'!$Ĳ$558), "", 'Data Entry'!$Ĳ$558)</f>
      </c>
      <c r="II558">
        <f>IF(ISBLANK('Data Entry'!$ĳ$558), "", 'Data Entry'!$ĳ$558)</f>
      </c>
      <c r="IJ558">
        <f>IF(ISBLANK('Data Entry'!$Ĵ$558), "", 'Data Entry'!$Ĵ$558)</f>
      </c>
      <c r="IK558">
        <f>IF(ISBLANK('Data Entry'!$ĵ$558), "", 'Data Entry'!$ĵ$558)</f>
      </c>
      <c r="IL558">
        <f>IF(ISBLANK('Data Entry'!$Ķ$558), "", 'Data Entry'!$Ķ$558)</f>
      </c>
      <c r="IM558">
        <f>IF(ISBLANK('Data Entry'!$ķ$558), "", 'Data Entry'!$ķ$558)</f>
      </c>
      <c r="IN558">
        <f>IF(ISBLANK('Data Entry'!$ĸ$558), "", 'Data Entry'!$ĸ$558)</f>
      </c>
      <c r="IO558">
        <f>IF(ISBLANK('Data Entry'!$Ĺ$558), "", 'Data Entry'!$Ĺ$558)</f>
      </c>
      <c r="IP558">
        <f>IF(ISBLANK('Data Entry'!$ĺ$558), "", 'Data Entry'!$ĺ$558)</f>
      </c>
      <c r="IQ558">
        <f>IF(ISBLANK('Data Entry'!$Ļ$558), "", 'Data Entry'!$Ļ$558)</f>
      </c>
      <c r="IR558">
        <f>IF(ISBLANK('Data Entry'!$ļ$558), "", 'Data Entry'!$ļ$558)</f>
      </c>
      <c r="IS558">
        <f>IF(ISBLANK('Data Entry'!$Ľ$558), "", 'Data Entry'!$Ľ$558)</f>
      </c>
      <c r="IT558">
        <f>IF(ISBLANK('Data Entry'!$ľ$558), "", 'Data Entry'!$ľ$558)</f>
      </c>
    </row>
    <row r="559" spans="1:254" x14ac:dyDescent="0.25">
      <c r="A559">
        <f>IF(ISBLANK('Data Entry'!$A$559), "", 'Data Entry'!$A$559)</f>
      </c>
      <c r="B559">
        <f>IF(ISBLANK('Data Entry'!$B$559), "", 'Data Entry'!$B$559)</f>
      </c>
      <c r="C559">
        <f>IF(ISBLANK('Data Entry'!$C$559), "", 'Data Entry'!$C$559)</f>
      </c>
      <c r="D559">
        <f>IF(ISBLANK('Data Entry'!$D$559), "", 'Data Entry'!$D$559)</f>
      </c>
      <c r="E559">
        <f>IF(ISBLANK('Data Entry'!$E$559), "", 'Data Entry'!$E$559)</f>
      </c>
      <c r="F559">
        <f>IF(ISBLANK('Data Entry'!$F$559), "", 'Data Entry'!$F$559)</f>
      </c>
      <c r="G559">
        <f>IF(ISBLANK('Data Entry'!$G$559), "", 'Data Entry'!$G$559)</f>
      </c>
      <c r="H559">
        <f>IF(ISBLANK('Data Entry'!$H$559), "", 'Data Entry'!$H$559)</f>
      </c>
      <c r="I559">
        <f>IF(ISBLANK('Data Entry'!$I$559), "", 'Data Entry'!$I$559)</f>
      </c>
      <c r="J559">
        <f>IF(ISBLANK('Data Entry'!$J$559), "", 'Data Entry'!$J$559)</f>
      </c>
      <c r="K559">
        <f>IF(ISBLANK('Data Entry'!$K$559), "", 'Data Entry'!$K$559)</f>
      </c>
      <c r="L559">
        <f>IF(ISBLANK('Data Entry'!$L$559), "", 'Data Entry'!$L$559)</f>
      </c>
      <c r="M559">
        <f>IF(ISBLANK('Data Entry'!$M$559), "", 'Data Entry'!$M$559)</f>
      </c>
      <c r="N559">
        <f>IF(ISBLANK('Data Entry'!$N$559), "", 'Data Entry'!$N$559)</f>
      </c>
      <c r="O559">
        <f>IF(ISBLANK('Data Entry'!$O$559), "", 'Data Entry'!$O$559)</f>
      </c>
      <c r="P559">
        <f>IF(ISBLANK('Data Entry'!$P$559), "", 'Data Entry'!$P$559)</f>
      </c>
      <c r="Q559">
        <f>IF(ISBLANK('Data Entry'!$Q$559), "", 'Data Entry'!$Q$559)</f>
      </c>
      <c r="R559">
        <f>IF(ISBLANK('Data Entry'!$R$559), "", 'Data Entry'!$R$559)</f>
      </c>
      <c r="S559">
        <f>IF(ISBLANK('Data Entry'!$S$559), "", 'Data Entry'!$S$559)</f>
      </c>
      <c r="T559">
        <f>IF(ISBLANK('Data Entry'!$T$559), "", 'Data Entry'!$T$559)</f>
      </c>
      <c r="U559">
        <f>IF(ISBLANK('Data Entry'!$U$559), "", 'Data Entry'!$U$559)</f>
      </c>
      <c r="V559">
        <f>IF(ISBLANK('Data Entry'!$V$559), "", 'Data Entry'!$V$559)</f>
      </c>
      <c r="W559">
        <f>IF(ISBLANK('Data Entry'!$W$559), "", 'Data Entry'!$W$559)</f>
      </c>
      <c r="X559">
        <f>IF(ISBLANK('Data Entry'!$X$559), "", 'Data Entry'!$X$559)</f>
      </c>
      <c r="Y559">
        <f>IF(ISBLANK('Data Entry'!$Y$559), "", 'Data Entry'!$Y$559)</f>
      </c>
      <c r="Z559">
        <f>IF(ISBLANK('Data Entry'!$Z$559), "", 'Data Entry'!$Z$559)</f>
      </c>
      <c r="AA559">
        <f>IF(ISBLANK('Data Entry'!$[$559), "", 'Data Entry'!$[$559)</f>
      </c>
      <c r="AB559">
        <f>IF(ISBLANK('Data Entry'!$\$559), "", 'Data Entry'!$\$559)</f>
      </c>
      <c r="AC559">
        <f>IF(ISBLANK('Data Entry'!$]$559), "", 'Data Entry'!$]$559)</f>
      </c>
      <c r="AD559">
        <f>IF(ISBLANK('Data Entry'!$^$559), "", 'Data Entry'!$^$559)</f>
      </c>
      <c r="AE559">
        <f>IF(ISBLANK('Data Entry'!$_$559), "", 'Data Entry'!$_$559)</f>
      </c>
      <c r="AF559">
        <f>IF(ISBLANK('Data Entry'!$`$559), "", 'Data Entry'!$`$559)</f>
      </c>
      <c r="AG559">
        <f>IF(ISBLANK('Data Entry'!$a$559), "", 'Data Entry'!$a$559)</f>
      </c>
      <c r="AH559">
        <f>IF(ISBLANK('Data Entry'!$b$559), "", 'Data Entry'!$b$559)</f>
      </c>
      <c r="AI559">
        <f>IF(ISBLANK('Data Entry'!$c$559), "", 'Data Entry'!$c$559)</f>
      </c>
      <c r="AJ559">
        <f>IF(ISBLANK('Data Entry'!$d$559), "", 'Data Entry'!$d$559)</f>
      </c>
      <c r="AK559">
        <f>IF(ISBLANK('Data Entry'!$e$559), "", 'Data Entry'!$e$559)</f>
      </c>
      <c r="AL559">
        <f>IF(ISBLANK('Data Entry'!$f$559), "", 'Data Entry'!$f$559)</f>
      </c>
      <c r="AM559">
        <f>IF(ISBLANK('Data Entry'!$g$559), "", 'Data Entry'!$g$559)</f>
      </c>
      <c r="AN559">
        <f>IF(ISBLANK('Data Entry'!$h$559), "", 'Data Entry'!$h$559)</f>
      </c>
      <c r="AO559">
        <f>IF(ISBLANK('Data Entry'!$i$559), "", 'Data Entry'!$i$559)</f>
      </c>
      <c r="AP559">
        <f>IF(ISBLANK('Data Entry'!$j$559), "", 'Data Entry'!$j$559)</f>
      </c>
      <c r="AQ559">
        <f>IF(ISBLANK('Data Entry'!$k$559), "", 'Data Entry'!$k$559)</f>
      </c>
      <c r="AR559">
        <f>IF(ISBLANK('Data Entry'!$l$559), "", 'Data Entry'!$l$559)</f>
      </c>
      <c r="AS559">
        <f>IF(ISBLANK('Data Entry'!$m$559), "", 'Data Entry'!$m$559)</f>
      </c>
      <c r="AT559">
        <f>IF(ISBLANK('Data Entry'!$n$559), "", 'Data Entry'!$n$559)</f>
      </c>
      <c r="AU559">
        <f>IF(ISBLANK('Data Entry'!$o$559), "", 'Data Entry'!$o$559)</f>
      </c>
      <c r="AV559">
        <f>IF(ISBLANK('Data Entry'!$p$559), "", 'Data Entry'!$p$559)</f>
      </c>
      <c r="AW559">
        <f>IF(ISBLANK('Data Entry'!$q$559), "", 'Data Entry'!$q$559)</f>
      </c>
      <c r="AX559">
        <f>IF(ISBLANK('Data Entry'!$r$559), "", 'Data Entry'!$r$559)</f>
      </c>
      <c r="AY559">
        <f>IF(ISBLANK('Data Entry'!$s$559), "", 'Data Entry'!$s$559)</f>
      </c>
      <c r="AZ559">
        <f>IF(ISBLANK('Data Entry'!$t$559), "", 'Data Entry'!$t$559)</f>
      </c>
      <c r="BA559">
        <f>IF(ISBLANK('Data Entry'!$u$559), "", 'Data Entry'!$u$559)</f>
      </c>
      <c r="BB559">
        <f>IF(ISBLANK('Data Entry'!$v$559), "", 'Data Entry'!$v$559)</f>
      </c>
      <c r="BC559">
        <f>IF(ISBLANK('Data Entry'!$w$559), "", 'Data Entry'!$w$559)</f>
      </c>
      <c r="BD559">
        <f>IF(ISBLANK('Data Entry'!$x$559), "", 'Data Entry'!$x$559)</f>
      </c>
      <c r="BE559">
        <f>IF(ISBLANK('Data Entry'!$y$559), "", 'Data Entry'!$y$559)</f>
      </c>
      <c r="BF559">
        <f>IF(ISBLANK('Data Entry'!$z$559), "", 'Data Entry'!$z$559)</f>
      </c>
      <c r="BG559">
        <f>IF(ISBLANK('Data Entry'!${$559), "", 'Data Entry'!${$559)</f>
      </c>
      <c r="BH559">
        <f>IF(ISBLANK('Data Entry'!$|$559), "", 'Data Entry'!$|$559)</f>
      </c>
      <c r="BI559">
        <f>IF(ISBLANK('Data Entry'!$}$559), "", 'Data Entry'!$}$559)</f>
      </c>
      <c r="BJ559">
        <f>IF(ISBLANK('Data Entry'!$~$559), "", 'Data Entry'!$~$559)</f>
      </c>
      <c r="BK559">
        <f>IF(ISBLANK('Data Entry'!$$559), "", 'Data Entry'!$$559)</f>
      </c>
      <c r="BL559">
        <f>IF(ISBLANK('Data Entry'!$$559), "", 'Data Entry'!$$559)</f>
      </c>
      <c r="BM559">
        <f>IF(ISBLANK('Data Entry'!$$559), "", 'Data Entry'!$$559)</f>
      </c>
      <c r="BN559">
        <f>IF(ISBLANK('Data Entry'!$$559), "", 'Data Entry'!$$559)</f>
      </c>
      <c r="BO559">
        <f>IF(ISBLANK('Data Entry'!$$559), "", 'Data Entry'!$$559)</f>
      </c>
      <c r="BP559">
        <f>IF(ISBLANK('Data Entry'!$$559), "", 'Data Entry'!$$559)</f>
      </c>
      <c r="BQ559">
        <f>IF(ISBLANK('Data Entry'!$$559), "", 'Data Entry'!$$559)</f>
      </c>
      <c r="BR559">
        <f>IF(ISBLANK('Data Entry'!$$559), "", 'Data Entry'!$$559)</f>
      </c>
      <c r="BS559">
        <f>IF(ISBLANK('Data Entry'!$$559), "", 'Data Entry'!$$559)</f>
      </c>
      <c r="BT559">
        <f>IF(ISBLANK('Data Entry'!$$559), "", 'Data Entry'!$$559)</f>
      </c>
      <c r="BU559">
        <f>IF(ISBLANK('Data Entry'!$$559), "", 'Data Entry'!$$559)</f>
      </c>
      <c r="BV559">
        <f>IF(ISBLANK('Data Entry'!$$559), "", 'Data Entry'!$$559)</f>
      </c>
      <c r="BW559">
        <f>IF(ISBLANK('Data Entry'!$$559), "", 'Data Entry'!$$559)</f>
      </c>
      <c r="BX559">
        <f>IF(ISBLANK('Data Entry'!$$559), "", 'Data Entry'!$$559)</f>
      </c>
      <c r="BY559">
        <f>IF(ISBLANK('Data Entry'!$$559), "", 'Data Entry'!$$559)</f>
      </c>
      <c r="BZ559">
        <f>IF(ISBLANK('Data Entry'!$$559), "", 'Data Entry'!$$559)</f>
      </c>
      <c r="CA559">
        <f>IF(ISBLANK('Data Entry'!$$559), "", 'Data Entry'!$$559)</f>
      </c>
      <c r="CB559">
        <f>IF(ISBLANK('Data Entry'!$$559), "", 'Data Entry'!$$559)</f>
      </c>
      <c r="CC559">
        <f>IF(ISBLANK('Data Entry'!$$559), "", 'Data Entry'!$$559)</f>
      </c>
      <c r="CD559">
        <f>IF(ISBLANK('Data Entry'!$$559), "", 'Data Entry'!$$559)</f>
      </c>
      <c r="CE559">
        <f>IF(ISBLANK('Data Entry'!$$559), "", 'Data Entry'!$$559)</f>
      </c>
      <c r="CF559">
        <f>IF(ISBLANK('Data Entry'!$$559), "", 'Data Entry'!$$559)</f>
      </c>
      <c r="CG559">
        <f>IF(ISBLANK('Data Entry'!$$559), "", 'Data Entry'!$$559)</f>
      </c>
      <c r="CH559">
        <f>IF(ISBLANK('Data Entry'!$$559), "", 'Data Entry'!$$559)</f>
      </c>
      <c r="CI559">
        <f>IF(ISBLANK('Data Entry'!$$559), "", 'Data Entry'!$$559)</f>
      </c>
      <c r="CJ559">
        <f>IF(ISBLANK('Data Entry'!$$559), "", 'Data Entry'!$$559)</f>
      </c>
      <c r="CK559">
        <f>IF(ISBLANK('Data Entry'!$$559), "", 'Data Entry'!$$559)</f>
      </c>
      <c r="CL559">
        <f>IF(ISBLANK('Data Entry'!$$559), "", 'Data Entry'!$$559)</f>
      </c>
      <c r="CM559">
        <f>IF(ISBLANK('Data Entry'!$$559), "", 'Data Entry'!$$559)</f>
      </c>
      <c r="CN559">
        <f>IF(ISBLANK('Data Entry'!$$559), "", 'Data Entry'!$$559)</f>
      </c>
      <c r="CO559">
        <f>IF(ISBLANK('Data Entry'!$$559), "", 'Data Entry'!$$559)</f>
      </c>
      <c r="CP559">
        <f>IF(ISBLANK('Data Entry'!$$559), "", 'Data Entry'!$$559)</f>
      </c>
      <c r="CQ559">
        <f>IF(ISBLANK('Data Entry'!$$559), "", 'Data Entry'!$$559)</f>
      </c>
      <c r="CR559">
        <f>IF(ISBLANK('Data Entry'!$ $559), "", 'Data Entry'!$ $559)</f>
      </c>
      <c r="CS559">
        <f>IF(ISBLANK('Data Entry'!$¡$559), "", 'Data Entry'!$¡$559)</f>
      </c>
      <c r="CT559">
        <f>IF(ISBLANK('Data Entry'!$¢$559), "", 'Data Entry'!$¢$559)</f>
      </c>
      <c r="CU559">
        <f>IF(ISBLANK('Data Entry'!$£$559), "", 'Data Entry'!$£$559)</f>
      </c>
      <c r="CV559">
        <f>IF(ISBLANK('Data Entry'!$¤$559), "", 'Data Entry'!$¤$559)</f>
      </c>
      <c r="CW559">
        <f>IF(ISBLANK('Data Entry'!$¥$559), "", 'Data Entry'!$¥$559)</f>
      </c>
      <c r="CX559">
        <f>IF(ISBLANK('Data Entry'!$¦$559), "", 'Data Entry'!$¦$559)</f>
      </c>
      <c r="CY559">
        <f>IF(ISBLANK('Data Entry'!$§$559), "", 'Data Entry'!$§$559)</f>
      </c>
      <c r="CZ559">
        <f>IF(ISBLANK('Data Entry'!$¨$559), "", 'Data Entry'!$¨$559)</f>
      </c>
      <c r="DA559">
        <f>IF(ISBLANK('Data Entry'!$©$559), "", 'Data Entry'!$©$559)</f>
      </c>
      <c r="DB559">
        <f>IF(ISBLANK('Data Entry'!$ª$559), "", 'Data Entry'!$ª$559)</f>
      </c>
      <c r="DC559">
        <f>IF(ISBLANK('Data Entry'!$«$559), "", 'Data Entry'!$«$559)</f>
      </c>
      <c r="DD559">
        <f>IF(ISBLANK('Data Entry'!$¬$559), "", 'Data Entry'!$¬$559)</f>
      </c>
      <c r="DE559">
        <f>IF(ISBLANK('Data Entry'!$­$559), "", 'Data Entry'!$­$559)</f>
      </c>
      <c r="DF559">
        <f>IF(ISBLANK('Data Entry'!$®$559), "", 'Data Entry'!$®$559)</f>
      </c>
      <c r="DG559">
        <f>IF(ISBLANK('Data Entry'!$¯$559), "", 'Data Entry'!$¯$559)</f>
      </c>
      <c r="DH559">
        <f>IF(ISBLANK('Data Entry'!$°$559), "", 'Data Entry'!$°$559)</f>
      </c>
      <c r="DI559">
        <f>IF(ISBLANK('Data Entry'!$±$559), "", 'Data Entry'!$±$559)</f>
      </c>
      <c r="DJ559">
        <f>IF(ISBLANK('Data Entry'!$²$559), "", 'Data Entry'!$²$559)</f>
      </c>
      <c r="DK559">
        <f>IF(ISBLANK('Data Entry'!$³$559), "", 'Data Entry'!$³$559)</f>
      </c>
      <c r="DL559">
        <f>IF(ISBLANK('Data Entry'!$´$559), "", 'Data Entry'!$´$559)</f>
      </c>
      <c r="DM559">
        <f>IF(ISBLANK('Data Entry'!$µ$559), "", 'Data Entry'!$µ$559)</f>
      </c>
      <c r="DN559">
        <f>IF(ISBLANK('Data Entry'!$¶$559), "", 'Data Entry'!$¶$559)</f>
      </c>
      <c r="DO559">
        <f>IF(ISBLANK('Data Entry'!$·$559), "", 'Data Entry'!$·$559)</f>
      </c>
      <c r="DP559">
        <f>IF(ISBLANK('Data Entry'!$¸$559), "", 'Data Entry'!$¸$559)</f>
      </c>
      <c r="DQ559">
        <f>IF(ISBLANK('Data Entry'!$¹$559), "", 'Data Entry'!$¹$559)</f>
      </c>
      <c r="DR559">
        <f>IF(ISBLANK('Data Entry'!$º$559), "", 'Data Entry'!$º$559)</f>
      </c>
      <c r="DS559">
        <f>IF(ISBLANK('Data Entry'!$»$559), "", 'Data Entry'!$»$559)</f>
      </c>
      <c r="DT559">
        <f>IF(ISBLANK('Data Entry'!$¼$559), "", 'Data Entry'!$¼$559)</f>
      </c>
      <c r="DU559">
        <f>IF(ISBLANK('Data Entry'!$½$559), "", 'Data Entry'!$½$559)</f>
      </c>
      <c r="DV559">
        <f>IF(ISBLANK('Data Entry'!$¾$559), "", 'Data Entry'!$¾$559)</f>
      </c>
      <c r="DW559">
        <f>IF(ISBLANK('Data Entry'!$¿$559), "", 'Data Entry'!$¿$559)</f>
      </c>
      <c r="DX559">
        <f>IF(ISBLANK('Data Entry'!$À$559), "", 'Data Entry'!$À$559)</f>
      </c>
      <c r="DY559">
        <f>IF(ISBLANK('Data Entry'!$Á$559), "", 'Data Entry'!$Á$559)</f>
      </c>
      <c r="DZ559">
        <f>IF(ISBLANK('Data Entry'!$Â$559), "", 'Data Entry'!$Â$559)</f>
      </c>
      <c r="EA559">
        <f>IF(ISBLANK('Data Entry'!$Ã$559), "", 'Data Entry'!$Ã$559)</f>
      </c>
      <c r="EB559">
        <f>IF(ISBLANK('Data Entry'!$Ä$559), "", 'Data Entry'!$Ä$559)</f>
      </c>
      <c r="EC559">
        <f>IF(ISBLANK('Data Entry'!$Å$559), "", 'Data Entry'!$Å$559)</f>
      </c>
      <c r="ED559">
        <f>IF(ISBLANK('Data Entry'!$Æ$559), "", 'Data Entry'!$Æ$559)</f>
      </c>
      <c r="EE559">
        <f>IF(ISBLANK('Data Entry'!$Ç$559), "", 'Data Entry'!$Ç$559)</f>
      </c>
      <c r="EF559">
        <f>IF(ISBLANK('Data Entry'!$È$559), "", 'Data Entry'!$È$559)</f>
      </c>
      <c r="EG559">
        <f>IF(ISBLANK('Data Entry'!$É$559), "", 'Data Entry'!$É$559)</f>
      </c>
      <c r="EH559">
        <f>IF(ISBLANK('Data Entry'!$Ê$559), "", 'Data Entry'!$Ê$559)</f>
      </c>
      <c r="EI559">
        <f>IF(ISBLANK('Data Entry'!$Ë$559), "", 'Data Entry'!$Ë$559)</f>
      </c>
      <c r="EJ559">
        <f>IF(ISBLANK('Data Entry'!$Ì$559), "", 'Data Entry'!$Ì$559)</f>
      </c>
      <c r="EK559">
        <f>IF(ISBLANK('Data Entry'!$Í$559), "", 'Data Entry'!$Í$559)</f>
      </c>
      <c r="EL559">
        <f>IF(ISBLANK('Data Entry'!$Î$559), "", 'Data Entry'!$Î$559)</f>
      </c>
      <c r="EM559">
        <f>IF(ISBLANK('Data Entry'!$Ï$559), "", 'Data Entry'!$Ï$559)</f>
      </c>
      <c r="EN559">
        <f>IF(ISBLANK('Data Entry'!$Ð$559), "", 'Data Entry'!$Ð$559)</f>
      </c>
      <c r="EO559">
        <f>IF(ISBLANK('Data Entry'!$Ñ$559), "", 'Data Entry'!$Ñ$559)</f>
      </c>
      <c r="EP559">
        <f>IF(ISBLANK('Data Entry'!$Ò$559), "", 'Data Entry'!$Ò$559)</f>
      </c>
      <c r="EQ559">
        <f>IF(ISBLANK('Data Entry'!$Ó$559), "", 'Data Entry'!$Ó$559)</f>
      </c>
      <c r="ER559">
        <f>IF(ISBLANK('Data Entry'!$Ô$559), "", 'Data Entry'!$Ô$559)</f>
      </c>
      <c r="ES559">
        <f>IF(ISBLANK('Data Entry'!$Õ$559), "", 'Data Entry'!$Õ$559)</f>
      </c>
      <c r="ET559">
        <f>IF(ISBLANK('Data Entry'!$Ö$559), "", 'Data Entry'!$Ö$559)</f>
      </c>
      <c r="EU559">
        <f>IF(ISBLANK('Data Entry'!$×$559), "", 'Data Entry'!$×$559)</f>
      </c>
      <c r="EV559">
        <f>IF(ISBLANK('Data Entry'!$Ø$559), "", 'Data Entry'!$Ø$559)</f>
      </c>
      <c r="EW559">
        <f>IF(ISBLANK('Data Entry'!$Ù$559), "", 'Data Entry'!$Ù$559)</f>
      </c>
      <c r="EX559">
        <f>IF(ISBLANK('Data Entry'!$Ú$559), "", 'Data Entry'!$Ú$559)</f>
      </c>
      <c r="EY559">
        <f>IF(ISBLANK('Data Entry'!$Û$559), "", 'Data Entry'!$Û$559)</f>
      </c>
      <c r="EZ559">
        <f>IF(ISBLANK('Data Entry'!$Ü$559), "", 'Data Entry'!$Ü$559)</f>
      </c>
      <c r="FA559">
        <f>IF(ISBLANK('Data Entry'!$Ý$559), "", 'Data Entry'!$Ý$559)</f>
      </c>
      <c r="FB559">
        <f>IF(ISBLANK('Data Entry'!$Þ$559), "", 'Data Entry'!$Þ$559)</f>
      </c>
      <c r="FC559">
        <f>IF(ISBLANK('Data Entry'!$ß$559), "", 'Data Entry'!$ß$559)</f>
      </c>
      <c r="FD559">
        <f>IF(ISBLANK('Data Entry'!$à$559), "", 'Data Entry'!$à$559)</f>
      </c>
      <c r="FE559">
        <f>IF(ISBLANK('Data Entry'!$á$559), "", 'Data Entry'!$á$559)</f>
      </c>
      <c r="FF559">
        <f>IF(ISBLANK('Data Entry'!$â$559), "", 'Data Entry'!$â$559)</f>
      </c>
      <c r="FG559">
        <f>IF(ISBLANK('Data Entry'!$ã$559), "", 'Data Entry'!$ã$559)</f>
      </c>
      <c r="FH559">
        <f>IF(ISBLANK('Data Entry'!$ä$559), "", 'Data Entry'!$ä$559)</f>
      </c>
      <c r="FI559">
        <f>IF(ISBLANK('Data Entry'!$å$559), "", 'Data Entry'!$å$559)</f>
      </c>
      <c r="FJ559">
        <f>IF(ISBLANK('Data Entry'!$æ$559), "", 'Data Entry'!$æ$559)</f>
      </c>
      <c r="FK559">
        <f>IF(ISBLANK('Data Entry'!$ç$559), "", 'Data Entry'!$ç$559)</f>
      </c>
      <c r="FL559">
        <f>IF(ISBLANK('Data Entry'!$è$559), "", 'Data Entry'!$è$559)</f>
      </c>
      <c r="FM559">
        <f>IF(ISBLANK('Data Entry'!$é$559), "", 'Data Entry'!$é$559)</f>
      </c>
      <c r="FN559">
        <f>IF(ISBLANK('Data Entry'!$ê$559), "", 'Data Entry'!$ê$559)</f>
      </c>
      <c r="FO559">
        <f>IF(ISBLANK('Data Entry'!$ë$559), "", 'Data Entry'!$ë$559)</f>
      </c>
      <c r="FP559">
        <f>IF(ISBLANK('Data Entry'!$ì$559), "", 'Data Entry'!$ì$559)</f>
      </c>
      <c r="FQ559">
        <f>IF(ISBLANK('Data Entry'!$í$559), "", 'Data Entry'!$í$559)</f>
      </c>
      <c r="FR559">
        <f>IF(ISBLANK('Data Entry'!$î$559), "", 'Data Entry'!$î$559)</f>
      </c>
      <c r="FS559">
        <f>IF(ISBLANK('Data Entry'!$ï$559), "", 'Data Entry'!$ï$559)</f>
      </c>
      <c r="FT559">
        <f>IF(ISBLANK('Data Entry'!$ð$559), "", 'Data Entry'!$ð$559)</f>
      </c>
      <c r="FU559">
        <f>IF(ISBLANK('Data Entry'!$ñ$559), "", 'Data Entry'!$ñ$559)</f>
      </c>
      <c r="FV559">
        <f>IF(ISBLANK('Data Entry'!$ò$559), "", 'Data Entry'!$ò$559)</f>
      </c>
      <c r="FW559">
        <f>IF(ISBLANK('Data Entry'!$ó$559), "", 'Data Entry'!$ó$559)</f>
      </c>
      <c r="FX559">
        <f>IF(ISBLANK('Data Entry'!$ô$559), "", 'Data Entry'!$ô$559)</f>
      </c>
      <c r="FY559">
        <f>IF(ISBLANK('Data Entry'!$õ$559), "", 'Data Entry'!$õ$559)</f>
      </c>
      <c r="FZ559">
        <f>IF(ISBLANK('Data Entry'!$ö$559), "", 'Data Entry'!$ö$559)</f>
      </c>
      <c r="GA559">
        <f>IF(ISBLANK('Data Entry'!$÷$559), "", 'Data Entry'!$÷$559)</f>
      </c>
      <c r="GB559">
        <f>IF(ISBLANK('Data Entry'!$ø$559), "", 'Data Entry'!$ø$559)</f>
      </c>
      <c r="GC559">
        <f>IF(ISBLANK('Data Entry'!$ù$559), "", 'Data Entry'!$ù$559)</f>
      </c>
      <c r="GD559">
        <f>IF(ISBLANK('Data Entry'!$ú$559), "", 'Data Entry'!$ú$559)</f>
      </c>
      <c r="GE559">
        <f>IF(ISBLANK('Data Entry'!$û$559), "", 'Data Entry'!$û$559)</f>
      </c>
      <c r="GF559">
        <f>IF(ISBLANK('Data Entry'!$ü$559), "", 'Data Entry'!$ü$559)</f>
      </c>
      <c r="GG559">
        <f>IF(ISBLANK('Data Entry'!$ý$559), "", 'Data Entry'!$ý$559)</f>
      </c>
      <c r="GH559">
        <f>IF(ISBLANK('Data Entry'!$þ$559), "", 'Data Entry'!$þ$559)</f>
      </c>
      <c r="GI559">
        <f>IF(ISBLANK('Data Entry'!$ÿ$559), "", 'Data Entry'!$ÿ$559)</f>
      </c>
      <c r="GJ559">
        <f>IF(ISBLANK('Data Entry'!$Ā$559), "", 'Data Entry'!$Ā$559)</f>
      </c>
      <c r="GK559">
        <f>IF(ISBLANK('Data Entry'!$ā$559), "", 'Data Entry'!$ā$559)</f>
      </c>
      <c r="GL559">
        <f>IF(ISBLANK('Data Entry'!$Ă$559), "", 'Data Entry'!$Ă$559)</f>
      </c>
      <c r="GM559">
        <f>IF(ISBLANK('Data Entry'!$ă$559), "", 'Data Entry'!$ă$559)</f>
      </c>
      <c r="GN559">
        <f>IF(ISBLANK('Data Entry'!$Ą$559), "", 'Data Entry'!$Ą$559)</f>
      </c>
      <c r="GO559">
        <f>IF(ISBLANK('Data Entry'!$ą$559), "", 'Data Entry'!$ą$559)</f>
      </c>
      <c r="GP559">
        <f>IF(ISBLANK('Data Entry'!$Ć$559), "", 'Data Entry'!$Ć$559)</f>
      </c>
      <c r="GQ559">
        <f>IF(ISBLANK('Data Entry'!$ć$559), "", 'Data Entry'!$ć$559)</f>
      </c>
      <c r="GR559">
        <f>IF(ISBLANK('Data Entry'!$Ĉ$559), "", 'Data Entry'!$Ĉ$559)</f>
      </c>
      <c r="GS559">
        <f>IF(ISBLANK('Data Entry'!$ĉ$559), "", 'Data Entry'!$ĉ$559)</f>
      </c>
      <c r="GT559">
        <f>IF(ISBLANK('Data Entry'!$Ċ$559), "", 'Data Entry'!$Ċ$559)</f>
      </c>
      <c r="GU559">
        <f>IF(ISBLANK('Data Entry'!$ċ$559), "", 'Data Entry'!$ċ$559)</f>
      </c>
      <c r="GV559">
        <f>IF(ISBLANK('Data Entry'!$Č$559), "", 'Data Entry'!$Č$559)</f>
      </c>
      <c r="GW559">
        <f>IF(ISBLANK('Data Entry'!$č$559), "", 'Data Entry'!$č$559)</f>
      </c>
      <c r="GX559">
        <f>IF(ISBLANK('Data Entry'!$Ď$559), "", 'Data Entry'!$Ď$559)</f>
      </c>
      <c r="GY559">
        <f>IF(ISBLANK('Data Entry'!$ď$559), "", 'Data Entry'!$ď$559)</f>
      </c>
      <c r="GZ559">
        <f>IF(ISBLANK('Data Entry'!$Đ$559), "", 'Data Entry'!$Đ$559)</f>
      </c>
      <c r="HA559">
        <f>IF(ISBLANK('Data Entry'!$đ$559), "", 'Data Entry'!$đ$559)</f>
      </c>
      <c r="HB559">
        <f>IF(ISBLANK('Data Entry'!$Ē$559), "", 'Data Entry'!$Ē$559)</f>
      </c>
      <c r="HC559">
        <f>IF(ISBLANK('Data Entry'!$ē$559), "", 'Data Entry'!$ē$559)</f>
      </c>
      <c r="HD559">
        <f>IF(ISBLANK('Data Entry'!$Ĕ$559), "", 'Data Entry'!$Ĕ$559)</f>
      </c>
      <c r="HE559">
        <f>IF(ISBLANK('Data Entry'!$ĕ$559), "", 'Data Entry'!$ĕ$559)</f>
      </c>
      <c r="HF559">
        <f>IF(ISBLANK('Data Entry'!$Ė$559), "", 'Data Entry'!$Ė$559)</f>
      </c>
      <c r="HG559">
        <f>IF(ISBLANK('Data Entry'!$ė$559), "", 'Data Entry'!$ė$559)</f>
      </c>
      <c r="HH559">
        <f>IF(ISBLANK('Data Entry'!$Ę$559), "", 'Data Entry'!$Ę$559)</f>
      </c>
      <c r="HI559">
        <f>IF(ISBLANK('Data Entry'!$ę$559), "", 'Data Entry'!$ę$559)</f>
      </c>
      <c r="HJ559">
        <f>IF(ISBLANK('Data Entry'!$Ě$559), "", 'Data Entry'!$Ě$559)</f>
      </c>
      <c r="HK559">
        <f>IF(ISBLANK('Data Entry'!$ě$559), "", 'Data Entry'!$ě$559)</f>
      </c>
      <c r="HL559">
        <f>IF(ISBLANK('Data Entry'!$Ĝ$559), "", 'Data Entry'!$Ĝ$559)</f>
      </c>
      <c r="HM559">
        <f>IF(ISBLANK('Data Entry'!$ĝ$559), "", 'Data Entry'!$ĝ$559)</f>
      </c>
      <c r="HN559">
        <f>IF(ISBLANK('Data Entry'!$Ğ$559), "", 'Data Entry'!$Ğ$559)</f>
      </c>
      <c r="HO559">
        <f>IF(ISBLANK('Data Entry'!$ğ$559), "", 'Data Entry'!$ğ$559)</f>
      </c>
      <c r="HP559">
        <f>IF(ISBLANK('Data Entry'!$Ġ$559), "", 'Data Entry'!$Ġ$559)</f>
      </c>
      <c r="HQ559">
        <f>IF(ISBLANK('Data Entry'!$ġ$559), "", 'Data Entry'!$ġ$559)</f>
      </c>
      <c r="HR559">
        <f>IF(ISBLANK('Data Entry'!$Ģ$559), "", 'Data Entry'!$Ģ$559)</f>
      </c>
      <c r="HS559">
        <f>IF(ISBLANK('Data Entry'!$ģ$559), "", 'Data Entry'!$ģ$559)</f>
      </c>
      <c r="HT559">
        <f>IF(ISBLANK('Data Entry'!$Ĥ$559), "", 'Data Entry'!$Ĥ$559)</f>
      </c>
      <c r="HU559">
        <f>IF(ISBLANK('Data Entry'!$ĥ$559), "", 'Data Entry'!$ĥ$559)</f>
      </c>
      <c r="HV559">
        <f>IF(ISBLANK('Data Entry'!$Ħ$559), "", 'Data Entry'!$Ħ$559)</f>
      </c>
      <c r="HW559">
        <f>IF(ISBLANK('Data Entry'!$ħ$559), "", 'Data Entry'!$ħ$559)</f>
      </c>
      <c r="HX559">
        <f>IF(ISBLANK('Data Entry'!$Ĩ$559), "", 'Data Entry'!$Ĩ$559)</f>
      </c>
      <c r="HY559">
        <f>IF(ISBLANK('Data Entry'!$ĩ$559), "", 'Data Entry'!$ĩ$559)</f>
      </c>
      <c r="HZ559">
        <f>IF(ISBLANK('Data Entry'!$Ī$559), "", 'Data Entry'!$Ī$559)</f>
      </c>
      <c r="IA559">
        <f>IF(ISBLANK('Data Entry'!$ī$559), "", 'Data Entry'!$ī$559)</f>
      </c>
      <c r="IB559">
        <f>IF(ISBLANK('Data Entry'!$Ĭ$559), "", 'Data Entry'!$Ĭ$559)</f>
      </c>
      <c r="IC559">
        <f>IF(ISBLANK('Data Entry'!$ĭ$559), "", 'Data Entry'!$ĭ$559)</f>
      </c>
      <c r="ID559">
        <f>IF(ISBLANK('Data Entry'!$Į$559), "", 'Data Entry'!$Į$559)</f>
      </c>
      <c r="IE559">
        <f>IF(ISBLANK('Data Entry'!$į$559), "", 'Data Entry'!$į$559)</f>
      </c>
      <c r="IF559">
        <f>IF(ISBLANK('Data Entry'!$İ$559), "", 'Data Entry'!$İ$559)</f>
      </c>
      <c r="IG559">
        <f>IF(ISBLANK('Data Entry'!$ı$559), "", 'Data Entry'!$ı$559)</f>
      </c>
      <c r="IH559">
        <f>IF(ISBLANK('Data Entry'!$Ĳ$559), "", 'Data Entry'!$Ĳ$559)</f>
      </c>
      <c r="II559">
        <f>IF(ISBLANK('Data Entry'!$ĳ$559), "", 'Data Entry'!$ĳ$559)</f>
      </c>
      <c r="IJ559">
        <f>IF(ISBLANK('Data Entry'!$Ĵ$559), "", 'Data Entry'!$Ĵ$559)</f>
      </c>
      <c r="IK559">
        <f>IF(ISBLANK('Data Entry'!$ĵ$559), "", 'Data Entry'!$ĵ$559)</f>
      </c>
      <c r="IL559">
        <f>IF(ISBLANK('Data Entry'!$Ķ$559), "", 'Data Entry'!$Ķ$559)</f>
      </c>
      <c r="IM559">
        <f>IF(ISBLANK('Data Entry'!$ķ$559), "", 'Data Entry'!$ķ$559)</f>
      </c>
      <c r="IN559">
        <f>IF(ISBLANK('Data Entry'!$ĸ$559), "", 'Data Entry'!$ĸ$559)</f>
      </c>
      <c r="IO559">
        <f>IF(ISBLANK('Data Entry'!$Ĺ$559), "", 'Data Entry'!$Ĺ$559)</f>
      </c>
      <c r="IP559">
        <f>IF(ISBLANK('Data Entry'!$ĺ$559), "", 'Data Entry'!$ĺ$559)</f>
      </c>
      <c r="IQ559">
        <f>IF(ISBLANK('Data Entry'!$Ļ$559), "", 'Data Entry'!$Ļ$559)</f>
      </c>
      <c r="IR559">
        <f>IF(ISBLANK('Data Entry'!$ļ$559), "", 'Data Entry'!$ļ$559)</f>
      </c>
      <c r="IS559">
        <f>IF(ISBLANK('Data Entry'!$Ľ$559), "", 'Data Entry'!$Ľ$559)</f>
      </c>
      <c r="IT559">
        <f>IF(ISBLANK('Data Entry'!$ľ$559), "", 'Data Entry'!$ľ$559)</f>
      </c>
    </row>
    <row r="560" spans="1:254" x14ac:dyDescent="0.25">
      <c r="A560">
        <f>IF(ISBLANK('Data Entry'!$A$560), "", 'Data Entry'!$A$560)</f>
      </c>
      <c r="B560">
        <f>IF(ISBLANK('Data Entry'!$B$560), "", 'Data Entry'!$B$560)</f>
      </c>
      <c r="C560">
        <f>IF(ISBLANK('Data Entry'!$C$560), "", 'Data Entry'!$C$560)</f>
      </c>
      <c r="D560">
        <f>IF(ISBLANK('Data Entry'!$D$560), "", 'Data Entry'!$D$560)</f>
      </c>
      <c r="E560">
        <f>IF(ISBLANK('Data Entry'!$E$560), "", 'Data Entry'!$E$560)</f>
      </c>
      <c r="F560">
        <f>IF(ISBLANK('Data Entry'!$F$560), "", 'Data Entry'!$F$560)</f>
      </c>
      <c r="G560">
        <f>IF(ISBLANK('Data Entry'!$G$560), "", 'Data Entry'!$G$560)</f>
      </c>
      <c r="H560">
        <f>IF(ISBLANK('Data Entry'!$H$560), "", 'Data Entry'!$H$560)</f>
      </c>
      <c r="I560">
        <f>IF(ISBLANK('Data Entry'!$I$560), "", 'Data Entry'!$I$560)</f>
      </c>
      <c r="J560">
        <f>IF(ISBLANK('Data Entry'!$J$560), "", 'Data Entry'!$J$560)</f>
      </c>
      <c r="K560">
        <f>IF(ISBLANK('Data Entry'!$K$560), "", 'Data Entry'!$K$560)</f>
      </c>
      <c r="L560">
        <f>IF(ISBLANK('Data Entry'!$L$560), "", 'Data Entry'!$L$560)</f>
      </c>
      <c r="M560">
        <f>IF(ISBLANK('Data Entry'!$M$560), "", 'Data Entry'!$M$560)</f>
      </c>
      <c r="N560">
        <f>IF(ISBLANK('Data Entry'!$N$560), "", 'Data Entry'!$N$560)</f>
      </c>
      <c r="O560">
        <f>IF(ISBLANK('Data Entry'!$O$560), "", 'Data Entry'!$O$560)</f>
      </c>
      <c r="P560">
        <f>IF(ISBLANK('Data Entry'!$P$560), "", 'Data Entry'!$P$560)</f>
      </c>
      <c r="Q560">
        <f>IF(ISBLANK('Data Entry'!$Q$560), "", 'Data Entry'!$Q$560)</f>
      </c>
      <c r="R560">
        <f>IF(ISBLANK('Data Entry'!$R$560), "", 'Data Entry'!$R$560)</f>
      </c>
      <c r="S560">
        <f>IF(ISBLANK('Data Entry'!$S$560), "", 'Data Entry'!$S$560)</f>
      </c>
      <c r="T560">
        <f>IF(ISBLANK('Data Entry'!$T$560), "", 'Data Entry'!$T$560)</f>
      </c>
      <c r="U560">
        <f>IF(ISBLANK('Data Entry'!$U$560), "", 'Data Entry'!$U$560)</f>
      </c>
      <c r="V560">
        <f>IF(ISBLANK('Data Entry'!$V$560), "", 'Data Entry'!$V$560)</f>
      </c>
      <c r="W560">
        <f>IF(ISBLANK('Data Entry'!$W$560), "", 'Data Entry'!$W$560)</f>
      </c>
      <c r="X560">
        <f>IF(ISBLANK('Data Entry'!$X$560), "", 'Data Entry'!$X$560)</f>
      </c>
      <c r="Y560">
        <f>IF(ISBLANK('Data Entry'!$Y$560), "", 'Data Entry'!$Y$560)</f>
      </c>
      <c r="Z560">
        <f>IF(ISBLANK('Data Entry'!$Z$560), "", 'Data Entry'!$Z$560)</f>
      </c>
      <c r="AA560">
        <f>IF(ISBLANK('Data Entry'!$[$560), "", 'Data Entry'!$[$560)</f>
      </c>
      <c r="AB560">
        <f>IF(ISBLANK('Data Entry'!$\$560), "", 'Data Entry'!$\$560)</f>
      </c>
      <c r="AC560">
        <f>IF(ISBLANK('Data Entry'!$]$560), "", 'Data Entry'!$]$560)</f>
      </c>
      <c r="AD560">
        <f>IF(ISBLANK('Data Entry'!$^$560), "", 'Data Entry'!$^$560)</f>
      </c>
      <c r="AE560">
        <f>IF(ISBLANK('Data Entry'!$_$560), "", 'Data Entry'!$_$560)</f>
      </c>
      <c r="AF560">
        <f>IF(ISBLANK('Data Entry'!$`$560), "", 'Data Entry'!$`$560)</f>
      </c>
      <c r="AG560">
        <f>IF(ISBLANK('Data Entry'!$a$560), "", 'Data Entry'!$a$560)</f>
      </c>
      <c r="AH560">
        <f>IF(ISBLANK('Data Entry'!$b$560), "", 'Data Entry'!$b$560)</f>
      </c>
      <c r="AI560">
        <f>IF(ISBLANK('Data Entry'!$c$560), "", 'Data Entry'!$c$560)</f>
      </c>
      <c r="AJ560">
        <f>IF(ISBLANK('Data Entry'!$d$560), "", 'Data Entry'!$d$560)</f>
      </c>
      <c r="AK560">
        <f>IF(ISBLANK('Data Entry'!$e$560), "", 'Data Entry'!$e$560)</f>
      </c>
      <c r="AL560">
        <f>IF(ISBLANK('Data Entry'!$f$560), "", 'Data Entry'!$f$560)</f>
      </c>
      <c r="AM560">
        <f>IF(ISBLANK('Data Entry'!$g$560), "", 'Data Entry'!$g$560)</f>
      </c>
      <c r="AN560">
        <f>IF(ISBLANK('Data Entry'!$h$560), "", 'Data Entry'!$h$560)</f>
      </c>
      <c r="AO560">
        <f>IF(ISBLANK('Data Entry'!$i$560), "", 'Data Entry'!$i$560)</f>
      </c>
      <c r="AP560">
        <f>IF(ISBLANK('Data Entry'!$j$560), "", 'Data Entry'!$j$560)</f>
      </c>
      <c r="AQ560">
        <f>IF(ISBLANK('Data Entry'!$k$560), "", 'Data Entry'!$k$560)</f>
      </c>
      <c r="AR560">
        <f>IF(ISBLANK('Data Entry'!$l$560), "", 'Data Entry'!$l$560)</f>
      </c>
      <c r="AS560">
        <f>IF(ISBLANK('Data Entry'!$m$560), "", 'Data Entry'!$m$560)</f>
      </c>
      <c r="AT560">
        <f>IF(ISBLANK('Data Entry'!$n$560), "", 'Data Entry'!$n$560)</f>
      </c>
      <c r="AU560">
        <f>IF(ISBLANK('Data Entry'!$o$560), "", 'Data Entry'!$o$560)</f>
      </c>
      <c r="AV560">
        <f>IF(ISBLANK('Data Entry'!$p$560), "", 'Data Entry'!$p$560)</f>
      </c>
      <c r="AW560">
        <f>IF(ISBLANK('Data Entry'!$q$560), "", 'Data Entry'!$q$560)</f>
      </c>
      <c r="AX560">
        <f>IF(ISBLANK('Data Entry'!$r$560), "", 'Data Entry'!$r$560)</f>
      </c>
      <c r="AY560">
        <f>IF(ISBLANK('Data Entry'!$s$560), "", 'Data Entry'!$s$560)</f>
      </c>
      <c r="AZ560">
        <f>IF(ISBLANK('Data Entry'!$t$560), "", 'Data Entry'!$t$560)</f>
      </c>
      <c r="BA560">
        <f>IF(ISBLANK('Data Entry'!$u$560), "", 'Data Entry'!$u$560)</f>
      </c>
      <c r="BB560">
        <f>IF(ISBLANK('Data Entry'!$v$560), "", 'Data Entry'!$v$560)</f>
      </c>
      <c r="BC560">
        <f>IF(ISBLANK('Data Entry'!$w$560), "", 'Data Entry'!$w$560)</f>
      </c>
      <c r="BD560">
        <f>IF(ISBLANK('Data Entry'!$x$560), "", 'Data Entry'!$x$560)</f>
      </c>
      <c r="BE560">
        <f>IF(ISBLANK('Data Entry'!$y$560), "", 'Data Entry'!$y$560)</f>
      </c>
      <c r="BF560">
        <f>IF(ISBLANK('Data Entry'!$z$560), "", 'Data Entry'!$z$560)</f>
      </c>
      <c r="BG560">
        <f>IF(ISBLANK('Data Entry'!${$560), "", 'Data Entry'!${$560)</f>
      </c>
      <c r="BH560">
        <f>IF(ISBLANK('Data Entry'!$|$560), "", 'Data Entry'!$|$560)</f>
      </c>
      <c r="BI560">
        <f>IF(ISBLANK('Data Entry'!$}$560), "", 'Data Entry'!$}$560)</f>
      </c>
      <c r="BJ560">
        <f>IF(ISBLANK('Data Entry'!$~$560), "", 'Data Entry'!$~$560)</f>
      </c>
      <c r="BK560">
        <f>IF(ISBLANK('Data Entry'!$$560), "", 'Data Entry'!$$560)</f>
      </c>
      <c r="BL560">
        <f>IF(ISBLANK('Data Entry'!$$560), "", 'Data Entry'!$$560)</f>
      </c>
      <c r="BM560">
        <f>IF(ISBLANK('Data Entry'!$$560), "", 'Data Entry'!$$560)</f>
      </c>
      <c r="BN560">
        <f>IF(ISBLANK('Data Entry'!$$560), "", 'Data Entry'!$$560)</f>
      </c>
      <c r="BO560">
        <f>IF(ISBLANK('Data Entry'!$$560), "", 'Data Entry'!$$560)</f>
      </c>
      <c r="BP560">
        <f>IF(ISBLANK('Data Entry'!$$560), "", 'Data Entry'!$$560)</f>
      </c>
      <c r="BQ560">
        <f>IF(ISBLANK('Data Entry'!$$560), "", 'Data Entry'!$$560)</f>
      </c>
      <c r="BR560">
        <f>IF(ISBLANK('Data Entry'!$$560), "", 'Data Entry'!$$560)</f>
      </c>
      <c r="BS560">
        <f>IF(ISBLANK('Data Entry'!$$560), "", 'Data Entry'!$$560)</f>
      </c>
      <c r="BT560">
        <f>IF(ISBLANK('Data Entry'!$$560), "", 'Data Entry'!$$560)</f>
      </c>
      <c r="BU560">
        <f>IF(ISBLANK('Data Entry'!$$560), "", 'Data Entry'!$$560)</f>
      </c>
      <c r="BV560">
        <f>IF(ISBLANK('Data Entry'!$$560), "", 'Data Entry'!$$560)</f>
      </c>
      <c r="BW560">
        <f>IF(ISBLANK('Data Entry'!$$560), "", 'Data Entry'!$$560)</f>
      </c>
      <c r="BX560">
        <f>IF(ISBLANK('Data Entry'!$$560), "", 'Data Entry'!$$560)</f>
      </c>
      <c r="BY560">
        <f>IF(ISBLANK('Data Entry'!$$560), "", 'Data Entry'!$$560)</f>
      </c>
      <c r="BZ560">
        <f>IF(ISBLANK('Data Entry'!$$560), "", 'Data Entry'!$$560)</f>
      </c>
      <c r="CA560">
        <f>IF(ISBLANK('Data Entry'!$$560), "", 'Data Entry'!$$560)</f>
      </c>
      <c r="CB560">
        <f>IF(ISBLANK('Data Entry'!$$560), "", 'Data Entry'!$$560)</f>
      </c>
      <c r="CC560">
        <f>IF(ISBLANK('Data Entry'!$$560), "", 'Data Entry'!$$560)</f>
      </c>
      <c r="CD560">
        <f>IF(ISBLANK('Data Entry'!$$560), "", 'Data Entry'!$$560)</f>
      </c>
      <c r="CE560">
        <f>IF(ISBLANK('Data Entry'!$$560), "", 'Data Entry'!$$560)</f>
      </c>
      <c r="CF560">
        <f>IF(ISBLANK('Data Entry'!$$560), "", 'Data Entry'!$$560)</f>
      </c>
      <c r="CG560">
        <f>IF(ISBLANK('Data Entry'!$$560), "", 'Data Entry'!$$560)</f>
      </c>
      <c r="CH560">
        <f>IF(ISBLANK('Data Entry'!$$560), "", 'Data Entry'!$$560)</f>
      </c>
      <c r="CI560">
        <f>IF(ISBLANK('Data Entry'!$$560), "", 'Data Entry'!$$560)</f>
      </c>
      <c r="CJ560">
        <f>IF(ISBLANK('Data Entry'!$$560), "", 'Data Entry'!$$560)</f>
      </c>
      <c r="CK560">
        <f>IF(ISBLANK('Data Entry'!$$560), "", 'Data Entry'!$$560)</f>
      </c>
      <c r="CL560">
        <f>IF(ISBLANK('Data Entry'!$$560), "", 'Data Entry'!$$560)</f>
      </c>
      <c r="CM560">
        <f>IF(ISBLANK('Data Entry'!$$560), "", 'Data Entry'!$$560)</f>
      </c>
      <c r="CN560">
        <f>IF(ISBLANK('Data Entry'!$$560), "", 'Data Entry'!$$560)</f>
      </c>
      <c r="CO560">
        <f>IF(ISBLANK('Data Entry'!$$560), "", 'Data Entry'!$$560)</f>
      </c>
      <c r="CP560">
        <f>IF(ISBLANK('Data Entry'!$$560), "", 'Data Entry'!$$560)</f>
      </c>
      <c r="CQ560">
        <f>IF(ISBLANK('Data Entry'!$$560), "", 'Data Entry'!$$560)</f>
      </c>
      <c r="CR560">
        <f>IF(ISBLANK('Data Entry'!$ $560), "", 'Data Entry'!$ $560)</f>
      </c>
      <c r="CS560">
        <f>IF(ISBLANK('Data Entry'!$¡$560), "", 'Data Entry'!$¡$560)</f>
      </c>
      <c r="CT560">
        <f>IF(ISBLANK('Data Entry'!$¢$560), "", 'Data Entry'!$¢$560)</f>
      </c>
      <c r="CU560">
        <f>IF(ISBLANK('Data Entry'!$£$560), "", 'Data Entry'!$£$560)</f>
      </c>
      <c r="CV560">
        <f>IF(ISBLANK('Data Entry'!$¤$560), "", 'Data Entry'!$¤$560)</f>
      </c>
      <c r="CW560">
        <f>IF(ISBLANK('Data Entry'!$¥$560), "", 'Data Entry'!$¥$560)</f>
      </c>
      <c r="CX560">
        <f>IF(ISBLANK('Data Entry'!$¦$560), "", 'Data Entry'!$¦$560)</f>
      </c>
      <c r="CY560">
        <f>IF(ISBLANK('Data Entry'!$§$560), "", 'Data Entry'!$§$560)</f>
      </c>
      <c r="CZ560">
        <f>IF(ISBLANK('Data Entry'!$¨$560), "", 'Data Entry'!$¨$560)</f>
      </c>
      <c r="DA560">
        <f>IF(ISBLANK('Data Entry'!$©$560), "", 'Data Entry'!$©$560)</f>
      </c>
      <c r="DB560">
        <f>IF(ISBLANK('Data Entry'!$ª$560), "", 'Data Entry'!$ª$560)</f>
      </c>
      <c r="DC560">
        <f>IF(ISBLANK('Data Entry'!$«$560), "", 'Data Entry'!$«$560)</f>
      </c>
      <c r="DD560">
        <f>IF(ISBLANK('Data Entry'!$¬$560), "", 'Data Entry'!$¬$560)</f>
      </c>
      <c r="DE560">
        <f>IF(ISBLANK('Data Entry'!$­$560), "", 'Data Entry'!$­$560)</f>
      </c>
      <c r="DF560">
        <f>IF(ISBLANK('Data Entry'!$®$560), "", 'Data Entry'!$®$560)</f>
      </c>
      <c r="DG560">
        <f>IF(ISBLANK('Data Entry'!$¯$560), "", 'Data Entry'!$¯$560)</f>
      </c>
      <c r="DH560">
        <f>IF(ISBLANK('Data Entry'!$°$560), "", 'Data Entry'!$°$560)</f>
      </c>
      <c r="DI560">
        <f>IF(ISBLANK('Data Entry'!$±$560), "", 'Data Entry'!$±$560)</f>
      </c>
      <c r="DJ560">
        <f>IF(ISBLANK('Data Entry'!$²$560), "", 'Data Entry'!$²$560)</f>
      </c>
      <c r="DK560">
        <f>IF(ISBLANK('Data Entry'!$³$560), "", 'Data Entry'!$³$560)</f>
      </c>
      <c r="DL560">
        <f>IF(ISBLANK('Data Entry'!$´$560), "", 'Data Entry'!$´$560)</f>
      </c>
      <c r="DM560">
        <f>IF(ISBLANK('Data Entry'!$µ$560), "", 'Data Entry'!$µ$560)</f>
      </c>
      <c r="DN560">
        <f>IF(ISBLANK('Data Entry'!$¶$560), "", 'Data Entry'!$¶$560)</f>
      </c>
      <c r="DO560">
        <f>IF(ISBLANK('Data Entry'!$·$560), "", 'Data Entry'!$·$560)</f>
      </c>
      <c r="DP560">
        <f>IF(ISBLANK('Data Entry'!$¸$560), "", 'Data Entry'!$¸$560)</f>
      </c>
      <c r="DQ560">
        <f>IF(ISBLANK('Data Entry'!$¹$560), "", 'Data Entry'!$¹$560)</f>
      </c>
      <c r="DR560">
        <f>IF(ISBLANK('Data Entry'!$º$560), "", 'Data Entry'!$º$560)</f>
      </c>
      <c r="DS560">
        <f>IF(ISBLANK('Data Entry'!$»$560), "", 'Data Entry'!$»$560)</f>
      </c>
      <c r="DT560">
        <f>IF(ISBLANK('Data Entry'!$¼$560), "", 'Data Entry'!$¼$560)</f>
      </c>
      <c r="DU560">
        <f>IF(ISBLANK('Data Entry'!$½$560), "", 'Data Entry'!$½$560)</f>
      </c>
      <c r="DV560">
        <f>IF(ISBLANK('Data Entry'!$¾$560), "", 'Data Entry'!$¾$560)</f>
      </c>
      <c r="DW560">
        <f>IF(ISBLANK('Data Entry'!$¿$560), "", 'Data Entry'!$¿$560)</f>
      </c>
      <c r="DX560">
        <f>IF(ISBLANK('Data Entry'!$À$560), "", 'Data Entry'!$À$560)</f>
      </c>
      <c r="DY560">
        <f>IF(ISBLANK('Data Entry'!$Á$560), "", 'Data Entry'!$Á$560)</f>
      </c>
      <c r="DZ560">
        <f>IF(ISBLANK('Data Entry'!$Â$560), "", 'Data Entry'!$Â$560)</f>
      </c>
      <c r="EA560">
        <f>IF(ISBLANK('Data Entry'!$Ã$560), "", 'Data Entry'!$Ã$560)</f>
      </c>
      <c r="EB560">
        <f>IF(ISBLANK('Data Entry'!$Ä$560), "", 'Data Entry'!$Ä$560)</f>
      </c>
      <c r="EC560">
        <f>IF(ISBLANK('Data Entry'!$Å$560), "", 'Data Entry'!$Å$560)</f>
      </c>
      <c r="ED560">
        <f>IF(ISBLANK('Data Entry'!$Æ$560), "", 'Data Entry'!$Æ$560)</f>
      </c>
      <c r="EE560">
        <f>IF(ISBLANK('Data Entry'!$Ç$560), "", 'Data Entry'!$Ç$560)</f>
      </c>
      <c r="EF560">
        <f>IF(ISBLANK('Data Entry'!$È$560), "", 'Data Entry'!$È$560)</f>
      </c>
      <c r="EG560">
        <f>IF(ISBLANK('Data Entry'!$É$560), "", 'Data Entry'!$É$560)</f>
      </c>
      <c r="EH560">
        <f>IF(ISBLANK('Data Entry'!$Ê$560), "", 'Data Entry'!$Ê$560)</f>
      </c>
      <c r="EI560">
        <f>IF(ISBLANK('Data Entry'!$Ë$560), "", 'Data Entry'!$Ë$560)</f>
      </c>
      <c r="EJ560">
        <f>IF(ISBLANK('Data Entry'!$Ì$560), "", 'Data Entry'!$Ì$560)</f>
      </c>
      <c r="EK560">
        <f>IF(ISBLANK('Data Entry'!$Í$560), "", 'Data Entry'!$Í$560)</f>
      </c>
      <c r="EL560">
        <f>IF(ISBLANK('Data Entry'!$Î$560), "", 'Data Entry'!$Î$560)</f>
      </c>
      <c r="EM560">
        <f>IF(ISBLANK('Data Entry'!$Ï$560), "", 'Data Entry'!$Ï$560)</f>
      </c>
      <c r="EN560">
        <f>IF(ISBLANK('Data Entry'!$Ð$560), "", 'Data Entry'!$Ð$560)</f>
      </c>
      <c r="EO560">
        <f>IF(ISBLANK('Data Entry'!$Ñ$560), "", 'Data Entry'!$Ñ$560)</f>
      </c>
      <c r="EP560">
        <f>IF(ISBLANK('Data Entry'!$Ò$560), "", 'Data Entry'!$Ò$560)</f>
      </c>
      <c r="EQ560">
        <f>IF(ISBLANK('Data Entry'!$Ó$560), "", 'Data Entry'!$Ó$560)</f>
      </c>
      <c r="ER560">
        <f>IF(ISBLANK('Data Entry'!$Ô$560), "", 'Data Entry'!$Ô$560)</f>
      </c>
      <c r="ES560">
        <f>IF(ISBLANK('Data Entry'!$Õ$560), "", 'Data Entry'!$Õ$560)</f>
      </c>
      <c r="ET560">
        <f>IF(ISBLANK('Data Entry'!$Ö$560), "", 'Data Entry'!$Ö$560)</f>
      </c>
      <c r="EU560">
        <f>IF(ISBLANK('Data Entry'!$×$560), "", 'Data Entry'!$×$560)</f>
      </c>
      <c r="EV560">
        <f>IF(ISBLANK('Data Entry'!$Ø$560), "", 'Data Entry'!$Ø$560)</f>
      </c>
      <c r="EW560">
        <f>IF(ISBLANK('Data Entry'!$Ù$560), "", 'Data Entry'!$Ù$560)</f>
      </c>
      <c r="EX560">
        <f>IF(ISBLANK('Data Entry'!$Ú$560), "", 'Data Entry'!$Ú$560)</f>
      </c>
      <c r="EY560">
        <f>IF(ISBLANK('Data Entry'!$Û$560), "", 'Data Entry'!$Û$560)</f>
      </c>
      <c r="EZ560">
        <f>IF(ISBLANK('Data Entry'!$Ü$560), "", 'Data Entry'!$Ü$560)</f>
      </c>
      <c r="FA560">
        <f>IF(ISBLANK('Data Entry'!$Ý$560), "", 'Data Entry'!$Ý$560)</f>
      </c>
      <c r="FB560">
        <f>IF(ISBLANK('Data Entry'!$Þ$560), "", 'Data Entry'!$Þ$560)</f>
      </c>
      <c r="FC560">
        <f>IF(ISBLANK('Data Entry'!$ß$560), "", 'Data Entry'!$ß$560)</f>
      </c>
      <c r="FD560">
        <f>IF(ISBLANK('Data Entry'!$à$560), "", 'Data Entry'!$à$560)</f>
      </c>
      <c r="FE560">
        <f>IF(ISBLANK('Data Entry'!$á$560), "", 'Data Entry'!$á$560)</f>
      </c>
      <c r="FF560">
        <f>IF(ISBLANK('Data Entry'!$â$560), "", 'Data Entry'!$â$560)</f>
      </c>
      <c r="FG560">
        <f>IF(ISBLANK('Data Entry'!$ã$560), "", 'Data Entry'!$ã$560)</f>
      </c>
      <c r="FH560">
        <f>IF(ISBLANK('Data Entry'!$ä$560), "", 'Data Entry'!$ä$560)</f>
      </c>
      <c r="FI560">
        <f>IF(ISBLANK('Data Entry'!$å$560), "", 'Data Entry'!$å$560)</f>
      </c>
      <c r="FJ560">
        <f>IF(ISBLANK('Data Entry'!$æ$560), "", 'Data Entry'!$æ$560)</f>
      </c>
      <c r="FK560">
        <f>IF(ISBLANK('Data Entry'!$ç$560), "", 'Data Entry'!$ç$560)</f>
      </c>
      <c r="FL560">
        <f>IF(ISBLANK('Data Entry'!$è$560), "", 'Data Entry'!$è$560)</f>
      </c>
      <c r="FM560">
        <f>IF(ISBLANK('Data Entry'!$é$560), "", 'Data Entry'!$é$560)</f>
      </c>
      <c r="FN560">
        <f>IF(ISBLANK('Data Entry'!$ê$560), "", 'Data Entry'!$ê$560)</f>
      </c>
      <c r="FO560">
        <f>IF(ISBLANK('Data Entry'!$ë$560), "", 'Data Entry'!$ë$560)</f>
      </c>
      <c r="FP560">
        <f>IF(ISBLANK('Data Entry'!$ì$560), "", 'Data Entry'!$ì$560)</f>
      </c>
      <c r="FQ560">
        <f>IF(ISBLANK('Data Entry'!$í$560), "", 'Data Entry'!$í$560)</f>
      </c>
      <c r="FR560">
        <f>IF(ISBLANK('Data Entry'!$î$560), "", 'Data Entry'!$î$560)</f>
      </c>
      <c r="FS560">
        <f>IF(ISBLANK('Data Entry'!$ï$560), "", 'Data Entry'!$ï$560)</f>
      </c>
      <c r="FT560">
        <f>IF(ISBLANK('Data Entry'!$ð$560), "", 'Data Entry'!$ð$560)</f>
      </c>
      <c r="FU560">
        <f>IF(ISBLANK('Data Entry'!$ñ$560), "", 'Data Entry'!$ñ$560)</f>
      </c>
      <c r="FV560">
        <f>IF(ISBLANK('Data Entry'!$ò$560), "", 'Data Entry'!$ò$560)</f>
      </c>
      <c r="FW560">
        <f>IF(ISBLANK('Data Entry'!$ó$560), "", 'Data Entry'!$ó$560)</f>
      </c>
      <c r="FX560">
        <f>IF(ISBLANK('Data Entry'!$ô$560), "", 'Data Entry'!$ô$560)</f>
      </c>
      <c r="FY560">
        <f>IF(ISBLANK('Data Entry'!$õ$560), "", 'Data Entry'!$õ$560)</f>
      </c>
      <c r="FZ560">
        <f>IF(ISBLANK('Data Entry'!$ö$560), "", 'Data Entry'!$ö$560)</f>
      </c>
      <c r="GA560">
        <f>IF(ISBLANK('Data Entry'!$÷$560), "", 'Data Entry'!$÷$560)</f>
      </c>
      <c r="GB560">
        <f>IF(ISBLANK('Data Entry'!$ø$560), "", 'Data Entry'!$ø$560)</f>
      </c>
      <c r="GC560">
        <f>IF(ISBLANK('Data Entry'!$ù$560), "", 'Data Entry'!$ù$560)</f>
      </c>
      <c r="GD560">
        <f>IF(ISBLANK('Data Entry'!$ú$560), "", 'Data Entry'!$ú$560)</f>
      </c>
      <c r="GE560">
        <f>IF(ISBLANK('Data Entry'!$û$560), "", 'Data Entry'!$û$560)</f>
      </c>
      <c r="GF560">
        <f>IF(ISBLANK('Data Entry'!$ü$560), "", 'Data Entry'!$ü$560)</f>
      </c>
      <c r="GG560">
        <f>IF(ISBLANK('Data Entry'!$ý$560), "", 'Data Entry'!$ý$560)</f>
      </c>
      <c r="GH560">
        <f>IF(ISBLANK('Data Entry'!$þ$560), "", 'Data Entry'!$þ$560)</f>
      </c>
      <c r="GI560">
        <f>IF(ISBLANK('Data Entry'!$ÿ$560), "", 'Data Entry'!$ÿ$560)</f>
      </c>
      <c r="GJ560">
        <f>IF(ISBLANK('Data Entry'!$Ā$560), "", 'Data Entry'!$Ā$560)</f>
      </c>
      <c r="GK560">
        <f>IF(ISBLANK('Data Entry'!$ā$560), "", 'Data Entry'!$ā$560)</f>
      </c>
      <c r="GL560">
        <f>IF(ISBLANK('Data Entry'!$Ă$560), "", 'Data Entry'!$Ă$560)</f>
      </c>
      <c r="GM560">
        <f>IF(ISBLANK('Data Entry'!$ă$560), "", 'Data Entry'!$ă$560)</f>
      </c>
      <c r="GN560">
        <f>IF(ISBLANK('Data Entry'!$Ą$560), "", 'Data Entry'!$Ą$560)</f>
      </c>
      <c r="GO560">
        <f>IF(ISBLANK('Data Entry'!$ą$560), "", 'Data Entry'!$ą$560)</f>
      </c>
      <c r="GP560">
        <f>IF(ISBLANK('Data Entry'!$Ć$560), "", 'Data Entry'!$Ć$560)</f>
      </c>
      <c r="GQ560">
        <f>IF(ISBLANK('Data Entry'!$ć$560), "", 'Data Entry'!$ć$560)</f>
      </c>
      <c r="GR560">
        <f>IF(ISBLANK('Data Entry'!$Ĉ$560), "", 'Data Entry'!$Ĉ$560)</f>
      </c>
      <c r="GS560">
        <f>IF(ISBLANK('Data Entry'!$ĉ$560), "", 'Data Entry'!$ĉ$560)</f>
      </c>
      <c r="GT560">
        <f>IF(ISBLANK('Data Entry'!$Ċ$560), "", 'Data Entry'!$Ċ$560)</f>
      </c>
      <c r="GU560">
        <f>IF(ISBLANK('Data Entry'!$ċ$560), "", 'Data Entry'!$ċ$560)</f>
      </c>
      <c r="GV560">
        <f>IF(ISBLANK('Data Entry'!$Č$560), "", 'Data Entry'!$Č$560)</f>
      </c>
      <c r="GW560">
        <f>IF(ISBLANK('Data Entry'!$č$560), "", 'Data Entry'!$č$560)</f>
      </c>
      <c r="GX560">
        <f>IF(ISBLANK('Data Entry'!$Ď$560), "", 'Data Entry'!$Ď$560)</f>
      </c>
      <c r="GY560">
        <f>IF(ISBLANK('Data Entry'!$ď$560), "", 'Data Entry'!$ď$560)</f>
      </c>
      <c r="GZ560">
        <f>IF(ISBLANK('Data Entry'!$Đ$560), "", 'Data Entry'!$Đ$560)</f>
      </c>
      <c r="HA560">
        <f>IF(ISBLANK('Data Entry'!$đ$560), "", 'Data Entry'!$đ$560)</f>
      </c>
      <c r="HB560">
        <f>IF(ISBLANK('Data Entry'!$Ē$560), "", 'Data Entry'!$Ē$560)</f>
      </c>
      <c r="HC560">
        <f>IF(ISBLANK('Data Entry'!$ē$560), "", 'Data Entry'!$ē$560)</f>
      </c>
      <c r="HD560">
        <f>IF(ISBLANK('Data Entry'!$Ĕ$560), "", 'Data Entry'!$Ĕ$560)</f>
      </c>
      <c r="HE560">
        <f>IF(ISBLANK('Data Entry'!$ĕ$560), "", 'Data Entry'!$ĕ$560)</f>
      </c>
      <c r="HF560">
        <f>IF(ISBLANK('Data Entry'!$Ė$560), "", 'Data Entry'!$Ė$560)</f>
      </c>
      <c r="HG560">
        <f>IF(ISBLANK('Data Entry'!$ė$560), "", 'Data Entry'!$ė$560)</f>
      </c>
      <c r="HH560">
        <f>IF(ISBLANK('Data Entry'!$Ę$560), "", 'Data Entry'!$Ę$560)</f>
      </c>
      <c r="HI560">
        <f>IF(ISBLANK('Data Entry'!$ę$560), "", 'Data Entry'!$ę$560)</f>
      </c>
      <c r="HJ560">
        <f>IF(ISBLANK('Data Entry'!$Ě$560), "", 'Data Entry'!$Ě$560)</f>
      </c>
      <c r="HK560">
        <f>IF(ISBLANK('Data Entry'!$ě$560), "", 'Data Entry'!$ě$560)</f>
      </c>
      <c r="HL560">
        <f>IF(ISBLANK('Data Entry'!$Ĝ$560), "", 'Data Entry'!$Ĝ$560)</f>
      </c>
      <c r="HM560">
        <f>IF(ISBLANK('Data Entry'!$ĝ$560), "", 'Data Entry'!$ĝ$560)</f>
      </c>
      <c r="HN560">
        <f>IF(ISBLANK('Data Entry'!$Ğ$560), "", 'Data Entry'!$Ğ$560)</f>
      </c>
      <c r="HO560">
        <f>IF(ISBLANK('Data Entry'!$ğ$560), "", 'Data Entry'!$ğ$560)</f>
      </c>
      <c r="HP560">
        <f>IF(ISBLANK('Data Entry'!$Ġ$560), "", 'Data Entry'!$Ġ$560)</f>
      </c>
      <c r="HQ560">
        <f>IF(ISBLANK('Data Entry'!$ġ$560), "", 'Data Entry'!$ġ$560)</f>
      </c>
      <c r="HR560">
        <f>IF(ISBLANK('Data Entry'!$Ģ$560), "", 'Data Entry'!$Ģ$560)</f>
      </c>
      <c r="HS560">
        <f>IF(ISBLANK('Data Entry'!$ģ$560), "", 'Data Entry'!$ģ$560)</f>
      </c>
      <c r="HT560">
        <f>IF(ISBLANK('Data Entry'!$Ĥ$560), "", 'Data Entry'!$Ĥ$560)</f>
      </c>
      <c r="HU560">
        <f>IF(ISBLANK('Data Entry'!$ĥ$560), "", 'Data Entry'!$ĥ$560)</f>
      </c>
      <c r="HV560">
        <f>IF(ISBLANK('Data Entry'!$Ħ$560), "", 'Data Entry'!$Ħ$560)</f>
      </c>
      <c r="HW560">
        <f>IF(ISBLANK('Data Entry'!$ħ$560), "", 'Data Entry'!$ħ$560)</f>
      </c>
      <c r="HX560">
        <f>IF(ISBLANK('Data Entry'!$Ĩ$560), "", 'Data Entry'!$Ĩ$560)</f>
      </c>
      <c r="HY560">
        <f>IF(ISBLANK('Data Entry'!$ĩ$560), "", 'Data Entry'!$ĩ$560)</f>
      </c>
      <c r="HZ560">
        <f>IF(ISBLANK('Data Entry'!$Ī$560), "", 'Data Entry'!$Ī$560)</f>
      </c>
      <c r="IA560">
        <f>IF(ISBLANK('Data Entry'!$ī$560), "", 'Data Entry'!$ī$560)</f>
      </c>
      <c r="IB560">
        <f>IF(ISBLANK('Data Entry'!$Ĭ$560), "", 'Data Entry'!$Ĭ$560)</f>
      </c>
      <c r="IC560">
        <f>IF(ISBLANK('Data Entry'!$ĭ$560), "", 'Data Entry'!$ĭ$560)</f>
      </c>
      <c r="ID560">
        <f>IF(ISBLANK('Data Entry'!$Į$560), "", 'Data Entry'!$Į$560)</f>
      </c>
      <c r="IE560">
        <f>IF(ISBLANK('Data Entry'!$į$560), "", 'Data Entry'!$į$560)</f>
      </c>
      <c r="IF560">
        <f>IF(ISBLANK('Data Entry'!$İ$560), "", 'Data Entry'!$İ$560)</f>
      </c>
      <c r="IG560">
        <f>IF(ISBLANK('Data Entry'!$ı$560), "", 'Data Entry'!$ı$560)</f>
      </c>
      <c r="IH560">
        <f>IF(ISBLANK('Data Entry'!$Ĳ$560), "", 'Data Entry'!$Ĳ$560)</f>
      </c>
      <c r="II560">
        <f>IF(ISBLANK('Data Entry'!$ĳ$560), "", 'Data Entry'!$ĳ$560)</f>
      </c>
      <c r="IJ560">
        <f>IF(ISBLANK('Data Entry'!$Ĵ$560), "", 'Data Entry'!$Ĵ$560)</f>
      </c>
      <c r="IK560">
        <f>IF(ISBLANK('Data Entry'!$ĵ$560), "", 'Data Entry'!$ĵ$560)</f>
      </c>
      <c r="IL560">
        <f>IF(ISBLANK('Data Entry'!$Ķ$560), "", 'Data Entry'!$Ķ$560)</f>
      </c>
      <c r="IM560">
        <f>IF(ISBLANK('Data Entry'!$ķ$560), "", 'Data Entry'!$ķ$560)</f>
      </c>
      <c r="IN560">
        <f>IF(ISBLANK('Data Entry'!$ĸ$560), "", 'Data Entry'!$ĸ$560)</f>
      </c>
      <c r="IO560">
        <f>IF(ISBLANK('Data Entry'!$Ĺ$560), "", 'Data Entry'!$Ĺ$560)</f>
      </c>
      <c r="IP560">
        <f>IF(ISBLANK('Data Entry'!$ĺ$560), "", 'Data Entry'!$ĺ$560)</f>
      </c>
      <c r="IQ560">
        <f>IF(ISBLANK('Data Entry'!$Ļ$560), "", 'Data Entry'!$Ļ$560)</f>
      </c>
      <c r="IR560">
        <f>IF(ISBLANK('Data Entry'!$ļ$560), "", 'Data Entry'!$ļ$560)</f>
      </c>
      <c r="IS560">
        <f>IF(ISBLANK('Data Entry'!$Ľ$560), "", 'Data Entry'!$Ľ$560)</f>
      </c>
      <c r="IT560">
        <f>IF(ISBLANK('Data Entry'!$ľ$560), "", 'Data Entry'!$ľ$560)</f>
      </c>
    </row>
    <row r="561" spans="1:254" x14ac:dyDescent="0.25">
      <c r="A561">
        <f>IF(ISBLANK('Data Entry'!$A$561), "", 'Data Entry'!$A$561)</f>
      </c>
      <c r="B561">
        <f>IF(ISBLANK('Data Entry'!$B$561), "", 'Data Entry'!$B$561)</f>
      </c>
      <c r="C561">
        <f>IF(ISBLANK('Data Entry'!$C$561), "", 'Data Entry'!$C$561)</f>
      </c>
      <c r="D561">
        <f>IF(ISBLANK('Data Entry'!$D$561), "", 'Data Entry'!$D$561)</f>
      </c>
      <c r="E561">
        <f>IF(ISBLANK('Data Entry'!$E$561), "", 'Data Entry'!$E$561)</f>
      </c>
      <c r="F561">
        <f>IF(ISBLANK('Data Entry'!$F$561), "", 'Data Entry'!$F$561)</f>
      </c>
      <c r="G561">
        <f>IF(ISBLANK('Data Entry'!$G$561), "", 'Data Entry'!$G$561)</f>
      </c>
      <c r="H561">
        <f>IF(ISBLANK('Data Entry'!$H$561), "", 'Data Entry'!$H$561)</f>
      </c>
      <c r="I561">
        <f>IF(ISBLANK('Data Entry'!$I$561), "", 'Data Entry'!$I$561)</f>
      </c>
      <c r="J561">
        <f>IF(ISBLANK('Data Entry'!$J$561), "", 'Data Entry'!$J$561)</f>
      </c>
      <c r="K561">
        <f>IF(ISBLANK('Data Entry'!$K$561), "", 'Data Entry'!$K$561)</f>
      </c>
      <c r="L561">
        <f>IF(ISBLANK('Data Entry'!$L$561), "", 'Data Entry'!$L$561)</f>
      </c>
      <c r="M561">
        <f>IF(ISBLANK('Data Entry'!$M$561), "", 'Data Entry'!$M$561)</f>
      </c>
      <c r="N561">
        <f>IF(ISBLANK('Data Entry'!$N$561), "", 'Data Entry'!$N$561)</f>
      </c>
      <c r="O561">
        <f>IF(ISBLANK('Data Entry'!$O$561), "", 'Data Entry'!$O$561)</f>
      </c>
      <c r="P561">
        <f>IF(ISBLANK('Data Entry'!$P$561), "", 'Data Entry'!$P$561)</f>
      </c>
      <c r="Q561">
        <f>IF(ISBLANK('Data Entry'!$Q$561), "", 'Data Entry'!$Q$561)</f>
      </c>
      <c r="R561">
        <f>IF(ISBLANK('Data Entry'!$R$561), "", 'Data Entry'!$R$561)</f>
      </c>
      <c r="S561">
        <f>IF(ISBLANK('Data Entry'!$S$561), "", 'Data Entry'!$S$561)</f>
      </c>
      <c r="T561">
        <f>IF(ISBLANK('Data Entry'!$T$561), "", 'Data Entry'!$T$561)</f>
      </c>
      <c r="U561">
        <f>IF(ISBLANK('Data Entry'!$U$561), "", 'Data Entry'!$U$561)</f>
      </c>
      <c r="V561">
        <f>IF(ISBLANK('Data Entry'!$V$561), "", 'Data Entry'!$V$561)</f>
      </c>
      <c r="W561">
        <f>IF(ISBLANK('Data Entry'!$W$561), "", 'Data Entry'!$W$561)</f>
      </c>
      <c r="X561">
        <f>IF(ISBLANK('Data Entry'!$X$561), "", 'Data Entry'!$X$561)</f>
      </c>
      <c r="Y561">
        <f>IF(ISBLANK('Data Entry'!$Y$561), "", 'Data Entry'!$Y$561)</f>
      </c>
      <c r="Z561">
        <f>IF(ISBLANK('Data Entry'!$Z$561), "", 'Data Entry'!$Z$561)</f>
      </c>
      <c r="AA561">
        <f>IF(ISBLANK('Data Entry'!$[$561), "", 'Data Entry'!$[$561)</f>
      </c>
      <c r="AB561">
        <f>IF(ISBLANK('Data Entry'!$\$561), "", 'Data Entry'!$\$561)</f>
      </c>
      <c r="AC561">
        <f>IF(ISBLANK('Data Entry'!$]$561), "", 'Data Entry'!$]$561)</f>
      </c>
      <c r="AD561">
        <f>IF(ISBLANK('Data Entry'!$^$561), "", 'Data Entry'!$^$561)</f>
      </c>
      <c r="AE561">
        <f>IF(ISBLANK('Data Entry'!$_$561), "", 'Data Entry'!$_$561)</f>
      </c>
      <c r="AF561">
        <f>IF(ISBLANK('Data Entry'!$`$561), "", 'Data Entry'!$`$561)</f>
      </c>
      <c r="AG561">
        <f>IF(ISBLANK('Data Entry'!$a$561), "", 'Data Entry'!$a$561)</f>
      </c>
      <c r="AH561">
        <f>IF(ISBLANK('Data Entry'!$b$561), "", 'Data Entry'!$b$561)</f>
      </c>
      <c r="AI561">
        <f>IF(ISBLANK('Data Entry'!$c$561), "", 'Data Entry'!$c$561)</f>
      </c>
      <c r="AJ561">
        <f>IF(ISBLANK('Data Entry'!$d$561), "", 'Data Entry'!$d$561)</f>
      </c>
      <c r="AK561">
        <f>IF(ISBLANK('Data Entry'!$e$561), "", 'Data Entry'!$e$561)</f>
      </c>
      <c r="AL561">
        <f>IF(ISBLANK('Data Entry'!$f$561), "", 'Data Entry'!$f$561)</f>
      </c>
      <c r="AM561">
        <f>IF(ISBLANK('Data Entry'!$g$561), "", 'Data Entry'!$g$561)</f>
      </c>
      <c r="AN561">
        <f>IF(ISBLANK('Data Entry'!$h$561), "", 'Data Entry'!$h$561)</f>
      </c>
      <c r="AO561">
        <f>IF(ISBLANK('Data Entry'!$i$561), "", 'Data Entry'!$i$561)</f>
      </c>
      <c r="AP561">
        <f>IF(ISBLANK('Data Entry'!$j$561), "", 'Data Entry'!$j$561)</f>
      </c>
      <c r="AQ561">
        <f>IF(ISBLANK('Data Entry'!$k$561), "", 'Data Entry'!$k$561)</f>
      </c>
      <c r="AR561">
        <f>IF(ISBLANK('Data Entry'!$l$561), "", 'Data Entry'!$l$561)</f>
      </c>
      <c r="AS561">
        <f>IF(ISBLANK('Data Entry'!$m$561), "", 'Data Entry'!$m$561)</f>
      </c>
      <c r="AT561">
        <f>IF(ISBLANK('Data Entry'!$n$561), "", 'Data Entry'!$n$561)</f>
      </c>
      <c r="AU561">
        <f>IF(ISBLANK('Data Entry'!$o$561), "", 'Data Entry'!$o$561)</f>
      </c>
      <c r="AV561">
        <f>IF(ISBLANK('Data Entry'!$p$561), "", 'Data Entry'!$p$561)</f>
      </c>
      <c r="AW561">
        <f>IF(ISBLANK('Data Entry'!$q$561), "", 'Data Entry'!$q$561)</f>
      </c>
      <c r="AX561">
        <f>IF(ISBLANK('Data Entry'!$r$561), "", 'Data Entry'!$r$561)</f>
      </c>
      <c r="AY561">
        <f>IF(ISBLANK('Data Entry'!$s$561), "", 'Data Entry'!$s$561)</f>
      </c>
      <c r="AZ561">
        <f>IF(ISBLANK('Data Entry'!$t$561), "", 'Data Entry'!$t$561)</f>
      </c>
      <c r="BA561">
        <f>IF(ISBLANK('Data Entry'!$u$561), "", 'Data Entry'!$u$561)</f>
      </c>
      <c r="BB561">
        <f>IF(ISBLANK('Data Entry'!$v$561), "", 'Data Entry'!$v$561)</f>
      </c>
      <c r="BC561">
        <f>IF(ISBLANK('Data Entry'!$w$561), "", 'Data Entry'!$w$561)</f>
      </c>
      <c r="BD561">
        <f>IF(ISBLANK('Data Entry'!$x$561), "", 'Data Entry'!$x$561)</f>
      </c>
      <c r="BE561">
        <f>IF(ISBLANK('Data Entry'!$y$561), "", 'Data Entry'!$y$561)</f>
      </c>
      <c r="BF561">
        <f>IF(ISBLANK('Data Entry'!$z$561), "", 'Data Entry'!$z$561)</f>
      </c>
      <c r="BG561">
        <f>IF(ISBLANK('Data Entry'!${$561), "", 'Data Entry'!${$561)</f>
      </c>
      <c r="BH561">
        <f>IF(ISBLANK('Data Entry'!$|$561), "", 'Data Entry'!$|$561)</f>
      </c>
      <c r="BI561">
        <f>IF(ISBLANK('Data Entry'!$}$561), "", 'Data Entry'!$}$561)</f>
      </c>
      <c r="BJ561">
        <f>IF(ISBLANK('Data Entry'!$~$561), "", 'Data Entry'!$~$561)</f>
      </c>
      <c r="BK561">
        <f>IF(ISBLANK('Data Entry'!$$561), "", 'Data Entry'!$$561)</f>
      </c>
      <c r="BL561">
        <f>IF(ISBLANK('Data Entry'!$$561), "", 'Data Entry'!$$561)</f>
      </c>
      <c r="BM561">
        <f>IF(ISBLANK('Data Entry'!$$561), "", 'Data Entry'!$$561)</f>
      </c>
      <c r="BN561">
        <f>IF(ISBLANK('Data Entry'!$$561), "", 'Data Entry'!$$561)</f>
      </c>
      <c r="BO561">
        <f>IF(ISBLANK('Data Entry'!$$561), "", 'Data Entry'!$$561)</f>
      </c>
      <c r="BP561">
        <f>IF(ISBLANK('Data Entry'!$$561), "", 'Data Entry'!$$561)</f>
      </c>
      <c r="BQ561">
        <f>IF(ISBLANK('Data Entry'!$$561), "", 'Data Entry'!$$561)</f>
      </c>
      <c r="BR561">
        <f>IF(ISBLANK('Data Entry'!$$561), "", 'Data Entry'!$$561)</f>
      </c>
      <c r="BS561">
        <f>IF(ISBLANK('Data Entry'!$$561), "", 'Data Entry'!$$561)</f>
      </c>
      <c r="BT561">
        <f>IF(ISBLANK('Data Entry'!$$561), "", 'Data Entry'!$$561)</f>
      </c>
      <c r="BU561">
        <f>IF(ISBLANK('Data Entry'!$$561), "", 'Data Entry'!$$561)</f>
      </c>
      <c r="BV561">
        <f>IF(ISBLANK('Data Entry'!$$561), "", 'Data Entry'!$$561)</f>
      </c>
      <c r="BW561">
        <f>IF(ISBLANK('Data Entry'!$$561), "", 'Data Entry'!$$561)</f>
      </c>
      <c r="BX561">
        <f>IF(ISBLANK('Data Entry'!$$561), "", 'Data Entry'!$$561)</f>
      </c>
      <c r="BY561">
        <f>IF(ISBLANK('Data Entry'!$$561), "", 'Data Entry'!$$561)</f>
      </c>
      <c r="BZ561">
        <f>IF(ISBLANK('Data Entry'!$$561), "", 'Data Entry'!$$561)</f>
      </c>
      <c r="CA561">
        <f>IF(ISBLANK('Data Entry'!$$561), "", 'Data Entry'!$$561)</f>
      </c>
      <c r="CB561">
        <f>IF(ISBLANK('Data Entry'!$$561), "", 'Data Entry'!$$561)</f>
      </c>
      <c r="CC561">
        <f>IF(ISBLANK('Data Entry'!$$561), "", 'Data Entry'!$$561)</f>
      </c>
      <c r="CD561">
        <f>IF(ISBLANK('Data Entry'!$$561), "", 'Data Entry'!$$561)</f>
      </c>
      <c r="CE561">
        <f>IF(ISBLANK('Data Entry'!$$561), "", 'Data Entry'!$$561)</f>
      </c>
      <c r="CF561">
        <f>IF(ISBLANK('Data Entry'!$$561), "", 'Data Entry'!$$561)</f>
      </c>
      <c r="CG561">
        <f>IF(ISBLANK('Data Entry'!$$561), "", 'Data Entry'!$$561)</f>
      </c>
      <c r="CH561">
        <f>IF(ISBLANK('Data Entry'!$$561), "", 'Data Entry'!$$561)</f>
      </c>
      <c r="CI561">
        <f>IF(ISBLANK('Data Entry'!$$561), "", 'Data Entry'!$$561)</f>
      </c>
      <c r="CJ561">
        <f>IF(ISBLANK('Data Entry'!$$561), "", 'Data Entry'!$$561)</f>
      </c>
      <c r="CK561">
        <f>IF(ISBLANK('Data Entry'!$$561), "", 'Data Entry'!$$561)</f>
      </c>
      <c r="CL561">
        <f>IF(ISBLANK('Data Entry'!$$561), "", 'Data Entry'!$$561)</f>
      </c>
      <c r="CM561">
        <f>IF(ISBLANK('Data Entry'!$$561), "", 'Data Entry'!$$561)</f>
      </c>
      <c r="CN561">
        <f>IF(ISBLANK('Data Entry'!$$561), "", 'Data Entry'!$$561)</f>
      </c>
      <c r="CO561">
        <f>IF(ISBLANK('Data Entry'!$$561), "", 'Data Entry'!$$561)</f>
      </c>
      <c r="CP561">
        <f>IF(ISBLANK('Data Entry'!$$561), "", 'Data Entry'!$$561)</f>
      </c>
      <c r="CQ561">
        <f>IF(ISBLANK('Data Entry'!$$561), "", 'Data Entry'!$$561)</f>
      </c>
      <c r="CR561">
        <f>IF(ISBLANK('Data Entry'!$ $561), "", 'Data Entry'!$ $561)</f>
      </c>
      <c r="CS561">
        <f>IF(ISBLANK('Data Entry'!$¡$561), "", 'Data Entry'!$¡$561)</f>
      </c>
      <c r="CT561">
        <f>IF(ISBLANK('Data Entry'!$¢$561), "", 'Data Entry'!$¢$561)</f>
      </c>
      <c r="CU561">
        <f>IF(ISBLANK('Data Entry'!$£$561), "", 'Data Entry'!$£$561)</f>
      </c>
      <c r="CV561">
        <f>IF(ISBLANK('Data Entry'!$¤$561), "", 'Data Entry'!$¤$561)</f>
      </c>
      <c r="CW561">
        <f>IF(ISBLANK('Data Entry'!$¥$561), "", 'Data Entry'!$¥$561)</f>
      </c>
      <c r="CX561">
        <f>IF(ISBLANK('Data Entry'!$¦$561), "", 'Data Entry'!$¦$561)</f>
      </c>
      <c r="CY561">
        <f>IF(ISBLANK('Data Entry'!$§$561), "", 'Data Entry'!$§$561)</f>
      </c>
      <c r="CZ561">
        <f>IF(ISBLANK('Data Entry'!$¨$561), "", 'Data Entry'!$¨$561)</f>
      </c>
      <c r="DA561">
        <f>IF(ISBLANK('Data Entry'!$©$561), "", 'Data Entry'!$©$561)</f>
      </c>
      <c r="DB561">
        <f>IF(ISBLANK('Data Entry'!$ª$561), "", 'Data Entry'!$ª$561)</f>
      </c>
      <c r="DC561">
        <f>IF(ISBLANK('Data Entry'!$«$561), "", 'Data Entry'!$«$561)</f>
      </c>
      <c r="DD561">
        <f>IF(ISBLANK('Data Entry'!$¬$561), "", 'Data Entry'!$¬$561)</f>
      </c>
      <c r="DE561">
        <f>IF(ISBLANK('Data Entry'!$­$561), "", 'Data Entry'!$­$561)</f>
      </c>
      <c r="DF561">
        <f>IF(ISBLANK('Data Entry'!$®$561), "", 'Data Entry'!$®$561)</f>
      </c>
      <c r="DG561">
        <f>IF(ISBLANK('Data Entry'!$¯$561), "", 'Data Entry'!$¯$561)</f>
      </c>
      <c r="DH561">
        <f>IF(ISBLANK('Data Entry'!$°$561), "", 'Data Entry'!$°$561)</f>
      </c>
      <c r="DI561">
        <f>IF(ISBLANK('Data Entry'!$±$561), "", 'Data Entry'!$±$561)</f>
      </c>
      <c r="DJ561">
        <f>IF(ISBLANK('Data Entry'!$²$561), "", 'Data Entry'!$²$561)</f>
      </c>
      <c r="DK561">
        <f>IF(ISBLANK('Data Entry'!$³$561), "", 'Data Entry'!$³$561)</f>
      </c>
      <c r="DL561">
        <f>IF(ISBLANK('Data Entry'!$´$561), "", 'Data Entry'!$´$561)</f>
      </c>
      <c r="DM561">
        <f>IF(ISBLANK('Data Entry'!$µ$561), "", 'Data Entry'!$µ$561)</f>
      </c>
      <c r="DN561">
        <f>IF(ISBLANK('Data Entry'!$¶$561), "", 'Data Entry'!$¶$561)</f>
      </c>
      <c r="DO561">
        <f>IF(ISBLANK('Data Entry'!$·$561), "", 'Data Entry'!$·$561)</f>
      </c>
      <c r="DP561">
        <f>IF(ISBLANK('Data Entry'!$¸$561), "", 'Data Entry'!$¸$561)</f>
      </c>
      <c r="DQ561">
        <f>IF(ISBLANK('Data Entry'!$¹$561), "", 'Data Entry'!$¹$561)</f>
      </c>
      <c r="DR561">
        <f>IF(ISBLANK('Data Entry'!$º$561), "", 'Data Entry'!$º$561)</f>
      </c>
      <c r="DS561">
        <f>IF(ISBLANK('Data Entry'!$»$561), "", 'Data Entry'!$»$561)</f>
      </c>
      <c r="DT561">
        <f>IF(ISBLANK('Data Entry'!$¼$561), "", 'Data Entry'!$¼$561)</f>
      </c>
      <c r="DU561">
        <f>IF(ISBLANK('Data Entry'!$½$561), "", 'Data Entry'!$½$561)</f>
      </c>
      <c r="DV561">
        <f>IF(ISBLANK('Data Entry'!$¾$561), "", 'Data Entry'!$¾$561)</f>
      </c>
      <c r="DW561">
        <f>IF(ISBLANK('Data Entry'!$¿$561), "", 'Data Entry'!$¿$561)</f>
      </c>
      <c r="DX561">
        <f>IF(ISBLANK('Data Entry'!$À$561), "", 'Data Entry'!$À$561)</f>
      </c>
      <c r="DY561">
        <f>IF(ISBLANK('Data Entry'!$Á$561), "", 'Data Entry'!$Á$561)</f>
      </c>
      <c r="DZ561">
        <f>IF(ISBLANK('Data Entry'!$Â$561), "", 'Data Entry'!$Â$561)</f>
      </c>
      <c r="EA561">
        <f>IF(ISBLANK('Data Entry'!$Ã$561), "", 'Data Entry'!$Ã$561)</f>
      </c>
      <c r="EB561">
        <f>IF(ISBLANK('Data Entry'!$Ä$561), "", 'Data Entry'!$Ä$561)</f>
      </c>
      <c r="EC561">
        <f>IF(ISBLANK('Data Entry'!$Å$561), "", 'Data Entry'!$Å$561)</f>
      </c>
      <c r="ED561">
        <f>IF(ISBLANK('Data Entry'!$Æ$561), "", 'Data Entry'!$Æ$561)</f>
      </c>
      <c r="EE561">
        <f>IF(ISBLANK('Data Entry'!$Ç$561), "", 'Data Entry'!$Ç$561)</f>
      </c>
      <c r="EF561">
        <f>IF(ISBLANK('Data Entry'!$È$561), "", 'Data Entry'!$È$561)</f>
      </c>
      <c r="EG561">
        <f>IF(ISBLANK('Data Entry'!$É$561), "", 'Data Entry'!$É$561)</f>
      </c>
      <c r="EH561">
        <f>IF(ISBLANK('Data Entry'!$Ê$561), "", 'Data Entry'!$Ê$561)</f>
      </c>
      <c r="EI561">
        <f>IF(ISBLANK('Data Entry'!$Ë$561), "", 'Data Entry'!$Ë$561)</f>
      </c>
      <c r="EJ561">
        <f>IF(ISBLANK('Data Entry'!$Ì$561), "", 'Data Entry'!$Ì$561)</f>
      </c>
      <c r="EK561">
        <f>IF(ISBLANK('Data Entry'!$Í$561), "", 'Data Entry'!$Í$561)</f>
      </c>
      <c r="EL561">
        <f>IF(ISBLANK('Data Entry'!$Î$561), "", 'Data Entry'!$Î$561)</f>
      </c>
      <c r="EM561">
        <f>IF(ISBLANK('Data Entry'!$Ï$561), "", 'Data Entry'!$Ï$561)</f>
      </c>
      <c r="EN561">
        <f>IF(ISBLANK('Data Entry'!$Ð$561), "", 'Data Entry'!$Ð$561)</f>
      </c>
      <c r="EO561">
        <f>IF(ISBLANK('Data Entry'!$Ñ$561), "", 'Data Entry'!$Ñ$561)</f>
      </c>
      <c r="EP561">
        <f>IF(ISBLANK('Data Entry'!$Ò$561), "", 'Data Entry'!$Ò$561)</f>
      </c>
      <c r="EQ561">
        <f>IF(ISBLANK('Data Entry'!$Ó$561), "", 'Data Entry'!$Ó$561)</f>
      </c>
      <c r="ER561">
        <f>IF(ISBLANK('Data Entry'!$Ô$561), "", 'Data Entry'!$Ô$561)</f>
      </c>
      <c r="ES561">
        <f>IF(ISBLANK('Data Entry'!$Õ$561), "", 'Data Entry'!$Õ$561)</f>
      </c>
      <c r="ET561">
        <f>IF(ISBLANK('Data Entry'!$Ö$561), "", 'Data Entry'!$Ö$561)</f>
      </c>
      <c r="EU561">
        <f>IF(ISBLANK('Data Entry'!$×$561), "", 'Data Entry'!$×$561)</f>
      </c>
      <c r="EV561">
        <f>IF(ISBLANK('Data Entry'!$Ø$561), "", 'Data Entry'!$Ø$561)</f>
      </c>
      <c r="EW561">
        <f>IF(ISBLANK('Data Entry'!$Ù$561), "", 'Data Entry'!$Ù$561)</f>
      </c>
      <c r="EX561">
        <f>IF(ISBLANK('Data Entry'!$Ú$561), "", 'Data Entry'!$Ú$561)</f>
      </c>
      <c r="EY561">
        <f>IF(ISBLANK('Data Entry'!$Û$561), "", 'Data Entry'!$Û$561)</f>
      </c>
      <c r="EZ561">
        <f>IF(ISBLANK('Data Entry'!$Ü$561), "", 'Data Entry'!$Ü$561)</f>
      </c>
      <c r="FA561">
        <f>IF(ISBLANK('Data Entry'!$Ý$561), "", 'Data Entry'!$Ý$561)</f>
      </c>
      <c r="FB561">
        <f>IF(ISBLANK('Data Entry'!$Þ$561), "", 'Data Entry'!$Þ$561)</f>
      </c>
      <c r="FC561">
        <f>IF(ISBLANK('Data Entry'!$ß$561), "", 'Data Entry'!$ß$561)</f>
      </c>
      <c r="FD561">
        <f>IF(ISBLANK('Data Entry'!$à$561), "", 'Data Entry'!$à$561)</f>
      </c>
      <c r="FE561">
        <f>IF(ISBLANK('Data Entry'!$á$561), "", 'Data Entry'!$á$561)</f>
      </c>
      <c r="FF561">
        <f>IF(ISBLANK('Data Entry'!$â$561), "", 'Data Entry'!$â$561)</f>
      </c>
      <c r="FG561">
        <f>IF(ISBLANK('Data Entry'!$ã$561), "", 'Data Entry'!$ã$561)</f>
      </c>
      <c r="FH561">
        <f>IF(ISBLANK('Data Entry'!$ä$561), "", 'Data Entry'!$ä$561)</f>
      </c>
      <c r="FI561">
        <f>IF(ISBLANK('Data Entry'!$å$561), "", 'Data Entry'!$å$561)</f>
      </c>
      <c r="FJ561">
        <f>IF(ISBLANK('Data Entry'!$æ$561), "", 'Data Entry'!$æ$561)</f>
      </c>
      <c r="FK561">
        <f>IF(ISBLANK('Data Entry'!$ç$561), "", 'Data Entry'!$ç$561)</f>
      </c>
      <c r="FL561">
        <f>IF(ISBLANK('Data Entry'!$è$561), "", 'Data Entry'!$è$561)</f>
      </c>
      <c r="FM561">
        <f>IF(ISBLANK('Data Entry'!$é$561), "", 'Data Entry'!$é$561)</f>
      </c>
      <c r="FN561">
        <f>IF(ISBLANK('Data Entry'!$ê$561), "", 'Data Entry'!$ê$561)</f>
      </c>
      <c r="FO561">
        <f>IF(ISBLANK('Data Entry'!$ë$561), "", 'Data Entry'!$ë$561)</f>
      </c>
      <c r="FP561">
        <f>IF(ISBLANK('Data Entry'!$ì$561), "", 'Data Entry'!$ì$561)</f>
      </c>
      <c r="FQ561">
        <f>IF(ISBLANK('Data Entry'!$í$561), "", 'Data Entry'!$í$561)</f>
      </c>
      <c r="FR561">
        <f>IF(ISBLANK('Data Entry'!$î$561), "", 'Data Entry'!$î$561)</f>
      </c>
      <c r="FS561">
        <f>IF(ISBLANK('Data Entry'!$ï$561), "", 'Data Entry'!$ï$561)</f>
      </c>
      <c r="FT561">
        <f>IF(ISBLANK('Data Entry'!$ð$561), "", 'Data Entry'!$ð$561)</f>
      </c>
      <c r="FU561">
        <f>IF(ISBLANK('Data Entry'!$ñ$561), "", 'Data Entry'!$ñ$561)</f>
      </c>
      <c r="FV561">
        <f>IF(ISBLANK('Data Entry'!$ò$561), "", 'Data Entry'!$ò$561)</f>
      </c>
      <c r="FW561">
        <f>IF(ISBLANK('Data Entry'!$ó$561), "", 'Data Entry'!$ó$561)</f>
      </c>
      <c r="FX561">
        <f>IF(ISBLANK('Data Entry'!$ô$561), "", 'Data Entry'!$ô$561)</f>
      </c>
      <c r="FY561">
        <f>IF(ISBLANK('Data Entry'!$õ$561), "", 'Data Entry'!$õ$561)</f>
      </c>
      <c r="FZ561">
        <f>IF(ISBLANK('Data Entry'!$ö$561), "", 'Data Entry'!$ö$561)</f>
      </c>
      <c r="GA561">
        <f>IF(ISBLANK('Data Entry'!$÷$561), "", 'Data Entry'!$÷$561)</f>
      </c>
      <c r="GB561">
        <f>IF(ISBLANK('Data Entry'!$ø$561), "", 'Data Entry'!$ø$561)</f>
      </c>
      <c r="GC561">
        <f>IF(ISBLANK('Data Entry'!$ù$561), "", 'Data Entry'!$ù$561)</f>
      </c>
      <c r="GD561">
        <f>IF(ISBLANK('Data Entry'!$ú$561), "", 'Data Entry'!$ú$561)</f>
      </c>
      <c r="GE561">
        <f>IF(ISBLANK('Data Entry'!$û$561), "", 'Data Entry'!$û$561)</f>
      </c>
      <c r="GF561">
        <f>IF(ISBLANK('Data Entry'!$ü$561), "", 'Data Entry'!$ü$561)</f>
      </c>
      <c r="GG561">
        <f>IF(ISBLANK('Data Entry'!$ý$561), "", 'Data Entry'!$ý$561)</f>
      </c>
      <c r="GH561">
        <f>IF(ISBLANK('Data Entry'!$þ$561), "", 'Data Entry'!$þ$561)</f>
      </c>
      <c r="GI561">
        <f>IF(ISBLANK('Data Entry'!$ÿ$561), "", 'Data Entry'!$ÿ$561)</f>
      </c>
      <c r="GJ561">
        <f>IF(ISBLANK('Data Entry'!$Ā$561), "", 'Data Entry'!$Ā$561)</f>
      </c>
      <c r="GK561">
        <f>IF(ISBLANK('Data Entry'!$ā$561), "", 'Data Entry'!$ā$561)</f>
      </c>
      <c r="GL561">
        <f>IF(ISBLANK('Data Entry'!$Ă$561), "", 'Data Entry'!$Ă$561)</f>
      </c>
      <c r="GM561">
        <f>IF(ISBLANK('Data Entry'!$ă$561), "", 'Data Entry'!$ă$561)</f>
      </c>
      <c r="GN561">
        <f>IF(ISBLANK('Data Entry'!$Ą$561), "", 'Data Entry'!$Ą$561)</f>
      </c>
      <c r="GO561">
        <f>IF(ISBLANK('Data Entry'!$ą$561), "", 'Data Entry'!$ą$561)</f>
      </c>
      <c r="GP561">
        <f>IF(ISBLANK('Data Entry'!$Ć$561), "", 'Data Entry'!$Ć$561)</f>
      </c>
      <c r="GQ561">
        <f>IF(ISBLANK('Data Entry'!$ć$561), "", 'Data Entry'!$ć$561)</f>
      </c>
      <c r="GR561">
        <f>IF(ISBLANK('Data Entry'!$Ĉ$561), "", 'Data Entry'!$Ĉ$561)</f>
      </c>
      <c r="GS561">
        <f>IF(ISBLANK('Data Entry'!$ĉ$561), "", 'Data Entry'!$ĉ$561)</f>
      </c>
      <c r="GT561">
        <f>IF(ISBLANK('Data Entry'!$Ċ$561), "", 'Data Entry'!$Ċ$561)</f>
      </c>
      <c r="GU561">
        <f>IF(ISBLANK('Data Entry'!$ċ$561), "", 'Data Entry'!$ċ$561)</f>
      </c>
      <c r="GV561">
        <f>IF(ISBLANK('Data Entry'!$Č$561), "", 'Data Entry'!$Č$561)</f>
      </c>
      <c r="GW561">
        <f>IF(ISBLANK('Data Entry'!$č$561), "", 'Data Entry'!$č$561)</f>
      </c>
      <c r="GX561">
        <f>IF(ISBLANK('Data Entry'!$Ď$561), "", 'Data Entry'!$Ď$561)</f>
      </c>
      <c r="GY561">
        <f>IF(ISBLANK('Data Entry'!$ď$561), "", 'Data Entry'!$ď$561)</f>
      </c>
      <c r="GZ561">
        <f>IF(ISBLANK('Data Entry'!$Đ$561), "", 'Data Entry'!$Đ$561)</f>
      </c>
      <c r="HA561">
        <f>IF(ISBLANK('Data Entry'!$đ$561), "", 'Data Entry'!$đ$561)</f>
      </c>
      <c r="HB561">
        <f>IF(ISBLANK('Data Entry'!$Ē$561), "", 'Data Entry'!$Ē$561)</f>
      </c>
      <c r="HC561">
        <f>IF(ISBLANK('Data Entry'!$ē$561), "", 'Data Entry'!$ē$561)</f>
      </c>
      <c r="HD561">
        <f>IF(ISBLANK('Data Entry'!$Ĕ$561), "", 'Data Entry'!$Ĕ$561)</f>
      </c>
      <c r="HE561">
        <f>IF(ISBLANK('Data Entry'!$ĕ$561), "", 'Data Entry'!$ĕ$561)</f>
      </c>
      <c r="HF561">
        <f>IF(ISBLANK('Data Entry'!$Ė$561), "", 'Data Entry'!$Ė$561)</f>
      </c>
      <c r="HG561">
        <f>IF(ISBLANK('Data Entry'!$ė$561), "", 'Data Entry'!$ė$561)</f>
      </c>
      <c r="HH561">
        <f>IF(ISBLANK('Data Entry'!$Ę$561), "", 'Data Entry'!$Ę$561)</f>
      </c>
      <c r="HI561">
        <f>IF(ISBLANK('Data Entry'!$ę$561), "", 'Data Entry'!$ę$561)</f>
      </c>
      <c r="HJ561">
        <f>IF(ISBLANK('Data Entry'!$Ě$561), "", 'Data Entry'!$Ě$561)</f>
      </c>
      <c r="HK561">
        <f>IF(ISBLANK('Data Entry'!$ě$561), "", 'Data Entry'!$ě$561)</f>
      </c>
      <c r="HL561">
        <f>IF(ISBLANK('Data Entry'!$Ĝ$561), "", 'Data Entry'!$Ĝ$561)</f>
      </c>
      <c r="HM561">
        <f>IF(ISBLANK('Data Entry'!$ĝ$561), "", 'Data Entry'!$ĝ$561)</f>
      </c>
      <c r="HN561">
        <f>IF(ISBLANK('Data Entry'!$Ğ$561), "", 'Data Entry'!$Ğ$561)</f>
      </c>
      <c r="HO561">
        <f>IF(ISBLANK('Data Entry'!$ğ$561), "", 'Data Entry'!$ğ$561)</f>
      </c>
      <c r="HP561">
        <f>IF(ISBLANK('Data Entry'!$Ġ$561), "", 'Data Entry'!$Ġ$561)</f>
      </c>
      <c r="HQ561">
        <f>IF(ISBLANK('Data Entry'!$ġ$561), "", 'Data Entry'!$ġ$561)</f>
      </c>
      <c r="HR561">
        <f>IF(ISBLANK('Data Entry'!$Ģ$561), "", 'Data Entry'!$Ģ$561)</f>
      </c>
      <c r="HS561">
        <f>IF(ISBLANK('Data Entry'!$ģ$561), "", 'Data Entry'!$ģ$561)</f>
      </c>
      <c r="HT561">
        <f>IF(ISBLANK('Data Entry'!$Ĥ$561), "", 'Data Entry'!$Ĥ$561)</f>
      </c>
      <c r="HU561">
        <f>IF(ISBLANK('Data Entry'!$ĥ$561), "", 'Data Entry'!$ĥ$561)</f>
      </c>
      <c r="HV561">
        <f>IF(ISBLANK('Data Entry'!$Ħ$561), "", 'Data Entry'!$Ħ$561)</f>
      </c>
      <c r="HW561">
        <f>IF(ISBLANK('Data Entry'!$ħ$561), "", 'Data Entry'!$ħ$561)</f>
      </c>
      <c r="HX561">
        <f>IF(ISBLANK('Data Entry'!$Ĩ$561), "", 'Data Entry'!$Ĩ$561)</f>
      </c>
      <c r="HY561">
        <f>IF(ISBLANK('Data Entry'!$ĩ$561), "", 'Data Entry'!$ĩ$561)</f>
      </c>
      <c r="HZ561">
        <f>IF(ISBLANK('Data Entry'!$Ī$561), "", 'Data Entry'!$Ī$561)</f>
      </c>
      <c r="IA561">
        <f>IF(ISBLANK('Data Entry'!$ī$561), "", 'Data Entry'!$ī$561)</f>
      </c>
      <c r="IB561">
        <f>IF(ISBLANK('Data Entry'!$Ĭ$561), "", 'Data Entry'!$Ĭ$561)</f>
      </c>
      <c r="IC561">
        <f>IF(ISBLANK('Data Entry'!$ĭ$561), "", 'Data Entry'!$ĭ$561)</f>
      </c>
      <c r="ID561">
        <f>IF(ISBLANK('Data Entry'!$Į$561), "", 'Data Entry'!$Į$561)</f>
      </c>
      <c r="IE561">
        <f>IF(ISBLANK('Data Entry'!$į$561), "", 'Data Entry'!$į$561)</f>
      </c>
      <c r="IF561">
        <f>IF(ISBLANK('Data Entry'!$İ$561), "", 'Data Entry'!$İ$561)</f>
      </c>
      <c r="IG561">
        <f>IF(ISBLANK('Data Entry'!$ı$561), "", 'Data Entry'!$ı$561)</f>
      </c>
      <c r="IH561">
        <f>IF(ISBLANK('Data Entry'!$Ĳ$561), "", 'Data Entry'!$Ĳ$561)</f>
      </c>
      <c r="II561">
        <f>IF(ISBLANK('Data Entry'!$ĳ$561), "", 'Data Entry'!$ĳ$561)</f>
      </c>
      <c r="IJ561">
        <f>IF(ISBLANK('Data Entry'!$Ĵ$561), "", 'Data Entry'!$Ĵ$561)</f>
      </c>
      <c r="IK561">
        <f>IF(ISBLANK('Data Entry'!$ĵ$561), "", 'Data Entry'!$ĵ$561)</f>
      </c>
      <c r="IL561">
        <f>IF(ISBLANK('Data Entry'!$Ķ$561), "", 'Data Entry'!$Ķ$561)</f>
      </c>
      <c r="IM561">
        <f>IF(ISBLANK('Data Entry'!$ķ$561), "", 'Data Entry'!$ķ$561)</f>
      </c>
      <c r="IN561">
        <f>IF(ISBLANK('Data Entry'!$ĸ$561), "", 'Data Entry'!$ĸ$561)</f>
      </c>
      <c r="IO561">
        <f>IF(ISBLANK('Data Entry'!$Ĺ$561), "", 'Data Entry'!$Ĺ$561)</f>
      </c>
      <c r="IP561">
        <f>IF(ISBLANK('Data Entry'!$ĺ$561), "", 'Data Entry'!$ĺ$561)</f>
      </c>
      <c r="IQ561">
        <f>IF(ISBLANK('Data Entry'!$Ļ$561), "", 'Data Entry'!$Ļ$561)</f>
      </c>
      <c r="IR561">
        <f>IF(ISBLANK('Data Entry'!$ļ$561), "", 'Data Entry'!$ļ$561)</f>
      </c>
      <c r="IS561">
        <f>IF(ISBLANK('Data Entry'!$Ľ$561), "", 'Data Entry'!$Ľ$561)</f>
      </c>
      <c r="IT561">
        <f>IF(ISBLANK('Data Entry'!$ľ$561), "", 'Data Entry'!$ľ$561)</f>
      </c>
    </row>
    <row r="562" spans="1:254" x14ac:dyDescent="0.25">
      <c r="A562">
        <f>IF(ISBLANK('Data Entry'!$A$562), "", 'Data Entry'!$A$562)</f>
      </c>
      <c r="B562">
        <f>IF(ISBLANK('Data Entry'!$B$562), "", 'Data Entry'!$B$562)</f>
      </c>
      <c r="C562">
        <f>IF(ISBLANK('Data Entry'!$C$562), "", 'Data Entry'!$C$562)</f>
      </c>
      <c r="D562">
        <f>IF(ISBLANK('Data Entry'!$D$562), "", 'Data Entry'!$D$562)</f>
      </c>
      <c r="E562">
        <f>IF(ISBLANK('Data Entry'!$E$562), "", 'Data Entry'!$E$562)</f>
      </c>
      <c r="F562">
        <f>IF(ISBLANK('Data Entry'!$F$562), "", 'Data Entry'!$F$562)</f>
      </c>
      <c r="G562">
        <f>IF(ISBLANK('Data Entry'!$G$562), "", 'Data Entry'!$G$562)</f>
      </c>
      <c r="H562">
        <f>IF(ISBLANK('Data Entry'!$H$562), "", 'Data Entry'!$H$562)</f>
      </c>
      <c r="I562">
        <f>IF(ISBLANK('Data Entry'!$I$562), "", 'Data Entry'!$I$562)</f>
      </c>
      <c r="J562">
        <f>IF(ISBLANK('Data Entry'!$J$562), "", 'Data Entry'!$J$562)</f>
      </c>
      <c r="K562">
        <f>IF(ISBLANK('Data Entry'!$K$562), "", 'Data Entry'!$K$562)</f>
      </c>
      <c r="L562">
        <f>IF(ISBLANK('Data Entry'!$L$562), "", 'Data Entry'!$L$562)</f>
      </c>
      <c r="M562">
        <f>IF(ISBLANK('Data Entry'!$M$562), "", 'Data Entry'!$M$562)</f>
      </c>
      <c r="N562">
        <f>IF(ISBLANK('Data Entry'!$N$562), "", 'Data Entry'!$N$562)</f>
      </c>
      <c r="O562">
        <f>IF(ISBLANK('Data Entry'!$O$562), "", 'Data Entry'!$O$562)</f>
      </c>
      <c r="P562">
        <f>IF(ISBLANK('Data Entry'!$P$562), "", 'Data Entry'!$P$562)</f>
      </c>
      <c r="Q562">
        <f>IF(ISBLANK('Data Entry'!$Q$562), "", 'Data Entry'!$Q$562)</f>
      </c>
      <c r="R562">
        <f>IF(ISBLANK('Data Entry'!$R$562), "", 'Data Entry'!$R$562)</f>
      </c>
      <c r="S562">
        <f>IF(ISBLANK('Data Entry'!$S$562), "", 'Data Entry'!$S$562)</f>
      </c>
      <c r="T562">
        <f>IF(ISBLANK('Data Entry'!$T$562), "", 'Data Entry'!$T$562)</f>
      </c>
      <c r="U562">
        <f>IF(ISBLANK('Data Entry'!$U$562), "", 'Data Entry'!$U$562)</f>
      </c>
      <c r="V562">
        <f>IF(ISBLANK('Data Entry'!$V$562), "", 'Data Entry'!$V$562)</f>
      </c>
      <c r="W562">
        <f>IF(ISBLANK('Data Entry'!$W$562), "", 'Data Entry'!$W$562)</f>
      </c>
      <c r="X562">
        <f>IF(ISBLANK('Data Entry'!$X$562), "", 'Data Entry'!$X$562)</f>
      </c>
      <c r="Y562">
        <f>IF(ISBLANK('Data Entry'!$Y$562), "", 'Data Entry'!$Y$562)</f>
      </c>
      <c r="Z562">
        <f>IF(ISBLANK('Data Entry'!$Z$562), "", 'Data Entry'!$Z$562)</f>
      </c>
      <c r="AA562">
        <f>IF(ISBLANK('Data Entry'!$[$562), "", 'Data Entry'!$[$562)</f>
      </c>
      <c r="AB562">
        <f>IF(ISBLANK('Data Entry'!$\$562), "", 'Data Entry'!$\$562)</f>
      </c>
      <c r="AC562">
        <f>IF(ISBLANK('Data Entry'!$]$562), "", 'Data Entry'!$]$562)</f>
      </c>
      <c r="AD562">
        <f>IF(ISBLANK('Data Entry'!$^$562), "", 'Data Entry'!$^$562)</f>
      </c>
      <c r="AE562">
        <f>IF(ISBLANK('Data Entry'!$_$562), "", 'Data Entry'!$_$562)</f>
      </c>
      <c r="AF562">
        <f>IF(ISBLANK('Data Entry'!$`$562), "", 'Data Entry'!$`$562)</f>
      </c>
      <c r="AG562">
        <f>IF(ISBLANK('Data Entry'!$a$562), "", 'Data Entry'!$a$562)</f>
      </c>
      <c r="AH562">
        <f>IF(ISBLANK('Data Entry'!$b$562), "", 'Data Entry'!$b$562)</f>
      </c>
      <c r="AI562">
        <f>IF(ISBLANK('Data Entry'!$c$562), "", 'Data Entry'!$c$562)</f>
      </c>
      <c r="AJ562">
        <f>IF(ISBLANK('Data Entry'!$d$562), "", 'Data Entry'!$d$562)</f>
      </c>
      <c r="AK562">
        <f>IF(ISBLANK('Data Entry'!$e$562), "", 'Data Entry'!$e$562)</f>
      </c>
      <c r="AL562">
        <f>IF(ISBLANK('Data Entry'!$f$562), "", 'Data Entry'!$f$562)</f>
      </c>
      <c r="AM562">
        <f>IF(ISBLANK('Data Entry'!$g$562), "", 'Data Entry'!$g$562)</f>
      </c>
      <c r="AN562">
        <f>IF(ISBLANK('Data Entry'!$h$562), "", 'Data Entry'!$h$562)</f>
      </c>
      <c r="AO562">
        <f>IF(ISBLANK('Data Entry'!$i$562), "", 'Data Entry'!$i$562)</f>
      </c>
      <c r="AP562">
        <f>IF(ISBLANK('Data Entry'!$j$562), "", 'Data Entry'!$j$562)</f>
      </c>
      <c r="AQ562">
        <f>IF(ISBLANK('Data Entry'!$k$562), "", 'Data Entry'!$k$562)</f>
      </c>
      <c r="AR562">
        <f>IF(ISBLANK('Data Entry'!$l$562), "", 'Data Entry'!$l$562)</f>
      </c>
      <c r="AS562">
        <f>IF(ISBLANK('Data Entry'!$m$562), "", 'Data Entry'!$m$562)</f>
      </c>
      <c r="AT562">
        <f>IF(ISBLANK('Data Entry'!$n$562), "", 'Data Entry'!$n$562)</f>
      </c>
      <c r="AU562">
        <f>IF(ISBLANK('Data Entry'!$o$562), "", 'Data Entry'!$o$562)</f>
      </c>
      <c r="AV562">
        <f>IF(ISBLANK('Data Entry'!$p$562), "", 'Data Entry'!$p$562)</f>
      </c>
      <c r="AW562">
        <f>IF(ISBLANK('Data Entry'!$q$562), "", 'Data Entry'!$q$562)</f>
      </c>
      <c r="AX562">
        <f>IF(ISBLANK('Data Entry'!$r$562), "", 'Data Entry'!$r$562)</f>
      </c>
      <c r="AY562">
        <f>IF(ISBLANK('Data Entry'!$s$562), "", 'Data Entry'!$s$562)</f>
      </c>
      <c r="AZ562">
        <f>IF(ISBLANK('Data Entry'!$t$562), "", 'Data Entry'!$t$562)</f>
      </c>
      <c r="BA562">
        <f>IF(ISBLANK('Data Entry'!$u$562), "", 'Data Entry'!$u$562)</f>
      </c>
      <c r="BB562">
        <f>IF(ISBLANK('Data Entry'!$v$562), "", 'Data Entry'!$v$562)</f>
      </c>
      <c r="BC562">
        <f>IF(ISBLANK('Data Entry'!$w$562), "", 'Data Entry'!$w$562)</f>
      </c>
      <c r="BD562">
        <f>IF(ISBLANK('Data Entry'!$x$562), "", 'Data Entry'!$x$562)</f>
      </c>
      <c r="BE562">
        <f>IF(ISBLANK('Data Entry'!$y$562), "", 'Data Entry'!$y$562)</f>
      </c>
      <c r="BF562">
        <f>IF(ISBLANK('Data Entry'!$z$562), "", 'Data Entry'!$z$562)</f>
      </c>
      <c r="BG562">
        <f>IF(ISBLANK('Data Entry'!${$562), "", 'Data Entry'!${$562)</f>
      </c>
      <c r="BH562">
        <f>IF(ISBLANK('Data Entry'!$|$562), "", 'Data Entry'!$|$562)</f>
      </c>
      <c r="BI562">
        <f>IF(ISBLANK('Data Entry'!$}$562), "", 'Data Entry'!$}$562)</f>
      </c>
      <c r="BJ562">
        <f>IF(ISBLANK('Data Entry'!$~$562), "", 'Data Entry'!$~$562)</f>
      </c>
      <c r="BK562">
        <f>IF(ISBLANK('Data Entry'!$$562), "", 'Data Entry'!$$562)</f>
      </c>
      <c r="BL562">
        <f>IF(ISBLANK('Data Entry'!$$562), "", 'Data Entry'!$$562)</f>
      </c>
      <c r="BM562">
        <f>IF(ISBLANK('Data Entry'!$$562), "", 'Data Entry'!$$562)</f>
      </c>
      <c r="BN562">
        <f>IF(ISBLANK('Data Entry'!$$562), "", 'Data Entry'!$$562)</f>
      </c>
      <c r="BO562">
        <f>IF(ISBLANK('Data Entry'!$$562), "", 'Data Entry'!$$562)</f>
      </c>
      <c r="BP562">
        <f>IF(ISBLANK('Data Entry'!$$562), "", 'Data Entry'!$$562)</f>
      </c>
      <c r="BQ562">
        <f>IF(ISBLANK('Data Entry'!$$562), "", 'Data Entry'!$$562)</f>
      </c>
      <c r="BR562">
        <f>IF(ISBLANK('Data Entry'!$$562), "", 'Data Entry'!$$562)</f>
      </c>
      <c r="BS562">
        <f>IF(ISBLANK('Data Entry'!$$562), "", 'Data Entry'!$$562)</f>
      </c>
      <c r="BT562">
        <f>IF(ISBLANK('Data Entry'!$$562), "", 'Data Entry'!$$562)</f>
      </c>
      <c r="BU562">
        <f>IF(ISBLANK('Data Entry'!$$562), "", 'Data Entry'!$$562)</f>
      </c>
      <c r="BV562">
        <f>IF(ISBLANK('Data Entry'!$$562), "", 'Data Entry'!$$562)</f>
      </c>
      <c r="BW562">
        <f>IF(ISBLANK('Data Entry'!$$562), "", 'Data Entry'!$$562)</f>
      </c>
      <c r="BX562">
        <f>IF(ISBLANK('Data Entry'!$$562), "", 'Data Entry'!$$562)</f>
      </c>
      <c r="BY562">
        <f>IF(ISBLANK('Data Entry'!$$562), "", 'Data Entry'!$$562)</f>
      </c>
      <c r="BZ562">
        <f>IF(ISBLANK('Data Entry'!$$562), "", 'Data Entry'!$$562)</f>
      </c>
      <c r="CA562">
        <f>IF(ISBLANK('Data Entry'!$$562), "", 'Data Entry'!$$562)</f>
      </c>
      <c r="CB562">
        <f>IF(ISBLANK('Data Entry'!$$562), "", 'Data Entry'!$$562)</f>
      </c>
      <c r="CC562">
        <f>IF(ISBLANK('Data Entry'!$$562), "", 'Data Entry'!$$562)</f>
      </c>
      <c r="CD562">
        <f>IF(ISBLANK('Data Entry'!$$562), "", 'Data Entry'!$$562)</f>
      </c>
      <c r="CE562">
        <f>IF(ISBLANK('Data Entry'!$$562), "", 'Data Entry'!$$562)</f>
      </c>
      <c r="CF562">
        <f>IF(ISBLANK('Data Entry'!$$562), "", 'Data Entry'!$$562)</f>
      </c>
      <c r="CG562">
        <f>IF(ISBLANK('Data Entry'!$$562), "", 'Data Entry'!$$562)</f>
      </c>
      <c r="CH562">
        <f>IF(ISBLANK('Data Entry'!$$562), "", 'Data Entry'!$$562)</f>
      </c>
      <c r="CI562">
        <f>IF(ISBLANK('Data Entry'!$$562), "", 'Data Entry'!$$562)</f>
      </c>
      <c r="CJ562">
        <f>IF(ISBLANK('Data Entry'!$$562), "", 'Data Entry'!$$562)</f>
      </c>
      <c r="CK562">
        <f>IF(ISBLANK('Data Entry'!$$562), "", 'Data Entry'!$$562)</f>
      </c>
      <c r="CL562">
        <f>IF(ISBLANK('Data Entry'!$$562), "", 'Data Entry'!$$562)</f>
      </c>
      <c r="CM562">
        <f>IF(ISBLANK('Data Entry'!$$562), "", 'Data Entry'!$$562)</f>
      </c>
      <c r="CN562">
        <f>IF(ISBLANK('Data Entry'!$$562), "", 'Data Entry'!$$562)</f>
      </c>
      <c r="CO562">
        <f>IF(ISBLANK('Data Entry'!$$562), "", 'Data Entry'!$$562)</f>
      </c>
      <c r="CP562">
        <f>IF(ISBLANK('Data Entry'!$$562), "", 'Data Entry'!$$562)</f>
      </c>
      <c r="CQ562">
        <f>IF(ISBLANK('Data Entry'!$$562), "", 'Data Entry'!$$562)</f>
      </c>
      <c r="CR562">
        <f>IF(ISBLANK('Data Entry'!$ $562), "", 'Data Entry'!$ $562)</f>
      </c>
      <c r="CS562">
        <f>IF(ISBLANK('Data Entry'!$¡$562), "", 'Data Entry'!$¡$562)</f>
      </c>
      <c r="CT562">
        <f>IF(ISBLANK('Data Entry'!$¢$562), "", 'Data Entry'!$¢$562)</f>
      </c>
      <c r="CU562">
        <f>IF(ISBLANK('Data Entry'!$£$562), "", 'Data Entry'!$£$562)</f>
      </c>
      <c r="CV562">
        <f>IF(ISBLANK('Data Entry'!$¤$562), "", 'Data Entry'!$¤$562)</f>
      </c>
      <c r="CW562">
        <f>IF(ISBLANK('Data Entry'!$¥$562), "", 'Data Entry'!$¥$562)</f>
      </c>
      <c r="CX562">
        <f>IF(ISBLANK('Data Entry'!$¦$562), "", 'Data Entry'!$¦$562)</f>
      </c>
      <c r="CY562">
        <f>IF(ISBLANK('Data Entry'!$§$562), "", 'Data Entry'!$§$562)</f>
      </c>
      <c r="CZ562">
        <f>IF(ISBLANK('Data Entry'!$¨$562), "", 'Data Entry'!$¨$562)</f>
      </c>
      <c r="DA562">
        <f>IF(ISBLANK('Data Entry'!$©$562), "", 'Data Entry'!$©$562)</f>
      </c>
      <c r="DB562">
        <f>IF(ISBLANK('Data Entry'!$ª$562), "", 'Data Entry'!$ª$562)</f>
      </c>
      <c r="DC562">
        <f>IF(ISBLANK('Data Entry'!$«$562), "", 'Data Entry'!$«$562)</f>
      </c>
      <c r="DD562">
        <f>IF(ISBLANK('Data Entry'!$¬$562), "", 'Data Entry'!$¬$562)</f>
      </c>
      <c r="DE562">
        <f>IF(ISBLANK('Data Entry'!$­$562), "", 'Data Entry'!$­$562)</f>
      </c>
      <c r="DF562">
        <f>IF(ISBLANK('Data Entry'!$®$562), "", 'Data Entry'!$®$562)</f>
      </c>
      <c r="DG562">
        <f>IF(ISBLANK('Data Entry'!$¯$562), "", 'Data Entry'!$¯$562)</f>
      </c>
      <c r="DH562">
        <f>IF(ISBLANK('Data Entry'!$°$562), "", 'Data Entry'!$°$562)</f>
      </c>
      <c r="DI562">
        <f>IF(ISBLANK('Data Entry'!$±$562), "", 'Data Entry'!$±$562)</f>
      </c>
      <c r="DJ562">
        <f>IF(ISBLANK('Data Entry'!$²$562), "", 'Data Entry'!$²$562)</f>
      </c>
      <c r="DK562">
        <f>IF(ISBLANK('Data Entry'!$³$562), "", 'Data Entry'!$³$562)</f>
      </c>
      <c r="DL562">
        <f>IF(ISBLANK('Data Entry'!$´$562), "", 'Data Entry'!$´$562)</f>
      </c>
      <c r="DM562">
        <f>IF(ISBLANK('Data Entry'!$µ$562), "", 'Data Entry'!$µ$562)</f>
      </c>
      <c r="DN562">
        <f>IF(ISBLANK('Data Entry'!$¶$562), "", 'Data Entry'!$¶$562)</f>
      </c>
      <c r="DO562">
        <f>IF(ISBLANK('Data Entry'!$·$562), "", 'Data Entry'!$·$562)</f>
      </c>
      <c r="DP562">
        <f>IF(ISBLANK('Data Entry'!$¸$562), "", 'Data Entry'!$¸$562)</f>
      </c>
      <c r="DQ562">
        <f>IF(ISBLANK('Data Entry'!$¹$562), "", 'Data Entry'!$¹$562)</f>
      </c>
      <c r="DR562">
        <f>IF(ISBLANK('Data Entry'!$º$562), "", 'Data Entry'!$º$562)</f>
      </c>
      <c r="DS562">
        <f>IF(ISBLANK('Data Entry'!$»$562), "", 'Data Entry'!$»$562)</f>
      </c>
      <c r="DT562">
        <f>IF(ISBLANK('Data Entry'!$¼$562), "", 'Data Entry'!$¼$562)</f>
      </c>
      <c r="DU562">
        <f>IF(ISBLANK('Data Entry'!$½$562), "", 'Data Entry'!$½$562)</f>
      </c>
      <c r="DV562">
        <f>IF(ISBLANK('Data Entry'!$¾$562), "", 'Data Entry'!$¾$562)</f>
      </c>
      <c r="DW562">
        <f>IF(ISBLANK('Data Entry'!$¿$562), "", 'Data Entry'!$¿$562)</f>
      </c>
      <c r="DX562">
        <f>IF(ISBLANK('Data Entry'!$À$562), "", 'Data Entry'!$À$562)</f>
      </c>
      <c r="DY562">
        <f>IF(ISBLANK('Data Entry'!$Á$562), "", 'Data Entry'!$Á$562)</f>
      </c>
      <c r="DZ562">
        <f>IF(ISBLANK('Data Entry'!$Â$562), "", 'Data Entry'!$Â$562)</f>
      </c>
      <c r="EA562">
        <f>IF(ISBLANK('Data Entry'!$Ã$562), "", 'Data Entry'!$Ã$562)</f>
      </c>
      <c r="EB562">
        <f>IF(ISBLANK('Data Entry'!$Ä$562), "", 'Data Entry'!$Ä$562)</f>
      </c>
      <c r="EC562">
        <f>IF(ISBLANK('Data Entry'!$Å$562), "", 'Data Entry'!$Å$562)</f>
      </c>
      <c r="ED562">
        <f>IF(ISBLANK('Data Entry'!$Æ$562), "", 'Data Entry'!$Æ$562)</f>
      </c>
      <c r="EE562">
        <f>IF(ISBLANK('Data Entry'!$Ç$562), "", 'Data Entry'!$Ç$562)</f>
      </c>
      <c r="EF562">
        <f>IF(ISBLANK('Data Entry'!$È$562), "", 'Data Entry'!$È$562)</f>
      </c>
      <c r="EG562">
        <f>IF(ISBLANK('Data Entry'!$É$562), "", 'Data Entry'!$É$562)</f>
      </c>
      <c r="EH562">
        <f>IF(ISBLANK('Data Entry'!$Ê$562), "", 'Data Entry'!$Ê$562)</f>
      </c>
      <c r="EI562">
        <f>IF(ISBLANK('Data Entry'!$Ë$562), "", 'Data Entry'!$Ë$562)</f>
      </c>
      <c r="EJ562">
        <f>IF(ISBLANK('Data Entry'!$Ì$562), "", 'Data Entry'!$Ì$562)</f>
      </c>
      <c r="EK562">
        <f>IF(ISBLANK('Data Entry'!$Í$562), "", 'Data Entry'!$Í$562)</f>
      </c>
      <c r="EL562">
        <f>IF(ISBLANK('Data Entry'!$Î$562), "", 'Data Entry'!$Î$562)</f>
      </c>
      <c r="EM562">
        <f>IF(ISBLANK('Data Entry'!$Ï$562), "", 'Data Entry'!$Ï$562)</f>
      </c>
      <c r="EN562">
        <f>IF(ISBLANK('Data Entry'!$Ð$562), "", 'Data Entry'!$Ð$562)</f>
      </c>
      <c r="EO562">
        <f>IF(ISBLANK('Data Entry'!$Ñ$562), "", 'Data Entry'!$Ñ$562)</f>
      </c>
      <c r="EP562">
        <f>IF(ISBLANK('Data Entry'!$Ò$562), "", 'Data Entry'!$Ò$562)</f>
      </c>
      <c r="EQ562">
        <f>IF(ISBLANK('Data Entry'!$Ó$562), "", 'Data Entry'!$Ó$562)</f>
      </c>
      <c r="ER562">
        <f>IF(ISBLANK('Data Entry'!$Ô$562), "", 'Data Entry'!$Ô$562)</f>
      </c>
      <c r="ES562">
        <f>IF(ISBLANK('Data Entry'!$Õ$562), "", 'Data Entry'!$Õ$562)</f>
      </c>
      <c r="ET562">
        <f>IF(ISBLANK('Data Entry'!$Ö$562), "", 'Data Entry'!$Ö$562)</f>
      </c>
      <c r="EU562">
        <f>IF(ISBLANK('Data Entry'!$×$562), "", 'Data Entry'!$×$562)</f>
      </c>
      <c r="EV562">
        <f>IF(ISBLANK('Data Entry'!$Ø$562), "", 'Data Entry'!$Ø$562)</f>
      </c>
      <c r="EW562">
        <f>IF(ISBLANK('Data Entry'!$Ù$562), "", 'Data Entry'!$Ù$562)</f>
      </c>
      <c r="EX562">
        <f>IF(ISBLANK('Data Entry'!$Ú$562), "", 'Data Entry'!$Ú$562)</f>
      </c>
      <c r="EY562">
        <f>IF(ISBLANK('Data Entry'!$Û$562), "", 'Data Entry'!$Û$562)</f>
      </c>
      <c r="EZ562">
        <f>IF(ISBLANK('Data Entry'!$Ü$562), "", 'Data Entry'!$Ü$562)</f>
      </c>
      <c r="FA562">
        <f>IF(ISBLANK('Data Entry'!$Ý$562), "", 'Data Entry'!$Ý$562)</f>
      </c>
      <c r="FB562">
        <f>IF(ISBLANK('Data Entry'!$Þ$562), "", 'Data Entry'!$Þ$562)</f>
      </c>
      <c r="FC562">
        <f>IF(ISBLANK('Data Entry'!$ß$562), "", 'Data Entry'!$ß$562)</f>
      </c>
      <c r="FD562">
        <f>IF(ISBLANK('Data Entry'!$à$562), "", 'Data Entry'!$à$562)</f>
      </c>
      <c r="FE562">
        <f>IF(ISBLANK('Data Entry'!$á$562), "", 'Data Entry'!$á$562)</f>
      </c>
      <c r="FF562">
        <f>IF(ISBLANK('Data Entry'!$â$562), "", 'Data Entry'!$â$562)</f>
      </c>
      <c r="FG562">
        <f>IF(ISBLANK('Data Entry'!$ã$562), "", 'Data Entry'!$ã$562)</f>
      </c>
      <c r="FH562">
        <f>IF(ISBLANK('Data Entry'!$ä$562), "", 'Data Entry'!$ä$562)</f>
      </c>
      <c r="FI562">
        <f>IF(ISBLANK('Data Entry'!$å$562), "", 'Data Entry'!$å$562)</f>
      </c>
      <c r="FJ562">
        <f>IF(ISBLANK('Data Entry'!$æ$562), "", 'Data Entry'!$æ$562)</f>
      </c>
      <c r="FK562">
        <f>IF(ISBLANK('Data Entry'!$ç$562), "", 'Data Entry'!$ç$562)</f>
      </c>
      <c r="FL562">
        <f>IF(ISBLANK('Data Entry'!$è$562), "", 'Data Entry'!$è$562)</f>
      </c>
      <c r="FM562">
        <f>IF(ISBLANK('Data Entry'!$é$562), "", 'Data Entry'!$é$562)</f>
      </c>
      <c r="FN562">
        <f>IF(ISBLANK('Data Entry'!$ê$562), "", 'Data Entry'!$ê$562)</f>
      </c>
      <c r="FO562">
        <f>IF(ISBLANK('Data Entry'!$ë$562), "", 'Data Entry'!$ë$562)</f>
      </c>
      <c r="FP562">
        <f>IF(ISBLANK('Data Entry'!$ì$562), "", 'Data Entry'!$ì$562)</f>
      </c>
      <c r="FQ562">
        <f>IF(ISBLANK('Data Entry'!$í$562), "", 'Data Entry'!$í$562)</f>
      </c>
      <c r="FR562">
        <f>IF(ISBLANK('Data Entry'!$î$562), "", 'Data Entry'!$î$562)</f>
      </c>
      <c r="FS562">
        <f>IF(ISBLANK('Data Entry'!$ï$562), "", 'Data Entry'!$ï$562)</f>
      </c>
      <c r="FT562">
        <f>IF(ISBLANK('Data Entry'!$ð$562), "", 'Data Entry'!$ð$562)</f>
      </c>
      <c r="FU562">
        <f>IF(ISBLANK('Data Entry'!$ñ$562), "", 'Data Entry'!$ñ$562)</f>
      </c>
      <c r="FV562">
        <f>IF(ISBLANK('Data Entry'!$ò$562), "", 'Data Entry'!$ò$562)</f>
      </c>
      <c r="FW562">
        <f>IF(ISBLANK('Data Entry'!$ó$562), "", 'Data Entry'!$ó$562)</f>
      </c>
      <c r="FX562">
        <f>IF(ISBLANK('Data Entry'!$ô$562), "", 'Data Entry'!$ô$562)</f>
      </c>
      <c r="FY562">
        <f>IF(ISBLANK('Data Entry'!$õ$562), "", 'Data Entry'!$õ$562)</f>
      </c>
      <c r="FZ562">
        <f>IF(ISBLANK('Data Entry'!$ö$562), "", 'Data Entry'!$ö$562)</f>
      </c>
      <c r="GA562">
        <f>IF(ISBLANK('Data Entry'!$÷$562), "", 'Data Entry'!$÷$562)</f>
      </c>
      <c r="GB562">
        <f>IF(ISBLANK('Data Entry'!$ø$562), "", 'Data Entry'!$ø$562)</f>
      </c>
      <c r="GC562">
        <f>IF(ISBLANK('Data Entry'!$ù$562), "", 'Data Entry'!$ù$562)</f>
      </c>
      <c r="GD562">
        <f>IF(ISBLANK('Data Entry'!$ú$562), "", 'Data Entry'!$ú$562)</f>
      </c>
      <c r="GE562">
        <f>IF(ISBLANK('Data Entry'!$û$562), "", 'Data Entry'!$û$562)</f>
      </c>
      <c r="GF562">
        <f>IF(ISBLANK('Data Entry'!$ü$562), "", 'Data Entry'!$ü$562)</f>
      </c>
      <c r="GG562">
        <f>IF(ISBLANK('Data Entry'!$ý$562), "", 'Data Entry'!$ý$562)</f>
      </c>
      <c r="GH562">
        <f>IF(ISBLANK('Data Entry'!$þ$562), "", 'Data Entry'!$þ$562)</f>
      </c>
      <c r="GI562">
        <f>IF(ISBLANK('Data Entry'!$ÿ$562), "", 'Data Entry'!$ÿ$562)</f>
      </c>
      <c r="GJ562">
        <f>IF(ISBLANK('Data Entry'!$Ā$562), "", 'Data Entry'!$Ā$562)</f>
      </c>
      <c r="GK562">
        <f>IF(ISBLANK('Data Entry'!$ā$562), "", 'Data Entry'!$ā$562)</f>
      </c>
      <c r="GL562">
        <f>IF(ISBLANK('Data Entry'!$Ă$562), "", 'Data Entry'!$Ă$562)</f>
      </c>
      <c r="GM562">
        <f>IF(ISBLANK('Data Entry'!$ă$562), "", 'Data Entry'!$ă$562)</f>
      </c>
      <c r="GN562">
        <f>IF(ISBLANK('Data Entry'!$Ą$562), "", 'Data Entry'!$Ą$562)</f>
      </c>
      <c r="GO562">
        <f>IF(ISBLANK('Data Entry'!$ą$562), "", 'Data Entry'!$ą$562)</f>
      </c>
      <c r="GP562">
        <f>IF(ISBLANK('Data Entry'!$Ć$562), "", 'Data Entry'!$Ć$562)</f>
      </c>
      <c r="GQ562">
        <f>IF(ISBLANK('Data Entry'!$ć$562), "", 'Data Entry'!$ć$562)</f>
      </c>
      <c r="GR562">
        <f>IF(ISBLANK('Data Entry'!$Ĉ$562), "", 'Data Entry'!$Ĉ$562)</f>
      </c>
      <c r="GS562">
        <f>IF(ISBLANK('Data Entry'!$ĉ$562), "", 'Data Entry'!$ĉ$562)</f>
      </c>
      <c r="GT562">
        <f>IF(ISBLANK('Data Entry'!$Ċ$562), "", 'Data Entry'!$Ċ$562)</f>
      </c>
      <c r="GU562">
        <f>IF(ISBLANK('Data Entry'!$ċ$562), "", 'Data Entry'!$ċ$562)</f>
      </c>
      <c r="GV562">
        <f>IF(ISBLANK('Data Entry'!$Č$562), "", 'Data Entry'!$Č$562)</f>
      </c>
      <c r="GW562">
        <f>IF(ISBLANK('Data Entry'!$č$562), "", 'Data Entry'!$č$562)</f>
      </c>
      <c r="GX562">
        <f>IF(ISBLANK('Data Entry'!$Ď$562), "", 'Data Entry'!$Ď$562)</f>
      </c>
      <c r="GY562">
        <f>IF(ISBLANK('Data Entry'!$ď$562), "", 'Data Entry'!$ď$562)</f>
      </c>
      <c r="GZ562">
        <f>IF(ISBLANK('Data Entry'!$Đ$562), "", 'Data Entry'!$Đ$562)</f>
      </c>
      <c r="HA562">
        <f>IF(ISBLANK('Data Entry'!$đ$562), "", 'Data Entry'!$đ$562)</f>
      </c>
      <c r="HB562">
        <f>IF(ISBLANK('Data Entry'!$Ē$562), "", 'Data Entry'!$Ē$562)</f>
      </c>
      <c r="HC562">
        <f>IF(ISBLANK('Data Entry'!$ē$562), "", 'Data Entry'!$ē$562)</f>
      </c>
      <c r="HD562">
        <f>IF(ISBLANK('Data Entry'!$Ĕ$562), "", 'Data Entry'!$Ĕ$562)</f>
      </c>
      <c r="HE562">
        <f>IF(ISBLANK('Data Entry'!$ĕ$562), "", 'Data Entry'!$ĕ$562)</f>
      </c>
      <c r="HF562">
        <f>IF(ISBLANK('Data Entry'!$Ė$562), "", 'Data Entry'!$Ė$562)</f>
      </c>
      <c r="HG562">
        <f>IF(ISBLANK('Data Entry'!$ė$562), "", 'Data Entry'!$ė$562)</f>
      </c>
      <c r="HH562">
        <f>IF(ISBLANK('Data Entry'!$Ę$562), "", 'Data Entry'!$Ę$562)</f>
      </c>
      <c r="HI562">
        <f>IF(ISBLANK('Data Entry'!$ę$562), "", 'Data Entry'!$ę$562)</f>
      </c>
      <c r="HJ562">
        <f>IF(ISBLANK('Data Entry'!$Ě$562), "", 'Data Entry'!$Ě$562)</f>
      </c>
      <c r="HK562">
        <f>IF(ISBLANK('Data Entry'!$ě$562), "", 'Data Entry'!$ě$562)</f>
      </c>
      <c r="HL562">
        <f>IF(ISBLANK('Data Entry'!$Ĝ$562), "", 'Data Entry'!$Ĝ$562)</f>
      </c>
      <c r="HM562">
        <f>IF(ISBLANK('Data Entry'!$ĝ$562), "", 'Data Entry'!$ĝ$562)</f>
      </c>
      <c r="HN562">
        <f>IF(ISBLANK('Data Entry'!$Ğ$562), "", 'Data Entry'!$Ğ$562)</f>
      </c>
      <c r="HO562">
        <f>IF(ISBLANK('Data Entry'!$ğ$562), "", 'Data Entry'!$ğ$562)</f>
      </c>
      <c r="HP562">
        <f>IF(ISBLANK('Data Entry'!$Ġ$562), "", 'Data Entry'!$Ġ$562)</f>
      </c>
      <c r="HQ562">
        <f>IF(ISBLANK('Data Entry'!$ġ$562), "", 'Data Entry'!$ġ$562)</f>
      </c>
      <c r="HR562">
        <f>IF(ISBLANK('Data Entry'!$Ģ$562), "", 'Data Entry'!$Ģ$562)</f>
      </c>
      <c r="HS562">
        <f>IF(ISBLANK('Data Entry'!$ģ$562), "", 'Data Entry'!$ģ$562)</f>
      </c>
      <c r="HT562">
        <f>IF(ISBLANK('Data Entry'!$Ĥ$562), "", 'Data Entry'!$Ĥ$562)</f>
      </c>
      <c r="HU562">
        <f>IF(ISBLANK('Data Entry'!$ĥ$562), "", 'Data Entry'!$ĥ$562)</f>
      </c>
      <c r="HV562">
        <f>IF(ISBLANK('Data Entry'!$Ħ$562), "", 'Data Entry'!$Ħ$562)</f>
      </c>
      <c r="HW562">
        <f>IF(ISBLANK('Data Entry'!$ħ$562), "", 'Data Entry'!$ħ$562)</f>
      </c>
      <c r="HX562">
        <f>IF(ISBLANK('Data Entry'!$Ĩ$562), "", 'Data Entry'!$Ĩ$562)</f>
      </c>
      <c r="HY562">
        <f>IF(ISBLANK('Data Entry'!$ĩ$562), "", 'Data Entry'!$ĩ$562)</f>
      </c>
      <c r="HZ562">
        <f>IF(ISBLANK('Data Entry'!$Ī$562), "", 'Data Entry'!$Ī$562)</f>
      </c>
      <c r="IA562">
        <f>IF(ISBLANK('Data Entry'!$ī$562), "", 'Data Entry'!$ī$562)</f>
      </c>
      <c r="IB562">
        <f>IF(ISBLANK('Data Entry'!$Ĭ$562), "", 'Data Entry'!$Ĭ$562)</f>
      </c>
      <c r="IC562">
        <f>IF(ISBLANK('Data Entry'!$ĭ$562), "", 'Data Entry'!$ĭ$562)</f>
      </c>
      <c r="ID562">
        <f>IF(ISBLANK('Data Entry'!$Į$562), "", 'Data Entry'!$Į$562)</f>
      </c>
      <c r="IE562">
        <f>IF(ISBLANK('Data Entry'!$į$562), "", 'Data Entry'!$į$562)</f>
      </c>
      <c r="IF562">
        <f>IF(ISBLANK('Data Entry'!$İ$562), "", 'Data Entry'!$İ$562)</f>
      </c>
      <c r="IG562">
        <f>IF(ISBLANK('Data Entry'!$ı$562), "", 'Data Entry'!$ı$562)</f>
      </c>
      <c r="IH562">
        <f>IF(ISBLANK('Data Entry'!$Ĳ$562), "", 'Data Entry'!$Ĳ$562)</f>
      </c>
      <c r="II562">
        <f>IF(ISBLANK('Data Entry'!$ĳ$562), "", 'Data Entry'!$ĳ$562)</f>
      </c>
      <c r="IJ562">
        <f>IF(ISBLANK('Data Entry'!$Ĵ$562), "", 'Data Entry'!$Ĵ$562)</f>
      </c>
      <c r="IK562">
        <f>IF(ISBLANK('Data Entry'!$ĵ$562), "", 'Data Entry'!$ĵ$562)</f>
      </c>
      <c r="IL562">
        <f>IF(ISBLANK('Data Entry'!$Ķ$562), "", 'Data Entry'!$Ķ$562)</f>
      </c>
      <c r="IM562">
        <f>IF(ISBLANK('Data Entry'!$ķ$562), "", 'Data Entry'!$ķ$562)</f>
      </c>
      <c r="IN562">
        <f>IF(ISBLANK('Data Entry'!$ĸ$562), "", 'Data Entry'!$ĸ$562)</f>
      </c>
      <c r="IO562">
        <f>IF(ISBLANK('Data Entry'!$Ĺ$562), "", 'Data Entry'!$Ĺ$562)</f>
      </c>
      <c r="IP562">
        <f>IF(ISBLANK('Data Entry'!$ĺ$562), "", 'Data Entry'!$ĺ$562)</f>
      </c>
      <c r="IQ562">
        <f>IF(ISBLANK('Data Entry'!$Ļ$562), "", 'Data Entry'!$Ļ$562)</f>
      </c>
      <c r="IR562">
        <f>IF(ISBLANK('Data Entry'!$ļ$562), "", 'Data Entry'!$ļ$562)</f>
      </c>
      <c r="IS562">
        <f>IF(ISBLANK('Data Entry'!$Ľ$562), "", 'Data Entry'!$Ľ$562)</f>
      </c>
      <c r="IT562">
        <f>IF(ISBLANK('Data Entry'!$ľ$562), "", 'Data Entry'!$ľ$562)</f>
      </c>
    </row>
    <row r="563" spans="1:254" x14ac:dyDescent="0.25">
      <c r="A563">
        <f>IF(ISBLANK('Data Entry'!$A$563), "", 'Data Entry'!$A$563)</f>
      </c>
      <c r="B563">
        <f>IF(ISBLANK('Data Entry'!$B$563), "", 'Data Entry'!$B$563)</f>
      </c>
      <c r="C563">
        <f>IF(ISBLANK('Data Entry'!$C$563), "", 'Data Entry'!$C$563)</f>
      </c>
      <c r="D563">
        <f>IF(ISBLANK('Data Entry'!$D$563), "", 'Data Entry'!$D$563)</f>
      </c>
      <c r="E563">
        <f>IF(ISBLANK('Data Entry'!$E$563), "", 'Data Entry'!$E$563)</f>
      </c>
      <c r="F563">
        <f>IF(ISBLANK('Data Entry'!$F$563), "", 'Data Entry'!$F$563)</f>
      </c>
      <c r="G563">
        <f>IF(ISBLANK('Data Entry'!$G$563), "", 'Data Entry'!$G$563)</f>
      </c>
      <c r="H563">
        <f>IF(ISBLANK('Data Entry'!$H$563), "", 'Data Entry'!$H$563)</f>
      </c>
      <c r="I563">
        <f>IF(ISBLANK('Data Entry'!$I$563), "", 'Data Entry'!$I$563)</f>
      </c>
      <c r="J563">
        <f>IF(ISBLANK('Data Entry'!$J$563), "", 'Data Entry'!$J$563)</f>
      </c>
      <c r="K563">
        <f>IF(ISBLANK('Data Entry'!$K$563), "", 'Data Entry'!$K$563)</f>
      </c>
      <c r="L563">
        <f>IF(ISBLANK('Data Entry'!$L$563), "", 'Data Entry'!$L$563)</f>
      </c>
      <c r="M563">
        <f>IF(ISBLANK('Data Entry'!$M$563), "", 'Data Entry'!$M$563)</f>
      </c>
      <c r="N563">
        <f>IF(ISBLANK('Data Entry'!$N$563), "", 'Data Entry'!$N$563)</f>
      </c>
      <c r="O563">
        <f>IF(ISBLANK('Data Entry'!$O$563), "", 'Data Entry'!$O$563)</f>
      </c>
      <c r="P563">
        <f>IF(ISBLANK('Data Entry'!$P$563), "", 'Data Entry'!$P$563)</f>
      </c>
      <c r="Q563">
        <f>IF(ISBLANK('Data Entry'!$Q$563), "", 'Data Entry'!$Q$563)</f>
      </c>
      <c r="R563">
        <f>IF(ISBLANK('Data Entry'!$R$563), "", 'Data Entry'!$R$563)</f>
      </c>
      <c r="S563">
        <f>IF(ISBLANK('Data Entry'!$S$563), "", 'Data Entry'!$S$563)</f>
      </c>
      <c r="T563">
        <f>IF(ISBLANK('Data Entry'!$T$563), "", 'Data Entry'!$T$563)</f>
      </c>
      <c r="U563">
        <f>IF(ISBLANK('Data Entry'!$U$563), "", 'Data Entry'!$U$563)</f>
      </c>
      <c r="V563">
        <f>IF(ISBLANK('Data Entry'!$V$563), "", 'Data Entry'!$V$563)</f>
      </c>
      <c r="W563">
        <f>IF(ISBLANK('Data Entry'!$W$563), "", 'Data Entry'!$W$563)</f>
      </c>
      <c r="X563">
        <f>IF(ISBLANK('Data Entry'!$X$563), "", 'Data Entry'!$X$563)</f>
      </c>
      <c r="Y563">
        <f>IF(ISBLANK('Data Entry'!$Y$563), "", 'Data Entry'!$Y$563)</f>
      </c>
      <c r="Z563">
        <f>IF(ISBLANK('Data Entry'!$Z$563), "", 'Data Entry'!$Z$563)</f>
      </c>
      <c r="AA563">
        <f>IF(ISBLANK('Data Entry'!$[$563), "", 'Data Entry'!$[$563)</f>
      </c>
      <c r="AB563">
        <f>IF(ISBLANK('Data Entry'!$\$563), "", 'Data Entry'!$\$563)</f>
      </c>
      <c r="AC563">
        <f>IF(ISBLANK('Data Entry'!$]$563), "", 'Data Entry'!$]$563)</f>
      </c>
      <c r="AD563">
        <f>IF(ISBLANK('Data Entry'!$^$563), "", 'Data Entry'!$^$563)</f>
      </c>
      <c r="AE563">
        <f>IF(ISBLANK('Data Entry'!$_$563), "", 'Data Entry'!$_$563)</f>
      </c>
      <c r="AF563">
        <f>IF(ISBLANK('Data Entry'!$`$563), "", 'Data Entry'!$`$563)</f>
      </c>
      <c r="AG563">
        <f>IF(ISBLANK('Data Entry'!$a$563), "", 'Data Entry'!$a$563)</f>
      </c>
      <c r="AH563">
        <f>IF(ISBLANK('Data Entry'!$b$563), "", 'Data Entry'!$b$563)</f>
      </c>
      <c r="AI563">
        <f>IF(ISBLANK('Data Entry'!$c$563), "", 'Data Entry'!$c$563)</f>
      </c>
      <c r="AJ563">
        <f>IF(ISBLANK('Data Entry'!$d$563), "", 'Data Entry'!$d$563)</f>
      </c>
      <c r="AK563">
        <f>IF(ISBLANK('Data Entry'!$e$563), "", 'Data Entry'!$e$563)</f>
      </c>
      <c r="AL563">
        <f>IF(ISBLANK('Data Entry'!$f$563), "", 'Data Entry'!$f$563)</f>
      </c>
      <c r="AM563">
        <f>IF(ISBLANK('Data Entry'!$g$563), "", 'Data Entry'!$g$563)</f>
      </c>
      <c r="AN563">
        <f>IF(ISBLANK('Data Entry'!$h$563), "", 'Data Entry'!$h$563)</f>
      </c>
      <c r="AO563">
        <f>IF(ISBLANK('Data Entry'!$i$563), "", 'Data Entry'!$i$563)</f>
      </c>
      <c r="AP563">
        <f>IF(ISBLANK('Data Entry'!$j$563), "", 'Data Entry'!$j$563)</f>
      </c>
      <c r="AQ563">
        <f>IF(ISBLANK('Data Entry'!$k$563), "", 'Data Entry'!$k$563)</f>
      </c>
      <c r="AR563">
        <f>IF(ISBLANK('Data Entry'!$l$563), "", 'Data Entry'!$l$563)</f>
      </c>
      <c r="AS563">
        <f>IF(ISBLANK('Data Entry'!$m$563), "", 'Data Entry'!$m$563)</f>
      </c>
      <c r="AT563">
        <f>IF(ISBLANK('Data Entry'!$n$563), "", 'Data Entry'!$n$563)</f>
      </c>
      <c r="AU563">
        <f>IF(ISBLANK('Data Entry'!$o$563), "", 'Data Entry'!$o$563)</f>
      </c>
      <c r="AV563">
        <f>IF(ISBLANK('Data Entry'!$p$563), "", 'Data Entry'!$p$563)</f>
      </c>
      <c r="AW563">
        <f>IF(ISBLANK('Data Entry'!$q$563), "", 'Data Entry'!$q$563)</f>
      </c>
      <c r="AX563">
        <f>IF(ISBLANK('Data Entry'!$r$563), "", 'Data Entry'!$r$563)</f>
      </c>
      <c r="AY563">
        <f>IF(ISBLANK('Data Entry'!$s$563), "", 'Data Entry'!$s$563)</f>
      </c>
      <c r="AZ563">
        <f>IF(ISBLANK('Data Entry'!$t$563), "", 'Data Entry'!$t$563)</f>
      </c>
      <c r="BA563">
        <f>IF(ISBLANK('Data Entry'!$u$563), "", 'Data Entry'!$u$563)</f>
      </c>
      <c r="BB563">
        <f>IF(ISBLANK('Data Entry'!$v$563), "", 'Data Entry'!$v$563)</f>
      </c>
      <c r="BC563">
        <f>IF(ISBLANK('Data Entry'!$w$563), "", 'Data Entry'!$w$563)</f>
      </c>
      <c r="BD563">
        <f>IF(ISBLANK('Data Entry'!$x$563), "", 'Data Entry'!$x$563)</f>
      </c>
      <c r="BE563">
        <f>IF(ISBLANK('Data Entry'!$y$563), "", 'Data Entry'!$y$563)</f>
      </c>
      <c r="BF563">
        <f>IF(ISBLANK('Data Entry'!$z$563), "", 'Data Entry'!$z$563)</f>
      </c>
      <c r="BG563">
        <f>IF(ISBLANK('Data Entry'!${$563), "", 'Data Entry'!${$563)</f>
      </c>
      <c r="BH563">
        <f>IF(ISBLANK('Data Entry'!$|$563), "", 'Data Entry'!$|$563)</f>
      </c>
      <c r="BI563">
        <f>IF(ISBLANK('Data Entry'!$}$563), "", 'Data Entry'!$}$563)</f>
      </c>
      <c r="BJ563">
        <f>IF(ISBLANK('Data Entry'!$~$563), "", 'Data Entry'!$~$563)</f>
      </c>
      <c r="BK563">
        <f>IF(ISBLANK('Data Entry'!$$563), "", 'Data Entry'!$$563)</f>
      </c>
      <c r="BL563">
        <f>IF(ISBLANK('Data Entry'!$$563), "", 'Data Entry'!$$563)</f>
      </c>
      <c r="BM563">
        <f>IF(ISBLANK('Data Entry'!$$563), "", 'Data Entry'!$$563)</f>
      </c>
      <c r="BN563">
        <f>IF(ISBLANK('Data Entry'!$$563), "", 'Data Entry'!$$563)</f>
      </c>
      <c r="BO563">
        <f>IF(ISBLANK('Data Entry'!$$563), "", 'Data Entry'!$$563)</f>
      </c>
      <c r="BP563">
        <f>IF(ISBLANK('Data Entry'!$$563), "", 'Data Entry'!$$563)</f>
      </c>
      <c r="BQ563">
        <f>IF(ISBLANK('Data Entry'!$$563), "", 'Data Entry'!$$563)</f>
      </c>
      <c r="BR563">
        <f>IF(ISBLANK('Data Entry'!$$563), "", 'Data Entry'!$$563)</f>
      </c>
      <c r="BS563">
        <f>IF(ISBLANK('Data Entry'!$$563), "", 'Data Entry'!$$563)</f>
      </c>
      <c r="BT563">
        <f>IF(ISBLANK('Data Entry'!$$563), "", 'Data Entry'!$$563)</f>
      </c>
      <c r="BU563">
        <f>IF(ISBLANK('Data Entry'!$$563), "", 'Data Entry'!$$563)</f>
      </c>
      <c r="BV563">
        <f>IF(ISBLANK('Data Entry'!$$563), "", 'Data Entry'!$$563)</f>
      </c>
      <c r="BW563">
        <f>IF(ISBLANK('Data Entry'!$$563), "", 'Data Entry'!$$563)</f>
      </c>
      <c r="BX563">
        <f>IF(ISBLANK('Data Entry'!$$563), "", 'Data Entry'!$$563)</f>
      </c>
      <c r="BY563">
        <f>IF(ISBLANK('Data Entry'!$$563), "", 'Data Entry'!$$563)</f>
      </c>
      <c r="BZ563">
        <f>IF(ISBLANK('Data Entry'!$$563), "", 'Data Entry'!$$563)</f>
      </c>
      <c r="CA563">
        <f>IF(ISBLANK('Data Entry'!$$563), "", 'Data Entry'!$$563)</f>
      </c>
      <c r="CB563">
        <f>IF(ISBLANK('Data Entry'!$$563), "", 'Data Entry'!$$563)</f>
      </c>
      <c r="CC563">
        <f>IF(ISBLANK('Data Entry'!$$563), "", 'Data Entry'!$$563)</f>
      </c>
      <c r="CD563">
        <f>IF(ISBLANK('Data Entry'!$$563), "", 'Data Entry'!$$563)</f>
      </c>
      <c r="CE563">
        <f>IF(ISBLANK('Data Entry'!$$563), "", 'Data Entry'!$$563)</f>
      </c>
      <c r="CF563">
        <f>IF(ISBLANK('Data Entry'!$$563), "", 'Data Entry'!$$563)</f>
      </c>
      <c r="CG563">
        <f>IF(ISBLANK('Data Entry'!$$563), "", 'Data Entry'!$$563)</f>
      </c>
      <c r="CH563">
        <f>IF(ISBLANK('Data Entry'!$$563), "", 'Data Entry'!$$563)</f>
      </c>
      <c r="CI563">
        <f>IF(ISBLANK('Data Entry'!$$563), "", 'Data Entry'!$$563)</f>
      </c>
      <c r="CJ563">
        <f>IF(ISBLANK('Data Entry'!$$563), "", 'Data Entry'!$$563)</f>
      </c>
      <c r="CK563">
        <f>IF(ISBLANK('Data Entry'!$$563), "", 'Data Entry'!$$563)</f>
      </c>
      <c r="CL563">
        <f>IF(ISBLANK('Data Entry'!$$563), "", 'Data Entry'!$$563)</f>
      </c>
      <c r="CM563">
        <f>IF(ISBLANK('Data Entry'!$$563), "", 'Data Entry'!$$563)</f>
      </c>
      <c r="CN563">
        <f>IF(ISBLANK('Data Entry'!$$563), "", 'Data Entry'!$$563)</f>
      </c>
      <c r="CO563">
        <f>IF(ISBLANK('Data Entry'!$$563), "", 'Data Entry'!$$563)</f>
      </c>
      <c r="CP563">
        <f>IF(ISBLANK('Data Entry'!$$563), "", 'Data Entry'!$$563)</f>
      </c>
      <c r="CQ563">
        <f>IF(ISBLANK('Data Entry'!$$563), "", 'Data Entry'!$$563)</f>
      </c>
      <c r="CR563">
        <f>IF(ISBLANK('Data Entry'!$ $563), "", 'Data Entry'!$ $563)</f>
      </c>
      <c r="CS563">
        <f>IF(ISBLANK('Data Entry'!$¡$563), "", 'Data Entry'!$¡$563)</f>
      </c>
      <c r="CT563">
        <f>IF(ISBLANK('Data Entry'!$¢$563), "", 'Data Entry'!$¢$563)</f>
      </c>
      <c r="CU563">
        <f>IF(ISBLANK('Data Entry'!$£$563), "", 'Data Entry'!$£$563)</f>
      </c>
      <c r="CV563">
        <f>IF(ISBLANK('Data Entry'!$¤$563), "", 'Data Entry'!$¤$563)</f>
      </c>
      <c r="CW563">
        <f>IF(ISBLANK('Data Entry'!$¥$563), "", 'Data Entry'!$¥$563)</f>
      </c>
      <c r="CX563">
        <f>IF(ISBLANK('Data Entry'!$¦$563), "", 'Data Entry'!$¦$563)</f>
      </c>
      <c r="CY563">
        <f>IF(ISBLANK('Data Entry'!$§$563), "", 'Data Entry'!$§$563)</f>
      </c>
      <c r="CZ563">
        <f>IF(ISBLANK('Data Entry'!$¨$563), "", 'Data Entry'!$¨$563)</f>
      </c>
      <c r="DA563">
        <f>IF(ISBLANK('Data Entry'!$©$563), "", 'Data Entry'!$©$563)</f>
      </c>
      <c r="DB563">
        <f>IF(ISBLANK('Data Entry'!$ª$563), "", 'Data Entry'!$ª$563)</f>
      </c>
      <c r="DC563">
        <f>IF(ISBLANK('Data Entry'!$«$563), "", 'Data Entry'!$«$563)</f>
      </c>
      <c r="DD563">
        <f>IF(ISBLANK('Data Entry'!$¬$563), "", 'Data Entry'!$¬$563)</f>
      </c>
      <c r="DE563">
        <f>IF(ISBLANK('Data Entry'!$­$563), "", 'Data Entry'!$­$563)</f>
      </c>
      <c r="DF563">
        <f>IF(ISBLANK('Data Entry'!$®$563), "", 'Data Entry'!$®$563)</f>
      </c>
      <c r="DG563">
        <f>IF(ISBLANK('Data Entry'!$¯$563), "", 'Data Entry'!$¯$563)</f>
      </c>
      <c r="DH563">
        <f>IF(ISBLANK('Data Entry'!$°$563), "", 'Data Entry'!$°$563)</f>
      </c>
      <c r="DI563">
        <f>IF(ISBLANK('Data Entry'!$±$563), "", 'Data Entry'!$±$563)</f>
      </c>
      <c r="DJ563">
        <f>IF(ISBLANK('Data Entry'!$²$563), "", 'Data Entry'!$²$563)</f>
      </c>
      <c r="DK563">
        <f>IF(ISBLANK('Data Entry'!$³$563), "", 'Data Entry'!$³$563)</f>
      </c>
      <c r="DL563">
        <f>IF(ISBLANK('Data Entry'!$´$563), "", 'Data Entry'!$´$563)</f>
      </c>
      <c r="DM563">
        <f>IF(ISBLANK('Data Entry'!$µ$563), "", 'Data Entry'!$µ$563)</f>
      </c>
      <c r="DN563">
        <f>IF(ISBLANK('Data Entry'!$¶$563), "", 'Data Entry'!$¶$563)</f>
      </c>
      <c r="DO563">
        <f>IF(ISBLANK('Data Entry'!$·$563), "", 'Data Entry'!$·$563)</f>
      </c>
      <c r="DP563">
        <f>IF(ISBLANK('Data Entry'!$¸$563), "", 'Data Entry'!$¸$563)</f>
      </c>
      <c r="DQ563">
        <f>IF(ISBLANK('Data Entry'!$¹$563), "", 'Data Entry'!$¹$563)</f>
      </c>
      <c r="DR563">
        <f>IF(ISBLANK('Data Entry'!$º$563), "", 'Data Entry'!$º$563)</f>
      </c>
      <c r="DS563">
        <f>IF(ISBLANK('Data Entry'!$»$563), "", 'Data Entry'!$»$563)</f>
      </c>
      <c r="DT563">
        <f>IF(ISBLANK('Data Entry'!$¼$563), "", 'Data Entry'!$¼$563)</f>
      </c>
      <c r="DU563">
        <f>IF(ISBLANK('Data Entry'!$½$563), "", 'Data Entry'!$½$563)</f>
      </c>
      <c r="DV563">
        <f>IF(ISBLANK('Data Entry'!$¾$563), "", 'Data Entry'!$¾$563)</f>
      </c>
      <c r="DW563">
        <f>IF(ISBLANK('Data Entry'!$¿$563), "", 'Data Entry'!$¿$563)</f>
      </c>
      <c r="DX563">
        <f>IF(ISBLANK('Data Entry'!$À$563), "", 'Data Entry'!$À$563)</f>
      </c>
      <c r="DY563">
        <f>IF(ISBLANK('Data Entry'!$Á$563), "", 'Data Entry'!$Á$563)</f>
      </c>
      <c r="DZ563">
        <f>IF(ISBLANK('Data Entry'!$Â$563), "", 'Data Entry'!$Â$563)</f>
      </c>
      <c r="EA563">
        <f>IF(ISBLANK('Data Entry'!$Ã$563), "", 'Data Entry'!$Ã$563)</f>
      </c>
      <c r="EB563">
        <f>IF(ISBLANK('Data Entry'!$Ä$563), "", 'Data Entry'!$Ä$563)</f>
      </c>
      <c r="EC563">
        <f>IF(ISBLANK('Data Entry'!$Å$563), "", 'Data Entry'!$Å$563)</f>
      </c>
      <c r="ED563">
        <f>IF(ISBLANK('Data Entry'!$Æ$563), "", 'Data Entry'!$Æ$563)</f>
      </c>
      <c r="EE563">
        <f>IF(ISBLANK('Data Entry'!$Ç$563), "", 'Data Entry'!$Ç$563)</f>
      </c>
      <c r="EF563">
        <f>IF(ISBLANK('Data Entry'!$È$563), "", 'Data Entry'!$È$563)</f>
      </c>
      <c r="EG563">
        <f>IF(ISBLANK('Data Entry'!$É$563), "", 'Data Entry'!$É$563)</f>
      </c>
      <c r="EH563">
        <f>IF(ISBLANK('Data Entry'!$Ê$563), "", 'Data Entry'!$Ê$563)</f>
      </c>
      <c r="EI563">
        <f>IF(ISBLANK('Data Entry'!$Ë$563), "", 'Data Entry'!$Ë$563)</f>
      </c>
      <c r="EJ563">
        <f>IF(ISBLANK('Data Entry'!$Ì$563), "", 'Data Entry'!$Ì$563)</f>
      </c>
      <c r="EK563">
        <f>IF(ISBLANK('Data Entry'!$Í$563), "", 'Data Entry'!$Í$563)</f>
      </c>
      <c r="EL563">
        <f>IF(ISBLANK('Data Entry'!$Î$563), "", 'Data Entry'!$Î$563)</f>
      </c>
      <c r="EM563">
        <f>IF(ISBLANK('Data Entry'!$Ï$563), "", 'Data Entry'!$Ï$563)</f>
      </c>
      <c r="EN563">
        <f>IF(ISBLANK('Data Entry'!$Ð$563), "", 'Data Entry'!$Ð$563)</f>
      </c>
      <c r="EO563">
        <f>IF(ISBLANK('Data Entry'!$Ñ$563), "", 'Data Entry'!$Ñ$563)</f>
      </c>
      <c r="EP563">
        <f>IF(ISBLANK('Data Entry'!$Ò$563), "", 'Data Entry'!$Ò$563)</f>
      </c>
      <c r="EQ563">
        <f>IF(ISBLANK('Data Entry'!$Ó$563), "", 'Data Entry'!$Ó$563)</f>
      </c>
      <c r="ER563">
        <f>IF(ISBLANK('Data Entry'!$Ô$563), "", 'Data Entry'!$Ô$563)</f>
      </c>
      <c r="ES563">
        <f>IF(ISBLANK('Data Entry'!$Õ$563), "", 'Data Entry'!$Õ$563)</f>
      </c>
      <c r="ET563">
        <f>IF(ISBLANK('Data Entry'!$Ö$563), "", 'Data Entry'!$Ö$563)</f>
      </c>
      <c r="EU563">
        <f>IF(ISBLANK('Data Entry'!$×$563), "", 'Data Entry'!$×$563)</f>
      </c>
      <c r="EV563">
        <f>IF(ISBLANK('Data Entry'!$Ø$563), "", 'Data Entry'!$Ø$563)</f>
      </c>
      <c r="EW563">
        <f>IF(ISBLANK('Data Entry'!$Ù$563), "", 'Data Entry'!$Ù$563)</f>
      </c>
      <c r="EX563">
        <f>IF(ISBLANK('Data Entry'!$Ú$563), "", 'Data Entry'!$Ú$563)</f>
      </c>
      <c r="EY563">
        <f>IF(ISBLANK('Data Entry'!$Û$563), "", 'Data Entry'!$Û$563)</f>
      </c>
      <c r="EZ563">
        <f>IF(ISBLANK('Data Entry'!$Ü$563), "", 'Data Entry'!$Ü$563)</f>
      </c>
      <c r="FA563">
        <f>IF(ISBLANK('Data Entry'!$Ý$563), "", 'Data Entry'!$Ý$563)</f>
      </c>
      <c r="FB563">
        <f>IF(ISBLANK('Data Entry'!$Þ$563), "", 'Data Entry'!$Þ$563)</f>
      </c>
      <c r="FC563">
        <f>IF(ISBLANK('Data Entry'!$ß$563), "", 'Data Entry'!$ß$563)</f>
      </c>
      <c r="FD563">
        <f>IF(ISBLANK('Data Entry'!$à$563), "", 'Data Entry'!$à$563)</f>
      </c>
      <c r="FE563">
        <f>IF(ISBLANK('Data Entry'!$á$563), "", 'Data Entry'!$á$563)</f>
      </c>
      <c r="FF563">
        <f>IF(ISBLANK('Data Entry'!$â$563), "", 'Data Entry'!$â$563)</f>
      </c>
      <c r="FG563">
        <f>IF(ISBLANK('Data Entry'!$ã$563), "", 'Data Entry'!$ã$563)</f>
      </c>
      <c r="FH563">
        <f>IF(ISBLANK('Data Entry'!$ä$563), "", 'Data Entry'!$ä$563)</f>
      </c>
      <c r="FI563">
        <f>IF(ISBLANK('Data Entry'!$å$563), "", 'Data Entry'!$å$563)</f>
      </c>
      <c r="FJ563">
        <f>IF(ISBLANK('Data Entry'!$æ$563), "", 'Data Entry'!$æ$563)</f>
      </c>
      <c r="FK563">
        <f>IF(ISBLANK('Data Entry'!$ç$563), "", 'Data Entry'!$ç$563)</f>
      </c>
      <c r="FL563">
        <f>IF(ISBLANK('Data Entry'!$è$563), "", 'Data Entry'!$è$563)</f>
      </c>
      <c r="FM563">
        <f>IF(ISBLANK('Data Entry'!$é$563), "", 'Data Entry'!$é$563)</f>
      </c>
      <c r="FN563">
        <f>IF(ISBLANK('Data Entry'!$ê$563), "", 'Data Entry'!$ê$563)</f>
      </c>
      <c r="FO563">
        <f>IF(ISBLANK('Data Entry'!$ë$563), "", 'Data Entry'!$ë$563)</f>
      </c>
      <c r="FP563">
        <f>IF(ISBLANK('Data Entry'!$ì$563), "", 'Data Entry'!$ì$563)</f>
      </c>
      <c r="FQ563">
        <f>IF(ISBLANK('Data Entry'!$í$563), "", 'Data Entry'!$í$563)</f>
      </c>
      <c r="FR563">
        <f>IF(ISBLANK('Data Entry'!$î$563), "", 'Data Entry'!$î$563)</f>
      </c>
      <c r="FS563">
        <f>IF(ISBLANK('Data Entry'!$ï$563), "", 'Data Entry'!$ï$563)</f>
      </c>
      <c r="FT563">
        <f>IF(ISBLANK('Data Entry'!$ð$563), "", 'Data Entry'!$ð$563)</f>
      </c>
      <c r="FU563">
        <f>IF(ISBLANK('Data Entry'!$ñ$563), "", 'Data Entry'!$ñ$563)</f>
      </c>
      <c r="FV563">
        <f>IF(ISBLANK('Data Entry'!$ò$563), "", 'Data Entry'!$ò$563)</f>
      </c>
      <c r="FW563">
        <f>IF(ISBLANK('Data Entry'!$ó$563), "", 'Data Entry'!$ó$563)</f>
      </c>
      <c r="FX563">
        <f>IF(ISBLANK('Data Entry'!$ô$563), "", 'Data Entry'!$ô$563)</f>
      </c>
      <c r="FY563">
        <f>IF(ISBLANK('Data Entry'!$õ$563), "", 'Data Entry'!$õ$563)</f>
      </c>
      <c r="FZ563">
        <f>IF(ISBLANK('Data Entry'!$ö$563), "", 'Data Entry'!$ö$563)</f>
      </c>
      <c r="GA563">
        <f>IF(ISBLANK('Data Entry'!$÷$563), "", 'Data Entry'!$÷$563)</f>
      </c>
      <c r="GB563">
        <f>IF(ISBLANK('Data Entry'!$ø$563), "", 'Data Entry'!$ø$563)</f>
      </c>
      <c r="GC563">
        <f>IF(ISBLANK('Data Entry'!$ù$563), "", 'Data Entry'!$ù$563)</f>
      </c>
      <c r="GD563">
        <f>IF(ISBLANK('Data Entry'!$ú$563), "", 'Data Entry'!$ú$563)</f>
      </c>
      <c r="GE563">
        <f>IF(ISBLANK('Data Entry'!$û$563), "", 'Data Entry'!$û$563)</f>
      </c>
      <c r="GF563">
        <f>IF(ISBLANK('Data Entry'!$ü$563), "", 'Data Entry'!$ü$563)</f>
      </c>
      <c r="GG563">
        <f>IF(ISBLANK('Data Entry'!$ý$563), "", 'Data Entry'!$ý$563)</f>
      </c>
      <c r="GH563">
        <f>IF(ISBLANK('Data Entry'!$þ$563), "", 'Data Entry'!$þ$563)</f>
      </c>
      <c r="GI563">
        <f>IF(ISBLANK('Data Entry'!$ÿ$563), "", 'Data Entry'!$ÿ$563)</f>
      </c>
      <c r="GJ563">
        <f>IF(ISBLANK('Data Entry'!$Ā$563), "", 'Data Entry'!$Ā$563)</f>
      </c>
      <c r="GK563">
        <f>IF(ISBLANK('Data Entry'!$ā$563), "", 'Data Entry'!$ā$563)</f>
      </c>
      <c r="GL563">
        <f>IF(ISBLANK('Data Entry'!$Ă$563), "", 'Data Entry'!$Ă$563)</f>
      </c>
      <c r="GM563">
        <f>IF(ISBLANK('Data Entry'!$ă$563), "", 'Data Entry'!$ă$563)</f>
      </c>
      <c r="GN563">
        <f>IF(ISBLANK('Data Entry'!$Ą$563), "", 'Data Entry'!$Ą$563)</f>
      </c>
      <c r="GO563">
        <f>IF(ISBLANK('Data Entry'!$ą$563), "", 'Data Entry'!$ą$563)</f>
      </c>
      <c r="GP563">
        <f>IF(ISBLANK('Data Entry'!$Ć$563), "", 'Data Entry'!$Ć$563)</f>
      </c>
      <c r="GQ563">
        <f>IF(ISBLANK('Data Entry'!$ć$563), "", 'Data Entry'!$ć$563)</f>
      </c>
      <c r="GR563">
        <f>IF(ISBLANK('Data Entry'!$Ĉ$563), "", 'Data Entry'!$Ĉ$563)</f>
      </c>
      <c r="GS563">
        <f>IF(ISBLANK('Data Entry'!$ĉ$563), "", 'Data Entry'!$ĉ$563)</f>
      </c>
      <c r="GT563">
        <f>IF(ISBLANK('Data Entry'!$Ċ$563), "", 'Data Entry'!$Ċ$563)</f>
      </c>
      <c r="GU563">
        <f>IF(ISBLANK('Data Entry'!$ċ$563), "", 'Data Entry'!$ċ$563)</f>
      </c>
      <c r="GV563">
        <f>IF(ISBLANK('Data Entry'!$Č$563), "", 'Data Entry'!$Č$563)</f>
      </c>
      <c r="GW563">
        <f>IF(ISBLANK('Data Entry'!$č$563), "", 'Data Entry'!$č$563)</f>
      </c>
      <c r="GX563">
        <f>IF(ISBLANK('Data Entry'!$Ď$563), "", 'Data Entry'!$Ď$563)</f>
      </c>
      <c r="GY563">
        <f>IF(ISBLANK('Data Entry'!$ď$563), "", 'Data Entry'!$ď$563)</f>
      </c>
      <c r="GZ563">
        <f>IF(ISBLANK('Data Entry'!$Đ$563), "", 'Data Entry'!$Đ$563)</f>
      </c>
      <c r="HA563">
        <f>IF(ISBLANK('Data Entry'!$đ$563), "", 'Data Entry'!$đ$563)</f>
      </c>
      <c r="HB563">
        <f>IF(ISBLANK('Data Entry'!$Ē$563), "", 'Data Entry'!$Ē$563)</f>
      </c>
      <c r="HC563">
        <f>IF(ISBLANK('Data Entry'!$ē$563), "", 'Data Entry'!$ē$563)</f>
      </c>
      <c r="HD563">
        <f>IF(ISBLANK('Data Entry'!$Ĕ$563), "", 'Data Entry'!$Ĕ$563)</f>
      </c>
      <c r="HE563">
        <f>IF(ISBLANK('Data Entry'!$ĕ$563), "", 'Data Entry'!$ĕ$563)</f>
      </c>
      <c r="HF563">
        <f>IF(ISBLANK('Data Entry'!$Ė$563), "", 'Data Entry'!$Ė$563)</f>
      </c>
      <c r="HG563">
        <f>IF(ISBLANK('Data Entry'!$ė$563), "", 'Data Entry'!$ė$563)</f>
      </c>
      <c r="HH563">
        <f>IF(ISBLANK('Data Entry'!$Ę$563), "", 'Data Entry'!$Ę$563)</f>
      </c>
      <c r="HI563">
        <f>IF(ISBLANK('Data Entry'!$ę$563), "", 'Data Entry'!$ę$563)</f>
      </c>
      <c r="HJ563">
        <f>IF(ISBLANK('Data Entry'!$Ě$563), "", 'Data Entry'!$Ě$563)</f>
      </c>
      <c r="HK563">
        <f>IF(ISBLANK('Data Entry'!$ě$563), "", 'Data Entry'!$ě$563)</f>
      </c>
      <c r="HL563">
        <f>IF(ISBLANK('Data Entry'!$Ĝ$563), "", 'Data Entry'!$Ĝ$563)</f>
      </c>
      <c r="HM563">
        <f>IF(ISBLANK('Data Entry'!$ĝ$563), "", 'Data Entry'!$ĝ$563)</f>
      </c>
      <c r="HN563">
        <f>IF(ISBLANK('Data Entry'!$Ğ$563), "", 'Data Entry'!$Ğ$563)</f>
      </c>
      <c r="HO563">
        <f>IF(ISBLANK('Data Entry'!$ğ$563), "", 'Data Entry'!$ğ$563)</f>
      </c>
      <c r="HP563">
        <f>IF(ISBLANK('Data Entry'!$Ġ$563), "", 'Data Entry'!$Ġ$563)</f>
      </c>
      <c r="HQ563">
        <f>IF(ISBLANK('Data Entry'!$ġ$563), "", 'Data Entry'!$ġ$563)</f>
      </c>
      <c r="HR563">
        <f>IF(ISBLANK('Data Entry'!$Ģ$563), "", 'Data Entry'!$Ģ$563)</f>
      </c>
      <c r="HS563">
        <f>IF(ISBLANK('Data Entry'!$ģ$563), "", 'Data Entry'!$ģ$563)</f>
      </c>
      <c r="HT563">
        <f>IF(ISBLANK('Data Entry'!$Ĥ$563), "", 'Data Entry'!$Ĥ$563)</f>
      </c>
      <c r="HU563">
        <f>IF(ISBLANK('Data Entry'!$ĥ$563), "", 'Data Entry'!$ĥ$563)</f>
      </c>
      <c r="HV563">
        <f>IF(ISBLANK('Data Entry'!$Ħ$563), "", 'Data Entry'!$Ħ$563)</f>
      </c>
      <c r="HW563">
        <f>IF(ISBLANK('Data Entry'!$ħ$563), "", 'Data Entry'!$ħ$563)</f>
      </c>
      <c r="HX563">
        <f>IF(ISBLANK('Data Entry'!$Ĩ$563), "", 'Data Entry'!$Ĩ$563)</f>
      </c>
      <c r="HY563">
        <f>IF(ISBLANK('Data Entry'!$ĩ$563), "", 'Data Entry'!$ĩ$563)</f>
      </c>
      <c r="HZ563">
        <f>IF(ISBLANK('Data Entry'!$Ī$563), "", 'Data Entry'!$Ī$563)</f>
      </c>
      <c r="IA563">
        <f>IF(ISBLANK('Data Entry'!$ī$563), "", 'Data Entry'!$ī$563)</f>
      </c>
      <c r="IB563">
        <f>IF(ISBLANK('Data Entry'!$Ĭ$563), "", 'Data Entry'!$Ĭ$563)</f>
      </c>
      <c r="IC563">
        <f>IF(ISBLANK('Data Entry'!$ĭ$563), "", 'Data Entry'!$ĭ$563)</f>
      </c>
      <c r="ID563">
        <f>IF(ISBLANK('Data Entry'!$Į$563), "", 'Data Entry'!$Į$563)</f>
      </c>
      <c r="IE563">
        <f>IF(ISBLANK('Data Entry'!$į$563), "", 'Data Entry'!$į$563)</f>
      </c>
      <c r="IF563">
        <f>IF(ISBLANK('Data Entry'!$İ$563), "", 'Data Entry'!$İ$563)</f>
      </c>
      <c r="IG563">
        <f>IF(ISBLANK('Data Entry'!$ı$563), "", 'Data Entry'!$ı$563)</f>
      </c>
      <c r="IH563">
        <f>IF(ISBLANK('Data Entry'!$Ĳ$563), "", 'Data Entry'!$Ĳ$563)</f>
      </c>
      <c r="II563">
        <f>IF(ISBLANK('Data Entry'!$ĳ$563), "", 'Data Entry'!$ĳ$563)</f>
      </c>
      <c r="IJ563">
        <f>IF(ISBLANK('Data Entry'!$Ĵ$563), "", 'Data Entry'!$Ĵ$563)</f>
      </c>
      <c r="IK563">
        <f>IF(ISBLANK('Data Entry'!$ĵ$563), "", 'Data Entry'!$ĵ$563)</f>
      </c>
      <c r="IL563">
        <f>IF(ISBLANK('Data Entry'!$Ķ$563), "", 'Data Entry'!$Ķ$563)</f>
      </c>
      <c r="IM563">
        <f>IF(ISBLANK('Data Entry'!$ķ$563), "", 'Data Entry'!$ķ$563)</f>
      </c>
      <c r="IN563">
        <f>IF(ISBLANK('Data Entry'!$ĸ$563), "", 'Data Entry'!$ĸ$563)</f>
      </c>
      <c r="IO563">
        <f>IF(ISBLANK('Data Entry'!$Ĺ$563), "", 'Data Entry'!$Ĺ$563)</f>
      </c>
      <c r="IP563">
        <f>IF(ISBLANK('Data Entry'!$ĺ$563), "", 'Data Entry'!$ĺ$563)</f>
      </c>
      <c r="IQ563">
        <f>IF(ISBLANK('Data Entry'!$Ļ$563), "", 'Data Entry'!$Ļ$563)</f>
      </c>
      <c r="IR563">
        <f>IF(ISBLANK('Data Entry'!$ļ$563), "", 'Data Entry'!$ļ$563)</f>
      </c>
      <c r="IS563">
        <f>IF(ISBLANK('Data Entry'!$Ľ$563), "", 'Data Entry'!$Ľ$563)</f>
      </c>
      <c r="IT563">
        <f>IF(ISBLANK('Data Entry'!$ľ$563), "", 'Data Entry'!$ľ$563)</f>
      </c>
    </row>
    <row r="564" spans="1:254" x14ac:dyDescent="0.25">
      <c r="A564">
        <f>IF(ISBLANK('Data Entry'!$A$564), "", 'Data Entry'!$A$564)</f>
      </c>
      <c r="B564">
        <f>IF(ISBLANK('Data Entry'!$B$564), "", 'Data Entry'!$B$564)</f>
      </c>
      <c r="C564">
        <f>IF(ISBLANK('Data Entry'!$C$564), "", 'Data Entry'!$C$564)</f>
      </c>
      <c r="D564">
        <f>IF(ISBLANK('Data Entry'!$D$564), "", 'Data Entry'!$D$564)</f>
      </c>
      <c r="E564">
        <f>IF(ISBLANK('Data Entry'!$E$564), "", 'Data Entry'!$E$564)</f>
      </c>
      <c r="F564">
        <f>IF(ISBLANK('Data Entry'!$F$564), "", 'Data Entry'!$F$564)</f>
      </c>
      <c r="G564">
        <f>IF(ISBLANK('Data Entry'!$G$564), "", 'Data Entry'!$G$564)</f>
      </c>
      <c r="H564">
        <f>IF(ISBLANK('Data Entry'!$H$564), "", 'Data Entry'!$H$564)</f>
      </c>
      <c r="I564">
        <f>IF(ISBLANK('Data Entry'!$I$564), "", 'Data Entry'!$I$564)</f>
      </c>
      <c r="J564">
        <f>IF(ISBLANK('Data Entry'!$J$564), "", 'Data Entry'!$J$564)</f>
      </c>
      <c r="K564">
        <f>IF(ISBLANK('Data Entry'!$K$564), "", 'Data Entry'!$K$564)</f>
      </c>
      <c r="L564">
        <f>IF(ISBLANK('Data Entry'!$L$564), "", 'Data Entry'!$L$564)</f>
      </c>
      <c r="M564">
        <f>IF(ISBLANK('Data Entry'!$M$564), "", 'Data Entry'!$M$564)</f>
      </c>
      <c r="N564">
        <f>IF(ISBLANK('Data Entry'!$N$564), "", 'Data Entry'!$N$564)</f>
      </c>
      <c r="O564">
        <f>IF(ISBLANK('Data Entry'!$O$564), "", 'Data Entry'!$O$564)</f>
      </c>
      <c r="P564">
        <f>IF(ISBLANK('Data Entry'!$P$564), "", 'Data Entry'!$P$564)</f>
      </c>
      <c r="Q564">
        <f>IF(ISBLANK('Data Entry'!$Q$564), "", 'Data Entry'!$Q$564)</f>
      </c>
      <c r="R564">
        <f>IF(ISBLANK('Data Entry'!$R$564), "", 'Data Entry'!$R$564)</f>
      </c>
      <c r="S564">
        <f>IF(ISBLANK('Data Entry'!$S$564), "", 'Data Entry'!$S$564)</f>
      </c>
      <c r="T564">
        <f>IF(ISBLANK('Data Entry'!$T$564), "", 'Data Entry'!$T$564)</f>
      </c>
      <c r="U564">
        <f>IF(ISBLANK('Data Entry'!$U$564), "", 'Data Entry'!$U$564)</f>
      </c>
      <c r="V564">
        <f>IF(ISBLANK('Data Entry'!$V$564), "", 'Data Entry'!$V$564)</f>
      </c>
      <c r="W564">
        <f>IF(ISBLANK('Data Entry'!$W$564), "", 'Data Entry'!$W$564)</f>
      </c>
      <c r="X564">
        <f>IF(ISBLANK('Data Entry'!$X$564), "", 'Data Entry'!$X$564)</f>
      </c>
      <c r="Y564">
        <f>IF(ISBLANK('Data Entry'!$Y$564), "", 'Data Entry'!$Y$564)</f>
      </c>
      <c r="Z564">
        <f>IF(ISBLANK('Data Entry'!$Z$564), "", 'Data Entry'!$Z$564)</f>
      </c>
      <c r="AA564">
        <f>IF(ISBLANK('Data Entry'!$[$564), "", 'Data Entry'!$[$564)</f>
      </c>
      <c r="AB564">
        <f>IF(ISBLANK('Data Entry'!$\$564), "", 'Data Entry'!$\$564)</f>
      </c>
      <c r="AC564">
        <f>IF(ISBLANK('Data Entry'!$]$564), "", 'Data Entry'!$]$564)</f>
      </c>
      <c r="AD564">
        <f>IF(ISBLANK('Data Entry'!$^$564), "", 'Data Entry'!$^$564)</f>
      </c>
      <c r="AE564">
        <f>IF(ISBLANK('Data Entry'!$_$564), "", 'Data Entry'!$_$564)</f>
      </c>
      <c r="AF564">
        <f>IF(ISBLANK('Data Entry'!$`$564), "", 'Data Entry'!$`$564)</f>
      </c>
      <c r="AG564">
        <f>IF(ISBLANK('Data Entry'!$a$564), "", 'Data Entry'!$a$564)</f>
      </c>
      <c r="AH564">
        <f>IF(ISBLANK('Data Entry'!$b$564), "", 'Data Entry'!$b$564)</f>
      </c>
      <c r="AI564">
        <f>IF(ISBLANK('Data Entry'!$c$564), "", 'Data Entry'!$c$564)</f>
      </c>
      <c r="AJ564">
        <f>IF(ISBLANK('Data Entry'!$d$564), "", 'Data Entry'!$d$564)</f>
      </c>
      <c r="AK564">
        <f>IF(ISBLANK('Data Entry'!$e$564), "", 'Data Entry'!$e$564)</f>
      </c>
      <c r="AL564">
        <f>IF(ISBLANK('Data Entry'!$f$564), "", 'Data Entry'!$f$564)</f>
      </c>
      <c r="AM564">
        <f>IF(ISBLANK('Data Entry'!$g$564), "", 'Data Entry'!$g$564)</f>
      </c>
      <c r="AN564">
        <f>IF(ISBLANK('Data Entry'!$h$564), "", 'Data Entry'!$h$564)</f>
      </c>
      <c r="AO564">
        <f>IF(ISBLANK('Data Entry'!$i$564), "", 'Data Entry'!$i$564)</f>
      </c>
      <c r="AP564">
        <f>IF(ISBLANK('Data Entry'!$j$564), "", 'Data Entry'!$j$564)</f>
      </c>
      <c r="AQ564">
        <f>IF(ISBLANK('Data Entry'!$k$564), "", 'Data Entry'!$k$564)</f>
      </c>
      <c r="AR564">
        <f>IF(ISBLANK('Data Entry'!$l$564), "", 'Data Entry'!$l$564)</f>
      </c>
      <c r="AS564">
        <f>IF(ISBLANK('Data Entry'!$m$564), "", 'Data Entry'!$m$564)</f>
      </c>
      <c r="AT564">
        <f>IF(ISBLANK('Data Entry'!$n$564), "", 'Data Entry'!$n$564)</f>
      </c>
      <c r="AU564">
        <f>IF(ISBLANK('Data Entry'!$o$564), "", 'Data Entry'!$o$564)</f>
      </c>
      <c r="AV564">
        <f>IF(ISBLANK('Data Entry'!$p$564), "", 'Data Entry'!$p$564)</f>
      </c>
      <c r="AW564">
        <f>IF(ISBLANK('Data Entry'!$q$564), "", 'Data Entry'!$q$564)</f>
      </c>
      <c r="AX564">
        <f>IF(ISBLANK('Data Entry'!$r$564), "", 'Data Entry'!$r$564)</f>
      </c>
      <c r="AY564">
        <f>IF(ISBLANK('Data Entry'!$s$564), "", 'Data Entry'!$s$564)</f>
      </c>
      <c r="AZ564">
        <f>IF(ISBLANK('Data Entry'!$t$564), "", 'Data Entry'!$t$564)</f>
      </c>
      <c r="BA564">
        <f>IF(ISBLANK('Data Entry'!$u$564), "", 'Data Entry'!$u$564)</f>
      </c>
      <c r="BB564">
        <f>IF(ISBLANK('Data Entry'!$v$564), "", 'Data Entry'!$v$564)</f>
      </c>
      <c r="BC564">
        <f>IF(ISBLANK('Data Entry'!$w$564), "", 'Data Entry'!$w$564)</f>
      </c>
      <c r="BD564">
        <f>IF(ISBLANK('Data Entry'!$x$564), "", 'Data Entry'!$x$564)</f>
      </c>
      <c r="BE564">
        <f>IF(ISBLANK('Data Entry'!$y$564), "", 'Data Entry'!$y$564)</f>
      </c>
      <c r="BF564">
        <f>IF(ISBLANK('Data Entry'!$z$564), "", 'Data Entry'!$z$564)</f>
      </c>
      <c r="BG564">
        <f>IF(ISBLANK('Data Entry'!${$564), "", 'Data Entry'!${$564)</f>
      </c>
      <c r="BH564">
        <f>IF(ISBLANK('Data Entry'!$|$564), "", 'Data Entry'!$|$564)</f>
      </c>
      <c r="BI564">
        <f>IF(ISBLANK('Data Entry'!$}$564), "", 'Data Entry'!$}$564)</f>
      </c>
      <c r="BJ564">
        <f>IF(ISBLANK('Data Entry'!$~$564), "", 'Data Entry'!$~$564)</f>
      </c>
      <c r="BK564">
        <f>IF(ISBLANK('Data Entry'!$$564), "", 'Data Entry'!$$564)</f>
      </c>
      <c r="BL564">
        <f>IF(ISBLANK('Data Entry'!$$564), "", 'Data Entry'!$$564)</f>
      </c>
      <c r="BM564">
        <f>IF(ISBLANK('Data Entry'!$$564), "", 'Data Entry'!$$564)</f>
      </c>
      <c r="BN564">
        <f>IF(ISBLANK('Data Entry'!$$564), "", 'Data Entry'!$$564)</f>
      </c>
      <c r="BO564">
        <f>IF(ISBLANK('Data Entry'!$$564), "", 'Data Entry'!$$564)</f>
      </c>
      <c r="BP564">
        <f>IF(ISBLANK('Data Entry'!$$564), "", 'Data Entry'!$$564)</f>
      </c>
      <c r="BQ564">
        <f>IF(ISBLANK('Data Entry'!$$564), "", 'Data Entry'!$$564)</f>
      </c>
      <c r="BR564">
        <f>IF(ISBLANK('Data Entry'!$$564), "", 'Data Entry'!$$564)</f>
      </c>
      <c r="BS564">
        <f>IF(ISBLANK('Data Entry'!$$564), "", 'Data Entry'!$$564)</f>
      </c>
      <c r="BT564">
        <f>IF(ISBLANK('Data Entry'!$$564), "", 'Data Entry'!$$564)</f>
      </c>
      <c r="BU564">
        <f>IF(ISBLANK('Data Entry'!$$564), "", 'Data Entry'!$$564)</f>
      </c>
      <c r="BV564">
        <f>IF(ISBLANK('Data Entry'!$$564), "", 'Data Entry'!$$564)</f>
      </c>
      <c r="BW564">
        <f>IF(ISBLANK('Data Entry'!$$564), "", 'Data Entry'!$$564)</f>
      </c>
      <c r="BX564">
        <f>IF(ISBLANK('Data Entry'!$$564), "", 'Data Entry'!$$564)</f>
      </c>
      <c r="BY564">
        <f>IF(ISBLANK('Data Entry'!$$564), "", 'Data Entry'!$$564)</f>
      </c>
      <c r="BZ564">
        <f>IF(ISBLANK('Data Entry'!$$564), "", 'Data Entry'!$$564)</f>
      </c>
      <c r="CA564">
        <f>IF(ISBLANK('Data Entry'!$$564), "", 'Data Entry'!$$564)</f>
      </c>
      <c r="CB564">
        <f>IF(ISBLANK('Data Entry'!$$564), "", 'Data Entry'!$$564)</f>
      </c>
      <c r="CC564">
        <f>IF(ISBLANK('Data Entry'!$$564), "", 'Data Entry'!$$564)</f>
      </c>
      <c r="CD564">
        <f>IF(ISBLANK('Data Entry'!$$564), "", 'Data Entry'!$$564)</f>
      </c>
      <c r="CE564">
        <f>IF(ISBLANK('Data Entry'!$$564), "", 'Data Entry'!$$564)</f>
      </c>
      <c r="CF564">
        <f>IF(ISBLANK('Data Entry'!$$564), "", 'Data Entry'!$$564)</f>
      </c>
      <c r="CG564">
        <f>IF(ISBLANK('Data Entry'!$$564), "", 'Data Entry'!$$564)</f>
      </c>
      <c r="CH564">
        <f>IF(ISBLANK('Data Entry'!$$564), "", 'Data Entry'!$$564)</f>
      </c>
      <c r="CI564">
        <f>IF(ISBLANK('Data Entry'!$$564), "", 'Data Entry'!$$564)</f>
      </c>
      <c r="CJ564">
        <f>IF(ISBLANK('Data Entry'!$$564), "", 'Data Entry'!$$564)</f>
      </c>
      <c r="CK564">
        <f>IF(ISBLANK('Data Entry'!$$564), "", 'Data Entry'!$$564)</f>
      </c>
      <c r="CL564">
        <f>IF(ISBLANK('Data Entry'!$$564), "", 'Data Entry'!$$564)</f>
      </c>
      <c r="CM564">
        <f>IF(ISBLANK('Data Entry'!$$564), "", 'Data Entry'!$$564)</f>
      </c>
      <c r="CN564">
        <f>IF(ISBLANK('Data Entry'!$$564), "", 'Data Entry'!$$564)</f>
      </c>
      <c r="CO564">
        <f>IF(ISBLANK('Data Entry'!$$564), "", 'Data Entry'!$$564)</f>
      </c>
      <c r="CP564">
        <f>IF(ISBLANK('Data Entry'!$$564), "", 'Data Entry'!$$564)</f>
      </c>
      <c r="CQ564">
        <f>IF(ISBLANK('Data Entry'!$$564), "", 'Data Entry'!$$564)</f>
      </c>
      <c r="CR564">
        <f>IF(ISBLANK('Data Entry'!$ $564), "", 'Data Entry'!$ $564)</f>
      </c>
      <c r="CS564">
        <f>IF(ISBLANK('Data Entry'!$¡$564), "", 'Data Entry'!$¡$564)</f>
      </c>
      <c r="CT564">
        <f>IF(ISBLANK('Data Entry'!$¢$564), "", 'Data Entry'!$¢$564)</f>
      </c>
      <c r="CU564">
        <f>IF(ISBLANK('Data Entry'!$£$564), "", 'Data Entry'!$£$564)</f>
      </c>
      <c r="CV564">
        <f>IF(ISBLANK('Data Entry'!$¤$564), "", 'Data Entry'!$¤$564)</f>
      </c>
      <c r="CW564">
        <f>IF(ISBLANK('Data Entry'!$¥$564), "", 'Data Entry'!$¥$564)</f>
      </c>
      <c r="CX564">
        <f>IF(ISBLANK('Data Entry'!$¦$564), "", 'Data Entry'!$¦$564)</f>
      </c>
      <c r="CY564">
        <f>IF(ISBLANK('Data Entry'!$§$564), "", 'Data Entry'!$§$564)</f>
      </c>
      <c r="CZ564">
        <f>IF(ISBLANK('Data Entry'!$¨$564), "", 'Data Entry'!$¨$564)</f>
      </c>
      <c r="DA564">
        <f>IF(ISBLANK('Data Entry'!$©$564), "", 'Data Entry'!$©$564)</f>
      </c>
      <c r="DB564">
        <f>IF(ISBLANK('Data Entry'!$ª$564), "", 'Data Entry'!$ª$564)</f>
      </c>
      <c r="DC564">
        <f>IF(ISBLANK('Data Entry'!$«$564), "", 'Data Entry'!$«$564)</f>
      </c>
      <c r="DD564">
        <f>IF(ISBLANK('Data Entry'!$¬$564), "", 'Data Entry'!$¬$564)</f>
      </c>
      <c r="DE564">
        <f>IF(ISBLANK('Data Entry'!$­$564), "", 'Data Entry'!$­$564)</f>
      </c>
      <c r="DF564">
        <f>IF(ISBLANK('Data Entry'!$®$564), "", 'Data Entry'!$®$564)</f>
      </c>
      <c r="DG564">
        <f>IF(ISBLANK('Data Entry'!$¯$564), "", 'Data Entry'!$¯$564)</f>
      </c>
      <c r="DH564">
        <f>IF(ISBLANK('Data Entry'!$°$564), "", 'Data Entry'!$°$564)</f>
      </c>
      <c r="DI564">
        <f>IF(ISBLANK('Data Entry'!$±$564), "", 'Data Entry'!$±$564)</f>
      </c>
      <c r="DJ564">
        <f>IF(ISBLANK('Data Entry'!$²$564), "", 'Data Entry'!$²$564)</f>
      </c>
      <c r="DK564">
        <f>IF(ISBLANK('Data Entry'!$³$564), "", 'Data Entry'!$³$564)</f>
      </c>
      <c r="DL564">
        <f>IF(ISBLANK('Data Entry'!$´$564), "", 'Data Entry'!$´$564)</f>
      </c>
      <c r="DM564">
        <f>IF(ISBLANK('Data Entry'!$µ$564), "", 'Data Entry'!$µ$564)</f>
      </c>
      <c r="DN564">
        <f>IF(ISBLANK('Data Entry'!$¶$564), "", 'Data Entry'!$¶$564)</f>
      </c>
      <c r="DO564">
        <f>IF(ISBLANK('Data Entry'!$·$564), "", 'Data Entry'!$·$564)</f>
      </c>
      <c r="DP564">
        <f>IF(ISBLANK('Data Entry'!$¸$564), "", 'Data Entry'!$¸$564)</f>
      </c>
      <c r="DQ564">
        <f>IF(ISBLANK('Data Entry'!$¹$564), "", 'Data Entry'!$¹$564)</f>
      </c>
      <c r="DR564">
        <f>IF(ISBLANK('Data Entry'!$º$564), "", 'Data Entry'!$º$564)</f>
      </c>
      <c r="DS564">
        <f>IF(ISBLANK('Data Entry'!$»$564), "", 'Data Entry'!$»$564)</f>
      </c>
      <c r="DT564">
        <f>IF(ISBLANK('Data Entry'!$¼$564), "", 'Data Entry'!$¼$564)</f>
      </c>
      <c r="DU564">
        <f>IF(ISBLANK('Data Entry'!$½$564), "", 'Data Entry'!$½$564)</f>
      </c>
      <c r="DV564">
        <f>IF(ISBLANK('Data Entry'!$¾$564), "", 'Data Entry'!$¾$564)</f>
      </c>
      <c r="DW564">
        <f>IF(ISBLANK('Data Entry'!$¿$564), "", 'Data Entry'!$¿$564)</f>
      </c>
      <c r="DX564">
        <f>IF(ISBLANK('Data Entry'!$À$564), "", 'Data Entry'!$À$564)</f>
      </c>
      <c r="DY564">
        <f>IF(ISBLANK('Data Entry'!$Á$564), "", 'Data Entry'!$Á$564)</f>
      </c>
      <c r="DZ564">
        <f>IF(ISBLANK('Data Entry'!$Â$564), "", 'Data Entry'!$Â$564)</f>
      </c>
      <c r="EA564">
        <f>IF(ISBLANK('Data Entry'!$Ã$564), "", 'Data Entry'!$Ã$564)</f>
      </c>
      <c r="EB564">
        <f>IF(ISBLANK('Data Entry'!$Ä$564), "", 'Data Entry'!$Ä$564)</f>
      </c>
      <c r="EC564">
        <f>IF(ISBLANK('Data Entry'!$Å$564), "", 'Data Entry'!$Å$564)</f>
      </c>
      <c r="ED564">
        <f>IF(ISBLANK('Data Entry'!$Æ$564), "", 'Data Entry'!$Æ$564)</f>
      </c>
      <c r="EE564">
        <f>IF(ISBLANK('Data Entry'!$Ç$564), "", 'Data Entry'!$Ç$564)</f>
      </c>
      <c r="EF564">
        <f>IF(ISBLANK('Data Entry'!$È$564), "", 'Data Entry'!$È$564)</f>
      </c>
      <c r="EG564">
        <f>IF(ISBLANK('Data Entry'!$É$564), "", 'Data Entry'!$É$564)</f>
      </c>
      <c r="EH564">
        <f>IF(ISBLANK('Data Entry'!$Ê$564), "", 'Data Entry'!$Ê$564)</f>
      </c>
      <c r="EI564">
        <f>IF(ISBLANK('Data Entry'!$Ë$564), "", 'Data Entry'!$Ë$564)</f>
      </c>
      <c r="EJ564">
        <f>IF(ISBLANK('Data Entry'!$Ì$564), "", 'Data Entry'!$Ì$564)</f>
      </c>
      <c r="EK564">
        <f>IF(ISBLANK('Data Entry'!$Í$564), "", 'Data Entry'!$Í$564)</f>
      </c>
      <c r="EL564">
        <f>IF(ISBLANK('Data Entry'!$Î$564), "", 'Data Entry'!$Î$564)</f>
      </c>
      <c r="EM564">
        <f>IF(ISBLANK('Data Entry'!$Ï$564), "", 'Data Entry'!$Ï$564)</f>
      </c>
      <c r="EN564">
        <f>IF(ISBLANK('Data Entry'!$Ð$564), "", 'Data Entry'!$Ð$564)</f>
      </c>
      <c r="EO564">
        <f>IF(ISBLANK('Data Entry'!$Ñ$564), "", 'Data Entry'!$Ñ$564)</f>
      </c>
      <c r="EP564">
        <f>IF(ISBLANK('Data Entry'!$Ò$564), "", 'Data Entry'!$Ò$564)</f>
      </c>
      <c r="EQ564">
        <f>IF(ISBLANK('Data Entry'!$Ó$564), "", 'Data Entry'!$Ó$564)</f>
      </c>
      <c r="ER564">
        <f>IF(ISBLANK('Data Entry'!$Ô$564), "", 'Data Entry'!$Ô$564)</f>
      </c>
      <c r="ES564">
        <f>IF(ISBLANK('Data Entry'!$Õ$564), "", 'Data Entry'!$Õ$564)</f>
      </c>
      <c r="ET564">
        <f>IF(ISBLANK('Data Entry'!$Ö$564), "", 'Data Entry'!$Ö$564)</f>
      </c>
      <c r="EU564">
        <f>IF(ISBLANK('Data Entry'!$×$564), "", 'Data Entry'!$×$564)</f>
      </c>
      <c r="EV564">
        <f>IF(ISBLANK('Data Entry'!$Ø$564), "", 'Data Entry'!$Ø$564)</f>
      </c>
      <c r="EW564">
        <f>IF(ISBLANK('Data Entry'!$Ù$564), "", 'Data Entry'!$Ù$564)</f>
      </c>
      <c r="EX564">
        <f>IF(ISBLANK('Data Entry'!$Ú$564), "", 'Data Entry'!$Ú$564)</f>
      </c>
      <c r="EY564">
        <f>IF(ISBLANK('Data Entry'!$Û$564), "", 'Data Entry'!$Û$564)</f>
      </c>
      <c r="EZ564">
        <f>IF(ISBLANK('Data Entry'!$Ü$564), "", 'Data Entry'!$Ü$564)</f>
      </c>
      <c r="FA564">
        <f>IF(ISBLANK('Data Entry'!$Ý$564), "", 'Data Entry'!$Ý$564)</f>
      </c>
      <c r="FB564">
        <f>IF(ISBLANK('Data Entry'!$Þ$564), "", 'Data Entry'!$Þ$564)</f>
      </c>
      <c r="FC564">
        <f>IF(ISBLANK('Data Entry'!$ß$564), "", 'Data Entry'!$ß$564)</f>
      </c>
      <c r="FD564">
        <f>IF(ISBLANK('Data Entry'!$à$564), "", 'Data Entry'!$à$564)</f>
      </c>
      <c r="FE564">
        <f>IF(ISBLANK('Data Entry'!$á$564), "", 'Data Entry'!$á$564)</f>
      </c>
      <c r="FF564">
        <f>IF(ISBLANK('Data Entry'!$â$564), "", 'Data Entry'!$â$564)</f>
      </c>
      <c r="FG564">
        <f>IF(ISBLANK('Data Entry'!$ã$564), "", 'Data Entry'!$ã$564)</f>
      </c>
      <c r="FH564">
        <f>IF(ISBLANK('Data Entry'!$ä$564), "", 'Data Entry'!$ä$564)</f>
      </c>
      <c r="FI564">
        <f>IF(ISBLANK('Data Entry'!$å$564), "", 'Data Entry'!$å$564)</f>
      </c>
      <c r="FJ564">
        <f>IF(ISBLANK('Data Entry'!$æ$564), "", 'Data Entry'!$æ$564)</f>
      </c>
      <c r="FK564">
        <f>IF(ISBLANK('Data Entry'!$ç$564), "", 'Data Entry'!$ç$564)</f>
      </c>
      <c r="FL564">
        <f>IF(ISBLANK('Data Entry'!$è$564), "", 'Data Entry'!$è$564)</f>
      </c>
      <c r="FM564">
        <f>IF(ISBLANK('Data Entry'!$é$564), "", 'Data Entry'!$é$564)</f>
      </c>
      <c r="FN564">
        <f>IF(ISBLANK('Data Entry'!$ê$564), "", 'Data Entry'!$ê$564)</f>
      </c>
      <c r="FO564">
        <f>IF(ISBLANK('Data Entry'!$ë$564), "", 'Data Entry'!$ë$564)</f>
      </c>
      <c r="FP564">
        <f>IF(ISBLANK('Data Entry'!$ì$564), "", 'Data Entry'!$ì$564)</f>
      </c>
      <c r="FQ564">
        <f>IF(ISBLANK('Data Entry'!$í$564), "", 'Data Entry'!$í$564)</f>
      </c>
      <c r="FR564">
        <f>IF(ISBLANK('Data Entry'!$î$564), "", 'Data Entry'!$î$564)</f>
      </c>
      <c r="FS564">
        <f>IF(ISBLANK('Data Entry'!$ï$564), "", 'Data Entry'!$ï$564)</f>
      </c>
      <c r="FT564">
        <f>IF(ISBLANK('Data Entry'!$ð$564), "", 'Data Entry'!$ð$564)</f>
      </c>
      <c r="FU564">
        <f>IF(ISBLANK('Data Entry'!$ñ$564), "", 'Data Entry'!$ñ$564)</f>
      </c>
      <c r="FV564">
        <f>IF(ISBLANK('Data Entry'!$ò$564), "", 'Data Entry'!$ò$564)</f>
      </c>
      <c r="FW564">
        <f>IF(ISBLANK('Data Entry'!$ó$564), "", 'Data Entry'!$ó$564)</f>
      </c>
      <c r="FX564">
        <f>IF(ISBLANK('Data Entry'!$ô$564), "", 'Data Entry'!$ô$564)</f>
      </c>
      <c r="FY564">
        <f>IF(ISBLANK('Data Entry'!$õ$564), "", 'Data Entry'!$õ$564)</f>
      </c>
      <c r="FZ564">
        <f>IF(ISBLANK('Data Entry'!$ö$564), "", 'Data Entry'!$ö$564)</f>
      </c>
      <c r="GA564">
        <f>IF(ISBLANK('Data Entry'!$÷$564), "", 'Data Entry'!$÷$564)</f>
      </c>
      <c r="GB564">
        <f>IF(ISBLANK('Data Entry'!$ø$564), "", 'Data Entry'!$ø$564)</f>
      </c>
      <c r="GC564">
        <f>IF(ISBLANK('Data Entry'!$ù$564), "", 'Data Entry'!$ù$564)</f>
      </c>
      <c r="GD564">
        <f>IF(ISBLANK('Data Entry'!$ú$564), "", 'Data Entry'!$ú$564)</f>
      </c>
      <c r="GE564">
        <f>IF(ISBLANK('Data Entry'!$û$564), "", 'Data Entry'!$û$564)</f>
      </c>
      <c r="GF564">
        <f>IF(ISBLANK('Data Entry'!$ü$564), "", 'Data Entry'!$ü$564)</f>
      </c>
      <c r="GG564">
        <f>IF(ISBLANK('Data Entry'!$ý$564), "", 'Data Entry'!$ý$564)</f>
      </c>
      <c r="GH564">
        <f>IF(ISBLANK('Data Entry'!$þ$564), "", 'Data Entry'!$þ$564)</f>
      </c>
      <c r="GI564">
        <f>IF(ISBLANK('Data Entry'!$ÿ$564), "", 'Data Entry'!$ÿ$564)</f>
      </c>
      <c r="GJ564">
        <f>IF(ISBLANK('Data Entry'!$Ā$564), "", 'Data Entry'!$Ā$564)</f>
      </c>
      <c r="GK564">
        <f>IF(ISBLANK('Data Entry'!$ā$564), "", 'Data Entry'!$ā$564)</f>
      </c>
      <c r="GL564">
        <f>IF(ISBLANK('Data Entry'!$Ă$564), "", 'Data Entry'!$Ă$564)</f>
      </c>
      <c r="GM564">
        <f>IF(ISBLANK('Data Entry'!$ă$564), "", 'Data Entry'!$ă$564)</f>
      </c>
      <c r="GN564">
        <f>IF(ISBLANK('Data Entry'!$Ą$564), "", 'Data Entry'!$Ą$564)</f>
      </c>
      <c r="GO564">
        <f>IF(ISBLANK('Data Entry'!$ą$564), "", 'Data Entry'!$ą$564)</f>
      </c>
      <c r="GP564">
        <f>IF(ISBLANK('Data Entry'!$Ć$564), "", 'Data Entry'!$Ć$564)</f>
      </c>
      <c r="GQ564">
        <f>IF(ISBLANK('Data Entry'!$ć$564), "", 'Data Entry'!$ć$564)</f>
      </c>
      <c r="GR564">
        <f>IF(ISBLANK('Data Entry'!$Ĉ$564), "", 'Data Entry'!$Ĉ$564)</f>
      </c>
      <c r="GS564">
        <f>IF(ISBLANK('Data Entry'!$ĉ$564), "", 'Data Entry'!$ĉ$564)</f>
      </c>
      <c r="GT564">
        <f>IF(ISBLANK('Data Entry'!$Ċ$564), "", 'Data Entry'!$Ċ$564)</f>
      </c>
      <c r="GU564">
        <f>IF(ISBLANK('Data Entry'!$ċ$564), "", 'Data Entry'!$ċ$564)</f>
      </c>
      <c r="GV564">
        <f>IF(ISBLANK('Data Entry'!$Č$564), "", 'Data Entry'!$Č$564)</f>
      </c>
      <c r="GW564">
        <f>IF(ISBLANK('Data Entry'!$č$564), "", 'Data Entry'!$č$564)</f>
      </c>
      <c r="GX564">
        <f>IF(ISBLANK('Data Entry'!$Ď$564), "", 'Data Entry'!$Ď$564)</f>
      </c>
      <c r="GY564">
        <f>IF(ISBLANK('Data Entry'!$ď$564), "", 'Data Entry'!$ď$564)</f>
      </c>
      <c r="GZ564">
        <f>IF(ISBLANK('Data Entry'!$Đ$564), "", 'Data Entry'!$Đ$564)</f>
      </c>
      <c r="HA564">
        <f>IF(ISBLANK('Data Entry'!$đ$564), "", 'Data Entry'!$đ$564)</f>
      </c>
      <c r="HB564">
        <f>IF(ISBLANK('Data Entry'!$Ē$564), "", 'Data Entry'!$Ē$564)</f>
      </c>
      <c r="HC564">
        <f>IF(ISBLANK('Data Entry'!$ē$564), "", 'Data Entry'!$ē$564)</f>
      </c>
      <c r="HD564">
        <f>IF(ISBLANK('Data Entry'!$Ĕ$564), "", 'Data Entry'!$Ĕ$564)</f>
      </c>
      <c r="HE564">
        <f>IF(ISBLANK('Data Entry'!$ĕ$564), "", 'Data Entry'!$ĕ$564)</f>
      </c>
      <c r="HF564">
        <f>IF(ISBLANK('Data Entry'!$Ė$564), "", 'Data Entry'!$Ė$564)</f>
      </c>
      <c r="HG564">
        <f>IF(ISBLANK('Data Entry'!$ė$564), "", 'Data Entry'!$ė$564)</f>
      </c>
      <c r="HH564">
        <f>IF(ISBLANK('Data Entry'!$Ę$564), "", 'Data Entry'!$Ę$564)</f>
      </c>
      <c r="HI564">
        <f>IF(ISBLANK('Data Entry'!$ę$564), "", 'Data Entry'!$ę$564)</f>
      </c>
      <c r="HJ564">
        <f>IF(ISBLANK('Data Entry'!$Ě$564), "", 'Data Entry'!$Ě$564)</f>
      </c>
      <c r="HK564">
        <f>IF(ISBLANK('Data Entry'!$ě$564), "", 'Data Entry'!$ě$564)</f>
      </c>
      <c r="HL564">
        <f>IF(ISBLANK('Data Entry'!$Ĝ$564), "", 'Data Entry'!$Ĝ$564)</f>
      </c>
      <c r="HM564">
        <f>IF(ISBLANK('Data Entry'!$ĝ$564), "", 'Data Entry'!$ĝ$564)</f>
      </c>
      <c r="HN564">
        <f>IF(ISBLANK('Data Entry'!$Ğ$564), "", 'Data Entry'!$Ğ$564)</f>
      </c>
      <c r="HO564">
        <f>IF(ISBLANK('Data Entry'!$ğ$564), "", 'Data Entry'!$ğ$564)</f>
      </c>
      <c r="HP564">
        <f>IF(ISBLANK('Data Entry'!$Ġ$564), "", 'Data Entry'!$Ġ$564)</f>
      </c>
      <c r="HQ564">
        <f>IF(ISBLANK('Data Entry'!$ġ$564), "", 'Data Entry'!$ġ$564)</f>
      </c>
      <c r="HR564">
        <f>IF(ISBLANK('Data Entry'!$Ģ$564), "", 'Data Entry'!$Ģ$564)</f>
      </c>
      <c r="HS564">
        <f>IF(ISBLANK('Data Entry'!$ģ$564), "", 'Data Entry'!$ģ$564)</f>
      </c>
      <c r="HT564">
        <f>IF(ISBLANK('Data Entry'!$Ĥ$564), "", 'Data Entry'!$Ĥ$564)</f>
      </c>
      <c r="HU564">
        <f>IF(ISBLANK('Data Entry'!$ĥ$564), "", 'Data Entry'!$ĥ$564)</f>
      </c>
      <c r="HV564">
        <f>IF(ISBLANK('Data Entry'!$Ħ$564), "", 'Data Entry'!$Ħ$564)</f>
      </c>
      <c r="HW564">
        <f>IF(ISBLANK('Data Entry'!$ħ$564), "", 'Data Entry'!$ħ$564)</f>
      </c>
      <c r="HX564">
        <f>IF(ISBLANK('Data Entry'!$Ĩ$564), "", 'Data Entry'!$Ĩ$564)</f>
      </c>
      <c r="HY564">
        <f>IF(ISBLANK('Data Entry'!$ĩ$564), "", 'Data Entry'!$ĩ$564)</f>
      </c>
      <c r="HZ564">
        <f>IF(ISBLANK('Data Entry'!$Ī$564), "", 'Data Entry'!$Ī$564)</f>
      </c>
      <c r="IA564">
        <f>IF(ISBLANK('Data Entry'!$ī$564), "", 'Data Entry'!$ī$564)</f>
      </c>
      <c r="IB564">
        <f>IF(ISBLANK('Data Entry'!$Ĭ$564), "", 'Data Entry'!$Ĭ$564)</f>
      </c>
      <c r="IC564">
        <f>IF(ISBLANK('Data Entry'!$ĭ$564), "", 'Data Entry'!$ĭ$564)</f>
      </c>
      <c r="ID564">
        <f>IF(ISBLANK('Data Entry'!$Į$564), "", 'Data Entry'!$Į$564)</f>
      </c>
      <c r="IE564">
        <f>IF(ISBLANK('Data Entry'!$į$564), "", 'Data Entry'!$į$564)</f>
      </c>
      <c r="IF564">
        <f>IF(ISBLANK('Data Entry'!$İ$564), "", 'Data Entry'!$İ$564)</f>
      </c>
      <c r="IG564">
        <f>IF(ISBLANK('Data Entry'!$ı$564), "", 'Data Entry'!$ı$564)</f>
      </c>
      <c r="IH564">
        <f>IF(ISBLANK('Data Entry'!$Ĳ$564), "", 'Data Entry'!$Ĳ$564)</f>
      </c>
      <c r="II564">
        <f>IF(ISBLANK('Data Entry'!$ĳ$564), "", 'Data Entry'!$ĳ$564)</f>
      </c>
      <c r="IJ564">
        <f>IF(ISBLANK('Data Entry'!$Ĵ$564), "", 'Data Entry'!$Ĵ$564)</f>
      </c>
      <c r="IK564">
        <f>IF(ISBLANK('Data Entry'!$ĵ$564), "", 'Data Entry'!$ĵ$564)</f>
      </c>
      <c r="IL564">
        <f>IF(ISBLANK('Data Entry'!$Ķ$564), "", 'Data Entry'!$Ķ$564)</f>
      </c>
      <c r="IM564">
        <f>IF(ISBLANK('Data Entry'!$ķ$564), "", 'Data Entry'!$ķ$564)</f>
      </c>
      <c r="IN564">
        <f>IF(ISBLANK('Data Entry'!$ĸ$564), "", 'Data Entry'!$ĸ$564)</f>
      </c>
      <c r="IO564">
        <f>IF(ISBLANK('Data Entry'!$Ĺ$564), "", 'Data Entry'!$Ĺ$564)</f>
      </c>
      <c r="IP564">
        <f>IF(ISBLANK('Data Entry'!$ĺ$564), "", 'Data Entry'!$ĺ$564)</f>
      </c>
      <c r="IQ564">
        <f>IF(ISBLANK('Data Entry'!$Ļ$564), "", 'Data Entry'!$Ļ$564)</f>
      </c>
      <c r="IR564">
        <f>IF(ISBLANK('Data Entry'!$ļ$564), "", 'Data Entry'!$ļ$564)</f>
      </c>
      <c r="IS564">
        <f>IF(ISBLANK('Data Entry'!$Ľ$564), "", 'Data Entry'!$Ľ$564)</f>
      </c>
      <c r="IT564">
        <f>IF(ISBLANK('Data Entry'!$ľ$564), "", 'Data Entry'!$ľ$564)</f>
      </c>
    </row>
    <row r="565" spans="1:254" x14ac:dyDescent="0.25">
      <c r="A565">
        <f>IF(ISBLANK('Data Entry'!$A$565), "", 'Data Entry'!$A$565)</f>
      </c>
      <c r="B565">
        <f>IF(ISBLANK('Data Entry'!$B$565), "", 'Data Entry'!$B$565)</f>
      </c>
      <c r="C565">
        <f>IF(ISBLANK('Data Entry'!$C$565), "", 'Data Entry'!$C$565)</f>
      </c>
      <c r="D565">
        <f>IF(ISBLANK('Data Entry'!$D$565), "", 'Data Entry'!$D$565)</f>
      </c>
      <c r="E565">
        <f>IF(ISBLANK('Data Entry'!$E$565), "", 'Data Entry'!$E$565)</f>
      </c>
      <c r="F565">
        <f>IF(ISBLANK('Data Entry'!$F$565), "", 'Data Entry'!$F$565)</f>
      </c>
      <c r="G565">
        <f>IF(ISBLANK('Data Entry'!$G$565), "", 'Data Entry'!$G$565)</f>
      </c>
      <c r="H565">
        <f>IF(ISBLANK('Data Entry'!$H$565), "", 'Data Entry'!$H$565)</f>
      </c>
      <c r="I565">
        <f>IF(ISBLANK('Data Entry'!$I$565), "", 'Data Entry'!$I$565)</f>
      </c>
      <c r="J565">
        <f>IF(ISBLANK('Data Entry'!$J$565), "", 'Data Entry'!$J$565)</f>
      </c>
      <c r="K565">
        <f>IF(ISBLANK('Data Entry'!$K$565), "", 'Data Entry'!$K$565)</f>
      </c>
      <c r="L565">
        <f>IF(ISBLANK('Data Entry'!$L$565), "", 'Data Entry'!$L$565)</f>
      </c>
      <c r="M565">
        <f>IF(ISBLANK('Data Entry'!$M$565), "", 'Data Entry'!$M$565)</f>
      </c>
      <c r="N565">
        <f>IF(ISBLANK('Data Entry'!$N$565), "", 'Data Entry'!$N$565)</f>
      </c>
      <c r="O565">
        <f>IF(ISBLANK('Data Entry'!$O$565), "", 'Data Entry'!$O$565)</f>
      </c>
      <c r="P565">
        <f>IF(ISBLANK('Data Entry'!$P$565), "", 'Data Entry'!$P$565)</f>
      </c>
      <c r="Q565">
        <f>IF(ISBLANK('Data Entry'!$Q$565), "", 'Data Entry'!$Q$565)</f>
      </c>
      <c r="R565">
        <f>IF(ISBLANK('Data Entry'!$R$565), "", 'Data Entry'!$R$565)</f>
      </c>
      <c r="S565">
        <f>IF(ISBLANK('Data Entry'!$S$565), "", 'Data Entry'!$S$565)</f>
      </c>
      <c r="T565">
        <f>IF(ISBLANK('Data Entry'!$T$565), "", 'Data Entry'!$T$565)</f>
      </c>
      <c r="U565">
        <f>IF(ISBLANK('Data Entry'!$U$565), "", 'Data Entry'!$U$565)</f>
      </c>
      <c r="V565">
        <f>IF(ISBLANK('Data Entry'!$V$565), "", 'Data Entry'!$V$565)</f>
      </c>
      <c r="W565">
        <f>IF(ISBLANK('Data Entry'!$W$565), "", 'Data Entry'!$W$565)</f>
      </c>
      <c r="X565">
        <f>IF(ISBLANK('Data Entry'!$X$565), "", 'Data Entry'!$X$565)</f>
      </c>
      <c r="Y565">
        <f>IF(ISBLANK('Data Entry'!$Y$565), "", 'Data Entry'!$Y$565)</f>
      </c>
      <c r="Z565">
        <f>IF(ISBLANK('Data Entry'!$Z$565), "", 'Data Entry'!$Z$565)</f>
      </c>
      <c r="AA565">
        <f>IF(ISBLANK('Data Entry'!$[$565), "", 'Data Entry'!$[$565)</f>
      </c>
      <c r="AB565">
        <f>IF(ISBLANK('Data Entry'!$\$565), "", 'Data Entry'!$\$565)</f>
      </c>
      <c r="AC565">
        <f>IF(ISBLANK('Data Entry'!$]$565), "", 'Data Entry'!$]$565)</f>
      </c>
      <c r="AD565">
        <f>IF(ISBLANK('Data Entry'!$^$565), "", 'Data Entry'!$^$565)</f>
      </c>
      <c r="AE565">
        <f>IF(ISBLANK('Data Entry'!$_$565), "", 'Data Entry'!$_$565)</f>
      </c>
      <c r="AF565">
        <f>IF(ISBLANK('Data Entry'!$`$565), "", 'Data Entry'!$`$565)</f>
      </c>
      <c r="AG565">
        <f>IF(ISBLANK('Data Entry'!$a$565), "", 'Data Entry'!$a$565)</f>
      </c>
      <c r="AH565">
        <f>IF(ISBLANK('Data Entry'!$b$565), "", 'Data Entry'!$b$565)</f>
      </c>
      <c r="AI565">
        <f>IF(ISBLANK('Data Entry'!$c$565), "", 'Data Entry'!$c$565)</f>
      </c>
      <c r="AJ565">
        <f>IF(ISBLANK('Data Entry'!$d$565), "", 'Data Entry'!$d$565)</f>
      </c>
      <c r="AK565">
        <f>IF(ISBLANK('Data Entry'!$e$565), "", 'Data Entry'!$e$565)</f>
      </c>
      <c r="AL565">
        <f>IF(ISBLANK('Data Entry'!$f$565), "", 'Data Entry'!$f$565)</f>
      </c>
      <c r="AM565">
        <f>IF(ISBLANK('Data Entry'!$g$565), "", 'Data Entry'!$g$565)</f>
      </c>
      <c r="AN565">
        <f>IF(ISBLANK('Data Entry'!$h$565), "", 'Data Entry'!$h$565)</f>
      </c>
      <c r="AO565">
        <f>IF(ISBLANK('Data Entry'!$i$565), "", 'Data Entry'!$i$565)</f>
      </c>
      <c r="AP565">
        <f>IF(ISBLANK('Data Entry'!$j$565), "", 'Data Entry'!$j$565)</f>
      </c>
      <c r="AQ565">
        <f>IF(ISBLANK('Data Entry'!$k$565), "", 'Data Entry'!$k$565)</f>
      </c>
      <c r="AR565">
        <f>IF(ISBLANK('Data Entry'!$l$565), "", 'Data Entry'!$l$565)</f>
      </c>
      <c r="AS565">
        <f>IF(ISBLANK('Data Entry'!$m$565), "", 'Data Entry'!$m$565)</f>
      </c>
      <c r="AT565">
        <f>IF(ISBLANK('Data Entry'!$n$565), "", 'Data Entry'!$n$565)</f>
      </c>
      <c r="AU565">
        <f>IF(ISBLANK('Data Entry'!$o$565), "", 'Data Entry'!$o$565)</f>
      </c>
      <c r="AV565">
        <f>IF(ISBLANK('Data Entry'!$p$565), "", 'Data Entry'!$p$565)</f>
      </c>
      <c r="AW565">
        <f>IF(ISBLANK('Data Entry'!$q$565), "", 'Data Entry'!$q$565)</f>
      </c>
      <c r="AX565">
        <f>IF(ISBLANK('Data Entry'!$r$565), "", 'Data Entry'!$r$565)</f>
      </c>
      <c r="AY565">
        <f>IF(ISBLANK('Data Entry'!$s$565), "", 'Data Entry'!$s$565)</f>
      </c>
      <c r="AZ565">
        <f>IF(ISBLANK('Data Entry'!$t$565), "", 'Data Entry'!$t$565)</f>
      </c>
      <c r="BA565">
        <f>IF(ISBLANK('Data Entry'!$u$565), "", 'Data Entry'!$u$565)</f>
      </c>
      <c r="BB565">
        <f>IF(ISBLANK('Data Entry'!$v$565), "", 'Data Entry'!$v$565)</f>
      </c>
      <c r="BC565">
        <f>IF(ISBLANK('Data Entry'!$w$565), "", 'Data Entry'!$w$565)</f>
      </c>
      <c r="BD565">
        <f>IF(ISBLANK('Data Entry'!$x$565), "", 'Data Entry'!$x$565)</f>
      </c>
      <c r="BE565">
        <f>IF(ISBLANK('Data Entry'!$y$565), "", 'Data Entry'!$y$565)</f>
      </c>
      <c r="BF565">
        <f>IF(ISBLANK('Data Entry'!$z$565), "", 'Data Entry'!$z$565)</f>
      </c>
      <c r="BG565">
        <f>IF(ISBLANK('Data Entry'!${$565), "", 'Data Entry'!${$565)</f>
      </c>
      <c r="BH565">
        <f>IF(ISBLANK('Data Entry'!$|$565), "", 'Data Entry'!$|$565)</f>
      </c>
      <c r="BI565">
        <f>IF(ISBLANK('Data Entry'!$}$565), "", 'Data Entry'!$}$565)</f>
      </c>
      <c r="BJ565">
        <f>IF(ISBLANK('Data Entry'!$~$565), "", 'Data Entry'!$~$565)</f>
      </c>
      <c r="BK565">
        <f>IF(ISBLANK('Data Entry'!$$565), "", 'Data Entry'!$$565)</f>
      </c>
      <c r="BL565">
        <f>IF(ISBLANK('Data Entry'!$$565), "", 'Data Entry'!$$565)</f>
      </c>
      <c r="BM565">
        <f>IF(ISBLANK('Data Entry'!$$565), "", 'Data Entry'!$$565)</f>
      </c>
      <c r="BN565">
        <f>IF(ISBLANK('Data Entry'!$$565), "", 'Data Entry'!$$565)</f>
      </c>
      <c r="BO565">
        <f>IF(ISBLANK('Data Entry'!$$565), "", 'Data Entry'!$$565)</f>
      </c>
      <c r="BP565">
        <f>IF(ISBLANK('Data Entry'!$$565), "", 'Data Entry'!$$565)</f>
      </c>
      <c r="BQ565">
        <f>IF(ISBLANK('Data Entry'!$$565), "", 'Data Entry'!$$565)</f>
      </c>
      <c r="BR565">
        <f>IF(ISBLANK('Data Entry'!$$565), "", 'Data Entry'!$$565)</f>
      </c>
      <c r="BS565">
        <f>IF(ISBLANK('Data Entry'!$$565), "", 'Data Entry'!$$565)</f>
      </c>
      <c r="BT565">
        <f>IF(ISBLANK('Data Entry'!$$565), "", 'Data Entry'!$$565)</f>
      </c>
      <c r="BU565">
        <f>IF(ISBLANK('Data Entry'!$$565), "", 'Data Entry'!$$565)</f>
      </c>
      <c r="BV565">
        <f>IF(ISBLANK('Data Entry'!$$565), "", 'Data Entry'!$$565)</f>
      </c>
      <c r="BW565">
        <f>IF(ISBLANK('Data Entry'!$$565), "", 'Data Entry'!$$565)</f>
      </c>
      <c r="BX565">
        <f>IF(ISBLANK('Data Entry'!$$565), "", 'Data Entry'!$$565)</f>
      </c>
      <c r="BY565">
        <f>IF(ISBLANK('Data Entry'!$$565), "", 'Data Entry'!$$565)</f>
      </c>
      <c r="BZ565">
        <f>IF(ISBLANK('Data Entry'!$$565), "", 'Data Entry'!$$565)</f>
      </c>
      <c r="CA565">
        <f>IF(ISBLANK('Data Entry'!$$565), "", 'Data Entry'!$$565)</f>
      </c>
      <c r="CB565">
        <f>IF(ISBLANK('Data Entry'!$$565), "", 'Data Entry'!$$565)</f>
      </c>
      <c r="CC565">
        <f>IF(ISBLANK('Data Entry'!$$565), "", 'Data Entry'!$$565)</f>
      </c>
      <c r="CD565">
        <f>IF(ISBLANK('Data Entry'!$$565), "", 'Data Entry'!$$565)</f>
      </c>
      <c r="CE565">
        <f>IF(ISBLANK('Data Entry'!$$565), "", 'Data Entry'!$$565)</f>
      </c>
      <c r="CF565">
        <f>IF(ISBLANK('Data Entry'!$$565), "", 'Data Entry'!$$565)</f>
      </c>
      <c r="CG565">
        <f>IF(ISBLANK('Data Entry'!$$565), "", 'Data Entry'!$$565)</f>
      </c>
      <c r="CH565">
        <f>IF(ISBLANK('Data Entry'!$$565), "", 'Data Entry'!$$565)</f>
      </c>
      <c r="CI565">
        <f>IF(ISBLANK('Data Entry'!$$565), "", 'Data Entry'!$$565)</f>
      </c>
      <c r="CJ565">
        <f>IF(ISBLANK('Data Entry'!$$565), "", 'Data Entry'!$$565)</f>
      </c>
      <c r="CK565">
        <f>IF(ISBLANK('Data Entry'!$$565), "", 'Data Entry'!$$565)</f>
      </c>
      <c r="CL565">
        <f>IF(ISBLANK('Data Entry'!$$565), "", 'Data Entry'!$$565)</f>
      </c>
      <c r="CM565">
        <f>IF(ISBLANK('Data Entry'!$$565), "", 'Data Entry'!$$565)</f>
      </c>
      <c r="CN565">
        <f>IF(ISBLANK('Data Entry'!$$565), "", 'Data Entry'!$$565)</f>
      </c>
      <c r="CO565">
        <f>IF(ISBLANK('Data Entry'!$$565), "", 'Data Entry'!$$565)</f>
      </c>
      <c r="CP565">
        <f>IF(ISBLANK('Data Entry'!$$565), "", 'Data Entry'!$$565)</f>
      </c>
      <c r="CQ565">
        <f>IF(ISBLANK('Data Entry'!$$565), "", 'Data Entry'!$$565)</f>
      </c>
      <c r="CR565">
        <f>IF(ISBLANK('Data Entry'!$ $565), "", 'Data Entry'!$ $565)</f>
      </c>
      <c r="CS565">
        <f>IF(ISBLANK('Data Entry'!$¡$565), "", 'Data Entry'!$¡$565)</f>
      </c>
      <c r="CT565">
        <f>IF(ISBLANK('Data Entry'!$¢$565), "", 'Data Entry'!$¢$565)</f>
      </c>
      <c r="CU565">
        <f>IF(ISBLANK('Data Entry'!$£$565), "", 'Data Entry'!$£$565)</f>
      </c>
      <c r="CV565">
        <f>IF(ISBLANK('Data Entry'!$¤$565), "", 'Data Entry'!$¤$565)</f>
      </c>
      <c r="CW565">
        <f>IF(ISBLANK('Data Entry'!$¥$565), "", 'Data Entry'!$¥$565)</f>
      </c>
      <c r="CX565">
        <f>IF(ISBLANK('Data Entry'!$¦$565), "", 'Data Entry'!$¦$565)</f>
      </c>
      <c r="CY565">
        <f>IF(ISBLANK('Data Entry'!$§$565), "", 'Data Entry'!$§$565)</f>
      </c>
      <c r="CZ565">
        <f>IF(ISBLANK('Data Entry'!$¨$565), "", 'Data Entry'!$¨$565)</f>
      </c>
      <c r="DA565">
        <f>IF(ISBLANK('Data Entry'!$©$565), "", 'Data Entry'!$©$565)</f>
      </c>
      <c r="DB565">
        <f>IF(ISBLANK('Data Entry'!$ª$565), "", 'Data Entry'!$ª$565)</f>
      </c>
      <c r="DC565">
        <f>IF(ISBLANK('Data Entry'!$«$565), "", 'Data Entry'!$«$565)</f>
      </c>
      <c r="DD565">
        <f>IF(ISBLANK('Data Entry'!$¬$565), "", 'Data Entry'!$¬$565)</f>
      </c>
      <c r="DE565">
        <f>IF(ISBLANK('Data Entry'!$­$565), "", 'Data Entry'!$­$565)</f>
      </c>
      <c r="DF565">
        <f>IF(ISBLANK('Data Entry'!$®$565), "", 'Data Entry'!$®$565)</f>
      </c>
      <c r="DG565">
        <f>IF(ISBLANK('Data Entry'!$¯$565), "", 'Data Entry'!$¯$565)</f>
      </c>
      <c r="DH565">
        <f>IF(ISBLANK('Data Entry'!$°$565), "", 'Data Entry'!$°$565)</f>
      </c>
      <c r="DI565">
        <f>IF(ISBLANK('Data Entry'!$±$565), "", 'Data Entry'!$±$565)</f>
      </c>
      <c r="DJ565">
        <f>IF(ISBLANK('Data Entry'!$²$565), "", 'Data Entry'!$²$565)</f>
      </c>
      <c r="DK565">
        <f>IF(ISBLANK('Data Entry'!$³$565), "", 'Data Entry'!$³$565)</f>
      </c>
      <c r="DL565">
        <f>IF(ISBLANK('Data Entry'!$´$565), "", 'Data Entry'!$´$565)</f>
      </c>
      <c r="DM565">
        <f>IF(ISBLANK('Data Entry'!$µ$565), "", 'Data Entry'!$µ$565)</f>
      </c>
      <c r="DN565">
        <f>IF(ISBLANK('Data Entry'!$¶$565), "", 'Data Entry'!$¶$565)</f>
      </c>
      <c r="DO565">
        <f>IF(ISBLANK('Data Entry'!$·$565), "", 'Data Entry'!$·$565)</f>
      </c>
      <c r="DP565">
        <f>IF(ISBLANK('Data Entry'!$¸$565), "", 'Data Entry'!$¸$565)</f>
      </c>
      <c r="DQ565">
        <f>IF(ISBLANK('Data Entry'!$¹$565), "", 'Data Entry'!$¹$565)</f>
      </c>
      <c r="DR565">
        <f>IF(ISBLANK('Data Entry'!$º$565), "", 'Data Entry'!$º$565)</f>
      </c>
      <c r="DS565">
        <f>IF(ISBLANK('Data Entry'!$»$565), "", 'Data Entry'!$»$565)</f>
      </c>
      <c r="DT565">
        <f>IF(ISBLANK('Data Entry'!$¼$565), "", 'Data Entry'!$¼$565)</f>
      </c>
      <c r="DU565">
        <f>IF(ISBLANK('Data Entry'!$½$565), "", 'Data Entry'!$½$565)</f>
      </c>
      <c r="DV565">
        <f>IF(ISBLANK('Data Entry'!$¾$565), "", 'Data Entry'!$¾$565)</f>
      </c>
      <c r="DW565">
        <f>IF(ISBLANK('Data Entry'!$¿$565), "", 'Data Entry'!$¿$565)</f>
      </c>
      <c r="DX565">
        <f>IF(ISBLANK('Data Entry'!$À$565), "", 'Data Entry'!$À$565)</f>
      </c>
      <c r="DY565">
        <f>IF(ISBLANK('Data Entry'!$Á$565), "", 'Data Entry'!$Á$565)</f>
      </c>
      <c r="DZ565">
        <f>IF(ISBLANK('Data Entry'!$Â$565), "", 'Data Entry'!$Â$565)</f>
      </c>
      <c r="EA565">
        <f>IF(ISBLANK('Data Entry'!$Ã$565), "", 'Data Entry'!$Ã$565)</f>
      </c>
      <c r="EB565">
        <f>IF(ISBLANK('Data Entry'!$Ä$565), "", 'Data Entry'!$Ä$565)</f>
      </c>
      <c r="EC565">
        <f>IF(ISBLANK('Data Entry'!$Å$565), "", 'Data Entry'!$Å$565)</f>
      </c>
      <c r="ED565">
        <f>IF(ISBLANK('Data Entry'!$Æ$565), "", 'Data Entry'!$Æ$565)</f>
      </c>
      <c r="EE565">
        <f>IF(ISBLANK('Data Entry'!$Ç$565), "", 'Data Entry'!$Ç$565)</f>
      </c>
      <c r="EF565">
        <f>IF(ISBLANK('Data Entry'!$È$565), "", 'Data Entry'!$È$565)</f>
      </c>
      <c r="EG565">
        <f>IF(ISBLANK('Data Entry'!$É$565), "", 'Data Entry'!$É$565)</f>
      </c>
      <c r="EH565">
        <f>IF(ISBLANK('Data Entry'!$Ê$565), "", 'Data Entry'!$Ê$565)</f>
      </c>
      <c r="EI565">
        <f>IF(ISBLANK('Data Entry'!$Ë$565), "", 'Data Entry'!$Ë$565)</f>
      </c>
      <c r="EJ565">
        <f>IF(ISBLANK('Data Entry'!$Ì$565), "", 'Data Entry'!$Ì$565)</f>
      </c>
      <c r="EK565">
        <f>IF(ISBLANK('Data Entry'!$Í$565), "", 'Data Entry'!$Í$565)</f>
      </c>
      <c r="EL565">
        <f>IF(ISBLANK('Data Entry'!$Î$565), "", 'Data Entry'!$Î$565)</f>
      </c>
      <c r="EM565">
        <f>IF(ISBLANK('Data Entry'!$Ï$565), "", 'Data Entry'!$Ï$565)</f>
      </c>
      <c r="EN565">
        <f>IF(ISBLANK('Data Entry'!$Ð$565), "", 'Data Entry'!$Ð$565)</f>
      </c>
      <c r="EO565">
        <f>IF(ISBLANK('Data Entry'!$Ñ$565), "", 'Data Entry'!$Ñ$565)</f>
      </c>
      <c r="EP565">
        <f>IF(ISBLANK('Data Entry'!$Ò$565), "", 'Data Entry'!$Ò$565)</f>
      </c>
      <c r="EQ565">
        <f>IF(ISBLANK('Data Entry'!$Ó$565), "", 'Data Entry'!$Ó$565)</f>
      </c>
      <c r="ER565">
        <f>IF(ISBLANK('Data Entry'!$Ô$565), "", 'Data Entry'!$Ô$565)</f>
      </c>
      <c r="ES565">
        <f>IF(ISBLANK('Data Entry'!$Õ$565), "", 'Data Entry'!$Õ$565)</f>
      </c>
      <c r="ET565">
        <f>IF(ISBLANK('Data Entry'!$Ö$565), "", 'Data Entry'!$Ö$565)</f>
      </c>
      <c r="EU565">
        <f>IF(ISBLANK('Data Entry'!$×$565), "", 'Data Entry'!$×$565)</f>
      </c>
      <c r="EV565">
        <f>IF(ISBLANK('Data Entry'!$Ø$565), "", 'Data Entry'!$Ø$565)</f>
      </c>
      <c r="EW565">
        <f>IF(ISBLANK('Data Entry'!$Ù$565), "", 'Data Entry'!$Ù$565)</f>
      </c>
      <c r="EX565">
        <f>IF(ISBLANK('Data Entry'!$Ú$565), "", 'Data Entry'!$Ú$565)</f>
      </c>
      <c r="EY565">
        <f>IF(ISBLANK('Data Entry'!$Û$565), "", 'Data Entry'!$Û$565)</f>
      </c>
      <c r="EZ565">
        <f>IF(ISBLANK('Data Entry'!$Ü$565), "", 'Data Entry'!$Ü$565)</f>
      </c>
      <c r="FA565">
        <f>IF(ISBLANK('Data Entry'!$Ý$565), "", 'Data Entry'!$Ý$565)</f>
      </c>
      <c r="FB565">
        <f>IF(ISBLANK('Data Entry'!$Þ$565), "", 'Data Entry'!$Þ$565)</f>
      </c>
      <c r="FC565">
        <f>IF(ISBLANK('Data Entry'!$ß$565), "", 'Data Entry'!$ß$565)</f>
      </c>
      <c r="FD565">
        <f>IF(ISBLANK('Data Entry'!$à$565), "", 'Data Entry'!$à$565)</f>
      </c>
      <c r="FE565">
        <f>IF(ISBLANK('Data Entry'!$á$565), "", 'Data Entry'!$á$565)</f>
      </c>
      <c r="FF565">
        <f>IF(ISBLANK('Data Entry'!$â$565), "", 'Data Entry'!$â$565)</f>
      </c>
      <c r="FG565">
        <f>IF(ISBLANK('Data Entry'!$ã$565), "", 'Data Entry'!$ã$565)</f>
      </c>
      <c r="FH565">
        <f>IF(ISBLANK('Data Entry'!$ä$565), "", 'Data Entry'!$ä$565)</f>
      </c>
      <c r="FI565">
        <f>IF(ISBLANK('Data Entry'!$å$565), "", 'Data Entry'!$å$565)</f>
      </c>
      <c r="FJ565">
        <f>IF(ISBLANK('Data Entry'!$æ$565), "", 'Data Entry'!$æ$565)</f>
      </c>
      <c r="FK565">
        <f>IF(ISBLANK('Data Entry'!$ç$565), "", 'Data Entry'!$ç$565)</f>
      </c>
      <c r="FL565">
        <f>IF(ISBLANK('Data Entry'!$è$565), "", 'Data Entry'!$è$565)</f>
      </c>
      <c r="FM565">
        <f>IF(ISBLANK('Data Entry'!$é$565), "", 'Data Entry'!$é$565)</f>
      </c>
      <c r="FN565">
        <f>IF(ISBLANK('Data Entry'!$ê$565), "", 'Data Entry'!$ê$565)</f>
      </c>
      <c r="FO565">
        <f>IF(ISBLANK('Data Entry'!$ë$565), "", 'Data Entry'!$ë$565)</f>
      </c>
      <c r="FP565">
        <f>IF(ISBLANK('Data Entry'!$ì$565), "", 'Data Entry'!$ì$565)</f>
      </c>
      <c r="FQ565">
        <f>IF(ISBLANK('Data Entry'!$í$565), "", 'Data Entry'!$í$565)</f>
      </c>
      <c r="FR565">
        <f>IF(ISBLANK('Data Entry'!$î$565), "", 'Data Entry'!$î$565)</f>
      </c>
      <c r="FS565">
        <f>IF(ISBLANK('Data Entry'!$ï$565), "", 'Data Entry'!$ï$565)</f>
      </c>
      <c r="FT565">
        <f>IF(ISBLANK('Data Entry'!$ð$565), "", 'Data Entry'!$ð$565)</f>
      </c>
      <c r="FU565">
        <f>IF(ISBLANK('Data Entry'!$ñ$565), "", 'Data Entry'!$ñ$565)</f>
      </c>
      <c r="FV565">
        <f>IF(ISBLANK('Data Entry'!$ò$565), "", 'Data Entry'!$ò$565)</f>
      </c>
      <c r="FW565">
        <f>IF(ISBLANK('Data Entry'!$ó$565), "", 'Data Entry'!$ó$565)</f>
      </c>
      <c r="FX565">
        <f>IF(ISBLANK('Data Entry'!$ô$565), "", 'Data Entry'!$ô$565)</f>
      </c>
      <c r="FY565">
        <f>IF(ISBLANK('Data Entry'!$õ$565), "", 'Data Entry'!$õ$565)</f>
      </c>
      <c r="FZ565">
        <f>IF(ISBLANK('Data Entry'!$ö$565), "", 'Data Entry'!$ö$565)</f>
      </c>
      <c r="GA565">
        <f>IF(ISBLANK('Data Entry'!$÷$565), "", 'Data Entry'!$÷$565)</f>
      </c>
      <c r="GB565">
        <f>IF(ISBLANK('Data Entry'!$ø$565), "", 'Data Entry'!$ø$565)</f>
      </c>
      <c r="GC565">
        <f>IF(ISBLANK('Data Entry'!$ù$565), "", 'Data Entry'!$ù$565)</f>
      </c>
      <c r="GD565">
        <f>IF(ISBLANK('Data Entry'!$ú$565), "", 'Data Entry'!$ú$565)</f>
      </c>
      <c r="GE565">
        <f>IF(ISBLANK('Data Entry'!$û$565), "", 'Data Entry'!$û$565)</f>
      </c>
      <c r="GF565">
        <f>IF(ISBLANK('Data Entry'!$ü$565), "", 'Data Entry'!$ü$565)</f>
      </c>
      <c r="GG565">
        <f>IF(ISBLANK('Data Entry'!$ý$565), "", 'Data Entry'!$ý$565)</f>
      </c>
      <c r="GH565">
        <f>IF(ISBLANK('Data Entry'!$þ$565), "", 'Data Entry'!$þ$565)</f>
      </c>
      <c r="GI565">
        <f>IF(ISBLANK('Data Entry'!$ÿ$565), "", 'Data Entry'!$ÿ$565)</f>
      </c>
      <c r="GJ565">
        <f>IF(ISBLANK('Data Entry'!$Ā$565), "", 'Data Entry'!$Ā$565)</f>
      </c>
      <c r="GK565">
        <f>IF(ISBLANK('Data Entry'!$ā$565), "", 'Data Entry'!$ā$565)</f>
      </c>
      <c r="GL565">
        <f>IF(ISBLANK('Data Entry'!$Ă$565), "", 'Data Entry'!$Ă$565)</f>
      </c>
      <c r="GM565">
        <f>IF(ISBLANK('Data Entry'!$ă$565), "", 'Data Entry'!$ă$565)</f>
      </c>
      <c r="GN565">
        <f>IF(ISBLANK('Data Entry'!$Ą$565), "", 'Data Entry'!$Ą$565)</f>
      </c>
      <c r="GO565">
        <f>IF(ISBLANK('Data Entry'!$ą$565), "", 'Data Entry'!$ą$565)</f>
      </c>
      <c r="GP565">
        <f>IF(ISBLANK('Data Entry'!$Ć$565), "", 'Data Entry'!$Ć$565)</f>
      </c>
      <c r="GQ565">
        <f>IF(ISBLANK('Data Entry'!$ć$565), "", 'Data Entry'!$ć$565)</f>
      </c>
      <c r="GR565">
        <f>IF(ISBLANK('Data Entry'!$Ĉ$565), "", 'Data Entry'!$Ĉ$565)</f>
      </c>
      <c r="GS565">
        <f>IF(ISBLANK('Data Entry'!$ĉ$565), "", 'Data Entry'!$ĉ$565)</f>
      </c>
      <c r="GT565">
        <f>IF(ISBLANK('Data Entry'!$Ċ$565), "", 'Data Entry'!$Ċ$565)</f>
      </c>
      <c r="GU565">
        <f>IF(ISBLANK('Data Entry'!$ċ$565), "", 'Data Entry'!$ċ$565)</f>
      </c>
      <c r="GV565">
        <f>IF(ISBLANK('Data Entry'!$Č$565), "", 'Data Entry'!$Č$565)</f>
      </c>
      <c r="GW565">
        <f>IF(ISBLANK('Data Entry'!$č$565), "", 'Data Entry'!$č$565)</f>
      </c>
      <c r="GX565">
        <f>IF(ISBLANK('Data Entry'!$Ď$565), "", 'Data Entry'!$Ď$565)</f>
      </c>
      <c r="GY565">
        <f>IF(ISBLANK('Data Entry'!$ď$565), "", 'Data Entry'!$ď$565)</f>
      </c>
      <c r="GZ565">
        <f>IF(ISBLANK('Data Entry'!$Đ$565), "", 'Data Entry'!$Đ$565)</f>
      </c>
      <c r="HA565">
        <f>IF(ISBLANK('Data Entry'!$đ$565), "", 'Data Entry'!$đ$565)</f>
      </c>
      <c r="HB565">
        <f>IF(ISBLANK('Data Entry'!$Ē$565), "", 'Data Entry'!$Ē$565)</f>
      </c>
      <c r="HC565">
        <f>IF(ISBLANK('Data Entry'!$ē$565), "", 'Data Entry'!$ē$565)</f>
      </c>
      <c r="HD565">
        <f>IF(ISBLANK('Data Entry'!$Ĕ$565), "", 'Data Entry'!$Ĕ$565)</f>
      </c>
      <c r="HE565">
        <f>IF(ISBLANK('Data Entry'!$ĕ$565), "", 'Data Entry'!$ĕ$565)</f>
      </c>
      <c r="HF565">
        <f>IF(ISBLANK('Data Entry'!$Ė$565), "", 'Data Entry'!$Ė$565)</f>
      </c>
      <c r="HG565">
        <f>IF(ISBLANK('Data Entry'!$ė$565), "", 'Data Entry'!$ė$565)</f>
      </c>
      <c r="HH565">
        <f>IF(ISBLANK('Data Entry'!$Ę$565), "", 'Data Entry'!$Ę$565)</f>
      </c>
      <c r="HI565">
        <f>IF(ISBLANK('Data Entry'!$ę$565), "", 'Data Entry'!$ę$565)</f>
      </c>
      <c r="HJ565">
        <f>IF(ISBLANK('Data Entry'!$Ě$565), "", 'Data Entry'!$Ě$565)</f>
      </c>
      <c r="HK565">
        <f>IF(ISBLANK('Data Entry'!$ě$565), "", 'Data Entry'!$ě$565)</f>
      </c>
      <c r="HL565">
        <f>IF(ISBLANK('Data Entry'!$Ĝ$565), "", 'Data Entry'!$Ĝ$565)</f>
      </c>
      <c r="HM565">
        <f>IF(ISBLANK('Data Entry'!$ĝ$565), "", 'Data Entry'!$ĝ$565)</f>
      </c>
      <c r="HN565">
        <f>IF(ISBLANK('Data Entry'!$Ğ$565), "", 'Data Entry'!$Ğ$565)</f>
      </c>
      <c r="HO565">
        <f>IF(ISBLANK('Data Entry'!$ğ$565), "", 'Data Entry'!$ğ$565)</f>
      </c>
      <c r="HP565">
        <f>IF(ISBLANK('Data Entry'!$Ġ$565), "", 'Data Entry'!$Ġ$565)</f>
      </c>
      <c r="HQ565">
        <f>IF(ISBLANK('Data Entry'!$ġ$565), "", 'Data Entry'!$ġ$565)</f>
      </c>
      <c r="HR565">
        <f>IF(ISBLANK('Data Entry'!$Ģ$565), "", 'Data Entry'!$Ģ$565)</f>
      </c>
      <c r="HS565">
        <f>IF(ISBLANK('Data Entry'!$ģ$565), "", 'Data Entry'!$ģ$565)</f>
      </c>
      <c r="HT565">
        <f>IF(ISBLANK('Data Entry'!$Ĥ$565), "", 'Data Entry'!$Ĥ$565)</f>
      </c>
      <c r="HU565">
        <f>IF(ISBLANK('Data Entry'!$ĥ$565), "", 'Data Entry'!$ĥ$565)</f>
      </c>
      <c r="HV565">
        <f>IF(ISBLANK('Data Entry'!$Ħ$565), "", 'Data Entry'!$Ħ$565)</f>
      </c>
      <c r="HW565">
        <f>IF(ISBLANK('Data Entry'!$ħ$565), "", 'Data Entry'!$ħ$565)</f>
      </c>
      <c r="HX565">
        <f>IF(ISBLANK('Data Entry'!$Ĩ$565), "", 'Data Entry'!$Ĩ$565)</f>
      </c>
      <c r="HY565">
        <f>IF(ISBLANK('Data Entry'!$ĩ$565), "", 'Data Entry'!$ĩ$565)</f>
      </c>
      <c r="HZ565">
        <f>IF(ISBLANK('Data Entry'!$Ī$565), "", 'Data Entry'!$Ī$565)</f>
      </c>
      <c r="IA565">
        <f>IF(ISBLANK('Data Entry'!$ī$565), "", 'Data Entry'!$ī$565)</f>
      </c>
      <c r="IB565">
        <f>IF(ISBLANK('Data Entry'!$Ĭ$565), "", 'Data Entry'!$Ĭ$565)</f>
      </c>
      <c r="IC565">
        <f>IF(ISBLANK('Data Entry'!$ĭ$565), "", 'Data Entry'!$ĭ$565)</f>
      </c>
      <c r="ID565">
        <f>IF(ISBLANK('Data Entry'!$Į$565), "", 'Data Entry'!$Į$565)</f>
      </c>
      <c r="IE565">
        <f>IF(ISBLANK('Data Entry'!$į$565), "", 'Data Entry'!$į$565)</f>
      </c>
      <c r="IF565">
        <f>IF(ISBLANK('Data Entry'!$İ$565), "", 'Data Entry'!$İ$565)</f>
      </c>
      <c r="IG565">
        <f>IF(ISBLANK('Data Entry'!$ı$565), "", 'Data Entry'!$ı$565)</f>
      </c>
      <c r="IH565">
        <f>IF(ISBLANK('Data Entry'!$Ĳ$565), "", 'Data Entry'!$Ĳ$565)</f>
      </c>
      <c r="II565">
        <f>IF(ISBLANK('Data Entry'!$ĳ$565), "", 'Data Entry'!$ĳ$565)</f>
      </c>
      <c r="IJ565">
        <f>IF(ISBLANK('Data Entry'!$Ĵ$565), "", 'Data Entry'!$Ĵ$565)</f>
      </c>
      <c r="IK565">
        <f>IF(ISBLANK('Data Entry'!$ĵ$565), "", 'Data Entry'!$ĵ$565)</f>
      </c>
      <c r="IL565">
        <f>IF(ISBLANK('Data Entry'!$Ķ$565), "", 'Data Entry'!$Ķ$565)</f>
      </c>
      <c r="IM565">
        <f>IF(ISBLANK('Data Entry'!$ķ$565), "", 'Data Entry'!$ķ$565)</f>
      </c>
      <c r="IN565">
        <f>IF(ISBLANK('Data Entry'!$ĸ$565), "", 'Data Entry'!$ĸ$565)</f>
      </c>
      <c r="IO565">
        <f>IF(ISBLANK('Data Entry'!$Ĺ$565), "", 'Data Entry'!$Ĺ$565)</f>
      </c>
      <c r="IP565">
        <f>IF(ISBLANK('Data Entry'!$ĺ$565), "", 'Data Entry'!$ĺ$565)</f>
      </c>
      <c r="IQ565">
        <f>IF(ISBLANK('Data Entry'!$Ļ$565), "", 'Data Entry'!$Ļ$565)</f>
      </c>
      <c r="IR565">
        <f>IF(ISBLANK('Data Entry'!$ļ$565), "", 'Data Entry'!$ļ$565)</f>
      </c>
      <c r="IS565">
        <f>IF(ISBLANK('Data Entry'!$Ľ$565), "", 'Data Entry'!$Ľ$565)</f>
      </c>
      <c r="IT565">
        <f>IF(ISBLANK('Data Entry'!$ľ$565), "", 'Data Entry'!$ľ$565)</f>
      </c>
    </row>
    <row r="566" spans="1:254" x14ac:dyDescent="0.25">
      <c r="A566">
        <f>IF(ISBLANK('Data Entry'!$A$566), "", 'Data Entry'!$A$566)</f>
      </c>
      <c r="B566">
        <f>IF(ISBLANK('Data Entry'!$B$566), "", 'Data Entry'!$B$566)</f>
      </c>
      <c r="C566">
        <f>IF(ISBLANK('Data Entry'!$C$566), "", 'Data Entry'!$C$566)</f>
      </c>
      <c r="D566">
        <f>IF(ISBLANK('Data Entry'!$D$566), "", 'Data Entry'!$D$566)</f>
      </c>
      <c r="E566">
        <f>IF(ISBLANK('Data Entry'!$E$566), "", 'Data Entry'!$E$566)</f>
      </c>
      <c r="F566">
        <f>IF(ISBLANK('Data Entry'!$F$566), "", 'Data Entry'!$F$566)</f>
      </c>
      <c r="G566">
        <f>IF(ISBLANK('Data Entry'!$G$566), "", 'Data Entry'!$G$566)</f>
      </c>
      <c r="H566">
        <f>IF(ISBLANK('Data Entry'!$H$566), "", 'Data Entry'!$H$566)</f>
      </c>
      <c r="I566">
        <f>IF(ISBLANK('Data Entry'!$I$566), "", 'Data Entry'!$I$566)</f>
      </c>
      <c r="J566">
        <f>IF(ISBLANK('Data Entry'!$J$566), "", 'Data Entry'!$J$566)</f>
      </c>
      <c r="K566">
        <f>IF(ISBLANK('Data Entry'!$K$566), "", 'Data Entry'!$K$566)</f>
      </c>
      <c r="L566">
        <f>IF(ISBLANK('Data Entry'!$L$566), "", 'Data Entry'!$L$566)</f>
      </c>
      <c r="M566">
        <f>IF(ISBLANK('Data Entry'!$M$566), "", 'Data Entry'!$M$566)</f>
      </c>
      <c r="N566">
        <f>IF(ISBLANK('Data Entry'!$N$566), "", 'Data Entry'!$N$566)</f>
      </c>
      <c r="O566">
        <f>IF(ISBLANK('Data Entry'!$O$566), "", 'Data Entry'!$O$566)</f>
      </c>
      <c r="P566">
        <f>IF(ISBLANK('Data Entry'!$P$566), "", 'Data Entry'!$P$566)</f>
      </c>
      <c r="Q566">
        <f>IF(ISBLANK('Data Entry'!$Q$566), "", 'Data Entry'!$Q$566)</f>
      </c>
      <c r="R566">
        <f>IF(ISBLANK('Data Entry'!$R$566), "", 'Data Entry'!$R$566)</f>
      </c>
      <c r="S566">
        <f>IF(ISBLANK('Data Entry'!$S$566), "", 'Data Entry'!$S$566)</f>
      </c>
      <c r="T566">
        <f>IF(ISBLANK('Data Entry'!$T$566), "", 'Data Entry'!$T$566)</f>
      </c>
      <c r="U566">
        <f>IF(ISBLANK('Data Entry'!$U$566), "", 'Data Entry'!$U$566)</f>
      </c>
      <c r="V566">
        <f>IF(ISBLANK('Data Entry'!$V$566), "", 'Data Entry'!$V$566)</f>
      </c>
      <c r="W566">
        <f>IF(ISBLANK('Data Entry'!$W$566), "", 'Data Entry'!$W$566)</f>
      </c>
      <c r="X566">
        <f>IF(ISBLANK('Data Entry'!$X$566), "", 'Data Entry'!$X$566)</f>
      </c>
      <c r="Y566">
        <f>IF(ISBLANK('Data Entry'!$Y$566), "", 'Data Entry'!$Y$566)</f>
      </c>
      <c r="Z566">
        <f>IF(ISBLANK('Data Entry'!$Z$566), "", 'Data Entry'!$Z$566)</f>
      </c>
      <c r="AA566">
        <f>IF(ISBLANK('Data Entry'!$[$566), "", 'Data Entry'!$[$566)</f>
      </c>
      <c r="AB566">
        <f>IF(ISBLANK('Data Entry'!$\$566), "", 'Data Entry'!$\$566)</f>
      </c>
      <c r="AC566">
        <f>IF(ISBLANK('Data Entry'!$]$566), "", 'Data Entry'!$]$566)</f>
      </c>
      <c r="AD566">
        <f>IF(ISBLANK('Data Entry'!$^$566), "", 'Data Entry'!$^$566)</f>
      </c>
      <c r="AE566">
        <f>IF(ISBLANK('Data Entry'!$_$566), "", 'Data Entry'!$_$566)</f>
      </c>
      <c r="AF566">
        <f>IF(ISBLANK('Data Entry'!$`$566), "", 'Data Entry'!$`$566)</f>
      </c>
      <c r="AG566">
        <f>IF(ISBLANK('Data Entry'!$a$566), "", 'Data Entry'!$a$566)</f>
      </c>
      <c r="AH566">
        <f>IF(ISBLANK('Data Entry'!$b$566), "", 'Data Entry'!$b$566)</f>
      </c>
      <c r="AI566">
        <f>IF(ISBLANK('Data Entry'!$c$566), "", 'Data Entry'!$c$566)</f>
      </c>
      <c r="AJ566">
        <f>IF(ISBLANK('Data Entry'!$d$566), "", 'Data Entry'!$d$566)</f>
      </c>
      <c r="AK566">
        <f>IF(ISBLANK('Data Entry'!$e$566), "", 'Data Entry'!$e$566)</f>
      </c>
      <c r="AL566">
        <f>IF(ISBLANK('Data Entry'!$f$566), "", 'Data Entry'!$f$566)</f>
      </c>
      <c r="AM566">
        <f>IF(ISBLANK('Data Entry'!$g$566), "", 'Data Entry'!$g$566)</f>
      </c>
      <c r="AN566">
        <f>IF(ISBLANK('Data Entry'!$h$566), "", 'Data Entry'!$h$566)</f>
      </c>
      <c r="AO566">
        <f>IF(ISBLANK('Data Entry'!$i$566), "", 'Data Entry'!$i$566)</f>
      </c>
      <c r="AP566">
        <f>IF(ISBLANK('Data Entry'!$j$566), "", 'Data Entry'!$j$566)</f>
      </c>
      <c r="AQ566">
        <f>IF(ISBLANK('Data Entry'!$k$566), "", 'Data Entry'!$k$566)</f>
      </c>
      <c r="AR566">
        <f>IF(ISBLANK('Data Entry'!$l$566), "", 'Data Entry'!$l$566)</f>
      </c>
      <c r="AS566">
        <f>IF(ISBLANK('Data Entry'!$m$566), "", 'Data Entry'!$m$566)</f>
      </c>
      <c r="AT566">
        <f>IF(ISBLANK('Data Entry'!$n$566), "", 'Data Entry'!$n$566)</f>
      </c>
      <c r="AU566">
        <f>IF(ISBLANK('Data Entry'!$o$566), "", 'Data Entry'!$o$566)</f>
      </c>
      <c r="AV566">
        <f>IF(ISBLANK('Data Entry'!$p$566), "", 'Data Entry'!$p$566)</f>
      </c>
      <c r="AW566">
        <f>IF(ISBLANK('Data Entry'!$q$566), "", 'Data Entry'!$q$566)</f>
      </c>
      <c r="AX566">
        <f>IF(ISBLANK('Data Entry'!$r$566), "", 'Data Entry'!$r$566)</f>
      </c>
      <c r="AY566">
        <f>IF(ISBLANK('Data Entry'!$s$566), "", 'Data Entry'!$s$566)</f>
      </c>
      <c r="AZ566">
        <f>IF(ISBLANK('Data Entry'!$t$566), "", 'Data Entry'!$t$566)</f>
      </c>
      <c r="BA566">
        <f>IF(ISBLANK('Data Entry'!$u$566), "", 'Data Entry'!$u$566)</f>
      </c>
      <c r="BB566">
        <f>IF(ISBLANK('Data Entry'!$v$566), "", 'Data Entry'!$v$566)</f>
      </c>
      <c r="BC566">
        <f>IF(ISBLANK('Data Entry'!$w$566), "", 'Data Entry'!$w$566)</f>
      </c>
      <c r="BD566">
        <f>IF(ISBLANK('Data Entry'!$x$566), "", 'Data Entry'!$x$566)</f>
      </c>
      <c r="BE566">
        <f>IF(ISBLANK('Data Entry'!$y$566), "", 'Data Entry'!$y$566)</f>
      </c>
      <c r="BF566">
        <f>IF(ISBLANK('Data Entry'!$z$566), "", 'Data Entry'!$z$566)</f>
      </c>
      <c r="BG566">
        <f>IF(ISBLANK('Data Entry'!${$566), "", 'Data Entry'!${$566)</f>
      </c>
      <c r="BH566">
        <f>IF(ISBLANK('Data Entry'!$|$566), "", 'Data Entry'!$|$566)</f>
      </c>
      <c r="BI566">
        <f>IF(ISBLANK('Data Entry'!$}$566), "", 'Data Entry'!$}$566)</f>
      </c>
      <c r="BJ566">
        <f>IF(ISBLANK('Data Entry'!$~$566), "", 'Data Entry'!$~$566)</f>
      </c>
      <c r="BK566">
        <f>IF(ISBLANK('Data Entry'!$$566), "", 'Data Entry'!$$566)</f>
      </c>
      <c r="BL566">
        <f>IF(ISBLANK('Data Entry'!$$566), "", 'Data Entry'!$$566)</f>
      </c>
      <c r="BM566">
        <f>IF(ISBLANK('Data Entry'!$$566), "", 'Data Entry'!$$566)</f>
      </c>
      <c r="BN566">
        <f>IF(ISBLANK('Data Entry'!$$566), "", 'Data Entry'!$$566)</f>
      </c>
      <c r="BO566">
        <f>IF(ISBLANK('Data Entry'!$$566), "", 'Data Entry'!$$566)</f>
      </c>
      <c r="BP566">
        <f>IF(ISBLANK('Data Entry'!$$566), "", 'Data Entry'!$$566)</f>
      </c>
      <c r="BQ566">
        <f>IF(ISBLANK('Data Entry'!$$566), "", 'Data Entry'!$$566)</f>
      </c>
      <c r="BR566">
        <f>IF(ISBLANK('Data Entry'!$$566), "", 'Data Entry'!$$566)</f>
      </c>
      <c r="BS566">
        <f>IF(ISBLANK('Data Entry'!$$566), "", 'Data Entry'!$$566)</f>
      </c>
      <c r="BT566">
        <f>IF(ISBLANK('Data Entry'!$$566), "", 'Data Entry'!$$566)</f>
      </c>
      <c r="BU566">
        <f>IF(ISBLANK('Data Entry'!$$566), "", 'Data Entry'!$$566)</f>
      </c>
      <c r="BV566">
        <f>IF(ISBLANK('Data Entry'!$$566), "", 'Data Entry'!$$566)</f>
      </c>
      <c r="BW566">
        <f>IF(ISBLANK('Data Entry'!$$566), "", 'Data Entry'!$$566)</f>
      </c>
      <c r="BX566">
        <f>IF(ISBLANK('Data Entry'!$$566), "", 'Data Entry'!$$566)</f>
      </c>
      <c r="BY566">
        <f>IF(ISBLANK('Data Entry'!$$566), "", 'Data Entry'!$$566)</f>
      </c>
      <c r="BZ566">
        <f>IF(ISBLANK('Data Entry'!$$566), "", 'Data Entry'!$$566)</f>
      </c>
      <c r="CA566">
        <f>IF(ISBLANK('Data Entry'!$$566), "", 'Data Entry'!$$566)</f>
      </c>
      <c r="CB566">
        <f>IF(ISBLANK('Data Entry'!$$566), "", 'Data Entry'!$$566)</f>
      </c>
      <c r="CC566">
        <f>IF(ISBLANK('Data Entry'!$$566), "", 'Data Entry'!$$566)</f>
      </c>
      <c r="CD566">
        <f>IF(ISBLANK('Data Entry'!$$566), "", 'Data Entry'!$$566)</f>
      </c>
      <c r="CE566">
        <f>IF(ISBLANK('Data Entry'!$$566), "", 'Data Entry'!$$566)</f>
      </c>
      <c r="CF566">
        <f>IF(ISBLANK('Data Entry'!$$566), "", 'Data Entry'!$$566)</f>
      </c>
      <c r="CG566">
        <f>IF(ISBLANK('Data Entry'!$$566), "", 'Data Entry'!$$566)</f>
      </c>
      <c r="CH566">
        <f>IF(ISBLANK('Data Entry'!$$566), "", 'Data Entry'!$$566)</f>
      </c>
      <c r="CI566">
        <f>IF(ISBLANK('Data Entry'!$$566), "", 'Data Entry'!$$566)</f>
      </c>
      <c r="CJ566">
        <f>IF(ISBLANK('Data Entry'!$$566), "", 'Data Entry'!$$566)</f>
      </c>
      <c r="CK566">
        <f>IF(ISBLANK('Data Entry'!$$566), "", 'Data Entry'!$$566)</f>
      </c>
      <c r="CL566">
        <f>IF(ISBLANK('Data Entry'!$$566), "", 'Data Entry'!$$566)</f>
      </c>
      <c r="CM566">
        <f>IF(ISBLANK('Data Entry'!$$566), "", 'Data Entry'!$$566)</f>
      </c>
      <c r="CN566">
        <f>IF(ISBLANK('Data Entry'!$$566), "", 'Data Entry'!$$566)</f>
      </c>
      <c r="CO566">
        <f>IF(ISBLANK('Data Entry'!$$566), "", 'Data Entry'!$$566)</f>
      </c>
      <c r="CP566">
        <f>IF(ISBLANK('Data Entry'!$$566), "", 'Data Entry'!$$566)</f>
      </c>
      <c r="CQ566">
        <f>IF(ISBLANK('Data Entry'!$$566), "", 'Data Entry'!$$566)</f>
      </c>
      <c r="CR566">
        <f>IF(ISBLANK('Data Entry'!$ $566), "", 'Data Entry'!$ $566)</f>
      </c>
      <c r="CS566">
        <f>IF(ISBLANK('Data Entry'!$¡$566), "", 'Data Entry'!$¡$566)</f>
      </c>
      <c r="CT566">
        <f>IF(ISBLANK('Data Entry'!$¢$566), "", 'Data Entry'!$¢$566)</f>
      </c>
      <c r="CU566">
        <f>IF(ISBLANK('Data Entry'!$£$566), "", 'Data Entry'!$£$566)</f>
      </c>
      <c r="CV566">
        <f>IF(ISBLANK('Data Entry'!$¤$566), "", 'Data Entry'!$¤$566)</f>
      </c>
      <c r="CW566">
        <f>IF(ISBLANK('Data Entry'!$¥$566), "", 'Data Entry'!$¥$566)</f>
      </c>
      <c r="CX566">
        <f>IF(ISBLANK('Data Entry'!$¦$566), "", 'Data Entry'!$¦$566)</f>
      </c>
      <c r="CY566">
        <f>IF(ISBLANK('Data Entry'!$§$566), "", 'Data Entry'!$§$566)</f>
      </c>
      <c r="CZ566">
        <f>IF(ISBLANK('Data Entry'!$¨$566), "", 'Data Entry'!$¨$566)</f>
      </c>
      <c r="DA566">
        <f>IF(ISBLANK('Data Entry'!$©$566), "", 'Data Entry'!$©$566)</f>
      </c>
      <c r="DB566">
        <f>IF(ISBLANK('Data Entry'!$ª$566), "", 'Data Entry'!$ª$566)</f>
      </c>
      <c r="DC566">
        <f>IF(ISBLANK('Data Entry'!$«$566), "", 'Data Entry'!$«$566)</f>
      </c>
      <c r="DD566">
        <f>IF(ISBLANK('Data Entry'!$¬$566), "", 'Data Entry'!$¬$566)</f>
      </c>
      <c r="DE566">
        <f>IF(ISBLANK('Data Entry'!$­$566), "", 'Data Entry'!$­$566)</f>
      </c>
      <c r="DF566">
        <f>IF(ISBLANK('Data Entry'!$®$566), "", 'Data Entry'!$®$566)</f>
      </c>
      <c r="DG566">
        <f>IF(ISBLANK('Data Entry'!$¯$566), "", 'Data Entry'!$¯$566)</f>
      </c>
      <c r="DH566">
        <f>IF(ISBLANK('Data Entry'!$°$566), "", 'Data Entry'!$°$566)</f>
      </c>
      <c r="DI566">
        <f>IF(ISBLANK('Data Entry'!$±$566), "", 'Data Entry'!$±$566)</f>
      </c>
      <c r="DJ566">
        <f>IF(ISBLANK('Data Entry'!$²$566), "", 'Data Entry'!$²$566)</f>
      </c>
      <c r="DK566">
        <f>IF(ISBLANK('Data Entry'!$³$566), "", 'Data Entry'!$³$566)</f>
      </c>
      <c r="DL566">
        <f>IF(ISBLANK('Data Entry'!$´$566), "", 'Data Entry'!$´$566)</f>
      </c>
      <c r="DM566">
        <f>IF(ISBLANK('Data Entry'!$µ$566), "", 'Data Entry'!$µ$566)</f>
      </c>
      <c r="DN566">
        <f>IF(ISBLANK('Data Entry'!$¶$566), "", 'Data Entry'!$¶$566)</f>
      </c>
      <c r="DO566">
        <f>IF(ISBLANK('Data Entry'!$·$566), "", 'Data Entry'!$·$566)</f>
      </c>
      <c r="DP566">
        <f>IF(ISBLANK('Data Entry'!$¸$566), "", 'Data Entry'!$¸$566)</f>
      </c>
      <c r="DQ566">
        <f>IF(ISBLANK('Data Entry'!$¹$566), "", 'Data Entry'!$¹$566)</f>
      </c>
      <c r="DR566">
        <f>IF(ISBLANK('Data Entry'!$º$566), "", 'Data Entry'!$º$566)</f>
      </c>
      <c r="DS566">
        <f>IF(ISBLANK('Data Entry'!$»$566), "", 'Data Entry'!$»$566)</f>
      </c>
      <c r="DT566">
        <f>IF(ISBLANK('Data Entry'!$¼$566), "", 'Data Entry'!$¼$566)</f>
      </c>
      <c r="DU566">
        <f>IF(ISBLANK('Data Entry'!$½$566), "", 'Data Entry'!$½$566)</f>
      </c>
      <c r="DV566">
        <f>IF(ISBLANK('Data Entry'!$¾$566), "", 'Data Entry'!$¾$566)</f>
      </c>
      <c r="DW566">
        <f>IF(ISBLANK('Data Entry'!$¿$566), "", 'Data Entry'!$¿$566)</f>
      </c>
      <c r="DX566">
        <f>IF(ISBLANK('Data Entry'!$À$566), "", 'Data Entry'!$À$566)</f>
      </c>
      <c r="DY566">
        <f>IF(ISBLANK('Data Entry'!$Á$566), "", 'Data Entry'!$Á$566)</f>
      </c>
      <c r="DZ566">
        <f>IF(ISBLANK('Data Entry'!$Â$566), "", 'Data Entry'!$Â$566)</f>
      </c>
      <c r="EA566">
        <f>IF(ISBLANK('Data Entry'!$Ã$566), "", 'Data Entry'!$Ã$566)</f>
      </c>
      <c r="EB566">
        <f>IF(ISBLANK('Data Entry'!$Ä$566), "", 'Data Entry'!$Ä$566)</f>
      </c>
      <c r="EC566">
        <f>IF(ISBLANK('Data Entry'!$Å$566), "", 'Data Entry'!$Å$566)</f>
      </c>
      <c r="ED566">
        <f>IF(ISBLANK('Data Entry'!$Æ$566), "", 'Data Entry'!$Æ$566)</f>
      </c>
      <c r="EE566">
        <f>IF(ISBLANK('Data Entry'!$Ç$566), "", 'Data Entry'!$Ç$566)</f>
      </c>
      <c r="EF566">
        <f>IF(ISBLANK('Data Entry'!$È$566), "", 'Data Entry'!$È$566)</f>
      </c>
      <c r="EG566">
        <f>IF(ISBLANK('Data Entry'!$É$566), "", 'Data Entry'!$É$566)</f>
      </c>
      <c r="EH566">
        <f>IF(ISBLANK('Data Entry'!$Ê$566), "", 'Data Entry'!$Ê$566)</f>
      </c>
      <c r="EI566">
        <f>IF(ISBLANK('Data Entry'!$Ë$566), "", 'Data Entry'!$Ë$566)</f>
      </c>
      <c r="EJ566">
        <f>IF(ISBLANK('Data Entry'!$Ì$566), "", 'Data Entry'!$Ì$566)</f>
      </c>
      <c r="EK566">
        <f>IF(ISBLANK('Data Entry'!$Í$566), "", 'Data Entry'!$Í$566)</f>
      </c>
      <c r="EL566">
        <f>IF(ISBLANK('Data Entry'!$Î$566), "", 'Data Entry'!$Î$566)</f>
      </c>
      <c r="EM566">
        <f>IF(ISBLANK('Data Entry'!$Ï$566), "", 'Data Entry'!$Ï$566)</f>
      </c>
      <c r="EN566">
        <f>IF(ISBLANK('Data Entry'!$Ð$566), "", 'Data Entry'!$Ð$566)</f>
      </c>
      <c r="EO566">
        <f>IF(ISBLANK('Data Entry'!$Ñ$566), "", 'Data Entry'!$Ñ$566)</f>
      </c>
      <c r="EP566">
        <f>IF(ISBLANK('Data Entry'!$Ò$566), "", 'Data Entry'!$Ò$566)</f>
      </c>
      <c r="EQ566">
        <f>IF(ISBLANK('Data Entry'!$Ó$566), "", 'Data Entry'!$Ó$566)</f>
      </c>
      <c r="ER566">
        <f>IF(ISBLANK('Data Entry'!$Ô$566), "", 'Data Entry'!$Ô$566)</f>
      </c>
      <c r="ES566">
        <f>IF(ISBLANK('Data Entry'!$Õ$566), "", 'Data Entry'!$Õ$566)</f>
      </c>
      <c r="ET566">
        <f>IF(ISBLANK('Data Entry'!$Ö$566), "", 'Data Entry'!$Ö$566)</f>
      </c>
      <c r="EU566">
        <f>IF(ISBLANK('Data Entry'!$×$566), "", 'Data Entry'!$×$566)</f>
      </c>
      <c r="EV566">
        <f>IF(ISBLANK('Data Entry'!$Ø$566), "", 'Data Entry'!$Ø$566)</f>
      </c>
      <c r="EW566">
        <f>IF(ISBLANK('Data Entry'!$Ù$566), "", 'Data Entry'!$Ù$566)</f>
      </c>
      <c r="EX566">
        <f>IF(ISBLANK('Data Entry'!$Ú$566), "", 'Data Entry'!$Ú$566)</f>
      </c>
      <c r="EY566">
        <f>IF(ISBLANK('Data Entry'!$Û$566), "", 'Data Entry'!$Û$566)</f>
      </c>
      <c r="EZ566">
        <f>IF(ISBLANK('Data Entry'!$Ü$566), "", 'Data Entry'!$Ü$566)</f>
      </c>
      <c r="FA566">
        <f>IF(ISBLANK('Data Entry'!$Ý$566), "", 'Data Entry'!$Ý$566)</f>
      </c>
      <c r="FB566">
        <f>IF(ISBLANK('Data Entry'!$Þ$566), "", 'Data Entry'!$Þ$566)</f>
      </c>
      <c r="FC566">
        <f>IF(ISBLANK('Data Entry'!$ß$566), "", 'Data Entry'!$ß$566)</f>
      </c>
      <c r="FD566">
        <f>IF(ISBLANK('Data Entry'!$à$566), "", 'Data Entry'!$à$566)</f>
      </c>
      <c r="FE566">
        <f>IF(ISBLANK('Data Entry'!$á$566), "", 'Data Entry'!$á$566)</f>
      </c>
      <c r="FF566">
        <f>IF(ISBLANK('Data Entry'!$â$566), "", 'Data Entry'!$â$566)</f>
      </c>
      <c r="FG566">
        <f>IF(ISBLANK('Data Entry'!$ã$566), "", 'Data Entry'!$ã$566)</f>
      </c>
      <c r="FH566">
        <f>IF(ISBLANK('Data Entry'!$ä$566), "", 'Data Entry'!$ä$566)</f>
      </c>
      <c r="FI566">
        <f>IF(ISBLANK('Data Entry'!$å$566), "", 'Data Entry'!$å$566)</f>
      </c>
      <c r="FJ566">
        <f>IF(ISBLANK('Data Entry'!$æ$566), "", 'Data Entry'!$æ$566)</f>
      </c>
      <c r="FK566">
        <f>IF(ISBLANK('Data Entry'!$ç$566), "", 'Data Entry'!$ç$566)</f>
      </c>
      <c r="FL566">
        <f>IF(ISBLANK('Data Entry'!$è$566), "", 'Data Entry'!$è$566)</f>
      </c>
      <c r="FM566">
        <f>IF(ISBLANK('Data Entry'!$é$566), "", 'Data Entry'!$é$566)</f>
      </c>
      <c r="FN566">
        <f>IF(ISBLANK('Data Entry'!$ê$566), "", 'Data Entry'!$ê$566)</f>
      </c>
      <c r="FO566">
        <f>IF(ISBLANK('Data Entry'!$ë$566), "", 'Data Entry'!$ë$566)</f>
      </c>
      <c r="FP566">
        <f>IF(ISBLANK('Data Entry'!$ì$566), "", 'Data Entry'!$ì$566)</f>
      </c>
      <c r="FQ566">
        <f>IF(ISBLANK('Data Entry'!$í$566), "", 'Data Entry'!$í$566)</f>
      </c>
      <c r="FR566">
        <f>IF(ISBLANK('Data Entry'!$î$566), "", 'Data Entry'!$î$566)</f>
      </c>
      <c r="FS566">
        <f>IF(ISBLANK('Data Entry'!$ï$566), "", 'Data Entry'!$ï$566)</f>
      </c>
      <c r="FT566">
        <f>IF(ISBLANK('Data Entry'!$ð$566), "", 'Data Entry'!$ð$566)</f>
      </c>
      <c r="FU566">
        <f>IF(ISBLANK('Data Entry'!$ñ$566), "", 'Data Entry'!$ñ$566)</f>
      </c>
      <c r="FV566">
        <f>IF(ISBLANK('Data Entry'!$ò$566), "", 'Data Entry'!$ò$566)</f>
      </c>
      <c r="FW566">
        <f>IF(ISBLANK('Data Entry'!$ó$566), "", 'Data Entry'!$ó$566)</f>
      </c>
      <c r="FX566">
        <f>IF(ISBLANK('Data Entry'!$ô$566), "", 'Data Entry'!$ô$566)</f>
      </c>
      <c r="FY566">
        <f>IF(ISBLANK('Data Entry'!$õ$566), "", 'Data Entry'!$õ$566)</f>
      </c>
      <c r="FZ566">
        <f>IF(ISBLANK('Data Entry'!$ö$566), "", 'Data Entry'!$ö$566)</f>
      </c>
      <c r="GA566">
        <f>IF(ISBLANK('Data Entry'!$÷$566), "", 'Data Entry'!$÷$566)</f>
      </c>
      <c r="GB566">
        <f>IF(ISBLANK('Data Entry'!$ø$566), "", 'Data Entry'!$ø$566)</f>
      </c>
      <c r="GC566">
        <f>IF(ISBLANK('Data Entry'!$ù$566), "", 'Data Entry'!$ù$566)</f>
      </c>
      <c r="GD566">
        <f>IF(ISBLANK('Data Entry'!$ú$566), "", 'Data Entry'!$ú$566)</f>
      </c>
      <c r="GE566">
        <f>IF(ISBLANK('Data Entry'!$û$566), "", 'Data Entry'!$û$566)</f>
      </c>
      <c r="GF566">
        <f>IF(ISBLANK('Data Entry'!$ü$566), "", 'Data Entry'!$ü$566)</f>
      </c>
      <c r="GG566">
        <f>IF(ISBLANK('Data Entry'!$ý$566), "", 'Data Entry'!$ý$566)</f>
      </c>
      <c r="GH566">
        <f>IF(ISBLANK('Data Entry'!$þ$566), "", 'Data Entry'!$þ$566)</f>
      </c>
      <c r="GI566">
        <f>IF(ISBLANK('Data Entry'!$ÿ$566), "", 'Data Entry'!$ÿ$566)</f>
      </c>
      <c r="GJ566">
        <f>IF(ISBLANK('Data Entry'!$Ā$566), "", 'Data Entry'!$Ā$566)</f>
      </c>
      <c r="GK566">
        <f>IF(ISBLANK('Data Entry'!$ā$566), "", 'Data Entry'!$ā$566)</f>
      </c>
      <c r="GL566">
        <f>IF(ISBLANK('Data Entry'!$Ă$566), "", 'Data Entry'!$Ă$566)</f>
      </c>
      <c r="GM566">
        <f>IF(ISBLANK('Data Entry'!$ă$566), "", 'Data Entry'!$ă$566)</f>
      </c>
      <c r="GN566">
        <f>IF(ISBLANK('Data Entry'!$Ą$566), "", 'Data Entry'!$Ą$566)</f>
      </c>
      <c r="GO566">
        <f>IF(ISBLANK('Data Entry'!$ą$566), "", 'Data Entry'!$ą$566)</f>
      </c>
      <c r="GP566">
        <f>IF(ISBLANK('Data Entry'!$Ć$566), "", 'Data Entry'!$Ć$566)</f>
      </c>
      <c r="GQ566">
        <f>IF(ISBLANK('Data Entry'!$ć$566), "", 'Data Entry'!$ć$566)</f>
      </c>
      <c r="GR566">
        <f>IF(ISBLANK('Data Entry'!$Ĉ$566), "", 'Data Entry'!$Ĉ$566)</f>
      </c>
      <c r="GS566">
        <f>IF(ISBLANK('Data Entry'!$ĉ$566), "", 'Data Entry'!$ĉ$566)</f>
      </c>
      <c r="GT566">
        <f>IF(ISBLANK('Data Entry'!$Ċ$566), "", 'Data Entry'!$Ċ$566)</f>
      </c>
      <c r="GU566">
        <f>IF(ISBLANK('Data Entry'!$ċ$566), "", 'Data Entry'!$ċ$566)</f>
      </c>
      <c r="GV566">
        <f>IF(ISBLANK('Data Entry'!$Č$566), "", 'Data Entry'!$Č$566)</f>
      </c>
      <c r="GW566">
        <f>IF(ISBLANK('Data Entry'!$č$566), "", 'Data Entry'!$č$566)</f>
      </c>
      <c r="GX566">
        <f>IF(ISBLANK('Data Entry'!$Ď$566), "", 'Data Entry'!$Ď$566)</f>
      </c>
      <c r="GY566">
        <f>IF(ISBLANK('Data Entry'!$ď$566), "", 'Data Entry'!$ď$566)</f>
      </c>
      <c r="GZ566">
        <f>IF(ISBLANK('Data Entry'!$Đ$566), "", 'Data Entry'!$Đ$566)</f>
      </c>
      <c r="HA566">
        <f>IF(ISBLANK('Data Entry'!$đ$566), "", 'Data Entry'!$đ$566)</f>
      </c>
      <c r="HB566">
        <f>IF(ISBLANK('Data Entry'!$Ē$566), "", 'Data Entry'!$Ē$566)</f>
      </c>
      <c r="HC566">
        <f>IF(ISBLANK('Data Entry'!$ē$566), "", 'Data Entry'!$ē$566)</f>
      </c>
      <c r="HD566">
        <f>IF(ISBLANK('Data Entry'!$Ĕ$566), "", 'Data Entry'!$Ĕ$566)</f>
      </c>
      <c r="HE566">
        <f>IF(ISBLANK('Data Entry'!$ĕ$566), "", 'Data Entry'!$ĕ$566)</f>
      </c>
      <c r="HF566">
        <f>IF(ISBLANK('Data Entry'!$Ė$566), "", 'Data Entry'!$Ė$566)</f>
      </c>
      <c r="HG566">
        <f>IF(ISBLANK('Data Entry'!$ė$566), "", 'Data Entry'!$ė$566)</f>
      </c>
      <c r="HH566">
        <f>IF(ISBLANK('Data Entry'!$Ę$566), "", 'Data Entry'!$Ę$566)</f>
      </c>
      <c r="HI566">
        <f>IF(ISBLANK('Data Entry'!$ę$566), "", 'Data Entry'!$ę$566)</f>
      </c>
      <c r="HJ566">
        <f>IF(ISBLANK('Data Entry'!$Ě$566), "", 'Data Entry'!$Ě$566)</f>
      </c>
      <c r="HK566">
        <f>IF(ISBLANK('Data Entry'!$ě$566), "", 'Data Entry'!$ě$566)</f>
      </c>
      <c r="HL566">
        <f>IF(ISBLANK('Data Entry'!$Ĝ$566), "", 'Data Entry'!$Ĝ$566)</f>
      </c>
      <c r="HM566">
        <f>IF(ISBLANK('Data Entry'!$ĝ$566), "", 'Data Entry'!$ĝ$566)</f>
      </c>
      <c r="HN566">
        <f>IF(ISBLANK('Data Entry'!$Ğ$566), "", 'Data Entry'!$Ğ$566)</f>
      </c>
      <c r="HO566">
        <f>IF(ISBLANK('Data Entry'!$ğ$566), "", 'Data Entry'!$ğ$566)</f>
      </c>
      <c r="HP566">
        <f>IF(ISBLANK('Data Entry'!$Ġ$566), "", 'Data Entry'!$Ġ$566)</f>
      </c>
      <c r="HQ566">
        <f>IF(ISBLANK('Data Entry'!$ġ$566), "", 'Data Entry'!$ġ$566)</f>
      </c>
      <c r="HR566">
        <f>IF(ISBLANK('Data Entry'!$Ģ$566), "", 'Data Entry'!$Ģ$566)</f>
      </c>
      <c r="HS566">
        <f>IF(ISBLANK('Data Entry'!$ģ$566), "", 'Data Entry'!$ģ$566)</f>
      </c>
      <c r="HT566">
        <f>IF(ISBLANK('Data Entry'!$Ĥ$566), "", 'Data Entry'!$Ĥ$566)</f>
      </c>
      <c r="HU566">
        <f>IF(ISBLANK('Data Entry'!$ĥ$566), "", 'Data Entry'!$ĥ$566)</f>
      </c>
      <c r="HV566">
        <f>IF(ISBLANK('Data Entry'!$Ħ$566), "", 'Data Entry'!$Ħ$566)</f>
      </c>
      <c r="HW566">
        <f>IF(ISBLANK('Data Entry'!$ħ$566), "", 'Data Entry'!$ħ$566)</f>
      </c>
      <c r="HX566">
        <f>IF(ISBLANK('Data Entry'!$Ĩ$566), "", 'Data Entry'!$Ĩ$566)</f>
      </c>
      <c r="HY566">
        <f>IF(ISBLANK('Data Entry'!$ĩ$566), "", 'Data Entry'!$ĩ$566)</f>
      </c>
      <c r="HZ566">
        <f>IF(ISBLANK('Data Entry'!$Ī$566), "", 'Data Entry'!$Ī$566)</f>
      </c>
      <c r="IA566">
        <f>IF(ISBLANK('Data Entry'!$ī$566), "", 'Data Entry'!$ī$566)</f>
      </c>
      <c r="IB566">
        <f>IF(ISBLANK('Data Entry'!$Ĭ$566), "", 'Data Entry'!$Ĭ$566)</f>
      </c>
      <c r="IC566">
        <f>IF(ISBLANK('Data Entry'!$ĭ$566), "", 'Data Entry'!$ĭ$566)</f>
      </c>
      <c r="ID566">
        <f>IF(ISBLANK('Data Entry'!$Į$566), "", 'Data Entry'!$Į$566)</f>
      </c>
      <c r="IE566">
        <f>IF(ISBLANK('Data Entry'!$į$566), "", 'Data Entry'!$į$566)</f>
      </c>
      <c r="IF566">
        <f>IF(ISBLANK('Data Entry'!$İ$566), "", 'Data Entry'!$İ$566)</f>
      </c>
      <c r="IG566">
        <f>IF(ISBLANK('Data Entry'!$ı$566), "", 'Data Entry'!$ı$566)</f>
      </c>
      <c r="IH566">
        <f>IF(ISBLANK('Data Entry'!$Ĳ$566), "", 'Data Entry'!$Ĳ$566)</f>
      </c>
      <c r="II566">
        <f>IF(ISBLANK('Data Entry'!$ĳ$566), "", 'Data Entry'!$ĳ$566)</f>
      </c>
      <c r="IJ566">
        <f>IF(ISBLANK('Data Entry'!$Ĵ$566), "", 'Data Entry'!$Ĵ$566)</f>
      </c>
      <c r="IK566">
        <f>IF(ISBLANK('Data Entry'!$ĵ$566), "", 'Data Entry'!$ĵ$566)</f>
      </c>
      <c r="IL566">
        <f>IF(ISBLANK('Data Entry'!$Ķ$566), "", 'Data Entry'!$Ķ$566)</f>
      </c>
      <c r="IM566">
        <f>IF(ISBLANK('Data Entry'!$ķ$566), "", 'Data Entry'!$ķ$566)</f>
      </c>
      <c r="IN566">
        <f>IF(ISBLANK('Data Entry'!$ĸ$566), "", 'Data Entry'!$ĸ$566)</f>
      </c>
      <c r="IO566">
        <f>IF(ISBLANK('Data Entry'!$Ĺ$566), "", 'Data Entry'!$Ĺ$566)</f>
      </c>
      <c r="IP566">
        <f>IF(ISBLANK('Data Entry'!$ĺ$566), "", 'Data Entry'!$ĺ$566)</f>
      </c>
      <c r="IQ566">
        <f>IF(ISBLANK('Data Entry'!$Ļ$566), "", 'Data Entry'!$Ļ$566)</f>
      </c>
      <c r="IR566">
        <f>IF(ISBLANK('Data Entry'!$ļ$566), "", 'Data Entry'!$ļ$566)</f>
      </c>
      <c r="IS566">
        <f>IF(ISBLANK('Data Entry'!$Ľ$566), "", 'Data Entry'!$Ľ$566)</f>
      </c>
      <c r="IT566">
        <f>IF(ISBLANK('Data Entry'!$ľ$566), "", 'Data Entry'!$ľ$566)</f>
      </c>
    </row>
    <row r="567" spans="1:254" x14ac:dyDescent="0.25">
      <c r="A567">
        <f>IF(ISBLANK('Data Entry'!$A$567), "", 'Data Entry'!$A$567)</f>
      </c>
      <c r="B567">
        <f>IF(ISBLANK('Data Entry'!$B$567), "", 'Data Entry'!$B$567)</f>
      </c>
      <c r="C567">
        <f>IF(ISBLANK('Data Entry'!$C$567), "", 'Data Entry'!$C$567)</f>
      </c>
      <c r="D567">
        <f>IF(ISBLANK('Data Entry'!$D$567), "", 'Data Entry'!$D$567)</f>
      </c>
      <c r="E567">
        <f>IF(ISBLANK('Data Entry'!$E$567), "", 'Data Entry'!$E$567)</f>
      </c>
      <c r="F567">
        <f>IF(ISBLANK('Data Entry'!$F$567), "", 'Data Entry'!$F$567)</f>
      </c>
      <c r="G567">
        <f>IF(ISBLANK('Data Entry'!$G$567), "", 'Data Entry'!$G$567)</f>
      </c>
      <c r="H567">
        <f>IF(ISBLANK('Data Entry'!$H$567), "", 'Data Entry'!$H$567)</f>
      </c>
      <c r="I567">
        <f>IF(ISBLANK('Data Entry'!$I$567), "", 'Data Entry'!$I$567)</f>
      </c>
      <c r="J567">
        <f>IF(ISBLANK('Data Entry'!$J$567), "", 'Data Entry'!$J$567)</f>
      </c>
      <c r="K567">
        <f>IF(ISBLANK('Data Entry'!$K$567), "", 'Data Entry'!$K$567)</f>
      </c>
      <c r="L567">
        <f>IF(ISBLANK('Data Entry'!$L$567), "", 'Data Entry'!$L$567)</f>
      </c>
      <c r="M567">
        <f>IF(ISBLANK('Data Entry'!$M$567), "", 'Data Entry'!$M$567)</f>
      </c>
      <c r="N567">
        <f>IF(ISBLANK('Data Entry'!$N$567), "", 'Data Entry'!$N$567)</f>
      </c>
      <c r="O567">
        <f>IF(ISBLANK('Data Entry'!$O$567), "", 'Data Entry'!$O$567)</f>
      </c>
      <c r="P567">
        <f>IF(ISBLANK('Data Entry'!$P$567), "", 'Data Entry'!$P$567)</f>
      </c>
      <c r="Q567">
        <f>IF(ISBLANK('Data Entry'!$Q$567), "", 'Data Entry'!$Q$567)</f>
      </c>
      <c r="R567">
        <f>IF(ISBLANK('Data Entry'!$R$567), "", 'Data Entry'!$R$567)</f>
      </c>
      <c r="S567">
        <f>IF(ISBLANK('Data Entry'!$S$567), "", 'Data Entry'!$S$567)</f>
      </c>
      <c r="T567">
        <f>IF(ISBLANK('Data Entry'!$T$567), "", 'Data Entry'!$T$567)</f>
      </c>
      <c r="U567">
        <f>IF(ISBLANK('Data Entry'!$U$567), "", 'Data Entry'!$U$567)</f>
      </c>
      <c r="V567">
        <f>IF(ISBLANK('Data Entry'!$V$567), "", 'Data Entry'!$V$567)</f>
      </c>
      <c r="W567">
        <f>IF(ISBLANK('Data Entry'!$W$567), "", 'Data Entry'!$W$567)</f>
      </c>
      <c r="X567">
        <f>IF(ISBLANK('Data Entry'!$X$567), "", 'Data Entry'!$X$567)</f>
      </c>
      <c r="Y567">
        <f>IF(ISBLANK('Data Entry'!$Y$567), "", 'Data Entry'!$Y$567)</f>
      </c>
      <c r="Z567">
        <f>IF(ISBLANK('Data Entry'!$Z$567), "", 'Data Entry'!$Z$567)</f>
      </c>
      <c r="AA567">
        <f>IF(ISBLANK('Data Entry'!$[$567), "", 'Data Entry'!$[$567)</f>
      </c>
      <c r="AB567">
        <f>IF(ISBLANK('Data Entry'!$\$567), "", 'Data Entry'!$\$567)</f>
      </c>
      <c r="AC567">
        <f>IF(ISBLANK('Data Entry'!$]$567), "", 'Data Entry'!$]$567)</f>
      </c>
      <c r="AD567">
        <f>IF(ISBLANK('Data Entry'!$^$567), "", 'Data Entry'!$^$567)</f>
      </c>
      <c r="AE567">
        <f>IF(ISBLANK('Data Entry'!$_$567), "", 'Data Entry'!$_$567)</f>
      </c>
      <c r="AF567">
        <f>IF(ISBLANK('Data Entry'!$`$567), "", 'Data Entry'!$`$567)</f>
      </c>
      <c r="AG567">
        <f>IF(ISBLANK('Data Entry'!$a$567), "", 'Data Entry'!$a$567)</f>
      </c>
      <c r="AH567">
        <f>IF(ISBLANK('Data Entry'!$b$567), "", 'Data Entry'!$b$567)</f>
      </c>
      <c r="AI567">
        <f>IF(ISBLANK('Data Entry'!$c$567), "", 'Data Entry'!$c$567)</f>
      </c>
      <c r="AJ567">
        <f>IF(ISBLANK('Data Entry'!$d$567), "", 'Data Entry'!$d$567)</f>
      </c>
      <c r="AK567">
        <f>IF(ISBLANK('Data Entry'!$e$567), "", 'Data Entry'!$e$567)</f>
      </c>
      <c r="AL567">
        <f>IF(ISBLANK('Data Entry'!$f$567), "", 'Data Entry'!$f$567)</f>
      </c>
      <c r="AM567">
        <f>IF(ISBLANK('Data Entry'!$g$567), "", 'Data Entry'!$g$567)</f>
      </c>
      <c r="AN567">
        <f>IF(ISBLANK('Data Entry'!$h$567), "", 'Data Entry'!$h$567)</f>
      </c>
      <c r="AO567">
        <f>IF(ISBLANK('Data Entry'!$i$567), "", 'Data Entry'!$i$567)</f>
      </c>
      <c r="AP567">
        <f>IF(ISBLANK('Data Entry'!$j$567), "", 'Data Entry'!$j$567)</f>
      </c>
      <c r="AQ567">
        <f>IF(ISBLANK('Data Entry'!$k$567), "", 'Data Entry'!$k$567)</f>
      </c>
      <c r="AR567">
        <f>IF(ISBLANK('Data Entry'!$l$567), "", 'Data Entry'!$l$567)</f>
      </c>
      <c r="AS567">
        <f>IF(ISBLANK('Data Entry'!$m$567), "", 'Data Entry'!$m$567)</f>
      </c>
      <c r="AT567">
        <f>IF(ISBLANK('Data Entry'!$n$567), "", 'Data Entry'!$n$567)</f>
      </c>
      <c r="AU567">
        <f>IF(ISBLANK('Data Entry'!$o$567), "", 'Data Entry'!$o$567)</f>
      </c>
      <c r="AV567">
        <f>IF(ISBLANK('Data Entry'!$p$567), "", 'Data Entry'!$p$567)</f>
      </c>
      <c r="AW567">
        <f>IF(ISBLANK('Data Entry'!$q$567), "", 'Data Entry'!$q$567)</f>
      </c>
      <c r="AX567">
        <f>IF(ISBLANK('Data Entry'!$r$567), "", 'Data Entry'!$r$567)</f>
      </c>
      <c r="AY567">
        <f>IF(ISBLANK('Data Entry'!$s$567), "", 'Data Entry'!$s$567)</f>
      </c>
      <c r="AZ567">
        <f>IF(ISBLANK('Data Entry'!$t$567), "", 'Data Entry'!$t$567)</f>
      </c>
      <c r="BA567">
        <f>IF(ISBLANK('Data Entry'!$u$567), "", 'Data Entry'!$u$567)</f>
      </c>
      <c r="BB567">
        <f>IF(ISBLANK('Data Entry'!$v$567), "", 'Data Entry'!$v$567)</f>
      </c>
      <c r="BC567">
        <f>IF(ISBLANK('Data Entry'!$w$567), "", 'Data Entry'!$w$567)</f>
      </c>
      <c r="BD567">
        <f>IF(ISBLANK('Data Entry'!$x$567), "", 'Data Entry'!$x$567)</f>
      </c>
      <c r="BE567">
        <f>IF(ISBLANK('Data Entry'!$y$567), "", 'Data Entry'!$y$567)</f>
      </c>
      <c r="BF567">
        <f>IF(ISBLANK('Data Entry'!$z$567), "", 'Data Entry'!$z$567)</f>
      </c>
      <c r="BG567">
        <f>IF(ISBLANK('Data Entry'!${$567), "", 'Data Entry'!${$567)</f>
      </c>
      <c r="BH567">
        <f>IF(ISBLANK('Data Entry'!$|$567), "", 'Data Entry'!$|$567)</f>
      </c>
      <c r="BI567">
        <f>IF(ISBLANK('Data Entry'!$}$567), "", 'Data Entry'!$}$567)</f>
      </c>
      <c r="BJ567">
        <f>IF(ISBLANK('Data Entry'!$~$567), "", 'Data Entry'!$~$567)</f>
      </c>
      <c r="BK567">
        <f>IF(ISBLANK('Data Entry'!$$567), "", 'Data Entry'!$$567)</f>
      </c>
      <c r="BL567">
        <f>IF(ISBLANK('Data Entry'!$$567), "", 'Data Entry'!$$567)</f>
      </c>
      <c r="BM567">
        <f>IF(ISBLANK('Data Entry'!$$567), "", 'Data Entry'!$$567)</f>
      </c>
      <c r="BN567">
        <f>IF(ISBLANK('Data Entry'!$$567), "", 'Data Entry'!$$567)</f>
      </c>
      <c r="BO567">
        <f>IF(ISBLANK('Data Entry'!$$567), "", 'Data Entry'!$$567)</f>
      </c>
      <c r="BP567">
        <f>IF(ISBLANK('Data Entry'!$$567), "", 'Data Entry'!$$567)</f>
      </c>
      <c r="BQ567">
        <f>IF(ISBLANK('Data Entry'!$$567), "", 'Data Entry'!$$567)</f>
      </c>
      <c r="BR567">
        <f>IF(ISBLANK('Data Entry'!$$567), "", 'Data Entry'!$$567)</f>
      </c>
      <c r="BS567">
        <f>IF(ISBLANK('Data Entry'!$$567), "", 'Data Entry'!$$567)</f>
      </c>
      <c r="BT567">
        <f>IF(ISBLANK('Data Entry'!$$567), "", 'Data Entry'!$$567)</f>
      </c>
      <c r="BU567">
        <f>IF(ISBLANK('Data Entry'!$$567), "", 'Data Entry'!$$567)</f>
      </c>
      <c r="BV567">
        <f>IF(ISBLANK('Data Entry'!$$567), "", 'Data Entry'!$$567)</f>
      </c>
      <c r="BW567">
        <f>IF(ISBLANK('Data Entry'!$$567), "", 'Data Entry'!$$567)</f>
      </c>
      <c r="BX567">
        <f>IF(ISBLANK('Data Entry'!$$567), "", 'Data Entry'!$$567)</f>
      </c>
      <c r="BY567">
        <f>IF(ISBLANK('Data Entry'!$$567), "", 'Data Entry'!$$567)</f>
      </c>
      <c r="BZ567">
        <f>IF(ISBLANK('Data Entry'!$$567), "", 'Data Entry'!$$567)</f>
      </c>
      <c r="CA567">
        <f>IF(ISBLANK('Data Entry'!$$567), "", 'Data Entry'!$$567)</f>
      </c>
      <c r="CB567">
        <f>IF(ISBLANK('Data Entry'!$$567), "", 'Data Entry'!$$567)</f>
      </c>
      <c r="CC567">
        <f>IF(ISBLANK('Data Entry'!$$567), "", 'Data Entry'!$$567)</f>
      </c>
      <c r="CD567">
        <f>IF(ISBLANK('Data Entry'!$$567), "", 'Data Entry'!$$567)</f>
      </c>
      <c r="CE567">
        <f>IF(ISBLANK('Data Entry'!$$567), "", 'Data Entry'!$$567)</f>
      </c>
      <c r="CF567">
        <f>IF(ISBLANK('Data Entry'!$$567), "", 'Data Entry'!$$567)</f>
      </c>
      <c r="CG567">
        <f>IF(ISBLANK('Data Entry'!$$567), "", 'Data Entry'!$$567)</f>
      </c>
      <c r="CH567">
        <f>IF(ISBLANK('Data Entry'!$$567), "", 'Data Entry'!$$567)</f>
      </c>
      <c r="CI567">
        <f>IF(ISBLANK('Data Entry'!$$567), "", 'Data Entry'!$$567)</f>
      </c>
      <c r="CJ567">
        <f>IF(ISBLANK('Data Entry'!$$567), "", 'Data Entry'!$$567)</f>
      </c>
      <c r="CK567">
        <f>IF(ISBLANK('Data Entry'!$$567), "", 'Data Entry'!$$567)</f>
      </c>
      <c r="CL567">
        <f>IF(ISBLANK('Data Entry'!$$567), "", 'Data Entry'!$$567)</f>
      </c>
      <c r="CM567">
        <f>IF(ISBLANK('Data Entry'!$$567), "", 'Data Entry'!$$567)</f>
      </c>
      <c r="CN567">
        <f>IF(ISBLANK('Data Entry'!$$567), "", 'Data Entry'!$$567)</f>
      </c>
      <c r="CO567">
        <f>IF(ISBLANK('Data Entry'!$$567), "", 'Data Entry'!$$567)</f>
      </c>
      <c r="CP567">
        <f>IF(ISBLANK('Data Entry'!$$567), "", 'Data Entry'!$$567)</f>
      </c>
      <c r="CQ567">
        <f>IF(ISBLANK('Data Entry'!$$567), "", 'Data Entry'!$$567)</f>
      </c>
      <c r="CR567">
        <f>IF(ISBLANK('Data Entry'!$ $567), "", 'Data Entry'!$ $567)</f>
      </c>
      <c r="CS567">
        <f>IF(ISBLANK('Data Entry'!$¡$567), "", 'Data Entry'!$¡$567)</f>
      </c>
      <c r="CT567">
        <f>IF(ISBLANK('Data Entry'!$¢$567), "", 'Data Entry'!$¢$567)</f>
      </c>
      <c r="CU567">
        <f>IF(ISBLANK('Data Entry'!$£$567), "", 'Data Entry'!$£$567)</f>
      </c>
      <c r="CV567">
        <f>IF(ISBLANK('Data Entry'!$¤$567), "", 'Data Entry'!$¤$567)</f>
      </c>
      <c r="CW567">
        <f>IF(ISBLANK('Data Entry'!$¥$567), "", 'Data Entry'!$¥$567)</f>
      </c>
      <c r="CX567">
        <f>IF(ISBLANK('Data Entry'!$¦$567), "", 'Data Entry'!$¦$567)</f>
      </c>
      <c r="CY567">
        <f>IF(ISBLANK('Data Entry'!$§$567), "", 'Data Entry'!$§$567)</f>
      </c>
      <c r="CZ567">
        <f>IF(ISBLANK('Data Entry'!$¨$567), "", 'Data Entry'!$¨$567)</f>
      </c>
      <c r="DA567">
        <f>IF(ISBLANK('Data Entry'!$©$567), "", 'Data Entry'!$©$567)</f>
      </c>
      <c r="DB567">
        <f>IF(ISBLANK('Data Entry'!$ª$567), "", 'Data Entry'!$ª$567)</f>
      </c>
      <c r="DC567">
        <f>IF(ISBLANK('Data Entry'!$«$567), "", 'Data Entry'!$«$567)</f>
      </c>
      <c r="DD567">
        <f>IF(ISBLANK('Data Entry'!$¬$567), "", 'Data Entry'!$¬$567)</f>
      </c>
      <c r="DE567">
        <f>IF(ISBLANK('Data Entry'!$­$567), "", 'Data Entry'!$­$567)</f>
      </c>
      <c r="DF567">
        <f>IF(ISBLANK('Data Entry'!$®$567), "", 'Data Entry'!$®$567)</f>
      </c>
      <c r="DG567">
        <f>IF(ISBLANK('Data Entry'!$¯$567), "", 'Data Entry'!$¯$567)</f>
      </c>
      <c r="DH567">
        <f>IF(ISBLANK('Data Entry'!$°$567), "", 'Data Entry'!$°$567)</f>
      </c>
      <c r="DI567">
        <f>IF(ISBLANK('Data Entry'!$±$567), "", 'Data Entry'!$±$567)</f>
      </c>
      <c r="DJ567">
        <f>IF(ISBLANK('Data Entry'!$²$567), "", 'Data Entry'!$²$567)</f>
      </c>
      <c r="DK567">
        <f>IF(ISBLANK('Data Entry'!$³$567), "", 'Data Entry'!$³$567)</f>
      </c>
      <c r="DL567">
        <f>IF(ISBLANK('Data Entry'!$´$567), "", 'Data Entry'!$´$567)</f>
      </c>
      <c r="DM567">
        <f>IF(ISBLANK('Data Entry'!$µ$567), "", 'Data Entry'!$µ$567)</f>
      </c>
      <c r="DN567">
        <f>IF(ISBLANK('Data Entry'!$¶$567), "", 'Data Entry'!$¶$567)</f>
      </c>
      <c r="DO567">
        <f>IF(ISBLANK('Data Entry'!$·$567), "", 'Data Entry'!$·$567)</f>
      </c>
      <c r="DP567">
        <f>IF(ISBLANK('Data Entry'!$¸$567), "", 'Data Entry'!$¸$567)</f>
      </c>
      <c r="DQ567">
        <f>IF(ISBLANK('Data Entry'!$¹$567), "", 'Data Entry'!$¹$567)</f>
      </c>
      <c r="DR567">
        <f>IF(ISBLANK('Data Entry'!$º$567), "", 'Data Entry'!$º$567)</f>
      </c>
      <c r="DS567">
        <f>IF(ISBLANK('Data Entry'!$»$567), "", 'Data Entry'!$»$567)</f>
      </c>
      <c r="DT567">
        <f>IF(ISBLANK('Data Entry'!$¼$567), "", 'Data Entry'!$¼$567)</f>
      </c>
      <c r="DU567">
        <f>IF(ISBLANK('Data Entry'!$½$567), "", 'Data Entry'!$½$567)</f>
      </c>
      <c r="DV567">
        <f>IF(ISBLANK('Data Entry'!$¾$567), "", 'Data Entry'!$¾$567)</f>
      </c>
      <c r="DW567">
        <f>IF(ISBLANK('Data Entry'!$¿$567), "", 'Data Entry'!$¿$567)</f>
      </c>
      <c r="DX567">
        <f>IF(ISBLANK('Data Entry'!$À$567), "", 'Data Entry'!$À$567)</f>
      </c>
      <c r="DY567">
        <f>IF(ISBLANK('Data Entry'!$Á$567), "", 'Data Entry'!$Á$567)</f>
      </c>
      <c r="DZ567">
        <f>IF(ISBLANK('Data Entry'!$Â$567), "", 'Data Entry'!$Â$567)</f>
      </c>
      <c r="EA567">
        <f>IF(ISBLANK('Data Entry'!$Ã$567), "", 'Data Entry'!$Ã$567)</f>
      </c>
      <c r="EB567">
        <f>IF(ISBLANK('Data Entry'!$Ä$567), "", 'Data Entry'!$Ä$567)</f>
      </c>
      <c r="EC567">
        <f>IF(ISBLANK('Data Entry'!$Å$567), "", 'Data Entry'!$Å$567)</f>
      </c>
      <c r="ED567">
        <f>IF(ISBLANK('Data Entry'!$Æ$567), "", 'Data Entry'!$Æ$567)</f>
      </c>
      <c r="EE567">
        <f>IF(ISBLANK('Data Entry'!$Ç$567), "", 'Data Entry'!$Ç$567)</f>
      </c>
      <c r="EF567">
        <f>IF(ISBLANK('Data Entry'!$È$567), "", 'Data Entry'!$È$567)</f>
      </c>
      <c r="EG567">
        <f>IF(ISBLANK('Data Entry'!$É$567), "", 'Data Entry'!$É$567)</f>
      </c>
      <c r="EH567">
        <f>IF(ISBLANK('Data Entry'!$Ê$567), "", 'Data Entry'!$Ê$567)</f>
      </c>
      <c r="EI567">
        <f>IF(ISBLANK('Data Entry'!$Ë$567), "", 'Data Entry'!$Ë$567)</f>
      </c>
      <c r="EJ567">
        <f>IF(ISBLANK('Data Entry'!$Ì$567), "", 'Data Entry'!$Ì$567)</f>
      </c>
      <c r="EK567">
        <f>IF(ISBLANK('Data Entry'!$Í$567), "", 'Data Entry'!$Í$567)</f>
      </c>
      <c r="EL567">
        <f>IF(ISBLANK('Data Entry'!$Î$567), "", 'Data Entry'!$Î$567)</f>
      </c>
      <c r="EM567">
        <f>IF(ISBLANK('Data Entry'!$Ï$567), "", 'Data Entry'!$Ï$567)</f>
      </c>
      <c r="EN567">
        <f>IF(ISBLANK('Data Entry'!$Ð$567), "", 'Data Entry'!$Ð$567)</f>
      </c>
      <c r="EO567">
        <f>IF(ISBLANK('Data Entry'!$Ñ$567), "", 'Data Entry'!$Ñ$567)</f>
      </c>
      <c r="EP567">
        <f>IF(ISBLANK('Data Entry'!$Ò$567), "", 'Data Entry'!$Ò$567)</f>
      </c>
      <c r="EQ567">
        <f>IF(ISBLANK('Data Entry'!$Ó$567), "", 'Data Entry'!$Ó$567)</f>
      </c>
      <c r="ER567">
        <f>IF(ISBLANK('Data Entry'!$Ô$567), "", 'Data Entry'!$Ô$567)</f>
      </c>
      <c r="ES567">
        <f>IF(ISBLANK('Data Entry'!$Õ$567), "", 'Data Entry'!$Õ$567)</f>
      </c>
      <c r="ET567">
        <f>IF(ISBLANK('Data Entry'!$Ö$567), "", 'Data Entry'!$Ö$567)</f>
      </c>
      <c r="EU567">
        <f>IF(ISBLANK('Data Entry'!$×$567), "", 'Data Entry'!$×$567)</f>
      </c>
      <c r="EV567">
        <f>IF(ISBLANK('Data Entry'!$Ø$567), "", 'Data Entry'!$Ø$567)</f>
      </c>
      <c r="EW567">
        <f>IF(ISBLANK('Data Entry'!$Ù$567), "", 'Data Entry'!$Ù$567)</f>
      </c>
      <c r="EX567">
        <f>IF(ISBLANK('Data Entry'!$Ú$567), "", 'Data Entry'!$Ú$567)</f>
      </c>
      <c r="EY567">
        <f>IF(ISBLANK('Data Entry'!$Û$567), "", 'Data Entry'!$Û$567)</f>
      </c>
      <c r="EZ567">
        <f>IF(ISBLANK('Data Entry'!$Ü$567), "", 'Data Entry'!$Ü$567)</f>
      </c>
      <c r="FA567">
        <f>IF(ISBLANK('Data Entry'!$Ý$567), "", 'Data Entry'!$Ý$567)</f>
      </c>
      <c r="FB567">
        <f>IF(ISBLANK('Data Entry'!$Þ$567), "", 'Data Entry'!$Þ$567)</f>
      </c>
      <c r="FC567">
        <f>IF(ISBLANK('Data Entry'!$ß$567), "", 'Data Entry'!$ß$567)</f>
      </c>
      <c r="FD567">
        <f>IF(ISBLANK('Data Entry'!$à$567), "", 'Data Entry'!$à$567)</f>
      </c>
      <c r="FE567">
        <f>IF(ISBLANK('Data Entry'!$á$567), "", 'Data Entry'!$á$567)</f>
      </c>
      <c r="FF567">
        <f>IF(ISBLANK('Data Entry'!$â$567), "", 'Data Entry'!$â$567)</f>
      </c>
      <c r="FG567">
        <f>IF(ISBLANK('Data Entry'!$ã$567), "", 'Data Entry'!$ã$567)</f>
      </c>
      <c r="FH567">
        <f>IF(ISBLANK('Data Entry'!$ä$567), "", 'Data Entry'!$ä$567)</f>
      </c>
      <c r="FI567">
        <f>IF(ISBLANK('Data Entry'!$å$567), "", 'Data Entry'!$å$567)</f>
      </c>
      <c r="FJ567">
        <f>IF(ISBLANK('Data Entry'!$æ$567), "", 'Data Entry'!$æ$567)</f>
      </c>
      <c r="FK567">
        <f>IF(ISBLANK('Data Entry'!$ç$567), "", 'Data Entry'!$ç$567)</f>
      </c>
      <c r="FL567">
        <f>IF(ISBLANK('Data Entry'!$è$567), "", 'Data Entry'!$è$567)</f>
      </c>
      <c r="FM567">
        <f>IF(ISBLANK('Data Entry'!$é$567), "", 'Data Entry'!$é$567)</f>
      </c>
      <c r="FN567">
        <f>IF(ISBLANK('Data Entry'!$ê$567), "", 'Data Entry'!$ê$567)</f>
      </c>
      <c r="FO567">
        <f>IF(ISBLANK('Data Entry'!$ë$567), "", 'Data Entry'!$ë$567)</f>
      </c>
      <c r="FP567">
        <f>IF(ISBLANK('Data Entry'!$ì$567), "", 'Data Entry'!$ì$567)</f>
      </c>
      <c r="FQ567">
        <f>IF(ISBLANK('Data Entry'!$í$567), "", 'Data Entry'!$í$567)</f>
      </c>
      <c r="FR567">
        <f>IF(ISBLANK('Data Entry'!$î$567), "", 'Data Entry'!$î$567)</f>
      </c>
      <c r="FS567">
        <f>IF(ISBLANK('Data Entry'!$ï$567), "", 'Data Entry'!$ï$567)</f>
      </c>
      <c r="FT567">
        <f>IF(ISBLANK('Data Entry'!$ð$567), "", 'Data Entry'!$ð$567)</f>
      </c>
      <c r="FU567">
        <f>IF(ISBLANK('Data Entry'!$ñ$567), "", 'Data Entry'!$ñ$567)</f>
      </c>
      <c r="FV567">
        <f>IF(ISBLANK('Data Entry'!$ò$567), "", 'Data Entry'!$ò$567)</f>
      </c>
      <c r="FW567">
        <f>IF(ISBLANK('Data Entry'!$ó$567), "", 'Data Entry'!$ó$567)</f>
      </c>
      <c r="FX567">
        <f>IF(ISBLANK('Data Entry'!$ô$567), "", 'Data Entry'!$ô$567)</f>
      </c>
      <c r="FY567">
        <f>IF(ISBLANK('Data Entry'!$õ$567), "", 'Data Entry'!$õ$567)</f>
      </c>
      <c r="FZ567">
        <f>IF(ISBLANK('Data Entry'!$ö$567), "", 'Data Entry'!$ö$567)</f>
      </c>
      <c r="GA567">
        <f>IF(ISBLANK('Data Entry'!$÷$567), "", 'Data Entry'!$÷$567)</f>
      </c>
      <c r="GB567">
        <f>IF(ISBLANK('Data Entry'!$ø$567), "", 'Data Entry'!$ø$567)</f>
      </c>
      <c r="GC567">
        <f>IF(ISBLANK('Data Entry'!$ù$567), "", 'Data Entry'!$ù$567)</f>
      </c>
      <c r="GD567">
        <f>IF(ISBLANK('Data Entry'!$ú$567), "", 'Data Entry'!$ú$567)</f>
      </c>
      <c r="GE567">
        <f>IF(ISBLANK('Data Entry'!$û$567), "", 'Data Entry'!$û$567)</f>
      </c>
      <c r="GF567">
        <f>IF(ISBLANK('Data Entry'!$ü$567), "", 'Data Entry'!$ü$567)</f>
      </c>
      <c r="GG567">
        <f>IF(ISBLANK('Data Entry'!$ý$567), "", 'Data Entry'!$ý$567)</f>
      </c>
      <c r="GH567">
        <f>IF(ISBLANK('Data Entry'!$þ$567), "", 'Data Entry'!$þ$567)</f>
      </c>
      <c r="GI567">
        <f>IF(ISBLANK('Data Entry'!$ÿ$567), "", 'Data Entry'!$ÿ$567)</f>
      </c>
      <c r="GJ567">
        <f>IF(ISBLANK('Data Entry'!$Ā$567), "", 'Data Entry'!$Ā$567)</f>
      </c>
      <c r="GK567">
        <f>IF(ISBLANK('Data Entry'!$ā$567), "", 'Data Entry'!$ā$567)</f>
      </c>
      <c r="GL567">
        <f>IF(ISBLANK('Data Entry'!$Ă$567), "", 'Data Entry'!$Ă$567)</f>
      </c>
      <c r="GM567">
        <f>IF(ISBLANK('Data Entry'!$ă$567), "", 'Data Entry'!$ă$567)</f>
      </c>
      <c r="GN567">
        <f>IF(ISBLANK('Data Entry'!$Ą$567), "", 'Data Entry'!$Ą$567)</f>
      </c>
      <c r="GO567">
        <f>IF(ISBLANK('Data Entry'!$ą$567), "", 'Data Entry'!$ą$567)</f>
      </c>
      <c r="GP567">
        <f>IF(ISBLANK('Data Entry'!$Ć$567), "", 'Data Entry'!$Ć$567)</f>
      </c>
      <c r="GQ567">
        <f>IF(ISBLANK('Data Entry'!$ć$567), "", 'Data Entry'!$ć$567)</f>
      </c>
      <c r="GR567">
        <f>IF(ISBLANK('Data Entry'!$Ĉ$567), "", 'Data Entry'!$Ĉ$567)</f>
      </c>
      <c r="GS567">
        <f>IF(ISBLANK('Data Entry'!$ĉ$567), "", 'Data Entry'!$ĉ$567)</f>
      </c>
      <c r="GT567">
        <f>IF(ISBLANK('Data Entry'!$Ċ$567), "", 'Data Entry'!$Ċ$567)</f>
      </c>
      <c r="GU567">
        <f>IF(ISBLANK('Data Entry'!$ċ$567), "", 'Data Entry'!$ċ$567)</f>
      </c>
      <c r="GV567">
        <f>IF(ISBLANK('Data Entry'!$Č$567), "", 'Data Entry'!$Č$567)</f>
      </c>
      <c r="GW567">
        <f>IF(ISBLANK('Data Entry'!$č$567), "", 'Data Entry'!$č$567)</f>
      </c>
      <c r="GX567">
        <f>IF(ISBLANK('Data Entry'!$Ď$567), "", 'Data Entry'!$Ď$567)</f>
      </c>
      <c r="GY567">
        <f>IF(ISBLANK('Data Entry'!$ď$567), "", 'Data Entry'!$ď$567)</f>
      </c>
      <c r="GZ567">
        <f>IF(ISBLANK('Data Entry'!$Đ$567), "", 'Data Entry'!$Đ$567)</f>
      </c>
      <c r="HA567">
        <f>IF(ISBLANK('Data Entry'!$đ$567), "", 'Data Entry'!$đ$567)</f>
      </c>
      <c r="HB567">
        <f>IF(ISBLANK('Data Entry'!$Ē$567), "", 'Data Entry'!$Ē$567)</f>
      </c>
      <c r="HC567">
        <f>IF(ISBLANK('Data Entry'!$ē$567), "", 'Data Entry'!$ē$567)</f>
      </c>
      <c r="HD567">
        <f>IF(ISBLANK('Data Entry'!$Ĕ$567), "", 'Data Entry'!$Ĕ$567)</f>
      </c>
      <c r="HE567">
        <f>IF(ISBLANK('Data Entry'!$ĕ$567), "", 'Data Entry'!$ĕ$567)</f>
      </c>
      <c r="HF567">
        <f>IF(ISBLANK('Data Entry'!$Ė$567), "", 'Data Entry'!$Ė$567)</f>
      </c>
      <c r="HG567">
        <f>IF(ISBLANK('Data Entry'!$ė$567), "", 'Data Entry'!$ė$567)</f>
      </c>
      <c r="HH567">
        <f>IF(ISBLANK('Data Entry'!$Ę$567), "", 'Data Entry'!$Ę$567)</f>
      </c>
      <c r="HI567">
        <f>IF(ISBLANK('Data Entry'!$ę$567), "", 'Data Entry'!$ę$567)</f>
      </c>
      <c r="HJ567">
        <f>IF(ISBLANK('Data Entry'!$Ě$567), "", 'Data Entry'!$Ě$567)</f>
      </c>
      <c r="HK567">
        <f>IF(ISBLANK('Data Entry'!$ě$567), "", 'Data Entry'!$ě$567)</f>
      </c>
      <c r="HL567">
        <f>IF(ISBLANK('Data Entry'!$Ĝ$567), "", 'Data Entry'!$Ĝ$567)</f>
      </c>
      <c r="HM567">
        <f>IF(ISBLANK('Data Entry'!$ĝ$567), "", 'Data Entry'!$ĝ$567)</f>
      </c>
      <c r="HN567">
        <f>IF(ISBLANK('Data Entry'!$Ğ$567), "", 'Data Entry'!$Ğ$567)</f>
      </c>
      <c r="HO567">
        <f>IF(ISBLANK('Data Entry'!$ğ$567), "", 'Data Entry'!$ğ$567)</f>
      </c>
      <c r="HP567">
        <f>IF(ISBLANK('Data Entry'!$Ġ$567), "", 'Data Entry'!$Ġ$567)</f>
      </c>
      <c r="HQ567">
        <f>IF(ISBLANK('Data Entry'!$ġ$567), "", 'Data Entry'!$ġ$567)</f>
      </c>
      <c r="HR567">
        <f>IF(ISBLANK('Data Entry'!$Ģ$567), "", 'Data Entry'!$Ģ$567)</f>
      </c>
      <c r="HS567">
        <f>IF(ISBLANK('Data Entry'!$ģ$567), "", 'Data Entry'!$ģ$567)</f>
      </c>
      <c r="HT567">
        <f>IF(ISBLANK('Data Entry'!$Ĥ$567), "", 'Data Entry'!$Ĥ$567)</f>
      </c>
      <c r="HU567">
        <f>IF(ISBLANK('Data Entry'!$ĥ$567), "", 'Data Entry'!$ĥ$567)</f>
      </c>
      <c r="HV567">
        <f>IF(ISBLANK('Data Entry'!$Ħ$567), "", 'Data Entry'!$Ħ$567)</f>
      </c>
      <c r="HW567">
        <f>IF(ISBLANK('Data Entry'!$ħ$567), "", 'Data Entry'!$ħ$567)</f>
      </c>
      <c r="HX567">
        <f>IF(ISBLANK('Data Entry'!$Ĩ$567), "", 'Data Entry'!$Ĩ$567)</f>
      </c>
      <c r="HY567">
        <f>IF(ISBLANK('Data Entry'!$ĩ$567), "", 'Data Entry'!$ĩ$567)</f>
      </c>
      <c r="HZ567">
        <f>IF(ISBLANK('Data Entry'!$Ī$567), "", 'Data Entry'!$Ī$567)</f>
      </c>
      <c r="IA567">
        <f>IF(ISBLANK('Data Entry'!$ī$567), "", 'Data Entry'!$ī$567)</f>
      </c>
      <c r="IB567">
        <f>IF(ISBLANK('Data Entry'!$Ĭ$567), "", 'Data Entry'!$Ĭ$567)</f>
      </c>
      <c r="IC567">
        <f>IF(ISBLANK('Data Entry'!$ĭ$567), "", 'Data Entry'!$ĭ$567)</f>
      </c>
      <c r="ID567">
        <f>IF(ISBLANK('Data Entry'!$Į$567), "", 'Data Entry'!$Į$567)</f>
      </c>
      <c r="IE567">
        <f>IF(ISBLANK('Data Entry'!$į$567), "", 'Data Entry'!$į$567)</f>
      </c>
      <c r="IF567">
        <f>IF(ISBLANK('Data Entry'!$İ$567), "", 'Data Entry'!$İ$567)</f>
      </c>
      <c r="IG567">
        <f>IF(ISBLANK('Data Entry'!$ı$567), "", 'Data Entry'!$ı$567)</f>
      </c>
      <c r="IH567">
        <f>IF(ISBLANK('Data Entry'!$Ĳ$567), "", 'Data Entry'!$Ĳ$567)</f>
      </c>
      <c r="II567">
        <f>IF(ISBLANK('Data Entry'!$ĳ$567), "", 'Data Entry'!$ĳ$567)</f>
      </c>
      <c r="IJ567">
        <f>IF(ISBLANK('Data Entry'!$Ĵ$567), "", 'Data Entry'!$Ĵ$567)</f>
      </c>
      <c r="IK567">
        <f>IF(ISBLANK('Data Entry'!$ĵ$567), "", 'Data Entry'!$ĵ$567)</f>
      </c>
      <c r="IL567">
        <f>IF(ISBLANK('Data Entry'!$Ķ$567), "", 'Data Entry'!$Ķ$567)</f>
      </c>
      <c r="IM567">
        <f>IF(ISBLANK('Data Entry'!$ķ$567), "", 'Data Entry'!$ķ$567)</f>
      </c>
      <c r="IN567">
        <f>IF(ISBLANK('Data Entry'!$ĸ$567), "", 'Data Entry'!$ĸ$567)</f>
      </c>
      <c r="IO567">
        <f>IF(ISBLANK('Data Entry'!$Ĺ$567), "", 'Data Entry'!$Ĺ$567)</f>
      </c>
      <c r="IP567">
        <f>IF(ISBLANK('Data Entry'!$ĺ$567), "", 'Data Entry'!$ĺ$567)</f>
      </c>
      <c r="IQ567">
        <f>IF(ISBLANK('Data Entry'!$Ļ$567), "", 'Data Entry'!$Ļ$567)</f>
      </c>
      <c r="IR567">
        <f>IF(ISBLANK('Data Entry'!$ļ$567), "", 'Data Entry'!$ļ$567)</f>
      </c>
      <c r="IS567">
        <f>IF(ISBLANK('Data Entry'!$Ľ$567), "", 'Data Entry'!$Ľ$567)</f>
      </c>
      <c r="IT567">
        <f>IF(ISBLANK('Data Entry'!$ľ$567), "", 'Data Entry'!$ľ$567)</f>
      </c>
    </row>
    <row r="568" spans="1:254" x14ac:dyDescent="0.25">
      <c r="A568">
        <f>IF(ISBLANK('Data Entry'!$A$568), "", 'Data Entry'!$A$568)</f>
      </c>
      <c r="B568">
        <f>IF(ISBLANK('Data Entry'!$B$568), "", 'Data Entry'!$B$568)</f>
      </c>
      <c r="C568">
        <f>IF(ISBLANK('Data Entry'!$C$568), "", 'Data Entry'!$C$568)</f>
      </c>
      <c r="D568">
        <f>IF(ISBLANK('Data Entry'!$D$568), "", 'Data Entry'!$D$568)</f>
      </c>
      <c r="E568">
        <f>IF(ISBLANK('Data Entry'!$E$568), "", 'Data Entry'!$E$568)</f>
      </c>
      <c r="F568">
        <f>IF(ISBLANK('Data Entry'!$F$568), "", 'Data Entry'!$F$568)</f>
      </c>
      <c r="G568">
        <f>IF(ISBLANK('Data Entry'!$G$568), "", 'Data Entry'!$G$568)</f>
      </c>
      <c r="H568">
        <f>IF(ISBLANK('Data Entry'!$H$568), "", 'Data Entry'!$H$568)</f>
      </c>
      <c r="I568">
        <f>IF(ISBLANK('Data Entry'!$I$568), "", 'Data Entry'!$I$568)</f>
      </c>
      <c r="J568">
        <f>IF(ISBLANK('Data Entry'!$J$568), "", 'Data Entry'!$J$568)</f>
      </c>
      <c r="K568">
        <f>IF(ISBLANK('Data Entry'!$K$568), "", 'Data Entry'!$K$568)</f>
      </c>
      <c r="L568">
        <f>IF(ISBLANK('Data Entry'!$L$568), "", 'Data Entry'!$L$568)</f>
      </c>
      <c r="M568">
        <f>IF(ISBLANK('Data Entry'!$M$568), "", 'Data Entry'!$M$568)</f>
      </c>
      <c r="N568">
        <f>IF(ISBLANK('Data Entry'!$N$568), "", 'Data Entry'!$N$568)</f>
      </c>
      <c r="O568">
        <f>IF(ISBLANK('Data Entry'!$O$568), "", 'Data Entry'!$O$568)</f>
      </c>
      <c r="P568">
        <f>IF(ISBLANK('Data Entry'!$P$568), "", 'Data Entry'!$P$568)</f>
      </c>
      <c r="Q568">
        <f>IF(ISBLANK('Data Entry'!$Q$568), "", 'Data Entry'!$Q$568)</f>
      </c>
      <c r="R568">
        <f>IF(ISBLANK('Data Entry'!$R$568), "", 'Data Entry'!$R$568)</f>
      </c>
      <c r="S568">
        <f>IF(ISBLANK('Data Entry'!$S$568), "", 'Data Entry'!$S$568)</f>
      </c>
      <c r="T568">
        <f>IF(ISBLANK('Data Entry'!$T$568), "", 'Data Entry'!$T$568)</f>
      </c>
      <c r="U568">
        <f>IF(ISBLANK('Data Entry'!$U$568), "", 'Data Entry'!$U$568)</f>
      </c>
      <c r="V568">
        <f>IF(ISBLANK('Data Entry'!$V$568), "", 'Data Entry'!$V$568)</f>
      </c>
      <c r="W568">
        <f>IF(ISBLANK('Data Entry'!$W$568), "", 'Data Entry'!$W$568)</f>
      </c>
      <c r="X568">
        <f>IF(ISBLANK('Data Entry'!$X$568), "", 'Data Entry'!$X$568)</f>
      </c>
      <c r="Y568">
        <f>IF(ISBLANK('Data Entry'!$Y$568), "", 'Data Entry'!$Y$568)</f>
      </c>
      <c r="Z568">
        <f>IF(ISBLANK('Data Entry'!$Z$568), "", 'Data Entry'!$Z$568)</f>
      </c>
      <c r="AA568">
        <f>IF(ISBLANK('Data Entry'!$[$568), "", 'Data Entry'!$[$568)</f>
      </c>
      <c r="AB568">
        <f>IF(ISBLANK('Data Entry'!$\$568), "", 'Data Entry'!$\$568)</f>
      </c>
      <c r="AC568">
        <f>IF(ISBLANK('Data Entry'!$]$568), "", 'Data Entry'!$]$568)</f>
      </c>
      <c r="AD568">
        <f>IF(ISBLANK('Data Entry'!$^$568), "", 'Data Entry'!$^$568)</f>
      </c>
      <c r="AE568">
        <f>IF(ISBLANK('Data Entry'!$_$568), "", 'Data Entry'!$_$568)</f>
      </c>
      <c r="AF568">
        <f>IF(ISBLANK('Data Entry'!$`$568), "", 'Data Entry'!$`$568)</f>
      </c>
      <c r="AG568">
        <f>IF(ISBLANK('Data Entry'!$a$568), "", 'Data Entry'!$a$568)</f>
      </c>
      <c r="AH568">
        <f>IF(ISBLANK('Data Entry'!$b$568), "", 'Data Entry'!$b$568)</f>
      </c>
      <c r="AI568">
        <f>IF(ISBLANK('Data Entry'!$c$568), "", 'Data Entry'!$c$568)</f>
      </c>
      <c r="AJ568">
        <f>IF(ISBLANK('Data Entry'!$d$568), "", 'Data Entry'!$d$568)</f>
      </c>
      <c r="AK568">
        <f>IF(ISBLANK('Data Entry'!$e$568), "", 'Data Entry'!$e$568)</f>
      </c>
      <c r="AL568">
        <f>IF(ISBLANK('Data Entry'!$f$568), "", 'Data Entry'!$f$568)</f>
      </c>
      <c r="AM568">
        <f>IF(ISBLANK('Data Entry'!$g$568), "", 'Data Entry'!$g$568)</f>
      </c>
      <c r="AN568">
        <f>IF(ISBLANK('Data Entry'!$h$568), "", 'Data Entry'!$h$568)</f>
      </c>
      <c r="AO568">
        <f>IF(ISBLANK('Data Entry'!$i$568), "", 'Data Entry'!$i$568)</f>
      </c>
      <c r="AP568">
        <f>IF(ISBLANK('Data Entry'!$j$568), "", 'Data Entry'!$j$568)</f>
      </c>
      <c r="AQ568">
        <f>IF(ISBLANK('Data Entry'!$k$568), "", 'Data Entry'!$k$568)</f>
      </c>
      <c r="AR568">
        <f>IF(ISBLANK('Data Entry'!$l$568), "", 'Data Entry'!$l$568)</f>
      </c>
      <c r="AS568">
        <f>IF(ISBLANK('Data Entry'!$m$568), "", 'Data Entry'!$m$568)</f>
      </c>
      <c r="AT568">
        <f>IF(ISBLANK('Data Entry'!$n$568), "", 'Data Entry'!$n$568)</f>
      </c>
      <c r="AU568">
        <f>IF(ISBLANK('Data Entry'!$o$568), "", 'Data Entry'!$o$568)</f>
      </c>
      <c r="AV568">
        <f>IF(ISBLANK('Data Entry'!$p$568), "", 'Data Entry'!$p$568)</f>
      </c>
      <c r="AW568">
        <f>IF(ISBLANK('Data Entry'!$q$568), "", 'Data Entry'!$q$568)</f>
      </c>
      <c r="AX568">
        <f>IF(ISBLANK('Data Entry'!$r$568), "", 'Data Entry'!$r$568)</f>
      </c>
      <c r="AY568">
        <f>IF(ISBLANK('Data Entry'!$s$568), "", 'Data Entry'!$s$568)</f>
      </c>
      <c r="AZ568">
        <f>IF(ISBLANK('Data Entry'!$t$568), "", 'Data Entry'!$t$568)</f>
      </c>
      <c r="BA568">
        <f>IF(ISBLANK('Data Entry'!$u$568), "", 'Data Entry'!$u$568)</f>
      </c>
      <c r="BB568">
        <f>IF(ISBLANK('Data Entry'!$v$568), "", 'Data Entry'!$v$568)</f>
      </c>
      <c r="BC568">
        <f>IF(ISBLANK('Data Entry'!$w$568), "", 'Data Entry'!$w$568)</f>
      </c>
      <c r="BD568">
        <f>IF(ISBLANK('Data Entry'!$x$568), "", 'Data Entry'!$x$568)</f>
      </c>
      <c r="BE568">
        <f>IF(ISBLANK('Data Entry'!$y$568), "", 'Data Entry'!$y$568)</f>
      </c>
      <c r="BF568">
        <f>IF(ISBLANK('Data Entry'!$z$568), "", 'Data Entry'!$z$568)</f>
      </c>
      <c r="BG568">
        <f>IF(ISBLANK('Data Entry'!${$568), "", 'Data Entry'!${$568)</f>
      </c>
      <c r="BH568">
        <f>IF(ISBLANK('Data Entry'!$|$568), "", 'Data Entry'!$|$568)</f>
      </c>
      <c r="BI568">
        <f>IF(ISBLANK('Data Entry'!$}$568), "", 'Data Entry'!$}$568)</f>
      </c>
      <c r="BJ568">
        <f>IF(ISBLANK('Data Entry'!$~$568), "", 'Data Entry'!$~$568)</f>
      </c>
      <c r="BK568">
        <f>IF(ISBLANK('Data Entry'!$$568), "", 'Data Entry'!$$568)</f>
      </c>
      <c r="BL568">
        <f>IF(ISBLANK('Data Entry'!$$568), "", 'Data Entry'!$$568)</f>
      </c>
      <c r="BM568">
        <f>IF(ISBLANK('Data Entry'!$$568), "", 'Data Entry'!$$568)</f>
      </c>
      <c r="BN568">
        <f>IF(ISBLANK('Data Entry'!$$568), "", 'Data Entry'!$$568)</f>
      </c>
      <c r="BO568">
        <f>IF(ISBLANK('Data Entry'!$$568), "", 'Data Entry'!$$568)</f>
      </c>
      <c r="BP568">
        <f>IF(ISBLANK('Data Entry'!$$568), "", 'Data Entry'!$$568)</f>
      </c>
      <c r="BQ568">
        <f>IF(ISBLANK('Data Entry'!$$568), "", 'Data Entry'!$$568)</f>
      </c>
      <c r="BR568">
        <f>IF(ISBLANK('Data Entry'!$$568), "", 'Data Entry'!$$568)</f>
      </c>
      <c r="BS568">
        <f>IF(ISBLANK('Data Entry'!$$568), "", 'Data Entry'!$$568)</f>
      </c>
      <c r="BT568">
        <f>IF(ISBLANK('Data Entry'!$$568), "", 'Data Entry'!$$568)</f>
      </c>
      <c r="BU568">
        <f>IF(ISBLANK('Data Entry'!$$568), "", 'Data Entry'!$$568)</f>
      </c>
      <c r="BV568">
        <f>IF(ISBLANK('Data Entry'!$$568), "", 'Data Entry'!$$568)</f>
      </c>
      <c r="BW568">
        <f>IF(ISBLANK('Data Entry'!$$568), "", 'Data Entry'!$$568)</f>
      </c>
      <c r="BX568">
        <f>IF(ISBLANK('Data Entry'!$$568), "", 'Data Entry'!$$568)</f>
      </c>
      <c r="BY568">
        <f>IF(ISBLANK('Data Entry'!$$568), "", 'Data Entry'!$$568)</f>
      </c>
      <c r="BZ568">
        <f>IF(ISBLANK('Data Entry'!$$568), "", 'Data Entry'!$$568)</f>
      </c>
      <c r="CA568">
        <f>IF(ISBLANK('Data Entry'!$$568), "", 'Data Entry'!$$568)</f>
      </c>
      <c r="CB568">
        <f>IF(ISBLANK('Data Entry'!$$568), "", 'Data Entry'!$$568)</f>
      </c>
      <c r="CC568">
        <f>IF(ISBLANK('Data Entry'!$$568), "", 'Data Entry'!$$568)</f>
      </c>
      <c r="CD568">
        <f>IF(ISBLANK('Data Entry'!$$568), "", 'Data Entry'!$$568)</f>
      </c>
      <c r="CE568">
        <f>IF(ISBLANK('Data Entry'!$$568), "", 'Data Entry'!$$568)</f>
      </c>
      <c r="CF568">
        <f>IF(ISBLANK('Data Entry'!$$568), "", 'Data Entry'!$$568)</f>
      </c>
      <c r="CG568">
        <f>IF(ISBLANK('Data Entry'!$$568), "", 'Data Entry'!$$568)</f>
      </c>
      <c r="CH568">
        <f>IF(ISBLANK('Data Entry'!$$568), "", 'Data Entry'!$$568)</f>
      </c>
      <c r="CI568">
        <f>IF(ISBLANK('Data Entry'!$$568), "", 'Data Entry'!$$568)</f>
      </c>
      <c r="CJ568">
        <f>IF(ISBLANK('Data Entry'!$$568), "", 'Data Entry'!$$568)</f>
      </c>
      <c r="CK568">
        <f>IF(ISBLANK('Data Entry'!$$568), "", 'Data Entry'!$$568)</f>
      </c>
      <c r="CL568">
        <f>IF(ISBLANK('Data Entry'!$$568), "", 'Data Entry'!$$568)</f>
      </c>
      <c r="CM568">
        <f>IF(ISBLANK('Data Entry'!$$568), "", 'Data Entry'!$$568)</f>
      </c>
      <c r="CN568">
        <f>IF(ISBLANK('Data Entry'!$$568), "", 'Data Entry'!$$568)</f>
      </c>
      <c r="CO568">
        <f>IF(ISBLANK('Data Entry'!$$568), "", 'Data Entry'!$$568)</f>
      </c>
      <c r="CP568">
        <f>IF(ISBLANK('Data Entry'!$$568), "", 'Data Entry'!$$568)</f>
      </c>
      <c r="CQ568">
        <f>IF(ISBLANK('Data Entry'!$$568), "", 'Data Entry'!$$568)</f>
      </c>
      <c r="CR568">
        <f>IF(ISBLANK('Data Entry'!$ $568), "", 'Data Entry'!$ $568)</f>
      </c>
      <c r="CS568">
        <f>IF(ISBLANK('Data Entry'!$¡$568), "", 'Data Entry'!$¡$568)</f>
      </c>
      <c r="CT568">
        <f>IF(ISBLANK('Data Entry'!$¢$568), "", 'Data Entry'!$¢$568)</f>
      </c>
      <c r="CU568">
        <f>IF(ISBLANK('Data Entry'!$£$568), "", 'Data Entry'!$£$568)</f>
      </c>
      <c r="CV568">
        <f>IF(ISBLANK('Data Entry'!$¤$568), "", 'Data Entry'!$¤$568)</f>
      </c>
      <c r="CW568">
        <f>IF(ISBLANK('Data Entry'!$¥$568), "", 'Data Entry'!$¥$568)</f>
      </c>
      <c r="CX568">
        <f>IF(ISBLANK('Data Entry'!$¦$568), "", 'Data Entry'!$¦$568)</f>
      </c>
      <c r="CY568">
        <f>IF(ISBLANK('Data Entry'!$§$568), "", 'Data Entry'!$§$568)</f>
      </c>
      <c r="CZ568">
        <f>IF(ISBLANK('Data Entry'!$¨$568), "", 'Data Entry'!$¨$568)</f>
      </c>
      <c r="DA568">
        <f>IF(ISBLANK('Data Entry'!$©$568), "", 'Data Entry'!$©$568)</f>
      </c>
      <c r="DB568">
        <f>IF(ISBLANK('Data Entry'!$ª$568), "", 'Data Entry'!$ª$568)</f>
      </c>
      <c r="DC568">
        <f>IF(ISBLANK('Data Entry'!$«$568), "", 'Data Entry'!$«$568)</f>
      </c>
      <c r="DD568">
        <f>IF(ISBLANK('Data Entry'!$¬$568), "", 'Data Entry'!$¬$568)</f>
      </c>
      <c r="DE568">
        <f>IF(ISBLANK('Data Entry'!$­$568), "", 'Data Entry'!$­$568)</f>
      </c>
      <c r="DF568">
        <f>IF(ISBLANK('Data Entry'!$®$568), "", 'Data Entry'!$®$568)</f>
      </c>
      <c r="DG568">
        <f>IF(ISBLANK('Data Entry'!$¯$568), "", 'Data Entry'!$¯$568)</f>
      </c>
      <c r="DH568">
        <f>IF(ISBLANK('Data Entry'!$°$568), "", 'Data Entry'!$°$568)</f>
      </c>
      <c r="DI568">
        <f>IF(ISBLANK('Data Entry'!$±$568), "", 'Data Entry'!$±$568)</f>
      </c>
      <c r="DJ568">
        <f>IF(ISBLANK('Data Entry'!$²$568), "", 'Data Entry'!$²$568)</f>
      </c>
      <c r="DK568">
        <f>IF(ISBLANK('Data Entry'!$³$568), "", 'Data Entry'!$³$568)</f>
      </c>
      <c r="DL568">
        <f>IF(ISBLANK('Data Entry'!$´$568), "", 'Data Entry'!$´$568)</f>
      </c>
      <c r="DM568">
        <f>IF(ISBLANK('Data Entry'!$µ$568), "", 'Data Entry'!$µ$568)</f>
      </c>
      <c r="DN568">
        <f>IF(ISBLANK('Data Entry'!$¶$568), "", 'Data Entry'!$¶$568)</f>
      </c>
      <c r="DO568">
        <f>IF(ISBLANK('Data Entry'!$·$568), "", 'Data Entry'!$·$568)</f>
      </c>
      <c r="DP568">
        <f>IF(ISBLANK('Data Entry'!$¸$568), "", 'Data Entry'!$¸$568)</f>
      </c>
      <c r="DQ568">
        <f>IF(ISBLANK('Data Entry'!$¹$568), "", 'Data Entry'!$¹$568)</f>
      </c>
      <c r="DR568">
        <f>IF(ISBLANK('Data Entry'!$º$568), "", 'Data Entry'!$º$568)</f>
      </c>
      <c r="DS568">
        <f>IF(ISBLANK('Data Entry'!$»$568), "", 'Data Entry'!$»$568)</f>
      </c>
      <c r="DT568">
        <f>IF(ISBLANK('Data Entry'!$¼$568), "", 'Data Entry'!$¼$568)</f>
      </c>
      <c r="DU568">
        <f>IF(ISBLANK('Data Entry'!$½$568), "", 'Data Entry'!$½$568)</f>
      </c>
      <c r="DV568">
        <f>IF(ISBLANK('Data Entry'!$¾$568), "", 'Data Entry'!$¾$568)</f>
      </c>
      <c r="DW568">
        <f>IF(ISBLANK('Data Entry'!$¿$568), "", 'Data Entry'!$¿$568)</f>
      </c>
      <c r="DX568">
        <f>IF(ISBLANK('Data Entry'!$À$568), "", 'Data Entry'!$À$568)</f>
      </c>
      <c r="DY568">
        <f>IF(ISBLANK('Data Entry'!$Á$568), "", 'Data Entry'!$Á$568)</f>
      </c>
      <c r="DZ568">
        <f>IF(ISBLANK('Data Entry'!$Â$568), "", 'Data Entry'!$Â$568)</f>
      </c>
      <c r="EA568">
        <f>IF(ISBLANK('Data Entry'!$Ã$568), "", 'Data Entry'!$Ã$568)</f>
      </c>
      <c r="EB568">
        <f>IF(ISBLANK('Data Entry'!$Ä$568), "", 'Data Entry'!$Ä$568)</f>
      </c>
      <c r="EC568">
        <f>IF(ISBLANK('Data Entry'!$Å$568), "", 'Data Entry'!$Å$568)</f>
      </c>
      <c r="ED568">
        <f>IF(ISBLANK('Data Entry'!$Æ$568), "", 'Data Entry'!$Æ$568)</f>
      </c>
      <c r="EE568">
        <f>IF(ISBLANK('Data Entry'!$Ç$568), "", 'Data Entry'!$Ç$568)</f>
      </c>
      <c r="EF568">
        <f>IF(ISBLANK('Data Entry'!$È$568), "", 'Data Entry'!$È$568)</f>
      </c>
      <c r="EG568">
        <f>IF(ISBLANK('Data Entry'!$É$568), "", 'Data Entry'!$É$568)</f>
      </c>
      <c r="EH568">
        <f>IF(ISBLANK('Data Entry'!$Ê$568), "", 'Data Entry'!$Ê$568)</f>
      </c>
      <c r="EI568">
        <f>IF(ISBLANK('Data Entry'!$Ë$568), "", 'Data Entry'!$Ë$568)</f>
      </c>
      <c r="EJ568">
        <f>IF(ISBLANK('Data Entry'!$Ì$568), "", 'Data Entry'!$Ì$568)</f>
      </c>
      <c r="EK568">
        <f>IF(ISBLANK('Data Entry'!$Í$568), "", 'Data Entry'!$Í$568)</f>
      </c>
      <c r="EL568">
        <f>IF(ISBLANK('Data Entry'!$Î$568), "", 'Data Entry'!$Î$568)</f>
      </c>
      <c r="EM568">
        <f>IF(ISBLANK('Data Entry'!$Ï$568), "", 'Data Entry'!$Ï$568)</f>
      </c>
      <c r="EN568">
        <f>IF(ISBLANK('Data Entry'!$Ð$568), "", 'Data Entry'!$Ð$568)</f>
      </c>
      <c r="EO568">
        <f>IF(ISBLANK('Data Entry'!$Ñ$568), "", 'Data Entry'!$Ñ$568)</f>
      </c>
      <c r="EP568">
        <f>IF(ISBLANK('Data Entry'!$Ò$568), "", 'Data Entry'!$Ò$568)</f>
      </c>
      <c r="EQ568">
        <f>IF(ISBLANK('Data Entry'!$Ó$568), "", 'Data Entry'!$Ó$568)</f>
      </c>
      <c r="ER568">
        <f>IF(ISBLANK('Data Entry'!$Ô$568), "", 'Data Entry'!$Ô$568)</f>
      </c>
      <c r="ES568">
        <f>IF(ISBLANK('Data Entry'!$Õ$568), "", 'Data Entry'!$Õ$568)</f>
      </c>
      <c r="ET568">
        <f>IF(ISBLANK('Data Entry'!$Ö$568), "", 'Data Entry'!$Ö$568)</f>
      </c>
      <c r="EU568">
        <f>IF(ISBLANK('Data Entry'!$×$568), "", 'Data Entry'!$×$568)</f>
      </c>
      <c r="EV568">
        <f>IF(ISBLANK('Data Entry'!$Ø$568), "", 'Data Entry'!$Ø$568)</f>
      </c>
      <c r="EW568">
        <f>IF(ISBLANK('Data Entry'!$Ù$568), "", 'Data Entry'!$Ù$568)</f>
      </c>
      <c r="EX568">
        <f>IF(ISBLANK('Data Entry'!$Ú$568), "", 'Data Entry'!$Ú$568)</f>
      </c>
      <c r="EY568">
        <f>IF(ISBLANK('Data Entry'!$Û$568), "", 'Data Entry'!$Û$568)</f>
      </c>
      <c r="EZ568">
        <f>IF(ISBLANK('Data Entry'!$Ü$568), "", 'Data Entry'!$Ü$568)</f>
      </c>
      <c r="FA568">
        <f>IF(ISBLANK('Data Entry'!$Ý$568), "", 'Data Entry'!$Ý$568)</f>
      </c>
      <c r="FB568">
        <f>IF(ISBLANK('Data Entry'!$Þ$568), "", 'Data Entry'!$Þ$568)</f>
      </c>
      <c r="FC568">
        <f>IF(ISBLANK('Data Entry'!$ß$568), "", 'Data Entry'!$ß$568)</f>
      </c>
      <c r="FD568">
        <f>IF(ISBLANK('Data Entry'!$à$568), "", 'Data Entry'!$à$568)</f>
      </c>
      <c r="FE568">
        <f>IF(ISBLANK('Data Entry'!$á$568), "", 'Data Entry'!$á$568)</f>
      </c>
      <c r="FF568">
        <f>IF(ISBLANK('Data Entry'!$â$568), "", 'Data Entry'!$â$568)</f>
      </c>
      <c r="FG568">
        <f>IF(ISBLANK('Data Entry'!$ã$568), "", 'Data Entry'!$ã$568)</f>
      </c>
      <c r="FH568">
        <f>IF(ISBLANK('Data Entry'!$ä$568), "", 'Data Entry'!$ä$568)</f>
      </c>
      <c r="FI568">
        <f>IF(ISBLANK('Data Entry'!$å$568), "", 'Data Entry'!$å$568)</f>
      </c>
      <c r="FJ568">
        <f>IF(ISBLANK('Data Entry'!$æ$568), "", 'Data Entry'!$æ$568)</f>
      </c>
      <c r="FK568">
        <f>IF(ISBLANK('Data Entry'!$ç$568), "", 'Data Entry'!$ç$568)</f>
      </c>
      <c r="FL568">
        <f>IF(ISBLANK('Data Entry'!$è$568), "", 'Data Entry'!$è$568)</f>
      </c>
      <c r="FM568">
        <f>IF(ISBLANK('Data Entry'!$é$568), "", 'Data Entry'!$é$568)</f>
      </c>
      <c r="FN568">
        <f>IF(ISBLANK('Data Entry'!$ê$568), "", 'Data Entry'!$ê$568)</f>
      </c>
      <c r="FO568">
        <f>IF(ISBLANK('Data Entry'!$ë$568), "", 'Data Entry'!$ë$568)</f>
      </c>
      <c r="FP568">
        <f>IF(ISBLANK('Data Entry'!$ì$568), "", 'Data Entry'!$ì$568)</f>
      </c>
      <c r="FQ568">
        <f>IF(ISBLANK('Data Entry'!$í$568), "", 'Data Entry'!$í$568)</f>
      </c>
      <c r="FR568">
        <f>IF(ISBLANK('Data Entry'!$î$568), "", 'Data Entry'!$î$568)</f>
      </c>
      <c r="FS568">
        <f>IF(ISBLANK('Data Entry'!$ï$568), "", 'Data Entry'!$ï$568)</f>
      </c>
      <c r="FT568">
        <f>IF(ISBLANK('Data Entry'!$ð$568), "", 'Data Entry'!$ð$568)</f>
      </c>
      <c r="FU568">
        <f>IF(ISBLANK('Data Entry'!$ñ$568), "", 'Data Entry'!$ñ$568)</f>
      </c>
      <c r="FV568">
        <f>IF(ISBLANK('Data Entry'!$ò$568), "", 'Data Entry'!$ò$568)</f>
      </c>
      <c r="FW568">
        <f>IF(ISBLANK('Data Entry'!$ó$568), "", 'Data Entry'!$ó$568)</f>
      </c>
      <c r="FX568">
        <f>IF(ISBLANK('Data Entry'!$ô$568), "", 'Data Entry'!$ô$568)</f>
      </c>
      <c r="FY568">
        <f>IF(ISBLANK('Data Entry'!$õ$568), "", 'Data Entry'!$õ$568)</f>
      </c>
      <c r="FZ568">
        <f>IF(ISBLANK('Data Entry'!$ö$568), "", 'Data Entry'!$ö$568)</f>
      </c>
      <c r="GA568">
        <f>IF(ISBLANK('Data Entry'!$÷$568), "", 'Data Entry'!$÷$568)</f>
      </c>
      <c r="GB568">
        <f>IF(ISBLANK('Data Entry'!$ø$568), "", 'Data Entry'!$ø$568)</f>
      </c>
      <c r="GC568">
        <f>IF(ISBLANK('Data Entry'!$ù$568), "", 'Data Entry'!$ù$568)</f>
      </c>
      <c r="GD568">
        <f>IF(ISBLANK('Data Entry'!$ú$568), "", 'Data Entry'!$ú$568)</f>
      </c>
      <c r="GE568">
        <f>IF(ISBLANK('Data Entry'!$û$568), "", 'Data Entry'!$û$568)</f>
      </c>
      <c r="GF568">
        <f>IF(ISBLANK('Data Entry'!$ü$568), "", 'Data Entry'!$ü$568)</f>
      </c>
      <c r="GG568">
        <f>IF(ISBLANK('Data Entry'!$ý$568), "", 'Data Entry'!$ý$568)</f>
      </c>
      <c r="GH568">
        <f>IF(ISBLANK('Data Entry'!$þ$568), "", 'Data Entry'!$þ$568)</f>
      </c>
      <c r="GI568">
        <f>IF(ISBLANK('Data Entry'!$ÿ$568), "", 'Data Entry'!$ÿ$568)</f>
      </c>
      <c r="GJ568">
        <f>IF(ISBLANK('Data Entry'!$Ā$568), "", 'Data Entry'!$Ā$568)</f>
      </c>
      <c r="GK568">
        <f>IF(ISBLANK('Data Entry'!$ā$568), "", 'Data Entry'!$ā$568)</f>
      </c>
      <c r="GL568">
        <f>IF(ISBLANK('Data Entry'!$Ă$568), "", 'Data Entry'!$Ă$568)</f>
      </c>
      <c r="GM568">
        <f>IF(ISBLANK('Data Entry'!$ă$568), "", 'Data Entry'!$ă$568)</f>
      </c>
      <c r="GN568">
        <f>IF(ISBLANK('Data Entry'!$Ą$568), "", 'Data Entry'!$Ą$568)</f>
      </c>
      <c r="GO568">
        <f>IF(ISBLANK('Data Entry'!$ą$568), "", 'Data Entry'!$ą$568)</f>
      </c>
      <c r="GP568">
        <f>IF(ISBLANK('Data Entry'!$Ć$568), "", 'Data Entry'!$Ć$568)</f>
      </c>
      <c r="GQ568">
        <f>IF(ISBLANK('Data Entry'!$ć$568), "", 'Data Entry'!$ć$568)</f>
      </c>
      <c r="GR568">
        <f>IF(ISBLANK('Data Entry'!$Ĉ$568), "", 'Data Entry'!$Ĉ$568)</f>
      </c>
      <c r="GS568">
        <f>IF(ISBLANK('Data Entry'!$ĉ$568), "", 'Data Entry'!$ĉ$568)</f>
      </c>
      <c r="GT568">
        <f>IF(ISBLANK('Data Entry'!$Ċ$568), "", 'Data Entry'!$Ċ$568)</f>
      </c>
      <c r="GU568">
        <f>IF(ISBLANK('Data Entry'!$ċ$568), "", 'Data Entry'!$ċ$568)</f>
      </c>
      <c r="GV568">
        <f>IF(ISBLANK('Data Entry'!$Č$568), "", 'Data Entry'!$Č$568)</f>
      </c>
      <c r="GW568">
        <f>IF(ISBLANK('Data Entry'!$č$568), "", 'Data Entry'!$č$568)</f>
      </c>
      <c r="GX568">
        <f>IF(ISBLANK('Data Entry'!$Ď$568), "", 'Data Entry'!$Ď$568)</f>
      </c>
      <c r="GY568">
        <f>IF(ISBLANK('Data Entry'!$ď$568), "", 'Data Entry'!$ď$568)</f>
      </c>
      <c r="GZ568">
        <f>IF(ISBLANK('Data Entry'!$Đ$568), "", 'Data Entry'!$Đ$568)</f>
      </c>
      <c r="HA568">
        <f>IF(ISBLANK('Data Entry'!$đ$568), "", 'Data Entry'!$đ$568)</f>
      </c>
      <c r="HB568">
        <f>IF(ISBLANK('Data Entry'!$Ē$568), "", 'Data Entry'!$Ē$568)</f>
      </c>
      <c r="HC568">
        <f>IF(ISBLANK('Data Entry'!$ē$568), "", 'Data Entry'!$ē$568)</f>
      </c>
      <c r="HD568">
        <f>IF(ISBLANK('Data Entry'!$Ĕ$568), "", 'Data Entry'!$Ĕ$568)</f>
      </c>
      <c r="HE568">
        <f>IF(ISBLANK('Data Entry'!$ĕ$568), "", 'Data Entry'!$ĕ$568)</f>
      </c>
      <c r="HF568">
        <f>IF(ISBLANK('Data Entry'!$Ė$568), "", 'Data Entry'!$Ė$568)</f>
      </c>
      <c r="HG568">
        <f>IF(ISBLANK('Data Entry'!$ė$568), "", 'Data Entry'!$ė$568)</f>
      </c>
      <c r="HH568">
        <f>IF(ISBLANK('Data Entry'!$Ę$568), "", 'Data Entry'!$Ę$568)</f>
      </c>
      <c r="HI568">
        <f>IF(ISBLANK('Data Entry'!$ę$568), "", 'Data Entry'!$ę$568)</f>
      </c>
      <c r="HJ568">
        <f>IF(ISBLANK('Data Entry'!$Ě$568), "", 'Data Entry'!$Ě$568)</f>
      </c>
      <c r="HK568">
        <f>IF(ISBLANK('Data Entry'!$ě$568), "", 'Data Entry'!$ě$568)</f>
      </c>
      <c r="HL568">
        <f>IF(ISBLANK('Data Entry'!$Ĝ$568), "", 'Data Entry'!$Ĝ$568)</f>
      </c>
      <c r="HM568">
        <f>IF(ISBLANK('Data Entry'!$ĝ$568), "", 'Data Entry'!$ĝ$568)</f>
      </c>
      <c r="HN568">
        <f>IF(ISBLANK('Data Entry'!$Ğ$568), "", 'Data Entry'!$Ğ$568)</f>
      </c>
      <c r="HO568">
        <f>IF(ISBLANK('Data Entry'!$ğ$568), "", 'Data Entry'!$ğ$568)</f>
      </c>
      <c r="HP568">
        <f>IF(ISBLANK('Data Entry'!$Ġ$568), "", 'Data Entry'!$Ġ$568)</f>
      </c>
      <c r="HQ568">
        <f>IF(ISBLANK('Data Entry'!$ġ$568), "", 'Data Entry'!$ġ$568)</f>
      </c>
      <c r="HR568">
        <f>IF(ISBLANK('Data Entry'!$Ģ$568), "", 'Data Entry'!$Ģ$568)</f>
      </c>
      <c r="HS568">
        <f>IF(ISBLANK('Data Entry'!$ģ$568), "", 'Data Entry'!$ģ$568)</f>
      </c>
      <c r="HT568">
        <f>IF(ISBLANK('Data Entry'!$Ĥ$568), "", 'Data Entry'!$Ĥ$568)</f>
      </c>
      <c r="HU568">
        <f>IF(ISBLANK('Data Entry'!$ĥ$568), "", 'Data Entry'!$ĥ$568)</f>
      </c>
      <c r="HV568">
        <f>IF(ISBLANK('Data Entry'!$Ħ$568), "", 'Data Entry'!$Ħ$568)</f>
      </c>
      <c r="HW568">
        <f>IF(ISBLANK('Data Entry'!$ħ$568), "", 'Data Entry'!$ħ$568)</f>
      </c>
      <c r="HX568">
        <f>IF(ISBLANK('Data Entry'!$Ĩ$568), "", 'Data Entry'!$Ĩ$568)</f>
      </c>
      <c r="HY568">
        <f>IF(ISBLANK('Data Entry'!$ĩ$568), "", 'Data Entry'!$ĩ$568)</f>
      </c>
      <c r="HZ568">
        <f>IF(ISBLANK('Data Entry'!$Ī$568), "", 'Data Entry'!$Ī$568)</f>
      </c>
      <c r="IA568">
        <f>IF(ISBLANK('Data Entry'!$ī$568), "", 'Data Entry'!$ī$568)</f>
      </c>
      <c r="IB568">
        <f>IF(ISBLANK('Data Entry'!$Ĭ$568), "", 'Data Entry'!$Ĭ$568)</f>
      </c>
      <c r="IC568">
        <f>IF(ISBLANK('Data Entry'!$ĭ$568), "", 'Data Entry'!$ĭ$568)</f>
      </c>
      <c r="ID568">
        <f>IF(ISBLANK('Data Entry'!$Į$568), "", 'Data Entry'!$Į$568)</f>
      </c>
      <c r="IE568">
        <f>IF(ISBLANK('Data Entry'!$į$568), "", 'Data Entry'!$į$568)</f>
      </c>
      <c r="IF568">
        <f>IF(ISBLANK('Data Entry'!$İ$568), "", 'Data Entry'!$İ$568)</f>
      </c>
      <c r="IG568">
        <f>IF(ISBLANK('Data Entry'!$ı$568), "", 'Data Entry'!$ı$568)</f>
      </c>
      <c r="IH568">
        <f>IF(ISBLANK('Data Entry'!$Ĳ$568), "", 'Data Entry'!$Ĳ$568)</f>
      </c>
      <c r="II568">
        <f>IF(ISBLANK('Data Entry'!$ĳ$568), "", 'Data Entry'!$ĳ$568)</f>
      </c>
      <c r="IJ568">
        <f>IF(ISBLANK('Data Entry'!$Ĵ$568), "", 'Data Entry'!$Ĵ$568)</f>
      </c>
      <c r="IK568">
        <f>IF(ISBLANK('Data Entry'!$ĵ$568), "", 'Data Entry'!$ĵ$568)</f>
      </c>
      <c r="IL568">
        <f>IF(ISBLANK('Data Entry'!$Ķ$568), "", 'Data Entry'!$Ķ$568)</f>
      </c>
      <c r="IM568">
        <f>IF(ISBLANK('Data Entry'!$ķ$568), "", 'Data Entry'!$ķ$568)</f>
      </c>
      <c r="IN568">
        <f>IF(ISBLANK('Data Entry'!$ĸ$568), "", 'Data Entry'!$ĸ$568)</f>
      </c>
      <c r="IO568">
        <f>IF(ISBLANK('Data Entry'!$Ĺ$568), "", 'Data Entry'!$Ĺ$568)</f>
      </c>
      <c r="IP568">
        <f>IF(ISBLANK('Data Entry'!$ĺ$568), "", 'Data Entry'!$ĺ$568)</f>
      </c>
      <c r="IQ568">
        <f>IF(ISBLANK('Data Entry'!$Ļ$568), "", 'Data Entry'!$Ļ$568)</f>
      </c>
      <c r="IR568">
        <f>IF(ISBLANK('Data Entry'!$ļ$568), "", 'Data Entry'!$ļ$568)</f>
      </c>
      <c r="IS568">
        <f>IF(ISBLANK('Data Entry'!$Ľ$568), "", 'Data Entry'!$Ľ$568)</f>
      </c>
      <c r="IT568">
        <f>IF(ISBLANK('Data Entry'!$ľ$568), "", 'Data Entry'!$ľ$568)</f>
      </c>
    </row>
    <row r="569" spans="1:254" x14ac:dyDescent="0.25">
      <c r="A569">
        <f>IF(ISBLANK('Data Entry'!$A$569), "", 'Data Entry'!$A$569)</f>
      </c>
      <c r="B569">
        <f>IF(ISBLANK('Data Entry'!$B$569), "", 'Data Entry'!$B$569)</f>
      </c>
      <c r="C569">
        <f>IF(ISBLANK('Data Entry'!$C$569), "", 'Data Entry'!$C$569)</f>
      </c>
      <c r="D569">
        <f>IF(ISBLANK('Data Entry'!$D$569), "", 'Data Entry'!$D$569)</f>
      </c>
      <c r="E569">
        <f>IF(ISBLANK('Data Entry'!$E$569), "", 'Data Entry'!$E$569)</f>
      </c>
      <c r="F569">
        <f>IF(ISBLANK('Data Entry'!$F$569), "", 'Data Entry'!$F$569)</f>
      </c>
      <c r="G569">
        <f>IF(ISBLANK('Data Entry'!$G$569), "", 'Data Entry'!$G$569)</f>
      </c>
      <c r="H569">
        <f>IF(ISBLANK('Data Entry'!$H$569), "", 'Data Entry'!$H$569)</f>
      </c>
      <c r="I569">
        <f>IF(ISBLANK('Data Entry'!$I$569), "", 'Data Entry'!$I$569)</f>
      </c>
      <c r="J569">
        <f>IF(ISBLANK('Data Entry'!$J$569), "", 'Data Entry'!$J$569)</f>
      </c>
      <c r="K569">
        <f>IF(ISBLANK('Data Entry'!$K$569), "", 'Data Entry'!$K$569)</f>
      </c>
      <c r="L569">
        <f>IF(ISBLANK('Data Entry'!$L$569), "", 'Data Entry'!$L$569)</f>
      </c>
      <c r="M569">
        <f>IF(ISBLANK('Data Entry'!$M$569), "", 'Data Entry'!$M$569)</f>
      </c>
      <c r="N569">
        <f>IF(ISBLANK('Data Entry'!$N$569), "", 'Data Entry'!$N$569)</f>
      </c>
      <c r="O569">
        <f>IF(ISBLANK('Data Entry'!$O$569), "", 'Data Entry'!$O$569)</f>
      </c>
      <c r="P569">
        <f>IF(ISBLANK('Data Entry'!$P$569), "", 'Data Entry'!$P$569)</f>
      </c>
      <c r="Q569">
        <f>IF(ISBLANK('Data Entry'!$Q$569), "", 'Data Entry'!$Q$569)</f>
      </c>
      <c r="R569">
        <f>IF(ISBLANK('Data Entry'!$R$569), "", 'Data Entry'!$R$569)</f>
      </c>
      <c r="S569">
        <f>IF(ISBLANK('Data Entry'!$S$569), "", 'Data Entry'!$S$569)</f>
      </c>
      <c r="T569">
        <f>IF(ISBLANK('Data Entry'!$T$569), "", 'Data Entry'!$T$569)</f>
      </c>
      <c r="U569">
        <f>IF(ISBLANK('Data Entry'!$U$569), "", 'Data Entry'!$U$569)</f>
      </c>
      <c r="V569">
        <f>IF(ISBLANK('Data Entry'!$V$569), "", 'Data Entry'!$V$569)</f>
      </c>
      <c r="W569">
        <f>IF(ISBLANK('Data Entry'!$W$569), "", 'Data Entry'!$W$569)</f>
      </c>
      <c r="X569">
        <f>IF(ISBLANK('Data Entry'!$X$569), "", 'Data Entry'!$X$569)</f>
      </c>
      <c r="Y569">
        <f>IF(ISBLANK('Data Entry'!$Y$569), "", 'Data Entry'!$Y$569)</f>
      </c>
      <c r="Z569">
        <f>IF(ISBLANK('Data Entry'!$Z$569), "", 'Data Entry'!$Z$569)</f>
      </c>
      <c r="AA569">
        <f>IF(ISBLANK('Data Entry'!$[$569), "", 'Data Entry'!$[$569)</f>
      </c>
      <c r="AB569">
        <f>IF(ISBLANK('Data Entry'!$\$569), "", 'Data Entry'!$\$569)</f>
      </c>
      <c r="AC569">
        <f>IF(ISBLANK('Data Entry'!$]$569), "", 'Data Entry'!$]$569)</f>
      </c>
      <c r="AD569">
        <f>IF(ISBLANK('Data Entry'!$^$569), "", 'Data Entry'!$^$569)</f>
      </c>
      <c r="AE569">
        <f>IF(ISBLANK('Data Entry'!$_$569), "", 'Data Entry'!$_$569)</f>
      </c>
      <c r="AF569">
        <f>IF(ISBLANK('Data Entry'!$`$569), "", 'Data Entry'!$`$569)</f>
      </c>
      <c r="AG569">
        <f>IF(ISBLANK('Data Entry'!$a$569), "", 'Data Entry'!$a$569)</f>
      </c>
      <c r="AH569">
        <f>IF(ISBLANK('Data Entry'!$b$569), "", 'Data Entry'!$b$569)</f>
      </c>
      <c r="AI569">
        <f>IF(ISBLANK('Data Entry'!$c$569), "", 'Data Entry'!$c$569)</f>
      </c>
      <c r="AJ569">
        <f>IF(ISBLANK('Data Entry'!$d$569), "", 'Data Entry'!$d$569)</f>
      </c>
      <c r="AK569">
        <f>IF(ISBLANK('Data Entry'!$e$569), "", 'Data Entry'!$e$569)</f>
      </c>
      <c r="AL569">
        <f>IF(ISBLANK('Data Entry'!$f$569), "", 'Data Entry'!$f$569)</f>
      </c>
      <c r="AM569">
        <f>IF(ISBLANK('Data Entry'!$g$569), "", 'Data Entry'!$g$569)</f>
      </c>
      <c r="AN569">
        <f>IF(ISBLANK('Data Entry'!$h$569), "", 'Data Entry'!$h$569)</f>
      </c>
      <c r="AO569">
        <f>IF(ISBLANK('Data Entry'!$i$569), "", 'Data Entry'!$i$569)</f>
      </c>
      <c r="AP569">
        <f>IF(ISBLANK('Data Entry'!$j$569), "", 'Data Entry'!$j$569)</f>
      </c>
      <c r="AQ569">
        <f>IF(ISBLANK('Data Entry'!$k$569), "", 'Data Entry'!$k$569)</f>
      </c>
      <c r="AR569">
        <f>IF(ISBLANK('Data Entry'!$l$569), "", 'Data Entry'!$l$569)</f>
      </c>
      <c r="AS569">
        <f>IF(ISBLANK('Data Entry'!$m$569), "", 'Data Entry'!$m$569)</f>
      </c>
      <c r="AT569">
        <f>IF(ISBLANK('Data Entry'!$n$569), "", 'Data Entry'!$n$569)</f>
      </c>
      <c r="AU569">
        <f>IF(ISBLANK('Data Entry'!$o$569), "", 'Data Entry'!$o$569)</f>
      </c>
      <c r="AV569">
        <f>IF(ISBLANK('Data Entry'!$p$569), "", 'Data Entry'!$p$569)</f>
      </c>
      <c r="AW569">
        <f>IF(ISBLANK('Data Entry'!$q$569), "", 'Data Entry'!$q$569)</f>
      </c>
      <c r="AX569">
        <f>IF(ISBLANK('Data Entry'!$r$569), "", 'Data Entry'!$r$569)</f>
      </c>
      <c r="AY569">
        <f>IF(ISBLANK('Data Entry'!$s$569), "", 'Data Entry'!$s$569)</f>
      </c>
      <c r="AZ569">
        <f>IF(ISBLANK('Data Entry'!$t$569), "", 'Data Entry'!$t$569)</f>
      </c>
      <c r="BA569">
        <f>IF(ISBLANK('Data Entry'!$u$569), "", 'Data Entry'!$u$569)</f>
      </c>
      <c r="BB569">
        <f>IF(ISBLANK('Data Entry'!$v$569), "", 'Data Entry'!$v$569)</f>
      </c>
      <c r="BC569">
        <f>IF(ISBLANK('Data Entry'!$w$569), "", 'Data Entry'!$w$569)</f>
      </c>
      <c r="BD569">
        <f>IF(ISBLANK('Data Entry'!$x$569), "", 'Data Entry'!$x$569)</f>
      </c>
      <c r="BE569">
        <f>IF(ISBLANK('Data Entry'!$y$569), "", 'Data Entry'!$y$569)</f>
      </c>
      <c r="BF569">
        <f>IF(ISBLANK('Data Entry'!$z$569), "", 'Data Entry'!$z$569)</f>
      </c>
      <c r="BG569">
        <f>IF(ISBLANK('Data Entry'!${$569), "", 'Data Entry'!${$569)</f>
      </c>
      <c r="BH569">
        <f>IF(ISBLANK('Data Entry'!$|$569), "", 'Data Entry'!$|$569)</f>
      </c>
      <c r="BI569">
        <f>IF(ISBLANK('Data Entry'!$}$569), "", 'Data Entry'!$}$569)</f>
      </c>
      <c r="BJ569">
        <f>IF(ISBLANK('Data Entry'!$~$569), "", 'Data Entry'!$~$569)</f>
      </c>
      <c r="BK569">
        <f>IF(ISBLANK('Data Entry'!$$569), "", 'Data Entry'!$$569)</f>
      </c>
      <c r="BL569">
        <f>IF(ISBLANK('Data Entry'!$$569), "", 'Data Entry'!$$569)</f>
      </c>
      <c r="BM569">
        <f>IF(ISBLANK('Data Entry'!$$569), "", 'Data Entry'!$$569)</f>
      </c>
      <c r="BN569">
        <f>IF(ISBLANK('Data Entry'!$$569), "", 'Data Entry'!$$569)</f>
      </c>
      <c r="BO569">
        <f>IF(ISBLANK('Data Entry'!$$569), "", 'Data Entry'!$$569)</f>
      </c>
      <c r="BP569">
        <f>IF(ISBLANK('Data Entry'!$$569), "", 'Data Entry'!$$569)</f>
      </c>
      <c r="BQ569">
        <f>IF(ISBLANK('Data Entry'!$$569), "", 'Data Entry'!$$569)</f>
      </c>
      <c r="BR569">
        <f>IF(ISBLANK('Data Entry'!$$569), "", 'Data Entry'!$$569)</f>
      </c>
      <c r="BS569">
        <f>IF(ISBLANK('Data Entry'!$$569), "", 'Data Entry'!$$569)</f>
      </c>
      <c r="BT569">
        <f>IF(ISBLANK('Data Entry'!$$569), "", 'Data Entry'!$$569)</f>
      </c>
      <c r="BU569">
        <f>IF(ISBLANK('Data Entry'!$$569), "", 'Data Entry'!$$569)</f>
      </c>
      <c r="BV569">
        <f>IF(ISBLANK('Data Entry'!$$569), "", 'Data Entry'!$$569)</f>
      </c>
      <c r="BW569">
        <f>IF(ISBLANK('Data Entry'!$$569), "", 'Data Entry'!$$569)</f>
      </c>
      <c r="BX569">
        <f>IF(ISBLANK('Data Entry'!$$569), "", 'Data Entry'!$$569)</f>
      </c>
      <c r="BY569">
        <f>IF(ISBLANK('Data Entry'!$$569), "", 'Data Entry'!$$569)</f>
      </c>
      <c r="BZ569">
        <f>IF(ISBLANK('Data Entry'!$$569), "", 'Data Entry'!$$569)</f>
      </c>
      <c r="CA569">
        <f>IF(ISBLANK('Data Entry'!$$569), "", 'Data Entry'!$$569)</f>
      </c>
      <c r="CB569">
        <f>IF(ISBLANK('Data Entry'!$$569), "", 'Data Entry'!$$569)</f>
      </c>
      <c r="CC569">
        <f>IF(ISBLANK('Data Entry'!$$569), "", 'Data Entry'!$$569)</f>
      </c>
      <c r="CD569">
        <f>IF(ISBLANK('Data Entry'!$$569), "", 'Data Entry'!$$569)</f>
      </c>
      <c r="CE569">
        <f>IF(ISBLANK('Data Entry'!$$569), "", 'Data Entry'!$$569)</f>
      </c>
      <c r="CF569">
        <f>IF(ISBLANK('Data Entry'!$$569), "", 'Data Entry'!$$569)</f>
      </c>
      <c r="CG569">
        <f>IF(ISBLANK('Data Entry'!$$569), "", 'Data Entry'!$$569)</f>
      </c>
      <c r="CH569">
        <f>IF(ISBLANK('Data Entry'!$$569), "", 'Data Entry'!$$569)</f>
      </c>
      <c r="CI569">
        <f>IF(ISBLANK('Data Entry'!$$569), "", 'Data Entry'!$$569)</f>
      </c>
      <c r="CJ569">
        <f>IF(ISBLANK('Data Entry'!$$569), "", 'Data Entry'!$$569)</f>
      </c>
      <c r="CK569">
        <f>IF(ISBLANK('Data Entry'!$$569), "", 'Data Entry'!$$569)</f>
      </c>
      <c r="CL569">
        <f>IF(ISBLANK('Data Entry'!$$569), "", 'Data Entry'!$$569)</f>
      </c>
      <c r="CM569">
        <f>IF(ISBLANK('Data Entry'!$$569), "", 'Data Entry'!$$569)</f>
      </c>
      <c r="CN569">
        <f>IF(ISBLANK('Data Entry'!$$569), "", 'Data Entry'!$$569)</f>
      </c>
      <c r="CO569">
        <f>IF(ISBLANK('Data Entry'!$$569), "", 'Data Entry'!$$569)</f>
      </c>
      <c r="CP569">
        <f>IF(ISBLANK('Data Entry'!$$569), "", 'Data Entry'!$$569)</f>
      </c>
      <c r="CQ569">
        <f>IF(ISBLANK('Data Entry'!$$569), "", 'Data Entry'!$$569)</f>
      </c>
      <c r="CR569">
        <f>IF(ISBLANK('Data Entry'!$ $569), "", 'Data Entry'!$ $569)</f>
      </c>
      <c r="CS569">
        <f>IF(ISBLANK('Data Entry'!$¡$569), "", 'Data Entry'!$¡$569)</f>
      </c>
      <c r="CT569">
        <f>IF(ISBLANK('Data Entry'!$¢$569), "", 'Data Entry'!$¢$569)</f>
      </c>
      <c r="CU569">
        <f>IF(ISBLANK('Data Entry'!$£$569), "", 'Data Entry'!$£$569)</f>
      </c>
      <c r="CV569">
        <f>IF(ISBLANK('Data Entry'!$¤$569), "", 'Data Entry'!$¤$569)</f>
      </c>
      <c r="CW569">
        <f>IF(ISBLANK('Data Entry'!$¥$569), "", 'Data Entry'!$¥$569)</f>
      </c>
      <c r="CX569">
        <f>IF(ISBLANK('Data Entry'!$¦$569), "", 'Data Entry'!$¦$569)</f>
      </c>
      <c r="CY569">
        <f>IF(ISBLANK('Data Entry'!$§$569), "", 'Data Entry'!$§$569)</f>
      </c>
      <c r="CZ569">
        <f>IF(ISBLANK('Data Entry'!$¨$569), "", 'Data Entry'!$¨$569)</f>
      </c>
      <c r="DA569">
        <f>IF(ISBLANK('Data Entry'!$©$569), "", 'Data Entry'!$©$569)</f>
      </c>
      <c r="DB569">
        <f>IF(ISBLANK('Data Entry'!$ª$569), "", 'Data Entry'!$ª$569)</f>
      </c>
      <c r="DC569">
        <f>IF(ISBLANK('Data Entry'!$«$569), "", 'Data Entry'!$«$569)</f>
      </c>
      <c r="DD569">
        <f>IF(ISBLANK('Data Entry'!$¬$569), "", 'Data Entry'!$¬$569)</f>
      </c>
      <c r="DE569">
        <f>IF(ISBLANK('Data Entry'!$­$569), "", 'Data Entry'!$­$569)</f>
      </c>
      <c r="DF569">
        <f>IF(ISBLANK('Data Entry'!$®$569), "", 'Data Entry'!$®$569)</f>
      </c>
      <c r="DG569">
        <f>IF(ISBLANK('Data Entry'!$¯$569), "", 'Data Entry'!$¯$569)</f>
      </c>
      <c r="DH569">
        <f>IF(ISBLANK('Data Entry'!$°$569), "", 'Data Entry'!$°$569)</f>
      </c>
      <c r="DI569">
        <f>IF(ISBLANK('Data Entry'!$±$569), "", 'Data Entry'!$±$569)</f>
      </c>
      <c r="DJ569">
        <f>IF(ISBLANK('Data Entry'!$²$569), "", 'Data Entry'!$²$569)</f>
      </c>
      <c r="DK569">
        <f>IF(ISBLANK('Data Entry'!$³$569), "", 'Data Entry'!$³$569)</f>
      </c>
      <c r="DL569">
        <f>IF(ISBLANK('Data Entry'!$´$569), "", 'Data Entry'!$´$569)</f>
      </c>
      <c r="DM569">
        <f>IF(ISBLANK('Data Entry'!$µ$569), "", 'Data Entry'!$µ$569)</f>
      </c>
      <c r="DN569">
        <f>IF(ISBLANK('Data Entry'!$¶$569), "", 'Data Entry'!$¶$569)</f>
      </c>
      <c r="DO569">
        <f>IF(ISBLANK('Data Entry'!$·$569), "", 'Data Entry'!$·$569)</f>
      </c>
      <c r="DP569">
        <f>IF(ISBLANK('Data Entry'!$¸$569), "", 'Data Entry'!$¸$569)</f>
      </c>
      <c r="DQ569">
        <f>IF(ISBLANK('Data Entry'!$¹$569), "", 'Data Entry'!$¹$569)</f>
      </c>
      <c r="DR569">
        <f>IF(ISBLANK('Data Entry'!$º$569), "", 'Data Entry'!$º$569)</f>
      </c>
      <c r="DS569">
        <f>IF(ISBLANK('Data Entry'!$»$569), "", 'Data Entry'!$»$569)</f>
      </c>
      <c r="DT569">
        <f>IF(ISBLANK('Data Entry'!$¼$569), "", 'Data Entry'!$¼$569)</f>
      </c>
      <c r="DU569">
        <f>IF(ISBLANK('Data Entry'!$½$569), "", 'Data Entry'!$½$569)</f>
      </c>
      <c r="DV569">
        <f>IF(ISBLANK('Data Entry'!$¾$569), "", 'Data Entry'!$¾$569)</f>
      </c>
      <c r="DW569">
        <f>IF(ISBLANK('Data Entry'!$¿$569), "", 'Data Entry'!$¿$569)</f>
      </c>
      <c r="DX569">
        <f>IF(ISBLANK('Data Entry'!$À$569), "", 'Data Entry'!$À$569)</f>
      </c>
      <c r="DY569">
        <f>IF(ISBLANK('Data Entry'!$Á$569), "", 'Data Entry'!$Á$569)</f>
      </c>
      <c r="DZ569">
        <f>IF(ISBLANK('Data Entry'!$Â$569), "", 'Data Entry'!$Â$569)</f>
      </c>
      <c r="EA569">
        <f>IF(ISBLANK('Data Entry'!$Ã$569), "", 'Data Entry'!$Ã$569)</f>
      </c>
      <c r="EB569">
        <f>IF(ISBLANK('Data Entry'!$Ä$569), "", 'Data Entry'!$Ä$569)</f>
      </c>
      <c r="EC569">
        <f>IF(ISBLANK('Data Entry'!$Å$569), "", 'Data Entry'!$Å$569)</f>
      </c>
      <c r="ED569">
        <f>IF(ISBLANK('Data Entry'!$Æ$569), "", 'Data Entry'!$Æ$569)</f>
      </c>
      <c r="EE569">
        <f>IF(ISBLANK('Data Entry'!$Ç$569), "", 'Data Entry'!$Ç$569)</f>
      </c>
      <c r="EF569">
        <f>IF(ISBLANK('Data Entry'!$È$569), "", 'Data Entry'!$È$569)</f>
      </c>
      <c r="EG569">
        <f>IF(ISBLANK('Data Entry'!$É$569), "", 'Data Entry'!$É$569)</f>
      </c>
      <c r="EH569">
        <f>IF(ISBLANK('Data Entry'!$Ê$569), "", 'Data Entry'!$Ê$569)</f>
      </c>
      <c r="EI569">
        <f>IF(ISBLANK('Data Entry'!$Ë$569), "", 'Data Entry'!$Ë$569)</f>
      </c>
      <c r="EJ569">
        <f>IF(ISBLANK('Data Entry'!$Ì$569), "", 'Data Entry'!$Ì$569)</f>
      </c>
      <c r="EK569">
        <f>IF(ISBLANK('Data Entry'!$Í$569), "", 'Data Entry'!$Í$569)</f>
      </c>
      <c r="EL569">
        <f>IF(ISBLANK('Data Entry'!$Î$569), "", 'Data Entry'!$Î$569)</f>
      </c>
      <c r="EM569">
        <f>IF(ISBLANK('Data Entry'!$Ï$569), "", 'Data Entry'!$Ï$569)</f>
      </c>
      <c r="EN569">
        <f>IF(ISBLANK('Data Entry'!$Ð$569), "", 'Data Entry'!$Ð$569)</f>
      </c>
      <c r="EO569">
        <f>IF(ISBLANK('Data Entry'!$Ñ$569), "", 'Data Entry'!$Ñ$569)</f>
      </c>
      <c r="EP569">
        <f>IF(ISBLANK('Data Entry'!$Ò$569), "", 'Data Entry'!$Ò$569)</f>
      </c>
      <c r="EQ569">
        <f>IF(ISBLANK('Data Entry'!$Ó$569), "", 'Data Entry'!$Ó$569)</f>
      </c>
      <c r="ER569">
        <f>IF(ISBLANK('Data Entry'!$Ô$569), "", 'Data Entry'!$Ô$569)</f>
      </c>
      <c r="ES569">
        <f>IF(ISBLANK('Data Entry'!$Õ$569), "", 'Data Entry'!$Õ$569)</f>
      </c>
      <c r="ET569">
        <f>IF(ISBLANK('Data Entry'!$Ö$569), "", 'Data Entry'!$Ö$569)</f>
      </c>
      <c r="EU569">
        <f>IF(ISBLANK('Data Entry'!$×$569), "", 'Data Entry'!$×$569)</f>
      </c>
      <c r="EV569">
        <f>IF(ISBLANK('Data Entry'!$Ø$569), "", 'Data Entry'!$Ø$569)</f>
      </c>
      <c r="EW569">
        <f>IF(ISBLANK('Data Entry'!$Ù$569), "", 'Data Entry'!$Ù$569)</f>
      </c>
      <c r="EX569">
        <f>IF(ISBLANK('Data Entry'!$Ú$569), "", 'Data Entry'!$Ú$569)</f>
      </c>
      <c r="EY569">
        <f>IF(ISBLANK('Data Entry'!$Û$569), "", 'Data Entry'!$Û$569)</f>
      </c>
      <c r="EZ569">
        <f>IF(ISBLANK('Data Entry'!$Ü$569), "", 'Data Entry'!$Ü$569)</f>
      </c>
      <c r="FA569">
        <f>IF(ISBLANK('Data Entry'!$Ý$569), "", 'Data Entry'!$Ý$569)</f>
      </c>
      <c r="FB569">
        <f>IF(ISBLANK('Data Entry'!$Þ$569), "", 'Data Entry'!$Þ$569)</f>
      </c>
      <c r="FC569">
        <f>IF(ISBLANK('Data Entry'!$ß$569), "", 'Data Entry'!$ß$569)</f>
      </c>
      <c r="FD569">
        <f>IF(ISBLANK('Data Entry'!$à$569), "", 'Data Entry'!$à$569)</f>
      </c>
      <c r="FE569">
        <f>IF(ISBLANK('Data Entry'!$á$569), "", 'Data Entry'!$á$569)</f>
      </c>
      <c r="FF569">
        <f>IF(ISBLANK('Data Entry'!$â$569), "", 'Data Entry'!$â$569)</f>
      </c>
      <c r="FG569">
        <f>IF(ISBLANK('Data Entry'!$ã$569), "", 'Data Entry'!$ã$569)</f>
      </c>
      <c r="FH569">
        <f>IF(ISBLANK('Data Entry'!$ä$569), "", 'Data Entry'!$ä$569)</f>
      </c>
      <c r="FI569">
        <f>IF(ISBLANK('Data Entry'!$å$569), "", 'Data Entry'!$å$569)</f>
      </c>
      <c r="FJ569">
        <f>IF(ISBLANK('Data Entry'!$æ$569), "", 'Data Entry'!$æ$569)</f>
      </c>
      <c r="FK569">
        <f>IF(ISBLANK('Data Entry'!$ç$569), "", 'Data Entry'!$ç$569)</f>
      </c>
      <c r="FL569">
        <f>IF(ISBLANK('Data Entry'!$è$569), "", 'Data Entry'!$è$569)</f>
      </c>
      <c r="FM569">
        <f>IF(ISBLANK('Data Entry'!$é$569), "", 'Data Entry'!$é$569)</f>
      </c>
      <c r="FN569">
        <f>IF(ISBLANK('Data Entry'!$ê$569), "", 'Data Entry'!$ê$569)</f>
      </c>
      <c r="FO569">
        <f>IF(ISBLANK('Data Entry'!$ë$569), "", 'Data Entry'!$ë$569)</f>
      </c>
      <c r="FP569">
        <f>IF(ISBLANK('Data Entry'!$ì$569), "", 'Data Entry'!$ì$569)</f>
      </c>
      <c r="FQ569">
        <f>IF(ISBLANK('Data Entry'!$í$569), "", 'Data Entry'!$í$569)</f>
      </c>
      <c r="FR569">
        <f>IF(ISBLANK('Data Entry'!$î$569), "", 'Data Entry'!$î$569)</f>
      </c>
      <c r="FS569">
        <f>IF(ISBLANK('Data Entry'!$ï$569), "", 'Data Entry'!$ï$569)</f>
      </c>
      <c r="FT569">
        <f>IF(ISBLANK('Data Entry'!$ð$569), "", 'Data Entry'!$ð$569)</f>
      </c>
      <c r="FU569">
        <f>IF(ISBLANK('Data Entry'!$ñ$569), "", 'Data Entry'!$ñ$569)</f>
      </c>
      <c r="FV569">
        <f>IF(ISBLANK('Data Entry'!$ò$569), "", 'Data Entry'!$ò$569)</f>
      </c>
      <c r="FW569">
        <f>IF(ISBLANK('Data Entry'!$ó$569), "", 'Data Entry'!$ó$569)</f>
      </c>
      <c r="FX569">
        <f>IF(ISBLANK('Data Entry'!$ô$569), "", 'Data Entry'!$ô$569)</f>
      </c>
      <c r="FY569">
        <f>IF(ISBLANK('Data Entry'!$õ$569), "", 'Data Entry'!$õ$569)</f>
      </c>
      <c r="FZ569">
        <f>IF(ISBLANK('Data Entry'!$ö$569), "", 'Data Entry'!$ö$569)</f>
      </c>
      <c r="GA569">
        <f>IF(ISBLANK('Data Entry'!$÷$569), "", 'Data Entry'!$÷$569)</f>
      </c>
      <c r="GB569">
        <f>IF(ISBLANK('Data Entry'!$ø$569), "", 'Data Entry'!$ø$569)</f>
      </c>
      <c r="GC569">
        <f>IF(ISBLANK('Data Entry'!$ù$569), "", 'Data Entry'!$ù$569)</f>
      </c>
      <c r="GD569">
        <f>IF(ISBLANK('Data Entry'!$ú$569), "", 'Data Entry'!$ú$569)</f>
      </c>
      <c r="GE569">
        <f>IF(ISBLANK('Data Entry'!$û$569), "", 'Data Entry'!$û$569)</f>
      </c>
      <c r="GF569">
        <f>IF(ISBLANK('Data Entry'!$ü$569), "", 'Data Entry'!$ü$569)</f>
      </c>
      <c r="GG569">
        <f>IF(ISBLANK('Data Entry'!$ý$569), "", 'Data Entry'!$ý$569)</f>
      </c>
      <c r="GH569">
        <f>IF(ISBLANK('Data Entry'!$þ$569), "", 'Data Entry'!$þ$569)</f>
      </c>
      <c r="GI569">
        <f>IF(ISBLANK('Data Entry'!$ÿ$569), "", 'Data Entry'!$ÿ$569)</f>
      </c>
      <c r="GJ569">
        <f>IF(ISBLANK('Data Entry'!$Ā$569), "", 'Data Entry'!$Ā$569)</f>
      </c>
      <c r="GK569">
        <f>IF(ISBLANK('Data Entry'!$ā$569), "", 'Data Entry'!$ā$569)</f>
      </c>
      <c r="GL569">
        <f>IF(ISBLANK('Data Entry'!$Ă$569), "", 'Data Entry'!$Ă$569)</f>
      </c>
      <c r="GM569">
        <f>IF(ISBLANK('Data Entry'!$ă$569), "", 'Data Entry'!$ă$569)</f>
      </c>
      <c r="GN569">
        <f>IF(ISBLANK('Data Entry'!$Ą$569), "", 'Data Entry'!$Ą$569)</f>
      </c>
      <c r="GO569">
        <f>IF(ISBLANK('Data Entry'!$ą$569), "", 'Data Entry'!$ą$569)</f>
      </c>
      <c r="GP569">
        <f>IF(ISBLANK('Data Entry'!$Ć$569), "", 'Data Entry'!$Ć$569)</f>
      </c>
      <c r="GQ569">
        <f>IF(ISBLANK('Data Entry'!$ć$569), "", 'Data Entry'!$ć$569)</f>
      </c>
      <c r="GR569">
        <f>IF(ISBLANK('Data Entry'!$Ĉ$569), "", 'Data Entry'!$Ĉ$569)</f>
      </c>
      <c r="GS569">
        <f>IF(ISBLANK('Data Entry'!$ĉ$569), "", 'Data Entry'!$ĉ$569)</f>
      </c>
      <c r="GT569">
        <f>IF(ISBLANK('Data Entry'!$Ċ$569), "", 'Data Entry'!$Ċ$569)</f>
      </c>
      <c r="GU569">
        <f>IF(ISBLANK('Data Entry'!$ċ$569), "", 'Data Entry'!$ċ$569)</f>
      </c>
      <c r="GV569">
        <f>IF(ISBLANK('Data Entry'!$Č$569), "", 'Data Entry'!$Č$569)</f>
      </c>
      <c r="GW569">
        <f>IF(ISBLANK('Data Entry'!$č$569), "", 'Data Entry'!$č$569)</f>
      </c>
      <c r="GX569">
        <f>IF(ISBLANK('Data Entry'!$Ď$569), "", 'Data Entry'!$Ď$569)</f>
      </c>
      <c r="GY569">
        <f>IF(ISBLANK('Data Entry'!$ď$569), "", 'Data Entry'!$ď$569)</f>
      </c>
      <c r="GZ569">
        <f>IF(ISBLANK('Data Entry'!$Đ$569), "", 'Data Entry'!$Đ$569)</f>
      </c>
      <c r="HA569">
        <f>IF(ISBLANK('Data Entry'!$đ$569), "", 'Data Entry'!$đ$569)</f>
      </c>
      <c r="HB569">
        <f>IF(ISBLANK('Data Entry'!$Ē$569), "", 'Data Entry'!$Ē$569)</f>
      </c>
      <c r="HC569">
        <f>IF(ISBLANK('Data Entry'!$ē$569), "", 'Data Entry'!$ē$569)</f>
      </c>
      <c r="HD569">
        <f>IF(ISBLANK('Data Entry'!$Ĕ$569), "", 'Data Entry'!$Ĕ$569)</f>
      </c>
      <c r="HE569">
        <f>IF(ISBLANK('Data Entry'!$ĕ$569), "", 'Data Entry'!$ĕ$569)</f>
      </c>
      <c r="HF569">
        <f>IF(ISBLANK('Data Entry'!$Ė$569), "", 'Data Entry'!$Ė$569)</f>
      </c>
      <c r="HG569">
        <f>IF(ISBLANK('Data Entry'!$ė$569), "", 'Data Entry'!$ė$569)</f>
      </c>
      <c r="HH569">
        <f>IF(ISBLANK('Data Entry'!$Ę$569), "", 'Data Entry'!$Ę$569)</f>
      </c>
      <c r="HI569">
        <f>IF(ISBLANK('Data Entry'!$ę$569), "", 'Data Entry'!$ę$569)</f>
      </c>
      <c r="HJ569">
        <f>IF(ISBLANK('Data Entry'!$Ě$569), "", 'Data Entry'!$Ě$569)</f>
      </c>
      <c r="HK569">
        <f>IF(ISBLANK('Data Entry'!$ě$569), "", 'Data Entry'!$ě$569)</f>
      </c>
      <c r="HL569">
        <f>IF(ISBLANK('Data Entry'!$Ĝ$569), "", 'Data Entry'!$Ĝ$569)</f>
      </c>
      <c r="HM569">
        <f>IF(ISBLANK('Data Entry'!$ĝ$569), "", 'Data Entry'!$ĝ$569)</f>
      </c>
      <c r="HN569">
        <f>IF(ISBLANK('Data Entry'!$Ğ$569), "", 'Data Entry'!$Ğ$569)</f>
      </c>
      <c r="HO569">
        <f>IF(ISBLANK('Data Entry'!$ğ$569), "", 'Data Entry'!$ğ$569)</f>
      </c>
      <c r="HP569">
        <f>IF(ISBLANK('Data Entry'!$Ġ$569), "", 'Data Entry'!$Ġ$569)</f>
      </c>
      <c r="HQ569">
        <f>IF(ISBLANK('Data Entry'!$ġ$569), "", 'Data Entry'!$ġ$569)</f>
      </c>
      <c r="HR569">
        <f>IF(ISBLANK('Data Entry'!$Ģ$569), "", 'Data Entry'!$Ģ$569)</f>
      </c>
      <c r="HS569">
        <f>IF(ISBLANK('Data Entry'!$ģ$569), "", 'Data Entry'!$ģ$569)</f>
      </c>
      <c r="HT569">
        <f>IF(ISBLANK('Data Entry'!$Ĥ$569), "", 'Data Entry'!$Ĥ$569)</f>
      </c>
      <c r="HU569">
        <f>IF(ISBLANK('Data Entry'!$ĥ$569), "", 'Data Entry'!$ĥ$569)</f>
      </c>
      <c r="HV569">
        <f>IF(ISBLANK('Data Entry'!$Ħ$569), "", 'Data Entry'!$Ħ$569)</f>
      </c>
      <c r="HW569">
        <f>IF(ISBLANK('Data Entry'!$ħ$569), "", 'Data Entry'!$ħ$569)</f>
      </c>
      <c r="HX569">
        <f>IF(ISBLANK('Data Entry'!$Ĩ$569), "", 'Data Entry'!$Ĩ$569)</f>
      </c>
      <c r="HY569">
        <f>IF(ISBLANK('Data Entry'!$ĩ$569), "", 'Data Entry'!$ĩ$569)</f>
      </c>
      <c r="HZ569">
        <f>IF(ISBLANK('Data Entry'!$Ī$569), "", 'Data Entry'!$Ī$569)</f>
      </c>
      <c r="IA569">
        <f>IF(ISBLANK('Data Entry'!$ī$569), "", 'Data Entry'!$ī$569)</f>
      </c>
      <c r="IB569">
        <f>IF(ISBLANK('Data Entry'!$Ĭ$569), "", 'Data Entry'!$Ĭ$569)</f>
      </c>
      <c r="IC569">
        <f>IF(ISBLANK('Data Entry'!$ĭ$569), "", 'Data Entry'!$ĭ$569)</f>
      </c>
      <c r="ID569">
        <f>IF(ISBLANK('Data Entry'!$Į$569), "", 'Data Entry'!$Į$569)</f>
      </c>
      <c r="IE569">
        <f>IF(ISBLANK('Data Entry'!$į$569), "", 'Data Entry'!$į$569)</f>
      </c>
      <c r="IF569">
        <f>IF(ISBLANK('Data Entry'!$İ$569), "", 'Data Entry'!$İ$569)</f>
      </c>
      <c r="IG569">
        <f>IF(ISBLANK('Data Entry'!$ı$569), "", 'Data Entry'!$ı$569)</f>
      </c>
      <c r="IH569">
        <f>IF(ISBLANK('Data Entry'!$Ĳ$569), "", 'Data Entry'!$Ĳ$569)</f>
      </c>
      <c r="II569">
        <f>IF(ISBLANK('Data Entry'!$ĳ$569), "", 'Data Entry'!$ĳ$569)</f>
      </c>
      <c r="IJ569">
        <f>IF(ISBLANK('Data Entry'!$Ĵ$569), "", 'Data Entry'!$Ĵ$569)</f>
      </c>
      <c r="IK569">
        <f>IF(ISBLANK('Data Entry'!$ĵ$569), "", 'Data Entry'!$ĵ$569)</f>
      </c>
      <c r="IL569">
        <f>IF(ISBLANK('Data Entry'!$Ķ$569), "", 'Data Entry'!$Ķ$569)</f>
      </c>
      <c r="IM569">
        <f>IF(ISBLANK('Data Entry'!$ķ$569), "", 'Data Entry'!$ķ$569)</f>
      </c>
      <c r="IN569">
        <f>IF(ISBLANK('Data Entry'!$ĸ$569), "", 'Data Entry'!$ĸ$569)</f>
      </c>
      <c r="IO569">
        <f>IF(ISBLANK('Data Entry'!$Ĺ$569), "", 'Data Entry'!$Ĺ$569)</f>
      </c>
      <c r="IP569">
        <f>IF(ISBLANK('Data Entry'!$ĺ$569), "", 'Data Entry'!$ĺ$569)</f>
      </c>
      <c r="IQ569">
        <f>IF(ISBLANK('Data Entry'!$Ļ$569), "", 'Data Entry'!$Ļ$569)</f>
      </c>
      <c r="IR569">
        <f>IF(ISBLANK('Data Entry'!$ļ$569), "", 'Data Entry'!$ļ$569)</f>
      </c>
      <c r="IS569">
        <f>IF(ISBLANK('Data Entry'!$Ľ$569), "", 'Data Entry'!$Ľ$569)</f>
      </c>
      <c r="IT569">
        <f>IF(ISBLANK('Data Entry'!$ľ$569), "", 'Data Entry'!$ľ$569)</f>
      </c>
    </row>
    <row r="570" spans="1:254" x14ac:dyDescent="0.25">
      <c r="A570">
        <f>IF(ISBLANK('Data Entry'!$A$570), "", 'Data Entry'!$A$570)</f>
      </c>
      <c r="B570">
        <f>IF(ISBLANK('Data Entry'!$B$570), "", 'Data Entry'!$B$570)</f>
      </c>
      <c r="C570">
        <f>IF(ISBLANK('Data Entry'!$C$570), "", 'Data Entry'!$C$570)</f>
      </c>
      <c r="D570">
        <f>IF(ISBLANK('Data Entry'!$D$570), "", 'Data Entry'!$D$570)</f>
      </c>
      <c r="E570">
        <f>IF(ISBLANK('Data Entry'!$E$570), "", 'Data Entry'!$E$570)</f>
      </c>
      <c r="F570">
        <f>IF(ISBLANK('Data Entry'!$F$570), "", 'Data Entry'!$F$570)</f>
      </c>
      <c r="G570">
        <f>IF(ISBLANK('Data Entry'!$G$570), "", 'Data Entry'!$G$570)</f>
      </c>
      <c r="H570">
        <f>IF(ISBLANK('Data Entry'!$H$570), "", 'Data Entry'!$H$570)</f>
      </c>
      <c r="I570">
        <f>IF(ISBLANK('Data Entry'!$I$570), "", 'Data Entry'!$I$570)</f>
      </c>
      <c r="J570">
        <f>IF(ISBLANK('Data Entry'!$J$570), "", 'Data Entry'!$J$570)</f>
      </c>
      <c r="K570">
        <f>IF(ISBLANK('Data Entry'!$K$570), "", 'Data Entry'!$K$570)</f>
      </c>
      <c r="L570">
        <f>IF(ISBLANK('Data Entry'!$L$570), "", 'Data Entry'!$L$570)</f>
      </c>
      <c r="M570">
        <f>IF(ISBLANK('Data Entry'!$M$570), "", 'Data Entry'!$M$570)</f>
      </c>
      <c r="N570">
        <f>IF(ISBLANK('Data Entry'!$N$570), "", 'Data Entry'!$N$570)</f>
      </c>
      <c r="O570">
        <f>IF(ISBLANK('Data Entry'!$O$570), "", 'Data Entry'!$O$570)</f>
      </c>
      <c r="P570">
        <f>IF(ISBLANK('Data Entry'!$P$570), "", 'Data Entry'!$P$570)</f>
      </c>
      <c r="Q570">
        <f>IF(ISBLANK('Data Entry'!$Q$570), "", 'Data Entry'!$Q$570)</f>
      </c>
      <c r="R570">
        <f>IF(ISBLANK('Data Entry'!$R$570), "", 'Data Entry'!$R$570)</f>
      </c>
      <c r="S570">
        <f>IF(ISBLANK('Data Entry'!$S$570), "", 'Data Entry'!$S$570)</f>
      </c>
      <c r="T570">
        <f>IF(ISBLANK('Data Entry'!$T$570), "", 'Data Entry'!$T$570)</f>
      </c>
      <c r="U570">
        <f>IF(ISBLANK('Data Entry'!$U$570), "", 'Data Entry'!$U$570)</f>
      </c>
      <c r="V570">
        <f>IF(ISBLANK('Data Entry'!$V$570), "", 'Data Entry'!$V$570)</f>
      </c>
      <c r="W570">
        <f>IF(ISBLANK('Data Entry'!$W$570), "", 'Data Entry'!$W$570)</f>
      </c>
      <c r="X570">
        <f>IF(ISBLANK('Data Entry'!$X$570), "", 'Data Entry'!$X$570)</f>
      </c>
      <c r="Y570">
        <f>IF(ISBLANK('Data Entry'!$Y$570), "", 'Data Entry'!$Y$570)</f>
      </c>
      <c r="Z570">
        <f>IF(ISBLANK('Data Entry'!$Z$570), "", 'Data Entry'!$Z$570)</f>
      </c>
      <c r="AA570">
        <f>IF(ISBLANK('Data Entry'!$[$570), "", 'Data Entry'!$[$570)</f>
      </c>
      <c r="AB570">
        <f>IF(ISBLANK('Data Entry'!$\$570), "", 'Data Entry'!$\$570)</f>
      </c>
      <c r="AC570">
        <f>IF(ISBLANK('Data Entry'!$]$570), "", 'Data Entry'!$]$570)</f>
      </c>
      <c r="AD570">
        <f>IF(ISBLANK('Data Entry'!$^$570), "", 'Data Entry'!$^$570)</f>
      </c>
      <c r="AE570">
        <f>IF(ISBLANK('Data Entry'!$_$570), "", 'Data Entry'!$_$570)</f>
      </c>
      <c r="AF570">
        <f>IF(ISBLANK('Data Entry'!$`$570), "", 'Data Entry'!$`$570)</f>
      </c>
      <c r="AG570">
        <f>IF(ISBLANK('Data Entry'!$a$570), "", 'Data Entry'!$a$570)</f>
      </c>
      <c r="AH570">
        <f>IF(ISBLANK('Data Entry'!$b$570), "", 'Data Entry'!$b$570)</f>
      </c>
      <c r="AI570">
        <f>IF(ISBLANK('Data Entry'!$c$570), "", 'Data Entry'!$c$570)</f>
      </c>
      <c r="AJ570">
        <f>IF(ISBLANK('Data Entry'!$d$570), "", 'Data Entry'!$d$570)</f>
      </c>
      <c r="AK570">
        <f>IF(ISBLANK('Data Entry'!$e$570), "", 'Data Entry'!$e$570)</f>
      </c>
      <c r="AL570">
        <f>IF(ISBLANK('Data Entry'!$f$570), "", 'Data Entry'!$f$570)</f>
      </c>
      <c r="AM570">
        <f>IF(ISBLANK('Data Entry'!$g$570), "", 'Data Entry'!$g$570)</f>
      </c>
      <c r="AN570">
        <f>IF(ISBLANK('Data Entry'!$h$570), "", 'Data Entry'!$h$570)</f>
      </c>
      <c r="AO570">
        <f>IF(ISBLANK('Data Entry'!$i$570), "", 'Data Entry'!$i$570)</f>
      </c>
      <c r="AP570">
        <f>IF(ISBLANK('Data Entry'!$j$570), "", 'Data Entry'!$j$570)</f>
      </c>
      <c r="AQ570">
        <f>IF(ISBLANK('Data Entry'!$k$570), "", 'Data Entry'!$k$570)</f>
      </c>
      <c r="AR570">
        <f>IF(ISBLANK('Data Entry'!$l$570), "", 'Data Entry'!$l$570)</f>
      </c>
      <c r="AS570">
        <f>IF(ISBLANK('Data Entry'!$m$570), "", 'Data Entry'!$m$570)</f>
      </c>
      <c r="AT570">
        <f>IF(ISBLANK('Data Entry'!$n$570), "", 'Data Entry'!$n$570)</f>
      </c>
      <c r="AU570">
        <f>IF(ISBLANK('Data Entry'!$o$570), "", 'Data Entry'!$o$570)</f>
      </c>
      <c r="AV570">
        <f>IF(ISBLANK('Data Entry'!$p$570), "", 'Data Entry'!$p$570)</f>
      </c>
      <c r="AW570">
        <f>IF(ISBLANK('Data Entry'!$q$570), "", 'Data Entry'!$q$570)</f>
      </c>
      <c r="AX570">
        <f>IF(ISBLANK('Data Entry'!$r$570), "", 'Data Entry'!$r$570)</f>
      </c>
      <c r="AY570">
        <f>IF(ISBLANK('Data Entry'!$s$570), "", 'Data Entry'!$s$570)</f>
      </c>
      <c r="AZ570">
        <f>IF(ISBLANK('Data Entry'!$t$570), "", 'Data Entry'!$t$570)</f>
      </c>
      <c r="BA570">
        <f>IF(ISBLANK('Data Entry'!$u$570), "", 'Data Entry'!$u$570)</f>
      </c>
      <c r="BB570">
        <f>IF(ISBLANK('Data Entry'!$v$570), "", 'Data Entry'!$v$570)</f>
      </c>
      <c r="BC570">
        <f>IF(ISBLANK('Data Entry'!$w$570), "", 'Data Entry'!$w$570)</f>
      </c>
      <c r="BD570">
        <f>IF(ISBLANK('Data Entry'!$x$570), "", 'Data Entry'!$x$570)</f>
      </c>
      <c r="BE570">
        <f>IF(ISBLANK('Data Entry'!$y$570), "", 'Data Entry'!$y$570)</f>
      </c>
      <c r="BF570">
        <f>IF(ISBLANK('Data Entry'!$z$570), "", 'Data Entry'!$z$570)</f>
      </c>
      <c r="BG570">
        <f>IF(ISBLANK('Data Entry'!${$570), "", 'Data Entry'!${$570)</f>
      </c>
      <c r="BH570">
        <f>IF(ISBLANK('Data Entry'!$|$570), "", 'Data Entry'!$|$570)</f>
      </c>
      <c r="BI570">
        <f>IF(ISBLANK('Data Entry'!$}$570), "", 'Data Entry'!$}$570)</f>
      </c>
      <c r="BJ570">
        <f>IF(ISBLANK('Data Entry'!$~$570), "", 'Data Entry'!$~$570)</f>
      </c>
      <c r="BK570">
        <f>IF(ISBLANK('Data Entry'!$$570), "", 'Data Entry'!$$570)</f>
      </c>
      <c r="BL570">
        <f>IF(ISBLANK('Data Entry'!$$570), "", 'Data Entry'!$$570)</f>
      </c>
      <c r="BM570">
        <f>IF(ISBLANK('Data Entry'!$$570), "", 'Data Entry'!$$570)</f>
      </c>
      <c r="BN570">
        <f>IF(ISBLANK('Data Entry'!$$570), "", 'Data Entry'!$$570)</f>
      </c>
      <c r="BO570">
        <f>IF(ISBLANK('Data Entry'!$$570), "", 'Data Entry'!$$570)</f>
      </c>
      <c r="BP570">
        <f>IF(ISBLANK('Data Entry'!$$570), "", 'Data Entry'!$$570)</f>
      </c>
      <c r="BQ570">
        <f>IF(ISBLANK('Data Entry'!$$570), "", 'Data Entry'!$$570)</f>
      </c>
      <c r="BR570">
        <f>IF(ISBLANK('Data Entry'!$$570), "", 'Data Entry'!$$570)</f>
      </c>
      <c r="BS570">
        <f>IF(ISBLANK('Data Entry'!$$570), "", 'Data Entry'!$$570)</f>
      </c>
      <c r="BT570">
        <f>IF(ISBLANK('Data Entry'!$$570), "", 'Data Entry'!$$570)</f>
      </c>
      <c r="BU570">
        <f>IF(ISBLANK('Data Entry'!$$570), "", 'Data Entry'!$$570)</f>
      </c>
      <c r="BV570">
        <f>IF(ISBLANK('Data Entry'!$$570), "", 'Data Entry'!$$570)</f>
      </c>
      <c r="BW570">
        <f>IF(ISBLANK('Data Entry'!$$570), "", 'Data Entry'!$$570)</f>
      </c>
      <c r="BX570">
        <f>IF(ISBLANK('Data Entry'!$$570), "", 'Data Entry'!$$570)</f>
      </c>
      <c r="BY570">
        <f>IF(ISBLANK('Data Entry'!$$570), "", 'Data Entry'!$$570)</f>
      </c>
      <c r="BZ570">
        <f>IF(ISBLANK('Data Entry'!$$570), "", 'Data Entry'!$$570)</f>
      </c>
      <c r="CA570">
        <f>IF(ISBLANK('Data Entry'!$$570), "", 'Data Entry'!$$570)</f>
      </c>
      <c r="CB570">
        <f>IF(ISBLANK('Data Entry'!$$570), "", 'Data Entry'!$$570)</f>
      </c>
      <c r="CC570">
        <f>IF(ISBLANK('Data Entry'!$$570), "", 'Data Entry'!$$570)</f>
      </c>
      <c r="CD570">
        <f>IF(ISBLANK('Data Entry'!$$570), "", 'Data Entry'!$$570)</f>
      </c>
      <c r="CE570">
        <f>IF(ISBLANK('Data Entry'!$$570), "", 'Data Entry'!$$570)</f>
      </c>
      <c r="CF570">
        <f>IF(ISBLANK('Data Entry'!$$570), "", 'Data Entry'!$$570)</f>
      </c>
      <c r="CG570">
        <f>IF(ISBLANK('Data Entry'!$$570), "", 'Data Entry'!$$570)</f>
      </c>
      <c r="CH570">
        <f>IF(ISBLANK('Data Entry'!$$570), "", 'Data Entry'!$$570)</f>
      </c>
      <c r="CI570">
        <f>IF(ISBLANK('Data Entry'!$$570), "", 'Data Entry'!$$570)</f>
      </c>
      <c r="CJ570">
        <f>IF(ISBLANK('Data Entry'!$$570), "", 'Data Entry'!$$570)</f>
      </c>
      <c r="CK570">
        <f>IF(ISBLANK('Data Entry'!$$570), "", 'Data Entry'!$$570)</f>
      </c>
      <c r="CL570">
        <f>IF(ISBLANK('Data Entry'!$$570), "", 'Data Entry'!$$570)</f>
      </c>
      <c r="CM570">
        <f>IF(ISBLANK('Data Entry'!$$570), "", 'Data Entry'!$$570)</f>
      </c>
      <c r="CN570">
        <f>IF(ISBLANK('Data Entry'!$$570), "", 'Data Entry'!$$570)</f>
      </c>
      <c r="CO570">
        <f>IF(ISBLANK('Data Entry'!$$570), "", 'Data Entry'!$$570)</f>
      </c>
      <c r="CP570">
        <f>IF(ISBLANK('Data Entry'!$$570), "", 'Data Entry'!$$570)</f>
      </c>
      <c r="CQ570">
        <f>IF(ISBLANK('Data Entry'!$$570), "", 'Data Entry'!$$570)</f>
      </c>
      <c r="CR570">
        <f>IF(ISBLANK('Data Entry'!$ $570), "", 'Data Entry'!$ $570)</f>
      </c>
      <c r="CS570">
        <f>IF(ISBLANK('Data Entry'!$¡$570), "", 'Data Entry'!$¡$570)</f>
      </c>
      <c r="CT570">
        <f>IF(ISBLANK('Data Entry'!$¢$570), "", 'Data Entry'!$¢$570)</f>
      </c>
      <c r="CU570">
        <f>IF(ISBLANK('Data Entry'!$£$570), "", 'Data Entry'!$£$570)</f>
      </c>
      <c r="CV570">
        <f>IF(ISBLANK('Data Entry'!$¤$570), "", 'Data Entry'!$¤$570)</f>
      </c>
      <c r="CW570">
        <f>IF(ISBLANK('Data Entry'!$¥$570), "", 'Data Entry'!$¥$570)</f>
      </c>
      <c r="CX570">
        <f>IF(ISBLANK('Data Entry'!$¦$570), "", 'Data Entry'!$¦$570)</f>
      </c>
      <c r="CY570">
        <f>IF(ISBLANK('Data Entry'!$§$570), "", 'Data Entry'!$§$570)</f>
      </c>
      <c r="CZ570">
        <f>IF(ISBLANK('Data Entry'!$¨$570), "", 'Data Entry'!$¨$570)</f>
      </c>
      <c r="DA570">
        <f>IF(ISBLANK('Data Entry'!$©$570), "", 'Data Entry'!$©$570)</f>
      </c>
      <c r="DB570">
        <f>IF(ISBLANK('Data Entry'!$ª$570), "", 'Data Entry'!$ª$570)</f>
      </c>
      <c r="DC570">
        <f>IF(ISBLANK('Data Entry'!$«$570), "", 'Data Entry'!$«$570)</f>
      </c>
      <c r="DD570">
        <f>IF(ISBLANK('Data Entry'!$¬$570), "", 'Data Entry'!$¬$570)</f>
      </c>
      <c r="DE570">
        <f>IF(ISBLANK('Data Entry'!$­$570), "", 'Data Entry'!$­$570)</f>
      </c>
      <c r="DF570">
        <f>IF(ISBLANK('Data Entry'!$®$570), "", 'Data Entry'!$®$570)</f>
      </c>
      <c r="DG570">
        <f>IF(ISBLANK('Data Entry'!$¯$570), "", 'Data Entry'!$¯$570)</f>
      </c>
      <c r="DH570">
        <f>IF(ISBLANK('Data Entry'!$°$570), "", 'Data Entry'!$°$570)</f>
      </c>
      <c r="DI570">
        <f>IF(ISBLANK('Data Entry'!$±$570), "", 'Data Entry'!$±$570)</f>
      </c>
      <c r="DJ570">
        <f>IF(ISBLANK('Data Entry'!$²$570), "", 'Data Entry'!$²$570)</f>
      </c>
      <c r="DK570">
        <f>IF(ISBLANK('Data Entry'!$³$570), "", 'Data Entry'!$³$570)</f>
      </c>
      <c r="DL570">
        <f>IF(ISBLANK('Data Entry'!$´$570), "", 'Data Entry'!$´$570)</f>
      </c>
      <c r="DM570">
        <f>IF(ISBLANK('Data Entry'!$µ$570), "", 'Data Entry'!$µ$570)</f>
      </c>
      <c r="DN570">
        <f>IF(ISBLANK('Data Entry'!$¶$570), "", 'Data Entry'!$¶$570)</f>
      </c>
      <c r="DO570">
        <f>IF(ISBLANK('Data Entry'!$·$570), "", 'Data Entry'!$·$570)</f>
      </c>
      <c r="DP570">
        <f>IF(ISBLANK('Data Entry'!$¸$570), "", 'Data Entry'!$¸$570)</f>
      </c>
      <c r="DQ570">
        <f>IF(ISBLANK('Data Entry'!$¹$570), "", 'Data Entry'!$¹$570)</f>
      </c>
      <c r="DR570">
        <f>IF(ISBLANK('Data Entry'!$º$570), "", 'Data Entry'!$º$570)</f>
      </c>
      <c r="DS570">
        <f>IF(ISBLANK('Data Entry'!$»$570), "", 'Data Entry'!$»$570)</f>
      </c>
      <c r="DT570">
        <f>IF(ISBLANK('Data Entry'!$¼$570), "", 'Data Entry'!$¼$570)</f>
      </c>
      <c r="DU570">
        <f>IF(ISBLANK('Data Entry'!$½$570), "", 'Data Entry'!$½$570)</f>
      </c>
      <c r="DV570">
        <f>IF(ISBLANK('Data Entry'!$¾$570), "", 'Data Entry'!$¾$570)</f>
      </c>
      <c r="DW570">
        <f>IF(ISBLANK('Data Entry'!$¿$570), "", 'Data Entry'!$¿$570)</f>
      </c>
      <c r="DX570">
        <f>IF(ISBLANK('Data Entry'!$À$570), "", 'Data Entry'!$À$570)</f>
      </c>
      <c r="DY570">
        <f>IF(ISBLANK('Data Entry'!$Á$570), "", 'Data Entry'!$Á$570)</f>
      </c>
      <c r="DZ570">
        <f>IF(ISBLANK('Data Entry'!$Â$570), "", 'Data Entry'!$Â$570)</f>
      </c>
      <c r="EA570">
        <f>IF(ISBLANK('Data Entry'!$Ã$570), "", 'Data Entry'!$Ã$570)</f>
      </c>
      <c r="EB570">
        <f>IF(ISBLANK('Data Entry'!$Ä$570), "", 'Data Entry'!$Ä$570)</f>
      </c>
      <c r="EC570">
        <f>IF(ISBLANK('Data Entry'!$Å$570), "", 'Data Entry'!$Å$570)</f>
      </c>
      <c r="ED570">
        <f>IF(ISBLANK('Data Entry'!$Æ$570), "", 'Data Entry'!$Æ$570)</f>
      </c>
      <c r="EE570">
        <f>IF(ISBLANK('Data Entry'!$Ç$570), "", 'Data Entry'!$Ç$570)</f>
      </c>
      <c r="EF570">
        <f>IF(ISBLANK('Data Entry'!$È$570), "", 'Data Entry'!$È$570)</f>
      </c>
      <c r="EG570">
        <f>IF(ISBLANK('Data Entry'!$É$570), "", 'Data Entry'!$É$570)</f>
      </c>
      <c r="EH570">
        <f>IF(ISBLANK('Data Entry'!$Ê$570), "", 'Data Entry'!$Ê$570)</f>
      </c>
      <c r="EI570">
        <f>IF(ISBLANK('Data Entry'!$Ë$570), "", 'Data Entry'!$Ë$570)</f>
      </c>
      <c r="EJ570">
        <f>IF(ISBLANK('Data Entry'!$Ì$570), "", 'Data Entry'!$Ì$570)</f>
      </c>
      <c r="EK570">
        <f>IF(ISBLANK('Data Entry'!$Í$570), "", 'Data Entry'!$Í$570)</f>
      </c>
      <c r="EL570">
        <f>IF(ISBLANK('Data Entry'!$Î$570), "", 'Data Entry'!$Î$570)</f>
      </c>
      <c r="EM570">
        <f>IF(ISBLANK('Data Entry'!$Ï$570), "", 'Data Entry'!$Ï$570)</f>
      </c>
      <c r="EN570">
        <f>IF(ISBLANK('Data Entry'!$Ð$570), "", 'Data Entry'!$Ð$570)</f>
      </c>
      <c r="EO570">
        <f>IF(ISBLANK('Data Entry'!$Ñ$570), "", 'Data Entry'!$Ñ$570)</f>
      </c>
      <c r="EP570">
        <f>IF(ISBLANK('Data Entry'!$Ò$570), "", 'Data Entry'!$Ò$570)</f>
      </c>
      <c r="EQ570">
        <f>IF(ISBLANK('Data Entry'!$Ó$570), "", 'Data Entry'!$Ó$570)</f>
      </c>
      <c r="ER570">
        <f>IF(ISBLANK('Data Entry'!$Ô$570), "", 'Data Entry'!$Ô$570)</f>
      </c>
      <c r="ES570">
        <f>IF(ISBLANK('Data Entry'!$Õ$570), "", 'Data Entry'!$Õ$570)</f>
      </c>
      <c r="ET570">
        <f>IF(ISBLANK('Data Entry'!$Ö$570), "", 'Data Entry'!$Ö$570)</f>
      </c>
      <c r="EU570">
        <f>IF(ISBLANK('Data Entry'!$×$570), "", 'Data Entry'!$×$570)</f>
      </c>
      <c r="EV570">
        <f>IF(ISBLANK('Data Entry'!$Ø$570), "", 'Data Entry'!$Ø$570)</f>
      </c>
      <c r="EW570">
        <f>IF(ISBLANK('Data Entry'!$Ù$570), "", 'Data Entry'!$Ù$570)</f>
      </c>
      <c r="EX570">
        <f>IF(ISBLANK('Data Entry'!$Ú$570), "", 'Data Entry'!$Ú$570)</f>
      </c>
      <c r="EY570">
        <f>IF(ISBLANK('Data Entry'!$Û$570), "", 'Data Entry'!$Û$570)</f>
      </c>
      <c r="EZ570">
        <f>IF(ISBLANK('Data Entry'!$Ü$570), "", 'Data Entry'!$Ü$570)</f>
      </c>
      <c r="FA570">
        <f>IF(ISBLANK('Data Entry'!$Ý$570), "", 'Data Entry'!$Ý$570)</f>
      </c>
      <c r="FB570">
        <f>IF(ISBLANK('Data Entry'!$Þ$570), "", 'Data Entry'!$Þ$570)</f>
      </c>
      <c r="FC570">
        <f>IF(ISBLANK('Data Entry'!$ß$570), "", 'Data Entry'!$ß$570)</f>
      </c>
      <c r="FD570">
        <f>IF(ISBLANK('Data Entry'!$à$570), "", 'Data Entry'!$à$570)</f>
      </c>
      <c r="FE570">
        <f>IF(ISBLANK('Data Entry'!$á$570), "", 'Data Entry'!$á$570)</f>
      </c>
      <c r="FF570">
        <f>IF(ISBLANK('Data Entry'!$â$570), "", 'Data Entry'!$â$570)</f>
      </c>
      <c r="FG570">
        <f>IF(ISBLANK('Data Entry'!$ã$570), "", 'Data Entry'!$ã$570)</f>
      </c>
      <c r="FH570">
        <f>IF(ISBLANK('Data Entry'!$ä$570), "", 'Data Entry'!$ä$570)</f>
      </c>
      <c r="FI570">
        <f>IF(ISBLANK('Data Entry'!$å$570), "", 'Data Entry'!$å$570)</f>
      </c>
      <c r="FJ570">
        <f>IF(ISBLANK('Data Entry'!$æ$570), "", 'Data Entry'!$æ$570)</f>
      </c>
      <c r="FK570">
        <f>IF(ISBLANK('Data Entry'!$ç$570), "", 'Data Entry'!$ç$570)</f>
      </c>
      <c r="FL570">
        <f>IF(ISBLANK('Data Entry'!$è$570), "", 'Data Entry'!$è$570)</f>
      </c>
      <c r="FM570">
        <f>IF(ISBLANK('Data Entry'!$é$570), "", 'Data Entry'!$é$570)</f>
      </c>
      <c r="FN570">
        <f>IF(ISBLANK('Data Entry'!$ê$570), "", 'Data Entry'!$ê$570)</f>
      </c>
      <c r="FO570">
        <f>IF(ISBLANK('Data Entry'!$ë$570), "", 'Data Entry'!$ë$570)</f>
      </c>
      <c r="FP570">
        <f>IF(ISBLANK('Data Entry'!$ì$570), "", 'Data Entry'!$ì$570)</f>
      </c>
      <c r="FQ570">
        <f>IF(ISBLANK('Data Entry'!$í$570), "", 'Data Entry'!$í$570)</f>
      </c>
      <c r="FR570">
        <f>IF(ISBLANK('Data Entry'!$î$570), "", 'Data Entry'!$î$570)</f>
      </c>
      <c r="FS570">
        <f>IF(ISBLANK('Data Entry'!$ï$570), "", 'Data Entry'!$ï$570)</f>
      </c>
      <c r="FT570">
        <f>IF(ISBLANK('Data Entry'!$ð$570), "", 'Data Entry'!$ð$570)</f>
      </c>
      <c r="FU570">
        <f>IF(ISBLANK('Data Entry'!$ñ$570), "", 'Data Entry'!$ñ$570)</f>
      </c>
      <c r="FV570">
        <f>IF(ISBLANK('Data Entry'!$ò$570), "", 'Data Entry'!$ò$570)</f>
      </c>
      <c r="FW570">
        <f>IF(ISBLANK('Data Entry'!$ó$570), "", 'Data Entry'!$ó$570)</f>
      </c>
      <c r="FX570">
        <f>IF(ISBLANK('Data Entry'!$ô$570), "", 'Data Entry'!$ô$570)</f>
      </c>
      <c r="FY570">
        <f>IF(ISBLANK('Data Entry'!$õ$570), "", 'Data Entry'!$õ$570)</f>
      </c>
      <c r="FZ570">
        <f>IF(ISBLANK('Data Entry'!$ö$570), "", 'Data Entry'!$ö$570)</f>
      </c>
      <c r="GA570">
        <f>IF(ISBLANK('Data Entry'!$÷$570), "", 'Data Entry'!$÷$570)</f>
      </c>
      <c r="GB570">
        <f>IF(ISBLANK('Data Entry'!$ø$570), "", 'Data Entry'!$ø$570)</f>
      </c>
      <c r="GC570">
        <f>IF(ISBLANK('Data Entry'!$ù$570), "", 'Data Entry'!$ù$570)</f>
      </c>
      <c r="GD570">
        <f>IF(ISBLANK('Data Entry'!$ú$570), "", 'Data Entry'!$ú$570)</f>
      </c>
      <c r="GE570">
        <f>IF(ISBLANK('Data Entry'!$û$570), "", 'Data Entry'!$û$570)</f>
      </c>
      <c r="GF570">
        <f>IF(ISBLANK('Data Entry'!$ü$570), "", 'Data Entry'!$ü$570)</f>
      </c>
      <c r="GG570">
        <f>IF(ISBLANK('Data Entry'!$ý$570), "", 'Data Entry'!$ý$570)</f>
      </c>
      <c r="GH570">
        <f>IF(ISBLANK('Data Entry'!$þ$570), "", 'Data Entry'!$þ$570)</f>
      </c>
      <c r="GI570">
        <f>IF(ISBLANK('Data Entry'!$ÿ$570), "", 'Data Entry'!$ÿ$570)</f>
      </c>
      <c r="GJ570">
        <f>IF(ISBLANK('Data Entry'!$Ā$570), "", 'Data Entry'!$Ā$570)</f>
      </c>
      <c r="GK570">
        <f>IF(ISBLANK('Data Entry'!$ā$570), "", 'Data Entry'!$ā$570)</f>
      </c>
      <c r="GL570">
        <f>IF(ISBLANK('Data Entry'!$Ă$570), "", 'Data Entry'!$Ă$570)</f>
      </c>
      <c r="GM570">
        <f>IF(ISBLANK('Data Entry'!$ă$570), "", 'Data Entry'!$ă$570)</f>
      </c>
      <c r="GN570">
        <f>IF(ISBLANK('Data Entry'!$Ą$570), "", 'Data Entry'!$Ą$570)</f>
      </c>
      <c r="GO570">
        <f>IF(ISBLANK('Data Entry'!$ą$570), "", 'Data Entry'!$ą$570)</f>
      </c>
      <c r="GP570">
        <f>IF(ISBLANK('Data Entry'!$Ć$570), "", 'Data Entry'!$Ć$570)</f>
      </c>
      <c r="GQ570">
        <f>IF(ISBLANK('Data Entry'!$ć$570), "", 'Data Entry'!$ć$570)</f>
      </c>
      <c r="GR570">
        <f>IF(ISBLANK('Data Entry'!$Ĉ$570), "", 'Data Entry'!$Ĉ$570)</f>
      </c>
      <c r="GS570">
        <f>IF(ISBLANK('Data Entry'!$ĉ$570), "", 'Data Entry'!$ĉ$570)</f>
      </c>
      <c r="GT570">
        <f>IF(ISBLANK('Data Entry'!$Ċ$570), "", 'Data Entry'!$Ċ$570)</f>
      </c>
      <c r="GU570">
        <f>IF(ISBLANK('Data Entry'!$ċ$570), "", 'Data Entry'!$ċ$570)</f>
      </c>
      <c r="GV570">
        <f>IF(ISBLANK('Data Entry'!$Č$570), "", 'Data Entry'!$Č$570)</f>
      </c>
      <c r="GW570">
        <f>IF(ISBLANK('Data Entry'!$č$570), "", 'Data Entry'!$č$570)</f>
      </c>
      <c r="GX570">
        <f>IF(ISBLANK('Data Entry'!$Ď$570), "", 'Data Entry'!$Ď$570)</f>
      </c>
      <c r="GY570">
        <f>IF(ISBLANK('Data Entry'!$ď$570), "", 'Data Entry'!$ď$570)</f>
      </c>
      <c r="GZ570">
        <f>IF(ISBLANK('Data Entry'!$Đ$570), "", 'Data Entry'!$Đ$570)</f>
      </c>
      <c r="HA570">
        <f>IF(ISBLANK('Data Entry'!$đ$570), "", 'Data Entry'!$đ$570)</f>
      </c>
      <c r="HB570">
        <f>IF(ISBLANK('Data Entry'!$Ē$570), "", 'Data Entry'!$Ē$570)</f>
      </c>
      <c r="HC570">
        <f>IF(ISBLANK('Data Entry'!$ē$570), "", 'Data Entry'!$ē$570)</f>
      </c>
      <c r="HD570">
        <f>IF(ISBLANK('Data Entry'!$Ĕ$570), "", 'Data Entry'!$Ĕ$570)</f>
      </c>
      <c r="HE570">
        <f>IF(ISBLANK('Data Entry'!$ĕ$570), "", 'Data Entry'!$ĕ$570)</f>
      </c>
      <c r="HF570">
        <f>IF(ISBLANK('Data Entry'!$Ė$570), "", 'Data Entry'!$Ė$570)</f>
      </c>
      <c r="HG570">
        <f>IF(ISBLANK('Data Entry'!$ė$570), "", 'Data Entry'!$ė$570)</f>
      </c>
      <c r="HH570">
        <f>IF(ISBLANK('Data Entry'!$Ę$570), "", 'Data Entry'!$Ę$570)</f>
      </c>
      <c r="HI570">
        <f>IF(ISBLANK('Data Entry'!$ę$570), "", 'Data Entry'!$ę$570)</f>
      </c>
      <c r="HJ570">
        <f>IF(ISBLANK('Data Entry'!$Ě$570), "", 'Data Entry'!$Ě$570)</f>
      </c>
      <c r="HK570">
        <f>IF(ISBLANK('Data Entry'!$ě$570), "", 'Data Entry'!$ě$570)</f>
      </c>
      <c r="HL570">
        <f>IF(ISBLANK('Data Entry'!$Ĝ$570), "", 'Data Entry'!$Ĝ$570)</f>
      </c>
      <c r="HM570">
        <f>IF(ISBLANK('Data Entry'!$ĝ$570), "", 'Data Entry'!$ĝ$570)</f>
      </c>
      <c r="HN570">
        <f>IF(ISBLANK('Data Entry'!$Ğ$570), "", 'Data Entry'!$Ğ$570)</f>
      </c>
      <c r="HO570">
        <f>IF(ISBLANK('Data Entry'!$ğ$570), "", 'Data Entry'!$ğ$570)</f>
      </c>
      <c r="HP570">
        <f>IF(ISBLANK('Data Entry'!$Ġ$570), "", 'Data Entry'!$Ġ$570)</f>
      </c>
      <c r="HQ570">
        <f>IF(ISBLANK('Data Entry'!$ġ$570), "", 'Data Entry'!$ġ$570)</f>
      </c>
      <c r="HR570">
        <f>IF(ISBLANK('Data Entry'!$Ģ$570), "", 'Data Entry'!$Ģ$570)</f>
      </c>
      <c r="HS570">
        <f>IF(ISBLANK('Data Entry'!$ģ$570), "", 'Data Entry'!$ģ$570)</f>
      </c>
      <c r="HT570">
        <f>IF(ISBLANK('Data Entry'!$Ĥ$570), "", 'Data Entry'!$Ĥ$570)</f>
      </c>
      <c r="HU570">
        <f>IF(ISBLANK('Data Entry'!$ĥ$570), "", 'Data Entry'!$ĥ$570)</f>
      </c>
      <c r="HV570">
        <f>IF(ISBLANK('Data Entry'!$Ħ$570), "", 'Data Entry'!$Ħ$570)</f>
      </c>
      <c r="HW570">
        <f>IF(ISBLANK('Data Entry'!$ħ$570), "", 'Data Entry'!$ħ$570)</f>
      </c>
      <c r="HX570">
        <f>IF(ISBLANK('Data Entry'!$Ĩ$570), "", 'Data Entry'!$Ĩ$570)</f>
      </c>
      <c r="HY570">
        <f>IF(ISBLANK('Data Entry'!$ĩ$570), "", 'Data Entry'!$ĩ$570)</f>
      </c>
      <c r="HZ570">
        <f>IF(ISBLANK('Data Entry'!$Ī$570), "", 'Data Entry'!$Ī$570)</f>
      </c>
      <c r="IA570">
        <f>IF(ISBLANK('Data Entry'!$ī$570), "", 'Data Entry'!$ī$570)</f>
      </c>
      <c r="IB570">
        <f>IF(ISBLANK('Data Entry'!$Ĭ$570), "", 'Data Entry'!$Ĭ$570)</f>
      </c>
      <c r="IC570">
        <f>IF(ISBLANK('Data Entry'!$ĭ$570), "", 'Data Entry'!$ĭ$570)</f>
      </c>
      <c r="ID570">
        <f>IF(ISBLANK('Data Entry'!$Į$570), "", 'Data Entry'!$Į$570)</f>
      </c>
      <c r="IE570">
        <f>IF(ISBLANK('Data Entry'!$į$570), "", 'Data Entry'!$į$570)</f>
      </c>
      <c r="IF570">
        <f>IF(ISBLANK('Data Entry'!$İ$570), "", 'Data Entry'!$İ$570)</f>
      </c>
      <c r="IG570">
        <f>IF(ISBLANK('Data Entry'!$ı$570), "", 'Data Entry'!$ı$570)</f>
      </c>
      <c r="IH570">
        <f>IF(ISBLANK('Data Entry'!$Ĳ$570), "", 'Data Entry'!$Ĳ$570)</f>
      </c>
      <c r="II570">
        <f>IF(ISBLANK('Data Entry'!$ĳ$570), "", 'Data Entry'!$ĳ$570)</f>
      </c>
      <c r="IJ570">
        <f>IF(ISBLANK('Data Entry'!$Ĵ$570), "", 'Data Entry'!$Ĵ$570)</f>
      </c>
      <c r="IK570">
        <f>IF(ISBLANK('Data Entry'!$ĵ$570), "", 'Data Entry'!$ĵ$570)</f>
      </c>
      <c r="IL570">
        <f>IF(ISBLANK('Data Entry'!$Ķ$570), "", 'Data Entry'!$Ķ$570)</f>
      </c>
      <c r="IM570">
        <f>IF(ISBLANK('Data Entry'!$ķ$570), "", 'Data Entry'!$ķ$570)</f>
      </c>
      <c r="IN570">
        <f>IF(ISBLANK('Data Entry'!$ĸ$570), "", 'Data Entry'!$ĸ$570)</f>
      </c>
      <c r="IO570">
        <f>IF(ISBLANK('Data Entry'!$Ĺ$570), "", 'Data Entry'!$Ĺ$570)</f>
      </c>
      <c r="IP570">
        <f>IF(ISBLANK('Data Entry'!$ĺ$570), "", 'Data Entry'!$ĺ$570)</f>
      </c>
      <c r="IQ570">
        <f>IF(ISBLANK('Data Entry'!$Ļ$570), "", 'Data Entry'!$Ļ$570)</f>
      </c>
      <c r="IR570">
        <f>IF(ISBLANK('Data Entry'!$ļ$570), "", 'Data Entry'!$ļ$570)</f>
      </c>
      <c r="IS570">
        <f>IF(ISBLANK('Data Entry'!$Ľ$570), "", 'Data Entry'!$Ľ$570)</f>
      </c>
      <c r="IT570">
        <f>IF(ISBLANK('Data Entry'!$ľ$570), "", 'Data Entry'!$ľ$570)</f>
      </c>
    </row>
    <row r="571" spans="1:254" x14ac:dyDescent="0.25">
      <c r="A571">
        <f>IF(ISBLANK('Data Entry'!$A$571), "", 'Data Entry'!$A$571)</f>
      </c>
      <c r="B571">
        <f>IF(ISBLANK('Data Entry'!$B$571), "", 'Data Entry'!$B$571)</f>
      </c>
      <c r="C571">
        <f>IF(ISBLANK('Data Entry'!$C$571), "", 'Data Entry'!$C$571)</f>
      </c>
      <c r="D571">
        <f>IF(ISBLANK('Data Entry'!$D$571), "", 'Data Entry'!$D$571)</f>
      </c>
      <c r="E571">
        <f>IF(ISBLANK('Data Entry'!$E$571), "", 'Data Entry'!$E$571)</f>
      </c>
      <c r="F571">
        <f>IF(ISBLANK('Data Entry'!$F$571), "", 'Data Entry'!$F$571)</f>
      </c>
      <c r="G571">
        <f>IF(ISBLANK('Data Entry'!$G$571), "", 'Data Entry'!$G$571)</f>
      </c>
      <c r="H571">
        <f>IF(ISBLANK('Data Entry'!$H$571), "", 'Data Entry'!$H$571)</f>
      </c>
      <c r="I571">
        <f>IF(ISBLANK('Data Entry'!$I$571), "", 'Data Entry'!$I$571)</f>
      </c>
      <c r="J571">
        <f>IF(ISBLANK('Data Entry'!$J$571), "", 'Data Entry'!$J$571)</f>
      </c>
      <c r="K571">
        <f>IF(ISBLANK('Data Entry'!$K$571), "", 'Data Entry'!$K$571)</f>
      </c>
      <c r="L571">
        <f>IF(ISBLANK('Data Entry'!$L$571), "", 'Data Entry'!$L$571)</f>
      </c>
      <c r="M571">
        <f>IF(ISBLANK('Data Entry'!$M$571), "", 'Data Entry'!$M$571)</f>
      </c>
      <c r="N571">
        <f>IF(ISBLANK('Data Entry'!$N$571), "", 'Data Entry'!$N$571)</f>
      </c>
      <c r="O571">
        <f>IF(ISBLANK('Data Entry'!$O$571), "", 'Data Entry'!$O$571)</f>
      </c>
      <c r="P571">
        <f>IF(ISBLANK('Data Entry'!$P$571), "", 'Data Entry'!$P$571)</f>
      </c>
      <c r="Q571">
        <f>IF(ISBLANK('Data Entry'!$Q$571), "", 'Data Entry'!$Q$571)</f>
      </c>
      <c r="R571">
        <f>IF(ISBLANK('Data Entry'!$R$571), "", 'Data Entry'!$R$571)</f>
      </c>
      <c r="S571">
        <f>IF(ISBLANK('Data Entry'!$S$571), "", 'Data Entry'!$S$571)</f>
      </c>
      <c r="T571">
        <f>IF(ISBLANK('Data Entry'!$T$571), "", 'Data Entry'!$T$571)</f>
      </c>
      <c r="U571">
        <f>IF(ISBLANK('Data Entry'!$U$571), "", 'Data Entry'!$U$571)</f>
      </c>
      <c r="V571">
        <f>IF(ISBLANK('Data Entry'!$V$571), "", 'Data Entry'!$V$571)</f>
      </c>
      <c r="W571">
        <f>IF(ISBLANK('Data Entry'!$W$571), "", 'Data Entry'!$W$571)</f>
      </c>
      <c r="X571">
        <f>IF(ISBLANK('Data Entry'!$X$571), "", 'Data Entry'!$X$571)</f>
      </c>
      <c r="Y571">
        <f>IF(ISBLANK('Data Entry'!$Y$571), "", 'Data Entry'!$Y$571)</f>
      </c>
      <c r="Z571">
        <f>IF(ISBLANK('Data Entry'!$Z$571), "", 'Data Entry'!$Z$571)</f>
      </c>
      <c r="AA571">
        <f>IF(ISBLANK('Data Entry'!$[$571), "", 'Data Entry'!$[$571)</f>
      </c>
      <c r="AB571">
        <f>IF(ISBLANK('Data Entry'!$\$571), "", 'Data Entry'!$\$571)</f>
      </c>
      <c r="AC571">
        <f>IF(ISBLANK('Data Entry'!$]$571), "", 'Data Entry'!$]$571)</f>
      </c>
      <c r="AD571">
        <f>IF(ISBLANK('Data Entry'!$^$571), "", 'Data Entry'!$^$571)</f>
      </c>
      <c r="AE571">
        <f>IF(ISBLANK('Data Entry'!$_$571), "", 'Data Entry'!$_$571)</f>
      </c>
      <c r="AF571">
        <f>IF(ISBLANK('Data Entry'!$`$571), "", 'Data Entry'!$`$571)</f>
      </c>
      <c r="AG571">
        <f>IF(ISBLANK('Data Entry'!$a$571), "", 'Data Entry'!$a$571)</f>
      </c>
      <c r="AH571">
        <f>IF(ISBLANK('Data Entry'!$b$571), "", 'Data Entry'!$b$571)</f>
      </c>
      <c r="AI571">
        <f>IF(ISBLANK('Data Entry'!$c$571), "", 'Data Entry'!$c$571)</f>
      </c>
      <c r="AJ571">
        <f>IF(ISBLANK('Data Entry'!$d$571), "", 'Data Entry'!$d$571)</f>
      </c>
      <c r="AK571">
        <f>IF(ISBLANK('Data Entry'!$e$571), "", 'Data Entry'!$e$571)</f>
      </c>
      <c r="AL571">
        <f>IF(ISBLANK('Data Entry'!$f$571), "", 'Data Entry'!$f$571)</f>
      </c>
      <c r="AM571">
        <f>IF(ISBLANK('Data Entry'!$g$571), "", 'Data Entry'!$g$571)</f>
      </c>
      <c r="AN571">
        <f>IF(ISBLANK('Data Entry'!$h$571), "", 'Data Entry'!$h$571)</f>
      </c>
      <c r="AO571">
        <f>IF(ISBLANK('Data Entry'!$i$571), "", 'Data Entry'!$i$571)</f>
      </c>
      <c r="AP571">
        <f>IF(ISBLANK('Data Entry'!$j$571), "", 'Data Entry'!$j$571)</f>
      </c>
      <c r="AQ571">
        <f>IF(ISBLANK('Data Entry'!$k$571), "", 'Data Entry'!$k$571)</f>
      </c>
      <c r="AR571">
        <f>IF(ISBLANK('Data Entry'!$l$571), "", 'Data Entry'!$l$571)</f>
      </c>
      <c r="AS571">
        <f>IF(ISBLANK('Data Entry'!$m$571), "", 'Data Entry'!$m$571)</f>
      </c>
      <c r="AT571">
        <f>IF(ISBLANK('Data Entry'!$n$571), "", 'Data Entry'!$n$571)</f>
      </c>
      <c r="AU571">
        <f>IF(ISBLANK('Data Entry'!$o$571), "", 'Data Entry'!$o$571)</f>
      </c>
      <c r="AV571">
        <f>IF(ISBLANK('Data Entry'!$p$571), "", 'Data Entry'!$p$571)</f>
      </c>
      <c r="AW571">
        <f>IF(ISBLANK('Data Entry'!$q$571), "", 'Data Entry'!$q$571)</f>
      </c>
      <c r="AX571">
        <f>IF(ISBLANK('Data Entry'!$r$571), "", 'Data Entry'!$r$571)</f>
      </c>
      <c r="AY571">
        <f>IF(ISBLANK('Data Entry'!$s$571), "", 'Data Entry'!$s$571)</f>
      </c>
      <c r="AZ571">
        <f>IF(ISBLANK('Data Entry'!$t$571), "", 'Data Entry'!$t$571)</f>
      </c>
      <c r="BA571">
        <f>IF(ISBLANK('Data Entry'!$u$571), "", 'Data Entry'!$u$571)</f>
      </c>
      <c r="BB571">
        <f>IF(ISBLANK('Data Entry'!$v$571), "", 'Data Entry'!$v$571)</f>
      </c>
      <c r="BC571">
        <f>IF(ISBLANK('Data Entry'!$w$571), "", 'Data Entry'!$w$571)</f>
      </c>
      <c r="BD571">
        <f>IF(ISBLANK('Data Entry'!$x$571), "", 'Data Entry'!$x$571)</f>
      </c>
      <c r="BE571">
        <f>IF(ISBLANK('Data Entry'!$y$571), "", 'Data Entry'!$y$571)</f>
      </c>
      <c r="BF571">
        <f>IF(ISBLANK('Data Entry'!$z$571), "", 'Data Entry'!$z$571)</f>
      </c>
      <c r="BG571">
        <f>IF(ISBLANK('Data Entry'!${$571), "", 'Data Entry'!${$571)</f>
      </c>
      <c r="BH571">
        <f>IF(ISBLANK('Data Entry'!$|$571), "", 'Data Entry'!$|$571)</f>
      </c>
      <c r="BI571">
        <f>IF(ISBLANK('Data Entry'!$}$571), "", 'Data Entry'!$}$571)</f>
      </c>
      <c r="BJ571">
        <f>IF(ISBLANK('Data Entry'!$~$571), "", 'Data Entry'!$~$571)</f>
      </c>
      <c r="BK571">
        <f>IF(ISBLANK('Data Entry'!$$571), "", 'Data Entry'!$$571)</f>
      </c>
      <c r="BL571">
        <f>IF(ISBLANK('Data Entry'!$$571), "", 'Data Entry'!$$571)</f>
      </c>
      <c r="BM571">
        <f>IF(ISBLANK('Data Entry'!$$571), "", 'Data Entry'!$$571)</f>
      </c>
      <c r="BN571">
        <f>IF(ISBLANK('Data Entry'!$$571), "", 'Data Entry'!$$571)</f>
      </c>
      <c r="BO571">
        <f>IF(ISBLANK('Data Entry'!$$571), "", 'Data Entry'!$$571)</f>
      </c>
      <c r="BP571">
        <f>IF(ISBLANK('Data Entry'!$$571), "", 'Data Entry'!$$571)</f>
      </c>
      <c r="BQ571">
        <f>IF(ISBLANK('Data Entry'!$$571), "", 'Data Entry'!$$571)</f>
      </c>
      <c r="BR571">
        <f>IF(ISBLANK('Data Entry'!$$571), "", 'Data Entry'!$$571)</f>
      </c>
      <c r="BS571">
        <f>IF(ISBLANK('Data Entry'!$$571), "", 'Data Entry'!$$571)</f>
      </c>
      <c r="BT571">
        <f>IF(ISBLANK('Data Entry'!$$571), "", 'Data Entry'!$$571)</f>
      </c>
      <c r="BU571">
        <f>IF(ISBLANK('Data Entry'!$$571), "", 'Data Entry'!$$571)</f>
      </c>
      <c r="BV571">
        <f>IF(ISBLANK('Data Entry'!$$571), "", 'Data Entry'!$$571)</f>
      </c>
      <c r="BW571">
        <f>IF(ISBLANK('Data Entry'!$$571), "", 'Data Entry'!$$571)</f>
      </c>
      <c r="BX571">
        <f>IF(ISBLANK('Data Entry'!$$571), "", 'Data Entry'!$$571)</f>
      </c>
      <c r="BY571">
        <f>IF(ISBLANK('Data Entry'!$$571), "", 'Data Entry'!$$571)</f>
      </c>
      <c r="BZ571">
        <f>IF(ISBLANK('Data Entry'!$$571), "", 'Data Entry'!$$571)</f>
      </c>
      <c r="CA571">
        <f>IF(ISBLANK('Data Entry'!$$571), "", 'Data Entry'!$$571)</f>
      </c>
      <c r="CB571">
        <f>IF(ISBLANK('Data Entry'!$$571), "", 'Data Entry'!$$571)</f>
      </c>
      <c r="CC571">
        <f>IF(ISBLANK('Data Entry'!$$571), "", 'Data Entry'!$$571)</f>
      </c>
      <c r="CD571">
        <f>IF(ISBLANK('Data Entry'!$$571), "", 'Data Entry'!$$571)</f>
      </c>
      <c r="CE571">
        <f>IF(ISBLANK('Data Entry'!$$571), "", 'Data Entry'!$$571)</f>
      </c>
      <c r="CF571">
        <f>IF(ISBLANK('Data Entry'!$$571), "", 'Data Entry'!$$571)</f>
      </c>
      <c r="CG571">
        <f>IF(ISBLANK('Data Entry'!$$571), "", 'Data Entry'!$$571)</f>
      </c>
      <c r="CH571">
        <f>IF(ISBLANK('Data Entry'!$$571), "", 'Data Entry'!$$571)</f>
      </c>
      <c r="CI571">
        <f>IF(ISBLANK('Data Entry'!$$571), "", 'Data Entry'!$$571)</f>
      </c>
      <c r="CJ571">
        <f>IF(ISBLANK('Data Entry'!$$571), "", 'Data Entry'!$$571)</f>
      </c>
      <c r="CK571">
        <f>IF(ISBLANK('Data Entry'!$$571), "", 'Data Entry'!$$571)</f>
      </c>
      <c r="CL571">
        <f>IF(ISBLANK('Data Entry'!$$571), "", 'Data Entry'!$$571)</f>
      </c>
      <c r="CM571">
        <f>IF(ISBLANK('Data Entry'!$$571), "", 'Data Entry'!$$571)</f>
      </c>
      <c r="CN571">
        <f>IF(ISBLANK('Data Entry'!$$571), "", 'Data Entry'!$$571)</f>
      </c>
      <c r="CO571">
        <f>IF(ISBLANK('Data Entry'!$$571), "", 'Data Entry'!$$571)</f>
      </c>
      <c r="CP571">
        <f>IF(ISBLANK('Data Entry'!$$571), "", 'Data Entry'!$$571)</f>
      </c>
      <c r="CQ571">
        <f>IF(ISBLANK('Data Entry'!$$571), "", 'Data Entry'!$$571)</f>
      </c>
      <c r="CR571">
        <f>IF(ISBLANK('Data Entry'!$ $571), "", 'Data Entry'!$ $571)</f>
      </c>
      <c r="CS571">
        <f>IF(ISBLANK('Data Entry'!$¡$571), "", 'Data Entry'!$¡$571)</f>
      </c>
      <c r="CT571">
        <f>IF(ISBLANK('Data Entry'!$¢$571), "", 'Data Entry'!$¢$571)</f>
      </c>
      <c r="CU571">
        <f>IF(ISBLANK('Data Entry'!$£$571), "", 'Data Entry'!$£$571)</f>
      </c>
      <c r="CV571">
        <f>IF(ISBLANK('Data Entry'!$¤$571), "", 'Data Entry'!$¤$571)</f>
      </c>
      <c r="CW571">
        <f>IF(ISBLANK('Data Entry'!$¥$571), "", 'Data Entry'!$¥$571)</f>
      </c>
      <c r="CX571">
        <f>IF(ISBLANK('Data Entry'!$¦$571), "", 'Data Entry'!$¦$571)</f>
      </c>
      <c r="CY571">
        <f>IF(ISBLANK('Data Entry'!$§$571), "", 'Data Entry'!$§$571)</f>
      </c>
      <c r="CZ571">
        <f>IF(ISBLANK('Data Entry'!$¨$571), "", 'Data Entry'!$¨$571)</f>
      </c>
      <c r="DA571">
        <f>IF(ISBLANK('Data Entry'!$©$571), "", 'Data Entry'!$©$571)</f>
      </c>
      <c r="DB571">
        <f>IF(ISBLANK('Data Entry'!$ª$571), "", 'Data Entry'!$ª$571)</f>
      </c>
      <c r="DC571">
        <f>IF(ISBLANK('Data Entry'!$«$571), "", 'Data Entry'!$«$571)</f>
      </c>
      <c r="DD571">
        <f>IF(ISBLANK('Data Entry'!$¬$571), "", 'Data Entry'!$¬$571)</f>
      </c>
      <c r="DE571">
        <f>IF(ISBLANK('Data Entry'!$­$571), "", 'Data Entry'!$­$571)</f>
      </c>
      <c r="DF571">
        <f>IF(ISBLANK('Data Entry'!$®$571), "", 'Data Entry'!$®$571)</f>
      </c>
      <c r="DG571">
        <f>IF(ISBLANK('Data Entry'!$¯$571), "", 'Data Entry'!$¯$571)</f>
      </c>
      <c r="DH571">
        <f>IF(ISBLANK('Data Entry'!$°$571), "", 'Data Entry'!$°$571)</f>
      </c>
      <c r="DI571">
        <f>IF(ISBLANK('Data Entry'!$±$571), "", 'Data Entry'!$±$571)</f>
      </c>
      <c r="DJ571">
        <f>IF(ISBLANK('Data Entry'!$²$571), "", 'Data Entry'!$²$571)</f>
      </c>
      <c r="DK571">
        <f>IF(ISBLANK('Data Entry'!$³$571), "", 'Data Entry'!$³$571)</f>
      </c>
      <c r="DL571">
        <f>IF(ISBLANK('Data Entry'!$´$571), "", 'Data Entry'!$´$571)</f>
      </c>
      <c r="DM571">
        <f>IF(ISBLANK('Data Entry'!$µ$571), "", 'Data Entry'!$µ$571)</f>
      </c>
      <c r="DN571">
        <f>IF(ISBLANK('Data Entry'!$¶$571), "", 'Data Entry'!$¶$571)</f>
      </c>
      <c r="DO571">
        <f>IF(ISBLANK('Data Entry'!$·$571), "", 'Data Entry'!$·$571)</f>
      </c>
      <c r="DP571">
        <f>IF(ISBLANK('Data Entry'!$¸$571), "", 'Data Entry'!$¸$571)</f>
      </c>
      <c r="DQ571">
        <f>IF(ISBLANK('Data Entry'!$¹$571), "", 'Data Entry'!$¹$571)</f>
      </c>
      <c r="DR571">
        <f>IF(ISBLANK('Data Entry'!$º$571), "", 'Data Entry'!$º$571)</f>
      </c>
      <c r="DS571">
        <f>IF(ISBLANK('Data Entry'!$»$571), "", 'Data Entry'!$»$571)</f>
      </c>
      <c r="DT571">
        <f>IF(ISBLANK('Data Entry'!$¼$571), "", 'Data Entry'!$¼$571)</f>
      </c>
      <c r="DU571">
        <f>IF(ISBLANK('Data Entry'!$½$571), "", 'Data Entry'!$½$571)</f>
      </c>
      <c r="DV571">
        <f>IF(ISBLANK('Data Entry'!$¾$571), "", 'Data Entry'!$¾$571)</f>
      </c>
      <c r="DW571">
        <f>IF(ISBLANK('Data Entry'!$¿$571), "", 'Data Entry'!$¿$571)</f>
      </c>
      <c r="DX571">
        <f>IF(ISBLANK('Data Entry'!$À$571), "", 'Data Entry'!$À$571)</f>
      </c>
      <c r="DY571">
        <f>IF(ISBLANK('Data Entry'!$Á$571), "", 'Data Entry'!$Á$571)</f>
      </c>
      <c r="DZ571">
        <f>IF(ISBLANK('Data Entry'!$Â$571), "", 'Data Entry'!$Â$571)</f>
      </c>
      <c r="EA571">
        <f>IF(ISBLANK('Data Entry'!$Ã$571), "", 'Data Entry'!$Ã$571)</f>
      </c>
      <c r="EB571">
        <f>IF(ISBLANK('Data Entry'!$Ä$571), "", 'Data Entry'!$Ä$571)</f>
      </c>
      <c r="EC571">
        <f>IF(ISBLANK('Data Entry'!$Å$571), "", 'Data Entry'!$Å$571)</f>
      </c>
      <c r="ED571">
        <f>IF(ISBLANK('Data Entry'!$Æ$571), "", 'Data Entry'!$Æ$571)</f>
      </c>
      <c r="EE571">
        <f>IF(ISBLANK('Data Entry'!$Ç$571), "", 'Data Entry'!$Ç$571)</f>
      </c>
      <c r="EF571">
        <f>IF(ISBLANK('Data Entry'!$È$571), "", 'Data Entry'!$È$571)</f>
      </c>
      <c r="EG571">
        <f>IF(ISBLANK('Data Entry'!$É$571), "", 'Data Entry'!$É$571)</f>
      </c>
      <c r="EH571">
        <f>IF(ISBLANK('Data Entry'!$Ê$571), "", 'Data Entry'!$Ê$571)</f>
      </c>
      <c r="EI571">
        <f>IF(ISBLANK('Data Entry'!$Ë$571), "", 'Data Entry'!$Ë$571)</f>
      </c>
      <c r="EJ571">
        <f>IF(ISBLANK('Data Entry'!$Ì$571), "", 'Data Entry'!$Ì$571)</f>
      </c>
      <c r="EK571">
        <f>IF(ISBLANK('Data Entry'!$Í$571), "", 'Data Entry'!$Í$571)</f>
      </c>
      <c r="EL571">
        <f>IF(ISBLANK('Data Entry'!$Î$571), "", 'Data Entry'!$Î$571)</f>
      </c>
      <c r="EM571">
        <f>IF(ISBLANK('Data Entry'!$Ï$571), "", 'Data Entry'!$Ï$571)</f>
      </c>
      <c r="EN571">
        <f>IF(ISBLANK('Data Entry'!$Ð$571), "", 'Data Entry'!$Ð$571)</f>
      </c>
      <c r="EO571">
        <f>IF(ISBLANK('Data Entry'!$Ñ$571), "", 'Data Entry'!$Ñ$571)</f>
      </c>
      <c r="EP571">
        <f>IF(ISBLANK('Data Entry'!$Ò$571), "", 'Data Entry'!$Ò$571)</f>
      </c>
      <c r="EQ571">
        <f>IF(ISBLANK('Data Entry'!$Ó$571), "", 'Data Entry'!$Ó$571)</f>
      </c>
      <c r="ER571">
        <f>IF(ISBLANK('Data Entry'!$Ô$571), "", 'Data Entry'!$Ô$571)</f>
      </c>
      <c r="ES571">
        <f>IF(ISBLANK('Data Entry'!$Õ$571), "", 'Data Entry'!$Õ$571)</f>
      </c>
      <c r="ET571">
        <f>IF(ISBLANK('Data Entry'!$Ö$571), "", 'Data Entry'!$Ö$571)</f>
      </c>
      <c r="EU571">
        <f>IF(ISBLANK('Data Entry'!$×$571), "", 'Data Entry'!$×$571)</f>
      </c>
      <c r="EV571">
        <f>IF(ISBLANK('Data Entry'!$Ø$571), "", 'Data Entry'!$Ø$571)</f>
      </c>
      <c r="EW571">
        <f>IF(ISBLANK('Data Entry'!$Ù$571), "", 'Data Entry'!$Ù$571)</f>
      </c>
      <c r="EX571">
        <f>IF(ISBLANK('Data Entry'!$Ú$571), "", 'Data Entry'!$Ú$571)</f>
      </c>
      <c r="EY571">
        <f>IF(ISBLANK('Data Entry'!$Û$571), "", 'Data Entry'!$Û$571)</f>
      </c>
      <c r="EZ571">
        <f>IF(ISBLANK('Data Entry'!$Ü$571), "", 'Data Entry'!$Ü$571)</f>
      </c>
      <c r="FA571">
        <f>IF(ISBLANK('Data Entry'!$Ý$571), "", 'Data Entry'!$Ý$571)</f>
      </c>
      <c r="FB571">
        <f>IF(ISBLANK('Data Entry'!$Þ$571), "", 'Data Entry'!$Þ$571)</f>
      </c>
      <c r="FC571">
        <f>IF(ISBLANK('Data Entry'!$ß$571), "", 'Data Entry'!$ß$571)</f>
      </c>
      <c r="FD571">
        <f>IF(ISBLANK('Data Entry'!$à$571), "", 'Data Entry'!$à$571)</f>
      </c>
      <c r="FE571">
        <f>IF(ISBLANK('Data Entry'!$á$571), "", 'Data Entry'!$á$571)</f>
      </c>
      <c r="FF571">
        <f>IF(ISBLANK('Data Entry'!$â$571), "", 'Data Entry'!$â$571)</f>
      </c>
      <c r="FG571">
        <f>IF(ISBLANK('Data Entry'!$ã$571), "", 'Data Entry'!$ã$571)</f>
      </c>
      <c r="FH571">
        <f>IF(ISBLANK('Data Entry'!$ä$571), "", 'Data Entry'!$ä$571)</f>
      </c>
      <c r="FI571">
        <f>IF(ISBLANK('Data Entry'!$å$571), "", 'Data Entry'!$å$571)</f>
      </c>
      <c r="FJ571">
        <f>IF(ISBLANK('Data Entry'!$æ$571), "", 'Data Entry'!$æ$571)</f>
      </c>
      <c r="FK571">
        <f>IF(ISBLANK('Data Entry'!$ç$571), "", 'Data Entry'!$ç$571)</f>
      </c>
      <c r="FL571">
        <f>IF(ISBLANK('Data Entry'!$è$571), "", 'Data Entry'!$è$571)</f>
      </c>
      <c r="FM571">
        <f>IF(ISBLANK('Data Entry'!$é$571), "", 'Data Entry'!$é$571)</f>
      </c>
      <c r="FN571">
        <f>IF(ISBLANK('Data Entry'!$ê$571), "", 'Data Entry'!$ê$571)</f>
      </c>
      <c r="FO571">
        <f>IF(ISBLANK('Data Entry'!$ë$571), "", 'Data Entry'!$ë$571)</f>
      </c>
      <c r="FP571">
        <f>IF(ISBLANK('Data Entry'!$ì$571), "", 'Data Entry'!$ì$571)</f>
      </c>
      <c r="FQ571">
        <f>IF(ISBLANK('Data Entry'!$í$571), "", 'Data Entry'!$í$571)</f>
      </c>
      <c r="FR571">
        <f>IF(ISBLANK('Data Entry'!$î$571), "", 'Data Entry'!$î$571)</f>
      </c>
      <c r="FS571">
        <f>IF(ISBLANK('Data Entry'!$ï$571), "", 'Data Entry'!$ï$571)</f>
      </c>
      <c r="FT571">
        <f>IF(ISBLANK('Data Entry'!$ð$571), "", 'Data Entry'!$ð$571)</f>
      </c>
      <c r="FU571">
        <f>IF(ISBLANK('Data Entry'!$ñ$571), "", 'Data Entry'!$ñ$571)</f>
      </c>
      <c r="FV571">
        <f>IF(ISBLANK('Data Entry'!$ò$571), "", 'Data Entry'!$ò$571)</f>
      </c>
      <c r="FW571">
        <f>IF(ISBLANK('Data Entry'!$ó$571), "", 'Data Entry'!$ó$571)</f>
      </c>
      <c r="FX571">
        <f>IF(ISBLANK('Data Entry'!$ô$571), "", 'Data Entry'!$ô$571)</f>
      </c>
      <c r="FY571">
        <f>IF(ISBLANK('Data Entry'!$õ$571), "", 'Data Entry'!$õ$571)</f>
      </c>
      <c r="FZ571">
        <f>IF(ISBLANK('Data Entry'!$ö$571), "", 'Data Entry'!$ö$571)</f>
      </c>
      <c r="GA571">
        <f>IF(ISBLANK('Data Entry'!$÷$571), "", 'Data Entry'!$÷$571)</f>
      </c>
      <c r="GB571">
        <f>IF(ISBLANK('Data Entry'!$ø$571), "", 'Data Entry'!$ø$571)</f>
      </c>
      <c r="GC571">
        <f>IF(ISBLANK('Data Entry'!$ù$571), "", 'Data Entry'!$ù$571)</f>
      </c>
      <c r="GD571">
        <f>IF(ISBLANK('Data Entry'!$ú$571), "", 'Data Entry'!$ú$571)</f>
      </c>
      <c r="GE571">
        <f>IF(ISBLANK('Data Entry'!$û$571), "", 'Data Entry'!$û$571)</f>
      </c>
      <c r="GF571">
        <f>IF(ISBLANK('Data Entry'!$ü$571), "", 'Data Entry'!$ü$571)</f>
      </c>
      <c r="GG571">
        <f>IF(ISBLANK('Data Entry'!$ý$571), "", 'Data Entry'!$ý$571)</f>
      </c>
      <c r="GH571">
        <f>IF(ISBLANK('Data Entry'!$þ$571), "", 'Data Entry'!$þ$571)</f>
      </c>
      <c r="GI571">
        <f>IF(ISBLANK('Data Entry'!$ÿ$571), "", 'Data Entry'!$ÿ$571)</f>
      </c>
      <c r="GJ571">
        <f>IF(ISBLANK('Data Entry'!$Ā$571), "", 'Data Entry'!$Ā$571)</f>
      </c>
      <c r="GK571">
        <f>IF(ISBLANK('Data Entry'!$ā$571), "", 'Data Entry'!$ā$571)</f>
      </c>
      <c r="GL571">
        <f>IF(ISBLANK('Data Entry'!$Ă$571), "", 'Data Entry'!$Ă$571)</f>
      </c>
      <c r="GM571">
        <f>IF(ISBLANK('Data Entry'!$ă$571), "", 'Data Entry'!$ă$571)</f>
      </c>
      <c r="GN571">
        <f>IF(ISBLANK('Data Entry'!$Ą$571), "", 'Data Entry'!$Ą$571)</f>
      </c>
      <c r="GO571">
        <f>IF(ISBLANK('Data Entry'!$ą$571), "", 'Data Entry'!$ą$571)</f>
      </c>
      <c r="GP571">
        <f>IF(ISBLANK('Data Entry'!$Ć$571), "", 'Data Entry'!$Ć$571)</f>
      </c>
      <c r="GQ571">
        <f>IF(ISBLANK('Data Entry'!$ć$571), "", 'Data Entry'!$ć$571)</f>
      </c>
      <c r="GR571">
        <f>IF(ISBLANK('Data Entry'!$Ĉ$571), "", 'Data Entry'!$Ĉ$571)</f>
      </c>
      <c r="GS571">
        <f>IF(ISBLANK('Data Entry'!$ĉ$571), "", 'Data Entry'!$ĉ$571)</f>
      </c>
      <c r="GT571">
        <f>IF(ISBLANK('Data Entry'!$Ċ$571), "", 'Data Entry'!$Ċ$571)</f>
      </c>
      <c r="GU571">
        <f>IF(ISBLANK('Data Entry'!$ċ$571), "", 'Data Entry'!$ċ$571)</f>
      </c>
      <c r="GV571">
        <f>IF(ISBLANK('Data Entry'!$Č$571), "", 'Data Entry'!$Č$571)</f>
      </c>
      <c r="GW571">
        <f>IF(ISBLANK('Data Entry'!$č$571), "", 'Data Entry'!$č$571)</f>
      </c>
      <c r="GX571">
        <f>IF(ISBLANK('Data Entry'!$Ď$571), "", 'Data Entry'!$Ď$571)</f>
      </c>
      <c r="GY571">
        <f>IF(ISBLANK('Data Entry'!$ď$571), "", 'Data Entry'!$ď$571)</f>
      </c>
      <c r="GZ571">
        <f>IF(ISBLANK('Data Entry'!$Đ$571), "", 'Data Entry'!$Đ$571)</f>
      </c>
      <c r="HA571">
        <f>IF(ISBLANK('Data Entry'!$đ$571), "", 'Data Entry'!$đ$571)</f>
      </c>
      <c r="HB571">
        <f>IF(ISBLANK('Data Entry'!$Ē$571), "", 'Data Entry'!$Ē$571)</f>
      </c>
      <c r="HC571">
        <f>IF(ISBLANK('Data Entry'!$ē$571), "", 'Data Entry'!$ē$571)</f>
      </c>
      <c r="HD571">
        <f>IF(ISBLANK('Data Entry'!$Ĕ$571), "", 'Data Entry'!$Ĕ$571)</f>
      </c>
      <c r="HE571">
        <f>IF(ISBLANK('Data Entry'!$ĕ$571), "", 'Data Entry'!$ĕ$571)</f>
      </c>
      <c r="HF571">
        <f>IF(ISBLANK('Data Entry'!$Ė$571), "", 'Data Entry'!$Ė$571)</f>
      </c>
      <c r="HG571">
        <f>IF(ISBLANK('Data Entry'!$ė$571), "", 'Data Entry'!$ė$571)</f>
      </c>
      <c r="HH571">
        <f>IF(ISBLANK('Data Entry'!$Ę$571), "", 'Data Entry'!$Ę$571)</f>
      </c>
      <c r="HI571">
        <f>IF(ISBLANK('Data Entry'!$ę$571), "", 'Data Entry'!$ę$571)</f>
      </c>
      <c r="HJ571">
        <f>IF(ISBLANK('Data Entry'!$Ě$571), "", 'Data Entry'!$Ě$571)</f>
      </c>
      <c r="HK571">
        <f>IF(ISBLANK('Data Entry'!$ě$571), "", 'Data Entry'!$ě$571)</f>
      </c>
      <c r="HL571">
        <f>IF(ISBLANK('Data Entry'!$Ĝ$571), "", 'Data Entry'!$Ĝ$571)</f>
      </c>
      <c r="HM571">
        <f>IF(ISBLANK('Data Entry'!$ĝ$571), "", 'Data Entry'!$ĝ$571)</f>
      </c>
      <c r="HN571">
        <f>IF(ISBLANK('Data Entry'!$Ğ$571), "", 'Data Entry'!$Ğ$571)</f>
      </c>
      <c r="HO571">
        <f>IF(ISBLANK('Data Entry'!$ğ$571), "", 'Data Entry'!$ğ$571)</f>
      </c>
      <c r="HP571">
        <f>IF(ISBLANK('Data Entry'!$Ġ$571), "", 'Data Entry'!$Ġ$571)</f>
      </c>
      <c r="HQ571">
        <f>IF(ISBLANK('Data Entry'!$ġ$571), "", 'Data Entry'!$ġ$571)</f>
      </c>
      <c r="HR571">
        <f>IF(ISBLANK('Data Entry'!$Ģ$571), "", 'Data Entry'!$Ģ$571)</f>
      </c>
      <c r="HS571">
        <f>IF(ISBLANK('Data Entry'!$ģ$571), "", 'Data Entry'!$ģ$571)</f>
      </c>
      <c r="HT571">
        <f>IF(ISBLANK('Data Entry'!$Ĥ$571), "", 'Data Entry'!$Ĥ$571)</f>
      </c>
      <c r="HU571">
        <f>IF(ISBLANK('Data Entry'!$ĥ$571), "", 'Data Entry'!$ĥ$571)</f>
      </c>
      <c r="HV571">
        <f>IF(ISBLANK('Data Entry'!$Ħ$571), "", 'Data Entry'!$Ħ$571)</f>
      </c>
      <c r="HW571">
        <f>IF(ISBLANK('Data Entry'!$ħ$571), "", 'Data Entry'!$ħ$571)</f>
      </c>
      <c r="HX571">
        <f>IF(ISBLANK('Data Entry'!$Ĩ$571), "", 'Data Entry'!$Ĩ$571)</f>
      </c>
      <c r="HY571">
        <f>IF(ISBLANK('Data Entry'!$ĩ$571), "", 'Data Entry'!$ĩ$571)</f>
      </c>
      <c r="HZ571">
        <f>IF(ISBLANK('Data Entry'!$Ī$571), "", 'Data Entry'!$Ī$571)</f>
      </c>
      <c r="IA571">
        <f>IF(ISBLANK('Data Entry'!$ī$571), "", 'Data Entry'!$ī$571)</f>
      </c>
      <c r="IB571">
        <f>IF(ISBLANK('Data Entry'!$Ĭ$571), "", 'Data Entry'!$Ĭ$571)</f>
      </c>
      <c r="IC571">
        <f>IF(ISBLANK('Data Entry'!$ĭ$571), "", 'Data Entry'!$ĭ$571)</f>
      </c>
      <c r="ID571">
        <f>IF(ISBLANK('Data Entry'!$Į$571), "", 'Data Entry'!$Į$571)</f>
      </c>
      <c r="IE571">
        <f>IF(ISBLANK('Data Entry'!$į$571), "", 'Data Entry'!$į$571)</f>
      </c>
      <c r="IF571">
        <f>IF(ISBLANK('Data Entry'!$İ$571), "", 'Data Entry'!$İ$571)</f>
      </c>
      <c r="IG571">
        <f>IF(ISBLANK('Data Entry'!$ı$571), "", 'Data Entry'!$ı$571)</f>
      </c>
      <c r="IH571">
        <f>IF(ISBLANK('Data Entry'!$Ĳ$571), "", 'Data Entry'!$Ĳ$571)</f>
      </c>
      <c r="II571">
        <f>IF(ISBLANK('Data Entry'!$ĳ$571), "", 'Data Entry'!$ĳ$571)</f>
      </c>
      <c r="IJ571">
        <f>IF(ISBLANK('Data Entry'!$Ĵ$571), "", 'Data Entry'!$Ĵ$571)</f>
      </c>
      <c r="IK571">
        <f>IF(ISBLANK('Data Entry'!$ĵ$571), "", 'Data Entry'!$ĵ$571)</f>
      </c>
      <c r="IL571">
        <f>IF(ISBLANK('Data Entry'!$Ķ$571), "", 'Data Entry'!$Ķ$571)</f>
      </c>
      <c r="IM571">
        <f>IF(ISBLANK('Data Entry'!$ķ$571), "", 'Data Entry'!$ķ$571)</f>
      </c>
      <c r="IN571">
        <f>IF(ISBLANK('Data Entry'!$ĸ$571), "", 'Data Entry'!$ĸ$571)</f>
      </c>
      <c r="IO571">
        <f>IF(ISBLANK('Data Entry'!$Ĺ$571), "", 'Data Entry'!$Ĺ$571)</f>
      </c>
      <c r="IP571">
        <f>IF(ISBLANK('Data Entry'!$ĺ$571), "", 'Data Entry'!$ĺ$571)</f>
      </c>
      <c r="IQ571">
        <f>IF(ISBLANK('Data Entry'!$Ļ$571), "", 'Data Entry'!$Ļ$571)</f>
      </c>
      <c r="IR571">
        <f>IF(ISBLANK('Data Entry'!$ļ$571), "", 'Data Entry'!$ļ$571)</f>
      </c>
      <c r="IS571">
        <f>IF(ISBLANK('Data Entry'!$Ľ$571), "", 'Data Entry'!$Ľ$571)</f>
      </c>
      <c r="IT571">
        <f>IF(ISBLANK('Data Entry'!$ľ$571), "", 'Data Entry'!$ľ$571)</f>
      </c>
    </row>
    <row r="572" spans="1:254" x14ac:dyDescent="0.25">
      <c r="A572">
        <f>IF(ISBLANK('Data Entry'!$A$572), "", 'Data Entry'!$A$572)</f>
      </c>
      <c r="B572">
        <f>IF(ISBLANK('Data Entry'!$B$572), "", 'Data Entry'!$B$572)</f>
      </c>
      <c r="C572">
        <f>IF(ISBLANK('Data Entry'!$C$572), "", 'Data Entry'!$C$572)</f>
      </c>
      <c r="D572">
        <f>IF(ISBLANK('Data Entry'!$D$572), "", 'Data Entry'!$D$572)</f>
      </c>
      <c r="E572">
        <f>IF(ISBLANK('Data Entry'!$E$572), "", 'Data Entry'!$E$572)</f>
      </c>
      <c r="F572">
        <f>IF(ISBLANK('Data Entry'!$F$572), "", 'Data Entry'!$F$572)</f>
      </c>
      <c r="G572">
        <f>IF(ISBLANK('Data Entry'!$G$572), "", 'Data Entry'!$G$572)</f>
      </c>
      <c r="H572">
        <f>IF(ISBLANK('Data Entry'!$H$572), "", 'Data Entry'!$H$572)</f>
      </c>
      <c r="I572">
        <f>IF(ISBLANK('Data Entry'!$I$572), "", 'Data Entry'!$I$572)</f>
      </c>
      <c r="J572">
        <f>IF(ISBLANK('Data Entry'!$J$572), "", 'Data Entry'!$J$572)</f>
      </c>
      <c r="K572">
        <f>IF(ISBLANK('Data Entry'!$K$572), "", 'Data Entry'!$K$572)</f>
      </c>
      <c r="L572">
        <f>IF(ISBLANK('Data Entry'!$L$572), "", 'Data Entry'!$L$572)</f>
      </c>
      <c r="M572">
        <f>IF(ISBLANK('Data Entry'!$M$572), "", 'Data Entry'!$M$572)</f>
      </c>
      <c r="N572">
        <f>IF(ISBLANK('Data Entry'!$N$572), "", 'Data Entry'!$N$572)</f>
      </c>
      <c r="O572">
        <f>IF(ISBLANK('Data Entry'!$O$572), "", 'Data Entry'!$O$572)</f>
      </c>
      <c r="P572">
        <f>IF(ISBLANK('Data Entry'!$P$572), "", 'Data Entry'!$P$572)</f>
      </c>
      <c r="Q572">
        <f>IF(ISBLANK('Data Entry'!$Q$572), "", 'Data Entry'!$Q$572)</f>
      </c>
      <c r="R572">
        <f>IF(ISBLANK('Data Entry'!$R$572), "", 'Data Entry'!$R$572)</f>
      </c>
      <c r="S572">
        <f>IF(ISBLANK('Data Entry'!$S$572), "", 'Data Entry'!$S$572)</f>
      </c>
      <c r="T572">
        <f>IF(ISBLANK('Data Entry'!$T$572), "", 'Data Entry'!$T$572)</f>
      </c>
      <c r="U572">
        <f>IF(ISBLANK('Data Entry'!$U$572), "", 'Data Entry'!$U$572)</f>
      </c>
      <c r="V572">
        <f>IF(ISBLANK('Data Entry'!$V$572), "", 'Data Entry'!$V$572)</f>
      </c>
      <c r="W572">
        <f>IF(ISBLANK('Data Entry'!$W$572), "", 'Data Entry'!$W$572)</f>
      </c>
      <c r="X572">
        <f>IF(ISBLANK('Data Entry'!$X$572), "", 'Data Entry'!$X$572)</f>
      </c>
      <c r="Y572">
        <f>IF(ISBLANK('Data Entry'!$Y$572), "", 'Data Entry'!$Y$572)</f>
      </c>
      <c r="Z572">
        <f>IF(ISBLANK('Data Entry'!$Z$572), "", 'Data Entry'!$Z$572)</f>
      </c>
      <c r="AA572">
        <f>IF(ISBLANK('Data Entry'!$[$572), "", 'Data Entry'!$[$572)</f>
      </c>
      <c r="AB572">
        <f>IF(ISBLANK('Data Entry'!$\$572), "", 'Data Entry'!$\$572)</f>
      </c>
      <c r="AC572">
        <f>IF(ISBLANK('Data Entry'!$]$572), "", 'Data Entry'!$]$572)</f>
      </c>
      <c r="AD572">
        <f>IF(ISBLANK('Data Entry'!$^$572), "", 'Data Entry'!$^$572)</f>
      </c>
      <c r="AE572">
        <f>IF(ISBLANK('Data Entry'!$_$572), "", 'Data Entry'!$_$572)</f>
      </c>
      <c r="AF572">
        <f>IF(ISBLANK('Data Entry'!$`$572), "", 'Data Entry'!$`$572)</f>
      </c>
      <c r="AG572">
        <f>IF(ISBLANK('Data Entry'!$a$572), "", 'Data Entry'!$a$572)</f>
      </c>
      <c r="AH572">
        <f>IF(ISBLANK('Data Entry'!$b$572), "", 'Data Entry'!$b$572)</f>
      </c>
      <c r="AI572">
        <f>IF(ISBLANK('Data Entry'!$c$572), "", 'Data Entry'!$c$572)</f>
      </c>
      <c r="AJ572">
        <f>IF(ISBLANK('Data Entry'!$d$572), "", 'Data Entry'!$d$572)</f>
      </c>
      <c r="AK572">
        <f>IF(ISBLANK('Data Entry'!$e$572), "", 'Data Entry'!$e$572)</f>
      </c>
      <c r="AL572">
        <f>IF(ISBLANK('Data Entry'!$f$572), "", 'Data Entry'!$f$572)</f>
      </c>
      <c r="AM572">
        <f>IF(ISBLANK('Data Entry'!$g$572), "", 'Data Entry'!$g$572)</f>
      </c>
      <c r="AN572">
        <f>IF(ISBLANK('Data Entry'!$h$572), "", 'Data Entry'!$h$572)</f>
      </c>
      <c r="AO572">
        <f>IF(ISBLANK('Data Entry'!$i$572), "", 'Data Entry'!$i$572)</f>
      </c>
      <c r="AP572">
        <f>IF(ISBLANK('Data Entry'!$j$572), "", 'Data Entry'!$j$572)</f>
      </c>
      <c r="AQ572">
        <f>IF(ISBLANK('Data Entry'!$k$572), "", 'Data Entry'!$k$572)</f>
      </c>
      <c r="AR572">
        <f>IF(ISBLANK('Data Entry'!$l$572), "", 'Data Entry'!$l$572)</f>
      </c>
      <c r="AS572">
        <f>IF(ISBLANK('Data Entry'!$m$572), "", 'Data Entry'!$m$572)</f>
      </c>
      <c r="AT572">
        <f>IF(ISBLANK('Data Entry'!$n$572), "", 'Data Entry'!$n$572)</f>
      </c>
      <c r="AU572">
        <f>IF(ISBLANK('Data Entry'!$o$572), "", 'Data Entry'!$o$572)</f>
      </c>
      <c r="AV572">
        <f>IF(ISBLANK('Data Entry'!$p$572), "", 'Data Entry'!$p$572)</f>
      </c>
      <c r="AW572">
        <f>IF(ISBLANK('Data Entry'!$q$572), "", 'Data Entry'!$q$572)</f>
      </c>
      <c r="AX572">
        <f>IF(ISBLANK('Data Entry'!$r$572), "", 'Data Entry'!$r$572)</f>
      </c>
      <c r="AY572">
        <f>IF(ISBLANK('Data Entry'!$s$572), "", 'Data Entry'!$s$572)</f>
      </c>
      <c r="AZ572">
        <f>IF(ISBLANK('Data Entry'!$t$572), "", 'Data Entry'!$t$572)</f>
      </c>
      <c r="BA572">
        <f>IF(ISBLANK('Data Entry'!$u$572), "", 'Data Entry'!$u$572)</f>
      </c>
      <c r="BB572">
        <f>IF(ISBLANK('Data Entry'!$v$572), "", 'Data Entry'!$v$572)</f>
      </c>
      <c r="BC572">
        <f>IF(ISBLANK('Data Entry'!$w$572), "", 'Data Entry'!$w$572)</f>
      </c>
      <c r="BD572">
        <f>IF(ISBLANK('Data Entry'!$x$572), "", 'Data Entry'!$x$572)</f>
      </c>
      <c r="BE572">
        <f>IF(ISBLANK('Data Entry'!$y$572), "", 'Data Entry'!$y$572)</f>
      </c>
      <c r="BF572">
        <f>IF(ISBLANK('Data Entry'!$z$572), "", 'Data Entry'!$z$572)</f>
      </c>
      <c r="BG572">
        <f>IF(ISBLANK('Data Entry'!${$572), "", 'Data Entry'!${$572)</f>
      </c>
      <c r="BH572">
        <f>IF(ISBLANK('Data Entry'!$|$572), "", 'Data Entry'!$|$572)</f>
      </c>
      <c r="BI572">
        <f>IF(ISBLANK('Data Entry'!$}$572), "", 'Data Entry'!$}$572)</f>
      </c>
      <c r="BJ572">
        <f>IF(ISBLANK('Data Entry'!$~$572), "", 'Data Entry'!$~$572)</f>
      </c>
      <c r="BK572">
        <f>IF(ISBLANK('Data Entry'!$$572), "", 'Data Entry'!$$572)</f>
      </c>
      <c r="BL572">
        <f>IF(ISBLANK('Data Entry'!$$572), "", 'Data Entry'!$$572)</f>
      </c>
      <c r="BM572">
        <f>IF(ISBLANK('Data Entry'!$$572), "", 'Data Entry'!$$572)</f>
      </c>
      <c r="BN572">
        <f>IF(ISBLANK('Data Entry'!$$572), "", 'Data Entry'!$$572)</f>
      </c>
      <c r="BO572">
        <f>IF(ISBLANK('Data Entry'!$$572), "", 'Data Entry'!$$572)</f>
      </c>
      <c r="BP572">
        <f>IF(ISBLANK('Data Entry'!$$572), "", 'Data Entry'!$$572)</f>
      </c>
      <c r="BQ572">
        <f>IF(ISBLANK('Data Entry'!$$572), "", 'Data Entry'!$$572)</f>
      </c>
      <c r="BR572">
        <f>IF(ISBLANK('Data Entry'!$$572), "", 'Data Entry'!$$572)</f>
      </c>
      <c r="BS572">
        <f>IF(ISBLANK('Data Entry'!$$572), "", 'Data Entry'!$$572)</f>
      </c>
      <c r="BT572">
        <f>IF(ISBLANK('Data Entry'!$$572), "", 'Data Entry'!$$572)</f>
      </c>
      <c r="BU572">
        <f>IF(ISBLANK('Data Entry'!$$572), "", 'Data Entry'!$$572)</f>
      </c>
      <c r="BV572">
        <f>IF(ISBLANK('Data Entry'!$$572), "", 'Data Entry'!$$572)</f>
      </c>
      <c r="BW572">
        <f>IF(ISBLANK('Data Entry'!$$572), "", 'Data Entry'!$$572)</f>
      </c>
      <c r="BX572">
        <f>IF(ISBLANK('Data Entry'!$$572), "", 'Data Entry'!$$572)</f>
      </c>
      <c r="BY572">
        <f>IF(ISBLANK('Data Entry'!$$572), "", 'Data Entry'!$$572)</f>
      </c>
      <c r="BZ572">
        <f>IF(ISBLANK('Data Entry'!$$572), "", 'Data Entry'!$$572)</f>
      </c>
      <c r="CA572">
        <f>IF(ISBLANK('Data Entry'!$$572), "", 'Data Entry'!$$572)</f>
      </c>
      <c r="CB572">
        <f>IF(ISBLANK('Data Entry'!$$572), "", 'Data Entry'!$$572)</f>
      </c>
      <c r="CC572">
        <f>IF(ISBLANK('Data Entry'!$$572), "", 'Data Entry'!$$572)</f>
      </c>
      <c r="CD572">
        <f>IF(ISBLANK('Data Entry'!$$572), "", 'Data Entry'!$$572)</f>
      </c>
      <c r="CE572">
        <f>IF(ISBLANK('Data Entry'!$$572), "", 'Data Entry'!$$572)</f>
      </c>
      <c r="CF572">
        <f>IF(ISBLANK('Data Entry'!$$572), "", 'Data Entry'!$$572)</f>
      </c>
      <c r="CG572">
        <f>IF(ISBLANK('Data Entry'!$$572), "", 'Data Entry'!$$572)</f>
      </c>
      <c r="CH572">
        <f>IF(ISBLANK('Data Entry'!$$572), "", 'Data Entry'!$$572)</f>
      </c>
      <c r="CI572">
        <f>IF(ISBLANK('Data Entry'!$$572), "", 'Data Entry'!$$572)</f>
      </c>
      <c r="CJ572">
        <f>IF(ISBLANK('Data Entry'!$$572), "", 'Data Entry'!$$572)</f>
      </c>
      <c r="CK572">
        <f>IF(ISBLANK('Data Entry'!$$572), "", 'Data Entry'!$$572)</f>
      </c>
      <c r="CL572">
        <f>IF(ISBLANK('Data Entry'!$$572), "", 'Data Entry'!$$572)</f>
      </c>
      <c r="CM572">
        <f>IF(ISBLANK('Data Entry'!$$572), "", 'Data Entry'!$$572)</f>
      </c>
      <c r="CN572">
        <f>IF(ISBLANK('Data Entry'!$$572), "", 'Data Entry'!$$572)</f>
      </c>
      <c r="CO572">
        <f>IF(ISBLANK('Data Entry'!$$572), "", 'Data Entry'!$$572)</f>
      </c>
      <c r="CP572">
        <f>IF(ISBLANK('Data Entry'!$$572), "", 'Data Entry'!$$572)</f>
      </c>
      <c r="CQ572">
        <f>IF(ISBLANK('Data Entry'!$$572), "", 'Data Entry'!$$572)</f>
      </c>
      <c r="CR572">
        <f>IF(ISBLANK('Data Entry'!$ $572), "", 'Data Entry'!$ $572)</f>
      </c>
      <c r="CS572">
        <f>IF(ISBLANK('Data Entry'!$¡$572), "", 'Data Entry'!$¡$572)</f>
      </c>
      <c r="CT572">
        <f>IF(ISBLANK('Data Entry'!$¢$572), "", 'Data Entry'!$¢$572)</f>
      </c>
      <c r="CU572">
        <f>IF(ISBLANK('Data Entry'!$£$572), "", 'Data Entry'!$£$572)</f>
      </c>
      <c r="CV572">
        <f>IF(ISBLANK('Data Entry'!$¤$572), "", 'Data Entry'!$¤$572)</f>
      </c>
      <c r="CW572">
        <f>IF(ISBLANK('Data Entry'!$¥$572), "", 'Data Entry'!$¥$572)</f>
      </c>
      <c r="CX572">
        <f>IF(ISBLANK('Data Entry'!$¦$572), "", 'Data Entry'!$¦$572)</f>
      </c>
      <c r="CY572">
        <f>IF(ISBLANK('Data Entry'!$§$572), "", 'Data Entry'!$§$572)</f>
      </c>
      <c r="CZ572">
        <f>IF(ISBLANK('Data Entry'!$¨$572), "", 'Data Entry'!$¨$572)</f>
      </c>
      <c r="DA572">
        <f>IF(ISBLANK('Data Entry'!$©$572), "", 'Data Entry'!$©$572)</f>
      </c>
      <c r="DB572">
        <f>IF(ISBLANK('Data Entry'!$ª$572), "", 'Data Entry'!$ª$572)</f>
      </c>
      <c r="DC572">
        <f>IF(ISBLANK('Data Entry'!$«$572), "", 'Data Entry'!$«$572)</f>
      </c>
      <c r="DD572">
        <f>IF(ISBLANK('Data Entry'!$¬$572), "", 'Data Entry'!$¬$572)</f>
      </c>
      <c r="DE572">
        <f>IF(ISBLANK('Data Entry'!$­$572), "", 'Data Entry'!$­$572)</f>
      </c>
      <c r="DF572">
        <f>IF(ISBLANK('Data Entry'!$®$572), "", 'Data Entry'!$®$572)</f>
      </c>
      <c r="DG572">
        <f>IF(ISBLANK('Data Entry'!$¯$572), "", 'Data Entry'!$¯$572)</f>
      </c>
      <c r="DH572">
        <f>IF(ISBLANK('Data Entry'!$°$572), "", 'Data Entry'!$°$572)</f>
      </c>
      <c r="DI572">
        <f>IF(ISBLANK('Data Entry'!$±$572), "", 'Data Entry'!$±$572)</f>
      </c>
      <c r="DJ572">
        <f>IF(ISBLANK('Data Entry'!$²$572), "", 'Data Entry'!$²$572)</f>
      </c>
      <c r="DK572">
        <f>IF(ISBLANK('Data Entry'!$³$572), "", 'Data Entry'!$³$572)</f>
      </c>
      <c r="DL572">
        <f>IF(ISBLANK('Data Entry'!$´$572), "", 'Data Entry'!$´$572)</f>
      </c>
      <c r="DM572">
        <f>IF(ISBLANK('Data Entry'!$µ$572), "", 'Data Entry'!$µ$572)</f>
      </c>
      <c r="DN572">
        <f>IF(ISBLANK('Data Entry'!$¶$572), "", 'Data Entry'!$¶$572)</f>
      </c>
      <c r="DO572">
        <f>IF(ISBLANK('Data Entry'!$·$572), "", 'Data Entry'!$·$572)</f>
      </c>
      <c r="DP572">
        <f>IF(ISBLANK('Data Entry'!$¸$572), "", 'Data Entry'!$¸$572)</f>
      </c>
      <c r="DQ572">
        <f>IF(ISBLANK('Data Entry'!$¹$572), "", 'Data Entry'!$¹$572)</f>
      </c>
      <c r="DR572">
        <f>IF(ISBLANK('Data Entry'!$º$572), "", 'Data Entry'!$º$572)</f>
      </c>
      <c r="DS572">
        <f>IF(ISBLANK('Data Entry'!$»$572), "", 'Data Entry'!$»$572)</f>
      </c>
      <c r="DT572">
        <f>IF(ISBLANK('Data Entry'!$¼$572), "", 'Data Entry'!$¼$572)</f>
      </c>
      <c r="DU572">
        <f>IF(ISBLANK('Data Entry'!$½$572), "", 'Data Entry'!$½$572)</f>
      </c>
      <c r="DV572">
        <f>IF(ISBLANK('Data Entry'!$¾$572), "", 'Data Entry'!$¾$572)</f>
      </c>
      <c r="DW572">
        <f>IF(ISBLANK('Data Entry'!$¿$572), "", 'Data Entry'!$¿$572)</f>
      </c>
      <c r="DX572">
        <f>IF(ISBLANK('Data Entry'!$À$572), "", 'Data Entry'!$À$572)</f>
      </c>
      <c r="DY572">
        <f>IF(ISBLANK('Data Entry'!$Á$572), "", 'Data Entry'!$Á$572)</f>
      </c>
      <c r="DZ572">
        <f>IF(ISBLANK('Data Entry'!$Â$572), "", 'Data Entry'!$Â$572)</f>
      </c>
      <c r="EA572">
        <f>IF(ISBLANK('Data Entry'!$Ã$572), "", 'Data Entry'!$Ã$572)</f>
      </c>
      <c r="EB572">
        <f>IF(ISBLANK('Data Entry'!$Ä$572), "", 'Data Entry'!$Ä$572)</f>
      </c>
      <c r="EC572">
        <f>IF(ISBLANK('Data Entry'!$Å$572), "", 'Data Entry'!$Å$572)</f>
      </c>
      <c r="ED572">
        <f>IF(ISBLANK('Data Entry'!$Æ$572), "", 'Data Entry'!$Æ$572)</f>
      </c>
      <c r="EE572">
        <f>IF(ISBLANK('Data Entry'!$Ç$572), "", 'Data Entry'!$Ç$572)</f>
      </c>
      <c r="EF572">
        <f>IF(ISBLANK('Data Entry'!$È$572), "", 'Data Entry'!$È$572)</f>
      </c>
      <c r="EG572">
        <f>IF(ISBLANK('Data Entry'!$É$572), "", 'Data Entry'!$É$572)</f>
      </c>
      <c r="EH572">
        <f>IF(ISBLANK('Data Entry'!$Ê$572), "", 'Data Entry'!$Ê$572)</f>
      </c>
      <c r="EI572">
        <f>IF(ISBLANK('Data Entry'!$Ë$572), "", 'Data Entry'!$Ë$572)</f>
      </c>
      <c r="EJ572">
        <f>IF(ISBLANK('Data Entry'!$Ì$572), "", 'Data Entry'!$Ì$572)</f>
      </c>
      <c r="EK572">
        <f>IF(ISBLANK('Data Entry'!$Í$572), "", 'Data Entry'!$Í$572)</f>
      </c>
      <c r="EL572">
        <f>IF(ISBLANK('Data Entry'!$Î$572), "", 'Data Entry'!$Î$572)</f>
      </c>
      <c r="EM572">
        <f>IF(ISBLANK('Data Entry'!$Ï$572), "", 'Data Entry'!$Ï$572)</f>
      </c>
      <c r="EN572">
        <f>IF(ISBLANK('Data Entry'!$Ð$572), "", 'Data Entry'!$Ð$572)</f>
      </c>
      <c r="EO572">
        <f>IF(ISBLANK('Data Entry'!$Ñ$572), "", 'Data Entry'!$Ñ$572)</f>
      </c>
      <c r="EP572">
        <f>IF(ISBLANK('Data Entry'!$Ò$572), "", 'Data Entry'!$Ò$572)</f>
      </c>
      <c r="EQ572">
        <f>IF(ISBLANK('Data Entry'!$Ó$572), "", 'Data Entry'!$Ó$572)</f>
      </c>
      <c r="ER572">
        <f>IF(ISBLANK('Data Entry'!$Ô$572), "", 'Data Entry'!$Ô$572)</f>
      </c>
      <c r="ES572">
        <f>IF(ISBLANK('Data Entry'!$Õ$572), "", 'Data Entry'!$Õ$572)</f>
      </c>
      <c r="ET572">
        <f>IF(ISBLANK('Data Entry'!$Ö$572), "", 'Data Entry'!$Ö$572)</f>
      </c>
      <c r="EU572">
        <f>IF(ISBLANK('Data Entry'!$×$572), "", 'Data Entry'!$×$572)</f>
      </c>
      <c r="EV572">
        <f>IF(ISBLANK('Data Entry'!$Ø$572), "", 'Data Entry'!$Ø$572)</f>
      </c>
      <c r="EW572">
        <f>IF(ISBLANK('Data Entry'!$Ù$572), "", 'Data Entry'!$Ù$572)</f>
      </c>
      <c r="EX572">
        <f>IF(ISBLANK('Data Entry'!$Ú$572), "", 'Data Entry'!$Ú$572)</f>
      </c>
      <c r="EY572">
        <f>IF(ISBLANK('Data Entry'!$Û$572), "", 'Data Entry'!$Û$572)</f>
      </c>
      <c r="EZ572">
        <f>IF(ISBLANK('Data Entry'!$Ü$572), "", 'Data Entry'!$Ü$572)</f>
      </c>
      <c r="FA572">
        <f>IF(ISBLANK('Data Entry'!$Ý$572), "", 'Data Entry'!$Ý$572)</f>
      </c>
      <c r="FB572">
        <f>IF(ISBLANK('Data Entry'!$Þ$572), "", 'Data Entry'!$Þ$572)</f>
      </c>
      <c r="FC572">
        <f>IF(ISBLANK('Data Entry'!$ß$572), "", 'Data Entry'!$ß$572)</f>
      </c>
      <c r="FD572">
        <f>IF(ISBLANK('Data Entry'!$à$572), "", 'Data Entry'!$à$572)</f>
      </c>
      <c r="FE572">
        <f>IF(ISBLANK('Data Entry'!$á$572), "", 'Data Entry'!$á$572)</f>
      </c>
      <c r="FF572">
        <f>IF(ISBLANK('Data Entry'!$â$572), "", 'Data Entry'!$â$572)</f>
      </c>
      <c r="FG572">
        <f>IF(ISBLANK('Data Entry'!$ã$572), "", 'Data Entry'!$ã$572)</f>
      </c>
      <c r="FH572">
        <f>IF(ISBLANK('Data Entry'!$ä$572), "", 'Data Entry'!$ä$572)</f>
      </c>
      <c r="FI572">
        <f>IF(ISBLANK('Data Entry'!$å$572), "", 'Data Entry'!$å$572)</f>
      </c>
      <c r="FJ572">
        <f>IF(ISBLANK('Data Entry'!$æ$572), "", 'Data Entry'!$æ$572)</f>
      </c>
      <c r="FK572">
        <f>IF(ISBLANK('Data Entry'!$ç$572), "", 'Data Entry'!$ç$572)</f>
      </c>
      <c r="FL572">
        <f>IF(ISBLANK('Data Entry'!$è$572), "", 'Data Entry'!$è$572)</f>
      </c>
      <c r="FM572">
        <f>IF(ISBLANK('Data Entry'!$é$572), "", 'Data Entry'!$é$572)</f>
      </c>
      <c r="FN572">
        <f>IF(ISBLANK('Data Entry'!$ê$572), "", 'Data Entry'!$ê$572)</f>
      </c>
      <c r="FO572">
        <f>IF(ISBLANK('Data Entry'!$ë$572), "", 'Data Entry'!$ë$572)</f>
      </c>
      <c r="FP572">
        <f>IF(ISBLANK('Data Entry'!$ì$572), "", 'Data Entry'!$ì$572)</f>
      </c>
      <c r="FQ572">
        <f>IF(ISBLANK('Data Entry'!$í$572), "", 'Data Entry'!$í$572)</f>
      </c>
      <c r="FR572">
        <f>IF(ISBLANK('Data Entry'!$î$572), "", 'Data Entry'!$î$572)</f>
      </c>
      <c r="FS572">
        <f>IF(ISBLANK('Data Entry'!$ï$572), "", 'Data Entry'!$ï$572)</f>
      </c>
      <c r="FT572">
        <f>IF(ISBLANK('Data Entry'!$ð$572), "", 'Data Entry'!$ð$572)</f>
      </c>
      <c r="FU572">
        <f>IF(ISBLANK('Data Entry'!$ñ$572), "", 'Data Entry'!$ñ$572)</f>
      </c>
      <c r="FV572">
        <f>IF(ISBLANK('Data Entry'!$ò$572), "", 'Data Entry'!$ò$572)</f>
      </c>
      <c r="FW572">
        <f>IF(ISBLANK('Data Entry'!$ó$572), "", 'Data Entry'!$ó$572)</f>
      </c>
      <c r="FX572">
        <f>IF(ISBLANK('Data Entry'!$ô$572), "", 'Data Entry'!$ô$572)</f>
      </c>
      <c r="FY572">
        <f>IF(ISBLANK('Data Entry'!$õ$572), "", 'Data Entry'!$õ$572)</f>
      </c>
      <c r="FZ572">
        <f>IF(ISBLANK('Data Entry'!$ö$572), "", 'Data Entry'!$ö$572)</f>
      </c>
      <c r="GA572">
        <f>IF(ISBLANK('Data Entry'!$÷$572), "", 'Data Entry'!$÷$572)</f>
      </c>
      <c r="GB572">
        <f>IF(ISBLANK('Data Entry'!$ø$572), "", 'Data Entry'!$ø$572)</f>
      </c>
      <c r="GC572">
        <f>IF(ISBLANK('Data Entry'!$ù$572), "", 'Data Entry'!$ù$572)</f>
      </c>
      <c r="GD572">
        <f>IF(ISBLANK('Data Entry'!$ú$572), "", 'Data Entry'!$ú$572)</f>
      </c>
      <c r="GE572">
        <f>IF(ISBLANK('Data Entry'!$û$572), "", 'Data Entry'!$û$572)</f>
      </c>
      <c r="GF572">
        <f>IF(ISBLANK('Data Entry'!$ü$572), "", 'Data Entry'!$ü$572)</f>
      </c>
      <c r="GG572">
        <f>IF(ISBLANK('Data Entry'!$ý$572), "", 'Data Entry'!$ý$572)</f>
      </c>
      <c r="GH572">
        <f>IF(ISBLANK('Data Entry'!$þ$572), "", 'Data Entry'!$þ$572)</f>
      </c>
      <c r="GI572">
        <f>IF(ISBLANK('Data Entry'!$ÿ$572), "", 'Data Entry'!$ÿ$572)</f>
      </c>
      <c r="GJ572">
        <f>IF(ISBLANK('Data Entry'!$Ā$572), "", 'Data Entry'!$Ā$572)</f>
      </c>
      <c r="GK572">
        <f>IF(ISBLANK('Data Entry'!$ā$572), "", 'Data Entry'!$ā$572)</f>
      </c>
      <c r="GL572">
        <f>IF(ISBLANK('Data Entry'!$Ă$572), "", 'Data Entry'!$Ă$572)</f>
      </c>
      <c r="GM572">
        <f>IF(ISBLANK('Data Entry'!$ă$572), "", 'Data Entry'!$ă$572)</f>
      </c>
      <c r="GN572">
        <f>IF(ISBLANK('Data Entry'!$Ą$572), "", 'Data Entry'!$Ą$572)</f>
      </c>
      <c r="GO572">
        <f>IF(ISBLANK('Data Entry'!$ą$572), "", 'Data Entry'!$ą$572)</f>
      </c>
      <c r="GP572">
        <f>IF(ISBLANK('Data Entry'!$Ć$572), "", 'Data Entry'!$Ć$572)</f>
      </c>
      <c r="GQ572">
        <f>IF(ISBLANK('Data Entry'!$ć$572), "", 'Data Entry'!$ć$572)</f>
      </c>
      <c r="GR572">
        <f>IF(ISBLANK('Data Entry'!$Ĉ$572), "", 'Data Entry'!$Ĉ$572)</f>
      </c>
      <c r="GS572">
        <f>IF(ISBLANK('Data Entry'!$ĉ$572), "", 'Data Entry'!$ĉ$572)</f>
      </c>
      <c r="GT572">
        <f>IF(ISBLANK('Data Entry'!$Ċ$572), "", 'Data Entry'!$Ċ$572)</f>
      </c>
      <c r="GU572">
        <f>IF(ISBLANK('Data Entry'!$ċ$572), "", 'Data Entry'!$ċ$572)</f>
      </c>
      <c r="GV572">
        <f>IF(ISBLANK('Data Entry'!$Č$572), "", 'Data Entry'!$Č$572)</f>
      </c>
      <c r="GW572">
        <f>IF(ISBLANK('Data Entry'!$č$572), "", 'Data Entry'!$č$572)</f>
      </c>
      <c r="GX572">
        <f>IF(ISBLANK('Data Entry'!$Ď$572), "", 'Data Entry'!$Ď$572)</f>
      </c>
      <c r="GY572">
        <f>IF(ISBLANK('Data Entry'!$ď$572), "", 'Data Entry'!$ď$572)</f>
      </c>
      <c r="GZ572">
        <f>IF(ISBLANK('Data Entry'!$Đ$572), "", 'Data Entry'!$Đ$572)</f>
      </c>
      <c r="HA572">
        <f>IF(ISBLANK('Data Entry'!$đ$572), "", 'Data Entry'!$đ$572)</f>
      </c>
      <c r="HB572">
        <f>IF(ISBLANK('Data Entry'!$Ē$572), "", 'Data Entry'!$Ē$572)</f>
      </c>
      <c r="HC572">
        <f>IF(ISBLANK('Data Entry'!$ē$572), "", 'Data Entry'!$ē$572)</f>
      </c>
      <c r="HD572">
        <f>IF(ISBLANK('Data Entry'!$Ĕ$572), "", 'Data Entry'!$Ĕ$572)</f>
      </c>
      <c r="HE572">
        <f>IF(ISBLANK('Data Entry'!$ĕ$572), "", 'Data Entry'!$ĕ$572)</f>
      </c>
      <c r="HF572">
        <f>IF(ISBLANK('Data Entry'!$Ė$572), "", 'Data Entry'!$Ė$572)</f>
      </c>
      <c r="HG572">
        <f>IF(ISBLANK('Data Entry'!$ė$572), "", 'Data Entry'!$ė$572)</f>
      </c>
      <c r="HH572">
        <f>IF(ISBLANK('Data Entry'!$Ę$572), "", 'Data Entry'!$Ę$572)</f>
      </c>
      <c r="HI572">
        <f>IF(ISBLANK('Data Entry'!$ę$572), "", 'Data Entry'!$ę$572)</f>
      </c>
      <c r="HJ572">
        <f>IF(ISBLANK('Data Entry'!$Ě$572), "", 'Data Entry'!$Ě$572)</f>
      </c>
      <c r="HK572">
        <f>IF(ISBLANK('Data Entry'!$ě$572), "", 'Data Entry'!$ě$572)</f>
      </c>
      <c r="HL572">
        <f>IF(ISBLANK('Data Entry'!$Ĝ$572), "", 'Data Entry'!$Ĝ$572)</f>
      </c>
      <c r="HM572">
        <f>IF(ISBLANK('Data Entry'!$ĝ$572), "", 'Data Entry'!$ĝ$572)</f>
      </c>
      <c r="HN572">
        <f>IF(ISBLANK('Data Entry'!$Ğ$572), "", 'Data Entry'!$Ğ$572)</f>
      </c>
      <c r="HO572">
        <f>IF(ISBLANK('Data Entry'!$ğ$572), "", 'Data Entry'!$ğ$572)</f>
      </c>
      <c r="HP572">
        <f>IF(ISBLANK('Data Entry'!$Ġ$572), "", 'Data Entry'!$Ġ$572)</f>
      </c>
      <c r="HQ572">
        <f>IF(ISBLANK('Data Entry'!$ġ$572), "", 'Data Entry'!$ġ$572)</f>
      </c>
      <c r="HR572">
        <f>IF(ISBLANK('Data Entry'!$Ģ$572), "", 'Data Entry'!$Ģ$572)</f>
      </c>
      <c r="HS572">
        <f>IF(ISBLANK('Data Entry'!$ģ$572), "", 'Data Entry'!$ģ$572)</f>
      </c>
      <c r="HT572">
        <f>IF(ISBLANK('Data Entry'!$Ĥ$572), "", 'Data Entry'!$Ĥ$572)</f>
      </c>
      <c r="HU572">
        <f>IF(ISBLANK('Data Entry'!$ĥ$572), "", 'Data Entry'!$ĥ$572)</f>
      </c>
      <c r="HV572">
        <f>IF(ISBLANK('Data Entry'!$Ħ$572), "", 'Data Entry'!$Ħ$572)</f>
      </c>
      <c r="HW572">
        <f>IF(ISBLANK('Data Entry'!$ħ$572), "", 'Data Entry'!$ħ$572)</f>
      </c>
      <c r="HX572">
        <f>IF(ISBLANK('Data Entry'!$Ĩ$572), "", 'Data Entry'!$Ĩ$572)</f>
      </c>
      <c r="HY572">
        <f>IF(ISBLANK('Data Entry'!$ĩ$572), "", 'Data Entry'!$ĩ$572)</f>
      </c>
      <c r="HZ572">
        <f>IF(ISBLANK('Data Entry'!$Ī$572), "", 'Data Entry'!$Ī$572)</f>
      </c>
      <c r="IA572">
        <f>IF(ISBLANK('Data Entry'!$ī$572), "", 'Data Entry'!$ī$572)</f>
      </c>
      <c r="IB572">
        <f>IF(ISBLANK('Data Entry'!$Ĭ$572), "", 'Data Entry'!$Ĭ$572)</f>
      </c>
      <c r="IC572">
        <f>IF(ISBLANK('Data Entry'!$ĭ$572), "", 'Data Entry'!$ĭ$572)</f>
      </c>
      <c r="ID572">
        <f>IF(ISBLANK('Data Entry'!$Į$572), "", 'Data Entry'!$Į$572)</f>
      </c>
      <c r="IE572">
        <f>IF(ISBLANK('Data Entry'!$į$572), "", 'Data Entry'!$į$572)</f>
      </c>
      <c r="IF572">
        <f>IF(ISBLANK('Data Entry'!$İ$572), "", 'Data Entry'!$İ$572)</f>
      </c>
      <c r="IG572">
        <f>IF(ISBLANK('Data Entry'!$ı$572), "", 'Data Entry'!$ı$572)</f>
      </c>
      <c r="IH572">
        <f>IF(ISBLANK('Data Entry'!$Ĳ$572), "", 'Data Entry'!$Ĳ$572)</f>
      </c>
      <c r="II572">
        <f>IF(ISBLANK('Data Entry'!$ĳ$572), "", 'Data Entry'!$ĳ$572)</f>
      </c>
      <c r="IJ572">
        <f>IF(ISBLANK('Data Entry'!$Ĵ$572), "", 'Data Entry'!$Ĵ$572)</f>
      </c>
      <c r="IK572">
        <f>IF(ISBLANK('Data Entry'!$ĵ$572), "", 'Data Entry'!$ĵ$572)</f>
      </c>
      <c r="IL572">
        <f>IF(ISBLANK('Data Entry'!$Ķ$572), "", 'Data Entry'!$Ķ$572)</f>
      </c>
      <c r="IM572">
        <f>IF(ISBLANK('Data Entry'!$ķ$572), "", 'Data Entry'!$ķ$572)</f>
      </c>
      <c r="IN572">
        <f>IF(ISBLANK('Data Entry'!$ĸ$572), "", 'Data Entry'!$ĸ$572)</f>
      </c>
      <c r="IO572">
        <f>IF(ISBLANK('Data Entry'!$Ĺ$572), "", 'Data Entry'!$Ĺ$572)</f>
      </c>
      <c r="IP572">
        <f>IF(ISBLANK('Data Entry'!$ĺ$572), "", 'Data Entry'!$ĺ$572)</f>
      </c>
      <c r="IQ572">
        <f>IF(ISBLANK('Data Entry'!$Ļ$572), "", 'Data Entry'!$Ļ$572)</f>
      </c>
      <c r="IR572">
        <f>IF(ISBLANK('Data Entry'!$ļ$572), "", 'Data Entry'!$ļ$572)</f>
      </c>
      <c r="IS572">
        <f>IF(ISBLANK('Data Entry'!$Ľ$572), "", 'Data Entry'!$Ľ$572)</f>
      </c>
      <c r="IT572">
        <f>IF(ISBLANK('Data Entry'!$ľ$572), "", 'Data Entry'!$ľ$572)</f>
      </c>
    </row>
    <row r="573" spans="1:254" x14ac:dyDescent="0.25">
      <c r="A573">
        <f>IF(ISBLANK('Data Entry'!$A$573), "", 'Data Entry'!$A$573)</f>
      </c>
      <c r="B573">
        <f>IF(ISBLANK('Data Entry'!$B$573), "", 'Data Entry'!$B$573)</f>
      </c>
      <c r="C573">
        <f>IF(ISBLANK('Data Entry'!$C$573), "", 'Data Entry'!$C$573)</f>
      </c>
      <c r="D573">
        <f>IF(ISBLANK('Data Entry'!$D$573), "", 'Data Entry'!$D$573)</f>
      </c>
      <c r="E573">
        <f>IF(ISBLANK('Data Entry'!$E$573), "", 'Data Entry'!$E$573)</f>
      </c>
      <c r="F573">
        <f>IF(ISBLANK('Data Entry'!$F$573), "", 'Data Entry'!$F$573)</f>
      </c>
      <c r="G573">
        <f>IF(ISBLANK('Data Entry'!$G$573), "", 'Data Entry'!$G$573)</f>
      </c>
      <c r="H573">
        <f>IF(ISBLANK('Data Entry'!$H$573), "", 'Data Entry'!$H$573)</f>
      </c>
      <c r="I573">
        <f>IF(ISBLANK('Data Entry'!$I$573), "", 'Data Entry'!$I$573)</f>
      </c>
      <c r="J573">
        <f>IF(ISBLANK('Data Entry'!$J$573), "", 'Data Entry'!$J$573)</f>
      </c>
      <c r="K573">
        <f>IF(ISBLANK('Data Entry'!$K$573), "", 'Data Entry'!$K$573)</f>
      </c>
      <c r="L573">
        <f>IF(ISBLANK('Data Entry'!$L$573), "", 'Data Entry'!$L$573)</f>
      </c>
      <c r="M573">
        <f>IF(ISBLANK('Data Entry'!$M$573), "", 'Data Entry'!$M$573)</f>
      </c>
      <c r="N573">
        <f>IF(ISBLANK('Data Entry'!$N$573), "", 'Data Entry'!$N$573)</f>
      </c>
      <c r="O573">
        <f>IF(ISBLANK('Data Entry'!$O$573), "", 'Data Entry'!$O$573)</f>
      </c>
      <c r="P573">
        <f>IF(ISBLANK('Data Entry'!$P$573), "", 'Data Entry'!$P$573)</f>
      </c>
      <c r="Q573">
        <f>IF(ISBLANK('Data Entry'!$Q$573), "", 'Data Entry'!$Q$573)</f>
      </c>
      <c r="R573">
        <f>IF(ISBLANK('Data Entry'!$R$573), "", 'Data Entry'!$R$573)</f>
      </c>
      <c r="S573">
        <f>IF(ISBLANK('Data Entry'!$S$573), "", 'Data Entry'!$S$573)</f>
      </c>
      <c r="T573">
        <f>IF(ISBLANK('Data Entry'!$T$573), "", 'Data Entry'!$T$573)</f>
      </c>
      <c r="U573">
        <f>IF(ISBLANK('Data Entry'!$U$573), "", 'Data Entry'!$U$573)</f>
      </c>
      <c r="V573">
        <f>IF(ISBLANK('Data Entry'!$V$573), "", 'Data Entry'!$V$573)</f>
      </c>
      <c r="W573">
        <f>IF(ISBLANK('Data Entry'!$W$573), "", 'Data Entry'!$W$573)</f>
      </c>
      <c r="X573">
        <f>IF(ISBLANK('Data Entry'!$X$573), "", 'Data Entry'!$X$573)</f>
      </c>
      <c r="Y573">
        <f>IF(ISBLANK('Data Entry'!$Y$573), "", 'Data Entry'!$Y$573)</f>
      </c>
      <c r="Z573">
        <f>IF(ISBLANK('Data Entry'!$Z$573), "", 'Data Entry'!$Z$573)</f>
      </c>
      <c r="AA573">
        <f>IF(ISBLANK('Data Entry'!$[$573), "", 'Data Entry'!$[$573)</f>
      </c>
      <c r="AB573">
        <f>IF(ISBLANK('Data Entry'!$\$573), "", 'Data Entry'!$\$573)</f>
      </c>
      <c r="AC573">
        <f>IF(ISBLANK('Data Entry'!$]$573), "", 'Data Entry'!$]$573)</f>
      </c>
      <c r="AD573">
        <f>IF(ISBLANK('Data Entry'!$^$573), "", 'Data Entry'!$^$573)</f>
      </c>
      <c r="AE573">
        <f>IF(ISBLANK('Data Entry'!$_$573), "", 'Data Entry'!$_$573)</f>
      </c>
      <c r="AF573">
        <f>IF(ISBLANK('Data Entry'!$`$573), "", 'Data Entry'!$`$573)</f>
      </c>
      <c r="AG573">
        <f>IF(ISBLANK('Data Entry'!$a$573), "", 'Data Entry'!$a$573)</f>
      </c>
      <c r="AH573">
        <f>IF(ISBLANK('Data Entry'!$b$573), "", 'Data Entry'!$b$573)</f>
      </c>
      <c r="AI573">
        <f>IF(ISBLANK('Data Entry'!$c$573), "", 'Data Entry'!$c$573)</f>
      </c>
      <c r="AJ573">
        <f>IF(ISBLANK('Data Entry'!$d$573), "", 'Data Entry'!$d$573)</f>
      </c>
      <c r="AK573">
        <f>IF(ISBLANK('Data Entry'!$e$573), "", 'Data Entry'!$e$573)</f>
      </c>
      <c r="AL573">
        <f>IF(ISBLANK('Data Entry'!$f$573), "", 'Data Entry'!$f$573)</f>
      </c>
      <c r="AM573">
        <f>IF(ISBLANK('Data Entry'!$g$573), "", 'Data Entry'!$g$573)</f>
      </c>
      <c r="AN573">
        <f>IF(ISBLANK('Data Entry'!$h$573), "", 'Data Entry'!$h$573)</f>
      </c>
      <c r="AO573">
        <f>IF(ISBLANK('Data Entry'!$i$573), "", 'Data Entry'!$i$573)</f>
      </c>
      <c r="AP573">
        <f>IF(ISBLANK('Data Entry'!$j$573), "", 'Data Entry'!$j$573)</f>
      </c>
      <c r="AQ573">
        <f>IF(ISBLANK('Data Entry'!$k$573), "", 'Data Entry'!$k$573)</f>
      </c>
      <c r="AR573">
        <f>IF(ISBLANK('Data Entry'!$l$573), "", 'Data Entry'!$l$573)</f>
      </c>
      <c r="AS573">
        <f>IF(ISBLANK('Data Entry'!$m$573), "", 'Data Entry'!$m$573)</f>
      </c>
      <c r="AT573">
        <f>IF(ISBLANK('Data Entry'!$n$573), "", 'Data Entry'!$n$573)</f>
      </c>
      <c r="AU573">
        <f>IF(ISBLANK('Data Entry'!$o$573), "", 'Data Entry'!$o$573)</f>
      </c>
      <c r="AV573">
        <f>IF(ISBLANK('Data Entry'!$p$573), "", 'Data Entry'!$p$573)</f>
      </c>
      <c r="AW573">
        <f>IF(ISBLANK('Data Entry'!$q$573), "", 'Data Entry'!$q$573)</f>
      </c>
      <c r="AX573">
        <f>IF(ISBLANK('Data Entry'!$r$573), "", 'Data Entry'!$r$573)</f>
      </c>
      <c r="AY573">
        <f>IF(ISBLANK('Data Entry'!$s$573), "", 'Data Entry'!$s$573)</f>
      </c>
      <c r="AZ573">
        <f>IF(ISBLANK('Data Entry'!$t$573), "", 'Data Entry'!$t$573)</f>
      </c>
      <c r="BA573">
        <f>IF(ISBLANK('Data Entry'!$u$573), "", 'Data Entry'!$u$573)</f>
      </c>
      <c r="BB573">
        <f>IF(ISBLANK('Data Entry'!$v$573), "", 'Data Entry'!$v$573)</f>
      </c>
      <c r="BC573">
        <f>IF(ISBLANK('Data Entry'!$w$573), "", 'Data Entry'!$w$573)</f>
      </c>
      <c r="BD573">
        <f>IF(ISBLANK('Data Entry'!$x$573), "", 'Data Entry'!$x$573)</f>
      </c>
      <c r="BE573">
        <f>IF(ISBLANK('Data Entry'!$y$573), "", 'Data Entry'!$y$573)</f>
      </c>
      <c r="BF573">
        <f>IF(ISBLANK('Data Entry'!$z$573), "", 'Data Entry'!$z$573)</f>
      </c>
      <c r="BG573">
        <f>IF(ISBLANK('Data Entry'!${$573), "", 'Data Entry'!${$573)</f>
      </c>
      <c r="BH573">
        <f>IF(ISBLANK('Data Entry'!$|$573), "", 'Data Entry'!$|$573)</f>
      </c>
      <c r="BI573">
        <f>IF(ISBLANK('Data Entry'!$}$573), "", 'Data Entry'!$}$573)</f>
      </c>
      <c r="BJ573">
        <f>IF(ISBLANK('Data Entry'!$~$573), "", 'Data Entry'!$~$573)</f>
      </c>
      <c r="BK573">
        <f>IF(ISBLANK('Data Entry'!$$573), "", 'Data Entry'!$$573)</f>
      </c>
      <c r="BL573">
        <f>IF(ISBLANK('Data Entry'!$$573), "", 'Data Entry'!$$573)</f>
      </c>
      <c r="BM573">
        <f>IF(ISBLANK('Data Entry'!$$573), "", 'Data Entry'!$$573)</f>
      </c>
      <c r="BN573">
        <f>IF(ISBLANK('Data Entry'!$$573), "", 'Data Entry'!$$573)</f>
      </c>
      <c r="BO573">
        <f>IF(ISBLANK('Data Entry'!$$573), "", 'Data Entry'!$$573)</f>
      </c>
      <c r="BP573">
        <f>IF(ISBLANK('Data Entry'!$$573), "", 'Data Entry'!$$573)</f>
      </c>
      <c r="BQ573">
        <f>IF(ISBLANK('Data Entry'!$$573), "", 'Data Entry'!$$573)</f>
      </c>
      <c r="BR573">
        <f>IF(ISBLANK('Data Entry'!$$573), "", 'Data Entry'!$$573)</f>
      </c>
      <c r="BS573">
        <f>IF(ISBLANK('Data Entry'!$$573), "", 'Data Entry'!$$573)</f>
      </c>
      <c r="BT573">
        <f>IF(ISBLANK('Data Entry'!$$573), "", 'Data Entry'!$$573)</f>
      </c>
      <c r="BU573">
        <f>IF(ISBLANK('Data Entry'!$$573), "", 'Data Entry'!$$573)</f>
      </c>
      <c r="BV573">
        <f>IF(ISBLANK('Data Entry'!$$573), "", 'Data Entry'!$$573)</f>
      </c>
      <c r="BW573">
        <f>IF(ISBLANK('Data Entry'!$$573), "", 'Data Entry'!$$573)</f>
      </c>
      <c r="BX573">
        <f>IF(ISBLANK('Data Entry'!$$573), "", 'Data Entry'!$$573)</f>
      </c>
      <c r="BY573">
        <f>IF(ISBLANK('Data Entry'!$$573), "", 'Data Entry'!$$573)</f>
      </c>
      <c r="BZ573">
        <f>IF(ISBLANK('Data Entry'!$$573), "", 'Data Entry'!$$573)</f>
      </c>
      <c r="CA573">
        <f>IF(ISBLANK('Data Entry'!$$573), "", 'Data Entry'!$$573)</f>
      </c>
      <c r="CB573">
        <f>IF(ISBLANK('Data Entry'!$$573), "", 'Data Entry'!$$573)</f>
      </c>
      <c r="CC573">
        <f>IF(ISBLANK('Data Entry'!$$573), "", 'Data Entry'!$$573)</f>
      </c>
      <c r="CD573">
        <f>IF(ISBLANK('Data Entry'!$$573), "", 'Data Entry'!$$573)</f>
      </c>
      <c r="CE573">
        <f>IF(ISBLANK('Data Entry'!$$573), "", 'Data Entry'!$$573)</f>
      </c>
      <c r="CF573">
        <f>IF(ISBLANK('Data Entry'!$$573), "", 'Data Entry'!$$573)</f>
      </c>
      <c r="CG573">
        <f>IF(ISBLANK('Data Entry'!$$573), "", 'Data Entry'!$$573)</f>
      </c>
      <c r="CH573">
        <f>IF(ISBLANK('Data Entry'!$$573), "", 'Data Entry'!$$573)</f>
      </c>
      <c r="CI573">
        <f>IF(ISBLANK('Data Entry'!$$573), "", 'Data Entry'!$$573)</f>
      </c>
      <c r="CJ573">
        <f>IF(ISBLANK('Data Entry'!$$573), "", 'Data Entry'!$$573)</f>
      </c>
      <c r="CK573">
        <f>IF(ISBLANK('Data Entry'!$$573), "", 'Data Entry'!$$573)</f>
      </c>
      <c r="CL573">
        <f>IF(ISBLANK('Data Entry'!$$573), "", 'Data Entry'!$$573)</f>
      </c>
      <c r="CM573">
        <f>IF(ISBLANK('Data Entry'!$$573), "", 'Data Entry'!$$573)</f>
      </c>
      <c r="CN573">
        <f>IF(ISBLANK('Data Entry'!$$573), "", 'Data Entry'!$$573)</f>
      </c>
      <c r="CO573">
        <f>IF(ISBLANK('Data Entry'!$$573), "", 'Data Entry'!$$573)</f>
      </c>
      <c r="CP573">
        <f>IF(ISBLANK('Data Entry'!$$573), "", 'Data Entry'!$$573)</f>
      </c>
      <c r="CQ573">
        <f>IF(ISBLANK('Data Entry'!$$573), "", 'Data Entry'!$$573)</f>
      </c>
      <c r="CR573">
        <f>IF(ISBLANK('Data Entry'!$ $573), "", 'Data Entry'!$ $573)</f>
      </c>
      <c r="CS573">
        <f>IF(ISBLANK('Data Entry'!$¡$573), "", 'Data Entry'!$¡$573)</f>
      </c>
      <c r="CT573">
        <f>IF(ISBLANK('Data Entry'!$¢$573), "", 'Data Entry'!$¢$573)</f>
      </c>
      <c r="CU573">
        <f>IF(ISBLANK('Data Entry'!$£$573), "", 'Data Entry'!$£$573)</f>
      </c>
      <c r="CV573">
        <f>IF(ISBLANK('Data Entry'!$¤$573), "", 'Data Entry'!$¤$573)</f>
      </c>
      <c r="CW573">
        <f>IF(ISBLANK('Data Entry'!$¥$573), "", 'Data Entry'!$¥$573)</f>
      </c>
      <c r="CX573">
        <f>IF(ISBLANK('Data Entry'!$¦$573), "", 'Data Entry'!$¦$573)</f>
      </c>
      <c r="CY573">
        <f>IF(ISBLANK('Data Entry'!$§$573), "", 'Data Entry'!$§$573)</f>
      </c>
      <c r="CZ573">
        <f>IF(ISBLANK('Data Entry'!$¨$573), "", 'Data Entry'!$¨$573)</f>
      </c>
      <c r="DA573">
        <f>IF(ISBLANK('Data Entry'!$©$573), "", 'Data Entry'!$©$573)</f>
      </c>
      <c r="DB573">
        <f>IF(ISBLANK('Data Entry'!$ª$573), "", 'Data Entry'!$ª$573)</f>
      </c>
      <c r="DC573">
        <f>IF(ISBLANK('Data Entry'!$«$573), "", 'Data Entry'!$«$573)</f>
      </c>
      <c r="DD573">
        <f>IF(ISBLANK('Data Entry'!$¬$573), "", 'Data Entry'!$¬$573)</f>
      </c>
      <c r="DE573">
        <f>IF(ISBLANK('Data Entry'!$­$573), "", 'Data Entry'!$­$573)</f>
      </c>
      <c r="DF573">
        <f>IF(ISBLANK('Data Entry'!$®$573), "", 'Data Entry'!$®$573)</f>
      </c>
      <c r="DG573">
        <f>IF(ISBLANK('Data Entry'!$¯$573), "", 'Data Entry'!$¯$573)</f>
      </c>
      <c r="DH573">
        <f>IF(ISBLANK('Data Entry'!$°$573), "", 'Data Entry'!$°$573)</f>
      </c>
      <c r="DI573">
        <f>IF(ISBLANK('Data Entry'!$±$573), "", 'Data Entry'!$±$573)</f>
      </c>
      <c r="DJ573">
        <f>IF(ISBLANK('Data Entry'!$²$573), "", 'Data Entry'!$²$573)</f>
      </c>
      <c r="DK573">
        <f>IF(ISBLANK('Data Entry'!$³$573), "", 'Data Entry'!$³$573)</f>
      </c>
      <c r="DL573">
        <f>IF(ISBLANK('Data Entry'!$´$573), "", 'Data Entry'!$´$573)</f>
      </c>
      <c r="DM573">
        <f>IF(ISBLANK('Data Entry'!$µ$573), "", 'Data Entry'!$µ$573)</f>
      </c>
      <c r="DN573">
        <f>IF(ISBLANK('Data Entry'!$¶$573), "", 'Data Entry'!$¶$573)</f>
      </c>
      <c r="DO573">
        <f>IF(ISBLANK('Data Entry'!$·$573), "", 'Data Entry'!$·$573)</f>
      </c>
      <c r="DP573">
        <f>IF(ISBLANK('Data Entry'!$¸$573), "", 'Data Entry'!$¸$573)</f>
      </c>
      <c r="DQ573">
        <f>IF(ISBLANK('Data Entry'!$¹$573), "", 'Data Entry'!$¹$573)</f>
      </c>
      <c r="DR573">
        <f>IF(ISBLANK('Data Entry'!$º$573), "", 'Data Entry'!$º$573)</f>
      </c>
      <c r="DS573">
        <f>IF(ISBLANK('Data Entry'!$»$573), "", 'Data Entry'!$»$573)</f>
      </c>
      <c r="DT573">
        <f>IF(ISBLANK('Data Entry'!$¼$573), "", 'Data Entry'!$¼$573)</f>
      </c>
      <c r="DU573">
        <f>IF(ISBLANK('Data Entry'!$½$573), "", 'Data Entry'!$½$573)</f>
      </c>
      <c r="DV573">
        <f>IF(ISBLANK('Data Entry'!$¾$573), "", 'Data Entry'!$¾$573)</f>
      </c>
      <c r="DW573">
        <f>IF(ISBLANK('Data Entry'!$¿$573), "", 'Data Entry'!$¿$573)</f>
      </c>
      <c r="DX573">
        <f>IF(ISBLANK('Data Entry'!$À$573), "", 'Data Entry'!$À$573)</f>
      </c>
      <c r="DY573">
        <f>IF(ISBLANK('Data Entry'!$Á$573), "", 'Data Entry'!$Á$573)</f>
      </c>
      <c r="DZ573">
        <f>IF(ISBLANK('Data Entry'!$Â$573), "", 'Data Entry'!$Â$573)</f>
      </c>
      <c r="EA573">
        <f>IF(ISBLANK('Data Entry'!$Ã$573), "", 'Data Entry'!$Ã$573)</f>
      </c>
      <c r="EB573">
        <f>IF(ISBLANK('Data Entry'!$Ä$573), "", 'Data Entry'!$Ä$573)</f>
      </c>
      <c r="EC573">
        <f>IF(ISBLANK('Data Entry'!$Å$573), "", 'Data Entry'!$Å$573)</f>
      </c>
      <c r="ED573">
        <f>IF(ISBLANK('Data Entry'!$Æ$573), "", 'Data Entry'!$Æ$573)</f>
      </c>
      <c r="EE573">
        <f>IF(ISBLANK('Data Entry'!$Ç$573), "", 'Data Entry'!$Ç$573)</f>
      </c>
      <c r="EF573">
        <f>IF(ISBLANK('Data Entry'!$È$573), "", 'Data Entry'!$È$573)</f>
      </c>
      <c r="EG573">
        <f>IF(ISBLANK('Data Entry'!$É$573), "", 'Data Entry'!$É$573)</f>
      </c>
      <c r="EH573">
        <f>IF(ISBLANK('Data Entry'!$Ê$573), "", 'Data Entry'!$Ê$573)</f>
      </c>
      <c r="EI573">
        <f>IF(ISBLANK('Data Entry'!$Ë$573), "", 'Data Entry'!$Ë$573)</f>
      </c>
      <c r="EJ573">
        <f>IF(ISBLANK('Data Entry'!$Ì$573), "", 'Data Entry'!$Ì$573)</f>
      </c>
      <c r="EK573">
        <f>IF(ISBLANK('Data Entry'!$Í$573), "", 'Data Entry'!$Í$573)</f>
      </c>
      <c r="EL573">
        <f>IF(ISBLANK('Data Entry'!$Î$573), "", 'Data Entry'!$Î$573)</f>
      </c>
      <c r="EM573">
        <f>IF(ISBLANK('Data Entry'!$Ï$573), "", 'Data Entry'!$Ï$573)</f>
      </c>
      <c r="EN573">
        <f>IF(ISBLANK('Data Entry'!$Ð$573), "", 'Data Entry'!$Ð$573)</f>
      </c>
      <c r="EO573">
        <f>IF(ISBLANK('Data Entry'!$Ñ$573), "", 'Data Entry'!$Ñ$573)</f>
      </c>
      <c r="EP573">
        <f>IF(ISBLANK('Data Entry'!$Ò$573), "", 'Data Entry'!$Ò$573)</f>
      </c>
      <c r="EQ573">
        <f>IF(ISBLANK('Data Entry'!$Ó$573), "", 'Data Entry'!$Ó$573)</f>
      </c>
      <c r="ER573">
        <f>IF(ISBLANK('Data Entry'!$Ô$573), "", 'Data Entry'!$Ô$573)</f>
      </c>
      <c r="ES573">
        <f>IF(ISBLANK('Data Entry'!$Õ$573), "", 'Data Entry'!$Õ$573)</f>
      </c>
      <c r="ET573">
        <f>IF(ISBLANK('Data Entry'!$Ö$573), "", 'Data Entry'!$Ö$573)</f>
      </c>
      <c r="EU573">
        <f>IF(ISBLANK('Data Entry'!$×$573), "", 'Data Entry'!$×$573)</f>
      </c>
      <c r="EV573">
        <f>IF(ISBLANK('Data Entry'!$Ø$573), "", 'Data Entry'!$Ø$573)</f>
      </c>
      <c r="EW573">
        <f>IF(ISBLANK('Data Entry'!$Ù$573), "", 'Data Entry'!$Ù$573)</f>
      </c>
      <c r="EX573">
        <f>IF(ISBLANK('Data Entry'!$Ú$573), "", 'Data Entry'!$Ú$573)</f>
      </c>
      <c r="EY573">
        <f>IF(ISBLANK('Data Entry'!$Û$573), "", 'Data Entry'!$Û$573)</f>
      </c>
      <c r="EZ573">
        <f>IF(ISBLANK('Data Entry'!$Ü$573), "", 'Data Entry'!$Ü$573)</f>
      </c>
      <c r="FA573">
        <f>IF(ISBLANK('Data Entry'!$Ý$573), "", 'Data Entry'!$Ý$573)</f>
      </c>
      <c r="FB573">
        <f>IF(ISBLANK('Data Entry'!$Þ$573), "", 'Data Entry'!$Þ$573)</f>
      </c>
      <c r="FC573">
        <f>IF(ISBLANK('Data Entry'!$ß$573), "", 'Data Entry'!$ß$573)</f>
      </c>
      <c r="FD573">
        <f>IF(ISBLANK('Data Entry'!$à$573), "", 'Data Entry'!$à$573)</f>
      </c>
      <c r="FE573">
        <f>IF(ISBLANK('Data Entry'!$á$573), "", 'Data Entry'!$á$573)</f>
      </c>
      <c r="FF573">
        <f>IF(ISBLANK('Data Entry'!$â$573), "", 'Data Entry'!$â$573)</f>
      </c>
      <c r="FG573">
        <f>IF(ISBLANK('Data Entry'!$ã$573), "", 'Data Entry'!$ã$573)</f>
      </c>
      <c r="FH573">
        <f>IF(ISBLANK('Data Entry'!$ä$573), "", 'Data Entry'!$ä$573)</f>
      </c>
      <c r="FI573">
        <f>IF(ISBLANK('Data Entry'!$å$573), "", 'Data Entry'!$å$573)</f>
      </c>
      <c r="FJ573">
        <f>IF(ISBLANK('Data Entry'!$æ$573), "", 'Data Entry'!$æ$573)</f>
      </c>
      <c r="FK573">
        <f>IF(ISBLANK('Data Entry'!$ç$573), "", 'Data Entry'!$ç$573)</f>
      </c>
      <c r="FL573">
        <f>IF(ISBLANK('Data Entry'!$è$573), "", 'Data Entry'!$è$573)</f>
      </c>
      <c r="FM573">
        <f>IF(ISBLANK('Data Entry'!$é$573), "", 'Data Entry'!$é$573)</f>
      </c>
      <c r="FN573">
        <f>IF(ISBLANK('Data Entry'!$ê$573), "", 'Data Entry'!$ê$573)</f>
      </c>
      <c r="FO573">
        <f>IF(ISBLANK('Data Entry'!$ë$573), "", 'Data Entry'!$ë$573)</f>
      </c>
      <c r="FP573">
        <f>IF(ISBLANK('Data Entry'!$ì$573), "", 'Data Entry'!$ì$573)</f>
      </c>
      <c r="FQ573">
        <f>IF(ISBLANK('Data Entry'!$í$573), "", 'Data Entry'!$í$573)</f>
      </c>
      <c r="FR573">
        <f>IF(ISBLANK('Data Entry'!$î$573), "", 'Data Entry'!$î$573)</f>
      </c>
      <c r="FS573">
        <f>IF(ISBLANK('Data Entry'!$ï$573), "", 'Data Entry'!$ï$573)</f>
      </c>
      <c r="FT573">
        <f>IF(ISBLANK('Data Entry'!$ð$573), "", 'Data Entry'!$ð$573)</f>
      </c>
      <c r="FU573">
        <f>IF(ISBLANK('Data Entry'!$ñ$573), "", 'Data Entry'!$ñ$573)</f>
      </c>
      <c r="FV573">
        <f>IF(ISBLANK('Data Entry'!$ò$573), "", 'Data Entry'!$ò$573)</f>
      </c>
      <c r="FW573">
        <f>IF(ISBLANK('Data Entry'!$ó$573), "", 'Data Entry'!$ó$573)</f>
      </c>
      <c r="FX573">
        <f>IF(ISBLANK('Data Entry'!$ô$573), "", 'Data Entry'!$ô$573)</f>
      </c>
      <c r="FY573">
        <f>IF(ISBLANK('Data Entry'!$õ$573), "", 'Data Entry'!$õ$573)</f>
      </c>
      <c r="FZ573">
        <f>IF(ISBLANK('Data Entry'!$ö$573), "", 'Data Entry'!$ö$573)</f>
      </c>
      <c r="GA573">
        <f>IF(ISBLANK('Data Entry'!$÷$573), "", 'Data Entry'!$÷$573)</f>
      </c>
      <c r="GB573">
        <f>IF(ISBLANK('Data Entry'!$ø$573), "", 'Data Entry'!$ø$573)</f>
      </c>
      <c r="GC573">
        <f>IF(ISBLANK('Data Entry'!$ù$573), "", 'Data Entry'!$ù$573)</f>
      </c>
      <c r="GD573">
        <f>IF(ISBLANK('Data Entry'!$ú$573), "", 'Data Entry'!$ú$573)</f>
      </c>
      <c r="GE573">
        <f>IF(ISBLANK('Data Entry'!$û$573), "", 'Data Entry'!$û$573)</f>
      </c>
      <c r="GF573">
        <f>IF(ISBLANK('Data Entry'!$ü$573), "", 'Data Entry'!$ü$573)</f>
      </c>
      <c r="GG573">
        <f>IF(ISBLANK('Data Entry'!$ý$573), "", 'Data Entry'!$ý$573)</f>
      </c>
      <c r="GH573">
        <f>IF(ISBLANK('Data Entry'!$þ$573), "", 'Data Entry'!$þ$573)</f>
      </c>
      <c r="GI573">
        <f>IF(ISBLANK('Data Entry'!$ÿ$573), "", 'Data Entry'!$ÿ$573)</f>
      </c>
      <c r="GJ573">
        <f>IF(ISBLANK('Data Entry'!$Ā$573), "", 'Data Entry'!$Ā$573)</f>
      </c>
      <c r="GK573">
        <f>IF(ISBLANK('Data Entry'!$ā$573), "", 'Data Entry'!$ā$573)</f>
      </c>
      <c r="GL573">
        <f>IF(ISBLANK('Data Entry'!$Ă$573), "", 'Data Entry'!$Ă$573)</f>
      </c>
      <c r="GM573">
        <f>IF(ISBLANK('Data Entry'!$ă$573), "", 'Data Entry'!$ă$573)</f>
      </c>
      <c r="GN573">
        <f>IF(ISBLANK('Data Entry'!$Ą$573), "", 'Data Entry'!$Ą$573)</f>
      </c>
      <c r="GO573">
        <f>IF(ISBLANK('Data Entry'!$ą$573), "", 'Data Entry'!$ą$573)</f>
      </c>
      <c r="GP573">
        <f>IF(ISBLANK('Data Entry'!$Ć$573), "", 'Data Entry'!$Ć$573)</f>
      </c>
      <c r="GQ573">
        <f>IF(ISBLANK('Data Entry'!$ć$573), "", 'Data Entry'!$ć$573)</f>
      </c>
      <c r="GR573">
        <f>IF(ISBLANK('Data Entry'!$Ĉ$573), "", 'Data Entry'!$Ĉ$573)</f>
      </c>
      <c r="GS573">
        <f>IF(ISBLANK('Data Entry'!$ĉ$573), "", 'Data Entry'!$ĉ$573)</f>
      </c>
      <c r="GT573">
        <f>IF(ISBLANK('Data Entry'!$Ċ$573), "", 'Data Entry'!$Ċ$573)</f>
      </c>
      <c r="GU573">
        <f>IF(ISBLANK('Data Entry'!$ċ$573), "", 'Data Entry'!$ċ$573)</f>
      </c>
      <c r="GV573">
        <f>IF(ISBLANK('Data Entry'!$Č$573), "", 'Data Entry'!$Č$573)</f>
      </c>
      <c r="GW573">
        <f>IF(ISBLANK('Data Entry'!$č$573), "", 'Data Entry'!$č$573)</f>
      </c>
      <c r="GX573">
        <f>IF(ISBLANK('Data Entry'!$Ď$573), "", 'Data Entry'!$Ď$573)</f>
      </c>
      <c r="GY573">
        <f>IF(ISBLANK('Data Entry'!$ď$573), "", 'Data Entry'!$ď$573)</f>
      </c>
      <c r="GZ573">
        <f>IF(ISBLANK('Data Entry'!$Đ$573), "", 'Data Entry'!$Đ$573)</f>
      </c>
      <c r="HA573">
        <f>IF(ISBLANK('Data Entry'!$đ$573), "", 'Data Entry'!$đ$573)</f>
      </c>
      <c r="HB573">
        <f>IF(ISBLANK('Data Entry'!$Ē$573), "", 'Data Entry'!$Ē$573)</f>
      </c>
      <c r="HC573">
        <f>IF(ISBLANK('Data Entry'!$ē$573), "", 'Data Entry'!$ē$573)</f>
      </c>
      <c r="HD573">
        <f>IF(ISBLANK('Data Entry'!$Ĕ$573), "", 'Data Entry'!$Ĕ$573)</f>
      </c>
      <c r="HE573">
        <f>IF(ISBLANK('Data Entry'!$ĕ$573), "", 'Data Entry'!$ĕ$573)</f>
      </c>
      <c r="HF573">
        <f>IF(ISBLANK('Data Entry'!$Ė$573), "", 'Data Entry'!$Ė$573)</f>
      </c>
      <c r="HG573">
        <f>IF(ISBLANK('Data Entry'!$ė$573), "", 'Data Entry'!$ė$573)</f>
      </c>
      <c r="HH573">
        <f>IF(ISBLANK('Data Entry'!$Ę$573), "", 'Data Entry'!$Ę$573)</f>
      </c>
      <c r="HI573">
        <f>IF(ISBLANK('Data Entry'!$ę$573), "", 'Data Entry'!$ę$573)</f>
      </c>
      <c r="HJ573">
        <f>IF(ISBLANK('Data Entry'!$Ě$573), "", 'Data Entry'!$Ě$573)</f>
      </c>
      <c r="HK573">
        <f>IF(ISBLANK('Data Entry'!$ě$573), "", 'Data Entry'!$ě$573)</f>
      </c>
      <c r="HL573">
        <f>IF(ISBLANK('Data Entry'!$Ĝ$573), "", 'Data Entry'!$Ĝ$573)</f>
      </c>
      <c r="HM573">
        <f>IF(ISBLANK('Data Entry'!$ĝ$573), "", 'Data Entry'!$ĝ$573)</f>
      </c>
      <c r="HN573">
        <f>IF(ISBLANK('Data Entry'!$Ğ$573), "", 'Data Entry'!$Ğ$573)</f>
      </c>
      <c r="HO573">
        <f>IF(ISBLANK('Data Entry'!$ğ$573), "", 'Data Entry'!$ğ$573)</f>
      </c>
      <c r="HP573">
        <f>IF(ISBLANK('Data Entry'!$Ġ$573), "", 'Data Entry'!$Ġ$573)</f>
      </c>
      <c r="HQ573">
        <f>IF(ISBLANK('Data Entry'!$ġ$573), "", 'Data Entry'!$ġ$573)</f>
      </c>
      <c r="HR573">
        <f>IF(ISBLANK('Data Entry'!$Ģ$573), "", 'Data Entry'!$Ģ$573)</f>
      </c>
      <c r="HS573">
        <f>IF(ISBLANK('Data Entry'!$ģ$573), "", 'Data Entry'!$ģ$573)</f>
      </c>
      <c r="HT573">
        <f>IF(ISBLANK('Data Entry'!$Ĥ$573), "", 'Data Entry'!$Ĥ$573)</f>
      </c>
      <c r="HU573">
        <f>IF(ISBLANK('Data Entry'!$ĥ$573), "", 'Data Entry'!$ĥ$573)</f>
      </c>
      <c r="HV573">
        <f>IF(ISBLANK('Data Entry'!$Ħ$573), "", 'Data Entry'!$Ħ$573)</f>
      </c>
      <c r="HW573">
        <f>IF(ISBLANK('Data Entry'!$ħ$573), "", 'Data Entry'!$ħ$573)</f>
      </c>
      <c r="HX573">
        <f>IF(ISBLANK('Data Entry'!$Ĩ$573), "", 'Data Entry'!$Ĩ$573)</f>
      </c>
      <c r="HY573">
        <f>IF(ISBLANK('Data Entry'!$ĩ$573), "", 'Data Entry'!$ĩ$573)</f>
      </c>
      <c r="HZ573">
        <f>IF(ISBLANK('Data Entry'!$Ī$573), "", 'Data Entry'!$Ī$573)</f>
      </c>
      <c r="IA573">
        <f>IF(ISBLANK('Data Entry'!$ī$573), "", 'Data Entry'!$ī$573)</f>
      </c>
      <c r="IB573">
        <f>IF(ISBLANK('Data Entry'!$Ĭ$573), "", 'Data Entry'!$Ĭ$573)</f>
      </c>
      <c r="IC573">
        <f>IF(ISBLANK('Data Entry'!$ĭ$573), "", 'Data Entry'!$ĭ$573)</f>
      </c>
      <c r="ID573">
        <f>IF(ISBLANK('Data Entry'!$Į$573), "", 'Data Entry'!$Į$573)</f>
      </c>
      <c r="IE573">
        <f>IF(ISBLANK('Data Entry'!$į$573), "", 'Data Entry'!$į$573)</f>
      </c>
      <c r="IF573">
        <f>IF(ISBLANK('Data Entry'!$İ$573), "", 'Data Entry'!$İ$573)</f>
      </c>
      <c r="IG573">
        <f>IF(ISBLANK('Data Entry'!$ı$573), "", 'Data Entry'!$ı$573)</f>
      </c>
      <c r="IH573">
        <f>IF(ISBLANK('Data Entry'!$Ĳ$573), "", 'Data Entry'!$Ĳ$573)</f>
      </c>
      <c r="II573">
        <f>IF(ISBLANK('Data Entry'!$ĳ$573), "", 'Data Entry'!$ĳ$573)</f>
      </c>
      <c r="IJ573">
        <f>IF(ISBLANK('Data Entry'!$Ĵ$573), "", 'Data Entry'!$Ĵ$573)</f>
      </c>
      <c r="IK573">
        <f>IF(ISBLANK('Data Entry'!$ĵ$573), "", 'Data Entry'!$ĵ$573)</f>
      </c>
      <c r="IL573">
        <f>IF(ISBLANK('Data Entry'!$Ķ$573), "", 'Data Entry'!$Ķ$573)</f>
      </c>
      <c r="IM573">
        <f>IF(ISBLANK('Data Entry'!$ķ$573), "", 'Data Entry'!$ķ$573)</f>
      </c>
      <c r="IN573">
        <f>IF(ISBLANK('Data Entry'!$ĸ$573), "", 'Data Entry'!$ĸ$573)</f>
      </c>
      <c r="IO573">
        <f>IF(ISBLANK('Data Entry'!$Ĺ$573), "", 'Data Entry'!$Ĺ$573)</f>
      </c>
      <c r="IP573">
        <f>IF(ISBLANK('Data Entry'!$ĺ$573), "", 'Data Entry'!$ĺ$573)</f>
      </c>
      <c r="IQ573">
        <f>IF(ISBLANK('Data Entry'!$Ļ$573), "", 'Data Entry'!$Ļ$573)</f>
      </c>
      <c r="IR573">
        <f>IF(ISBLANK('Data Entry'!$ļ$573), "", 'Data Entry'!$ļ$573)</f>
      </c>
      <c r="IS573">
        <f>IF(ISBLANK('Data Entry'!$Ľ$573), "", 'Data Entry'!$Ľ$573)</f>
      </c>
      <c r="IT573">
        <f>IF(ISBLANK('Data Entry'!$ľ$573), "", 'Data Entry'!$ľ$573)</f>
      </c>
    </row>
    <row r="574" spans="1:254" x14ac:dyDescent="0.25">
      <c r="A574">
        <f>IF(ISBLANK('Data Entry'!$A$574), "", 'Data Entry'!$A$574)</f>
      </c>
      <c r="B574">
        <f>IF(ISBLANK('Data Entry'!$B$574), "", 'Data Entry'!$B$574)</f>
      </c>
      <c r="C574">
        <f>IF(ISBLANK('Data Entry'!$C$574), "", 'Data Entry'!$C$574)</f>
      </c>
      <c r="D574">
        <f>IF(ISBLANK('Data Entry'!$D$574), "", 'Data Entry'!$D$574)</f>
      </c>
      <c r="E574">
        <f>IF(ISBLANK('Data Entry'!$E$574), "", 'Data Entry'!$E$574)</f>
      </c>
      <c r="F574">
        <f>IF(ISBLANK('Data Entry'!$F$574), "", 'Data Entry'!$F$574)</f>
      </c>
      <c r="G574">
        <f>IF(ISBLANK('Data Entry'!$G$574), "", 'Data Entry'!$G$574)</f>
      </c>
      <c r="H574">
        <f>IF(ISBLANK('Data Entry'!$H$574), "", 'Data Entry'!$H$574)</f>
      </c>
      <c r="I574">
        <f>IF(ISBLANK('Data Entry'!$I$574), "", 'Data Entry'!$I$574)</f>
      </c>
      <c r="J574">
        <f>IF(ISBLANK('Data Entry'!$J$574), "", 'Data Entry'!$J$574)</f>
      </c>
      <c r="K574">
        <f>IF(ISBLANK('Data Entry'!$K$574), "", 'Data Entry'!$K$574)</f>
      </c>
      <c r="L574">
        <f>IF(ISBLANK('Data Entry'!$L$574), "", 'Data Entry'!$L$574)</f>
      </c>
      <c r="M574">
        <f>IF(ISBLANK('Data Entry'!$M$574), "", 'Data Entry'!$M$574)</f>
      </c>
      <c r="N574">
        <f>IF(ISBLANK('Data Entry'!$N$574), "", 'Data Entry'!$N$574)</f>
      </c>
      <c r="O574">
        <f>IF(ISBLANK('Data Entry'!$O$574), "", 'Data Entry'!$O$574)</f>
      </c>
      <c r="P574">
        <f>IF(ISBLANK('Data Entry'!$P$574), "", 'Data Entry'!$P$574)</f>
      </c>
      <c r="Q574">
        <f>IF(ISBLANK('Data Entry'!$Q$574), "", 'Data Entry'!$Q$574)</f>
      </c>
      <c r="R574">
        <f>IF(ISBLANK('Data Entry'!$R$574), "", 'Data Entry'!$R$574)</f>
      </c>
      <c r="S574">
        <f>IF(ISBLANK('Data Entry'!$S$574), "", 'Data Entry'!$S$574)</f>
      </c>
      <c r="T574">
        <f>IF(ISBLANK('Data Entry'!$T$574), "", 'Data Entry'!$T$574)</f>
      </c>
      <c r="U574">
        <f>IF(ISBLANK('Data Entry'!$U$574), "", 'Data Entry'!$U$574)</f>
      </c>
      <c r="V574">
        <f>IF(ISBLANK('Data Entry'!$V$574), "", 'Data Entry'!$V$574)</f>
      </c>
      <c r="W574">
        <f>IF(ISBLANK('Data Entry'!$W$574), "", 'Data Entry'!$W$574)</f>
      </c>
      <c r="X574">
        <f>IF(ISBLANK('Data Entry'!$X$574), "", 'Data Entry'!$X$574)</f>
      </c>
      <c r="Y574">
        <f>IF(ISBLANK('Data Entry'!$Y$574), "", 'Data Entry'!$Y$574)</f>
      </c>
      <c r="Z574">
        <f>IF(ISBLANK('Data Entry'!$Z$574), "", 'Data Entry'!$Z$574)</f>
      </c>
      <c r="AA574">
        <f>IF(ISBLANK('Data Entry'!$[$574), "", 'Data Entry'!$[$574)</f>
      </c>
      <c r="AB574">
        <f>IF(ISBLANK('Data Entry'!$\$574), "", 'Data Entry'!$\$574)</f>
      </c>
      <c r="AC574">
        <f>IF(ISBLANK('Data Entry'!$]$574), "", 'Data Entry'!$]$574)</f>
      </c>
      <c r="AD574">
        <f>IF(ISBLANK('Data Entry'!$^$574), "", 'Data Entry'!$^$574)</f>
      </c>
      <c r="AE574">
        <f>IF(ISBLANK('Data Entry'!$_$574), "", 'Data Entry'!$_$574)</f>
      </c>
      <c r="AF574">
        <f>IF(ISBLANK('Data Entry'!$`$574), "", 'Data Entry'!$`$574)</f>
      </c>
      <c r="AG574">
        <f>IF(ISBLANK('Data Entry'!$a$574), "", 'Data Entry'!$a$574)</f>
      </c>
      <c r="AH574">
        <f>IF(ISBLANK('Data Entry'!$b$574), "", 'Data Entry'!$b$574)</f>
      </c>
      <c r="AI574">
        <f>IF(ISBLANK('Data Entry'!$c$574), "", 'Data Entry'!$c$574)</f>
      </c>
      <c r="AJ574">
        <f>IF(ISBLANK('Data Entry'!$d$574), "", 'Data Entry'!$d$574)</f>
      </c>
      <c r="AK574">
        <f>IF(ISBLANK('Data Entry'!$e$574), "", 'Data Entry'!$e$574)</f>
      </c>
      <c r="AL574">
        <f>IF(ISBLANK('Data Entry'!$f$574), "", 'Data Entry'!$f$574)</f>
      </c>
      <c r="AM574">
        <f>IF(ISBLANK('Data Entry'!$g$574), "", 'Data Entry'!$g$574)</f>
      </c>
      <c r="AN574">
        <f>IF(ISBLANK('Data Entry'!$h$574), "", 'Data Entry'!$h$574)</f>
      </c>
      <c r="AO574">
        <f>IF(ISBLANK('Data Entry'!$i$574), "", 'Data Entry'!$i$574)</f>
      </c>
      <c r="AP574">
        <f>IF(ISBLANK('Data Entry'!$j$574), "", 'Data Entry'!$j$574)</f>
      </c>
      <c r="AQ574">
        <f>IF(ISBLANK('Data Entry'!$k$574), "", 'Data Entry'!$k$574)</f>
      </c>
      <c r="AR574">
        <f>IF(ISBLANK('Data Entry'!$l$574), "", 'Data Entry'!$l$574)</f>
      </c>
      <c r="AS574">
        <f>IF(ISBLANK('Data Entry'!$m$574), "", 'Data Entry'!$m$574)</f>
      </c>
      <c r="AT574">
        <f>IF(ISBLANK('Data Entry'!$n$574), "", 'Data Entry'!$n$574)</f>
      </c>
      <c r="AU574">
        <f>IF(ISBLANK('Data Entry'!$o$574), "", 'Data Entry'!$o$574)</f>
      </c>
      <c r="AV574">
        <f>IF(ISBLANK('Data Entry'!$p$574), "", 'Data Entry'!$p$574)</f>
      </c>
      <c r="AW574">
        <f>IF(ISBLANK('Data Entry'!$q$574), "", 'Data Entry'!$q$574)</f>
      </c>
      <c r="AX574">
        <f>IF(ISBLANK('Data Entry'!$r$574), "", 'Data Entry'!$r$574)</f>
      </c>
      <c r="AY574">
        <f>IF(ISBLANK('Data Entry'!$s$574), "", 'Data Entry'!$s$574)</f>
      </c>
      <c r="AZ574">
        <f>IF(ISBLANK('Data Entry'!$t$574), "", 'Data Entry'!$t$574)</f>
      </c>
      <c r="BA574">
        <f>IF(ISBLANK('Data Entry'!$u$574), "", 'Data Entry'!$u$574)</f>
      </c>
      <c r="BB574">
        <f>IF(ISBLANK('Data Entry'!$v$574), "", 'Data Entry'!$v$574)</f>
      </c>
      <c r="BC574">
        <f>IF(ISBLANK('Data Entry'!$w$574), "", 'Data Entry'!$w$574)</f>
      </c>
      <c r="BD574">
        <f>IF(ISBLANK('Data Entry'!$x$574), "", 'Data Entry'!$x$574)</f>
      </c>
      <c r="BE574">
        <f>IF(ISBLANK('Data Entry'!$y$574), "", 'Data Entry'!$y$574)</f>
      </c>
      <c r="BF574">
        <f>IF(ISBLANK('Data Entry'!$z$574), "", 'Data Entry'!$z$574)</f>
      </c>
      <c r="BG574">
        <f>IF(ISBLANK('Data Entry'!${$574), "", 'Data Entry'!${$574)</f>
      </c>
      <c r="BH574">
        <f>IF(ISBLANK('Data Entry'!$|$574), "", 'Data Entry'!$|$574)</f>
      </c>
      <c r="BI574">
        <f>IF(ISBLANK('Data Entry'!$}$574), "", 'Data Entry'!$}$574)</f>
      </c>
      <c r="BJ574">
        <f>IF(ISBLANK('Data Entry'!$~$574), "", 'Data Entry'!$~$574)</f>
      </c>
      <c r="BK574">
        <f>IF(ISBLANK('Data Entry'!$$574), "", 'Data Entry'!$$574)</f>
      </c>
      <c r="BL574">
        <f>IF(ISBLANK('Data Entry'!$$574), "", 'Data Entry'!$$574)</f>
      </c>
      <c r="BM574">
        <f>IF(ISBLANK('Data Entry'!$$574), "", 'Data Entry'!$$574)</f>
      </c>
      <c r="BN574">
        <f>IF(ISBLANK('Data Entry'!$$574), "", 'Data Entry'!$$574)</f>
      </c>
      <c r="BO574">
        <f>IF(ISBLANK('Data Entry'!$$574), "", 'Data Entry'!$$574)</f>
      </c>
      <c r="BP574">
        <f>IF(ISBLANK('Data Entry'!$$574), "", 'Data Entry'!$$574)</f>
      </c>
      <c r="BQ574">
        <f>IF(ISBLANK('Data Entry'!$$574), "", 'Data Entry'!$$574)</f>
      </c>
      <c r="BR574">
        <f>IF(ISBLANK('Data Entry'!$$574), "", 'Data Entry'!$$574)</f>
      </c>
      <c r="BS574">
        <f>IF(ISBLANK('Data Entry'!$$574), "", 'Data Entry'!$$574)</f>
      </c>
      <c r="BT574">
        <f>IF(ISBLANK('Data Entry'!$$574), "", 'Data Entry'!$$574)</f>
      </c>
      <c r="BU574">
        <f>IF(ISBLANK('Data Entry'!$$574), "", 'Data Entry'!$$574)</f>
      </c>
      <c r="BV574">
        <f>IF(ISBLANK('Data Entry'!$$574), "", 'Data Entry'!$$574)</f>
      </c>
      <c r="BW574">
        <f>IF(ISBLANK('Data Entry'!$$574), "", 'Data Entry'!$$574)</f>
      </c>
      <c r="BX574">
        <f>IF(ISBLANK('Data Entry'!$$574), "", 'Data Entry'!$$574)</f>
      </c>
      <c r="BY574">
        <f>IF(ISBLANK('Data Entry'!$$574), "", 'Data Entry'!$$574)</f>
      </c>
      <c r="BZ574">
        <f>IF(ISBLANK('Data Entry'!$$574), "", 'Data Entry'!$$574)</f>
      </c>
      <c r="CA574">
        <f>IF(ISBLANK('Data Entry'!$$574), "", 'Data Entry'!$$574)</f>
      </c>
      <c r="CB574">
        <f>IF(ISBLANK('Data Entry'!$$574), "", 'Data Entry'!$$574)</f>
      </c>
      <c r="CC574">
        <f>IF(ISBLANK('Data Entry'!$$574), "", 'Data Entry'!$$574)</f>
      </c>
      <c r="CD574">
        <f>IF(ISBLANK('Data Entry'!$$574), "", 'Data Entry'!$$574)</f>
      </c>
      <c r="CE574">
        <f>IF(ISBLANK('Data Entry'!$$574), "", 'Data Entry'!$$574)</f>
      </c>
      <c r="CF574">
        <f>IF(ISBLANK('Data Entry'!$$574), "", 'Data Entry'!$$574)</f>
      </c>
      <c r="CG574">
        <f>IF(ISBLANK('Data Entry'!$$574), "", 'Data Entry'!$$574)</f>
      </c>
      <c r="CH574">
        <f>IF(ISBLANK('Data Entry'!$$574), "", 'Data Entry'!$$574)</f>
      </c>
      <c r="CI574">
        <f>IF(ISBLANK('Data Entry'!$$574), "", 'Data Entry'!$$574)</f>
      </c>
      <c r="CJ574">
        <f>IF(ISBLANK('Data Entry'!$$574), "", 'Data Entry'!$$574)</f>
      </c>
      <c r="CK574">
        <f>IF(ISBLANK('Data Entry'!$$574), "", 'Data Entry'!$$574)</f>
      </c>
      <c r="CL574">
        <f>IF(ISBLANK('Data Entry'!$$574), "", 'Data Entry'!$$574)</f>
      </c>
      <c r="CM574">
        <f>IF(ISBLANK('Data Entry'!$$574), "", 'Data Entry'!$$574)</f>
      </c>
      <c r="CN574">
        <f>IF(ISBLANK('Data Entry'!$$574), "", 'Data Entry'!$$574)</f>
      </c>
      <c r="CO574">
        <f>IF(ISBLANK('Data Entry'!$$574), "", 'Data Entry'!$$574)</f>
      </c>
      <c r="CP574">
        <f>IF(ISBLANK('Data Entry'!$$574), "", 'Data Entry'!$$574)</f>
      </c>
      <c r="CQ574">
        <f>IF(ISBLANK('Data Entry'!$$574), "", 'Data Entry'!$$574)</f>
      </c>
      <c r="CR574">
        <f>IF(ISBLANK('Data Entry'!$ $574), "", 'Data Entry'!$ $574)</f>
      </c>
      <c r="CS574">
        <f>IF(ISBLANK('Data Entry'!$¡$574), "", 'Data Entry'!$¡$574)</f>
      </c>
      <c r="CT574">
        <f>IF(ISBLANK('Data Entry'!$¢$574), "", 'Data Entry'!$¢$574)</f>
      </c>
      <c r="CU574">
        <f>IF(ISBLANK('Data Entry'!$£$574), "", 'Data Entry'!$£$574)</f>
      </c>
      <c r="CV574">
        <f>IF(ISBLANK('Data Entry'!$¤$574), "", 'Data Entry'!$¤$574)</f>
      </c>
      <c r="CW574">
        <f>IF(ISBLANK('Data Entry'!$¥$574), "", 'Data Entry'!$¥$574)</f>
      </c>
      <c r="CX574">
        <f>IF(ISBLANK('Data Entry'!$¦$574), "", 'Data Entry'!$¦$574)</f>
      </c>
      <c r="CY574">
        <f>IF(ISBLANK('Data Entry'!$§$574), "", 'Data Entry'!$§$574)</f>
      </c>
      <c r="CZ574">
        <f>IF(ISBLANK('Data Entry'!$¨$574), "", 'Data Entry'!$¨$574)</f>
      </c>
      <c r="DA574">
        <f>IF(ISBLANK('Data Entry'!$©$574), "", 'Data Entry'!$©$574)</f>
      </c>
      <c r="DB574">
        <f>IF(ISBLANK('Data Entry'!$ª$574), "", 'Data Entry'!$ª$574)</f>
      </c>
      <c r="DC574">
        <f>IF(ISBLANK('Data Entry'!$«$574), "", 'Data Entry'!$«$574)</f>
      </c>
      <c r="DD574">
        <f>IF(ISBLANK('Data Entry'!$¬$574), "", 'Data Entry'!$¬$574)</f>
      </c>
      <c r="DE574">
        <f>IF(ISBLANK('Data Entry'!$­$574), "", 'Data Entry'!$­$574)</f>
      </c>
      <c r="DF574">
        <f>IF(ISBLANK('Data Entry'!$®$574), "", 'Data Entry'!$®$574)</f>
      </c>
      <c r="DG574">
        <f>IF(ISBLANK('Data Entry'!$¯$574), "", 'Data Entry'!$¯$574)</f>
      </c>
      <c r="DH574">
        <f>IF(ISBLANK('Data Entry'!$°$574), "", 'Data Entry'!$°$574)</f>
      </c>
      <c r="DI574">
        <f>IF(ISBLANK('Data Entry'!$±$574), "", 'Data Entry'!$±$574)</f>
      </c>
      <c r="DJ574">
        <f>IF(ISBLANK('Data Entry'!$²$574), "", 'Data Entry'!$²$574)</f>
      </c>
      <c r="DK574">
        <f>IF(ISBLANK('Data Entry'!$³$574), "", 'Data Entry'!$³$574)</f>
      </c>
      <c r="DL574">
        <f>IF(ISBLANK('Data Entry'!$´$574), "", 'Data Entry'!$´$574)</f>
      </c>
      <c r="DM574">
        <f>IF(ISBLANK('Data Entry'!$µ$574), "", 'Data Entry'!$µ$574)</f>
      </c>
      <c r="DN574">
        <f>IF(ISBLANK('Data Entry'!$¶$574), "", 'Data Entry'!$¶$574)</f>
      </c>
      <c r="DO574">
        <f>IF(ISBLANK('Data Entry'!$·$574), "", 'Data Entry'!$·$574)</f>
      </c>
      <c r="DP574">
        <f>IF(ISBLANK('Data Entry'!$¸$574), "", 'Data Entry'!$¸$574)</f>
      </c>
      <c r="DQ574">
        <f>IF(ISBLANK('Data Entry'!$¹$574), "", 'Data Entry'!$¹$574)</f>
      </c>
      <c r="DR574">
        <f>IF(ISBLANK('Data Entry'!$º$574), "", 'Data Entry'!$º$574)</f>
      </c>
      <c r="DS574">
        <f>IF(ISBLANK('Data Entry'!$»$574), "", 'Data Entry'!$»$574)</f>
      </c>
      <c r="DT574">
        <f>IF(ISBLANK('Data Entry'!$¼$574), "", 'Data Entry'!$¼$574)</f>
      </c>
      <c r="DU574">
        <f>IF(ISBLANK('Data Entry'!$½$574), "", 'Data Entry'!$½$574)</f>
      </c>
      <c r="DV574">
        <f>IF(ISBLANK('Data Entry'!$¾$574), "", 'Data Entry'!$¾$574)</f>
      </c>
      <c r="DW574">
        <f>IF(ISBLANK('Data Entry'!$¿$574), "", 'Data Entry'!$¿$574)</f>
      </c>
      <c r="DX574">
        <f>IF(ISBLANK('Data Entry'!$À$574), "", 'Data Entry'!$À$574)</f>
      </c>
      <c r="DY574">
        <f>IF(ISBLANK('Data Entry'!$Á$574), "", 'Data Entry'!$Á$574)</f>
      </c>
      <c r="DZ574">
        <f>IF(ISBLANK('Data Entry'!$Â$574), "", 'Data Entry'!$Â$574)</f>
      </c>
      <c r="EA574">
        <f>IF(ISBLANK('Data Entry'!$Ã$574), "", 'Data Entry'!$Ã$574)</f>
      </c>
      <c r="EB574">
        <f>IF(ISBLANK('Data Entry'!$Ä$574), "", 'Data Entry'!$Ä$574)</f>
      </c>
      <c r="EC574">
        <f>IF(ISBLANK('Data Entry'!$Å$574), "", 'Data Entry'!$Å$574)</f>
      </c>
      <c r="ED574">
        <f>IF(ISBLANK('Data Entry'!$Æ$574), "", 'Data Entry'!$Æ$574)</f>
      </c>
      <c r="EE574">
        <f>IF(ISBLANK('Data Entry'!$Ç$574), "", 'Data Entry'!$Ç$574)</f>
      </c>
      <c r="EF574">
        <f>IF(ISBLANK('Data Entry'!$È$574), "", 'Data Entry'!$È$574)</f>
      </c>
      <c r="EG574">
        <f>IF(ISBLANK('Data Entry'!$É$574), "", 'Data Entry'!$É$574)</f>
      </c>
      <c r="EH574">
        <f>IF(ISBLANK('Data Entry'!$Ê$574), "", 'Data Entry'!$Ê$574)</f>
      </c>
      <c r="EI574">
        <f>IF(ISBLANK('Data Entry'!$Ë$574), "", 'Data Entry'!$Ë$574)</f>
      </c>
      <c r="EJ574">
        <f>IF(ISBLANK('Data Entry'!$Ì$574), "", 'Data Entry'!$Ì$574)</f>
      </c>
      <c r="EK574">
        <f>IF(ISBLANK('Data Entry'!$Í$574), "", 'Data Entry'!$Í$574)</f>
      </c>
      <c r="EL574">
        <f>IF(ISBLANK('Data Entry'!$Î$574), "", 'Data Entry'!$Î$574)</f>
      </c>
      <c r="EM574">
        <f>IF(ISBLANK('Data Entry'!$Ï$574), "", 'Data Entry'!$Ï$574)</f>
      </c>
      <c r="EN574">
        <f>IF(ISBLANK('Data Entry'!$Ð$574), "", 'Data Entry'!$Ð$574)</f>
      </c>
      <c r="EO574">
        <f>IF(ISBLANK('Data Entry'!$Ñ$574), "", 'Data Entry'!$Ñ$574)</f>
      </c>
      <c r="EP574">
        <f>IF(ISBLANK('Data Entry'!$Ò$574), "", 'Data Entry'!$Ò$574)</f>
      </c>
      <c r="EQ574">
        <f>IF(ISBLANK('Data Entry'!$Ó$574), "", 'Data Entry'!$Ó$574)</f>
      </c>
      <c r="ER574">
        <f>IF(ISBLANK('Data Entry'!$Ô$574), "", 'Data Entry'!$Ô$574)</f>
      </c>
      <c r="ES574">
        <f>IF(ISBLANK('Data Entry'!$Õ$574), "", 'Data Entry'!$Õ$574)</f>
      </c>
      <c r="ET574">
        <f>IF(ISBLANK('Data Entry'!$Ö$574), "", 'Data Entry'!$Ö$574)</f>
      </c>
      <c r="EU574">
        <f>IF(ISBLANK('Data Entry'!$×$574), "", 'Data Entry'!$×$574)</f>
      </c>
      <c r="EV574">
        <f>IF(ISBLANK('Data Entry'!$Ø$574), "", 'Data Entry'!$Ø$574)</f>
      </c>
      <c r="EW574">
        <f>IF(ISBLANK('Data Entry'!$Ù$574), "", 'Data Entry'!$Ù$574)</f>
      </c>
      <c r="EX574">
        <f>IF(ISBLANK('Data Entry'!$Ú$574), "", 'Data Entry'!$Ú$574)</f>
      </c>
      <c r="EY574">
        <f>IF(ISBLANK('Data Entry'!$Û$574), "", 'Data Entry'!$Û$574)</f>
      </c>
      <c r="EZ574">
        <f>IF(ISBLANK('Data Entry'!$Ü$574), "", 'Data Entry'!$Ü$574)</f>
      </c>
      <c r="FA574">
        <f>IF(ISBLANK('Data Entry'!$Ý$574), "", 'Data Entry'!$Ý$574)</f>
      </c>
      <c r="FB574">
        <f>IF(ISBLANK('Data Entry'!$Þ$574), "", 'Data Entry'!$Þ$574)</f>
      </c>
      <c r="FC574">
        <f>IF(ISBLANK('Data Entry'!$ß$574), "", 'Data Entry'!$ß$574)</f>
      </c>
      <c r="FD574">
        <f>IF(ISBLANK('Data Entry'!$à$574), "", 'Data Entry'!$à$574)</f>
      </c>
      <c r="FE574">
        <f>IF(ISBLANK('Data Entry'!$á$574), "", 'Data Entry'!$á$574)</f>
      </c>
      <c r="FF574">
        <f>IF(ISBLANK('Data Entry'!$â$574), "", 'Data Entry'!$â$574)</f>
      </c>
      <c r="FG574">
        <f>IF(ISBLANK('Data Entry'!$ã$574), "", 'Data Entry'!$ã$574)</f>
      </c>
      <c r="FH574">
        <f>IF(ISBLANK('Data Entry'!$ä$574), "", 'Data Entry'!$ä$574)</f>
      </c>
      <c r="FI574">
        <f>IF(ISBLANK('Data Entry'!$å$574), "", 'Data Entry'!$å$574)</f>
      </c>
      <c r="FJ574">
        <f>IF(ISBLANK('Data Entry'!$æ$574), "", 'Data Entry'!$æ$574)</f>
      </c>
      <c r="FK574">
        <f>IF(ISBLANK('Data Entry'!$ç$574), "", 'Data Entry'!$ç$574)</f>
      </c>
      <c r="FL574">
        <f>IF(ISBLANK('Data Entry'!$è$574), "", 'Data Entry'!$è$574)</f>
      </c>
      <c r="FM574">
        <f>IF(ISBLANK('Data Entry'!$é$574), "", 'Data Entry'!$é$574)</f>
      </c>
      <c r="FN574">
        <f>IF(ISBLANK('Data Entry'!$ê$574), "", 'Data Entry'!$ê$574)</f>
      </c>
      <c r="FO574">
        <f>IF(ISBLANK('Data Entry'!$ë$574), "", 'Data Entry'!$ë$574)</f>
      </c>
      <c r="FP574">
        <f>IF(ISBLANK('Data Entry'!$ì$574), "", 'Data Entry'!$ì$574)</f>
      </c>
      <c r="FQ574">
        <f>IF(ISBLANK('Data Entry'!$í$574), "", 'Data Entry'!$í$574)</f>
      </c>
      <c r="FR574">
        <f>IF(ISBLANK('Data Entry'!$î$574), "", 'Data Entry'!$î$574)</f>
      </c>
      <c r="FS574">
        <f>IF(ISBLANK('Data Entry'!$ï$574), "", 'Data Entry'!$ï$574)</f>
      </c>
      <c r="FT574">
        <f>IF(ISBLANK('Data Entry'!$ð$574), "", 'Data Entry'!$ð$574)</f>
      </c>
      <c r="FU574">
        <f>IF(ISBLANK('Data Entry'!$ñ$574), "", 'Data Entry'!$ñ$574)</f>
      </c>
      <c r="FV574">
        <f>IF(ISBLANK('Data Entry'!$ò$574), "", 'Data Entry'!$ò$574)</f>
      </c>
      <c r="FW574">
        <f>IF(ISBLANK('Data Entry'!$ó$574), "", 'Data Entry'!$ó$574)</f>
      </c>
      <c r="FX574">
        <f>IF(ISBLANK('Data Entry'!$ô$574), "", 'Data Entry'!$ô$574)</f>
      </c>
      <c r="FY574">
        <f>IF(ISBLANK('Data Entry'!$õ$574), "", 'Data Entry'!$õ$574)</f>
      </c>
      <c r="FZ574">
        <f>IF(ISBLANK('Data Entry'!$ö$574), "", 'Data Entry'!$ö$574)</f>
      </c>
      <c r="GA574">
        <f>IF(ISBLANK('Data Entry'!$÷$574), "", 'Data Entry'!$÷$574)</f>
      </c>
      <c r="GB574">
        <f>IF(ISBLANK('Data Entry'!$ø$574), "", 'Data Entry'!$ø$574)</f>
      </c>
      <c r="GC574">
        <f>IF(ISBLANK('Data Entry'!$ù$574), "", 'Data Entry'!$ù$574)</f>
      </c>
      <c r="GD574">
        <f>IF(ISBLANK('Data Entry'!$ú$574), "", 'Data Entry'!$ú$574)</f>
      </c>
      <c r="GE574">
        <f>IF(ISBLANK('Data Entry'!$û$574), "", 'Data Entry'!$û$574)</f>
      </c>
      <c r="GF574">
        <f>IF(ISBLANK('Data Entry'!$ü$574), "", 'Data Entry'!$ü$574)</f>
      </c>
      <c r="GG574">
        <f>IF(ISBLANK('Data Entry'!$ý$574), "", 'Data Entry'!$ý$574)</f>
      </c>
      <c r="GH574">
        <f>IF(ISBLANK('Data Entry'!$þ$574), "", 'Data Entry'!$þ$574)</f>
      </c>
      <c r="GI574">
        <f>IF(ISBLANK('Data Entry'!$ÿ$574), "", 'Data Entry'!$ÿ$574)</f>
      </c>
      <c r="GJ574">
        <f>IF(ISBLANK('Data Entry'!$Ā$574), "", 'Data Entry'!$Ā$574)</f>
      </c>
      <c r="GK574">
        <f>IF(ISBLANK('Data Entry'!$ā$574), "", 'Data Entry'!$ā$574)</f>
      </c>
      <c r="GL574">
        <f>IF(ISBLANK('Data Entry'!$Ă$574), "", 'Data Entry'!$Ă$574)</f>
      </c>
      <c r="GM574">
        <f>IF(ISBLANK('Data Entry'!$ă$574), "", 'Data Entry'!$ă$574)</f>
      </c>
      <c r="GN574">
        <f>IF(ISBLANK('Data Entry'!$Ą$574), "", 'Data Entry'!$Ą$574)</f>
      </c>
      <c r="GO574">
        <f>IF(ISBLANK('Data Entry'!$ą$574), "", 'Data Entry'!$ą$574)</f>
      </c>
      <c r="GP574">
        <f>IF(ISBLANK('Data Entry'!$Ć$574), "", 'Data Entry'!$Ć$574)</f>
      </c>
      <c r="GQ574">
        <f>IF(ISBLANK('Data Entry'!$ć$574), "", 'Data Entry'!$ć$574)</f>
      </c>
      <c r="GR574">
        <f>IF(ISBLANK('Data Entry'!$Ĉ$574), "", 'Data Entry'!$Ĉ$574)</f>
      </c>
      <c r="GS574">
        <f>IF(ISBLANK('Data Entry'!$ĉ$574), "", 'Data Entry'!$ĉ$574)</f>
      </c>
      <c r="GT574">
        <f>IF(ISBLANK('Data Entry'!$Ċ$574), "", 'Data Entry'!$Ċ$574)</f>
      </c>
      <c r="GU574">
        <f>IF(ISBLANK('Data Entry'!$ċ$574), "", 'Data Entry'!$ċ$574)</f>
      </c>
      <c r="GV574">
        <f>IF(ISBLANK('Data Entry'!$Č$574), "", 'Data Entry'!$Č$574)</f>
      </c>
      <c r="GW574">
        <f>IF(ISBLANK('Data Entry'!$č$574), "", 'Data Entry'!$č$574)</f>
      </c>
      <c r="GX574">
        <f>IF(ISBLANK('Data Entry'!$Ď$574), "", 'Data Entry'!$Ď$574)</f>
      </c>
      <c r="GY574">
        <f>IF(ISBLANK('Data Entry'!$ď$574), "", 'Data Entry'!$ď$574)</f>
      </c>
      <c r="GZ574">
        <f>IF(ISBLANK('Data Entry'!$Đ$574), "", 'Data Entry'!$Đ$574)</f>
      </c>
      <c r="HA574">
        <f>IF(ISBLANK('Data Entry'!$đ$574), "", 'Data Entry'!$đ$574)</f>
      </c>
      <c r="HB574">
        <f>IF(ISBLANK('Data Entry'!$Ē$574), "", 'Data Entry'!$Ē$574)</f>
      </c>
      <c r="HC574">
        <f>IF(ISBLANK('Data Entry'!$ē$574), "", 'Data Entry'!$ē$574)</f>
      </c>
      <c r="HD574">
        <f>IF(ISBLANK('Data Entry'!$Ĕ$574), "", 'Data Entry'!$Ĕ$574)</f>
      </c>
      <c r="HE574">
        <f>IF(ISBLANK('Data Entry'!$ĕ$574), "", 'Data Entry'!$ĕ$574)</f>
      </c>
      <c r="HF574">
        <f>IF(ISBLANK('Data Entry'!$Ė$574), "", 'Data Entry'!$Ė$574)</f>
      </c>
      <c r="HG574">
        <f>IF(ISBLANK('Data Entry'!$ė$574), "", 'Data Entry'!$ė$574)</f>
      </c>
      <c r="HH574">
        <f>IF(ISBLANK('Data Entry'!$Ę$574), "", 'Data Entry'!$Ę$574)</f>
      </c>
      <c r="HI574">
        <f>IF(ISBLANK('Data Entry'!$ę$574), "", 'Data Entry'!$ę$574)</f>
      </c>
      <c r="HJ574">
        <f>IF(ISBLANK('Data Entry'!$Ě$574), "", 'Data Entry'!$Ě$574)</f>
      </c>
      <c r="HK574">
        <f>IF(ISBLANK('Data Entry'!$ě$574), "", 'Data Entry'!$ě$574)</f>
      </c>
      <c r="HL574">
        <f>IF(ISBLANK('Data Entry'!$Ĝ$574), "", 'Data Entry'!$Ĝ$574)</f>
      </c>
      <c r="HM574">
        <f>IF(ISBLANK('Data Entry'!$ĝ$574), "", 'Data Entry'!$ĝ$574)</f>
      </c>
      <c r="HN574">
        <f>IF(ISBLANK('Data Entry'!$Ğ$574), "", 'Data Entry'!$Ğ$574)</f>
      </c>
      <c r="HO574">
        <f>IF(ISBLANK('Data Entry'!$ğ$574), "", 'Data Entry'!$ğ$574)</f>
      </c>
      <c r="HP574">
        <f>IF(ISBLANK('Data Entry'!$Ġ$574), "", 'Data Entry'!$Ġ$574)</f>
      </c>
      <c r="HQ574">
        <f>IF(ISBLANK('Data Entry'!$ġ$574), "", 'Data Entry'!$ġ$574)</f>
      </c>
      <c r="HR574">
        <f>IF(ISBLANK('Data Entry'!$Ģ$574), "", 'Data Entry'!$Ģ$574)</f>
      </c>
      <c r="HS574">
        <f>IF(ISBLANK('Data Entry'!$ģ$574), "", 'Data Entry'!$ģ$574)</f>
      </c>
      <c r="HT574">
        <f>IF(ISBLANK('Data Entry'!$Ĥ$574), "", 'Data Entry'!$Ĥ$574)</f>
      </c>
      <c r="HU574">
        <f>IF(ISBLANK('Data Entry'!$ĥ$574), "", 'Data Entry'!$ĥ$574)</f>
      </c>
      <c r="HV574">
        <f>IF(ISBLANK('Data Entry'!$Ħ$574), "", 'Data Entry'!$Ħ$574)</f>
      </c>
      <c r="HW574">
        <f>IF(ISBLANK('Data Entry'!$ħ$574), "", 'Data Entry'!$ħ$574)</f>
      </c>
      <c r="HX574">
        <f>IF(ISBLANK('Data Entry'!$Ĩ$574), "", 'Data Entry'!$Ĩ$574)</f>
      </c>
      <c r="HY574">
        <f>IF(ISBLANK('Data Entry'!$ĩ$574), "", 'Data Entry'!$ĩ$574)</f>
      </c>
      <c r="HZ574">
        <f>IF(ISBLANK('Data Entry'!$Ī$574), "", 'Data Entry'!$Ī$574)</f>
      </c>
      <c r="IA574">
        <f>IF(ISBLANK('Data Entry'!$ī$574), "", 'Data Entry'!$ī$574)</f>
      </c>
      <c r="IB574">
        <f>IF(ISBLANK('Data Entry'!$Ĭ$574), "", 'Data Entry'!$Ĭ$574)</f>
      </c>
      <c r="IC574">
        <f>IF(ISBLANK('Data Entry'!$ĭ$574), "", 'Data Entry'!$ĭ$574)</f>
      </c>
      <c r="ID574">
        <f>IF(ISBLANK('Data Entry'!$Į$574), "", 'Data Entry'!$Į$574)</f>
      </c>
      <c r="IE574">
        <f>IF(ISBLANK('Data Entry'!$į$574), "", 'Data Entry'!$į$574)</f>
      </c>
      <c r="IF574">
        <f>IF(ISBLANK('Data Entry'!$İ$574), "", 'Data Entry'!$İ$574)</f>
      </c>
      <c r="IG574">
        <f>IF(ISBLANK('Data Entry'!$ı$574), "", 'Data Entry'!$ı$574)</f>
      </c>
      <c r="IH574">
        <f>IF(ISBLANK('Data Entry'!$Ĳ$574), "", 'Data Entry'!$Ĳ$574)</f>
      </c>
      <c r="II574">
        <f>IF(ISBLANK('Data Entry'!$ĳ$574), "", 'Data Entry'!$ĳ$574)</f>
      </c>
      <c r="IJ574">
        <f>IF(ISBLANK('Data Entry'!$Ĵ$574), "", 'Data Entry'!$Ĵ$574)</f>
      </c>
      <c r="IK574">
        <f>IF(ISBLANK('Data Entry'!$ĵ$574), "", 'Data Entry'!$ĵ$574)</f>
      </c>
      <c r="IL574">
        <f>IF(ISBLANK('Data Entry'!$Ķ$574), "", 'Data Entry'!$Ķ$574)</f>
      </c>
      <c r="IM574">
        <f>IF(ISBLANK('Data Entry'!$ķ$574), "", 'Data Entry'!$ķ$574)</f>
      </c>
      <c r="IN574">
        <f>IF(ISBLANK('Data Entry'!$ĸ$574), "", 'Data Entry'!$ĸ$574)</f>
      </c>
      <c r="IO574">
        <f>IF(ISBLANK('Data Entry'!$Ĺ$574), "", 'Data Entry'!$Ĺ$574)</f>
      </c>
      <c r="IP574">
        <f>IF(ISBLANK('Data Entry'!$ĺ$574), "", 'Data Entry'!$ĺ$574)</f>
      </c>
      <c r="IQ574">
        <f>IF(ISBLANK('Data Entry'!$Ļ$574), "", 'Data Entry'!$Ļ$574)</f>
      </c>
      <c r="IR574">
        <f>IF(ISBLANK('Data Entry'!$ļ$574), "", 'Data Entry'!$ļ$574)</f>
      </c>
      <c r="IS574">
        <f>IF(ISBLANK('Data Entry'!$Ľ$574), "", 'Data Entry'!$Ľ$574)</f>
      </c>
      <c r="IT574">
        <f>IF(ISBLANK('Data Entry'!$ľ$574), "", 'Data Entry'!$ľ$574)</f>
      </c>
    </row>
    <row r="575" spans="1:254" x14ac:dyDescent="0.25">
      <c r="A575">
        <f>IF(ISBLANK('Data Entry'!$A$575), "", 'Data Entry'!$A$575)</f>
      </c>
      <c r="B575">
        <f>IF(ISBLANK('Data Entry'!$B$575), "", 'Data Entry'!$B$575)</f>
      </c>
      <c r="C575">
        <f>IF(ISBLANK('Data Entry'!$C$575), "", 'Data Entry'!$C$575)</f>
      </c>
      <c r="D575">
        <f>IF(ISBLANK('Data Entry'!$D$575), "", 'Data Entry'!$D$575)</f>
      </c>
      <c r="E575">
        <f>IF(ISBLANK('Data Entry'!$E$575), "", 'Data Entry'!$E$575)</f>
      </c>
      <c r="F575">
        <f>IF(ISBLANK('Data Entry'!$F$575), "", 'Data Entry'!$F$575)</f>
      </c>
      <c r="G575">
        <f>IF(ISBLANK('Data Entry'!$G$575), "", 'Data Entry'!$G$575)</f>
      </c>
      <c r="H575">
        <f>IF(ISBLANK('Data Entry'!$H$575), "", 'Data Entry'!$H$575)</f>
      </c>
      <c r="I575">
        <f>IF(ISBLANK('Data Entry'!$I$575), "", 'Data Entry'!$I$575)</f>
      </c>
      <c r="J575">
        <f>IF(ISBLANK('Data Entry'!$J$575), "", 'Data Entry'!$J$575)</f>
      </c>
      <c r="K575">
        <f>IF(ISBLANK('Data Entry'!$K$575), "", 'Data Entry'!$K$575)</f>
      </c>
      <c r="L575">
        <f>IF(ISBLANK('Data Entry'!$L$575), "", 'Data Entry'!$L$575)</f>
      </c>
      <c r="M575">
        <f>IF(ISBLANK('Data Entry'!$M$575), "", 'Data Entry'!$M$575)</f>
      </c>
      <c r="N575">
        <f>IF(ISBLANK('Data Entry'!$N$575), "", 'Data Entry'!$N$575)</f>
      </c>
      <c r="O575">
        <f>IF(ISBLANK('Data Entry'!$O$575), "", 'Data Entry'!$O$575)</f>
      </c>
      <c r="P575">
        <f>IF(ISBLANK('Data Entry'!$P$575), "", 'Data Entry'!$P$575)</f>
      </c>
      <c r="Q575">
        <f>IF(ISBLANK('Data Entry'!$Q$575), "", 'Data Entry'!$Q$575)</f>
      </c>
      <c r="R575">
        <f>IF(ISBLANK('Data Entry'!$R$575), "", 'Data Entry'!$R$575)</f>
      </c>
      <c r="S575">
        <f>IF(ISBLANK('Data Entry'!$S$575), "", 'Data Entry'!$S$575)</f>
      </c>
      <c r="T575">
        <f>IF(ISBLANK('Data Entry'!$T$575), "", 'Data Entry'!$T$575)</f>
      </c>
      <c r="U575">
        <f>IF(ISBLANK('Data Entry'!$U$575), "", 'Data Entry'!$U$575)</f>
      </c>
      <c r="V575">
        <f>IF(ISBLANK('Data Entry'!$V$575), "", 'Data Entry'!$V$575)</f>
      </c>
      <c r="W575">
        <f>IF(ISBLANK('Data Entry'!$W$575), "", 'Data Entry'!$W$575)</f>
      </c>
      <c r="X575">
        <f>IF(ISBLANK('Data Entry'!$X$575), "", 'Data Entry'!$X$575)</f>
      </c>
      <c r="Y575">
        <f>IF(ISBLANK('Data Entry'!$Y$575), "", 'Data Entry'!$Y$575)</f>
      </c>
      <c r="Z575">
        <f>IF(ISBLANK('Data Entry'!$Z$575), "", 'Data Entry'!$Z$575)</f>
      </c>
      <c r="AA575">
        <f>IF(ISBLANK('Data Entry'!$[$575), "", 'Data Entry'!$[$575)</f>
      </c>
      <c r="AB575">
        <f>IF(ISBLANK('Data Entry'!$\$575), "", 'Data Entry'!$\$575)</f>
      </c>
      <c r="AC575">
        <f>IF(ISBLANK('Data Entry'!$]$575), "", 'Data Entry'!$]$575)</f>
      </c>
      <c r="AD575">
        <f>IF(ISBLANK('Data Entry'!$^$575), "", 'Data Entry'!$^$575)</f>
      </c>
      <c r="AE575">
        <f>IF(ISBLANK('Data Entry'!$_$575), "", 'Data Entry'!$_$575)</f>
      </c>
      <c r="AF575">
        <f>IF(ISBLANK('Data Entry'!$`$575), "", 'Data Entry'!$`$575)</f>
      </c>
      <c r="AG575">
        <f>IF(ISBLANK('Data Entry'!$a$575), "", 'Data Entry'!$a$575)</f>
      </c>
      <c r="AH575">
        <f>IF(ISBLANK('Data Entry'!$b$575), "", 'Data Entry'!$b$575)</f>
      </c>
      <c r="AI575">
        <f>IF(ISBLANK('Data Entry'!$c$575), "", 'Data Entry'!$c$575)</f>
      </c>
      <c r="AJ575">
        <f>IF(ISBLANK('Data Entry'!$d$575), "", 'Data Entry'!$d$575)</f>
      </c>
      <c r="AK575">
        <f>IF(ISBLANK('Data Entry'!$e$575), "", 'Data Entry'!$e$575)</f>
      </c>
      <c r="AL575">
        <f>IF(ISBLANK('Data Entry'!$f$575), "", 'Data Entry'!$f$575)</f>
      </c>
      <c r="AM575">
        <f>IF(ISBLANK('Data Entry'!$g$575), "", 'Data Entry'!$g$575)</f>
      </c>
      <c r="AN575">
        <f>IF(ISBLANK('Data Entry'!$h$575), "", 'Data Entry'!$h$575)</f>
      </c>
      <c r="AO575">
        <f>IF(ISBLANK('Data Entry'!$i$575), "", 'Data Entry'!$i$575)</f>
      </c>
      <c r="AP575">
        <f>IF(ISBLANK('Data Entry'!$j$575), "", 'Data Entry'!$j$575)</f>
      </c>
      <c r="AQ575">
        <f>IF(ISBLANK('Data Entry'!$k$575), "", 'Data Entry'!$k$575)</f>
      </c>
      <c r="AR575">
        <f>IF(ISBLANK('Data Entry'!$l$575), "", 'Data Entry'!$l$575)</f>
      </c>
      <c r="AS575">
        <f>IF(ISBLANK('Data Entry'!$m$575), "", 'Data Entry'!$m$575)</f>
      </c>
      <c r="AT575">
        <f>IF(ISBLANK('Data Entry'!$n$575), "", 'Data Entry'!$n$575)</f>
      </c>
      <c r="AU575">
        <f>IF(ISBLANK('Data Entry'!$o$575), "", 'Data Entry'!$o$575)</f>
      </c>
      <c r="AV575">
        <f>IF(ISBLANK('Data Entry'!$p$575), "", 'Data Entry'!$p$575)</f>
      </c>
      <c r="AW575">
        <f>IF(ISBLANK('Data Entry'!$q$575), "", 'Data Entry'!$q$575)</f>
      </c>
      <c r="AX575">
        <f>IF(ISBLANK('Data Entry'!$r$575), "", 'Data Entry'!$r$575)</f>
      </c>
      <c r="AY575">
        <f>IF(ISBLANK('Data Entry'!$s$575), "", 'Data Entry'!$s$575)</f>
      </c>
      <c r="AZ575">
        <f>IF(ISBLANK('Data Entry'!$t$575), "", 'Data Entry'!$t$575)</f>
      </c>
      <c r="BA575">
        <f>IF(ISBLANK('Data Entry'!$u$575), "", 'Data Entry'!$u$575)</f>
      </c>
      <c r="BB575">
        <f>IF(ISBLANK('Data Entry'!$v$575), "", 'Data Entry'!$v$575)</f>
      </c>
      <c r="BC575">
        <f>IF(ISBLANK('Data Entry'!$w$575), "", 'Data Entry'!$w$575)</f>
      </c>
      <c r="BD575">
        <f>IF(ISBLANK('Data Entry'!$x$575), "", 'Data Entry'!$x$575)</f>
      </c>
      <c r="BE575">
        <f>IF(ISBLANK('Data Entry'!$y$575), "", 'Data Entry'!$y$575)</f>
      </c>
      <c r="BF575">
        <f>IF(ISBLANK('Data Entry'!$z$575), "", 'Data Entry'!$z$575)</f>
      </c>
      <c r="BG575">
        <f>IF(ISBLANK('Data Entry'!${$575), "", 'Data Entry'!${$575)</f>
      </c>
      <c r="BH575">
        <f>IF(ISBLANK('Data Entry'!$|$575), "", 'Data Entry'!$|$575)</f>
      </c>
      <c r="BI575">
        <f>IF(ISBLANK('Data Entry'!$}$575), "", 'Data Entry'!$}$575)</f>
      </c>
      <c r="BJ575">
        <f>IF(ISBLANK('Data Entry'!$~$575), "", 'Data Entry'!$~$575)</f>
      </c>
      <c r="BK575">
        <f>IF(ISBLANK('Data Entry'!$$575), "", 'Data Entry'!$$575)</f>
      </c>
      <c r="BL575">
        <f>IF(ISBLANK('Data Entry'!$$575), "", 'Data Entry'!$$575)</f>
      </c>
      <c r="BM575">
        <f>IF(ISBLANK('Data Entry'!$$575), "", 'Data Entry'!$$575)</f>
      </c>
      <c r="BN575">
        <f>IF(ISBLANK('Data Entry'!$$575), "", 'Data Entry'!$$575)</f>
      </c>
      <c r="BO575">
        <f>IF(ISBLANK('Data Entry'!$$575), "", 'Data Entry'!$$575)</f>
      </c>
      <c r="BP575">
        <f>IF(ISBLANK('Data Entry'!$$575), "", 'Data Entry'!$$575)</f>
      </c>
      <c r="BQ575">
        <f>IF(ISBLANK('Data Entry'!$$575), "", 'Data Entry'!$$575)</f>
      </c>
      <c r="BR575">
        <f>IF(ISBLANK('Data Entry'!$$575), "", 'Data Entry'!$$575)</f>
      </c>
      <c r="BS575">
        <f>IF(ISBLANK('Data Entry'!$$575), "", 'Data Entry'!$$575)</f>
      </c>
      <c r="BT575">
        <f>IF(ISBLANK('Data Entry'!$$575), "", 'Data Entry'!$$575)</f>
      </c>
      <c r="BU575">
        <f>IF(ISBLANK('Data Entry'!$$575), "", 'Data Entry'!$$575)</f>
      </c>
      <c r="BV575">
        <f>IF(ISBLANK('Data Entry'!$$575), "", 'Data Entry'!$$575)</f>
      </c>
      <c r="BW575">
        <f>IF(ISBLANK('Data Entry'!$$575), "", 'Data Entry'!$$575)</f>
      </c>
      <c r="BX575">
        <f>IF(ISBLANK('Data Entry'!$$575), "", 'Data Entry'!$$575)</f>
      </c>
      <c r="BY575">
        <f>IF(ISBLANK('Data Entry'!$$575), "", 'Data Entry'!$$575)</f>
      </c>
      <c r="BZ575">
        <f>IF(ISBLANK('Data Entry'!$$575), "", 'Data Entry'!$$575)</f>
      </c>
      <c r="CA575">
        <f>IF(ISBLANK('Data Entry'!$$575), "", 'Data Entry'!$$575)</f>
      </c>
      <c r="CB575">
        <f>IF(ISBLANK('Data Entry'!$$575), "", 'Data Entry'!$$575)</f>
      </c>
      <c r="CC575">
        <f>IF(ISBLANK('Data Entry'!$$575), "", 'Data Entry'!$$575)</f>
      </c>
      <c r="CD575">
        <f>IF(ISBLANK('Data Entry'!$$575), "", 'Data Entry'!$$575)</f>
      </c>
      <c r="CE575">
        <f>IF(ISBLANK('Data Entry'!$$575), "", 'Data Entry'!$$575)</f>
      </c>
      <c r="CF575">
        <f>IF(ISBLANK('Data Entry'!$$575), "", 'Data Entry'!$$575)</f>
      </c>
      <c r="CG575">
        <f>IF(ISBLANK('Data Entry'!$$575), "", 'Data Entry'!$$575)</f>
      </c>
      <c r="CH575">
        <f>IF(ISBLANK('Data Entry'!$$575), "", 'Data Entry'!$$575)</f>
      </c>
      <c r="CI575">
        <f>IF(ISBLANK('Data Entry'!$$575), "", 'Data Entry'!$$575)</f>
      </c>
      <c r="CJ575">
        <f>IF(ISBLANK('Data Entry'!$$575), "", 'Data Entry'!$$575)</f>
      </c>
      <c r="CK575">
        <f>IF(ISBLANK('Data Entry'!$$575), "", 'Data Entry'!$$575)</f>
      </c>
      <c r="CL575">
        <f>IF(ISBLANK('Data Entry'!$$575), "", 'Data Entry'!$$575)</f>
      </c>
      <c r="CM575">
        <f>IF(ISBLANK('Data Entry'!$$575), "", 'Data Entry'!$$575)</f>
      </c>
      <c r="CN575">
        <f>IF(ISBLANK('Data Entry'!$$575), "", 'Data Entry'!$$575)</f>
      </c>
      <c r="CO575">
        <f>IF(ISBLANK('Data Entry'!$$575), "", 'Data Entry'!$$575)</f>
      </c>
      <c r="CP575">
        <f>IF(ISBLANK('Data Entry'!$$575), "", 'Data Entry'!$$575)</f>
      </c>
      <c r="CQ575">
        <f>IF(ISBLANK('Data Entry'!$$575), "", 'Data Entry'!$$575)</f>
      </c>
      <c r="CR575">
        <f>IF(ISBLANK('Data Entry'!$ $575), "", 'Data Entry'!$ $575)</f>
      </c>
      <c r="CS575">
        <f>IF(ISBLANK('Data Entry'!$¡$575), "", 'Data Entry'!$¡$575)</f>
      </c>
      <c r="CT575">
        <f>IF(ISBLANK('Data Entry'!$¢$575), "", 'Data Entry'!$¢$575)</f>
      </c>
      <c r="CU575">
        <f>IF(ISBLANK('Data Entry'!$£$575), "", 'Data Entry'!$£$575)</f>
      </c>
      <c r="CV575">
        <f>IF(ISBLANK('Data Entry'!$¤$575), "", 'Data Entry'!$¤$575)</f>
      </c>
      <c r="CW575">
        <f>IF(ISBLANK('Data Entry'!$¥$575), "", 'Data Entry'!$¥$575)</f>
      </c>
      <c r="CX575">
        <f>IF(ISBLANK('Data Entry'!$¦$575), "", 'Data Entry'!$¦$575)</f>
      </c>
      <c r="CY575">
        <f>IF(ISBLANK('Data Entry'!$§$575), "", 'Data Entry'!$§$575)</f>
      </c>
      <c r="CZ575">
        <f>IF(ISBLANK('Data Entry'!$¨$575), "", 'Data Entry'!$¨$575)</f>
      </c>
      <c r="DA575">
        <f>IF(ISBLANK('Data Entry'!$©$575), "", 'Data Entry'!$©$575)</f>
      </c>
      <c r="DB575">
        <f>IF(ISBLANK('Data Entry'!$ª$575), "", 'Data Entry'!$ª$575)</f>
      </c>
      <c r="DC575">
        <f>IF(ISBLANK('Data Entry'!$«$575), "", 'Data Entry'!$«$575)</f>
      </c>
      <c r="DD575">
        <f>IF(ISBLANK('Data Entry'!$¬$575), "", 'Data Entry'!$¬$575)</f>
      </c>
      <c r="DE575">
        <f>IF(ISBLANK('Data Entry'!$­$575), "", 'Data Entry'!$­$575)</f>
      </c>
      <c r="DF575">
        <f>IF(ISBLANK('Data Entry'!$®$575), "", 'Data Entry'!$®$575)</f>
      </c>
      <c r="DG575">
        <f>IF(ISBLANK('Data Entry'!$¯$575), "", 'Data Entry'!$¯$575)</f>
      </c>
      <c r="DH575">
        <f>IF(ISBLANK('Data Entry'!$°$575), "", 'Data Entry'!$°$575)</f>
      </c>
      <c r="DI575">
        <f>IF(ISBLANK('Data Entry'!$±$575), "", 'Data Entry'!$±$575)</f>
      </c>
      <c r="DJ575">
        <f>IF(ISBLANK('Data Entry'!$²$575), "", 'Data Entry'!$²$575)</f>
      </c>
      <c r="DK575">
        <f>IF(ISBLANK('Data Entry'!$³$575), "", 'Data Entry'!$³$575)</f>
      </c>
      <c r="DL575">
        <f>IF(ISBLANK('Data Entry'!$´$575), "", 'Data Entry'!$´$575)</f>
      </c>
      <c r="DM575">
        <f>IF(ISBLANK('Data Entry'!$µ$575), "", 'Data Entry'!$µ$575)</f>
      </c>
      <c r="DN575">
        <f>IF(ISBLANK('Data Entry'!$¶$575), "", 'Data Entry'!$¶$575)</f>
      </c>
      <c r="DO575">
        <f>IF(ISBLANK('Data Entry'!$·$575), "", 'Data Entry'!$·$575)</f>
      </c>
      <c r="DP575">
        <f>IF(ISBLANK('Data Entry'!$¸$575), "", 'Data Entry'!$¸$575)</f>
      </c>
      <c r="DQ575">
        <f>IF(ISBLANK('Data Entry'!$¹$575), "", 'Data Entry'!$¹$575)</f>
      </c>
      <c r="DR575">
        <f>IF(ISBLANK('Data Entry'!$º$575), "", 'Data Entry'!$º$575)</f>
      </c>
      <c r="DS575">
        <f>IF(ISBLANK('Data Entry'!$»$575), "", 'Data Entry'!$»$575)</f>
      </c>
      <c r="DT575">
        <f>IF(ISBLANK('Data Entry'!$¼$575), "", 'Data Entry'!$¼$575)</f>
      </c>
      <c r="DU575">
        <f>IF(ISBLANK('Data Entry'!$½$575), "", 'Data Entry'!$½$575)</f>
      </c>
      <c r="DV575">
        <f>IF(ISBLANK('Data Entry'!$¾$575), "", 'Data Entry'!$¾$575)</f>
      </c>
      <c r="DW575">
        <f>IF(ISBLANK('Data Entry'!$¿$575), "", 'Data Entry'!$¿$575)</f>
      </c>
      <c r="DX575">
        <f>IF(ISBLANK('Data Entry'!$À$575), "", 'Data Entry'!$À$575)</f>
      </c>
      <c r="DY575">
        <f>IF(ISBLANK('Data Entry'!$Á$575), "", 'Data Entry'!$Á$575)</f>
      </c>
      <c r="DZ575">
        <f>IF(ISBLANK('Data Entry'!$Â$575), "", 'Data Entry'!$Â$575)</f>
      </c>
      <c r="EA575">
        <f>IF(ISBLANK('Data Entry'!$Ã$575), "", 'Data Entry'!$Ã$575)</f>
      </c>
      <c r="EB575">
        <f>IF(ISBLANK('Data Entry'!$Ä$575), "", 'Data Entry'!$Ä$575)</f>
      </c>
      <c r="EC575">
        <f>IF(ISBLANK('Data Entry'!$Å$575), "", 'Data Entry'!$Å$575)</f>
      </c>
      <c r="ED575">
        <f>IF(ISBLANK('Data Entry'!$Æ$575), "", 'Data Entry'!$Æ$575)</f>
      </c>
      <c r="EE575">
        <f>IF(ISBLANK('Data Entry'!$Ç$575), "", 'Data Entry'!$Ç$575)</f>
      </c>
      <c r="EF575">
        <f>IF(ISBLANK('Data Entry'!$È$575), "", 'Data Entry'!$È$575)</f>
      </c>
      <c r="EG575">
        <f>IF(ISBLANK('Data Entry'!$É$575), "", 'Data Entry'!$É$575)</f>
      </c>
      <c r="EH575">
        <f>IF(ISBLANK('Data Entry'!$Ê$575), "", 'Data Entry'!$Ê$575)</f>
      </c>
      <c r="EI575">
        <f>IF(ISBLANK('Data Entry'!$Ë$575), "", 'Data Entry'!$Ë$575)</f>
      </c>
      <c r="EJ575">
        <f>IF(ISBLANK('Data Entry'!$Ì$575), "", 'Data Entry'!$Ì$575)</f>
      </c>
      <c r="EK575">
        <f>IF(ISBLANK('Data Entry'!$Í$575), "", 'Data Entry'!$Í$575)</f>
      </c>
      <c r="EL575">
        <f>IF(ISBLANK('Data Entry'!$Î$575), "", 'Data Entry'!$Î$575)</f>
      </c>
      <c r="EM575">
        <f>IF(ISBLANK('Data Entry'!$Ï$575), "", 'Data Entry'!$Ï$575)</f>
      </c>
      <c r="EN575">
        <f>IF(ISBLANK('Data Entry'!$Ð$575), "", 'Data Entry'!$Ð$575)</f>
      </c>
      <c r="EO575">
        <f>IF(ISBLANK('Data Entry'!$Ñ$575), "", 'Data Entry'!$Ñ$575)</f>
      </c>
      <c r="EP575">
        <f>IF(ISBLANK('Data Entry'!$Ò$575), "", 'Data Entry'!$Ò$575)</f>
      </c>
      <c r="EQ575">
        <f>IF(ISBLANK('Data Entry'!$Ó$575), "", 'Data Entry'!$Ó$575)</f>
      </c>
      <c r="ER575">
        <f>IF(ISBLANK('Data Entry'!$Ô$575), "", 'Data Entry'!$Ô$575)</f>
      </c>
      <c r="ES575">
        <f>IF(ISBLANK('Data Entry'!$Õ$575), "", 'Data Entry'!$Õ$575)</f>
      </c>
      <c r="ET575">
        <f>IF(ISBLANK('Data Entry'!$Ö$575), "", 'Data Entry'!$Ö$575)</f>
      </c>
      <c r="EU575">
        <f>IF(ISBLANK('Data Entry'!$×$575), "", 'Data Entry'!$×$575)</f>
      </c>
      <c r="EV575">
        <f>IF(ISBLANK('Data Entry'!$Ø$575), "", 'Data Entry'!$Ø$575)</f>
      </c>
      <c r="EW575">
        <f>IF(ISBLANK('Data Entry'!$Ù$575), "", 'Data Entry'!$Ù$575)</f>
      </c>
      <c r="EX575">
        <f>IF(ISBLANK('Data Entry'!$Ú$575), "", 'Data Entry'!$Ú$575)</f>
      </c>
      <c r="EY575">
        <f>IF(ISBLANK('Data Entry'!$Û$575), "", 'Data Entry'!$Û$575)</f>
      </c>
      <c r="EZ575">
        <f>IF(ISBLANK('Data Entry'!$Ü$575), "", 'Data Entry'!$Ü$575)</f>
      </c>
      <c r="FA575">
        <f>IF(ISBLANK('Data Entry'!$Ý$575), "", 'Data Entry'!$Ý$575)</f>
      </c>
      <c r="FB575">
        <f>IF(ISBLANK('Data Entry'!$Þ$575), "", 'Data Entry'!$Þ$575)</f>
      </c>
      <c r="FC575">
        <f>IF(ISBLANK('Data Entry'!$ß$575), "", 'Data Entry'!$ß$575)</f>
      </c>
      <c r="FD575">
        <f>IF(ISBLANK('Data Entry'!$à$575), "", 'Data Entry'!$à$575)</f>
      </c>
      <c r="FE575">
        <f>IF(ISBLANK('Data Entry'!$á$575), "", 'Data Entry'!$á$575)</f>
      </c>
      <c r="FF575">
        <f>IF(ISBLANK('Data Entry'!$â$575), "", 'Data Entry'!$â$575)</f>
      </c>
      <c r="FG575">
        <f>IF(ISBLANK('Data Entry'!$ã$575), "", 'Data Entry'!$ã$575)</f>
      </c>
      <c r="FH575">
        <f>IF(ISBLANK('Data Entry'!$ä$575), "", 'Data Entry'!$ä$575)</f>
      </c>
      <c r="FI575">
        <f>IF(ISBLANK('Data Entry'!$å$575), "", 'Data Entry'!$å$575)</f>
      </c>
      <c r="FJ575">
        <f>IF(ISBLANK('Data Entry'!$æ$575), "", 'Data Entry'!$æ$575)</f>
      </c>
      <c r="FK575">
        <f>IF(ISBLANK('Data Entry'!$ç$575), "", 'Data Entry'!$ç$575)</f>
      </c>
      <c r="FL575">
        <f>IF(ISBLANK('Data Entry'!$è$575), "", 'Data Entry'!$è$575)</f>
      </c>
      <c r="FM575">
        <f>IF(ISBLANK('Data Entry'!$é$575), "", 'Data Entry'!$é$575)</f>
      </c>
      <c r="FN575">
        <f>IF(ISBLANK('Data Entry'!$ê$575), "", 'Data Entry'!$ê$575)</f>
      </c>
      <c r="FO575">
        <f>IF(ISBLANK('Data Entry'!$ë$575), "", 'Data Entry'!$ë$575)</f>
      </c>
      <c r="FP575">
        <f>IF(ISBLANK('Data Entry'!$ì$575), "", 'Data Entry'!$ì$575)</f>
      </c>
      <c r="FQ575">
        <f>IF(ISBLANK('Data Entry'!$í$575), "", 'Data Entry'!$í$575)</f>
      </c>
      <c r="FR575">
        <f>IF(ISBLANK('Data Entry'!$î$575), "", 'Data Entry'!$î$575)</f>
      </c>
      <c r="FS575">
        <f>IF(ISBLANK('Data Entry'!$ï$575), "", 'Data Entry'!$ï$575)</f>
      </c>
      <c r="FT575">
        <f>IF(ISBLANK('Data Entry'!$ð$575), "", 'Data Entry'!$ð$575)</f>
      </c>
      <c r="FU575">
        <f>IF(ISBLANK('Data Entry'!$ñ$575), "", 'Data Entry'!$ñ$575)</f>
      </c>
      <c r="FV575">
        <f>IF(ISBLANK('Data Entry'!$ò$575), "", 'Data Entry'!$ò$575)</f>
      </c>
      <c r="FW575">
        <f>IF(ISBLANK('Data Entry'!$ó$575), "", 'Data Entry'!$ó$575)</f>
      </c>
      <c r="FX575">
        <f>IF(ISBLANK('Data Entry'!$ô$575), "", 'Data Entry'!$ô$575)</f>
      </c>
      <c r="FY575">
        <f>IF(ISBLANK('Data Entry'!$õ$575), "", 'Data Entry'!$õ$575)</f>
      </c>
      <c r="FZ575">
        <f>IF(ISBLANK('Data Entry'!$ö$575), "", 'Data Entry'!$ö$575)</f>
      </c>
      <c r="GA575">
        <f>IF(ISBLANK('Data Entry'!$÷$575), "", 'Data Entry'!$÷$575)</f>
      </c>
      <c r="GB575">
        <f>IF(ISBLANK('Data Entry'!$ø$575), "", 'Data Entry'!$ø$575)</f>
      </c>
      <c r="GC575">
        <f>IF(ISBLANK('Data Entry'!$ù$575), "", 'Data Entry'!$ù$575)</f>
      </c>
      <c r="GD575">
        <f>IF(ISBLANK('Data Entry'!$ú$575), "", 'Data Entry'!$ú$575)</f>
      </c>
      <c r="GE575">
        <f>IF(ISBLANK('Data Entry'!$û$575), "", 'Data Entry'!$û$575)</f>
      </c>
      <c r="GF575">
        <f>IF(ISBLANK('Data Entry'!$ü$575), "", 'Data Entry'!$ü$575)</f>
      </c>
      <c r="GG575">
        <f>IF(ISBLANK('Data Entry'!$ý$575), "", 'Data Entry'!$ý$575)</f>
      </c>
      <c r="GH575">
        <f>IF(ISBLANK('Data Entry'!$þ$575), "", 'Data Entry'!$þ$575)</f>
      </c>
      <c r="GI575">
        <f>IF(ISBLANK('Data Entry'!$ÿ$575), "", 'Data Entry'!$ÿ$575)</f>
      </c>
      <c r="GJ575">
        <f>IF(ISBLANK('Data Entry'!$Ā$575), "", 'Data Entry'!$Ā$575)</f>
      </c>
      <c r="GK575">
        <f>IF(ISBLANK('Data Entry'!$ā$575), "", 'Data Entry'!$ā$575)</f>
      </c>
      <c r="GL575">
        <f>IF(ISBLANK('Data Entry'!$Ă$575), "", 'Data Entry'!$Ă$575)</f>
      </c>
      <c r="GM575">
        <f>IF(ISBLANK('Data Entry'!$ă$575), "", 'Data Entry'!$ă$575)</f>
      </c>
      <c r="GN575">
        <f>IF(ISBLANK('Data Entry'!$Ą$575), "", 'Data Entry'!$Ą$575)</f>
      </c>
      <c r="GO575">
        <f>IF(ISBLANK('Data Entry'!$ą$575), "", 'Data Entry'!$ą$575)</f>
      </c>
      <c r="GP575">
        <f>IF(ISBLANK('Data Entry'!$Ć$575), "", 'Data Entry'!$Ć$575)</f>
      </c>
      <c r="GQ575">
        <f>IF(ISBLANK('Data Entry'!$ć$575), "", 'Data Entry'!$ć$575)</f>
      </c>
      <c r="GR575">
        <f>IF(ISBLANK('Data Entry'!$Ĉ$575), "", 'Data Entry'!$Ĉ$575)</f>
      </c>
      <c r="GS575">
        <f>IF(ISBLANK('Data Entry'!$ĉ$575), "", 'Data Entry'!$ĉ$575)</f>
      </c>
      <c r="GT575">
        <f>IF(ISBLANK('Data Entry'!$Ċ$575), "", 'Data Entry'!$Ċ$575)</f>
      </c>
      <c r="GU575">
        <f>IF(ISBLANK('Data Entry'!$ċ$575), "", 'Data Entry'!$ċ$575)</f>
      </c>
      <c r="GV575">
        <f>IF(ISBLANK('Data Entry'!$Č$575), "", 'Data Entry'!$Č$575)</f>
      </c>
      <c r="GW575">
        <f>IF(ISBLANK('Data Entry'!$č$575), "", 'Data Entry'!$č$575)</f>
      </c>
      <c r="GX575">
        <f>IF(ISBLANK('Data Entry'!$Ď$575), "", 'Data Entry'!$Ď$575)</f>
      </c>
      <c r="GY575">
        <f>IF(ISBLANK('Data Entry'!$ď$575), "", 'Data Entry'!$ď$575)</f>
      </c>
      <c r="GZ575">
        <f>IF(ISBLANK('Data Entry'!$Đ$575), "", 'Data Entry'!$Đ$575)</f>
      </c>
      <c r="HA575">
        <f>IF(ISBLANK('Data Entry'!$đ$575), "", 'Data Entry'!$đ$575)</f>
      </c>
      <c r="HB575">
        <f>IF(ISBLANK('Data Entry'!$Ē$575), "", 'Data Entry'!$Ē$575)</f>
      </c>
      <c r="HC575">
        <f>IF(ISBLANK('Data Entry'!$ē$575), "", 'Data Entry'!$ē$575)</f>
      </c>
      <c r="HD575">
        <f>IF(ISBLANK('Data Entry'!$Ĕ$575), "", 'Data Entry'!$Ĕ$575)</f>
      </c>
      <c r="HE575">
        <f>IF(ISBLANK('Data Entry'!$ĕ$575), "", 'Data Entry'!$ĕ$575)</f>
      </c>
      <c r="HF575">
        <f>IF(ISBLANK('Data Entry'!$Ė$575), "", 'Data Entry'!$Ė$575)</f>
      </c>
      <c r="HG575">
        <f>IF(ISBLANK('Data Entry'!$ė$575), "", 'Data Entry'!$ė$575)</f>
      </c>
      <c r="HH575">
        <f>IF(ISBLANK('Data Entry'!$Ę$575), "", 'Data Entry'!$Ę$575)</f>
      </c>
      <c r="HI575">
        <f>IF(ISBLANK('Data Entry'!$ę$575), "", 'Data Entry'!$ę$575)</f>
      </c>
      <c r="HJ575">
        <f>IF(ISBLANK('Data Entry'!$Ě$575), "", 'Data Entry'!$Ě$575)</f>
      </c>
      <c r="HK575">
        <f>IF(ISBLANK('Data Entry'!$ě$575), "", 'Data Entry'!$ě$575)</f>
      </c>
      <c r="HL575">
        <f>IF(ISBLANK('Data Entry'!$Ĝ$575), "", 'Data Entry'!$Ĝ$575)</f>
      </c>
      <c r="HM575">
        <f>IF(ISBLANK('Data Entry'!$ĝ$575), "", 'Data Entry'!$ĝ$575)</f>
      </c>
      <c r="HN575">
        <f>IF(ISBLANK('Data Entry'!$Ğ$575), "", 'Data Entry'!$Ğ$575)</f>
      </c>
      <c r="HO575">
        <f>IF(ISBLANK('Data Entry'!$ğ$575), "", 'Data Entry'!$ğ$575)</f>
      </c>
      <c r="HP575">
        <f>IF(ISBLANK('Data Entry'!$Ġ$575), "", 'Data Entry'!$Ġ$575)</f>
      </c>
      <c r="HQ575">
        <f>IF(ISBLANK('Data Entry'!$ġ$575), "", 'Data Entry'!$ġ$575)</f>
      </c>
      <c r="HR575">
        <f>IF(ISBLANK('Data Entry'!$Ģ$575), "", 'Data Entry'!$Ģ$575)</f>
      </c>
      <c r="HS575">
        <f>IF(ISBLANK('Data Entry'!$ģ$575), "", 'Data Entry'!$ģ$575)</f>
      </c>
      <c r="HT575">
        <f>IF(ISBLANK('Data Entry'!$Ĥ$575), "", 'Data Entry'!$Ĥ$575)</f>
      </c>
      <c r="HU575">
        <f>IF(ISBLANK('Data Entry'!$ĥ$575), "", 'Data Entry'!$ĥ$575)</f>
      </c>
      <c r="HV575">
        <f>IF(ISBLANK('Data Entry'!$Ħ$575), "", 'Data Entry'!$Ħ$575)</f>
      </c>
      <c r="HW575">
        <f>IF(ISBLANK('Data Entry'!$ħ$575), "", 'Data Entry'!$ħ$575)</f>
      </c>
      <c r="HX575">
        <f>IF(ISBLANK('Data Entry'!$Ĩ$575), "", 'Data Entry'!$Ĩ$575)</f>
      </c>
      <c r="HY575">
        <f>IF(ISBLANK('Data Entry'!$ĩ$575), "", 'Data Entry'!$ĩ$575)</f>
      </c>
      <c r="HZ575">
        <f>IF(ISBLANK('Data Entry'!$Ī$575), "", 'Data Entry'!$Ī$575)</f>
      </c>
      <c r="IA575">
        <f>IF(ISBLANK('Data Entry'!$ī$575), "", 'Data Entry'!$ī$575)</f>
      </c>
      <c r="IB575">
        <f>IF(ISBLANK('Data Entry'!$Ĭ$575), "", 'Data Entry'!$Ĭ$575)</f>
      </c>
      <c r="IC575">
        <f>IF(ISBLANK('Data Entry'!$ĭ$575), "", 'Data Entry'!$ĭ$575)</f>
      </c>
      <c r="ID575">
        <f>IF(ISBLANK('Data Entry'!$Į$575), "", 'Data Entry'!$Į$575)</f>
      </c>
      <c r="IE575">
        <f>IF(ISBLANK('Data Entry'!$į$575), "", 'Data Entry'!$į$575)</f>
      </c>
      <c r="IF575">
        <f>IF(ISBLANK('Data Entry'!$İ$575), "", 'Data Entry'!$İ$575)</f>
      </c>
      <c r="IG575">
        <f>IF(ISBLANK('Data Entry'!$ı$575), "", 'Data Entry'!$ı$575)</f>
      </c>
      <c r="IH575">
        <f>IF(ISBLANK('Data Entry'!$Ĳ$575), "", 'Data Entry'!$Ĳ$575)</f>
      </c>
      <c r="II575">
        <f>IF(ISBLANK('Data Entry'!$ĳ$575), "", 'Data Entry'!$ĳ$575)</f>
      </c>
      <c r="IJ575">
        <f>IF(ISBLANK('Data Entry'!$Ĵ$575), "", 'Data Entry'!$Ĵ$575)</f>
      </c>
      <c r="IK575">
        <f>IF(ISBLANK('Data Entry'!$ĵ$575), "", 'Data Entry'!$ĵ$575)</f>
      </c>
      <c r="IL575">
        <f>IF(ISBLANK('Data Entry'!$Ķ$575), "", 'Data Entry'!$Ķ$575)</f>
      </c>
      <c r="IM575">
        <f>IF(ISBLANK('Data Entry'!$ķ$575), "", 'Data Entry'!$ķ$575)</f>
      </c>
      <c r="IN575">
        <f>IF(ISBLANK('Data Entry'!$ĸ$575), "", 'Data Entry'!$ĸ$575)</f>
      </c>
      <c r="IO575">
        <f>IF(ISBLANK('Data Entry'!$Ĺ$575), "", 'Data Entry'!$Ĺ$575)</f>
      </c>
      <c r="IP575">
        <f>IF(ISBLANK('Data Entry'!$ĺ$575), "", 'Data Entry'!$ĺ$575)</f>
      </c>
      <c r="IQ575">
        <f>IF(ISBLANK('Data Entry'!$Ļ$575), "", 'Data Entry'!$Ļ$575)</f>
      </c>
      <c r="IR575">
        <f>IF(ISBLANK('Data Entry'!$ļ$575), "", 'Data Entry'!$ļ$575)</f>
      </c>
      <c r="IS575">
        <f>IF(ISBLANK('Data Entry'!$Ľ$575), "", 'Data Entry'!$Ľ$575)</f>
      </c>
      <c r="IT575">
        <f>IF(ISBLANK('Data Entry'!$ľ$575), "", 'Data Entry'!$ľ$575)</f>
      </c>
    </row>
    <row r="576" spans="1:254" x14ac:dyDescent="0.25">
      <c r="A576">
        <f>IF(ISBLANK('Data Entry'!$A$576), "", 'Data Entry'!$A$576)</f>
      </c>
      <c r="B576">
        <f>IF(ISBLANK('Data Entry'!$B$576), "", 'Data Entry'!$B$576)</f>
      </c>
      <c r="C576">
        <f>IF(ISBLANK('Data Entry'!$C$576), "", 'Data Entry'!$C$576)</f>
      </c>
      <c r="D576">
        <f>IF(ISBLANK('Data Entry'!$D$576), "", 'Data Entry'!$D$576)</f>
      </c>
      <c r="E576">
        <f>IF(ISBLANK('Data Entry'!$E$576), "", 'Data Entry'!$E$576)</f>
      </c>
      <c r="F576">
        <f>IF(ISBLANK('Data Entry'!$F$576), "", 'Data Entry'!$F$576)</f>
      </c>
      <c r="G576">
        <f>IF(ISBLANK('Data Entry'!$G$576), "", 'Data Entry'!$G$576)</f>
      </c>
      <c r="H576">
        <f>IF(ISBLANK('Data Entry'!$H$576), "", 'Data Entry'!$H$576)</f>
      </c>
      <c r="I576">
        <f>IF(ISBLANK('Data Entry'!$I$576), "", 'Data Entry'!$I$576)</f>
      </c>
      <c r="J576">
        <f>IF(ISBLANK('Data Entry'!$J$576), "", 'Data Entry'!$J$576)</f>
      </c>
      <c r="K576">
        <f>IF(ISBLANK('Data Entry'!$K$576), "", 'Data Entry'!$K$576)</f>
      </c>
      <c r="L576">
        <f>IF(ISBLANK('Data Entry'!$L$576), "", 'Data Entry'!$L$576)</f>
      </c>
      <c r="M576">
        <f>IF(ISBLANK('Data Entry'!$M$576), "", 'Data Entry'!$M$576)</f>
      </c>
      <c r="N576">
        <f>IF(ISBLANK('Data Entry'!$N$576), "", 'Data Entry'!$N$576)</f>
      </c>
      <c r="O576">
        <f>IF(ISBLANK('Data Entry'!$O$576), "", 'Data Entry'!$O$576)</f>
      </c>
      <c r="P576">
        <f>IF(ISBLANK('Data Entry'!$P$576), "", 'Data Entry'!$P$576)</f>
      </c>
      <c r="Q576">
        <f>IF(ISBLANK('Data Entry'!$Q$576), "", 'Data Entry'!$Q$576)</f>
      </c>
      <c r="R576">
        <f>IF(ISBLANK('Data Entry'!$R$576), "", 'Data Entry'!$R$576)</f>
      </c>
      <c r="S576">
        <f>IF(ISBLANK('Data Entry'!$S$576), "", 'Data Entry'!$S$576)</f>
      </c>
      <c r="T576">
        <f>IF(ISBLANK('Data Entry'!$T$576), "", 'Data Entry'!$T$576)</f>
      </c>
      <c r="U576">
        <f>IF(ISBLANK('Data Entry'!$U$576), "", 'Data Entry'!$U$576)</f>
      </c>
      <c r="V576">
        <f>IF(ISBLANK('Data Entry'!$V$576), "", 'Data Entry'!$V$576)</f>
      </c>
      <c r="W576">
        <f>IF(ISBLANK('Data Entry'!$W$576), "", 'Data Entry'!$W$576)</f>
      </c>
      <c r="X576">
        <f>IF(ISBLANK('Data Entry'!$X$576), "", 'Data Entry'!$X$576)</f>
      </c>
      <c r="Y576">
        <f>IF(ISBLANK('Data Entry'!$Y$576), "", 'Data Entry'!$Y$576)</f>
      </c>
      <c r="Z576">
        <f>IF(ISBLANK('Data Entry'!$Z$576), "", 'Data Entry'!$Z$576)</f>
      </c>
      <c r="AA576">
        <f>IF(ISBLANK('Data Entry'!$[$576), "", 'Data Entry'!$[$576)</f>
      </c>
      <c r="AB576">
        <f>IF(ISBLANK('Data Entry'!$\$576), "", 'Data Entry'!$\$576)</f>
      </c>
      <c r="AC576">
        <f>IF(ISBLANK('Data Entry'!$]$576), "", 'Data Entry'!$]$576)</f>
      </c>
      <c r="AD576">
        <f>IF(ISBLANK('Data Entry'!$^$576), "", 'Data Entry'!$^$576)</f>
      </c>
      <c r="AE576">
        <f>IF(ISBLANK('Data Entry'!$_$576), "", 'Data Entry'!$_$576)</f>
      </c>
      <c r="AF576">
        <f>IF(ISBLANK('Data Entry'!$`$576), "", 'Data Entry'!$`$576)</f>
      </c>
      <c r="AG576">
        <f>IF(ISBLANK('Data Entry'!$a$576), "", 'Data Entry'!$a$576)</f>
      </c>
      <c r="AH576">
        <f>IF(ISBLANK('Data Entry'!$b$576), "", 'Data Entry'!$b$576)</f>
      </c>
      <c r="AI576">
        <f>IF(ISBLANK('Data Entry'!$c$576), "", 'Data Entry'!$c$576)</f>
      </c>
      <c r="AJ576">
        <f>IF(ISBLANK('Data Entry'!$d$576), "", 'Data Entry'!$d$576)</f>
      </c>
      <c r="AK576">
        <f>IF(ISBLANK('Data Entry'!$e$576), "", 'Data Entry'!$e$576)</f>
      </c>
      <c r="AL576">
        <f>IF(ISBLANK('Data Entry'!$f$576), "", 'Data Entry'!$f$576)</f>
      </c>
      <c r="AM576">
        <f>IF(ISBLANK('Data Entry'!$g$576), "", 'Data Entry'!$g$576)</f>
      </c>
      <c r="AN576">
        <f>IF(ISBLANK('Data Entry'!$h$576), "", 'Data Entry'!$h$576)</f>
      </c>
      <c r="AO576">
        <f>IF(ISBLANK('Data Entry'!$i$576), "", 'Data Entry'!$i$576)</f>
      </c>
      <c r="AP576">
        <f>IF(ISBLANK('Data Entry'!$j$576), "", 'Data Entry'!$j$576)</f>
      </c>
      <c r="AQ576">
        <f>IF(ISBLANK('Data Entry'!$k$576), "", 'Data Entry'!$k$576)</f>
      </c>
      <c r="AR576">
        <f>IF(ISBLANK('Data Entry'!$l$576), "", 'Data Entry'!$l$576)</f>
      </c>
      <c r="AS576">
        <f>IF(ISBLANK('Data Entry'!$m$576), "", 'Data Entry'!$m$576)</f>
      </c>
      <c r="AT576">
        <f>IF(ISBLANK('Data Entry'!$n$576), "", 'Data Entry'!$n$576)</f>
      </c>
      <c r="AU576">
        <f>IF(ISBLANK('Data Entry'!$o$576), "", 'Data Entry'!$o$576)</f>
      </c>
      <c r="AV576">
        <f>IF(ISBLANK('Data Entry'!$p$576), "", 'Data Entry'!$p$576)</f>
      </c>
      <c r="AW576">
        <f>IF(ISBLANK('Data Entry'!$q$576), "", 'Data Entry'!$q$576)</f>
      </c>
      <c r="AX576">
        <f>IF(ISBLANK('Data Entry'!$r$576), "", 'Data Entry'!$r$576)</f>
      </c>
      <c r="AY576">
        <f>IF(ISBLANK('Data Entry'!$s$576), "", 'Data Entry'!$s$576)</f>
      </c>
      <c r="AZ576">
        <f>IF(ISBLANK('Data Entry'!$t$576), "", 'Data Entry'!$t$576)</f>
      </c>
      <c r="BA576">
        <f>IF(ISBLANK('Data Entry'!$u$576), "", 'Data Entry'!$u$576)</f>
      </c>
      <c r="BB576">
        <f>IF(ISBLANK('Data Entry'!$v$576), "", 'Data Entry'!$v$576)</f>
      </c>
      <c r="BC576">
        <f>IF(ISBLANK('Data Entry'!$w$576), "", 'Data Entry'!$w$576)</f>
      </c>
      <c r="BD576">
        <f>IF(ISBLANK('Data Entry'!$x$576), "", 'Data Entry'!$x$576)</f>
      </c>
      <c r="BE576">
        <f>IF(ISBLANK('Data Entry'!$y$576), "", 'Data Entry'!$y$576)</f>
      </c>
      <c r="BF576">
        <f>IF(ISBLANK('Data Entry'!$z$576), "", 'Data Entry'!$z$576)</f>
      </c>
      <c r="BG576">
        <f>IF(ISBLANK('Data Entry'!${$576), "", 'Data Entry'!${$576)</f>
      </c>
      <c r="BH576">
        <f>IF(ISBLANK('Data Entry'!$|$576), "", 'Data Entry'!$|$576)</f>
      </c>
      <c r="BI576">
        <f>IF(ISBLANK('Data Entry'!$}$576), "", 'Data Entry'!$}$576)</f>
      </c>
      <c r="BJ576">
        <f>IF(ISBLANK('Data Entry'!$~$576), "", 'Data Entry'!$~$576)</f>
      </c>
      <c r="BK576">
        <f>IF(ISBLANK('Data Entry'!$$576), "", 'Data Entry'!$$576)</f>
      </c>
      <c r="BL576">
        <f>IF(ISBLANK('Data Entry'!$$576), "", 'Data Entry'!$$576)</f>
      </c>
      <c r="BM576">
        <f>IF(ISBLANK('Data Entry'!$$576), "", 'Data Entry'!$$576)</f>
      </c>
      <c r="BN576">
        <f>IF(ISBLANK('Data Entry'!$$576), "", 'Data Entry'!$$576)</f>
      </c>
      <c r="BO576">
        <f>IF(ISBLANK('Data Entry'!$$576), "", 'Data Entry'!$$576)</f>
      </c>
      <c r="BP576">
        <f>IF(ISBLANK('Data Entry'!$$576), "", 'Data Entry'!$$576)</f>
      </c>
      <c r="BQ576">
        <f>IF(ISBLANK('Data Entry'!$$576), "", 'Data Entry'!$$576)</f>
      </c>
      <c r="BR576">
        <f>IF(ISBLANK('Data Entry'!$$576), "", 'Data Entry'!$$576)</f>
      </c>
      <c r="BS576">
        <f>IF(ISBLANK('Data Entry'!$$576), "", 'Data Entry'!$$576)</f>
      </c>
      <c r="BT576">
        <f>IF(ISBLANK('Data Entry'!$$576), "", 'Data Entry'!$$576)</f>
      </c>
      <c r="BU576">
        <f>IF(ISBLANK('Data Entry'!$$576), "", 'Data Entry'!$$576)</f>
      </c>
      <c r="BV576">
        <f>IF(ISBLANK('Data Entry'!$$576), "", 'Data Entry'!$$576)</f>
      </c>
      <c r="BW576">
        <f>IF(ISBLANK('Data Entry'!$$576), "", 'Data Entry'!$$576)</f>
      </c>
      <c r="BX576">
        <f>IF(ISBLANK('Data Entry'!$$576), "", 'Data Entry'!$$576)</f>
      </c>
      <c r="BY576">
        <f>IF(ISBLANK('Data Entry'!$$576), "", 'Data Entry'!$$576)</f>
      </c>
      <c r="BZ576">
        <f>IF(ISBLANK('Data Entry'!$$576), "", 'Data Entry'!$$576)</f>
      </c>
      <c r="CA576">
        <f>IF(ISBLANK('Data Entry'!$$576), "", 'Data Entry'!$$576)</f>
      </c>
      <c r="CB576">
        <f>IF(ISBLANK('Data Entry'!$$576), "", 'Data Entry'!$$576)</f>
      </c>
      <c r="CC576">
        <f>IF(ISBLANK('Data Entry'!$$576), "", 'Data Entry'!$$576)</f>
      </c>
      <c r="CD576">
        <f>IF(ISBLANK('Data Entry'!$$576), "", 'Data Entry'!$$576)</f>
      </c>
      <c r="CE576">
        <f>IF(ISBLANK('Data Entry'!$$576), "", 'Data Entry'!$$576)</f>
      </c>
      <c r="CF576">
        <f>IF(ISBLANK('Data Entry'!$$576), "", 'Data Entry'!$$576)</f>
      </c>
      <c r="CG576">
        <f>IF(ISBLANK('Data Entry'!$$576), "", 'Data Entry'!$$576)</f>
      </c>
      <c r="CH576">
        <f>IF(ISBLANK('Data Entry'!$$576), "", 'Data Entry'!$$576)</f>
      </c>
      <c r="CI576">
        <f>IF(ISBLANK('Data Entry'!$$576), "", 'Data Entry'!$$576)</f>
      </c>
      <c r="CJ576">
        <f>IF(ISBLANK('Data Entry'!$$576), "", 'Data Entry'!$$576)</f>
      </c>
      <c r="CK576">
        <f>IF(ISBLANK('Data Entry'!$$576), "", 'Data Entry'!$$576)</f>
      </c>
      <c r="CL576">
        <f>IF(ISBLANK('Data Entry'!$$576), "", 'Data Entry'!$$576)</f>
      </c>
      <c r="CM576">
        <f>IF(ISBLANK('Data Entry'!$$576), "", 'Data Entry'!$$576)</f>
      </c>
      <c r="CN576">
        <f>IF(ISBLANK('Data Entry'!$$576), "", 'Data Entry'!$$576)</f>
      </c>
      <c r="CO576">
        <f>IF(ISBLANK('Data Entry'!$$576), "", 'Data Entry'!$$576)</f>
      </c>
      <c r="CP576">
        <f>IF(ISBLANK('Data Entry'!$$576), "", 'Data Entry'!$$576)</f>
      </c>
      <c r="CQ576">
        <f>IF(ISBLANK('Data Entry'!$$576), "", 'Data Entry'!$$576)</f>
      </c>
      <c r="CR576">
        <f>IF(ISBLANK('Data Entry'!$ $576), "", 'Data Entry'!$ $576)</f>
      </c>
      <c r="CS576">
        <f>IF(ISBLANK('Data Entry'!$¡$576), "", 'Data Entry'!$¡$576)</f>
      </c>
      <c r="CT576">
        <f>IF(ISBLANK('Data Entry'!$¢$576), "", 'Data Entry'!$¢$576)</f>
      </c>
      <c r="CU576">
        <f>IF(ISBLANK('Data Entry'!$£$576), "", 'Data Entry'!$£$576)</f>
      </c>
      <c r="CV576">
        <f>IF(ISBLANK('Data Entry'!$¤$576), "", 'Data Entry'!$¤$576)</f>
      </c>
      <c r="CW576">
        <f>IF(ISBLANK('Data Entry'!$¥$576), "", 'Data Entry'!$¥$576)</f>
      </c>
      <c r="CX576">
        <f>IF(ISBLANK('Data Entry'!$¦$576), "", 'Data Entry'!$¦$576)</f>
      </c>
      <c r="CY576">
        <f>IF(ISBLANK('Data Entry'!$§$576), "", 'Data Entry'!$§$576)</f>
      </c>
      <c r="CZ576">
        <f>IF(ISBLANK('Data Entry'!$¨$576), "", 'Data Entry'!$¨$576)</f>
      </c>
      <c r="DA576">
        <f>IF(ISBLANK('Data Entry'!$©$576), "", 'Data Entry'!$©$576)</f>
      </c>
      <c r="DB576">
        <f>IF(ISBLANK('Data Entry'!$ª$576), "", 'Data Entry'!$ª$576)</f>
      </c>
      <c r="DC576">
        <f>IF(ISBLANK('Data Entry'!$«$576), "", 'Data Entry'!$«$576)</f>
      </c>
      <c r="DD576">
        <f>IF(ISBLANK('Data Entry'!$¬$576), "", 'Data Entry'!$¬$576)</f>
      </c>
      <c r="DE576">
        <f>IF(ISBLANK('Data Entry'!$­$576), "", 'Data Entry'!$­$576)</f>
      </c>
      <c r="DF576">
        <f>IF(ISBLANK('Data Entry'!$®$576), "", 'Data Entry'!$®$576)</f>
      </c>
      <c r="DG576">
        <f>IF(ISBLANK('Data Entry'!$¯$576), "", 'Data Entry'!$¯$576)</f>
      </c>
      <c r="DH576">
        <f>IF(ISBLANK('Data Entry'!$°$576), "", 'Data Entry'!$°$576)</f>
      </c>
      <c r="DI576">
        <f>IF(ISBLANK('Data Entry'!$±$576), "", 'Data Entry'!$±$576)</f>
      </c>
      <c r="DJ576">
        <f>IF(ISBLANK('Data Entry'!$²$576), "", 'Data Entry'!$²$576)</f>
      </c>
      <c r="DK576">
        <f>IF(ISBLANK('Data Entry'!$³$576), "", 'Data Entry'!$³$576)</f>
      </c>
      <c r="DL576">
        <f>IF(ISBLANK('Data Entry'!$´$576), "", 'Data Entry'!$´$576)</f>
      </c>
      <c r="DM576">
        <f>IF(ISBLANK('Data Entry'!$µ$576), "", 'Data Entry'!$µ$576)</f>
      </c>
      <c r="DN576">
        <f>IF(ISBLANK('Data Entry'!$¶$576), "", 'Data Entry'!$¶$576)</f>
      </c>
      <c r="DO576">
        <f>IF(ISBLANK('Data Entry'!$·$576), "", 'Data Entry'!$·$576)</f>
      </c>
      <c r="DP576">
        <f>IF(ISBLANK('Data Entry'!$¸$576), "", 'Data Entry'!$¸$576)</f>
      </c>
      <c r="DQ576">
        <f>IF(ISBLANK('Data Entry'!$¹$576), "", 'Data Entry'!$¹$576)</f>
      </c>
      <c r="DR576">
        <f>IF(ISBLANK('Data Entry'!$º$576), "", 'Data Entry'!$º$576)</f>
      </c>
      <c r="DS576">
        <f>IF(ISBLANK('Data Entry'!$»$576), "", 'Data Entry'!$»$576)</f>
      </c>
      <c r="DT576">
        <f>IF(ISBLANK('Data Entry'!$¼$576), "", 'Data Entry'!$¼$576)</f>
      </c>
      <c r="DU576">
        <f>IF(ISBLANK('Data Entry'!$½$576), "", 'Data Entry'!$½$576)</f>
      </c>
      <c r="DV576">
        <f>IF(ISBLANK('Data Entry'!$¾$576), "", 'Data Entry'!$¾$576)</f>
      </c>
      <c r="DW576">
        <f>IF(ISBLANK('Data Entry'!$¿$576), "", 'Data Entry'!$¿$576)</f>
      </c>
      <c r="DX576">
        <f>IF(ISBLANK('Data Entry'!$À$576), "", 'Data Entry'!$À$576)</f>
      </c>
      <c r="DY576">
        <f>IF(ISBLANK('Data Entry'!$Á$576), "", 'Data Entry'!$Á$576)</f>
      </c>
      <c r="DZ576">
        <f>IF(ISBLANK('Data Entry'!$Â$576), "", 'Data Entry'!$Â$576)</f>
      </c>
      <c r="EA576">
        <f>IF(ISBLANK('Data Entry'!$Ã$576), "", 'Data Entry'!$Ã$576)</f>
      </c>
      <c r="EB576">
        <f>IF(ISBLANK('Data Entry'!$Ä$576), "", 'Data Entry'!$Ä$576)</f>
      </c>
      <c r="EC576">
        <f>IF(ISBLANK('Data Entry'!$Å$576), "", 'Data Entry'!$Å$576)</f>
      </c>
      <c r="ED576">
        <f>IF(ISBLANK('Data Entry'!$Æ$576), "", 'Data Entry'!$Æ$576)</f>
      </c>
      <c r="EE576">
        <f>IF(ISBLANK('Data Entry'!$Ç$576), "", 'Data Entry'!$Ç$576)</f>
      </c>
      <c r="EF576">
        <f>IF(ISBLANK('Data Entry'!$È$576), "", 'Data Entry'!$È$576)</f>
      </c>
      <c r="EG576">
        <f>IF(ISBLANK('Data Entry'!$É$576), "", 'Data Entry'!$É$576)</f>
      </c>
      <c r="EH576">
        <f>IF(ISBLANK('Data Entry'!$Ê$576), "", 'Data Entry'!$Ê$576)</f>
      </c>
      <c r="EI576">
        <f>IF(ISBLANK('Data Entry'!$Ë$576), "", 'Data Entry'!$Ë$576)</f>
      </c>
      <c r="EJ576">
        <f>IF(ISBLANK('Data Entry'!$Ì$576), "", 'Data Entry'!$Ì$576)</f>
      </c>
      <c r="EK576">
        <f>IF(ISBLANK('Data Entry'!$Í$576), "", 'Data Entry'!$Í$576)</f>
      </c>
      <c r="EL576">
        <f>IF(ISBLANK('Data Entry'!$Î$576), "", 'Data Entry'!$Î$576)</f>
      </c>
      <c r="EM576">
        <f>IF(ISBLANK('Data Entry'!$Ï$576), "", 'Data Entry'!$Ï$576)</f>
      </c>
      <c r="EN576">
        <f>IF(ISBLANK('Data Entry'!$Ð$576), "", 'Data Entry'!$Ð$576)</f>
      </c>
      <c r="EO576">
        <f>IF(ISBLANK('Data Entry'!$Ñ$576), "", 'Data Entry'!$Ñ$576)</f>
      </c>
      <c r="EP576">
        <f>IF(ISBLANK('Data Entry'!$Ò$576), "", 'Data Entry'!$Ò$576)</f>
      </c>
      <c r="EQ576">
        <f>IF(ISBLANK('Data Entry'!$Ó$576), "", 'Data Entry'!$Ó$576)</f>
      </c>
      <c r="ER576">
        <f>IF(ISBLANK('Data Entry'!$Ô$576), "", 'Data Entry'!$Ô$576)</f>
      </c>
      <c r="ES576">
        <f>IF(ISBLANK('Data Entry'!$Õ$576), "", 'Data Entry'!$Õ$576)</f>
      </c>
      <c r="ET576">
        <f>IF(ISBLANK('Data Entry'!$Ö$576), "", 'Data Entry'!$Ö$576)</f>
      </c>
      <c r="EU576">
        <f>IF(ISBLANK('Data Entry'!$×$576), "", 'Data Entry'!$×$576)</f>
      </c>
      <c r="EV576">
        <f>IF(ISBLANK('Data Entry'!$Ø$576), "", 'Data Entry'!$Ø$576)</f>
      </c>
      <c r="EW576">
        <f>IF(ISBLANK('Data Entry'!$Ù$576), "", 'Data Entry'!$Ù$576)</f>
      </c>
      <c r="EX576">
        <f>IF(ISBLANK('Data Entry'!$Ú$576), "", 'Data Entry'!$Ú$576)</f>
      </c>
      <c r="EY576">
        <f>IF(ISBLANK('Data Entry'!$Û$576), "", 'Data Entry'!$Û$576)</f>
      </c>
      <c r="EZ576">
        <f>IF(ISBLANK('Data Entry'!$Ü$576), "", 'Data Entry'!$Ü$576)</f>
      </c>
      <c r="FA576">
        <f>IF(ISBLANK('Data Entry'!$Ý$576), "", 'Data Entry'!$Ý$576)</f>
      </c>
      <c r="FB576">
        <f>IF(ISBLANK('Data Entry'!$Þ$576), "", 'Data Entry'!$Þ$576)</f>
      </c>
      <c r="FC576">
        <f>IF(ISBLANK('Data Entry'!$ß$576), "", 'Data Entry'!$ß$576)</f>
      </c>
      <c r="FD576">
        <f>IF(ISBLANK('Data Entry'!$à$576), "", 'Data Entry'!$à$576)</f>
      </c>
      <c r="FE576">
        <f>IF(ISBLANK('Data Entry'!$á$576), "", 'Data Entry'!$á$576)</f>
      </c>
      <c r="FF576">
        <f>IF(ISBLANK('Data Entry'!$â$576), "", 'Data Entry'!$â$576)</f>
      </c>
      <c r="FG576">
        <f>IF(ISBLANK('Data Entry'!$ã$576), "", 'Data Entry'!$ã$576)</f>
      </c>
      <c r="FH576">
        <f>IF(ISBLANK('Data Entry'!$ä$576), "", 'Data Entry'!$ä$576)</f>
      </c>
      <c r="FI576">
        <f>IF(ISBLANK('Data Entry'!$å$576), "", 'Data Entry'!$å$576)</f>
      </c>
      <c r="FJ576">
        <f>IF(ISBLANK('Data Entry'!$æ$576), "", 'Data Entry'!$æ$576)</f>
      </c>
      <c r="FK576">
        <f>IF(ISBLANK('Data Entry'!$ç$576), "", 'Data Entry'!$ç$576)</f>
      </c>
      <c r="FL576">
        <f>IF(ISBLANK('Data Entry'!$è$576), "", 'Data Entry'!$è$576)</f>
      </c>
      <c r="FM576">
        <f>IF(ISBLANK('Data Entry'!$é$576), "", 'Data Entry'!$é$576)</f>
      </c>
      <c r="FN576">
        <f>IF(ISBLANK('Data Entry'!$ê$576), "", 'Data Entry'!$ê$576)</f>
      </c>
      <c r="FO576">
        <f>IF(ISBLANK('Data Entry'!$ë$576), "", 'Data Entry'!$ë$576)</f>
      </c>
      <c r="FP576">
        <f>IF(ISBLANK('Data Entry'!$ì$576), "", 'Data Entry'!$ì$576)</f>
      </c>
      <c r="FQ576">
        <f>IF(ISBLANK('Data Entry'!$í$576), "", 'Data Entry'!$í$576)</f>
      </c>
      <c r="FR576">
        <f>IF(ISBLANK('Data Entry'!$î$576), "", 'Data Entry'!$î$576)</f>
      </c>
      <c r="FS576">
        <f>IF(ISBLANK('Data Entry'!$ï$576), "", 'Data Entry'!$ï$576)</f>
      </c>
      <c r="FT576">
        <f>IF(ISBLANK('Data Entry'!$ð$576), "", 'Data Entry'!$ð$576)</f>
      </c>
      <c r="FU576">
        <f>IF(ISBLANK('Data Entry'!$ñ$576), "", 'Data Entry'!$ñ$576)</f>
      </c>
      <c r="FV576">
        <f>IF(ISBLANK('Data Entry'!$ò$576), "", 'Data Entry'!$ò$576)</f>
      </c>
      <c r="FW576">
        <f>IF(ISBLANK('Data Entry'!$ó$576), "", 'Data Entry'!$ó$576)</f>
      </c>
      <c r="FX576">
        <f>IF(ISBLANK('Data Entry'!$ô$576), "", 'Data Entry'!$ô$576)</f>
      </c>
      <c r="FY576">
        <f>IF(ISBLANK('Data Entry'!$õ$576), "", 'Data Entry'!$õ$576)</f>
      </c>
      <c r="FZ576">
        <f>IF(ISBLANK('Data Entry'!$ö$576), "", 'Data Entry'!$ö$576)</f>
      </c>
      <c r="GA576">
        <f>IF(ISBLANK('Data Entry'!$÷$576), "", 'Data Entry'!$÷$576)</f>
      </c>
      <c r="GB576">
        <f>IF(ISBLANK('Data Entry'!$ø$576), "", 'Data Entry'!$ø$576)</f>
      </c>
      <c r="GC576">
        <f>IF(ISBLANK('Data Entry'!$ù$576), "", 'Data Entry'!$ù$576)</f>
      </c>
      <c r="GD576">
        <f>IF(ISBLANK('Data Entry'!$ú$576), "", 'Data Entry'!$ú$576)</f>
      </c>
      <c r="GE576">
        <f>IF(ISBLANK('Data Entry'!$û$576), "", 'Data Entry'!$û$576)</f>
      </c>
      <c r="GF576">
        <f>IF(ISBLANK('Data Entry'!$ü$576), "", 'Data Entry'!$ü$576)</f>
      </c>
      <c r="GG576">
        <f>IF(ISBLANK('Data Entry'!$ý$576), "", 'Data Entry'!$ý$576)</f>
      </c>
      <c r="GH576">
        <f>IF(ISBLANK('Data Entry'!$þ$576), "", 'Data Entry'!$þ$576)</f>
      </c>
      <c r="GI576">
        <f>IF(ISBLANK('Data Entry'!$ÿ$576), "", 'Data Entry'!$ÿ$576)</f>
      </c>
      <c r="GJ576">
        <f>IF(ISBLANK('Data Entry'!$Ā$576), "", 'Data Entry'!$Ā$576)</f>
      </c>
      <c r="GK576">
        <f>IF(ISBLANK('Data Entry'!$ā$576), "", 'Data Entry'!$ā$576)</f>
      </c>
      <c r="GL576">
        <f>IF(ISBLANK('Data Entry'!$Ă$576), "", 'Data Entry'!$Ă$576)</f>
      </c>
      <c r="GM576">
        <f>IF(ISBLANK('Data Entry'!$ă$576), "", 'Data Entry'!$ă$576)</f>
      </c>
      <c r="GN576">
        <f>IF(ISBLANK('Data Entry'!$Ą$576), "", 'Data Entry'!$Ą$576)</f>
      </c>
      <c r="GO576">
        <f>IF(ISBLANK('Data Entry'!$ą$576), "", 'Data Entry'!$ą$576)</f>
      </c>
      <c r="GP576">
        <f>IF(ISBLANK('Data Entry'!$Ć$576), "", 'Data Entry'!$Ć$576)</f>
      </c>
      <c r="GQ576">
        <f>IF(ISBLANK('Data Entry'!$ć$576), "", 'Data Entry'!$ć$576)</f>
      </c>
      <c r="GR576">
        <f>IF(ISBLANK('Data Entry'!$Ĉ$576), "", 'Data Entry'!$Ĉ$576)</f>
      </c>
      <c r="GS576">
        <f>IF(ISBLANK('Data Entry'!$ĉ$576), "", 'Data Entry'!$ĉ$576)</f>
      </c>
      <c r="GT576">
        <f>IF(ISBLANK('Data Entry'!$Ċ$576), "", 'Data Entry'!$Ċ$576)</f>
      </c>
      <c r="GU576">
        <f>IF(ISBLANK('Data Entry'!$ċ$576), "", 'Data Entry'!$ċ$576)</f>
      </c>
      <c r="GV576">
        <f>IF(ISBLANK('Data Entry'!$Č$576), "", 'Data Entry'!$Č$576)</f>
      </c>
      <c r="GW576">
        <f>IF(ISBLANK('Data Entry'!$č$576), "", 'Data Entry'!$č$576)</f>
      </c>
      <c r="GX576">
        <f>IF(ISBLANK('Data Entry'!$Ď$576), "", 'Data Entry'!$Ď$576)</f>
      </c>
      <c r="GY576">
        <f>IF(ISBLANK('Data Entry'!$ď$576), "", 'Data Entry'!$ď$576)</f>
      </c>
      <c r="GZ576">
        <f>IF(ISBLANK('Data Entry'!$Đ$576), "", 'Data Entry'!$Đ$576)</f>
      </c>
      <c r="HA576">
        <f>IF(ISBLANK('Data Entry'!$đ$576), "", 'Data Entry'!$đ$576)</f>
      </c>
      <c r="HB576">
        <f>IF(ISBLANK('Data Entry'!$Ē$576), "", 'Data Entry'!$Ē$576)</f>
      </c>
      <c r="HC576">
        <f>IF(ISBLANK('Data Entry'!$ē$576), "", 'Data Entry'!$ē$576)</f>
      </c>
      <c r="HD576">
        <f>IF(ISBLANK('Data Entry'!$Ĕ$576), "", 'Data Entry'!$Ĕ$576)</f>
      </c>
      <c r="HE576">
        <f>IF(ISBLANK('Data Entry'!$ĕ$576), "", 'Data Entry'!$ĕ$576)</f>
      </c>
      <c r="HF576">
        <f>IF(ISBLANK('Data Entry'!$Ė$576), "", 'Data Entry'!$Ė$576)</f>
      </c>
      <c r="HG576">
        <f>IF(ISBLANK('Data Entry'!$ė$576), "", 'Data Entry'!$ė$576)</f>
      </c>
      <c r="HH576">
        <f>IF(ISBLANK('Data Entry'!$Ę$576), "", 'Data Entry'!$Ę$576)</f>
      </c>
      <c r="HI576">
        <f>IF(ISBLANK('Data Entry'!$ę$576), "", 'Data Entry'!$ę$576)</f>
      </c>
      <c r="HJ576">
        <f>IF(ISBLANK('Data Entry'!$Ě$576), "", 'Data Entry'!$Ě$576)</f>
      </c>
      <c r="HK576">
        <f>IF(ISBLANK('Data Entry'!$ě$576), "", 'Data Entry'!$ě$576)</f>
      </c>
      <c r="HL576">
        <f>IF(ISBLANK('Data Entry'!$Ĝ$576), "", 'Data Entry'!$Ĝ$576)</f>
      </c>
      <c r="HM576">
        <f>IF(ISBLANK('Data Entry'!$ĝ$576), "", 'Data Entry'!$ĝ$576)</f>
      </c>
      <c r="HN576">
        <f>IF(ISBLANK('Data Entry'!$Ğ$576), "", 'Data Entry'!$Ğ$576)</f>
      </c>
      <c r="HO576">
        <f>IF(ISBLANK('Data Entry'!$ğ$576), "", 'Data Entry'!$ğ$576)</f>
      </c>
      <c r="HP576">
        <f>IF(ISBLANK('Data Entry'!$Ġ$576), "", 'Data Entry'!$Ġ$576)</f>
      </c>
      <c r="HQ576">
        <f>IF(ISBLANK('Data Entry'!$ġ$576), "", 'Data Entry'!$ġ$576)</f>
      </c>
      <c r="HR576">
        <f>IF(ISBLANK('Data Entry'!$Ģ$576), "", 'Data Entry'!$Ģ$576)</f>
      </c>
      <c r="HS576">
        <f>IF(ISBLANK('Data Entry'!$ģ$576), "", 'Data Entry'!$ģ$576)</f>
      </c>
      <c r="HT576">
        <f>IF(ISBLANK('Data Entry'!$Ĥ$576), "", 'Data Entry'!$Ĥ$576)</f>
      </c>
      <c r="HU576">
        <f>IF(ISBLANK('Data Entry'!$ĥ$576), "", 'Data Entry'!$ĥ$576)</f>
      </c>
      <c r="HV576">
        <f>IF(ISBLANK('Data Entry'!$Ħ$576), "", 'Data Entry'!$Ħ$576)</f>
      </c>
      <c r="HW576">
        <f>IF(ISBLANK('Data Entry'!$ħ$576), "", 'Data Entry'!$ħ$576)</f>
      </c>
      <c r="HX576">
        <f>IF(ISBLANK('Data Entry'!$Ĩ$576), "", 'Data Entry'!$Ĩ$576)</f>
      </c>
      <c r="HY576">
        <f>IF(ISBLANK('Data Entry'!$ĩ$576), "", 'Data Entry'!$ĩ$576)</f>
      </c>
      <c r="HZ576">
        <f>IF(ISBLANK('Data Entry'!$Ī$576), "", 'Data Entry'!$Ī$576)</f>
      </c>
      <c r="IA576">
        <f>IF(ISBLANK('Data Entry'!$ī$576), "", 'Data Entry'!$ī$576)</f>
      </c>
      <c r="IB576">
        <f>IF(ISBLANK('Data Entry'!$Ĭ$576), "", 'Data Entry'!$Ĭ$576)</f>
      </c>
      <c r="IC576">
        <f>IF(ISBLANK('Data Entry'!$ĭ$576), "", 'Data Entry'!$ĭ$576)</f>
      </c>
      <c r="ID576">
        <f>IF(ISBLANK('Data Entry'!$Į$576), "", 'Data Entry'!$Į$576)</f>
      </c>
      <c r="IE576">
        <f>IF(ISBLANK('Data Entry'!$į$576), "", 'Data Entry'!$į$576)</f>
      </c>
      <c r="IF576">
        <f>IF(ISBLANK('Data Entry'!$İ$576), "", 'Data Entry'!$İ$576)</f>
      </c>
      <c r="IG576">
        <f>IF(ISBLANK('Data Entry'!$ı$576), "", 'Data Entry'!$ı$576)</f>
      </c>
      <c r="IH576">
        <f>IF(ISBLANK('Data Entry'!$Ĳ$576), "", 'Data Entry'!$Ĳ$576)</f>
      </c>
      <c r="II576">
        <f>IF(ISBLANK('Data Entry'!$ĳ$576), "", 'Data Entry'!$ĳ$576)</f>
      </c>
      <c r="IJ576">
        <f>IF(ISBLANK('Data Entry'!$Ĵ$576), "", 'Data Entry'!$Ĵ$576)</f>
      </c>
      <c r="IK576">
        <f>IF(ISBLANK('Data Entry'!$ĵ$576), "", 'Data Entry'!$ĵ$576)</f>
      </c>
      <c r="IL576">
        <f>IF(ISBLANK('Data Entry'!$Ķ$576), "", 'Data Entry'!$Ķ$576)</f>
      </c>
      <c r="IM576">
        <f>IF(ISBLANK('Data Entry'!$ķ$576), "", 'Data Entry'!$ķ$576)</f>
      </c>
      <c r="IN576">
        <f>IF(ISBLANK('Data Entry'!$ĸ$576), "", 'Data Entry'!$ĸ$576)</f>
      </c>
      <c r="IO576">
        <f>IF(ISBLANK('Data Entry'!$Ĺ$576), "", 'Data Entry'!$Ĺ$576)</f>
      </c>
      <c r="IP576">
        <f>IF(ISBLANK('Data Entry'!$ĺ$576), "", 'Data Entry'!$ĺ$576)</f>
      </c>
      <c r="IQ576">
        <f>IF(ISBLANK('Data Entry'!$Ļ$576), "", 'Data Entry'!$Ļ$576)</f>
      </c>
      <c r="IR576">
        <f>IF(ISBLANK('Data Entry'!$ļ$576), "", 'Data Entry'!$ļ$576)</f>
      </c>
      <c r="IS576">
        <f>IF(ISBLANK('Data Entry'!$Ľ$576), "", 'Data Entry'!$Ľ$576)</f>
      </c>
      <c r="IT576">
        <f>IF(ISBLANK('Data Entry'!$ľ$576), "", 'Data Entry'!$ľ$576)</f>
      </c>
    </row>
    <row r="577" spans="1:254" x14ac:dyDescent="0.25">
      <c r="A577">
        <f>IF(ISBLANK('Data Entry'!$A$577), "", 'Data Entry'!$A$577)</f>
      </c>
      <c r="B577">
        <f>IF(ISBLANK('Data Entry'!$B$577), "", 'Data Entry'!$B$577)</f>
      </c>
      <c r="C577">
        <f>IF(ISBLANK('Data Entry'!$C$577), "", 'Data Entry'!$C$577)</f>
      </c>
      <c r="D577">
        <f>IF(ISBLANK('Data Entry'!$D$577), "", 'Data Entry'!$D$577)</f>
      </c>
      <c r="E577">
        <f>IF(ISBLANK('Data Entry'!$E$577), "", 'Data Entry'!$E$577)</f>
      </c>
      <c r="F577">
        <f>IF(ISBLANK('Data Entry'!$F$577), "", 'Data Entry'!$F$577)</f>
      </c>
      <c r="G577">
        <f>IF(ISBLANK('Data Entry'!$G$577), "", 'Data Entry'!$G$577)</f>
      </c>
      <c r="H577">
        <f>IF(ISBLANK('Data Entry'!$H$577), "", 'Data Entry'!$H$577)</f>
      </c>
      <c r="I577">
        <f>IF(ISBLANK('Data Entry'!$I$577), "", 'Data Entry'!$I$577)</f>
      </c>
      <c r="J577">
        <f>IF(ISBLANK('Data Entry'!$J$577), "", 'Data Entry'!$J$577)</f>
      </c>
      <c r="K577">
        <f>IF(ISBLANK('Data Entry'!$K$577), "", 'Data Entry'!$K$577)</f>
      </c>
      <c r="L577">
        <f>IF(ISBLANK('Data Entry'!$L$577), "", 'Data Entry'!$L$577)</f>
      </c>
      <c r="M577">
        <f>IF(ISBLANK('Data Entry'!$M$577), "", 'Data Entry'!$M$577)</f>
      </c>
      <c r="N577">
        <f>IF(ISBLANK('Data Entry'!$N$577), "", 'Data Entry'!$N$577)</f>
      </c>
      <c r="O577">
        <f>IF(ISBLANK('Data Entry'!$O$577), "", 'Data Entry'!$O$577)</f>
      </c>
      <c r="P577">
        <f>IF(ISBLANK('Data Entry'!$P$577), "", 'Data Entry'!$P$577)</f>
      </c>
      <c r="Q577">
        <f>IF(ISBLANK('Data Entry'!$Q$577), "", 'Data Entry'!$Q$577)</f>
      </c>
      <c r="R577">
        <f>IF(ISBLANK('Data Entry'!$R$577), "", 'Data Entry'!$R$577)</f>
      </c>
      <c r="S577">
        <f>IF(ISBLANK('Data Entry'!$S$577), "", 'Data Entry'!$S$577)</f>
      </c>
      <c r="T577">
        <f>IF(ISBLANK('Data Entry'!$T$577), "", 'Data Entry'!$T$577)</f>
      </c>
      <c r="U577">
        <f>IF(ISBLANK('Data Entry'!$U$577), "", 'Data Entry'!$U$577)</f>
      </c>
      <c r="V577">
        <f>IF(ISBLANK('Data Entry'!$V$577), "", 'Data Entry'!$V$577)</f>
      </c>
      <c r="W577">
        <f>IF(ISBLANK('Data Entry'!$W$577), "", 'Data Entry'!$W$577)</f>
      </c>
      <c r="X577">
        <f>IF(ISBLANK('Data Entry'!$X$577), "", 'Data Entry'!$X$577)</f>
      </c>
      <c r="Y577">
        <f>IF(ISBLANK('Data Entry'!$Y$577), "", 'Data Entry'!$Y$577)</f>
      </c>
      <c r="Z577">
        <f>IF(ISBLANK('Data Entry'!$Z$577), "", 'Data Entry'!$Z$577)</f>
      </c>
      <c r="AA577">
        <f>IF(ISBLANK('Data Entry'!$[$577), "", 'Data Entry'!$[$577)</f>
      </c>
      <c r="AB577">
        <f>IF(ISBLANK('Data Entry'!$\$577), "", 'Data Entry'!$\$577)</f>
      </c>
      <c r="AC577">
        <f>IF(ISBLANK('Data Entry'!$]$577), "", 'Data Entry'!$]$577)</f>
      </c>
      <c r="AD577">
        <f>IF(ISBLANK('Data Entry'!$^$577), "", 'Data Entry'!$^$577)</f>
      </c>
      <c r="AE577">
        <f>IF(ISBLANK('Data Entry'!$_$577), "", 'Data Entry'!$_$577)</f>
      </c>
      <c r="AF577">
        <f>IF(ISBLANK('Data Entry'!$`$577), "", 'Data Entry'!$`$577)</f>
      </c>
      <c r="AG577">
        <f>IF(ISBLANK('Data Entry'!$a$577), "", 'Data Entry'!$a$577)</f>
      </c>
      <c r="AH577">
        <f>IF(ISBLANK('Data Entry'!$b$577), "", 'Data Entry'!$b$577)</f>
      </c>
      <c r="AI577">
        <f>IF(ISBLANK('Data Entry'!$c$577), "", 'Data Entry'!$c$577)</f>
      </c>
      <c r="AJ577">
        <f>IF(ISBLANK('Data Entry'!$d$577), "", 'Data Entry'!$d$577)</f>
      </c>
      <c r="AK577">
        <f>IF(ISBLANK('Data Entry'!$e$577), "", 'Data Entry'!$e$577)</f>
      </c>
      <c r="AL577">
        <f>IF(ISBLANK('Data Entry'!$f$577), "", 'Data Entry'!$f$577)</f>
      </c>
      <c r="AM577">
        <f>IF(ISBLANK('Data Entry'!$g$577), "", 'Data Entry'!$g$577)</f>
      </c>
      <c r="AN577">
        <f>IF(ISBLANK('Data Entry'!$h$577), "", 'Data Entry'!$h$577)</f>
      </c>
      <c r="AO577">
        <f>IF(ISBLANK('Data Entry'!$i$577), "", 'Data Entry'!$i$577)</f>
      </c>
      <c r="AP577">
        <f>IF(ISBLANK('Data Entry'!$j$577), "", 'Data Entry'!$j$577)</f>
      </c>
      <c r="AQ577">
        <f>IF(ISBLANK('Data Entry'!$k$577), "", 'Data Entry'!$k$577)</f>
      </c>
      <c r="AR577">
        <f>IF(ISBLANK('Data Entry'!$l$577), "", 'Data Entry'!$l$577)</f>
      </c>
      <c r="AS577">
        <f>IF(ISBLANK('Data Entry'!$m$577), "", 'Data Entry'!$m$577)</f>
      </c>
      <c r="AT577">
        <f>IF(ISBLANK('Data Entry'!$n$577), "", 'Data Entry'!$n$577)</f>
      </c>
      <c r="AU577">
        <f>IF(ISBLANK('Data Entry'!$o$577), "", 'Data Entry'!$o$577)</f>
      </c>
      <c r="AV577">
        <f>IF(ISBLANK('Data Entry'!$p$577), "", 'Data Entry'!$p$577)</f>
      </c>
      <c r="AW577">
        <f>IF(ISBLANK('Data Entry'!$q$577), "", 'Data Entry'!$q$577)</f>
      </c>
      <c r="AX577">
        <f>IF(ISBLANK('Data Entry'!$r$577), "", 'Data Entry'!$r$577)</f>
      </c>
      <c r="AY577">
        <f>IF(ISBLANK('Data Entry'!$s$577), "", 'Data Entry'!$s$577)</f>
      </c>
      <c r="AZ577">
        <f>IF(ISBLANK('Data Entry'!$t$577), "", 'Data Entry'!$t$577)</f>
      </c>
      <c r="BA577">
        <f>IF(ISBLANK('Data Entry'!$u$577), "", 'Data Entry'!$u$577)</f>
      </c>
      <c r="BB577">
        <f>IF(ISBLANK('Data Entry'!$v$577), "", 'Data Entry'!$v$577)</f>
      </c>
      <c r="BC577">
        <f>IF(ISBLANK('Data Entry'!$w$577), "", 'Data Entry'!$w$577)</f>
      </c>
      <c r="BD577">
        <f>IF(ISBLANK('Data Entry'!$x$577), "", 'Data Entry'!$x$577)</f>
      </c>
      <c r="BE577">
        <f>IF(ISBLANK('Data Entry'!$y$577), "", 'Data Entry'!$y$577)</f>
      </c>
      <c r="BF577">
        <f>IF(ISBLANK('Data Entry'!$z$577), "", 'Data Entry'!$z$577)</f>
      </c>
      <c r="BG577">
        <f>IF(ISBLANK('Data Entry'!${$577), "", 'Data Entry'!${$577)</f>
      </c>
      <c r="BH577">
        <f>IF(ISBLANK('Data Entry'!$|$577), "", 'Data Entry'!$|$577)</f>
      </c>
      <c r="BI577">
        <f>IF(ISBLANK('Data Entry'!$}$577), "", 'Data Entry'!$}$577)</f>
      </c>
      <c r="BJ577">
        <f>IF(ISBLANK('Data Entry'!$~$577), "", 'Data Entry'!$~$577)</f>
      </c>
      <c r="BK577">
        <f>IF(ISBLANK('Data Entry'!$$577), "", 'Data Entry'!$$577)</f>
      </c>
      <c r="BL577">
        <f>IF(ISBLANK('Data Entry'!$$577), "", 'Data Entry'!$$577)</f>
      </c>
      <c r="BM577">
        <f>IF(ISBLANK('Data Entry'!$$577), "", 'Data Entry'!$$577)</f>
      </c>
      <c r="BN577">
        <f>IF(ISBLANK('Data Entry'!$$577), "", 'Data Entry'!$$577)</f>
      </c>
      <c r="BO577">
        <f>IF(ISBLANK('Data Entry'!$$577), "", 'Data Entry'!$$577)</f>
      </c>
      <c r="BP577">
        <f>IF(ISBLANK('Data Entry'!$$577), "", 'Data Entry'!$$577)</f>
      </c>
      <c r="BQ577">
        <f>IF(ISBLANK('Data Entry'!$$577), "", 'Data Entry'!$$577)</f>
      </c>
      <c r="BR577">
        <f>IF(ISBLANK('Data Entry'!$$577), "", 'Data Entry'!$$577)</f>
      </c>
      <c r="BS577">
        <f>IF(ISBLANK('Data Entry'!$$577), "", 'Data Entry'!$$577)</f>
      </c>
      <c r="BT577">
        <f>IF(ISBLANK('Data Entry'!$$577), "", 'Data Entry'!$$577)</f>
      </c>
      <c r="BU577">
        <f>IF(ISBLANK('Data Entry'!$$577), "", 'Data Entry'!$$577)</f>
      </c>
      <c r="BV577">
        <f>IF(ISBLANK('Data Entry'!$$577), "", 'Data Entry'!$$577)</f>
      </c>
      <c r="BW577">
        <f>IF(ISBLANK('Data Entry'!$$577), "", 'Data Entry'!$$577)</f>
      </c>
      <c r="BX577">
        <f>IF(ISBLANK('Data Entry'!$$577), "", 'Data Entry'!$$577)</f>
      </c>
      <c r="BY577">
        <f>IF(ISBLANK('Data Entry'!$$577), "", 'Data Entry'!$$577)</f>
      </c>
      <c r="BZ577">
        <f>IF(ISBLANK('Data Entry'!$$577), "", 'Data Entry'!$$577)</f>
      </c>
      <c r="CA577">
        <f>IF(ISBLANK('Data Entry'!$$577), "", 'Data Entry'!$$577)</f>
      </c>
      <c r="CB577">
        <f>IF(ISBLANK('Data Entry'!$$577), "", 'Data Entry'!$$577)</f>
      </c>
      <c r="CC577">
        <f>IF(ISBLANK('Data Entry'!$$577), "", 'Data Entry'!$$577)</f>
      </c>
      <c r="CD577">
        <f>IF(ISBLANK('Data Entry'!$$577), "", 'Data Entry'!$$577)</f>
      </c>
      <c r="CE577">
        <f>IF(ISBLANK('Data Entry'!$$577), "", 'Data Entry'!$$577)</f>
      </c>
      <c r="CF577">
        <f>IF(ISBLANK('Data Entry'!$$577), "", 'Data Entry'!$$577)</f>
      </c>
      <c r="CG577">
        <f>IF(ISBLANK('Data Entry'!$$577), "", 'Data Entry'!$$577)</f>
      </c>
      <c r="CH577">
        <f>IF(ISBLANK('Data Entry'!$$577), "", 'Data Entry'!$$577)</f>
      </c>
      <c r="CI577">
        <f>IF(ISBLANK('Data Entry'!$$577), "", 'Data Entry'!$$577)</f>
      </c>
      <c r="CJ577">
        <f>IF(ISBLANK('Data Entry'!$$577), "", 'Data Entry'!$$577)</f>
      </c>
      <c r="CK577">
        <f>IF(ISBLANK('Data Entry'!$$577), "", 'Data Entry'!$$577)</f>
      </c>
      <c r="CL577">
        <f>IF(ISBLANK('Data Entry'!$$577), "", 'Data Entry'!$$577)</f>
      </c>
      <c r="CM577">
        <f>IF(ISBLANK('Data Entry'!$$577), "", 'Data Entry'!$$577)</f>
      </c>
      <c r="CN577">
        <f>IF(ISBLANK('Data Entry'!$$577), "", 'Data Entry'!$$577)</f>
      </c>
      <c r="CO577">
        <f>IF(ISBLANK('Data Entry'!$$577), "", 'Data Entry'!$$577)</f>
      </c>
      <c r="CP577">
        <f>IF(ISBLANK('Data Entry'!$$577), "", 'Data Entry'!$$577)</f>
      </c>
      <c r="CQ577">
        <f>IF(ISBLANK('Data Entry'!$$577), "", 'Data Entry'!$$577)</f>
      </c>
      <c r="CR577">
        <f>IF(ISBLANK('Data Entry'!$ $577), "", 'Data Entry'!$ $577)</f>
      </c>
      <c r="CS577">
        <f>IF(ISBLANK('Data Entry'!$¡$577), "", 'Data Entry'!$¡$577)</f>
      </c>
      <c r="CT577">
        <f>IF(ISBLANK('Data Entry'!$¢$577), "", 'Data Entry'!$¢$577)</f>
      </c>
      <c r="CU577">
        <f>IF(ISBLANK('Data Entry'!$£$577), "", 'Data Entry'!$£$577)</f>
      </c>
      <c r="CV577">
        <f>IF(ISBLANK('Data Entry'!$¤$577), "", 'Data Entry'!$¤$577)</f>
      </c>
      <c r="CW577">
        <f>IF(ISBLANK('Data Entry'!$¥$577), "", 'Data Entry'!$¥$577)</f>
      </c>
      <c r="CX577">
        <f>IF(ISBLANK('Data Entry'!$¦$577), "", 'Data Entry'!$¦$577)</f>
      </c>
      <c r="CY577">
        <f>IF(ISBLANK('Data Entry'!$§$577), "", 'Data Entry'!$§$577)</f>
      </c>
      <c r="CZ577">
        <f>IF(ISBLANK('Data Entry'!$¨$577), "", 'Data Entry'!$¨$577)</f>
      </c>
      <c r="DA577">
        <f>IF(ISBLANK('Data Entry'!$©$577), "", 'Data Entry'!$©$577)</f>
      </c>
      <c r="DB577">
        <f>IF(ISBLANK('Data Entry'!$ª$577), "", 'Data Entry'!$ª$577)</f>
      </c>
      <c r="DC577">
        <f>IF(ISBLANK('Data Entry'!$«$577), "", 'Data Entry'!$«$577)</f>
      </c>
      <c r="DD577">
        <f>IF(ISBLANK('Data Entry'!$¬$577), "", 'Data Entry'!$¬$577)</f>
      </c>
      <c r="DE577">
        <f>IF(ISBLANK('Data Entry'!$­$577), "", 'Data Entry'!$­$577)</f>
      </c>
      <c r="DF577">
        <f>IF(ISBLANK('Data Entry'!$®$577), "", 'Data Entry'!$®$577)</f>
      </c>
      <c r="DG577">
        <f>IF(ISBLANK('Data Entry'!$¯$577), "", 'Data Entry'!$¯$577)</f>
      </c>
      <c r="DH577">
        <f>IF(ISBLANK('Data Entry'!$°$577), "", 'Data Entry'!$°$577)</f>
      </c>
      <c r="DI577">
        <f>IF(ISBLANK('Data Entry'!$±$577), "", 'Data Entry'!$±$577)</f>
      </c>
      <c r="DJ577">
        <f>IF(ISBLANK('Data Entry'!$²$577), "", 'Data Entry'!$²$577)</f>
      </c>
      <c r="DK577">
        <f>IF(ISBLANK('Data Entry'!$³$577), "", 'Data Entry'!$³$577)</f>
      </c>
      <c r="DL577">
        <f>IF(ISBLANK('Data Entry'!$´$577), "", 'Data Entry'!$´$577)</f>
      </c>
      <c r="DM577">
        <f>IF(ISBLANK('Data Entry'!$µ$577), "", 'Data Entry'!$µ$577)</f>
      </c>
      <c r="DN577">
        <f>IF(ISBLANK('Data Entry'!$¶$577), "", 'Data Entry'!$¶$577)</f>
      </c>
      <c r="DO577">
        <f>IF(ISBLANK('Data Entry'!$·$577), "", 'Data Entry'!$·$577)</f>
      </c>
      <c r="DP577">
        <f>IF(ISBLANK('Data Entry'!$¸$577), "", 'Data Entry'!$¸$577)</f>
      </c>
      <c r="DQ577">
        <f>IF(ISBLANK('Data Entry'!$¹$577), "", 'Data Entry'!$¹$577)</f>
      </c>
      <c r="DR577">
        <f>IF(ISBLANK('Data Entry'!$º$577), "", 'Data Entry'!$º$577)</f>
      </c>
      <c r="DS577">
        <f>IF(ISBLANK('Data Entry'!$»$577), "", 'Data Entry'!$»$577)</f>
      </c>
      <c r="DT577">
        <f>IF(ISBLANK('Data Entry'!$¼$577), "", 'Data Entry'!$¼$577)</f>
      </c>
      <c r="DU577">
        <f>IF(ISBLANK('Data Entry'!$½$577), "", 'Data Entry'!$½$577)</f>
      </c>
      <c r="DV577">
        <f>IF(ISBLANK('Data Entry'!$¾$577), "", 'Data Entry'!$¾$577)</f>
      </c>
      <c r="DW577">
        <f>IF(ISBLANK('Data Entry'!$¿$577), "", 'Data Entry'!$¿$577)</f>
      </c>
      <c r="DX577">
        <f>IF(ISBLANK('Data Entry'!$À$577), "", 'Data Entry'!$À$577)</f>
      </c>
      <c r="DY577">
        <f>IF(ISBLANK('Data Entry'!$Á$577), "", 'Data Entry'!$Á$577)</f>
      </c>
      <c r="DZ577">
        <f>IF(ISBLANK('Data Entry'!$Â$577), "", 'Data Entry'!$Â$577)</f>
      </c>
      <c r="EA577">
        <f>IF(ISBLANK('Data Entry'!$Ã$577), "", 'Data Entry'!$Ã$577)</f>
      </c>
      <c r="EB577">
        <f>IF(ISBLANK('Data Entry'!$Ä$577), "", 'Data Entry'!$Ä$577)</f>
      </c>
      <c r="EC577">
        <f>IF(ISBLANK('Data Entry'!$Å$577), "", 'Data Entry'!$Å$577)</f>
      </c>
      <c r="ED577">
        <f>IF(ISBLANK('Data Entry'!$Æ$577), "", 'Data Entry'!$Æ$577)</f>
      </c>
      <c r="EE577">
        <f>IF(ISBLANK('Data Entry'!$Ç$577), "", 'Data Entry'!$Ç$577)</f>
      </c>
      <c r="EF577">
        <f>IF(ISBLANK('Data Entry'!$È$577), "", 'Data Entry'!$È$577)</f>
      </c>
      <c r="EG577">
        <f>IF(ISBLANK('Data Entry'!$É$577), "", 'Data Entry'!$É$577)</f>
      </c>
      <c r="EH577">
        <f>IF(ISBLANK('Data Entry'!$Ê$577), "", 'Data Entry'!$Ê$577)</f>
      </c>
      <c r="EI577">
        <f>IF(ISBLANK('Data Entry'!$Ë$577), "", 'Data Entry'!$Ë$577)</f>
      </c>
      <c r="EJ577">
        <f>IF(ISBLANK('Data Entry'!$Ì$577), "", 'Data Entry'!$Ì$577)</f>
      </c>
      <c r="EK577">
        <f>IF(ISBLANK('Data Entry'!$Í$577), "", 'Data Entry'!$Í$577)</f>
      </c>
      <c r="EL577">
        <f>IF(ISBLANK('Data Entry'!$Î$577), "", 'Data Entry'!$Î$577)</f>
      </c>
      <c r="EM577">
        <f>IF(ISBLANK('Data Entry'!$Ï$577), "", 'Data Entry'!$Ï$577)</f>
      </c>
      <c r="EN577">
        <f>IF(ISBLANK('Data Entry'!$Ð$577), "", 'Data Entry'!$Ð$577)</f>
      </c>
      <c r="EO577">
        <f>IF(ISBLANK('Data Entry'!$Ñ$577), "", 'Data Entry'!$Ñ$577)</f>
      </c>
      <c r="EP577">
        <f>IF(ISBLANK('Data Entry'!$Ò$577), "", 'Data Entry'!$Ò$577)</f>
      </c>
      <c r="EQ577">
        <f>IF(ISBLANK('Data Entry'!$Ó$577), "", 'Data Entry'!$Ó$577)</f>
      </c>
      <c r="ER577">
        <f>IF(ISBLANK('Data Entry'!$Ô$577), "", 'Data Entry'!$Ô$577)</f>
      </c>
      <c r="ES577">
        <f>IF(ISBLANK('Data Entry'!$Õ$577), "", 'Data Entry'!$Õ$577)</f>
      </c>
      <c r="ET577">
        <f>IF(ISBLANK('Data Entry'!$Ö$577), "", 'Data Entry'!$Ö$577)</f>
      </c>
      <c r="EU577">
        <f>IF(ISBLANK('Data Entry'!$×$577), "", 'Data Entry'!$×$577)</f>
      </c>
      <c r="EV577">
        <f>IF(ISBLANK('Data Entry'!$Ø$577), "", 'Data Entry'!$Ø$577)</f>
      </c>
      <c r="EW577">
        <f>IF(ISBLANK('Data Entry'!$Ù$577), "", 'Data Entry'!$Ù$577)</f>
      </c>
      <c r="EX577">
        <f>IF(ISBLANK('Data Entry'!$Ú$577), "", 'Data Entry'!$Ú$577)</f>
      </c>
      <c r="EY577">
        <f>IF(ISBLANK('Data Entry'!$Û$577), "", 'Data Entry'!$Û$577)</f>
      </c>
      <c r="EZ577">
        <f>IF(ISBLANK('Data Entry'!$Ü$577), "", 'Data Entry'!$Ü$577)</f>
      </c>
      <c r="FA577">
        <f>IF(ISBLANK('Data Entry'!$Ý$577), "", 'Data Entry'!$Ý$577)</f>
      </c>
      <c r="FB577">
        <f>IF(ISBLANK('Data Entry'!$Þ$577), "", 'Data Entry'!$Þ$577)</f>
      </c>
      <c r="FC577">
        <f>IF(ISBLANK('Data Entry'!$ß$577), "", 'Data Entry'!$ß$577)</f>
      </c>
      <c r="FD577">
        <f>IF(ISBLANK('Data Entry'!$à$577), "", 'Data Entry'!$à$577)</f>
      </c>
      <c r="FE577">
        <f>IF(ISBLANK('Data Entry'!$á$577), "", 'Data Entry'!$á$577)</f>
      </c>
      <c r="FF577">
        <f>IF(ISBLANK('Data Entry'!$â$577), "", 'Data Entry'!$â$577)</f>
      </c>
      <c r="FG577">
        <f>IF(ISBLANK('Data Entry'!$ã$577), "", 'Data Entry'!$ã$577)</f>
      </c>
      <c r="FH577">
        <f>IF(ISBLANK('Data Entry'!$ä$577), "", 'Data Entry'!$ä$577)</f>
      </c>
      <c r="FI577">
        <f>IF(ISBLANK('Data Entry'!$å$577), "", 'Data Entry'!$å$577)</f>
      </c>
      <c r="FJ577">
        <f>IF(ISBLANK('Data Entry'!$æ$577), "", 'Data Entry'!$æ$577)</f>
      </c>
      <c r="FK577">
        <f>IF(ISBLANK('Data Entry'!$ç$577), "", 'Data Entry'!$ç$577)</f>
      </c>
      <c r="FL577">
        <f>IF(ISBLANK('Data Entry'!$è$577), "", 'Data Entry'!$è$577)</f>
      </c>
      <c r="FM577">
        <f>IF(ISBLANK('Data Entry'!$é$577), "", 'Data Entry'!$é$577)</f>
      </c>
      <c r="FN577">
        <f>IF(ISBLANK('Data Entry'!$ê$577), "", 'Data Entry'!$ê$577)</f>
      </c>
      <c r="FO577">
        <f>IF(ISBLANK('Data Entry'!$ë$577), "", 'Data Entry'!$ë$577)</f>
      </c>
      <c r="FP577">
        <f>IF(ISBLANK('Data Entry'!$ì$577), "", 'Data Entry'!$ì$577)</f>
      </c>
      <c r="FQ577">
        <f>IF(ISBLANK('Data Entry'!$í$577), "", 'Data Entry'!$í$577)</f>
      </c>
      <c r="FR577">
        <f>IF(ISBLANK('Data Entry'!$î$577), "", 'Data Entry'!$î$577)</f>
      </c>
      <c r="FS577">
        <f>IF(ISBLANK('Data Entry'!$ï$577), "", 'Data Entry'!$ï$577)</f>
      </c>
      <c r="FT577">
        <f>IF(ISBLANK('Data Entry'!$ð$577), "", 'Data Entry'!$ð$577)</f>
      </c>
      <c r="FU577">
        <f>IF(ISBLANK('Data Entry'!$ñ$577), "", 'Data Entry'!$ñ$577)</f>
      </c>
      <c r="FV577">
        <f>IF(ISBLANK('Data Entry'!$ò$577), "", 'Data Entry'!$ò$577)</f>
      </c>
      <c r="FW577">
        <f>IF(ISBLANK('Data Entry'!$ó$577), "", 'Data Entry'!$ó$577)</f>
      </c>
      <c r="FX577">
        <f>IF(ISBLANK('Data Entry'!$ô$577), "", 'Data Entry'!$ô$577)</f>
      </c>
      <c r="FY577">
        <f>IF(ISBLANK('Data Entry'!$õ$577), "", 'Data Entry'!$õ$577)</f>
      </c>
      <c r="FZ577">
        <f>IF(ISBLANK('Data Entry'!$ö$577), "", 'Data Entry'!$ö$577)</f>
      </c>
      <c r="GA577">
        <f>IF(ISBLANK('Data Entry'!$÷$577), "", 'Data Entry'!$÷$577)</f>
      </c>
      <c r="GB577">
        <f>IF(ISBLANK('Data Entry'!$ø$577), "", 'Data Entry'!$ø$577)</f>
      </c>
      <c r="GC577">
        <f>IF(ISBLANK('Data Entry'!$ù$577), "", 'Data Entry'!$ù$577)</f>
      </c>
      <c r="GD577">
        <f>IF(ISBLANK('Data Entry'!$ú$577), "", 'Data Entry'!$ú$577)</f>
      </c>
      <c r="GE577">
        <f>IF(ISBLANK('Data Entry'!$û$577), "", 'Data Entry'!$û$577)</f>
      </c>
      <c r="GF577">
        <f>IF(ISBLANK('Data Entry'!$ü$577), "", 'Data Entry'!$ü$577)</f>
      </c>
      <c r="GG577">
        <f>IF(ISBLANK('Data Entry'!$ý$577), "", 'Data Entry'!$ý$577)</f>
      </c>
      <c r="GH577">
        <f>IF(ISBLANK('Data Entry'!$þ$577), "", 'Data Entry'!$þ$577)</f>
      </c>
      <c r="GI577">
        <f>IF(ISBLANK('Data Entry'!$ÿ$577), "", 'Data Entry'!$ÿ$577)</f>
      </c>
      <c r="GJ577">
        <f>IF(ISBLANK('Data Entry'!$Ā$577), "", 'Data Entry'!$Ā$577)</f>
      </c>
      <c r="GK577">
        <f>IF(ISBLANK('Data Entry'!$ā$577), "", 'Data Entry'!$ā$577)</f>
      </c>
      <c r="GL577">
        <f>IF(ISBLANK('Data Entry'!$Ă$577), "", 'Data Entry'!$Ă$577)</f>
      </c>
      <c r="GM577">
        <f>IF(ISBLANK('Data Entry'!$ă$577), "", 'Data Entry'!$ă$577)</f>
      </c>
      <c r="GN577">
        <f>IF(ISBLANK('Data Entry'!$Ą$577), "", 'Data Entry'!$Ą$577)</f>
      </c>
      <c r="GO577">
        <f>IF(ISBLANK('Data Entry'!$ą$577), "", 'Data Entry'!$ą$577)</f>
      </c>
      <c r="GP577">
        <f>IF(ISBLANK('Data Entry'!$Ć$577), "", 'Data Entry'!$Ć$577)</f>
      </c>
      <c r="GQ577">
        <f>IF(ISBLANK('Data Entry'!$ć$577), "", 'Data Entry'!$ć$577)</f>
      </c>
      <c r="GR577">
        <f>IF(ISBLANK('Data Entry'!$Ĉ$577), "", 'Data Entry'!$Ĉ$577)</f>
      </c>
      <c r="GS577">
        <f>IF(ISBLANK('Data Entry'!$ĉ$577), "", 'Data Entry'!$ĉ$577)</f>
      </c>
      <c r="GT577">
        <f>IF(ISBLANK('Data Entry'!$Ċ$577), "", 'Data Entry'!$Ċ$577)</f>
      </c>
      <c r="GU577">
        <f>IF(ISBLANK('Data Entry'!$ċ$577), "", 'Data Entry'!$ċ$577)</f>
      </c>
      <c r="GV577">
        <f>IF(ISBLANK('Data Entry'!$Č$577), "", 'Data Entry'!$Č$577)</f>
      </c>
      <c r="GW577">
        <f>IF(ISBLANK('Data Entry'!$č$577), "", 'Data Entry'!$č$577)</f>
      </c>
      <c r="GX577">
        <f>IF(ISBLANK('Data Entry'!$Ď$577), "", 'Data Entry'!$Ď$577)</f>
      </c>
      <c r="GY577">
        <f>IF(ISBLANK('Data Entry'!$ď$577), "", 'Data Entry'!$ď$577)</f>
      </c>
      <c r="GZ577">
        <f>IF(ISBLANK('Data Entry'!$Đ$577), "", 'Data Entry'!$Đ$577)</f>
      </c>
      <c r="HA577">
        <f>IF(ISBLANK('Data Entry'!$đ$577), "", 'Data Entry'!$đ$577)</f>
      </c>
      <c r="HB577">
        <f>IF(ISBLANK('Data Entry'!$Ē$577), "", 'Data Entry'!$Ē$577)</f>
      </c>
      <c r="HC577">
        <f>IF(ISBLANK('Data Entry'!$ē$577), "", 'Data Entry'!$ē$577)</f>
      </c>
      <c r="HD577">
        <f>IF(ISBLANK('Data Entry'!$Ĕ$577), "", 'Data Entry'!$Ĕ$577)</f>
      </c>
      <c r="HE577">
        <f>IF(ISBLANK('Data Entry'!$ĕ$577), "", 'Data Entry'!$ĕ$577)</f>
      </c>
      <c r="HF577">
        <f>IF(ISBLANK('Data Entry'!$Ė$577), "", 'Data Entry'!$Ė$577)</f>
      </c>
      <c r="HG577">
        <f>IF(ISBLANK('Data Entry'!$ė$577), "", 'Data Entry'!$ė$577)</f>
      </c>
      <c r="HH577">
        <f>IF(ISBLANK('Data Entry'!$Ę$577), "", 'Data Entry'!$Ę$577)</f>
      </c>
      <c r="HI577">
        <f>IF(ISBLANK('Data Entry'!$ę$577), "", 'Data Entry'!$ę$577)</f>
      </c>
      <c r="HJ577">
        <f>IF(ISBLANK('Data Entry'!$Ě$577), "", 'Data Entry'!$Ě$577)</f>
      </c>
      <c r="HK577">
        <f>IF(ISBLANK('Data Entry'!$ě$577), "", 'Data Entry'!$ě$577)</f>
      </c>
      <c r="HL577">
        <f>IF(ISBLANK('Data Entry'!$Ĝ$577), "", 'Data Entry'!$Ĝ$577)</f>
      </c>
      <c r="HM577">
        <f>IF(ISBLANK('Data Entry'!$ĝ$577), "", 'Data Entry'!$ĝ$577)</f>
      </c>
      <c r="HN577">
        <f>IF(ISBLANK('Data Entry'!$Ğ$577), "", 'Data Entry'!$Ğ$577)</f>
      </c>
      <c r="HO577">
        <f>IF(ISBLANK('Data Entry'!$ğ$577), "", 'Data Entry'!$ğ$577)</f>
      </c>
      <c r="HP577">
        <f>IF(ISBLANK('Data Entry'!$Ġ$577), "", 'Data Entry'!$Ġ$577)</f>
      </c>
      <c r="HQ577">
        <f>IF(ISBLANK('Data Entry'!$ġ$577), "", 'Data Entry'!$ġ$577)</f>
      </c>
      <c r="HR577">
        <f>IF(ISBLANK('Data Entry'!$Ģ$577), "", 'Data Entry'!$Ģ$577)</f>
      </c>
      <c r="HS577">
        <f>IF(ISBLANK('Data Entry'!$ģ$577), "", 'Data Entry'!$ģ$577)</f>
      </c>
      <c r="HT577">
        <f>IF(ISBLANK('Data Entry'!$Ĥ$577), "", 'Data Entry'!$Ĥ$577)</f>
      </c>
      <c r="HU577">
        <f>IF(ISBLANK('Data Entry'!$ĥ$577), "", 'Data Entry'!$ĥ$577)</f>
      </c>
      <c r="HV577">
        <f>IF(ISBLANK('Data Entry'!$Ħ$577), "", 'Data Entry'!$Ħ$577)</f>
      </c>
      <c r="HW577">
        <f>IF(ISBLANK('Data Entry'!$ħ$577), "", 'Data Entry'!$ħ$577)</f>
      </c>
      <c r="HX577">
        <f>IF(ISBLANK('Data Entry'!$Ĩ$577), "", 'Data Entry'!$Ĩ$577)</f>
      </c>
      <c r="HY577">
        <f>IF(ISBLANK('Data Entry'!$ĩ$577), "", 'Data Entry'!$ĩ$577)</f>
      </c>
      <c r="HZ577">
        <f>IF(ISBLANK('Data Entry'!$Ī$577), "", 'Data Entry'!$Ī$577)</f>
      </c>
      <c r="IA577">
        <f>IF(ISBLANK('Data Entry'!$ī$577), "", 'Data Entry'!$ī$577)</f>
      </c>
      <c r="IB577">
        <f>IF(ISBLANK('Data Entry'!$Ĭ$577), "", 'Data Entry'!$Ĭ$577)</f>
      </c>
      <c r="IC577">
        <f>IF(ISBLANK('Data Entry'!$ĭ$577), "", 'Data Entry'!$ĭ$577)</f>
      </c>
      <c r="ID577">
        <f>IF(ISBLANK('Data Entry'!$Į$577), "", 'Data Entry'!$Į$577)</f>
      </c>
      <c r="IE577">
        <f>IF(ISBLANK('Data Entry'!$į$577), "", 'Data Entry'!$į$577)</f>
      </c>
      <c r="IF577">
        <f>IF(ISBLANK('Data Entry'!$İ$577), "", 'Data Entry'!$İ$577)</f>
      </c>
      <c r="IG577">
        <f>IF(ISBLANK('Data Entry'!$ı$577), "", 'Data Entry'!$ı$577)</f>
      </c>
      <c r="IH577">
        <f>IF(ISBLANK('Data Entry'!$Ĳ$577), "", 'Data Entry'!$Ĳ$577)</f>
      </c>
      <c r="II577">
        <f>IF(ISBLANK('Data Entry'!$ĳ$577), "", 'Data Entry'!$ĳ$577)</f>
      </c>
      <c r="IJ577">
        <f>IF(ISBLANK('Data Entry'!$Ĵ$577), "", 'Data Entry'!$Ĵ$577)</f>
      </c>
      <c r="IK577">
        <f>IF(ISBLANK('Data Entry'!$ĵ$577), "", 'Data Entry'!$ĵ$577)</f>
      </c>
      <c r="IL577">
        <f>IF(ISBLANK('Data Entry'!$Ķ$577), "", 'Data Entry'!$Ķ$577)</f>
      </c>
      <c r="IM577">
        <f>IF(ISBLANK('Data Entry'!$ķ$577), "", 'Data Entry'!$ķ$577)</f>
      </c>
      <c r="IN577">
        <f>IF(ISBLANK('Data Entry'!$ĸ$577), "", 'Data Entry'!$ĸ$577)</f>
      </c>
      <c r="IO577">
        <f>IF(ISBLANK('Data Entry'!$Ĺ$577), "", 'Data Entry'!$Ĺ$577)</f>
      </c>
      <c r="IP577">
        <f>IF(ISBLANK('Data Entry'!$ĺ$577), "", 'Data Entry'!$ĺ$577)</f>
      </c>
      <c r="IQ577">
        <f>IF(ISBLANK('Data Entry'!$Ļ$577), "", 'Data Entry'!$Ļ$577)</f>
      </c>
      <c r="IR577">
        <f>IF(ISBLANK('Data Entry'!$ļ$577), "", 'Data Entry'!$ļ$577)</f>
      </c>
      <c r="IS577">
        <f>IF(ISBLANK('Data Entry'!$Ľ$577), "", 'Data Entry'!$Ľ$577)</f>
      </c>
      <c r="IT577">
        <f>IF(ISBLANK('Data Entry'!$ľ$577), "", 'Data Entry'!$ľ$577)</f>
      </c>
    </row>
    <row r="578" spans="1:254" x14ac:dyDescent="0.25">
      <c r="A578">
        <f>IF(ISBLANK('Data Entry'!$A$578), "", 'Data Entry'!$A$578)</f>
      </c>
      <c r="B578">
        <f>IF(ISBLANK('Data Entry'!$B$578), "", 'Data Entry'!$B$578)</f>
      </c>
      <c r="C578">
        <f>IF(ISBLANK('Data Entry'!$C$578), "", 'Data Entry'!$C$578)</f>
      </c>
      <c r="D578">
        <f>IF(ISBLANK('Data Entry'!$D$578), "", 'Data Entry'!$D$578)</f>
      </c>
      <c r="E578">
        <f>IF(ISBLANK('Data Entry'!$E$578), "", 'Data Entry'!$E$578)</f>
      </c>
      <c r="F578">
        <f>IF(ISBLANK('Data Entry'!$F$578), "", 'Data Entry'!$F$578)</f>
      </c>
      <c r="G578">
        <f>IF(ISBLANK('Data Entry'!$G$578), "", 'Data Entry'!$G$578)</f>
      </c>
      <c r="H578">
        <f>IF(ISBLANK('Data Entry'!$H$578), "", 'Data Entry'!$H$578)</f>
      </c>
      <c r="I578">
        <f>IF(ISBLANK('Data Entry'!$I$578), "", 'Data Entry'!$I$578)</f>
      </c>
      <c r="J578">
        <f>IF(ISBLANK('Data Entry'!$J$578), "", 'Data Entry'!$J$578)</f>
      </c>
      <c r="K578">
        <f>IF(ISBLANK('Data Entry'!$K$578), "", 'Data Entry'!$K$578)</f>
      </c>
      <c r="L578">
        <f>IF(ISBLANK('Data Entry'!$L$578), "", 'Data Entry'!$L$578)</f>
      </c>
      <c r="M578">
        <f>IF(ISBLANK('Data Entry'!$M$578), "", 'Data Entry'!$M$578)</f>
      </c>
      <c r="N578">
        <f>IF(ISBLANK('Data Entry'!$N$578), "", 'Data Entry'!$N$578)</f>
      </c>
      <c r="O578">
        <f>IF(ISBLANK('Data Entry'!$O$578), "", 'Data Entry'!$O$578)</f>
      </c>
      <c r="P578">
        <f>IF(ISBLANK('Data Entry'!$P$578), "", 'Data Entry'!$P$578)</f>
      </c>
      <c r="Q578">
        <f>IF(ISBLANK('Data Entry'!$Q$578), "", 'Data Entry'!$Q$578)</f>
      </c>
      <c r="R578">
        <f>IF(ISBLANK('Data Entry'!$R$578), "", 'Data Entry'!$R$578)</f>
      </c>
      <c r="S578">
        <f>IF(ISBLANK('Data Entry'!$S$578), "", 'Data Entry'!$S$578)</f>
      </c>
      <c r="T578">
        <f>IF(ISBLANK('Data Entry'!$T$578), "", 'Data Entry'!$T$578)</f>
      </c>
      <c r="U578">
        <f>IF(ISBLANK('Data Entry'!$U$578), "", 'Data Entry'!$U$578)</f>
      </c>
      <c r="V578">
        <f>IF(ISBLANK('Data Entry'!$V$578), "", 'Data Entry'!$V$578)</f>
      </c>
      <c r="W578">
        <f>IF(ISBLANK('Data Entry'!$W$578), "", 'Data Entry'!$W$578)</f>
      </c>
      <c r="X578">
        <f>IF(ISBLANK('Data Entry'!$X$578), "", 'Data Entry'!$X$578)</f>
      </c>
      <c r="Y578">
        <f>IF(ISBLANK('Data Entry'!$Y$578), "", 'Data Entry'!$Y$578)</f>
      </c>
      <c r="Z578">
        <f>IF(ISBLANK('Data Entry'!$Z$578), "", 'Data Entry'!$Z$578)</f>
      </c>
      <c r="AA578">
        <f>IF(ISBLANK('Data Entry'!$[$578), "", 'Data Entry'!$[$578)</f>
      </c>
      <c r="AB578">
        <f>IF(ISBLANK('Data Entry'!$\$578), "", 'Data Entry'!$\$578)</f>
      </c>
      <c r="AC578">
        <f>IF(ISBLANK('Data Entry'!$]$578), "", 'Data Entry'!$]$578)</f>
      </c>
      <c r="AD578">
        <f>IF(ISBLANK('Data Entry'!$^$578), "", 'Data Entry'!$^$578)</f>
      </c>
      <c r="AE578">
        <f>IF(ISBLANK('Data Entry'!$_$578), "", 'Data Entry'!$_$578)</f>
      </c>
      <c r="AF578">
        <f>IF(ISBLANK('Data Entry'!$`$578), "", 'Data Entry'!$`$578)</f>
      </c>
      <c r="AG578">
        <f>IF(ISBLANK('Data Entry'!$a$578), "", 'Data Entry'!$a$578)</f>
      </c>
      <c r="AH578">
        <f>IF(ISBLANK('Data Entry'!$b$578), "", 'Data Entry'!$b$578)</f>
      </c>
      <c r="AI578">
        <f>IF(ISBLANK('Data Entry'!$c$578), "", 'Data Entry'!$c$578)</f>
      </c>
      <c r="AJ578">
        <f>IF(ISBLANK('Data Entry'!$d$578), "", 'Data Entry'!$d$578)</f>
      </c>
      <c r="AK578">
        <f>IF(ISBLANK('Data Entry'!$e$578), "", 'Data Entry'!$e$578)</f>
      </c>
      <c r="AL578">
        <f>IF(ISBLANK('Data Entry'!$f$578), "", 'Data Entry'!$f$578)</f>
      </c>
      <c r="AM578">
        <f>IF(ISBLANK('Data Entry'!$g$578), "", 'Data Entry'!$g$578)</f>
      </c>
      <c r="AN578">
        <f>IF(ISBLANK('Data Entry'!$h$578), "", 'Data Entry'!$h$578)</f>
      </c>
      <c r="AO578">
        <f>IF(ISBLANK('Data Entry'!$i$578), "", 'Data Entry'!$i$578)</f>
      </c>
      <c r="AP578">
        <f>IF(ISBLANK('Data Entry'!$j$578), "", 'Data Entry'!$j$578)</f>
      </c>
      <c r="AQ578">
        <f>IF(ISBLANK('Data Entry'!$k$578), "", 'Data Entry'!$k$578)</f>
      </c>
      <c r="AR578">
        <f>IF(ISBLANK('Data Entry'!$l$578), "", 'Data Entry'!$l$578)</f>
      </c>
      <c r="AS578">
        <f>IF(ISBLANK('Data Entry'!$m$578), "", 'Data Entry'!$m$578)</f>
      </c>
      <c r="AT578">
        <f>IF(ISBLANK('Data Entry'!$n$578), "", 'Data Entry'!$n$578)</f>
      </c>
      <c r="AU578">
        <f>IF(ISBLANK('Data Entry'!$o$578), "", 'Data Entry'!$o$578)</f>
      </c>
      <c r="AV578">
        <f>IF(ISBLANK('Data Entry'!$p$578), "", 'Data Entry'!$p$578)</f>
      </c>
      <c r="AW578">
        <f>IF(ISBLANK('Data Entry'!$q$578), "", 'Data Entry'!$q$578)</f>
      </c>
      <c r="AX578">
        <f>IF(ISBLANK('Data Entry'!$r$578), "", 'Data Entry'!$r$578)</f>
      </c>
      <c r="AY578">
        <f>IF(ISBLANK('Data Entry'!$s$578), "", 'Data Entry'!$s$578)</f>
      </c>
      <c r="AZ578">
        <f>IF(ISBLANK('Data Entry'!$t$578), "", 'Data Entry'!$t$578)</f>
      </c>
      <c r="BA578">
        <f>IF(ISBLANK('Data Entry'!$u$578), "", 'Data Entry'!$u$578)</f>
      </c>
      <c r="BB578">
        <f>IF(ISBLANK('Data Entry'!$v$578), "", 'Data Entry'!$v$578)</f>
      </c>
      <c r="BC578">
        <f>IF(ISBLANK('Data Entry'!$w$578), "", 'Data Entry'!$w$578)</f>
      </c>
      <c r="BD578">
        <f>IF(ISBLANK('Data Entry'!$x$578), "", 'Data Entry'!$x$578)</f>
      </c>
      <c r="BE578">
        <f>IF(ISBLANK('Data Entry'!$y$578), "", 'Data Entry'!$y$578)</f>
      </c>
      <c r="BF578">
        <f>IF(ISBLANK('Data Entry'!$z$578), "", 'Data Entry'!$z$578)</f>
      </c>
      <c r="BG578">
        <f>IF(ISBLANK('Data Entry'!${$578), "", 'Data Entry'!${$578)</f>
      </c>
      <c r="BH578">
        <f>IF(ISBLANK('Data Entry'!$|$578), "", 'Data Entry'!$|$578)</f>
      </c>
      <c r="BI578">
        <f>IF(ISBLANK('Data Entry'!$}$578), "", 'Data Entry'!$}$578)</f>
      </c>
      <c r="BJ578">
        <f>IF(ISBLANK('Data Entry'!$~$578), "", 'Data Entry'!$~$578)</f>
      </c>
      <c r="BK578">
        <f>IF(ISBLANK('Data Entry'!$$578), "", 'Data Entry'!$$578)</f>
      </c>
      <c r="BL578">
        <f>IF(ISBLANK('Data Entry'!$$578), "", 'Data Entry'!$$578)</f>
      </c>
      <c r="BM578">
        <f>IF(ISBLANK('Data Entry'!$$578), "", 'Data Entry'!$$578)</f>
      </c>
      <c r="BN578">
        <f>IF(ISBLANK('Data Entry'!$$578), "", 'Data Entry'!$$578)</f>
      </c>
      <c r="BO578">
        <f>IF(ISBLANK('Data Entry'!$$578), "", 'Data Entry'!$$578)</f>
      </c>
      <c r="BP578">
        <f>IF(ISBLANK('Data Entry'!$$578), "", 'Data Entry'!$$578)</f>
      </c>
      <c r="BQ578">
        <f>IF(ISBLANK('Data Entry'!$$578), "", 'Data Entry'!$$578)</f>
      </c>
      <c r="BR578">
        <f>IF(ISBLANK('Data Entry'!$$578), "", 'Data Entry'!$$578)</f>
      </c>
      <c r="BS578">
        <f>IF(ISBLANK('Data Entry'!$$578), "", 'Data Entry'!$$578)</f>
      </c>
      <c r="BT578">
        <f>IF(ISBLANK('Data Entry'!$$578), "", 'Data Entry'!$$578)</f>
      </c>
      <c r="BU578">
        <f>IF(ISBLANK('Data Entry'!$$578), "", 'Data Entry'!$$578)</f>
      </c>
      <c r="BV578">
        <f>IF(ISBLANK('Data Entry'!$$578), "", 'Data Entry'!$$578)</f>
      </c>
      <c r="BW578">
        <f>IF(ISBLANK('Data Entry'!$$578), "", 'Data Entry'!$$578)</f>
      </c>
      <c r="BX578">
        <f>IF(ISBLANK('Data Entry'!$$578), "", 'Data Entry'!$$578)</f>
      </c>
      <c r="BY578">
        <f>IF(ISBLANK('Data Entry'!$$578), "", 'Data Entry'!$$578)</f>
      </c>
      <c r="BZ578">
        <f>IF(ISBLANK('Data Entry'!$$578), "", 'Data Entry'!$$578)</f>
      </c>
      <c r="CA578">
        <f>IF(ISBLANK('Data Entry'!$$578), "", 'Data Entry'!$$578)</f>
      </c>
      <c r="CB578">
        <f>IF(ISBLANK('Data Entry'!$$578), "", 'Data Entry'!$$578)</f>
      </c>
      <c r="CC578">
        <f>IF(ISBLANK('Data Entry'!$$578), "", 'Data Entry'!$$578)</f>
      </c>
      <c r="CD578">
        <f>IF(ISBLANK('Data Entry'!$$578), "", 'Data Entry'!$$578)</f>
      </c>
      <c r="CE578">
        <f>IF(ISBLANK('Data Entry'!$$578), "", 'Data Entry'!$$578)</f>
      </c>
      <c r="CF578">
        <f>IF(ISBLANK('Data Entry'!$$578), "", 'Data Entry'!$$578)</f>
      </c>
      <c r="CG578">
        <f>IF(ISBLANK('Data Entry'!$$578), "", 'Data Entry'!$$578)</f>
      </c>
      <c r="CH578">
        <f>IF(ISBLANK('Data Entry'!$$578), "", 'Data Entry'!$$578)</f>
      </c>
      <c r="CI578">
        <f>IF(ISBLANK('Data Entry'!$$578), "", 'Data Entry'!$$578)</f>
      </c>
      <c r="CJ578">
        <f>IF(ISBLANK('Data Entry'!$$578), "", 'Data Entry'!$$578)</f>
      </c>
      <c r="CK578">
        <f>IF(ISBLANK('Data Entry'!$$578), "", 'Data Entry'!$$578)</f>
      </c>
      <c r="CL578">
        <f>IF(ISBLANK('Data Entry'!$$578), "", 'Data Entry'!$$578)</f>
      </c>
      <c r="CM578">
        <f>IF(ISBLANK('Data Entry'!$$578), "", 'Data Entry'!$$578)</f>
      </c>
      <c r="CN578">
        <f>IF(ISBLANK('Data Entry'!$$578), "", 'Data Entry'!$$578)</f>
      </c>
      <c r="CO578">
        <f>IF(ISBLANK('Data Entry'!$$578), "", 'Data Entry'!$$578)</f>
      </c>
      <c r="CP578">
        <f>IF(ISBLANK('Data Entry'!$$578), "", 'Data Entry'!$$578)</f>
      </c>
      <c r="CQ578">
        <f>IF(ISBLANK('Data Entry'!$$578), "", 'Data Entry'!$$578)</f>
      </c>
      <c r="CR578">
        <f>IF(ISBLANK('Data Entry'!$ $578), "", 'Data Entry'!$ $578)</f>
      </c>
      <c r="CS578">
        <f>IF(ISBLANK('Data Entry'!$¡$578), "", 'Data Entry'!$¡$578)</f>
      </c>
      <c r="CT578">
        <f>IF(ISBLANK('Data Entry'!$¢$578), "", 'Data Entry'!$¢$578)</f>
      </c>
      <c r="CU578">
        <f>IF(ISBLANK('Data Entry'!$£$578), "", 'Data Entry'!$£$578)</f>
      </c>
      <c r="CV578">
        <f>IF(ISBLANK('Data Entry'!$¤$578), "", 'Data Entry'!$¤$578)</f>
      </c>
      <c r="CW578">
        <f>IF(ISBLANK('Data Entry'!$¥$578), "", 'Data Entry'!$¥$578)</f>
      </c>
      <c r="CX578">
        <f>IF(ISBLANK('Data Entry'!$¦$578), "", 'Data Entry'!$¦$578)</f>
      </c>
      <c r="CY578">
        <f>IF(ISBLANK('Data Entry'!$§$578), "", 'Data Entry'!$§$578)</f>
      </c>
      <c r="CZ578">
        <f>IF(ISBLANK('Data Entry'!$¨$578), "", 'Data Entry'!$¨$578)</f>
      </c>
      <c r="DA578">
        <f>IF(ISBLANK('Data Entry'!$©$578), "", 'Data Entry'!$©$578)</f>
      </c>
      <c r="DB578">
        <f>IF(ISBLANK('Data Entry'!$ª$578), "", 'Data Entry'!$ª$578)</f>
      </c>
      <c r="DC578">
        <f>IF(ISBLANK('Data Entry'!$«$578), "", 'Data Entry'!$«$578)</f>
      </c>
      <c r="DD578">
        <f>IF(ISBLANK('Data Entry'!$¬$578), "", 'Data Entry'!$¬$578)</f>
      </c>
      <c r="DE578">
        <f>IF(ISBLANK('Data Entry'!$­$578), "", 'Data Entry'!$­$578)</f>
      </c>
      <c r="DF578">
        <f>IF(ISBLANK('Data Entry'!$®$578), "", 'Data Entry'!$®$578)</f>
      </c>
      <c r="DG578">
        <f>IF(ISBLANK('Data Entry'!$¯$578), "", 'Data Entry'!$¯$578)</f>
      </c>
      <c r="DH578">
        <f>IF(ISBLANK('Data Entry'!$°$578), "", 'Data Entry'!$°$578)</f>
      </c>
      <c r="DI578">
        <f>IF(ISBLANK('Data Entry'!$±$578), "", 'Data Entry'!$±$578)</f>
      </c>
      <c r="DJ578">
        <f>IF(ISBLANK('Data Entry'!$²$578), "", 'Data Entry'!$²$578)</f>
      </c>
      <c r="DK578">
        <f>IF(ISBLANK('Data Entry'!$³$578), "", 'Data Entry'!$³$578)</f>
      </c>
      <c r="DL578">
        <f>IF(ISBLANK('Data Entry'!$´$578), "", 'Data Entry'!$´$578)</f>
      </c>
      <c r="DM578">
        <f>IF(ISBLANK('Data Entry'!$µ$578), "", 'Data Entry'!$µ$578)</f>
      </c>
      <c r="DN578">
        <f>IF(ISBLANK('Data Entry'!$¶$578), "", 'Data Entry'!$¶$578)</f>
      </c>
      <c r="DO578">
        <f>IF(ISBLANK('Data Entry'!$·$578), "", 'Data Entry'!$·$578)</f>
      </c>
      <c r="DP578">
        <f>IF(ISBLANK('Data Entry'!$¸$578), "", 'Data Entry'!$¸$578)</f>
      </c>
      <c r="DQ578">
        <f>IF(ISBLANK('Data Entry'!$¹$578), "", 'Data Entry'!$¹$578)</f>
      </c>
      <c r="DR578">
        <f>IF(ISBLANK('Data Entry'!$º$578), "", 'Data Entry'!$º$578)</f>
      </c>
      <c r="DS578">
        <f>IF(ISBLANK('Data Entry'!$»$578), "", 'Data Entry'!$»$578)</f>
      </c>
      <c r="DT578">
        <f>IF(ISBLANK('Data Entry'!$¼$578), "", 'Data Entry'!$¼$578)</f>
      </c>
      <c r="DU578">
        <f>IF(ISBLANK('Data Entry'!$½$578), "", 'Data Entry'!$½$578)</f>
      </c>
      <c r="DV578">
        <f>IF(ISBLANK('Data Entry'!$¾$578), "", 'Data Entry'!$¾$578)</f>
      </c>
      <c r="DW578">
        <f>IF(ISBLANK('Data Entry'!$¿$578), "", 'Data Entry'!$¿$578)</f>
      </c>
      <c r="DX578">
        <f>IF(ISBLANK('Data Entry'!$À$578), "", 'Data Entry'!$À$578)</f>
      </c>
      <c r="DY578">
        <f>IF(ISBLANK('Data Entry'!$Á$578), "", 'Data Entry'!$Á$578)</f>
      </c>
      <c r="DZ578">
        <f>IF(ISBLANK('Data Entry'!$Â$578), "", 'Data Entry'!$Â$578)</f>
      </c>
      <c r="EA578">
        <f>IF(ISBLANK('Data Entry'!$Ã$578), "", 'Data Entry'!$Ã$578)</f>
      </c>
      <c r="EB578">
        <f>IF(ISBLANK('Data Entry'!$Ä$578), "", 'Data Entry'!$Ä$578)</f>
      </c>
      <c r="EC578">
        <f>IF(ISBLANK('Data Entry'!$Å$578), "", 'Data Entry'!$Å$578)</f>
      </c>
      <c r="ED578">
        <f>IF(ISBLANK('Data Entry'!$Æ$578), "", 'Data Entry'!$Æ$578)</f>
      </c>
      <c r="EE578">
        <f>IF(ISBLANK('Data Entry'!$Ç$578), "", 'Data Entry'!$Ç$578)</f>
      </c>
      <c r="EF578">
        <f>IF(ISBLANK('Data Entry'!$È$578), "", 'Data Entry'!$È$578)</f>
      </c>
      <c r="EG578">
        <f>IF(ISBLANK('Data Entry'!$É$578), "", 'Data Entry'!$É$578)</f>
      </c>
      <c r="EH578">
        <f>IF(ISBLANK('Data Entry'!$Ê$578), "", 'Data Entry'!$Ê$578)</f>
      </c>
      <c r="EI578">
        <f>IF(ISBLANK('Data Entry'!$Ë$578), "", 'Data Entry'!$Ë$578)</f>
      </c>
      <c r="EJ578">
        <f>IF(ISBLANK('Data Entry'!$Ì$578), "", 'Data Entry'!$Ì$578)</f>
      </c>
      <c r="EK578">
        <f>IF(ISBLANK('Data Entry'!$Í$578), "", 'Data Entry'!$Í$578)</f>
      </c>
      <c r="EL578">
        <f>IF(ISBLANK('Data Entry'!$Î$578), "", 'Data Entry'!$Î$578)</f>
      </c>
      <c r="EM578">
        <f>IF(ISBLANK('Data Entry'!$Ï$578), "", 'Data Entry'!$Ï$578)</f>
      </c>
      <c r="EN578">
        <f>IF(ISBLANK('Data Entry'!$Ð$578), "", 'Data Entry'!$Ð$578)</f>
      </c>
      <c r="EO578">
        <f>IF(ISBLANK('Data Entry'!$Ñ$578), "", 'Data Entry'!$Ñ$578)</f>
      </c>
      <c r="EP578">
        <f>IF(ISBLANK('Data Entry'!$Ò$578), "", 'Data Entry'!$Ò$578)</f>
      </c>
      <c r="EQ578">
        <f>IF(ISBLANK('Data Entry'!$Ó$578), "", 'Data Entry'!$Ó$578)</f>
      </c>
      <c r="ER578">
        <f>IF(ISBLANK('Data Entry'!$Ô$578), "", 'Data Entry'!$Ô$578)</f>
      </c>
      <c r="ES578">
        <f>IF(ISBLANK('Data Entry'!$Õ$578), "", 'Data Entry'!$Õ$578)</f>
      </c>
      <c r="ET578">
        <f>IF(ISBLANK('Data Entry'!$Ö$578), "", 'Data Entry'!$Ö$578)</f>
      </c>
      <c r="EU578">
        <f>IF(ISBLANK('Data Entry'!$×$578), "", 'Data Entry'!$×$578)</f>
      </c>
      <c r="EV578">
        <f>IF(ISBLANK('Data Entry'!$Ø$578), "", 'Data Entry'!$Ø$578)</f>
      </c>
      <c r="EW578">
        <f>IF(ISBLANK('Data Entry'!$Ù$578), "", 'Data Entry'!$Ù$578)</f>
      </c>
      <c r="EX578">
        <f>IF(ISBLANK('Data Entry'!$Ú$578), "", 'Data Entry'!$Ú$578)</f>
      </c>
      <c r="EY578">
        <f>IF(ISBLANK('Data Entry'!$Û$578), "", 'Data Entry'!$Û$578)</f>
      </c>
      <c r="EZ578">
        <f>IF(ISBLANK('Data Entry'!$Ü$578), "", 'Data Entry'!$Ü$578)</f>
      </c>
      <c r="FA578">
        <f>IF(ISBLANK('Data Entry'!$Ý$578), "", 'Data Entry'!$Ý$578)</f>
      </c>
      <c r="FB578">
        <f>IF(ISBLANK('Data Entry'!$Þ$578), "", 'Data Entry'!$Þ$578)</f>
      </c>
      <c r="FC578">
        <f>IF(ISBLANK('Data Entry'!$ß$578), "", 'Data Entry'!$ß$578)</f>
      </c>
      <c r="FD578">
        <f>IF(ISBLANK('Data Entry'!$à$578), "", 'Data Entry'!$à$578)</f>
      </c>
      <c r="FE578">
        <f>IF(ISBLANK('Data Entry'!$á$578), "", 'Data Entry'!$á$578)</f>
      </c>
      <c r="FF578">
        <f>IF(ISBLANK('Data Entry'!$â$578), "", 'Data Entry'!$â$578)</f>
      </c>
      <c r="FG578">
        <f>IF(ISBLANK('Data Entry'!$ã$578), "", 'Data Entry'!$ã$578)</f>
      </c>
      <c r="FH578">
        <f>IF(ISBLANK('Data Entry'!$ä$578), "", 'Data Entry'!$ä$578)</f>
      </c>
      <c r="FI578">
        <f>IF(ISBLANK('Data Entry'!$å$578), "", 'Data Entry'!$å$578)</f>
      </c>
      <c r="FJ578">
        <f>IF(ISBLANK('Data Entry'!$æ$578), "", 'Data Entry'!$æ$578)</f>
      </c>
      <c r="FK578">
        <f>IF(ISBLANK('Data Entry'!$ç$578), "", 'Data Entry'!$ç$578)</f>
      </c>
      <c r="FL578">
        <f>IF(ISBLANK('Data Entry'!$è$578), "", 'Data Entry'!$è$578)</f>
      </c>
      <c r="FM578">
        <f>IF(ISBLANK('Data Entry'!$é$578), "", 'Data Entry'!$é$578)</f>
      </c>
      <c r="FN578">
        <f>IF(ISBLANK('Data Entry'!$ê$578), "", 'Data Entry'!$ê$578)</f>
      </c>
      <c r="FO578">
        <f>IF(ISBLANK('Data Entry'!$ë$578), "", 'Data Entry'!$ë$578)</f>
      </c>
      <c r="FP578">
        <f>IF(ISBLANK('Data Entry'!$ì$578), "", 'Data Entry'!$ì$578)</f>
      </c>
      <c r="FQ578">
        <f>IF(ISBLANK('Data Entry'!$í$578), "", 'Data Entry'!$í$578)</f>
      </c>
      <c r="FR578">
        <f>IF(ISBLANK('Data Entry'!$î$578), "", 'Data Entry'!$î$578)</f>
      </c>
      <c r="FS578">
        <f>IF(ISBLANK('Data Entry'!$ï$578), "", 'Data Entry'!$ï$578)</f>
      </c>
      <c r="FT578">
        <f>IF(ISBLANK('Data Entry'!$ð$578), "", 'Data Entry'!$ð$578)</f>
      </c>
      <c r="FU578">
        <f>IF(ISBLANK('Data Entry'!$ñ$578), "", 'Data Entry'!$ñ$578)</f>
      </c>
      <c r="FV578">
        <f>IF(ISBLANK('Data Entry'!$ò$578), "", 'Data Entry'!$ò$578)</f>
      </c>
      <c r="FW578">
        <f>IF(ISBLANK('Data Entry'!$ó$578), "", 'Data Entry'!$ó$578)</f>
      </c>
      <c r="FX578">
        <f>IF(ISBLANK('Data Entry'!$ô$578), "", 'Data Entry'!$ô$578)</f>
      </c>
      <c r="FY578">
        <f>IF(ISBLANK('Data Entry'!$õ$578), "", 'Data Entry'!$õ$578)</f>
      </c>
      <c r="FZ578">
        <f>IF(ISBLANK('Data Entry'!$ö$578), "", 'Data Entry'!$ö$578)</f>
      </c>
      <c r="GA578">
        <f>IF(ISBLANK('Data Entry'!$÷$578), "", 'Data Entry'!$÷$578)</f>
      </c>
      <c r="GB578">
        <f>IF(ISBLANK('Data Entry'!$ø$578), "", 'Data Entry'!$ø$578)</f>
      </c>
      <c r="GC578">
        <f>IF(ISBLANK('Data Entry'!$ù$578), "", 'Data Entry'!$ù$578)</f>
      </c>
      <c r="GD578">
        <f>IF(ISBLANK('Data Entry'!$ú$578), "", 'Data Entry'!$ú$578)</f>
      </c>
      <c r="GE578">
        <f>IF(ISBLANK('Data Entry'!$û$578), "", 'Data Entry'!$û$578)</f>
      </c>
      <c r="GF578">
        <f>IF(ISBLANK('Data Entry'!$ü$578), "", 'Data Entry'!$ü$578)</f>
      </c>
      <c r="GG578">
        <f>IF(ISBLANK('Data Entry'!$ý$578), "", 'Data Entry'!$ý$578)</f>
      </c>
      <c r="GH578">
        <f>IF(ISBLANK('Data Entry'!$þ$578), "", 'Data Entry'!$þ$578)</f>
      </c>
      <c r="GI578">
        <f>IF(ISBLANK('Data Entry'!$ÿ$578), "", 'Data Entry'!$ÿ$578)</f>
      </c>
      <c r="GJ578">
        <f>IF(ISBLANK('Data Entry'!$Ā$578), "", 'Data Entry'!$Ā$578)</f>
      </c>
      <c r="GK578">
        <f>IF(ISBLANK('Data Entry'!$ā$578), "", 'Data Entry'!$ā$578)</f>
      </c>
      <c r="GL578">
        <f>IF(ISBLANK('Data Entry'!$Ă$578), "", 'Data Entry'!$Ă$578)</f>
      </c>
      <c r="GM578">
        <f>IF(ISBLANK('Data Entry'!$ă$578), "", 'Data Entry'!$ă$578)</f>
      </c>
      <c r="GN578">
        <f>IF(ISBLANK('Data Entry'!$Ą$578), "", 'Data Entry'!$Ą$578)</f>
      </c>
      <c r="GO578">
        <f>IF(ISBLANK('Data Entry'!$ą$578), "", 'Data Entry'!$ą$578)</f>
      </c>
      <c r="GP578">
        <f>IF(ISBLANK('Data Entry'!$Ć$578), "", 'Data Entry'!$Ć$578)</f>
      </c>
      <c r="GQ578">
        <f>IF(ISBLANK('Data Entry'!$ć$578), "", 'Data Entry'!$ć$578)</f>
      </c>
      <c r="GR578">
        <f>IF(ISBLANK('Data Entry'!$Ĉ$578), "", 'Data Entry'!$Ĉ$578)</f>
      </c>
      <c r="GS578">
        <f>IF(ISBLANK('Data Entry'!$ĉ$578), "", 'Data Entry'!$ĉ$578)</f>
      </c>
      <c r="GT578">
        <f>IF(ISBLANK('Data Entry'!$Ċ$578), "", 'Data Entry'!$Ċ$578)</f>
      </c>
      <c r="GU578">
        <f>IF(ISBLANK('Data Entry'!$ċ$578), "", 'Data Entry'!$ċ$578)</f>
      </c>
      <c r="GV578">
        <f>IF(ISBLANK('Data Entry'!$Č$578), "", 'Data Entry'!$Č$578)</f>
      </c>
      <c r="GW578">
        <f>IF(ISBLANK('Data Entry'!$č$578), "", 'Data Entry'!$č$578)</f>
      </c>
      <c r="GX578">
        <f>IF(ISBLANK('Data Entry'!$Ď$578), "", 'Data Entry'!$Ď$578)</f>
      </c>
      <c r="GY578">
        <f>IF(ISBLANK('Data Entry'!$ď$578), "", 'Data Entry'!$ď$578)</f>
      </c>
      <c r="GZ578">
        <f>IF(ISBLANK('Data Entry'!$Đ$578), "", 'Data Entry'!$Đ$578)</f>
      </c>
      <c r="HA578">
        <f>IF(ISBLANK('Data Entry'!$đ$578), "", 'Data Entry'!$đ$578)</f>
      </c>
      <c r="HB578">
        <f>IF(ISBLANK('Data Entry'!$Ē$578), "", 'Data Entry'!$Ē$578)</f>
      </c>
      <c r="HC578">
        <f>IF(ISBLANK('Data Entry'!$ē$578), "", 'Data Entry'!$ē$578)</f>
      </c>
      <c r="HD578">
        <f>IF(ISBLANK('Data Entry'!$Ĕ$578), "", 'Data Entry'!$Ĕ$578)</f>
      </c>
      <c r="HE578">
        <f>IF(ISBLANK('Data Entry'!$ĕ$578), "", 'Data Entry'!$ĕ$578)</f>
      </c>
      <c r="HF578">
        <f>IF(ISBLANK('Data Entry'!$Ė$578), "", 'Data Entry'!$Ė$578)</f>
      </c>
      <c r="HG578">
        <f>IF(ISBLANK('Data Entry'!$ė$578), "", 'Data Entry'!$ė$578)</f>
      </c>
      <c r="HH578">
        <f>IF(ISBLANK('Data Entry'!$Ę$578), "", 'Data Entry'!$Ę$578)</f>
      </c>
      <c r="HI578">
        <f>IF(ISBLANK('Data Entry'!$ę$578), "", 'Data Entry'!$ę$578)</f>
      </c>
      <c r="HJ578">
        <f>IF(ISBLANK('Data Entry'!$Ě$578), "", 'Data Entry'!$Ě$578)</f>
      </c>
      <c r="HK578">
        <f>IF(ISBLANK('Data Entry'!$ě$578), "", 'Data Entry'!$ě$578)</f>
      </c>
      <c r="HL578">
        <f>IF(ISBLANK('Data Entry'!$Ĝ$578), "", 'Data Entry'!$Ĝ$578)</f>
      </c>
      <c r="HM578">
        <f>IF(ISBLANK('Data Entry'!$ĝ$578), "", 'Data Entry'!$ĝ$578)</f>
      </c>
      <c r="HN578">
        <f>IF(ISBLANK('Data Entry'!$Ğ$578), "", 'Data Entry'!$Ğ$578)</f>
      </c>
      <c r="HO578">
        <f>IF(ISBLANK('Data Entry'!$ğ$578), "", 'Data Entry'!$ğ$578)</f>
      </c>
      <c r="HP578">
        <f>IF(ISBLANK('Data Entry'!$Ġ$578), "", 'Data Entry'!$Ġ$578)</f>
      </c>
      <c r="HQ578">
        <f>IF(ISBLANK('Data Entry'!$ġ$578), "", 'Data Entry'!$ġ$578)</f>
      </c>
      <c r="HR578">
        <f>IF(ISBLANK('Data Entry'!$Ģ$578), "", 'Data Entry'!$Ģ$578)</f>
      </c>
      <c r="HS578">
        <f>IF(ISBLANK('Data Entry'!$ģ$578), "", 'Data Entry'!$ģ$578)</f>
      </c>
      <c r="HT578">
        <f>IF(ISBLANK('Data Entry'!$Ĥ$578), "", 'Data Entry'!$Ĥ$578)</f>
      </c>
      <c r="HU578">
        <f>IF(ISBLANK('Data Entry'!$ĥ$578), "", 'Data Entry'!$ĥ$578)</f>
      </c>
      <c r="HV578">
        <f>IF(ISBLANK('Data Entry'!$Ħ$578), "", 'Data Entry'!$Ħ$578)</f>
      </c>
      <c r="HW578">
        <f>IF(ISBLANK('Data Entry'!$ħ$578), "", 'Data Entry'!$ħ$578)</f>
      </c>
      <c r="HX578">
        <f>IF(ISBLANK('Data Entry'!$Ĩ$578), "", 'Data Entry'!$Ĩ$578)</f>
      </c>
      <c r="HY578">
        <f>IF(ISBLANK('Data Entry'!$ĩ$578), "", 'Data Entry'!$ĩ$578)</f>
      </c>
      <c r="HZ578">
        <f>IF(ISBLANK('Data Entry'!$Ī$578), "", 'Data Entry'!$Ī$578)</f>
      </c>
      <c r="IA578">
        <f>IF(ISBLANK('Data Entry'!$ī$578), "", 'Data Entry'!$ī$578)</f>
      </c>
      <c r="IB578">
        <f>IF(ISBLANK('Data Entry'!$Ĭ$578), "", 'Data Entry'!$Ĭ$578)</f>
      </c>
      <c r="IC578">
        <f>IF(ISBLANK('Data Entry'!$ĭ$578), "", 'Data Entry'!$ĭ$578)</f>
      </c>
      <c r="ID578">
        <f>IF(ISBLANK('Data Entry'!$Į$578), "", 'Data Entry'!$Į$578)</f>
      </c>
      <c r="IE578">
        <f>IF(ISBLANK('Data Entry'!$į$578), "", 'Data Entry'!$į$578)</f>
      </c>
      <c r="IF578">
        <f>IF(ISBLANK('Data Entry'!$İ$578), "", 'Data Entry'!$İ$578)</f>
      </c>
      <c r="IG578">
        <f>IF(ISBLANK('Data Entry'!$ı$578), "", 'Data Entry'!$ı$578)</f>
      </c>
      <c r="IH578">
        <f>IF(ISBLANK('Data Entry'!$Ĳ$578), "", 'Data Entry'!$Ĳ$578)</f>
      </c>
      <c r="II578">
        <f>IF(ISBLANK('Data Entry'!$ĳ$578), "", 'Data Entry'!$ĳ$578)</f>
      </c>
      <c r="IJ578">
        <f>IF(ISBLANK('Data Entry'!$Ĵ$578), "", 'Data Entry'!$Ĵ$578)</f>
      </c>
      <c r="IK578">
        <f>IF(ISBLANK('Data Entry'!$ĵ$578), "", 'Data Entry'!$ĵ$578)</f>
      </c>
      <c r="IL578">
        <f>IF(ISBLANK('Data Entry'!$Ķ$578), "", 'Data Entry'!$Ķ$578)</f>
      </c>
      <c r="IM578">
        <f>IF(ISBLANK('Data Entry'!$ķ$578), "", 'Data Entry'!$ķ$578)</f>
      </c>
      <c r="IN578">
        <f>IF(ISBLANK('Data Entry'!$ĸ$578), "", 'Data Entry'!$ĸ$578)</f>
      </c>
      <c r="IO578">
        <f>IF(ISBLANK('Data Entry'!$Ĺ$578), "", 'Data Entry'!$Ĺ$578)</f>
      </c>
      <c r="IP578">
        <f>IF(ISBLANK('Data Entry'!$ĺ$578), "", 'Data Entry'!$ĺ$578)</f>
      </c>
      <c r="IQ578">
        <f>IF(ISBLANK('Data Entry'!$Ļ$578), "", 'Data Entry'!$Ļ$578)</f>
      </c>
      <c r="IR578">
        <f>IF(ISBLANK('Data Entry'!$ļ$578), "", 'Data Entry'!$ļ$578)</f>
      </c>
      <c r="IS578">
        <f>IF(ISBLANK('Data Entry'!$Ľ$578), "", 'Data Entry'!$Ľ$578)</f>
      </c>
      <c r="IT578">
        <f>IF(ISBLANK('Data Entry'!$ľ$578), "", 'Data Entry'!$ľ$578)</f>
      </c>
    </row>
    <row r="579" spans="1:254" x14ac:dyDescent="0.25">
      <c r="A579">
        <f>IF(ISBLANK('Data Entry'!$A$579), "", 'Data Entry'!$A$579)</f>
      </c>
      <c r="B579">
        <f>IF(ISBLANK('Data Entry'!$B$579), "", 'Data Entry'!$B$579)</f>
      </c>
      <c r="C579">
        <f>IF(ISBLANK('Data Entry'!$C$579), "", 'Data Entry'!$C$579)</f>
      </c>
      <c r="D579">
        <f>IF(ISBLANK('Data Entry'!$D$579), "", 'Data Entry'!$D$579)</f>
      </c>
      <c r="E579">
        <f>IF(ISBLANK('Data Entry'!$E$579), "", 'Data Entry'!$E$579)</f>
      </c>
      <c r="F579">
        <f>IF(ISBLANK('Data Entry'!$F$579), "", 'Data Entry'!$F$579)</f>
      </c>
      <c r="G579">
        <f>IF(ISBLANK('Data Entry'!$G$579), "", 'Data Entry'!$G$579)</f>
      </c>
      <c r="H579">
        <f>IF(ISBLANK('Data Entry'!$H$579), "", 'Data Entry'!$H$579)</f>
      </c>
      <c r="I579">
        <f>IF(ISBLANK('Data Entry'!$I$579), "", 'Data Entry'!$I$579)</f>
      </c>
      <c r="J579">
        <f>IF(ISBLANK('Data Entry'!$J$579), "", 'Data Entry'!$J$579)</f>
      </c>
      <c r="K579">
        <f>IF(ISBLANK('Data Entry'!$K$579), "", 'Data Entry'!$K$579)</f>
      </c>
      <c r="L579">
        <f>IF(ISBLANK('Data Entry'!$L$579), "", 'Data Entry'!$L$579)</f>
      </c>
      <c r="M579">
        <f>IF(ISBLANK('Data Entry'!$M$579), "", 'Data Entry'!$M$579)</f>
      </c>
      <c r="N579">
        <f>IF(ISBLANK('Data Entry'!$N$579), "", 'Data Entry'!$N$579)</f>
      </c>
      <c r="O579">
        <f>IF(ISBLANK('Data Entry'!$O$579), "", 'Data Entry'!$O$579)</f>
      </c>
      <c r="P579">
        <f>IF(ISBLANK('Data Entry'!$P$579), "", 'Data Entry'!$P$579)</f>
      </c>
      <c r="Q579">
        <f>IF(ISBLANK('Data Entry'!$Q$579), "", 'Data Entry'!$Q$579)</f>
      </c>
      <c r="R579">
        <f>IF(ISBLANK('Data Entry'!$R$579), "", 'Data Entry'!$R$579)</f>
      </c>
      <c r="S579">
        <f>IF(ISBLANK('Data Entry'!$S$579), "", 'Data Entry'!$S$579)</f>
      </c>
      <c r="T579">
        <f>IF(ISBLANK('Data Entry'!$T$579), "", 'Data Entry'!$T$579)</f>
      </c>
      <c r="U579">
        <f>IF(ISBLANK('Data Entry'!$U$579), "", 'Data Entry'!$U$579)</f>
      </c>
      <c r="V579">
        <f>IF(ISBLANK('Data Entry'!$V$579), "", 'Data Entry'!$V$579)</f>
      </c>
      <c r="W579">
        <f>IF(ISBLANK('Data Entry'!$W$579), "", 'Data Entry'!$W$579)</f>
      </c>
      <c r="X579">
        <f>IF(ISBLANK('Data Entry'!$X$579), "", 'Data Entry'!$X$579)</f>
      </c>
      <c r="Y579">
        <f>IF(ISBLANK('Data Entry'!$Y$579), "", 'Data Entry'!$Y$579)</f>
      </c>
      <c r="Z579">
        <f>IF(ISBLANK('Data Entry'!$Z$579), "", 'Data Entry'!$Z$579)</f>
      </c>
      <c r="AA579">
        <f>IF(ISBLANK('Data Entry'!$[$579), "", 'Data Entry'!$[$579)</f>
      </c>
      <c r="AB579">
        <f>IF(ISBLANK('Data Entry'!$\$579), "", 'Data Entry'!$\$579)</f>
      </c>
      <c r="AC579">
        <f>IF(ISBLANK('Data Entry'!$]$579), "", 'Data Entry'!$]$579)</f>
      </c>
      <c r="AD579">
        <f>IF(ISBLANK('Data Entry'!$^$579), "", 'Data Entry'!$^$579)</f>
      </c>
      <c r="AE579">
        <f>IF(ISBLANK('Data Entry'!$_$579), "", 'Data Entry'!$_$579)</f>
      </c>
      <c r="AF579">
        <f>IF(ISBLANK('Data Entry'!$`$579), "", 'Data Entry'!$`$579)</f>
      </c>
      <c r="AG579">
        <f>IF(ISBLANK('Data Entry'!$a$579), "", 'Data Entry'!$a$579)</f>
      </c>
      <c r="AH579">
        <f>IF(ISBLANK('Data Entry'!$b$579), "", 'Data Entry'!$b$579)</f>
      </c>
      <c r="AI579">
        <f>IF(ISBLANK('Data Entry'!$c$579), "", 'Data Entry'!$c$579)</f>
      </c>
      <c r="AJ579">
        <f>IF(ISBLANK('Data Entry'!$d$579), "", 'Data Entry'!$d$579)</f>
      </c>
      <c r="AK579">
        <f>IF(ISBLANK('Data Entry'!$e$579), "", 'Data Entry'!$e$579)</f>
      </c>
      <c r="AL579">
        <f>IF(ISBLANK('Data Entry'!$f$579), "", 'Data Entry'!$f$579)</f>
      </c>
      <c r="AM579">
        <f>IF(ISBLANK('Data Entry'!$g$579), "", 'Data Entry'!$g$579)</f>
      </c>
      <c r="AN579">
        <f>IF(ISBLANK('Data Entry'!$h$579), "", 'Data Entry'!$h$579)</f>
      </c>
      <c r="AO579">
        <f>IF(ISBLANK('Data Entry'!$i$579), "", 'Data Entry'!$i$579)</f>
      </c>
      <c r="AP579">
        <f>IF(ISBLANK('Data Entry'!$j$579), "", 'Data Entry'!$j$579)</f>
      </c>
      <c r="AQ579">
        <f>IF(ISBLANK('Data Entry'!$k$579), "", 'Data Entry'!$k$579)</f>
      </c>
      <c r="AR579">
        <f>IF(ISBLANK('Data Entry'!$l$579), "", 'Data Entry'!$l$579)</f>
      </c>
      <c r="AS579">
        <f>IF(ISBLANK('Data Entry'!$m$579), "", 'Data Entry'!$m$579)</f>
      </c>
      <c r="AT579">
        <f>IF(ISBLANK('Data Entry'!$n$579), "", 'Data Entry'!$n$579)</f>
      </c>
      <c r="AU579">
        <f>IF(ISBLANK('Data Entry'!$o$579), "", 'Data Entry'!$o$579)</f>
      </c>
      <c r="AV579">
        <f>IF(ISBLANK('Data Entry'!$p$579), "", 'Data Entry'!$p$579)</f>
      </c>
      <c r="AW579">
        <f>IF(ISBLANK('Data Entry'!$q$579), "", 'Data Entry'!$q$579)</f>
      </c>
      <c r="AX579">
        <f>IF(ISBLANK('Data Entry'!$r$579), "", 'Data Entry'!$r$579)</f>
      </c>
      <c r="AY579">
        <f>IF(ISBLANK('Data Entry'!$s$579), "", 'Data Entry'!$s$579)</f>
      </c>
      <c r="AZ579">
        <f>IF(ISBLANK('Data Entry'!$t$579), "", 'Data Entry'!$t$579)</f>
      </c>
      <c r="BA579">
        <f>IF(ISBLANK('Data Entry'!$u$579), "", 'Data Entry'!$u$579)</f>
      </c>
      <c r="BB579">
        <f>IF(ISBLANK('Data Entry'!$v$579), "", 'Data Entry'!$v$579)</f>
      </c>
      <c r="BC579">
        <f>IF(ISBLANK('Data Entry'!$w$579), "", 'Data Entry'!$w$579)</f>
      </c>
      <c r="BD579">
        <f>IF(ISBLANK('Data Entry'!$x$579), "", 'Data Entry'!$x$579)</f>
      </c>
      <c r="BE579">
        <f>IF(ISBLANK('Data Entry'!$y$579), "", 'Data Entry'!$y$579)</f>
      </c>
      <c r="BF579">
        <f>IF(ISBLANK('Data Entry'!$z$579), "", 'Data Entry'!$z$579)</f>
      </c>
      <c r="BG579">
        <f>IF(ISBLANK('Data Entry'!${$579), "", 'Data Entry'!${$579)</f>
      </c>
      <c r="BH579">
        <f>IF(ISBLANK('Data Entry'!$|$579), "", 'Data Entry'!$|$579)</f>
      </c>
      <c r="BI579">
        <f>IF(ISBLANK('Data Entry'!$}$579), "", 'Data Entry'!$}$579)</f>
      </c>
      <c r="BJ579">
        <f>IF(ISBLANK('Data Entry'!$~$579), "", 'Data Entry'!$~$579)</f>
      </c>
      <c r="BK579">
        <f>IF(ISBLANK('Data Entry'!$$579), "", 'Data Entry'!$$579)</f>
      </c>
      <c r="BL579">
        <f>IF(ISBLANK('Data Entry'!$$579), "", 'Data Entry'!$$579)</f>
      </c>
      <c r="BM579">
        <f>IF(ISBLANK('Data Entry'!$$579), "", 'Data Entry'!$$579)</f>
      </c>
      <c r="BN579">
        <f>IF(ISBLANK('Data Entry'!$$579), "", 'Data Entry'!$$579)</f>
      </c>
      <c r="BO579">
        <f>IF(ISBLANK('Data Entry'!$$579), "", 'Data Entry'!$$579)</f>
      </c>
      <c r="BP579">
        <f>IF(ISBLANK('Data Entry'!$$579), "", 'Data Entry'!$$579)</f>
      </c>
      <c r="BQ579">
        <f>IF(ISBLANK('Data Entry'!$$579), "", 'Data Entry'!$$579)</f>
      </c>
      <c r="BR579">
        <f>IF(ISBLANK('Data Entry'!$$579), "", 'Data Entry'!$$579)</f>
      </c>
      <c r="BS579">
        <f>IF(ISBLANK('Data Entry'!$$579), "", 'Data Entry'!$$579)</f>
      </c>
      <c r="BT579">
        <f>IF(ISBLANK('Data Entry'!$$579), "", 'Data Entry'!$$579)</f>
      </c>
      <c r="BU579">
        <f>IF(ISBLANK('Data Entry'!$$579), "", 'Data Entry'!$$579)</f>
      </c>
      <c r="BV579">
        <f>IF(ISBLANK('Data Entry'!$$579), "", 'Data Entry'!$$579)</f>
      </c>
      <c r="BW579">
        <f>IF(ISBLANK('Data Entry'!$$579), "", 'Data Entry'!$$579)</f>
      </c>
      <c r="BX579">
        <f>IF(ISBLANK('Data Entry'!$$579), "", 'Data Entry'!$$579)</f>
      </c>
      <c r="BY579">
        <f>IF(ISBLANK('Data Entry'!$$579), "", 'Data Entry'!$$579)</f>
      </c>
      <c r="BZ579">
        <f>IF(ISBLANK('Data Entry'!$$579), "", 'Data Entry'!$$579)</f>
      </c>
      <c r="CA579">
        <f>IF(ISBLANK('Data Entry'!$$579), "", 'Data Entry'!$$579)</f>
      </c>
      <c r="CB579">
        <f>IF(ISBLANK('Data Entry'!$$579), "", 'Data Entry'!$$579)</f>
      </c>
      <c r="CC579">
        <f>IF(ISBLANK('Data Entry'!$$579), "", 'Data Entry'!$$579)</f>
      </c>
      <c r="CD579">
        <f>IF(ISBLANK('Data Entry'!$$579), "", 'Data Entry'!$$579)</f>
      </c>
      <c r="CE579">
        <f>IF(ISBLANK('Data Entry'!$$579), "", 'Data Entry'!$$579)</f>
      </c>
      <c r="CF579">
        <f>IF(ISBLANK('Data Entry'!$$579), "", 'Data Entry'!$$579)</f>
      </c>
      <c r="CG579">
        <f>IF(ISBLANK('Data Entry'!$$579), "", 'Data Entry'!$$579)</f>
      </c>
      <c r="CH579">
        <f>IF(ISBLANK('Data Entry'!$$579), "", 'Data Entry'!$$579)</f>
      </c>
      <c r="CI579">
        <f>IF(ISBLANK('Data Entry'!$$579), "", 'Data Entry'!$$579)</f>
      </c>
      <c r="CJ579">
        <f>IF(ISBLANK('Data Entry'!$$579), "", 'Data Entry'!$$579)</f>
      </c>
      <c r="CK579">
        <f>IF(ISBLANK('Data Entry'!$$579), "", 'Data Entry'!$$579)</f>
      </c>
      <c r="CL579">
        <f>IF(ISBLANK('Data Entry'!$$579), "", 'Data Entry'!$$579)</f>
      </c>
      <c r="CM579">
        <f>IF(ISBLANK('Data Entry'!$$579), "", 'Data Entry'!$$579)</f>
      </c>
      <c r="CN579">
        <f>IF(ISBLANK('Data Entry'!$$579), "", 'Data Entry'!$$579)</f>
      </c>
      <c r="CO579">
        <f>IF(ISBLANK('Data Entry'!$$579), "", 'Data Entry'!$$579)</f>
      </c>
      <c r="CP579">
        <f>IF(ISBLANK('Data Entry'!$$579), "", 'Data Entry'!$$579)</f>
      </c>
      <c r="CQ579">
        <f>IF(ISBLANK('Data Entry'!$$579), "", 'Data Entry'!$$579)</f>
      </c>
      <c r="CR579">
        <f>IF(ISBLANK('Data Entry'!$ $579), "", 'Data Entry'!$ $579)</f>
      </c>
      <c r="CS579">
        <f>IF(ISBLANK('Data Entry'!$¡$579), "", 'Data Entry'!$¡$579)</f>
      </c>
      <c r="CT579">
        <f>IF(ISBLANK('Data Entry'!$¢$579), "", 'Data Entry'!$¢$579)</f>
      </c>
      <c r="CU579">
        <f>IF(ISBLANK('Data Entry'!$£$579), "", 'Data Entry'!$£$579)</f>
      </c>
      <c r="CV579">
        <f>IF(ISBLANK('Data Entry'!$¤$579), "", 'Data Entry'!$¤$579)</f>
      </c>
      <c r="CW579">
        <f>IF(ISBLANK('Data Entry'!$¥$579), "", 'Data Entry'!$¥$579)</f>
      </c>
      <c r="CX579">
        <f>IF(ISBLANK('Data Entry'!$¦$579), "", 'Data Entry'!$¦$579)</f>
      </c>
      <c r="CY579">
        <f>IF(ISBLANK('Data Entry'!$§$579), "", 'Data Entry'!$§$579)</f>
      </c>
      <c r="CZ579">
        <f>IF(ISBLANK('Data Entry'!$¨$579), "", 'Data Entry'!$¨$579)</f>
      </c>
      <c r="DA579">
        <f>IF(ISBLANK('Data Entry'!$©$579), "", 'Data Entry'!$©$579)</f>
      </c>
      <c r="DB579">
        <f>IF(ISBLANK('Data Entry'!$ª$579), "", 'Data Entry'!$ª$579)</f>
      </c>
      <c r="DC579">
        <f>IF(ISBLANK('Data Entry'!$«$579), "", 'Data Entry'!$«$579)</f>
      </c>
      <c r="DD579">
        <f>IF(ISBLANK('Data Entry'!$¬$579), "", 'Data Entry'!$¬$579)</f>
      </c>
      <c r="DE579">
        <f>IF(ISBLANK('Data Entry'!$­$579), "", 'Data Entry'!$­$579)</f>
      </c>
      <c r="DF579">
        <f>IF(ISBLANK('Data Entry'!$®$579), "", 'Data Entry'!$®$579)</f>
      </c>
      <c r="DG579">
        <f>IF(ISBLANK('Data Entry'!$¯$579), "", 'Data Entry'!$¯$579)</f>
      </c>
      <c r="DH579">
        <f>IF(ISBLANK('Data Entry'!$°$579), "", 'Data Entry'!$°$579)</f>
      </c>
      <c r="DI579">
        <f>IF(ISBLANK('Data Entry'!$±$579), "", 'Data Entry'!$±$579)</f>
      </c>
      <c r="DJ579">
        <f>IF(ISBLANK('Data Entry'!$²$579), "", 'Data Entry'!$²$579)</f>
      </c>
      <c r="DK579">
        <f>IF(ISBLANK('Data Entry'!$³$579), "", 'Data Entry'!$³$579)</f>
      </c>
      <c r="DL579">
        <f>IF(ISBLANK('Data Entry'!$´$579), "", 'Data Entry'!$´$579)</f>
      </c>
      <c r="DM579">
        <f>IF(ISBLANK('Data Entry'!$µ$579), "", 'Data Entry'!$µ$579)</f>
      </c>
      <c r="DN579">
        <f>IF(ISBLANK('Data Entry'!$¶$579), "", 'Data Entry'!$¶$579)</f>
      </c>
      <c r="DO579">
        <f>IF(ISBLANK('Data Entry'!$·$579), "", 'Data Entry'!$·$579)</f>
      </c>
      <c r="DP579">
        <f>IF(ISBLANK('Data Entry'!$¸$579), "", 'Data Entry'!$¸$579)</f>
      </c>
      <c r="DQ579">
        <f>IF(ISBLANK('Data Entry'!$¹$579), "", 'Data Entry'!$¹$579)</f>
      </c>
      <c r="DR579">
        <f>IF(ISBLANK('Data Entry'!$º$579), "", 'Data Entry'!$º$579)</f>
      </c>
      <c r="DS579">
        <f>IF(ISBLANK('Data Entry'!$»$579), "", 'Data Entry'!$»$579)</f>
      </c>
      <c r="DT579">
        <f>IF(ISBLANK('Data Entry'!$¼$579), "", 'Data Entry'!$¼$579)</f>
      </c>
      <c r="DU579">
        <f>IF(ISBLANK('Data Entry'!$½$579), "", 'Data Entry'!$½$579)</f>
      </c>
      <c r="DV579">
        <f>IF(ISBLANK('Data Entry'!$¾$579), "", 'Data Entry'!$¾$579)</f>
      </c>
      <c r="DW579">
        <f>IF(ISBLANK('Data Entry'!$¿$579), "", 'Data Entry'!$¿$579)</f>
      </c>
      <c r="DX579">
        <f>IF(ISBLANK('Data Entry'!$À$579), "", 'Data Entry'!$À$579)</f>
      </c>
      <c r="DY579">
        <f>IF(ISBLANK('Data Entry'!$Á$579), "", 'Data Entry'!$Á$579)</f>
      </c>
      <c r="DZ579">
        <f>IF(ISBLANK('Data Entry'!$Â$579), "", 'Data Entry'!$Â$579)</f>
      </c>
      <c r="EA579">
        <f>IF(ISBLANK('Data Entry'!$Ã$579), "", 'Data Entry'!$Ã$579)</f>
      </c>
      <c r="EB579">
        <f>IF(ISBLANK('Data Entry'!$Ä$579), "", 'Data Entry'!$Ä$579)</f>
      </c>
      <c r="EC579">
        <f>IF(ISBLANK('Data Entry'!$Å$579), "", 'Data Entry'!$Å$579)</f>
      </c>
      <c r="ED579">
        <f>IF(ISBLANK('Data Entry'!$Æ$579), "", 'Data Entry'!$Æ$579)</f>
      </c>
      <c r="EE579">
        <f>IF(ISBLANK('Data Entry'!$Ç$579), "", 'Data Entry'!$Ç$579)</f>
      </c>
      <c r="EF579">
        <f>IF(ISBLANK('Data Entry'!$È$579), "", 'Data Entry'!$È$579)</f>
      </c>
      <c r="EG579">
        <f>IF(ISBLANK('Data Entry'!$É$579), "", 'Data Entry'!$É$579)</f>
      </c>
      <c r="EH579">
        <f>IF(ISBLANK('Data Entry'!$Ê$579), "", 'Data Entry'!$Ê$579)</f>
      </c>
      <c r="EI579">
        <f>IF(ISBLANK('Data Entry'!$Ë$579), "", 'Data Entry'!$Ë$579)</f>
      </c>
      <c r="EJ579">
        <f>IF(ISBLANK('Data Entry'!$Ì$579), "", 'Data Entry'!$Ì$579)</f>
      </c>
      <c r="EK579">
        <f>IF(ISBLANK('Data Entry'!$Í$579), "", 'Data Entry'!$Í$579)</f>
      </c>
      <c r="EL579">
        <f>IF(ISBLANK('Data Entry'!$Î$579), "", 'Data Entry'!$Î$579)</f>
      </c>
      <c r="EM579">
        <f>IF(ISBLANK('Data Entry'!$Ï$579), "", 'Data Entry'!$Ï$579)</f>
      </c>
      <c r="EN579">
        <f>IF(ISBLANK('Data Entry'!$Ð$579), "", 'Data Entry'!$Ð$579)</f>
      </c>
      <c r="EO579">
        <f>IF(ISBLANK('Data Entry'!$Ñ$579), "", 'Data Entry'!$Ñ$579)</f>
      </c>
      <c r="EP579">
        <f>IF(ISBLANK('Data Entry'!$Ò$579), "", 'Data Entry'!$Ò$579)</f>
      </c>
      <c r="EQ579">
        <f>IF(ISBLANK('Data Entry'!$Ó$579), "", 'Data Entry'!$Ó$579)</f>
      </c>
      <c r="ER579">
        <f>IF(ISBLANK('Data Entry'!$Ô$579), "", 'Data Entry'!$Ô$579)</f>
      </c>
      <c r="ES579">
        <f>IF(ISBLANK('Data Entry'!$Õ$579), "", 'Data Entry'!$Õ$579)</f>
      </c>
      <c r="ET579">
        <f>IF(ISBLANK('Data Entry'!$Ö$579), "", 'Data Entry'!$Ö$579)</f>
      </c>
      <c r="EU579">
        <f>IF(ISBLANK('Data Entry'!$×$579), "", 'Data Entry'!$×$579)</f>
      </c>
      <c r="EV579">
        <f>IF(ISBLANK('Data Entry'!$Ø$579), "", 'Data Entry'!$Ø$579)</f>
      </c>
      <c r="EW579">
        <f>IF(ISBLANK('Data Entry'!$Ù$579), "", 'Data Entry'!$Ù$579)</f>
      </c>
      <c r="EX579">
        <f>IF(ISBLANK('Data Entry'!$Ú$579), "", 'Data Entry'!$Ú$579)</f>
      </c>
      <c r="EY579">
        <f>IF(ISBLANK('Data Entry'!$Û$579), "", 'Data Entry'!$Û$579)</f>
      </c>
      <c r="EZ579">
        <f>IF(ISBLANK('Data Entry'!$Ü$579), "", 'Data Entry'!$Ü$579)</f>
      </c>
      <c r="FA579">
        <f>IF(ISBLANK('Data Entry'!$Ý$579), "", 'Data Entry'!$Ý$579)</f>
      </c>
      <c r="FB579">
        <f>IF(ISBLANK('Data Entry'!$Þ$579), "", 'Data Entry'!$Þ$579)</f>
      </c>
      <c r="FC579">
        <f>IF(ISBLANK('Data Entry'!$ß$579), "", 'Data Entry'!$ß$579)</f>
      </c>
      <c r="FD579">
        <f>IF(ISBLANK('Data Entry'!$à$579), "", 'Data Entry'!$à$579)</f>
      </c>
      <c r="FE579">
        <f>IF(ISBLANK('Data Entry'!$á$579), "", 'Data Entry'!$á$579)</f>
      </c>
      <c r="FF579">
        <f>IF(ISBLANK('Data Entry'!$â$579), "", 'Data Entry'!$â$579)</f>
      </c>
      <c r="FG579">
        <f>IF(ISBLANK('Data Entry'!$ã$579), "", 'Data Entry'!$ã$579)</f>
      </c>
      <c r="FH579">
        <f>IF(ISBLANK('Data Entry'!$ä$579), "", 'Data Entry'!$ä$579)</f>
      </c>
      <c r="FI579">
        <f>IF(ISBLANK('Data Entry'!$å$579), "", 'Data Entry'!$å$579)</f>
      </c>
      <c r="FJ579">
        <f>IF(ISBLANK('Data Entry'!$æ$579), "", 'Data Entry'!$æ$579)</f>
      </c>
      <c r="FK579">
        <f>IF(ISBLANK('Data Entry'!$ç$579), "", 'Data Entry'!$ç$579)</f>
      </c>
      <c r="FL579">
        <f>IF(ISBLANK('Data Entry'!$è$579), "", 'Data Entry'!$è$579)</f>
      </c>
      <c r="FM579">
        <f>IF(ISBLANK('Data Entry'!$é$579), "", 'Data Entry'!$é$579)</f>
      </c>
      <c r="FN579">
        <f>IF(ISBLANK('Data Entry'!$ê$579), "", 'Data Entry'!$ê$579)</f>
      </c>
      <c r="FO579">
        <f>IF(ISBLANK('Data Entry'!$ë$579), "", 'Data Entry'!$ë$579)</f>
      </c>
      <c r="FP579">
        <f>IF(ISBLANK('Data Entry'!$ì$579), "", 'Data Entry'!$ì$579)</f>
      </c>
      <c r="FQ579">
        <f>IF(ISBLANK('Data Entry'!$í$579), "", 'Data Entry'!$í$579)</f>
      </c>
      <c r="FR579">
        <f>IF(ISBLANK('Data Entry'!$î$579), "", 'Data Entry'!$î$579)</f>
      </c>
      <c r="FS579">
        <f>IF(ISBLANK('Data Entry'!$ï$579), "", 'Data Entry'!$ï$579)</f>
      </c>
      <c r="FT579">
        <f>IF(ISBLANK('Data Entry'!$ð$579), "", 'Data Entry'!$ð$579)</f>
      </c>
      <c r="FU579">
        <f>IF(ISBLANK('Data Entry'!$ñ$579), "", 'Data Entry'!$ñ$579)</f>
      </c>
      <c r="FV579">
        <f>IF(ISBLANK('Data Entry'!$ò$579), "", 'Data Entry'!$ò$579)</f>
      </c>
      <c r="FW579">
        <f>IF(ISBLANK('Data Entry'!$ó$579), "", 'Data Entry'!$ó$579)</f>
      </c>
      <c r="FX579">
        <f>IF(ISBLANK('Data Entry'!$ô$579), "", 'Data Entry'!$ô$579)</f>
      </c>
      <c r="FY579">
        <f>IF(ISBLANK('Data Entry'!$õ$579), "", 'Data Entry'!$õ$579)</f>
      </c>
      <c r="FZ579">
        <f>IF(ISBLANK('Data Entry'!$ö$579), "", 'Data Entry'!$ö$579)</f>
      </c>
      <c r="GA579">
        <f>IF(ISBLANK('Data Entry'!$÷$579), "", 'Data Entry'!$÷$579)</f>
      </c>
      <c r="GB579">
        <f>IF(ISBLANK('Data Entry'!$ø$579), "", 'Data Entry'!$ø$579)</f>
      </c>
      <c r="GC579">
        <f>IF(ISBLANK('Data Entry'!$ù$579), "", 'Data Entry'!$ù$579)</f>
      </c>
      <c r="GD579">
        <f>IF(ISBLANK('Data Entry'!$ú$579), "", 'Data Entry'!$ú$579)</f>
      </c>
      <c r="GE579">
        <f>IF(ISBLANK('Data Entry'!$û$579), "", 'Data Entry'!$û$579)</f>
      </c>
      <c r="GF579">
        <f>IF(ISBLANK('Data Entry'!$ü$579), "", 'Data Entry'!$ü$579)</f>
      </c>
      <c r="GG579">
        <f>IF(ISBLANK('Data Entry'!$ý$579), "", 'Data Entry'!$ý$579)</f>
      </c>
      <c r="GH579">
        <f>IF(ISBLANK('Data Entry'!$þ$579), "", 'Data Entry'!$þ$579)</f>
      </c>
      <c r="GI579">
        <f>IF(ISBLANK('Data Entry'!$ÿ$579), "", 'Data Entry'!$ÿ$579)</f>
      </c>
      <c r="GJ579">
        <f>IF(ISBLANK('Data Entry'!$Ā$579), "", 'Data Entry'!$Ā$579)</f>
      </c>
      <c r="GK579">
        <f>IF(ISBLANK('Data Entry'!$ā$579), "", 'Data Entry'!$ā$579)</f>
      </c>
      <c r="GL579">
        <f>IF(ISBLANK('Data Entry'!$Ă$579), "", 'Data Entry'!$Ă$579)</f>
      </c>
      <c r="GM579">
        <f>IF(ISBLANK('Data Entry'!$ă$579), "", 'Data Entry'!$ă$579)</f>
      </c>
      <c r="GN579">
        <f>IF(ISBLANK('Data Entry'!$Ą$579), "", 'Data Entry'!$Ą$579)</f>
      </c>
      <c r="GO579">
        <f>IF(ISBLANK('Data Entry'!$ą$579), "", 'Data Entry'!$ą$579)</f>
      </c>
      <c r="GP579">
        <f>IF(ISBLANK('Data Entry'!$Ć$579), "", 'Data Entry'!$Ć$579)</f>
      </c>
      <c r="GQ579">
        <f>IF(ISBLANK('Data Entry'!$ć$579), "", 'Data Entry'!$ć$579)</f>
      </c>
      <c r="GR579">
        <f>IF(ISBLANK('Data Entry'!$Ĉ$579), "", 'Data Entry'!$Ĉ$579)</f>
      </c>
      <c r="GS579">
        <f>IF(ISBLANK('Data Entry'!$ĉ$579), "", 'Data Entry'!$ĉ$579)</f>
      </c>
      <c r="GT579">
        <f>IF(ISBLANK('Data Entry'!$Ċ$579), "", 'Data Entry'!$Ċ$579)</f>
      </c>
      <c r="GU579">
        <f>IF(ISBLANK('Data Entry'!$ċ$579), "", 'Data Entry'!$ċ$579)</f>
      </c>
      <c r="GV579">
        <f>IF(ISBLANK('Data Entry'!$Č$579), "", 'Data Entry'!$Č$579)</f>
      </c>
      <c r="GW579">
        <f>IF(ISBLANK('Data Entry'!$č$579), "", 'Data Entry'!$č$579)</f>
      </c>
      <c r="GX579">
        <f>IF(ISBLANK('Data Entry'!$Ď$579), "", 'Data Entry'!$Ď$579)</f>
      </c>
      <c r="GY579">
        <f>IF(ISBLANK('Data Entry'!$ď$579), "", 'Data Entry'!$ď$579)</f>
      </c>
      <c r="GZ579">
        <f>IF(ISBLANK('Data Entry'!$Đ$579), "", 'Data Entry'!$Đ$579)</f>
      </c>
      <c r="HA579">
        <f>IF(ISBLANK('Data Entry'!$đ$579), "", 'Data Entry'!$đ$579)</f>
      </c>
      <c r="HB579">
        <f>IF(ISBLANK('Data Entry'!$Ē$579), "", 'Data Entry'!$Ē$579)</f>
      </c>
      <c r="HC579">
        <f>IF(ISBLANK('Data Entry'!$ē$579), "", 'Data Entry'!$ē$579)</f>
      </c>
      <c r="HD579">
        <f>IF(ISBLANK('Data Entry'!$Ĕ$579), "", 'Data Entry'!$Ĕ$579)</f>
      </c>
      <c r="HE579">
        <f>IF(ISBLANK('Data Entry'!$ĕ$579), "", 'Data Entry'!$ĕ$579)</f>
      </c>
      <c r="HF579">
        <f>IF(ISBLANK('Data Entry'!$Ė$579), "", 'Data Entry'!$Ė$579)</f>
      </c>
      <c r="HG579">
        <f>IF(ISBLANK('Data Entry'!$ė$579), "", 'Data Entry'!$ė$579)</f>
      </c>
      <c r="HH579">
        <f>IF(ISBLANK('Data Entry'!$Ę$579), "", 'Data Entry'!$Ę$579)</f>
      </c>
      <c r="HI579">
        <f>IF(ISBLANK('Data Entry'!$ę$579), "", 'Data Entry'!$ę$579)</f>
      </c>
      <c r="HJ579">
        <f>IF(ISBLANK('Data Entry'!$Ě$579), "", 'Data Entry'!$Ě$579)</f>
      </c>
      <c r="HK579">
        <f>IF(ISBLANK('Data Entry'!$ě$579), "", 'Data Entry'!$ě$579)</f>
      </c>
      <c r="HL579">
        <f>IF(ISBLANK('Data Entry'!$Ĝ$579), "", 'Data Entry'!$Ĝ$579)</f>
      </c>
      <c r="HM579">
        <f>IF(ISBLANK('Data Entry'!$ĝ$579), "", 'Data Entry'!$ĝ$579)</f>
      </c>
      <c r="HN579">
        <f>IF(ISBLANK('Data Entry'!$Ğ$579), "", 'Data Entry'!$Ğ$579)</f>
      </c>
      <c r="HO579">
        <f>IF(ISBLANK('Data Entry'!$ğ$579), "", 'Data Entry'!$ğ$579)</f>
      </c>
      <c r="HP579">
        <f>IF(ISBLANK('Data Entry'!$Ġ$579), "", 'Data Entry'!$Ġ$579)</f>
      </c>
      <c r="HQ579">
        <f>IF(ISBLANK('Data Entry'!$ġ$579), "", 'Data Entry'!$ġ$579)</f>
      </c>
      <c r="HR579">
        <f>IF(ISBLANK('Data Entry'!$Ģ$579), "", 'Data Entry'!$Ģ$579)</f>
      </c>
      <c r="HS579">
        <f>IF(ISBLANK('Data Entry'!$ģ$579), "", 'Data Entry'!$ģ$579)</f>
      </c>
      <c r="HT579">
        <f>IF(ISBLANK('Data Entry'!$Ĥ$579), "", 'Data Entry'!$Ĥ$579)</f>
      </c>
      <c r="HU579">
        <f>IF(ISBLANK('Data Entry'!$ĥ$579), "", 'Data Entry'!$ĥ$579)</f>
      </c>
      <c r="HV579">
        <f>IF(ISBLANK('Data Entry'!$Ħ$579), "", 'Data Entry'!$Ħ$579)</f>
      </c>
      <c r="HW579">
        <f>IF(ISBLANK('Data Entry'!$ħ$579), "", 'Data Entry'!$ħ$579)</f>
      </c>
      <c r="HX579">
        <f>IF(ISBLANK('Data Entry'!$Ĩ$579), "", 'Data Entry'!$Ĩ$579)</f>
      </c>
      <c r="HY579">
        <f>IF(ISBLANK('Data Entry'!$ĩ$579), "", 'Data Entry'!$ĩ$579)</f>
      </c>
      <c r="HZ579">
        <f>IF(ISBLANK('Data Entry'!$Ī$579), "", 'Data Entry'!$Ī$579)</f>
      </c>
      <c r="IA579">
        <f>IF(ISBLANK('Data Entry'!$ī$579), "", 'Data Entry'!$ī$579)</f>
      </c>
      <c r="IB579">
        <f>IF(ISBLANK('Data Entry'!$Ĭ$579), "", 'Data Entry'!$Ĭ$579)</f>
      </c>
      <c r="IC579">
        <f>IF(ISBLANK('Data Entry'!$ĭ$579), "", 'Data Entry'!$ĭ$579)</f>
      </c>
      <c r="ID579">
        <f>IF(ISBLANK('Data Entry'!$Į$579), "", 'Data Entry'!$Į$579)</f>
      </c>
      <c r="IE579">
        <f>IF(ISBLANK('Data Entry'!$į$579), "", 'Data Entry'!$į$579)</f>
      </c>
      <c r="IF579">
        <f>IF(ISBLANK('Data Entry'!$İ$579), "", 'Data Entry'!$İ$579)</f>
      </c>
      <c r="IG579">
        <f>IF(ISBLANK('Data Entry'!$ı$579), "", 'Data Entry'!$ı$579)</f>
      </c>
      <c r="IH579">
        <f>IF(ISBLANK('Data Entry'!$Ĳ$579), "", 'Data Entry'!$Ĳ$579)</f>
      </c>
      <c r="II579">
        <f>IF(ISBLANK('Data Entry'!$ĳ$579), "", 'Data Entry'!$ĳ$579)</f>
      </c>
      <c r="IJ579">
        <f>IF(ISBLANK('Data Entry'!$Ĵ$579), "", 'Data Entry'!$Ĵ$579)</f>
      </c>
      <c r="IK579">
        <f>IF(ISBLANK('Data Entry'!$ĵ$579), "", 'Data Entry'!$ĵ$579)</f>
      </c>
      <c r="IL579">
        <f>IF(ISBLANK('Data Entry'!$Ķ$579), "", 'Data Entry'!$Ķ$579)</f>
      </c>
      <c r="IM579">
        <f>IF(ISBLANK('Data Entry'!$ķ$579), "", 'Data Entry'!$ķ$579)</f>
      </c>
      <c r="IN579">
        <f>IF(ISBLANK('Data Entry'!$ĸ$579), "", 'Data Entry'!$ĸ$579)</f>
      </c>
      <c r="IO579">
        <f>IF(ISBLANK('Data Entry'!$Ĺ$579), "", 'Data Entry'!$Ĺ$579)</f>
      </c>
      <c r="IP579">
        <f>IF(ISBLANK('Data Entry'!$ĺ$579), "", 'Data Entry'!$ĺ$579)</f>
      </c>
      <c r="IQ579">
        <f>IF(ISBLANK('Data Entry'!$Ļ$579), "", 'Data Entry'!$Ļ$579)</f>
      </c>
      <c r="IR579">
        <f>IF(ISBLANK('Data Entry'!$ļ$579), "", 'Data Entry'!$ļ$579)</f>
      </c>
      <c r="IS579">
        <f>IF(ISBLANK('Data Entry'!$Ľ$579), "", 'Data Entry'!$Ľ$579)</f>
      </c>
      <c r="IT579">
        <f>IF(ISBLANK('Data Entry'!$ľ$579), "", 'Data Entry'!$ľ$579)</f>
      </c>
    </row>
    <row r="580" spans="1:254" x14ac:dyDescent="0.25">
      <c r="A580">
        <f>IF(ISBLANK('Data Entry'!$A$580), "", 'Data Entry'!$A$580)</f>
      </c>
      <c r="B580">
        <f>IF(ISBLANK('Data Entry'!$B$580), "", 'Data Entry'!$B$580)</f>
      </c>
      <c r="C580">
        <f>IF(ISBLANK('Data Entry'!$C$580), "", 'Data Entry'!$C$580)</f>
      </c>
      <c r="D580">
        <f>IF(ISBLANK('Data Entry'!$D$580), "", 'Data Entry'!$D$580)</f>
      </c>
      <c r="E580">
        <f>IF(ISBLANK('Data Entry'!$E$580), "", 'Data Entry'!$E$580)</f>
      </c>
      <c r="F580">
        <f>IF(ISBLANK('Data Entry'!$F$580), "", 'Data Entry'!$F$580)</f>
      </c>
      <c r="G580">
        <f>IF(ISBLANK('Data Entry'!$G$580), "", 'Data Entry'!$G$580)</f>
      </c>
      <c r="H580">
        <f>IF(ISBLANK('Data Entry'!$H$580), "", 'Data Entry'!$H$580)</f>
      </c>
      <c r="I580">
        <f>IF(ISBLANK('Data Entry'!$I$580), "", 'Data Entry'!$I$580)</f>
      </c>
      <c r="J580">
        <f>IF(ISBLANK('Data Entry'!$J$580), "", 'Data Entry'!$J$580)</f>
      </c>
      <c r="K580">
        <f>IF(ISBLANK('Data Entry'!$K$580), "", 'Data Entry'!$K$580)</f>
      </c>
      <c r="L580">
        <f>IF(ISBLANK('Data Entry'!$L$580), "", 'Data Entry'!$L$580)</f>
      </c>
      <c r="M580">
        <f>IF(ISBLANK('Data Entry'!$M$580), "", 'Data Entry'!$M$580)</f>
      </c>
      <c r="N580">
        <f>IF(ISBLANK('Data Entry'!$N$580), "", 'Data Entry'!$N$580)</f>
      </c>
      <c r="O580">
        <f>IF(ISBLANK('Data Entry'!$O$580), "", 'Data Entry'!$O$580)</f>
      </c>
      <c r="P580">
        <f>IF(ISBLANK('Data Entry'!$P$580), "", 'Data Entry'!$P$580)</f>
      </c>
      <c r="Q580">
        <f>IF(ISBLANK('Data Entry'!$Q$580), "", 'Data Entry'!$Q$580)</f>
      </c>
      <c r="R580">
        <f>IF(ISBLANK('Data Entry'!$R$580), "", 'Data Entry'!$R$580)</f>
      </c>
      <c r="S580">
        <f>IF(ISBLANK('Data Entry'!$S$580), "", 'Data Entry'!$S$580)</f>
      </c>
      <c r="T580">
        <f>IF(ISBLANK('Data Entry'!$T$580), "", 'Data Entry'!$T$580)</f>
      </c>
      <c r="U580">
        <f>IF(ISBLANK('Data Entry'!$U$580), "", 'Data Entry'!$U$580)</f>
      </c>
      <c r="V580">
        <f>IF(ISBLANK('Data Entry'!$V$580), "", 'Data Entry'!$V$580)</f>
      </c>
      <c r="W580">
        <f>IF(ISBLANK('Data Entry'!$W$580), "", 'Data Entry'!$W$580)</f>
      </c>
      <c r="X580">
        <f>IF(ISBLANK('Data Entry'!$X$580), "", 'Data Entry'!$X$580)</f>
      </c>
      <c r="Y580">
        <f>IF(ISBLANK('Data Entry'!$Y$580), "", 'Data Entry'!$Y$580)</f>
      </c>
      <c r="Z580">
        <f>IF(ISBLANK('Data Entry'!$Z$580), "", 'Data Entry'!$Z$580)</f>
      </c>
      <c r="AA580">
        <f>IF(ISBLANK('Data Entry'!$[$580), "", 'Data Entry'!$[$580)</f>
      </c>
      <c r="AB580">
        <f>IF(ISBLANK('Data Entry'!$\$580), "", 'Data Entry'!$\$580)</f>
      </c>
      <c r="AC580">
        <f>IF(ISBLANK('Data Entry'!$]$580), "", 'Data Entry'!$]$580)</f>
      </c>
      <c r="AD580">
        <f>IF(ISBLANK('Data Entry'!$^$580), "", 'Data Entry'!$^$580)</f>
      </c>
      <c r="AE580">
        <f>IF(ISBLANK('Data Entry'!$_$580), "", 'Data Entry'!$_$580)</f>
      </c>
      <c r="AF580">
        <f>IF(ISBLANK('Data Entry'!$`$580), "", 'Data Entry'!$`$580)</f>
      </c>
      <c r="AG580">
        <f>IF(ISBLANK('Data Entry'!$a$580), "", 'Data Entry'!$a$580)</f>
      </c>
      <c r="AH580">
        <f>IF(ISBLANK('Data Entry'!$b$580), "", 'Data Entry'!$b$580)</f>
      </c>
      <c r="AI580">
        <f>IF(ISBLANK('Data Entry'!$c$580), "", 'Data Entry'!$c$580)</f>
      </c>
      <c r="AJ580">
        <f>IF(ISBLANK('Data Entry'!$d$580), "", 'Data Entry'!$d$580)</f>
      </c>
      <c r="AK580">
        <f>IF(ISBLANK('Data Entry'!$e$580), "", 'Data Entry'!$e$580)</f>
      </c>
      <c r="AL580">
        <f>IF(ISBLANK('Data Entry'!$f$580), "", 'Data Entry'!$f$580)</f>
      </c>
      <c r="AM580">
        <f>IF(ISBLANK('Data Entry'!$g$580), "", 'Data Entry'!$g$580)</f>
      </c>
      <c r="AN580">
        <f>IF(ISBLANK('Data Entry'!$h$580), "", 'Data Entry'!$h$580)</f>
      </c>
      <c r="AO580">
        <f>IF(ISBLANK('Data Entry'!$i$580), "", 'Data Entry'!$i$580)</f>
      </c>
      <c r="AP580">
        <f>IF(ISBLANK('Data Entry'!$j$580), "", 'Data Entry'!$j$580)</f>
      </c>
      <c r="AQ580">
        <f>IF(ISBLANK('Data Entry'!$k$580), "", 'Data Entry'!$k$580)</f>
      </c>
      <c r="AR580">
        <f>IF(ISBLANK('Data Entry'!$l$580), "", 'Data Entry'!$l$580)</f>
      </c>
      <c r="AS580">
        <f>IF(ISBLANK('Data Entry'!$m$580), "", 'Data Entry'!$m$580)</f>
      </c>
      <c r="AT580">
        <f>IF(ISBLANK('Data Entry'!$n$580), "", 'Data Entry'!$n$580)</f>
      </c>
      <c r="AU580">
        <f>IF(ISBLANK('Data Entry'!$o$580), "", 'Data Entry'!$o$580)</f>
      </c>
      <c r="AV580">
        <f>IF(ISBLANK('Data Entry'!$p$580), "", 'Data Entry'!$p$580)</f>
      </c>
      <c r="AW580">
        <f>IF(ISBLANK('Data Entry'!$q$580), "", 'Data Entry'!$q$580)</f>
      </c>
      <c r="AX580">
        <f>IF(ISBLANK('Data Entry'!$r$580), "", 'Data Entry'!$r$580)</f>
      </c>
      <c r="AY580">
        <f>IF(ISBLANK('Data Entry'!$s$580), "", 'Data Entry'!$s$580)</f>
      </c>
      <c r="AZ580">
        <f>IF(ISBLANK('Data Entry'!$t$580), "", 'Data Entry'!$t$580)</f>
      </c>
      <c r="BA580">
        <f>IF(ISBLANK('Data Entry'!$u$580), "", 'Data Entry'!$u$580)</f>
      </c>
      <c r="BB580">
        <f>IF(ISBLANK('Data Entry'!$v$580), "", 'Data Entry'!$v$580)</f>
      </c>
      <c r="BC580">
        <f>IF(ISBLANK('Data Entry'!$w$580), "", 'Data Entry'!$w$580)</f>
      </c>
      <c r="BD580">
        <f>IF(ISBLANK('Data Entry'!$x$580), "", 'Data Entry'!$x$580)</f>
      </c>
      <c r="BE580">
        <f>IF(ISBLANK('Data Entry'!$y$580), "", 'Data Entry'!$y$580)</f>
      </c>
      <c r="BF580">
        <f>IF(ISBLANK('Data Entry'!$z$580), "", 'Data Entry'!$z$580)</f>
      </c>
      <c r="BG580">
        <f>IF(ISBLANK('Data Entry'!${$580), "", 'Data Entry'!${$580)</f>
      </c>
      <c r="BH580">
        <f>IF(ISBLANK('Data Entry'!$|$580), "", 'Data Entry'!$|$580)</f>
      </c>
      <c r="BI580">
        <f>IF(ISBLANK('Data Entry'!$}$580), "", 'Data Entry'!$}$580)</f>
      </c>
      <c r="BJ580">
        <f>IF(ISBLANK('Data Entry'!$~$580), "", 'Data Entry'!$~$580)</f>
      </c>
      <c r="BK580">
        <f>IF(ISBLANK('Data Entry'!$$580), "", 'Data Entry'!$$580)</f>
      </c>
      <c r="BL580">
        <f>IF(ISBLANK('Data Entry'!$$580), "", 'Data Entry'!$$580)</f>
      </c>
      <c r="BM580">
        <f>IF(ISBLANK('Data Entry'!$$580), "", 'Data Entry'!$$580)</f>
      </c>
      <c r="BN580">
        <f>IF(ISBLANK('Data Entry'!$$580), "", 'Data Entry'!$$580)</f>
      </c>
      <c r="BO580">
        <f>IF(ISBLANK('Data Entry'!$$580), "", 'Data Entry'!$$580)</f>
      </c>
      <c r="BP580">
        <f>IF(ISBLANK('Data Entry'!$$580), "", 'Data Entry'!$$580)</f>
      </c>
      <c r="BQ580">
        <f>IF(ISBLANK('Data Entry'!$$580), "", 'Data Entry'!$$580)</f>
      </c>
      <c r="BR580">
        <f>IF(ISBLANK('Data Entry'!$$580), "", 'Data Entry'!$$580)</f>
      </c>
      <c r="BS580">
        <f>IF(ISBLANK('Data Entry'!$$580), "", 'Data Entry'!$$580)</f>
      </c>
      <c r="BT580">
        <f>IF(ISBLANK('Data Entry'!$$580), "", 'Data Entry'!$$580)</f>
      </c>
      <c r="BU580">
        <f>IF(ISBLANK('Data Entry'!$$580), "", 'Data Entry'!$$580)</f>
      </c>
      <c r="BV580">
        <f>IF(ISBLANK('Data Entry'!$$580), "", 'Data Entry'!$$580)</f>
      </c>
      <c r="BW580">
        <f>IF(ISBLANK('Data Entry'!$$580), "", 'Data Entry'!$$580)</f>
      </c>
      <c r="BX580">
        <f>IF(ISBLANK('Data Entry'!$$580), "", 'Data Entry'!$$580)</f>
      </c>
      <c r="BY580">
        <f>IF(ISBLANK('Data Entry'!$$580), "", 'Data Entry'!$$580)</f>
      </c>
      <c r="BZ580">
        <f>IF(ISBLANK('Data Entry'!$$580), "", 'Data Entry'!$$580)</f>
      </c>
      <c r="CA580">
        <f>IF(ISBLANK('Data Entry'!$$580), "", 'Data Entry'!$$580)</f>
      </c>
      <c r="CB580">
        <f>IF(ISBLANK('Data Entry'!$$580), "", 'Data Entry'!$$580)</f>
      </c>
      <c r="CC580">
        <f>IF(ISBLANK('Data Entry'!$$580), "", 'Data Entry'!$$580)</f>
      </c>
      <c r="CD580">
        <f>IF(ISBLANK('Data Entry'!$$580), "", 'Data Entry'!$$580)</f>
      </c>
      <c r="CE580">
        <f>IF(ISBLANK('Data Entry'!$$580), "", 'Data Entry'!$$580)</f>
      </c>
      <c r="CF580">
        <f>IF(ISBLANK('Data Entry'!$$580), "", 'Data Entry'!$$580)</f>
      </c>
      <c r="CG580">
        <f>IF(ISBLANK('Data Entry'!$$580), "", 'Data Entry'!$$580)</f>
      </c>
      <c r="CH580">
        <f>IF(ISBLANK('Data Entry'!$$580), "", 'Data Entry'!$$580)</f>
      </c>
      <c r="CI580">
        <f>IF(ISBLANK('Data Entry'!$$580), "", 'Data Entry'!$$580)</f>
      </c>
      <c r="CJ580">
        <f>IF(ISBLANK('Data Entry'!$$580), "", 'Data Entry'!$$580)</f>
      </c>
      <c r="CK580">
        <f>IF(ISBLANK('Data Entry'!$$580), "", 'Data Entry'!$$580)</f>
      </c>
      <c r="CL580">
        <f>IF(ISBLANK('Data Entry'!$$580), "", 'Data Entry'!$$580)</f>
      </c>
      <c r="CM580">
        <f>IF(ISBLANK('Data Entry'!$$580), "", 'Data Entry'!$$580)</f>
      </c>
      <c r="CN580">
        <f>IF(ISBLANK('Data Entry'!$$580), "", 'Data Entry'!$$580)</f>
      </c>
      <c r="CO580">
        <f>IF(ISBLANK('Data Entry'!$$580), "", 'Data Entry'!$$580)</f>
      </c>
      <c r="CP580">
        <f>IF(ISBLANK('Data Entry'!$$580), "", 'Data Entry'!$$580)</f>
      </c>
      <c r="CQ580">
        <f>IF(ISBLANK('Data Entry'!$$580), "", 'Data Entry'!$$580)</f>
      </c>
      <c r="CR580">
        <f>IF(ISBLANK('Data Entry'!$ $580), "", 'Data Entry'!$ $580)</f>
      </c>
      <c r="CS580">
        <f>IF(ISBLANK('Data Entry'!$¡$580), "", 'Data Entry'!$¡$580)</f>
      </c>
      <c r="CT580">
        <f>IF(ISBLANK('Data Entry'!$¢$580), "", 'Data Entry'!$¢$580)</f>
      </c>
      <c r="CU580">
        <f>IF(ISBLANK('Data Entry'!$£$580), "", 'Data Entry'!$£$580)</f>
      </c>
      <c r="CV580">
        <f>IF(ISBLANK('Data Entry'!$¤$580), "", 'Data Entry'!$¤$580)</f>
      </c>
      <c r="CW580">
        <f>IF(ISBLANK('Data Entry'!$¥$580), "", 'Data Entry'!$¥$580)</f>
      </c>
      <c r="CX580">
        <f>IF(ISBLANK('Data Entry'!$¦$580), "", 'Data Entry'!$¦$580)</f>
      </c>
      <c r="CY580">
        <f>IF(ISBLANK('Data Entry'!$§$580), "", 'Data Entry'!$§$580)</f>
      </c>
      <c r="CZ580">
        <f>IF(ISBLANK('Data Entry'!$¨$580), "", 'Data Entry'!$¨$580)</f>
      </c>
      <c r="DA580">
        <f>IF(ISBLANK('Data Entry'!$©$580), "", 'Data Entry'!$©$580)</f>
      </c>
      <c r="DB580">
        <f>IF(ISBLANK('Data Entry'!$ª$580), "", 'Data Entry'!$ª$580)</f>
      </c>
      <c r="DC580">
        <f>IF(ISBLANK('Data Entry'!$«$580), "", 'Data Entry'!$«$580)</f>
      </c>
      <c r="DD580">
        <f>IF(ISBLANK('Data Entry'!$¬$580), "", 'Data Entry'!$¬$580)</f>
      </c>
      <c r="DE580">
        <f>IF(ISBLANK('Data Entry'!$­$580), "", 'Data Entry'!$­$580)</f>
      </c>
      <c r="DF580">
        <f>IF(ISBLANK('Data Entry'!$®$580), "", 'Data Entry'!$®$580)</f>
      </c>
      <c r="DG580">
        <f>IF(ISBLANK('Data Entry'!$¯$580), "", 'Data Entry'!$¯$580)</f>
      </c>
      <c r="DH580">
        <f>IF(ISBLANK('Data Entry'!$°$580), "", 'Data Entry'!$°$580)</f>
      </c>
      <c r="DI580">
        <f>IF(ISBLANK('Data Entry'!$±$580), "", 'Data Entry'!$±$580)</f>
      </c>
      <c r="DJ580">
        <f>IF(ISBLANK('Data Entry'!$²$580), "", 'Data Entry'!$²$580)</f>
      </c>
      <c r="DK580">
        <f>IF(ISBLANK('Data Entry'!$³$580), "", 'Data Entry'!$³$580)</f>
      </c>
      <c r="DL580">
        <f>IF(ISBLANK('Data Entry'!$´$580), "", 'Data Entry'!$´$580)</f>
      </c>
      <c r="DM580">
        <f>IF(ISBLANK('Data Entry'!$µ$580), "", 'Data Entry'!$µ$580)</f>
      </c>
      <c r="DN580">
        <f>IF(ISBLANK('Data Entry'!$¶$580), "", 'Data Entry'!$¶$580)</f>
      </c>
      <c r="DO580">
        <f>IF(ISBLANK('Data Entry'!$·$580), "", 'Data Entry'!$·$580)</f>
      </c>
      <c r="DP580">
        <f>IF(ISBLANK('Data Entry'!$¸$580), "", 'Data Entry'!$¸$580)</f>
      </c>
      <c r="DQ580">
        <f>IF(ISBLANK('Data Entry'!$¹$580), "", 'Data Entry'!$¹$580)</f>
      </c>
      <c r="DR580">
        <f>IF(ISBLANK('Data Entry'!$º$580), "", 'Data Entry'!$º$580)</f>
      </c>
      <c r="DS580">
        <f>IF(ISBLANK('Data Entry'!$»$580), "", 'Data Entry'!$»$580)</f>
      </c>
      <c r="DT580">
        <f>IF(ISBLANK('Data Entry'!$¼$580), "", 'Data Entry'!$¼$580)</f>
      </c>
      <c r="DU580">
        <f>IF(ISBLANK('Data Entry'!$½$580), "", 'Data Entry'!$½$580)</f>
      </c>
      <c r="DV580">
        <f>IF(ISBLANK('Data Entry'!$¾$580), "", 'Data Entry'!$¾$580)</f>
      </c>
      <c r="DW580">
        <f>IF(ISBLANK('Data Entry'!$¿$580), "", 'Data Entry'!$¿$580)</f>
      </c>
      <c r="DX580">
        <f>IF(ISBLANK('Data Entry'!$À$580), "", 'Data Entry'!$À$580)</f>
      </c>
      <c r="DY580">
        <f>IF(ISBLANK('Data Entry'!$Á$580), "", 'Data Entry'!$Á$580)</f>
      </c>
      <c r="DZ580">
        <f>IF(ISBLANK('Data Entry'!$Â$580), "", 'Data Entry'!$Â$580)</f>
      </c>
      <c r="EA580">
        <f>IF(ISBLANK('Data Entry'!$Ã$580), "", 'Data Entry'!$Ã$580)</f>
      </c>
      <c r="EB580">
        <f>IF(ISBLANK('Data Entry'!$Ä$580), "", 'Data Entry'!$Ä$580)</f>
      </c>
      <c r="EC580">
        <f>IF(ISBLANK('Data Entry'!$Å$580), "", 'Data Entry'!$Å$580)</f>
      </c>
      <c r="ED580">
        <f>IF(ISBLANK('Data Entry'!$Æ$580), "", 'Data Entry'!$Æ$580)</f>
      </c>
      <c r="EE580">
        <f>IF(ISBLANK('Data Entry'!$Ç$580), "", 'Data Entry'!$Ç$580)</f>
      </c>
      <c r="EF580">
        <f>IF(ISBLANK('Data Entry'!$È$580), "", 'Data Entry'!$È$580)</f>
      </c>
      <c r="EG580">
        <f>IF(ISBLANK('Data Entry'!$É$580), "", 'Data Entry'!$É$580)</f>
      </c>
      <c r="EH580">
        <f>IF(ISBLANK('Data Entry'!$Ê$580), "", 'Data Entry'!$Ê$580)</f>
      </c>
      <c r="EI580">
        <f>IF(ISBLANK('Data Entry'!$Ë$580), "", 'Data Entry'!$Ë$580)</f>
      </c>
      <c r="EJ580">
        <f>IF(ISBLANK('Data Entry'!$Ì$580), "", 'Data Entry'!$Ì$580)</f>
      </c>
      <c r="EK580">
        <f>IF(ISBLANK('Data Entry'!$Í$580), "", 'Data Entry'!$Í$580)</f>
      </c>
      <c r="EL580">
        <f>IF(ISBLANK('Data Entry'!$Î$580), "", 'Data Entry'!$Î$580)</f>
      </c>
      <c r="EM580">
        <f>IF(ISBLANK('Data Entry'!$Ï$580), "", 'Data Entry'!$Ï$580)</f>
      </c>
      <c r="EN580">
        <f>IF(ISBLANK('Data Entry'!$Ð$580), "", 'Data Entry'!$Ð$580)</f>
      </c>
      <c r="EO580">
        <f>IF(ISBLANK('Data Entry'!$Ñ$580), "", 'Data Entry'!$Ñ$580)</f>
      </c>
      <c r="EP580">
        <f>IF(ISBLANK('Data Entry'!$Ò$580), "", 'Data Entry'!$Ò$580)</f>
      </c>
      <c r="EQ580">
        <f>IF(ISBLANK('Data Entry'!$Ó$580), "", 'Data Entry'!$Ó$580)</f>
      </c>
      <c r="ER580">
        <f>IF(ISBLANK('Data Entry'!$Ô$580), "", 'Data Entry'!$Ô$580)</f>
      </c>
      <c r="ES580">
        <f>IF(ISBLANK('Data Entry'!$Õ$580), "", 'Data Entry'!$Õ$580)</f>
      </c>
      <c r="ET580">
        <f>IF(ISBLANK('Data Entry'!$Ö$580), "", 'Data Entry'!$Ö$580)</f>
      </c>
      <c r="EU580">
        <f>IF(ISBLANK('Data Entry'!$×$580), "", 'Data Entry'!$×$580)</f>
      </c>
      <c r="EV580">
        <f>IF(ISBLANK('Data Entry'!$Ø$580), "", 'Data Entry'!$Ø$580)</f>
      </c>
      <c r="EW580">
        <f>IF(ISBLANK('Data Entry'!$Ù$580), "", 'Data Entry'!$Ù$580)</f>
      </c>
      <c r="EX580">
        <f>IF(ISBLANK('Data Entry'!$Ú$580), "", 'Data Entry'!$Ú$580)</f>
      </c>
      <c r="EY580">
        <f>IF(ISBLANK('Data Entry'!$Û$580), "", 'Data Entry'!$Û$580)</f>
      </c>
      <c r="EZ580">
        <f>IF(ISBLANK('Data Entry'!$Ü$580), "", 'Data Entry'!$Ü$580)</f>
      </c>
      <c r="FA580">
        <f>IF(ISBLANK('Data Entry'!$Ý$580), "", 'Data Entry'!$Ý$580)</f>
      </c>
      <c r="FB580">
        <f>IF(ISBLANK('Data Entry'!$Þ$580), "", 'Data Entry'!$Þ$580)</f>
      </c>
      <c r="FC580">
        <f>IF(ISBLANK('Data Entry'!$ß$580), "", 'Data Entry'!$ß$580)</f>
      </c>
      <c r="FD580">
        <f>IF(ISBLANK('Data Entry'!$à$580), "", 'Data Entry'!$à$580)</f>
      </c>
      <c r="FE580">
        <f>IF(ISBLANK('Data Entry'!$á$580), "", 'Data Entry'!$á$580)</f>
      </c>
      <c r="FF580">
        <f>IF(ISBLANK('Data Entry'!$â$580), "", 'Data Entry'!$â$580)</f>
      </c>
      <c r="FG580">
        <f>IF(ISBLANK('Data Entry'!$ã$580), "", 'Data Entry'!$ã$580)</f>
      </c>
      <c r="FH580">
        <f>IF(ISBLANK('Data Entry'!$ä$580), "", 'Data Entry'!$ä$580)</f>
      </c>
      <c r="FI580">
        <f>IF(ISBLANK('Data Entry'!$å$580), "", 'Data Entry'!$å$580)</f>
      </c>
      <c r="FJ580">
        <f>IF(ISBLANK('Data Entry'!$æ$580), "", 'Data Entry'!$æ$580)</f>
      </c>
      <c r="FK580">
        <f>IF(ISBLANK('Data Entry'!$ç$580), "", 'Data Entry'!$ç$580)</f>
      </c>
      <c r="FL580">
        <f>IF(ISBLANK('Data Entry'!$è$580), "", 'Data Entry'!$è$580)</f>
      </c>
      <c r="FM580">
        <f>IF(ISBLANK('Data Entry'!$é$580), "", 'Data Entry'!$é$580)</f>
      </c>
      <c r="FN580">
        <f>IF(ISBLANK('Data Entry'!$ê$580), "", 'Data Entry'!$ê$580)</f>
      </c>
      <c r="FO580">
        <f>IF(ISBLANK('Data Entry'!$ë$580), "", 'Data Entry'!$ë$580)</f>
      </c>
      <c r="FP580">
        <f>IF(ISBLANK('Data Entry'!$ì$580), "", 'Data Entry'!$ì$580)</f>
      </c>
      <c r="FQ580">
        <f>IF(ISBLANK('Data Entry'!$í$580), "", 'Data Entry'!$í$580)</f>
      </c>
      <c r="FR580">
        <f>IF(ISBLANK('Data Entry'!$î$580), "", 'Data Entry'!$î$580)</f>
      </c>
      <c r="FS580">
        <f>IF(ISBLANK('Data Entry'!$ï$580), "", 'Data Entry'!$ï$580)</f>
      </c>
      <c r="FT580">
        <f>IF(ISBLANK('Data Entry'!$ð$580), "", 'Data Entry'!$ð$580)</f>
      </c>
      <c r="FU580">
        <f>IF(ISBLANK('Data Entry'!$ñ$580), "", 'Data Entry'!$ñ$580)</f>
      </c>
      <c r="FV580">
        <f>IF(ISBLANK('Data Entry'!$ò$580), "", 'Data Entry'!$ò$580)</f>
      </c>
      <c r="FW580">
        <f>IF(ISBLANK('Data Entry'!$ó$580), "", 'Data Entry'!$ó$580)</f>
      </c>
      <c r="FX580">
        <f>IF(ISBLANK('Data Entry'!$ô$580), "", 'Data Entry'!$ô$580)</f>
      </c>
      <c r="FY580">
        <f>IF(ISBLANK('Data Entry'!$õ$580), "", 'Data Entry'!$õ$580)</f>
      </c>
      <c r="FZ580">
        <f>IF(ISBLANK('Data Entry'!$ö$580), "", 'Data Entry'!$ö$580)</f>
      </c>
      <c r="GA580">
        <f>IF(ISBLANK('Data Entry'!$÷$580), "", 'Data Entry'!$÷$580)</f>
      </c>
      <c r="GB580">
        <f>IF(ISBLANK('Data Entry'!$ø$580), "", 'Data Entry'!$ø$580)</f>
      </c>
      <c r="GC580">
        <f>IF(ISBLANK('Data Entry'!$ù$580), "", 'Data Entry'!$ù$580)</f>
      </c>
      <c r="GD580">
        <f>IF(ISBLANK('Data Entry'!$ú$580), "", 'Data Entry'!$ú$580)</f>
      </c>
      <c r="GE580">
        <f>IF(ISBLANK('Data Entry'!$û$580), "", 'Data Entry'!$û$580)</f>
      </c>
      <c r="GF580">
        <f>IF(ISBLANK('Data Entry'!$ü$580), "", 'Data Entry'!$ü$580)</f>
      </c>
      <c r="GG580">
        <f>IF(ISBLANK('Data Entry'!$ý$580), "", 'Data Entry'!$ý$580)</f>
      </c>
      <c r="GH580">
        <f>IF(ISBLANK('Data Entry'!$þ$580), "", 'Data Entry'!$þ$580)</f>
      </c>
      <c r="GI580">
        <f>IF(ISBLANK('Data Entry'!$ÿ$580), "", 'Data Entry'!$ÿ$580)</f>
      </c>
      <c r="GJ580">
        <f>IF(ISBLANK('Data Entry'!$Ā$580), "", 'Data Entry'!$Ā$580)</f>
      </c>
      <c r="GK580">
        <f>IF(ISBLANK('Data Entry'!$ā$580), "", 'Data Entry'!$ā$580)</f>
      </c>
      <c r="GL580">
        <f>IF(ISBLANK('Data Entry'!$Ă$580), "", 'Data Entry'!$Ă$580)</f>
      </c>
      <c r="GM580">
        <f>IF(ISBLANK('Data Entry'!$ă$580), "", 'Data Entry'!$ă$580)</f>
      </c>
      <c r="GN580">
        <f>IF(ISBLANK('Data Entry'!$Ą$580), "", 'Data Entry'!$Ą$580)</f>
      </c>
      <c r="GO580">
        <f>IF(ISBLANK('Data Entry'!$ą$580), "", 'Data Entry'!$ą$580)</f>
      </c>
      <c r="GP580">
        <f>IF(ISBLANK('Data Entry'!$Ć$580), "", 'Data Entry'!$Ć$580)</f>
      </c>
      <c r="GQ580">
        <f>IF(ISBLANK('Data Entry'!$ć$580), "", 'Data Entry'!$ć$580)</f>
      </c>
      <c r="GR580">
        <f>IF(ISBLANK('Data Entry'!$Ĉ$580), "", 'Data Entry'!$Ĉ$580)</f>
      </c>
      <c r="GS580">
        <f>IF(ISBLANK('Data Entry'!$ĉ$580), "", 'Data Entry'!$ĉ$580)</f>
      </c>
      <c r="GT580">
        <f>IF(ISBLANK('Data Entry'!$Ċ$580), "", 'Data Entry'!$Ċ$580)</f>
      </c>
      <c r="GU580">
        <f>IF(ISBLANK('Data Entry'!$ċ$580), "", 'Data Entry'!$ċ$580)</f>
      </c>
      <c r="GV580">
        <f>IF(ISBLANK('Data Entry'!$Č$580), "", 'Data Entry'!$Č$580)</f>
      </c>
      <c r="GW580">
        <f>IF(ISBLANK('Data Entry'!$č$580), "", 'Data Entry'!$č$580)</f>
      </c>
      <c r="GX580">
        <f>IF(ISBLANK('Data Entry'!$Ď$580), "", 'Data Entry'!$Ď$580)</f>
      </c>
      <c r="GY580">
        <f>IF(ISBLANK('Data Entry'!$ď$580), "", 'Data Entry'!$ď$580)</f>
      </c>
      <c r="GZ580">
        <f>IF(ISBLANK('Data Entry'!$Đ$580), "", 'Data Entry'!$Đ$580)</f>
      </c>
      <c r="HA580">
        <f>IF(ISBLANK('Data Entry'!$đ$580), "", 'Data Entry'!$đ$580)</f>
      </c>
      <c r="HB580">
        <f>IF(ISBLANK('Data Entry'!$Ē$580), "", 'Data Entry'!$Ē$580)</f>
      </c>
      <c r="HC580">
        <f>IF(ISBLANK('Data Entry'!$ē$580), "", 'Data Entry'!$ē$580)</f>
      </c>
      <c r="HD580">
        <f>IF(ISBLANK('Data Entry'!$Ĕ$580), "", 'Data Entry'!$Ĕ$580)</f>
      </c>
      <c r="HE580">
        <f>IF(ISBLANK('Data Entry'!$ĕ$580), "", 'Data Entry'!$ĕ$580)</f>
      </c>
      <c r="HF580">
        <f>IF(ISBLANK('Data Entry'!$Ė$580), "", 'Data Entry'!$Ė$580)</f>
      </c>
      <c r="HG580">
        <f>IF(ISBLANK('Data Entry'!$ė$580), "", 'Data Entry'!$ė$580)</f>
      </c>
      <c r="HH580">
        <f>IF(ISBLANK('Data Entry'!$Ę$580), "", 'Data Entry'!$Ę$580)</f>
      </c>
      <c r="HI580">
        <f>IF(ISBLANK('Data Entry'!$ę$580), "", 'Data Entry'!$ę$580)</f>
      </c>
      <c r="HJ580">
        <f>IF(ISBLANK('Data Entry'!$Ě$580), "", 'Data Entry'!$Ě$580)</f>
      </c>
      <c r="HK580">
        <f>IF(ISBLANK('Data Entry'!$ě$580), "", 'Data Entry'!$ě$580)</f>
      </c>
      <c r="HL580">
        <f>IF(ISBLANK('Data Entry'!$Ĝ$580), "", 'Data Entry'!$Ĝ$580)</f>
      </c>
      <c r="HM580">
        <f>IF(ISBLANK('Data Entry'!$ĝ$580), "", 'Data Entry'!$ĝ$580)</f>
      </c>
      <c r="HN580">
        <f>IF(ISBLANK('Data Entry'!$Ğ$580), "", 'Data Entry'!$Ğ$580)</f>
      </c>
      <c r="HO580">
        <f>IF(ISBLANK('Data Entry'!$ğ$580), "", 'Data Entry'!$ğ$580)</f>
      </c>
      <c r="HP580">
        <f>IF(ISBLANK('Data Entry'!$Ġ$580), "", 'Data Entry'!$Ġ$580)</f>
      </c>
      <c r="HQ580">
        <f>IF(ISBLANK('Data Entry'!$ġ$580), "", 'Data Entry'!$ġ$580)</f>
      </c>
      <c r="HR580">
        <f>IF(ISBLANK('Data Entry'!$Ģ$580), "", 'Data Entry'!$Ģ$580)</f>
      </c>
      <c r="HS580">
        <f>IF(ISBLANK('Data Entry'!$ģ$580), "", 'Data Entry'!$ģ$580)</f>
      </c>
      <c r="HT580">
        <f>IF(ISBLANK('Data Entry'!$Ĥ$580), "", 'Data Entry'!$Ĥ$580)</f>
      </c>
      <c r="HU580">
        <f>IF(ISBLANK('Data Entry'!$ĥ$580), "", 'Data Entry'!$ĥ$580)</f>
      </c>
      <c r="HV580">
        <f>IF(ISBLANK('Data Entry'!$Ħ$580), "", 'Data Entry'!$Ħ$580)</f>
      </c>
      <c r="HW580">
        <f>IF(ISBLANK('Data Entry'!$ħ$580), "", 'Data Entry'!$ħ$580)</f>
      </c>
      <c r="HX580">
        <f>IF(ISBLANK('Data Entry'!$Ĩ$580), "", 'Data Entry'!$Ĩ$580)</f>
      </c>
      <c r="HY580">
        <f>IF(ISBLANK('Data Entry'!$ĩ$580), "", 'Data Entry'!$ĩ$580)</f>
      </c>
      <c r="HZ580">
        <f>IF(ISBLANK('Data Entry'!$Ī$580), "", 'Data Entry'!$Ī$580)</f>
      </c>
      <c r="IA580">
        <f>IF(ISBLANK('Data Entry'!$ī$580), "", 'Data Entry'!$ī$580)</f>
      </c>
      <c r="IB580">
        <f>IF(ISBLANK('Data Entry'!$Ĭ$580), "", 'Data Entry'!$Ĭ$580)</f>
      </c>
      <c r="IC580">
        <f>IF(ISBLANK('Data Entry'!$ĭ$580), "", 'Data Entry'!$ĭ$580)</f>
      </c>
      <c r="ID580">
        <f>IF(ISBLANK('Data Entry'!$Į$580), "", 'Data Entry'!$Į$580)</f>
      </c>
      <c r="IE580">
        <f>IF(ISBLANK('Data Entry'!$į$580), "", 'Data Entry'!$į$580)</f>
      </c>
      <c r="IF580">
        <f>IF(ISBLANK('Data Entry'!$İ$580), "", 'Data Entry'!$İ$580)</f>
      </c>
      <c r="IG580">
        <f>IF(ISBLANK('Data Entry'!$ı$580), "", 'Data Entry'!$ı$580)</f>
      </c>
      <c r="IH580">
        <f>IF(ISBLANK('Data Entry'!$Ĳ$580), "", 'Data Entry'!$Ĳ$580)</f>
      </c>
      <c r="II580">
        <f>IF(ISBLANK('Data Entry'!$ĳ$580), "", 'Data Entry'!$ĳ$580)</f>
      </c>
      <c r="IJ580">
        <f>IF(ISBLANK('Data Entry'!$Ĵ$580), "", 'Data Entry'!$Ĵ$580)</f>
      </c>
      <c r="IK580">
        <f>IF(ISBLANK('Data Entry'!$ĵ$580), "", 'Data Entry'!$ĵ$580)</f>
      </c>
      <c r="IL580">
        <f>IF(ISBLANK('Data Entry'!$Ķ$580), "", 'Data Entry'!$Ķ$580)</f>
      </c>
      <c r="IM580">
        <f>IF(ISBLANK('Data Entry'!$ķ$580), "", 'Data Entry'!$ķ$580)</f>
      </c>
      <c r="IN580">
        <f>IF(ISBLANK('Data Entry'!$ĸ$580), "", 'Data Entry'!$ĸ$580)</f>
      </c>
      <c r="IO580">
        <f>IF(ISBLANK('Data Entry'!$Ĺ$580), "", 'Data Entry'!$Ĺ$580)</f>
      </c>
      <c r="IP580">
        <f>IF(ISBLANK('Data Entry'!$ĺ$580), "", 'Data Entry'!$ĺ$580)</f>
      </c>
      <c r="IQ580">
        <f>IF(ISBLANK('Data Entry'!$Ļ$580), "", 'Data Entry'!$Ļ$580)</f>
      </c>
      <c r="IR580">
        <f>IF(ISBLANK('Data Entry'!$ļ$580), "", 'Data Entry'!$ļ$580)</f>
      </c>
      <c r="IS580">
        <f>IF(ISBLANK('Data Entry'!$Ľ$580), "", 'Data Entry'!$Ľ$580)</f>
      </c>
      <c r="IT580">
        <f>IF(ISBLANK('Data Entry'!$ľ$580), "", 'Data Entry'!$ľ$580)</f>
      </c>
    </row>
    <row r="581" spans="1:254" x14ac:dyDescent="0.25">
      <c r="A581">
        <f>IF(ISBLANK('Data Entry'!$A$581), "", 'Data Entry'!$A$581)</f>
      </c>
      <c r="B581">
        <f>IF(ISBLANK('Data Entry'!$B$581), "", 'Data Entry'!$B$581)</f>
      </c>
      <c r="C581">
        <f>IF(ISBLANK('Data Entry'!$C$581), "", 'Data Entry'!$C$581)</f>
      </c>
      <c r="D581">
        <f>IF(ISBLANK('Data Entry'!$D$581), "", 'Data Entry'!$D$581)</f>
      </c>
      <c r="E581">
        <f>IF(ISBLANK('Data Entry'!$E$581), "", 'Data Entry'!$E$581)</f>
      </c>
      <c r="F581">
        <f>IF(ISBLANK('Data Entry'!$F$581), "", 'Data Entry'!$F$581)</f>
      </c>
      <c r="G581">
        <f>IF(ISBLANK('Data Entry'!$G$581), "", 'Data Entry'!$G$581)</f>
      </c>
      <c r="H581">
        <f>IF(ISBLANK('Data Entry'!$H$581), "", 'Data Entry'!$H$581)</f>
      </c>
      <c r="I581">
        <f>IF(ISBLANK('Data Entry'!$I$581), "", 'Data Entry'!$I$581)</f>
      </c>
      <c r="J581">
        <f>IF(ISBLANK('Data Entry'!$J$581), "", 'Data Entry'!$J$581)</f>
      </c>
      <c r="K581">
        <f>IF(ISBLANK('Data Entry'!$K$581), "", 'Data Entry'!$K$581)</f>
      </c>
      <c r="L581">
        <f>IF(ISBLANK('Data Entry'!$L$581), "", 'Data Entry'!$L$581)</f>
      </c>
      <c r="M581">
        <f>IF(ISBLANK('Data Entry'!$M$581), "", 'Data Entry'!$M$581)</f>
      </c>
      <c r="N581">
        <f>IF(ISBLANK('Data Entry'!$N$581), "", 'Data Entry'!$N$581)</f>
      </c>
      <c r="O581">
        <f>IF(ISBLANK('Data Entry'!$O$581), "", 'Data Entry'!$O$581)</f>
      </c>
      <c r="P581">
        <f>IF(ISBLANK('Data Entry'!$P$581), "", 'Data Entry'!$P$581)</f>
      </c>
      <c r="Q581">
        <f>IF(ISBLANK('Data Entry'!$Q$581), "", 'Data Entry'!$Q$581)</f>
      </c>
      <c r="R581">
        <f>IF(ISBLANK('Data Entry'!$R$581), "", 'Data Entry'!$R$581)</f>
      </c>
      <c r="S581">
        <f>IF(ISBLANK('Data Entry'!$S$581), "", 'Data Entry'!$S$581)</f>
      </c>
      <c r="T581">
        <f>IF(ISBLANK('Data Entry'!$T$581), "", 'Data Entry'!$T$581)</f>
      </c>
      <c r="U581">
        <f>IF(ISBLANK('Data Entry'!$U$581), "", 'Data Entry'!$U$581)</f>
      </c>
      <c r="V581">
        <f>IF(ISBLANK('Data Entry'!$V$581), "", 'Data Entry'!$V$581)</f>
      </c>
      <c r="W581">
        <f>IF(ISBLANK('Data Entry'!$W$581), "", 'Data Entry'!$W$581)</f>
      </c>
      <c r="X581">
        <f>IF(ISBLANK('Data Entry'!$X$581), "", 'Data Entry'!$X$581)</f>
      </c>
      <c r="Y581">
        <f>IF(ISBLANK('Data Entry'!$Y$581), "", 'Data Entry'!$Y$581)</f>
      </c>
      <c r="Z581">
        <f>IF(ISBLANK('Data Entry'!$Z$581), "", 'Data Entry'!$Z$581)</f>
      </c>
      <c r="AA581">
        <f>IF(ISBLANK('Data Entry'!$[$581), "", 'Data Entry'!$[$581)</f>
      </c>
      <c r="AB581">
        <f>IF(ISBLANK('Data Entry'!$\$581), "", 'Data Entry'!$\$581)</f>
      </c>
      <c r="AC581">
        <f>IF(ISBLANK('Data Entry'!$]$581), "", 'Data Entry'!$]$581)</f>
      </c>
      <c r="AD581">
        <f>IF(ISBLANK('Data Entry'!$^$581), "", 'Data Entry'!$^$581)</f>
      </c>
      <c r="AE581">
        <f>IF(ISBLANK('Data Entry'!$_$581), "", 'Data Entry'!$_$581)</f>
      </c>
      <c r="AF581">
        <f>IF(ISBLANK('Data Entry'!$`$581), "", 'Data Entry'!$`$581)</f>
      </c>
      <c r="AG581">
        <f>IF(ISBLANK('Data Entry'!$a$581), "", 'Data Entry'!$a$581)</f>
      </c>
      <c r="AH581">
        <f>IF(ISBLANK('Data Entry'!$b$581), "", 'Data Entry'!$b$581)</f>
      </c>
      <c r="AI581">
        <f>IF(ISBLANK('Data Entry'!$c$581), "", 'Data Entry'!$c$581)</f>
      </c>
      <c r="AJ581">
        <f>IF(ISBLANK('Data Entry'!$d$581), "", 'Data Entry'!$d$581)</f>
      </c>
      <c r="AK581">
        <f>IF(ISBLANK('Data Entry'!$e$581), "", 'Data Entry'!$e$581)</f>
      </c>
      <c r="AL581">
        <f>IF(ISBLANK('Data Entry'!$f$581), "", 'Data Entry'!$f$581)</f>
      </c>
      <c r="AM581">
        <f>IF(ISBLANK('Data Entry'!$g$581), "", 'Data Entry'!$g$581)</f>
      </c>
      <c r="AN581">
        <f>IF(ISBLANK('Data Entry'!$h$581), "", 'Data Entry'!$h$581)</f>
      </c>
      <c r="AO581">
        <f>IF(ISBLANK('Data Entry'!$i$581), "", 'Data Entry'!$i$581)</f>
      </c>
      <c r="AP581">
        <f>IF(ISBLANK('Data Entry'!$j$581), "", 'Data Entry'!$j$581)</f>
      </c>
      <c r="AQ581">
        <f>IF(ISBLANK('Data Entry'!$k$581), "", 'Data Entry'!$k$581)</f>
      </c>
      <c r="AR581">
        <f>IF(ISBLANK('Data Entry'!$l$581), "", 'Data Entry'!$l$581)</f>
      </c>
      <c r="AS581">
        <f>IF(ISBLANK('Data Entry'!$m$581), "", 'Data Entry'!$m$581)</f>
      </c>
      <c r="AT581">
        <f>IF(ISBLANK('Data Entry'!$n$581), "", 'Data Entry'!$n$581)</f>
      </c>
      <c r="AU581">
        <f>IF(ISBLANK('Data Entry'!$o$581), "", 'Data Entry'!$o$581)</f>
      </c>
      <c r="AV581">
        <f>IF(ISBLANK('Data Entry'!$p$581), "", 'Data Entry'!$p$581)</f>
      </c>
      <c r="AW581">
        <f>IF(ISBLANK('Data Entry'!$q$581), "", 'Data Entry'!$q$581)</f>
      </c>
      <c r="AX581">
        <f>IF(ISBLANK('Data Entry'!$r$581), "", 'Data Entry'!$r$581)</f>
      </c>
      <c r="AY581">
        <f>IF(ISBLANK('Data Entry'!$s$581), "", 'Data Entry'!$s$581)</f>
      </c>
      <c r="AZ581">
        <f>IF(ISBLANK('Data Entry'!$t$581), "", 'Data Entry'!$t$581)</f>
      </c>
      <c r="BA581">
        <f>IF(ISBLANK('Data Entry'!$u$581), "", 'Data Entry'!$u$581)</f>
      </c>
      <c r="BB581">
        <f>IF(ISBLANK('Data Entry'!$v$581), "", 'Data Entry'!$v$581)</f>
      </c>
      <c r="BC581">
        <f>IF(ISBLANK('Data Entry'!$w$581), "", 'Data Entry'!$w$581)</f>
      </c>
      <c r="BD581">
        <f>IF(ISBLANK('Data Entry'!$x$581), "", 'Data Entry'!$x$581)</f>
      </c>
      <c r="BE581">
        <f>IF(ISBLANK('Data Entry'!$y$581), "", 'Data Entry'!$y$581)</f>
      </c>
      <c r="BF581">
        <f>IF(ISBLANK('Data Entry'!$z$581), "", 'Data Entry'!$z$581)</f>
      </c>
      <c r="BG581">
        <f>IF(ISBLANK('Data Entry'!${$581), "", 'Data Entry'!${$581)</f>
      </c>
      <c r="BH581">
        <f>IF(ISBLANK('Data Entry'!$|$581), "", 'Data Entry'!$|$581)</f>
      </c>
      <c r="BI581">
        <f>IF(ISBLANK('Data Entry'!$}$581), "", 'Data Entry'!$}$581)</f>
      </c>
      <c r="BJ581">
        <f>IF(ISBLANK('Data Entry'!$~$581), "", 'Data Entry'!$~$581)</f>
      </c>
      <c r="BK581">
        <f>IF(ISBLANK('Data Entry'!$$581), "", 'Data Entry'!$$581)</f>
      </c>
      <c r="BL581">
        <f>IF(ISBLANK('Data Entry'!$$581), "", 'Data Entry'!$$581)</f>
      </c>
      <c r="BM581">
        <f>IF(ISBLANK('Data Entry'!$$581), "", 'Data Entry'!$$581)</f>
      </c>
      <c r="BN581">
        <f>IF(ISBLANK('Data Entry'!$$581), "", 'Data Entry'!$$581)</f>
      </c>
      <c r="BO581">
        <f>IF(ISBLANK('Data Entry'!$$581), "", 'Data Entry'!$$581)</f>
      </c>
      <c r="BP581">
        <f>IF(ISBLANK('Data Entry'!$$581), "", 'Data Entry'!$$581)</f>
      </c>
      <c r="BQ581">
        <f>IF(ISBLANK('Data Entry'!$$581), "", 'Data Entry'!$$581)</f>
      </c>
      <c r="BR581">
        <f>IF(ISBLANK('Data Entry'!$$581), "", 'Data Entry'!$$581)</f>
      </c>
      <c r="BS581">
        <f>IF(ISBLANK('Data Entry'!$$581), "", 'Data Entry'!$$581)</f>
      </c>
      <c r="BT581">
        <f>IF(ISBLANK('Data Entry'!$$581), "", 'Data Entry'!$$581)</f>
      </c>
      <c r="BU581">
        <f>IF(ISBLANK('Data Entry'!$$581), "", 'Data Entry'!$$581)</f>
      </c>
      <c r="BV581">
        <f>IF(ISBLANK('Data Entry'!$$581), "", 'Data Entry'!$$581)</f>
      </c>
      <c r="BW581">
        <f>IF(ISBLANK('Data Entry'!$$581), "", 'Data Entry'!$$581)</f>
      </c>
      <c r="BX581">
        <f>IF(ISBLANK('Data Entry'!$$581), "", 'Data Entry'!$$581)</f>
      </c>
      <c r="BY581">
        <f>IF(ISBLANK('Data Entry'!$$581), "", 'Data Entry'!$$581)</f>
      </c>
      <c r="BZ581">
        <f>IF(ISBLANK('Data Entry'!$$581), "", 'Data Entry'!$$581)</f>
      </c>
      <c r="CA581">
        <f>IF(ISBLANK('Data Entry'!$$581), "", 'Data Entry'!$$581)</f>
      </c>
      <c r="CB581">
        <f>IF(ISBLANK('Data Entry'!$$581), "", 'Data Entry'!$$581)</f>
      </c>
      <c r="CC581">
        <f>IF(ISBLANK('Data Entry'!$$581), "", 'Data Entry'!$$581)</f>
      </c>
      <c r="CD581">
        <f>IF(ISBLANK('Data Entry'!$$581), "", 'Data Entry'!$$581)</f>
      </c>
      <c r="CE581">
        <f>IF(ISBLANK('Data Entry'!$$581), "", 'Data Entry'!$$581)</f>
      </c>
      <c r="CF581">
        <f>IF(ISBLANK('Data Entry'!$$581), "", 'Data Entry'!$$581)</f>
      </c>
      <c r="CG581">
        <f>IF(ISBLANK('Data Entry'!$$581), "", 'Data Entry'!$$581)</f>
      </c>
      <c r="CH581">
        <f>IF(ISBLANK('Data Entry'!$$581), "", 'Data Entry'!$$581)</f>
      </c>
      <c r="CI581">
        <f>IF(ISBLANK('Data Entry'!$$581), "", 'Data Entry'!$$581)</f>
      </c>
      <c r="CJ581">
        <f>IF(ISBLANK('Data Entry'!$$581), "", 'Data Entry'!$$581)</f>
      </c>
      <c r="CK581">
        <f>IF(ISBLANK('Data Entry'!$$581), "", 'Data Entry'!$$581)</f>
      </c>
      <c r="CL581">
        <f>IF(ISBLANK('Data Entry'!$$581), "", 'Data Entry'!$$581)</f>
      </c>
      <c r="CM581">
        <f>IF(ISBLANK('Data Entry'!$$581), "", 'Data Entry'!$$581)</f>
      </c>
      <c r="CN581">
        <f>IF(ISBLANK('Data Entry'!$$581), "", 'Data Entry'!$$581)</f>
      </c>
      <c r="CO581">
        <f>IF(ISBLANK('Data Entry'!$$581), "", 'Data Entry'!$$581)</f>
      </c>
      <c r="CP581">
        <f>IF(ISBLANK('Data Entry'!$$581), "", 'Data Entry'!$$581)</f>
      </c>
      <c r="CQ581">
        <f>IF(ISBLANK('Data Entry'!$$581), "", 'Data Entry'!$$581)</f>
      </c>
      <c r="CR581">
        <f>IF(ISBLANK('Data Entry'!$ $581), "", 'Data Entry'!$ $581)</f>
      </c>
      <c r="CS581">
        <f>IF(ISBLANK('Data Entry'!$¡$581), "", 'Data Entry'!$¡$581)</f>
      </c>
      <c r="CT581">
        <f>IF(ISBLANK('Data Entry'!$¢$581), "", 'Data Entry'!$¢$581)</f>
      </c>
      <c r="CU581">
        <f>IF(ISBLANK('Data Entry'!$£$581), "", 'Data Entry'!$£$581)</f>
      </c>
      <c r="CV581">
        <f>IF(ISBLANK('Data Entry'!$¤$581), "", 'Data Entry'!$¤$581)</f>
      </c>
      <c r="CW581">
        <f>IF(ISBLANK('Data Entry'!$¥$581), "", 'Data Entry'!$¥$581)</f>
      </c>
      <c r="CX581">
        <f>IF(ISBLANK('Data Entry'!$¦$581), "", 'Data Entry'!$¦$581)</f>
      </c>
      <c r="CY581">
        <f>IF(ISBLANK('Data Entry'!$§$581), "", 'Data Entry'!$§$581)</f>
      </c>
      <c r="CZ581">
        <f>IF(ISBLANK('Data Entry'!$¨$581), "", 'Data Entry'!$¨$581)</f>
      </c>
      <c r="DA581">
        <f>IF(ISBLANK('Data Entry'!$©$581), "", 'Data Entry'!$©$581)</f>
      </c>
      <c r="DB581">
        <f>IF(ISBLANK('Data Entry'!$ª$581), "", 'Data Entry'!$ª$581)</f>
      </c>
      <c r="DC581">
        <f>IF(ISBLANK('Data Entry'!$«$581), "", 'Data Entry'!$«$581)</f>
      </c>
      <c r="DD581">
        <f>IF(ISBLANK('Data Entry'!$¬$581), "", 'Data Entry'!$¬$581)</f>
      </c>
      <c r="DE581">
        <f>IF(ISBLANK('Data Entry'!$­$581), "", 'Data Entry'!$­$581)</f>
      </c>
      <c r="DF581">
        <f>IF(ISBLANK('Data Entry'!$®$581), "", 'Data Entry'!$®$581)</f>
      </c>
      <c r="DG581">
        <f>IF(ISBLANK('Data Entry'!$¯$581), "", 'Data Entry'!$¯$581)</f>
      </c>
      <c r="DH581">
        <f>IF(ISBLANK('Data Entry'!$°$581), "", 'Data Entry'!$°$581)</f>
      </c>
      <c r="DI581">
        <f>IF(ISBLANK('Data Entry'!$±$581), "", 'Data Entry'!$±$581)</f>
      </c>
      <c r="DJ581">
        <f>IF(ISBLANK('Data Entry'!$²$581), "", 'Data Entry'!$²$581)</f>
      </c>
      <c r="DK581">
        <f>IF(ISBLANK('Data Entry'!$³$581), "", 'Data Entry'!$³$581)</f>
      </c>
      <c r="DL581">
        <f>IF(ISBLANK('Data Entry'!$´$581), "", 'Data Entry'!$´$581)</f>
      </c>
      <c r="DM581">
        <f>IF(ISBLANK('Data Entry'!$µ$581), "", 'Data Entry'!$µ$581)</f>
      </c>
      <c r="DN581">
        <f>IF(ISBLANK('Data Entry'!$¶$581), "", 'Data Entry'!$¶$581)</f>
      </c>
      <c r="DO581">
        <f>IF(ISBLANK('Data Entry'!$·$581), "", 'Data Entry'!$·$581)</f>
      </c>
      <c r="DP581">
        <f>IF(ISBLANK('Data Entry'!$¸$581), "", 'Data Entry'!$¸$581)</f>
      </c>
      <c r="DQ581">
        <f>IF(ISBLANK('Data Entry'!$¹$581), "", 'Data Entry'!$¹$581)</f>
      </c>
      <c r="DR581">
        <f>IF(ISBLANK('Data Entry'!$º$581), "", 'Data Entry'!$º$581)</f>
      </c>
      <c r="DS581">
        <f>IF(ISBLANK('Data Entry'!$»$581), "", 'Data Entry'!$»$581)</f>
      </c>
      <c r="DT581">
        <f>IF(ISBLANK('Data Entry'!$¼$581), "", 'Data Entry'!$¼$581)</f>
      </c>
      <c r="DU581">
        <f>IF(ISBLANK('Data Entry'!$½$581), "", 'Data Entry'!$½$581)</f>
      </c>
      <c r="DV581">
        <f>IF(ISBLANK('Data Entry'!$¾$581), "", 'Data Entry'!$¾$581)</f>
      </c>
      <c r="DW581">
        <f>IF(ISBLANK('Data Entry'!$¿$581), "", 'Data Entry'!$¿$581)</f>
      </c>
      <c r="DX581">
        <f>IF(ISBLANK('Data Entry'!$À$581), "", 'Data Entry'!$À$581)</f>
      </c>
      <c r="DY581">
        <f>IF(ISBLANK('Data Entry'!$Á$581), "", 'Data Entry'!$Á$581)</f>
      </c>
      <c r="DZ581">
        <f>IF(ISBLANK('Data Entry'!$Â$581), "", 'Data Entry'!$Â$581)</f>
      </c>
      <c r="EA581">
        <f>IF(ISBLANK('Data Entry'!$Ã$581), "", 'Data Entry'!$Ã$581)</f>
      </c>
      <c r="EB581">
        <f>IF(ISBLANK('Data Entry'!$Ä$581), "", 'Data Entry'!$Ä$581)</f>
      </c>
      <c r="EC581">
        <f>IF(ISBLANK('Data Entry'!$Å$581), "", 'Data Entry'!$Å$581)</f>
      </c>
      <c r="ED581">
        <f>IF(ISBLANK('Data Entry'!$Æ$581), "", 'Data Entry'!$Æ$581)</f>
      </c>
      <c r="EE581">
        <f>IF(ISBLANK('Data Entry'!$Ç$581), "", 'Data Entry'!$Ç$581)</f>
      </c>
      <c r="EF581">
        <f>IF(ISBLANK('Data Entry'!$È$581), "", 'Data Entry'!$È$581)</f>
      </c>
      <c r="EG581">
        <f>IF(ISBLANK('Data Entry'!$É$581), "", 'Data Entry'!$É$581)</f>
      </c>
      <c r="EH581">
        <f>IF(ISBLANK('Data Entry'!$Ê$581), "", 'Data Entry'!$Ê$581)</f>
      </c>
      <c r="EI581">
        <f>IF(ISBLANK('Data Entry'!$Ë$581), "", 'Data Entry'!$Ë$581)</f>
      </c>
      <c r="EJ581">
        <f>IF(ISBLANK('Data Entry'!$Ì$581), "", 'Data Entry'!$Ì$581)</f>
      </c>
      <c r="EK581">
        <f>IF(ISBLANK('Data Entry'!$Í$581), "", 'Data Entry'!$Í$581)</f>
      </c>
      <c r="EL581">
        <f>IF(ISBLANK('Data Entry'!$Î$581), "", 'Data Entry'!$Î$581)</f>
      </c>
      <c r="EM581">
        <f>IF(ISBLANK('Data Entry'!$Ï$581), "", 'Data Entry'!$Ï$581)</f>
      </c>
      <c r="EN581">
        <f>IF(ISBLANK('Data Entry'!$Ð$581), "", 'Data Entry'!$Ð$581)</f>
      </c>
      <c r="EO581">
        <f>IF(ISBLANK('Data Entry'!$Ñ$581), "", 'Data Entry'!$Ñ$581)</f>
      </c>
      <c r="EP581">
        <f>IF(ISBLANK('Data Entry'!$Ò$581), "", 'Data Entry'!$Ò$581)</f>
      </c>
      <c r="EQ581">
        <f>IF(ISBLANK('Data Entry'!$Ó$581), "", 'Data Entry'!$Ó$581)</f>
      </c>
      <c r="ER581">
        <f>IF(ISBLANK('Data Entry'!$Ô$581), "", 'Data Entry'!$Ô$581)</f>
      </c>
      <c r="ES581">
        <f>IF(ISBLANK('Data Entry'!$Õ$581), "", 'Data Entry'!$Õ$581)</f>
      </c>
      <c r="ET581">
        <f>IF(ISBLANK('Data Entry'!$Ö$581), "", 'Data Entry'!$Ö$581)</f>
      </c>
      <c r="EU581">
        <f>IF(ISBLANK('Data Entry'!$×$581), "", 'Data Entry'!$×$581)</f>
      </c>
      <c r="EV581">
        <f>IF(ISBLANK('Data Entry'!$Ø$581), "", 'Data Entry'!$Ø$581)</f>
      </c>
      <c r="EW581">
        <f>IF(ISBLANK('Data Entry'!$Ù$581), "", 'Data Entry'!$Ù$581)</f>
      </c>
      <c r="EX581">
        <f>IF(ISBLANK('Data Entry'!$Ú$581), "", 'Data Entry'!$Ú$581)</f>
      </c>
      <c r="EY581">
        <f>IF(ISBLANK('Data Entry'!$Û$581), "", 'Data Entry'!$Û$581)</f>
      </c>
      <c r="EZ581">
        <f>IF(ISBLANK('Data Entry'!$Ü$581), "", 'Data Entry'!$Ü$581)</f>
      </c>
      <c r="FA581">
        <f>IF(ISBLANK('Data Entry'!$Ý$581), "", 'Data Entry'!$Ý$581)</f>
      </c>
      <c r="FB581">
        <f>IF(ISBLANK('Data Entry'!$Þ$581), "", 'Data Entry'!$Þ$581)</f>
      </c>
      <c r="FC581">
        <f>IF(ISBLANK('Data Entry'!$ß$581), "", 'Data Entry'!$ß$581)</f>
      </c>
      <c r="FD581">
        <f>IF(ISBLANK('Data Entry'!$à$581), "", 'Data Entry'!$à$581)</f>
      </c>
      <c r="FE581">
        <f>IF(ISBLANK('Data Entry'!$á$581), "", 'Data Entry'!$á$581)</f>
      </c>
      <c r="FF581">
        <f>IF(ISBLANK('Data Entry'!$â$581), "", 'Data Entry'!$â$581)</f>
      </c>
      <c r="FG581">
        <f>IF(ISBLANK('Data Entry'!$ã$581), "", 'Data Entry'!$ã$581)</f>
      </c>
      <c r="FH581">
        <f>IF(ISBLANK('Data Entry'!$ä$581), "", 'Data Entry'!$ä$581)</f>
      </c>
      <c r="FI581">
        <f>IF(ISBLANK('Data Entry'!$å$581), "", 'Data Entry'!$å$581)</f>
      </c>
      <c r="FJ581">
        <f>IF(ISBLANK('Data Entry'!$æ$581), "", 'Data Entry'!$æ$581)</f>
      </c>
      <c r="FK581">
        <f>IF(ISBLANK('Data Entry'!$ç$581), "", 'Data Entry'!$ç$581)</f>
      </c>
      <c r="FL581">
        <f>IF(ISBLANK('Data Entry'!$è$581), "", 'Data Entry'!$è$581)</f>
      </c>
      <c r="FM581">
        <f>IF(ISBLANK('Data Entry'!$é$581), "", 'Data Entry'!$é$581)</f>
      </c>
      <c r="FN581">
        <f>IF(ISBLANK('Data Entry'!$ê$581), "", 'Data Entry'!$ê$581)</f>
      </c>
      <c r="FO581">
        <f>IF(ISBLANK('Data Entry'!$ë$581), "", 'Data Entry'!$ë$581)</f>
      </c>
      <c r="FP581">
        <f>IF(ISBLANK('Data Entry'!$ì$581), "", 'Data Entry'!$ì$581)</f>
      </c>
      <c r="FQ581">
        <f>IF(ISBLANK('Data Entry'!$í$581), "", 'Data Entry'!$í$581)</f>
      </c>
      <c r="FR581">
        <f>IF(ISBLANK('Data Entry'!$î$581), "", 'Data Entry'!$î$581)</f>
      </c>
      <c r="FS581">
        <f>IF(ISBLANK('Data Entry'!$ï$581), "", 'Data Entry'!$ï$581)</f>
      </c>
      <c r="FT581">
        <f>IF(ISBLANK('Data Entry'!$ð$581), "", 'Data Entry'!$ð$581)</f>
      </c>
      <c r="FU581">
        <f>IF(ISBLANK('Data Entry'!$ñ$581), "", 'Data Entry'!$ñ$581)</f>
      </c>
      <c r="FV581">
        <f>IF(ISBLANK('Data Entry'!$ò$581), "", 'Data Entry'!$ò$581)</f>
      </c>
      <c r="FW581">
        <f>IF(ISBLANK('Data Entry'!$ó$581), "", 'Data Entry'!$ó$581)</f>
      </c>
      <c r="FX581">
        <f>IF(ISBLANK('Data Entry'!$ô$581), "", 'Data Entry'!$ô$581)</f>
      </c>
      <c r="FY581">
        <f>IF(ISBLANK('Data Entry'!$õ$581), "", 'Data Entry'!$õ$581)</f>
      </c>
      <c r="FZ581">
        <f>IF(ISBLANK('Data Entry'!$ö$581), "", 'Data Entry'!$ö$581)</f>
      </c>
      <c r="GA581">
        <f>IF(ISBLANK('Data Entry'!$÷$581), "", 'Data Entry'!$÷$581)</f>
      </c>
      <c r="GB581">
        <f>IF(ISBLANK('Data Entry'!$ø$581), "", 'Data Entry'!$ø$581)</f>
      </c>
      <c r="GC581">
        <f>IF(ISBLANK('Data Entry'!$ù$581), "", 'Data Entry'!$ù$581)</f>
      </c>
      <c r="GD581">
        <f>IF(ISBLANK('Data Entry'!$ú$581), "", 'Data Entry'!$ú$581)</f>
      </c>
      <c r="GE581">
        <f>IF(ISBLANK('Data Entry'!$û$581), "", 'Data Entry'!$û$581)</f>
      </c>
      <c r="GF581">
        <f>IF(ISBLANK('Data Entry'!$ü$581), "", 'Data Entry'!$ü$581)</f>
      </c>
      <c r="GG581">
        <f>IF(ISBLANK('Data Entry'!$ý$581), "", 'Data Entry'!$ý$581)</f>
      </c>
      <c r="GH581">
        <f>IF(ISBLANK('Data Entry'!$þ$581), "", 'Data Entry'!$þ$581)</f>
      </c>
      <c r="GI581">
        <f>IF(ISBLANK('Data Entry'!$ÿ$581), "", 'Data Entry'!$ÿ$581)</f>
      </c>
      <c r="GJ581">
        <f>IF(ISBLANK('Data Entry'!$Ā$581), "", 'Data Entry'!$Ā$581)</f>
      </c>
      <c r="GK581">
        <f>IF(ISBLANK('Data Entry'!$ā$581), "", 'Data Entry'!$ā$581)</f>
      </c>
      <c r="GL581">
        <f>IF(ISBLANK('Data Entry'!$Ă$581), "", 'Data Entry'!$Ă$581)</f>
      </c>
      <c r="GM581">
        <f>IF(ISBLANK('Data Entry'!$ă$581), "", 'Data Entry'!$ă$581)</f>
      </c>
      <c r="GN581">
        <f>IF(ISBLANK('Data Entry'!$Ą$581), "", 'Data Entry'!$Ą$581)</f>
      </c>
      <c r="GO581">
        <f>IF(ISBLANK('Data Entry'!$ą$581), "", 'Data Entry'!$ą$581)</f>
      </c>
      <c r="GP581">
        <f>IF(ISBLANK('Data Entry'!$Ć$581), "", 'Data Entry'!$Ć$581)</f>
      </c>
      <c r="GQ581">
        <f>IF(ISBLANK('Data Entry'!$ć$581), "", 'Data Entry'!$ć$581)</f>
      </c>
      <c r="GR581">
        <f>IF(ISBLANK('Data Entry'!$Ĉ$581), "", 'Data Entry'!$Ĉ$581)</f>
      </c>
      <c r="GS581">
        <f>IF(ISBLANK('Data Entry'!$ĉ$581), "", 'Data Entry'!$ĉ$581)</f>
      </c>
      <c r="GT581">
        <f>IF(ISBLANK('Data Entry'!$Ċ$581), "", 'Data Entry'!$Ċ$581)</f>
      </c>
      <c r="GU581">
        <f>IF(ISBLANK('Data Entry'!$ċ$581), "", 'Data Entry'!$ċ$581)</f>
      </c>
      <c r="GV581">
        <f>IF(ISBLANK('Data Entry'!$Č$581), "", 'Data Entry'!$Č$581)</f>
      </c>
      <c r="GW581">
        <f>IF(ISBLANK('Data Entry'!$č$581), "", 'Data Entry'!$č$581)</f>
      </c>
      <c r="GX581">
        <f>IF(ISBLANK('Data Entry'!$Ď$581), "", 'Data Entry'!$Ď$581)</f>
      </c>
      <c r="GY581">
        <f>IF(ISBLANK('Data Entry'!$ď$581), "", 'Data Entry'!$ď$581)</f>
      </c>
      <c r="GZ581">
        <f>IF(ISBLANK('Data Entry'!$Đ$581), "", 'Data Entry'!$Đ$581)</f>
      </c>
      <c r="HA581">
        <f>IF(ISBLANK('Data Entry'!$đ$581), "", 'Data Entry'!$đ$581)</f>
      </c>
      <c r="HB581">
        <f>IF(ISBLANK('Data Entry'!$Ē$581), "", 'Data Entry'!$Ē$581)</f>
      </c>
      <c r="HC581">
        <f>IF(ISBLANK('Data Entry'!$ē$581), "", 'Data Entry'!$ē$581)</f>
      </c>
      <c r="HD581">
        <f>IF(ISBLANK('Data Entry'!$Ĕ$581), "", 'Data Entry'!$Ĕ$581)</f>
      </c>
      <c r="HE581">
        <f>IF(ISBLANK('Data Entry'!$ĕ$581), "", 'Data Entry'!$ĕ$581)</f>
      </c>
      <c r="HF581">
        <f>IF(ISBLANK('Data Entry'!$Ė$581), "", 'Data Entry'!$Ė$581)</f>
      </c>
      <c r="HG581">
        <f>IF(ISBLANK('Data Entry'!$ė$581), "", 'Data Entry'!$ė$581)</f>
      </c>
      <c r="HH581">
        <f>IF(ISBLANK('Data Entry'!$Ę$581), "", 'Data Entry'!$Ę$581)</f>
      </c>
      <c r="HI581">
        <f>IF(ISBLANK('Data Entry'!$ę$581), "", 'Data Entry'!$ę$581)</f>
      </c>
      <c r="HJ581">
        <f>IF(ISBLANK('Data Entry'!$Ě$581), "", 'Data Entry'!$Ě$581)</f>
      </c>
      <c r="HK581">
        <f>IF(ISBLANK('Data Entry'!$ě$581), "", 'Data Entry'!$ě$581)</f>
      </c>
      <c r="HL581">
        <f>IF(ISBLANK('Data Entry'!$Ĝ$581), "", 'Data Entry'!$Ĝ$581)</f>
      </c>
      <c r="HM581">
        <f>IF(ISBLANK('Data Entry'!$ĝ$581), "", 'Data Entry'!$ĝ$581)</f>
      </c>
      <c r="HN581">
        <f>IF(ISBLANK('Data Entry'!$Ğ$581), "", 'Data Entry'!$Ğ$581)</f>
      </c>
      <c r="HO581">
        <f>IF(ISBLANK('Data Entry'!$ğ$581), "", 'Data Entry'!$ğ$581)</f>
      </c>
      <c r="HP581">
        <f>IF(ISBLANK('Data Entry'!$Ġ$581), "", 'Data Entry'!$Ġ$581)</f>
      </c>
      <c r="HQ581">
        <f>IF(ISBLANK('Data Entry'!$ġ$581), "", 'Data Entry'!$ġ$581)</f>
      </c>
      <c r="HR581">
        <f>IF(ISBLANK('Data Entry'!$Ģ$581), "", 'Data Entry'!$Ģ$581)</f>
      </c>
      <c r="HS581">
        <f>IF(ISBLANK('Data Entry'!$ģ$581), "", 'Data Entry'!$ģ$581)</f>
      </c>
      <c r="HT581">
        <f>IF(ISBLANK('Data Entry'!$Ĥ$581), "", 'Data Entry'!$Ĥ$581)</f>
      </c>
      <c r="HU581">
        <f>IF(ISBLANK('Data Entry'!$ĥ$581), "", 'Data Entry'!$ĥ$581)</f>
      </c>
      <c r="HV581">
        <f>IF(ISBLANK('Data Entry'!$Ħ$581), "", 'Data Entry'!$Ħ$581)</f>
      </c>
      <c r="HW581">
        <f>IF(ISBLANK('Data Entry'!$ħ$581), "", 'Data Entry'!$ħ$581)</f>
      </c>
      <c r="HX581">
        <f>IF(ISBLANK('Data Entry'!$Ĩ$581), "", 'Data Entry'!$Ĩ$581)</f>
      </c>
      <c r="HY581">
        <f>IF(ISBLANK('Data Entry'!$ĩ$581), "", 'Data Entry'!$ĩ$581)</f>
      </c>
      <c r="HZ581">
        <f>IF(ISBLANK('Data Entry'!$Ī$581), "", 'Data Entry'!$Ī$581)</f>
      </c>
      <c r="IA581">
        <f>IF(ISBLANK('Data Entry'!$ī$581), "", 'Data Entry'!$ī$581)</f>
      </c>
      <c r="IB581">
        <f>IF(ISBLANK('Data Entry'!$Ĭ$581), "", 'Data Entry'!$Ĭ$581)</f>
      </c>
      <c r="IC581">
        <f>IF(ISBLANK('Data Entry'!$ĭ$581), "", 'Data Entry'!$ĭ$581)</f>
      </c>
      <c r="ID581">
        <f>IF(ISBLANK('Data Entry'!$Į$581), "", 'Data Entry'!$Į$581)</f>
      </c>
      <c r="IE581">
        <f>IF(ISBLANK('Data Entry'!$į$581), "", 'Data Entry'!$į$581)</f>
      </c>
      <c r="IF581">
        <f>IF(ISBLANK('Data Entry'!$İ$581), "", 'Data Entry'!$İ$581)</f>
      </c>
      <c r="IG581">
        <f>IF(ISBLANK('Data Entry'!$ı$581), "", 'Data Entry'!$ı$581)</f>
      </c>
      <c r="IH581">
        <f>IF(ISBLANK('Data Entry'!$Ĳ$581), "", 'Data Entry'!$Ĳ$581)</f>
      </c>
      <c r="II581">
        <f>IF(ISBLANK('Data Entry'!$ĳ$581), "", 'Data Entry'!$ĳ$581)</f>
      </c>
      <c r="IJ581">
        <f>IF(ISBLANK('Data Entry'!$Ĵ$581), "", 'Data Entry'!$Ĵ$581)</f>
      </c>
      <c r="IK581">
        <f>IF(ISBLANK('Data Entry'!$ĵ$581), "", 'Data Entry'!$ĵ$581)</f>
      </c>
      <c r="IL581">
        <f>IF(ISBLANK('Data Entry'!$Ķ$581), "", 'Data Entry'!$Ķ$581)</f>
      </c>
      <c r="IM581">
        <f>IF(ISBLANK('Data Entry'!$ķ$581), "", 'Data Entry'!$ķ$581)</f>
      </c>
      <c r="IN581">
        <f>IF(ISBLANK('Data Entry'!$ĸ$581), "", 'Data Entry'!$ĸ$581)</f>
      </c>
      <c r="IO581">
        <f>IF(ISBLANK('Data Entry'!$Ĺ$581), "", 'Data Entry'!$Ĺ$581)</f>
      </c>
      <c r="IP581">
        <f>IF(ISBLANK('Data Entry'!$ĺ$581), "", 'Data Entry'!$ĺ$581)</f>
      </c>
      <c r="IQ581">
        <f>IF(ISBLANK('Data Entry'!$Ļ$581), "", 'Data Entry'!$Ļ$581)</f>
      </c>
      <c r="IR581">
        <f>IF(ISBLANK('Data Entry'!$ļ$581), "", 'Data Entry'!$ļ$581)</f>
      </c>
      <c r="IS581">
        <f>IF(ISBLANK('Data Entry'!$Ľ$581), "", 'Data Entry'!$Ľ$581)</f>
      </c>
      <c r="IT581">
        <f>IF(ISBLANK('Data Entry'!$ľ$581), "", 'Data Entry'!$ľ$581)</f>
      </c>
    </row>
    <row r="582" spans="1:254" x14ac:dyDescent="0.25">
      <c r="A582">
        <f>IF(ISBLANK('Data Entry'!$A$582), "", 'Data Entry'!$A$582)</f>
      </c>
      <c r="B582">
        <f>IF(ISBLANK('Data Entry'!$B$582), "", 'Data Entry'!$B$582)</f>
      </c>
      <c r="C582">
        <f>IF(ISBLANK('Data Entry'!$C$582), "", 'Data Entry'!$C$582)</f>
      </c>
      <c r="D582">
        <f>IF(ISBLANK('Data Entry'!$D$582), "", 'Data Entry'!$D$582)</f>
      </c>
      <c r="E582">
        <f>IF(ISBLANK('Data Entry'!$E$582), "", 'Data Entry'!$E$582)</f>
      </c>
      <c r="F582">
        <f>IF(ISBLANK('Data Entry'!$F$582), "", 'Data Entry'!$F$582)</f>
      </c>
      <c r="G582">
        <f>IF(ISBLANK('Data Entry'!$G$582), "", 'Data Entry'!$G$582)</f>
      </c>
      <c r="H582">
        <f>IF(ISBLANK('Data Entry'!$H$582), "", 'Data Entry'!$H$582)</f>
      </c>
      <c r="I582">
        <f>IF(ISBLANK('Data Entry'!$I$582), "", 'Data Entry'!$I$582)</f>
      </c>
      <c r="J582">
        <f>IF(ISBLANK('Data Entry'!$J$582), "", 'Data Entry'!$J$582)</f>
      </c>
      <c r="K582">
        <f>IF(ISBLANK('Data Entry'!$K$582), "", 'Data Entry'!$K$582)</f>
      </c>
      <c r="L582">
        <f>IF(ISBLANK('Data Entry'!$L$582), "", 'Data Entry'!$L$582)</f>
      </c>
      <c r="M582">
        <f>IF(ISBLANK('Data Entry'!$M$582), "", 'Data Entry'!$M$582)</f>
      </c>
      <c r="N582">
        <f>IF(ISBLANK('Data Entry'!$N$582), "", 'Data Entry'!$N$582)</f>
      </c>
      <c r="O582">
        <f>IF(ISBLANK('Data Entry'!$O$582), "", 'Data Entry'!$O$582)</f>
      </c>
      <c r="P582">
        <f>IF(ISBLANK('Data Entry'!$P$582), "", 'Data Entry'!$P$582)</f>
      </c>
      <c r="Q582">
        <f>IF(ISBLANK('Data Entry'!$Q$582), "", 'Data Entry'!$Q$582)</f>
      </c>
      <c r="R582">
        <f>IF(ISBLANK('Data Entry'!$R$582), "", 'Data Entry'!$R$582)</f>
      </c>
      <c r="S582">
        <f>IF(ISBLANK('Data Entry'!$S$582), "", 'Data Entry'!$S$582)</f>
      </c>
      <c r="T582">
        <f>IF(ISBLANK('Data Entry'!$T$582), "", 'Data Entry'!$T$582)</f>
      </c>
      <c r="U582">
        <f>IF(ISBLANK('Data Entry'!$U$582), "", 'Data Entry'!$U$582)</f>
      </c>
      <c r="V582">
        <f>IF(ISBLANK('Data Entry'!$V$582), "", 'Data Entry'!$V$582)</f>
      </c>
      <c r="W582">
        <f>IF(ISBLANK('Data Entry'!$W$582), "", 'Data Entry'!$W$582)</f>
      </c>
      <c r="X582">
        <f>IF(ISBLANK('Data Entry'!$X$582), "", 'Data Entry'!$X$582)</f>
      </c>
      <c r="Y582">
        <f>IF(ISBLANK('Data Entry'!$Y$582), "", 'Data Entry'!$Y$582)</f>
      </c>
      <c r="Z582">
        <f>IF(ISBLANK('Data Entry'!$Z$582), "", 'Data Entry'!$Z$582)</f>
      </c>
      <c r="AA582">
        <f>IF(ISBLANK('Data Entry'!$[$582), "", 'Data Entry'!$[$582)</f>
      </c>
      <c r="AB582">
        <f>IF(ISBLANK('Data Entry'!$\$582), "", 'Data Entry'!$\$582)</f>
      </c>
      <c r="AC582">
        <f>IF(ISBLANK('Data Entry'!$]$582), "", 'Data Entry'!$]$582)</f>
      </c>
      <c r="AD582">
        <f>IF(ISBLANK('Data Entry'!$^$582), "", 'Data Entry'!$^$582)</f>
      </c>
      <c r="AE582">
        <f>IF(ISBLANK('Data Entry'!$_$582), "", 'Data Entry'!$_$582)</f>
      </c>
      <c r="AF582">
        <f>IF(ISBLANK('Data Entry'!$`$582), "", 'Data Entry'!$`$582)</f>
      </c>
      <c r="AG582">
        <f>IF(ISBLANK('Data Entry'!$a$582), "", 'Data Entry'!$a$582)</f>
      </c>
      <c r="AH582">
        <f>IF(ISBLANK('Data Entry'!$b$582), "", 'Data Entry'!$b$582)</f>
      </c>
      <c r="AI582">
        <f>IF(ISBLANK('Data Entry'!$c$582), "", 'Data Entry'!$c$582)</f>
      </c>
      <c r="AJ582">
        <f>IF(ISBLANK('Data Entry'!$d$582), "", 'Data Entry'!$d$582)</f>
      </c>
      <c r="AK582">
        <f>IF(ISBLANK('Data Entry'!$e$582), "", 'Data Entry'!$e$582)</f>
      </c>
      <c r="AL582">
        <f>IF(ISBLANK('Data Entry'!$f$582), "", 'Data Entry'!$f$582)</f>
      </c>
      <c r="AM582">
        <f>IF(ISBLANK('Data Entry'!$g$582), "", 'Data Entry'!$g$582)</f>
      </c>
      <c r="AN582">
        <f>IF(ISBLANK('Data Entry'!$h$582), "", 'Data Entry'!$h$582)</f>
      </c>
      <c r="AO582">
        <f>IF(ISBLANK('Data Entry'!$i$582), "", 'Data Entry'!$i$582)</f>
      </c>
      <c r="AP582">
        <f>IF(ISBLANK('Data Entry'!$j$582), "", 'Data Entry'!$j$582)</f>
      </c>
      <c r="AQ582">
        <f>IF(ISBLANK('Data Entry'!$k$582), "", 'Data Entry'!$k$582)</f>
      </c>
      <c r="AR582">
        <f>IF(ISBLANK('Data Entry'!$l$582), "", 'Data Entry'!$l$582)</f>
      </c>
      <c r="AS582">
        <f>IF(ISBLANK('Data Entry'!$m$582), "", 'Data Entry'!$m$582)</f>
      </c>
      <c r="AT582">
        <f>IF(ISBLANK('Data Entry'!$n$582), "", 'Data Entry'!$n$582)</f>
      </c>
      <c r="AU582">
        <f>IF(ISBLANK('Data Entry'!$o$582), "", 'Data Entry'!$o$582)</f>
      </c>
      <c r="AV582">
        <f>IF(ISBLANK('Data Entry'!$p$582), "", 'Data Entry'!$p$582)</f>
      </c>
      <c r="AW582">
        <f>IF(ISBLANK('Data Entry'!$q$582), "", 'Data Entry'!$q$582)</f>
      </c>
      <c r="AX582">
        <f>IF(ISBLANK('Data Entry'!$r$582), "", 'Data Entry'!$r$582)</f>
      </c>
      <c r="AY582">
        <f>IF(ISBLANK('Data Entry'!$s$582), "", 'Data Entry'!$s$582)</f>
      </c>
      <c r="AZ582">
        <f>IF(ISBLANK('Data Entry'!$t$582), "", 'Data Entry'!$t$582)</f>
      </c>
      <c r="BA582">
        <f>IF(ISBLANK('Data Entry'!$u$582), "", 'Data Entry'!$u$582)</f>
      </c>
      <c r="BB582">
        <f>IF(ISBLANK('Data Entry'!$v$582), "", 'Data Entry'!$v$582)</f>
      </c>
      <c r="BC582">
        <f>IF(ISBLANK('Data Entry'!$w$582), "", 'Data Entry'!$w$582)</f>
      </c>
      <c r="BD582">
        <f>IF(ISBLANK('Data Entry'!$x$582), "", 'Data Entry'!$x$582)</f>
      </c>
      <c r="BE582">
        <f>IF(ISBLANK('Data Entry'!$y$582), "", 'Data Entry'!$y$582)</f>
      </c>
      <c r="BF582">
        <f>IF(ISBLANK('Data Entry'!$z$582), "", 'Data Entry'!$z$582)</f>
      </c>
      <c r="BG582">
        <f>IF(ISBLANK('Data Entry'!${$582), "", 'Data Entry'!${$582)</f>
      </c>
      <c r="BH582">
        <f>IF(ISBLANK('Data Entry'!$|$582), "", 'Data Entry'!$|$582)</f>
      </c>
      <c r="BI582">
        <f>IF(ISBLANK('Data Entry'!$}$582), "", 'Data Entry'!$}$582)</f>
      </c>
      <c r="BJ582">
        <f>IF(ISBLANK('Data Entry'!$~$582), "", 'Data Entry'!$~$582)</f>
      </c>
      <c r="BK582">
        <f>IF(ISBLANK('Data Entry'!$$582), "", 'Data Entry'!$$582)</f>
      </c>
      <c r="BL582">
        <f>IF(ISBLANK('Data Entry'!$$582), "", 'Data Entry'!$$582)</f>
      </c>
      <c r="BM582">
        <f>IF(ISBLANK('Data Entry'!$$582), "", 'Data Entry'!$$582)</f>
      </c>
      <c r="BN582">
        <f>IF(ISBLANK('Data Entry'!$$582), "", 'Data Entry'!$$582)</f>
      </c>
      <c r="BO582">
        <f>IF(ISBLANK('Data Entry'!$$582), "", 'Data Entry'!$$582)</f>
      </c>
      <c r="BP582">
        <f>IF(ISBLANK('Data Entry'!$$582), "", 'Data Entry'!$$582)</f>
      </c>
      <c r="BQ582">
        <f>IF(ISBLANK('Data Entry'!$$582), "", 'Data Entry'!$$582)</f>
      </c>
      <c r="BR582">
        <f>IF(ISBLANK('Data Entry'!$$582), "", 'Data Entry'!$$582)</f>
      </c>
      <c r="BS582">
        <f>IF(ISBLANK('Data Entry'!$$582), "", 'Data Entry'!$$582)</f>
      </c>
      <c r="BT582">
        <f>IF(ISBLANK('Data Entry'!$$582), "", 'Data Entry'!$$582)</f>
      </c>
      <c r="BU582">
        <f>IF(ISBLANK('Data Entry'!$$582), "", 'Data Entry'!$$582)</f>
      </c>
      <c r="BV582">
        <f>IF(ISBLANK('Data Entry'!$$582), "", 'Data Entry'!$$582)</f>
      </c>
      <c r="BW582">
        <f>IF(ISBLANK('Data Entry'!$$582), "", 'Data Entry'!$$582)</f>
      </c>
      <c r="BX582">
        <f>IF(ISBLANK('Data Entry'!$$582), "", 'Data Entry'!$$582)</f>
      </c>
      <c r="BY582">
        <f>IF(ISBLANK('Data Entry'!$$582), "", 'Data Entry'!$$582)</f>
      </c>
      <c r="BZ582">
        <f>IF(ISBLANK('Data Entry'!$$582), "", 'Data Entry'!$$582)</f>
      </c>
      <c r="CA582">
        <f>IF(ISBLANK('Data Entry'!$$582), "", 'Data Entry'!$$582)</f>
      </c>
      <c r="CB582">
        <f>IF(ISBLANK('Data Entry'!$$582), "", 'Data Entry'!$$582)</f>
      </c>
      <c r="CC582">
        <f>IF(ISBLANK('Data Entry'!$$582), "", 'Data Entry'!$$582)</f>
      </c>
      <c r="CD582">
        <f>IF(ISBLANK('Data Entry'!$$582), "", 'Data Entry'!$$582)</f>
      </c>
      <c r="CE582">
        <f>IF(ISBLANK('Data Entry'!$$582), "", 'Data Entry'!$$582)</f>
      </c>
      <c r="CF582">
        <f>IF(ISBLANK('Data Entry'!$$582), "", 'Data Entry'!$$582)</f>
      </c>
      <c r="CG582">
        <f>IF(ISBLANK('Data Entry'!$$582), "", 'Data Entry'!$$582)</f>
      </c>
      <c r="CH582">
        <f>IF(ISBLANK('Data Entry'!$$582), "", 'Data Entry'!$$582)</f>
      </c>
      <c r="CI582">
        <f>IF(ISBLANK('Data Entry'!$$582), "", 'Data Entry'!$$582)</f>
      </c>
      <c r="CJ582">
        <f>IF(ISBLANK('Data Entry'!$$582), "", 'Data Entry'!$$582)</f>
      </c>
      <c r="CK582">
        <f>IF(ISBLANK('Data Entry'!$$582), "", 'Data Entry'!$$582)</f>
      </c>
      <c r="CL582">
        <f>IF(ISBLANK('Data Entry'!$$582), "", 'Data Entry'!$$582)</f>
      </c>
      <c r="CM582">
        <f>IF(ISBLANK('Data Entry'!$$582), "", 'Data Entry'!$$582)</f>
      </c>
      <c r="CN582">
        <f>IF(ISBLANK('Data Entry'!$$582), "", 'Data Entry'!$$582)</f>
      </c>
      <c r="CO582">
        <f>IF(ISBLANK('Data Entry'!$$582), "", 'Data Entry'!$$582)</f>
      </c>
      <c r="CP582">
        <f>IF(ISBLANK('Data Entry'!$$582), "", 'Data Entry'!$$582)</f>
      </c>
      <c r="CQ582">
        <f>IF(ISBLANK('Data Entry'!$$582), "", 'Data Entry'!$$582)</f>
      </c>
      <c r="CR582">
        <f>IF(ISBLANK('Data Entry'!$ $582), "", 'Data Entry'!$ $582)</f>
      </c>
      <c r="CS582">
        <f>IF(ISBLANK('Data Entry'!$¡$582), "", 'Data Entry'!$¡$582)</f>
      </c>
      <c r="CT582">
        <f>IF(ISBLANK('Data Entry'!$¢$582), "", 'Data Entry'!$¢$582)</f>
      </c>
      <c r="CU582">
        <f>IF(ISBLANK('Data Entry'!$£$582), "", 'Data Entry'!$£$582)</f>
      </c>
      <c r="CV582">
        <f>IF(ISBLANK('Data Entry'!$¤$582), "", 'Data Entry'!$¤$582)</f>
      </c>
      <c r="CW582">
        <f>IF(ISBLANK('Data Entry'!$¥$582), "", 'Data Entry'!$¥$582)</f>
      </c>
      <c r="CX582">
        <f>IF(ISBLANK('Data Entry'!$¦$582), "", 'Data Entry'!$¦$582)</f>
      </c>
      <c r="CY582">
        <f>IF(ISBLANK('Data Entry'!$§$582), "", 'Data Entry'!$§$582)</f>
      </c>
      <c r="CZ582">
        <f>IF(ISBLANK('Data Entry'!$¨$582), "", 'Data Entry'!$¨$582)</f>
      </c>
      <c r="DA582">
        <f>IF(ISBLANK('Data Entry'!$©$582), "", 'Data Entry'!$©$582)</f>
      </c>
      <c r="DB582">
        <f>IF(ISBLANK('Data Entry'!$ª$582), "", 'Data Entry'!$ª$582)</f>
      </c>
      <c r="DC582">
        <f>IF(ISBLANK('Data Entry'!$«$582), "", 'Data Entry'!$«$582)</f>
      </c>
      <c r="DD582">
        <f>IF(ISBLANK('Data Entry'!$¬$582), "", 'Data Entry'!$¬$582)</f>
      </c>
      <c r="DE582">
        <f>IF(ISBLANK('Data Entry'!$­$582), "", 'Data Entry'!$­$582)</f>
      </c>
      <c r="DF582">
        <f>IF(ISBLANK('Data Entry'!$®$582), "", 'Data Entry'!$®$582)</f>
      </c>
      <c r="DG582">
        <f>IF(ISBLANK('Data Entry'!$¯$582), "", 'Data Entry'!$¯$582)</f>
      </c>
      <c r="DH582">
        <f>IF(ISBLANK('Data Entry'!$°$582), "", 'Data Entry'!$°$582)</f>
      </c>
      <c r="DI582">
        <f>IF(ISBLANK('Data Entry'!$±$582), "", 'Data Entry'!$±$582)</f>
      </c>
      <c r="DJ582">
        <f>IF(ISBLANK('Data Entry'!$²$582), "", 'Data Entry'!$²$582)</f>
      </c>
      <c r="DK582">
        <f>IF(ISBLANK('Data Entry'!$³$582), "", 'Data Entry'!$³$582)</f>
      </c>
      <c r="DL582">
        <f>IF(ISBLANK('Data Entry'!$´$582), "", 'Data Entry'!$´$582)</f>
      </c>
      <c r="DM582">
        <f>IF(ISBLANK('Data Entry'!$µ$582), "", 'Data Entry'!$µ$582)</f>
      </c>
      <c r="DN582">
        <f>IF(ISBLANK('Data Entry'!$¶$582), "", 'Data Entry'!$¶$582)</f>
      </c>
      <c r="DO582">
        <f>IF(ISBLANK('Data Entry'!$·$582), "", 'Data Entry'!$·$582)</f>
      </c>
      <c r="DP582">
        <f>IF(ISBLANK('Data Entry'!$¸$582), "", 'Data Entry'!$¸$582)</f>
      </c>
      <c r="DQ582">
        <f>IF(ISBLANK('Data Entry'!$¹$582), "", 'Data Entry'!$¹$582)</f>
      </c>
      <c r="DR582">
        <f>IF(ISBLANK('Data Entry'!$º$582), "", 'Data Entry'!$º$582)</f>
      </c>
      <c r="DS582">
        <f>IF(ISBLANK('Data Entry'!$»$582), "", 'Data Entry'!$»$582)</f>
      </c>
      <c r="DT582">
        <f>IF(ISBLANK('Data Entry'!$¼$582), "", 'Data Entry'!$¼$582)</f>
      </c>
      <c r="DU582">
        <f>IF(ISBLANK('Data Entry'!$½$582), "", 'Data Entry'!$½$582)</f>
      </c>
      <c r="DV582">
        <f>IF(ISBLANK('Data Entry'!$¾$582), "", 'Data Entry'!$¾$582)</f>
      </c>
      <c r="DW582">
        <f>IF(ISBLANK('Data Entry'!$¿$582), "", 'Data Entry'!$¿$582)</f>
      </c>
      <c r="DX582">
        <f>IF(ISBLANK('Data Entry'!$À$582), "", 'Data Entry'!$À$582)</f>
      </c>
      <c r="DY582">
        <f>IF(ISBLANK('Data Entry'!$Á$582), "", 'Data Entry'!$Á$582)</f>
      </c>
      <c r="DZ582">
        <f>IF(ISBLANK('Data Entry'!$Â$582), "", 'Data Entry'!$Â$582)</f>
      </c>
      <c r="EA582">
        <f>IF(ISBLANK('Data Entry'!$Ã$582), "", 'Data Entry'!$Ã$582)</f>
      </c>
      <c r="EB582">
        <f>IF(ISBLANK('Data Entry'!$Ä$582), "", 'Data Entry'!$Ä$582)</f>
      </c>
      <c r="EC582">
        <f>IF(ISBLANK('Data Entry'!$Å$582), "", 'Data Entry'!$Å$582)</f>
      </c>
      <c r="ED582">
        <f>IF(ISBLANK('Data Entry'!$Æ$582), "", 'Data Entry'!$Æ$582)</f>
      </c>
      <c r="EE582">
        <f>IF(ISBLANK('Data Entry'!$Ç$582), "", 'Data Entry'!$Ç$582)</f>
      </c>
      <c r="EF582">
        <f>IF(ISBLANK('Data Entry'!$È$582), "", 'Data Entry'!$È$582)</f>
      </c>
      <c r="EG582">
        <f>IF(ISBLANK('Data Entry'!$É$582), "", 'Data Entry'!$É$582)</f>
      </c>
      <c r="EH582">
        <f>IF(ISBLANK('Data Entry'!$Ê$582), "", 'Data Entry'!$Ê$582)</f>
      </c>
      <c r="EI582">
        <f>IF(ISBLANK('Data Entry'!$Ë$582), "", 'Data Entry'!$Ë$582)</f>
      </c>
      <c r="EJ582">
        <f>IF(ISBLANK('Data Entry'!$Ì$582), "", 'Data Entry'!$Ì$582)</f>
      </c>
      <c r="EK582">
        <f>IF(ISBLANK('Data Entry'!$Í$582), "", 'Data Entry'!$Í$582)</f>
      </c>
      <c r="EL582">
        <f>IF(ISBLANK('Data Entry'!$Î$582), "", 'Data Entry'!$Î$582)</f>
      </c>
      <c r="EM582">
        <f>IF(ISBLANK('Data Entry'!$Ï$582), "", 'Data Entry'!$Ï$582)</f>
      </c>
      <c r="EN582">
        <f>IF(ISBLANK('Data Entry'!$Ð$582), "", 'Data Entry'!$Ð$582)</f>
      </c>
      <c r="EO582">
        <f>IF(ISBLANK('Data Entry'!$Ñ$582), "", 'Data Entry'!$Ñ$582)</f>
      </c>
      <c r="EP582">
        <f>IF(ISBLANK('Data Entry'!$Ò$582), "", 'Data Entry'!$Ò$582)</f>
      </c>
      <c r="EQ582">
        <f>IF(ISBLANK('Data Entry'!$Ó$582), "", 'Data Entry'!$Ó$582)</f>
      </c>
      <c r="ER582">
        <f>IF(ISBLANK('Data Entry'!$Ô$582), "", 'Data Entry'!$Ô$582)</f>
      </c>
      <c r="ES582">
        <f>IF(ISBLANK('Data Entry'!$Õ$582), "", 'Data Entry'!$Õ$582)</f>
      </c>
      <c r="ET582">
        <f>IF(ISBLANK('Data Entry'!$Ö$582), "", 'Data Entry'!$Ö$582)</f>
      </c>
      <c r="EU582">
        <f>IF(ISBLANK('Data Entry'!$×$582), "", 'Data Entry'!$×$582)</f>
      </c>
      <c r="EV582">
        <f>IF(ISBLANK('Data Entry'!$Ø$582), "", 'Data Entry'!$Ø$582)</f>
      </c>
      <c r="EW582">
        <f>IF(ISBLANK('Data Entry'!$Ù$582), "", 'Data Entry'!$Ù$582)</f>
      </c>
      <c r="EX582">
        <f>IF(ISBLANK('Data Entry'!$Ú$582), "", 'Data Entry'!$Ú$582)</f>
      </c>
      <c r="EY582">
        <f>IF(ISBLANK('Data Entry'!$Û$582), "", 'Data Entry'!$Û$582)</f>
      </c>
      <c r="EZ582">
        <f>IF(ISBLANK('Data Entry'!$Ü$582), "", 'Data Entry'!$Ü$582)</f>
      </c>
      <c r="FA582">
        <f>IF(ISBLANK('Data Entry'!$Ý$582), "", 'Data Entry'!$Ý$582)</f>
      </c>
      <c r="FB582">
        <f>IF(ISBLANK('Data Entry'!$Þ$582), "", 'Data Entry'!$Þ$582)</f>
      </c>
      <c r="FC582">
        <f>IF(ISBLANK('Data Entry'!$ß$582), "", 'Data Entry'!$ß$582)</f>
      </c>
      <c r="FD582">
        <f>IF(ISBLANK('Data Entry'!$à$582), "", 'Data Entry'!$à$582)</f>
      </c>
      <c r="FE582">
        <f>IF(ISBLANK('Data Entry'!$á$582), "", 'Data Entry'!$á$582)</f>
      </c>
      <c r="FF582">
        <f>IF(ISBLANK('Data Entry'!$â$582), "", 'Data Entry'!$â$582)</f>
      </c>
      <c r="FG582">
        <f>IF(ISBLANK('Data Entry'!$ã$582), "", 'Data Entry'!$ã$582)</f>
      </c>
      <c r="FH582">
        <f>IF(ISBLANK('Data Entry'!$ä$582), "", 'Data Entry'!$ä$582)</f>
      </c>
      <c r="FI582">
        <f>IF(ISBLANK('Data Entry'!$å$582), "", 'Data Entry'!$å$582)</f>
      </c>
      <c r="FJ582">
        <f>IF(ISBLANK('Data Entry'!$æ$582), "", 'Data Entry'!$æ$582)</f>
      </c>
      <c r="FK582">
        <f>IF(ISBLANK('Data Entry'!$ç$582), "", 'Data Entry'!$ç$582)</f>
      </c>
      <c r="FL582">
        <f>IF(ISBLANK('Data Entry'!$è$582), "", 'Data Entry'!$è$582)</f>
      </c>
      <c r="FM582">
        <f>IF(ISBLANK('Data Entry'!$é$582), "", 'Data Entry'!$é$582)</f>
      </c>
      <c r="FN582">
        <f>IF(ISBLANK('Data Entry'!$ê$582), "", 'Data Entry'!$ê$582)</f>
      </c>
      <c r="FO582">
        <f>IF(ISBLANK('Data Entry'!$ë$582), "", 'Data Entry'!$ë$582)</f>
      </c>
      <c r="FP582">
        <f>IF(ISBLANK('Data Entry'!$ì$582), "", 'Data Entry'!$ì$582)</f>
      </c>
      <c r="FQ582">
        <f>IF(ISBLANK('Data Entry'!$í$582), "", 'Data Entry'!$í$582)</f>
      </c>
      <c r="FR582">
        <f>IF(ISBLANK('Data Entry'!$î$582), "", 'Data Entry'!$î$582)</f>
      </c>
      <c r="FS582">
        <f>IF(ISBLANK('Data Entry'!$ï$582), "", 'Data Entry'!$ï$582)</f>
      </c>
      <c r="FT582">
        <f>IF(ISBLANK('Data Entry'!$ð$582), "", 'Data Entry'!$ð$582)</f>
      </c>
      <c r="FU582">
        <f>IF(ISBLANK('Data Entry'!$ñ$582), "", 'Data Entry'!$ñ$582)</f>
      </c>
      <c r="FV582">
        <f>IF(ISBLANK('Data Entry'!$ò$582), "", 'Data Entry'!$ò$582)</f>
      </c>
      <c r="FW582">
        <f>IF(ISBLANK('Data Entry'!$ó$582), "", 'Data Entry'!$ó$582)</f>
      </c>
      <c r="FX582">
        <f>IF(ISBLANK('Data Entry'!$ô$582), "", 'Data Entry'!$ô$582)</f>
      </c>
      <c r="FY582">
        <f>IF(ISBLANK('Data Entry'!$õ$582), "", 'Data Entry'!$õ$582)</f>
      </c>
      <c r="FZ582">
        <f>IF(ISBLANK('Data Entry'!$ö$582), "", 'Data Entry'!$ö$582)</f>
      </c>
      <c r="GA582">
        <f>IF(ISBLANK('Data Entry'!$÷$582), "", 'Data Entry'!$÷$582)</f>
      </c>
      <c r="GB582">
        <f>IF(ISBLANK('Data Entry'!$ø$582), "", 'Data Entry'!$ø$582)</f>
      </c>
      <c r="GC582">
        <f>IF(ISBLANK('Data Entry'!$ù$582), "", 'Data Entry'!$ù$582)</f>
      </c>
      <c r="GD582">
        <f>IF(ISBLANK('Data Entry'!$ú$582), "", 'Data Entry'!$ú$582)</f>
      </c>
      <c r="GE582">
        <f>IF(ISBLANK('Data Entry'!$û$582), "", 'Data Entry'!$û$582)</f>
      </c>
      <c r="GF582">
        <f>IF(ISBLANK('Data Entry'!$ü$582), "", 'Data Entry'!$ü$582)</f>
      </c>
      <c r="GG582">
        <f>IF(ISBLANK('Data Entry'!$ý$582), "", 'Data Entry'!$ý$582)</f>
      </c>
      <c r="GH582">
        <f>IF(ISBLANK('Data Entry'!$þ$582), "", 'Data Entry'!$þ$582)</f>
      </c>
      <c r="GI582">
        <f>IF(ISBLANK('Data Entry'!$ÿ$582), "", 'Data Entry'!$ÿ$582)</f>
      </c>
      <c r="GJ582">
        <f>IF(ISBLANK('Data Entry'!$Ā$582), "", 'Data Entry'!$Ā$582)</f>
      </c>
      <c r="GK582">
        <f>IF(ISBLANK('Data Entry'!$ā$582), "", 'Data Entry'!$ā$582)</f>
      </c>
      <c r="GL582">
        <f>IF(ISBLANK('Data Entry'!$Ă$582), "", 'Data Entry'!$Ă$582)</f>
      </c>
      <c r="GM582">
        <f>IF(ISBLANK('Data Entry'!$ă$582), "", 'Data Entry'!$ă$582)</f>
      </c>
      <c r="GN582">
        <f>IF(ISBLANK('Data Entry'!$Ą$582), "", 'Data Entry'!$Ą$582)</f>
      </c>
      <c r="GO582">
        <f>IF(ISBLANK('Data Entry'!$ą$582), "", 'Data Entry'!$ą$582)</f>
      </c>
      <c r="GP582">
        <f>IF(ISBLANK('Data Entry'!$Ć$582), "", 'Data Entry'!$Ć$582)</f>
      </c>
      <c r="GQ582">
        <f>IF(ISBLANK('Data Entry'!$ć$582), "", 'Data Entry'!$ć$582)</f>
      </c>
      <c r="GR582">
        <f>IF(ISBLANK('Data Entry'!$Ĉ$582), "", 'Data Entry'!$Ĉ$582)</f>
      </c>
      <c r="GS582">
        <f>IF(ISBLANK('Data Entry'!$ĉ$582), "", 'Data Entry'!$ĉ$582)</f>
      </c>
      <c r="GT582">
        <f>IF(ISBLANK('Data Entry'!$Ċ$582), "", 'Data Entry'!$Ċ$582)</f>
      </c>
      <c r="GU582">
        <f>IF(ISBLANK('Data Entry'!$ċ$582), "", 'Data Entry'!$ċ$582)</f>
      </c>
      <c r="GV582">
        <f>IF(ISBLANK('Data Entry'!$Č$582), "", 'Data Entry'!$Č$582)</f>
      </c>
      <c r="GW582">
        <f>IF(ISBLANK('Data Entry'!$č$582), "", 'Data Entry'!$č$582)</f>
      </c>
      <c r="GX582">
        <f>IF(ISBLANK('Data Entry'!$Ď$582), "", 'Data Entry'!$Ď$582)</f>
      </c>
      <c r="GY582">
        <f>IF(ISBLANK('Data Entry'!$ď$582), "", 'Data Entry'!$ď$582)</f>
      </c>
      <c r="GZ582">
        <f>IF(ISBLANK('Data Entry'!$Đ$582), "", 'Data Entry'!$Đ$582)</f>
      </c>
      <c r="HA582">
        <f>IF(ISBLANK('Data Entry'!$đ$582), "", 'Data Entry'!$đ$582)</f>
      </c>
      <c r="HB582">
        <f>IF(ISBLANK('Data Entry'!$Ē$582), "", 'Data Entry'!$Ē$582)</f>
      </c>
      <c r="HC582">
        <f>IF(ISBLANK('Data Entry'!$ē$582), "", 'Data Entry'!$ē$582)</f>
      </c>
      <c r="HD582">
        <f>IF(ISBLANK('Data Entry'!$Ĕ$582), "", 'Data Entry'!$Ĕ$582)</f>
      </c>
      <c r="HE582">
        <f>IF(ISBLANK('Data Entry'!$ĕ$582), "", 'Data Entry'!$ĕ$582)</f>
      </c>
      <c r="HF582">
        <f>IF(ISBLANK('Data Entry'!$Ė$582), "", 'Data Entry'!$Ė$582)</f>
      </c>
      <c r="HG582">
        <f>IF(ISBLANK('Data Entry'!$ė$582), "", 'Data Entry'!$ė$582)</f>
      </c>
      <c r="HH582">
        <f>IF(ISBLANK('Data Entry'!$Ę$582), "", 'Data Entry'!$Ę$582)</f>
      </c>
      <c r="HI582">
        <f>IF(ISBLANK('Data Entry'!$ę$582), "", 'Data Entry'!$ę$582)</f>
      </c>
      <c r="HJ582">
        <f>IF(ISBLANK('Data Entry'!$Ě$582), "", 'Data Entry'!$Ě$582)</f>
      </c>
      <c r="HK582">
        <f>IF(ISBLANK('Data Entry'!$ě$582), "", 'Data Entry'!$ě$582)</f>
      </c>
      <c r="HL582">
        <f>IF(ISBLANK('Data Entry'!$Ĝ$582), "", 'Data Entry'!$Ĝ$582)</f>
      </c>
      <c r="HM582">
        <f>IF(ISBLANK('Data Entry'!$ĝ$582), "", 'Data Entry'!$ĝ$582)</f>
      </c>
      <c r="HN582">
        <f>IF(ISBLANK('Data Entry'!$Ğ$582), "", 'Data Entry'!$Ğ$582)</f>
      </c>
      <c r="HO582">
        <f>IF(ISBLANK('Data Entry'!$ğ$582), "", 'Data Entry'!$ğ$582)</f>
      </c>
      <c r="HP582">
        <f>IF(ISBLANK('Data Entry'!$Ġ$582), "", 'Data Entry'!$Ġ$582)</f>
      </c>
      <c r="HQ582">
        <f>IF(ISBLANK('Data Entry'!$ġ$582), "", 'Data Entry'!$ġ$582)</f>
      </c>
      <c r="HR582">
        <f>IF(ISBLANK('Data Entry'!$Ģ$582), "", 'Data Entry'!$Ģ$582)</f>
      </c>
      <c r="HS582">
        <f>IF(ISBLANK('Data Entry'!$ģ$582), "", 'Data Entry'!$ģ$582)</f>
      </c>
      <c r="HT582">
        <f>IF(ISBLANK('Data Entry'!$Ĥ$582), "", 'Data Entry'!$Ĥ$582)</f>
      </c>
      <c r="HU582">
        <f>IF(ISBLANK('Data Entry'!$ĥ$582), "", 'Data Entry'!$ĥ$582)</f>
      </c>
      <c r="HV582">
        <f>IF(ISBLANK('Data Entry'!$Ħ$582), "", 'Data Entry'!$Ħ$582)</f>
      </c>
      <c r="HW582">
        <f>IF(ISBLANK('Data Entry'!$ħ$582), "", 'Data Entry'!$ħ$582)</f>
      </c>
      <c r="HX582">
        <f>IF(ISBLANK('Data Entry'!$Ĩ$582), "", 'Data Entry'!$Ĩ$582)</f>
      </c>
      <c r="HY582">
        <f>IF(ISBLANK('Data Entry'!$ĩ$582), "", 'Data Entry'!$ĩ$582)</f>
      </c>
      <c r="HZ582">
        <f>IF(ISBLANK('Data Entry'!$Ī$582), "", 'Data Entry'!$Ī$582)</f>
      </c>
      <c r="IA582">
        <f>IF(ISBLANK('Data Entry'!$ī$582), "", 'Data Entry'!$ī$582)</f>
      </c>
      <c r="IB582">
        <f>IF(ISBLANK('Data Entry'!$Ĭ$582), "", 'Data Entry'!$Ĭ$582)</f>
      </c>
      <c r="IC582">
        <f>IF(ISBLANK('Data Entry'!$ĭ$582), "", 'Data Entry'!$ĭ$582)</f>
      </c>
      <c r="ID582">
        <f>IF(ISBLANK('Data Entry'!$Į$582), "", 'Data Entry'!$Į$582)</f>
      </c>
      <c r="IE582">
        <f>IF(ISBLANK('Data Entry'!$į$582), "", 'Data Entry'!$į$582)</f>
      </c>
      <c r="IF582">
        <f>IF(ISBLANK('Data Entry'!$İ$582), "", 'Data Entry'!$İ$582)</f>
      </c>
      <c r="IG582">
        <f>IF(ISBLANK('Data Entry'!$ı$582), "", 'Data Entry'!$ı$582)</f>
      </c>
      <c r="IH582">
        <f>IF(ISBLANK('Data Entry'!$Ĳ$582), "", 'Data Entry'!$Ĳ$582)</f>
      </c>
      <c r="II582">
        <f>IF(ISBLANK('Data Entry'!$ĳ$582), "", 'Data Entry'!$ĳ$582)</f>
      </c>
      <c r="IJ582">
        <f>IF(ISBLANK('Data Entry'!$Ĵ$582), "", 'Data Entry'!$Ĵ$582)</f>
      </c>
      <c r="IK582">
        <f>IF(ISBLANK('Data Entry'!$ĵ$582), "", 'Data Entry'!$ĵ$582)</f>
      </c>
      <c r="IL582">
        <f>IF(ISBLANK('Data Entry'!$Ķ$582), "", 'Data Entry'!$Ķ$582)</f>
      </c>
      <c r="IM582">
        <f>IF(ISBLANK('Data Entry'!$ķ$582), "", 'Data Entry'!$ķ$582)</f>
      </c>
      <c r="IN582">
        <f>IF(ISBLANK('Data Entry'!$ĸ$582), "", 'Data Entry'!$ĸ$582)</f>
      </c>
      <c r="IO582">
        <f>IF(ISBLANK('Data Entry'!$Ĺ$582), "", 'Data Entry'!$Ĺ$582)</f>
      </c>
      <c r="IP582">
        <f>IF(ISBLANK('Data Entry'!$ĺ$582), "", 'Data Entry'!$ĺ$582)</f>
      </c>
      <c r="IQ582">
        <f>IF(ISBLANK('Data Entry'!$Ļ$582), "", 'Data Entry'!$Ļ$582)</f>
      </c>
      <c r="IR582">
        <f>IF(ISBLANK('Data Entry'!$ļ$582), "", 'Data Entry'!$ļ$582)</f>
      </c>
      <c r="IS582">
        <f>IF(ISBLANK('Data Entry'!$Ľ$582), "", 'Data Entry'!$Ľ$582)</f>
      </c>
      <c r="IT582">
        <f>IF(ISBLANK('Data Entry'!$ľ$582), "", 'Data Entry'!$ľ$582)</f>
      </c>
    </row>
    <row r="583" spans="1:254" x14ac:dyDescent="0.25">
      <c r="A583">
        <f>IF(ISBLANK('Data Entry'!$A$583), "", 'Data Entry'!$A$583)</f>
      </c>
      <c r="B583">
        <f>IF(ISBLANK('Data Entry'!$B$583), "", 'Data Entry'!$B$583)</f>
      </c>
      <c r="C583">
        <f>IF(ISBLANK('Data Entry'!$C$583), "", 'Data Entry'!$C$583)</f>
      </c>
      <c r="D583">
        <f>IF(ISBLANK('Data Entry'!$D$583), "", 'Data Entry'!$D$583)</f>
      </c>
      <c r="E583">
        <f>IF(ISBLANK('Data Entry'!$E$583), "", 'Data Entry'!$E$583)</f>
      </c>
      <c r="F583">
        <f>IF(ISBLANK('Data Entry'!$F$583), "", 'Data Entry'!$F$583)</f>
      </c>
      <c r="G583">
        <f>IF(ISBLANK('Data Entry'!$G$583), "", 'Data Entry'!$G$583)</f>
      </c>
      <c r="H583">
        <f>IF(ISBLANK('Data Entry'!$H$583), "", 'Data Entry'!$H$583)</f>
      </c>
      <c r="I583">
        <f>IF(ISBLANK('Data Entry'!$I$583), "", 'Data Entry'!$I$583)</f>
      </c>
      <c r="J583">
        <f>IF(ISBLANK('Data Entry'!$J$583), "", 'Data Entry'!$J$583)</f>
      </c>
      <c r="K583">
        <f>IF(ISBLANK('Data Entry'!$K$583), "", 'Data Entry'!$K$583)</f>
      </c>
      <c r="L583">
        <f>IF(ISBLANK('Data Entry'!$L$583), "", 'Data Entry'!$L$583)</f>
      </c>
      <c r="M583">
        <f>IF(ISBLANK('Data Entry'!$M$583), "", 'Data Entry'!$M$583)</f>
      </c>
      <c r="N583">
        <f>IF(ISBLANK('Data Entry'!$N$583), "", 'Data Entry'!$N$583)</f>
      </c>
      <c r="O583">
        <f>IF(ISBLANK('Data Entry'!$O$583), "", 'Data Entry'!$O$583)</f>
      </c>
      <c r="P583">
        <f>IF(ISBLANK('Data Entry'!$P$583), "", 'Data Entry'!$P$583)</f>
      </c>
      <c r="Q583">
        <f>IF(ISBLANK('Data Entry'!$Q$583), "", 'Data Entry'!$Q$583)</f>
      </c>
      <c r="R583">
        <f>IF(ISBLANK('Data Entry'!$R$583), "", 'Data Entry'!$R$583)</f>
      </c>
      <c r="S583">
        <f>IF(ISBLANK('Data Entry'!$S$583), "", 'Data Entry'!$S$583)</f>
      </c>
      <c r="T583">
        <f>IF(ISBLANK('Data Entry'!$T$583), "", 'Data Entry'!$T$583)</f>
      </c>
      <c r="U583">
        <f>IF(ISBLANK('Data Entry'!$U$583), "", 'Data Entry'!$U$583)</f>
      </c>
      <c r="V583">
        <f>IF(ISBLANK('Data Entry'!$V$583), "", 'Data Entry'!$V$583)</f>
      </c>
      <c r="W583">
        <f>IF(ISBLANK('Data Entry'!$W$583), "", 'Data Entry'!$W$583)</f>
      </c>
      <c r="X583">
        <f>IF(ISBLANK('Data Entry'!$X$583), "", 'Data Entry'!$X$583)</f>
      </c>
      <c r="Y583">
        <f>IF(ISBLANK('Data Entry'!$Y$583), "", 'Data Entry'!$Y$583)</f>
      </c>
      <c r="Z583">
        <f>IF(ISBLANK('Data Entry'!$Z$583), "", 'Data Entry'!$Z$583)</f>
      </c>
      <c r="AA583">
        <f>IF(ISBLANK('Data Entry'!$[$583), "", 'Data Entry'!$[$583)</f>
      </c>
      <c r="AB583">
        <f>IF(ISBLANK('Data Entry'!$\$583), "", 'Data Entry'!$\$583)</f>
      </c>
      <c r="AC583">
        <f>IF(ISBLANK('Data Entry'!$]$583), "", 'Data Entry'!$]$583)</f>
      </c>
      <c r="AD583">
        <f>IF(ISBLANK('Data Entry'!$^$583), "", 'Data Entry'!$^$583)</f>
      </c>
      <c r="AE583">
        <f>IF(ISBLANK('Data Entry'!$_$583), "", 'Data Entry'!$_$583)</f>
      </c>
      <c r="AF583">
        <f>IF(ISBLANK('Data Entry'!$`$583), "", 'Data Entry'!$`$583)</f>
      </c>
      <c r="AG583">
        <f>IF(ISBLANK('Data Entry'!$a$583), "", 'Data Entry'!$a$583)</f>
      </c>
      <c r="AH583">
        <f>IF(ISBLANK('Data Entry'!$b$583), "", 'Data Entry'!$b$583)</f>
      </c>
      <c r="AI583">
        <f>IF(ISBLANK('Data Entry'!$c$583), "", 'Data Entry'!$c$583)</f>
      </c>
      <c r="AJ583">
        <f>IF(ISBLANK('Data Entry'!$d$583), "", 'Data Entry'!$d$583)</f>
      </c>
      <c r="AK583">
        <f>IF(ISBLANK('Data Entry'!$e$583), "", 'Data Entry'!$e$583)</f>
      </c>
      <c r="AL583">
        <f>IF(ISBLANK('Data Entry'!$f$583), "", 'Data Entry'!$f$583)</f>
      </c>
      <c r="AM583">
        <f>IF(ISBLANK('Data Entry'!$g$583), "", 'Data Entry'!$g$583)</f>
      </c>
      <c r="AN583">
        <f>IF(ISBLANK('Data Entry'!$h$583), "", 'Data Entry'!$h$583)</f>
      </c>
      <c r="AO583">
        <f>IF(ISBLANK('Data Entry'!$i$583), "", 'Data Entry'!$i$583)</f>
      </c>
      <c r="AP583">
        <f>IF(ISBLANK('Data Entry'!$j$583), "", 'Data Entry'!$j$583)</f>
      </c>
      <c r="AQ583">
        <f>IF(ISBLANK('Data Entry'!$k$583), "", 'Data Entry'!$k$583)</f>
      </c>
      <c r="AR583">
        <f>IF(ISBLANK('Data Entry'!$l$583), "", 'Data Entry'!$l$583)</f>
      </c>
      <c r="AS583">
        <f>IF(ISBLANK('Data Entry'!$m$583), "", 'Data Entry'!$m$583)</f>
      </c>
      <c r="AT583">
        <f>IF(ISBLANK('Data Entry'!$n$583), "", 'Data Entry'!$n$583)</f>
      </c>
      <c r="AU583">
        <f>IF(ISBLANK('Data Entry'!$o$583), "", 'Data Entry'!$o$583)</f>
      </c>
      <c r="AV583">
        <f>IF(ISBLANK('Data Entry'!$p$583), "", 'Data Entry'!$p$583)</f>
      </c>
      <c r="AW583">
        <f>IF(ISBLANK('Data Entry'!$q$583), "", 'Data Entry'!$q$583)</f>
      </c>
      <c r="AX583">
        <f>IF(ISBLANK('Data Entry'!$r$583), "", 'Data Entry'!$r$583)</f>
      </c>
      <c r="AY583">
        <f>IF(ISBLANK('Data Entry'!$s$583), "", 'Data Entry'!$s$583)</f>
      </c>
      <c r="AZ583">
        <f>IF(ISBLANK('Data Entry'!$t$583), "", 'Data Entry'!$t$583)</f>
      </c>
      <c r="BA583">
        <f>IF(ISBLANK('Data Entry'!$u$583), "", 'Data Entry'!$u$583)</f>
      </c>
      <c r="BB583">
        <f>IF(ISBLANK('Data Entry'!$v$583), "", 'Data Entry'!$v$583)</f>
      </c>
      <c r="BC583">
        <f>IF(ISBLANK('Data Entry'!$w$583), "", 'Data Entry'!$w$583)</f>
      </c>
      <c r="BD583">
        <f>IF(ISBLANK('Data Entry'!$x$583), "", 'Data Entry'!$x$583)</f>
      </c>
      <c r="BE583">
        <f>IF(ISBLANK('Data Entry'!$y$583), "", 'Data Entry'!$y$583)</f>
      </c>
      <c r="BF583">
        <f>IF(ISBLANK('Data Entry'!$z$583), "", 'Data Entry'!$z$583)</f>
      </c>
      <c r="BG583">
        <f>IF(ISBLANK('Data Entry'!${$583), "", 'Data Entry'!${$583)</f>
      </c>
      <c r="BH583">
        <f>IF(ISBLANK('Data Entry'!$|$583), "", 'Data Entry'!$|$583)</f>
      </c>
      <c r="BI583">
        <f>IF(ISBLANK('Data Entry'!$}$583), "", 'Data Entry'!$}$583)</f>
      </c>
      <c r="BJ583">
        <f>IF(ISBLANK('Data Entry'!$~$583), "", 'Data Entry'!$~$583)</f>
      </c>
      <c r="BK583">
        <f>IF(ISBLANK('Data Entry'!$$583), "", 'Data Entry'!$$583)</f>
      </c>
      <c r="BL583">
        <f>IF(ISBLANK('Data Entry'!$$583), "", 'Data Entry'!$$583)</f>
      </c>
      <c r="BM583">
        <f>IF(ISBLANK('Data Entry'!$$583), "", 'Data Entry'!$$583)</f>
      </c>
      <c r="BN583">
        <f>IF(ISBLANK('Data Entry'!$$583), "", 'Data Entry'!$$583)</f>
      </c>
      <c r="BO583">
        <f>IF(ISBLANK('Data Entry'!$$583), "", 'Data Entry'!$$583)</f>
      </c>
      <c r="BP583">
        <f>IF(ISBLANK('Data Entry'!$$583), "", 'Data Entry'!$$583)</f>
      </c>
      <c r="BQ583">
        <f>IF(ISBLANK('Data Entry'!$$583), "", 'Data Entry'!$$583)</f>
      </c>
      <c r="BR583">
        <f>IF(ISBLANK('Data Entry'!$$583), "", 'Data Entry'!$$583)</f>
      </c>
      <c r="BS583">
        <f>IF(ISBLANK('Data Entry'!$$583), "", 'Data Entry'!$$583)</f>
      </c>
      <c r="BT583">
        <f>IF(ISBLANK('Data Entry'!$$583), "", 'Data Entry'!$$583)</f>
      </c>
      <c r="BU583">
        <f>IF(ISBLANK('Data Entry'!$$583), "", 'Data Entry'!$$583)</f>
      </c>
      <c r="BV583">
        <f>IF(ISBLANK('Data Entry'!$$583), "", 'Data Entry'!$$583)</f>
      </c>
      <c r="BW583">
        <f>IF(ISBLANK('Data Entry'!$$583), "", 'Data Entry'!$$583)</f>
      </c>
      <c r="BX583">
        <f>IF(ISBLANK('Data Entry'!$$583), "", 'Data Entry'!$$583)</f>
      </c>
      <c r="BY583">
        <f>IF(ISBLANK('Data Entry'!$$583), "", 'Data Entry'!$$583)</f>
      </c>
      <c r="BZ583">
        <f>IF(ISBLANK('Data Entry'!$$583), "", 'Data Entry'!$$583)</f>
      </c>
      <c r="CA583">
        <f>IF(ISBLANK('Data Entry'!$$583), "", 'Data Entry'!$$583)</f>
      </c>
      <c r="CB583">
        <f>IF(ISBLANK('Data Entry'!$$583), "", 'Data Entry'!$$583)</f>
      </c>
      <c r="CC583">
        <f>IF(ISBLANK('Data Entry'!$$583), "", 'Data Entry'!$$583)</f>
      </c>
      <c r="CD583">
        <f>IF(ISBLANK('Data Entry'!$$583), "", 'Data Entry'!$$583)</f>
      </c>
      <c r="CE583">
        <f>IF(ISBLANK('Data Entry'!$$583), "", 'Data Entry'!$$583)</f>
      </c>
      <c r="CF583">
        <f>IF(ISBLANK('Data Entry'!$$583), "", 'Data Entry'!$$583)</f>
      </c>
      <c r="CG583">
        <f>IF(ISBLANK('Data Entry'!$$583), "", 'Data Entry'!$$583)</f>
      </c>
      <c r="CH583">
        <f>IF(ISBLANK('Data Entry'!$$583), "", 'Data Entry'!$$583)</f>
      </c>
      <c r="CI583">
        <f>IF(ISBLANK('Data Entry'!$$583), "", 'Data Entry'!$$583)</f>
      </c>
      <c r="CJ583">
        <f>IF(ISBLANK('Data Entry'!$$583), "", 'Data Entry'!$$583)</f>
      </c>
      <c r="CK583">
        <f>IF(ISBLANK('Data Entry'!$$583), "", 'Data Entry'!$$583)</f>
      </c>
      <c r="CL583">
        <f>IF(ISBLANK('Data Entry'!$$583), "", 'Data Entry'!$$583)</f>
      </c>
      <c r="CM583">
        <f>IF(ISBLANK('Data Entry'!$$583), "", 'Data Entry'!$$583)</f>
      </c>
      <c r="CN583">
        <f>IF(ISBLANK('Data Entry'!$$583), "", 'Data Entry'!$$583)</f>
      </c>
      <c r="CO583">
        <f>IF(ISBLANK('Data Entry'!$$583), "", 'Data Entry'!$$583)</f>
      </c>
      <c r="CP583">
        <f>IF(ISBLANK('Data Entry'!$$583), "", 'Data Entry'!$$583)</f>
      </c>
      <c r="CQ583">
        <f>IF(ISBLANK('Data Entry'!$$583), "", 'Data Entry'!$$583)</f>
      </c>
      <c r="CR583">
        <f>IF(ISBLANK('Data Entry'!$ $583), "", 'Data Entry'!$ $583)</f>
      </c>
      <c r="CS583">
        <f>IF(ISBLANK('Data Entry'!$¡$583), "", 'Data Entry'!$¡$583)</f>
      </c>
      <c r="CT583">
        <f>IF(ISBLANK('Data Entry'!$¢$583), "", 'Data Entry'!$¢$583)</f>
      </c>
      <c r="CU583">
        <f>IF(ISBLANK('Data Entry'!$£$583), "", 'Data Entry'!$£$583)</f>
      </c>
      <c r="CV583">
        <f>IF(ISBLANK('Data Entry'!$¤$583), "", 'Data Entry'!$¤$583)</f>
      </c>
      <c r="CW583">
        <f>IF(ISBLANK('Data Entry'!$¥$583), "", 'Data Entry'!$¥$583)</f>
      </c>
      <c r="CX583">
        <f>IF(ISBLANK('Data Entry'!$¦$583), "", 'Data Entry'!$¦$583)</f>
      </c>
      <c r="CY583">
        <f>IF(ISBLANK('Data Entry'!$§$583), "", 'Data Entry'!$§$583)</f>
      </c>
      <c r="CZ583">
        <f>IF(ISBLANK('Data Entry'!$¨$583), "", 'Data Entry'!$¨$583)</f>
      </c>
      <c r="DA583">
        <f>IF(ISBLANK('Data Entry'!$©$583), "", 'Data Entry'!$©$583)</f>
      </c>
      <c r="DB583">
        <f>IF(ISBLANK('Data Entry'!$ª$583), "", 'Data Entry'!$ª$583)</f>
      </c>
      <c r="DC583">
        <f>IF(ISBLANK('Data Entry'!$«$583), "", 'Data Entry'!$«$583)</f>
      </c>
      <c r="DD583">
        <f>IF(ISBLANK('Data Entry'!$¬$583), "", 'Data Entry'!$¬$583)</f>
      </c>
      <c r="DE583">
        <f>IF(ISBLANK('Data Entry'!$­$583), "", 'Data Entry'!$­$583)</f>
      </c>
      <c r="DF583">
        <f>IF(ISBLANK('Data Entry'!$®$583), "", 'Data Entry'!$®$583)</f>
      </c>
      <c r="DG583">
        <f>IF(ISBLANK('Data Entry'!$¯$583), "", 'Data Entry'!$¯$583)</f>
      </c>
      <c r="DH583">
        <f>IF(ISBLANK('Data Entry'!$°$583), "", 'Data Entry'!$°$583)</f>
      </c>
      <c r="DI583">
        <f>IF(ISBLANK('Data Entry'!$±$583), "", 'Data Entry'!$±$583)</f>
      </c>
      <c r="DJ583">
        <f>IF(ISBLANK('Data Entry'!$²$583), "", 'Data Entry'!$²$583)</f>
      </c>
      <c r="DK583">
        <f>IF(ISBLANK('Data Entry'!$³$583), "", 'Data Entry'!$³$583)</f>
      </c>
      <c r="DL583">
        <f>IF(ISBLANK('Data Entry'!$´$583), "", 'Data Entry'!$´$583)</f>
      </c>
      <c r="DM583">
        <f>IF(ISBLANK('Data Entry'!$µ$583), "", 'Data Entry'!$µ$583)</f>
      </c>
      <c r="DN583">
        <f>IF(ISBLANK('Data Entry'!$¶$583), "", 'Data Entry'!$¶$583)</f>
      </c>
      <c r="DO583">
        <f>IF(ISBLANK('Data Entry'!$·$583), "", 'Data Entry'!$·$583)</f>
      </c>
      <c r="DP583">
        <f>IF(ISBLANK('Data Entry'!$¸$583), "", 'Data Entry'!$¸$583)</f>
      </c>
      <c r="DQ583">
        <f>IF(ISBLANK('Data Entry'!$¹$583), "", 'Data Entry'!$¹$583)</f>
      </c>
      <c r="DR583">
        <f>IF(ISBLANK('Data Entry'!$º$583), "", 'Data Entry'!$º$583)</f>
      </c>
      <c r="DS583">
        <f>IF(ISBLANK('Data Entry'!$»$583), "", 'Data Entry'!$»$583)</f>
      </c>
      <c r="DT583">
        <f>IF(ISBLANK('Data Entry'!$¼$583), "", 'Data Entry'!$¼$583)</f>
      </c>
      <c r="DU583">
        <f>IF(ISBLANK('Data Entry'!$½$583), "", 'Data Entry'!$½$583)</f>
      </c>
      <c r="DV583">
        <f>IF(ISBLANK('Data Entry'!$¾$583), "", 'Data Entry'!$¾$583)</f>
      </c>
      <c r="DW583">
        <f>IF(ISBLANK('Data Entry'!$¿$583), "", 'Data Entry'!$¿$583)</f>
      </c>
      <c r="DX583">
        <f>IF(ISBLANK('Data Entry'!$À$583), "", 'Data Entry'!$À$583)</f>
      </c>
      <c r="DY583">
        <f>IF(ISBLANK('Data Entry'!$Á$583), "", 'Data Entry'!$Á$583)</f>
      </c>
      <c r="DZ583">
        <f>IF(ISBLANK('Data Entry'!$Â$583), "", 'Data Entry'!$Â$583)</f>
      </c>
      <c r="EA583">
        <f>IF(ISBLANK('Data Entry'!$Ã$583), "", 'Data Entry'!$Ã$583)</f>
      </c>
      <c r="EB583">
        <f>IF(ISBLANK('Data Entry'!$Ä$583), "", 'Data Entry'!$Ä$583)</f>
      </c>
      <c r="EC583">
        <f>IF(ISBLANK('Data Entry'!$Å$583), "", 'Data Entry'!$Å$583)</f>
      </c>
      <c r="ED583">
        <f>IF(ISBLANK('Data Entry'!$Æ$583), "", 'Data Entry'!$Æ$583)</f>
      </c>
      <c r="EE583">
        <f>IF(ISBLANK('Data Entry'!$Ç$583), "", 'Data Entry'!$Ç$583)</f>
      </c>
      <c r="EF583">
        <f>IF(ISBLANK('Data Entry'!$È$583), "", 'Data Entry'!$È$583)</f>
      </c>
      <c r="EG583">
        <f>IF(ISBLANK('Data Entry'!$É$583), "", 'Data Entry'!$É$583)</f>
      </c>
      <c r="EH583">
        <f>IF(ISBLANK('Data Entry'!$Ê$583), "", 'Data Entry'!$Ê$583)</f>
      </c>
      <c r="EI583">
        <f>IF(ISBLANK('Data Entry'!$Ë$583), "", 'Data Entry'!$Ë$583)</f>
      </c>
      <c r="EJ583">
        <f>IF(ISBLANK('Data Entry'!$Ì$583), "", 'Data Entry'!$Ì$583)</f>
      </c>
      <c r="EK583">
        <f>IF(ISBLANK('Data Entry'!$Í$583), "", 'Data Entry'!$Í$583)</f>
      </c>
      <c r="EL583">
        <f>IF(ISBLANK('Data Entry'!$Î$583), "", 'Data Entry'!$Î$583)</f>
      </c>
      <c r="EM583">
        <f>IF(ISBLANK('Data Entry'!$Ï$583), "", 'Data Entry'!$Ï$583)</f>
      </c>
      <c r="EN583">
        <f>IF(ISBLANK('Data Entry'!$Ð$583), "", 'Data Entry'!$Ð$583)</f>
      </c>
      <c r="EO583">
        <f>IF(ISBLANK('Data Entry'!$Ñ$583), "", 'Data Entry'!$Ñ$583)</f>
      </c>
      <c r="EP583">
        <f>IF(ISBLANK('Data Entry'!$Ò$583), "", 'Data Entry'!$Ò$583)</f>
      </c>
      <c r="EQ583">
        <f>IF(ISBLANK('Data Entry'!$Ó$583), "", 'Data Entry'!$Ó$583)</f>
      </c>
      <c r="ER583">
        <f>IF(ISBLANK('Data Entry'!$Ô$583), "", 'Data Entry'!$Ô$583)</f>
      </c>
      <c r="ES583">
        <f>IF(ISBLANK('Data Entry'!$Õ$583), "", 'Data Entry'!$Õ$583)</f>
      </c>
      <c r="ET583">
        <f>IF(ISBLANK('Data Entry'!$Ö$583), "", 'Data Entry'!$Ö$583)</f>
      </c>
      <c r="EU583">
        <f>IF(ISBLANK('Data Entry'!$×$583), "", 'Data Entry'!$×$583)</f>
      </c>
      <c r="EV583">
        <f>IF(ISBLANK('Data Entry'!$Ø$583), "", 'Data Entry'!$Ø$583)</f>
      </c>
      <c r="EW583">
        <f>IF(ISBLANK('Data Entry'!$Ù$583), "", 'Data Entry'!$Ù$583)</f>
      </c>
      <c r="EX583">
        <f>IF(ISBLANK('Data Entry'!$Ú$583), "", 'Data Entry'!$Ú$583)</f>
      </c>
      <c r="EY583">
        <f>IF(ISBLANK('Data Entry'!$Û$583), "", 'Data Entry'!$Û$583)</f>
      </c>
      <c r="EZ583">
        <f>IF(ISBLANK('Data Entry'!$Ü$583), "", 'Data Entry'!$Ü$583)</f>
      </c>
      <c r="FA583">
        <f>IF(ISBLANK('Data Entry'!$Ý$583), "", 'Data Entry'!$Ý$583)</f>
      </c>
      <c r="FB583">
        <f>IF(ISBLANK('Data Entry'!$Þ$583), "", 'Data Entry'!$Þ$583)</f>
      </c>
      <c r="FC583">
        <f>IF(ISBLANK('Data Entry'!$ß$583), "", 'Data Entry'!$ß$583)</f>
      </c>
      <c r="FD583">
        <f>IF(ISBLANK('Data Entry'!$à$583), "", 'Data Entry'!$à$583)</f>
      </c>
      <c r="FE583">
        <f>IF(ISBLANK('Data Entry'!$á$583), "", 'Data Entry'!$á$583)</f>
      </c>
      <c r="FF583">
        <f>IF(ISBLANK('Data Entry'!$â$583), "", 'Data Entry'!$â$583)</f>
      </c>
      <c r="FG583">
        <f>IF(ISBLANK('Data Entry'!$ã$583), "", 'Data Entry'!$ã$583)</f>
      </c>
      <c r="FH583">
        <f>IF(ISBLANK('Data Entry'!$ä$583), "", 'Data Entry'!$ä$583)</f>
      </c>
      <c r="FI583">
        <f>IF(ISBLANK('Data Entry'!$å$583), "", 'Data Entry'!$å$583)</f>
      </c>
      <c r="FJ583">
        <f>IF(ISBLANK('Data Entry'!$æ$583), "", 'Data Entry'!$æ$583)</f>
      </c>
      <c r="FK583">
        <f>IF(ISBLANK('Data Entry'!$ç$583), "", 'Data Entry'!$ç$583)</f>
      </c>
      <c r="FL583">
        <f>IF(ISBLANK('Data Entry'!$è$583), "", 'Data Entry'!$è$583)</f>
      </c>
      <c r="FM583">
        <f>IF(ISBLANK('Data Entry'!$é$583), "", 'Data Entry'!$é$583)</f>
      </c>
      <c r="FN583">
        <f>IF(ISBLANK('Data Entry'!$ê$583), "", 'Data Entry'!$ê$583)</f>
      </c>
      <c r="FO583">
        <f>IF(ISBLANK('Data Entry'!$ë$583), "", 'Data Entry'!$ë$583)</f>
      </c>
      <c r="FP583">
        <f>IF(ISBLANK('Data Entry'!$ì$583), "", 'Data Entry'!$ì$583)</f>
      </c>
      <c r="FQ583">
        <f>IF(ISBLANK('Data Entry'!$í$583), "", 'Data Entry'!$í$583)</f>
      </c>
      <c r="FR583">
        <f>IF(ISBLANK('Data Entry'!$î$583), "", 'Data Entry'!$î$583)</f>
      </c>
      <c r="FS583">
        <f>IF(ISBLANK('Data Entry'!$ï$583), "", 'Data Entry'!$ï$583)</f>
      </c>
      <c r="FT583">
        <f>IF(ISBLANK('Data Entry'!$ð$583), "", 'Data Entry'!$ð$583)</f>
      </c>
      <c r="FU583">
        <f>IF(ISBLANK('Data Entry'!$ñ$583), "", 'Data Entry'!$ñ$583)</f>
      </c>
      <c r="FV583">
        <f>IF(ISBLANK('Data Entry'!$ò$583), "", 'Data Entry'!$ò$583)</f>
      </c>
      <c r="FW583">
        <f>IF(ISBLANK('Data Entry'!$ó$583), "", 'Data Entry'!$ó$583)</f>
      </c>
      <c r="FX583">
        <f>IF(ISBLANK('Data Entry'!$ô$583), "", 'Data Entry'!$ô$583)</f>
      </c>
      <c r="FY583">
        <f>IF(ISBLANK('Data Entry'!$õ$583), "", 'Data Entry'!$õ$583)</f>
      </c>
      <c r="FZ583">
        <f>IF(ISBLANK('Data Entry'!$ö$583), "", 'Data Entry'!$ö$583)</f>
      </c>
      <c r="GA583">
        <f>IF(ISBLANK('Data Entry'!$÷$583), "", 'Data Entry'!$÷$583)</f>
      </c>
      <c r="GB583">
        <f>IF(ISBLANK('Data Entry'!$ø$583), "", 'Data Entry'!$ø$583)</f>
      </c>
      <c r="GC583">
        <f>IF(ISBLANK('Data Entry'!$ù$583), "", 'Data Entry'!$ù$583)</f>
      </c>
      <c r="GD583">
        <f>IF(ISBLANK('Data Entry'!$ú$583), "", 'Data Entry'!$ú$583)</f>
      </c>
      <c r="GE583">
        <f>IF(ISBLANK('Data Entry'!$û$583), "", 'Data Entry'!$û$583)</f>
      </c>
      <c r="GF583">
        <f>IF(ISBLANK('Data Entry'!$ü$583), "", 'Data Entry'!$ü$583)</f>
      </c>
      <c r="GG583">
        <f>IF(ISBLANK('Data Entry'!$ý$583), "", 'Data Entry'!$ý$583)</f>
      </c>
      <c r="GH583">
        <f>IF(ISBLANK('Data Entry'!$þ$583), "", 'Data Entry'!$þ$583)</f>
      </c>
      <c r="GI583">
        <f>IF(ISBLANK('Data Entry'!$ÿ$583), "", 'Data Entry'!$ÿ$583)</f>
      </c>
      <c r="GJ583">
        <f>IF(ISBLANK('Data Entry'!$Ā$583), "", 'Data Entry'!$Ā$583)</f>
      </c>
      <c r="GK583">
        <f>IF(ISBLANK('Data Entry'!$ā$583), "", 'Data Entry'!$ā$583)</f>
      </c>
      <c r="GL583">
        <f>IF(ISBLANK('Data Entry'!$Ă$583), "", 'Data Entry'!$Ă$583)</f>
      </c>
      <c r="GM583">
        <f>IF(ISBLANK('Data Entry'!$ă$583), "", 'Data Entry'!$ă$583)</f>
      </c>
      <c r="GN583">
        <f>IF(ISBLANK('Data Entry'!$Ą$583), "", 'Data Entry'!$Ą$583)</f>
      </c>
      <c r="GO583">
        <f>IF(ISBLANK('Data Entry'!$ą$583), "", 'Data Entry'!$ą$583)</f>
      </c>
      <c r="GP583">
        <f>IF(ISBLANK('Data Entry'!$Ć$583), "", 'Data Entry'!$Ć$583)</f>
      </c>
      <c r="GQ583">
        <f>IF(ISBLANK('Data Entry'!$ć$583), "", 'Data Entry'!$ć$583)</f>
      </c>
      <c r="GR583">
        <f>IF(ISBLANK('Data Entry'!$Ĉ$583), "", 'Data Entry'!$Ĉ$583)</f>
      </c>
      <c r="GS583">
        <f>IF(ISBLANK('Data Entry'!$ĉ$583), "", 'Data Entry'!$ĉ$583)</f>
      </c>
      <c r="GT583">
        <f>IF(ISBLANK('Data Entry'!$Ċ$583), "", 'Data Entry'!$Ċ$583)</f>
      </c>
      <c r="GU583">
        <f>IF(ISBLANK('Data Entry'!$ċ$583), "", 'Data Entry'!$ċ$583)</f>
      </c>
      <c r="GV583">
        <f>IF(ISBLANK('Data Entry'!$Č$583), "", 'Data Entry'!$Č$583)</f>
      </c>
      <c r="GW583">
        <f>IF(ISBLANK('Data Entry'!$č$583), "", 'Data Entry'!$č$583)</f>
      </c>
      <c r="GX583">
        <f>IF(ISBLANK('Data Entry'!$Ď$583), "", 'Data Entry'!$Ď$583)</f>
      </c>
      <c r="GY583">
        <f>IF(ISBLANK('Data Entry'!$ď$583), "", 'Data Entry'!$ď$583)</f>
      </c>
      <c r="GZ583">
        <f>IF(ISBLANK('Data Entry'!$Đ$583), "", 'Data Entry'!$Đ$583)</f>
      </c>
      <c r="HA583">
        <f>IF(ISBLANK('Data Entry'!$đ$583), "", 'Data Entry'!$đ$583)</f>
      </c>
      <c r="HB583">
        <f>IF(ISBLANK('Data Entry'!$Ē$583), "", 'Data Entry'!$Ē$583)</f>
      </c>
      <c r="HC583">
        <f>IF(ISBLANK('Data Entry'!$ē$583), "", 'Data Entry'!$ē$583)</f>
      </c>
      <c r="HD583">
        <f>IF(ISBLANK('Data Entry'!$Ĕ$583), "", 'Data Entry'!$Ĕ$583)</f>
      </c>
      <c r="HE583">
        <f>IF(ISBLANK('Data Entry'!$ĕ$583), "", 'Data Entry'!$ĕ$583)</f>
      </c>
      <c r="HF583">
        <f>IF(ISBLANK('Data Entry'!$Ė$583), "", 'Data Entry'!$Ė$583)</f>
      </c>
      <c r="HG583">
        <f>IF(ISBLANK('Data Entry'!$ė$583), "", 'Data Entry'!$ė$583)</f>
      </c>
      <c r="HH583">
        <f>IF(ISBLANK('Data Entry'!$Ę$583), "", 'Data Entry'!$Ę$583)</f>
      </c>
      <c r="HI583">
        <f>IF(ISBLANK('Data Entry'!$ę$583), "", 'Data Entry'!$ę$583)</f>
      </c>
      <c r="HJ583">
        <f>IF(ISBLANK('Data Entry'!$Ě$583), "", 'Data Entry'!$Ě$583)</f>
      </c>
      <c r="HK583">
        <f>IF(ISBLANK('Data Entry'!$ě$583), "", 'Data Entry'!$ě$583)</f>
      </c>
      <c r="HL583">
        <f>IF(ISBLANK('Data Entry'!$Ĝ$583), "", 'Data Entry'!$Ĝ$583)</f>
      </c>
      <c r="HM583">
        <f>IF(ISBLANK('Data Entry'!$ĝ$583), "", 'Data Entry'!$ĝ$583)</f>
      </c>
      <c r="HN583">
        <f>IF(ISBLANK('Data Entry'!$Ğ$583), "", 'Data Entry'!$Ğ$583)</f>
      </c>
      <c r="HO583">
        <f>IF(ISBLANK('Data Entry'!$ğ$583), "", 'Data Entry'!$ğ$583)</f>
      </c>
      <c r="HP583">
        <f>IF(ISBLANK('Data Entry'!$Ġ$583), "", 'Data Entry'!$Ġ$583)</f>
      </c>
      <c r="HQ583">
        <f>IF(ISBLANK('Data Entry'!$ġ$583), "", 'Data Entry'!$ġ$583)</f>
      </c>
      <c r="HR583">
        <f>IF(ISBLANK('Data Entry'!$Ģ$583), "", 'Data Entry'!$Ģ$583)</f>
      </c>
      <c r="HS583">
        <f>IF(ISBLANK('Data Entry'!$ģ$583), "", 'Data Entry'!$ģ$583)</f>
      </c>
      <c r="HT583">
        <f>IF(ISBLANK('Data Entry'!$Ĥ$583), "", 'Data Entry'!$Ĥ$583)</f>
      </c>
      <c r="HU583">
        <f>IF(ISBLANK('Data Entry'!$ĥ$583), "", 'Data Entry'!$ĥ$583)</f>
      </c>
      <c r="HV583">
        <f>IF(ISBLANK('Data Entry'!$Ħ$583), "", 'Data Entry'!$Ħ$583)</f>
      </c>
      <c r="HW583">
        <f>IF(ISBLANK('Data Entry'!$ħ$583), "", 'Data Entry'!$ħ$583)</f>
      </c>
      <c r="HX583">
        <f>IF(ISBLANK('Data Entry'!$Ĩ$583), "", 'Data Entry'!$Ĩ$583)</f>
      </c>
      <c r="HY583">
        <f>IF(ISBLANK('Data Entry'!$ĩ$583), "", 'Data Entry'!$ĩ$583)</f>
      </c>
      <c r="HZ583">
        <f>IF(ISBLANK('Data Entry'!$Ī$583), "", 'Data Entry'!$Ī$583)</f>
      </c>
      <c r="IA583">
        <f>IF(ISBLANK('Data Entry'!$ī$583), "", 'Data Entry'!$ī$583)</f>
      </c>
      <c r="IB583">
        <f>IF(ISBLANK('Data Entry'!$Ĭ$583), "", 'Data Entry'!$Ĭ$583)</f>
      </c>
      <c r="IC583">
        <f>IF(ISBLANK('Data Entry'!$ĭ$583), "", 'Data Entry'!$ĭ$583)</f>
      </c>
      <c r="ID583">
        <f>IF(ISBLANK('Data Entry'!$Į$583), "", 'Data Entry'!$Į$583)</f>
      </c>
      <c r="IE583">
        <f>IF(ISBLANK('Data Entry'!$į$583), "", 'Data Entry'!$į$583)</f>
      </c>
      <c r="IF583">
        <f>IF(ISBLANK('Data Entry'!$İ$583), "", 'Data Entry'!$İ$583)</f>
      </c>
      <c r="IG583">
        <f>IF(ISBLANK('Data Entry'!$ı$583), "", 'Data Entry'!$ı$583)</f>
      </c>
      <c r="IH583">
        <f>IF(ISBLANK('Data Entry'!$Ĳ$583), "", 'Data Entry'!$Ĳ$583)</f>
      </c>
      <c r="II583">
        <f>IF(ISBLANK('Data Entry'!$ĳ$583), "", 'Data Entry'!$ĳ$583)</f>
      </c>
      <c r="IJ583">
        <f>IF(ISBLANK('Data Entry'!$Ĵ$583), "", 'Data Entry'!$Ĵ$583)</f>
      </c>
      <c r="IK583">
        <f>IF(ISBLANK('Data Entry'!$ĵ$583), "", 'Data Entry'!$ĵ$583)</f>
      </c>
      <c r="IL583">
        <f>IF(ISBLANK('Data Entry'!$Ķ$583), "", 'Data Entry'!$Ķ$583)</f>
      </c>
      <c r="IM583">
        <f>IF(ISBLANK('Data Entry'!$ķ$583), "", 'Data Entry'!$ķ$583)</f>
      </c>
      <c r="IN583">
        <f>IF(ISBLANK('Data Entry'!$ĸ$583), "", 'Data Entry'!$ĸ$583)</f>
      </c>
      <c r="IO583">
        <f>IF(ISBLANK('Data Entry'!$Ĺ$583), "", 'Data Entry'!$Ĺ$583)</f>
      </c>
      <c r="IP583">
        <f>IF(ISBLANK('Data Entry'!$ĺ$583), "", 'Data Entry'!$ĺ$583)</f>
      </c>
      <c r="IQ583">
        <f>IF(ISBLANK('Data Entry'!$Ļ$583), "", 'Data Entry'!$Ļ$583)</f>
      </c>
      <c r="IR583">
        <f>IF(ISBLANK('Data Entry'!$ļ$583), "", 'Data Entry'!$ļ$583)</f>
      </c>
      <c r="IS583">
        <f>IF(ISBLANK('Data Entry'!$Ľ$583), "", 'Data Entry'!$Ľ$583)</f>
      </c>
      <c r="IT583">
        <f>IF(ISBLANK('Data Entry'!$ľ$583), "", 'Data Entry'!$ľ$583)</f>
      </c>
    </row>
    <row r="584" spans="1:254" x14ac:dyDescent="0.25">
      <c r="A584">
        <f>IF(ISBLANK('Data Entry'!$A$584), "", 'Data Entry'!$A$584)</f>
      </c>
      <c r="B584">
        <f>IF(ISBLANK('Data Entry'!$B$584), "", 'Data Entry'!$B$584)</f>
      </c>
      <c r="C584">
        <f>IF(ISBLANK('Data Entry'!$C$584), "", 'Data Entry'!$C$584)</f>
      </c>
      <c r="D584">
        <f>IF(ISBLANK('Data Entry'!$D$584), "", 'Data Entry'!$D$584)</f>
      </c>
      <c r="E584">
        <f>IF(ISBLANK('Data Entry'!$E$584), "", 'Data Entry'!$E$584)</f>
      </c>
      <c r="F584">
        <f>IF(ISBLANK('Data Entry'!$F$584), "", 'Data Entry'!$F$584)</f>
      </c>
      <c r="G584">
        <f>IF(ISBLANK('Data Entry'!$G$584), "", 'Data Entry'!$G$584)</f>
      </c>
      <c r="H584">
        <f>IF(ISBLANK('Data Entry'!$H$584), "", 'Data Entry'!$H$584)</f>
      </c>
      <c r="I584">
        <f>IF(ISBLANK('Data Entry'!$I$584), "", 'Data Entry'!$I$584)</f>
      </c>
      <c r="J584">
        <f>IF(ISBLANK('Data Entry'!$J$584), "", 'Data Entry'!$J$584)</f>
      </c>
      <c r="K584">
        <f>IF(ISBLANK('Data Entry'!$K$584), "", 'Data Entry'!$K$584)</f>
      </c>
      <c r="L584">
        <f>IF(ISBLANK('Data Entry'!$L$584), "", 'Data Entry'!$L$584)</f>
      </c>
      <c r="M584">
        <f>IF(ISBLANK('Data Entry'!$M$584), "", 'Data Entry'!$M$584)</f>
      </c>
      <c r="N584">
        <f>IF(ISBLANK('Data Entry'!$N$584), "", 'Data Entry'!$N$584)</f>
      </c>
      <c r="O584">
        <f>IF(ISBLANK('Data Entry'!$O$584), "", 'Data Entry'!$O$584)</f>
      </c>
      <c r="P584">
        <f>IF(ISBLANK('Data Entry'!$P$584), "", 'Data Entry'!$P$584)</f>
      </c>
      <c r="Q584">
        <f>IF(ISBLANK('Data Entry'!$Q$584), "", 'Data Entry'!$Q$584)</f>
      </c>
      <c r="R584">
        <f>IF(ISBLANK('Data Entry'!$R$584), "", 'Data Entry'!$R$584)</f>
      </c>
      <c r="S584">
        <f>IF(ISBLANK('Data Entry'!$S$584), "", 'Data Entry'!$S$584)</f>
      </c>
      <c r="T584">
        <f>IF(ISBLANK('Data Entry'!$T$584), "", 'Data Entry'!$T$584)</f>
      </c>
      <c r="U584">
        <f>IF(ISBLANK('Data Entry'!$U$584), "", 'Data Entry'!$U$584)</f>
      </c>
      <c r="V584">
        <f>IF(ISBLANK('Data Entry'!$V$584), "", 'Data Entry'!$V$584)</f>
      </c>
      <c r="W584">
        <f>IF(ISBLANK('Data Entry'!$W$584), "", 'Data Entry'!$W$584)</f>
      </c>
      <c r="X584">
        <f>IF(ISBLANK('Data Entry'!$X$584), "", 'Data Entry'!$X$584)</f>
      </c>
      <c r="Y584">
        <f>IF(ISBLANK('Data Entry'!$Y$584), "", 'Data Entry'!$Y$584)</f>
      </c>
      <c r="Z584">
        <f>IF(ISBLANK('Data Entry'!$Z$584), "", 'Data Entry'!$Z$584)</f>
      </c>
      <c r="AA584">
        <f>IF(ISBLANK('Data Entry'!$[$584), "", 'Data Entry'!$[$584)</f>
      </c>
      <c r="AB584">
        <f>IF(ISBLANK('Data Entry'!$\$584), "", 'Data Entry'!$\$584)</f>
      </c>
      <c r="AC584">
        <f>IF(ISBLANK('Data Entry'!$]$584), "", 'Data Entry'!$]$584)</f>
      </c>
      <c r="AD584">
        <f>IF(ISBLANK('Data Entry'!$^$584), "", 'Data Entry'!$^$584)</f>
      </c>
      <c r="AE584">
        <f>IF(ISBLANK('Data Entry'!$_$584), "", 'Data Entry'!$_$584)</f>
      </c>
      <c r="AF584">
        <f>IF(ISBLANK('Data Entry'!$`$584), "", 'Data Entry'!$`$584)</f>
      </c>
      <c r="AG584">
        <f>IF(ISBLANK('Data Entry'!$a$584), "", 'Data Entry'!$a$584)</f>
      </c>
      <c r="AH584">
        <f>IF(ISBLANK('Data Entry'!$b$584), "", 'Data Entry'!$b$584)</f>
      </c>
      <c r="AI584">
        <f>IF(ISBLANK('Data Entry'!$c$584), "", 'Data Entry'!$c$584)</f>
      </c>
      <c r="AJ584">
        <f>IF(ISBLANK('Data Entry'!$d$584), "", 'Data Entry'!$d$584)</f>
      </c>
      <c r="AK584">
        <f>IF(ISBLANK('Data Entry'!$e$584), "", 'Data Entry'!$e$584)</f>
      </c>
      <c r="AL584">
        <f>IF(ISBLANK('Data Entry'!$f$584), "", 'Data Entry'!$f$584)</f>
      </c>
      <c r="AM584">
        <f>IF(ISBLANK('Data Entry'!$g$584), "", 'Data Entry'!$g$584)</f>
      </c>
      <c r="AN584">
        <f>IF(ISBLANK('Data Entry'!$h$584), "", 'Data Entry'!$h$584)</f>
      </c>
      <c r="AO584">
        <f>IF(ISBLANK('Data Entry'!$i$584), "", 'Data Entry'!$i$584)</f>
      </c>
      <c r="AP584">
        <f>IF(ISBLANK('Data Entry'!$j$584), "", 'Data Entry'!$j$584)</f>
      </c>
      <c r="AQ584">
        <f>IF(ISBLANK('Data Entry'!$k$584), "", 'Data Entry'!$k$584)</f>
      </c>
      <c r="AR584">
        <f>IF(ISBLANK('Data Entry'!$l$584), "", 'Data Entry'!$l$584)</f>
      </c>
      <c r="AS584">
        <f>IF(ISBLANK('Data Entry'!$m$584), "", 'Data Entry'!$m$584)</f>
      </c>
      <c r="AT584">
        <f>IF(ISBLANK('Data Entry'!$n$584), "", 'Data Entry'!$n$584)</f>
      </c>
      <c r="AU584">
        <f>IF(ISBLANK('Data Entry'!$o$584), "", 'Data Entry'!$o$584)</f>
      </c>
      <c r="AV584">
        <f>IF(ISBLANK('Data Entry'!$p$584), "", 'Data Entry'!$p$584)</f>
      </c>
      <c r="AW584">
        <f>IF(ISBLANK('Data Entry'!$q$584), "", 'Data Entry'!$q$584)</f>
      </c>
      <c r="AX584">
        <f>IF(ISBLANK('Data Entry'!$r$584), "", 'Data Entry'!$r$584)</f>
      </c>
      <c r="AY584">
        <f>IF(ISBLANK('Data Entry'!$s$584), "", 'Data Entry'!$s$584)</f>
      </c>
      <c r="AZ584">
        <f>IF(ISBLANK('Data Entry'!$t$584), "", 'Data Entry'!$t$584)</f>
      </c>
      <c r="BA584">
        <f>IF(ISBLANK('Data Entry'!$u$584), "", 'Data Entry'!$u$584)</f>
      </c>
      <c r="BB584">
        <f>IF(ISBLANK('Data Entry'!$v$584), "", 'Data Entry'!$v$584)</f>
      </c>
      <c r="BC584">
        <f>IF(ISBLANK('Data Entry'!$w$584), "", 'Data Entry'!$w$584)</f>
      </c>
      <c r="BD584">
        <f>IF(ISBLANK('Data Entry'!$x$584), "", 'Data Entry'!$x$584)</f>
      </c>
      <c r="BE584">
        <f>IF(ISBLANK('Data Entry'!$y$584), "", 'Data Entry'!$y$584)</f>
      </c>
      <c r="BF584">
        <f>IF(ISBLANK('Data Entry'!$z$584), "", 'Data Entry'!$z$584)</f>
      </c>
      <c r="BG584">
        <f>IF(ISBLANK('Data Entry'!${$584), "", 'Data Entry'!${$584)</f>
      </c>
      <c r="BH584">
        <f>IF(ISBLANK('Data Entry'!$|$584), "", 'Data Entry'!$|$584)</f>
      </c>
      <c r="BI584">
        <f>IF(ISBLANK('Data Entry'!$}$584), "", 'Data Entry'!$}$584)</f>
      </c>
      <c r="BJ584">
        <f>IF(ISBLANK('Data Entry'!$~$584), "", 'Data Entry'!$~$584)</f>
      </c>
      <c r="BK584">
        <f>IF(ISBLANK('Data Entry'!$$584), "", 'Data Entry'!$$584)</f>
      </c>
      <c r="BL584">
        <f>IF(ISBLANK('Data Entry'!$$584), "", 'Data Entry'!$$584)</f>
      </c>
      <c r="BM584">
        <f>IF(ISBLANK('Data Entry'!$$584), "", 'Data Entry'!$$584)</f>
      </c>
      <c r="BN584">
        <f>IF(ISBLANK('Data Entry'!$$584), "", 'Data Entry'!$$584)</f>
      </c>
      <c r="BO584">
        <f>IF(ISBLANK('Data Entry'!$$584), "", 'Data Entry'!$$584)</f>
      </c>
      <c r="BP584">
        <f>IF(ISBLANK('Data Entry'!$$584), "", 'Data Entry'!$$584)</f>
      </c>
      <c r="BQ584">
        <f>IF(ISBLANK('Data Entry'!$$584), "", 'Data Entry'!$$584)</f>
      </c>
      <c r="BR584">
        <f>IF(ISBLANK('Data Entry'!$$584), "", 'Data Entry'!$$584)</f>
      </c>
      <c r="BS584">
        <f>IF(ISBLANK('Data Entry'!$$584), "", 'Data Entry'!$$584)</f>
      </c>
      <c r="BT584">
        <f>IF(ISBLANK('Data Entry'!$$584), "", 'Data Entry'!$$584)</f>
      </c>
      <c r="BU584">
        <f>IF(ISBLANK('Data Entry'!$$584), "", 'Data Entry'!$$584)</f>
      </c>
      <c r="BV584">
        <f>IF(ISBLANK('Data Entry'!$$584), "", 'Data Entry'!$$584)</f>
      </c>
      <c r="BW584">
        <f>IF(ISBLANK('Data Entry'!$$584), "", 'Data Entry'!$$584)</f>
      </c>
      <c r="BX584">
        <f>IF(ISBLANK('Data Entry'!$$584), "", 'Data Entry'!$$584)</f>
      </c>
      <c r="BY584">
        <f>IF(ISBLANK('Data Entry'!$$584), "", 'Data Entry'!$$584)</f>
      </c>
      <c r="BZ584">
        <f>IF(ISBLANK('Data Entry'!$$584), "", 'Data Entry'!$$584)</f>
      </c>
      <c r="CA584">
        <f>IF(ISBLANK('Data Entry'!$$584), "", 'Data Entry'!$$584)</f>
      </c>
      <c r="CB584">
        <f>IF(ISBLANK('Data Entry'!$$584), "", 'Data Entry'!$$584)</f>
      </c>
      <c r="CC584">
        <f>IF(ISBLANK('Data Entry'!$$584), "", 'Data Entry'!$$584)</f>
      </c>
      <c r="CD584">
        <f>IF(ISBLANK('Data Entry'!$$584), "", 'Data Entry'!$$584)</f>
      </c>
      <c r="CE584">
        <f>IF(ISBLANK('Data Entry'!$$584), "", 'Data Entry'!$$584)</f>
      </c>
      <c r="CF584">
        <f>IF(ISBLANK('Data Entry'!$$584), "", 'Data Entry'!$$584)</f>
      </c>
      <c r="CG584">
        <f>IF(ISBLANK('Data Entry'!$$584), "", 'Data Entry'!$$584)</f>
      </c>
      <c r="CH584">
        <f>IF(ISBLANK('Data Entry'!$$584), "", 'Data Entry'!$$584)</f>
      </c>
      <c r="CI584">
        <f>IF(ISBLANK('Data Entry'!$$584), "", 'Data Entry'!$$584)</f>
      </c>
      <c r="CJ584">
        <f>IF(ISBLANK('Data Entry'!$$584), "", 'Data Entry'!$$584)</f>
      </c>
      <c r="CK584">
        <f>IF(ISBLANK('Data Entry'!$$584), "", 'Data Entry'!$$584)</f>
      </c>
      <c r="CL584">
        <f>IF(ISBLANK('Data Entry'!$$584), "", 'Data Entry'!$$584)</f>
      </c>
      <c r="CM584">
        <f>IF(ISBLANK('Data Entry'!$$584), "", 'Data Entry'!$$584)</f>
      </c>
      <c r="CN584">
        <f>IF(ISBLANK('Data Entry'!$$584), "", 'Data Entry'!$$584)</f>
      </c>
      <c r="CO584">
        <f>IF(ISBLANK('Data Entry'!$$584), "", 'Data Entry'!$$584)</f>
      </c>
      <c r="CP584">
        <f>IF(ISBLANK('Data Entry'!$$584), "", 'Data Entry'!$$584)</f>
      </c>
      <c r="CQ584">
        <f>IF(ISBLANK('Data Entry'!$$584), "", 'Data Entry'!$$584)</f>
      </c>
      <c r="CR584">
        <f>IF(ISBLANK('Data Entry'!$ $584), "", 'Data Entry'!$ $584)</f>
      </c>
      <c r="CS584">
        <f>IF(ISBLANK('Data Entry'!$¡$584), "", 'Data Entry'!$¡$584)</f>
      </c>
      <c r="CT584">
        <f>IF(ISBLANK('Data Entry'!$¢$584), "", 'Data Entry'!$¢$584)</f>
      </c>
      <c r="CU584">
        <f>IF(ISBLANK('Data Entry'!$£$584), "", 'Data Entry'!$£$584)</f>
      </c>
      <c r="CV584">
        <f>IF(ISBLANK('Data Entry'!$¤$584), "", 'Data Entry'!$¤$584)</f>
      </c>
      <c r="CW584">
        <f>IF(ISBLANK('Data Entry'!$¥$584), "", 'Data Entry'!$¥$584)</f>
      </c>
      <c r="CX584">
        <f>IF(ISBLANK('Data Entry'!$¦$584), "", 'Data Entry'!$¦$584)</f>
      </c>
      <c r="CY584">
        <f>IF(ISBLANK('Data Entry'!$§$584), "", 'Data Entry'!$§$584)</f>
      </c>
      <c r="CZ584">
        <f>IF(ISBLANK('Data Entry'!$¨$584), "", 'Data Entry'!$¨$584)</f>
      </c>
      <c r="DA584">
        <f>IF(ISBLANK('Data Entry'!$©$584), "", 'Data Entry'!$©$584)</f>
      </c>
      <c r="DB584">
        <f>IF(ISBLANK('Data Entry'!$ª$584), "", 'Data Entry'!$ª$584)</f>
      </c>
      <c r="DC584">
        <f>IF(ISBLANK('Data Entry'!$«$584), "", 'Data Entry'!$«$584)</f>
      </c>
      <c r="DD584">
        <f>IF(ISBLANK('Data Entry'!$¬$584), "", 'Data Entry'!$¬$584)</f>
      </c>
      <c r="DE584">
        <f>IF(ISBLANK('Data Entry'!$­$584), "", 'Data Entry'!$­$584)</f>
      </c>
      <c r="DF584">
        <f>IF(ISBLANK('Data Entry'!$®$584), "", 'Data Entry'!$®$584)</f>
      </c>
      <c r="DG584">
        <f>IF(ISBLANK('Data Entry'!$¯$584), "", 'Data Entry'!$¯$584)</f>
      </c>
      <c r="DH584">
        <f>IF(ISBLANK('Data Entry'!$°$584), "", 'Data Entry'!$°$584)</f>
      </c>
      <c r="DI584">
        <f>IF(ISBLANK('Data Entry'!$±$584), "", 'Data Entry'!$±$584)</f>
      </c>
      <c r="DJ584">
        <f>IF(ISBLANK('Data Entry'!$²$584), "", 'Data Entry'!$²$584)</f>
      </c>
      <c r="DK584">
        <f>IF(ISBLANK('Data Entry'!$³$584), "", 'Data Entry'!$³$584)</f>
      </c>
      <c r="DL584">
        <f>IF(ISBLANK('Data Entry'!$´$584), "", 'Data Entry'!$´$584)</f>
      </c>
      <c r="DM584">
        <f>IF(ISBLANK('Data Entry'!$µ$584), "", 'Data Entry'!$µ$584)</f>
      </c>
      <c r="DN584">
        <f>IF(ISBLANK('Data Entry'!$¶$584), "", 'Data Entry'!$¶$584)</f>
      </c>
      <c r="DO584">
        <f>IF(ISBLANK('Data Entry'!$·$584), "", 'Data Entry'!$·$584)</f>
      </c>
      <c r="DP584">
        <f>IF(ISBLANK('Data Entry'!$¸$584), "", 'Data Entry'!$¸$584)</f>
      </c>
      <c r="DQ584">
        <f>IF(ISBLANK('Data Entry'!$¹$584), "", 'Data Entry'!$¹$584)</f>
      </c>
      <c r="DR584">
        <f>IF(ISBLANK('Data Entry'!$º$584), "", 'Data Entry'!$º$584)</f>
      </c>
      <c r="DS584">
        <f>IF(ISBLANK('Data Entry'!$»$584), "", 'Data Entry'!$»$584)</f>
      </c>
      <c r="DT584">
        <f>IF(ISBLANK('Data Entry'!$¼$584), "", 'Data Entry'!$¼$584)</f>
      </c>
      <c r="DU584">
        <f>IF(ISBLANK('Data Entry'!$½$584), "", 'Data Entry'!$½$584)</f>
      </c>
      <c r="DV584">
        <f>IF(ISBLANK('Data Entry'!$¾$584), "", 'Data Entry'!$¾$584)</f>
      </c>
      <c r="DW584">
        <f>IF(ISBLANK('Data Entry'!$¿$584), "", 'Data Entry'!$¿$584)</f>
      </c>
      <c r="DX584">
        <f>IF(ISBLANK('Data Entry'!$À$584), "", 'Data Entry'!$À$584)</f>
      </c>
      <c r="DY584">
        <f>IF(ISBLANK('Data Entry'!$Á$584), "", 'Data Entry'!$Á$584)</f>
      </c>
      <c r="DZ584">
        <f>IF(ISBLANK('Data Entry'!$Â$584), "", 'Data Entry'!$Â$584)</f>
      </c>
      <c r="EA584">
        <f>IF(ISBLANK('Data Entry'!$Ã$584), "", 'Data Entry'!$Ã$584)</f>
      </c>
      <c r="EB584">
        <f>IF(ISBLANK('Data Entry'!$Ä$584), "", 'Data Entry'!$Ä$584)</f>
      </c>
      <c r="EC584">
        <f>IF(ISBLANK('Data Entry'!$Å$584), "", 'Data Entry'!$Å$584)</f>
      </c>
      <c r="ED584">
        <f>IF(ISBLANK('Data Entry'!$Æ$584), "", 'Data Entry'!$Æ$584)</f>
      </c>
      <c r="EE584">
        <f>IF(ISBLANK('Data Entry'!$Ç$584), "", 'Data Entry'!$Ç$584)</f>
      </c>
      <c r="EF584">
        <f>IF(ISBLANK('Data Entry'!$È$584), "", 'Data Entry'!$È$584)</f>
      </c>
      <c r="EG584">
        <f>IF(ISBLANK('Data Entry'!$É$584), "", 'Data Entry'!$É$584)</f>
      </c>
      <c r="EH584">
        <f>IF(ISBLANK('Data Entry'!$Ê$584), "", 'Data Entry'!$Ê$584)</f>
      </c>
      <c r="EI584">
        <f>IF(ISBLANK('Data Entry'!$Ë$584), "", 'Data Entry'!$Ë$584)</f>
      </c>
      <c r="EJ584">
        <f>IF(ISBLANK('Data Entry'!$Ì$584), "", 'Data Entry'!$Ì$584)</f>
      </c>
      <c r="EK584">
        <f>IF(ISBLANK('Data Entry'!$Í$584), "", 'Data Entry'!$Í$584)</f>
      </c>
      <c r="EL584">
        <f>IF(ISBLANK('Data Entry'!$Î$584), "", 'Data Entry'!$Î$584)</f>
      </c>
      <c r="EM584">
        <f>IF(ISBLANK('Data Entry'!$Ï$584), "", 'Data Entry'!$Ï$584)</f>
      </c>
      <c r="EN584">
        <f>IF(ISBLANK('Data Entry'!$Ð$584), "", 'Data Entry'!$Ð$584)</f>
      </c>
      <c r="EO584">
        <f>IF(ISBLANK('Data Entry'!$Ñ$584), "", 'Data Entry'!$Ñ$584)</f>
      </c>
      <c r="EP584">
        <f>IF(ISBLANK('Data Entry'!$Ò$584), "", 'Data Entry'!$Ò$584)</f>
      </c>
      <c r="EQ584">
        <f>IF(ISBLANK('Data Entry'!$Ó$584), "", 'Data Entry'!$Ó$584)</f>
      </c>
      <c r="ER584">
        <f>IF(ISBLANK('Data Entry'!$Ô$584), "", 'Data Entry'!$Ô$584)</f>
      </c>
      <c r="ES584">
        <f>IF(ISBLANK('Data Entry'!$Õ$584), "", 'Data Entry'!$Õ$584)</f>
      </c>
      <c r="ET584">
        <f>IF(ISBLANK('Data Entry'!$Ö$584), "", 'Data Entry'!$Ö$584)</f>
      </c>
      <c r="EU584">
        <f>IF(ISBLANK('Data Entry'!$×$584), "", 'Data Entry'!$×$584)</f>
      </c>
      <c r="EV584">
        <f>IF(ISBLANK('Data Entry'!$Ø$584), "", 'Data Entry'!$Ø$584)</f>
      </c>
      <c r="EW584">
        <f>IF(ISBLANK('Data Entry'!$Ù$584), "", 'Data Entry'!$Ù$584)</f>
      </c>
      <c r="EX584">
        <f>IF(ISBLANK('Data Entry'!$Ú$584), "", 'Data Entry'!$Ú$584)</f>
      </c>
      <c r="EY584">
        <f>IF(ISBLANK('Data Entry'!$Û$584), "", 'Data Entry'!$Û$584)</f>
      </c>
      <c r="EZ584">
        <f>IF(ISBLANK('Data Entry'!$Ü$584), "", 'Data Entry'!$Ü$584)</f>
      </c>
      <c r="FA584">
        <f>IF(ISBLANK('Data Entry'!$Ý$584), "", 'Data Entry'!$Ý$584)</f>
      </c>
      <c r="FB584">
        <f>IF(ISBLANK('Data Entry'!$Þ$584), "", 'Data Entry'!$Þ$584)</f>
      </c>
      <c r="FC584">
        <f>IF(ISBLANK('Data Entry'!$ß$584), "", 'Data Entry'!$ß$584)</f>
      </c>
      <c r="FD584">
        <f>IF(ISBLANK('Data Entry'!$à$584), "", 'Data Entry'!$à$584)</f>
      </c>
      <c r="FE584">
        <f>IF(ISBLANK('Data Entry'!$á$584), "", 'Data Entry'!$á$584)</f>
      </c>
      <c r="FF584">
        <f>IF(ISBLANK('Data Entry'!$â$584), "", 'Data Entry'!$â$584)</f>
      </c>
      <c r="FG584">
        <f>IF(ISBLANK('Data Entry'!$ã$584), "", 'Data Entry'!$ã$584)</f>
      </c>
      <c r="FH584">
        <f>IF(ISBLANK('Data Entry'!$ä$584), "", 'Data Entry'!$ä$584)</f>
      </c>
      <c r="FI584">
        <f>IF(ISBLANK('Data Entry'!$å$584), "", 'Data Entry'!$å$584)</f>
      </c>
      <c r="FJ584">
        <f>IF(ISBLANK('Data Entry'!$æ$584), "", 'Data Entry'!$æ$584)</f>
      </c>
      <c r="FK584">
        <f>IF(ISBLANK('Data Entry'!$ç$584), "", 'Data Entry'!$ç$584)</f>
      </c>
      <c r="FL584">
        <f>IF(ISBLANK('Data Entry'!$è$584), "", 'Data Entry'!$è$584)</f>
      </c>
      <c r="FM584">
        <f>IF(ISBLANK('Data Entry'!$é$584), "", 'Data Entry'!$é$584)</f>
      </c>
      <c r="FN584">
        <f>IF(ISBLANK('Data Entry'!$ê$584), "", 'Data Entry'!$ê$584)</f>
      </c>
      <c r="FO584">
        <f>IF(ISBLANK('Data Entry'!$ë$584), "", 'Data Entry'!$ë$584)</f>
      </c>
      <c r="FP584">
        <f>IF(ISBLANK('Data Entry'!$ì$584), "", 'Data Entry'!$ì$584)</f>
      </c>
      <c r="FQ584">
        <f>IF(ISBLANK('Data Entry'!$í$584), "", 'Data Entry'!$í$584)</f>
      </c>
      <c r="FR584">
        <f>IF(ISBLANK('Data Entry'!$î$584), "", 'Data Entry'!$î$584)</f>
      </c>
      <c r="FS584">
        <f>IF(ISBLANK('Data Entry'!$ï$584), "", 'Data Entry'!$ï$584)</f>
      </c>
      <c r="FT584">
        <f>IF(ISBLANK('Data Entry'!$ð$584), "", 'Data Entry'!$ð$584)</f>
      </c>
      <c r="FU584">
        <f>IF(ISBLANK('Data Entry'!$ñ$584), "", 'Data Entry'!$ñ$584)</f>
      </c>
      <c r="FV584">
        <f>IF(ISBLANK('Data Entry'!$ò$584), "", 'Data Entry'!$ò$584)</f>
      </c>
      <c r="FW584">
        <f>IF(ISBLANK('Data Entry'!$ó$584), "", 'Data Entry'!$ó$584)</f>
      </c>
      <c r="FX584">
        <f>IF(ISBLANK('Data Entry'!$ô$584), "", 'Data Entry'!$ô$584)</f>
      </c>
      <c r="FY584">
        <f>IF(ISBLANK('Data Entry'!$õ$584), "", 'Data Entry'!$õ$584)</f>
      </c>
      <c r="FZ584">
        <f>IF(ISBLANK('Data Entry'!$ö$584), "", 'Data Entry'!$ö$584)</f>
      </c>
      <c r="GA584">
        <f>IF(ISBLANK('Data Entry'!$÷$584), "", 'Data Entry'!$÷$584)</f>
      </c>
      <c r="GB584">
        <f>IF(ISBLANK('Data Entry'!$ø$584), "", 'Data Entry'!$ø$584)</f>
      </c>
      <c r="GC584">
        <f>IF(ISBLANK('Data Entry'!$ù$584), "", 'Data Entry'!$ù$584)</f>
      </c>
      <c r="GD584">
        <f>IF(ISBLANK('Data Entry'!$ú$584), "", 'Data Entry'!$ú$584)</f>
      </c>
      <c r="GE584">
        <f>IF(ISBLANK('Data Entry'!$û$584), "", 'Data Entry'!$û$584)</f>
      </c>
      <c r="GF584">
        <f>IF(ISBLANK('Data Entry'!$ü$584), "", 'Data Entry'!$ü$584)</f>
      </c>
      <c r="GG584">
        <f>IF(ISBLANK('Data Entry'!$ý$584), "", 'Data Entry'!$ý$584)</f>
      </c>
      <c r="GH584">
        <f>IF(ISBLANK('Data Entry'!$þ$584), "", 'Data Entry'!$þ$584)</f>
      </c>
      <c r="GI584">
        <f>IF(ISBLANK('Data Entry'!$ÿ$584), "", 'Data Entry'!$ÿ$584)</f>
      </c>
      <c r="GJ584">
        <f>IF(ISBLANK('Data Entry'!$Ā$584), "", 'Data Entry'!$Ā$584)</f>
      </c>
      <c r="GK584">
        <f>IF(ISBLANK('Data Entry'!$ā$584), "", 'Data Entry'!$ā$584)</f>
      </c>
      <c r="GL584">
        <f>IF(ISBLANK('Data Entry'!$Ă$584), "", 'Data Entry'!$Ă$584)</f>
      </c>
      <c r="GM584">
        <f>IF(ISBLANK('Data Entry'!$ă$584), "", 'Data Entry'!$ă$584)</f>
      </c>
      <c r="GN584">
        <f>IF(ISBLANK('Data Entry'!$Ą$584), "", 'Data Entry'!$Ą$584)</f>
      </c>
      <c r="GO584">
        <f>IF(ISBLANK('Data Entry'!$ą$584), "", 'Data Entry'!$ą$584)</f>
      </c>
      <c r="GP584">
        <f>IF(ISBLANK('Data Entry'!$Ć$584), "", 'Data Entry'!$Ć$584)</f>
      </c>
      <c r="GQ584">
        <f>IF(ISBLANK('Data Entry'!$ć$584), "", 'Data Entry'!$ć$584)</f>
      </c>
      <c r="GR584">
        <f>IF(ISBLANK('Data Entry'!$Ĉ$584), "", 'Data Entry'!$Ĉ$584)</f>
      </c>
      <c r="GS584">
        <f>IF(ISBLANK('Data Entry'!$ĉ$584), "", 'Data Entry'!$ĉ$584)</f>
      </c>
      <c r="GT584">
        <f>IF(ISBLANK('Data Entry'!$Ċ$584), "", 'Data Entry'!$Ċ$584)</f>
      </c>
      <c r="GU584">
        <f>IF(ISBLANK('Data Entry'!$ċ$584), "", 'Data Entry'!$ċ$584)</f>
      </c>
      <c r="GV584">
        <f>IF(ISBLANK('Data Entry'!$Č$584), "", 'Data Entry'!$Č$584)</f>
      </c>
      <c r="GW584">
        <f>IF(ISBLANK('Data Entry'!$č$584), "", 'Data Entry'!$č$584)</f>
      </c>
      <c r="GX584">
        <f>IF(ISBLANK('Data Entry'!$Ď$584), "", 'Data Entry'!$Ď$584)</f>
      </c>
      <c r="GY584">
        <f>IF(ISBLANK('Data Entry'!$ď$584), "", 'Data Entry'!$ď$584)</f>
      </c>
      <c r="GZ584">
        <f>IF(ISBLANK('Data Entry'!$Đ$584), "", 'Data Entry'!$Đ$584)</f>
      </c>
      <c r="HA584">
        <f>IF(ISBLANK('Data Entry'!$đ$584), "", 'Data Entry'!$đ$584)</f>
      </c>
      <c r="HB584">
        <f>IF(ISBLANK('Data Entry'!$Ē$584), "", 'Data Entry'!$Ē$584)</f>
      </c>
      <c r="HC584">
        <f>IF(ISBLANK('Data Entry'!$ē$584), "", 'Data Entry'!$ē$584)</f>
      </c>
      <c r="HD584">
        <f>IF(ISBLANK('Data Entry'!$Ĕ$584), "", 'Data Entry'!$Ĕ$584)</f>
      </c>
      <c r="HE584">
        <f>IF(ISBLANK('Data Entry'!$ĕ$584), "", 'Data Entry'!$ĕ$584)</f>
      </c>
      <c r="HF584">
        <f>IF(ISBLANK('Data Entry'!$Ė$584), "", 'Data Entry'!$Ė$584)</f>
      </c>
      <c r="HG584">
        <f>IF(ISBLANK('Data Entry'!$ė$584), "", 'Data Entry'!$ė$584)</f>
      </c>
      <c r="HH584">
        <f>IF(ISBLANK('Data Entry'!$Ę$584), "", 'Data Entry'!$Ę$584)</f>
      </c>
      <c r="HI584">
        <f>IF(ISBLANK('Data Entry'!$ę$584), "", 'Data Entry'!$ę$584)</f>
      </c>
      <c r="HJ584">
        <f>IF(ISBLANK('Data Entry'!$Ě$584), "", 'Data Entry'!$Ě$584)</f>
      </c>
      <c r="HK584">
        <f>IF(ISBLANK('Data Entry'!$ě$584), "", 'Data Entry'!$ě$584)</f>
      </c>
      <c r="HL584">
        <f>IF(ISBLANK('Data Entry'!$Ĝ$584), "", 'Data Entry'!$Ĝ$584)</f>
      </c>
      <c r="HM584">
        <f>IF(ISBLANK('Data Entry'!$ĝ$584), "", 'Data Entry'!$ĝ$584)</f>
      </c>
      <c r="HN584">
        <f>IF(ISBLANK('Data Entry'!$Ğ$584), "", 'Data Entry'!$Ğ$584)</f>
      </c>
      <c r="HO584">
        <f>IF(ISBLANK('Data Entry'!$ğ$584), "", 'Data Entry'!$ğ$584)</f>
      </c>
      <c r="HP584">
        <f>IF(ISBLANK('Data Entry'!$Ġ$584), "", 'Data Entry'!$Ġ$584)</f>
      </c>
      <c r="HQ584">
        <f>IF(ISBLANK('Data Entry'!$ġ$584), "", 'Data Entry'!$ġ$584)</f>
      </c>
      <c r="HR584">
        <f>IF(ISBLANK('Data Entry'!$Ģ$584), "", 'Data Entry'!$Ģ$584)</f>
      </c>
      <c r="HS584">
        <f>IF(ISBLANK('Data Entry'!$ģ$584), "", 'Data Entry'!$ģ$584)</f>
      </c>
      <c r="HT584">
        <f>IF(ISBLANK('Data Entry'!$Ĥ$584), "", 'Data Entry'!$Ĥ$584)</f>
      </c>
      <c r="HU584">
        <f>IF(ISBLANK('Data Entry'!$ĥ$584), "", 'Data Entry'!$ĥ$584)</f>
      </c>
      <c r="HV584">
        <f>IF(ISBLANK('Data Entry'!$Ħ$584), "", 'Data Entry'!$Ħ$584)</f>
      </c>
      <c r="HW584">
        <f>IF(ISBLANK('Data Entry'!$ħ$584), "", 'Data Entry'!$ħ$584)</f>
      </c>
      <c r="HX584">
        <f>IF(ISBLANK('Data Entry'!$Ĩ$584), "", 'Data Entry'!$Ĩ$584)</f>
      </c>
      <c r="HY584">
        <f>IF(ISBLANK('Data Entry'!$ĩ$584), "", 'Data Entry'!$ĩ$584)</f>
      </c>
      <c r="HZ584">
        <f>IF(ISBLANK('Data Entry'!$Ī$584), "", 'Data Entry'!$Ī$584)</f>
      </c>
      <c r="IA584">
        <f>IF(ISBLANK('Data Entry'!$ī$584), "", 'Data Entry'!$ī$584)</f>
      </c>
      <c r="IB584">
        <f>IF(ISBLANK('Data Entry'!$Ĭ$584), "", 'Data Entry'!$Ĭ$584)</f>
      </c>
      <c r="IC584">
        <f>IF(ISBLANK('Data Entry'!$ĭ$584), "", 'Data Entry'!$ĭ$584)</f>
      </c>
      <c r="ID584">
        <f>IF(ISBLANK('Data Entry'!$Į$584), "", 'Data Entry'!$Į$584)</f>
      </c>
      <c r="IE584">
        <f>IF(ISBLANK('Data Entry'!$į$584), "", 'Data Entry'!$į$584)</f>
      </c>
      <c r="IF584">
        <f>IF(ISBLANK('Data Entry'!$İ$584), "", 'Data Entry'!$İ$584)</f>
      </c>
      <c r="IG584">
        <f>IF(ISBLANK('Data Entry'!$ı$584), "", 'Data Entry'!$ı$584)</f>
      </c>
      <c r="IH584">
        <f>IF(ISBLANK('Data Entry'!$Ĳ$584), "", 'Data Entry'!$Ĳ$584)</f>
      </c>
      <c r="II584">
        <f>IF(ISBLANK('Data Entry'!$ĳ$584), "", 'Data Entry'!$ĳ$584)</f>
      </c>
      <c r="IJ584">
        <f>IF(ISBLANK('Data Entry'!$Ĵ$584), "", 'Data Entry'!$Ĵ$584)</f>
      </c>
      <c r="IK584">
        <f>IF(ISBLANK('Data Entry'!$ĵ$584), "", 'Data Entry'!$ĵ$584)</f>
      </c>
      <c r="IL584">
        <f>IF(ISBLANK('Data Entry'!$Ķ$584), "", 'Data Entry'!$Ķ$584)</f>
      </c>
      <c r="IM584">
        <f>IF(ISBLANK('Data Entry'!$ķ$584), "", 'Data Entry'!$ķ$584)</f>
      </c>
      <c r="IN584">
        <f>IF(ISBLANK('Data Entry'!$ĸ$584), "", 'Data Entry'!$ĸ$584)</f>
      </c>
      <c r="IO584">
        <f>IF(ISBLANK('Data Entry'!$Ĺ$584), "", 'Data Entry'!$Ĺ$584)</f>
      </c>
      <c r="IP584">
        <f>IF(ISBLANK('Data Entry'!$ĺ$584), "", 'Data Entry'!$ĺ$584)</f>
      </c>
      <c r="IQ584">
        <f>IF(ISBLANK('Data Entry'!$Ļ$584), "", 'Data Entry'!$Ļ$584)</f>
      </c>
      <c r="IR584">
        <f>IF(ISBLANK('Data Entry'!$ļ$584), "", 'Data Entry'!$ļ$584)</f>
      </c>
      <c r="IS584">
        <f>IF(ISBLANK('Data Entry'!$Ľ$584), "", 'Data Entry'!$Ľ$584)</f>
      </c>
      <c r="IT584">
        <f>IF(ISBLANK('Data Entry'!$ľ$584), "", 'Data Entry'!$ľ$584)</f>
      </c>
    </row>
    <row r="585" spans="1:254" x14ac:dyDescent="0.25">
      <c r="A585">
        <f>IF(ISBLANK('Data Entry'!$A$585), "", 'Data Entry'!$A$585)</f>
      </c>
      <c r="B585">
        <f>IF(ISBLANK('Data Entry'!$B$585), "", 'Data Entry'!$B$585)</f>
      </c>
      <c r="C585">
        <f>IF(ISBLANK('Data Entry'!$C$585), "", 'Data Entry'!$C$585)</f>
      </c>
      <c r="D585">
        <f>IF(ISBLANK('Data Entry'!$D$585), "", 'Data Entry'!$D$585)</f>
      </c>
      <c r="E585">
        <f>IF(ISBLANK('Data Entry'!$E$585), "", 'Data Entry'!$E$585)</f>
      </c>
      <c r="F585">
        <f>IF(ISBLANK('Data Entry'!$F$585), "", 'Data Entry'!$F$585)</f>
      </c>
      <c r="G585">
        <f>IF(ISBLANK('Data Entry'!$G$585), "", 'Data Entry'!$G$585)</f>
      </c>
      <c r="H585">
        <f>IF(ISBLANK('Data Entry'!$H$585), "", 'Data Entry'!$H$585)</f>
      </c>
      <c r="I585">
        <f>IF(ISBLANK('Data Entry'!$I$585), "", 'Data Entry'!$I$585)</f>
      </c>
      <c r="J585">
        <f>IF(ISBLANK('Data Entry'!$J$585), "", 'Data Entry'!$J$585)</f>
      </c>
      <c r="K585">
        <f>IF(ISBLANK('Data Entry'!$K$585), "", 'Data Entry'!$K$585)</f>
      </c>
      <c r="L585">
        <f>IF(ISBLANK('Data Entry'!$L$585), "", 'Data Entry'!$L$585)</f>
      </c>
      <c r="M585">
        <f>IF(ISBLANK('Data Entry'!$M$585), "", 'Data Entry'!$M$585)</f>
      </c>
      <c r="N585">
        <f>IF(ISBLANK('Data Entry'!$N$585), "", 'Data Entry'!$N$585)</f>
      </c>
      <c r="O585">
        <f>IF(ISBLANK('Data Entry'!$O$585), "", 'Data Entry'!$O$585)</f>
      </c>
      <c r="P585">
        <f>IF(ISBLANK('Data Entry'!$P$585), "", 'Data Entry'!$P$585)</f>
      </c>
      <c r="Q585">
        <f>IF(ISBLANK('Data Entry'!$Q$585), "", 'Data Entry'!$Q$585)</f>
      </c>
      <c r="R585">
        <f>IF(ISBLANK('Data Entry'!$R$585), "", 'Data Entry'!$R$585)</f>
      </c>
      <c r="S585">
        <f>IF(ISBLANK('Data Entry'!$S$585), "", 'Data Entry'!$S$585)</f>
      </c>
      <c r="T585">
        <f>IF(ISBLANK('Data Entry'!$T$585), "", 'Data Entry'!$T$585)</f>
      </c>
      <c r="U585">
        <f>IF(ISBLANK('Data Entry'!$U$585), "", 'Data Entry'!$U$585)</f>
      </c>
      <c r="V585">
        <f>IF(ISBLANK('Data Entry'!$V$585), "", 'Data Entry'!$V$585)</f>
      </c>
      <c r="W585">
        <f>IF(ISBLANK('Data Entry'!$W$585), "", 'Data Entry'!$W$585)</f>
      </c>
      <c r="X585">
        <f>IF(ISBLANK('Data Entry'!$X$585), "", 'Data Entry'!$X$585)</f>
      </c>
      <c r="Y585">
        <f>IF(ISBLANK('Data Entry'!$Y$585), "", 'Data Entry'!$Y$585)</f>
      </c>
      <c r="Z585">
        <f>IF(ISBLANK('Data Entry'!$Z$585), "", 'Data Entry'!$Z$585)</f>
      </c>
      <c r="AA585">
        <f>IF(ISBLANK('Data Entry'!$[$585), "", 'Data Entry'!$[$585)</f>
      </c>
      <c r="AB585">
        <f>IF(ISBLANK('Data Entry'!$\$585), "", 'Data Entry'!$\$585)</f>
      </c>
      <c r="AC585">
        <f>IF(ISBLANK('Data Entry'!$]$585), "", 'Data Entry'!$]$585)</f>
      </c>
      <c r="AD585">
        <f>IF(ISBLANK('Data Entry'!$^$585), "", 'Data Entry'!$^$585)</f>
      </c>
      <c r="AE585">
        <f>IF(ISBLANK('Data Entry'!$_$585), "", 'Data Entry'!$_$585)</f>
      </c>
      <c r="AF585">
        <f>IF(ISBLANK('Data Entry'!$`$585), "", 'Data Entry'!$`$585)</f>
      </c>
      <c r="AG585">
        <f>IF(ISBLANK('Data Entry'!$a$585), "", 'Data Entry'!$a$585)</f>
      </c>
      <c r="AH585">
        <f>IF(ISBLANK('Data Entry'!$b$585), "", 'Data Entry'!$b$585)</f>
      </c>
      <c r="AI585">
        <f>IF(ISBLANK('Data Entry'!$c$585), "", 'Data Entry'!$c$585)</f>
      </c>
      <c r="AJ585">
        <f>IF(ISBLANK('Data Entry'!$d$585), "", 'Data Entry'!$d$585)</f>
      </c>
      <c r="AK585">
        <f>IF(ISBLANK('Data Entry'!$e$585), "", 'Data Entry'!$e$585)</f>
      </c>
      <c r="AL585">
        <f>IF(ISBLANK('Data Entry'!$f$585), "", 'Data Entry'!$f$585)</f>
      </c>
      <c r="AM585">
        <f>IF(ISBLANK('Data Entry'!$g$585), "", 'Data Entry'!$g$585)</f>
      </c>
      <c r="AN585">
        <f>IF(ISBLANK('Data Entry'!$h$585), "", 'Data Entry'!$h$585)</f>
      </c>
      <c r="AO585">
        <f>IF(ISBLANK('Data Entry'!$i$585), "", 'Data Entry'!$i$585)</f>
      </c>
      <c r="AP585">
        <f>IF(ISBLANK('Data Entry'!$j$585), "", 'Data Entry'!$j$585)</f>
      </c>
      <c r="AQ585">
        <f>IF(ISBLANK('Data Entry'!$k$585), "", 'Data Entry'!$k$585)</f>
      </c>
      <c r="AR585">
        <f>IF(ISBLANK('Data Entry'!$l$585), "", 'Data Entry'!$l$585)</f>
      </c>
      <c r="AS585">
        <f>IF(ISBLANK('Data Entry'!$m$585), "", 'Data Entry'!$m$585)</f>
      </c>
      <c r="AT585">
        <f>IF(ISBLANK('Data Entry'!$n$585), "", 'Data Entry'!$n$585)</f>
      </c>
      <c r="AU585">
        <f>IF(ISBLANK('Data Entry'!$o$585), "", 'Data Entry'!$o$585)</f>
      </c>
      <c r="AV585">
        <f>IF(ISBLANK('Data Entry'!$p$585), "", 'Data Entry'!$p$585)</f>
      </c>
      <c r="AW585">
        <f>IF(ISBLANK('Data Entry'!$q$585), "", 'Data Entry'!$q$585)</f>
      </c>
      <c r="AX585">
        <f>IF(ISBLANK('Data Entry'!$r$585), "", 'Data Entry'!$r$585)</f>
      </c>
      <c r="AY585">
        <f>IF(ISBLANK('Data Entry'!$s$585), "", 'Data Entry'!$s$585)</f>
      </c>
      <c r="AZ585">
        <f>IF(ISBLANK('Data Entry'!$t$585), "", 'Data Entry'!$t$585)</f>
      </c>
      <c r="BA585">
        <f>IF(ISBLANK('Data Entry'!$u$585), "", 'Data Entry'!$u$585)</f>
      </c>
      <c r="BB585">
        <f>IF(ISBLANK('Data Entry'!$v$585), "", 'Data Entry'!$v$585)</f>
      </c>
      <c r="BC585">
        <f>IF(ISBLANK('Data Entry'!$w$585), "", 'Data Entry'!$w$585)</f>
      </c>
      <c r="BD585">
        <f>IF(ISBLANK('Data Entry'!$x$585), "", 'Data Entry'!$x$585)</f>
      </c>
      <c r="BE585">
        <f>IF(ISBLANK('Data Entry'!$y$585), "", 'Data Entry'!$y$585)</f>
      </c>
      <c r="BF585">
        <f>IF(ISBLANK('Data Entry'!$z$585), "", 'Data Entry'!$z$585)</f>
      </c>
      <c r="BG585">
        <f>IF(ISBLANK('Data Entry'!${$585), "", 'Data Entry'!${$585)</f>
      </c>
      <c r="BH585">
        <f>IF(ISBLANK('Data Entry'!$|$585), "", 'Data Entry'!$|$585)</f>
      </c>
      <c r="BI585">
        <f>IF(ISBLANK('Data Entry'!$}$585), "", 'Data Entry'!$}$585)</f>
      </c>
      <c r="BJ585">
        <f>IF(ISBLANK('Data Entry'!$~$585), "", 'Data Entry'!$~$585)</f>
      </c>
      <c r="BK585">
        <f>IF(ISBLANK('Data Entry'!$$585), "", 'Data Entry'!$$585)</f>
      </c>
      <c r="BL585">
        <f>IF(ISBLANK('Data Entry'!$$585), "", 'Data Entry'!$$585)</f>
      </c>
      <c r="BM585">
        <f>IF(ISBLANK('Data Entry'!$$585), "", 'Data Entry'!$$585)</f>
      </c>
      <c r="BN585">
        <f>IF(ISBLANK('Data Entry'!$$585), "", 'Data Entry'!$$585)</f>
      </c>
      <c r="BO585">
        <f>IF(ISBLANK('Data Entry'!$$585), "", 'Data Entry'!$$585)</f>
      </c>
      <c r="BP585">
        <f>IF(ISBLANK('Data Entry'!$$585), "", 'Data Entry'!$$585)</f>
      </c>
      <c r="BQ585">
        <f>IF(ISBLANK('Data Entry'!$$585), "", 'Data Entry'!$$585)</f>
      </c>
      <c r="BR585">
        <f>IF(ISBLANK('Data Entry'!$$585), "", 'Data Entry'!$$585)</f>
      </c>
      <c r="BS585">
        <f>IF(ISBLANK('Data Entry'!$$585), "", 'Data Entry'!$$585)</f>
      </c>
      <c r="BT585">
        <f>IF(ISBLANK('Data Entry'!$$585), "", 'Data Entry'!$$585)</f>
      </c>
      <c r="BU585">
        <f>IF(ISBLANK('Data Entry'!$$585), "", 'Data Entry'!$$585)</f>
      </c>
      <c r="BV585">
        <f>IF(ISBLANK('Data Entry'!$$585), "", 'Data Entry'!$$585)</f>
      </c>
      <c r="BW585">
        <f>IF(ISBLANK('Data Entry'!$$585), "", 'Data Entry'!$$585)</f>
      </c>
      <c r="BX585">
        <f>IF(ISBLANK('Data Entry'!$$585), "", 'Data Entry'!$$585)</f>
      </c>
      <c r="BY585">
        <f>IF(ISBLANK('Data Entry'!$$585), "", 'Data Entry'!$$585)</f>
      </c>
      <c r="BZ585">
        <f>IF(ISBLANK('Data Entry'!$$585), "", 'Data Entry'!$$585)</f>
      </c>
      <c r="CA585">
        <f>IF(ISBLANK('Data Entry'!$$585), "", 'Data Entry'!$$585)</f>
      </c>
      <c r="CB585">
        <f>IF(ISBLANK('Data Entry'!$$585), "", 'Data Entry'!$$585)</f>
      </c>
      <c r="CC585">
        <f>IF(ISBLANK('Data Entry'!$$585), "", 'Data Entry'!$$585)</f>
      </c>
      <c r="CD585">
        <f>IF(ISBLANK('Data Entry'!$$585), "", 'Data Entry'!$$585)</f>
      </c>
      <c r="CE585">
        <f>IF(ISBLANK('Data Entry'!$$585), "", 'Data Entry'!$$585)</f>
      </c>
      <c r="CF585">
        <f>IF(ISBLANK('Data Entry'!$$585), "", 'Data Entry'!$$585)</f>
      </c>
      <c r="CG585">
        <f>IF(ISBLANK('Data Entry'!$$585), "", 'Data Entry'!$$585)</f>
      </c>
      <c r="CH585">
        <f>IF(ISBLANK('Data Entry'!$$585), "", 'Data Entry'!$$585)</f>
      </c>
      <c r="CI585">
        <f>IF(ISBLANK('Data Entry'!$$585), "", 'Data Entry'!$$585)</f>
      </c>
      <c r="CJ585">
        <f>IF(ISBLANK('Data Entry'!$$585), "", 'Data Entry'!$$585)</f>
      </c>
      <c r="CK585">
        <f>IF(ISBLANK('Data Entry'!$$585), "", 'Data Entry'!$$585)</f>
      </c>
      <c r="CL585">
        <f>IF(ISBLANK('Data Entry'!$$585), "", 'Data Entry'!$$585)</f>
      </c>
      <c r="CM585">
        <f>IF(ISBLANK('Data Entry'!$$585), "", 'Data Entry'!$$585)</f>
      </c>
      <c r="CN585">
        <f>IF(ISBLANK('Data Entry'!$$585), "", 'Data Entry'!$$585)</f>
      </c>
      <c r="CO585">
        <f>IF(ISBLANK('Data Entry'!$$585), "", 'Data Entry'!$$585)</f>
      </c>
      <c r="CP585">
        <f>IF(ISBLANK('Data Entry'!$$585), "", 'Data Entry'!$$585)</f>
      </c>
      <c r="CQ585">
        <f>IF(ISBLANK('Data Entry'!$$585), "", 'Data Entry'!$$585)</f>
      </c>
      <c r="CR585">
        <f>IF(ISBLANK('Data Entry'!$ $585), "", 'Data Entry'!$ $585)</f>
      </c>
      <c r="CS585">
        <f>IF(ISBLANK('Data Entry'!$¡$585), "", 'Data Entry'!$¡$585)</f>
      </c>
      <c r="CT585">
        <f>IF(ISBLANK('Data Entry'!$¢$585), "", 'Data Entry'!$¢$585)</f>
      </c>
      <c r="CU585">
        <f>IF(ISBLANK('Data Entry'!$£$585), "", 'Data Entry'!$£$585)</f>
      </c>
      <c r="CV585">
        <f>IF(ISBLANK('Data Entry'!$¤$585), "", 'Data Entry'!$¤$585)</f>
      </c>
      <c r="CW585">
        <f>IF(ISBLANK('Data Entry'!$¥$585), "", 'Data Entry'!$¥$585)</f>
      </c>
      <c r="CX585">
        <f>IF(ISBLANK('Data Entry'!$¦$585), "", 'Data Entry'!$¦$585)</f>
      </c>
      <c r="CY585">
        <f>IF(ISBLANK('Data Entry'!$§$585), "", 'Data Entry'!$§$585)</f>
      </c>
      <c r="CZ585">
        <f>IF(ISBLANK('Data Entry'!$¨$585), "", 'Data Entry'!$¨$585)</f>
      </c>
      <c r="DA585">
        <f>IF(ISBLANK('Data Entry'!$©$585), "", 'Data Entry'!$©$585)</f>
      </c>
      <c r="DB585">
        <f>IF(ISBLANK('Data Entry'!$ª$585), "", 'Data Entry'!$ª$585)</f>
      </c>
      <c r="DC585">
        <f>IF(ISBLANK('Data Entry'!$«$585), "", 'Data Entry'!$«$585)</f>
      </c>
      <c r="DD585">
        <f>IF(ISBLANK('Data Entry'!$¬$585), "", 'Data Entry'!$¬$585)</f>
      </c>
      <c r="DE585">
        <f>IF(ISBLANK('Data Entry'!$­$585), "", 'Data Entry'!$­$585)</f>
      </c>
      <c r="DF585">
        <f>IF(ISBLANK('Data Entry'!$®$585), "", 'Data Entry'!$®$585)</f>
      </c>
      <c r="DG585">
        <f>IF(ISBLANK('Data Entry'!$¯$585), "", 'Data Entry'!$¯$585)</f>
      </c>
      <c r="DH585">
        <f>IF(ISBLANK('Data Entry'!$°$585), "", 'Data Entry'!$°$585)</f>
      </c>
      <c r="DI585">
        <f>IF(ISBLANK('Data Entry'!$±$585), "", 'Data Entry'!$±$585)</f>
      </c>
      <c r="DJ585">
        <f>IF(ISBLANK('Data Entry'!$²$585), "", 'Data Entry'!$²$585)</f>
      </c>
      <c r="DK585">
        <f>IF(ISBLANK('Data Entry'!$³$585), "", 'Data Entry'!$³$585)</f>
      </c>
      <c r="DL585">
        <f>IF(ISBLANK('Data Entry'!$´$585), "", 'Data Entry'!$´$585)</f>
      </c>
      <c r="DM585">
        <f>IF(ISBLANK('Data Entry'!$µ$585), "", 'Data Entry'!$µ$585)</f>
      </c>
      <c r="DN585">
        <f>IF(ISBLANK('Data Entry'!$¶$585), "", 'Data Entry'!$¶$585)</f>
      </c>
      <c r="DO585">
        <f>IF(ISBLANK('Data Entry'!$·$585), "", 'Data Entry'!$·$585)</f>
      </c>
      <c r="DP585">
        <f>IF(ISBLANK('Data Entry'!$¸$585), "", 'Data Entry'!$¸$585)</f>
      </c>
      <c r="DQ585">
        <f>IF(ISBLANK('Data Entry'!$¹$585), "", 'Data Entry'!$¹$585)</f>
      </c>
      <c r="DR585">
        <f>IF(ISBLANK('Data Entry'!$º$585), "", 'Data Entry'!$º$585)</f>
      </c>
      <c r="DS585">
        <f>IF(ISBLANK('Data Entry'!$»$585), "", 'Data Entry'!$»$585)</f>
      </c>
      <c r="DT585">
        <f>IF(ISBLANK('Data Entry'!$¼$585), "", 'Data Entry'!$¼$585)</f>
      </c>
      <c r="DU585">
        <f>IF(ISBLANK('Data Entry'!$½$585), "", 'Data Entry'!$½$585)</f>
      </c>
      <c r="DV585">
        <f>IF(ISBLANK('Data Entry'!$¾$585), "", 'Data Entry'!$¾$585)</f>
      </c>
      <c r="DW585">
        <f>IF(ISBLANK('Data Entry'!$¿$585), "", 'Data Entry'!$¿$585)</f>
      </c>
      <c r="DX585">
        <f>IF(ISBLANK('Data Entry'!$À$585), "", 'Data Entry'!$À$585)</f>
      </c>
      <c r="DY585">
        <f>IF(ISBLANK('Data Entry'!$Á$585), "", 'Data Entry'!$Á$585)</f>
      </c>
      <c r="DZ585">
        <f>IF(ISBLANK('Data Entry'!$Â$585), "", 'Data Entry'!$Â$585)</f>
      </c>
      <c r="EA585">
        <f>IF(ISBLANK('Data Entry'!$Ã$585), "", 'Data Entry'!$Ã$585)</f>
      </c>
      <c r="EB585">
        <f>IF(ISBLANK('Data Entry'!$Ä$585), "", 'Data Entry'!$Ä$585)</f>
      </c>
      <c r="EC585">
        <f>IF(ISBLANK('Data Entry'!$Å$585), "", 'Data Entry'!$Å$585)</f>
      </c>
      <c r="ED585">
        <f>IF(ISBLANK('Data Entry'!$Æ$585), "", 'Data Entry'!$Æ$585)</f>
      </c>
      <c r="EE585">
        <f>IF(ISBLANK('Data Entry'!$Ç$585), "", 'Data Entry'!$Ç$585)</f>
      </c>
      <c r="EF585">
        <f>IF(ISBLANK('Data Entry'!$È$585), "", 'Data Entry'!$È$585)</f>
      </c>
      <c r="EG585">
        <f>IF(ISBLANK('Data Entry'!$É$585), "", 'Data Entry'!$É$585)</f>
      </c>
      <c r="EH585">
        <f>IF(ISBLANK('Data Entry'!$Ê$585), "", 'Data Entry'!$Ê$585)</f>
      </c>
      <c r="EI585">
        <f>IF(ISBLANK('Data Entry'!$Ë$585), "", 'Data Entry'!$Ë$585)</f>
      </c>
      <c r="EJ585">
        <f>IF(ISBLANK('Data Entry'!$Ì$585), "", 'Data Entry'!$Ì$585)</f>
      </c>
      <c r="EK585">
        <f>IF(ISBLANK('Data Entry'!$Í$585), "", 'Data Entry'!$Í$585)</f>
      </c>
      <c r="EL585">
        <f>IF(ISBLANK('Data Entry'!$Î$585), "", 'Data Entry'!$Î$585)</f>
      </c>
      <c r="EM585">
        <f>IF(ISBLANK('Data Entry'!$Ï$585), "", 'Data Entry'!$Ï$585)</f>
      </c>
      <c r="EN585">
        <f>IF(ISBLANK('Data Entry'!$Ð$585), "", 'Data Entry'!$Ð$585)</f>
      </c>
      <c r="EO585">
        <f>IF(ISBLANK('Data Entry'!$Ñ$585), "", 'Data Entry'!$Ñ$585)</f>
      </c>
      <c r="EP585">
        <f>IF(ISBLANK('Data Entry'!$Ò$585), "", 'Data Entry'!$Ò$585)</f>
      </c>
      <c r="EQ585">
        <f>IF(ISBLANK('Data Entry'!$Ó$585), "", 'Data Entry'!$Ó$585)</f>
      </c>
      <c r="ER585">
        <f>IF(ISBLANK('Data Entry'!$Ô$585), "", 'Data Entry'!$Ô$585)</f>
      </c>
      <c r="ES585">
        <f>IF(ISBLANK('Data Entry'!$Õ$585), "", 'Data Entry'!$Õ$585)</f>
      </c>
      <c r="ET585">
        <f>IF(ISBLANK('Data Entry'!$Ö$585), "", 'Data Entry'!$Ö$585)</f>
      </c>
      <c r="EU585">
        <f>IF(ISBLANK('Data Entry'!$×$585), "", 'Data Entry'!$×$585)</f>
      </c>
      <c r="EV585">
        <f>IF(ISBLANK('Data Entry'!$Ø$585), "", 'Data Entry'!$Ø$585)</f>
      </c>
      <c r="EW585">
        <f>IF(ISBLANK('Data Entry'!$Ù$585), "", 'Data Entry'!$Ù$585)</f>
      </c>
      <c r="EX585">
        <f>IF(ISBLANK('Data Entry'!$Ú$585), "", 'Data Entry'!$Ú$585)</f>
      </c>
      <c r="EY585">
        <f>IF(ISBLANK('Data Entry'!$Û$585), "", 'Data Entry'!$Û$585)</f>
      </c>
      <c r="EZ585">
        <f>IF(ISBLANK('Data Entry'!$Ü$585), "", 'Data Entry'!$Ü$585)</f>
      </c>
      <c r="FA585">
        <f>IF(ISBLANK('Data Entry'!$Ý$585), "", 'Data Entry'!$Ý$585)</f>
      </c>
      <c r="FB585">
        <f>IF(ISBLANK('Data Entry'!$Þ$585), "", 'Data Entry'!$Þ$585)</f>
      </c>
      <c r="FC585">
        <f>IF(ISBLANK('Data Entry'!$ß$585), "", 'Data Entry'!$ß$585)</f>
      </c>
      <c r="FD585">
        <f>IF(ISBLANK('Data Entry'!$à$585), "", 'Data Entry'!$à$585)</f>
      </c>
      <c r="FE585">
        <f>IF(ISBLANK('Data Entry'!$á$585), "", 'Data Entry'!$á$585)</f>
      </c>
      <c r="FF585">
        <f>IF(ISBLANK('Data Entry'!$â$585), "", 'Data Entry'!$â$585)</f>
      </c>
      <c r="FG585">
        <f>IF(ISBLANK('Data Entry'!$ã$585), "", 'Data Entry'!$ã$585)</f>
      </c>
      <c r="FH585">
        <f>IF(ISBLANK('Data Entry'!$ä$585), "", 'Data Entry'!$ä$585)</f>
      </c>
      <c r="FI585">
        <f>IF(ISBLANK('Data Entry'!$å$585), "", 'Data Entry'!$å$585)</f>
      </c>
      <c r="FJ585">
        <f>IF(ISBLANK('Data Entry'!$æ$585), "", 'Data Entry'!$æ$585)</f>
      </c>
      <c r="FK585">
        <f>IF(ISBLANK('Data Entry'!$ç$585), "", 'Data Entry'!$ç$585)</f>
      </c>
      <c r="FL585">
        <f>IF(ISBLANK('Data Entry'!$è$585), "", 'Data Entry'!$è$585)</f>
      </c>
      <c r="FM585">
        <f>IF(ISBLANK('Data Entry'!$é$585), "", 'Data Entry'!$é$585)</f>
      </c>
      <c r="FN585">
        <f>IF(ISBLANK('Data Entry'!$ê$585), "", 'Data Entry'!$ê$585)</f>
      </c>
      <c r="FO585">
        <f>IF(ISBLANK('Data Entry'!$ë$585), "", 'Data Entry'!$ë$585)</f>
      </c>
      <c r="FP585">
        <f>IF(ISBLANK('Data Entry'!$ì$585), "", 'Data Entry'!$ì$585)</f>
      </c>
      <c r="FQ585">
        <f>IF(ISBLANK('Data Entry'!$í$585), "", 'Data Entry'!$í$585)</f>
      </c>
      <c r="FR585">
        <f>IF(ISBLANK('Data Entry'!$î$585), "", 'Data Entry'!$î$585)</f>
      </c>
      <c r="FS585">
        <f>IF(ISBLANK('Data Entry'!$ï$585), "", 'Data Entry'!$ï$585)</f>
      </c>
      <c r="FT585">
        <f>IF(ISBLANK('Data Entry'!$ð$585), "", 'Data Entry'!$ð$585)</f>
      </c>
      <c r="FU585">
        <f>IF(ISBLANK('Data Entry'!$ñ$585), "", 'Data Entry'!$ñ$585)</f>
      </c>
      <c r="FV585">
        <f>IF(ISBLANK('Data Entry'!$ò$585), "", 'Data Entry'!$ò$585)</f>
      </c>
      <c r="FW585">
        <f>IF(ISBLANK('Data Entry'!$ó$585), "", 'Data Entry'!$ó$585)</f>
      </c>
      <c r="FX585">
        <f>IF(ISBLANK('Data Entry'!$ô$585), "", 'Data Entry'!$ô$585)</f>
      </c>
      <c r="FY585">
        <f>IF(ISBLANK('Data Entry'!$õ$585), "", 'Data Entry'!$õ$585)</f>
      </c>
      <c r="FZ585">
        <f>IF(ISBLANK('Data Entry'!$ö$585), "", 'Data Entry'!$ö$585)</f>
      </c>
      <c r="GA585">
        <f>IF(ISBLANK('Data Entry'!$÷$585), "", 'Data Entry'!$÷$585)</f>
      </c>
      <c r="GB585">
        <f>IF(ISBLANK('Data Entry'!$ø$585), "", 'Data Entry'!$ø$585)</f>
      </c>
      <c r="GC585">
        <f>IF(ISBLANK('Data Entry'!$ù$585), "", 'Data Entry'!$ù$585)</f>
      </c>
      <c r="GD585">
        <f>IF(ISBLANK('Data Entry'!$ú$585), "", 'Data Entry'!$ú$585)</f>
      </c>
      <c r="GE585">
        <f>IF(ISBLANK('Data Entry'!$û$585), "", 'Data Entry'!$û$585)</f>
      </c>
      <c r="GF585">
        <f>IF(ISBLANK('Data Entry'!$ü$585), "", 'Data Entry'!$ü$585)</f>
      </c>
      <c r="GG585">
        <f>IF(ISBLANK('Data Entry'!$ý$585), "", 'Data Entry'!$ý$585)</f>
      </c>
      <c r="GH585">
        <f>IF(ISBLANK('Data Entry'!$þ$585), "", 'Data Entry'!$þ$585)</f>
      </c>
      <c r="GI585">
        <f>IF(ISBLANK('Data Entry'!$ÿ$585), "", 'Data Entry'!$ÿ$585)</f>
      </c>
      <c r="GJ585">
        <f>IF(ISBLANK('Data Entry'!$Ā$585), "", 'Data Entry'!$Ā$585)</f>
      </c>
      <c r="GK585">
        <f>IF(ISBLANK('Data Entry'!$ā$585), "", 'Data Entry'!$ā$585)</f>
      </c>
      <c r="GL585">
        <f>IF(ISBLANK('Data Entry'!$Ă$585), "", 'Data Entry'!$Ă$585)</f>
      </c>
      <c r="GM585">
        <f>IF(ISBLANK('Data Entry'!$ă$585), "", 'Data Entry'!$ă$585)</f>
      </c>
      <c r="GN585">
        <f>IF(ISBLANK('Data Entry'!$Ą$585), "", 'Data Entry'!$Ą$585)</f>
      </c>
      <c r="GO585">
        <f>IF(ISBLANK('Data Entry'!$ą$585), "", 'Data Entry'!$ą$585)</f>
      </c>
      <c r="GP585">
        <f>IF(ISBLANK('Data Entry'!$Ć$585), "", 'Data Entry'!$Ć$585)</f>
      </c>
      <c r="GQ585">
        <f>IF(ISBLANK('Data Entry'!$ć$585), "", 'Data Entry'!$ć$585)</f>
      </c>
      <c r="GR585">
        <f>IF(ISBLANK('Data Entry'!$Ĉ$585), "", 'Data Entry'!$Ĉ$585)</f>
      </c>
      <c r="GS585">
        <f>IF(ISBLANK('Data Entry'!$ĉ$585), "", 'Data Entry'!$ĉ$585)</f>
      </c>
      <c r="GT585">
        <f>IF(ISBLANK('Data Entry'!$Ċ$585), "", 'Data Entry'!$Ċ$585)</f>
      </c>
      <c r="GU585">
        <f>IF(ISBLANK('Data Entry'!$ċ$585), "", 'Data Entry'!$ċ$585)</f>
      </c>
      <c r="GV585">
        <f>IF(ISBLANK('Data Entry'!$Č$585), "", 'Data Entry'!$Č$585)</f>
      </c>
      <c r="GW585">
        <f>IF(ISBLANK('Data Entry'!$č$585), "", 'Data Entry'!$č$585)</f>
      </c>
      <c r="GX585">
        <f>IF(ISBLANK('Data Entry'!$Ď$585), "", 'Data Entry'!$Ď$585)</f>
      </c>
      <c r="GY585">
        <f>IF(ISBLANK('Data Entry'!$ď$585), "", 'Data Entry'!$ď$585)</f>
      </c>
      <c r="GZ585">
        <f>IF(ISBLANK('Data Entry'!$Đ$585), "", 'Data Entry'!$Đ$585)</f>
      </c>
      <c r="HA585">
        <f>IF(ISBLANK('Data Entry'!$đ$585), "", 'Data Entry'!$đ$585)</f>
      </c>
      <c r="HB585">
        <f>IF(ISBLANK('Data Entry'!$Ē$585), "", 'Data Entry'!$Ē$585)</f>
      </c>
      <c r="HC585">
        <f>IF(ISBLANK('Data Entry'!$ē$585), "", 'Data Entry'!$ē$585)</f>
      </c>
      <c r="HD585">
        <f>IF(ISBLANK('Data Entry'!$Ĕ$585), "", 'Data Entry'!$Ĕ$585)</f>
      </c>
      <c r="HE585">
        <f>IF(ISBLANK('Data Entry'!$ĕ$585), "", 'Data Entry'!$ĕ$585)</f>
      </c>
      <c r="HF585">
        <f>IF(ISBLANK('Data Entry'!$Ė$585), "", 'Data Entry'!$Ė$585)</f>
      </c>
      <c r="HG585">
        <f>IF(ISBLANK('Data Entry'!$ė$585), "", 'Data Entry'!$ė$585)</f>
      </c>
      <c r="HH585">
        <f>IF(ISBLANK('Data Entry'!$Ę$585), "", 'Data Entry'!$Ę$585)</f>
      </c>
      <c r="HI585">
        <f>IF(ISBLANK('Data Entry'!$ę$585), "", 'Data Entry'!$ę$585)</f>
      </c>
      <c r="HJ585">
        <f>IF(ISBLANK('Data Entry'!$Ě$585), "", 'Data Entry'!$Ě$585)</f>
      </c>
      <c r="HK585">
        <f>IF(ISBLANK('Data Entry'!$ě$585), "", 'Data Entry'!$ě$585)</f>
      </c>
      <c r="HL585">
        <f>IF(ISBLANK('Data Entry'!$Ĝ$585), "", 'Data Entry'!$Ĝ$585)</f>
      </c>
      <c r="HM585">
        <f>IF(ISBLANK('Data Entry'!$ĝ$585), "", 'Data Entry'!$ĝ$585)</f>
      </c>
      <c r="HN585">
        <f>IF(ISBLANK('Data Entry'!$Ğ$585), "", 'Data Entry'!$Ğ$585)</f>
      </c>
      <c r="HO585">
        <f>IF(ISBLANK('Data Entry'!$ğ$585), "", 'Data Entry'!$ğ$585)</f>
      </c>
      <c r="HP585">
        <f>IF(ISBLANK('Data Entry'!$Ġ$585), "", 'Data Entry'!$Ġ$585)</f>
      </c>
      <c r="HQ585">
        <f>IF(ISBLANK('Data Entry'!$ġ$585), "", 'Data Entry'!$ġ$585)</f>
      </c>
      <c r="HR585">
        <f>IF(ISBLANK('Data Entry'!$Ģ$585), "", 'Data Entry'!$Ģ$585)</f>
      </c>
      <c r="HS585">
        <f>IF(ISBLANK('Data Entry'!$ģ$585), "", 'Data Entry'!$ģ$585)</f>
      </c>
      <c r="HT585">
        <f>IF(ISBLANK('Data Entry'!$Ĥ$585), "", 'Data Entry'!$Ĥ$585)</f>
      </c>
      <c r="HU585">
        <f>IF(ISBLANK('Data Entry'!$ĥ$585), "", 'Data Entry'!$ĥ$585)</f>
      </c>
      <c r="HV585">
        <f>IF(ISBLANK('Data Entry'!$Ħ$585), "", 'Data Entry'!$Ħ$585)</f>
      </c>
      <c r="HW585">
        <f>IF(ISBLANK('Data Entry'!$ħ$585), "", 'Data Entry'!$ħ$585)</f>
      </c>
      <c r="HX585">
        <f>IF(ISBLANK('Data Entry'!$Ĩ$585), "", 'Data Entry'!$Ĩ$585)</f>
      </c>
      <c r="HY585">
        <f>IF(ISBLANK('Data Entry'!$ĩ$585), "", 'Data Entry'!$ĩ$585)</f>
      </c>
      <c r="HZ585">
        <f>IF(ISBLANK('Data Entry'!$Ī$585), "", 'Data Entry'!$Ī$585)</f>
      </c>
      <c r="IA585">
        <f>IF(ISBLANK('Data Entry'!$ī$585), "", 'Data Entry'!$ī$585)</f>
      </c>
      <c r="IB585">
        <f>IF(ISBLANK('Data Entry'!$Ĭ$585), "", 'Data Entry'!$Ĭ$585)</f>
      </c>
      <c r="IC585">
        <f>IF(ISBLANK('Data Entry'!$ĭ$585), "", 'Data Entry'!$ĭ$585)</f>
      </c>
      <c r="ID585">
        <f>IF(ISBLANK('Data Entry'!$Į$585), "", 'Data Entry'!$Į$585)</f>
      </c>
      <c r="IE585">
        <f>IF(ISBLANK('Data Entry'!$į$585), "", 'Data Entry'!$į$585)</f>
      </c>
      <c r="IF585">
        <f>IF(ISBLANK('Data Entry'!$İ$585), "", 'Data Entry'!$İ$585)</f>
      </c>
      <c r="IG585">
        <f>IF(ISBLANK('Data Entry'!$ı$585), "", 'Data Entry'!$ı$585)</f>
      </c>
      <c r="IH585">
        <f>IF(ISBLANK('Data Entry'!$Ĳ$585), "", 'Data Entry'!$Ĳ$585)</f>
      </c>
      <c r="II585">
        <f>IF(ISBLANK('Data Entry'!$ĳ$585), "", 'Data Entry'!$ĳ$585)</f>
      </c>
      <c r="IJ585">
        <f>IF(ISBLANK('Data Entry'!$Ĵ$585), "", 'Data Entry'!$Ĵ$585)</f>
      </c>
      <c r="IK585">
        <f>IF(ISBLANK('Data Entry'!$ĵ$585), "", 'Data Entry'!$ĵ$585)</f>
      </c>
      <c r="IL585">
        <f>IF(ISBLANK('Data Entry'!$Ķ$585), "", 'Data Entry'!$Ķ$585)</f>
      </c>
      <c r="IM585">
        <f>IF(ISBLANK('Data Entry'!$ķ$585), "", 'Data Entry'!$ķ$585)</f>
      </c>
      <c r="IN585">
        <f>IF(ISBLANK('Data Entry'!$ĸ$585), "", 'Data Entry'!$ĸ$585)</f>
      </c>
      <c r="IO585">
        <f>IF(ISBLANK('Data Entry'!$Ĺ$585), "", 'Data Entry'!$Ĺ$585)</f>
      </c>
      <c r="IP585">
        <f>IF(ISBLANK('Data Entry'!$ĺ$585), "", 'Data Entry'!$ĺ$585)</f>
      </c>
      <c r="IQ585">
        <f>IF(ISBLANK('Data Entry'!$Ļ$585), "", 'Data Entry'!$Ļ$585)</f>
      </c>
      <c r="IR585">
        <f>IF(ISBLANK('Data Entry'!$ļ$585), "", 'Data Entry'!$ļ$585)</f>
      </c>
      <c r="IS585">
        <f>IF(ISBLANK('Data Entry'!$Ľ$585), "", 'Data Entry'!$Ľ$585)</f>
      </c>
      <c r="IT585">
        <f>IF(ISBLANK('Data Entry'!$ľ$585), "", 'Data Entry'!$ľ$585)</f>
      </c>
    </row>
    <row r="586" spans="1:254" x14ac:dyDescent="0.25">
      <c r="A586">
        <f>IF(ISBLANK('Data Entry'!$A$586), "", 'Data Entry'!$A$586)</f>
      </c>
      <c r="B586">
        <f>IF(ISBLANK('Data Entry'!$B$586), "", 'Data Entry'!$B$586)</f>
      </c>
      <c r="C586">
        <f>IF(ISBLANK('Data Entry'!$C$586), "", 'Data Entry'!$C$586)</f>
      </c>
      <c r="D586">
        <f>IF(ISBLANK('Data Entry'!$D$586), "", 'Data Entry'!$D$586)</f>
      </c>
      <c r="E586">
        <f>IF(ISBLANK('Data Entry'!$E$586), "", 'Data Entry'!$E$586)</f>
      </c>
      <c r="F586">
        <f>IF(ISBLANK('Data Entry'!$F$586), "", 'Data Entry'!$F$586)</f>
      </c>
      <c r="G586">
        <f>IF(ISBLANK('Data Entry'!$G$586), "", 'Data Entry'!$G$586)</f>
      </c>
      <c r="H586">
        <f>IF(ISBLANK('Data Entry'!$H$586), "", 'Data Entry'!$H$586)</f>
      </c>
      <c r="I586">
        <f>IF(ISBLANK('Data Entry'!$I$586), "", 'Data Entry'!$I$586)</f>
      </c>
      <c r="J586">
        <f>IF(ISBLANK('Data Entry'!$J$586), "", 'Data Entry'!$J$586)</f>
      </c>
      <c r="K586">
        <f>IF(ISBLANK('Data Entry'!$K$586), "", 'Data Entry'!$K$586)</f>
      </c>
      <c r="L586">
        <f>IF(ISBLANK('Data Entry'!$L$586), "", 'Data Entry'!$L$586)</f>
      </c>
      <c r="M586">
        <f>IF(ISBLANK('Data Entry'!$M$586), "", 'Data Entry'!$M$586)</f>
      </c>
      <c r="N586">
        <f>IF(ISBLANK('Data Entry'!$N$586), "", 'Data Entry'!$N$586)</f>
      </c>
      <c r="O586">
        <f>IF(ISBLANK('Data Entry'!$O$586), "", 'Data Entry'!$O$586)</f>
      </c>
      <c r="P586">
        <f>IF(ISBLANK('Data Entry'!$P$586), "", 'Data Entry'!$P$586)</f>
      </c>
      <c r="Q586">
        <f>IF(ISBLANK('Data Entry'!$Q$586), "", 'Data Entry'!$Q$586)</f>
      </c>
      <c r="R586">
        <f>IF(ISBLANK('Data Entry'!$R$586), "", 'Data Entry'!$R$586)</f>
      </c>
      <c r="S586">
        <f>IF(ISBLANK('Data Entry'!$S$586), "", 'Data Entry'!$S$586)</f>
      </c>
      <c r="T586">
        <f>IF(ISBLANK('Data Entry'!$T$586), "", 'Data Entry'!$T$586)</f>
      </c>
      <c r="U586">
        <f>IF(ISBLANK('Data Entry'!$U$586), "", 'Data Entry'!$U$586)</f>
      </c>
      <c r="V586">
        <f>IF(ISBLANK('Data Entry'!$V$586), "", 'Data Entry'!$V$586)</f>
      </c>
      <c r="W586">
        <f>IF(ISBLANK('Data Entry'!$W$586), "", 'Data Entry'!$W$586)</f>
      </c>
      <c r="X586">
        <f>IF(ISBLANK('Data Entry'!$X$586), "", 'Data Entry'!$X$586)</f>
      </c>
      <c r="Y586">
        <f>IF(ISBLANK('Data Entry'!$Y$586), "", 'Data Entry'!$Y$586)</f>
      </c>
      <c r="Z586">
        <f>IF(ISBLANK('Data Entry'!$Z$586), "", 'Data Entry'!$Z$586)</f>
      </c>
      <c r="AA586">
        <f>IF(ISBLANK('Data Entry'!$[$586), "", 'Data Entry'!$[$586)</f>
      </c>
      <c r="AB586">
        <f>IF(ISBLANK('Data Entry'!$\$586), "", 'Data Entry'!$\$586)</f>
      </c>
      <c r="AC586">
        <f>IF(ISBLANK('Data Entry'!$]$586), "", 'Data Entry'!$]$586)</f>
      </c>
      <c r="AD586">
        <f>IF(ISBLANK('Data Entry'!$^$586), "", 'Data Entry'!$^$586)</f>
      </c>
      <c r="AE586">
        <f>IF(ISBLANK('Data Entry'!$_$586), "", 'Data Entry'!$_$586)</f>
      </c>
      <c r="AF586">
        <f>IF(ISBLANK('Data Entry'!$`$586), "", 'Data Entry'!$`$586)</f>
      </c>
      <c r="AG586">
        <f>IF(ISBLANK('Data Entry'!$a$586), "", 'Data Entry'!$a$586)</f>
      </c>
      <c r="AH586">
        <f>IF(ISBLANK('Data Entry'!$b$586), "", 'Data Entry'!$b$586)</f>
      </c>
      <c r="AI586">
        <f>IF(ISBLANK('Data Entry'!$c$586), "", 'Data Entry'!$c$586)</f>
      </c>
      <c r="AJ586">
        <f>IF(ISBLANK('Data Entry'!$d$586), "", 'Data Entry'!$d$586)</f>
      </c>
      <c r="AK586">
        <f>IF(ISBLANK('Data Entry'!$e$586), "", 'Data Entry'!$e$586)</f>
      </c>
      <c r="AL586">
        <f>IF(ISBLANK('Data Entry'!$f$586), "", 'Data Entry'!$f$586)</f>
      </c>
      <c r="AM586">
        <f>IF(ISBLANK('Data Entry'!$g$586), "", 'Data Entry'!$g$586)</f>
      </c>
      <c r="AN586">
        <f>IF(ISBLANK('Data Entry'!$h$586), "", 'Data Entry'!$h$586)</f>
      </c>
      <c r="AO586">
        <f>IF(ISBLANK('Data Entry'!$i$586), "", 'Data Entry'!$i$586)</f>
      </c>
      <c r="AP586">
        <f>IF(ISBLANK('Data Entry'!$j$586), "", 'Data Entry'!$j$586)</f>
      </c>
      <c r="AQ586">
        <f>IF(ISBLANK('Data Entry'!$k$586), "", 'Data Entry'!$k$586)</f>
      </c>
      <c r="AR586">
        <f>IF(ISBLANK('Data Entry'!$l$586), "", 'Data Entry'!$l$586)</f>
      </c>
      <c r="AS586">
        <f>IF(ISBLANK('Data Entry'!$m$586), "", 'Data Entry'!$m$586)</f>
      </c>
      <c r="AT586">
        <f>IF(ISBLANK('Data Entry'!$n$586), "", 'Data Entry'!$n$586)</f>
      </c>
      <c r="AU586">
        <f>IF(ISBLANK('Data Entry'!$o$586), "", 'Data Entry'!$o$586)</f>
      </c>
      <c r="AV586">
        <f>IF(ISBLANK('Data Entry'!$p$586), "", 'Data Entry'!$p$586)</f>
      </c>
      <c r="AW586">
        <f>IF(ISBLANK('Data Entry'!$q$586), "", 'Data Entry'!$q$586)</f>
      </c>
      <c r="AX586">
        <f>IF(ISBLANK('Data Entry'!$r$586), "", 'Data Entry'!$r$586)</f>
      </c>
      <c r="AY586">
        <f>IF(ISBLANK('Data Entry'!$s$586), "", 'Data Entry'!$s$586)</f>
      </c>
      <c r="AZ586">
        <f>IF(ISBLANK('Data Entry'!$t$586), "", 'Data Entry'!$t$586)</f>
      </c>
      <c r="BA586">
        <f>IF(ISBLANK('Data Entry'!$u$586), "", 'Data Entry'!$u$586)</f>
      </c>
      <c r="BB586">
        <f>IF(ISBLANK('Data Entry'!$v$586), "", 'Data Entry'!$v$586)</f>
      </c>
      <c r="BC586">
        <f>IF(ISBLANK('Data Entry'!$w$586), "", 'Data Entry'!$w$586)</f>
      </c>
      <c r="BD586">
        <f>IF(ISBLANK('Data Entry'!$x$586), "", 'Data Entry'!$x$586)</f>
      </c>
      <c r="BE586">
        <f>IF(ISBLANK('Data Entry'!$y$586), "", 'Data Entry'!$y$586)</f>
      </c>
      <c r="BF586">
        <f>IF(ISBLANK('Data Entry'!$z$586), "", 'Data Entry'!$z$586)</f>
      </c>
      <c r="BG586">
        <f>IF(ISBLANK('Data Entry'!${$586), "", 'Data Entry'!${$586)</f>
      </c>
      <c r="BH586">
        <f>IF(ISBLANK('Data Entry'!$|$586), "", 'Data Entry'!$|$586)</f>
      </c>
      <c r="BI586">
        <f>IF(ISBLANK('Data Entry'!$}$586), "", 'Data Entry'!$}$586)</f>
      </c>
      <c r="BJ586">
        <f>IF(ISBLANK('Data Entry'!$~$586), "", 'Data Entry'!$~$586)</f>
      </c>
      <c r="BK586">
        <f>IF(ISBLANK('Data Entry'!$$586), "", 'Data Entry'!$$586)</f>
      </c>
      <c r="BL586">
        <f>IF(ISBLANK('Data Entry'!$$586), "", 'Data Entry'!$$586)</f>
      </c>
      <c r="BM586">
        <f>IF(ISBLANK('Data Entry'!$$586), "", 'Data Entry'!$$586)</f>
      </c>
      <c r="BN586">
        <f>IF(ISBLANK('Data Entry'!$$586), "", 'Data Entry'!$$586)</f>
      </c>
      <c r="BO586">
        <f>IF(ISBLANK('Data Entry'!$$586), "", 'Data Entry'!$$586)</f>
      </c>
      <c r="BP586">
        <f>IF(ISBLANK('Data Entry'!$$586), "", 'Data Entry'!$$586)</f>
      </c>
      <c r="BQ586">
        <f>IF(ISBLANK('Data Entry'!$$586), "", 'Data Entry'!$$586)</f>
      </c>
      <c r="BR586">
        <f>IF(ISBLANK('Data Entry'!$$586), "", 'Data Entry'!$$586)</f>
      </c>
      <c r="BS586">
        <f>IF(ISBLANK('Data Entry'!$$586), "", 'Data Entry'!$$586)</f>
      </c>
      <c r="BT586">
        <f>IF(ISBLANK('Data Entry'!$$586), "", 'Data Entry'!$$586)</f>
      </c>
      <c r="BU586">
        <f>IF(ISBLANK('Data Entry'!$$586), "", 'Data Entry'!$$586)</f>
      </c>
      <c r="BV586">
        <f>IF(ISBLANK('Data Entry'!$$586), "", 'Data Entry'!$$586)</f>
      </c>
      <c r="BW586">
        <f>IF(ISBLANK('Data Entry'!$$586), "", 'Data Entry'!$$586)</f>
      </c>
      <c r="BX586">
        <f>IF(ISBLANK('Data Entry'!$$586), "", 'Data Entry'!$$586)</f>
      </c>
      <c r="BY586">
        <f>IF(ISBLANK('Data Entry'!$$586), "", 'Data Entry'!$$586)</f>
      </c>
      <c r="BZ586">
        <f>IF(ISBLANK('Data Entry'!$$586), "", 'Data Entry'!$$586)</f>
      </c>
      <c r="CA586">
        <f>IF(ISBLANK('Data Entry'!$$586), "", 'Data Entry'!$$586)</f>
      </c>
      <c r="CB586">
        <f>IF(ISBLANK('Data Entry'!$$586), "", 'Data Entry'!$$586)</f>
      </c>
      <c r="CC586">
        <f>IF(ISBLANK('Data Entry'!$$586), "", 'Data Entry'!$$586)</f>
      </c>
      <c r="CD586">
        <f>IF(ISBLANK('Data Entry'!$$586), "", 'Data Entry'!$$586)</f>
      </c>
      <c r="CE586">
        <f>IF(ISBLANK('Data Entry'!$$586), "", 'Data Entry'!$$586)</f>
      </c>
      <c r="CF586">
        <f>IF(ISBLANK('Data Entry'!$$586), "", 'Data Entry'!$$586)</f>
      </c>
      <c r="CG586">
        <f>IF(ISBLANK('Data Entry'!$$586), "", 'Data Entry'!$$586)</f>
      </c>
      <c r="CH586">
        <f>IF(ISBLANK('Data Entry'!$$586), "", 'Data Entry'!$$586)</f>
      </c>
      <c r="CI586">
        <f>IF(ISBLANK('Data Entry'!$$586), "", 'Data Entry'!$$586)</f>
      </c>
      <c r="CJ586">
        <f>IF(ISBLANK('Data Entry'!$$586), "", 'Data Entry'!$$586)</f>
      </c>
      <c r="CK586">
        <f>IF(ISBLANK('Data Entry'!$$586), "", 'Data Entry'!$$586)</f>
      </c>
      <c r="CL586">
        <f>IF(ISBLANK('Data Entry'!$$586), "", 'Data Entry'!$$586)</f>
      </c>
      <c r="CM586">
        <f>IF(ISBLANK('Data Entry'!$$586), "", 'Data Entry'!$$586)</f>
      </c>
      <c r="CN586">
        <f>IF(ISBLANK('Data Entry'!$$586), "", 'Data Entry'!$$586)</f>
      </c>
      <c r="CO586">
        <f>IF(ISBLANK('Data Entry'!$$586), "", 'Data Entry'!$$586)</f>
      </c>
      <c r="CP586">
        <f>IF(ISBLANK('Data Entry'!$$586), "", 'Data Entry'!$$586)</f>
      </c>
      <c r="CQ586">
        <f>IF(ISBLANK('Data Entry'!$$586), "", 'Data Entry'!$$586)</f>
      </c>
      <c r="CR586">
        <f>IF(ISBLANK('Data Entry'!$ $586), "", 'Data Entry'!$ $586)</f>
      </c>
      <c r="CS586">
        <f>IF(ISBLANK('Data Entry'!$¡$586), "", 'Data Entry'!$¡$586)</f>
      </c>
      <c r="CT586">
        <f>IF(ISBLANK('Data Entry'!$¢$586), "", 'Data Entry'!$¢$586)</f>
      </c>
      <c r="CU586">
        <f>IF(ISBLANK('Data Entry'!$£$586), "", 'Data Entry'!$£$586)</f>
      </c>
      <c r="CV586">
        <f>IF(ISBLANK('Data Entry'!$¤$586), "", 'Data Entry'!$¤$586)</f>
      </c>
      <c r="CW586">
        <f>IF(ISBLANK('Data Entry'!$¥$586), "", 'Data Entry'!$¥$586)</f>
      </c>
      <c r="CX586">
        <f>IF(ISBLANK('Data Entry'!$¦$586), "", 'Data Entry'!$¦$586)</f>
      </c>
      <c r="CY586">
        <f>IF(ISBLANK('Data Entry'!$§$586), "", 'Data Entry'!$§$586)</f>
      </c>
      <c r="CZ586">
        <f>IF(ISBLANK('Data Entry'!$¨$586), "", 'Data Entry'!$¨$586)</f>
      </c>
      <c r="DA586">
        <f>IF(ISBLANK('Data Entry'!$©$586), "", 'Data Entry'!$©$586)</f>
      </c>
      <c r="DB586">
        <f>IF(ISBLANK('Data Entry'!$ª$586), "", 'Data Entry'!$ª$586)</f>
      </c>
      <c r="DC586">
        <f>IF(ISBLANK('Data Entry'!$«$586), "", 'Data Entry'!$«$586)</f>
      </c>
      <c r="DD586">
        <f>IF(ISBLANK('Data Entry'!$¬$586), "", 'Data Entry'!$¬$586)</f>
      </c>
      <c r="DE586">
        <f>IF(ISBLANK('Data Entry'!$­$586), "", 'Data Entry'!$­$586)</f>
      </c>
      <c r="DF586">
        <f>IF(ISBLANK('Data Entry'!$®$586), "", 'Data Entry'!$®$586)</f>
      </c>
      <c r="DG586">
        <f>IF(ISBLANK('Data Entry'!$¯$586), "", 'Data Entry'!$¯$586)</f>
      </c>
      <c r="DH586">
        <f>IF(ISBLANK('Data Entry'!$°$586), "", 'Data Entry'!$°$586)</f>
      </c>
      <c r="DI586">
        <f>IF(ISBLANK('Data Entry'!$±$586), "", 'Data Entry'!$±$586)</f>
      </c>
      <c r="DJ586">
        <f>IF(ISBLANK('Data Entry'!$²$586), "", 'Data Entry'!$²$586)</f>
      </c>
      <c r="DK586">
        <f>IF(ISBLANK('Data Entry'!$³$586), "", 'Data Entry'!$³$586)</f>
      </c>
      <c r="DL586">
        <f>IF(ISBLANK('Data Entry'!$´$586), "", 'Data Entry'!$´$586)</f>
      </c>
      <c r="DM586">
        <f>IF(ISBLANK('Data Entry'!$µ$586), "", 'Data Entry'!$µ$586)</f>
      </c>
      <c r="DN586">
        <f>IF(ISBLANK('Data Entry'!$¶$586), "", 'Data Entry'!$¶$586)</f>
      </c>
      <c r="DO586">
        <f>IF(ISBLANK('Data Entry'!$·$586), "", 'Data Entry'!$·$586)</f>
      </c>
      <c r="DP586">
        <f>IF(ISBLANK('Data Entry'!$¸$586), "", 'Data Entry'!$¸$586)</f>
      </c>
      <c r="DQ586">
        <f>IF(ISBLANK('Data Entry'!$¹$586), "", 'Data Entry'!$¹$586)</f>
      </c>
      <c r="DR586">
        <f>IF(ISBLANK('Data Entry'!$º$586), "", 'Data Entry'!$º$586)</f>
      </c>
      <c r="DS586">
        <f>IF(ISBLANK('Data Entry'!$»$586), "", 'Data Entry'!$»$586)</f>
      </c>
      <c r="DT586">
        <f>IF(ISBLANK('Data Entry'!$¼$586), "", 'Data Entry'!$¼$586)</f>
      </c>
      <c r="DU586">
        <f>IF(ISBLANK('Data Entry'!$½$586), "", 'Data Entry'!$½$586)</f>
      </c>
      <c r="DV586">
        <f>IF(ISBLANK('Data Entry'!$¾$586), "", 'Data Entry'!$¾$586)</f>
      </c>
      <c r="DW586">
        <f>IF(ISBLANK('Data Entry'!$¿$586), "", 'Data Entry'!$¿$586)</f>
      </c>
      <c r="DX586">
        <f>IF(ISBLANK('Data Entry'!$À$586), "", 'Data Entry'!$À$586)</f>
      </c>
      <c r="DY586">
        <f>IF(ISBLANK('Data Entry'!$Á$586), "", 'Data Entry'!$Á$586)</f>
      </c>
      <c r="DZ586">
        <f>IF(ISBLANK('Data Entry'!$Â$586), "", 'Data Entry'!$Â$586)</f>
      </c>
      <c r="EA586">
        <f>IF(ISBLANK('Data Entry'!$Ã$586), "", 'Data Entry'!$Ã$586)</f>
      </c>
      <c r="EB586">
        <f>IF(ISBLANK('Data Entry'!$Ä$586), "", 'Data Entry'!$Ä$586)</f>
      </c>
      <c r="EC586">
        <f>IF(ISBLANK('Data Entry'!$Å$586), "", 'Data Entry'!$Å$586)</f>
      </c>
      <c r="ED586">
        <f>IF(ISBLANK('Data Entry'!$Æ$586), "", 'Data Entry'!$Æ$586)</f>
      </c>
      <c r="EE586">
        <f>IF(ISBLANK('Data Entry'!$Ç$586), "", 'Data Entry'!$Ç$586)</f>
      </c>
      <c r="EF586">
        <f>IF(ISBLANK('Data Entry'!$È$586), "", 'Data Entry'!$È$586)</f>
      </c>
      <c r="EG586">
        <f>IF(ISBLANK('Data Entry'!$É$586), "", 'Data Entry'!$É$586)</f>
      </c>
      <c r="EH586">
        <f>IF(ISBLANK('Data Entry'!$Ê$586), "", 'Data Entry'!$Ê$586)</f>
      </c>
      <c r="EI586">
        <f>IF(ISBLANK('Data Entry'!$Ë$586), "", 'Data Entry'!$Ë$586)</f>
      </c>
      <c r="EJ586">
        <f>IF(ISBLANK('Data Entry'!$Ì$586), "", 'Data Entry'!$Ì$586)</f>
      </c>
      <c r="EK586">
        <f>IF(ISBLANK('Data Entry'!$Í$586), "", 'Data Entry'!$Í$586)</f>
      </c>
      <c r="EL586">
        <f>IF(ISBLANK('Data Entry'!$Î$586), "", 'Data Entry'!$Î$586)</f>
      </c>
      <c r="EM586">
        <f>IF(ISBLANK('Data Entry'!$Ï$586), "", 'Data Entry'!$Ï$586)</f>
      </c>
      <c r="EN586">
        <f>IF(ISBLANK('Data Entry'!$Ð$586), "", 'Data Entry'!$Ð$586)</f>
      </c>
      <c r="EO586">
        <f>IF(ISBLANK('Data Entry'!$Ñ$586), "", 'Data Entry'!$Ñ$586)</f>
      </c>
      <c r="EP586">
        <f>IF(ISBLANK('Data Entry'!$Ò$586), "", 'Data Entry'!$Ò$586)</f>
      </c>
      <c r="EQ586">
        <f>IF(ISBLANK('Data Entry'!$Ó$586), "", 'Data Entry'!$Ó$586)</f>
      </c>
      <c r="ER586">
        <f>IF(ISBLANK('Data Entry'!$Ô$586), "", 'Data Entry'!$Ô$586)</f>
      </c>
      <c r="ES586">
        <f>IF(ISBLANK('Data Entry'!$Õ$586), "", 'Data Entry'!$Õ$586)</f>
      </c>
      <c r="ET586">
        <f>IF(ISBLANK('Data Entry'!$Ö$586), "", 'Data Entry'!$Ö$586)</f>
      </c>
      <c r="EU586">
        <f>IF(ISBLANK('Data Entry'!$×$586), "", 'Data Entry'!$×$586)</f>
      </c>
      <c r="EV586">
        <f>IF(ISBLANK('Data Entry'!$Ø$586), "", 'Data Entry'!$Ø$586)</f>
      </c>
      <c r="EW586">
        <f>IF(ISBLANK('Data Entry'!$Ù$586), "", 'Data Entry'!$Ù$586)</f>
      </c>
      <c r="EX586">
        <f>IF(ISBLANK('Data Entry'!$Ú$586), "", 'Data Entry'!$Ú$586)</f>
      </c>
      <c r="EY586">
        <f>IF(ISBLANK('Data Entry'!$Û$586), "", 'Data Entry'!$Û$586)</f>
      </c>
      <c r="EZ586">
        <f>IF(ISBLANK('Data Entry'!$Ü$586), "", 'Data Entry'!$Ü$586)</f>
      </c>
      <c r="FA586">
        <f>IF(ISBLANK('Data Entry'!$Ý$586), "", 'Data Entry'!$Ý$586)</f>
      </c>
      <c r="FB586">
        <f>IF(ISBLANK('Data Entry'!$Þ$586), "", 'Data Entry'!$Þ$586)</f>
      </c>
      <c r="FC586">
        <f>IF(ISBLANK('Data Entry'!$ß$586), "", 'Data Entry'!$ß$586)</f>
      </c>
      <c r="FD586">
        <f>IF(ISBLANK('Data Entry'!$à$586), "", 'Data Entry'!$à$586)</f>
      </c>
      <c r="FE586">
        <f>IF(ISBLANK('Data Entry'!$á$586), "", 'Data Entry'!$á$586)</f>
      </c>
      <c r="FF586">
        <f>IF(ISBLANK('Data Entry'!$â$586), "", 'Data Entry'!$â$586)</f>
      </c>
      <c r="FG586">
        <f>IF(ISBLANK('Data Entry'!$ã$586), "", 'Data Entry'!$ã$586)</f>
      </c>
      <c r="FH586">
        <f>IF(ISBLANK('Data Entry'!$ä$586), "", 'Data Entry'!$ä$586)</f>
      </c>
      <c r="FI586">
        <f>IF(ISBLANK('Data Entry'!$å$586), "", 'Data Entry'!$å$586)</f>
      </c>
      <c r="FJ586">
        <f>IF(ISBLANK('Data Entry'!$æ$586), "", 'Data Entry'!$æ$586)</f>
      </c>
      <c r="FK586">
        <f>IF(ISBLANK('Data Entry'!$ç$586), "", 'Data Entry'!$ç$586)</f>
      </c>
      <c r="FL586">
        <f>IF(ISBLANK('Data Entry'!$è$586), "", 'Data Entry'!$è$586)</f>
      </c>
      <c r="FM586">
        <f>IF(ISBLANK('Data Entry'!$é$586), "", 'Data Entry'!$é$586)</f>
      </c>
      <c r="FN586">
        <f>IF(ISBLANK('Data Entry'!$ê$586), "", 'Data Entry'!$ê$586)</f>
      </c>
      <c r="FO586">
        <f>IF(ISBLANK('Data Entry'!$ë$586), "", 'Data Entry'!$ë$586)</f>
      </c>
      <c r="FP586">
        <f>IF(ISBLANK('Data Entry'!$ì$586), "", 'Data Entry'!$ì$586)</f>
      </c>
      <c r="FQ586">
        <f>IF(ISBLANK('Data Entry'!$í$586), "", 'Data Entry'!$í$586)</f>
      </c>
      <c r="FR586">
        <f>IF(ISBLANK('Data Entry'!$î$586), "", 'Data Entry'!$î$586)</f>
      </c>
      <c r="FS586">
        <f>IF(ISBLANK('Data Entry'!$ï$586), "", 'Data Entry'!$ï$586)</f>
      </c>
      <c r="FT586">
        <f>IF(ISBLANK('Data Entry'!$ð$586), "", 'Data Entry'!$ð$586)</f>
      </c>
      <c r="FU586">
        <f>IF(ISBLANK('Data Entry'!$ñ$586), "", 'Data Entry'!$ñ$586)</f>
      </c>
      <c r="FV586">
        <f>IF(ISBLANK('Data Entry'!$ò$586), "", 'Data Entry'!$ò$586)</f>
      </c>
      <c r="FW586">
        <f>IF(ISBLANK('Data Entry'!$ó$586), "", 'Data Entry'!$ó$586)</f>
      </c>
      <c r="FX586">
        <f>IF(ISBLANK('Data Entry'!$ô$586), "", 'Data Entry'!$ô$586)</f>
      </c>
      <c r="FY586">
        <f>IF(ISBLANK('Data Entry'!$õ$586), "", 'Data Entry'!$õ$586)</f>
      </c>
      <c r="FZ586">
        <f>IF(ISBLANK('Data Entry'!$ö$586), "", 'Data Entry'!$ö$586)</f>
      </c>
      <c r="GA586">
        <f>IF(ISBLANK('Data Entry'!$÷$586), "", 'Data Entry'!$÷$586)</f>
      </c>
      <c r="GB586">
        <f>IF(ISBLANK('Data Entry'!$ø$586), "", 'Data Entry'!$ø$586)</f>
      </c>
      <c r="GC586">
        <f>IF(ISBLANK('Data Entry'!$ù$586), "", 'Data Entry'!$ù$586)</f>
      </c>
      <c r="GD586">
        <f>IF(ISBLANK('Data Entry'!$ú$586), "", 'Data Entry'!$ú$586)</f>
      </c>
      <c r="GE586">
        <f>IF(ISBLANK('Data Entry'!$û$586), "", 'Data Entry'!$û$586)</f>
      </c>
      <c r="GF586">
        <f>IF(ISBLANK('Data Entry'!$ü$586), "", 'Data Entry'!$ü$586)</f>
      </c>
      <c r="GG586">
        <f>IF(ISBLANK('Data Entry'!$ý$586), "", 'Data Entry'!$ý$586)</f>
      </c>
      <c r="GH586">
        <f>IF(ISBLANK('Data Entry'!$þ$586), "", 'Data Entry'!$þ$586)</f>
      </c>
      <c r="GI586">
        <f>IF(ISBLANK('Data Entry'!$ÿ$586), "", 'Data Entry'!$ÿ$586)</f>
      </c>
      <c r="GJ586">
        <f>IF(ISBLANK('Data Entry'!$Ā$586), "", 'Data Entry'!$Ā$586)</f>
      </c>
      <c r="GK586">
        <f>IF(ISBLANK('Data Entry'!$ā$586), "", 'Data Entry'!$ā$586)</f>
      </c>
      <c r="GL586">
        <f>IF(ISBLANK('Data Entry'!$Ă$586), "", 'Data Entry'!$Ă$586)</f>
      </c>
      <c r="GM586">
        <f>IF(ISBLANK('Data Entry'!$ă$586), "", 'Data Entry'!$ă$586)</f>
      </c>
      <c r="GN586">
        <f>IF(ISBLANK('Data Entry'!$Ą$586), "", 'Data Entry'!$Ą$586)</f>
      </c>
      <c r="GO586">
        <f>IF(ISBLANK('Data Entry'!$ą$586), "", 'Data Entry'!$ą$586)</f>
      </c>
      <c r="GP586">
        <f>IF(ISBLANK('Data Entry'!$Ć$586), "", 'Data Entry'!$Ć$586)</f>
      </c>
      <c r="GQ586">
        <f>IF(ISBLANK('Data Entry'!$ć$586), "", 'Data Entry'!$ć$586)</f>
      </c>
      <c r="GR586">
        <f>IF(ISBLANK('Data Entry'!$Ĉ$586), "", 'Data Entry'!$Ĉ$586)</f>
      </c>
      <c r="GS586">
        <f>IF(ISBLANK('Data Entry'!$ĉ$586), "", 'Data Entry'!$ĉ$586)</f>
      </c>
      <c r="GT586">
        <f>IF(ISBLANK('Data Entry'!$Ċ$586), "", 'Data Entry'!$Ċ$586)</f>
      </c>
      <c r="GU586">
        <f>IF(ISBLANK('Data Entry'!$ċ$586), "", 'Data Entry'!$ċ$586)</f>
      </c>
      <c r="GV586">
        <f>IF(ISBLANK('Data Entry'!$Č$586), "", 'Data Entry'!$Č$586)</f>
      </c>
      <c r="GW586">
        <f>IF(ISBLANK('Data Entry'!$č$586), "", 'Data Entry'!$č$586)</f>
      </c>
      <c r="GX586">
        <f>IF(ISBLANK('Data Entry'!$Ď$586), "", 'Data Entry'!$Ď$586)</f>
      </c>
      <c r="GY586">
        <f>IF(ISBLANK('Data Entry'!$ď$586), "", 'Data Entry'!$ď$586)</f>
      </c>
      <c r="GZ586">
        <f>IF(ISBLANK('Data Entry'!$Đ$586), "", 'Data Entry'!$Đ$586)</f>
      </c>
      <c r="HA586">
        <f>IF(ISBLANK('Data Entry'!$đ$586), "", 'Data Entry'!$đ$586)</f>
      </c>
      <c r="HB586">
        <f>IF(ISBLANK('Data Entry'!$Ē$586), "", 'Data Entry'!$Ē$586)</f>
      </c>
      <c r="HC586">
        <f>IF(ISBLANK('Data Entry'!$ē$586), "", 'Data Entry'!$ē$586)</f>
      </c>
      <c r="HD586">
        <f>IF(ISBLANK('Data Entry'!$Ĕ$586), "", 'Data Entry'!$Ĕ$586)</f>
      </c>
      <c r="HE586">
        <f>IF(ISBLANK('Data Entry'!$ĕ$586), "", 'Data Entry'!$ĕ$586)</f>
      </c>
      <c r="HF586">
        <f>IF(ISBLANK('Data Entry'!$Ė$586), "", 'Data Entry'!$Ė$586)</f>
      </c>
      <c r="HG586">
        <f>IF(ISBLANK('Data Entry'!$ė$586), "", 'Data Entry'!$ė$586)</f>
      </c>
      <c r="HH586">
        <f>IF(ISBLANK('Data Entry'!$Ę$586), "", 'Data Entry'!$Ę$586)</f>
      </c>
      <c r="HI586">
        <f>IF(ISBLANK('Data Entry'!$ę$586), "", 'Data Entry'!$ę$586)</f>
      </c>
      <c r="HJ586">
        <f>IF(ISBLANK('Data Entry'!$Ě$586), "", 'Data Entry'!$Ě$586)</f>
      </c>
      <c r="HK586">
        <f>IF(ISBLANK('Data Entry'!$ě$586), "", 'Data Entry'!$ě$586)</f>
      </c>
      <c r="HL586">
        <f>IF(ISBLANK('Data Entry'!$Ĝ$586), "", 'Data Entry'!$Ĝ$586)</f>
      </c>
      <c r="HM586">
        <f>IF(ISBLANK('Data Entry'!$ĝ$586), "", 'Data Entry'!$ĝ$586)</f>
      </c>
      <c r="HN586">
        <f>IF(ISBLANK('Data Entry'!$Ğ$586), "", 'Data Entry'!$Ğ$586)</f>
      </c>
      <c r="HO586">
        <f>IF(ISBLANK('Data Entry'!$ğ$586), "", 'Data Entry'!$ğ$586)</f>
      </c>
      <c r="HP586">
        <f>IF(ISBLANK('Data Entry'!$Ġ$586), "", 'Data Entry'!$Ġ$586)</f>
      </c>
      <c r="HQ586">
        <f>IF(ISBLANK('Data Entry'!$ġ$586), "", 'Data Entry'!$ġ$586)</f>
      </c>
      <c r="HR586">
        <f>IF(ISBLANK('Data Entry'!$Ģ$586), "", 'Data Entry'!$Ģ$586)</f>
      </c>
      <c r="HS586">
        <f>IF(ISBLANK('Data Entry'!$ģ$586), "", 'Data Entry'!$ģ$586)</f>
      </c>
      <c r="HT586">
        <f>IF(ISBLANK('Data Entry'!$Ĥ$586), "", 'Data Entry'!$Ĥ$586)</f>
      </c>
      <c r="HU586">
        <f>IF(ISBLANK('Data Entry'!$ĥ$586), "", 'Data Entry'!$ĥ$586)</f>
      </c>
      <c r="HV586">
        <f>IF(ISBLANK('Data Entry'!$Ħ$586), "", 'Data Entry'!$Ħ$586)</f>
      </c>
      <c r="HW586">
        <f>IF(ISBLANK('Data Entry'!$ħ$586), "", 'Data Entry'!$ħ$586)</f>
      </c>
      <c r="HX586">
        <f>IF(ISBLANK('Data Entry'!$Ĩ$586), "", 'Data Entry'!$Ĩ$586)</f>
      </c>
      <c r="HY586">
        <f>IF(ISBLANK('Data Entry'!$ĩ$586), "", 'Data Entry'!$ĩ$586)</f>
      </c>
      <c r="HZ586">
        <f>IF(ISBLANK('Data Entry'!$Ī$586), "", 'Data Entry'!$Ī$586)</f>
      </c>
      <c r="IA586">
        <f>IF(ISBLANK('Data Entry'!$ī$586), "", 'Data Entry'!$ī$586)</f>
      </c>
      <c r="IB586">
        <f>IF(ISBLANK('Data Entry'!$Ĭ$586), "", 'Data Entry'!$Ĭ$586)</f>
      </c>
      <c r="IC586">
        <f>IF(ISBLANK('Data Entry'!$ĭ$586), "", 'Data Entry'!$ĭ$586)</f>
      </c>
      <c r="ID586">
        <f>IF(ISBLANK('Data Entry'!$Į$586), "", 'Data Entry'!$Į$586)</f>
      </c>
      <c r="IE586">
        <f>IF(ISBLANK('Data Entry'!$į$586), "", 'Data Entry'!$į$586)</f>
      </c>
      <c r="IF586">
        <f>IF(ISBLANK('Data Entry'!$İ$586), "", 'Data Entry'!$İ$586)</f>
      </c>
      <c r="IG586">
        <f>IF(ISBLANK('Data Entry'!$ı$586), "", 'Data Entry'!$ı$586)</f>
      </c>
      <c r="IH586">
        <f>IF(ISBLANK('Data Entry'!$Ĳ$586), "", 'Data Entry'!$Ĳ$586)</f>
      </c>
      <c r="II586">
        <f>IF(ISBLANK('Data Entry'!$ĳ$586), "", 'Data Entry'!$ĳ$586)</f>
      </c>
      <c r="IJ586">
        <f>IF(ISBLANK('Data Entry'!$Ĵ$586), "", 'Data Entry'!$Ĵ$586)</f>
      </c>
      <c r="IK586">
        <f>IF(ISBLANK('Data Entry'!$ĵ$586), "", 'Data Entry'!$ĵ$586)</f>
      </c>
      <c r="IL586">
        <f>IF(ISBLANK('Data Entry'!$Ķ$586), "", 'Data Entry'!$Ķ$586)</f>
      </c>
      <c r="IM586">
        <f>IF(ISBLANK('Data Entry'!$ķ$586), "", 'Data Entry'!$ķ$586)</f>
      </c>
      <c r="IN586">
        <f>IF(ISBLANK('Data Entry'!$ĸ$586), "", 'Data Entry'!$ĸ$586)</f>
      </c>
      <c r="IO586">
        <f>IF(ISBLANK('Data Entry'!$Ĺ$586), "", 'Data Entry'!$Ĺ$586)</f>
      </c>
      <c r="IP586">
        <f>IF(ISBLANK('Data Entry'!$ĺ$586), "", 'Data Entry'!$ĺ$586)</f>
      </c>
      <c r="IQ586">
        <f>IF(ISBLANK('Data Entry'!$Ļ$586), "", 'Data Entry'!$Ļ$586)</f>
      </c>
      <c r="IR586">
        <f>IF(ISBLANK('Data Entry'!$ļ$586), "", 'Data Entry'!$ļ$586)</f>
      </c>
      <c r="IS586">
        <f>IF(ISBLANK('Data Entry'!$Ľ$586), "", 'Data Entry'!$Ľ$586)</f>
      </c>
      <c r="IT586">
        <f>IF(ISBLANK('Data Entry'!$ľ$586), "", 'Data Entry'!$ľ$586)</f>
      </c>
    </row>
    <row r="587" spans="1:254" x14ac:dyDescent="0.25">
      <c r="A587">
        <f>IF(ISBLANK('Data Entry'!$A$587), "", 'Data Entry'!$A$587)</f>
      </c>
      <c r="B587">
        <f>IF(ISBLANK('Data Entry'!$B$587), "", 'Data Entry'!$B$587)</f>
      </c>
      <c r="C587">
        <f>IF(ISBLANK('Data Entry'!$C$587), "", 'Data Entry'!$C$587)</f>
      </c>
      <c r="D587">
        <f>IF(ISBLANK('Data Entry'!$D$587), "", 'Data Entry'!$D$587)</f>
      </c>
      <c r="E587">
        <f>IF(ISBLANK('Data Entry'!$E$587), "", 'Data Entry'!$E$587)</f>
      </c>
      <c r="F587">
        <f>IF(ISBLANK('Data Entry'!$F$587), "", 'Data Entry'!$F$587)</f>
      </c>
      <c r="G587">
        <f>IF(ISBLANK('Data Entry'!$G$587), "", 'Data Entry'!$G$587)</f>
      </c>
      <c r="H587">
        <f>IF(ISBLANK('Data Entry'!$H$587), "", 'Data Entry'!$H$587)</f>
      </c>
      <c r="I587">
        <f>IF(ISBLANK('Data Entry'!$I$587), "", 'Data Entry'!$I$587)</f>
      </c>
      <c r="J587">
        <f>IF(ISBLANK('Data Entry'!$J$587), "", 'Data Entry'!$J$587)</f>
      </c>
      <c r="K587">
        <f>IF(ISBLANK('Data Entry'!$K$587), "", 'Data Entry'!$K$587)</f>
      </c>
      <c r="L587">
        <f>IF(ISBLANK('Data Entry'!$L$587), "", 'Data Entry'!$L$587)</f>
      </c>
      <c r="M587">
        <f>IF(ISBLANK('Data Entry'!$M$587), "", 'Data Entry'!$M$587)</f>
      </c>
      <c r="N587">
        <f>IF(ISBLANK('Data Entry'!$N$587), "", 'Data Entry'!$N$587)</f>
      </c>
      <c r="O587">
        <f>IF(ISBLANK('Data Entry'!$O$587), "", 'Data Entry'!$O$587)</f>
      </c>
      <c r="P587">
        <f>IF(ISBLANK('Data Entry'!$P$587), "", 'Data Entry'!$P$587)</f>
      </c>
      <c r="Q587">
        <f>IF(ISBLANK('Data Entry'!$Q$587), "", 'Data Entry'!$Q$587)</f>
      </c>
      <c r="R587">
        <f>IF(ISBLANK('Data Entry'!$R$587), "", 'Data Entry'!$R$587)</f>
      </c>
      <c r="S587">
        <f>IF(ISBLANK('Data Entry'!$S$587), "", 'Data Entry'!$S$587)</f>
      </c>
      <c r="T587">
        <f>IF(ISBLANK('Data Entry'!$T$587), "", 'Data Entry'!$T$587)</f>
      </c>
      <c r="U587">
        <f>IF(ISBLANK('Data Entry'!$U$587), "", 'Data Entry'!$U$587)</f>
      </c>
      <c r="V587">
        <f>IF(ISBLANK('Data Entry'!$V$587), "", 'Data Entry'!$V$587)</f>
      </c>
      <c r="W587">
        <f>IF(ISBLANK('Data Entry'!$W$587), "", 'Data Entry'!$W$587)</f>
      </c>
      <c r="X587">
        <f>IF(ISBLANK('Data Entry'!$X$587), "", 'Data Entry'!$X$587)</f>
      </c>
      <c r="Y587">
        <f>IF(ISBLANK('Data Entry'!$Y$587), "", 'Data Entry'!$Y$587)</f>
      </c>
      <c r="Z587">
        <f>IF(ISBLANK('Data Entry'!$Z$587), "", 'Data Entry'!$Z$587)</f>
      </c>
      <c r="AA587">
        <f>IF(ISBLANK('Data Entry'!$[$587), "", 'Data Entry'!$[$587)</f>
      </c>
      <c r="AB587">
        <f>IF(ISBLANK('Data Entry'!$\$587), "", 'Data Entry'!$\$587)</f>
      </c>
      <c r="AC587">
        <f>IF(ISBLANK('Data Entry'!$]$587), "", 'Data Entry'!$]$587)</f>
      </c>
      <c r="AD587">
        <f>IF(ISBLANK('Data Entry'!$^$587), "", 'Data Entry'!$^$587)</f>
      </c>
      <c r="AE587">
        <f>IF(ISBLANK('Data Entry'!$_$587), "", 'Data Entry'!$_$587)</f>
      </c>
      <c r="AF587">
        <f>IF(ISBLANK('Data Entry'!$`$587), "", 'Data Entry'!$`$587)</f>
      </c>
      <c r="AG587">
        <f>IF(ISBLANK('Data Entry'!$a$587), "", 'Data Entry'!$a$587)</f>
      </c>
      <c r="AH587">
        <f>IF(ISBLANK('Data Entry'!$b$587), "", 'Data Entry'!$b$587)</f>
      </c>
      <c r="AI587">
        <f>IF(ISBLANK('Data Entry'!$c$587), "", 'Data Entry'!$c$587)</f>
      </c>
      <c r="AJ587">
        <f>IF(ISBLANK('Data Entry'!$d$587), "", 'Data Entry'!$d$587)</f>
      </c>
      <c r="AK587">
        <f>IF(ISBLANK('Data Entry'!$e$587), "", 'Data Entry'!$e$587)</f>
      </c>
      <c r="AL587">
        <f>IF(ISBLANK('Data Entry'!$f$587), "", 'Data Entry'!$f$587)</f>
      </c>
      <c r="AM587">
        <f>IF(ISBLANK('Data Entry'!$g$587), "", 'Data Entry'!$g$587)</f>
      </c>
      <c r="AN587">
        <f>IF(ISBLANK('Data Entry'!$h$587), "", 'Data Entry'!$h$587)</f>
      </c>
      <c r="AO587">
        <f>IF(ISBLANK('Data Entry'!$i$587), "", 'Data Entry'!$i$587)</f>
      </c>
      <c r="AP587">
        <f>IF(ISBLANK('Data Entry'!$j$587), "", 'Data Entry'!$j$587)</f>
      </c>
      <c r="AQ587">
        <f>IF(ISBLANK('Data Entry'!$k$587), "", 'Data Entry'!$k$587)</f>
      </c>
      <c r="AR587">
        <f>IF(ISBLANK('Data Entry'!$l$587), "", 'Data Entry'!$l$587)</f>
      </c>
      <c r="AS587">
        <f>IF(ISBLANK('Data Entry'!$m$587), "", 'Data Entry'!$m$587)</f>
      </c>
      <c r="AT587">
        <f>IF(ISBLANK('Data Entry'!$n$587), "", 'Data Entry'!$n$587)</f>
      </c>
      <c r="AU587">
        <f>IF(ISBLANK('Data Entry'!$o$587), "", 'Data Entry'!$o$587)</f>
      </c>
      <c r="AV587">
        <f>IF(ISBLANK('Data Entry'!$p$587), "", 'Data Entry'!$p$587)</f>
      </c>
      <c r="AW587">
        <f>IF(ISBLANK('Data Entry'!$q$587), "", 'Data Entry'!$q$587)</f>
      </c>
      <c r="AX587">
        <f>IF(ISBLANK('Data Entry'!$r$587), "", 'Data Entry'!$r$587)</f>
      </c>
      <c r="AY587">
        <f>IF(ISBLANK('Data Entry'!$s$587), "", 'Data Entry'!$s$587)</f>
      </c>
      <c r="AZ587">
        <f>IF(ISBLANK('Data Entry'!$t$587), "", 'Data Entry'!$t$587)</f>
      </c>
      <c r="BA587">
        <f>IF(ISBLANK('Data Entry'!$u$587), "", 'Data Entry'!$u$587)</f>
      </c>
      <c r="BB587">
        <f>IF(ISBLANK('Data Entry'!$v$587), "", 'Data Entry'!$v$587)</f>
      </c>
      <c r="BC587">
        <f>IF(ISBLANK('Data Entry'!$w$587), "", 'Data Entry'!$w$587)</f>
      </c>
      <c r="BD587">
        <f>IF(ISBLANK('Data Entry'!$x$587), "", 'Data Entry'!$x$587)</f>
      </c>
      <c r="BE587">
        <f>IF(ISBLANK('Data Entry'!$y$587), "", 'Data Entry'!$y$587)</f>
      </c>
      <c r="BF587">
        <f>IF(ISBLANK('Data Entry'!$z$587), "", 'Data Entry'!$z$587)</f>
      </c>
      <c r="BG587">
        <f>IF(ISBLANK('Data Entry'!${$587), "", 'Data Entry'!${$587)</f>
      </c>
      <c r="BH587">
        <f>IF(ISBLANK('Data Entry'!$|$587), "", 'Data Entry'!$|$587)</f>
      </c>
      <c r="BI587">
        <f>IF(ISBLANK('Data Entry'!$}$587), "", 'Data Entry'!$}$587)</f>
      </c>
      <c r="BJ587">
        <f>IF(ISBLANK('Data Entry'!$~$587), "", 'Data Entry'!$~$587)</f>
      </c>
      <c r="BK587">
        <f>IF(ISBLANK('Data Entry'!$$587), "", 'Data Entry'!$$587)</f>
      </c>
      <c r="BL587">
        <f>IF(ISBLANK('Data Entry'!$$587), "", 'Data Entry'!$$587)</f>
      </c>
      <c r="BM587">
        <f>IF(ISBLANK('Data Entry'!$$587), "", 'Data Entry'!$$587)</f>
      </c>
      <c r="BN587">
        <f>IF(ISBLANK('Data Entry'!$$587), "", 'Data Entry'!$$587)</f>
      </c>
      <c r="BO587">
        <f>IF(ISBLANK('Data Entry'!$$587), "", 'Data Entry'!$$587)</f>
      </c>
      <c r="BP587">
        <f>IF(ISBLANK('Data Entry'!$$587), "", 'Data Entry'!$$587)</f>
      </c>
      <c r="BQ587">
        <f>IF(ISBLANK('Data Entry'!$$587), "", 'Data Entry'!$$587)</f>
      </c>
      <c r="BR587">
        <f>IF(ISBLANK('Data Entry'!$$587), "", 'Data Entry'!$$587)</f>
      </c>
      <c r="BS587">
        <f>IF(ISBLANK('Data Entry'!$$587), "", 'Data Entry'!$$587)</f>
      </c>
      <c r="BT587">
        <f>IF(ISBLANK('Data Entry'!$$587), "", 'Data Entry'!$$587)</f>
      </c>
      <c r="BU587">
        <f>IF(ISBLANK('Data Entry'!$$587), "", 'Data Entry'!$$587)</f>
      </c>
      <c r="BV587">
        <f>IF(ISBLANK('Data Entry'!$$587), "", 'Data Entry'!$$587)</f>
      </c>
      <c r="BW587">
        <f>IF(ISBLANK('Data Entry'!$$587), "", 'Data Entry'!$$587)</f>
      </c>
      <c r="BX587">
        <f>IF(ISBLANK('Data Entry'!$$587), "", 'Data Entry'!$$587)</f>
      </c>
      <c r="BY587">
        <f>IF(ISBLANK('Data Entry'!$$587), "", 'Data Entry'!$$587)</f>
      </c>
      <c r="BZ587">
        <f>IF(ISBLANK('Data Entry'!$$587), "", 'Data Entry'!$$587)</f>
      </c>
      <c r="CA587">
        <f>IF(ISBLANK('Data Entry'!$$587), "", 'Data Entry'!$$587)</f>
      </c>
      <c r="CB587">
        <f>IF(ISBLANK('Data Entry'!$$587), "", 'Data Entry'!$$587)</f>
      </c>
      <c r="CC587">
        <f>IF(ISBLANK('Data Entry'!$$587), "", 'Data Entry'!$$587)</f>
      </c>
      <c r="CD587">
        <f>IF(ISBLANK('Data Entry'!$$587), "", 'Data Entry'!$$587)</f>
      </c>
      <c r="CE587">
        <f>IF(ISBLANK('Data Entry'!$$587), "", 'Data Entry'!$$587)</f>
      </c>
      <c r="CF587">
        <f>IF(ISBLANK('Data Entry'!$$587), "", 'Data Entry'!$$587)</f>
      </c>
      <c r="CG587">
        <f>IF(ISBLANK('Data Entry'!$$587), "", 'Data Entry'!$$587)</f>
      </c>
      <c r="CH587">
        <f>IF(ISBLANK('Data Entry'!$$587), "", 'Data Entry'!$$587)</f>
      </c>
      <c r="CI587">
        <f>IF(ISBLANK('Data Entry'!$$587), "", 'Data Entry'!$$587)</f>
      </c>
      <c r="CJ587">
        <f>IF(ISBLANK('Data Entry'!$$587), "", 'Data Entry'!$$587)</f>
      </c>
      <c r="CK587">
        <f>IF(ISBLANK('Data Entry'!$$587), "", 'Data Entry'!$$587)</f>
      </c>
      <c r="CL587">
        <f>IF(ISBLANK('Data Entry'!$$587), "", 'Data Entry'!$$587)</f>
      </c>
      <c r="CM587">
        <f>IF(ISBLANK('Data Entry'!$$587), "", 'Data Entry'!$$587)</f>
      </c>
      <c r="CN587">
        <f>IF(ISBLANK('Data Entry'!$$587), "", 'Data Entry'!$$587)</f>
      </c>
      <c r="CO587">
        <f>IF(ISBLANK('Data Entry'!$$587), "", 'Data Entry'!$$587)</f>
      </c>
      <c r="CP587">
        <f>IF(ISBLANK('Data Entry'!$$587), "", 'Data Entry'!$$587)</f>
      </c>
      <c r="CQ587">
        <f>IF(ISBLANK('Data Entry'!$$587), "", 'Data Entry'!$$587)</f>
      </c>
      <c r="CR587">
        <f>IF(ISBLANK('Data Entry'!$ $587), "", 'Data Entry'!$ $587)</f>
      </c>
      <c r="CS587">
        <f>IF(ISBLANK('Data Entry'!$¡$587), "", 'Data Entry'!$¡$587)</f>
      </c>
      <c r="CT587">
        <f>IF(ISBLANK('Data Entry'!$¢$587), "", 'Data Entry'!$¢$587)</f>
      </c>
      <c r="CU587">
        <f>IF(ISBLANK('Data Entry'!$£$587), "", 'Data Entry'!$£$587)</f>
      </c>
      <c r="CV587">
        <f>IF(ISBLANK('Data Entry'!$¤$587), "", 'Data Entry'!$¤$587)</f>
      </c>
      <c r="CW587">
        <f>IF(ISBLANK('Data Entry'!$¥$587), "", 'Data Entry'!$¥$587)</f>
      </c>
      <c r="CX587">
        <f>IF(ISBLANK('Data Entry'!$¦$587), "", 'Data Entry'!$¦$587)</f>
      </c>
      <c r="CY587">
        <f>IF(ISBLANK('Data Entry'!$§$587), "", 'Data Entry'!$§$587)</f>
      </c>
      <c r="CZ587">
        <f>IF(ISBLANK('Data Entry'!$¨$587), "", 'Data Entry'!$¨$587)</f>
      </c>
      <c r="DA587">
        <f>IF(ISBLANK('Data Entry'!$©$587), "", 'Data Entry'!$©$587)</f>
      </c>
      <c r="DB587">
        <f>IF(ISBLANK('Data Entry'!$ª$587), "", 'Data Entry'!$ª$587)</f>
      </c>
      <c r="DC587">
        <f>IF(ISBLANK('Data Entry'!$«$587), "", 'Data Entry'!$«$587)</f>
      </c>
      <c r="DD587">
        <f>IF(ISBLANK('Data Entry'!$¬$587), "", 'Data Entry'!$¬$587)</f>
      </c>
      <c r="DE587">
        <f>IF(ISBLANK('Data Entry'!$­$587), "", 'Data Entry'!$­$587)</f>
      </c>
      <c r="DF587">
        <f>IF(ISBLANK('Data Entry'!$®$587), "", 'Data Entry'!$®$587)</f>
      </c>
      <c r="DG587">
        <f>IF(ISBLANK('Data Entry'!$¯$587), "", 'Data Entry'!$¯$587)</f>
      </c>
      <c r="DH587">
        <f>IF(ISBLANK('Data Entry'!$°$587), "", 'Data Entry'!$°$587)</f>
      </c>
      <c r="DI587">
        <f>IF(ISBLANK('Data Entry'!$±$587), "", 'Data Entry'!$±$587)</f>
      </c>
      <c r="DJ587">
        <f>IF(ISBLANK('Data Entry'!$²$587), "", 'Data Entry'!$²$587)</f>
      </c>
      <c r="DK587">
        <f>IF(ISBLANK('Data Entry'!$³$587), "", 'Data Entry'!$³$587)</f>
      </c>
      <c r="DL587">
        <f>IF(ISBLANK('Data Entry'!$´$587), "", 'Data Entry'!$´$587)</f>
      </c>
      <c r="DM587">
        <f>IF(ISBLANK('Data Entry'!$µ$587), "", 'Data Entry'!$µ$587)</f>
      </c>
      <c r="DN587">
        <f>IF(ISBLANK('Data Entry'!$¶$587), "", 'Data Entry'!$¶$587)</f>
      </c>
      <c r="DO587">
        <f>IF(ISBLANK('Data Entry'!$·$587), "", 'Data Entry'!$·$587)</f>
      </c>
      <c r="DP587">
        <f>IF(ISBLANK('Data Entry'!$¸$587), "", 'Data Entry'!$¸$587)</f>
      </c>
      <c r="DQ587">
        <f>IF(ISBLANK('Data Entry'!$¹$587), "", 'Data Entry'!$¹$587)</f>
      </c>
      <c r="DR587">
        <f>IF(ISBLANK('Data Entry'!$º$587), "", 'Data Entry'!$º$587)</f>
      </c>
      <c r="DS587">
        <f>IF(ISBLANK('Data Entry'!$»$587), "", 'Data Entry'!$»$587)</f>
      </c>
      <c r="DT587">
        <f>IF(ISBLANK('Data Entry'!$¼$587), "", 'Data Entry'!$¼$587)</f>
      </c>
      <c r="DU587">
        <f>IF(ISBLANK('Data Entry'!$½$587), "", 'Data Entry'!$½$587)</f>
      </c>
      <c r="DV587">
        <f>IF(ISBLANK('Data Entry'!$¾$587), "", 'Data Entry'!$¾$587)</f>
      </c>
      <c r="DW587">
        <f>IF(ISBLANK('Data Entry'!$¿$587), "", 'Data Entry'!$¿$587)</f>
      </c>
      <c r="DX587">
        <f>IF(ISBLANK('Data Entry'!$À$587), "", 'Data Entry'!$À$587)</f>
      </c>
      <c r="DY587">
        <f>IF(ISBLANK('Data Entry'!$Á$587), "", 'Data Entry'!$Á$587)</f>
      </c>
      <c r="DZ587">
        <f>IF(ISBLANK('Data Entry'!$Â$587), "", 'Data Entry'!$Â$587)</f>
      </c>
      <c r="EA587">
        <f>IF(ISBLANK('Data Entry'!$Ã$587), "", 'Data Entry'!$Ã$587)</f>
      </c>
      <c r="EB587">
        <f>IF(ISBLANK('Data Entry'!$Ä$587), "", 'Data Entry'!$Ä$587)</f>
      </c>
      <c r="EC587">
        <f>IF(ISBLANK('Data Entry'!$Å$587), "", 'Data Entry'!$Å$587)</f>
      </c>
      <c r="ED587">
        <f>IF(ISBLANK('Data Entry'!$Æ$587), "", 'Data Entry'!$Æ$587)</f>
      </c>
      <c r="EE587">
        <f>IF(ISBLANK('Data Entry'!$Ç$587), "", 'Data Entry'!$Ç$587)</f>
      </c>
      <c r="EF587">
        <f>IF(ISBLANK('Data Entry'!$È$587), "", 'Data Entry'!$È$587)</f>
      </c>
      <c r="EG587">
        <f>IF(ISBLANK('Data Entry'!$É$587), "", 'Data Entry'!$É$587)</f>
      </c>
      <c r="EH587">
        <f>IF(ISBLANK('Data Entry'!$Ê$587), "", 'Data Entry'!$Ê$587)</f>
      </c>
      <c r="EI587">
        <f>IF(ISBLANK('Data Entry'!$Ë$587), "", 'Data Entry'!$Ë$587)</f>
      </c>
      <c r="EJ587">
        <f>IF(ISBLANK('Data Entry'!$Ì$587), "", 'Data Entry'!$Ì$587)</f>
      </c>
      <c r="EK587">
        <f>IF(ISBLANK('Data Entry'!$Í$587), "", 'Data Entry'!$Í$587)</f>
      </c>
      <c r="EL587">
        <f>IF(ISBLANK('Data Entry'!$Î$587), "", 'Data Entry'!$Î$587)</f>
      </c>
      <c r="EM587">
        <f>IF(ISBLANK('Data Entry'!$Ï$587), "", 'Data Entry'!$Ï$587)</f>
      </c>
      <c r="EN587">
        <f>IF(ISBLANK('Data Entry'!$Ð$587), "", 'Data Entry'!$Ð$587)</f>
      </c>
      <c r="EO587">
        <f>IF(ISBLANK('Data Entry'!$Ñ$587), "", 'Data Entry'!$Ñ$587)</f>
      </c>
      <c r="EP587">
        <f>IF(ISBLANK('Data Entry'!$Ò$587), "", 'Data Entry'!$Ò$587)</f>
      </c>
      <c r="EQ587">
        <f>IF(ISBLANK('Data Entry'!$Ó$587), "", 'Data Entry'!$Ó$587)</f>
      </c>
      <c r="ER587">
        <f>IF(ISBLANK('Data Entry'!$Ô$587), "", 'Data Entry'!$Ô$587)</f>
      </c>
      <c r="ES587">
        <f>IF(ISBLANK('Data Entry'!$Õ$587), "", 'Data Entry'!$Õ$587)</f>
      </c>
      <c r="ET587">
        <f>IF(ISBLANK('Data Entry'!$Ö$587), "", 'Data Entry'!$Ö$587)</f>
      </c>
      <c r="EU587">
        <f>IF(ISBLANK('Data Entry'!$×$587), "", 'Data Entry'!$×$587)</f>
      </c>
      <c r="EV587">
        <f>IF(ISBLANK('Data Entry'!$Ø$587), "", 'Data Entry'!$Ø$587)</f>
      </c>
      <c r="EW587">
        <f>IF(ISBLANK('Data Entry'!$Ù$587), "", 'Data Entry'!$Ù$587)</f>
      </c>
      <c r="EX587">
        <f>IF(ISBLANK('Data Entry'!$Ú$587), "", 'Data Entry'!$Ú$587)</f>
      </c>
      <c r="EY587">
        <f>IF(ISBLANK('Data Entry'!$Û$587), "", 'Data Entry'!$Û$587)</f>
      </c>
      <c r="EZ587">
        <f>IF(ISBLANK('Data Entry'!$Ü$587), "", 'Data Entry'!$Ü$587)</f>
      </c>
      <c r="FA587">
        <f>IF(ISBLANK('Data Entry'!$Ý$587), "", 'Data Entry'!$Ý$587)</f>
      </c>
      <c r="FB587">
        <f>IF(ISBLANK('Data Entry'!$Þ$587), "", 'Data Entry'!$Þ$587)</f>
      </c>
      <c r="FC587">
        <f>IF(ISBLANK('Data Entry'!$ß$587), "", 'Data Entry'!$ß$587)</f>
      </c>
      <c r="FD587">
        <f>IF(ISBLANK('Data Entry'!$à$587), "", 'Data Entry'!$à$587)</f>
      </c>
      <c r="FE587">
        <f>IF(ISBLANK('Data Entry'!$á$587), "", 'Data Entry'!$á$587)</f>
      </c>
      <c r="FF587">
        <f>IF(ISBLANK('Data Entry'!$â$587), "", 'Data Entry'!$â$587)</f>
      </c>
      <c r="FG587">
        <f>IF(ISBLANK('Data Entry'!$ã$587), "", 'Data Entry'!$ã$587)</f>
      </c>
      <c r="FH587">
        <f>IF(ISBLANK('Data Entry'!$ä$587), "", 'Data Entry'!$ä$587)</f>
      </c>
      <c r="FI587">
        <f>IF(ISBLANK('Data Entry'!$å$587), "", 'Data Entry'!$å$587)</f>
      </c>
      <c r="FJ587">
        <f>IF(ISBLANK('Data Entry'!$æ$587), "", 'Data Entry'!$æ$587)</f>
      </c>
      <c r="FK587">
        <f>IF(ISBLANK('Data Entry'!$ç$587), "", 'Data Entry'!$ç$587)</f>
      </c>
      <c r="FL587">
        <f>IF(ISBLANK('Data Entry'!$è$587), "", 'Data Entry'!$è$587)</f>
      </c>
      <c r="FM587">
        <f>IF(ISBLANK('Data Entry'!$é$587), "", 'Data Entry'!$é$587)</f>
      </c>
      <c r="FN587">
        <f>IF(ISBLANK('Data Entry'!$ê$587), "", 'Data Entry'!$ê$587)</f>
      </c>
      <c r="FO587">
        <f>IF(ISBLANK('Data Entry'!$ë$587), "", 'Data Entry'!$ë$587)</f>
      </c>
      <c r="FP587">
        <f>IF(ISBLANK('Data Entry'!$ì$587), "", 'Data Entry'!$ì$587)</f>
      </c>
      <c r="FQ587">
        <f>IF(ISBLANK('Data Entry'!$í$587), "", 'Data Entry'!$í$587)</f>
      </c>
      <c r="FR587">
        <f>IF(ISBLANK('Data Entry'!$î$587), "", 'Data Entry'!$î$587)</f>
      </c>
      <c r="FS587">
        <f>IF(ISBLANK('Data Entry'!$ï$587), "", 'Data Entry'!$ï$587)</f>
      </c>
      <c r="FT587">
        <f>IF(ISBLANK('Data Entry'!$ð$587), "", 'Data Entry'!$ð$587)</f>
      </c>
      <c r="FU587">
        <f>IF(ISBLANK('Data Entry'!$ñ$587), "", 'Data Entry'!$ñ$587)</f>
      </c>
      <c r="FV587">
        <f>IF(ISBLANK('Data Entry'!$ò$587), "", 'Data Entry'!$ò$587)</f>
      </c>
      <c r="FW587">
        <f>IF(ISBLANK('Data Entry'!$ó$587), "", 'Data Entry'!$ó$587)</f>
      </c>
      <c r="FX587">
        <f>IF(ISBLANK('Data Entry'!$ô$587), "", 'Data Entry'!$ô$587)</f>
      </c>
      <c r="FY587">
        <f>IF(ISBLANK('Data Entry'!$õ$587), "", 'Data Entry'!$õ$587)</f>
      </c>
      <c r="FZ587">
        <f>IF(ISBLANK('Data Entry'!$ö$587), "", 'Data Entry'!$ö$587)</f>
      </c>
      <c r="GA587">
        <f>IF(ISBLANK('Data Entry'!$÷$587), "", 'Data Entry'!$÷$587)</f>
      </c>
      <c r="GB587">
        <f>IF(ISBLANK('Data Entry'!$ø$587), "", 'Data Entry'!$ø$587)</f>
      </c>
      <c r="GC587">
        <f>IF(ISBLANK('Data Entry'!$ù$587), "", 'Data Entry'!$ù$587)</f>
      </c>
      <c r="GD587">
        <f>IF(ISBLANK('Data Entry'!$ú$587), "", 'Data Entry'!$ú$587)</f>
      </c>
      <c r="GE587">
        <f>IF(ISBLANK('Data Entry'!$û$587), "", 'Data Entry'!$û$587)</f>
      </c>
      <c r="GF587">
        <f>IF(ISBLANK('Data Entry'!$ü$587), "", 'Data Entry'!$ü$587)</f>
      </c>
      <c r="GG587">
        <f>IF(ISBLANK('Data Entry'!$ý$587), "", 'Data Entry'!$ý$587)</f>
      </c>
      <c r="GH587">
        <f>IF(ISBLANK('Data Entry'!$þ$587), "", 'Data Entry'!$þ$587)</f>
      </c>
      <c r="GI587">
        <f>IF(ISBLANK('Data Entry'!$ÿ$587), "", 'Data Entry'!$ÿ$587)</f>
      </c>
      <c r="GJ587">
        <f>IF(ISBLANK('Data Entry'!$Ā$587), "", 'Data Entry'!$Ā$587)</f>
      </c>
      <c r="GK587">
        <f>IF(ISBLANK('Data Entry'!$ā$587), "", 'Data Entry'!$ā$587)</f>
      </c>
      <c r="GL587">
        <f>IF(ISBLANK('Data Entry'!$Ă$587), "", 'Data Entry'!$Ă$587)</f>
      </c>
      <c r="GM587">
        <f>IF(ISBLANK('Data Entry'!$ă$587), "", 'Data Entry'!$ă$587)</f>
      </c>
      <c r="GN587">
        <f>IF(ISBLANK('Data Entry'!$Ą$587), "", 'Data Entry'!$Ą$587)</f>
      </c>
      <c r="GO587">
        <f>IF(ISBLANK('Data Entry'!$ą$587), "", 'Data Entry'!$ą$587)</f>
      </c>
      <c r="GP587">
        <f>IF(ISBLANK('Data Entry'!$Ć$587), "", 'Data Entry'!$Ć$587)</f>
      </c>
      <c r="GQ587">
        <f>IF(ISBLANK('Data Entry'!$ć$587), "", 'Data Entry'!$ć$587)</f>
      </c>
      <c r="GR587">
        <f>IF(ISBLANK('Data Entry'!$Ĉ$587), "", 'Data Entry'!$Ĉ$587)</f>
      </c>
      <c r="GS587">
        <f>IF(ISBLANK('Data Entry'!$ĉ$587), "", 'Data Entry'!$ĉ$587)</f>
      </c>
      <c r="GT587">
        <f>IF(ISBLANK('Data Entry'!$Ċ$587), "", 'Data Entry'!$Ċ$587)</f>
      </c>
      <c r="GU587">
        <f>IF(ISBLANK('Data Entry'!$ċ$587), "", 'Data Entry'!$ċ$587)</f>
      </c>
      <c r="GV587">
        <f>IF(ISBLANK('Data Entry'!$Č$587), "", 'Data Entry'!$Č$587)</f>
      </c>
      <c r="GW587">
        <f>IF(ISBLANK('Data Entry'!$č$587), "", 'Data Entry'!$č$587)</f>
      </c>
      <c r="GX587">
        <f>IF(ISBLANK('Data Entry'!$Ď$587), "", 'Data Entry'!$Ď$587)</f>
      </c>
      <c r="GY587">
        <f>IF(ISBLANK('Data Entry'!$ď$587), "", 'Data Entry'!$ď$587)</f>
      </c>
      <c r="GZ587">
        <f>IF(ISBLANK('Data Entry'!$Đ$587), "", 'Data Entry'!$Đ$587)</f>
      </c>
      <c r="HA587">
        <f>IF(ISBLANK('Data Entry'!$đ$587), "", 'Data Entry'!$đ$587)</f>
      </c>
      <c r="HB587">
        <f>IF(ISBLANK('Data Entry'!$Ē$587), "", 'Data Entry'!$Ē$587)</f>
      </c>
      <c r="HC587">
        <f>IF(ISBLANK('Data Entry'!$ē$587), "", 'Data Entry'!$ē$587)</f>
      </c>
      <c r="HD587">
        <f>IF(ISBLANK('Data Entry'!$Ĕ$587), "", 'Data Entry'!$Ĕ$587)</f>
      </c>
      <c r="HE587">
        <f>IF(ISBLANK('Data Entry'!$ĕ$587), "", 'Data Entry'!$ĕ$587)</f>
      </c>
      <c r="HF587">
        <f>IF(ISBLANK('Data Entry'!$Ė$587), "", 'Data Entry'!$Ė$587)</f>
      </c>
      <c r="HG587">
        <f>IF(ISBLANK('Data Entry'!$ė$587), "", 'Data Entry'!$ė$587)</f>
      </c>
      <c r="HH587">
        <f>IF(ISBLANK('Data Entry'!$Ę$587), "", 'Data Entry'!$Ę$587)</f>
      </c>
      <c r="HI587">
        <f>IF(ISBLANK('Data Entry'!$ę$587), "", 'Data Entry'!$ę$587)</f>
      </c>
      <c r="HJ587">
        <f>IF(ISBLANK('Data Entry'!$Ě$587), "", 'Data Entry'!$Ě$587)</f>
      </c>
      <c r="HK587">
        <f>IF(ISBLANK('Data Entry'!$ě$587), "", 'Data Entry'!$ě$587)</f>
      </c>
      <c r="HL587">
        <f>IF(ISBLANK('Data Entry'!$Ĝ$587), "", 'Data Entry'!$Ĝ$587)</f>
      </c>
      <c r="HM587">
        <f>IF(ISBLANK('Data Entry'!$ĝ$587), "", 'Data Entry'!$ĝ$587)</f>
      </c>
      <c r="HN587">
        <f>IF(ISBLANK('Data Entry'!$Ğ$587), "", 'Data Entry'!$Ğ$587)</f>
      </c>
      <c r="HO587">
        <f>IF(ISBLANK('Data Entry'!$ğ$587), "", 'Data Entry'!$ğ$587)</f>
      </c>
      <c r="HP587">
        <f>IF(ISBLANK('Data Entry'!$Ġ$587), "", 'Data Entry'!$Ġ$587)</f>
      </c>
      <c r="HQ587">
        <f>IF(ISBLANK('Data Entry'!$ġ$587), "", 'Data Entry'!$ġ$587)</f>
      </c>
      <c r="HR587">
        <f>IF(ISBLANK('Data Entry'!$Ģ$587), "", 'Data Entry'!$Ģ$587)</f>
      </c>
      <c r="HS587">
        <f>IF(ISBLANK('Data Entry'!$ģ$587), "", 'Data Entry'!$ģ$587)</f>
      </c>
      <c r="HT587">
        <f>IF(ISBLANK('Data Entry'!$Ĥ$587), "", 'Data Entry'!$Ĥ$587)</f>
      </c>
      <c r="HU587">
        <f>IF(ISBLANK('Data Entry'!$ĥ$587), "", 'Data Entry'!$ĥ$587)</f>
      </c>
      <c r="HV587">
        <f>IF(ISBLANK('Data Entry'!$Ħ$587), "", 'Data Entry'!$Ħ$587)</f>
      </c>
      <c r="HW587">
        <f>IF(ISBLANK('Data Entry'!$ħ$587), "", 'Data Entry'!$ħ$587)</f>
      </c>
      <c r="HX587">
        <f>IF(ISBLANK('Data Entry'!$Ĩ$587), "", 'Data Entry'!$Ĩ$587)</f>
      </c>
      <c r="HY587">
        <f>IF(ISBLANK('Data Entry'!$ĩ$587), "", 'Data Entry'!$ĩ$587)</f>
      </c>
      <c r="HZ587">
        <f>IF(ISBLANK('Data Entry'!$Ī$587), "", 'Data Entry'!$Ī$587)</f>
      </c>
      <c r="IA587">
        <f>IF(ISBLANK('Data Entry'!$ī$587), "", 'Data Entry'!$ī$587)</f>
      </c>
      <c r="IB587">
        <f>IF(ISBLANK('Data Entry'!$Ĭ$587), "", 'Data Entry'!$Ĭ$587)</f>
      </c>
      <c r="IC587">
        <f>IF(ISBLANK('Data Entry'!$ĭ$587), "", 'Data Entry'!$ĭ$587)</f>
      </c>
      <c r="ID587">
        <f>IF(ISBLANK('Data Entry'!$Į$587), "", 'Data Entry'!$Į$587)</f>
      </c>
      <c r="IE587">
        <f>IF(ISBLANK('Data Entry'!$į$587), "", 'Data Entry'!$į$587)</f>
      </c>
      <c r="IF587">
        <f>IF(ISBLANK('Data Entry'!$İ$587), "", 'Data Entry'!$İ$587)</f>
      </c>
      <c r="IG587">
        <f>IF(ISBLANK('Data Entry'!$ı$587), "", 'Data Entry'!$ı$587)</f>
      </c>
      <c r="IH587">
        <f>IF(ISBLANK('Data Entry'!$Ĳ$587), "", 'Data Entry'!$Ĳ$587)</f>
      </c>
      <c r="II587">
        <f>IF(ISBLANK('Data Entry'!$ĳ$587), "", 'Data Entry'!$ĳ$587)</f>
      </c>
      <c r="IJ587">
        <f>IF(ISBLANK('Data Entry'!$Ĵ$587), "", 'Data Entry'!$Ĵ$587)</f>
      </c>
      <c r="IK587">
        <f>IF(ISBLANK('Data Entry'!$ĵ$587), "", 'Data Entry'!$ĵ$587)</f>
      </c>
      <c r="IL587">
        <f>IF(ISBLANK('Data Entry'!$Ķ$587), "", 'Data Entry'!$Ķ$587)</f>
      </c>
      <c r="IM587">
        <f>IF(ISBLANK('Data Entry'!$ķ$587), "", 'Data Entry'!$ķ$587)</f>
      </c>
      <c r="IN587">
        <f>IF(ISBLANK('Data Entry'!$ĸ$587), "", 'Data Entry'!$ĸ$587)</f>
      </c>
      <c r="IO587">
        <f>IF(ISBLANK('Data Entry'!$Ĺ$587), "", 'Data Entry'!$Ĺ$587)</f>
      </c>
      <c r="IP587">
        <f>IF(ISBLANK('Data Entry'!$ĺ$587), "", 'Data Entry'!$ĺ$587)</f>
      </c>
      <c r="IQ587">
        <f>IF(ISBLANK('Data Entry'!$Ļ$587), "", 'Data Entry'!$Ļ$587)</f>
      </c>
      <c r="IR587">
        <f>IF(ISBLANK('Data Entry'!$ļ$587), "", 'Data Entry'!$ļ$587)</f>
      </c>
      <c r="IS587">
        <f>IF(ISBLANK('Data Entry'!$Ľ$587), "", 'Data Entry'!$Ľ$587)</f>
      </c>
      <c r="IT587">
        <f>IF(ISBLANK('Data Entry'!$ľ$587), "", 'Data Entry'!$ľ$587)</f>
      </c>
    </row>
    <row r="588" spans="1:254" x14ac:dyDescent="0.25">
      <c r="A588">
        <f>IF(ISBLANK('Data Entry'!$A$588), "", 'Data Entry'!$A$588)</f>
      </c>
      <c r="B588">
        <f>IF(ISBLANK('Data Entry'!$B$588), "", 'Data Entry'!$B$588)</f>
      </c>
      <c r="C588">
        <f>IF(ISBLANK('Data Entry'!$C$588), "", 'Data Entry'!$C$588)</f>
      </c>
      <c r="D588">
        <f>IF(ISBLANK('Data Entry'!$D$588), "", 'Data Entry'!$D$588)</f>
      </c>
      <c r="E588">
        <f>IF(ISBLANK('Data Entry'!$E$588), "", 'Data Entry'!$E$588)</f>
      </c>
      <c r="F588">
        <f>IF(ISBLANK('Data Entry'!$F$588), "", 'Data Entry'!$F$588)</f>
      </c>
      <c r="G588">
        <f>IF(ISBLANK('Data Entry'!$G$588), "", 'Data Entry'!$G$588)</f>
      </c>
      <c r="H588">
        <f>IF(ISBLANK('Data Entry'!$H$588), "", 'Data Entry'!$H$588)</f>
      </c>
      <c r="I588">
        <f>IF(ISBLANK('Data Entry'!$I$588), "", 'Data Entry'!$I$588)</f>
      </c>
      <c r="J588">
        <f>IF(ISBLANK('Data Entry'!$J$588), "", 'Data Entry'!$J$588)</f>
      </c>
      <c r="K588">
        <f>IF(ISBLANK('Data Entry'!$K$588), "", 'Data Entry'!$K$588)</f>
      </c>
      <c r="L588">
        <f>IF(ISBLANK('Data Entry'!$L$588), "", 'Data Entry'!$L$588)</f>
      </c>
      <c r="M588">
        <f>IF(ISBLANK('Data Entry'!$M$588), "", 'Data Entry'!$M$588)</f>
      </c>
      <c r="N588">
        <f>IF(ISBLANK('Data Entry'!$N$588), "", 'Data Entry'!$N$588)</f>
      </c>
      <c r="O588">
        <f>IF(ISBLANK('Data Entry'!$O$588), "", 'Data Entry'!$O$588)</f>
      </c>
      <c r="P588">
        <f>IF(ISBLANK('Data Entry'!$P$588), "", 'Data Entry'!$P$588)</f>
      </c>
      <c r="Q588">
        <f>IF(ISBLANK('Data Entry'!$Q$588), "", 'Data Entry'!$Q$588)</f>
      </c>
      <c r="R588">
        <f>IF(ISBLANK('Data Entry'!$R$588), "", 'Data Entry'!$R$588)</f>
      </c>
      <c r="S588">
        <f>IF(ISBLANK('Data Entry'!$S$588), "", 'Data Entry'!$S$588)</f>
      </c>
      <c r="T588">
        <f>IF(ISBLANK('Data Entry'!$T$588), "", 'Data Entry'!$T$588)</f>
      </c>
      <c r="U588">
        <f>IF(ISBLANK('Data Entry'!$U$588), "", 'Data Entry'!$U$588)</f>
      </c>
      <c r="V588">
        <f>IF(ISBLANK('Data Entry'!$V$588), "", 'Data Entry'!$V$588)</f>
      </c>
      <c r="W588">
        <f>IF(ISBLANK('Data Entry'!$W$588), "", 'Data Entry'!$W$588)</f>
      </c>
      <c r="X588">
        <f>IF(ISBLANK('Data Entry'!$X$588), "", 'Data Entry'!$X$588)</f>
      </c>
      <c r="Y588">
        <f>IF(ISBLANK('Data Entry'!$Y$588), "", 'Data Entry'!$Y$588)</f>
      </c>
      <c r="Z588">
        <f>IF(ISBLANK('Data Entry'!$Z$588), "", 'Data Entry'!$Z$588)</f>
      </c>
      <c r="AA588">
        <f>IF(ISBLANK('Data Entry'!$[$588), "", 'Data Entry'!$[$588)</f>
      </c>
      <c r="AB588">
        <f>IF(ISBLANK('Data Entry'!$\$588), "", 'Data Entry'!$\$588)</f>
      </c>
      <c r="AC588">
        <f>IF(ISBLANK('Data Entry'!$]$588), "", 'Data Entry'!$]$588)</f>
      </c>
      <c r="AD588">
        <f>IF(ISBLANK('Data Entry'!$^$588), "", 'Data Entry'!$^$588)</f>
      </c>
      <c r="AE588">
        <f>IF(ISBLANK('Data Entry'!$_$588), "", 'Data Entry'!$_$588)</f>
      </c>
      <c r="AF588">
        <f>IF(ISBLANK('Data Entry'!$`$588), "", 'Data Entry'!$`$588)</f>
      </c>
      <c r="AG588">
        <f>IF(ISBLANK('Data Entry'!$a$588), "", 'Data Entry'!$a$588)</f>
      </c>
      <c r="AH588">
        <f>IF(ISBLANK('Data Entry'!$b$588), "", 'Data Entry'!$b$588)</f>
      </c>
      <c r="AI588">
        <f>IF(ISBLANK('Data Entry'!$c$588), "", 'Data Entry'!$c$588)</f>
      </c>
      <c r="AJ588">
        <f>IF(ISBLANK('Data Entry'!$d$588), "", 'Data Entry'!$d$588)</f>
      </c>
      <c r="AK588">
        <f>IF(ISBLANK('Data Entry'!$e$588), "", 'Data Entry'!$e$588)</f>
      </c>
      <c r="AL588">
        <f>IF(ISBLANK('Data Entry'!$f$588), "", 'Data Entry'!$f$588)</f>
      </c>
      <c r="AM588">
        <f>IF(ISBLANK('Data Entry'!$g$588), "", 'Data Entry'!$g$588)</f>
      </c>
      <c r="AN588">
        <f>IF(ISBLANK('Data Entry'!$h$588), "", 'Data Entry'!$h$588)</f>
      </c>
      <c r="AO588">
        <f>IF(ISBLANK('Data Entry'!$i$588), "", 'Data Entry'!$i$588)</f>
      </c>
      <c r="AP588">
        <f>IF(ISBLANK('Data Entry'!$j$588), "", 'Data Entry'!$j$588)</f>
      </c>
      <c r="AQ588">
        <f>IF(ISBLANK('Data Entry'!$k$588), "", 'Data Entry'!$k$588)</f>
      </c>
      <c r="AR588">
        <f>IF(ISBLANK('Data Entry'!$l$588), "", 'Data Entry'!$l$588)</f>
      </c>
      <c r="AS588">
        <f>IF(ISBLANK('Data Entry'!$m$588), "", 'Data Entry'!$m$588)</f>
      </c>
      <c r="AT588">
        <f>IF(ISBLANK('Data Entry'!$n$588), "", 'Data Entry'!$n$588)</f>
      </c>
      <c r="AU588">
        <f>IF(ISBLANK('Data Entry'!$o$588), "", 'Data Entry'!$o$588)</f>
      </c>
      <c r="AV588">
        <f>IF(ISBLANK('Data Entry'!$p$588), "", 'Data Entry'!$p$588)</f>
      </c>
      <c r="AW588">
        <f>IF(ISBLANK('Data Entry'!$q$588), "", 'Data Entry'!$q$588)</f>
      </c>
      <c r="AX588">
        <f>IF(ISBLANK('Data Entry'!$r$588), "", 'Data Entry'!$r$588)</f>
      </c>
      <c r="AY588">
        <f>IF(ISBLANK('Data Entry'!$s$588), "", 'Data Entry'!$s$588)</f>
      </c>
      <c r="AZ588">
        <f>IF(ISBLANK('Data Entry'!$t$588), "", 'Data Entry'!$t$588)</f>
      </c>
      <c r="BA588">
        <f>IF(ISBLANK('Data Entry'!$u$588), "", 'Data Entry'!$u$588)</f>
      </c>
      <c r="BB588">
        <f>IF(ISBLANK('Data Entry'!$v$588), "", 'Data Entry'!$v$588)</f>
      </c>
      <c r="BC588">
        <f>IF(ISBLANK('Data Entry'!$w$588), "", 'Data Entry'!$w$588)</f>
      </c>
      <c r="BD588">
        <f>IF(ISBLANK('Data Entry'!$x$588), "", 'Data Entry'!$x$588)</f>
      </c>
      <c r="BE588">
        <f>IF(ISBLANK('Data Entry'!$y$588), "", 'Data Entry'!$y$588)</f>
      </c>
      <c r="BF588">
        <f>IF(ISBLANK('Data Entry'!$z$588), "", 'Data Entry'!$z$588)</f>
      </c>
      <c r="BG588">
        <f>IF(ISBLANK('Data Entry'!${$588), "", 'Data Entry'!${$588)</f>
      </c>
      <c r="BH588">
        <f>IF(ISBLANK('Data Entry'!$|$588), "", 'Data Entry'!$|$588)</f>
      </c>
      <c r="BI588">
        <f>IF(ISBLANK('Data Entry'!$}$588), "", 'Data Entry'!$}$588)</f>
      </c>
      <c r="BJ588">
        <f>IF(ISBLANK('Data Entry'!$~$588), "", 'Data Entry'!$~$588)</f>
      </c>
      <c r="BK588">
        <f>IF(ISBLANK('Data Entry'!$$588), "", 'Data Entry'!$$588)</f>
      </c>
      <c r="BL588">
        <f>IF(ISBLANK('Data Entry'!$$588), "", 'Data Entry'!$$588)</f>
      </c>
      <c r="BM588">
        <f>IF(ISBLANK('Data Entry'!$$588), "", 'Data Entry'!$$588)</f>
      </c>
      <c r="BN588">
        <f>IF(ISBLANK('Data Entry'!$$588), "", 'Data Entry'!$$588)</f>
      </c>
      <c r="BO588">
        <f>IF(ISBLANK('Data Entry'!$$588), "", 'Data Entry'!$$588)</f>
      </c>
      <c r="BP588">
        <f>IF(ISBLANK('Data Entry'!$$588), "", 'Data Entry'!$$588)</f>
      </c>
      <c r="BQ588">
        <f>IF(ISBLANK('Data Entry'!$$588), "", 'Data Entry'!$$588)</f>
      </c>
      <c r="BR588">
        <f>IF(ISBLANK('Data Entry'!$$588), "", 'Data Entry'!$$588)</f>
      </c>
      <c r="BS588">
        <f>IF(ISBLANK('Data Entry'!$$588), "", 'Data Entry'!$$588)</f>
      </c>
      <c r="BT588">
        <f>IF(ISBLANK('Data Entry'!$$588), "", 'Data Entry'!$$588)</f>
      </c>
      <c r="BU588">
        <f>IF(ISBLANK('Data Entry'!$$588), "", 'Data Entry'!$$588)</f>
      </c>
      <c r="BV588">
        <f>IF(ISBLANK('Data Entry'!$$588), "", 'Data Entry'!$$588)</f>
      </c>
      <c r="BW588">
        <f>IF(ISBLANK('Data Entry'!$$588), "", 'Data Entry'!$$588)</f>
      </c>
      <c r="BX588">
        <f>IF(ISBLANK('Data Entry'!$$588), "", 'Data Entry'!$$588)</f>
      </c>
      <c r="BY588">
        <f>IF(ISBLANK('Data Entry'!$$588), "", 'Data Entry'!$$588)</f>
      </c>
      <c r="BZ588">
        <f>IF(ISBLANK('Data Entry'!$$588), "", 'Data Entry'!$$588)</f>
      </c>
      <c r="CA588">
        <f>IF(ISBLANK('Data Entry'!$$588), "", 'Data Entry'!$$588)</f>
      </c>
      <c r="CB588">
        <f>IF(ISBLANK('Data Entry'!$$588), "", 'Data Entry'!$$588)</f>
      </c>
      <c r="CC588">
        <f>IF(ISBLANK('Data Entry'!$$588), "", 'Data Entry'!$$588)</f>
      </c>
      <c r="CD588">
        <f>IF(ISBLANK('Data Entry'!$$588), "", 'Data Entry'!$$588)</f>
      </c>
      <c r="CE588">
        <f>IF(ISBLANK('Data Entry'!$$588), "", 'Data Entry'!$$588)</f>
      </c>
      <c r="CF588">
        <f>IF(ISBLANK('Data Entry'!$$588), "", 'Data Entry'!$$588)</f>
      </c>
      <c r="CG588">
        <f>IF(ISBLANK('Data Entry'!$$588), "", 'Data Entry'!$$588)</f>
      </c>
      <c r="CH588">
        <f>IF(ISBLANK('Data Entry'!$$588), "", 'Data Entry'!$$588)</f>
      </c>
      <c r="CI588">
        <f>IF(ISBLANK('Data Entry'!$$588), "", 'Data Entry'!$$588)</f>
      </c>
      <c r="CJ588">
        <f>IF(ISBLANK('Data Entry'!$$588), "", 'Data Entry'!$$588)</f>
      </c>
      <c r="CK588">
        <f>IF(ISBLANK('Data Entry'!$$588), "", 'Data Entry'!$$588)</f>
      </c>
      <c r="CL588">
        <f>IF(ISBLANK('Data Entry'!$$588), "", 'Data Entry'!$$588)</f>
      </c>
      <c r="CM588">
        <f>IF(ISBLANK('Data Entry'!$$588), "", 'Data Entry'!$$588)</f>
      </c>
      <c r="CN588">
        <f>IF(ISBLANK('Data Entry'!$$588), "", 'Data Entry'!$$588)</f>
      </c>
      <c r="CO588">
        <f>IF(ISBLANK('Data Entry'!$$588), "", 'Data Entry'!$$588)</f>
      </c>
      <c r="CP588">
        <f>IF(ISBLANK('Data Entry'!$$588), "", 'Data Entry'!$$588)</f>
      </c>
      <c r="CQ588">
        <f>IF(ISBLANK('Data Entry'!$$588), "", 'Data Entry'!$$588)</f>
      </c>
      <c r="CR588">
        <f>IF(ISBLANK('Data Entry'!$ $588), "", 'Data Entry'!$ $588)</f>
      </c>
      <c r="CS588">
        <f>IF(ISBLANK('Data Entry'!$¡$588), "", 'Data Entry'!$¡$588)</f>
      </c>
      <c r="CT588">
        <f>IF(ISBLANK('Data Entry'!$¢$588), "", 'Data Entry'!$¢$588)</f>
      </c>
      <c r="CU588">
        <f>IF(ISBLANK('Data Entry'!$£$588), "", 'Data Entry'!$£$588)</f>
      </c>
      <c r="CV588">
        <f>IF(ISBLANK('Data Entry'!$¤$588), "", 'Data Entry'!$¤$588)</f>
      </c>
      <c r="CW588">
        <f>IF(ISBLANK('Data Entry'!$¥$588), "", 'Data Entry'!$¥$588)</f>
      </c>
      <c r="CX588">
        <f>IF(ISBLANK('Data Entry'!$¦$588), "", 'Data Entry'!$¦$588)</f>
      </c>
      <c r="CY588">
        <f>IF(ISBLANK('Data Entry'!$§$588), "", 'Data Entry'!$§$588)</f>
      </c>
      <c r="CZ588">
        <f>IF(ISBLANK('Data Entry'!$¨$588), "", 'Data Entry'!$¨$588)</f>
      </c>
      <c r="DA588">
        <f>IF(ISBLANK('Data Entry'!$©$588), "", 'Data Entry'!$©$588)</f>
      </c>
      <c r="DB588">
        <f>IF(ISBLANK('Data Entry'!$ª$588), "", 'Data Entry'!$ª$588)</f>
      </c>
      <c r="DC588">
        <f>IF(ISBLANK('Data Entry'!$«$588), "", 'Data Entry'!$«$588)</f>
      </c>
      <c r="DD588">
        <f>IF(ISBLANK('Data Entry'!$¬$588), "", 'Data Entry'!$¬$588)</f>
      </c>
      <c r="DE588">
        <f>IF(ISBLANK('Data Entry'!$­$588), "", 'Data Entry'!$­$588)</f>
      </c>
      <c r="DF588">
        <f>IF(ISBLANK('Data Entry'!$®$588), "", 'Data Entry'!$®$588)</f>
      </c>
      <c r="DG588">
        <f>IF(ISBLANK('Data Entry'!$¯$588), "", 'Data Entry'!$¯$588)</f>
      </c>
      <c r="DH588">
        <f>IF(ISBLANK('Data Entry'!$°$588), "", 'Data Entry'!$°$588)</f>
      </c>
      <c r="DI588">
        <f>IF(ISBLANK('Data Entry'!$±$588), "", 'Data Entry'!$±$588)</f>
      </c>
      <c r="DJ588">
        <f>IF(ISBLANK('Data Entry'!$²$588), "", 'Data Entry'!$²$588)</f>
      </c>
      <c r="DK588">
        <f>IF(ISBLANK('Data Entry'!$³$588), "", 'Data Entry'!$³$588)</f>
      </c>
      <c r="DL588">
        <f>IF(ISBLANK('Data Entry'!$´$588), "", 'Data Entry'!$´$588)</f>
      </c>
      <c r="DM588">
        <f>IF(ISBLANK('Data Entry'!$µ$588), "", 'Data Entry'!$µ$588)</f>
      </c>
      <c r="DN588">
        <f>IF(ISBLANK('Data Entry'!$¶$588), "", 'Data Entry'!$¶$588)</f>
      </c>
      <c r="DO588">
        <f>IF(ISBLANK('Data Entry'!$·$588), "", 'Data Entry'!$·$588)</f>
      </c>
      <c r="DP588">
        <f>IF(ISBLANK('Data Entry'!$¸$588), "", 'Data Entry'!$¸$588)</f>
      </c>
      <c r="DQ588">
        <f>IF(ISBLANK('Data Entry'!$¹$588), "", 'Data Entry'!$¹$588)</f>
      </c>
      <c r="DR588">
        <f>IF(ISBLANK('Data Entry'!$º$588), "", 'Data Entry'!$º$588)</f>
      </c>
      <c r="DS588">
        <f>IF(ISBLANK('Data Entry'!$»$588), "", 'Data Entry'!$»$588)</f>
      </c>
      <c r="DT588">
        <f>IF(ISBLANK('Data Entry'!$¼$588), "", 'Data Entry'!$¼$588)</f>
      </c>
      <c r="DU588">
        <f>IF(ISBLANK('Data Entry'!$½$588), "", 'Data Entry'!$½$588)</f>
      </c>
      <c r="DV588">
        <f>IF(ISBLANK('Data Entry'!$¾$588), "", 'Data Entry'!$¾$588)</f>
      </c>
      <c r="DW588">
        <f>IF(ISBLANK('Data Entry'!$¿$588), "", 'Data Entry'!$¿$588)</f>
      </c>
      <c r="DX588">
        <f>IF(ISBLANK('Data Entry'!$À$588), "", 'Data Entry'!$À$588)</f>
      </c>
      <c r="DY588">
        <f>IF(ISBLANK('Data Entry'!$Á$588), "", 'Data Entry'!$Á$588)</f>
      </c>
      <c r="DZ588">
        <f>IF(ISBLANK('Data Entry'!$Â$588), "", 'Data Entry'!$Â$588)</f>
      </c>
      <c r="EA588">
        <f>IF(ISBLANK('Data Entry'!$Ã$588), "", 'Data Entry'!$Ã$588)</f>
      </c>
      <c r="EB588">
        <f>IF(ISBLANK('Data Entry'!$Ä$588), "", 'Data Entry'!$Ä$588)</f>
      </c>
      <c r="EC588">
        <f>IF(ISBLANK('Data Entry'!$Å$588), "", 'Data Entry'!$Å$588)</f>
      </c>
      <c r="ED588">
        <f>IF(ISBLANK('Data Entry'!$Æ$588), "", 'Data Entry'!$Æ$588)</f>
      </c>
      <c r="EE588">
        <f>IF(ISBLANK('Data Entry'!$Ç$588), "", 'Data Entry'!$Ç$588)</f>
      </c>
      <c r="EF588">
        <f>IF(ISBLANK('Data Entry'!$È$588), "", 'Data Entry'!$È$588)</f>
      </c>
      <c r="EG588">
        <f>IF(ISBLANK('Data Entry'!$É$588), "", 'Data Entry'!$É$588)</f>
      </c>
      <c r="EH588">
        <f>IF(ISBLANK('Data Entry'!$Ê$588), "", 'Data Entry'!$Ê$588)</f>
      </c>
      <c r="EI588">
        <f>IF(ISBLANK('Data Entry'!$Ë$588), "", 'Data Entry'!$Ë$588)</f>
      </c>
      <c r="EJ588">
        <f>IF(ISBLANK('Data Entry'!$Ì$588), "", 'Data Entry'!$Ì$588)</f>
      </c>
      <c r="EK588">
        <f>IF(ISBLANK('Data Entry'!$Í$588), "", 'Data Entry'!$Í$588)</f>
      </c>
      <c r="EL588">
        <f>IF(ISBLANK('Data Entry'!$Î$588), "", 'Data Entry'!$Î$588)</f>
      </c>
      <c r="EM588">
        <f>IF(ISBLANK('Data Entry'!$Ï$588), "", 'Data Entry'!$Ï$588)</f>
      </c>
      <c r="EN588">
        <f>IF(ISBLANK('Data Entry'!$Ð$588), "", 'Data Entry'!$Ð$588)</f>
      </c>
      <c r="EO588">
        <f>IF(ISBLANK('Data Entry'!$Ñ$588), "", 'Data Entry'!$Ñ$588)</f>
      </c>
      <c r="EP588">
        <f>IF(ISBLANK('Data Entry'!$Ò$588), "", 'Data Entry'!$Ò$588)</f>
      </c>
      <c r="EQ588">
        <f>IF(ISBLANK('Data Entry'!$Ó$588), "", 'Data Entry'!$Ó$588)</f>
      </c>
      <c r="ER588">
        <f>IF(ISBLANK('Data Entry'!$Ô$588), "", 'Data Entry'!$Ô$588)</f>
      </c>
      <c r="ES588">
        <f>IF(ISBLANK('Data Entry'!$Õ$588), "", 'Data Entry'!$Õ$588)</f>
      </c>
      <c r="ET588">
        <f>IF(ISBLANK('Data Entry'!$Ö$588), "", 'Data Entry'!$Ö$588)</f>
      </c>
      <c r="EU588">
        <f>IF(ISBLANK('Data Entry'!$×$588), "", 'Data Entry'!$×$588)</f>
      </c>
      <c r="EV588">
        <f>IF(ISBLANK('Data Entry'!$Ø$588), "", 'Data Entry'!$Ø$588)</f>
      </c>
      <c r="EW588">
        <f>IF(ISBLANK('Data Entry'!$Ù$588), "", 'Data Entry'!$Ù$588)</f>
      </c>
      <c r="EX588">
        <f>IF(ISBLANK('Data Entry'!$Ú$588), "", 'Data Entry'!$Ú$588)</f>
      </c>
      <c r="EY588">
        <f>IF(ISBLANK('Data Entry'!$Û$588), "", 'Data Entry'!$Û$588)</f>
      </c>
      <c r="EZ588">
        <f>IF(ISBLANK('Data Entry'!$Ü$588), "", 'Data Entry'!$Ü$588)</f>
      </c>
      <c r="FA588">
        <f>IF(ISBLANK('Data Entry'!$Ý$588), "", 'Data Entry'!$Ý$588)</f>
      </c>
      <c r="FB588">
        <f>IF(ISBLANK('Data Entry'!$Þ$588), "", 'Data Entry'!$Þ$588)</f>
      </c>
      <c r="FC588">
        <f>IF(ISBLANK('Data Entry'!$ß$588), "", 'Data Entry'!$ß$588)</f>
      </c>
      <c r="FD588">
        <f>IF(ISBLANK('Data Entry'!$à$588), "", 'Data Entry'!$à$588)</f>
      </c>
      <c r="FE588">
        <f>IF(ISBLANK('Data Entry'!$á$588), "", 'Data Entry'!$á$588)</f>
      </c>
      <c r="FF588">
        <f>IF(ISBLANK('Data Entry'!$â$588), "", 'Data Entry'!$â$588)</f>
      </c>
      <c r="FG588">
        <f>IF(ISBLANK('Data Entry'!$ã$588), "", 'Data Entry'!$ã$588)</f>
      </c>
      <c r="FH588">
        <f>IF(ISBLANK('Data Entry'!$ä$588), "", 'Data Entry'!$ä$588)</f>
      </c>
      <c r="FI588">
        <f>IF(ISBLANK('Data Entry'!$å$588), "", 'Data Entry'!$å$588)</f>
      </c>
      <c r="FJ588">
        <f>IF(ISBLANK('Data Entry'!$æ$588), "", 'Data Entry'!$æ$588)</f>
      </c>
      <c r="FK588">
        <f>IF(ISBLANK('Data Entry'!$ç$588), "", 'Data Entry'!$ç$588)</f>
      </c>
      <c r="FL588">
        <f>IF(ISBLANK('Data Entry'!$è$588), "", 'Data Entry'!$è$588)</f>
      </c>
      <c r="FM588">
        <f>IF(ISBLANK('Data Entry'!$é$588), "", 'Data Entry'!$é$588)</f>
      </c>
      <c r="FN588">
        <f>IF(ISBLANK('Data Entry'!$ê$588), "", 'Data Entry'!$ê$588)</f>
      </c>
      <c r="FO588">
        <f>IF(ISBLANK('Data Entry'!$ë$588), "", 'Data Entry'!$ë$588)</f>
      </c>
      <c r="FP588">
        <f>IF(ISBLANK('Data Entry'!$ì$588), "", 'Data Entry'!$ì$588)</f>
      </c>
      <c r="FQ588">
        <f>IF(ISBLANK('Data Entry'!$í$588), "", 'Data Entry'!$í$588)</f>
      </c>
      <c r="FR588">
        <f>IF(ISBLANK('Data Entry'!$î$588), "", 'Data Entry'!$î$588)</f>
      </c>
      <c r="FS588">
        <f>IF(ISBLANK('Data Entry'!$ï$588), "", 'Data Entry'!$ï$588)</f>
      </c>
      <c r="FT588">
        <f>IF(ISBLANK('Data Entry'!$ð$588), "", 'Data Entry'!$ð$588)</f>
      </c>
      <c r="FU588">
        <f>IF(ISBLANK('Data Entry'!$ñ$588), "", 'Data Entry'!$ñ$588)</f>
      </c>
      <c r="FV588">
        <f>IF(ISBLANK('Data Entry'!$ò$588), "", 'Data Entry'!$ò$588)</f>
      </c>
      <c r="FW588">
        <f>IF(ISBLANK('Data Entry'!$ó$588), "", 'Data Entry'!$ó$588)</f>
      </c>
      <c r="FX588">
        <f>IF(ISBLANK('Data Entry'!$ô$588), "", 'Data Entry'!$ô$588)</f>
      </c>
      <c r="FY588">
        <f>IF(ISBLANK('Data Entry'!$õ$588), "", 'Data Entry'!$õ$588)</f>
      </c>
      <c r="FZ588">
        <f>IF(ISBLANK('Data Entry'!$ö$588), "", 'Data Entry'!$ö$588)</f>
      </c>
      <c r="GA588">
        <f>IF(ISBLANK('Data Entry'!$÷$588), "", 'Data Entry'!$÷$588)</f>
      </c>
      <c r="GB588">
        <f>IF(ISBLANK('Data Entry'!$ø$588), "", 'Data Entry'!$ø$588)</f>
      </c>
      <c r="GC588">
        <f>IF(ISBLANK('Data Entry'!$ù$588), "", 'Data Entry'!$ù$588)</f>
      </c>
      <c r="GD588">
        <f>IF(ISBLANK('Data Entry'!$ú$588), "", 'Data Entry'!$ú$588)</f>
      </c>
      <c r="GE588">
        <f>IF(ISBLANK('Data Entry'!$û$588), "", 'Data Entry'!$û$588)</f>
      </c>
      <c r="GF588">
        <f>IF(ISBLANK('Data Entry'!$ü$588), "", 'Data Entry'!$ü$588)</f>
      </c>
      <c r="GG588">
        <f>IF(ISBLANK('Data Entry'!$ý$588), "", 'Data Entry'!$ý$588)</f>
      </c>
      <c r="GH588">
        <f>IF(ISBLANK('Data Entry'!$þ$588), "", 'Data Entry'!$þ$588)</f>
      </c>
      <c r="GI588">
        <f>IF(ISBLANK('Data Entry'!$ÿ$588), "", 'Data Entry'!$ÿ$588)</f>
      </c>
      <c r="GJ588">
        <f>IF(ISBLANK('Data Entry'!$Ā$588), "", 'Data Entry'!$Ā$588)</f>
      </c>
      <c r="GK588">
        <f>IF(ISBLANK('Data Entry'!$ā$588), "", 'Data Entry'!$ā$588)</f>
      </c>
      <c r="GL588">
        <f>IF(ISBLANK('Data Entry'!$Ă$588), "", 'Data Entry'!$Ă$588)</f>
      </c>
      <c r="GM588">
        <f>IF(ISBLANK('Data Entry'!$ă$588), "", 'Data Entry'!$ă$588)</f>
      </c>
      <c r="GN588">
        <f>IF(ISBLANK('Data Entry'!$Ą$588), "", 'Data Entry'!$Ą$588)</f>
      </c>
      <c r="GO588">
        <f>IF(ISBLANK('Data Entry'!$ą$588), "", 'Data Entry'!$ą$588)</f>
      </c>
      <c r="GP588">
        <f>IF(ISBLANK('Data Entry'!$Ć$588), "", 'Data Entry'!$Ć$588)</f>
      </c>
      <c r="GQ588">
        <f>IF(ISBLANK('Data Entry'!$ć$588), "", 'Data Entry'!$ć$588)</f>
      </c>
      <c r="GR588">
        <f>IF(ISBLANK('Data Entry'!$Ĉ$588), "", 'Data Entry'!$Ĉ$588)</f>
      </c>
      <c r="GS588">
        <f>IF(ISBLANK('Data Entry'!$ĉ$588), "", 'Data Entry'!$ĉ$588)</f>
      </c>
      <c r="GT588">
        <f>IF(ISBLANK('Data Entry'!$Ċ$588), "", 'Data Entry'!$Ċ$588)</f>
      </c>
      <c r="GU588">
        <f>IF(ISBLANK('Data Entry'!$ċ$588), "", 'Data Entry'!$ċ$588)</f>
      </c>
      <c r="GV588">
        <f>IF(ISBLANK('Data Entry'!$Č$588), "", 'Data Entry'!$Č$588)</f>
      </c>
      <c r="GW588">
        <f>IF(ISBLANK('Data Entry'!$č$588), "", 'Data Entry'!$č$588)</f>
      </c>
      <c r="GX588">
        <f>IF(ISBLANK('Data Entry'!$Ď$588), "", 'Data Entry'!$Ď$588)</f>
      </c>
      <c r="GY588">
        <f>IF(ISBLANK('Data Entry'!$ď$588), "", 'Data Entry'!$ď$588)</f>
      </c>
      <c r="GZ588">
        <f>IF(ISBLANK('Data Entry'!$Đ$588), "", 'Data Entry'!$Đ$588)</f>
      </c>
      <c r="HA588">
        <f>IF(ISBLANK('Data Entry'!$đ$588), "", 'Data Entry'!$đ$588)</f>
      </c>
      <c r="HB588">
        <f>IF(ISBLANK('Data Entry'!$Ē$588), "", 'Data Entry'!$Ē$588)</f>
      </c>
      <c r="HC588">
        <f>IF(ISBLANK('Data Entry'!$ē$588), "", 'Data Entry'!$ē$588)</f>
      </c>
      <c r="HD588">
        <f>IF(ISBLANK('Data Entry'!$Ĕ$588), "", 'Data Entry'!$Ĕ$588)</f>
      </c>
      <c r="HE588">
        <f>IF(ISBLANK('Data Entry'!$ĕ$588), "", 'Data Entry'!$ĕ$588)</f>
      </c>
      <c r="HF588">
        <f>IF(ISBLANK('Data Entry'!$Ė$588), "", 'Data Entry'!$Ė$588)</f>
      </c>
      <c r="HG588">
        <f>IF(ISBLANK('Data Entry'!$ė$588), "", 'Data Entry'!$ė$588)</f>
      </c>
      <c r="HH588">
        <f>IF(ISBLANK('Data Entry'!$Ę$588), "", 'Data Entry'!$Ę$588)</f>
      </c>
      <c r="HI588">
        <f>IF(ISBLANK('Data Entry'!$ę$588), "", 'Data Entry'!$ę$588)</f>
      </c>
      <c r="HJ588">
        <f>IF(ISBLANK('Data Entry'!$Ě$588), "", 'Data Entry'!$Ě$588)</f>
      </c>
      <c r="HK588">
        <f>IF(ISBLANK('Data Entry'!$ě$588), "", 'Data Entry'!$ě$588)</f>
      </c>
      <c r="HL588">
        <f>IF(ISBLANK('Data Entry'!$Ĝ$588), "", 'Data Entry'!$Ĝ$588)</f>
      </c>
      <c r="HM588">
        <f>IF(ISBLANK('Data Entry'!$ĝ$588), "", 'Data Entry'!$ĝ$588)</f>
      </c>
      <c r="HN588">
        <f>IF(ISBLANK('Data Entry'!$Ğ$588), "", 'Data Entry'!$Ğ$588)</f>
      </c>
      <c r="HO588">
        <f>IF(ISBLANK('Data Entry'!$ğ$588), "", 'Data Entry'!$ğ$588)</f>
      </c>
      <c r="HP588">
        <f>IF(ISBLANK('Data Entry'!$Ġ$588), "", 'Data Entry'!$Ġ$588)</f>
      </c>
      <c r="HQ588">
        <f>IF(ISBLANK('Data Entry'!$ġ$588), "", 'Data Entry'!$ġ$588)</f>
      </c>
      <c r="HR588">
        <f>IF(ISBLANK('Data Entry'!$Ģ$588), "", 'Data Entry'!$Ģ$588)</f>
      </c>
      <c r="HS588">
        <f>IF(ISBLANK('Data Entry'!$ģ$588), "", 'Data Entry'!$ģ$588)</f>
      </c>
      <c r="HT588">
        <f>IF(ISBLANK('Data Entry'!$Ĥ$588), "", 'Data Entry'!$Ĥ$588)</f>
      </c>
      <c r="HU588">
        <f>IF(ISBLANK('Data Entry'!$ĥ$588), "", 'Data Entry'!$ĥ$588)</f>
      </c>
      <c r="HV588">
        <f>IF(ISBLANK('Data Entry'!$Ħ$588), "", 'Data Entry'!$Ħ$588)</f>
      </c>
      <c r="HW588">
        <f>IF(ISBLANK('Data Entry'!$ħ$588), "", 'Data Entry'!$ħ$588)</f>
      </c>
      <c r="HX588">
        <f>IF(ISBLANK('Data Entry'!$Ĩ$588), "", 'Data Entry'!$Ĩ$588)</f>
      </c>
      <c r="HY588">
        <f>IF(ISBLANK('Data Entry'!$ĩ$588), "", 'Data Entry'!$ĩ$588)</f>
      </c>
      <c r="HZ588">
        <f>IF(ISBLANK('Data Entry'!$Ī$588), "", 'Data Entry'!$Ī$588)</f>
      </c>
      <c r="IA588">
        <f>IF(ISBLANK('Data Entry'!$ī$588), "", 'Data Entry'!$ī$588)</f>
      </c>
      <c r="IB588">
        <f>IF(ISBLANK('Data Entry'!$Ĭ$588), "", 'Data Entry'!$Ĭ$588)</f>
      </c>
      <c r="IC588">
        <f>IF(ISBLANK('Data Entry'!$ĭ$588), "", 'Data Entry'!$ĭ$588)</f>
      </c>
      <c r="ID588">
        <f>IF(ISBLANK('Data Entry'!$Į$588), "", 'Data Entry'!$Į$588)</f>
      </c>
      <c r="IE588">
        <f>IF(ISBLANK('Data Entry'!$į$588), "", 'Data Entry'!$į$588)</f>
      </c>
      <c r="IF588">
        <f>IF(ISBLANK('Data Entry'!$İ$588), "", 'Data Entry'!$İ$588)</f>
      </c>
      <c r="IG588">
        <f>IF(ISBLANK('Data Entry'!$ı$588), "", 'Data Entry'!$ı$588)</f>
      </c>
      <c r="IH588">
        <f>IF(ISBLANK('Data Entry'!$Ĳ$588), "", 'Data Entry'!$Ĳ$588)</f>
      </c>
      <c r="II588">
        <f>IF(ISBLANK('Data Entry'!$ĳ$588), "", 'Data Entry'!$ĳ$588)</f>
      </c>
      <c r="IJ588">
        <f>IF(ISBLANK('Data Entry'!$Ĵ$588), "", 'Data Entry'!$Ĵ$588)</f>
      </c>
      <c r="IK588">
        <f>IF(ISBLANK('Data Entry'!$ĵ$588), "", 'Data Entry'!$ĵ$588)</f>
      </c>
      <c r="IL588">
        <f>IF(ISBLANK('Data Entry'!$Ķ$588), "", 'Data Entry'!$Ķ$588)</f>
      </c>
      <c r="IM588">
        <f>IF(ISBLANK('Data Entry'!$ķ$588), "", 'Data Entry'!$ķ$588)</f>
      </c>
      <c r="IN588">
        <f>IF(ISBLANK('Data Entry'!$ĸ$588), "", 'Data Entry'!$ĸ$588)</f>
      </c>
      <c r="IO588">
        <f>IF(ISBLANK('Data Entry'!$Ĺ$588), "", 'Data Entry'!$Ĺ$588)</f>
      </c>
      <c r="IP588">
        <f>IF(ISBLANK('Data Entry'!$ĺ$588), "", 'Data Entry'!$ĺ$588)</f>
      </c>
      <c r="IQ588">
        <f>IF(ISBLANK('Data Entry'!$Ļ$588), "", 'Data Entry'!$Ļ$588)</f>
      </c>
      <c r="IR588">
        <f>IF(ISBLANK('Data Entry'!$ļ$588), "", 'Data Entry'!$ļ$588)</f>
      </c>
      <c r="IS588">
        <f>IF(ISBLANK('Data Entry'!$Ľ$588), "", 'Data Entry'!$Ľ$588)</f>
      </c>
      <c r="IT588">
        <f>IF(ISBLANK('Data Entry'!$ľ$588), "", 'Data Entry'!$ľ$588)</f>
      </c>
    </row>
    <row r="589" spans="1:254" x14ac:dyDescent="0.25">
      <c r="A589">
        <f>IF(ISBLANK('Data Entry'!$A$589), "", 'Data Entry'!$A$589)</f>
      </c>
      <c r="B589">
        <f>IF(ISBLANK('Data Entry'!$B$589), "", 'Data Entry'!$B$589)</f>
      </c>
      <c r="C589">
        <f>IF(ISBLANK('Data Entry'!$C$589), "", 'Data Entry'!$C$589)</f>
      </c>
      <c r="D589">
        <f>IF(ISBLANK('Data Entry'!$D$589), "", 'Data Entry'!$D$589)</f>
      </c>
      <c r="E589">
        <f>IF(ISBLANK('Data Entry'!$E$589), "", 'Data Entry'!$E$589)</f>
      </c>
      <c r="F589">
        <f>IF(ISBLANK('Data Entry'!$F$589), "", 'Data Entry'!$F$589)</f>
      </c>
      <c r="G589">
        <f>IF(ISBLANK('Data Entry'!$G$589), "", 'Data Entry'!$G$589)</f>
      </c>
      <c r="H589">
        <f>IF(ISBLANK('Data Entry'!$H$589), "", 'Data Entry'!$H$589)</f>
      </c>
      <c r="I589">
        <f>IF(ISBLANK('Data Entry'!$I$589), "", 'Data Entry'!$I$589)</f>
      </c>
      <c r="J589">
        <f>IF(ISBLANK('Data Entry'!$J$589), "", 'Data Entry'!$J$589)</f>
      </c>
      <c r="K589">
        <f>IF(ISBLANK('Data Entry'!$K$589), "", 'Data Entry'!$K$589)</f>
      </c>
      <c r="L589">
        <f>IF(ISBLANK('Data Entry'!$L$589), "", 'Data Entry'!$L$589)</f>
      </c>
      <c r="M589">
        <f>IF(ISBLANK('Data Entry'!$M$589), "", 'Data Entry'!$M$589)</f>
      </c>
      <c r="N589">
        <f>IF(ISBLANK('Data Entry'!$N$589), "", 'Data Entry'!$N$589)</f>
      </c>
      <c r="O589">
        <f>IF(ISBLANK('Data Entry'!$O$589), "", 'Data Entry'!$O$589)</f>
      </c>
      <c r="P589">
        <f>IF(ISBLANK('Data Entry'!$P$589), "", 'Data Entry'!$P$589)</f>
      </c>
      <c r="Q589">
        <f>IF(ISBLANK('Data Entry'!$Q$589), "", 'Data Entry'!$Q$589)</f>
      </c>
      <c r="R589">
        <f>IF(ISBLANK('Data Entry'!$R$589), "", 'Data Entry'!$R$589)</f>
      </c>
      <c r="S589">
        <f>IF(ISBLANK('Data Entry'!$S$589), "", 'Data Entry'!$S$589)</f>
      </c>
      <c r="T589">
        <f>IF(ISBLANK('Data Entry'!$T$589), "", 'Data Entry'!$T$589)</f>
      </c>
      <c r="U589">
        <f>IF(ISBLANK('Data Entry'!$U$589), "", 'Data Entry'!$U$589)</f>
      </c>
      <c r="V589">
        <f>IF(ISBLANK('Data Entry'!$V$589), "", 'Data Entry'!$V$589)</f>
      </c>
      <c r="W589">
        <f>IF(ISBLANK('Data Entry'!$W$589), "", 'Data Entry'!$W$589)</f>
      </c>
      <c r="X589">
        <f>IF(ISBLANK('Data Entry'!$X$589), "", 'Data Entry'!$X$589)</f>
      </c>
      <c r="Y589">
        <f>IF(ISBLANK('Data Entry'!$Y$589), "", 'Data Entry'!$Y$589)</f>
      </c>
      <c r="Z589">
        <f>IF(ISBLANK('Data Entry'!$Z$589), "", 'Data Entry'!$Z$589)</f>
      </c>
      <c r="AA589">
        <f>IF(ISBLANK('Data Entry'!$[$589), "", 'Data Entry'!$[$589)</f>
      </c>
      <c r="AB589">
        <f>IF(ISBLANK('Data Entry'!$\$589), "", 'Data Entry'!$\$589)</f>
      </c>
      <c r="AC589">
        <f>IF(ISBLANK('Data Entry'!$]$589), "", 'Data Entry'!$]$589)</f>
      </c>
      <c r="AD589">
        <f>IF(ISBLANK('Data Entry'!$^$589), "", 'Data Entry'!$^$589)</f>
      </c>
      <c r="AE589">
        <f>IF(ISBLANK('Data Entry'!$_$589), "", 'Data Entry'!$_$589)</f>
      </c>
      <c r="AF589">
        <f>IF(ISBLANK('Data Entry'!$`$589), "", 'Data Entry'!$`$589)</f>
      </c>
      <c r="AG589">
        <f>IF(ISBLANK('Data Entry'!$a$589), "", 'Data Entry'!$a$589)</f>
      </c>
      <c r="AH589">
        <f>IF(ISBLANK('Data Entry'!$b$589), "", 'Data Entry'!$b$589)</f>
      </c>
      <c r="AI589">
        <f>IF(ISBLANK('Data Entry'!$c$589), "", 'Data Entry'!$c$589)</f>
      </c>
      <c r="AJ589">
        <f>IF(ISBLANK('Data Entry'!$d$589), "", 'Data Entry'!$d$589)</f>
      </c>
      <c r="AK589">
        <f>IF(ISBLANK('Data Entry'!$e$589), "", 'Data Entry'!$e$589)</f>
      </c>
      <c r="AL589">
        <f>IF(ISBLANK('Data Entry'!$f$589), "", 'Data Entry'!$f$589)</f>
      </c>
      <c r="AM589">
        <f>IF(ISBLANK('Data Entry'!$g$589), "", 'Data Entry'!$g$589)</f>
      </c>
      <c r="AN589">
        <f>IF(ISBLANK('Data Entry'!$h$589), "", 'Data Entry'!$h$589)</f>
      </c>
      <c r="AO589">
        <f>IF(ISBLANK('Data Entry'!$i$589), "", 'Data Entry'!$i$589)</f>
      </c>
      <c r="AP589">
        <f>IF(ISBLANK('Data Entry'!$j$589), "", 'Data Entry'!$j$589)</f>
      </c>
      <c r="AQ589">
        <f>IF(ISBLANK('Data Entry'!$k$589), "", 'Data Entry'!$k$589)</f>
      </c>
      <c r="AR589">
        <f>IF(ISBLANK('Data Entry'!$l$589), "", 'Data Entry'!$l$589)</f>
      </c>
      <c r="AS589">
        <f>IF(ISBLANK('Data Entry'!$m$589), "", 'Data Entry'!$m$589)</f>
      </c>
      <c r="AT589">
        <f>IF(ISBLANK('Data Entry'!$n$589), "", 'Data Entry'!$n$589)</f>
      </c>
      <c r="AU589">
        <f>IF(ISBLANK('Data Entry'!$o$589), "", 'Data Entry'!$o$589)</f>
      </c>
      <c r="AV589">
        <f>IF(ISBLANK('Data Entry'!$p$589), "", 'Data Entry'!$p$589)</f>
      </c>
      <c r="AW589">
        <f>IF(ISBLANK('Data Entry'!$q$589), "", 'Data Entry'!$q$589)</f>
      </c>
      <c r="AX589">
        <f>IF(ISBLANK('Data Entry'!$r$589), "", 'Data Entry'!$r$589)</f>
      </c>
      <c r="AY589">
        <f>IF(ISBLANK('Data Entry'!$s$589), "", 'Data Entry'!$s$589)</f>
      </c>
      <c r="AZ589">
        <f>IF(ISBLANK('Data Entry'!$t$589), "", 'Data Entry'!$t$589)</f>
      </c>
      <c r="BA589">
        <f>IF(ISBLANK('Data Entry'!$u$589), "", 'Data Entry'!$u$589)</f>
      </c>
      <c r="BB589">
        <f>IF(ISBLANK('Data Entry'!$v$589), "", 'Data Entry'!$v$589)</f>
      </c>
      <c r="BC589">
        <f>IF(ISBLANK('Data Entry'!$w$589), "", 'Data Entry'!$w$589)</f>
      </c>
      <c r="BD589">
        <f>IF(ISBLANK('Data Entry'!$x$589), "", 'Data Entry'!$x$589)</f>
      </c>
      <c r="BE589">
        <f>IF(ISBLANK('Data Entry'!$y$589), "", 'Data Entry'!$y$589)</f>
      </c>
      <c r="BF589">
        <f>IF(ISBLANK('Data Entry'!$z$589), "", 'Data Entry'!$z$589)</f>
      </c>
      <c r="BG589">
        <f>IF(ISBLANK('Data Entry'!${$589), "", 'Data Entry'!${$589)</f>
      </c>
      <c r="BH589">
        <f>IF(ISBLANK('Data Entry'!$|$589), "", 'Data Entry'!$|$589)</f>
      </c>
      <c r="BI589">
        <f>IF(ISBLANK('Data Entry'!$}$589), "", 'Data Entry'!$}$589)</f>
      </c>
      <c r="BJ589">
        <f>IF(ISBLANK('Data Entry'!$~$589), "", 'Data Entry'!$~$589)</f>
      </c>
      <c r="BK589">
        <f>IF(ISBLANK('Data Entry'!$$589), "", 'Data Entry'!$$589)</f>
      </c>
      <c r="BL589">
        <f>IF(ISBLANK('Data Entry'!$$589), "", 'Data Entry'!$$589)</f>
      </c>
      <c r="BM589">
        <f>IF(ISBLANK('Data Entry'!$$589), "", 'Data Entry'!$$589)</f>
      </c>
      <c r="BN589">
        <f>IF(ISBLANK('Data Entry'!$$589), "", 'Data Entry'!$$589)</f>
      </c>
      <c r="BO589">
        <f>IF(ISBLANK('Data Entry'!$$589), "", 'Data Entry'!$$589)</f>
      </c>
      <c r="BP589">
        <f>IF(ISBLANK('Data Entry'!$$589), "", 'Data Entry'!$$589)</f>
      </c>
      <c r="BQ589">
        <f>IF(ISBLANK('Data Entry'!$$589), "", 'Data Entry'!$$589)</f>
      </c>
      <c r="BR589">
        <f>IF(ISBLANK('Data Entry'!$$589), "", 'Data Entry'!$$589)</f>
      </c>
      <c r="BS589">
        <f>IF(ISBLANK('Data Entry'!$$589), "", 'Data Entry'!$$589)</f>
      </c>
      <c r="BT589">
        <f>IF(ISBLANK('Data Entry'!$$589), "", 'Data Entry'!$$589)</f>
      </c>
      <c r="BU589">
        <f>IF(ISBLANK('Data Entry'!$$589), "", 'Data Entry'!$$589)</f>
      </c>
      <c r="BV589">
        <f>IF(ISBLANK('Data Entry'!$$589), "", 'Data Entry'!$$589)</f>
      </c>
      <c r="BW589">
        <f>IF(ISBLANK('Data Entry'!$$589), "", 'Data Entry'!$$589)</f>
      </c>
      <c r="BX589">
        <f>IF(ISBLANK('Data Entry'!$$589), "", 'Data Entry'!$$589)</f>
      </c>
      <c r="BY589">
        <f>IF(ISBLANK('Data Entry'!$$589), "", 'Data Entry'!$$589)</f>
      </c>
      <c r="BZ589">
        <f>IF(ISBLANK('Data Entry'!$$589), "", 'Data Entry'!$$589)</f>
      </c>
      <c r="CA589">
        <f>IF(ISBLANK('Data Entry'!$$589), "", 'Data Entry'!$$589)</f>
      </c>
      <c r="CB589">
        <f>IF(ISBLANK('Data Entry'!$$589), "", 'Data Entry'!$$589)</f>
      </c>
      <c r="CC589">
        <f>IF(ISBLANK('Data Entry'!$$589), "", 'Data Entry'!$$589)</f>
      </c>
      <c r="CD589">
        <f>IF(ISBLANK('Data Entry'!$$589), "", 'Data Entry'!$$589)</f>
      </c>
      <c r="CE589">
        <f>IF(ISBLANK('Data Entry'!$$589), "", 'Data Entry'!$$589)</f>
      </c>
      <c r="CF589">
        <f>IF(ISBLANK('Data Entry'!$$589), "", 'Data Entry'!$$589)</f>
      </c>
      <c r="CG589">
        <f>IF(ISBLANK('Data Entry'!$$589), "", 'Data Entry'!$$589)</f>
      </c>
      <c r="CH589">
        <f>IF(ISBLANK('Data Entry'!$$589), "", 'Data Entry'!$$589)</f>
      </c>
      <c r="CI589">
        <f>IF(ISBLANK('Data Entry'!$$589), "", 'Data Entry'!$$589)</f>
      </c>
      <c r="CJ589">
        <f>IF(ISBLANK('Data Entry'!$$589), "", 'Data Entry'!$$589)</f>
      </c>
      <c r="CK589">
        <f>IF(ISBLANK('Data Entry'!$$589), "", 'Data Entry'!$$589)</f>
      </c>
      <c r="CL589">
        <f>IF(ISBLANK('Data Entry'!$$589), "", 'Data Entry'!$$589)</f>
      </c>
      <c r="CM589">
        <f>IF(ISBLANK('Data Entry'!$$589), "", 'Data Entry'!$$589)</f>
      </c>
      <c r="CN589">
        <f>IF(ISBLANK('Data Entry'!$$589), "", 'Data Entry'!$$589)</f>
      </c>
      <c r="CO589">
        <f>IF(ISBLANK('Data Entry'!$$589), "", 'Data Entry'!$$589)</f>
      </c>
      <c r="CP589">
        <f>IF(ISBLANK('Data Entry'!$$589), "", 'Data Entry'!$$589)</f>
      </c>
      <c r="CQ589">
        <f>IF(ISBLANK('Data Entry'!$$589), "", 'Data Entry'!$$589)</f>
      </c>
      <c r="CR589">
        <f>IF(ISBLANK('Data Entry'!$ $589), "", 'Data Entry'!$ $589)</f>
      </c>
      <c r="CS589">
        <f>IF(ISBLANK('Data Entry'!$¡$589), "", 'Data Entry'!$¡$589)</f>
      </c>
      <c r="CT589">
        <f>IF(ISBLANK('Data Entry'!$¢$589), "", 'Data Entry'!$¢$589)</f>
      </c>
      <c r="CU589">
        <f>IF(ISBLANK('Data Entry'!$£$589), "", 'Data Entry'!$£$589)</f>
      </c>
      <c r="CV589">
        <f>IF(ISBLANK('Data Entry'!$¤$589), "", 'Data Entry'!$¤$589)</f>
      </c>
      <c r="CW589">
        <f>IF(ISBLANK('Data Entry'!$¥$589), "", 'Data Entry'!$¥$589)</f>
      </c>
      <c r="CX589">
        <f>IF(ISBLANK('Data Entry'!$¦$589), "", 'Data Entry'!$¦$589)</f>
      </c>
      <c r="CY589">
        <f>IF(ISBLANK('Data Entry'!$§$589), "", 'Data Entry'!$§$589)</f>
      </c>
      <c r="CZ589">
        <f>IF(ISBLANK('Data Entry'!$¨$589), "", 'Data Entry'!$¨$589)</f>
      </c>
      <c r="DA589">
        <f>IF(ISBLANK('Data Entry'!$©$589), "", 'Data Entry'!$©$589)</f>
      </c>
      <c r="DB589">
        <f>IF(ISBLANK('Data Entry'!$ª$589), "", 'Data Entry'!$ª$589)</f>
      </c>
      <c r="DC589">
        <f>IF(ISBLANK('Data Entry'!$«$589), "", 'Data Entry'!$«$589)</f>
      </c>
      <c r="DD589">
        <f>IF(ISBLANK('Data Entry'!$¬$589), "", 'Data Entry'!$¬$589)</f>
      </c>
      <c r="DE589">
        <f>IF(ISBLANK('Data Entry'!$­$589), "", 'Data Entry'!$­$589)</f>
      </c>
      <c r="DF589">
        <f>IF(ISBLANK('Data Entry'!$®$589), "", 'Data Entry'!$®$589)</f>
      </c>
      <c r="DG589">
        <f>IF(ISBLANK('Data Entry'!$¯$589), "", 'Data Entry'!$¯$589)</f>
      </c>
      <c r="DH589">
        <f>IF(ISBLANK('Data Entry'!$°$589), "", 'Data Entry'!$°$589)</f>
      </c>
      <c r="DI589">
        <f>IF(ISBLANK('Data Entry'!$±$589), "", 'Data Entry'!$±$589)</f>
      </c>
      <c r="DJ589">
        <f>IF(ISBLANK('Data Entry'!$²$589), "", 'Data Entry'!$²$589)</f>
      </c>
      <c r="DK589">
        <f>IF(ISBLANK('Data Entry'!$³$589), "", 'Data Entry'!$³$589)</f>
      </c>
      <c r="DL589">
        <f>IF(ISBLANK('Data Entry'!$´$589), "", 'Data Entry'!$´$589)</f>
      </c>
      <c r="DM589">
        <f>IF(ISBLANK('Data Entry'!$µ$589), "", 'Data Entry'!$µ$589)</f>
      </c>
      <c r="DN589">
        <f>IF(ISBLANK('Data Entry'!$¶$589), "", 'Data Entry'!$¶$589)</f>
      </c>
      <c r="DO589">
        <f>IF(ISBLANK('Data Entry'!$·$589), "", 'Data Entry'!$·$589)</f>
      </c>
      <c r="DP589">
        <f>IF(ISBLANK('Data Entry'!$¸$589), "", 'Data Entry'!$¸$589)</f>
      </c>
      <c r="DQ589">
        <f>IF(ISBLANK('Data Entry'!$¹$589), "", 'Data Entry'!$¹$589)</f>
      </c>
      <c r="DR589">
        <f>IF(ISBLANK('Data Entry'!$º$589), "", 'Data Entry'!$º$589)</f>
      </c>
      <c r="DS589">
        <f>IF(ISBLANK('Data Entry'!$»$589), "", 'Data Entry'!$»$589)</f>
      </c>
      <c r="DT589">
        <f>IF(ISBLANK('Data Entry'!$¼$589), "", 'Data Entry'!$¼$589)</f>
      </c>
      <c r="DU589">
        <f>IF(ISBLANK('Data Entry'!$½$589), "", 'Data Entry'!$½$589)</f>
      </c>
      <c r="DV589">
        <f>IF(ISBLANK('Data Entry'!$¾$589), "", 'Data Entry'!$¾$589)</f>
      </c>
      <c r="DW589">
        <f>IF(ISBLANK('Data Entry'!$¿$589), "", 'Data Entry'!$¿$589)</f>
      </c>
      <c r="DX589">
        <f>IF(ISBLANK('Data Entry'!$À$589), "", 'Data Entry'!$À$589)</f>
      </c>
      <c r="DY589">
        <f>IF(ISBLANK('Data Entry'!$Á$589), "", 'Data Entry'!$Á$589)</f>
      </c>
      <c r="DZ589">
        <f>IF(ISBLANK('Data Entry'!$Â$589), "", 'Data Entry'!$Â$589)</f>
      </c>
      <c r="EA589">
        <f>IF(ISBLANK('Data Entry'!$Ã$589), "", 'Data Entry'!$Ã$589)</f>
      </c>
      <c r="EB589">
        <f>IF(ISBLANK('Data Entry'!$Ä$589), "", 'Data Entry'!$Ä$589)</f>
      </c>
      <c r="EC589">
        <f>IF(ISBLANK('Data Entry'!$Å$589), "", 'Data Entry'!$Å$589)</f>
      </c>
      <c r="ED589">
        <f>IF(ISBLANK('Data Entry'!$Æ$589), "", 'Data Entry'!$Æ$589)</f>
      </c>
      <c r="EE589">
        <f>IF(ISBLANK('Data Entry'!$Ç$589), "", 'Data Entry'!$Ç$589)</f>
      </c>
      <c r="EF589">
        <f>IF(ISBLANK('Data Entry'!$È$589), "", 'Data Entry'!$È$589)</f>
      </c>
      <c r="EG589">
        <f>IF(ISBLANK('Data Entry'!$É$589), "", 'Data Entry'!$É$589)</f>
      </c>
      <c r="EH589">
        <f>IF(ISBLANK('Data Entry'!$Ê$589), "", 'Data Entry'!$Ê$589)</f>
      </c>
      <c r="EI589">
        <f>IF(ISBLANK('Data Entry'!$Ë$589), "", 'Data Entry'!$Ë$589)</f>
      </c>
      <c r="EJ589">
        <f>IF(ISBLANK('Data Entry'!$Ì$589), "", 'Data Entry'!$Ì$589)</f>
      </c>
      <c r="EK589">
        <f>IF(ISBLANK('Data Entry'!$Í$589), "", 'Data Entry'!$Í$589)</f>
      </c>
      <c r="EL589">
        <f>IF(ISBLANK('Data Entry'!$Î$589), "", 'Data Entry'!$Î$589)</f>
      </c>
      <c r="EM589">
        <f>IF(ISBLANK('Data Entry'!$Ï$589), "", 'Data Entry'!$Ï$589)</f>
      </c>
      <c r="EN589">
        <f>IF(ISBLANK('Data Entry'!$Ð$589), "", 'Data Entry'!$Ð$589)</f>
      </c>
      <c r="EO589">
        <f>IF(ISBLANK('Data Entry'!$Ñ$589), "", 'Data Entry'!$Ñ$589)</f>
      </c>
      <c r="EP589">
        <f>IF(ISBLANK('Data Entry'!$Ò$589), "", 'Data Entry'!$Ò$589)</f>
      </c>
      <c r="EQ589">
        <f>IF(ISBLANK('Data Entry'!$Ó$589), "", 'Data Entry'!$Ó$589)</f>
      </c>
      <c r="ER589">
        <f>IF(ISBLANK('Data Entry'!$Ô$589), "", 'Data Entry'!$Ô$589)</f>
      </c>
      <c r="ES589">
        <f>IF(ISBLANK('Data Entry'!$Õ$589), "", 'Data Entry'!$Õ$589)</f>
      </c>
      <c r="ET589">
        <f>IF(ISBLANK('Data Entry'!$Ö$589), "", 'Data Entry'!$Ö$589)</f>
      </c>
      <c r="EU589">
        <f>IF(ISBLANK('Data Entry'!$×$589), "", 'Data Entry'!$×$589)</f>
      </c>
      <c r="EV589">
        <f>IF(ISBLANK('Data Entry'!$Ø$589), "", 'Data Entry'!$Ø$589)</f>
      </c>
      <c r="EW589">
        <f>IF(ISBLANK('Data Entry'!$Ù$589), "", 'Data Entry'!$Ù$589)</f>
      </c>
      <c r="EX589">
        <f>IF(ISBLANK('Data Entry'!$Ú$589), "", 'Data Entry'!$Ú$589)</f>
      </c>
      <c r="EY589">
        <f>IF(ISBLANK('Data Entry'!$Û$589), "", 'Data Entry'!$Û$589)</f>
      </c>
      <c r="EZ589">
        <f>IF(ISBLANK('Data Entry'!$Ü$589), "", 'Data Entry'!$Ü$589)</f>
      </c>
      <c r="FA589">
        <f>IF(ISBLANK('Data Entry'!$Ý$589), "", 'Data Entry'!$Ý$589)</f>
      </c>
      <c r="FB589">
        <f>IF(ISBLANK('Data Entry'!$Þ$589), "", 'Data Entry'!$Þ$589)</f>
      </c>
      <c r="FC589">
        <f>IF(ISBLANK('Data Entry'!$ß$589), "", 'Data Entry'!$ß$589)</f>
      </c>
      <c r="FD589">
        <f>IF(ISBLANK('Data Entry'!$à$589), "", 'Data Entry'!$à$589)</f>
      </c>
      <c r="FE589">
        <f>IF(ISBLANK('Data Entry'!$á$589), "", 'Data Entry'!$á$589)</f>
      </c>
      <c r="FF589">
        <f>IF(ISBLANK('Data Entry'!$â$589), "", 'Data Entry'!$â$589)</f>
      </c>
      <c r="FG589">
        <f>IF(ISBLANK('Data Entry'!$ã$589), "", 'Data Entry'!$ã$589)</f>
      </c>
      <c r="FH589">
        <f>IF(ISBLANK('Data Entry'!$ä$589), "", 'Data Entry'!$ä$589)</f>
      </c>
      <c r="FI589">
        <f>IF(ISBLANK('Data Entry'!$å$589), "", 'Data Entry'!$å$589)</f>
      </c>
      <c r="FJ589">
        <f>IF(ISBLANK('Data Entry'!$æ$589), "", 'Data Entry'!$æ$589)</f>
      </c>
      <c r="FK589">
        <f>IF(ISBLANK('Data Entry'!$ç$589), "", 'Data Entry'!$ç$589)</f>
      </c>
      <c r="FL589">
        <f>IF(ISBLANK('Data Entry'!$è$589), "", 'Data Entry'!$è$589)</f>
      </c>
      <c r="FM589">
        <f>IF(ISBLANK('Data Entry'!$é$589), "", 'Data Entry'!$é$589)</f>
      </c>
      <c r="FN589">
        <f>IF(ISBLANK('Data Entry'!$ê$589), "", 'Data Entry'!$ê$589)</f>
      </c>
      <c r="FO589">
        <f>IF(ISBLANK('Data Entry'!$ë$589), "", 'Data Entry'!$ë$589)</f>
      </c>
      <c r="FP589">
        <f>IF(ISBLANK('Data Entry'!$ì$589), "", 'Data Entry'!$ì$589)</f>
      </c>
      <c r="FQ589">
        <f>IF(ISBLANK('Data Entry'!$í$589), "", 'Data Entry'!$í$589)</f>
      </c>
      <c r="FR589">
        <f>IF(ISBLANK('Data Entry'!$î$589), "", 'Data Entry'!$î$589)</f>
      </c>
      <c r="FS589">
        <f>IF(ISBLANK('Data Entry'!$ï$589), "", 'Data Entry'!$ï$589)</f>
      </c>
      <c r="FT589">
        <f>IF(ISBLANK('Data Entry'!$ð$589), "", 'Data Entry'!$ð$589)</f>
      </c>
      <c r="FU589">
        <f>IF(ISBLANK('Data Entry'!$ñ$589), "", 'Data Entry'!$ñ$589)</f>
      </c>
      <c r="FV589">
        <f>IF(ISBLANK('Data Entry'!$ò$589), "", 'Data Entry'!$ò$589)</f>
      </c>
      <c r="FW589">
        <f>IF(ISBLANK('Data Entry'!$ó$589), "", 'Data Entry'!$ó$589)</f>
      </c>
      <c r="FX589">
        <f>IF(ISBLANK('Data Entry'!$ô$589), "", 'Data Entry'!$ô$589)</f>
      </c>
      <c r="FY589">
        <f>IF(ISBLANK('Data Entry'!$õ$589), "", 'Data Entry'!$õ$589)</f>
      </c>
      <c r="FZ589">
        <f>IF(ISBLANK('Data Entry'!$ö$589), "", 'Data Entry'!$ö$589)</f>
      </c>
      <c r="GA589">
        <f>IF(ISBLANK('Data Entry'!$÷$589), "", 'Data Entry'!$÷$589)</f>
      </c>
      <c r="GB589">
        <f>IF(ISBLANK('Data Entry'!$ø$589), "", 'Data Entry'!$ø$589)</f>
      </c>
      <c r="GC589">
        <f>IF(ISBLANK('Data Entry'!$ù$589), "", 'Data Entry'!$ù$589)</f>
      </c>
      <c r="GD589">
        <f>IF(ISBLANK('Data Entry'!$ú$589), "", 'Data Entry'!$ú$589)</f>
      </c>
      <c r="GE589">
        <f>IF(ISBLANK('Data Entry'!$û$589), "", 'Data Entry'!$û$589)</f>
      </c>
      <c r="GF589">
        <f>IF(ISBLANK('Data Entry'!$ü$589), "", 'Data Entry'!$ü$589)</f>
      </c>
      <c r="GG589">
        <f>IF(ISBLANK('Data Entry'!$ý$589), "", 'Data Entry'!$ý$589)</f>
      </c>
      <c r="GH589">
        <f>IF(ISBLANK('Data Entry'!$þ$589), "", 'Data Entry'!$þ$589)</f>
      </c>
      <c r="GI589">
        <f>IF(ISBLANK('Data Entry'!$ÿ$589), "", 'Data Entry'!$ÿ$589)</f>
      </c>
      <c r="GJ589">
        <f>IF(ISBLANK('Data Entry'!$Ā$589), "", 'Data Entry'!$Ā$589)</f>
      </c>
      <c r="GK589">
        <f>IF(ISBLANK('Data Entry'!$ā$589), "", 'Data Entry'!$ā$589)</f>
      </c>
      <c r="GL589">
        <f>IF(ISBLANK('Data Entry'!$Ă$589), "", 'Data Entry'!$Ă$589)</f>
      </c>
      <c r="GM589">
        <f>IF(ISBLANK('Data Entry'!$ă$589), "", 'Data Entry'!$ă$589)</f>
      </c>
      <c r="GN589">
        <f>IF(ISBLANK('Data Entry'!$Ą$589), "", 'Data Entry'!$Ą$589)</f>
      </c>
      <c r="GO589">
        <f>IF(ISBLANK('Data Entry'!$ą$589), "", 'Data Entry'!$ą$589)</f>
      </c>
      <c r="GP589">
        <f>IF(ISBLANK('Data Entry'!$Ć$589), "", 'Data Entry'!$Ć$589)</f>
      </c>
      <c r="GQ589">
        <f>IF(ISBLANK('Data Entry'!$ć$589), "", 'Data Entry'!$ć$589)</f>
      </c>
      <c r="GR589">
        <f>IF(ISBLANK('Data Entry'!$Ĉ$589), "", 'Data Entry'!$Ĉ$589)</f>
      </c>
      <c r="GS589">
        <f>IF(ISBLANK('Data Entry'!$ĉ$589), "", 'Data Entry'!$ĉ$589)</f>
      </c>
      <c r="GT589">
        <f>IF(ISBLANK('Data Entry'!$Ċ$589), "", 'Data Entry'!$Ċ$589)</f>
      </c>
      <c r="GU589">
        <f>IF(ISBLANK('Data Entry'!$ċ$589), "", 'Data Entry'!$ċ$589)</f>
      </c>
      <c r="GV589">
        <f>IF(ISBLANK('Data Entry'!$Č$589), "", 'Data Entry'!$Č$589)</f>
      </c>
      <c r="GW589">
        <f>IF(ISBLANK('Data Entry'!$č$589), "", 'Data Entry'!$č$589)</f>
      </c>
      <c r="GX589">
        <f>IF(ISBLANK('Data Entry'!$Ď$589), "", 'Data Entry'!$Ď$589)</f>
      </c>
      <c r="GY589">
        <f>IF(ISBLANK('Data Entry'!$ď$589), "", 'Data Entry'!$ď$589)</f>
      </c>
      <c r="GZ589">
        <f>IF(ISBLANK('Data Entry'!$Đ$589), "", 'Data Entry'!$Đ$589)</f>
      </c>
      <c r="HA589">
        <f>IF(ISBLANK('Data Entry'!$đ$589), "", 'Data Entry'!$đ$589)</f>
      </c>
      <c r="HB589">
        <f>IF(ISBLANK('Data Entry'!$Ē$589), "", 'Data Entry'!$Ē$589)</f>
      </c>
      <c r="HC589">
        <f>IF(ISBLANK('Data Entry'!$ē$589), "", 'Data Entry'!$ē$589)</f>
      </c>
      <c r="HD589">
        <f>IF(ISBLANK('Data Entry'!$Ĕ$589), "", 'Data Entry'!$Ĕ$589)</f>
      </c>
      <c r="HE589">
        <f>IF(ISBLANK('Data Entry'!$ĕ$589), "", 'Data Entry'!$ĕ$589)</f>
      </c>
      <c r="HF589">
        <f>IF(ISBLANK('Data Entry'!$Ė$589), "", 'Data Entry'!$Ė$589)</f>
      </c>
      <c r="HG589">
        <f>IF(ISBLANK('Data Entry'!$ė$589), "", 'Data Entry'!$ė$589)</f>
      </c>
      <c r="HH589">
        <f>IF(ISBLANK('Data Entry'!$Ę$589), "", 'Data Entry'!$Ę$589)</f>
      </c>
      <c r="HI589">
        <f>IF(ISBLANK('Data Entry'!$ę$589), "", 'Data Entry'!$ę$589)</f>
      </c>
      <c r="HJ589">
        <f>IF(ISBLANK('Data Entry'!$Ě$589), "", 'Data Entry'!$Ě$589)</f>
      </c>
      <c r="HK589">
        <f>IF(ISBLANK('Data Entry'!$ě$589), "", 'Data Entry'!$ě$589)</f>
      </c>
      <c r="HL589">
        <f>IF(ISBLANK('Data Entry'!$Ĝ$589), "", 'Data Entry'!$Ĝ$589)</f>
      </c>
      <c r="HM589">
        <f>IF(ISBLANK('Data Entry'!$ĝ$589), "", 'Data Entry'!$ĝ$589)</f>
      </c>
      <c r="HN589">
        <f>IF(ISBLANK('Data Entry'!$Ğ$589), "", 'Data Entry'!$Ğ$589)</f>
      </c>
      <c r="HO589">
        <f>IF(ISBLANK('Data Entry'!$ğ$589), "", 'Data Entry'!$ğ$589)</f>
      </c>
      <c r="HP589">
        <f>IF(ISBLANK('Data Entry'!$Ġ$589), "", 'Data Entry'!$Ġ$589)</f>
      </c>
      <c r="HQ589">
        <f>IF(ISBLANK('Data Entry'!$ġ$589), "", 'Data Entry'!$ġ$589)</f>
      </c>
      <c r="HR589">
        <f>IF(ISBLANK('Data Entry'!$Ģ$589), "", 'Data Entry'!$Ģ$589)</f>
      </c>
      <c r="HS589">
        <f>IF(ISBLANK('Data Entry'!$ģ$589), "", 'Data Entry'!$ģ$589)</f>
      </c>
      <c r="HT589">
        <f>IF(ISBLANK('Data Entry'!$Ĥ$589), "", 'Data Entry'!$Ĥ$589)</f>
      </c>
      <c r="HU589">
        <f>IF(ISBLANK('Data Entry'!$ĥ$589), "", 'Data Entry'!$ĥ$589)</f>
      </c>
      <c r="HV589">
        <f>IF(ISBLANK('Data Entry'!$Ħ$589), "", 'Data Entry'!$Ħ$589)</f>
      </c>
      <c r="HW589">
        <f>IF(ISBLANK('Data Entry'!$ħ$589), "", 'Data Entry'!$ħ$589)</f>
      </c>
      <c r="HX589">
        <f>IF(ISBLANK('Data Entry'!$Ĩ$589), "", 'Data Entry'!$Ĩ$589)</f>
      </c>
      <c r="HY589">
        <f>IF(ISBLANK('Data Entry'!$ĩ$589), "", 'Data Entry'!$ĩ$589)</f>
      </c>
      <c r="HZ589">
        <f>IF(ISBLANK('Data Entry'!$Ī$589), "", 'Data Entry'!$Ī$589)</f>
      </c>
      <c r="IA589">
        <f>IF(ISBLANK('Data Entry'!$ī$589), "", 'Data Entry'!$ī$589)</f>
      </c>
      <c r="IB589">
        <f>IF(ISBLANK('Data Entry'!$Ĭ$589), "", 'Data Entry'!$Ĭ$589)</f>
      </c>
      <c r="IC589">
        <f>IF(ISBLANK('Data Entry'!$ĭ$589), "", 'Data Entry'!$ĭ$589)</f>
      </c>
      <c r="ID589">
        <f>IF(ISBLANK('Data Entry'!$Į$589), "", 'Data Entry'!$Į$589)</f>
      </c>
      <c r="IE589">
        <f>IF(ISBLANK('Data Entry'!$į$589), "", 'Data Entry'!$į$589)</f>
      </c>
      <c r="IF589">
        <f>IF(ISBLANK('Data Entry'!$İ$589), "", 'Data Entry'!$İ$589)</f>
      </c>
      <c r="IG589">
        <f>IF(ISBLANK('Data Entry'!$ı$589), "", 'Data Entry'!$ı$589)</f>
      </c>
      <c r="IH589">
        <f>IF(ISBLANK('Data Entry'!$Ĳ$589), "", 'Data Entry'!$Ĳ$589)</f>
      </c>
      <c r="II589">
        <f>IF(ISBLANK('Data Entry'!$ĳ$589), "", 'Data Entry'!$ĳ$589)</f>
      </c>
      <c r="IJ589">
        <f>IF(ISBLANK('Data Entry'!$Ĵ$589), "", 'Data Entry'!$Ĵ$589)</f>
      </c>
      <c r="IK589">
        <f>IF(ISBLANK('Data Entry'!$ĵ$589), "", 'Data Entry'!$ĵ$589)</f>
      </c>
      <c r="IL589">
        <f>IF(ISBLANK('Data Entry'!$Ķ$589), "", 'Data Entry'!$Ķ$589)</f>
      </c>
      <c r="IM589">
        <f>IF(ISBLANK('Data Entry'!$ķ$589), "", 'Data Entry'!$ķ$589)</f>
      </c>
      <c r="IN589">
        <f>IF(ISBLANK('Data Entry'!$ĸ$589), "", 'Data Entry'!$ĸ$589)</f>
      </c>
      <c r="IO589">
        <f>IF(ISBLANK('Data Entry'!$Ĺ$589), "", 'Data Entry'!$Ĺ$589)</f>
      </c>
      <c r="IP589">
        <f>IF(ISBLANK('Data Entry'!$ĺ$589), "", 'Data Entry'!$ĺ$589)</f>
      </c>
      <c r="IQ589">
        <f>IF(ISBLANK('Data Entry'!$Ļ$589), "", 'Data Entry'!$Ļ$589)</f>
      </c>
      <c r="IR589">
        <f>IF(ISBLANK('Data Entry'!$ļ$589), "", 'Data Entry'!$ļ$589)</f>
      </c>
      <c r="IS589">
        <f>IF(ISBLANK('Data Entry'!$Ľ$589), "", 'Data Entry'!$Ľ$589)</f>
      </c>
      <c r="IT589">
        <f>IF(ISBLANK('Data Entry'!$ľ$589), "", 'Data Entry'!$ľ$589)</f>
      </c>
    </row>
    <row r="590" spans="1:254" x14ac:dyDescent="0.25">
      <c r="A590">
        <f>IF(ISBLANK('Data Entry'!$A$590), "", 'Data Entry'!$A$590)</f>
      </c>
      <c r="B590">
        <f>IF(ISBLANK('Data Entry'!$B$590), "", 'Data Entry'!$B$590)</f>
      </c>
      <c r="C590">
        <f>IF(ISBLANK('Data Entry'!$C$590), "", 'Data Entry'!$C$590)</f>
      </c>
      <c r="D590">
        <f>IF(ISBLANK('Data Entry'!$D$590), "", 'Data Entry'!$D$590)</f>
      </c>
      <c r="E590">
        <f>IF(ISBLANK('Data Entry'!$E$590), "", 'Data Entry'!$E$590)</f>
      </c>
      <c r="F590">
        <f>IF(ISBLANK('Data Entry'!$F$590), "", 'Data Entry'!$F$590)</f>
      </c>
      <c r="G590">
        <f>IF(ISBLANK('Data Entry'!$G$590), "", 'Data Entry'!$G$590)</f>
      </c>
      <c r="H590">
        <f>IF(ISBLANK('Data Entry'!$H$590), "", 'Data Entry'!$H$590)</f>
      </c>
      <c r="I590">
        <f>IF(ISBLANK('Data Entry'!$I$590), "", 'Data Entry'!$I$590)</f>
      </c>
      <c r="J590">
        <f>IF(ISBLANK('Data Entry'!$J$590), "", 'Data Entry'!$J$590)</f>
      </c>
      <c r="K590">
        <f>IF(ISBLANK('Data Entry'!$K$590), "", 'Data Entry'!$K$590)</f>
      </c>
      <c r="L590">
        <f>IF(ISBLANK('Data Entry'!$L$590), "", 'Data Entry'!$L$590)</f>
      </c>
      <c r="M590">
        <f>IF(ISBLANK('Data Entry'!$M$590), "", 'Data Entry'!$M$590)</f>
      </c>
      <c r="N590">
        <f>IF(ISBLANK('Data Entry'!$N$590), "", 'Data Entry'!$N$590)</f>
      </c>
      <c r="O590">
        <f>IF(ISBLANK('Data Entry'!$O$590), "", 'Data Entry'!$O$590)</f>
      </c>
      <c r="P590">
        <f>IF(ISBLANK('Data Entry'!$P$590), "", 'Data Entry'!$P$590)</f>
      </c>
      <c r="Q590">
        <f>IF(ISBLANK('Data Entry'!$Q$590), "", 'Data Entry'!$Q$590)</f>
      </c>
      <c r="R590">
        <f>IF(ISBLANK('Data Entry'!$R$590), "", 'Data Entry'!$R$590)</f>
      </c>
      <c r="S590">
        <f>IF(ISBLANK('Data Entry'!$S$590), "", 'Data Entry'!$S$590)</f>
      </c>
      <c r="T590">
        <f>IF(ISBLANK('Data Entry'!$T$590), "", 'Data Entry'!$T$590)</f>
      </c>
      <c r="U590">
        <f>IF(ISBLANK('Data Entry'!$U$590), "", 'Data Entry'!$U$590)</f>
      </c>
      <c r="V590">
        <f>IF(ISBLANK('Data Entry'!$V$590), "", 'Data Entry'!$V$590)</f>
      </c>
      <c r="W590">
        <f>IF(ISBLANK('Data Entry'!$W$590), "", 'Data Entry'!$W$590)</f>
      </c>
      <c r="X590">
        <f>IF(ISBLANK('Data Entry'!$X$590), "", 'Data Entry'!$X$590)</f>
      </c>
      <c r="Y590">
        <f>IF(ISBLANK('Data Entry'!$Y$590), "", 'Data Entry'!$Y$590)</f>
      </c>
      <c r="Z590">
        <f>IF(ISBLANK('Data Entry'!$Z$590), "", 'Data Entry'!$Z$590)</f>
      </c>
      <c r="AA590">
        <f>IF(ISBLANK('Data Entry'!$[$590), "", 'Data Entry'!$[$590)</f>
      </c>
      <c r="AB590">
        <f>IF(ISBLANK('Data Entry'!$\$590), "", 'Data Entry'!$\$590)</f>
      </c>
      <c r="AC590">
        <f>IF(ISBLANK('Data Entry'!$]$590), "", 'Data Entry'!$]$590)</f>
      </c>
      <c r="AD590">
        <f>IF(ISBLANK('Data Entry'!$^$590), "", 'Data Entry'!$^$590)</f>
      </c>
      <c r="AE590">
        <f>IF(ISBLANK('Data Entry'!$_$590), "", 'Data Entry'!$_$590)</f>
      </c>
      <c r="AF590">
        <f>IF(ISBLANK('Data Entry'!$`$590), "", 'Data Entry'!$`$590)</f>
      </c>
      <c r="AG590">
        <f>IF(ISBLANK('Data Entry'!$a$590), "", 'Data Entry'!$a$590)</f>
      </c>
      <c r="AH590">
        <f>IF(ISBLANK('Data Entry'!$b$590), "", 'Data Entry'!$b$590)</f>
      </c>
      <c r="AI590">
        <f>IF(ISBLANK('Data Entry'!$c$590), "", 'Data Entry'!$c$590)</f>
      </c>
      <c r="AJ590">
        <f>IF(ISBLANK('Data Entry'!$d$590), "", 'Data Entry'!$d$590)</f>
      </c>
      <c r="AK590">
        <f>IF(ISBLANK('Data Entry'!$e$590), "", 'Data Entry'!$e$590)</f>
      </c>
      <c r="AL590">
        <f>IF(ISBLANK('Data Entry'!$f$590), "", 'Data Entry'!$f$590)</f>
      </c>
      <c r="AM590">
        <f>IF(ISBLANK('Data Entry'!$g$590), "", 'Data Entry'!$g$590)</f>
      </c>
      <c r="AN590">
        <f>IF(ISBLANK('Data Entry'!$h$590), "", 'Data Entry'!$h$590)</f>
      </c>
      <c r="AO590">
        <f>IF(ISBLANK('Data Entry'!$i$590), "", 'Data Entry'!$i$590)</f>
      </c>
      <c r="AP590">
        <f>IF(ISBLANK('Data Entry'!$j$590), "", 'Data Entry'!$j$590)</f>
      </c>
      <c r="AQ590">
        <f>IF(ISBLANK('Data Entry'!$k$590), "", 'Data Entry'!$k$590)</f>
      </c>
      <c r="AR590">
        <f>IF(ISBLANK('Data Entry'!$l$590), "", 'Data Entry'!$l$590)</f>
      </c>
      <c r="AS590">
        <f>IF(ISBLANK('Data Entry'!$m$590), "", 'Data Entry'!$m$590)</f>
      </c>
      <c r="AT590">
        <f>IF(ISBLANK('Data Entry'!$n$590), "", 'Data Entry'!$n$590)</f>
      </c>
      <c r="AU590">
        <f>IF(ISBLANK('Data Entry'!$o$590), "", 'Data Entry'!$o$590)</f>
      </c>
      <c r="AV590">
        <f>IF(ISBLANK('Data Entry'!$p$590), "", 'Data Entry'!$p$590)</f>
      </c>
      <c r="AW590">
        <f>IF(ISBLANK('Data Entry'!$q$590), "", 'Data Entry'!$q$590)</f>
      </c>
      <c r="AX590">
        <f>IF(ISBLANK('Data Entry'!$r$590), "", 'Data Entry'!$r$590)</f>
      </c>
      <c r="AY590">
        <f>IF(ISBLANK('Data Entry'!$s$590), "", 'Data Entry'!$s$590)</f>
      </c>
      <c r="AZ590">
        <f>IF(ISBLANK('Data Entry'!$t$590), "", 'Data Entry'!$t$590)</f>
      </c>
      <c r="BA590">
        <f>IF(ISBLANK('Data Entry'!$u$590), "", 'Data Entry'!$u$590)</f>
      </c>
      <c r="BB590">
        <f>IF(ISBLANK('Data Entry'!$v$590), "", 'Data Entry'!$v$590)</f>
      </c>
      <c r="BC590">
        <f>IF(ISBLANK('Data Entry'!$w$590), "", 'Data Entry'!$w$590)</f>
      </c>
      <c r="BD590">
        <f>IF(ISBLANK('Data Entry'!$x$590), "", 'Data Entry'!$x$590)</f>
      </c>
      <c r="BE590">
        <f>IF(ISBLANK('Data Entry'!$y$590), "", 'Data Entry'!$y$590)</f>
      </c>
      <c r="BF590">
        <f>IF(ISBLANK('Data Entry'!$z$590), "", 'Data Entry'!$z$590)</f>
      </c>
      <c r="BG590">
        <f>IF(ISBLANK('Data Entry'!${$590), "", 'Data Entry'!${$590)</f>
      </c>
      <c r="BH590">
        <f>IF(ISBLANK('Data Entry'!$|$590), "", 'Data Entry'!$|$590)</f>
      </c>
      <c r="BI590">
        <f>IF(ISBLANK('Data Entry'!$}$590), "", 'Data Entry'!$}$590)</f>
      </c>
      <c r="BJ590">
        <f>IF(ISBLANK('Data Entry'!$~$590), "", 'Data Entry'!$~$590)</f>
      </c>
      <c r="BK590">
        <f>IF(ISBLANK('Data Entry'!$$590), "", 'Data Entry'!$$590)</f>
      </c>
      <c r="BL590">
        <f>IF(ISBLANK('Data Entry'!$$590), "", 'Data Entry'!$$590)</f>
      </c>
      <c r="BM590">
        <f>IF(ISBLANK('Data Entry'!$$590), "", 'Data Entry'!$$590)</f>
      </c>
      <c r="BN590">
        <f>IF(ISBLANK('Data Entry'!$$590), "", 'Data Entry'!$$590)</f>
      </c>
      <c r="BO590">
        <f>IF(ISBLANK('Data Entry'!$$590), "", 'Data Entry'!$$590)</f>
      </c>
      <c r="BP590">
        <f>IF(ISBLANK('Data Entry'!$$590), "", 'Data Entry'!$$590)</f>
      </c>
      <c r="BQ590">
        <f>IF(ISBLANK('Data Entry'!$$590), "", 'Data Entry'!$$590)</f>
      </c>
      <c r="BR590">
        <f>IF(ISBLANK('Data Entry'!$$590), "", 'Data Entry'!$$590)</f>
      </c>
      <c r="BS590">
        <f>IF(ISBLANK('Data Entry'!$$590), "", 'Data Entry'!$$590)</f>
      </c>
      <c r="BT590">
        <f>IF(ISBLANK('Data Entry'!$$590), "", 'Data Entry'!$$590)</f>
      </c>
      <c r="BU590">
        <f>IF(ISBLANK('Data Entry'!$$590), "", 'Data Entry'!$$590)</f>
      </c>
      <c r="BV590">
        <f>IF(ISBLANK('Data Entry'!$$590), "", 'Data Entry'!$$590)</f>
      </c>
      <c r="BW590">
        <f>IF(ISBLANK('Data Entry'!$$590), "", 'Data Entry'!$$590)</f>
      </c>
      <c r="BX590">
        <f>IF(ISBLANK('Data Entry'!$$590), "", 'Data Entry'!$$590)</f>
      </c>
      <c r="BY590">
        <f>IF(ISBLANK('Data Entry'!$$590), "", 'Data Entry'!$$590)</f>
      </c>
      <c r="BZ590">
        <f>IF(ISBLANK('Data Entry'!$$590), "", 'Data Entry'!$$590)</f>
      </c>
      <c r="CA590">
        <f>IF(ISBLANK('Data Entry'!$$590), "", 'Data Entry'!$$590)</f>
      </c>
      <c r="CB590">
        <f>IF(ISBLANK('Data Entry'!$$590), "", 'Data Entry'!$$590)</f>
      </c>
      <c r="CC590">
        <f>IF(ISBLANK('Data Entry'!$$590), "", 'Data Entry'!$$590)</f>
      </c>
      <c r="CD590">
        <f>IF(ISBLANK('Data Entry'!$$590), "", 'Data Entry'!$$590)</f>
      </c>
      <c r="CE590">
        <f>IF(ISBLANK('Data Entry'!$$590), "", 'Data Entry'!$$590)</f>
      </c>
      <c r="CF590">
        <f>IF(ISBLANK('Data Entry'!$$590), "", 'Data Entry'!$$590)</f>
      </c>
      <c r="CG590">
        <f>IF(ISBLANK('Data Entry'!$$590), "", 'Data Entry'!$$590)</f>
      </c>
      <c r="CH590">
        <f>IF(ISBLANK('Data Entry'!$$590), "", 'Data Entry'!$$590)</f>
      </c>
      <c r="CI590">
        <f>IF(ISBLANK('Data Entry'!$$590), "", 'Data Entry'!$$590)</f>
      </c>
      <c r="CJ590">
        <f>IF(ISBLANK('Data Entry'!$$590), "", 'Data Entry'!$$590)</f>
      </c>
      <c r="CK590">
        <f>IF(ISBLANK('Data Entry'!$$590), "", 'Data Entry'!$$590)</f>
      </c>
      <c r="CL590">
        <f>IF(ISBLANK('Data Entry'!$$590), "", 'Data Entry'!$$590)</f>
      </c>
      <c r="CM590">
        <f>IF(ISBLANK('Data Entry'!$$590), "", 'Data Entry'!$$590)</f>
      </c>
      <c r="CN590">
        <f>IF(ISBLANK('Data Entry'!$$590), "", 'Data Entry'!$$590)</f>
      </c>
      <c r="CO590">
        <f>IF(ISBLANK('Data Entry'!$$590), "", 'Data Entry'!$$590)</f>
      </c>
      <c r="CP590">
        <f>IF(ISBLANK('Data Entry'!$$590), "", 'Data Entry'!$$590)</f>
      </c>
      <c r="CQ590">
        <f>IF(ISBLANK('Data Entry'!$$590), "", 'Data Entry'!$$590)</f>
      </c>
      <c r="CR590">
        <f>IF(ISBLANK('Data Entry'!$ $590), "", 'Data Entry'!$ $590)</f>
      </c>
      <c r="CS590">
        <f>IF(ISBLANK('Data Entry'!$¡$590), "", 'Data Entry'!$¡$590)</f>
      </c>
      <c r="CT590">
        <f>IF(ISBLANK('Data Entry'!$¢$590), "", 'Data Entry'!$¢$590)</f>
      </c>
      <c r="CU590">
        <f>IF(ISBLANK('Data Entry'!$£$590), "", 'Data Entry'!$£$590)</f>
      </c>
      <c r="CV590">
        <f>IF(ISBLANK('Data Entry'!$¤$590), "", 'Data Entry'!$¤$590)</f>
      </c>
      <c r="CW590">
        <f>IF(ISBLANK('Data Entry'!$¥$590), "", 'Data Entry'!$¥$590)</f>
      </c>
      <c r="CX590">
        <f>IF(ISBLANK('Data Entry'!$¦$590), "", 'Data Entry'!$¦$590)</f>
      </c>
      <c r="CY590">
        <f>IF(ISBLANK('Data Entry'!$§$590), "", 'Data Entry'!$§$590)</f>
      </c>
      <c r="CZ590">
        <f>IF(ISBLANK('Data Entry'!$¨$590), "", 'Data Entry'!$¨$590)</f>
      </c>
      <c r="DA590">
        <f>IF(ISBLANK('Data Entry'!$©$590), "", 'Data Entry'!$©$590)</f>
      </c>
      <c r="DB590">
        <f>IF(ISBLANK('Data Entry'!$ª$590), "", 'Data Entry'!$ª$590)</f>
      </c>
      <c r="DC590">
        <f>IF(ISBLANK('Data Entry'!$«$590), "", 'Data Entry'!$«$590)</f>
      </c>
      <c r="DD590">
        <f>IF(ISBLANK('Data Entry'!$¬$590), "", 'Data Entry'!$¬$590)</f>
      </c>
      <c r="DE590">
        <f>IF(ISBLANK('Data Entry'!$­$590), "", 'Data Entry'!$­$590)</f>
      </c>
      <c r="DF590">
        <f>IF(ISBLANK('Data Entry'!$®$590), "", 'Data Entry'!$®$590)</f>
      </c>
      <c r="DG590">
        <f>IF(ISBLANK('Data Entry'!$¯$590), "", 'Data Entry'!$¯$590)</f>
      </c>
      <c r="DH590">
        <f>IF(ISBLANK('Data Entry'!$°$590), "", 'Data Entry'!$°$590)</f>
      </c>
      <c r="DI590">
        <f>IF(ISBLANK('Data Entry'!$±$590), "", 'Data Entry'!$±$590)</f>
      </c>
      <c r="DJ590">
        <f>IF(ISBLANK('Data Entry'!$²$590), "", 'Data Entry'!$²$590)</f>
      </c>
      <c r="DK590">
        <f>IF(ISBLANK('Data Entry'!$³$590), "", 'Data Entry'!$³$590)</f>
      </c>
      <c r="DL590">
        <f>IF(ISBLANK('Data Entry'!$´$590), "", 'Data Entry'!$´$590)</f>
      </c>
      <c r="DM590">
        <f>IF(ISBLANK('Data Entry'!$µ$590), "", 'Data Entry'!$µ$590)</f>
      </c>
      <c r="DN590">
        <f>IF(ISBLANK('Data Entry'!$¶$590), "", 'Data Entry'!$¶$590)</f>
      </c>
      <c r="DO590">
        <f>IF(ISBLANK('Data Entry'!$·$590), "", 'Data Entry'!$·$590)</f>
      </c>
      <c r="DP590">
        <f>IF(ISBLANK('Data Entry'!$¸$590), "", 'Data Entry'!$¸$590)</f>
      </c>
      <c r="DQ590">
        <f>IF(ISBLANK('Data Entry'!$¹$590), "", 'Data Entry'!$¹$590)</f>
      </c>
      <c r="DR590">
        <f>IF(ISBLANK('Data Entry'!$º$590), "", 'Data Entry'!$º$590)</f>
      </c>
      <c r="DS590">
        <f>IF(ISBLANK('Data Entry'!$»$590), "", 'Data Entry'!$»$590)</f>
      </c>
      <c r="DT590">
        <f>IF(ISBLANK('Data Entry'!$¼$590), "", 'Data Entry'!$¼$590)</f>
      </c>
      <c r="DU590">
        <f>IF(ISBLANK('Data Entry'!$½$590), "", 'Data Entry'!$½$590)</f>
      </c>
      <c r="DV590">
        <f>IF(ISBLANK('Data Entry'!$¾$590), "", 'Data Entry'!$¾$590)</f>
      </c>
      <c r="DW590">
        <f>IF(ISBLANK('Data Entry'!$¿$590), "", 'Data Entry'!$¿$590)</f>
      </c>
      <c r="DX590">
        <f>IF(ISBLANK('Data Entry'!$À$590), "", 'Data Entry'!$À$590)</f>
      </c>
      <c r="DY590">
        <f>IF(ISBLANK('Data Entry'!$Á$590), "", 'Data Entry'!$Á$590)</f>
      </c>
      <c r="DZ590">
        <f>IF(ISBLANK('Data Entry'!$Â$590), "", 'Data Entry'!$Â$590)</f>
      </c>
      <c r="EA590">
        <f>IF(ISBLANK('Data Entry'!$Ã$590), "", 'Data Entry'!$Ã$590)</f>
      </c>
      <c r="EB590">
        <f>IF(ISBLANK('Data Entry'!$Ä$590), "", 'Data Entry'!$Ä$590)</f>
      </c>
      <c r="EC590">
        <f>IF(ISBLANK('Data Entry'!$Å$590), "", 'Data Entry'!$Å$590)</f>
      </c>
      <c r="ED590">
        <f>IF(ISBLANK('Data Entry'!$Æ$590), "", 'Data Entry'!$Æ$590)</f>
      </c>
      <c r="EE590">
        <f>IF(ISBLANK('Data Entry'!$Ç$590), "", 'Data Entry'!$Ç$590)</f>
      </c>
      <c r="EF590">
        <f>IF(ISBLANK('Data Entry'!$È$590), "", 'Data Entry'!$È$590)</f>
      </c>
      <c r="EG590">
        <f>IF(ISBLANK('Data Entry'!$É$590), "", 'Data Entry'!$É$590)</f>
      </c>
      <c r="EH590">
        <f>IF(ISBLANK('Data Entry'!$Ê$590), "", 'Data Entry'!$Ê$590)</f>
      </c>
      <c r="EI590">
        <f>IF(ISBLANK('Data Entry'!$Ë$590), "", 'Data Entry'!$Ë$590)</f>
      </c>
      <c r="EJ590">
        <f>IF(ISBLANK('Data Entry'!$Ì$590), "", 'Data Entry'!$Ì$590)</f>
      </c>
      <c r="EK590">
        <f>IF(ISBLANK('Data Entry'!$Í$590), "", 'Data Entry'!$Í$590)</f>
      </c>
      <c r="EL590">
        <f>IF(ISBLANK('Data Entry'!$Î$590), "", 'Data Entry'!$Î$590)</f>
      </c>
      <c r="EM590">
        <f>IF(ISBLANK('Data Entry'!$Ï$590), "", 'Data Entry'!$Ï$590)</f>
      </c>
      <c r="EN590">
        <f>IF(ISBLANK('Data Entry'!$Ð$590), "", 'Data Entry'!$Ð$590)</f>
      </c>
      <c r="EO590">
        <f>IF(ISBLANK('Data Entry'!$Ñ$590), "", 'Data Entry'!$Ñ$590)</f>
      </c>
      <c r="EP590">
        <f>IF(ISBLANK('Data Entry'!$Ò$590), "", 'Data Entry'!$Ò$590)</f>
      </c>
      <c r="EQ590">
        <f>IF(ISBLANK('Data Entry'!$Ó$590), "", 'Data Entry'!$Ó$590)</f>
      </c>
      <c r="ER590">
        <f>IF(ISBLANK('Data Entry'!$Ô$590), "", 'Data Entry'!$Ô$590)</f>
      </c>
      <c r="ES590">
        <f>IF(ISBLANK('Data Entry'!$Õ$590), "", 'Data Entry'!$Õ$590)</f>
      </c>
      <c r="ET590">
        <f>IF(ISBLANK('Data Entry'!$Ö$590), "", 'Data Entry'!$Ö$590)</f>
      </c>
      <c r="EU590">
        <f>IF(ISBLANK('Data Entry'!$×$590), "", 'Data Entry'!$×$590)</f>
      </c>
      <c r="EV590">
        <f>IF(ISBLANK('Data Entry'!$Ø$590), "", 'Data Entry'!$Ø$590)</f>
      </c>
      <c r="EW590">
        <f>IF(ISBLANK('Data Entry'!$Ù$590), "", 'Data Entry'!$Ù$590)</f>
      </c>
      <c r="EX590">
        <f>IF(ISBLANK('Data Entry'!$Ú$590), "", 'Data Entry'!$Ú$590)</f>
      </c>
      <c r="EY590">
        <f>IF(ISBLANK('Data Entry'!$Û$590), "", 'Data Entry'!$Û$590)</f>
      </c>
      <c r="EZ590">
        <f>IF(ISBLANK('Data Entry'!$Ü$590), "", 'Data Entry'!$Ü$590)</f>
      </c>
      <c r="FA590">
        <f>IF(ISBLANK('Data Entry'!$Ý$590), "", 'Data Entry'!$Ý$590)</f>
      </c>
      <c r="FB590">
        <f>IF(ISBLANK('Data Entry'!$Þ$590), "", 'Data Entry'!$Þ$590)</f>
      </c>
      <c r="FC590">
        <f>IF(ISBLANK('Data Entry'!$ß$590), "", 'Data Entry'!$ß$590)</f>
      </c>
      <c r="FD590">
        <f>IF(ISBLANK('Data Entry'!$à$590), "", 'Data Entry'!$à$590)</f>
      </c>
      <c r="FE590">
        <f>IF(ISBLANK('Data Entry'!$á$590), "", 'Data Entry'!$á$590)</f>
      </c>
      <c r="FF590">
        <f>IF(ISBLANK('Data Entry'!$â$590), "", 'Data Entry'!$â$590)</f>
      </c>
      <c r="FG590">
        <f>IF(ISBLANK('Data Entry'!$ã$590), "", 'Data Entry'!$ã$590)</f>
      </c>
      <c r="FH590">
        <f>IF(ISBLANK('Data Entry'!$ä$590), "", 'Data Entry'!$ä$590)</f>
      </c>
      <c r="FI590">
        <f>IF(ISBLANK('Data Entry'!$å$590), "", 'Data Entry'!$å$590)</f>
      </c>
      <c r="FJ590">
        <f>IF(ISBLANK('Data Entry'!$æ$590), "", 'Data Entry'!$æ$590)</f>
      </c>
      <c r="FK590">
        <f>IF(ISBLANK('Data Entry'!$ç$590), "", 'Data Entry'!$ç$590)</f>
      </c>
      <c r="FL590">
        <f>IF(ISBLANK('Data Entry'!$è$590), "", 'Data Entry'!$è$590)</f>
      </c>
      <c r="FM590">
        <f>IF(ISBLANK('Data Entry'!$é$590), "", 'Data Entry'!$é$590)</f>
      </c>
      <c r="FN590">
        <f>IF(ISBLANK('Data Entry'!$ê$590), "", 'Data Entry'!$ê$590)</f>
      </c>
      <c r="FO590">
        <f>IF(ISBLANK('Data Entry'!$ë$590), "", 'Data Entry'!$ë$590)</f>
      </c>
      <c r="FP590">
        <f>IF(ISBLANK('Data Entry'!$ì$590), "", 'Data Entry'!$ì$590)</f>
      </c>
      <c r="FQ590">
        <f>IF(ISBLANK('Data Entry'!$í$590), "", 'Data Entry'!$í$590)</f>
      </c>
      <c r="FR590">
        <f>IF(ISBLANK('Data Entry'!$î$590), "", 'Data Entry'!$î$590)</f>
      </c>
      <c r="FS590">
        <f>IF(ISBLANK('Data Entry'!$ï$590), "", 'Data Entry'!$ï$590)</f>
      </c>
      <c r="FT590">
        <f>IF(ISBLANK('Data Entry'!$ð$590), "", 'Data Entry'!$ð$590)</f>
      </c>
      <c r="FU590">
        <f>IF(ISBLANK('Data Entry'!$ñ$590), "", 'Data Entry'!$ñ$590)</f>
      </c>
      <c r="FV590">
        <f>IF(ISBLANK('Data Entry'!$ò$590), "", 'Data Entry'!$ò$590)</f>
      </c>
      <c r="FW590">
        <f>IF(ISBLANK('Data Entry'!$ó$590), "", 'Data Entry'!$ó$590)</f>
      </c>
      <c r="FX590">
        <f>IF(ISBLANK('Data Entry'!$ô$590), "", 'Data Entry'!$ô$590)</f>
      </c>
      <c r="FY590">
        <f>IF(ISBLANK('Data Entry'!$õ$590), "", 'Data Entry'!$õ$590)</f>
      </c>
      <c r="FZ590">
        <f>IF(ISBLANK('Data Entry'!$ö$590), "", 'Data Entry'!$ö$590)</f>
      </c>
      <c r="GA590">
        <f>IF(ISBLANK('Data Entry'!$÷$590), "", 'Data Entry'!$÷$590)</f>
      </c>
      <c r="GB590">
        <f>IF(ISBLANK('Data Entry'!$ø$590), "", 'Data Entry'!$ø$590)</f>
      </c>
      <c r="GC590">
        <f>IF(ISBLANK('Data Entry'!$ù$590), "", 'Data Entry'!$ù$590)</f>
      </c>
      <c r="GD590">
        <f>IF(ISBLANK('Data Entry'!$ú$590), "", 'Data Entry'!$ú$590)</f>
      </c>
      <c r="GE590">
        <f>IF(ISBLANK('Data Entry'!$û$590), "", 'Data Entry'!$û$590)</f>
      </c>
      <c r="GF590">
        <f>IF(ISBLANK('Data Entry'!$ü$590), "", 'Data Entry'!$ü$590)</f>
      </c>
      <c r="GG590">
        <f>IF(ISBLANK('Data Entry'!$ý$590), "", 'Data Entry'!$ý$590)</f>
      </c>
      <c r="GH590">
        <f>IF(ISBLANK('Data Entry'!$þ$590), "", 'Data Entry'!$þ$590)</f>
      </c>
      <c r="GI590">
        <f>IF(ISBLANK('Data Entry'!$ÿ$590), "", 'Data Entry'!$ÿ$590)</f>
      </c>
      <c r="GJ590">
        <f>IF(ISBLANK('Data Entry'!$Ā$590), "", 'Data Entry'!$Ā$590)</f>
      </c>
      <c r="GK590">
        <f>IF(ISBLANK('Data Entry'!$ā$590), "", 'Data Entry'!$ā$590)</f>
      </c>
      <c r="GL590">
        <f>IF(ISBLANK('Data Entry'!$Ă$590), "", 'Data Entry'!$Ă$590)</f>
      </c>
      <c r="GM590">
        <f>IF(ISBLANK('Data Entry'!$ă$590), "", 'Data Entry'!$ă$590)</f>
      </c>
      <c r="GN590">
        <f>IF(ISBLANK('Data Entry'!$Ą$590), "", 'Data Entry'!$Ą$590)</f>
      </c>
      <c r="GO590">
        <f>IF(ISBLANK('Data Entry'!$ą$590), "", 'Data Entry'!$ą$590)</f>
      </c>
      <c r="GP590">
        <f>IF(ISBLANK('Data Entry'!$Ć$590), "", 'Data Entry'!$Ć$590)</f>
      </c>
      <c r="GQ590">
        <f>IF(ISBLANK('Data Entry'!$ć$590), "", 'Data Entry'!$ć$590)</f>
      </c>
      <c r="GR590">
        <f>IF(ISBLANK('Data Entry'!$Ĉ$590), "", 'Data Entry'!$Ĉ$590)</f>
      </c>
      <c r="GS590">
        <f>IF(ISBLANK('Data Entry'!$ĉ$590), "", 'Data Entry'!$ĉ$590)</f>
      </c>
      <c r="GT590">
        <f>IF(ISBLANK('Data Entry'!$Ċ$590), "", 'Data Entry'!$Ċ$590)</f>
      </c>
      <c r="GU590">
        <f>IF(ISBLANK('Data Entry'!$ċ$590), "", 'Data Entry'!$ċ$590)</f>
      </c>
      <c r="GV590">
        <f>IF(ISBLANK('Data Entry'!$Č$590), "", 'Data Entry'!$Č$590)</f>
      </c>
      <c r="GW590">
        <f>IF(ISBLANK('Data Entry'!$č$590), "", 'Data Entry'!$č$590)</f>
      </c>
      <c r="GX590">
        <f>IF(ISBLANK('Data Entry'!$Ď$590), "", 'Data Entry'!$Ď$590)</f>
      </c>
      <c r="GY590">
        <f>IF(ISBLANK('Data Entry'!$ď$590), "", 'Data Entry'!$ď$590)</f>
      </c>
      <c r="GZ590">
        <f>IF(ISBLANK('Data Entry'!$Đ$590), "", 'Data Entry'!$Đ$590)</f>
      </c>
      <c r="HA590">
        <f>IF(ISBLANK('Data Entry'!$đ$590), "", 'Data Entry'!$đ$590)</f>
      </c>
      <c r="HB590">
        <f>IF(ISBLANK('Data Entry'!$Ē$590), "", 'Data Entry'!$Ē$590)</f>
      </c>
      <c r="HC590">
        <f>IF(ISBLANK('Data Entry'!$ē$590), "", 'Data Entry'!$ē$590)</f>
      </c>
      <c r="HD590">
        <f>IF(ISBLANK('Data Entry'!$Ĕ$590), "", 'Data Entry'!$Ĕ$590)</f>
      </c>
      <c r="HE590">
        <f>IF(ISBLANK('Data Entry'!$ĕ$590), "", 'Data Entry'!$ĕ$590)</f>
      </c>
      <c r="HF590">
        <f>IF(ISBLANK('Data Entry'!$Ė$590), "", 'Data Entry'!$Ė$590)</f>
      </c>
      <c r="HG590">
        <f>IF(ISBLANK('Data Entry'!$ė$590), "", 'Data Entry'!$ė$590)</f>
      </c>
      <c r="HH590">
        <f>IF(ISBLANK('Data Entry'!$Ę$590), "", 'Data Entry'!$Ę$590)</f>
      </c>
      <c r="HI590">
        <f>IF(ISBLANK('Data Entry'!$ę$590), "", 'Data Entry'!$ę$590)</f>
      </c>
      <c r="HJ590">
        <f>IF(ISBLANK('Data Entry'!$Ě$590), "", 'Data Entry'!$Ě$590)</f>
      </c>
      <c r="HK590">
        <f>IF(ISBLANK('Data Entry'!$ě$590), "", 'Data Entry'!$ě$590)</f>
      </c>
      <c r="HL590">
        <f>IF(ISBLANK('Data Entry'!$Ĝ$590), "", 'Data Entry'!$Ĝ$590)</f>
      </c>
      <c r="HM590">
        <f>IF(ISBLANK('Data Entry'!$ĝ$590), "", 'Data Entry'!$ĝ$590)</f>
      </c>
      <c r="HN590">
        <f>IF(ISBLANK('Data Entry'!$Ğ$590), "", 'Data Entry'!$Ğ$590)</f>
      </c>
      <c r="HO590">
        <f>IF(ISBLANK('Data Entry'!$ğ$590), "", 'Data Entry'!$ğ$590)</f>
      </c>
      <c r="HP590">
        <f>IF(ISBLANK('Data Entry'!$Ġ$590), "", 'Data Entry'!$Ġ$590)</f>
      </c>
      <c r="HQ590">
        <f>IF(ISBLANK('Data Entry'!$ġ$590), "", 'Data Entry'!$ġ$590)</f>
      </c>
      <c r="HR590">
        <f>IF(ISBLANK('Data Entry'!$Ģ$590), "", 'Data Entry'!$Ģ$590)</f>
      </c>
      <c r="HS590">
        <f>IF(ISBLANK('Data Entry'!$ģ$590), "", 'Data Entry'!$ģ$590)</f>
      </c>
      <c r="HT590">
        <f>IF(ISBLANK('Data Entry'!$Ĥ$590), "", 'Data Entry'!$Ĥ$590)</f>
      </c>
      <c r="HU590">
        <f>IF(ISBLANK('Data Entry'!$ĥ$590), "", 'Data Entry'!$ĥ$590)</f>
      </c>
      <c r="HV590">
        <f>IF(ISBLANK('Data Entry'!$Ħ$590), "", 'Data Entry'!$Ħ$590)</f>
      </c>
      <c r="HW590">
        <f>IF(ISBLANK('Data Entry'!$ħ$590), "", 'Data Entry'!$ħ$590)</f>
      </c>
      <c r="HX590">
        <f>IF(ISBLANK('Data Entry'!$Ĩ$590), "", 'Data Entry'!$Ĩ$590)</f>
      </c>
      <c r="HY590">
        <f>IF(ISBLANK('Data Entry'!$ĩ$590), "", 'Data Entry'!$ĩ$590)</f>
      </c>
      <c r="HZ590">
        <f>IF(ISBLANK('Data Entry'!$Ī$590), "", 'Data Entry'!$Ī$590)</f>
      </c>
      <c r="IA590">
        <f>IF(ISBLANK('Data Entry'!$ī$590), "", 'Data Entry'!$ī$590)</f>
      </c>
      <c r="IB590">
        <f>IF(ISBLANK('Data Entry'!$Ĭ$590), "", 'Data Entry'!$Ĭ$590)</f>
      </c>
      <c r="IC590">
        <f>IF(ISBLANK('Data Entry'!$ĭ$590), "", 'Data Entry'!$ĭ$590)</f>
      </c>
      <c r="ID590">
        <f>IF(ISBLANK('Data Entry'!$Į$590), "", 'Data Entry'!$Į$590)</f>
      </c>
      <c r="IE590">
        <f>IF(ISBLANK('Data Entry'!$į$590), "", 'Data Entry'!$į$590)</f>
      </c>
      <c r="IF590">
        <f>IF(ISBLANK('Data Entry'!$İ$590), "", 'Data Entry'!$İ$590)</f>
      </c>
      <c r="IG590">
        <f>IF(ISBLANK('Data Entry'!$ı$590), "", 'Data Entry'!$ı$590)</f>
      </c>
      <c r="IH590">
        <f>IF(ISBLANK('Data Entry'!$Ĳ$590), "", 'Data Entry'!$Ĳ$590)</f>
      </c>
      <c r="II590">
        <f>IF(ISBLANK('Data Entry'!$ĳ$590), "", 'Data Entry'!$ĳ$590)</f>
      </c>
      <c r="IJ590">
        <f>IF(ISBLANK('Data Entry'!$Ĵ$590), "", 'Data Entry'!$Ĵ$590)</f>
      </c>
      <c r="IK590">
        <f>IF(ISBLANK('Data Entry'!$ĵ$590), "", 'Data Entry'!$ĵ$590)</f>
      </c>
      <c r="IL590">
        <f>IF(ISBLANK('Data Entry'!$Ķ$590), "", 'Data Entry'!$Ķ$590)</f>
      </c>
      <c r="IM590">
        <f>IF(ISBLANK('Data Entry'!$ķ$590), "", 'Data Entry'!$ķ$590)</f>
      </c>
      <c r="IN590">
        <f>IF(ISBLANK('Data Entry'!$ĸ$590), "", 'Data Entry'!$ĸ$590)</f>
      </c>
      <c r="IO590">
        <f>IF(ISBLANK('Data Entry'!$Ĺ$590), "", 'Data Entry'!$Ĺ$590)</f>
      </c>
      <c r="IP590">
        <f>IF(ISBLANK('Data Entry'!$ĺ$590), "", 'Data Entry'!$ĺ$590)</f>
      </c>
      <c r="IQ590">
        <f>IF(ISBLANK('Data Entry'!$Ļ$590), "", 'Data Entry'!$Ļ$590)</f>
      </c>
      <c r="IR590">
        <f>IF(ISBLANK('Data Entry'!$ļ$590), "", 'Data Entry'!$ļ$590)</f>
      </c>
      <c r="IS590">
        <f>IF(ISBLANK('Data Entry'!$Ľ$590), "", 'Data Entry'!$Ľ$590)</f>
      </c>
      <c r="IT590">
        <f>IF(ISBLANK('Data Entry'!$ľ$590), "", 'Data Entry'!$ľ$590)</f>
      </c>
    </row>
    <row r="591" spans="1:254" x14ac:dyDescent="0.25">
      <c r="A591">
        <f>IF(ISBLANK('Data Entry'!$A$591), "", 'Data Entry'!$A$591)</f>
      </c>
      <c r="B591">
        <f>IF(ISBLANK('Data Entry'!$B$591), "", 'Data Entry'!$B$591)</f>
      </c>
      <c r="C591">
        <f>IF(ISBLANK('Data Entry'!$C$591), "", 'Data Entry'!$C$591)</f>
      </c>
      <c r="D591">
        <f>IF(ISBLANK('Data Entry'!$D$591), "", 'Data Entry'!$D$591)</f>
      </c>
      <c r="E591">
        <f>IF(ISBLANK('Data Entry'!$E$591), "", 'Data Entry'!$E$591)</f>
      </c>
      <c r="F591">
        <f>IF(ISBLANK('Data Entry'!$F$591), "", 'Data Entry'!$F$591)</f>
      </c>
      <c r="G591">
        <f>IF(ISBLANK('Data Entry'!$G$591), "", 'Data Entry'!$G$591)</f>
      </c>
      <c r="H591">
        <f>IF(ISBLANK('Data Entry'!$H$591), "", 'Data Entry'!$H$591)</f>
      </c>
      <c r="I591">
        <f>IF(ISBLANK('Data Entry'!$I$591), "", 'Data Entry'!$I$591)</f>
      </c>
      <c r="J591">
        <f>IF(ISBLANK('Data Entry'!$J$591), "", 'Data Entry'!$J$591)</f>
      </c>
      <c r="K591">
        <f>IF(ISBLANK('Data Entry'!$K$591), "", 'Data Entry'!$K$591)</f>
      </c>
      <c r="L591">
        <f>IF(ISBLANK('Data Entry'!$L$591), "", 'Data Entry'!$L$591)</f>
      </c>
      <c r="M591">
        <f>IF(ISBLANK('Data Entry'!$M$591), "", 'Data Entry'!$M$591)</f>
      </c>
      <c r="N591">
        <f>IF(ISBLANK('Data Entry'!$N$591), "", 'Data Entry'!$N$591)</f>
      </c>
      <c r="O591">
        <f>IF(ISBLANK('Data Entry'!$O$591), "", 'Data Entry'!$O$591)</f>
      </c>
      <c r="P591">
        <f>IF(ISBLANK('Data Entry'!$P$591), "", 'Data Entry'!$P$591)</f>
      </c>
      <c r="Q591">
        <f>IF(ISBLANK('Data Entry'!$Q$591), "", 'Data Entry'!$Q$591)</f>
      </c>
      <c r="R591">
        <f>IF(ISBLANK('Data Entry'!$R$591), "", 'Data Entry'!$R$591)</f>
      </c>
      <c r="S591">
        <f>IF(ISBLANK('Data Entry'!$S$591), "", 'Data Entry'!$S$591)</f>
      </c>
      <c r="T591">
        <f>IF(ISBLANK('Data Entry'!$T$591), "", 'Data Entry'!$T$591)</f>
      </c>
      <c r="U591">
        <f>IF(ISBLANK('Data Entry'!$U$591), "", 'Data Entry'!$U$591)</f>
      </c>
      <c r="V591">
        <f>IF(ISBLANK('Data Entry'!$V$591), "", 'Data Entry'!$V$591)</f>
      </c>
      <c r="W591">
        <f>IF(ISBLANK('Data Entry'!$W$591), "", 'Data Entry'!$W$591)</f>
      </c>
      <c r="X591">
        <f>IF(ISBLANK('Data Entry'!$X$591), "", 'Data Entry'!$X$591)</f>
      </c>
      <c r="Y591">
        <f>IF(ISBLANK('Data Entry'!$Y$591), "", 'Data Entry'!$Y$591)</f>
      </c>
      <c r="Z591">
        <f>IF(ISBLANK('Data Entry'!$Z$591), "", 'Data Entry'!$Z$591)</f>
      </c>
      <c r="AA591">
        <f>IF(ISBLANK('Data Entry'!$[$591), "", 'Data Entry'!$[$591)</f>
      </c>
      <c r="AB591">
        <f>IF(ISBLANK('Data Entry'!$\$591), "", 'Data Entry'!$\$591)</f>
      </c>
      <c r="AC591">
        <f>IF(ISBLANK('Data Entry'!$]$591), "", 'Data Entry'!$]$591)</f>
      </c>
      <c r="AD591">
        <f>IF(ISBLANK('Data Entry'!$^$591), "", 'Data Entry'!$^$591)</f>
      </c>
      <c r="AE591">
        <f>IF(ISBLANK('Data Entry'!$_$591), "", 'Data Entry'!$_$591)</f>
      </c>
      <c r="AF591">
        <f>IF(ISBLANK('Data Entry'!$`$591), "", 'Data Entry'!$`$591)</f>
      </c>
      <c r="AG591">
        <f>IF(ISBLANK('Data Entry'!$a$591), "", 'Data Entry'!$a$591)</f>
      </c>
      <c r="AH591">
        <f>IF(ISBLANK('Data Entry'!$b$591), "", 'Data Entry'!$b$591)</f>
      </c>
      <c r="AI591">
        <f>IF(ISBLANK('Data Entry'!$c$591), "", 'Data Entry'!$c$591)</f>
      </c>
      <c r="AJ591">
        <f>IF(ISBLANK('Data Entry'!$d$591), "", 'Data Entry'!$d$591)</f>
      </c>
      <c r="AK591">
        <f>IF(ISBLANK('Data Entry'!$e$591), "", 'Data Entry'!$e$591)</f>
      </c>
      <c r="AL591">
        <f>IF(ISBLANK('Data Entry'!$f$591), "", 'Data Entry'!$f$591)</f>
      </c>
      <c r="AM591">
        <f>IF(ISBLANK('Data Entry'!$g$591), "", 'Data Entry'!$g$591)</f>
      </c>
      <c r="AN591">
        <f>IF(ISBLANK('Data Entry'!$h$591), "", 'Data Entry'!$h$591)</f>
      </c>
      <c r="AO591">
        <f>IF(ISBLANK('Data Entry'!$i$591), "", 'Data Entry'!$i$591)</f>
      </c>
      <c r="AP591">
        <f>IF(ISBLANK('Data Entry'!$j$591), "", 'Data Entry'!$j$591)</f>
      </c>
      <c r="AQ591">
        <f>IF(ISBLANK('Data Entry'!$k$591), "", 'Data Entry'!$k$591)</f>
      </c>
      <c r="AR591">
        <f>IF(ISBLANK('Data Entry'!$l$591), "", 'Data Entry'!$l$591)</f>
      </c>
      <c r="AS591">
        <f>IF(ISBLANK('Data Entry'!$m$591), "", 'Data Entry'!$m$591)</f>
      </c>
      <c r="AT591">
        <f>IF(ISBLANK('Data Entry'!$n$591), "", 'Data Entry'!$n$591)</f>
      </c>
      <c r="AU591">
        <f>IF(ISBLANK('Data Entry'!$o$591), "", 'Data Entry'!$o$591)</f>
      </c>
      <c r="AV591">
        <f>IF(ISBLANK('Data Entry'!$p$591), "", 'Data Entry'!$p$591)</f>
      </c>
      <c r="AW591">
        <f>IF(ISBLANK('Data Entry'!$q$591), "", 'Data Entry'!$q$591)</f>
      </c>
      <c r="AX591">
        <f>IF(ISBLANK('Data Entry'!$r$591), "", 'Data Entry'!$r$591)</f>
      </c>
      <c r="AY591">
        <f>IF(ISBLANK('Data Entry'!$s$591), "", 'Data Entry'!$s$591)</f>
      </c>
      <c r="AZ591">
        <f>IF(ISBLANK('Data Entry'!$t$591), "", 'Data Entry'!$t$591)</f>
      </c>
      <c r="BA591">
        <f>IF(ISBLANK('Data Entry'!$u$591), "", 'Data Entry'!$u$591)</f>
      </c>
      <c r="BB591">
        <f>IF(ISBLANK('Data Entry'!$v$591), "", 'Data Entry'!$v$591)</f>
      </c>
      <c r="BC591">
        <f>IF(ISBLANK('Data Entry'!$w$591), "", 'Data Entry'!$w$591)</f>
      </c>
      <c r="BD591">
        <f>IF(ISBLANK('Data Entry'!$x$591), "", 'Data Entry'!$x$591)</f>
      </c>
      <c r="BE591">
        <f>IF(ISBLANK('Data Entry'!$y$591), "", 'Data Entry'!$y$591)</f>
      </c>
      <c r="BF591">
        <f>IF(ISBLANK('Data Entry'!$z$591), "", 'Data Entry'!$z$591)</f>
      </c>
      <c r="BG591">
        <f>IF(ISBLANK('Data Entry'!${$591), "", 'Data Entry'!${$591)</f>
      </c>
      <c r="BH591">
        <f>IF(ISBLANK('Data Entry'!$|$591), "", 'Data Entry'!$|$591)</f>
      </c>
      <c r="BI591">
        <f>IF(ISBLANK('Data Entry'!$}$591), "", 'Data Entry'!$}$591)</f>
      </c>
      <c r="BJ591">
        <f>IF(ISBLANK('Data Entry'!$~$591), "", 'Data Entry'!$~$591)</f>
      </c>
      <c r="BK591">
        <f>IF(ISBLANK('Data Entry'!$$591), "", 'Data Entry'!$$591)</f>
      </c>
      <c r="BL591">
        <f>IF(ISBLANK('Data Entry'!$$591), "", 'Data Entry'!$$591)</f>
      </c>
      <c r="BM591">
        <f>IF(ISBLANK('Data Entry'!$$591), "", 'Data Entry'!$$591)</f>
      </c>
      <c r="BN591">
        <f>IF(ISBLANK('Data Entry'!$$591), "", 'Data Entry'!$$591)</f>
      </c>
      <c r="BO591">
        <f>IF(ISBLANK('Data Entry'!$$591), "", 'Data Entry'!$$591)</f>
      </c>
      <c r="BP591">
        <f>IF(ISBLANK('Data Entry'!$$591), "", 'Data Entry'!$$591)</f>
      </c>
      <c r="BQ591">
        <f>IF(ISBLANK('Data Entry'!$$591), "", 'Data Entry'!$$591)</f>
      </c>
      <c r="BR591">
        <f>IF(ISBLANK('Data Entry'!$$591), "", 'Data Entry'!$$591)</f>
      </c>
      <c r="BS591">
        <f>IF(ISBLANK('Data Entry'!$$591), "", 'Data Entry'!$$591)</f>
      </c>
      <c r="BT591">
        <f>IF(ISBLANK('Data Entry'!$$591), "", 'Data Entry'!$$591)</f>
      </c>
      <c r="BU591">
        <f>IF(ISBLANK('Data Entry'!$$591), "", 'Data Entry'!$$591)</f>
      </c>
      <c r="BV591">
        <f>IF(ISBLANK('Data Entry'!$$591), "", 'Data Entry'!$$591)</f>
      </c>
      <c r="BW591">
        <f>IF(ISBLANK('Data Entry'!$$591), "", 'Data Entry'!$$591)</f>
      </c>
      <c r="BX591">
        <f>IF(ISBLANK('Data Entry'!$$591), "", 'Data Entry'!$$591)</f>
      </c>
      <c r="BY591">
        <f>IF(ISBLANK('Data Entry'!$$591), "", 'Data Entry'!$$591)</f>
      </c>
      <c r="BZ591">
        <f>IF(ISBLANK('Data Entry'!$$591), "", 'Data Entry'!$$591)</f>
      </c>
      <c r="CA591">
        <f>IF(ISBLANK('Data Entry'!$$591), "", 'Data Entry'!$$591)</f>
      </c>
      <c r="CB591">
        <f>IF(ISBLANK('Data Entry'!$$591), "", 'Data Entry'!$$591)</f>
      </c>
      <c r="CC591">
        <f>IF(ISBLANK('Data Entry'!$$591), "", 'Data Entry'!$$591)</f>
      </c>
      <c r="CD591">
        <f>IF(ISBLANK('Data Entry'!$$591), "", 'Data Entry'!$$591)</f>
      </c>
      <c r="CE591">
        <f>IF(ISBLANK('Data Entry'!$$591), "", 'Data Entry'!$$591)</f>
      </c>
      <c r="CF591">
        <f>IF(ISBLANK('Data Entry'!$$591), "", 'Data Entry'!$$591)</f>
      </c>
      <c r="CG591">
        <f>IF(ISBLANK('Data Entry'!$$591), "", 'Data Entry'!$$591)</f>
      </c>
      <c r="CH591">
        <f>IF(ISBLANK('Data Entry'!$$591), "", 'Data Entry'!$$591)</f>
      </c>
      <c r="CI591">
        <f>IF(ISBLANK('Data Entry'!$$591), "", 'Data Entry'!$$591)</f>
      </c>
      <c r="CJ591">
        <f>IF(ISBLANK('Data Entry'!$$591), "", 'Data Entry'!$$591)</f>
      </c>
      <c r="CK591">
        <f>IF(ISBLANK('Data Entry'!$$591), "", 'Data Entry'!$$591)</f>
      </c>
      <c r="CL591">
        <f>IF(ISBLANK('Data Entry'!$$591), "", 'Data Entry'!$$591)</f>
      </c>
      <c r="CM591">
        <f>IF(ISBLANK('Data Entry'!$$591), "", 'Data Entry'!$$591)</f>
      </c>
      <c r="CN591">
        <f>IF(ISBLANK('Data Entry'!$$591), "", 'Data Entry'!$$591)</f>
      </c>
      <c r="CO591">
        <f>IF(ISBLANK('Data Entry'!$$591), "", 'Data Entry'!$$591)</f>
      </c>
      <c r="CP591">
        <f>IF(ISBLANK('Data Entry'!$$591), "", 'Data Entry'!$$591)</f>
      </c>
      <c r="CQ591">
        <f>IF(ISBLANK('Data Entry'!$$591), "", 'Data Entry'!$$591)</f>
      </c>
      <c r="CR591">
        <f>IF(ISBLANK('Data Entry'!$ $591), "", 'Data Entry'!$ $591)</f>
      </c>
      <c r="CS591">
        <f>IF(ISBLANK('Data Entry'!$¡$591), "", 'Data Entry'!$¡$591)</f>
      </c>
      <c r="CT591">
        <f>IF(ISBLANK('Data Entry'!$¢$591), "", 'Data Entry'!$¢$591)</f>
      </c>
      <c r="CU591">
        <f>IF(ISBLANK('Data Entry'!$£$591), "", 'Data Entry'!$£$591)</f>
      </c>
      <c r="CV591">
        <f>IF(ISBLANK('Data Entry'!$¤$591), "", 'Data Entry'!$¤$591)</f>
      </c>
      <c r="CW591">
        <f>IF(ISBLANK('Data Entry'!$¥$591), "", 'Data Entry'!$¥$591)</f>
      </c>
      <c r="CX591">
        <f>IF(ISBLANK('Data Entry'!$¦$591), "", 'Data Entry'!$¦$591)</f>
      </c>
      <c r="CY591">
        <f>IF(ISBLANK('Data Entry'!$§$591), "", 'Data Entry'!$§$591)</f>
      </c>
      <c r="CZ591">
        <f>IF(ISBLANK('Data Entry'!$¨$591), "", 'Data Entry'!$¨$591)</f>
      </c>
      <c r="DA591">
        <f>IF(ISBLANK('Data Entry'!$©$591), "", 'Data Entry'!$©$591)</f>
      </c>
      <c r="DB591">
        <f>IF(ISBLANK('Data Entry'!$ª$591), "", 'Data Entry'!$ª$591)</f>
      </c>
      <c r="DC591">
        <f>IF(ISBLANK('Data Entry'!$«$591), "", 'Data Entry'!$«$591)</f>
      </c>
      <c r="DD591">
        <f>IF(ISBLANK('Data Entry'!$¬$591), "", 'Data Entry'!$¬$591)</f>
      </c>
      <c r="DE591">
        <f>IF(ISBLANK('Data Entry'!$­$591), "", 'Data Entry'!$­$591)</f>
      </c>
      <c r="DF591">
        <f>IF(ISBLANK('Data Entry'!$®$591), "", 'Data Entry'!$®$591)</f>
      </c>
      <c r="DG591">
        <f>IF(ISBLANK('Data Entry'!$¯$591), "", 'Data Entry'!$¯$591)</f>
      </c>
      <c r="DH591">
        <f>IF(ISBLANK('Data Entry'!$°$591), "", 'Data Entry'!$°$591)</f>
      </c>
      <c r="DI591">
        <f>IF(ISBLANK('Data Entry'!$±$591), "", 'Data Entry'!$±$591)</f>
      </c>
      <c r="DJ591">
        <f>IF(ISBLANK('Data Entry'!$²$591), "", 'Data Entry'!$²$591)</f>
      </c>
      <c r="DK591">
        <f>IF(ISBLANK('Data Entry'!$³$591), "", 'Data Entry'!$³$591)</f>
      </c>
      <c r="DL591">
        <f>IF(ISBLANK('Data Entry'!$´$591), "", 'Data Entry'!$´$591)</f>
      </c>
      <c r="DM591">
        <f>IF(ISBLANK('Data Entry'!$µ$591), "", 'Data Entry'!$µ$591)</f>
      </c>
      <c r="DN591">
        <f>IF(ISBLANK('Data Entry'!$¶$591), "", 'Data Entry'!$¶$591)</f>
      </c>
      <c r="DO591">
        <f>IF(ISBLANK('Data Entry'!$·$591), "", 'Data Entry'!$·$591)</f>
      </c>
      <c r="DP591">
        <f>IF(ISBLANK('Data Entry'!$¸$591), "", 'Data Entry'!$¸$591)</f>
      </c>
      <c r="DQ591">
        <f>IF(ISBLANK('Data Entry'!$¹$591), "", 'Data Entry'!$¹$591)</f>
      </c>
      <c r="DR591">
        <f>IF(ISBLANK('Data Entry'!$º$591), "", 'Data Entry'!$º$591)</f>
      </c>
      <c r="DS591">
        <f>IF(ISBLANK('Data Entry'!$»$591), "", 'Data Entry'!$»$591)</f>
      </c>
      <c r="DT591">
        <f>IF(ISBLANK('Data Entry'!$¼$591), "", 'Data Entry'!$¼$591)</f>
      </c>
      <c r="DU591">
        <f>IF(ISBLANK('Data Entry'!$½$591), "", 'Data Entry'!$½$591)</f>
      </c>
      <c r="DV591">
        <f>IF(ISBLANK('Data Entry'!$¾$591), "", 'Data Entry'!$¾$591)</f>
      </c>
      <c r="DW591">
        <f>IF(ISBLANK('Data Entry'!$¿$591), "", 'Data Entry'!$¿$591)</f>
      </c>
      <c r="DX591">
        <f>IF(ISBLANK('Data Entry'!$À$591), "", 'Data Entry'!$À$591)</f>
      </c>
      <c r="DY591">
        <f>IF(ISBLANK('Data Entry'!$Á$591), "", 'Data Entry'!$Á$591)</f>
      </c>
      <c r="DZ591">
        <f>IF(ISBLANK('Data Entry'!$Â$591), "", 'Data Entry'!$Â$591)</f>
      </c>
      <c r="EA591">
        <f>IF(ISBLANK('Data Entry'!$Ã$591), "", 'Data Entry'!$Ã$591)</f>
      </c>
      <c r="EB591">
        <f>IF(ISBLANK('Data Entry'!$Ä$591), "", 'Data Entry'!$Ä$591)</f>
      </c>
      <c r="EC591">
        <f>IF(ISBLANK('Data Entry'!$Å$591), "", 'Data Entry'!$Å$591)</f>
      </c>
      <c r="ED591">
        <f>IF(ISBLANK('Data Entry'!$Æ$591), "", 'Data Entry'!$Æ$591)</f>
      </c>
      <c r="EE591">
        <f>IF(ISBLANK('Data Entry'!$Ç$591), "", 'Data Entry'!$Ç$591)</f>
      </c>
      <c r="EF591">
        <f>IF(ISBLANK('Data Entry'!$È$591), "", 'Data Entry'!$È$591)</f>
      </c>
      <c r="EG591">
        <f>IF(ISBLANK('Data Entry'!$É$591), "", 'Data Entry'!$É$591)</f>
      </c>
      <c r="EH591">
        <f>IF(ISBLANK('Data Entry'!$Ê$591), "", 'Data Entry'!$Ê$591)</f>
      </c>
      <c r="EI591">
        <f>IF(ISBLANK('Data Entry'!$Ë$591), "", 'Data Entry'!$Ë$591)</f>
      </c>
      <c r="EJ591">
        <f>IF(ISBLANK('Data Entry'!$Ì$591), "", 'Data Entry'!$Ì$591)</f>
      </c>
      <c r="EK591">
        <f>IF(ISBLANK('Data Entry'!$Í$591), "", 'Data Entry'!$Í$591)</f>
      </c>
      <c r="EL591">
        <f>IF(ISBLANK('Data Entry'!$Î$591), "", 'Data Entry'!$Î$591)</f>
      </c>
      <c r="EM591">
        <f>IF(ISBLANK('Data Entry'!$Ï$591), "", 'Data Entry'!$Ï$591)</f>
      </c>
      <c r="EN591">
        <f>IF(ISBLANK('Data Entry'!$Ð$591), "", 'Data Entry'!$Ð$591)</f>
      </c>
      <c r="EO591">
        <f>IF(ISBLANK('Data Entry'!$Ñ$591), "", 'Data Entry'!$Ñ$591)</f>
      </c>
      <c r="EP591">
        <f>IF(ISBLANK('Data Entry'!$Ò$591), "", 'Data Entry'!$Ò$591)</f>
      </c>
      <c r="EQ591">
        <f>IF(ISBLANK('Data Entry'!$Ó$591), "", 'Data Entry'!$Ó$591)</f>
      </c>
      <c r="ER591">
        <f>IF(ISBLANK('Data Entry'!$Ô$591), "", 'Data Entry'!$Ô$591)</f>
      </c>
      <c r="ES591">
        <f>IF(ISBLANK('Data Entry'!$Õ$591), "", 'Data Entry'!$Õ$591)</f>
      </c>
      <c r="ET591">
        <f>IF(ISBLANK('Data Entry'!$Ö$591), "", 'Data Entry'!$Ö$591)</f>
      </c>
      <c r="EU591">
        <f>IF(ISBLANK('Data Entry'!$×$591), "", 'Data Entry'!$×$591)</f>
      </c>
      <c r="EV591">
        <f>IF(ISBLANK('Data Entry'!$Ø$591), "", 'Data Entry'!$Ø$591)</f>
      </c>
      <c r="EW591">
        <f>IF(ISBLANK('Data Entry'!$Ù$591), "", 'Data Entry'!$Ù$591)</f>
      </c>
      <c r="EX591">
        <f>IF(ISBLANK('Data Entry'!$Ú$591), "", 'Data Entry'!$Ú$591)</f>
      </c>
      <c r="EY591">
        <f>IF(ISBLANK('Data Entry'!$Û$591), "", 'Data Entry'!$Û$591)</f>
      </c>
      <c r="EZ591">
        <f>IF(ISBLANK('Data Entry'!$Ü$591), "", 'Data Entry'!$Ü$591)</f>
      </c>
      <c r="FA591">
        <f>IF(ISBLANK('Data Entry'!$Ý$591), "", 'Data Entry'!$Ý$591)</f>
      </c>
      <c r="FB591">
        <f>IF(ISBLANK('Data Entry'!$Þ$591), "", 'Data Entry'!$Þ$591)</f>
      </c>
      <c r="FC591">
        <f>IF(ISBLANK('Data Entry'!$ß$591), "", 'Data Entry'!$ß$591)</f>
      </c>
      <c r="FD591">
        <f>IF(ISBLANK('Data Entry'!$à$591), "", 'Data Entry'!$à$591)</f>
      </c>
      <c r="FE591">
        <f>IF(ISBLANK('Data Entry'!$á$591), "", 'Data Entry'!$á$591)</f>
      </c>
      <c r="FF591">
        <f>IF(ISBLANK('Data Entry'!$â$591), "", 'Data Entry'!$â$591)</f>
      </c>
      <c r="FG591">
        <f>IF(ISBLANK('Data Entry'!$ã$591), "", 'Data Entry'!$ã$591)</f>
      </c>
      <c r="FH591">
        <f>IF(ISBLANK('Data Entry'!$ä$591), "", 'Data Entry'!$ä$591)</f>
      </c>
      <c r="FI591">
        <f>IF(ISBLANK('Data Entry'!$å$591), "", 'Data Entry'!$å$591)</f>
      </c>
      <c r="FJ591">
        <f>IF(ISBLANK('Data Entry'!$æ$591), "", 'Data Entry'!$æ$591)</f>
      </c>
      <c r="FK591">
        <f>IF(ISBLANK('Data Entry'!$ç$591), "", 'Data Entry'!$ç$591)</f>
      </c>
      <c r="FL591">
        <f>IF(ISBLANK('Data Entry'!$è$591), "", 'Data Entry'!$è$591)</f>
      </c>
      <c r="FM591">
        <f>IF(ISBLANK('Data Entry'!$é$591), "", 'Data Entry'!$é$591)</f>
      </c>
      <c r="FN591">
        <f>IF(ISBLANK('Data Entry'!$ê$591), "", 'Data Entry'!$ê$591)</f>
      </c>
      <c r="FO591">
        <f>IF(ISBLANK('Data Entry'!$ë$591), "", 'Data Entry'!$ë$591)</f>
      </c>
      <c r="FP591">
        <f>IF(ISBLANK('Data Entry'!$ì$591), "", 'Data Entry'!$ì$591)</f>
      </c>
      <c r="FQ591">
        <f>IF(ISBLANK('Data Entry'!$í$591), "", 'Data Entry'!$í$591)</f>
      </c>
      <c r="FR591">
        <f>IF(ISBLANK('Data Entry'!$î$591), "", 'Data Entry'!$î$591)</f>
      </c>
      <c r="FS591">
        <f>IF(ISBLANK('Data Entry'!$ï$591), "", 'Data Entry'!$ï$591)</f>
      </c>
      <c r="FT591">
        <f>IF(ISBLANK('Data Entry'!$ð$591), "", 'Data Entry'!$ð$591)</f>
      </c>
      <c r="FU591">
        <f>IF(ISBLANK('Data Entry'!$ñ$591), "", 'Data Entry'!$ñ$591)</f>
      </c>
      <c r="FV591">
        <f>IF(ISBLANK('Data Entry'!$ò$591), "", 'Data Entry'!$ò$591)</f>
      </c>
      <c r="FW591">
        <f>IF(ISBLANK('Data Entry'!$ó$591), "", 'Data Entry'!$ó$591)</f>
      </c>
      <c r="FX591">
        <f>IF(ISBLANK('Data Entry'!$ô$591), "", 'Data Entry'!$ô$591)</f>
      </c>
      <c r="FY591">
        <f>IF(ISBLANK('Data Entry'!$õ$591), "", 'Data Entry'!$õ$591)</f>
      </c>
      <c r="FZ591">
        <f>IF(ISBLANK('Data Entry'!$ö$591), "", 'Data Entry'!$ö$591)</f>
      </c>
      <c r="GA591">
        <f>IF(ISBLANK('Data Entry'!$÷$591), "", 'Data Entry'!$÷$591)</f>
      </c>
      <c r="GB591">
        <f>IF(ISBLANK('Data Entry'!$ø$591), "", 'Data Entry'!$ø$591)</f>
      </c>
      <c r="GC591">
        <f>IF(ISBLANK('Data Entry'!$ù$591), "", 'Data Entry'!$ù$591)</f>
      </c>
      <c r="GD591">
        <f>IF(ISBLANK('Data Entry'!$ú$591), "", 'Data Entry'!$ú$591)</f>
      </c>
      <c r="GE591">
        <f>IF(ISBLANK('Data Entry'!$û$591), "", 'Data Entry'!$û$591)</f>
      </c>
      <c r="GF591">
        <f>IF(ISBLANK('Data Entry'!$ü$591), "", 'Data Entry'!$ü$591)</f>
      </c>
      <c r="GG591">
        <f>IF(ISBLANK('Data Entry'!$ý$591), "", 'Data Entry'!$ý$591)</f>
      </c>
      <c r="GH591">
        <f>IF(ISBLANK('Data Entry'!$þ$591), "", 'Data Entry'!$þ$591)</f>
      </c>
      <c r="GI591">
        <f>IF(ISBLANK('Data Entry'!$ÿ$591), "", 'Data Entry'!$ÿ$591)</f>
      </c>
      <c r="GJ591">
        <f>IF(ISBLANK('Data Entry'!$Ā$591), "", 'Data Entry'!$Ā$591)</f>
      </c>
      <c r="GK591">
        <f>IF(ISBLANK('Data Entry'!$ā$591), "", 'Data Entry'!$ā$591)</f>
      </c>
      <c r="GL591">
        <f>IF(ISBLANK('Data Entry'!$Ă$591), "", 'Data Entry'!$Ă$591)</f>
      </c>
      <c r="GM591">
        <f>IF(ISBLANK('Data Entry'!$ă$591), "", 'Data Entry'!$ă$591)</f>
      </c>
      <c r="GN591">
        <f>IF(ISBLANK('Data Entry'!$Ą$591), "", 'Data Entry'!$Ą$591)</f>
      </c>
      <c r="GO591">
        <f>IF(ISBLANK('Data Entry'!$ą$591), "", 'Data Entry'!$ą$591)</f>
      </c>
      <c r="GP591">
        <f>IF(ISBLANK('Data Entry'!$Ć$591), "", 'Data Entry'!$Ć$591)</f>
      </c>
      <c r="GQ591">
        <f>IF(ISBLANK('Data Entry'!$ć$591), "", 'Data Entry'!$ć$591)</f>
      </c>
      <c r="GR591">
        <f>IF(ISBLANK('Data Entry'!$Ĉ$591), "", 'Data Entry'!$Ĉ$591)</f>
      </c>
      <c r="GS591">
        <f>IF(ISBLANK('Data Entry'!$ĉ$591), "", 'Data Entry'!$ĉ$591)</f>
      </c>
      <c r="GT591">
        <f>IF(ISBLANK('Data Entry'!$Ċ$591), "", 'Data Entry'!$Ċ$591)</f>
      </c>
      <c r="GU591">
        <f>IF(ISBLANK('Data Entry'!$ċ$591), "", 'Data Entry'!$ċ$591)</f>
      </c>
      <c r="GV591">
        <f>IF(ISBLANK('Data Entry'!$Č$591), "", 'Data Entry'!$Č$591)</f>
      </c>
      <c r="GW591">
        <f>IF(ISBLANK('Data Entry'!$č$591), "", 'Data Entry'!$č$591)</f>
      </c>
      <c r="GX591">
        <f>IF(ISBLANK('Data Entry'!$Ď$591), "", 'Data Entry'!$Ď$591)</f>
      </c>
      <c r="GY591">
        <f>IF(ISBLANK('Data Entry'!$ď$591), "", 'Data Entry'!$ď$591)</f>
      </c>
      <c r="GZ591">
        <f>IF(ISBLANK('Data Entry'!$Đ$591), "", 'Data Entry'!$Đ$591)</f>
      </c>
      <c r="HA591">
        <f>IF(ISBLANK('Data Entry'!$đ$591), "", 'Data Entry'!$đ$591)</f>
      </c>
      <c r="HB591">
        <f>IF(ISBLANK('Data Entry'!$Ē$591), "", 'Data Entry'!$Ē$591)</f>
      </c>
      <c r="HC591">
        <f>IF(ISBLANK('Data Entry'!$ē$591), "", 'Data Entry'!$ē$591)</f>
      </c>
      <c r="HD591">
        <f>IF(ISBLANK('Data Entry'!$Ĕ$591), "", 'Data Entry'!$Ĕ$591)</f>
      </c>
      <c r="HE591">
        <f>IF(ISBLANK('Data Entry'!$ĕ$591), "", 'Data Entry'!$ĕ$591)</f>
      </c>
      <c r="HF591">
        <f>IF(ISBLANK('Data Entry'!$Ė$591), "", 'Data Entry'!$Ė$591)</f>
      </c>
      <c r="HG591">
        <f>IF(ISBLANK('Data Entry'!$ė$591), "", 'Data Entry'!$ė$591)</f>
      </c>
      <c r="HH591">
        <f>IF(ISBLANK('Data Entry'!$Ę$591), "", 'Data Entry'!$Ę$591)</f>
      </c>
      <c r="HI591">
        <f>IF(ISBLANK('Data Entry'!$ę$591), "", 'Data Entry'!$ę$591)</f>
      </c>
      <c r="HJ591">
        <f>IF(ISBLANK('Data Entry'!$Ě$591), "", 'Data Entry'!$Ě$591)</f>
      </c>
      <c r="HK591">
        <f>IF(ISBLANK('Data Entry'!$ě$591), "", 'Data Entry'!$ě$591)</f>
      </c>
      <c r="HL591">
        <f>IF(ISBLANK('Data Entry'!$Ĝ$591), "", 'Data Entry'!$Ĝ$591)</f>
      </c>
      <c r="HM591">
        <f>IF(ISBLANK('Data Entry'!$ĝ$591), "", 'Data Entry'!$ĝ$591)</f>
      </c>
      <c r="HN591">
        <f>IF(ISBLANK('Data Entry'!$Ğ$591), "", 'Data Entry'!$Ğ$591)</f>
      </c>
      <c r="HO591">
        <f>IF(ISBLANK('Data Entry'!$ğ$591), "", 'Data Entry'!$ğ$591)</f>
      </c>
      <c r="HP591">
        <f>IF(ISBLANK('Data Entry'!$Ġ$591), "", 'Data Entry'!$Ġ$591)</f>
      </c>
      <c r="HQ591">
        <f>IF(ISBLANK('Data Entry'!$ġ$591), "", 'Data Entry'!$ġ$591)</f>
      </c>
      <c r="HR591">
        <f>IF(ISBLANK('Data Entry'!$Ģ$591), "", 'Data Entry'!$Ģ$591)</f>
      </c>
      <c r="HS591">
        <f>IF(ISBLANK('Data Entry'!$ģ$591), "", 'Data Entry'!$ģ$591)</f>
      </c>
      <c r="HT591">
        <f>IF(ISBLANK('Data Entry'!$Ĥ$591), "", 'Data Entry'!$Ĥ$591)</f>
      </c>
      <c r="HU591">
        <f>IF(ISBLANK('Data Entry'!$ĥ$591), "", 'Data Entry'!$ĥ$591)</f>
      </c>
      <c r="HV591">
        <f>IF(ISBLANK('Data Entry'!$Ħ$591), "", 'Data Entry'!$Ħ$591)</f>
      </c>
      <c r="HW591">
        <f>IF(ISBLANK('Data Entry'!$ħ$591), "", 'Data Entry'!$ħ$591)</f>
      </c>
      <c r="HX591">
        <f>IF(ISBLANK('Data Entry'!$Ĩ$591), "", 'Data Entry'!$Ĩ$591)</f>
      </c>
      <c r="HY591">
        <f>IF(ISBLANK('Data Entry'!$ĩ$591), "", 'Data Entry'!$ĩ$591)</f>
      </c>
      <c r="HZ591">
        <f>IF(ISBLANK('Data Entry'!$Ī$591), "", 'Data Entry'!$Ī$591)</f>
      </c>
      <c r="IA591">
        <f>IF(ISBLANK('Data Entry'!$ī$591), "", 'Data Entry'!$ī$591)</f>
      </c>
      <c r="IB591">
        <f>IF(ISBLANK('Data Entry'!$Ĭ$591), "", 'Data Entry'!$Ĭ$591)</f>
      </c>
      <c r="IC591">
        <f>IF(ISBLANK('Data Entry'!$ĭ$591), "", 'Data Entry'!$ĭ$591)</f>
      </c>
      <c r="ID591">
        <f>IF(ISBLANK('Data Entry'!$Į$591), "", 'Data Entry'!$Į$591)</f>
      </c>
      <c r="IE591">
        <f>IF(ISBLANK('Data Entry'!$į$591), "", 'Data Entry'!$į$591)</f>
      </c>
      <c r="IF591">
        <f>IF(ISBLANK('Data Entry'!$İ$591), "", 'Data Entry'!$İ$591)</f>
      </c>
      <c r="IG591">
        <f>IF(ISBLANK('Data Entry'!$ı$591), "", 'Data Entry'!$ı$591)</f>
      </c>
      <c r="IH591">
        <f>IF(ISBLANK('Data Entry'!$Ĳ$591), "", 'Data Entry'!$Ĳ$591)</f>
      </c>
      <c r="II591">
        <f>IF(ISBLANK('Data Entry'!$ĳ$591), "", 'Data Entry'!$ĳ$591)</f>
      </c>
      <c r="IJ591">
        <f>IF(ISBLANK('Data Entry'!$Ĵ$591), "", 'Data Entry'!$Ĵ$591)</f>
      </c>
      <c r="IK591">
        <f>IF(ISBLANK('Data Entry'!$ĵ$591), "", 'Data Entry'!$ĵ$591)</f>
      </c>
      <c r="IL591">
        <f>IF(ISBLANK('Data Entry'!$Ķ$591), "", 'Data Entry'!$Ķ$591)</f>
      </c>
      <c r="IM591">
        <f>IF(ISBLANK('Data Entry'!$ķ$591), "", 'Data Entry'!$ķ$591)</f>
      </c>
      <c r="IN591">
        <f>IF(ISBLANK('Data Entry'!$ĸ$591), "", 'Data Entry'!$ĸ$591)</f>
      </c>
      <c r="IO591">
        <f>IF(ISBLANK('Data Entry'!$Ĺ$591), "", 'Data Entry'!$Ĺ$591)</f>
      </c>
      <c r="IP591">
        <f>IF(ISBLANK('Data Entry'!$ĺ$591), "", 'Data Entry'!$ĺ$591)</f>
      </c>
      <c r="IQ591">
        <f>IF(ISBLANK('Data Entry'!$Ļ$591), "", 'Data Entry'!$Ļ$591)</f>
      </c>
      <c r="IR591">
        <f>IF(ISBLANK('Data Entry'!$ļ$591), "", 'Data Entry'!$ļ$591)</f>
      </c>
      <c r="IS591">
        <f>IF(ISBLANK('Data Entry'!$Ľ$591), "", 'Data Entry'!$Ľ$591)</f>
      </c>
      <c r="IT591">
        <f>IF(ISBLANK('Data Entry'!$ľ$591), "", 'Data Entry'!$ľ$591)</f>
      </c>
    </row>
    <row r="592" spans="1:254" x14ac:dyDescent="0.25">
      <c r="A592">
        <f>IF(ISBLANK('Data Entry'!$A$592), "", 'Data Entry'!$A$592)</f>
      </c>
      <c r="B592">
        <f>IF(ISBLANK('Data Entry'!$B$592), "", 'Data Entry'!$B$592)</f>
      </c>
      <c r="C592">
        <f>IF(ISBLANK('Data Entry'!$C$592), "", 'Data Entry'!$C$592)</f>
      </c>
      <c r="D592">
        <f>IF(ISBLANK('Data Entry'!$D$592), "", 'Data Entry'!$D$592)</f>
      </c>
      <c r="E592">
        <f>IF(ISBLANK('Data Entry'!$E$592), "", 'Data Entry'!$E$592)</f>
      </c>
      <c r="F592">
        <f>IF(ISBLANK('Data Entry'!$F$592), "", 'Data Entry'!$F$592)</f>
      </c>
      <c r="G592">
        <f>IF(ISBLANK('Data Entry'!$G$592), "", 'Data Entry'!$G$592)</f>
      </c>
      <c r="H592">
        <f>IF(ISBLANK('Data Entry'!$H$592), "", 'Data Entry'!$H$592)</f>
      </c>
      <c r="I592">
        <f>IF(ISBLANK('Data Entry'!$I$592), "", 'Data Entry'!$I$592)</f>
      </c>
      <c r="J592">
        <f>IF(ISBLANK('Data Entry'!$J$592), "", 'Data Entry'!$J$592)</f>
      </c>
      <c r="K592">
        <f>IF(ISBLANK('Data Entry'!$K$592), "", 'Data Entry'!$K$592)</f>
      </c>
      <c r="L592">
        <f>IF(ISBLANK('Data Entry'!$L$592), "", 'Data Entry'!$L$592)</f>
      </c>
      <c r="M592">
        <f>IF(ISBLANK('Data Entry'!$M$592), "", 'Data Entry'!$M$592)</f>
      </c>
      <c r="N592">
        <f>IF(ISBLANK('Data Entry'!$N$592), "", 'Data Entry'!$N$592)</f>
      </c>
      <c r="O592">
        <f>IF(ISBLANK('Data Entry'!$O$592), "", 'Data Entry'!$O$592)</f>
      </c>
      <c r="P592">
        <f>IF(ISBLANK('Data Entry'!$P$592), "", 'Data Entry'!$P$592)</f>
      </c>
      <c r="Q592">
        <f>IF(ISBLANK('Data Entry'!$Q$592), "", 'Data Entry'!$Q$592)</f>
      </c>
      <c r="R592">
        <f>IF(ISBLANK('Data Entry'!$R$592), "", 'Data Entry'!$R$592)</f>
      </c>
      <c r="S592">
        <f>IF(ISBLANK('Data Entry'!$S$592), "", 'Data Entry'!$S$592)</f>
      </c>
      <c r="T592">
        <f>IF(ISBLANK('Data Entry'!$T$592), "", 'Data Entry'!$T$592)</f>
      </c>
      <c r="U592">
        <f>IF(ISBLANK('Data Entry'!$U$592), "", 'Data Entry'!$U$592)</f>
      </c>
      <c r="V592">
        <f>IF(ISBLANK('Data Entry'!$V$592), "", 'Data Entry'!$V$592)</f>
      </c>
      <c r="W592">
        <f>IF(ISBLANK('Data Entry'!$W$592), "", 'Data Entry'!$W$592)</f>
      </c>
      <c r="X592">
        <f>IF(ISBLANK('Data Entry'!$X$592), "", 'Data Entry'!$X$592)</f>
      </c>
      <c r="Y592">
        <f>IF(ISBLANK('Data Entry'!$Y$592), "", 'Data Entry'!$Y$592)</f>
      </c>
      <c r="Z592">
        <f>IF(ISBLANK('Data Entry'!$Z$592), "", 'Data Entry'!$Z$592)</f>
      </c>
      <c r="AA592">
        <f>IF(ISBLANK('Data Entry'!$[$592), "", 'Data Entry'!$[$592)</f>
      </c>
      <c r="AB592">
        <f>IF(ISBLANK('Data Entry'!$\$592), "", 'Data Entry'!$\$592)</f>
      </c>
      <c r="AC592">
        <f>IF(ISBLANK('Data Entry'!$]$592), "", 'Data Entry'!$]$592)</f>
      </c>
      <c r="AD592">
        <f>IF(ISBLANK('Data Entry'!$^$592), "", 'Data Entry'!$^$592)</f>
      </c>
      <c r="AE592">
        <f>IF(ISBLANK('Data Entry'!$_$592), "", 'Data Entry'!$_$592)</f>
      </c>
      <c r="AF592">
        <f>IF(ISBLANK('Data Entry'!$`$592), "", 'Data Entry'!$`$592)</f>
      </c>
      <c r="AG592">
        <f>IF(ISBLANK('Data Entry'!$a$592), "", 'Data Entry'!$a$592)</f>
      </c>
      <c r="AH592">
        <f>IF(ISBLANK('Data Entry'!$b$592), "", 'Data Entry'!$b$592)</f>
      </c>
      <c r="AI592">
        <f>IF(ISBLANK('Data Entry'!$c$592), "", 'Data Entry'!$c$592)</f>
      </c>
      <c r="AJ592">
        <f>IF(ISBLANK('Data Entry'!$d$592), "", 'Data Entry'!$d$592)</f>
      </c>
      <c r="AK592">
        <f>IF(ISBLANK('Data Entry'!$e$592), "", 'Data Entry'!$e$592)</f>
      </c>
      <c r="AL592">
        <f>IF(ISBLANK('Data Entry'!$f$592), "", 'Data Entry'!$f$592)</f>
      </c>
      <c r="AM592">
        <f>IF(ISBLANK('Data Entry'!$g$592), "", 'Data Entry'!$g$592)</f>
      </c>
      <c r="AN592">
        <f>IF(ISBLANK('Data Entry'!$h$592), "", 'Data Entry'!$h$592)</f>
      </c>
      <c r="AO592">
        <f>IF(ISBLANK('Data Entry'!$i$592), "", 'Data Entry'!$i$592)</f>
      </c>
      <c r="AP592">
        <f>IF(ISBLANK('Data Entry'!$j$592), "", 'Data Entry'!$j$592)</f>
      </c>
      <c r="AQ592">
        <f>IF(ISBLANK('Data Entry'!$k$592), "", 'Data Entry'!$k$592)</f>
      </c>
      <c r="AR592">
        <f>IF(ISBLANK('Data Entry'!$l$592), "", 'Data Entry'!$l$592)</f>
      </c>
      <c r="AS592">
        <f>IF(ISBLANK('Data Entry'!$m$592), "", 'Data Entry'!$m$592)</f>
      </c>
      <c r="AT592">
        <f>IF(ISBLANK('Data Entry'!$n$592), "", 'Data Entry'!$n$592)</f>
      </c>
      <c r="AU592">
        <f>IF(ISBLANK('Data Entry'!$o$592), "", 'Data Entry'!$o$592)</f>
      </c>
      <c r="AV592">
        <f>IF(ISBLANK('Data Entry'!$p$592), "", 'Data Entry'!$p$592)</f>
      </c>
      <c r="AW592">
        <f>IF(ISBLANK('Data Entry'!$q$592), "", 'Data Entry'!$q$592)</f>
      </c>
      <c r="AX592">
        <f>IF(ISBLANK('Data Entry'!$r$592), "", 'Data Entry'!$r$592)</f>
      </c>
      <c r="AY592">
        <f>IF(ISBLANK('Data Entry'!$s$592), "", 'Data Entry'!$s$592)</f>
      </c>
      <c r="AZ592">
        <f>IF(ISBLANK('Data Entry'!$t$592), "", 'Data Entry'!$t$592)</f>
      </c>
      <c r="BA592">
        <f>IF(ISBLANK('Data Entry'!$u$592), "", 'Data Entry'!$u$592)</f>
      </c>
      <c r="BB592">
        <f>IF(ISBLANK('Data Entry'!$v$592), "", 'Data Entry'!$v$592)</f>
      </c>
      <c r="BC592">
        <f>IF(ISBLANK('Data Entry'!$w$592), "", 'Data Entry'!$w$592)</f>
      </c>
      <c r="BD592">
        <f>IF(ISBLANK('Data Entry'!$x$592), "", 'Data Entry'!$x$592)</f>
      </c>
      <c r="BE592">
        <f>IF(ISBLANK('Data Entry'!$y$592), "", 'Data Entry'!$y$592)</f>
      </c>
      <c r="BF592">
        <f>IF(ISBLANK('Data Entry'!$z$592), "", 'Data Entry'!$z$592)</f>
      </c>
      <c r="BG592">
        <f>IF(ISBLANK('Data Entry'!${$592), "", 'Data Entry'!${$592)</f>
      </c>
      <c r="BH592">
        <f>IF(ISBLANK('Data Entry'!$|$592), "", 'Data Entry'!$|$592)</f>
      </c>
      <c r="BI592">
        <f>IF(ISBLANK('Data Entry'!$}$592), "", 'Data Entry'!$}$592)</f>
      </c>
      <c r="BJ592">
        <f>IF(ISBLANK('Data Entry'!$~$592), "", 'Data Entry'!$~$592)</f>
      </c>
      <c r="BK592">
        <f>IF(ISBLANK('Data Entry'!$$592), "", 'Data Entry'!$$592)</f>
      </c>
      <c r="BL592">
        <f>IF(ISBLANK('Data Entry'!$$592), "", 'Data Entry'!$$592)</f>
      </c>
      <c r="BM592">
        <f>IF(ISBLANK('Data Entry'!$$592), "", 'Data Entry'!$$592)</f>
      </c>
      <c r="BN592">
        <f>IF(ISBLANK('Data Entry'!$$592), "", 'Data Entry'!$$592)</f>
      </c>
      <c r="BO592">
        <f>IF(ISBLANK('Data Entry'!$$592), "", 'Data Entry'!$$592)</f>
      </c>
      <c r="BP592">
        <f>IF(ISBLANK('Data Entry'!$$592), "", 'Data Entry'!$$592)</f>
      </c>
      <c r="BQ592">
        <f>IF(ISBLANK('Data Entry'!$$592), "", 'Data Entry'!$$592)</f>
      </c>
      <c r="BR592">
        <f>IF(ISBLANK('Data Entry'!$$592), "", 'Data Entry'!$$592)</f>
      </c>
      <c r="BS592">
        <f>IF(ISBLANK('Data Entry'!$$592), "", 'Data Entry'!$$592)</f>
      </c>
      <c r="BT592">
        <f>IF(ISBLANK('Data Entry'!$$592), "", 'Data Entry'!$$592)</f>
      </c>
      <c r="BU592">
        <f>IF(ISBLANK('Data Entry'!$$592), "", 'Data Entry'!$$592)</f>
      </c>
      <c r="BV592">
        <f>IF(ISBLANK('Data Entry'!$$592), "", 'Data Entry'!$$592)</f>
      </c>
      <c r="BW592">
        <f>IF(ISBLANK('Data Entry'!$$592), "", 'Data Entry'!$$592)</f>
      </c>
      <c r="BX592">
        <f>IF(ISBLANK('Data Entry'!$$592), "", 'Data Entry'!$$592)</f>
      </c>
      <c r="BY592">
        <f>IF(ISBLANK('Data Entry'!$$592), "", 'Data Entry'!$$592)</f>
      </c>
      <c r="BZ592">
        <f>IF(ISBLANK('Data Entry'!$$592), "", 'Data Entry'!$$592)</f>
      </c>
      <c r="CA592">
        <f>IF(ISBLANK('Data Entry'!$$592), "", 'Data Entry'!$$592)</f>
      </c>
      <c r="CB592">
        <f>IF(ISBLANK('Data Entry'!$$592), "", 'Data Entry'!$$592)</f>
      </c>
      <c r="CC592">
        <f>IF(ISBLANK('Data Entry'!$$592), "", 'Data Entry'!$$592)</f>
      </c>
      <c r="CD592">
        <f>IF(ISBLANK('Data Entry'!$$592), "", 'Data Entry'!$$592)</f>
      </c>
      <c r="CE592">
        <f>IF(ISBLANK('Data Entry'!$$592), "", 'Data Entry'!$$592)</f>
      </c>
      <c r="CF592">
        <f>IF(ISBLANK('Data Entry'!$$592), "", 'Data Entry'!$$592)</f>
      </c>
      <c r="CG592">
        <f>IF(ISBLANK('Data Entry'!$$592), "", 'Data Entry'!$$592)</f>
      </c>
      <c r="CH592">
        <f>IF(ISBLANK('Data Entry'!$$592), "", 'Data Entry'!$$592)</f>
      </c>
      <c r="CI592">
        <f>IF(ISBLANK('Data Entry'!$$592), "", 'Data Entry'!$$592)</f>
      </c>
      <c r="CJ592">
        <f>IF(ISBLANK('Data Entry'!$$592), "", 'Data Entry'!$$592)</f>
      </c>
      <c r="CK592">
        <f>IF(ISBLANK('Data Entry'!$$592), "", 'Data Entry'!$$592)</f>
      </c>
      <c r="CL592">
        <f>IF(ISBLANK('Data Entry'!$$592), "", 'Data Entry'!$$592)</f>
      </c>
      <c r="CM592">
        <f>IF(ISBLANK('Data Entry'!$$592), "", 'Data Entry'!$$592)</f>
      </c>
      <c r="CN592">
        <f>IF(ISBLANK('Data Entry'!$$592), "", 'Data Entry'!$$592)</f>
      </c>
      <c r="CO592">
        <f>IF(ISBLANK('Data Entry'!$$592), "", 'Data Entry'!$$592)</f>
      </c>
      <c r="CP592">
        <f>IF(ISBLANK('Data Entry'!$$592), "", 'Data Entry'!$$592)</f>
      </c>
      <c r="CQ592">
        <f>IF(ISBLANK('Data Entry'!$$592), "", 'Data Entry'!$$592)</f>
      </c>
      <c r="CR592">
        <f>IF(ISBLANK('Data Entry'!$ $592), "", 'Data Entry'!$ $592)</f>
      </c>
      <c r="CS592">
        <f>IF(ISBLANK('Data Entry'!$¡$592), "", 'Data Entry'!$¡$592)</f>
      </c>
      <c r="CT592">
        <f>IF(ISBLANK('Data Entry'!$¢$592), "", 'Data Entry'!$¢$592)</f>
      </c>
      <c r="CU592">
        <f>IF(ISBLANK('Data Entry'!$£$592), "", 'Data Entry'!$£$592)</f>
      </c>
      <c r="CV592">
        <f>IF(ISBLANK('Data Entry'!$¤$592), "", 'Data Entry'!$¤$592)</f>
      </c>
      <c r="CW592">
        <f>IF(ISBLANK('Data Entry'!$¥$592), "", 'Data Entry'!$¥$592)</f>
      </c>
      <c r="CX592">
        <f>IF(ISBLANK('Data Entry'!$¦$592), "", 'Data Entry'!$¦$592)</f>
      </c>
      <c r="CY592">
        <f>IF(ISBLANK('Data Entry'!$§$592), "", 'Data Entry'!$§$592)</f>
      </c>
      <c r="CZ592">
        <f>IF(ISBLANK('Data Entry'!$¨$592), "", 'Data Entry'!$¨$592)</f>
      </c>
      <c r="DA592">
        <f>IF(ISBLANK('Data Entry'!$©$592), "", 'Data Entry'!$©$592)</f>
      </c>
      <c r="DB592">
        <f>IF(ISBLANK('Data Entry'!$ª$592), "", 'Data Entry'!$ª$592)</f>
      </c>
      <c r="DC592">
        <f>IF(ISBLANK('Data Entry'!$«$592), "", 'Data Entry'!$«$592)</f>
      </c>
      <c r="DD592">
        <f>IF(ISBLANK('Data Entry'!$¬$592), "", 'Data Entry'!$¬$592)</f>
      </c>
      <c r="DE592">
        <f>IF(ISBLANK('Data Entry'!$­$592), "", 'Data Entry'!$­$592)</f>
      </c>
      <c r="DF592">
        <f>IF(ISBLANK('Data Entry'!$®$592), "", 'Data Entry'!$®$592)</f>
      </c>
      <c r="DG592">
        <f>IF(ISBLANK('Data Entry'!$¯$592), "", 'Data Entry'!$¯$592)</f>
      </c>
      <c r="DH592">
        <f>IF(ISBLANK('Data Entry'!$°$592), "", 'Data Entry'!$°$592)</f>
      </c>
      <c r="DI592">
        <f>IF(ISBLANK('Data Entry'!$±$592), "", 'Data Entry'!$±$592)</f>
      </c>
      <c r="DJ592">
        <f>IF(ISBLANK('Data Entry'!$²$592), "", 'Data Entry'!$²$592)</f>
      </c>
      <c r="DK592">
        <f>IF(ISBLANK('Data Entry'!$³$592), "", 'Data Entry'!$³$592)</f>
      </c>
      <c r="DL592">
        <f>IF(ISBLANK('Data Entry'!$´$592), "", 'Data Entry'!$´$592)</f>
      </c>
      <c r="DM592">
        <f>IF(ISBLANK('Data Entry'!$µ$592), "", 'Data Entry'!$µ$592)</f>
      </c>
      <c r="DN592">
        <f>IF(ISBLANK('Data Entry'!$¶$592), "", 'Data Entry'!$¶$592)</f>
      </c>
      <c r="DO592">
        <f>IF(ISBLANK('Data Entry'!$·$592), "", 'Data Entry'!$·$592)</f>
      </c>
      <c r="DP592">
        <f>IF(ISBLANK('Data Entry'!$¸$592), "", 'Data Entry'!$¸$592)</f>
      </c>
      <c r="DQ592">
        <f>IF(ISBLANK('Data Entry'!$¹$592), "", 'Data Entry'!$¹$592)</f>
      </c>
      <c r="DR592">
        <f>IF(ISBLANK('Data Entry'!$º$592), "", 'Data Entry'!$º$592)</f>
      </c>
      <c r="DS592">
        <f>IF(ISBLANK('Data Entry'!$»$592), "", 'Data Entry'!$»$592)</f>
      </c>
      <c r="DT592">
        <f>IF(ISBLANK('Data Entry'!$¼$592), "", 'Data Entry'!$¼$592)</f>
      </c>
      <c r="DU592">
        <f>IF(ISBLANK('Data Entry'!$½$592), "", 'Data Entry'!$½$592)</f>
      </c>
      <c r="DV592">
        <f>IF(ISBLANK('Data Entry'!$¾$592), "", 'Data Entry'!$¾$592)</f>
      </c>
      <c r="DW592">
        <f>IF(ISBLANK('Data Entry'!$¿$592), "", 'Data Entry'!$¿$592)</f>
      </c>
      <c r="DX592">
        <f>IF(ISBLANK('Data Entry'!$À$592), "", 'Data Entry'!$À$592)</f>
      </c>
      <c r="DY592">
        <f>IF(ISBLANK('Data Entry'!$Á$592), "", 'Data Entry'!$Á$592)</f>
      </c>
      <c r="DZ592">
        <f>IF(ISBLANK('Data Entry'!$Â$592), "", 'Data Entry'!$Â$592)</f>
      </c>
      <c r="EA592">
        <f>IF(ISBLANK('Data Entry'!$Ã$592), "", 'Data Entry'!$Ã$592)</f>
      </c>
      <c r="EB592">
        <f>IF(ISBLANK('Data Entry'!$Ä$592), "", 'Data Entry'!$Ä$592)</f>
      </c>
      <c r="EC592">
        <f>IF(ISBLANK('Data Entry'!$Å$592), "", 'Data Entry'!$Å$592)</f>
      </c>
      <c r="ED592">
        <f>IF(ISBLANK('Data Entry'!$Æ$592), "", 'Data Entry'!$Æ$592)</f>
      </c>
      <c r="EE592">
        <f>IF(ISBLANK('Data Entry'!$Ç$592), "", 'Data Entry'!$Ç$592)</f>
      </c>
      <c r="EF592">
        <f>IF(ISBLANK('Data Entry'!$È$592), "", 'Data Entry'!$È$592)</f>
      </c>
      <c r="EG592">
        <f>IF(ISBLANK('Data Entry'!$É$592), "", 'Data Entry'!$É$592)</f>
      </c>
      <c r="EH592">
        <f>IF(ISBLANK('Data Entry'!$Ê$592), "", 'Data Entry'!$Ê$592)</f>
      </c>
      <c r="EI592">
        <f>IF(ISBLANK('Data Entry'!$Ë$592), "", 'Data Entry'!$Ë$592)</f>
      </c>
      <c r="EJ592">
        <f>IF(ISBLANK('Data Entry'!$Ì$592), "", 'Data Entry'!$Ì$592)</f>
      </c>
      <c r="EK592">
        <f>IF(ISBLANK('Data Entry'!$Í$592), "", 'Data Entry'!$Í$592)</f>
      </c>
      <c r="EL592">
        <f>IF(ISBLANK('Data Entry'!$Î$592), "", 'Data Entry'!$Î$592)</f>
      </c>
      <c r="EM592">
        <f>IF(ISBLANK('Data Entry'!$Ï$592), "", 'Data Entry'!$Ï$592)</f>
      </c>
      <c r="EN592">
        <f>IF(ISBLANK('Data Entry'!$Ð$592), "", 'Data Entry'!$Ð$592)</f>
      </c>
      <c r="EO592">
        <f>IF(ISBLANK('Data Entry'!$Ñ$592), "", 'Data Entry'!$Ñ$592)</f>
      </c>
      <c r="EP592">
        <f>IF(ISBLANK('Data Entry'!$Ò$592), "", 'Data Entry'!$Ò$592)</f>
      </c>
      <c r="EQ592">
        <f>IF(ISBLANK('Data Entry'!$Ó$592), "", 'Data Entry'!$Ó$592)</f>
      </c>
      <c r="ER592">
        <f>IF(ISBLANK('Data Entry'!$Ô$592), "", 'Data Entry'!$Ô$592)</f>
      </c>
      <c r="ES592">
        <f>IF(ISBLANK('Data Entry'!$Õ$592), "", 'Data Entry'!$Õ$592)</f>
      </c>
      <c r="ET592">
        <f>IF(ISBLANK('Data Entry'!$Ö$592), "", 'Data Entry'!$Ö$592)</f>
      </c>
      <c r="EU592">
        <f>IF(ISBLANK('Data Entry'!$×$592), "", 'Data Entry'!$×$592)</f>
      </c>
      <c r="EV592">
        <f>IF(ISBLANK('Data Entry'!$Ø$592), "", 'Data Entry'!$Ø$592)</f>
      </c>
      <c r="EW592">
        <f>IF(ISBLANK('Data Entry'!$Ù$592), "", 'Data Entry'!$Ù$592)</f>
      </c>
      <c r="EX592">
        <f>IF(ISBLANK('Data Entry'!$Ú$592), "", 'Data Entry'!$Ú$592)</f>
      </c>
      <c r="EY592">
        <f>IF(ISBLANK('Data Entry'!$Û$592), "", 'Data Entry'!$Û$592)</f>
      </c>
      <c r="EZ592">
        <f>IF(ISBLANK('Data Entry'!$Ü$592), "", 'Data Entry'!$Ü$592)</f>
      </c>
      <c r="FA592">
        <f>IF(ISBLANK('Data Entry'!$Ý$592), "", 'Data Entry'!$Ý$592)</f>
      </c>
      <c r="FB592">
        <f>IF(ISBLANK('Data Entry'!$Þ$592), "", 'Data Entry'!$Þ$592)</f>
      </c>
      <c r="FC592">
        <f>IF(ISBLANK('Data Entry'!$ß$592), "", 'Data Entry'!$ß$592)</f>
      </c>
      <c r="FD592">
        <f>IF(ISBLANK('Data Entry'!$à$592), "", 'Data Entry'!$à$592)</f>
      </c>
      <c r="FE592">
        <f>IF(ISBLANK('Data Entry'!$á$592), "", 'Data Entry'!$á$592)</f>
      </c>
      <c r="FF592">
        <f>IF(ISBLANK('Data Entry'!$â$592), "", 'Data Entry'!$â$592)</f>
      </c>
      <c r="FG592">
        <f>IF(ISBLANK('Data Entry'!$ã$592), "", 'Data Entry'!$ã$592)</f>
      </c>
      <c r="FH592">
        <f>IF(ISBLANK('Data Entry'!$ä$592), "", 'Data Entry'!$ä$592)</f>
      </c>
      <c r="FI592">
        <f>IF(ISBLANK('Data Entry'!$å$592), "", 'Data Entry'!$å$592)</f>
      </c>
      <c r="FJ592">
        <f>IF(ISBLANK('Data Entry'!$æ$592), "", 'Data Entry'!$æ$592)</f>
      </c>
      <c r="FK592">
        <f>IF(ISBLANK('Data Entry'!$ç$592), "", 'Data Entry'!$ç$592)</f>
      </c>
      <c r="FL592">
        <f>IF(ISBLANK('Data Entry'!$è$592), "", 'Data Entry'!$è$592)</f>
      </c>
      <c r="FM592">
        <f>IF(ISBLANK('Data Entry'!$é$592), "", 'Data Entry'!$é$592)</f>
      </c>
      <c r="FN592">
        <f>IF(ISBLANK('Data Entry'!$ê$592), "", 'Data Entry'!$ê$592)</f>
      </c>
      <c r="FO592">
        <f>IF(ISBLANK('Data Entry'!$ë$592), "", 'Data Entry'!$ë$592)</f>
      </c>
      <c r="FP592">
        <f>IF(ISBLANK('Data Entry'!$ì$592), "", 'Data Entry'!$ì$592)</f>
      </c>
      <c r="FQ592">
        <f>IF(ISBLANK('Data Entry'!$í$592), "", 'Data Entry'!$í$592)</f>
      </c>
      <c r="FR592">
        <f>IF(ISBLANK('Data Entry'!$î$592), "", 'Data Entry'!$î$592)</f>
      </c>
      <c r="FS592">
        <f>IF(ISBLANK('Data Entry'!$ï$592), "", 'Data Entry'!$ï$592)</f>
      </c>
      <c r="FT592">
        <f>IF(ISBLANK('Data Entry'!$ð$592), "", 'Data Entry'!$ð$592)</f>
      </c>
      <c r="FU592">
        <f>IF(ISBLANK('Data Entry'!$ñ$592), "", 'Data Entry'!$ñ$592)</f>
      </c>
      <c r="FV592">
        <f>IF(ISBLANK('Data Entry'!$ò$592), "", 'Data Entry'!$ò$592)</f>
      </c>
      <c r="FW592">
        <f>IF(ISBLANK('Data Entry'!$ó$592), "", 'Data Entry'!$ó$592)</f>
      </c>
      <c r="FX592">
        <f>IF(ISBLANK('Data Entry'!$ô$592), "", 'Data Entry'!$ô$592)</f>
      </c>
      <c r="FY592">
        <f>IF(ISBLANK('Data Entry'!$õ$592), "", 'Data Entry'!$õ$592)</f>
      </c>
      <c r="FZ592">
        <f>IF(ISBLANK('Data Entry'!$ö$592), "", 'Data Entry'!$ö$592)</f>
      </c>
      <c r="GA592">
        <f>IF(ISBLANK('Data Entry'!$÷$592), "", 'Data Entry'!$÷$592)</f>
      </c>
      <c r="GB592">
        <f>IF(ISBLANK('Data Entry'!$ø$592), "", 'Data Entry'!$ø$592)</f>
      </c>
      <c r="GC592">
        <f>IF(ISBLANK('Data Entry'!$ù$592), "", 'Data Entry'!$ù$592)</f>
      </c>
      <c r="GD592">
        <f>IF(ISBLANK('Data Entry'!$ú$592), "", 'Data Entry'!$ú$592)</f>
      </c>
      <c r="GE592">
        <f>IF(ISBLANK('Data Entry'!$û$592), "", 'Data Entry'!$û$592)</f>
      </c>
      <c r="GF592">
        <f>IF(ISBLANK('Data Entry'!$ü$592), "", 'Data Entry'!$ü$592)</f>
      </c>
      <c r="GG592">
        <f>IF(ISBLANK('Data Entry'!$ý$592), "", 'Data Entry'!$ý$592)</f>
      </c>
      <c r="GH592">
        <f>IF(ISBLANK('Data Entry'!$þ$592), "", 'Data Entry'!$þ$592)</f>
      </c>
      <c r="GI592">
        <f>IF(ISBLANK('Data Entry'!$ÿ$592), "", 'Data Entry'!$ÿ$592)</f>
      </c>
      <c r="GJ592">
        <f>IF(ISBLANK('Data Entry'!$Ā$592), "", 'Data Entry'!$Ā$592)</f>
      </c>
      <c r="GK592">
        <f>IF(ISBLANK('Data Entry'!$ā$592), "", 'Data Entry'!$ā$592)</f>
      </c>
      <c r="GL592">
        <f>IF(ISBLANK('Data Entry'!$Ă$592), "", 'Data Entry'!$Ă$592)</f>
      </c>
      <c r="GM592">
        <f>IF(ISBLANK('Data Entry'!$ă$592), "", 'Data Entry'!$ă$592)</f>
      </c>
      <c r="GN592">
        <f>IF(ISBLANK('Data Entry'!$Ą$592), "", 'Data Entry'!$Ą$592)</f>
      </c>
      <c r="GO592">
        <f>IF(ISBLANK('Data Entry'!$ą$592), "", 'Data Entry'!$ą$592)</f>
      </c>
      <c r="GP592">
        <f>IF(ISBLANK('Data Entry'!$Ć$592), "", 'Data Entry'!$Ć$592)</f>
      </c>
      <c r="GQ592">
        <f>IF(ISBLANK('Data Entry'!$ć$592), "", 'Data Entry'!$ć$592)</f>
      </c>
      <c r="GR592">
        <f>IF(ISBLANK('Data Entry'!$Ĉ$592), "", 'Data Entry'!$Ĉ$592)</f>
      </c>
      <c r="GS592">
        <f>IF(ISBLANK('Data Entry'!$ĉ$592), "", 'Data Entry'!$ĉ$592)</f>
      </c>
      <c r="GT592">
        <f>IF(ISBLANK('Data Entry'!$Ċ$592), "", 'Data Entry'!$Ċ$592)</f>
      </c>
      <c r="GU592">
        <f>IF(ISBLANK('Data Entry'!$ċ$592), "", 'Data Entry'!$ċ$592)</f>
      </c>
      <c r="GV592">
        <f>IF(ISBLANK('Data Entry'!$Č$592), "", 'Data Entry'!$Č$592)</f>
      </c>
      <c r="GW592">
        <f>IF(ISBLANK('Data Entry'!$č$592), "", 'Data Entry'!$č$592)</f>
      </c>
      <c r="GX592">
        <f>IF(ISBLANK('Data Entry'!$Ď$592), "", 'Data Entry'!$Ď$592)</f>
      </c>
      <c r="GY592">
        <f>IF(ISBLANK('Data Entry'!$ď$592), "", 'Data Entry'!$ď$592)</f>
      </c>
      <c r="GZ592">
        <f>IF(ISBLANK('Data Entry'!$Đ$592), "", 'Data Entry'!$Đ$592)</f>
      </c>
      <c r="HA592">
        <f>IF(ISBLANK('Data Entry'!$đ$592), "", 'Data Entry'!$đ$592)</f>
      </c>
      <c r="HB592">
        <f>IF(ISBLANK('Data Entry'!$Ē$592), "", 'Data Entry'!$Ē$592)</f>
      </c>
      <c r="HC592">
        <f>IF(ISBLANK('Data Entry'!$ē$592), "", 'Data Entry'!$ē$592)</f>
      </c>
      <c r="HD592">
        <f>IF(ISBLANK('Data Entry'!$Ĕ$592), "", 'Data Entry'!$Ĕ$592)</f>
      </c>
      <c r="HE592">
        <f>IF(ISBLANK('Data Entry'!$ĕ$592), "", 'Data Entry'!$ĕ$592)</f>
      </c>
      <c r="HF592">
        <f>IF(ISBLANK('Data Entry'!$Ė$592), "", 'Data Entry'!$Ė$592)</f>
      </c>
      <c r="HG592">
        <f>IF(ISBLANK('Data Entry'!$ė$592), "", 'Data Entry'!$ė$592)</f>
      </c>
      <c r="HH592">
        <f>IF(ISBLANK('Data Entry'!$Ę$592), "", 'Data Entry'!$Ę$592)</f>
      </c>
      <c r="HI592">
        <f>IF(ISBLANK('Data Entry'!$ę$592), "", 'Data Entry'!$ę$592)</f>
      </c>
      <c r="HJ592">
        <f>IF(ISBLANK('Data Entry'!$Ě$592), "", 'Data Entry'!$Ě$592)</f>
      </c>
      <c r="HK592">
        <f>IF(ISBLANK('Data Entry'!$ě$592), "", 'Data Entry'!$ě$592)</f>
      </c>
      <c r="HL592">
        <f>IF(ISBLANK('Data Entry'!$Ĝ$592), "", 'Data Entry'!$Ĝ$592)</f>
      </c>
      <c r="HM592">
        <f>IF(ISBLANK('Data Entry'!$ĝ$592), "", 'Data Entry'!$ĝ$592)</f>
      </c>
      <c r="HN592">
        <f>IF(ISBLANK('Data Entry'!$Ğ$592), "", 'Data Entry'!$Ğ$592)</f>
      </c>
      <c r="HO592">
        <f>IF(ISBLANK('Data Entry'!$ğ$592), "", 'Data Entry'!$ğ$592)</f>
      </c>
      <c r="HP592">
        <f>IF(ISBLANK('Data Entry'!$Ġ$592), "", 'Data Entry'!$Ġ$592)</f>
      </c>
      <c r="HQ592">
        <f>IF(ISBLANK('Data Entry'!$ġ$592), "", 'Data Entry'!$ġ$592)</f>
      </c>
      <c r="HR592">
        <f>IF(ISBLANK('Data Entry'!$Ģ$592), "", 'Data Entry'!$Ģ$592)</f>
      </c>
      <c r="HS592">
        <f>IF(ISBLANK('Data Entry'!$ģ$592), "", 'Data Entry'!$ģ$592)</f>
      </c>
      <c r="HT592">
        <f>IF(ISBLANK('Data Entry'!$Ĥ$592), "", 'Data Entry'!$Ĥ$592)</f>
      </c>
      <c r="HU592">
        <f>IF(ISBLANK('Data Entry'!$ĥ$592), "", 'Data Entry'!$ĥ$592)</f>
      </c>
      <c r="HV592">
        <f>IF(ISBLANK('Data Entry'!$Ħ$592), "", 'Data Entry'!$Ħ$592)</f>
      </c>
      <c r="HW592">
        <f>IF(ISBLANK('Data Entry'!$ħ$592), "", 'Data Entry'!$ħ$592)</f>
      </c>
      <c r="HX592">
        <f>IF(ISBLANK('Data Entry'!$Ĩ$592), "", 'Data Entry'!$Ĩ$592)</f>
      </c>
      <c r="HY592">
        <f>IF(ISBLANK('Data Entry'!$ĩ$592), "", 'Data Entry'!$ĩ$592)</f>
      </c>
      <c r="HZ592">
        <f>IF(ISBLANK('Data Entry'!$Ī$592), "", 'Data Entry'!$Ī$592)</f>
      </c>
      <c r="IA592">
        <f>IF(ISBLANK('Data Entry'!$ī$592), "", 'Data Entry'!$ī$592)</f>
      </c>
      <c r="IB592">
        <f>IF(ISBLANK('Data Entry'!$Ĭ$592), "", 'Data Entry'!$Ĭ$592)</f>
      </c>
      <c r="IC592">
        <f>IF(ISBLANK('Data Entry'!$ĭ$592), "", 'Data Entry'!$ĭ$592)</f>
      </c>
      <c r="ID592">
        <f>IF(ISBLANK('Data Entry'!$Į$592), "", 'Data Entry'!$Į$592)</f>
      </c>
      <c r="IE592">
        <f>IF(ISBLANK('Data Entry'!$į$592), "", 'Data Entry'!$į$592)</f>
      </c>
      <c r="IF592">
        <f>IF(ISBLANK('Data Entry'!$İ$592), "", 'Data Entry'!$İ$592)</f>
      </c>
      <c r="IG592">
        <f>IF(ISBLANK('Data Entry'!$ı$592), "", 'Data Entry'!$ı$592)</f>
      </c>
      <c r="IH592">
        <f>IF(ISBLANK('Data Entry'!$Ĳ$592), "", 'Data Entry'!$Ĳ$592)</f>
      </c>
      <c r="II592">
        <f>IF(ISBLANK('Data Entry'!$ĳ$592), "", 'Data Entry'!$ĳ$592)</f>
      </c>
      <c r="IJ592">
        <f>IF(ISBLANK('Data Entry'!$Ĵ$592), "", 'Data Entry'!$Ĵ$592)</f>
      </c>
      <c r="IK592">
        <f>IF(ISBLANK('Data Entry'!$ĵ$592), "", 'Data Entry'!$ĵ$592)</f>
      </c>
      <c r="IL592">
        <f>IF(ISBLANK('Data Entry'!$Ķ$592), "", 'Data Entry'!$Ķ$592)</f>
      </c>
      <c r="IM592">
        <f>IF(ISBLANK('Data Entry'!$ķ$592), "", 'Data Entry'!$ķ$592)</f>
      </c>
      <c r="IN592">
        <f>IF(ISBLANK('Data Entry'!$ĸ$592), "", 'Data Entry'!$ĸ$592)</f>
      </c>
      <c r="IO592">
        <f>IF(ISBLANK('Data Entry'!$Ĺ$592), "", 'Data Entry'!$Ĺ$592)</f>
      </c>
      <c r="IP592">
        <f>IF(ISBLANK('Data Entry'!$ĺ$592), "", 'Data Entry'!$ĺ$592)</f>
      </c>
      <c r="IQ592">
        <f>IF(ISBLANK('Data Entry'!$Ļ$592), "", 'Data Entry'!$Ļ$592)</f>
      </c>
      <c r="IR592">
        <f>IF(ISBLANK('Data Entry'!$ļ$592), "", 'Data Entry'!$ļ$592)</f>
      </c>
      <c r="IS592">
        <f>IF(ISBLANK('Data Entry'!$Ľ$592), "", 'Data Entry'!$Ľ$592)</f>
      </c>
      <c r="IT592">
        <f>IF(ISBLANK('Data Entry'!$ľ$592), "", 'Data Entry'!$ľ$592)</f>
      </c>
    </row>
    <row r="593" spans="1:254" x14ac:dyDescent="0.25">
      <c r="A593">
        <f>IF(ISBLANK('Data Entry'!$A$593), "", 'Data Entry'!$A$593)</f>
      </c>
      <c r="B593">
        <f>IF(ISBLANK('Data Entry'!$B$593), "", 'Data Entry'!$B$593)</f>
      </c>
      <c r="C593">
        <f>IF(ISBLANK('Data Entry'!$C$593), "", 'Data Entry'!$C$593)</f>
      </c>
      <c r="D593">
        <f>IF(ISBLANK('Data Entry'!$D$593), "", 'Data Entry'!$D$593)</f>
      </c>
      <c r="E593">
        <f>IF(ISBLANK('Data Entry'!$E$593), "", 'Data Entry'!$E$593)</f>
      </c>
      <c r="F593">
        <f>IF(ISBLANK('Data Entry'!$F$593), "", 'Data Entry'!$F$593)</f>
      </c>
      <c r="G593">
        <f>IF(ISBLANK('Data Entry'!$G$593), "", 'Data Entry'!$G$593)</f>
      </c>
      <c r="H593">
        <f>IF(ISBLANK('Data Entry'!$H$593), "", 'Data Entry'!$H$593)</f>
      </c>
      <c r="I593">
        <f>IF(ISBLANK('Data Entry'!$I$593), "", 'Data Entry'!$I$593)</f>
      </c>
      <c r="J593">
        <f>IF(ISBLANK('Data Entry'!$J$593), "", 'Data Entry'!$J$593)</f>
      </c>
      <c r="K593">
        <f>IF(ISBLANK('Data Entry'!$K$593), "", 'Data Entry'!$K$593)</f>
      </c>
      <c r="L593">
        <f>IF(ISBLANK('Data Entry'!$L$593), "", 'Data Entry'!$L$593)</f>
      </c>
      <c r="M593">
        <f>IF(ISBLANK('Data Entry'!$M$593), "", 'Data Entry'!$M$593)</f>
      </c>
      <c r="N593">
        <f>IF(ISBLANK('Data Entry'!$N$593), "", 'Data Entry'!$N$593)</f>
      </c>
      <c r="O593">
        <f>IF(ISBLANK('Data Entry'!$O$593), "", 'Data Entry'!$O$593)</f>
      </c>
      <c r="P593">
        <f>IF(ISBLANK('Data Entry'!$P$593), "", 'Data Entry'!$P$593)</f>
      </c>
      <c r="Q593">
        <f>IF(ISBLANK('Data Entry'!$Q$593), "", 'Data Entry'!$Q$593)</f>
      </c>
      <c r="R593">
        <f>IF(ISBLANK('Data Entry'!$R$593), "", 'Data Entry'!$R$593)</f>
      </c>
      <c r="S593">
        <f>IF(ISBLANK('Data Entry'!$S$593), "", 'Data Entry'!$S$593)</f>
      </c>
      <c r="T593">
        <f>IF(ISBLANK('Data Entry'!$T$593), "", 'Data Entry'!$T$593)</f>
      </c>
      <c r="U593">
        <f>IF(ISBLANK('Data Entry'!$U$593), "", 'Data Entry'!$U$593)</f>
      </c>
      <c r="V593">
        <f>IF(ISBLANK('Data Entry'!$V$593), "", 'Data Entry'!$V$593)</f>
      </c>
      <c r="W593">
        <f>IF(ISBLANK('Data Entry'!$W$593), "", 'Data Entry'!$W$593)</f>
      </c>
      <c r="X593">
        <f>IF(ISBLANK('Data Entry'!$X$593), "", 'Data Entry'!$X$593)</f>
      </c>
      <c r="Y593">
        <f>IF(ISBLANK('Data Entry'!$Y$593), "", 'Data Entry'!$Y$593)</f>
      </c>
      <c r="Z593">
        <f>IF(ISBLANK('Data Entry'!$Z$593), "", 'Data Entry'!$Z$593)</f>
      </c>
      <c r="AA593">
        <f>IF(ISBLANK('Data Entry'!$[$593), "", 'Data Entry'!$[$593)</f>
      </c>
      <c r="AB593">
        <f>IF(ISBLANK('Data Entry'!$\$593), "", 'Data Entry'!$\$593)</f>
      </c>
      <c r="AC593">
        <f>IF(ISBLANK('Data Entry'!$]$593), "", 'Data Entry'!$]$593)</f>
      </c>
      <c r="AD593">
        <f>IF(ISBLANK('Data Entry'!$^$593), "", 'Data Entry'!$^$593)</f>
      </c>
      <c r="AE593">
        <f>IF(ISBLANK('Data Entry'!$_$593), "", 'Data Entry'!$_$593)</f>
      </c>
      <c r="AF593">
        <f>IF(ISBLANK('Data Entry'!$`$593), "", 'Data Entry'!$`$593)</f>
      </c>
      <c r="AG593">
        <f>IF(ISBLANK('Data Entry'!$a$593), "", 'Data Entry'!$a$593)</f>
      </c>
      <c r="AH593">
        <f>IF(ISBLANK('Data Entry'!$b$593), "", 'Data Entry'!$b$593)</f>
      </c>
      <c r="AI593">
        <f>IF(ISBLANK('Data Entry'!$c$593), "", 'Data Entry'!$c$593)</f>
      </c>
      <c r="AJ593">
        <f>IF(ISBLANK('Data Entry'!$d$593), "", 'Data Entry'!$d$593)</f>
      </c>
      <c r="AK593">
        <f>IF(ISBLANK('Data Entry'!$e$593), "", 'Data Entry'!$e$593)</f>
      </c>
      <c r="AL593">
        <f>IF(ISBLANK('Data Entry'!$f$593), "", 'Data Entry'!$f$593)</f>
      </c>
      <c r="AM593">
        <f>IF(ISBLANK('Data Entry'!$g$593), "", 'Data Entry'!$g$593)</f>
      </c>
      <c r="AN593">
        <f>IF(ISBLANK('Data Entry'!$h$593), "", 'Data Entry'!$h$593)</f>
      </c>
      <c r="AO593">
        <f>IF(ISBLANK('Data Entry'!$i$593), "", 'Data Entry'!$i$593)</f>
      </c>
      <c r="AP593">
        <f>IF(ISBLANK('Data Entry'!$j$593), "", 'Data Entry'!$j$593)</f>
      </c>
      <c r="AQ593">
        <f>IF(ISBLANK('Data Entry'!$k$593), "", 'Data Entry'!$k$593)</f>
      </c>
      <c r="AR593">
        <f>IF(ISBLANK('Data Entry'!$l$593), "", 'Data Entry'!$l$593)</f>
      </c>
      <c r="AS593">
        <f>IF(ISBLANK('Data Entry'!$m$593), "", 'Data Entry'!$m$593)</f>
      </c>
      <c r="AT593">
        <f>IF(ISBLANK('Data Entry'!$n$593), "", 'Data Entry'!$n$593)</f>
      </c>
      <c r="AU593">
        <f>IF(ISBLANK('Data Entry'!$o$593), "", 'Data Entry'!$o$593)</f>
      </c>
      <c r="AV593">
        <f>IF(ISBLANK('Data Entry'!$p$593), "", 'Data Entry'!$p$593)</f>
      </c>
      <c r="AW593">
        <f>IF(ISBLANK('Data Entry'!$q$593), "", 'Data Entry'!$q$593)</f>
      </c>
      <c r="AX593">
        <f>IF(ISBLANK('Data Entry'!$r$593), "", 'Data Entry'!$r$593)</f>
      </c>
      <c r="AY593">
        <f>IF(ISBLANK('Data Entry'!$s$593), "", 'Data Entry'!$s$593)</f>
      </c>
      <c r="AZ593">
        <f>IF(ISBLANK('Data Entry'!$t$593), "", 'Data Entry'!$t$593)</f>
      </c>
      <c r="BA593">
        <f>IF(ISBLANK('Data Entry'!$u$593), "", 'Data Entry'!$u$593)</f>
      </c>
      <c r="BB593">
        <f>IF(ISBLANK('Data Entry'!$v$593), "", 'Data Entry'!$v$593)</f>
      </c>
      <c r="BC593">
        <f>IF(ISBLANK('Data Entry'!$w$593), "", 'Data Entry'!$w$593)</f>
      </c>
      <c r="BD593">
        <f>IF(ISBLANK('Data Entry'!$x$593), "", 'Data Entry'!$x$593)</f>
      </c>
      <c r="BE593">
        <f>IF(ISBLANK('Data Entry'!$y$593), "", 'Data Entry'!$y$593)</f>
      </c>
      <c r="BF593">
        <f>IF(ISBLANK('Data Entry'!$z$593), "", 'Data Entry'!$z$593)</f>
      </c>
      <c r="BG593">
        <f>IF(ISBLANK('Data Entry'!${$593), "", 'Data Entry'!${$593)</f>
      </c>
      <c r="BH593">
        <f>IF(ISBLANK('Data Entry'!$|$593), "", 'Data Entry'!$|$593)</f>
      </c>
      <c r="BI593">
        <f>IF(ISBLANK('Data Entry'!$}$593), "", 'Data Entry'!$}$593)</f>
      </c>
      <c r="BJ593">
        <f>IF(ISBLANK('Data Entry'!$~$593), "", 'Data Entry'!$~$593)</f>
      </c>
      <c r="BK593">
        <f>IF(ISBLANK('Data Entry'!$$593), "", 'Data Entry'!$$593)</f>
      </c>
      <c r="BL593">
        <f>IF(ISBLANK('Data Entry'!$$593), "", 'Data Entry'!$$593)</f>
      </c>
      <c r="BM593">
        <f>IF(ISBLANK('Data Entry'!$$593), "", 'Data Entry'!$$593)</f>
      </c>
      <c r="BN593">
        <f>IF(ISBLANK('Data Entry'!$$593), "", 'Data Entry'!$$593)</f>
      </c>
      <c r="BO593">
        <f>IF(ISBLANK('Data Entry'!$$593), "", 'Data Entry'!$$593)</f>
      </c>
      <c r="BP593">
        <f>IF(ISBLANK('Data Entry'!$$593), "", 'Data Entry'!$$593)</f>
      </c>
      <c r="BQ593">
        <f>IF(ISBLANK('Data Entry'!$$593), "", 'Data Entry'!$$593)</f>
      </c>
      <c r="BR593">
        <f>IF(ISBLANK('Data Entry'!$$593), "", 'Data Entry'!$$593)</f>
      </c>
      <c r="BS593">
        <f>IF(ISBLANK('Data Entry'!$$593), "", 'Data Entry'!$$593)</f>
      </c>
      <c r="BT593">
        <f>IF(ISBLANK('Data Entry'!$$593), "", 'Data Entry'!$$593)</f>
      </c>
      <c r="BU593">
        <f>IF(ISBLANK('Data Entry'!$$593), "", 'Data Entry'!$$593)</f>
      </c>
      <c r="BV593">
        <f>IF(ISBLANK('Data Entry'!$$593), "", 'Data Entry'!$$593)</f>
      </c>
      <c r="BW593">
        <f>IF(ISBLANK('Data Entry'!$$593), "", 'Data Entry'!$$593)</f>
      </c>
      <c r="BX593">
        <f>IF(ISBLANK('Data Entry'!$$593), "", 'Data Entry'!$$593)</f>
      </c>
      <c r="BY593">
        <f>IF(ISBLANK('Data Entry'!$$593), "", 'Data Entry'!$$593)</f>
      </c>
      <c r="BZ593">
        <f>IF(ISBLANK('Data Entry'!$$593), "", 'Data Entry'!$$593)</f>
      </c>
      <c r="CA593">
        <f>IF(ISBLANK('Data Entry'!$$593), "", 'Data Entry'!$$593)</f>
      </c>
      <c r="CB593">
        <f>IF(ISBLANK('Data Entry'!$$593), "", 'Data Entry'!$$593)</f>
      </c>
      <c r="CC593">
        <f>IF(ISBLANK('Data Entry'!$$593), "", 'Data Entry'!$$593)</f>
      </c>
      <c r="CD593">
        <f>IF(ISBLANK('Data Entry'!$$593), "", 'Data Entry'!$$593)</f>
      </c>
      <c r="CE593">
        <f>IF(ISBLANK('Data Entry'!$$593), "", 'Data Entry'!$$593)</f>
      </c>
      <c r="CF593">
        <f>IF(ISBLANK('Data Entry'!$$593), "", 'Data Entry'!$$593)</f>
      </c>
      <c r="CG593">
        <f>IF(ISBLANK('Data Entry'!$$593), "", 'Data Entry'!$$593)</f>
      </c>
      <c r="CH593">
        <f>IF(ISBLANK('Data Entry'!$$593), "", 'Data Entry'!$$593)</f>
      </c>
      <c r="CI593">
        <f>IF(ISBLANK('Data Entry'!$$593), "", 'Data Entry'!$$593)</f>
      </c>
      <c r="CJ593">
        <f>IF(ISBLANK('Data Entry'!$$593), "", 'Data Entry'!$$593)</f>
      </c>
      <c r="CK593">
        <f>IF(ISBLANK('Data Entry'!$$593), "", 'Data Entry'!$$593)</f>
      </c>
      <c r="CL593">
        <f>IF(ISBLANK('Data Entry'!$$593), "", 'Data Entry'!$$593)</f>
      </c>
      <c r="CM593">
        <f>IF(ISBLANK('Data Entry'!$$593), "", 'Data Entry'!$$593)</f>
      </c>
      <c r="CN593">
        <f>IF(ISBLANK('Data Entry'!$$593), "", 'Data Entry'!$$593)</f>
      </c>
      <c r="CO593">
        <f>IF(ISBLANK('Data Entry'!$$593), "", 'Data Entry'!$$593)</f>
      </c>
      <c r="CP593">
        <f>IF(ISBLANK('Data Entry'!$$593), "", 'Data Entry'!$$593)</f>
      </c>
      <c r="CQ593">
        <f>IF(ISBLANK('Data Entry'!$$593), "", 'Data Entry'!$$593)</f>
      </c>
      <c r="CR593">
        <f>IF(ISBLANK('Data Entry'!$ $593), "", 'Data Entry'!$ $593)</f>
      </c>
      <c r="CS593">
        <f>IF(ISBLANK('Data Entry'!$¡$593), "", 'Data Entry'!$¡$593)</f>
      </c>
      <c r="CT593">
        <f>IF(ISBLANK('Data Entry'!$¢$593), "", 'Data Entry'!$¢$593)</f>
      </c>
      <c r="CU593">
        <f>IF(ISBLANK('Data Entry'!$£$593), "", 'Data Entry'!$£$593)</f>
      </c>
      <c r="CV593">
        <f>IF(ISBLANK('Data Entry'!$¤$593), "", 'Data Entry'!$¤$593)</f>
      </c>
      <c r="CW593">
        <f>IF(ISBLANK('Data Entry'!$¥$593), "", 'Data Entry'!$¥$593)</f>
      </c>
      <c r="CX593">
        <f>IF(ISBLANK('Data Entry'!$¦$593), "", 'Data Entry'!$¦$593)</f>
      </c>
      <c r="CY593">
        <f>IF(ISBLANK('Data Entry'!$§$593), "", 'Data Entry'!$§$593)</f>
      </c>
      <c r="CZ593">
        <f>IF(ISBLANK('Data Entry'!$¨$593), "", 'Data Entry'!$¨$593)</f>
      </c>
      <c r="DA593">
        <f>IF(ISBLANK('Data Entry'!$©$593), "", 'Data Entry'!$©$593)</f>
      </c>
      <c r="DB593">
        <f>IF(ISBLANK('Data Entry'!$ª$593), "", 'Data Entry'!$ª$593)</f>
      </c>
      <c r="DC593">
        <f>IF(ISBLANK('Data Entry'!$«$593), "", 'Data Entry'!$«$593)</f>
      </c>
      <c r="DD593">
        <f>IF(ISBLANK('Data Entry'!$¬$593), "", 'Data Entry'!$¬$593)</f>
      </c>
      <c r="DE593">
        <f>IF(ISBLANK('Data Entry'!$­$593), "", 'Data Entry'!$­$593)</f>
      </c>
      <c r="DF593">
        <f>IF(ISBLANK('Data Entry'!$®$593), "", 'Data Entry'!$®$593)</f>
      </c>
      <c r="DG593">
        <f>IF(ISBLANK('Data Entry'!$¯$593), "", 'Data Entry'!$¯$593)</f>
      </c>
      <c r="DH593">
        <f>IF(ISBLANK('Data Entry'!$°$593), "", 'Data Entry'!$°$593)</f>
      </c>
      <c r="DI593">
        <f>IF(ISBLANK('Data Entry'!$±$593), "", 'Data Entry'!$±$593)</f>
      </c>
      <c r="DJ593">
        <f>IF(ISBLANK('Data Entry'!$²$593), "", 'Data Entry'!$²$593)</f>
      </c>
      <c r="DK593">
        <f>IF(ISBLANK('Data Entry'!$³$593), "", 'Data Entry'!$³$593)</f>
      </c>
      <c r="DL593">
        <f>IF(ISBLANK('Data Entry'!$´$593), "", 'Data Entry'!$´$593)</f>
      </c>
      <c r="DM593">
        <f>IF(ISBLANK('Data Entry'!$µ$593), "", 'Data Entry'!$µ$593)</f>
      </c>
      <c r="DN593">
        <f>IF(ISBLANK('Data Entry'!$¶$593), "", 'Data Entry'!$¶$593)</f>
      </c>
      <c r="DO593">
        <f>IF(ISBLANK('Data Entry'!$·$593), "", 'Data Entry'!$·$593)</f>
      </c>
      <c r="DP593">
        <f>IF(ISBLANK('Data Entry'!$¸$593), "", 'Data Entry'!$¸$593)</f>
      </c>
      <c r="DQ593">
        <f>IF(ISBLANK('Data Entry'!$¹$593), "", 'Data Entry'!$¹$593)</f>
      </c>
      <c r="DR593">
        <f>IF(ISBLANK('Data Entry'!$º$593), "", 'Data Entry'!$º$593)</f>
      </c>
      <c r="DS593">
        <f>IF(ISBLANK('Data Entry'!$»$593), "", 'Data Entry'!$»$593)</f>
      </c>
      <c r="DT593">
        <f>IF(ISBLANK('Data Entry'!$¼$593), "", 'Data Entry'!$¼$593)</f>
      </c>
      <c r="DU593">
        <f>IF(ISBLANK('Data Entry'!$½$593), "", 'Data Entry'!$½$593)</f>
      </c>
      <c r="DV593">
        <f>IF(ISBLANK('Data Entry'!$¾$593), "", 'Data Entry'!$¾$593)</f>
      </c>
      <c r="DW593">
        <f>IF(ISBLANK('Data Entry'!$¿$593), "", 'Data Entry'!$¿$593)</f>
      </c>
      <c r="DX593">
        <f>IF(ISBLANK('Data Entry'!$À$593), "", 'Data Entry'!$À$593)</f>
      </c>
      <c r="DY593">
        <f>IF(ISBLANK('Data Entry'!$Á$593), "", 'Data Entry'!$Á$593)</f>
      </c>
      <c r="DZ593">
        <f>IF(ISBLANK('Data Entry'!$Â$593), "", 'Data Entry'!$Â$593)</f>
      </c>
      <c r="EA593">
        <f>IF(ISBLANK('Data Entry'!$Ã$593), "", 'Data Entry'!$Ã$593)</f>
      </c>
      <c r="EB593">
        <f>IF(ISBLANK('Data Entry'!$Ä$593), "", 'Data Entry'!$Ä$593)</f>
      </c>
      <c r="EC593">
        <f>IF(ISBLANK('Data Entry'!$Å$593), "", 'Data Entry'!$Å$593)</f>
      </c>
      <c r="ED593">
        <f>IF(ISBLANK('Data Entry'!$Æ$593), "", 'Data Entry'!$Æ$593)</f>
      </c>
      <c r="EE593">
        <f>IF(ISBLANK('Data Entry'!$Ç$593), "", 'Data Entry'!$Ç$593)</f>
      </c>
      <c r="EF593">
        <f>IF(ISBLANK('Data Entry'!$È$593), "", 'Data Entry'!$È$593)</f>
      </c>
      <c r="EG593">
        <f>IF(ISBLANK('Data Entry'!$É$593), "", 'Data Entry'!$É$593)</f>
      </c>
      <c r="EH593">
        <f>IF(ISBLANK('Data Entry'!$Ê$593), "", 'Data Entry'!$Ê$593)</f>
      </c>
      <c r="EI593">
        <f>IF(ISBLANK('Data Entry'!$Ë$593), "", 'Data Entry'!$Ë$593)</f>
      </c>
      <c r="EJ593">
        <f>IF(ISBLANK('Data Entry'!$Ì$593), "", 'Data Entry'!$Ì$593)</f>
      </c>
      <c r="EK593">
        <f>IF(ISBLANK('Data Entry'!$Í$593), "", 'Data Entry'!$Í$593)</f>
      </c>
      <c r="EL593">
        <f>IF(ISBLANK('Data Entry'!$Î$593), "", 'Data Entry'!$Î$593)</f>
      </c>
      <c r="EM593">
        <f>IF(ISBLANK('Data Entry'!$Ï$593), "", 'Data Entry'!$Ï$593)</f>
      </c>
      <c r="EN593">
        <f>IF(ISBLANK('Data Entry'!$Ð$593), "", 'Data Entry'!$Ð$593)</f>
      </c>
      <c r="EO593">
        <f>IF(ISBLANK('Data Entry'!$Ñ$593), "", 'Data Entry'!$Ñ$593)</f>
      </c>
      <c r="EP593">
        <f>IF(ISBLANK('Data Entry'!$Ò$593), "", 'Data Entry'!$Ò$593)</f>
      </c>
      <c r="EQ593">
        <f>IF(ISBLANK('Data Entry'!$Ó$593), "", 'Data Entry'!$Ó$593)</f>
      </c>
      <c r="ER593">
        <f>IF(ISBLANK('Data Entry'!$Ô$593), "", 'Data Entry'!$Ô$593)</f>
      </c>
      <c r="ES593">
        <f>IF(ISBLANK('Data Entry'!$Õ$593), "", 'Data Entry'!$Õ$593)</f>
      </c>
      <c r="ET593">
        <f>IF(ISBLANK('Data Entry'!$Ö$593), "", 'Data Entry'!$Ö$593)</f>
      </c>
      <c r="EU593">
        <f>IF(ISBLANK('Data Entry'!$×$593), "", 'Data Entry'!$×$593)</f>
      </c>
      <c r="EV593">
        <f>IF(ISBLANK('Data Entry'!$Ø$593), "", 'Data Entry'!$Ø$593)</f>
      </c>
      <c r="EW593">
        <f>IF(ISBLANK('Data Entry'!$Ù$593), "", 'Data Entry'!$Ù$593)</f>
      </c>
      <c r="EX593">
        <f>IF(ISBLANK('Data Entry'!$Ú$593), "", 'Data Entry'!$Ú$593)</f>
      </c>
      <c r="EY593">
        <f>IF(ISBLANK('Data Entry'!$Û$593), "", 'Data Entry'!$Û$593)</f>
      </c>
      <c r="EZ593">
        <f>IF(ISBLANK('Data Entry'!$Ü$593), "", 'Data Entry'!$Ü$593)</f>
      </c>
      <c r="FA593">
        <f>IF(ISBLANK('Data Entry'!$Ý$593), "", 'Data Entry'!$Ý$593)</f>
      </c>
      <c r="FB593">
        <f>IF(ISBLANK('Data Entry'!$Þ$593), "", 'Data Entry'!$Þ$593)</f>
      </c>
      <c r="FC593">
        <f>IF(ISBLANK('Data Entry'!$ß$593), "", 'Data Entry'!$ß$593)</f>
      </c>
      <c r="FD593">
        <f>IF(ISBLANK('Data Entry'!$à$593), "", 'Data Entry'!$à$593)</f>
      </c>
      <c r="FE593">
        <f>IF(ISBLANK('Data Entry'!$á$593), "", 'Data Entry'!$á$593)</f>
      </c>
      <c r="FF593">
        <f>IF(ISBLANK('Data Entry'!$â$593), "", 'Data Entry'!$â$593)</f>
      </c>
      <c r="FG593">
        <f>IF(ISBLANK('Data Entry'!$ã$593), "", 'Data Entry'!$ã$593)</f>
      </c>
      <c r="FH593">
        <f>IF(ISBLANK('Data Entry'!$ä$593), "", 'Data Entry'!$ä$593)</f>
      </c>
      <c r="FI593">
        <f>IF(ISBLANK('Data Entry'!$å$593), "", 'Data Entry'!$å$593)</f>
      </c>
      <c r="FJ593">
        <f>IF(ISBLANK('Data Entry'!$æ$593), "", 'Data Entry'!$æ$593)</f>
      </c>
      <c r="FK593">
        <f>IF(ISBLANK('Data Entry'!$ç$593), "", 'Data Entry'!$ç$593)</f>
      </c>
      <c r="FL593">
        <f>IF(ISBLANK('Data Entry'!$è$593), "", 'Data Entry'!$è$593)</f>
      </c>
      <c r="FM593">
        <f>IF(ISBLANK('Data Entry'!$é$593), "", 'Data Entry'!$é$593)</f>
      </c>
      <c r="FN593">
        <f>IF(ISBLANK('Data Entry'!$ê$593), "", 'Data Entry'!$ê$593)</f>
      </c>
      <c r="FO593">
        <f>IF(ISBLANK('Data Entry'!$ë$593), "", 'Data Entry'!$ë$593)</f>
      </c>
      <c r="FP593">
        <f>IF(ISBLANK('Data Entry'!$ì$593), "", 'Data Entry'!$ì$593)</f>
      </c>
      <c r="FQ593">
        <f>IF(ISBLANK('Data Entry'!$í$593), "", 'Data Entry'!$í$593)</f>
      </c>
      <c r="FR593">
        <f>IF(ISBLANK('Data Entry'!$î$593), "", 'Data Entry'!$î$593)</f>
      </c>
      <c r="FS593">
        <f>IF(ISBLANK('Data Entry'!$ï$593), "", 'Data Entry'!$ï$593)</f>
      </c>
      <c r="FT593">
        <f>IF(ISBLANK('Data Entry'!$ð$593), "", 'Data Entry'!$ð$593)</f>
      </c>
      <c r="FU593">
        <f>IF(ISBLANK('Data Entry'!$ñ$593), "", 'Data Entry'!$ñ$593)</f>
      </c>
      <c r="FV593">
        <f>IF(ISBLANK('Data Entry'!$ò$593), "", 'Data Entry'!$ò$593)</f>
      </c>
      <c r="FW593">
        <f>IF(ISBLANK('Data Entry'!$ó$593), "", 'Data Entry'!$ó$593)</f>
      </c>
      <c r="FX593">
        <f>IF(ISBLANK('Data Entry'!$ô$593), "", 'Data Entry'!$ô$593)</f>
      </c>
      <c r="FY593">
        <f>IF(ISBLANK('Data Entry'!$õ$593), "", 'Data Entry'!$õ$593)</f>
      </c>
      <c r="FZ593">
        <f>IF(ISBLANK('Data Entry'!$ö$593), "", 'Data Entry'!$ö$593)</f>
      </c>
      <c r="GA593">
        <f>IF(ISBLANK('Data Entry'!$÷$593), "", 'Data Entry'!$÷$593)</f>
      </c>
      <c r="GB593">
        <f>IF(ISBLANK('Data Entry'!$ø$593), "", 'Data Entry'!$ø$593)</f>
      </c>
      <c r="GC593">
        <f>IF(ISBLANK('Data Entry'!$ù$593), "", 'Data Entry'!$ù$593)</f>
      </c>
      <c r="GD593">
        <f>IF(ISBLANK('Data Entry'!$ú$593), "", 'Data Entry'!$ú$593)</f>
      </c>
      <c r="GE593">
        <f>IF(ISBLANK('Data Entry'!$û$593), "", 'Data Entry'!$û$593)</f>
      </c>
      <c r="GF593">
        <f>IF(ISBLANK('Data Entry'!$ü$593), "", 'Data Entry'!$ü$593)</f>
      </c>
      <c r="GG593">
        <f>IF(ISBLANK('Data Entry'!$ý$593), "", 'Data Entry'!$ý$593)</f>
      </c>
      <c r="GH593">
        <f>IF(ISBLANK('Data Entry'!$þ$593), "", 'Data Entry'!$þ$593)</f>
      </c>
      <c r="GI593">
        <f>IF(ISBLANK('Data Entry'!$ÿ$593), "", 'Data Entry'!$ÿ$593)</f>
      </c>
      <c r="GJ593">
        <f>IF(ISBLANK('Data Entry'!$Ā$593), "", 'Data Entry'!$Ā$593)</f>
      </c>
      <c r="GK593">
        <f>IF(ISBLANK('Data Entry'!$ā$593), "", 'Data Entry'!$ā$593)</f>
      </c>
      <c r="GL593">
        <f>IF(ISBLANK('Data Entry'!$Ă$593), "", 'Data Entry'!$Ă$593)</f>
      </c>
      <c r="GM593">
        <f>IF(ISBLANK('Data Entry'!$ă$593), "", 'Data Entry'!$ă$593)</f>
      </c>
      <c r="GN593">
        <f>IF(ISBLANK('Data Entry'!$Ą$593), "", 'Data Entry'!$Ą$593)</f>
      </c>
      <c r="GO593">
        <f>IF(ISBLANK('Data Entry'!$ą$593), "", 'Data Entry'!$ą$593)</f>
      </c>
      <c r="GP593">
        <f>IF(ISBLANK('Data Entry'!$Ć$593), "", 'Data Entry'!$Ć$593)</f>
      </c>
      <c r="GQ593">
        <f>IF(ISBLANK('Data Entry'!$ć$593), "", 'Data Entry'!$ć$593)</f>
      </c>
      <c r="GR593">
        <f>IF(ISBLANK('Data Entry'!$Ĉ$593), "", 'Data Entry'!$Ĉ$593)</f>
      </c>
      <c r="GS593">
        <f>IF(ISBLANK('Data Entry'!$ĉ$593), "", 'Data Entry'!$ĉ$593)</f>
      </c>
      <c r="GT593">
        <f>IF(ISBLANK('Data Entry'!$Ċ$593), "", 'Data Entry'!$Ċ$593)</f>
      </c>
      <c r="GU593">
        <f>IF(ISBLANK('Data Entry'!$ċ$593), "", 'Data Entry'!$ċ$593)</f>
      </c>
      <c r="GV593">
        <f>IF(ISBLANK('Data Entry'!$Č$593), "", 'Data Entry'!$Č$593)</f>
      </c>
      <c r="GW593">
        <f>IF(ISBLANK('Data Entry'!$č$593), "", 'Data Entry'!$č$593)</f>
      </c>
      <c r="GX593">
        <f>IF(ISBLANK('Data Entry'!$Ď$593), "", 'Data Entry'!$Ď$593)</f>
      </c>
      <c r="GY593">
        <f>IF(ISBLANK('Data Entry'!$ď$593), "", 'Data Entry'!$ď$593)</f>
      </c>
      <c r="GZ593">
        <f>IF(ISBLANK('Data Entry'!$Đ$593), "", 'Data Entry'!$Đ$593)</f>
      </c>
      <c r="HA593">
        <f>IF(ISBLANK('Data Entry'!$đ$593), "", 'Data Entry'!$đ$593)</f>
      </c>
      <c r="HB593">
        <f>IF(ISBLANK('Data Entry'!$Ē$593), "", 'Data Entry'!$Ē$593)</f>
      </c>
      <c r="HC593">
        <f>IF(ISBLANK('Data Entry'!$ē$593), "", 'Data Entry'!$ē$593)</f>
      </c>
      <c r="HD593">
        <f>IF(ISBLANK('Data Entry'!$Ĕ$593), "", 'Data Entry'!$Ĕ$593)</f>
      </c>
      <c r="HE593">
        <f>IF(ISBLANK('Data Entry'!$ĕ$593), "", 'Data Entry'!$ĕ$593)</f>
      </c>
      <c r="HF593">
        <f>IF(ISBLANK('Data Entry'!$Ė$593), "", 'Data Entry'!$Ė$593)</f>
      </c>
      <c r="HG593">
        <f>IF(ISBLANK('Data Entry'!$ė$593), "", 'Data Entry'!$ė$593)</f>
      </c>
      <c r="HH593">
        <f>IF(ISBLANK('Data Entry'!$Ę$593), "", 'Data Entry'!$Ę$593)</f>
      </c>
      <c r="HI593">
        <f>IF(ISBLANK('Data Entry'!$ę$593), "", 'Data Entry'!$ę$593)</f>
      </c>
      <c r="HJ593">
        <f>IF(ISBLANK('Data Entry'!$Ě$593), "", 'Data Entry'!$Ě$593)</f>
      </c>
      <c r="HK593">
        <f>IF(ISBLANK('Data Entry'!$ě$593), "", 'Data Entry'!$ě$593)</f>
      </c>
      <c r="HL593">
        <f>IF(ISBLANK('Data Entry'!$Ĝ$593), "", 'Data Entry'!$Ĝ$593)</f>
      </c>
      <c r="HM593">
        <f>IF(ISBLANK('Data Entry'!$ĝ$593), "", 'Data Entry'!$ĝ$593)</f>
      </c>
      <c r="HN593">
        <f>IF(ISBLANK('Data Entry'!$Ğ$593), "", 'Data Entry'!$Ğ$593)</f>
      </c>
      <c r="HO593">
        <f>IF(ISBLANK('Data Entry'!$ğ$593), "", 'Data Entry'!$ğ$593)</f>
      </c>
      <c r="HP593">
        <f>IF(ISBLANK('Data Entry'!$Ġ$593), "", 'Data Entry'!$Ġ$593)</f>
      </c>
      <c r="HQ593">
        <f>IF(ISBLANK('Data Entry'!$ġ$593), "", 'Data Entry'!$ġ$593)</f>
      </c>
      <c r="HR593">
        <f>IF(ISBLANK('Data Entry'!$Ģ$593), "", 'Data Entry'!$Ģ$593)</f>
      </c>
      <c r="HS593">
        <f>IF(ISBLANK('Data Entry'!$ģ$593), "", 'Data Entry'!$ģ$593)</f>
      </c>
      <c r="HT593">
        <f>IF(ISBLANK('Data Entry'!$Ĥ$593), "", 'Data Entry'!$Ĥ$593)</f>
      </c>
      <c r="HU593">
        <f>IF(ISBLANK('Data Entry'!$ĥ$593), "", 'Data Entry'!$ĥ$593)</f>
      </c>
      <c r="HV593">
        <f>IF(ISBLANK('Data Entry'!$Ħ$593), "", 'Data Entry'!$Ħ$593)</f>
      </c>
      <c r="HW593">
        <f>IF(ISBLANK('Data Entry'!$ħ$593), "", 'Data Entry'!$ħ$593)</f>
      </c>
      <c r="HX593">
        <f>IF(ISBLANK('Data Entry'!$Ĩ$593), "", 'Data Entry'!$Ĩ$593)</f>
      </c>
      <c r="HY593">
        <f>IF(ISBLANK('Data Entry'!$ĩ$593), "", 'Data Entry'!$ĩ$593)</f>
      </c>
      <c r="HZ593">
        <f>IF(ISBLANK('Data Entry'!$Ī$593), "", 'Data Entry'!$Ī$593)</f>
      </c>
      <c r="IA593">
        <f>IF(ISBLANK('Data Entry'!$ī$593), "", 'Data Entry'!$ī$593)</f>
      </c>
      <c r="IB593">
        <f>IF(ISBLANK('Data Entry'!$Ĭ$593), "", 'Data Entry'!$Ĭ$593)</f>
      </c>
      <c r="IC593">
        <f>IF(ISBLANK('Data Entry'!$ĭ$593), "", 'Data Entry'!$ĭ$593)</f>
      </c>
      <c r="ID593">
        <f>IF(ISBLANK('Data Entry'!$Į$593), "", 'Data Entry'!$Į$593)</f>
      </c>
      <c r="IE593">
        <f>IF(ISBLANK('Data Entry'!$į$593), "", 'Data Entry'!$į$593)</f>
      </c>
      <c r="IF593">
        <f>IF(ISBLANK('Data Entry'!$İ$593), "", 'Data Entry'!$İ$593)</f>
      </c>
      <c r="IG593">
        <f>IF(ISBLANK('Data Entry'!$ı$593), "", 'Data Entry'!$ı$593)</f>
      </c>
      <c r="IH593">
        <f>IF(ISBLANK('Data Entry'!$Ĳ$593), "", 'Data Entry'!$Ĳ$593)</f>
      </c>
      <c r="II593">
        <f>IF(ISBLANK('Data Entry'!$ĳ$593), "", 'Data Entry'!$ĳ$593)</f>
      </c>
      <c r="IJ593">
        <f>IF(ISBLANK('Data Entry'!$Ĵ$593), "", 'Data Entry'!$Ĵ$593)</f>
      </c>
      <c r="IK593">
        <f>IF(ISBLANK('Data Entry'!$ĵ$593), "", 'Data Entry'!$ĵ$593)</f>
      </c>
      <c r="IL593">
        <f>IF(ISBLANK('Data Entry'!$Ķ$593), "", 'Data Entry'!$Ķ$593)</f>
      </c>
      <c r="IM593">
        <f>IF(ISBLANK('Data Entry'!$ķ$593), "", 'Data Entry'!$ķ$593)</f>
      </c>
      <c r="IN593">
        <f>IF(ISBLANK('Data Entry'!$ĸ$593), "", 'Data Entry'!$ĸ$593)</f>
      </c>
      <c r="IO593">
        <f>IF(ISBLANK('Data Entry'!$Ĺ$593), "", 'Data Entry'!$Ĺ$593)</f>
      </c>
      <c r="IP593">
        <f>IF(ISBLANK('Data Entry'!$ĺ$593), "", 'Data Entry'!$ĺ$593)</f>
      </c>
      <c r="IQ593">
        <f>IF(ISBLANK('Data Entry'!$Ļ$593), "", 'Data Entry'!$Ļ$593)</f>
      </c>
      <c r="IR593">
        <f>IF(ISBLANK('Data Entry'!$ļ$593), "", 'Data Entry'!$ļ$593)</f>
      </c>
      <c r="IS593">
        <f>IF(ISBLANK('Data Entry'!$Ľ$593), "", 'Data Entry'!$Ľ$593)</f>
      </c>
      <c r="IT593">
        <f>IF(ISBLANK('Data Entry'!$ľ$593), "", 'Data Entry'!$ľ$593)</f>
      </c>
    </row>
    <row r="594" spans="1:254" x14ac:dyDescent="0.25">
      <c r="A594">
        <f>IF(ISBLANK('Data Entry'!$A$594), "", 'Data Entry'!$A$594)</f>
      </c>
      <c r="B594">
        <f>IF(ISBLANK('Data Entry'!$B$594), "", 'Data Entry'!$B$594)</f>
      </c>
      <c r="C594">
        <f>IF(ISBLANK('Data Entry'!$C$594), "", 'Data Entry'!$C$594)</f>
      </c>
      <c r="D594">
        <f>IF(ISBLANK('Data Entry'!$D$594), "", 'Data Entry'!$D$594)</f>
      </c>
      <c r="E594">
        <f>IF(ISBLANK('Data Entry'!$E$594), "", 'Data Entry'!$E$594)</f>
      </c>
      <c r="F594">
        <f>IF(ISBLANK('Data Entry'!$F$594), "", 'Data Entry'!$F$594)</f>
      </c>
      <c r="G594">
        <f>IF(ISBLANK('Data Entry'!$G$594), "", 'Data Entry'!$G$594)</f>
      </c>
      <c r="H594">
        <f>IF(ISBLANK('Data Entry'!$H$594), "", 'Data Entry'!$H$594)</f>
      </c>
      <c r="I594">
        <f>IF(ISBLANK('Data Entry'!$I$594), "", 'Data Entry'!$I$594)</f>
      </c>
      <c r="J594">
        <f>IF(ISBLANK('Data Entry'!$J$594), "", 'Data Entry'!$J$594)</f>
      </c>
      <c r="K594">
        <f>IF(ISBLANK('Data Entry'!$K$594), "", 'Data Entry'!$K$594)</f>
      </c>
      <c r="L594">
        <f>IF(ISBLANK('Data Entry'!$L$594), "", 'Data Entry'!$L$594)</f>
      </c>
      <c r="M594">
        <f>IF(ISBLANK('Data Entry'!$M$594), "", 'Data Entry'!$M$594)</f>
      </c>
      <c r="N594">
        <f>IF(ISBLANK('Data Entry'!$N$594), "", 'Data Entry'!$N$594)</f>
      </c>
      <c r="O594">
        <f>IF(ISBLANK('Data Entry'!$O$594), "", 'Data Entry'!$O$594)</f>
      </c>
      <c r="P594">
        <f>IF(ISBLANK('Data Entry'!$P$594), "", 'Data Entry'!$P$594)</f>
      </c>
      <c r="Q594">
        <f>IF(ISBLANK('Data Entry'!$Q$594), "", 'Data Entry'!$Q$594)</f>
      </c>
      <c r="R594">
        <f>IF(ISBLANK('Data Entry'!$R$594), "", 'Data Entry'!$R$594)</f>
      </c>
      <c r="S594">
        <f>IF(ISBLANK('Data Entry'!$S$594), "", 'Data Entry'!$S$594)</f>
      </c>
      <c r="T594">
        <f>IF(ISBLANK('Data Entry'!$T$594), "", 'Data Entry'!$T$594)</f>
      </c>
      <c r="U594">
        <f>IF(ISBLANK('Data Entry'!$U$594), "", 'Data Entry'!$U$594)</f>
      </c>
      <c r="V594">
        <f>IF(ISBLANK('Data Entry'!$V$594), "", 'Data Entry'!$V$594)</f>
      </c>
      <c r="W594">
        <f>IF(ISBLANK('Data Entry'!$W$594), "", 'Data Entry'!$W$594)</f>
      </c>
      <c r="X594">
        <f>IF(ISBLANK('Data Entry'!$X$594), "", 'Data Entry'!$X$594)</f>
      </c>
      <c r="Y594">
        <f>IF(ISBLANK('Data Entry'!$Y$594), "", 'Data Entry'!$Y$594)</f>
      </c>
      <c r="Z594">
        <f>IF(ISBLANK('Data Entry'!$Z$594), "", 'Data Entry'!$Z$594)</f>
      </c>
      <c r="AA594">
        <f>IF(ISBLANK('Data Entry'!$[$594), "", 'Data Entry'!$[$594)</f>
      </c>
      <c r="AB594">
        <f>IF(ISBLANK('Data Entry'!$\$594), "", 'Data Entry'!$\$594)</f>
      </c>
      <c r="AC594">
        <f>IF(ISBLANK('Data Entry'!$]$594), "", 'Data Entry'!$]$594)</f>
      </c>
      <c r="AD594">
        <f>IF(ISBLANK('Data Entry'!$^$594), "", 'Data Entry'!$^$594)</f>
      </c>
      <c r="AE594">
        <f>IF(ISBLANK('Data Entry'!$_$594), "", 'Data Entry'!$_$594)</f>
      </c>
      <c r="AF594">
        <f>IF(ISBLANK('Data Entry'!$`$594), "", 'Data Entry'!$`$594)</f>
      </c>
      <c r="AG594">
        <f>IF(ISBLANK('Data Entry'!$a$594), "", 'Data Entry'!$a$594)</f>
      </c>
      <c r="AH594">
        <f>IF(ISBLANK('Data Entry'!$b$594), "", 'Data Entry'!$b$594)</f>
      </c>
      <c r="AI594">
        <f>IF(ISBLANK('Data Entry'!$c$594), "", 'Data Entry'!$c$594)</f>
      </c>
      <c r="AJ594">
        <f>IF(ISBLANK('Data Entry'!$d$594), "", 'Data Entry'!$d$594)</f>
      </c>
      <c r="AK594">
        <f>IF(ISBLANK('Data Entry'!$e$594), "", 'Data Entry'!$e$594)</f>
      </c>
      <c r="AL594">
        <f>IF(ISBLANK('Data Entry'!$f$594), "", 'Data Entry'!$f$594)</f>
      </c>
      <c r="AM594">
        <f>IF(ISBLANK('Data Entry'!$g$594), "", 'Data Entry'!$g$594)</f>
      </c>
      <c r="AN594">
        <f>IF(ISBLANK('Data Entry'!$h$594), "", 'Data Entry'!$h$594)</f>
      </c>
      <c r="AO594">
        <f>IF(ISBLANK('Data Entry'!$i$594), "", 'Data Entry'!$i$594)</f>
      </c>
      <c r="AP594">
        <f>IF(ISBLANK('Data Entry'!$j$594), "", 'Data Entry'!$j$594)</f>
      </c>
      <c r="AQ594">
        <f>IF(ISBLANK('Data Entry'!$k$594), "", 'Data Entry'!$k$594)</f>
      </c>
      <c r="AR594">
        <f>IF(ISBLANK('Data Entry'!$l$594), "", 'Data Entry'!$l$594)</f>
      </c>
      <c r="AS594">
        <f>IF(ISBLANK('Data Entry'!$m$594), "", 'Data Entry'!$m$594)</f>
      </c>
      <c r="AT594">
        <f>IF(ISBLANK('Data Entry'!$n$594), "", 'Data Entry'!$n$594)</f>
      </c>
      <c r="AU594">
        <f>IF(ISBLANK('Data Entry'!$o$594), "", 'Data Entry'!$o$594)</f>
      </c>
      <c r="AV594">
        <f>IF(ISBLANK('Data Entry'!$p$594), "", 'Data Entry'!$p$594)</f>
      </c>
      <c r="AW594">
        <f>IF(ISBLANK('Data Entry'!$q$594), "", 'Data Entry'!$q$594)</f>
      </c>
      <c r="AX594">
        <f>IF(ISBLANK('Data Entry'!$r$594), "", 'Data Entry'!$r$594)</f>
      </c>
      <c r="AY594">
        <f>IF(ISBLANK('Data Entry'!$s$594), "", 'Data Entry'!$s$594)</f>
      </c>
      <c r="AZ594">
        <f>IF(ISBLANK('Data Entry'!$t$594), "", 'Data Entry'!$t$594)</f>
      </c>
      <c r="BA594">
        <f>IF(ISBLANK('Data Entry'!$u$594), "", 'Data Entry'!$u$594)</f>
      </c>
      <c r="BB594">
        <f>IF(ISBLANK('Data Entry'!$v$594), "", 'Data Entry'!$v$594)</f>
      </c>
      <c r="BC594">
        <f>IF(ISBLANK('Data Entry'!$w$594), "", 'Data Entry'!$w$594)</f>
      </c>
      <c r="BD594">
        <f>IF(ISBLANK('Data Entry'!$x$594), "", 'Data Entry'!$x$594)</f>
      </c>
      <c r="BE594">
        <f>IF(ISBLANK('Data Entry'!$y$594), "", 'Data Entry'!$y$594)</f>
      </c>
      <c r="BF594">
        <f>IF(ISBLANK('Data Entry'!$z$594), "", 'Data Entry'!$z$594)</f>
      </c>
      <c r="BG594">
        <f>IF(ISBLANK('Data Entry'!${$594), "", 'Data Entry'!${$594)</f>
      </c>
      <c r="BH594">
        <f>IF(ISBLANK('Data Entry'!$|$594), "", 'Data Entry'!$|$594)</f>
      </c>
      <c r="BI594">
        <f>IF(ISBLANK('Data Entry'!$}$594), "", 'Data Entry'!$}$594)</f>
      </c>
      <c r="BJ594">
        <f>IF(ISBLANK('Data Entry'!$~$594), "", 'Data Entry'!$~$594)</f>
      </c>
      <c r="BK594">
        <f>IF(ISBLANK('Data Entry'!$$594), "", 'Data Entry'!$$594)</f>
      </c>
      <c r="BL594">
        <f>IF(ISBLANK('Data Entry'!$$594), "", 'Data Entry'!$$594)</f>
      </c>
      <c r="BM594">
        <f>IF(ISBLANK('Data Entry'!$$594), "", 'Data Entry'!$$594)</f>
      </c>
      <c r="BN594">
        <f>IF(ISBLANK('Data Entry'!$$594), "", 'Data Entry'!$$594)</f>
      </c>
      <c r="BO594">
        <f>IF(ISBLANK('Data Entry'!$$594), "", 'Data Entry'!$$594)</f>
      </c>
      <c r="BP594">
        <f>IF(ISBLANK('Data Entry'!$$594), "", 'Data Entry'!$$594)</f>
      </c>
      <c r="BQ594">
        <f>IF(ISBLANK('Data Entry'!$$594), "", 'Data Entry'!$$594)</f>
      </c>
      <c r="BR594">
        <f>IF(ISBLANK('Data Entry'!$$594), "", 'Data Entry'!$$594)</f>
      </c>
      <c r="BS594">
        <f>IF(ISBLANK('Data Entry'!$$594), "", 'Data Entry'!$$594)</f>
      </c>
      <c r="BT594">
        <f>IF(ISBLANK('Data Entry'!$$594), "", 'Data Entry'!$$594)</f>
      </c>
      <c r="BU594">
        <f>IF(ISBLANK('Data Entry'!$$594), "", 'Data Entry'!$$594)</f>
      </c>
      <c r="BV594">
        <f>IF(ISBLANK('Data Entry'!$$594), "", 'Data Entry'!$$594)</f>
      </c>
      <c r="BW594">
        <f>IF(ISBLANK('Data Entry'!$$594), "", 'Data Entry'!$$594)</f>
      </c>
      <c r="BX594">
        <f>IF(ISBLANK('Data Entry'!$$594), "", 'Data Entry'!$$594)</f>
      </c>
      <c r="BY594">
        <f>IF(ISBLANK('Data Entry'!$$594), "", 'Data Entry'!$$594)</f>
      </c>
      <c r="BZ594">
        <f>IF(ISBLANK('Data Entry'!$$594), "", 'Data Entry'!$$594)</f>
      </c>
      <c r="CA594">
        <f>IF(ISBLANK('Data Entry'!$$594), "", 'Data Entry'!$$594)</f>
      </c>
      <c r="CB594">
        <f>IF(ISBLANK('Data Entry'!$$594), "", 'Data Entry'!$$594)</f>
      </c>
      <c r="CC594">
        <f>IF(ISBLANK('Data Entry'!$$594), "", 'Data Entry'!$$594)</f>
      </c>
      <c r="CD594">
        <f>IF(ISBLANK('Data Entry'!$$594), "", 'Data Entry'!$$594)</f>
      </c>
      <c r="CE594">
        <f>IF(ISBLANK('Data Entry'!$$594), "", 'Data Entry'!$$594)</f>
      </c>
      <c r="CF594">
        <f>IF(ISBLANK('Data Entry'!$$594), "", 'Data Entry'!$$594)</f>
      </c>
      <c r="CG594">
        <f>IF(ISBLANK('Data Entry'!$$594), "", 'Data Entry'!$$594)</f>
      </c>
      <c r="CH594">
        <f>IF(ISBLANK('Data Entry'!$$594), "", 'Data Entry'!$$594)</f>
      </c>
      <c r="CI594">
        <f>IF(ISBLANK('Data Entry'!$$594), "", 'Data Entry'!$$594)</f>
      </c>
      <c r="CJ594">
        <f>IF(ISBLANK('Data Entry'!$$594), "", 'Data Entry'!$$594)</f>
      </c>
      <c r="CK594">
        <f>IF(ISBLANK('Data Entry'!$$594), "", 'Data Entry'!$$594)</f>
      </c>
      <c r="CL594">
        <f>IF(ISBLANK('Data Entry'!$$594), "", 'Data Entry'!$$594)</f>
      </c>
      <c r="CM594">
        <f>IF(ISBLANK('Data Entry'!$$594), "", 'Data Entry'!$$594)</f>
      </c>
      <c r="CN594">
        <f>IF(ISBLANK('Data Entry'!$$594), "", 'Data Entry'!$$594)</f>
      </c>
      <c r="CO594">
        <f>IF(ISBLANK('Data Entry'!$$594), "", 'Data Entry'!$$594)</f>
      </c>
      <c r="CP594">
        <f>IF(ISBLANK('Data Entry'!$$594), "", 'Data Entry'!$$594)</f>
      </c>
      <c r="CQ594">
        <f>IF(ISBLANK('Data Entry'!$$594), "", 'Data Entry'!$$594)</f>
      </c>
      <c r="CR594">
        <f>IF(ISBLANK('Data Entry'!$ $594), "", 'Data Entry'!$ $594)</f>
      </c>
      <c r="CS594">
        <f>IF(ISBLANK('Data Entry'!$¡$594), "", 'Data Entry'!$¡$594)</f>
      </c>
      <c r="CT594">
        <f>IF(ISBLANK('Data Entry'!$¢$594), "", 'Data Entry'!$¢$594)</f>
      </c>
      <c r="CU594">
        <f>IF(ISBLANK('Data Entry'!$£$594), "", 'Data Entry'!$£$594)</f>
      </c>
      <c r="CV594">
        <f>IF(ISBLANK('Data Entry'!$¤$594), "", 'Data Entry'!$¤$594)</f>
      </c>
      <c r="CW594">
        <f>IF(ISBLANK('Data Entry'!$¥$594), "", 'Data Entry'!$¥$594)</f>
      </c>
      <c r="CX594">
        <f>IF(ISBLANK('Data Entry'!$¦$594), "", 'Data Entry'!$¦$594)</f>
      </c>
      <c r="CY594">
        <f>IF(ISBLANK('Data Entry'!$§$594), "", 'Data Entry'!$§$594)</f>
      </c>
      <c r="CZ594">
        <f>IF(ISBLANK('Data Entry'!$¨$594), "", 'Data Entry'!$¨$594)</f>
      </c>
      <c r="DA594">
        <f>IF(ISBLANK('Data Entry'!$©$594), "", 'Data Entry'!$©$594)</f>
      </c>
      <c r="DB594">
        <f>IF(ISBLANK('Data Entry'!$ª$594), "", 'Data Entry'!$ª$594)</f>
      </c>
      <c r="DC594">
        <f>IF(ISBLANK('Data Entry'!$«$594), "", 'Data Entry'!$«$594)</f>
      </c>
      <c r="DD594">
        <f>IF(ISBLANK('Data Entry'!$¬$594), "", 'Data Entry'!$¬$594)</f>
      </c>
      <c r="DE594">
        <f>IF(ISBLANK('Data Entry'!$­$594), "", 'Data Entry'!$­$594)</f>
      </c>
      <c r="DF594">
        <f>IF(ISBLANK('Data Entry'!$®$594), "", 'Data Entry'!$®$594)</f>
      </c>
      <c r="DG594">
        <f>IF(ISBLANK('Data Entry'!$¯$594), "", 'Data Entry'!$¯$594)</f>
      </c>
      <c r="DH594">
        <f>IF(ISBLANK('Data Entry'!$°$594), "", 'Data Entry'!$°$594)</f>
      </c>
      <c r="DI594">
        <f>IF(ISBLANK('Data Entry'!$±$594), "", 'Data Entry'!$±$594)</f>
      </c>
      <c r="DJ594">
        <f>IF(ISBLANK('Data Entry'!$²$594), "", 'Data Entry'!$²$594)</f>
      </c>
      <c r="DK594">
        <f>IF(ISBLANK('Data Entry'!$³$594), "", 'Data Entry'!$³$594)</f>
      </c>
      <c r="DL594">
        <f>IF(ISBLANK('Data Entry'!$´$594), "", 'Data Entry'!$´$594)</f>
      </c>
      <c r="DM594">
        <f>IF(ISBLANK('Data Entry'!$µ$594), "", 'Data Entry'!$µ$594)</f>
      </c>
      <c r="DN594">
        <f>IF(ISBLANK('Data Entry'!$¶$594), "", 'Data Entry'!$¶$594)</f>
      </c>
      <c r="DO594">
        <f>IF(ISBLANK('Data Entry'!$·$594), "", 'Data Entry'!$·$594)</f>
      </c>
      <c r="DP594">
        <f>IF(ISBLANK('Data Entry'!$¸$594), "", 'Data Entry'!$¸$594)</f>
      </c>
      <c r="DQ594">
        <f>IF(ISBLANK('Data Entry'!$¹$594), "", 'Data Entry'!$¹$594)</f>
      </c>
      <c r="DR594">
        <f>IF(ISBLANK('Data Entry'!$º$594), "", 'Data Entry'!$º$594)</f>
      </c>
      <c r="DS594">
        <f>IF(ISBLANK('Data Entry'!$»$594), "", 'Data Entry'!$»$594)</f>
      </c>
      <c r="DT594">
        <f>IF(ISBLANK('Data Entry'!$¼$594), "", 'Data Entry'!$¼$594)</f>
      </c>
      <c r="DU594">
        <f>IF(ISBLANK('Data Entry'!$½$594), "", 'Data Entry'!$½$594)</f>
      </c>
      <c r="DV594">
        <f>IF(ISBLANK('Data Entry'!$¾$594), "", 'Data Entry'!$¾$594)</f>
      </c>
      <c r="DW594">
        <f>IF(ISBLANK('Data Entry'!$¿$594), "", 'Data Entry'!$¿$594)</f>
      </c>
      <c r="DX594">
        <f>IF(ISBLANK('Data Entry'!$À$594), "", 'Data Entry'!$À$594)</f>
      </c>
      <c r="DY594">
        <f>IF(ISBLANK('Data Entry'!$Á$594), "", 'Data Entry'!$Á$594)</f>
      </c>
      <c r="DZ594">
        <f>IF(ISBLANK('Data Entry'!$Â$594), "", 'Data Entry'!$Â$594)</f>
      </c>
      <c r="EA594">
        <f>IF(ISBLANK('Data Entry'!$Ã$594), "", 'Data Entry'!$Ã$594)</f>
      </c>
      <c r="EB594">
        <f>IF(ISBLANK('Data Entry'!$Ä$594), "", 'Data Entry'!$Ä$594)</f>
      </c>
      <c r="EC594">
        <f>IF(ISBLANK('Data Entry'!$Å$594), "", 'Data Entry'!$Å$594)</f>
      </c>
      <c r="ED594">
        <f>IF(ISBLANK('Data Entry'!$Æ$594), "", 'Data Entry'!$Æ$594)</f>
      </c>
      <c r="EE594">
        <f>IF(ISBLANK('Data Entry'!$Ç$594), "", 'Data Entry'!$Ç$594)</f>
      </c>
      <c r="EF594">
        <f>IF(ISBLANK('Data Entry'!$È$594), "", 'Data Entry'!$È$594)</f>
      </c>
      <c r="EG594">
        <f>IF(ISBLANK('Data Entry'!$É$594), "", 'Data Entry'!$É$594)</f>
      </c>
      <c r="EH594">
        <f>IF(ISBLANK('Data Entry'!$Ê$594), "", 'Data Entry'!$Ê$594)</f>
      </c>
      <c r="EI594">
        <f>IF(ISBLANK('Data Entry'!$Ë$594), "", 'Data Entry'!$Ë$594)</f>
      </c>
      <c r="EJ594">
        <f>IF(ISBLANK('Data Entry'!$Ì$594), "", 'Data Entry'!$Ì$594)</f>
      </c>
      <c r="EK594">
        <f>IF(ISBLANK('Data Entry'!$Í$594), "", 'Data Entry'!$Í$594)</f>
      </c>
      <c r="EL594">
        <f>IF(ISBLANK('Data Entry'!$Î$594), "", 'Data Entry'!$Î$594)</f>
      </c>
      <c r="EM594">
        <f>IF(ISBLANK('Data Entry'!$Ï$594), "", 'Data Entry'!$Ï$594)</f>
      </c>
      <c r="EN594">
        <f>IF(ISBLANK('Data Entry'!$Ð$594), "", 'Data Entry'!$Ð$594)</f>
      </c>
      <c r="EO594">
        <f>IF(ISBLANK('Data Entry'!$Ñ$594), "", 'Data Entry'!$Ñ$594)</f>
      </c>
      <c r="EP594">
        <f>IF(ISBLANK('Data Entry'!$Ò$594), "", 'Data Entry'!$Ò$594)</f>
      </c>
      <c r="EQ594">
        <f>IF(ISBLANK('Data Entry'!$Ó$594), "", 'Data Entry'!$Ó$594)</f>
      </c>
      <c r="ER594">
        <f>IF(ISBLANK('Data Entry'!$Ô$594), "", 'Data Entry'!$Ô$594)</f>
      </c>
      <c r="ES594">
        <f>IF(ISBLANK('Data Entry'!$Õ$594), "", 'Data Entry'!$Õ$594)</f>
      </c>
      <c r="ET594">
        <f>IF(ISBLANK('Data Entry'!$Ö$594), "", 'Data Entry'!$Ö$594)</f>
      </c>
      <c r="EU594">
        <f>IF(ISBLANK('Data Entry'!$×$594), "", 'Data Entry'!$×$594)</f>
      </c>
      <c r="EV594">
        <f>IF(ISBLANK('Data Entry'!$Ø$594), "", 'Data Entry'!$Ø$594)</f>
      </c>
      <c r="EW594">
        <f>IF(ISBLANK('Data Entry'!$Ù$594), "", 'Data Entry'!$Ù$594)</f>
      </c>
      <c r="EX594">
        <f>IF(ISBLANK('Data Entry'!$Ú$594), "", 'Data Entry'!$Ú$594)</f>
      </c>
      <c r="EY594">
        <f>IF(ISBLANK('Data Entry'!$Û$594), "", 'Data Entry'!$Û$594)</f>
      </c>
      <c r="EZ594">
        <f>IF(ISBLANK('Data Entry'!$Ü$594), "", 'Data Entry'!$Ü$594)</f>
      </c>
      <c r="FA594">
        <f>IF(ISBLANK('Data Entry'!$Ý$594), "", 'Data Entry'!$Ý$594)</f>
      </c>
      <c r="FB594">
        <f>IF(ISBLANK('Data Entry'!$Þ$594), "", 'Data Entry'!$Þ$594)</f>
      </c>
      <c r="FC594">
        <f>IF(ISBLANK('Data Entry'!$ß$594), "", 'Data Entry'!$ß$594)</f>
      </c>
      <c r="FD594">
        <f>IF(ISBLANK('Data Entry'!$à$594), "", 'Data Entry'!$à$594)</f>
      </c>
      <c r="FE594">
        <f>IF(ISBLANK('Data Entry'!$á$594), "", 'Data Entry'!$á$594)</f>
      </c>
      <c r="FF594">
        <f>IF(ISBLANK('Data Entry'!$â$594), "", 'Data Entry'!$â$594)</f>
      </c>
      <c r="FG594">
        <f>IF(ISBLANK('Data Entry'!$ã$594), "", 'Data Entry'!$ã$594)</f>
      </c>
      <c r="FH594">
        <f>IF(ISBLANK('Data Entry'!$ä$594), "", 'Data Entry'!$ä$594)</f>
      </c>
      <c r="FI594">
        <f>IF(ISBLANK('Data Entry'!$å$594), "", 'Data Entry'!$å$594)</f>
      </c>
      <c r="FJ594">
        <f>IF(ISBLANK('Data Entry'!$æ$594), "", 'Data Entry'!$æ$594)</f>
      </c>
      <c r="FK594">
        <f>IF(ISBLANK('Data Entry'!$ç$594), "", 'Data Entry'!$ç$594)</f>
      </c>
      <c r="FL594">
        <f>IF(ISBLANK('Data Entry'!$è$594), "", 'Data Entry'!$è$594)</f>
      </c>
      <c r="FM594">
        <f>IF(ISBLANK('Data Entry'!$é$594), "", 'Data Entry'!$é$594)</f>
      </c>
      <c r="FN594">
        <f>IF(ISBLANK('Data Entry'!$ê$594), "", 'Data Entry'!$ê$594)</f>
      </c>
      <c r="FO594">
        <f>IF(ISBLANK('Data Entry'!$ë$594), "", 'Data Entry'!$ë$594)</f>
      </c>
      <c r="FP594">
        <f>IF(ISBLANK('Data Entry'!$ì$594), "", 'Data Entry'!$ì$594)</f>
      </c>
      <c r="FQ594">
        <f>IF(ISBLANK('Data Entry'!$í$594), "", 'Data Entry'!$í$594)</f>
      </c>
      <c r="FR594">
        <f>IF(ISBLANK('Data Entry'!$î$594), "", 'Data Entry'!$î$594)</f>
      </c>
      <c r="FS594">
        <f>IF(ISBLANK('Data Entry'!$ï$594), "", 'Data Entry'!$ï$594)</f>
      </c>
      <c r="FT594">
        <f>IF(ISBLANK('Data Entry'!$ð$594), "", 'Data Entry'!$ð$594)</f>
      </c>
      <c r="FU594">
        <f>IF(ISBLANK('Data Entry'!$ñ$594), "", 'Data Entry'!$ñ$594)</f>
      </c>
      <c r="FV594">
        <f>IF(ISBLANK('Data Entry'!$ò$594), "", 'Data Entry'!$ò$594)</f>
      </c>
      <c r="FW594">
        <f>IF(ISBLANK('Data Entry'!$ó$594), "", 'Data Entry'!$ó$594)</f>
      </c>
      <c r="FX594">
        <f>IF(ISBLANK('Data Entry'!$ô$594), "", 'Data Entry'!$ô$594)</f>
      </c>
      <c r="FY594">
        <f>IF(ISBLANK('Data Entry'!$õ$594), "", 'Data Entry'!$õ$594)</f>
      </c>
      <c r="FZ594">
        <f>IF(ISBLANK('Data Entry'!$ö$594), "", 'Data Entry'!$ö$594)</f>
      </c>
      <c r="GA594">
        <f>IF(ISBLANK('Data Entry'!$÷$594), "", 'Data Entry'!$÷$594)</f>
      </c>
      <c r="GB594">
        <f>IF(ISBLANK('Data Entry'!$ø$594), "", 'Data Entry'!$ø$594)</f>
      </c>
      <c r="GC594">
        <f>IF(ISBLANK('Data Entry'!$ù$594), "", 'Data Entry'!$ù$594)</f>
      </c>
      <c r="GD594">
        <f>IF(ISBLANK('Data Entry'!$ú$594), "", 'Data Entry'!$ú$594)</f>
      </c>
      <c r="GE594">
        <f>IF(ISBLANK('Data Entry'!$û$594), "", 'Data Entry'!$û$594)</f>
      </c>
      <c r="GF594">
        <f>IF(ISBLANK('Data Entry'!$ü$594), "", 'Data Entry'!$ü$594)</f>
      </c>
      <c r="GG594">
        <f>IF(ISBLANK('Data Entry'!$ý$594), "", 'Data Entry'!$ý$594)</f>
      </c>
      <c r="GH594">
        <f>IF(ISBLANK('Data Entry'!$þ$594), "", 'Data Entry'!$þ$594)</f>
      </c>
      <c r="GI594">
        <f>IF(ISBLANK('Data Entry'!$ÿ$594), "", 'Data Entry'!$ÿ$594)</f>
      </c>
      <c r="GJ594">
        <f>IF(ISBLANK('Data Entry'!$Ā$594), "", 'Data Entry'!$Ā$594)</f>
      </c>
      <c r="GK594">
        <f>IF(ISBLANK('Data Entry'!$ā$594), "", 'Data Entry'!$ā$594)</f>
      </c>
      <c r="GL594">
        <f>IF(ISBLANK('Data Entry'!$Ă$594), "", 'Data Entry'!$Ă$594)</f>
      </c>
      <c r="GM594">
        <f>IF(ISBLANK('Data Entry'!$ă$594), "", 'Data Entry'!$ă$594)</f>
      </c>
      <c r="GN594">
        <f>IF(ISBLANK('Data Entry'!$Ą$594), "", 'Data Entry'!$Ą$594)</f>
      </c>
      <c r="GO594">
        <f>IF(ISBLANK('Data Entry'!$ą$594), "", 'Data Entry'!$ą$594)</f>
      </c>
      <c r="GP594">
        <f>IF(ISBLANK('Data Entry'!$Ć$594), "", 'Data Entry'!$Ć$594)</f>
      </c>
      <c r="GQ594">
        <f>IF(ISBLANK('Data Entry'!$ć$594), "", 'Data Entry'!$ć$594)</f>
      </c>
      <c r="GR594">
        <f>IF(ISBLANK('Data Entry'!$Ĉ$594), "", 'Data Entry'!$Ĉ$594)</f>
      </c>
      <c r="GS594">
        <f>IF(ISBLANK('Data Entry'!$ĉ$594), "", 'Data Entry'!$ĉ$594)</f>
      </c>
      <c r="GT594">
        <f>IF(ISBLANK('Data Entry'!$Ċ$594), "", 'Data Entry'!$Ċ$594)</f>
      </c>
      <c r="GU594">
        <f>IF(ISBLANK('Data Entry'!$ċ$594), "", 'Data Entry'!$ċ$594)</f>
      </c>
      <c r="GV594">
        <f>IF(ISBLANK('Data Entry'!$Č$594), "", 'Data Entry'!$Č$594)</f>
      </c>
      <c r="GW594">
        <f>IF(ISBLANK('Data Entry'!$č$594), "", 'Data Entry'!$č$594)</f>
      </c>
      <c r="GX594">
        <f>IF(ISBLANK('Data Entry'!$Ď$594), "", 'Data Entry'!$Ď$594)</f>
      </c>
      <c r="GY594">
        <f>IF(ISBLANK('Data Entry'!$ď$594), "", 'Data Entry'!$ď$594)</f>
      </c>
      <c r="GZ594">
        <f>IF(ISBLANK('Data Entry'!$Đ$594), "", 'Data Entry'!$Đ$594)</f>
      </c>
      <c r="HA594">
        <f>IF(ISBLANK('Data Entry'!$đ$594), "", 'Data Entry'!$đ$594)</f>
      </c>
      <c r="HB594">
        <f>IF(ISBLANK('Data Entry'!$Ē$594), "", 'Data Entry'!$Ē$594)</f>
      </c>
      <c r="HC594">
        <f>IF(ISBLANK('Data Entry'!$ē$594), "", 'Data Entry'!$ē$594)</f>
      </c>
      <c r="HD594">
        <f>IF(ISBLANK('Data Entry'!$Ĕ$594), "", 'Data Entry'!$Ĕ$594)</f>
      </c>
      <c r="HE594">
        <f>IF(ISBLANK('Data Entry'!$ĕ$594), "", 'Data Entry'!$ĕ$594)</f>
      </c>
      <c r="HF594">
        <f>IF(ISBLANK('Data Entry'!$Ė$594), "", 'Data Entry'!$Ė$594)</f>
      </c>
      <c r="HG594">
        <f>IF(ISBLANK('Data Entry'!$ė$594), "", 'Data Entry'!$ė$594)</f>
      </c>
      <c r="HH594">
        <f>IF(ISBLANK('Data Entry'!$Ę$594), "", 'Data Entry'!$Ę$594)</f>
      </c>
      <c r="HI594">
        <f>IF(ISBLANK('Data Entry'!$ę$594), "", 'Data Entry'!$ę$594)</f>
      </c>
      <c r="HJ594">
        <f>IF(ISBLANK('Data Entry'!$Ě$594), "", 'Data Entry'!$Ě$594)</f>
      </c>
      <c r="HK594">
        <f>IF(ISBLANK('Data Entry'!$ě$594), "", 'Data Entry'!$ě$594)</f>
      </c>
      <c r="HL594">
        <f>IF(ISBLANK('Data Entry'!$Ĝ$594), "", 'Data Entry'!$Ĝ$594)</f>
      </c>
      <c r="HM594">
        <f>IF(ISBLANK('Data Entry'!$ĝ$594), "", 'Data Entry'!$ĝ$594)</f>
      </c>
      <c r="HN594">
        <f>IF(ISBLANK('Data Entry'!$Ğ$594), "", 'Data Entry'!$Ğ$594)</f>
      </c>
      <c r="HO594">
        <f>IF(ISBLANK('Data Entry'!$ğ$594), "", 'Data Entry'!$ğ$594)</f>
      </c>
      <c r="HP594">
        <f>IF(ISBLANK('Data Entry'!$Ġ$594), "", 'Data Entry'!$Ġ$594)</f>
      </c>
      <c r="HQ594">
        <f>IF(ISBLANK('Data Entry'!$ġ$594), "", 'Data Entry'!$ġ$594)</f>
      </c>
      <c r="HR594">
        <f>IF(ISBLANK('Data Entry'!$Ģ$594), "", 'Data Entry'!$Ģ$594)</f>
      </c>
      <c r="HS594">
        <f>IF(ISBLANK('Data Entry'!$ģ$594), "", 'Data Entry'!$ģ$594)</f>
      </c>
      <c r="HT594">
        <f>IF(ISBLANK('Data Entry'!$Ĥ$594), "", 'Data Entry'!$Ĥ$594)</f>
      </c>
      <c r="HU594">
        <f>IF(ISBLANK('Data Entry'!$ĥ$594), "", 'Data Entry'!$ĥ$594)</f>
      </c>
      <c r="HV594">
        <f>IF(ISBLANK('Data Entry'!$Ħ$594), "", 'Data Entry'!$Ħ$594)</f>
      </c>
      <c r="HW594">
        <f>IF(ISBLANK('Data Entry'!$ħ$594), "", 'Data Entry'!$ħ$594)</f>
      </c>
      <c r="HX594">
        <f>IF(ISBLANK('Data Entry'!$Ĩ$594), "", 'Data Entry'!$Ĩ$594)</f>
      </c>
      <c r="HY594">
        <f>IF(ISBLANK('Data Entry'!$ĩ$594), "", 'Data Entry'!$ĩ$594)</f>
      </c>
      <c r="HZ594">
        <f>IF(ISBLANK('Data Entry'!$Ī$594), "", 'Data Entry'!$Ī$594)</f>
      </c>
      <c r="IA594">
        <f>IF(ISBLANK('Data Entry'!$ī$594), "", 'Data Entry'!$ī$594)</f>
      </c>
      <c r="IB594">
        <f>IF(ISBLANK('Data Entry'!$Ĭ$594), "", 'Data Entry'!$Ĭ$594)</f>
      </c>
      <c r="IC594">
        <f>IF(ISBLANK('Data Entry'!$ĭ$594), "", 'Data Entry'!$ĭ$594)</f>
      </c>
      <c r="ID594">
        <f>IF(ISBLANK('Data Entry'!$Į$594), "", 'Data Entry'!$Į$594)</f>
      </c>
      <c r="IE594">
        <f>IF(ISBLANK('Data Entry'!$į$594), "", 'Data Entry'!$į$594)</f>
      </c>
      <c r="IF594">
        <f>IF(ISBLANK('Data Entry'!$İ$594), "", 'Data Entry'!$İ$594)</f>
      </c>
      <c r="IG594">
        <f>IF(ISBLANK('Data Entry'!$ı$594), "", 'Data Entry'!$ı$594)</f>
      </c>
      <c r="IH594">
        <f>IF(ISBLANK('Data Entry'!$Ĳ$594), "", 'Data Entry'!$Ĳ$594)</f>
      </c>
      <c r="II594">
        <f>IF(ISBLANK('Data Entry'!$ĳ$594), "", 'Data Entry'!$ĳ$594)</f>
      </c>
      <c r="IJ594">
        <f>IF(ISBLANK('Data Entry'!$Ĵ$594), "", 'Data Entry'!$Ĵ$594)</f>
      </c>
      <c r="IK594">
        <f>IF(ISBLANK('Data Entry'!$ĵ$594), "", 'Data Entry'!$ĵ$594)</f>
      </c>
      <c r="IL594">
        <f>IF(ISBLANK('Data Entry'!$Ķ$594), "", 'Data Entry'!$Ķ$594)</f>
      </c>
      <c r="IM594">
        <f>IF(ISBLANK('Data Entry'!$ķ$594), "", 'Data Entry'!$ķ$594)</f>
      </c>
      <c r="IN594">
        <f>IF(ISBLANK('Data Entry'!$ĸ$594), "", 'Data Entry'!$ĸ$594)</f>
      </c>
      <c r="IO594">
        <f>IF(ISBLANK('Data Entry'!$Ĺ$594), "", 'Data Entry'!$Ĺ$594)</f>
      </c>
      <c r="IP594">
        <f>IF(ISBLANK('Data Entry'!$ĺ$594), "", 'Data Entry'!$ĺ$594)</f>
      </c>
      <c r="IQ594">
        <f>IF(ISBLANK('Data Entry'!$Ļ$594), "", 'Data Entry'!$Ļ$594)</f>
      </c>
      <c r="IR594">
        <f>IF(ISBLANK('Data Entry'!$ļ$594), "", 'Data Entry'!$ļ$594)</f>
      </c>
      <c r="IS594">
        <f>IF(ISBLANK('Data Entry'!$Ľ$594), "", 'Data Entry'!$Ľ$594)</f>
      </c>
      <c r="IT594">
        <f>IF(ISBLANK('Data Entry'!$ľ$594), "", 'Data Entry'!$ľ$594)</f>
      </c>
    </row>
    <row r="595" spans="1:254" x14ac:dyDescent="0.25">
      <c r="A595">
        <f>IF(ISBLANK('Data Entry'!$A$595), "", 'Data Entry'!$A$595)</f>
      </c>
      <c r="B595">
        <f>IF(ISBLANK('Data Entry'!$B$595), "", 'Data Entry'!$B$595)</f>
      </c>
      <c r="C595">
        <f>IF(ISBLANK('Data Entry'!$C$595), "", 'Data Entry'!$C$595)</f>
      </c>
      <c r="D595">
        <f>IF(ISBLANK('Data Entry'!$D$595), "", 'Data Entry'!$D$595)</f>
      </c>
      <c r="E595">
        <f>IF(ISBLANK('Data Entry'!$E$595), "", 'Data Entry'!$E$595)</f>
      </c>
      <c r="F595">
        <f>IF(ISBLANK('Data Entry'!$F$595), "", 'Data Entry'!$F$595)</f>
      </c>
      <c r="G595">
        <f>IF(ISBLANK('Data Entry'!$G$595), "", 'Data Entry'!$G$595)</f>
      </c>
      <c r="H595">
        <f>IF(ISBLANK('Data Entry'!$H$595), "", 'Data Entry'!$H$595)</f>
      </c>
      <c r="I595">
        <f>IF(ISBLANK('Data Entry'!$I$595), "", 'Data Entry'!$I$595)</f>
      </c>
      <c r="J595">
        <f>IF(ISBLANK('Data Entry'!$J$595), "", 'Data Entry'!$J$595)</f>
      </c>
      <c r="K595">
        <f>IF(ISBLANK('Data Entry'!$K$595), "", 'Data Entry'!$K$595)</f>
      </c>
      <c r="L595">
        <f>IF(ISBLANK('Data Entry'!$L$595), "", 'Data Entry'!$L$595)</f>
      </c>
      <c r="M595">
        <f>IF(ISBLANK('Data Entry'!$M$595), "", 'Data Entry'!$M$595)</f>
      </c>
      <c r="N595">
        <f>IF(ISBLANK('Data Entry'!$N$595), "", 'Data Entry'!$N$595)</f>
      </c>
      <c r="O595">
        <f>IF(ISBLANK('Data Entry'!$O$595), "", 'Data Entry'!$O$595)</f>
      </c>
      <c r="P595">
        <f>IF(ISBLANK('Data Entry'!$P$595), "", 'Data Entry'!$P$595)</f>
      </c>
      <c r="Q595">
        <f>IF(ISBLANK('Data Entry'!$Q$595), "", 'Data Entry'!$Q$595)</f>
      </c>
      <c r="R595">
        <f>IF(ISBLANK('Data Entry'!$R$595), "", 'Data Entry'!$R$595)</f>
      </c>
      <c r="S595">
        <f>IF(ISBLANK('Data Entry'!$S$595), "", 'Data Entry'!$S$595)</f>
      </c>
      <c r="T595">
        <f>IF(ISBLANK('Data Entry'!$T$595), "", 'Data Entry'!$T$595)</f>
      </c>
      <c r="U595">
        <f>IF(ISBLANK('Data Entry'!$U$595), "", 'Data Entry'!$U$595)</f>
      </c>
      <c r="V595">
        <f>IF(ISBLANK('Data Entry'!$V$595), "", 'Data Entry'!$V$595)</f>
      </c>
      <c r="W595">
        <f>IF(ISBLANK('Data Entry'!$W$595), "", 'Data Entry'!$W$595)</f>
      </c>
      <c r="X595">
        <f>IF(ISBLANK('Data Entry'!$X$595), "", 'Data Entry'!$X$595)</f>
      </c>
      <c r="Y595">
        <f>IF(ISBLANK('Data Entry'!$Y$595), "", 'Data Entry'!$Y$595)</f>
      </c>
      <c r="Z595">
        <f>IF(ISBLANK('Data Entry'!$Z$595), "", 'Data Entry'!$Z$595)</f>
      </c>
      <c r="AA595">
        <f>IF(ISBLANK('Data Entry'!$[$595), "", 'Data Entry'!$[$595)</f>
      </c>
      <c r="AB595">
        <f>IF(ISBLANK('Data Entry'!$\$595), "", 'Data Entry'!$\$595)</f>
      </c>
      <c r="AC595">
        <f>IF(ISBLANK('Data Entry'!$]$595), "", 'Data Entry'!$]$595)</f>
      </c>
      <c r="AD595">
        <f>IF(ISBLANK('Data Entry'!$^$595), "", 'Data Entry'!$^$595)</f>
      </c>
      <c r="AE595">
        <f>IF(ISBLANK('Data Entry'!$_$595), "", 'Data Entry'!$_$595)</f>
      </c>
      <c r="AF595">
        <f>IF(ISBLANK('Data Entry'!$`$595), "", 'Data Entry'!$`$595)</f>
      </c>
      <c r="AG595">
        <f>IF(ISBLANK('Data Entry'!$a$595), "", 'Data Entry'!$a$595)</f>
      </c>
      <c r="AH595">
        <f>IF(ISBLANK('Data Entry'!$b$595), "", 'Data Entry'!$b$595)</f>
      </c>
      <c r="AI595">
        <f>IF(ISBLANK('Data Entry'!$c$595), "", 'Data Entry'!$c$595)</f>
      </c>
      <c r="AJ595">
        <f>IF(ISBLANK('Data Entry'!$d$595), "", 'Data Entry'!$d$595)</f>
      </c>
      <c r="AK595">
        <f>IF(ISBLANK('Data Entry'!$e$595), "", 'Data Entry'!$e$595)</f>
      </c>
      <c r="AL595">
        <f>IF(ISBLANK('Data Entry'!$f$595), "", 'Data Entry'!$f$595)</f>
      </c>
      <c r="AM595">
        <f>IF(ISBLANK('Data Entry'!$g$595), "", 'Data Entry'!$g$595)</f>
      </c>
      <c r="AN595">
        <f>IF(ISBLANK('Data Entry'!$h$595), "", 'Data Entry'!$h$595)</f>
      </c>
      <c r="AO595">
        <f>IF(ISBLANK('Data Entry'!$i$595), "", 'Data Entry'!$i$595)</f>
      </c>
      <c r="AP595">
        <f>IF(ISBLANK('Data Entry'!$j$595), "", 'Data Entry'!$j$595)</f>
      </c>
      <c r="AQ595">
        <f>IF(ISBLANK('Data Entry'!$k$595), "", 'Data Entry'!$k$595)</f>
      </c>
      <c r="AR595">
        <f>IF(ISBLANK('Data Entry'!$l$595), "", 'Data Entry'!$l$595)</f>
      </c>
      <c r="AS595">
        <f>IF(ISBLANK('Data Entry'!$m$595), "", 'Data Entry'!$m$595)</f>
      </c>
      <c r="AT595">
        <f>IF(ISBLANK('Data Entry'!$n$595), "", 'Data Entry'!$n$595)</f>
      </c>
      <c r="AU595">
        <f>IF(ISBLANK('Data Entry'!$o$595), "", 'Data Entry'!$o$595)</f>
      </c>
      <c r="AV595">
        <f>IF(ISBLANK('Data Entry'!$p$595), "", 'Data Entry'!$p$595)</f>
      </c>
      <c r="AW595">
        <f>IF(ISBLANK('Data Entry'!$q$595), "", 'Data Entry'!$q$595)</f>
      </c>
      <c r="AX595">
        <f>IF(ISBLANK('Data Entry'!$r$595), "", 'Data Entry'!$r$595)</f>
      </c>
      <c r="AY595">
        <f>IF(ISBLANK('Data Entry'!$s$595), "", 'Data Entry'!$s$595)</f>
      </c>
      <c r="AZ595">
        <f>IF(ISBLANK('Data Entry'!$t$595), "", 'Data Entry'!$t$595)</f>
      </c>
      <c r="BA595">
        <f>IF(ISBLANK('Data Entry'!$u$595), "", 'Data Entry'!$u$595)</f>
      </c>
      <c r="BB595">
        <f>IF(ISBLANK('Data Entry'!$v$595), "", 'Data Entry'!$v$595)</f>
      </c>
      <c r="BC595">
        <f>IF(ISBLANK('Data Entry'!$w$595), "", 'Data Entry'!$w$595)</f>
      </c>
      <c r="BD595">
        <f>IF(ISBLANK('Data Entry'!$x$595), "", 'Data Entry'!$x$595)</f>
      </c>
      <c r="BE595">
        <f>IF(ISBLANK('Data Entry'!$y$595), "", 'Data Entry'!$y$595)</f>
      </c>
      <c r="BF595">
        <f>IF(ISBLANK('Data Entry'!$z$595), "", 'Data Entry'!$z$595)</f>
      </c>
      <c r="BG595">
        <f>IF(ISBLANK('Data Entry'!${$595), "", 'Data Entry'!${$595)</f>
      </c>
      <c r="BH595">
        <f>IF(ISBLANK('Data Entry'!$|$595), "", 'Data Entry'!$|$595)</f>
      </c>
      <c r="BI595">
        <f>IF(ISBLANK('Data Entry'!$}$595), "", 'Data Entry'!$}$595)</f>
      </c>
      <c r="BJ595">
        <f>IF(ISBLANK('Data Entry'!$~$595), "", 'Data Entry'!$~$595)</f>
      </c>
      <c r="BK595">
        <f>IF(ISBLANK('Data Entry'!$$595), "", 'Data Entry'!$$595)</f>
      </c>
      <c r="BL595">
        <f>IF(ISBLANK('Data Entry'!$$595), "", 'Data Entry'!$$595)</f>
      </c>
      <c r="BM595">
        <f>IF(ISBLANK('Data Entry'!$$595), "", 'Data Entry'!$$595)</f>
      </c>
      <c r="BN595">
        <f>IF(ISBLANK('Data Entry'!$$595), "", 'Data Entry'!$$595)</f>
      </c>
      <c r="BO595">
        <f>IF(ISBLANK('Data Entry'!$$595), "", 'Data Entry'!$$595)</f>
      </c>
      <c r="BP595">
        <f>IF(ISBLANK('Data Entry'!$$595), "", 'Data Entry'!$$595)</f>
      </c>
      <c r="BQ595">
        <f>IF(ISBLANK('Data Entry'!$$595), "", 'Data Entry'!$$595)</f>
      </c>
      <c r="BR595">
        <f>IF(ISBLANK('Data Entry'!$$595), "", 'Data Entry'!$$595)</f>
      </c>
      <c r="BS595">
        <f>IF(ISBLANK('Data Entry'!$$595), "", 'Data Entry'!$$595)</f>
      </c>
      <c r="BT595">
        <f>IF(ISBLANK('Data Entry'!$$595), "", 'Data Entry'!$$595)</f>
      </c>
      <c r="BU595">
        <f>IF(ISBLANK('Data Entry'!$$595), "", 'Data Entry'!$$595)</f>
      </c>
      <c r="BV595">
        <f>IF(ISBLANK('Data Entry'!$$595), "", 'Data Entry'!$$595)</f>
      </c>
      <c r="BW595">
        <f>IF(ISBLANK('Data Entry'!$$595), "", 'Data Entry'!$$595)</f>
      </c>
      <c r="BX595">
        <f>IF(ISBLANK('Data Entry'!$$595), "", 'Data Entry'!$$595)</f>
      </c>
      <c r="BY595">
        <f>IF(ISBLANK('Data Entry'!$$595), "", 'Data Entry'!$$595)</f>
      </c>
      <c r="BZ595">
        <f>IF(ISBLANK('Data Entry'!$$595), "", 'Data Entry'!$$595)</f>
      </c>
      <c r="CA595">
        <f>IF(ISBLANK('Data Entry'!$$595), "", 'Data Entry'!$$595)</f>
      </c>
      <c r="CB595">
        <f>IF(ISBLANK('Data Entry'!$$595), "", 'Data Entry'!$$595)</f>
      </c>
      <c r="CC595">
        <f>IF(ISBLANK('Data Entry'!$$595), "", 'Data Entry'!$$595)</f>
      </c>
      <c r="CD595">
        <f>IF(ISBLANK('Data Entry'!$$595), "", 'Data Entry'!$$595)</f>
      </c>
      <c r="CE595">
        <f>IF(ISBLANK('Data Entry'!$$595), "", 'Data Entry'!$$595)</f>
      </c>
      <c r="CF595">
        <f>IF(ISBLANK('Data Entry'!$$595), "", 'Data Entry'!$$595)</f>
      </c>
      <c r="CG595">
        <f>IF(ISBLANK('Data Entry'!$$595), "", 'Data Entry'!$$595)</f>
      </c>
      <c r="CH595">
        <f>IF(ISBLANK('Data Entry'!$$595), "", 'Data Entry'!$$595)</f>
      </c>
      <c r="CI595">
        <f>IF(ISBLANK('Data Entry'!$$595), "", 'Data Entry'!$$595)</f>
      </c>
      <c r="CJ595">
        <f>IF(ISBLANK('Data Entry'!$$595), "", 'Data Entry'!$$595)</f>
      </c>
      <c r="CK595">
        <f>IF(ISBLANK('Data Entry'!$$595), "", 'Data Entry'!$$595)</f>
      </c>
      <c r="CL595">
        <f>IF(ISBLANK('Data Entry'!$$595), "", 'Data Entry'!$$595)</f>
      </c>
      <c r="CM595">
        <f>IF(ISBLANK('Data Entry'!$$595), "", 'Data Entry'!$$595)</f>
      </c>
      <c r="CN595">
        <f>IF(ISBLANK('Data Entry'!$$595), "", 'Data Entry'!$$595)</f>
      </c>
      <c r="CO595">
        <f>IF(ISBLANK('Data Entry'!$$595), "", 'Data Entry'!$$595)</f>
      </c>
      <c r="CP595">
        <f>IF(ISBLANK('Data Entry'!$$595), "", 'Data Entry'!$$595)</f>
      </c>
      <c r="CQ595">
        <f>IF(ISBLANK('Data Entry'!$$595), "", 'Data Entry'!$$595)</f>
      </c>
      <c r="CR595">
        <f>IF(ISBLANK('Data Entry'!$ $595), "", 'Data Entry'!$ $595)</f>
      </c>
      <c r="CS595">
        <f>IF(ISBLANK('Data Entry'!$¡$595), "", 'Data Entry'!$¡$595)</f>
      </c>
      <c r="CT595">
        <f>IF(ISBLANK('Data Entry'!$¢$595), "", 'Data Entry'!$¢$595)</f>
      </c>
      <c r="CU595">
        <f>IF(ISBLANK('Data Entry'!$£$595), "", 'Data Entry'!$£$595)</f>
      </c>
      <c r="CV595">
        <f>IF(ISBLANK('Data Entry'!$¤$595), "", 'Data Entry'!$¤$595)</f>
      </c>
      <c r="CW595">
        <f>IF(ISBLANK('Data Entry'!$¥$595), "", 'Data Entry'!$¥$595)</f>
      </c>
      <c r="CX595">
        <f>IF(ISBLANK('Data Entry'!$¦$595), "", 'Data Entry'!$¦$595)</f>
      </c>
      <c r="CY595">
        <f>IF(ISBLANK('Data Entry'!$§$595), "", 'Data Entry'!$§$595)</f>
      </c>
      <c r="CZ595">
        <f>IF(ISBLANK('Data Entry'!$¨$595), "", 'Data Entry'!$¨$595)</f>
      </c>
      <c r="DA595">
        <f>IF(ISBLANK('Data Entry'!$©$595), "", 'Data Entry'!$©$595)</f>
      </c>
      <c r="DB595">
        <f>IF(ISBLANK('Data Entry'!$ª$595), "", 'Data Entry'!$ª$595)</f>
      </c>
      <c r="DC595">
        <f>IF(ISBLANK('Data Entry'!$«$595), "", 'Data Entry'!$«$595)</f>
      </c>
      <c r="DD595">
        <f>IF(ISBLANK('Data Entry'!$¬$595), "", 'Data Entry'!$¬$595)</f>
      </c>
      <c r="DE595">
        <f>IF(ISBLANK('Data Entry'!$­$595), "", 'Data Entry'!$­$595)</f>
      </c>
      <c r="DF595">
        <f>IF(ISBLANK('Data Entry'!$®$595), "", 'Data Entry'!$®$595)</f>
      </c>
      <c r="DG595">
        <f>IF(ISBLANK('Data Entry'!$¯$595), "", 'Data Entry'!$¯$595)</f>
      </c>
      <c r="DH595">
        <f>IF(ISBLANK('Data Entry'!$°$595), "", 'Data Entry'!$°$595)</f>
      </c>
      <c r="DI595">
        <f>IF(ISBLANK('Data Entry'!$±$595), "", 'Data Entry'!$±$595)</f>
      </c>
      <c r="DJ595">
        <f>IF(ISBLANK('Data Entry'!$²$595), "", 'Data Entry'!$²$595)</f>
      </c>
      <c r="DK595">
        <f>IF(ISBLANK('Data Entry'!$³$595), "", 'Data Entry'!$³$595)</f>
      </c>
      <c r="DL595">
        <f>IF(ISBLANK('Data Entry'!$´$595), "", 'Data Entry'!$´$595)</f>
      </c>
      <c r="DM595">
        <f>IF(ISBLANK('Data Entry'!$µ$595), "", 'Data Entry'!$µ$595)</f>
      </c>
      <c r="DN595">
        <f>IF(ISBLANK('Data Entry'!$¶$595), "", 'Data Entry'!$¶$595)</f>
      </c>
      <c r="DO595">
        <f>IF(ISBLANK('Data Entry'!$·$595), "", 'Data Entry'!$·$595)</f>
      </c>
      <c r="DP595">
        <f>IF(ISBLANK('Data Entry'!$¸$595), "", 'Data Entry'!$¸$595)</f>
      </c>
      <c r="DQ595">
        <f>IF(ISBLANK('Data Entry'!$¹$595), "", 'Data Entry'!$¹$595)</f>
      </c>
      <c r="DR595">
        <f>IF(ISBLANK('Data Entry'!$º$595), "", 'Data Entry'!$º$595)</f>
      </c>
      <c r="DS595">
        <f>IF(ISBLANK('Data Entry'!$»$595), "", 'Data Entry'!$»$595)</f>
      </c>
      <c r="DT595">
        <f>IF(ISBLANK('Data Entry'!$¼$595), "", 'Data Entry'!$¼$595)</f>
      </c>
      <c r="DU595">
        <f>IF(ISBLANK('Data Entry'!$½$595), "", 'Data Entry'!$½$595)</f>
      </c>
      <c r="DV595">
        <f>IF(ISBLANK('Data Entry'!$¾$595), "", 'Data Entry'!$¾$595)</f>
      </c>
      <c r="DW595">
        <f>IF(ISBLANK('Data Entry'!$¿$595), "", 'Data Entry'!$¿$595)</f>
      </c>
      <c r="DX595">
        <f>IF(ISBLANK('Data Entry'!$À$595), "", 'Data Entry'!$À$595)</f>
      </c>
      <c r="DY595">
        <f>IF(ISBLANK('Data Entry'!$Á$595), "", 'Data Entry'!$Á$595)</f>
      </c>
      <c r="DZ595">
        <f>IF(ISBLANK('Data Entry'!$Â$595), "", 'Data Entry'!$Â$595)</f>
      </c>
      <c r="EA595">
        <f>IF(ISBLANK('Data Entry'!$Ã$595), "", 'Data Entry'!$Ã$595)</f>
      </c>
      <c r="EB595">
        <f>IF(ISBLANK('Data Entry'!$Ä$595), "", 'Data Entry'!$Ä$595)</f>
      </c>
      <c r="EC595">
        <f>IF(ISBLANK('Data Entry'!$Å$595), "", 'Data Entry'!$Å$595)</f>
      </c>
      <c r="ED595">
        <f>IF(ISBLANK('Data Entry'!$Æ$595), "", 'Data Entry'!$Æ$595)</f>
      </c>
      <c r="EE595">
        <f>IF(ISBLANK('Data Entry'!$Ç$595), "", 'Data Entry'!$Ç$595)</f>
      </c>
      <c r="EF595">
        <f>IF(ISBLANK('Data Entry'!$È$595), "", 'Data Entry'!$È$595)</f>
      </c>
      <c r="EG595">
        <f>IF(ISBLANK('Data Entry'!$É$595), "", 'Data Entry'!$É$595)</f>
      </c>
      <c r="EH595">
        <f>IF(ISBLANK('Data Entry'!$Ê$595), "", 'Data Entry'!$Ê$595)</f>
      </c>
      <c r="EI595">
        <f>IF(ISBLANK('Data Entry'!$Ë$595), "", 'Data Entry'!$Ë$595)</f>
      </c>
      <c r="EJ595">
        <f>IF(ISBLANK('Data Entry'!$Ì$595), "", 'Data Entry'!$Ì$595)</f>
      </c>
      <c r="EK595">
        <f>IF(ISBLANK('Data Entry'!$Í$595), "", 'Data Entry'!$Í$595)</f>
      </c>
      <c r="EL595">
        <f>IF(ISBLANK('Data Entry'!$Î$595), "", 'Data Entry'!$Î$595)</f>
      </c>
      <c r="EM595">
        <f>IF(ISBLANK('Data Entry'!$Ï$595), "", 'Data Entry'!$Ï$595)</f>
      </c>
      <c r="EN595">
        <f>IF(ISBLANK('Data Entry'!$Ð$595), "", 'Data Entry'!$Ð$595)</f>
      </c>
      <c r="EO595">
        <f>IF(ISBLANK('Data Entry'!$Ñ$595), "", 'Data Entry'!$Ñ$595)</f>
      </c>
      <c r="EP595">
        <f>IF(ISBLANK('Data Entry'!$Ò$595), "", 'Data Entry'!$Ò$595)</f>
      </c>
      <c r="EQ595">
        <f>IF(ISBLANK('Data Entry'!$Ó$595), "", 'Data Entry'!$Ó$595)</f>
      </c>
      <c r="ER595">
        <f>IF(ISBLANK('Data Entry'!$Ô$595), "", 'Data Entry'!$Ô$595)</f>
      </c>
      <c r="ES595">
        <f>IF(ISBLANK('Data Entry'!$Õ$595), "", 'Data Entry'!$Õ$595)</f>
      </c>
      <c r="ET595">
        <f>IF(ISBLANK('Data Entry'!$Ö$595), "", 'Data Entry'!$Ö$595)</f>
      </c>
      <c r="EU595">
        <f>IF(ISBLANK('Data Entry'!$×$595), "", 'Data Entry'!$×$595)</f>
      </c>
      <c r="EV595">
        <f>IF(ISBLANK('Data Entry'!$Ø$595), "", 'Data Entry'!$Ø$595)</f>
      </c>
      <c r="EW595">
        <f>IF(ISBLANK('Data Entry'!$Ù$595), "", 'Data Entry'!$Ù$595)</f>
      </c>
      <c r="EX595">
        <f>IF(ISBLANK('Data Entry'!$Ú$595), "", 'Data Entry'!$Ú$595)</f>
      </c>
      <c r="EY595">
        <f>IF(ISBLANK('Data Entry'!$Û$595), "", 'Data Entry'!$Û$595)</f>
      </c>
      <c r="EZ595">
        <f>IF(ISBLANK('Data Entry'!$Ü$595), "", 'Data Entry'!$Ü$595)</f>
      </c>
      <c r="FA595">
        <f>IF(ISBLANK('Data Entry'!$Ý$595), "", 'Data Entry'!$Ý$595)</f>
      </c>
      <c r="FB595">
        <f>IF(ISBLANK('Data Entry'!$Þ$595), "", 'Data Entry'!$Þ$595)</f>
      </c>
      <c r="FC595">
        <f>IF(ISBLANK('Data Entry'!$ß$595), "", 'Data Entry'!$ß$595)</f>
      </c>
      <c r="FD595">
        <f>IF(ISBLANK('Data Entry'!$à$595), "", 'Data Entry'!$à$595)</f>
      </c>
      <c r="FE595">
        <f>IF(ISBLANK('Data Entry'!$á$595), "", 'Data Entry'!$á$595)</f>
      </c>
      <c r="FF595">
        <f>IF(ISBLANK('Data Entry'!$â$595), "", 'Data Entry'!$â$595)</f>
      </c>
      <c r="FG595">
        <f>IF(ISBLANK('Data Entry'!$ã$595), "", 'Data Entry'!$ã$595)</f>
      </c>
      <c r="FH595">
        <f>IF(ISBLANK('Data Entry'!$ä$595), "", 'Data Entry'!$ä$595)</f>
      </c>
      <c r="FI595">
        <f>IF(ISBLANK('Data Entry'!$å$595), "", 'Data Entry'!$å$595)</f>
      </c>
      <c r="FJ595">
        <f>IF(ISBLANK('Data Entry'!$æ$595), "", 'Data Entry'!$æ$595)</f>
      </c>
      <c r="FK595">
        <f>IF(ISBLANK('Data Entry'!$ç$595), "", 'Data Entry'!$ç$595)</f>
      </c>
      <c r="FL595">
        <f>IF(ISBLANK('Data Entry'!$è$595), "", 'Data Entry'!$è$595)</f>
      </c>
      <c r="FM595">
        <f>IF(ISBLANK('Data Entry'!$é$595), "", 'Data Entry'!$é$595)</f>
      </c>
      <c r="FN595">
        <f>IF(ISBLANK('Data Entry'!$ê$595), "", 'Data Entry'!$ê$595)</f>
      </c>
      <c r="FO595">
        <f>IF(ISBLANK('Data Entry'!$ë$595), "", 'Data Entry'!$ë$595)</f>
      </c>
      <c r="FP595">
        <f>IF(ISBLANK('Data Entry'!$ì$595), "", 'Data Entry'!$ì$595)</f>
      </c>
      <c r="FQ595">
        <f>IF(ISBLANK('Data Entry'!$í$595), "", 'Data Entry'!$í$595)</f>
      </c>
      <c r="FR595">
        <f>IF(ISBLANK('Data Entry'!$î$595), "", 'Data Entry'!$î$595)</f>
      </c>
      <c r="FS595">
        <f>IF(ISBLANK('Data Entry'!$ï$595), "", 'Data Entry'!$ï$595)</f>
      </c>
      <c r="FT595">
        <f>IF(ISBLANK('Data Entry'!$ð$595), "", 'Data Entry'!$ð$595)</f>
      </c>
      <c r="FU595">
        <f>IF(ISBLANK('Data Entry'!$ñ$595), "", 'Data Entry'!$ñ$595)</f>
      </c>
      <c r="FV595">
        <f>IF(ISBLANK('Data Entry'!$ò$595), "", 'Data Entry'!$ò$595)</f>
      </c>
      <c r="FW595">
        <f>IF(ISBLANK('Data Entry'!$ó$595), "", 'Data Entry'!$ó$595)</f>
      </c>
      <c r="FX595">
        <f>IF(ISBLANK('Data Entry'!$ô$595), "", 'Data Entry'!$ô$595)</f>
      </c>
      <c r="FY595">
        <f>IF(ISBLANK('Data Entry'!$õ$595), "", 'Data Entry'!$õ$595)</f>
      </c>
      <c r="FZ595">
        <f>IF(ISBLANK('Data Entry'!$ö$595), "", 'Data Entry'!$ö$595)</f>
      </c>
      <c r="GA595">
        <f>IF(ISBLANK('Data Entry'!$÷$595), "", 'Data Entry'!$÷$595)</f>
      </c>
      <c r="GB595">
        <f>IF(ISBLANK('Data Entry'!$ø$595), "", 'Data Entry'!$ø$595)</f>
      </c>
      <c r="GC595">
        <f>IF(ISBLANK('Data Entry'!$ù$595), "", 'Data Entry'!$ù$595)</f>
      </c>
      <c r="GD595">
        <f>IF(ISBLANK('Data Entry'!$ú$595), "", 'Data Entry'!$ú$595)</f>
      </c>
      <c r="GE595">
        <f>IF(ISBLANK('Data Entry'!$û$595), "", 'Data Entry'!$û$595)</f>
      </c>
      <c r="GF595">
        <f>IF(ISBLANK('Data Entry'!$ü$595), "", 'Data Entry'!$ü$595)</f>
      </c>
      <c r="GG595">
        <f>IF(ISBLANK('Data Entry'!$ý$595), "", 'Data Entry'!$ý$595)</f>
      </c>
      <c r="GH595">
        <f>IF(ISBLANK('Data Entry'!$þ$595), "", 'Data Entry'!$þ$595)</f>
      </c>
      <c r="GI595">
        <f>IF(ISBLANK('Data Entry'!$ÿ$595), "", 'Data Entry'!$ÿ$595)</f>
      </c>
      <c r="GJ595">
        <f>IF(ISBLANK('Data Entry'!$Ā$595), "", 'Data Entry'!$Ā$595)</f>
      </c>
      <c r="GK595">
        <f>IF(ISBLANK('Data Entry'!$ā$595), "", 'Data Entry'!$ā$595)</f>
      </c>
      <c r="GL595">
        <f>IF(ISBLANK('Data Entry'!$Ă$595), "", 'Data Entry'!$Ă$595)</f>
      </c>
      <c r="GM595">
        <f>IF(ISBLANK('Data Entry'!$ă$595), "", 'Data Entry'!$ă$595)</f>
      </c>
      <c r="GN595">
        <f>IF(ISBLANK('Data Entry'!$Ą$595), "", 'Data Entry'!$Ą$595)</f>
      </c>
      <c r="GO595">
        <f>IF(ISBLANK('Data Entry'!$ą$595), "", 'Data Entry'!$ą$595)</f>
      </c>
      <c r="GP595">
        <f>IF(ISBLANK('Data Entry'!$Ć$595), "", 'Data Entry'!$Ć$595)</f>
      </c>
      <c r="GQ595">
        <f>IF(ISBLANK('Data Entry'!$ć$595), "", 'Data Entry'!$ć$595)</f>
      </c>
      <c r="GR595">
        <f>IF(ISBLANK('Data Entry'!$Ĉ$595), "", 'Data Entry'!$Ĉ$595)</f>
      </c>
      <c r="GS595">
        <f>IF(ISBLANK('Data Entry'!$ĉ$595), "", 'Data Entry'!$ĉ$595)</f>
      </c>
      <c r="GT595">
        <f>IF(ISBLANK('Data Entry'!$Ċ$595), "", 'Data Entry'!$Ċ$595)</f>
      </c>
      <c r="GU595">
        <f>IF(ISBLANK('Data Entry'!$ċ$595), "", 'Data Entry'!$ċ$595)</f>
      </c>
      <c r="GV595">
        <f>IF(ISBLANK('Data Entry'!$Č$595), "", 'Data Entry'!$Č$595)</f>
      </c>
      <c r="GW595">
        <f>IF(ISBLANK('Data Entry'!$č$595), "", 'Data Entry'!$č$595)</f>
      </c>
      <c r="GX595">
        <f>IF(ISBLANK('Data Entry'!$Ď$595), "", 'Data Entry'!$Ď$595)</f>
      </c>
      <c r="GY595">
        <f>IF(ISBLANK('Data Entry'!$ď$595), "", 'Data Entry'!$ď$595)</f>
      </c>
      <c r="GZ595">
        <f>IF(ISBLANK('Data Entry'!$Đ$595), "", 'Data Entry'!$Đ$595)</f>
      </c>
      <c r="HA595">
        <f>IF(ISBLANK('Data Entry'!$đ$595), "", 'Data Entry'!$đ$595)</f>
      </c>
      <c r="HB595">
        <f>IF(ISBLANK('Data Entry'!$Ē$595), "", 'Data Entry'!$Ē$595)</f>
      </c>
      <c r="HC595">
        <f>IF(ISBLANK('Data Entry'!$ē$595), "", 'Data Entry'!$ē$595)</f>
      </c>
      <c r="HD595">
        <f>IF(ISBLANK('Data Entry'!$Ĕ$595), "", 'Data Entry'!$Ĕ$595)</f>
      </c>
      <c r="HE595">
        <f>IF(ISBLANK('Data Entry'!$ĕ$595), "", 'Data Entry'!$ĕ$595)</f>
      </c>
      <c r="HF595">
        <f>IF(ISBLANK('Data Entry'!$Ė$595), "", 'Data Entry'!$Ė$595)</f>
      </c>
      <c r="HG595">
        <f>IF(ISBLANK('Data Entry'!$ė$595), "", 'Data Entry'!$ė$595)</f>
      </c>
      <c r="HH595">
        <f>IF(ISBLANK('Data Entry'!$Ę$595), "", 'Data Entry'!$Ę$595)</f>
      </c>
      <c r="HI595">
        <f>IF(ISBLANK('Data Entry'!$ę$595), "", 'Data Entry'!$ę$595)</f>
      </c>
      <c r="HJ595">
        <f>IF(ISBLANK('Data Entry'!$Ě$595), "", 'Data Entry'!$Ě$595)</f>
      </c>
      <c r="HK595">
        <f>IF(ISBLANK('Data Entry'!$ě$595), "", 'Data Entry'!$ě$595)</f>
      </c>
      <c r="HL595">
        <f>IF(ISBLANK('Data Entry'!$Ĝ$595), "", 'Data Entry'!$Ĝ$595)</f>
      </c>
      <c r="HM595">
        <f>IF(ISBLANK('Data Entry'!$ĝ$595), "", 'Data Entry'!$ĝ$595)</f>
      </c>
      <c r="HN595">
        <f>IF(ISBLANK('Data Entry'!$Ğ$595), "", 'Data Entry'!$Ğ$595)</f>
      </c>
      <c r="HO595">
        <f>IF(ISBLANK('Data Entry'!$ğ$595), "", 'Data Entry'!$ğ$595)</f>
      </c>
      <c r="HP595">
        <f>IF(ISBLANK('Data Entry'!$Ġ$595), "", 'Data Entry'!$Ġ$595)</f>
      </c>
      <c r="HQ595">
        <f>IF(ISBLANK('Data Entry'!$ġ$595), "", 'Data Entry'!$ġ$595)</f>
      </c>
      <c r="HR595">
        <f>IF(ISBLANK('Data Entry'!$Ģ$595), "", 'Data Entry'!$Ģ$595)</f>
      </c>
      <c r="HS595">
        <f>IF(ISBLANK('Data Entry'!$ģ$595), "", 'Data Entry'!$ģ$595)</f>
      </c>
      <c r="HT595">
        <f>IF(ISBLANK('Data Entry'!$Ĥ$595), "", 'Data Entry'!$Ĥ$595)</f>
      </c>
      <c r="HU595">
        <f>IF(ISBLANK('Data Entry'!$ĥ$595), "", 'Data Entry'!$ĥ$595)</f>
      </c>
      <c r="HV595">
        <f>IF(ISBLANK('Data Entry'!$Ħ$595), "", 'Data Entry'!$Ħ$595)</f>
      </c>
      <c r="HW595">
        <f>IF(ISBLANK('Data Entry'!$ħ$595), "", 'Data Entry'!$ħ$595)</f>
      </c>
      <c r="HX595">
        <f>IF(ISBLANK('Data Entry'!$Ĩ$595), "", 'Data Entry'!$Ĩ$595)</f>
      </c>
      <c r="HY595">
        <f>IF(ISBLANK('Data Entry'!$ĩ$595), "", 'Data Entry'!$ĩ$595)</f>
      </c>
      <c r="HZ595">
        <f>IF(ISBLANK('Data Entry'!$Ī$595), "", 'Data Entry'!$Ī$595)</f>
      </c>
      <c r="IA595">
        <f>IF(ISBLANK('Data Entry'!$ī$595), "", 'Data Entry'!$ī$595)</f>
      </c>
      <c r="IB595">
        <f>IF(ISBLANK('Data Entry'!$Ĭ$595), "", 'Data Entry'!$Ĭ$595)</f>
      </c>
      <c r="IC595">
        <f>IF(ISBLANK('Data Entry'!$ĭ$595), "", 'Data Entry'!$ĭ$595)</f>
      </c>
      <c r="ID595">
        <f>IF(ISBLANK('Data Entry'!$Į$595), "", 'Data Entry'!$Į$595)</f>
      </c>
      <c r="IE595">
        <f>IF(ISBLANK('Data Entry'!$į$595), "", 'Data Entry'!$į$595)</f>
      </c>
      <c r="IF595">
        <f>IF(ISBLANK('Data Entry'!$İ$595), "", 'Data Entry'!$İ$595)</f>
      </c>
      <c r="IG595">
        <f>IF(ISBLANK('Data Entry'!$ı$595), "", 'Data Entry'!$ı$595)</f>
      </c>
      <c r="IH595">
        <f>IF(ISBLANK('Data Entry'!$Ĳ$595), "", 'Data Entry'!$Ĳ$595)</f>
      </c>
      <c r="II595">
        <f>IF(ISBLANK('Data Entry'!$ĳ$595), "", 'Data Entry'!$ĳ$595)</f>
      </c>
      <c r="IJ595">
        <f>IF(ISBLANK('Data Entry'!$Ĵ$595), "", 'Data Entry'!$Ĵ$595)</f>
      </c>
      <c r="IK595">
        <f>IF(ISBLANK('Data Entry'!$ĵ$595), "", 'Data Entry'!$ĵ$595)</f>
      </c>
      <c r="IL595">
        <f>IF(ISBLANK('Data Entry'!$Ķ$595), "", 'Data Entry'!$Ķ$595)</f>
      </c>
      <c r="IM595">
        <f>IF(ISBLANK('Data Entry'!$ķ$595), "", 'Data Entry'!$ķ$595)</f>
      </c>
      <c r="IN595">
        <f>IF(ISBLANK('Data Entry'!$ĸ$595), "", 'Data Entry'!$ĸ$595)</f>
      </c>
      <c r="IO595">
        <f>IF(ISBLANK('Data Entry'!$Ĺ$595), "", 'Data Entry'!$Ĺ$595)</f>
      </c>
      <c r="IP595">
        <f>IF(ISBLANK('Data Entry'!$ĺ$595), "", 'Data Entry'!$ĺ$595)</f>
      </c>
      <c r="IQ595">
        <f>IF(ISBLANK('Data Entry'!$Ļ$595), "", 'Data Entry'!$Ļ$595)</f>
      </c>
      <c r="IR595">
        <f>IF(ISBLANK('Data Entry'!$ļ$595), "", 'Data Entry'!$ļ$595)</f>
      </c>
      <c r="IS595">
        <f>IF(ISBLANK('Data Entry'!$Ľ$595), "", 'Data Entry'!$Ľ$595)</f>
      </c>
      <c r="IT595">
        <f>IF(ISBLANK('Data Entry'!$ľ$595), "", 'Data Entry'!$ľ$595)</f>
      </c>
    </row>
    <row r="596" spans="1:254" x14ac:dyDescent="0.25">
      <c r="A596">
        <f>IF(ISBLANK('Data Entry'!$A$596), "", 'Data Entry'!$A$596)</f>
      </c>
      <c r="B596">
        <f>IF(ISBLANK('Data Entry'!$B$596), "", 'Data Entry'!$B$596)</f>
      </c>
      <c r="C596">
        <f>IF(ISBLANK('Data Entry'!$C$596), "", 'Data Entry'!$C$596)</f>
      </c>
      <c r="D596">
        <f>IF(ISBLANK('Data Entry'!$D$596), "", 'Data Entry'!$D$596)</f>
      </c>
      <c r="E596">
        <f>IF(ISBLANK('Data Entry'!$E$596), "", 'Data Entry'!$E$596)</f>
      </c>
      <c r="F596">
        <f>IF(ISBLANK('Data Entry'!$F$596), "", 'Data Entry'!$F$596)</f>
      </c>
      <c r="G596">
        <f>IF(ISBLANK('Data Entry'!$G$596), "", 'Data Entry'!$G$596)</f>
      </c>
      <c r="H596">
        <f>IF(ISBLANK('Data Entry'!$H$596), "", 'Data Entry'!$H$596)</f>
      </c>
      <c r="I596">
        <f>IF(ISBLANK('Data Entry'!$I$596), "", 'Data Entry'!$I$596)</f>
      </c>
      <c r="J596">
        <f>IF(ISBLANK('Data Entry'!$J$596), "", 'Data Entry'!$J$596)</f>
      </c>
      <c r="K596">
        <f>IF(ISBLANK('Data Entry'!$K$596), "", 'Data Entry'!$K$596)</f>
      </c>
      <c r="L596">
        <f>IF(ISBLANK('Data Entry'!$L$596), "", 'Data Entry'!$L$596)</f>
      </c>
      <c r="M596">
        <f>IF(ISBLANK('Data Entry'!$M$596), "", 'Data Entry'!$M$596)</f>
      </c>
      <c r="N596">
        <f>IF(ISBLANK('Data Entry'!$N$596), "", 'Data Entry'!$N$596)</f>
      </c>
      <c r="O596">
        <f>IF(ISBLANK('Data Entry'!$O$596), "", 'Data Entry'!$O$596)</f>
      </c>
      <c r="P596">
        <f>IF(ISBLANK('Data Entry'!$P$596), "", 'Data Entry'!$P$596)</f>
      </c>
      <c r="Q596">
        <f>IF(ISBLANK('Data Entry'!$Q$596), "", 'Data Entry'!$Q$596)</f>
      </c>
      <c r="R596">
        <f>IF(ISBLANK('Data Entry'!$R$596), "", 'Data Entry'!$R$596)</f>
      </c>
      <c r="S596">
        <f>IF(ISBLANK('Data Entry'!$S$596), "", 'Data Entry'!$S$596)</f>
      </c>
      <c r="T596">
        <f>IF(ISBLANK('Data Entry'!$T$596), "", 'Data Entry'!$T$596)</f>
      </c>
      <c r="U596">
        <f>IF(ISBLANK('Data Entry'!$U$596), "", 'Data Entry'!$U$596)</f>
      </c>
      <c r="V596">
        <f>IF(ISBLANK('Data Entry'!$V$596), "", 'Data Entry'!$V$596)</f>
      </c>
      <c r="W596">
        <f>IF(ISBLANK('Data Entry'!$W$596), "", 'Data Entry'!$W$596)</f>
      </c>
      <c r="X596">
        <f>IF(ISBLANK('Data Entry'!$X$596), "", 'Data Entry'!$X$596)</f>
      </c>
      <c r="Y596">
        <f>IF(ISBLANK('Data Entry'!$Y$596), "", 'Data Entry'!$Y$596)</f>
      </c>
      <c r="Z596">
        <f>IF(ISBLANK('Data Entry'!$Z$596), "", 'Data Entry'!$Z$596)</f>
      </c>
      <c r="AA596">
        <f>IF(ISBLANK('Data Entry'!$[$596), "", 'Data Entry'!$[$596)</f>
      </c>
      <c r="AB596">
        <f>IF(ISBLANK('Data Entry'!$\$596), "", 'Data Entry'!$\$596)</f>
      </c>
      <c r="AC596">
        <f>IF(ISBLANK('Data Entry'!$]$596), "", 'Data Entry'!$]$596)</f>
      </c>
      <c r="AD596">
        <f>IF(ISBLANK('Data Entry'!$^$596), "", 'Data Entry'!$^$596)</f>
      </c>
      <c r="AE596">
        <f>IF(ISBLANK('Data Entry'!$_$596), "", 'Data Entry'!$_$596)</f>
      </c>
      <c r="AF596">
        <f>IF(ISBLANK('Data Entry'!$`$596), "", 'Data Entry'!$`$596)</f>
      </c>
      <c r="AG596">
        <f>IF(ISBLANK('Data Entry'!$a$596), "", 'Data Entry'!$a$596)</f>
      </c>
      <c r="AH596">
        <f>IF(ISBLANK('Data Entry'!$b$596), "", 'Data Entry'!$b$596)</f>
      </c>
      <c r="AI596">
        <f>IF(ISBLANK('Data Entry'!$c$596), "", 'Data Entry'!$c$596)</f>
      </c>
      <c r="AJ596">
        <f>IF(ISBLANK('Data Entry'!$d$596), "", 'Data Entry'!$d$596)</f>
      </c>
      <c r="AK596">
        <f>IF(ISBLANK('Data Entry'!$e$596), "", 'Data Entry'!$e$596)</f>
      </c>
      <c r="AL596">
        <f>IF(ISBLANK('Data Entry'!$f$596), "", 'Data Entry'!$f$596)</f>
      </c>
      <c r="AM596">
        <f>IF(ISBLANK('Data Entry'!$g$596), "", 'Data Entry'!$g$596)</f>
      </c>
      <c r="AN596">
        <f>IF(ISBLANK('Data Entry'!$h$596), "", 'Data Entry'!$h$596)</f>
      </c>
      <c r="AO596">
        <f>IF(ISBLANK('Data Entry'!$i$596), "", 'Data Entry'!$i$596)</f>
      </c>
      <c r="AP596">
        <f>IF(ISBLANK('Data Entry'!$j$596), "", 'Data Entry'!$j$596)</f>
      </c>
      <c r="AQ596">
        <f>IF(ISBLANK('Data Entry'!$k$596), "", 'Data Entry'!$k$596)</f>
      </c>
      <c r="AR596">
        <f>IF(ISBLANK('Data Entry'!$l$596), "", 'Data Entry'!$l$596)</f>
      </c>
      <c r="AS596">
        <f>IF(ISBLANK('Data Entry'!$m$596), "", 'Data Entry'!$m$596)</f>
      </c>
      <c r="AT596">
        <f>IF(ISBLANK('Data Entry'!$n$596), "", 'Data Entry'!$n$596)</f>
      </c>
      <c r="AU596">
        <f>IF(ISBLANK('Data Entry'!$o$596), "", 'Data Entry'!$o$596)</f>
      </c>
      <c r="AV596">
        <f>IF(ISBLANK('Data Entry'!$p$596), "", 'Data Entry'!$p$596)</f>
      </c>
      <c r="AW596">
        <f>IF(ISBLANK('Data Entry'!$q$596), "", 'Data Entry'!$q$596)</f>
      </c>
      <c r="AX596">
        <f>IF(ISBLANK('Data Entry'!$r$596), "", 'Data Entry'!$r$596)</f>
      </c>
      <c r="AY596">
        <f>IF(ISBLANK('Data Entry'!$s$596), "", 'Data Entry'!$s$596)</f>
      </c>
      <c r="AZ596">
        <f>IF(ISBLANK('Data Entry'!$t$596), "", 'Data Entry'!$t$596)</f>
      </c>
      <c r="BA596">
        <f>IF(ISBLANK('Data Entry'!$u$596), "", 'Data Entry'!$u$596)</f>
      </c>
      <c r="BB596">
        <f>IF(ISBLANK('Data Entry'!$v$596), "", 'Data Entry'!$v$596)</f>
      </c>
      <c r="BC596">
        <f>IF(ISBLANK('Data Entry'!$w$596), "", 'Data Entry'!$w$596)</f>
      </c>
      <c r="BD596">
        <f>IF(ISBLANK('Data Entry'!$x$596), "", 'Data Entry'!$x$596)</f>
      </c>
      <c r="BE596">
        <f>IF(ISBLANK('Data Entry'!$y$596), "", 'Data Entry'!$y$596)</f>
      </c>
      <c r="BF596">
        <f>IF(ISBLANK('Data Entry'!$z$596), "", 'Data Entry'!$z$596)</f>
      </c>
      <c r="BG596">
        <f>IF(ISBLANK('Data Entry'!${$596), "", 'Data Entry'!${$596)</f>
      </c>
      <c r="BH596">
        <f>IF(ISBLANK('Data Entry'!$|$596), "", 'Data Entry'!$|$596)</f>
      </c>
      <c r="BI596">
        <f>IF(ISBLANK('Data Entry'!$}$596), "", 'Data Entry'!$}$596)</f>
      </c>
      <c r="BJ596">
        <f>IF(ISBLANK('Data Entry'!$~$596), "", 'Data Entry'!$~$596)</f>
      </c>
      <c r="BK596">
        <f>IF(ISBLANK('Data Entry'!$$596), "", 'Data Entry'!$$596)</f>
      </c>
      <c r="BL596">
        <f>IF(ISBLANK('Data Entry'!$$596), "", 'Data Entry'!$$596)</f>
      </c>
      <c r="BM596">
        <f>IF(ISBLANK('Data Entry'!$$596), "", 'Data Entry'!$$596)</f>
      </c>
      <c r="BN596">
        <f>IF(ISBLANK('Data Entry'!$$596), "", 'Data Entry'!$$596)</f>
      </c>
      <c r="BO596">
        <f>IF(ISBLANK('Data Entry'!$$596), "", 'Data Entry'!$$596)</f>
      </c>
      <c r="BP596">
        <f>IF(ISBLANK('Data Entry'!$$596), "", 'Data Entry'!$$596)</f>
      </c>
      <c r="BQ596">
        <f>IF(ISBLANK('Data Entry'!$$596), "", 'Data Entry'!$$596)</f>
      </c>
      <c r="BR596">
        <f>IF(ISBLANK('Data Entry'!$$596), "", 'Data Entry'!$$596)</f>
      </c>
      <c r="BS596">
        <f>IF(ISBLANK('Data Entry'!$$596), "", 'Data Entry'!$$596)</f>
      </c>
      <c r="BT596">
        <f>IF(ISBLANK('Data Entry'!$$596), "", 'Data Entry'!$$596)</f>
      </c>
      <c r="BU596">
        <f>IF(ISBLANK('Data Entry'!$$596), "", 'Data Entry'!$$596)</f>
      </c>
      <c r="BV596">
        <f>IF(ISBLANK('Data Entry'!$$596), "", 'Data Entry'!$$596)</f>
      </c>
      <c r="BW596">
        <f>IF(ISBLANK('Data Entry'!$$596), "", 'Data Entry'!$$596)</f>
      </c>
      <c r="BX596">
        <f>IF(ISBLANK('Data Entry'!$$596), "", 'Data Entry'!$$596)</f>
      </c>
      <c r="BY596">
        <f>IF(ISBLANK('Data Entry'!$$596), "", 'Data Entry'!$$596)</f>
      </c>
      <c r="BZ596">
        <f>IF(ISBLANK('Data Entry'!$$596), "", 'Data Entry'!$$596)</f>
      </c>
      <c r="CA596">
        <f>IF(ISBLANK('Data Entry'!$$596), "", 'Data Entry'!$$596)</f>
      </c>
      <c r="CB596">
        <f>IF(ISBLANK('Data Entry'!$$596), "", 'Data Entry'!$$596)</f>
      </c>
      <c r="CC596">
        <f>IF(ISBLANK('Data Entry'!$$596), "", 'Data Entry'!$$596)</f>
      </c>
      <c r="CD596">
        <f>IF(ISBLANK('Data Entry'!$$596), "", 'Data Entry'!$$596)</f>
      </c>
      <c r="CE596">
        <f>IF(ISBLANK('Data Entry'!$$596), "", 'Data Entry'!$$596)</f>
      </c>
      <c r="CF596">
        <f>IF(ISBLANK('Data Entry'!$$596), "", 'Data Entry'!$$596)</f>
      </c>
      <c r="CG596">
        <f>IF(ISBLANK('Data Entry'!$$596), "", 'Data Entry'!$$596)</f>
      </c>
      <c r="CH596">
        <f>IF(ISBLANK('Data Entry'!$$596), "", 'Data Entry'!$$596)</f>
      </c>
      <c r="CI596">
        <f>IF(ISBLANK('Data Entry'!$$596), "", 'Data Entry'!$$596)</f>
      </c>
      <c r="CJ596">
        <f>IF(ISBLANK('Data Entry'!$$596), "", 'Data Entry'!$$596)</f>
      </c>
      <c r="CK596">
        <f>IF(ISBLANK('Data Entry'!$$596), "", 'Data Entry'!$$596)</f>
      </c>
      <c r="CL596">
        <f>IF(ISBLANK('Data Entry'!$$596), "", 'Data Entry'!$$596)</f>
      </c>
      <c r="CM596">
        <f>IF(ISBLANK('Data Entry'!$$596), "", 'Data Entry'!$$596)</f>
      </c>
      <c r="CN596">
        <f>IF(ISBLANK('Data Entry'!$$596), "", 'Data Entry'!$$596)</f>
      </c>
      <c r="CO596">
        <f>IF(ISBLANK('Data Entry'!$$596), "", 'Data Entry'!$$596)</f>
      </c>
      <c r="CP596">
        <f>IF(ISBLANK('Data Entry'!$$596), "", 'Data Entry'!$$596)</f>
      </c>
      <c r="CQ596">
        <f>IF(ISBLANK('Data Entry'!$$596), "", 'Data Entry'!$$596)</f>
      </c>
      <c r="CR596">
        <f>IF(ISBLANK('Data Entry'!$ $596), "", 'Data Entry'!$ $596)</f>
      </c>
      <c r="CS596">
        <f>IF(ISBLANK('Data Entry'!$¡$596), "", 'Data Entry'!$¡$596)</f>
      </c>
      <c r="CT596">
        <f>IF(ISBLANK('Data Entry'!$¢$596), "", 'Data Entry'!$¢$596)</f>
      </c>
      <c r="CU596">
        <f>IF(ISBLANK('Data Entry'!$£$596), "", 'Data Entry'!$£$596)</f>
      </c>
      <c r="CV596">
        <f>IF(ISBLANK('Data Entry'!$¤$596), "", 'Data Entry'!$¤$596)</f>
      </c>
      <c r="CW596">
        <f>IF(ISBLANK('Data Entry'!$¥$596), "", 'Data Entry'!$¥$596)</f>
      </c>
      <c r="CX596">
        <f>IF(ISBLANK('Data Entry'!$¦$596), "", 'Data Entry'!$¦$596)</f>
      </c>
      <c r="CY596">
        <f>IF(ISBLANK('Data Entry'!$§$596), "", 'Data Entry'!$§$596)</f>
      </c>
      <c r="CZ596">
        <f>IF(ISBLANK('Data Entry'!$¨$596), "", 'Data Entry'!$¨$596)</f>
      </c>
      <c r="DA596">
        <f>IF(ISBLANK('Data Entry'!$©$596), "", 'Data Entry'!$©$596)</f>
      </c>
      <c r="DB596">
        <f>IF(ISBLANK('Data Entry'!$ª$596), "", 'Data Entry'!$ª$596)</f>
      </c>
      <c r="DC596">
        <f>IF(ISBLANK('Data Entry'!$«$596), "", 'Data Entry'!$«$596)</f>
      </c>
      <c r="DD596">
        <f>IF(ISBLANK('Data Entry'!$¬$596), "", 'Data Entry'!$¬$596)</f>
      </c>
      <c r="DE596">
        <f>IF(ISBLANK('Data Entry'!$­$596), "", 'Data Entry'!$­$596)</f>
      </c>
      <c r="DF596">
        <f>IF(ISBLANK('Data Entry'!$®$596), "", 'Data Entry'!$®$596)</f>
      </c>
      <c r="DG596">
        <f>IF(ISBLANK('Data Entry'!$¯$596), "", 'Data Entry'!$¯$596)</f>
      </c>
      <c r="DH596">
        <f>IF(ISBLANK('Data Entry'!$°$596), "", 'Data Entry'!$°$596)</f>
      </c>
      <c r="DI596">
        <f>IF(ISBLANK('Data Entry'!$±$596), "", 'Data Entry'!$±$596)</f>
      </c>
      <c r="DJ596">
        <f>IF(ISBLANK('Data Entry'!$²$596), "", 'Data Entry'!$²$596)</f>
      </c>
      <c r="DK596">
        <f>IF(ISBLANK('Data Entry'!$³$596), "", 'Data Entry'!$³$596)</f>
      </c>
      <c r="DL596">
        <f>IF(ISBLANK('Data Entry'!$´$596), "", 'Data Entry'!$´$596)</f>
      </c>
      <c r="DM596">
        <f>IF(ISBLANK('Data Entry'!$µ$596), "", 'Data Entry'!$µ$596)</f>
      </c>
      <c r="DN596">
        <f>IF(ISBLANK('Data Entry'!$¶$596), "", 'Data Entry'!$¶$596)</f>
      </c>
      <c r="DO596">
        <f>IF(ISBLANK('Data Entry'!$·$596), "", 'Data Entry'!$·$596)</f>
      </c>
      <c r="DP596">
        <f>IF(ISBLANK('Data Entry'!$¸$596), "", 'Data Entry'!$¸$596)</f>
      </c>
      <c r="DQ596">
        <f>IF(ISBLANK('Data Entry'!$¹$596), "", 'Data Entry'!$¹$596)</f>
      </c>
      <c r="DR596">
        <f>IF(ISBLANK('Data Entry'!$º$596), "", 'Data Entry'!$º$596)</f>
      </c>
      <c r="DS596">
        <f>IF(ISBLANK('Data Entry'!$»$596), "", 'Data Entry'!$»$596)</f>
      </c>
      <c r="DT596">
        <f>IF(ISBLANK('Data Entry'!$¼$596), "", 'Data Entry'!$¼$596)</f>
      </c>
      <c r="DU596">
        <f>IF(ISBLANK('Data Entry'!$½$596), "", 'Data Entry'!$½$596)</f>
      </c>
      <c r="DV596">
        <f>IF(ISBLANK('Data Entry'!$¾$596), "", 'Data Entry'!$¾$596)</f>
      </c>
      <c r="DW596">
        <f>IF(ISBLANK('Data Entry'!$¿$596), "", 'Data Entry'!$¿$596)</f>
      </c>
      <c r="DX596">
        <f>IF(ISBLANK('Data Entry'!$À$596), "", 'Data Entry'!$À$596)</f>
      </c>
      <c r="DY596">
        <f>IF(ISBLANK('Data Entry'!$Á$596), "", 'Data Entry'!$Á$596)</f>
      </c>
      <c r="DZ596">
        <f>IF(ISBLANK('Data Entry'!$Â$596), "", 'Data Entry'!$Â$596)</f>
      </c>
      <c r="EA596">
        <f>IF(ISBLANK('Data Entry'!$Ã$596), "", 'Data Entry'!$Ã$596)</f>
      </c>
      <c r="EB596">
        <f>IF(ISBLANK('Data Entry'!$Ä$596), "", 'Data Entry'!$Ä$596)</f>
      </c>
      <c r="EC596">
        <f>IF(ISBLANK('Data Entry'!$Å$596), "", 'Data Entry'!$Å$596)</f>
      </c>
      <c r="ED596">
        <f>IF(ISBLANK('Data Entry'!$Æ$596), "", 'Data Entry'!$Æ$596)</f>
      </c>
      <c r="EE596">
        <f>IF(ISBLANK('Data Entry'!$Ç$596), "", 'Data Entry'!$Ç$596)</f>
      </c>
      <c r="EF596">
        <f>IF(ISBLANK('Data Entry'!$È$596), "", 'Data Entry'!$È$596)</f>
      </c>
      <c r="EG596">
        <f>IF(ISBLANK('Data Entry'!$É$596), "", 'Data Entry'!$É$596)</f>
      </c>
      <c r="EH596">
        <f>IF(ISBLANK('Data Entry'!$Ê$596), "", 'Data Entry'!$Ê$596)</f>
      </c>
      <c r="EI596">
        <f>IF(ISBLANK('Data Entry'!$Ë$596), "", 'Data Entry'!$Ë$596)</f>
      </c>
      <c r="EJ596">
        <f>IF(ISBLANK('Data Entry'!$Ì$596), "", 'Data Entry'!$Ì$596)</f>
      </c>
      <c r="EK596">
        <f>IF(ISBLANK('Data Entry'!$Í$596), "", 'Data Entry'!$Í$596)</f>
      </c>
      <c r="EL596">
        <f>IF(ISBLANK('Data Entry'!$Î$596), "", 'Data Entry'!$Î$596)</f>
      </c>
      <c r="EM596">
        <f>IF(ISBLANK('Data Entry'!$Ï$596), "", 'Data Entry'!$Ï$596)</f>
      </c>
      <c r="EN596">
        <f>IF(ISBLANK('Data Entry'!$Ð$596), "", 'Data Entry'!$Ð$596)</f>
      </c>
      <c r="EO596">
        <f>IF(ISBLANK('Data Entry'!$Ñ$596), "", 'Data Entry'!$Ñ$596)</f>
      </c>
      <c r="EP596">
        <f>IF(ISBLANK('Data Entry'!$Ò$596), "", 'Data Entry'!$Ò$596)</f>
      </c>
      <c r="EQ596">
        <f>IF(ISBLANK('Data Entry'!$Ó$596), "", 'Data Entry'!$Ó$596)</f>
      </c>
      <c r="ER596">
        <f>IF(ISBLANK('Data Entry'!$Ô$596), "", 'Data Entry'!$Ô$596)</f>
      </c>
      <c r="ES596">
        <f>IF(ISBLANK('Data Entry'!$Õ$596), "", 'Data Entry'!$Õ$596)</f>
      </c>
      <c r="ET596">
        <f>IF(ISBLANK('Data Entry'!$Ö$596), "", 'Data Entry'!$Ö$596)</f>
      </c>
      <c r="EU596">
        <f>IF(ISBLANK('Data Entry'!$×$596), "", 'Data Entry'!$×$596)</f>
      </c>
      <c r="EV596">
        <f>IF(ISBLANK('Data Entry'!$Ø$596), "", 'Data Entry'!$Ø$596)</f>
      </c>
      <c r="EW596">
        <f>IF(ISBLANK('Data Entry'!$Ù$596), "", 'Data Entry'!$Ù$596)</f>
      </c>
      <c r="EX596">
        <f>IF(ISBLANK('Data Entry'!$Ú$596), "", 'Data Entry'!$Ú$596)</f>
      </c>
      <c r="EY596">
        <f>IF(ISBLANK('Data Entry'!$Û$596), "", 'Data Entry'!$Û$596)</f>
      </c>
      <c r="EZ596">
        <f>IF(ISBLANK('Data Entry'!$Ü$596), "", 'Data Entry'!$Ü$596)</f>
      </c>
      <c r="FA596">
        <f>IF(ISBLANK('Data Entry'!$Ý$596), "", 'Data Entry'!$Ý$596)</f>
      </c>
      <c r="FB596">
        <f>IF(ISBLANK('Data Entry'!$Þ$596), "", 'Data Entry'!$Þ$596)</f>
      </c>
      <c r="FC596">
        <f>IF(ISBLANK('Data Entry'!$ß$596), "", 'Data Entry'!$ß$596)</f>
      </c>
      <c r="FD596">
        <f>IF(ISBLANK('Data Entry'!$à$596), "", 'Data Entry'!$à$596)</f>
      </c>
      <c r="FE596">
        <f>IF(ISBLANK('Data Entry'!$á$596), "", 'Data Entry'!$á$596)</f>
      </c>
      <c r="FF596">
        <f>IF(ISBLANK('Data Entry'!$â$596), "", 'Data Entry'!$â$596)</f>
      </c>
      <c r="FG596">
        <f>IF(ISBLANK('Data Entry'!$ã$596), "", 'Data Entry'!$ã$596)</f>
      </c>
      <c r="FH596">
        <f>IF(ISBLANK('Data Entry'!$ä$596), "", 'Data Entry'!$ä$596)</f>
      </c>
      <c r="FI596">
        <f>IF(ISBLANK('Data Entry'!$å$596), "", 'Data Entry'!$å$596)</f>
      </c>
      <c r="FJ596">
        <f>IF(ISBLANK('Data Entry'!$æ$596), "", 'Data Entry'!$æ$596)</f>
      </c>
      <c r="FK596">
        <f>IF(ISBLANK('Data Entry'!$ç$596), "", 'Data Entry'!$ç$596)</f>
      </c>
      <c r="FL596">
        <f>IF(ISBLANK('Data Entry'!$è$596), "", 'Data Entry'!$è$596)</f>
      </c>
      <c r="FM596">
        <f>IF(ISBLANK('Data Entry'!$é$596), "", 'Data Entry'!$é$596)</f>
      </c>
      <c r="FN596">
        <f>IF(ISBLANK('Data Entry'!$ê$596), "", 'Data Entry'!$ê$596)</f>
      </c>
      <c r="FO596">
        <f>IF(ISBLANK('Data Entry'!$ë$596), "", 'Data Entry'!$ë$596)</f>
      </c>
      <c r="FP596">
        <f>IF(ISBLANK('Data Entry'!$ì$596), "", 'Data Entry'!$ì$596)</f>
      </c>
      <c r="FQ596">
        <f>IF(ISBLANK('Data Entry'!$í$596), "", 'Data Entry'!$í$596)</f>
      </c>
      <c r="FR596">
        <f>IF(ISBLANK('Data Entry'!$î$596), "", 'Data Entry'!$î$596)</f>
      </c>
      <c r="FS596">
        <f>IF(ISBLANK('Data Entry'!$ï$596), "", 'Data Entry'!$ï$596)</f>
      </c>
      <c r="FT596">
        <f>IF(ISBLANK('Data Entry'!$ð$596), "", 'Data Entry'!$ð$596)</f>
      </c>
      <c r="FU596">
        <f>IF(ISBLANK('Data Entry'!$ñ$596), "", 'Data Entry'!$ñ$596)</f>
      </c>
      <c r="FV596">
        <f>IF(ISBLANK('Data Entry'!$ò$596), "", 'Data Entry'!$ò$596)</f>
      </c>
      <c r="FW596">
        <f>IF(ISBLANK('Data Entry'!$ó$596), "", 'Data Entry'!$ó$596)</f>
      </c>
      <c r="FX596">
        <f>IF(ISBLANK('Data Entry'!$ô$596), "", 'Data Entry'!$ô$596)</f>
      </c>
      <c r="FY596">
        <f>IF(ISBLANK('Data Entry'!$õ$596), "", 'Data Entry'!$õ$596)</f>
      </c>
      <c r="FZ596">
        <f>IF(ISBLANK('Data Entry'!$ö$596), "", 'Data Entry'!$ö$596)</f>
      </c>
      <c r="GA596">
        <f>IF(ISBLANK('Data Entry'!$÷$596), "", 'Data Entry'!$÷$596)</f>
      </c>
      <c r="GB596">
        <f>IF(ISBLANK('Data Entry'!$ø$596), "", 'Data Entry'!$ø$596)</f>
      </c>
      <c r="GC596">
        <f>IF(ISBLANK('Data Entry'!$ù$596), "", 'Data Entry'!$ù$596)</f>
      </c>
      <c r="GD596">
        <f>IF(ISBLANK('Data Entry'!$ú$596), "", 'Data Entry'!$ú$596)</f>
      </c>
      <c r="GE596">
        <f>IF(ISBLANK('Data Entry'!$û$596), "", 'Data Entry'!$û$596)</f>
      </c>
      <c r="GF596">
        <f>IF(ISBLANK('Data Entry'!$ü$596), "", 'Data Entry'!$ü$596)</f>
      </c>
      <c r="GG596">
        <f>IF(ISBLANK('Data Entry'!$ý$596), "", 'Data Entry'!$ý$596)</f>
      </c>
      <c r="GH596">
        <f>IF(ISBLANK('Data Entry'!$þ$596), "", 'Data Entry'!$þ$596)</f>
      </c>
      <c r="GI596">
        <f>IF(ISBLANK('Data Entry'!$ÿ$596), "", 'Data Entry'!$ÿ$596)</f>
      </c>
      <c r="GJ596">
        <f>IF(ISBLANK('Data Entry'!$Ā$596), "", 'Data Entry'!$Ā$596)</f>
      </c>
      <c r="GK596">
        <f>IF(ISBLANK('Data Entry'!$ā$596), "", 'Data Entry'!$ā$596)</f>
      </c>
      <c r="GL596">
        <f>IF(ISBLANK('Data Entry'!$Ă$596), "", 'Data Entry'!$Ă$596)</f>
      </c>
      <c r="GM596">
        <f>IF(ISBLANK('Data Entry'!$ă$596), "", 'Data Entry'!$ă$596)</f>
      </c>
      <c r="GN596">
        <f>IF(ISBLANK('Data Entry'!$Ą$596), "", 'Data Entry'!$Ą$596)</f>
      </c>
      <c r="GO596">
        <f>IF(ISBLANK('Data Entry'!$ą$596), "", 'Data Entry'!$ą$596)</f>
      </c>
      <c r="GP596">
        <f>IF(ISBLANK('Data Entry'!$Ć$596), "", 'Data Entry'!$Ć$596)</f>
      </c>
      <c r="GQ596">
        <f>IF(ISBLANK('Data Entry'!$ć$596), "", 'Data Entry'!$ć$596)</f>
      </c>
      <c r="GR596">
        <f>IF(ISBLANK('Data Entry'!$Ĉ$596), "", 'Data Entry'!$Ĉ$596)</f>
      </c>
      <c r="GS596">
        <f>IF(ISBLANK('Data Entry'!$ĉ$596), "", 'Data Entry'!$ĉ$596)</f>
      </c>
      <c r="GT596">
        <f>IF(ISBLANK('Data Entry'!$Ċ$596), "", 'Data Entry'!$Ċ$596)</f>
      </c>
      <c r="GU596">
        <f>IF(ISBLANK('Data Entry'!$ċ$596), "", 'Data Entry'!$ċ$596)</f>
      </c>
      <c r="GV596">
        <f>IF(ISBLANK('Data Entry'!$Č$596), "", 'Data Entry'!$Č$596)</f>
      </c>
      <c r="GW596">
        <f>IF(ISBLANK('Data Entry'!$č$596), "", 'Data Entry'!$č$596)</f>
      </c>
      <c r="GX596">
        <f>IF(ISBLANK('Data Entry'!$Ď$596), "", 'Data Entry'!$Ď$596)</f>
      </c>
      <c r="GY596">
        <f>IF(ISBLANK('Data Entry'!$ď$596), "", 'Data Entry'!$ď$596)</f>
      </c>
      <c r="GZ596">
        <f>IF(ISBLANK('Data Entry'!$Đ$596), "", 'Data Entry'!$Đ$596)</f>
      </c>
      <c r="HA596">
        <f>IF(ISBLANK('Data Entry'!$đ$596), "", 'Data Entry'!$đ$596)</f>
      </c>
      <c r="HB596">
        <f>IF(ISBLANK('Data Entry'!$Ē$596), "", 'Data Entry'!$Ē$596)</f>
      </c>
      <c r="HC596">
        <f>IF(ISBLANK('Data Entry'!$ē$596), "", 'Data Entry'!$ē$596)</f>
      </c>
      <c r="HD596">
        <f>IF(ISBLANK('Data Entry'!$Ĕ$596), "", 'Data Entry'!$Ĕ$596)</f>
      </c>
      <c r="HE596">
        <f>IF(ISBLANK('Data Entry'!$ĕ$596), "", 'Data Entry'!$ĕ$596)</f>
      </c>
      <c r="HF596">
        <f>IF(ISBLANK('Data Entry'!$Ė$596), "", 'Data Entry'!$Ė$596)</f>
      </c>
      <c r="HG596">
        <f>IF(ISBLANK('Data Entry'!$ė$596), "", 'Data Entry'!$ė$596)</f>
      </c>
      <c r="HH596">
        <f>IF(ISBLANK('Data Entry'!$Ę$596), "", 'Data Entry'!$Ę$596)</f>
      </c>
      <c r="HI596">
        <f>IF(ISBLANK('Data Entry'!$ę$596), "", 'Data Entry'!$ę$596)</f>
      </c>
      <c r="HJ596">
        <f>IF(ISBLANK('Data Entry'!$Ě$596), "", 'Data Entry'!$Ě$596)</f>
      </c>
      <c r="HK596">
        <f>IF(ISBLANK('Data Entry'!$ě$596), "", 'Data Entry'!$ě$596)</f>
      </c>
      <c r="HL596">
        <f>IF(ISBLANK('Data Entry'!$Ĝ$596), "", 'Data Entry'!$Ĝ$596)</f>
      </c>
      <c r="HM596">
        <f>IF(ISBLANK('Data Entry'!$ĝ$596), "", 'Data Entry'!$ĝ$596)</f>
      </c>
      <c r="HN596">
        <f>IF(ISBLANK('Data Entry'!$Ğ$596), "", 'Data Entry'!$Ğ$596)</f>
      </c>
      <c r="HO596">
        <f>IF(ISBLANK('Data Entry'!$ğ$596), "", 'Data Entry'!$ğ$596)</f>
      </c>
      <c r="HP596">
        <f>IF(ISBLANK('Data Entry'!$Ġ$596), "", 'Data Entry'!$Ġ$596)</f>
      </c>
      <c r="HQ596">
        <f>IF(ISBLANK('Data Entry'!$ġ$596), "", 'Data Entry'!$ġ$596)</f>
      </c>
      <c r="HR596">
        <f>IF(ISBLANK('Data Entry'!$Ģ$596), "", 'Data Entry'!$Ģ$596)</f>
      </c>
      <c r="HS596">
        <f>IF(ISBLANK('Data Entry'!$ģ$596), "", 'Data Entry'!$ģ$596)</f>
      </c>
      <c r="HT596">
        <f>IF(ISBLANK('Data Entry'!$Ĥ$596), "", 'Data Entry'!$Ĥ$596)</f>
      </c>
      <c r="HU596">
        <f>IF(ISBLANK('Data Entry'!$ĥ$596), "", 'Data Entry'!$ĥ$596)</f>
      </c>
      <c r="HV596">
        <f>IF(ISBLANK('Data Entry'!$Ħ$596), "", 'Data Entry'!$Ħ$596)</f>
      </c>
      <c r="HW596">
        <f>IF(ISBLANK('Data Entry'!$ħ$596), "", 'Data Entry'!$ħ$596)</f>
      </c>
      <c r="HX596">
        <f>IF(ISBLANK('Data Entry'!$Ĩ$596), "", 'Data Entry'!$Ĩ$596)</f>
      </c>
      <c r="HY596">
        <f>IF(ISBLANK('Data Entry'!$ĩ$596), "", 'Data Entry'!$ĩ$596)</f>
      </c>
      <c r="HZ596">
        <f>IF(ISBLANK('Data Entry'!$Ī$596), "", 'Data Entry'!$Ī$596)</f>
      </c>
      <c r="IA596">
        <f>IF(ISBLANK('Data Entry'!$ī$596), "", 'Data Entry'!$ī$596)</f>
      </c>
      <c r="IB596">
        <f>IF(ISBLANK('Data Entry'!$Ĭ$596), "", 'Data Entry'!$Ĭ$596)</f>
      </c>
      <c r="IC596">
        <f>IF(ISBLANK('Data Entry'!$ĭ$596), "", 'Data Entry'!$ĭ$596)</f>
      </c>
      <c r="ID596">
        <f>IF(ISBLANK('Data Entry'!$Į$596), "", 'Data Entry'!$Į$596)</f>
      </c>
      <c r="IE596">
        <f>IF(ISBLANK('Data Entry'!$į$596), "", 'Data Entry'!$į$596)</f>
      </c>
      <c r="IF596">
        <f>IF(ISBLANK('Data Entry'!$İ$596), "", 'Data Entry'!$İ$596)</f>
      </c>
      <c r="IG596">
        <f>IF(ISBLANK('Data Entry'!$ı$596), "", 'Data Entry'!$ı$596)</f>
      </c>
      <c r="IH596">
        <f>IF(ISBLANK('Data Entry'!$Ĳ$596), "", 'Data Entry'!$Ĳ$596)</f>
      </c>
      <c r="II596">
        <f>IF(ISBLANK('Data Entry'!$ĳ$596), "", 'Data Entry'!$ĳ$596)</f>
      </c>
      <c r="IJ596">
        <f>IF(ISBLANK('Data Entry'!$Ĵ$596), "", 'Data Entry'!$Ĵ$596)</f>
      </c>
      <c r="IK596">
        <f>IF(ISBLANK('Data Entry'!$ĵ$596), "", 'Data Entry'!$ĵ$596)</f>
      </c>
      <c r="IL596">
        <f>IF(ISBLANK('Data Entry'!$Ķ$596), "", 'Data Entry'!$Ķ$596)</f>
      </c>
      <c r="IM596">
        <f>IF(ISBLANK('Data Entry'!$ķ$596), "", 'Data Entry'!$ķ$596)</f>
      </c>
      <c r="IN596">
        <f>IF(ISBLANK('Data Entry'!$ĸ$596), "", 'Data Entry'!$ĸ$596)</f>
      </c>
      <c r="IO596">
        <f>IF(ISBLANK('Data Entry'!$Ĺ$596), "", 'Data Entry'!$Ĺ$596)</f>
      </c>
      <c r="IP596">
        <f>IF(ISBLANK('Data Entry'!$ĺ$596), "", 'Data Entry'!$ĺ$596)</f>
      </c>
      <c r="IQ596">
        <f>IF(ISBLANK('Data Entry'!$Ļ$596), "", 'Data Entry'!$Ļ$596)</f>
      </c>
      <c r="IR596">
        <f>IF(ISBLANK('Data Entry'!$ļ$596), "", 'Data Entry'!$ļ$596)</f>
      </c>
      <c r="IS596">
        <f>IF(ISBLANK('Data Entry'!$Ľ$596), "", 'Data Entry'!$Ľ$596)</f>
      </c>
      <c r="IT596">
        <f>IF(ISBLANK('Data Entry'!$ľ$596), "", 'Data Entry'!$ľ$596)</f>
      </c>
    </row>
    <row r="597" spans="1:254" x14ac:dyDescent="0.25">
      <c r="A597">
        <f>IF(ISBLANK('Data Entry'!$A$597), "", 'Data Entry'!$A$597)</f>
      </c>
      <c r="B597">
        <f>IF(ISBLANK('Data Entry'!$B$597), "", 'Data Entry'!$B$597)</f>
      </c>
      <c r="C597">
        <f>IF(ISBLANK('Data Entry'!$C$597), "", 'Data Entry'!$C$597)</f>
      </c>
      <c r="D597">
        <f>IF(ISBLANK('Data Entry'!$D$597), "", 'Data Entry'!$D$597)</f>
      </c>
      <c r="E597">
        <f>IF(ISBLANK('Data Entry'!$E$597), "", 'Data Entry'!$E$597)</f>
      </c>
      <c r="F597">
        <f>IF(ISBLANK('Data Entry'!$F$597), "", 'Data Entry'!$F$597)</f>
      </c>
      <c r="G597">
        <f>IF(ISBLANK('Data Entry'!$G$597), "", 'Data Entry'!$G$597)</f>
      </c>
      <c r="H597">
        <f>IF(ISBLANK('Data Entry'!$H$597), "", 'Data Entry'!$H$597)</f>
      </c>
      <c r="I597">
        <f>IF(ISBLANK('Data Entry'!$I$597), "", 'Data Entry'!$I$597)</f>
      </c>
      <c r="J597">
        <f>IF(ISBLANK('Data Entry'!$J$597), "", 'Data Entry'!$J$597)</f>
      </c>
      <c r="K597">
        <f>IF(ISBLANK('Data Entry'!$K$597), "", 'Data Entry'!$K$597)</f>
      </c>
      <c r="L597">
        <f>IF(ISBLANK('Data Entry'!$L$597), "", 'Data Entry'!$L$597)</f>
      </c>
      <c r="M597">
        <f>IF(ISBLANK('Data Entry'!$M$597), "", 'Data Entry'!$M$597)</f>
      </c>
      <c r="N597">
        <f>IF(ISBLANK('Data Entry'!$N$597), "", 'Data Entry'!$N$597)</f>
      </c>
      <c r="O597">
        <f>IF(ISBLANK('Data Entry'!$O$597), "", 'Data Entry'!$O$597)</f>
      </c>
      <c r="P597">
        <f>IF(ISBLANK('Data Entry'!$P$597), "", 'Data Entry'!$P$597)</f>
      </c>
      <c r="Q597">
        <f>IF(ISBLANK('Data Entry'!$Q$597), "", 'Data Entry'!$Q$597)</f>
      </c>
      <c r="R597">
        <f>IF(ISBLANK('Data Entry'!$R$597), "", 'Data Entry'!$R$597)</f>
      </c>
      <c r="S597">
        <f>IF(ISBLANK('Data Entry'!$S$597), "", 'Data Entry'!$S$597)</f>
      </c>
      <c r="T597">
        <f>IF(ISBLANK('Data Entry'!$T$597), "", 'Data Entry'!$T$597)</f>
      </c>
      <c r="U597">
        <f>IF(ISBLANK('Data Entry'!$U$597), "", 'Data Entry'!$U$597)</f>
      </c>
      <c r="V597">
        <f>IF(ISBLANK('Data Entry'!$V$597), "", 'Data Entry'!$V$597)</f>
      </c>
      <c r="W597">
        <f>IF(ISBLANK('Data Entry'!$W$597), "", 'Data Entry'!$W$597)</f>
      </c>
      <c r="X597">
        <f>IF(ISBLANK('Data Entry'!$X$597), "", 'Data Entry'!$X$597)</f>
      </c>
      <c r="Y597">
        <f>IF(ISBLANK('Data Entry'!$Y$597), "", 'Data Entry'!$Y$597)</f>
      </c>
      <c r="Z597">
        <f>IF(ISBLANK('Data Entry'!$Z$597), "", 'Data Entry'!$Z$597)</f>
      </c>
      <c r="AA597">
        <f>IF(ISBLANK('Data Entry'!$[$597), "", 'Data Entry'!$[$597)</f>
      </c>
      <c r="AB597">
        <f>IF(ISBLANK('Data Entry'!$\$597), "", 'Data Entry'!$\$597)</f>
      </c>
      <c r="AC597">
        <f>IF(ISBLANK('Data Entry'!$]$597), "", 'Data Entry'!$]$597)</f>
      </c>
      <c r="AD597">
        <f>IF(ISBLANK('Data Entry'!$^$597), "", 'Data Entry'!$^$597)</f>
      </c>
      <c r="AE597">
        <f>IF(ISBLANK('Data Entry'!$_$597), "", 'Data Entry'!$_$597)</f>
      </c>
      <c r="AF597">
        <f>IF(ISBLANK('Data Entry'!$`$597), "", 'Data Entry'!$`$597)</f>
      </c>
      <c r="AG597">
        <f>IF(ISBLANK('Data Entry'!$a$597), "", 'Data Entry'!$a$597)</f>
      </c>
      <c r="AH597">
        <f>IF(ISBLANK('Data Entry'!$b$597), "", 'Data Entry'!$b$597)</f>
      </c>
      <c r="AI597">
        <f>IF(ISBLANK('Data Entry'!$c$597), "", 'Data Entry'!$c$597)</f>
      </c>
      <c r="AJ597">
        <f>IF(ISBLANK('Data Entry'!$d$597), "", 'Data Entry'!$d$597)</f>
      </c>
      <c r="AK597">
        <f>IF(ISBLANK('Data Entry'!$e$597), "", 'Data Entry'!$e$597)</f>
      </c>
      <c r="AL597">
        <f>IF(ISBLANK('Data Entry'!$f$597), "", 'Data Entry'!$f$597)</f>
      </c>
      <c r="AM597">
        <f>IF(ISBLANK('Data Entry'!$g$597), "", 'Data Entry'!$g$597)</f>
      </c>
      <c r="AN597">
        <f>IF(ISBLANK('Data Entry'!$h$597), "", 'Data Entry'!$h$597)</f>
      </c>
      <c r="AO597">
        <f>IF(ISBLANK('Data Entry'!$i$597), "", 'Data Entry'!$i$597)</f>
      </c>
      <c r="AP597">
        <f>IF(ISBLANK('Data Entry'!$j$597), "", 'Data Entry'!$j$597)</f>
      </c>
      <c r="AQ597">
        <f>IF(ISBLANK('Data Entry'!$k$597), "", 'Data Entry'!$k$597)</f>
      </c>
      <c r="AR597">
        <f>IF(ISBLANK('Data Entry'!$l$597), "", 'Data Entry'!$l$597)</f>
      </c>
      <c r="AS597">
        <f>IF(ISBLANK('Data Entry'!$m$597), "", 'Data Entry'!$m$597)</f>
      </c>
      <c r="AT597">
        <f>IF(ISBLANK('Data Entry'!$n$597), "", 'Data Entry'!$n$597)</f>
      </c>
      <c r="AU597">
        <f>IF(ISBLANK('Data Entry'!$o$597), "", 'Data Entry'!$o$597)</f>
      </c>
      <c r="AV597">
        <f>IF(ISBLANK('Data Entry'!$p$597), "", 'Data Entry'!$p$597)</f>
      </c>
      <c r="AW597">
        <f>IF(ISBLANK('Data Entry'!$q$597), "", 'Data Entry'!$q$597)</f>
      </c>
      <c r="AX597">
        <f>IF(ISBLANK('Data Entry'!$r$597), "", 'Data Entry'!$r$597)</f>
      </c>
      <c r="AY597">
        <f>IF(ISBLANK('Data Entry'!$s$597), "", 'Data Entry'!$s$597)</f>
      </c>
      <c r="AZ597">
        <f>IF(ISBLANK('Data Entry'!$t$597), "", 'Data Entry'!$t$597)</f>
      </c>
      <c r="BA597">
        <f>IF(ISBLANK('Data Entry'!$u$597), "", 'Data Entry'!$u$597)</f>
      </c>
      <c r="BB597">
        <f>IF(ISBLANK('Data Entry'!$v$597), "", 'Data Entry'!$v$597)</f>
      </c>
      <c r="BC597">
        <f>IF(ISBLANK('Data Entry'!$w$597), "", 'Data Entry'!$w$597)</f>
      </c>
      <c r="BD597">
        <f>IF(ISBLANK('Data Entry'!$x$597), "", 'Data Entry'!$x$597)</f>
      </c>
      <c r="BE597">
        <f>IF(ISBLANK('Data Entry'!$y$597), "", 'Data Entry'!$y$597)</f>
      </c>
      <c r="BF597">
        <f>IF(ISBLANK('Data Entry'!$z$597), "", 'Data Entry'!$z$597)</f>
      </c>
      <c r="BG597">
        <f>IF(ISBLANK('Data Entry'!${$597), "", 'Data Entry'!${$597)</f>
      </c>
      <c r="BH597">
        <f>IF(ISBLANK('Data Entry'!$|$597), "", 'Data Entry'!$|$597)</f>
      </c>
      <c r="BI597">
        <f>IF(ISBLANK('Data Entry'!$}$597), "", 'Data Entry'!$}$597)</f>
      </c>
      <c r="BJ597">
        <f>IF(ISBLANK('Data Entry'!$~$597), "", 'Data Entry'!$~$597)</f>
      </c>
      <c r="BK597">
        <f>IF(ISBLANK('Data Entry'!$$597), "", 'Data Entry'!$$597)</f>
      </c>
      <c r="BL597">
        <f>IF(ISBLANK('Data Entry'!$$597), "", 'Data Entry'!$$597)</f>
      </c>
      <c r="BM597">
        <f>IF(ISBLANK('Data Entry'!$$597), "", 'Data Entry'!$$597)</f>
      </c>
      <c r="BN597">
        <f>IF(ISBLANK('Data Entry'!$$597), "", 'Data Entry'!$$597)</f>
      </c>
      <c r="BO597">
        <f>IF(ISBLANK('Data Entry'!$$597), "", 'Data Entry'!$$597)</f>
      </c>
      <c r="BP597">
        <f>IF(ISBLANK('Data Entry'!$$597), "", 'Data Entry'!$$597)</f>
      </c>
      <c r="BQ597">
        <f>IF(ISBLANK('Data Entry'!$$597), "", 'Data Entry'!$$597)</f>
      </c>
      <c r="BR597">
        <f>IF(ISBLANK('Data Entry'!$$597), "", 'Data Entry'!$$597)</f>
      </c>
      <c r="BS597">
        <f>IF(ISBLANK('Data Entry'!$$597), "", 'Data Entry'!$$597)</f>
      </c>
      <c r="BT597">
        <f>IF(ISBLANK('Data Entry'!$$597), "", 'Data Entry'!$$597)</f>
      </c>
      <c r="BU597">
        <f>IF(ISBLANK('Data Entry'!$$597), "", 'Data Entry'!$$597)</f>
      </c>
      <c r="BV597">
        <f>IF(ISBLANK('Data Entry'!$$597), "", 'Data Entry'!$$597)</f>
      </c>
      <c r="BW597">
        <f>IF(ISBLANK('Data Entry'!$$597), "", 'Data Entry'!$$597)</f>
      </c>
      <c r="BX597">
        <f>IF(ISBLANK('Data Entry'!$$597), "", 'Data Entry'!$$597)</f>
      </c>
      <c r="BY597">
        <f>IF(ISBLANK('Data Entry'!$$597), "", 'Data Entry'!$$597)</f>
      </c>
      <c r="BZ597">
        <f>IF(ISBLANK('Data Entry'!$$597), "", 'Data Entry'!$$597)</f>
      </c>
      <c r="CA597">
        <f>IF(ISBLANK('Data Entry'!$$597), "", 'Data Entry'!$$597)</f>
      </c>
      <c r="CB597">
        <f>IF(ISBLANK('Data Entry'!$$597), "", 'Data Entry'!$$597)</f>
      </c>
      <c r="CC597">
        <f>IF(ISBLANK('Data Entry'!$$597), "", 'Data Entry'!$$597)</f>
      </c>
      <c r="CD597">
        <f>IF(ISBLANK('Data Entry'!$$597), "", 'Data Entry'!$$597)</f>
      </c>
      <c r="CE597">
        <f>IF(ISBLANK('Data Entry'!$$597), "", 'Data Entry'!$$597)</f>
      </c>
      <c r="CF597">
        <f>IF(ISBLANK('Data Entry'!$$597), "", 'Data Entry'!$$597)</f>
      </c>
      <c r="CG597">
        <f>IF(ISBLANK('Data Entry'!$$597), "", 'Data Entry'!$$597)</f>
      </c>
      <c r="CH597">
        <f>IF(ISBLANK('Data Entry'!$$597), "", 'Data Entry'!$$597)</f>
      </c>
      <c r="CI597">
        <f>IF(ISBLANK('Data Entry'!$$597), "", 'Data Entry'!$$597)</f>
      </c>
      <c r="CJ597">
        <f>IF(ISBLANK('Data Entry'!$$597), "", 'Data Entry'!$$597)</f>
      </c>
      <c r="CK597">
        <f>IF(ISBLANK('Data Entry'!$$597), "", 'Data Entry'!$$597)</f>
      </c>
      <c r="CL597">
        <f>IF(ISBLANK('Data Entry'!$$597), "", 'Data Entry'!$$597)</f>
      </c>
      <c r="CM597">
        <f>IF(ISBLANK('Data Entry'!$$597), "", 'Data Entry'!$$597)</f>
      </c>
      <c r="CN597">
        <f>IF(ISBLANK('Data Entry'!$$597), "", 'Data Entry'!$$597)</f>
      </c>
      <c r="CO597">
        <f>IF(ISBLANK('Data Entry'!$$597), "", 'Data Entry'!$$597)</f>
      </c>
      <c r="CP597">
        <f>IF(ISBLANK('Data Entry'!$$597), "", 'Data Entry'!$$597)</f>
      </c>
      <c r="CQ597">
        <f>IF(ISBLANK('Data Entry'!$$597), "", 'Data Entry'!$$597)</f>
      </c>
      <c r="CR597">
        <f>IF(ISBLANK('Data Entry'!$ $597), "", 'Data Entry'!$ $597)</f>
      </c>
      <c r="CS597">
        <f>IF(ISBLANK('Data Entry'!$¡$597), "", 'Data Entry'!$¡$597)</f>
      </c>
      <c r="CT597">
        <f>IF(ISBLANK('Data Entry'!$¢$597), "", 'Data Entry'!$¢$597)</f>
      </c>
      <c r="CU597">
        <f>IF(ISBLANK('Data Entry'!$£$597), "", 'Data Entry'!$£$597)</f>
      </c>
      <c r="CV597">
        <f>IF(ISBLANK('Data Entry'!$¤$597), "", 'Data Entry'!$¤$597)</f>
      </c>
      <c r="CW597">
        <f>IF(ISBLANK('Data Entry'!$¥$597), "", 'Data Entry'!$¥$597)</f>
      </c>
      <c r="CX597">
        <f>IF(ISBLANK('Data Entry'!$¦$597), "", 'Data Entry'!$¦$597)</f>
      </c>
      <c r="CY597">
        <f>IF(ISBLANK('Data Entry'!$§$597), "", 'Data Entry'!$§$597)</f>
      </c>
      <c r="CZ597">
        <f>IF(ISBLANK('Data Entry'!$¨$597), "", 'Data Entry'!$¨$597)</f>
      </c>
      <c r="DA597">
        <f>IF(ISBLANK('Data Entry'!$©$597), "", 'Data Entry'!$©$597)</f>
      </c>
      <c r="DB597">
        <f>IF(ISBLANK('Data Entry'!$ª$597), "", 'Data Entry'!$ª$597)</f>
      </c>
      <c r="DC597">
        <f>IF(ISBLANK('Data Entry'!$«$597), "", 'Data Entry'!$«$597)</f>
      </c>
      <c r="DD597">
        <f>IF(ISBLANK('Data Entry'!$¬$597), "", 'Data Entry'!$¬$597)</f>
      </c>
      <c r="DE597">
        <f>IF(ISBLANK('Data Entry'!$­$597), "", 'Data Entry'!$­$597)</f>
      </c>
      <c r="DF597">
        <f>IF(ISBLANK('Data Entry'!$®$597), "", 'Data Entry'!$®$597)</f>
      </c>
      <c r="DG597">
        <f>IF(ISBLANK('Data Entry'!$¯$597), "", 'Data Entry'!$¯$597)</f>
      </c>
      <c r="DH597">
        <f>IF(ISBLANK('Data Entry'!$°$597), "", 'Data Entry'!$°$597)</f>
      </c>
      <c r="DI597">
        <f>IF(ISBLANK('Data Entry'!$±$597), "", 'Data Entry'!$±$597)</f>
      </c>
      <c r="DJ597">
        <f>IF(ISBLANK('Data Entry'!$²$597), "", 'Data Entry'!$²$597)</f>
      </c>
      <c r="DK597">
        <f>IF(ISBLANK('Data Entry'!$³$597), "", 'Data Entry'!$³$597)</f>
      </c>
      <c r="DL597">
        <f>IF(ISBLANK('Data Entry'!$´$597), "", 'Data Entry'!$´$597)</f>
      </c>
      <c r="DM597">
        <f>IF(ISBLANK('Data Entry'!$µ$597), "", 'Data Entry'!$µ$597)</f>
      </c>
      <c r="DN597">
        <f>IF(ISBLANK('Data Entry'!$¶$597), "", 'Data Entry'!$¶$597)</f>
      </c>
      <c r="DO597">
        <f>IF(ISBLANK('Data Entry'!$·$597), "", 'Data Entry'!$·$597)</f>
      </c>
      <c r="DP597">
        <f>IF(ISBLANK('Data Entry'!$¸$597), "", 'Data Entry'!$¸$597)</f>
      </c>
      <c r="DQ597">
        <f>IF(ISBLANK('Data Entry'!$¹$597), "", 'Data Entry'!$¹$597)</f>
      </c>
      <c r="DR597">
        <f>IF(ISBLANK('Data Entry'!$º$597), "", 'Data Entry'!$º$597)</f>
      </c>
      <c r="DS597">
        <f>IF(ISBLANK('Data Entry'!$»$597), "", 'Data Entry'!$»$597)</f>
      </c>
      <c r="DT597">
        <f>IF(ISBLANK('Data Entry'!$¼$597), "", 'Data Entry'!$¼$597)</f>
      </c>
      <c r="DU597">
        <f>IF(ISBLANK('Data Entry'!$½$597), "", 'Data Entry'!$½$597)</f>
      </c>
      <c r="DV597">
        <f>IF(ISBLANK('Data Entry'!$¾$597), "", 'Data Entry'!$¾$597)</f>
      </c>
      <c r="DW597">
        <f>IF(ISBLANK('Data Entry'!$¿$597), "", 'Data Entry'!$¿$597)</f>
      </c>
      <c r="DX597">
        <f>IF(ISBLANK('Data Entry'!$À$597), "", 'Data Entry'!$À$597)</f>
      </c>
      <c r="DY597">
        <f>IF(ISBLANK('Data Entry'!$Á$597), "", 'Data Entry'!$Á$597)</f>
      </c>
      <c r="DZ597">
        <f>IF(ISBLANK('Data Entry'!$Â$597), "", 'Data Entry'!$Â$597)</f>
      </c>
      <c r="EA597">
        <f>IF(ISBLANK('Data Entry'!$Ã$597), "", 'Data Entry'!$Ã$597)</f>
      </c>
      <c r="EB597">
        <f>IF(ISBLANK('Data Entry'!$Ä$597), "", 'Data Entry'!$Ä$597)</f>
      </c>
      <c r="EC597">
        <f>IF(ISBLANK('Data Entry'!$Å$597), "", 'Data Entry'!$Å$597)</f>
      </c>
      <c r="ED597">
        <f>IF(ISBLANK('Data Entry'!$Æ$597), "", 'Data Entry'!$Æ$597)</f>
      </c>
      <c r="EE597">
        <f>IF(ISBLANK('Data Entry'!$Ç$597), "", 'Data Entry'!$Ç$597)</f>
      </c>
      <c r="EF597">
        <f>IF(ISBLANK('Data Entry'!$È$597), "", 'Data Entry'!$È$597)</f>
      </c>
      <c r="EG597">
        <f>IF(ISBLANK('Data Entry'!$É$597), "", 'Data Entry'!$É$597)</f>
      </c>
      <c r="EH597">
        <f>IF(ISBLANK('Data Entry'!$Ê$597), "", 'Data Entry'!$Ê$597)</f>
      </c>
      <c r="EI597">
        <f>IF(ISBLANK('Data Entry'!$Ë$597), "", 'Data Entry'!$Ë$597)</f>
      </c>
      <c r="EJ597">
        <f>IF(ISBLANK('Data Entry'!$Ì$597), "", 'Data Entry'!$Ì$597)</f>
      </c>
      <c r="EK597">
        <f>IF(ISBLANK('Data Entry'!$Í$597), "", 'Data Entry'!$Í$597)</f>
      </c>
      <c r="EL597">
        <f>IF(ISBLANK('Data Entry'!$Î$597), "", 'Data Entry'!$Î$597)</f>
      </c>
      <c r="EM597">
        <f>IF(ISBLANK('Data Entry'!$Ï$597), "", 'Data Entry'!$Ï$597)</f>
      </c>
      <c r="EN597">
        <f>IF(ISBLANK('Data Entry'!$Ð$597), "", 'Data Entry'!$Ð$597)</f>
      </c>
      <c r="EO597">
        <f>IF(ISBLANK('Data Entry'!$Ñ$597), "", 'Data Entry'!$Ñ$597)</f>
      </c>
      <c r="EP597">
        <f>IF(ISBLANK('Data Entry'!$Ò$597), "", 'Data Entry'!$Ò$597)</f>
      </c>
      <c r="EQ597">
        <f>IF(ISBLANK('Data Entry'!$Ó$597), "", 'Data Entry'!$Ó$597)</f>
      </c>
      <c r="ER597">
        <f>IF(ISBLANK('Data Entry'!$Ô$597), "", 'Data Entry'!$Ô$597)</f>
      </c>
      <c r="ES597">
        <f>IF(ISBLANK('Data Entry'!$Õ$597), "", 'Data Entry'!$Õ$597)</f>
      </c>
      <c r="ET597">
        <f>IF(ISBLANK('Data Entry'!$Ö$597), "", 'Data Entry'!$Ö$597)</f>
      </c>
      <c r="EU597">
        <f>IF(ISBLANK('Data Entry'!$×$597), "", 'Data Entry'!$×$597)</f>
      </c>
      <c r="EV597">
        <f>IF(ISBLANK('Data Entry'!$Ø$597), "", 'Data Entry'!$Ø$597)</f>
      </c>
      <c r="EW597">
        <f>IF(ISBLANK('Data Entry'!$Ù$597), "", 'Data Entry'!$Ù$597)</f>
      </c>
      <c r="EX597">
        <f>IF(ISBLANK('Data Entry'!$Ú$597), "", 'Data Entry'!$Ú$597)</f>
      </c>
      <c r="EY597">
        <f>IF(ISBLANK('Data Entry'!$Û$597), "", 'Data Entry'!$Û$597)</f>
      </c>
      <c r="EZ597">
        <f>IF(ISBLANK('Data Entry'!$Ü$597), "", 'Data Entry'!$Ü$597)</f>
      </c>
      <c r="FA597">
        <f>IF(ISBLANK('Data Entry'!$Ý$597), "", 'Data Entry'!$Ý$597)</f>
      </c>
      <c r="FB597">
        <f>IF(ISBLANK('Data Entry'!$Þ$597), "", 'Data Entry'!$Þ$597)</f>
      </c>
      <c r="FC597">
        <f>IF(ISBLANK('Data Entry'!$ß$597), "", 'Data Entry'!$ß$597)</f>
      </c>
      <c r="FD597">
        <f>IF(ISBLANK('Data Entry'!$à$597), "", 'Data Entry'!$à$597)</f>
      </c>
      <c r="FE597">
        <f>IF(ISBLANK('Data Entry'!$á$597), "", 'Data Entry'!$á$597)</f>
      </c>
      <c r="FF597">
        <f>IF(ISBLANK('Data Entry'!$â$597), "", 'Data Entry'!$â$597)</f>
      </c>
      <c r="FG597">
        <f>IF(ISBLANK('Data Entry'!$ã$597), "", 'Data Entry'!$ã$597)</f>
      </c>
      <c r="FH597">
        <f>IF(ISBLANK('Data Entry'!$ä$597), "", 'Data Entry'!$ä$597)</f>
      </c>
      <c r="FI597">
        <f>IF(ISBLANK('Data Entry'!$å$597), "", 'Data Entry'!$å$597)</f>
      </c>
      <c r="FJ597">
        <f>IF(ISBLANK('Data Entry'!$æ$597), "", 'Data Entry'!$æ$597)</f>
      </c>
      <c r="FK597">
        <f>IF(ISBLANK('Data Entry'!$ç$597), "", 'Data Entry'!$ç$597)</f>
      </c>
      <c r="FL597">
        <f>IF(ISBLANK('Data Entry'!$è$597), "", 'Data Entry'!$è$597)</f>
      </c>
      <c r="FM597">
        <f>IF(ISBLANK('Data Entry'!$é$597), "", 'Data Entry'!$é$597)</f>
      </c>
      <c r="FN597">
        <f>IF(ISBLANK('Data Entry'!$ê$597), "", 'Data Entry'!$ê$597)</f>
      </c>
      <c r="FO597">
        <f>IF(ISBLANK('Data Entry'!$ë$597), "", 'Data Entry'!$ë$597)</f>
      </c>
      <c r="FP597">
        <f>IF(ISBLANK('Data Entry'!$ì$597), "", 'Data Entry'!$ì$597)</f>
      </c>
      <c r="FQ597">
        <f>IF(ISBLANK('Data Entry'!$í$597), "", 'Data Entry'!$í$597)</f>
      </c>
      <c r="FR597">
        <f>IF(ISBLANK('Data Entry'!$î$597), "", 'Data Entry'!$î$597)</f>
      </c>
      <c r="FS597">
        <f>IF(ISBLANK('Data Entry'!$ï$597), "", 'Data Entry'!$ï$597)</f>
      </c>
      <c r="FT597">
        <f>IF(ISBLANK('Data Entry'!$ð$597), "", 'Data Entry'!$ð$597)</f>
      </c>
      <c r="FU597">
        <f>IF(ISBLANK('Data Entry'!$ñ$597), "", 'Data Entry'!$ñ$597)</f>
      </c>
      <c r="FV597">
        <f>IF(ISBLANK('Data Entry'!$ò$597), "", 'Data Entry'!$ò$597)</f>
      </c>
      <c r="FW597">
        <f>IF(ISBLANK('Data Entry'!$ó$597), "", 'Data Entry'!$ó$597)</f>
      </c>
      <c r="FX597">
        <f>IF(ISBLANK('Data Entry'!$ô$597), "", 'Data Entry'!$ô$597)</f>
      </c>
      <c r="FY597">
        <f>IF(ISBLANK('Data Entry'!$õ$597), "", 'Data Entry'!$õ$597)</f>
      </c>
      <c r="FZ597">
        <f>IF(ISBLANK('Data Entry'!$ö$597), "", 'Data Entry'!$ö$597)</f>
      </c>
      <c r="GA597">
        <f>IF(ISBLANK('Data Entry'!$÷$597), "", 'Data Entry'!$÷$597)</f>
      </c>
      <c r="GB597">
        <f>IF(ISBLANK('Data Entry'!$ø$597), "", 'Data Entry'!$ø$597)</f>
      </c>
      <c r="GC597">
        <f>IF(ISBLANK('Data Entry'!$ù$597), "", 'Data Entry'!$ù$597)</f>
      </c>
      <c r="GD597">
        <f>IF(ISBLANK('Data Entry'!$ú$597), "", 'Data Entry'!$ú$597)</f>
      </c>
      <c r="GE597">
        <f>IF(ISBLANK('Data Entry'!$û$597), "", 'Data Entry'!$û$597)</f>
      </c>
      <c r="GF597">
        <f>IF(ISBLANK('Data Entry'!$ü$597), "", 'Data Entry'!$ü$597)</f>
      </c>
      <c r="GG597">
        <f>IF(ISBLANK('Data Entry'!$ý$597), "", 'Data Entry'!$ý$597)</f>
      </c>
      <c r="GH597">
        <f>IF(ISBLANK('Data Entry'!$þ$597), "", 'Data Entry'!$þ$597)</f>
      </c>
      <c r="GI597">
        <f>IF(ISBLANK('Data Entry'!$ÿ$597), "", 'Data Entry'!$ÿ$597)</f>
      </c>
      <c r="GJ597">
        <f>IF(ISBLANK('Data Entry'!$Ā$597), "", 'Data Entry'!$Ā$597)</f>
      </c>
      <c r="GK597">
        <f>IF(ISBLANK('Data Entry'!$ā$597), "", 'Data Entry'!$ā$597)</f>
      </c>
      <c r="GL597">
        <f>IF(ISBLANK('Data Entry'!$Ă$597), "", 'Data Entry'!$Ă$597)</f>
      </c>
      <c r="GM597">
        <f>IF(ISBLANK('Data Entry'!$ă$597), "", 'Data Entry'!$ă$597)</f>
      </c>
      <c r="GN597">
        <f>IF(ISBLANK('Data Entry'!$Ą$597), "", 'Data Entry'!$Ą$597)</f>
      </c>
      <c r="GO597">
        <f>IF(ISBLANK('Data Entry'!$ą$597), "", 'Data Entry'!$ą$597)</f>
      </c>
      <c r="GP597">
        <f>IF(ISBLANK('Data Entry'!$Ć$597), "", 'Data Entry'!$Ć$597)</f>
      </c>
      <c r="GQ597">
        <f>IF(ISBLANK('Data Entry'!$ć$597), "", 'Data Entry'!$ć$597)</f>
      </c>
      <c r="GR597">
        <f>IF(ISBLANK('Data Entry'!$Ĉ$597), "", 'Data Entry'!$Ĉ$597)</f>
      </c>
      <c r="GS597">
        <f>IF(ISBLANK('Data Entry'!$ĉ$597), "", 'Data Entry'!$ĉ$597)</f>
      </c>
      <c r="GT597">
        <f>IF(ISBLANK('Data Entry'!$Ċ$597), "", 'Data Entry'!$Ċ$597)</f>
      </c>
      <c r="GU597">
        <f>IF(ISBLANK('Data Entry'!$ċ$597), "", 'Data Entry'!$ċ$597)</f>
      </c>
      <c r="GV597">
        <f>IF(ISBLANK('Data Entry'!$Č$597), "", 'Data Entry'!$Č$597)</f>
      </c>
      <c r="GW597">
        <f>IF(ISBLANK('Data Entry'!$č$597), "", 'Data Entry'!$č$597)</f>
      </c>
      <c r="GX597">
        <f>IF(ISBLANK('Data Entry'!$Ď$597), "", 'Data Entry'!$Ď$597)</f>
      </c>
      <c r="GY597">
        <f>IF(ISBLANK('Data Entry'!$ď$597), "", 'Data Entry'!$ď$597)</f>
      </c>
      <c r="GZ597">
        <f>IF(ISBLANK('Data Entry'!$Đ$597), "", 'Data Entry'!$Đ$597)</f>
      </c>
      <c r="HA597">
        <f>IF(ISBLANK('Data Entry'!$đ$597), "", 'Data Entry'!$đ$597)</f>
      </c>
      <c r="HB597">
        <f>IF(ISBLANK('Data Entry'!$Ē$597), "", 'Data Entry'!$Ē$597)</f>
      </c>
      <c r="HC597">
        <f>IF(ISBLANK('Data Entry'!$ē$597), "", 'Data Entry'!$ē$597)</f>
      </c>
      <c r="HD597">
        <f>IF(ISBLANK('Data Entry'!$Ĕ$597), "", 'Data Entry'!$Ĕ$597)</f>
      </c>
      <c r="HE597">
        <f>IF(ISBLANK('Data Entry'!$ĕ$597), "", 'Data Entry'!$ĕ$597)</f>
      </c>
      <c r="HF597">
        <f>IF(ISBLANK('Data Entry'!$Ė$597), "", 'Data Entry'!$Ė$597)</f>
      </c>
      <c r="HG597">
        <f>IF(ISBLANK('Data Entry'!$ė$597), "", 'Data Entry'!$ė$597)</f>
      </c>
      <c r="HH597">
        <f>IF(ISBLANK('Data Entry'!$Ę$597), "", 'Data Entry'!$Ę$597)</f>
      </c>
      <c r="HI597">
        <f>IF(ISBLANK('Data Entry'!$ę$597), "", 'Data Entry'!$ę$597)</f>
      </c>
      <c r="HJ597">
        <f>IF(ISBLANK('Data Entry'!$Ě$597), "", 'Data Entry'!$Ě$597)</f>
      </c>
      <c r="HK597">
        <f>IF(ISBLANK('Data Entry'!$ě$597), "", 'Data Entry'!$ě$597)</f>
      </c>
      <c r="HL597">
        <f>IF(ISBLANK('Data Entry'!$Ĝ$597), "", 'Data Entry'!$Ĝ$597)</f>
      </c>
      <c r="HM597">
        <f>IF(ISBLANK('Data Entry'!$ĝ$597), "", 'Data Entry'!$ĝ$597)</f>
      </c>
      <c r="HN597">
        <f>IF(ISBLANK('Data Entry'!$Ğ$597), "", 'Data Entry'!$Ğ$597)</f>
      </c>
      <c r="HO597">
        <f>IF(ISBLANK('Data Entry'!$ğ$597), "", 'Data Entry'!$ğ$597)</f>
      </c>
      <c r="HP597">
        <f>IF(ISBLANK('Data Entry'!$Ġ$597), "", 'Data Entry'!$Ġ$597)</f>
      </c>
      <c r="HQ597">
        <f>IF(ISBLANK('Data Entry'!$ġ$597), "", 'Data Entry'!$ġ$597)</f>
      </c>
      <c r="HR597">
        <f>IF(ISBLANK('Data Entry'!$Ģ$597), "", 'Data Entry'!$Ģ$597)</f>
      </c>
      <c r="HS597">
        <f>IF(ISBLANK('Data Entry'!$ģ$597), "", 'Data Entry'!$ģ$597)</f>
      </c>
      <c r="HT597">
        <f>IF(ISBLANK('Data Entry'!$Ĥ$597), "", 'Data Entry'!$Ĥ$597)</f>
      </c>
      <c r="HU597">
        <f>IF(ISBLANK('Data Entry'!$ĥ$597), "", 'Data Entry'!$ĥ$597)</f>
      </c>
      <c r="HV597">
        <f>IF(ISBLANK('Data Entry'!$Ħ$597), "", 'Data Entry'!$Ħ$597)</f>
      </c>
      <c r="HW597">
        <f>IF(ISBLANK('Data Entry'!$ħ$597), "", 'Data Entry'!$ħ$597)</f>
      </c>
      <c r="HX597">
        <f>IF(ISBLANK('Data Entry'!$Ĩ$597), "", 'Data Entry'!$Ĩ$597)</f>
      </c>
      <c r="HY597">
        <f>IF(ISBLANK('Data Entry'!$ĩ$597), "", 'Data Entry'!$ĩ$597)</f>
      </c>
      <c r="HZ597">
        <f>IF(ISBLANK('Data Entry'!$Ī$597), "", 'Data Entry'!$Ī$597)</f>
      </c>
      <c r="IA597">
        <f>IF(ISBLANK('Data Entry'!$ī$597), "", 'Data Entry'!$ī$597)</f>
      </c>
      <c r="IB597">
        <f>IF(ISBLANK('Data Entry'!$Ĭ$597), "", 'Data Entry'!$Ĭ$597)</f>
      </c>
      <c r="IC597">
        <f>IF(ISBLANK('Data Entry'!$ĭ$597), "", 'Data Entry'!$ĭ$597)</f>
      </c>
      <c r="ID597">
        <f>IF(ISBLANK('Data Entry'!$Į$597), "", 'Data Entry'!$Į$597)</f>
      </c>
      <c r="IE597">
        <f>IF(ISBLANK('Data Entry'!$į$597), "", 'Data Entry'!$į$597)</f>
      </c>
      <c r="IF597">
        <f>IF(ISBLANK('Data Entry'!$İ$597), "", 'Data Entry'!$İ$597)</f>
      </c>
      <c r="IG597">
        <f>IF(ISBLANK('Data Entry'!$ı$597), "", 'Data Entry'!$ı$597)</f>
      </c>
      <c r="IH597">
        <f>IF(ISBLANK('Data Entry'!$Ĳ$597), "", 'Data Entry'!$Ĳ$597)</f>
      </c>
      <c r="II597">
        <f>IF(ISBLANK('Data Entry'!$ĳ$597), "", 'Data Entry'!$ĳ$597)</f>
      </c>
      <c r="IJ597">
        <f>IF(ISBLANK('Data Entry'!$Ĵ$597), "", 'Data Entry'!$Ĵ$597)</f>
      </c>
      <c r="IK597">
        <f>IF(ISBLANK('Data Entry'!$ĵ$597), "", 'Data Entry'!$ĵ$597)</f>
      </c>
      <c r="IL597">
        <f>IF(ISBLANK('Data Entry'!$Ķ$597), "", 'Data Entry'!$Ķ$597)</f>
      </c>
      <c r="IM597">
        <f>IF(ISBLANK('Data Entry'!$ķ$597), "", 'Data Entry'!$ķ$597)</f>
      </c>
      <c r="IN597">
        <f>IF(ISBLANK('Data Entry'!$ĸ$597), "", 'Data Entry'!$ĸ$597)</f>
      </c>
      <c r="IO597">
        <f>IF(ISBLANK('Data Entry'!$Ĺ$597), "", 'Data Entry'!$Ĺ$597)</f>
      </c>
      <c r="IP597">
        <f>IF(ISBLANK('Data Entry'!$ĺ$597), "", 'Data Entry'!$ĺ$597)</f>
      </c>
      <c r="IQ597">
        <f>IF(ISBLANK('Data Entry'!$Ļ$597), "", 'Data Entry'!$Ļ$597)</f>
      </c>
      <c r="IR597">
        <f>IF(ISBLANK('Data Entry'!$ļ$597), "", 'Data Entry'!$ļ$597)</f>
      </c>
      <c r="IS597">
        <f>IF(ISBLANK('Data Entry'!$Ľ$597), "", 'Data Entry'!$Ľ$597)</f>
      </c>
      <c r="IT597">
        <f>IF(ISBLANK('Data Entry'!$ľ$597), "", 'Data Entry'!$ľ$597)</f>
      </c>
    </row>
    <row r="598" spans="1:254" x14ac:dyDescent="0.25">
      <c r="A598">
        <f>IF(ISBLANK('Data Entry'!$A$598), "", 'Data Entry'!$A$598)</f>
      </c>
      <c r="B598">
        <f>IF(ISBLANK('Data Entry'!$B$598), "", 'Data Entry'!$B$598)</f>
      </c>
      <c r="C598">
        <f>IF(ISBLANK('Data Entry'!$C$598), "", 'Data Entry'!$C$598)</f>
      </c>
      <c r="D598">
        <f>IF(ISBLANK('Data Entry'!$D$598), "", 'Data Entry'!$D$598)</f>
      </c>
      <c r="E598">
        <f>IF(ISBLANK('Data Entry'!$E$598), "", 'Data Entry'!$E$598)</f>
      </c>
      <c r="F598">
        <f>IF(ISBLANK('Data Entry'!$F$598), "", 'Data Entry'!$F$598)</f>
      </c>
      <c r="G598">
        <f>IF(ISBLANK('Data Entry'!$G$598), "", 'Data Entry'!$G$598)</f>
      </c>
      <c r="H598">
        <f>IF(ISBLANK('Data Entry'!$H$598), "", 'Data Entry'!$H$598)</f>
      </c>
      <c r="I598">
        <f>IF(ISBLANK('Data Entry'!$I$598), "", 'Data Entry'!$I$598)</f>
      </c>
      <c r="J598">
        <f>IF(ISBLANK('Data Entry'!$J$598), "", 'Data Entry'!$J$598)</f>
      </c>
      <c r="K598">
        <f>IF(ISBLANK('Data Entry'!$K$598), "", 'Data Entry'!$K$598)</f>
      </c>
      <c r="L598">
        <f>IF(ISBLANK('Data Entry'!$L$598), "", 'Data Entry'!$L$598)</f>
      </c>
      <c r="M598">
        <f>IF(ISBLANK('Data Entry'!$M$598), "", 'Data Entry'!$M$598)</f>
      </c>
      <c r="N598">
        <f>IF(ISBLANK('Data Entry'!$N$598), "", 'Data Entry'!$N$598)</f>
      </c>
      <c r="O598">
        <f>IF(ISBLANK('Data Entry'!$O$598), "", 'Data Entry'!$O$598)</f>
      </c>
      <c r="P598">
        <f>IF(ISBLANK('Data Entry'!$P$598), "", 'Data Entry'!$P$598)</f>
      </c>
      <c r="Q598">
        <f>IF(ISBLANK('Data Entry'!$Q$598), "", 'Data Entry'!$Q$598)</f>
      </c>
      <c r="R598">
        <f>IF(ISBLANK('Data Entry'!$R$598), "", 'Data Entry'!$R$598)</f>
      </c>
      <c r="S598">
        <f>IF(ISBLANK('Data Entry'!$S$598), "", 'Data Entry'!$S$598)</f>
      </c>
      <c r="T598">
        <f>IF(ISBLANK('Data Entry'!$T$598), "", 'Data Entry'!$T$598)</f>
      </c>
      <c r="U598">
        <f>IF(ISBLANK('Data Entry'!$U$598), "", 'Data Entry'!$U$598)</f>
      </c>
      <c r="V598">
        <f>IF(ISBLANK('Data Entry'!$V$598), "", 'Data Entry'!$V$598)</f>
      </c>
      <c r="W598">
        <f>IF(ISBLANK('Data Entry'!$W$598), "", 'Data Entry'!$W$598)</f>
      </c>
      <c r="X598">
        <f>IF(ISBLANK('Data Entry'!$X$598), "", 'Data Entry'!$X$598)</f>
      </c>
      <c r="Y598">
        <f>IF(ISBLANK('Data Entry'!$Y$598), "", 'Data Entry'!$Y$598)</f>
      </c>
      <c r="Z598">
        <f>IF(ISBLANK('Data Entry'!$Z$598), "", 'Data Entry'!$Z$598)</f>
      </c>
      <c r="AA598">
        <f>IF(ISBLANK('Data Entry'!$[$598), "", 'Data Entry'!$[$598)</f>
      </c>
      <c r="AB598">
        <f>IF(ISBLANK('Data Entry'!$\$598), "", 'Data Entry'!$\$598)</f>
      </c>
      <c r="AC598">
        <f>IF(ISBLANK('Data Entry'!$]$598), "", 'Data Entry'!$]$598)</f>
      </c>
      <c r="AD598">
        <f>IF(ISBLANK('Data Entry'!$^$598), "", 'Data Entry'!$^$598)</f>
      </c>
      <c r="AE598">
        <f>IF(ISBLANK('Data Entry'!$_$598), "", 'Data Entry'!$_$598)</f>
      </c>
      <c r="AF598">
        <f>IF(ISBLANK('Data Entry'!$`$598), "", 'Data Entry'!$`$598)</f>
      </c>
      <c r="AG598">
        <f>IF(ISBLANK('Data Entry'!$a$598), "", 'Data Entry'!$a$598)</f>
      </c>
      <c r="AH598">
        <f>IF(ISBLANK('Data Entry'!$b$598), "", 'Data Entry'!$b$598)</f>
      </c>
      <c r="AI598">
        <f>IF(ISBLANK('Data Entry'!$c$598), "", 'Data Entry'!$c$598)</f>
      </c>
      <c r="AJ598">
        <f>IF(ISBLANK('Data Entry'!$d$598), "", 'Data Entry'!$d$598)</f>
      </c>
      <c r="AK598">
        <f>IF(ISBLANK('Data Entry'!$e$598), "", 'Data Entry'!$e$598)</f>
      </c>
      <c r="AL598">
        <f>IF(ISBLANK('Data Entry'!$f$598), "", 'Data Entry'!$f$598)</f>
      </c>
      <c r="AM598">
        <f>IF(ISBLANK('Data Entry'!$g$598), "", 'Data Entry'!$g$598)</f>
      </c>
      <c r="AN598">
        <f>IF(ISBLANK('Data Entry'!$h$598), "", 'Data Entry'!$h$598)</f>
      </c>
      <c r="AO598">
        <f>IF(ISBLANK('Data Entry'!$i$598), "", 'Data Entry'!$i$598)</f>
      </c>
      <c r="AP598">
        <f>IF(ISBLANK('Data Entry'!$j$598), "", 'Data Entry'!$j$598)</f>
      </c>
      <c r="AQ598">
        <f>IF(ISBLANK('Data Entry'!$k$598), "", 'Data Entry'!$k$598)</f>
      </c>
      <c r="AR598">
        <f>IF(ISBLANK('Data Entry'!$l$598), "", 'Data Entry'!$l$598)</f>
      </c>
      <c r="AS598">
        <f>IF(ISBLANK('Data Entry'!$m$598), "", 'Data Entry'!$m$598)</f>
      </c>
      <c r="AT598">
        <f>IF(ISBLANK('Data Entry'!$n$598), "", 'Data Entry'!$n$598)</f>
      </c>
      <c r="AU598">
        <f>IF(ISBLANK('Data Entry'!$o$598), "", 'Data Entry'!$o$598)</f>
      </c>
      <c r="AV598">
        <f>IF(ISBLANK('Data Entry'!$p$598), "", 'Data Entry'!$p$598)</f>
      </c>
      <c r="AW598">
        <f>IF(ISBLANK('Data Entry'!$q$598), "", 'Data Entry'!$q$598)</f>
      </c>
      <c r="AX598">
        <f>IF(ISBLANK('Data Entry'!$r$598), "", 'Data Entry'!$r$598)</f>
      </c>
      <c r="AY598">
        <f>IF(ISBLANK('Data Entry'!$s$598), "", 'Data Entry'!$s$598)</f>
      </c>
      <c r="AZ598">
        <f>IF(ISBLANK('Data Entry'!$t$598), "", 'Data Entry'!$t$598)</f>
      </c>
      <c r="BA598">
        <f>IF(ISBLANK('Data Entry'!$u$598), "", 'Data Entry'!$u$598)</f>
      </c>
      <c r="BB598">
        <f>IF(ISBLANK('Data Entry'!$v$598), "", 'Data Entry'!$v$598)</f>
      </c>
      <c r="BC598">
        <f>IF(ISBLANK('Data Entry'!$w$598), "", 'Data Entry'!$w$598)</f>
      </c>
      <c r="BD598">
        <f>IF(ISBLANK('Data Entry'!$x$598), "", 'Data Entry'!$x$598)</f>
      </c>
      <c r="BE598">
        <f>IF(ISBLANK('Data Entry'!$y$598), "", 'Data Entry'!$y$598)</f>
      </c>
      <c r="BF598">
        <f>IF(ISBLANK('Data Entry'!$z$598), "", 'Data Entry'!$z$598)</f>
      </c>
      <c r="BG598">
        <f>IF(ISBLANK('Data Entry'!${$598), "", 'Data Entry'!${$598)</f>
      </c>
      <c r="BH598">
        <f>IF(ISBLANK('Data Entry'!$|$598), "", 'Data Entry'!$|$598)</f>
      </c>
      <c r="BI598">
        <f>IF(ISBLANK('Data Entry'!$}$598), "", 'Data Entry'!$}$598)</f>
      </c>
      <c r="BJ598">
        <f>IF(ISBLANK('Data Entry'!$~$598), "", 'Data Entry'!$~$598)</f>
      </c>
      <c r="BK598">
        <f>IF(ISBLANK('Data Entry'!$$598), "", 'Data Entry'!$$598)</f>
      </c>
      <c r="BL598">
        <f>IF(ISBLANK('Data Entry'!$$598), "", 'Data Entry'!$$598)</f>
      </c>
      <c r="BM598">
        <f>IF(ISBLANK('Data Entry'!$$598), "", 'Data Entry'!$$598)</f>
      </c>
      <c r="BN598">
        <f>IF(ISBLANK('Data Entry'!$$598), "", 'Data Entry'!$$598)</f>
      </c>
      <c r="BO598">
        <f>IF(ISBLANK('Data Entry'!$$598), "", 'Data Entry'!$$598)</f>
      </c>
      <c r="BP598">
        <f>IF(ISBLANK('Data Entry'!$$598), "", 'Data Entry'!$$598)</f>
      </c>
      <c r="BQ598">
        <f>IF(ISBLANK('Data Entry'!$$598), "", 'Data Entry'!$$598)</f>
      </c>
      <c r="BR598">
        <f>IF(ISBLANK('Data Entry'!$$598), "", 'Data Entry'!$$598)</f>
      </c>
      <c r="BS598">
        <f>IF(ISBLANK('Data Entry'!$$598), "", 'Data Entry'!$$598)</f>
      </c>
      <c r="BT598">
        <f>IF(ISBLANK('Data Entry'!$$598), "", 'Data Entry'!$$598)</f>
      </c>
      <c r="BU598">
        <f>IF(ISBLANK('Data Entry'!$$598), "", 'Data Entry'!$$598)</f>
      </c>
      <c r="BV598">
        <f>IF(ISBLANK('Data Entry'!$$598), "", 'Data Entry'!$$598)</f>
      </c>
      <c r="BW598">
        <f>IF(ISBLANK('Data Entry'!$$598), "", 'Data Entry'!$$598)</f>
      </c>
      <c r="BX598">
        <f>IF(ISBLANK('Data Entry'!$$598), "", 'Data Entry'!$$598)</f>
      </c>
      <c r="BY598">
        <f>IF(ISBLANK('Data Entry'!$$598), "", 'Data Entry'!$$598)</f>
      </c>
      <c r="BZ598">
        <f>IF(ISBLANK('Data Entry'!$$598), "", 'Data Entry'!$$598)</f>
      </c>
      <c r="CA598">
        <f>IF(ISBLANK('Data Entry'!$$598), "", 'Data Entry'!$$598)</f>
      </c>
      <c r="CB598">
        <f>IF(ISBLANK('Data Entry'!$$598), "", 'Data Entry'!$$598)</f>
      </c>
      <c r="CC598">
        <f>IF(ISBLANK('Data Entry'!$$598), "", 'Data Entry'!$$598)</f>
      </c>
      <c r="CD598">
        <f>IF(ISBLANK('Data Entry'!$$598), "", 'Data Entry'!$$598)</f>
      </c>
      <c r="CE598">
        <f>IF(ISBLANK('Data Entry'!$$598), "", 'Data Entry'!$$598)</f>
      </c>
      <c r="CF598">
        <f>IF(ISBLANK('Data Entry'!$$598), "", 'Data Entry'!$$598)</f>
      </c>
      <c r="CG598">
        <f>IF(ISBLANK('Data Entry'!$$598), "", 'Data Entry'!$$598)</f>
      </c>
      <c r="CH598">
        <f>IF(ISBLANK('Data Entry'!$$598), "", 'Data Entry'!$$598)</f>
      </c>
      <c r="CI598">
        <f>IF(ISBLANK('Data Entry'!$$598), "", 'Data Entry'!$$598)</f>
      </c>
      <c r="CJ598">
        <f>IF(ISBLANK('Data Entry'!$$598), "", 'Data Entry'!$$598)</f>
      </c>
      <c r="CK598">
        <f>IF(ISBLANK('Data Entry'!$$598), "", 'Data Entry'!$$598)</f>
      </c>
      <c r="CL598">
        <f>IF(ISBLANK('Data Entry'!$$598), "", 'Data Entry'!$$598)</f>
      </c>
      <c r="CM598">
        <f>IF(ISBLANK('Data Entry'!$$598), "", 'Data Entry'!$$598)</f>
      </c>
      <c r="CN598">
        <f>IF(ISBLANK('Data Entry'!$$598), "", 'Data Entry'!$$598)</f>
      </c>
      <c r="CO598">
        <f>IF(ISBLANK('Data Entry'!$$598), "", 'Data Entry'!$$598)</f>
      </c>
      <c r="CP598">
        <f>IF(ISBLANK('Data Entry'!$$598), "", 'Data Entry'!$$598)</f>
      </c>
      <c r="CQ598">
        <f>IF(ISBLANK('Data Entry'!$$598), "", 'Data Entry'!$$598)</f>
      </c>
      <c r="CR598">
        <f>IF(ISBLANK('Data Entry'!$ $598), "", 'Data Entry'!$ $598)</f>
      </c>
      <c r="CS598">
        <f>IF(ISBLANK('Data Entry'!$¡$598), "", 'Data Entry'!$¡$598)</f>
      </c>
      <c r="CT598">
        <f>IF(ISBLANK('Data Entry'!$¢$598), "", 'Data Entry'!$¢$598)</f>
      </c>
      <c r="CU598">
        <f>IF(ISBLANK('Data Entry'!$£$598), "", 'Data Entry'!$£$598)</f>
      </c>
      <c r="CV598">
        <f>IF(ISBLANK('Data Entry'!$¤$598), "", 'Data Entry'!$¤$598)</f>
      </c>
      <c r="CW598">
        <f>IF(ISBLANK('Data Entry'!$¥$598), "", 'Data Entry'!$¥$598)</f>
      </c>
      <c r="CX598">
        <f>IF(ISBLANK('Data Entry'!$¦$598), "", 'Data Entry'!$¦$598)</f>
      </c>
      <c r="CY598">
        <f>IF(ISBLANK('Data Entry'!$§$598), "", 'Data Entry'!$§$598)</f>
      </c>
      <c r="CZ598">
        <f>IF(ISBLANK('Data Entry'!$¨$598), "", 'Data Entry'!$¨$598)</f>
      </c>
      <c r="DA598">
        <f>IF(ISBLANK('Data Entry'!$©$598), "", 'Data Entry'!$©$598)</f>
      </c>
      <c r="DB598">
        <f>IF(ISBLANK('Data Entry'!$ª$598), "", 'Data Entry'!$ª$598)</f>
      </c>
      <c r="DC598">
        <f>IF(ISBLANK('Data Entry'!$«$598), "", 'Data Entry'!$«$598)</f>
      </c>
      <c r="DD598">
        <f>IF(ISBLANK('Data Entry'!$¬$598), "", 'Data Entry'!$¬$598)</f>
      </c>
      <c r="DE598">
        <f>IF(ISBLANK('Data Entry'!$­$598), "", 'Data Entry'!$­$598)</f>
      </c>
      <c r="DF598">
        <f>IF(ISBLANK('Data Entry'!$®$598), "", 'Data Entry'!$®$598)</f>
      </c>
      <c r="DG598">
        <f>IF(ISBLANK('Data Entry'!$¯$598), "", 'Data Entry'!$¯$598)</f>
      </c>
      <c r="DH598">
        <f>IF(ISBLANK('Data Entry'!$°$598), "", 'Data Entry'!$°$598)</f>
      </c>
      <c r="DI598">
        <f>IF(ISBLANK('Data Entry'!$±$598), "", 'Data Entry'!$±$598)</f>
      </c>
      <c r="DJ598">
        <f>IF(ISBLANK('Data Entry'!$²$598), "", 'Data Entry'!$²$598)</f>
      </c>
      <c r="DK598">
        <f>IF(ISBLANK('Data Entry'!$³$598), "", 'Data Entry'!$³$598)</f>
      </c>
      <c r="DL598">
        <f>IF(ISBLANK('Data Entry'!$´$598), "", 'Data Entry'!$´$598)</f>
      </c>
      <c r="DM598">
        <f>IF(ISBLANK('Data Entry'!$µ$598), "", 'Data Entry'!$µ$598)</f>
      </c>
      <c r="DN598">
        <f>IF(ISBLANK('Data Entry'!$¶$598), "", 'Data Entry'!$¶$598)</f>
      </c>
      <c r="DO598">
        <f>IF(ISBLANK('Data Entry'!$·$598), "", 'Data Entry'!$·$598)</f>
      </c>
      <c r="DP598">
        <f>IF(ISBLANK('Data Entry'!$¸$598), "", 'Data Entry'!$¸$598)</f>
      </c>
      <c r="DQ598">
        <f>IF(ISBLANK('Data Entry'!$¹$598), "", 'Data Entry'!$¹$598)</f>
      </c>
      <c r="DR598">
        <f>IF(ISBLANK('Data Entry'!$º$598), "", 'Data Entry'!$º$598)</f>
      </c>
      <c r="DS598">
        <f>IF(ISBLANK('Data Entry'!$»$598), "", 'Data Entry'!$»$598)</f>
      </c>
      <c r="DT598">
        <f>IF(ISBLANK('Data Entry'!$¼$598), "", 'Data Entry'!$¼$598)</f>
      </c>
      <c r="DU598">
        <f>IF(ISBLANK('Data Entry'!$½$598), "", 'Data Entry'!$½$598)</f>
      </c>
      <c r="DV598">
        <f>IF(ISBLANK('Data Entry'!$¾$598), "", 'Data Entry'!$¾$598)</f>
      </c>
      <c r="DW598">
        <f>IF(ISBLANK('Data Entry'!$¿$598), "", 'Data Entry'!$¿$598)</f>
      </c>
      <c r="DX598">
        <f>IF(ISBLANK('Data Entry'!$À$598), "", 'Data Entry'!$À$598)</f>
      </c>
      <c r="DY598">
        <f>IF(ISBLANK('Data Entry'!$Á$598), "", 'Data Entry'!$Á$598)</f>
      </c>
      <c r="DZ598">
        <f>IF(ISBLANK('Data Entry'!$Â$598), "", 'Data Entry'!$Â$598)</f>
      </c>
      <c r="EA598">
        <f>IF(ISBLANK('Data Entry'!$Ã$598), "", 'Data Entry'!$Ã$598)</f>
      </c>
      <c r="EB598">
        <f>IF(ISBLANK('Data Entry'!$Ä$598), "", 'Data Entry'!$Ä$598)</f>
      </c>
      <c r="EC598">
        <f>IF(ISBLANK('Data Entry'!$Å$598), "", 'Data Entry'!$Å$598)</f>
      </c>
      <c r="ED598">
        <f>IF(ISBLANK('Data Entry'!$Æ$598), "", 'Data Entry'!$Æ$598)</f>
      </c>
      <c r="EE598">
        <f>IF(ISBLANK('Data Entry'!$Ç$598), "", 'Data Entry'!$Ç$598)</f>
      </c>
      <c r="EF598">
        <f>IF(ISBLANK('Data Entry'!$È$598), "", 'Data Entry'!$È$598)</f>
      </c>
      <c r="EG598">
        <f>IF(ISBLANK('Data Entry'!$É$598), "", 'Data Entry'!$É$598)</f>
      </c>
      <c r="EH598">
        <f>IF(ISBLANK('Data Entry'!$Ê$598), "", 'Data Entry'!$Ê$598)</f>
      </c>
      <c r="EI598">
        <f>IF(ISBLANK('Data Entry'!$Ë$598), "", 'Data Entry'!$Ë$598)</f>
      </c>
      <c r="EJ598">
        <f>IF(ISBLANK('Data Entry'!$Ì$598), "", 'Data Entry'!$Ì$598)</f>
      </c>
      <c r="EK598">
        <f>IF(ISBLANK('Data Entry'!$Í$598), "", 'Data Entry'!$Í$598)</f>
      </c>
      <c r="EL598">
        <f>IF(ISBLANK('Data Entry'!$Î$598), "", 'Data Entry'!$Î$598)</f>
      </c>
      <c r="EM598">
        <f>IF(ISBLANK('Data Entry'!$Ï$598), "", 'Data Entry'!$Ï$598)</f>
      </c>
      <c r="EN598">
        <f>IF(ISBLANK('Data Entry'!$Ð$598), "", 'Data Entry'!$Ð$598)</f>
      </c>
      <c r="EO598">
        <f>IF(ISBLANK('Data Entry'!$Ñ$598), "", 'Data Entry'!$Ñ$598)</f>
      </c>
      <c r="EP598">
        <f>IF(ISBLANK('Data Entry'!$Ò$598), "", 'Data Entry'!$Ò$598)</f>
      </c>
      <c r="EQ598">
        <f>IF(ISBLANK('Data Entry'!$Ó$598), "", 'Data Entry'!$Ó$598)</f>
      </c>
      <c r="ER598">
        <f>IF(ISBLANK('Data Entry'!$Ô$598), "", 'Data Entry'!$Ô$598)</f>
      </c>
      <c r="ES598">
        <f>IF(ISBLANK('Data Entry'!$Õ$598), "", 'Data Entry'!$Õ$598)</f>
      </c>
      <c r="ET598">
        <f>IF(ISBLANK('Data Entry'!$Ö$598), "", 'Data Entry'!$Ö$598)</f>
      </c>
      <c r="EU598">
        <f>IF(ISBLANK('Data Entry'!$×$598), "", 'Data Entry'!$×$598)</f>
      </c>
      <c r="EV598">
        <f>IF(ISBLANK('Data Entry'!$Ø$598), "", 'Data Entry'!$Ø$598)</f>
      </c>
      <c r="EW598">
        <f>IF(ISBLANK('Data Entry'!$Ù$598), "", 'Data Entry'!$Ù$598)</f>
      </c>
      <c r="EX598">
        <f>IF(ISBLANK('Data Entry'!$Ú$598), "", 'Data Entry'!$Ú$598)</f>
      </c>
      <c r="EY598">
        <f>IF(ISBLANK('Data Entry'!$Û$598), "", 'Data Entry'!$Û$598)</f>
      </c>
      <c r="EZ598">
        <f>IF(ISBLANK('Data Entry'!$Ü$598), "", 'Data Entry'!$Ü$598)</f>
      </c>
      <c r="FA598">
        <f>IF(ISBLANK('Data Entry'!$Ý$598), "", 'Data Entry'!$Ý$598)</f>
      </c>
      <c r="FB598">
        <f>IF(ISBLANK('Data Entry'!$Þ$598), "", 'Data Entry'!$Þ$598)</f>
      </c>
      <c r="FC598">
        <f>IF(ISBLANK('Data Entry'!$ß$598), "", 'Data Entry'!$ß$598)</f>
      </c>
      <c r="FD598">
        <f>IF(ISBLANK('Data Entry'!$à$598), "", 'Data Entry'!$à$598)</f>
      </c>
      <c r="FE598">
        <f>IF(ISBLANK('Data Entry'!$á$598), "", 'Data Entry'!$á$598)</f>
      </c>
      <c r="FF598">
        <f>IF(ISBLANK('Data Entry'!$â$598), "", 'Data Entry'!$â$598)</f>
      </c>
      <c r="FG598">
        <f>IF(ISBLANK('Data Entry'!$ã$598), "", 'Data Entry'!$ã$598)</f>
      </c>
      <c r="FH598">
        <f>IF(ISBLANK('Data Entry'!$ä$598), "", 'Data Entry'!$ä$598)</f>
      </c>
      <c r="FI598">
        <f>IF(ISBLANK('Data Entry'!$å$598), "", 'Data Entry'!$å$598)</f>
      </c>
      <c r="FJ598">
        <f>IF(ISBLANK('Data Entry'!$æ$598), "", 'Data Entry'!$æ$598)</f>
      </c>
      <c r="FK598">
        <f>IF(ISBLANK('Data Entry'!$ç$598), "", 'Data Entry'!$ç$598)</f>
      </c>
      <c r="FL598">
        <f>IF(ISBLANK('Data Entry'!$è$598), "", 'Data Entry'!$è$598)</f>
      </c>
      <c r="FM598">
        <f>IF(ISBLANK('Data Entry'!$é$598), "", 'Data Entry'!$é$598)</f>
      </c>
      <c r="FN598">
        <f>IF(ISBLANK('Data Entry'!$ê$598), "", 'Data Entry'!$ê$598)</f>
      </c>
      <c r="FO598">
        <f>IF(ISBLANK('Data Entry'!$ë$598), "", 'Data Entry'!$ë$598)</f>
      </c>
      <c r="FP598">
        <f>IF(ISBLANK('Data Entry'!$ì$598), "", 'Data Entry'!$ì$598)</f>
      </c>
      <c r="FQ598">
        <f>IF(ISBLANK('Data Entry'!$í$598), "", 'Data Entry'!$í$598)</f>
      </c>
      <c r="FR598">
        <f>IF(ISBLANK('Data Entry'!$î$598), "", 'Data Entry'!$î$598)</f>
      </c>
      <c r="FS598">
        <f>IF(ISBLANK('Data Entry'!$ï$598), "", 'Data Entry'!$ï$598)</f>
      </c>
      <c r="FT598">
        <f>IF(ISBLANK('Data Entry'!$ð$598), "", 'Data Entry'!$ð$598)</f>
      </c>
      <c r="FU598">
        <f>IF(ISBLANK('Data Entry'!$ñ$598), "", 'Data Entry'!$ñ$598)</f>
      </c>
      <c r="FV598">
        <f>IF(ISBLANK('Data Entry'!$ò$598), "", 'Data Entry'!$ò$598)</f>
      </c>
      <c r="FW598">
        <f>IF(ISBLANK('Data Entry'!$ó$598), "", 'Data Entry'!$ó$598)</f>
      </c>
      <c r="FX598">
        <f>IF(ISBLANK('Data Entry'!$ô$598), "", 'Data Entry'!$ô$598)</f>
      </c>
      <c r="FY598">
        <f>IF(ISBLANK('Data Entry'!$õ$598), "", 'Data Entry'!$õ$598)</f>
      </c>
      <c r="FZ598">
        <f>IF(ISBLANK('Data Entry'!$ö$598), "", 'Data Entry'!$ö$598)</f>
      </c>
      <c r="GA598">
        <f>IF(ISBLANK('Data Entry'!$÷$598), "", 'Data Entry'!$÷$598)</f>
      </c>
      <c r="GB598">
        <f>IF(ISBLANK('Data Entry'!$ø$598), "", 'Data Entry'!$ø$598)</f>
      </c>
      <c r="GC598">
        <f>IF(ISBLANK('Data Entry'!$ù$598), "", 'Data Entry'!$ù$598)</f>
      </c>
      <c r="GD598">
        <f>IF(ISBLANK('Data Entry'!$ú$598), "", 'Data Entry'!$ú$598)</f>
      </c>
      <c r="GE598">
        <f>IF(ISBLANK('Data Entry'!$û$598), "", 'Data Entry'!$û$598)</f>
      </c>
      <c r="GF598">
        <f>IF(ISBLANK('Data Entry'!$ü$598), "", 'Data Entry'!$ü$598)</f>
      </c>
      <c r="GG598">
        <f>IF(ISBLANK('Data Entry'!$ý$598), "", 'Data Entry'!$ý$598)</f>
      </c>
      <c r="GH598">
        <f>IF(ISBLANK('Data Entry'!$þ$598), "", 'Data Entry'!$þ$598)</f>
      </c>
      <c r="GI598">
        <f>IF(ISBLANK('Data Entry'!$ÿ$598), "", 'Data Entry'!$ÿ$598)</f>
      </c>
      <c r="GJ598">
        <f>IF(ISBLANK('Data Entry'!$Ā$598), "", 'Data Entry'!$Ā$598)</f>
      </c>
      <c r="GK598">
        <f>IF(ISBLANK('Data Entry'!$ā$598), "", 'Data Entry'!$ā$598)</f>
      </c>
      <c r="GL598">
        <f>IF(ISBLANK('Data Entry'!$Ă$598), "", 'Data Entry'!$Ă$598)</f>
      </c>
      <c r="GM598">
        <f>IF(ISBLANK('Data Entry'!$ă$598), "", 'Data Entry'!$ă$598)</f>
      </c>
      <c r="GN598">
        <f>IF(ISBLANK('Data Entry'!$Ą$598), "", 'Data Entry'!$Ą$598)</f>
      </c>
      <c r="GO598">
        <f>IF(ISBLANK('Data Entry'!$ą$598), "", 'Data Entry'!$ą$598)</f>
      </c>
      <c r="GP598">
        <f>IF(ISBLANK('Data Entry'!$Ć$598), "", 'Data Entry'!$Ć$598)</f>
      </c>
      <c r="GQ598">
        <f>IF(ISBLANK('Data Entry'!$ć$598), "", 'Data Entry'!$ć$598)</f>
      </c>
      <c r="GR598">
        <f>IF(ISBLANK('Data Entry'!$Ĉ$598), "", 'Data Entry'!$Ĉ$598)</f>
      </c>
      <c r="GS598">
        <f>IF(ISBLANK('Data Entry'!$ĉ$598), "", 'Data Entry'!$ĉ$598)</f>
      </c>
      <c r="GT598">
        <f>IF(ISBLANK('Data Entry'!$Ċ$598), "", 'Data Entry'!$Ċ$598)</f>
      </c>
      <c r="GU598">
        <f>IF(ISBLANK('Data Entry'!$ċ$598), "", 'Data Entry'!$ċ$598)</f>
      </c>
      <c r="GV598">
        <f>IF(ISBLANK('Data Entry'!$Č$598), "", 'Data Entry'!$Č$598)</f>
      </c>
      <c r="GW598">
        <f>IF(ISBLANK('Data Entry'!$č$598), "", 'Data Entry'!$č$598)</f>
      </c>
      <c r="GX598">
        <f>IF(ISBLANK('Data Entry'!$Ď$598), "", 'Data Entry'!$Ď$598)</f>
      </c>
      <c r="GY598">
        <f>IF(ISBLANK('Data Entry'!$ď$598), "", 'Data Entry'!$ď$598)</f>
      </c>
      <c r="GZ598">
        <f>IF(ISBLANK('Data Entry'!$Đ$598), "", 'Data Entry'!$Đ$598)</f>
      </c>
      <c r="HA598">
        <f>IF(ISBLANK('Data Entry'!$đ$598), "", 'Data Entry'!$đ$598)</f>
      </c>
      <c r="HB598">
        <f>IF(ISBLANK('Data Entry'!$Ē$598), "", 'Data Entry'!$Ē$598)</f>
      </c>
      <c r="HC598">
        <f>IF(ISBLANK('Data Entry'!$ē$598), "", 'Data Entry'!$ē$598)</f>
      </c>
      <c r="HD598">
        <f>IF(ISBLANK('Data Entry'!$Ĕ$598), "", 'Data Entry'!$Ĕ$598)</f>
      </c>
      <c r="HE598">
        <f>IF(ISBLANK('Data Entry'!$ĕ$598), "", 'Data Entry'!$ĕ$598)</f>
      </c>
      <c r="HF598">
        <f>IF(ISBLANK('Data Entry'!$Ė$598), "", 'Data Entry'!$Ė$598)</f>
      </c>
      <c r="HG598">
        <f>IF(ISBLANK('Data Entry'!$ė$598), "", 'Data Entry'!$ė$598)</f>
      </c>
      <c r="HH598">
        <f>IF(ISBLANK('Data Entry'!$Ę$598), "", 'Data Entry'!$Ę$598)</f>
      </c>
      <c r="HI598">
        <f>IF(ISBLANK('Data Entry'!$ę$598), "", 'Data Entry'!$ę$598)</f>
      </c>
      <c r="HJ598">
        <f>IF(ISBLANK('Data Entry'!$Ě$598), "", 'Data Entry'!$Ě$598)</f>
      </c>
      <c r="HK598">
        <f>IF(ISBLANK('Data Entry'!$ě$598), "", 'Data Entry'!$ě$598)</f>
      </c>
      <c r="HL598">
        <f>IF(ISBLANK('Data Entry'!$Ĝ$598), "", 'Data Entry'!$Ĝ$598)</f>
      </c>
      <c r="HM598">
        <f>IF(ISBLANK('Data Entry'!$ĝ$598), "", 'Data Entry'!$ĝ$598)</f>
      </c>
      <c r="HN598">
        <f>IF(ISBLANK('Data Entry'!$Ğ$598), "", 'Data Entry'!$Ğ$598)</f>
      </c>
      <c r="HO598">
        <f>IF(ISBLANK('Data Entry'!$ğ$598), "", 'Data Entry'!$ğ$598)</f>
      </c>
      <c r="HP598">
        <f>IF(ISBLANK('Data Entry'!$Ġ$598), "", 'Data Entry'!$Ġ$598)</f>
      </c>
      <c r="HQ598">
        <f>IF(ISBLANK('Data Entry'!$ġ$598), "", 'Data Entry'!$ġ$598)</f>
      </c>
      <c r="HR598">
        <f>IF(ISBLANK('Data Entry'!$Ģ$598), "", 'Data Entry'!$Ģ$598)</f>
      </c>
      <c r="HS598">
        <f>IF(ISBLANK('Data Entry'!$ģ$598), "", 'Data Entry'!$ģ$598)</f>
      </c>
      <c r="HT598">
        <f>IF(ISBLANK('Data Entry'!$Ĥ$598), "", 'Data Entry'!$Ĥ$598)</f>
      </c>
      <c r="HU598">
        <f>IF(ISBLANK('Data Entry'!$ĥ$598), "", 'Data Entry'!$ĥ$598)</f>
      </c>
      <c r="HV598">
        <f>IF(ISBLANK('Data Entry'!$Ħ$598), "", 'Data Entry'!$Ħ$598)</f>
      </c>
      <c r="HW598">
        <f>IF(ISBLANK('Data Entry'!$ħ$598), "", 'Data Entry'!$ħ$598)</f>
      </c>
      <c r="HX598">
        <f>IF(ISBLANK('Data Entry'!$Ĩ$598), "", 'Data Entry'!$Ĩ$598)</f>
      </c>
      <c r="HY598">
        <f>IF(ISBLANK('Data Entry'!$ĩ$598), "", 'Data Entry'!$ĩ$598)</f>
      </c>
      <c r="HZ598">
        <f>IF(ISBLANK('Data Entry'!$Ī$598), "", 'Data Entry'!$Ī$598)</f>
      </c>
      <c r="IA598">
        <f>IF(ISBLANK('Data Entry'!$ī$598), "", 'Data Entry'!$ī$598)</f>
      </c>
      <c r="IB598">
        <f>IF(ISBLANK('Data Entry'!$Ĭ$598), "", 'Data Entry'!$Ĭ$598)</f>
      </c>
      <c r="IC598">
        <f>IF(ISBLANK('Data Entry'!$ĭ$598), "", 'Data Entry'!$ĭ$598)</f>
      </c>
      <c r="ID598">
        <f>IF(ISBLANK('Data Entry'!$Į$598), "", 'Data Entry'!$Į$598)</f>
      </c>
      <c r="IE598">
        <f>IF(ISBLANK('Data Entry'!$į$598), "", 'Data Entry'!$į$598)</f>
      </c>
      <c r="IF598">
        <f>IF(ISBLANK('Data Entry'!$İ$598), "", 'Data Entry'!$İ$598)</f>
      </c>
      <c r="IG598">
        <f>IF(ISBLANK('Data Entry'!$ı$598), "", 'Data Entry'!$ı$598)</f>
      </c>
      <c r="IH598">
        <f>IF(ISBLANK('Data Entry'!$Ĳ$598), "", 'Data Entry'!$Ĳ$598)</f>
      </c>
      <c r="II598">
        <f>IF(ISBLANK('Data Entry'!$ĳ$598), "", 'Data Entry'!$ĳ$598)</f>
      </c>
      <c r="IJ598">
        <f>IF(ISBLANK('Data Entry'!$Ĵ$598), "", 'Data Entry'!$Ĵ$598)</f>
      </c>
      <c r="IK598">
        <f>IF(ISBLANK('Data Entry'!$ĵ$598), "", 'Data Entry'!$ĵ$598)</f>
      </c>
      <c r="IL598">
        <f>IF(ISBLANK('Data Entry'!$Ķ$598), "", 'Data Entry'!$Ķ$598)</f>
      </c>
      <c r="IM598">
        <f>IF(ISBLANK('Data Entry'!$ķ$598), "", 'Data Entry'!$ķ$598)</f>
      </c>
      <c r="IN598">
        <f>IF(ISBLANK('Data Entry'!$ĸ$598), "", 'Data Entry'!$ĸ$598)</f>
      </c>
      <c r="IO598">
        <f>IF(ISBLANK('Data Entry'!$Ĺ$598), "", 'Data Entry'!$Ĺ$598)</f>
      </c>
      <c r="IP598">
        <f>IF(ISBLANK('Data Entry'!$ĺ$598), "", 'Data Entry'!$ĺ$598)</f>
      </c>
      <c r="IQ598">
        <f>IF(ISBLANK('Data Entry'!$Ļ$598), "", 'Data Entry'!$Ļ$598)</f>
      </c>
      <c r="IR598">
        <f>IF(ISBLANK('Data Entry'!$ļ$598), "", 'Data Entry'!$ļ$598)</f>
      </c>
      <c r="IS598">
        <f>IF(ISBLANK('Data Entry'!$Ľ$598), "", 'Data Entry'!$Ľ$598)</f>
      </c>
      <c r="IT598">
        <f>IF(ISBLANK('Data Entry'!$ľ$598), "", 'Data Entry'!$ľ$598)</f>
      </c>
    </row>
    <row r="599" spans="1:254" x14ac:dyDescent="0.25">
      <c r="A599">
        <f>IF(ISBLANK('Data Entry'!$A$599), "", 'Data Entry'!$A$599)</f>
      </c>
      <c r="B599">
        <f>IF(ISBLANK('Data Entry'!$B$599), "", 'Data Entry'!$B$599)</f>
      </c>
      <c r="C599">
        <f>IF(ISBLANK('Data Entry'!$C$599), "", 'Data Entry'!$C$599)</f>
      </c>
      <c r="D599">
        <f>IF(ISBLANK('Data Entry'!$D$599), "", 'Data Entry'!$D$599)</f>
      </c>
      <c r="E599">
        <f>IF(ISBLANK('Data Entry'!$E$599), "", 'Data Entry'!$E$599)</f>
      </c>
      <c r="F599">
        <f>IF(ISBLANK('Data Entry'!$F$599), "", 'Data Entry'!$F$599)</f>
      </c>
      <c r="G599">
        <f>IF(ISBLANK('Data Entry'!$G$599), "", 'Data Entry'!$G$599)</f>
      </c>
      <c r="H599">
        <f>IF(ISBLANK('Data Entry'!$H$599), "", 'Data Entry'!$H$599)</f>
      </c>
      <c r="I599">
        <f>IF(ISBLANK('Data Entry'!$I$599), "", 'Data Entry'!$I$599)</f>
      </c>
      <c r="J599">
        <f>IF(ISBLANK('Data Entry'!$J$599), "", 'Data Entry'!$J$599)</f>
      </c>
      <c r="K599">
        <f>IF(ISBLANK('Data Entry'!$K$599), "", 'Data Entry'!$K$599)</f>
      </c>
      <c r="L599">
        <f>IF(ISBLANK('Data Entry'!$L$599), "", 'Data Entry'!$L$599)</f>
      </c>
      <c r="M599">
        <f>IF(ISBLANK('Data Entry'!$M$599), "", 'Data Entry'!$M$599)</f>
      </c>
      <c r="N599">
        <f>IF(ISBLANK('Data Entry'!$N$599), "", 'Data Entry'!$N$599)</f>
      </c>
      <c r="O599">
        <f>IF(ISBLANK('Data Entry'!$O$599), "", 'Data Entry'!$O$599)</f>
      </c>
      <c r="P599">
        <f>IF(ISBLANK('Data Entry'!$P$599), "", 'Data Entry'!$P$599)</f>
      </c>
      <c r="Q599">
        <f>IF(ISBLANK('Data Entry'!$Q$599), "", 'Data Entry'!$Q$599)</f>
      </c>
      <c r="R599">
        <f>IF(ISBLANK('Data Entry'!$R$599), "", 'Data Entry'!$R$599)</f>
      </c>
      <c r="S599">
        <f>IF(ISBLANK('Data Entry'!$S$599), "", 'Data Entry'!$S$599)</f>
      </c>
      <c r="T599">
        <f>IF(ISBLANK('Data Entry'!$T$599), "", 'Data Entry'!$T$599)</f>
      </c>
      <c r="U599">
        <f>IF(ISBLANK('Data Entry'!$U$599), "", 'Data Entry'!$U$599)</f>
      </c>
      <c r="V599">
        <f>IF(ISBLANK('Data Entry'!$V$599), "", 'Data Entry'!$V$599)</f>
      </c>
      <c r="W599">
        <f>IF(ISBLANK('Data Entry'!$W$599), "", 'Data Entry'!$W$599)</f>
      </c>
      <c r="X599">
        <f>IF(ISBLANK('Data Entry'!$X$599), "", 'Data Entry'!$X$599)</f>
      </c>
      <c r="Y599">
        <f>IF(ISBLANK('Data Entry'!$Y$599), "", 'Data Entry'!$Y$599)</f>
      </c>
      <c r="Z599">
        <f>IF(ISBLANK('Data Entry'!$Z$599), "", 'Data Entry'!$Z$599)</f>
      </c>
      <c r="AA599">
        <f>IF(ISBLANK('Data Entry'!$[$599), "", 'Data Entry'!$[$599)</f>
      </c>
      <c r="AB599">
        <f>IF(ISBLANK('Data Entry'!$\$599), "", 'Data Entry'!$\$599)</f>
      </c>
      <c r="AC599">
        <f>IF(ISBLANK('Data Entry'!$]$599), "", 'Data Entry'!$]$599)</f>
      </c>
      <c r="AD599">
        <f>IF(ISBLANK('Data Entry'!$^$599), "", 'Data Entry'!$^$599)</f>
      </c>
      <c r="AE599">
        <f>IF(ISBLANK('Data Entry'!$_$599), "", 'Data Entry'!$_$599)</f>
      </c>
      <c r="AF599">
        <f>IF(ISBLANK('Data Entry'!$`$599), "", 'Data Entry'!$`$599)</f>
      </c>
      <c r="AG599">
        <f>IF(ISBLANK('Data Entry'!$a$599), "", 'Data Entry'!$a$599)</f>
      </c>
      <c r="AH599">
        <f>IF(ISBLANK('Data Entry'!$b$599), "", 'Data Entry'!$b$599)</f>
      </c>
      <c r="AI599">
        <f>IF(ISBLANK('Data Entry'!$c$599), "", 'Data Entry'!$c$599)</f>
      </c>
      <c r="AJ599">
        <f>IF(ISBLANK('Data Entry'!$d$599), "", 'Data Entry'!$d$599)</f>
      </c>
      <c r="AK599">
        <f>IF(ISBLANK('Data Entry'!$e$599), "", 'Data Entry'!$e$599)</f>
      </c>
      <c r="AL599">
        <f>IF(ISBLANK('Data Entry'!$f$599), "", 'Data Entry'!$f$599)</f>
      </c>
      <c r="AM599">
        <f>IF(ISBLANK('Data Entry'!$g$599), "", 'Data Entry'!$g$599)</f>
      </c>
      <c r="AN599">
        <f>IF(ISBLANK('Data Entry'!$h$599), "", 'Data Entry'!$h$599)</f>
      </c>
      <c r="AO599">
        <f>IF(ISBLANK('Data Entry'!$i$599), "", 'Data Entry'!$i$599)</f>
      </c>
      <c r="AP599">
        <f>IF(ISBLANK('Data Entry'!$j$599), "", 'Data Entry'!$j$599)</f>
      </c>
      <c r="AQ599">
        <f>IF(ISBLANK('Data Entry'!$k$599), "", 'Data Entry'!$k$599)</f>
      </c>
      <c r="AR599">
        <f>IF(ISBLANK('Data Entry'!$l$599), "", 'Data Entry'!$l$599)</f>
      </c>
      <c r="AS599">
        <f>IF(ISBLANK('Data Entry'!$m$599), "", 'Data Entry'!$m$599)</f>
      </c>
      <c r="AT599">
        <f>IF(ISBLANK('Data Entry'!$n$599), "", 'Data Entry'!$n$599)</f>
      </c>
      <c r="AU599">
        <f>IF(ISBLANK('Data Entry'!$o$599), "", 'Data Entry'!$o$599)</f>
      </c>
      <c r="AV599">
        <f>IF(ISBLANK('Data Entry'!$p$599), "", 'Data Entry'!$p$599)</f>
      </c>
      <c r="AW599">
        <f>IF(ISBLANK('Data Entry'!$q$599), "", 'Data Entry'!$q$599)</f>
      </c>
      <c r="AX599">
        <f>IF(ISBLANK('Data Entry'!$r$599), "", 'Data Entry'!$r$599)</f>
      </c>
      <c r="AY599">
        <f>IF(ISBLANK('Data Entry'!$s$599), "", 'Data Entry'!$s$599)</f>
      </c>
      <c r="AZ599">
        <f>IF(ISBLANK('Data Entry'!$t$599), "", 'Data Entry'!$t$599)</f>
      </c>
      <c r="BA599">
        <f>IF(ISBLANK('Data Entry'!$u$599), "", 'Data Entry'!$u$599)</f>
      </c>
      <c r="BB599">
        <f>IF(ISBLANK('Data Entry'!$v$599), "", 'Data Entry'!$v$599)</f>
      </c>
      <c r="BC599">
        <f>IF(ISBLANK('Data Entry'!$w$599), "", 'Data Entry'!$w$599)</f>
      </c>
      <c r="BD599">
        <f>IF(ISBLANK('Data Entry'!$x$599), "", 'Data Entry'!$x$599)</f>
      </c>
      <c r="BE599">
        <f>IF(ISBLANK('Data Entry'!$y$599), "", 'Data Entry'!$y$599)</f>
      </c>
      <c r="BF599">
        <f>IF(ISBLANK('Data Entry'!$z$599), "", 'Data Entry'!$z$599)</f>
      </c>
      <c r="BG599">
        <f>IF(ISBLANK('Data Entry'!${$599), "", 'Data Entry'!${$599)</f>
      </c>
      <c r="BH599">
        <f>IF(ISBLANK('Data Entry'!$|$599), "", 'Data Entry'!$|$599)</f>
      </c>
      <c r="BI599">
        <f>IF(ISBLANK('Data Entry'!$}$599), "", 'Data Entry'!$}$599)</f>
      </c>
      <c r="BJ599">
        <f>IF(ISBLANK('Data Entry'!$~$599), "", 'Data Entry'!$~$599)</f>
      </c>
      <c r="BK599">
        <f>IF(ISBLANK('Data Entry'!$$599), "", 'Data Entry'!$$599)</f>
      </c>
      <c r="BL599">
        <f>IF(ISBLANK('Data Entry'!$$599), "", 'Data Entry'!$$599)</f>
      </c>
      <c r="BM599">
        <f>IF(ISBLANK('Data Entry'!$$599), "", 'Data Entry'!$$599)</f>
      </c>
      <c r="BN599">
        <f>IF(ISBLANK('Data Entry'!$$599), "", 'Data Entry'!$$599)</f>
      </c>
      <c r="BO599">
        <f>IF(ISBLANK('Data Entry'!$$599), "", 'Data Entry'!$$599)</f>
      </c>
      <c r="BP599">
        <f>IF(ISBLANK('Data Entry'!$$599), "", 'Data Entry'!$$599)</f>
      </c>
      <c r="BQ599">
        <f>IF(ISBLANK('Data Entry'!$$599), "", 'Data Entry'!$$599)</f>
      </c>
      <c r="BR599">
        <f>IF(ISBLANK('Data Entry'!$$599), "", 'Data Entry'!$$599)</f>
      </c>
      <c r="BS599">
        <f>IF(ISBLANK('Data Entry'!$$599), "", 'Data Entry'!$$599)</f>
      </c>
      <c r="BT599">
        <f>IF(ISBLANK('Data Entry'!$$599), "", 'Data Entry'!$$599)</f>
      </c>
      <c r="BU599">
        <f>IF(ISBLANK('Data Entry'!$$599), "", 'Data Entry'!$$599)</f>
      </c>
      <c r="BV599">
        <f>IF(ISBLANK('Data Entry'!$$599), "", 'Data Entry'!$$599)</f>
      </c>
      <c r="BW599">
        <f>IF(ISBLANK('Data Entry'!$$599), "", 'Data Entry'!$$599)</f>
      </c>
      <c r="BX599">
        <f>IF(ISBLANK('Data Entry'!$$599), "", 'Data Entry'!$$599)</f>
      </c>
      <c r="BY599">
        <f>IF(ISBLANK('Data Entry'!$$599), "", 'Data Entry'!$$599)</f>
      </c>
      <c r="BZ599">
        <f>IF(ISBLANK('Data Entry'!$$599), "", 'Data Entry'!$$599)</f>
      </c>
      <c r="CA599">
        <f>IF(ISBLANK('Data Entry'!$$599), "", 'Data Entry'!$$599)</f>
      </c>
      <c r="CB599">
        <f>IF(ISBLANK('Data Entry'!$$599), "", 'Data Entry'!$$599)</f>
      </c>
      <c r="CC599">
        <f>IF(ISBLANK('Data Entry'!$$599), "", 'Data Entry'!$$599)</f>
      </c>
      <c r="CD599">
        <f>IF(ISBLANK('Data Entry'!$$599), "", 'Data Entry'!$$599)</f>
      </c>
      <c r="CE599">
        <f>IF(ISBLANK('Data Entry'!$$599), "", 'Data Entry'!$$599)</f>
      </c>
      <c r="CF599">
        <f>IF(ISBLANK('Data Entry'!$$599), "", 'Data Entry'!$$599)</f>
      </c>
      <c r="CG599">
        <f>IF(ISBLANK('Data Entry'!$$599), "", 'Data Entry'!$$599)</f>
      </c>
      <c r="CH599">
        <f>IF(ISBLANK('Data Entry'!$$599), "", 'Data Entry'!$$599)</f>
      </c>
      <c r="CI599">
        <f>IF(ISBLANK('Data Entry'!$$599), "", 'Data Entry'!$$599)</f>
      </c>
      <c r="CJ599">
        <f>IF(ISBLANK('Data Entry'!$$599), "", 'Data Entry'!$$599)</f>
      </c>
      <c r="CK599">
        <f>IF(ISBLANK('Data Entry'!$$599), "", 'Data Entry'!$$599)</f>
      </c>
      <c r="CL599">
        <f>IF(ISBLANK('Data Entry'!$$599), "", 'Data Entry'!$$599)</f>
      </c>
      <c r="CM599">
        <f>IF(ISBLANK('Data Entry'!$$599), "", 'Data Entry'!$$599)</f>
      </c>
      <c r="CN599">
        <f>IF(ISBLANK('Data Entry'!$$599), "", 'Data Entry'!$$599)</f>
      </c>
      <c r="CO599">
        <f>IF(ISBLANK('Data Entry'!$$599), "", 'Data Entry'!$$599)</f>
      </c>
      <c r="CP599">
        <f>IF(ISBLANK('Data Entry'!$$599), "", 'Data Entry'!$$599)</f>
      </c>
      <c r="CQ599">
        <f>IF(ISBLANK('Data Entry'!$$599), "", 'Data Entry'!$$599)</f>
      </c>
      <c r="CR599">
        <f>IF(ISBLANK('Data Entry'!$ $599), "", 'Data Entry'!$ $599)</f>
      </c>
      <c r="CS599">
        <f>IF(ISBLANK('Data Entry'!$¡$599), "", 'Data Entry'!$¡$599)</f>
      </c>
      <c r="CT599">
        <f>IF(ISBLANK('Data Entry'!$¢$599), "", 'Data Entry'!$¢$599)</f>
      </c>
      <c r="CU599">
        <f>IF(ISBLANK('Data Entry'!$£$599), "", 'Data Entry'!$£$599)</f>
      </c>
      <c r="CV599">
        <f>IF(ISBLANK('Data Entry'!$¤$599), "", 'Data Entry'!$¤$599)</f>
      </c>
      <c r="CW599">
        <f>IF(ISBLANK('Data Entry'!$¥$599), "", 'Data Entry'!$¥$599)</f>
      </c>
      <c r="CX599">
        <f>IF(ISBLANK('Data Entry'!$¦$599), "", 'Data Entry'!$¦$599)</f>
      </c>
      <c r="CY599">
        <f>IF(ISBLANK('Data Entry'!$§$599), "", 'Data Entry'!$§$599)</f>
      </c>
      <c r="CZ599">
        <f>IF(ISBLANK('Data Entry'!$¨$599), "", 'Data Entry'!$¨$599)</f>
      </c>
      <c r="DA599">
        <f>IF(ISBLANK('Data Entry'!$©$599), "", 'Data Entry'!$©$599)</f>
      </c>
      <c r="DB599">
        <f>IF(ISBLANK('Data Entry'!$ª$599), "", 'Data Entry'!$ª$599)</f>
      </c>
      <c r="DC599">
        <f>IF(ISBLANK('Data Entry'!$«$599), "", 'Data Entry'!$«$599)</f>
      </c>
      <c r="DD599">
        <f>IF(ISBLANK('Data Entry'!$¬$599), "", 'Data Entry'!$¬$599)</f>
      </c>
      <c r="DE599">
        <f>IF(ISBLANK('Data Entry'!$­$599), "", 'Data Entry'!$­$599)</f>
      </c>
      <c r="DF599">
        <f>IF(ISBLANK('Data Entry'!$®$599), "", 'Data Entry'!$®$599)</f>
      </c>
      <c r="DG599">
        <f>IF(ISBLANK('Data Entry'!$¯$599), "", 'Data Entry'!$¯$599)</f>
      </c>
      <c r="DH599">
        <f>IF(ISBLANK('Data Entry'!$°$599), "", 'Data Entry'!$°$599)</f>
      </c>
      <c r="DI599">
        <f>IF(ISBLANK('Data Entry'!$±$599), "", 'Data Entry'!$±$599)</f>
      </c>
      <c r="DJ599">
        <f>IF(ISBLANK('Data Entry'!$²$599), "", 'Data Entry'!$²$599)</f>
      </c>
      <c r="DK599">
        <f>IF(ISBLANK('Data Entry'!$³$599), "", 'Data Entry'!$³$599)</f>
      </c>
      <c r="DL599">
        <f>IF(ISBLANK('Data Entry'!$´$599), "", 'Data Entry'!$´$599)</f>
      </c>
      <c r="DM599">
        <f>IF(ISBLANK('Data Entry'!$µ$599), "", 'Data Entry'!$µ$599)</f>
      </c>
      <c r="DN599">
        <f>IF(ISBLANK('Data Entry'!$¶$599), "", 'Data Entry'!$¶$599)</f>
      </c>
      <c r="DO599">
        <f>IF(ISBLANK('Data Entry'!$·$599), "", 'Data Entry'!$·$599)</f>
      </c>
      <c r="DP599">
        <f>IF(ISBLANK('Data Entry'!$¸$599), "", 'Data Entry'!$¸$599)</f>
      </c>
      <c r="DQ599">
        <f>IF(ISBLANK('Data Entry'!$¹$599), "", 'Data Entry'!$¹$599)</f>
      </c>
      <c r="DR599">
        <f>IF(ISBLANK('Data Entry'!$º$599), "", 'Data Entry'!$º$599)</f>
      </c>
      <c r="DS599">
        <f>IF(ISBLANK('Data Entry'!$»$599), "", 'Data Entry'!$»$599)</f>
      </c>
      <c r="DT599">
        <f>IF(ISBLANK('Data Entry'!$¼$599), "", 'Data Entry'!$¼$599)</f>
      </c>
      <c r="DU599">
        <f>IF(ISBLANK('Data Entry'!$½$599), "", 'Data Entry'!$½$599)</f>
      </c>
      <c r="DV599">
        <f>IF(ISBLANK('Data Entry'!$¾$599), "", 'Data Entry'!$¾$599)</f>
      </c>
      <c r="DW599">
        <f>IF(ISBLANK('Data Entry'!$¿$599), "", 'Data Entry'!$¿$599)</f>
      </c>
      <c r="DX599">
        <f>IF(ISBLANK('Data Entry'!$À$599), "", 'Data Entry'!$À$599)</f>
      </c>
      <c r="DY599">
        <f>IF(ISBLANK('Data Entry'!$Á$599), "", 'Data Entry'!$Á$599)</f>
      </c>
      <c r="DZ599">
        <f>IF(ISBLANK('Data Entry'!$Â$599), "", 'Data Entry'!$Â$599)</f>
      </c>
      <c r="EA599">
        <f>IF(ISBLANK('Data Entry'!$Ã$599), "", 'Data Entry'!$Ã$599)</f>
      </c>
      <c r="EB599">
        <f>IF(ISBLANK('Data Entry'!$Ä$599), "", 'Data Entry'!$Ä$599)</f>
      </c>
      <c r="EC599">
        <f>IF(ISBLANK('Data Entry'!$Å$599), "", 'Data Entry'!$Å$599)</f>
      </c>
      <c r="ED599">
        <f>IF(ISBLANK('Data Entry'!$Æ$599), "", 'Data Entry'!$Æ$599)</f>
      </c>
      <c r="EE599">
        <f>IF(ISBLANK('Data Entry'!$Ç$599), "", 'Data Entry'!$Ç$599)</f>
      </c>
      <c r="EF599">
        <f>IF(ISBLANK('Data Entry'!$È$599), "", 'Data Entry'!$È$599)</f>
      </c>
      <c r="EG599">
        <f>IF(ISBLANK('Data Entry'!$É$599), "", 'Data Entry'!$É$599)</f>
      </c>
      <c r="EH599">
        <f>IF(ISBLANK('Data Entry'!$Ê$599), "", 'Data Entry'!$Ê$599)</f>
      </c>
      <c r="EI599">
        <f>IF(ISBLANK('Data Entry'!$Ë$599), "", 'Data Entry'!$Ë$599)</f>
      </c>
      <c r="EJ599">
        <f>IF(ISBLANK('Data Entry'!$Ì$599), "", 'Data Entry'!$Ì$599)</f>
      </c>
      <c r="EK599">
        <f>IF(ISBLANK('Data Entry'!$Í$599), "", 'Data Entry'!$Í$599)</f>
      </c>
      <c r="EL599">
        <f>IF(ISBLANK('Data Entry'!$Î$599), "", 'Data Entry'!$Î$599)</f>
      </c>
      <c r="EM599">
        <f>IF(ISBLANK('Data Entry'!$Ï$599), "", 'Data Entry'!$Ï$599)</f>
      </c>
      <c r="EN599">
        <f>IF(ISBLANK('Data Entry'!$Ð$599), "", 'Data Entry'!$Ð$599)</f>
      </c>
      <c r="EO599">
        <f>IF(ISBLANK('Data Entry'!$Ñ$599), "", 'Data Entry'!$Ñ$599)</f>
      </c>
      <c r="EP599">
        <f>IF(ISBLANK('Data Entry'!$Ò$599), "", 'Data Entry'!$Ò$599)</f>
      </c>
      <c r="EQ599">
        <f>IF(ISBLANK('Data Entry'!$Ó$599), "", 'Data Entry'!$Ó$599)</f>
      </c>
      <c r="ER599">
        <f>IF(ISBLANK('Data Entry'!$Ô$599), "", 'Data Entry'!$Ô$599)</f>
      </c>
      <c r="ES599">
        <f>IF(ISBLANK('Data Entry'!$Õ$599), "", 'Data Entry'!$Õ$599)</f>
      </c>
      <c r="ET599">
        <f>IF(ISBLANK('Data Entry'!$Ö$599), "", 'Data Entry'!$Ö$599)</f>
      </c>
      <c r="EU599">
        <f>IF(ISBLANK('Data Entry'!$×$599), "", 'Data Entry'!$×$599)</f>
      </c>
      <c r="EV599">
        <f>IF(ISBLANK('Data Entry'!$Ø$599), "", 'Data Entry'!$Ø$599)</f>
      </c>
      <c r="EW599">
        <f>IF(ISBLANK('Data Entry'!$Ù$599), "", 'Data Entry'!$Ù$599)</f>
      </c>
      <c r="EX599">
        <f>IF(ISBLANK('Data Entry'!$Ú$599), "", 'Data Entry'!$Ú$599)</f>
      </c>
      <c r="EY599">
        <f>IF(ISBLANK('Data Entry'!$Û$599), "", 'Data Entry'!$Û$599)</f>
      </c>
      <c r="EZ599">
        <f>IF(ISBLANK('Data Entry'!$Ü$599), "", 'Data Entry'!$Ü$599)</f>
      </c>
      <c r="FA599">
        <f>IF(ISBLANK('Data Entry'!$Ý$599), "", 'Data Entry'!$Ý$599)</f>
      </c>
      <c r="FB599">
        <f>IF(ISBLANK('Data Entry'!$Þ$599), "", 'Data Entry'!$Þ$599)</f>
      </c>
      <c r="FC599">
        <f>IF(ISBLANK('Data Entry'!$ß$599), "", 'Data Entry'!$ß$599)</f>
      </c>
      <c r="FD599">
        <f>IF(ISBLANK('Data Entry'!$à$599), "", 'Data Entry'!$à$599)</f>
      </c>
      <c r="FE599">
        <f>IF(ISBLANK('Data Entry'!$á$599), "", 'Data Entry'!$á$599)</f>
      </c>
      <c r="FF599">
        <f>IF(ISBLANK('Data Entry'!$â$599), "", 'Data Entry'!$â$599)</f>
      </c>
      <c r="FG599">
        <f>IF(ISBLANK('Data Entry'!$ã$599), "", 'Data Entry'!$ã$599)</f>
      </c>
      <c r="FH599">
        <f>IF(ISBLANK('Data Entry'!$ä$599), "", 'Data Entry'!$ä$599)</f>
      </c>
      <c r="FI599">
        <f>IF(ISBLANK('Data Entry'!$å$599), "", 'Data Entry'!$å$599)</f>
      </c>
      <c r="FJ599">
        <f>IF(ISBLANK('Data Entry'!$æ$599), "", 'Data Entry'!$æ$599)</f>
      </c>
      <c r="FK599">
        <f>IF(ISBLANK('Data Entry'!$ç$599), "", 'Data Entry'!$ç$599)</f>
      </c>
      <c r="FL599">
        <f>IF(ISBLANK('Data Entry'!$è$599), "", 'Data Entry'!$è$599)</f>
      </c>
      <c r="FM599">
        <f>IF(ISBLANK('Data Entry'!$é$599), "", 'Data Entry'!$é$599)</f>
      </c>
      <c r="FN599">
        <f>IF(ISBLANK('Data Entry'!$ê$599), "", 'Data Entry'!$ê$599)</f>
      </c>
      <c r="FO599">
        <f>IF(ISBLANK('Data Entry'!$ë$599), "", 'Data Entry'!$ë$599)</f>
      </c>
      <c r="FP599">
        <f>IF(ISBLANK('Data Entry'!$ì$599), "", 'Data Entry'!$ì$599)</f>
      </c>
      <c r="FQ599">
        <f>IF(ISBLANK('Data Entry'!$í$599), "", 'Data Entry'!$í$599)</f>
      </c>
      <c r="FR599">
        <f>IF(ISBLANK('Data Entry'!$î$599), "", 'Data Entry'!$î$599)</f>
      </c>
      <c r="FS599">
        <f>IF(ISBLANK('Data Entry'!$ï$599), "", 'Data Entry'!$ï$599)</f>
      </c>
      <c r="FT599">
        <f>IF(ISBLANK('Data Entry'!$ð$599), "", 'Data Entry'!$ð$599)</f>
      </c>
      <c r="FU599">
        <f>IF(ISBLANK('Data Entry'!$ñ$599), "", 'Data Entry'!$ñ$599)</f>
      </c>
      <c r="FV599">
        <f>IF(ISBLANK('Data Entry'!$ò$599), "", 'Data Entry'!$ò$599)</f>
      </c>
      <c r="FW599">
        <f>IF(ISBLANK('Data Entry'!$ó$599), "", 'Data Entry'!$ó$599)</f>
      </c>
      <c r="FX599">
        <f>IF(ISBLANK('Data Entry'!$ô$599), "", 'Data Entry'!$ô$599)</f>
      </c>
      <c r="FY599">
        <f>IF(ISBLANK('Data Entry'!$õ$599), "", 'Data Entry'!$õ$599)</f>
      </c>
      <c r="FZ599">
        <f>IF(ISBLANK('Data Entry'!$ö$599), "", 'Data Entry'!$ö$599)</f>
      </c>
      <c r="GA599">
        <f>IF(ISBLANK('Data Entry'!$÷$599), "", 'Data Entry'!$÷$599)</f>
      </c>
      <c r="GB599">
        <f>IF(ISBLANK('Data Entry'!$ø$599), "", 'Data Entry'!$ø$599)</f>
      </c>
      <c r="GC599">
        <f>IF(ISBLANK('Data Entry'!$ù$599), "", 'Data Entry'!$ù$599)</f>
      </c>
      <c r="GD599">
        <f>IF(ISBLANK('Data Entry'!$ú$599), "", 'Data Entry'!$ú$599)</f>
      </c>
      <c r="GE599">
        <f>IF(ISBLANK('Data Entry'!$û$599), "", 'Data Entry'!$û$599)</f>
      </c>
      <c r="GF599">
        <f>IF(ISBLANK('Data Entry'!$ü$599), "", 'Data Entry'!$ü$599)</f>
      </c>
      <c r="GG599">
        <f>IF(ISBLANK('Data Entry'!$ý$599), "", 'Data Entry'!$ý$599)</f>
      </c>
      <c r="GH599">
        <f>IF(ISBLANK('Data Entry'!$þ$599), "", 'Data Entry'!$þ$599)</f>
      </c>
      <c r="GI599">
        <f>IF(ISBLANK('Data Entry'!$ÿ$599), "", 'Data Entry'!$ÿ$599)</f>
      </c>
      <c r="GJ599">
        <f>IF(ISBLANK('Data Entry'!$Ā$599), "", 'Data Entry'!$Ā$599)</f>
      </c>
      <c r="GK599">
        <f>IF(ISBLANK('Data Entry'!$ā$599), "", 'Data Entry'!$ā$599)</f>
      </c>
      <c r="GL599">
        <f>IF(ISBLANK('Data Entry'!$Ă$599), "", 'Data Entry'!$Ă$599)</f>
      </c>
      <c r="GM599">
        <f>IF(ISBLANK('Data Entry'!$ă$599), "", 'Data Entry'!$ă$599)</f>
      </c>
      <c r="GN599">
        <f>IF(ISBLANK('Data Entry'!$Ą$599), "", 'Data Entry'!$Ą$599)</f>
      </c>
      <c r="GO599">
        <f>IF(ISBLANK('Data Entry'!$ą$599), "", 'Data Entry'!$ą$599)</f>
      </c>
      <c r="GP599">
        <f>IF(ISBLANK('Data Entry'!$Ć$599), "", 'Data Entry'!$Ć$599)</f>
      </c>
      <c r="GQ599">
        <f>IF(ISBLANK('Data Entry'!$ć$599), "", 'Data Entry'!$ć$599)</f>
      </c>
      <c r="GR599">
        <f>IF(ISBLANK('Data Entry'!$Ĉ$599), "", 'Data Entry'!$Ĉ$599)</f>
      </c>
      <c r="GS599">
        <f>IF(ISBLANK('Data Entry'!$ĉ$599), "", 'Data Entry'!$ĉ$599)</f>
      </c>
      <c r="GT599">
        <f>IF(ISBLANK('Data Entry'!$Ċ$599), "", 'Data Entry'!$Ċ$599)</f>
      </c>
      <c r="GU599">
        <f>IF(ISBLANK('Data Entry'!$ċ$599), "", 'Data Entry'!$ċ$599)</f>
      </c>
      <c r="GV599">
        <f>IF(ISBLANK('Data Entry'!$Č$599), "", 'Data Entry'!$Č$599)</f>
      </c>
      <c r="GW599">
        <f>IF(ISBLANK('Data Entry'!$č$599), "", 'Data Entry'!$č$599)</f>
      </c>
      <c r="GX599">
        <f>IF(ISBLANK('Data Entry'!$Ď$599), "", 'Data Entry'!$Ď$599)</f>
      </c>
      <c r="GY599">
        <f>IF(ISBLANK('Data Entry'!$ď$599), "", 'Data Entry'!$ď$599)</f>
      </c>
      <c r="GZ599">
        <f>IF(ISBLANK('Data Entry'!$Đ$599), "", 'Data Entry'!$Đ$599)</f>
      </c>
      <c r="HA599">
        <f>IF(ISBLANK('Data Entry'!$đ$599), "", 'Data Entry'!$đ$599)</f>
      </c>
      <c r="HB599">
        <f>IF(ISBLANK('Data Entry'!$Ē$599), "", 'Data Entry'!$Ē$599)</f>
      </c>
      <c r="HC599">
        <f>IF(ISBLANK('Data Entry'!$ē$599), "", 'Data Entry'!$ē$599)</f>
      </c>
      <c r="HD599">
        <f>IF(ISBLANK('Data Entry'!$Ĕ$599), "", 'Data Entry'!$Ĕ$599)</f>
      </c>
      <c r="HE599">
        <f>IF(ISBLANK('Data Entry'!$ĕ$599), "", 'Data Entry'!$ĕ$599)</f>
      </c>
      <c r="HF599">
        <f>IF(ISBLANK('Data Entry'!$Ė$599), "", 'Data Entry'!$Ė$599)</f>
      </c>
      <c r="HG599">
        <f>IF(ISBLANK('Data Entry'!$ė$599), "", 'Data Entry'!$ė$599)</f>
      </c>
      <c r="HH599">
        <f>IF(ISBLANK('Data Entry'!$Ę$599), "", 'Data Entry'!$Ę$599)</f>
      </c>
      <c r="HI599">
        <f>IF(ISBLANK('Data Entry'!$ę$599), "", 'Data Entry'!$ę$599)</f>
      </c>
      <c r="HJ599">
        <f>IF(ISBLANK('Data Entry'!$Ě$599), "", 'Data Entry'!$Ě$599)</f>
      </c>
      <c r="HK599">
        <f>IF(ISBLANK('Data Entry'!$ě$599), "", 'Data Entry'!$ě$599)</f>
      </c>
      <c r="HL599">
        <f>IF(ISBLANK('Data Entry'!$Ĝ$599), "", 'Data Entry'!$Ĝ$599)</f>
      </c>
      <c r="HM599">
        <f>IF(ISBLANK('Data Entry'!$ĝ$599), "", 'Data Entry'!$ĝ$599)</f>
      </c>
      <c r="HN599">
        <f>IF(ISBLANK('Data Entry'!$Ğ$599), "", 'Data Entry'!$Ğ$599)</f>
      </c>
      <c r="HO599">
        <f>IF(ISBLANK('Data Entry'!$ğ$599), "", 'Data Entry'!$ğ$599)</f>
      </c>
      <c r="HP599">
        <f>IF(ISBLANK('Data Entry'!$Ġ$599), "", 'Data Entry'!$Ġ$599)</f>
      </c>
      <c r="HQ599">
        <f>IF(ISBLANK('Data Entry'!$ġ$599), "", 'Data Entry'!$ġ$599)</f>
      </c>
      <c r="HR599">
        <f>IF(ISBLANK('Data Entry'!$Ģ$599), "", 'Data Entry'!$Ģ$599)</f>
      </c>
      <c r="HS599">
        <f>IF(ISBLANK('Data Entry'!$ģ$599), "", 'Data Entry'!$ģ$599)</f>
      </c>
      <c r="HT599">
        <f>IF(ISBLANK('Data Entry'!$Ĥ$599), "", 'Data Entry'!$Ĥ$599)</f>
      </c>
      <c r="HU599">
        <f>IF(ISBLANK('Data Entry'!$ĥ$599), "", 'Data Entry'!$ĥ$599)</f>
      </c>
      <c r="HV599">
        <f>IF(ISBLANK('Data Entry'!$Ħ$599), "", 'Data Entry'!$Ħ$599)</f>
      </c>
      <c r="HW599">
        <f>IF(ISBLANK('Data Entry'!$ħ$599), "", 'Data Entry'!$ħ$599)</f>
      </c>
      <c r="HX599">
        <f>IF(ISBLANK('Data Entry'!$Ĩ$599), "", 'Data Entry'!$Ĩ$599)</f>
      </c>
      <c r="HY599">
        <f>IF(ISBLANK('Data Entry'!$ĩ$599), "", 'Data Entry'!$ĩ$599)</f>
      </c>
      <c r="HZ599">
        <f>IF(ISBLANK('Data Entry'!$Ī$599), "", 'Data Entry'!$Ī$599)</f>
      </c>
      <c r="IA599">
        <f>IF(ISBLANK('Data Entry'!$ī$599), "", 'Data Entry'!$ī$599)</f>
      </c>
      <c r="IB599">
        <f>IF(ISBLANK('Data Entry'!$Ĭ$599), "", 'Data Entry'!$Ĭ$599)</f>
      </c>
      <c r="IC599">
        <f>IF(ISBLANK('Data Entry'!$ĭ$599), "", 'Data Entry'!$ĭ$599)</f>
      </c>
      <c r="ID599">
        <f>IF(ISBLANK('Data Entry'!$Į$599), "", 'Data Entry'!$Į$599)</f>
      </c>
      <c r="IE599">
        <f>IF(ISBLANK('Data Entry'!$į$599), "", 'Data Entry'!$į$599)</f>
      </c>
      <c r="IF599">
        <f>IF(ISBLANK('Data Entry'!$İ$599), "", 'Data Entry'!$İ$599)</f>
      </c>
      <c r="IG599">
        <f>IF(ISBLANK('Data Entry'!$ı$599), "", 'Data Entry'!$ı$599)</f>
      </c>
      <c r="IH599">
        <f>IF(ISBLANK('Data Entry'!$Ĳ$599), "", 'Data Entry'!$Ĳ$599)</f>
      </c>
      <c r="II599">
        <f>IF(ISBLANK('Data Entry'!$ĳ$599), "", 'Data Entry'!$ĳ$599)</f>
      </c>
      <c r="IJ599">
        <f>IF(ISBLANK('Data Entry'!$Ĵ$599), "", 'Data Entry'!$Ĵ$599)</f>
      </c>
      <c r="IK599">
        <f>IF(ISBLANK('Data Entry'!$ĵ$599), "", 'Data Entry'!$ĵ$599)</f>
      </c>
      <c r="IL599">
        <f>IF(ISBLANK('Data Entry'!$Ķ$599), "", 'Data Entry'!$Ķ$599)</f>
      </c>
      <c r="IM599">
        <f>IF(ISBLANK('Data Entry'!$ķ$599), "", 'Data Entry'!$ķ$599)</f>
      </c>
      <c r="IN599">
        <f>IF(ISBLANK('Data Entry'!$ĸ$599), "", 'Data Entry'!$ĸ$599)</f>
      </c>
      <c r="IO599">
        <f>IF(ISBLANK('Data Entry'!$Ĺ$599), "", 'Data Entry'!$Ĺ$599)</f>
      </c>
      <c r="IP599">
        <f>IF(ISBLANK('Data Entry'!$ĺ$599), "", 'Data Entry'!$ĺ$599)</f>
      </c>
      <c r="IQ599">
        <f>IF(ISBLANK('Data Entry'!$Ļ$599), "", 'Data Entry'!$Ļ$599)</f>
      </c>
      <c r="IR599">
        <f>IF(ISBLANK('Data Entry'!$ļ$599), "", 'Data Entry'!$ļ$599)</f>
      </c>
      <c r="IS599">
        <f>IF(ISBLANK('Data Entry'!$Ľ$599), "", 'Data Entry'!$Ľ$599)</f>
      </c>
      <c r="IT599">
        <f>IF(ISBLANK('Data Entry'!$ľ$599), "", 'Data Entry'!$ľ$599)</f>
      </c>
    </row>
    <row r="600" spans="1:254" x14ac:dyDescent="0.25">
      <c r="A600">
        <f>IF(ISBLANK('Data Entry'!$A$600), "", 'Data Entry'!$A$600)</f>
      </c>
      <c r="B600">
        <f>IF(ISBLANK('Data Entry'!$B$600), "", 'Data Entry'!$B$600)</f>
      </c>
      <c r="C600">
        <f>IF(ISBLANK('Data Entry'!$C$600), "", 'Data Entry'!$C$600)</f>
      </c>
      <c r="D600">
        <f>IF(ISBLANK('Data Entry'!$D$600), "", 'Data Entry'!$D$600)</f>
      </c>
      <c r="E600">
        <f>IF(ISBLANK('Data Entry'!$E$600), "", 'Data Entry'!$E$600)</f>
      </c>
      <c r="F600">
        <f>IF(ISBLANK('Data Entry'!$F$600), "", 'Data Entry'!$F$600)</f>
      </c>
      <c r="G600">
        <f>IF(ISBLANK('Data Entry'!$G$600), "", 'Data Entry'!$G$600)</f>
      </c>
      <c r="H600">
        <f>IF(ISBLANK('Data Entry'!$H$600), "", 'Data Entry'!$H$600)</f>
      </c>
      <c r="I600">
        <f>IF(ISBLANK('Data Entry'!$I$600), "", 'Data Entry'!$I$600)</f>
      </c>
      <c r="J600">
        <f>IF(ISBLANK('Data Entry'!$J$600), "", 'Data Entry'!$J$600)</f>
      </c>
      <c r="K600">
        <f>IF(ISBLANK('Data Entry'!$K$600), "", 'Data Entry'!$K$600)</f>
      </c>
      <c r="L600">
        <f>IF(ISBLANK('Data Entry'!$L$600), "", 'Data Entry'!$L$600)</f>
      </c>
      <c r="M600">
        <f>IF(ISBLANK('Data Entry'!$M$600), "", 'Data Entry'!$M$600)</f>
      </c>
      <c r="N600">
        <f>IF(ISBLANK('Data Entry'!$N$600), "", 'Data Entry'!$N$600)</f>
      </c>
      <c r="O600">
        <f>IF(ISBLANK('Data Entry'!$O$600), "", 'Data Entry'!$O$600)</f>
      </c>
      <c r="P600">
        <f>IF(ISBLANK('Data Entry'!$P$600), "", 'Data Entry'!$P$600)</f>
      </c>
      <c r="Q600">
        <f>IF(ISBLANK('Data Entry'!$Q$600), "", 'Data Entry'!$Q$600)</f>
      </c>
      <c r="R600">
        <f>IF(ISBLANK('Data Entry'!$R$600), "", 'Data Entry'!$R$600)</f>
      </c>
      <c r="S600">
        <f>IF(ISBLANK('Data Entry'!$S$600), "", 'Data Entry'!$S$600)</f>
      </c>
      <c r="T600">
        <f>IF(ISBLANK('Data Entry'!$T$600), "", 'Data Entry'!$T$600)</f>
      </c>
      <c r="U600">
        <f>IF(ISBLANK('Data Entry'!$U$600), "", 'Data Entry'!$U$600)</f>
      </c>
      <c r="V600">
        <f>IF(ISBLANK('Data Entry'!$V$600), "", 'Data Entry'!$V$600)</f>
      </c>
      <c r="W600">
        <f>IF(ISBLANK('Data Entry'!$W$600), "", 'Data Entry'!$W$600)</f>
      </c>
      <c r="X600">
        <f>IF(ISBLANK('Data Entry'!$X$600), "", 'Data Entry'!$X$600)</f>
      </c>
      <c r="Y600">
        <f>IF(ISBLANK('Data Entry'!$Y$600), "", 'Data Entry'!$Y$600)</f>
      </c>
      <c r="Z600">
        <f>IF(ISBLANK('Data Entry'!$Z$600), "", 'Data Entry'!$Z$600)</f>
      </c>
      <c r="AA600">
        <f>IF(ISBLANK('Data Entry'!$[$600), "", 'Data Entry'!$[$600)</f>
      </c>
      <c r="AB600">
        <f>IF(ISBLANK('Data Entry'!$\$600), "", 'Data Entry'!$\$600)</f>
      </c>
      <c r="AC600">
        <f>IF(ISBLANK('Data Entry'!$]$600), "", 'Data Entry'!$]$600)</f>
      </c>
      <c r="AD600">
        <f>IF(ISBLANK('Data Entry'!$^$600), "", 'Data Entry'!$^$600)</f>
      </c>
      <c r="AE600">
        <f>IF(ISBLANK('Data Entry'!$_$600), "", 'Data Entry'!$_$600)</f>
      </c>
      <c r="AF600">
        <f>IF(ISBLANK('Data Entry'!$`$600), "", 'Data Entry'!$`$600)</f>
      </c>
      <c r="AG600">
        <f>IF(ISBLANK('Data Entry'!$a$600), "", 'Data Entry'!$a$600)</f>
      </c>
      <c r="AH600">
        <f>IF(ISBLANK('Data Entry'!$b$600), "", 'Data Entry'!$b$600)</f>
      </c>
      <c r="AI600">
        <f>IF(ISBLANK('Data Entry'!$c$600), "", 'Data Entry'!$c$600)</f>
      </c>
      <c r="AJ600">
        <f>IF(ISBLANK('Data Entry'!$d$600), "", 'Data Entry'!$d$600)</f>
      </c>
      <c r="AK600">
        <f>IF(ISBLANK('Data Entry'!$e$600), "", 'Data Entry'!$e$600)</f>
      </c>
      <c r="AL600">
        <f>IF(ISBLANK('Data Entry'!$f$600), "", 'Data Entry'!$f$600)</f>
      </c>
      <c r="AM600">
        <f>IF(ISBLANK('Data Entry'!$g$600), "", 'Data Entry'!$g$600)</f>
      </c>
      <c r="AN600">
        <f>IF(ISBLANK('Data Entry'!$h$600), "", 'Data Entry'!$h$600)</f>
      </c>
      <c r="AO600">
        <f>IF(ISBLANK('Data Entry'!$i$600), "", 'Data Entry'!$i$600)</f>
      </c>
      <c r="AP600">
        <f>IF(ISBLANK('Data Entry'!$j$600), "", 'Data Entry'!$j$600)</f>
      </c>
      <c r="AQ600">
        <f>IF(ISBLANK('Data Entry'!$k$600), "", 'Data Entry'!$k$600)</f>
      </c>
      <c r="AR600">
        <f>IF(ISBLANK('Data Entry'!$l$600), "", 'Data Entry'!$l$600)</f>
      </c>
      <c r="AS600">
        <f>IF(ISBLANK('Data Entry'!$m$600), "", 'Data Entry'!$m$600)</f>
      </c>
      <c r="AT600">
        <f>IF(ISBLANK('Data Entry'!$n$600), "", 'Data Entry'!$n$600)</f>
      </c>
      <c r="AU600">
        <f>IF(ISBLANK('Data Entry'!$o$600), "", 'Data Entry'!$o$600)</f>
      </c>
      <c r="AV600">
        <f>IF(ISBLANK('Data Entry'!$p$600), "", 'Data Entry'!$p$600)</f>
      </c>
      <c r="AW600">
        <f>IF(ISBLANK('Data Entry'!$q$600), "", 'Data Entry'!$q$600)</f>
      </c>
      <c r="AX600">
        <f>IF(ISBLANK('Data Entry'!$r$600), "", 'Data Entry'!$r$600)</f>
      </c>
      <c r="AY600">
        <f>IF(ISBLANK('Data Entry'!$s$600), "", 'Data Entry'!$s$600)</f>
      </c>
      <c r="AZ600">
        <f>IF(ISBLANK('Data Entry'!$t$600), "", 'Data Entry'!$t$600)</f>
      </c>
      <c r="BA600">
        <f>IF(ISBLANK('Data Entry'!$u$600), "", 'Data Entry'!$u$600)</f>
      </c>
      <c r="BB600">
        <f>IF(ISBLANK('Data Entry'!$v$600), "", 'Data Entry'!$v$600)</f>
      </c>
      <c r="BC600">
        <f>IF(ISBLANK('Data Entry'!$w$600), "", 'Data Entry'!$w$600)</f>
      </c>
      <c r="BD600">
        <f>IF(ISBLANK('Data Entry'!$x$600), "", 'Data Entry'!$x$600)</f>
      </c>
      <c r="BE600">
        <f>IF(ISBLANK('Data Entry'!$y$600), "", 'Data Entry'!$y$600)</f>
      </c>
      <c r="BF600">
        <f>IF(ISBLANK('Data Entry'!$z$600), "", 'Data Entry'!$z$600)</f>
      </c>
      <c r="BG600">
        <f>IF(ISBLANK('Data Entry'!${$600), "", 'Data Entry'!${$600)</f>
      </c>
      <c r="BH600">
        <f>IF(ISBLANK('Data Entry'!$|$600), "", 'Data Entry'!$|$600)</f>
      </c>
      <c r="BI600">
        <f>IF(ISBLANK('Data Entry'!$}$600), "", 'Data Entry'!$}$600)</f>
      </c>
      <c r="BJ600">
        <f>IF(ISBLANK('Data Entry'!$~$600), "", 'Data Entry'!$~$600)</f>
      </c>
      <c r="BK600">
        <f>IF(ISBLANK('Data Entry'!$$600), "", 'Data Entry'!$$600)</f>
      </c>
      <c r="BL600">
        <f>IF(ISBLANK('Data Entry'!$$600), "", 'Data Entry'!$$600)</f>
      </c>
      <c r="BM600">
        <f>IF(ISBLANK('Data Entry'!$$600), "", 'Data Entry'!$$600)</f>
      </c>
      <c r="BN600">
        <f>IF(ISBLANK('Data Entry'!$$600), "", 'Data Entry'!$$600)</f>
      </c>
      <c r="BO600">
        <f>IF(ISBLANK('Data Entry'!$$600), "", 'Data Entry'!$$600)</f>
      </c>
      <c r="BP600">
        <f>IF(ISBLANK('Data Entry'!$$600), "", 'Data Entry'!$$600)</f>
      </c>
      <c r="BQ600">
        <f>IF(ISBLANK('Data Entry'!$$600), "", 'Data Entry'!$$600)</f>
      </c>
      <c r="BR600">
        <f>IF(ISBLANK('Data Entry'!$$600), "", 'Data Entry'!$$600)</f>
      </c>
      <c r="BS600">
        <f>IF(ISBLANK('Data Entry'!$$600), "", 'Data Entry'!$$600)</f>
      </c>
      <c r="BT600">
        <f>IF(ISBLANK('Data Entry'!$$600), "", 'Data Entry'!$$600)</f>
      </c>
      <c r="BU600">
        <f>IF(ISBLANK('Data Entry'!$$600), "", 'Data Entry'!$$600)</f>
      </c>
      <c r="BV600">
        <f>IF(ISBLANK('Data Entry'!$$600), "", 'Data Entry'!$$600)</f>
      </c>
      <c r="BW600">
        <f>IF(ISBLANK('Data Entry'!$$600), "", 'Data Entry'!$$600)</f>
      </c>
      <c r="BX600">
        <f>IF(ISBLANK('Data Entry'!$$600), "", 'Data Entry'!$$600)</f>
      </c>
      <c r="BY600">
        <f>IF(ISBLANK('Data Entry'!$$600), "", 'Data Entry'!$$600)</f>
      </c>
      <c r="BZ600">
        <f>IF(ISBLANK('Data Entry'!$$600), "", 'Data Entry'!$$600)</f>
      </c>
      <c r="CA600">
        <f>IF(ISBLANK('Data Entry'!$$600), "", 'Data Entry'!$$600)</f>
      </c>
      <c r="CB600">
        <f>IF(ISBLANK('Data Entry'!$$600), "", 'Data Entry'!$$600)</f>
      </c>
      <c r="CC600">
        <f>IF(ISBLANK('Data Entry'!$$600), "", 'Data Entry'!$$600)</f>
      </c>
      <c r="CD600">
        <f>IF(ISBLANK('Data Entry'!$$600), "", 'Data Entry'!$$600)</f>
      </c>
      <c r="CE600">
        <f>IF(ISBLANK('Data Entry'!$$600), "", 'Data Entry'!$$600)</f>
      </c>
      <c r="CF600">
        <f>IF(ISBLANK('Data Entry'!$$600), "", 'Data Entry'!$$600)</f>
      </c>
      <c r="CG600">
        <f>IF(ISBLANK('Data Entry'!$$600), "", 'Data Entry'!$$600)</f>
      </c>
      <c r="CH600">
        <f>IF(ISBLANK('Data Entry'!$$600), "", 'Data Entry'!$$600)</f>
      </c>
      <c r="CI600">
        <f>IF(ISBLANK('Data Entry'!$$600), "", 'Data Entry'!$$600)</f>
      </c>
      <c r="CJ600">
        <f>IF(ISBLANK('Data Entry'!$$600), "", 'Data Entry'!$$600)</f>
      </c>
      <c r="CK600">
        <f>IF(ISBLANK('Data Entry'!$$600), "", 'Data Entry'!$$600)</f>
      </c>
      <c r="CL600">
        <f>IF(ISBLANK('Data Entry'!$$600), "", 'Data Entry'!$$600)</f>
      </c>
      <c r="CM600">
        <f>IF(ISBLANK('Data Entry'!$$600), "", 'Data Entry'!$$600)</f>
      </c>
      <c r="CN600">
        <f>IF(ISBLANK('Data Entry'!$$600), "", 'Data Entry'!$$600)</f>
      </c>
      <c r="CO600">
        <f>IF(ISBLANK('Data Entry'!$$600), "", 'Data Entry'!$$600)</f>
      </c>
      <c r="CP600">
        <f>IF(ISBLANK('Data Entry'!$$600), "", 'Data Entry'!$$600)</f>
      </c>
      <c r="CQ600">
        <f>IF(ISBLANK('Data Entry'!$$600), "", 'Data Entry'!$$600)</f>
      </c>
      <c r="CR600">
        <f>IF(ISBLANK('Data Entry'!$ $600), "", 'Data Entry'!$ $600)</f>
      </c>
      <c r="CS600">
        <f>IF(ISBLANK('Data Entry'!$¡$600), "", 'Data Entry'!$¡$600)</f>
      </c>
      <c r="CT600">
        <f>IF(ISBLANK('Data Entry'!$¢$600), "", 'Data Entry'!$¢$600)</f>
      </c>
      <c r="CU600">
        <f>IF(ISBLANK('Data Entry'!$£$600), "", 'Data Entry'!$£$600)</f>
      </c>
      <c r="CV600">
        <f>IF(ISBLANK('Data Entry'!$¤$600), "", 'Data Entry'!$¤$600)</f>
      </c>
      <c r="CW600">
        <f>IF(ISBLANK('Data Entry'!$¥$600), "", 'Data Entry'!$¥$600)</f>
      </c>
      <c r="CX600">
        <f>IF(ISBLANK('Data Entry'!$¦$600), "", 'Data Entry'!$¦$600)</f>
      </c>
      <c r="CY600">
        <f>IF(ISBLANK('Data Entry'!$§$600), "", 'Data Entry'!$§$600)</f>
      </c>
      <c r="CZ600">
        <f>IF(ISBLANK('Data Entry'!$¨$600), "", 'Data Entry'!$¨$600)</f>
      </c>
      <c r="DA600">
        <f>IF(ISBLANK('Data Entry'!$©$600), "", 'Data Entry'!$©$600)</f>
      </c>
      <c r="DB600">
        <f>IF(ISBLANK('Data Entry'!$ª$600), "", 'Data Entry'!$ª$600)</f>
      </c>
      <c r="DC600">
        <f>IF(ISBLANK('Data Entry'!$«$600), "", 'Data Entry'!$«$600)</f>
      </c>
      <c r="DD600">
        <f>IF(ISBLANK('Data Entry'!$¬$600), "", 'Data Entry'!$¬$600)</f>
      </c>
      <c r="DE600">
        <f>IF(ISBLANK('Data Entry'!$­$600), "", 'Data Entry'!$­$600)</f>
      </c>
      <c r="DF600">
        <f>IF(ISBLANK('Data Entry'!$®$600), "", 'Data Entry'!$®$600)</f>
      </c>
      <c r="DG600">
        <f>IF(ISBLANK('Data Entry'!$¯$600), "", 'Data Entry'!$¯$600)</f>
      </c>
      <c r="DH600">
        <f>IF(ISBLANK('Data Entry'!$°$600), "", 'Data Entry'!$°$600)</f>
      </c>
      <c r="DI600">
        <f>IF(ISBLANK('Data Entry'!$±$600), "", 'Data Entry'!$±$600)</f>
      </c>
      <c r="DJ600">
        <f>IF(ISBLANK('Data Entry'!$²$600), "", 'Data Entry'!$²$600)</f>
      </c>
      <c r="DK600">
        <f>IF(ISBLANK('Data Entry'!$³$600), "", 'Data Entry'!$³$600)</f>
      </c>
      <c r="DL600">
        <f>IF(ISBLANK('Data Entry'!$´$600), "", 'Data Entry'!$´$600)</f>
      </c>
      <c r="DM600">
        <f>IF(ISBLANK('Data Entry'!$µ$600), "", 'Data Entry'!$µ$600)</f>
      </c>
      <c r="DN600">
        <f>IF(ISBLANK('Data Entry'!$¶$600), "", 'Data Entry'!$¶$600)</f>
      </c>
      <c r="DO600">
        <f>IF(ISBLANK('Data Entry'!$·$600), "", 'Data Entry'!$·$600)</f>
      </c>
      <c r="DP600">
        <f>IF(ISBLANK('Data Entry'!$¸$600), "", 'Data Entry'!$¸$600)</f>
      </c>
      <c r="DQ600">
        <f>IF(ISBLANK('Data Entry'!$¹$600), "", 'Data Entry'!$¹$600)</f>
      </c>
      <c r="DR600">
        <f>IF(ISBLANK('Data Entry'!$º$600), "", 'Data Entry'!$º$600)</f>
      </c>
      <c r="DS600">
        <f>IF(ISBLANK('Data Entry'!$»$600), "", 'Data Entry'!$»$600)</f>
      </c>
      <c r="DT600">
        <f>IF(ISBLANK('Data Entry'!$¼$600), "", 'Data Entry'!$¼$600)</f>
      </c>
      <c r="DU600">
        <f>IF(ISBLANK('Data Entry'!$½$600), "", 'Data Entry'!$½$600)</f>
      </c>
      <c r="DV600">
        <f>IF(ISBLANK('Data Entry'!$¾$600), "", 'Data Entry'!$¾$600)</f>
      </c>
      <c r="DW600">
        <f>IF(ISBLANK('Data Entry'!$¿$600), "", 'Data Entry'!$¿$600)</f>
      </c>
      <c r="DX600">
        <f>IF(ISBLANK('Data Entry'!$À$600), "", 'Data Entry'!$À$600)</f>
      </c>
      <c r="DY600">
        <f>IF(ISBLANK('Data Entry'!$Á$600), "", 'Data Entry'!$Á$600)</f>
      </c>
      <c r="DZ600">
        <f>IF(ISBLANK('Data Entry'!$Â$600), "", 'Data Entry'!$Â$600)</f>
      </c>
      <c r="EA600">
        <f>IF(ISBLANK('Data Entry'!$Ã$600), "", 'Data Entry'!$Ã$600)</f>
      </c>
      <c r="EB600">
        <f>IF(ISBLANK('Data Entry'!$Ä$600), "", 'Data Entry'!$Ä$600)</f>
      </c>
      <c r="EC600">
        <f>IF(ISBLANK('Data Entry'!$Å$600), "", 'Data Entry'!$Å$600)</f>
      </c>
      <c r="ED600">
        <f>IF(ISBLANK('Data Entry'!$Æ$600), "", 'Data Entry'!$Æ$600)</f>
      </c>
      <c r="EE600">
        <f>IF(ISBLANK('Data Entry'!$Ç$600), "", 'Data Entry'!$Ç$600)</f>
      </c>
      <c r="EF600">
        <f>IF(ISBLANK('Data Entry'!$È$600), "", 'Data Entry'!$È$600)</f>
      </c>
      <c r="EG600">
        <f>IF(ISBLANK('Data Entry'!$É$600), "", 'Data Entry'!$É$600)</f>
      </c>
      <c r="EH600">
        <f>IF(ISBLANK('Data Entry'!$Ê$600), "", 'Data Entry'!$Ê$600)</f>
      </c>
      <c r="EI600">
        <f>IF(ISBLANK('Data Entry'!$Ë$600), "", 'Data Entry'!$Ë$600)</f>
      </c>
      <c r="EJ600">
        <f>IF(ISBLANK('Data Entry'!$Ì$600), "", 'Data Entry'!$Ì$600)</f>
      </c>
      <c r="EK600">
        <f>IF(ISBLANK('Data Entry'!$Í$600), "", 'Data Entry'!$Í$600)</f>
      </c>
      <c r="EL600">
        <f>IF(ISBLANK('Data Entry'!$Î$600), "", 'Data Entry'!$Î$600)</f>
      </c>
      <c r="EM600">
        <f>IF(ISBLANK('Data Entry'!$Ï$600), "", 'Data Entry'!$Ï$600)</f>
      </c>
      <c r="EN600">
        <f>IF(ISBLANK('Data Entry'!$Ð$600), "", 'Data Entry'!$Ð$600)</f>
      </c>
      <c r="EO600">
        <f>IF(ISBLANK('Data Entry'!$Ñ$600), "", 'Data Entry'!$Ñ$600)</f>
      </c>
      <c r="EP600">
        <f>IF(ISBLANK('Data Entry'!$Ò$600), "", 'Data Entry'!$Ò$600)</f>
      </c>
      <c r="EQ600">
        <f>IF(ISBLANK('Data Entry'!$Ó$600), "", 'Data Entry'!$Ó$600)</f>
      </c>
      <c r="ER600">
        <f>IF(ISBLANK('Data Entry'!$Ô$600), "", 'Data Entry'!$Ô$600)</f>
      </c>
      <c r="ES600">
        <f>IF(ISBLANK('Data Entry'!$Õ$600), "", 'Data Entry'!$Õ$600)</f>
      </c>
      <c r="ET600">
        <f>IF(ISBLANK('Data Entry'!$Ö$600), "", 'Data Entry'!$Ö$600)</f>
      </c>
      <c r="EU600">
        <f>IF(ISBLANK('Data Entry'!$×$600), "", 'Data Entry'!$×$600)</f>
      </c>
      <c r="EV600">
        <f>IF(ISBLANK('Data Entry'!$Ø$600), "", 'Data Entry'!$Ø$600)</f>
      </c>
      <c r="EW600">
        <f>IF(ISBLANK('Data Entry'!$Ù$600), "", 'Data Entry'!$Ù$600)</f>
      </c>
      <c r="EX600">
        <f>IF(ISBLANK('Data Entry'!$Ú$600), "", 'Data Entry'!$Ú$600)</f>
      </c>
      <c r="EY600">
        <f>IF(ISBLANK('Data Entry'!$Û$600), "", 'Data Entry'!$Û$600)</f>
      </c>
      <c r="EZ600">
        <f>IF(ISBLANK('Data Entry'!$Ü$600), "", 'Data Entry'!$Ü$600)</f>
      </c>
      <c r="FA600">
        <f>IF(ISBLANK('Data Entry'!$Ý$600), "", 'Data Entry'!$Ý$600)</f>
      </c>
      <c r="FB600">
        <f>IF(ISBLANK('Data Entry'!$Þ$600), "", 'Data Entry'!$Þ$600)</f>
      </c>
      <c r="FC600">
        <f>IF(ISBLANK('Data Entry'!$ß$600), "", 'Data Entry'!$ß$600)</f>
      </c>
      <c r="FD600">
        <f>IF(ISBLANK('Data Entry'!$à$600), "", 'Data Entry'!$à$600)</f>
      </c>
      <c r="FE600">
        <f>IF(ISBLANK('Data Entry'!$á$600), "", 'Data Entry'!$á$600)</f>
      </c>
      <c r="FF600">
        <f>IF(ISBLANK('Data Entry'!$â$600), "", 'Data Entry'!$â$600)</f>
      </c>
      <c r="FG600">
        <f>IF(ISBLANK('Data Entry'!$ã$600), "", 'Data Entry'!$ã$600)</f>
      </c>
      <c r="FH600">
        <f>IF(ISBLANK('Data Entry'!$ä$600), "", 'Data Entry'!$ä$600)</f>
      </c>
      <c r="FI600">
        <f>IF(ISBLANK('Data Entry'!$å$600), "", 'Data Entry'!$å$600)</f>
      </c>
      <c r="FJ600">
        <f>IF(ISBLANK('Data Entry'!$æ$600), "", 'Data Entry'!$æ$600)</f>
      </c>
      <c r="FK600">
        <f>IF(ISBLANK('Data Entry'!$ç$600), "", 'Data Entry'!$ç$600)</f>
      </c>
      <c r="FL600">
        <f>IF(ISBLANK('Data Entry'!$è$600), "", 'Data Entry'!$è$600)</f>
      </c>
      <c r="FM600">
        <f>IF(ISBLANK('Data Entry'!$é$600), "", 'Data Entry'!$é$600)</f>
      </c>
      <c r="FN600">
        <f>IF(ISBLANK('Data Entry'!$ê$600), "", 'Data Entry'!$ê$600)</f>
      </c>
      <c r="FO600">
        <f>IF(ISBLANK('Data Entry'!$ë$600), "", 'Data Entry'!$ë$600)</f>
      </c>
      <c r="FP600">
        <f>IF(ISBLANK('Data Entry'!$ì$600), "", 'Data Entry'!$ì$600)</f>
      </c>
      <c r="FQ600">
        <f>IF(ISBLANK('Data Entry'!$í$600), "", 'Data Entry'!$í$600)</f>
      </c>
      <c r="FR600">
        <f>IF(ISBLANK('Data Entry'!$î$600), "", 'Data Entry'!$î$600)</f>
      </c>
      <c r="FS600">
        <f>IF(ISBLANK('Data Entry'!$ï$600), "", 'Data Entry'!$ï$600)</f>
      </c>
      <c r="FT600">
        <f>IF(ISBLANK('Data Entry'!$ð$600), "", 'Data Entry'!$ð$600)</f>
      </c>
      <c r="FU600">
        <f>IF(ISBLANK('Data Entry'!$ñ$600), "", 'Data Entry'!$ñ$600)</f>
      </c>
      <c r="FV600">
        <f>IF(ISBLANK('Data Entry'!$ò$600), "", 'Data Entry'!$ò$600)</f>
      </c>
      <c r="FW600">
        <f>IF(ISBLANK('Data Entry'!$ó$600), "", 'Data Entry'!$ó$600)</f>
      </c>
      <c r="FX600">
        <f>IF(ISBLANK('Data Entry'!$ô$600), "", 'Data Entry'!$ô$600)</f>
      </c>
      <c r="FY600">
        <f>IF(ISBLANK('Data Entry'!$õ$600), "", 'Data Entry'!$õ$600)</f>
      </c>
      <c r="FZ600">
        <f>IF(ISBLANK('Data Entry'!$ö$600), "", 'Data Entry'!$ö$600)</f>
      </c>
      <c r="GA600">
        <f>IF(ISBLANK('Data Entry'!$÷$600), "", 'Data Entry'!$÷$600)</f>
      </c>
      <c r="GB600">
        <f>IF(ISBLANK('Data Entry'!$ø$600), "", 'Data Entry'!$ø$600)</f>
      </c>
      <c r="GC600">
        <f>IF(ISBLANK('Data Entry'!$ù$600), "", 'Data Entry'!$ù$600)</f>
      </c>
      <c r="GD600">
        <f>IF(ISBLANK('Data Entry'!$ú$600), "", 'Data Entry'!$ú$600)</f>
      </c>
      <c r="GE600">
        <f>IF(ISBLANK('Data Entry'!$û$600), "", 'Data Entry'!$û$600)</f>
      </c>
      <c r="GF600">
        <f>IF(ISBLANK('Data Entry'!$ü$600), "", 'Data Entry'!$ü$600)</f>
      </c>
      <c r="GG600">
        <f>IF(ISBLANK('Data Entry'!$ý$600), "", 'Data Entry'!$ý$600)</f>
      </c>
      <c r="GH600">
        <f>IF(ISBLANK('Data Entry'!$þ$600), "", 'Data Entry'!$þ$600)</f>
      </c>
      <c r="GI600">
        <f>IF(ISBLANK('Data Entry'!$ÿ$600), "", 'Data Entry'!$ÿ$600)</f>
      </c>
      <c r="GJ600">
        <f>IF(ISBLANK('Data Entry'!$Ā$600), "", 'Data Entry'!$Ā$600)</f>
      </c>
      <c r="GK600">
        <f>IF(ISBLANK('Data Entry'!$ā$600), "", 'Data Entry'!$ā$600)</f>
      </c>
      <c r="GL600">
        <f>IF(ISBLANK('Data Entry'!$Ă$600), "", 'Data Entry'!$Ă$600)</f>
      </c>
      <c r="GM600">
        <f>IF(ISBLANK('Data Entry'!$ă$600), "", 'Data Entry'!$ă$600)</f>
      </c>
      <c r="GN600">
        <f>IF(ISBLANK('Data Entry'!$Ą$600), "", 'Data Entry'!$Ą$600)</f>
      </c>
      <c r="GO600">
        <f>IF(ISBLANK('Data Entry'!$ą$600), "", 'Data Entry'!$ą$600)</f>
      </c>
      <c r="GP600">
        <f>IF(ISBLANK('Data Entry'!$Ć$600), "", 'Data Entry'!$Ć$600)</f>
      </c>
      <c r="GQ600">
        <f>IF(ISBLANK('Data Entry'!$ć$600), "", 'Data Entry'!$ć$600)</f>
      </c>
      <c r="GR600">
        <f>IF(ISBLANK('Data Entry'!$Ĉ$600), "", 'Data Entry'!$Ĉ$600)</f>
      </c>
      <c r="GS600">
        <f>IF(ISBLANK('Data Entry'!$ĉ$600), "", 'Data Entry'!$ĉ$600)</f>
      </c>
      <c r="GT600">
        <f>IF(ISBLANK('Data Entry'!$Ċ$600), "", 'Data Entry'!$Ċ$600)</f>
      </c>
      <c r="GU600">
        <f>IF(ISBLANK('Data Entry'!$ċ$600), "", 'Data Entry'!$ċ$600)</f>
      </c>
      <c r="GV600">
        <f>IF(ISBLANK('Data Entry'!$Č$600), "", 'Data Entry'!$Č$600)</f>
      </c>
      <c r="GW600">
        <f>IF(ISBLANK('Data Entry'!$č$600), "", 'Data Entry'!$č$600)</f>
      </c>
      <c r="GX600">
        <f>IF(ISBLANK('Data Entry'!$Ď$600), "", 'Data Entry'!$Ď$600)</f>
      </c>
      <c r="GY600">
        <f>IF(ISBLANK('Data Entry'!$ď$600), "", 'Data Entry'!$ď$600)</f>
      </c>
      <c r="GZ600">
        <f>IF(ISBLANK('Data Entry'!$Đ$600), "", 'Data Entry'!$Đ$600)</f>
      </c>
      <c r="HA600">
        <f>IF(ISBLANK('Data Entry'!$đ$600), "", 'Data Entry'!$đ$600)</f>
      </c>
      <c r="HB600">
        <f>IF(ISBLANK('Data Entry'!$Ē$600), "", 'Data Entry'!$Ē$600)</f>
      </c>
      <c r="HC600">
        <f>IF(ISBLANK('Data Entry'!$ē$600), "", 'Data Entry'!$ē$600)</f>
      </c>
      <c r="HD600">
        <f>IF(ISBLANK('Data Entry'!$Ĕ$600), "", 'Data Entry'!$Ĕ$600)</f>
      </c>
      <c r="HE600">
        <f>IF(ISBLANK('Data Entry'!$ĕ$600), "", 'Data Entry'!$ĕ$600)</f>
      </c>
      <c r="HF600">
        <f>IF(ISBLANK('Data Entry'!$Ė$600), "", 'Data Entry'!$Ė$600)</f>
      </c>
      <c r="HG600">
        <f>IF(ISBLANK('Data Entry'!$ė$600), "", 'Data Entry'!$ė$600)</f>
      </c>
      <c r="HH600">
        <f>IF(ISBLANK('Data Entry'!$Ę$600), "", 'Data Entry'!$Ę$600)</f>
      </c>
      <c r="HI600">
        <f>IF(ISBLANK('Data Entry'!$ę$600), "", 'Data Entry'!$ę$600)</f>
      </c>
      <c r="HJ600">
        <f>IF(ISBLANK('Data Entry'!$Ě$600), "", 'Data Entry'!$Ě$600)</f>
      </c>
      <c r="HK600">
        <f>IF(ISBLANK('Data Entry'!$ě$600), "", 'Data Entry'!$ě$600)</f>
      </c>
      <c r="HL600">
        <f>IF(ISBLANK('Data Entry'!$Ĝ$600), "", 'Data Entry'!$Ĝ$600)</f>
      </c>
      <c r="HM600">
        <f>IF(ISBLANK('Data Entry'!$ĝ$600), "", 'Data Entry'!$ĝ$600)</f>
      </c>
      <c r="HN600">
        <f>IF(ISBLANK('Data Entry'!$Ğ$600), "", 'Data Entry'!$Ğ$600)</f>
      </c>
      <c r="HO600">
        <f>IF(ISBLANK('Data Entry'!$ğ$600), "", 'Data Entry'!$ğ$600)</f>
      </c>
      <c r="HP600">
        <f>IF(ISBLANK('Data Entry'!$Ġ$600), "", 'Data Entry'!$Ġ$600)</f>
      </c>
      <c r="HQ600">
        <f>IF(ISBLANK('Data Entry'!$ġ$600), "", 'Data Entry'!$ġ$600)</f>
      </c>
      <c r="HR600">
        <f>IF(ISBLANK('Data Entry'!$Ģ$600), "", 'Data Entry'!$Ģ$600)</f>
      </c>
      <c r="HS600">
        <f>IF(ISBLANK('Data Entry'!$ģ$600), "", 'Data Entry'!$ģ$600)</f>
      </c>
      <c r="HT600">
        <f>IF(ISBLANK('Data Entry'!$Ĥ$600), "", 'Data Entry'!$Ĥ$600)</f>
      </c>
      <c r="HU600">
        <f>IF(ISBLANK('Data Entry'!$ĥ$600), "", 'Data Entry'!$ĥ$600)</f>
      </c>
      <c r="HV600">
        <f>IF(ISBLANK('Data Entry'!$Ħ$600), "", 'Data Entry'!$Ħ$600)</f>
      </c>
      <c r="HW600">
        <f>IF(ISBLANK('Data Entry'!$ħ$600), "", 'Data Entry'!$ħ$600)</f>
      </c>
      <c r="HX600">
        <f>IF(ISBLANK('Data Entry'!$Ĩ$600), "", 'Data Entry'!$Ĩ$600)</f>
      </c>
      <c r="HY600">
        <f>IF(ISBLANK('Data Entry'!$ĩ$600), "", 'Data Entry'!$ĩ$600)</f>
      </c>
      <c r="HZ600">
        <f>IF(ISBLANK('Data Entry'!$Ī$600), "", 'Data Entry'!$Ī$600)</f>
      </c>
      <c r="IA600">
        <f>IF(ISBLANK('Data Entry'!$ī$600), "", 'Data Entry'!$ī$600)</f>
      </c>
      <c r="IB600">
        <f>IF(ISBLANK('Data Entry'!$Ĭ$600), "", 'Data Entry'!$Ĭ$600)</f>
      </c>
      <c r="IC600">
        <f>IF(ISBLANK('Data Entry'!$ĭ$600), "", 'Data Entry'!$ĭ$600)</f>
      </c>
      <c r="ID600">
        <f>IF(ISBLANK('Data Entry'!$Į$600), "", 'Data Entry'!$Į$600)</f>
      </c>
      <c r="IE600">
        <f>IF(ISBLANK('Data Entry'!$į$600), "", 'Data Entry'!$į$600)</f>
      </c>
      <c r="IF600">
        <f>IF(ISBLANK('Data Entry'!$İ$600), "", 'Data Entry'!$İ$600)</f>
      </c>
      <c r="IG600">
        <f>IF(ISBLANK('Data Entry'!$ı$600), "", 'Data Entry'!$ı$600)</f>
      </c>
      <c r="IH600">
        <f>IF(ISBLANK('Data Entry'!$Ĳ$600), "", 'Data Entry'!$Ĳ$600)</f>
      </c>
      <c r="II600">
        <f>IF(ISBLANK('Data Entry'!$ĳ$600), "", 'Data Entry'!$ĳ$600)</f>
      </c>
      <c r="IJ600">
        <f>IF(ISBLANK('Data Entry'!$Ĵ$600), "", 'Data Entry'!$Ĵ$600)</f>
      </c>
      <c r="IK600">
        <f>IF(ISBLANK('Data Entry'!$ĵ$600), "", 'Data Entry'!$ĵ$600)</f>
      </c>
      <c r="IL600">
        <f>IF(ISBLANK('Data Entry'!$Ķ$600), "", 'Data Entry'!$Ķ$600)</f>
      </c>
      <c r="IM600">
        <f>IF(ISBLANK('Data Entry'!$ķ$600), "", 'Data Entry'!$ķ$600)</f>
      </c>
      <c r="IN600">
        <f>IF(ISBLANK('Data Entry'!$ĸ$600), "", 'Data Entry'!$ĸ$600)</f>
      </c>
      <c r="IO600">
        <f>IF(ISBLANK('Data Entry'!$Ĺ$600), "", 'Data Entry'!$Ĺ$600)</f>
      </c>
      <c r="IP600">
        <f>IF(ISBLANK('Data Entry'!$ĺ$600), "", 'Data Entry'!$ĺ$600)</f>
      </c>
      <c r="IQ600">
        <f>IF(ISBLANK('Data Entry'!$Ļ$600), "", 'Data Entry'!$Ļ$600)</f>
      </c>
      <c r="IR600">
        <f>IF(ISBLANK('Data Entry'!$ļ$600), "", 'Data Entry'!$ļ$600)</f>
      </c>
      <c r="IS600">
        <f>IF(ISBLANK('Data Entry'!$Ľ$600), "", 'Data Entry'!$Ľ$600)</f>
      </c>
      <c r="IT600">
        <f>IF(ISBLANK('Data Entry'!$ľ$600), "", 'Data Entry'!$ľ$600)</f>
      </c>
    </row>
    <row r="601" spans="1:254" x14ac:dyDescent="0.25">
      <c r="A601">
        <f>IF(ISBLANK('Data Entry'!$A$601), "", 'Data Entry'!$A$601)</f>
      </c>
      <c r="B601">
        <f>IF(ISBLANK('Data Entry'!$B$601), "", 'Data Entry'!$B$601)</f>
      </c>
      <c r="C601">
        <f>IF(ISBLANK('Data Entry'!$C$601), "", 'Data Entry'!$C$601)</f>
      </c>
      <c r="D601">
        <f>IF(ISBLANK('Data Entry'!$D$601), "", 'Data Entry'!$D$601)</f>
      </c>
      <c r="E601">
        <f>IF(ISBLANK('Data Entry'!$E$601), "", 'Data Entry'!$E$601)</f>
      </c>
      <c r="F601">
        <f>IF(ISBLANK('Data Entry'!$F$601), "", 'Data Entry'!$F$601)</f>
      </c>
      <c r="G601">
        <f>IF(ISBLANK('Data Entry'!$G$601), "", 'Data Entry'!$G$601)</f>
      </c>
      <c r="H601">
        <f>IF(ISBLANK('Data Entry'!$H$601), "", 'Data Entry'!$H$601)</f>
      </c>
      <c r="I601">
        <f>IF(ISBLANK('Data Entry'!$I$601), "", 'Data Entry'!$I$601)</f>
      </c>
      <c r="J601">
        <f>IF(ISBLANK('Data Entry'!$J$601), "", 'Data Entry'!$J$601)</f>
      </c>
      <c r="K601">
        <f>IF(ISBLANK('Data Entry'!$K$601), "", 'Data Entry'!$K$601)</f>
      </c>
      <c r="L601">
        <f>IF(ISBLANK('Data Entry'!$L$601), "", 'Data Entry'!$L$601)</f>
      </c>
      <c r="M601">
        <f>IF(ISBLANK('Data Entry'!$M$601), "", 'Data Entry'!$M$601)</f>
      </c>
      <c r="N601">
        <f>IF(ISBLANK('Data Entry'!$N$601), "", 'Data Entry'!$N$601)</f>
      </c>
      <c r="O601">
        <f>IF(ISBLANK('Data Entry'!$O$601), "", 'Data Entry'!$O$601)</f>
      </c>
      <c r="P601">
        <f>IF(ISBLANK('Data Entry'!$P$601), "", 'Data Entry'!$P$601)</f>
      </c>
      <c r="Q601">
        <f>IF(ISBLANK('Data Entry'!$Q$601), "", 'Data Entry'!$Q$601)</f>
      </c>
      <c r="R601">
        <f>IF(ISBLANK('Data Entry'!$R$601), "", 'Data Entry'!$R$601)</f>
      </c>
      <c r="S601">
        <f>IF(ISBLANK('Data Entry'!$S$601), "", 'Data Entry'!$S$601)</f>
      </c>
      <c r="T601">
        <f>IF(ISBLANK('Data Entry'!$T$601), "", 'Data Entry'!$T$601)</f>
      </c>
      <c r="U601">
        <f>IF(ISBLANK('Data Entry'!$U$601), "", 'Data Entry'!$U$601)</f>
      </c>
      <c r="V601">
        <f>IF(ISBLANK('Data Entry'!$V$601), "", 'Data Entry'!$V$601)</f>
      </c>
      <c r="W601">
        <f>IF(ISBLANK('Data Entry'!$W$601), "", 'Data Entry'!$W$601)</f>
      </c>
      <c r="X601">
        <f>IF(ISBLANK('Data Entry'!$X$601), "", 'Data Entry'!$X$601)</f>
      </c>
      <c r="Y601">
        <f>IF(ISBLANK('Data Entry'!$Y$601), "", 'Data Entry'!$Y$601)</f>
      </c>
      <c r="Z601">
        <f>IF(ISBLANK('Data Entry'!$Z$601), "", 'Data Entry'!$Z$601)</f>
      </c>
      <c r="AA601">
        <f>IF(ISBLANK('Data Entry'!$[$601), "", 'Data Entry'!$[$601)</f>
      </c>
      <c r="AB601">
        <f>IF(ISBLANK('Data Entry'!$\$601), "", 'Data Entry'!$\$601)</f>
      </c>
      <c r="AC601">
        <f>IF(ISBLANK('Data Entry'!$]$601), "", 'Data Entry'!$]$601)</f>
      </c>
      <c r="AD601">
        <f>IF(ISBLANK('Data Entry'!$^$601), "", 'Data Entry'!$^$601)</f>
      </c>
      <c r="AE601">
        <f>IF(ISBLANK('Data Entry'!$_$601), "", 'Data Entry'!$_$601)</f>
      </c>
      <c r="AF601">
        <f>IF(ISBLANK('Data Entry'!$`$601), "", 'Data Entry'!$`$601)</f>
      </c>
      <c r="AG601">
        <f>IF(ISBLANK('Data Entry'!$a$601), "", 'Data Entry'!$a$601)</f>
      </c>
      <c r="AH601">
        <f>IF(ISBLANK('Data Entry'!$b$601), "", 'Data Entry'!$b$601)</f>
      </c>
      <c r="AI601">
        <f>IF(ISBLANK('Data Entry'!$c$601), "", 'Data Entry'!$c$601)</f>
      </c>
      <c r="AJ601">
        <f>IF(ISBLANK('Data Entry'!$d$601), "", 'Data Entry'!$d$601)</f>
      </c>
      <c r="AK601">
        <f>IF(ISBLANK('Data Entry'!$e$601), "", 'Data Entry'!$e$601)</f>
      </c>
      <c r="AL601">
        <f>IF(ISBLANK('Data Entry'!$f$601), "", 'Data Entry'!$f$601)</f>
      </c>
      <c r="AM601">
        <f>IF(ISBLANK('Data Entry'!$g$601), "", 'Data Entry'!$g$601)</f>
      </c>
      <c r="AN601">
        <f>IF(ISBLANK('Data Entry'!$h$601), "", 'Data Entry'!$h$601)</f>
      </c>
      <c r="AO601">
        <f>IF(ISBLANK('Data Entry'!$i$601), "", 'Data Entry'!$i$601)</f>
      </c>
      <c r="AP601">
        <f>IF(ISBLANK('Data Entry'!$j$601), "", 'Data Entry'!$j$601)</f>
      </c>
      <c r="AQ601">
        <f>IF(ISBLANK('Data Entry'!$k$601), "", 'Data Entry'!$k$601)</f>
      </c>
      <c r="AR601">
        <f>IF(ISBLANK('Data Entry'!$l$601), "", 'Data Entry'!$l$601)</f>
      </c>
      <c r="AS601">
        <f>IF(ISBLANK('Data Entry'!$m$601), "", 'Data Entry'!$m$601)</f>
      </c>
      <c r="AT601">
        <f>IF(ISBLANK('Data Entry'!$n$601), "", 'Data Entry'!$n$601)</f>
      </c>
      <c r="AU601">
        <f>IF(ISBLANK('Data Entry'!$o$601), "", 'Data Entry'!$o$601)</f>
      </c>
      <c r="AV601">
        <f>IF(ISBLANK('Data Entry'!$p$601), "", 'Data Entry'!$p$601)</f>
      </c>
      <c r="AW601">
        <f>IF(ISBLANK('Data Entry'!$q$601), "", 'Data Entry'!$q$601)</f>
      </c>
      <c r="AX601">
        <f>IF(ISBLANK('Data Entry'!$r$601), "", 'Data Entry'!$r$601)</f>
      </c>
      <c r="AY601">
        <f>IF(ISBLANK('Data Entry'!$s$601), "", 'Data Entry'!$s$601)</f>
      </c>
      <c r="AZ601">
        <f>IF(ISBLANK('Data Entry'!$t$601), "", 'Data Entry'!$t$601)</f>
      </c>
      <c r="BA601">
        <f>IF(ISBLANK('Data Entry'!$u$601), "", 'Data Entry'!$u$601)</f>
      </c>
      <c r="BB601">
        <f>IF(ISBLANK('Data Entry'!$v$601), "", 'Data Entry'!$v$601)</f>
      </c>
      <c r="BC601">
        <f>IF(ISBLANK('Data Entry'!$w$601), "", 'Data Entry'!$w$601)</f>
      </c>
      <c r="BD601">
        <f>IF(ISBLANK('Data Entry'!$x$601), "", 'Data Entry'!$x$601)</f>
      </c>
      <c r="BE601">
        <f>IF(ISBLANK('Data Entry'!$y$601), "", 'Data Entry'!$y$601)</f>
      </c>
      <c r="BF601">
        <f>IF(ISBLANK('Data Entry'!$z$601), "", 'Data Entry'!$z$601)</f>
      </c>
      <c r="BG601">
        <f>IF(ISBLANK('Data Entry'!${$601), "", 'Data Entry'!${$601)</f>
      </c>
      <c r="BH601">
        <f>IF(ISBLANK('Data Entry'!$|$601), "", 'Data Entry'!$|$601)</f>
      </c>
      <c r="BI601">
        <f>IF(ISBLANK('Data Entry'!$}$601), "", 'Data Entry'!$}$601)</f>
      </c>
      <c r="BJ601">
        <f>IF(ISBLANK('Data Entry'!$~$601), "", 'Data Entry'!$~$601)</f>
      </c>
      <c r="BK601">
        <f>IF(ISBLANK('Data Entry'!$$601), "", 'Data Entry'!$$601)</f>
      </c>
      <c r="BL601">
        <f>IF(ISBLANK('Data Entry'!$$601), "", 'Data Entry'!$$601)</f>
      </c>
      <c r="BM601">
        <f>IF(ISBLANK('Data Entry'!$$601), "", 'Data Entry'!$$601)</f>
      </c>
      <c r="BN601">
        <f>IF(ISBLANK('Data Entry'!$$601), "", 'Data Entry'!$$601)</f>
      </c>
      <c r="BO601">
        <f>IF(ISBLANK('Data Entry'!$$601), "", 'Data Entry'!$$601)</f>
      </c>
      <c r="BP601">
        <f>IF(ISBLANK('Data Entry'!$$601), "", 'Data Entry'!$$601)</f>
      </c>
      <c r="BQ601">
        <f>IF(ISBLANK('Data Entry'!$$601), "", 'Data Entry'!$$601)</f>
      </c>
      <c r="BR601">
        <f>IF(ISBLANK('Data Entry'!$$601), "", 'Data Entry'!$$601)</f>
      </c>
      <c r="BS601">
        <f>IF(ISBLANK('Data Entry'!$$601), "", 'Data Entry'!$$601)</f>
      </c>
      <c r="BT601">
        <f>IF(ISBLANK('Data Entry'!$$601), "", 'Data Entry'!$$601)</f>
      </c>
      <c r="BU601">
        <f>IF(ISBLANK('Data Entry'!$$601), "", 'Data Entry'!$$601)</f>
      </c>
      <c r="BV601">
        <f>IF(ISBLANK('Data Entry'!$$601), "", 'Data Entry'!$$601)</f>
      </c>
      <c r="BW601">
        <f>IF(ISBLANK('Data Entry'!$$601), "", 'Data Entry'!$$601)</f>
      </c>
      <c r="BX601">
        <f>IF(ISBLANK('Data Entry'!$$601), "", 'Data Entry'!$$601)</f>
      </c>
      <c r="BY601">
        <f>IF(ISBLANK('Data Entry'!$$601), "", 'Data Entry'!$$601)</f>
      </c>
      <c r="BZ601">
        <f>IF(ISBLANK('Data Entry'!$$601), "", 'Data Entry'!$$601)</f>
      </c>
      <c r="CA601">
        <f>IF(ISBLANK('Data Entry'!$$601), "", 'Data Entry'!$$601)</f>
      </c>
      <c r="CB601">
        <f>IF(ISBLANK('Data Entry'!$$601), "", 'Data Entry'!$$601)</f>
      </c>
      <c r="CC601">
        <f>IF(ISBLANK('Data Entry'!$$601), "", 'Data Entry'!$$601)</f>
      </c>
      <c r="CD601">
        <f>IF(ISBLANK('Data Entry'!$$601), "", 'Data Entry'!$$601)</f>
      </c>
      <c r="CE601">
        <f>IF(ISBLANK('Data Entry'!$$601), "", 'Data Entry'!$$601)</f>
      </c>
      <c r="CF601">
        <f>IF(ISBLANK('Data Entry'!$$601), "", 'Data Entry'!$$601)</f>
      </c>
      <c r="CG601">
        <f>IF(ISBLANK('Data Entry'!$$601), "", 'Data Entry'!$$601)</f>
      </c>
      <c r="CH601">
        <f>IF(ISBLANK('Data Entry'!$$601), "", 'Data Entry'!$$601)</f>
      </c>
      <c r="CI601">
        <f>IF(ISBLANK('Data Entry'!$$601), "", 'Data Entry'!$$601)</f>
      </c>
      <c r="CJ601">
        <f>IF(ISBLANK('Data Entry'!$$601), "", 'Data Entry'!$$601)</f>
      </c>
      <c r="CK601">
        <f>IF(ISBLANK('Data Entry'!$$601), "", 'Data Entry'!$$601)</f>
      </c>
      <c r="CL601">
        <f>IF(ISBLANK('Data Entry'!$$601), "", 'Data Entry'!$$601)</f>
      </c>
      <c r="CM601">
        <f>IF(ISBLANK('Data Entry'!$$601), "", 'Data Entry'!$$601)</f>
      </c>
      <c r="CN601">
        <f>IF(ISBLANK('Data Entry'!$$601), "", 'Data Entry'!$$601)</f>
      </c>
      <c r="CO601">
        <f>IF(ISBLANK('Data Entry'!$$601), "", 'Data Entry'!$$601)</f>
      </c>
      <c r="CP601">
        <f>IF(ISBLANK('Data Entry'!$$601), "", 'Data Entry'!$$601)</f>
      </c>
      <c r="CQ601">
        <f>IF(ISBLANK('Data Entry'!$$601), "", 'Data Entry'!$$601)</f>
      </c>
      <c r="CR601">
        <f>IF(ISBLANK('Data Entry'!$ $601), "", 'Data Entry'!$ $601)</f>
      </c>
      <c r="CS601">
        <f>IF(ISBLANK('Data Entry'!$¡$601), "", 'Data Entry'!$¡$601)</f>
      </c>
      <c r="CT601">
        <f>IF(ISBLANK('Data Entry'!$¢$601), "", 'Data Entry'!$¢$601)</f>
      </c>
      <c r="CU601">
        <f>IF(ISBLANK('Data Entry'!$£$601), "", 'Data Entry'!$£$601)</f>
      </c>
      <c r="CV601">
        <f>IF(ISBLANK('Data Entry'!$¤$601), "", 'Data Entry'!$¤$601)</f>
      </c>
      <c r="CW601">
        <f>IF(ISBLANK('Data Entry'!$¥$601), "", 'Data Entry'!$¥$601)</f>
      </c>
      <c r="CX601">
        <f>IF(ISBLANK('Data Entry'!$¦$601), "", 'Data Entry'!$¦$601)</f>
      </c>
      <c r="CY601">
        <f>IF(ISBLANK('Data Entry'!$§$601), "", 'Data Entry'!$§$601)</f>
      </c>
      <c r="CZ601">
        <f>IF(ISBLANK('Data Entry'!$¨$601), "", 'Data Entry'!$¨$601)</f>
      </c>
      <c r="DA601">
        <f>IF(ISBLANK('Data Entry'!$©$601), "", 'Data Entry'!$©$601)</f>
      </c>
      <c r="DB601">
        <f>IF(ISBLANK('Data Entry'!$ª$601), "", 'Data Entry'!$ª$601)</f>
      </c>
      <c r="DC601">
        <f>IF(ISBLANK('Data Entry'!$«$601), "", 'Data Entry'!$«$601)</f>
      </c>
      <c r="DD601">
        <f>IF(ISBLANK('Data Entry'!$¬$601), "", 'Data Entry'!$¬$601)</f>
      </c>
      <c r="DE601">
        <f>IF(ISBLANK('Data Entry'!$­$601), "", 'Data Entry'!$­$601)</f>
      </c>
      <c r="DF601">
        <f>IF(ISBLANK('Data Entry'!$®$601), "", 'Data Entry'!$®$601)</f>
      </c>
      <c r="DG601">
        <f>IF(ISBLANK('Data Entry'!$¯$601), "", 'Data Entry'!$¯$601)</f>
      </c>
      <c r="DH601">
        <f>IF(ISBLANK('Data Entry'!$°$601), "", 'Data Entry'!$°$601)</f>
      </c>
      <c r="DI601">
        <f>IF(ISBLANK('Data Entry'!$±$601), "", 'Data Entry'!$±$601)</f>
      </c>
      <c r="DJ601">
        <f>IF(ISBLANK('Data Entry'!$²$601), "", 'Data Entry'!$²$601)</f>
      </c>
      <c r="DK601">
        <f>IF(ISBLANK('Data Entry'!$³$601), "", 'Data Entry'!$³$601)</f>
      </c>
      <c r="DL601">
        <f>IF(ISBLANK('Data Entry'!$´$601), "", 'Data Entry'!$´$601)</f>
      </c>
      <c r="DM601">
        <f>IF(ISBLANK('Data Entry'!$µ$601), "", 'Data Entry'!$µ$601)</f>
      </c>
      <c r="DN601">
        <f>IF(ISBLANK('Data Entry'!$¶$601), "", 'Data Entry'!$¶$601)</f>
      </c>
      <c r="DO601">
        <f>IF(ISBLANK('Data Entry'!$·$601), "", 'Data Entry'!$·$601)</f>
      </c>
      <c r="DP601">
        <f>IF(ISBLANK('Data Entry'!$¸$601), "", 'Data Entry'!$¸$601)</f>
      </c>
      <c r="DQ601">
        <f>IF(ISBLANK('Data Entry'!$¹$601), "", 'Data Entry'!$¹$601)</f>
      </c>
      <c r="DR601">
        <f>IF(ISBLANK('Data Entry'!$º$601), "", 'Data Entry'!$º$601)</f>
      </c>
      <c r="DS601">
        <f>IF(ISBLANK('Data Entry'!$»$601), "", 'Data Entry'!$»$601)</f>
      </c>
      <c r="DT601">
        <f>IF(ISBLANK('Data Entry'!$¼$601), "", 'Data Entry'!$¼$601)</f>
      </c>
      <c r="DU601">
        <f>IF(ISBLANK('Data Entry'!$½$601), "", 'Data Entry'!$½$601)</f>
      </c>
      <c r="DV601">
        <f>IF(ISBLANK('Data Entry'!$¾$601), "", 'Data Entry'!$¾$601)</f>
      </c>
      <c r="DW601">
        <f>IF(ISBLANK('Data Entry'!$¿$601), "", 'Data Entry'!$¿$601)</f>
      </c>
      <c r="DX601">
        <f>IF(ISBLANK('Data Entry'!$À$601), "", 'Data Entry'!$À$601)</f>
      </c>
      <c r="DY601">
        <f>IF(ISBLANK('Data Entry'!$Á$601), "", 'Data Entry'!$Á$601)</f>
      </c>
      <c r="DZ601">
        <f>IF(ISBLANK('Data Entry'!$Â$601), "", 'Data Entry'!$Â$601)</f>
      </c>
      <c r="EA601">
        <f>IF(ISBLANK('Data Entry'!$Ã$601), "", 'Data Entry'!$Ã$601)</f>
      </c>
      <c r="EB601">
        <f>IF(ISBLANK('Data Entry'!$Ä$601), "", 'Data Entry'!$Ä$601)</f>
      </c>
      <c r="EC601">
        <f>IF(ISBLANK('Data Entry'!$Å$601), "", 'Data Entry'!$Å$601)</f>
      </c>
      <c r="ED601">
        <f>IF(ISBLANK('Data Entry'!$Æ$601), "", 'Data Entry'!$Æ$601)</f>
      </c>
      <c r="EE601">
        <f>IF(ISBLANK('Data Entry'!$Ç$601), "", 'Data Entry'!$Ç$601)</f>
      </c>
      <c r="EF601">
        <f>IF(ISBLANK('Data Entry'!$È$601), "", 'Data Entry'!$È$601)</f>
      </c>
      <c r="EG601">
        <f>IF(ISBLANK('Data Entry'!$É$601), "", 'Data Entry'!$É$601)</f>
      </c>
      <c r="EH601">
        <f>IF(ISBLANK('Data Entry'!$Ê$601), "", 'Data Entry'!$Ê$601)</f>
      </c>
      <c r="EI601">
        <f>IF(ISBLANK('Data Entry'!$Ë$601), "", 'Data Entry'!$Ë$601)</f>
      </c>
      <c r="EJ601">
        <f>IF(ISBLANK('Data Entry'!$Ì$601), "", 'Data Entry'!$Ì$601)</f>
      </c>
      <c r="EK601">
        <f>IF(ISBLANK('Data Entry'!$Í$601), "", 'Data Entry'!$Í$601)</f>
      </c>
      <c r="EL601">
        <f>IF(ISBLANK('Data Entry'!$Î$601), "", 'Data Entry'!$Î$601)</f>
      </c>
      <c r="EM601">
        <f>IF(ISBLANK('Data Entry'!$Ï$601), "", 'Data Entry'!$Ï$601)</f>
      </c>
      <c r="EN601">
        <f>IF(ISBLANK('Data Entry'!$Ð$601), "", 'Data Entry'!$Ð$601)</f>
      </c>
      <c r="EO601">
        <f>IF(ISBLANK('Data Entry'!$Ñ$601), "", 'Data Entry'!$Ñ$601)</f>
      </c>
      <c r="EP601">
        <f>IF(ISBLANK('Data Entry'!$Ò$601), "", 'Data Entry'!$Ò$601)</f>
      </c>
      <c r="EQ601">
        <f>IF(ISBLANK('Data Entry'!$Ó$601), "", 'Data Entry'!$Ó$601)</f>
      </c>
      <c r="ER601">
        <f>IF(ISBLANK('Data Entry'!$Ô$601), "", 'Data Entry'!$Ô$601)</f>
      </c>
      <c r="ES601">
        <f>IF(ISBLANK('Data Entry'!$Õ$601), "", 'Data Entry'!$Õ$601)</f>
      </c>
      <c r="ET601">
        <f>IF(ISBLANK('Data Entry'!$Ö$601), "", 'Data Entry'!$Ö$601)</f>
      </c>
      <c r="EU601">
        <f>IF(ISBLANK('Data Entry'!$×$601), "", 'Data Entry'!$×$601)</f>
      </c>
      <c r="EV601">
        <f>IF(ISBLANK('Data Entry'!$Ø$601), "", 'Data Entry'!$Ø$601)</f>
      </c>
      <c r="EW601">
        <f>IF(ISBLANK('Data Entry'!$Ù$601), "", 'Data Entry'!$Ù$601)</f>
      </c>
      <c r="EX601">
        <f>IF(ISBLANK('Data Entry'!$Ú$601), "", 'Data Entry'!$Ú$601)</f>
      </c>
      <c r="EY601">
        <f>IF(ISBLANK('Data Entry'!$Û$601), "", 'Data Entry'!$Û$601)</f>
      </c>
      <c r="EZ601">
        <f>IF(ISBLANK('Data Entry'!$Ü$601), "", 'Data Entry'!$Ü$601)</f>
      </c>
      <c r="FA601">
        <f>IF(ISBLANK('Data Entry'!$Ý$601), "", 'Data Entry'!$Ý$601)</f>
      </c>
      <c r="FB601">
        <f>IF(ISBLANK('Data Entry'!$Þ$601), "", 'Data Entry'!$Þ$601)</f>
      </c>
      <c r="FC601">
        <f>IF(ISBLANK('Data Entry'!$ß$601), "", 'Data Entry'!$ß$601)</f>
      </c>
      <c r="FD601">
        <f>IF(ISBLANK('Data Entry'!$à$601), "", 'Data Entry'!$à$601)</f>
      </c>
      <c r="FE601">
        <f>IF(ISBLANK('Data Entry'!$á$601), "", 'Data Entry'!$á$601)</f>
      </c>
      <c r="FF601">
        <f>IF(ISBLANK('Data Entry'!$â$601), "", 'Data Entry'!$â$601)</f>
      </c>
      <c r="FG601">
        <f>IF(ISBLANK('Data Entry'!$ã$601), "", 'Data Entry'!$ã$601)</f>
      </c>
      <c r="FH601">
        <f>IF(ISBLANK('Data Entry'!$ä$601), "", 'Data Entry'!$ä$601)</f>
      </c>
      <c r="FI601">
        <f>IF(ISBLANK('Data Entry'!$å$601), "", 'Data Entry'!$å$601)</f>
      </c>
      <c r="FJ601">
        <f>IF(ISBLANK('Data Entry'!$æ$601), "", 'Data Entry'!$æ$601)</f>
      </c>
      <c r="FK601">
        <f>IF(ISBLANK('Data Entry'!$ç$601), "", 'Data Entry'!$ç$601)</f>
      </c>
      <c r="FL601">
        <f>IF(ISBLANK('Data Entry'!$è$601), "", 'Data Entry'!$è$601)</f>
      </c>
      <c r="FM601">
        <f>IF(ISBLANK('Data Entry'!$é$601), "", 'Data Entry'!$é$601)</f>
      </c>
      <c r="FN601">
        <f>IF(ISBLANK('Data Entry'!$ê$601), "", 'Data Entry'!$ê$601)</f>
      </c>
      <c r="FO601">
        <f>IF(ISBLANK('Data Entry'!$ë$601), "", 'Data Entry'!$ë$601)</f>
      </c>
      <c r="FP601">
        <f>IF(ISBLANK('Data Entry'!$ì$601), "", 'Data Entry'!$ì$601)</f>
      </c>
      <c r="FQ601">
        <f>IF(ISBLANK('Data Entry'!$í$601), "", 'Data Entry'!$í$601)</f>
      </c>
      <c r="FR601">
        <f>IF(ISBLANK('Data Entry'!$î$601), "", 'Data Entry'!$î$601)</f>
      </c>
      <c r="FS601">
        <f>IF(ISBLANK('Data Entry'!$ï$601), "", 'Data Entry'!$ï$601)</f>
      </c>
      <c r="FT601">
        <f>IF(ISBLANK('Data Entry'!$ð$601), "", 'Data Entry'!$ð$601)</f>
      </c>
      <c r="FU601">
        <f>IF(ISBLANK('Data Entry'!$ñ$601), "", 'Data Entry'!$ñ$601)</f>
      </c>
      <c r="FV601">
        <f>IF(ISBLANK('Data Entry'!$ò$601), "", 'Data Entry'!$ò$601)</f>
      </c>
      <c r="FW601">
        <f>IF(ISBLANK('Data Entry'!$ó$601), "", 'Data Entry'!$ó$601)</f>
      </c>
      <c r="FX601">
        <f>IF(ISBLANK('Data Entry'!$ô$601), "", 'Data Entry'!$ô$601)</f>
      </c>
      <c r="FY601">
        <f>IF(ISBLANK('Data Entry'!$õ$601), "", 'Data Entry'!$õ$601)</f>
      </c>
      <c r="FZ601">
        <f>IF(ISBLANK('Data Entry'!$ö$601), "", 'Data Entry'!$ö$601)</f>
      </c>
      <c r="GA601">
        <f>IF(ISBLANK('Data Entry'!$÷$601), "", 'Data Entry'!$÷$601)</f>
      </c>
      <c r="GB601">
        <f>IF(ISBLANK('Data Entry'!$ø$601), "", 'Data Entry'!$ø$601)</f>
      </c>
      <c r="GC601">
        <f>IF(ISBLANK('Data Entry'!$ù$601), "", 'Data Entry'!$ù$601)</f>
      </c>
      <c r="GD601">
        <f>IF(ISBLANK('Data Entry'!$ú$601), "", 'Data Entry'!$ú$601)</f>
      </c>
      <c r="GE601">
        <f>IF(ISBLANK('Data Entry'!$û$601), "", 'Data Entry'!$û$601)</f>
      </c>
      <c r="GF601">
        <f>IF(ISBLANK('Data Entry'!$ü$601), "", 'Data Entry'!$ü$601)</f>
      </c>
      <c r="GG601">
        <f>IF(ISBLANK('Data Entry'!$ý$601), "", 'Data Entry'!$ý$601)</f>
      </c>
      <c r="GH601">
        <f>IF(ISBLANK('Data Entry'!$þ$601), "", 'Data Entry'!$þ$601)</f>
      </c>
      <c r="GI601">
        <f>IF(ISBLANK('Data Entry'!$ÿ$601), "", 'Data Entry'!$ÿ$601)</f>
      </c>
      <c r="GJ601">
        <f>IF(ISBLANK('Data Entry'!$Ā$601), "", 'Data Entry'!$Ā$601)</f>
      </c>
      <c r="GK601">
        <f>IF(ISBLANK('Data Entry'!$ā$601), "", 'Data Entry'!$ā$601)</f>
      </c>
      <c r="GL601">
        <f>IF(ISBLANK('Data Entry'!$Ă$601), "", 'Data Entry'!$Ă$601)</f>
      </c>
      <c r="GM601">
        <f>IF(ISBLANK('Data Entry'!$ă$601), "", 'Data Entry'!$ă$601)</f>
      </c>
      <c r="GN601">
        <f>IF(ISBLANK('Data Entry'!$Ą$601), "", 'Data Entry'!$Ą$601)</f>
      </c>
      <c r="GO601">
        <f>IF(ISBLANK('Data Entry'!$ą$601), "", 'Data Entry'!$ą$601)</f>
      </c>
      <c r="GP601">
        <f>IF(ISBLANK('Data Entry'!$Ć$601), "", 'Data Entry'!$Ć$601)</f>
      </c>
      <c r="GQ601">
        <f>IF(ISBLANK('Data Entry'!$ć$601), "", 'Data Entry'!$ć$601)</f>
      </c>
      <c r="GR601">
        <f>IF(ISBLANK('Data Entry'!$Ĉ$601), "", 'Data Entry'!$Ĉ$601)</f>
      </c>
      <c r="GS601">
        <f>IF(ISBLANK('Data Entry'!$ĉ$601), "", 'Data Entry'!$ĉ$601)</f>
      </c>
      <c r="GT601">
        <f>IF(ISBLANK('Data Entry'!$Ċ$601), "", 'Data Entry'!$Ċ$601)</f>
      </c>
      <c r="GU601">
        <f>IF(ISBLANK('Data Entry'!$ċ$601), "", 'Data Entry'!$ċ$601)</f>
      </c>
      <c r="GV601">
        <f>IF(ISBLANK('Data Entry'!$Č$601), "", 'Data Entry'!$Č$601)</f>
      </c>
      <c r="GW601">
        <f>IF(ISBLANK('Data Entry'!$č$601), "", 'Data Entry'!$č$601)</f>
      </c>
      <c r="GX601">
        <f>IF(ISBLANK('Data Entry'!$Ď$601), "", 'Data Entry'!$Ď$601)</f>
      </c>
      <c r="GY601">
        <f>IF(ISBLANK('Data Entry'!$ď$601), "", 'Data Entry'!$ď$601)</f>
      </c>
      <c r="GZ601">
        <f>IF(ISBLANK('Data Entry'!$Đ$601), "", 'Data Entry'!$Đ$601)</f>
      </c>
      <c r="HA601">
        <f>IF(ISBLANK('Data Entry'!$đ$601), "", 'Data Entry'!$đ$601)</f>
      </c>
      <c r="HB601">
        <f>IF(ISBLANK('Data Entry'!$Ē$601), "", 'Data Entry'!$Ē$601)</f>
      </c>
      <c r="HC601">
        <f>IF(ISBLANK('Data Entry'!$ē$601), "", 'Data Entry'!$ē$601)</f>
      </c>
      <c r="HD601">
        <f>IF(ISBLANK('Data Entry'!$Ĕ$601), "", 'Data Entry'!$Ĕ$601)</f>
      </c>
      <c r="HE601">
        <f>IF(ISBLANK('Data Entry'!$ĕ$601), "", 'Data Entry'!$ĕ$601)</f>
      </c>
      <c r="HF601">
        <f>IF(ISBLANK('Data Entry'!$Ė$601), "", 'Data Entry'!$Ė$601)</f>
      </c>
      <c r="HG601">
        <f>IF(ISBLANK('Data Entry'!$ė$601), "", 'Data Entry'!$ė$601)</f>
      </c>
      <c r="HH601">
        <f>IF(ISBLANK('Data Entry'!$Ę$601), "", 'Data Entry'!$Ę$601)</f>
      </c>
      <c r="HI601">
        <f>IF(ISBLANK('Data Entry'!$ę$601), "", 'Data Entry'!$ę$601)</f>
      </c>
      <c r="HJ601">
        <f>IF(ISBLANK('Data Entry'!$Ě$601), "", 'Data Entry'!$Ě$601)</f>
      </c>
      <c r="HK601">
        <f>IF(ISBLANK('Data Entry'!$ě$601), "", 'Data Entry'!$ě$601)</f>
      </c>
      <c r="HL601">
        <f>IF(ISBLANK('Data Entry'!$Ĝ$601), "", 'Data Entry'!$Ĝ$601)</f>
      </c>
      <c r="HM601">
        <f>IF(ISBLANK('Data Entry'!$ĝ$601), "", 'Data Entry'!$ĝ$601)</f>
      </c>
      <c r="HN601">
        <f>IF(ISBLANK('Data Entry'!$Ğ$601), "", 'Data Entry'!$Ğ$601)</f>
      </c>
      <c r="HO601">
        <f>IF(ISBLANK('Data Entry'!$ğ$601), "", 'Data Entry'!$ğ$601)</f>
      </c>
      <c r="HP601">
        <f>IF(ISBLANK('Data Entry'!$Ġ$601), "", 'Data Entry'!$Ġ$601)</f>
      </c>
      <c r="HQ601">
        <f>IF(ISBLANK('Data Entry'!$ġ$601), "", 'Data Entry'!$ġ$601)</f>
      </c>
      <c r="HR601">
        <f>IF(ISBLANK('Data Entry'!$Ģ$601), "", 'Data Entry'!$Ģ$601)</f>
      </c>
      <c r="HS601">
        <f>IF(ISBLANK('Data Entry'!$ģ$601), "", 'Data Entry'!$ģ$601)</f>
      </c>
      <c r="HT601">
        <f>IF(ISBLANK('Data Entry'!$Ĥ$601), "", 'Data Entry'!$Ĥ$601)</f>
      </c>
      <c r="HU601">
        <f>IF(ISBLANK('Data Entry'!$ĥ$601), "", 'Data Entry'!$ĥ$601)</f>
      </c>
      <c r="HV601">
        <f>IF(ISBLANK('Data Entry'!$Ħ$601), "", 'Data Entry'!$Ħ$601)</f>
      </c>
      <c r="HW601">
        <f>IF(ISBLANK('Data Entry'!$ħ$601), "", 'Data Entry'!$ħ$601)</f>
      </c>
      <c r="HX601">
        <f>IF(ISBLANK('Data Entry'!$Ĩ$601), "", 'Data Entry'!$Ĩ$601)</f>
      </c>
      <c r="HY601">
        <f>IF(ISBLANK('Data Entry'!$ĩ$601), "", 'Data Entry'!$ĩ$601)</f>
      </c>
      <c r="HZ601">
        <f>IF(ISBLANK('Data Entry'!$Ī$601), "", 'Data Entry'!$Ī$601)</f>
      </c>
      <c r="IA601">
        <f>IF(ISBLANK('Data Entry'!$ī$601), "", 'Data Entry'!$ī$601)</f>
      </c>
      <c r="IB601">
        <f>IF(ISBLANK('Data Entry'!$Ĭ$601), "", 'Data Entry'!$Ĭ$601)</f>
      </c>
      <c r="IC601">
        <f>IF(ISBLANK('Data Entry'!$ĭ$601), "", 'Data Entry'!$ĭ$601)</f>
      </c>
      <c r="ID601">
        <f>IF(ISBLANK('Data Entry'!$Į$601), "", 'Data Entry'!$Į$601)</f>
      </c>
      <c r="IE601">
        <f>IF(ISBLANK('Data Entry'!$į$601), "", 'Data Entry'!$į$601)</f>
      </c>
      <c r="IF601">
        <f>IF(ISBLANK('Data Entry'!$İ$601), "", 'Data Entry'!$İ$601)</f>
      </c>
      <c r="IG601">
        <f>IF(ISBLANK('Data Entry'!$ı$601), "", 'Data Entry'!$ı$601)</f>
      </c>
      <c r="IH601">
        <f>IF(ISBLANK('Data Entry'!$Ĳ$601), "", 'Data Entry'!$Ĳ$601)</f>
      </c>
      <c r="II601">
        <f>IF(ISBLANK('Data Entry'!$ĳ$601), "", 'Data Entry'!$ĳ$601)</f>
      </c>
      <c r="IJ601">
        <f>IF(ISBLANK('Data Entry'!$Ĵ$601), "", 'Data Entry'!$Ĵ$601)</f>
      </c>
      <c r="IK601">
        <f>IF(ISBLANK('Data Entry'!$ĵ$601), "", 'Data Entry'!$ĵ$601)</f>
      </c>
      <c r="IL601">
        <f>IF(ISBLANK('Data Entry'!$Ķ$601), "", 'Data Entry'!$Ķ$601)</f>
      </c>
      <c r="IM601">
        <f>IF(ISBLANK('Data Entry'!$ķ$601), "", 'Data Entry'!$ķ$601)</f>
      </c>
      <c r="IN601">
        <f>IF(ISBLANK('Data Entry'!$ĸ$601), "", 'Data Entry'!$ĸ$601)</f>
      </c>
      <c r="IO601">
        <f>IF(ISBLANK('Data Entry'!$Ĺ$601), "", 'Data Entry'!$Ĺ$601)</f>
      </c>
      <c r="IP601">
        <f>IF(ISBLANK('Data Entry'!$ĺ$601), "", 'Data Entry'!$ĺ$601)</f>
      </c>
      <c r="IQ601">
        <f>IF(ISBLANK('Data Entry'!$Ļ$601), "", 'Data Entry'!$Ļ$601)</f>
      </c>
      <c r="IR601">
        <f>IF(ISBLANK('Data Entry'!$ļ$601), "", 'Data Entry'!$ļ$601)</f>
      </c>
      <c r="IS601">
        <f>IF(ISBLANK('Data Entry'!$Ľ$601), "", 'Data Entry'!$Ľ$601)</f>
      </c>
      <c r="IT601">
        <f>IF(ISBLANK('Data Entry'!$ľ$601), "", 'Data Entry'!$ľ$601)</f>
      </c>
    </row>
    <row r="602" spans="1:254" x14ac:dyDescent="0.25">
      <c r="A602">
        <f>IF(ISBLANK('Data Entry'!$A$602), "", 'Data Entry'!$A$602)</f>
      </c>
      <c r="B602">
        <f>IF(ISBLANK('Data Entry'!$B$602), "", 'Data Entry'!$B$602)</f>
      </c>
      <c r="C602">
        <f>IF(ISBLANK('Data Entry'!$C$602), "", 'Data Entry'!$C$602)</f>
      </c>
      <c r="D602">
        <f>IF(ISBLANK('Data Entry'!$D$602), "", 'Data Entry'!$D$602)</f>
      </c>
      <c r="E602">
        <f>IF(ISBLANK('Data Entry'!$E$602), "", 'Data Entry'!$E$602)</f>
      </c>
      <c r="F602">
        <f>IF(ISBLANK('Data Entry'!$F$602), "", 'Data Entry'!$F$602)</f>
      </c>
      <c r="G602">
        <f>IF(ISBLANK('Data Entry'!$G$602), "", 'Data Entry'!$G$602)</f>
      </c>
      <c r="H602">
        <f>IF(ISBLANK('Data Entry'!$H$602), "", 'Data Entry'!$H$602)</f>
      </c>
      <c r="I602">
        <f>IF(ISBLANK('Data Entry'!$I$602), "", 'Data Entry'!$I$602)</f>
      </c>
      <c r="J602">
        <f>IF(ISBLANK('Data Entry'!$J$602), "", 'Data Entry'!$J$602)</f>
      </c>
      <c r="K602">
        <f>IF(ISBLANK('Data Entry'!$K$602), "", 'Data Entry'!$K$602)</f>
      </c>
      <c r="L602">
        <f>IF(ISBLANK('Data Entry'!$L$602), "", 'Data Entry'!$L$602)</f>
      </c>
      <c r="M602">
        <f>IF(ISBLANK('Data Entry'!$M$602), "", 'Data Entry'!$M$602)</f>
      </c>
      <c r="N602">
        <f>IF(ISBLANK('Data Entry'!$N$602), "", 'Data Entry'!$N$602)</f>
      </c>
      <c r="O602">
        <f>IF(ISBLANK('Data Entry'!$O$602), "", 'Data Entry'!$O$602)</f>
      </c>
      <c r="P602">
        <f>IF(ISBLANK('Data Entry'!$P$602), "", 'Data Entry'!$P$602)</f>
      </c>
      <c r="Q602">
        <f>IF(ISBLANK('Data Entry'!$Q$602), "", 'Data Entry'!$Q$602)</f>
      </c>
      <c r="R602">
        <f>IF(ISBLANK('Data Entry'!$R$602), "", 'Data Entry'!$R$602)</f>
      </c>
      <c r="S602">
        <f>IF(ISBLANK('Data Entry'!$S$602), "", 'Data Entry'!$S$602)</f>
      </c>
      <c r="T602">
        <f>IF(ISBLANK('Data Entry'!$T$602), "", 'Data Entry'!$T$602)</f>
      </c>
      <c r="U602">
        <f>IF(ISBLANK('Data Entry'!$U$602), "", 'Data Entry'!$U$602)</f>
      </c>
      <c r="V602">
        <f>IF(ISBLANK('Data Entry'!$V$602), "", 'Data Entry'!$V$602)</f>
      </c>
      <c r="W602">
        <f>IF(ISBLANK('Data Entry'!$W$602), "", 'Data Entry'!$W$602)</f>
      </c>
      <c r="X602">
        <f>IF(ISBLANK('Data Entry'!$X$602), "", 'Data Entry'!$X$602)</f>
      </c>
      <c r="Y602">
        <f>IF(ISBLANK('Data Entry'!$Y$602), "", 'Data Entry'!$Y$602)</f>
      </c>
      <c r="Z602">
        <f>IF(ISBLANK('Data Entry'!$Z$602), "", 'Data Entry'!$Z$602)</f>
      </c>
      <c r="AA602">
        <f>IF(ISBLANK('Data Entry'!$[$602), "", 'Data Entry'!$[$602)</f>
      </c>
      <c r="AB602">
        <f>IF(ISBLANK('Data Entry'!$\$602), "", 'Data Entry'!$\$602)</f>
      </c>
      <c r="AC602">
        <f>IF(ISBLANK('Data Entry'!$]$602), "", 'Data Entry'!$]$602)</f>
      </c>
      <c r="AD602">
        <f>IF(ISBLANK('Data Entry'!$^$602), "", 'Data Entry'!$^$602)</f>
      </c>
      <c r="AE602">
        <f>IF(ISBLANK('Data Entry'!$_$602), "", 'Data Entry'!$_$602)</f>
      </c>
      <c r="AF602">
        <f>IF(ISBLANK('Data Entry'!$`$602), "", 'Data Entry'!$`$602)</f>
      </c>
      <c r="AG602">
        <f>IF(ISBLANK('Data Entry'!$a$602), "", 'Data Entry'!$a$602)</f>
      </c>
      <c r="AH602">
        <f>IF(ISBLANK('Data Entry'!$b$602), "", 'Data Entry'!$b$602)</f>
      </c>
      <c r="AI602">
        <f>IF(ISBLANK('Data Entry'!$c$602), "", 'Data Entry'!$c$602)</f>
      </c>
      <c r="AJ602">
        <f>IF(ISBLANK('Data Entry'!$d$602), "", 'Data Entry'!$d$602)</f>
      </c>
      <c r="AK602">
        <f>IF(ISBLANK('Data Entry'!$e$602), "", 'Data Entry'!$e$602)</f>
      </c>
      <c r="AL602">
        <f>IF(ISBLANK('Data Entry'!$f$602), "", 'Data Entry'!$f$602)</f>
      </c>
      <c r="AM602">
        <f>IF(ISBLANK('Data Entry'!$g$602), "", 'Data Entry'!$g$602)</f>
      </c>
      <c r="AN602">
        <f>IF(ISBLANK('Data Entry'!$h$602), "", 'Data Entry'!$h$602)</f>
      </c>
      <c r="AO602">
        <f>IF(ISBLANK('Data Entry'!$i$602), "", 'Data Entry'!$i$602)</f>
      </c>
      <c r="AP602">
        <f>IF(ISBLANK('Data Entry'!$j$602), "", 'Data Entry'!$j$602)</f>
      </c>
      <c r="AQ602">
        <f>IF(ISBLANK('Data Entry'!$k$602), "", 'Data Entry'!$k$602)</f>
      </c>
      <c r="AR602">
        <f>IF(ISBLANK('Data Entry'!$l$602), "", 'Data Entry'!$l$602)</f>
      </c>
      <c r="AS602">
        <f>IF(ISBLANK('Data Entry'!$m$602), "", 'Data Entry'!$m$602)</f>
      </c>
      <c r="AT602">
        <f>IF(ISBLANK('Data Entry'!$n$602), "", 'Data Entry'!$n$602)</f>
      </c>
      <c r="AU602">
        <f>IF(ISBLANK('Data Entry'!$o$602), "", 'Data Entry'!$o$602)</f>
      </c>
      <c r="AV602">
        <f>IF(ISBLANK('Data Entry'!$p$602), "", 'Data Entry'!$p$602)</f>
      </c>
      <c r="AW602">
        <f>IF(ISBLANK('Data Entry'!$q$602), "", 'Data Entry'!$q$602)</f>
      </c>
      <c r="AX602">
        <f>IF(ISBLANK('Data Entry'!$r$602), "", 'Data Entry'!$r$602)</f>
      </c>
      <c r="AY602">
        <f>IF(ISBLANK('Data Entry'!$s$602), "", 'Data Entry'!$s$602)</f>
      </c>
      <c r="AZ602">
        <f>IF(ISBLANK('Data Entry'!$t$602), "", 'Data Entry'!$t$602)</f>
      </c>
      <c r="BA602">
        <f>IF(ISBLANK('Data Entry'!$u$602), "", 'Data Entry'!$u$602)</f>
      </c>
      <c r="BB602">
        <f>IF(ISBLANK('Data Entry'!$v$602), "", 'Data Entry'!$v$602)</f>
      </c>
      <c r="BC602">
        <f>IF(ISBLANK('Data Entry'!$w$602), "", 'Data Entry'!$w$602)</f>
      </c>
      <c r="BD602">
        <f>IF(ISBLANK('Data Entry'!$x$602), "", 'Data Entry'!$x$602)</f>
      </c>
      <c r="BE602">
        <f>IF(ISBLANK('Data Entry'!$y$602), "", 'Data Entry'!$y$602)</f>
      </c>
      <c r="BF602">
        <f>IF(ISBLANK('Data Entry'!$z$602), "", 'Data Entry'!$z$602)</f>
      </c>
      <c r="BG602">
        <f>IF(ISBLANK('Data Entry'!${$602), "", 'Data Entry'!${$602)</f>
      </c>
      <c r="BH602">
        <f>IF(ISBLANK('Data Entry'!$|$602), "", 'Data Entry'!$|$602)</f>
      </c>
      <c r="BI602">
        <f>IF(ISBLANK('Data Entry'!$}$602), "", 'Data Entry'!$}$602)</f>
      </c>
      <c r="BJ602">
        <f>IF(ISBLANK('Data Entry'!$~$602), "", 'Data Entry'!$~$602)</f>
      </c>
      <c r="BK602">
        <f>IF(ISBLANK('Data Entry'!$$602), "", 'Data Entry'!$$602)</f>
      </c>
      <c r="BL602">
        <f>IF(ISBLANK('Data Entry'!$$602), "", 'Data Entry'!$$602)</f>
      </c>
      <c r="BM602">
        <f>IF(ISBLANK('Data Entry'!$$602), "", 'Data Entry'!$$602)</f>
      </c>
      <c r="BN602">
        <f>IF(ISBLANK('Data Entry'!$$602), "", 'Data Entry'!$$602)</f>
      </c>
      <c r="BO602">
        <f>IF(ISBLANK('Data Entry'!$$602), "", 'Data Entry'!$$602)</f>
      </c>
      <c r="BP602">
        <f>IF(ISBLANK('Data Entry'!$$602), "", 'Data Entry'!$$602)</f>
      </c>
      <c r="BQ602">
        <f>IF(ISBLANK('Data Entry'!$$602), "", 'Data Entry'!$$602)</f>
      </c>
      <c r="BR602">
        <f>IF(ISBLANK('Data Entry'!$$602), "", 'Data Entry'!$$602)</f>
      </c>
      <c r="BS602">
        <f>IF(ISBLANK('Data Entry'!$$602), "", 'Data Entry'!$$602)</f>
      </c>
      <c r="BT602">
        <f>IF(ISBLANK('Data Entry'!$$602), "", 'Data Entry'!$$602)</f>
      </c>
      <c r="BU602">
        <f>IF(ISBLANK('Data Entry'!$$602), "", 'Data Entry'!$$602)</f>
      </c>
      <c r="BV602">
        <f>IF(ISBLANK('Data Entry'!$$602), "", 'Data Entry'!$$602)</f>
      </c>
      <c r="BW602">
        <f>IF(ISBLANK('Data Entry'!$$602), "", 'Data Entry'!$$602)</f>
      </c>
      <c r="BX602">
        <f>IF(ISBLANK('Data Entry'!$$602), "", 'Data Entry'!$$602)</f>
      </c>
      <c r="BY602">
        <f>IF(ISBLANK('Data Entry'!$$602), "", 'Data Entry'!$$602)</f>
      </c>
      <c r="BZ602">
        <f>IF(ISBLANK('Data Entry'!$$602), "", 'Data Entry'!$$602)</f>
      </c>
      <c r="CA602">
        <f>IF(ISBLANK('Data Entry'!$$602), "", 'Data Entry'!$$602)</f>
      </c>
      <c r="CB602">
        <f>IF(ISBLANK('Data Entry'!$$602), "", 'Data Entry'!$$602)</f>
      </c>
      <c r="CC602">
        <f>IF(ISBLANK('Data Entry'!$$602), "", 'Data Entry'!$$602)</f>
      </c>
      <c r="CD602">
        <f>IF(ISBLANK('Data Entry'!$$602), "", 'Data Entry'!$$602)</f>
      </c>
      <c r="CE602">
        <f>IF(ISBLANK('Data Entry'!$$602), "", 'Data Entry'!$$602)</f>
      </c>
      <c r="CF602">
        <f>IF(ISBLANK('Data Entry'!$$602), "", 'Data Entry'!$$602)</f>
      </c>
      <c r="CG602">
        <f>IF(ISBLANK('Data Entry'!$$602), "", 'Data Entry'!$$602)</f>
      </c>
      <c r="CH602">
        <f>IF(ISBLANK('Data Entry'!$$602), "", 'Data Entry'!$$602)</f>
      </c>
      <c r="CI602">
        <f>IF(ISBLANK('Data Entry'!$$602), "", 'Data Entry'!$$602)</f>
      </c>
      <c r="CJ602">
        <f>IF(ISBLANK('Data Entry'!$$602), "", 'Data Entry'!$$602)</f>
      </c>
      <c r="CK602">
        <f>IF(ISBLANK('Data Entry'!$$602), "", 'Data Entry'!$$602)</f>
      </c>
      <c r="CL602">
        <f>IF(ISBLANK('Data Entry'!$$602), "", 'Data Entry'!$$602)</f>
      </c>
      <c r="CM602">
        <f>IF(ISBLANK('Data Entry'!$$602), "", 'Data Entry'!$$602)</f>
      </c>
      <c r="CN602">
        <f>IF(ISBLANK('Data Entry'!$$602), "", 'Data Entry'!$$602)</f>
      </c>
      <c r="CO602">
        <f>IF(ISBLANK('Data Entry'!$$602), "", 'Data Entry'!$$602)</f>
      </c>
      <c r="CP602">
        <f>IF(ISBLANK('Data Entry'!$$602), "", 'Data Entry'!$$602)</f>
      </c>
      <c r="CQ602">
        <f>IF(ISBLANK('Data Entry'!$$602), "", 'Data Entry'!$$602)</f>
      </c>
      <c r="CR602">
        <f>IF(ISBLANK('Data Entry'!$ $602), "", 'Data Entry'!$ $602)</f>
      </c>
      <c r="CS602">
        <f>IF(ISBLANK('Data Entry'!$¡$602), "", 'Data Entry'!$¡$602)</f>
      </c>
      <c r="CT602">
        <f>IF(ISBLANK('Data Entry'!$¢$602), "", 'Data Entry'!$¢$602)</f>
      </c>
      <c r="CU602">
        <f>IF(ISBLANK('Data Entry'!$£$602), "", 'Data Entry'!$£$602)</f>
      </c>
      <c r="CV602">
        <f>IF(ISBLANK('Data Entry'!$¤$602), "", 'Data Entry'!$¤$602)</f>
      </c>
      <c r="CW602">
        <f>IF(ISBLANK('Data Entry'!$¥$602), "", 'Data Entry'!$¥$602)</f>
      </c>
      <c r="CX602">
        <f>IF(ISBLANK('Data Entry'!$¦$602), "", 'Data Entry'!$¦$602)</f>
      </c>
      <c r="CY602">
        <f>IF(ISBLANK('Data Entry'!$§$602), "", 'Data Entry'!$§$602)</f>
      </c>
      <c r="CZ602">
        <f>IF(ISBLANK('Data Entry'!$¨$602), "", 'Data Entry'!$¨$602)</f>
      </c>
      <c r="DA602">
        <f>IF(ISBLANK('Data Entry'!$©$602), "", 'Data Entry'!$©$602)</f>
      </c>
      <c r="DB602">
        <f>IF(ISBLANK('Data Entry'!$ª$602), "", 'Data Entry'!$ª$602)</f>
      </c>
      <c r="DC602">
        <f>IF(ISBLANK('Data Entry'!$«$602), "", 'Data Entry'!$«$602)</f>
      </c>
      <c r="DD602">
        <f>IF(ISBLANK('Data Entry'!$¬$602), "", 'Data Entry'!$¬$602)</f>
      </c>
      <c r="DE602">
        <f>IF(ISBLANK('Data Entry'!$­$602), "", 'Data Entry'!$­$602)</f>
      </c>
      <c r="DF602">
        <f>IF(ISBLANK('Data Entry'!$®$602), "", 'Data Entry'!$®$602)</f>
      </c>
      <c r="DG602">
        <f>IF(ISBLANK('Data Entry'!$¯$602), "", 'Data Entry'!$¯$602)</f>
      </c>
      <c r="DH602">
        <f>IF(ISBLANK('Data Entry'!$°$602), "", 'Data Entry'!$°$602)</f>
      </c>
      <c r="DI602">
        <f>IF(ISBLANK('Data Entry'!$±$602), "", 'Data Entry'!$±$602)</f>
      </c>
      <c r="DJ602">
        <f>IF(ISBLANK('Data Entry'!$²$602), "", 'Data Entry'!$²$602)</f>
      </c>
      <c r="DK602">
        <f>IF(ISBLANK('Data Entry'!$³$602), "", 'Data Entry'!$³$602)</f>
      </c>
      <c r="DL602">
        <f>IF(ISBLANK('Data Entry'!$´$602), "", 'Data Entry'!$´$602)</f>
      </c>
      <c r="DM602">
        <f>IF(ISBLANK('Data Entry'!$µ$602), "", 'Data Entry'!$µ$602)</f>
      </c>
      <c r="DN602">
        <f>IF(ISBLANK('Data Entry'!$¶$602), "", 'Data Entry'!$¶$602)</f>
      </c>
      <c r="DO602">
        <f>IF(ISBLANK('Data Entry'!$·$602), "", 'Data Entry'!$·$602)</f>
      </c>
      <c r="DP602">
        <f>IF(ISBLANK('Data Entry'!$¸$602), "", 'Data Entry'!$¸$602)</f>
      </c>
      <c r="DQ602">
        <f>IF(ISBLANK('Data Entry'!$¹$602), "", 'Data Entry'!$¹$602)</f>
      </c>
      <c r="DR602">
        <f>IF(ISBLANK('Data Entry'!$º$602), "", 'Data Entry'!$º$602)</f>
      </c>
      <c r="DS602">
        <f>IF(ISBLANK('Data Entry'!$»$602), "", 'Data Entry'!$»$602)</f>
      </c>
      <c r="DT602">
        <f>IF(ISBLANK('Data Entry'!$¼$602), "", 'Data Entry'!$¼$602)</f>
      </c>
      <c r="DU602">
        <f>IF(ISBLANK('Data Entry'!$½$602), "", 'Data Entry'!$½$602)</f>
      </c>
      <c r="DV602">
        <f>IF(ISBLANK('Data Entry'!$¾$602), "", 'Data Entry'!$¾$602)</f>
      </c>
      <c r="DW602">
        <f>IF(ISBLANK('Data Entry'!$¿$602), "", 'Data Entry'!$¿$602)</f>
      </c>
      <c r="DX602">
        <f>IF(ISBLANK('Data Entry'!$À$602), "", 'Data Entry'!$À$602)</f>
      </c>
      <c r="DY602">
        <f>IF(ISBLANK('Data Entry'!$Á$602), "", 'Data Entry'!$Á$602)</f>
      </c>
      <c r="DZ602">
        <f>IF(ISBLANK('Data Entry'!$Â$602), "", 'Data Entry'!$Â$602)</f>
      </c>
      <c r="EA602">
        <f>IF(ISBLANK('Data Entry'!$Ã$602), "", 'Data Entry'!$Ã$602)</f>
      </c>
      <c r="EB602">
        <f>IF(ISBLANK('Data Entry'!$Ä$602), "", 'Data Entry'!$Ä$602)</f>
      </c>
      <c r="EC602">
        <f>IF(ISBLANK('Data Entry'!$Å$602), "", 'Data Entry'!$Å$602)</f>
      </c>
      <c r="ED602">
        <f>IF(ISBLANK('Data Entry'!$Æ$602), "", 'Data Entry'!$Æ$602)</f>
      </c>
      <c r="EE602">
        <f>IF(ISBLANK('Data Entry'!$Ç$602), "", 'Data Entry'!$Ç$602)</f>
      </c>
      <c r="EF602">
        <f>IF(ISBLANK('Data Entry'!$È$602), "", 'Data Entry'!$È$602)</f>
      </c>
      <c r="EG602">
        <f>IF(ISBLANK('Data Entry'!$É$602), "", 'Data Entry'!$É$602)</f>
      </c>
      <c r="EH602">
        <f>IF(ISBLANK('Data Entry'!$Ê$602), "", 'Data Entry'!$Ê$602)</f>
      </c>
      <c r="EI602">
        <f>IF(ISBLANK('Data Entry'!$Ë$602), "", 'Data Entry'!$Ë$602)</f>
      </c>
      <c r="EJ602">
        <f>IF(ISBLANK('Data Entry'!$Ì$602), "", 'Data Entry'!$Ì$602)</f>
      </c>
      <c r="EK602">
        <f>IF(ISBLANK('Data Entry'!$Í$602), "", 'Data Entry'!$Í$602)</f>
      </c>
      <c r="EL602">
        <f>IF(ISBLANK('Data Entry'!$Î$602), "", 'Data Entry'!$Î$602)</f>
      </c>
      <c r="EM602">
        <f>IF(ISBLANK('Data Entry'!$Ï$602), "", 'Data Entry'!$Ï$602)</f>
      </c>
      <c r="EN602">
        <f>IF(ISBLANK('Data Entry'!$Ð$602), "", 'Data Entry'!$Ð$602)</f>
      </c>
      <c r="EO602">
        <f>IF(ISBLANK('Data Entry'!$Ñ$602), "", 'Data Entry'!$Ñ$602)</f>
      </c>
      <c r="EP602">
        <f>IF(ISBLANK('Data Entry'!$Ò$602), "", 'Data Entry'!$Ò$602)</f>
      </c>
      <c r="EQ602">
        <f>IF(ISBLANK('Data Entry'!$Ó$602), "", 'Data Entry'!$Ó$602)</f>
      </c>
      <c r="ER602">
        <f>IF(ISBLANK('Data Entry'!$Ô$602), "", 'Data Entry'!$Ô$602)</f>
      </c>
      <c r="ES602">
        <f>IF(ISBLANK('Data Entry'!$Õ$602), "", 'Data Entry'!$Õ$602)</f>
      </c>
      <c r="ET602">
        <f>IF(ISBLANK('Data Entry'!$Ö$602), "", 'Data Entry'!$Ö$602)</f>
      </c>
      <c r="EU602">
        <f>IF(ISBLANK('Data Entry'!$×$602), "", 'Data Entry'!$×$602)</f>
      </c>
      <c r="EV602">
        <f>IF(ISBLANK('Data Entry'!$Ø$602), "", 'Data Entry'!$Ø$602)</f>
      </c>
      <c r="EW602">
        <f>IF(ISBLANK('Data Entry'!$Ù$602), "", 'Data Entry'!$Ù$602)</f>
      </c>
      <c r="EX602">
        <f>IF(ISBLANK('Data Entry'!$Ú$602), "", 'Data Entry'!$Ú$602)</f>
      </c>
      <c r="EY602">
        <f>IF(ISBLANK('Data Entry'!$Û$602), "", 'Data Entry'!$Û$602)</f>
      </c>
      <c r="EZ602">
        <f>IF(ISBLANK('Data Entry'!$Ü$602), "", 'Data Entry'!$Ü$602)</f>
      </c>
      <c r="FA602">
        <f>IF(ISBLANK('Data Entry'!$Ý$602), "", 'Data Entry'!$Ý$602)</f>
      </c>
      <c r="FB602">
        <f>IF(ISBLANK('Data Entry'!$Þ$602), "", 'Data Entry'!$Þ$602)</f>
      </c>
      <c r="FC602">
        <f>IF(ISBLANK('Data Entry'!$ß$602), "", 'Data Entry'!$ß$602)</f>
      </c>
      <c r="FD602">
        <f>IF(ISBLANK('Data Entry'!$à$602), "", 'Data Entry'!$à$602)</f>
      </c>
      <c r="FE602">
        <f>IF(ISBLANK('Data Entry'!$á$602), "", 'Data Entry'!$á$602)</f>
      </c>
      <c r="FF602">
        <f>IF(ISBLANK('Data Entry'!$â$602), "", 'Data Entry'!$â$602)</f>
      </c>
      <c r="FG602">
        <f>IF(ISBLANK('Data Entry'!$ã$602), "", 'Data Entry'!$ã$602)</f>
      </c>
      <c r="FH602">
        <f>IF(ISBLANK('Data Entry'!$ä$602), "", 'Data Entry'!$ä$602)</f>
      </c>
      <c r="FI602">
        <f>IF(ISBLANK('Data Entry'!$å$602), "", 'Data Entry'!$å$602)</f>
      </c>
      <c r="FJ602">
        <f>IF(ISBLANK('Data Entry'!$æ$602), "", 'Data Entry'!$æ$602)</f>
      </c>
      <c r="FK602">
        <f>IF(ISBLANK('Data Entry'!$ç$602), "", 'Data Entry'!$ç$602)</f>
      </c>
      <c r="FL602">
        <f>IF(ISBLANK('Data Entry'!$è$602), "", 'Data Entry'!$è$602)</f>
      </c>
      <c r="FM602">
        <f>IF(ISBLANK('Data Entry'!$é$602), "", 'Data Entry'!$é$602)</f>
      </c>
      <c r="FN602">
        <f>IF(ISBLANK('Data Entry'!$ê$602), "", 'Data Entry'!$ê$602)</f>
      </c>
      <c r="FO602">
        <f>IF(ISBLANK('Data Entry'!$ë$602), "", 'Data Entry'!$ë$602)</f>
      </c>
      <c r="FP602">
        <f>IF(ISBLANK('Data Entry'!$ì$602), "", 'Data Entry'!$ì$602)</f>
      </c>
      <c r="FQ602">
        <f>IF(ISBLANK('Data Entry'!$í$602), "", 'Data Entry'!$í$602)</f>
      </c>
      <c r="FR602">
        <f>IF(ISBLANK('Data Entry'!$î$602), "", 'Data Entry'!$î$602)</f>
      </c>
      <c r="FS602">
        <f>IF(ISBLANK('Data Entry'!$ï$602), "", 'Data Entry'!$ï$602)</f>
      </c>
      <c r="FT602">
        <f>IF(ISBLANK('Data Entry'!$ð$602), "", 'Data Entry'!$ð$602)</f>
      </c>
      <c r="FU602">
        <f>IF(ISBLANK('Data Entry'!$ñ$602), "", 'Data Entry'!$ñ$602)</f>
      </c>
      <c r="FV602">
        <f>IF(ISBLANK('Data Entry'!$ò$602), "", 'Data Entry'!$ò$602)</f>
      </c>
      <c r="FW602">
        <f>IF(ISBLANK('Data Entry'!$ó$602), "", 'Data Entry'!$ó$602)</f>
      </c>
      <c r="FX602">
        <f>IF(ISBLANK('Data Entry'!$ô$602), "", 'Data Entry'!$ô$602)</f>
      </c>
      <c r="FY602">
        <f>IF(ISBLANK('Data Entry'!$õ$602), "", 'Data Entry'!$õ$602)</f>
      </c>
      <c r="FZ602">
        <f>IF(ISBLANK('Data Entry'!$ö$602), "", 'Data Entry'!$ö$602)</f>
      </c>
      <c r="GA602">
        <f>IF(ISBLANK('Data Entry'!$÷$602), "", 'Data Entry'!$÷$602)</f>
      </c>
      <c r="GB602">
        <f>IF(ISBLANK('Data Entry'!$ø$602), "", 'Data Entry'!$ø$602)</f>
      </c>
      <c r="GC602">
        <f>IF(ISBLANK('Data Entry'!$ù$602), "", 'Data Entry'!$ù$602)</f>
      </c>
      <c r="GD602">
        <f>IF(ISBLANK('Data Entry'!$ú$602), "", 'Data Entry'!$ú$602)</f>
      </c>
      <c r="GE602">
        <f>IF(ISBLANK('Data Entry'!$û$602), "", 'Data Entry'!$û$602)</f>
      </c>
      <c r="GF602">
        <f>IF(ISBLANK('Data Entry'!$ü$602), "", 'Data Entry'!$ü$602)</f>
      </c>
      <c r="GG602">
        <f>IF(ISBLANK('Data Entry'!$ý$602), "", 'Data Entry'!$ý$602)</f>
      </c>
      <c r="GH602">
        <f>IF(ISBLANK('Data Entry'!$þ$602), "", 'Data Entry'!$þ$602)</f>
      </c>
      <c r="GI602">
        <f>IF(ISBLANK('Data Entry'!$ÿ$602), "", 'Data Entry'!$ÿ$602)</f>
      </c>
      <c r="GJ602">
        <f>IF(ISBLANK('Data Entry'!$Ā$602), "", 'Data Entry'!$Ā$602)</f>
      </c>
      <c r="GK602">
        <f>IF(ISBLANK('Data Entry'!$ā$602), "", 'Data Entry'!$ā$602)</f>
      </c>
      <c r="GL602">
        <f>IF(ISBLANK('Data Entry'!$Ă$602), "", 'Data Entry'!$Ă$602)</f>
      </c>
      <c r="GM602">
        <f>IF(ISBLANK('Data Entry'!$ă$602), "", 'Data Entry'!$ă$602)</f>
      </c>
      <c r="GN602">
        <f>IF(ISBLANK('Data Entry'!$Ą$602), "", 'Data Entry'!$Ą$602)</f>
      </c>
      <c r="GO602">
        <f>IF(ISBLANK('Data Entry'!$ą$602), "", 'Data Entry'!$ą$602)</f>
      </c>
      <c r="GP602">
        <f>IF(ISBLANK('Data Entry'!$Ć$602), "", 'Data Entry'!$Ć$602)</f>
      </c>
      <c r="GQ602">
        <f>IF(ISBLANK('Data Entry'!$ć$602), "", 'Data Entry'!$ć$602)</f>
      </c>
      <c r="GR602">
        <f>IF(ISBLANK('Data Entry'!$Ĉ$602), "", 'Data Entry'!$Ĉ$602)</f>
      </c>
      <c r="GS602">
        <f>IF(ISBLANK('Data Entry'!$ĉ$602), "", 'Data Entry'!$ĉ$602)</f>
      </c>
      <c r="GT602">
        <f>IF(ISBLANK('Data Entry'!$Ċ$602), "", 'Data Entry'!$Ċ$602)</f>
      </c>
      <c r="GU602">
        <f>IF(ISBLANK('Data Entry'!$ċ$602), "", 'Data Entry'!$ċ$602)</f>
      </c>
      <c r="GV602">
        <f>IF(ISBLANK('Data Entry'!$Č$602), "", 'Data Entry'!$Č$602)</f>
      </c>
      <c r="GW602">
        <f>IF(ISBLANK('Data Entry'!$č$602), "", 'Data Entry'!$č$602)</f>
      </c>
      <c r="GX602">
        <f>IF(ISBLANK('Data Entry'!$Ď$602), "", 'Data Entry'!$Ď$602)</f>
      </c>
      <c r="GY602">
        <f>IF(ISBLANK('Data Entry'!$ď$602), "", 'Data Entry'!$ď$602)</f>
      </c>
      <c r="GZ602">
        <f>IF(ISBLANK('Data Entry'!$Đ$602), "", 'Data Entry'!$Đ$602)</f>
      </c>
      <c r="HA602">
        <f>IF(ISBLANK('Data Entry'!$đ$602), "", 'Data Entry'!$đ$602)</f>
      </c>
      <c r="HB602">
        <f>IF(ISBLANK('Data Entry'!$Ē$602), "", 'Data Entry'!$Ē$602)</f>
      </c>
      <c r="HC602">
        <f>IF(ISBLANK('Data Entry'!$ē$602), "", 'Data Entry'!$ē$602)</f>
      </c>
      <c r="HD602">
        <f>IF(ISBLANK('Data Entry'!$Ĕ$602), "", 'Data Entry'!$Ĕ$602)</f>
      </c>
      <c r="HE602">
        <f>IF(ISBLANK('Data Entry'!$ĕ$602), "", 'Data Entry'!$ĕ$602)</f>
      </c>
      <c r="HF602">
        <f>IF(ISBLANK('Data Entry'!$Ė$602), "", 'Data Entry'!$Ė$602)</f>
      </c>
      <c r="HG602">
        <f>IF(ISBLANK('Data Entry'!$ė$602), "", 'Data Entry'!$ė$602)</f>
      </c>
      <c r="HH602">
        <f>IF(ISBLANK('Data Entry'!$Ę$602), "", 'Data Entry'!$Ę$602)</f>
      </c>
      <c r="HI602">
        <f>IF(ISBLANK('Data Entry'!$ę$602), "", 'Data Entry'!$ę$602)</f>
      </c>
      <c r="HJ602">
        <f>IF(ISBLANK('Data Entry'!$Ě$602), "", 'Data Entry'!$Ě$602)</f>
      </c>
      <c r="HK602">
        <f>IF(ISBLANK('Data Entry'!$ě$602), "", 'Data Entry'!$ě$602)</f>
      </c>
      <c r="HL602">
        <f>IF(ISBLANK('Data Entry'!$Ĝ$602), "", 'Data Entry'!$Ĝ$602)</f>
      </c>
      <c r="HM602">
        <f>IF(ISBLANK('Data Entry'!$ĝ$602), "", 'Data Entry'!$ĝ$602)</f>
      </c>
      <c r="HN602">
        <f>IF(ISBLANK('Data Entry'!$Ğ$602), "", 'Data Entry'!$Ğ$602)</f>
      </c>
      <c r="HO602">
        <f>IF(ISBLANK('Data Entry'!$ğ$602), "", 'Data Entry'!$ğ$602)</f>
      </c>
      <c r="HP602">
        <f>IF(ISBLANK('Data Entry'!$Ġ$602), "", 'Data Entry'!$Ġ$602)</f>
      </c>
      <c r="HQ602">
        <f>IF(ISBLANK('Data Entry'!$ġ$602), "", 'Data Entry'!$ġ$602)</f>
      </c>
      <c r="HR602">
        <f>IF(ISBLANK('Data Entry'!$Ģ$602), "", 'Data Entry'!$Ģ$602)</f>
      </c>
      <c r="HS602">
        <f>IF(ISBLANK('Data Entry'!$ģ$602), "", 'Data Entry'!$ģ$602)</f>
      </c>
      <c r="HT602">
        <f>IF(ISBLANK('Data Entry'!$Ĥ$602), "", 'Data Entry'!$Ĥ$602)</f>
      </c>
      <c r="HU602">
        <f>IF(ISBLANK('Data Entry'!$ĥ$602), "", 'Data Entry'!$ĥ$602)</f>
      </c>
      <c r="HV602">
        <f>IF(ISBLANK('Data Entry'!$Ħ$602), "", 'Data Entry'!$Ħ$602)</f>
      </c>
      <c r="HW602">
        <f>IF(ISBLANK('Data Entry'!$ħ$602), "", 'Data Entry'!$ħ$602)</f>
      </c>
      <c r="HX602">
        <f>IF(ISBLANK('Data Entry'!$Ĩ$602), "", 'Data Entry'!$Ĩ$602)</f>
      </c>
      <c r="HY602">
        <f>IF(ISBLANK('Data Entry'!$ĩ$602), "", 'Data Entry'!$ĩ$602)</f>
      </c>
      <c r="HZ602">
        <f>IF(ISBLANK('Data Entry'!$Ī$602), "", 'Data Entry'!$Ī$602)</f>
      </c>
      <c r="IA602">
        <f>IF(ISBLANK('Data Entry'!$ī$602), "", 'Data Entry'!$ī$602)</f>
      </c>
      <c r="IB602">
        <f>IF(ISBLANK('Data Entry'!$Ĭ$602), "", 'Data Entry'!$Ĭ$602)</f>
      </c>
      <c r="IC602">
        <f>IF(ISBLANK('Data Entry'!$ĭ$602), "", 'Data Entry'!$ĭ$602)</f>
      </c>
      <c r="ID602">
        <f>IF(ISBLANK('Data Entry'!$Į$602), "", 'Data Entry'!$Į$602)</f>
      </c>
      <c r="IE602">
        <f>IF(ISBLANK('Data Entry'!$į$602), "", 'Data Entry'!$į$602)</f>
      </c>
      <c r="IF602">
        <f>IF(ISBLANK('Data Entry'!$İ$602), "", 'Data Entry'!$İ$602)</f>
      </c>
      <c r="IG602">
        <f>IF(ISBLANK('Data Entry'!$ı$602), "", 'Data Entry'!$ı$602)</f>
      </c>
      <c r="IH602">
        <f>IF(ISBLANK('Data Entry'!$Ĳ$602), "", 'Data Entry'!$Ĳ$602)</f>
      </c>
      <c r="II602">
        <f>IF(ISBLANK('Data Entry'!$ĳ$602), "", 'Data Entry'!$ĳ$602)</f>
      </c>
      <c r="IJ602">
        <f>IF(ISBLANK('Data Entry'!$Ĵ$602), "", 'Data Entry'!$Ĵ$602)</f>
      </c>
      <c r="IK602">
        <f>IF(ISBLANK('Data Entry'!$ĵ$602), "", 'Data Entry'!$ĵ$602)</f>
      </c>
      <c r="IL602">
        <f>IF(ISBLANK('Data Entry'!$Ķ$602), "", 'Data Entry'!$Ķ$602)</f>
      </c>
      <c r="IM602">
        <f>IF(ISBLANK('Data Entry'!$ķ$602), "", 'Data Entry'!$ķ$602)</f>
      </c>
      <c r="IN602">
        <f>IF(ISBLANK('Data Entry'!$ĸ$602), "", 'Data Entry'!$ĸ$602)</f>
      </c>
      <c r="IO602">
        <f>IF(ISBLANK('Data Entry'!$Ĺ$602), "", 'Data Entry'!$Ĺ$602)</f>
      </c>
      <c r="IP602">
        <f>IF(ISBLANK('Data Entry'!$ĺ$602), "", 'Data Entry'!$ĺ$602)</f>
      </c>
      <c r="IQ602">
        <f>IF(ISBLANK('Data Entry'!$Ļ$602), "", 'Data Entry'!$Ļ$602)</f>
      </c>
      <c r="IR602">
        <f>IF(ISBLANK('Data Entry'!$ļ$602), "", 'Data Entry'!$ļ$602)</f>
      </c>
      <c r="IS602">
        <f>IF(ISBLANK('Data Entry'!$Ľ$602), "", 'Data Entry'!$Ľ$602)</f>
      </c>
      <c r="IT602">
        <f>IF(ISBLANK('Data Entry'!$ľ$602), "", 'Data Entry'!$ľ$602)</f>
      </c>
    </row>
    <row r="603" spans="1:254" x14ac:dyDescent="0.25">
      <c r="A603">
        <f>IF(ISBLANK('Data Entry'!$A$603), "", 'Data Entry'!$A$603)</f>
      </c>
      <c r="B603">
        <f>IF(ISBLANK('Data Entry'!$B$603), "", 'Data Entry'!$B$603)</f>
      </c>
      <c r="C603">
        <f>IF(ISBLANK('Data Entry'!$C$603), "", 'Data Entry'!$C$603)</f>
      </c>
      <c r="D603">
        <f>IF(ISBLANK('Data Entry'!$D$603), "", 'Data Entry'!$D$603)</f>
      </c>
      <c r="E603">
        <f>IF(ISBLANK('Data Entry'!$E$603), "", 'Data Entry'!$E$603)</f>
      </c>
      <c r="F603">
        <f>IF(ISBLANK('Data Entry'!$F$603), "", 'Data Entry'!$F$603)</f>
      </c>
      <c r="G603">
        <f>IF(ISBLANK('Data Entry'!$G$603), "", 'Data Entry'!$G$603)</f>
      </c>
      <c r="H603">
        <f>IF(ISBLANK('Data Entry'!$H$603), "", 'Data Entry'!$H$603)</f>
      </c>
      <c r="I603">
        <f>IF(ISBLANK('Data Entry'!$I$603), "", 'Data Entry'!$I$603)</f>
      </c>
      <c r="J603">
        <f>IF(ISBLANK('Data Entry'!$J$603), "", 'Data Entry'!$J$603)</f>
      </c>
      <c r="K603">
        <f>IF(ISBLANK('Data Entry'!$K$603), "", 'Data Entry'!$K$603)</f>
      </c>
      <c r="L603">
        <f>IF(ISBLANK('Data Entry'!$L$603), "", 'Data Entry'!$L$603)</f>
      </c>
      <c r="M603">
        <f>IF(ISBLANK('Data Entry'!$M$603), "", 'Data Entry'!$M$603)</f>
      </c>
      <c r="N603">
        <f>IF(ISBLANK('Data Entry'!$N$603), "", 'Data Entry'!$N$603)</f>
      </c>
      <c r="O603">
        <f>IF(ISBLANK('Data Entry'!$O$603), "", 'Data Entry'!$O$603)</f>
      </c>
      <c r="P603">
        <f>IF(ISBLANK('Data Entry'!$P$603), "", 'Data Entry'!$P$603)</f>
      </c>
      <c r="Q603">
        <f>IF(ISBLANK('Data Entry'!$Q$603), "", 'Data Entry'!$Q$603)</f>
      </c>
      <c r="R603">
        <f>IF(ISBLANK('Data Entry'!$R$603), "", 'Data Entry'!$R$603)</f>
      </c>
      <c r="S603">
        <f>IF(ISBLANK('Data Entry'!$S$603), "", 'Data Entry'!$S$603)</f>
      </c>
      <c r="T603">
        <f>IF(ISBLANK('Data Entry'!$T$603), "", 'Data Entry'!$T$603)</f>
      </c>
      <c r="U603">
        <f>IF(ISBLANK('Data Entry'!$U$603), "", 'Data Entry'!$U$603)</f>
      </c>
      <c r="V603">
        <f>IF(ISBLANK('Data Entry'!$V$603), "", 'Data Entry'!$V$603)</f>
      </c>
      <c r="W603">
        <f>IF(ISBLANK('Data Entry'!$W$603), "", 'Data Entry'!$W$603)</f>
      </c>
      <c r="X603">
        <f>IF(ISBLANK('Data Entry'!$X$603), "", 'Data Entry'!$X$603)</f>
      </c>
      <c r="Y603">
        <f>IF(ISBLANK('Data Entry'!$Y$603), "", 'Data Entry'!$Y$603)</f>
      </c>
      <c r="Z603">
        <f>IF(ISBLANK('Data Entry'!$Z$603), "", 'Data Entry'!$Z$603)</f>
      </c>
      <c r="AA603">
        <f>IF(ISBLANK('Data Entry'!$[$603), "", 'Data Entry'!$[$603)</f>
      </c>
      <c r="AB603">
        <f>IF(ISBLANK('Data Entry'!$\$603), "", 'Data Entry'!$\$603)</f>
      </c>
      <c r="AC603">
        <f>IF(ISBLANK('Data Entry'!$]$603), "", 'Data Entry'!$]$603)</f>
      </c>
      <c r="AD603">
        <f>IF(ISBLANK('Data Entry'!$^$603), "", 'Data Entry'!$^$603)</f>
      </c>
      <c r="AE603">
        <f>IF(ISBLANK('Data Entry'!$_$603), "", 'Data Entry'!$_$603)</f>
      </c>
      <c r="AF603">
        <f>IF(ISBLANK('Data Entry'!$`$603), "", 'Data Entry'!$`$603)</f>
      </c>
      <c r="AG603">
        <f>IF(ISBLANK('Data Entry'!$a$603), "", 'Data Entry'!$a$603)</f>
      </c>
      <c r="AH603">
        <f>IF(ISBLANK('Data Entry'!$b$603), "", 'Data Entry'!$b$603)</f>
      </c>
      <c r="AI603">
        <f>IF(ISBLANK('Data Entry'!$c$603), "", 'Data Entry'!$c$603)</f>
      </c>
      <c r="AJ603">
        <f>IF(ISBLANK('Data Entry'!$d$603), "", 'Data Entry'!$d$603)</f>
      </c>
      <c r="AK603">
        <f>IF(ISBLANK('Data Entry'!$e$603), "", 'Data Entry'!$e$603)</f>
      </c>
      <c r="AL603">
        <f>IF(ISBLANK('Data Entry'!$f$603), "", 'Data Entry'!$f$603)</f>
      </c>
      <c r="AM603">
        <f>IF(ISBLANK('Data Entry'!$g$603), "", 'Data Entry'!$g$603)</f>
      </c>
      <c r="AN603">
        <f>IF(ISBLANK('Data Entry'!$h$603), "", 'Data Entry'!$h$603)</f>
      </c>
      <c r="AO603">
        <f>IF(ISBLANK('Data Entry'!$i$603), "", 'Data Entry'!$i$603)</f>
      </c>
      <c r="AP603">
        <f>IF(ISBLANK('Data Entry'!$j$603), "", 'Data Entry'!$j$603)</f>
      </c>
      <c r="AQ603">
        <f>IF(ISBLANK('Data Entry'!$k$603), "", 'Data Entry'!$k$603)</f>
      </c>
      <c r="AR603">
        <f>IF(ISBLANK('Data Entry'!$l$603), "", 'Data Entry'!$l$603)</f>
      </c>
      <c r="AS603">
        <f>IF(ISBLANK('Data Entry'!$m$603), "", 'Data Entry'!$m$603)</f>
      </c>
      <c r="AT603">
        <f>IF(ISBLANK('Data Entry'!$n$603), "", 'Data Entry'!$n$603)</f>
      </c>
      <c r="AU603">
        <f>IF(ISBLANK('Data Entry'!$o$603), "", 'Data Entry'!$o$603)</f>
      </c>
      <c r="AV603">
        <f>IF(ISBLANK('Data Entry'!$p$603), "", 'Data Entry'!$p$603)</f>
      </c>
      <c r="AW603">
        <f>IF(ISBLANK('Data Entry'!$q$603), "", 'Data Entry'!$q$603)</f>
      </c>
      <c r="AX603">
        <f>IF(ISBLANK('Data Entry'!$r$603), "", 'Data Entry'!$r$603)</f>
      </c>
      <c r="AY603">
        <f>IF(ISBLANK('Data Entry'!$s$603), "", 'Data Entry'!$s$603)</f>
      </c>
      <c r="AZ603">
        <f>IF(ISBLANK('Data Entry'!$t$603), "", 'Data Entry'!$t$603)</f>
      </c>
      <c r="BA603">
        <f>IF(ISBLANK('Data Entry'!$u$603), "", 'Data Entry'!$u$603)</f>
      </c>
      <c r="BB603">
        <f>IF(ISBLANK('Data Entry'!$v$603), "", 'Data Entry'!$v$603)</f>
      </c>
      <c r="BC603">
        <f>IF(ISBLANK('Data Entry'!$w$603), "", 'Data Entry'!$w$603)</f>
      </c>
      <c r="BD603">
        <f>IF(ISBLANK('Data Entry'!$x$603), "", 'Data Entry'!$x$603)</f>
      </c>
      <c r="BE603">
        <f>IF(ISBLANK('Data Entry'!$y$603), "", 'Data Entry'!$y$603)</f>
      </c>
      <c r="BF603">
        <f>IF(ISBLANK('Data Entry'!$z$603), "", 'Data Entry'!$z$603)</f>
      </c>
      <c r="BG603">
        <f>IF(ISBLANK('Data Entry'!${$603), "", 'Data Entry'!${$603)</f>
      </c>
      <c r="BH603">
        <f>IF(ISBLANK('Data Entry'!$|$603), "", 'Data Entry'!$|$603)</f>
      </c>
      <c r="BI603">
        <f>IF(ISBLANK('Data Entry'!$}$603), "", 'Data Entry'!$}$603)</f>
      </c>
      <c r="BJ603">
        <f>IF(ISBLANK('Data Entry'!$~$603), "", 'Data Entry'!$~$603)</f>
      </c>
      <c r="BK603">
        <f>IF(ISBLANK('Data Entry'!$$603), "", 'Data Entry'!$$603)</f>
      </c>
      <c r="BL603">
        <f>IF(ISBLANK('Data Entry'!$$603), "", 'Data Entry'!$$603)</f>
      </c>
      <c r="BM603">
        <f>IF(ISBLANK('Data Entry'!$$603), "", 'Data Entry'!$$603)</f>
      </c>
      <c r="BN603">
        <f>IF(ISBLANK('Data Entry'!$$603), "", 'Data Entry'!$$603)</f>
      </c>
      <c r="BO603">
        <f>IF(ISBLANK('Data Entry'!$$603), "", 'Data Entry'!$$603)</f>
      </c>
      <c r="BP603">
        <f>IF(ISBLANK('Data Entry'!$$603), "", 'Data Entry'!$$603)</f>
      </c>
      <c r="BQ603">
        <f>IF(ISBLANK('Data Entry'!$$603), "", 'Data Entry'!$$603)</f>
      </c>
      <c r="BR603">
        <f>IF(ISBLANK('Data Entry'!$$603), "", 'Data Entry'!$$603)</f>
      </c>
      <c r="BS603">
        <f>IF(ISBLANK('Data Entry'!$$603), "", 'Data Entry'!$$603)</f>
      </c>
      <c r="BT603">
        <f>IF(ISBLANK('Data Entry'!$$603), "", 'Data Entry'!$$603)</f>
      </c>
      <c r="BU603">
        <f>IF(ISBLANK('Data Entry'!$$603), "", 'Data Entry'!$$603)</f>
      </c>
      <c r="BV603">
        <f>IF(ISBLANK('Data Entry'!$$603), "", 'Data Entry'!$$603)</f>
      </c>
      <c r="BW603">
        <f>IF(ISBLANK('Data Entry'!$$603), "", 'Data Entry'!$$603)</f>
      </c>
      <c r="BX603">
        <f>IF(ISBLANK('Data Entry'!$$603), "", 'Data Entry'!$$603)</f>
      </c>
      <c r="BY603">
        <f>IF(ISBLANK('Data Entry'!$$603), "", 'Data Entry'!$$603)</f>
      </c>
      <c r="BZ603">
        <f>IF(ISBLANK('Data Entry'!$$603), "", 'Data Entry'!$$603)</f>
      </c>
      <c r="CA603">
        <f>IF(ISBLANK('Data Entry'!$$603), "", 'Data Entry'!$$603)</f>
      </c>
      <c r="CB603">
        <f>IF(ISBLANK('Data Entry'!$$603), "", 'Data Entry'!$$603)</f>
      </c>
      <c r="CC603">
        <f>IF(ISBLANK('Data Entry'!$$603), "", 'Data Entry'!$$603)</f>
      </c>
      <c r="CD603">
        <f>IF(ISBLANK('Data Entry'!$$603), "", 'Data Entry'!$$603)</f>
      </c>
      <c r="CE603">
        <f>IF(ISBLANK('Data Entry'!$$603), "", 'Data Entry'!$$603)</f>
      </c>
      <c r="CF603">
        <f>IF(ISBLANK('Data Entry'!$$603), "", 'Data Entry'!$$603)</f>
      </c>
      <c r="CG603">
        <f>IF(ISBLANK('Data Entry'!$$603), "", 'Data Entry'!$$603)</f>
      </c>
      <c r="CH603">
        <f>IF(ISBLANK('Data Entry'!$$603), "", 'Data Entry'!$$603)</f>
      </c>
      <c r="CI603">
        <f>IF(ISBLANK('Data Entry'!$$603), "", 'Data Entry'!$$603)</f>
      </c>
      <c r="CJ603">
        <f>IF(ISBLANK('Data Entry'!$$603), "", 'Data Entry'!$$603)</f>
      </c>
      <c r="CK603">
        <f>IF(ISBLANK('Data Entry'!$$603), "", 'Data Entry'!$$603)</f>
      </c>
      <c r="CL603">
        <f>IF(ISBLANK('Data Entry'!$$603), "", 'Data Entry'!$$603)</f>
      </c>
      <c r="CM603">
        <f>IF(ISBLANK('Data Entry'!$$603), "", 'Data Entry'!$$603)</f>
      </c>
      <c r="CN603">
        <f>IF(ISBLANK('Data Entry'!$$603), "", 'Data Entry'!$$603)</f>
      </c>
      <c r="CO603">
        <f>IF(ISBLANK('Data Entry'!$$603), "", 'Data Entry'!$$603)</f>
      </c>
      <c r="CP603">
        <f>IF(ISBLANK('Data Entry'!$$603), "", 'Data Entry'!$$603)</f>
      </c>
      <c r="CQ603">
        <f>IF(ISBLANK('Data Entry'!$$603), "", 'Data Entry'!$$603)</f>
      </c>
      <c r="CR603">
        <f>IF(ISBLANK('Data Entry'!$ $603), "", 'Data Entry'!$ $603)</f>
      </c>
      <c r="CS603">
        <f>IF(ISBLANK('Data Entry'!$¡$603), "", 'Data Entry'!$¡$603)</f>
      </c>
      <c r="CT603">
        <f>IF(ISBLANK('Data Entry'!$¢$603), "", 'Data Entry'!$¢$603)</f>
      </c>
      <c r="CU603">
        <f>IF(ISBLANK('Data Entry'!$£$603), "", 'Data Entry'!$£$603)</f>
      </c>
      <c r="CV603">
        <f>IF(ISBLANK('Data Entry'!$¤$603), "", 'Data Entry'!$¤$603)</f>
      </c>
      <c r="CW603">
        <f>IF(ISBLANK('Data Entry'!$¥$603), "", 'Data Entry'!$¥$603)</f>
      </c>
      <c r="CX603">
        <f>IF(ISBLANK('Data Entry'!$¦$603), "", 'Data Entry'!$¦$603)</f>
      </c>
      <c r="CY603">
        <f>IF(ISBLANK('Data Entry'!$§$603), "", 'Data Entry'!$§$603)</f>
      </c>
      <c r="CZ603">
        <f>IF(ISBLANK('Data Entry'!$¨$603), "", 'Data Entry'!$¨$603)</f>
      </c>
      <c r="DA603">
        <f>IF(ISBLANK('Data Entry'!$©$603), "", 'Data Entry'!$©$603)</f>
      </c>
      <c r="DB603">
        <f>IF(ISBLANK('Data Entry'!$ª$603), "", 'Data Entry'!$ª$603)</f>
      </c>
      <c r="DC603">
        <f>IF(ISBLANK('Data Entry'!$«$603), "", 'Data Entry'!$«$603)</f>
      </c>
      <c r="DD603">
        <f>IF(ISBLANK('Data Entry'!$¬$603), "", 'Data Entry'!$¬$603)</f>
      </c>
      <c r="DE603">
        <f>IF(ISBLANK('Data Entry'!$­$603), "", 'Data Entry'!$­$603)</f>
      </c>
      <c r="DF603">
        <f>IF(ISBLANK('Data Entry'!$®$603), "", 'Data Entry'!$®$603)</f>
      </c>
      <c r="DG603">
        <f>IF(ISBLANK('Data Entry'!$¯$603), "", 'Data Entry'!$¯$603)</f>
      </c>
      <c r="DH603">
        <f>IF(ISBLANK('Data Entry'!$°$603), "", 'Data Entry'!$°$603)</f>
      </c>
      <c r="DI603">
        <f>IF(ISBLANK('Data Entry'!$±$603), "", 'Data Entry'!$±$603)</f>
      </c>
      <c r="DJ603">
        <f>IF(ISBLANK('Data Entry'!$²$603), "", 'Data Entry'!$²$603)</f>
      </c>
      <c r="DK603">
        <f>IF(ISBLANK('Data Entry'!$³$603), "", 'Data Entry'!$³$603)</f>
      </c>
      <c r="DL603">
        <f>IF(ISBLANK('Data Entry'!$´$603), "", 'Data Entry'!$´$603)</f>
      </c>
      <c r="DM603">
        <f>IF(ISBLANK('Data Entry'!$µ$603), "", 'Data Entry'!$µ$603)</f>
      </c>
      <c r="DN603">
        <f>IF(ISBLANK('Data Entry'!$¶$603), "", 'Data Entry'!$¶$603)</f>
      </c>
      <c r="DO603">
        <f>IF(ISBLANK('Data Entry'!$·$603), "", 'Data Entry'!$·$603)</f>
      </c>
      <c r="DP603">
        <f>IF(ISBLANK('Data Entry'!$¸$603), "", 'Data Entry'!$¸$603)</f>
      </c>
      <c r="DQ603">
        <f>IF(ISBLANK('Data Entry'!$¹$603), "", 'Data Entry'!$¹$603)</f>
      </c>
      <c r="DR603">
        <f>IF(ISBLANK('Data Entry'!$º$603), "", 'Data Entry'!$º$603)</f>
      </c>
      <c r="DS603">
        <f>IF(ISBLANK('Data Entry'!$»$603), "", 'Data Entry'!$»$603)</f>
      </c>
      <c r="DT603">
        <f>IF(ISBLANK('Data Entry'!$¼$603), "", 'Data Entry'!$¼$603)</f>
      </c>
      <c r="DU603">
        <f>IF(ISBLANK('Data Entry'!$½$603), "", 'Data Entry'!$½$603)</f>
      </c>
      <c r="DV603">
        <f>IF(ISBLANK('Data Entry'!$¾$603), "", 'Data Entry'!$¾$603)</f>
      </c>
      <c r="DW603">
        <f>IF(ISBLANK('Data Entry'!$¿$603), "", 'Data Entry'!$¿$603)</f>
      </c>
      <c r="DX603">
        <f>IF(ISBLANK('Data Entry'!$À$603), "", 'Data Entry'!$À$603)</f>
      </c>
      <c r="DY603">
        <f>IF(ISBLANK('Data Entry'!$Á$603), "", 'Data Entry'!$Á$603)</f>
      </c>
      <c r="DZ603">
        <f>IF(ISBLANK('Data Entry'!$Â$603), "", 'Data Entry'!$Â$603)</f>
      </c>
      <c r="EA603">
        <f>IF(ISBLANK('Data Entry'!$Ã$603), "", 'Data Entry'!$Ã$603)</f>
      </c>
      <c r="EB603">
        <f>IF(ISBLANK('Data Entry'!$Ä$603), "", 'Data Entry'!$Ä$603)</f>
      </c>
      <c r="EC603">
        <f>IF(ISBLANK('Data Entry'!$Å$603), "", 'Data Entry'!$Å$603)</f>
      </c>
      <c r="ED603">
        <f>IF(ISBLANK('Data Entry'!$Æ$603), "", 'Data Entry'!$Æ$603)</f>
      </c>
      <c r="EE603">
        <f>IF(ISBLANK('Data Entry'!$Ç$603), "", 'Data Entry'!$Ç$603)</f>
      </c>
      <c r="EF603">
        <f>IF(ISBLANK('Data Entry'!$È$603), "", 'Data Entry'!$È$603)</f>
      </c>
      <c r="EG603">
        <f>IF(ISBLANK('Data Entry'!$É$603), "", 'Data Entry'!$É$603)</f>
      </c>
      <c r="EH603">
        <f>IF(ISBLANK('Data Entry'!$Ê$603), "", 'Data Entry'!$Ê$603)</f>
      </c>
      <c r="EI603">
        <f>IF(ISBLANK('Data Entry'!$Ë$603), "", 'Data Entry'!$Ë$603)</f>
      </c>
      <c r="EJ603">
        <f>IF(ISBLANK('Data Entry'!$Ì$603), "", 'Data Entry'!$Ì$603)</f>
      </c>
      <c r="EK603">
        <f>IF(ISBLANK('Data Entry'!$Í$603), "", 'Data Entry'!$Í$603)</f>
      </c>
      <c r="EL603">
        <f>IF(ISBLANK('Data Entry'!$Î$603), "", 'Data Entry'!$Î$603)</f>
      </c>
      <c r="EM603">
        <f>IF(ISBLANK('Data Entry'!$Ï$603), "", 'Data Entry'!$Ï$603)</f>
      </c>
      <c r="EN603">
        <f>IF(ISBLANK('Data Entry'!$Ð$603), "", 'Data Entry'!$Ð$603)</f>
      </c>
      <c r="EO603">
        <f>IF(ISBLANK('Data Entry'!$Ñ$603), "", 'Data Entry'!$Ñ$603)</f>
      </c>
      <c r="EP603">
        <f>IF(ISBLANK('Data Entry'!$Ò$603), "", 'Data Entry'!$Ò$603)</f>
      </c>
      <c r="EQ603">
        <f>IF(ISBLANK('Data Entry'!$Ó$603), "", 'Data Entry'!$Ó$603)</f>
      </c>
      <c r="ER603">
        <f>IF(ISBLANK('Data Entry'!$Ô$603), "", 'Data Entry'!$Ô$603)</f>
      </c>
      <c r="ES603">
        <f>IF(ISBLANK('Data Entry'!$Õ$603), "", 'Data Entry'!$Õ$603)</f>
      </c>
      <c r="ET603">
        <f>IF(ISBLANK('Data Entry'!$Ö$603), "", 'Data Entry'!$Ö$603)</f>
      </c>
      <c r="EU603">
        <f>IF(ISBLANK('Data Entry'!$×$603), "", 'Data Entry'!$×$603)</f>
      </c>
      <c r="EV603">
        <f>IF(ISBLANK('Data Entry'!$Ø$603), "", 'Data Entry'!$Ø$603)</f>
      </c>
      <c r="EW603">
        <f>IF(ISBLANK('Data Entry'!$Ù$603), "", 'Data Entry'!$Ù$603)</f>
      </c>
      <c r="EX603">
        <f>IF(ISBLANK('Data Entry'!$Ú$603), "", 'Data Entry'!$Ú$603)</f>
      </c>
      <c r="EY603">
        <f>IF(ISBLANK('Data Entry'!$Û$603), "", 'Data Entry'!$Û$603)</f>
      </c>
      <c r="EZ603">
        <f>IF(ISBLANK('Data Entry'!$Ü$603), "", 'Data Entry'!$Ü$603)</f>
      </c>
      <c r="FA603">
        <f>IF(ISBLANK('Data Entry'!$Ý$603), "", 'Data Entry'!$Ý$603)</f>
      </c>
      <c r="FB603">
        <f>IF(ISBLANK('Data Entry'!$Þ$603), "", 'Data Entry'!$Þ$603)</f>
      </c>
      <c r="FC603">
        <f>IF(ISBLANK('Data Entry'!$ß$603), "", 'Data Entry'!$ß$603)</f>
      </c>
      <c r="FD603">
        <f>IF(ISBLANK('Data Entry'!$à$603), "", 'Data Entry'!$à$603)</f>
      </c>
      <c r="FE603">
        <f>IF(ISBLANK('Data Entry'!$á$603), "", 'Data Entry'!$á$603)</f>
      </c>
      <c r="FF603">
        <f>IF(ISBLANK('Data Entry'!$â$603), "", 'Data Entry'!$â$603)</f>
      </c>
      <c r="FG603">
        <f>IF(ISBLANK('Data Entry'!$ã$603), "", 'Data Entry'!$ã$603)</f>
      </c>
      <c r="FH603">
        <f>IF(ISBLANK('Data Entry'!$ä$603), "", 'Data Entry'!$ä$603)</f>
      </c>
      <c r="FI603">
        <f>IF(ISBLANK('Data Entry'!$å$603), "", 'Data Entry'!$å$603)</f>
      </c>
      <c r="FJ603">
        <f>IF(ISBLANK('Data Entry'!$æ$603), "", 'Data Entry'!$æ$603)</f>
      </c>
      <c r="FK603">
        <f>IF(ISBLANK('Data Entry'!$ç$603), "", 'Data Entry'!$ç$603)</f>
      </c>
      <c r="FL603">
        <f>IF(ISBLANK('Data Entry'!$è$603), "", 'Data Entry'!$è$603)</f>
      </c>
      <c r="FM603">
        <f>IF(ISBLANK('Data Entry'!$é$603), "", 'Data Entry'!$é$603)</f>
      </c>
      <c r="FN603">
        <f>IF(ISBLANK('Data Entry'!$ê$603), "", 'Data Entry'!$ê$603)</f>
      </c>
      <c r="FO603">
        <f>IF(ISBLANK('Data Entry'!$ë$603), "", 'Data Entry'!$ë$603)</f>
      </c>
      <c r="FP603">
        <f>IF(ISBLANK('Data Entry'!$ì$603), "", 'Data Entry'!$ì$603)</f>
      </c>
      <c r="FQ603">
        <f>IF(ISBLANK('Data Entry'!$í$603), "", 'Data Entry'!$í$603)</f>
      </c>
      <c r="FR603">
        <f>IF(ISBLANK('Data Entry'!$î$603), "", 'Data Entry'!$î$603)</f>
      </c>
      <c r="FS603">
        <f>IF(ISBLANK('Data Entry'!$ï$603), "", 'Data Entry'!$ï$603)</f>
      </c>
      <c r="FT603">
        <f>IF(ISBLANK('Data Entry'!$ð$603), "", 'Data Entry'!$ð$603)</f>
      </c>
      <c r="FU603">
        <f>IF(ISBLANK('Data Entry'!$ñ$603), "", 'Data Entry'!$ñ$603)</f>
      </c>
      <c r="FV603">
        <f>IF(ISBLANK('Data Entry'!$ò$603), "", 'Data Entry'!$ò$603)</f>
      </c>
      <c r="FW603">
        <f>IF(ISBLANK('Data Entry'!$ó$603), "", 'Data Entry'!$ó$603)</f>
      </c>
      <c r="FX603">
        <f>IF(ISBLANK('Data Entry'!$ô$603), "", 'Data Entry'!$ô$603)</f>
      </c>
      <c r="FY603">
        <f>IF(ISBLANK('Data Entry'!$õ$603), "", 'Data Entry'!$õ$603)</f>
      </c>
      <c r="FZ603">
        <f>IF(ISBLANK('Data Entry'!$ö$603), "", 'Data Entry'!$ö$603)</f>
      </c>
      <c r="GA603">
        <f>IF(ISBLANK('Data Entry'!$÷$603), "", 'Data Entry'!$÷$603)</f>
      </c>
      <c r="GB603">
        <f>IF(ISBLANK('Data Entry'!$ø$603), "", 'Data Entry'!$ø$603)</f>
      </c>
      <c r="GC603">
        <f>IF(ISBLANK('Data Entry'!$ù$603), "", 'Data Entry'!$ù$603)</f>
      </c>
      <c r="GD603">
        <f>IF(ISBLANK('Data Entry'!$ú$603), "", 'Data Entry'!$ú$603)</f>
      </c>
      <c r="GE603">
        <f>IF(ISBLANK('Data Entry'!$û$603), "", 'Data Entry'!$û$603)</f>
      </c>
      <c r="GF603">
        <f>IF(ISBLANK('Data Entry'!$ü$603), "", 'Data Entry'!$ü$603)</f>
      </c>
      <c r="GG603">
        <f>IF(ISBLANK('Data Entry'!$ý$603), "", 'Data Entry'!$ý$603)</f>
      </c>
      <c r="GH603">
        <f>IF(ISBLANK('Data Entry'!$þ$603), "", 'Data Entry'!$þ$603)</f>
      </c>
      <c r="GI603">
        <f>IF(ISBLANK('Data Entry'!$ÿ$603), "", 'Data Entry'!$ÿ$603)</f>
      </c>
      <c r="GJ603">
        <f>IF(ISBLANK('Data Entry'!$Ā$603), "", 'Data Entry'!$Ā$603)</f>
      </c>
      <c r="GK603">
        <f>IF(ISBLANK('Data Entry'!$ā$603), "", 'Data Entry'!$ā$603)</f>
      </c>
      <c r="GL603">
        <f>IF(ISBLANK('Data Entry'!$Ă$603), "", 'Data Entry'!$Ă$603)</f>
      </c>
      <c r="GM603">
        <f>IF(ISBLANK('Data Entry'!$ă$603), "", 'Data Entry'!$ă$603)</f>
      </c>
      <c r="GN603">
        <f>IF(ISBLANK('Data Entry'!$Ą$603), "", 'Data Entry'!$Ą$603)</f>
      </c>
      <c r="GO603">
        <f>IF(ISBLANK('Data Entry'!$ą$603), "", 'Data Entry'!$ą$603)</f>
      </c>
      <c r="GP603">
        <f>IF(ISBLANK('Data Entry'!$Ć$603), "", 'Data Entry'!$Ć$603)</f>
      </c>
      <c r="GQ603">
        <f>IF(ISBLANK('Data Entry'!$ć$603), "", 'Data Entry'!$ć$603)</f>
      </c>
      <c r="GR603">
        <f>IF(ISBLANK('Data Entry'!$Ĉ$603), "", 'Data Entry'!$Ĉ$603)</f>
      </c>
      <c r="GS603">
        <f>IF(ISBLANK('Data Entry'!$ĉ$603), "", 'Data Entry'!$ĉ$603)</f>
      </c>
      <c r="GT603">
        <f>IF(ISBLANK('Data Entry'!$Ċ$603), "", 'Data Entry'!$Ċ$603)</f>
      </c>
      <c r="GU603">
        <f>IF(ISBLANK('Data Entry'!$ċ$603), "", 'Data Entry'!$ċ$603)</f>
      </c>
      <c r="GV603">
        <f>IF(ISBLANK('Data Entry'!$Č$603), "", 'Data Entry'!$Č$603)</f>
      </c>
      <c r="GW603">
        <f>IF(ISBLANK('Data Entry'!$č$603), "", 'Data Entry'!$č$603)</f>
      </c>
      <c r="GX603">
        <f>IF(ISBLANK('Data Entry'!$Ď$603), "", 'Data Entry'!$Ď$603)</f>
      </c>
      <c r="GY603">
        <f>IF(ISBLANK('Data Entry'!$ď$603), "", 'Data Entry'!$ď$603)</f>
      </c>
      <c r="GZ603">
        <f>IF(ISBLANK('Data Entry'!$Đ$603), "", 'Data Entry'!$Đ$603)</f>
      </c>
      <c r="HA603">
        <f>IF(ISBLANK('Data Entry'!$đ$603), "", 'Data Entry'!$đ$603)</f>
      </c>
      <c r="HB603">
        <f>IF(ISBLANK('Data Entry'!$Ē$603), "", 'Data Entry'!$Ē$603)</f>
      </c>
      <c r="HC603">
        <f>IF(ISBLANK('Data Entry'!$ē$603), "", 'Data Entry'!$ē$603)</f>
      </c>
      <c r="HD603">
        <f>IF(ISBLANK('Data Entry'!$Ĕ$603), "", 'Data Entry'!$Ĕ$603)</f>
      </c>
      <c r="HE603">
        <f>IF(ISBLANK('Data Entry'!$ĕ$603), "", 'Data Entry'!$ĕ$603)</f>
      </c>
      <c r="HF603">
        <f>IF(ISBLANK('Data Entry'!$Ė$603), "", 'Data Entry'!$Ė$603)</f>
      </c>
      <c r="HG603">
        <f>IF(ISBLANK('Data Entry'!$ė$603), "", 'Data Entry'!$ė$603)</f>
      </c>
      <c r="HH603">
        <f>IF(ISBLANK('Data Entry'!$Ę$603), "", 'Data Entry'!$Ę$603)</f>
      </c>
      <c r="HI603">
        <f>IF(ISBLANK('Data Entry'!$ę$603), "", 'Data Entry'!$ę$603)</f>
      </c>
      <c r="HJ603">
        <f>IF(ISBLANK('Data Entry'!$Ě$603), "", 'Data Entry'!$Ě$603)</f>
      </c>
      <c r="HK603">
        <f>IF(ISBLANK('Data Entry'!$ě$603), "", 'Data Entry'!$ě$603)</f>
      </c>
      <c r="HL603">
        <f>IF(ISBLANK('Data Entry'!$Ĝ$603), "", 'Data Entry'!$Ĝ$603)</f>
      </c>
      <c r="HM603">
        <f>IF(ISBLANK('Data Entry'!$ĝ$603), "", 'Data Entry'!$ĝ$603)</f>
      </c>
      <c r="HN603">
        <f>IF(ISBLANK('Data Entry'!$Ğ$603), "", 'Data Entry'!$Ğ$603)</f>
      </c>
      <c r="HO603">
        <f>IF(ISBLANK('Data Entry'!$ğ$603), "", 'Data Entry'!$ğ$603)</f>
      </c>
      <c r="HP603">
        <f>IF(ISBLANK('Data Entry'!$Ġ$603), "", 'Data Entry'!$Ġ$603)</f>
      </c>
      <c r="HQ603">
        <f>IF(ISBLANK('Data Entry'!$ġ$603), "", 'Data Entry'!$ġ$603)</f>
      </c>
      <c r="HR603">
        <f>IF(ISBLANK('Data Entry'!$Ģ$603), "", 'Data Entry'!$Ģ$603)</f>
      </c>
      <c r="HS603">
        <f>IF(ISBLANK('Data Entry'!$ģ$603), "", 'Data Entry'!$ģ$603)</f>
      </c>
      <c r="HT603">
        <f>IF(ISBLANK('Data Entry'!$Ĥ$603), "", 'Data Entry'!$Ĥ$603)</f>
      </c>
      <c r="HU603">
        <f>IF(ISBLANK('Data Entry'!$ĥ$603), "", 'Data Entry'!$ĥ$603)</f>
      </c>
      <c r="HV603">
        <f>IF(ISBLANK('Data Entry'!$Ħ$603), "", 'Data Entry'!$Ħ$603)</f>
      </c>
      <c r="HW603">
        <f>IF(ISBLANK('Data Entry'!$ħ$603), "", 'Data Entry'!$ħ$603)</f>
      </c>
      <c r="HX603">
        <f>IF(ISBLANK('Data Entry'!$Ĩ$603), "", 'Data Entry'!$Ĩ$603)</f>
      </c>
      <c r="HY603">
        <f>IF(ISBLANK('Data Entry'!$ĩ$603), "", 'Data Entry'!$ĩ$603)</f>
      </c>
      <c r="HZ603">
        <f>IF(ISBLANK('Data Entry'!$Ī$603), "", 'Data Entry'!$Ī$603)</f>
      </c>
      <c r="IA603">
        <f>IF(ISBLANK('Data Entry'!$ī$603), "", 'Data Entry'!$ī$603)</f>
      </c>
      <c r="IB603">
        <f>IF(ISBLANK('Data Entry'!$Ĭ$603), "", 'Data Entry'!$Ĭ$603)</f>
      </c>
      <c r="IC603">
        <f>IF(ISBLANK('Data Entry'!$ĭ$603), "", 'Data Entry'!$ĭ$603)</f>
      </c>
      <c r="ID603">
        <f>IF(ISBLANK('Data Entry'!$Į$603), "", 'Data Entry'!$Į$603)</f>
      </c>
      <c r="IE603">
        <f>IF(ISBLANK('Data Entry'!$į$603), "", 'Data Entry'!$į$603)</f>
      </c>
      <c r="IF603">
        <f>IF(ISBLANK('Data Entry'!$İ$603), "", 'Data Entry'!$İ$603)</f>
      </c>
      <c r="IG603">
        <f>IF(ISBLANK('Data Entry'!$ı$603), "", 'Data Entry'!$ı$603)</f>
      </c>
      <c r="IH603">
        <f>IF(ISBLANK('Data Entry'!$Ĳ$603), "", 'Data Entry'!$Ĳ$603)</f>
      </c>
      <c r="II603">
        <f>IF(ISBLANK('Data Entry'!$ĳ$603), "", 'Data Entry'!$ĳ$603)</f>
      </c>
      <c r="IJ603">
        <f>IF(ISBLANK('Data Entry'!$Ĵ$603), "", 'Data Entry'!$Ĵ$603)</f>
      </c>
      <c r="IK603">
        <f>IF(ISBLANK('Data Entry'!$ĵ$603), "", 'Data Entry'!$ĵ$603)</f>
      </c>
      <c r="IL603">
        <f>IF(ISBLANK('Data Entry'!$Ķ$603), "", 'Data Entry'!$Ķ$603)</f>
      </c>
      <c r="IM603">
        <f>IF(ISBLANK('Data Entry'!$ķ$603), "", 'Data Entry'!$ķ$603)</f>
      </c>
      <c r="IN603">
        <f>IF(ISBLANK('Data Entry'!$ĸ$603), "", 'Data Entry'!$ĸ$603)</f>
      </c>
      <c r="IO603">
        <f>IF(ISBLANK('Data Entry'!$Ĺ$603), "", 'Data Entry'!$Ĺ$603)</f>
      </c>
      <c r="IP603">
        <f>IF(ISBLANK('Data Entry'!$ĺ$603), "", 'Data Entry'!$ĺ$603)</f>
      </c>
      <c r="IQ603">
        <f>IF(ISBLANK('Data Entry'!$Ļ$603), "", 'Data Entry'!$Ļ$603)</f>
      </c>
      <c r="IR603">
        <f>IF(ISBLANK('Data Entry'!$ļ$603), "", 'Data Entry'!$ļ$603)</f>
      </c>
      <c r="IS603">
        <f>IF(ISBLANK('Data Entry'!$Ľ$603), "", 'Data Entry'!$Ľ$603)</f>
      </c>
      <c r="IT603">
        <f>IF(ISBLANK('Data Entry'!$ľ$603), "", 'Data Entry'!$ľ$603)</f>
      </c>
    </row>
    <row r="604" spans="1:254" x14ac:dyDescent="0.25">
      <c r="A604">
        <f>IF(ISBLANK('Data Entry'!$A$604), "", 'Data Entry'!$A$604)</f>
      </c>
      <c r="B604">
        <f>IF(ISBLANK('Data Entry'!$B$604), "", 'Data Entry'!$B$604)</f>
      </c>
      <c r="C604">
        <f>IF(ISBLANK('Data Entry'!$C$604), "", 'Data Entry'!$C$604)</f>
      </c>
      <c r="D604">
        <f>IF(ISBLANK('Data Entry'!$D$604), "", 'Data Entry'!$D$604)</f>
      </c>
      <c r="E604">
        <f>IF(ISBLANK('Data Entry'!$E$604), "", 'Data Entry'!$E$604)</f>
      </c>
      <c r="F604">
        <f>IF(ISBLANK('Data Entry'!$F$604), "", 'Data Entry'!$F$604)</f>
      </c>
      <c r="G604">
        <f>IF(ISBLANK('Data Entry'!$G$604), "", 'Data Entry'!$G$604)</f>
      </c>
      <c r="H604">
        <f>IF(ISBLANK('Data Entry'!$H$604), "", 'Data Entry'!$H$604)</f>
      </c>
      <c r="I604">
        <f>IF(ISBLANK('Data Entry'!$I$604), "", 'Data Entry'!$I$604)</f>
      </c>
      <c r="J604">
        <f>IF(ISBLANK('Data Entry'!$J$604), "", 'Data Entry'!$J$604)</f>
      </c>
      <c r="K604">
        <f>IF(ISBLANK('Data Entry'!$K$604), "", 'Data Entry'!$K$604)</f>
      </c>
      <c r="L604">
        <f>IF(ISBLANK('Data Entry'!$L$604), "", 'Data Entry'!$L$604)</f>
      </c>
      <c r="M604">
        <f>IF(ISBLANK('Data Entry'!$M$604), "", 'Data Entry'!$M$604)</f>
      </c>
      <c r="N604">
        <f>IF(ISBLANK('Data Entry'!$N$604), "", 'Data Entry'!$N$604)</f>
      </c>
      <c r="O604">
        <f>IF(ISBLANK('Data Entry'!$O$604), "", 'Data Entry'!$O$604)</f>
      </c>
      <c r="P604">
        <f>IF(ISBLANK('Data Entry'!$P$604), "", 'Data Entry'!$P$604)</f>
      </c>
      <c r="Q604">
        <f>IF(ISBLANK('Data Entry'!$Q$604), "", 'Data Entry'!$Q$604)</f>
      </c>
      <c r="R604">
        <f>IF(ISBLANK('Data Entry'!$R$604), "", 'Data Entry'!$R$604)</f>
      </c>
      <c r="S604">
        <f>IF(ISBLANK('Data Entry'!$S$604), "", 'Data Entry'!$S$604)</f>
      </c>
      <c r="T604">
        <f>IF(ISBLANK('Data Entry'!$T$604), "", 'Data Entry'!$T$604)</f>
      </c>
      <c r="U604">
        <f>IF(ISBLANK('Data Entry'!$U$604), "", 'Data Entry'!$U$604)</f>
      </c>
      <c r="V604">
        <f>IF(ISBLANK('Data Entry'!$V$604), "", 'Data Entry'!$V$604)</f>
      </c>
      <c r="W604">
        <f>IF(ISBLANK('Data Entry'!$W$604), "", 'Data Entry'!$W$604)</f>
      </c>
      <c r="X604">
        <f>IF(ISBLANK('Data Entry'!$X$604), "", 'Data Entry'!$X$604)</f>
      </c>
      <c r="Y604">
        <f>IF(ISBLANK('Data Entry'!$Y$604), "", 'Data Entry'!$Y$604)</f>
      </c>
      <c r="Z604">
        <f>IF(ISBLANK('Data Entry'!$Z$604), "", 'Data Entry'!$Z$604)</f>
      </c>
      <c r="AA604">
        <f>IF(ISBLANK('Data Entry'!$[$604), "", 'Data Entry'!$[$604)</f>
      </c>
      <c r="AB604">
        <f>IF(ISBLANK('Data Entry'!$\$604), "", 'Data Entry'!$\$604)</f>
      </c>
      <c r="AC604">
        <f>IF(ISBLANK('Data Entry'!$]$604), "", 'Data Entry'!$]$604)</f>
      </c>
      <c r="AD604">
        <f>IF(ISBLANK('Data Entry'!$^$604), "", 'Data Entry'!$^$604)</f>
      </c>
      <c r="AE604">
        <f>IF(ISBLANK('Data Entry'!$_$604), "", 'Data Entry'!$_$604)</f>
      </c>
      <c r="AF604">
        <f>IF(ISBLANK('Data Entry'!$`$604), "", 'Data Entry'!$`$604)</f>
      </c>
      <c r="AG604">
        <f>IF(ISBLANK('Data Entry'!$a$604), "", 'Data Entry'!$a$604)</f>
      </c>
      <c r="AH604">
        <f>IF(ISBLANK('Data Entry'!$b$604), "", 'Data Entry'!$b$604)</f>
      </c>
      <c r="AI604">
        <f>IF(ISBLANK('Data Entry'!$c$604), "", 'Data Entry'!$c$604)</f>
      </c>
      <c r="AJ604">
        <f>IF(ISBLANK('Data Entry'!$d$604), "", 'Data Entry'!$d$604)</f>
      </c>
      <c r="AK604">
        <f>IF(ISBLANK('Data Entry'!$e$604), "", 'Data Entry'!$e$604)</f>
      </c>
      <c r="AL604">
        <f>IF(ISBLANK('Data Entry'!$f$604), "", 'Data Entry'!$f$604)</f>
      </c>
      <c r="AM604">
        <f>IF(ISBLANK('Data Entry'!$g$604), "", 'Data Entry'!$g$604)</f>
      </c>
      <c r="AN604">
        <f>IF(ISBLANK('Data Entry'!$h$604), "", 'Data Entry'!$h$604)</f>
      </c>
      <c r="AO604">
        <f>IF(ISBLANK('Data Entry'!$i$604), "", 'Data Entry'!$i$604)</f>
      </c>
      <c r="AP604">
        <f>IF(ISBLANK('Data Entry'!$j$604), "", 'Data Entry'!$j$604)</f>
      </c>
      <c r="AQ604">
        <f>IF(ISBLANK('Data Entry'!$k$604), "", 'Data Entry'!$k$604)</f>
      </c>
      <c r="AR604">
        <f>IF(ISBLANK('Data Entry'!$l$604), "", 'Data Entry'!$l$604)</f>
      </c>
      <c r="AS604">
        <f>IF(ISBLANK('Data Entry'!$m$604), "", 'Data Entry'!$m$604)</f>
      </c>
      <c r="AT604">
        <f>IF(ISBLANK('Data Entry'!$n$604), "", 'Data Entry'!$n$604)</f>
      </c>
      <c r="AU604">
        <f>IF(ISBLANK('Data Entry'!$o$604), "", 'Data Entry'!$o$604)</f>
      </c>
      <c r="AV604">
        <f>IF(ISBLANK('Data Entry'!$p$604), "", 'Data Entry'!$p$604)</f>
      </c>
      <c r="AW604">
        <f>IF(ISBLANK('Data Entry'!$q$604), "", 'Data Entry'!$q$604)</f>
      </c>
      <c r="AX604">
        <f>IF(ISBLANK('Data Entry'!$r$604), "", 'Data Entry'!$r$604)</f>
      </c>
      <c r="AY604">
        <f>IF(ISBLANK('Data Entry'!$s$604), "", 'Data Entry'!$s$604)</f>
      </c>
      <c r="AZ604">
        <f>IF(ISBLANK('Data Entry'!$t$604), "", 'Data Entry'!$t$604)</f>
      </c>
      <c r="BA604">
        <f>IF(ISBLANK('Data Entry'!$u$604), "", 'Data Entry'!$u$604)</f>
      </c>
      <c r="BB604">
        <f>IF(ISBLANK('Data Entry'!$v$604), "", 'Data Entry'!$v$604)</f>
      </c>
      <c r="BC604">
        <f>IF(ISBLANK('Data Entry'!$w$604), "", 'Data Entry'!$w$604)</f>
      </c>
      <c r="BD604">
        <f>IF(ISBLANK('Data Entry'!$x$604), "", 'Data Entry'!$x$604)</f>
      </c>
      <c r="BE604">
        <f>IF(ISBLANK('Data Entry'!$y$604), "", 'Data Entry'!$y$604)</f>
      </c>
      <c r="BF604">
        <f>IF(ISBLANK('Data Entry'!$z$604), "", 'Data Entry'!$z$604)</f>
      </c>
      <c r="BG604">
        <f>IF(ISBLANK('Data Entry'!${$604), "", 'Data Entry'!${$604)</f>
      </c>
      <c r="BH604">
        <f>IF(ISBLANK('Data Entry'!$|$604), "", 'Data Entry'!$|$604)</f>
      </c>
      <c r="BI604">
        <f>IF(ISBLANK('Data Entry'!$}$604), "", 'Data Entry'!$}$604)</f>
      </c>
      <c r="BJ604">
        <f>IF(ISBLANK('Data Entry'!$~$604), "", 'Data Entry'!$~$604)</f>
      </c>
      <c r="BK604">
        <f>IF(ISBLANK('Data Entry'!$$604), "", 'Data Entry'!$$604)</f>
      </c>
      <c r="BL604">
        <f>IF(ISBLANK('Data Entry'!$$604), "", 'Data Entry'!$$604)</f>
      </c>
      <c r="BM604">
        <f>IF(ISBLANK('Data Entry'!$$604), "", 'Data Entry'!$$604)</f>
      </c>
      <c r="BN604">
        <f>IF(ISBLANK('Data Entry'!$$604), "", 'Data Entry'!$$604)</f>
      </c>
      <c r="BO604">
        <f>IF(ISBLANK('Data Entry'!$$604), "", 'Data Entry'!$$604)</f>
      </c>
      <c r="BP604">
        <f>IF(ISBLANK('Data Entry'!$$604), "", 'Data Entry'!$$604)</f>
      </c>
      <c r="BQ604">
        <f>IF(ISBLANK('Data Entry'!$$604), "", 'Data Entry'!$$604)</f>
      </c>
      <c r="BR604">
        <f>IF(ISBLANK('Data Entry'!$$604), "", 'Data Entry'!$$604)</f>
      </c>
      <c r="BS604">
        <f>IF(ISBLANK('Data Entry'!$$604), "", 'Data Entry'!$$604)</f>
      </c>
      <c r="BT604">
        <f>IF(ISBLANK('Data Entry'!$$604), "", 'Data Entry'!$$604)</f>
      </c>
      <c r="BU604">
        <f>IF(ISBLANK('Data Entry'!$$604), "", 'Data Entry'!$$604)</f>
      </c>
      <c r="BV604">
        <f>IF(ISBLANK('Data Entry'!$$604), "", 'Data Entry'!$$604)</f>
      </c>
      <c r="BW604">
        <f>IF(ISBLANK('Data Entry'!$$604), "", 'Data Entry'!$$604)</f>
      </c>
      <c r="BX604">
        <f>IF(ISBLANK('Data Entry'!$$604), "", 'Data Entry'!$$604)</f>
      </c>
      <c r="BY604">
        <f>IF(ISBLANK('Data Entry'!$$604), "", 'Data Entry'!$$604)</f>
      </c>
      <c r="BZ604">
        <f>IF(ISBLANK('Data Entry'!$$604), "", 'Data Entry'!$$604)</f>
      </c>
      <c r="CA604">
        <f>IF(ISBLANK('Data Entry'!$$604), "", 'Data Entry'!$$604)</f>
      </c>
      <c r="CB604">
        <f>IF(ISBLANK('Data Entry'!$$604), "", 'Data Entry'!$$604)</f>
      </c>
      <c r="CC604">
        <f>IF(ISBLANK('Data Entry'!$$604), "", 'Data Entry'!$$604)</f>
      </c>
      <c r="CD604">
        <f>IF(ISBLANK('Data Entry'!$$604), "", 'Data Entry'!$$604)</f>
      </c>
      <c r="CE604">
        <f>IF(ISBLANK('Data Entry'!$$604), "", 'Data Entry'!$$604)</f>
      </c>
      <c r="CF604">
        <f>IF(ISBLANK('Data Entry'!$$604), "", 'Data Entry'!$$604)</f>
      </c>
      <c r="CG604">
        <f>IF(ISBLANK('Data Entry'!$$604), "", 'Data Entry'!$$604)</f>
      </c>
      <c r="CH604">
        <f>IF(ISBLANK('Data Entry'!$$604), "", 'Data Entry'!$$604)</f>
      </c>
      <c r="CI604">
        <f>IF(ISBLANK('Data Entry'!$$604), "", 'Data Entry'!$$604)</f>
      </c>
      <c r="CJ604">
        <f>IF(ISBLANK('Data Entry'!$$604), "", 'Data Entry'!$$604)</f>
      </c>
      <c r="CK604">
        <f>IF(ISBLANK('Data Entry'!$$604), "", 'Data Entry'!$$604)</f>
      </c>
      <c r="CL604">
        <f>IF(ISBLANK('Data Entry'!$$604), "", 'Data Entry'!$$604)</f>
      </c>
      <c r="CM604">
        <f>IF(ISBLANK('Data Entry'!$$604), "", 'Data Entry'!$$604)</f>
      </c>
      <c r="CN604">
        <f>IF(ISBLANK('Data Entry'!$$604), "", 'Data Entry'!$$604)</f>
      </c>
      <c r="CO604">
        <f>IF(ISBLANK('Data Entry'!$$604), "", 'Data Entry'!$$604)</f>
      </c>
      <c r="CP604">
        <f>IF(ISBLANK('Data Entry'!$$604), "", 'Data Entry'!$$604)</f>
      </c>
      <c r="CQ604">
        <f>IF(ISBLANK('Data Entry'!$$604), "", 'Data Entry'!$$604)</f>
      </c>
      <c r="CR604">
        <f>IF(ISBLANK('Data Entry'!$ $604), "", 'Data Entry'!$ $604)</f>
      </c>
      <c r="CS604">
        <f>IF(ISBLANK('Data Entry'!$¡$604), "", 'Data Entry'!$¡$604)</f>
      </c>
      <c r="CT604">
        <f>IF(ISBLANK('Data Entry'!$¢$604), "", 'Data Entry'!$¢$604)</f>
      </c>
      <c r="CU604">
        <f>IF(ISBLANK('Data Entry'!$£$604), "", 'Data Entry'!$£$604)</f>
      </c>
      <c r="CV604">
        <f>IF(ISBLANK('Data Entry'!$¤$604), "", 'Data Entry'!$¤$604)</f>
      </c>
      <c r="CW604">
        <f>IF(ISBLANK('Data Entry'!$¥$604), "", 'Data Entry'!$¥$604)</f>
      </c>
      <c r="CX604">
        <f>IF(ISBLANK('Data Entry'!$¦$604), "", 'Data Entry'!$¦$604)</f>
      </c>
      <c r="CY604">
        <f>IF(ISBLANK('Data Entry'!$§$604), "", 'Data Entry'!$§$604)</f>
      </c>
      <c r="CZ604">
        <f>IF(ISBLANK('Data Entry'!$¨$604), "", 'Data Entry'!$¨$604)</f>
      </c>
      <c r="DA604">
        <f>IF(ISBLANK('Data Entry'!$©$604), "", 'Data Entry'!$©$604)</f>
      </c>
      <c r="DB604">
        <f>IF(ISBLANK('Data Entry'!$ª$604), "", 'Data Entry'!$ª$604)</f>
      </c>
      <c r="DC604">
        <f>IF(ISBLANK('Data Entry'!$«$604), "", 'Data Entry'!$«$604)</f>
      </c>
      <c r="DD604">
        <f>IF(ISBLANK('Data Entry'!$¬$604), "", 'Data Entry'!$¬$604)</f>
      </c>
      <c r="DE604">
        <f>IF(ISBLANK('Data Entry'!$­$604), "", 'Data Entry'!$­$604)</f>
      </c>
      <c r="DF604">
        <f>IF(ISBLANK('Data Entry'!$®$604), "", 'Data Entry'!$®$604)</f>
      </c>
      <c r="DG604">
        <f>IF(ISBLANK('Data Entry'!$¯$604), "", 'Data Entry'!$¯$604)</f>
      </c>
      <c r="DH604">
        <f>IF(ISBLANK('Data Entry'!$°$604), "", 'Data Entry'!$°$604)</f>
      </c>
      <c r="DI604">
        <f>IF(ISBLANK('Data Entry'!$±$604), "", 'Data Entry'!$±$604)</f>
      </c>
      <c r="DJ604">
        <f>IF(ISBLANK('Data Entry'!$²$604), "", 'Data Entry'!$²$604)</f>
      </c>
      <c r="DK604">
        <f>IF(ISBLANK('Data Entry'!$³$604), "", 'Data Entry'!$³$604)</f>
      </c>
      <c r="DL604">
        <f>IF(ISBLANK('Data Entry'!$´$604), "", 'Data Entry'!$´$604)</f>
      </c>
      <c r="DM604">
        <f>IF(ISBLANK('Data Entry'!$µ$604), "", 'Data Entry'!$µ$604)</f>
      </c>
      <c r="DN604">
        <f>IF(ISBLANK('Data Entry'!$¶$604), "", 'Data Entry'!$¶$604)</f>
      </c>
      <c r="DO604">
        <f>IF(ISBLANK('Data Entry'!$·$604), "", 'Data Entry'!$·$604)</f>
      </c>
      <c r="DP604">
        <f>IF(ISBLANK('Data Entry'!$¸$604), "", 'Data Entry'!$¸$604)</f>
      </c>
      <c r="DQ604">
        <f>IF(ISBLANK('Data Entry'!$¹$604), "", 'Data Entry'!$¹$604)</f>
      </c>
      <c r="DR604">
        <f>IF(ISBLANK('Data Entry'!$º$604), "", 'Data Entry'!$º$604)</f>
      </c>
      <c r="DS604">
        <f>IF(ISBLANK('Data Entry'!$»$604), "", 'Data Entry'!$»$604)</f>
      </c>
      <c r="DT604">
        <f>IF(ISBLANK('Data Entry'!$¼$604), "", 'Data Entry'!$¼$604)</f>
      </c>
      <c r="DU604">
        <f>IF(ISBLANK('Data Entry'!$½$604), "", 'Data Entry'!$½$604)</f>
      </c>
      <c r="DV604">
        <f>IF(ISBLANK('Data Entry'!$¾$604), "", 'Data Entry'!$¾$604)</f>
      </c>
      <c r="DW604">
        <f>IF(ISBLANK('Data Entry'!$¿$604), "", 'Data Entry'!$¿$604)</f>
      </c>
      <c r="DX604">
        <f>IF(ISBLANK('Data Entry'!$À$604), "", 'Data Entry'!$À$604)</f>
      </c>
      <c r="DY604">
        <f>IF(ISBLANK('Data Entry'!$Á$604), "", 'Data Entry'!$Á$604)</f>
      </c>
      <c r="DZ604">
        <f>IF(ISBLANK('Data Entry'!$Â$604), "", 'Data Entry'!$Â$604)</f>
      </c>
      <c r="EA604">
        <f>IF(ISBLANK('Data Entry'!$Ã$604), "", 'Data Entry'!$Ã$604)</f>
      </c>
      <c r="EB604">
        <f>IF(ISBLANK('Data Entry'!$Ä$604), "", 'Data Entry'!$Ä$604)</f>
      </c>
      <c r="EC604">
        <f>IF(ISBLANK('Data Entry'!$Å$604), "", 'Data Entry'!$Å$604)</f>
      </c>
      <c r="ED604">
        <f>IF(ISBLANK('Data Entry'!$Æ$604), "", 'Data Entry'!$Æ$604)</f>
      </c>
      <c r="EE604">
        <f>IF(ISBLANK('Data Entry'!$Ç$604), "", 'Data Entry'!$Ç$604)</f>
      </c>
      <c r="EF604">
        <f>IF(ISBLANK('Data Entry'!$È$604), "", 'Data Entry'!$È$604)</f>
      </c>
      <c r="EG604">
        <f>IF(ISBLANK('Data Entry'!$É$604), "", 'Data Entry'!$É$604)</f>
      </c>
      <c r="EH604">
        <f>IF(ISBLANK('Data Entry'!$Ê$604), "", 'Data Entry'!$Ê$604)</f>
      </c>
      <c r="EI604">
        <f>IF(ISBLANK('Data Entry'!$Ë$604), "", 'Data Entry'!$Ë$604)</f>
      </c>
      <c r="EJ604">
        <f>IF(ISBLANK('Data Entry'!$Ì$604), "", 'Data Entry'!$Ì$604)</f>
      </c>
      <c r="EK604">
        <f>IF(ISBLANK('Data Entry'!$Í$604), "", 'Data Entry'!$Í$604)</f>
      </c>
      <c r="EL604">
        <f>IF(ISBLANK('Data Entry'!$Î$604), "", 'Data Entry'!$Î$604)</f>
      </c>
      <c r="EM604">
        <f>IF(ISBLANK('Data Entry'!$Ï$604), "", 'Data Entry'!$Ï$604)</f>
      </c>
      <c r="EN604">
        <f>IF(ISBLANK('Data Entry'!$Ð$604), "", 'Data Entry'!$Ð$604)</f>
      </c>
      <c r="EO604">
        <f>IF(ISBLANK('Data Entry'!$Ñ$604), "", 'Data Entry'!$Ñ$604)</f>
      </c>
      <c r="EP604">
        <f>IF(ISBLANK('Data Entry'!$Ò$604), "", 'Data Entry'!$Ò$604)</f>
      </c>
      <c r="EQ604">
        <f>IF(ISBLANK('Data Entry'!$Ó$604), "", 'Data Entry'!$Ó$604)</f>
      </c>
      <c r="ER604">
        <f>IF(ISBLANK('Data Entry'!$Ô$604), "", 'Data Entry'!$Ô$604)</f>
      </c>
      <c r="ES604">
        <f>IF(ISBLANK('Data Entry'!$Õ$604), "", 'Data Entry'!$Õ$604)</f>
      </c>
      <c r="ET604">
        <f>IF(ISBLANK('Data Entry'!$Ö$604), "", 'Data Entry'!$Ö$604)</f>
      </c>
      <c r="EU604">
        <f>IF(ISBLANK('Data Entry'!$×$604), "", 'Data Entry'!$×$604)</f>
      </c>
      <c r="EV604">
        <f>IF(ISBLANK('Data Entry'!$Ø$604), "", 'Data Entry'!$Ø$604)</f>
      </c>
      <c r="EW604">
        <f>IF(ISBLANK('Data Entry'!$Ù$604), "", 'Data Entry'!$Ù$604)</f>
      </c>
      <c r="EX604">
        <f>IF(ISBLANK('Data Entry'!$Ú$604), "", 'Data Entry'!$Ú$604)</f>
      </c>
      <c r="EY604">
        <f>IF(ISBLANK('Data Entry'!$Û$604), "", 'Data Entry'!$Û$604)</f>
      </c>
      <c r="EZ604">
        <f>IF(ISBLANK('Data Entry'!$Ü$604), "", 'Data Entry'!$Ü$604)</f>
      </c>
      <c r="FA604">
        <f>IF(ISBLANK('Data Entry'!$Ý$604), "", 'Data Entry'!$Ý$604)</f>
      </c>
      <c r="FB604">
        <f>IF(ISBLANK('Data Entry'!$Þ$604), "", 'Data Entry'!$Þ$604)</f>
      </c>
      <c r="FC604">
        <f>IF(ISBLANK('Data Entry'!$ß$604), "", 'Data Entry'!$ß$604)</f>
      </c>
      <c r="FD604">
        <f>IF(ISBLANK('Data Entry'!$à$604), "", 'Data Entry'!$à$604)</f>
      </c>
      <c r="FE604">
        <f>IF(ISBLANK('Data Entry'!$á$604), "", 'Data Entry'!$á$604)</f>
      </c>
      <c r="FF604">
        <f>IF(ISBLANK('Data Entry'!$â$604), "", 'Data Entry'!$â$604)</f>
      </c>
      <c r="FG604">
        <f>IF(ISBLANK('Data Entry'!$ã$604), "", 'Data Entry'!$ã$604)</f>
      </c>
      <c r="FH604">
        <f>IF(ISBLANK('Data Entry'!$ä$604), "", 'Data Entry'!$ä$604)</f>
      </c>
      <c r="FI604">
        <f>IF(ISBLANK('Data Entry'!$å$604), "", 'Data Entry'!$å$604)</f>
      </c>
      <c r="FJ604">
        <f>IF(ISBLANK('Data Entry'!$æ$604), "", 'Data Entry'!$æ$604)</f>
      </c>
      <c r="FK604">
        <f>IF(ISBLANK('Data Entry'!$ç$604), "", 'Data Entry'!$ç$604)</f>
      </c>
      <c r="FL604">
        <f>IF(ISBLANK('Data Entry'!$è$604), "", 'Data Entry'!$è$604)</f>
      </c>
      <c r="FM604">
        <f>IF(ISBLANK('Data Entry'!$é$604), "", 'Data Entry'!$é$604)</f>
      </c>
      <c r="FN604">
        <f>IF(ISBLANK('Data Entry'!$ê$604), "", 'Data Entry'!$ê$604)</f>
      </c>
      <c r="FO604">
        <f>IF(ISBLANK('Data Entry'!$ë$604), "", 'Data Entry'!$ë$604)</f>
      </c>
      <c r="FP604">
        <f>IF(ISBLANK('Data Entry'!$ì$604), "", 'Data Entry'!$ì$604)</f>
      </c>
      <c r="FQ604">
        <f>IF(ISBLANK('Data Entry'!$í$604), "", 'Data Entry'!$í$604)</f>
      </c>
      <c r="FR604">
        <f>IF(ISBLANK('Data Entry'!$î$604), "", 'Data Entry'!$î$604)</f>
      </c>
      <c r="FS604">
        <f>IF(ISBLANK('Data Entry'!$ï$604), "", 'Data Entry'!$ï$604)</f>
      </c>
      <c r="FT604">
        <f>IF(ISBLANK('Data Entry'!$ð$604), "", 'Data Entry'!$ð$604)</f>
      </c>
      <c r="FU604">
        <f>IF(ISBLANK('Data Entry'!$ñ$604), "", 'Data Entry'!$ñ$604)</f>
      </c>
      <c r="FV604">
        <f>IF(ISBLANK('Data Entry'!$ò$604), "", 'Data Entry'!$ò$604)</f>
      </c>
      <c r="FW604">
        <f>IF(ISBLANK('Data Entry'!$ó$604), "", 'Data Entry'!$ó$604)</f>
      </c>
      <c r="FX604">
        <f>IF(ISBLANK('Data Entry'!$ô$604), "", 'Data Entry'!$ô$604)</f>
      </c>
      <c r="FY604">
        <f>IF(ISBLANK('Data Entry'!$õ$604), "", 'Data Entry'!$õ$604)</f>
      </c>
      <c r="FZ604">
        <f>IF(ISBLANK('Data Entry'!$ö$604), "", 'Data Entry'!$ö$604)</f>
      </c>
      <c r="GA604">
        <f>IF(ISBLANK('Data Entry'!$÷$604), "", 'Data Entry'!$÷$604)</f>
      </c>
      <c r="GB604">
        <f>IF(ISBLANK('Data Entry'!$ø$604), "", 'Data Entry'!$ø$604)</f>
      </c>
      <c r="GC604">
        <f>IF(ISBLANK('Data Entry'!$ù$604), "", 'Data Entry'!$ù$604)</f>
      </c>
      <c r="GD604">
        <f>IF(ISBLANK('Data Entry'!$ú$604), "", 'Data Entry'!$ú$604)</f>
      </c>
      <c r="GE604">
        <f>IF(ISBLANK('Data Entry'!$û$604), "", 'Data Entry'!$û$604)</f>
      </c>
      <c r="GF604">
        <f>IF(ISBLANK('Data Entry'!$ü$604), "", 'Data Entry'!$ü$604)</f>
      </c>
      <c r="GG604">
        <f>IF(ISBLANK('Data Entry'!$ý$604), "", 'Data Entry'!$ý$604)</f>
      </c>
      <c r="GH604">
        <f>IF(ISBLANK('Data Entry'!$þ$604), "", 'Data Entry'!$þ$604)</f>
      </c>
      <c r="GI604">
        <f>IF(ISBLANK('Data Entry'!$ÿ$604), "", 'Data Entry'!$ÿ$604)</f>
      </c>
      <c r="GJ604">
        <f>IF(ISBLANK('Data Entry'!$Ā$604), "", 'Data Entry'!$Ā$604)</f>
      </c>
      <c r="GK604">
        <f>IF(ISBLANK('Data Entry'!$ā$604), "", 'Data Entry'!$ā$604)</f>
      </c>
      <c r="GL604">
        <f>IF(ISBLANK('Data Entry'!$Ă$604), "", 'Data Entry'!$Ă$604)</f>
      </c>
      <c r="GM604">
        <f>IF(ISBLANK('Data Entry'!$ă$604), "", 'Data Entry'!$ă$604)</f>
      </c>
      <c r="GN604">
        <f>IF(ISBLANK('Data Entry'!$Ą$604), "", 'Data Entry'!$Ą$604)</f>
      </c>
      <c r="GO604">
        <f>IF(ISBLANK('Data Entry'!$ą$604), "", 'Data Entry'!$ą$604)</f>
      </c>
      <c r="GP604">
        <f>IF(ISBLANK('Data Entry'!$Ć$604), "", 'Data Entry'!$Ć$604)</f>
      </c>
      <c r="GQ604">
        <f>IF(ISBLANK('Data Entry'!$ć$604), "", 'Data Entry'!$ć$604)</f>
      </c>
      <c r="GR604">
        <f>IF(ISBLANK('Data Entry'!$Ĉ$604), "", 'Data Entry'!$Ĉ$604)</f>
      </c>
      <c r="GS604">
        <f>IF(ISBLANK('Data Entry'!$ĉ$604), "", 'Data Entry'!$ĉ$604)</f>
      </c>
      <c r="GT604">
        <f>IF(ISBLANK('Data Entry'!$Ċ$604), "", 'Data Entry'!$Ċ$604)</f>
      </c>
      <c r="GU604">
        <f>IF(ISBLANK('Data Entry'!$ċ$604), "", 'Data Entry'!$ċ$604)</f>
      </c>
      <c r="GV604">
        <f>IF(ISBLANK('Data Entry'!$Č$604), "", 'Data Entry'!$Č$604)</f>
      </c>
      <c r="GW604">
        <f>IF(ISBLANK('Data Entry'!$č$604), "", 'Data Entry'!$č$604)</f>
      </c>
      <c r="GX604">
        <f>IF(ISBLANK('Data Entry'!$Ď$604), "", 'Data Entry'!$Ď$604)</f>
      </c>
      <c r="GY604">
        <f>IF(ISBLANK('Data Entry'!$ď$604), "", 'Data Entry'!$ď$604)</f>
      </c>
      <c r="GZ604">
        <f>IF(ISBLANK('Data Entry'!$Đ$604), "", 'Data Entry'!$Đ$604)</f>
      </c>
      <c r="HA604">
        <f>IF(ISBLANK('Data Entry'!$đ$604), "", 'Data Entry'!$đ$604)</f>
      </c>
      <c r="HB604">
        <f>IF(ISBLANK('Data Entry'!$Ē$604), "", 'Data Entry'!$Ē$604)</f>
      </c>
      <c r="HC604">
        <f>IF(ISBLANK('Data Entry'!$ē$604), "", 'Data Entry'!$ē$604)</f>
      </c>
      <c r="HD604">
        <f>IF(ISBLANK('Data Entry'!$Ĕ$604), "", 'Data Entry'!$Ĕ$604)</f>
      </c>
      <c r="HE604">
        <f>IF(ISBLANK('Data Entry'!$ĕ$604), "", 'Data Entry'!$ĕ$604)</f>
      </c>
      <c r="HF604">
        <f>IF(ISBLANK('Data Entry'!$Ė$604), "", 'Data Entry'!$Ė$604)</f>
      </c>
      <c r="HG604">
        <f>IF(ISBLANK('Data Entry'!$ė$604), "", 'Data Entry'!$ė$604)</f>
      </c>
      <c r="HH604">
        <f>IF(ISBLANK('Data Entry'!$Ę$604), "", 'Data Entry'!$Ę$604)</f>
      </c>
      <c r="HI604">
        <f>IF(ISBLANK('Data Entry'!$ę$604), "", 'Data Entry'!$ę$604)</f>
      </c>
      <c r="HJ604">
        <f>IF(ISBLANK('Data Entry'!$Ě$604), "", 'Data Entry'!$Ě$604)</f>
      </c>
      <c r="HK604">
        <f>IF(ISBLANK('Data Entry'!$ě$604), "", 'Data Entry'!$ě$604)</f>
      </c>
      <c r="HL604">
        <f>IF(ISBLANK('Data Entry'!$Ĝ$604), "", 'Data Entry'!$Ĝ$604)</f>
      </c>
      <c r="HM604">
        <f>IF(ISBLANK('Data Entry'!$ĝ$604), "", 'Data Entry'!$ĝ$604)</f>
      </c>
      <c r="HN604">
        <f>IF(ISBLANK('Data Entry'!$Ğ$604), "", 'Data Entry'!$Ğ$604)</f>
      </c>
      <c r="HO604">
        <f>IF(ISBLANK('Data Entry'!$ğ$604), "", 'Data Entry'!$ğ$604)</f>
      </c>
      <c r="HP604">
        <f>IF(ISBLANK('Data Entry'!$Ġ$604), "", 'Data Entry'!$Ġ$604)</f>
      </c>
      <c r="HQ604">
        <f>IF(ISBLANK('Data Entry'!$ġ$604), "", 'Data Entry'!$ġ$604)</f>
      </c>
      <c r="HR604">
        <f>IF(ISBLANK('Data Entry'!$Ģ$604), "", 'Data Entry'!$Ģ$604)</f>
      </c>
      <c r="HS604">
        <f>IF(ISBLANK('Data Entry'!$ģ$604), "", 'Data Entry'!$ģ$604)</f>
      </c>
      <c r="HT604">
        <f>IF(ISBLANK('Data Entry'!$Ĥ$604), "", 'Data Entry'!$Ĥ$604)</f>
      </c>
      <c r="HU604">
        <f>IF(ISBLANK('Data Entry'!$ĥ$604), "", 'Data Entry'!$ĥ$604)</f>
      </c>
      <c r="HV604">
        <f>IF(ISBLANK('Data Entry'!$Ħ$604), "", 'Data Entry'!$Ħ$604)</f>
      </c>
      <c r="HW604">
        <f>IF(ISBLANK('Data Entry'!$ħ$604), "", 'Data Entry'!$ħ$604)</f>
      </c>
      <c r="HX604">
        <f>IF(ISBLANK('Data Entry'!$Ĩ$604), "", 'Data Entry'!$Ĩ$604)</f>
      </c>
      <c r="HY604">
        <f>IF(ISBLANK('Data Entry'!$ĩ$604), "", 'Data Entry'!$ĩ$604)</f>
      </c>
      <c r="HZ604">
        <f>IF(ISBLANK('Data Entry'!$Ī$604), "", 'Data Entry'!$Ī$604)</f>
      </c>
      <c r="IA604">
        <f>IF(ISBLANK('Data Entry'!$ī$604), "", 'Data Entry'!$ī$604)</f>
      </c>
      <c r="IB604">
        <f>IF(ISBLANK('Data Entry'!$Ĭ$604), "", 'Data Entry'!$Ĭ$604)</f>
      </c>
      <c r="IC604">
        <f>IF(ISBLANK('Data Entry'!$ĭ$604), "", 'Data Entry'!$ĭ$604)</f>
      </c>
      <c r="ID604">
        <f>IF(ISBLANK('Data Entry'!$Į$604), "", 'Data Entry'!$Į$604)</f>
      </c>
      <c r="IE604">
        <f>IF(ISBLANK('Data Entry'!$į$604), "", 'Data Entry'!$į$604)</f>
      </c>
      <c r="IF604">
        <f>IF(ISBLANK('Data Entry'!$İ$604), "", 'Data Entry'!$İ$604)</f>
      </c>
      <c r="IG604">
        <f>IF(ISBLANK('Data Entry'!$ı$604), "", 'Data Entry'!$ı$604)</f>
      </c>
      <c r="IH604">
        <f>IF(ISBLANK('Data Entry'!$Ĳ$604), "", 'Data Entry'!$Ĳ$604)</f>
      </c>
      <c r="II604">
        <f>IF(ISBLANK('Data Entry'!$ĳ$604), "", 'Data Entry'!$ĳ$604)</f>
      </c>
      <c r="IJ604">
        <f>IF(ISBLANK('Data Entry'!$Ĵ$604), "", 'Data Entry'!$Ĵ$604)</f>
      </c>
      <c r="IK604">
        <f>IF(ISBLANK('Data Entry'!$ĵ$604), "", 'Data Entry'!$ĵ$604)</f>
      </c>
      <c r="IL604">
        <f>IF(ISBLANK('Data Entry'!$Ķ$604), "", 'Data Entry'!$Ķ$604)</f>
      </c>
      <c r="IM604">
        <f>IF(ISBLANK('Data Entry'!$ķ$604), "", 'Data Entry'!$ķ$604)</f>
      </c>
      <c r="IN604">
        <f>IF(ISBLANK('Data Entry'!$ĸ$604), "", 'Data Entry'!$ĸ$604)</f>
      </c>
      <c r="IO604">
        <f>IF(ISBLANK('Data Entry'!$Ĺ$604), "", 'Data Entry'!$Ĺ$604)</f>
      </c>
      <c r="IP604">
        <f>IF(ISBLANK('Data Entry'!$ĺ$604), "", 'Data Entry'!$ĺ$604)</f>
      </c>
      <c r="IQ604">
        <f>IF(ISBLANK('Data Entry'!$Ļ$604), "", 'Data Entry'!$Ļ$604)</f>
      </c>
      <c r="IR604">
        <f>IF(ISBLANK('Data Entry'!$ļ$604), "", 'Data Entry'!$ļ$604)</f>
      </c>
      <c r="IS604">
        <f>IF(ISBLANK('Data Entry'!$Ľ$604), "", 'Data Entry'!$Ľ$604)</f>
      </c>
      <c r="IT604">
        <f>IF(ISBLANK('Data Entry'!$ľ$604), "", 'Data Entry'!$ľ$604)</f>
      </c>
    </row>
    <row r="605" spans="1:254" x14ac:dyDescent="0.25">
      <c r="A605">
        <f>IF(ISBLANK('Data Entry'!$A$605), "", 'Data Entry'!$A$605)</f>
      </c>
      <c r="B605">
        <f>IF(ISBLANK('Data Entry'!$B$605), "", 'Data Entry'!$B$605)</f>
      </c>
      <c r="C605">
        <f>IF(ISBLANK('Data Entry'!$C$605), "", 'Data Entry'!$C$605)</f>
      </c>
      <c r="D605">
        <f>IF(ISBLANK('Data Entry'!$D$605), "", 'Data Entry'!$D$605)</f>
      </c>
      <c r="E605">
        <f>IF(ISBLANK('Data Entry'!$E$605), "", 'Data Entry'!$E$605)</f>
      </c>
      <c r="F605">
        <f>IF(ISBLANK('Data Entry'!$F$605), "", 'Data Entry'!$F$605)</f>
      </c>
      <c r="G605">
        <f>IF(ISBLANK('Data Entry'!$G$605), "", 'Data Entry'!$G$605)</f>
      </c>
      <c r="H605">
        <f>IF(ISBLANK('Data Entry'!$H$605), "", 'Data Entry'!$H$605)</f>
      </c>
      <c r="I605">
        <f>IF(ISBLANK('Data Entry'!$I$605), "", 'Data Entry'!$I$605)</f>
      </c>
      <c r="J605">
        <f>IF(ISBLANK('Data Entry'!$J$605), "", 'Data Entry'!$J$605)</f>
      </c>
      <c r="K605">
        <f>IF(ISBLANK('Data Entry'!$K$605), "", 'Data Entry'!$K$605)</f>
      </c>
      <c r="L605">
        <f>IF(ISBLANK('Data Entry'!$L$605), "", 'Data Entry'!$L$605)</f>
      </c>
      <c r="M605">
        <f>IF(ISBLANK('Data Entry'!$M$605), "", 'Data Entry'!$M$605)</f>
      </c>
      <c r="N605">
        <f>IF(ISBLANK('Data Entry'!$N$605), "", 'Data Entry'!$N$605)</f>
      </c>
      <c r="O605">
        <f>IF(ISBLANK('Data Entry'!$O$605), "", 'Data Entry'!$O$605)</f>
      </c>
      <c r="P605">
        <f>IF(ISBLANK('Data Entry'!$P$605), "", 'Data Entry'!$P$605)</f>
      </c>
      <c r="Q605">
        <f>IF(ISBLANK('Data Entry'!$Q$605), "", 'Data Entry'!$Q$605)</f>
      </c>
      <c r="R605">
        <f>IF(ISBLANK('Data Entry'!$R$605), "", 'Data Entry'!$R$605)</f>
      </c>
      <c r="S605">
        <f>IF(ISBLANK('Data Entry'!$S$605), "", 'Data Entry'!$S$605)</f>
      </c>
      <c r="T605">
        <f>IF(ISBLANK('Data Entry'!$T$605), "", 'Data Entry'!$T$605)</f>
      </c>
      <c r="U605">
        <f>IF(ISBLANK('Data Entry'!$U$605), "", 'Data Entry'!$U$605)</f>
      </c>
      <c r="V605">
        <f>IF(ISBLANK('Data Entry'!$V$605), "", 'Data Entry'!$V$605)</f>
      </c>
      <c r="W605">
        <f>IF(ISBLANK('Data Entry'!$W$605), "", 'Data Entry'!$W$605)</f>
      </c>
      <c r="X605">
        <f>IF(ISBLANK('Data Entry'!$X$605), "", 'Data Entry'!$X$605)</f>
      </c>
      <c r="Y605">
        <f>IF(ISBLANK('Data Entry'!$Y$605), "", 'Data Entry'!$Y$605)</f>
      </c>
      <c r="Z605">
        <f>IF(ISBLANK('Data Entry'!$Z$605), "", 'Data Entry'!$Z$605)</f>
      </c>
      <c r="AA605">
        <f>IF(ISBLANK('Data Entry'!$[$605), "", 'Data Entry'!$[$605)</f>
      </c>
      <c r="AB605">
        <f>IF(ISBLANK('Data Entry'!$\$605), "", 'Data Entry'!$\$605)</f>
      </c>
      <c r="AC605">
        <f>IF(ISBLANK('Data Entry'!$]$605), "", 'Data Entry'!$]$605)</f>
      </c>
      <c r="AD605">
        <f>IF(ISBLANK('Data Entry'!$^$605), "", 'Data Entry'!$^$605)</f>
      </c>
      <c r="AE605">
        <f>IF(ISBLANK('Data Entry'!$_$605), "", 'Data Entry'!$_$605)</f>
      </c>
      <c r="AF605">
        <f>IF(ISBLANK('Data Entry'!$`$605), "", 'Data Entry'!$`$605)</f>
      </c>
      <c r="AG605">
        <f>IF(ISBLANK('Data Entry'!$a$605), "", 'Data Entry'!$a$605)</f>
      </c>
      <c r="AH605">
        <f>IF(ISBLANK('Data Entry'!$b$605), "", 'Data Entry'!$b$605)</f>
      </c>
      <c r="AI605">
        <f>IF(ISBLANK('Data Entry'!$c$605), "", 'Data Entry'!$c$605)</f>
      </c>
      <c r="AJ605">
        <f>IF(ISBLANK('Data Entry'!$d$605), "", 'Data Entry'!$d$605)</f>
      </c>
      <c r="AK605">
        <f>IF(ISBLANK('Data Entry'!$e$605), "", 'Data Entry'!$e$605)</f>
      </c>
      <c r="AL605">
        <f>IF(ISBLANK('Data Entry'!$f$605), "", 'Data Entry'!$f$605)</f>
      </c>
      <c r="AM605">
        <f>IF(ISBLANK('Data Entry'!$g$605), "", 'Data Entry'!$g$605)</f>
      </c>
      <c r="AN605">
        <f>IF(ISBLANK('Data Entry'!$h$605), "", 'Data Entry'!$h$605)</f>
      </c>
      <c r="AO605">
        <f>IF(ISBLANK('Data Entry'!$i$605), "", 'Data Entry'!$i$605)</f>
      </c>
      <c r="AP605">
        <f>IF(ISBLANK('Data Entry'!$j$605), "", 'Data Entry'!$j$605)</f>
      </c>
      <c r="AQ605">
        <f>IF(ISBLANK('Data Entry'!$k$605), "", 'Data Entry'!$k$605)</f>
      </c>
      <c r="AR605">
        <f>IF(ISBLANK('Data Entry'!$l$605), "", 'Data Entry'!$l$605)</f>
      </c>
      <c r="AS605">
        <f>IF(ISBLANK('Data Entry'!$m$605), "", 'Data Entry'!$m$605)</f>
      </c>
      <c r="AT605">
        <f>IF(ISBLANK('Data Entry'!$n$605), "", 'Data Entry'!$n$605)</f>
      </c>
      <c r="AU605">
        <f>IF(ISBLANK('Data Entry'!$o$605), "", 'Data Entry'!$o$605)</f>
      </c>
      <c r="AV605">
        <f>IF(ISBLANK('Data Entry'!$p$605), "", 'Data Entry'!$p$605)</f>
      </c>
      <c r="AW605">
        <f>IF(ISBLANK('Data Entry'!$q$605), "", 'Data Entry'!$q$605)</f>
      </c>
      <c r="AX605">
        <f>IF(ISBLANK('Data Entry'!$r$605), "", 'Data Entry'!$r$605)</f>
      </c>
      <c r="AY605">
        <f>IF(ISBLANK('Data Entry'!$s$605), "", 'Data Entry'!$s$605)</f>
      </c>
      <c r="AZ605">
        <f>IF(ISBLANK('Data Entry'!$t$605), "", 'Data Entry'!$t$605)</f>
      </c>
      <c r="BA605">
        <f>IF(ISBLANK('Data Entry'!$u$605), "", 'Data Entry'!$u$605)</f>
      </c>
      <c r="BB605">
        <f>IF(ISBLANK('Data Entry'!$v$605), "", 'Data Entry'!$v$605)</f>
      </c>
      <c r="BC605">
        <f>IF(ISBLANK('Data Entry'!$w$605), "", 'Data Entry'!$w$605)</f>
      </c>
      <c r="BD605">
        <f>IF(ISBLANK('Data Entry'!$x$605), "", 'Data Entry'!$x$605)</f>
      </c>
      <c r="BE605">
        <f>IF(ISBLANK('Data Entry'!$y$605), "", 'Data Entry'!$y$605)</f>
      </c>
      <c r="BF605">
        <f>IF(ISBLANK('Data Entry'!$z$605), "", 'Data Entry'!$z$605)</f>
      </c>
      <c r="BG605">
        <f>IF(ISBLANK('Data Entry'!${$605), "", 'Data Entry'!${$605)</f>
      </c>
      <c r="BH605">
        <f>IF(ISBLANK('Data Entry'!$|$605), "", 'Data Entry'!$|$605)</f>
      </c>
      <c r="BI605">
        <f>IF(ISBLANK('Data Entry'!$}$605), "", 'Data Entry'!$}$605)</f>
      </c>
      <c r="BJ605">
        <f>IF(ISBLANK('Data Entry'!$~$605), "", 'Data Entry'!$~$605)</f>
      </c>
      <c r="BK605">
        <f>IF(ISBLANK('Data Entry'!$$605), "", 'Data Entry'!$$605)</f>
      </c>
      <c r="BL605">
        <f>IF(ISBLANK('Data Entry'!$$605), "", 'Data Entry'!$$605)</f>
      </c>
      <c r="BM605">
        <f>IF(ISBLANK('Data Entry'!$$605), "", 'Data Entry'!$$605)</f>
      </c>
      <c r="BN605">
        <f>IF(ISBLANK('Data Entry'!$$605), "", 'Data Entry'!$$605)</f>
      </c>
      <c r="BO605">
        <f>IF(ISBLANK('Data Entry'!$$605), "", 'Data Entry'!$$605)</f>
      </c>
      <c r="BP605">
        <f>IF(ISBLANK('Data Entry'!$$605), "", 'Data Entry'!$$605)</f>
      </c>
      <c r="BQ605">
        <f>IF(ISBLANK('Data Entry'!$$605), "", 'Data Entry'!$$605)</f>
      </c>
      <c r="BR605">
        <f>IF(ISBLANK('Data Entry'!$$605), "", 'Data Entry'!$$605)</f>
      </c>
      <c r="BS605">
        <f>IF(ISBLANK('Data Entry'!$$605), "", 'Data Entry'!$$605)</f>
      </c>
      <c r="BT605">
        <f>IF(ISBLANK('Data Entry'!$$605), "", 'Data Entry'!$$605)</f>
      </c>
      <c r="BU605">
        <f>IF(ISBLANK('Data Entry'!$$605), "", 'Data Entry'!$$605)</f>
      </c>
      <c r="BV605">
        <f>IF(ISBLANK('Data Entry'!$$605), "", 'Data Entry'!$$605)</f>
      </c>
      <c r="BW605">
        <f>IF(ISBLANK('Data Entry'!$$605), "", 'Data Entry'!$$605)</f>
      </c>
      <c r="BX605">
        <f>IF(ISBLANK('Data Entry'!$$605), "", 'Data Entry'!$$605)</f>
      </c>
      <c r="BY605">
        <f>IF(ISBLANK('Data Entry'!$$605), "", 'Data Entry'!$$605)</f>
      </c>
      <c r="BZ605">
        <f>IF(ISBLANK('Data Entry'!$$605), "", 'Data Entry'!$$605)</f>
      </c>
      <c r="CA605">
        <f>IF(ISBLANK('Data Entry'!$$605), "", 'Data Entry'!$$605)</f>
      </c>
      <c r="CB605">
        <f>IF(ISBLANK('Data Entry'!$$605), "", 'Data Entry'!$$605)</f>
      </c>
      <c r="CC605">
        <f>IF(ISBLANK('Data Entry'!$$605), "", 'Data Entry'!$$605)</f>
      </c>
      <c r="CD605">
        <f>IF(ISBLANK('Data Entry'!$$605), "", 'Data Entry'!$$605)</f>
      </c>
      <c r="CE605">
        <f>IF(ISBLANK('Data Entry'!$$605), "", 'Data Entry'!$$605)</f>
      </c>
      <c r="CF605">
        <f>IF(ISBLANK('Data Entry'!$$605), "", 'Data Entry'!$$605)</f>
      </c>
      <c r="CG605">
        <f>IF(ISBLANK('Data Entry'!$$605), "", 'Data Entry'!$$605)</f>
      </c>
      <c r="CH605">
        <f>IF(ISBLANK('Data Entry'!$$605), "", 'Data Entry'!$$605)</f>
      </c>
      <c r="CI605">
        <f>IF(ISBLANK('Data Entry'!$$605), "", 'Data Entry'!$$605)</f>
      </c>
      <c r="CJ605">
        <f>IF(ISBLANK('Data Entry'!$$605), "", 'Data Entry'!$$605)</f>
      </c>
      <c r="CK605">
        <f>IF(ISBLANK('Data Entry'!$$605), "", 'Data Entry'!$$605)</f>
      </c>
      <c r="CL605">
        <f>IF(ISBLANK('Data Entry'!$$605), "", 'Data Entry'!$$605)</f>
      </c>
      <c r="CM605">
        <f>IF(ISBLANK('Data Entry'!$$605), "", 'Data Entry'!$$605)</f>
      </c>
      <c r="CN605">
        <f>IF(ISBLANK('Data Entry'!$$605), "", 'Data Entry'!$$605)</f>
      </c>
      <c r="CO605">
        <f>IF(ISBLANK('Data Entry'!$$605), "", 'Data Entry'!$$605)</f>
      </c>
      <c r="CP605">
        <f>IF(ISBLANK('Data Entry'!$$605), "", 'Data Entry'!$$605)</f>
      </c>
      <c r="CQ605">
        <f>IF(ISBLANK('Data Entry'!$$605), "", 'Data Entry'!$$605)</f>
      </c>
      <c r="CR605">
        <f>IF(ISBLANK('Data Entry'!$ $605), "", 'Data Entry'!$ $605)</f>
      </c>
      <c r="CS605">
        <f>IF(ISBLANK('Data Entry'!$¡$605), "", 'Data Entry'!$¡$605)</f>
      </c>
      <c r="CT605">
        <f>IF(ISBLANK('Data Entry'!$¢$605), "", 'Data Entry'!$¢$605)</f>
      </c>
      <c r="CU605">
        <f>IF(ISBLANK('Data Entry'!$£$605), "", 'Data Entry'!$£$605)</f>
      </c>
      <c r="CV605">
        <f>IF(ISBLANK('Data Entry'!$¤$605), "", 'Data Entry'!$¤$605)</f>
      </c>
      <c r="CW605">
        <f>IF(ISBLANK('Data Entry'!$¥$605), "", 'Data Entry'!$¥$605)</f>
      </c>
      <c r="CX605">
        <f>IF(ISBLANK('Data Entry'!$¦$605), "", 'Data Entry'!$¦$605)</f>
      </c>
      <c r="CY605">
        <f>IF(ISBLANK('Data Entry'!$§$605), "", 'Data Entry'!$§$605)</f>
      </c>
      <c r="CZ605">
        <f>IF(ISBLANK('Data Entry'!$¨$605), "", 'Data Entry'!$¨$605)</f>
      </c>
      <c r="DA605">
        <f>IF(ISBLANK('Data Entry'!$©$605), "", 'Data Entry'!$©$605)</f>
      </c>
      <c r="DB605">
        <f>IF(ISBLANK('Data Entry'!$ª$605), "", 'Data Entry'!$ª$605)</f>
      </c>
      <c r="DC605">
        <f>IF(ISBLANK('Data Entry'!$«$605), "", 'Data Entry'!$«$605)</f>
      </c>
      <c r="DD605">
        <f>IF(ISBLANK('Data Entry'!$¬$605), "", 'Data Entry'!$¬$605)</f>
      </c>
      <c r="DE605">
        <f>IF(ISBLANK('Data Entry'!$­$605), "", 'Data Entry'!$­$605)</f>
      </c>
      <c r="DF605">
        <f>IF(ISBLANK('Data Entry'!$®$605), "", 'Data Entry'!$®$605)</f>
      </c>
      <c r="DG605">
        <f>IF(ISBLANK('Data Entry'!$¯$605), "", 'Data Entry'!$¯$605)</f>
      </c>
      <c r="DH605">
        <f>IF(ISBLANK('Data Entry'!$°$605), "", 'Data Entry'!$°$605)</f>
      </c>
      <c r="DI605">
        <f>IF(ISBLANK('Data Entry'!$±$605), "", 'Data Entry'!$±$605)</f>
      </c>
      <c r="DJ605">
        <f>IF(ISBLANK('Data Entry'!$²$605), "", 'Data Entry'!$²$605)</f>
      </c>
      <c r="DK605">
        <f>IF(ISBLANK('Data Entry'!$³$605), "", 'Data Entry'!$³$605)</f>
      </c>
      <c r="DL605">
        <f>IF(ISBLANK('Data Entry'!$´$605), "", 'Data Entry'!$´$605)</f>
      </c>
      <c r="DM605">
        <f>IF(ISBLANK('Data Entry'!$µ$605), "", 'Data Entry'!$µ$605)</f>
      </c>
      <c r="DN605">
        <f>IF(ISBLANK('Data Entry'!$¶$605), "", 'Data Entry'!$¶$605)</f>
      </c>
      <c r="DO605">
        <f>IF(ISBLANK('Data Entry'!$·$605), "", 'Data Entry'!$·$605)</f>
      </c>
      <c r="DP605">
        <f>IF(ISBLANK('Data Entry'!$¸$605), "", 'Data Entry'!$¸$605)</f>
      </c>
      <c r="DQ605">
        <f>IF(ISBLANK('Data Entry'!$¹$605), "", 'Data Entry'!$¹$605)</f>
      </c>
      <c r="DR605">
        <f>IF(ISBLANK('Data Entry'!$º$605), "", 'Data Entry'!$º$605)</f>
      </c>
      <c r="DS605">
        <f>IF(ISBLANK('Data Entry'!$»$605), "", 'Data Entry'!$»$605)</f>
      </c>
      <c r="DT605">
        <f>IF(ISBLANK('Data Entry'!$¼$605), "", 'Data Entry'!$¼$605)</f>
      </c>
      <c r="DU605">
        <f>IF(ISBLANK('Data Entry'!$½$605), "", 'Data Entry'!$½$605)</f>
      </c>
      <c r="DV605">
        <f>IF(ISBLANK('Data Entry'!$¾$605), "", 'Data Entry'!$¾$605)</f>
      </c>
      <c r="DW605">
        <f>IF(ISBLANK('Data Entry'!$¿$605), "", 'Data Entry'!$¿$605)</f>
      </c>
      <c r="DX605">
        <f>IF(ISBLANK('Data Entry'!$À$605), "", 'Data Entry'!$À$605)</f>
      </c>
      <c r="DY605">
        <f>IF(ISBLANK('Data Entry'!$Á$605), "", 'Data Entry'!$Á$605)</f>
      </c>
      <c r="DZ605">
        <f>IF(ISBLANK('Data Entry'!$Â$605), "", 'Data Entry'!$Â$605)</f>
      </c>
      <c r="EA605">
        <f>IF(ISBLANK('Data Entry'!$Ã$605), "", 'Data Entry'!$Ã$605)</f>
      </c>
      <c r="EB605">
        <f>IF(ISBLANK('Data Entry'!$Ä$605), "", 'Data Entry'!$Ä$605)</f>
      </c>
      <c r="EC605">
        <f>IF(ISBLANK('Data Entry'!$Å$605), "", 'Data Entry'!$Å$605)</f>
      </c>
      <c r="ED605">
        <f>IF(ISBLANK('Data Entry'!$Æ$605), "", 'Data Entry'!$Æ$605)</f>
      </c>
      <c r="EE605">
        <f>IF(ISBLANK('Data Entry'!$Ç$605), "", 'Data Entry'!$Ç$605)</f>
      </c>
      <c r="EF605">
        <f>IF(ISBLANK('Data Entry'!$È$605), "", 'Data Entry'!$È$605)</f>
      </c>
      <c r="EG605">
        <f>IF(ISBLANK('Data Entry'!$É$605), "", 'Data Entry'!$É$605)</f>
      </c>
      <c r="EH605">
        <f>IF(ISBLANK('Data Entry'!$Ê$605), "", 'Data Entry'!$Ê$605)</f>
      </c>
      <c r="EI605">
        <f>IF(ISBLANK('Data Entry'!$Ë$605), "", 'Data Entry'!$Ë$605)</f>
      </c>
      <c r="EJ605">
        <f>IF(ISBLANK('Data Entry'!$Ì$605), "", 'Data Entry'!$Ì$605)</f>
      </c>
      <c r="EK605">
        <f>IF(ISBLANK('Data Entry'!$Í$605), "", 'Data Entry'!$Í$605)</f>
      </c>
      <c r="EL605">
        <f>IF(ISBLANK('Data Entry'!$Î$605), "", 'Data Entry'!$Î$605)</f>
      </c>
      <c r="EM605">
        <f>IF(ISBLANK('Data Entry'!$Ï$605), "", 'Data Entry'!$Ï$605)</f>
      </c>
      <c r="EN605">
        <f>IF(ISBLANK('Data Entry'!$Ð$605), "", 'Data Entry'!$Ð$605)</f>
      </c>
      <c r="EO605">
        <f>IF(ISBLANK('Data Entry'!$Ñ$605), "", 'Data Entry'!$Ñ$605)</f>
      </c>
      <c r="EP605">
        <f>IF(ISBLANK('Data Entry'!$Ò$605), "", 'Data Entry'!$Ò$605)</f>
      </c>
      <c r="EQ605">
        <f>IF(ISBLANK('Data Entry'!$Ó$605), "", 'Data Entry'!$Ó$605)</f>
      </c>
      <c r="ER605">
        <f>IF(ISBLANK('Data Entry'!$Ô$605), "", 'Data Entry'!$Ô$605)</f>
      </c>
      <c r="ES605">
        <f>IF(ISBLANK('Data Entry'!$Õ$605), "", 'Data Entry'!$Õ$605)</f>
      </c>
      <c r="ET605">
        <f>IF(ISBLANK('Data Entry'!$Ö$605), "", 'Data Entry'!$Ö$605)</f>
      </c>
      <c r="EU605">
        <f>IF(ISBLANK('Data Entry'!$×$605), "", 'Data Entry'!$×$605)</f>
      </c>
      <c r="EV605">
        <f>IF(ISBLANK('Data Entry'!$Ø$605), "", 'Data Entry'!$Ø$605)</f>
      </c>
      <c r="EW605">
        <f>IF(ISBLANK('Data Entry'!$Ù$605), "", 'Data Entry'!$Ù$605)</f>
      </c>
      <c r="EX605">
        <f>IF(ISBLANK('Data Entry'!$Ú$605), "", 'Data Entry'!$Ú$605)</f>
      </c>
      <c r="EY605">
        <f>IF(ISBLANK('Data Entry'!$Û$605), "", 'Data Entry'!$Û$605)</f>
      </c>
      <c r="EZ605">
        <f>IF(ISBLANK('Data Entry'!$Ü$605), "", 'Data Entry'!$Ü$605)</f>
      </c>
      <c r="FA605">
        <f>IF(ISBLANK('Data Entry'!$Ý$605), "", 'Data Entry'!$Ý$605)</f>
      </c>
      <c r="FB605">
        <f>IF(ISBLANK('Data Entry'!$Þ$605), "", 'Data Entry'!$Þ$605)</f>
      </c>
      <c r="FC605">
        <f>IF(ISBLANK('Data Entry'!$ß$605), "", 'Data Entry'!$ß$605)</f>
      </c>
      <c r="FD605">
        <f>IF(ISBLANK('Data Entry'!$à$605), "", 'Data Entry'!$à$605)</f>
      </c>
      <c r="FE605">
        <f>IF(ISBLANK('Data Entry'!$á$605), "", 'Data Entry'!$á$605)</f>
      </c>
      <c r="FF605">
        <f>IF(ISBLANK('Data Entry'!$â$605), "", 'Data Entry'!$â$605)</f>
      </c>
      <c r="FG605">
        <f>IF(ISBLANK('Data Entry'!$ã$605), "", 'Data Entry'!$ã$605)</f>
      </c>
      <c r="FH605">
        <f>IF(ISBLANK('Data Entry'!$ä$605), "", 'Data Entry'!$ä$605)</f>
      </c>
      <c r="FI605">
        <f>IF(ISBLANK('Data Entry'!$å$605), "", 'Data Entry'!$å$605)</f>
      </c>
      <c r="FJ605">
        <f>IF(ISBLANK('Data Entry'!$æ$605), "", 'Data Entry'!$æ$605)</f>
      </c>
      <c r="FK605">
        <f>IF(ISBLANK('Data Entry'!$ç$605), "", 'Data Entry'!$ç$605)</f>
      </c>
      <c r="FL605">
        <f>IF(ISBLANK('Data Entry'!$è$605), "", 'Data Entry'!$è$605)</f>
      </c>
      <c r="FM605">
        <f>IF(ISBLANK('Data Entry'!$é$605), "", 'Data Entry'!$é$605)</f>
      </c>
      <c r="FN605">
        <f>IF(ISBLANK('Data Entry'!$ê$605), "", 'Data Entry'!$ê$605)</f>
      </c>
      <c r="FO605">
        <f>IF(ISBLANK('Data Entry'!$ë$605), "", 'Data Entry'!$ë$605)</f>
      </c>
      <c r="FP605">
        <f>IF(ISBLANK('Data Entry'!$ì$605), "", 'Data Entry'!$ì$605)</f>
      </c>
      <c r="FQ605">
        <f>IF(ISBLANK('Data Entry'!$í$605), "", 'Data Entry'!$í$605)</f>
      </c>
      <c r="FR605">
        <f>IF(ISBLANK('Data Entry'!$î$605), "", 'Data Entry'!$î$605)</f>
      </c>
      <c r="FS605">
        <f>IF(ISBLANK('Data Entry'!$ï$605), "", 'Data Entry'!$ï$605)</f>
      </c>
      <c r="FT605">
        <f>IF(ISBLANK('Data Entry'!$ð$605), "", 'Data Entry'!$ð$605)</f>
      </c>
      <c r="FU605">
        <f>IF(ISBLANK('Data Entry'!$ñ$605), "", 'Data Entry'!$ñ$605)</f>
      </c>
      <c r="FV605">
        <f>IF(ISBLANK('Data Entry'!$ò$605), "", 'Data Entry'!$ò$605)</f>
      </c>
      <c r="FW605">
        <f>IF(ISBLANK('Data Entry'!$ó$605), "", 'Data Entry'!$ó$605)</f>
      </c>
      <c r="FX605">
        <f>IF(ISBLANK('Data Entry'!$ô$605), "", 'Data Entry'!$ô$605)</f>
      </c>
      <c r="FY605">
        <f>IF(ISBLANK('Data Entry'!$õ$605), "", 'Data Entry'!$õ$605)</f>
      </c>
      <c r="FZ605">
        <f>IF(ISBLANK('Data Entry'!$ö$605), "", 'Data Entry'!$ö$605)</f>
      </c>
      <c r="GA605">
        <f>IF(ISBLANK('Data Entry'!$÷$605), "", 'Data Entry'!$÷$605)</f>
      </c>
      <c r="GB605">
        <f>IF(ISBLANK('Data Entry'!$ø$605), "", 'Data Entry'!$ø$605)</f>
      </c>
      <c r="GC605">
        <f>IF(ISBLANK('Data Entry'!$ù$605), "", 'Data Entry'!$ù$605)</f>
      </c>
      <c r="GD605">
        <f>IF(ISBLANK('Data Entry'!$ú$605), "", 'Data Entry'!$ú$605)</f>
      </c>
      <c r="GE605">
        <f>IF(ISBLANK('Data Entry'!$û$605), "", 'Data Entry'!$û$605)</f>
      </c>
      <c r="GF605">
        <f>IF(ISBLANK('Data Entry'!$ü$605), "", 'Data Entry'!$ü$605)</f>
      </c>
      <c r="GG605">
        <f>IF(ISBLANK('Data Entry'!$ý$605), "", 'Data Entry'!$ý$605)</f>
      </c>
      <c r="GH605">
        <f>IF(ISBLANK('Data Entry'!$þ$605), "", 'Data Entry'!$þ$605)</f>
      </c>
      <c r="GI605">
        <f>IF(ISBLANK('Data Entry'!$ÿ$605), "", 'Data Entry'!$ÿ$605)</f>
      </c>
      <c r="GJ605">
        <f>IF(ISBLANK('Data Entry'!$Ā$605), "", 'Data Entry'!$Ā$605)</f>
      </c>
      <c r="GK605">
        <f>IF(ISBLANK('Data Entry'!$ā$605), "", 'Data Entry'!$ā$605)</f>
      </c>
      <c r="GL605">
        <f>IF(ISBLANK('Data Entry'!$Ă$605), "", 'Data Entry'!$Ă$605)</f>
      </c>
      <c r="GM605">
        <f>IF(ISBLANK('Data Entry'!$ă$605), "", 'Data Entry'!$ă$605)</f>
      </c>
      <c r="GN605">
        <f>IF(ISBLANK('Data Entry'!$Ą$605), "", 'Data Entry'!$Ą$605)</f>
      </c>
      <c r="GO605">
        <f>IF(ISBLANK('Data Entry'!$ą$605), "", 'Data Entry'!$ą$605)</f>
      </c>
      <c r="GP605">
        <f>IF(ISBLANK('Data Entry'!$Ć$605), "", 'Data Entry'!$Ć$605)</f>
      </c>
      <c r="GQ605">
        <f>IF(ISBLANK('Data Entry'!$ć$605), "", 'Data Entry'!$ć$605)</f>
      </c>
      <c r="GR605">
        <f>IF(ISBLANK('Data Entry'!$Ĉ$605), "", 'Data Entry'!$Ĉ$605)</f>
      </c>
      <c r="GS605">
        <f>IF(ISBLANK('Data Entry'!$ĉ$605), "", 'Data Entry'!$ĉ$605)</f>
      </c>
      <c r="GT605">
        <f>IF(ISBLANK('Data Entry'!$Ċ$605), "", 'Data Entry'!$Ċ$605)</f>
      </c>
      <c r="GU605">
        <f>IF(ISBLANK('Data Entry'!$ċ$605), "", 'Data Entry'!$ċ$605)</f>
      </c>
      <c r="GV605">
        <f>IF(ISBLANK('Data Entry'!$Č$605), "", 'Data Entry'!$Č$605)</f>
      </c>
      <c r="GW605">
        <f>IF(ISBLANK('Data Entry'!$č$605), "", 'Data Entry'!$č$605)</f>
      </c>
      <c r="GX605">
        <f>IF(ISBLANK('Data Entry'!$Ď$605), "", 'Data Entry'!$Ď$605)</f>
      </c>
      <c r="GY605">
        <f>IF(ISBLANK('Data Entry'!$ď$605), "", 'Data Entry'!$ď$605)</f>
      </c>
      <c r="GZ605">
        <f>IF(ISBLANK('Data Entry'!$Đ$605), "", 'Data Entry'!$Đ$605)</f>
      </c>
      <c r="HA605">
        <f>IF(ISBLANK('Data Entry'!$đ$605), "", 'Data Entry'!$đ$605)</f>
      </c>
      <c r="HB605">
        <f>IF(ISBLANK('Data Entry'!$Ē$605), "", 'Data Entry'!$Ē$605)</f>
      </c>
      <c r="HC605">
        <f>IF(ISBLANK('Data Entry'!$ē$605), "", 'Data Entry'!$ē$605)</f>
      </c>
      <c r="HD605">
        <f>IF(ISBLANK('Data Entry'!$Ĕ$605), "", 'Data Entry'!$Ĕ$605)</f>
      </c>
      <c r="HE605">
        <f>IF(ISBLANK('Data Entry'!$ĕ$605), "", 'Data Entry'!$ĕ$605)</f>
      </c>
      <c r="HF605">
        <f>IF(ISBLANK('Data Entry'!$Ė$605), "", 'Data Entry'!$Ė$605)</f>
      </c>
      <c r="HG605">
        <f>IF(ISBLANK('Data Entry'!$ė$605), "", 'Data Entry'!$ė$605)</f>
      </c>
      <c r="HH605">
        <f>IF(ISBLANK('Data Entry'!$Ę$605), "", 'Data Entry'!$Ę$605)</f>
      </c>
      <c r="HI605">
        <f>IF(ISBLANK('Data Entry'!$ę$605), "", 'Data Entry'!$ę$605)</f>
      </c>
      <c r="HJ605">
        <f>IF(ISBLANK('Data Entry'!$Ě$605), "", 'Data Entry'!$Ě$605)</f>
      </c>
      <c r="HK605">
        <f>IF(ISBLANK('Data Entry'!$ě$605), "", 'Data Entry'!$ě$605)</f>
      </c>
      <c r="HL605">
        <f>IF(ISBLANK('Data Entry'!$Ĝ$605), "", 'Data Entry'!$Ĝ$605)</f>
      </c>
      <c r="HM605">
        <f>IF(ISBLANK('Data Entry'!$ĝ$605), "", 'Data Entry'!$ĝ$605)</f>
      </c>
      <c r="HN605">
        <f>IF(ISBLANK('Data Entry'!$Ğ$605), "", 'Data Entry'!$Ğ$605)</f>
      </c>
      <c r="HO605">
        <f>IF(ISBLANK('Data Entry'!$ğ$605), "", 'Data Entry'!$ğ$605)</f>
      </c>
      <c r="HP605">
        <f>IF(ISBLANK('Data Entry'!$Ġ$605), "", 'Data Entry'!$Ġ$605)</f>
      </c>
      <c r="HQ605">
        <f>IF(ISBLANK('Data Entry'!$ġ$605), "", 'Data Entry'!$ġ$605)</f>
      </c>
      <c r="HR605">
        <f>IF(ISBLANK('Data Entry'!$Ģ$605), "", 'Data Entry'!$Ģ$605)</f>
      </c>
      <c r="HS605">
        <f>IF(ISBLANK('Data Entry'!$ģ$605), "", 'Data Entry'!$ģ$605)</f>
      </c>
      <c r="HT605">
        <f>IF(ISBLANK('Data Entry'!$Ĥ$605), "", 'Data Entry'!$Ĥ$605)</f>
      </c>
      <c r="HU605">
        <f>IF(ISBLANK('Data Entry'!$ĥ$605), "", 'Data Entry'!$ĥ$605)</f>
      </c>
      <c r="HV605">
        <f>IF(ISBLANK('Data Entry'!$Ħ$605), "", 'Data Entry'!$Ħ$605)</f>
      </c>
      <c r="HW605">
        <f>IF(ISBLANK('Data Entry'!$ħ$605), "", 'Data Entry'!$ħ$605)</f>
      </c>
      <c r="HX605">
        <f>IF(ISBLANK('Data Entry'!$Ĩ$605), "", 'Data Entry'!$Ĩ$605)</f>
      </c>
      <c r="HY605">
        <f>IF(ISBLANK('Data Entry'!$ĩ$605), "", 'Data Entry'!$ĩ$605)</f>
      </c>
      <c r="HZ605">
        <f>IF(ISBLANK('Data Entry'!$Ī$605), "", 'Data Entry'!$Ī$605)</f>
      </c>
      <c r="IA605">
        <f>IF(ISBLANK('Data Entry'!$ī$605), "", 'Data Entry'!$ī$605)</f>
      </c>
      <c r="IB605">
        <f>IF(ISBLANK('Data Entry'!$Ĭ$605), "", 'Data Entry'!$Ĭ$605)</f>
      </c>
      <c r="IC605">
        <f>IF(ISBLANK('Data Entry'!$ĭ$605), "", 'Data Entry'!$ĭ$605)</f>
      </c>
      <c r="ID605">
        <f>IF(ISBLANK('Data Entry'!$Į$605), "", 'Data Entry'!$Į$605)</f>
      </c>
      <c r="IE605">
        <f>IF(ISBLANK('Data Entry'!$į$605), "", 'Data Entry'!$į$605)</f>
      </c>
      <c r="IF605">
        <f>IF(ISBLANK('Data Entry'!$İ$605), "", 'Data Entry'!$İ$605)</f>
      </c>
      <c r="IG605">
        <f>IF(ISBLANK('Data Entry'!$ı$605), "", 'Data Entry'!$ı$605)</f>
      </c>
      <c r="IH605">
        <f>IF(ISBLANK('Data Entry'!$Ĳ$605), "", 'Data Entry'!$Ĳ$605)</f>
      </c>
      <c r="II605">
        <f>IF(ISBLANK('Data Entry'!$ĳ$605), "", 'Data Entry'!$ĳ$605)</f>
      </c>
      <c r="IJ605">
        <f>IF(ISBLANK('Data Entry'!$Ĵ$605), "", 'Data Entry'!$Ĵ$605)</f>
      </c>
      <c r="IK605">
        <f>IF(ISBLANK('Data Entry'!$ĵ$605), "", 'Data Entry'!$ĵ$605)</f>
      </c>
      <c r="IL605">
        <f>IF(ISBLANK('Data Entry'!$Ķ$605), "", 'Data Entry'!$Ķ$605)</f>
      </c>
      <c r="IM605">
        <f>IF(ISBLANK('Data Entry'!$ķ$605), "", 'Data Entry'!$ķ$605)</f>
      </c>
      <c r="IN605">
        <f>IF(ISBLANK('Data Entry'!$ĸ$605), "", 'Data Entry'!$ĸ$605)</f>
      </c>
      <c r="IO605">
        <f>IF(ISBLANK('Data Entry'!$Ĺ$605), "", 'Data Entry'!$Ĺ$605)</f>
      </c>
      <c r="IP605">
        <f>IF(ISBLANK('Data Entry'!$ĺ$605), "", 'Data Entry'!$ĺ$605)</f>
      </c>
      <c r="IQ605">
        <f>IF(ISBLANK('Data Entry'!$Ļ$605), "", 'Data Entry'!$Ļ$605)</f>
      </c>
      <c r="IR605">
        <f>IF(ISBLANK('Data Entry'!$ļ$605), "", 'Data Entry'!$ļ$605)</f>
      </c>
      <c r="IS605">
        <f>IF(ISBLANK('Data Entry'!$Ľ$605), "", 'Data Entry'!$Ľ$605)</f>
      </c>
      <c r="IT605">
        <f>IF(ISBLANK('Data Entry'!$ľ$605), "", 'Data Entry'!$ľ$605)</f>
      </c>
    </row>
    <row r="606" spans="1:254" x14ac:dyDescent="0.25">
      <c r="A606">
        <f>IF(ISBLANK('Data Entry'!$A$606), "", 'Data Entry'!$A$606)</f>
      </c>
      <c r="B606">
        <f>IF(ISBLANK('Data Entry'!$B$606), "", 'Data Entry'!$B$606)</f>
      </c>
      <c r="C606">
        <f>IF(ISBLANK('Data Entry'!$C$606), "", 'Data Entry'!$C$606)</f>
      </c>
      <c r="D606">
        <f>IF(ISBLANK('Data Entry'!$D$606), "", 'Data Entry'!$D$606)</f>
      </c>
      <c r="E606">
        <f>IF(ISBLANK('Data Entry'!$E$606), "", 'Data Entry'!$E$606)</f>
      </c>
      <c r="F606">
        <f>IF(ISBLANK('Data Entry'!$F$606), "", 'Data Entry'!$F$606)</f>
      </c>
      <c r="G606">
        <f>IF(ISBLANK('Data Entry'!$G$606), "", 'Data Entry'!$G$606)</f>
      </c>
      <c r="H606">
        <f>IF(ISBLANK('Data Entry'!$H$606), "", 'Data Entry'!$H$606)</f>
      </c>
      <c r="I606">
        <f>IF(ISBLANK('Data Entry'!$I$606), "", 'Data Entry'!$I$606)</f>
      </c>
      <c r="J606">
        <f>IF(ISBLANK('Data Entry'!$J$606), "", 'Data Entry'!$J$606)</f>
      </c>
      <c r="K606">
        <f>IF(ISBLANK('Data Entry'!$K$606), "", 'Data Entry'!$K$606)</f>
      </c>
      <c r="L606">
        <f>IF(ISBLANK('Data Entry'!$L$606), "", 'Data Entry'!$L$606)</f>
      </c>
      <c r="M606">
        <f>IF(ISBLANK('Data Entry'!$M$606), "", 'Data Entry'!$M$606)</f>
      </c>
      <c r="N606">
        <f>IF(ISBLANK('Data Entry'!$N$606), "", 'Data Entry'!$N$606)</f>
      </c>
      <c r="O606">
        <f>IF(ISBLANK('Data Entry'!$O$606), "", 'Data Entry'!$O$606)</f>
      </c>
      <c r="P606">
        <f>IF(ISBLANK('Data Entry'!$P$606), "", 'Data Entry'!$P$606)</f>
      </c>
      <c r="Q606">
        <f>IF(ISBLANK('Data Entry'!$Q$606), "", 'Data Entry'!$Q$606)</f>
      </c>
      <c r="R606">
        <f>IF(ISBLANK('Data Entry'!$R$606), "", 'Data Entry'!$R$606)</f>
      </c>
      <c r="S606">
        <f>IF(ISBLANK('Data Entry'!$S$606), "", 'Data Entry'!$S$606)</f>
      </c>
      <c r="T606">
        <f>IF(ISBLANK('Data Entry'!$T$606), "", 'Data Entry'!$T$606)</f>
      </c>
      <c r="U606">
        <f>IF(ISBLANK('Data Entry'!$U$606), "", 'Data Entry'!$U$606)</f>
      </c>
      <c r="V606">
        <f>IF(ISBLANK('Data Entry'!$V$606), "", 'Data Entry'!$V$606)</f>
      </c>
      <c r="W606">
        <f>IF(ISBLANK('Data Entry'!$W$606), "", 'Data Entry'!$W$606)</f>
      </c>
      <c r="X606">
        <f>IF(ISBLANK('Data Entry'!$X$606), "", 'Data Entry'!$X$606)</f>
      </c>
      <c r="Y606">
        <f>IF(ISBLANK('Data Entry'!$Y$606), "", 'Data Entry'!$Y$606)</f>
      </c>
      <c r="Z606">
        <f>IF(ISBLANK('Data Entry'!$Z$606), "", 'Data Entry'!$Z$606)</f>
      </c>
      <c r="AA606">
        <f>IF(ISBLANK('Data Entry'!$[$606), "", 'Data Entry'!$[$606)</f>
      </c>
      <c r="AB606">
        <f>IF(ISBLANK('Data Entry'!$\$606), "", 'Data Entry'!$\$606)</f>
      </c>
      <c r="AC606">
        <f>IF(ISBLANK('Data Entry'!$]$606), "", 'Data Entry'!$]$606)</f>
      </c>
      <c r="AD606">
        <f>IF(ISBLANK('Data Entry'!$^$606), "", 'Data Entry'!$^$606)</f>
      </c>
      <c r="AE606">
        <f>IF(ISBLANK('Data Entry'!$_$606), "", 'Data Entry'!$_$606)</f>
      </c>
      <c r="AF606">
        <f>IF(ISBLANK('Data Entry'!$`$606), "", 'Data Entry'!$`$606)</f>
      </c>
      <c r="AG606">
        <f>IF(ISBLANK('Data Entry'!$a$606), "", 'Data Entry'!$a$606)</f>
      </c>
      <c r="AH606">
        <f>IF(ISBLANK('Data Entry'!$b$606), "", 'Data Entry'!$b$606)</f>
      </c>
      <c r="AI606">
        <f>IF(ISBLANK('Data Entry'!$c$606), "", 'Data Entry'!$c$606)</f>
      </c>
      <c r="AJ606">
        <f>IF(ISBLANK('Data Entry'!$d$606), "", 'Data Entry'!$d$606)</f>
      </c>
      <c r="AK606">
        <f>IF(ISBLANK('Data Entry'!$e$606), "", 'Data Entry'!$e$606)</f>
      </c>
      <c r="AL606">
        <f>IF(ISBLANK('Data Entry'!$f$606), "", 'Data Entry'!$f$606)</f>
      </c>
      <c r="AM606">
        <f>IF(ISBLANK('Data Entry'!$g$606), "", 'Data Entry'!$g$606)</f>
      </c>
      <c r="AN606">
        <f>IF(ISBLANK('Data Entry'!$h$606), "", 'Data Entry'!$h$606)</f>
      </c>
      <c r="AO606">
        <f>IF(ISBLANK('Data Entry'!$i$606), "", 'Data Entry'!$i$606)</f>
      </c>
      <c r="AP606">
        <f>IF(ISBLANK('Data Entry'!$j$606), "", 'Data Entry'!$j$606)</f>
      </c>
      <c r="AQ606">
        <f>IF(ISBLANK('Data Entry'!$k$606), "", 'Data Entry'!$k$606)</f>
      </c>
      <c r="AR606">
        <f>IF(ISBLANK('Data Entry'!$l$606), "", 'Data Entry'!$l$606)</f>
      </c>
      <c r="AS606">
        <f>IF(ISBLANK('Data Entry'!$m$606), "", 'Data Entry'!$m$606)</f>
      </c>
      <c r="AT606">
        <f>IF(ISBLANK('Data Entry'!$n$606), "", 'Data Entry'!$n$606)</f>
      </c>
      <c r="AU606">
        <f>IF(ISBLANK('Data Entry'!$o$606), "", 'Data Entry'!$o$606)</f>
      </c>
      <c r="AV606">
        <f>IF(ISBLANK('Data Entry'!$p$606), "", 'Data Entry'!$p$606)</f>
      </c>
      <c r="AW606">
        <f>IF(ISBLANK('Data Entry'!$q$606), "", 'Data Entry'!$q$606)</f>
      </c>
      <c r="AX606">
        <f>IF(ISBLANK('Data Entry'!$r$606), "", 'Data Entry'!$r$606)</f>
      </c>
      <c r="AY606">
        <f>IF(ISBLANK('Data Entry'!$s$606), "", 'Data Entry'!$s$606)</f>
      </c>
      <c r="AZ606">
        <f>IF(ISBLANK('Data Entry'!$t$606), "", 'Data Entry'!$t$606)</f>
      </c>
      <c r="BA606">
        <f>IF(ISBLANK('Data Entry'!$u$606), "", 'Data Entry'!$u$606)</f>
      </c>
      <c r="BB606">
        <f>IF(ISBLANK('Data Entry'!$v$606), "", 'Data Entry'!$v$606)</f>
      </c>
      <c r="BC606">
        <f>IF(ISBLANK('Data Entry'!$w$606), "", 'Data Entry'!$w$606)</f>
      </c>
      <c r="BD606">
        <f>IF(ISBLANK('Data Entry'!$x$606), "", 'Data Entry'!$x$606)</f>
      </c>
      <c r="BE606">
        <f>IF(ISBLANK('Data Entry'!$y$606), "", 'Data Entry'!$y$606)</f>
      </c>
      <c r="BF606">
        <f>IF(ISBLANK('Data Entry'!$z$606), "", 'Data Entry'!$z$606)</f>
      </c>
      <c r="BG606">
        <f>IF(ISBLANK('Data Entry'!${$606), "", 'Data Entry'!${$606)</f>
      </c>
      <c r="BH606">
        <f>IF(ISBLANK('Data Entry'!$|$606), "", 'Data Entry'!$|$606)</f>
      </c>
      <c r="BI606">
        <f>IF(ISBLANK('Data Entry'!$}$606), "", 'Data Entry'!$}$606)</f>
      </c>
      <c r="BJ606">
        <f>IF(ISBLANK('Data Entry'!$~$606), "", 'Data Entry'!$~$606)</f>
      </c>
      <c r="BK606">
        <f>IF(ISBLANK('Data Entry'!$$606), "", 'Data Entry'!$$606)</f>
      </c>
      <c r="BL606">
        <f>IF(ISBLANK('Data Entry'!$$606), "", 'Data Entry'!$$606)</f>
      </c>
      <c r="BM606">
        <f>IF(ISBLANK('Data Entry'!$$606), "", 'Data Entry'!$$606)</f>
      </c>
      <c r="BN606">
        <f>IF(ISBLANK('Data Entry'!$$606), "", 'Data Entry'!$$606)</f>
      </c>
      <c r="BO606">
        <f>IF(ISBLANK('Data Entry'!$$606), "", 'Data Entry'!$$606)</f>
      </c>
      <c r="BP606">
        <f>IF(ISBLANK('Data Entry'!$$606), "", 'Data Entry'!$$606)</f>
      </c>
      <c r="BQ606">
        <f>IF(ISBLANK('Data Entry'!$$606), "", 'Data Entry'!$$606)</f>
      </c>
      <c r="BR606">
        <f>IF(ISBLANK('Data Entry'!$$606), "", 'Data Entry'!$$606)</f>
      </c>
      <c r="BS606">
        <f>IF(ISBLANK('Data Entry'!$$606), "", 'Data Entry'!$$606)</f>
      </c>
      <c r="BT606">
        <f>IF(ISBLANK('Data Entry'!$$606), "", 'Data Entry'!$$606)</f>
      </c>
      <c r="BU606">
        <f>IF(ISBLANK('Data Entry'!$$606), "", 'Data Entry'!$$606)</f>
      </c>
      <c r="BV606">
        <f>IF(ISBLANK('Data Entry'!$$606), "", 'Data Entry'!$$606)</f>
      </c>
      <c r="BW606">
        <f>IF(ISBLANK('Data Entry'!$$606), "", 'Data Entry'!$$606)</f>
      </c>
      <c r="BX606">
        <f>IF(ISBLANK('Data Entry'!$$606), "", 'Data Entry'!$$606)</f>
      </c>
      <c r="BY606">
        <f>IF(ISBLANK('Data Entry'!$$606), "", 'Data Entry'!$$606)</f>
      </c>
      <c r="BZ606">
        <f>IF(ISBLANK('Data Entry'!$$606), "", 'Data Entry'!$$606)</f>
      </c>
      <c r="CA606">
        <f>IF(ISBLANK('Data Entry'!$$606), "", 'Data Entry'!$$606)</f>
      </c>
      <c r="CB606">
        <f>IF(ISBLANK('Data Entry'!$$606), "", 'Data Entry'!$$606)</f>
      </c>
      <c r="CC606">
        <f>IF(ISBLANK('Data Entry'!$$606), "", 'Data Entry'!$$606)</f>
      </c>
      <c r="CD606">
        <f>IF(ISBLANK('Data Entry'!$$606), "", 'Data Entry'!$$606)</f>
      </c>
      <c r="CE606">
        <f>IF(ISBLANK('Data Entry'!$$606), "", 'Data Entry'!$$606)</f>
      </c>
      <c r="CF606">
        <f>IF(ISBLANK('Data Entry'!$$606), "", 'Data Entry'!$$606)</f>
      </c>
      <c r="CG606">
        <f>IF(ISBLANK('Data Entry'!$$606), "", 'Data Entry'!$$606)</f>
      </c>
      <c r="CH606">
        <f>IF(ISBLANK('Data Entry'!$$606), "", 'Data Entry'!$$606)</f>
      </c>
      <c r="CI606">
        <f>IF(ISBLANK('Data Entry'!$$606), "", 'Data Entry'!$$606)</f>
      </c>
      <c r="CJ606">
        <f>IF(ISBLANK('Data Entry'!$$606), "", 'Data Entry'!$$606)</f>
      </c>
      <c r="CK606">
        <f>IF(ISBLANK('Data Entry'!$$606), "", 'Data Entry'!$$606)</f>
      </c>
      <c r="CL606">
        <f>IF(ISBLANK('Data Entry'!$$606), "", 'Data Entry'!$$606)</f>
      </c>
      <c r="CM606">
        <f>IF(ISBLANK('Data Entry'!$$606), "", 'Data Entry'!$$606)</f>
      </c>
      <c r="CN606">
        <f>IF(ISBLANK('Data Entry'!$$606), "", 'Data Entry'!$$606)</f>
      </c>
      <c r="CO606">
        <f>IF(ISBLANK('Data Entry'!$$606), "", 'Data Entry'!$$606)</f>
      </c>
      <c r="CP606">
        <f>IF(ISBLANK('Data Entry'!$$606), "", 'Data Entry'!$$606)</f>
      </c>
      <c r="CQ606">
        <f>IF(ISBLANK('Data Entry'!$$606), "", 'Data Entry'!$$606)</f>
      </c>
      <c r="CR606">
        <f>IF(ISBLANK('Data Entry'!$ $606), "", 'Data Entry'!$ $606)</f>
      </c>
      <c r="CS606">
        <f>IF(ISBLANK('Data Entry'!$¡$606), "", 'Data Entry'!$¡$606)</f>
      </c>
      <c r="CT606">
        <f>IF(ISBLANK('Data Entry'!$¢$606), "", 'Data Entry'!$¢$606)</f>
      </c>
      <c r="CU606">
        <f>IF(ISBLANK('Data Entry'!$£$606), "", 'Data Entry'!$£$606)</f>
      </c>
      <c r="CV606">
        <f>IF(ISBLANK('Data Entry'!$¤$606), "", 'Data Entry'!$¤$606)</f>
      </c>
      <c r="CW606">
        <f>IF(ISBLANK('Data Entry'!$¥$606), "", 'Data Entry'!$¥$606)</f>
      </c>
      <c r="CX606">
        <f>IF(ISBLANK('Data Entry'!$¦$606), "", 'Data Entry'!$¦$606)</f>
      </c>
      <c r="CY606">
        <f>IF(ISBLANK('Data Entry'!$§$606), "", 'Data Entry'!$§$606)</f>
      </c>
      <c r="CZ606">
        <f>IF(ISBLANK('Data Entry'!$¨$606), "", 'Data Entry'!$¨$606)</f>
      </c>
      <c r="DA606">
        <f>IF(ISBLANK('Data Entry'!$©$606), "", 'Data Entry'!$©$606)</f>
      </c>
      <c r="DB606">
        <f>IF(ISBLANK('Data Entry'!$ª$606), "", 'Data Entry'!$ª$606)</f>
      </c>
      <c r="DC606">
        <f>IF(ISBLANK('Data Entry'!$«$606), "", 'Data Entry'!$«$606)</f>
      </c>
      <c r="DD606">
        <f>IF(ISBLANK('Data Entry'!$¬$606), "", 'Data Entry'!$¬$606)</f>
      </c>
      <c r="DE606">
        <f>IF(ISBLANK('Data Entry'!$­$606), "", 'Data Entry'!$­$606)</f>
      </c>
      <c r="DF606">
        <f>IF(ISBLANK('Data Entry'!$®$606), "", 'Data Entry'!$®$606)</f>
      </c>
      <c r="DG606">
        <f>IF(ISBLANK('Data Entry'!$¯$606), "", 'Data Entry'!$¯$606)</f>
      </c>
      <c r="DH606">
        <f>IF(ISBLANK('Data Entry'!$°$606), "", 'Data Entry'!$°$606)</f>
      </c>
      <c r="DI606">
        <f>IF(ISBLANK('Data Entry'!$±$606), "", 'Data Entry'!$±$606)</f>
      </c>
      <c r="DJ606">
        <f>IF(ISBLANK('Data Entry'!$²$606), "", 'Data Entry'!$²$606)</f>
      </c>
      <c r="DK606">
        <f>IF(ISBLANK('Data Entry'!$³$606), "", 'Data Entry'!$³$606)</f>
      </c>
      <c r="DL606">
        <f>IF(ISBLANK('Data Entry'!$´$606), "", 'Data Entry'!$´$606)</f>
      </c>
      <c r="DM606">
        <f>IF(ISBLANK('Data Entry'!$µ$606), "", 'Data Entry'!$µ$606)</f>
      </c>
      <c r="DN606">
        <f>IF(ISBLANK('Data Entry'!$¶$606), "", 'Data Entry'!$¶$606)</f>
      </c>
      <c r="DO606">
        <f>IF(ISBLANK('Data Entry'!$·$606), "", 'Data Entry'!$·$606)</f>
      </c>
      <c r="DP606">
        <f>IF(ISBLANK('Data Entry'!$¸$606), "", 'Data Entry'!$¸$606)</f>
      </c>
      <c r="DQ606">
        <f>IF(ISBLANK('Data Entry'!$¹$606), "", 'Data Entry'!$¹$606)</f>
      </c>
      <c r="DR606">
        <f>IF(ISBLANK('Data Entry'!$º$606), "", 'Data Entry'!$º$606)</f>
      </c>
      <c r="DS606">
        <f>IF(ISBLANK('Data Entry'!$»$606), "", 'Data Entry'!$»$606)</f>
      </c>
      <c r="DT606">
        <f>IF(ISBLANK('Data Entry'!$¼$606), "", 'Data Entry'!$¼$606)</f>
      </c>
      <c r="DU606">
        <f>IF(ISBLANK('Data Entry'!$½$606), "", 'Data Entry'!$½$606)</f>
      </c>
      <c r="DV606">
        <f>IF(ISBLANK('Data Entry'!$¾$606), "", 'Data Entry'!$¾$606)</f>
      </c>
      <c r="DW606">
        <f>IF(ISBLANK('Data Entry'!$¿$606), "", 'Data Entry'!$¿$606)</f>
      </c>
      <c r="DX606">
        <f>IF(ISBLANK('Data Entry'!$À$606), "", 'Data Entry'!$À$606)</f>
      </c>
      <c r="DY606">
        <f>IF(ISBLANK('Data Entry'!$Á$606), "", 'Data Entry'!$Á$606)</f>
      </c>
      <c r="DZ606">
        <f>IF(ISBLANK('Data Entry'!$Â$606), "", 'Data Entry'!$Â$606)</f>
      </c>
      <c r="EA606">
        <f>IF(ISBLANK('Data Entry'!$Ã$606), "", 'Data Entry'!$Ã$606)</f>
      </c>
      <c r="EB606">
        <f>IF(ISBLANK('Data Entry'!$Ä$606), "", 'Data Entry'!$Ä$606)</f>
      </c>
      <c r="EC606">
        <f>IF(ISBLANK('Data Entry'!$Å$606), "", 'Data Entry'!$Å$606)</f>
      </c>
      <c r="ED606">
        <f>IF(ISBLANK('Data Entry'!$Æ$606), "", 'Data Entry'!$Æ$606)</f>
      </c>
      <c r="EE606">
        <f>IF(ISBLANK('Data Entry'!$Ç$606), "", 'Data Entry'!$Ç$606)</f>
      </c>
      <c r="EF606">
        <f>IF(ISBLANK('Data Entry'!$È$606), "", 'Data Entry'!$È$606)</f>
      </c>
      <c r="EG606">
        <f>IF(ISBLANK('Data Entry'!$É$606), "", 'Data Entry'!$É$606)</f>
      </c>
      <c r="EH606">
        <f>IF(ISBLANK('Data Entry'!$Ê$606), "", 'Data Entry'!$Ê$606)</f>
      </c>
      <c r="EI606">
        <f>IF(ISBLANK('Data Entry'!$Ë$606), "", 'Data Entry'!$Ë$606)</f>
      </c>
      <c r="EJ606">
        <f>IF(ISBLANK('Data Entry'!$Ì$606), "", 'Data Entry'!$Ì$606)</f>
      </c>
      <c r="EK606">
        <f>IF(ISBLANK('Data Entry'!$Í$606), "", 'Data Entry'!$Í$606)</f>
      </c>
      <c r="EL606">
        <f>IF(ISBLANK('Data Entry'!$Î$606), "", 'Data Entry'!$Î$606)</f>
      </c>
      <c r="EM606">
        <f>IF(ISBLANK('Data Entry'!$Ï$606), "", 'Data Entry'!$Ï$606)</f>
      </c>
      <c r="EN606">
        <f>IF(ISBLANK('Data Entry'!$Ð$606), "", 'Data Entry'!$Ð$606)</f>
      </c>
      <c r="EO606">
        <f>IF(ISBLANK('Data Entry'!$Ñ$606), "", 'Data Entry'!$Ñ$606)</f>
      </c>
      <c r="EP606">
        <f>IF(ISBLANK('Data Entry'!$Ò$606), "", 'Data Entry'!$Ò$606)</f>
      </c>
      <c r="EQ606">
        <f>IF(ISBLANK('Data Entry'!$Ó$606), "", 'Data Entry'!$Ó$606)</f>
      </c>
      <c r="ER606">
        <f>IF(ISBLANK('Data Entry'!$Ô$606), "", 'Data Entry'!$Ô$606)</f>
      </c>
      <c r="ES606">
        <f>IF(ISBLANK('Data Entry'!$Õ$606), "", 'Data Entry'!$Õ$606)</f>
      </c>
      <c r="ET606">
        <f>IF(ISBLANK('Data Entry'!$Ö$606), "", 'Data Entry'!$Ö$606)</f>
      </c>
      <c r="EU606">
        <f>IF(ISBLANK('Data Entry'!$×$606), "", 'Data Entry'!$×$606)</f>
      </c>
      <c r="EV606">
        <f>IF(ISBLANK('Data Entry'!$Ø$606), "", 'Data Entry'!$Ø$606)</f>
      </c>
      <c r="EW606">
        <f>IF(ISBLANK('Data Entry'!$Ù$606), "", 'Data Entry'!$Ù$606)</f>
      </c>
      <c r="EX606">
        <f>IF(ISBLANK('Data Entry'!$Ú$606), "", 'Data Entry'!$Ú$606)</f>
      </c>
      <c r="EY606">
        <f>IF(ISBLANK('Data Entry'!$Û$606), "", 'Data Entry'!$Û$606)</f>
      </c>
      <c r="EZ606">
        <f>IF(ISBLANK('Data Entry'!$Ü$606), "", 'Data Entry'!$Ü$606)</f>
      </c>
      <c r="FA606">
        <f>IF(ISBLANK('Data Entry'!$Ý$606), "", 'Data Entry'!$Ý$606)</f>
      </c>
      <c r="FB606">
        <f>IF(ISBLANK('Data Entry'!$Þ$606), "", 'Data Entry'!$Þ$606)</f>
      </c>
      <c r="FC606">
        <f>IF(ISBLANK('Data Entry'!$ß$606), "", 'Data Entry'!$ß$606)</f>
      </c>
      <c r="FD606">
        <f>IF(ISBLANK('Data Entry'!$à$606), "", 'Data Entry'!$à$606)</f>
      </c>
      <c r="FE606">
        <f>IF(ISBLANK('Data Entry'!$á$606), "", 'Data Entry'!$á$606)</f>
      </c>
      <c r="FF606">
        <f>IF(ISBLANK('Data Entry'!$â$606), "", 'Data Entry'!$â$606)</f>
      </c>
      <c r="FG606">
        <f>IF(ISBLANK('Data Entry'!$ã$606), "", 'Data Entry'!$ã$606)</f>
      </c>
      <c r="FH606">
        <f>IF(ISBLANK('Data Entry'!$ä$606), "", 'Data Entry'!$ä$606)</f>
      </c>
      <c r="FI606">
        <f>IF(ISBLANK('Data Entry'!$å$606), "", 'Data Entry'!$å$606)</f>
      </c>
      <c r="FJ606">
        <f>IF(ISBLANK('Data Entry'!$æ$606), "", 'Data Entry'!$æ$606)</f>
      </c>
      <c r="FK606">
        <f>IF(ISBLANK('Data Entry'!$ç$606), "", 'Data Entry'!$ç$606)</f>
      </c>
      <c r="FL606">
        <f>IF(ISBLANK('Data Entry'!$è$606), "", 'Data Entry'!$è$606)</f>
      </c>
      <c r="FM606">
        <f>IF(ISBLANK('Data Entry'!$é$606), "", 'Data Entry'!$é$606)</f>
      </c>
      <c r="FN606">
        <f>IF(ISBLANK('Data Entry'!$ê$606), "", 'Data Entry'!$ê$606)</f>
      </c>
      <c r="FO606">
        <f>IF(ISBLANK('Data Entry'!$ë$606), "", 'Data Entry'!$ë$606)</f>
      </c>
      <c r="FP606">
        <f>IF(ISBLANK('Data Entry'!$ì$606), "", 'Data Entry'!$ì$606)</f>
      </c>
      <c r="FQ606">
        <f>IF(ISBLANK('Data Entry'!$í$606), "", 'Data Entry'!$í$606)</f>
      </c>
      <c r="FR606">
        <f>IF(ISBLANK('Data Entry'!$î$606), "", 'Data Entry'!$î$606)</f>
      </c>
      <c r="FS606">
        <f>IF(ISBLANK('Data Entry'!$ï$606), "", 'Data Entry'!$ï$606)</f>
      </c>
      <c r="FT606">
        <f>IF(ISBLANK('Data Entry'!$ð$606), "", 'Data Entry'!$ð$606)</f>
      </c>
      <c r="FU606">
        <f>IF(ISBLANK('Data Entry'!$ñ$606), "", 'Data Entry'!$ñ$606)</f>
      </c>
      <c r="FV606">
        <f>IF(ISBLANK('Data Entry'!$ò$606), "", 'Data Entry'!$ò$606)</f>
      </c>
      <c r="FW606">
        <f>IF(ISBLANK('Data Entry'!$ó$606), "", 'Data Entry'!$ó$606)</f>
      </c>
      <c r="FX606">
        <f>IF(ISBLANK('Data Entry'!$ô$606), "", 'Data Entry'!$ô$606)</f>
      </c>
      <c r="FY606">
        <f>IF(ISBLANK('Data Entry'!$õ$606), "", 'Data Entry'!$õ$606)</f>
      </c>
      <c r="FZ606">
        <f>IF(ISBLANK('Data Entry'!$ö$606), "", 'Data Entry'!$ö$606)</f>
      </c>
      <c r="GA606">
        <f>IF(ISBLANK('Data Entry'!$÷$606), "", 'Data Entry'!$÷$606)</f>
      </c>
      <c r="GB606">
        <f>IF(ISBLANK('Data Entry'!$ø$606), "", 'Data Entry'!$ø$606)</f>
      </c>
      <c r="GC606">
        <f>IF(ISBLANK('Data Entry'!$ù$606), "", 'Data Entry'!$ù$606)</f>
      </c>
      <c r="GD606">
        <f>IF(ISBLANK('Data Entry'!$ú$606), "", 'Data Entry'!$ú$606)</f>
      </c>
      <c r="GE606">
        <f>IF(ISBLANK('Data Entry'!$û$606), "", 'Data Entry'!$û$606)</f>
      </c>
      <c r="GF606">
        <f>IF(ISBLANK('Data Entry'!$ü$606), "", 'Data Entry'!$ü$606)</f>
      </c>
      <c r="GG606">
        <f>IF(ISBLANK('Data Entry'!$ý$606), "", 'Data Entry'!$ý$606)</f>
      </c>
      <c r="GH606">
        <f>IF(ISBLANK('Data Entry'!$þ$606), "", 'Data Entry'!$þ$606)</f>
      </c>
      <c r="GI606">
        <f>IF(ISBLANK('Data Entry'!$ÿ$606), "", 'Data Entry'!$ÿ$606)</f>
      </c>
      <c r="GJ606">
        <f>IF(ISBLANK('Data Entry'!$Ā$606), "", 'Data Entry'!$Ā$606)</f>
      </c>
      <c r="GK606">
        <f>IF(ISBLANK('Data Entry'!$ā$606), "", 'Data Entry'!$ā$606)</f>
      </c>
      <c r="GL606">
        <f>IF(ISBLANK('Data Entry'!$Ă$606), "", 'Data Entry'!$Ă$606)</f>
      </c>
      <c r="GM606">
        <f>IF(ISBLANK('Data Entry'!$ă$606), "", 'Data Entry'!$ă$606)</f>
      </c>
      <c r="GN606">
        <f>IF(ISBLANK('Data Entry'!$Ą$606), "", 'Data Entry'!$Ą$606)</f>
      </c>
      <c r="GO606">
        <f>IF(ISBLANK('Data Entry'!$ą$606), "", 'Data Entry'!$ą$606)</f>
      </c>
      <c r="GP606">
        <f>IF(ISBLANK('Data Entry'!$Ć$606), "", 'Data Entry'!$Ć$606)</f>
      </c>
      <c r="GQ606">
        <f>IF(ISBLANK('Data Entry'!$ć$606), "", 'Data Entry'!$ć$606)</f>
      </c>
      <c r="GR606">
        <f>IF(ISBLANK('Data Entry'!$Ĉ$606), "", 'Data Entry'!$Ĉ$606)</f>
      </c>
      <c r="GS606">
        <f>IF(ISBLANK('Data Entry'!$ĉ$606), "", 'Data Entry'!$ĉ$606)</f>
      </c>
      <c r="GT606">
        <f>IF(ISBLANK('Data Entry'!$Ċ$606), "", 'Data Entry'!$Ċ$606)</f>
      </c>
      <c r="GU606">
        <f>IF(ISBLANK('Data Entry'!$ċ$606), "", 'Data Entry'!$ċ$606)</f>
      </c>
      <c r="GV606">
        <f>IF(ISBLANK('Data Entry'!$Č$606), "", 'Data Entry'!$Č$606)</f>
      </c>
      <c r="GW606">
        <f>IF(ISBLANK('Data Entry'!$č$606), "", 'Data Entry'!$č$606)</f>
      </c>
      <c r="GX606">
        <f>IF(ISBLANK('Data Entry'!$Ď$606), "", 'Data Entry'!$Ď$606)</f>
      </c>
      <c r="GY606">
        <f>IF(ISBLANK('Data Entry'!$ď$606), "", 'Data Entry'!$ď$606)</f>
      </c>
      <c r="GZ606">
        <f>IF(ISBLANK('Data Entry'!$Đ$606), "", 'Data Entry'!$Đ$606)</f>
      </c>
      <c r="HA606">
        <f>IF(ISBLANK('Data Entry'!$đ$606), "", 'Data Entry'!$đ$606)</f>
      </c>
      <c r="HB606">
        <f>IF(ISBLANK('Data Entry'!$Ē$606), "", 'Data Entry'!$Ē$606)</f>
      </c>
      <c r="HC606">
        <f>IF(ISBLANK('Data Entry'!$ē$606), "", 'Data Entry'!$ē$606)</f>
      </c>
      <c r="HD606">
        <f>IF(ISBLANK('Data Entry'!$Ĕ$606), "", 'Data Entry'!$Ĕ$606)</f>
      </c>
      <c r="HE606">
        <f>IF(ISBLANK('Data Entry'!$ĕ$606), "", 'Data Entry'!$ĕ$606)</f>
      </c>
      <c r="HF606">
        <f>IF(ISBLANK('Data Entry'!$Ė$606), "", 'Data Entry'!$Ė$606)</f>
      </c>
      <c r="HG606">
        <f>IF(ISBLANK('Data Entry'!$ė$606), "", 'Data Entry'!$ė$606)</f>
      </c>
      <c r="HH606">
        <f>IF(ISBLANK('Data Entry'!$Ę$606), "", 'Data Entry'!$Ę$606)</f>
      </c>
      <c r="HI606">
        <f>IF(ISBLANK('Data Entry'!$ę$606), "", 'Data Entry'!$ę$606)</f>
      </c>
      <c r="HJ606">
        <f>IF(ISBLANK('Data Entry'!$Ě$606), "", 'Data Entry'!$Ě$606)</f>
      </c>
      <c r="HK606">
        <f>IF(ISBLANK('Data Entry'!$ě$606), "", 'Data Entry'!$ě$606)</f>
      </c>
      <c r="HL606">
        <f>IF(ISBLANK('Data Entry'!$Ĝ$606), "", 'Data Entry'!$Ĝ$606)</f>
      </c>
      <c r="HM606">
        <f>IF(ISBLANK('Data Entry'!$ĝ$606), "", 'Data Entry'!$ĝ$606)</f>
      </c>
      <c r="HN606">
        <f>IF(ISBLANK('Data Entry'!$Ğ$606), "", 'Data Entry'!$Ğ$606)</f>
      </c>
      <c r="HO606">
        <f>IF(ISBLANK('Data Entry'!$ğ$606), "", 'Data Entry'!$ğ$606)</f>
      </c>
      <c r="HP606">
        <f>IF(ISBLANK('Data Entry'!$Ġ$606), "", 'Data Entry'!$Ġ$606)</f>
      </c>
      <c r="HQ606">
        <f>IF(ISBLANK('Data Entry'!$ġ$606), "", 'Data Entry'!$ġ$606)</f>
      </c>
      <c r="HR606">
        <f>IF(ISBLANK('Data Entry'!$Ģ$606), "", 'Data Entry'!$Ģ$606)</f>
      </c>
      <c r="HS606">
        <f>IF(ISBLANK('Data Entry'!$ģ$606), "", 'Data Entry'!$ģ$606)</f>
      </c>
      <c r="HT606">
        <f>IF(ISBLANK('Data Entry'!$Ĥ$606), "", 'Data Entry'!$Ĥ$606)</f>
      </c>
      <c r="HU606">
        <f>IF(ISBLANK('Data Entry'!$ĥ$606), "", 'Data Entry'!$ĥ$606)</f>
      </c>
      <c r="HV606">
        <f>IF(ISBLANK('Data Entry'!$Ħ$606), "", 'Data Entry'!$Ħ$606)</f>
      </c>
      <c r="HW606">
        <f>IF(ISBLANK('Data Entry'!$ħ$606), "", 'Data Entry'!$ħ$606)</f>
      </c>
      <c r="HX606">
        <f>IF(ISBLANK('Data Entry'!$Ĩ$606), "", 'Data Entry'!$Ĩ$606)</f>
      </c>
      <c r="HY606">
        <f>IF(ISBLANK('Data Entry'!$ĩ$606), "", 'Data Entry'!$ĩ$606)</f>
      </c>
      <c r="HZ606">
        <f>IF(ISBLANK('Data Entry'!$Ī$606), "", 'Data Entry'!$Ī$606)</f>
      </c>
      <c r="IA606">
        <f>IF(ISBLANK('Data Entry'!$ī$606), "", 'Data Entry'!$ī$606)</f>
      </c>
      <c r="IB606">
        <f>IF(ISBLANK('Data Entry'!$Ĭ$606), "", 'Data Entry'!$Ĭ$606)</f>
      </c>
      <c r="IC606">
        <f>IF(ISBLANK('Data Entry'!$ĭ$606), "", 'Data Entry'!$ĭ$606)</f>
      </c>
      <c r="ID606">
        <f>IF(ISBLANK('Data Entry'!$Į$606), "", 'Data Entry'!$Į$606)</f>
      </c>
      <c r="IE606">
        <f>IF(ISBLANK('Data Entry'!$į$606), "", 'Data Entry'!$į$606)</f>
      </c>
      <c r="IF606">
        <f>IF(ISBLANK('Data Entry'!$İ$606), "", 'Data Entry'!$İ$606)</f>
      </c>
      <c r="IG606">
        <f>IF(ISBLANK('Data Entry'!$ı$606), "", 'Data Entry'!$ı$606)</f>
      </c>
      <c r="IH606">
        <f>IF(ISBLANK('Data Entry'!$Ĳ$606), "", 'Data Entry'!$Ĳ$606)</f>
      </c>
      <c r="II606">
        <f>IF(ISBLANK('Data Entry'!$ĳ$606), "", 'Data Entry'!$ĳ$606)</f>
      </c>
      <c r="IJ606">
        <f>IF(ISBLANK('Data Entry'!$Ĵ$606), "", 'Data Entry'!$Ĵ$606)</f>
      </c>
      <c r="IK606">
        <f>IF(ISBLANK('Data Entry'!$ĵ$606), "", 'Data Entry'!$ĵ$606)</f>
      </c>
      <c r="IL606">
        <f>IF(ISBLANK('Data Entry'!$Ķ$606), "", 'Data Entry'!$Ķ$606)</f>
      </c>
      <c r="IM606">
        <f>IF(ISBLANK('Data Entry'!$ķ$606), "", 'Data Entry'!$ķ$606)</f>
      </c>
      <c r="IN606">
        <f>IF(ISBLANK('Data Entry'!$ĸ$606), "", 'Data Entry'!$ĸ$606)</f>
      </c>
      <c r="IO606">
        <f>IF(ISBLANK('Data Entry'!$Ĺ$606), "", 'Data Entry'!$Ĺ$606)</f>
      </c>
      <c r="IP606">
        <f>IF(ISBLANK('Data Entry'!$ĺ$606), "", 'Data Entry'!$ĺ$606)</f>
      </c>
      <c r="IQ606">
        <f>IF(ISBLANK('Data Entry'!$Ļ$606), "", 'Data Entry'!$Ļ$606)</f>
      </c>
      <c r="IR606">
        <f>IF(ISBLANK('Data Entry'!$ļ$606), "", 'Data Entry'!$ļ$606)</f>
      </c>
      <c r="IS606">
        <f>IF(ISBLANK('Data Entry'!$Ľ$606), "", 'Data Entry'!$Ľ$606)</f>
      </c>
      <c r="IT606">
        <f>IF(ISBLANK('Data Entry'!$ľ$606), "", 'Data Entry'!$ľ$606)</f>
      </c>
    </row>
    <row r="607" spans="1:254" x14ac:dyDescent="0.25">
      <c r="A607">
        <f>IF(ISBLANK('Data Entry'!$A$607), "", 'Data Entry'!$A$607)</f>
      </c>
      <c r="B607">
        <f>IF(ISBLANK('Data Entry'!$B$607), "", 'Data Entry'!$B$607)</f>
      </c>
      <c r="C607">
        <f>IF(ISBLANK('Data Entry'!$C$607), "", 'Data Entry'!$C$607)</f>
      </c>
      <c r="D607">
        <f>IF(ISBLANK('Data Entry'!$D$607), "", 'Data Entry'!$D$607)</f>
      </c>
      <c r="E607">
        <f>IF(ISBLANK('Data Entry'!$E$607), "", 'Data Entry'!$E$607)</f>
      </c>
      <c r="F607">
        <f>IF(ISBLANK('Data Entry'!$F$607), "", 'Data Entry'!$F$607)</f>
      </c>
      <c r="G607">
        <f>IF(ISBLANK('Data Entry'!$G$607), "", 'Data Entry'!$G$607)</f>
      </c>
      <c r="H607">
        <f>IF(ISBLANK('Data Entry'!$H$607), "", 'Data Entry'!$H$607)</f>
      </c>
      <c r="I607">
        <f>IF(ISBLANK('Data Entry'!$I$607), "", 'Data Entry'!$I$607)</f>
      </c>
      <c r="J607">
        <f>IF(ISBLANK('Data Entry'!$J$607), "", 'Data Entry'!$J$607)</f>
      </c>
      <c r="K607">
        <f>IF(ISBLANK('Data Entry'!$K$607), "", 'Data Entry'!$K$607)</f>
      </c>
      <c r="L607">
        <f>IF(ISBLANK('Data Entry'!$L$607), "", 'Data Entry'!$L$607)</f>
      </c>
      <c r="M607">
        <f>IF(ISBLANK('Data Entry'!$M$607), "", 'Data Entry'!$M$607)</f>
      </c>
      <c r="N607">
        <f>IF(ISBLANK('Data Entry'!$N$607), "", 'Data Entry'!$N$607)</f>
      </c>
      <c r="O607">
        <f>IF(ISBLANK('Data Entry'!$O$607), "", 'Data Entry'!$O$607)</f>
      </c>
      <c r="P607">
        <f>IF(ISBLANK('Data Entry'!$P$607), "", 'Data Entry'!$P$607)</f>
      </c>
      <c r="Q607">
        <f>IF(ISBLANK('Data Entry'!$Q$607), "", 'Data Entry'!$Q$607)</f>
      </c>
      <c r="R607">
        <f>IF(ISBLANK('Data Entry'!$R$607), "", 'Data Entry'!$R$607)</f>
      </c>
      <c r="S607">
        <f>IF(ISBLANK('Data Entry'!$S$607), "", 'Data Entry'!$S$607)</f>
      </c>
      <c r="T607">
        <f>IF(ISBLANK('Data Entry'!$T$607), "", 'Data Entry'!$T$607)</f>
      </c>
      <c r="U607">
        <f>IF(ISBLANK('Data Entry'!$U$607), "", 'Data Entry'!$U$607)</f>
      </c>
      <c r="V607">
        <f>IF(ISBLANK('Data Entry'!$V$607), "", 'Data Entry'!$V$607)</f>
      </c>
      <c r="W607">
        <f>IF(ISBLANK('Data Entry'!$W$607), "", 'Data Entry'!$W$607)</f>
      </c>
      <c r="X607">
        <f>IF(ISBLANK('Data Entry'!$X$607), "", 'Data Entry'!$X$607)</f>
      </c>
      <c r="Y607">
        <f>IF(ISBLANK('Data Entry'!$Y$607), "", 'Data Entry'!$Y$607)</f>
      </c>
      <c r="Z607">
        <f>IF(ISBLANK('Data Entry'!$Z$607), "", 'Data Entry'!$Z$607)</f>
      </c>
      <c r="AA607">
        <f>IF(ISBLANK('Data Entry'!$[$607), "", 'Data Entry'!$[$607)</f>
      </c>
      <c r="AB607">
        <f>IF(ISBLANK('Data Entry'!$\$607), "", 'Data Entry'!$\$607)</f>
      </c>
      <c r="AC607">
        <f>IF(ISBLANK('Data Entry'!$]$607), "", 'Data Entry'!$]$607)</f>
      </c>
      <c r="AD607">
        <f>IF(ISBLANK('Data Entry'!$^$607), "", 'Data Entry'!$^$607)</f>
      </c>
      <c r="AE607">
        <f>IF(ISBLANK('Data Entry'!$_$607), "", 'Data Entry'!$_$607)</f>
      </c>
      <c r="AF607">
        <f>IF(ISBLANK('Data Entry'!$`$607), "", 'Data Entry'!$`$607)</f>
      </c>
      <c r="AG607">
        <f>IF(ISBLANK('Data Entry'!$a$607), "", 'Data Entry'!$a$607)</f>
      </c>
      <c r="AH607">
        <f>IF(ISBLANK('Data Entry'!$b$607), "", 'Data Entry'!$b$607)</f>
      </c>
      <c r="AI607">
        <f>IF(ISBLANK('Data Entry'!$c$607), "", 'Data Entry'!$c$607)</f>
      </c>
      <c r="AJ607">
        <f>IF(ISBLANK('Data Entry'!$d$607), "", 'Data Entry'!$d$607)</f>
      </c>
      <c r="AK607">
        <f>IF(ISBLANK('Data Entry'!$e$607), "", 'Data Entry'!$e$607)</f>
      </c>
      <c r="AL607">
        <f>IF(ISBLANK('Data Entry'!$f$607), "", 'Data Entry'!$f$607)</f>
      </c>
      <c r="AM607">
        <f>IF(ISBLANK('Data Entry'!$g$607), "", 'Data Entry'!$g$607)</f>
      </c>
      <c r="AN607">
        <f>IF(ISBLANK('Data Entry'!$h$607), "", 'Data Entry'!$h$607)</f>
      </c>
      <c r="AO607">
        <f>IF(ISBLANK('Data Entry'!$i$607), "", 'Data Entry'!$i$607)</f>
      </c>
      <c r="AP607">
        <f>IF(ISBLANK('Data Entry'!$j$607), "", 'Data Entry'!$j$607)</f>
      </c>
      <c r="AQ607">
        <f>IF(ISBLANK('Data Entry'!$k$607), "", 'Data Entry'!$k$607)</f>
      </c>
      <c r="AR607">
        <f>IF(ISBLANK('Data Entry'!$l$607), "", 'Data Entry'!$l$607)</f>
      </c>
      <c r="AS607">
        <f>IF(ISBLANK('Data Entry'!$m$607), "", 'Data Entry'!$m$607)</f>
      </c>
      <c r="AT607">
        <f>IF(ISBLANK('Data Entry'!$n$607), "", 'Data Entry'!$n$607)</f>
      </c>
      <c r="AU607">
        <f>IF(ISBLANK('Data Entry'!$o$607), "", 'Data Entry'!$o$607)</f>
      </c>
      <c r="AV607">
        <f>IF(ISBLANK('Data Entry'!$p$607), "", 'Data Entry'!$p$607)</f>
      </c>
      <c r="AW607">
        <f>IF(ISBLANK('Data Entry'!$q$607), "", 'Data Entry'!$q$607)</f>
      </c>
      <c r="AX607">
        <f>IF(ISBLANK('Data Entry'!$r$607), "", 'Data Entry'!$r$607)</f>
      </c>
      <c r="AY607">
        <f>IF(ISBLANK('Data Entry'!$s$607), "", 'Data Entry'!$s$607)</f>
      </c>
      <c r="AZ607">
        <f>IF(ISBLANK('Data Entry'!$t$607), "", 'Data Entry'!$t$607)</f>
      </c>
      <c r="BA607">
        <f>IF(ISBLANK('Data Entry'!$u$607), "", 'Data Entry'!$u$607)</f>
      </c>
      <c r="BB607">
        <f>IF(ISBLANK('Data Entry'!$v$607), "", 'Data Entry'!$v$607)</f>
      </c>
      <c r="BC607">
        <f>IF(ISBLANK('Data Entry'!$w$607), "", 'Data Entry'!$w$607)</f>
      </c>
      <c r="BD607">
        <f>IF(ISBLANK('Data Entry'!$x$607), "", 'Data Entry'!$x$607)</f>
      </c>
      <c r="BE607">
        <f>IF(ISBLANK('Data Entry'!$y$607), "", 'Data Entry'!$y$607)</f>
      </c>
      <c r="BF607">
        <f>IF(ISBLANK('Data Entry'!$z$607), "", 'Data Entry'!$z$607)</f>
      </c>
      <c r="BG607">
        <f>IF(ISBLANK('Data Entry'!${$607), "", 'Data Entry'!${$607)</f>
      </c>
      <c r="BH607">
        <f>IF(ISBLANK('Data Entry'!$|$607), "", 'Data Entry'!$|$607)</f>
      </c>
      <c r="BI607">
        <f>IF(ISBLANK('Data Entry'!$}$607), "", 'Data Entry'!$}$607)</f>
      </c>
      <c r="BJ607">
        <f>IF(ISBLANK('Data Entry'!$~$607), "", 'Data Entry'!$~$607)</f>
      </c>
      <c r="BK607">
        <f>IF(ISBLANK('Data Entry'!$$607), "", 'Data Entry'!$$607)</f>
      </c>
      <c r="BL607">
        <f>IF(ISBLANK('Data Entry'!$$607), "", 'Data Entry'!$$607)</f>
      </c>
      <c r="BM607">
        <f>IF(ISBLANK('Data Entry'!$$607), "", 'Data Entry'!$$607)</f>
      </c>
      <c r="BN607">
        <f>IF(ISBLANK('Data Entry'!$$607), "", 'Data Entry'!$$607)</f>
      </c>
      <c r="BO607">
        <f>IF(ISBLANK('Data Entry'!$$607), "", 'Data Entry'!$$607)</f>
      </c>
      <c r="BP607">
        <f>IF(ISBLANK('Data Entry'!$$607), "", 'Data Entry'!$$607)</f>
      </c>
      <c r="BQ607">
        <f>IF(ISBLANK('Data Entry'!$$607), "", 'Data Entry'!$$607)</f>
      </c>
      <c r="BR607">
        <f>IF(ISBLANK('Data Entry'!$$607), "", 'Data Entry'!$$607)</f>
      </c>
      <c r="BS607">
        <f>IF(ISBLANK('Data Entry'!$$607), "", 'Data Entry'!$$607)</f>
      </c>
      <c r="BT607">
        <f>IF(ISBLANK('Data Entry'!$$607), "", 'Data Entry'!$$607)</f>
      </c>
      <c r="BU607">
        <f>IF(ISBLANK('Data Entry'!$$607), "", 'Data Entry'!$$607)</f>
      </c>
      <c r="BV607">
        <f>IF(ISBLANK('Data Entry'!$$607), "", 'Data Entry'!$$607)</f>
      </c>
      <c r="BW607">
        <f>IF(ISBLANK('Data Entry'!$$607), "", 'Data Entry'!$$607)</f>
      </c>
      <c r="BX607">
        <f>IF(ISBLANK('Data Entry'!$$607), "", 'Data Entry'!$$607)</f>
      </c>
      <c r="BY607">
        <f>IF(ISBLANK('Data Entry'!$$607), "", 'Data Entry'!$$607)</f>
      </c>
      <c r="BZ607">
        <f>IF(ISBLANK('Data Entry'!$$607), "", 'Data Entry'!$$607)</f>
      </c>
      <c r="CA607">
        <f>IF(ISBLANK('Data Entry'!$$607), "", 'Data Entry'!$$607)</f>
      </c>
      <c r="CB607">
        <f>IF(ISBLANK('Data Entry'!$$607), "", 'Data Entry'!$$607)</f>
      </c>
      <c r="CC607">
        <f>IF(ISBLANK('Data Entry'!$$607), "", 'Data Entry'!$$607)</f>
      </c>
      <c r="CD607">
        <f>IF(ISBLANK('Data Entry'!$$607), "", 'Data Entry'!$$607)</f>
      </c>
      <c r="CE607">
        <f>IF(ISBLANK('Data Entry'!$$607), "", 'Data Entry'!$$607)</f>
      </c>
      <c r="CF607">
        <f>IF(ISBLANK('Data Entry'!$$607), "", 'Data Entry'!$$607)</f>
      </c>
      <c r="CG607">
        <f>IF(ISBLANK('Data Entry'!$$607), "", 'Data Entry'!$$607)</f>
      </c>
      <c r="CH607">
        <f>IF(ISBLANK('Data Entry'!$$607), "", 'Data Entry'!$$607)</f>
      </c>
      <c r="CI607">
        <f>IF(ISBLANK('Data Entry'!$$607), "", 'Data Entry'!$$607)</f>
      </c>
      <c r="CJ607">
        <f>IF(ISBLANK('Data Entry'!$$607), "", 'Data Entry'!$$607)</f>
      </c>
      <c r="CK607">
        <f>IF(ISBLANK('Data Entry'!$$607), "", 'Data Entry'!$$607)</f>
      </c>
      <c r="CL607">
        <f>IF(ISBLANK('Data Entry'!$$607), "", 'Data Entry'!$$607)</f>
      </c>
      <c r="CM607">
        <f>IF(ISBLANK('Data Entry'!$$607), "", 'Data Entry'!$$607)</f>
      </c>
      <c r="CN607">
        <f>IF(ISBLANK('Data Entry'!$$607), "", 'Data Entry'!$$607)</f>
      </c>
      <c r="CO607">
        <f>IF(ISBLANK('Data Entry'!$$607), "", 'Data Entry'!$$607)</f>
      </c>
      <c r="CP607">
        <f>IF(ISBLANK('Data Entry'!$$607), "", 'Data Entry'!$$607)</f>
      </c>
      <c r="CQ607">
        <f>IF(ISBLANK('Data Entry'!$$607), "", 'Data Entry'!$$607)</f>
      </c>
      <c r="CR607">
        <f>IF(ISBLANK('Data Entry'!$ $607), "", 'Data Entry'!$ $607)</f>
      </c>
      <c r="CS607">
        <f>IF(ISBLANK('Data Entry'!$¡$607), "", 'Data Entry'!$¡$607)</f>
      </c>
      <c r="CT607">
        <f>IF(ISBLANK('Data Entry'!$¢$607), "", 'Data Entry'!$¢$607)</f>
      </c>
      <c r="CU607">
        <f>IF(ISBLANK('Data Entry'!$£$607), "", 'Data Entry'!$£$607)</f>
      </c>
      <c r="CV607">
        <f>IF(ISBLANK('Data Entry'!$¤$607), "", 'Data Entry'!$¤$607)</f>
      </c>
      <c r="CW607">
        <f>IF(ISBLANK('Data Entry'!$¥$607), "", 'Data Entry'!$¥$607)</f>
      </c>
      <c r="CX607">
        <f>IF(ISBLANK('Data Entry'!$¦$607), "", 'Data Entry'!$¦$607)</f>
      </c>
      <c r="CY607">
        <f>IF(ISBLANK('Data Entry'!$§$607), "", 'Data Entry'!$§$607)</f>
      </c>
      <c r="CZ607">
        <f>IF(ISBLANK('Data Entry'!$¨$607), "", 'Data Entry'!$¨$607)</f>
      </c>
      <c r="DA607">
        <f>IF(ISBLANK('Data Entry'!$©$607), "", 'Data Entry'!$©$607)</f>
      </c>
      <c r="DB607">
        <f>IF(ISBLANK('Data Entry'!$ª$607), "", 'Data Entry'!$ª$607)</f>
      </c>
      <c r="DC607">
        <f>IF(ISBLANK('Data Entry'!$«$607), "", 'Data Entry'!$«$607)</f>
      </c>
      <c r="DD607">
        <f>IF(ISBLANK('Data Entry'!$¬$607), "", 'Data Entry'!$¬$607)</f>
      </c>
      <c r="DE607">
        <f>IF(ISBLANK('Data Entry'!$­$607), "", 'Data Entry'!$­$607)</f>
      </c>
      <c r="DF607">
        <f>IF(ISBLANK('Data Entry'!$®$607), "", 'Data Entry'!$®$607)</f>
      </c>
      <c r="DG607">
        <f>IF(ISBLANK('Data Entry'!$¯$607), "", 'Data Entry'!$¯$607)</f>
      </c>
      <c r="DH607">
        <f>IF(ISBLANK('Data Entry'!$°$607), "", 'Data Entry'!$°$607)</f>
      </c>
      <c r="DI607">
        <f>IF(ISBLANK('Data Entry'!$±$607), "", 'Data Entry'!$±$607)</f>
      </c>
      <c r="DJ607">
        <f>IF(ISBLANK('Data Entry'!$²$607), "", 'Data Entry'!$²$607)</f>
      </c>
      <c r="DK607">
        <f>IF(ISBLANK('Data Entry'!$³$607), "", 'Data Entry'!$³$607)</f>
      </c>
      <c r="DL607">
        <f>IF(ISBLANK('Data Entry'!$´$607), "", 'Data Entry'!$´$607)</f>
      </c>
      <c r="DM607">
        <f>IF(ISBLANK('Data Entry'!$µ$607), "", 'Data Entry'!$µ$607)</f>
      </c>
      <c r="DN607">
        <f>IF(ISBLANK('Data Entry'!$¶$607), "", 'Data Entry'!$¶$607)</f>
      </c>
      <c r="DO607">
        <f>IF(ISBLANK('Data Entry'!$·$607), "", 'Data Entry'!$·$607)</f>
      </c>
      <c r="DP607">
        <f>IF(ISBLANK('Data Entry'!$¸$607), "", 'Data Entry'!$¸$607)</f>
      </c>
      <c r="DQ607">
        <f>IF(ISBLANK('Data Entry'!$¹$607), "", 'Data Entry'!$¹$607)</f>
      </c>
      <c r="DR607">
        <f>IF(ISBLANK('Data Entry'!$º$607), "", 'Data Entry'!$º$607)</f>
      </c>
      <c r="DS607">
        <f>IF(ISBLANK('Data Entry'!$»$607), "", 'Data Entry'!$»$607)</f>
      </c>
      <c r="DT607">
        <f>IF(ISBLANK('Data Entry'!$¼$607), "", 'Data Entry'!$¼$607)</f>
      </c>
      <c r="DU607">
        <f>IF(ISBLANK('Data Entry'!$½$607), "", 'Data Entry'!$½$607)</f>
      </c>
      <c r="DV607">
        <f>IF(ISBLANK('Data Entry'!$¾$607), "", 'Data Entry'!$¾$607)</f>
      </c>
      <c r="DW607">
        <f>IF(ISBLANK('Data Entry'!$¿$607), "", 'Data Entry'!$¿$607)</f>
      </c>
      <c r="DX607">
        <f>IF(ISBLANK('Data Entry'!$À$607), "", 'Data Entry'!$À$607)</f>
      </c>
      <c r="DY607">
        <f>IF(ISBLANK('Data Entry'!$Á$607), "", 'Data Entry'!$Á$607)</f>
      </c>
      <c r="DZ607">
        <f>IF(ISBLANK('Data Entry'!$Â$607), "", 'Data Entry'!$Â$607)</f>
      </c>
      <c r="EA607">
        <f>IF(ISBLANK('Data Entry'!$Ã$607), "", 'Data Entry'!$Ã$607)</f>
      </c>
      <c r="EB607">
        <f>IF(ISBLANK('Data Entry'!$Ä$607), "", 'Data Entry'!$Ä$607)</f>
      </c>
      <c r="EC607">
        <f>IF(ISBLANK('Data Entry'!$Å$607), "", 'Data Entry'!$Å$607)</f>
      </c>
      <c r="ED607">
        <f>IF(ISBLANK('Data Entry'!$Æ$607), "", 'Data Entry'!$Æ$607)</f>
      </c>
      <c r="EE607">
        <f>IF(ISBLANK('Data Entry'!$Ç$607), "", 'Data Entry'!$Ç$607)</f>
      </c>
      <c r="EF607">
        <f>IF(ISBLANK('Data Entry'!$È$607), "", 'Data Entry'!$È$607)</f>
      </c>
      <c r="EG607">
        <f>IF(ISBLANK('Data Entry'!$É$607), "", 'Data Entry'!$É$607)</f>
      </c>
      <c r="EH607">
        <f>IF(ISBLANK('Data Entry'!$Ê$607), "", 'Data Entry'!$Ê$607)</f>
      </c>
      <c r="EI607">
        <f>IF(ISBLANK('Data Entry'!$Ë$607), "", 'Data Entry'!$Ë$607)</f>
      </c>
      <c r="EJ607">
        <f>IF(ISBLANK('Data Entry'!$Ì$607), "", 'Data Entry'!$Ì$607)</f>
      </c>
      <c r="EK607">
        <f>IF(ISBLANK('Data Entry'!$Í$607), "", 'Data Entry'!$Í$607)</f>
      </c>
      <c r="EL607">
        <f>IF(ISBLANK('Data Entry'!$Î$607), "", 'Data Entry'!$Î$607)</f>
      </c>
      <c r="EM607">
        <f>IF(ISBLANK('Data Entry'!$Ï$607), "", 'Data Entry'!$Ï$607)</f>
      </c>
      <c r="EN607">
        <f>IF(ISBLANK('Data Entry'!$Ð$607), "", 'Data Entry'!$Ð$607)</f>
      </c>
      <c r="EO607">
        <f>IF(ISBLANK('Data Entry'!$Ñ$607), "", 'Data Entry'!$Ñ$607)</f>
      </c>
      <c r="EP607">
        <f>IF(ISBLANK('Data Entry'!$Ò$607), "", 'Data Entry'!$Ò$607)</f>
      </c>
      <c r="EQ607">
        <f>IF(ISBLANK('Data Entry'!$Ó$607), "", 'Data Entry'!$Ó$607)</f>
      </c>
      <c r="ER607">
        <f>IF(ISBLANK('Data Entry'!$Ô$607), "", 'Data Entry'!$Ô$607)</f>
      </c>
      <c r="ES607">
        <f>IF(ISBLANK('Data Entry'!$Õ$607), "", 'Data Entry'!$Õ$607)</f>
      </c>
      <c r="ET607">
        <f>IF(ISBLANK('Data Entry'!$Ö$607), "", 'Data Entry'!$Ö$607)</f>
      </c>
      <c r="EU607">
        <f>IF(ISBLANK('Data Entry'!$×$607), "", 'Data Entry'!$×$607)</f>
      </c>
      <c r="EV607">
        <f>IF(ISBLANK('Data Entry'!$Ø$607), "", 'Data Entry'!$Ø$607)</f>
      </c>
      <c r="EW607">
        <f>IF(ISBLANK('Data Entry'!$Ù$607), "", 'Data Entry'!$Ù$607)</f>
      </c>
      <c r="EX607">
        <f>IF(ISBLANK('Data Entry'!$Ú$607), "", 'Data Entry'!$Ú$607)</f>
      </c>
      <c r="EY607">
        <f>IF(ISBLANK('Data Entry'!$Û$607), "", 'Data Entry'!$Û$607)</f>
      </c>
      <c r="EZ607">
        <f>IF(ISBLANK('Data Entry'!$Ü$607), "", 'Data Entry'!$Ü$607)</f>
      </c>
      <c r="FA607">
        <f>IF(ISBLANK('Data Entry'!$Ý$607), "", 'Data Entry'!$Ý$607)</f>
      </c>
      <c r="FB607">
        <f>IF(ISBLANK('Data Entry'!$Þ$607), "", 'Data Entry'!$Þ$607)</f>
      </c>
      <c r="FC607">
        <f>IF(ISBLANK('Data Entry'!$ß$607), "", 'Data Entry'!$ß$607)</f>
      </c>
      <c r="FD607">
        <f>IF(ISBLANK('Data Entry'!$à$607), "", 'Data Entry'!$à$607)</f>
      </c>
      <c r="FE607">
        <f>IF(ISBLANK('Data Entry'!$á$607), "", 'Data Entry'!$á$607)</f>
      </c>
      <c r="FF607">
        <f>IF(ISBLANK('Data Entry'!$â$607), "", 'Data Entry'!$â$607)</f>
      </c>
      <c r="FG607">
        <f>IF(ISBLANK('Data Entry'!$ã$607), "", 'Data Entry'!$ã$607)</f>
      </c>
      <c r="FH607">
        <f>IF(ISBLANK('Data Entry'!$ä$607), "", 'Data Entry'!$ä$607)</f>
      </c>
      <c r="FI607">
        <f>IF(ISBLANK('Data Entry'!$å$607), "", 'Data Entry'!$å$607)</f>
      </c>
      <c r="FJ607">
        <f>IF(ISBLANK('Data Entry'!$æ$607), "", 'Data Entry'!$æ$607)</f>
      </c>
      <c r="FK607">
        <f>IF(ISBLANK('Data Entry'!$ç$607), "", 'Data Entry'!$ç$607)</f>
      </c>
      <c r="FL607">
        <f>IF(ISBLANK('Data Entry'!$è$607), "", 'Data Entry'!$è$607)</f>
      </c>
      <c r="FM607">
        <f>IF(ISBLANK('Data Entry'!$é$607), "", 'Data Entry'!$é$607)</f>
      </c>
      <c r="FN607">
        <f>IF(ISBLANK('Data Entry'!$ê$607), "", 'Data Entry'!$ê$607)</f>
      </c>
      <c r="FO607">
        <f>IF(ISBLANK('Data Entry'!$ë$607), "", 'Data Entry'!$ë$607)</f>
      </c>
      <c r="FP607">
        <f>IF(ISBLANK('Data Entry'!$ì$607), "", 'Data Entry'!$ì$607)</f>
      </c>
      <c r="FQ607">
        <f>IF(ISBLANK('Data Entry'!$í$607), "", 'Data Entry'!$í$607)</f>
      </c>
      <c r="FR607">
        <f>IF(ISBLANK('Data Entry'!$î$607), "", 'Data Entry'!$î$607)</f>
      </c>
      <c r="FS607">
        <f>IF(ISBLANK('Data Entry'!$ï$607), "", 'Data Entry'!$ï$607)</f>
      </c>
      <c r="FT607">
        <f>IF(ISBLANK('Data Entry'!$ð$607), "", 'Data Entry'!$ð$607)</f>
      </c>
      <c r="FU607">
        <f>IF(ISBLANK('Data Entry'!$ñ$607), "", 'Data Entry'!$ñ$607)</f>
      </c>
      <c r="FV607">
        <f>IF(ISBLANK('Data Entry'!$ò$607), "", 'Data Entry'!$ò$607)</f>
      </c>
      <c r="FW607">
        <f>IF(ISBLANK('Data Entry'!$ó$607), "", 'Data Entry'!$ó$607)</f>
      </c>
      <c r="FX607">
        <f>IF(ISBLANK('Data Entry'!$ô$607), "", 'Data Entry'!$ô$607)</f>
      </c>
      <c r="FY607">
        <f>IF(ISBLANK('Data Entry'!$õ$607), "", 'Data Entry'!$õ$607)</f>
      </c>
      <c r="FZ607">
        <f>IF(ISBLANK('Data Entry'!$ö$607), "", 'Data Entry'!$ö$607)</f>
      </c>
      <c r="GA607">
        <f>IF(ISBLANK('Data Entry'!$÷$607), "", 'Data Entry'!$÷$607)</f>
      </c>
      <c r="GB607">
        <f>IF(ISBLANK('Data Entry'!$ø$607), "", 'Data Entry'!$ø$607)</f>
      </c>
      <c r="GC607">
        <f>IF(ISBLANK('Data Entry'!$ù$607), "", 'Data Entry'!$ù$607)</f>
      </c>
      <c r="GD607">
        <f>IF(ISBLANK('Data Entry'!$ú$607), "", 'Data Entry'!$ú$607)</f>
      </c>
      <c r="GE607">
        <f>IF(ISBLANK('Data Entry'!$û$607), "", 'Data Entry'!$û$607)</f>
      </c>
      <c r="GF607">
        <f>IF(ISBLANK('Data Entry'!$ü$607), "", 'Data Entry'!$ü$607)</f>
      </c>
      <c r="GG607">
        <f>IF(ISBLANK('Data Entry'!$ý$607), "", 'Data Entry'!$ý$607)</f>
      </c>
      <c r="GH607">
        <f>IF(ISBLANK('Data Entry'!$þ$607), "", 'Data Entry'!$þ$607)</f>
      </c>
      <c r="GI607">
        <f>IF(ISBLANK('Data Entry'!$ÿ$607), "", 'Data Entry'!$ÿ$607)</f>
      </c>
      <c r="GJ607">
        <f>IF(ISBLANK('Data Entry'!$Ā$607), "", 'Data Entry'!$Ā$607)</f>
      </c>
      <c r="GK607">
        <f>IF(ISBLANK('Data Entry'!$ā$607), "", 'Data Entry'!$ā$607)</f>
      </c>
      <c r="GL607">
        <f>IF(ISBLANK('Data Entry'!$Ă$607), "", 'Data Entry'!$Ă$607)</f>
      </c>
      <c r="GM607">
        <f>IF(ISBLANK('Data Entry'!$ă$607), "", 'Data Entry'!$ă$607)</f>
      </c>
      <c r="GN607">
        <f>IF(ISBLANK('Data Entry'!$Ą$607), "", 'Data Entry'!$Ą$607)</f>
      </c>
      <c r="GO607">
        <f>IF(ISBLANK('Data Entry'!$ą$607), "", 'Data Entry'!$ą$607)</f>
      </c>
      <c r="GP607">
        <f>IF(ISBLANK('Data Entry'!$Ć$607), "", 'Data Entry'!$Ć$607)</f>
      </c>
      <c r="GQ607">
        <f>IF(ISBLANK('Data Entry'!$ć$607), "", 'Data Entry'!$ć$607)</f>
      </c>
      <c r="GR607">
        <f>IF(ISBLANK('Data Entry'!$Ĉ$607), "", 'Data Entry'!$Ĉ$607)</f>
      </c>
      <c r="GS607">
        <f>IF(ISBLANK('Data Entry'!$ĉ$607), "", 'Data Entry'!$ĉ$607)</f>
      </c>
      <c r="GT607">
        <f>IF(ISBLANK('Data Entry'!$Ċ$607), "", 'Data Entry'!$Ċ$607)</f>
      </c>
      <c r="GU607">
        <f>IF(ISBLANK('Data Entry'!$ċ$607), "", 'Data Entry'!$ċ$607)</f>
      </c>
      <c r="GV607">
        <f>IF(ISBLANK('Data Entry'!$Č$607), "", 'Data Entry'!$Č$607)</f>
      </c>
      <c r="GW607">
        <f>IF(ISBLANK('Data Entry'!$č$607), "", 'Data Entry'!$č$607)</f>
      </c>
      <c r="GX607">
        <f>IF(ISBLANK('Data Entry'!$Ď$607), "", 'Data Entry'!$Ď$607)</f>
      </c>
      <c r="GY607">
        <f>IF(ISBLANK('Data Entry'!$ď$607), "", 'Data Entry'!$ď$607)</f>
      </c>
      <c r="GZ607">
        <f>IF(ISBLANK('Data Entry'!$Đ$607), "", 'Data Entry'!$Đ$607)</f>
      </c>
      <c r="HA607">
        <f>IF(ISBLANK('Data Entry'!$đ$607), "", 'Data Entry'!$đ$607)</f>
      </c>
      <c r="HB607">
        <f>IF(ISBLANK('Data Entry'!$Ē$607), "", 'Data Entry'!$Ē$607)</f>
      </c>
      <c r="HC607">
        <f>IF(ISBLANK('Data Entry'!$ē$607), "", 'Data Entry'!$ē$607)</f>
      </c>
      <c r="HD607">
        <f>IF(ISBLANK('Data Entry'!$Ĕ$607), "", 'Data Entry'!$Ĕ$607)</f>
      </c>
      <c r="HE607">
        <f>IF(ISBLANK('Data Entry'!$ĕ$607), "", 'Data Entry'!$ĕ$607)</f>
      </c>
      <c r="HF607">
        <f>IF(ISBLANK('Data Entry'!$Ė$607), "", 'Data Entry'!$Ė$607)</f>
      </c>
      <c r="HG607">
        <f>IF(ISBLANK('Data Entry'!$ė$607), "", 'Data Entry'!$ė$607)</f>
      </c>
      <c r="HH607">
        <f>IF(ISBLANK('Data Entry'!$Ę$607), "", 'Data Entry'!$Ę$607)</f>
      </c>
      <c r="HI607">
        <f>IF(ISBLANK('Data Entry'!$ę$607), "", 'Data Entry'!$ę$607)</f>
      </c>
      <c r="HJ607">
        <f>IF(ISBLANK('Data Entry'!$Ě$607), "", 'Data Entry'!$Ě$607)</f>
      </c>
      <c r="HK607">
        <f>IF(ISBLANK('Data Entry'!$ě$607), "", 'Data Entry'!$ě$607)</f>
      </c>
      <c r="HL607">
        <f>IF(ISBLANK('Data Entry'!$Ĝ$607), "", 'Data Entry'!$Ĝ$607)</f>
      </c>
      <c r="HM607">
        <f>IF(ISBLANK('Data Entry'!$ĝ$607), "", 'Data Entry'!$ĝ$607)</f>
      </c>
      <c r="HN607">
        <f>IF(ISBLANK('Data Entry'!$Ğ$607), "", 'Data Entry'!$Ğ$607)</f>
      </c>
      <c r="HO607">
        <f>IF(ISBLANK('Data Entry'!$ğ$607), "", 'Data Entry'!$ğ$607)</f>
      </c>
      <c r="HP607">
        <f>IF(ISBLANK('Data Entry'!$Ġ$607), "", 'Data Entry'!$Ġ$607)</f>
      </c>
      <c r="HQ607">
        <f>IF(ISBLANK('Data Entry'!$ġ$607), "", 'Data Entry'!$ġ$607)</f>
      </c>
      <c r="HR607">
        <f>IF(ISBLANK('Data Entry'!$Ģ$607), "", 'Data Entry'!$Ģ$607)</f>
      </c>
      <c r="HS607">
        <f>IF(ISBLANK('Data Entry'!$ģ$607), "", 'Data Entry'!$ģ$607)</f>
      </c>
      <c r="HT607">
        <f>IF(ISBLANK('Data Entry'!$Ĥ$607), "", 'Data Entry'!$Ĥ$607)</f>
      </c>
      <c r="HU607">
        <f>IF(ISBLANK('Data Entry'!$ĥ$607), "", 'Data Entry'!$ĥ$607)</f>
      </c>
      <c r="HV607">
        <f>IF(ISBLANK('Data Entry'!$Ħ$607), "", 'Data Entry'!$Ħ$607)</f>
      </c>
      <c r="HW607">
        <f>IF(ISBLANK('Data Entry'!$ħ$607), "", 'Data Entry'!$ħ$607)</f>
      </c>
      <c r="HX607">
        <f>IF(ISBLANK('Data Entry'!$Ĩ$607), "", 'Data Entry'!$Ĩ$607)</f>
      </c>
      <c r="HY607">
        <f>IF(ISBLANK('Data Entry'!$ĩ$607), "", 'Data Entry'!$ĩ$607)</f>
      </c>
      <c r="HZ607">
        <f>IF(ISBLANK('Data Entry'!$Ī$607), "", 'Data Entry'!$Ī$607)</f>
      </c>
      <c r="IA607">
        <f>IF(ISBLANK('Data Entry'!$ī$607), "", 'Data Entry'!$ī$607)</f>
      </c>
      <c r="IB607">
        <f>IF(ISBLANK('Data Entry'!$Ĭ$607), "", 'Data Entry'!$Ĭ$607)</f>
      </c>
      <c r="IC607">
        <f>IF(ISBLANK('Data Entry'!$ĭ$607), "", 'Data Entry'!$ĭ$607)</f>
      </c>
      <c r="ID607">
        <f>IF(ISBLANK('Data Entry'!$Į$607), "", 'Data Entry'!$Į$607)</f>
      </c>
      <c r="IE607">
        <f>IF(ISBLANK('Data Entry'!$į$607), "", 'Data Entry'!$į$607)</f>
      </c>
      <c r="IF607">
        <f>IF(ISBLANK('Data Entry'!$İ$607), "", 'Data Entry'!$İ$607)</f>
      </c>
      <c r="IG607">
        <f>IF(ISBLANK('Data Entry'!$ı$607), "", 'Data Entry'!$ı$607)</f>
      </c>
      <c r="IH607">
        <f>IF(ISBLANK('Data Entry'!$Ĳ$607), "", 'Data Entry'!$Ĳ$607)</f>
      </c>
      <c r="II607">
        <f>IF(ISBLANK('Data Entry'!$ĳ$607), "", 'Data Entry'!$ĳ$607)</f>
      </c>
      <c r="IJ607">
        <f>IF(ISBLANK('Data Entry'!$Ĵ$607), "", 'Data Entry'!$Ĵ$607)</f>
      </c>
      <c r="IK607">
        <f>IF(ISBLANK('Data Entry'!$ĵ$607), "", 'Data Entry'!$ĵ$607)</f>
      </c>
      <c r="IL607">
        <f>IF(ISBLANK('Data Entry'!$Ķ$607), "", 'Data Entry'!$Ķ$607)</f>
      </c>
      <c r="IM607">
        <f>IF(ISBLANK('Data Entry'!$ķ$607), "", 'Data Entry'!$ķ$607)</f>
      </c>
      <c r="IN607">
        <f>IF(ISBLANK('Data Entry'!$ĸ$607), "", 'Data Entry'!$ĸ$607)</f>
      </c>
      <c r="IO607">
        <f>IF(ISBLANK('Data Entry'!$Ĺ$607), "", 'Data Entry'!$Ĺ$607)</f>
      </c>
      <c r="IP607">
        <f>IF(ISBLANK('Data Entry'!$ĺ$607), "", 'Data Entry'!$ĺ$607)</f>
      </c>
      <c r="IQ607">
        <f>IF(ISBLANK('Data Entry'!$Ļ$607), "", 'Data Entry'!$Ļ$607)</f>
      </c>
      <c r="IR607">
        <f>IF(ISBLANK('Data Entry'!$ļ$607), "", 'Data Entry'!$ļ$607)</f>
      </c>
      <c r="IS607">
        <f>IF(ISBLANK('Data Entry'!$Ľ$607), "", 'Data Entry'!$Ľ$607)</f>
      </c>
      <c r="IT607">
        <f>IF(ISBLANK('Data Entry'!$ľ$607), "", 'Data Entry'!$ľ$607)</f>
      </c>
    </row>
    <row r="608" spans="1:254" x14ac:dyDescent="0.25">
      <c r="A608">
        <f>IF(ISBLANK('Data Entry'!$A$608), "", 'Data Entry'!$A$608)</f>
      </c>
      <c r="B608">
        <f>IF(ISBLANK('Data Entry'!$B$608), "", 'Data Entry'!$B$608)</f>
      </c>
      <c r="C608">
        <f>IF(ISBLANK('Data Entry'!$C$608), "", 'Data Entry'!$C$608)</f>
      </c>
      <c r="D608">
        <f>IF(ISBLANK('Data Entry'!$D$608), "", 'Data Entry'!$D$608)</f>
      </c>
      <c r="E608">
        <f>IF(ISBLANK('Data Entry'!$E$608), "", 'Data Entry'!$E$608)</f>
      </c>
      <c r="F608">
        <f>IF(ISBLANK('Data Entry'!$F$608), "", 'Data Entry'!$F$608)</f>
      </c>
      <c r="G608">
        <f>IF(ISBLANK('Data Entry'!$G$608), "", 'Data Entry'!$G$608)</f>
      </c>
      <c r="H608">
        <f>IF(ISBLANK('Data Entry'!$H$608), "", 'Data Entry'!$H$608)</f>
      </c>
      <c r="I608">
        <f>IF(ISBLANK('Data Entry'!$I$608), "", 'Data Entry'!$I$608)</f>
      </c>
      <c r="J608">
        <f>IF(ISBLANK('Data Entry'!$J$608), "", 'Data Entry'!$J$608)</f>
      </c>
      <c r="K608">
        <f>IF(ISBLANK('Data Entry'!$K$608), "", 'Data Entry'!$K$608)</f>
      </c>
      <c r="L608">
        <f>IF(ISBLANK('Data Entry'!$L$608), "", 'Data Entry'!$L$608)</f>
      </c>
      <c r="M608">
        <f>IF(ISBLANK('Data Entry'!$M$608), "", 'Data Entry'!$M$608)</f>
      </c>
      <c r="N608">
        <f>IF(ISBLANK('Data Entry'!$N$608), "", 'Data Entry'!$N$608)</f>
      </c>
      <c r="O608">
        <f>IF(ISBLANK('Data Entry'!$O$608), "", 'Data Entry'!$O$608)</f>
      </c>
      <c r="P608">
        <f>IF(ISBLANK('Data Entry'!$P$608), "", 'Data Entry'!$P$608)</f>
      </c>
      <c r="Q608">
        <f>IF(ISBLANK('Data Entry'!$Q$608), "", 'Data Entry'!$Q$608)</f>
      </c>
      <c r="R608">
        <f>IF(ISBLANK('Data Entry'!$R$608), "", 'Data Entry'!$R$608)</f>
      </c>
      <c r="S608">
        <f>IF(ISBLANK('Data Entry'!$S$608), "", 'Data Entry'!$S$608)</f>
      </c>
      <c r="T608">
        <f>IF(ISBLANK('Data Entry'!$T$608), "", 'Data Entry'!$T$608)</f>
      </c>
      <c r="U608">
        <f>IF(ISBLANK('Data Entry'!$U$608), "", 'Data Entry'!$U$608)</f>
      </c>
      <c r="V608">
        <f>IF(ISBLANK('Data Entry'!$V$608), "", 'Data Entry'!$V$608)</f>
      </c>
      <c r="W608">
        <f>IF(ISBLANK('Data Entry'!$W$608), "", 'Data Entry'!$W$608)</f>
      </c>
      <c r="X608">
        <f>IF(ISBLANK('Data Entry'!$X$608), "", 'Data Entry'!$X$608)</f>
      </c>
      <c r="Y608">
        <f>IF(ISBLANK('Data Entry'!$Y$608), "", 'Data Entry'!$Y$608)</f>
      </c>
      <c r="Z608">
        <f>IF(ISBLANK('Data Entry'!$Z$608), "", 'Data Entry'!$Z$608)</f>
      </c>
      <c r="AA608">
        <f>IF(ISBLANK('Data Entry'!$[$608), "", 'Data Entry'!$[$608)</f>
      </c>
      <c r="AB608">
        <f>IF(ISBLANK('Data Entry'!$\$608), "", 'Data Entry'!$\$608)</f>
      </c>
      <c r="AC608">
        <f>IF(ISBLANK('Data Entry'!$]$608), "", 'Data Entry'!$]$608)</f>
      </c>
      <c r="AD608">
        <f>IF(ISBLANK('Data Entry'!$^$608), "", 'Data Entry'!$^$608)</f>
      </c>
      <c r="AE608">
        <f>IF(ISBLANK('Data Entry'!$_$608), "", 'Data Entry'!$_$608)</f>
      </c>
      <c r="AF608">
        <f>IF(ISBLANK('Data Entry'!$`$608), "", 'Data Entry'!$`$608)</f>
      </c>
      <c r="AG608">
        <f>IF(ISBLANK('Data Entry'!$a$608), "", 'Data Entry'!$a$608)</f>
      </c>
      <c r="AH608">
        <f>IF(ISBLANK('Data Entry'!$b$608), "", 'Data Entry'!$b$608)</f>
      </c>
      <c r="AI608">
        <f>IF(ISBLANK('Data Entry'!$c$608), "", 'Data Entry'!$c$608)</f>
      </c>
      <c r="AJ608">
        <f>IF(ISBLANK('Data Entry'!$d$608), "", 'Data Entry'!$d$608)</f>
      </c>
      <c r="AK608">
        <f>IF(ISBLANK('Data Entry'!$e$608), "", 'Data Entry'!$e$608)</f>
      </c>
      <c r="AL608">
        <f>IF(ISBLANK('Data Entry'!$f$608), "", 'Data Entry'!$f$608)</f>
      </c>
      <c r="AM608">
        <f>IF(ISBLANK('Data Entry'!$g$608), "", 'Data Entry'!$g$608)</f>
      </c>
      <c r="AN608">
        <f>IF(ISBLANK('Data Entry'!$h$608), "", 'Data Entry'!$h$608)</f>
      </c>
      <c r="AO608">
        <f>IF(ISBLANK('Data Entry'!$i$608), "", 'Data Entry'!$i$608)</f>
      </c>
      <c r="AP608">
        <f>IF(ISBLANK('Data Entry'!$j$608), "", 'Data Entry'!$j$608)</f>
      </c>
      <c r="AQ608">
        <f>IF(ISBLANK('Data Entry'!$k$608), "", 'Data Entry'!$k$608)</f>
      </c>
      <c r="AR608">
        <f>IF(ISBLANK('Data Entry'!$l$608), "", 'Data Entry'!$l$608)</f>
      </c>
      <c r="AS608">
        <f>IF(ISBLANK('Data Entry'!$m$608), "", 'Data Entry'!$m$608)</f>
      </c>
      <c r="AT608">
        <f>IF(ISBLANK('Data Entry'!$n$608), "", 'Data Entry'!$n$608)</f>
      </c>
      <c r="AU608">
        <f>IF(ISBLANK('Data Entry'!$o$608), "", 'Data Entry'!$o$608)</f>
      </c>
      <c r="AV608">
        <f>IF(ISBLANK('Data Entry'!$p$608), "", 'Data Entry'!$p$608)</f>
      </c>
      <c r="AW608">
        <f>IF(ISBLANK('Data Entry'!$q$608), "", 'Data Entry'!$q$608)</f>
      </c>
      <c r="AX608">
        <f>IF(ISBLANK('Data Entry'!$r$608), "", 'Data Entry'!$r$608)</f>
      </c>
      <c r="AY608">
        <f>IF(ISBLANK('Data Entry'!$s$608), "", 'Data Entry'!$s$608)</f>
      </c>
      <c r="AZ608">
        <f>IF(ISBLANK('Data Entry'!$t$608), "", 'Data Entry'!$t$608)</f>
      </c>
      <c r="BA608">
        <f>IF(ISBLANK('Data Entry'!$u$608), "", 'Data Entry'!$u$608)</f>
      </c>
      <c r="BB608">
        <f>IF(ISBLANK('Data Entry'!$v$608), "", 'Data Entry'!$v$608)</f>
      </c>
      <c r="BC608">
        <f>IF(ISBLANK('Data Entry'!$w$608), "", 'Data Entry'!$w$608)</f>
      </c>
      <c r="BD608">
        <f>IF(ISBLANK('Data Entry'!$x$608), "", 'Data Entry'!$x$608)</f>
      </c>
      <c r="BE608">
        <f>IF(ISBLANK('Data Entry'!$y$608), "", 'Data Entry'!$y$608)</f>
      </c>
      <c r="BF608">
        <f>IF(ISBLANK('Data Entry'!$z$608), "", 'Data Entry'!$z$608)</f>
      </c>
      <c r="BG608">
        <f>IF(ISBLANK('Data Entry'!${$608), "", 'Data Entry'!${$608)</f>
      </c>
      <c r="BH608">
        <f>IF(ISBLANK('Data Entry'!$|$608), "", 'Data Entry'!$|$608)</f>
      </c>
      <c r="BI608">
        <f>IF(ISBLANK('Data Entry'!$}$608), "", 'Data Entry'!$}$608)</f>
      </c>
      <c r="BJ608">
        <f>IF(ISBLANK('Data Entry'!$~$608), "", 'Data Entry'!$~$608)</f>
      </c>
      <c r="BK608">
        <f>IF(ISBLANK('Data Entry'!$$608), "", 'Data Entry'!$$608)</f>
      </c>
      <c r="BL608">
        <f>IF(ISBLANK('Data Entry'!$$608), "", 'Data Entry'!$$608)</f>
      </c>
      <c r="BM608">
        <f>IF(ISBLANK('Data Entry'!$$608), "", 'Data Entry'!$$608)</f>
      </c>
      <c r="BN608">
        <f>IF(ISBLANK('Data Entry'!$$608), "", 'Data Entry'!$$608)</f>
      </c>
      <c r="BO608">
        <f>IF(ISBLANK('Data Entry'!$$608), "", 'Data Entry'!$$608)</f>
      </c>
      <c r="BP608">
        <f>IF(ISBLANK('Data Entry'!$$608), "", 'Data Entry'!$$608)</f>
      </c>
      <c r="BQ608">
        <f>IF(ISBLANK('Data Entry'!$$608), "", 'Data Entry'!$$608)</f>
      </c>
      <c r="BR608">
        <f>IF(ISBLANK('Data Entry'!$$608), "", 'Data Entry'!$$608)</f>
      </c>
      <c r="BS608">
        <f>IF(ISBLANK('Data Entry'!$$608), "", 'Data Entry'!$$608)</f>
      </c>
      <c r="BT608">
        <f>IF(ISBLANK('Data Entry'!$$608), "", 'Data Entry'!$$608)</f>
      </c>
      <c r="BU608">
        <f>IF(ISBLANK('Data Entry'!$$608), "", 'Data Entry'!$$608)</f>
      </c>
      <c r="BV608">
        <f>IF(ISBLANK('Data Entry'!$$608), "", 'Data Entry'!$$608)</f>
      </c>
      <c r="BW608">
        <f>IF(ISBLANK('Data Entry'!$$608), "", 'Data Entry'!$$608)</f>
      </c>
      <c r="BX608">
        <f>IF(ISBLANK('Data Entry'!$$608), "", 'Data Entry'!$$608)</f>
      </c>
      <c r="BY608">
        <f>IF(ISBLANK('Data Entry'!$$608), "", 'Data Entry'!$$608)</f>
      </c>
      <c r="BZ608">
        <f>IF(ISBLANK('Data Entry'!$$608), "", 'Data Entry'!$$608)</f>
      </c>
      <c r="CA608">
        <f>IF(ISBLANK('Data Entry'!$$608), "", 'Data Entry'!$$608)</f>
      </c>
      <c r="CB608">
        <f>IF(ISBLANK('Data Entry'!$$608), "", 'Data Entry'!$$608)</f>
      </c>
      <c r="CC608">
        <f>IF(ISBLANK('Data Entry'!$$608), "", 'Data Entry'!$$608)</f>
      </c>
      <c r="CD608">
        <f>IF(ISBLANK('Data Entry'!$$608), "", 'Data Entry'!$$608)</f>
      </c>
      <c r="CE608">
        <f>IF(ISBLANK('Data Entry'!$$608), "", 'Data Entry'!$$608)</f>
      </c>
      <c r="CF608">
        <f>IF(ISBLANK('Data Entry'!$$608), "", 'Data Entry'!$$608)</f>
      </c>
      <c r="CG608">
        <f>IF(ISBLANK('Data Entry'!$$608), "", 'Data Entry'!$$608)</f>
      </c>
      <c r="CH608">
        <f>IF(ISBLANK('Data Entry'!$$608), "", 'Data Entry'!$$608)</f>
      </c>
      <c r="CI608">
        <f>IF(ISBLANK('Data Entry'!$$608), "", 'Data Entry'!$$608)</f>
      </c>
      <c r="CJ608">
        <f>IF(ISBLANK('Data Entry'!$$608), "", 'Data Entry'!$$608)</f>
      </c>
      <c r="CK608">
        <f>IF(ISBLANK('Data Entry'!$$608), "", 'Data Entry'!$$608)</f>
      </c>
      <c r="CL608">
        <f>IF(ISBLANK('Data Entry'!$$608), "", 'Data Entry'!$$608)</f>
      </c>
      <c r="CM608">
        <f>IF(ISBLANK('Data Entry'!$$608), "", 'Data Entry'!$$608)</f>
      </c>
      <c r="CN608">
        <f>IF(ISBLANK('Data Entry'!$$608), "", 'Data Entry'!$$608)</f>
      </c>
      <c r="CO608">
        <f>IF(ISBLANK('Data Entry'!$$608), "", 'Data Entry'!$$608)</f>
      </c>
      <c r="CP608">
        <f>IF(ISBLANK('Data Entry'!$$608), "", 'Data Entry'!$$608)</f>
      </c>
      <c r="CQ608">
        <f>IF(ISBLANK('Data Entry'!$$608), "", 'Data Entry'!$$608)</f>
      </c>
      <c r="CR608">
        <f>IF(ISBLANK('Data Entry'!$ $608), "", 'Data Entry'!$ $608)</f>
      </c>
      <c r="CS608">
        <f>IF(ISBLANK('Data Entry'!$¡$608), "", 'Data Entry'!$¡$608)</f>
      </c>
      <c r="CT608">
        <f>IF(ISBLANK('Data Entry'!$¢$608), "", 'Data Entry'!$¢$608)</f>
      </c>
      <c r="CU608">
        <f>IF(ISBLANK('Data Entry'!$£$608), "", 'Data Entry'!$£$608)</f>
      </c>
      <c r="CV608">
        <f>IF(ISBLANK('Data Entry'!$¤$608), "", 'Data Entry'!$¤$608)</f>
      </c>
      <c r="CW608">
        <f>IF(ISBLANK('Data Entry'!$¥$608), "", 'Data Entry'!$¥$608)</f>
      </c>
      <c r="CX608">
        <f>IF(ISBLANK('Data Entry'!$¦$608), "", 'Data Entry'!$¦$608)</f>
      </c>
      <c r="CY608">
        <f>IF(ISBLANK('Data Entry'!$§$608), "", 'Data Entry'!$§$608)</f>
      </c>
      <c r="CZ608">
        <f>IF(ISBLANK('Data Entry'!$¨$608), "", 'Data Entry'!$¨$608)</f>
      </c>
      <c r="DA608">
        <f>IF(ISBLANK('Data Entry'!$©$608), "", 'Data Entry'!$©$608)</f>
      </c>
      <c r="DB608">
        <f>IF(ISBLANK('Data Entry'!$ª$608), "", 'Data Entry'!$ª$608)</f>
      </c>
      <c r="DC608">
        <f>IF(ISBLANK('Data Entry'!$«$608), "", 'Data Entry'!$«$608)</f>
      </c>
      <c r="DD608">
        <f>IF(ISBLANK('Data Entry'!$¬$608), "", 'Data Entry'!$¬$608)</f>
      </c>
      <c r="DE608">
        <f>IF(ISBLANK('Data Entry'!$­$608), "", 'Data Entry'!$­$608)</f>
      </c>
      <c r="DF608">
        <f>IF(ISBLANK('Data Entry'!$®$608), "", 'Data Entry'!$®$608)</f>
      </c>
      <c r="DG608">
        <f>IF(ISBLANK('Data Entry'!$¯$608), "", 'Data Entry'!$¯$608)</f>
      </c>
      <c r="DH608">
        <f>IF(ISBLANK('Data Entry'!$°$608), "", 'Data Entry'!$°$608)</f>
      </c>
      <c r="DI608">
        <f>IF(ISBLANK('Data Entry'!$±$608), "", 'Data Entry'!$±$608)</f>
      </c>
      <c r="DJ608">
        <f>IF(ISBLANK('Data Entry'!$²$608), "", 'Data Entry'!$²$608)</f>
      </c>
      <c r="DK608">
        <f>IF(ISBLANK('Data Entry'!$³$608), "", 'Data Entry'!$³$608)</f>
      </c>
      <c r="DL608">
        <f>IF(ISBLANK('Data Entry'!$´$608), "", 'Data Entry'!$´$608)</f>
      </c>
      <c r="DM608">
        <f>IF(ISBLANK('Data Entry'!$µ$608), "", 'Data Entry'!$µ$608)</f>
      </c>
      <c r="DN608">
        <f>IF(ISBLANK('Data Entry'!$¶$608), "", 'Data Entry'!$¶$608)</f>
      </c>
      <c r="DO608">
        <f>IF(ISBLANK('Data Entry'!$·$608), "", 'Data Entry'!$·$608)</f>
      </c>
      <c r="DP608">
        <f>IF(ISBLANK('Data Entry'!$¸$608), "", 'Data Entry'!$¸$608)</f>
      </c>
      <c r="DQ608">
        <f>IF(ISBLANK('Data Entry'!$¹$608), "", 'Data Entry'!$¹$608)</f>
      </c>
      <c r="DR608">
        <f>IF(ISBLANK('Data Entry'!$º$608), "", 'Data Entry'!$º$608)</f>
      </c>
      <c r="DS608">
        <f>IF(ISBLANK('Data Entry'!$»$608), "", 'Data Entry'!$»$608)</f>
      </c>
      <c r="DT608">
        <f>IF(ISBLANK('Data Entry'!$¼$608), "", 'Data Entry'!$¼$608)</f>
      </c>
      <c r="DU608">
        <f>IF(ISBLANK('Data Entry'!$½$608), "", 'Data Entry'!$½$608)</f>
      </c>
      <c r="DV608">
        <f>IF(ISBLANK('Data Entry'!$¾$608), "", 'Data Entry'!$¾$608)</f>
      </c>
      <c r="DW608">
        <f>IF(ISBLANK('Data Entry'!$¿$608), "", 'Data Entry'!$¿$608)</f>
      </c>
      <c r="DX608">
        <f>IF(ISBLANK('Data Entry'!$À$608), "", 'Data Entry'!$À$608)</f>
      </c>
      <c r="DY608">
        <f>IF(ISBLANK('Data Entry'!$Á$608), "", 'Data Entry'!$Á$608)</f>
      </c>
      <c r="DZ608">
        <f>IF(ISBLANK('Data Entry'!$Â$608), "", 'Data Entry'!$Â$608)</f>
      </c>
      <c r="EA608">
        <f>IF(ISBLANK('Data Entry'!$Ã$608), "", 'Data Entry'!$Ã$608)</f>
      </c>
      <c r="EB608">
        <f>IF(ISBLANK('Data Entry'!$Ä$608), "", 'Data Entry'!$Ä$608)</f>
      </c>
      <c r="EC608">
        <f>IF(ISBLANK('Data Entry'!$Å$608), "", 'Data Entry'!$Å$608)</f>
      </c>
      <c r="ED608">
        <f>IF(ISBLANK('Data Entry'!$Æ$608), "", 'Data Entry'!$Æ$608)</f>
      </c>
      <c r="EE608">
        <f>IF(ISBLANK('Data Entry'!$Ç$608), "", 'Data Entry'!$Ç$608)</f>
      </c>
      <c r="EF608">
        <f>IF(ISBLANK('Data Entry'!$È$608), "", 'Data Entry'!$È$608)</f>
      </c>
      <c r="EG608">
        <f>IF(ISBLANK('Data Entry'!$É$608), "", 'Data Entry'!$É$608)</f>
      </c>
      <c r="EH608">
        <f>IF(ISBLANK('Data Entry'!$Ê$608), "", 'Data Entry'!$Ê$608)</f>
      </c>
      <c r="EI608">
        <f>IF(ISBLANK('Data Entry'!$Ë$608), "", 'Data Entry'!$Ë$608)</f>
      </c>
      <c r="EJ608">
        <f>IF(ISBLANK('Data Entry'!$Ì$608), "", 'Data Entry'!$Ì$608)</f>
      </c>
      <c r="EK608">
        <f>IF(ISBLANK('Data Entry'!$Í$608), "", 'Data Entry'!$Í$608)</f>
      </c>
      <c r="EL608">
        <f>IF(ISBLANK('Data Entry'!$Î$608), "", 'Data Entry'!$Î$608)</f>
      </c>
      <c r="EM608">
        <f>IF(ISBLANK('Data Entry'!$Ï$608), "", 'Data Entry'!$Ï$608)</f>
      </c>
      <c r="EN608">
        <f>IF(ISBLANK('Data Entry'!$Ð$608), "", 'Data Entry'!$Ð$608)</f>
      </c>
      <c r="EO608">
        <f>IF(ISBLANK('Data Entry'!$Ñ$608), "", 'Data Entry'!$Ñ$608)</f>
      </c>
      <c r="EP608">
        <f>IF(ISBLANK('Data Entry'!$Ò$608), "", 'Data Entry'!$Ò$608)</f>
      </c>
      <c r="EQ608">
        <f>IF(ISBLANK('Data Entry'!$Ó$608), "", 'Data Entry'!$Ó$608)</f>
      </c>
      <c r="ER608">
        <f>IF(ISBLANK('Data Entry'!$Ô$608), "", 'Data Entry'!$Ô$608)</f>
      </c>
      <c r="ES608">
        <f>IF(ISBLANK('Data Entry'!$Õ$608), "", 'Data Entry'!$Õ$608)</f>
      </c>
      <c r="ET608">
        <f>IF(ISBLANK('Data Entry'!$Ö$608), "", 'Data Entry'!$Ö$608)</f>
      </c>
      <c r="EU608">
        <f>IF(ISBLANK('Data Entry'!$×$608), "", 'Data Entry'!$×$608)</f>
      </c>
      <c r="EV608">
        <f>IF(ISBLANK('Data Entry'!$Ø$608), "", 'Data Entry'!$Ø$608)</f>
      </c>
      <c r="EW608">
        <f>IF(ISBLANK('Data Entry'!$Ù$608), "", 'Data Entry'!$Ù$608)</f>
      </c>
      <c r="EX608">
        <f>IF(ISBLANK('Data Entry'!$Ú$608), "", 'Data Entry'!$Ú$608)</f>
      </c>
      <c r="EY608">
        <f>IF(ISBLANK('Data Entry'!$Û$608), "", 'Data Entry'!$Û$608)</f>
      </c>
      <c r="EZ608">
        <f>IF(ISBLANK('Data Entry'!$Ü$608), "", 'Data Entry'!$Ü$608)</f>
      </c>
      <c r="FA608">
        <f>IF(ISBLANK('Data Entry'!$Ý$608), "", 'Data Entry'!$Ý$608)</f>
      </c>
      <c r="FB608">
        <f>IF(ISBLANK('Data Entry'!$Þ$608), "", 'Data Entry'!$Þ$608)</f>
      </c>
      <c r="FC608">
        <f>IF(ISBLANK('Data Entry'!$ß$608), "", 'Data Entry'!$ß$608)</f>
      </c>
      <c r="FD608">
        <f>IF(ISBLANK('Data Entry'!$à$608), "", 'Data Entry'!$à$608)</f>
      </c>
      <c r="FE608">
        <f>IF(ISBLANK('Data Entry'!$á$608), "", 'Data Entry'!$á$608)</f>
      </c>
      <c r="FF608">
        <f>IF(ISBLANK('Data Entry'!$â$608), "", 'Data Entry'!$â$608)</f>
      </c>
      <c r="FG608">
        <f>IF(ISBLANK('Data Entry'!$ã$608), "", 'Data Entry'!$ã$608)</f>
      </c>
      <c r="FH608">
        <f>IF(ISBLANK('Data Entry'!$ä$608), "", 'Data Entry'!$ä$608)</f>
      </c>
      <c r="FI608">
        <f>IF(ISBLANK('Data Entry'!$å$608), "", 'Data Entry'!$å$608)</f>
      </c>
      <c r="FJ608">
        <f>IF(ISBLANK('Data Entry'!$æ$608), "", 'Data Entry'!$æ$608)</f>
      </c>
      <c r="FK608">
        <f>IF(ISBLANK('Data Entry'!$ç$608), "", 'Data Entry'!$ç$608)</f>
      </c>
      <c r="FL608">
        <f>IF(ISBLANK('Data Entry'!$è$608), "", 'Data Entry'!$è$608)</f>
      </c>
      <c r="FM608">
        <f>IF(ISBLANK('Data Entry'!$é$608), "", 'Data Entry'!$é$608)</f>
      </c>
      <c r="FN608">
        <f>IF(ISBLANK('Data Entry'!$ê$608), "", 'Data Entry'!$ê$608)</f>
      </c>
      <c r="FO608">
        <f>IF(ISBLANK('Data Entry'!$ë$608), "", 'Data Entry'!$ë$608)</f>
      </c>
      <c r="FP608">
        <f>IF(ISBLANK('Data Entry'!$ì$608), "", 'Data Entry'!$ì$608)</f>
      </c>
      <c r="FQ608">
        <f>IF(ISBLANK('Data Entry'!$í$608), "", 'Data Entry'!$í$608)</f>
      </c>
      <c r="FR608">
        <f>IF(ISBLANK('Data Entry'!$î$608), "", 'Data Entry'!$î$608)</f>
      </c>
      <c r="FS608">
        <f>IF(ISBLANK('Data Entry'!$ï$608), "", 'Data Entry'!$ï$608)</f>
      </c>
      <c r="FT608">
        <f>IF(ISBLANK('Data Entry'!$ð$608), "", 'Data Entry'!$ð$608)</f>
      </c>
      <c r="FU608">
        <f>IF(ISBLANK('Data Entry'!$ñ$608), "", 'Data Entry'!$ñ$608)</f>
      </c>
      <c r="FV608">
        <f>IF(ISBLANK('Data Entry'!$ò$608), "", 'Data Entry'!$ò$608)</f>
      </c>
      <c r="FW608">
        <f>IF(ISBLANK('Data Entry'!$ó$608), "", 'Data Entry'!$ó$608)</f>
      </c>
      <c r="FX608">
        <f>IF(ISBLANK('Data Entry'!$ô$608), "", 'Data Entry'!$ô$608)</f>
      </c>
      <c r="FY608">
        <f>IF(ISBLANK('Data Entry'!$õ$608), "", 'Data Entry'!$õ$608)</f>
      </c>
      <c r="FZ608">
        <f>IF(ISBLANK('Data Entry'!$ö$608), "", 'Data Entry'!$ö$608)</f>
      </c>
      <c r="GA608">
        <f>IF(ISBLANK('Data Entry'!$÷$608), "", 'Data Entry'!$÷$608)</f>
      </c>
      <c r="GB608">
        <f>IF(ISBLANK('Data Entry'!$ø$608), "", 'Data Entry'!$ø$608)</f>
      </c>
      <c r="GC608">
        <f>IF(ISBLANK('Data Entry'!$ù$608), "", 'Data Entry'!$ù$608)</f>
      </c>
      <c r="GD608">
        <f>IF(ISBLANK('Data Entry'!$ú$608), "", 'Data Entry'!$ú$608)</f>
      </c>
      <c r="GE608">
        <f>IF(ISBLANK('Data Entry'!$û$608), "", 'Data Entry'!$û$608)</f>
      </c>
      <c r="GF608">
        <f>IF(ISBLANK('Data Entry'!$ü$608), "", 'Data Entry'!$ü$608)</f>
      </c>
      <c r="GG608">
        <f>IF(ISBLANK('Data Entry'!$ý$608), "", 'Data Entry'!$ý$608)</f>
      </c>
      <c r="GH608">
        <f>IF(ISBLANK('Data Entry'!$þ$608), "", 'Data Entry'!$þ$608)</f>
      </c>
      <c r="GI608">
        <f>IF(ISBLANK('Data Entry'!$ÿ$608), "", 'Data Entry'!$ÿ$608)</f>
      </c>
      <c r="GJ608">
        <f>IF(ISBLANK('Data Entry'!$Ā$608), "", 'Data Entry'!$Ā$608)</f>
      </c>
      <c r="GK608">
        <f>IF(ISBLANK('Data Entry'!$ā$608), "", 'Data Entry'!$ā$608)</f>
      </c>
      <c r="GL608">
        <f>IF(ISBLANK('Data Entry'!$Ă$608), "", 'Data Entry'!$Ă$608)</f>
      </c>
      <c r="GM608">
        <f>IF(ISBLANK('Data Entry'!$ă$608), "", 'Data Entry'!$ă$608)</f>
      </c>
      <c r="GN608">
        <f>IF(ISBLANK('Data Entry'!$Ą$608), "", 'Data Entry'!$Ą$608)</f>
      </c>
      <c r="GO608">
        <f>IF(ISBLANK('Data Entry'!$ą$608), "", 'Data Entry'!$ą$608)</f>
      </c>
      <c r="GP608">
        <f>IF(ISBLANK('Data Entry'!$Ć$608), "", 'Data Entry'!$Ć$608)</f>
      </c>
      <c r="GQ608">
        <f>IF(ISBLANK('Data Entry'!$ć$608), "", 'Data Entry'!$ć$608)</f>
      </c>
      <c r="GR608">
        <f>IF(ISBLANK('Data Entry'!$Ĉ$608), "", 'Data Entry'!$Ĉ$608)</f>
      </c>
      <c r="GS608">
        <f>IF(ISBLANK('Data Entry'!$ĉ$608), "", 'Data Entry'!$ĉ$608)</f>
      </c>
      <c r="GT608">
        <f>IF(ISBLANK('Data Entry'!$Ċ$608), "", 'Data Entry'!$Ċ$608)</f>
      </c>
      <c r="GU608">
        <f>IF(ISBLANK('Data Entry'!$ċ$608), "", 'Data Entry'!$ċ$608)</f>
      </c>
      <c r="GV608">
        <f>IF(ISBLANK('Data Entry'!$Č$608), "", 'Data Entry'!$Č$608)</f>
      </c>
      <c r="GW608">
        <f>IF(ISBLANK('Data Entry'!$č$608), "", 'Data Entry'!$č$608)</f>
      </c>
      <c r="GX608">
        <f>IF(ISBLANK('Data Entry'!$Ď$608), "", 'Data Entry'!$Ď$608)</f>
      </c>
      <c r="GY608">
        <f>IF(ISBLANK('Data Entry'!$ď$608), "", 'Data Entry'!$ď$608)</f>
      </c>
      <c r="GZ608">
        <f>IF(ISBLANK('Data Entry'!$Đ$608), "", 'Data Entry'!$Đ$608)</f>
      </c>
      <c r="HA608">
        <f>IF(ISBLANK('Data Entry'!$đ$608), "", 'Data Entry'!$đ$608)</f>
      </c>
      <c r="HB608">
        <f>IF(ISBLANK('Data Entry'!$Ē$608), "", 'Data Entry'!$Ē$608)</f>
      </c>
      <c r="HC608">
        <f>IF(ISBLANK('Data Entry'!$ē$608), "", 'Data Entry'!$ē$608)</f>
      </c>
      <c r="HD608">
        <f>IF(ISBLANK('Data Entry'!$Ĕ$608), "", 'Data Entry'!$Ĕ$608)</f>
      </c>
      <c r="HE608">
        <f>IF(ISBLANK('Data Entry'!$ĕ$608), "", 'Data Entry'!$ĕ$608)</f>
      </c>
      <c r="HF608">
        <f>IF(ISBLANK('Data Entry'!$Ė$608), "", 'Data Entry'!$Ė$608)</f>
      </c>
      <c r="HG608">
        <f>IF(ISBLANK('Data Entry'!$ė$608), "", 'Data Entry'!$ė$608)</f>
      </c>
      <c r="HH608">
        <f>IF(ISBLANK('Data Entry'!$Ę$608), "", 'Data Entry'!$Ę$608)</f>
      </c>
      <c r="HI608">
        <f>IF(ISBLANK('Data Entry'!$ę$608), "", 'Data Entry'!$ę$608)</f>
      </c>
      <c r="HJ608">
        <f>IF(ISBLANK('Data Entry'!$Ě$608), "", 'Data Entry'!$Ě$608)</f>
      </c>
      <c r="HK608">
        <f>IF(ISBLANK('Data Entry'!$ě$608), "", 'Data Entry'!$ě$608)</f>
      </c>
      <c r="HL608">
        <f>IF(ISBLANK('Data Entry'!$Ĝ$608), "", 'Data Entry'!$Ĝ$608)</f>
      </c>
      <c r="HM608">
        <f>IF(ISBLANK('Data Entry'!$ĝ$608), "", 'Data Entry'!$ĝ$608)</f>
      </c>
      <c r="HN608">
        <f>IF(ISBLANK('Data Entry'!$Ğ$608), "", 'Data Entry'!$Ğ$608)</f>
      </c>
      <c r="HO608">
        <f>IF(ISBLANK('Data Entry'!$ğ$608), "", 'Data Entry'!$ğ$608)</f>
      </c>
      <c r="HP608">
        <f>IF(ISBLANK('Data Entry'!$Ġ$608), "", 'Data Entry'!$Ġ$608)</f>
      </c>
      <c r="HQ608">
        <f>IF(ISBLANK('Data Entry'!$ġ$608), "", 'Data Entry'!$ġ$608)</f>
      </c>
      <c r="HR608">
        <f>IF(ISBLANK('Data Entry'!$Ģ$608), "", 'Data Entry'!$Ģ$608)</f>
      </c>
      <c r="HS608">
        <f>IF(ISBLANK('Data Entry'!$ģ$608), "", 'Data Entry'!$ģ$608)</f>
      </c>
      <c r="HT608">
        <f>IF(ISBLANK('Data Entry'!$Ĥ$608), "", 'Data Entry'!$Ĥ$608)</f>
      </c>
      <c r="HU608">
        <f>IF(ISBLANK('Data Entry'!$ĥ$608), "", 'Data Entry'!$ĥ$608)</f>
      </c>
      <c r="HV608">
        <f>IF(ISBLANK('Data Entry'!$Ħ$608), "", 'Data Entry'!$Ħ$608)</f>
      </c>
      <c r="HW608">
        <f>IF(ISBLANK('Data Entry'!$ħ$608), "", 'Data Entry'!$ħ$608)</f>
      </c>
      <c r="HX608">
        <f>IF(ISBLANK('Data Entry'!$Ĩ$608), "", 'Data Entry'!$Ĩ$608)</f>
      </c>
      <c r="HY608">
        <f>IF(ISBLANK('Data Entry'!$ĩ$608), "", 'Data Entry'!$ĩ$608)</f>
      </c>
      <c r="HZ608">
        <f>IF(ISBLANK('Data Entry'!$Ī$608), "", 'Data Entry'!$Ī$608)</f>
      </c>
      <c r="IA608">
        <f>IF(ISBLANK('Data Entry'!$ī$608), "", 'Data Entry'!$ī$608)</f>
      </c>
      <c r="IB608">
        <f>IF(ISBLANK('Data Entry'!$Ĭ$608), "", 'Data Entry'!$Ĭ$608)</f>
      </c>
      <c r="IC608">
        <f>IF(ISBLANK('Data Entry'!$ĭ$608), "", 'Data Entry'!$ĭ$608)</f>
      </c>
      <c r="ID608">
        <f>IF(ISBLANK('Data Entry'!$Į$608), "", 'Data Entry'!$Į$608)</f>
      </c>
      <c r="IE608">
        <f>IF(ISBLANK('Data Entry'!$į$608), "", 'Data Entry'!$į$608)</f>
      </c>
      <c r="IF608">
        <f>IF(ISBLANK('Data Entry'!$İ$608), "", 'Data Entry'!$İ$608)</f>
      </c>
      <c r="IG608">
        <f>IF(ISBLANK('Data Entry'!$ı$608), "", 'Data Entry'!$ı$608)</f>
      </c>
      <c r="IH608">
        <f>IF(ISBLANK('Data Entry'!$Ĳ$608), "", 'Data Entry'!$Ĳ$608)</f>
      </c>
      <c r="II608">
        <f>IF(ISBLANK('Data Entry'!$ĳ$608), "", 'Data Entry'!$ĳ$608)</f>
      </c>
      <c r="IJ608">
        <f>IF(ISBLANK('Data Entry'!$Ĵ$608), "", 'Data Entry'!$Ĵ$608)</f>
      </c>
      <c r="IK608">
        <f>IF(ISBLANK('Data Entry'!$ĵ$608), "", 'Data Entry'!$ĵ$608)</f>
      </c>
      <c r="IL608">
        <f>IF(ISBLANK('Data Entry'!$Ķ$608), "", 'Data Entry'!$Ķ$608)</f>
      </c>
      <c r="IM608">
        <f>IF(ISBLANK('Data Entry'!$ķ$608), "", 'Data Entry'!$ķ$608)</f>
      </c>
      <c r="IN608">
        <f>IF(ISBLANK('Data Entry'!$ĸ$608), "", 'Data Entry'!$ĸ$608)</f>
      </c>
      <c r="IO608">
        <f>IF(ISBLANK('Data Entry'!$Ĺ$608), "", 'Data Entry'!$Ĺ$608)</f>
      </c>
      <c r="IP608">
        <f>IF(ISBLANK('Data Entry'!$ĺ$608), "", 'Data Entry'!$ĺ$608)</f>
      </c>
      <c r="IQ608">
        <f>IF(ISBLANK('Data Entry'!$Ļ$608), "", 'Data Entry'!$Ļ$608)</f>
      </c>
      <c r="IR608">
        <f>IF(ISBLANK('Data Entry'!$ļ$608), "", 'Data Entry'!$ļ$608)</f>
      </c>
      <c r="IS608">
        <f>IF(ISBLANK('Data Entry'!$Ľ$608), "", 'Data Entry'!$Ľ$608)</f>
      </c>
      <c r="IT608">
        <f>IF(ISBLANK('Data Entry'!$ľ$608), "", 'Data Entry'!$ľ$608)</f>
      </c>
    </row>
    <row r="609" spans="1:254" x14ac:dyDescent="0.25">
      <c r="A609">
        <f>IF(ISBLANK('Data Entry'!$A$609), "", 'Data Entry'!$A$609)</f>
      </c>
      <c r="B609">
        <f>IF(ISBLANK('Data Entry'!$B$609), "", 'Data Entry'!$B$609)</f>
      </c>
      <c r="C609">
        <f>IF(ISBLANK('Data Entry'!$C$609), "", 'Data Entry'!$C$609)</f>
      </c>
      <c r="D609">
        <f>IF(ISBLANK('Data Entry'!$D$609), "", 'Data Entry'!$D$609)</f>
      </c>
      <c r="E609">
        <f>IF(ISBLANK('Data Entry'!$E$609), "", 'Data Entry'!$E$609)</f>
      </c>
      <c r="F609">
        <f>IF(ISBLANK('Data Entry'!$F$609), "", 'Data Entry'!$F$609)</f>
      </c>
      <c r="G609">
        <f>IF(ISBLANK('Data Entry'!$G$609), "", 'Data Entry'!$G$609)</f>
      </c>
      <c r="H609">
        <f>IF(ISBLANK('Data Entry'!$H$609), "", 'Data Entry'!$H$609)</f>
      </c>
      <c r="I609">
        <f>IF(ISBLANK('Data Entry'!$I$609), "", 'Data Entry'!$I$609)</f>
      </c>
      <c r="J609">
        <f>IF(ISBLANK('Data Entry'!$J$609), "", 'Data Entry'!$J$609)</f>
      </c>
      <c r="K609">
        <f>IF(ISBLANK('Data Entry'!$K$609), "", 'Data Entry'!$K$609)</f>
      </c>
      <c r="L609">
        <f>IF(ISBLANK('Data Entry'!$L$609), "", 'Data Entry'!$L$609)</f>
      </c>
      <c r="M609">
        <f>IF(ISBLANK('Data Entry'!$M$609), "", 'Data Entry'!$M$609)</f>
      </c>
      <c r="N609">
        <f>IF(ISBLANK('Data Entry'!$N$609), "", 'Data Entry'!$N$609)</f>
      </c>
      <c r="O609">
        <f>IF(ISBLANK('Data Entry'!$O$609), "", 'Data Entry'!$O$609)</f>
      </c>
      <c r="P609">
        <f>IF(ISBLANK('Data Entry'!$P$609), "", 'Data Entry'!$P$609)</f>
      </c>
      <c r="Q609">
        <f>IF(ISBLANK('Data Entry'!$Q$609), "", 'Data Entry'!$Q$609)</f>
      </c>
      <c r="R609">
        <f>IF(ISBLANK('Data Entry'!$R$609), "", 'Data Entry'!$R$609)</f>
      </c>
      <c r="S609">
        <f>IF(ISBLANK('Data Entry'!$S$609), "", 'Data Entry'!$S$609)</f>
      </c>
      <c r="T609">
        <f>IF(ISBLANK('Data Entry'!$T$609), "", 'Data Entry'!$T$609)</f>
      </c>
      <c r="U609">
        <f>IF(ISBLANK('Data Entry'!$U$609), "", 'Data Entry'!$U$609)</f>
      </c>
      <c r="V609">
        <f>IF(ISBLANK('Data Entry'!$V$609), "", 'Data Entry'!$V$609)</f>
      </c>
      <c r="W609">
        <f>IF(ISBLANK('Data Entry'!$W$609), "", 'Data Entry'!$W$609)</f>
      </c>
      <c r="X609">
        <f>IF(ISBLANK('Data Entry'!$X$609), "", 'Data Entry'!$X$609)</f>
      </c>
      <c r="Y609">
        <f>IF(ISBLANK('Data Entry'!$Y$609), "", 'Data Entry'!$Y$609)</f>
      </c>
      <c r="Z609">
        <f>IF(ISBLANK('Data Entry'!$Z$609), "", 'Data Entry'!$Z$609)</f>
      </c>
      <c r="AA609">
        <f>IF(ISBLANK('Data Entry'!$[$609), "", 'Data Entry'!$[$609)</f>
      </c>
      <c r="AB609">
        <f>IF(ISBLANK('Data Entry'!$\$609), "", 'Data Entry'!$\$609)</f>
      </c>
      <c r="AC609">
        <f>IF(ISBLANK('Data Entry'!$]$609), "", 'Data Entry'!$]$609)</f>
      </c>
      <c r="AD609">
        <f>IF(ISBLANK('Data Entry'!$^$609), "", 'Data Entry'!$^$609)</f>
      </c>
      <c r="AE609">
        <f>IF(ISBLANK('Data Entry'!$_$609), "", 'Data Entry'!$_$609)</f>
      </c>
      <c r="AF609">
        <f>IF(ISBLANK('Data Entry'!$`$609), "", 'Data Entry'!$`$609)</f>
      </c>
      <c r="AG609">
        <f>IF(ISBLANK('Data Entry'!$a$609), "", 'Data Entry'!$a$609)</f>
      </c>
      <c r="AH609">
        <f>IF(ISBLANK('Data Entry'!$b$609), "", 'Data Entry'!$b$609)</f>
      </c>
      <c r="AI609">
        <f>IF(ISBLANK('Data Entry'!$c$609), "", 'Data Entry'!$c$609)</f>
      </c>
      <c r="AJ609">
        <f>IF(ISBLANK('Data Entry'!$d$609), "", 'Data Entry'!$d$609)</f>
      </c>
      <c r="AK609">
        <f>IF(ISBLANK('Data Entry'!$e$609), "", 'Data Entry'!$e$609)</f>
      </c>
      <c r="AL609">
        <f>IF(ISBLANK('Data Entry'!$f$609), "", 'Data Entry'!$f$609)</f>
      </c>
      <c r="AM609">
        <f>IF(ISBLANK('Data Entry'!$g$609), "", 'Data Entry'!$g$609)</f>
      </c>
      <c r="AN609">
        <f>IF(ISBLANK('Data Entry'!$h$609), "", 'Data Entry'!$h$609)</f>
      </c>
      <c r="AO609">
        <f>IF(ISBLANK('Data Entry'!$i$609), "", 'Data Entry'!$i$609)</f>
      </c>
      <c r="AP609">
        <f>IF(ISBLANK('Data Entry'!$j$609), "", 'Data Entry'!$j$609)</f>
      </c>
      <c r="AQ609">
        <f>IF(ISBLANK('Data Entry'!$k$609), "", 'Data Entry'!$k$609)</f>
      </c>
      <c r="AR609">
        <f>IF(ISBLANK('Data Entry'!$l$609), "", 'Data Entry'!$l$609)</f>
      </c>
      <c r="AS609">
        <f>IF(ISBLANK('Data Entry'!$m$609), "", 'Data Entry'!$m$609)</f>
      </c>
      <c r="AT609">
        <f>IF(ISBLANK('Data Entry'!$n$609), "", 'Data Entry'!$n$609)</f>
      </c>
      <c r="AU609">
        <f>IF(ISBLANK('Data Entry'!$o$609), "", 'Data Entry'!$o$609)</f>
      </c>
      <c r="AV609">
        <f>IF(ISBLANK('Data Entry'!$p$609), "", 'Data Entry'!$p$609)</f>
      </c>
      <c r="AW609">
        <f>IF(ISBLANK('Data Entry'!$q$609), "", 'Data Entry'!$q$609)</f>
      </c>
      <c r="AX609">
        <f>IF(ISBLANK('Data Entry'!$r$609), "", 'Data Entry'!$r$609)</f>
      </c>
      <c r="AY609">
        <f>IF(ISBLANK('Data Entry'!$s$609), "", 'Data Entry'!$s$609)</f>
      </c>
      <c r="AZ609">
        <f>IF(ISBLANK('Data Entry'!$t$609), "", 'Data Entry'!$t$609)</f>
      </c>
      <c r="BA609">
        <f>IF(ISBLANK('Data Entry'!$u$609), "", 'Data Entry'!$u$609)</f>
      </c>
      <c r="BB609">
        <f>IF(ISBLANK('Data Entry'!$v$609), "", 'Data Entry'!$v$609)</f>
      </c>
      <c r="BC609">
        <f>IF(ISBLANK('Data Entry'!$w$609), "", 'Data Entry'!$w$609)</f>
      </c>
      <c r="BD609">
        <f>IF(ISBLANK('Data Entry'!$x$609), "", 'Data Entry'!$x$609)</f>
      </c>
      <c r="BE609">
        <f>IF(ISBLANK('Data Entry'!$y$609), "", 'Data Entry'!$y$609)</f>
      </c>
      <c r="BF609">
        <f>IF(ISBLANK('Data Entry'!$z$609), "", 'Data Entry'!$z$609)</f>
      </c>
      <c r="BG609">
        <f>IF(ISBLANK('Data Entry'!${$609), "", 'Data Entry'!${$609)</f>
      </c>
      <c r="BH609">
        <f>IF(ISBLANK('Data Entry'!$|$609), "", 'Data Entry'!$|$609)</f>
      </c>
      <c r="BI609">
        <f>IF(ISBLANK('Data Entry'!$}$609), "", 'Data Entry'!$}$609)</f>
      </c>
      <c r="BJ609">
        <f>IF(ISBLANK('Data Entry'!$~$609), "", 'Data Entry'!$~$609)</f>
      </c>
      <c r="BK609">
        <f>IF(ISBLANK('Data Entry'!$$609), "", 'Data Entry'!$$609)</f>
      </c>
      <c r="BL609">
        <f>IF(ISBLANK('Data Entry'!$$609), "", 'Data Entry'!$$609)</f>
      </c>
      <c r="BM609">
        <f>IF(ISBLANK('Data Entry'!$$609), "", 'Data Entry'!$$609)</f>
      </c>
      <c r="BN609">
        <f>IF(ISBLANK('Data Entry'!$$609), "", 'Data Entry'!$$609)</f>
      </c>
      <c r="BO609">
        <f>IF(ISBLANK('Data Entry'!$$609), "", 'Data Entry'!$$609)</f>
      </c>
      <c r="BP609">
        <f>IF(ISBLANK('Data Entry'!$$609), "", 'Data Entry'!$$609)</f>
      </c>
      <c r="BQ609">
        <f>IF(ISBLANK('Data Entry'!$$609), "", 'Data Entry'!$$609)</f>
      </c>
      <c r="BR609">
        <f>IF(ISBLANK('Data Entry'!$$609), "", 'Data Entry'!$$609)</f>
      </c>
      <c r="BS609">
        <f>IF(ISBLANK('Data Entry'!$$609), "", 'Data Entry'!$$609)</f>
      </c>
      <c r="BT609">
        <f>IF(ISBLANK('Data Entry'!$$609), "", 'Data Entry'!$$609)</f>
      </c>
      <c r="BU609">
        <f>IF(ISBLANK('Data Entry'!$$609), "", 'Data Entry'!$$609)</f>
      </c>
      <c r="BV609">
        <f>IF(ISBLANK('Data Entry'!$$609), "", 'Data Entry'!$$609)</f>
      </c>
      <c r="BW609">
        <f>IF(ISBLANK('Data Entry'!$$609), "", 'Data Entry'!$$609)</f>
      </c>
      <c r="BX609">
        <f>IF(ISBLANK('Data Entry'!$$609), "", 'Data Entry'!$$609)</f>
      </c>
      <c r="BY609">
        <f>IF(ISBLANK('Data Entry'!$$609), "", 'Data Entry'!$$609)</f>
      </c>
      <c r="BZ609">
        <f>IF(ISBLANK('Data Entry'!$$609), "", 'Data Entry'!$$609)</f>
      </c>
      <c r="CA609">
        <f>IF(ISBLANK('Data Entry'!$$609), "", 'Data Entry'!$$609)</f>
      </c>
      <c r="CB609">
        <f>IF(ISBLANK('Data Entry'!$$609), "", 'Data Entry'!$$609)</f>
      </c>
      <c r="CC609">
        <f>IF(ISBLANK('Data Entry'!$$609), "", 'Data Entry'!$$609)</f>
      </c>
      <c r="CD609">
        <f>IF(ISBLANK('Data Entry'!$$609), "", 'Data Entry'!$$609)</f>
      </c>
      <c r="CE609">
        <f>IF(ISBLANK('Data Entry'!$$609), "", 'Data Entry'!$$609)</f>
      </c>
      <c r="CF609">
        <f>IF(ISBLANK('Data Entry'!$$609), "", 'Data Entry'!$$609)</f>
      </c>
      <c r="CG609">
        <f>IF(ISBLANK('Data Entry'!$$609), "", 'Data Entry'!$$609)</f>
      </c>
      <c r="CH609">
        <f>IF(ISBLANK('Data Entry'!$$609), "", 'Data Entry'!$$609)</f>
      </c>
      <c r="CI609">
        <f>IF(ISBLANK('Data Entry'!$$609), "", 'Data Entry'!$$609)</f>
      </c>
      <c r="CJ609">
        <f>IF(ISBLANK('Data Entry'!$$609), "", 'Data Entry'!$$609)</f>
      </c>
      <c r="CK609">
        <f>IF(ISBLANK('Data Entry'!$$609), "", 'Data Entry'!$$609)</f>
      </c>
      <c r="CL609">
        <f>IF(ISBLANK('Data Entry'!$$609), "", 'Data Entry'!$$609)</f>
      </c>
      <c r="CM609">
        <f>IF(ISBLANK('Data Entry'!$$609), "", 'Data Entry'!$$609)</f>
      </c>
      <c r="CN609">
        <f>IF(ISBLANK('Data Entry'!$$609), "", 'Data Entry'!$$609)</f>
      </c>
      <c r="CO609">
        <f>IF(ISBLANK('Data Entry'!$$609), "", 'Data Entry'!$$609)</f>
      </c>
      <c r="CP609">
        <f>IF(ISBLANK('Data Entry'!$$609), "", 'Data Entry'!$$609)</f>
      </c>
      <c r="CQ609">
        <f>IF(ISBLANK('Data Entry'!$$609), "", 'Data Entry'!$$609)</f>
      </c>
      <c r="CR609">
        <f>IF(ISBLANK('Data Entry'!$ $609), "", 'Data Entry'!$ $609)</f>
      </c>
      <c r="CS609">
        <f>IF(ISBLANK('Data Entry'!$¡$609), "", 'Data Entry'!$¡$609)</f>
      </c>
      <c r="CT609">
        <f>IF(ISBLANK('Data Entry'!$¢$609), "", 'Data Entry'!$¢$609)</f>
      </c>
      <c r="CU609">
        <f>IF(ISBLANK('Data Entry'!$£$609), "", 'Data Entry'!$£$609)</f>
      </c>
      <c r="CV609">
        <f>IF(ISBLANK('Data Entry'!$¤$609), "", 'Data Entry'!$¤$609)</f>
      </c>
      <c r="CW609">
        <f>IF(ISBLANK('Data Entry'!$¥$609), "", 'Data Entry'!$¥$609)</f>
      </c>
      <c r="CX609">
        <f>IF(ISBLANK('Data Entry'!$¦$609), "", 'Data Entry'!$¦$609)</f>
      </c>
      <c r="CY609">
        <f>IF(ISBLANK('Data Entry'!$§$609), "", 'Data Entry'!$§$609)</f>
      </c>
      <c r="CZ609">
        <f>IF(ISBLANK('Data Entry'!$¨$609), "", 'Data Entry'!$¨$609)</f>
      </c>
      <c r="DA609">
        <f>IF(ISBLANK('Data Entry'!$©$609), "", 'Data Entry'!$©$609)</f>
      </c>
      <c r="DB609">
        <f>IF(ISBLANK('Data Entry'!$ª$609), "", 'Data Entry'!$ª$609)</f>
      </c>
      <c r="DC609">
        <f>IF(ISBLANK('Data Entry'!$«$609), "", 'Data Entry'!$«$609)</f>
      </c>
      <c r="DD609">
        <f>IF(ISBLANK('Data Entry'!$¬$609), "", 'Data Entry'!$¬$609)</f>
      </c>
      <c r="DE609">
        <f>IF(ISBLANK('Data Entry'!$­$609), "", 'Data Entry'!$­$609)</f>
      </c>
      <c r="DF609">
        <f>IF(ISBLANK('Data Entry'!$®$609), "", 'Data Entry'!$®$609)</f>
      </c>
      <c r="DG609">
        <f>IF(ISBLANK('Data Entry'!$¯$609), "", 'Data Entry'!$¯$609)</f>
      </c>
      <c r="DH609">
        <f>IF(ISBLANK('Data Entry'!$°$609), "", 'Data Entry'!$°$609)</f>
      </c>
      <c r="DI609">
        <f>IF(ISBLANK('Data Entry'!$±$609), "", 'Data Entry'!$±$609)</f>
      </c>
      <c r="DJ609">
        <f>IF(ISBLANK('Data Entry'!$²$609), "", 'Data Entry'!$²$609)</f>
      </c>
      <c r="DK609">
        <f>IF(ISBLANK('Data Entry'!$³$609), "", 'Data Entry'!$³$609)</f>
      </c>
      <c r="DL609">
        <f>IF(ISBLANK('Data Entry'!$´$609), "", 'Data Entry'!$´$609)</f>
      </c>
      <c r="DM609">
        <f>IF(ISBLANK('Data Entry'!$µ$609), "", 'Data Entry'!$µ$609)</f>
      </c>
      <c r="DN609">
        <f>IF(ISBLANK('Data Entry'!$¶$609), "", 'Data Entry'!$¶$609)</f>
      </c>
      <c r="DO609">
        <f>IF(ISBLANK('Data Entry'!$·$609), "", 'Data Entry'!$·$609)</f>
      </c>
      <c r="DP609">
        <f>IF(ISBLANK('Data Entry'!$¸$609), "", 'Data Entry'!$¸$609)</f>
      </c>
      <c r="DQ609">
        <f>IF(ISBLANK('Data Entry'!$¹$609), "", 'Data Entry'!$¹$609)</f>
      </c>
      <c r="DR609">
        <f>IF(ISBLANK('Data Entry'!$º$609), "", 'Data Entry'!$º$609)</f>
      </c>
      <c r="DS609">
        <f>IF(ISBLANK('Data Entry'!$»$609), "", 'Data Entry'!$»$609)</f>
      </c>
      <c r="DT609">
        <f>IF(ISBLANK('Data Entry'!$¼$609), "", 'Data Entry'!$¼$609)</f>
      </c>
      <c r="DU609">
        <f>IF(ISBLANK('Data Entry'!$½$609), "", 'Data Entry'!$½$609)</f>
      </c>
      <c r="DV609">
        <f>IF(ISBLANK('Data Entry'!$¾$609), "", 'Data Entry'!$¾$609)</f>
      </c>
      <c r="DW609">
        <f>IF(ISBLANK('Data Entry'!$¿$609), "", 'Data Entry'!$¿$609)</f>
      </c>
      <c r="DX609">
        <f>IF(ISBLANK('Data Entry'!$À$609), "", 'Data Entry'!$À$609)</f>
      </c>
      <c r="DY609">
        <f>IF(ISBLANK('Data Entry'!$Á$609), "", 'Data Entry'!$Á$609)</f>
      </c>
      <c r="DZ609">
        <f>IF(ISBLANK('Data Entry'!$Â$609), "", 'Data Entry'!$Â$609)</f>
      </c>
      <c r="EA609">
        <f>IF(ISBLANK('Data Entry'!$Ã$609), "", 'Data Entry'!$Ã$609)</f>
      </c>
      <c r="EB609">
        <f>IF(ISBLANK('Data Entry'!$Ä$609), "", 'Data Entry'!$Ä$609)</f>
      </c>
      <c r="EC609">
        <f>IF(ISBLANK('Data Entry'!$Å$609), "", 'Data Entry'!$Å$609)</f>
      </c>
      <c r="ED609">
        <f>IF(ISBLANK('Data Entry'!$Æ$609), "", 'Data Entry'!$Æ$609)</f>
      </c>
      <c r="EE609">
        <f>IF(ISBLANK('Data Entry'!$Ç$609), "", 'Data Entry'!$Ç$609)</f>
      </c>
      <c r="EF609">
        <f>IF(ISBLANK('Data Entry'!$È$609), "", 'Data Entry'!$È$609)</f>
      </c>
      <c r="EG609">
        <f>IF(ISBLANK('Data Entry'!$É$609), "", 'Data Entry'!$É$609)</f>
      </c>
      <c r="EH609">
        <f>IF(ISBLANK('Data Entry'!$Ê$609), "", 'Data Entry'!$Ê$609)</f>
      </c>
      <c r="EI609">
        <f>IF(ISBLANK('Data Entry'!$Ë$609), "", 'Data Entry'!$Ë$609)</f>
      </c>
      <c r="EJ609">
        <f>IF(ISBLANK('Data Entry'!$Ì$609), "", 'Data Entry'!$Ì$609)</f>
      </c>
      <c r="EK609">
        <f>IF(ISBLANK('Data Entry'!$Í$609), "", 'Data Entry'!$Í$609)</f>
      </c>
      <c r="EL609">
        <f>IF(ISBLANK('Data Entry'!$Î$609), "", 'Data Entry'!$Î$609)</f>
      </c>
      <c r="EM609">
        <f>IF(ISBLANK('Data Entry'!$Ï$609), "", 'Data Entry'!$Ï$609)</f>
      </c>
      <c r="EN609">
        <f>IF(ISBLANK('Data Entry'!$Ð$609), "", 'Data Entry'!$Ð$609)</f>
      </c>
      <c r="EO609">
        <f>IF(ISBLANK('Data Entry'!$Ñ$609), "", 'Data Entry'!$Ñ$609)</f>
      </c>
      <c r="EP609">
        <f>IF(ISBLANK('Data Entry'!$Ò$609), "", 'Data Entry'!$Ò$609)</f>
      </c>
      <c r="EQ609">
        <f>IF(ISBLANK('Data Entry'!$Ó$609), "", 'Data Entry'!$Ó$609)</f>
      </c>
      <c r="ER609">
        <f>IF(ISBLANK('Data Entry'!$Ô$609), "", 'Data Entry'!$Ô$609)</f>
      </c>
      <c r="ES609">
        <f>IF(ISBLANK('Data Entry'!$Õ$609), "", 'Data Entry'!$Õ$609)</f>
      </c>
      <c r="ET609">
        <f>IF(ISBLANK('Data Entry'!$Ö$609), "", 'Data Entry'!$Ö$609)</f>
      </c>
      <c r="EU609">
        <f>IF(ISBLANK('Data Entry'!$×$609), "", 'Data Entry'!$×$609)</f>
      </c>
      <c r="EV609">
        <f>IF(ISBLANK('Data Entry'!$Ø$609), "", 'Data Entry'!$Ø$609)</f>
      </c>
      <c r="EW609">
        <f>IF(ISBLANK('Data Entry'!$Ù$609), "", 'Data Entry'!$Ù$609)</f>
      </c>
      <c r="EX609">
        <f>IF(ISBLANK('Data Entry'!$Ú$609), "", 'Data Entry'!$Ú$609)</f>
      </c>
      <c r="EY609">
        <f>IF(ISBLANK('Data Entry'!$Û$609), "", 'Data Entry'!$Û$609)</f>
      </c>
      <c r="EZ609">
        <f>IF(ISBLANK('Data Entry'!$Ü$609), "", 'Data Entry'!$Ü$609)</f>
      </c>
      <c r="FA609">
        <f>IF(ISBLANK('Data Entry'!$Ý$609), "", 'Data Entry'!$Ý$609)</f>
      </c>
      <c r="FB609">
        <f>IF(ISBLANK('Data Entry'!$Þ$609), "", 'Data Entry'!$Þ$609)</f>
      </c>
      <c r="FC609">
        <f>IF(ISBLANK('Data Entry'!$ß$609), "", 'Data Entry'!$ß$609)</f>
      </c>
      <c r="FD609">
        <f>IF(ISBLANK('Data Entry'!$à$609), "", 'Data Entry'!$à$609)</f>
      </c>
      <c r="FE609">
        <f>IF(ISBLANK('Data Entry'!$á$609), "", 'Data Entry'!$á$609)</f>
      </c>
      <c r="FF609">
        <f>IF(ISBLANK('Data Entry'!$â$609), "", 'Data Entry'!$â$609)</f>
      </c>
      <c r="FG609">
        <f>IF(ISBLANK('Data Entry'!$ã$609), "", 'Data Entry'!$ã$609)</f>
      </c>
      <c r="FH609">
        <f>IF(ISBLANK('Data Entry'!$ä$609), "", 'Data Entry'!$ä$609)</f>
      </c>
      <c r="FI609">
        <f>IF(ISBLANK('Data Entry'!$å$609), "", 'Data Entry'!$å$609)</f>
      </c>
      <c r="FJ609">
        <f>IF(ISBLANK('Data Entry'!$æ$609), "", 'Data Entry'!$æ$609)</f>
      </c>
      <c r="FK609">
        <f>IF(ISBLANK('Data Entry'!$ç$609), "", 'Data Entry'!$ç$609)</f>
      </c>
      <c r="FL609">
        <f>IF(ISBLANK('Data Entry'!$è$609), "", 'Data Entry'!$è$609)</f>
      </c>
      <c r="FM609">
        <f>IF(ISBLANK('Data Entry'!$é$609), "", 'Data Entry'!$é$609)</f>
      </c>
      <c r="FN609">
        <f>IF(ISBLANK('Data Entry'!$ê$609), "", 'Data Entry'!$ê$609)</f>
      </c>
      <c r="FO609">
        <f>IF(ISBLANK('Data Entry'!$ë$609), "", 'Data Entry'!$ë$609)</f>
      </c>
      <c r="FP609">
        <f>IF(ISBLANK('Data Entry'!$ì$609), "", 'Data Entry'!$ì$609)</f>
      </c>
      <c r="FQ609">
        <f>IF(ISBLANK('Data Entry'!$í$609), "", 'Data Entry'!$í$609)</f>
      </c>
      <c r="FR609">
        <f>IF(ISBLANK('Data Entry'!$î$609), "", 'Data Entry'!$î$609)</f>
      </c>
      <c r="FS609">
        <f>IF(ISBLANK('Data Entry'!$ï$609), "", 'Data Entry'!$ï$609)</f>
      </c>
      <c r="FT609">
        <f>IF(ISBLANK('Data Entry'!$ð$609), "", 'Data Entry'!$ð$609)</f>
      </c>
      <c r="FU609">
        <f>IF(ISBLANK('Data Entry'!$ñ$609), "", 'Data Entry'!$ñ$609)</f>
      </c>
      <c r="FV609">
        <f>IF(ISBLANK('Data Entry'!$ò$609), "", 'Data Entry'!$ò$609)</f>
      </c>
      <c r="FW609">
        <f>IF(ISBLANK('Data Entry'!$ó$609), "", 'Data Entry'!$ó$609)</f>
      </c>
      <c r="FX609">
        <f>IF(ISBLANK('Data Entry'!$ô$609), "", 'Data Entry'!$ô$609)</f>
      </c>
      <c r="FY609">
        <f>IF(ISBLANK('Data Entry'!$õ$609), "", 'Data Entry'!$õ$609)</f>
      </c>
      <c r="FZ609">
        <f>IF(ISBLANK('Data Entry'!$ö$609), "", 'Data Entry'!$ö$609)</f>
      </c>
      <c r="GA609">
        <f>IF(ISBLANK('Data Entry'!$÷$609), "", 'Data Entry'!$÷$609)</f>
      </c>
      <c r="GB609">
        <f>IF(ISBLANK('Data Entry'!$ø$609), "", 'Data Entry'!$ø$609)</f>
      </c>
      <c r="GC609">
        <f>IF(ISBLANK('Data Entry'!$ù$609), "", 'Data Entry'!$ù$609)</f>
      </c>
      <c r="GD609">
        <f>IF(ISBLANK('Data Entry'!$ú$609), "", 'Data Entry'!$ú$609)</f>
      </c>
      <c r="GE609">
        <f>IF(ISBLANK('Data Entry'!$û$609), "", 'Data Entry'!$û$609)</f>
      </c>
      <c r="GF609">
        <f>IF(ISBLANK('Data Entry'!$ü$609), "", 'Data Entry'!$ü$609)</f>
      </c>
      <c r="GG609">
        <f>IF(ISBLANK('Data Entry'!$ý$609), "", 'Data Entry'!$ý$609)</f>
      </c>
      <c r="GH609">
        <f>IF(ISBLANK('Data Entry'!$þ$609), "", 'Data Entry'!$þ$609)</f>
      </c>
      <c r="GI609">
        <f>IF(ISBLANK('Data Entry'!$ÿ$609), "", 'Data Entry'!$ÿ$609)</f>
      </c>
      <c r="GJ609">
        <f>IF(ISBLANK('Data Entry'!$Ā$609), "", 'Data Entry'!$Ā$609)</f>
      </c>
      <c r="GK609">
        <f>IF(ISBLANK('Data Entry'!$ā$609), "", 'Data Entry'!$ā$609)</f>
      </c>
      <c r="GL609">
        <f>IF(ISBLANK('Data Entry'!$Ă$609), "", 'Data Entry'!$Ă$609)</f>
      </c>
      <c r="GM609">
        <f>IF(ISBLANK('Data Entry'!$ă$609), "", 'Data Entry'!$ă$609)</f>
      </c>
      <c r="GN609">
        <f>IF(ISBLANK('Data Entry'!$Ą$609), "", 'Data Entry'!$Ą$609)</f>
      </c>
      <c r="GO609">
        <f>IF(ISBLANK('Data Entry'!$ą$609), "", 'Data Entry'!$ą$609)</f>
      </c>
      <c r="GP609">
        <f>IF(ISBLANK('Data Entry'!$Ć$609), "", 'Data Entry'!$Ć$609)</f>
      </c>
      <c r="GQ609">
        <f>IF(ISBLANK('Data Entry'!$ć$609), "", 'Data Entry'!$ć$609)</f>
      </c>
      <c r="GR609">
        <f>IF(ISBLANK('Data Entry'!$Ĉ$609), "", 'Data Entry'!$Ĉ$609)</f>
      </c>
      <c r="GS609">
        <f>IF(ISBLANK('Data Entry'!$ĉ$609), "", 'Data Entry'!$ĉ$609)</f>
      </c>
      <c r="GT609">
        <f>IF(ISBLANK('Data Entry'!$Ċ$609), "", 'Data Entry'!$Ċ$609)</f>
      </c>
      <c r="GU609">
        <f>IF(ISBLANK('Data Entry'!$ċ$609), "", 'Data Entry'!$ċ$609)</f>
      </c>
      <c r="GV609">
        <f>IF(ISBLANK('Data Entry'!$Č$609), "", 'Data Entry'!$Č$609)</f>
      </c>
      <c r="GW609">
        <f>IF(ISBLANK('Data Entry'!$č$609), "", 'Data Entry'!$č$609)</f>
      </c>
      <c r="GX609">
        <f>IF(ISBLANK('Data Entry'!$Ď$609), "", 'Data Entry'!$Ď$609)</f>
      </c>
      <c r="GY609">
        <f>IF(ISBLANK('Data Entry'!$ď$609), "", 'Data Entry'!$ď$609)</f>
      </c>
      <c r="GZ609">
        <f>IF(ISBLANK('Data Entry'!$Đ$609), "", 'Data Entry'!$Đ$609)</f>
      </c>
      <c r="HA609">
        <f>IF(ISBLANK('Data Entry'!$đ$609), "", 'Data Entry'!$đ$609)</f>
      </c>
      <c r="HB609">
        <f>IF(ISBLANK('Data Entry'!$Ē$609), "", 'Data Entry'!$Ē$609)</f>
      </c>
      <c r="HC609">
        <f>IF(ISBLANK('Data Entry'!$ē$609), "", 'Data Entry'!$ē$609)</f>
      </c>
      <c r="HD609">
        <f>IF(ISBLANK('Data Entry'!$Ĕ$609), "", 'Data Entry'!$Ĕ$609)</f>
      </c>
      <c r="HE609">
        <f>IF(ISBLANK('Data Entry'!$ĕ$609), "", 'Data Entry'!$ĕ$609)</f>
      </c>
      <c r="HF609">
        <f>IF(ISBLANK('Data Entry'!$Ė$609), "", 'Data Entry'!$Ė$609)</f>
      </c>
      <c r="HG609">
        <f>IF(ISBLANK('Data Entry'!$ė$609), "", 'Data Entry'!$ė$609)</f>
      </c>
      <c r="HH609">
        <f>IF(ISBLANK('Data Entry'!$Ę$609), "", 'Data Entry'!$Ę$609)</f>
      </c>
      <c r="HI609">
        <f>IF(ISBLANK('Data Entry'!$ę$609), "", 'Data Entry'!$ę$609)</f>
      </c>
      <c r="HJ609">
        <f>IF(ISBLANK('Data Entry'!$Ě$609), "", 'Data Entry'!$Ě$609)</f>
      </c>
      <c r="HK609">
        <f>IF(ISBLANK('Data Entry'!$ě$609), "", 'Data Entry'!$ě$609)</f>
      </c>
      <c r="HL609">
        <f>IF(ISBLANK('Data Entry'!$Ĝ$609), "", 'Data Entry'!$Ĝ$609)</f>
      </c>
      <c r="HM609">
        <f>IF(ISBLANK('Data Entry'!$ĝ$609), "", 'Data Entry'!$ĝ$609)</f>
      </c>
      <c r="HN609">
        <f>IF(ISBLANK('Data Entry'!$Ğ$609), "", 'Data Entry'!$Ğ$609)</f>
      </c>
      <c r="HO609">
        <f>IF(ISBLANK('Data Entry'!$ğ$609), "", 'Data Entry'!$ğ$609)</f>
      </c>
      <c r="HP609">
        <f>IF(ISBLANK('Data Entry'!$Ġ$609), "", 'Data Entry'!$Ġ$609)</f>
      </c>
      <c r="HQ609">
        <f>IF(ISBLANK('Data Entry'!$ġ$609), "", 'Data Entry'!$ġ$609)</f>
      </c>
      <c r="HR609">
        <f>IF(ISBLANK('Data Entry'!$Ģ$609), "", 'Data Entry'!$Ģ$609)</f>
      </c>
      <c r="HS609">
        <f>IF(ISBLANK('Data Entry'!$ģ$609), "", 'Data Entry'!$ģ$609)</f>
      </c>
      <c r="HT609">
        <f>IF(ISBLANK('Data Entry'!$Ĥ$609), "", 'Data Entry'!$Ĥ$609)</f>
      </c>
      <c r="HU609">
        <f>IF(ISBLANK('Data Entry'!$ĥ$609), "", 'Data Entry'!$ĥ$609)</f>
      </c>
      <c r="HV609">
        <f>IF(ISBLANK('Data Entry'!$Ħ$609), "", 'Data Entry'!$Ħ$609)</f>
      </c>
      <c r="HW609">
        <f>IF(ISBLANK('Data Entry'!$ħ$609), "", 'Data Entry'!$ħ$609)</f>
      </c>
      <c r="HX609">
        <f>IF(ISBLANK('Data Entry'!$Ĩ$609), "", 'Data Entry'!$Ĩ$609)</f>
      </c>
      <c r="HY609">
        <f>IF(ISBLANK('Data Entry'!$ĩ$609), "", 'Data Entry'!$ĩ$609)</f>
      </c>
      <c r="HZ609">
        <f>IF(ISBLANK('Data Entry'!$Ī$609), "", 'Data Entry'!$Ī$609)</f>
      </c>
      <c r="IA609">
        <f>IF(ISBLANK('Data Entry'!$ī$609), "", 'Data Entry'!$ī$609)</f>
      </c>
      <c r="IB609">
        <f>IF(ISBLANK('Data Entry'!$Ĭ$609), "", 'Data Entry'!$Ĭ$609)</f>
      </c>
      <c r="IC609">
        <f>IF(ISBLANK('Data Entry'!$ĭ$609), "", 'Data Entry'!$ĭ$609)</f>
      </c>
      <c r="ID609">
        <f>IF(ISBLANK('Data Entry'!$Į$609), "", 'Data Entry'!$Į$609)</f>
      </c>
      <c r="IE609">
        <f>IF(ISBLANK('Data Entry'!$į$609), "", 'Data Entry'!$į$609)</f>
      </c>
      <c r="IF609">
        <f>IF(ISBLANK('Data Entry'!$İ$609), "", 'Data Entry'!$İ$609)</f>
      </c>
      <c r="IG609">
        <f>IF(ISBLANK('Data Entry'!$ı$609), "", 'Data Entry'!$ı$609)</f>
      </c>
      <c r="IH609">
        <f>IF(ISBLANK('Data Entry'!$Ĳ$609), "", 'Data Entry'!$Ĳ$609)</f>
      </c>
      <c r="II609">
        <f>IF(ISBLANK('Data Entry'!$ĳ$609), "", 'Data Entry'!$ĳ$609)</f>
      </c>
      <c r="IJ609">
        <f>IF(ISBLANK('Data Entry'!$Ĵ$609), "", 'Data Entry'!$Ĵ$609)</f>
      </c>
      <c r="IK609">
        <f>IF(ISBLANK('Data Entry'!$ĵ$609), "", 'Data Entry'!$ĵ$609)</f>
      </c>
      <c r="IL609">
        <f>IF(ISBLANK('Data Entry'!$Ķ$609), "", 'Data Entry'!$Ķ$609)</f>
      </c>
      <c r="IM609">
        <f>IF(ISBLANK('Data Entry'!$ķ$609), "", 'Data Entry'!$ķ$609)</f>
      </c>
      <c r="IN609">
        <f>IF(ISBLANK('Data Entry'!$ĸ$609), "", 'Data Entry'!$ĸ$609)</f>
      </c>
      <c r="IO609">
        <f>IF(ISBLANK('Data Entry'!$Ĺ$609), "", 'Data Entry'!$Ĺ$609)</f>
      </c>
      <c r="IP609">
        <f>IF(ISBLANK('Data Entry'!$ĺ$609), "", 'Data Entry'!$ĺ$609)</f>
      </c>
      <c r="IQ609">
        <f>IF(ISBLANK('Data Entry'!$Ļ$609), "", 'Data Entry'!$Ļ$609)</f>
      </c>
      <c r="IR609">
        <f>IF(ISBLANK('Data Entry'!$ļ$609), "", 'Data Entry'!$ļ$609)</f>
      </c>
      <c r="IS609">
        <f>IF(ISBLANK('Data Entry'!$Ľ$609), "", 'Data Entry'!$Ľ$609)</f>
      </c>
      <c r="IT609">
        <f>IF(ISBLANK('Data Entry'!$ľ$609), "", 'Data Entry'!$ľ$609)</f>
      </c>
    </row>
    <row r="610" spans="1:254" x14ac:dyDescent="0.25">
      <c r="A610">
        <f>IF(ISBLANK('Data Entry'!$A$610), "", 'Data Entry'!$A$610)</f>
      </c>
      <c r="B610">
        <f>IF(ISBLANK('Data Entry'!$B$610), "", 'Data Entry'!$B$610)</f>
      </c>
      <c r="C610">
        <f>IF(ISBLANK('Data Entry'!$C$610), "", 'Data Entry'!$C$610)</f>
      </c>
      <c r="D610">
        <f>IF(ISBLANK('Data Entry'!$D$610), "", 'Data Entry'!$D$610)</f>
      </c>
      <c r="E610">
        <f>IF(ISBLANK('Data Entry'!$E$610), "", 'Data Entry'!$E$610)</f>
      </c>
      <c r="F610">
        <f>IF(ISBLANK('Data Entry'!$F$610), "", 'Data Entry'!$F$610)</f>
      </c>
      <c r="G610">
        <f>IF(ISBLANK('Data Entry'!$G$610), "", 'Data Entry'!$G$610)</f>
      </c>
      <c r="H610">
        <f>IF(ISBLANK('Data Entry'!$H$610), "", 'Data Entry'!$H$610)</f>
      </c>
      <c r="I610">
        <f>IF(ISBLANK('Data Entry'!$I$610), "", 'Data Entry'!$I$610)</f>
      </c>
      <c r="J610">
        <f>IF(ISBLANK('Data Entry'!$J$610), "", 'Data Entry'!$J$610)</f>
      </c>
      <c r="K610">
        <f>IF(ISBLANK('Data Entry'!$K$610), "", 'Data Entry'!$K$610)</f>
      </c>
      <c r="L610">
        <f>IF(ISBLANK('Data Entry'!$L$610), "", 'Data Entry'!$L$610)</f>
      </c>
      <c r="M610">
        <f>IF(ISBLANK('Data Entry'!$M$610), "", 'Data Entry'!$M$610)</f>
      </c>
      <c r="N610">
        <f>IF(ISBLANK('Data Entry'!$N$610), "", 'Data Entry'!$N$610)</f>
      </c>
      <c r="O610">
        <f>IF(ISBLANK('Data Entry'!$O$610), "", 'Data Entry'!$O$610)</f>
      </c>
      <c r="P610">
        <f>IF(ISBLANK('Data Entry'!$P$610), "", 'Data Entry'!$P$610)</f>
      </c>
      <c r="Q610">
        <f>IF(ISBLANK('Data Entry'!$Q$610), "", 'Data Entry'!$Q$610)</f>
      </c>
      <c r="R610">
        <f>IF(ISBLANK('Data Entry'!$R$610), "", 'Data Entry'!$R$610)</f>
      </c>
      <c r="S610">
        <f>IF(ISBLANK('Data Entry'!$S$610), "", 'Data Entry'!$S$610)</f>
      </c>
      <c r="T610">
        <f>IF(ISBLANK('Data Entry'!$T$610), "", 'Data Entry'!$T$610)</f>
      </c>
      <c r="U610">
        <f>IF(ISBLANK('Data Entry'!$U$610), "", 'Data Entry'!$U$610)</f>
      </c>
      <c r="V610">
        <f>IF(ISBLANK('Data Entry'!$V$610), "", 'Data Entry'!$V$610)</f>
      </c>
      <c r="W610">
        <f>IF(ISBLANK('Data Entry'!$W$610), "", 'Data Entry'!$W$610)</f>
      </c>
      <c r="X610">
        <f>IF(ISBLANK('Data Entry'!$X$610), "", 'Data Entry'!$X$610)</f>
      </c>
      <c r="Y610">
        <f>IF(ISBLANK('Data Entry'!$Y$610), "", 'Data Entry'!$Y$610)</f>
      </c>
      <c r="Z610">
        <f>IF(ISBLANK('Data Entry'!$Z$610), "", 'Data Entry'!$Z$610)</f>
      </c>
      <c r="AA610">
        <f>IF(ISBLANK('Data Entry'!$[$610), "", 'Data Entry'!$[$610)</f>
      </c>
      <c r="AB610">
        <f>IF(ISBLANK('Data Entry'!$\$610), "", 'Data Entry'!$\$610)</f>
      </c>
      <c r="AC610">
        <f>IF(ISBLANK('Data Entry'!$]$610), "", 'Data Entry'!$]$610)</f>
      </c>
      <c r="AD610">
        <f>IF(ISBLANK('Data Entry'!$^$610), "", 'Data Entry'!$^$610)</f>
      </c>
      <c r="AE610">
        <f>IF(ISBLANK('Data Entry'!$_$610), "", 'Data Entry'!$_$610)</f>
      </c>
      <c r="AF610">
        <f>IF(ISBLANK('Data Entry'!$`$610), "", 'Data Entry'!$`$610)</f>
      </c>
      <c r="AG610">
        <f>IF(ISBLANK('Data Entry'!$a$610), "", 'Data Entry'!$a$610)</f>
      </c>
      <c r="AH610">
        <f>IF(ISBLANK('Data Entry'!$b$610), "", 'Data Entry'!$b$610)</f>
      </c>
      <c r="AI610">
        <f>IF(ISBLANK('Data Entry'!$c$610), "", 'Data Entry'!$c$610)</f>
      </c>
      <c r="AJ610">
        <f>IF(ISBLANK('Data Entry'!$d$610), "", 'Data Entry'!$d$610)</f>
      </c>
      <c r="AK610">
        <f>IF(ISBLANK('Data Entry'!$e$610), "", 'Data Entry'!$e$610)</f>
      </c>
      <c r="AL610">
        <f>IF(ISBLANK('Data Entry'!$f$610), "", 'Data Entry'!$f$610)</f>
      </c>
      <c r="AM610">
        <f>IF(ISBLANK('Data Entry'!$g$610), "", 'Data Entry'!$g$610)</f>
      </c>
      <c r="AN610">
        <f>IF(ISBLANK('Data Entry'!$h$610), "", 'Data Entry'!$h$610)</f>
      </c>
      <c r="AO610">
        <f>IF(ISBLANK('Data Entry'!$i$610), "", 'Data Entry'!$i$610)</f>
      </c>
      <c r="AP610">
        <f>IF(ISBLANK('Data Entry'!$j$610), "", 'Data Entry'!$j$610)</f>
      </c>
      <c r="AQ610">
        <f>IF(ISBLANK('Data Entry'!$k$610), "", 'Data Entry'!$k$610)</f>
      </c>
      <c r="AR610">
        <f>IF(ISBLANK('Data Entry'!$l$610), "", 'Data Entry'!$l$610)</f>
      </c>
      <c r="AS610">
        <f>IF(ISBLANK('Data Entry'!$m$610), "", 'Data Entry'!$m$610)</f>
      </c>
      <c r="AT610">
        <f>IF(ISBLANK('Data Entry'!$n$610), "", 'Data Entry'!$n$610)</f>
      </c>
      <c r="AU610">
        <f>IF(ISBLANK('Data Entry'!$o$610), "", 'Data Entry'!$o$610)</f>
      </c>
      <c r="AV610">
        <f>IF(ISBLANK('Data Entry'!$p$610), "", 'Data Entry'!$p$610)</f>
      </c>
      <c r="AW610">
        <f>IF(ISBLANK('Data Entry'!$q$610), "", 'Data Entry'!$q$610)</f>
      </c>
      <c r="AX610">
        <f>IF(ISBLANK('Data Entry'!$r$610), "", 'Data Entry'!$r$610)</f>
      </c>
      <c r="AY610">
        <f>IF(ISBLANK('Data Entry'!$s$610), "", 'Data Entry'!$s$610)</f>
      </c>
      <c r="AZ610">
        <f>IF(ISBLANK('Data Entry'!$t$610), "", 'Data Entry'!$t$610)</f>
      </c>
      <c r="BA610">
        <f>IF(ISBLANK('Data Entry'!$u$610), "", 'Data Entry'!$u$610)</f>
      </c>
      <c r="BB610">
        <f>IF(ISBLANK('Data Entry'!$v$610), "", 'Data Entry'!$v$610)</f>
      </c>
      <c r="BC610">
        <f>IF(ISBLANK('Data Entry'!$w$610), "", 'Data Entry'!$w$610)</f>
      </c>
      <c r="BD610">
        <f>IF(ISBLANK('Data Entry'!$x$610), "", 'Data Entry'!$x$610)</f>
      </c>
      <c r="BE610">
        <f>IF(ISBLANK('Data Entry'!$y$610), "", 'Data Entry'!$y$610)</f>
      </c>
      <c r="BF610">
        <f>IF(ISBLANK('Data Entry'!$z$610), "", 'Data Entry'!$z$610)</f>
      </c>
      <c r="BG610">
        <f>IF(ISBLANK('Data Entry'!${$610), "", 'Data Entry'!${$610)</f>
      </c>
      <c r="BH610">
        <f>IF(ISBLANK('Data Entry'!$|$610), "", 'Data Entry'!$|$610)</f>
      </c>
      <c r="BI610">
        <f>IF(ISBLANK('Data Entry'!$}$610), "", 'Data Entry'!$}$610)</f>
      </c>
      <c r="BJ610">
        <f>IF(ISBLANK('Data Entry'!$~$610), "", 'Data Entry'!$~$610)</f>
      </c>
      <c r="BK610">
        <f>IF(ISBLANK('Data Entry'!$$610), "", 'Data Entry'!$$610)</f>
      </c>
      <c r="BL610">
        <f>IF(ISBLANK('Data Entry'!$$610), "", 'Data Entry'!$$610)</f>
      </c>
      <c r="BM610">
        <f>IF(ISBLANK('Data Entry'!$$610), "", 'Data Entry'!$$610)</f>
      </c>
      <c r="BN610">
        <f>IF(ISBLANK('Data Entry'!$$610), "", 'Data Entry'!$$610)</f>
      </c>
      <c r="BO610">
        <f>IF(ISBLANK('Data Entry'!$$610), "", 'Data Entry'!$$610)</f>
      </c>
      <c r="BP610">
        <f>IF(ISBLANK('Data Entry'!$$610), "", 'Data Entry'!$$610)</f>
      </c>
      <c r="BQ610">
        <f>IF(ISBLANK('Data Entry'!$$610), "", 'Data Entry'!$$610)</f>
      </c>
      <c r="BR610">
        <f>IF(ISBLANK('Data Entry'!$$610), "", 'Data Entry'!$$610)</f>
      </c>
      <c r="BS610">
        <f>IF(ISBLANK('Data Entry'!$$610), "", 'Data Entry'!$$610)</f>
      </c>
      <c r="BT610">
        <f>IF(ISBLANK('Data Entry'!$$610), "", 'Data Entry'!$$610)</f>
      </c>
      <c r="BU610">
        <f>IF(ISBLANK('Data Entry'!$$610), "", 'Data Entry'!$$610)</f>
      </c>
      <c r="BV610">
        <f>IF(ISBLANK('Data Entry'!$$610), "", 'Data Entry'!$$610)</f>
      </c>
      <c r="BW610">
        <f>IF(ISBLANK('Data Entry'!$$610), "", 'Data Entry'!$$610)</f>
      </c>
      <c r="BX610">
        <f>IF(ISBLANK('Data Entry'!$$610), "", 'Data Entry'!$$610)</f>
      </c>
      <c r="BY610">
        <f>IF(ISBLANK('Data Entry'!$$610), "", 'Data Entry'!$$610)</f>
      </c>
      <c r="BZ610">
        <f>IF(ISBLANK('Data Entry'!$$610), "", 'Data Entry'!$$610)</f>
      </c>
      <c r="CA610">
        <f>IF(ISBLANK('Data Entry'!$$610), "", 'Data Entry'!$$610)</f>
      </c>
      <c r="CB610">
        <f>IF(ISBLANK('Data Entry'!$$610), "", 'Data Entry'!$$610)</f>
      </c>
      <c r="CC610">
        <f>IF(ISBLANK('Data Entry'!$$610), "", 'Data Entry'!$$610)</f>
      </c>
      <c r="CD610">
        <f>IF(ISBLANK('Data Entry'!$$610), "", 'Data Entry'!$$610)</f>
      </c>
      <c r="CE610">
        <f>IF(ISBLANK('Data Entry'!$$610), "", 'Data Entry'!$$610)</f>
      </c>
      <c r="CF610">
        <f>IF(ISBLANK('Data Entry'!$$610), "", 'Data Entry'!$$610)</f>
      </c>
      <c r="CG610">
        <f>IF(ISBLANK('Data Entry'!$$610), "", 'Data Entry'!$$610)</f>
      </c>
      <c r="CH610">
        <f>IF(ISBLANK('Data Entry'!$$610), "", 'Data Entry'!$$610)</f>
      </c>
      <c r="CI610">
        <f>IF(ISBLANK('Data Entry'!$$610), "", 'Data Entry'!$$610)</f>
      </c>
      <c r="CJ610">
        <f>IF(ISBLANK('Data Entry'!$$610), "", 'Data Entry'!$$610)</f>
      </c>
      <c r="CK610">
        <f>IF(ISBLANK('Data Entry'!$$610), "", 'Data Entry'!$$610)</f>
      </c>
      <c r="CL610">
        <f>IF(ISBLANK('Data Entry'!$$610), "", 'Data Entry'!$$610)</f>
      </c>
      <c r="CM610">
        <f>IF(ISBLANK('Data Entry'!$$610), "", 'Data Entry'!$$610)</f>
      </c>
      <c r="CN610">
        <f>IF(ISBLANK('Data Entry'!$$610), "", 'Data Entry'!$$610)</f>
      </c>
      <c r="CO610">
        <f>IF(ISBLANK('Data Entry'!$$610), "", 'Data Entry'!$$610)</f>
      </c>
      <c r="CP610">
        <f>IF(ISBLANK('Data Entry'!$$610), "", 'Data Entry'!$$610)</f>
      </c>
      <c r="CQ610">
        <f>IF(ISBLANK('Data Entry'!$$610), "", 'Data Entry'!$$610)</f>
      </c>
      <c r="CR610">
        <f>IF(ISBLANK('Data Entry'!$ $610), "", 'Data Entry'!$ $610)</f>
      </c>
      <c r="CS610">
        <f>IF(ISBLANK('Data Entry'!$¡$610), "", 'Data Entry'!$¡$610)</f>
      </c>
      <c r="CT610">
        <f>IF(ISBLANK('Data Entry'!$¢$610), "", 'Data Entry'!$¢$610)</f>
      </c>
      <c r="CU610">
        <f>IF(ISBLANK('Data Entry'!$£$610), "", 'Data Entry'!$£$610)</f>
      </c>
      <c r="CV610">
        <f>IF(ISBLANK('Data Entry'!$¤$610), "", 'Data Entry'!$¤$610)</f>
      </c>
      <c r="CW610">
        <f>IF(ISBLANK('Data Entry'!$¥$610), "", 'Data Entry'!$¥$610)</f>
      </c>
      <c r="CX610">
        <f>IF(ISBLANK('Data Entry'!$¦$610), "", 'Data Entry'!$¦$610)</f>
      </c>
      <c r="CY610">
        <f>IF(ISBLANK('Data Entry'!$§$610), "", 'Data Entry'!$§$610)</f>
      </c>
      <c r="CZ610">
        <f>IF(ISBLANK('Data Entry'!$¨$610), "", 'Data Entry'!$¨$610)</f>
      </c>
      <c r="DA610">
        <f>IF(ISBLANK('Data Entry'!$©$610), "", 'Data Entry'!$©$610)</f>
      </c>
      <c r="DB610">
        <f>IF(ISBLANK('Data Entry'!$ª$610), "", 'Data Entry'!$ª$610)</f>
      </c>
      <c r="DC610">
        <f>IF(ISBLANK('Data Entry'!$«$610), "", 'Data Entry'!$«$610)</f>
      </c>
      <c r="DD610">
        <f>IF(ISBLANK('Data Entry'!$¬$610), "", 'Data Entry'!$¬$610)</f>
      </c>
      <c r="DE610">
        <f>IF(ISBLANK('Data Entry'!$­$610), "", 'Data Entry'!$­$610)</f>
      </c>
      <c r="DF610">
        <f>IF(ISBLANK('Data Entry'!$®$610), "", 'Data Entry'!$®$610)</f>
      </c>
      <c r="DG610">
        <f>IF(ISBLANK('Data Entry'!$¯$610), "", 'Data Entry'!$¯$610)</f>
      </c>
      <c r="DH610">
        <f>IF(ISBLANK('Data Entry'!$°$610), "", 'Data Entry'!$°$610)</f>
      </c>
      <c r="DI610">
        <f>IF(ISBLANK('Data Entry'!$±$610), "", 'Data Entry'!$±$610)</f>
      </c>
      <c r="DJ610">
        <f>IF(ISBLANK('Data Entry'!$²$610), "", 'Data Entry'!$²$610)</f>
      </c>
      <c r="DK610">
        <f>IF(ISBLANK('Data Entry'!$³$610), "", 'Data Entry'!$³$610)</f>
      </c>
      <c r="DL610">
        <f>IF(ISBLANK('Data Entry'!$´$610), "", 'Data Entry'!$´$610)</f>
      </c>
      <c r="DM610">
        <f>IF(ISBLANK('Data Entry'!$µ$610), "", 'Data Entry'!$µ$610)</f>
      </c>
      <c r="DN610">
        <f>IF(ISBLANK('Data Entry'!$¶$610), "", 'Data Entry'!$¶$610)</f>
      </c>
      <c r="DO610">
        <f>IF(ISBLANK('Data Entry'!$·$610), "", 'Data Entry'!$·$610)</f>
      </c>
      <c r="DP610">
        <f>IF(ISBLANK('Data Entry'!$¸$610), "", 'Data Entry'!$¸$610)</f>
      </c>
      <c r="DQ610">
        <f>IF(ISBLANK('Data Entry'!$¹$610), "", 'Data Entry'!$¹$610)</f>
      </c>
      <c r="DR610">
        <f>IF(ISBLANK('Data Entry'!$º$610), "", 'Data Entry'!$º$610)</f>
      </c>
      <c r="DS610">
        <f>IF(ISBLANK('Data Entry'!$»$610), "", 'Data Entry'!$»$610)</f>
      </c>
      <c r="DT610">
        <f>IF(ISBLANK('Data Entry'!$¼$610), "", 'Data Entry'!$¼$610)</f>
      </c>
      <c r="DU610">
        <f>IF(ISBLANK('Data Entry'!$½$610), "", 'Data Entry'!$½$610)</f>
      </c>
      <c r="DV610">
        <f>IF(ISBLANK('Data Entry'!$¾$610), "", 'Data Entry'!$¾$610)</f>
      </c>
      <c r="DW610">
        <f>IF(ISBLANK('Data Entry'!$¿$610), "", 'Data Entry'!$¿$610)</f>
      </c>
      <c r="DX610">
        <f>IF(ISBLANK('Data Entry'!$À$610), "", 'Data Entry'!$À$610)</f>
      </c>
      <c r="DY610">
        <f>IF(ISBLANK('Data Entry'!$Á$610), "", 'Data Entry'!$Á$610)</f>
      </c>
      <c r="DZ610">
        <f>IF(ISBLANK('Data Entry'!$Â$610), "", 'Data Entry'!$Â$610)</f>
      </c>
      <c r="EA610">
        <f>IF(ISBLANK('Data Entry'!$Ã$610), "", 'Data Entry'!$Ã$610)</f>
      </c>
      <c r="EB610">
        <f>IF(ISBLANK('Data Entry'!$Ä$610), "", 'Data Entry'!$Ä$610)</f>
      </c>
      <c r="EC610">
        <f>IF(ISBLANK('Data Entry'!$Å$610), "", 'Data Entry'!$Å$610)</f>
      </c>
      <c r="ED610">
        <f>IF(ISBLANK('Data Entry'!$Æ$610), "", 'Data Entry'!$Æ$610)</f>
      </c>
      <c r="EE610">
        <f>IF(ISBLANK('Data Entry'!$Ç$610), "", 'Data Entry'!$Ç$610)</f>
      </c>
      <c r="EF610">
        <f>IF(ISBLANK('Data Entry'!$È$610), "", 'Data Entry'!$È$610)</f>
      </c>
      <c r="EG610">
        <f>IF(ISBLANK('Data Entry'!$É$610), "", 'Data Entry'!$É$610)</f>
      </c>
      <c r="EH610">
        <f>IF(ISBLANK('Data Entry'!$Ê$610), "", 'Data Entry'!$Ê$610)</f>
      </c>
      <c r="EI610">
        <f>IF(ISBLANK('Data Entry'!$Ë$610), "", 'Data Entry'!$Ë$610)</f>
      </c>
      <c r="EJ610">
        <f>IF(ISBLANK('Data Entry'!$Ì$610), "", 'Data Entry'!$Ì$610)</f>
      </c>
      <c r="EK610">
        <f>IF(ISBLANK('Data Entry'!$Í$610), "", 'Data Entry'!$Í$610)</f>
      </c>
      <c r="EL610">
        <f>IF(ISBLANK('Data Entry'!$Î$610), "", 'Data Entry'!$Î$610)</f>
      </c>
      <c r="EM610">
        <f>IF(ISBLANK('Data Entry'!$Ï$610), "", 'Data Entry'!$Ï$610)</f>
      </c>
      <c r="EN610">
        <f>IF(ISBLANK('Data Entry'!$Ð$610), "", 'Data Entry'!$Ð$610)</f>
      </c>
      <c r="EO610">
        <f>IF(ISBLANK('Data Entry'!$Ñ$610), "", 'Data Entry'!$Ñ$610)</f>
      </c>
      <c r="EP610">
        <f>IF(ISBLANK('Data Entry'!$Ò$610), "", 'Data Entry'!$Ò$610)</f>
      </c>
      <c r="EQ610">
        <f>IF(ISBLANK('Data Entry'!$Ó$610), "", 'Data Entry'!$Ó$610)</f>
      </c>
      <c r="ER610">
        <f>IF(ISBLANK('Data Entry'!$Ô$610), "", 'Data Entry'!$Ô$610)</f>
      </c>
      <c r="ES610">
        <f>IF(ISBLANK('Data Entry'!$Õ$610), "", 'Data Entry'!$Õ$610)</f>
      </c>
      <c r="ET610">
        <f>IF(ISBLANK('Data Entry'!$Ö$610), "", 'Data Entry'!$Ö$610)</f>
      </c>
      <c r="EU610">
        <f>IF(ISBLANK('Data Entry'!$×$610), "", 'Data Entry'!$×$610)</f>
      </c>
      <c r="EV610">
        <f>IF(ISBLANK('Data Entry'!$Ø$610), "", 'Data Entry'!$Ø$610)</f>
      </c>
      <c r="EW610">
        <f>IF(ISBLANK('Data Entry'!$Ù$610), "", 'Data Entry'!$Ù$610)</f>
      </c>
      <c r="EX610">
        <f>IF(ISBLANK('Data Entry'!$Ú$610), "", 'Data Entry'!$Ú$610)</f>
      </c>
      <c r="EY610">
        <f>IF(ISBLANK('Data Entry'!$Û$610), "", 'Data Entry'!$Û$610)</f>
      </c>
      <c r="EZ610">
        <f>IF(ISBLANK('Data Entry'!$Ü$610), "", 'Data Entry'!$Ü$610)</f>
      </c>
      <c r="FA610">
        <f>IF(ISBLANK('Data Entry'!$Ý$610), "", 'Data Entry'!$Ý$610)</f>
      </c>
      <c r="FB610">
        <f>IF(ISBLANK('Data Entry'!$Þ$610), "", 'Data Entry'!$Þ$610)</f>
      </c>
      <c r="FC610">
        <f>IF(ISBLANK('Data Entry'!$ß$610), "", 'Data Entry'!$ß$610)</f>
      </c>
      <c r="FD610">
        <f>IF(ISBLANK('Data Entry'!$à$610), "", 'Data Entry'!$à$610)</f>
      </c>
      <c r="FE610">
        <f>IF(ISBLANK('Data Entry'!$á$610), "", 'Data Entry'!$á$610)</f>
      </c>
      <c r="FF610">
        <f>IF(ISBLANK('Data Entry'!$â$610), "", 'Data Entry'!$â$610)</f>
      </c>
      <c r="FG610">
        <f>IF(ISBLANK('Data Entry'!$ã$610), "", 'Data Entry'!$ã$610)</f>
      </c>
      <c r="FH610">
        <f>IF(ISBLANK('Data Entry'!$ä$610), "", 'Data Entry'!$ä$610)</f>
      </c>
      <c r="FI610">
        <f>IF(ISBLANK('Data Entry'!$å$610), "", 'Data Entry'!$å$610)</f>
      </c>
      <c r="FJ610">
        <f>IF(ISBLANK('Data Entry'!$æ$610), "", 'Data Entry'!$æ$610)</f>
      </c>
      <c r="FK610">
        <f>IF(ISBLANK('Data Entry'!$ç$610), "", 'Data Entry'!$ç$610)</f>
      </c>
      <c r="FL610">
        <f>IF(ISBLANK('Data Entry'!$è$610), "", 'Data Entry'!$è$610)</f>
      </c>
      <c r="FM610">
        <f>IF(ISBLANK('Data Entry'!$é$610), "", 'Data Entry'!$é$610)</f>
      </c>
      <c r="FN610">
        <f>IF(ISBLANK('Data Entry'!$ê$610), "", 'Data Entry'!$ê$610)</f>
      </c>
      <c r="FO610">
        <f>IF(ISBLANK('Data Entry'!$ë$610), "", 'Data Entry'!$ë$610)</f>
      </c>
      <c r="FP610">
        <f>IF(ISBLANK('Data Entry'!$ì$610), "", 'Data Entry'!$ì$610)</f>
      </c>
      <c r="FQ610">
        <f>IF(ISBLANK('Data Entry'!$í$610), "", 'Data Entry'!$í$610)</f>
      </c>
      <c r="FR610">
        <f>IF(ISBLANK('Data Entry'!$î$610), "", 'Data Entry'!$î$610)</f>
      </c>
      <c r="FS610">
        <f>IF(ISBLANK('Data Entry'!$ï$610), "", 'Data Entry'!$ï$610)</f>
      </c>
      <c r="FT610">
        <f>IF(ISBLANK('Data Entry'!$ð$610), "", 'Data Entry'!$ð$610)</f>
      </c>
      <c r="FU610">
        <f>IF(ISBLANK('Data Entry'!$ñ$610), "", 'Data Entry'!$ñ$610)</f>
      </c>
      <c r="FV610">
        <f>IF(ISBLANK('Data Entry'!$ò$610), "", 'Data Entry'!$ò$610)</f>
      </c>
      <c r="FW610">
        <f>IF(ISBLANK('Data Entry'!$ó$610), "", 'Data Entry'!$ó$610)</f>
      </c>
      <c r="FX610">
        <f>IF(ISBLANK('Data Entry'!$ô$610), "", 'Data Entry'!$ô$610)</f>
      </c>
      <c r="FY610">
        <f>IF(ISBLANK('Data Entry'!$õ$610), "", 'Data Entry'!$õ$610)</f>
      </c>
      <c r="FZ610">
        <f>IF(ISBLANK('Data Entry'!$ö$610), "", 'Data Entry'!$ö$610)</f>
      </c>
      <c r="GA610">
        <f>IF(ISBLANK('Data Entry'!$÷$610), "", 'Data Entry'!$÷$610)</f>
      </c>
      <c r="GB610">
        <f>IF(ISBLANK('Data Entry'!$ø$610), "", 'Data Entry'!$ø$610)</f>
      </c>
      <c r="GC610">
        <f>IF(ISBLANK('Data Entry'!$ù$610), "", 'Data Entry'!$ù$610)</f>
      </c>
      <c r="GD610">
        <f>IF(ISBLANK('Data Entry'!$ú$610), "", 'Data Entry'!$ú$610)</f>
      </c>
      <c r="GE610">
        <f>IF(ISBLANK('Data Entry'!$û$610), "", 'Data Entry'!$û$610)</f>
      </c>
      <c r="GF610">
        <f>IF(ISBLANK('Data Entry'!$ü$610), "", 'Data Entry'!$ü$610)</f>
      </c>
      <c r="GG610">
        <f>IF(ISBLANK('Data Entry'!$ý$610), "", 'Data Entry'!$ý$610)</f>
      </c>
      <c r="GH610">
        <f>IF(ISBLANK('Data Entry'!$þ$610), "", 'Data Entry'!$þ$610)</f>
      </c>
      <c r="GI610">
        <f>IF(ISBLANK('Data Entry'!$ÿ$610), "", 'Data Entry'!$ÿ$610)</f>
      </c>
      <c r="GJ610">
        <f>IF(ISBLANK('Data Entry'!$Ā$610), "", 'Data Entry'!$Ā$610)</f>
      </c>
      <c r="GK610">
        <f>IF(ISBLANK('Data Entry'!$ā$610), "", 'Data Entry'!$ā$610)</f>
      </c>
      <c r="GL610">
        <f>IF(ISBLANK('Data Entry'!$Ă$610), "", 'Data Entry'!$Ă$610)</f>
      </c>
      <c r="GM610">
        <f>IF(ISBLANK('Data Entry'!$ă$610), "", 'Data Entry'!$ă$610)</f>
      </c>
      <c r="GN610">
        <f>IF(ISBLANK('Data Entry'!$Ą$610), "", 'Data Entry'!$Ą$610)</f>
      </c>
      <c r="GO610">
        <f>IF(ISBLANK('Data Entry'!$ą$610), "", 'Data Entry'!$ą$610)</f>
      </c>
      <c r="GP610">
        <f>IF(ISBLANK('Data Entry'!$Ć$610), "", 'Data Entry'!$Ć$610)</f>
      </c>
      <c r="GQ610">
        <f>IF(ISBLANK('Data Entry'!$ć$610), "", 'Data Entry'!$ć$610)</f>
      </c>
      <c r="GR610">
        <f>IF(ISBLANK('Data Entry'!$Ĉ$610), "", 'Data Entry'!$Ĉ$610)</f>
      </c>
      <c r="GS610">
        <f>IF(ISBLANK('Data Entry'!$ĉ$610), "", 'Data Entry'!$ĉ$610)</f>
      </c>
      <c r="GT610">
        <f>IF(ISBLANK('Data Entry'!$Ċ$610), "", 'Data Entry'!$Ċ$610)</f>
      </c>
      <c r="GU610">
        <f>IF(ISBLANK('Data Entry'!$ċ$610), "", 'Data Entry'!$ċ$610)</f>
      </c>
      <c r="GV610">
        <f>IF(ISBLANK('Data Entry'!$Č$610), "", 'Data Entry'!$Č$610)</f>
      </c>
      <c r="GW610">
        <f>IF(ISBLANK('Data Entry'!$č$610), "", 'Data Entry'!$č$610)</f>
      </c>
      <c r="GX610">
        <f>IF(ISBLANK('Data Entry'!$Ď$610), "", 'Data Entry'!$Ď$610)</f>
      </c>
      <c r="GY610">
        <f>IF(ISBLANK('Data Entry'!$ď$610), "", 'Data Entry'!$ď$610)</f>
      </c>
      <c r="GZ610">
        <f>IF(ISBLANK('Data Entry'!$Đ$610), "", 'Data Entry'!$Đ$610)</f>
      </c>
      <c r="HA610">
        <f>IF(ISBLANK('Data Entry'!$đ$610), "", 'Data Entry'!$đ$610)</f>
      </c>
      <c r="HB610">
        <f>IF(ISBLANK('Data Entry'!$Ē$610), "", 'Data Entry'!$Ē$610)</f>
      </c>
      <c r="HC610">
        <f>IF(ISBLANK('Data Entry'!$ē$610), "", 'Data Entry'!$ē$610)</f>
      </c>
      <c r="HD610">
        <f>IF(ISBLANK('Data Entry'!$Ĕ$610), "", 'Data Entry'!$Ĕ$610)</f>
      </c>
      <c r="HE610">
        <f>IF(ISBLANK('Data Entry'!$ĕ$610), "", 'Data Entry'!$ĕ$610)</f>
      </c>
      <c r="HF610">
        <f>IF(ISBLANK('Data Entry'!$Ė$610), "", 'Data Entry'!$Ė$610)</f>
      </c>
      <c r="HG610">
        <f>IF(ISBLANK('Data Entry'!$ė$610), "", 'Data Entry'!$ė$610)</f>
      </c>
      <c r="HH610">
        <f>IF(ISBLANK('Data Entry'!$Ę$610), "", 'Data Entry'!$Ę$610)</f>
      </c>
      <c r="HI610">
        <f>IF(ISBLANK('Data Entry'!$ę$610), "", 'Data Entry'!$ę$610)</f>
      </c>
      <c r="HJ610">
        <f>IF(ISBLANK('Data Entry'!$Ě$610), "", 'Data Entry'!$Ě$610)</f>
      </c>
      <c r="HK610">
        <f>IF(ISBLANK('Data Entry'!$ě$610), "", 'Data Entry'!$ě$610)</f>
      </c>
      <c r="HL610">
        <f>IF(ISBLANK('Data Entry'!$Ĝ$610), "", 'Data Entry'!$Ĝ$610)</f>
      </c>
      <c r="HM610">
        <f>IF(ISBLANK('Data Entry'!$ĝ$610), "", 'Data Entry'!$ĝ$610)</f>
      </c>
      <c r="HN610">
        <f>IF(ISBLANK('Data Entry'!$Ğ$610), "", 'Data Entry'!$Ğ$610)</f>
      </c>
      <c r="HO610">
        <f>IF(ISBLANK('Data Entry'!$ğ$610), "", 'Data Entry'!$ğ$610)</f>
      </c>
      <c r="HP610">
        <f>IF(ISBLANK('Data Entry'!$Ġ$610), "", 'Data Entry'!$Ġ$610)</f>
      </c>
      <c r="HQ610">
        <f>IF(ISBLANK('Data Entry'!$ġ$610), "", 'Data Entry'!$ġ$610)</f>
      </c>
      <c r="HR610">
        <f>IF(ISBLANK('Data Entry'!$Ģ$610), "", 'Data Entry'!$Ģ$610)</f>
      </c>
      <c r="HS610">
        <f>IF(ISBLANK('Data Entry'!$ģ$610), "", 'Data Entry'!$ģ$610)</f>
      </c>
      <c r="HT610">
        <f>IF(ISBLANK('Data Entry'!$Ĥ$610), "", 'Data Entry'!$Ĥ$610)</f>
      </c>
      <c r="HU610">
        <f>IF(ISBLANK('Data Entry'!$ĥ$610), "", 'Data Entry'!$ĥ$610)</f>
      </c>
      <c r="HV610">
        <f>IF(ISBLANK('Data Entry'!$Ħ$610), "", 'Data Entry'!$Ħ$610)</f>
      </c>
      <c r="HW610">
        <f>IF(ISBLANK('Data Entry'!$ħ$610), "", 'Data Entry'!$ħ$610)</f>
      </c>
      <c r="HX610">
        <f>IF(ISBLANK('Data Entry'!$Ĩ$610), "", 'Data Entry'!$Ĩ$610)</f>
      </c>
      <c r="HY610">
        <f>IF(ISBLANK('Data Entry'!$ĩ$610), "", 'Data Entry'!$ĩ$610)</f>
      </c>
      <c r="HZ610">
        <f>IF(ISBLANK('Data Entry'!$Ī$610), "", 'Data Entry'!$Ī$610)</f>
      </c>
      <c r="IA610">
        <f>IF(ISBLANK('Data Entry'!$ī$610), "", 'Data Entry'!$ī$610)</f>
      </c>
      <c r="IB610">
        <f>IF(ISBLANK('Data Entry'!$Ĭ$610), "", 'Data Entry'!$Ĭ$610)</f>
      </c>
      <c r="IC610">
        <f>IF(ISBLANK('Data Entry'!$ĭ$610), "", 'Data Entry'!$ĭ$610)</f>
      </c>
      <c r="ID610">
        <f>IF(ISBLANK('Data Entry'!$Į$610), "", 'Data Entry'!$Į$610)</f>
      </c>
      <c r="IE610">
        <f>IF(ISBLANK('Data Entry'!$į$610), "", 'Data Entry'!$į$610)</f>
      </c>
      <c r="IF610">
        <f>IF(ISBLANK('Data Entry'!$İ$610), "", 'Data Entry'!$İ$610)</f>
      </c>
      <c r="IG610">
        <f>IF(ISBLANK('Data Entry'!$ı$610), "", 'Data Entry'!$ı$610)</f>
      </c>
      <c r="IH610">
        <f>IF(ISBLANK('Data Entry'!$Ĳ$610), "", 'Data Entry'!$Ĳ$610)</f>
      </c>
      <c r="II610">
        <f>IF(ISBLANK('Data Entry'!$ĳ$610), "", 'Data Entry'!$ĳ$610)</f>
      </c>
      <c r="IJ610">
        <f>IF(ISBLANK('Data Entry'!$Ĵ$610), "", 'Data Entry'!$Ĵ$610)</f>
      </c>
      <c r="IK610">
        <f>IF(ISBLANK('Data Entry'!$ĵ$610), "", 'Data Entry'!$ĵ$610)</f>
      </c>
      <c r="IL610">
        <f>IF(ISBLANK('Data Entry'!$Ķ$610), "", 'Data Entry'!$Ķ$610)</f>
      </c>
      <c r="IM610">
        <f>IF(ISBLANK('Data Entry'!$ķ$610), "", 'Data Entry'!$ķ$610)</f>
      </c>
      <c r="IN610">
        <f>IF(ISBLANK('Data Entry'!$ĸ$610), "", 'Data Entry'!$ĸ$610)</f>
      </c>
      <c r="IO610">
        <f>IF(ISBLANK('Data Entry'!$Ĺ$610), "", 'Data Entry'!$Ĺ$610)</f>
      </c>
      <c r="IP610">
        <f>IF(ISBLANK('Data Entry'!$ĺ$610), "", 'Data Entry'!$ĺ$610)</f>
      </c>
      <c r="IQ610">
        <f>IF(ISBLANK('Data Entry'!$Ļ$610), "", 'Data Entry'!$Ļ$610)</f>
      </c>
      <c r="IR610">
        <f>IF(ISBLANK('Data Entry'!$ļ$610), "", 'Data Entry'!$ļ$610)</f>
      </c>
      <c r="IS610">
        <f>IF(ISBLANK('Data Entry'!$Ľ$610), "", 'Data Entry'!$Ľ$610)</f>
      </c>
      <c r="IT610">
        <f>IF(ISBLANK('Data Entry'!$ľ$610), "", 'Data Entry'!$ľ$610)</f>
      </c>
    </row>
    <row r="611" spans="1:254" x14ac:dyDescent="0.25">
      <c r="A611">
        <f>IF(ISBLANK('Data Entry'!$A$611), "", 'Data Entry'!$A$611)</f>
      </c>
      <c r="B611">
        <f>IF(ISBLANK('Data Entry'!$B$611), "", 'Data Entry'!$B$611)</f>
      </c>
      <c r="C611">
        <f>IF(ISBLANK('Data Entry'!$C$611), "", 'Data Entry'!$C$611)</f>
      </c>
      <c r="D611">
        <f>IF(ISBLANK('Data Entry'!$D$611), "", 'Data Entry'!$D$611)</f>
      </c>
      <c r="E611">
        <f>IF(ISBLANK('Data Entry'!$E$611), "", 'Data Entry'!$E$611)</f>
      </c>
      <c r="F611">
        <f>IF(ISBLANK('Data Entry'!$F$611), "", 'Data Entry'!$F$611)</f>
      </c>
      <c r="G611">
        <f>IF(ISBLANK('Data Entry'!$G$611), "", 'Data Entry'!$G$611)</f>
      </c>
      <c r="H611">
        <f>IF(ISBLANK('Data Entry'!$H$611), "", 'Data Entry'!$H$611)</f>
      </c>
      <c r="I611">
        <f>IF(ISBLANK('Data Entry'!$I$611), "", 'Data Entry'!$I$611)</f>
      </c>
      <c r="J611">
        <f>IF(ISBLANK('Data Entry'!$J$611), "", 'Data Entry'!$J$611)</f>
      </c>
      <c r="K611">
        <f>IF(ISBLANK('Data Entry'!$K$611), "", 'Data Entry'!$K$611)</f>
      </c>
      <c r="L611">
        <f>IF(ISBLANK('Data Entry'!$L$611), "", 'Data Entry'!$L$611)</f>
      </c>
      <c r="M611">
        <f>IF(ISBLANK('Data Entry'!$M$611), "", 'Data Entry'!$M$611)</f>
      </c>
      <c r="N611">
        <f>IF(ISBLANK('Data Entry'!$N$611), "", 'Data Entry'!$N$611)</f>
      </c>
      <c r="O611">
        <f>IF(ISBLANK('Data Entry'!$O$611), "", 'Data Entry'!$O$611)</f>
      </c>
      <c r="P611">
        <f>IF(ISBLANK('Data Entry'!$P$611), "", 'Data Entry'!$P$611)</f>
      </c>
      <c r="Q611">
        <f>IF(ISBLANK('Data Entry'!$Q$611), "", 'Data Entry'!$Q$611)</f>
      </c>
      <c r="R611">
        <f>IF(ISBLANK('Data Entry'!$R$611), "", 'Data Entry'!$R$611)</f>
      </c>
      <c r="S611">
        <f>IF(ISBLANK('Data Entry'!$S$611), "", 'Data Entry'!$S$611)</f>
      </c>
      <c r="T611">
        <f>IF(ISBLANK('Data Entry'!$T$611), "", 'Data Entry'!$T$611)</f>
      </c>
      <c r="U611">
        <f>IF(ISBLANK('Data Entry'!$U$611), "", 'Data Entry'!$U$611)</f>
      </c>
      <c r="V611">
        <f>IF(ISBLANK('Data Entry'!$V$611), "", 'Data Entry'!$V$611)</f>
      </c>
      <c r="W611">
        <f>IF(ISBLANK('Data Entry'!$W$611), "", 'Data Entry'!$W$611)</f>
      </c>
      <c r="X611">
        <f>IF(ISBLANK('Data Entry'!$X$611), "", 'Data Entry'!$X$611)</f>
      </c>
      <c r="Y611">
        <f>IF(ISBLANK('Data Entry'!$Y$611), "", 'Data Entry'!$Y$611)</f>
      </c>
      <c r="Z611">
        <f>IF(ISBLANK('Data Entry'!$Z$611), "", 'Data Entry'!$Z$611)</f>
      </c>
      <c r="AA611">
        <f>IF(ISBLANK('Data Entry'!$[$611), "", 'Data Entry'!$[$611)</f>
      </c>
      <c r="AB611">
        <f>IF(ISBLANK('Data Entry'!$\$611), "", 'Data Entry'!$\$611)</f>
      </c>
      <c r="AC611">
        <f>IF(ISBLANK('Data Entry'!$]$611), "", 'Data Entry'!$]$611)</f>
      </c>
      <c r="AD611">
        <f>IF(ISBLANK('Data Entry'!$^$611), "", 'Data Entry'!$^$611)</f>
      </c>
      <c r="AE611">
        <f>IF(ISBLANK('Data Entry'!$_$611), "", 'Data Entry'!$_$611)</f>
      </c>
      <c r="AF611">
        <f>IF(ISBLANK('Data Entry'!$`$611), "", 'Data Entry'!$`$611)</f>
      </c>
      <c r="AG611">
        <f>IF(ISBLANK('Data Entry'!$a$611), "", 'Data Entry'!$a$611)</f>
      </c>
      <c r="AH611">
        <f>IF(ISBLANK('Data Entry'!$b$611), "", 'Data Entry'!$b$611)</f>
      </c>
      <c r="AI611">
        <f>IF(ISBLANK('Data Entry'!$c$611), "", 'Data Entry'!$c$611)</f>
      </c>
      <c r="AJ611">
        <f>IF(ISBLANK('Data Entry'!$d$611), "", 'Data Entry'!$d$611)</f>
      </c>
      <c r="AK611">
        <f>IF(ISBLANK('Data Entry'!$e$611), "", 'Data Entry'!$e$611)</f>
      </c>
      <c r="AL611">
        <f>IF(ISBLANK('Data Entry'!$f$611), "", 'Data Entry'!$f$611)</f>
      </c>
      <c r="AM611">
        <f>IF(ISBLANK('Data Entry'!$g$611), "", 'Data Entry'!$g$611)</f>
      </c>
      <c r="AN611">
        <f>IF(ISBLANK('Data Entry'!$h$611), "", 'Data Entry'!$h$611)</f>
      </c>
      <c r="AO611">
        <f>IF(ISBLANK('Data Entry'!$i$611), "", 'Data Entry'!$i$611)</f>
      </c>
      <c r="AP611">
        <f>IF(ISBLANK('Data Entry'!$j$611), "", 'Data Entry'!$j$611)</f>
      </c>
      <c r="AQ611">
        <f>IF(ISBLANK('Data Entry'!$k$611), "", 'Data Entry'!$k$611)</f>
      </c>
      <c r="AR611">
        <f>IF(ISBLANK('Data Entry'!$l$611), "", 'Data Entry'!$l$611)</f>
      </c>
      <c r="AS611">
        <f>IF(ISBLANK('Data Entry'!$m$611), "", 'Data Entry'!$m$611)</f>
      </c>
      <c r="AT611">
        <f>IF(ISBLANK('Data Entry'!$n$611), "", 'Data Entry'!$n$611)</f>
      </c>
      <c r="AU611">
        <f>IF(ISBLANK('Data Entry'!$o$611), "", 'Data Entry'!$o$611)</f>
      </c>
      <c r="AV611">
        <f>IF(ISBLANK('Data Entry'!$p$611), "", 'Data Entry'!$p$611)</f>
      </c>
      <c r="AW611">
        <f>IF(ISBLANK('Data Entry'!$q$611), "", 'Data Entry'!$q$611)</f>
      </c>
      <c r="AX611">
        <f>IF(ISBLANK('Data Entry'!$r$611), "", 'Data Entry'!$r$611)</f>
      </c>
      <c r="AY611">
        <f>IF(ISBLANK('Data Entry'!$s$611), "", 'Data Entry'!$s$611)</f>
      </c>
      <c r="AZ611">
        <f>IF(ISBLANK('Data Entry'!$t$611), "", 'Data Entry'!$t$611)</f>
      </c>
      <c r="BA611">
        <f>IF(ISBLANK('Data Entry'!$u$611), "", 'Data Entry'!$u$611)</f>
      </c>
      <c r="BB611">
        <f>IF(ISBLANK('Data Entry'!$v$611), "", 'Data Entry'!$v$611)</f>
      </c>
      <c r="BC611">
        <f>IF(ISBLANK('Data Entry'!$w$611), "", 'Data Entry'!$w$611)</f>
      </c>
      <c r="BD611">
        <f>IF(ISBLANK('Data Entry'!$x$611), "", 'Data Entry'!$x$611)</f>
      </c>
      <c r="BE611">
        <f>IF(ISBLANK('Data Entry'!$y$611), "", 'Data Entry'!$y$611)</f>
      </c>
      <c r="BF611">
        <f>IF(ISBLANK('Data Entry'!$z$611), "", 'Data Entry'!$z$611)</f>
      </c>
      <c r="BG611">
        <f>IF(ISBLANK('Data Entry'!${$611), "", 'Data Entry'!${$611)</f>
      </c>
      <c r="BH611">
        <f>IF(ISBLANK('Data Entry'!$|$611), "", 'Data Entry'!$|$611)</f>
      </c>
      <c r="BI611">
        <f>IF(ISBLANK('Data Entry'!$}$611), "", 'Data Entry'!$}$611)</f>
      </c>
      <c r="BJ611">
        <f>IF(ISBLANK('Data Entry'!$~$611), "", 'Data Entry'!$~$611)</f>
      </c>
      <c r="BK611">
        <f>IF(ISBLANK('Data Entry'!$$611), "", 'Data Entry'!$$611)</f>
      </c>
      <c r="BL611">
        <f>IF(ISBLANK('Data Entry'!$$611), "", 'Data Entry'!$$611)</f>
      </c>
      <c r="BM611">
        <f>IF(ISBLANK('Data Entry'!$$611), "", 'Data Entry'!$$611)</f>
      </c>
      <c r="BN611">
        <f>IF(ISBLANK('Data Entry'!$$611), "", 'Data Entry'!$$611)</f>
      </c>
      <c r="BO611">
        <f>IF(ISBLANK('Data Entry'!$$611), "", 'Data Entry'!$$611)</f>
      </c>
      <c r="BP611">
        <f>IF(ISBLANK('Data Entry'!$$611), "", 'Data Entry'!$$611)</f>
      </c>
      <c r="BQ611">
        <f>IF(ISBLANK('Data Entry'!$$611), "", 'Data Entry'!$$611)</f>
      </c>
      <c r="BR611">
        <f>IF(ISBLANK('Data Entry'!$$611), "", 'Data Entry'!$$611)</f>
      </c>
      <c r="BS611">
        <f>IF(ISBLANK('Data Entry'!$$611), "", 'Data Entry'!$$611)</f>
      </c>
      <c r="BT611">
        <f>IF(ISBLANK('Data Entry'!$$611), "", 'Data Entry'!$$611)</f>
      </c>
      <c r="BU611">
        <f>IF(ISBLANK('Data Entry'!$$611), "", 'Data Entry'!$$611)</f>
      </c>
      <c r="BV611">
        <f>IF(ISBLANK('Data Entry'!$$611), "", 'Data Entry'!$$611)</f>
      </c>
      <c r="BW611">
        <f>IF(ISBLANK('Data Entry'!$$611), "", 'Data Entry'!$$611)</f>
      </c>
      <c r="BX611">
        <f>IF(ISBLANK('Data Entry'!$$611), "", 'Data Entry'!$$611)</f>
      </c>
      <c r="BY611">
        <f>IF(ISBLANK('Data Entry'!$$611), "", 'Data Entry'!$$611)</f>
      </c>
      <c r="BZ611">
        <f>IF(ISBLANK('Data Entry'!$$611), "", 'Data Entry'!$$611)</f>
      </c>
      <c r="CA611">
        <f>IF(ISBLANK('Data Entry'!$$611), "", 'Data Entry'!$$611)</f>
      </c>
      <c r="CB611">
        <f>IF(ISBLANK('Data Entry'!$$611), "", 'Data Entry'!$$611)</f>
      </c>
      <c r="CC611">
        <f>IF(ISBLANK('Data Entry'!$$611), "", 'Data Entry'!$$611)</f>
      </c>
      <c r="CD611">
        <f>IF(ISBLANK('Data Entry'!$$611), "", 'Data Entry'!$$611)</f>
      </c>
      <c r="CE611">
        <f>IF(ISBLANK('Data Entry'!$$611), "", 'Data Entry'!$$611)</f>
      </c>
      <c r="CF611">
        <f>IF(ISBLANK('Data Entry'!$$611), "", 'Data Entry'!$$611)</f>
      </c>
      <c r="CG611">
        <f>IF(ISBLANK('Data Entry'!$$611), "", 'Data Entry'!$$611)</f>
      </c>
      <c r="CH611">
        <f>IF(ISBLANK('Data Entry'!$$611), "", 'Data Entry'!$$611)</f>
      </c>
      <c r="CI611">
        <f>IF(ISBLANK('Data Entry'!$$611), "", 'Data Entry'!$$611)</f>
      </c>
      <c r="CJ611">
        <f>IF(ISBLANK('Data Entry'!$$611), "", 'Data Entry'!$$611)</f>
      </c>
      <c r="CK611">
        <f>IF(ISBLANK('Data Entry'!$$611), "", 'Data Entry'!$$611)</f>
      </c>
      <c r="CL611">
        <f>IF(ISBLANK('Data Entry'!$$611), "", 'Data Entry'!$$611)</f>
      </c>
      <c r="CM611">
        <f>IF(ISBLANK('Data Entry'!$$611), "", 'Data Entry'!$$611)</f>
      </c>
      <c r="CN611">
        <f>IF(ISBLANK('Data Entry'!$$611), "", 'Data Entry'!$$611)</f>
      </c>
      <c r="CO611">
        <f>IF(ISBLANK('Data Entry'!$$611), "", 'Data Entry'!$$611)</f>
      </c>
      <c r="CP611">
        <f>IF(ISBLANK('Data Entry'!$$611), "", 'Data Entry'!$$611)</f>
      </c>
      <c r="CQ611">
        <f>IF(ISBLANK('Data Entry'!$$611), "", 'Data Entry'!$$611)</f>
      </c>
      <c r="CR611">
        <f>IF(ISBLANK('Data Entry'!$ $611), "", 'Data Entry'!$ $611)</f>
      </c>
      <c r="CS611">
        <f>IF(ISBLANK('Data Entry'!$¡$611), "", 'Data Entry'!$¡$611)</f>
      </c>
      <c r="CT611">
        <f>IF(ISBLANK('Data Entry'!$¢$611), "", 'Data Entry'!$¢$611)</f>
      </c>
      <c r="CU611">
        <f>IF(ISBLANK('Data Entry'!$£$611), "", 'Data Entry'!$£$611)</f>
      </c>
      <c r="CV611">
        <f>IF(ISBLANK('Data Entry'!$¤$611), "", 'Data Entry'!$¤$611)</f>
      </c>
      <c r="CW611">
        <f>IF(ISBLANK('Data Entry'!$¥$611), "", 'Data Entry'!$¥$611)</f>
      </c>
      <c r="CX611">
        <f>IF(ISBLANK('Data Entry'!$¦$611), "", 'Data Entry'!$¦$611)</f>
      </c>
      <c r="CY611">
        <f>IF(ISBLANK('Data Entry'!$§$611), "", 'Data Entry'!$§$611)</f>
      </c>
      <c r="CZ611">
        <f>IF(ISBLANK('Data Entry'!$¨$611), "", 'Data Entry'!$¨$611)</f>
      </c>
      <c r="DA611">
        <f>IF(ISBLANK('Data Entry'!$©$611), "", 'Data Entry'!$©$611)</f>
      </c>
      <c r="DB611">
        <f>IF(ISBLANK('Data Entry'!$ª$611), "", 'Data Entry'!$ª$611)</f>
      </c>
      <c r="DC611">
        <f>IF(ISBLANK('Data Entry'!$«$611), "", 'Data Entry'!$«$611)</f>
      </c>
      <c r="DD611">
        <f>IF(ISBLANK('Data Entry'!$¬$611), "", 'Data Entry'!$¬$611)</f>
      </c>
      <c r="DE611">
        <f>IF(ISBLANK('Data Entry'!$­$611), "", 'Data Entry'!$­$611)</f>
      </c>
      <c r="DF611">
        <f>IF(ISBLANK('Data Entry'!$®$611), "", 'Data Entry'!$®$611)</f>
      </c>
      <c r="DG611">
        <f>IF(ISBLANK('Data Entry'!$¯$611), "", 'Data Entry'!$¯$611)</f>
      </c>
      <c r="DH611">
        <f>IF(ISBLANK('Data Entry'!$°$611), "", 'Data Entry'!$°$611)</f>
      </c>
      <c r="DI611">
        <f>IF(ISBLANK('Data Entry'!$±$611), "", 'Data Entry'!$±$611)</f>
      </c>
      <c r="DJ611">
        <f>IF(ISBLANK('Data Entry'!$²$611), "", 'Data Entry'!$²$611)</f>
      </c>
      <c r="DK611">
        <f>IF(ISBLANK('Data Entry'!$³$611), "", 'Data Entry'!$³$611)</f>
      </c>
      <c r="DL611">
        <f>IF(ISBLANK('Data Entry'!$´$611), "", 'Data Entry'!$´$611)</f>
      </c>
      <c r="DM611">
        <f>IF(ISBLANK('Data Entry'!$µ$611), "", 'Data Entry'!$µ$611)</f>
      </c>
      <c r="DN611">
        <f>IF(ISBLANK('Data Entry'!$¶$611), "", 'Data Entry'!$¶$611)</f>
      </c>
      <c r="DO611">
        <f>IF(ISBLANK('Data Entry'!$·$611), "", 'Data Entry'!$·$611)</f>
      </c>
      <c r="DP611">
        <f>IF(ISBLANK('Data Entry'!$¸$611), "", 'Data Entry'!$¸$611)</f>
      </c>
      <c r="DQ611">
        <f>IF(ISBLANK('Data Entry'!$¹$611), "", 'Data Entry'!$¹$611)</f>
      </c>
      <c r="DR611">
        <f>IF(ISBLANK('Data Entry'!$º$611), "", 'Data Entry'!$º$611)</f>
      </c>
      <c r="DS611">
        <f>IF(ISBLANK('Data Entry'!$»$611), "", 'Data Entry'!$»$611)</f>
      </c>
      <c r="DT611">
        <f>IF(ISBLANK('Data Entry'!$¼$611), "", 'Data Entry'!$¼$611)</f>
      </c>
      <c r="DU611">
        <f>IF(ISBLANK('Data Entry'!$½$611), "", 'Data Entry'!$½$611)</f>
      </c>
      <c r="DV611">
        <f>IF(ISBLANK('Data Entry'!$¾$611), "", 'Data Entry'!$¾$611)</f>
      </c>
      <c r="DW611">
        <f>IF(ISBLANK('Data Entry'!$¿$611), "", 'Data Entry'!$¿$611)</f>
      </c>
      <c r="DX611">
        <f>IF(ISBLANK('Data Entry'!$À$611), "", 'Data Entry'!$À$611)</f>
      </c>
      <c r="DY611">
        <f>IF(ISBLANK('Data Entry'!$Á$611), "", 'Data Entry'!$Á$611)</f>
      </c>
      <c r="DZ611">
        <f>IF(ISBLANK('Data Entry'!$Â$611), "", 'Data Entry'!$Â$611)</f>
      </c>
      <c r="EA611">
        <f>IF(ISBLANK('Data Entry'!$Ã$611), "", 'Data Entry'!$Ã$611)</f>
      </c>
      <c r="EB611">
        <f>IF(ISBLANK('Data Entry'!$Ä$611), "", 'Data Entry'!$Ä$611)</f>
      </c>
      <c r="EC611">
        <f>IF(ISBLANK('Data Entry'!$Å$611), "", 'Data Entry'!$Å$611)</f>
      </c>
      <c r="ED611">
        <f>IF(ISBLANK('Data Entry'!$Æ$611), "", 'Data Entry'!$Æ$611)</f>
      </c>
      <c r="EE611">
        <f>IF(ISBLANK('Data Entry'!$Ç$611), "", 'Data Entry'!$Ç$611)</f>
      </c>
      <c r="EF611">
        <f>IF(ISBLANK('Data Entry'!$È$611), "", 'Data Entry'!$È$611)</f>
      </c>
      <c r="EG611">
        <f>IF(ISBLANK('Data Entry'!$É$611), "", 'Data Entry'!$É$611)</f>
      </c>
      <c r="EH611">
        <f>IF(ISBLANK('Data Entry'!$Ê$611), "", 'Data Entry'!$Ê$611)</f>
      </c>
      <c r="EI611">
        <f>IF(ISBLANK('Data Entry'!$Ë$611), "", 'Data Entry'!$Ë$611)</f>
      </c>
      <c r="EJ611">
        <f>IF(ISBLANK('Data Entry'!$Ì$611), "", 'Data Entry'!$Ì$611)</f>
      </c>
      <c r="EK611">
        <f>IF(ISBLANK('Data Entry'!$Í$611), "", 'Data Entry'!$Í$611)</f>
      </c>
      <c r="EL611">
        <f>IF(ISBLANK('Data Entry'!$Î$611), "", 'Data Entry'!$Î$611)</f>
      </c>
      <c r="EM611">
        <f>IF(ISBLANK('Data Entry'!$Ï$611), "", 'Data Entry'!$Ï$611)</f>
      </c>
      <c r="EN611">
        <f>IF(ISBLANK('Data Entry'!$Ð$611), "", 'Data Entry'!$Ð$611)</f>
      </c>
      <c r="EO611">
        <f>IF(ISBLANK('Data Entry'!$Ñ$611), "", 'Data Entry'!$Ñ$611)</f>
      </c>
      <c r="EP611">
        <f>IF(ISBLANK('Data Entry'!$Ò$611), "", 'Data Entry'!$Ò$611)</f>
      </c>
      <c r="EQ611">
        <f>IF(ISBLANK('Data Entry'!$Ó$611), "", 'Data Entry'!$Ó$611)</f>
      </c>
      <c r="ER611">
        <f>IF(ISBLANK('Data Entry'!$Ô$611), "", 'Data Entry'!$Ô$611)</f>
      </c>
      <c r="ES611">
        <f>IF(ISBLANK('Data Entry'!$Õ$611), "", 'Data Entry'!$Õ$611)</f>
      </c>
      <c r="ET611">
        <f>IF(ISBLANK('Data Entry'!$Ö$611), "", 'Data Entry'!$Ö$611)</f>
      </c>
      <c r="EU611">
        <f>IF(ISBLANK('Data Entry'!$×$611), "", 'Data Entry'!$×$611)</f>
      </c>
      <c r="EV611">
        <f>IF(ISBLANK('Data Entry'!$Ø$611), "", 'Data Entry'!$Ø$611)</f>
      </c>
      <c r="EW611">
        <f>IF(ISBLANK('Data Entry'!$Ù$611), "", 'Data Entry'!$Ù$611)</f>
      </c>
      <c r="EX611">
        <f>IF(ISBLANK('Data Entry'!$Ú$611), "", 'Data Entry'!$Ú$611)</f>
      </c>
      <c r="EY611">
        <f>IF(ISBLANK('Data Entry'!$Û$611), "", 'Data Entry'!$Û$611)</f>
      </c>
      <c r="EZ611">
        <f>IF(ISBLANK('Data Entry'!$Ü$611), "", 'Data Entry'!$Ü$611)</f>
      </c>
      <c r="FA611">
        <f>IF(ISBLANK('Data Entry'!$Ý$611), "", 'Data Entry'!$Ý$611)</f>
      </c>
      <c r="FB611">
        <f>IF(ISBLANK('Data Entry'!$Þ$611), "", 'Data Entry'!$Þ$611)</f>
      </c>
      <c r="FC611">
        <f>IF(ISBLANK('Data Entry'!$ß$611), "", 'Data Entry'!$ß$611)</f>
      </c>
      <c r="FD611">
        <f>IF(ISBLANK('Data Entry'!$à$611), "", 'Data Entry'!$à$611)</f>
      </c>
      <c r="FE611">
        <f>IF(ISBLANK('Data Entry'!$á$611), "", 'Data Entry'!$á$611)</f>
      </c>
      <c r="FF611">
        <f>IF(ISBLANK('Data Entry'!$â$611), "", 'Data Entry'!$â$611)</f>
      </c>
      <c r="FG611">
        <f>IF(ISBLANK('Data Entry'!$ã$611), "", 'Data Entry'!$ã$611)</f>
      </c>
      <c r="FH611">
        <f>IF(ISBLANK('Data Entry'!$ä$611), "", 'Data Entry'!$ä$611)</f>
      </c>
      <c r="FI611">
        <f>IF(ISBLANK('Data Entry'!$å$611), "", 'Data Entry'!$å$611)</f>
      </c>
      <c r="FJ611">
        <f>IF(ISBLANK('Data Entry'!$æ$611), "", 'Data Entry'!$æ$611)</f>
      </c>
      <c r="FK611">
        <f>IF(ISBLANK('Data Entry'!$ç$611), "", 'Data Entry'!$ç$611)</f>
      </c>
      <c r="FL611">
        <f>IF(ISBLANK('Data Entry'!$è$611), "", 'Data Entry'!$è$611)</f>
      </c>
      <c r="FM611">
        <f>IF(ISBLANK('Data Entry'!$é$611), "", 'Data Entry'!$é$611)</f>
      </c>
      <c r="FN611">
        <f>IF(ISBLANK('Data Entry'!$ê$611), "", 'Data Entry'!$ê$611)</f>
      </c>
      <c r="FO611">
        <f>IF(ISBLANK('Data Entry'!$ë$611), "", 'Data Entry'!$ë$611)</f>
      </c>
      <c r="FP611">
        <f>IF(ISBLANK('Data Entry'!$ì$611), "", 'Data Entry'!$ì$611)</f>
      </c>
      <c r="FQ611">
        <f>IF(ISBLANK('Data Entry'!$í$611), "", 'Data Entry'!$í$611)</f>
      </c>
      <c r="FR611">
        <f>IF(ISBLANK('Data Entry'!$î$611), "", 'Data Entry'!$î$611)</f>
      </c>
      <c r="FS611">
        <f>IF(ISBLANK('Data Entry'!$ï$611), "", 'Data Entry'!$ï$611)</f>
      </c>
      <c r="FT611">
        <f>IF(ISBLANK('Data Entry'!$ð$611), "", 'Data Entry'!$ð$611)</f>
      </c>
      <c r="FU611">
        <f>IF(ISBLANK('Data Entry'!$ñ$611), "", 'Data Entry'!$ñ$611)</f>
      </c>
      <c r="FV611">
        <f>IF(ISBLANK('Data Entry'!$ò$611), "", 'Data Entry'!$ò$611)</f>
      </c>
      <c r="FW611">
        <f>IF(ISBLANK('Data Entry'!$ó$611), "", 'Data Entry'!$ó$611)</f>
      </c>
      <c r="FX611">
        <f>IF(ISBLANK('Data Entry'!$ô$611), "", 'Data Entry'!$ô$611)</f>
      </c>
      <c r="FY611">
        <f>IF(ISBLANK('Data Entry'!$õ$611), "", 'Data Entry'!$õ$611)</f>
      </c>
      <c r="FZ611">
        <f>IF(ISBLANK('Data Entry'!$ö$611), "", 'Data Entry'!$ö$611)</f>
      </c>
      <c r="GA611">
        <f>IF(ISBLANK('Data Entry'!$÷$611), "", 'Data Entry'!$÷$611)</f>
      </c>
      <c r="GB611">
        <f>IF(ISBLANK('Data Entry'!$ø$611), "", 'Data Entry'!$ø$611)</f>
      </c>
      <c r="GC611">
        <f>IF(ISBLANK('Data Entry'!$ù$611), "", 'Data Entry'!$ù$611)</f>
      </c>
      <c r="GD611">
        <f>IF(ISBLANK('Data Entry'!$ú$611), "", 'Data Entry'!$ú$611)</f>
      </c>
      <c r="GE611">
        <f>IF(ISBLANK('Data Entry'!$û$611), "", 'Data Entry'!$û$611)</f>
      </c>
      <c r="GF611">
        <f>IF(ISBLANK('Data Entry'!$ü$611), "", 'Data Entry'!$ü$611)</f>
      </c>
      <c r="GG611">
        <f>IF(ISBLANK('Data Entry'!$ý$611), "", 'Data Entry'!$ý$611)</f>
      </c>
      <c r="GH611">
        <f>IF(ISBLANK('Data Entry'!$þ$611), "", 'Data Entry'!$þ$611)</f>
      </c>
      <c r="GI611">
        <f>IF(ISBLANK('Data Entry'!$ÿ$611), "", 'Data Entry'!$ÿ$611)</f>
      </c>
      <c r="GJ611">
        <f>IF(ISBLANK('Data Entry'!$Ā$611), "", 'Data Entry'!$Ā$611)</f>
      </c>
      <c r="GK611">
        <f>IF(ISBLANK('Data Entry'!$ā$611), "", 'Data Entry'!$ā$611)</f>
      </c>
      <c r="GL611">
        <f>IF(ISBLANK('Data Entry'!$Ă$611), "", 'Data Entry'!$Ă$611)</f>
      </c>
      <c r="GM611">
        <f>IF(ISBLANK('Data Entry'!$ă$611), "", 'Data Entry'!$ă$611)</f>
      </c>
      <c r="GN611">
        <f>IF(ISBLANK('Data Entry'!$Ą$611), "", 'Data Entry'!$Ą$611)</f>
      </c>
      <c r="GO611">
        <f>IF(ISBLANK('Data Entry'!$ą$611), "", 'Data Entry'!$ą$611)</f>
      </c>
      <c r="GP611">
        <f>IF(ISBLANK('Data Entry'!$Ć$611), "", 'Data Entry'!$Ć$611)</f>
      </c>
      <c r="GQ611">
        <f>IF(ISBLANK('Data Entry'!$ć$611), "", 'Data Entry'!$ć$611)</f>
      </c>
      <c r="GR611">
        <f>IF(ISBLANK('Data Entry'!$Ĉ$611), "", 'Data Entry'!$Ĉ$611)</f>
      </c>
      <c r="GS611">
        <f>IF(ISBLANK('Data Entry'!$ĉ$611), "", 'Data Entry'!$ĉ$611)</f>
      </c>
      <c r="GT611">
        <f>IF(ISBLANK('Data Entry'!$Ċ$611), "", 'Data Entry'!$Ċ$611)</f>
      </c>
      <c r="GU611">
        <f>IF(ISBLANK('Data Entry'!$ċ$611), "", 'Data Entry'!$ċ$611)</f>
      </c>
      <c r="GV611">
        <f>IF(ISBLANK('Data Entry'!$Č$611), "", 'Data Entry'!$Č$611)</f>
      </c>
      <c r="GW611">
        <f>IF(ISBLANK('Data Entry'!$č$611), "", 'Data Entry'!$č$611)</f>
      </c>
      <c r="GX611">
        <f>IF(ISBLANK('Data Entry'!$Ď$611), "", 'Data Entry'!$Ď$611)</f>
      </c>
      <c r="GY611">
        <f>IF(ISBLANK('Data Entry'!$ď$611), "", 'Data Entry'!$ď$611)</f>
      </c>
      <c r="GZ611">
        <f>IF(ISBLANK('Data Entry'!$Đ$611), "", 'Data Entry'!$Đ$611)</f>
      </c>
      <c r="HA611">
        <f>IF(ISBLANK('Data Entry'!$đ$611), "", 'Data Entry'!$đ$611)</f>
      </c>
      <c r="HB611">
        <f>IF(ISBLANK('Data Entry'!$Ē$611), "", 'Data Entry'!$Ē$611)</f>
      </c>
      <c r="HC611">
        <f>IF(ISBLANK('Data Entry'!$ē$611), "", 'Data Entry'!$ē$611)</f>
      </c>
      <c r="HD611">
        <f>IF(ISBLANK('Data Entry'!$Ĕ$611), "", 'Data Entry'!$Ĕ$611)</f>
      </c>
      <c r="HE611">
        <f>IF(ISBLANK('Data Entry'!$ĕ$611), "", 'Data Entry'!$ĕ$611)</f>
      </c>
      <c r="HF611">
        <f>IF(ISBLANK('Data Entry'!$Ė$611), "", 'Data Entry'!$Ė$611)</f>
      </c>
      <c r="HG611">
        <f>IF(ISBLANK('Data Entry'!$ė$611), "", 'Data Entry'!$ė$611)</f>
      </c>
      <c r="HH611">
        <f>IF(ISBLANK('Data Entry'!$Ę$611), "", 'Data Entry'!$Ę$611)</f>
      </c>
      <c r="HI611">
        <f>IF(ISBLANK('Data Entry'!$ę$611), "", 'Data Entry'!$ę$611)</f>
      </c>
      <c r="HJ611">
        <f>IF(ISBLANK('Data Entry'!$Ě$611), "", 'Data Entry'!$Ě$611)</f>
      </c>
      <c r="HK611">
        <f>IF(ISBLANK('Data Entry'!$ě$611), "", 'Data Entry'!$ě$611)</f>
      </c>
      <c r="HL611">
        <f>IF(ISBLANK('Data Entry'!$Ĝ$611), "", 'Data Entry'!$Ĝ$611)</f>
      </c>
      <c r="HM611">
        <f>IF(ISBLANK('Data Entry'!$ĝ$611), "", 'Data Entry'!$ĝ$611)</f>
      </c>
      <c r="HN611">
        <f>IF(ISBLANK('Data Entry'!$Ğ$611), "", 'Data Entry'!$Ğ$611)</f>
      </c>
      <c r="HO611">
        <f>IF(ISBLANK('Data Entry'!$ğ$611), "", 'Data Entry'!$ğ$611)</f>
      </c>
      <c r="HP611">
        <f>IF(ISBLANK('Data Entry'!$Ġ$611), "", 'Data Entry'!$Ġ$611)</f>
      </c>
      <c r="HQ611">
        <f>IF(ISBLANK('Data Entry'!$ġ$611), "", 'Data Entry'!$ġ$611)</f>
      </c>
      <c r="HR611">
        <f>IF(ISBLANK('Data Entry'!$Ģ$611), "", 'Data Entry'!$Ģ$611)</f>
      </c>
      <c r="HS611">
        <f>IF(ISBLANK('Data Entry'!$ģ$611), "", 'Data Entry'!$ģ$611)</f>
      </c>
      <c r="HT611">
        <f>IF(ISBLANK('Data Entry'!$Ĥ$611), "", 'Data Entry'!$Ĥ$611)</f>
      </c>
      <c r="HU611">
        <f>IF(ISBLANK('Data Entry'!$ĥ$611), "", 'Data Entry'!$ĥ$611)</f>
      </c>
      <c r="HV611">
        <f>IF(ISBLANK('Data Entry'!$Ħ$611), "", 'Data Entry'!$Ħ$611)</f>
      </c>
      <c r="HW611">
        <f>IF(ISBLANK('Data Entry'!$ħ$611), "", 'Data Entry'!$ħ$611)</f>
      </c>
      <c r="HX611">
        <f>IF(ISBLANK('Data Entry'!$Ĩ$611), "", 'Data Entry'!$Ĩ$611)</f>
      </c>
      <c r="HY611">
        <f>IF(ISBLANK('Data Entry'!$ĩ$611), "", 'Data Entry'!$ĩ$611)</f>
      </c>
      <c r="HZ611">
        <f>IF(ISBLANK('Data Entry'!$Ī$611), "", 'Data Entry'!$Ī$611)</f>
      </c>
      <c r="IA611">
        <f>IF(ISBLANK('Data Entry'!$ī$611), "", 'Data Entry'!$ī$611)</f>
      </c>
      <c r="IB611">
        <f>IF(ISBLANK('Data Entry'!$Ĭ$611), "", 'Data Entry'!$Ĭ$611)</f>
      </c>
      <c r="IC611">
        <f>IF(ISBLANK('Data Entry'!$ĭ$611), "", 'Data Entry'!$ĭ$611)</f>
      </c>
      <c r="ID611">
        <f>IF(ISBLANK('Data Entry'!$Į$611), "", 'Data Entry'!$Į$611)</f>
      </c>
      <c r="IE611">
        <f>IF(ISBLANK('Data Entry'!$į$611), "", 'Data Entry'!$į$611)</f>
      </c>
      <c r="IF611">
        <f>IF(ISBLANK('Data Entry'!$İ$611), "", 'Data Entry'!$İ$611)</f>
      </c>
      <c r="IG611">
        <f>IF(ISBLANK('Data Entry'!$ı$611), "", 'Data Entry'!$ı$611)</f>
      </c>
      <c r="IH611">
        <f>IF(ISBLANK('Data Entry'!$Ĳ$611), "", 'Data Entry'!$Ĳ$611)</f>
      </c>
      <c r="II611">
        <f>IF(ISBLANK('Data Entry'!$ĳ$611), "", 'Data Entry'!$ĳ$611)</f>
      </c>
      <c r="IJ611">
        <f>IF(ISBLANK('Data Entry'!$Ĵ$611), "", 'Data Entry'!$Ĵ$611)</f>
      </c>
      <c r="IK611">
        <f>IF(ISBLANK('Data Entry'!$ĵ$611), "", 'Data Entry'!$ĵ$611)</f>
      </c>
      <c r="IL611">
        <f>IF(ISBLANK('Data Entry'!$Ķ$611), "", 'Data Entry'!$Ķ$611)</f>
      </c>
      <c r="IM611">
        <f>IF(ISBLANK('Data Entry'!$ķ$611), "", 'Data Entry'!$ķ$611)</f>
      </c>
      <c r="IN611">
        <f>IF(ISBLANK('Data Entry'!$ĸ$611), "", 'Data Entry'!$ĸ$611)</f>
      </c>
      <c r="IO611">
        <f>IF(ISBLANK('Data Entry'!$Ĺ$611), "", 'Data Entry'!$Ĺ$611)</f>
      </c>
      <c r="IP611">
        <f>IF(ISBLANK('Data Entry'!$ĺ$611), "", 'Data Entry'!$ĺ$611)</f>
      </c>
      <c r="IQ611">
        <f>IF(ISBLANK('Data Entry'!$Ļ$611), "", 'Data Entry'!$Ļ$611)</f>
      </c>
      <c r="IR611">
        <f>IF(ISBLANK('Data Entry'!$ļ$611), "", 'Data Entry'!$ļ$611)</f>
      </c>
      <c r="IS611">
        <f>IF(ISBLANK('Data Entry'!$Ľ$611), "", 'Data Entry'!$Ľ$611)</f>
      </c>
      <c r="IT611">
        <f>IF(ISBLANK('Data Entry'!$ľ$611), "", 'Data Entry'!$ľ$611)</f>
      </c>
    </row>
    <row r="612" spans="1:254" x14ac:dyDescent="0.25">
      <c r="A612">
        <f>IF(ISBLANK('Data Entry'!$A$612), "", 'Data Entry'!$A$612)</f>
      </c>
      <c r="B612">
        <f>IF(ISBLANK('Data Entry'!$B$612), "", 'Data Entry'!$B$612)</f>
      </c>
      <c r="C612">
        <f>IF(ISBLANK('Data Entry'!$C$612), "", 'Data Entry'!$C$612)</f>
      </c>
      <c r="D612">
        <f>IF(ISBLANK('Data Entry'!$D$612), "", 'Data Entry'!$D$612)</f>
      </c>
      <c r="E612">
        <f>IF(ISBLANK('Data Entry'!$E$612), "", 'Data Entry'!$E$612)</f>
      </c>
      <c r="F612">
        <f>IF(ISBLANK('Data Entry'!$F$612), "", 'Data Entry'!$F$612)</f>
      </c>
      <c r="G612">
        <f>IF(ISBLANK('Data Entry'!$G$612), "", 'Data Entry'!$G$612)</f>
      </c>
      <c r="H612">
        <f>IF(ISBLANK('Data Entry'!$H$612), "", 'Data Entry'!$H$612)</f>
      </c>
      <c r="I612">
        <f>IF(ISBLANK('Data Entry'!$I$612), "", 'Data Entry'!$I$612)</f>
      </c>
      <c r="J612">
        <f>IF(ISBLANK('Data Entry'!$J$612), "", 'Data Entry'!$J$612)</f>
      </c>
      <c r="K612">
        <f>IF(ISBLANK('Data Entry'!$K$612), "", 'Data Entry'!$K$612)</f>
      </c>
      <c r="L612">
        <f>IF(ISBLANK('Data Entry'!$L$612), "", 'Data Entry'!$L$612)</f>
      </c>
      <c r="M612">
        <f>IF(ISBLANK('Data Entry'!$M$612), "", 'Data Entry'!$M$612)</f>
      </c>
      <c r="N612">
        <f>IF(ISBLANK('Data Entry'!$N$612), "", 'Data Entry'!$N$612)</f>
      </c>
      <c r="O612">
        <f>IF(ISBLANK('Data Entry'!$O$612), "", 'Data Entry'!$O$612)</f>
      </c>
      <c r="P612">
        <f>IF(ISBLANK('Data Entry'!$P$612), "", 'Data Entry'!$P$612)</f>
      </c>
      <c r="Q612">
        <f>IF(ISBLANK('Data Entry'!$Q$612), "", 'Data Entry'!$Q$612)</f>
      </c>
      <c r="R612">
        <f>IF(ISBLANK('Data Entry'!$R$612), "", 'Data Entry'!$R$612)</f>
      </c>
      <c r="S612">
        <f>IF(ISBLANK('Data Entry'!$S$612), "", 'Data Entry'!$S$612)</f>
      </c>
      <c r="T612">
        <f>IF(ISBLANK('Data Entry'!$T$612), "", 'Data Entry'!$T$612)</f>
      </c>
      <c r="U612">
        <f>IF(ISBLANK('Data Entry'!$U$612), "", 'Data Entry'!$U$612)</f>
      </c>
      <c r="V612">
        <f>IF(ISBLANK('Data Entry'!$V$612), "", 'Data Entry'!$V$612)</f>
      </c>
      <c r="W612">
        <f>IF(ISBLANK('Data Entry'!$W$612), "", 'Data Entry'!$W$612)</f>
      </c>
      <c r="X612">
        <f>IF(ISBLANK('Data Entry'!$X$612), "", 'Data Entry'!$X$612)</f>
      </c>
      <c r="Y612">
        <f>IF(ISBLANK('Data Entry'!$Y$612), "", 'Data Entry'!$Y$612)</f>
      </c>
      <c r="Z612">
        <f>IF(ISBLANK('Data Entry'!$Z$612), "", 'Data Entry'!$Z$612)</f>
      </c>
      <c r="AA612">
        <f>IF(ISBLANK('Data Entry'!$[$612), "", 'Data Entry'!$[$612)</f>
      </c>
      <c r="AB612">
        <f>IF(ISBLANK('Data Entry'!$\$612), "", 'Data Entry'!$\$612)</f>
      </c>
      <c r="AC612">
        <f>IF(ISBLANK('Data Entry'!$]$612), "", 'Data Entry'!$]$612)</f>
      </c>
      <c r="AD612">
        <f>IF(ISBLANK('Data Entry'!$^$612), "", 'Data Entry'!$^$612)</f>
      </c>
      <c r="AE612">
        <f>IF(ISBLANK('Data Entry'!$_$612), "", 'Data Entry'!$_$612)</f>
      </c>
      <c r="AF612">
        <f>IF(ISBLANK('Data Entry'!$`$612), "", 'Data Entry'!$`$612)</f>
      </c>
      <c r="AG612">
        <f>IF(ISBLANK('Data Entry'!$a$612), "", 'Data Entry'!$a$612)</f>
      </c>
      <c r="AH612">
        <f>IF(ISBLANK('Data Entry'!$b$612), "", 'Data Entry'!$b$612)</f>
      </c>
      <c r="AI612">
        <f>IF(ISBLANK('Data Entry'!$c$612), "", 'Data Entry'!$c$612)</f>
      </c>
      <c r="AJ612">
        <f>IF(ISBLANK('Data Entry'!$d$612), "", 'Data Entry'!$d$612)</f>
      </c>
      <c r="AK612">
        <f>IF(ISBLANK('Data Entry'!$e$612), "", 'Data Entry'!$e$612)</f>
      </c>
      <c r="AL612">
        <f>IF(ISBLANK('Data Entry'!$f$612), "", 'Data Entry'!$f$612)</f>
      </c>
      <c r="AM612">
        <f>IF(ISBLANK('Data Entry'!$g$612), "", 'Data Entry'!$g$612)</f>
      </c>
      <c r="AN612">
        <f>IF(ISBLANK('Data Entry'!$h$612), "", 'Data Entry'!$h$612)</f>
      </c>
      <c r="AO612">
        <f>IF(ISBLANK('Data Entry'!$i$612), "", 'Data Entry'!$i$612)</f>
      </c>
      <c r="AP612">
        <f>IF(ISBLANK('Data Entry'!$j$612), "", 'Data Entry'!$j$612)</f>
      </c>
      <c r="AQ612">
        <f>IF(ISBLANK('Data Entry'!$k$612), "", 'Data Entry'!$k$612)</f>
      </c>
      <c r="AR612">
        <f>IF(ISBLANK('Data Entry'!$l$612), "", 'Data Entry'!$l$612)</f>
      </c>
      <c r="AS612">
        <f>IF(ISBLANK('Data Entry'!$m$612), "", 'Data Entry'!$m$612)</f>
      </c>
      <c r="AT612">
        <f>IF(ISBLANK('Data Entry'!$n$612), "", 'Data Entry'!$n$612)</f>
      </c>
      <c r="AU612">
        <f>IF(ISBLANK('Data Entry'!$o$612), "", 'Data Entry'!$o$612)</f>
      </c>
      <c r="AV612">
        <f>IF(ISBLANK('Data Entry'!$p$612), "", 'Data Entry'!$p$612)</f>
      </c>
      <c r="AW612">
        <f>IF(ISBLANK('Data Entry'!$q$612), "", 'Data Entry'!$q$612)</f>
      </c>
      <c r="AX612">
        <f>IF(ISBLANK('Data Entry'!$r$612), "", 'Data Entry'!$r$612)</f>
      </c>
      <c r="AY612">
        <f>IF(ISBLANK('Data Entry'!$s$612), "", 'Data Entry'!$s$612)</f>
      </c>
      <c r="AZ612">
        <f>IF(ISBLANK('Data Entry'!$t$612), "", 'Data Entry'!$t$612)</f>
      </c>
      <c r="BA612">
        <f>IF(ISBLANK('Data Entry'!$u$612), "", 'Data Entry'!$u$612)</f>
      </c>
      <c r="BB612">
        <f>IF(ISBLANK('Data Entry'!$v$612), "", 'Data Entry'!$v$612)</f>
      </c>
      <c r="BC612">
        <f>IF(ISBLANK('Data Entry'!$w$612), "", 'Data Entry'!$w$612)</f>
      </c>
      <c r="BD612">
        <f>IF(ISBLANK('Data Entry'!$x$612), "", 'Data Entry'!$x$612)</f>
      </c>
      <c r="BE612">
        <f>IF(ISBLANK('Data Entry'!$y$612), "", 'Data Entry'!$y$612)</f>
      </c>
      <c r="BF612">
        <f>IF(ISBLANK('Data Entry'!$z$612), "", 'Data Entry'!$z$612)</f>
      </c>
      <c r="BG612">
        <f>IF(ISBLANK('Data Entry'!${$612), "", 'Data Entry'!${$612)</f>
      </c>
      <c r="BH612">
        <f>IF(ISBLANK('Data Entry'!$|$612), "", 'Data Entry'!$|$612)</f>
      </c>
      <c r="BI612">
        <f>IF(ISBLANK('Data Entry'!$}$612), "", 'Data Entry'!$}$612)</f>
      </c>
      <c r="BJ612">
        <f>IF(ISBLANK('Data Entry'!$~$612), "", 'Data Entry'!$~$612)</f>
      </c>
      <c r="BK612">
        <f>IF(ISBLANK('Data Entry'!$$612), "", 'Data Entry'!$$612)</f>
      </c>
      <c r="BL612">
        <f>IF(ISBLANK('Data Entry'!$$612), "", 'Data Entry'!$$612)</f>
      </c>
      <c r="BM612">
        <f>IF(ISBLANK('Data Entry'!$$612), "", 'Data Entry'!$$612)</f>
      </c>
      <c r="BN612">
        <f>IF(ISBLANK('Data Entry'!$$612), "", 'Data Entry'!$$612)</f>
      </c>
      <c r="BO612">
        <f>IF(ISBLANK('Data Entry'!$$612), "", 'Data Entry'!$$612)</f>
      </c>
      <c r="BP612">
        <f>IF(ISBLANK('Data Entry'!$$612), "", 'Data Entry'!$$612)</f>
      </c>
      <c r="BQ612">
        <f>IF(ISBLANK('Data Entry'!$$612), "", 'Data Entry'!$$612)</f>
      </c>
      <c r="BR612">
        <f>IF(ISBLANK('Data Entry'!$$612), "", 'Data Entry'!$$612)</f>
      </c>
      <c r="BS612">
        <f>IF(ISBLANK('Data Entry'!$$612), "", 'Data Entry'!$$612)</f>
      </c>
      <c r="BT612">
        <f>IF(ISBLANK('Data Entry'!$$612), "", 'Data Entry'!$$612)</f>
      </c>
      <c r="BU612">
        <f>IF(ISBLANK('Data Entry'!$$612), "", 'Data Entry'!$$612)</f>
      </c>
      <c r="BV612">
        <f>IF(ISBLANK('Data Entry'!$$612), "", 'Data Entry'!$$612)</f>
      </c>
      <c r="BW612">
        <f>IF(ISBLANK('Data Entry'!$$612), "", 'Data Entry'!$$612)</f>
      </c>
      <c r="BX612">
        <f>IF(ISBLANK('Data Entry'!$$612), "", 'Data Entry'!$$612)</f>
      </c>
      <c r="BY612">
        <f>IF(ISBLANK('Data Entry'!$$612), "", 'Data Entry'!$$612)</f>
      </c>
      <c r="BZ612">
        <f>IF(ISBLANK('Data Entry'!$$612), "", 'Data Entry'!$$612)</f>
      </c>
      <c r="CA612">
        <f>IF(ISBLANK('Data Entry'!$$612), "", 'Data Entry'!$$612)</f>
      </c>
      <c r="CB612">
        <f>IF(ISBLANK('Data Entry'!$$612), "", 'Data Entry'!$$612)</f>
      </c>
      <c r="CC612">
        <f>IF(ISBLANK('Data Entry'!$$612), "", 'Data Entry'!$$612)</f>
      </c>
      <c r="CD612">
        <f>IF(ISBLANK('Data Entry'!$$612), "", 'Data Entry'!$$612)</f>
      </c>
      <c r="CE612">
        <f>IF(ISBLANK('Data Entry'!$$612), "", 'Data Entry'!$$612)</f>
      </c>
      <c r="CF612">
        <f>IF(ISBLANK('Data Entry'!$$612), "", 'Data Entry'!$$612)</f>
      </c>
      <c r="CG612">
        <f>IF(ISBLANK('Data Entry'!$$612), "", 'Data Entry'!$$612)</f>
      </c>
      <c r="CH612">
        <f>IF(ISBLANK('Data Entry'!$$612), "", 'Data Entry'!$$612)</f>
      </c>
      <c r="CI612">
        <f>IF(ISBLANK('Data Entry'!$$612), "", 'Data Entry'!$$612)</f>
      </c>
      <c r="CJ612">
        <f>IF(ISBLANK('Data Entry'!$$612), "", 'Data Entry'!$$612)</f>
      </c>
      <c r="CK612">
        <f>IF(ISBLANK('Data Entry'!$$612), "", 'Data Entry'!$$612)</f>
      </c>
      <c r="CL612">
        <f>IF(ISBLANK('Data Entry'!$$612), "", 'Data Entry'!$$612)</f>
      </c>
      <c r="CM612">
        <f>IF(ISBLANK('Data Entry'!$$612), "", 'Data Entry'!$$612)</f>
      </c>
      <c r="CN612">
        <f>IF(ISBLANK('Data Entry'!$$612), "", 'Data Entry'!$$612)</f>
      </c>
      <c r="CO612">
        <f>IF(ISBLANK('Data Entry'!$$612), "", 'Data Entry'!$$612)</f>
      </c>
      <c r="CP612">
        <f>IF(ISBLANK('Data Entry'!$$612), "", 'Data Entry'!$$612)</f>
      </c>
      <c r="CQ612">
        <f>IF(ISBLANK('Data Entry'!$$612), "", 'Data Entry'!$$612)</f>
      </c>
      <c r="CR612">
        <f>IF(ISBLANK('Data Entry'!$ $612), "", 'Data Entry'!$ $612)</f>
      </c>
      <c r="CS612">
        <f>IF(ISBLANK('Data Entry'!$¡$612), "", 'Data Entry'!$¡$612)</f>
      </c>
      <c r="CT612">
        <f>IF(ISBLANK('Data Entry'!$¢$612), "", 'Data Entry'!$¢$612)</f>
      </c>
      <c r="CU612">
        <f>IF(ISBLANK('Data Entry'!$£$612), "", 'Data Entry'!$£$612)</f>
      </c>
      <c r="CV612">
        <f>IF(ISBLANK('Data Entry'!$¤$612), "", 'Data Entry'!$¤$612)</f>
      </c>
      <c r="CW612">
        <f>IF(ISBLANK('Data Entry'!$¥$612), "", 'Data Entry'!$¥$612)</f>
      </c>
      <c r="CX612">
        <f>IF(ISBLANK('Data Entry'!$¦$612), "", 'Data Entry'!$¦$612)</f>
      </c>
      <c r="CY612">
        <f>IF(ISBLANK('Data Entry'!$§$612), "", 'Data Entry'!$§$612)</f>
      </c>
      <c r="CZ612">
        <f>IF(ISBLANK('Data Entry'!$¨$612), "", 'Data Entry'!$¨$612)</f>
      </c>
      <c r="DA612">
        <f>IF(ISBLANK('Data Entry'!$©$612), "", 'Data Entry'!$©$612)</f>
      </c>
      <c r="DB612">
        <f>IF(ISBLANK('Data Entry'!$ª$612), "", 'Data Entry'!$ª$612)</f>
      </c>
      <c r="DC612">
        <f>IF(ISBLANK('Data Entry'!$«$612), "", 'Data Entry'!$«$612)</f>
      </c>
      <c r="DD612">
        <f>IF(ISBLANK('Data Entry'!$¬$612), "", 'Data Entry'!$¬$612)</f>
      </c>
      <c r="DE612">
        <f>IF(ISBLANK('Data Entry'!$­$612), "", 'Data Entry'!$­$612)</f>
      </c>
      <c r="DF612">
        <f>IF(ISBLANK('Data Entry'!$®$612), "", 'Data Entry'!$®$612)</f>
      </c>
      <c r="DG612">
        <f>IF(ISBLANK('Data Entry'!$¯$612), "", 'Data Entry'!$¯$612)</f>
      </c>
      <c r="DH612">
        <f>IF(ISBLANK('Data Entry'!$°$612), "", 'Data Entry'!$°$612)</f>
      </c>
      <c r="DI612">
        <f>IF(ISBLANK('Data Entry'!$±$612), "", 'Data Entry'!$±$612)</f>
      </c>
      <c r="DJ612">
        <f>IF(ISBLANK('Data Entry'!$²$612), "", 'Data Entry'!$²$612)</f>
      </c>
      <c r="DK612">
        <f>IF(ISBLANK('Data Entry'!$³$612), "", 'Data Entry'!$³$612)</f>
      </c>
      <c r="DL612">
        <f>IF(ISBLANK('Data Entry'!$´$612), "", 'Data Entry'!$´$612)</f>
      </c>
      <c r="DM612">
        <f>IF(ISBLANK('Data Entry'!$µ$612), "", 'Data Entry'!$µ$612)</f>
      </c>
      <c r="DN612">
        <f>IF(ISBLANK('Data Entry'!$¶$612), "", 'Data Entry'!$¶$612)</f>
      </c>
      <c r="DO612">
        <f>IF(ISBLANK('Data Entry'!$·$612), "", 'Data Entry'!$·$612)</f>
      </c>
      <c r="DP612">
        <f>IF(ISBLANK('Data Entry'!$¸$612), "", 'Data Entry'!$¸$612)</f>
      </c>
      <c r="DQ612">
        <f>IF(ISBLANK('Data Entry'!$¹$612), "", 'Data Entry'!$¹$612)</f>
      </c>
      <c r="DR612">
        <f>IF(ISBLANK('Data Entry'!$º$612), "", 'Data Entry'!$º$612)</f>
      </c>
      <c r="DS612">
        <f>IF(ISBLANK('Data Entry'!$»$612), "", 'Data Entry'!$»$612)</f>
      </c>
      <c r="DT612">
        <f>IF(ISBLANK('Data Entry'!$¼$612), "", 'Data Entry'!$¼$612)</f>
      </c>
      <c r="DU612">
        <f>IF(ISBLANK('Data Entry'!$½$612), "", 'Data Entry'!$½$612)</f>
      </c>
      <c r="DV612">
        <f>IF(ISBLANK('Data Entry'!$¾$612), "", 'Data Entry'!$¾$612)</f>
      </c>
      <c r="DW612">
        <f>IF(ISBLANK('Data Entry'!$¿$612), "", 'Data Entry'!$¿$612)</f>
      </c>
      <c r="DX612">
        <f>IF(ISBLANK('Data Entry'!$À$612), "", 'Data Entry'!$À$612)</f>
      </c>
      <c r="DY612">
        <f>IF(ISBLANK('Data Entry'!$Á$612), "", 'Data Entry'!$Á$612)</f>
      </c>
      <c r="DZ612">
        <f>IF(ISBLANK('Data Entry'!$Â$612), "", 'Data Entry'!$Â$612)</f>
      </c>
      <c r="EA612">
        <f>IF(ISBLANK('Data Entry'!$Ã$612), "", 'Data Entry'!$Ã$612)</f>
      </c>
      <c r="EB612">
        <f>IF(ISBLANK('Data Entry'!$Ä$612), "", 'Data Entry'!$Ä$612)</f>
      </c>
      <c r="EC612">
        <f>IF(ISBLANK('Data Entry'!$Å$612), "", 'Data Entry'!$Å$612)</f>
      </c>
      <c r="ED612">
        <f>IF(ISBLANK('Data Entry'!$Æ$612), "", 'Data Entry'!$Æ$612)</f>
      </c>
      <c r="EE612">
        <f>IF(ISBLANK('Data Entry'!$Ç$612), "", 'Data Entry'!$Ç$612)</f>
      </c>
      <c r="EF612">
        <f>IF(ISBLANK('Data Entry'!$È$612), "", 'Data Entry'!$È$612)</f>
      </c>
      <c r="EG612">
        <f>IF(ISBLANK('Data Entry'!$É$612), "", 'Data Entry'!$É$612)</f>
      </c>
      <c r="EH612">
        <f>IF(ISBLANK('Data Entry'!$Ê$612), "", 'Data Entry'!$Ê$612)</f>
      </c>
      <c r="EI612">
        <f>IF(ISBLANK('Data Entry'!$Ë$612), "", 'Data Entry'!$Ë$612)</f>
      </c>
      <c r="EJ612">
        <f>IF(ISBLANK('Data Entry'!$Ì$612), "", 'Data Entry'!$Ì$612)</f>
      </c>
      <c r="EK612">
        <f>IF(ISBLANK('Data Entry'!$Í$612), "", 'Data Entry'!$Í$612)</f>
      </c>
      <c r="EL612">
        <f>IF(ISBLANK('Data Entry'!$Î$612), "", 'Data Entry'!$Î$612)</f>
      </c>
      <c r="EM612">
        <f>IF(ISBLANK('Data Entry'!$Ï$612), "", 'Data Entry'!$Ï$612)</f>
      </c>
      <c r="EN612">
        <f>IF(ISBLANK('Data Entry'!$Ð$612), "", 'Data Entry'!$Ð$612)</f>
      </c>
      <c r="EO612">
        <f>IF(ISBLANK('Data Entry'!$Ñ$612), "", 'Data Entry'!$Ñ$612)</f>
      </c>
      <c r="EP612">
        <f>IF(ISBLANK('Data Entry'!$Ò$612), "", 'Data Entry'!$Ò$612)</f>
      </c>
      <c r="EQ612">
        <f>IF(ISBLANK('Data Entry'!$Ó$612), "", 'Data Entry'!$Ó$612)</f>
      </c>
      <c r="ER612">
        <f>IF(ISBLANK('Data Entry'!$Ô$612), "", 'Data Entry'!$Ô$612)</f>
      </c>
      <c r="ES612">
        <f>IF(ISBLANK('Data Entry'!$Õ$612), "", 'Data Entry'!$Õ$612)</f>
      </c>
      <c r="ET612">
        <f>IF(ISBLANK('Data Entry'!$Ö$612), "", 'Data Entry'!$Ö$612)</f>
      </c>
      <c r="EU612">
        <f>IF(ISBLANK('Data Entry'!$×$612), "", 'Data Entry'!$×$612)</f>
      </c>
      <c r="EV612">
        <f>IF(ISBLANK('Data Entry'!$Ø$612), "", 'Data Entry'!$Ø$612)</f>
      </c>
      <c r="EW612">
        <f>IF(ISBLANK('Data Entry'!$Ù$612), "", 'Data Entry'!$Ù$612)</f>
      </c>
      <c r="EX612">
        <f>IF(ISBLANK('Data Entry'!$Ú$612), "", 'Data Entry'!$Ú$612)</f>
      </c>
      <c r="EY612">
        <f>IF(ISBLANK('Data Entry'!$Û$612), "", 'Data Entry'!$Û$612)</f>
      </c>
      <c r="EZ612">
        <f>IF(ISBLANK('Data Entry'!$Ü$612), "", 'Data Entry'!$Ü$612)</f>
      </c>
      <c r="FA612">
        <f>IF(ISBLANK('Data Entry'!$Ý$612), "", 'Data Entry'!$Ý$612)</f>
      </c>
      <c r="FB612">
        <f>IF(ISBLANK('Data Entry'!$Þ$612), "", 'Data Entry'!$Þ$612)</f>
      </c>
      <c r="FC612">
        <f>IF(ISBLANK('Data Entry'!$ß$612), "", 'Data Entry'!$ß$612)</f>
      </c>
      <c r="FD612">
        <f>IF(ISBLANK('Data Entry'!$à$612), "", 'Data Entry'!$à$612)</f>
      </c>
      <c r="FE612">
        <f>IF(ISBLANK('Data Entry'!$á$612), "", 'Data Entry'!$á$612)</f>
      </c>
      <c r="FF612">
        <f>IF(ISBLANK('Data Entry'!$â$612), "", 'Data Entry'!$â$612)</f>
      </c>
      <c r="FG612">
        <f>IF(ISBLANK('Data Entry'!$ã$612), "", 'Data Entry'!$ã$612)</f>
      </c>
      <c r="FH612">
        <f>IF(ISBLANK('Data Entry'!$ä$612), "", 'Data Entry'!$ä$612)</f>
      </c>
      <c r="FI612">
        <f>IF(ISBLANK('Data Entry'!$å$612), "", 'Data Entry'!$å$612)</f>
      </c>
      <c r="FJ612">
        <f>IF(ISBLANK('Data Entry'!$æ$612), "", 'Data Entry'!$æ$612)</f>
      </c>
      <c r="FK612">
        <f>IF(ISBLANK('Data Entry'!$ç$612), "", 'Data Entry'!$ç$612)</f>
      </c>
      <c r="FL612">
        <f>IF(ISBLANK('Data Entry'!$è$612), "", 'Data Entry'!$è$612)</f>
      </c>
      <c r="FM612">
        <f>IF(ISBLANK('Data Entry'!$é$612), "", 'Data Entry'!$é$612)</f>
      </c>
      <c r="FN612">
        <f>IF(ISBLANK('Data Entry'!$ê$612), "", 'Data Entry'!$ê$612)</f>
      </c>
      <c r="FO612">
        <f>IF(ISBLANK('Data Entry'!$ë$612), "", 'Data Entry'!$ë$612)</f>
      </c>
      <c r="FP612">
        <f>IF(ISBLANK('Data Entry'!$ì$612), "", 'Data Entry'!$ì$612)</f>
      </c>
      <c r="FQ612">
        <f>IF(ISBLANK('Data Entry'!$í$612), "", 'Data Entry'!$í$612)</f>
      </c>
      <c r="FR612">
        <f>IF(ISBLANK('Data Entry'!$î$612), "", 'Data Entry'!$î$612)</f>
      </c>
      <c r="FS612">
        <f>IF(ISBLANK('Data Entry'!$ï$612), "", 'Data Entry'!$ï$612)</f>
      </c>
      <c r="FT612">
        <f>IF(ISBLANK('Data Entry'!$ð$612), "", 'Data Entry'!$ð$612)</f>
      </c>
      <c r="FU612">
        <f>IF(ISBLANK('Data Entry'!$ñ$612), "", 'Data Entry'!$ñ$612)</f>
      </c>
      <c r="FV612">
        <f>IF(ISBLANK('Data Entry'!$ò$612), "", 'Data Entry'!$ò$612)</f>
      </c>
      <c r="FW612">
        <f>IF(ISBLANK('Data Entry'!$ó$612), "", 'Data Entry'!$ó$612)</f>
      </c>
      <c r="FX612">
        <f>IF(ISBLANK('Data Entry'!$ô$612), "", 'Data Entry'!$ô$612)</f>
      </c>
      <c r="FY612">
        <f>IF(ISBLANK('Data Entry'!$õ$612), "", 'Data Entry'!$õ$612)</f>
      </c>
      <c r="FZ612">
        <f>IF(ISBLANK('Data Entry'!$ö$612), "", 'Data Entry'!$ö$612)</f>
      </c>
      <c r="GA612">
        <f>IF(ISBLANK('Data Entry'!$÷$612), "", 'Data Entry'!$÷$612)</f>
      </c>
      <c r="GB612">
        <f>IF(ISBLANK('Data Entry'!$ø$612), "", 'Data Entry'!$ø$612)</f>
      </c>
      <c r="GC612">
        <f>IF(ISBLANK('Data Entry'!$ù$612), "", 'Data Entry'!$ù$612)</f>
      </c>
      <c r="GD612">
        <f>IF(ISBLANK('Data Entry'!$ú$612), "", 'Data Entry'!$ú$612)</f>
      </c>
      <c r="GE612">
        <f>IF(ISBLANK('Data Entry'!$û$612), "", 'Data Entry'!$û$612)</f>
      </c>
      <c r="GF612">
        <f>IF(ISBLANK('Data Entry'!$ü$612), "", 'Data Entry'!$ü$612)</f>
      </c>
      <c r="GG612">
        <f>IF(ISBLANK('Data Entry'!$ý$612), "", 'Data Entry'!$ý$612)</f>
      </c>
      <c r="GH612">
        <f>IF(ISBLANK('Data Entry'!$þ$612), "", 'Data Entry'!$þ$612)</f>
      </c>
      <c r="GI612">
        <f>IF(ISBLANK('Data Entry'!$ÿ$612), "", 'Data Entry'!$ÿ$612)</f>
      </c>
      <c r="GJ612">
        <f>IF(ISBLANK('Data Entry'!$Ā$612), "", 'Data Entry'!$Ā$612)</f>
      </c>
      <c r="GK612">
        <f>IF(ISBLANK('Data Entry'!$ā$612), "", 'Data Entry'!$ā$612)</f>
      </c>
      <c r="GL612">
        <f>IF(ISBLANK('Data Entry'!$Ă$612), "", 'Data Entry'!$Ă$612)</f>
      </c>
      <c r="GM612">
        <f>IF(ISBLANK('Data Entry'!$ă$612), "", 'Data Entry'!$ă$612)</f>
      </c>
      <c r="GN612">
        <f>IF(ISBLANK('Data Entry'!$Ą$612), "", 'Data Entry'!$Ą$612)</f>
      </c>
      <c r="GO612">
        <f>IF(ISBLANK('Data Entry'!$ą$612), "", 'Data Entry'!$ą$612)</f>
      </c>
      <c r="GP612">
        <f>IF(ISBLANK('Data Entry'!$Ć$612), "", 'Data Entry'!$Ć$612)</f>
      </c>
      <c r="GQ612">
        <f>IF(ISBLANK('Data Entry'!$ć$612), "", 'Data Entry'!$ć$612)</f>
      </c>
      <c r="GR612">
        <f>IF(ISBLANK('Data Entry'!$Ĉ$612), "", 'Data Entry'!$Ĉ$612)</f>
      </c>
      <c r="GS612">
        <f>IF(ISBLANK('Data Entry'!$ĉ$612), "", 'Data Entry'!$ĉ$612)</f>
      </c>
      <c r="GT612">
        <f>IF(ISBLANK('Data Entry'!$Ċ$612), "", 'Data Entry'!$Ċ$612)</f>
      </c>
      <c r="GU612">
        <f>IF(ISBLANK('Data Entry'!$ċ$612), "", 'Data Entry'!$ċ$612)</f>
      </c>
      <c r="GV612">
        <f>IF(ISBLANK('Data Entry'!$Č$612), "", 'Data Entry'!$Č$612)</f>
      </c>
      <c r="GW612">
        <f>IF(ISBLANK('Data Entry'!$č$612), "", 'Data Entry'!$č$612)</f>
      </c>
      <c r="GX612">
        <f>IF(ISBLANK('Data Entry'!$Ď$612), "", 'Data Entry'!$Ď$612)</f>
      </c>
      <c r="GY612">
        <f>IF(ISBLANK('Data Entry'!$ď$612), "", 'Data Entry'!$ď$612)</f>
      </c>
      <c r="GZ612">
        <f>IF(ISBLANK('Data Entry'!$Đ$612), "", 'Data Entry'!$Đ$612)</f>
      </c>
      <c r="HA612">
        <f>IF(ISBLANK('Data Entry'!$đ$612), "", 'Data Entry'!$đ$612)</f>
      </c>
      <c r="HB612">
        <f>IF(ISBLANK('Data Entry'!$Ē$612), "", 'Data Entry'!$Ē$612)</f>
      </c>
      <c r="HC612">
        <f>IF(ISBLANK('Data Entry'!$ē$612), "", 'Data Entry'!$ē$612)</f>
      </c>
      <c r="HD612">
        <f>IF(ISBLANK('Data Entry'!$Ĕ$612), "", 'Data Entry'!$Ĕ$612)</f>
      </c>
      <c r="HE612">
        <f>IF(ISBLANK('Data Entry'!$ĕ$612), "", 'Data Entry'!$ĕ$612)</f>
      </c>
      <c r="HF612">
        <f>IF(ISBLANK('Data Entry'!$Ė$612), "", 'Data Entry'!$Ė$612)</f>
      </c>
      <c r="HG612">
        <f>IF(ISBLANK('Data Entry'!$ė$612), "", 'Data Entry'!$ė$612)</f>
      </c>
      <c r="HH612">
        <f>IF(ISBLANK('Data Entry'!$Ę$612), "", 'Data Entry'!$Ę$612)</f>
      </c>
      <c r="HI612">
        <f>IF(ISBLANK('Data Entry'!$ę$612), "", 'Data Entry'!$ę$612)</f>
      </c>
      <c r="HJ612">
        <f>IF(ISBLANK('Data Entry'!$Ě$612), "", 'Data Entry'!$Ě$612)</f>
      </c>
      <c r="HK612">
        <f>IF(ISBLANK('Data Entry'!$ě$612), "", 'Data Entry'!$ě$612)</f>
      </c>
      <c r="HL612">
        <f>IF(ISBLANK('Data Entry'!$Ĝ$612), "", 'Data Entry'!$Ĝ$612)</f>
      </c>
      <c r="HM612">
        <f>IF(ISBLANK('Data Entry'!$ĝ$612), "", 'Data Entry'!$ĝ$612)</f>
      </c>
      <c r="HN612">
        <f>IF(ISBLANK('Data Entry'!$Ğ$612), "", 'Data Entry'!$Ğ$612)</f>
      </c>
      <c r="HO612">
        <f>IF(ISBLANK('Data Entry'!$ğ$612), "", 'Data Entry'!$ğ$612)</f>
      </c>
      <c r="HP612">
        <f>IF(ISBLANK('Data Entry'!$Ġ$612), "", 'Data Entry'!$Ġ$612)</f>
      </c>
      <c r="HQ612">
        <f>IF(ISBLANK('Data Entry'!$ġ$612), "", 'Data Entry'!$ġ$612)</f>
      </c>
      <c r="HR612">
        <f>IF(ISBLANK('Data Entry'!$Ģ$612), "", 'Data Entry'!$Ģ$612)</f>
      </c>
      <c r="HS612">
        <f>IF(ISBLANK('Data Entry'!$ģ$612), "", 'Data Entry'!$ģ$612)</f>
      </c>
      <c r="HT612">
        <f>IF(ISBLANK('Data Entry'!$Ĥ$612), "", 'Data Entry'!$Ĥ$612)</f>
      </c>
      <c r="HU612">
        <f>IF(ISBLANK('Data Entry'!$ĥ$612), "", 'Data Entry'!$ĥ$612)</f>
      </c>
      <c r="HV612">
        <f>IF(ISBLANK('Data Entry'!$Ħ$612), "", 'Data Entry'!$Ħ$612)</f>
      </c>
      <c r="HW612">
        <f>IF(ISBLANK('Data Entry'!$ħ$612), "", 'Data Entry'!$ħ$612)</f>
      </c>
      <c r="HX612">
        <f>IF(ISBLANK('Data Entry'!$Ĩ$612), "", 'Data Entry'!$Ĩ$612)</f>
      </c>
      <c r="HY612">
        <f>IF(ISBLANK('Data Entry'!$ĩ$612), "", 'Data Entry'!$ĩ$612)</f>
      </c>
      <c r="HZ612">
        <f>IF(ISBLANK('Data Entry'!$Ī$612), "", 'Data Entry'!$Ī$612)</f>
      </c>
      <c r="IA612">
        <f>IF(ISBLANK('Data Entry'!$ī$612), "", 'Data Entry'!$ī$612)</f>
      </c>
      <c r="IB612">
        <f>IF(ISBLANK('Data Entry'!$Ĭ$612), "", 'Data Entry'!$Ĭ$612)</f>
      </c>
      <c r="IC612">
        <f>IF(ISBLANK('Data Entry'!$ĭ$612), "", 'Data Entry'!$ĭ$612)</f>
      </c>
      <c r="ID612">
        <f>IF(ISBLANK('Data Entry'!$Į$612), "", 'Data Entry'!$Į$612)</f>
      </c>
      <c r="IE612">
        <f>IF(ISBLANK('Data Entry'!$į$612), "", 'Data Entry'!$į$612)</f>
      </c>
      <c r="IF612">
        <f>IF(ISBLANK('Data Entry'!$İ$612), "", 'Data Entry'!$İ$612)</f>
      </c>
      <c r="IG612">
        <f>IF(ISBLANK('Data Entry'!$ı$612), "", 'Data Entry'!$ı$612)</f>
      </c>
      <c r="IH612">
        <f>IF(ISBLANK('Data Entry'!$Ĳ$612), "", 'Data Entry'!$Ĳ$612)</f>
      </c>
      <c r="II612">
        <f>IF(ISBLANK('Data Entry'!$ĳ$612), "", 'Data Entry'!$ĳ$612)</f>
      </c>
      <c r="IJ612">
        <f>IF(ISBLANK('Data Entry'!$Ĵ$612), "", 'Data Entry'!$Ĵ$612)</f>
      </c>
      <c r="IK612">
        <f>IF(ISBLANK('Data Entry'!$ĵ$612), "", 'Data Entry'!$ĵ$612)</f>
      </c>
      <c r="IL612">
        <f>IF(ISBLANK('Data Entry'!$Ķ$612), "", 'Data Entry'!$Ķ$612)</f>
      </c>
      <c r="IM612">
        <f>IF(ISBLANK('Data Entry'!$ķ$612), "", 'Data Entry'!$ķ$612)</f>
      </c>
      <c r="IN612">
        <f>IF(ISBLANK('Data Entry'!$ĸ$612), "", 'Data Entry'!$ĸ$612)</f>
      </c>
      <c r="IO612">
        <f>IF(ISBLANK('Data Entry'!$Ĺ$612), "", 'Data Entry'!$Ĺ$612)</f>
      </c>
      <c r="IP612">
        <f>IF(ISBLANK('Data Entry'!$ĺ$612), "", 'Data Entry'!$ĺ$612)</f>
      </c>
      <c r="IQ612">
        <f>IF(ISBLANK('Data Entry'!$Ļ$612), "", 'Data Entry'!$Ļ$612)</f>
      </c>
      <c r="IR612">
        <f>IF(ISBLANK('Data Entry'!$ļ$612), "", 'Data Entry'!$ļ$612)</f>
      </c>
      <c r="IS612">
        <f>IF(ISBLANK('Data Entry'!$Ľ$612), "", 'Data Entry'!$Ľ$612)</f>
      </c>
      <c r="IT612">
        <f>IF(ISBLANK('Data Entry'!$ľ$612), "", 'Data Entry'!$ľ$612)</f>
      </c>
    </row>
    <row r="613" spans="1:254" x14ac:dyDescent="0.25">
      <c r="A613">
        <f>IF(ISBLANK('Data Entry'!$A$613), "", 'Data Entry'!$A$613)</f>
      </c>
      <c r="B613">
        <f>IF(ISBLANK('Data Entry'!$B$613), "", 'Data Entry'!$B$613)</f>
      </c>
      <c r="C613">
        <f>IF(ISBLANK('Data Entry'!$C$613), "", 'Data Entry'!$C$613)</f>
      </c>
      <c r="D613">
        <f>IF(ISBLANK('Data Entry'!$D$613), "", 'Data Entry'!$D$613)</f>
      </c>
      <c r="E613">
        <f>IF(ISBLANK('Data Entry'!$E$613), "", 'Data Entry'!$E$613)</f>
      </c>
      <c r="F613">
        <f>IF(ISBLANK('Data Entry'!$F$613), "", 'Data Entry'!$F$613)</f>
      </c>
      <c r="G613">
        <f>IF(ISBLANK('Data Entry'!$G$613), "", 'Data Entry'!$G$613)</f>
      </c>
      <c r="H613">
        <f>IF(ISBLANK('Data Entry'!$H$613), "", 'Data Entry'!$H$613)</f>
      </c>
      <c r="I613">
        <f>IF(ISBLANK('Data Entry'!$I$613), "", 'Data Entry'!$I$613)</f>
      </c>
      <c r="J613">
        <f>IF(ISBLANK('Data Entry'!$J$613), "", 'Data Entry'!$J$613)</f>
      </c>
      <c r="K613">
        <f>IF(ISBLANK('Data Entry'!$K$613), "", 'Data Entry'!$K$613)</f>
      </c>
      <c r="L613">
        <f>IF(ISBLANK('Data Entry'!$L$613), "", 'Data Entry'!$L$613)</f>
      </c>
      <c r="M613">
        <f>IF(ISBLANK('Data Entry'!$M$613), "", 'Data Entry'!$M$613)</f>
      </c>
      <c r="N613">
        <f>IF(ISBLANK('Data Entry'!$N$613), "", 'Data Entry'!$N$613)</f>
      </c>
      <c r="O613">
        <f>IF(ISBLANK('Data Entry'!$O$613), "", 'Data Entry'!$O$613)</f>
      </c>
      <c r="P613">
        <f>IF(ISBLANK('Data Entry'!$P$613), "", 'Data Entry'!$P$613)</f>
      </c>
      <c r="Q613">
        <f>IF(ISBLANK('Data Entry'!$Q$613), "", 'Data Entry'!$Q$613)</f>
      </c>
      <c r="R613">
        <f>IF(ISBLANK('Data Entry'!$R$613), "", 'Data Entry'!$R$613)</f>
      </c>
      <c r="S613">
        <f>IF(ISBLANK('Data Entry'!$S$613), "", 'Data Entry'!$S$613)</f>
      </c>
      <c r="T613">
        <f>IF(ISBLANK('Data Entry'!$T$613), "", 'Data Entry'!$T$613)</f>
      </c>
      <c r="U613">
        <f>IF(ISBLANK('Data Entry'!$U$613), "", 'Data Entry'!$U$613)</f>
      </c>
      <c r="V613">
        <f>IF(ISBLANK('Data Entry'!$V$613), "", 'Data Entry'!$V$613)</f>
      </c>
      <c r="W613">
        <f>IF(ISBLANK('Data Entry'!$W$613), "", 'Data Entry'!$W$613)</f>
      </c>
      <c r="X613">
        <f>IF(ISBLANK('Data Entry'!$X$613), "", 'Data Entry'!$X$613)</f>
      </c>
      <c r="Y613">
        <f>IF(ISBLANK('Data Entry'!$Y$613), "", 'Data Entry'!$Y$613)</f>
      </c>
      <c r="Z613">
        <f>IF(ISBLANK('Data Entry'!$Z$613), "", 'Data Entry'!$Z$613)</f>
      </c>
      <c r="AA613">
        <f>IF(ISBLANK('Data Entry'!$[$613), "", 'Data Entry'!$[$613)</f>
      </c>
      <c r="AB613">
        <f>IF(ISBLANK('Data Entry'!$\$613), "", 'Data Entry'!$\$613)</f>
      </c>
      <c r="AC613">
        <f>IF(ISBLANK('Data Entry'!$]$613), "", 'Data Entry'!$]$613)</f>
      </c>
      <c r="AD613">
        <f>IF(ISBLANK('Data Entry'!$^$613), "", 'Data Entry'!$^$613)</f>
      </c>
      <c r="AE613">
        <f>IF(ISBLANK('Data Entry'!$_$613), "", 'Data Entry'!$_$613)</f>
      </c>
      <c r="AF613">
        <f>IF(ISBLANK('Data Entry'!$`$613), "", 'Data Entry'!$`$613)</f>
      </c>
      <c r="AG613">
        <f>IF(ISBLANK('Data Entry'!$a$613), "", 'Data Entry'!$a$613)</f>
      </c>
      <c r="AH613">
        <f>IF(ISBLANK('Data Entry'!$b$613), "", 'Data Entry'!$b$613)</f>
      </c>
      <c r="AI613">
        <f>IF(ISBLANK('Data Entry'!$c$613), "", 'Data Entry'!$c$613)</f>
      </c>
      <c r="AJ613">
        <f>IF(ISBLANK('Data Entry'!$d$613), "", 'Data Entry'!$d$613)</f>
      </c>
      <c r="AK613">
        <f>IF(ISBLANK('Data Entry'!$e$613), "", 'Data Entry'!$e$613)</f>
      </c>
      <c r="AL613">
        <f>IF(ISBLANK('Data Entry'!$f$613), "", 'Data Entry'!$f$613)</f>
      </c>
      <c r="AM613">
        <f>IF(ISBLANK('Data Entry'!$g$613), "", 'Data Entry'!$g$613)</f>
      </c>
      <c r="AN613">
        <f>IF(ISBLANK('Data Entry'!$h$613), "", 'Data Entry'!$h$613)</f>
      </c>
      <c r="AO613">
        <f>IF(ISBLANK('Data Entry'!$i$613), "", 'Data Entry'!$i$613)</f>
      </c>
      <c r="AP613">
        <f>IF(ISBLANK('Data Entry'!$j$613), "", 'Data Entry'!$j$613)</f>
      </c>
      <c r="AQ613">
        <f>IF(ISBLANK('Data Entry'!$k$613), "", 'Data Entry'!$k$613)</f>
      </c>
      <c r="AR613">
        <f>IF(ISBLANK('Data Entry'!$l$613), "", 'Data Entry'!$l$613)</f>
      </c>
      <c r="AS613">
        <f>IF(ISBLANK('Data Entry'!$m$613), "", 'Data Entry'!$m$613)</f>
      </c>
      <c r="AT613">
        <f>IF(ISBLANK('Data Entry'!$n$613), "", 'Data Entry'!$n$613)</f>
      </c>
      <c r="AU613">
        <f>IF(ISBLANK('Data Entry'!$o$613), "", 'Data Entry'!$o$613)</f>
      </c>
      <c r="AV613">
        <f>IF(ISBLANK('Data Entry'!$p$613), "", 'Data Entry'!$p$613)</f>
      </c>
      <c r="AW613">
        <f>IF(ISBLANK('Data Entry'!$q$613), "", 'Data Entry'!$q$613)</f>
      </c>
      <c r="AX613">
        <f>IF(ISBLANK('Data Entry'!$r$613), "", 'Data Entry'!$r$613)</f>
      </c>
      <c r="AY613">
        <f>IF(ISBLANK('Data Entry'!$s$613), "", 'Data Entry'!$s$613)</f>
      </c>
      <c r="AZ613">
        <f>IF(ISBLANK('Data Entry'!$t$613), "", 'Data Entry'!$t$613)</f>
      </c>
      <c r="BA613">
        <f>IF(ISBLANK('Data Entry'!$u$613), "", 'Data Entry'!$u$613)</f>
      </c>
      <c r="BB613">
        <f>IF(ISBLANK('Data Entry'!$v$613), "", 'Data Entry'!$v$613)</f>
      </c>
      <c r="BC613">
        <f>IF(ISBLANK('Data Entry'!$w$613), "", 'Data Entry'!$w$613)</f>
      </c>
      <c r="BD613">
        <f>IF(ISBLANK('Data Entry'!$x$613), "", 'Data Entry'!$x$613)</f>
      </c>
      <c r="BE613">
        <f>IF(ISBLANK('Data Entry'!$y$613), "", 'Data Entry'!$y$613)</f>
      </c>
      <c r="BF613">
        <f>IF(ISBLANK('Data Entry'!$z$613), "", 'Data Entry'!$z$613)</f>
      </c>
      <c r="BG613">
        <f>IF(ISBLANK('Data Entry'!${$613), "", 'Data Entry'!${$613)</f>
      </c>
      <c r="BH613">
        <f>IF(ISBLANK('Data Entry'!$|$613), "", 'Data Entry'!$|$613)</f>
      </c>
      <c r="BI613">
        <f>IF(ISBLANK('Data Entry'!$}$613), "", 'Data Entry'!$}$613)</f>
      </c>
      <c r="BJ613">
        <f>IF(ISBLANK('Data Entry'!$~$613), "", 'Data Entry'!$~$613)</f>
      </c>
      <c r="BK613">
        <f>IF(ISBLANK('Data Entry'!$$613), "", 'Data Entry'!$$613)</f>
      </c>
      <c r="BL613">
        <f>IF(ISBLANK('Data Entry'!$$613), "", 'Data Entry'!$$613)</f>
      </c>
      <c r="BM613">
        <f>IF(ISBLANK('Data Entry'!$$613), "", 'Data Entry'!$$613)</f>
      </c>
      <c r="BN613">
        <f>IF(ISBLANK('Data Entry'!$$613), "", 'Data Entry'!$$613)</f>
      </c>
      <c r="BO613">
        <f>IF(ISBLANK('Data Entry'!$$613), "", 'Data Entry'!$$613)</f>
      </c>
      <c r="BP613">
        <f>IF(ISBLANK('Data Entry'!$$613), "", 'Data Entry'!$$613)</f>
      </c>
      <c r="BQ613">
        <f>IF(ISBLANK('Data Entry'!$$613), "", 'Data Entry'!$$613)</f>
      </c>
      <c r="BR613">
        <f>IF(ISBLANK('Data Entry'!$$613), "", 'Data Entry'!$$613)</f>
      </c>
      <c r="BS613">
        <f>IF(ISBLANK('Data Entry'!$$613), "", 'Data Entry'!$$613)</f>
      </c>
      <c r="BT613">
        <f>IF(ISBLANK('Data Entry'!$$613), "", 'Data Entry'!$$613)</f>
      </c>
      <c r="BU613">
        <f>IF(ISBLANK('Data Entry'!$$613), "", 'Data Entry'!$$613)</f>
      </c>
      <c r="BV613">
        <f>IF(ISBLANK('Data Entry'!$$613), "", 'Data Entry'!$$613)</f>
      </c>
      <c r="BW613">
        <f>IF(ISBLANK('Data Entry'!$$613), "", 'Data Entry'!$$613)</f>
      </c>
      <c r="BX613">
        <f>IF(ISBLANK('Data Entry'!$$613), "", 'Data Entry'!$$613)</f>
      </c>
      <c r="BY613">
        <f>IF(ISBLANK('Data Entry'!$$613), "", 'Data Entry'!$$613)</f>
      </c>
      <c r="BZ613">
        <f>IF(ISBLANK('Data Entry'!$$613), "", 'Data Entry'!$$613)</f>
      </c>
      <c r="CA613">
        <f>IF(ISBLANK('Data Entry'!$$613), "", 'Data Entry'!$$613)</f>
      </c>
      <c r="CB613">
        <f>IF(ISBLANK('Data Entry'!$$613), "", 'Data Entry'!$$613)</f>
      </c>
      <c r="CC613">
        <f>IF(ISBLANK('Data Entry'!$$613), "", 'Data Entry'!$$613)</f>
      </c>
      <c r="CD613">
        <f>IF(ISBLANK('Data Entry'!$$613), "", 'Data Entry'!$$613)</f>
      </c>
      <c r="CE613">
        <f>IF(ISBLANK('Data Entry'!$$613), "", 'Data Entry'!$$613)</f>
      </c>
      <c r="CF613">
        <f>IF(ISBLANK('Data Entry'!$$613), "", 'Data Entry'!$$613)</f>
      </c>
      <c r="CG613">
        <f>IF(ISBLANK('Data Entry'!$$613), "", 'Data Entry'!$$613)</f>
      </c>
      <c r="CH613">
        <f>IF(ISBLANK('Data Entry'!$$613), "", 'Data Entry'!$$613)</f>
      </c>
      <c r="CI613">
        <f>IF(ISBLANK('Data Entry'!$$613), "", 'Data Entry'!$$613)</f>
      </c>
      <c r="CJ613">
        <f>IF(ISBLANK('Data Entry'!$$613), "", 'Data Entry'!$$613)</f>
      </c>
      <c r="CK613">
        <f>IF(ISBLANK('Data Entry'!$$613), "", 'Data Entry'!$$613)</f>
      </c>
      <c r="CL613">
        <f>IF(ISBLANK('Data Entry'!$$613), "", 'Data Entry'!$$613)</f>
      </c>
      <c r="CM613">
        <f>IF(ISBLANK('Data Entry'!$$613), "", 'Data Entry'!$$613)</f>
      </c>
      <c r="CN613">
        <f>IF(ISBLANK('Data Entry'!$$613), "", 'Data Entry'!$$613)</f>
      </c>
      <c r="CO613">
        <f>IF(ISBLANK('Data Entry'!$$613), "", 'Data Entry'!$$613)</f>
      </c>
      <c r="CP613">
        <f>IF(ISBLANK('Data Entry'!$$613), "", 'Data Entry'!$$613)</f>
      </c>
      <c r="CQ613">
        <f>IF(ISBLANK('Data Entry'!$$613), "", 'Data Entry'!$$613)</f>
      </c>
      <c r="CR613">
        <f>IF(ISBLANK('Data Entry'!$ $613), "", 'Data Entry'!$ $613)</f>
      </c>
      <c r="CS613">
        <f>IF(ISBLANK('Data Entry'!$¡$613), "", 'Data Entry'!$¡$613)</f>
      </c>
      <c r="CT613">
        <f>IF(ISBLANK('Data Entry'!$¢$613), "", 'Data Entry'!$¢$613)</f>
      </c>
      <c r="CU613">
        <f>IF(ISBLANK('Data Entry'!$£$613), "", 'Data Entry'!$£$613)</f>
      </c>
      <c r="CV613">
        <f>IF(ISBLANK('Data Entry'!$¤$613), "", 'Data Entry'!$¤$613)</f>
      </c>
      <c r="CW613">
        <f>IF(ISBLANK('Data Entry'!$¥$613), "", 'Data Entry'!$¥$613)</f>
      </c>
      <c r="CX613">
        <f>IF(ISBLANK('Data Entry'!$¦$613), "", 'Data Entry'!$¦$613)</f>
      </c>
      <c r="CY613">
        <f>IF(ISBLANK('Data Entry'!$§$613), "", 'Data Entry'!$§$613)</f>
      </c>
      <c r="CZ613">
        <f>IF(ISBLANK('Data Entry'!$¨$613), "", 'Data Entry'!$¨$613)</f>
      </c>
      <c r="DA613">
        <f>IF(ISBLANK('Data Entry'!$©$613), "", 'Data Entry'!$©$613)</f>
      </c>
      <c r="DB613">
        <f>IF(ISBLANK('Data Entry'!$ª$613), "", 'Data Entry'!$ª$613)</f>
      </c>
      <c r="DC613">
        <f>IF(ISBLANK('Data Entry'!$«$613), "", 'Data Entry'!$«$613)</f>
      </c>
      <c r="DD613">
        <f>IF(ISBLANK('Data Entry'!$¬$613), "", 'Data Entry'!$¬$613)</f>
      </c>
      <c r="DE613">
        <f>IF(ISBLANK('Data Entry'!$­$613), "", 'Data Entry'!$­$613)</f>
      </c>
      <c r="DF613">
        <f>IF(ISBLANK('Data Entry'!$®$613), "", 'Data Entry'!$®$613)</f>
      </c>
      <c r="DG613">
        <f>IF(ISBLANK('Data Entry'!$¯$613), "", 'Data Entry'!$¯$613)</f>
      </c>
      <c r="DH613">
        <f>IF(ISBLANK('Data Entry'!$°$613), "", 'Data Entry'!$°$613)</f>
      </c>
      <c r="DI613">
        <f>IF(ISBLANK('Data Entry'!$±$613), "", 'Data Entry'!$±$613)</f>
      </c>
      <c r="DJ613">
        <f>IF(ISBLANK('Data Entry'!$²$613), "", 'Data Entry'!$²$613)</f>
      </c>
      <c r="DK613">
        <f>IF(ISBLANK('Data Entry'!$³$613), "", 'Data Entry'!$³$613)</f>
      </c>
      <c r="DL613">
        <f>IF(ISBLANK('Data Entry'!$´$613), "", 'Data Entry'!$´$613)</f>
      </c>
      <c r="DM613">
        <f>IF(ISBLANK('Data Entry'!$µ$613), "", 'Data Entry'!$µ$613)</f>
      </c>
      <c r="DN613">
        <f>IF(ISBLANK('Data Entry'!$¶$613), "", 'Data Entry'!$¶$613)</f>
      </c>
      <c r="DO613">
        <f>IF(ISBLANK('Data Entry'!$·$613), "", 'Data Entry'!$·$613)</f>
      </c>
      <c r="DP613">
        <f>IF(ISBLANK('Data Entry'!$¸$613), "", 'Data Entry'!$¸$613)</f>
      </c>
      <c r="DQ613">
        <f>IF(ISBLANK('Data Entry'!$¹$613), "", 'Data Entry'!$¹$613)</f>
      </c>
      <c r="DR613">
        <f>IF(ISBLANK('Data Entry'!$º$613), "", 'Data Entry'!$º$613)</f>
      </c>
      <c r="DS613">
        <f>IF(ISBLANK('Data Entry'!$»$613), "", 'Data Entry'!$»$613)</f>
      </c>
      <c r="DT613">
        <f>IF(ISBLANK('Data Entry'!$¼$613), "", 'Data Entry'!$¼$613)</f>
      </c>
      <c r="DU613">
        <f>IF(ISBLANK('Data Entry'!$½$613), "", 'Data Entry'!$½$613)</f>
      </c>
      <c r="DV613">
        <f>IF(ISBLANK('Data Entry'!$¾$613), "", 'Data Entry'!$¾$613)</f>
      </c>
      <c r="DW613">
        <f>IF(ISBLANK('Data Entry'!$¿$613), "", 'Data Entry'!$¿$613)</f>
      </c>
      <c r="DX613">
        <f>IF(ISBLANK('Data Entry'!$À$613), "", 'Data Entry'!$À$613)</f>
      </c>
      <c r="DY613">
        <f>IF(ISBLANK('Data Entry'!$Á$613), "", 'Data Entry'!$Á$613)</f>
      </c>
      <c r="DZ613">
        <f>IF(ISBLANK('Data Entry'!$Â$613), "", 'Data Entry'!$Â$613)</f>
      </c>
      <c r="EA613">
        <f>IF(ISBLANK('Data Entry'!$Ã$613), "", 'Data Entry'!$Ã$613)</f>
      </c>
      <c r="EB613">
        <f>IF(ISBLANK('Data Entry'!$Ä$613), "", 'Data Entry'!$Ä$613)</f>
      </c>
      <c r="EC613">
        <f>IF(ISBLANK('Data Entry'!$Å$613), "", 'Data Entry'!$Å$613)</f>
      </c>
      <c r="ED613">
        <f>IF(ISBLANK('Data Entry'!$Æ$613), "", 'Data Entry'!$Æ$613)</f>
      </c>
      <c r="EE613">
        <f>IF(ISBLANK('Data Entry'!$Ç$613), "", 'Data Entry'!$Ç$613)</f>
      </c>
      <c r="EF613">
        <f>IF(ISBLANK('Data Entry'!$È$613), "", 'Data Entry'!$È$613)</f>
      </c>
      <c r="EG613">
        <f>IF(ISBLANK('Data Entry'!$É$613), "", 'Data Entry'!$É$613)</f>
      </c>
      <c r="EH613">
        <f>IF(ISBLANK('Data Entry'!$Ê$613), "", 'Data Entry'!$Ê$613)</f>
      </c>
      <c r="EI613">
        <f>IF(ISBLANK('Data Entry'!$Ë$613), "", 'Data Entry'!$Ë$613)</f>
      </c>
      <c r="EJ613">
        <f>IF(ISBLANK('Data Entry'!$Ì$613), "", 'Data Entry'!$Ì$613)</f>
      </c>
      <c r="EK613">
        <f>IF(ISBLANK('Data Entry'!$Í$613), "", 'Data Entry'!$Í$613)</f>
      </c>
      <c r="EL613">
        <f>IF(ISBLANK('Data Entry'!$Î$613), "", 'Data Entry'!$Î$613)</f>
      </c>
      <c r="EM613">
        <f>IF(ISBLANK('Data Entry'!$Ï$613), "", 'Data Entry'!$Ï$613)</f>
      </c>
      <c r="EN613">
        <f>IF(ISBLANK('Data Entry'!$Ð$613), "", 'Data Entry'!$Ð$613)</f>
      </c>
      <c r="EO613">
        <f>IF(ISBLANK('Data Entry'!$Ñ$613), "", 'Data Entry'!$Ñ$613)</f>
      </c>
      <c r="EP613">
        <f>IF(ISBLANK('Data Entry'!$Ò$613), "", 'Data Entry'!$Ò$613)</f>
      </c>
      <c r="EQ613">
        <f>IF(ISBLANK('Data Entry'!$Ó$613), "", 'Data Entry'!$Ó$613)</f>
      </c>
      <c r="ER613">
        <f>IF(ISBLANK('Data Entry'!$Ô$613), "", 'Data Entry'!$Ô$613)</f>
      </c>
      <c r="ES613">
        <f>IF(ISBLANK('Data Entry'!$Õ$613), "", 'Data Entry'!$Õ$613)</f>
      </c>
      <c r="ET613">
        <f>IF(ISBLANK('Data Entry'!$Ö$613), "", 'Data Entry'!$Ö$613)</f>
      </c>
      <c r="EU613">
        <f>IF(ISBLANK('Data Entry'!$×$613), "", 'Data Entry'!$×$613)</f>
      </c>
      <c r="EV613">
        <f>IF(ISBLANK('Data Entry'!$Ø$613), "", 'Data Entry'!$Ø$613)</f>
      </c>
      <c r="EW613">
        <f>IF(ISBLANK('Data Entry'!$Ù$613), "", 'Data Entry'!$Ù$613)</f>
      </c>
      <c r="EX613">
        <f>IF(ISBLANK('Data Entry'!$Ú$613), "", 'Data Entry'!$Ú$613)</f>
      </c>
      <c r="EY613">
        <f>IF(ISBLANK('Data Entry'!$Û$613), "", 'Data Entry'!$Û$613)</f>
      </c>
      <c r="EZ613">
        <f>IF(ISBLANK('Data Entry'!$Ü$613), "", 'Data Entry'!$Ü$613)</f>
      </c>
      <c r="FA613">
        <f>IF(ISBLANK('Data Entry'!$Ý$613), "", 'Data Entry'!$Ý$613)</f>
      </c>
      <c r="FB613">
        <f>IF(ISBLANK('Data Entry'!$Þ$613), "", 'Data Entry'!$Þ$613)</f>
      </c>
      <c r="FC613">
        <f>IF(ISBLANK('Data Entry'!$ß$613), "", 'Data Entry'!$ß$613)</f>
      </c>
      <c r="FD613">
        <f>IF(ISBLANK('Data Entry'!$à$613), "", 'Data Entry'!$à$613)</f>
      </c>
      <c r="FE613">
        <f>IF(ISBLANK('Data Entry'!$á$613), "", 'Data Entry'!$á$613)</f>
      </c>
      <c r="FF613">
        <f>IF(ISBLANK('Data Entry'!$â$613), "", 'Data Entry'!$â$613)</f>
      </c>
      <c r="FG613">
        <f>IF(ISBLANK('Data Entry'!$ã$613), "", 'Data Entry'!$ã$613)</f>
      </c>
      <c r="FH613">
        <f>IF(ISBLANK('Data Entry'!$ä$613), "", 'Data Entry'!$ä$613)</f>
      </c>
      <c r="FI613">
        <f>IF(ISBLANK('Data Entry'!$å$613), "", 'Data Entry'!$å$613)</f>
      </c>
      <c r="FJ613">
        <f>IF(ISBLANK('Data Entry'!$æ$613), "", 'Data Entry'!$æ$613)</f>
      </c>
      <c r="FK613">
        <f>IF(ISBLANK('Data Entry'!$ç$613), "", 'Data Entry'!$ç$613)</f>
      </c>
      <c r="FL613">
        <f>IF(ISBLANK('Data Entry'!$è$613), "", 'Data Entry'!$è$613)</f>
      </c>
      <c r="FM613">
        <f>IF(ISBLANK('Data Entry'!$é$613), "", 'Data Entry'!$é$613)</f>
      </c>
      <c r="FN613">
        <f>IF(ISBLANK('Data Entry'!$ê$613), "", 'Data Entry'!$ê$613)</f>
      </c>
      <c r="FO613">
        <f>IF(ISBLANK('Data Entry'!$ë$613), "", 'Data Entry'!$ë$613)</f>
      </c>
      <c r="FP613">
        <f>IF(ISBLANK('Data Entry'!$ì$613), "", 'Data Entry'!$ì$613)</f>
      </c>
      <c r="FQ613">
        <f>IF(ISBLANK('Data Entry'!$í$613), "", 'Data Entry'!$í$613)</f>
      </c>
      <c r="FR613">
        <f>IF(ISBLANK('Data Entry'!$î$613), "", 'Data Entry'!$î$613)</f>
      </c>
      <c r="FS613">
        <f>IF(ISBLANK('Data Entry'!$ï$613), "", 'Data Entry'!$ï$613)</f>
      </c>
      <c r="FT613">
        <f>IF(ISBLANK('Data Entry'!$ð$613), "", 'Data Entry'!$ð$613)</f>
      </c>
      <c r="FU613">
        <f>IF(ISBLANK('Data Entry'!$ñ$613), "", 'Data Entry'!$ñ$613)</f>
      </c>
      <c r="FV613">
        <f>IF(ISBLANK('Data Entry'!$ò$613), "", 'Data Entry'!$ò$613)</f>
      </c>
      <c r="FW613">
        <f>IF(ISBLANK('Data Entry'!$ó$613), "", 'Data Entry'!$ó$613)</f>
      </c>
      <c r="FX613">
        <f>IF(ISBLANK('Data Entry'!$ô$613), "", 'Data Entry'!$ô$613)</f>
      </c>
      <c r="FY613">
        <f>IF(ISBLANK('Data Entry'!$õ$613), "", 'Data Entry'!$õ$613)</f>
      </c>
      <c r="FZ613">
        <f>IF(ISBLANK('Data Entry'!$ö$613), "", 'Data Entry'!$ö$613)</f>
      </c>
      <c r="GA613">
        <f>IF(ISBLANK('Data Entry'!$÷$613), "", 'Data Entry'!$÷$613)</f>
      </c>
      <c r="GB613">
        <f>IF(ISBLANK('Data Entry'!$ø$613), "", 'Data Entry'!$ø$613)</f>
      </c>
      <c r="GC613">
        <f>IF(ISBLANK('Data Entry'!$ù$613), "", 'Data Entry'!$ù$613)</f>
      </c>
      <c r="GD613">
        <f>IF(ISBLANK('Data Entry'!$ú$613), "", 'Data Entry'!$ú$613)</f>
      </c>
      <c r="GE613">
        <f>IF(ISBLANK('Data Entry'!$û$613), "", 'Data Entry'!$û$613)</f>
      </c>
      <c r="GF613">
        <f>IF(ISBLANK('Data Entry'!$ü$613), "", 'Data Entry'!$ü$613)</f>
      </c>
      <c r="GG613">
        <f>IF(ISBLANK('Data Entry'!$ý$613), "", 'Data Entry'!$ý$613)</f>
      </c>
      <c r="GH613">
        <f>IF(ISBLANK('Data Entry'!$þ$613), "", 'Data Entry'!$þ$613)</f>
      </c>
      <c r="GI613">
        <f>IF(ISBLANK('Data Entry'!$ÿ$613), "", 'Data Entry'!$ÿ$613)</f>
      </c>
      <c r="GJ613">
        <f>IF(ISBLANK('Data Entry'!$Ā$613), "", 'Data Entry'!$Ā$613)</f>
      </c>
      <c r="GK613">
        <f>IF(ISBLANK('Data Entry'!$ā$613), "", 'Data Entry'!$ā$613)</f>
      </c>
      <c r="GL613">
        <f>IF(ISBLANK('Data Entry'!$Ă$613), "", 'Data Entry'!$Ă$613)</f>
      </c>
      <c r="GM613">
        <f>IF(ISBLANK('Data Entry'!$ă$613), "", 'Data Entry'!$ă$613)</f>
      </c>
      <c r="GN613">
        <f>IF(ISBLANK('Data Entry'!$Ą$613), "", 'Data Entry'!$Ą$613)</f>
      </c>
      <c r="GO613">
        <f>IF(ISBLANK('Data Entry'!$ą$613), "", 'Data Entry'!$ą$613)</f>
      </c>
      <c r="GP613">
        <f>IF(ISBLANK('Data Entry'!$Ć$613), "", 'Data Entry'!$Ć$613)</f>
      </c>
      <c r="GQ613">
        <f>IF(ISBLANK('Data Entry'!$ć$613), "", 'Data Entry'!$ć$613)</f>
      </c>
      <c r="GR613">
        <f>IF(ISBLANK('Data Entry'!$Ĉ$613), "", 'Data Entry'!$Ĉ$613)</f>
      </c>
      <c r="GS613">
        <f>IF(ISBLANK('Data Entry'!$ĉ$613), "", 'Data Entry'!$ĉ$613)</f>
      </c>
      <c r="GT613">
        <f>IF(ISBLANK('Data Entry'!$Ċ$613), "", 'Data Entry'!$Ċ$613)</f>
      </c>
      <c r="GU613">
        <f>IF(ISBLANK('Data Entry'!$ċ$613), "", 'Data Entry'!$ċ$613)</f>
      </c>
      <c r="GV613">
        <f>IF(ISBLANK('Data Entry'!$Č$613), "", 'Data Entry'!$Č$613)</f>
      </c>
      <c r="GW613">
        <f>IF(ISBLANK('Data Entry'!$č$613), "", 'Data Entry'!$č$613)</f>
      </c>
      <c r="GX613">
        <f>IF(ISBLANK('Data Entry'!$Ď$613), "", 'Data Entry'!$Ď$613)</f>
      </c>
      <c r="GY613">
        <f>IF(ISBLANK('Data Entry'!$ď$613), "", 'Data Entry'!$ď$613)</f>
      </c>
      <c r="GZ613">
        <f>IF(ISBLANK('Data Entry'!$Đ$613), "", 'Data Entry'!$Đ$613)</f>
      </c>
      <c r="HA613">
        <f>IF(ISBLANK('Data Entry'!$đ$613), "", 'Data Entry'!$đ$613)</f>
      </c>
      <c r="HB613">
        <f>IF(ISBLANK('Data Entry'!$Ē$613), "", 'Data Entry'!$Ē$613)</f>
      </c>
      <c r="HC613">
        <f>IF(ISBLANK('Data Entry'!$ē$613), "", 'Data Entry'!$ē$613)</f>
      </c>
      <c r="HD613">
        <f>IF(ISBLANK('Data Entry'!$Ĕ$613), "", 'Data Entry'!$Ĕ$613)</f>
      </c>
      <c r="HE613">
        <f>IF(ISBLANK('Data Entry'!$ĕ$613), "", 'Data Entry'!$ĕ$613)</f>
      </c>
      <c r="HF613">
        <f>IF(ISBLANK('Data Entry'!$Ė$613), "", 'Data Entry'!$Ė$613)</f>
      </c>
      <c r="HG613">
        <f>IF(ISBLANK('Data Entry'!$ė$613), "", 'Data Entry'!$ė$613)</f>
      </c>
      <c r="HH613">
        <f>IF(ISBLANK('Data Entry'!$Ę$613), "", 'Data Entry'!$Ę$613)</f>
      </c>
      <c r="HI613">
        <f>IF(ISBLANK('Data Entry'!$ę$613), "", 'Data Entry'!$ę$613)</f>
      </c>
      <c r="HJ613">
        <f>IF(ISBLANK('Data Entry'!$Ě$613), "", 'Data Entry'!$Ě$613)</f>
      </c>
      <c r="HK613">
        <f>IF(ISBLANK('Data Entry'!$ě$613), "", 'Data Entry'!$ě$613)</f>
      </c>
      <c r="HL613">
        <f>IF(ISBLANK('Data Entry'!$Ĝ$613), "", 'Data Entry'!$Ĝ$613)</f>
      </c>
      <c r="HM613">
        <f>IF(ISBLANK('Data Entry'!$ĝ$613), "", 'Data Entry'!$ĝ$613)</f>
      </c>
      <c r="HN613">
        <f>IF(ISBLANK('Data Entry'!$Ğ$613), "", 'Data Entry'!$Ğ$613)</f>
      </c>
      <c r="HO613">
        <f>IF(ISBLANK('Data Entry'!$ğ$613), "", 'Data Entry'!$ğ$613)</f>
      </c>
      <c r="HP613">
        <f>IF(ISBLANK('Data Entry'!$Ġ$613), "", 'Data Entry'!$Ġ$613)</f>
      </c>
      <c r="HQ613">
        <f>IF(ISBLANK('Data Entry'!$ġ$613), "", 'Data Entry'!$ġ$613)</f>
      </c>
      <c r="HR613">
        <f>IF(ISBLANK('Data Entry'!$Ģ$613), "", 'Data Entry'!$Ģ$613)</f>
      </c>
      <c r="HS613">
        <f>IF(ISBLANK('Data Entry'!$ģ$613), "", 'Data Entry'!$ģ$613)</f>
      </c>
      <c r="HT613">
        <f>IF(ISBLANK('Data Entry'!$Ĥ$613), "", 'Data Entry'!$Ĥ$613)</f>
      </c>
      <c r="HU613">
        <f>IF(ISBLANK('Data Entry'!$ĥ$613), "", 'Data Entry'!$ĥ$613)</f>
      </c>
      <c r="HV613">
        <f>IF(ISBLANK('Data Entry'!$Ħ$613), "", 'Data Entry'!$Ħ$613)</f>
      </c>
      <c r="HW613">
        <f>IF(ISBLANK('Data Entry'!$ħ$613), "", 'Data Entry'!$ħ$613)</f>
      </c>
      <c r="HX613">
        <f>IF(ISBLANK('Data Entry'!$Ĩ$613), "", 'Data Entry'!$Ĩ$613)</f>
      </c>
      <c r="HY613">
        <f>IF(ISBLANK('Data Entry'!$ĩ$613), "", 'Data Entry'!$ĩ$613)</f>
      </c>
      <c r="HZ613">
        <f>IF(ISBLANK('Data Entry'!$Ī$613), "", 'Data Entry'!$Ī$613)</f>
      </c>
      <c r="IA613">
        <f>IF(ISBLANK('Data Entry'!$ī$613), "", 'Data Entry'!$ī$613)</f>
      </c>
      <c r="IB613">
        <f>IF(ISBLANK('Data Entry'!$Ĭ$613), "", 'Data Entry'!$Ĭ$613)</f>
      </c>
      <c r="IC613">
        <f>IF(ISBLANK('Data Entry'!$ĭ$613), "", 'Data Entry'!$ĭ$613)</f>
      </c>
      <c r="ID613">
        <f>IF(ISBLANK('Data Entry'!$Į$613), "", 'Data Entry'!$Į$613)</f>
      </c>
      <c r="IE613">
        <f>IF(ISBLANK('Data Entry'!$į$613), "", 'Data Entry'!$į$613)</f>
      </c>
      <c r="IF613">
        <f>IF(ISBLANK('Data Entry'!$İ$613), "", 'Data Entry'!$İ$613)</f>
      </c>
      <c r="IG613">
        <f>IF(ISBLANK('Data Entry'!$ı$613), "", 'Data Entry'!$ı$613)</f>
      </c>
      <c r="IH613">
        <f>IF(ISBLANK('Data Entry'!$Ĳ$613), "", 'Data Entry'!$Ĳ$613)</f>
      </c>
      <c r="II613">
        <f>IF(ISBLANK('Data Entry'!$ĳ$613), "", 'Data Entry'!$ĳ$613)</f>
      </c>
      <c r="IJ613">
        <f>IF(ISBLANK('Data Entry'!$Ĵ$613), "", 'Data Entry'!$Ĵ$613)</f>
      </c>
      <c r="IK613">
        <f>IF(ISBLANK('Data Entry'!$ĵ$613), "", 'Data Entry'!$ĵ$613)</f>
      </c>
      <c r="IL613">
        <f>IF(ISBLANK('Data Entry'!$Ķ$613), "", 'Data Entry'!$Ķ$613)</f>
      </c>
      <c r="IM613">
        <f>IF(ISBLANK('Data Entry'!$ķ$613), "", 'Data Entry'!$ķ$613)</f>
      </c>
      <c r="IN613">
        <f>IF(ISBLANK('Data Entry'!$ĸ$613), "", 'Data Entry'!$ĸ$613)</f>
      </c>
      <c r="IO613">
        <f>IF(ISBLANK('Data Entry'!$Ĺ$613), "", 'Data Entry'!$Ĺ$613)</f>
      </c>
      <c r="IP613">
        <f>IF(ISBLANK('Data Entry'!$ĺ$613), "", 'Data Entry'!$ĺ$613)</f>
      </c>
      <c r="IQ613">
        <f>IF(ISBLANK('Data Entry'!$Ļ$613), "", 'Data Entry'!$Ļ$613)</f>
      </c>
      <c r="IR613">
        <f>IF(ISBLANK('Data Entry'!$ļ$613), "", 'Data Entry'!$ļ$613)</f>
      </c>
      <c r="IS613">
        <f>IF(ISBLANK('Data Entry'!$Ľ$613), "", 'Data Entry'!$Ľ$613)</f>
      </c>
      <c r="IT613">
        <f>IF(ISBLANK('Data Entry'!$ľ$613), "", 'Data Entry'!$ľ$613)</f>
      </c>
    </row>
    <row r="614" spans="1:254" x14ac:dyDescent="0.25">
      <c r="A614">
        <f>IF(ISBLANK('Data Entry'!$A$614), "", 'Data Entry'!$A$614)</f>
      </c>
      <c r="B614">
        <f>IF(ISBLANK('Data Entry'!$B$614), "", 'Data Entry'!$B$614)</f>
      </c>
      <c r="C614">
        <f>IF(ISBLANK('Data Entry'!$C$614), "", 'Data Entry'!$C$614)</f>
      </c>
      <c r="D614">
        <f>IF(ISBLANK('Data Entry'!$D$614), "", 'Data Entry'!$D$614)</f>
      </c>
      <c r="E614">
        <f>IF(ISBLANK('Data Entry'!$E$614), "", 'Data Entry'!$E$614)</f>
      </c>
      <c r="F614">
        <f>IF(ISBLANK('Data Entry'!$F$614), "", 'Data Entry'!$F$614)</f>
      </c>
      <c r="G614">
        <f>IF(ISBLANK('Data Entry'!$G$614), "", 'Data Entry'!$G$614)</f>
      </c>
      <c r="H614">
        <f>IF(ISBLANK('Data Entry'!$H$614), "", 'Data Entry'!$H$614)</f>
      </c>
      <c r="I614">
        <f>IF(ISBLANK('Data Entry'!$I$614), "", 'Data Entry'!$I$614)</f>
      </c>
      <c r="J614">
        <f>IF(ISBLANK('Data Entry'!$J$614), "", 'Data Entry'!$J$614)</f>
      </c>
      <c r="K614">
        <f>IF(ISBLANK('Data Entry'!$K$614), "", 'Data Entry'!$K$614)</f>
      </c>
      <c r="L614">
        <f>IF(ISBLANK('Data Entry'!$L$614), "", 'Data Entry'!$L$614)</f>
      </c>
      <c r="M614">
        <f>IF(ISBLANK('Data Entry'!$M$614), "", 'Data Entry'!$M$614)</f>
      </c>
      <c r="N614">
        <f>IF(ISBLANK('Data Entry'!$N$614), "", 'Data Entry'!$N$614)</f>
      </c>
      <c r="O614">
        <f>IF(ISBLANK('Data Entry'!$O$614), "", 'Data Entry'!$O$614)</f>
      </c>
      <c r="P614">
        <f>IF(ISBLANK('Data Entry'!$P$614), "", 'Data Entry'!$P$614)</f>
      </c>
      <c r="Q614">
        <f>IF(ISBLANK('Data Entry'!$Q$614), "", 'Data Entry'!$Q$614)</f>
      </c>
      <c r="R614">
        <f>IF(ISBLANK('Data Entry'!$R$614), "", 'Data Entry'!$R$614)</f>
      </c>
      <c r="S614">
        <f>IF(ISBLANK('Data Entry'!$S$614), "", 'Data Entry'!$S$614)</f>
      </c>
      <c r="T614">
        <f>IF(ISBLANK('Data Entry'!$T$614), "", 'Data Entry'!$T$614)</f>
      </c>
      <c r="U614">
        <f>IF(ISBLANK('Data Entry'!$U$614), "", 'Data Entry'!$U$614)</f>
      </c>
      <c r="V614">
        <f>IF(ISBLANK('Data Entry'!$V$614), "", 'Data Entry'!$V$614)</f>
      </c>
      <c r="W614">
        <f>IF(ISBLANK('Data Entry'!$W$614), "", 'Data Entry'!$W$614)</f>
      </c>
      <c r="X614">
        <f>IF(ISBLANK('Data Entry'!$X$614), "", 'Data Entry'!$X$614)</f>
      </c>
      <c r="Y614">
        <f>IF(ISBLANK('Data Entry'!$Y$614), "", 'Data Entry'!$Y$614)</f>
      </c>
      <c r="Z614">
        <f>IF(ISBLANK('Data Entry'!$Z$614), "", 'Data Entry'!$Z$614)</f>
      </c>
      <c r="AA614">
        <f>IF(ISBLANK('Data Entry'!$[$614), "", 'Data Entry'!$[$614)</f>
      </c>
      <c r="AB614">
        <f>IF(ISBLANK('Data Entry'!$\$614), "", 'Data Entry'!$\$614)</f>
      </c>
      <c r="AC614">
        <f>IF(ISBLANK('Data Entry'!$]$614), "", 'Data Entry'!$]$614)</f>
      </c>
      <c r="AD614">
        <f>IF(ISBLANK('Data Entry'!$^$614), "", 'Data Entry'!$^$614)</f>
      </c>
      <c r="AE614">
        <f>IF(ISBLANK('Data Entry'!$_$614), "", 'Data Entry'!$_$614)</f>
      </c>
      <c r="AF614">
        <f>IF(ISBLANK('Data Entry'!$`$614), "", 'Data Entry'!$`$614)</f>
      </c>
      <c r="AG614">
        <f>IF(ISBLANK('Data Entry'!$a$614), "", 'Data Entry'!$a$614)</f>
      </c>
      <c r="AH614">
        <f>IF(ISBLANK('Data Entry'!$b$614), "", 'Data Entry'!$b$614)</f>
      </c>
      <c r="AI614">
        <f>IF(ISBLANK('Data Entry'!$c$614), "", 'Data Entry'!$c$614)</f>
      </c>
      <c r="AJ614">
        <f>IF(ISBLANK('Data Entry'!$d$614), "", 'Data Entry'!$d$614)</f>
      </c>
      <c r="AK614">
        <f>IF(ISBLANK('Data Entry'!$e$614), "", 'Data Entry'!$e$614)</f>
      </c>
      <c r="AL614">
        <f>IF(ISBLANK('Data Entry'!$f$614), "", 'Data Entry'!$f$614)</f>
      </c>
      <c r="AM614">
        <f>IF(ISBLANK('Data Entry'!$g$614), "", 'Data Entry'!$g$614)</f>
      </c>
      <c r="AN614">
        <f>IF(ISBLANK('Data Entry'!$h$614), "", 'Data Entry'!$h$614)</f>
      </c>
      <c r="AO614">
        <f>IF(ISBLANK('Data Entry'!$i$614), "", 'Data Entry'!$i$614)</f>
      </c>
      <c r="AP614">
        <f>IF(ISBLANK('Data Entry'!$j$614), "", 'Data Entry'!$j$614)</f>
      </c>
      <c r="AQ614">
        <f>IF(ISBLANK('Data Entry'!$k$614), "", 'Data Entry'!$k$614)</f>
      </c>
      <c r="AR614">
        <f>IF(ISBLANK('Data Entry'!$l$614), "", 'Data Entry'!$l$614)</f>
      </c>
      <c r="AS614">
        <f>IF(ISBLANK('Data Entry'!$m$614), "", 'Data Entry'!$m$614)</f>
      </c>
      <c r="AT614">
        <f>IF(ISBLANK('Data Entry'!$n$614), "", 'Data Entry'!$n$614)</f>
      </c>
      <c r="AU614">
        <f>IF(ISBLANK('Data Entry'!$o$614), "", 'Data Entry'!$o$614)</f>
      </c>
      <c r="AV614">
        <f>IF(ISBLANK('Data Entry'!$p$614), "", 'Data Entry'!$p$614)</f>
      </c>
      <c r="AW614">
        <f>IF(ISBLANK('Data Entry'!$q$614), "", 'Data Entry'!$q$614)</f>
      </c>
      <c r="AX614">
        <f>IF(ISBLANK('Data Entry'!$r$614), "", 'Data Entry'!$r$614)</f>
      </c>
      <c r="AY614">
        <f>IF(ISBLANK('Data Entry'!$s$614), "", 'Data Entry'!$s$614)</f>
      </c>
      <c r="AZ614">
        <f>IF(ISBLANK('Data Entry'!$t$614), "", 'Data Entry'!$t$614)</f>
      </c>
      <c r="BA614">
        <f>IF(ISBLANK('Data Entry'!$u$614), "", 'Data Entry'!$u$614)</f>
      </c>
      <c r="BB614">
        <f>IF(ISBLANK('Data Entry'!$v$614), "", 'Data Entry'!$v$614)</f>
      </c>
      <c r="BC614">
        <f>IF(ISBLANK('Data Entry'!$w$614), "", 'Data Entry'!$w$614)</f>
      </c>
      <c r="BD614">
        <f>IF(ISBLANK('Data Entry'!$x$614), "", 'Data Entry'!$x$614)</f>
      </c>
      <c r="BE614">
        <f>IF(ISBLANK('Data Entry'!$y$614), "", 'Data Entry'!$y$614)</f>
      </c>
      <c r="BF614">
        <f>IF(ISBLANK('Data Entry'!$z$614), "", 'Data Entry'!$z$614)</f>
      </c>
      <c r="BG614">
        <f>IF(ISBLANK('Data Entry'!${$614), "", 'Data Entry'!${$614)</f>
      </c>
      <c r="BH614">
        <f>IF(ISBLANK('Data Entry'!$|$614), "", 'Data Entry'!$|$614)</f>
      </c>
      <c r="BI614">
        <f>IF(ISBLANK('Data Entry'!$}$614), "", 'Data Entry'!$}$614)</f>
      </c>
      <c r="BJ614">
        <f>IF(ISBLANK('Data Entry'!$~$614), "", 'Data Entry'!$~$614)</f>
      </c>
      <c r="BK614">
        <f>IF(ISBLANK('Data Entry'!$$614), "", 'Data Entry'!$$614)</f>
      </c>
      <c r="BL614">
        <f>IF(ISBLANK('Data Entry'!$$614), "", 'Data Entry'!$$614)</f>
      </c>
      <c r="BM614">
        <f>IF(ISBLANK('Data Entry'!$$614), "", 'Data Entry'!$$614)</f>
      </c>
      <c r="BN614">
        <f>IF(ISBLANK('Data Entry'!$$614), "", 'Data Entry'!$$614)</f>
      </c>
      <c r="BO614">
        <f>IF(ISBLANK('Data Entry'!$$614), "", 'Data Entry'!$$614)</f>
      </c>
      <c r="BP614">
        <f>IF(ISBLANK('Data Entry'!$$614), "", 'Data Entry'!$$614)</f>
      </c>
      <c r="BQ614">
        <f>IF(ISBLANK('Data Entry'!$$614), "", 'Data Entry'!$$614)</f>
      </c>
      <c r="BR614">
        <f>IF(ISBLANK('Data Entry'!$$614), "", 'Data Entry'!$$614)</f>
      </c>
      <c r="BS614">
        <f>IF(ISBLANK('Data Entry'!$$614), "", 'Data Entry'!$$614)</f>
      </c>
      <c r="BT614">
        <f>IF(ISBLANK('Data Entry'!$$614), "", 'Data Entry'!$$614)</f>
      </c>
      <c r="BU614">
        <f>IF(ISBLANK('Data Entry'!$$614), "", 'Data Entry'!$$614)</f>
      </c>
      <c r="BV614">
        <f>IF(ISBLANK('Data Entry'!$$614), "", 'Data Entry'!$$614)</f>
      </c>
      <c r="BW614">
        <f>IF(ISBLANK('Data Entry'!$$614), "", 'Data Entry'!$$614)</f>
      </c>
      <c r="BX614">
        <f>IF(ISBLANK('Data Entry'!$$614), "", 'Data Entry'!$$614)</f>
      </c>
      <c r="BY614">
        <f>IF(ISBLANK('Data Entry'!$$614), "", 'Data Entry'!$$614)</f>
      </c>
      <c r="BZ614">
        <f>IF(ISBLANK('Data Entry'!$$614), "", 'Data Entry'!$$614)</f>
      </c>
      <c r="CA614">
        <f>IF(ISBLANK('Data Entry'!$$614), "", 'Data Entry'!$$614)</f>
      </c>
      <c r="CB614">
        <f>IF(ISBLANK('Data Entry'!$$614), "", 'Data Entry'!$$614)</f>
      </c>
      <c r="CC614">
        <f>IF(ISBLANK('Data Entry'!$$614), "", 'Data Entry'!$$614)</f>
      </c>
      <c r="CD614">
        <f>IF(ISBLANK('Data Entry'!$$614), "", 'Data Entry'!$$614)</f>
      </c>
      <c r="CE614">
        <f>IF(ISBLANK('Data Entry'!$$614), "", 'Data Entry'!$$614)</f>
      </c>
      <c r="CF614">
        <f>IF(ISBLANK('Data Entry'!$$614), "", 'Data Entry'!$$614)</f>
      </c>
      <c r="CG614">
        <f>IF(ISBLANK('Data Entry'!$$614), "", 'Data Entry'!$$614)</f>
      </c>
      <c r="CH614">
        <f>IF(ISBLANK('Data Entry'!$$614), "", 'Data Entry'!$$614)</f>
      </c>
      <c r="CI614">
        <f>IF(ISBLANK('Data Entry'!$$614), "", 'Data Entry'!$$614)</f>
      </c>
      <c r="CJ614">
        <f>IF(ISBLANK('Data Entry'!$$614), "", 'Data Entry'!$$614)</f>
      </c>
      <c r="CK614">
        <f>IF(ISBLANK('Data Entry'!$$614), "", 'Data Entry'!$$614)</f>
      </c>
      <c r="CL614">
        <f>IF(ISBLANK('Data Entry'!$$614), "", 'Data Entry'!$$614)</f>
      </c>
      <c r="CM614">
        <f>IF(ISBLANK('Data Entry'!$$614), "", 'Data Entry'!$$614)</f>
      </c>
      <c r="CN614">
        <f>IF(ISBLANK('Data Entry'!$$614), "", 'Data Entry'!$$614)</f>
      </c>
      <c r="CO614">
        <f>IF(ISBLANK('Data Entry'!$$614), "", 'Data Entry'!$$614)</f>
      </c>
      <c r="CP614">
        <f>IF(ISBLANK('Data Entry'!$$614), "", 'Data Entry'!$$614)</f>
      </c>
      <c r="CQ614">
        <f>IF(ISBLANK('Data Entry'!$$614), "", 'Data Entry'!$$614)</f>
      </c>
      <c r="CR614">
        <f>IF(ISBLANK('Data Entry'!$ $614), "", 'Data Entry'!$ $614)</f>
      </c>
      <c r="CS614">
        <f>IF(ISBLANK('Data Entry'!$¡$614), "", 'Data Entry'!$¡$614)</f>
      </c>
      <c r="CT614">
        <f>IF(ISBLANK('Data Entry'!$¢$614), "", 'Data Entry'!$¢$614)</f>
      </c>
      <c r="CU614">
        <f>IF(ISBLANK('Data Entry'!$£$614), "", 'Data Entry'!$£$614)</f>
      </c>
      <c r="CV614">
        <f>IF(ISBLANK('Data Entry'!$¤$614), "", 'Data Entry'!$¤$614)</f>
      </c>
      <c r="CW614">
        <f>IF(ISBLANK('Data Entry'!$¥$614), "", 'Data Entry'!$¥$614)</f>
      </c>
      <c r="CX614">
        <f>IF(ISBLANK('Data Entry'!$¦$614), "", 'Data Entry'!$¦$614)</f>
      </c>
      <c r="CY614">
        <f>IF(ISBLANK('Data Entry'!$§$614), "", 'Data Entry'!$§$614)</f>
      </c>
      <c r="CZ614">
        <f>IF(ISBLANK('Data Entry'!$¨$614), "", 'Data Entry'!$¨$614)</f>
      </c>
      <c r="DA614">
        <f>IF(ISBLANK('Data Entry'!$©$614), "", 'Data Entry'!$©$614)</f>
      </c>
      <c r="DB614">
        <f>IF(ISBLANK('Data Entry'!$ª$614), "", 'Data Entry'!$ª$614)</f>
      </c>
      <c r="DC614">
        <f>IF(ISBLANK('Data Entry'!$«$614), "", 'Data Entry'!$«$614)</f>
      </c>
      <c r="DD614">
        <f>IF(ISBLANK('Data Entry'!$¬$614), "", 'Data Entry'!$¬$614)</f>
      </c>
      <c r="DE614">
        <f>IF(ISBLANK('Data Entry'!$­$614), "", 'Data Entry'!$­$614)</f>
      </c>
      <c r="DF614">
        <f>IF(ISBLANK('Data Entry'!$®$614), "", 'Data Entry'!$®$614)</f>
      </c>
      <c r="DG614">
        <f>IF(ISBLANK('Data Entry'!$¯$614), "", 'Data Entry'!$¯$614)</f>
      </c>
      <c r="DH614">
        <f>IF(ISBLANK('Data Entry'!$°$614), "", 'Data Entry'!$°$614)</f>
      </c>
      <c r="DI614">
        <f>IF(ISBLANK('Data Entry'!$±$614), "", 'Data Entry'!$±$614)</f>
      </c>
      <c r="DJ614">
        <f>IF(ISBLANK('Data Entry'!$²$614), "", 'Data Entry'!$²$614)</f>
      </c>
      <c r="DK614">
        <f>IF(ISBLANK('Data Entry'!$³$614), "", 'Data Entry'!$³$614)</f>
      </c>
      <c r="DL614">
        <f>IF(ISBLANK('Data Entry'!$´$614), "", 'Data Entry'!$´$614)</f>
      </c>
      <c r="DM614">
        <f>IF(ISBLANK('Data Entry'!$µ$614), "", 'Data Entry'!$µ$614)</f>
      </c>
      <c r="DN614">
        <f>IF(ISBLANK('Data Entry'!$¶$614), "", 'Data Entry'!$¶$614)</f>
      </c>
      <c r="DO614">
        <f>IF(ISBLANK('Data Entry'!$·$614), "", 'Data Entry'!$·$614)</f>
      </c>
      <c r="DP614">
        <f>IF(ISBLANK('Data Entry'!$¸$614), "", 'Data Entry'!$¸$614)</f>
      </c>
      <c r="DQ614">
        <f>IF(ISBLANK('Data Entry'!$¹$614), "", 'Data Entry'!$¹$614)</f>
      </c>
      <c r="DR614">
        <f>IF(ISBLANK('Data Entry'!$º$614), "", 'Data Entry'!$º$614)</f>
      </c>
      <c r="DS614">
        <f>IF(ISBLANK('Data Entry'!$»$614), "", 'Data Entry'!$»$614)</f>
      </c>
      <c r="DT614">
        <f>IF(ISBLANK('Data Entry'!$¼$614), "", 'Data Entry'!$¼$614)</f>
      </c>
      <c r="DU614">
        <f>IF(ISBLANK('Data Entry'!$½$614), "", 'Data Entry'!$½$614)</f>
      </c>
      <c r="DV614">
        <f>IF(ISBLANK('Data Entry'!$¾$614), "", 'Data Entry'!$¾$614)</f>
      </c>
      <c r="DW614">
        <f>IF(ISBLANK('Data Entry'!$¿$614), "", 'Data Entry'!$¿$614)</f>
      </c>
      <c r="DX614">
        <f>IF(ISBLANK('Data Entry'!$À$614), "", 'Data Entry'!$À$614)</f>
      </c>
      <c r="DY614">
        <f>IF(ISBLANK('Data Entry'!$Á$614), "", 'Data Entry'!$Á$614)</f>
      </c>
      <c r="DZ614">
        <f>IF(ISBLANK('Data Entry'!$Â$614), "", 'Data Entry'!$Â$614)</f>
      </c>
      <c r="EA614">
        <f>IF(ISBLANK('Data Entry'!$Ã$614), "", 'Data Entry'!$Ã$614)</f>
      </c>
      <c r="EB614">
        <f>IF(ISBLANK('Data Entry'!$Ä$614), "", 'Data Entry'!$Ä$614)</f>
      </c>
      <c r="EC614">
        <f>IF(ISBLANK('Data Entry'!$Å$614), "", 'Data Entry'!$Å$614)</f>
      </c>
      <c r="ED614">
        <f>IF(ISBLANK('Data Entry'!$Æ$614), "", 'Data Entry'!$Æ$614)</f>
      </c>
      <c r="EE614">
        <f>IF(ISBLANK('Data Entry'!$Ç$614), "", 'Data Entry'!$Ç$614)</f>
      </c>
      <c r="EF614">
        <f>IF(ISBLANK('Data Entry'!$È$614), "", 'Data Entry'!$È$614)</f>
      </c>
      <c r="EG614">
        <f>IF(ISBLANK('Data Entry'!$É$614), "", 'Data Entry'!$É$614)</f>
      </c>
      <c r="EH614">
        <f>IF(ISBLANK('Data Entry'!$Ê$614), "", 'Data Entry'!$Ê$614)</f>
      </c>
      <c r="EI614">
        <f>IF(ISBLANK('Data Entry'!$Ë$614), "", 'Data Entry'!$Ë$614)</f>
      </c>
      <c r="EJ614">
        <f>IF(ISBLANK('Data Entry'!$Ì$614), "", 'Data Entry'!$Ì$614)</f>
      </c>
      <c r="EK614">
        <f>IF(ISBLANK('Data Entry'!$Í$614), "", 'Data Entry'!$Í$614)</f>
      </c>
      <c r="EL614">
        <f>IF(ISBLANK('Data Entry'!$Î$614), "", 'Data Entry'!$Î$614)</f>
      </c>
      <c r="EM614">
        <f>IF(ISBLANK('Data Entry'!$Ï$614), "", 'Data Entry'!$Ï$614)</f>
      </c>
      <c r="EN614">
        <f>IF(ISBLANK('Data Entry'!$Ð$614), "", 'Data Entry'!$Ð$614)</f>
      </c>
      <c r="EO614">
        <f>IF(ISBLANK('Data Entry'!$Ñ$614), "", 'Data Entry'!$Ñ$614)</f>
      </c>
      <c r="EP614">
        <f>IF(ISBLANK('Data Entry'!$Ò$614), "", 'Data Entry'!$Ò$614)</f>
      </c>
      <c r="EQ614">
        <f>IF(ISBLANK('Data Entry'!$Ó$614), "", 'Data Entry'!$Ó$614)</f>
      </c>
      <c r="ER614">
        <f>IF(ISBLANK('Data Entry'!$Ô$614), "", 'Data Entry'!$Ô$614)</f>
      </c>
      <c r="ES614">
        <f>IF(ISBLANK('Data Entry'!$Õ$614), "", 'Data Entry'!$Õ$614)</f>
      </c>
      <c r="ET614">
        <f>IF(ISBLANK('Data Entry'!$Ö$614), "", 'Data Entry'!$Ö$614)</f>
      </c>
      <c r="EU614">
        <f>IF(ISBLANK('Data Entry'!$×$614), "", 'Data Entry'!$×$614)</f>
      </c>
      <c r="EV614">
        <f>IF(ISBLANK('Data Entry'!$Ø$614), "", 'Data Entry'!$Ø$614)</f>
      </c>
      <c r="EW614">
        <f>IF(ISBLANK('Data Entry'!$Ù$614), "", 'Data Entry'!$Ù$614)</f>
      </c>
      <c r="EX614">
        <f>IF(ISBLANK('Data Entry'!$Ú$614), "", 'Data Entry'!$Ú$614)</f>
      </c>
      <c r="EY614">
        <f>IF(ISBLANK('Data Entry'!$Û$614), "", 'Data Entry'!$Û$614)</f>
      </c>
      <c r="EZ614">
        <f>IF(ISBLANK('Data Entry'!$Ü$614), "", 'Data Entry'!$Ü$614)</f>
      </c>
      <c r="FA614">
        <f>IF(ISBLANK('Data Entry'!$Ý$614), "", 'Data Entry'!$Ý$614)</f>
      </c>
      <c r="FB614">
        <f>IF(ISBLANK('Data Entry'!$Þ$614), "", 'Data Entry'!$Þ$614)</f>
      </c>
      <c r="FC614">
        <f>IF(ISBLANK('Data Entry'!$ß$614), "", 'Data Entry'!$ß$614)</f>
      </c>
      <c r="FD614">
        <f>IF(ISBLANK('Data Entry'!$à$614), "", 'Data Entry'!$à$614)</f>
      </c>
      <c r="FE614">
        <f>IF(ISBLANK('Data Entry'!$á$614), "", 'Data Entry'!$á$614)</f>
      </c>
      <c r="FF614">
        <f>IF(ISBLANK('Data Entry'!$â$614), "", 'Data Entry'!$â$614)</f>
      </c>
      <c r="FG614">
        <f>IF(ISBLANK('Data Entry'!$ã$614), "", 'Data Entry'!$ã$614)</f>
      </c>
      <c r="FH614">
        <f>IF(ISBLANK('Data Entry'!$ä$614), "", 'Data Entry'!$ä$614)</f>
      </c>
      <c r="FI614">
        <f>IF(ISBLANK('Data Entry'!$å$614), "", 'Data Entry'!$å$614)</f>
      </c>
      <c r="FJ614">
        <f>IF(ISBLANK('Data Entry'!$æ$614), "", 'Data Entry'!$æ$614)</f>
      </c>
      <c r="FK614">
        <f>IF(ISBLANK('Data Entry'!$ç$614), "", 'Data Entry'!$ç$614)</f>
      </c>
      <c r="FL614">
        <f>IF(ISBLANK('Data Entry'!$è$614), "", 'Data Entry'!$è$614)</f>
      </c>
      <c r="FM614">
        <f>IF(ISBLANK('Data Entry'!$é$614), "", 'Data Entry'!$é$614)</f>
      </c>
      <c r="FN614">
        <f>IF(ISBLANK('Data Entry'!$ê$614), "", 'Data Entry'!$ê$614)</f>
      </c>
      <c r="FO614">
        <f>IF(ISBLANK('Data Entry'!$ë$614), "", 'Data Entry'!$ë$614)</f>
      </c>
      <c r="FP614">
        <f>IF(ISBLANK('Data Entry'!$ì$614), "", 'Data Entry'!$ì$614)</f>
      </c>
      <c r="FQ614">
        <f>IF(ISBLANK('Data Entry'!$í$614), "", 'Data Entry'!$í$614)</f>
      </c>
      <c r="FR614">
        <f>IF(ISBLANK('Data Entry'!$î$614), "", 'Data Entry'!$î$614)</f>
      </c>
      <c r="FS614">
        <f>IF(ISBLANK('Data Entry'!$ï$614), "", 'Data Entry'!$ï$614)</f>
      </c>
      <c r="FT614">
        <f>IF(ISBLANK('Data Entry'!$ð$614), "", 'Data Entry'!$ð$614)</f>
      </c>
      <c r="FU614">
        <f>IF(ISBLANK('Data Entry'!$ñ$614), "", 'Data Entry'!$ñ$614)</f>
      </c>
      <c r="FV614">
        <f>IF(ISBLANK('Data Entry'!$ò$614), "", 'Data Entry'!$ò$614)</f>
      </c>
      <c r="FW614">
        <f>IF(ISBLANK('Data Entry'!$ó$614), "", 'Data Entry'!$ó$614)</f>
      </c>
      <c r="FX614">
        <f>IF(ISBLANK('Data Entry'!$ô$614), "", 'Data Entry'!$ô$614)</f>
      </c>
      <c r="FY614">
        <f>IF(ISBLANK('Data Entry'!$õ$614), "", 'Data Entry'!$õ$614)</f>
      </c>
      <c r="FZ614">
        <f>IF(ISBLANK('Data Entry'!$ö$614), "", 'Data Entry'!$ö$614)</f>
      </c>
      <c r="GA614">
        <f>IF(ISBLANK('Data Entry'!$÷$614), "", 'Data Entry'!$÷$614)</f>
      </c>
      <c r="GB614">
        <f>IF(ISBLANK('Data Entry'!$ø$614), "", 'Data Entry'!$ø$614)</f>
      </c>
      <c r="GC614">
        <f>IF(ISBLANK('Data Entry'!$ù$614), "", 'Data Entry'!$ù$614)</f>
      </c>
      <c r="GD614">
        <f>IF(ISBLANK('Data Entry'!$ú$614), "", 'Data Entry'!$ú$614)</f>
      </c>
      <c r="GE614">
        <f>IF(ISBLANK('Data Entry'!$û$614), "", 'Data Entry'!$û$614)</f>
      </c>
      <c r="GF614">
        <f>IF(ISBLANK('Data Entry'!$ü$614), "", 'Data Entry'!$ü$614)</f>
      </c>
      <c r="GG614">
        <f>IF(ISBLANK('Data Entry'!$ý$614), "", 'Data Entry'!$ý$614)</f>
      </c>
      <c r="GH614">
        <f>IF(ISBLANK('Data Entry'!$þ$614), "", 'Data Entry'!$þ$614)</f>
      </c>
      <c r="GI614">
        <f>IF(ISBLANK('Data Entry'!$ÿ$614), "", 'Data Entry'!$ÿ$614)</f>
      </c>
      <c r="GJ614">
        <f>IF(ISBLANK('Data Entry'!$Ā$614), "", 'Data Entry'!$Ā$614)</f>
      </c>
      <c r="GK614">
        <f>IF(ISBLANK('Data Entry'!$ā$614), "", 'Data Entry'!$ā$614)</f>
      </c>
      <c r="GL614">
        <f>IF(ISBLANK('Data Entry'!$Ă$614), "", 'Data Entry'!$Ă$614)</f>
      </c>
      <c r="GM614">
        <f>IF(ISBLANK('Data Entry'!$ă$614), "", 'Data Entry'!$ă$614)</f>
      </c>
      <c r="GN614">
        <f>IF(ISBLANK('Data Entry'!$Ą$614), "", 'Data Entry'!$Ą$614)</f>
      </c>
      <c r="GO614">
        <f>IF(ISBLANK('Data Entry'!$ą$614), "", 'Data Entry'!$ą$614)</f>
      </c>
      <c r="GP614">
        <f>IF(ISBLANK('Data Entry'!$Ć$614), "", 'Data Entry'!$Ć$614)</f>
      </c>
      <c r="GQ614">
        <f>IF(ISBLANK('Data Entry'!$ć$614), "", 'Data Entry'!$ć$614)</f>
      </c>
      <c r="GR614">
        <f>IF(ISBLANK('Data Entry'!$Ĉ$614), "", 'Data Entry'!$Ĉ$614)</f>
      </c>
      <c r="GS614">
        <f>IF(ISBLANK('Data Entry'!$ĉ$614), "", 'Data Entry'!$ĉ$614)</f>
      </c>
      <c r="GT614">
        <f>IF(ISBLANK('Data Entry'!$Ċ$614), "", 'Data Entry'!$Ċ$614)</f>
      </c>
      <c r="GU614">
        <f>IF(ISBLANK('Data Entry'!$ċ$614), "", 'Data Entry'!$ċ$614)</f>
      </c>
      <c r="GV614">
        <f>IF(ISBLANK('Data Entry'!$Č$614), "", 'Data Entry'!$Č$614)</f>
      </c>
      <c r="GW614">
        <f>IF(ISBLANK('Data Entry'!$č$614), "", 'Data Entry'!$č$614)</f>
      </c>
      <c r="GX614">
        <f>IF(ISBLANK('Data Entry'!$Ď$614), "", 'Data Entry'!$Ď$614)</f>
      </c>
      <c r="GY614">
        <f>IF(ISBLANK('Data Entry'!$ď$614), "", 'Data Entry'!$ď$614)</f>
      </c>
      <c r="GZ614">
        <f>IF(ISBLANK('Data Entry'!$Đ$614), "", 'Data Entry'!$Đ$614)</f>
      </c>
      <c r="HA614">
        <f>IF(ISBLANK('Data Entry'!$đ$614), "", 'Data Entry'!$đ$614)</f>
      </c>
      <c r="HB614">
        <f>IF(ISBLANK('Data Entry'!$Ē$614), "", 'Data Entry'!$Ē$614)</f>
      </c>
      <c r="HC614">
        <f>IF(ISBLANK('Data Entry'!$ē$614), "", 'Data Entry'!$ē$614)</f>
      </c>
      <c r="HD614">
        <f>IF(ISBLANK('Data Entry'!$Ĕ$614), "", 'Data Entry'!$Ĕ$614)</f>
      </c>
      <c r="HE614">
        <f>IF(ISBLANK('Data Entry'!$ĕ$614), "", 'Data Entry'!$ĕ$614)</f>
      </c>
      <c r="HF614">
        <f>IF(ISBLANK('Data Entry'!$Ė$614), "", 'Data Entry'!$Ė$614)</f>
      </c>
      <c r="HG614">
        <f>IF(ISBLANK('Data Entry'!$ė$614), "", 'Data Entry'!$ė$614)</f>
      </c>
      <c r="HH614">
        <f>IF(ISBLANK('Data Entry'!$Ę$614), "", 'Data Entry'!$Ę$614)</f>
      </c>
      <c r="HI614">
        <f>IF(ISBLANK('Data Entry'!$ę$614), "", 'Data Entry'!$ę$614)</f>
      </c>
      <c r="HJ614">
        <f>IF(ISBLANK('Data Entry'!$Ě$614), "", 'Data Entry'!$Ě$614)</f>
      </c>
      <c r="HK614">
        <f>IF(ISBLANK('Data Entry'!$ě$614), "", 'Data Entry'!$ě$614)</f>
      </c>
      <c r="HL614">
        <f>IF(ISBLANK('Data Entry'!$Ĝ$614), "", 'Data Entry'!$Ĝ$614)</f>
      </c>
      <c r="HM614">
        <f>IF(ISBLANK('Data Entry'!$ĝ$614), "", 'Data Entry'!$ĝ$614)</f>
      </c>
      <c r="HN614">
        <f>IF(ISBLANK('Data Entry'!$Ğ$614), "", 'Data Entry'!$Ğ$614)</f>
      </c>
      <c r="HO614">
        <f>IF(ISBLANK('Data Entry'!$ğ$614), "", 'Data Entry'!$ğ$614)</f>
      </c>
      <c r="HP614">
        <f>IF(ISBLANK('Data Entry'!$Ġ$614), "", 'Data Entry'!$Ġ$614)</f>
      </c>
      <c r="HQ614">
        <f>IF(ISBLANK('Data Entry'!$ġ$614), "", 'Data Entry'!$ġ$614)</f>
      </c>
      <c r="HR614">
        <f>IF(ISBLANK('Data Entry'!$Ģ$614), "", 'Data Entry'!$Ģ$614)</f>
      </c>
      <c r="HS614">
        <f>IF(ISBLANK('Data Entry'!$ģ$614), "", 'Data Entry'!$ģ$614)</f>
      </c>
      <c r="HT614">
        <f>IF(ISBLANK('Data Entry'!$Ĥ$614), "", 'Data Entry'!$Ĥ$614)</f>
      </c>
      <c r="HU614">
        <f>IF(ISBLANK('Data Entry'!$ĥ$614), "", 'Data Entry'!$ĥ$614)</f>
      </c>
      <c r="HV614">
        <f>IF(ISBLANK('Data Entry'!$Ħ$614), "", 'Data Entry'!$Ħ$614)</f>
      </c>
      <c r="HW614">
        <f>IF(ISBLANK('Data Entry'!$ħ$614), "", 'Data Entry'!$ħ$614)</f>
      </c>
      <c r="HX614">
        <f>IF(ISBLANK('Data Entry'!$Ĩ$614), "", 'Data Entry'!$Ĩ$614)</f>
      </c>
      <c r="HY614">
        <f>IF(ISBLANK('Data Entry'!$ĩ$614), "", 'Data Entry'!$ĩ$614)</f>
      </c>
      <c r="HZ614">
        <f>IF(ISBLANK('Data Entry'!$Ī$614), "", 'Data Entry'!$Ī$614)</f>
      </c>
      <c r="IA614">
        <f>IF(ISBLANK('Data Entry'!$ī$614), "", 'Data Entry'!$ī$614)</f>
      </c>
      <c r="IB614">
        <f>IF(ISBLANK('Data Entry'!$Ĭ$614), "", 'Data Entry'!$Ĭ$614)</f>
      </c>
      <c r="IC614">
        <f>IF(ISBLANK('Data Entry'!$ĭ$614), "", 'Data Entry'!$ĭ$614)</f>
      </c>
      <c r="ID614">
        <f>IF(ISBLANK('Data Entry'!$Į$614), "", 'Data Entry'!$Į$614)</f>
      </c>
      <c r="IE614">
        <f>IF(ISBLANK('Data Entry'!$į$614), "", 'Data Entry'!$į$614)</f>
      </c>
      <c r="IF614">
        <f>IF(ISBLANK('Data Entry'!$İ$614), "", 'Data Entry'!$İ$614)</f>
      </c>
      <c r="IG614">
        <f>IF(ISBLANK('Data Entry'!$ı$614), "", 'Data Entry'!$ı$614)</f>
      </c>
      <c r="IH614">
        <f>IF(ISBLANK('Data Entry'!$Ĳ$614), "", 'Data Entry'!$Ĳ$614)</f>
      </c>
      <c r="II614">
        <f>IF(ISBLANK('Data Entry'!$ĳ$614), "", 'Data Entry'!$ĳ$614)</f>
      </c>
      <c r="IJ614">
        <f>IF(ISBLANK('Data Entry'!$Ĵ$614), "", 'Data Entry'!$Ĵ$614)</f>
      </c>
      <c r="IK614">
        <f>IF(ISBLANK('Data Entry'!$ĵ$614), "", 'Data Entry'!$ĵ$614)</f>
      </c>
      <c r="IL614">
        <f>IF(ISBLANK('Data Entry'!$Ķ$614), "", 'Data Entry'!$Ķ$614)</f>
      </c>
      <c r="IM614">
        <f>IF(ISBLANK('Data Entry'!$ķ$614), "", 'Data Entry'!$ķ$614)</f>
      </c>
      <c r="IN614">
        <f>IF(ISBLANK('Data Entry'!$ĸ$614), "", 'Data Entry'!$ĸ$614)</f>
      </c>
      <c r="IO614">
        <f>IF(ISBLANK('Data Entry'!$Ĺ$614), "", 'Data Entry'!$Ĺ$614)</f>
      </c>
      <c r="IP614">
        <f>IF(ISBLANK('Data Entry'!$ĺ$614), "", 'Data Entry'!$ĺ$614)</f>
      </c>
      <c r="IQ614">
        <f>IF(ISBLANK('Data Entry'!$Ļ$614), "", 'Data Entry'!$Ļ$614)</f>
      </c>
      <c r="IR614">
        <f>IF(ISBLANK('Data Entry'!$ļ$614), "", 'Data Entry'!$ļ$614)</f>
      </c>
      <c r="IS614">
        <f>IF(ISBLANK('Data Entry'!$Ľ$614), "", 'Data Entry'!$Ľ$614)</f>
      </c>
      <c r="IT614">
        <f>IF(ISBLANK('Data Entry'!$ľ$614), "", 'Data Entry'!$ľ$614)</f>
      </c>
    </row>
    <row r="615" spans="1:254" x14ac:dyDescent="0.25">
      <c r="A615">
        <f>IF(ISBLANK('Data Entry'!$A$615), "", 'Data Entry'!$A$615)</f>
      </c>
      <c r="B615">
        <f>IF(ISBLANK('Data Entry'!$B$615), "", 'Data Entry'!$B$615)</f>
      </c>
      <c r="C615">
        <f>IF(ISBLANK('Data Entry'!$C$615), "", 'Data Entry'!$C$615)</f>
      </c>
      <c r="D615">
        <f>IF(ISBLANK('Data Entry'!$D$615), "", 'Data Entry'!$D$615)</f>
      </c>
      <c r="E615">
        <f>IF(ISBLANK('Data Entry'!$E$615), "", 'Data Entry'!$E$615)</f>
      </c>
      <c r="F615">
        <f>IF(ISBLANK('Data Entry'!$F$615), "", 'Data Entry'!$F$615)</f>
      </c>
      <c r="G615">
        <f>IF(ISBLANK('Data Entry'!$G$615), "", 'Data Entry'!$G$615)</f>
      </c>
      <c r="H615">
        <f>IF(ISBLANK('Data Entry'!$H$615), "", 'Data Entry'!$H$615)</f>
      </c>
      <c r="I615">
        <f>IF(ISBLANK('Data Entry'!$I$615), "", 'Data Entry'!$I$615)</f>
      </c>
      <c r="J615">
        <f>IF(ISBLANK('Data Entry'!$J$615), "", 'Data Entry'!$J$615)</f>
      </c>
      <c r="K615">
        <f>IF(ISBLANK('Data Entry'!$K$615), "", 'Data Entry'!$K$615)</f>
      </c>
      <c r="L615">
        <f>IF(ISBLANK('Data Entry'!$L$615), "", 'Data Entry'!$L$615)</f>
      </c>
      <c r="M615">
        <f>IF(ISBLANK('Data Entry'!$M$615), "", 'Data Entry'!$M$615)</f>
      </c>
      <c r="N615">
        <f>IF(ISBLANK('Data Entry'!$N$615), "", 'Data Entry'!$N$615)</f>
      </c>
      <c r="O615">
        <f>IF(ISBLANK('Data Entry'!$O$615), "", 'Data Entry'!$O$615)</f>
      </c>
      <c r="P615">
        <f>IF(ISBLANK('Data Entry'!$P$615), "", 'Data Entry'!$P$615)</f>
      </c>
      <c r="Q615">
        <f>IF(ISBLANK('Data Entry'!$Q$615), "", 'Data Entry'!$Q$615)</f>
      </c>
      <c r="R615">
        <f>IF(ISBLANK('Data Entry'!$R$615), "", 'Data Entry'!$R$615)</f>
      </c>
      <c r="S615">
        <f>IF(ISBLANK('Data Entry'!$S$615), "", 'Data Entry'!$S$615)</f>
      </c>
      <c r="T615">
        <f>IF(ISBLANK('Data Entry'!$T$615), "", 'Data Entry'!$T$615)</f>
      </c>
      <c r="U615">
        <f>IF(ISBLANK('Data Entry'!$U$615), "", 'Data Entry'!$U$615)</f>
      </c>
      <c r="V615">
        <f>IF(ISBLANK('Data Entry'!$V$615), "", 'Data Entry'!$V$615)</f>
      </c>
      <c r="W615">
        <f>IF(ISBLANK('Data Entry'!$W$615), "", 'Data Entry'!$W$615)</f>
      </c>
      <c r="X615">
        <f>IF(ISBLANK('Data Entry'!$X$615), "", 'Data Entry'!$X$615)</f>
      </c>
      <c r="Y615">
        <f>IF(ISBLANK('Data Entry'!$Y$615), "", 'Data Entry'!$Y$615)</f>
      </c>
      <c r="Z615">
        <f>IF(ISBLANK('Data Entry'!$Z$615), "", 'Data Entry'!$Z$615)</f>
      </c>
      <c r="AA615">
        <f>IF(ISBLANK('Data Entry'!$[$615), "", 'Data Entry'!$[$615)</f>
      </c>
      <c r="AB615">
        <f>IF(ISBLANK('Data Entry'!$\$615), "", 'Data Entry'!$\$615)</f>
      </c>
      <c r="AC615">
        <f>IF(ISBLANK('Data Entry'!$]$615), "", 'Data Entry'!$]$615)</f>
      </c>
      <c r="AD615">
        <f>IF(ISBLANK('Data Entry'!$^$615), "", 'Data Entry'!$^$615)</f>
      </c>
      <c r="AE615">
        <f>IF(ISBLANK('Data Entry'!$_$615), "", 'Data Entry'!$_$615)</f>
      </c>
      <c r="AF615">
        <f>IF(ISBLANK('Data Entry'!$`$615), "", 'Data Entry'!$`$615)</f>
      </c>
      <c r="AG615">
        <f>IF(ISBLANK('Data Entry'!$a$615), "", 'Data Entry'!$a$615)</f>
      </c>
      <c r="AH615">
        <f>IF(ISBLANK('Data Entry'!$b$615), "", 'Data Entry'!$b$615)</f>
      </c>
      <c r="AI615">
        <f>IF(ISBLANK('Data Entry'!$c$615), "", 'Data Entry'!$c$615)</f>
      </c>
      <c r="AJ615">
        <f>IF(ISBLANK('Data Entry'!$d$615), "", 'Data Entry'!$d$615)</f>
      </c>
      <c r="AK615">
        <f>IF(ISBLANK('Data Entry'!$e$615), "", 'Data Entry'!$e$615)</f>
      </c>
      <c r="AL615">
        <f>IF(ISBLANK('Data Entry'!$f$615), "", 'Data Entry'!$f$615)</f>
      </c>
      <c r="AM615">
        <f>IF(ISBLANK('Data Entry'!$g$615), "", 'Data Entry'!$g$615)</f>
      </c>
      <c r="AN615">
        <f>IF(ISBLANK('Data Entry'!$h$615), "", 'Data Entry'!$h$615)</f>
      </c>
      <c r="AO615">
        <f>IF(ISBLANK('Data Entry'!$i$615), "", 'Data Entry'!$i$615)</f>
      </c>
      <c r="AP615">
        <f>IF(ISBLANK('Data Entry'!$j$615), "", 'Data Entry'!$j$615)</f>
      </c>
      <c r="AQ615">
        <f>IF(ISBLANK('Data Entry'!$k$615), "", 'Data Entry'!$k$615)</f>
      </c>
      <c r="AR615">
        <f>IF(ISBLANK('Data Entry'!$l$615), "", 'Data Entry'!$l$615)</f>
      </c>
      <c r="AS615">
        <f>IF(ISBLANK('Data Entry'!$m$615), "", 'Data Entry'!$m$615)</f>
      </c>
      <c r="AT615">
        <f>IF(ISBLANK('Data Entry'!$n$615), "", 'Data Entry'!$n$615)</f>
      </c>
      <c r="AU615">
        <f>IF(ISBLANK('Data Entry'!$o$615), "", 'Data Entry'!$o$615)</f>
      </c>
      <c r="AV615">
        <f>IF(ISBLANK('Data Entry'!$p$615), "", 'Data Entry'!$p$615)</f>
      </c>
      <c r="AW615">
        <f>IF(ISBLANK('Data Entry'!$q$615), "", 'Data Entry'!$q$615)</f>
      </c>
      <c r="AX615">
        <f>IF(ISBLANK('Data Entry'!$r$615), "", 'Data Entry'!$r$615)</f>
      </c>
      <c r="AY615">
        <f>IF(ISBLANK('Data Entry'!$s$615), "", 'Data Entry'!$s$615)</f>
      </c>
      <c r="AZ615">
        <f>IF(ISBLANK('Data Entry'!$t$615), "", 'Data Entry'!$t$615)</f>
      </c>
      <c r="BA615">
        <f>IF(ISBLANK('Data Entry'!$u$615), "", 'Data Entry'!$u$615)</f>
      </c>
      <c r="BB615">
        <f>IF(ISBLANK('Data Entry'!$v$615), "", 'Data Entry'!$v$615)</f>
      </c>
      <c r="BC615">
        <f>IF(ISBLANK('Data Entry'!$w$615), "", 'Data Entry'!$w$615)</f>
      </c>
      <c r="BD615">
        <f>IF(ISBLANK('Data Entry'!$x$615), "", 'Data Entry'!$x$615)</f>
      </c>
      <c r="BE615">
        <f>IF(ISBLANK('Data Entry'!$y$615), "", 'Data Entry'!$y$615)</f>
      </c>
      <c r="BF615">
        <f>IF(ISBLANK('Data Entry'!$z$615), "", 'Data Entry'!$z$615)</f>
      </c>
      <c r="BG615">
        <f>IF(ISBLANK('Data Entry'!${$615), "", 'Data Entry'!${$615)</f>
      </c>
      <c r="BH615">
        <f>IF(ISBLANK('Data Entry'!$|$615), "", 'Data Entry'!$|$615)</f>
      </c>
      <c r="BI615">
        <f>IF(ISBLANK('Data Entry'!$}$615), "", 'Data Entry'!$}$615)</f>
      </c>
      <c r="BJ615">
        <f>IF(ISBLANK('Data Entry'!$~$615), "", 'Data Entry'!$~$615)</f>
      </c>
      <c r="BK615">
        <f>IF(ISBLANK('Data Entry'!$$615), "", 'Data Entry'!$$615)</f>
      </c>
      <c r="BL615">
        <f>IF(ISBLANK('Data Entry'!$$615), "", 'Data Entry'!$$615)</f>
      </c>
      <c r="BM615">
        <f>IF(ISBLANK('Data Entry'!$$615), "", 'Data Entry'!$$615)</f>
      </c>
      <c r="BN615">
        <f>IF(ISBLANK('Data Entry'!$$615), "", 'Data Entry'!$$615)</f>
      </c>
      <c r="BO615">
        <f>IF(ISBLANK('Data Entry'!$$615), "", 'Data Entry'!$$615)</f>
      </c>
      <c r="BP615">
        <f>IF(ISBLANK('Data Entry'!$$615), "", 'Data Entry'!$$615)</f>
      </c>
      <c r="BQ615">
        <f>IF(ISBLANK('Data Entry'!$$615), "", 'Data Entry'!$$615)</f>
      </c>
      <c r="BR615">
        <f>IF(ISBLANK('Data Entry'!$$615), "", 'Data Entry'!$$615)</f>
      </c>
      <c r="BS615">
        <f>IF(ISBLANK('Data Entry'!$$615), "", 'Data Entry'!$$615)</f>
      </c>
      <c r="BT615">
        <f>IF(ISBLANK('Data Entry'!$$615), "", 'Data Entry'!$$615)</f>
      </c>
      <c r="BU615">
        <f>IF(ISBLANK('Data Entry'!$$615), "", 'Data Entry'!$$615)</f>
      </c>
      <c r="BV615">
        <f>IF(ISBLANK('Data Entry'!$$615), "", 'Data Entry'!$$615)</f>
      </c>
      <c r="BW615">
        <f>IF(ISBLANK('Data Entry'!$$615), "", 'Data Entry'!$$615)</f>
      </c>
      <c r="BX615">
        <f>IF(ISBLANK('Data Entry'!$$615), "", 'Data Entry'!$$615)</f>
      </c>
      <c r="BY615">
        <f>IF(ISBLANK('Data Entry'!$$615), "", 'Data Entry'!$$615)</f>
      </c>
      <c r="BZ615">
        <f>IF(ISBLANK('Data Entry'!$$615), "", 'Data Entry'!$$615)</f>
      </c>
      <c r="CA615">
        <f>IF(ISBLANK('Data Entry'!$$615), "", 'Data Entry'!$$615)</f>
      </c>
      <c r="CB615">
        <f>IF(ISBLANK('Data Entry'!$$615), "", 'Data Entry'!$$615)</f>
      </c>
      <c r="CC615">
        <f>IF(ISBLANK('Data Entry'!$$615), "", 'Data Entry'!$$615)</f>
      </c>
      <c r="CD615">
        <f>IF(ISBLANK('Data Entry'!$$615), "", 'Data Entry'!$$615)</f>
      </c>
      <c r="CE615">
        <f>IF(ISBLANK('Data Entry'!$$615), "", 'Data Entry'!$$615)</f>
      </c>
      <c r="CF615">
        <f>IF(ISBLANK('Data Entry'!$$615), "", 'Data Entry'!$$615)</f>
      </c>
      <c r="CG615">
        <f>IF(ISBLANK('Data Entry'!$$615), "", 'Data Entry'!$$615)</f>
      </c>
      <c r="CH615">
        <f>IF(ISBLANK('Data Entry'!$$615), "", 'Data Entry'!$$615)</f>
      </c>
      <c r="CI615">
        <f>IF(ISBLANK('Data Entry'!$$615), "", 'Data Entry'!$$615)</f>
      </c>
      <c r="CJ615">
        <f>IF(ISBLANK('Data Entry'!$$615), "", 'Data Entry'!$$615)</f>
      </c>
      <c r="CK615">
        <f>IF(ISBLANK('Data Entry'!$$615), "", 'Data Entry'!$$615)</f>
      </c>
      <c r="CL615">
        <f>IF(ISBLANK('Data Entry'!$$615), "", 'Data Entry'!$$615)</f>
      </c>
      <c r="CM615">
        <f>IF(ISBLANK('Data Entry'!$$615), "", 'Data Entry'!$$615)</f>
      </c>
      <c r="CN615">
        <f>IF(ISBLANK('Data Entry'!$$615), "", 'Data Entry'!$$615)</f>
      </c>
      <c r="CO615">
        <f>IF(ISBLANK('Data Entry'!$$615), "", 'Data Entry'!$$615)</f>
      </c>
      <c r="CP615">
        <f>IF(ISBLANK('Data Entry'!$$615), "", 'Data Entry'!$$615)</f>
      </c>
      <c r="CQ615">
        <f>IF(ISBLANK('Data Entry'!$$615), "", 'Data Entry'!$$615)</f>
      </c>
      <c r="CR615">
        <f>IF(ISBLANK('Data Entry'!$ $615), "", 'Data Entry'!$ $615)</f>
      </c>
      <c r="CS615">
        <f>IF(ISBLANK('Data Entry'!$¡$615), "", 'Data Entry'!$¡$615)</f>
      </c>
      <c r="CT615">
        <f>IF(ISBLANK('Data Entry'!$¢$615), "", 'Data Entry'!$¢$615)</f>
      </c>
      <c r="CU615">
        <f>IF(ISBLANK('Data Entry'!$£$615), "", 'Data Entry'!$£$615)</f>
      </c>
      <c r="CV615">
        <f>IF(ISBLANK('Data Entry'!$¤$615), "", 'Data Entry'!$¤$615)</f>
      </c>
      <c r="CW615">
        <f>IF(ISBLANK('Data Entry'!$¥$615), "", 'Data Entry'!$¥$615)</f>
      </c>
      <c r="CX615">
        <f>IF(ISBLANK('Data Entry'!$¦$615), "", 'Data Entry'!$¦$615)</f>
      </c>
      <c r="CY615">
        <f>IF(ISBLANK('Data Entry'!$§$615), "", 'Data Entry'!$§$615)</f>
      </c>
      <c r="CZ615">
        <f>IF(ISBLANK('Data Entry'!$¨$615), "", 'Data Entry'!$¨$615)</f>
      </c>
      <c r="DA615">
        <f>IF(ISBLANK('Data Entry'!$©$615), "", 'Data Entry'!$©$615)</f>
      </c>
      <c r="DB615">
        <f>IF(ISBLANK('Data Entry'!$ª$615), "", 'Data Entry'!$ª$615)</f>
      </c>
      <c r="DC615">
        <f>IF(ISBLANK('Data Entry'!$«$615), "", 'Data Entry'!$«$615)</f>
      </c>
      <c r="DD615">
        <f>IF(ISBLANK('Data Entry'!$¬$615), "", 'Data Entry'!$¬$615)</f>
      </c>
      <c r="DE615">
        <f>IF(ISBLANK('Data Entry'!$­$615), "", 'Data Entry'!$­$615)</f>
      </c>
      <c r="DF615">
        <f>IF(ISBLANK('Data Entry'!$®$615), "", 'Data Entry'!$®$615)</f>
      </c>
      <c r="DG615">
        <f>IF(ISBLANK('Data Entry'!$¯$615), "", 'Data Entry'!$¯$615)</f>
      </c>
      <c r="DH615">
        <f>IF(ISBLANK('Data Entry'!$°$615), "", 'Data Entry'!$°$615)</f>
      </c>
      <c r="DI615">
        <f>IF(ISBLANK('Data Entry'!$±$615), "", 'Data Entry'!$±$615)</f>
      </c>
      <c r="DJ615">
        <f>IF(ISBLANK('Data Entry'!$²$615), "", 'Data Entry'!$²$615)</f>
      </c>
      <c r="DK615">
        <f>IF(ISBLANK('Data Entry'!$³$615), "", 'Data Entry'!$³$615)</f>
      </c>
      <c r="DL615">
        <f>IF(ISBLANK('Data Entry'!$´$615), "", 'Data Entry'!$´$615)</f>
      </c>
      <c r="DM615">
        <f>IF(ISBLANK('Data Entry'!$µ$615), "", 'Data Entry'!$µ$615)</f>
      </c>
      <c r="DN615">
        <f>IF(ISBLANK('Data Entry'!$¶$615), "", 'Data Entry'!$¶$615)</f>
      </c>
      <c r="DO615">
        <f>IF(ISBLANK('Data Entry'!$·$615), "", 'Data Entry'!$·$615)</f>
      </c>
      <c r="DP615">
        <f>IF(ISBLANK('Data Entry'!$¸$615), "", 'Data Entry'!$¸$615)</f>
      </c>
      <c r="DQ615">
        <f>IF(ISBLANK('Data Entry'!$¹$615), "", 'Data Entry'!$¹$615)</f>
      </c>
      <c r="DR615">
        <f>IF(ISBLANK('Data Entry'!$º$615), "", 'Data Entry'!$º$615)</f>
      </c>
      <c r="DS615">
        <f>IF(ISBLANK('Data Entry'!$»$615), "", 'Data Entry'!$»$615)</f>
      </c>
      <c r="DT615">
        <f>IF(ISBLANK('Data Entry'!$¼$615), "", 'Data Entry'!$¼$615)</f>
      </c>
      <c r="DU615">
        <f>IF(ISBLANK('Data Entry'!$½$615), "", 'Data Entry'!$½$615)</f>
      </c>
      <c r="DV615">
        <f>IF(ISBLANK('Data Entry'!$¾$615), "", 'Data Entry'!$¾$615)</f>
      </c>
      <c r="DW615">
        <f>IF(ISBLANK('Data Entry'!$¿$615), "", 'Data Entry'!$¿$615)</f>
      </c>
      <c r="DX615">
        <f>IF(ISBLANK('Data Entry'!$À$615), "", 'Data Entry'!$À$615)</f>
      </c>
      <c r="DY615">
        <f>IF(ISBLANK('Data Entry'!$Á$615), "", 'Data Entry'!$Á$615)</f>
      </c>
      <c r="DZ615">
        <f>IF(ISBLANK('Data Entry'!$Â$615), "", 'Data Entry'!$Â$615)</f>
      </c>
      <c r="EA615">
        <f>IF(ISBLANK('Data Entry'!$Ã$615), "", 'Data Entry'!$Ã$615)</f>
      </c>
      <c r="EB615">
        <f>IF(ISBLANK('Data Entry'!$Ä$615), "", 'Data Entry'!$Ä$615)</f>
      </c>
      <c r="EC615">
        <f>IF(ISBLANK('Data Entry'!$Å$615), "", 'Data Entry'!$Å$615)</f>
      </c>
      <c r="ED615">
        <f>IF(ISBLANK('Data Entry'!$Æ$615), "", 'Data Entry'!$Æ$615)</f>
      </c>
      <c r="EE615">
        <f>IF(ISBLANK('Data Entry'!$Ç$615), "", 'Data Entry'!$Ç$615)</f>
      </c>
      <c r="EF615">
        <f>IF(ISBLANK('Data Entry'!$È$615), "", 'Data Entry'!$È$615)</f>
      </c>
      <c r="EG615">
        <f>IF(ISBLANK('Data Entry'!$É$615), "", 'Data Entry'!$É$615)</f>
      </c>
      <c r="EH615">
        <f>IF(ISBLANK('Data Entry'!$Ê$615), "", 'Data Entry'!$Ê$615)</f>
      </c>
      <c r="EI615">
        <f>IF(ISBLANK('Data Entry'!$Ë$615), "", 'Data Entry'!$Ë$615)</f>
      </c>
      <c r="EJ615">
        <f>IF(ISBLANK('Data Entry'!$Ì$615), "", 'Data Entry'!$Ì$615)</f>
      </c>
      <c r="EK615">
        <f>IF(ISBLANK('Data Entry'!$Í$615), "", 'Data Entry'!$Í$615)</f>
      </c>
      <c r="EL615">
        <f>IF(ISBLANK('Data Entry'!$Î$615), "", 'Data Entry'!$Î$615)</f>
      </c>
      <c r="EM615">
        <f>IF(ISBLANK('Data Entry'!$Ï$615), "", 'Data Entry'!$Ï$615)</f>
      </c>
      <c r="EN615">
        <f>IF(ISBLANK('Data Entry'!$Ð$615), "", 'Data Entry'!$Ð$615)</f>
      </c>
      <c r="EO615">
        <f>IF(ISBLANK('Data Entry'!$Ñ$615), "", 'Data Entry'!$Ñ$615)</f>
      </c>
      <c r="EP615">
        <f>IF(ISBLANK('Data Entry'!$Ò$615), "", 'Data Entry'!$Ò$615)</f>
      </c>
      <c r="EQ615">
        <f>IF(ISBLANK('Data Entry'!$Ó$615), "", 'Data Entry'!$Ó$615)</f>
      </c>
      <c r="ER615">
        <f>IF(ISBLANK('Data Entry'!$Ô$615), "", 'Data Entry'!$Ô$615)</f>
      </c>
      <c r="ES615">
        <f>IF(ISBLANK('Data Entry'!$Õ$615), "", 'Data Entry'!$Õ$615)</f>
      </c>
      <c r="ET615">
        <f>IF(ISBLANK('Data Entry'!$Ö$615), "", 'Data Entry'!$Ö$615)</f>
      </c>
      <c r="EU615">
        <f>IF(ISBLANK('Data Entry'!$×$615), "", 'Data Entry'!$×$615)</f>
      </c>
      <c r="EV615">
        <f>IF(ISBLANK('Data Entry'!$Ø$615), "", 'Data Entry'!$Ø$615)</f>
      </c>
      <c r="EW615">
        <f>IF(ISBLANK('Data Entry'!$Ù$615), "", 'Data Entry'!$Ù$615)</f>
      </c>
      <c r="EX615">
        <f>IF(ISBLANK('Data Entry'!$Ú$615), "", 'Data Entry'!$Ú$615)</f>
      </c>
      <c r="EY615">
        <f>IF(ISBLANK('Data Entry'!$Û$615), "", 'Data Entry'!$Û$615)</f>
      </c>
      <c r="EZ615">
        <f>IF(ISBLANK('Data Entry'!$Ü$615), "", 'Data Entry'!$Ü$615)</f>
      </c>
      <c r="FA615">
        <f>IF(ISBLANK('Data Entry'!$Ý$615), "", 'Data Entry'!$Ý$615)</f>
      </c>
      <c r="FB615">
        <f>IF(ISBLANK('Data Entry'!$Þ$615), "", 'Data Entry'!$Þ$615)</f>
      </c>
      <c r="FC615">
        <f>IF(ISBLANK('Data Entry'!$ß$615), "", 'Data Entry'!$ß$615)</f>
      </c>
      <c r="FD615">
        <f>IF(ISBLANK('Data Entry'!$à$615), "", 'Data Entry'!$à$615)</f>
      </c>
      <c r="FE615">
        <f>IF(ISBLANK('Data Entry'!$á$615), "", 'Data Entry'!$á$615)</f>
      </c>
      <c r="FF615">
        <f>IF(ISBLANK('Data Entry'!$â$615), "", 'Data Entry'!$â$615)</f>
      </c>
      <c r="FG615">
        <f>IF(ISBLANK('Data Entry'!$ã$615), "", 'Data Entry'!$ã$615)</f>
      </c>
      <c r="FH615">
        <f>IF(ISBLANK('Data Entry'!$ä$615), "", 'Data Entry'!$ä$615)</f>
      </c>
      <c r="FI615">
        <f>IF(ISBLANK('Data Entry'!$å$615), "", 'Data Entry'!$å$615)</f>
      </c>
      <c r="FJ615">
        <f>IF(ISBLANK('Data Entry'!$æ$615), "", 'Data Entry'!$æ$615)</f>
      </c>
      <c r="FK615">
        <f>IF(ISBLANK('Data Entry'!$ç$615), "", 'Data Entry'!$ç$615)</f>
      </c>
      <c r="FL615">
        <f>IF(ISBLANK('Data Entry'!$è$615), "", 'Data Entry'!$è$615)</f>
      </c>
      <c r="FM615">
        <f>IF(ISBLANK('Data Entry'!$é$615), "", 'Data Entry'!$é$615)</f>
      </c>
      <c r="FN615">
        <f>IF(ISBLANK('Data Entry'!$ê$615), "", 'Data Entry'!$ê$615)</f>
      </c>
      <c r="FO615">
        <f>IF(ISBLANK('Data Entry'!$ë$615), "", 'Data Entry'!$ë$615)</f>
      </c>
      <c r="FP615">
        <f>IF(ISBLANK('Data Entry'!$ì$615), "", 'Data Entry'!$ì$615)</f>
      </c>
      <c r="FQ615">
        <f>IF(ISBLANK('Data Entry'!$í$615), "", 'Data Entry'!$í$615)</f>
      </c>
      <c r="FR615">
        <f>IF(ISBLANK('Data Entry'!$î$615), "", 'Data Entry'!$î$615)</f>
      </c>
      <c r="FS615">
        <f>IF(ISBLANK('Data Entry'!$ï$615), "", 'Data Entry'!$ï$615)</f>
      </c>
      <c r="FT615">
        <f>IF(ISBLANK('Data Entry'!$ð$615), "", 'Data Entry'!$ð$615)</f>
      </c>
      <c r="FU615">
        <f>IF(ISBLANK('Data Entry'!$ñ$615), "", 'Data Entry'!$ñ$615)</f>
      </c>
      <c r="FV615">
        <f>IF(ISBLANK('Data Entry'!$ò$615), "", 'Data Entry'!$ò$615)</f>
      </c>
      <c r="FW615">
        <f>IF(ISBLANK('Data Entry'!$ó$615), "", 'Data Entry'!$ó$615)</f>
      </c>
      <c r="FX615">
        <f>IF(ISBLANK('Data Entry'!$ô$615), "", 'Data Entry'!$ô$615)</f>
      </c>
      <c r="FY615">
        <f>IF(ISBLANK('Data Entry'!$õ$615), "", 'Data Entry'!$õ$615)</f>
      </c>
      <c r="FZ615">
        <f>IF(ISBLANK('Data Entry'!$ö$615), "", 'Data Entry'!$ö$615)</f>
      </c>
      <c r="GA615">
        <f>IF(ISBLANK('Data Entry'!$÷$615), "", 'Data Entry'!$÷$615)</f>
      </c>
      <c r="GB615">
        <f>IF(ISBLANK('Data Entry'!$ø$615), "", 'Data Entry'!$ø$615)</f>
      </c>
      <c r="GC615">
        <f>IF(ISBLANK('Data Entry'!$ù$615), "", 'Data Entry'!$ù$615)</f>
      </c>
      <c r="GD615">
        <f>IF(ISBLANK('Data Entry'!$ú$615), "", 'Data Entry'!$ú$615)</f>
      </c>
      <c r="GE615">
        <f>IF(ISBLANK('Data Entry'!$û$615), "", 'Data Entry'!$û$615)</f>
      </c>
      <c r="GF615">
        <f>IF(ISBLANK('Data Entry'!$ü$615), "", 'Data Entry'!$ü$615)</f>
      </c>
      <c r="GG615">
        <f>IF(ISBLANK('Data Entry'!$ý$615), "", 'Data Entry'!$ý$615)</f>
      </c>
      <c r="GH615">
        <f>IF(ISBLANK('Data Entry'!$þ$615), "", 'Data Entry'!$þ$615)</f>
      </c>
      <c r="GI615">
        <f>IF(ISBLANK('Data Entry'!$ÿ$615), "", 'Data Entry'!$ÿ$615)</f>
      </c>
      <c r="GJ615">
        <f>IF(ISBLANK('Data Entry'!$Ā$615), "", 'Data Entry'!$Ā$615)</f>
      </c>
      <c r="GK615">
        <f>IF(ISBLANK('Data Entry'!$ā$615), "", 'Data Entry'!$ā$615)</f>
      </c>
      <c r="GL615">
        <f>IF(ISBLANK('Data Entry'!$Ă$615), "", 'Data Entry'!$Ă$615)</f>
      </c>
      <c r="GM615">
        <f>IF(ISBLANK('Data Entry'!$ă$615), "", 'Data Entry'!$ă$615)</f>
      </c>
      <c r="GN615">
        <f>IF(ISBLANK('Data Entry'!$Ą$615), "", 'Data Entry'!$Ą$615)</f>
      </c>
      <c r="GO615">
        <f>IF(ISBLANK('Data Entry'!$ą$615), "", 'Data Entry'!$ą$615)</f>
      </c>
      <c r="GP615">
        <f>IF(ISBLANK('Data Entry'!$Ć$615), "", 'Data Entry'!$Ć$615)</f>
      </c>
      <c r="GQ615">
        <f>IF(ISBLANK('Data Entry'!$ć$615), "", 'Data Entry'!$ć$615)</f>
      </c>
      <c r="GR615">
        <f>IF(ISBLANK('Data Entry'!$Ĉ$615), "", 'Data Entry'!$Ĉ$615)</f>
      </c>
      <c r="GS615">
        <f>IF(ISBLANK('Data Entry'!$ĉ$615), "", 'Data Entry'!$ĉ$615)</f>
      </c>
      <c r="GT615">
        <f>IF(ISBLANK('Data Entry'!$Ċ$615), "", 'Data Entry'!$Ċ$615)</f>
      </c>
      <c r="GU615">
        <f>IF(ISBLANK('Data Entry'!$ċ$615), "", 'Data Entry'!$ċ$615)</f>
      </c>
      <c r="GV615">
        <f>IF(ISBLANK('Data Entry'!$Č$615), "", 'Data Entry'!$Č$615)</f>
      </c>
      <c r="GW615">
        <f>IF(ISBLANK('Data Entry'!$č$615), "", 'Data Entry'!$č$615)</f>
      </c>
      <c r="GX615">
        <f>IF(ISBLANK('Data Entry'!$Ď$615), "", 'Data Entry'!$Ď$615)</f>
      </c>
      <c r="GY615">
        <f>IF(ISBLANK('Data Entry'!$ď$615), "", 'Data Entry'!$ď$615)</f>
      </c>
      <c r="GZ615">
        <f>IF(ISBLANK('Data Entry'!$Đ$615), "", 'Data Entry'!$Đ$615)</f>
      </c>
      <c r="HA615">
        <f>IF(ISBLANK('Data Entry'!$đ$615), "", 'Data Entry'!$đ$615)</f>
      </c>
      <c r="HB615">
        <f>IF(ISBLANK('Data Entry'!$Ē$615), "", 'Data Entry'!$Ē$615)</f>
      </c>
      <c r="HC615">
        <f>IF(ISBLANK('Data Entry'!$ē$615), "", 'Data Entry'!$ē$615)</f>
      </c>
      <c r="HD615">
        <f>IF(ISBLANK('Data Entry'!$Ĕ$615), "", 'Data Entry'!$Ĕ$615)</f>
      </c>
      <c r="HE615">
        <f>IF(ISBLANK('Data Entry'!$ĕ$615), "", 'Data Entry'!$ĕ$615)</f>
      </c>
      <c r="HF615">
        <f>IF(ISBLANK('Data Entry'!$Ė$615), "", 'Data Entry'!$Ė$615)</f>
      </c>
      <c r="HG615">
        <f>IF(ISBLANK('Data Entry'!$ė$615), "", 'Data Entry'!$ė$615)</f>
      </c>
      <c r="HH615">
        <f>IF(ISBLANK('Data Entry'!$Ę$615), "", 'Data Entry'!$Ę$615)</f>
      </c>
      <c r="HI615">
        <f>IF(ISBLANK('Data Entry'!$ę$615), "", 'Data Entry'!$ę$615)</f>
      </c>
      <c r="HJ615">
        <f>IF(ISBLANK('Data Entry'!$Ě$615), "", 'Data Entry'!$Ě$615)</f>
      </c>
      <c r="HK615">
        <f>IF(ISBLANK('Data Entry'!$ě$615), "", 'Data Entry'!$ě$615)</f>
      </c>
      <c r="HL615">
        <f>IF(ISBLANK('Data Entry'!$Ĝ$615), "", 'Data Entry'!$Ĝ$615)</f>
      </c>
      <c r="HM615">
        <f>IF(ISBLANK('Data Entry'!$ĝ$615), "", 'Data Entry'!$ĝ$615)</f>
      </c>
      <c r="HN615">
        <f>IF(ISBLANK('Data Entry'!$Ğ$615), "", 'Data Entry'!$Ğ$615)</f>
      </c>
      <c r="HO615">
        <f>IF(ISBLANK('Data Entry'!$ğ$615), "", 'Data Entry'!$ğ$615)</f>
      </c>
      <c r="HP615">
        <f>IF(ISBLANK('Data Entry'!$Ġ$615), "", 'Data Entry'!$Ġ$615)</f>
      </c>
      <c r="HQ615">
        <f>IF(ISBLANK('Data Entry'!$ġ$615), "", 'Data Entry'!$ġ$615)</f>
      </c>
      <c r="HR615">
        <f>IF(ISBLANK('Data Entry'!$Ģ$615), "", 'Data Entry'!$Ģ$615)</f>
      </c>
      <c r="HS615">
        <f>IF(ISBLANK('Data Entry'!$ģ$615), "", 'Data Entry'!$ģ$615)</f>
      </c>
      <c r="HT615">
        <f>IF(ISBLANK('Data Entry'!$Ĥ$615), "", 'Data Entry'!$Ĥ$615)</f>
      </c>
      <c r="HU615">
        <f>IF(ISBLANK('Data Entry'!$ĥ$615), "", 'Data Entry'!$ĥ$615)</f>
      </c>
      <c r="HV615">
        <f>IF(ISBLANK('Data Entry'!$Ħ$615), "", 'Data Entry'!$Ħ$615)</f>
      </c>
      <c r="HW615">
        <f>IF(ISBLANK('Data Entry'!$ħ$615), "", 'Data Entry'!$ħ$615)</f>
      </c>
      <c r="HX615">
        <f>IF(ISBLANK('Data Entry'!$Ĩ$615), "", 'Data Entry'!$Ĩ$615)</f>
      </c>
      <c r="HY615">
        <f>IF(ISBLANK('Data Entry'!$ĩ$615), "", 'Data Entry'!$ĩ$615)</f>
      </c>
      <c r="HZ615">
        <f>IF(ISBLANK('Data Entry'!$Ī$615), "", 'Data Entry'!$Ī$615)</f>
      </c>
      <c r="IA615">
        <f>IF(ISBLANK('Data Entry'!$ī$615), "", 'Data Entry'!$ī$615)</f>
      </c>
      <c r="IB615">
        <f>IF(ISBLANK('Data Entry'!$Ĭ$615), "", 'Data Entry'!$Ĭ$615)</f>
      </c>
      <c r="IC615">
        <f>IF(ISBLANK('Data Entry'!$ĭ$615), "", 'Data Entry'!$ĭ$615)</f>
      </c>
      <c r="ID615">
        <f>IF(ISBLANK('Data Entry'!$Į$615), "", 'Data Entry'!$Į$615)</f>
      </c>
      <c r="IE615">
        <f>IF(ISBLANK('Data Entry'!$į$615), "", 'Data Entry'!$į$615)</f>
      </c>
      <c r="IF615">
        <f>IF(ISBLANK('Data Entry'!$İ$615), "", 'Data Entry'!$İ$615)</f>
      </c>
      <c r="IG615">
        <f>IF(ISBLANK('Data Entry'!$ı$615), "", 'Data Entry'!$ı$615)</f>
      </c>
      <c r="IH615">
        <f>IF(ISBLANK('Data Entry'!$Ĳ$615), "", 'Data Entry'!$Ĳ$615)</f>
      </c>
      <c r="II615">
        <f>IF(ISBLANK('Data Entry'!$ĳ$615), "", 'Data Entry'!$ĳ$615)</f>
      </c>
      <c r="IJ615">
        <f>IF(ISBLANK('Data Entry'!$Ĵ$615), "", 'Data Entry'!$Ĵ$615)</f>
      </c>
      <c r="IK615">
        <f>IF(ISBLANK('Data Entry'!$ĵ$615), "", 'Data Entry'!$ĵ$615)</f>
      </c>
      <c r="IL615">
        <f>IF(ISBLANK('Data Entry'!$Ķ$615), "", 'Data Entry'!$Ķ$615)</f>
      </c>
      <c r="IM615">
        <f>IF(ISBLANK('Data Entry'!$ķ$615), "", 'Data Entry'!$ķ$615)</f>
      </c>
      <c r="IN615">
        <f>IF(ISBLANK('Data Entry'!$ĸ$615), "", 'Data Entry'!$ĸ$615)</f>
      </c>
      <c r="IO615">
        <f>IF(ISBLANK('Data Entry'!$Ĺ$615), "", 'Data Entry'!$Ĺ$615)</f>
      </c>
      <c r="IP615">
        <f>IF(ISBLANK('Data Entry'!$ĺ$615), "", 'Data Entry'!$ĺ$615)</f>
      </c>
      <c r="IQ615">
        <f>IF(ISBLANK('Data Entry'!$Ļ$615), "", 'Data Entry'!$Ļ$615)</f>
      </c>
      <c r="IR615">
        <f>IF(ISBLANK('Data Entry'!$ļ$615), "", 'Data Entry'!$ļ$615)</f>
      </c>
      <c r="IS615">
        <f>IF(ISBLANK('Data Entry'!$Ľ$615), "", 'Data Entry'!$Ľ$615)</f>
      </c>
      <c r="IT615">
        <f>IF(ISBLANK('Data Entry'!$ľ$615), "", 'Data Entry'!$ľ$615)</f>
      </c>
    </row>
    <row r="616" spans="1:254" x14ac:dyDescent="0.25">
      <c r="A616">
        <f>IF(ISBLANK('Data Entry'!$A$616), "", 'Data Entry'!$A$616)</f>
      </c>
      <c r="B616">
        <f>IF(ISBLANK('Data Entry'!$B$616), "", 'Data Entry'!$B$616)</f>
      </c>
      <c r="C616">
        <f>IF(ISBLANK('Data Entry'!$C$616), "", 'Data Entry'!$C$616)</f>
      </c>
      <c r="D616">
        <f>IF(ISBLANK('Data Entry'!$D$616), "", 'Data Entry'!$D$616)</f>
      </c>
      <c r="E616">
        <f>IF(ISBLANK('Data Entry'!$E$616), "", 'Data Entry'!$E$616)</f>
      </c>
      <c r="F616">
        <f>IF(ISBLANK('Data Entry'!$F$616), "", 'Data Entry'!$F$616)</f>
      </c>
      <c r="G616">
        <f>IF(ISBLANK('Data Entry'!$G$616), "", 'Data Entry'!$G$616)</f>
      </c>
      <c r="H616">
        <f>IF(ISBLANK('Data Entry'!$H$616), "", 'Data Entry'!$H$616)</f>
      </c>
      <c r="I616">
        <f>IF(ISBLANK('Data Entry'!$I$616), "", 'Data Entry'!$I$616)</f>
      </c>
      <c r="J616">
        <f>IF(ISBLANK('Data Entry'!$J$616), "", 'Data Entry'!$J$616)</f>
      </c>
      <c r="K616">
        <f>IF(ISBLANK('Data Entry'!$K$616), "", 'Data Entry'!$K$616)</f>
      </c>
      <c r="L616">
        <f>IF(ISBLANK('Data Entry'!$L$616), "", 'Data Entry'!$L$616)</f>
      </c>
      <c r="M616">
        <f>IF(ISBLANK('Data Entry'!$M$616), "", 'Data Entry'!$M$616)</f>
      </c>
      <c r="N616">
        <f>IF(ISBLANK('Data Entry'!$N$616), "", 'Data Entry'!$N$616)</f>
      </c>
      <c r="O616">
        <f>IF(ISBLANK('Data Entry'!$O$616), "", 'Data Entry'!$O$616)</f>
      </c>
      <c r="P616">
        <f>IF(ISBLANK('Data Entry'!$P$616), "", 'Data Entry'!$P$616)</f>
      </c>
      <c r="Q616">
        <f>IF(ISBLANK('Data Entry'!$Q$616), "", 'Data Entry'!$Q$616)</f>
      </c>
      <c r="R616">
        <f>IF(ISBLANK('Data Entry'!$R$616), "", 'Data Entry'!$R$616)</f>
      </c>
      <c r="S616">
        <f>IF(ISBLANK('Data Entry'!$S$616), "", 'Data Entry'!$S$616)</f>
      </c>
      <c r="T616">
        <f>IF(ISBLANK('Data Entry'!$T$616), "", 'Data Entry'!$T$616)</f>
      </c>
      <c r="U616">
        <f>IF(ISBLANK('Data Entry'!$U$616), "", 'Data Entry'!$U$616)</f>
      </c>
      <c r="V616">
        <f>IF(ISBLANK('Data Entry'!$V$616), "", 'Data Entry'!$V$616)</f>
      </c>
      <c r="W616">
        <f>IF(ISBLANK('Data Entry'!$W$616), "", 'Data Entry'!$W$616)</f>
      </c>
      <c r="X616">
        <f>IF(ISBLANK('Data Entry'!$X$616), "", 'Data Entry'!$X$616)</f>
      </c>
      <c r="Y616">
        <f>IF(ISBLANK('Data Entry'!$Y$616), "", 'Data Entry'!$Y$616)</f>
      </c>
      <c r="Z616">
        <f>IF(ISBLANK('Data Entry'!$Z$616), "", 'Data Entry'!$Z$616)</f>
      </c>
      <c r="AA616">
        <f>IF(ISBLANK('Data Entry'!$[$616), "", 'Data Entry'!$[$616)</f>
      </c>
      <c r="AB616">
        <f>IF(ISBLANK('Data Entry'!$\$616), "", 'Data Entry'!$\$616)</f>
      </c>
      <c r="AC616">
        <f>IF(ISBLANK('Data Entry'!$]$616), "", 'Data Entry'!$]$616)</f>
      </c>
      <c r="AD616">
        <f>IF(ISBLANK('Data Entry'!$^$616), "", 'Data Entry'!$^$616)</f>
      </c>
      <c r="AE616">
        <f>IF(ISBLANK('Data Entry'!$_$616), "", 'Data Entry'!$_$616)</f>
      </c>
      <c r="AF616">
        <f>IF(ISBLANK('Data Entry'!$`$616), "", 'Data Entry'!$`$616)</f>
      </c>
      <c r="AG616">
        <f>IF(ISBLANK('Data Entry'!$a$616), "", 'Data Entry'!$a$616)</f>
      </c>
      <c r="AH616">
        <f>IF(ISBLANK('Data Entry'!$b$616), "", 'Data Entry'!$b$616)</f>
      </c>
      <c r="AI616">
        <f>IF(ISBLANK('Data Entry'!$c$616), "", 'Data Entry'!$c$616)</f>
      </c>
      <c r="AJ616">
        <f>IF(ISBLANK('Data Entry'!$d$616), "", 'Data Entry'!$d$616)</f>
      </c>
      <c r="AK616">
        <f>IF(ISBLANK('Data Entry'!$e$616), "", 'Data Entry'!$e$616)</f>
      </c>
      <c r="AL616">
        <f>IF(ISBLANK('Data Entry'!$f$616), "", 'Data Entry'!$f$616)</f>
      </c>
      <c r="AM616">
        <f>IF(ISBLANK('Data Entry'!$g$616), "", 'Data Entry'!$g$616)</f>
      </c>
      <c r="AN616">
        <f>IF(ISBLANK('Data Entry'!$h$616), "", 'Data Entry'!$h$616)</f>
      </c>
      <c r="AO616">
        <f>IF(ISBLANK('Data Entry'!$i$616), "", 'Data Entry'!$i$616)</f>
      </c>
      <c r="AP616">
        <f>IF(ISBLANK('Data Entry'!$j$616), "", 'Data Entry'!$j$616)</f>
      </c>
      <c r="AQ616">
        <f>IF(ISBLANK('Data Entry'!$k$616), "", 'Data Entry'!$k$616)</f>
      </c>
      <c r="AR616">
        <f>IF(ISBLANK('Data Entry'!$l$616), "", 'Data Entry'!$l$616)</f>
      </c>
      <c r="AS616">
        <f>IF(ISBLANK('Data Entry'!$m$616), "", 'Data Entry'!$m$616)</f>
      </c>
      <c r="AT616">
        <f>IF(ISBLANK('Data Entry'!$n$616), "", 'Data Entry'!$n$616)</f>
      </c>
      <c r="AU616">
        <f>IF(ISBLANK('Data Entry'!$o$616), "", 'Data Entry'!$o$616)</f>
      </c>
      <c r="AV616">
        <f>IF(ISBLANK('Data Entry'!$p$616), "", 'Data Entry'!$p$616)</f>
      </c>
      <c r="AW616">
        <f>IF(ISBLANK('Data Entry'!$q$616), "", 'Data Entry'!$q$616)</f>
      </c>
      <c r="AX616">
        <f>IF(ISBLANK('Data Entry'!$r$616), "", 'Data Entry'!$r$616)</f>
      </c>
      <c r="AY616">
        <f>IF(ISBLANK('Data Entry'!$s$616), "", 'Data Entry'!$s$616)</f>
      </c>
      <c r="AZ616">
        <f>IF(ISBLANK('Data Entry'!$t$616), "", 'Data Entry'!$t$616)</f>
      </c>
      <c r="BA616">
        <f>IF(ISBLANK('Data Entry'!$u$616), "", 'Data Entry'!$u$616)</f>
      </c>
      <c r="BB616">
        <f>IF(ISBLANK('Data Entry'!$v$616), "", 'Data Entry'!$v$616)</f>
      </c>
      <c r="BC616">
        <f>IF(ISBLANK('Data Entry'!$w$616), "", 'Data Entry'!$w$616)</f>
      </c>
      <c r="BD616">
        <f>IF(ISBLANK('Data Entry'!$x$616), "", 'Data Entry'!$x$616)</f>
      </c>
      <c r="BE616">
        <f>IF(ISBLANK('Data Entry'!$y$616), "", 'Data Entry'!$y$616)</f>
      </c>
      <c r="BF616">
        <f>IF(ISBLANK('Data Entry'!$z$616), "", 'Data Entry'!$z$616)</f>
      </c>
      <c r="BG616">
        <f>IF(ISBLANK('Data Entry'!${$616), "", 'Data Entry'!${$616)</f>
      </c>
      <c r="BH616">
        <f>IF(ISBLANK('Data Entry'!$|$616), "", 'Data Entry'!$|$616)</f>
      </c>
      <c r="BI616">
        <f>IF(ISBLANK('Data Entry'!$}$616), "", 'Data Entry'!$}$616)</f>
      </c>
      <c r="BJ616">
        <f>IF(ISBLANK('Data Entry'!$~$616), "", 'Data Entry'!$~$616)</f>
      </c>
      <c r="BK616">
        <f>IF(ISBLANK('Data Entry'!$$616), "", 'Data Entry'!$$616)</f>
      </c>
      <c r="BL616">
        <f>IF(ISBLANK('Data Entry'!$$616), "", 'Data Entry'!$$616)</f>
      </c>
      <c r="BM616">
        <f>IF(ISBLANK('Data Entry'!$$616), "", 'Data Entry'!$$616)</f>
      </c>
      <c r="BN616">
        <f>IF(ISBLANK('Data Entry'!$$616), "", 'Data Entry'!$$616)</f>
      </c>
      <c r="BO616">
        <f>IF(ISBLANK('Data Entry'!$$616), "", 'Data Entry'!$$616)</f>
      </c>
      <c r="BP616">
        <f>IF(ISBLANK('Data Entry'!$$616), "", 'Data Entry'!$$616)</f>
      </c>
      <c r="BQ616">
        <f>IF(ISBLANK('Data Entry'!$$616), "", 'Data Entry'!$$616)</f>
      </c>
      <c r="BR616">
        <f>IF(ISBLANK('Data Entry'!$$616), "", 'Data Entry'!$$616)</f>
      </c>
      <c r="BS616">
        <f>IF(ISBLANK('Data Entry'!$$616), "", 'Data Entry'!$$616)</f>
      </c>
      <c r="BT616">
        <f>IF(ISBLANK('Data Entry'!$$616), "", 'Data Entry'!$$616)</f>
      </c>
      <c r="BU616">
        <f>IF(ISBLANK('Data Entry'!$$616), "", 'Data Entry'!$$616)</f>
      </c>
      <c r="BV616">
        <f>IF(ISBLANK('Data Entry'!$$616), "", 'Data Entry'!$$616)</f>
      </c>
      <c r="BW616">
        <f>IF(ISBLANK('Data Entry'!$$616), "", 'Data Entry'!$$616)</f>
      </c>
      <c r="BX616">
        <f>IF(ISBLANK('Data Entry'!$$616), "", 'Data Entry'!$$616)</f>
      </c>
      <c r="BY616">
        <f>IF(ISBLANK('Data Entry'!$$616), "", 'Data Entry'!$$616)</f>
      </c>
      <c r="BZ616">
        <f>IF(ISBLANK('Data Entry'!$$616), "", 'Data Entry'!$$616)</f>
      </c>
      <c r="CA616">
        <f>IF(ISBLANK('Data Entry'!$$616), "", 'Data Entry'!$$616)</f>
      </c>
      <c r="CB616">
        <f>IF(ISBLANK('Data Entry'!$$616), "", 'Data Entry'!$$616)</f>
      </c>
      <c r="CC616">
        <f>IF(ISBLANK('Data Entry'!$$616), "", 'Data Entry'!$$616)</f>
      </c>
      <c r="CD616">
        <f>IF(ISBLANK('Data Entry'!$$616), "", 'Data Entry'!$$616)</f>
      </c>
      <c r="CE616">
        <f>IF(ISBLANK('Data Entry'!$$616), "", 'Data Entry'!$$616)</f>
      </c>
      <c r="CF616">
        <f>IF(ISBLANK('Data Entry'!$$616), "", 'Data Entry'!$$616)</f>
      </c>
      <c r="CG616">
        <f>IF(ISBLANK('Data Entry'!$$616), "", 'Data Entry'!$$616)</f>
      </c>
      <c r="CH616">
        <f>IF(ISBLANK('Data Entry'!$$616), "", 'Data Entry'!$$616)</f>
      </c>
      <c r="CI616">
        <f>IF(ISBLANK('Data Entry'!$$616), "", 'Data Entry'!$$616)</f>
      </c>
      <c r="CJ616">
        <f>IF(ISBLANK('Data Entry'!$$616), "", 'Data Entry'!$$616)</f>
      </c>
      <c r="CK616">
        <f>IF(ISBLANK('Data Entry'!$$616), "", 'Data Entry'!$$616)</f>
      </c>
      <c r="CL616">
        <f>IF(ISBLANK('Data Entry'!$$616), "", 'Data Entry'!$$616)</f>
      </c>
      <c r="CM616">
        <f>IF(ISBLANK('Data Entry'!$$616), "", 'Data Entry'!$$616)</f>
      </c>
      <c r="CN616">
        <f>IF(ISBLANK('Data Entry'!$$616), "", 'Data Entry'!$$616)</f>
      </c>
      <c r="CO616">
        <f>IF(ISBLANK('Data Entry'!$$616), "", 'Data Entry'!$$616)</f>
      </c>
      <c r="CP616">
        <f>IF(ISBLANK('Data Entry'!$$616), "", 'Data Entry'!$$616)</f>
      </c>
      <c r="CQ616">
        <f>IF(ISBLANK('Data Entry'!$$616), "", 'Data Entry'!$$616)</f>
      </c>
      <c r="CR616">
        <f>IF(ISBLANK('Data Entry'!$ $616), "", 'Data Entry'!$ $616)</f>
      </c>
      <c r="CS616">
        <f>IF(ISBLANK('Data Entry'!$¡$616), "", 'Data Entry'!$¡$616)</f>
      </c>
      <c r="CT616">
        <f>IF(ISBLANK('Data Entry'!$¢$616), "", 'Data Entry'!$¢$616)</f>
      </c>
      <c r="CU616">
        <f>IF(ISBLANK('Data Entry'!$£$616), "", 'Data Entry'!$£$616)</f>
      </c>
      <c r="CV616">
        <f>IF(ISBLANK('Data Entry'!$¤$616), "", 'Data Entry'!$¤$616)</f>
      </c>
      <c r="CW616">
        <f>IF(ISBLANK('Data Entry'!$¥$616), "", 'Data Entry'!$¥$616)</f>
      </c>
      <c r="CX616">
        <f>IF(ISBLANK('Data Entry'!$¦$616), "", 'Data Entry'!$¦$616)</f>
      </c>
      <c r="CY616">
        <f>IF(ISBLANK('Data Entry'!$§$616), "", 'Data Entry'!$§$616)</f>
      </c>
      <c r="CZ616">
        <f>IF(ISBLANK('Data Entry'!$¨$616), "", 'Data Entry'!$¨$616)</f>
      </c>
      <c r="DA616">
        <f>IF(ISBLANK('Data Entry'!$©$616), "", 'Data Entry'!$©$616)</f>
      </c>
      <c r="DB616">
        <f>IF(ISBLANK('Data Entry'!$ª$616), "", 'Data Entry'!$ª$616)</f>
      </c>
      <c r="DC616">
        <f>IF(ISBLANK('Data Entry'!$«$616), "", 'Data Entry'!$«$616)</f>
      </c>
      <c r="DD616">
        <f>IF(ISBLANK('Data Entry'!$¬$616), "", 'Data Entry'!$¬$616)</f>
      </c>
      <c r="DE616">
        <f>IF(ISBLANK('Data Entry'!$­$616), "", 'Data Entry'!$­$616)</f>
      </c>
      <c r="DF616">
        <f>IF(ISBLANK('Data Entry'!$®$616), "", 'Data Entry'!$®$616)</f>
      </c>
      <c r="DG616">
        <f>IF(ISBLANK('Data Entry'!$¯$616), "", 'Data Entry'!$¯$616)</f>
      </c>
      <c r="DH616">
        <f>IF(ISBLANK('Data Entry'!$°$616), "", 'Data Entry'!$°$616)</f>
      </c>
      <c r="DI616">
        <f>IF(ISBLANK('Data Entry'!$±$616), "", 'Data Entry'!$±$616)</f>
      </c>
      <c r="DJ616">
        <f>IF(ISBLANK('Data Entry'!$²$616), "", 'Data Entry'!$²$616)</f>
      </c>
      <c r="DK616">
        <f>IF(ISBLANK('Data Entry'!$³$616), "", 'Data Entry'!$³$616)</f>
      </c>
      <c r="DL616">
        <f>IF(ISBLANK('Data Entry'!$´$616), "", 'Data Entry'!$´$616)</f>
      </c>
      <c r="DM616">
        <f>IF(ISBLANK('Data Entry'!$µ$616), "", 'Data Entry'!$µ$616)</f>
      </c>
      <c r="DN616">
        <f>IF(ISBLANK('Data Entry'!$¶$616), "", 'Data Entry'!$¶$616)</f>
      </c>
      <c r="DO616">
        <f>IF(ISBLANK('Data Entry'!$·$616), "", 'Data Entry'!$·$616)</f>
      </c>
      <c r="DP616">
        <f>IF(ISBLANK('Data Entry'!$¸$616), "", 'Data Entry'!$¸$616)</f>
      </c>
      <c r="DQ616">
        <f>IF(ISBLANK('Data Entry'!$¹$616), "", 'Data Entry'!$¹$616)</f>
      </c>
      <c r="DR616">
        <f>IF(ISBLANK('Data Entry'!$º$616), "", 'Data Entry'!$º$616)</f>
      </c>
      <c r="DS616">
        <f>IF(ISBLANK('Data Entry'!$»$616), "", 'Data Entry'!$»$616)</f>
      </c>
      <c r="DT616">
        <f>IF(ISBLANK('Data Entry'!$¼$616), "", 'Data Entry'!$¼$616)</f>
      </c>
      <c r="DU616">
        <f>IF(ISBLANK('Data Entry'!$½$616), "", 'Data Entry'!$½$616)</f>
      </c>
      <c r="DV616">
        <f>IF(ISBLANK('Data Entry'!$¾$616), "", 'Data Entry'!$¾$616)</f>
      </c>
      <c r="DW616">
        <f>IF(ISBLANK('Data Entry'!$¿$616), "", 'Data Entry'!$¿$616)</f>
      </c>
      <c r="DX616">
        <f>IF(ISBLANK('Data Entry'!$À$616), "", 'Data Entry'!$À$616)</f>
      </c>
      <c r="DY616">
        <f>IF(ISBLANK('Data Entry'!$Á$616), "", 'Data Entry'!$Á$616)</f>
      </c>
      <c r="DZ616">
        <f>IF(ISBLANK('Data Entry'!$Â$616), "", 'Data Entry'!$Â$616)</f>
      </c>
      <c r="EA616">
        <f>IF(ISBLANK('Data Entry'!$Ã$616), "", 'Data Entry'!$Ã$616)</f>
      </c>
      <c r="EB616">
        <f>IF(ISBLANK('Data Entry'!$Ä$616), "", 'Data Entry'!$Ä$616)</f>
      </c>
      <c r="EC616">
        <f>IF(ISBLANK('Data Entry'!$Å$616), "", 'Data Entry'!$Å$616)</f>
      </c>
      <c r="ED616">
        <f>IF(ISBLANK('Data Entry'!$Æ$616), "", 'Data Entry'!$Æ$616)</f>
      </c>
      <c r="EE616">
        <f>IF(ISBLANK('Data Entry'!$Ç$616), "", 'Data Entry'!$Ç$616)</f>
      </c>
      <c r="EF616">
        <f>IF(ISBLANK('Data Entry'!$È$616), "", 'Data Entry'!$È$616)</f>
      </c>
      <c r="EG616">
        <f>IF(ISBLANK('Data Entry'!$É$616), "", 'Data Entry'!$É$616)</f>
      </c>
      <c r="EH616">
        <f>IF(ISBLANK('Data Entry'!$Ê$616), "", 'Data Entry'!$Ê$616)</f>
      </c>
      <c r="EI616">
        <f>IF(ISBLANK('Data Entry'!$Ë$616), "", 'Data Entry'!$Ë$616)</f>
      </c>
      <c r="EJ616">
        <f>IF(ISBLANK('Data Entry'!$Ì$616), "", 'Data Entry'!$Ì$616)</f>
      </c>
      <c r="EK616">
        <f>IF(ISBLANK('Data Entry'!$Í$616), "", 'Data Entry'!$Í$616)</f>
      </c>
      <c r="EL616">
        <f>IF(ISBLANK('Data Entry'!$Î$616), "", 'Data Entry'!$Î$616)</f>
      </c>
      <c r="EM616">
        <f>IF(ISBLANK('Data Entry'!$Ï$616), "", 'Data Entry'!$Ï$616)</f>
      </c>
      <c r="EN616">
        <f>IF(ISBLANK('Data Entry'!$Ð$616), "", 'Data Entry'!$Ð$616)</f>
      </c>
      <c r="EO616">
        <f>IF(ISBLANK('Data Entry'!$Ñ$616), "", 'Data Entry'!$Ñ$616)</f>
      </c>
      <c r="EP616">
        <f>IF(ISBLANK('Data Entry'!$Ò$616), "", 'Data Entry'!$Ò$616)</f>
      </c>
      <c r="EQ616">
        <f>IF(ISBLANK('Data Entry'!$Ó$616), "", 'Data Entry'!$Ó$616)</f>
      </c>
      <c r="ER616">
        <f>IF(ISBLANK('Data Entry'!$Ô$616), "", 'Data Entry'!$Ô$616)</f>
      </c>
      <c r="ES616">
        <f>IF(ISBLANK('Data Entry'!$Õ$616), "", 'Data Entry'!$Õ$616)</f>
      </c>
      <c r="ET616">
        <f>IF(ISBLANK('Data Entry'!$Ö$616), "", 'Data Entry'!$Ö$616)</f>
      </c>
      <c r="EU616">
        <f>IF(ISBLANK('Data Entry'!$×$616), "", 'Data Entry'!$×$616)</f>
      </c>
      <c r="EV616">
        <f>IF(ISBLANK('Data Entry'!$Ø$616), "", 'Data Entry'!$Ø$616)</f>
      </c>
      <c r="EW616">
        <f>IF(ISBLANK('Data Entry'!$Ù$616), "", 'Data Entry'!$Ù$616)</f>
      </c>
      <c r="EX616">
        <f>IF(ISBLANK('Data Entry'!$Ú$616), "", 'Data Entry'!$Ú$616)</f>
      </c>
      <c r="EY616">
        <f>IF(ISBLANK('Data Entry'!$Û$616), "", 'Data Entry'!$Û$616)</f>
      </c>
      <c r="EZ616">
        <f>IF(ISBLANK('Data Entry'!$Ü$616), "", 'Data Entry'!$Ü$616)</f>
      </c>
      <c r="FA616">
        <f>IF(ISBLANK('Data Entry'!$Ý$616), "", 'Data Entry'!$Ý$616)</f>
      </c>
      <c r="FB616">
        <f>IF(ISBLANK('Data Entry'!$Þ$616), "", 'Data Entry'!$Þ$616)</f>
      </c>
      <c r="FC616">
        <f>IF(ISBLANK('Data Entry'!$ß$616), "", 'Data Entry'!$ß$616)</f>
      </c>
      <c r="FD616">
        <f>IF(ISBLANK('Data Entry'!$à$616), "", 'Data Entry'!$à$616)</f>
      </c>
      <c r="FE616">
        <f>IF(ISBLANK('Data Entry'!$á$616), "", 'Data Entry'!$á$616)</f>
      </c>
      <c r="FF616">
        <f>IF(ISBLANK('Data Entry'!$â$616), "", 'Data Entry'!$â$616)</f>
      </c>
      <c r="FG616">
        <f>IF(ISBLANK('Data Entry'!$ã$616), "", 'Data Entry'!$ã$616)</f>
      </c>
      <c r="FH616">
        <f>IF(ISBLANK('Data Entry'!$ä$616), "", 'Data Entry'!$ä$616)</f>
      </c>
      <c r="FI616">
        <f>IF(ISBLANK('Data Entry'!$å$616), "", 'Data Entry'!$å$616)</f>
      </c>
      <c r="FJ616">
        <f>IF(ISBLANK('Data Entry'!$æ$616), "", 'Data Entry'!$æ$616)</f>
      </c>
      <c r="FK616">
        <f>IF(ISBLANK('Data Entry'!$ç$616), "", 'Data Entry'!$ç$616)</f>
      </c>
      <c r="FL616">
        <f>IF(ISBLANK('Data Entry'!$è$616), "", 'Data Entry'!$è$616)</f>
      </c>
      <c r="FM616">
        <f>IF(ISBLANK('Data Entry'!$é$616), "", 'Data Entry'!$é$616)</f>
      </c>
      <c r="FN616">
        <f>IF(ISBLANK('Data Entry'!$ê$616), "", 'Data Entry'!$ê$616)</f>
      </c>
      <c r="FO616">
        <f>IF(ISBLANK('Data Entry'!$ë$616), "", 'Data Entry'!$ë$616)</f>
      </c>
      <c r="FP616">
        <f>IF(ISBLANK('Data Entry'!$ì$616), "", 'Data Entry'!$ì$616)</f>
      </c>
      <c r="FQ616">
        <f>IF(ISBLANK('Data Entry'!$í$616), "", 'Data Entry'!$í$616)</f>
      </c>
      <c r="FR616">
        <f>IF(ISBLANK('Data Entry'!$î$616), "", 'Data Entry'!$î$616)</f>
      </c>
      <c r="FS616">
        <f>IF(ISBLANK('Data Entry'!$ï$616), "", 'Data Entry'!$ï$616)</f>
      </c>
      <c r="FT616">
        <f>IF(ISBLANK('Data Entry'!$ð$616), "", 'Data Entry'!$ð$616)</f>
      </c>
      <c r="FU616">
        <f>IF(ISBLANK('Data Entry'!$ñ$616), "", 'Data Entry'!$ñ$616)</f>
      </c>
      <c r="FV616">
        <f>IF(ISBLANK('Data Entry'!$ò$616), "", 'Data Entry'!$ò$616)</f>
      </c>
      <c r="FW616">
        <f>IF(ISBLANK('Data Entry'!$ó$616), "", 'Data Entry'!$ó$616)</f>
      </c>
      <c r="FX616">
        <f>IF(ISBLANK('Data Entry'!$ô$616), "", 'Data Entry'!$ô$616)</f>
      </c>
      <c r="FY616">
        <f>IF(ISBLANK('Data Entry'!$õ$616), "", 'Data Entry'!$õ$616)</f>
      </c>
      <c r="FZ616">
        <f>IF(ISBLANK('Data Entry'!$ö$616), "", 'Data Entry'!$ö$616)</f>
      </c>
      <c r="GA616">
        <f>IF(ISBLANK('Data Entry'!$÷$616), "", 'Data Entry'!$÷$616)</f>
      </c>
      <c r="GB616">
        <f>IF(ISBLANK('Data Entry'!$ø$616), "", 'Data Entry'!$ø$616)</f>
      </c>
      <c r="GC616">
        <f>IF(ISBLANK('Data Entry'!$ù$616), "", 'Data Entry'!$ù$616)</f>
      </c>
      <c r="GD616">
        <f>IF(ISBLANK('Data Entry'!$ú$616), "", 'Data Entry'!$ú$616)</f>
      </c>
      <c r="GE616">
        <f>IF(ISBLANK('Data Entry'!$û$616), "", 'Data Entry'!$û$616)</f>
      </c>
      <c r="GF616">
        <f>IF(ISBLANK('Data Entry'!$ü$616), "", 'Data Entry'!$ü$616)</f>
      </c>
      <c r="GG616">
        <f>IF(ISBLANK('Data Entry'!$ý$616), "", 'Data Entry'!$ý$616)</f>
      </c>
      <c r="GH616">
        <f>IF(ISBLANK('Data Entry'!$þ$616), "", 'Data Entry'!$þ$616)</f>
      </c>
      <c r="GI616">
        <f>IF(ISBLANK('Data Entry'!$ÿ$616), "", 'Data Entry'!$ÿ$616)</f>
      </c>
      <c r="GJ616">
        <f>IF(ISBLANK('Data Entry'!$Ā$616), "", 'Data Entry'!$Ā$616)</f>
      </c>
      <c r="GK616">
        <f>IF(ISBLANK('Data Entry'!$ā$616), "", 'Data Entry'!$ā$616)</f>
      </c>
      <c r="GL616">
        <f>IF(ISBLANK('Data Entry'!$Ă$616), "", 'Data Entry'!$Ă$616)</f>
      </c>
      <c r="GM616">
        <f>IF(ISBLANK('Data Entry'!$ă$616), "", 'Data Entry'!$ă$616)</f>
      </c>
      <c r="GN616">
        <f>IF(ISBLANK('Data Entry'!$Ą$616), "", 'Data Entry'!$Ą$616)</f>
      </c>
      <c r="GO616">
        <f>IF(ISBLANK('Data Entry'!$ą$616), "", 'Data Entry'!$ą$616)</f>
      </c>
      <c r="GP616">
        <f>IF(ISBLANK('Data Entry'!$Ć$616), "", 'Data Entry'!$Ć$616)</f>
      </c>
      <c r="GQ616">
        <f>IF(ISBLANK('Data Entry'!$ć$616), "", 'Data Entry'!$ć$616)</f>
      </c>
      <c r="GR616">
        <f>IF(ISBLANK('Data Entry'!$Ĉ$616), "", 'Data Entry'!$Ĉ$616)</f>
      </c>
      <c r="GS616">
        <f>IF(ISBLANK('Data Entry'!$ĉ$616), "", 'Data Entry'!$ĉ$616)</f>
      </c>
      <c r="GT616">
        <f>IF(ISBLANK('Data Entry'!$Ċ$616), "", 'Data Entry'!$Ċ$616)</f>
      </c>
      <c r="GU616">
        <f>IF(ISBLANK('Data Entry'!$ċ$616), "", 'Data Entry'!$ċ$616)</f>
      </c>
      <c r="GV616">
        <f>IF(ISBLANK('Data Entry'!$Č$616), "", 'Data Entry'!$Č$616)</f>
      </c>
      <c r="GW616">
        <f>IF(ISBLANK('Data Entry'!$č$616), "", 'Data Entry'!$č$616)</f>
      </c>
      <c r="GX616">
        <f>IF(ISBLANK('Data Entry'!$Ď$616), "", 'Data Entry'!$Ď$616)</f>
      </c>
      <c r="GY616">
        <f>IF(ISBLANK('Data Entry'!$ď$616), "", 'Data Entry'!$ď$616)</f>
      </c>
      <c r="GZ616">
        <f>IF(ISBLANK('Data Entry'!$Đ$616), "", 'Data Entry'!$Đ$616)</f>
      </c>
      <c r="HA616">
        <f>IF(ISBLANK('Data Entry'!$đ$616), "", 'Data Entry'!$đ$616)</f>
      </c>
      <c r="HB616">
        <f>IF(ISBLANK('Data Entry'!$Ē$616), "", 'Data Entry'!$Ē$616)</f>
      </c>
      <c r="HC616">
        <f>IF(ISBLANK('Data Entry'!$ē$616), "", 'Data Entry'!$ē$616)</f>
      </c>
      <c r="HD616">
        <f>IF(ISBLANK('Data Entry'!$Ĕ$616), "", 'Data Entry'!$Ĕ$616)</f>
      </c>
      <c r="HE616">
        <f>IF(ISBLANK('Data Entry'!$ĕ$616), "", 'Data Entry'!$ĕ$616)</f>
      </c>
      <c r="HF616">
        <f>IF(ISBLANK('Data Entry'!$Ė$616), "", 'Data Entry'!$Ė$616)</f>
      </c>
      <c r="HG616">
        <f>IF(ISBLANK('Data Entry'!$ė$616), "", 'Data Entry'!$ė$616)</f>
      </c>
      <c r="HH616">
        <f>IF(ISBLANK('Data Entry'!$Ę$616), "", 'Data Entry'!$Ę$616)</f>
      </c>
      <c r="HI616">
        <f>IF(ISBLANK('Data Entry'!$ę$616), "", 'Data Entry'!$ę$616)</f>
      </c>
      <c r="HJ616">
        <f>IF(ISBLANK('Data Entry'!$Ě$616), "", 'Data Entry'!$Ě$616)</f>
      </c>
      <c r="HK616">
        <f>IF(ISBLANK('Data Entry'!$ě$616), "", 'Data Entry'!$ě$616)</f>
      </c>
      <c r="HL616">
        <f>IF(ISBLANK('Data Entry'!$Ĝ$616), "", 'Data Entry'!$Ĝ$616)</f>
      </c>
      <c r="HM616">
        <f>IF(ISBLANK('Data Entry'!$ĝ$616), "", 'Data Entry'!$ĝ$616)</f>
      </c>
      <c r="HN616">
        <f>IF(ISBLANK('Data Entry'!$Ğ$616), "", 'Data Entry'!$Ğ$616)</f>
      </c>
      <c r="HO616">
        <f>IF(ISBLANK('Data Entry'!$ğ$616), "", 'Data Entry'!$ğ$616)</f>
      </c>
      <c r="HP616">
        <f>IF(ISBLANK('Data Entry'!$Ġ$616), "", 'Data Entry'!$Ġ$616)</f>
      </c>
      <c r="HQ616">
        <f>IF(ISBLANK('Data Entry'!$ġ$616), "", 'Data Entry'!$ġ$616)</f>
      </c>
      <c r="HR616">
        <f>IF(ISBLANK('Data Entry'!$Ģ$616), "", 'Data Entry'!$Ģ$616)</f>
      </c>
      <c r="HS616">
        <f>IF(ISBLANK('Data Entry'!$ģ$616), "", 'Data Entry'!$ģ$616)</f>
      </c>
      <c r="HT616">
        <f>IF(ISBLANK('Data Entry'!$Ĥ$616), "", 'Data Entry'!$Ĥ$616)</f>
      </c>
      <c r="HU616">
        <f>IF(ISBLANK('Data Entry'!$ĥ$616), "", 'Data Entry'!$ĥ$616)</f>
      </c>
      <c r="HV616">
        <f>IF(ISBLANK('Data Entry'!$Ħ$616), "", 'Data Entry'!$Ħ$616)</f>
      </c>
      <c r="HW616">
        <f>IF(ISBLANK('Data Entry'!$ħ$616), "", 'Data Entry'!$ħ$616)</f>
      </c>
      <c r="HX616">
        <f>IF(ISBLANK('Data Entry'!$Ĩ$616), "", 'Data Entry'!$Ĩ$616)</f>
      </c>
      <c r="HY616">
        <f>IF(ISBLANK('Data Entry'!$ĩ$616), "", 'Data Entry'!$ĩ$616)</f>
      </c>
      <c r="HZ616">
        <f>IF(ISBLANK('Data Entry'!$Ī$616), "", 'Data Entry'!$Ī$616)</f>
      </c>
      <c r="IA616">
        <f>IF(ISBLANK('Data Entry'!$ī$616), "", 'Data Entry'!$ī$616)</f>
      </c>
      <c r="IB616">
        <f>IF(ISBLANK('Data Entry'!$Ĭ$616), "", 'Data Entry'!$Ĭ$616)</f>
      </c>
      <c r="IC616">
        <f>IF(ISBLANK('Data Entry'!$ĭ$616), "", 'Data Entry'!$ĭ$616)</f>
      </c>
      <c r="ID616">
        <f>IF(ISBLANK('Data Entry'!$Į$616), "", 'Data Entry'!$Į$616)</f>
      </c>
      <c r="IE616">
        <f>IF(ISBLANK('Data Entry'!$į$616), "", 'Data Entry'!$į$616)</f>
      </c>
      <c r="IF616">
        <f>IF(ISBLANK('Data Entry'!$İ$616), "", 'Data Entry'!$İ$616)</f>
      </c>
      <c r="IG616">
        <f>IF(ISBLANK('Data Entry'!$ı$616), "", 'Data Entry'!$ı$616)</f>
      </c>
      <c r="IH616">
        <f>IF(ISBLANK('Data Entry'!$Ĳ$616), "", 'Data Entry'!$Ĳ$616)</f>
      </c>
      <c r="II616">
        <f>IF(ISBLANK('Data Entry'!$ĳ$616), "", 'Data Entry'!$ĳ$616)</f>
      </c>
      <c r="IJ616">
        <f>IF(ISBLANK('Data Entry'!$Ĵ$616), "", 'Data Entry'!$Ĵ$616)</f>
      </c>
      <c r="IK616">
        <f>IF(ISBLANK('Data Entry'!$ĵ$616), "", 'Data Entry'!$ĵ$616)</f>
      </c>
      <c r="IL616">
        <f>IF(ISBLANK('Data Entry'!$Ķ$616), "", 'Data Entry'!$Ķ$616)</f>
      </c>
      <c r="IM616">
        <f>IF(ISBLANK('Data Entry'!$ķ$616), "", 'Data Entry'!$ķ$616)</f>
      </c>
      <c r="IN616">
        <f>IF(ISBLANK('Data Entry'!$ĸ$616), "", 'Data Entry'!$ĸ$616)</f>
      </c>
      <c r="IO616">
        <f>IF(ISBLANK('Data Entry'!$Ĺ$616), "", 'Data Entry'!$Ĺ$616)</f>
      </c>
      <c r="IP616">
        <f>IF(ISBLANK('Data Entry'!$ĺ$616), "", 'Data Entry'!$ĺ$616)</f>
      </c>
      <c r="IQ616">
        <f>IF(ISBLANK('Data Entry'!$Ļ$616), "", 'Data Entry'!$Ļ$616)</f>
      </c>
      <c r="IR616">
        <f>IF(ISBLANK('Data Entry'!$ļ$616), "", 'Data Entry'!$ļ$616)</f>
      </c>
      <c r="IS616">
        <f>IF(ISBLANK('Data Entry'!$Ľ$616), "", 'Data Entry'!$Ľ$616)</f>
      </c>
      <c r="IT616">
        <f>IF(ISBLANK('Data Entry'!$ľ$616), "", 'Data Entry'!$ľ$616)</f>
      </c>
    </row>
    <row r="617" spans="1:254" x14ac:dyDescent="0.25">
      <c r="A617">
        <f>IF(ISBLANK('Data Entry'!$A$617), "", 'Data Entry'!$A$617)</f>
      </c>
      <c r="B617">
        <f>IF(ISBLANK('Data Entry'!$B$617), "", 'Data Entry'!$B$617)</f>
      </c>
      <c r="C617">
        <f>IF(ISBLANK('Data Entry'!$C$617), "", 'Data Entry'!$C$617)</f>
      </c>
      <c r="D617">
        <f>IF(ISBLANK('Data Entry'!$D$617), "", 'Data Entry'!$D$617)</f>
      </c>
      <c r="E617">
        <f>IF(ISBLANK('Data Entry'!$E$617), "", 'Data Entry'!$E$617)</f>
      </c>
      <c r="F617">
        <f>IF(ISBLANK('Data Entry'!$F$617), "", 'Data Entry'!$F$617)</f>
      </c>
      <c r="G617">
        <f>IF(ISBLANK('Data Entry'!$G$617), "", 'Data Entry'!$G$617)</f>
      </c>
      <c r="H617">
        <f>IF(ISBLANK('Data Entry'!$H$617), "", 'Data Entry'!$H$617)</f>
      </c>
      <c r="I617">
        <f>IF(ISBLANK('Data Entry'!$I$617), "", 'Data Entry'!$I$617)</f>
      </c>
      <c r="J617">
        <f>IF(ISBLANK('Data Entry'!$J$617), "", 'Data Entry'!$J$617)</f>
      </c>
      <c r="K617">
        <f>IF(ISBLANK('Data Entry'!$K$617), "", 'Data Entry'!$K$617)</f>
      </c>
      <c r="L617">
        <f>IF(ISBLANK('Data Entry'!$L$617), "", 'Data Entry'!$L$617)</f>
      </c>
      <c r="M617">
        <f>IF(ISBLANK('Data Entry'!$M$617), "", 'Data Entry'!$M$617)</f>
      </c>
      <c r="N617">
        <f>IF(ISBLANK('Data Entry'!$N$617), "", 'Data Entry'!$N$617)</f>
      </c>
      <c r="O617">
        <f>IF(ISBLANK('Data Entry'!$O$617), "", 'Data Entry'!$O$617)</f>
      </c>
      <c r="P617">
        <f>IF(ISBLANK('Data Entry'!$P$617), "", 'Data Entry'!$P$617)</f>
      </c>
      <c r="Q617">
        <f>IF(ISBLANK('Data Entry'!$Q$617), "", 'Data Entry'!$Q$617)</f>
      </c>
      <c r="R617">
        <f>IF(ISBLANK('Data Entry'!$R$617), "", 'Data Entry'!$R$617)</f>
      </c>
      <c r="S617">
        <f>IF(ISBLANK('Data Entry'!$S$617), "", 'Data Entry'!$S$617)</f>
      </c>
      <c r="T617">
        <f>IF(ISBLANK('Data Entry'!$T$617), "", 'Data Entry'!$T$617)</f>
      </c>
      <c r="U617">
        <f>IF(ISBLANK('Data Entry'!$U$617), "", 'Data Entry'!$U$617)</f>
      </c>
      <c r="V617">
        <f>IF(ISBLANK('Data Entry'!$V$617), "", 'Data Entry'!$V$617)</f>
      </c>
      <c r="W617">
        <f>IF(ISBLANK('Data Entry'!$W$617), "", 'Data Entry'!$W$617)</f>
      </c>
      <c r="X617">
        <f>IF(ISBLANK('Data Entry'!$X$617), "", 'Data Entry'!$X$617)</f>
      </c>
      <c r="Y617">
        <f>IF(ISBLANK('Data Entry'!$Y$617), "", 'Data Entry'!$Y$617)</f>
      </c>
      <c r="Z617">
        <f>IF(ISBLANK('Data Entry'!$Z$617), "", 'Data Entry'!$Z$617)</f>
      </c>
      <c r="AA617">
        <f>IF(ISBLANK('Data Entry'!$[$617), "", 'Data Entry'!$[$617)</f>
      </c>
      <c r="AB617">
        <f>IF(ISBLANK('Data Entry'!$\$617), "", 'Data Entry'!$\$617)</f>
      </c>
      <c r="AC617">
        <f>IF(ISBLANK('Data Entry'!$]$617), "", 'Data Entry'!$]$617)</f>
      </c>
      <c r="AD617">
        <f>IF(ISBLANK('Data Entry'!$^$617), "", 'Data Entry'!$^$617)</f>
      </c>
      <c r="AE617">
        <f>IF(ISBLANK('Data Entry'!$_$617), "", 'Data Entry'!$_$617)</f>
      </c>
      <c r="AF617">
        <f>IF(ISBLANK('Data Entry'!$`$617), "", 'Data Entry'!$`$617)</f>
      </c>
      <c r="AG617">
        <f>IF(ISBLANK('Data Entry'!$a$617), "", 'Data Entry'!$a$617)</f>
      </c>
      <c r="AH617">
        <f>IF(ISBLANK('Data Entry'!$b$617), "", 'Data Entry'!$b$617)</f>
      </c>
      <c r="AI617">
        <f>IF(ISBLANK('Data Entry'!$c$617), "", 'Data Entry'!$c$617)</f>
      </c>
      <c r="AJ617">
        <f>IF(ISBLANK('Data Entry'!$d$617), "", 'Data Entry'!$d$617)</f>
      </c>
      <c r="AK617">
        <f>IF(ISBLANK('Data Entry'!$e$617), "", 'Data Entry'!$e$617)</f>
      </c>
      <c r="AL617">
        <f>IF(ISBLANK('Data Entry'!$f$617), "", 'Data Entry'!$f$617)</f>
      </c>
      <c r="AM617">
        <f>IF(ISBLANK('Data Entry'!$g$617), "", 'Data Entry'!$g$617)</f>
      </c>
      <c r="AN617">
        <f>IF(ISBLANK('Data Entry'!$h$617), "", 'Data Entry'!$h$617)</f>
      </c>
      <c r="AO617">
        <f>IF(ISBLANK('Data Entry'!$i$617), "", 'Data Entry'!$i$617)</f>
      </c>
      <c r="AP617">
        <f>IF(ISBLANK('Data Entry'!$j$617), "", 'Data Entry'!$j$617)</f>
      </c>
      <c r="AQ617">
        <f>IF(ISBLANK('Data Entry'!$k$617), "", 'Data Entry'!$k$617)</f>
      </c>
      <c r="AR617">
        <f>IF(ISBLANK('Data Entry'!$l$617), "", 'Data Entry'!$l$617)</f>
      </c>
      <c r="AS617">
        <f>IF(ISBLANK('Data Entry'!$m$617), "", 'Data Entry'!$m$617)</f>
      </c>
      <c r="AT617">
        <f>IF(ISBLANK('Data Entry'!$n$617), "", 'Data Entry'!$n$617)</f>
      </c>
      <c r="AU617">
        <f>IF(ISBLANK('Data Entry'!$o$617), "", 'Data Entry'!$o$617)</f>
      </c>
      <c r="AV617">
        <f>IF(ISBLANK('Data Entry'!$p$617), "", 'Data Entry'!$p$617)</f>
      </c>
      <c r="AW617">
        <f>IF(ISBLANK('Data Entry'!$q$617), "", 'Data Entry'!$q$617)</f>
      </c>
      <c r="AX617">
        <f>IF(ISBLANK('Data Entry'!$r$617), "", 'Data Entry'!$r$617)</f>
      </c>
      <c r="AY617">
        <f>IF(ISBLANK('Data Entry'!$s$617), "", 'Data Entry'!$s$617)</f>
      </c>
      <c r="AZ617">
        <f>IF(ISBLANK('Data Entry'!$t$617), "", 'Data Entry'!$t$617)</f>
      </c>
      <c r="BA617">
        <f>IF(ISBLANK('Data Entry'!$u$617), "", 'Data Entry'!$u$617)</f>
      </c>
      <c r="BB617">
        <f>IF(ISBLANK('Data Entry'!$v$617), "", 'Data Entry'!$v$617)</f>
      </c>
      <c r="BC617">
        <f>IF(ISBLANK('Data Entry'!$w$617), "", 'Data Entry'!$w$617)</f>
      </c>
      <c r="BD617">
        <f>IF(ISBLANK('Data Entry'!$x$617), "", 'Data Entry'!$x$617)</f>
      </c>
      <c r="BE617">
        <f>IF(ISBLANK('Data Entry'!$y$617), "", 'Data Entry'!$y$617)</f>
      </c>
      <c r="BF617">
        <f>IF(ISBLANK('Data Entry'!$z$617), "", 'Data Entry'!$z$617)</f>
      </c>
      <c r="BG617">
        <f>IF(ISBLANK('Data Entry'!${$617), "", 'Data Entry'!${$617)</f>
      </c>
      <c r="BH617">
        <f>IF(ISBLANK('Data Entry'!$|$617), "", 'Data Entry'!$|$617)</f>
      </c>
      <c r="BI617">
        <f>IF(ISBLANK('Data Entry'!$}$617), "", 'Data Entry'!$}$617)</f>
      </c>
      <c r="BJ617">
        <f>IF(ISBLANK('Data Entry'!$~$617), "", 'Data Entry'!$~$617)</f>
      </c>
      <c r="BK617">
        <f>IF(ISBLANK('Data Entry'!$$617), "", 'Data Entry'!$$617)</f>
      </c>
      <c r="BL617">
        <f>IF(ISBLANK('Data Entry'!$$617), "", 'Data Entry'!$$617)</f>
      </c>
      <c r="BM617">
        <f>IF(ISBLANK('Data Entry'!$$617), "", 'Data Entry'!$$617)</f>
      </c>
      <c r="BN617">
        <f>IF(ISBLANK('Data Entry'!$$617), "", 'Data Entry'!$$617)</f>
      </c>
      <c r="BO617">
        <f>IF(ISBLANK('Data Entry'!$$617), "", 'Data Entry'!$$617)</f>
      </c>
      <c r="BP617">
        <f>IF(ISBLANK('Data Entry'!$$617), "", 'Data Entry'!$$617)</f>
      </c>
      <c r="BQ617">
        <f>IF(ISBLANK('Data Entry'!$$617), "", 'Data Entry'!$$617)</f>
      </c>
      <c r="BR617">
        <f>IF(ISBLANK('Data Entry'!$$617), "", 'Data Entry'!$$617)</f>
      </c>
      <c r="BS617">
        <f>IF(ISBLANK('Data Entry'!$$617), "", 'Data Entry'!$$617)</f>
      </c>
      <c r="BT617">
        <f>IF(ISBLANK('Data Entry'!$$617), "", 'Data Entry'!$$617)</f>
      </c>
      <c r="BU617">
        <f>IF(ISBLANK('Data Entry'!$$617), "", 'Data Entry'!$$617)</f>
      </c>
      <c r="BV617">
        <f>IF(ISBLANK('Data Entry'!$$617), "", 'Data Entry'!$$617)</f>
      </c>
      <c r="BW617">
        <f>IF(ISBLANK('Data Entry'!$$617), "", 'Data Entry'!$$617)</f>
      </c>
      <c r="BX617">
        <f>IF(ISBLANK('Data Entry'!$$617), "", 'Data Entry'!$$617)</f>
      </c>
      <c r="BY617">
        <f>IF(ISBLANK('Data Entry'!$$617), "", 'Data Entry'!$$617)</f>
      </c>
      <c r="BZ617">
        <f>IF(ISBLANK('Data Entry'!$$617), "", 'Data Entry'!$$617)</f>
      </c>
      <c r="CA617">
        <f>IF(ISBLANK('Data Entry'!$$617), "", 'Data Entry'!$$617)</f>
      </c>
      <c r="CB617">
        <f>IF(ISBLANK('Data Entry'!$$617), "", 'Data Entry'!$$617)</f>
      </c>
      <c r="CC617">
        <f>IF(ISBLANK('Data Entry'!$$617), "", 'Data Entry'!$$617)</f>
      </c>
      <c r="CD617">
        <f>IF(ISBLANK('Data Entry'!$$617), "", 'Data Entry'!$$617)</f>
      </c>
      <c r="CE617">
        <f>IF(ISBLANK('Data Entry'!$$617), "", 'Data Entry'!$$617)</f>
      </c>
      <c r="CF617">
        <f>IF(ISBLANK('Data Entry'!$$617), "", 'Data Entry'!$$617)</f>
      </c>
      <c r="CG617">
        <f>IF(ISBLANK('Data Entry'!$$617), "", 'Data Entry'!$$617)</f>
      </c>
      <c r="CH617">
        <f>IF(ISBLANK('Data Entry'!$$617), "", 'Data Entry'!$$617)</f>
      </c>
      <c r="CI617">
        <f>IF(ISBLANK('Data Entry'!$$617), "", 'Data Entry'!$$617)</f>
      </c>
      <c r="CJ617">
        <f>IF(ISBLANK('Data Entry'!$$617), "", 'Data Entry'!$$617)</f>
      </c>
      <c r="CK617">
        <f>IF(ISBLANK('Data Entry'!$$617), "", 'Data Entry'!$$617)</f>
      </c>
      <c r="CL617">
        <f>IF(ISBLANK('Data Entry'!$$617), "", 'Data Entry'!$$617)</f>
      </c>
      <c r="CM617">
        <f>IF(ISBLANK('Data Entry'!$$617), "", 'Data Entry'!$$617)</f>
      </c>
      <c r="CN617">
        <f>IF(ISBLANK('Data Entry'!$$617), "", 'Data Entry'!$$617)</f>
      </c>
      <c r="CO617">
        <f>IF(ISBLANK('Data Entry'!$$617), "", 'Data Entry'!$$617)</f>
      </c>
      <c r="CP617">
        <f>IF(ISBLANK('Data Entry'!$$617), "", 'Data Entry'!$$617)</f>
      </c>
      <c r="CQ617">
        <f>IF(ISBLANK('Data Entry'!$$617), "", 'Data Entry'!$$617)</f>
      </c>
      <c r="CR617">
        <f>IF(ISBLANK('Data Entry'!$ $617), "", 'Data Entry'!$ $617)</f>
      </c>
      <c r="CS617">
        <f>IF(ISBLANK('Data Entry'!$¡$617), "", 'Data Entry'!$¡$617)</f>
      </c>
      <c r="CT617">
        <f>IF(ISBLANK('Data Entry'!$¢$617), "", 'Data Entry'!$¢$617)</f>
      </c>
      <c r="CU617">
        <f>IF(ISBLANK('Data Entry'!$£$617), "", 'Data Entry'!$£$617)</f>
      </c>
      <c r="CV617">
        <f>IF(ISBLANK('Data Entry'!$¤$617), "", 'Data Entry'!$¤$617)</f>
      </c>
      <c r="CW617">
        <f>IF(ISBLANK('Data Entry'!$¥$617), "", 'Data Entry'!$¥$617)</f>
      </c>
      <c r="CX617">
        <f>IF(ISBLANK('Data Entry'!$¦$617), "", 'Data Entry'!$¦$617)</f>
      </c>
      <c r="CY617">
        <f>IF(ISBLANK('Data Entry'!$§$617), "", 'Data Entry'!$§$617)</f>
      </c>
      <c r="CZ617">
        <f>IF(ISBLANK('Data Entry'!$¨$617), "", 'Data Entry'!$¨$617)</f>
      </c>
      <c r="DA617">
        <f>IF(ISBLANK('Data Entry'!$©$617), "", 'Data Entry'!$©$617)</f>
      </c>
      <c r="DB617">
        <f>IF(ISBLANK('Data Entry'!$ª$617), "", 'Data Entry'!$ª$617)</f>
      </c>
      <c r="DC617">
        <f>IF(ISBLANK('Data Entry'!$«$617), "", 'Data Entry'!$«$617)</f>
      </c>
      <c r="DD617">
        <f>IF(ISBLANK('Data Entry'!$¬$617), "", 'Data Entry'!$¬$617)</f>
      </c>
      <c r="DE617">
        <f>IF(ISBLANK('Data Entry'!$­$617), "", 'Data Entry'!$­$617)</f>
      </c>
      <c r="DF617">
        <f>IF(ISBLANK('Data Entry'!$®$617), "", 'Data Entry'!$®$617)</f>
      </c>
      <c r="DG617">
        <f>IF(ISBLANK('Data Entry'!$¯$617), "", 'Data Entry'!$¯$617)</f>
      </c>
      <c r="DH617">
        <f>IF(ISBLANK('Data Entry'!$°$617), "", 'Data Entry'!$°$617)</f>
      </c>
      <c r="DI617">
        <f>IF(ISBLANK('Data Entry'!$±$617), "", 'Data Entry'!$±$617)</f>
      </c>
      <c r="DJ617">
        <f>IF(ISBLANK('Data Entry'!$²$617), "", 'Data Entry'!$²$617)</f>
      </c>
      <c r="DK617">
        <f>IF(ISBLANK('Data Entry'!$³$617), "", 'Data Entry'!$³$617)</f>
      </c>
      <c r="DL617">
        <f>IF(ISBLANK('Data Entry'!$´$617), "", 'Data Entry'!$´$617)</f>
      </c>
      <c r="DM617">
        <f>IF(ISBLANK('Data Entry'!$µ$617), "", 'Data Entry'!$µ$617)</f>
      </c>
      <c r="DN617">
        <f>IF(ISBLANK('Data Entry'!$¶$617), "", 'Data Entry'!$¶$617)</f>
      </c>
      <c r="DO617">
        <f>IF(ISBLANK('Data Entry'!$·$617), "", 'Data Entry'!$·$617)</f>
      </c>
      <c r="DP617">
        <f>IF(ISBLANK('Data Entry'!$¸$617), "", 'Data Entry'!$¸$617)</f>
      </c>
      <c r="DQ617">
        <f>IF(ISBLANK('Data Entry'!$¹$617), "", 'Data Entry'!$¹$617)</f>
      </c>
      <c r="DR617">
        <f>IF(ISBLANK('Data Entry'!$º$617), "", 'Data Entry'!$º$617)</f>
      </c>
      <c r="DS617">
        <f>IF(ISBLANK('Data Entry'!$»$617), "", 'Data Entry'!$»$617)</f>
      </c>
      <c r="DT617">
        <f>IF(ISBLANK('Data Entry'!$¼$617), "", 'Data Entry'!$¼$617)</f>
      </c>
      <c r="DU617">
        <f>IF(ISBLANK('Data Entry'!$½$617), "", 'Data Entry'!$½$617)</f>
      </c>
      <c r="DV617">
        <f>IF(ISBLANK('Data Entry'!$¾$617), "", 'Data Entry'!$¾$617)</f>
      </c>
      <c r="DW617">
        <f>IF(ISBLANK('Data Entry'!$¿$617), "", 'Data Entry'!$¿$617)</f>
      </c>
      <c r="DX617">
        <f>IF(ISBLANK('Data Entry'!$À$617), "", 'Data Entry'!$À$617)</f>
      </c>
      <c r="DY617">
        <f>IF(ISBLANK('Data Entry'!$Á$617), "", 'Data Entry'!$Á$617)</f>
      </c>
      <c r="DZ617">
        <f>IF(ISBLANK('Data Entry'!$Â$617), "", 'Data Entry'!$Â$617)</f>
      </c>
      <c r="EA617">
        <f>IF(ISBLANK('Data Entry'!$Ã$617), "", 'Data Entry'!$Ã$617)</f>
      </c>
      <c r="EB617">
        <f>IF(ISBLANK('Data Entry'!$Ä$617), "", 'Data Entry'!$Ä$617)</f>
      </c>
      <c r="EC617">
        <f>IF(ISBLANK('Data Entry'!$Å$617), "", 'Data Entry'!$Å$617)</f>
      </c>
      <c r="ED617">
        <f>IF(ISBLANK('Data Entry'!$Æ$617), "", 'Data Entry'!$Æ$617)</f>
      </c>
      <c r="EE617">
        <f>IF(ISBLANK('Data Entry'!$Ç$617), "", 'Data Entry'!$Ç$617)</f>
      </c>
      <c r="EF617">
        <f>IF(ISBLANK('Data Entry'!$È$617), "", 'Data Entry'!$È$617)</f>
      </c>
      <c r="EG617">
        <f>IF(ISBLANK('Data Entry'!$É$617), "", 'Data Entry'!$É$617)</f>
      </c>
      <c r="EH617">
        <f>IF(ISBLANK('Data Entry'!$Ê$617), "", 'Data Entry'!$Ê$617)</f>
      </c>
      <c r="EI617">
        <f>IF(ISBLANK('Data Entry'!$Ë$617), "", 'Data Entry'!$Ë$617)</f>
      </c>
      <c r="EJ617">
        <f>IF(ISBLANK('Data Entry'!$Ì$617), "", 'Data Entry'!$Ì$617)</f>
      </c>
      <c r="EK617">
        <f>IF(ISBLANK('Data Entry'!$Í$617), "", 'Data Entry'!$Í$617)</f>
      </c>
      <c r="EL617">
        <f>IF(ISBLANK('Data Entry'!$Î$617), "", 'Data Entry'!$Î$617)</f>
      </c>
      <c r="EM617">
        <f>IF(ISBLANK('Data Entry'!$Ï$617), "", 'Data Entry'!$Ï$617)</f>
      </c>
      <c r="EN617">
        <f>IF(ISBLANK('Data Entry'!$Ð$617), "", 'Data Entry'!$Ð$617)</f>
      </c>
      <c r="EO617">
        <f>IF(ISBLANK('Data Entry'!$Ñ$617), "", 'Data Entry'!$Ñ$617)</f>
      </c>
      <c r="EP617">
        <f>IF(ISBLANK('Data Entry'!$Ò$617), "", 'Data Entry'!$Ò$617)</f>
      </c>
      <c r="EQ617">
        <f>IF(ISBLANK('Data Entry'!$Ó$617), "", 'Data Entry'!$Ó$617)</f>
      </c>
      <c r="ER617">
        <f>IF(ISBLANK('Data Entry'!$Ô$617), "", 'Data Entry'!$Ô$617)</f>
      </c>
      <c r="ES617">
        <f>IF(ISBLANK('Data Entry'!$Õ$617), "", 'Data Entry'!$Õ$617)</f>
      </c>
      <c r="ET617">
        <f>IF(ISBLANK('Data Entry'!$Ö$617), "", 'Data Entry'!$Ö$617)</f>
      </c>
      <c r="EU617">
        <f>IF(ISBLANK('Data Entry'!$×$617), "", 'Data Entry'!$×$617)</f>
      </c>
      <c r="EV617">
        <f>IF(ISBLANK('Data Entry'!$Ø$617), "", 'Data Entry'!$Ø$617)</f>
      </c>
      <c r="EW617">
        <f>IF(ISBLANK('Data Entry'!$Ù$617), "", 'Data Entry'!$Ù$617)</f>
      </c>
      <c r="EX617">
        <f>IF(ISBLANK('Data Entry'!$Ú$617), "", 'Data Entry'!$Ú$617)</f>
      </c>
      <c r="EY617">
        <f>IF(ISBLANK('Data Entry'!$Û$617), "", 'Data Entry'!$Û$617)</f>
      </c>
      <c r="EZ617">
        <f>IF(ISBLANK('Data Entry'!$Ü$617), "", 'Data Entry'!$Ü$617)</f>
      </c>
      <c r="FA617">
        <f>IF(ISBLANK('Data Entry'!$Ý$617), "", 'Data Entry'!$Ý$617)</f>
      </c>
      <c r="FB617">
        <f>IF(ISBLANK('Data Entry'!$Þ$617), "", 'Data Entry'!$Þ$617)</f>
      </c>
      <c r="FC617">
        <f>IF(ISBLANK('Data Entry'!$ß$617), "", 'Data Entry'!$ß$617)</f>
      </c>
      <c r="FD617">
        <f>IF(ISBLANK('Data Entry'!$à$617), "", 'Data Entry'!$à$617)</f>
      </c>
      <c r="FE617">
        <f>IF(ISBLANK('Data Entry'!$á$617), "", 'Data Entry'!$á$617)</f>
      </c>
      <c r="FF617">
        <f>IF(ISBLANK('Data Entry'!$â$617), "", 'Data Entry'!$â$617)</f>
      </c>
      <c r="FG617">
        <f>IF(ISBLANK('Data Entry'!$ã$617), "", 'Data Entry'!$ã$617)</f>
      </c>
      <c r="FH617">
        <f>IF(ISBLANK('Data Entry'!$ä$617), "", 'Data Entry'!$ä$617)</f>
      </c>
      <c r="FI617">
        <f>IF(ISBLANK('Data Entry'!$å$617), "", 'Data Entry'!$å$617)</f>
      </c>
      <c r="FJ617">
        <f>IF(ISBLANK('Data Entry'!$æ$617), "", 'Data Entry'!$æ$617)</f>
      </c>
      <c r="FK617">
        <f>IF(ISBLANK('Data Entry'!$ç$617), "", 'Data Entry'!$ç$617)</f>
      </c>
      <c r="FL617">
        <f>IF(ISBLANK('Data Entry'!$è$617), "", 'Data Entry'!$è$617)</f>
      </c>
      <c r="FM617">
        <f>IF(ISBLANK('Data Entry'!$é$617), "", 'Data Entry'!$é$617)</f>
      </c>
      <c r="FN617">
        <f>IF(ISBLANK('Data Entry'!$ê$617), "", 'Data Entry'!$ê$617)</f>
      </c>
      <c r="FO617">
        <f>IF(ISBLANK('Data Entry'!$ë$617), "", 'Data Entry'!$ë$617)</f>
      </c>
      <c r="FP617">
        <f>IF(ISBLANK('Data Entry'!$ì$617), "", 'Data Entry'!$ì$617)</f>
      </c>
      <c r="FQ617">
        <f>IF(ISBLANK('Data Entry'!$í$617), "", 'Data Entry'!$í$617)</f>
      </c>
      <c r="FR617">
        <f>IF(ISBLANK('Data Entry'!$î$617), "", 'Data Entry'!$î$617)</f>
      </c>
      <c r="FS617">
        <f>IF(ISBLANK('Data Entry'!$ï$617), "", 'Data Entry'!$ï$617)</f>
      </c>
      <c r="FT617">
        <f>IF(ISBLANK('Data Entry'!$ð$617), "", 'Data Entry'!$ð$617)</f>
      </c>
      <c r="FU617">
        <f>IF(ISBLANK('Data Entry'!$ñ$617), "", 'Data Entry'!$ñ$617)</f>
      </c>
      <c r="FV617">
        <f>IF(ISBLANK('Data Entry'!$ò$617), "", 'Data Entry'!$ò$617)</f>
      </c>
      <c r="FW617">
        <f>IF(ISBLANK('Data Entry'!$ó$617), "", 'Data Entry'!$ó$617)</f>
      </c>
      <c r="FX617">
        <f>IF(ISBLANK('Data Entry'!$ô$617), "", 'Data Entry'!$ô$617)</f>
      </c>
      <c r="FY617">
        <f>IF(ISBLANK('Data Entry'!$õ$617), "", 'Data Entry'!$õ$617)</f>
      </c>
      <c r="FZ617">
        <f>IF(ISBLANK('Data Entry'!$ö$617), "", 'Data Entry'!$ö$617)</f>
      </c>
      <c r="GA617">
        <f>IF(ISBLANK('Data Entry'!$÷$617), "", 'Data Entry'!$÷$617)</f>
      </c>
      <c r="GB617">
        <f>IF(ISBLANK('Data Entry'!$ø$617), "", 'Data Entry'!$ø$617)</f>
      </c>
      <c r="GC617">
        <f>IF(ISBLANK('Data Entry'!$ù$617), "", 'Data Entry'!$ù$617)</f>
      </c>
      <c r="GD617">
        <f>IF(ISBLANK('Data Entry'!$ú$617), "", 'Data Entry'!$ú$617)</f>
      </c>
      <c r="GE617">
        <f>IF(ISBLANK('Data Entry'!$û$617), "", 'Data Entry'!$û$617)</f>
      </c>
      <c r="GF617">
        <f>IF(ISBLANK('Data Entry'!$ü$617), "", 'Data Entry'!$ü$617)</f>
      </c>
      <c r="GG617">
        <f>IF(ISBLANK('Data Entry'!$ý$617), "", 'Data Entry'!$ý$617)</f>
      </c>
      <c r="GH617">
        <f>IF(ISBLANK('Data Entry'!$þ$617), "", 'Data Entry'!$þ$617)</f>
      </c>
      <c r="GI617">
        <f>IF(ISBLANK('Data Entry'!$ÿ$617), "", 'Data Entry'!$ÿ$617)</f>
      </c>
      <c r="GJ617">
        <f>IF(ISBLANK('Data Entry'!$Ā$617), "", 'Data Entry'!$Ā$617)</f>
      </c>
      <c r="GK617">
        <f>IF(ISBLANK('Data Entry'!$ā$617), "", 'Data Entry'!$ā$617)</f>
      </c>
      <c r="GL617">
        <f>IF(ISBLANK('Data Entry'!$Ă$617), "", 'Data Entry'!$Ă$617)</f>
      </c>
      <c r="GM617">
        <f>IF(ISBLANK('Data Entry'!$ă$617), "", 'Data Entry'!$ă$617)</f>
      </c>
      <c r="GN617">
        <f>IF(ISBLANK('Data Entry'!$Ą$617), "", 'Data Entry'!$Ą$617)</f>
      </c>
      <c r="GO617">
        <f>IF(ISBLANK('Data Entry'!$ą$617), "", 'Data Entry'!$ą$617)</f>
      </c>
      <c r="GP617">
        <f>IF(ISBLANK('Data Entry'!$Ć$617), "", 'Data Entry'!$Ć$617)</f>
      </c>
      <c r="GQ617">
        <f>IF(ISBLANK('Data Entry'!$ć$617), "", 'Data Entry'!$ć$617)</f>
      </c>
      <c r="GR617">
        <f>IF(ISBLANK('Data Entry'!$Ĉ$617), "", 'Data Entry'!$Ĉ$617)</f>
      </c>
      <c r="GS617">
        <f>IF(ISBLANK('Data Entry'!$ĉ$617), "", 'Data Entry'!$ĉ$617)</f>
      </c>
      <c r="GT617">
        <f>IF(ISBLANK('Data Entry'!$Ċ$617), "", 'Data Entry'!$Ċ$617)</f>
      </c>
      <c r="GU617">
        <f>IF(ISBLANK('Data Entry'!$ċ$617), "", 'Data Entry'!$ċ$617)</f>
      </c>
      <c r="GV617">
        <f>IF(ISBLANK('Data Entry'!$Č$617), "", 'Data Entry'!$Č$617)</f>
      </c>
      <c r="GW617">
        <f>IF(ISBLANK('Data Entry'!$č$617), "", 'Data Entry'!$č$617)</f>
      </c>
      <c r="GX617">
        <f>IF(ISBLANK('Data Entry'!$Ď$617), "", 'Data Entry'!$Ď$617)</f>
      </c>
      <c r="GY617">
        <f>IF(ISBLANK('Data Entry'!$ď$617), "", 'Data Entry'!$ď$617)</f>
      </c>
      <c r="GZ617">
        <f>IF(ISBLANK('Data Entry'!$Đ$617), "", 'Data Entry'!$Đ$617)</f>
      </c>
      <c r="HA617">
        <f>IF(ISBLANK('Data Entry'!$đ$617), "", 'Data Entry'!$đ$617)</f>
      </c>
      <c r="HB617">
        <f>IF(ISBLANK('Data Entry'!$Ē$617), "", 'Data Entry'!$Ē$617)</f>
      </c>
      <c r="HC617">
        <f>IF(ISBLANK('Data Entry'!$ē$617), "", 'Data Entry'!$ē$617)</f>
      </c>
      <c r="HD617">
        <f>IF(ISBLANK('Data Entry'!$Ĕ$617), "", 'Data Entry'!$Ĕ$617)</f>
      </c>
      <c r="HE617">
        <f>IF(ISBLANK('Data Entry'!$ĕ$617), "", 'Data Entry'!$ĕ$617)</f>
      </c>
      <c r="HF617">
        <f>IF(ISBLANK('Data Entry'!$Ė$617), "", 'Data Entry'!$Ė$617)</f>
      </c>
      <c r="HG617">
        <f>IF(ISBLANK('Data Entry'!$ė$617), "", 'Data Entry'!$ė$617)</f>
      </c>
      <c r="HH617">
        <f>IF(ISBLANK('Data Entry'!$Ę$617), "", 'Data Entry'!$Ę$617)</f>
      </c>
      <c r="HI617">
        <f>IF(ISBLANK('Data Entry'!$ę$617), "", 'Data Entry'!$ę$617)</f>
      </c>
      <c r="HJ617">
        <f>IF(ISBLANK('Data Entry'!$Ě$617), "", 'Data Entry'!$Ě$617)</f>
      </c>
      <c r="HK617">
        <f>IF(ISBLANK('Data Entry'!$ě$617), "", 'Data Entry'!$ě$617)</f>
      </c>
      <c r="HL617">
        <f>IF(ISBLANK('Data Entry'!$Ĝ$617), "", 'Data Entry'!$Ĝ$617)</f>
      </c>
      <c r="HM617">
        <f>IF(ISBLANK('Data Entry'!$ĝ$617), "", 'Data Entry'!$ĝ$617)</f>
      </c>
      <c r="HN617">
        <f>IF(ISBLANK('Data Entry'!$Ğ$617), "", 'Data Entry'!$Ğ$617)</f>
      </c>
      <c r="HO617">
        <f>IF(ISBLANK('Data Entry'!$ğ$617), "", 'Data Entry'!$ğ$617)</f>
      </c>
      <c r="HP617">
        <f>IF(ISBLANK('Data Entry'!$Ġ$617), "", 'Data Entry'!$Ġ$617)</f>
      </c>
      <c r="HQ617">
        <f>IF(ISBLANK('Data Entry'!$ġ$617), "", 'Data Entry'!$ġ$617)</f>
      </c>
      <c r="HR617">
        <f>IF(ISBLANK('Data Entry'!$Ģ$617), "", 'Data Entry'!$Ģ$617)</f>
      </c>
      <c r="HS617">
        <f>IF(ISBLANK('Data Entry'!$ģ$617), "", 'Data Entry'!$ģ$617)</f>
      </c>
      <c r="HT617">
        <f>IF(ISBLANK('Data Entry'!$Ĥ$617), "", 'Data Entry'!$Ĥ$617)</f>
      </c>
      <c r="HU617">
        <f>IF(ISBLANK('Data Entry'!$ĥ$617), "", 'Data Entry'!$ĥ$617)</f>
      </c>
      <c r="HV617">
        <f>IF(ISBLANK('Data Entry'!$Ħ$617), "", 'Data Entry'!$Ħ$617)</f>
      </c>
      <c r="HW617">
        <f>IF(ISBLANK('Data Entry'!$ħ$617), "", 'Data Entry'!$ħ$617)</f>
      </c>
      <c r="HX617">
        <f>IF(ISBLANK('Data Entry'!$Ĩ$617), "", 'Data Entry'!$Ĩ$617)</f>
      </c>
      <c r="HY617">
        <f>IF(ISBLANK('Data Entry'!$ĩ$617), "", 'Data Entry'!$ĩ$617)</f>
      </c>
      <c r="HZ617">
        <f>IF(ISBLANK('Data Entry'!$Ī$617), "", 'Data Entry'!$Ī$617)</f>
      </c>
      <c r="IA617">
        <f>IF(ISBLANK('Data Entry'!$ī$617), "", 'Data Entry'!$ī$617)</f>
      </c>
      <c r="IB617">
        <f>IF(ISBLANK('Data Entry'!$Ĭ$617), "", 'Data Entry'!$Ĭ$617)</f>
      </c>
      <c r="IC617">
        <f>IF(ISBLANK('Data Entry'!$ĭ$617), "", 'Data Entry'!$ĭ$617)</f>
      </c>
      <c r="ID617">
        <f>IF(ISBLANK('Data Entry'!$Į$617), "", 'Data Entry'!$Į$617)</f>
      </c>
      <c r="IE617">
        <f>IF(ISBLANK('Data Entry'!$į$617), "", 'Data Entry'!$į$617)</f>
      </c>
      <c r="IF617">
        <f>IF(ISBLANK('Data Entry'!$İ$617), "", 'Data Entry'!$İ$617)</f>
      </c>
      <c r="IG617">
        <f>IF(ISBLANK('Data Entry'!$ı$617), "", 'Data Entry'!$ı$617)</f>
      </c>
      <c r="IH617">
        <f>IF(ISBLANK('Data Entry'!$Ĳ$617), "", 'Data Entry'!$Ĳ$617)</f>
      </c>
      <c r="II617">
        <f>IF(ISBLANK('Data Entry'!$ĳ$617), "", 'Data Entry'!$ĳ$617)</f>
      </c>
      <c r="IJ617">
        <f>IF(ISBLANK('Data Entry'!$Ĵ$617), "", 'Data Entry'!$Ĵ$617)</f>
      </c>
      <c r="IK617">
        <f>IF(ISBLANK('Data Entry'!$ĵ$617), "", 'Data Entry'!$ĵ$617)</f>
      </c>
      <c r="IL617">
        <f>IF(ISBLANK('Data Entry'!$Ķ$617), "", 'Data Entry'!$Ķ$617)</f>
      </c>
      <c r="IM617">
        <f>IF(ISBLANK('Data Entry'!$ķ$617), "", 'Data Entry'!$ķ$617)</f>
      </c>
      <c r="IN617">
        <f>IF(ISBLANK('Data Entry'!$ĸ$617), "", 'Data Entry'!$ĸ$617)</f>
      </c>
      <c r="IO617">
        <f>IF(ISBLANK('Data Entry'!$Ĺ$617), "", 'Data Entry'!$Ĺ$617)</f>
      </c>
      <c r="IP617">
        <f>IF(ISBLANK('Data Entry'!$ĺ$617), "", 'Data Entry'!$ĺ$617)</f>
      </c>
      <c r="IQ617">
        <f>IF(ISBLANK('Data Entry'!$Ļ$617), "", 'Data Entry'!$Ļ$617)</f>
      </c>
      <c r="IR617">
        <f>IF(ISBLANK('Data Entry'!$ļ$617), "", 'Data Entry'!$ļ$617)</f>
      </c>
      <c r="IS617">
        <f>IF(ISBLANK('Data Entry'!$Ľ$617), "", 'Data Entry'!$Ľ$617)</f>
      </c>
      <c r="IT617">
        <f>IF(ISBLANK('Data Entry'!$ľ$617), "", 'Data Entry'!$ľ$617)</f>
      </c>
    </row>
    <row r="618" spans="1:254" x14ac:dyDescent="0.25">
      <c r="A618">
        <f>IF(ISBLANK('Data Entry'!$A$618), "", 'Data Entry'!$A$618)</f>
      </c>
      <c r="B618">
        <f>IF(ISBLANK('Data Entry'!$B$618), "", 'Data Entry'!$B$618)</f>
      </c>
      <c r="C618">
        <f>IF(ISBLANK('Data Entry'!$C$618), "", 'Data Entry'!$C$618)</f>
      </c>
      <c r="D618">
        <f>IF(ISBLANK('Data Entry'!$D$618), "", 'Data Entry'!$D$618)</f>
      </c>
      <c r="E618">
        <f>IF(ISBLANK('Data Entry'!$E$618), "", 'Data Entry'!$E$618)</f>
      </c>
      <c r="F618">
        <f>IF(ISBLANK('Data Entry'!$F$618), "", 'Data Entry'!$F$618)</f>
      </c>
      <c r="G618">
        <f>IF(ISBLANK('Data Entry'!$G$618), "", 'Data Entry'!$G$618)</f>
      </c>
      <c r="H618">
        <f>IF(ISBLANK('Data Entry'!$H$618), "", 'Data Entry'!$H$618)</f>
      </c>
      <c r="I618">
        <f>IF(ISBLANK('Data Entry'!$I$618), "", 'Data Entry'!$I$618)</f>
      </c>
      <c r="J618">
        <f>IF(ISBLANK('Data Entry'!$J$618), "", 'Data Entry'!$J$618)</f>
      </c>
      <c r="K618">
        <f>IF(ISBLANK('Data Entry'!$K$618), "", 'Data Entry'!$K$618)</f>
      </c>
      <c r="L618">
        <f>IF(ISBLANK('Data Entry'!$L$618), "", 'Data Entry'!$L$618)</f>
      </c>
      <c r="M618">
        <f>IF(ISBLANK('Data Entry'!$M$618), "", 'Data Entry'!$M$618)</f>
      </c>
      <c r="N618">
        <f>IF(ISBLANK('Data Entry'!$N$618), "", 'Data Entry'!$N$618)</f>
      </c>
      <c r="O618">
        <f>IF(ISBLANK('Data Entry'!$O$618), "", 'Data Entry'!$O$618)</f>
      </c>
      <c r="P618">
        <f>IF(ISBLANK('Data Entry'!$P$618), "", 'Data Entry'!$P$618)</f>
      </c>
      <c r="Q618">
        <f>IF(ISBLANK('Data Entry'!$Q$618), "", 'Data Entry'!$Q$618)</f>
      </c>
      <c r="R618">
        <f>IF(ISBLANK('Data Entry'!$R$618), "", 'Data Entry'!$R$618)</f>
      </c>
      <c r="S618">
        <f>IF(ISBLANK('Data Entry'!$S$618), "", 'Data Entry'!$S$618)</f>
      </c>
      <c r="T618">
        <f>IF(ISBLANK('Data Entry'!$T$618), "", 'Data Entry'!$T$618)</f>
      </c>
      <c r="U618">
        <f>IF(ISBLANK('Data Entry'!$U$618), "", 'Data Entry'!$U$618)</f>
      </c>
      <c r="V618">
        <f>IF(ISBLANK('Data Entry'!$V$618), "", 'Data Entry'!$V$618)</f>
      </c>
      <c r="W618">
        <f>IF(ISBLANK('Data Entry'!$W$618), "", 'Data Entry'!$W$618)</f>
      </c>
      <c r="X618">
        <f>IF(ISBLANK('Data Entry'!$X$618), "", 'Data Entry'!$X$618)</f>
      </c>
      <c r="Y618">
        <f>IF(ISBLANK('Data Entry'!$Y$618), "", 'Data Entry'!$Y$618)</f>
      </c>
      <c r="Z618">
        <f>IF(ISBLANK('Data Entry'!$Z$618), "", 'Data Entry'!$Z$618)</f>
      </c>
      <c r="AA618">
        <f>IF(ISBLANK('Data Entry'!$[$618), "", 'Data Entry'!$[$618)</f>
      </c>
      <c r="AB618">
        <f>IF(ISBLANK('Data Entry'!$\$618), "", 'Data Entry'!$\$618)</f>
      </c>
      <c r="AC618">
        <f>IF(ISBLANK('Data Entry'!$]$618), "", 'Data Entry'!$]$618)</f>
      </c>
      <c r="AD618">
        <f>IF(ISBLANK('Data Entry'!$^$618), "", 'Data Entry'!$^$618)</f>
      </c>
      <c r="AE618">
        <f>IF(ISBLANK('Data Entry'!$_$618), "", 'Data Entry'!$_$618)</f>
      </c>
      <c r="AF618">
        <f>IF(ISBLANK('Data Entry'!$`$618), "", 'Data Entry'!$`$618)</f>
      </c>
      <c r="AG618">
        <f>IF(ISBLANK('Data Entry'!$a$618), "", 'Data Entry'!$a$618)</f>
      </c>
      <c r="AH618">
        <f>IF(ISBLANK('Data Entry'!$b$618), "", 'Data Entry'!$b$618)</f>
      </c>
      <c r="AI618">
        <f>IF(ISBLANK('Data Entry'!$c$618), "", 'Data Entry'!$c$618)</f>
      </c>
      <c r="AJ618">
        <f>IF(ISBLANK('Data Entry'!$d$618), "", 'Data Entry'!$d$618)</f>
      </c>
      <c r="AK618">
        <f>IF(ISBLANK('Data Entry'!$e$618), "", 'Data Entry'!$e$618)</f>
      </c>
      <c r="AL618">
        <f>IF(ISBLANK('Data Entry'!$f$618), "", 'Data Entry'!$f$618)</f>
      </c>
      <c r="AM618">
        <f>IF(ISBLANK('Data Entry'!$g$618), "", 'Data Entry'!$g$618)</f>
      </c>
      <c r="AN618">
        <f>IF(ISBLANK('Data Entry'!$h$618), "", 'Data Entry'!$h$618)</f>
      </c>
      <c r="AO618">
        <f>IF(ISBLANK('Data Entry'!$i$618), "", 'Data Entry'!$i$618)</f>
      </c>
      <c r="AP618">
        <f>IF(ISBLANK('Data Entry'!$j$618), "", 'Data Entry'!$j$618)</f>
      </c>
      <c r="AQ618">
        <f>IF(ISBLANK('Data Entry'!$k$618), "", 'Data Entry'!$k$618)</f>
      </c>
      <c r="AR618">
        <f>IF(ISBLANK('Data Entry'!$l$618), "", 'Data Entry'!$l$618)</f>
      </c>
      <c r="AS618">
        <f>IF(ISBLANK('Data Entry'!$m$618), "", 'Data Entry'!$m$618)</f>
      </c>
      <c r="AT618">
        <f>IF(ISBLANK('Data Entry'!$n$618), "", 'Data Entry'!$n$618)</f>
      </c>
      <c r="AU618">
        <f>IF(ISBLANK('Data Entry'!$o$618), "", 'Data Entry'!$o$618)</f>
      </c>
      <c r="AV618">
        <f>IF(ISBLANK('Data Entry'!$p$618), "", 'Data Entry'!$p$618)</f>
      </c>
      <c r="AW618">
        <f>IF(ISBLANK('Data Entry'!$q$618), "", 'Data Entry'!$q$618)</f>
      </c>
      <c r="AX618">
        <f>IF(ISBLANK('Data Entry'!$r$618), "", 'Data Entry'!$r$618)</f>
      </c>
      <c r="AY618">
        <f>IF(ISBLANK('Data Entry'!$s$618), "", 'Data Entry'!$s$618)</f>
      </c>
      <c r="AZ618">
        <f>IF(ISBLANK('Data Entry'!$t$618), "", 'Data Entry'!$t$618)</f>
      </c>
      <c r="BA618">
        <f>IF(ISBLANK('Data Entry'!$u$618), "", 'Data Entry'!$u$618)</f>
      </c>
      <c r="BB618">
        <f>IF(ISBLANK('Data Entry'!$v$618), "", 'Data Entry'!$v$618)</f>
      </c>
      <c r="BC618">
        <f>IF(ISBLANK('Data Entry'!$w$618), "", 'Data Entry'!$w$618)</f>
      </c>
      <c r="BD618">
        <f>IF(ISBLANK('Data Entry'!$x$618), "", 'Data Entry'!$x$618)</f>
      </c>
      <c r="BE618">
        <f>IF(ISBLANK('Data Entry'!$y$618), "", 'Data Entry'!$y$618)</f>
      </c>
      <c r="BF618">
        <f>IF(ISBLANK('Data Entry'!$z$618), "", 'Data Entry'!$z$618)</f>
      </c>
      <c r="BG618">
        <f>IF(ISBLANK('Data Entry'!${$618), "", 'Data Entry'!${$618)</f>
      </c>
      <c r="BH618">
        <f>IF(ISBLANK('Data Entry'!$|$618), "", 'Data Entry'!$|$618)</f>
      </c>
      <c r="BI618">
        <f>IF(ISBLANK('Data Entry'!$}$618), "", 'Data Entry'!$}$618)</f>
      </c>
      <c r="BJ618">
        <f>IF(ISBLANK('Data Entry'!$~$618), "", 'Data Entry'!$~$618)</f>
      </c>
      <c r="BK618">
        <f>IF(ISBLANK('Data Entry'!$$618), "", 'Data Entry'!$$618)</f>
      </c>
      <c r="BL618">
        <f>IF(ISBLANK('Data Entry'!$$618), "", 'Data Entry'!$$618)</f>
      </c>
      <c r="BM618">
        <f>IF(ISBLANK('Data Entry'!$$618), "", 'Data Entry'!$$618)</f>
      </c>
      <c r="BN618">
        <f>IF(ISBLANK('Data Entry'!$$618), "", 'Data Entry'!$$618)</f>
      </c>
      <c r="BO618">
        <f>IF(ISBLANK('Data Entry'!$$618), "", 'Data Entry'!$$618)</f>
      </c>
      <c r="BP618">
        <f>IF(ISBLANK('Data Entry'!$$618), "", 'Data Entry'!$$618)</f>
      </c>
      <c r="BQ618">
        <f>IF(ISBLANK('Data Entry'!$$618), "", 'Data Entry'!$$618)</f>
      </c>
      <c r="BR618">
        <f>IF(ISBLANK('Data Entry'!$$618), "", 'Data Entry'!$$618)</f>
      </c>
      <c r="BS618">
        <f>IF(ISBLANK('Data Entry'!$$618), "", 'Data Entry'!$$618)</f>
      </c>
      <c r="BT618">
        <f>IF(ISBLANK('Data Entry'!$$618), "", 'Data Entry'!$$618)</f>
      </c>
      <c r="BU618">
        <f>IF(ISBLANK('Data Entry'!$$618), "", 'Data Entry'!$$618)</f>
      </c>
      <c r="BV618">
        <f>IF(ISBLANK('Data Entry'!$$618), "", 'Data Entry'!$$618)</f>
      </c>
      <c r="BW618">
        <f>IF(ISBLANK('Data Entry'!$$618), "", 'Data Entry'!$$618)</f>
      </c>
      <c r="BX618">
        <f>IF(ISBLANK('Data Entry'!$$618), "", 'Data Entry'!$$618)</f>
      </c>
      <c r="BY618">
        <f>IF(ISBLANK('Data Entry'!$$618), "", 'Data Entry'!$$618)</f>
      </c>
      <c r="BZ618">
        <f>IF(ISBLANK('Data Entry'!$$618), "", 'Data Entry'!$$618)</f>
      </c>
      <c r="CA618">
        <f>IF(ISBLANK('Data Entry'!$$618), "", 'Data Entry'!$$618)</f>
      </c>
      <c r="CB618">
        <f>IF(ISBLANK('Data Entry'!$$618), "", 'Data Entry'!$$618)</f>
      </c>
      <c r="CC618">
        <f>IF(ISBLANK('Data Entry'!$$618), "", 'Data Entry'!$$618)</f>
      </c>
      <c r="CD618">
        <f>IF(ISBLANK('Data Entry'!$$618), "", 'Data Entry'!$$618)</f>
      </c>
      <c r="CE618">
        <f>IF(ISBLANK('Data Entry'!$$618), "", 'Data Entry'!$$618)</f>
      </c>
      <c r="CF618">
        <f>IF(ISBLANK('Data Entry'!$$618), "", 'Data Entry'!$$618)</f>
      </c>
      <c r="CG618">
        <f>IF(ISBLANK('Data Entry'!$$618), "", 'Data Entry'!$$618)</f>
      </c>
      <c r="CH618">
        <f>IF(ISBLANK('Data Entry'!$$618), "", 'Data Entry'!$$618)</f>
      </c>
      <c r="CI618">
        <f>IF(ISBLANK('Data Entry'!$$618), "", 'Data Entry'!$$618)</f>
      </c>
      <c r="CJ618">
        <f>IF(ISBLANK('Data Entry'!$$618), "", 'Data Entry'!$$618)</f>
      </c>
      <c r="CK618">
        <f>IF(ISBLANK('Data Entry'!$$618), "", 'Data Entry'!$$618)</f>
      </c>
      <c r="CL618">
        <f>IF(ISBLANK('Data Entry'!$$618), "", 'Data Entry'!$$618)</f>
      </c>
      <c r="CM618">
        <f>IF(ISBLANK('Data Entry'!$$618), "", 'Data Entry'!$$618)</f>
      </c>
      <c r="CN618">
        <f>IF(ISBLANK('Data Entry'!$$618), "", 'Data Entry'!$$618)</f>
      </c>
      <c r="CO618">
        <f>IF(ISBLANK('Data Entry'!$$618), "", 'Data Entry'!$$618)</f>
      </c>
      <c r="CP618">
        <f>IF(ISBLANK('Data Entry'!$$618), "", 'Data Entry'!$$618)</f>
      </c>
      <c r="CQ618">
        <f>IF(ISBLANK('Data Entry'!$$618), "", 'Data Entry'!$$618)</f>
      </c>
      <c r="CR618">
        <f>IF(ISBLANK('Data Entry'!$ $618), "", 'Data Entry'!$ $618)</f>
      </c>
      <c r="CS618">
        <f>IF(ISBLANK('Data Entry'!$¡$618), "", 'Data Entry'!$¡$618)</f>
      </c>
      <c r="CT618">
        <f>IF(ISBLANK('Data Entry'!$¢$618), "", 'Data Entry'!$¢$618)</f>
      </c>
      <c r="CU618">
        <f>IF(ISBLANK('Data Entry'!$£$618), "", 'Data Entry'!$£$618)</f>
      </c>
      <c r="CV618">
        <f>IF(ISBLANK('Data Entry'!$¤$618), "", 'Data Entry'!$¤$618)</f>
      </c>
      <c r="CW618">
        <f>IF(ISBLANK('Data Entry'!$¥$618), "", 'Data Entry'!$¥$618)</f>
      </c>
      <c r="CX618">
        <f>IF(ISBLANK('Data Entry'!$¦$618), "", 'Data Entry'!$¦$618)</f>
      </c>
      <c r="CY618">
        <f>IF(ISBLANK('Data Entry'!$§$618), "", 'Data Entry'!$§$618)</f>
      </c>
      <c r="CZ618">
        <f>IF(ISBLANK('Data Entry'!$¨$618), "", 'Data Entry'!$¨$618)</f>
      </c>
      <c r="DA618">
        <f>IF(ISBLANK('Data Entry'!$©$618), "", 'Data Entry'!$©$618)</f>
      </c>
      <c r="DB618">
        <f>IF(ISBLANK('Data Entry'!$ª$618), "", 'Data Entry'!$ª$618)</f>
      </c>
      <c r="DC618">
        <f>IF(ISBLANK('Data Entry'!$«$618), "", 'Data Entry'!$«$618)</f>
      </c>
      <c r="DD618">
        <f>IF(ISBLANK('Data Entry'!$¬$618), "", 'Data Entry'!$¬$618)</f>
      </c>
      <c r="DE618">
        <f>IF(ISBLANK('Data Entry'!$­$618), "", 'Data Entry'!$­$618)</f>
      </c>
      <c r="DF618">
        <f>IF(ISBLANK('Data Entry'!$®$618), "", 'Data Entry'!$®$618)</f>
      </c>
      <c r="DG618">
        <f>IF(ISBLANK('Data Entry'!$¯$618), "", 'Data Entry'!$¯$618)</f>
      </c>
      <c r="DH618">
        <f>IF(ISBLANK('Data Entry'!$°$618), "", 'Data Entry'!$°$618)</f>
      </c>
      <c r="DI618">
        <f>IF(ISBLANK('Data Entry'!$±$618), "", 'Data Entry'!$±$618)</f>
      </c>
      <c r="DJ618">
        <f>IF(ISBLANK('Data Entry'!$²$618), "", 'Data Entry'!$²$618)</f>
      </c>
      <c r="DK618">
        <f>IF(ISBLANK('Data Entry'!$³$618), "", 'Data Entry'!$³$618)</f>
      </c>
      <c r="DL618">
        <f>IF(ISBLANK('Data Entry'!$´$618), "", 'Data Entry'!$´$618)</f>
      </c>
      <c r="DM618">
        <f>IF(ISBLANK('Data Entry'!$µ$618), "", 'Data Entry'!$µ$618)</f>
      </c>
      <c r="DN618">
        <f>IF(ISBLANK('Data Entry'!$¶$618), "", 'Data Entry'!$¶$618)</f>
      </c>
      <c r="DO618">
        <f>IF(ISBLANK('Data Entry'!$·$618), "", 'Data Entry'!$·$618)</f>
      </c>
      <c r="DP618">
        <f>IF(ISBLANK('Data Entry'!$¸$618), "", 'Data Entry'!$¸$618)</f>
      </c>
      <c r="DQ618">
        <f>IF(ISBLANK('Data Entry'!$¹$618), "", 'Data Entry'!$¹$618)</f>
      </c>
      <c r="DR618">
        <f>IF(ISBLANK('Data Entry'!$º$618), "", 'Data Entry'!$º$618)</f>
      </c>
      <c r="DS618">
        <f>IF(ISBLANK('Data Entry'!$»$618), "", 'Data Entry'!$»$618)</f>
      </c>
      <c r="DT618">
        <f>IF(ISBLANK('Data Entry'!$¼$618), "", 'Data Entry'!$¼$618)</f>
      </c>
      <c r="DU618">
        <f>IF(ISBLANK('Data Entry'!$½$618), "", 'Data Entry'!$½$618)</f>
      </c>
      <c r="DV618">
        <f>IF(ISBLANK('Data Entry'!$¾$618), "", 'Data Entry'!$¾$618)</f>
      </c>
      <c r="DW618">
        <f>IF(ISBLANK('Data Entry'!$¿$618), "", 'Data Entry'!$¿$618)</f>
      </c>
      <c r="DX618">
        <f>IF(ISBLANK('Data Entry'!$À$618), "", 'Data Entry'!$À$618)</f>
      </c>
      <c r="DY618">
        <f>IF(ISBLANK('Data Entry'!$Á$618), "", 'Data Entry'!$Á$618)</f>
      </c>
      <c r="DZ618">
        <f>IF(ISBLANK('Data Entry'!$Â$618), "", 'Data Entry'!$Â$618)</f>
      </c>
      <c r="EA618">
        <f>IF(ISBLANK('Data Entry'!$Ã$618), "", 'Data Entry'!$Ã$618)</f>
      </c>
      <c r="EB618">
        <f>IF(ISBLANK('Data Entry'!$Ä$618), "", 'Data Entry'!$Ä$618)</f>
      </c>
      <c r="EC618">
        <f>IF(ISBLANK('Data Entry'!$Å$618), "", 'Data Entry'!$Å$618)</f>
      </c>
      <c r="ED618">
        <f>IF(ISBLANK('Data Entry'!$Æ$618), "", 'Data Entry'!$Æ$618)</f>
      </c>
      <c r="EE618">
        <f>IF(ISBLANK('Data Entry'!$Ç$618), "", 'Data Entry'!$Ç$618)</f>
      </c>
      <c r="EF618">
        <f>IF(ISBLANK('Data Entry'!$È$618), "", 'Data Entry'!$È$618)</f>
      </c>
      <c r="EG618">
        <f>IF(ISBLANK('Data Entry'!$É$618), "", 'Data Entry'!$É$618)</f>
      </c>
      <c r="EH618">
        <f>IF(ISBLANK('Data Entry'!$Ê$618), "", 'Data Entry'!$Ê$618)</f>
      </c>
      <c r="EI618">
        <f>IF(ISBLANK('Data Entry'!$Ë$618), "", 'Data Entry'!$Ë$618)</f>
      </c>
      <c r="EJ618">
        <f>IF(ISBLANK('Data Entry'!$Ì$618), "", 'Data Entry'!$Ì$618)</f>
      </c>
      <c r="EK618">
        <f>IF(ISBLANK('Data Entry'!$Í$618), "", 'Data Entry'!$Í$618)</f>
      </c>
      <c r="EL618">
        <f>IF(ISBLANK('Data Entry'!$Î$618), "", 'Data Entry'!$Î$618)</f>
      </c>
      <c r="EM618">
        <f>IF(ISBLANK('Data Entry'!$Ï$618), "", 'Data Entry'!$Ï$618)</f>
      </c>
      <c r="EN618">
        <f>IF(ISBLANK('Data Entry'!$Ð$618), "", 'Data Entry'!$Ð$618)</f>
      </c>
      <c r="EO618">
        <f>IF(ISBLANK('Data Entry'!$Ñ$618), "", 'Data Entry'!$Ñ$618)</f>
      </c>
      <c r="EP618">
        <f>IF(ISBLANK('Data Entry'!$Ò$618), "", 'Data Entry'!$Ò$618)</f>
      </c>
      <c r="EQ618">
        <f>IF(ISBLANK('Data Entry'!$Ó$618), "", 'Data Entry'!$Ó$618)</f>
      </c>
      <c r="ER618">
        <f>IF(ISBLANK('Data Entry'!$Ô$618), "", 'Data Entry'!$Ô$618)</f>
      </c>
      <c r="ES618">
        <f>IF(ISBLANK('Data Entry'!$Õ$618), "", 'Data Entry'!$Õ$618)</f>
      </c>
      <c r="ET618">
        <f>IF(ISBLANK('Data Entry'!$Ö$618), "", 'Data Entry'!$Ö$618)</f>
      </c>
      <c r="EU618">
        <f>IF(ISBLANK('Data Entry'!$×$618), "", 'Data Entry'!$×$618)</f>
      </c>
      <c r="EV618">
        <f>IF(ISBLANK('Data Entry'!$Ø$618), "", 'Data Entry'!$Ø$618)</f>
      </c>
      <c r="EW618">
        <f>IF(ISBLANK('Data Entry'!$Ù$618), "", 'Data Entry'!$Ù$618)</f>
      </c>
      <c r="EX618">
        <f>IF(ISBLANK('Data Entry'!$Ú$618), "", 'Data Entry'!$Ú$618)</f>
      </c>
      <c r="EY618">
        <f>IF(ISBLANK('Data Entry'!$Û$618), "", 'Data Entry'!$Û$618)</f>
      </c>
      <c r="EZ618">
        <f>IF(ISBLANK('Data Entry'!$Ü$618), "", 'Data Entry'!$Ü$618)</f>
      </c>
      <c r="FA618">
        <f>IF(ISBLANK('Data Entry'!$Ý$618), "", 'Data Entry'!$Ý$618)</f>
      </c>
      <c r="FB618">
        <f>IF(ISBLANK('Data Entry'!$Þ$618), "", 'Data Entry'!$Þ$618)</f>
      </c>
      <c r="FC618">
        <f>IF(ISBLANK('Data Entry'!$ß$618), "", 'Data Entry'!$ß$618)</f>
      </c>
      <c r="FD618">
        <f>IF(ISBLANK('Data Entry'!$à$618), "", 'Data Entry'!$à$618)</f>
      </c>
      <c r="FE618">
        <f>IF(ISBLANK('Data Entry'!$á$618), "", 'Data Entry'!$á$618)</f>
      </c>
      <c r="FF618">
        <f>IF(ISBLANK('Data Entry'!$â$618), "", 'Data Entry'!$â$618)</f>
      </c>
      <c r="FG618">
        <f>IF(ISBLANK('Data Entry'!$ã$618), "", 'Data Entry'!$ã$618)</f>
      </c>
      <c r="FH618">
        <f>IF(ISBLANK('Data Entry'!$ä$618), "", 'Data Entry'!$ä$618)</f>
      </c>
      <c r="FI618">
        <f>IF(ISBLANK('Data Entry'!$å$618), "", 'Data Entry'!$å$618)</f>
      </c>
      <c r="FJ618">
        <f>IF(ISBLANK('Data Entry'!$æ$618), "", 'Data Entry'!$æ$618)</f>
      </c>
      <c r="FK618">
        <f>IF(ISBLANK('Data Entry'!$ç$618), "", 'Data Entry'!$ç$618)</f>
      </c>
      <c r="FL618">
        <f>IF(ISBLANK('Data Entry'!$è$618), "", 'Data Entry'!$è$618)</f>
      </c>
      <c r="FM618">
        <f>IF(ISBLANK('Data Entry'!$é$618), "", 'Data Entry'!$é$618)</f>
      </c>
      <c r="FN618">
        <f>IF(ISBLANK('Data Entry'!$ê$618), "", 'Data Entry'!$ê$618)</f>
      </c>
      <c r="FO618">
        <f>IF(ISBLANK('Data Entry'!$ë$618), "", 'Data Entry'!$ë$618)</f>
      </c>
      <c r="FP618">
        <f>IF(ISBLANK('Data Entry'!$ì$618), "", 'Data Entry'!$ì$618)</f>
      </c>
      <c r="FQ618">
        <f>IF(ISBLANK('Data Entry'!$í$618), "", 'Data Entry'!$í$618)</f>
      </c>
      <c r="FR618">
        <f>IF(ISBLANK('Data Entry'!$î$618), "", 'Data Entry'!$î$618)</f>
      </c>
      <c r="FS618">
        <f>IF(ISBLANK('Data Entry'!$ï$618), "", 'Data Entry'!$ï$618)</f>
      </c>
      <c r="FT618">
        <f>IF(ISBLANK('Data Entry'!$ð$618), "", 'Data Entry'!$ð$618)</f>
      </c>
      <c r="FU618">
        <f>IF(ISBLANK('Data Entry'!$ñ$618), "", 'Data Entry'!$ñ$618)</f>
      </c>
      <c r="FV618">
        <f>IF(ISBLANK('Data Entry'!$ò$618), "", 'Data Entry'!$ò$618)</f>
      </c>
      <c r="FW618">
        <f>IF(ISBLANK('Data Entry'!$ó$618), "", 'Data Entry'!$ó$618)</f>
      </c>
      <c r="FX618">
        <f>IF(ISBLANK('Data Entry'!$ô$618), "", 'Data Entry'!$ô$618)</f>
      </c>
      <c r="FY618">
        <f>IF(ISBLANK('Data Entry'!$õ$618), "", 'Data Entry'!$õ$618)</f>
      </c>
      <c r="FZ618">
        <f>IF(ISBLANK('Data Entry'!$ö$618), "", 'Data Entry'!$ö$618)</f>
      </c>
      <c r="GA618">
        <f>IF(ISBLANK('Data Entry'!$÷$618), "", 'Data Entry'!$÷$618)</f>
      </c>
      <c r="GB618">
        <f>IF(ISBLANK('Data Entry'!$ø$618), "", 'Data Entry'!$ø$618)</f>
      </c>
      <c r="GC618">
        <f>IF(ISBLANK('Data Entry'!$ù$618), "", 'Data Entry'!$ù$618)</f>
      </c>
      <c r="GD618">
        <f>IF(ISBLANK('Data Entry'!$ú$618), "", 'Data Entry'!$ú$618)</f>
      </c>
      <c r="GE618">
        <f>IF(ISBLANK('Data Entry'!$û$618), "", 'Data Entry'!$û$618)</f>
      </c>
      <c r="GF618">
        <f>IF(ISBLANK('Data Entry'!$ü$618), "", 'Data Entry'!$ü$618)</f>
      </c>
      <c r="GG618">
        <f>IF(ISBLANK('Data Entry'!$ý$618), "", 'Data Entry'!$ý$618)</f>
      </c>
      <c r="GH618">
        <f>IF(ISBLANK('Data Entry'!$þ$618), "", 'Data Entry'!$þ$618)</f>
      </c>
      <c r="GI618">
        <f>IF(ISBLANK('Data Entry'!$ÿ$618), "", 'Data Entry'!$ÿ$618)</f>
      </c>
      <c r="GJ618">
        <f>IF(ISBLANK('Data Entry'!$Ā$618), "", 'Data Entry'!$Ā$618)</f>
      </c>
      <c r="GK618">
        <f>IF(ISBLANK('Data Entry'!$ā$618), "", 'Data Entry'!$ā$618)</f>
      </c>
      <c r="GL618">
        <f>IF(ISBLANK('Data Entry'!$Ă$618), "", 'Data Entry'!$Ă$618)</f>
      </c>
      <c r="GM618">
        <f>IF(ISBLANK('Data Entry'!$ă$618), "", 'Data Entry'!$ă$618)</f>
      </c>
      <c r="GN618">
        <f>IF(ISBLANK('Data Entry'!$Ą$618), "", 'Data Entry'!$Ą$618)</f>
      </c>
      <c r="GO618">
        <f>IF(ISBLANK('Data Entry'!$ą$618), "", 'Data Entry'!$ą$618)</f>
      </c>
      <c r="GP618">
        <f>IF(ISBLANK('Data Entry'!$Ć$618), "", 'Data Entry'!$Ć$618)</f>
      </c>
      <c r="GQ618">
        <f>IF(ISBLANK('Data Entry'!$ć$618), "", 'Data Entry'!$ć$618)</f>
      </c>
      <c r="GR618">
        <f>IF(ISBLANK('Data Entry'!$Ĉ$618), "", 'Data Entry'!$Ĉ$618)</f>
      </c>
      <c r="GS618">
        <f>IF(ISBLANK('Data Entry'!$ĉ$618), "", 'Data Entry'!$ĉ$618)</f>
      </c>
      <c r="GT618">
        <f>IF(ISBLANK('Data Entry'!$Ċ$618), "", 'Data Entry'!$Ċ$618)</f>
      </c>
      <c r="GU618">
        <f>IF(ISBLANK('Data Entry'!$ċ$618), "", 'Data Entry'!$ċ$618)</f>
      </c>
      <c r="GV618">
        <f>IF(ISBLANK('Data Entry'!$Č$618), "", 'Data Entry'!$Č$618)</f>
      </c>
      <c r="GW618">
        <f>IF(ISBLANK('Data Entry'!$č$618), "", 'Data Entry'!$č$618)</f>
      </c>
      <c r="GX618">
        <f>IF(ISBLANK('Data Entry'!$Ď$618), "", 'Data Entry'!$Ď$618)</f>
      </c>
      <c r="GY618">
        <f>IF(ISBLANK('Data Entry'!$ď$618), "", 'Data Entry'!$ď$618)</f>
      </c>
      <c r="GZ618">
        <f>IF(ISBLANK('Data Entry'!$Đ$618), "", 'Data Entry'!$Đ$618)</f>
      </c>
      <c r="HA618">
        <f>IF(ISBLANK('Data Entry'!$đ$618), "", 'Data Entry'!$đ$618)</f>
      </c>
      <c r="HB618">
        <f>IF(ISBLANK('Data Entry'!$Ē$618), "", 'Data Entry'!$Ē$618)</f>
      </c>
      <c r="HC618">
        <f>IF(ISBLANK('Data Entry'!$ē$618), "", 'Data Entry'!$ē$618)</f>
      </c>
      <c r="HD618">
        <f>IF(ISBLANK('Data Entry'!$Ĕ$618), "", 'Data Entry'!$Ĕ$618)</f>
      </c>
      <c r="HE618">
        <f>IF(ISBLANK('Data Entry'!$ĕ$618), "", 'Data Entry'!$ĕ$618)</f>
      </c>
      <c r="HF618">
        <f>IF(ISBLANK('Data Entry'!$Ė$618), "", 'Data Entry'!$Ė$618)</f>
      </c>
      <c r="HG618">
        <f>IF(ISBLANK('Data Entry'!$ė$618), "", 'Data Entry'!$ė$618)</f>
      </c>
      <c r="HH618">
        <f>IF(ISBLANK('Data Entry'!$Ę$618), "", 'Data Entry'!$Ę$618)</f>
      </c>
      <c r="HI618">
        <f>IF(ISBLANK('Data Entry'!$ę$618), "", 'Data Entry'!$ę$618)</f>
      </c>
      <c r="HJ618">
        <f>IF(ISBLANK('Data Entry'!$Ě$618), "", 'Data Entry'!$Ě$618)</f>
      </c>
      <c r="HK618">
        <f>IF(ISBLANK('Data Entry'!$ě$618), "", 'Data Entry'!$ě$618)</f>
      </c>
      <c r="HL618">
        <f>IF(ISBLANK('Data Entry'!$Ĝ$618), "", 'Data Entry'!$Ĝ$618)</f>
      </c>
      <c r="HM618">
        <f>IF(ISBLANK('Data Entry'!$ĝ$618), "", 'Data Entry'!$ĝ$618)</f>
      </c>
      <c r="HN618">
        <f>IF(ISBLANK('Data Entry'!$Ğ$618), "", 'Data Entry'!$Ğ$618)</f>
      </c>
      <c r="HO618">
        <f>IF(ISBLANK('Data Entry'!$ğ$618), "", 'Data Entry'!$ğ$618)</f>
      </c>
      <c r="HP618">
        <f>IF(ISBLANK('Data Entry'!$Ġ$618), "", 'Data Entry'!$Ġ$618)</f>
      </c>
      <c r="HQ618">
        <f>IF(ISBLANK('Data Entry'!$ġ$618), "", 'Data Entry'!$ġ$618)</f>
      </c>
      <c r="HR618">
        <f>IF(ISBLANK('Data Entry'!$Ģ$618), "", 'Data Entry'!$Ģ$618)</f>
      </c>
      <c r="HS618">
        <f>IF(ISBLANK('Data Entry'!$ģ$618), "", 'Data Entry'!$ģ$618)</f>
      </c>
      <c r="HT618">
        <f>IF(ISBLANK('Data Entry'!$Ĥ$618), "", 'Data Entry'!$Ĥ$618)</f>
      </c>
      <c r="HU618">
        <f>IF(ISBLANK('Data Entry'!$ĥ$618), "", 'Data Entry'!$ĥ$618)</f>
      </c>
      <c r="HV618">
        <f>IF(ISBLANK('Data Entry'!$Ħ$618), "", 'Data Entry'!$Ħ$618)</f>
      </c>
      <c r="HW618">
        <f>IF(ISBLANK('Data Entry'!$ħ$618), "", 'Data Entry'!$ħ$618)</f>
      </c>
      <c r="HX618">
        <f>IF(ISBLANK('Data Entry'!$Ĩ$618), "", 'Data Entry'!$Ĩ$618)</f>
      </c>
      <c r="HY618">
        <f>IF(ISBLANK('Data Entry'!$ĩ$618), "", 'Data Entry'!$ĩ$618)</f>
      </c>
      <c r="HZ618">
        <f>IF(ISBLANK('Data Entry'!$Ī$618), "", 'Data Entry'!$Ī$618)</f>
      </c>
      <c r="IA618">
        <f>IF(ISBLANK('Data Entry'!$ī$618), "", 'Data Entry'!$ī$618)</f>
      </c>
      <c r="IB618">
        <f>IF(ISBLANK('Data Entry'!$Ĭ$618), "", 'Data Entry'!$Ĭ$618)</f>
      </c>
      <c r="IC618">
        <f>IF(ISBLANK('Data Entry'!$ĭ$618), "", 'Data Entry'!$ĭ$618)</f>
      </c>
      <c r="ID618">
        <f>IF(ISBLANK('Data Entry'!$Į$618), "", 'Data Entry'!$Į$618)</f>
      </c>
      <c r="IE618">
        <f>IF(ISBLANK('Data Entry'!$į$618), "", 'Data Entry'!$į$618)</f>
      </c>
      <c r="IF618">
        <f>IF(ISBLANK('Data Entry'!$İ$618), "", 'Data Entry'!$İ$618)</f>
      </c>
      <c r="IG618">
        <f>IF(ISBLANK('Data Entry'!$ı$618), "", 'Data Entry'!$ı$618)</f>
      </c>
      <c r="IH618">
        <f>IF(ISBLANK('Data Entry'!$Ĳ$618), "", 'Data Entry'!$Ĳ$618)</f>
      </c>
      <c r="II618">
        <f>IF(ISBLANK('Data Entry'!$ĳ$618), "", 'Data Entry'!$ĳ$618)</f>
      </c>
      <c r="IJ618">
        <f>IF(ISBLANK('Data Entry'!$Ĵ$618), "", 'Data Entry'!$Ĵ$618)</f>
      </c>
      <c r="IK618">
        <f>IF(ISBLANK('Data Entry'!$ĵ$618), "", 'Data Entry'!$ĵ$618)</f>
      </c>
      <c r="IL618">
        <f>IF(ISBLANK('Data Entry'!$Ķ$618), "", 'Data Entry'!$Ķ$618)</f>
      </c>
      <c r="IM618">
        <f>IF(ISBLANK('Data Entry'!$ķ$618), "", 'Data Entry'!$ķ$618)</f>
      </c>
      <c r="IN618">
        <f>IF(ISBLANK('Data Entry'!$ĸ$618), "", 'Data Entry'!$ĸ$618)</f>
      </c>
      <c r="IO618">
        <f>IF(ISBLANK('Data Entry'!$Ĺ$618), "", 'Data Entry'!$Ĺ$618)</f>
      </c>
      <c r="IP618">
        <f>IF(ISBLANK('Data Entry'!$ĺ$618), "", 'Data Entry'!$ĺ$618)</f>
      </c>
      <c r="IQ618">
        <f>IF(ISBLANK('Data Entry'!$Ļ$618), "", 'Data Entry'!$Ļ$618)</f>
      </c>
      <c r="IR618">
        <f>IF(ISBLANK('Data Entry'!$ļ$618), "", 'Data Entry'!$ļ$618)</f>
      </c>
      <c r="IS618">
        <f>IF(ISBLANK('Data Entry'!$Ľ$618), "", 'Data Entry'!$Ľ$618)</f>
      </c>
      <c r="IT618">
        <f>IF(ISBLANK('Data Entry'!$ľ$618), "", 'Data Entry'!$ľ$618)</f>
      </c>
    </row>
    <row r="619" spans="1:254" x14ac:dyDescent="0.25">
      <c r="A619">
        <f>IF(ISBLANK('Data Entry'!$A$619), "", 'Data Entry'!$A$619)</f>
      </c>
      <c r="B619">
        <f>IF(ISBLANK('Data Entry'!$B$619), "", 'Data Entry'!$B$619)</f>
      </c>
      <c r="C619">
        <f>IF(ISBLANK('Data Entry'!$C$619), "", 'Data Entry'!$C$619)</f>
      </c>
      <c r="D619">
        <f>IF(ISBLANK('Data Entry'!$D$619), "", 'Data Entry'!$D$619)</f>
      </c>
      <c r="E619">
        <f>IF(ISBLANK('Data Entry'!$E$619), "", 'Data Entry'!$E$619)</f>
      </c>
      <c r="F619">
        <f>IF(ISBLANK('Data Entry'!$F$619), "", 'Data Entry'!$F$619)</f>
      </c>
      <c r="G619">
        <f>IF(ISBLANK('Data Entry'!$G$619), "", 'Data Entry'!$G$619)</f>
      </c>
      <c r="H619">
        <f>IF(ISBLANK('Data Entry'!$H$619), "", 'Data Entry'!$H$619)</f>
      </c>
      <c r="I619">
        <f>IF(ISBLANK('Data Entry'!$I$619), "", 'Data Entry'!$I$619)</f>
      </c>
      <c r="J619">
        <f>IF(ISBLANK('Data Entry'!$J$619), "", 'Data Entry'!$J$619)</f>
      </c>
      <c r="K619">
        <f>IF(ISBLANK('Data Entry'!$K$619), "", 'Data Entry'!$K$619)</f>
      </c>
      <c r="L619">
        <f>IF(ISBLANK('Data Entry'!$L$619), "", 'Data Entry'!$L$619)</f>
      </c>
      <c r="M619">
        <f>IF(ISBLANK('Data Entry'!$M$619), "", 'Data Entry'!$M$619)</f>
      </c>
      <c r="N619">
        <f>IF(ISBLANK('Data Entry'!$N$619), "", 'Data Entry'!$N$619)</f>
      </c>
      <c r="O619">
        <f>IF(ISBLANK('Data Entry'!$O$619), "", 'Data Entry'!$O$619)</f>
      </c>
      <c r="P619">
        <f>IF(ISBLANK('Data Entry'!$P$619), "", 'Data Entry'!$P$619)</f>
      </c>
      <c r="Q619">
        <f>IF(ISBLANK('Data Entry'!$Q$619), "", 'Data Entry'!$Q$619)</f>
      </c>
      <c r="R619">
        <f>IF(ISBLANK('Data Entry'!$R$619), "", 'Data Entry'!$R$619)</f>
      </c>
      <c r="S619">
        <f>IF(ISBLANK('Data Entry'!$S$619), "", 'Data Entry'!$S$619)</f>
      </c>
      <c r="T619">
        <f>IF(ISBLANK('Data Entry'!$T$619), "", 'Data Entry'!$T$619)</f>
      </c>
      <c r="U619">
        <f>IF(ISBLANK('Data Entry'!$U$619), "", 'Data Entry'!$U$619)</f>
      </c>
      <c r="V619">
        <f>IF(ISBLANK('Data Entry'!$V$619), "", 'Data Entry'!$V$619)</f>
      </c>
      <c r="W619">
        <f>IF(ISBLANK('Data Entry'!$W$619), "", 'Data Entry'!$W$619)</f>
      </c>
      <c r="X619">
        <f>IF(ISBLANK('Data Entry'!$X$619), "", 'Data Entry'!$X$619)</f>
      </c>
      <c r="Y619">
        <f>IF(ISBLANK('Data Entry'!$Y$619), "", 'Data Entry'!$Y$619)</f>
      </c>
      <c r="Z619">
        <f>IF(ISBLANK('Data Entry'!$Z$619), "", 'Data Entry'!$Z$619)</f>
      </c>
      <c r="AA619">
        <f>IF(ISBLANK('Data Entry'!$[$619), "", 'Data Entry'!$[$619)</f>
      </c>
      <c r="AB619">
        <f>IF(ISBLANK('Data Entry'!$\$619), "", 'Data Entry'!$\$619)</f>
      </c>
      <c r="AC619">
        <f>IF(ISBLANK('Data Entry'!$]$619), "", 'Data Entry'!$]$619)</f>
      </c>
      <c r="AD619">
        <f>IF(ISBLANK('Data Entry'!$^$619), "", 'Data Entry'!$^$619)</f>
      </c>
      <c r="AE619">
        <f>IF(ISBLANK('Data Entry'!$_$619), "", 'Data Entry'!$_$619)</f>
      </c>
      <c r="AF619">
        <f>IF(ISBLANK('Data Entry'!$`$619), "", 'Data Entry'!$`$619)</f>
      </c>
      <c r="AG619">
        <f>IF(ISBLANK('Data Entry'!$a$619), "", 'Data Entry'!$a$619)</f>
      </c>
      <c r="AH619">
        <f>IF(ISBLANK('Data Entry'!$b$619), "", 'Data Entry'!$b$619)</f>
      </c>
      <c r="AI619">
        <f>IF(ISBLANK('Data Entry'!$c$619), "", 'Data Entry'!$c$619)</f>
      </c>
      <c r="AJ619">
        <f>IF(ISBLANK('Data Entry'!$d$619), "", 'Data Entry'!$d$619)</f>
      </c>
      <c r="AK619">
        <f>IF(ISBLANK('Data Entry'!$e$619), "", 'Data Entry'!$e$619)</f>
      </c>
      <c r="AL619">
        <f>IF(ISBLANK('Data Entry'!$f$619), "", 'Data Entry'!$f$619)</f>
      </c>
      <c r="AM619">
        <f>IF(ISBLANK('Data Entry'!$g$619), "", 'Data Entry'!$g$619)</f>
      </c>
      <c r="AN619">
        <f>IF(ISBLANK('Data Entry'!$h$619), "", 'Data Entry'!$h$619)</f>
      </c>
      <c r="AO619">
        <f>IF(ISBLANK('Data Entry'!$i$619), "", 'Data Entry'!$i$619)</f>
      </c>
      <c r="AP619">
        <f>IF(ISBLANK('Data Entry'!$j$619), "", 'Data Entry'!$j$619)</f>
      </c>
      <c r="AQ619">
        <f>IF(ISBLANK('Data Entry'!$k$619), "", 'Data Entry'!$k$619)</f>
      </c>
      <c r="AR619">
        <f>IF(ISBLANK('Data Entry'!$l$619), "", 'Data Entry'!$l$619)</f>
      </c>
      <c r="AS619">
        <f>IF(ISBLANK('Data Entry'!$m$619), "", 'Data Entry'!$m$619)</f>
      </c>
      <c r="AT619">
        <f>IF(ISBLANK('Data Entry'!$n$619), "", 'Data Entry'!$n$619)</f>
      </c>
      <c r="AU619">
        <f>IF(ISBLANK('Data Entry'!$o$619), "", 'Data Entry'!$o$619)</f>
      </c>
      <c r="AV619">
        <f>IF(ISBLANK('Data Entry'!$p$619), "", 'Data Entry'!$p$619)</f>
      </c>
      <c r="AW619">
        <f>IF(ISBLANK('Data Entry'!$q$619), "", 'Data Entry'!$q$619)</f>
      </c>
      <c r="AX619">
        <f>IF(ISBLANK('Data Entry'!$r$619), "", 'Data Entry'!$r$619)</f>
      </c>
      <c r="AY619">
        <f>IF(ISBLANK('Data Entry'!$s$619), "", 'Data Entry'!$s$619)</f>
      </c>
      <c r="AZ619">
        <f>IF(ISBLANK('Data Entry'!$t$619), "", 'Data Entry'!$t$619)</f>
      </c>
      <c r="BA619">
        <f>IF(ISBLANK('Data Entry'!$u$619), "", 'Data Entry'!$u$619)</f>
      </c>
      <c r="BB619">
        <f>IF(ISBLANK('Data Entry'!$v$619), "", 'Data Entry'!$v$619)</f>
      </c>
      <c r="BC619">
        <f>IF(ISBLANK('Data Entry'!$w$619), "", 'Data Entry'!$w$619)</f>
      </c>
      <c r="BD619">
        <f>IF(ISBLANK('Data Entry'!$x$619), "", 'Data Entry'!$x$619)</f>
      </c>
      <c r="BE619">
        <f>IF(ISBLANK('Data Entry'!$y$619), "", 'Data Entry'!$y$619)</f>
      </c>
      <c r="BF619">
        <f>IF(ISBLANK('Data Entry'!$z$619), "", 'Data Entry'!$z$619)</f>
      </c>
      <c r="BG619">
        <f>IF(ISBLANK('Data Entry'!${$619), "", 'Data Entry'!${$619)</f>
      </c>
      <c r="BH619">
        <f>IF(ISBLANK('Data Entry'!$|$619), "", 'Data Entry'!$|$619)</f>
      </c>
      <c r="BI619">
        <f>IF(ISBLANK('Data Entry'!$}$619), "", 'Data Entry'!$}$619)</f>
      </c>
      <c r="BJ619">
        <f>IF(ISBLANK('Data Entry'!$~$619), "", 'Data Entry'!$~$619)</f>
      </c>
      <c r="BK619">
        <f>IF(ISBLANK('Data Entry'!$$619), "", 'Data Entry'!$$619)</f>
      </c>
      <c r="BL619">
        <f>IF(ISBLANK('Data Entry'!$$619), "", 'Data Entry'!$$619)</f>
      </c>
      <c r="BM619">
        <f>IF(ISBLANK('Data Entry'!$$619), "", 'Data Entry'!$$619)</f>
      </c>
      <c r="BN619">
        <f>IF(ISBLANK('Data Entry'!$$619), "", 'Data Entry'!$$619)</f>
      </c>
      <c r="BO619">
        <f>IF(ISBLANK('Data Entry'!$$619), "", 'Data Entry'!$$619)</f>
      </c>
      <c r="BP619">
        <f>IF(ISBLANK('Data Entry'!$$619), "", 'Data Entry'!$$619)</f>
      </c>
      <c r="BQ619">
        <f>IF(ISBLANK('Data Entry'!$$619), "", 'Data Entry'!$$619)</f>
      </c>
      <c r="BR619">
        <f>IF(ISBLANK('Data Entry'!$$619), "", 'Data Entry'!$$619)</f>
      </c>
      <c r="BS619">
        <f>IF(ISBLANK('Data Entry'!$$619), "", 'Data Entry'!$$619)</f>
      </c>
      <c r="BT619">
        <f>IF(ISBLANK('Data Entry'!$$619), "", 'Data Entry'!$$619)</f>
      </c>
      <c r="BU619">
        <f>IF(ISBLANK('Data Entry'!$$619), "", 'Data Entry'!$$619)</f>
      </c>
      <c r="BV619">
        <f>IF(ISBLANK('Data Entry'!$$619), "", 'Data Entry'!$$619)</f>
      </c>
      <c r="BW619">
        <f>IF(ISBLANK('Data Entry'!$$619), "", 'Data Entry'!$$619)</f>
      </c>
      <c r="BX619">
        <f>IF(ISBLANK('Data Entry'!$$619), "", 'Data Entry'!$$619)</f>
      </c>
      <c r="BY619">
        <f>IF(ISBLANK('Data Entry'!$$619), "", 'Data Entry'!$$619)</f>
      </c>
      <c r="BZ619">
        <f>IF(ISBLANK('Data Entry'!$$619), "", 'Data Entry'!$$619)</f>
      </c>
      <c r="CA619">
        <f>IF(ISBLANK('Data Entry'!$$619), "", 'Data Entry'!$$619)</f>
      </c>
      <c r="CB619">
        <f>IF(ISBLANK('Data Entry'!$$619), "", 'Data Entry'!$$619)</f>
      </c>
      <c r="CC619">
        <f>IF(ISBLANK('Data Entry'!$$619), "", 'Data Entry'!$$619)</f>
      </c>
      <c r="CD619">
        <f>IF(ISBLANK('Data Entry'!$$619), "", 'Data Entry'!$$619)</f>
      </c>
      <c r="CE619">
        <f>IF(ISBLANK('Data Entry'!$$619), "", 'Data Entry'!$$619)</f>
      </c>
      <c r="CF619">
        <f>IF(ISBLANK('Data Entry'!$$619), "", 'Data Entry'!$$619)</f>
      </c>
      <c r="CG619">
        <f>IF(ISBLANK('Data Entry'!$$619), "", 'Data Entry'!$$619)</f>
      </c>
      <c r="CH619">
        <f>IF(ISBLANK('Data Entry'!$$619), "", 'Data Entry'!$$619)</f>
      </c>
      <c r="CI619">
        <f>IF(ISBLANK('Data Entry'!$$619), "", 'Data Entry'!$$619)</f>
      </c>
      <c r="CJ619">
        <f>IF(ISBLANK('Data Entry'!$$619), "", 'Data Entry'!$$619)</f>
      </c>
      <c r="CK619">
        <f>IF(ISBLANK('Data Entry'!$$619), "", 'Data Entry'!$$619)</f>
      </c>
      <c r="CL619">
        <f>IF(ISBLANK('Data Entry'!$$619), "", 'Data Entry'!$$619)</f>
      </c>
      <c r="CM619">
        <f>IF(ISBLANK('Data Entry'!$$619), "", 'Data Entry'!$$619)</f>
      </c>
      <c r="CN619">
        <f>IF(ISBLANK('Data Entry'!$$619), "", 'Data Entry'!$$619)</f>
      </c>
      <c r="CO619">
        <f>IF(ISBLANK('Data Entry'!$$619), "", 'Data Entry'!$$619)</f>
      </c>
      <c r="CP619">
        <f>IF(ISBLANK('Data Entry'!$$619), "", 'Data Entry'!$$619)</f>
      </c>
      <c r="CQ619">
        <f>IF(ISBLANK('Data Entry'!$$619), "", 'Data Entry'!$$619)</f>
      </c>
      <c r="CR619">
        <f>IF(ISBLANK('Data Entry'!$ $619), "", 'Data Entry'!$ $619)</f>
      </c>
      <c r="CS619">
        <f>IF(ISBLANK('Data Entry'!$¡$619), "", 'Data Entry'!$¡$619)</f>
      </c>
      <c r="CT619">
        <f>IF(ISBLANK('Data Entry'!$¢$619), "", 'Data Entry'!$¢$619)</f>
      </c>
      <c r="CU619">
        <f>IF(ISBLANK('Data Entry'!$£$619), "", 'Data Entry'!$£$619)</f>
      </c>
      <c r="CV619">
        <f>IF(ISBLANK('Data Entry'!$¤$619), "", 'Data Entry'!$¤$619)</f>
      </c>
      <c r="CW619">
        <f>IF(ISBLANK('Data Entry'!$¥$619), "", 'Data Entry'!$¥$619)</f>
      </c>
      <c r="CX619">
        <f>IF(ISBLANK('Data Entry'!$¦$619), "", 'Data Entry'!$¦$619)</f>
      </c>
      <c r="CY619">
        <f>IF(ISBLANK('Data Entry'!$§$619), "", 'Data Entry'!$§$619)</f>
      </c>
      <c r="CZ619">
        <f>IF(ISBLANK('Data Entry'!$¨$619), "", 'Data Entry'!$¨$619)</f>
      </c>
      <c r="DA619">
        <f>IF(ISBLANK('Data Entry'!$©$619), "", 'Data Entry'!$©$619)</f>
      </c>
      <c r="DB619">
        <f>IF(ISBLANK('Data Entry'!$ª$619), "", 'Data Entry'!$ª$619)</f>
      </c>
      <c r="DC619">
        <f>IF(ISBLANK('Data Entry'!$«$619), "", 'Data Entry'!$«$619)</f>
      </c>
      <c r="DD619">
        <f>IF(ISBLANK('Data Entry'!$¬$619), "", 'Data Entry'!$¬$619)</f>
      </c>
      <c r="DE619">
        <f>IF(ISBLANK('Data Entry'!$­$619), "", 'Data Entry'!$­$619)</f>
      </c>
      <c r="DF619">
        <f>IF(ISBLANK('Data Entry'!$®$619), "", 'Data Entry'!$®$619)</f>
      </c>
      <c r="DG619">
        <f>IF(ISBLANK('Data Entry'!$¯$619), "", 'Data Entry'!$¯$619)</f>
      </c>
      <c r="DH619">
        <f>IF(ISBLANK('Data Entry'!$°$619), "", 'Data Entry'!$°$619)</f>
      </c>
      <c r="DI619">
        <f>IF(ISBLANK('Data Entry'!$±$619), "", 'Data Entry'!$±$619)</f>
      </c>
      <c r="DJ619">
        <f>IF(ISBLANK('Data Entry'!$²$619), "", 'Data Entry'!$²$619)</f>
      </c>
      <c r="DK619">
        <f>IF(ISBLANK('Data Entry'!$³$619), "", 'Data Entry'!$³$619)</f>
      </c>
      <c r="DL619">
        <f>IF(ISBLANK('Data Entry'!$´$619), "", 'Data Entry'!$´$619)</f>
      </c>
      <c r="DM619">
        <f>IF(ISBLANK('Data Entry'!$µ$619), "", 'Data Entry'!$µ$619)</f>
      </c>
      <c r="DN619">
        <f>IF(ISBLANK('Data Entry'!$¶$619), "", 'Data Entry'!$¶$619)</f>
      </c>
      <c r="DO619">
        <f>IF(ISBLANK('Data Entry'!$·$619), "", 'Data Entry'!$·$619)</f>
      </c>
      <c r="DP619">
        <f>IF(ISBLANK('Data Entry'!$¸$619), "", 'Data Entry'!$¸$619)</f>
      </c>
      <c r="DQ619">
        <f>IF(ISBLANK('Data Entry'!$¹$619), "", 'Data Entry'!$¹$619)</f>
      </c>
      <c r="DR619">
        <f>IF(ISBLANK('Data Entry'!$º$619), "", 'Data Entry'!$º$619)</f>
      </c>
      <c r="DS619">
        <f>IF(ISBLANK('Data Entry'!$»$619), "", 'Data Entry'!$»$619)</f>
      </c>
      <c r="DT619">
        <f>IF(ISBLANK('Data Entry'!$¼$619), "", 'Data Entry'!$¼$619)</f>
      </c>
      <c r="DU619">
        <f>IF(ISBLANK('Data Entry'!$½$619), "", 'Data Entry'!$½$619)</f>
      </c>
      <c r="DV619">
        <f>IF(ISBLANK('Data Entry'!$¾$619), "", 'Data Entry'!$¾$619)</f>
      </c>
      <c r="DW619">
        <f>IF(ISBLANK('Data Entry'!$¿$619), "", 'Data Entry'!$¿$619)</f>
      </c>
      <c r="DX619">
        <f>IF(ISBLANK('Data Entry'!$À$619), "", 'Data Entry'!$À$619)</f>
      </c>
      <c r="DY619">
        <f>IF(ISBLANK('Data Entry'!$Á$619), "", 'Data Entry'!$Á$619)</f>
      </c>
      <c r="DZ619">
        <f>IF(ISBLANK('Data Entry'!$Â$619), "", 'Data Entry'!$Â$619)</f>
      </c>
      <c r="EA619">
        <f>IF(ISBLANK('Data Entry'!$Ã$619), "", 'Data Entry'!$Ã$619)</f>
      </c>
      <c r="EB619">
        <f>IF(ISBLANK('Data Entry'!$Ä$619), "", 'Data Entry'!$Ä$619)</f>
      </c>
      <c r="EC619">
        <f>IF(ISBLANK('Data Entry'!$Å$619), "", 'Data Entry'!$Å$619)</f>
      </c>
      <c r="ED619">
        <f>IF(ISBLANK('Data Entry'!$Æ$619), "", 'Data Entry'!$Æ$619)</f>
      </c>
      <c r="EE619">
        <f>IF(ISBLANK('Data Entry'!$Ç$619), "", 'Data Entry'!$Ç$619)</f>
      </c>
      <c r="EF619">
        <f>IF(ISBLANK('Data Entry'!$È$619), "", 'Data Entry'!$È$619)</f>
      </c>
      <c r="EG619">
        <f>IF(ISBLANK('Data Entry'!$É$619), "", 'Data Entry'!$É$619)</f>
      </c>
      <c r="EH619">
        <f>IF(ISBLANK('Data Entry'!$Ê$619), "", 'Data Entry'!$Ê$619)</f>
      </c>
      <c r="EI619">
        <f>IF(ISBLANK('Data Entry'!$Ë$619), "", 'Data Entry'!$Ë$619)</f>
      </c>
      <c r="EJ619">
        <f>IF(ISBLANK('Data Entry'!$Ì$619), "", 'Data Entry'!$Ì$619)</f>
      </c>
      <c r="EK619">
        <f>IF(ISBLANK('Data Entry'!$Í$619), "", 'Data Entry'!$Í$619)</f>
      </c>
      <c r="EL619">
        <f>IF(ISBLANK('Data Entry'!$Î$619), "", 'Data Entry'!$Î$619)</f>
      </c>
      <c r="EM619">
        <f>IF(ISBLANK('Data Entry'!$Ï$619), "", 'Data Entry'!$Ï$619)</f>
      </c>
      <c r="EN619">
        <f>IF(ISBLANK('Data Entry'!$Ð$619), "", 'Data Entry'!$Ð$619)</f>
      </c>
      <c r="EO619">
        <f>IF(ISBLANK('Data Entry'!$Ñ$619), "", 'Data Entry'!$Ñ$619)</f>
      </c>
      <c r="EP619">
        <f>IF(ISBLANK('Data Entry'!$Ò$619), "", 'Data Entry'!$Ò$619)</f>
      </c>
      <c r="EQ619">
        <f>IF(ISBLANK('Data Entry'!$Ó$619), "", 'Data Entry'!$Ó$619)</f>
      </c>
      <c r="ER619">
        <f>IF(ISBLANK('Data Entry'!$Ô$619), "", 'Data Entry'!$Ô$619)</f>
      </c>
      <c r="ES619">
        <f>IF(ISBLANK('Data Entry'!$Õ$619), "", 'Data Entry'!$Õ$619)</f>
      </c>
      <c r="ET619">
        <f>IF(ISBLANK('Data Entry'!$Ö$619), "", 'Data Entry'!$Ö$619)</f>
      </c>
      <c r="EU619">
        <f>IF(ISBLANK('Data Entry'!$×$619), "", 'Data Entry'!$×$619)</f>
      </c>
      <c r="EV619">
        <f>IF(ISBLANK('Data Entry'!$Ø$619), "", 'Data Entry'!$Ø$619)</f>
      </c>
      <c r="EW619">
        <f>IF(ISBLANK('Data Entry'!$Ù$619), "", 'Data Entry'!$Ù$619)</f>
      </c>
      <c r="EX619">
        <f>IF(ISBLANK('Data Entry'!$Ú$619), "", 'Data Entry'!$Ú$619)</f>
      </c>
      <c r="EY619">
        <f>IF(ISBLANK('Data Entry'!$Û$619), "", 'Data Entry'!$Û$619)</f>
      </c>
      <c r="EZ619">
        <f>IF(ISBLANK('Data Entry'!$Ü$619), "", 'Data Entry'!$Ü$619)</f>
      </c>
      <c r="FA619">
        <f>IF(ISBLANK('Data Entry'!$Ý$619), "", 'Data Entry'!$Ý$619)</f>
      </c>
      <c r="FB619">
        <f>IF(ISBLANK('Data Entry'!$Þ$619), "", 'Data Entry'!$Þ$619)</f>
      </c>
      <c r="FC619">
        <f>IF(ISBLANK('Data Entry'!$ß$619), "", 'Data Entry'!$ß$619)</f>
      </c>
      <c r="FD619">
        <f>IF(ISBLANK('Data Entry'!$à$619), "", 'Data Entry'!$à$619)</f>
      </c>
      <c r="FE619">
        <f>IF(ISBLANK('Data Entry'!$á$619), "", 'Data Entry'!$á$619)</f>
      </c>
      <c r="FF619">
        <f>IF(ISBLANK('Data Entry'!$â$619), "", 'Data Entry'!$â$619)</f>
      </c>
      <c r="FG619">
        <f>IF(ISBLANK('Data Entry'!$ã$619), "", 'Data Entry'!$ã$619)</f>
      </c>
      <c r="FH619">
        <f>IF(ISBLANK('Data Entry'!$ä$619), "", 'Data Entry'!$ä$619)</f>
      </c>
      <c r="FI619">
        <f>IF(ISBLANK('Data Entry'!$å$619), "", 'Data Entry'!$å$619)</f>
      </c>
      <c r="FJ619">
        <f>IF(ISBLANK('Data Entry'!$æ$619), "", 'Data Entry'!$æ$619)</f>
      </c>
      <c r="FK619">
        <f>IF(ISBLANK('Data Entry'!$ç$619), "", 'Data Entry'!$ç$619)</f>
      </c>
      <c r="FL619">
        <f>IF(ISBLANK('Data Entry'!$è$619), "", 'Data Entry'!$è$619)</f>
      </c>
      <c r="FM619">
        <f>IF(ISBLANK('Data Entry'!$é$619), "", 'Data Entry'!$é$619)</f>
      </c>
      <c r="FN619">
        <f>IF(ISBLANK('Data Entry'!$ê$619), "", 'Data Entry'!$ê$619)</f>
      </c>
      <c r="FO619">
        <f>IF(ISBLANK('Data Entry'!$ë$619), "", 'Data Entry'!$ë$619)</f>
      </c>
      <c r="FP619">
        <f>IF(ISBLANK('Data Entry'!$ì$619), "", 'Data Entry'!$ì$619)</f>
      </c>
      <c r="FQ619">
        <f>IF(ISBLANK('Data Entry'!$í$619), "", 'Data Entry'!$í$619)</f>
      </c>
      <c r="FR619">
        <f>IF(ISBLANK('Data Entry'!$î$619), "", 'Data Entry'!$î$619)</f>
      </c>
      <c r="FS619">
        <f>IF(ISBLANK('Data Entry'!$ï$619), "", 'Data Entry'!$ï$619)</f>
      </c>
      <c r="FT619">
        <f>IF(ISBLANK('Data Entry'!$ð$619), "", 'Data Entry'!$ð$619)</f>
      </c>
      <c r="FU619">
        <f>IF(ISBLANK('Data Entry'!$ñ$619), "", 'Data Entry'!$ñ$619)</f>
      </c>
      <c r="FV619">
        <f>IF(ISBLANK('Data Entry'!$ò$619), "", 'Data Entry'!$ò$619)</f>
      </c>
      <c r="FW619">
        <f>IF(ISBLANK('Data Entry'!$ó$619), "", 'Data Entry'!$ó$619)</f>
      </c>
      <c r="FX619">
        <f>IF(ISBLANK('Data Entry'!$ô$619), "", 'Data Entry'!$ô$619)</f>
      </c>
      <c r="FY619">
        <f>IF(ISBLANK('Data Entry'!$õ$619), "", 'Data Entry'!$õ$619)</f>
      </c>
      <c r="FZ619">
        <f>IF(ISBLANK('Data Entry'!$ö$619), "", 'Data Entry'!$ö$619)</f>
      </c>
      <c r="GA619">
        <f>IF(ISBLANK('Data Entry'!$÷$619), "", 'Data Entry'!$÷$619)</f>
      </c>
      <c r="GB619">
        <f>IF(ISBLANK('Data Entry'!$ø$619), "", 'Data Entry'!$ø$619)</f>
      </c>
      <c r="GC619">
        <f>IF(ISBLANK('Data Entry'!$ù$619), "", 'Data Entry'!$ù$619)</f>
      </c>
      <c r="GD619">
        <f>IF(ISBLANK('Data Entry'!$ú$619), "", 'Data Entry'!$ú$619)</f>
      </c>
      <c r="GE619">
        <f>IF(ISBLANK('Data Entry'!$û$619), "", 'Data Entry'!$û$619)</f>
      </c>
      <c r="GF619">
        <f>IF(ISBLANK('Data Entry'!$ü$619), "", 'Data Entry'!$ü$619)</f>
      </c>
      <c r="GG619">
        <f>IF(ISBLANK('Data Entry'!$ý$619), "", 'Data Entry'!$ý$619)</f>
      </c>
      <c r="GH619">
        <f>IF(ISBLANK('Data Entry'!$þ$619), "", 'Data Entry'!$þ$619)</f>
      </c>
      <c r="GI619">
        <f>IF(ISBLANK('Data Entry'!$ÿ$619), "", 'Data Entry'!$ÿ$619)</f>
      </c>
      <c r="GJ619">
        <f>IF(ISBLANK('Data Entry'!$Ā$619), "", 'Data Entry'!$Ā$619)</f>
      </c>
      <c r="GK619">
        <f>IF(ISBLANK('Data Entry'!$ā$619), "", 'Data Entry'!$ā$619)</f>
      </c>
      <c r="GL619">
        <f>IF(ISBLANK('Data Entry'!$Ă$619), "", 'Data Entry'!$Ă$619)</f>
      </c>
      <c r="GM619">
        <f>IF(ISBLANK('Data Entry'!$ă$619), "", 'Data Entry'!$ă$619)</f>
      </c>
      <c r="GN619">
        <f>IF(ISBLANK('Data Entry'!$Ą$619), "", 'Data Entry'!$Ą$619)</f>
      </c>
      <c r="GO619">
        <f>IF(ISBLANK('Data Entry'!$ą$619), "", 'Data Entry'!$ą$619)</f>
      </c>
      <c r="GP619">
        <f>IF(ISBLANK('Data Entry'!$Ć$619), "", 'Data Entry'!$Ć$619)</f>
      </c>
      <c r="GQ619">
        <f>IF(ISBLANK('Data Entry'!$ć$619), "", 'Data Entry'!$ć$619)</f>
      </c>
      <c r="GR619">
        <f>IF(ISBLANK('Data Entry'!$Ĉ$619), "", 'Data Entry'!$Ĉ$619)</f>
      </c>
      <c r="GS619">
        <f>IF(ISBLANK('Data Entry'!$ĉ$619), "", 'Data Entry'!$ĉ$619)</f>
      </c>
      <c r="GT619">
        <f>IF(ISBLANK('Data Entry'!$Ċ$619), "", 'Data Entry'!$Ċ$619)</f>
      </c>
      <c r="GU619">
        <f>IF(ISBLANK('Data Entry'!$ċ$619), "", 'Data Entry'!$ċ$619)</f>
      </c>
      <c r="GV619">
        <f>IF(ISBLANK('Data Entry'!$Č$619), "", 'Data Entry'!$Č$619)</f>
      </c>
      <c r="GW619">
        <f>IF(ISBLANK('Data Entry'!$č$619), "", 'Data Entry'!$č$619)</f>
      </c>
      <c r="GX619">
        <f>IF(ISBLANK('Data Entry'!$Ď$619), "", 'Data Entry'!$Ď$619)</f>
      </c>
      <c r="GY619">
        <f>IF(ISBLANK('Data Entry'!$ď$619), "", 'Data Entry'!$ď$619)</f>
      </c>
      <c r="GZ619">
        <f>IF(ISBLANK('Data Entry'!$Đ$619), "", 'Data Entry'!$Đ$619)</f>
      </c>
      <c r="HA619">
        <f>IF(ISBLANK('Data Entry'!$đ$619), "", 'Data Entry'!$đ$619)</f>
      </c>
      <c r="HB619">
        <f>IF(ISBLANK('Data Entry'!$Ē$619), "", 'Data Entry'!$Ē$619)</f>
      </c>
      <c r="HC619">
        <f>IF(ISBLANK('Data Entry'!$ē$619), "", 'Data Entry'!$ē$619)</f>
      </c>
      <c r="HD619">
        <f>IF(ISBLANK('Data Entry'!$Ĕ$619), "", 'Data Entry'!$Ĕ$619)</f>
      </c>
      <c r="HE619">
        <f>IF(ISBLANK('Data Entry'!$ĕ$619), "", 'Data Entry'!$ĕ$619)</f>
      </c>
      <c r="HF619">
        <f>IF(ISBLANK('Data Entry'!$Ė$619), "", 'Data Entry'!$Ė$619)</f>
      </c>
      <c r="HG619">
        <f>IF(ISBLANK('Data Entry'!$ė$619), "", 'Data Entry'!$ė$619)</f>
      </c>
      <c r="HH619">
        <f>IF(ISBLANK('Data Entry'!$Ę$619), "", 'Data Entry'!$Ę$619)</f>
      </c>
      <c r="HI619">
        <f>IF(ISBLANK('Data Entry'!$ę$619), "", 'Data Entry'!$ę$619)</f>
      </c>
      <c r="HJ619">
        <f>IF(ISBLANK('Data Entry'!$Ě$619), "", 'Data Entry'!$Ě$619)</f>
      </c>
      <c r="HK619">
        <f>IF(ISBLANK('Data Entry'!$ě$619), "", 'Data Entry'!$ě$619)</f>
      </c>
      <c r="HL619">
        <f>IF(ISBLANK('Data Entry'!$Ĝ$619), "", 'Data Entry'!$Ĝ$619)</f>
      </c>
      <c r="HM619">
        <f>IF(ISBLANK('Data Entry'!$ĝ$619), "", 'Data Entry'!$ĝ$619)</f>
      </c>
      <c r="HN619">
        <f>IF(ISBLANK('Data Entry'!$Ğ$619), "", 'Data Entry'!$Ğ$619)</f>
      </c>
      <c r="HO619">
        <f>IF(ISBLANK('Data Entry'!$ğ$619), "", 'Data Entry'!$ğ$619)</f>
      </c>
      <c r="HP619">
        <f>IF(ISBLANK('Data Entry'!$Ġ$619), "", 'Data Entry'!$Ġ$619)</f>
      </c>
      <c r="HQ619">
        <f>IF(ISBLANK('Data Entry'!$ġ$619), "", 'Data Entry'!$ġ$619)</f>
      </c>
      <c r="HR619">
        <f>IF(ISBLANK('Data Entry'!$Ģ$619), "", 'Data Entry'!$Ģ$619)</f>
      </c>
      <c r="HS619">
        <f>IF(ISBLANK('Data Entry'!$ģ$619), "", 'Data Entry'!$ģ$619)</f>
      </c>
      <c r="HT619">
        <f>IF(ISBLANK('Data Entry'!$Ĥ$619), "", 'Data Entry'!$Ĥ$619)</f>
      </c>
      <c r="HU619">
        <f>IF(ISBLANK('Data Entry'!$ĥ$619), "", 'Data Entry'!$ĥ$619)</f>
      </c>
      <c r="HV619">
        <f>IF(ISBLANK('Data Entry'!$Ħ$619), "", 'Data Entry'!$Ħ$619)</f>
      </c>
      <c r="HW619">
        <f>IF(ISBLANK('Data Entry'!$ħ$619), "", 'Data Entry'!$ħ$619)</f>
      </c>
      <c r="HX619">
        <f>IF(ISBLANK('Data Entry'!$Ĩ$619), "", 'Data Entry'!$Ĩ$619)</f>
      </c>
      <c r="HY619">
        <f>IF(ISBLANK('Data Entry'!$ĩ$619), "", 'Data Entry'!$ĩ$619)</f>
      </c>
      <c r="HZ619">
        <f>IF(ISBLANK('Data Entry'!$Ī$619), "", 'Data Entry'!$Ī$619)</f>
      </c>
      <c r="IA619">
        <f>IF(ISBLANK('Data Entry'!$ī$619), "", 'Data Entry'!$ī$619)</f>
      </c>
      <c r="IB619">
        <f>IF(ISBLANK('Data Entry'!$Ĭ$619), "", 'Data Entry'!$Ĭ$619)</f>
      </c>
      <c r="IC619">
        <f>IF(ISBLANK('Data Entry'!$ĭ$619), "", 'Data Entry'!$ĭ$619)</f>
      </c>
      <c r="ID619">
        <f>IF(ISBLANK('Data Entry'!$Į$619), "", 'Data Entry'!$Į$619)</f>
      </c>
      <c r="IE619">
        <f>IF(ISBLANK('Data Entry'!$į$619), "", 'Data Entry'!$į$619)</f>
      </c>
      <c r="IF619">
        <f>IF(ISBLANK('Data Entry'!$İ$619), "", 'Data Entry'!$İ$619)</f>
      </c>
      <c r="IG619">
        <f>IF(ISBLANK('Data Entry'!$ı$619), "", 'Data Entry'!$ı$619)</f>
      </c>
      <c r="IH619">
        <f>IF(ISBLANK('Data Entry'!$Ĳ$619), "", 'Data Entry'!$Ĳ$619)</f>
      </c>
      <c r="II619">
        <f>IF(ISBLANK('Data Entry'!$ĳ$619), "", 'Data Entry'!$ĳ$619)</f>
      </c>
      <c r="IJ619">
        <f>IF(ISBLANK('Data Entry'!$Ĵ$619), "", 'Data Entry'!$Ĵ$619)</f>
      </c>
      <c r="IK619">
        <f>IF(ISBLANK('Data Entry'!$ĵ$619), "", 'Data Entry'!$ĵ$619)</f>
      </c>
      <c r="IL619">
        <f>IF(ISBLANK('Data Entry'!$Ķ$619), "", 'Data Entry'!$Ķ$619)</f>
      </c>
      <c r="IM619">
        <f>IF(ISBLANK('Data Entry'!$ķ$619), "", 'Data Entry'!$ķ$619)</f>
      </c>
      <c r="IN619">
        <f>IF(ISBLANK('Data Entry'!$ĸ$619), "", 'Data Entry'!$ĸ$619)</f>
      </c>
      <c r="IO619">
        <f>IF(ISBLANK('Data Entry'!$Ĺ$619), "", 'Data Entry'!$Ĺ$619)</f>
      </c>
      <c r="IP619">
        <f>IF(ISBLANK('Data Entry'!$ĺ$619), "", 'Data Entry'!$ĺ$619)</f>
      </c>
      <c r="IQ619">
        <f>IF(ISBLANK('Data Entry'!$Ļ$619), "", 'Data Entry'!$Ļ$619)</f>
      </c>
      <c r="IR619">
        <f>IF(ISBLANK('Data Entry'!$ļ$619), "", 'Data Entry'!$ļ$619)</f>
      </c>
      <c r="IS619">
        <f>IF(ISBLANK('Data Entry'!$Ľ$619), "", 'Data Entry'!$Ľ$619)</f>
      </c>
      <c r="IT619">
        <f>IF(ISBLANK('Data Entry'!$ľ$619), "", 'Data Entry'!$ľ$619)</f>
      </c>
    </row>
    <row r="620" spans="1:254" x14ac:dyDescent="0.25">
      <c r="A620">
        <f>IF(ISBLANK('Data Entry'!$A$620), "", 'Data Entry'!$A$620)</f>
      </c>
      <c r="B620">
        <f>IF(ISBLANK('Data Entry'!$B$620), "", 'Data Entry'!$B$620)</f>
      </c>
      <c r="C620">
        <f>IF(ISBLANK('Data Entry'!$C$620), "", 'Data Entry'!$C$620)</f>
      </c>
      <c r="D620">
        <f>IF(ISBLANK('Data Entry'!$D$620), "", 'Data Entry'!$D$620)</f>
      </c>
      <c r="E620">
        <f>IF(ISBLANK('Data Entry'!$E$620), "", 'Data Entry'!$E$620)</f>
      </c>
      <c r="F620">
        <f>IF(ISBLANK('Data Entry'!$F$620), "", 'Data Entry'!$F$620)</f>
      </c>
      <c r="G620">
        <f>IF(ISBLANK('Data Entry'!$G$620), "", 'Data Entry'!$G$620)</f>
      </c>
      <c r="H620">
        <f>IF(ISBLANK('Data Entry'!$H$620), "", 'Data Entry'!$H$620)</f>
      </c>
      <c r="I620">
        <f>IF(ISBLANK('Data Entry'!$I$620), "", 'Data Entry'!$I$620)</f>
      </c>
      <c r="J620">
        <f>IF(ISBLANK('Data Entry'!$J$620), "", 'Data Entry'!$J$620)</f>
      </c>
      <c r="K620">
        <f>IF(ISBLANK('Data Entry'!$K$620), "", 'Data Entry'!$K$620)</f>
      </c>
      <c r="L620">
        <f>IF(ISBLANK('Data Entry'!$L$620), "", 'Data Entry'!$L$620)</f>
      </c>
      <c r="M620">
        <f>IF(ISBLANK('Data Entry'!$M$620), "", 'Data Entry'!$M$620)</f>
      </c>
      <c r="N620">
        <f>IF(ISBLANK('Data Entry'!$N$620), "", 'Data Entry'!$N$620)</f>
      </c>
      <c r="O620">
        <f>IF(ISBLANK('Data Entry'!$O$620), "", 'Data Entry'!$O$620)</f>
      </c>
      <c r="P620">
        <f>IF(ISBLANK('Data Entry'!$P$620), "", 'Data Entry'!$P$620)</f>
      </c>
      <c r="Q620">
        <f>IF(ISBLANK('Data Entry'!$Q$620), "", 'Data Entry'!$Q$620)</f>
      </c>
      <c r="R620">
        <f>IF(ISBLANK('Data Entry'!$R$620), "", 'Data Entry'!$R$620)</f>
      </c>
      <c r="S620">
        <f>IF(ISBLANK('Data Entry'!$S$620), "", 'Data Entry'!$S$620)</f>
      </c>
      <c r="T620">
        <f>IF(ISBLANK('Data Entry'!$T$620), "", 'Data Entry'!$T$620)</f>
      </c>
      <c r="U620">
        <f>IF(ISBLANK('Data Entry'!$U$620), "", 'Data Entry'!$U$620)</f>
      </c>
      <c r="V620">
        <f>IF(ISBLANK('Data Entry'!$V$620), "", 'Data Entry'!$V$620)</f>
      </c>
      <c r="W620">
        <f>IF(ISBLANK('Data Entry'!$W$620), "", 'Data Entry'!$W$620)</f>
      </c>
      <c r="X620">
        <f>IF(ISBLANK('Data Entry'!$X$620), "", 'Data Entry'!$X$620)</f>
      </c>
      <c r="Y620">
        <f>IF(ISBLANK('Data Entry'!$Y$620), "", 'Data Entry'!$Y$620)</f>
      </c>
      <c r="Z620">
        <f>IF(ISBLANK('Data Entry'!$Z$620), "", 'Data Entry'!$Z$620)</f>
      </c>
      <c r="AA620">
        <f>IF(ISBLANK('Data Entry'!$[$620), "", 'Data Entry'!$[$620)</f>
      </c>
      <c r="AB620">
        <f>IF(ISBLANK('Data Entry'!$\$620), "", 'Data Entry'!$\$620)</f>
      </c>
      <c r="AC620">
        <f>IF(ISBLANK('Data Entry'!$]$620), "", 'Data Entry'!$]$620)</f>
      </c>
      <c r="AD620">
        <f>IF(ISBLANK('Data Entry'!$^$620), "", 'Data Entry'!$^$620)</f>
      </c>
      <c r="AE620">
        <f>IF(ISBLANK('Data Entry'!$_$620), "", 'Data Entry'!$_$620)</f>
      </c>
      <c r="AF620">
        <f>IF(ISBLANK('Data Entry'!$`$620), "", 'Data Entry'!$`$620)</f>
      </c>
      <c r="AG620">
        <f>IF(ISBLANK('Data Entry'!$a$620), "", 'Data Entry'!$a$620)</f>
      </c>
      <c r="AH620">
        <f>IF(ISBLANK('Data Entry'!$b$620), "", 'Data Entry'!$b$620)</f>
      </c>
      <c r="AI620">
        <f>IF(ISBLANK('Data Entry'!$c$620), "", 'Data Entry'!$c$620)</f>
      </c>
      <c r="AJ620">
        <f>IF(ISBLANK('Data Entry'!$d$620), "", 'Data Entry'!$d$620)</f>
      </c>
      <c r="AK620">
        <f>IF(ISBLANK('Data Entry'!$e$620), "", 'Data Entry'!$e$620)</f>
      </c>
      <c r="AL620">
        <f>IF(ISBLANK('Data Entry'!$f$620), "", 'Data Entry'!$f$620)</f>
      </c>
      <c r="AM620">
        <f>IF(ISBLANK('Data Entry'!$g$620), "", 'Data Entry'!$g$620)</f>
      </c>
      <c r="AN620">
        <f>IF(ISBLANK('Data Entry'!$h$620), "", 'Data Entry'!$h$620)</f>
      </c>
      <c r="AO620">
        <f>IF(ISBLANK('Data Entry'!$i$620), "", 'Data Entry'!$i$620)</f>
      </c>
      <c r="AP620">
        <f>IF(ISBLANK('Data Entry'!$j$620), "", 'Data Entry'!$j$620)</f>
      </c>
      <c r="AQ620">
        <f>IF(ISBLANK('Data Entry'!$k$620), "", 'Data Entry'!$k$620)</f>
      </c>
      <c r="AR620">
        <f>IF(ISBLANK('Data Entry'!$l$620), "", 'Data Entry'!$l$620)</f>
      </c>
      <c r="AS620">
        <f>IF(ISBLANK('Data Entry'!$m$620), "", 'Data Entry'!$m$620)</f>
      </c>
      <c r="AT620">
        <f>IF(ISBLANK('Data Entry'!$n$620), "", 'Data Entry'!$n$620)</f>
      </c>
      <c r="AU620">
        <f>IF(ISBLANK('Data Entry'!$o$620), "", 'Data Entry'!$o$620)</f>
      </c>
      <c r="AV620">
        <f>IF(ISBLANK('Data Entry'!$p$620), "", 'Data Entry'!$p$620)</f>
      </c>
      <c r="AW620">
        <f>IF(ISBLANK('Data Entry'!$q$620), "", 'Data Entry'!$q$620)</f>
      </c>
      <c r="AX620">
        <f>IF(ISBLANK('Data Entry'!$r$620), "", 'Data Entry'!$r$620)</f>
      </c>
      <c r="AY620">
        <f>IF(ISBLANK('Data Entry'!$s$620), "", 'Data Entry'!$s$620)</f>
      </c>
      <c r="AZ620">
        <f>IF(ISBLANK('Data Entry'!$t$620), "", 'Data Entry'!$t$620)</f>
      </c>
      <c r="BA620">
        <f>IF(ISBLANK('Data Entry'!$u$620), "", 'Data Entry'!$u$620)</f>
      </c>
      <c r="BB620">
        <f>IF(ISBLANK('Data Entry'!$v$620), "", 'Data Entry'!$v$620)</f>
      </c>
      <c r="BC620">
        <f>IF(ISBLANK('Data Entry'!$w$620), "", 'Data Entry'!$w$620)</f>
      </c>
      <c r="BD620">
        <f>IF(ISBLANK('Data Entry'!$x$620), "", 'Data Entry'!$x$620)</f>
      </c>
      <c r="BE620">
        <f>IF(ISBLANK('Data Entry'!$y$620), "", 'Data Entry'!$y$620)</f>
      </c>
      <c r="BF620">
        <f>IF(ISBLANK('Data Entry'!$z$620), "", 'Data Entry'!$z$620)</f>
      </c>
      <c r="BG620">
        <f>IF(ISBLANK('Data Entry'!${$620), "", 'Data Entry'!${$620)</f>
      </c>
      <c r="BH620">
        <f>IF(ISBLANK('Data Entry'!$|$620), "", 'Data Entry'!$|$620)</f>
      </c>
      <c r="BI620">
        <f>IF(ISBLANK('Data Entry'!$}$620), "", 'Data Entry'!$}$620)</f>
      </c>
      <c r="BJ620">
        <f>IF(ISBLANK('Data Entry'!$~$620), "", 'Data Entry'!$~$620)</f>
      </c>
      <c r="BK620">
        <f>IF(ISBLANK('Data Entry'!$$620), "", 'Data Entry'!$$620)</f>
      </c>
      <c r="BL620">
        <f>IF(ISBLANK('Data Entry'!$$620), "", 'Data Entry'!$$620)</f>
      </c>
      <c r="BM620">
        <f>IF(ISBLANK('Data Entry'!$$620), "", 'Data Entry'!$$620)</f>
      </c>
      <c r="BN620">
        <f>IF(ISBLANK('Data Entry'!$$620), "", 'Data Entry'!$$620)</f>
      </c>
      <c r="BO620">
        <f>IF(ISBLANK('Data Entry'!$$620), "", 'Data Entry'!$$620)</f>
      </c>
      <c r="BP620">
        <f>IF(ISBLANK('Data Entry'!$$620), "", 'Data Entry'!$$620)</f>
      </c>
      <c r="BQ620">
        <f>IF(ISBLANK('Data Entry'!$$620), "", 'Data Entry'!$$620)</f>
      </c>
      <c r="BR620">
        <f>IF(ISBLANK('Data Entry'!$$620), "", 'Data Entry'!$$620)</f>
      </c>
      <c r="BS620">
        <f>IF(ISBLANK('Data Entry'!$$620), "", 'Data Entry'!$$620)</f>
      </c>
      <c r="BT620">
        <f>IF(ISBLANK('Data Entry'!$$620), "", 'Data Entry'!$$620)</f>
      </c>
      <c r="BU620">
        <f>IF(ISBLANK('Data Entry'!$$620), "", 'Data Entry'!$$620)</f>
      </c>
      <c r="BV620">
        <f>IF(ISBLANK('Data Entry'!$$620), "", 'Data Entry'!$$620)</f>
      </c>
      <c r="BW620">
        <f>IF(ISBLANK('Data Entry'!$$620), "", 'Data Entry'!$$620)</f>
      </c>
      <c r="BX620">
        <f>IF(ISBLANK('Data Entry'!$$620), "", 'Data Entry'!$$620)</f>
      </c>
      <c r="BY620">
        <f>IF(ISBLANK('Data Entry'!$$620), "", 'Data Entry'!$$620)</f>
      </c>
      <c r="BZ620">
        <f>IF(ISBLANK('Data Entry'!$$620), "", 'Data Entry'!$$620)</f>
      </c>
      <c r="CA620">
        <f>IF(ISBLANK('Data Entry'!$$620), "", 'Data Entry'!$$620)</f>
      </c>
      <c r="CB620">
        <f>IF(ISBLANK('Data Entry'!$$620), "", 'Data Entry'!$$620)</f>
      </c>
      <c r="CC620">
        <f>IF(ISBLANK('Data Entry'!$$620), "", 'Data Entry'!$$620)</f>
      </c>
      <c r="CD620">
        <f>IF(ISBLANK('Data Entry'!$$620), "", 'Data Entry'!$$620)</f>
      </c>
      <c r="CE620">
        <f>IF(ISBLANK('Data Entry'!$$620), "", 'Data Entry'!$$620)</f>
      </c>
      <c r="CF620">
        <f>IF(ISBLANK('Data Entry'!$$620), "", 'Data Entry'!$$620)</f>
      </c>
      <c r="CG620">
        <f>IF(ISBLANK('Data Entry'!$$620), "", 'Data Entry'!$$620)</f>
      </c>
      <c r="CH620">
        <f>IF(ISBLANK('Data Entry'!$$620), "", 'Data Entry'!$$620)</f>
      </c>
      <c r="CI620">
        <f>IF(ISBLANK('Data Entry'!$$620), "", 'Data Entry'!$$620)</f>
      </c>
      <c r="CJ620">
        <f>IF(ISBLANK('Data Entry'!$$620), "", 'Data Entry'!$$620)</f>
      </c>
      <c r="CK620">
        <f>IF(ISBLANK('Data Entry'!$$620), "", 'Data Entry'!$$620)</f>
      </c>
      <c r="CL620">
        <f>IF(ISBLANK('Data Entry'!$$620), "", 'Data Entry'!$$620)</f>
      </c>
      <c r="CM620">
        <f>IF(ISBLANK('Data Entry'!$$620), "", 'Data Entry'!$$620)</f>
      </c>
      <c r="CN620">
        <f>IF(ISBLANK('Data Entry'!$$620), "", 'Data Entry'!$$620)</f>
      </c>
      <c r="CO620">
        <f>IF(ISBLANK('Data Entry'!$$620), "", 'Data Entry'!$$620)</f>
      </c>
      <c r="CP620">
        <f>IF(ISBLANK('Data Entry'!$$620), "", 'Data Entry'!$$620)</f>
      </c>
      <c r="CQ620">
        <f>IF(ISBLANK('Data Entry'!$$620), "", 'Data Entry'!$$620)</f>
      </c>
      <c r="CR620">
        <f>IF(ISBLANK('Data Entry'!$ $620), "", 'Data Entry'!$ $620)</f>
      </c>
      <c r="CS620">
        <f>IF(ISBLANK('Data Entry'!$¡$620), "", 'Data Entry'!$¡$620)</f>
      </c>
      <c r="CT620">
        <f>IF(ISBLANK('Data Entry'!$¢$620), "", 'Data Entry'!$¢$620)</f>
      </c>
      <c r="CU620">
        <f>IF(ISBLANK('Data Entry'!$£$620), "", 'Data Entry'!$£$620)</f>
      </c>
      <c r="CV620">
        <f>IF(ISBLANK('Data Entry'!$¤$620), "", 'Data Entry'!$¤$620)</f>
      </c>
      <c r="CW620">
        <f>IF(ISBLANK('Data Entry'!$¥$620), "", 'Data Entry'!$¥$620)</f>
      </c>
      <c r="CX620">
        <f>IF(ISBLANK('Data Entry'!$¦$620), "", 'Data Entry'!$¦$620)</f>
      </c>
      <c r="CY620">
        <f>IF(ISBLANK('Data Entry'!$§$620), "", 'Data Entry'!$§$620)</f>
      </c>
      <c r="CZ620">
        <f>IF(ISBLANK('Data Entry'!$¨$620), "", 'Data Entry'!$¨$620)</f>
      </c>
      <c r="DA620">
        <f>IF(ISBLANK('Data Entry'!$©$620), "", 'Data Entry'!$©$620)</f>
      </c>
      <c r="DB620">
        <f>IF(ISBLANK('Data Entry'!$ª$620), "", 'Data Entry'!$ª$620)</f>
      </c>
      <c r="DC620">
        <f>IF(ISBLANK('Data Entry'!$«$620), "", 'Data Entry'!$«$620)</f>
      </c>
      <c r="DD620">
        <f>IF(ISBLANK('Data Entry'!$¬$620), "", 'Data Entry'!$¬$620)</f>
      </c>
      <c r="DE620">
        <f>IF(ISBLANK('Data Entry'!$­$620), "", 'Data Entry'!$­$620)</f>
      </c>
      <c r="DF620">
        <f>IF(ISBLANK('Data Entry'!$®$620), "", 'Data Entry'!$®$620)</f>
      </c>
      <c r="DG620">
        <f>IF(ISBLANK('Data Entry'!$¯$620), "", 'Data Entry'!$¯$620)</f>
      </c>
      <c r="DH620">
        <f>IF(ISBLANK('Data Entry'!$°$620), "", 'Data Entry'!$°$620)</f>
      </c>
      <c r="DI620">
        <f>IF(ISBLANK('Data Entry'!$±$620), "", 'Data Entry'!$±$620)</f>
      </c>
      <c r="DJ620">
        <f>IF(ISBLANK('Data Entry'!$²$620), "", 'Data Entry'!$²$620)</f>
      </c>
      <c r="DK620">
        <f>IF(ISBLANK('Data Entry'!$³$620), "", 'Data Entry'!$³$620)</f>
      </c>
      <c r="DL620">
        <f>IF(ISBLANK('Data Entry'!$´$620), "", 'Data Entry'!$´$620)</f>
      </c>
      <c r="DM620">
        <f>IF(ISBLANK('Data Entry'!$µ$620), "", 'Data Entry'!$µ$620)</f>
      </c>
      <c r="DN620">
        <f>IF(ISBLANK('Data Entry'!$¶$620), "", 'Data Entry'!$¶$620)</f>
      </c>
      <c r="DO620">
        <f>IF(ISBLANK('Data Entry'!$·$620), "", 'Data Entry'!$·$620)</f>
      </c>
      <c r="DP620">
        <f>IF(ISBLANK('Data Entry'!$¸$620), "", 'Data Entry'!$¸$620)</f>
      </c>
      <c r="DQ620">
        <f>IF(ISBLANK('Data Entry'!$¹$620), "", 'Data Entry'!$¹$620)</f>
      </c>
      <c r="DR620">
        <f>IF(ISBLANK('Data Entry'!$º$620), "", 'Data Entry'!$º$620)</f>
      </c>
      <c r="DS620">
        <f>IF(ISBLANK('Data Entry'!$»$620), "", 'Data Entry'!$»$620)</f>
      </c>
      <c r="DT620">
        <f>IF(ISBLANK('Data Entry'!$¼$620), "", 'Data Entry'!$¼$620)</f>
      </c>
      <c r="DU620">
        <f>IF(ISBLANK('Data Entry'!$½$620), "", 'Data Entry'!$½$620)</f>
      </c>
      <c r="DV620">
        <f>IF(ISBLANK('Data Entry'!$¾$620), "", 'Data Entry'!$¾$620)</f>
      </c>
      <c r="DW620">
        <f>IF(ISBLANK('Data Entry'!$¿$620), "", 'Data Entry'!$¿$620)</f>
      </c>
      <c r="DX620">
        <f>IF(ISBLANK('Data Entry'!$À$620), "", 'Data Entry'!$À$620)</f>
      </c>
      <c r="DY620">
        <f>IF(ISBLANK('Data Entry'!$Á$620), "", 'Data Entry'!$Á$620)</f>
      </c>
      <c r="DZ620">
        <f>IF(ISBLANK('Data Entry'!$Â$620), "", 'Data Entry'!$Â$620)</f>
      </c>
      <c r="EA620">
        <f>IF(ISBLANK('Data Entry'!$Ã$620), "", 'Data Entry'!$Ã$620)</f>
      </c>
      <c r="EB620">
        <f>IF(ISBLANK('Data Entry'!$Ä$620), "", 'Data Entry'!$Ä$620)</f>
      </c>
      <c r="EC620">
        <f>IF(ISBLANK('Data Entry'!$Å$620), "", 'Data Entry'!$Å$620)</f>
      </c>
      <c r="ED620">
        <f>IF(ISBLANK('Data Entry'!$Æ$620), "", 'Data Entry'!$Æ$620)</f>
      </c>
      <c r="EE620">
        <f>IF(ISBLANK('Data Entry'!$Ç$620), "", 'Data Entry'!$Ç$620)</f>
      </c>
      <c r="EF620">
        <f>IF(ISBLANK('Data Entry'!$È$620), "", 'Data Entry'!$È$620)</f>
      </c>
      <c r="EG620">
        <f>IF(ISBLANK('Data Entry'!$É$620), "", 'Data Entry'!$É$620)</f>
      </c>
      <c r="EH620">
        <f>IF(ISBLANK('Data Entry'!$Ê$620), "", 'Data Entry'!$Ê$620)</f>
      </c>
      <c r="EI620">
        <f>IF(ISBLANK('Data Entry'!$Ë$620), "", 'Data Entry'!$Ë$620)</f>
      </c>
      <c r="EJ620">
        <f>IF(ISBLANK('Data Entry'!$Ì$620), "", 'Data Entry'!$Ì$620)</f>
      </c>
      <c r="EK620">
        <f>IF(ISBLANK('Data Entry'!$Í$620), "", 'Data Entry'!$Í$620)</f>
      </c>
      <c r="EL620">
        <f>IF(ISBLANK('Data Entry'!$Î$620), "", 'Data Entry'!$Î$620)</f>
      </c>
      <c r="EM620">
        <f>IF(ISBLANK('Data Entry'!$Ï$620), "", 'Data Entry'!$Ï$620)</f>
      </c>
      <c r="EN620">
        <f>IF(ISBLANK('Data Entry'!$Ð$620), "", 'Data Entry'!$Ð$620)</f>
      </c>
      <c r="EO620">
        <f>IF(ISBLANK('Data Entry'!$Ñ$620), "", 'Data Entry'!$Ñ$620)</f>
      </c>
      <c r="EP620">
        <f>IF(ISBLANK('Data Entry'!$Ò$620), "", 'Data Entry'!$Ò$620)</f>
      </c>
      <c r="EQ620">
        <f>IF(ISBLANK('Data Entry'!$Ó$620), "", 'Data Entry'!$Ó$620)</f>
      </c>
      <c r="ER620">
        <f>IF(ISBLANK('Data Entry'!$Ô$620), "", 'Data Entry'!$Ô$620)</f>
      </c>
      <c r="ES620">
        <f>IF(ISBLANK('Data Entry'!$Õ$620), "", 'Data Entry'!$Õ$620)</f>
      </c>
      <c r="ET620">
        <f>IF(ISBLANK('Data Entry'!$Ö$620), "", 'Data Entry'!$Ö$620)</f>
      </c>
      <c r="EU620">
        <f>IF(ISBLANK('Data Entry'!$×$620), "", 'Data Entry'!$×$620)</f>
      </c>
      <c r="EV620">
        <f>IF(ISBLANK('Data Entry'!$Ø$620), "", 'Data Entry'!$Ø$620)</f>
      </c>
      <c r="EW620">
        <f>IF(ISBLANK('Data Entry'!$Ù$620), "", 'Data Entry'!$Ù$620)</f>
      </c>
      <c r="EX620">
        <f>IF(ISBLANK('Data Entry'!$Ú$620), "", 'Data Entry'!$Ú$620)</f>
      </c>
      <c r="EY620">
        <f>IF(ISBLANK('Data Entry'!$Û$620), "", 'Data Entry'!$Û$620)</f>
      </c>
      <c r="EZ620">
        <f>IF(ISBLANK('Data Entry'!$Ü$620), "", 'Data Entry'!$Ü$620)</f>
      </c>
      <c r="FA620">
        <f>IF(ISBLANK('Data Entry'!$Ý$620), "", 'Data Entry'!$Ý$620)</f>
      </c>
      <c r="FB620">
        <f>IF(ISBLANK('Data Entry'!$Þ$620), "", 'Data Entry'!$Þ$620)</f>
      </c>
      <c r="FC620">
        <f>IF(ISBLANK('Data Entry'!$ß$620), "", 'Data Entry'!$ß$620)</f>
      </c>
      <c r="FD620">
        <f>IF(ISBLANK('Data Entry'!$à$620), "", 'Data Entry'!$à$620)</f>
      </c>
      <c r="FE620">
        <f>IF(ISBLANK('Data Entry'!$á$620), "", 'Data Entry'!$á$620)</f>
      </c>
      <c r="FF620">
        <f>IF(ISBLANK('Data Entry'!$â$620), "", 'Data Entry'!$â$620)</f>
      </c>
      <c r="FG620">
        <f>IF(ISBLANK('Data Entry'!$ã$620), "", 'Data Entry'!$ã$620)</f>
      </c>
      <c r="FH620">
        <f>IF(ISBLANK('Data Entry'!$ä$620), "", 'Data Entry'!$ä$620)</f>
      </c>
      <c r="FI620">
        <f>IF(ISBLANK('Data Entry'!$å$620), "", 'Data Entry'!$å$620)</f>
      </c>
      <c r="FJ620">
        <f>IF(ISBLANK('Data Entry'!$æ$620), "", 'Data Entry'!$æ$620)</f>
      </c>
      <c r="FK620">
        <f>IF(ISBLANK('Data Entry'!$ç$620), "", 'Data Entry'!$ç$620)</f>
      </c>
      <c r="FL620">
        <f>IF(ISBLANK('Data Entry'!$è$620), "", 'Data Entry'!$è$620)</f>
      </c>
      <c r="FM620">
        <f>IF(ISBLANK('Data Entry'!$é$620), "", 'Data Entry'!$é$620)</f>
      </c>
      <c r="FN620">
        <f>IF(ISBLANK('Data Entry'!$ê$620), "", 'Data Entry'!$ê$620)</f>
      </c>
      <c r="FO620">
        <f>IF(ISBLANK('Data Entry'!$ë$620), "", 'Data Entry'!$ë$620)</f>
      </c>
      <c r="FP620">
        <f>IF(ISBLANK('Data Entry'!$ì$620), "", 'Data Entry'!$ì$620)</f>
      </c>
      <c r="FQ620">
        <f>IF(ISBLANK('Data Entry'!$í$620), "", 'Data Entry'!$í$620)</f>
      </c>
      <c r="FR620">
        <f>IF(ISBLANK('Data Entry'!$î$620), "", 'Data Entry'!$î$620)</f>
      </c>
      <c r="FS620">
        <f>IF(ISBLANK('Data Entry'!$ï$620), "", 'Data Entry'!$ï$620)</f>
      </c>
      <c r="FT620">
        <f>IF(ISBLANK('Data Entry'!$ð$620), "", 'Data Entry'!$ð$620)</f>
      </c>
      <c r="FU620">
        <f>IF(ISBLANK('Data Entry'!$ñ$620), "", 'Data Entry'!$ñ$620)</f>
      </c>
      <c r="FV620">
        <f>IF(ISBLANK('Data Entry'!$ò$620), "", 'Data Entry'!$ò$620)</f>
      </c>
      <c r="FW620">
        <f>IF(ISBLANK('Data Entry'!$ó$620), "", 'Data Entry'!$ó$620)</f>
      </c>
      <c r="FX620">
        <f>IF(ISBLANK('Data Entry'!$ô$620), "", 'Data Entry'!$ô$620)</f>
      </c>
      <c r="FY620">
        <f>IF(ISBLANK('Data Entry'!$õ$620), "", 'Data Entry'!$õ$620)</f>
      </c>
      <c r="FZ620">
        <f>IF(ISBLANK('Data Entry'!$ö$620), "", 'Data Entry'!$ö$620)</f>
      </c>
      <c r="GA620">
        <f>IF(ISBLANK('Data Entry'!$÷$620), "", 'Data Entry'!$÷$620)</f>
      </c>
      <c r="GB620">
        <f>IF(ISBLANK('Data Entry'!$ø$620), "", 'Data Entry'!$ø$620)</f>
      </c>
      <c r="GC620">
        <f>IF(ISBLANK('Data Entry'!$ù$620), "", 'Data Entry'!$ù$620)</f>
      </c>
      <c r="GD620">
        <f>IF(ISBLANK('Data Entry'!$ú$620), "", 'Data Entry'!$ú$620)</f>
      </c>
      <c r="GE620">
        <f>IF(ISBLANK('Data Entry'!$û$620), "", 'Data Entry'!$û$620)</f>
      </c>
      <c r="GF620">
        <f>IF(ISBLANK('Data Entry'!$ü$620), "", 'Data Entry'!$ü$620)</f>
      </c>
      <c r="GG620">
        <f>IF(ISBLANK('Data Entry'!$ý$620), "", 'Data Entry'!$ý$620)</f>
      </c>
      <c r="GH620">
        <f>IF(ISBLANK('Data Entry'!$þ$620), "", 'Data Entry'!$þ$620)</f>
      </c>
      <c r="GI620">
        <f>IF(ISBLANK('Data Entry'!$ÿ$620), "", 'Data Entry'!$ÿ$620)</f>
      </c>
      <c r="GJ620">
        <f>IF(ISBLANK('Data Entry'!$Ā$620), "", 'Data Entry'!$Ā$620)</f>
      </c>
      <c r="GK620">
        <f>IF(ISBLANK('Data Entry'!$ā$620), "", 'Data Entry'!$ā$620)</f>
      </c>
      <c r="GL620">
        <f>IF(ISBLANK('Data Entry'!$Ă$620), "", 'Data Entry'!$Ă$620)</f>
      </c>
      <c r="GM620">
        <f>IF(ISBLANK('Data Entry'!$ă$620), "", 'Data Entry'!$ă$620)</f>
      </c>
      <c r="GN620">
        <f>IF(ISBLANK('Data Entry'!$Ą$620), "", 'Data Entry'!$Ą$620)</f>
      </c>
      <c r="GO620">
        <f>IF(ISBLANK('Data Entry'!$ą$620), "", 'Data Entry'!$ą$620)</f>
      </c>
      <c r="GP620">
        <f>IF(ISBLANK('Data Entry'!$Ć$620), "", 'Data Entry'!$Ć$620)</f>
      </c>
      <c r="GQ620">
        <f>IF(ISBLANK('Data Entry'!$ć$620), "", 'Data Entry'!$ć$620)</f>
      </c>
      <c r="GR620">
        <f>IF(ISBLANK('Data Entry'!$Ĉ$620), "", 'Data Entry'!$Ĉ$620)</f>
      </c>
      <c r="GS620">
        <f>IF(ISBLANK('Data Entry'!$ĉ$620), "", 'Data Entry'!$ĉ$620)</f>
      </c>
      <c r="GT620">
        <f>IF(ISBLANK('Data Entry'!$Ċ$620), "", 'Data Entry'!$Ċ$620)</f>
      </c>
      <c r="GU620">
        <f>IF(ISBLANK('Data Entry'!$ċ$620), "", 'Data Entry'!$ċ$620)</f>
      </c>
      <c r="GV620">
        <f>IF(ISBLANK('Data Entry'!$Č$620), "", 'Data Entry'!$Č$620)</f>
      </c>
      <c r="GW620">
        <f>IF(ISBLANK('Data Entry'!$č$620), "", 'Data Entry'!$č$620)</f>
      </c>
      <c r="GX620">
        <f>IF(ISBLANK('Data Entry'!$Ď$620), "", 'Data Entry'!$Ď$620)</f>
      </c>
      <c r="GY620">
        <f>IF(ISBLANK('Data Entry'!$ď$620), "", 'Data Entry'!$ď$620)</f>
      </c>
      <c r="GZ620">
        <f>IF(ISBLANK('Data Entry'!$Đ$620), "", 'Data Entry'!$Đ$620)</f>
      </c>
      <c r="HA620">
        <f>IF(ISBLANK('Data Entry'!$đ$620), "", 'Data Entry'!$đ$620)</f>
      </c>
      <c r="HB620">
        <f>IF(ISBLANK('Data Entry'!$Ē$620), "", 'Data Entry'!$Ē$620)</f>
      </c>
      <c r="HC620">
        <f>IF(ISBLANK('Data Entry'!$ē$620), "", 'Data Entry'!$ē$620)</f>
      </c>
      <c r="HD620">
        <f>IF(ISBLANK('Data Entry'!$Ĕ$620), "", 'Data Entry'!$Ĕ$620)</f>
      </c>
      <c r="HE620">
        <f>IF(ISBLANK('Data Entry'!$ĕ$620), "", 'Data Entry'!$ĕ$620)</f>
      </c>
      <c r="HF620">
        <f>IF(ISBLANK('Data Entry'!$Ė$620), "", 'Data Entry'!$Ė$620)</f>
      </c>
      <c r="HG620">
        <f>IF(ISBLANK('Data Entry'!$ė$620), "", 'Data Entry'!$ė$620)</f>
      </c>
      <c r="HH620">
        <f>IF(ISBLANK('Data Entry'!$Ę$620), "", 'Data Entry'!$Ę$620)</f>
      </c>
      <c r="HI620">
        <f>IF(ISBLANK('Data Entry'!$ę$620), "", 'Data Entry'!$ę$620)</f>
      </c>
      <c r="HJ620">
        <f>IF(ISBLANK('Data Entry'!$Ě$620), "", 'Data Entry'!$Ě$620)</f>
      </c>
      <c r="HK620">
        <f>IF(ISBLANK('Data Entry'!$ě$620), "", 'Data Entry'!$ě$620)</f>
      </c>
      <c r="HL620">
        <f>IF(ISBLANK('Data Entry'!$Ĝ$620), "", 'Data Entry'!$Ĝ$620)</f>
      </c>
      <c r="HM620">
        <f>IF(ISBLANK('Data Entry'!$ĝ$620), "", 'Data Entry'!$ĝ$620)</f>
      </c>
      <c r="HN620">
        <f>IF(ISBLANK('Data Entry'!$Ğ$620), "", 'Data Entry'!$Ğ$620)</f>
      </c>
      <c r="HO620">
        <f>IF(ISBLANK('Data Entry'!$ğ$620), "", 'Data Entry'!$ğ$620)</f>
      </c>
      <c r="HP620">
        <f>IF(ISBLANK('Data Entry'!$Ġ$620), "", 'Data Entry'!$Ġ$620)</f>
      </c>
      <c r="HQ620">
        <f>IF(ISBLANK('Data Entry'!$ġ$620), "", 'Data Entry'!$ġ$620)</f>
      </c>
      <c r="HR620">
        <f>IF(ISBLANK('Data Entry'!$Ģ$620), "", 'Data Entry'!$Ģ$620)</f>
      </c>
      <c r="HS620">
        <f>IF(ISBLANK('Data Entry'!$ģ$620), "", 'Data Entry'!$ģ$620)</f>
      </c>
      <c r="HT620">
        <f>IF(ISBLANK('Data Entry'!$Ĥ$620), "", 'Data Entry'!$Ĥ$620)</f>
      </c>
      <c r="HU620">
        <f>IF(ISBLANK('Data Entry'!$ĥ$620), "", 'Data Entry'!$ĥ$620)</f>
      </c>
      <c r="HV620">
        <f>IF(ISBLANK('Data Entry'!$Ħ$620), "", 'Data Entry'!$Ħ$620)</f>
      </c>
      <c r="HW620">
        <f>IF(ISBLANK('Data Entry'!$ħ$620), "", 'Data Entry'!$ħ$620)</f>
      </c>
      <c r="HX620">
        <f>IF(ISBLANK('Data Entry'!$Ĩ$620), "", 'Data Entry'!$Ĩ$620)</f>
      </c>
      <c r="HY620">
        <f>IF(ISBLANK('Data Entry'!$ĩ$620), "", 'Data Entry'!$ĩ$620)</f>
      </c>
      <c r="HZ620">
        <f>IF(ISBLANK('Data Entry'!$Ī$620), "", 'Data Entry'!$Ī$620)</f>
      </c>
      <c r="IA620">
        <f>IF(ISBLANK('Data Entry'!$ī$620), "", 'Data Entry'!$ī$620)</f>
      </c>
      <c r="IB620">
        <f>IF(ISBLANK('Data Entry'!$Ĭ$620), "", 'Data Entry'!$Ĭ$620)</f>
      </c>
      <c r="IC620">
        <f>IF(ISBLANK('Data Entry'!$ĭ$620), "", 'Data Entry'!$ĭ$620)</f>
      </c>
      <c r="ID620">
        <f>IF(ISBLANK('Data Entry'!$Į$620), "", 'Data Entry'!$Į$620)</f>
      </c>
      <c r="IE620">
        <f>IF(ISBLANK('Data Entry'!$į$620), "", 'Data Entry'!$į$620)</f>
      </c>
      <c r="IF620">
        <f>IF(ISBLANK('Data Entry'!$İ$620), "", 'Data Entry'!$İ$620)</f>
      </c>
      <c r="IG620">
        <f>IF(ISBLANK('Data Entry'!$ı$620), "", 'Data Entry'!$ı$620)</f>
      </c>
      <c r="IH620">
        <f>IF(ISBLANK('Data Entry'!$Ĳ$620), "", 'Data Entry'!$Ĳ$620)</f>
      </c>
      <c r="II620">
        <f>IF(ISBLANK('Data Entry'!$ĳ$620), "", 'Data Entry'!$ĳ$620)</f>
      </c>
      <c r="IJ620">
        <f>IF(ISBLANK('Data Entry'!$Ĵ$620), "", 'Data Entry'!$Ĵ$620)</f>
      </c>
      <c r="IK620">
        <f>IF(ISBLANK('Data Entry'!$ĵ$620), "", 'Data Entry'!$ĵ$620)</f>
      </c>
      <c r="IL620">
        <f>IF(ISBLANK('Data Entry'!$Ķ$620), "", 'Data Entry'!$Ķ$620)</f>
      </c>
      <c r="IM620">
        <f>IF(ISBLANK('Data Entry'!$ķ$620), "", 'Data Entry'!$ķ$620)</f>
      </c>
      <c r="IN620">
        <f>IF(ISBLANK('Data Entry'!$ĸ$620), "", 'Data Entry'!$ĸ$620)</f>
      </c>
      <c r="IO620">
        <f>IF(ISBLANK('Data Entry'!$Ĺ$620), "", 'Data Entry'!$Ĺ$620)</f>
      </c>
      <c r="IP620">
        <f>IF(ISBLANK('Data Entry'!$ĺ$620), "", 'Data Entry'!$ĺ$620)</f>
      </c>
      <c r="IQ620">
        <f>IF(ISBLANK('Data Entry'!$Ļ$620), "", 'Data Entry'!$Ļ$620)</f>
      </c>
      <c r="IR620">
        <f>IF(ISBLANK('Data Entry'!$ļ$620), "", 'Data Entry'!$ļ$620)</f>
      </c>
      <c r="IS620">
        <f>IF(ISBLANK('Data Entry'!$Ľ$620), "", 'Data Entry'!$Ľ$620)</f>
      </c>
      <c r="IT620">
        <f>IF(ISBLANK('Data Entry'!$ľ$620), "", 'Data Entry'!$ľ$620)</f>
      </c>
    </row>
    <row r="621" spans="1:254" x14ac:dyDescent="0.25">
      <c r="A621">
        <f>IF(ISBLANK('Data Entry'!$A$621), "", 'Data Entry'!$A$621)</f>
      </c>
      <c r="B621">
        <f>IF(ISBLANK('Data Entry'!$B$621), "", 'Data Entry'!$B$621)</f>
      </c>
      <c r="C621">
        <f>IF(ISBLANK('Data Entry'!$C$621), "", 'Data Entry'!$C$621)</f>
      </c>
      <c r="D621">
        <f>IF(ISBLANK('Data Entry'!$D$621), "", 'Data Entry'!$D$621)</f>
      </c>
      <c r="E621">
        <f>IF(ISBLANK('Data Entry'!$E$621), "", 'Data Entry'!$E$621)</f>
      </c>
      <c r="F621">
        <f>IF(ISBLANK('Data Entry'!$F$621), "", 'Data Entry'!$F$621)</f>
      </c>
      <c r="G621">
        <f>IF(ISBLANK('Data Entry'!$G$621), "", 'Data Entry'!$G$621)</f>
      </c>
      <c r="H621">
        <f>IF(ISBLANK('Data Entry'!$H$621), "", 'Data Entry'!$H$621)</f>
      </c>
      <c r="I621">
        <f>IF(ISBLANK('Data Entry'!$I$621), "", 'Data Entry'!$I$621)</f>
      </c>
      <c r="J621">
        <f>IF(ISBLANK('Data Entry'!$J$621), "", 'Data Entry'!$J$621)</f>
      </c>
      <c r="K621">
        <f>IF(ISBLANK('Data Entry'!$K$621), "", 'Data Entry'!$K$621)</f>
      </c>
      <c r="L621">
        <f>IF(ISBLANK('Data Entry'!$L$621), "", 'Data Entry'!$L$621)</f>
      </c>
      <c r="M621">
        <f>IF(ISBLANK('Data Entry'!$M$621), "", 'Data Entry'!$M$621)</f>
      </c>
      <c r="N621">
        <f>IF(ISBLANK('Data Entry'!$N$621), "", 'Data Entry'!$N$621)</f>
      </c>
      <c r="O621">
        <f>IF(ISBLANK('Data Entry'!$O$621), "", 'Data Entry'!$O$621)</f>
      </c>
      <c r="P621">
        <f>IF(ISBLANK('Data Entry'!$P$621), "", 'Data Entry'!$P$621)</f>
      </c>
      <c r="Q621">
        <f>IF(ISBLANK('Data Entry'!$Q$621), "", 'Data Entry'!$Q$621)</f>
      </c>
      <c r="R621">
        <f>IF(ISBLANK('Data Entry'!$R$621), "", 'Data Entry'!$R$621)</f>
      </c>
      <c r="S621">
        <f>IF(ISBLANK('Data Entry'!$S$621), "", 'Data Entry'!$S$621)</f>
      </c>
      <c r="T621">
        <f>IF(ISBLANK('Data Entry'!$T$621), "", 'Data Entry'!$T$621)</f>
      </c>
      <c r="U621">
        <f>IF(ISBLANK('Data Entry'!$U$621), "", 'Data Entry'!$U$621)</f>
      </c>
      <c r="V621">
        <f>IF(ISBLANK('Data Entry'!$V$621), "", 'Data Entry'!$V$621)</f>
      </c>
      <c r="W621">
        <f>IF(ISBLANK('Data Entry'!$W$621), "", 'Data Entry'!$W$621)</f>
      </c>
      <c r="X621">
        <f>IF(ISBLANK('Data Entry'!$X$621), "", 'Data Entry'!$X$621)</f>
      </c>
      <c r="Y621">
        <f>IF(ISBLANK('Data Entry'!$Y$621), "", 'Data Entry'!$Y$621)</f>
      </c>
      <c r="Z621">
        <f>IF(ISBLANK('Data Entry'!$Z$621), "", 'Data Entry'!$Z$621)</f>
      </c>
      <c r="AA621">
        <f>IF(ISBLANK('Data Entry'!$[$621), "", 'Data Entry'!$[$621)</f>
      </c>
      <c r="AB621">
        <f>IF(ISBLANK('Data Entry'!$\$621), "", 'Data Entry'!$\$621)</f>
      </c>
      <c r="AC621">
        <f>IF(ISBLANK('Data Entry'!$]$621), "", 'Data Entry'!$]$621)</f>
      </c>
      <c r="AD621">
        <f>IF(ISBLANK('Data Entry'!$^$621), "", 'Data Entry'!$^$621)</f>
      </c>
      <c r="AE621">
        <f>IF(ISBLANK('Data Entry'!$_$621), "", 'Data Entry'!$_$621)</f>
      </c>
      <c r="AF621">
        <f>IF(ISBLANK('Data Entry'!$`$621), "", 'Data Entry'!$`$621)</f>
      </c>
      <c r="AG621">
        <f>IF(ISBLANK('Data Entry'!$a$621), "", 'Data Entry'!$a$621)</f>
      </c>
      <c r="AH621">
        <f>IF(ISBLANK('Data Entry'!$b$621), "", 'Data Entry'!$b$621)</f>
      </c>
      <c r="AI621">
        <f>IF(ISBLANK('Data Entry'!$c$621), "", 'Data Entry'!$c$621)</f>
      </c>
      <c r="AJ621">
        <f>IF(ISBLANK('Data Entry'!$d$621), "", 'Data Entry'!$d$621)</f>
      </c>
      <c r="AK621">
        <f>IF(ISBLANK('Data Entry'!$e$621), "", 'Data Entry'!$e$621)</f>
      </c>
      <c r="AL621">
        <f>IF(ISBLANK('Data Entry'!$f$621), "", 'Data Entry'!$f$621)</f>
      </c>
      <c r="AM621">
        <f>IF(ISBLANK('Data Entry'!$g$621), "", 'Data Entry'!$g$621)</f>
      </c>
      <c r="AN621">
        <f>IF(ISBLANK('Data Entry'!$h$621), "", 'Data Entry'!$h$621)</f>
      </c>
      <c r="AO621">
        <f>IF(ISBLANK('Data Entry'!$i$621), "", 'Data Entry'!$i$621)</f>
      </c>
      <c r="AP621">
        <f>IF(ISBLANK('Data Entry'!$j$621), "", 'Data Entry'!$j$621)</f>
      </c>
      <c r="AQ621">
        <f>IF(ISBLANK('Data Entry'!$k$621), "", 'Data Entry'!$k$621)</f>
      </c>
      <c r="AR621">
        <f>IF(ISBLANK('Data Entry'!$l$621), "", 'Data Entry'!$l$621)</f>
      </c>
      <c r="AS621">
        <f>IF(ISBLANK('Data Entry'!$m$621), "", 'Data Entry'!$m$621)</f>
      </c>
      <c r="AT621">
        <f>IF(ISBLANK('Data Entry'!$n$621), "", 'Data Entry'!$n$621)</f>
      </c>
      <c r="AU621">
        <f>IF(ISBLANK('Data Entry'!$o$621), "", 'Data Entry'!$o$621)</f>
      </c>
      <c r="AV621">
        <f>IF(ISBLANK('Data Entry'!$p$621), "", 'Data Entry'!$p$621)</f>
      </c>
      <c r="AW621">
        <f>IF(ISBLANK('Data Entry'!$q$621), "", 'Data Entry'!$q$621)</f>
      </c>
      <c r="AX621">
        <f>IF(ISBLANK('Data Entry'!$r$621), "", 'Data Entry'!$r$621)</f>
      </c>
      <c r="AY621">
        <f>IF(ISBLANK('Data Entry'!$s$621), "", 'Data Entry'!$s$621)</f>
      </c>
      <c r="AZ621">
        <f>IF(ISBLANK('Data Entry'!$t$621), "", 'Data Entry'!$t$621)</f>
      </c>
      <c r="BA621">
        <f>IF(ISBLANK('Data Entry'!$u$621), "", 'Data Entry'!$u$621)</f>
      </c>
      <c r="BB621">
        <f>IF(ISBLANK('Data Entry'!$v$621), "", 'Data Entry'!$v$621)</f>
      </c>
      <c r="BC621">
        <f>IF(ISBLANK('Data Entry'!$w$621), "", 'Data Entry'!$w$621)</f>
      </c>
      <c r="BD621">
        <f>IF(ISBLANK('Data Entry'!$x$621), "", 'Data Entry'!$x$621)</f>
      </c>
      <c r="BE621">
        <f>IF(ISBLANK('Data Entry'!$y$621), "", 'Data Entry'!$y$621)</f>
      </c>
      <c r="BF621">
        <f>IF(ISBLANK('Data Entry'!$z$621), "", 'Data Entry'!$z$621)</f>
      </c>
      <c r="BG621">
        <f>IF(ISBLANK('Data Entry'!${$621), "", 'Data Entry'!${$621)</f>
      </c>
      <c r="BH621">
        <f>IF(ISBLANK('Data Entry'!$|$621), "", 'Data Entry'!$|$621)</f>
      </c>
      <c r="BI621">
        <f>IF(ISBLANK('Data Entry'!$}$621), "", 'Data Entry'!$}$621)</f>
      </c>
      <c r="BJ621">
        <f>IF(ISBLANK('Data Entry'!$~$621), "", 'Data Entry'!$~$621)</f>
      </c>
      <c r="BK621">
        <f>IF(ISBLANK('Data Entry'!$$621), "", 'Data Entry'!$$621)</f>
      </c>
      <c r="BL621">
        <f>IF(ISBLANK('Data Entry'!$$621), "", 'Data Entry'!$$621)</f>
      </c>
      <c r="BM621">
        <f>IF(ISBLANK('Data Entry'!$$621), "", 'Data Entry'!$$621)</f>
      </c>
      <c r="BN621">
        <f>IF(ISBLANK('Data Entry'!$$621), "", 'Data Entry'!$$621)</f>
      </c>
      <c r="BO621">
        <f>IF(ISBLANK('Data Entry'!$$621), "", 'Data Entry'!$$621)</f>
      </c>
      <c r="BP621">
        <f>IF(ISBLANK('Data Entry'!$$621), "", 'Data Entry'!$$621)</f>
      </c>
      <c r="BQ621">
        <f>IF(ISBLANK('Data Entry'!$$621), "", 'Data Entry'!$$621)</f>
      </c>
      <c r="BR621">
        <f>IF(ISBLANK('Data Entry'!$$621), "", 'Data Entry'!$$621)</f>
      </c>
      <c r="BS621">
        <f>IF(ISBLANK('Data Entry'!$$621), "", 'Data Entry'!$$621)</f>
      </c>
      <c r="BT621">
        <f>IF(ISBLANK('Data Entry'!$$621), "", 'Data Entry'!$$621)</f>
      </c>
      <c r="BU621">
        <f>IF(ISBLANK('Data Entry'!$$621), "", 'Data Entry'!$$621)</f>
      </c>
      <c r="BV621">
        <f>IF(ISBLANK('Data Entry'!$$621), "", 'Data Entry'!$$621)</f>
      </c>
      <c r="BW621">
        <f>IF(ISBLANK('Data Entry'!$$621), "", 'Data Entry'!$$621)</f>
      </c>
      <c r="BX621">
        <f>IF(ISBLANK('Data Entry'!$$621), "", 'Data Entry'!$$621)</f>
      </c>
      <c r="BY621">
        <f>IF(ISBLANK('Data Entry'!$$621), "", 'Data Entry'!$$621)</f>
      </c>
      <c r="BZ621">
        <f>IF(ISBLANK('Data Entry'!$$621), "", 'Data Entry'!$$621)</f>
      </c>
      <c r="CA621">
        <f>IF(ISBLANK('Data Entry'!$$621), "", 'Data Entry'!$$621)</f>
      </c>
      <c r="CB621">
        <f>IF(ISBLANK('Data Entry'!$$621), "", 'Data Entry'!$$621)</f>
      </c>
      <c r="CC621">
        <f>IF(ISBLANK('Data Entry'!$$621), "", 'Data Entry'!$$621)</f>
      </c>
      <c r="CD621">
        <f>IF(ISBLANK('Data Entry'!$$621), "", 'Data Entry'!$$621)</f>
      </c>
      <c r="CE621">
        <f>IF(ISBLANK('Data Entry'!$$621), "", 'Data Entry'!$$621)</f>
      </c>
      <c r="CF621">
        <f>IF(ISBLANK('Data Entry'!$$621), "", 'Data Entry'!$$621)</f>
      </c>
      <c r="CG621">
        <f>IF(ISBLANK('Data Entry'!$$621), "", 'Data Entry'!$$621)</f>
      </c>
      <c r="CH621">
        <f>IF(ISBLANK('Data Entry'!$$621), "", 'Data Entry'!$$621)</f>
      </c>
      <c r="CI621">
        <f>IF(ISBLANK('Data Entry'!$$621), "", 'Data Entry'!$$621)</f>
      </c>
      <c r="CJ621">
        <f>IF(ISBLANK('Data Entry'!$$621), "", 'Data Entry'!$$621)</f>
      </c>
      <c r="CK621">
        <f>IF(ISBLANK('Data Entry'!$$621), "", 'Data Entry'!$$621)</f>
      </c>
      <c r="CL621">
        <f>IF(ISBLANK('Data Entry'!$$621), "", 'Data Entry'!$$621)</f>
      </c>
      <c r="CM621">
        <f>IF(ISBLANK('Data Entry'!$$621), "", 'Data Entry'!$$621)</f>
      </c>
      <c r="CN621">
        <f>IF(ISBLANK('Data Entry'!$$621), "", 'Data Entry'!$$621)</f>
      </c>
      <c r="CO621">
        <f>IF(ISBLANK('Data Entry'!$$621), "", 'Data Entry'!$$621)</f>
      </c>
      <c r="CP621">
        <f>IF(ISBLANK('Data Entry'!$$621), "", 'Data Entry'!$$621)</f>
      </c>
      <c r="CQ621">
        <f>IF(ISBLANK('Data Entry'!$$621), "", 'Data Entry'!$$621)</f>
      </c>
      <c r="CR621">
        <f>IF(ISBLANK('Data Entry'!$ $621), "", 'Data Entry'!$ $621)</f>
      </c>
      <c r="CS621">
        <f>IF(ISBLANK('Data Entry'!$¡$621), "", 'Data Entry'!$¡$621)</f>
      </c>
      <c r="CT621">
        <f>IF(ISBLANK('Data Entry'!$¢$621), "", 'Data Entry'!$¢$621)</f>
      </c>
      <c r="CU621">
        <f>IF(ISBLANK('Data Entry'!$£$621), "", 'Data Entry'!$£$621)</f>
      </c>
      <c r="CV621">
        <f>IF(ISBLANK('Data Entry'!$¤$621), "", 'Data Entry'!$¤$621)</f>
      </c>
      <c r="CW621">
        <f>IF(ISBLANK('Data Entry'!$¥$621), "", 'Data Entry'!$¥$621)</f>
      </c>
      <c r="CX621">
        <f>IF(ISBLANK('Data Entry'!$¦$621), "", 'Data Entry'!$¦$621)</f>
      </c>
      <c r="CY621">
        <f>IF(ISBLANK('Data Entry'!$§$621), "", 'Data Entry'!$§$621)</f>
      </c>
      <c r="CZ621">
        <f>IF(ISBLANK('Data Entry'!$¨$621), "", 'Data Entry'!$¨$621)</f>
      </c>
      <c r="DA621">
        <f>IF(ISBLANK('Data Entry'!$©$621), "", 'Data Entry'!$©$621)</f>
      </c>
      <c r="DB621">
        <f>IF(ISBLANK('Data Entry'!$ª$621), "", 'Data Entry'!$ª$621)</f>
      </c>
      <c r="DC621">
        <f>IF(ISBLANK('Data Entry'!$«$621), "", 'Data Entry'!$«$621)</f>
      </c>
      <c r="DD621">
        <f>IF(ISBLANK('Data Entry'!$¬$621), "", 'Data Entry'!$¬$621)</f>
      </c>
      <c r="DE621">
        <f>IF(ISBLANK('Data Entry'!$­$621), "", 'Data Entry'!$­$621)</f>
      </c>
      <c r="DF621">
        <f>IF(ISBLANK('Data Entry'!$®$621), "", 'Data Entry'!$®$621)</f>
      </c>
      <c r="DG621">
        <f>IF(ISBLANK('Data Entry'!$¯$621), "", 'Data Entry'!$¯$621)</f>
      </c>
      <c r="DH621">
        <f>IF(ISBLANK('Data Entry'!$°$621), "", 'Data Entry'!$°$621)</f>
      </c>
      <c r="DI621">
        <f>IF(ISBLANK('Data Entry'!$±$621), "", 'Data Entry'!$±$621)</f>
      </c>
      <c r="DJ621">
        <f>IF(ISBLANK('Data Entry'!$²$621), "", 'Data Entry'!$²$621)</f>
      </c>
      <c r="DK621">
        <f>IF(ISBLANK('Data Entry'!$³$621), "", 'Data Entry'!$³$621)</f>
      </c>
      <c r="DL621">
        <f>IF(ISBLANK('Data Entry'!$´$621), "", 'Data Entry'!$´$621)</f>
      </c>
      <c r="DM621">
        <f>IF(ISBLANK('Data Entry'!$µ$621), "", 'Data Entry'!$µ$621)</f>
      </c>
      <c r="DN621">
        <f>IF(ISBLANK('Data Entry'!$¶$621), "", 'Data Entry'!$¶$621)</f>
      </c>
      <c r="DO621">
        <f>IF(ISBLANK('Data Entry'!$·$621), "", 'Data Entry'!$·$621)</f>
      </c>
      <c r="DP621">
        <f>IF(ISBLANK('Data Entry'!$¸$621), "", 'Data Entry'!$¸$621)</f>
      </c>
      <c r="DQ621">
        <f>IF(ISBLANK('Data Entry'!$¹$621), "", 'Data Entry'!$¹$621)</f>
      </c>
      <c r="DR621">
        <f>IF(ISBLANK('Data Entry'!$º$621), "", 'Data Entry'!$º$621)</f>
      </c>
      <c r="DS621">
        <f>IF(ISBLANK('Data Entry'!$»$621), "", 'Data Entry'!$»$621)</f>
      </c>
      <c r="DT621">
        <f>IF(ISBLANK('Data Entry'!$¼$621), "", 'Data Entry'!$¼$621)</f>
      </c>
      <c r="DU621">
        <f>IF(ISBLANK('Data Entry'!$½$621), "", 'Data Entry'!$½$621)</f>
      </c>
      <c r="DV621">
        <f>IF(ISBLANK('Data Entry'!$¾$621), "", 'Data Entry'!$¾$621)</f>
      </c>
      <c r="DW621">
        <f>IF(ISBLANK('Data Entry'!$¿$621), "", 'Data Entry'!$¿$621)</f>
      </c>
      <c r="DX621">
        <f>IF(ISBLANK('Data Entry'!$À$621), "", 'Data Entry'!$À$621)</f>
      </c>
      <c r="DY621">
        <f>IF(ISBLANK('Data Entry'!$Á$621), "", 'Data Entry'!$Á$621)</f>
      </c>
      <c r="DZ621">
        <f>IF(ISBLANK('Data Entry'!$Â$621), "", 'Data Entry'!$Â$621)</f>
      </c>
      <c r="EA621">
        <f>IF(ISBLANK('Data Entry'!$Ã$621), "", 'Data Entry'!$Ã$621)</f>
      </c>
      <c r="EB621">
        <f>IF(ISBLANK('Data Entry'!$Ä$621), "", 'Data Entry'!$Ä$621)</f>
      </c>
      <c r="EC621">
        <f>IF(ISBLANK('Data Entry'!$Å$621), "", 'Data Entry'!$Å$621)</f>
      </c>
      <c r="ED621">
        <f>IF(ISBLANK('Data Entry'!$Æ$621), "", 'Data Entry'!$Æ$621)</f>
      </c>
      <c r="EE621">
        <f>IF(ISBLANK('Data Entry'!$Ç$621), "", 'Data Entry'!$Ç$621)</f>
      </c>
      <c r="EF621">
        <f>IF(ISBLANK('Data Entry'!$È$621), "", 'Data Entry'!$È$621)</f>
      </c>
      <c r="EG621">
        <f>IF(ISBLANK('Data Entry'!$É$621), "", 'Data Entry'!$É$621)</f>
      </c>
      <c r="EH621">
        <f>IF(ISBLANK('Data Entry'!$Ê$621), "", 'Data Entry'!$Ê$621)</f>
      </c>
      <c r="EI621">
        <f>IF(ISBLANK('Data Entry'!$Ë$621), "", 'Data Entry'!$Ë$621)</f>
      </c>
      <c r="EJ621">
        <f>IF(ISBLANK('Data Entry'!$Ì$621), "", 'Data Entry'!$Ì$621)</f>
      </c>
      <c r="EK621">
        <f>IF(ISBLANK('Data Entry'!$Í$621), "", 'Data Entry'!$Í$621)</f>
      </c>
      <c r="EL621">
        <f>IF(ISBLANK('Data Entry'!$Î$621), "", 'Data Entry'!$Î$621)</f>
      </c>
      <c r="EM621">
        <f>IF(ISBLANK('Data Entry'!$Ï$621), "", 'Data Entry'!$Ï$621)</f>
      </c>
      <c r="EN621">
        <f>IF(ISBLANK('Data Entry'!$Ð$621), "", 'Data Entry'!$Ð$621)</f>
      </c>
      <c r="EO621">
        <f>IF(ISBLANK('Data Entry'!$Ñ$621), "", 'Data Entry'!$Ñ$621)</f>
      </c>
      <c r="EP621">
        <f>IF(ISBLANK('Data Entry'!$Ò$621), "", 'Data Entry'!$Ò$621)</f>
      </c>
      <c r="EQ621">
        <f>IF(ISBLANK('Data Entry'!$Ó$621), "", 'Data Entry'!$Ó$621)</f>
      </c>
      <c r="ER621">
        <f>IF(ISBLANK('Data Entry'!$Ô$621), "", 'Data Entry'!$Ô$621)</f>
      </c>
      <c r="ES621">
        <f>IF(ISBLANK('Data Entry'!$Õ$621), "", 'Data Entry'!$Õ$621)</f>
      </c>
      <c r="ET621">
        <f>IF(ISBLANK('Data Entry'!$Ö$621), "", 'Data Entry'!$Ö$621)</f>
      </c>
      <c r="EU621">
        <f>IF(ISBLANK('Data Entry'!$×$621), "", 'Data Entry'!$×$621)</f>
      </c>
      <c r="EV621">
        <f>IF(ISBLANK('Data Entry'!$Ø$621), "", 'Data Entry'!$Ø$621)</f>
      </c>
      <c r="EW621">
        <f>IF(ISBLANK('Data Entry'!$Ù$621), "", 'Data Entry'!$Ù$621)</f>
      </c>
      <c r="EX621">
        <f>IF(ISBLANK('Data Entry'!$Ú$621), "", 'Data Entry'!$Ú$621)</f>
      </c>
      <c r="EY621">
        <f>IF(ISBLANK('Data Entry'!$Û$621), "", 'Data Entry'!$Û$621)</f>
      </c>
      <c r="EZ621">
        <f>IF(ISBLANK('Data Entry'!$Ü$621), "", 'Data Entry'!$Ü$621)</f>
      </c>
      <c r="FA621">
        <f>IF(ISBLANK('Data Entry'!$Ý$621), "", 'Data Entry'!$Ý$621)</f>
      </c>
      <c r="FB621">
        <f>IF(ISBLANK('Data Entry'!$Þ$621), "", 'Data Entry'!$Þ$621)</f>
      </c>
      <c r="FC621">
        <f>IF(ISBLANK('Data Entry'!$ß$621), "", 'Data Entry'!$ß$621)</f>
      </c>
      <c r="FD621">
        <f>IF(ISBLANK('Data Entry'!$à$621), "", 'Data Entry'!$à$621)</f>
      </c>
      <c r="FE621">
        <f>IF(ISBLANK('Data Entry'!$á$621), "", 'Data Entry'!$á$621)</f>
      </c>
      <c r="FF621">
        <f>IF(ISBLANK('Data Entry'!$â$621), "", 'Data Entry'!$â$621)</f>
      </c>
      <c r="FG621">
        <f>IF(ISBLANK('Data Entry'!$ã$621), "", 'Data Entry'!$ã$621)</f>
      </c>
      <c r="FH621">
        <f>IF(ISBLANK('Data Entry'!$ä$621), "", 'Data Entry'!$ä$621)</f>
      </c>
      <c r="FI621">
        <f>IF(ISBLANK('Data Entry'!$å$621), "", 'Data Entry'!$å$621)</f>
      </c>
      <c r="FJ621">
        <f>IF(ISBLANK('Data Entry'!$æ$621), "", 'Data Entry'!$æ$621)</f>
      </c>
      <c r="FK621">
        <f>IF(ISBLANK('Data Entry'!$ç$621), "", 'Data Entry'!$ç$621)</f>
      </c>
      <c r="FL621">
        <f>IF(ISBLANK('Data Entry'!$è$621), "", 'Data Entry'!$è$621)</f>
      </c>
      <c r="FM621">
        <f>IF(ISBLANK('Data Entry'!$é$621), "", 'Data Entry'!$é$621)</f>
      </c>
      <c r="FN621">
        <f>IF(ISBLANK('Data Entry'!$ê$621), "", 'Data Entry'!$ê$621)</f>
      </c>
      <c r="FO621">
        <f>IF(ISBLANK('Data Entry'!$ë$621), "", 'Data Entry'!$ë$621)</f>
      </c>
      <c r="FP621">
        <f>IF(ISBLANK('Data Entry'!$ì$621), "", 'Data Entry'!$ì$621)</f>
      </c>
      <c r="FQ621">
        <f>IF(ISBLANK('Data Entry'!$í$621), "", 'Data Entry'!$í$621)</f>
      </c>
      <c r="FR621">
        <f>IF(ISBLANK('Data Entry'!$î$621), "", 'Data Entry'!$î$621)</f>
      </c>
      <c r="FS621">
        <f>IF(ISBLANK('Data Entry'!$ï$621), "", 'Data Entry'!$ï$621)</f>
      </c>
      <c r="FT621">
        <f>IF(ISBLANK('Data Entry'!$ð$621), "", 'Data Entry'!$ð$621)</f>
      </c>
      <c r="FU621">
        <f>IF(ISBLANK('Data Entry'!$ñ$621), "", 'Data Entry'!$ñ$621)</f>
      </c>
      <c r="FV621">
        <f>IF(ISBLANK('Data Entry'!$ò$621), "", 'Data Entry'!$ò$621)</f>
      </c>
      <c r="FW621">
        <f>IF(ISBLANK('Data Entry'!$ó$621), "", 'Data Entry'!$ó$621)</f>
      </c>
      <c r="FX621">
        <f>IF(ISBLANK('Data Entry'!$ô$621), "", 'Data Entry'!$ô$621)</f>
      </c>
      <c r="FY621">
        <f>IF(ISBLANK('Data Entry'!$õ$621), "", 'Data Entry'!$õ$621)</f>
      </c>
      <c r="FZ621">
        <f>IF(ISBLANK('Data Entry'!$ö$621), "", 'Data Entry'!$ö$621)</f>
      </c>
      <c r="GA621">
        <f>IF(ISBLANK('Data Entry'!$÷$621), "", 'Data Entry'!$÷$621)</f>
      </c>
      <c r="GB621">
        <f>IF(ISBLANK('Data Entry'!$ø$621), "", 'Data Entry'!$ø$621)</f>
      </c>
      <c r="GC621">
        <f>IF(ISBLANK('Data Entry'!$ù$621), "", 'Data Entry'!$ù$621)</f>
      </c>
      <c r="GD621">
        <f>IF(ISBLANK('Data Entry'!$ú$621), "", 'Data Entry'!$ú$621)</f>
      </c>
      <c r="GE621">
        <f>IF(ISBLANK('Data Entry'!$û$621), "", 'Data Entry'!$û$621)</f>
      </c>
      <c r="GF621">
        <f>IF(ISBLANK('Data Entry'!$ü$621), "", 'Data Entry'!$ü$621)</f>
      </c>
      <c r="GG621">
        <f>IF(ISBLANK('Data Entry'!$ý$621), "", 'Data Entry'!$ý$621)</f>
      </c>
      <c r="GH621">
        <f>IF(ISBLANK('Data Entry'!$þ$621), "", 'Data Entry'!$þ$621)</f>
      </c>
      <c r="GI621">
        <f>IF(ISBLANK('Data Entry'!$ÿ$621), "", 'Data Entry'!$ÿ$621)</f>
      </c>
      <c r="GJ621">
        <f>IF(ISBLANK('Data Entry'!$Ā$621), "", 'Data Entry'!$Ā$621)</f>
      </c>
      <c r="GK621">
        <f>IF(ISBLANK('Data Entry'!$ā$621), "", 'Data Entry'!$ā$621)</f>
      </c>
      <c r="GL621">
        <f>IF(ISBLANK('Data Entry'!$Ă$621), "", 'Data Entry'!$Ă$621)</f>
      </c>
      <c r="GM621">
        <f>IF(ISBLANK('Data Entry'!$ă$621), "", 'Data Entry'!$ă$621)</f>
      </c>
      <c r="GN621">
        <f>IF(ISBLANK('Data Entry'!$Ą$621), "", 'Data Entry'!$Ą$621)</f>
      </c>
      <c r="GO621">
        <f>IF(ISBLANK('Data Entry'!$ą$621), "", 'Data Entry'!$ą$621)</f>
      </c>
      <c r="GP621">
        <f>IF(ISBLANK('Data Entry'!$Ć$621), "", 'Data Entry'!$Ć$621)</f>
      </c>
      <c r="GQ621">
        <f>IF(ISBLANK('Data Entry'!$ć$621), "", 'Data Entry'!$ć$621)</f>
      </c>
      <c r="GR621">
        <f>IF(ISBLANK('Data Entry'!$Ĉ$621), "", 'Data Entry'!$Ĉ$621)</f>
      </c>
      <c r="GS621">
        <f>IF(ISBLANK('Data Entry'!$ĉ$621), "", 'Data Entry'!$ĉ$621)</f>
      </c>
      <c r="GT621">
        <f>IF(ISBLANK('Data Entry'!$Ċ$621), "", 'Data Entry'!$Ċ$621)</f>
      </c>
      <c r="GU621">
        <f>IF(ISBLANK('Data Entry'!$ċ$621), "", 'Data Entry'!$ċ$621)</f>
      </c>
      <c r="GV621">
        <f>IF(ISBLANK('Data Entry'!$Č$621), "", 'Data Entry'!$Č$621)</f>
      </c>
      <c r="GW621">
        <f>IF(ISBLANK('Data Entry'!$č$621), "", 'Data Entry'!$č$621)</f>
      </c>
      <c r="GX621">
        <f>IF(ISBLANK('Data Entry'!$Ď$621), "", 'Data Entry'!$Ď$621)</f>
      </c>
      <c r="GY621">
        <f>IF(ISBLANK('Data Entry'!$ď$621), "", 'Data Entry'!$ď$621)</f>
      </c>
      <c r="GZ621">
        <f>IF(ISBLANK('Data Entry'!$Đ$621), "", 'Data Entry'!$Đ$621)</f>
      </c>
      <c r="HA621">
        <f>IF(ISBLANK('Data Entry'!$đ$621), "", 'Data Entry'!$đ$621)</f>
      </c>
      <c r="HB621">
        <f>IF(ISBLANK('Data Entry'!$Ē$621), "", 'Data Entry'!$Ē$621)</f>
      </c>
      <c r="HC621">
        <f>IF(ISBLANK('Data Entry'!$ē$621), "", 'Data Entry'!$ē$621)</f>
      </c>
      <c r="HD621">
        <f>IF(ISBLANK('Data Entry'!$Ĕ$621), "", 'Data Entry'!$Ĕ$621)</f>
      </c>
      <c r="HE621">
        <f>IF(ISBLANK('Data Entry'!$ĕ$621), "", 'Data Entry'!$ĕ$621)</f>
      </c>
      <c r="HF621">
        <f>IF(ISBLANK('Data Entry'!$Ė$621), "", 'Data Entry'!$Ė$621)</f>
      </c>
      <c r="HG621">
        <f>IF(ISBLANK('Data Entry'!$ė$621), "", 'Data Entry'!$ė$621)</f>
      </c>
      <c r="HH621">
        <f>IF(ISBLANK('Data Entry'!$Ę$621), "", 'Data Entry'!$Ę$621)</f>
      </c>
      <c r="HI621">
        <f>IF(ISBLANK('Data Entry'!$ę$621), "", 'Data Entry'!$ę$621)</f>
      </c>
      <c r="HJ621">
        <f>IF(ISBLANK('Data Entry'!$Ě$621), "", 'Data Entry'!$Ě$621)</f>
      </c>
      <c r="HK621">
        <f>IF(ISBLANK('Data Entry'!$ě$621), "", 'Data Entry'!$ě$621)</f>
      </c>
      <c r="HL621">
        <f>IF(ISBLANK('Data Entry'!$Ĝ$621), "", 'Data Entry'!$Ĝ$621)</f>
      </c>
      <c r="HM621">
        <f>IF(ISBLANK('Data Entry'!$ĝ$621), "", 'Data Entry'!$ĝ$621)</f>
      </c>
      <c r="HN621">
        <f>IF(ISBLANK('Data Entry'!$Ğ$621), "", 'Data Entry'!$Ğ$621)</f>
      </c>
      <c r="HO621">
        <f>IF(ISBLANK('Data Entry'!$ğ$621), "", 'Data Entry'!$ğ$621)</f>
      </c>
      <c r="HP621">
        <f>IF(ISBLANK('Data Entry'!$Ġ$621), "", 'Data Entry'!$Ġ$621)</f>
      </c>
      <c r="HQ621">
        <f>IF(ISBLANK('Data Entry'!$ġ$621), "", 'Data Entry'!$ġ$621)</f>
      </c>
      <c r="HR621">
        <f>IF(ISBLANK('Data Entry'!$Ģ$621), "", 'Data Entry'!$Ģ$621)</f>
      </c>
      <c r="HS621">
        <f>IF(ISBLANK('Data Entry'!$ģ$621), "", 'Data Entry'!$ģ$621)</f>
      </c>
      <c r="HT621">
        <f>IF(ISBLANK('Data Entry'!$Ĥ$621), "", 'Data Entry'!$Ĥ$621)</f>
      </c>
      <c r="HU621">
        <f>IF(ISBLANK('Data Entry'!$ĥ$621), "", 'Data Entry'!$ĥ$621)</f>
      </c>
      <c r="HV621">
        <f>IF(ISBLANK('Data Entry'!$Ħ$621), "", 'Data Entry'!$Ħ$621)</f>
      </c>
      <c r="HW621">
        <f>IF(ISBLANK('Data Entry'!$ħ$621), "", 'Data Entry'!$ħ$621)</f>
      </c>
      <c r="HX621">
        <f>IF(ISBLANK('Data Entry'!$Ĩ$621), "", 'Data Entry'!$Ĩ$621)</f>
      </c>
      <c r="HY621">
        <f>IF(ISBLANK('Data Entry'!$ĩ$621), "", 'Data Entry'!$ĩ$621)</f>
      </c>
      <c r="HZ621">
        <f>IF(ISBLANK('Data Entry'!$Ī$621), "", 'Data Entry'!$Ī$621)</f>
      </c>
      <c r="IA621">
        <f>IF(ISBLANK('Data Entry'!$ī$621), "", 'Data Entry'!$ī$621)</f>
      </c>
      <c r="IB621">
        <f>IF(ISBLANK('Data Entry'!$Ĭ$621), "", 'Data Entry'!$Ĭ$621)</f>
      </c>
      <c r="IC621">
        <f>IF(ISBLANK('Data Entry'!$ĭ$621), "", 'Data Entry'!$ĭ$621)</f>
      </c>
      <c r="ID621">
        <f>IF(ISBLANK('Data Entry'!$Į$621), "", 'Data Entry'!$Į$621)</f>
      </c>
      <c r="IE621">
        <f>IF(ISBLANK('Data Entry'!$į$621), "", 'Data Entry'!$į$621)</f>
      </c>
      <c r="IF621">
        <f>IF(ISBLANK('Data Entry'!$İ$621), "", 'Data Entry'!$İ$621)</f>
      </c>
      <c r="IG621">
        <f>IF(ISBLANK('Data Entry'!$ı$621), "", 'Data Entry'!$ı$621)</f>
      </c>
      <c r="IH621">
        <f>IF(ISBLANK('Data Entry'!$Ĳ$621), "", 'Data Entry'!$Ĳ$621)</f>
      </c>
      <c r="II621">
        <f>IF(ISBLANK('Data Entry'!$ĳ$621), "", 'Data Entry'!$ĳ$621)</f>
      </c>
      <c r="IJ621">
        <f>IF(ISBLANK('Data Entry'!$Ĵ$621), "", 'Data Entry'!$Ĵ$621)</f>
      </c>
      <c r="IK621">
        <f>IF(ISBLANK('Data Entry'!$ĵ$621), "", 'Data Entry'!$ĵ$621)</f>
      </c>
      <c r="IL621">
        <f>IF(ISBLANK('Data Entry'!$Ķ$621), "", 'Data Entry'!$Ķ$621)</f>
      </c>
      <c r="IM621">
        <f>IF(ISBLANK('Data Entry'!$ķ$621), "", 'Data Entry'!$ķ$621)</f>
      </c>
      <c r="IN621">
        <f>IF(ISBLANK('Data Entry'!$ĸ$621), "", 'Data Entry'!$ĸ$621)</f>
      </c>
      <c r="IO621">
        <f>IF(ISBLANK('Data Entry'!$Ĺ$621), "", 'Data Entry'!$Ĺ$621)</f>
      </c>
      <c r="IP621">
        <f>IF(ISBLANK('Data Entry'!$ĺ$621), "", 'Data Entry'!$ĺ$621)</f>
      </c>
      <c r="IQ621">
        <f>IF(ISBLANK('Data Entry'!$Ļ$621), "", 'Data Entry'!$Ļ$621)</f>
      </c>
      <c r="IR621">
        <f>IF(ISBLANK('Data Entry'!$ļ$621), "", 'Data Entry'!$ļ$621)</f>
      </c>
      <c r="IS621">
        <f>IF(ISBLANK('Data Entry'!$Ľ$621), "", 'Data Entry'!$Ľ$621)</f>
      </c>
      <c r="IT621">
        <f>IF(ISBLANK('Data Entry'!$ľ$621), "", 'Data Entry'!$ľ$621)</f>
      </c>
    </row>
    <row r="622" spans="1:254" x14ac:dyDescent="0.25">
      <c r="A622">
        <f>IF(ISBLANK('Data Entry'!$A$622), "", 'Data Entry'!$A$622)</f>
      </c>
      <c r="B622">
        <f>IF(ISBLANK('Data Entry'!$B$622), "", 'Data Entry'!$B$622)</f>
      </c>
      <c r="C622">
        <f>IF(ISBLANK('Data Entry'!$C$622), "", 'Data Entry'!$C$622)</f>
      </c>
      <c r="D622">
        <f>IF(ISBLANK('Data Entry'!$D$622), "", 'Data Entry'!$D$622)</f>
      </c>
      <c r="E622">
        <f>IF(ISBLANK('Data Entry'!$E$622), "", 'Data Entry'!$E$622)</f>
      </c>
      <c r="F622">
        <f>IF(ISBLANK('Data Entry'!$F$622), "", 'Data Entry'!$F$622)</f>
      </c>
      <c r="G622">
        <f>IF(ISBLANK('Data Entry'!$G$622), "", 'Data Entry'!$G$622)</f>
      </c>
      <c r="H622">
        <f>IF(ISBLANK('Data Entry'!$H$622), "", 'Data Entry'!$H$622)</f>
      </c>
      <c r="I622">
        <f>IF(ISBLANK('Data Entry'!$I$622), "", 'Data Entry'!$I$622)</f>
      </c>
      <c r="J622">
        <f>IF(ISBLANK('Data Entry'!$J$622), "", 'Data Entry'!$J$622)</f>
      </c>
      <c r="K622">
        <f>IF(ISBLANK('Data Entry'!$K$622), "", 'Data Entry'!$K$622)</f>
      </c>
      <c r="L622">
        <f>IF(ISBLANK('Data Entry'!$L$622), "", 'Data Entry'!$L$622)</f>
      </c>
      <c r="M622">
        <f>IF(ISBLANK('Data Entry'!$M$622), "", 'Data Entry'!$M$622)</f>
      </c>
      <c r="N622">
        <f>IF(ISBLANK('Data Entry'!$N$622), "", 'Data Entry'!$N$622)</f>
      </c>
      <c r="O622">
        <f>IF(ISBLANK('Data Entry'!$O$622), "", 'Data Entry'!$O$622)</f>
      </c>
      <c r="P622">
        <f>IF(ISBLANK('Data Entry'!$P$622), "", 'Data Entry'!$P$622)</f>
      </c>
      <c r="Q622">
        <f>IF(ISBLANK('Data Entry'!$Q$622), "", 'Data Entry'!$Q$622)</f>
      </c>
      <c r="R622">
        <f>IF(ISBLANK('Data Entry'!$R$622), "", 'Data Entry'!$R$622)</f>
      </c>
      <c r="S622">
        <f>IF(ISBLANK('Data Entry'!$S$622), "", 'Data Entry'!$S$622)</f>
      </c>
      <c r="T622">
        <f>IF(ISBLANK('Data Entry'!$T$622), "", 'Data Entry'!$T$622)</f>
      </c>
      <c r="U622">
        <f>IF(ISBLANK('Data Entry'!$U$622), "", 'Data Entry'!$U$622)</f>
      </c>
      <c r="V622">
        <f>IF(ISBLANK('Data Entry'!$V$622), "", 'Data Entry'!$V$622)</f>
      </c>
      <c r="W622">
        <f>IF(ISBLANK('Data Entry'!$W$622), "", 'Data Entry'!$W$622)</f>
      </c>
      <c r="X622">
        <f>IF(ISBLANK('Data Entry'!$X$622), "", 'Data Entry'!$X$622)</f>
      </c>
      <c r="Y622">
        <f>IF(ISBLANK('Data Entry'!$Y$622), "", 'Data Entry'!$Y$622)</f>
      </c>
      <c r="Z622">
        <f>IF(ISBLANK('Data Entry'!$Z$622), "", 'Data Entry'!$Z$622)</f>
      </c>
      <c r="AA622">
        <f>IF(ISBLANK('Data Entry'!$[$622), "", 'Data Entry'!$[$622)</f>
      </c>
      <c r="AB622">
        <f>IF(ISBLANK('Data Entry'!$\$622), "", 'Data Entry'!$\$622)</f>
      </c>
      <c r="AC622">
        <f>IF(ISBLANK('Data Entry'!$]$622), "", 'Data Entry'!$]$622)</f>
      </c>
      <c r="AD622">
        <f>IF(ISBLANK('Data Entry'!$^$622), "", 'Data Entry'!$^$622)</f>
      </c>
      <c r="AE622">
        <f>IF(ISBLANK('Data Entry'!$_$622), "", 'Data Entry'!$_$622)</f>
      </c>
      <c r="AF622">
        <f>IF(ISBLANK('Data Entry'!$`$622), "", 'Data Entry'!$`$622)</f>
      </c>
      <c r="AG622">
        <f>IF(ISBLANK('Data Entry'!$a$622), "", 'Data Entry'!$a$622)</f>
      </c>
      <c r="AH622">
        <f>IF(ISBLANK('Data Entry'!$b$622), "", 'Data Entry'!$b$622)</f>
      </c>
      <c r="AI622">
        <f>IF(ISBLANK('Data Entry'!$c$622), "", 'Data Entry'!$c$622)</f>
      </c>
      <c r="AJ622">
        <f>IF(ISBLANK('Data Entry'!$d$622), "", 'Data Entry'!$d$622)</f>
      </c>
      <c r="AK622">
        <f>IF(ISBLANK('Data Entry'!$e$622), "", 'Data Entry'!$e$622)</f>
      </c>
      <c r="AL622">
        <f>IF(ISBLANK('Data Entry'!$f$622), "", 'Data Entry'!$f$622)</f>
      </c>
      <c r="AM622">
        <f>IF(ISBLANK('Data Entry'!$g$622), "", 'Data Entry'!$g$622)</f>
      </c>
      <c r="AN622">
        <f>IF(ISBLANK('Data Entry'!$h$622), "", 'Data Entry'!$h$622)</f>
      </c>
      <c r="AO622">
        <f>IF(ISBLANK('Data Entry'!$i$622), "", 'Data Entry'!$i$622)</f>
      </c>
      <c r="AP622">
        <f>IF(ISBLANK('Data Entry'!$j$622), "", 'Data Entry'!$j$622)</f>
      </c>
      <c r="AQ622">
        <f>IF(ISBLANK('Data Entry'!$k$622), "", 'Data Entry'!$k$622)</f>
      </c>
      <c r="AR622">
        <f>IF(ISBLANK('Data Entry'!$l$622), "", 'Data Entry'!$l$622)</f>
      </c>
      <c r="AS622">
        <f>IF(ISBLANK('Data Entry'!$m$622), "", 'Data Entry'!$m$622)</f>
      </c>
      <c r="AT622">
        <f>IF(ISBLANK('Data Entry'!$n$622), "", 'Data Entry'!$n$622)</f>
      </c>
      <c r="AU622">
        <f>IF(ISBLANK('Data Entry'!$o$622), "", 'Data Entry'!$o$622)</f>
      </c>
      <c r="AV622">
        <f>IF(ISBLANK('Data Entry'!$p$622), "", 'Data Entry'!$p$622)</f>
      </c>
      <c r="AW622">
        <f>IF(ISBLANK('Data Entry'!$q$622), "", 'Data Entry'!$q$622)</f>
      </c>
      <c r="AX622">
        <f>IF(ISBLANK('Data Entry'!$r$622), "", 'Data Entry'!$r$622)</f>
      </c>
      <c r="AY622">
        <f>IF(ISBLANK('Data Entry'!$s$622), "", 'Data Entry'!$s$622)</f>
      </c>
      <c r="AZ622">
        <f>IF(ISBLANK('Data Entry'!$t$622), "", 'Data Entry'!$t$622)</f>
      </c>
      <c r="BA622">
        <f>IF(ISBLANK('Data Entry'!$u$622), "", 'Data Entry'!$u$622)</f>
      </c>
      <c r="BB622">
        <f>IF(ISBLANK('Data Entry'!$v$622), "", 'Data Entry'!$v$622)</f>
      </c>
      <c r="BC622">
        <f>IF(ISBLANK('Data Entry'!$w$622), "", 'Data Entry'!$w$622)</f>
      </c>
      <c r="BD622">
        <f>IF(ISBLANK('Data Entry'!$x$622), "", 'Data Entry'!$x$622)</f>
      </c>
      <c r="BE622">
        <f>IF(ISBLANK('Data Entry'!$y$622), "", 'Data Entry'!$y$622)</f>
      </c>
      <c r="BF622">
        <f>IF(ISBLANK('Data Entry'!$z$622), "", 'Data Entry'!$z$622)</f>
      </c>
      <c r="BG622">
        <f>IF(ISBLANK('Data Entry'!${$622), "", 'Data Entry'!${$622)</f>
      </c>
      <c r="BH622">
        <f>IF(ISBLANK('Data Entry'!$|$622), "", 'Data Entry'!$|$622)</f>
      </c>
      <c r="BI622">
        <f>IF(ISBLANK('Data Entry'!$}$622), "", 'Data Entry'!$}$622)</f>
      </c>
      <c r="BJ622">
        <f>IF(ISBLANK('Data Entry'!$~$622), "", 'Data Entry'!$~$622)</f>
      </c>
      <c r="BK622">
        <f>IF(ISBLANK('Data Entry'!$$622), "", 'Data Entry'!$$622)</f>
      </c>
      <c r="BL622">
        <f>IF(ISBLANK('Data Entry'!$$622), "", 'Data Entry'!$$622)</f>
      </c>
      <c r="BM622">
        <f>IF(ISBLANK('Data Entry'!$$622), "", 'Data Entry'!$$622)</f>
      </c>
      <c r="BN622">
        <f>IF(ISBLANK('Data Entry'!$$622), "", 'Data Entry'!$$622)</f>
      </c>
      <c r="BO622">
        <f>IF(ISBLANK('Data Entry'!$$622), "", 'Data Entry'!$$622)</f>
      </c>
      <c r="BP622">
        <f>IF(ISBLANK('Data Entry'!$$622), "", 'Data Entry'!$$622)</f>
      </c>
      <c r="BQ622">
        <f>IF(ISBLANK('Data Entry'!$$622), "", 'Data Entry'!$$622)</f>
      </c>
      <c r="BR622">
        <f>IF(ISBLANK('Data Entry'!$$622), "", 'Data Entry'!$$622)</f>
      </c>
      <c r="BS622">
        <f>IF(ISBLANK('Data Entry'!$$622), "", 'Data Entry'!$$622)</f>
      </c>
      <c r="BT622">
        <f>IF(ISBLANK('Data Entry'!$$622), "", 'Data Entry'!$$622)</f>
      </c>
      <c r="BU622">
        <f>IF(ISBLANK('Data Entry'!$$622), "", 'Data Entry'!$$622)</f>
      </c>
      <c r="BV622">
        <f>IF(ISBLANK('Data Entry'!$$622), "", 'Data Entry'!$$622)</f>
      </c>
      <c r="BW622">
        <f>IF(ISBLANK('Data Entry'!$$622), "", 'Data Entry'!$$622)</f>
      </c>
      <c r="BX622">
        <f>IF(ISBLANK('Data Entry'!$$622), "", 'Data Entry'!$$622)</f>
      </c>
      <c r="BY622">
        <f>IF(ISBLANK('Data Entry'!$$622), "", 'Data Entry'!$$622)</f>
      </c>
      <c r="BZ622">
        <f>IF(ISBLANK('Data Entry'!$$622), "", 'Data Entry'!$$622)</f>
      </c>
      <c r="CA622">
        <f>IF(ISBLANK('Data Entry'!$$622), "", 'Data Entry'!$$622)</f>
      </c>
      <c r="CB622">
        <f>IF(ISBLANK('Data Entry'!$$622), "", 'Data Entry'!$$622)</f>
      </c>
      <c r="CC622">
        <f>IF(ISBLANK('Data Entry'!$$622), "", 'Data Entry'!$$622)</f>
      </c>
      <c r="CD622">
        <f>IF(ISBLANK('Data Entry'!$$622), "", 'Data Entry'!$$622)</f>
      </c>
      <c r="CE622">
        <f>IF(ISBLANK('Data Entry'!$$622), "", 'Data Entry'!$$622)</f>
      </c>
      <c r="CF622">
        <f>IF(ISBLANK('Data Entry'!$$622), "", 'Data Entry'!$$622)</f>
      </c>
      <c r="CG622">
        <f>IF(ISBLANK('Data Entry'!$$622), "", 'Data Entry'!$$622)</f>
      </c>
      <c r="CH622">
        <f>IF(ISBLANK('Data Entry'!$$622), "", 'Data Entry'!$$622)</f>
      </c>
      <c r="CI622">
        <f>IF(ISBLANK('Data Entry'!$$622), "", 'Data Entry'!$$622)</f>
      </c>
      <c r="CJ622">
        <f>IF(ISBLANK('Data Entry'!$$622), "", 'Data Entry'!$$622)</f>
      </c>
      <c r="CK622">
        <f>IF(ISBLANK('Data Entry'!$$622), "", 'Data Entry'!$$622)</f>
      </c>
      <c r="CL622">
        <f>IF(ISBLANK('Data Entry'!$$622), "", 'Data Entry'!$$622)</f>
      </c>
      <c r="CM622">
        <f>IF(ISBLANK('Data Entry'!$$622), "", 'Data Entry'!$$622)</f>
      </c>
      <c r="CN622">
        <f>IF(ISBLANK('Data Entry'!$$622), "", 'Data Entry'!$$622)</f>
      </c>
      <c r="CO622">
        <f>IF(ISBLANK('Data Entry'!$$622), "", 'Data Entry'!$$622)</f>
      </c>
      <c r="CP622">
        <f>IF(ISBLANK('Data Entry'!$$622), "", 'Data Entry'!$$622)</f>
      </c>
      <c r="CQ622">
        <f>IF(ISBLANK('Data Entry'!$$622), "", 'Data Entry'!$$622)</f>
      </c>
      <c r="CR622">
        <f>IF(ISBLANK('Data Entry'!$ $622), "", 'Data Entry'!$ $622)</f>
      </c>
      <c r="CS622">
        <f>IF(ISBLANK('Data Entry'!$¡$622), "", 'Data Entry'!$¡$622)</f>
      </c>
      <c r="CT622">
        <f>IF(ISBLANK('Data Entry'!$¢$622), "", 'Data Entry'!$¢$622)</f>
      </c>
      <c r="CU622">
        <f>IF(ISBLANK('Data Entry'!$£$622), "", 'Data Entry'!$£$622)</f>
      </c>
      <c r="CV622">
        <f>IF(ISBLANK('Data Entry'!$¤$622), "", 'Data Entry'!$¤$622)</f>
      </c>
      <c r="CW622">
        <f>IF(ISBLANK('Data Entry'!$¥$622), "", 'Data Entry'!$¥$622)</f>
      </c>
      <c r="CX622">
        <f>IF(ISBLANK('Data Entry'!$¦$622), "", 'Data Entry'!$¦$622)</f>
      </c>
      <c r="CY622">
        <f>IF(ISBLANK('Data Entry'!$§$622), "", 'Data Entry'!$§$622)</f>
      </c>
      <c r="CZ622">
        <f>IF(ISBLANK('Data Entry'!$¨$622), "", 'Data Entry'!$¨$622)</f>
      </c>
      <c r="DA622">
        <f>IF(ISBLANK('Data Entry'!$©$622), "", 'Data Entry'!$©$622)</f>
      </c>
      <c r="DB622">
        <f>IF(ISBLANK('Data Entry'!$ª$622), "", 'Data Entry'!$ª$622)</f>
      </c>
      <c r="DC622">
        <f>IF(ISBLANK('Data Entry'!$«$622), "", 'Data Entry'!$«$622)</f>
      </c>
      <c r="DD622">
        <f>IF(ISBLANK('Data Entry'!$¬$622), "", 'Data Entry'!$¬$622)</f>
      </c>
      <c r="DE622">
        <f>IF(ISBLANK('Data Entry'!$­$622), "", 'Data Entry'!$­$622)</f>
      </c>
      <c r="DF622">
        <f>IF(ISBLANK('Data Entry'!$®$622), "", 'Data Entry'!$®$622)</f>
      </c>
      <c r="DG622">
        <f>IF(ISBLANK('Data Entry'!$¯$622), "", 'Data Entry'!$¯$622)</f>
      </c>
      <c r="DH622">
        <f>IF(ISBLANK('Data Entry'!$°$622), "", 'Data Entry'!$°$622)</f>
      </c>
      <c r="DI622">
        <f>IF(ISBLANK('Data Entry'!$±$622), "", 'Data Entry'!$±$622)</f>
      </c>
      <c r="DJ622">
        <f>IF(ISBLANK('Data Entry'!$²$622), "", 'Data Entry'!$²$622)</f>
      </c>
      <c r="DK622">
        <f>IF(ISBLANK('Data Entry'!$³$622), "", 'Data Entry'!$³$622)</f>
      </c>
      <c r="DL622">
        <f>IF(ISBLANK('Data Entry'!$´$622), "", 'Data Entry'!$´$622)</f>
      </c>
      <c r="DM622">
        <f>IF(ISBLANK('Data Entry'!$µ$622), "", 'Data Entry'!$µ$622)</f>
      </c>
      <c r="DN622">
        <f>IF(ISBLANK('Data Entry'!$¶$622), "", 'Data Entry'!$¶$622)</f>
      </c>
      <c r="DO622">
        <f>IF(ISBLANK('Data Entry'!$·$622), "", 'Data Entry'!$·$622)</f>
      </c>
      <c r="DP622">
        <f>IF(ISBLANK('Data Entry'!$¸$622), "", 'Data Entry'!$¸$622)</f>
      </c>
      <c r="DQ622">
        <f>IF(ISBLANK('Data Entry'!$¹$622), "", 'Data Entry'!$¹$622)</f>
      </c>
      <c r="DR622">
        <f>IF(ISBLANK('Data Entry'!$º$622), "", 'Data Entry'!$º$622)</f>
      </c>
      <c r="DS622">
        <f>IF(ISBLANK('Data Entry'!$»$622), "", 'Data Entry'!$»$622)</f>
      </c>
      <c r="DT622">
        <f>IF(ISBLANK('Data Entry'!$¼$622), "", 'Data Entry'!$¼$622)</f>
      </c>
      <c r="DU622">
        <f>IF(ISBLANK('Data Entry'!$½$622), "", 'Data Entry'!$½$622)</f>
      </c>
      <c r="DV622">
        <f>IF(ISBLANK('Data Entry'!$¾$622), "", 'Data Entry'!$¾$622)</f>
      </c>
      <c r="DW622">
        <f>IF(ISBLANK('Data Entry'!$¿$622), "", 'Data Entry'!$¿$622)</f>
      </c>
      <c r="DX622">
        <f>IF(ISBLANK('Data Entry'!$À$622), "", 'Data Entry'!$À$622)</f>
      </c>
      <c r="DY622">
        <f>IF(ISBLANK('Data Entry'!$Á$622), "", 'Data Entry'!$Á$622)</f>
      </c>
      <c r="DZ622">
        <f>IF(ISBLANK('Data Entry'!$Â$622), "", 'Data Entry'!$Â$622)</f>
      </c>
      <c r="EA622">
        <f>IF(ISBLANK('Data Entry'!$Ã$622), "", 'Data Entry'!$Ã$622)</f>
      </c>
      <c r="EB622">
        <f>IF(ISBLANK('Data Entry'!$Ä$622), "", 'Data Entry'!$Ä$622)</f>
      </c>
      <c r="EC622">
        <f>IF(ISBLANK('Data Entry'!$Å$622), "", 'Data Entry'!$Å$622)</f>
      </c>
      <c r="ED622">
        <f>IF(ISBLANK('Data Entry'!$Æ$622), "", 'Data Entry'!$Æ$622)</f>
      </c>
      <c r="EE622">
        <f>IF(ISBLANK('Data Entry'!$Ç$622), "", 'Data Entry'!$Ç$622)</f>
      </c>
      <c r="EF622">
        <f>IF(ISBLANK('Data Entry'!$È$622), "", 'Data Entry'!$È$622)</f>
      </c>
      <c r="EG622">
        <f>IF(ISBLANK('Data Entry'!$É$622), "", 'Data Entry'!$É$622)</f>
      </c>
      <c r="EH622">
        <f>IF(ISBLANK('Data Entry'!$Ê$622), "", 'Data Entry'!$Ê$622)</f>
      </c>
      <c r="EI622">
        <f>IF(ISBLANK('Data Entry'!$Ë$622), "", 'Data Entry'!$Ë$622)</f>
      </c>
      <c r="EJ622">
        <f>IF(ISBLANK('Data Entry'!$Ì$622), "", 'Data Entry'!$Ì$622)</f>
      </c>
      <c r="EK622">
        <f>IF(ISBLANK('Data Entry'!$Í$622), "", 'Data Entry'!$Í$622)</f>
      </c>
      <c r="EL622">
        <f>IF(ISBLANK('Data Entry'!$Î$622), "", 'Data Entry'!$Î$622)</f>
      </c>
      <c r="EM622">
        <f>IF(ISBLANK('Data Entry'!$Ï$622), "", 'Data Entry'!$Ï$622)</f>
      </c>
      <c r="EN622">
        <f>IF(ISBLANK('Data Entry'!$Ð$622), "", 'Data Entry'!$Ð$622)</f>
      </c>
      <c r="EO622">
        <f>IF(ISBLANK('Data Entry'!$Ñ$622), "", 'Data Entry'!$Ñ$622)</f>
      </c>
      <c r="EP622">
        <f>IF(ISBLANK('Data Entry'!$Ò$622), "", 'Data Entry'!$Ò$622)</f>
      </c>
      <c r="EQ622">
        <f>IF(ISBLANK('Data Entry'!$Ó$622), "", 'Data Entry'!$Ó$622)</f>
      </c>
      <c r="ER622">
        <f>IF(ISBLANK('Data Entry'!$Ô$622), "", 'Data Entry'!$Ô$622)</f>
      </c>
      <c r="ES622">
        <f>IF(ISBLANK('Data Entry'!$Õ$622), "", 'Data Entry'!$Õ$622)</f>
      </c>
      <c r="ET622">
        <f>IF(ISBLANK('Data Entry'!$Ö$622), "", 'Data Entry'!$Ö$622)</f>
      </c>
      <c r="EU622">
        <f>IF(ISBLANK('Data Entry'!$×$622), "", 'Data Entry'!$×$622)</f>
      </c>
      <c r="EV622">
        <f>IF(ISBLANK('Data Entry'!$Ø$622), "", 'Data Entry'!$Ø$622)</f>
      </c>
      <c r="EW622">
        <f>IF(ISBLANK('Data Entry'!$Ù$622), "", 'Data Entry'!$Ù$622)</f>
      </c>
      <c r="EX622">
        <f>IF(ISBLANK('Data Entry'!$Ú$622), "", 'Data Entry'!$Ú$622)</f>
      </c>
      <c r="EY622">
        <f>IF(ISBLANK('Data Entry'!$Û$622), "", 'Data Entry'!$Û$622)</f>
      </c>
      <c r="EZ622">
        <f>IF(ISBLANK('Data Entry'!$Ü$622), "", 'Data Entry'!$Ü$622)</f>
      </c>
      <c r="FA622">
        <f>IF(ISBLANK('Data Entry'!$Ý$622), "", 'Data Entry'!$Ý$622)</f>
      </c>
      <c r="FB622">
        <f>IF(ISBLANK('Data Entry'!$Þ$622), "", 'Data Entry'!$Þ$622)</f>
      </c>
      <c r="FC622">
        <f>IF(ISBLANK('Data Entry'!$ß$622), "", 'Data Entry'!$ß$622)</f>
      </c>
      <c r="FD622">
        <f>IF(ISBLANK('Data Entry'!$à$622), "", 'Data Entry'!$à$622)</f>
      </c>
      <c r="FE622">
        <f>IF(ISBLANK('Data Entry'!$á$622), "", 'Data Entry'!$á$622)</f>
      </c>
      <c r="FF622">
        <f>IF(ISBLANK('Data Entry'!$â$622), "", 'Data Entry'!$â$622)</f>
      </c>
      <c r="FG622">
        <f>IF(ISBLANK('Data Entry'!$ã$622), "", 'Data Entry'!$ã$622)</f>
      </c>
      <c r="FH622">
        <f>IF(ISBLANK('Data Entry'!$ä$622), "", 'Data Entry'!$ä$622)</f>
      </c>
      <c r="FI622">
        <f>IF(ISBLANK('Data Entry'!$å$622), "", 'Data Entry'!$å$622)</f>
      </c>
      <c r="FJ622">
        <f>IF(ISBLANK('Data Entry'!$æ$622), "", 'Data Entry'!$æ$622)</f>
      </c>
      <c r="FK622">
        <f>IF(ISBLANK('Data Entry'!$ç$622), "", 'Data Entry'!$ç$622)</f>
      </c>
      <c r="FL622">
        <f>IF(ISBLANK('Data Entry'!$è$622), "", 'Data Entry'!$è$622)</f>
      </c>
      <c r="FM622">
        <f>IF(ISBLANK('Data Entry'!$é$622), "", 'Data Entry'!$é$622)</f>
      </c>
      <c r="FN622">
        <f>IF(ISBLANK('Data Entry'!$ê$622), "", 'Data Entry'!$ê$622)</f>
      </c>
      <c r="FO622">
        <f>IF(ISBLANK('Data Entry'!$ë$622), "", 'Data Entry'!$ë$622)</f>
      </c>
      <c r="FP622">
        <f>IF(ISBLANK('Data Entry'!$ì$622), "", 'Data Entry'!$ì$622)</f>
      </c>
      <c r="FQ622">
        <f>IF(ISBLANK('Data Entry'!$í$622), "", 'Data Entry'!$í$622)</f>
      </c>
      <c r="FR622">
        <f>IF(ISBLANK('Data Entry'!$î$622), "", 'Data Entry'!$î$622)</f>
      </c>
      <c r="FS622">
        <f>IF(ISBLANK('Data Entry'!$ï$622), "", 'Data Entry'!$ï$622)</f>
      </c>
      <c r="FT622">
        <f>IF(ISBLANK('Data Entry'!$ð$622), "", 'Data Entry'!$ð$622)</f>
      </c>
      <c r="FU622">
        <f>IF(ISBLANK('Data Entry'!$ñ$622), "", 'Data Entry'!$ñ$622)</f>
      </c>
      <c r="FV622">
        <f>IF(ISBLANK('Data Entry'!$ò$622), "", 'Data Entry'!$ò$622)</f>
      </c>
      <c r="FW622">
        <f>IF(ISBLANK('Data Entry'!$ó$622), "", 'Data Entry'!$ó$622)</f>
      </c>
      <c r="FX622">
        <f>IF(ISBLANK('Data Entry'!$ô$622), "", 'Data Entry'!$ô$622)</f>
      </c>
      <c r="FY622">
        <f>IF(ISBLANK('Data Entry'!$õ$622), "", 'Data Entry'!$õ$622)</f>
      </c>
      <c r="FZ622">
        <f>IF(ISBLANK('Data Entry'!$ö$622), "", 'Data Entry'!$ö$622)</f>
      </c>
      <c r="GA622">
        <f>IF(ISBLANK('Data Entry'!$÷$622), "", 'Data Entry'!$÷$622)</f>
      </c>
      <c r="GB622">
        <f>IF(ISBLANK('Data Entry'!$ø$622), "", 'Data Entry'!$ø$622)</f>
      </c>
      <c r="GC622">
        <f>IF(ISBLANK('Data Entry'!$ù$622), "", 'Data Entry'!$ù$622)</f>
      </c>
      <c r="GD622">
        <f>IF(ISBLANK('Data Entry'!$ú$622), "", 'Data Entry'!$ú$622)</f>
      </c>
      <c r="GE622">
        <f>IF(ISBLANK('Data Entry'!$û$622), "", 'Data Entry'!$û$622)</f>
      </c>
      <c r="GF622">
        <f>IF(ISBLANK('Data Entry'!$ü$622), "", 'Data Entry'!$ü$622)</f>
      </c>
      <c r="GG622">
        <f>IF(ISBLANK('Data Entry'!$ý$622), "", 'Data Entry'!$ý$622)</f>
      </c>
      <c r="GH622">
        <f>IF(ISBLANK('Data Entry'!$þ$622), "", 'Data Entry'!$þ$622)</f>
      </c>
      <c r="GI622">
        <f>IF(ISBLANK('Data Entry'!$ÿ$622), "", 'Data Entry'!$ÿ$622)</f>
      </c>
      <c r="GJ622">
        <f>IF(ISBLANK('Data Entry'!$Ā$622), "", 'Data Entry'!$Ā$622)</f>
      </c>
      <c r="GK622">
        <f>IF(ISBLANK('Data Entry'!$ā$622), "", 'Data Entry'!$ā$622)</f>
      </c>
      <c r="GL622">
        <f>IF(ISBLANK('Data Entry'!$Ă$622), "", 'Data Entry'!$Ă$622)</f>
      </c>
      <c r="GM622">
        <f>IF(ISBLANK('Data Entry'!$ă$622), "", 'Data Entry'!$ă$622)</f>
      </c>
      <c r="GN622">
        <f>IF(ISBLANK('Data Entry'!$Ą$622), "", 'Data Entry'!$Ą$622)</f>
      </c>
      <c r="GO622">
        <f>IF(ISBLANK('Data Entry'!$ą$622), "", 'Data Entry'!$ą$622)</f>
      </c>
      <c r="GP622">
        <f>IF(ISBLANK('Data Entry'!$Ć$622), "", 'Data Entry'!$Ć$622)</f>
      </c>
      <c r="GQ622">
        <f>IF(ISBLANK('Data Entry'!$ć$622), "", 'Data Entry'!$ć$622)</f>
      </c>
      <c r="GR622">
        <f>IF(ISBLANK('Data Entry'!$Ĉ$622), "", 'Data Entry'!$Ĉ$622)</f>
      </c>
      <c r="GS622">
        <f>IF(ISBLANK('Data Entry'!$ĉ$622), "", 'Data Entry'!$ĉ$622)</f>
      </c>
      <c r="GT622">
        <f>IF(ISBLANK('Data Entry'!$Ċ$622), "", 'Data Entry'!$Ċ$622)</f>
      </c>
      <c r="GU622">
        <f>IF(ISBLANK('Data Entry'!$ċ$622), "", 'Data Entry'!$ċ$622)</f>
      </c>
      <c r="GV622">
        <f>IF(ISBLANK('Data Entry'!$Č$622), "", 'Data Entry'!$Č$622)</f>
      </c>
      <c r="GW622">
        <f>IF(ISBLANK('Data Entry'!$č$622), "", 'Data Entry'!$č$622)</f>
      </c>
      <c r="GX622">
        <f>IF(ISBLANK('Data Entry'!$Ď$622), "", 'Data Entry'!$Ď$622)</f>
      </c>
      <c r="GY622">
        <f>IF(ISBLANK('Data Entry'!$ď$622), "", 'Data Entry'!$ď$622)</f>
      </c>
      <c r="GZ622">
        <f>IF(ISBLANK('Data Entry'!$Đ$622), "", 'Data Entry'!$Đ$622)</f>
      </c>
      <c r="HA622">
        <f>IF(ISBLANK('Data Entry'!$đ$622), "", 'Data Entry'!$đ$622)</f>
      </c>
      <c r="HB622">
        <f>IF(ISBLANK('Data Entry'!$Ē$622), "", 'Data Entry'!$Ē$622)</f>
      </c>
      <c r="HC622">
        <f>IF(ISBLANK('Data Entry'!$ē$622), "", 'Data Entry'!$ē$622)</f>
      </c>
      <c r="HD622">
        <f>IF(ISBLANK('Data Entry'!$Ĕ$622), "", 'Data Entry'!$Ĕ$622)</f>
      </c>
      <c r="HE622">
        <f>IF(ISBLANK('Data Entry'!$ĕ$622), "", 'Data Entry'!$ĕ$622)</f>
      </c>
      <c r="HF622">
        <f>IF(ISBLANK('Data Entry'!$Ė$622), "", 'Data Entry'!$Ė$622)</f>
      </c>
      <c r="HG622">
        <f>IF(ISBLANK('Data Entry'!$ė$622), "", 'Data Entry'!$ė$622)</f>
      </c>
      <c r="HH622">
        <f>IF(ISBLANK('Data Entry'!$Ę$622), "", 'Data Entry'!$Ę$622)</f>
      </c>
      <c r="HI622">
        <f>IF(ISBLANK('Data Entry'!$ę$622), "", 'Data Entry'!$ę$622)</f>
      </c>
      <c r="HJ622">
        <f>IF(ISBLANK('Data Entry'!$Ě$622), "", 'Data Entry'!$Ě$622)</f>
      </c>
      <c r="HK622">
        <f>IF(ISBLANK('Data Entry'!$ě$622), "", 'Data Entry'!$ě$622)</f>
      </c>
      <c r="HL622">
        <f>IF(ISBLANK('Data Entry'!$Ĝ$622), "", 'Data Entry'!$Ĝ$622)</f>
      </c>
      <c r="HM622">
        <f>IF(ISBLANK('Data Entry'!$ĝ$622), "", 'Data Entry'!$ĝ$622)</f>
      </c>
      <c r="HN622">
        <f>IF(ISBLANK('Data Entry'!$Ğ$622), "", 'Data Entry'!$Ğ$622)</f>
      </c>
      <c r="HO622">
        <f>IF(ISBLANK('Data Entry'!$ğ$622), "", 'Data Entry'!$ğ$622)</f>
      </c>
      <c r="HP622">
        <f>IF(ISBLANK('Data Entry'!$Ġ$622), "", 'Data Entry'!$Ġ$622)</f>
      </c>
      <c r="HQ622">
        <f>IF(ISBLANK('Data Entry'!$ġ$622), "", 'Data Entry'!$ġ$622)</f>
      </c>
      <c r="HR622">
        <f>IF(ISBLANK('Data Entry'!$Ģ$622), "", 'Data Entry'!$Ģ$622)</f>
      </c>
      <c r="HS622">
        <f>IF(ISBLANK('Data Entry'!$ģ$622), "", 'Data Entry'!$ģ$622)</f>
      </c>
      <c r="HT622">
        <f>IF(ISBLANK('Data Entry'!$Ĥ$622), "", 'Data Entry'!$Ĥ$622)</f>
      </c>
      <c r="HU622">
        <f>IF(ISBLANK('Data Entry'!$ĥ$622), "", 'Data Entry'!$ĥ$622)</f>
      </c>
      <c r="HV622">
        <f>IF(ISBLANK('Data Entry'!$Ħ$622), "", 'Data Entry'!$Ħ$622)</f>
      </c>
      <c r="HW622">
        <f>IF(ISBLANK('Data Entry'!$ħ$622), "", 'Data Entry'!$ħ$622)</f>
      </c>
      <c r="HX622">
        <f>IF(ISBLANK('Data Entry'!$Ĩ$622), "", 'Data Entry'!$Ĩ$622)</f>
      </c>
      <c r="HY622">
        <f>IF(ISBLANK('Data Entry'!$ĩ$622), "", 'Data Entry'!$ĩ$622)</f>
      </c>
      <c r="HZ622">
        <f>IF(ISBLANK('Data Entry'!$Ī$622), "", 'Data Entry'!$Ī$622)</f>
      </c>
      <c r="IA622">
        <f>IF(ISBLANK('Data Entry'!$ī$622), "", 'Data Entry'!$ī$622)</f>
      </c>
      <c r="IB622">
        <f>IF(ISBLANK('Data Entry'!$Ĭ$622), "", 'Data Entry'!$Ĭ$622)</f>
      </c>
      <c r="IC622">
        <f>IF(ISBLANK('Data Entry'!$ĭ$622), "", 'Data Entry'!$ĭ$622)</f>
      </c>
      <c r="ID622">
        <f>IF(ISBLANK('Data Entry'!$Į$622), "", 'Data Entry'!$Į$622)</f>
      </c>
      <c r="IE622">
        <f>IF(ISBLANK('Data Entry'!$į$622), "", 'Data Entry'!$į$622)</f>
      </c>
      <c r="IF622">
        <f>IF(ISBLANK('Data Entry'!$İ$622), "", 'Data Entry'!$İ$622)</f>
      </c>
      <c r="IG622">
        <f>IF(ISBLANK('Data Entry'!$ı$622), "", 'Data Entry'!$ı$622)</f>
      </c>
      <c r="IH622">
        <f>IF(ISBLANK('Data Entry'!$Ĳ$622), "", 'Data Entry'!$Ĳ$622)</f>
      </c>
      <c r="II622">
        <f>IF(ISBLANK('Data Entry'!$ĳ$622), "", 'Data Entry'!$ĳ$622)</f>
      </c>
      <c r="IJ622">
        <f>IF(ISBLANK('Data Entry'!$Ĵ$622), "", 'Data Entry'!$Ĵ$622)</f>
      </c>
      <c r="IK622">
        <f>IF(ISBLANK('Data Entry'!$ĵ$622), "", 'Data Entry'!$ĵ$622)</f>
      </c>
      <c r="IL622">
        <f>IF(ISBLANK('Data Entry'!$Ķ$622), "", 'Data Entry'!$Ķ$622)</f>
      </c>
      <c r="IM622">
        <f>IF(ISBLANK('Data Entry'!$ķ$622), "", 'Data Entry'!$ķ$622)</f>
      </c>
      <c r="IN622">
        <f>IF(ISBLANK('Data Entry'!$ĸ$622), "", 'Data Entry'!$ĸ$622)</f>
      </c>
      <c r="IO622">
        <f>IF(ISBLANK('Data Entry'!$Ĺ$622), "", 'Data Entry'!$Ĺ$622)</f>
      </c>
      <c r="IP622">
        <f>IF(ISBLANK('Data Entry'!$ĺ$622), "", 'Data Entry'!$ĺ$622)</f>
      </c>
      <c r="IQ622">
        <f>IF(ISBLANK('Data Entry'!$Ļ$622), "", 'Data Entry'!$Ļ$622)</f>
      </c>
      <c r="IR622">
        <f>IF(ISBLANK('Data Entry'!$ļ$622), "", 'Data Entry'!$ļ$622)</f>
      </c>
      <c r="IS622">
        <f>IF(ISBLANK('Data Entry'!$Ľ$622), "", 'Data Entry'!$Ľ$622)</f>
      </c>
      <c r="IT622">
        <f>IF(ISBLANK('Data Entry'!$ľ$622), "", 'Data Entry'!$ľ$622)</f>
      </c>
    </row>
    <row r="623" spans="1:254" x14ac:dyDescent="0.25">
      <c r="A623">
        <f>IF(ISBLANK('Data Entry'!$A$623), "", 'Data Entry'!$A$623)</f>
      </c>
      <c r="B623">
        <f>IF(ISBLANK('Data Entry'!$B$623), "", 'Data Entry'!$B$623)</f>
      </c>
      <c r="C623">
        <f>IF(ISBLANK('Data Entry'!$C$623), "", 'Data Entry'!$C$623)</f>
      </c>
      <c r="D623">
        <f>IF(ISBLANK('Data Entry'!$D$623), "", 'Data Entry'!$D$623)</f>
      </c>
      <c r="E623">
        <f>IF(ISBLANK('Data Entry'!$E$623), "", 'Data Entry'!$E$623)</f>
      </c>
      <c r="F623">
        <f>IF(ISBLANK('Data Entry'!$F$623), "", 'Data Entry'!$F$623)</f>
      </c>
      <c r="G623">
        <f>IF(ISBLANK('Data Entry'!$G$623), "", 'Data Entry'!$G$623)</f>
      </c>
      <c r="H623">
        <f>IF(ISBLANK('Data Entry'!$H$623), "", 'Data Entry'!$H$623)</f>
      </c>
      <c r="I623">
        <f>IF(ISBLANK('Data Entry'!$I$623), "", 'Data Entry'!$I$623)</f>
      </c>
      <c r="J623">
        <f>IF(ISBLANK('Data Entry'!$J$623), "", 'Data Entry'!$J$623)</f>
      </c>
      <c r="K623">
        <f>IF(ISBLANK('Data Entry'!$K$623), "", 'Data Entry'!$K$623)</f>
      </c>
      <c r="L623">
        <f>IF(ISBLANK('Data Entry'!$L$623), "", 'Data Entry'!$L$623)</f>
      </c>
      <c r="M623">
        <f>IF(ISBLANK('Data Entry'!$M$623), "", 'Data Entry'!$M$623)</f>
      </c>
      <c r="N623">
        <f>IF(ISBLANK('Data Entry'!$N$623), "", 'Data Entry'!$N$623)</f>
      </c>
      <c r="O623">
        <f>IF(ISBLANK('Data Entry'!$O$623), "", 'Data Entry'!$O$623)</f>
      </c>
      <c r="P623">
        <f>IF(ISBLANK('Data Entry'!$P$623), "", 'Data Entry'!$P$623)</f>
      </c>
      <c r="Q623">
        <f>IF(ISBLANK('Data Entry'!$Q$623), "", 'Data Entry'!$Q$623)</f>
      </c>
      <c r="R623">
        <f>IF(ISBLANK('Data Entry'!$R$623), "", 'Data Entry'!$R$623)</f>
      </c>
      <c r="S623">
        <f>IF(ISBLANK('Data Entry'!$S$623), "", 'Data Entry'!$S$623)</f>
      </c>
      <c r="T623">
        <f>IF(ISBLANK('Data Entry'!$T$623), "", 'Data Entry'!$T$623)</f>
      </c>
      <c r="U623">
        <f>IF(ISBLANK('Data Entry'!$U$623), "", 'Data Entry'!$U$623)</f>
      </c>
      <c r="V623">
        <f>IF(ISBLANK('Data Entry'!$V$623), "", 'Data Entry'!$V$623)</f>
      </c>
      <c r="W623">
        <f>IF(ISBLANK('Data Entry'!$W$623), "", 'Data Entry'!$W$623)</f>
      </c>
      <c r="X623">
        <f>IF(ISBLANK('Data Entry'!$X$623), "", 'Data Entry'!$X$623)</f>
      </c>
      <c r="Y623">
        <f>IF(ISBLANK('Data Entry'!$Y$623), "", 'Data Entry'!$Y$623)</f>
      </c>
      <c r="Z623">
        <f>IF(ISBLANK('Data Entry'!$Z$623), "", 'Data Entry'!$Z$623)</f>
      </c>
      <c r="AA623">
        <f>IF(ISBLANK('Data Entry'!$[$623), "", 'Data Entry'!$[$623)</f>
      </c>
      <c r="AB623">
        <f>IF(ISBLANK('Data Entry'!$\$623), "", 'Data Entry'!$\$623)</f>
      </c>
      <c r="AC623">
        <f>IF(ISBLANK('Data Entry'!$]$623), "", 'Data Entry'!$]$623)</f>
      </c>
      <c r="AD623">
        <f>IF(ISBLANK('Data Entry'!$^$623), "", 'Data Entry'!$^$623)</f>
      </c>
      <c r="AE623">
        <f>IF(ISBLANK('Data Entry'!$_$623), "", 'Data Entry'!$_$623)</f>
      </c>
      <c r="AF623">
        <f>IF(ISBLANK('Data Entry'!$`$623), "", 'Data Entry'!$`$623)</f>
      </c>
      <c r="AG623">
        <f>IF(ISBLANK('Data Entry'!$a$623), "", 'Data Entry'!$a$623)</f>
      </c>
      <c r="AH623">
        <f>IF(ISBLANK('Data Entry'!$b$623), "", 'Data Entry'!$b$623)</f>
      </c>
      <c r="AI623">
        <f>IF(ISBLANK('Data Entry'!$c$623), "", 'Data Entry'!$c$623)</f>
      </c>
      <c r="AJ623">
        <f>IF(ISBLANK('Data Entry'!$d$623), "", 'Data Entry'!$d$623)</f>
      </c>
      <c r="AK623">
        <f>IF(ISBLANK('Data Entry'!$e$623), "", 'Data Entry'!$e$623)</f>
      </c>
      <c r="AL623">
        <f>IF(ISBLANK('Data Entry'!$f$623), "", 'Data Entry'!$f$623)</f>
      </c>
      <c r="AM623">
        <f>IF(ISBLANK('Data Entry'!$g$623), "", 'Data Entry'!$g$623)</f>
      </c>
      <c r="AN623">
        <f>IF(ISBLANK('Data Entry'!$h$623), "", 'Data Entry'!$h$623)</f>
      </c>
      <c r="AO623">
        <f>IF(ISBLANK('Data Entry'!$i$623), "", 'Data Entry'!$i$623)</f>
      </c>
      <c r="AP623">
        <f>IF(ISBLANK('Data Entry'!$j$623), "", 'Data Entry'!$j$623)</f>
      </c>
      <c r="AQ623">
        <f>IF(ISBLANK('Data Entry'!$k$623), "", 'Data Entry'!$k$623)</f>
      </c>
      <c r="AR623">
        <f>IF(ISBLANK('Data Entry'!$l$623), "", 'Data Entry'!$l$623)</f>
      </c>
      <c r="AS623">
        <f>IF(ISBLANK('Data Entry'!$m$623), "", 'Data Entry'!$m$623)</f>
      </c>
      <c r="AT623">
        <f>IF(ISBLANK('Data Entry'!$n$623), "", 'Data Entry'!$n$623)</f>
      </c>
      <c r="AU623">
        <f>IF(ISBLANK('Data Entry'!$o$623), "", 'Data Entry'!$o$623)</f>
      </c>
      <c r="AV623">
        <f>IF(ISBLANK('Data Entry'!$p$623), "", 'Data Entry'!$p$623)</f>
      </c>
      <c r="AW623">
        <f>IF(ISBLANK('Data Entry'!$q$623), "", 'Data Entry'!$q$623)</f>
      </c>
      <c r="AX623">
        <f>IF(ISBLANK('Data Entry'!$r$623), "", 'Data Entry'!$r$623)</f>
      </c>
      <c r="AY623">
        <f>IF(ISBLANK('Data Entry'!$s$623), "", 'Data Entry'!$s$623)</f>
      </c>
      <c r="AZ623">
        <f>IF(ISBLANK('Data Entry'!$t$623), "", 'Data Entry'!$t$623)</f>
      </c>
      <c r="BA623">
        <f>IF(ISBLANK('Data Entry'!$u$623), "", 'Data Entry'!$u$623)</f>
      </c>
      <c r="BB623">
        <f>IF(ISBLANK('Data Entry'!$v$623), "", 'Data Entry'!$v$623)</f>
      </c>
      <c r="BC623">
        <f>IF(ISBLANK('Data Entry'!$w$623), "", 'Data Entry'!$w$623)</f>
      </c>
      <c r="BD623">
        <f>IF(ISBLANK('Data Entry'!$x$623), "", 'Data Entry'!$x$623)</f>
      </c>
      <c r="BE623">
        <f>IF(ISBLANK('Data Entry'!$y$623), "", 'Data Entry'!$y$623)</f>
      </c>
      <c r="BF623">
        <f>IF(ISBLANK('Data Entry'!$z$623), "", 'Data Entry'!$z$623)</f>
      </c>
      <c r="BG623">
        <f>IF(ISBLANK('Data Entry'!${$623), "", 'Data Entry'!${$623)</f>
      </c>
      <c r="BH623">
        <f>IF(ISBLANK('Data Entry'!$|$623), "", 'Data Entry'!$|$623)</f>
      </c>
      <c r="BI623">
        <f>IF(ISBLANK('Data Entry'!$}$623), "", 'Data Entry'!$}$623)</f>
      </c>
      <c r="BJ623">
        <f>IF(ISBLANK('Data Entry'!$~$623), "", 'Data Entry'!$~$623)</f>
      </c>
      <c r="BK623">
        <f>IF(ISBLANK('Data Entry'!$$623), "", 'Data Entry'!$$623)</f>
      </c>
      <c r="BL623">
        <f>IF(ISBLANK('Data Entry'!$$623), "", 'Data Entry'!$$623)</f>
      </c>
      <c r="BM623">
        <f>IF(ISBLANK('Data Entry'!$$623), "", 'Data Entry'!$$623)</f>
      </c>
      <c r="BN623">
        <f>IF(ISBLANK('Data Entry'!$$623), "", 'Data Entry'!$$623)</f>
      </c>
      <c r="BO623">
        <f>IF(ISBLANK('Data Entry'!$$623), "", 'Data Entry'!$$623)</f>
      </c>
      <c r="BP623">
        <f>IF(ISBLANK('Data Entry'!$$623), "", 'Data Entry'!$$623)</f>
      </c>
      <c r="BQ623">
        <f>IF(ISBLANK('Data Entry'!$$623), "", 'Data Entry'!$$623)</f>
      </c>
      <c r="BR623">
        <f>IF(ISBLANK('Data Entry'!$$623), "", 'Data Entry'!$$623)</f>
      </c>
      <c r="BS623">
        <f>IF(ISBLANK('Data Entry'!$$623), "", 'Data Entry'!$$623)</f>
      </c>
      <c r="BT623">
        <f>IF(ISBLANK('Data Entry'!$$623), "", 'Data Entry'!$$623)</f>
      </c>
      <c r="BU623">
        <f>IF(ISBLANK('Data Entry'!$$623), "", 'Data Entry'!$$623)</f>
      </c>
      <c r="BV623">
        <f>IF(ISBLANK('Data Entry'!$$623), "", 'Data Entry'!$$623)</f>
      </c>
      <c r="BW623">
        <f>IF(ISBLANK('Data Entry'!$$623), "", 'Data Entry'!$$623)</f>
      </c>
      <c r="BX623">
        <f>IF(ISBLANK('Data Entry'!$$623), "", 'Data Entry'!$$623)</f>
      </c>
      <c r="BY623">
        <f>IF(ISBLANK('Data Entry'!$$623), "", 'Data Entry'!$$623)</f>
      </c>
      <c r="BZ623">
        <f>IF(ISBLANK('Data Entry'!$$623), "", 'Data Entry'!$$623)</f>
      </c>
      <c r="CA623">
        <f>IF(ISBLANK('Data Entry'!$$623), "", 'Data Entry'!$$623)</f>
      </c>
      <c r="CB623">
        <f>IF(ISBLANK('Data Entry'!$$623), "", 'Data Entry'!$$623)</f>
      </c>
      <c r="CC623">
        <f>IF(ISBLANK('Data Entry'!$$623), "", 'Data Entry'!$$623)</f>
      </c>
      <c r="CD623">
        <f>IF(ISBLANK('Data Entry'!$$623), "", 'Data Entry'!$$623)</f>
      </c>
      <c r="CE623">
        <f>IF(ISBLANK('Data Entry'!$$623), "", 'Data Entry'!$$623)</f>
      </c>
      <c r="CF623">
        <f>IF(ISBLANK('Data Entry'!$$623), "", 'Data Entry'!$$623)</f>
      </c>
      <c r="CG623">
        <f>IF(ISBLANK('Data Entry'!$$623), "", 'Data Entry'!$$623)</f>
      </c>
      <c r="CH623">
        <f>IF(ISBLANK('Data Entry'!$$623), "", 'Data Entry'!$$623)</f>
      </c>
      <c r="CI623">
        <f>IF(ISBLANK('Data Entry'!$$623), "", 'Data Entry'!$$623)</f>
      </c>
      <c r="CJ623">
        <f>IF(ISBLANK('Data Entry'!$$623), "", 'Data Entry'!$$623)</f>
      </c>
      <c r="CK623">
        <f>IF(ISBLANK('Data Entry'!$$623), "", 'Data Entry'!$$623)</f>
      </c>
      <c r="CL623">
        <f>IF(ISBLANK('Data Entry'!$$623), "", 'Data Entry'!$$623)</f>
      </c>
      <c r="CM623">
        <f>IF(ISBLANK('Data Entry'!$$623), "", 'Data Entry'!$$623)</f>
      </c>
      <c r="CN623">
        <f>IF(ISBLANK('Data Entry'!$$623), "", 'Data Entry'!$$623)</f>
      </c>
      <c r="CO623">
        <f>IF(ISBLANK('Data Entry'!$$623), "", 'Data Entry'!$$623)</f>
      </c>
      <c r="CP623">
        <f>IF(ISBLANK('Data Entry'!$$623), "", 'Data Entry'!$$623)</f>
      </c>
      <c r="CQ623">
        <f>IF(ISBLANK('Data Entry'!$$623), "", 'Data Entry'!$$623)</f>
      </c>
      <c r="CR623">
        <f>IF(ISBLANK('Data Entry'!$ $623), "", 'Data Entry'!$ $623)</f>
      </c>
      <c r="CS623">
        <f>IF(ISBLANK('Data Entry'!$¡$623), "", 'Data Entry'!$¡$623)</f>
      </c>
      <c r="CT623">
        <f>IF(ISBLANK('Data Entry'!$¢$623), "", 'Data Entry'!$¢$623)</f>
      </c>
      <c r="CU623">
        <f>IF(ISBLANK('Data Entry'!$£$623), "", 'Data Entry'!$£$623)</f>
      </c>
      <c r="CV623">
        <f>IF(ISBLANK('Data Entry'!$¤$623), "", 'Data Entry'!$¤$623)</f>
      </c>
      <c r="CW623">
        <f>IF(ISBLANK('Data Entry'!$¥$623), "", 'Data Entry'!$¥$623)</f>
      </c>
      <c r="CX623">
        <f>IF(ISBLANK('Data Entry'!$¦$623), "", 'Data Entry'!$¦$623)</f>
      </c>
      <c r="CY623">
        <f>IF(ISBLANK('Data Entry'!$§$623), "", 'Data Entry'!$§$623)</f>
      </c>
      <c r="CZ623">
        <f>IF(ISBLANK('Data Entry'!$¨$623), "", 'Data Entry'!$¨$623)</f>
      </c>
      <c r="DA623">
        <f>IF(ISBLANK('Data Entry'!$©$623), "", 'Data Entry'!$©$623)</f>
      </c>
      <c r="DB623">
        <f>IF(ISBLANK('Data Entry'!$ª$623), "", 'Data Entry'!$ª$623)</f>
      </c>
      <c r="DC623">
        <f>IF(ISBLANK('Data Entry'!$«$623), "", 'Data Entry'!$«$623)</f>
      </c>
      <c r="DD623">
        <f>IF(ISBLANK('Data Entry'!$¬$623), "", 'Data Entry'!$¬$623)</f>
      </c>
      <c r="DE623">
        <f>IF(ISBLANK('Data Entry'!$­$623), "", 'Data Entry'!$­$623)</f>
      </c>
      <c r="DF623">
        <f>IF(ISBLANK('Data Entry'!$®$623), "", 'Data Entry'!$®$623)</f>
      </c>
      <c r="DG623">
        <f>IF(ISBLANK('Data Entry'!$¯$623), "", 'Data Entry'!$¯$623)</f>
      </c>
      <c r="DH623">
        <f>IF(ISBLANK('Data Entry'!$°$623), "", 'Data Entry'!$°$623)</f>
      </c>
      <c r="DI623">
        <f>IF(ISBLANK('Data Entry'!$±$623), "", 'Data Entry'!$±$623)</f>
      </c>
      <c r="DJ623">
        <f>IF(ISBLANK('Data Entry'!$²$623), "", 'Data Entry'!$²$623)</f>
      </c>
      <c r="DK623">
        <f>IF(ISBLANK('Data Entry'!$³$623), "", 'Data Entry'!$³$623)</f>
      </c>
      <c r="DL623">
        <f>IF(ISBLANK('Data Entry'!$´$623), "", 'Data Entry'!$´$623)</f>
      </c>
      <c r="DM623">
        <f>IF(ISBLANK('Data Entry'!$µ$623), "", 'Data Entry'!$µ$623)</f>
      </c>
      <c r="DN623">
        <f>IF(ISBLANK('Data Entry'!$¶$623), "", 'Data Entry'!$¶$623)</f>
      </c>
      <c r="DO623">
        <f>IF(ISBLANK('Data Entry'!$·$623), "", 'Data Entry'!$·$623)</f>
      </c>
      <c r="DP623">
        <f>IF(ISBLANK('Data Entry'!$¸$623), "", 'Data Entry'!$¸$623)</f>
      </c>
      <c r="DQ623">
        <f>IF(ISBLANK('Data Entry'!$¹$623), "", 'Data Entry'!$¹$623)</f>
      </c>
      <c r="DR623">
        <f>IF(ISBLANK('Data Entry'!$º$623), "", 'Data Entry'!$º$623)</f>
      </c>
      <c r="DS623">
        <f>IF(ISBLANK('Data Entry'!$»$623), "", 'Data Entry'!$»$623)</f>
      </c>
      <c r="DT623">
        <f>IF(ISBLANK('Data Entry'!$¼$623), "", 'Data Entry'!$¼$623)</f>
      </c>
      <c r="DU623">
        <f>IF(ISBLANK('Data Entry'!$½$623), "", 'Data Entry'!$½$623)</f>
      </c>
      <c r="DV623">
        <f>IF(ISBLANK('Data Entry'!$¾$623), "", 'Data Entry'!$¾$623)</f>
      </c>
      <c r="DW623">
        <f>IF(ISBLANK('Data Entry'!$¿$623), "", 'Data Entry'!$¿$623)</f>
      </c>
      <c r="DX623">
        <f>IF(ISBLANK('Data Entry'!$À$623), "", 'Data Entry'!$À$623)</f>
      </c>
      <c r="DY623">
        <f>IF(ISBLANK('Data Entry'!$Á$623), "", 'Data Entry'!$Á$623)</f>
      </c>
      <c r="DZ623">
        <f>IF(ISBLANK('Data Entry'!$Â$623), "", 'Data Entry'!$Â$623)</f>
      </c>
      <c r="EA623">
        <f>IF(ISBLANK('Data Entry'!$Ã$623), "", 'Data Entry'!$Ã$623)</f>
      </c>
      <c r="EB623">
        <f>IF(ISBLANK('Data Entry'!$Ä$623), "", 'Data Entry'!$Ä$623)</f>
      </c>
      <c r="EC623">
        <f>IF(ISBLANK('Data Entry'!$Å$623), "", 'Data Entry'!$Å$623)</f>
      </c>
      <c r="ED623">
        <f>IF(ISBLANK('Data Entry'!$Æ$623), "", 'Data Entry'!$Æ$623)</f>
      </c>
      <c r="EE623">
        <f>IF(ISBLANK('Data Entry'!$Ç$623), "", 'Data Entry'!$Ç$623)</f>
      </c>
      <c r="EF623">
        <f>IF(ISBLANK('Data Entry'!$È$623), "", 'Data Entry'!$È$623)</f>
      </c>
      <c r="EG623">
        <f>IF(ISBLANK('Data Entry'!$É$623), "", 'Data Entry'!$É$623)</f>
      </c>
      <c r="EH623">
        <f>IF(ISBLANK('Data Entry'!$Ê$623), "", 'Data Entry'!$Ê$623)</f>
      </c>
      <c r="EI623">
        <f>IF(ISBLANK('Data Entry'!$Ë$623), "", 'Data Entry'!$Ë$623)</f>
      </c>
      <c r="EJ623">
        <f>IF(ISBLANK('Data Entry'!$Ì$623), "", 'Data Entry'!$Ì$623)</f>
      </c>
      <c r="EK623">
        <f>IF(ISBLANK('Data Entry'!$Í$623), "", 'Data Entry'!$Í$623)</f>
      </c>
      <c r="EL623">
        <f>IF(ISBLANK('Data Entry'!$Î$623), "", 'Data Entry'!$Î$623)</f>
      </c>
      <c r="EM623">
        <f>IF(ISBLANK('Data Entry'!$Ï$623), "", 'Data Entry'!$Ï$623)</f>
      </c>
      <c r="EN623">
        <f>IF(ISBLANK('Data Entry'!$Ð$623), "", 'Data Entry'!$Ð$623)</f>
      </c>
      <c r="EO623">
        <f>IF(ISBLANK('Data Entry'!$Ñ$623), "", 'Data Entry'!$Ñ$623)</f>
      </c>
      <c r="EP623">
        <f>IF(ISBLANK('Data Entry'!$Ò$623), "", 'Data Entry'!$Ò$623)</f>
      </c>
      <c r="EQ623">
        <f>IF(ISBLANK('Data Entry'!$Ó$623), "", 'Data Entry'!$Ó$623)</f>
      </c>
      <c r="ER623">
        <f>IF(ISBLANK('Data Entry'!$Ô$623), "", 'Data Entry'!$Ô$623)</f>
      </c>
      <c r="ES623">
        <f>IF(ISBLANK('Data Entry'!$Õ$623), "", 'Data Entry'!$Õ$623)</f>
      </c>
      <c r="ET623">
        <f>IF(ISBLANK('Data Entry'!$Ö$623), "", 'Data Entry'!$Ö$623)</f>
      </c>
      <c r="EU623">
        <f>IF(ISBLANK('Data Entry'!$×$623), "", 'Data Entry'!$×$623)</f>
      </c>
      <c r="EV623">
        <f>IF(ISBLANK('Data Entry'!$Ø$623), "", 'Data Entry'!$Ø$623)</f>
      </c>
      <c r="EW623">
        <f>IF(ISBLANK('Data Entry'!$Ù$623), "", 'Data Entry'!$Ù$623)</f>
      </c>
      <c r="EX623">
        <f>IF(ISBLANK('Data Entry'!$Ú$623), "", 'Data Entry'!$Ú$623)</f>
      </c>
      <c r="EY623">
        <f>IF(ISBLANK('Data Entry'!$Û$623), "", 'Data Entry'!$Û$623)</f>
      </c>
      <c r="EZ623">
        <f>IF(ISBLANK('Data Entry'!$Ü$623), "", 'Data Entry'!$Ü$623)</f>
      </c>
      <c r="FA623">
        <f>IF(ISBLANK('Data Entry'!$Ý$623), "", 'Data Entry'!$Ý$623)</f>
      </c>
      <c r="FB623">
        <f>IF(ISBLANK('Data Entry'!$Þ$623), "", 'Data Entry'!$Þ$623)</f>
      </c>
      <c r="FC623">
        <f>IF(ISBLANK('Data Entry'!$ß$623), "", 'Data Entry'!$ß$623)</f>
      </c>
      <c r="FD623">
        <f>IF(ISBLANK('Data Entry'!$à$623), "", 'Data Entry'!$à$623)</f>
      </c>
      <c r="FE623">
        <f>IF(ISBLANK('Data Entry'!$á$623), "", 'Data Entry'!$á$623)</f>
      </c>
      <c r="FF623">
        <f>IF(ISBLANK('Data Entry'!$â$623), "", 'Data Entry'!$â$623)</f>
      </c>
      <c r="FG623">
        <f>IF(ISBLANK('Data Entry'!$ã$623), "", 'Data Entry'!$ã$623)</f>
      </c>
      <c r="FH623">
        <f>IF(ISBLANK('Data Entry'!$ä$623), "", 'Data Entry'!$ä$623)</f>
      </c>
      <c r="FI623">
        <f>IF(ISBLANK('Data Entry'!$å$623), "", 'Data Entry'!$å$623)</f>
      </c>
      <c r="FJ623">
        <f>IF(ISBLANK('Data Entry'!$æ$623), "", 'Data Entry'!$æ$623)</f>
      </c>
      <c r="FK623">
        <f>IF(ISBLANK('Data Entry'!$ç$623), "", 'Data Entry'!$ç$623)</f>
      </c>
      <c r="FL623">
        <f>IF(ISBLANK('Data Entry'!$è$623), "", 'Data Entry'!$è$623)</f>
      </c>
      <c r="FM623">
        <f>IF(ISBLANK('Data Entry'!$é$623), "", 'Data Entry'!$é$623)</f>
      </c>
      <c r="FN623">
        <f>IF(ISBLANK('Data Entry'!$ê$623), "", 'Data Entry'!$ê$623)</f>
      </c>
      <c r="FO623">
        <f>IF(ISBLANK('Data Entry'!$ë$623), "", 'Data Entry'!$ë$623)</f>
      </c>
      <c r="FP623">
        <f>IF(ISBLANK('Data Entry'!$ì$623), "", 'Data Entry'!$ì$623)</f>
      </c>
      <c r="FQ623">
        <f>IF(ISBLANK('Data Entry'!$í$623), "", 'Data Entry'!$í$623)</f>
      </c>
      <c r="FR623">
        <f>IF(ISBLANK('Data Entry'!$î$623), "", 'Data Entry'!$î$623)</f>
      </c>
      <c r="FS623">
        <f>IF(ISBLANK('Data Entry'!$ï$623), "", 'Data Entry'!$ï$623)</f>
      </c>
      <c r="FT623">
        <f>IF(ISBLANK('Data Entry'!$ð$623), "", 'Data Entry'!$ð$623)</f>
      </c>
      <c r="FU623">
        <f>IF(ISBLANK('Data Entry'!$ñ$623), "", 'Data Entry'!$ñ$623)</f>
      </c>
      <c r="FV623">
        <f>IF(ISBLANK('Data Entry'!$ò$623), "", 'Data Entry'!$ò$623)</f>
      </c>
      <c r="FW623">
        <f>IF(ISBLANK('Data Entry'!$ó$623), "", 'Data Entry'!$ó$623)</f>
      </c>
      <c r="FX623">
        <f>IF(ISBLANK('Data Entry'!$ô$623), "", 'Data Entry'!$ô$623)</f>
      </c>
      <c r="FY623">
        <f>IF(ISBLANK('Data Entry'!$õ$623), "", 'Data Entry'!$õ$623)</f>
      </c>
      <c r="FZ623">
        <f>IF(ISBLANK('Data Entry'!$ö$623), "", 'Data Entry'!$ö$623)</f>
      </c>
      <c r="GA623">
        <f>IF(ISBLANK('Data Entry'!$÷$623), "", 'Data Entry'!$÷$623)</f>
      </c>
      <c r="GB623">
        <f>IF(ISBLANK('Data Entry'!$ø$623), "", 'Data Entry'!$ø$623)</f>
      </c>
      <c r="GC623">
        <f>IF(ISBLANK('Data Entry'!$ù$623), "", 'Data Entry'!$ù$623)</f>
      </c>
      <c r="GD623">
        <f>IF(ISBLANK('Data Entry'!$ú$623), "", 'Data Entry'!$ú$623)</f>
      </c>
      <c r="GE623">
        <f>IF(ISBLANK('Data Entry'!$û$623), "", 'Data Entry'!$û$623)</f>
      </c>
      <c r="GF623">
        <f>IF(ISBLANK('Data Entry'!$ü$623), "", 'Data Entry'!$ü$623)</f>
      </c>
      <c r="GG623">
        <f>IF(ISBLANK('Data Entry'!$ý$623), "", 'Data Entry'!$ý$623)</f>
      </c>
      <c r="GH623">
        <f>IF(ISBLANK('Data Entry'!$þ$623), "", 'Data Entry'!$þ$623)</f>
      </c>
      <c r="GI623">
        <f>IF(ISBLANK('Data Entry'!$ÿ$623), "", 'Data Entry'!$ÿ$623)</f>
      </c>
      <c r="GJ623">
        <f>IF(ISBLANK('Data Entry'!$Ā$623), "", 'Data Entry'!$Ā$623)</f>
      </c>
      <c r="GK623">
        <f>IF(ISBLANK('Data Entry'!$ā$623), "", 'Data Entry'!$ā$623)</f>
      </c>
      <c r="GL623">
        <f>IF(ISBLANK('Data Entry'!$Ă$623), "", 'Data Entry'!$Ă$623)</f>
      </c>
      <c r="GM623">
        <f>IF(ISBLANK('Data Entry'!$ă$623), "", 'Data Entry'!$ă$623)</f>
      </c>
      <c r="GN623">
        <f>IF(ISBLANK('Data Entry'!$Ą$623), "", 'Data Entry'!$Ą$623)</f>
      </c>
      <c r="GO623">
        <f>IF(ISBLANK('Data Entry'!$ą$623), "", 'Data Entry'!$ą$623)</f>
      </c>
      <c r="GP623">
        <f>IF(ISBLANK('Data Entry'!$Ć$623), "", 'Data Entry'!$Ć$623)</f>
      </c>
      <c r="GQ623">
        <f>IF(ISBLANK('Data Entry'!$ć$623), "", 'Data Entry'!$ć$623)</f>
      </c>
      <c r="GR623">
        <f>IF(ISBLANK('Data Entry'!$Ĉ$623), "", 'Data Entry'!$Ĉ$623)</f>
      </c>
      <c r="GS623">
        <f>IF(ISBLANK('Data Entry'!$ĉ$623), "", 'Data Entry'!$ĉ$623)</f>
      </c>
      <c r="GT623">
        <f>IF(ISBLANK('Data Entry'!$Ċ$623), "", 'Data Entry'!$Ċ$623)</f>
      </c>
      <c r="GU623">
        <f>IF(ISBLANK('Data Entry'!$ċ$623), "", 'Data Entry'!$ċ$623)</f>
      </c>
      <c r="GV623">
        <f>IF(ISBLANK('Data Entry'!$Č$623), "", 'Data Entry'!$Č$623)</f>
      </c>
      <c r="GW623">
        <f>IF(ISBLANK('Data Entry'!$č$623), "", 'Data Entry'!$č$623)</f>
      </c>
      <c r="GX623">
        <f>IF(ISBLANK('Data Entry'!$Ď$623), "", 'Data Entry'!$Ď$623)</f>
      </c>
      <c r="GY623">
        <f>IF(ISBLANK('Data Entry'!$ď$623), "", 'Data Entry'!$ď$623)</f>
      </c>
      <c r="GZ623">
        <f>IF(ISBLANK('Data Entry'!$Đ$623), "", 'Data Entry'!$Đ$623)</f>
      </c>
      <c r="HA623">
        <f>IF(ISBLANK('Data Entry'!$đ$623), "", 'Data Entry'!$đ$623)</f>
      </c>
      <c r="HB623">
        <f>IF(ISBLANK('Data Entry'!$Ē$623), "", 'Data Entry'!$Ē$623)</f>
      </c>
      <c r="HC623">
        <f>IF(ISBLANK('Data Entry'!$ē$623), "", 'Data Entry'!$ē$623)</f>
      </c>
      <c r="HD623">
        <f>IF(ISBLANK('Data Entry'!$Ĕ$623), "", 'Data Entry'!$Ĕ$623)</f>
      </c>
      <c r="HE623">
        <f>IF(ISBLANK('Data Entry'!$ĕ$623), "", 'Data Entry'!$ĕ$623)</f>
      </c>
      <c r="HF623">
        <f>IF(ISBLANK('Data Entry'!$Ė$623), "", 'Data Entry'!$Ė$623)</f>
      </c>
      <c r="HG623">
        <f>IF(ISBLANK('Data Entry'!$ė$623), "", 'Data Entry'!$ė$623)</f>
      </c>
      <c r="HH623">
        <f>IF(ISBLANK('Data Entry'!$Ę$623), "", 'Data Entry'!$Ę$623)</f>
      </c>
      <c r="HI623">
        <f>IF(ISBLANK('Data Entry'!$ę$623), "", 'Data Entry'!$ę$623)</f>
      </c>
      <c r="HJ623">
        <f>IF(ISBLANK('Data Entry'!$Ě$623), "", 'Data Entry'!$Ě$623)</f>
      </c>
      <c r="HK623">
        <f>IF(ISBLANK('Data Entry'!$ě$623), "", 'Data Entry'!$ě$623)</f>
      </c>
      <c r="HL623">
        <f>IF(ISBLANK('Data Entry'!$Ĝ$623), "", 'Data Entry'!$Ĝ$623)</f>
      </c>
      <c r="HM623">
        <f>IF(ISBLANK('Data Entry'!$ĝ$623), "", 'Data Entry'!$ĝ$623)</f>
      </c>
      <c r="HN623">
        <f>IF(ISBLANK('Data Entry'!$Ğ$623), "", 'Data Entry'!$Ğ$623)</f>
      </c>
      <c r="HO623">
        <f>IF(ISBLANK('Data Entry'!$ğ$623), "", 'Data Entry'!$ğ$623)</f>
      </c>
      <c r="HP623">
        <f>IF(ISBLANK('Data Entry'!$Ġ$623), "", 'Data Entry'!$Ġ$623)</f>
      </c>
      <c r="HQ623">
        <f>IF(ISBLANK('Data Entry'!$ġ$623), "", 'Data Entry'!$ġ$623)</f>
      </c>
      <c r="HR623">
        <f>IF(ISBLANK('Data Entry'!$Ģ$623), "", 'Data Entry'!$Ģ$623)</f>
      </c>
      <c r="HS623">
        <f>IF(ISBLANK('Data Entry'!$ģ$623), "", 'Data Entry'!$ģ$623)</f>
      </c>
      <c r="HT623">
        <f>IF(ISBLANK('Data Entry'!$Ĥ$623), "", 'Data Entry'!$Ĥ$623)</f>
      </c>
      <c r="HU623">
        <f>IF(ISBLANK('Data Entry'!$ĥ$623), "", 'Data Entry'!$ĥ$623)</f>
      </c>
      <c r="HV623">
        <f>IF(ISBLANK('Data Entry'!$Ħ$623), "", 'Data Entry'!$Ħ$623)</f>
      </c>
      <c r="HW623">
        <f>IF(ISBLANK('Data Entry'!$ħ$623), "", 'Data Entry'!$ħ$623)</f>
      </c>
      <c r="HX623">
        <f>IF(ISBLANK('Data Entry'!$Ĩ$623), "", 'Data Entry'!$Ĩ$623)</f>
      </c>
      <c r="HY623">
        <f>IF(ISBLANK('Data Entry'!$ĩ$623), "", 'Data Entry'!$ĩ$623)</f>
      </c>
      <c r="HZ623">
        <f>IF(ISBLANK('Data Entry'!$Ī$623), "", 'Data Entry'!$Ī$623)</f>
      </c>
      <c r="IA623">
        <f>IF(ISBLANK('Data Entry'!$ī$623), "", 'Data Entry'!$ī$623)</f>
      </c>
      <c r="IB623">
        <f>IF(ISBLANK('Data Entry'!$Ĭ$623), "", 'Data Entry'!$Ĭ$623)</f>
      </c>
      <c r="IC623">
        <f>IF(ISBLANK('Data Entry'!$ĭ$623), "", 'Data Entry'!$ĭ$623)</f>
      </c>
      <c r="ID623">
        <f>IF(ISBLANK('Data Entry'!$Į$623), "", 'Data Entry'!$Į$623)</f>
      </c>
      <c r="IE623">
        <f>IF(ISBLANK('Data Entry'!$į$623), "", 'Data Entry'!$į$623)</f>
      </c>
      <c r="IF623">
        <f>IF(ISBLANK('Data Entry'!$İ$623), "", 'Data Entry'!$İ$623)</f>
      </c>
      <c r="IG623">
        <f>IF(ISBLANK('Data Entry'!$ı$623), "", 'Data Entry'!$ı$623)</f>
      </c>
      <c r="IH623">
        <f>IF(ISBLANK('Data Entry'!$Ĳ$623), "", 'Data Entry'!$Ĳ$623)</f>
      </c>
      <c r="II623">
        <f>IF(ISBLANK('Data Entry'!$ĳ$623), "", 'Data Entry'!$ĳ$623)</f>
      </c>
      <c r="IJ623">
        <f>IF(ISBLANK('Data Entry'!$Ĵ$623), "", 'Data Entry'!$Ĵ$623)</f>
      </c>
      <c r="IK623">
        <f>IF(ISBLANK('Data Entry'!$ĵ$623), "", 'Data Entry'!$ĵ$623)</f>
      </c>
      <c r="IL623">
        <f>IF(ISBLANK('Data Entry'!$Ķ$623), "", 'Data Entry'!$Ķ$623)</f>
      </c>
      <c r="IM623">
        <f>IF(ISBLANK('Data Entry'!$ķ$623), "", 'Data Entry'!$ķ$623)</f>
      </c>
      <c r="IN623">
        <f>IF(ISBLANK('Data Entry'!$ĸ$623), "", 'Data Entry'!$ĸ$623)</f>
      </c>
      <c r="IO623">
        <f>IF(ISBLANK('Data Entry'!$Ĺ$623), "", 'Data Entry'!$Ĺ$623)</f>
      </c>
      <c r="IP623">
        <f>IF(ISBLANK('Data Entry'!$ĺ$623), "", 'Data Entry'!$ĺ$623)</f>
      </c>
      <c r="IQ623">
        <f>IF(ISBLANK('Data Entry'!$Ļ$623), "", 'Data Entry'!$Ļ$623)</f>
      </c>
      <c r="IR623">
        <f>IF(ISBLANK('Data Entry'!$ļ$623), "", 'Data Entry'!$ļ$623)</f>
      </c>
      <c r="IS623">
        <f>IF(ISBLANK('Data Entry'!$Ľ$623), "", 'Data Entry'!$Ľ$623)</f>
      </c>
      <c r="IT623">
        <f>IF(ISBLANK('Data Entry'!$ľ$623), "", 'Data Entry'!$ľ$623)</f>
      </c>
    </row>
    <row r="624" spans="1:254" x14ac:dyDescent="0.25">
      <c r="A624">
        <f>IF(ISBLANK('Data Entry'!$A$624), "", 'Data Entry'!$A$624)</f>
      </c>
      <c r="B624">
        <f>IF(ISBLANK('Data Entry'!$B$624), "", 'Data Entry'!$B$624)</f>
      </c>
      <c r="C624">
        <f>IF(ISBLANK('Data Entry'!$C$624), "", 'Data Entry'!$C$624)</f>
      </c>
      <c r="D624">
        <f>IF(ISBLANK('Data Entry'!$D$624), "", 'Data Entry'!$D$624)</f>
      </c>
      <c r="E624">
        <f>IF(ISBLANK('Data Entry'!$E$624), "", 'Data Entry'!$E$624)</f>
      </c>
      <c r="F624">
        <f>IF(ISBLANK('Data Entry'!$F$624), "", 'Data Entry'!$F$624)</f>
      </c>
      <c r="G624">
        <f>IF(ISBLANK('Data Entry'!$G$624), "", 'Data Entry'!$G$624)</f>
      </c>
      <c r="H624">
        <f>IF(ISBLANK('Data Entry'!$H$624), "", 'Data Entry'!$H$624)</f>
      </c>
      <c r="I624">
        <f>IF(ISBLANK('Data Entry'!$I$624), "", 'Data Entry'!$I$624)</f>
      </c>
      <c r="J624">
        <f>IF(ISBLANK('Data Entry'!$J$624), "", 'Data Entry'!$J$624)</f>
      </c>
      <c r="K624">
        <f>IF(ISBLANK('Data Entry'!$K$624), "", 'Data Entry'!$K$624)</f>
      </c>
      <c r="L624">
        <f>IF(ISBLANK('Data Entry'!$L$624), "", 'Data Entry'!$L$624)</f>
      </c>
      <c r="M624">
        <f>IF(ISBLANK('Data Entry'!$M$624), "", 'Data Entry'!$M$624)</f>
      </c>
      <c r="N624">
        <f>IF(ISBLANK('Data Entry'!$N$624), "", 'Data Entry'!$N$624)</f>
      </c>
      <c r="O624">
        <f>IF(ISBLANK('Data Entry'!$O$624), "", 'Data Entry'!$O$624)</f>
      </c>
      <c r="P624">
        <f>IF(ISBLANK('Data Entry'!$P$624), "", 'Data Entry'!$P$624)</f>
      </c>
      <c r="Q624">
        <f>IF(ISBLANK('Data Entry'!$Q$624), "", 'Data Entry'!$Q$624)</f>
      </c>
      <c r="R624">
        <f>IF(ISBLANK('Data Entry'!$R$624), "", 'Data Entry'!$R$624)</f>
      </c>
      <c r="S624">
        <f>IF(ISBLANK('Data Entry'!$S$624), "", 'Data Entry'!$S$624)</f>
      </c>
      <c r="T624">
        <f>IF(ISBLANK('Data Entry'!$T$624), "", 'Data Entry'!$T$624)</f>
      </c>
      <c r="U624">
        <f>IF(ISBLANK('Data Entry'!$U$624), "", 'Data Entry'!$U$624)</f>
      </c>
      <c r="V624">
        <f>IF(ISBLANK('Data Entry'!$V$624), "", 'Data Entry'!$V$624)</f>
      </c>
      <c r="W624">
        <f>IF(ISBLANK('Data Entry'!$W$624), "", 'Data Entry'!$W$624)</f>
      </c>
      <c r="X624">
        <f>IF(ISBLANK('Data Entry'!$X$624), "", 'Data Entry'!$X$624)</f>
      </c>
      <c r="Y624">
        <f>IF(ISBLANK('Data Entry'!$Y$624), "", 'Data Entry'!$Y$624)</f>
      </c>
      <c r="Z624">
        <f>IF(ISBLANK('Data Entry'!$Z$624), "", 'Data Entry'!$Z$624)</f>
      </c>
      <c r="AA624">
        <f>IF(ISBLANK('Data Entry'!$[$624), "", 'Data Entry'!$[$624)</f>
      </c>
      <c r="AB624">
        <f>IF(ISBLANK('Data Entry'!$\$624), "", 'Data Entry'!$\$624)</f>
      </c>
      <c r="AC624">
        <f>IF(ISBLANK('Data Entry'!$]$624), "", 'Data Entry'!$]$624)</f>
      </c>
      <c r="AD624">
        <f>IF(ISBLANK('Data Entry'!$^$624), "", 'Data Entry'!$^$624)</f>
      </c>
      <c r="AE624">
        <f>IF(ISBLANK('Data Entry'!$_$624), "", 'Data Entry'!$_$624)</f>
      </c>
      <c r="AF624">
        <f>IF(ISBLANK('Data Entry'!$`$624), "", 'Data Entry'!$`$624)</f>
      </c>
      <c r="AG624">
        <f>IF(ISBLANK('Data Entry'!$a$624), "", 'Data Entry'!$a$624)</f>
      </c>
      <c r="AH624">
        <f>IF(ISBLANK('Data Entry'!$b$624), "", 'Data Entry'!$b$624)</f>
      </c>
      <c r="AI624">
        <f>IF(ISBLANK('Data Entry'!$c$624), "", 'Data Entry'!$c$624)</f>
      </c>
      <c r="AJ624">
        <f>IF(ISBLANK('Data Entry'!$d$624), "", 'Data Entry'!$d$624)</f>
      </c>
      <c r="AK624">
        <f>IF(ISBLANK('Data Entry'!$e$624), "", 'Data Entry'!$e$624)</f>
      </c>
      <c r="AL624">
        <f>IF(ISBLANK('Data Entry'!$f$624), "", 'Data Entry'!$f$624)</f>
      </c>
      <c r="AM624">
        <f>IF(ISBLANK('Data Entry'!$g$624), "", 'Data Entry'!$g$624)</f>
      </c>
      <c r="AN624">
        <f>IF(ISBLANK('Data Entry'!$h$624), "", 'Data Entry'!$h$624)</f>
      </c>
      <c r="AO624">
        <f>IF(ISBLANK('Data Entry'!$i$624), "", 'Data Entry'!$i$624)</f>
      </c>
      <c r="AP624">
        <f>IF(ISBLANK('Data Entry'!$j$624), "", 'Data Entry'!$j$624)</f>
      </c>
      <c r="AQ624">
        <f>IF(ISBLANK('Data Entry'!$k$624), "", 'Data Entry'!$k$624)</f>
      </c>
      <c r="AR624">
        <f>IF(ISBLANK('Data Entry'!$l$624), "", 'Data Entry'!$l$624)</f>
      </c>
      <c r="AS624">
        <f>IF(ISBLANK('Data Entry'!$m$624), "", 'Data Entry'!$m$624)</f>
      </c>
      <c r="AT624">
        <f>IF(ISBLANK('Data Entry'!$n$624), "", 'Data Entry'!$n$624)</f>
      </c>
      <c r="AU624">
        <f>IF(ISBLANK('Data Entry'!$o$624), "", 'Data Entry'!$o$624)</f>
      </c>
      <c r="AV624">
        <f>IF(ISBLANK('Data Entry'!$p$624), "", 'Data Entry'!$p$624)</f>
      </c>
      <c r="AW624">
        <f>IF(ISBLANK('Data Entry'!$q$624), "", 'Data Entry'!$q$624)</f>
      </c>
      <c r="AX624">
        <f>IF(ISBLANK('Data Entry'!$r$624), "", 'Data Entry'!$r$624)</f>
      </c>
      <c r="AY624">
        <f>IF(ISBLANK('Data Entry'!$s$624), "", 'Data Entry'!$s$624)</f>
      </c>
      <c r="AZ624">
        <f>IF(ISBLANK('Data Entry'!$t$624), "", 'Data Entry'!$t$624)</f>
      </c>
      <c r="BA624">
        <f>IF(ISBLANK('Data Entry'!$u$624), "", 'Data Entry'!$u$624)</f>
      </c>
      <c r="BB624">
        <f>IF(ISBLANK('Data Entry'!$v$624), "", 'Data Entry'!$v$624)</f>
      </c>
      <c r="BC624">
        <f>IF(ISBLANK('Data Entry'!$w$624), "", 'Data Entry'!$w$624)</f>
      </c>
      <c r="BD624">
        <f>IF(ISBLANK('Data Entry'!$x$624), "", 'Data Entry'!$x$624)</f>
      </c>
      <c r="BE624">
        <f>IF(ISBLANK('Data Entry'!$y$624), "", 'Data Entry'!$y$624)</f>
      </c>
      <c r="BF624">
        <f>IF(ISBLANK('Data Entry'!$z$624), "", 'Data Entry'!$z$624)</f>
      </c>
      <c r="BG624">
        <f>IF(ISBLANK('Data Entry'!${$624), "", 'Data Entry'!${$624)</f>
      </c>
      <c r="BH624">
        <f>IF(ISBLANK('Data Entry'!$|$624), "", 'Data Entry'!$|$624)</f>
      </c>
      <c r="BI624">
        <f>IF(ISBLANK('Data Entry'!$}$624), "", 'Data Entry'!$}$624)</f>
      </c>
      <c r="BJ624">
        <f>IF(ISBLANK('Data Entry'!$~$624), "", 'Data Entry'!$~$624)</f>
      </c>
      <c r="BK624">
        <f>IF(ISBLANK('Data Entry'!$$624), "", 'Data Entry'!$$624)</f>
      </c>
      <c r="BL624">
        <f>IF(ISBLANK('Data Entry'!$$624), "", 'Data Entry'!$$624)</f>
      </c>
      <c r="BM624">
        <f>IF(ISBLANK('Data Entry'!$$624), "", 'Data Entry'!$$624)</f>
      </c>
      <c r="BN624">
        <f>IF(ISBLANK('Data Entry'!$$624), "", 'Data Entry'!$$624)</f>
      </c>
      <c r="BO624">
        <f>IF(ISBLANK('Data Entry'!$$624), "", 'Data Entry'!$$624)</f>
      </c>
      <c r="BP624">
        <f>IF(ISBLANK('Data Entry'!$$624), "", 'Data Entry'!$$624)</f>
      </c>
      <c r="BQ624">
        <f>IF(ISBLANK('Data Entry'!$$624), "", 'Data Entry'!$$624)</f>
      </c>
      <c r="BR624">
        <f>IF(ISBLANK('Data Entry'!$$624), "", 'Data Entry'!$$624)</f>
      </c>
      <c r="BS624">
        <f>IF(ISBLANK('Data Entry'!$$624), "", 'Data Entry'!$$624)</f>
      </c>
      <c r="BT624">
        <f>IF(ISBLANK('Data Entry'!$$624), "", 'Data Entry'!$$624)</f>
      </c>
      <c r="BU624">
        <f>IF(ISBLANK('Data Entry'!$$624), "", 'Data Entry'!$$624)</f>
      </c>
      <c r="BV624">
        <f>IF(ISBLANK('Data Entry'!$$624), "", 'Data Entry'!$$624)</f>
      </c>
      <c r="BW624">
        <f>IF(ISBLANK('Data Entry'!$$624), "", 'Data Entry'!$$624)</f>
      </c>
      <c r="BX624">
        <f>IF(ISBLANK('Data Entry'!$$624), "", 'Data Entry'!$$624)</f>
      </c>
      <c r="BY624">
        <f>IF(ISBLANK('Data Entry'!$$624), "", 'Data Entry'!$$624)</f>
      </c>
      <c r="BZ624">
        <f>IF(ISBLANK('Data Entry'!$$624), "", 'Data Entry'!$$624)</f>
      </c>
      <c r="CA624">
        <f>IF(ISBLANK('Data Entry'!$$624), "", 'Data Entry'!$$624)</f>
      </c>
      <c r="CB624">
        <f>IF(ISBLANK('Data Entry'!$$624), "", 'Data Entry'!$$624)</f>
      </c>
      <c r="CC624">
        <f>IF(ISBLANK('Data Entry'!$$624), "", 'Data Entry'!$$624)</f>
      </c>
      <c r="CD624">
        <f>IF(ISBLANK('Data Entry'!$$624), "", 'Data Entry'!$$624)</f>
      </c>
      <c r="CE624">
        <f>IF(ISBLANK('Data Entry'!$$624), "", 'Data Entry'!$$624)</f>
      </c>
      <c r="CF624">
        <f>IF(ISBLANK('Data Entry'!$$624), "", 'Data Entry'!$$624)</f>
      </c>
      <c r="CG624">
        <f>IF(ISBLANK('Data Entry'!$$624), "", 'Data Entry'!$$624)</f>
      </c>
      <c r="CH624">
        <f>IF(ISBLANK('Data Entry'!$$624), "", 'Data Entry'!$$624)</f>
      </c>
      <c r="CI624">
        <f>IF(ISBLANK('Data Entry'!$$624), "", 'Data Entry'!$$624)</f>
      </c>
      <c r="CJ624">
        <f>IF(ISBLANK('Data Entry'!$$624), "", 'Data Entry'!$$624)</f>
      </c>
      <c r="CK624">
        <f>IF(ISBLANK('Data Entry'!$$624), "", 'Data Entry'!$$624)</f>
      </c>
      <c r="CL624">
        <f>IF(ISBLANK('Data Entry'!$$624), "", 'Data Entry'!$$624)</f>
      </c>
      <c r="CM624">
        <f>IF(ISBLANK('Data Entry'!$$624), "", 'Data Entry'!$$624)</f>
      </c>
      <c r="CN624">
        <f>IF(ISBLANK('Data Entry'!$$624), "", 'Data Entry'!$$624)</f>
      </c>
      <c r="CO624">
        <f>IF(ISBLANK('Data Entry'!$$624), "", 'Data Entry'!$$624)</f>
      </c>
      <c r="CP624">
        <f>IF(ISBLANK('Data Entry'!$$624), "", 'Data Entry'!$$624)</f>
      </c>
      <c r="CQ624">
        <f>IF(ISBLANK('Data Entry'!$$624), "", 'Data Entry'!$$624)</f>
      </c>
      <c r="CR624">
        <f>IF(ISBLANK('Data Entry'!$ $624), "", 'Data Entry'!$ $624)</f>
      </c>
      <c r="CS624">
        <f>IF(ISBLANK('Data Entry'!$¡$624), "", 'Data Entry'!$¡$624)</f>
      </c>
      <c r="CT624">
        <f>IF(ISBLANK('Data Entry'!$¢$624), "", 'Data Entry'!$¢$624)</f>
      </c>
      <c r="CU624">
        <f>IF(ISBLANK('Data Entry'!$£$624), "", 'Data Entry'!$£$624)</f>
      </c>
      <c r="CV624">
        <f>IF(ISBLANK('Data Entry'!$¤$624), "", 'Data Entry'!$¤$624)</f>
      </c>
      <c r="CW624">
        <f>IF(ISBLANK('Data Entry'!$¥$624), "", 'Data Entry'!$¥$624)</f>
      </c>
      <c r="CX624">
        <f>IF(ISBLANK('Data Entry'!$¦$624), "", 'Data Entry'!$¦$624)</f>
      </c>
      <c r="CY624">
        <f>IF(ISBLANK('Data Entry'!$§$624), "", 'Data Entry'!$§$624)</f>
      </c>
      <c r="CZ624">
        <f>IF(ISBLANK('Data Entry'!$¨$624), "", 'Data Entry'!$¨$624)</f>
      </c>
      <c r="DA624">
        <f>IF(ISBLANK('Data Entry'!$©$624), "", 'Data Entry'!$©$624)</f>
      </c>
      <c r="DB624">
        <f>IF(ISBLANK('Data Entry'!$ª$624), "", 'Data Entry'!$ª$624)</f>
      </c>
      <c r="DC624">
        <f>IF(ISBLANK('Data Entry'!$«$624), "", 'Data Entry'!$«$624)</f>
      </c>
      <c r="DD624">
        <f>IF(ISBLANK('Data Entry'!$¬$624), "", 'Data Entry'!$¬$624)</f>
      </c>
      <c r="DE624">
        <f>IF(ISBLANK('Data Entry'!$­$624), "", 'Data Entry'!$­$624)</f>
      </c>
      <c r="DF624">
        <f>IF(ISBLANK('Data Entry'!$®$624), "", 'Data Entry'!$®$624)</f>
      </c>
      <c r="DG624">
        <f>IF(ISBLANK('Data Entry'!$¯$624), "", 'Data Entry'!$¯$624)</f>
      </c>
      <c r="DH624">
        <f>IF(ISBLANK('Data Entry'!$°$624), "", 'Data Entry'!$°$624)</f>
      </c>
      <c r="DI624">
        <f>IF(ISBLANK('Data Entry'!$±$624), "", 'Data Entry'!$±$624)</f>
      </c>
      <c r="DJ624">
        <f>IF(ISBLANK('Data Entry'!$²$624), "", 'Data Entry'!$²$624)</f>
      </c>
      <c r="DK624">
        <f>IF(ISBLANK('Data Entry'!$³$624), "", 'Data Entry'!$³$624)</f>
      </c>
      <c r="DL624">
        <f>IF(ISBLANK('Data Entry'!$´$624), "", 'Data Entry'!$´$624)</f>
      </c>
      <c r="DM624">
        <f>IF(ISBLANK('Data Entry'!$µ$624), "", 'Data Entry'!$µ$624)</f>
      </c>
      <c r="DN624">
        <f>IF(ISBLANK('Data Entry'!$¶$624), "", 'Data Entry'!$¶$624)</f>
      </c>
      <c r="DO624">
        <f>IF(ISBLANK('Data Entry'!$·$624), "", 'Data Entry'!$·$624)</f>
      </c>
      <c r="DP624">
        <f>IF(ISBLANK('Data Entry'!$¸$624), "", 'Data Entry'!$¸$624)</f>
      </c>
      <c r="DQ624">
        <f>IF(ISBLANK('Data Entry'!$¹$624), "", 'Data Entry'!$¹$624)</f>
      </c>
      <c r="DR624">
        <f>IF(ISBLANK('Data Entry'!$º$624), "", 'Data Entry'!$º$624)</f>
      </c>
      <c r="DS624">
        <f>IF(ISBLANK('Data Entry'!$»$624), "", 'Data Entry'!$»$624)</f>
      </c>
      <c r="DT624">
        <f>IF(ISBLANK('Data Entry'!$¼$624), "", 'Data Entry'!$¼$624)</f>
      </c>
      <c r="DU624">
        <f>IF(ISBLANK('Data Entry'!$½$624), "", 'Data Entry'!$½$624)</f>
      </c>
      <c r="DV624">
        <f>IF(ISBLANK('Data Entry'!$¾$624), "", 'Data Entry'!$¾$624)</f>
      </c>
      <c r="DW624">
        <f>IF(ISBLANK('Data Entry'!$¿$624), "", 'Data Entry'!$¿$624)</f>
      </c>
      <c r="DX624">
        <f>IF(ISBLANK('Data Entry'!$À$624), "", 'Data Entry'!$À$624)</f>
      </c>
      <c r="DY624">
        <f>IF(ISBLANK('Data Entry'!$Á$624), "", 'Data Entry'!$Á$624)</f>
      </c>
      <c r="DZ624">
        <f>IF(ISBLANK('Data Entry'!$Â$624), "", 'Data Entry'!$Â$624)</f>
      </c>
      <c r="EA624">
        <f>IF(ISBLANK('Data Entry'!$Ã$624), "", 'Data Entry'!$Ã$624)</f>
      </c>
      <c r="EB624">
        <f>IF(ISBLANK('Data Entry'!$Ä$624), "", 'Data Entry'!$Ä$624)</f>
      </c>
      <c r="EC624">
        <f>IF(ISBLANK('Data Entry'!$Å$624), "", 'Data Entry'!$Å$624)</f>
      </c>
      <c r="ED624">
        <f>IF(ISBLANK('Data Entry'!$Æ$624), "", 'Data Entry'!$Æ$624)</f>
      </c>
      <c r="EE624">
        <f>IF(ISBLANK('Data Entry'!$Ç$624), "", 'Data Entry'!$Ç$624)</f>
      </c>
      <c r="EF624">
        <f>IF(ISBLANK('Data Entry'!$È$624), "", 'Data Entry'!$È$624)</f>
      </c>
      <c r="EG624">
        <f>IF(ISBLANK('Data Entry'!$É$624), "", 'Data Entry'!$É$624)</f>
      </c>
      <c r="EH624">
        <f>IF(ISBLANK('Data Entry'!$Ê$624), "", 'Data Entry'!$Ê$624)</f>
      </c>
      <c r="EI624">
        <f>IF(ISBLANK('Data Entry'!$Ë$624), "", 'Data Entry'!$Ë$624)</f>
      </c>
      <c r="EJ624">
        <f>IF(ISBLANK('Data Entry'!$Ì$624), "", 'Data Entry'!$Ì$624)</f>
      </c>
      <c r="EK624">
        <f>IF(ISBLANK('Data Entry'!$Í$624), "", 'Data Entry'!$Í$624)</f>
      </c>
      <c r="EL624">
        <f>IF(ISBLANK('Data Entry'!$Î$624), "", 'Data Entry'!$Î$624)</f>
      </c>
      <c r="EM624">
        <f>IF(ISBLANK('Data Entry'!$Ï$624), "", 'Data Entry'!$Ï$624)</f>
      </c>
      <c r="EN624">
        <f>IF(ISBLANK('Data Entry'!$Ð$624), "", 'Data Entry'!$Ð$624)</f>
      </c>
      <c r="EO624">
        <f>IF(ISBLANK('Data Entry'!$Ñ$624), "", 'Data Entry'!$Ñ$624)</f>
      </c>
      <c r="EP624">
        <f>IF(ISBLANK('Data Entry'!$Ò$624), "", 'Data Entry'!$Ò$624)</f>
      </c>
      <c r="EQ624">
        <f>IF(ISBLANK('Data Entry'!$Ó$624), "", 'Data Entry'!$Ó$624)</f>
      </c>
      <c r="ER624">
        <f>IF(ISBLANK('Data Entry'!$Ô$624), "", 'Data Entry'!$Ô$624)</f>
      </c>
      <c r="ES624">
        <f>IF(ISBLANK('Data Entry'!$Õ$624), "", 'Data Entry'!$Õ$624)</f>
      </c>
      <c r="ET624">
        <f>IF(ISBLANK('Data Entry'!$Ö$624), "", 'Data Entry'!$Ö$624)</f>
      </c>
      <c r="EU624">
        <f>IF(ISBLANK('Data Entry'!$×$624), "", 'Data Entry'!$×$624)</f>
      </c>
      <c r="EV624">
        <f>IF(ISBLANK('Data Entry'!$Ø$624), "", 'Data Entry'!$Ø$624)</f>
      </c>
      <c r="EW624">
        <f>IF(ISBLANK('Data Entry'!$Ù$624), "", 'Data Entry'!$Ù$624)</f>
      </c>
      <c r="EX624">
        <f>IF(ISBLANK('Data Entry'!$Ú$624), "", 'Data Entry'!$Ú$624)</f>
      </c>
      <c r="EY624">
        <f>IF(ISBLANK('Data Entry'!$Û$624), "", 'Data Entry'!$Û$624)</f>
      </c>
      <c r="EZ624">
        <f>IF(ISBLANK('Data Entry'!$Ü$624), "", 'Data Entry'!$Ü$624)</f>
      </c>
      <c r="FA624">
        <f>IF(ISBLANK('Data Entry'!$Ý$624), "", 'Data Entry'!$Ý$624)</f>
      </c>
      <c r="FB624">
        <f>IF(ISBLANK('Data Entry'!$Þ$624), "", 'Data Entry'!$Þ$624)</f>
      </c>
      <c r="FC624">
        <f>IF(ISBLANK('Data Entry'!$ß$624), "", 'Data Entry'!$ß$624)</f>
      </c>
      <c r="FD624">
        <f>IF(ISBLANK('Data Entry'!$à$624), "", 'Data Entry'!$à$624)</f>
      </c>
      <c r="FE624">
        <f>IF(ISBLANK('Data Entry'!$á$624), "", 'Data Entry'!$á$624)</f>
      </c>
      <c r="FF624">
        <f>IF(ISBLANK('Data Entry'!$â$624), "", 'Data Entry'!$â$624)</f>
      </c>
      <c r="FG624">
        <f>IF(ISBLANK('Data Entry'!$ã$624), "", 'Data Entry'!$ã$624)</f>
      </c>
      <c r="FH624">
        <f>IF(ISBLANK('Data Entry'!$ä$624), "", 'Data Entry'!$ä$624)</f>
      </c>
      <c r="FI624">
        <f>IF(ISBLANK('Data Entry'!$å$624), "", 'Data Entry'!$å$624)</f>
      </c>
      <c r="FJ624">
        <f>IF(ISBLANK('Data Entry'!$æ$624), "", 'Data Entry'!$æ$624)</f>
      </c>
      <c r="FK624">
        <f>IF(ISBLANK('Data Entry'!$ç$624), "", 'Data Entry'!$ç$624)</f>
      </c>
      <c r="FL624">
        <f>IF(ISBLANK('Data Entry'!$è$624), "", 'Data Entry'!$è$624)</f>
      </c>
      <c r="FM624">
        <f>IF(ISBLANK('Data Entry'!$é$624), "", 'Data Entry'!$é$624)</f>
      </c>
      <c r="FN624">
        <f>IF(ISBLANK('Data Entry'!$ê$624), "", 'Data Entry'!$ê$624)</f>
      </c>
      <c r="FO624">
        <f>IF(ISBLANK('Data Entry'!$ë$624), "", 'Data Entry'!$ë$624)</f>
      </c>
      <c r="FP624">
        <f>IF(ISBLANK('Data Entry'!$ì$624), "", 'Data Entry'!$ì$624)</f>
      </c>
      <c r="FQ624">
        <f>IF(ISBLANK('Data Entry'!$í$624), "", 'Data Entry'!$í$624)</f>
      </c>
      <c r="FR624">
        <f>IF(ISBLANK('Data Entry'!$î$624), "", 'Data Entry'!$î$624)</f>
      </c>
      <c r="FS624">
        <f>IF(ISBLANK('Data Entry'!$ï$624), "", 'Data Entry'!$ï$624)</f>
      </c>
      <c r="FT624">
        <f>IF(ISBLANK('Data Entry'!$ð$624), "", 'Data Entry'!$ð$624)</f>
      </c>
      <c r="FU624">
        <f>IF(ISBLANK('Data Entry'!$ñ$624), "", 'Data Entry'!$ñ$624)</f>
      </c>
      <c r="FV624">
        <f>IF(ISBLANK('Data Entry'!$ò$624), "", 'Data Entry'!$ò$624)</f>
      </c>
      <c r="FW624">
        <f>IF(ISBLANK('Data Entry'!$ó$624), "", 'Data Entry'!$ó$624)</f>
      </c>
      <c r="FX624">
        <f>IF(ISBLANK('Data Entry'!$ô$624), "", 'Data Entry'!$ô$624)</f>
      </c>
      <c r="FY624">
        <f>IF(ISBLANK('Data Entry'!$õ$624), "", 'Data Entry'!$õ$624)</f>
      </c>
      <c r="FZ624">
        <f>IF(ISBLANK('Data Entry'!$ö$624), "", 'Data Entry'!$ö$624)</f>
      </c>
      <c r="GA624">
        <f>IF(ISBLANK('Data Entry'!$÷$624), "", 'Data Entry'!$÷$624)</f>
      </c>
      <c r="GB624">
        <f>IF(ISBLANK('Data Entry'!$ø$624), "", 'Data Entry'!$ø$624)</f>
      </c>
      <c r="GC624">
        <f>IF(ISBLANK('Data Entry'!$ù$624), "", 'Data Entry'!$ù$624)</f>
      </c>
      <c r="GD624">
        <f>IF(ISBLANK('Data Entry'!$ú$624), "", 'Data Entry'!$ú$624)</f>
      </c>
      <c r="GE624">
        <f>IF(ISBLANK('Data Entry'!$û$624), "", 'Data Entry'!$û$624)</f>
      </c>
      <c r="GF624">
        <f>IF(ISBLANK('Data Entry'!$ü$624), "", 'Data Entry'!$ü$624)</f>
      </c>
      <c r="GG624">
        <f>IF(ISBLANK('Data Entry'!$ý$624), "", 'Data Entry'!$ý$624)</f>
      </c>
      <c r="GH624">
        <f>IF(ISBLANK('Data Entry'!$þ$624), "", 'Data Entry'!$þ$624)</f>
      </c>
      <c r="GI624">
        <f>IF(ISBLANK('Data Entry'!$ÿ$624), "", 'Data Entry'!$ÿ$624)</f>
      </c>
      <c r="GJ624">
        <f>IF(ISBLANK('Data Entry'!$Ā$624), "", 'Data Entry'!$Ā$624)</f>
      </c>
      <c r="GK624">
        <f>IF(ISBLANK('Data Entry'!$ā$624), "", 'Data Entry'!$ā$624)</f>
      </c>
      <c r="GL624">
        <f>IF(ISBLANK('Data Entry'!$Ă$624), "", 'Data Entry'!$Ă$624)</f>
      </c>
      <c r="GM624">
        <f>IF(ISBLANK('Data Entry'!$ă$624), "", 'Data Entry'!$ă$624)</f>
      </c>
      <c r="GN624">
        <f>IF(ISBLANK('Data Entry'!$Ą$624), "", 'Data Entry'!$Ą$624)</f>
      </c>
      <c r="GO624">
        <f>IF(ISBLANK('Data Entry'!$ą$624), "", 'Data Entry'!$ą$624)</f>
      </c>
      <c r="GP624">
        <f>IF(ISBLANK('Data Entry'!$Ć$624), "", 'Data Entry'!$Ć$624)</f>
      </c>
      <c r="GQ624">
        <f>IF(ISBLANK('Data Entry'!$ć$624), "", 'Data Entry'!$ć$624)</f>
      </c>
      <c r="GR624">
        <f>IF(ISBLANK('Data Entry'!$Ĉ$624), "", 'Data Entry'!$Ĉ$624)</f>
      </c>
      <c r="GS624">
        <f>IF(ISBLANK('Data Entry'!$ĉ$624), "", 'Data Entry'!$ĉ$624)</f>
      </c>
      <c r="GT624">
        <f>IF(ISBLANK('Data Entry'!$Ċ$624), "", 'Data Entry'!$Ċ$624)</f>
      </c>
      <c r="GU624">
        <f>IF(ISBLANK('Data Entry'!$ċ$624), "", 'Data Entry'!$ċ$624)</f>
      </c>
      <c r="GV624">
        <f>IF(ISBLANK('Data Entry'!$Č$624), "", 'Data Entry'!$Č$624)</f>
      </c>
      <c r="GW624">
        <f>IF(ISBLANK('Data Entry'!$č$624), "", 'Data Entry'!$č$624)</f>
      </c>
      <c r="GX624">
        <f>IF(ISBLANK('Data Entry'!$Ď$624), "", 'Data Entry'!$Ď$624)</f>
      </c>
      <c r="GY624">
        <f>IF(ISBLANK('Data Entry'!$ď$624), "", 'Data Entry'!$ď$624)</f>
      </c>
      <c r="GZ624">
        <f>IF(ISBLANK('Data Entry'!$Đ$624), "", 'Data Entry'!$Đ$624)</f>
      </c>
      <c r="HA624">
        <f>IF(ISBLANK('Data Entry'!$đ$624), "", 'Data Entry'!$đ$624)</f>
      </c>
      <c r="HB624">
        <f>IF(ISBLANK('Data Entry'!$Ē$624), "", 'Data Entry'!$Ē$624)</f>
      </c>
      <c r="HC624">
        <f>IF(ISBLANK('Data Entry'!$ē$624), "", 'Data Entry'!$ē$624)</f>
      </c>
      <c r="HD624">
        <f>IF(ISBLANK('Data Entry'!$Ĕ$624), "", 'Data Entry'!$Ĕ$624)</f>
      </c>
      <c r="HE624">
        <f>IF(ISBLANK('Data Entry'!$ĕ$624), "", 'Data Entry'!$ĕ$624)</f>
      </c>
      <c r="HF624">
        <f>IF(ISBLANK('Data Entry'!$Ė$624), "", 'Data Entry'!$Ė$624)</f>
      </c>
      <c r="HG624">
        <f>IF(ISBLANK('Data Entry'!$ė$624), "", 'Data Entry'!$ė$624)</f>
      </c>
      <c r="HH624">
        <f>IF(ISBLANK('Data Entry'!$Ę$624), "", 'Data Entry'!$Ę$624)</f>
      </c>
      <c r="HI624">
        <f>IF(ISBLANK('Data Entry'!$ę$624), "", 'Data Entry'!$ę$624)</f>
      </c>
      <c r="HJ624">
        <f>IF(ISBLANK('Data Entry'!$Ě$624), "", 'Data Entry'!$Ě$624)</f>
      </c>
      <c r="HK624">
        <f>IF(ISBLANK('Data Entry'!$ě$624), "", 'Data Entry'!$ě$624)</f>
      </c>
      <c r="HL624">
        <f>IF(ISBLANK('Data Entry'!$Ĝ$624), "", 'Data Entry'!$Ĝ$624)</f>
      </c>
      <c r="HM624">
        <f>IF(ISBLANK('Data Entry'!$ĝ$624), "", 'Data Entry'!$ĝ$624)</f>
      </c>
      <c r="HN624">
        <f>IF(ISBLANK('Data Entry'!$Ğ$624), "", 'Data Entry'!$Ğ$624)</f>
      </c>
      <c r="HO624">
        <f>IF(ISBLANK('Data Entry'!$ğ$624), "", 'Data Entry'!$ğ$624)</f>
      </c>
      <c r="HP624">
        <f>IF(ISBLANK('Data Entry'!$Ġ$624), "", 'Data Entry'!$Ġ$624)</f>
      </c>
      <c r="HQ624">
        <f>IF(ISBLANK('Data Entry'!$ġ$624), "", 'Data Entry'!$ġ$624)</f>
      </c>
      <c r="HR624">
        <f>IF(ISBLANK('Data Entry'!$Ģ$624), "", 'Data Entry'!$Ģ$624)</f>
      </c>
      <c r="HS624">
        <f>IF(ISBLANK('Data Entry'!$ģ$624), "", 'Data Entry'!$ģ$624)</f>
      </c>
      <c r="HT624">
        <f>IF(ISBLANK('Data Entry'!$Ĥ$624), "", 'Data Entry'!$Ĥ$624)</f>
      </c>
      <c r="HU624">
        <f>IF(ISBLANK('Data Entry'!$ĥ$624), "", 'Data Entry'!$ĥ$624)</f>
      </c>
      <c r="HV624">
        <f>IF(ISBLANK('Data Entry'!$Ħ$624), "", 'Data Entry'!$Ħ$624)</f>
      </c>
      <c r="HW624">
        <f>IF(ISBLANK('Data Entry'!$ħ$624), "", 'Data Entry'!$ħ$624)</f>
      </c>
      <c r="HX624">
        <f>IF(ISBLANK('Data Entry'!$Ĩ$624), "", 'Data Entry'!$Ĩ$624)</f>
      </c>
      <c r="HY624">
        <f>IF(ISBLANK('Data Entry'!$ĩ$624), "", 'Data Entry'!$ĩ$624)</f>
      </c>
      <c r="HZ624">
        <f>IF(ISBLANK('Data Entry'!$Ī$624), "", 'Data Entry'!$Ī$624)</f>
      </c>
      <c r="IA624">
        <f>IF(ISBLANK('Data Entry'!$ī$624), "", 'Data Entry'!$ī$624)</f>
      </c>
      <c r="IB624">
        <f>IF(ISBLANK('Data Entry'!$Ĭ$624), "", 'Data Entry'!$Ĭ$624)</f>
      </c>
      <c r="IC624">
        <f>IF(ISBLANK('Data Entry'!$ĭ$624), "", 'Data Entry'!$ĭ$624)</f>
      </c>
      <c r="ID624">
        <f>IF(ISBLANK('Data Entry'!$Į$624), "", 'Data Entry'!$Į$624)</f>
      </c>
      <c r="IE624">
        <f>IF(ISBLANK('Data Entry'!$į$624), "", 'Data Entry'!$į$624)</f>
      </c>
      <c r="IF624">
        <f>IF(ISBLANK('Data Entry'!$İ$624), "", 'Data Entry'!$İ$624)</f>
      </c>
      <c r="IG624">
        <f>IF(ISBLANK('Data Entry'!$ı$624), "", 'Data Entry'!$ı$624)</f>
      </c>
      <c r="IH624">
        <f>IF(ISBLANK('Data Entry'!$Ĳ$624), "", 'Data Entry'!$Ĳ$624)</f>
      </c>
      <c r="II624">
        <f>IF(ISBLANK('Data Entry'!$ĳ$624), "", 'Data Entry'!$ĳ$624)</f>
      </c>
      <c r="IJ624">
        <f>IF(ISBLANK('Data Entry'!$Ĵ$624), "", 'Data Entry'!$Ĵ$624)</f>
      </c>
      <c r="IK624">
        <f>IF(ISBLANK('Data Entry'!$ĵ$624), "", 'Data Entry'!$ĵ$624)</f>
      </c>
      <c r="IL624">
        <f>IF(ISBLANK('Data Entry'!$Ķ$624), "", 'Data Entry'!$Ķ$624)</f>
      </c>
      <c r="IM624">
        <f>IF(ISBLANK('Data Entry'!$ķ$624), "", 'Data Entry'!$ķ$624)</f>
      </c>
      <c r="IN624">
        <f>IF(ISBLANK('Data Entry'!$ĸ$624), "", 'Data Entry'!$ĸ$624)</f>
      </c>
      <c r="IO624">
        <f>IF(ISBLANK('Data Entry'!$Ĺ$624), "", 'Data Entry'!$Ĺ$624)</f>
      </c>
      <c r="IP624">
        <f>IF(ISBLANK('Data Entry'!$ĺ$624), "", 'Data Entry'!$ĺ$624)</f>
      </c>
      <c r="IQ624">
        <f>IF(ISBLANK('Data Entry'!$Ļ$624), "", 'Data Entry'!$Ļ$624)</f>
      </c>
      <c r="IR624">
        <f>IF(ISBLANK('Data Entry'!$ļ$624), "", 'Data Entry'!$ļ$624)</f>
      </c>
      <c r="IS624">
        <f>IF(ISBLANK('Data Entry'!$Ľ$624), "", 'Data Entry'!$Ľ$624)</f>
      </c>
      <c r="IT624">
        <f>IF(ISBLANK('Data Entry'!$ľ$624), "", 'Data Entry'!$ľ$624)</f>
      </c>
    </row>
    <row r="625" spans="1:254" x14ac:dyDescent="0.25">
      <c r="A625">
        <f>IF(ISBLANK('Data Entry'!$A$625), "", 'Data Entry'!$A$625)</f>
      </c>
      <c r="B625">
        <f>IF(ISBLANK('Data Entry'!$B$625), "", 'Data Entry'!$B$625)</f>
      </c>
      <c r="C625">
        <f>IF(ISBLANK('Data Entry'!$C$625), "", 'Data Entry'!$C$625)</f>
      </c>
      <c r="D625">
        <f>IF(ISBLANK('Data Entry'!$D$625), "", 'Data Entry'!$D$625)</f>
      </c>
      <c r="E625">
        <f>IF(ISBLANK('Data Entry'!$E$625), "", 'Data Entry'!$E$625)</f>
      </c>
      <c r="F625">
        <f>IF(ISBLANK('Data Entry'!$F$625), "", 'Data Entry'!$F$625)</f>
      </c>
      <c r="G625">
        <f>IF(ISBLANK('Data Entry'!$G$625), "", 'Data Entry'!$G$625)</f>
      </c>
      <c r="H625">
        <f>IF(ISBLANK('Data Entry'!$H$625), "", 'Data Entry'!$H$625)</f>
      </c>
      <c r="I625">
        <f>IF(ISBLANK('Data Entry'!$I$625), "", 'Data Entry'!$I$625)</f>
      </c>
      <c r="J625">
        <f>IF(ISBLANK('Data Entry'!$J$625), "", 'Data Entry'!$J$625)</f>
      </c>
      <c r="K625">
        <f>IF(ISBLANK('Data Entry'!$K$625), "", 'Data Entry'!$K$625)</f>
      </c>
      <c r="L625">
        <f>IF(ISBLANK('Data Entry'!$L$625), "", 'Data Entry'!$L$625)</f>
      </c>
      <c r="M625">
        <f>IF(ISBLANK('Data Entry'!$M$625), "", 'Data Entry'!$M$625)</f>
      </c>
      <c r="N625">
        <f>IF(ISBLANK('Data Entry'!$N$625), "", 'Data Entry'!$N$625)</f>
      </c>
      <c r="O625">
        <f>IF(ISBLANK('Data Entry'!$O$625), "", 'Data Entry'!$O$625)</f>
      </c>
      <c r="P625">
        <f>IF(ISBLANK('Data Entry'!$P$625), "", 'Data Entry'!$P$625)</f>
      </c>
      <c r="Q625">
        <f>IF(ISBLANK('Data Entry'!$Q$625), "", 'Data Entry'!$Q$625)</f>
      </c>
      <c r="R625">
        <f>IF(ISBLANK('Data Entry'!$R$625), "", 'Data Entry'!$R$625)</f>
      </c>
      <c r="S625">
        <f>IF(ISBLANK('Data Entry'!$S$625), "", 'Data Entry'!$S$625)</f>
      </c>
      <c r="T625">
        <f>IF(ISBLANK('Data Entry'!$T$625), "", 'Data Entry'!$T$625)</f>
      </c>
      <c r="U625">
        <f>IF(ISBLANK('Data Entry'!$U$625), "", 'Data Entry'!$U$625)</f>
      </c>
      <c r="V625">
        <f>IF(ISBLANK('Data Entry'!$V$625), "", 'Data Entry'!$V$625)</f>
      </c>
      <c r="W625">
        <f>IF(ISBLANK('Data Entry'!$W$625), "", 'Data Entry'!$W$625)</f>
      </c>
      <c r="X625">
        <f>IF(ISBLANK('Data Entry'!$X$625), "", 'Data Entry'!$X$625)</f>
      </c>
      <c r="Y625">
        <f>IF(ISBLANK('Data Entry'!$Y$625), "", 'Data Entry'!$Y$625)</f>
      </c>
      <c r="Z625">
        <f>IF(ISBLANK('Data Entry'!$Z$625), "", 'Data Entry'!$Z$625)</f>
      </c>
      <c r="AA625">
        <f>IF(ISBLANK('Data Entry'!$[$625), "", 'Data Entry'!$[$625)</f>
      </c>
      <c r="AB625">
        <f>IF(ISBLANK('Data Entry'!$\$625), "", 'Data Entry'!$\$625)</f>
      </c>
      <c r="AC625">
        <f>IF(ISBLANK('Data Entry'!$]$625), "", 'Data Entry'!$]$625)</f>
      </c>
      <c r="AD625">
        <f>IF(ISBLANK('Data Entry'!$^$625), "", 'Data Entry'!$^$625)</f>
      </c>
      <c r="AE625">
        <f>IF(ISBLANK('Data Entry'!$_$625), "", 'Data Entry'!$_$625)</f>
      </c>
      <c r="AF625">
        <f>IF(ISBLANK('Data Entry'!$`$625), "", 'Data Entry'!$`$625)</f>
      </c>
      <c r="AG625">
        <f>IF(ISBLANK('Data Entry'!$a$625), "", 'Data Entry'!$a$625)</f>
      </c>
      <c r="AH625">
        <f>IF(ISBLANK('Data Entry'!$b$625), "", 'Data Entry'!$b$625)</f>
      </c>
      <c r="AI625">
        <f>IF(ISBLANK('Data Entry'!$c$625), "", 'Data Entry'!$c$625)</f>
      </c>
      <c r="AJ625">
        <f>IF(ISBLANK('Data Entry'!$d$625), "", 'Data Entry'!$d$625)</f>
      </c>
      <c r="AK625">
        <f>IF(ISBLANK('Data Entry'!$e$625), "", 'Data Entry'!$e$625)</f>
      </c>
      <c r="AL625">
        <f>IF(ISBLANK('Data Entry'!$f$625), "", 'Data Entry'!$f$625)</f>
      </c>
      <c r="AM625">
        <f>IF(ISBLANK('Data Entry'!$g$625), "", 'Data Entry'!$g$625)</f>
      </c>
      <c r="AN625">
        <f>IF(ISBLANK('Data Entry'!$h$625), "", 'Data Entry'!$h$625)</f>
      </c>
      <c r="AO625">
        <f>IF(ISBLANK('Data Entry'!$i$625), "", 'Data Entry'!$i$625)</f>
      </c>
      <c r="AP625">
        <f>IF(ISBLANK('Data Entry'!$j$625), "", 'Data Entry'!$j$625)</f>
      </c>
      <c r="AQ625">
        <f>IF(ISBLANK('Data Entry'!$k$625), "", 'Data Entry'!$k$625)</f>
      </c>
      <c r="AR625">
        <f>IF(ISBLANK('Data Entry'!$l$625), "", 'Data Entry'!$l$625)</f>
      </c>
      <c r="AS625">
        <f>IF(ISBLANK('Data Entry'!$m$625), "", 'Data Entry'!$m$625)</f>
      </c>
      <c r="AT625">
        <f>IF(ISBLANK('Data Entry'!$n$625), "", 'Data Entry'!$n$625)</f>
      </c>
      <c r="AU625">
        <f>IF(ISBLANK('Data Entry'!$o$625), "", 'Data Entry'!$o$625)</f>
      </c>
      <c r="AV625">
        <f>IF(ISBLANK('Data Entry'!$p$625), "", 'Data Entry'!$p$625)</f>
      </c>
      <c r="AW625">
        <f>IF(ISBLANK('Data Entry'!$q$625), "", 'Data Entry'!$q$625)</f>
      </c>
      <c r="AX625">
        <f>IF(ISBLANK('Data Entry'!$r$625), "", 'Data Entry'!$r$625)</f>
      </c>
      <c r="AY625">
        <f>IF(ISBLANK('Data Entry'!$s$625), "", 'Data Entry'!$s$625)</f>
      </c>
      <c r="AZ625">
        <f>IF(ISBLANK('Data Entry'!$t$625), "", 'Data Entry'!$t$625)</f>
      </c>
      <c r="BA625">
        <f>IF(ISBLANK('Data Entry'!$u$625), "", 'Data Entry'!$u$625)</f>
      </c>
      <c r="BB625">
        <f>IF(ISBLANK('Data Entry'!$v$625), "", 'Data Entry'!$v$625)</f>
      </c>
      <c r="BC625">
        <f>IF(ISBLANK('Data Entry'!$w$625), "", 'Data Entry'!$w$625)</f>
      </c>
      <c r="BD625">
        <f>IF(ISBLANK('Data Entry'!$x$625), "", 'Data Entry'!$x$625)</f>
      </c>
      <c r="BE625">
        <f>IF(ISBLANK('Data Entry'!$y$625), "", 'Data Entry'!$y$625)</f>
      </c>
      <c r="BF625">
        <f>IF(ISBLANK('Data Entry'!$z$625), "", 'Data Entry'!$z$625)</f>
      </c>
      <c r="BG625">
        <f>IF(ISBLANK('Data Entry'!${$625), "", 'Data Entry'!${$625)</f>
      </c>
      <c r="BH625">
        <f>IF(ISBLANK('Data Entry'!$|$625), "", 'Data Entry'!$|$625)</f>
      </c>
      <c r="BI625">
        <f>IF(ISBLANK('Data Entry'!$}$625), "", 'Data Entry'!$}$625)</f>
      </c>
      <c r="BJ625">
        <f>IF(ISBLANK('Data Entry'!$~$625), "", 'Data Entry'!$~$625)</f>
      </c>
      <c r="BK625">
        <f>IF(ISBLANK('Data Entry'!$$625), "", 'Data Entry'!$$625)</f>
      </c>
      <c r="BL625">
        <f>IF(ISBLANK('Data Entry'!$$625), "", 'Data Entry'!$$625)</f>
      </c>
      <c r="BM625">
        <f>IF(ISBLANK('Data Entry'!$$625), "", 'Data Entry'!$$625)</f>
      </c>
      <c r="BN625">
        <f>IF(ISBLANK('Data Entry'!$$625), "", 'Data Entry'!$$625)</f>
      </c>
      <c r="BO625">
        <f>IF(ISBLANK('Data Entry'!$$625), "", 'Data Entry'!$$625)</f>
      </c>
      <c r="BP625">
        <f>IF(ISBLANK('Data Entry'!$$625), "", 'Data Entry'!$$625)</f>
      </c>
      <c r="BQ625">
        <f>IF(ISBLANK('Data Entry'!$$625), "", 'Data Entry'!$$625)</f>
      </c>
      <c r="BR625">
        <f>IF(ISBLANK('Data Entry'!$$625), "", 'Data Entry'!$$625)</f>
      </c>
      <c r="BS625">
        <f>IF(ISBLANK('Data Entry'!$$625), "", 'Data Entry'!$$625)</f>
      </c>
      <c r="BT625">
        <f>IF(ISBLANK('Data Entry'!$$625), "", 'Data Entry'!$$625)</f>
      </c>
      <c r="BU625">
        <f>IF(ISBLANK('Data Entry'!$$625), "", 'Data Entry'!$$625)</f>
      </c>
      <c r="BV625">
        <f>IF(ISBLANK('Data Entry'!$$625), "", 'Data Entry'!$$625)</f>
      </c>
      <c r="BW625">
        <f>IF(ISBLANK('Data Entry'!$$625), "", 'Data Entry'!$$625)</f>
      </c>
      <c r="BX625">
        <f>IF(ISBLANK('Data Entry'!$$625), "", 'Data Entry'!$$625)</f>
      </c>
      <c r="BY625">
        <f>IF(ISBLANK('Data Entry'!$$625), "", 'Data Entry'!$$625)</f>
      </c>
      <c r="BZ625">
        <f>IF(ISBLANK('Data Entry'!$$625), "", 'Data Entry'!$$625)</f>
      </c>
      <c r="CA625">
        <f>IF(ISBLANK('Data Entry'!$$625), "", 'Data Entry'!$$625)</f>
      </c>
      <c r="CB625">
        <f>IF(ISBLANK('Data Entry'!$$625), "", 'Data Entry'!$$625)</f>
      </c>
      <c r="CC625">
        <f>IF(ISBLANK('Data Entry'!$$625), "", 'Data Entry'!$$625)</f>
      </c>
      <c r="CD625">
        <f>IF(ISBLANK('Data Entry'!$$625), "", 'Data Entry'!$$625)</f>
      </c>
      <c r="CE625">
        <f>IF(ISBLANK('Data Entry'!$$625), "", 'Data Entry'!$$625)</f>
      </c>
      <c r="CF625">
        <f>IF(ISBLANK('Data Entry'!$$625), "", 'Data Entry'!$$625)</f>
      </c>
      <c r="CG625">
        <f>IF(ISBLANK('Data Entry'!$$625), "", 'Data Entry'!$$625)</f>
      </c>
      <c r="CH625">
        <f>IF(ISBLANK('Data Entry'!$$625), "", 'Data Entry'!$$625)</f>
      </c>
      <c r="CI625">
        <f>IF(ISBLANK('Data Entry'!$$625), "", 'Data Entry'!$$625)</f>
      </c>
      <c r="CJ625">
        <f>IF(ISBLANK('Data Entry'!$$625), "", 'Data Entry'!$$625)</f>
      </c>
      <c r="CK625">
        <f>IF(ISBLANK('Data Entry'!$$625), "", 'Data Entry'!$$625)</f>
      </c>
      <c r="CL625">
        <f>IF(ISBLANK('Data Entry'!$$625), "", 'Data Entry'!$$625)</f>
      </c>
      <c r="CM625">
        <f>IF(ISBLANK('Data Entry'!$$625), "", 'Data Entry'!$$625)</f>
      </c>
      <c r="CN625">
        <f>IF(ISBLANK('Data Entry'!$$625), "", 'Data Entry'!$$625)</f>
      </c>
      <c r="CO625">
        <f>IF(ISBLANK('Data Entry'!$$625), "", 'Data Entry'!$$625)</f>
      </c>
      <c r="CP625">
        <f>IF(ISBLANK('Data Entry'!$$625), "", 'Data Entry'!$$625)</f>
      </c>
      <c r="CQ625">
        <f>IF(ISBLANK('Data Entry'!$$625), "", 'Data Entry'!$$625)</f>
      </c>
      <c r="CR625">
        <f>IF(ISBLANK('Data Entry'!$ $625), "", 'Data Entry'!$ $625)</f>
      </c>
      <c r="CS625">
        <f>IF(ISBLANK('Data Entry'!$¡$625), "", 'Data Entry'!$¡$625)</f>
      </c>
      <c r="CT625">
        <f>IF(ISBLANK('Data Entry'!$¢$625), "", 'Data Entry'!$¢$625)</f>
      </c>
      <c r="CU625">
        <f>IF(ISBLANK('Data Entry'!$£$625), "", 'Data Entry'!$£$625)</f>
      </c>
      <c r="CV625">
        <f>IF(ISBLANK('Data Entry'!$¤$625), "", 'Data Entry'!$¤$625)</f>
      </c>
      <c r="CW625">
        <f>IF(ISBLANK('Data Entry'!$¥$625), "", 'Data Entry'!$¥$625)</f>
      </c>
      <c r="CX625">
        <f>IF(ISBLANK('Data Entry'!$¦$625), "", 'Data Entry'!$¦$625)</f>
      </c>
      <c r="CY625">
        <f>IF(ISBLANK('Data Entry'!$§$625), "", 'Data Entry'!$§$625)</f>
      </c>
      <c r="CZ625">
        <f>IF(ISBLANK('Data Entry'!$¨$625), "", 'Data Entry'!$¨$625)</f>
      </c>
      <c r="DA625">
        <f>IF(ISBLANK('Data Entry'!$©$625), "", 'Data Entry'!$©$625)</f>
      </c>
      <c r="DB625">
        <f>IF(ISBLANK('Data Entry'!$ª$625), "", 'Data Entry'!$ª$625)</f>
      </c>
      <c r="DC625">
        <f>IF(ISBLANK('Data Entry'!$«$625), "", 'Data Entry'!$«$625)</f>
      </c>
      <c r="DD625">
        <f>IF(ISBLANK('Data Entry'!$¬$625), "", 'Data Entry'!$¬$625)</f>
      </c>
      <c r="DE625">
        <f>IF(ISBLANK('Data Entry'!$­$625), "", 'Data Entry'!$­$625)</f>
      </c>
      <c r="DF625">
        <f>IF(ISBLANK('Data Entry'!$®$625), "", 'Data Entry'!$®$625)</f>
      </c>
      <c r="DG625">
        <f>IF(ISBLANK('Data Entry'!$¯$625), "", 'Data Entry'!$¯$625)</f>
      </c>
      <c r="DH625">
        <f>IF(ISBLANK('Data Entry'!$°$625), "", 'Data Entry'!$°$625)</f>
      </c>
      <c r="DI625">
        <f>IF(ISBLANK('Data Entry'!$±$625), "", 'Data Entry'!$±$625)</f>
      </c>
      <c r="DJ625">
        <f>IF(ISBLANK('Data Entry'!$²$625), "", 'Data Entry'!$²$625)</f>
      </c>
      <c r="DK625">
        <f>IF(ISBLANK('Data Entry'!$³$625), "", 'Data Entry'!$³$625)</f>
      </c>
      <c r="DL625">
        <f>IF(ISBLANK('Data Entry'!$´$625), "", 'Data Entry'!$´$625)</f>
      </c>
      <c r="DM625">
        <f>IF(ISBLANK('Data Entry'!$µ$625), "", 'Data Entry'!$µ$625)</f>
      </c>
      <c r="DN625">
        <f>IF(ISBLANK('Data Entry'!$¶$625), "", 'Data Entry'!$¶$625)</f>
      </c>
      <c r="DO625">
        <f>IF(ISBLANK('Data Entry'!$·$625), "", 'Data Entry'!$·$625)</f>
      </c>
      <c r="DP625">
        <f>IF(ISBLANK('Data Entry'!$¸$625), "", 'Data Entry'!$¸$625)</f>
      </c>
      <c r="DQ625">
        <f>IF(ISBLANK('Data Entry'!$¹$625), "", 'Data Entry'!$¹$625)</f>
      </c>
      <c r="DR625">
        <f>IF(ISBLANK('Data Entry'!$º$625), "", 'Data Entry'!$º$625)</f>
      </c>
      <c r="DS625">
        <f>IF(ISBLANK('Data Entry'!$»$625), "", 'Data Entry'!$»$625)</f>
      </c>
      <c r="DT625">
        <f>IF(ISBLANK('Data Entry'!$¼$625), "", 'Data Entry'!$¼$625)</f>
      </c>
      <c r="DU625">
        <f>IF(ISBLANK('Data Entry'!$½$625), "", 'Data Entry'!$½$625)</f>
      </c>
      <c r="DV625">
        <f>IF(ISBLANK('Data Entry'!$¾$625), "", 'Data Entry'!$¾$625)</f>
      </c>
      <c r="DW625">
        <f>IF(ISBLANK('Data Entry'!$¿$625), "", 'Data Entry'!$¿$625)</f>
      </c>
      <c r="DX625">
        <f>IF(ISBLANK('Data Entry'!$À$625), "", 'Data Entry'!$À$625)</f>
      </c>
      <c r="DY625">
        <f>IF(ISBLANK('Data Entry'!$Á$625), "", 'Data Entry'!$Á$625)</f>
      </c>
      <c r="DZ625">
        <f>IF(ISBLANK('Data Entry'!$Â$625), "", 'Data Entry'!$Â$625)</f>
      </c>
      <c r="EA625">
        <f>IF(ISBLANK('Data Entry'!$Ã$625), "", 'Data Entry'!$Ã$625)</f>
      </c>
      <c r="EB625">
        <f>IF(ISBLANK('Data Entry'!$Ä$625), "", 'Data Entry'!$Ä$625)</f>
      </c>
      <c r="EC625">
        <f>IF(ISBLANK('Data Entry'!$Å$625), "", 'Data Entry'!$Å$625)</f>
      </c>
      <c r="ED625">
        <f>IF(ISBLANK('Data Entry'!$Æ$625), "", 'Data Entry'!$Æ$625)</f>
      </c>
      <c r="EE625">
        <f>IF(ISBLANK('Data Entry'!$Ç$625), "", 'Data Entry'!$Ç$625)</f>
      </c>
      <c r="EF625">
        <f>IF(ISBLANK('Data Entry'!$È$625), "", 'Data Entry'!$È$625)</f>
      </c>
      <c r="EG625">
        <f>IF(ISBLANK('Data Entry'!$É$625), "", 'Data Entry'!$É$625)</f>
      </c>
      <c r="EH625">
        <f>IF(ISBLANK('Data Entry'!$Ê$625), "", 'Data Entry'!$Ê$625)</f>
      </c>
      <c r="EI625">
        <f>IF(ISBLANK('Data Entry'!$Ë$625), "", 'Data Entry'!$Ë$625)</f>
      </c>
      <c r="EJ625">
        <f>IF(ISBLANK('Data Entry'!$Ì$625), "", 'Data Entry'!$Ì$625)</f>
      </c>
      <c r="EK625">
        <f>IF(ISBLANK('Data Entry'!$Í$625), "", 'Data Entry'!$Í$625)</f>
      </c>
      <c r="EL625">
        <f>IF(ISBLANK('Data Entry'!$Î$625), "", 'Data Entry'!$Î$625)</f>
      </c>
      <c r="EM625">
        <f>IF(ISBLANK('Data Entry'!$Ï$625), "", 'Data Entry'!$Ï$625)</f>
      </c>
      <c r="EN625">
        <f>IF(ISBLANK('Data Entry'!$Ð$625), "", 'Data Entry'!$Ð$625)</f>
      </c>
      <c r="EO625">
        <f>IF(ISBLANK('Data Entry'!$Ñ$625), "", 'Data Entry'!$Ñ$625)</f>
      </c>
      <c r="EP625">
        <f>IF(ISBLANK('Data Entry'!$Ò$625), "", 'Data Entry'!$Ò$625)</f>
      </c>
      <c r="EQ625">
        <f>IF(ISBLANK('Data Entry'!$Ó$625), "", 'Data Entry'!$Ó$625)</f>
      </c>
      <c r="ER625">
        <f>IF(ISBLANK('Data Entry'!$Ô$625), "", 'Data Entry'!$Ô$625)</f>
      </c>
      <c r="ES625">
        <f>IF(ISBLANK('Data Entry'!$Õ$625), "", 'Data Entry'!$Õ$625)</f>
      </c>
      <c r="ET625">
        <f>IF(ISBLANK('Data Entry'!$Ö$625), "", 'Data Entry'!$Ö$625)</f>
      </c>
      <c r="EU625">
        <f>IF(ISBLANK('Data Entry'!$×$625), "", 'Data Entry'!$×$625)</f>
      </c>
      <c r="EV625">
        <f>IF(ISBLANK('Data Entry'!$Ø$625), "", 'Data Entry'!$Ø$625)</f>
      </c>
      <c r="EW625">
        <f>IF(ISBLANK('Data Entry'!$Ù$625), "", 'Data Entry'!$Ù$625)</f>
      </c>
      <c r="EX625">
        <f>IF(ISBLANK('Data Entry'!$Ú$625), "", 'Data Entry'!$Ú$625)</f>
      </c>
      <c r="EY625">
        <f>IF(ISBLANK('Data Entry'!$Û$625), "", 'Data Entry'!$Û$625)</f>
      </c>
      <c r="EZ625">
        <f>IF(ISBLANK('Data Entry'!$Ü$625), "", 'Data Entry'!$Ü$625)</f>
      </c>
      <c r="FA625">
        <f>IF(ISBLANK('Data Entry'!$Ý$625), "", 'Data Entry'!$Ý$625)</f>
      </c>
      <c r="FB625">
        <f>IF(ISBLANK('Data Entry'!$Þ$625), "", 'Data Entry'!$Þ$625)</f>
      </c>
      <c r="FC625">
        <f>IF(ISBLANK('Data Entry'!$ß$625), "", 'Data Entry'!$ß$625)</f>
      </c>
      <c r="FD625">
        <f>IF(ISBLANK('Data Entry'!$à$625), "", 'Data Entry'!$à$625)</f>
      </c>
      <c r="FE625">
        <f>IF(ISBLANK('Data Entry'!$á$625), "", 'Data Entry'!$á$625)</f>
      </c>
      <c r="FF625">
        <f>IF(ISBLANK('Data Entry'!$â$625), "", 'Data Entry'!$â$625)</f>
      </c>
      <c r="FG625">
        <f>IF(ISBLANK('Data Entry'!$ã$625), "", 'Data Entry'!$ã$625)</f>
      </c>
      <c r="FH625">
        <f>IF(ISBLANK('Data Entry'!$ä$625), "", 'Data Entry'!$ä$625)</f>
      </c>
      <c r="FI625">
        <f>IF(ISBLANK('Data Entry'!$å$625), "", 'Data Entry'!$å$625)</f>
      </c>
      <c r="FJ625">
        <f>IF(ISBLANK('Data Entry'!$æ$625), "", 'Data Entry'!$æ$625)</f>
      </c>
      <c r="FK625">
        <f>IF(ISBLANK('Data Entry'!$ç$625), "", 'Data Entry'!$ç$625)</f>
      </c>
      <c r="FL625">
        <f>IF(ISBLANK('Data Entry'!$è$625), "", 'Data Entry'!$è$625)</f>
      </c>
      <c r="FM625">
        <f>IF(ISBLANK('Data Entry'!$é$625), "", 'Data Entry'!$é$625)</f>
      </c>
      <c r="FN625">
        <f>IF(ISBLANK('Data Entry'!$ê$625), "", 'Data Entry'!$ê$625)</f>
      </c>
      <c r="FO625">
        <f>IF(ISBLANK('Data Entry'!$ë$625), "", 'Data Entry'!$ë$625)</f>
      </c>
      <c r="FP625">
        <f>IF(ISBLANK('Data Entry'!$ì$625), "", 'Data Entry'!$ì$625)</f>
      </c>
      <c r="FQ625">
        <f>IF(ISBLANK('Data Entry'!$í$625), "", 'Data Entry'!$í$625)</f>
      </c>
      <c r="FR625">
        <f>IF(ISBLANK('Data Entry'!$î$625), "", 'Data Entry'!$î$625)</f>
      </c>
      <c r="FS625">
        <f>IF(ISBLANK('Data Entry'!$ï$625), "", 'Data Entry'!$ï$625)</f>
      </c>
      <c r="FT625">
        <f>IF(ISBLANK('Data Entry'!$ð$625), "", 'Data Entry'!$ð$625)</f>
      </c>
      <c r="FU625">
        <f>IF(ISBLANK('Data Entry'!$ñ$625), "", 'Data Entry'!$ñ$625)</f>
      </c>
      <c r="FV625">
        <f>IF(ISBLANK('Data Entry'!$ò$625), "", 'Data Entry'!$ò$625)</f>
      </c>
      <c r="FW625">
        <f>IF(ISBLANK('Data Entry'!$ó$625), "", 'Data Entry'!$ó$625)</f>
      </c>
      <c r="FX625">
        <f>IF(ISBLANK('Data Entry'!$ô$625), "", 'Data Entry'!$ô$625)</f>
      </c>
      <c r="FY625">
        <f>IF(ISBLANK('Data Entry'!$õ$625), "", 'Data Entry'!$õ$625)</f>
      </c>
      <c r="FZ625">
        <f>IF(ISBLANK('Data Entry'!$ö$625), "", 'Data Entry'!$ö$625)</f>
      </c>
      <c r="GA625">
        <f>IF(ISBLANK('Data Entry'!$÷$625), "", 'Data Entry'!$÷$625)</f>
      </c>
      <c r="GB625">
        <f>IF(ISBLANK('Data Entry'!$ø$625), "", 'Data Entry'!$ø$625)</f>
      </c>
      <c r="GC625">
        <f>IF(ISBLANK('Data Entry'!$ù$625), "", 'Data Entry'!$ù$625)</f>
      </c>
      <c r="GD625">
        <f>IF(ISBLANK('Data Entry'!$ú$625), "", 'Data Entry'!$ú$625)</f>
      </c>
      <c r="GE625">
        <f>IF(ISBLANK('Data Entry'!$û$625), "", 'Data Entry'!$û$625)</f>
      </c>
      <c r="GF625">
        <f>IF(ISBLANK('Data Entry'!$ü$625), "", 'Data Entry'!$ü$625)</f>
      </c>
      <c r="GG625">
        <f>IF(ISBLANK('Data Entry'!$ý$625), "", 'Data Entry'!$ý$625)</f>
      </c>
      <c r="GH625">
        <f>IF(ISBLANK('Data Entry'!$þ$625), "", 'Data Entry'!$þ$625)</f>
      </c>
      <c r="GI625">
        <f>IF(ISBLANK('Data Entry'!$ÿ$625), "", 'Data Entry'!$ÿ$625)</f>
      </c>
      <c r="GJ625">
        <f>IF(ISBLANK('Data Entry'!$Ā$625), "", 'Data Entry'!$Ā$625)</f>
      </c>
      <c r="GK625">
        <f>IF(ISBLANK('Data Entry'!$ā$625), "", 'Data Entry'!$ā$625)</f>
      </c>
      <c r="GL625">
        <f>IF(ISBLANK('Data Entry'!$Ă$625), "", 'Data Entry'!$Ă$625)</f>
      </c>
      <c r="GM625">
        <f>IF(ISBLANK('Data Entry'!$ă$625), "", 'Data Entry'!$ă$625)</f>
      </c>
      <c r="GN625">
        <f>IF(ISBLANK('Data Entry'!$Ą$625), "", 'Data Entry'!$Ą$625)</f>
      </c>
      <c r="GO625">
        <f>IF(ISBLANK('Data Entry'!$ą$625), "", 'Data Entry'!$ą$625)</f>
      </c>
      <c r="GP625">
        <f>IF(ISBLANK('Data Entry'!$Ć$625), "", 'Data Entry'!$Ć$625)</f>
      </c>
      <c r="GQ625">
        <f>IF(ISBLANK('Data Entry'!$ć$625), "", 'Data Entry'!$ć$625)</f>
      </c>
      <c r="GR625">
        <f>IF(ISBLANK('Data Entry'!$Ĉ$625), "", 'Data Entry'!$Ĉ$625)</f>
      </c>
      <c r="GS625">
        <f>IF(ISBLANK('Data Entry'!$ĉ$625), "", 'Data Entry'!$ĉ$625)</f>
      </c>
      <c r="GT625">
        <f>IF(ISBLANK('Data Entry'!$Ċ$625), "", 'Data Entry'!$Ċ$625)</f>
      </c>
      <c r="GU625">
        <f>IF(ISBLANK('Data Entry'!$ċ$625), "", 'Data Entry'!$ċ$625)</f>
      </c>
      <c r="GV625">
        <f>IF(ISBLANK('Data Entry'!$Č$625), "", 'Data Entry'!$Č$625)</f>
      </c>
      <c r="GW625">
        <f>IF(ISBLANK('Data Entry'!$č$625), "", 'Data Entry'!$č$625)</f>
      </c>
      <c r="GX625">
        <f>IF(ISBLANK('Data Entry'!$Ď$625), "", 'Data Entry'!$Ď$625)</f>
      </c>
      <c r="GY625">
        <f>IF(ISBLANK('Data Entry'!$ď$625), "", 'Data Entry'!$ď$625)</f>
      </c>
      <c r="GZ625">
        <f>IF(ISBLANK('Data Entry'!$Đ$625), "", 'Data Entry'!$Đ$625)</f>
      </c>
      <c r="HA625">
        <f>IF(ISBLANK('Data Entry'!$đ$625), "", 'Data Entry'!$đ$625)</f>
      </c>
      <c r="HB625">
        <f>IF(ISBLANK('Data Entry'!$Ē$625), "", 'Data Entry'!$Ē$625)</f>
      </c>
      <c r="HC625">
        <f>IF(ISBLANK('Data Entry'!$ē$625), "", 'Data Entry'!$ē$625)</f>
      </c>
      <c r="HD625">
        <f>IF(ISBLANK('Data Entry'!$Ĕ$625), "", 'Data Entry'!$Ĕ$625)</f>
      </c>
      <c r="HE625">
        <f>IF(ISBLANK('Data Entry'!$ĕ$625), "", 'Data Entry'!$ĕ$625)</f>
      </c>
      <c r="HF625">
        <f>IF(ISBLANK('Data Entry'!$Ė$625), "", 'Data Entry'!$Ė$625)</f>
      </c>
      <c r="HG625">
        <f>IF(ISBLANK('Data Entry'!$ė$625), "", 'Data Entry'!$ė$625)</f>
      </c>
      <c r="HH625">
        <f>IF(ISBLANK('Data Entry'!$Ę$625), "", 'Data Entry'!$Ę$625)</f>
      </c>
      <c r="HI625">
        <f>IF(ISBLANK('Data Entry'!$ę$625), "", 'Data Entry'!$ę$625)</f>
      </c>
      <c r="HJ625">
        <f>IF(ISBLANK('Data Entry'!$Ě$625), "", 'Data Entry'!$Ě$625)</f>
      </c>
      <c r="HK625">
        <f>IF(ISBLANK('Data Entry'!$ě$625), "", 'Data Entry'!$ě$625)</f>
      </c>
      <c r="HL625">
        <f>IF(ISBLANK('Data Entry'!$Ĝ$625), "", 'Data Entry'!$Ĝ$625)</f>
      </c>
      <c r="HM625">
        <f>IF(ISBLANK('Data Entry'!$ĝ$625), "", 'Data Entry'!$ĝ$625)</f>
      </c>
      <c r="HN625">
        <f>IF(ISBLANK('Data Entry'!$Ğ$625), "", 'Data Entry'!$Ğ$625)</f>
      </c>
      <c r="HO625">
        <f>IF(ISBLANK('Data Entry'!$ğ$625), "", 'Data Entry'!$ğ$625)</f>
      </c>
      <c r="HP625">
        <f>IF(ISBLANK('Data Entry'!$Ġ$625), "", 'Data Entry'!$Ġ$625)</f>
      </c>
      <c r="HQ625">
        <f>IF(ISBLANK('Data Entry'!$ġ$625), "", 'Data Entry'!$ġ$625)</f>
      </c>
      <c r="HR625">
        <f>IF(ISBLANK('Data Entry'!$Ģ$625), "", 'Data Entry'!$Ģ$625)</f>
      </c>
      <c r="HS625">
        <f>IF(ISBLANK('Data Entry'!$ģ$625), "", 'Data Entry'!$ģ$625)</f>
      </c>
      <c r="HT625">
        <f>IF(ISBLANK('Data Entry'!$Ĥ$625), "", 'Data Entry'!$Ĥ$625)</f>
      </c>
      <c r="HU625">
        <f>IF(ISBLANK('Data Entry'!$ĥ$625), "", 'Data Entry'!$ĥ$625)</f>
      </c>
      <c r="HV625">
        <f>IF(ISBLANK('Data Entry'!$Ħ$625), "", 'Data Entry'!$Ħ$625)</f>
      </c>
      <c r="HW625">
        <f>IF(ISBLANK('Data Entry'!$ħ$625), "", 'Data Entry'!$ħ$625)</f>
      </c>
      <c r="HX625">
        <f>IF(ISBLANK('Data Entry'!$Ĩ$625), "", 'Data Entry'!$Ĩ$625)</f>
      </c>
      <c r="HY625">
        <f>IF(ISBLANK('Data Entry'!$ĩ$625), "", 'Data Entry'!$ĩ$625)</f>
      </c>
      <c r="HZ625">
        <f>IF(ISBLANK('Data Entry'!$Ī$625), "", 'Data Entry'!$Ī$625)</f>
      </c>
      <c r="IA625">
        <f>IF(ISBLANK('Data Entry'!$ī$625), "", 'Data Entry'!$ī$625)</f>
      </c>
      <c r="IB625">
        <f>IF(ISBLANK('Data Entry'!$Ĭ$625), "", 'Data Entry'!$Ĭ$625)</f>
      </c>
      <c r="IC625">
        <f>IF(ISBLANK('Data Entry'!$ĭ$625), "", 'Data Entry'!$ĭ$625)</f>
      </c>
      <c r="ID625">
        <f>IF(ISBLANK('Data Entry'!$Į$625), "", 'Data Entry'!$Į$625)</f>
      </c>
      <c r="IE625">
        <f>IF(ISBLANK('Data Entry'!$į$625), "", 'Data Entry'!$į$625)</f>
      </c>
      <c r="IF625">
        <f>IF(ISBLANK('Data Entry'!$İ$625), "", 'Data Entry'!$İ$625)</f>
      </c>
      <c r="IG625">
        <f>IF(ISBLANK('Data Entry'!$ı$625), "", 'Data Entry'!$ı$625)</f>
      </c>
      <c r="IH625">
        <f>IF(ISBLANK('Data Entry'!$Ĳ$625), "", 'Data Entry'!$Ĳ$625)</f>
      </c>
      <c r="II625">
        <f>IF(ISBLANK('Data Entry'!$ĳ$625), "", 'Data Entry'!$ĳ$625)</f>
      </c>
      <c r="IJ625">
        <f>IF(ISBLANK('Data Entry'!$Ĵ$625), "", 'Data Entry'!$Ĵ$625)</f>
      </c>
      <c r="IK625">
        <f>IF(ISBLANK('Data Entry'!$ĵ$625), "", 'Data Entry'!$ĵ$625)</f>
      </c>
      <c r="IL625">
        <f>IF(ISBLANK('Data Entry'!$Ķ$625), "", 'Data Entry'!$Ķ$625)</f>
      </c>
      <c r="IM625">
        <f>IF(ISBLANK('Data Entry'!$ķ$625), "", 'Data Entry'!$ķ$625)</f>
      </c>
      <c r="IN625">
        <f>IF(ISBLANK('Data Entry'!$ĸ$625), "", 'Data Entry'!$ĸ$625)</f>
      </c>
      <c r="IO625">
        <f>IF(ISBLANK('Data Entry'!$Ĺ$625), "", 'Data Entry'!$Ĺ$625)</f>
      </c>
      <c r="IP625">
        <f>IF(ISBLANK('Data Entry'!$ĺ$625), "", 'Data Entry'!$ĺ$625)</f>
      </c>
      <c r="IQ625">
        <f>IF(ISBLANK('Data Entry'!$Ļ$625), "", 'Data Entry'!$Ļ$625)</f>
      </c>
      <c r="IR625">
        <f>IF(ISBLANK('Data Entry'!$ļ$625), "", 'Data Entry'!$ļ$625)</f>
      </c>
      <c r="IS625">
        <f>IF(ISBLANK('Data Entry'!$Ľ$625), "", 'Data Entry'!$Ľ$625)</f>
      </c>
      <c r="IT625">
        <f>IF(ISBLANK('Data Entry'!$ľ$625), "", 'Data Entry'!$ľ$625)</f>
      </c>
    </row>
    <row r="626" spans="1:254" x14ac:dyDescent="0.25">
      <c r="A626">
        <f>IF(ISBLANK('Data Entry'!$A$626), "", 'Data Entry'!$A$626)</f>
      </c>
      <c r="B626">
        <f>IF(ISBLANK('Data Entry'!$B$626), "", 'Data Entry'!$B$626)</f>
      </c>
      <c r="C626">
        <f>IF(ISBLANK('Data Entry'!$C$626), "", 'Data Entry'!$C$626)</f>
      </c>
      <c r="D626">
        <f>IF(ISBLANK('Data Entry'!$D$626), "", 'Data Entry'!$D$626)</f>
      </c>
      <c r="E626">
        <f>IF(ISBLANK('Data Entry'!$E$626), "", 'Data Entry'!$E$626)</f>
      </c>
      <c r="F626">
        <f>IF(ISBLANK('Data Entry'!$F$626), "", 'Data Entry'!$F$626)</f>
      </c>
      <c r="G626">
        <f>IF(ISBLANK('Data Entry'!$G$626), "", 'Data Entry'!$G$626)</f>
      </c>
      <c r="H626">
        <f>IF(ISBLANK('Data Entry'!$H$626), "", 'Data Entry'!$H$626)</f>
      </c>
      <c r="I626">
        <f>IF(ISBLANK('Data Entry'!$I$626), "", 'Data Entry'!$I$626)</f>
      </c>
      <c r="J626">
        <f>IF(ISBLANK('Data Entry'!$J$626), "", 'Data Entry'!$J$626)</f>
      </c>
      <c r="K626">
        <f>IF(ISBLANK('Data Entry'!$K$626), "", 'Data Entry'!$K$626)</f>
      </c>
      <c r="L626">
        <f>IF(ISBLANK('Data Entry'!$L$626), "", 'Data Entry'!$L$626)</f>
      </c>
      <c r="M626">
        <f>IF(ISBLANK('Data Entry'!$M$626), "", 'Data Entry'!$M$626)</f>
      </c>
      <c r="N626">
        <f>IF(ISBLANK('Data Entry'!$N$626), "", 'Data Entry'!$N$626)</f>
      </c>
      <c r="O626">
        <f>IF(ISBLANK('Data Entry'!$O$626), "", 'Data Entry'!$O$626)</f>
      </c>
      <c r="P626">
        <f>IF(ISBLANK('Data Entry'!$P$626), "", 'Data Entry'!$P$626)</f>
      </c>
      <c r="Q626">
        <f>IF(ISBLANK('Data Entry'!$Q$626), "", 'Data Entry'!$Q$626)</f>
      </c>
      <c r="R626">
        <f>IF(ISBLANK('Data Entry'!$R$626), "", 'Data Entry'!$R$626)</f>
      </c>
      <c r="S626">
        <f>IF(ISBLANK('Data Entry'!$S$626), "", 'Data Entry'!$S$626)</f>
      </c>
      <c r="T626">
        <f>IF(ISBLANK('Data Entry'!$T$626), "", 'Data Entry'!$T$626)</f>
      </c>
      <c r="U626">
        <f>IF(ISBLANK('Data Entry'!$U$626), "", 'Data Entry'!$U$626)</f>
      </c>
      <c r="V626">
        <f>IF(ISBLANK('Data Entry'!$V$626), "", 'Data Entry'!$V$626)</f>
      </c>
      <c r="W626">
        <f>IF(ISBLANK('Data Entry'!$W$626), "", 'Data Entry'!$W$626)</f>
      </c>
      <c r="X626">
        <f>IF(ISBLANK('Data Entry'!$X$626), "", 'Data Entry'!$X$626)</f>
      </c>
      <c r="Y626">
        <f>IF(ISBLANK('Data Entry'!$Y$626), "", 'Data Entry'!$Y$626)</f>
      </c>
      <c r="Z626">
        <f>IF(ISBLANK('Data Entry'!$Z$626), "", 'Data Entry'!$Z$626)</f>
      </c>
      <c r="AA626">
        <f>IF(ISBLANK('Data Entry'!$[$626), "", 'Data Entry'!$[$626)</f>
      </c>
      <c r="AB626">
        <f>IF(ISBLANK('Data Entry'!$\$626), "", 'Data Entry'!$\$626)</f>
      </c>
      <c r="AC626">
        <f>IF(ISBLANK('Data Entry'!$]$626), "", 'Data Entry'!$]$626)</f>
      </c>
      <c r="AD626">
        <f>IF(ISBLANK('Data Entry'!$^$626), "", 'Data Entry'!$^$626)</f>
      </c>
      <c r="AE626">
        <f>IF(ISBLANK('Data Entry'!$_$626), "", 'Data Entry'!$_$626)</f>
      </c>
      <c r="AF626">
        <f>IF(ISBLANK('Data Entry'!$`$626), "", 'Data Entry'!$`$626)</f>
      </c>
      <c r="AG626">
        <f>IF(ISBLANK('Data Entry'!$a$626), "", 'Data Entry'!$a$626)</f>
      </c>
      <c r="AH626">
        <f>IF(ISBLANK('Data Entry'!$b$626), "", 'Data Entry'!$b$626)</f>
      </c>
      <c r="AI626">
        <f>IF(ISBLANK('Data Entry'!$c$626), "", 'Data Entry'!$c$626)</f>
      </c>
      <c r="AJ626">
        <f>IF(ISBLANK('Data Entry'!$d$626), "", 'Data Entry'!$d$626)</f>
      </c>
      <c r="AK626">
        <f>IF(ISBLANK('Data Entry'!$e$626), "", 'Data Entry'!$e$626)</f>
      </c>
      <c r="AL626">
        <f>IF(ISBLANK('Data Entry'!$f$626), "", 'Data Entry'!$f$626)</f>
      </c>
      <c r="AM626">
        <f>IF(ISBLANK('Data Entry'!$g$626), "", 'Data Entry'!$g$626)</f>
      </c>
      <c r="AN626">
        <f>IF(ISBLANK('Data Entry'!$h$626), "", 'Data Entry'!$h$626)</f>
      </c>
      <c r="AO626">
        <f>IF(ISBLANK('Data Entry'!$i$626), "", 'Data Entry'!$i$626)</f>
      </c>
      <c r="AP626">
        <f>IF(ISBLANK('Data Entry'!$j$626), "", 'Data Entry'!$j$626)</f>
      </c>
      <c r="AQ626">
        <f>IF(ISBLANK('Data Entry'!$k$626), "", 'Data Entry'!$k$626)</f>
      </c>
      <c r="AR626">
        <f>IF(ISBLANK('Data Entry'!$l$626), "", 'Data Entry'!$l$626)</f>
      </c>
      <c r="AS626">
        <f>IF(ISBLANK('Data Entry'!$m$626), "", 'Data Entry'!$m$626)</f>
      </c>
      <c r="AT626">
        <f>IF(ISBLANK('Data Entry'!$n$626), "", 'Data Entry'!$n$626)</f>
      </c>
      <c r="AU626">
        <f>IF(ISBLANK('Data Entry'!$o$626), "", 'Data Entry'!$o$626)</f>
      </c>
      <c r="AV626">
        <f>IF(ISBLANK('Data Entry'!$p$626), "", 'Data Entry'!$p$626)</f>
      </c>
      <c r="AW626">
        <f>IF(ISBLANK('Data Entry'!$q$626), "", 'Data Entry'!$q$626)</f>
      </c>
      <c r="AX626">
        <f>IF(ISBLANK('Data Entry'!$r$626), "", 'Data Entry'!$r$626)</f>
      </c>
      <c r="AY626">
        <f>IF(ISBLANK('Data Entry'!$s$626), "", 'Data Entry'!$s$626)</f>
      </c>
      <c r="AZ626">
        <f>IF(ISBLANK('Data Entry'!$t$626), "", 'Data Entry'!$t$626)</f>
      </c>
      <c r="BA626">
        <f>IF(ISBLANK('Data Entry'!$u$626), "", 'Data Entry'!$u$626)</f>
      </c>
      <c r="BB626">
        <f>IF(ISBLANK('Data Entry'!$v$626), "", 'Data Entry'!$v$626)</f>
      </c>
      <c r="BC626">
        <f>IF(ISBLANK('Data Entry'!$w$626), "", 'Data Entry'!$w$626)</f>
      </c>
      <c r="BD626">
        <f>IF(ISBLANK('Data Entry'!$x$626), "", 'Data Entry'!$x$626)</f>
      </c>
      <c r="BE626">
        <f>IF(ISBLANK('Data Entry'!$y$626), "", 'Data Entry'!$y$626)</f>
      </c>
      <c r="BF626">
        <f>IF(ISBLANK('Data Entry'!$z$626), "", 'Data Entry'!$z$626)</f>
      </c>
      <c r="BG626">
        <f>IF(ISBLANK('Data Entry'!${$626), "", 'Data Entry'!${$626)</f>
      </c>
      <c r="BH626">
        <f>IF(ISBLANK('Data Entry'!$|$626), "", 'Data Entry'!$|$626)</f>
      </c>
      <c r="BI626">
        <f>IF(ISBLANK('Data Entry'!$}$626), "", 'Data Entry'!$}$626)</f>
      </c>
      <c r="BJ626">
        <f>IF(ISBLANK('Data Entry'!$~$626), "", 'Data Entry'!$~$626)</f>
      </c>
      <c r="BK626">
        <f>IF(ISBLANK('Data Entry'!$$626), "", 'Data Entry'!$$626)</f>
      </c>
      <c r="BL626">
        <f>IF(ISBLANK('Data Entry'!$$626), "", 'Data Entry'!$$626)</f>
      </c>
      <c r="BM626">
        <f>IF(ISBLANK('Data Entry'!$$626), "", 'Data Entry'!$$626)</f>
      </c>
      <c r="BN626">
        <f>IF(ISBLANK('Data Entry'!$$626), "", 'Data Entry'!$$626)</f>
      </c>
      <c r="BO626">
        <f>IF(ISBLANK('Data Entry'!$$626), "", 'Data Entry'!$$626)</f>
      </c>
      <c r="BP626">
        <f>IF(ISBLANK('Data Entry'!$$626), "", 'Data Entry'!$$626)</f>
      </c>
      <c r="BQ626">
        <f>IF(ISBLANK('Data Entry'!$$626), "", 'Data Entry'!$$626)</f>
      </c>
      <c r="BR626">
        <f>IF(ISBLANK('Data Entry'!$$626), "", 'Data Entry'!$$626)</f>
      </c>
      <c r="BS626">
        <f>IF(ISBLANK('Data Entry'!$$626), "", 'Data Entry'!$$626)</f>
      </c>
      <c r="BT626">
        <f>IF(ISBLANK('Data Entry'!$$626), "", 'Data Entry'!$$626)</f>
      </c>
      <c r="BU626">
        <f>IF(ISBLANK('Data Entry'!$$626), "", 'Data Entry'!$$626)</f>
      </c>
      <c r="BV626">
        <f>IF(ISBLANK('Data Entry'!$$626), "", 'Data Entry'!$$626)</f>
      </c>
      <c r="BW626">
        <f>IF(ISBLANK('Data Entry'!$$626), "", 'Data Entry'!$$626)</f>
      </c>
      <c r="BX626">
        <f>IF(ISBLANK('Data Entry'!$$626), "", 'Data Entry'!$$626)</f>
      </c>
      <c r="BY626">
        <f>IF(ISBLANK('Data Entry'!$$626), "", 'Data Entry'!$$626)</f>
      </c>
      <c r="BZ626">
        <f>IF(ISBLANK('Data Entry'!$$626), "", 'Data Entry'!$$626)</f>
      </c>
      <c r="CA626">
        <f>IF(ISBLANK('Data Entry'!$$626), "", 'Data Entry'!$$626)</f>
      </c>
      <c r="CB626">
        <f>IF(ISBLANK('Data Entry'!$$626), "", 'Data Entry'!$$626)</f>
      </c>
      <c r="CC626">
        <f>IF(ISBLANK('Data Entry'!$$626), "", 'Data Entry'!$$626)</f>
      </c>
      <c r="CD626">
        <f>IF(ISBLANK('Data Entry'!$$626), "", 'Data Entry'!$$626)</f>
      </c>
      <c r="CE626">
        <f>IF(ISBLANK('Data Entry'!$$626), "", 'Data Entry'!$$626)</f>
      </c>
      <c r="CF626">
        <f>IF(ISBLANK('Data Entry'!$$626), "", 'Data Entry'!$$626)</f>
      </c>
      <c r="CG626">
        <f>IF(ISBLANK('Data Entry'!$$626), "", 'Data Entry'!$$626)</f>
      </c>
      <c r="CH626">
        <f>IF(ISBLANK('Data Entry'!$$626), "", 'Data Entry'!$$626)</f>
      </c>
      <c r="CI626">
        <f>IF(ISBLANK('Data Entry'!$$626), "", 'Data Entry'!$$626)</f>
      </c>
      <c r="CJ626">
        <f>IF(ISBLANK('Data Entry'!$$626), "", 'Data Entry'!$$626)</f>
      </c>
      <c r="CK626">
        <f>IF(ISBLANK('Data Entry'!$$626), "", 'Data Entry'!$$626)</f>
      </c>
      <c r="CL626">
        <f>IF(ISBLANK('Data Entry'!$$626), "", 'Data Entry'!$$626)</f>
      </c>
      <c r="CM626">
        <f>IF(ISBLANK('Data Entry'!$$626), "", 'Data Entry'!$$626)</f>
      </c>
      <c r="CN626">
        <f>IF(ISBLANK('Data Entry'!$$626), "", 'Data Entry'!$$626)</f>
      </c>
      <c r="CO626">
        <f>IF(ISBLANK('Data Entry'!$$626), "", 'Data Entry'!$$626)</f>
      </c>
      <c r="CP626">
        <f>IF(ISBLANK('Data Entry'!$$626), "", 'Data Entry'!$$626)</f>
      </c>
      <c r="CQ626">
        <f>IF(ISBLANK('Data Entry'!$$626), "", 'Data Entry'!$$626)</f>
      </c>
      <c r="CR626">
        <f>IF(ISBLANK('Data Entry'!$ $626), "", 'Data Entry'!$ $626)</f>
      </c>
      <c r="CS626">
        <f>IF(ISBLANK('Data Entry'!$¡$626), "", 'Data Entry'!$¡$626)</f>
      </c>
      <c r="CT626">
        <f>IF(ISBLANK('Data Entry'!$¢$626), "", 'Data Entry'!$¢$626)</f>
      </c>
      <c r="CU626">
        <f>IF(ISBLANK('Data Entry'!$£$626), "", 'Data Entry'!$£$626)</f>
      </c>
      <c r="CV626">
        <f>IF(ISBLANK('Data Entry'!$¤$626), "", 'Data Entry'!$¤$626)</f>
      </c>
      <c r="CW626">
        <f>IF(ISBLANK('Data Entry'!$¥$626), "", 'Data Entry'!$¥$626)</f>
      </c>
      <c r="CX626">
        <f>IF(ISBLANK('Data Entry'!$¦$626), "", 'Data Entry'!$¦$626)</f>
      </c>
      <c r="CY626">
        <f>IF(ISBLANK('Data Entry'!$§$626), "", 'Data Entry'!$§$626)</f>
      </c>
      <c r="CZ626">
        <f>IF(ISBLANK('Data Entry'!$¨$626), "", 'Data Entry'!$¨$626)</f>
      </c>
      <c r="DA626">
        <f>IF(ISBLANK('Data Entry'!$©$626), "", 'Data Entry'!$©$626)</f>
      </c>
      <c r="DB626">
        <f>IF(ISBLANK('Data Entry'!$ª$626), "", 'Data Entry'!$ª$626)</f>
      </c>
      <c r="DC626">
        <f>IF(ISBLANK('Data Entry'!$«$626), "", 'Data Entry'!$«$626)</f>
      </c>
      <c r="DD626">
        <f>IF(ISBLANK('Data Entry'!$¬$626), "", 'Data Entry'!$¬$626)</f>
      </c>
      <c r="DE626">
        <f>IF(ISBLANK('Data Entry'!$­$626), "", 'Data Entry'!$­$626)</f>
      </c>
      <c r="DF626">
        <f>IF(ISBLANK('Data Entry'!$®$626), "", 'Data Entry'!$®$626)</f>
      </c>
      <c r="DG626">
        <f>IF(ISBLANK('Data Entry'!$¯$626), "", 'Data Entry'!$¯$626)</f>
      </c>
      <c r="DH626">
        <f>IF(ISBLANK('Data Entry'!$°$626), "", 'Data Entry'!$°$626)</f>
      </c>
      <c r="DI626">
        <f>IF(ISBLANK('Data Entry'!$±$626), "", 'Data Entry'!$±$626)</f>
      </c>
      <c r="DJ626">
        <f>IF(ISBLANK('Data Entry'!$²$626), "", 'Data Entry'!$²$626)</f>
      </c>
      <c r="DK626">
        <f>IF(ISBLANK('Data Entry'!$³$626), "", 'Data Entry'!$³$626)</f>
      </c>
      <c r="DL626">
        <f>IF(ISBLANK('Data Entry'!$´$626), "", 'Data Entry'!$´$626)</f>
      </c>
      <c r="DM626">
        <f>IF(ISBLANK('Data Entry'!$µ$626), "", 'Data Entry'!$µ$626)</f>
      </c>
      <c r="DN626">
        <f>IF(ISBLANK('Data Entry'!$¶$626), "", 'Data Entry'!$¶$626)</f>
      </c>
      <c r="DO626">
        <f>IF(ISBLANK('Data Entry'!$·$626), "", 'Data Entry'!$·$626)</f>
      </c>
      <c r="DP626">
        <f>IF(ISBLANK('Data Entry'!$¸$626), "", 'Data Entry'!$¸$626)</f>
      </c>
      <c r="DQ626">
        <f>IF(ISBLANK('Data Entry'!$¹$626), "", 'Data Entry'!$¹$626)</f>
      </c>
      <c r="DR626">
        <f>IF(ISBLANK('Data Entry'!$º$626), "", 'Data Entry'!$º$626)</f>
      </c>
      <c r="DS626">
        <f>IF(ISBLANK('Data Entry'!$»$626), "", 'Data Entry'!$»$626)</f>
      </c>
      <c r="DT626">
        <f>IF(ISBLANK('Data Entry'!$¼$626), "", 'Data Entry'!$¼$626)</f>
      </c>
      <c r="DU626">
        <f>IF(ISBLANK('Data Entry'!$½$626), "", 'Data Entry'!$½$626)</f>
      </c>
      <c r="DV626">
        <f>IF(ISBLANK('Data Entry'!$¾$626), "", 'Data Entry'!$¾$626)</f>
      </c>
      <c r="DW626">
        <f>IF(ISBLANK('Data Entry'!$¿$626), "", 'Data Entry'!$¿$626)</f>
      </c>
      <c r="DX626">
        <f>IF(ISBLANK('Data Entry'!$À$626), "", 'Data Entry'!$À$626)</f>
      </c>
      <c r="DY626">
        <f>IF(ISBLANK('Data Entry'!$Á$626), "", 'Data Entry'!$Á$626)</f>
      </c>
      <c r="DZ626">
        <f>IF(ISBLANK('Data Entry'!$Â$626), "", 'Data Entry'!$Â$626)</f>
      </c>
      <c r="EA626">
        <f>IF(ISBLANK('Data Entry'!$Ã$626), "", 'Data Entry'!$Ã$626)</f>
      </c>
      <c r="EB626">
        <f>IF(ISBLANK('Data Entry'!$Ä$626), "", 'Data Entry'!$Ä$626)</f>
      </c>
      <c r="EC626">
        <f>IF(ISBLANK('Data Entry'!$Å$626), "", 'Data Entry'!$Å$626)</f>
      </c>
      <c r="ED626">
        <f>IF(ISBLANK('Data Entry'!$Æ$626), "", 'Data Entry'!$Æ$626)</f>
      </c>
      <c r="EE626">
        <f>IF(ISBLANK('Data Entry'!$Ç$626), "", 'Data Entry'!$Ç$626)</f>
      </c>
      <c r="EF626">
        <f>IF(ISBLANK('Data Entry'!$È$626), "", 'Data Entry'!$È$626)</f>
      </c>
      <c r="EG626">
        <f>IF(ISBLANK('Data Entry'!$É$626), "", 'Data Entry'!$É$626)</f>
      </c>
      <c r="EH626">
        <f>IF(ISBLANK('Data Entry'!$Ê$626), "", 'Data Entry'!$Ê$626)</f>
      </c>
      <c r="EI626">
        <f>IF(ISBLANK('Data Entry'!$Ë$626), "", 'Data Entry'!$Ë$626)</f>
      </c>
      <c r="EJ626">
        <f>IF(ISBLANK('Data Entry'!$Ì$626), "", 'Data Entry'!$Ì$626)</f>
      </c>
      <c r="EK626">
        <f>IF(ISBLANK('Data Entry'!$Í$626), "", 'Data Entry'!$Í$626)</f>
      </c>
      <c r="EL626">
        <f>IF(ISBLANK('Data Entry'!$Î$626), "", 'Data Entry'!$Î$626)</f>
      </c>
      <c r="EM626">
        <f>IF(ISBLANK('Data Entry'!$Ï$626), "", 'Data Entry'!$Ï$626)</f>
      </c>
      <c r="EN626">
        <f>IF(ISBLANK('Data Entry'!$Ð$626), "", 'Data Entry'!$Ð$626)</f>
      </c>
      <c r="EO626">
        <f>IF(ISBLANK('Data Entry'!$Ñ$626), "", 'Data Entry'!$Ñ$626)</f>
      </c>
      <c r="EP626">
        <f>IF(ISBLANK('Data Entry'!$Ò$626), "", 'Data Entry'!$Ò$626)</f>
      </c>
      <c r="EQ626">
        <f>IF(ISBLANK('Data Entry'!$Ó$626), "", 'Data Entry'!$Ó$626)</f>
      </c>
      <c r="ER626">
        <f>IF(ISBLANK('Data Entry'!$Ô$626), "", 'Data Entry'!$Ô$626)</f>
      </c>
      <c r="ES626">
        <f>IF(ISBLANK('Data Entry'!$Õ$626), "", 'Data Entry'!$Õ$626)</f>
      </c>
      <c r="ET626">
        <f>IF(ISBLANK('Data Entry'!$Ö$626), "", 'Data Entry'!$Ö$626)</f>
      </c>
      <c r="EU626">
        <f>IF(ISBLANK('Data Entry'!$×$626), "", 'Data Entry'!$×$626)</f>
      </c>
      <c r="EV626">
        <f>IF(ISBLANK('Data Entry'!$Ø$626), "", 'Data Entry'!$Ø$626)</f>
      </c>
      <c r="EW626">
        <f>IF(ISBLANK('Data Entry'!$Ù$626), "", 'Data Entry'!$Ù$626)</f>
      </c>
      <c r="EX626">
        <f>IF(ISBLANK('Data Entry'!$Ú$626), "", 'Data Entry'!$Ú$626)</f>
      </c>
      <c r="EY626">
        <f>IF(ISBLANK('Data Entry'!$Û$626), "", 'Data Entry'!$Û$626)</f>
      </c>
      <c r="EZ626">
        <f>IF(ISBLANK('Data Entry'!$Ü$626), "", 'Data Entry'!$Ü$626)</f>
      </c>
      <c r="FA626">
        <f>IF(ISBLANK('Data Entry'!$Ý$626), "", 'Data Entry'!$Ý$626)</f>
      </c>
      <c r="FB626">
        <f>IF(ISBLANK('Data Entry'!$Þ$626), "", 'Data Entry'!$Þ$626)</f>
      </c>
      <c r="FC626">
        <f>IF(ISBLANK('Data Entry'!$ß$626), "", 'Data Entry'!$ß$626)</f>
      </c>
      <c r="FD626">
        <f>IF(ISBLANK('Data Entry'!$à$626), "", 'Data Entry'!$à$626)</f>
      </c>
      <c r="FE626">
        <f>IF(ISBLANK('Data Entry'!$á$626), "", 'Data Entry'!$á$626)</f>
      </c>
      <c r="FF626">
        <f>IF(ISBLANK('Data Entry'!$â$626), "", 'Data Entry'!$â$626)</f>
      </c>
      <c r="FG626">
        <f>IF(ISBLANK('Data Entry'!$ã$626), "", 'Data Entry'!$ã$626)</f>
      </c>
      <c r="FH626">
        <f>IF(ISBLANK('Data Entry'!$ä$626), "", 'Data Entry'!$ä$626)</f>
      </c>
      <c r="FI626">
        <f>IF(ISBLANK('Data Entry'!$å$626), "", 'Data Entry'!$å$626)</f>
      </c>
      <c r="FJ626">
        <f>IF(ISBLANK('Data Entry'!$æ$626), "", 'Data Entry'!$æ$626)</f>
      </c>
      <c r="FK626">
        <f>IF(ISBLANK('Data Entry'!$ç$626), "", 'Data Entry'!$ç$626)</f>
      </c>
      <c r="FL626">
        <f>IF(ISBLANK('Data Entry'!$è$626), "", 'Data Entry'!$è$626)</f>
      </c>
      <c r="FM626">
        <f>IF(ISBLANK('Data Entry'!$é$626), "", 'Data Entry'!$é$626)</f>
      </c>
      <c r="FN626">
        <f>IF(ISBLANK('Data Entry'!$ê$626), "", 'Data Entry'!$ê$626)</f>
      </c>
      <c r="FO626">
        <f>IF(ISBLANK('Data Entry'!$ë$626), "", 'Data Entry'!$ë$626)</f>
      </c>
      <c r="FP626">
        <f>IF(ISBLANK('Data Entry'!$ì$626), "", 'Data Entry'!$ì$626)</f>
      </c>
      <c r="FQ626">
        <f>IF(ISBLANK('Data Entry'!$í$626), "", 'Data Entry'!$í$626)</f>
      </c>
      <c r="FR626">
        <f>IF(ISBLANK('Data Entry'!$î$626), "", 'Data Entry'!$î$626)</f>
      </c>
      <c r="FS626">
        <f>IF(ISBLANK('Data Entry'!$ï$626), "", 'Data Entry'!$ï$626)</f>
      </c>
      <c r="FT626">
        <f>IF(ISBLANK('Data Entry'!$ð$626), "", 'Data Entry'!$ð$626)</f>
      </c>
      <c r="FU626">
        <f>IF(ISBLANK('Data Entry'!$ñ$626), "", 'Data Entry'!$ñ$626)</f>
      </c>
      <c r="FV626">
        <f>IF(ISBLANK('Data Entry'!$ò$626), "", 'Data Entry'!$ò$626)</f>
      </c>
      <c r="FW626">
        <f>IF(ISBLANK('Data Entry'!$ó$626), "", 'Data Entry'!$ó$626)</f>
      </c>
      <c r="FX626">
        <f>IF(ISBLANK('Data Entry'!$ô$626), "", 'Data Entry'!$ô$626)</f>
      </c>
      <c r="FY626">
        <f>IF(ISBLANK('Data Entry'!$õ$626), "", 'Data Entry'!$õ$626)</f>
      </c>
      <c r="FZ626">
        <f>IF(ISBLANK('Data Entry'!$ö$626), "", 'Data Entry'!$ö$626)</f>
      </c>
      <c r="GA626">
        <f>IF(ISBLANK('Data Entry'!$÷$626), "", 'Data Entry'!$÷$626)</f>
      </c>
      <c r="GB626">
        <f>IF(ISBLANK('Data Entry'!$ø$626), "", 'Data Entry'!$ø$626)</f>
      </c>
      <c r="GC626">
        <f>IF(ISBLANK('Data Entry'!$ù$626), "", 'Data Entry'!$ù$626)</f>
      </c>
      <c r="GD626">
        <f>IF(ISBLANK('Data Entry'!$ú$626), "", 'Data Entry'!$ú$626)</f>
      </c>
      <c r="GE626">
        <f>IF(ISBLANK('Data Entry'!$û$626), "", 'Data Entry'!$û$626)</f>
      </c>
      <c r="GF626">
        <f>IF(ISBLANK('Data Entry'!$ü$626), "", 'Data Entry'!$ü$626)</f>
      </c>
      <c r="GG626">
        <f>IF(ISBLANK('Data Entry'!$ý$626), "", 'Data Entry'!$ý$626)</f>
      </c>
      <c r="GH626">
        <f>IF(ISBLANK('Data Entry'!$þ$626), "", 'Data Entry'!$þ$626)</f>
      </c>
      <c r="GI626">
        <f>IF(ISBLANK('Data Entry'!$ÿ$626), "", 'Data Entry'!$ÿ$626)</f>
      </c>
      <c r="GJ626">
        <f>IF(ISBLANK('Data Entry'!$Ā$626), "", 'Data Entry'!$Ā$626)</f>
      </c>
      <c r="GK626">
        <f>IF(ISBLANK('Data Entry'!$ā$626), "", 'Data Entry'!$ā$626)</f>
      </c>
      <c r="GL626">
        <f>IF(ISBLANK('Data Entry'!$Ă$626), "", 'Data Entry'!$Ă$626)</f>
      </c>
      <c r="GM626">
        <f>IF(ISBLANK('Data Entry'!$ă$626), "", 'Data Entry'!$ă$626)</f>
      </c>
      <c r="GN626">
        <f>IF(ISBLANK('Data Entry'!$Ą$626), "", 'Data Entry'!$Ą$626)</f>
      </c>
      <c r="GO626">
        <f>IF(ISBLANK('Data Entry'!$ą$626), "", 'Data Entry'!$ą$626)</f>
      </c>
      <c r="GP626">
        <f>IF(ISBLANK('Data Entry'!$Ć$626), "", 'Data Entry'!$Ć$626)</f>
      </c>
      <c r="GQ626">
        <f>IF(ISBLANK('Data Entry'!$ć$626), "", 'Data Entry'!$ć$626)</f>
      </c>
      <c r="GR626">
        <f>IF(ISBLANK('Data Entry'!$Ĉ$626), "", 'Data Entry'!$Ĉ$626)</f>
      </c>
      <c r="GS626">
        <f>IF(ISBLANK('Data Entry'!$ĉ$626), "", 'Data Entry'!$ĉ$626)</f>
      </c>
      <c r="GT626">
        <f>IF(ISBLANK('Data Entry'!$Ċ$626), "", 'Data Entry'!$Ċ$626)</f>
      </c>
      <c r="GU626">
        <f>IF(ISBLANK('Data Entry'!$ċ$626), "", 'Data Entry'!$ċ$626)</f>
      </c>
      <c r="GV626">
        <f>IF(ISBLANK('Data Entry'!$Č$626), "", 'Data Entry'!$Č$626)</f>
      </c>
      <c r="GW626">
        <f>IF(ISBLANK('Data Entry'!$č$626), "", 'Data Entry'!$č$626)</f>
      </c>
      <c r="GX626">
        <f>IF(ISBLANK('Data Entry'!$Ď$626), "", 'Data Entry'!$Ď$626)</f>
      </c>
      <c r="GY626">
        <f>IF(ISBLANK('Data Entry'!$ď$626), "", 'Data Entry'!$ď$626)</f>
      </c>
      <c r="GZ626">
        <f>IF(ISBLANK('Data Entry'!$Đ$626), "", 'Data Entry'!$Đ$626)</f>
      </c>
      <c r="HA626">
        <f>IF(ISBLANK('Data Entry'!$đ$626), "", 'Data Entry'!$đ$626)</f>
      </c>
      <c r="HB626">
        <f>IF(ISBLANK('Data Entry'!$Ē$626), "", 'Data Entry'!$Ē$626)</f>
      </c>
      <c r="HC626">
        <f>IF(ISBLANK('Data Entry'!$ē$626), "", 'Data Entry'!$ē$626)</f>
      </c>
      <c r="HD626">
        <f>IF(ISBLANK('Data Entry'!$Ĕ$626), "", 'Data Entry'!$Ĕ$626)</f>
      </c>
      <c r="HE626">
        <f>IF(ISBLANK('Data Entry'!$ĕ$626), "", 'Data Entry'!$ĕ$626)</f>
      </c>
      <c r="HF626">
        <f>IF(ISBLANK('Data Entry'!$Ė$626), "", 'Data Entry'!$Ė$626)</f>
      </c>
      <c r="HG626">
        <f>IF(ISBLANK('Data Entry'!$ė$626), "", 'Data Entry'!$ė$626)</f>
      </c>
      <c r="HH626">
        <f>IF(ISBLANK('Data Entry'!$Ę$626), "", 'Data Entry'!$Ę$626)</f>
      </c>
      <c r="HI626">
        <f>IF(ISBLANK('Data Entry'!$ę$626), "", 'Data Entry'!$ę$626)</f>
      </c>
      <c r="HJ626">
        <f>IF(ISBLANK('Data Entry'!$Ě$626), "", 'Data Entry'!$Ě$626)</f>
      </c>
      <c r="HK626">
        <f>IF(ISBLANK('Data Entry'!$ě$626), "", 'Data Entry'!$ě$626)</f>
      </c>
      <c r="HL626">
        <f>IF(ISBLANK('Data Entry'!$Ĝ$626), "", 'Data Entry'!$Ĝ$626)</f>
      </c>
      <c r="HM626">
        <f>IF(ISBLANK('Data Entry'!$ĝ$626), "", 'Data Entry'!$ĝ$626)</f>
      </c>
      <c r="HN626">
        <f>IF(ISBLANK('Data Entry'!$Ğ$626), "", 'Data Entry'!$Ğ$626)</f>
      </c>
      <c r="HO626">
        <f>IF(ISBLANK('Data Entry'!$ğ$626), "", 'Data Entry'!$ğ$626)</f>
      </c>
      <c r="HP626">
        <f>IF(ISBLANK('Data Entry'!$Ġ$626), "", 'Data Entry'!$Ġ$626)</f>
      </c>
      <c r="HQ626">
        <f>IF(ISBLANK('Data Entry'!$ġ$626), "", 'Data Entry'!$ġ$626)</f>
      </c>
      <c r="HR626">
        <f>IF(ISBLANK('Data Entry'!$Ģ$626), "", 'Data Entry'!$Ģ$626)</f>
      </c>
      <c r="HS626">
        <f>IF(ISBLANK('Data Entry'!$ģ$626), "", 'Data Entry'!$ģ$626)</f>
      </c>
      <c r="HT626">
        <f>IF(ISBLANK('Data Entry'!$Ĥ$626), "", 'Data Entry'!$Ĥ$626)</f>
      </c>
      <c r="HU626">
        <f>IF(ISBLANK('Data Entry'!$ĥ$626), "", 'Data Entry'!$ĥ$626)</f>
      </c>
      <c r="HV626">
        <f>IF(ISBLANK('Data Entry'!$Ħ$626), "", 'Data Entry'!$Ħ$626)</f>
      </c>
      <c r="HW626">
        <f>IF(ISBLANK('Data Entry'!$ħ$626), "", 'Data Entry'!$ħ$626)</f>
      </c>
      <c r="HX626">
        <f>IF(ISBLANK('Data Entry'!$Ĩ$626), "", 'Data Entry'!$Ĩ$626)</f>
      </c>
      <c r="HY626">
        <f>IF(ISBLANK('Data Entry'!$ĩ$626), "", 'Data Entry'!$ĩ$626)</f>
      </c>
      <c r="HZ626">
        <f>IF(ISBLANK('Data Entry'!$Ī$626), "", 'Data Entry'!$Ī$626)</f>
      </c>
      <c r="IA626">
        <f>IF(ISBLANK('Data Entry'!$ī$626), "", 'Data Entry'!$ī$626)</f>
      </c>
      <c r="IB626">
        <f>IF(ISBLANK('Data Entry'!$Ĭ$626), "", 'Data Entry'!$Ĭ$626)</f>
      </c>
      <c r="IC626">
        <f>IF(ISBLANK('Data Entry'!$ĭ$626), "", 'Data Entry'!$ĭ$626)</f>
      </c>
      <c r="ID626">
        <f>IF(ISBLANK('Data Entry'!$Į$626), "", 'Data Entry'!$Į$626)</f>
      </c>
      <c r="IE626">
        <f>IF(ISBLANK('Data Entry'!$į$626), "", 'Data Entry'!$į$626)</f>
      </c>
      <c r="IF626">
        <f>IF(ISBLANK('Data Entry'!$İ$626), "", 'Data Entry'!$İ$626)</f>
      </c>
      <c r="IG626">
        <f>IF(ISBLANK('Data Entry'!$ı$626), "", 'Data Entry'!$ı$626)</f>
      </c>
      <c r="IH626">
        <f>IF(ISBLANK('Data Entry'!$Ĳ$626), "", 'Data Entry'!$Ĳ$626)</f>
      </c>
      <c r="II626">
        <f>IF(ISBLANK('Data Entry'!$ĳ$626), "", 'Data Entry'!$ĳ$626)</f>
      </c>
      <c r="IJ626">
        <f>IF(ISBLANK('Data Entry'!$Ĵ$626), "", 'Data Entry'!$Ĵ$626)</f>
      </c>
      <c r="IK626">
        <f>IF(ISBLANK('Data Entry'!$ĵ$626), "", 'Data Entry'!$ĵ$626)</f>
      </c>
      <c r="IL626">
        <f>IF(ISBLANK('Data Entry'!$Ķ$626), "", 'Data Entry'!$Ķ$626)</f>
      </c>
      <c r="IM626">
        <f>IF(ISBLANK('Data Entry'!$ķ$626), "", 'Data Entry'!$ķ$626)</f>
      </c>
      <c r="IN626">
        <f>IF(ISBLANK('Data Entry'!$ĸ$626), "", 'Data Entry'!$ĸ$626)</f>
      </c>
      <c r="IO626">
        <f>IF(ISBLANK('Data Entry'!$Ĺ$626), "", 'Data Entry'!$Ĺ$626)</f>
      </c>
      <c r="IP626">
        <f>IF(ISBLANK('Data Entry'!$ĺ$626), "", 'Data Entry'!$ĺ$626)</f>
      </c>
      <c r="IQ626">
        <f>IF(ISBLANK('Data Entry'!$Ļ$626), "", 'Data Entry'!$Ļ$626)</f>
      </c>
      <c r="IR626">
        <f>IF(ISBLANK('Data Entry'!$ļ$626), "", 'Data Entry'!$ļ$626)</f>
      </c>
      <c r="IS626">
        <f>IF(ISBLANK('Data Entry'!$Ľ$626), "", 'Data Entry'!$Ľ$626)</f>
      </c>
      <c r="IT626">
        <f>IF(ISBLANK('Data Entry'!$ľ$626), "", 'Data Entry'!$ľ$626)</f>
      </c>
    </row>
    <row r="627" spans="1:254" x14ac:dyDescent="0.25">
      <c r="A627">
        <f>IF(ISBLANK('Data Entry'!$A$627), "", 'Data Entry'!$A$627)</f>
      </c>
      <c r="B627">
        <f>IF(ISBLANK('Data Entry'!$B$627), "", 'Data Entry'!$B$627)</f>
      </c>
      <c r="C627">
        <f>IF(ISBLANK('Data Entry'!$C$627), "", 'Data Entry'!$C$627)</f>
      </c>
      <c r="D627">
        <f>IF(ISBLANK('Data Entry'!$D$627), "", 'Data Entry'!$D$627)</f>
      </c>
      <c r="E627">
        <f>IF(ISBLANK('Data Entry'!$E$627), "", 'Data Entry'!$E$627)</f>
      </c>
      <c r="F627">
        <f>IF(ISBLANK('Data Entry'!$F$627), "", 'Data Entry'!$F$627)</f>
      </c>
      <c r="G627">
        <f>IF(ISBLANK('Data Entry'!$G$627), "", 'Data Entry'!$G$627)</f>
      </c>
      <c r="H627">
        <f>IF(ISBLANK('Data Entry'!$H$627), "", 'Data Entry'!$H$627)</f>
      </c>
      <c r="I627">
        <f>IF(ISBLANK('Data Entry'!$I$627), "", 'Data Entry'!$I$627)</f>
      </c>
      <c r="J627">
        <f>IF(ISBLANK('Data Entry'!$J$627), "", 'Data Entry'!$J$627)</f>
      </c>
      <c r="K627">
        <f>IF(ISBLANK('Data Entry'!$K$627), "", 'Data Entry'!$K$627)</f>
      </c>
      <c r="L627">
        <f>IF(ISBLANK('Data Entry'!$L$627), "", 'Data Entry'!$L$627)</f>
      </c>
      <c r="M627">
        <f>IF(ISBLANK('Data Entry'!$M$627), "", 'Data Entry'!$M$627)</f>
      </c>
      <c r="N627">
        <f>IF(ISBLANK('Data Entry'!$N$627), "", 'Data Entry'!$N$627)</f>
      </c>
      <c r="O627">
        <f>IF(ISBLANK('Data Entry'!$O$627), "", 'Data Entry'!$O$627)</f>
      </c>
      <c r="P627">
        <f>IF(ISBLANK('Data Entry'!$P$627), "", 'Data Entry'!$P$627)</f>
      </c>
      <c r="Q627">
        <f>IF(ISBLANK('Data Entry'!$Q$627), "", 'Data Entry'!$Q$627)</f>
      </c>
      <c r="R627">
        <f>IF(ISBLANK('Data Entry'!$R$627), "", 'Data Entry'!$R$627)</f>
      </c>
      <c r="S627">
        <f>IF(ISBLANK('Data Entry'!$S$627), "", 'Data Entry'!$S$627)</f>
      </c>
      <c r="T627">
        <f>IF(ISBLANK('Data Entry'!$T$627), "", 'Data Entry'!$T$627)</f>
      </c>
      <c r="U627">
        <f>IF(ISBLANK('Data Entry'!$U$627), "", 'Data Entry'!$U$627)</f>
      </c>
      <c r="V627">
        <f>IF(ISBLANK('Data Entry'!$V$627), "", 'Data Entry'!$V$627)</f>
      </c>
      <c r="W627">
        <f>IF(ISBLANK('Data Entry'!$W$627), "", 'Data Entry'!$W$627)</f>
      </c>
      <c r="X627">
        <f>IF(ISBLANK('Data Entry'!$X$627), "", 'Data Entry'!$X$627)</f>
      </c>
      <c r="Y627">
        <f>IF(ISBLANK('Data Entry'!$Y$627), "", 'Data Entry'!$Y$627)</f>
      </c>
      <c r="Z627">
        <f>IF(ISBLANK('Data Entry'!$Z$627), "", 'Data Entry'!$Z$627)</f>
      </c>
      <c r="AA627">
        <f>IF(ISBLANK('Data Entry'!$[$627), "", 'Data Entry'!$[$627)</f>
      </c>
      <c r="AB627">
        <f>IF(ISBLANK('Data Entry'!$\$627), "", 'Data Entry'!$\$627)</f>
      </c>
      <c r="AC627">
        <f>IF(ISBLANK('Data Entry'!$]$627), "", 'Data Entry'!$]$627)</f>
      </c>
      <c r="AD627">
        <f>IF(ISBLANK('Data Entry'!$^$627), "", 'Data Entry'!$^$627)</f>
      </c>
      <c r="AE627">
        <f>IF(ISBLANK('Data Entry'!$_$627), "", 'Data Entry'!$_$627)</f>
      </c>
      <c r="AF627">
        <f>IF(ISBLANK('Data Entry'!$`$627), "", 'Data Entry'!$`$627)</f>
      </c>
      <c r="AG627">
        <f>IF(ISBLANK('Data Entry'!$a$627), "", 'Data Entry'!$a$627)</f>
      </c>
      <c r="AH627">
        <f>IF(ISBLANK('Data Entry'!$b$627), "", 'Data Entry'!$b$627)</f>
      </c>
      <c r="AI627">
        <f>IF(ISBLANK('Data Entry'!$c$627), "", 'Data Entry'!$c$627)</f>
      </c>
      <c r="AJ627">
        <f>IF(ISBLANK('Data Entry'!$d$627), "", 'Data Entry'!$d$627)</f>
      </c>
      <c r="AK627">
        <f>IF(ISBLANK('Data Entry'!$e$627), "", 'Data Entry'!$e$627)</f>
      </c>
      <c r="AL627">
        <f>IF(ISBLANK('Data Entry'!$f$627), "", 'Data Entry'!$f$627)</f>
      </c>
      <c r="AM627">
        <f>IF(ISBLANK('Data Entry'!$g$627), "", 'Data Entry'!$g$627)</f>
      </c>
      <c r="AN627">
        <f>IF(ISBLANK('Data Entry'!$h$627), "", 'Data Entry'!$h$627)</f>
      </c>
      <c r="AO627">
        <f>IF(ISBLANK('Data Entry'!$i$627), "", 'Data Entry'!$i$627)</f>
      </c>
      <c r="AP627">
        <f>IF(ISBLANK('Data Entry'!$j$627), "", 'Data Entry'!$j$627)</f>
      </c>
      <c r="AQ627">
        <f>IF(ISBLANK('Data Entry'!$k$627), "", 'Data Entry'!$k$627)</f>
      </c>
      <c r="AR627">
        <f>IF(ISBLANK('Data Entry'!$l$627), "", 'Data Entry'!$l$627)</f>
      </c>
      <c r="AS627">
        <f>IF(ISBLANK('Data Entry'!$m$627), "", 'Data Entry'!$m$627)</f>
      </c>
      <c r="AT627">
        <f>IF(ISBLANK('Data Entry'!$n$627), "", 'Data Entry'!$n$627)</f>
      </c>
      <c r="AU627">
        <f>IF(ISBLANK('Data Entry'!$o$627), "", 'Data Entry'!$o$627)</f>
      </c>
      <c r="AV627">
        <f>IF(ISBLANK('Data Entry'!$p$627), "", 'Data Entry'!$p$627)</f>
      </c>
      <c r="AW627">
        <f>IF(ISBLANK('Data Entry'!$q$627), "", 'Data Entry'!$q$627)</f>
      </c>
      <c r="AX627">
        <f>IF(ISBLANK('Data Entry'!$r$627), "", 'Data Entry'!$r$627)</f>
      </c>
      <c r="AY627">
        <f>IF(ISBLANK('Data Entry'!$s$627), "", 'Data Entry'!$s$627)</f>
      </c>
      <c r="AZ627">
        <f>IF(ISBLANK('Data Entry'!$t$627), "", 'Data Entry'!$t$627)</f>
      </c>
      <c r="BA627">
        <f>IF(ISBLANK('Data Entry'!$u$627), "", 'Data Entry'!$u$627)</f>
      </c>
      <c r="BB627">
        <f>IF(ISBLANK('Data Entry'!$v$627), "", 'Data Entry'!$v$627)</f>
      </c>
      <c r="BC627">
        <f>IF(ISBLANK('Data Entry'!$w$627), "", 'Data Entry'!$w$627)</f>
      </c>
      <c r="BD627">
        <f>IF(ISBLANK('Data Entry'!$x$627), "", 'Data Entry'!$x$627)</f>
      </c>
      <c r="BE627">
        <f>IF(ISBLANK('Data Entry'!$y$627), "", 'Data Entry'!$y$627)</f>
      </c>
      <c r="BF627">
        <f>IF(ISBLANK('Data Entry'!$z$627), "", 'Data Entry'!$z$627)</f>
      </c>
      <c r="BG627">
        <f>IF(ISBLANK('Data Entry'!${$627), "", 'Data Entry'!${$627)</f>
      </c>
      <c r="BH627">
        <f>IF(ISBLANK('Data Entry'!$|$627), "", 'Data Entry'!$|$627)</f>
      </c>
      <c r="BI627">
        <f>IF(ISBLANK('Data Entry'!$}$627), "", 'Data Entry'!$}$627)</f>
      </c>
      <c r="BJ627">
        <f>IF(ISBLANK('Data Entry'!$~$627), "", 'Data Entry'!$~$627)</f>
      </c>
      <c r="BK627">
        <f>IF(ISBLANK('Data Entry'!$$627), "", 'Data Entry'!$$627)</f>
      </c>
      <c r="BL627">
        <f>IF(ISBLANK('Data Entry'!$$627), "", 'Data Entry'!$$627)</f>
      </c>
      <c r="BM627">
        <f>IF(ISBLANK('Data Entry'!$$627), "", 'Data Entry'!$$627)</f>
      </c>
      <c r="BN627">
        <f>IF(ISBLANK('Data Entry'!$$627), "", 'Data Entry'!$$627)</f>
      </c>
      <c r="BO627">
        <f>IF(ISBLANK('Data Entry'!$$627), "", 'Data Entry'!$$627)</f>
      </c>
      <c r="BP627">
        <f>IF(ISBLANK('Data Entry'!$$627), "", 'Data Entry'!$$627)</f>
      </c>
      <c r="BQ627">
        <f>IF(ISBLANK('Data Entry'!$$627), "", 'Data Entry'!$$627)</f>
      </c>
      <c r="BR627">
        <f>IF(ISBLANK('Data Entry'!$$627), "", 'Data Entry'!$$627)</f>
      </c>
      <c r="BS627">
        <f>IF(ISBLANK('Data Entry'!$$627), "", 'Data Entry'!$$627)</f>
      </c>
      <c r="BT627">
        <f>IF(ISBLANK('Data Entry'!$$627), "", 'Data Entry'!$$627)</f>
      </c>
      <c r="BU627">
        <f>IF(ISBLANK('Data Entry'!$$627), "", 'Data Entry'!$$627)</f>
      </c>
      <c r="BV627">
        <f>IF(ISBLANK('Data Entry'!$$627), "", 'Data Entry'!$$627)</f>
      </c>
      <c r="BW627">
        <f>IF(ISBLANK('Data Entry'!$$627), "", 'Data Entry'!$$627)</f>
      </c>
      <c r="BX627">
        <f>IF(ISBLANK('Data Entry'!$$627), "", 'Data Entry'!$$627)</f>
      </c>
      <c r="BY627">
        <f>IF(ISBLANK('Data Entry'!$$627), "", 'Data Entry'!$$627)</f>
      </c>
      <c r="BZ627">
        <f>IF(ISBLANK('Data Entry'!$$627), "", 'Data Entry'!$$627)</f>
      </c>
      <c r="CA627">
        <f>IF(ISBLANK('Data Entry'!$$627), "", 'Data Entry'!$$627)</f>
      </c>
      <c r="CB627">
        <f>IF(ISBLANK('Data Entry'!$$627), "", 'Data Entry'!$$627)</f>
      </c>
      <c r="CC627">
        <f>IF(ISBLANK('Data Entry'!$$627), "", 'Data Entry'!$$627)</f>
      </c>
      <c r="CD627">
        <f>IF(ISBLANK('Data Entry'!$$627), "", 'Data Entry'!$$627)</f>
      </c>
      <c r="CE627">
        <f>IF(ISBLANK('Data Entry'!$$627), "", 'Data Entry'!$$627)</f>
      </c>
      <c r="CF627">
        <f>IF(ISBLANK('Data Entry'!$$627), "", 'Data Entry'!$$627)</f>
      </c>
      <c r="CG627">
        <f>IF(ISBLANK('Data Entry'!$$627), "", 'Data Entry'!$$627)</f>
      </c>
      <c r="CH627">
        <f>IF(ISBLANK('Data Entry'!$$627), "", 'Data Entry'!$$627)</f>
      </c>
      <c r="CI627">
        <f>IF(ISBLANK('Data Entry'!$$627), "", 'Data Entry'!$$627)</f>
      </c>
      <c r="CJ627">
        <f>IF(ISBLANK('Data Entry'!$$627), "", 'Data Entry'!$$627)</f>
      </c>
      <c r="CK627">
        <f>IF(ISBLANK('Data Entry'!$$627), "", 'Data Entry'!$$627)</f>
      </c>
      <c r="CL627">
        <f>IF(ISBLANK('Data Entry'!$$627), "", 'Data Entry'!$$627)</f>
      </c>
      <c r="CM627">
        <f>IF(ISBLANK('Data Entry'!$$627), "", 'Data Entry'!$$627)</f>
      </c>
      <c r="CN627">
        <f>IF(ISBLANK('Data Entry'!$$627), "", 'Data Entry'!$$627)</f>
      </c>
      <c r="CO627">
        <f>IF(ISBLANK('Data Entry'!$$627), "", 'Data Entry'!$$627)</f>
      </c>
      <c r="CP627">
        <f>IF(ISBLANK('Data Entry'!$$627), "", 'Data Entry'!$$627)</f>
      </c>
      <c r="CQ627">
        <f>IF(ISBLANK('Data Entry'!$$627), "", 'Data Entry'!$$627)</f>
      </c>
      <c r="CR627">
        <f>IF(ISBLANK('Data Entry'!$ $627), "", 'Data Entry'!$ $627)</f>
      </c>
      <c r="CS627">
        <f>IF(ISBLANK('Data Entry'!$¡$627), "", 'Data Entry'!$¡$627)</f>
      </c>
      <c r="CT627">
        <f>IF(ISBLANK('Data Entry'!$¢$627), "", 'Data Entry'!$¢$627)</f>
      </c>
      <c r="CU627">
        <f>IF(ISBLANK('Data Entry'!$£$627), "", 'Data Entry'!$£$627)</f>
      </c>
      <c r="CV627">
        <f>IF(ISBLANK('Data Entry'!$¤$627), "", 'Data Entry'!$¤$627)</f>
      </c>
      <c r="CW627">
        <f>IF(ISBLANK('Data Entry'!$¥$627), "", 'Data Entry'!$¥$627)</f>
      </c>
      <c r="CX627">
        <f>IF(ISBLANK('Data Entry'!$¦$627), "", 'Data Entry'!$¦$627)</f>
      </c>
      <c r="CY627">
        <f>IF(ISBLANK('Data Entry'!$§$627), "", 'Data Entry'!$§$627)</f>
      </c>
      <c r="CZ627">
        <f>IF(ISBLANK('Data Entry'!$¨$627), "", 'Data Entry'!$¨$627)</f>
      </c>
      <c r="DA627">
        <f>IF(ISBLANK('Data Entry'!$©$627), "", 'Data Entry'!$©$627)</f>
      </c>
      <c r="DB627">
        <f>IF(ISBLANK('Data Entry'!$ª$627), "", 'Data Entry'!$ª$627)</f>
      </c>
      <c r="DC627">
        <f>IF(ISBLANK('Data Entry'!$«$627), "", 'Data Entry'!$«$627)</f>
      </c>
      <c r="DD627">
        <f>IF(ISBLANK('Data Entry'!$¬$627), "", 'Data Entry'!$¬$627)</f>
      </c>
      <c r="DE627">
        <f>IF(ISBLANK('Data Entry'!$­$627), "", 'Data Entry'!$­$627)</f>
      </c>
      <c r="DF627">
        <f>IF(ISBLANK('Data Entry'!$®$627), "", 'Data Entry'!$®$627)</f>
      </c>
      <c r="DG627">
        <f>IF(ISBLANK('Data Entry'!$¯$627), "", 'Data Entry'!$¯$627)</f>
      </c>
      <c r="DH627">
        <f>IF(ISBLANK('Data Entry'!$°$627), "", 'Data Entry'!$°$627)</f>
      </c>
      <c r="DI627">
        <f>IF(ISBLANK('Data Entry'!$±$627), "", 'Data Entry'!$±$627)</f>
      </c>
      <c r="DJ627">
        <f>IF(ISBLANK('Data Entry'!$²$627), "", 'Data Entry'!$²$627)</f>
      </c>
      <c r="DK627">
        <f>IF(ISBLANK('Data Entry'!$³$627), "", 'Data Entry'!$³$627)</f>
      </c>
      <c r="DL627">
        <f>IF(ISBLANK('Data Entry'!$´$627), "", 'Data Entry'!$´$627)</f>
      </c>
      <c r="DM627">
        <f>IF(ISBLANK('Data Entry'!$µ$627), "", 'Data Entry'!$µ$627)</f>
      </c>
      <c r="DN627">
        <f>IF(ISBLANK('Data Entry'!$¶$627), "", 'Data Entry'!$¶$627)</f>
      </c>
      <c r="DO627">
        <f>IF(ISBLANK('Data Entry'!$·$627), "", 'Data Entry'!$·$627)</f>
      </c>
      <c r="DP627">
        <f>IF(ISBLANK('Data Entry'!$¸$627), "", 'Data Entry'!$¸$627)</f>
      </c>
      <c r="DQ627">
        <f>IF(ISBLANK('Data Entry'!$¹$627), "", 'Data Entry'!$¹$627)</f>
      </c>
      <c r="DR627">
        <f>IF(ISBLANK('Data Entry'!$º$627), "", 'Data Entry'!$º$627)</f>
      </c>
      <c r="DS627">
        <f>IF(ISBLANK('Data Entry'!$»$627), "", 'Data Entry'!$»$627)</f>
      </c>
      <c r="DT627">
        <f>IF(ISBLANK('Data Entry'!$¼$627), "", 'Data Entry'!$¼$627)</f>
      </c>
      <c r="DU627">
        <f>IF(ISBLANK('Data Entry'!$½$627), "", 'Data Entry'!$½$627)</f>
      </c>
      <c r="DV627">
        <f>IF(ISBLANK('Data Entry'!$¾$627), "", 'Data Entry'!$¾$627)</f>
      </c>
      <c r="DW627">
        <f>IF(ISBLANK('Data Entry'!$¿$627), "", 'Data Entry'!$¿$627)</f>
      </c>
      <c r="DX627">
        <f>IF(ISBLANK('Data Entry'!$À$627), "", 'Data Entry'!$À$627)</f>
      </c>
      <c r="DY627">
        <f>IF(ISBLANK('Data Entry'!$Á$627), "", 'Data Entry'!$Á$627)</f>
      </c>
      <c r="DZ627">
        <f>IF(ISBLANK('Data Entry'!$Â$627), "", 'Data Entry'!$Â$627)</f>
      </c>
      <c r="EA627">
        <f>IF(ISBLANK('Data Entry'!$Ã$627), "", 'Data Entry'!$Ã$627)</f>
      </c>
      <c r="EB627">
        <f>IF(ISBLANK('Data Entry'!$Ä$627), "", 'Data Entry'!$Ä$627)</f>
      </c>
      <c r="EC627">
        <f>IF(ISBLANK('Data Entry'!$Å$627), "", 'Data Entry'!$Å$627)</f>
      </c>
      <c r="ED627">
        <f>IF(ISBLANK('Data Entry'!$Æ$627), "", 'Data Entry'!$Æ$627)</f>
      </c>
      <c r="EE627">
        <f>IF(ISBLANK('Data Entry'!$Ç$627), "", 'Data Entry'!$Ç$627)</f>
      </c>
      <c r="EF627">
        <f>IF(ISBLANK('Data Entry'!$È$627), "", 'Data Entry'!$È$627)</f>
      </c>
      <c r="EG627">
        <f>IF(ISBLANK('Data Entry'!$É$627), "", 'Data Entry'!$É$627)</f>
      </c>
      <c r="EH627">
        <f>IF(ISBLANK('Data Entry'!$Ê$627), "", 'Data Entry'!$Ê$627)</f>
      </c>
      <c r="EI627">
        <f>IF(ISBLANK('Data Entry'!$Ë$627), "", 'Data Entry'!$Ë$627)</f>
      </c>
      <c r="EJ627">
        <f>IF(ISBLANK('Data Entry'!$Ì$627), "", 'Data Entry'!$Ì$627)</f>
      </c>
      <c r="EK627">
        <f>IF(ISBLANK('Data Entry'!$Í$627), "", 'Data Entry'!$Í$627)</f>
      </c>
      <c r="EL627">
        <f>IF(ISBLANK('Data Entry'!$Î$627), "", 'Data Entry'!$Î$627)</f>
      </c>
      <c r="EM627">
        <f>IF(ISBLANK('Data Entry'!$Ï$627), "", 'Data Entry'!$Ï$627)</f>
      </c>
      <c r="EN627">
        <f>IF(ISBLANK('Data Entry'!$Ð$627), "", 'Data Entry'!$Ð$627)</f>
      </c>
      <c r="EO627">
        <f>IF(ISBLANK('Data Entry'!$Ñ$627), "", 'Data Entry'!$Ñ$627)</f>
      </c>
      <c r="EP627">
        <f>IF(ISBLANK('Data Entry'!$Ò$627), "", 'Data Entry'!$Ò$627)</f>
      </c>
      <c r="EQ627">
        <f>IF(ISBLANK('Data Entry'!$Ó$627), "", 'Data Entry'!$Ó$627)</f>
      </c>
      <c r="ER627">
        <f>IF(ISBLANK('Data Entry'!$Ô$627), "", 'Data Entry'!$Ô$627)</f>
      </c>
      <c r="ES627">
        <f>IF(ISBLANK('Data Entry'!$Õ$627), "", 'Data Entry'!$Õ$627)</f>
      </c>
      <c r="ET627">
        <f>IF(ISBLANK('Data Entry'!$Ö$627), "", 'Data Entry'!$Ö$627)</f>
      </c>
      <c r="EU627">
        <f>IF(ISBLANK('Data Entry'!$×$627), "", 'Data Entry'!$×$627)</f>
      </c>
      <c r="EV627">
        <f>IF(ISBLANK('Data Entry'!$Ø$627), "", 'Data Entry'!$Ø$627)</f>
      </c>
      <c r="EW627">
        <f>IF(ISBLANK('Data Entry'!$Ù$627), "", 'Data Entry'!$Ù$627)</f>
      </c>
      <c r="EX627">
        <f>IF(ISBLANK('Data Entry'!$Ú$627), "", 'Data Entry'!$Ú$627)</f>
      </c>
      <c r="EY627">
        <f>IF(ISBLANK('Data Entry'!$Û$627), "", 'Data Entry'!$Û$627)</f>
      </c>
      <c r="EZ627">
        <f>IF(ISBLANK('Data Entry'!$Ü$627), "", 'Data Entry'!$Ü$627)</f>
      </c>
      <c r="FA627">
        <f>IF(ISBLANK('Data Entry'!$Ý$627), "", 'Data Entry'!$Ý$627)</f>
      </c>
      <c r="FB627">
        <f>IF(ISBLANK('Data Entry'!$Þ$627), "", 'Data Entry'!$Þ$627)</f>
      </c>
      <c r="FC627">
        <f>IF(ISBLANK('Data Entry'!$ß$627), "", 'Data Entry'!$ß$627)</f>
      </c>
      <c r="FD627">
        <f>IF(ISBLANK('Data Entry'!$à$627), "", 'Data Entry'!$à$627)</f>
      </c>
      <c r="FE627">
        <f>IF(ISBLANK('Data Entry'!$á$627), "", 'Data Entry'!$á$627)</f>
      </c>
      <c r="FF627">
        <f>IF(ISBLANK('Data Entry'!$â$627), "", 'Data Entry'!$â$627)</f>
      </c>
      <c r="FG627">
        <f>IF(ISBLANK('Data Entry'!$ã$627), "", 'Data Entry'!$ã$627)</f>
      </c>
      <c r="FH627">
        <f>IF(ISBLANK('Data Entry'!$ä$627), "", 'Data Entry'!$ä$627)</f>
      </c>
      <c r="FI627">
        <f>IF(ISBLANK('Data Entry'!$å$627), "", 'Data Entry'!$å$627)</f>
      </c>
      <c r="FJ627">
        <f>IF(ISBLANK('Data Entry'!$æ$627), "", 'Data Entry'!$æ$627)</f>
      </c>
      <c r="FK627">
        <f>IF(ISBLANK('Data Entry'!$ç$627), "", 'Data Entry'!$ç$627)</f>
      </c>
      <c r="FL627">
        <f>IF(ISBLANK('Data Entry'!$è$627), "", 'Data Entry'!$è$627)</f>
      </c>
      <c r="FM627">
        <f>IF(ISBLANK('Data Entry'!$é$627), "", 'Data Entry'!$é$627)</f>
      </c>
      <c r="FN627">
        <f>IF(ISBLANK('Data Entry'!$ê$627), "", 'Data Entry'!$ê$627)</f>
      </c>
      <c r="FO627">
        <f>IF(ISBLANK('Data Entry'!$ë$627), "", 'Data Entry'!$ë$627)</f>
      </c>
      <c r="FP627">
        <f>IF(ISBLANK('Data Entry'!$ì$627), "", 'Data Entry'!$ì$627)</f>
      </c>
      <c r="FQ627">
        <f>IF(ISBLANK('Data Entry'!$í$627), "", 'Data Entry'!$í$627)</f>
      </c>
      <c r="FR627">
        <f>IF(ISBLANK('Data Entry'!$î$627), "", 'Data Entry'!$î$627)</f>
      </c>
      <c r="FS627">
        <f>IF(ISBLANK('Data Entry'!$ï$627), "", 'Data Entry'!$ï$627)</f>
      </c>
      <c r="FT627">
        <f>IF(ISBLANK('Data Entry'!$ð$627), "", 'Data Entry'!$ð$627)</f>
      </c>
      <c r="FU627">
        <f>IF(ISBLANK('Data Entry'!$ñ$627), "", 'Data Entry'!$ñ$627)</f>
      </c>
      <c r="FV627">
        <f>IF(ISBLANK('Data Entry'!$ò$627), "", 'Data Entry'!$ò$627)</f>
      </c>
      <c r="FW627">
        <f>IF(ISBLANK('Data Entry'!$ó$627), "", 'Data Entry'!$ó$627)</f>
      </c>
      <c r="FX627">
        <f>IF(ISBLANK('Data Entry'!$ô$627), "", 'Data Entry'!$ô$627)</f>
      </c>
      <c r="FY627">
        <f>IF(ISBLANK('Data Entry'!$õ$627), "", 'Data Entry'!$õ$627)</f>
      </c>
      <c r="FZ627">
        <f>IF(ISBLANK('Data Entry'!$ö$627), "", 'Data Entry'!$ö$627)</f>
      </c>
      <c r="GA627">
        <f>IF(ISBLANK('Data Entry'!$÷$627), "", 'Data Entry'!$÷$627)</f>
      </c>
      <c r="GB627">
        <f>IF(ISBLANK('Data Entry'!$ø$627), "", 'Data Entry'!$ø$627)</f>
      </c>
      <c r="GC627">
        <f>IF(ISBLANK('Data Entry'!$ù$627), "", 'Data Entry'!$ù$627)</f>
      </c>
      <c r="GD627">
        <f>IF(ISBLANK('Data Entry'!$ú$627), "", 'Data Entry'!$ú$627)</f>
      </c>
      <c r="GE627">
        <f>IF(ISBLANK('Data Entry'!$û$627), "", 'Data Entry'!$û$627)</f>
      </c>
      <c r="GF627">
        <f>IF(ISBLANK('Data Entry'!$ü$627), "", 'Data Entry'!$ü$627)</f>
      </c>
      <c r="GG627">
        <f>IF(ISBLANK('Data Entry'!$ý$627), "", 'Data Entry'!$ý$627)</f>
      </c>
      <c r="GH627">
        <f>IF(ISBLANK('Data Entry'!$þ$627), "", 'Data Entry'!$þ$627)</f>
      </c>
      <c r="GI627">
        <f>IF(ISBLANK('Data Entry'!$ÿ$627), "", 'Data Entry'!$ÿ$627)</f>
      </c>
      <c r="GJ627">
        <f>IF(ISBLANK('Data Entry'!$Ā$627), "", 'Data Entry'!$Ā$627)</f>
      </c>
      <c r="GK627">
        <f>IF(ISBLANK('Data Entry'!$ā$627), "", 'Data Entry'!$ā$627)</f>
      </c>
      <c r="GL627">
        <f>IF(ISBLANK('Data Entry'!$Ă$627), "", 'Data Entry'!$Ă$627)</f>
      </c>
      <c r="GM627">
        <f>IF(ISBLANK('Data Entry'!$ă$627), "", 'Data Entry'!$ă$627)</f>
      </c>
      <c r="GN627">
        <f>IF(ISBLANK('Data Entry'!$Ą$627), "", 'Data Entry'!$Ą$627)</f>
      </c>
      <c r="GO627">
        <f>IF(ISBLANK('Data Entry'!$ą$627), "", 'Data Entry'!$ą$627)</f>
      </c>
      <c r="GP627">
        <f>IF(ISBLANK('Data Entry'!$Ć$627), "", 'Data Entry'!$Ć$627)</f>
      </c>
      <c r="GQ627">
        <f>IF(ISBLANK('Data Entry'!$ć$627), "", 'Data Entry'!$ć$627)</f>
      </c>
      <c r="GR627">
        <f>IF(ISBLANK('Data Entry'!$Ĉ$627), "", 'Data Entry'!$Ĉ$627)</f>
      </c>
      <c r="GS627">
        <f>IF(ISBLANK('Data Entry'!$ĉ$627), "", 'Data Entry'!$ĉ$627)</f>
      </c>
      <c r="GT627">
        <f>IF(ISBLANK('Data Entry'!$Ċ$627), "", 'Data Entry'!$Ċ$627)</f>
      </c>
      <c r="GU627">
        <f>IF(ISBLANK('Data Entry'!$ċ$627), "", 'Data Entry'!$ċ$627)</f>
      </c>
      <c r="GV627">
        <f>IF(ISBLANK('Data Entry'!$Č$627), "", 'Data Entry'!$Č$627)</f>
      </c>
      <c r="GW627">
        <f>IF(ISBLANK('Data Entry'!$č$627), "", 'Data Entry'!$č$627)</f>
      </c>
      <c r="GX627">
        <f>IF(ISBLANK('Data Entry'!$Ď$627), "", 'Data Entry'!$Ď$627)</f>
      </c>
      <c r="GY627">
        <f>IF(ISBLANK('Data Entry'!$ď$627), "", 'Data Entry'!$ď$627)</f>
      </c>
      <c r="GZ627">
        <f>IF(ISBLANK('Data Entry'!$Đ$627), "", 'Data Entry'!$Đ$627)</f>
      </c>
      <c r="HA627">
        <f>IF(ISBLANK('Data Entry'!$đ$627), "", 'Data Entry'!$đ$627)</f>
      </c>
      <c r="HB627">
        <f>IF(ISBLANK('Data Entry'!$Ē$627), "", 'Data Entry'!$Ē$627)</f>
      </c>
      <c r="HC627">
        <f>IF(ISBLANK('Data Entry'!$ē$627), "", 'Data Entry'!$ē$627)</f>
      </c>
      <c r="HD627">
        <f>IF(ISBLANK('Data Entry'!$Ĕ$627), "", 'Data Entry'!$Ĕ$627)</f>
      </c>
      <c r="HE627">
        <f>IF(ISBLANK('Data Entry'!$ĕ$627), "", 'Data Entry'!$ĕ$627)</f>
      </c>
      <c r="HF627">
        <f>IF(ISBLANK('Data Entry'!$Ė$627), "", 'Data Entry'!$Ė$627)</f>
      </c>
      <c r="HG627">
        <f>IF(ISBLANK('Data Entry'!$ė$627), "", 'Data Entry'!$ė$627)</f>
      </c>
      <c r="HH627">
        <f>IF(ISBLANK('Data Entry'!$Ę$627), "", 'Data Entry'!$Ę$627)</f>
      </c>
      <c r="HI627">
        <f>IF(ISBLANK('Data Entry'!$ę$627), "", 'Data Entry'!$ę$627)</f>
      </c>
      <c r="HJ627">
        <f>IF(ISBLANK('Data Entry'!$Ě$627), "", 'Data Entry'!$Ě$627)</f>
      </c>
      <c r="HK627">
        <f>IF(ISBLANK('Data Entry'!$ě$627), "", 'Data Entry'!$ě$627)</f>
      </c>
      <c r="HL627">
        <f>IF(ISBLANK('Data Entry'!$Ĝ$627), "", 'Data Entry'!$Ĝ$627)</f>
      </c>
      <c r="HM627">
        <f>IF(ISBLANK('Data Entry'!$ĝ$627), "", 'Data Entry'!$ĝ$627)</f>
      </c>
      <c r="HN627">
        <f>IF(ISBLANK('Data Entry'!$Ğ$627), "", 'Data Entry'!$Ğ$627)</f>
      </c>
      <c r="HO627">
        <f>IF(ISBLANK('Data Entry'!$ğ$627), "", 'Data Entry'!$ğ$627)</f>
      </c>
      <c r="HP627">
        <f>IF(ISBLANK('Data Entry'!$Ġ$627), "", 'Data Entry'!$Ġ$627)</f>
      </c>
      <c r="HQ627">
        <f>IF(ISBLANK('Data Entry'!$ġ$627), "", 'Data Entry'!$ġ$627)</f>
      </c>
      <c r="HR627">
        <f>IF(ISBLANK('Data Entry'!$Ģ$627), "", 'Data Entry'!$Ģ$627)</f>
      </c>
      <c r="HS627">
        <f>IF(ISBLANK('Data Entry'!$ģ$627), "", 'Data Entry'!$ģ$627)</f>
      </c>
      <c r="HT627">
        <f>IF(ISBLANK('Data Entry'!$Ĥ$627), "", 'Data Entry'!$Ĥ$627)</f>
      </c>
      <c r="HU627">
        <f>IF(ISBLANK('Data Entry'!$ĥ$627), "", 'Data Entry'!$ĥ$627)</f>
      </c>
      <c r="HV627">
        <f>IF(ISBLANK('Data Entry'!$Ħ$627), "", 'Data Entry'!$Ħ$627)</f>
      </c>
      <c r="HW627">
        <f>IF(ISBLANK('Data Entry'!$ħ$627), "", 'Data Entry'!$ħ$627)</f>
      </c>
      <c r="HX627">
        <f>IF(ISBLANK('Data Entry'!$Ĩ$627), "", 'Data Entry'!$Ĩ$627)</f>
      </c>
      <c r="HY627">
        <f>IF(ISBLANK('Data Entry'!$ĩ$627), "", 'Data Entry'!$ĩ$627)</f>
      </c>
      <c r="HZ627">
        <f>IF(ISBLANK('Data Entry'!$Ī$627), "", 'Data Entry'!$Ī$627)</f>
      </c>
      <c r="IA627">
        <f>IF(ISBLANK('Data Entry'!$ī$627), "", 'Data Entry'!$ī$627)</f>
      </c>
      <c r="IB627">
        <f>IF(ISBLANK('Data Entry'!$Ĭ$627), "", 'Data Entry'!$Ĭ$627)</f>
      </c>
      <c r="IC627">
        <f>IF(ISBLANK('Data Entry'!$ĭ$627), "", 'Data Entry'!$ĭ$627)</f>
      </c>
      <c r="ID627">
        <f>IF(ISBLANK('Data Entry'!$Į$627), "", 'Data Entry'!$Į$627)</f>
      </c>
      <c r="IE627">
        <f>IF(ISBLANK('Data Entry'!$į$627), "", 'Data Entry'!$į$627)</f>
      </c>
      <c r="IF627">
        <f>IF(ISBLANK('Data Entry'!$İ$627), "", 'Data Entry'!$İ$627)</f>
      </c>
      <c r="IG627">
        <f>IF(ISBLANK('Data Entry'!$ı$627), "", 'Data Entry'!$ı$627)</f>
      </c>
      <c r="IH627">
        <f>IF(ISBLANK('Data Entry'!$Ĳ$627), "", 'Data Entry'!$Ĳ$627)</f>
      </c>
      <c r="II627">
        <f>IF(ISBLANK('Data Entry'!$ĳ$627), "", 'Data Entry'!$ĳ$627)</f>
      </c>
      <c r="IJ627">
        <f>IF(ISBLANK('Data Entry'!$Ĵ$627), "", 'Data Entry'!$Ĵ$627)</f>
      </c>
      <c r="IK627">
        <f>IF(ISBLANK('Data Entry'!$ĵ$627), "", 'Data Entry'!$ĵ$627)</f>
      </c>
      <c r="IL627">
        <f>IF(ISBLANK('Data Entry'!$Ķ$627), "", 'Data Entry'!$Ķ$627)</f>
      </c>
      <c r="IM627">
        <f>IF(ISBLANK('Data Entry'!$ķ$627), "", 'Data Entry'!$ķ$627)</f>
      </c>
      <c r="IN627">
        <f>IF(ISBLANK('Data Entry'!$ĸ$627), "", 'Data Entry'!$ĸ$627)</f>
      </c>
      <c r="IO627">
        <f>IF(ISBLANK('Data Entry'!$Ĺ$627), "", 'Data Entry'!$Ĺ$627)</f>
      </c>
      <c r="IP627">
        <f>IF(ISBLANK('Data Entry'!$ĺ$627), "", 'Data Entry'!$ĺ$627)</f>
      </c>
      <c r="IQ627">
        <f>IF(ISBLANK('Data Entry'!$Ļ$627), "", 'Data Entry'!$Ļ$627)</f>
      </c>
      <c r="IR627">
        <f>IF(ISBLANK('Data Entry'!$ļ$627), "", 'Data Entry'!$ļ$627)</f>
      </c>
      <c r="IS627">
        <f>IF(ISBLANK('Data Entry'!$Ľ$627), "", 'Data Entry'!$Ľ$627)</f>
      </c>
      <c r="IT627">
        <f>IF(ISBLANK('Data Entry'!$ľ$627), "", 'Data Entry'!$ľ$627)</f>
      </c>
    </row>
    <row r="628" spans="1:254" x14ac:dyDescent="0.25">
      <c r="A628">
        <f>IF(ISBLANK('Data Entry'!$A$628), "", 'Data Entry'!$A$628)</f>
      </c>
      <c r="B628">
        <f>IF(ISBLANK('Data Entry'!$B$628), "", 'Data Entry'!$B$628)</f>
      </c>
      <c r="C628">
        <f>IF(ISBLANK('Data Entry'!$C$628), "", 'Data Entry'!$C$628)</f>
      </c>
      <c r="D628">
        <f>IF(ISBLANK('Data Entry'!$D$628), "", 'Data Entry'!$D$628)</f>
      </c>
      <c r="E628">
        <f>IF(ISBLANK('Data Entry'!$E$628), "", 'Data Entry'!$E$628)</f>
      </c>
      <c r="F628">
        <f>IF(ISBLANK('Data Entry'!$F$628), "", 'Data Entry'!$F$628)</f>
      </c>
      <c r="G628">
        <f>IF(ISBLANK('Data Entry'!$G$628), "", 'Data Entry'!$G$628)</f>
      </c>
      <c r="H628">
        <f>IF(ISBLANK('Data Entry'!$H$628), "", 'Data Entry'!$H$628)</f>
      </c>
      <c r="I628">
        <f>IF(ISBLANK('Data Entry'!$I$628), "", 'Data Entry'!$I$628)</f>
      </c>
      <c r="J628">
        <f>IF(ISBLANK('Data Entry'!$J$628), "", 'Data Entry'!$J$628)</f>
      </c>
      <c r="K628">
        <f>IF(ISBLANK('Data Entry'!$K$628), "", 'Data Entry'!$K$628)</f>
      </c>
      <c r="L628">
        <f>IF(ISBLANK('Data Entry'!$L$628), "", 'Data Entry'!$L$628)</f>
      </c>
      <c r="M628">
        <f>IF(ISBLANK('Data Entry'!$M$628), "", 'Data Entry'!$M$628)</f>
      </c>
      <c r="N628">
        <f>IF(ISBLANK('Data Entry'!$N$628), "", 'Data Entry'!$N$628)</f>
      </c>
      <c r="O628">
        <f>IF(ISBLANK('Data Entry'!$O$628), "", 'Data Entry'!$O$628)</f>
      </c>
      <c r="P628">
        <f>IF(ISBLANK('Data Entry'!$P$628), "", 'Data Entry'!$P$628)</f>
      </c>
      <c r="Q628">
        <f>IF(ISBLANK('Data Entry'!$Q$628), "", 'Data Entry'!$Q$628)</f>
      </c>
      <c r="R628">
        <f>IF(ISBLANK('Data Entry'!$R$628), "", 'Data Entry'!$R$628)</f>
      </c>
      <c r="S628">
        <f>IF(ISBLANK('Data Entry'!$S$628), "", 'Data Entry'!$S$628)</f>
      </c>
      <c r="T628">
        <f>IF(ISBLANK('Data Entry'!$T$628), "", 'Data Entry'!$T$628)</f>
      </c>
      <c r="U628">
        <f>IF(ISBLANK('Data Entry'!$U$628), "", 'Data Entry'!$U$628)</f>
      </c>
      <c r="V628">
        <f>IF(ISBLANK('Data Entry'!$V$628), "", 'Data Entry'!$V$628)</f>
      </c>
      <c r="W628">
        <f>IF(ISBLANK('Data Entry'!$W$628), "", 'Data Entry'!$W$628)</f>
      </c>
      <c r="X628">
        <f>IF(ISBLANK('Data Entry'!$X$628), "", 'Data Entry'!$X$628)</f>
      </c>
      <c r="Y628">
        <f>IF(ISBLANK('Data Entry'!$Y$628), "", 'Data Entry'!$Y$628)</f>
      </c>
      <c r="Z628">
        <f>IF(ISBLANK('Data Entry'!$Z$628), "", 'Data Entry'!$Z$628)</f>
      </c>
      <c r="AA628">
        <f>IF(ISBLANK('Data Entry'!$[$628), "", 'Data Entry'!$[$628)</f>
      </c>
      <c r="AB628">
        <f>IF(ISBLANK('Data Entry'!$\$628), "", 'Data Entry'!$\$628)</f>
      </c>
      <c r="AC628">
        <f>IF(ISBLANK('Data Entry'!$]$628), "", 'Data Entry'!$]$628)</f>
      </c>
      <c r="AD628">
        <f>IF(ISBLANK('Data Entry'!$^$628), "", 'Data Entry'!$^$628)</f>
      </c>
      <c r="AE628">
        <f>IF(ISBLANK('Data Entry'!$_$628), "", 'Data Entry'!$_$628)</f>
      </c>
      <c r="AF628">
        <f>IF(ISBLANK('Data Entry'!$`$628), "", 'Data Entry'!$`$628)</f>
      </c>
      <c r="AG628">
        <f>IF(ISBLANK('Data Entry'!$a$628), "", 'Data Entry'!$a$628)</f>
      </c>
      <c r="AH628">
        <f>IF(ISBLANK('Data Entry'!$b$628), "", 'Data Entry'!$b$628)</f>
      </c>
      <c r="AI628">
        <f>IF(ISBLANK('Data Entry'!$c$628), "", 'Data Entry'!$c$628)</f>
      </c>
      <c r="AJ628">
        <f>IF(ISBLANK('Data Entry'!$d$628), "", 'Data Entry'!$d$628)</f>
      </c>
      <c r="AK628">
        <f>IF(ISBLANK('Data Entry'!$e$628), "", 'Data Entry'!$e$628)</f>
      </c>
      <c r="AL628">
        <f>IF(ISBLANK('Data Entry'!$f$628), "", 'Data Entry'!$f$628)</f>
      </c>
      <c r="AM628">
        <f>IF(ISBLANK('Data Entry'!$g$628), "", 'Data Entry'!$g$628)</f>
      </c>
      <c r="AN628">
        <f>IF(ISBLANK('Data Entry'!$h$628), "", 'Data Entry'!$h$628)</f>
      </c>
      <c r="AO628">
        <f>IF(ISBLANK('Data Entry'!$i$628), "", 'Data Entry'!$i$628)</f>
      </c>
      <c r="AP628">
        <f>IF(ISBLANK('Data Entry'!$j$628), "", 'Data Entry'!$j$628)</f>
      </c>
      <c r="AQ628">
        <f>IF(ISBLANK('Data Entry'!$k$628), "", 'Data Entry'!$k$628)</f>
      </c>
      <c r="AR628">
        <f>IF(ISBLANK('Data Entry'!$l$628), "", 'Data Entry'!$l$628)</f>
      </c>
      <c r="AS628">
        <f>IF(ISBLANK('Data Entry'!$m$628), "", 'Data Entry'!$m$628)</f>
      </c>
      <c r="AT628">
        <f>IF(ISBLANK('Data Entry'!$n$628), "", 'Data Entry'!$n$628)</f>
      </c>
      <c r="AU628">
        <f>IF(ISBLANK('Data Entry'!$o$628), "", 'Data Entry'!$o$628)</f>
      </c>
      <c r="AV628">
        <f>IF(ISBLANK('Data Entry'!$p$628), "", 'Data Entry'!$p$628)</f>
      </c>
      <c r="AW628">
        <f>IF(ISBLANK('Data Entry'!$q$628), "", 'Data Entry'!$q$628)</f>
      </c>
      <c r="AX628">
        <f>IF(ISBLANK('Data Entry'!$r$628), "", 'Data Entry'!$r$628)</f>
      </c>
      <c r="AY628">
        <f>IF(ISBLANK('Data Entry'!$s$628), "", 'Data Entry'!$s$628)</f>
      </c>
      <c r="AZ628">
        <f>IF(ISBLANK('Data Entry'!$t$628), "", 'Data Entry'!$t$628)</f>
      </c>
      <c r="BA628">
        <f>IF(ISBLANK('Data Entry'!$u$628), "", 'Data Entry'!$u$628)</f>
      </c>
      <c r="BB628">
        <f>IF(ISBLANK('Data Entry'!$v$628), "", 'Data Entry'!$v$628)</f>
      </c>
      <c r="BC628">
        <f>IF(ISBLANK('Data Entry'!$w$628), "", 'Data Entry'!$w$628)</f>
      </c>
      <c r="BD628">
        <f>IF(ISBLANK('Data Entry'!$x$628), "", 'Data Entry'!$x$628)</f>
      </c>
      <c r="BE628">
        <f>IF(ISBLANK('Data Entry'!$y$628), "", 'Data Entry'!$y$628)</f>
      </c>
      <c r="BF628">
        <f>IF(ISBLANK('Data Entry'!$z$628), "", 'Data Entry'!$z$628)</f>
      </c>
      <c r="BG628">
        <f>IF(ISBLANK('Data Entry'!${$628), "", 'Data Entry'!${$628)</f>
      </c>
      <c r="BH628">
        <f>IF(ISBLANK('Data Entry'!$|$628), "", 'Data Entry'!$|$628)</f>
      </c>
      <c r="BI628">
        <f>IF(ISBLANK('Data Entry'!$}$628), "", 'Data Entry'!$}$628)</f>
      </c>
      <c r="BJ628">
        <f>IF(ISBLANK('Data Entry'!$~$628), "", 'Data Entry'!$~$628)</f>
      </c>
      <c r="BK628">
        <f>IF(ISBLANK('Data Entry'!$$628), "", 'Data Entry'!$$628)</f>
      </c>
      <c r="BL628">
        <f>IF(ISBLANK('Data Entry'!$$628), "", 'Data Entry'!$$628)</f>
      </c>
      <c r="BM628">
        <f>IF(ISBLANK('Data Entry'!$$628), "", 'Data Entry'!$$628)</f>
      </c>
      <c r="BN628">
        <f>IF(ISBLANK('Data Entry'!$$628), "", 'Data Entry'!$$628)</f>
      </c>
      <c r="BO628">
        <f>IF(ISBLANK('Data Entry'!$$628), "", 'Data Entry'!$$628)</f>
      </c>
      <c r="BP628">
        <f>IF(ISBLANK('Data Entry'!$$628), "", 'Data Entry'!$$628)</f>
      </c>
      <c r="BQ628">
        <f>IF(ISBLANK('Data Entry'!$$628), "", 'Data Entry'!$$628)</f>
      </c>
      <c r="BR628">
        <f>IF(ISBLANK('Data Entry'!$$628), "", 'Data Entry'!$$628)</f>
      </c>
      <c r="BS628">
        <f>IF(ISBLANK('Data Entry'!$$628), "", 'Data Entry'!$$628)</f>
      </c>
      <c r="BT628">
        <f>IF(ISBLANK('Data Entry'!$$628), "", 'Data Entry'!$$628)</f>
      </c>
      <c r="BU628">
        <f>IF(ISBLANK('Data Entry'!$$628), "", 'Data Entry'!$$628)</f>
      </c>
      <c r="BV628">
        <f>IF(ISBLANK('Data Entry'!$$628), "", 'Data Entry'!$$628)</f>
      </c>
      <c r="BW628">
        <f>IF(ISBLANK('Data Entry'!$$628), "", 'Data Entry'!$$628)</f>
      </c>
      <c r="BX628">
        <f>IF(ISBLANK('Data Entry'!$$628), "", 'Data Entry'!$$628)</f>
      </c>
      <c r="BY628">
        <f>IF(ISBLANK('Data Entry'!$$628), "", 'Data Entry'!$$628)</f>
      </c>
      <c r="BZ628">
        <f>IF(ISBLANK('Data Entry'!$$628), "", 'Data Entry'!$$628)</f>
      </c>
      <c r="CA628">
        <f>IF(ISBLANK('Data Entry'!$$628), "", 'Data Entry'!$$628)</f>
      </c>
      <c r="CB628">
        <f>IF(ISBLANK('Data Entry'!$$628), "", 'Data Entry'!$$628)</f>
      </c>
      <c r="CC628">
        <f>IF(ISBLANK('Data Entry'!$$628), "", 'Data Entry'!$$628)</f>
      </c>
      <c r="CD628">
        <f>IF(ISBLANK('Data Entry'!$$628), "", 'Data Entry'!$$628)</f>
      </c>
      <c r="CE628">
        <f>IF(ISBLANK('Data Entry'!$$628), "", 'Data Entry'!$$628)</f>
      </c>
      <c r="CF628">
        <f>IF(ISBLANK('Data Entry'!$$628), "", 'Data Entry'!$$628)</f>
      </c>
      <c r="CG628">
        <f>IF(ISBLANK('Data Entry'!$$628), "", 'Data Entry'!$$628)</f>
      </c>
      <c r="CH628">
        <f>IF(ISBLANK('Data Entry'!$$628), "", 'Data Entry'!$$628)</f>
      </c>
      <c r="CI628">
        <f>IF(ISBLANK('Data Entry'!$$628), "", 'Data Entry'!$$628)</f>
      </c>
      <c r="CJ628">
        <f>IF(ISBLANK('Data Entry'!$$628), "", 'Data Entry'!$$628)</f>
      </c>
      <c r="CK628">
        <f>IF(ISBLANK('Data Entry'!$$628), "", 'Data Entry'!$$628)</f>
      </c>
      <c r="CL628">
        <f>IF(ISBLANK('Data Entry'!$$628), "", 'Data Entry'!$$628)</f>
      </c>
      <c r="CM628">
        <f>IF(ISBLANK('Data Entry'!$$628), "", 'Data Entry'!$$628)</f>
      </c>
      <c r="CN628">
        <f>IF(ISBLANK('Data Entry'!$$628), "", 'Data Entry'!$$628)</f>
      </c>
      <c r="CO628">
        <f>IF(ISBLANK('Data Entry'!$$628), "", 'Data Entry'!$$628)</f>
      </c>
      <c r="CP628">
        <f>IF(ISBLANK('Data Entry'!$$628), "", 'Data Entry'!$$628)</f>
      </c>
      <c r="CQ628">
        <f>IF(ISBLANK('Data Entry'!$$628), "", 'Data Entry'!$$628)</f>
      </c>
      <c r="CR628">
        <f>IF(ISBLANK('Data Entry'!$ $628), "", 'Data Entry'!$ $628)</f>
      </c>
      <c r="CS628">
        <f>IF(ISBLANK('Data Entry'!$¡$628), "", 'Data Entry'!$¡$628)</f>
      </c>
      <c r="CT628">
        <f>IF(ISBLANK('Data Entry'!$¢$628), "", 'Data Entry'!$¢$628)</f>
      </c>
      <c r="CU628">
        <f>IF(ISBLANK('Data Entry'!$£$628), "", 'Data Entry'!$£$628)</f>
      </c>
      <c r="CV628">
        <f>IF(ISBLANK('Data Entry'!$¤$628), "", 'Data Entry'!$¤$628)</f>
      </c>
      <c r="CW628">
        <f>IF(ISBLANK('Data Entry'!$¥$628), "", 'Data Entry'!$¥$628)</f>
      </c>
      <c r="CX628">
        <f>IF(ISBLANK('Data Entry'!$¦$628), "", 'Data Entry'!$¦$628)</f>
      </c>
      <c r="CY628">
        <f>IF(ISBLANK('Data Entry'!$§$628), "", 'Data Entry'!$§$628)</f>
      </c>
      <c r="CZ628">
        <f>IF(ISBLANK('Data Entry'!$¨$628), "", 'Data Entry'!$¨$628)</f>
      </c>
      <c r="DA628">
        <f>IF(ISBLANK('Data Entry'!$©$628), "", 'Data Entry'!$©$628)</f>
      </c>
      <c r="DB628">
        <f>IF(ISBLANK('Data Entry'!$ª$628), "", 'Data Entry'!$ª$628)</f>
      </c>
      <c r="DC628">
        <f>IF(ISBLANK('Data Entry'!$«$628), "", 'Data Entry'!$«$628)</f>
      </c>
      <c r="DD628">
        <f>IF(ISBLANK('Data Entry'!$¬$628), "", 'Data Entry'!$¬$628)</f>
      </c>
      <c r="DE628">
        <f>IF(ISBLANK('Data Entry'!$­$628), "", 'Data Entry'!$­$628)</f>
      </c>
      <c r="DF628">
        <f>IF(ISBLANK('Data Entry'!$®$628), "", 'Data Entry'!$®$628)</f>
      </c>
      <c r="DG628">
        <f>IF(ISBLANK('Data Entry'!$¯$628), "", 'Data Entry'!$¯$628)</f>
      </c>
      <c r="DH628">
        <f>IF(ISBLANK('Data Entry'!$°$628), "", 'Data Entry'!$°$628)</f>
      </c>
      <c r="DI628">
        <f>IF(ISBLANK('Data Entry'!$±$628), "", 'Data Entry'!$±$628)</f>
      </c>
      <c r="DJ628">
        <f>IF(ISBLANK('Data Entry'!$²$628), "", 'Data Entry'!$²$628)</f>
      </c>
      <c r="DK628">
        <f>IF(ISBLANK('Data Entry'!$³$628), "", 'Data Entry'!$³$628)</f>
      </c>
      <c r="DL628">
        <f>IF(ISBLANK('Data Entry'!$´$628), "", 'Data Entry'!$´$628)</f>
      </c>
      <c r="DM628">
        <f>IF(ISBLANK('Data Entry'!$µ$628), "", 'Data Entry'!$µ$628)</f>
      </c>
      <c r="DN628">
        <f>IF(ISBLANK('Data Entry'!$¶$628), "", 'Data Entry'!$¶$628)</f>
      </c>
      <c r="DO628">
        <f>IF(ISBLANK('Data Entry'!$·$628), "", 'Data Entry'!$·$628)</f>
      </c>
      <c r="DP628">
        <f>IF(ISBLANK('Data Entry'!$¸$628), "", 'Data Entry'!$¸$628)</f>
      </c>
      <c r="DQ628">
        <f>IF(ISBLANK('Data Entry'!$¹$628), "", 'Data Entry'!$¹$628)</f>
      </c>
      <c r="DR628">
        <f>IF(ISBLANK('Data Entry'!$º$628), "", 'Data Entry'!$º$628)</f>
      </c>
      <c r="DS628">
        <f>IF(ISBLANK('Data Entry'!$»$628), "", 'Data Entry'!$»$628)</f>
      </c>
      <c r="DT628">
        <f>IF(ISBLANK('Data Entry'!$¼$628), "", 'Data Entry'!$¼$628)</f>
      </c>
      <c r="DU628">
        <f>IF(ISBLANK('Data Entry'!$½$628), "", 'Data Entry'!$½$628)</f>
      </c>
      <c r="DV628">
        <f>IF(ISBLANK('Data Entry'!$¾$628), "", 'Data Entry'!$¾$628)</f>
      </c>
      <c r="DW628">
        <f>IF(ISBLANK('Data Entry'!$¿$628), "", 'Data Entry'!$¿$628)</f>
      </c>
      <c r="DX628">
        <f>IF(ISBLANK('Data Entry'!$À$628), "", 'Data Entry'!$À$628)</f>
      </c>
      <c r="DY628">
        <f>IF(ISBLANK('Data Entry'!$Á$628), "", 'Data Entry'!$Á$628)</f>
      </c>
      <c r="DZ628">
        <f>IF(ISBLANK('Data Entry'!$Â$628), "", 'Data Entry'!$Â$628)</f>
      </c>
      <c r="EA628">
        <f>IF(ISBLANK('Data Entry'!$Ã$628), "", 'Data Entry'!$Ã$628)</f>
      </c>
      <c r="EB628">
        <f>IF(ISBLANK('Data Entry'!$Ä$628), "", 'Data Entry'!$Ä$628)</f>
      </c>
      <c r="EC628">
        <f>IF(ISBLANK('Data Entry'!$Å$628), "", 'Data Entry'!$Å$628)</f>
      </c>
      <c r="ED628">
        <f>IF(ISBLANK('Data Entry'!$Æ$628), "", 'Data Entry'!$Æ$628)</f>
      </c>
      <c r="EE628">
        <f>IF(ISBLANK('Data Entry'!$Ç$628), "", 'Data Entry'!$Ç$628)</f>
      </c>
      <c r="EF628">
        <f>IF(ISBLANK('Data Entry'!$È$628), "", 'Data Entry'!$È$628)</f>
      </c>
      <c r="EG628">
        <f>IF(ISBLANK('Data Entry'!$É$628), "", 'Data Entry'!$É$628)</f>
      </c>
      <c r="EH628">
        <f>IF(ISBLANK('Data Entry'!$Ê$628), "", 'Data Entry'!$Ê$628)</f>
      </c>
      <c r="EI628">
        <f>IF(ISBLANK('Data Entry'!$Ë$628), "", 'Data Entry'!$Ë$628)</f>
      </c>
      <c r="EJ628">
        <f>IF(ISBLANK('Data Entry'!$Ì$628), "", 'Data Entry'!$Ì$628)</f>
      </c>
      <c r="EK628">
        <f>IF(ISBLANK('Data Entry'!$Í$628), "", 'Data Entry'!$Í$628)</f>
      </c>
      <c r="EL628">
        <f>IF(ISBLANK('Data Entry'!$Î$628), "", 'Data Entry'!$Î$628)</f>
      </c>
      <c r="EM628">
        <f>IF(ISBLANK('Data Entry'!$Ï$628), "", 'Data Entry'!$Ï$628)</f>
      </c>
      <c r="EN628">
        <f>IF(ISBLANK('Data Entry'!$Ð$628), "", 'Data Entry'!$Ð$628)</f>
      </c>
      <c r="EO628">
        <f>IF(ISBLANK('Data Entry'!$Ñ$628), "", 'Data Entry'!$Ñ$628)</f>
      </c>
      <c r="EP628">
        <f>IF(ISBLANK('Data Entry'!$Ò$628), "", 'Data Entry'!$Ò$628)</f>
      </c>
      <c r="EQ628">
        <f>IF(ISBLANK('Data Entry'!$Ó$628), "", 'Data Entry'!$Ó$628)</f>
      </c>
      <c r="ER628">
        <f>IF(ISBLANK('Data Entry'!$Ô$628), "", 'Data Entry'!$Ô$628)</f>
      </c>
      <c r="ES628">
        <f>IF(ISBLANK('Data Entry'!$Õ$628), "", 'Data Entry'!$Õ$628)</f>
      </c>
      <c r="ET628">
        <f>IF(ISBLANK('Data Entry'!$Ö$628), "", 'Data Entry'!$Ö$628)</f>
      </c>
      <c r="EU628">
        <f>IF(ISBLANK('Data Entry'!$×$628), "", 'Data Entry'!$×$628)</f>
      </c>
      <c r="EV628">
        <f>IF(ISBLANK('Data Entry'!$Ø$628), "", 'Data Entry'!$Ø$628)</f>
      </c>
      <c r="EW628">
        <f>IF(ISBLANK('Data Entry'!$Ù$628), "", 'Data Entry'!$Ù$628)</f>
      </c>
      <c r="EX628">
        <f>IF(ISBLANK('Data Entry'!$Ú$628), "", 'Data Entry'!$Ú$628)</f>
      </c>
      <c r="EY628">
        <f>IF(ISBLANK('Data Entry'!$Û$628), "", 'Data Entry'!$Û$628)</f>
      </c>
      <c r="EZ628">
        <f>IF(ISBLANK('Data Entry'!$Ü$628), "", 'Data Entry'!$Ü$628)</f>
      </c>
      <c r="FA628">
        <f>IF(ISBLANK('Data Entry'!$Ý$628), "", 'Data Entry'!$Ý$628)</f>
      </c>
      <c r="FB628">
        <f>IF(ISBLANK('Data Entry'!$Þ$628), "", 'Data Entry'!$Þ$628)</f>
      </c>
      <c r="FC628">
        <f>IF(ISBLANK('Data Entry'!$ß$628), "", 'Data Entry'!$ß$628)</f>
      </c>
      <c r="FD628">
        <f>IF(ISBLANK('Data Entry'!$à$628), "", 'Data Entry'!$à$628)</f>
      </c>
      <c r="FE628">
        <f>IF(ISBLANK('Data Entry'!$á$628), "", 'Data Entry'!$á$628)</f>
      </c>
      <c r="FF628">
        <f>IF(ISBLANK('Data Entry'!$â$628), "", 'Data Entry'!$â$628)</f>
      </c>
      <c r="FG628">
        <f>IF(ISBLANK('Data Entry'!$ã$628), "", 'Data Entry'!$ã$628)</f>
      </c>
      <c r="FH628">
        <f>IF(ISBLANK('Data Entry'!$ä$628), "", 'Data Entry'!$ä$628)</f>
      </c>
      <c r="FI628">
        <f>IF(ISBLANK('Data Entry'!$å$628), "", 'Data Entry'!$å$628)</f>
      </c>
      <c r="FJ628">
        <f>IF(ISBLANK('Data Entry'!$æ$628), "", 'Data Entry'!$æ$628)</f>
      </c>
      <c r="FK628">
        <f>IF(ISBLANK('Data Entry'!$ç$628), "", 'Data Entry'!$ç$628)</f>
      </c>
      <c r="FL628">
        <f>IF(ISBLANK('Data Entry'!$è$628), "", 'Data Entry'!$è$628)</f>
      </c>
      <c r="FM628">
        <f>IF(ISBLANK('Data Entry'!$é$628), "", 'Data Entry'!$é$628)</f>
      </c>
      <c r="FN628">
        <f>IF(ISBLANK('Data Entry'!$ê$628), "", 'Data Entry'!$ê$628)</f>
      </c>
      <c r="FO628">
        <f>IF(ISBLANK('Data Entry'!$ë$628), "", 'Data Entry'!$ë$628)</f>
      </c>
      <c r="FP628">
        <f>IF(ISBLANK('Data Entry'!$ì$628), "", 'Data Entry'!$ì$628)</f>
      </c>
      <c r="FQ628">
        <f>IF(ISBLANK('Data Entry'!$í$628), "", 'Data Entry'!$í$628)</f>
      </c>
      <c r="FR628">
        <f>IF(ISBLANK('Data Entry'!$î$628), "", 'Data Entry'!$î$628)</f>
      </c>
      <c r="FS628">
        <f>IF(ISBLANK('Data Entry'!$ï$628), "", 'Data Entry'!$ï$628)</f>
      </c>
      <c r="FT628">
        <f>IF(ISBLANK('Data Entry'!$ð$628), "", 'Data Entry'!$ð$628)</f>
      </c>
      <c r="FU628">
        <f>IF(ISBLANK('Data Entry'!$ñ$628), "", 'Data Entry'!$ñ$628)</f>
      </c>
      <c r="FV628">
        <f>IF(ISBLANK('Data Entry'!$ò$628), "", 'Data Entry'!$ò$628)</f>
      </c>
      <c r="FW628">
        <f>IF(ISBLANK('Data Entry'!$ó$628), "", 'Data Entry'!$ó$628)</f>
      </c>
      <c r="FX628">
        <f>IF(ISBLANK('Data Entry'!$ô$628), "", 'Data Entry'!$ô$628)</f>
      </c>
      <c r="FY628">
        <f>IF(ISBLANK('Data Entry'!$õ$628), "", 'Data Entry'!$õ$628)</f>
      </c>
      <c r="FZ628">
        <f>IF(ISBLANK('Data Entry'!$ö$628), "", 'Data Entry'!$ö$628)</f>
      </c>
      <c r="GA628">
        <f>IF(ISBLANK('Data Entry'!$÷$628), "", 'Data Entry'!$÷$628)</f>
      </c>
      <c r="GB628">
        <f>IF(ISBLANK('Data Entry'!$ø$628), "", 'Data Entry'!$ø$628)</f>
      </c>
      <c r="GC628">
        <f>IF(ISBLANK('Data Entry'!$ù$628), "", 'Data Entry'!$ù$628)</f>
      </c>
      <c r="GD628">
        <f>IF(ISBLANK('Data Entry'!$ú$628), "", 'Data Entry'!$ú$628)</f>
      </c>
      <c r="GE628">
        <f>IF(ISBLANK('Data Entry'!$û$628), "", 'Data Entry'!$û$628)</f>
      </c>
      <c r="GF628">
        <f>IF(ISBLANK('Data Entry'!$ü$628), "", 'Data Entry'!$ü$628)</f>
      </c>
      <c r="GG628">
        <f>IF(ISBLANK('Data Entry'!$ý$628), "", 'Data Entry'!$ý$628)</f>
      </c>
      <c r="GH628">
        <f>IF(ISBLANK('Data Entry'!$þ$628), "", 'Data Entry'!$þ$628)</f>
      </c>
      <c r="GI628">
        <f>IF(ISBLANK('Data Entry'!$ÿ$628), "", 'Data Entry'!$ÿ$628)</f>
      </c>
      <c r="GJ628">
        <f>IF(ISBLANK('Data Entry'!$Ā$628), "", 'Data Entry'!$Ā$628)</f>
      </c>
      <c r="GK628">
        <f>IF(ISBLANK('Data Entry'!$ā$628), "", 'Data Entry'!$ā$628)</f>
      </c>
      <c r="GL628">
        <f>IF(ISBLANK('Data Entry'!$Ă$628), "", 'Data Entry'!$Ă$628)</f>
      </c>
      <c r="GM628">
        <f>IF(ISBLANK('Data Entry'!$ă$628), "", 'Data Entry'!$ă$628)</f>
      </c>
      <c r="GN628">
        <f>IF(ISBLANK('Data Entry'!$Ą$628), "", 'Data Entry'!$Ą$628)</f>
      </c>
      <c r="GO628">
        <f>IF(ISBLANK('Data Entry'!$ą$628), "", 'Data Entry'!$ą$628)</f>
      </c>
      <c r="GP628">
        <f>IF(ISBLANK('Data Entry'!$Ć$628), "", 'Data Entry'!$Ć$628)</f>
      </c>
      <c r="GQ628">
        <f>IF(ISBLANK('Data Entry'!$ć$628), "", 'Data Entry'!$ć$628)</f>
      </c>
      <c r="GR628">
        <f>IF(ISBLANK('Data Entry'!$Ĉ$628), "", 'Data Entry'!$Ĉ$628)</f>
      </c>
      <c r="GS628">
        <f>IF(ISBLANK('Data Entry'!$ĉ$628), "", 'Data Entry'!$ĉ$628)</f>
      </c>
      <c r="GT628">
        <f>IF(ISBLANK('Data Entry'!$Ċ$628), "", 'Data Entry'!$Ċ$628)</f>
      </c>
      <c r="GU628">
        <f>IF(ISBLANK('Data Entry'!$ċ$628), "", 'Data Entry'!$ċ$628)</f>
      </c>
      <c r="GV628">
        <f>IF(ISBLANK('Data Entry'!$Č$628), "", 'Data Entry'!$Č$628)</f>
      </c>
      <c r="GW628">
        <f>IF(ISBLANK('Data Entry'!$č$628), "", 'Data Entry'!$č$628)</f>
      </c>
      <c r="GX628">
        <f>IF(ISBLANK('Data Entry'!$Ď$628), "", 'Data Entry'!$Ď$628)</f>
      </c>
      <c r="GY628">
        <f>IF(ISBLANK('Data Entry'!$ď$628), "", 'Data Entry'!$ď$628)</f>
      </c>
      <c r="GZ628">
        <f>IF(ISBLANK('Data Entry'!$Đ$628), "", 'Data Entry'!$Đ$628)</f>
      </c>
      <c r="HA628">
        <f>IF(ISBLANK('Data Entry'!$đ$628), "", 'Data Entry'!$đ$628)</f>
      </c>
      <c r="HB628">
        <f>IF(ISBLANK('Data Entry'!$Ē$628), "", 'Data Entry'!$Ē$628)</f>
      </c>
      <c r="HC628">
        <f>IF(ISBLANK('Data Entry'!$ē$628), "", 'Data Entry'!$ē$628)</f>
      </c>
      <c r="HD628">
        <f>IF(ISBLANK('Data Entry'!$Ĕ$628), "", 'Data Entry'!$Ĕ$628)</f>
      </c>
      <c r="HE628">
        <f>IF(ISBLANK('Data Entry'!$ĕ$628), "", 'Data Entry'!$ĕ$628)</f>
      </c>
      <c r="HF628">
        <f>IF(ISBLANK('Data Entry'!$Ė$628), "", 'Data Entry'!$Ė$628)</f>
      </c>
      <c r="HG628">
        <f>IF(ISBLANK('Data Entry'!$ė$628), "", 'Data Entry'!$ė$628)</f>
      </c>
      <c r="HH628">
        <f>IF(ISBLANK('Data Entry'!$Ę$628), "", 'Data Entry'!$Ę$628)</f>
      </c>
      <c r="HI628">
        <f>IF(ISBLANK('Data Entry'!$ę$628), "", 'Data Entry'!$ę$628)</f>
      </c>
      <c r="HJ628">
        <f>IF(ISBLANK('Data Entry'!$Ě$628), "", 'Data Entry'!$Ě$628)</f>
      </c>
      <c r="HK628">
        <f>IF(ISBLANK('Data Entry'!$ě$628), "", 'Data Entry'!$ě$628)</f>
      </c>
      <c r="HL628">
        <f>IF(ISBLANK('Data Entry'!$Ĝ$628), "", 'Data Entry'!$Ĝ$628)</f>
      </c>
      <c r="HM628">
        <f>IF(ISBLANK('Data Entry'!$ĝ$628), "", 'Data Entry'!$ĝ$628)</f>
      </c>
      <c r="HN628">
        <f>IF(ISBLANK('Data Entry'!$Ğ$628), "", 'Data Entry'!$Ğ$628)</f>
      </c>
      <c r="HO628">
        <f>IF(ISBLANK('Data Entry'!$ğ$628), "", 'Data Entry'!$ğ$628)</f>
      </c>
      <c r="HP628">
        <f>IF(ISBLANK('Data Entry'!$Ġ$628), "", 'Data Entry'!$Ġ$628)</f>
      </c>
      <c r="HQ628">
        <f>IF(ISBLANK('Data Entry'!$ġ$628), "", 'Data Entry'!$ġ$628)</f>
      </c>
      <c r="HR628">
        <f>IF(ISBLANK('Data Entry'!$Ģ$628), "", 'Data Entry'!$Ģ$628)</f>
      </c>
      <c r="HS628">
        <f>IF(ISBLANK('Data Entry'!$ģ$628), "", 'Data Entry'!$ģ$628)</f>
      </c>
      <c r="HT628">
        <f>IF(ISBLANK('Data Entry'!$Ĥ$628), "", 'Data Entry'!$Ĥ$628)</f>
      </c>
      <c r="HU628">
        <f>IF(ISBLANK('Data Entry'!$ĥ$628), "", 'Data Entry'!$ĥ$628)</f>
      </c>
      <c r="HV628">
        <f>IF(ISBLANK('Data Entry'!$Ħ$628), "", 'Data Entry'!$Ħ$628)</f>
      </c>
      <c r="HW628">
        <f>IF(ISBLANK('Data Entry'!$ħ$628), "", 'Data Entry'!$ħ$628)</f>
      </c>
      <c r="HX628">
        <f>IF(ISBLANK('Data Entry'!$Ĩ$628), "", 'Data Entry'!$Ĩ$628)</f>
      </c>
      <c r="HY628">
        <f>IF(ISBLANK('Data Entry'!$ĩ$628), "", 'Data Entry'!$ĩ$628)</f>
      </c>
      <c r="HZ628">
        <f>IF(ISBLANK('Data Entry'!$Ī$628), "", 'Data Entry'!$Ī$628)</f>
      </c>
      <c r="IA628">
        <f>IF(ISBLANK('Data Entry'!$ī$628), "", 'Data Entry'!$ī$628)</f>
      </c>
      <c r="IB628">
        <f>IF(ISBLANK('Data Entry'!$Ĭ$628), "", 'Data Entry'!$Ĭ$628)</f>
      </c>
      <c r="IC628">
        <f>IF(ISBLANK('Data Entry'!$ĭ$628), "", 'Data Entry'!$ĭ$628)</f>
      </c>
      <c r="ID628">
        <f>IF(ISBLANK('Data Entry'!$Į$628), "", 'Data Entry'!$Į$628)</f>
      </c>
      <c r="IE628">
        <f>IF(ISBLANK('Data Entry'!$į$628), "", 'Data Entry'!$į$628)</f>
      </c>
      <c r="IF628">
        <f>IF(ISBLANK('Data Entry'!$İ$628), "", 'Data Entry'!$İ$628)</f>
      </c>
      <c r="IG628">
        <f>IF(ISBLANK('Data Entry'!$ı$628), "", 'Data Entry'!$ı$628)</f>
      </c>
      <c r="IH628">
        <f>IF(ISBLANK('Data Entry'!$Ĳ$628), "", 'Data Entry'!$Ĳ$628)</f>
      </c>
      <c r="II628">
        <f>IF(ISBLANK('Data Entry'!$ĳ$628), "", 'Data Entry'!$ĳ$628)</f>
      </c>
      <c r="IJ628">
        <f>IF(ISBLANK('Data Entry'!$Ĵ$628), "", 'Data Entry'!$Ĵ$628)</f>
      </c>
      <c r="IK628">
        <f>IF(ISBLANK('Data Entry'!$ĵ$628), "", 'Data Entry'!$ĵ$628)</f>
      </c>
      <c r="IL628">
        <f>IF(ISBLANK('Data Entry'!$Ķ$628), "", 'Data Entry'!$Ķ$628)</f>
      </c>
      <c r="IM628">
        <f>IF(ISBLANK('Data Entry'!$ķ$628), "", 'Data Entry'!$ķ$628)</f>
      </c>
      <c r="IN628">
        <f>IF(ISBLANK('Data Entry'!$ĸ$628), "", 'Data Entry'!$ĸ$628)</f>
      </c>
      <c r="IO628">
        <f>IF(ISBLANK('Data Entry'!$Ĺ$628), "", 'Data Entry'!$Ĺ$628)</f>
      </c>
      <c r="IP628">
        <f>IF(ISBLANK('Data Entry'!$ĺ$628), "", 'Data Entry'!$ĺ$628)</f>
      </c>
      <c r="IQ628">
        <f>IF(ISBLANK('Data Entry'!$Ļ$628), "", 'Data Entry'!$Ļ$628)</f>
      </c>
      <c r="IR628">
        <f>IF(ISBLANK('Data Entry'!$ļ$628), "", 'Data Entry'!$ļ$628)</f>
      </c>
      <c r="IS628">
        <f>IF(ISBLANK('Data Entry'!$Ľ$628), "", 'Data Entry'!$Ľ$628)</f>
      </c>
      <c r="IT628">
        <f>IF(ISBLANK('Data Entry'!$ľ$628), "", 'Data Entry'!$ľ$628)</f>
      </c>
    </row>
    <row r="629" spans="1:254" x14ac:dyDescent="0.25">
      <c r="A629">
        <f>IF(ISBLANK('Data Entry'!$A$629), "", 'Data Entry'!$A$629)</f>
      </c>
      <c r="B629">
        <f>IF(ISBLANK('Data Entry'!$B$629), "", 'Data Entry'!$B$629)</f>
      </c>
      <c r="C629">
        <f>IF(ISBLANK('Data Entry'!$C$629), "", 'Data Entry'!$C$629)</f>
      </c>
      <c r="D629">
        <f>IF(ISBLANK('Data Entry'!$D$629), "", 'Data Entry'!$D$629)</f>
      </c>
      <c r="E629">
        <f>IF(ISBLANK('Data Entry'!$E$629), "", 'Data Entry'!$E$629)</f>
      </c>
      <c r="F629">
        <f>IF(ISBLANK('Data Entry'!$F$629), "", 'Data Entry'!$F$629)</f>
      </c>
      <c r="G629">
        <f>IF(ISBLANK('Data Entry'!$G$629), "", 'Data Entry'!$G$629)</f>
      </c>
      <c r="H629">
        <f>IF(ISBLANK('Data Entry'!$H$629), "", 'Data Entry'!$H$629)</f>
      </c>
      <c r="I629">
        <f>IF(ISBLANK('Data Entry'!$I$629), "", 'Data Entry'!$I$629)</f>
      </c>
      <c r="J629">
        <f>IF(ISBLANK('Data Entry'!$J$629), "", 'Data Entry'!$J$629)</f>
      </c>
      <c r="K629">
        <f>IF(ISBLANK('Data Entry'!$K$629), "", 'Data Entry'!$K$629)</f>
      </c>
      <c r="L629">
        <f>IF(ISBLANK('Data Entry'!$L$629), "", 'Data Entry'!$L$629)</f>
      </c>
      <c r="M629">
        <f>IF(ISBLANK('Data Entry'!$M$629), "", 'Data Entry'!$M$629)</f>
      </c>
      <c r="N629">
        <f>IF(ISBLANK('Data Entry'!$N$629), "", 'Data Entry'!$N$629)</f>
      </c>
      <c r="O629">
        <f>IF(ISBLANK('Data Entry'!$O$629), "", 'Data Entry'!$O$629)</f>
      </c>
      <c r="P629">
        <f>IF(ISBLANK('Data Entry'!$P$629), "", 'Data Entry'!$P$629)</f>
      </c>
      <c r="Q629">
        <f>IF(ISBLANK('Data Entry'!$Q$629), "", 'Data Entry'!$Q$629)</f>
      </c>
      <c r="R629">
        <f>IF(ISBLANK('Data Entry'!$R$629), "", 'Data Entry'!$R$629)</f>
      </c>
      <c r="S629">
        <f>IF(ISBLANK('Data Entry'!$S$629), "", 'Data Entry'!$S$629)</f>
      </c>
      <c r="T629">
        <f>IF(ISBLANK('Data Entry'!$T$629), "", 'Data Entry'!$T$629)</f>
      </c>
      <c r="U629">
        <f>IF(ISBLANK('Data Entry'!$U$629), "", 'Data Entry'!$U$629)</f>
      </c>
      <c r="V629">
        <f>IF(ISBLANK('Data Entry'!$V$629), "", 'Data Entry'!$V$629)</f>
      </c>
      <c r="W629">
        <f>IF(ISBLANK('Data Entry'!$W$629), "", 'Data Entry'!$W$629)</f>
      </c>
      <c r="X629">
        <f>IF(ISBLANK('Data Entry'!$X$629), "", 'Data Entry'!$X$629)</f>
      </c>
      <c r="Y629">
        <f>IF(ISBLANK('Data Entry'!$Y$629), "", 'Data Entry'!$Y$629)</f>
      </c>
      <c r="Z629">
        <f>IF(ISBLANK('Data Entry'!$Z$629), "", 'Data Entry'!$Z$629)</f>
      </c>
      <c r="AA629">
        <f>IF(ISBLANK('Data Entry'!$[$629), "", 'Data Entry'!$[$629)</f>
      </c>
      <c r="AB629">
        <f>IF(ISBLANK('Data Entry'!$\$629), "", 'Data Entry'!$\$629)</f>
      </c>
      <c r="AC629">
        <f>IF(ISBLANK('Data Entry'!$]$629), "", 'Data Entry'!$]$629)</f>
      </c>
      <c r="AD629">
        <f>IF(ISBLANK('Data Entry'!$^$629), "", 'Data Entry'!$^$629)</f>
      </c>
      <c r="AE629">
        <f>IF(ISBLANK('Data Entry'!$_$629), "", 'Data Entry'!$_$629)</f>
      </c>
      <c r="AF629">
        <f>IF(ISBLANK('Data Entry'!$`$629), "", 'Data Entry'!$`$629)</f>
      </c>
      <c r="AG629">
        <f>IF(ISBLANK('Data Entry'!$a$629), "", 'Data Entry'!$a$629)</f>
      </c>
      <c r="AH629">
        <f>IF(ISBLANK('Data Entry'!$b$629), "", 'Data Entry'!$b$629)</f>
      </c>
      <c r="AI629">
        <f>IF(ISBLANK('Data Entry'!$c$629), "", 'Data Entry'!$c$629)</f>
      </c>
      <c r="AJ629">
        <f>IF(ISBLANK('Data Entry'!$d$629), "", 'Data Entry'!$d$629)</f>
      </c>
      <c r="AK629">
        <f>IF(ISBLANK('Data Entry'!$e$629), "", 'Data Entry'!$e$629)</f>
      </c>
      <c r="AL629">
        <f>IF(ISBLANK('Data Entry'!$f$629), "", 'Data Entry'!$f$629)</f>
      </c>
      <c r="AM629">
        <f>IF(ISBLANK('Data Entry'!$g$629), "", 'Data Entry'!$g$629)</f>
      </c>
      <c r="AN629">
        <f>IF(ISBLANK('Data Entry'!$h$629), "", 'Data Entry'!$h$629)</f>
      </c>
      <c r="AO629">
        <f>IF(ISBLANK('Data Entry'!$i$629), "", 'Data Entry'!$i$629)</f>
      </c>
      <c r="AP629">
        <f>IF(ISBLANK('Data Entry'!$j$629), "", 'Data Entry'!$j$629)</f>
      </c>
      <c r="AQ629">
        <f>IF(ISBLANK('Data Entry'!$k$629), "", 'Data Entry'!$k$629)</f>
      </c>
      <c r="AR629">
        <f>IF(ISBLANK('Data Entry'!$l$629), "", 'Data Entry'!$l$629)</f>
      </c>
      <c r="AS629">
        <f>IF(ISBLANK('Data Entry'!$m$629), "", 'Data Entry'!$m$629)</f>
      </c>
      <c r="AT629">
        <f>IF(ISBLANK('Data Entry'!$n$629), "", 'Data Entry'!$n$629)</f>
      </c>
      <c r="AU629">
        <f>IF(ISBLANK('Data Entry'!$o$629), "", 'Data Entry'!$o$629)</f>
      </c>
      <c r="AV629">
        <f>IF(ISBLANK('Data Entry'!$p$629), "", 'Data Entry'!$p$629)</f>
      </c>
      <c r="AW629">
        <f>IF(ISBLANK('Data Entry'!$q$629), "", 'Data Entry'!$q$629)</f>
      </c>
      <c r="AX629">
        <f>IF(ISBLANK('Data Entry'!$r$629), "", 'Data Entry'!$r$629)</f>
      </c>
      <c r="AY629">
        <f>IF(ISBLANK('Data Entry'!$s$629), "", 'Data Entry'!$s$629)</f>
      </c>
      <c r="AZ629">
        <f>IF(ISBLANK('Data Entry'!$t$629), "", 'Data Entry'!$t$629)</f>
      </c>
      <c r="BA629">
        <f>IF(ISBLANK('Data Entry'!$u$629), "", 'Data Entry'!$u$629)</f>
      </c>
      <c r="BB629">
        <f>IF(ISBLANK('Data Entry'!$v$629), "", 'Data Entry'!$v$629)</f>
      </c>
      <c r="BC629">
        <f>IF(ISBLANK('Data Entry'!$w$629), "", 'Data Entry'!$w$629)</f>
      </c>
      <c r="BD629">
        <f>IF(ISBLANK('Data Entry'!$x$629), "", 'Data Entry'!$x$629)</f>
      </c>
      <c r="BE629">
        <f>IF(ISBLANK('Data Entry'!$y$629), "", 'Data Entry'!$y$629)</f>
      </c>
      <c r="BF629">
        <f>IF(ISBLANK('Data Entry'!$z$629), "", 'Data Entry'!$z$629)</f>
      </c>
      <c r="BG629">
        <f>IF(ISBLANK('Data Entry'!${$629), "", 'Data Entry'!${$629)</f>
      </c>
      <c r="BH629">
        <f>IF(ISBLANK('Data Entry'!$|$629), "", 'Data Entry'!$|$629)</f>
      </c>
      <c r="BI629">
        <f>IF(ISBLANK('Data Entry'!$}$629), "", 'Data Entry'!$}$629)</f>
      </c>
      <c r="BJ629">
        <f>IF(ISBLANK('Data Entry'!$~$629), "", 'Data Entry'!$~$629)</f>
      </c>
      <c r="BK629">
        <f>IF(ISBLANK('Data Entry'!$$629), "", 'Data Entry'!$$629)</f>
      </c>
      <c r="BL629">
        <f>IF(ISBLANK('Data Entry'!$$629), "", 'Data Entry'!$$629)</f>
      </c>
      <c r="BM629">
        <f>IF(ISBLANK('Data Entry'!$$629), "", 'Data Entry'!$$629)</f>
      </c>
      <c r="BN629">
        <f>IF(ISBLANK('Data Entry'!$$629), "", 'Data Entry'!$$629)</f>
      </c>
      <c r="BO629">
        <f>IF(ISBLANK('Data Entry'!$$629), "", 'Data Entry'!$$629)</f>
      </c>
      <c r="BP629">
        <f>IF(ISBLANK('Data Entry'!$$629), "", 'Data Entry'!$$629)</f>
      </c>
      <c r="BQ629">
        <f>IF(ISBLANK('Data Entry'!$$629), "", 'Data Entry'!$$629)</f>
      </c>
      <c r="BR629">
        <f>IF(ISBLANK('Data Entry'!$$629), "", 'Data Entry'!$$629)</f>
      </c>
      <c r="BS629">
        <f>IF(ISBLANK('Data Entry'!$$629), "", 'Data Entry'!$$629)</f>
      </c>
      <c r="BT629">
        <f>IF(ISBLANK('Data Entry'!$$629), "", 'Data Entry'!$$629)</f>
      </c>
      <c r="BU629">
        <f>IF(ISBLANK('Data Entry'!$$629), "", 'Data Entry'!$$629)</f>
      </c>
      <c r="BV629">
        <f>IF(ISBLANK('Data Entry'!$$629), "", 'Data Entry'!$$629)</f>
      </c>
      <c r="BW629">
        <f>IF(ISBLANK('Data Entry'!$$629), "", 'Data Entry'!$$629)</f>
      </c>
      <c r="BX629">
        <f>IF(ISBLANK('Data Entry'!$$629), "", 'Data Entry'!$$629)</f>
      </c>
      <c r="BY629">
        <f>IF(ISBLANK('Data Entry'!$$629), "", 'Data Entry'!$$629)</f>
      </c>
      <c r="BZ629">
        <f>IF(ISBLANK('Data Entry'!$$629), "", 'Data Entry'!$$629)</f>
      </c>
      <c r="CA629">
        <f>IF(ISBLANK('Data Entry'!$$629), "", 'Data Entry'!$$629)</f>
      </c>
      <c r="CB629">
        <f>IF(ISBLANK('Data Entry'!$$629), "", 'Data Entry'!$$629)</f>
      </c>
      <c r="CC629">
        <f>IF(ISBLANK('Data Entry'!$$629), "", 'Data Entry'!$$629)</f>
      </c>
      <c r="CD629">
        <f>IF(ISBLANK('Data Entry'!$$629), "", 'Data Entry'!$$629)</f>
      </c>
      <c r="CE629">
        <f>IF(ISBLANK('Data Entry'!$$629), "", 'Data Entry'!$$629)</f>
      </c>
      <c r="CF629">
        <f>IF(ISBLANK('Data Entry'!$$629), "", 'Data Entry'!$$629)</f>
      </c>
      <c r="CG629">
        <f>IF(ISBLANK('Data Entry'!$$629), "", 'Data Entry'!$$629)</f>
      </c>
      <c r="CH629">
        <f>IF(ISBLANK('Data Entry'!$$629), "", 'Data Entry'!$$629)</f>
      </c>
      <c r="CI629">
        <f>IF(ISBLANK('Data Entry'!$$629), "", 'Data Entry'!$$629)</f>
      </c>
      <c r="CJ629">
        <f>IF(ISBLANK('Data Entry'!$$629), "", 'Data Entry'!$$629)</f>
      </c>
      <c r="CK629">
        <f>IF(ISBLANK('Data Entry'!$$629), "", 'Data Entry'!$$629)</f>
      </c>
      <c r="CL629">
        <f>IF(ISBLANK('Data Entry'!$$629), "", 'Data Entry'!$$629)</f>
      </c>
      <c r="CM629">
        <f>IF(ISBLANK('Data Entry'!$$629), "", 'Data Entry'!$$629)</f>
      </c>
      <c r="CN629">
        <f>IF(ISBLANK('Data Entry'!$$629), "", 'Data Entry'!$$629)</f>
      </c>
      <c r="CO629">
        <f>IF(ISBLANK('Data Entry'!$$629), "", 'Data Entry'!$$629)</f>
      </c>
      <c r="CP629">
        <f>IF(ISBLANK('Data Entry'!$$629), "", 'Data Entry'!$$629)</f>
      </c>
      <c r="CQ629">
        <f>IF(ISBLANK('Data Entry'!$$629), "", 'Data Entry'!$$629)</f>
      </c>
      <c r="CR629">
        <f>IF(ISBLANK('Data Entry'!$ $629), "", 'Data Entry'!$ $629)</f>
      </c>
      <c r="CS629">
        <f>IF(ISBLANK('Data Entry'!$¡$629), "", 'Data Entry'!$¡$629)</f>
      </c>
      <c r="CT629">
        <f>IF(ISBLANK('Data Entry'!$¢$629), "", 'Data Entry'!$¢$629)</f>
      </c>
      <c r="CU629">
        <f>IF(ISBLANK('Data Entry'!$£$629), "", 'Data Entry'!$£$629)</f>
      </c>
      <c r="CV629">
        <f>IF(ISBLANK('Data Entry'!$¤$629), "", 'Data Entry'!$¤$629)</f>
      </c>
      <c r="CW629">
        <f>IF(ISBLANK('Data Entry'!$¥$629), "", 'Data Entry'!$¥$629)</f>
      </c>
      <c r="CX629">
        <f>IF(ISBLANK('Data Entry'!$¦$629), "", 'Data Entry'!$¦$629)</f>
      </c>
      <c r="CY629">
        <f>IF(ISBLANK('Data Entry'!$§$629), "", 'Data Entry'!$§$629)</f>
      </c>
      <c r="CZ629">
        <f>IF(ISBLANK('Data Entry'!$¨$629), "", 'Data Entry'!$¨$629)</f>
      </c>
      <c r="DA629">
        <f>IF(ISBLANK('Data Entry'!$©$629), "", 'Data Entry'!$©$629)</f>
      </c>
      <c r="DB629">
        <f>IF(ISBLANK('Data Entry'!$ª$629), "", 'Data Entry'!$ª$629)</f>
      </c>
      <c r="DC629">
        <f>IF(ISBLANK('Data Entry'!$«$629), "", 'Data Entry'!$«$629)</f>
      </c>
      <c r="DD629">
        <f>IF(ISBLANK('Data Entry'!$¬$629), "", 'Data Entry'!$¬$629)</f>
      </c>
      <c r="DE629">
        <f>IF(ISBLANK('Data Entry'!$­$629), "", 'Data Entry'!$­$629)</f>
      </c>
      <c r="DF629">
        <f>IF(ISBLANK('Data Entry'!$®$629), "", 'Data Entry'!$®$629)</f>
      </c>
      <c r="DG629">
        <f>IF(ISBLANK('Data Entry'!$¯$629), "", 'Data Entry'!$¯$629)</f>
      </c>
      <c r="DH629">
        <f>IF(ISBLANK('Data Entry'!$°$629), "", 'Data Entry'!$°$629)</f>
      </c>
      <c r="DI629">
        <f>IF(ISBLANK('Data Entry'!$±$629), "", 'Data Entry'!$±$629)</f>
      </c>
      <c r="DJ629">
        <f>IF(ISBLANK('Data Entry'!$²$629), "", 'Data Entry'!$²$629)</f>
      </c>
      <c r="DK629">
        <f>IF(ISBLANK('Data Entry'!$³$629), "", 'Data Entry'!$³$629)</f>
      </c>
      <c r="DL629">
        <f>IF(ISBLANK('Data Entry'!$´$629), "", 'Data Entry'!$´$629)</f>
      </c>
      <c r="DM629">
        <f>IF(ISBLANK('Data Entry'!$µ$629), "", 'Data Entry'!$µ$629)</f>
      </c>
      <c r="DN629">
        <f>IF(ISBLANK('Data Entry'!$¶$629), "", 'Data Entry'!$¶$629)</f>
      </c>
      <c r="DO629">
        <f>IF(ISBLANK('Data Entry'!$·$629), "", 'Data Entry'!$·$629)</f>
      </c>
      <c r="DP629">
        <f>IF(ISBLANK('Data Entry'!$¸$629), "", 'Data Entry'!$¸$629)</f>
      </c>
      <c r="DQ629">
        <f>IF(ISBLANK('Data Entry'!$¹$629), "", 'Data Entry'!$¹$629)</f>
      </c>
      <c r="DR629">
        <f>IF(ISBLANK('Data Entry'!$º$629), "", 'Data Entry'!$º$629)</f>
      </c>
      <c r="DS629">
        <f>IF(ISBLANK('Data Entry'!$»$629), "", 'Data Entry'!$»$629)</f>
      </c>
      <c r="DT629">
        <f>IF(ISBLANK('Data Entry'!$¼$629), "", 'Data Entry'!$¼$629)</f>
      </c>
      <c r="DU629">
        <f>IF(ISBLANK('Data Entry'!$½$629), "", 'Data Entry'!$½$629)</f>
      </c>
      <c r="DV629">
        <f>IF(ISBLANK('Data Entry'!$¾$629), "", 'Data Entry'!$¾$629)</f>
      </c>
      <c r="DW629">
        <f>IF(ISBLANK('Data Entry'!$¿$629), "", 'Data Entry'!$¿$629)</f>
      </c>
      <c r="DX629">
        <f>IF(ISBLANK('Data Entry'!$À$629), "", 'Data Entry'!$À$629)</f>
      </c>
      <c r="DY629">
        <f>IF(ISBLANK('Data Entry'!$Á$629), "", 'Data Entry'!$Á$629)</f>
      </c>
      <c r="DZ629">
        <f>IF(ISBLANK('Data Entry'!$Â$629), "", 'Data Entry'!$Â$629)</f>
      </c>
      <c r="EA629">
        <f>IF(ISBLANK('Data Entry'!$Ã$629), "", 'Data Entry'!$Ã$629)</f>
      </c>
      <c r="EB629">
        <f>IF(ISBLANK('Data Entry'!$Ä$629), "", 'Data Entry'!$Ä$629)</f>
      </c>
      <c r="EC629">
        <f>IF(ISBLANK('Data Entry'!$Å$629), "", 'Data Entry'!$Å$629)</f>
      </c>
      <c r="ED629">
        <f>IF(ISBLANK('Data Entry'!$Æ$629), "", 'Data Entry'!$Æ$629)</f>
      </c>
      <c r="EE629">
        <f>IF(ISBLANK('Data Entry'!$Ç$629), "", 'Data Entry'!$Ç$629)</f>
      </c>
      <c r="EF629">
        <f>IF(ISBLANK('Data Entry'!$È$629), "", 'Data Entry'!$È$629)</f>
      </c>
      <c r="EG629">
        <f>IF(ISBLANK('Data Entry'!$É$629), "", 'Data Entry'!$É$629)</f>
      </c>
      <c r="EH629">
        <f>IF(ISBLANK('Data Entry'!$Ê$629), "", 'Data Entry'!$Ê$629)</f>
      </c>
      <c r="EI629">
        <f>IF(ISBLANK('Data Entry'!$Ë$629), "", 'Data Entry'!$Ë$629)</f>
      </c>
      <c r="EJ629">
        <f>IF(ISBLANK('Data Entry'!$Ì$629), "", 'Data Entry'!$Ì$629)</f>
      </c>
      <c r="EK629">
        <f>IF(ISBLANK('Data Entry'!$Í$629), "", 'Data Entry'!$Í$629)</f>
      </c>
      <c r="EL629">
        <f>IF(ISBLANK('Data Entry'!$Î$629), "", 'Data Entry'!$Î$629)</f>
      </c>
      <c r="EM629">
        <f>IF(ISBLANK('Data Entry'!$Ï$629), "", 'Data Entry'!$Ï$629)</f>
      </c>
      <c r="EN629">
        <f>IF(ISBLANK('Data Entry'!$Ð$629), "", 'Data Entry'!$Ð$629)</f>
      </c>
      <c r="EO629">
        <f>IF(ISBLANK('Data Entry'!$Ñ$629), "", 'Data Entry'!$Ñ$629)</f>
      </c>
      <c r="EP629">
        <f>IF(ISBLANK('Data Entry'!$Ò$629), "", 'Data Entry'!$Ò$629)</f>
      </c>
      <c r="EQ629">
        <f>IF(ISBLANK('Data Entry'!$Ó$629), "", 'Data Entry'!$Ó$629)</f>
      </c>
      <c r="ER629">
        <f>IF(ISBLANK('Data Entry'!$Ô$629), "", 'Data Entry'!$Ô$629)</f>
      </c>
      <c r="ES629">
        <f>IF(ISBLANK('Data Entry'!$Õ$629), "", 'Data Entry'!$Õ$629)</f>
      </c>
      <c r="ET629">
        <f>IF(ISBLANK('Data Entry'!$Ö$629), "", 'Data Entry'!$Ö$629)</f>
      </c>
      <c r="EU629">
        <f>IF(ISBLANK('Data Entry'!$×$629), "", 'Data Entry'!$×$629)</f>
      </c>
      <c r="EV629">
        <f>IF(ISBLANK('Data Entry'!$Ø$629), "", 'Data Entry'!$Ø$629)</f>
      </c>
      <c r="EW629">
        <f>IF(ISBLANK('Data Entry'!$Ù$629), "", 'Data Entry'!$Ù$629)</f>
      </c>
      <c r="EX629">
        <f>IF(ISBLANK('Data Entry'!$Ú$629), "", 'Data Entry'!$Ú$629)</f>
      </c>
      <c r="EY629">
        <f>IF(ISBLANK('Data Entry'!$Û$629), "", 'Data Entry'!$Û$629)</f>
      </c>
      <c r="EZ629">
        <f>IF(ISBLANK('Data Entry'!$Ü$629), "", 'Data Entry'!$Ü$629)</f>
      </c>
      <c r="FA629">
        <f>IF(ISBLANK('Data Entry'!$Ý$629), "", 'Data Entry'!$Ý$629)</f>
      </c>
      <c r="FB629">
        <f>IF(ISBLANK('Data Entry'!$Þ$629), "", 'Data Entry'!$Þ$629)</f>
      </c>
      <c r="FC629">
        <f>IF(ISBLANK('Data Entry'!$ß$629), "", 'Data Entry'!$ß$629)</f>
      </c>
      <c r="FD629">
        <f>IF(ISBLANK('Data Entry'!$à$629), "", 'Data Entry'!$à$629)</f>
      </c>
      <c r="FE629">
        <f>IF(ISBLANK('Data Entry'!$á$629), "", 'Data Entry'!$á$629)</f>
      </c>
      <c r="FF629">
        <f>IF(ISBLANK('Data Entry'!$â$629), "", 'Data Entry'!$â$629)</f>
      </c>
      <c r="FG629">
        <f>IF(ISBLANK('Data Entry'!$ã$629), "", 'Data Entry'!$ã$629)</f>
      </c>
      <c r="FH629">
        <f>IF(ISBLANK('Data Entry'!$ä$629), "", 'Data Entry'!$ä$629)</f>
      </c>
      <c r="FI629">
        <f>IF(ISBLANK('Data Entry'!$å$629), "", 'Data Entry'!$å$629)</f>
      </c>
      <c r="FJ629">
        <f>IF(ISBLANK('Data Entry'!$æ$629), "", 'Data Entry'!$æ$629)</f>
      </c>
      <c r="FK629">
        <f>IF(ISBLANK('Data Entry'!$ç$629), "", 'Data Entry'!$ç$629)</f>
      </c>
      <c r="FL629">
        <f>IF(ISBLANK('Data Entry'!$è$629), "", 'Data Entry'!$è$629)</f>
      </c>
      <c r="FM629">
        <f>IF(ISBLANK('Data Entry'!$é$629), "", 'Data Entry'!$é$629)</f>
      </c>
      <c r="FN629">
        <f>IF(ISBLANK('Data Entry'!$ê$629), "", 'Data Entry'!$ê$629)</f>
      </c>
      <c r="FO629">
        <f>IF(ISBLANK('Data Entry'!$ë$629), "", 'Data Entry'!$ë$629)</f>
      </c>
      <c r="FP629">
        <f>IF(ISBLANK('Data Entry'!$ì$629), "", 'Data Entry'!$ì$629)</f>
      </c>
      <c r="FQ629">
        <f>IF(ISBLANK('Data Entry'!$í$629), "", 'Data Entry'!$í$629)</f>
      </c>
      <c r="FR629">
        <f>IF(ISBLANK('Data Entry'!$î$629), "", 'Data Entry'!$î$629)</f>
      </c>
      <c r="FS629">
        <f>IF(ISBLANK('Data Entry'!$ï$629), "", 'Data Entry'!$ï$629)</f>
      </c>
      <c r="FT629">
        <f>IF(ISBLANK('Data Entry'!$ð$629), "", 'Data Entry'!$ð$629)</f>
      </c>
      <c r="FU629">
        <f>IF(ISBLANK('Data Entry'!$ñ$629), "", 'Data Entry'!$ñ$629)</f>
      </c>
      <c r="FV629">
        <f>IF(ISBLANK('Data Entry'!$ò$629), "", 'Data Entry'!$ò$629)</f>
      </c>
      <c r="FW629">
        <f>IF(ISBLANK('Data Entry'!$ó$629), "", 'Data Entry'!$ó$629)</f>
      </c>
      <c r="FX629">
        <f>IF(ISBLANK('Data Entry'!$ô$629), "", 'Data Entry'!$ô$629)</f>
      </c>
      <c r="FY629">
        <f>IF(ISBLANK('Data Entry'!$õ$629), "", 'Data Entry'!$õ$629)</f>
      </c>
      <c r="FZ629">
        <f>IF(ISBLANK('Data Entry'!$ö$629), "", 'Data Entry'!$ö$629)</f>
      </c>
      <c r="GA629">
        <f>IF(ISBLANK('Data Entry'!$÷$629), "", 'Data Entry'!$÷$629)</f>
      </c>
      <c r="GB629">
        <f>IF(ISBLANK('Data Entry'!$ø$629), "", 'Data Entry'!$ø$629)</f>
      </c>
      <c r="GC629">
        <f>IF(ISBLANK('Data Entry'!$ù$629), "", 'Data Entry'!$ù$629)</f>
      </c>
      <c r="GD629">
        <f>IF(ISBLANK('Data Entry'!$ú$629), "", 'Data Entry'!$ú$629)</f>
      </c>
      <c r="GE629">
        <f>IF(ISBLANK('Data Entry'!$û$629), "", 'Data Entry'!$û$629)</f>
      </c>
      <c r="GF629">
        <f>IF(ISBLANK('Data Entry'!$ü$629), "", 'Data Entry'!$ü$629)</f>
      </c>
      <c r="GG629">
        <f>IF(ISBLANK('Data Entry'!$ý$629), "", 'Data Entry'!$ý$629)</f>
      </c>
      <c r="GH629">
        <f>IF(ISBLANK('Data Entry'!$þ$629), "", 'Data Entry'!$þ$629)</f>
      </c>
      <c r="GI629">
        <f>IF(ISBLANK('Data Entry'!$ÿ$629), "", 'Data Entry'!$ÿ$629)</f>
      </c>
      <c r="GJ629">
        <f>IF(ISBLANK('Data Entry'!$Ā$629), "", 'Data Entry'!$Ā$629)</f>
      </c>
      <c r="GK629">
        <f>IF(ISBLANK('Data Entry'!$ā$629), "", 'Data Entry'!$ā$629)</f>
      </c>
      <c r="GL629">
        <f>IF(ISBLANK('Data Entry'!$Ă$629), "", 'Data Entry'!$Ă$629)</f>
      </c>
      <c r="GM629">
        <f>IF(ISBLANK('Data Entry'!$ă$629), "", 'Data Entry'!$ă$629)</f>
      </c>
      <c r="GN629">
        <f>IF(ISBLANK('Data Entry'!$Ą$629), "", 'Data Entry'!$Ą$629)</f>
      </c>
      <c r="GO629">
        <f>IF(ISBLANK('Data Entry'!$ą$629), "", 'Data Entry'!$ą$629)</f>
      </c>
      <c r="GP629">
        <f>IF(ISBLANK('Data Entry'!$Ć$629), "", 'Data Entry'!$Ć$629)</f>
      </c>
      <c r="GQ629">
        <f>IF(ISBLANK('Data Entry'!$ć$629), "", 'Data Entry'!$ć$629)</f>
      </c>
      <c r="GR629">
        <f>IF(ISBLANK('Data Entry'!$Ĉ$629), "", 'Data Entry'!$Ĉ$629)</f>
      </c>
      <c r="GS629">
        <f>IF(ISBLANK('Data Entry'!$ĉ$629), "", 'Data Entry'!$ĉ$629)</f>
      </c>
      <c r="GT629">
        <f>IF(ISBLANK('Data Entry'!$Ċ$629), "", 'Data Entry'!$Ċ$629)</f>
      </c>
      <c r="GU629">
        <f>IF(ISBLANK('Data Entry'!$ċ$629), "", 'Data Entry'!$ċ$629)</f>
      </c>
      <c r="GV629">
        <f>IF(ISBLANK('Data Entry'!$Č$629), "", 'Data Entry'!$Č$629)</f>
      </c>
      <c r="GW629">
        <f>IF(ISBLANK('Data Entry'!$č$629), "", 'Data Entry'!$č$629)</f>
      </c>
      <c r="GX629">
        <f>IF(ISBLANK('Data Entry'!$Ď$629), "", 'Data Entry'!$Ď$629)</f>
      </c>
      <c r="GY629">
        <f>IF(ISBLANK('Data Entry'!$ď$629), "", 'Data Entry'!$ď$629)</f>
      </c>
      <c r="GZ629">
        <f>IF(ISBLANK('Data Entry'!$Đ$629), "", 'Data Entry'!$Đ$629)</f>
      </c>
      <c r="HA629">
        <f>IF(ISBLANK('Data Entry'!$đ$629), "", 'Data Entry'!$đ$629)</f>
      </c>
      <c r="HB629">
        <f>IF(ISBLANK('Data Entry'!$Ē$629), "", 'Data Entry'!$Ē$629)</f>
      </c>
      <c r="HC629">
        <f>IF(ISBLANK('Data Entry'!$ē$629), "", 'Data Entry'!$ē$629)</f>
      </c>
      <c r="HD629">
        <f>IF(ISBLANK('Data Entry'!$Ĕ$629), "", 'Data Entry'!$Ĕ$629)</f>
      </c>
      <c r="HE629">
        <f>IF(ISBLANK('Data Entry'!$ĕ$629), "", 'Data Entry'!$ĕ$629)</f>
      </c>
      <c r="HF629">
        <f>IF(ISBLANK('Data Entry'!$Ė$629), "", 'Data Entry'!$Ė$629)</f>
      </c>
      <c r="HG629">
        <f>IF(ISBLANK('Data Entry'!$ė$629), "", 'Data Entry'!$ė$629)</f>
      </c>
      <c r="HH629">
        <f>IF(ISBLANK('Data Entry'!$Ę$629), "", 'Data Entry'!$Ę$629)</f>
      </c>
      <c r="HI629">
        <f>IF(ISBLANK('Data Entry'!$ę$629), "", 'Data Entry'!$ę$629)</f>
      </c>
      <c r="HJ629">
        <f>IF(ISBLANK('Data Entry'!$Ě$629), "", 'Data Entry'!$Ě$629)</f>
      </c>
      <c r="HK629">
        <f>IF(ISBLANK('Data Entry'!$ě$629), "", 'Data Entry'!$ě$629)</f>
      </c>
      <c r="HL629">
        <f>IF(ISBLANK('Data Entry'!$Ĝ$629), "", 'Data Entry'!$Ĝ$629)</f>
      </c>
      <c r="HM629">
        <f>IF(ISBLANK('Data Entry'!$ĝ$629), "", 'Data Entry'!$ĝ$629)</f>
      </c>
      <c r="HN629">
        <f>IF(ISBLANK('Data Entry'!$Ğ$629), "", 'Data Entry'!$Ğ$629)</f>
      </c>
      <c r="HO629">
        <f>IF(ISBLANK('Data Entry'!$ğ$629), "", 'Data Entry'!$ğ$629)</f>
      </c>
      <c r="HP629">
        <f>IF(ISBLANK('Data Entry'!$Ġ$629), "", 'Data Entry'!$Ġ$629)</f>
      </c>
      <c r="HQ629">
        <f>IF(ISBLANK('Data Entry'!$ġ$629), "", 'Data Entry'!$ġ$629)</f>
      </c>
      <c r="HR629">
        <f>IF(ISBLANK('Data Entry'!$Ģ$629), "", 'Data Entry'!$Ģ$629)</f>
      </c>
      <c r="HS629">
        <f>IF(ISBLANK('Data Entry'!$ģ$629), "", 'Data Entry'!$ģ$629)</f>
      </c>
      <c r="HT629">
        <f>IF(ISBLANK('Data Entry'!$Ĥ$629), "", 'Data Entry'!$Ĥ$629)</f>
      </c>
      <c r="HU629">
        <f>IF(ISBLANK('Data Entry'!$ĥ$629), "", 'Data Entry'!$ĥ$629)</f>
      </c>
      <c r="HV629">
        <f>IF(ISBLANK('Data Entry'!$Ħ$629), "", 'Data Entry'!$Ħ$629)</f>
      </c>
      <c r="HW629">
        <f>IF(ISBLANK('Data Entry'!$ħ$629), "", 'Data Entry'!$ħ$629)</f>
      </c>
      <c r="HX629">
        <f>IF(ISBLANK('Data Entry'!$Ĩ$629), "", 'Data Entry'!$Ĩ$629)</f>
      </c>
      <c r="HY629">
        <f>IF(ISBLANK('Data Entry'!$ĩ$629), "", 'Data Entry'!$ĩ$629)</f>
      </c>
      <c r="HZ629">
        <f>IF(ISBLANK('Data Entry'!$Ī$629), "", 'Data Entry'!$Ī$629)</f>
      </c>
      <c r="IA629">
        <f>IF(ISBLANK('Data Entry'!$ī$629), "", 'Data Entry'!$ī$629)</f>
      </c>
      <c r="IB629">
        <f>IF(ISBLANK('Data Entry'!$Ĭ$629), "", 'Data Entry'!$Ĭ$629)</f>
      </c>
      <c r="IC629">
        <f>IF(ISBLANK('Data Entry'!$ĭ$629), "", 'Data Entry'!$ĭ$629)</f>
      </c>
      <c r="ID629">
        <f>IF(ISBLANK('Data Entry'!$Į$629), "", 'Data Entry'!$Į$629)</f>
      </c>
      <c r="IE629">
        <f>IF(ISBLANK('Data Entry'!$į$629), "", 'Data Entry'!$į$629)</f>
      </c>
      <c r="IF629">
        <f>IF(ISBLANK('Data Entry'!$İ$629), "", 'Data Entry'!$İ$629)</f>
      </c>
      <c r="IG629">
        <f>IF(ISBLANK('Data Entry'!$ı$629), "", 'Data Entry'!$ı$629)</f>
      </c>
      <c r="IH629">
        <f>IF(ISBLANK('Data Entry'!$Ĳ$629), "", 'Data Entry'!$Ĳ$629)</f>
      </c>
      <c r="II629">
        <f>IF(ISBLANK('Data Entry'!$ĳ$629), "", 'Data Entry'!$ĳ$629)</f>
      </c>
      <c r="IJ629">
        <f>IF(ISBLANK('Data Entry'!$Ĵ$629), "", 'Data Entry'!$Ĵ$629)</f>
      </c>
      <c r="IK629">
        <f>IF(ISBLANK('Data Entry'!$ĵ$629), "", 'Data Entry'!$ĵ$629)</f>
      </c>
      <c r="IL629">
        <f>IF(ISBLANK('Data Entry'!$Ķ$629), "", 'Data Entry'!$Ķ$629)</f>
      </c>
      <c r="IM629">
        <f>IF(ISBLANK('Data Entry'!$ķ$629), "", 'Data Entry'!$ķ$629)</f>
      </c>
      <c r="IN629">
        <f>IF(ISBLANK('Data Entry'!$ĸ$629), "", 'Data Entry'!$ĸ$629)</f>
      </c>
      <c r="IO629">
        <f>IF(ISBLANK('Data Entry'!$Ĺ$629), "", 'Data Entry'!$Ĺ$629)</f>
      </c>
      <c r="IP629">
        <f>IF(ISBLANK('Data Entry'!$ĺ$629), "", 'Data Entry'!$ĺ$629)</f>
      </c>
      <c r="IQ629">
        <f>IF(ISBLANK('Data Entry'!$Ļ$629), "", 'Data Entry'!$Ļ$629)</f>
      </c>
      <c r="IR629">
        <f>IF(ISBLANK('Data Entry'!$ļ$629), "", 'Data Entry'!$ļ$629)</f>
      </c>
      <c r="IS629">
        <f>IF(ISBLANK('Data Entry'!$Ľ$629), "", 'Data Entry'!$Ľ$629)</f>
      </c>
      <c r="IT629">
        <f>IF(ISBLANK('Data Entry'!$ľ$629), "", 'Data Entry'!$ľ$629)</f>
      </c>
    </row>
    <row r="630" spans="1:254" x14ac:dyDescent="0.25">
      <c r="A630">
        <f>IF(ISBLANK('Data Entry'!$A$630), "", 'Data Entry'!$A$630)</f>
      </c>
      <c r="B630">
        <f>IF(ISBLANK('Data Entry'!$B$630), "", 'Data Entry'!$B$630)</f>
      </c>
      <c r="C630">
        <f>IF(ISBLANK('Data Entry'!$C$630), "", 'Data Entry'!$C$630)</f>
      </c>
      <c r="D630">
        <f>IF(ISBLANK('Data Entry'!$D$630), "", 'Data Entry'!$D$630)</f>
      </c>
      <c r="E630">
        <f>IF(ISBLANK('Data Entry'!$E$630), "", 'Data Entry'!$E$630)</f>
      </c>
      <c r="F630">
        <f>IF(ISBLANK('Data Entry'!$F$630), "", 'Data Entry'!$F$630)</f>
      </c>
      <c r="G630">
        <f>IF(ISBLANK('Data Entry'!$G$630), "", 'Data Entry'!$G$630)</f>
      </c>
      <c r="H630">
        <f>IF(ISBLANK('Data Entry'!$H$630), "", 'Data Entry'!$H$630)</f>
      </c>
      <c r="I630">
        <f>IF(ISBLANK('Data Entry'!$I$630), "", 'Data Entry'!$I$630)</f>
      </c>
      <c r="J630">
        <f>IF(ISBLANK('Data Entry'!$J$630), "", 'Data Entry'!$J$630)</f>
      </c>
      <c r="K630">
        <f>IF(ISBLANK('Data Entry'!$K$630), "", 'Data Entry'!$K$630)</f>
      </c>
      <c r="L630">
        <f>IF(ISBLANK('Data Entry'!$L$630), "", 'Data Entry'!$L$630)</f>
      </c>
      <c r="M630">
        <f>IF(ISBLANK('Data Entry'!$M$630), "", 'Data Entry'!$M$630)</f>
      </c>
      <c r="N630">
        <f>IF(ISBLANK('Data Entry'!$N$630), "", 'Data Entry'!$N$630)</f>
      </c>
      <c r="O630">
        <f>IF(ISBLANK('Data Entry'!$O$630), "", 'Data Entry'!$O$630)</f>
      </c>
      <c r="P630">
        <f>IF(ISBLANK('Data Entry'!$P$630), "", 'Data Entry'!$P$630)</f>
      </c>
      <c r="Q630">
        <f>IF(ISBLANK('Data Entry'!$Q$630), "", 'Data Entry'!$Q$630)</f>
      </c>
      <c r="R630">
        <f>IF(ISBLANK('Data Entry'!$R$630), "", 'Data Entry'!$R$630)</f>
      </c>
      <c r="S630">
        <f>IF(ISBLANK('Data Entry'!$S$630), "", 'Data Entry'!$S$630)</f>
      </c>
      <c r="T630">
        <f>IF(ISBLANK('Data Entry'!$T$630), "", 'Data Entry'!$T$630)</f>
      </c>
      <c r="U630">
        <f>IF(ISBLANK('Data Entry'!$U$630), "", 'Data Entry'!$U$630)</f>
      </c>
      <c r="V630">
        <f>IF(ISBLANK('Data Entry'!$V$630), "", 'Data Entry'!$V$630)</f>
      </c>
      <c r="W630">
        <f>IF(ISBLANK('Data Entry'!$W$630), "", 'Data Entry'!$W$630)</f>
      </c>
      <c r="X630">
        <f>IF(ISBLANK('Data Entry'!$X$630), "", 'Data Entry'!$X$630)</f>
      </c>
      <c r="Y630">
        <f>IF(ISBLANK('Data Entry'!$Y$630), "", 'Data Entry'!$Y$630)</f>
      </c>
      <c r="Z630">
        <f>IF(ISBLANK('Data Entry'!$Z$630), "", 'Data Entry'!$Z$630)</f>
      </c>
      <c r="AA630">
        <f>IF(ISBLANK('Data Entry'!$[$630), "", 'Data Entry'!$[$630)</f>
      </c>
      <c r="AB630">
        <f>IF(ISBLANK('Data Entry'!$\$630), "", 'Data Entry'!$\$630)</f>
      </c>
      <c r="AC630">
        <f>IF(ISBLANK('Data Entry'!$]$630), "", 'Data Entry'!$]$630)</f>
      </c>
      <c r="AD630">
        <f>IF(ISBLANK('Data Entry'!$^$630), "", 'Data Entry'!$^$630)</f>
      </c>
      <c r="AE630">
        <f>IF(ISBLANK('Data Entry'!$_$630), "", 'Data Entry'!$_$630)</f>
      </c>
      <c r="AF630">
        <f>IF(ISBLANK('Data Entry'!$`$630), "", 'Data Entry'!$`$630)</f>
      </c>
      <c r="AG630">
        <f>IF(ISBLANK('Data Entry'!$a$630), "", 'Data Entry'!$a$630)</f>
      </c>
      <c r="AH630">
        <f>IF(ISBLANK('Data Entry'!$b$630), "", 'Data Entry'!$b$630)</f>
      </c>
      <c r="AI630">
        <f>IF(ISBLANK('Data Entry'!$c$630), "", 'Data Entry'!$c$630)</f>
      </c>
      <c r="AJ630">
        <f>IF(ISBLANK('Data Entry'!$d$630), "", 'Data Entry'!$d$630)</f>
      </c>
      <c r="AK630">
        <f>IF(ISBLANK('Data Entry'!$e$630), "", 'Data Entry'!$e$630)</f>
      </c>
      <c r="AL630">
        <f>IF(ISBLANK('Data Entry'!$f$630), "", 'Data Entry'!$f$630)</f>
      </c>
      <c r="AM630">
        <f>IF(ISBLANK('Data Entry'!$g$630), "", 'Data Entry'!$g$630)</f>
      </c>
      <c r="AN630">
        <f>IF(ISBLANK('Data Entry'!$h$630), "", 'Data Entry'!$h$630)</f>
      </c>
      <c r="AO630">
        <f>IF(ISBLANK('Data Entry'!$i$630), "", 'Data Entry'!$i$630)</f>
      </c>
      <c r="AP630">
        <f>IF(ISBLANK('Data Entry'!$j$630), "", 'Data Entry'!$j$630)</f>
      </c>
      <c r="AQ630">
        <f>IF(ISBLANK('Data Entry'!$k$630), "", 'Data Entry'!$k$630)</f>
      </c>
      <c r="AR630">
        <f>IF(ISBLANK('Data Entry'!$l$630), "", 'Data Entry'!$l$630)</f>
      </c>
      <c r="AS630">
        <f>IF(ISBLANK('Data Entry'!$m$630), "", 'Data Entry'!$m$630)</f>
      </c>
      <c r="AT630">
        <f>IF(ISBLANK('Data Entry'!$n$630), "", 'Data Entry'!$n$630)</f>
      </c>
      <c r="AU630">
        <f>IF(ISBLANK('Data Entry'!$o$630), "", 'Data Entry'!$o$630)</f>
      </c>
      <c r="AV630">
        <f>IF(ISBLANK('Data Entry'!$p$630), "", 'Data Entry'!$p$630)</f>
      </c>
      <c r="AW630">
        <f>IF(ISBLANK('Data Entry'!$q$630), "", 'Data Entry'!$q$630)</f>
      </c>
      <c r="AX630">
        <f>IF(ISBLANK('Data Entry'!$r$630), "", 'Data Entry'!$r$630)</f>
      </c>
      <c r="AY630">
        <f>IF(ISBLANK('Data Entry'!$s$630), "", 'Data Entry'!$s$630)</f>
      </c>
      <c r="AZ630">
        <f>IF(ISBLANK('Data Entry'!$t$630), "", 'Data Entry'!$t$630)</f>
      </c>
      <c r="BA630">
        <f>IF(ISBLANK('Data Entry'!$u$630), "", 'Data Entry'!$u$630)</f>
      </c>
      <c r="BB630">
        <f>IF(ISBLANK('Data Entry'!$v$630), "", 'Data Entry'!$v$630)</f>
      </c>
      <c r="BC630">
        <f>IF(ISBLANK('Data Entry'!$w$630), "", 'Data Entry'!$w$630)</f>
      </c>
      <c r="BD630">
        <f>IF(ISBLANK('Data Entry'!$x$630), "", 'Data Entry'!$x$630)</f>
      </c>
      <c r="BE630">
        <f>IF(ISBLANK('Data Entry'!$y$630), "", 'Data Entry'!$y$630)</f>
      </c>
      <c r="BF630">
        <f>IF(ISBLANK('Data Entry'!$z$630), "", 'Data Entry'!$z$630)</f>
      </c>
      <c r="BG630">
        <f>IF(ISBLANK('Data Entry'!${$630), "", 'Data Entry'!${$630)</f>
      </c>
      <c r="BH630">
        <f>IF(ISBLANK('Data Entry'!$|$630), "", 'Data Entry'!$|$630)</f>
      </c>
      <c r="BI630">
        <f>IF(ISBLANK('Data Entry'!$}$630), "", 'Data Entry'!$}$630)</f>
      </c>
      <c r="BJ630">
        <f>IF(ISBLANK('Data Entry'!$~$630), "", 'Data Entry'!$~$630)</f>
      </c>
      <c r="BK630">
        <f>IF(ISBLANK('Data Entry'!$$630), "", 'Data Entry'!$$630)</f>
      </c>
      <c r="BL630">
        <f>IF(ISBLANK('Data Entry'!$$630), "", 'Data Entry'!$$630)</f>
      </c>
      <c r="BM630">
        <f>IF(ISBLANK('Data Entry'!$$630), "", 'Data Entry'!$$630)</f>
      </c>
      <c r="BN630">
        <f>IF(ISBLANK('Data Entry'!$$630), "", 'Data Entry'!$$630)</f>
      </c>
      <c r="BO630">
        <f>IF(ISBLANK('Data Entry'!$$630), "", 'Data Entry'!$$630)</f>
      </c>
      <c r="BP630">
        <f>IF(ISBLANK('Data Entry'!$$630), "", 'Data Entry'!$$630)</f>
      </c>
      <c r="BQ630">
        <f>IF(ISBLANK('Data Entry'!$$630), "", 'Data Entry'!$$630)</f>
      </c>
      <c r="BR630">
        <f>IF(ISBLANK('Data Entry'!$$630), "", 'Data Entry'!$$630)</f>
      </c>
      <c r="BS630">
        <f>IF(ISBLANK('Data Entry'!$$630), "", 'Data Entry'!$$630)</f>
      </c>
      <c r="BT630">
        <f>IF(ISBLANK('Data Entry'!$$630), "", 'Data Entry'!$$630)</f>
      </c>
      <c r="BU630">
        <f>IF(ISBLANK('Data Entry'!$$630), "", 'Data Entry'!$$630)</f>
      </c>
      <c r="BV630">
        <f>IF(ISBLANK('Data Entry'!$$630), "", 'Data Entry'!$$630)</f>
      </c>
      <c r="BW630">
        <f>IF(ISBLANK('Data Entry'!$$630), "", 'Data Entry'!$$630)</f>
      </c>
      <c r="BX630">
        <f>IF(ISBLANK('Data Entry'!$$630), "", 'Data Entry'!$$630)</f>
      </c>
      <c r="BY630">
        <f>IF(ISBLANK('Data Entry'!$$630), "", 'Data Entry'!$$630)</f>
      </c>
      <c r="BZ630">
        <f>IF(ISBLANK('Data Entry'!$$630), "", 'Data Entry'!$$630)</f>
      </c>
      <c r="CA630">
        <f>IF(ISBLANK('Data Entry'!$$630), "", 'Data Entry'!$$630)</f>
      </c>
      <c r="CB630">
        <f>IF(ISBLANK('Data Entry'!$$630), "", 'Data Entry'!$$630)</f>
      </c>
      <c r="CC630">
        <f>IF(ISBLANK('Data Entry'!$$630), "", 'Data Entry'!$$630)</f>
      </c>
      <c r="CD630">
        <f>IF(ISBLANK('Data Entry'!$$630), "", 'Data Entry'!$$630)</f>
      </c>
      <c r="CE630">
        <f>IF(ISBLANK('Data Entry'!$$630), "", 'Data Entry'!$$630)</f>
      </c>
      <c r="CF630">
        <f>IF(ISBLANK('Data Entry'!$$630), "", 'Data Entry'!$$630)</f>
      </c>
      <c r="CG630">
        <f>IF(ISBLANK('Data Entry'!$$630), "", 'Data Entry'!$$630)</f>
      </c>
      <c r="CH630">
        <f>IF(ISBLANK('Data Entry'!$$630), "", 'Data Entry'!$$630)</f>
      </c>
      <c r="CI630">
        <f>IF(ISBLANK('Data Entry'!$$630), "", 'Data Entry'!$$630)</f>
      </c>
      <c r="CJ630">
        <f>IF(ISBLANK('Data Entry'!$$630), "", 'Data Entry'!$$630)</f>
      </c>
      <c r="CK630">
        <f>IF(ISBLANK('Data Entry'!$$630), "", 'Data Entry'!$$630)</f>
      </c>
      <c r="CL630">
        <f>IF(ISBLANK('Data Entry'!$$630), "", 'Data Entry'!$$630)</f>
      </c>
      <c r="CM630">
        <f>IF(ISBLANK('Data Entry'!$$630), "", 'Data Entry'!$$630)</f>
      </c>
      <c r="CN630">
        <f>IF(ISBLANK('Data Entry'!$$630), "", 'Data Entry'!$$630)</f>
      </c>
      <c r="CO630">
        <f>IF(ISBLANK('Data Entry'!$$630), "", 'Data Entry'!$$630)</f>
      </c>
      <c r="CP630">
        <f>IF(ISBLANK('Data Entry'!$$630), "", 'Data Entry'!$$630)</f>
      </c>
      <c r="CQ630">
        <f>IF(ISBLANK('Data Entry'!$$630), "", 'Data Entry'!$$630)</f>
      </c>
      <c r="CR630">
        <f>IF(ISBLANK('Data Entry'!$ $630), "", 'Data Entry'!$ $630)</f>
      </c>
      <c r="CS630">
        <f>IF(ISBLANK('Data Entry'!$¡$630), "", 'Data Entry'!$¡$630)</f>
      </c>
      <c r="CT630">
        <f>IF(ISBLANK('Data Entry'!$¢$630), "", 'Data Entry'!$¢$630)</f>
      </c>
      <c r="CU630">
        <f>IF(ISBLANK('Data Entry'!$£$630), "", 'Data Entry'!$£$630)</f>
      </c>
      <c r="CV630">
        <f>IF(ISBLANK('Data Entry'!$¤$630), "", 'Data Entry'!$¤$630)</f>
      </c>
      <c r="CW630">
        <f>IF(ISBLANK('Data Entry'!$¥$630), "", 'Data Entry'!$¥$630)</f>
      </c>
      <c r="CX630">
        <f>IF(ISBLANK('Data Entry'!$¦$630), "", 'Data Entry'!$¦$630)</f>
      </c>
      <c r="CY630">
        <f>IF(ISBLANK('Data Entry'!$§$630), "", 'Data Entry'!$§$630)</f>
      </c>
      <c r="CZ630">
        <f>IF(ISBLANK('Data Entry'!$¨$630), "", 'Data Entry'!$¨$630)</f>
      </c>
      <c r="DA630">
        <f>IF(ISBLANK('Data Entry'!$©$630), "", 'Data Entry'!$©$630)</f>
      </c>
      <c r="DB630">
        <f>IF(ISBLANK('Data Entry'!$ª$630), "", 'Data Entry'!$ª$630)</f>
      </c>
      <c r="DC630">
        <f>IF(ISBLANK('Data Entry'!$«$630), "", 'Data Entry'!$«$630)</f>
      </c>
      <c r="DD630">
        <f>IF(ISBLANK('Data Entry'!$¬$630), "", 'Data Entry'!$¬$630)</f>
      </c>
      <c r="DE630">
        <f>IF(ISBLANK('Data Entry'!$­$630), "", 'Data Entry'!$­$630)</f>
      </c>
      <c r="DF630">
        <f>IF(ISBLANK('Data Entry'!$®$630), "", 'Data Entry'!$®$630)</f>
      </c>
      <c r="DG630">
        <f>IF(ISBLANK('Data Entry'!$¯$630), "", 'Data Entry'!$¯$630)</f>
      </c>
      <c r="DH630">
        <f>IF(ISBLANK('Data Entry'!$°$630), "", 'Data Entry'!$°$630)</f>
      </c>
      <c r="DI630">
        <f>IF(ISBLANK('Data Entry'!$±$630), "", 'Data Entry'!$±$630)</f>
      </c>
      <c r="DJ630">
        <f>IF(ISBLANK('Data Entry'!$²$630), "", 'Data Entry'!$²$630)</f>
      </c>
      <c r="DK630">
        <f>IF(ISBLANK('Data Entry'!$³$630), "", 'Data Entry'!$³$630)</f>
      </c>
      <c r="DL630">
        <f>IF(ISBLANK('Data Entry'!$´$630), "", 'Data Entry'!$´$630)</f>
      </c>
      <c r="DM630">
        <f>IF(ISBLANK('Data Entry'!$µ$630), "", 'Data Entry'!$µ$630)</f>
      </c>
      <c r="DN630">
        <f>IF(ISBLANK('Data Entry'!$¶$630), "", 'Data Entry'!$¶$630)</f>
      </c>
      <c r="DO630">
        <f>IF(ISBLANK('Data Entry'!$·$630), "", 'Data Entry'!$·$630)</f>
      </c>
      <c r="DP630">
        <f>IF(ISBLANK('Data Entry'!$¸$630), "", 'Data Entry'!$¸$630)</f>
      </c>
      <c r="DQ630">
        <f>IF(ISBLANK('Data Entry'!$¹$630), "", 'Data Entry'!$¹$630)</f>
      </c>
      <c r="DR630">
        <f>IF(ISBLANK('Data Entry'!$º$630), "", 'Data Entry'!$º$630)</f>
      </c>
      <c r="DS630">
        <f>IF(ISBLANK('Data Entry'!$»$630), "", 'Data Entry'!$»$630)</f>
      </c>
      <c r="DT630">
        <f>IF(ISBLANK('Data Entry'!$¼$630), "", 'Data Entry'!$¼$630)</f>
      </c>
      <c r="DU630">
        <f>IF(ISBLANK('Data Entry'!$½$630), "", 'Data Entry'!$½$630)</f>
      </c>
      <c r="DV630">
        <f>IF(ISBLANK('Data Entry'!$¾$630), "", 'Data Entry'!$¾$630)</f>
      </c>
      <c r="DW630">
        <f>IF(ISBLANK('Data Entry'!$¿$630), "", 'Data Entry'!$¿$630)</f>
      </c>
      <c r="DX630">
        <f>IF(ISBLANK('Data Entry'!$À$630), "", 'Data Entry'!$À$630)</f>
      </c>
      <c r="DY630">
        <f>IF(ISBLANK('Data Entry'!$Á$630), "", 'Data Entry'!$Á$630)</f>
      </c>
      <c r="DZ630">
        <f>IF(ISBLANK('Data Entry'!$Â$630), "", 'Data Entry'!$Â$630)</f>
      </c>
      <c r="EA630">
        <f>IF(ISBLANK('Data Entry'!$Ã$630), "", 'Data Entry'!$Ã$630)</f>
      </c>
      <c r="EB630">
        <f>IF(ISBLANK('Data Entry'!$Ä$630), "", 'Data Entry'!$Ä$630)</f>
      </c>
      <c r="EC630">
        <f>IF(ISBLANK('Data Entry'!$Å$630), "", 'Data Entry'!$Å$630)</f>
      </c>
      <c r="ED630">
        <f>IF(ISBLANK('Data Entry'!$Æ$630), "", 'Data Entry'!$Æ$630)</f>
      </c>
      <c r="EE630">
        <f>IF(ISBLANK('Data Entry'!$Ç$630), "", 'Data Entry'!$Ç$630)</f>
      </c>
      <c r="EF630">
        <f>IF(ISBLANK('Data Entry'!$È$630), "", 'Data Entry'!$È$630)</f>
      </c>
      <c r="EG630">
        <f>IF(ISBLANK('Data Entry'!$É$630), "", 'Data Entry'!$É$630)</f>
      </c>
      <c r="EH630">
        <f>IF(ISBLANK('Data Entry'!$Ê$630), "", 'Data Entry'!$Ê$630)</f>
      </c>
      <c r="EI630">
        <f>IF(ISBLANK('Data Entry'!$Ë$630), "", 'Data Entry'!$Ë$630)</f>
      </c>
      <c r="EJ630">
        <f>IF(ISBLANK('Data Entry'!$Ì$630), "", 'Data Entry'!$Ì$630)</f>
      </c>
      <c r="EK630">
        <f>IF(ISBLANK('Data Entry'!$Í$630), "", 'Data Entry'!$Í$630)</f>
      </c>
      <c r="EL630">
        <f>IF(ISBLANK('Data Entry'!$Î$630), "", 'Data Entry'!$Î$630)</f>
      </c>
      <c r="EM630">
        <f>IF(ISBLANK('Data Entry'!$Ï$630), "", 'Data Entry'!$Ï$630)</f>
      </c>
      <c r="EN630">
        <f>IF(ISBLANK('Data Entry'!$Ð$630), "", 'Data Entry'!$Ð$630)</f>
      </c>
      <c r="EO630">
        <f>IF(ISBLANK('Data Entry'!$Ñ$630), "", 'Data Entry'!$Ñ$630)</f>
      </c>
      <c r="EP630">
        <f>IF(ISBLANK('Data Entry'!$Ò$630), "", 'Data Entry'!$Ò$630)</f>
      </c>
      <c r="EQ630">
        <f>IF(ISBLANK('Data Entry'!$Ó$630), "", 'Data Entry'!$Ó$630)</f>
      </c>
      <c r="ER630">
        <f>IF(ISBLANK('Data Entry'!$Ô$630), "", 'Data Entry'!$Ô$630)</f>
      </c>
      <c r="ES630">
        <f>IF(ISBLANK('Data Entry'!$Õ$630), "", 'Data Entry'!$Õ$630)</f>
      </c>
      <c r="ET630">
        <f>IF(ISBLANK('Data Entry'!$Ö$630), "", 'Data Entry'!$Ö$630)</f>
      </c>
      <c r="EU630">
        <f>IF(ISBLANK('Data Entry'!$×$630), "", 'Data Entry'!$×$630)</f>
      </c>
      <c r="EV630">
        <f>IF(ISBLANK('Data Entry'!$Ø$630), "", 'Data Entry'!$Ø$630)</f>
      </c>
      <c r="EW630">
        <f>IF(ISBLANK('Data Entry'!$Ù$630), "", 'Data Entry'!$Ù$630)</f>
      </c>
      <c r="EX630">
        <f>IF(ISBLANK('Data Entry'!$Ú$630), "", 'Data Entry'!$Ú$630)</f>
      </c>
      <c r="EY630">
        <f>IF(ISBLANK('Data Entry'!$Û$630), "", 'Data Entry'!$Û$630)</f>
      </c>
      <c r="EZ630">
        <f>IF(ISBLANK('Data Entry'!$Ü$630), "", 'Data Entry'!$Ü$630)</f>
      </c>
      <c r="FA630">
        <f>IF(ISBLANK('Data Entry'!$Ý$630), "", 'Data Entry'!$Ý$630)</f>
      </c>
      <c r="FB630">
        <f>IF(ISBLANK('Data Entry'!$Þ$630), "", 'Data Entry'!$Þ$630)</f>
      </c>
      <c r="FC630">
        <f>IF(ISBLANK('Data Entry'!$ß$630), "", 'Data Entry'!$ß$630)</f>
      </c>
      <c r="FD630">
        <f>IF(ISBLANK('Data Entry'!$à$630), "", 'Data Entry'!$à$630)</f>
      </c>
      <c r="FE630">
        <f>IF(ISBLANK('Data Entry'!$á$630), "", 'Data Entry'!$á$630)</f>
      </c>
      <c r="FF630">
        <f>IF(ISBLANK('Data Entry'!$â$630), "", 'Data Entry'!$â$630)</f>
      </c>
      <c r="FG630">
        <f>IF(ISBLANK('Data Entry'!$ã$630), "", 'Data Entry'!$ã$630)</f>
      </c>
      <c r="FH630">
        <f>IF(ISBLANK('Data Entry'!$ä$630), "", 'Data Entry'!$ä$630)</f>
      </c>
      <c r="FI630">
        <f>IF(ISBLANK('Data Entry'!$å$630), "", 'Data Entry'!$å$630)</f>
      </c>
      <c r="FJ630">
        <f>IF(ISBLANK('Data Entry'!$æ$630), "", 'Data Entry'!$æ$630)</f>
      </c>
      <c r="FK630">
        <f>IF(ISBLANK('Data Entry'!$ç$630), "", 'Data Entry'!$ç$630)</f>
      </c>
      <c r="FL630">
        <f>IF(ISBLANK('Data Entry'!$è$630), "", 'Data Entry'!$è$630)</f>
      </c>
      <c r="FM630">
        <f>IF(ISBLANK('Data Entry'!$é$630), "", 'Data Entry'!$é$630)</f>
      </c>
      <c r="FN630">
        <f>IF(ISBLANK('Data Entry'!$ê$630), "", 'Data Entry'!$ê$630)</f>
      </c>
      <c r="FO630">
        <f>IF(ISBLANK('Data Entry'!$ë$630), "", 'Data Entry'!$ë$630)</f>
      </c>
      <c r="FP630">
        <f>IF(ISBLANK('Data Entry'!$ì$630), "", 'Data Entry'!$ì$630)</f>
      </c>
      <c r="FQ630">
        <f>IF(ISBLANK('Data Entry'!$í$630), "", 'Data Entry'!$í$630)</f>
      </c>
      <c r="FR630">
        <f>IF(ISBLANK('Data Entry'!$î$630), "", 'Data Entry'!$î$630)</f>
      </c>
      <c r="FS630">
        <f>IF(ISBLANK('Data Entry'!$ï$630), "", 'Data Entry'!$ï$630)</f>
      </c>
      <c r="FT630">
        <f>IF(ISBLANK('Data Entry'!$ð$630), "", 'Data Entry'!$ð$630)</f>
      </c>
      <c r="FU630">
        <f>IF(ISBLANK('Data Entry'!$ñ$630), "", 'Data Entry'!$ñ$630)</f>
      </c>
      <c r="FV630">
        <f>IF(ISBLANK('Data Entry'!$ò$630), "", 'Data Entry'!$ò$630)</f>
      </c>
      <c r="FW630">
        <f>IF(ISBLANK('Data Entry'!$ó$630), "", 'Data Entry'!$ó$630)</f>
      </c>
      <c r="FX630">
        <f>IF(ISBLANK('Data Entry'!$ô$630), "", 'Data Entry'!$ô$630)</f>
      </c>
      <c r="FY630">
        <f>IF(ISBLANK('Data Entry'!$õ$630), "", 'Data Entry'!$õ$630)</f>
      </c>
      <c r="FZ630">
        <f>IF(ISBLANK('Data Entry'!$ö$630), "", 'Data Entry'!$ö$630)</f>
      </c>
      <c r="GA630">
        <f>IF(ISBLANK('Data Entry'!$÷$630), "", 'Data Entry'!$÷$630)</f>
      </c>
      <c r="GB630">
        <f>IF(ISBLANK('Data Entry'!$ø$630), "", 'Data Entry'!$ø$630)</f>
      </c>
      <c r="GC630">
        <f>IF(ISBLANK('Data Entry'!$ù$630), "", 'Data Entry'!$ù$630)</f>
      </c>
      <c r="GD630">
        <f>IF(ISBLANK('Data Entry'!$ú$630), "", 'Data Entry'!$ú$630)</f>
      </c>
      <c r="GE630">
        <f>IF(ISBLANK('Data Entry'!$û$630), "", 'Data Entry'!$û$630)</f>
      </c>
      <c r="GF630">
        <f>IF(ISBLANK('Data Entry'!$ü$630), "", 'Data Entry'!$ü$630)</f>
      </c>
      <c r="GG630">
        <f>IF(ISBLANK('Data Entry'!$ý$630), "", 'Data Entry'!$ý$630)</f>
      </c>
      <c r="GH630">
        <f>IF(ISBLANK('Data Entry'!$þ$630), "", 'Data Entry'!$þ$630)</f>
      </c>
      <c r="GI630">
        <f>IF(ISBLANK('Data Entry'!$ÿ$630), "", 'Data Entry'!$ÿ$630)</f>
      </c>
      <c r="GJ630">
        <f>IF(ISBLANK('Data Entry'!$Ā$630), "", 'Data Entry'!$Ā$630)</f>
      </c>
      <c r="GK630">
        <f>IF(ISBLANK('Data Entry'!$ā$630), "", 'Data Entry'!$ā$630)</f>
      </c>
      <c r="GL630">
        <f>IF(ISBLANK('Data Entry'!$Ă$630), "", 'Data Entry'!$Ă$630)</f>
      </c>
      <c r="GM630">
        <f>IF(ISBLANK('Data Entry'!$ă$630), "", 'Data Entry'!$ă$630)</f>
      </c>
      <c r="GN630">
        <f>IF(ISBLANK('Data Entry'!$Ą$630), "", 'Data Entry'!$Ą$630)</f>
      </c>
      <c r="GO630">
        <f>IF(ISBLANK('Data Entry'!$ą$630), "", 'Data Entry'!$ą$630)</f>
      </c>
      <c r="GP630">
        <f>IF(ISBLANK('Data Entry'!$Ć$630), "", 'Data Entry'!$Ć$630)</f>
      </c>
      <c r="GQ630">
        <f>IF(ISBLANK('Data Entry'!$ć$630), "", 'Data Entry'!$ć$630)</f>
      </c>
      <c r="GR630">
        <f>IF(ISBLANK('Data Entry'!$Ĉ$630), "", 'Data Entry'!$Ĉ$630)</f>
      </c>
      <c r="GS630">
        <f>IF(ISBLANK('Data Entry'!$ĉ$630), "", 'Data Entry'!$ĉ$630)</f>
      </c>
      <c r="GT630">
        <f>IF(ISBLANK('Data Entry'!$Ċ$630), "", 'Data Entry'!$Ċ$630)</f>
      </c>
      <c r="GU630">
        <f>IF(ISBLANK('Data Entry'!$ċ$630), "", 'Data Entry'!$ċ$630)</f>
      </c>
      <c r="GV630">
        <f>IF(ISBLANK('Data Entry'!$Č$630), "", 'Data Entry'!$Č$630)</f>
      </c>
      <c r="GW630">
        <f>IF(ISBLANK('Data Entry'!$č$630), "", 'Data Entry'!$č$630)</f>
      </c>
      <c r="GX630">
        <f>IF(ISBLANK('Data Entry'!$Ď$630), "", 'Data Entry'!$Ď$630)</f>
      </c>
      <c r="GY630">
        <f>IF(ISBLANK('Data Entry'!$ď$630), "", 'Data Entry'!$ď$630)</f>
      </c>
      <c r="GZ630">
        <f>IF(ISBLANK('Data Entry'!$Đ$630), "", 'Data Entry'!$Đ$630)</f>
      </c>
      <c r="HA630">
        <f>IF(ISBLANK('Data Entry'!$đ$630), "", 'Data Entry'!$đ$630)</f>
      </c>
      <c r="HB630">
        <f>IF(ISBLANK('Data Entry'!$Ē$630), "", 'Data Entry'!$Ē$630)</f>
      </c>
      <c r="HC630">
        <f>IF(ISBLANK('Data Entry'!$ē$630), "", 'Data Entry'!$ē$630)</f>
      </c>
      <c r="HD630">
        <f>IF(ISBLANK('Data Entry'!$Ĕ$630), "", 'Data Entry'!$Ĕ$630)</f>
      </c>
      <c r="HE630">
        <f>IF(ISBLANK('Data Entry'!$ĕ$630), "", 'Data Entry'!$ĕ$630)</f>
      </c>
      <c r="HF630">
        <f>IF(ISBLANK('Data Entry'!$Ė$630), "", 'Data Entry'!$Ė$630)</f>
      </c>
      <c r="HG630">
        <f>IF(ISBLANK('Data Entry'!$ė$630), "", 'Data Entry'!$ė$630)</f>
      </c>
      <c r="HH630">
        <f>IF(ISBLANK('Data Entry'!$Ę$630), "", 'Data Entry'!$Ę$630)</f>
      </c>
      <c r="HI630">
        <f>IF(ISBLANK('Data Entry'!$ę$630), "", 'Data Entry'!$ę$630)</f>
      </c>
      <c r="HJ630">
        <f>IF(ISBLANK('Data Entry'!$Ě$630), "", 'Data Entry'!$Ě$630)</f>
      </c>
      <c r="HK630">
        <f>IF(ISBLANK('Data Entry'!$ě$630), "", 'Data Entry'!$ě$630)</f>
      </c>
      <c r="HL630">
        <f>IF(ISBLANK('Data Entry'!$Ĝ$630), "", 'Data Entry'!$Ĝ$630)</f>
      </c>
      <c r="HM630">
        <f>IF(ISBLANK('Data Entry'!$ĝ$630), "", 'Data Entry'!$ĝ$630)</f>
      </c>
      <c r="HN630">
        <f>IF(ISBLANK('Data Entry'!$Ğ$630), "", 'Data Entry'!$Ğ$630)</f>
      </c>
      <c r="HO630">
        <f>IF(ISBLANK('Data Entry'!$ğ$630), "", 'Data Entry'!$ğ$630)</f>
      </c>
      <c r="HP630">
        <f>IF(ISBLANK('Data Entry'!$Ġ$630), "", 'Data Entry'!$Ġ$630)</f>
      </c>
      <c r="HQ630">
        <f>IF(ISBLANK('Data Entry'!$ġ$630), "", 'Data Entry'!$ġ$630)</f>
      </c>
      <c r="HR630">
        <f>IF(ISBLANK('Data Entry'!$Ģ$630), "", 'Data Entry'!$Ģ$630)</f>
      </c>
      <c r="HS630">
        <f>IF(ISBLANK('Data Entry'!$ģ$630), "", 'Data Entry'!$ģ$630)</f>
      </c>
      <c r="HT630">
        <f>IF(ISBLANK('Data Entry'!$Ĥ$630), "", 'Data Entry'!$Ĥ$630)</f>
      </c>
      <c r="HU630">
        <f>IF(ISBLANK('Data Entry'!$ĥ$630), "", 'Data Entry'!$ĥ$630)</f>
      </c>
      <c r="HV630">
        <f>IF(ISBLANK('Data Entry'!$Ħ$630), "", 'Data Entry'!$Ħ$630)</f>
      </c>
      <c r="HW630">
        <f>IF(ISBLANK('Data Entry'!$ħ$630), "", 'Data Entry'!$ħ$630)</f>
      </c>
      <c r="HX630">
        <f>IF(ISBLANK('Data Entry'!$Ĩ$630), "", 'Data Entry'!$Ĩ$630)</f>
      </c>
      <c r="HY630">
        <f>IF(ISBLANK('Data Entry'!$ĩ$630), "", 'Data Entry'!$ĩ$630)</f>
      </c>
      <c r="HZ630">
        <f>IF(ISBLANK('Data Entry'!$Ī$630), "", 'Data Entry'!$Ī$630)</f>
      </c>
      <c r="IA630">
        <f>IF(ISBLANK('Data Entry'!$ī$630), "", 'Data Entry'!$ī$630)</f>
      </c>
      <c r="IB630">
        <f>IF(ISBLANK('Data Entry'!$Ĭ$630), "", 'Data Entry'!$Ĭ$630)</f>
      </c>
      <c r="IC630">
        <f>IF(ISBLANK('Data Entry'!$ĭ$630), "", 'Data Entry'!$ĭ$630)</f>
      </c>
      <c r="ID630">
        <f>IF(ISBLANK('Data Entry'!$Į$630), "", 'Data Entry'!$Į$630)</f>
      </c>
      <c r="IE630">
        <f>IF(ISBLANK('Data Entry'!$į$630), "", 'Data Entry'!$į$630)</f>
      </c>
      <c r="IF630">
        <f>IF(ISBLANK('Data Entry'!$İ$630), "", 'Data Entry'!$İ$630)</f>
      </c>
      <c r="IG630">
        <f>IF(ISBLANK('Data Entry'!$ı$630), "", 'Data Entry'!$ı$630)</f>
      </c>
      <c r="IH630">
        <f>IF(ISBLANK('Data Entry'!$Ĳ$630), "", 'Data Entry'!$Ĳ$630)</f>
      </c>
      <c r="II630">
        <f>IF(ISBLANK('Data Entry'!$ĳ$630), "", 'Data Entry'!$ĳ$630)</f>
      </c>
      <c r="IJ630">
        <f>IF(ISBLANK('Data Entry'!$Ĵ$630), "", 'Data Entry'!$Ĵ$630)</f>
      </c>
      <c r="IK630">
        <f>IF(ISBLANK('Data Entry'!$ĵ$630), "", 'Data Entry'!$ĵ$630)</f>
      </c>
      <c r="IL630">
        <f>IF(ISBLANK('Data Entry'!$Ķ$630), "", 'Data Entry'!$Ķ$630)</f>
      </c>
      <c r="IM630">
        <f>IF(ISBLANK('Data Entry'!$ķ$630), "", 'Data Entry'!$ķ$630)</f>
      </c>
      <c r="IN630">
        <f>IF(ISBLANK('Data Entry'!$ĸ$630), "", 'Data Entry'!$ĸ$630)</f>
      </c>
      <c r="IO630">
        <f>IF(ISBLANK('Data Entry'!$Ĺ$630), "", 'Data Entry'!$Ĺ$630)</f>
      </c>
      <c r="IP630">
        <f>IF(ISBLANK('Data Entry'!$ĺ$630), "", 'Data Entry'!$ĺ$630)</f>
      </c>
      <c r="IQ630">
        <f>IF(ISBLANK('Data Entry'!$Ļ$630), "", 'Data Entry'!$Ļ$630)</f>
      </c>
      <c r="IR630">
        <f>IF(ISBLANK('Data Entry'!$ļ$630), "", 'Data Entry'!$ļ$630)</f>
      </c>
      <c r="IS630">
        <f>IF(ISBLANK('Data Entry'!$Ľ$630), "", 'Data Entry'!$Ľ$630)</f>
      </c>
      <c r="IT630">
        <f>IF(ISBLANK('Data Entry'!$ľ$630), "", 'Data Entry'!$ľ$630)</f>
      </c>
    </row>
    <row r="631" spans="1:254" x14ac:dyDescent="0.25">
      <c r="A631">
        <f>IF(ISBLANK('Data Entry'!$A$631), "", 'Data Entry'!$A$631)</f>
      </c>
      <c r="B631">
        <f>IF(ISBLANK('Data Entry'!$B$631), "", 'Data Entry'!$B$631)</f>
      </c>
      <c r="C631">
        <f>IF(ISBLANK('Data Entry'!$C$631), "", 'Data Entry'!$C$631)</f>
      </c>
      <c r="D631">
        <f>IF(ISBLANK('Data Entry'!$D$631), "", 'Data Entry'!$D$631)</f>
      </c>
      <c r="E631">
        <f>IF(ISBLANK('Data Entry'!$E$631), "", 'Data Entry'!$E$631)</f>
      </c>
      <c r="F631">
        <f>IF(ISBLANK('Data Entry'!$F$631), "", 'Data Entry'!$F$631)</f>
      </c>
      <c r="G631">
        <f>IF(ISBLANK('Data Entry'!$G$631), "", 'Data Entry'!$G$631)</f>
      </c>
      <c r="H631">
        <f>IF(ISBLANK('Data Entry'!$H$631), "", 'Data Entry'!$H$631)</f>
      </c>
      <c r="I631">
        <f>IF(ISBLANK('Data Entry'!$I$631), "", 'Data Entry'!$I$631)</f>
      </c>
      <c r="J631">
        <f>IF(ISBLANK('Data Entry'!$J$631), "", 'Data Entry'!$J$631)</f>
      </c>
      <c r="K631">
        <f>IF(ISBLANK('Data Entry'!$K$631), "", 'Data Entry'!$K$631)</f>
      </c>
      <c r="L631">
        <f>IF(ISBLANK('Data Entry'!$L$631), "", 'Data Entry'!$L$631)</f>
      </c>
      <c r="M631">
        <f>IF(ISBLANK('Data Entry'!$M$631), "", 'Data Entry'!$M$631)</f>
      </c>
      <c r="N631">
        <f>IF(ISBLANK('Data Entry'!$N$631), "", 'Data Entry'!$N$631)</f>
      </c>
      <c r="O631">
        <f>IF(ISBLANK('Data Entry'!$O$631), "", 'Data Entry'!$O$631)</f>
      </c>
      <c r="P631">
        <f>IF(ISBLANK('Data Entry'!$P$631), "", 'Data Entry'!$P$631)</f>
      </c>
      <c r="Q631">
        <f>IF(ISBLANK('Data Entry'!$Q$631), "", 'Data Entry'!$Q$631)</f>
      </c>
      <c r="R631">
        <f>IF(ISBLANK('Data Entry'!$R$631), "", 'Data Entry'!$R$631)</f>
      </c>
      <c r="S631">
        <f>IF(ISBLANK('Data Entry'!$S$631), "", 'Data Entry'!$S$631)</f>
      </c>
      <c r="T631">
        <f>IF(ISBLANK('Data Entry'!$T$631), "", 'Data Entry'!$T$631)</f>
      </c>
      <c r="U631">
        <f>IF(ISBLANK('Data Entry'!$U$631), "", 'Data Entry'!$U$631)</f>
      </c>
      <c r="V631">
        <f>IF(ISBLANK('Data Entry'!$V$631), "", 'Data Entry'!$V$631)</f>
      </c>
      <c r="W631">
        <f>IF(ISBLANK('Data Entry'!$W$631), "", 'Data Entry'!$W$631)</f>
      </c>
      <c r="X631">
        <f>IF(ISBLANK('Data Entry'!$X$631), "", 'Data Entry'!$X$631)</f>
      </c>
      <c r="Y631">
        <f>IF(ISBLANK('Data Entry'!$Y$631), "", 'Data Entry'!$Y$631)</f>
      </c>
      <c r="Z631">
        <f>IF(ISBLANK('Data Entry'!$Z$631), "", 'Data Entry'!$Z$631)</f>
      </c>
      <c r="AA631">
        <f>IF(ISBLANK('Data Entry'!$[$631), "", 'Data Entry'!$[$631)</f>
      </c>
      <c r="AB631">
        <f>IF(ISBLANK('Data Entry'!$\$631), "", 'Data Entry'!$\$631)</f>
      </c>
      <c r="AC631">
        <f>IF(ISBLANK('Data Entry'!$]$631), "", 'Data Entry'!$]$631)</f>
      </c>
      <c r="AD631">
        <f>IF(ISBLANK('Data Entry'!$^$631), "", 'Data Entry'!$^$631)</f>
      </c>
      <c r="AE631">
        <f>IF(ISBLANK('Data Entry'!$_$631), "", 'Data Entry'!$_$631)</f>
      </c>
      <c r="AF631">
        <f>IF(ISBLANK('Data Entry'!$`$631), "", 'Data Entry'!$`$631)</f>
      </c>
      <c r="AG631">
        <f>IF(ISBLANK('Data Entry'!$a$631), "", 'Data Entry'!$a$631)</f>
      </c>
      <c r="AH631">
        <f>IF(ISBLANK('Data Entry'!$b$631), "", 'Data Entry'!$b$631)</f>
      </c>
      <c r="AI631">
        <f>IF(ISBLANK('Data Entry'!$c$631), "", 'Data Entry'!$c$631)</f>
      </c>
      <c r="AJ631">
        <f>IF(ISBLANK('Data Entry'!$d$631), "", 'Data Entry'!$d$631)</f>
      </c>
      <c r="AK631">
        <f>IF(ISBLANK('Data Entry'!$e$631), "", 'Data Entry'!$e$631)</f>
      </c>
      <c r="AL631">
        <f>IF(ISBLANK('Data Entry'!$f$631), "", 'Data Entry'!$f$631)</f>
      </c>
      <c r="AM631">
        <f>IF(ISBLANK('Data Entry'!$g$631), "", 'Data Entry'!$g$631)</f>
      </c>
      <c r="AN631">
        <f>IF(ISBLANK('Data Entry'!$h$631), "", 'Data Entry'!$h$631)</f>
      </c>
      <c r="AO631">
        <f>IF(ISBLANK('Data Entry'!$i$631), "", 'Data Entry'!$i$631)</f>
      </c>
      <c r="AP631">
        <f>IF(ISBLANK('Data Entry'!$j$631), "", 'Data Entry'!$j$631)</f>
      </c>
      <c r="AQ631">
        <f>IF(ISBLANK('Data Entry'!$k$631), "", 'Data Entry'!$k$631)</f>
      </c>
      <c r="AR631">
        <f>IF(ISBLANK('Data Entry'!$l$631), "", 'Data Entry'!$l$631)</f>
      </c>
      <c r="AS631">
        <f>IF(ISBLANK('Data Entry'!$m$631), "", 'Data Entry'!$m$631)</f>
      </c>
      <c r="AT631">
        <f>IF(ISBLANK('Data Entry'!$n$631), "", 'Data Entry'!$n$631)</f>
      </c>
      <c r="AU631">
        <f>IF(ISBLANK('Data Entry'!$o$631), "", 'Data Entry'!$o$631)</f>
      </c>
      <c r="AV631">
        <f>IF(ISBLANK('Data Entry'!$p$631), "", 'Data Entry'!$p$631)</f>
      </c>
      <c r="AW631">
        <f>IF(ISBLANK('Data Entry'!$q$631), "", 'Data Entry'!$q$631)</f>
      </c>
      <c r="AX631">
        <f>IF(ISBLANK('Data Entry'!$r$631), "", 'Data Entry'!$r$631)</f>
      </c>
      <c r="AY631">
        <f>IF(ISBLANK('Data Entry'!$s$631), "", 'Data Entry'!$s$631)</f>
      </c>
      <c r="AZ631">
        <f>IF(ISBLANK('Data Entry'!$t$631), "", 'Data Entry'!$t$631)</f>
      </c>
      <c r="BA631">
        <f>IF(ISBLANK('Data Entry'!$u$631), "", 'Data Entry'!$u$631)</f>
      </c>
      <c r="BB631">
        <f>IF(ISBLANK('Data Entry'!$v$631), "", 'Data Entry'!$v$631)</f>
      </c>
      <c r="BC631">
        <f>IF(ISBLANK('Data Entry'!$w$631), "", 'Data Entry'!$w$631)</f>
      </c>
      <c r="BD631">
        <f>IF(ISBLANK('Data Entry'!$x$631), "", 'Data Entry'!$x$631)</f>
      </c>
      <c r="BE631">
        <f>IF(ISBLANK('Data Entry'!$y$631), "", 'Data Entry'!$y$631)</f>
      </c>
      <c r="BF631">
        <f>IF(ISBLANK('Data Entry'!$z$631), "", 'Data Entry'!$z$631)</f>
      </c>
      <c r="BG631">
        <f>IF(ISBLANK('Data Entry'!${$631), "", 'Data Entry'!${$631)</f>
      </c>
      <c r="BH631">
        <f>IF(ISBLANK('Data Entry'!$|$631), "", 'Data Entry'!$|$631)</f>
      </c>
      <c r="BI631">
        <f>IF(ISBLANK('Data Entry'!$}$631), "", 'Data Entry'!$}$631)</f>
      </c>
      <c r="BJ631">
        <f>IF(ISBLANK('Data Entry'!$~$631), "", 'Data Entry'!$~$631)</f>
      </c>
      <c r="BK631">
        <f>IF(ISBLANK('Data Entry'!$$631), "", 'Data Entry'!$$631)</f>
      </c>
      <c r="BL631">
        <f>IF(ISBLANK('Data Entry'!$$631), "", 'Data Entry'!$$631)</f>
      </c>
      <c r="BM631">
        <f>IF(ISBLANK('Data Entry'!$$631), "", 'Data Entry'!$$631)</f>
      </c>
      <c r="BN631">
        <f>IF(ISBLANK('Data Entry'!$$631), "", 'Data Entry'!$$631)</f>
      </c>
      <c r="BO631">
        <f>IF(ISBLANK('Data Entry'!$$631), "", 'Data Entry'!$$631)</f>
      </c>
      <c r="BP631">
        <f>IF(ISBLANK('Data Entry'!$$631), "", 'Data Entry'!$$631)</f>
      </c>
      <c r="BQ631">
        <f>IF(ISBLANK('Data Entry'!$$631), "", 'Data Entry'!$$631)</f>
      </c>
      <c r="BR631">
        <f>IF(ISBLANK('Data Entry'!$$631), "", 'Data Entry'!$$631)</f>
      </c>
      <c r="BS631">
        <f>IF(ISBLANK('Data Entry'!$$631), "", 'Data Entry'!$$631)</f>
      </c>
      <c r="BT631">
        <f>IF(ISBLANK('Data Entry'!$$631), "", 'Data Entry'!$$631)</f>
      </c>
      <c r="BU631">
        <f>IF(ISBLANK('Data Entry'!$$631), "", 'Data Entry'!$$631)</f>
      </c>
      <c r="BV631">
        <f>IF(ISBLANK('Data Entry'!$$631), "", 'Data Entry'!$$631)</f>
      </c>
      <c r="BW631">
        <f>IF(ISBLANK('Data Entry'!$$631), "", 'Data Entry'!$$631)</f>
      </c>
      <c r="BX631">
        <f>IF(ISBLANK('Data Entry'!$$631), "", 'Data Entry'!$$631)</f>
      </c>
      <c r="BY631">
        <f>IF(ISBLANK('Data Entry'!$$631), "", 'Data Entry'!$$631)</f>
      </c>
      <c r="BZ631">
        <f>IF(ISBLANK('Data Entry'!$$631), "", 'Data Entry'!$$631)</f>
      </c>
      <c r="CA631">
        <f>IF(ISBLANK('Data Entry'!$$631), "", 'Data Entry'!$$631)</f>
      </c>
      <c r="CB631">
        <f>IF(ISBLANK('Data Entry'!$$631), "", 'Data Entry'!$$631)</f>
      </c>
      <c r="CC631">
        <f>IF(ISBLANK('Data Entry'!$$631), "", 'Data Entry'!$$631)</f>
      </c>
      <c r="CD631">
        <f>IF(ISBLANK('Data Entry'!$$631), "", 'Data Entry'!$$631)</f>
      </c>
      <c r="CE631">
        <f>IF(ISBLANK('Data Entry'!$$631), "", 'Data Entry'!$$631)</f>
      </c>
      <c r="CF631">
        <f>IF(ISBLANK('Data Entry'!$$631), "", 'Data Entry'!$$631)</f>
      </c>
      <c r="CG631">
        <f>IF(ISBLANK('Data Entry'!$$631), "", 'Data Entry'!$$631)</f>
      </c>
      <c r="CH631">
        <f>IF(ISBLANK('Data Entry'!$$631), "", 'Data Entry'!$$631)</f>
      </c>
      <c r="CI631">
        <f>IF(ISBLANK('Data Entry'!$$631), "", 'Data Entry'!$$631)</f>
      </c>
      <c r="CJ631">
        <f>IF(ISBLANK('Data Entry'!$$631), "", 'Data Entry'!$$631)</f>
      </c>
      <c r="CK631">
        <f>IF(ISBLANK('Data Entry'!$$631), "", 'Data Entry'!$$631)</f>
      </c>
      <c r="CL631">
        <f>IF(ISBLANK('Data Entry'!$$631), "", 'Data Entry'!$$631)</f>
      </c>
      <c r="CM631">
        <f>IF(ISBLANK('Data Entry'!$$631), "", 'Data Entry'!$$631)</f>
      </c>
      <c r="CN631">
        <f>IF(ISBLANK('Data Entry'!$$631), "", 'Data Entry'!$$631)</f>
      </c>
      <c r="CO631">
        <f>IF(ISBLANK('Data Entry'!$$631), "", 'Data Entry'!$$631)</f>
      </c>
      <c r="CP631">
        <f>IF(ISBLANK('Data Entry'!$$631), "", 'Data Entry'!$$631)</f>
      </c>
      <c r="CQ631">
        <f>IF(ISBLANK('Data Entry'!$$631), "", 'Data Entry'!$$631)</f>
      </c>
      <c r="CR631">
        <f>IF(ISBLANK('Data Entry'!$ $631), "", 'Data Entry'!$ $631)</f>
      </c>
      <c r="CS631">
        <f>IF(ISBLANK('Data Entry'!$¡$631), "", 'Data Entry'!$¡$631)</f>
      </c>
      <c r="CT631">
        <f>IF(ISBLANK('Data Entry'!$¢$631), "", 'Data Entry'!$¢$631)</f>
      </c>
      <c r="CU631">
        <f>IF(ISBLANK('Data Entry'!$£$631), "", 'Data Entry'!$£$631)</f>
      </c>
      <c r="CV631">
        <f>IF(ISBLANK('Data Entry'!$¤$631), "", 'Data Entry'!$¤$631)</f>
      </c>
      <c r="CW631">
        <f>IF(ISBLANK('Data Entry'!$¥$631), "", 'Data Entry'!$¥$631)</f>
      </c>
      <c r="CX631">
        <f>IF(ISBLANK('Data Entry'!$¦$631), "", 'Data Entry'!$¦$631)</f>
      </c>
      <c r="CY631">
        <f>IF(ISBLANK('Data Entry'!$§$631), "", 'Data Entry'!$§$631)</f>
      </c>
      <c r="CZ631">
        <f>IF(ISBLANK('Data Entry'!$¨$631), "", 'Data Entry'!$¨$631)</f>
      </c>
      <c r="DA631">
        <f>IF(ISBLANK('Data Entry'!$©$631), "", 'Data Entry'!$©$631)</f>
      </c>
      <c r="DB631">
        <f>IF(ISBLANK('Data Entry'!$ª$631), "", 'Data Entry'!$ª$631)</f>
      </c>
      <c r="DC631">
        <f>IF(ISBLANK('Data Entry'!$«$631), "", 'Data Entry'!$«$631)</f>
      </c>
      <c r="DD631">
        <f>IF(ISBLANK('Data Entry'!$¬$631), "", 'Data Entry'!$¬$631)</f>
      </c>
      <c r="DE631">
        <f>IF(ISBLANK('Data Entry'!$­$631), "", 'Data Entry'!$­$631)</f>
      </c>
      <c r="DF631">
        <f>IF(ISBLANK('Data Entry'!$®$631), "", 'Data Entry'!$®$631)</f>
      </c>
      <c r="DG631">
        <f>IF(ISBLANK('Data Entry'!$¯$631), "", 'Data Entry'!$¯$631)</f>
      </c>
      <c r="DH631">
        <f>IF(ISBLANK('Data Entry'!$°$631), "", 'Data Entry'!$°$631)</f>
      </c>
      <c r="DI631">
        <f>IF(ISBLANK('Data Entry'!$±$631), "", 'Data Entry'!$±$631)</f>
      </c>
      <c r="DJ631">
        <f>IF(ISBLANK('Data Entry'!$²$631), "", 'Data Entry'!$²$631)</f>
      </c>
      <c r="DK631">
        <f>IF(ISBLANK('Data Entry'!$³$631), "", 'Data Entry'!$³$631)</f>
      </c>
      <c r="DL631">
        <f>IF(ISBLANK('Data Entry'!$´$631), "", 'Data Entry'!$´$631)</f>
      </c>
      <c r="DM631">
        <f>IF(ISBLANK('Data Entry'!$µ$631), "", 'Data Entry'!$µ$631)</f>
      </c>
      <c r="DN631">
        <f>IF(ISBLANK('Data Entry'!$¶$631), "", 'Data Entry'!$¶$631)</f>
      </c>
      <c r="DO631">
        <f>IF(ISBLANK('Data Entry'!$·$631), "", 'Data Entry'!$·$631)</f>
      </c>
      <c r="DP631">
        <f>IF(ISBLANK('Data Entry'!$¸$631), "", 'Data Entry'!$¸$631)</f>
      </c>
      <c r="DQ631">
        <f>IF(ISBLANK('Data Entry'!$¹$631), "", 'Data Entry'!$¹$631)</f>
      </c>
      <c r="DR631">
        <f>IF(ISBLANK('Data Entry'!$º$631), "", 'Data Entry'!$º$631)</f>
      </c>
      <c r="DS631">
        <f>IF(ISBLANK('Data Entry'!$»$631), "", 'Data Entry'!$»$631)</f>
      </c>
      <c r="DT631">
        <f>IF(ISBLANK('Data Entry'!$¼$631), "", 'Data Entry'!$¼$631)</f>
      </c>
      <c r="DU631">
        <f>IF(ISBLANK('Data Entry'!$½$631), "", 'Data Entry'!$½$631)</f>
      </c>
      <c r="DV631">
        <f>IF(ISBLANK('Data Entry'!$¾$631), "", 'Data Entry'!$¾$631)</f>
      </c>
      <c r="DW631">
        <f>IF(ISBLANK('Data Entry'!$¿$631), "", 'Data Entry'!$¿$631)</f>
      </c>
      <c r="DX631">
        <f>IF(ISBLANK('Data Entry'!$À$631), "", 'Data Entry'!$À$631)</f>
      </c>
      <c r="DY631">
        <f>IF(ISBLANK('Data Entry'!$Á$631), "", 'Data Entry'!$Á$631)</f>
      </c>
      <c r="DZ631">
        <f>IF(ISBLANK('Data Entry'!$Â$631), "", 'Data Entry'!$Â$631)</f>
      </c>
      <c r="EA631">
        <f>IF(ISBLANK('Data Entry'!$Ã$631), "", 'Data Entry'!$Ã$631)</f>
      </c>
      <c r="EB631">
        <f>IF(ISBLANK('Data Entry'!$Ä$631), "", 'Data Entry'!$Ä$631)</f>
      </c>
      <c r="EC631">
        <f>IF(ISBLANK('Data Entry'!$Å$631), "", 'Data Entry'!$Å$631)</f>
      </c>
      <c r="ED631">
        <f>IF(ISBLANK('Data Entry'!$Æ$631), "", 'Data Entry'!$Æ$631)</f>
      </c>
      <c r="EE631">
        <f>IF(ISBLANK('Data Entry'!$Ç$631), "", 'Data Entry'!$Ç$631)</f>
      </c>
      <c r="EF631">
        <f>IF(ISBLANK('Data Entry'!$È$631), "", 'Data Entry'!$È$631)</f>
      </c>
      <c r="EG631">
        <f>IF(ISBLANK('Data Entry'!$É$631), "", 'Data Entry'!$É$631)</f>
      </c>
      <c r="EH631">
        <f>IF(ISBLANK('Data Entry'!$Ê$631), "", 'Data Entry'!$Ê$631)</f>
      </c>
      <c r="EI631">
        <f>IF(ISBLANK('Data Entry'!$Ë$631), "", 'Data Entry'!$Ë$631)</f>
      </c>
      <c r="EJ631">
        <f>IF(ISBLANK('Data Entry'!$Ì$631), "", 'Data Entry'!$Ì$631)</f>
      </c>
      <c r="EK631">
        <f>IF(ISBLANK('Data Entry'!$Í$631), "", 'Data Entry'!$Í$631)</f>
      </c>
      <c r="EL631">
        <f>IF(ISBLANK('Data Entry'!$Î$631), "", 'Data Entry'!$Î$631)</f>
      </c>
      <c r="EM631">
        <f>IF(ISBLANK('Data Entry'!$Ï$631), "", 'Data Entry'!$Ï$631)</f>
      </c>
      <c r="EN631">
        <f>IF(ISBLANK('Data Entry'!$Ð$631), "", 'Data Entry'!$Ð$631)</f>
      </c>
      <c r="EO631">
        <f>IF(ISBLANK('Data Entry'!$Ñ$631), "", 'Data Entry'!$Ñ$631)</f>
      </c>
      <c r="EP631">
        <f>IF(ISBLANK('Data Entry'!$Ò$631), "", 'Data Entry'!$Ò$631)</f>
      </c>
      <c r="EQ631">
        <f>IF(ISBLANK('Data Entry'!$Ó$631), "", 'Data Entry'!$Ó$631)</f>
      </c>
      <c r="ER631">
        <f>IF(ISBLANK('Data Entry'!$Ô$631), "", 'Data Entry'!$Ô$631)</f>
      </c>
      <c r="ES631">
        <f>IF(ISBLANK('Data Entry'!$Õ$631), "", 'Data Entry'!$Õ$631)</f>
      </c>
      <c r="ET631">
        <f>IF(ISBLANK('Data Entry'!$Ö$631), "", 'Data Entry'!$Ö$631)</f>
      </c>
      <c r="EU631">
        <f>IF(ISBLANK('Data Entry'!$×$631), "", 'Data Entry'!$×$631)</f>
      </c>
      <c r="EV631">
        <f>IF(ISBLANK('Data Entry'!$Ø$631), "", 'Data Entry'!$Ø$631)</f>
      </c>
      <c r="EW631">
        <f>IF(ISBLANK('Data Entry'!$Ù$631), "", 'Data Entry'!$Ù$631)</f>
      </c>
      <c r="EX631">
        <f>IF(ISBLANK('Data Entry'!$Ú$631), "", 'Data Entry'!$Ú$631)</f>
      </c>
      <c r="EY631">
        <f>IF(ISBLANK('Data Entry'!$Û$631), "", 'Data Entry'!$Û$631)</f>
      </c>
      <c r="EZ631">
        <f>IF(ISBLANK('Data Entry'!$Ü$631), "", 'Data Entry'!$Ü$631)</f>
      </c>
      <c r="FA631">
        <f>IF(ISBLANK('Data Entry'!$Ý$631), "", 'Data Entry'!$Ý$631)</f>
      </c>
      <c r="FB631">
        <f>IF(ISBLANK('Data Entry'!$Þ$631), "", 'Data Entry'!$Þ$631)</f>
      </c>
      <c r="FC631">
        <f>IF(ISBLANK('Data Entry'!$ß$631), "", 'Data Entry'!$ß$631)</f>
      </c>
      <c r="FD631">
        <f>IF(ISBLANK('Data Entry'!$à$631), "", 'Data Entry'!$à$631)</f>
      </c>
      <c r="FE631">
        <f>IF(ISBLANK('Data Entry'!$á$631), "", 'Data Entry'!$á$631)</f>
      </c>
      <c r="FF631">
        <f>IF(ISBLANK('Data Entry'!$â$631), "", 'Data Entry'!$â$631)</f>
      </c>
      <c r="FG631">
        <f>IF(ISBLANK('Data Entry'!$ã$631), "", 'Data Entry'!$ã$631)</f>
      </c>
      <c r="FH631">
        <f>IF(ISBLANK('Data Entry'!$ä$631), "", 'Data Entry'!$ä$631)</f>
      </c>
      <c r="FI631">
        <f>IF(ISBLANK('Data Entry'!$å$631), "", 'Data Entry'!$å$631)</f>
      </c>
      <c r="FJ631">
        <f>IF(ISBLANK('Data Entry'!$æ$631), "", 'Data Entry'!$æ$631)</f>
      </c>
      <c r="FK631">
        <f>IF(ISBLANK('Data Entry'!$ç$631), "", 'Data Entry'!$ç$631)</f>
      </c>
      <c r="FL631">
        <f>IF(ISBLANK('Data Entry'!$è$631), "", 'Data Entry'!$è$631)</f>
      </c>
      <c r="FM631">
        <f>IF(ISBLANK('Data Entry'!$é$631), "", 'Data Entry'!$é$631)</f>
      </c>
      <c r="FN631">
        <f>IF(ISBLANK('Data Entry'!$ê$631), "", 'Data Entry'!$ê$631)</f>
      </c>
      <c r="FO631">
        <f>IF(ISBLANK('Data Entry'!$ë$631), "", 'Data Entry'!$ë$631)</f>
      </c>
      <c r="FP631">
        <f>IF(ISBLANK('Data Entry'!$ì$631), "", 'Data Entry'!$ì$631)</f>
      </c>
      <c r="FQ631">
        <f>IF(ISBLANK('Data Entry'!$í$631), "", 'Data Entry'!$í$631)</f>
      </c>
      <c r="FR631">
        <f>IF(ISBLANK('Data Entry'!$î$631), "", 'Data Entry'!$î$631)</f>
      </c>
      <c r="FS631">
        <f>IF(ISBLANK('Data Entry'!$ï$631), "", 'Data Entry'!$ï$631)</f>
      </c>
      <c r="FT631">
        <f>IF(ISBLANK('Data Entry'!$ð$631), "", 'Data Entry'!$ð$631)</f>
      </c>
      <c r="FU631">
        <f>IF(ISBLANK('Data Entry'!$ñ$631), "", 'Data Entry'!$ñ$631)</f>
      </c>
      <c r="FV631">
        <f>IF(ISBLANK('Data Entry'!$ò$631), "", 'Data Entry'!$ò$631)</f>
      </c>
      <c r="FW631">
        <f>IF(ISBLANK('Data Entry'!$ó$631), "", 'Data Entry'!$ó$631)</f>
      </c>
      <c r="FX631">
        <f>IF(ISBLANK('Data Entry'!$ô$631), "", 'Data Entry'!$ô$631)</f>
      </c>
      <c r="FY631">
        <f>IF(ISBLANK('Data Entry'!$õ$631), "", 'Data Entry'!$õ$631)</f>
      </c>
      <c r="FZ631">
        <f>IF(ISBLANK('Data Entry'!$ö$631), "", 'Data Entry'!$ö$631)</f>
      </c>
      <c r="GA631">
        <f>IF(ISBLANK('Data Entry'!$÷$631), "", 'Data Entry'!$÷$631)</f>
      </c>
      <c r="GB631">
        <f>IF(ISBLANK('Data Entry'!$ø$631), "", 'Data Entry'!$ø$631)</f>
      </c>
      <c r="GC631">
        <f>IF(ISBLANK('Data Entry'!$ù$631), "", 'Data Entry'!$ù$631)</f>
      </c>
      <c r="GD631">
        <f>IF(ISBLANK('Data Entry'!$ú$631), "", 'Data Entry'!$ú$631)</f>
      </c>
      <c r="GE631">
        <f>IF(ISBLANK('Data Entry'!$û$631), "", 'Data Entry'!$û$631)</f>
      </c>
      <c r="GF631">
        <f>IF(ISBLANK('Data Entry'!$ü$631), "", 'Data Entry'!$ü$631)</f>
      </c>
      <c r="GG631">
        <f>IF(ISBLANK('Data Entry'!$ý$631), "", 'Data Entry'!$ý$631)</f>
      </c>
      <c r="GH631">
        <f>IF(ISBLANK('Data Entry'!$þ$631), "", 'Data Entry'!$þ$631)</f>
      </c>
      <c r="GI631">
        <f>IF(ISBLANK('Data Entry'!$ÿ$631), "", 'Data Entry'!$ÿ$631)</f>
      </c>
      <c r="GJ631">
        <f>IF(ISBLANK('Data Entry'!$Ā$631), "", 'Data Entry'!$Ā$631)</f>
      </c>
      <c r="GK631">
        <f>IF(ISBLANK('Data Entry'!$ā$631), "", 'Data Entry'!$ā$631)</f>
      </c>
      <c r="GL631">
        <f>IF(ISBLANK('Data Entry'!$Ă$631), "", 'Data Entry'!$Ă$631)</f>
      </c>
      <c r="GM631">
        <f>IF(ISBLANK('Data Entry'!$ă$631), "", 'Data Entry'!$ă$631)</f>
      </c>
      <c r="GN631">
        <f>IF(ISBLANK('Data Entry'!$Ą$631), "", 'Data Entry'!$Ą$631)</f>
      </c>
      <c r="GO631">
        <f>IF(ISBLANK('Data Entry'!$ą$631), "", 'Data Entry'!$ą$631)</f>
      </c>
      <c r="GP631">
        <f>IF(ISBLANK('Data Entry'!$Ć$631), "", 'Data Entry'!$Ć$631)</f>
      </c>
      <c r="GQ631">
        <f>IF(ISBLANK('Data Entry'!$ć$631), "", 'Data Entry'!$ć$631)</f>
      </c>
      <c r="GR631">
        <f>IF(ISBLANK('Data Entry'!$Ĉ$631), "", 'Data Entry'!$Ĉ$631)</f>
      </c>
      <c r="GS631">
        <f>IF(ISBLANK('Data Entry'!$ĉ$631), "", 'Data Entry'!$ĉ$631)</f>
      </c>
      <c r="GT631">
        <f>IF(ISBLANK('Data Entry'!$Ċ$631), "", 'Data Entry'!$Ċ$631)</f>
      </c>
      <c r="GU631">
        <f>IF(ISBLANK('Data Entry'!$ċ$631), "", 'Data Entry'!$ċ$631)</f>
      </c>
      <c r="GV631">
        <f>IF(ISBLANK('Data Entry'!$Č$631), "", 'Data Entry'!$Č$631)</f>
      </c>
      <c r="GW631">
        <f>IF(ISBLANK('Data Entry'!$č$631), "", 'Data Entry'!$č$631)</f>
      </c>
      <c r="GX631">
        <f>IF(ISBLANK('Data Entry'!$Ď$631), "", 'Data Entry'!$Ď$631)</f>
      </c>
      <c r="GY631">
        <f>IF(ISBLANK('Data Entry'!$ď$631), "", 'Data Entry'!$ď$631)</f>
      </c>
      <c r="GZ631">
        <f>IF(ISBLANK('Data Entry'!$Đ$631), "", 'Data Entry'!$Đ$631)</f>
      </c>
      <c r="HA631">
        <f>IF(ISBLANK('Data Entry'!$đ$631), "", 'Data Entry'!$đ$631)</f>
      </c>
      <c r="HB631">
        <f>IF(ISBLANK('Data Entry'!$Ē$631), "", 'Data Entry'!$Ē$631)</f>
      </c>
      <c r="HC631">
        <f>IF(ISBLANK('Data Entry'!$ē$631), "", 'Data Entry'!$ē$631)</f>
      </c>
      <c r="HD631">
        <f>IF(ISBLANK('Data Entry'!$Ĕ$631), "", 'Data Entry'!$Ĕ$631)</f>
      </c>
      <c r="HE631">
        <f>IF(ISBLANK('Data Entry'!$ĕ$631), "", 'Data Entry'!$ĕ$631)</f>
      </c>
      <c r="HF631">
        <f>IF(ISBLANK('Data Entry'!$Ė$631), "", 'Data Entry'!$Ė$631)</f>
      </c>
      <c r="HG631">
        <f>IF(ISBLANK('Data Entry'!$ė$631), "", 'Data Entry'!$ė$631)</f>
      </c>
      <c r="HH631">
        <f>IF(ISBLANK('Data Entry'!$Ę$631), "", 'Data Entry'!$Ę$631)</f>
      </c>
      <c r="HI631">
        <f>IF(ISBLANK('Data Entry'!$ę$631), "", 'Data Entry'!$ę$631)</f>
      </c>
      <c r="HJ631">
        <f>IF(ISBLANK('Data Entry'!$Ě$631), "", 'Data Entry'!$Ě$631)</f>
      </c>
      <c r="HK631">
        <f>IF(ISBLANK('Data Entry'!$ě$631), "", 'Data Entry'!$ě$631)</f>
      </c>
      <c r="HL631">
        <f>IF(ISBLANK('Data Entry'!$Ĝ$631), "", 'Data Entry'!$Ĝ$631)</f>
      </c>
      <c r="HM631">
        <f>IF(ISBLANK('Data Entry'!$ĝ$631), "", 'Data Entry'!$ĝ$631)</f>
      </c>
      <c r="HN631">
        <f>IF(ISBLANK('Data Entry'!$Ğ$631), "", 'Data Entry'!$Ğ$631)</f>
      </c>
      <c r="HO631">
        <f>IF(ISBLANK('Data Entry'!$ğ$631), "", 'Data Entry'!$ğ$631)</f>
      </c>
      <c r="HP631">
        <f>IF(ISBLANK('Data Entry'!$Ġ$631), "", 'Data Entry'!$Ġ$631)</f>
      </c>
      <c r="HQ631">
        <f>IF(ISBLANK('Data Entry'!$ġ$631), "", 'Data Entry'!$ġ$631)</f>
      </c>
      <c r="HR631">
        <f>IF(ISBLANK('Data Entry'!$Ģ$631), "", 'Data Entry'!$Ģ$631)</f>
      </c>
      <c r="HS631">
        <f>IF(ISBLANK('Data Entry'!$ģ$631), "", 'Data Entry'!$ģ$631)</f>
      </c>
      <c r="HT631">
        <f>IF(ISBLANK('Data Entry'!$Ĥ$631), "", 'Data Entry'!$Ĥ$631)</f>
      </c>
      <c r="HU631">
        <f>IF(ISBLANK('Data Entry'!$ĥ$631), "", 'Data Entry'!$ĥ$631)</f>
      </c>
      <c r="HV631">
        <f>IF(ISBLANK('Data Entry'!$Ħ$631), "", 'Data Entry'!$Ħ$631)</f>
      </c>
      <c r="HW631">
        <f>IF(ISBLANK('Data Entry'!$ħ$631), "", 'Data Entry'!$ħ$631)</f>
      </c>
      <c r="HX631">
        <f>IF(ISBLANK('Data Entry'!$Ĩ$631), "", 'Data Entry'!$Ĩ$631)</f>
      </c>
      <c r="HY631">
        <f>IF(ISBLANK('Data Entry'!$ĩ$631), "", 'Data Entry'!$ĩ$631)</f>
      </c>
      <c r="HZ631">
        <f>IF(ISBLANK('Data Entry'!$Ī$631), "", 'Data Entry'!$Ī$631)</f>
      </c>
      <c r="IA631">
        <f>IF(ISBLANK('Data Entry'!$ī$631), "", 'Data Entry'!$ī$631)</f>
      </c>
      <c r="IB631">
        <f>IF(ISBLANK('Data Entry'!$Ĭ$631), "", 'Data Entry'!$Ĭ$631)</f>
      </c>
      <c r="IC631">
        <f>IF(ISBLANK('Data Entry'!$ĭ$631), "", 'Data Entry'!$ĭ$631)</f>
      </c>
      <c r="ID631">
        <f>IF(ISBLANK('Data Entry'!$Į$631), "", 'Data Entry'!$Į$631)</f>
      </c>
      <c r="IE631">
        <f>IF(ISBLANK('Data Entry'!$į$631), "", 'Data Entry'!$į$631)</f>
      </c>
      <c r="IF631">
        <f>IF(ISBLANK('Data Entry'!$İ$631), "", 'Data Entry'!$İ$631)</f>
      </c>
      <c r="IG631">
        <f>IF(ISBLANK('Data Entry'!$ı$631), "", 'Data Entry'!$ı$631)</f>
      </c>
      <c r="IH631">
        <f>IF(ISBLANK('Data Entry'!$Ĳ$631), "", 'Data Entry'!$Ĳ$631)</f>
      </c>
      <c r="II631">
        <f>IF(ISBLANK('Data Entry'!$ĳ$631), "", 'Data Entry'!$ĳ$631)</f>
      </c>
      <c r="IJ631">
        <f>IF(ISBLANK('Data Entry'!$Ĵ$631), "", 'Data Entry'!$Ĵ$631)</f>
      </c>
      <c r="IK631">
        <f>IF(ISBLANK('Data Entry'!$ĵ$631), "", 'Data Entry'!$ĵ$631)</f>
      </c>
      <c r="IL631">
        <f>IF(ISBLANK('Data Entry'!$Ķ$631), "", 'Data Entry'!$Ķ$631)</f>
      </c>
      <c r="IM631">
        <f>IF(ISBLANK('Data Entry'!$ķ$631), "", 'Data Entry'!$ķ$631)</f>
      </c>
      <c r="IN631">
        <f>IF(ISBLANK('Data Entry'!$ĸ$631), "", 'Data Entry'!$ĸ$631)</f>
      </c>
      <c r="IO631">
        <f>IF(ISBLANK('Data Entry'!$Ĺ$631), "", 'Data Entry'!$Ĺ$631)</f>
      </c>
      <c r="IP631">
        <f>IF(ISBLANK('Data Entry'!$ĺ$631), "", 'Data Entry'!$ĺ$631)</f>
      </c>
      <c r="IQ631">
        <f>IF(ISBLANK('Data Entry'!$Ļ$631), "", 'Data Entry'!$Ļ$631)</f>
      </c>
      <c r="IR631">
        <f>IF(ISBLANK('Data Entry'!$ļ$631), "", 'Data Entry'!$ļ$631)</f>
      </c>
      <c r="IS631">
        <f>IF(ISBLANK('Data Entry'!$Ľ$631), "", 'Data Entry'!$Ľ$631)</f>
      </c>
      <c r="IT631">
        <f>IF(ISBLANK('Data Entry'!$ľ$631), "", 'Data Entry'!$ľ$631)</f>
      </c>
    </row>
    <row r="632" spans="1:254" x14ac:dyDescent="0.25">
      <c r="A632">
        <f>IF(ISBLANK('Data Entry'!$A$632), "", 'Data Entry'!$A$632)</f>
      </c>
      <c r="B632">
        <f>IF(ISBLANK('Data Entry'!$B$632), "", 'Data Entry'!$B$632)</f>
      </c>
      <c r="C632">
        <f>IF(ISBLANK('Data Entry'!$C$632), "", 'Data Entry'!$C$632)</f>
      </c>
      <c r="D632">
        <f>IF(ISBLANK('Data Entry'!$D$632), "", 'Data Entry'!$D$632)</f>
      </c>
      <c r="E632">
        <f>IF(ISBLANK('Data Entry'!$E$632), "", 'Data Entry'!$E$632)</f>
      </c>
      <c r="F632">
        <f>IF(ISBLANK('Data Entry'!$F$632), "", 'Data Entry'!$F$632)</f>
      </c>
      <c r="G632">
        <f>IF(ISBLANK('Data Entry'!$G$632), "", 'Data Entry'!$G$632)</f>
      </c>
      <c r="H632">
        <f>IF(ISBLANK('Data Entry'!$H$632), "", 'Data Entry'!$H$632)</f>
      </c>
      <c r="I632">
        <f>IF(ISBLANK('Data Entry'!$I$632), "", 'Data Entry'!$I$632)</f>
      </c>
      <c r="J632">
        <f>IF(ISBLANK('Data Entry'!$J$632), "", 'Data Entry'!$J$632)</f>
      </c>
      <c r="K632">
        <f>IF(ISBLANK('Data Entry'!$K$632), "", 'Data Entry'!$K$632)</f>
      </c>
      <c r="L632">
        <f>IF(ISBLANK('Data Entry'!$L$632), "", 'Data Entry'!$L$632)</f>
      </c>
      <c r="M632">
        <f>IF(ISBLANK('Data Entry'!$M$632), "", 'Data Entry'!$M$632)</f>
      </c>
      <c r="N632">
        <f>IF(ISBLANK('Data Entry'!$N$632), "", 'Data Entry'!$N$632)</f>
      </c>
      <c r="O632">
        <f>IF(ISBLANK('Data Entry'!$O$632), "", 'Data Entry'!$O$632)</f>
      </c>
      <c r="P632">
        <f>IF(ISBLANK('Data Entry'!$P$632), "", 'Data Entry'!$P$632)</f>
      </c>
      <c r="Q632">
        <f>IF(ISBLANK('Data Entry'!$Q$632), "", 'Data Entry'!$Q$632)</f>
      </c>
      <c r="R632">
        <f>IF(ISBLANK('Data Entry'!$R$632), "", 'Data Entry'!$R$632)</f>
      </c>
      <c r="S632">
        <f>IF(ISBLANK('Data Entry'!$S$632), "", 'Data Entry'!$S$632)</f>
      </c>
      <c r="T632">
        <f>IF(ISBLANK('Data Entry'!$T$632), "", 'Data Entry'!$T$632)</f>
      </c>
      <c r="U632">
        <f>IF(ISBLANK('Data Entry'!$U$632), "", 'Data Entry'!$U$632)</f>
      </c>
      <c r="V632">
        <f>IF(ISBLANK('Data Entry'!$V$632), "", 'Data Entry'!$V$632)</f>
      </c>
      <c r="W632">
        <f>IF(ISBLANK('Data Entry'!$W$632), "", 'Data Entry'!$W$632)</f>
      </c>
      <c r="X632">
        <f>IF(ISBLANK('Data Entry'!$X$632), "", 'Data Entry'!$X$632)</f>
      </c>
      <c r="Y632">
        <f>IF(ISBLANK('Data Entry'!$Y$632), "", 'Data Entry'!$Y$632)</f>
      </c>
      <c r="Z632">
        <f>IF(ISBLANK('Data Entry'!$Z$632), "", 'Data Entry'!$Z$632)</f>
      </c>
      <c r="AA632">
        <f>IF(ISBLANK('Data Entry'!$[$632), "", 'Data Entry'!$[$632)</f>
      </c>
      <c r="AB632">
        <f>IF(ISBLANK('Data Entry'!$\$632), "", 'Data Entry'!$\$632)</f>
      </c>
      <c r="AC632">
        <f>IF(ISBLANK('Data Entry'!$]$632), "", 'Data Entry'!$]$632)</f>
      </c>
      <c r="AD632">
        <f>IF(ISBLANK('Data Entry'!$^$632), "", 'Data Entry'!$^$632)</f>
      </c>
      <c r="AE632">
        <f>IF(ISBLANK('Data Entry'!$_$632), "", 'Data Entry'!$_$632)</f>
      </c>
      <c r="AF632">
        <f>IF(ISBLANK('Data Entry'!$`$632), "", 'Data Entry'!$`$632)</f>
      </c>
      <c r="AG632">
        <f>IF(ISBLANK('Data Entry'!$a$632), "", 'Data Entry'!$a$632)</f>
      </c>
      <c r="AH632">
        <f>IF(ISBLANK('Data Entry'!$b$632), "", 'Data Entry'!$b$632)</f>
      </c>
      <c r="AI632">
        <f>IF(ISBLANK('Data Entry'!$c$632), "", 'Data Entry'!$c$632)</f>
      </c>
      <c r="AJ632">
        <f>IF(ISBLANK('Data Entry'!$d$632), "", 'Data Entry'!$d$632)</f>
      </c>
      <c r="AK632">
        <f>IF(ISBLANK('Data Entry'!$e$632), "", 'Data Entry'!$e$632)</f>
      </c>
      <c r="AL632">
        <f>IF(ISBLANK('Data Entry'!$f$632), "", 'Data Entry'!$f$632)</f>
      </c>
      <c r="AM632">
        <f>IF(ISBLANK('Data Entry'!$g$632), "", 'Data Entry'!$g$632)</f>
      </c>
      <c r="AN632">
        <f>IF(ISBLANK('Data Entry'!$h$632), "", 'Data Entry'!$h$632)</f>
      </c>
      <c r="AO632">
        <f>IF(ISBLANK('Data Entry'!$i$632), "", 'Data Entry'!$i$632)</f>
      </c>
      <c r="AP632">
        <f>IF(ISBLANK('Data Entry'!$j$632), "", 'Data Entry'!$j$632)</f>
      </c>
      <c r="AQ632">
        <f>IF(ISBLANK('Data Entry'!$k$632), "", 'Data Entry'!$k$632)</f>
      </c>
      <c r="AR632">
        <f>IF(ISBLANK('Data Entry'!$l$632), "", 'Data Entry'!$l$632)</f>
      </c>
      <c r="AS632">
        <f>IF(ISBLANK('Data Entry'!$m$632), "", 'Data Entry'!$m$632)</f>
      </c>
      <c r="AT632">
        <f>IF(ISBLANK('Data Entry'!$n$632), "", 'Data Entry'!$n$632)</f>
      </c>
      <c r="AU632">
        <f>IF(ISBLANK('Data Entry'!$o$632), "", 'Data Entry'!$o$632)</f>
      </c>
      <c r="AV632">
        <f>IF(ISBLANK('Data Entry'!$p$632), "", 'Data Entry'!$p$632)</f>
      </c>
      <c r="AW632">
        <f>IF(ISBLANK('Data Entry'!$q$632), "", 'Data Entry'!$q$632)</f>
      </c>
      <c r="AX632">
        <f>IF(ISBLANK('Data Entry'!$r$632), "", 'Data Entry'!$r$632)</f>
      </c>
      <c r="AY632">
        <f>IF(ISBLANK('Data Entry'!$s$632), "", 'Data Entry'!$s$632)</f>
      </c>
      <c r="AZ632">
        <f>IF(ISBLANK('Data Entry'!$t$632), "", 'Data Entry'!$t$632)</f>
      </c>
      <c r="BA632">
        <f>IF(ISBLANK('Data Entry'!$u$632), "", 'Data Entry'!$u$632)</f>
      </c>
      <c r="BB632">
        <f>IF(ISBLANK('Data Entry'!$v$632), "", 'Data Entry'!$v$632)</f>
      </c>
      <c r="BC632">
        <f>IF(ISBLANK('Data Entry'!$w$632), "", 'Data Entry'!$w$632)</f>
      </c>
      <c r="BD632">
        <f>IF(ISBLANK('Data Entry'!$x$632), "", 'Data Entry'!$x$632)</f>
      </c>
      <c r="BE632">
        <f>IF(ISBLANK('Data Entry'!$y$632), "", 'Data Entry'!$y$632)</f>
      </c>
      <c r="BF632">
        <f>IF(ISBLANK('Data Entry'!$z$632), "", 'Data Entry'!$z$632)</f>
      </c>
      <c r="BG632">
        <f>IF(ISBLANK('Data Entry'!${$632), "", 'Data Entry'!${$632)</f>
      </c>
      <c r="BH632">
        <f>IF(ISBLANK('Data Entry'!$|$632), "", 'Data Entry'!$|$632)</f>
      </c>
      <c r="BI632">
        <f>IF(ISBLANK('Data Entry'!$}$632), "", 'Data Entry'!$}$632)</f>
      </c>
      <c r="BJ632">
        <f>IF(ISBLANK('Data Entry'!$~$632), "", 'Data Entry'!$~$632)</f>
      </c>
      <c r="BK632">
        <f>IF(ISBLANK('Data Entry'!$$632), "", 'Data Entry'!$$632)</f>
      </c>
      <c r="BL632">
        <f>IF(ISBLANK('Data Entry'!$$632), "", 'Data Entry'!$$632)</f>
      </c>
      <c r="BM632">
        <f>IF(ISBLANK('Data Entry'!$$632), "", 'Data Entry'!$$632)</f>
      </c>
      <c r="BN632">
        <f>IF(ISBLANK('Data Entry'!$$632), "", 'Data Entry'!$$632)</f>
      </c>
      <c r="BO632">
        <f>IF(ISBLANK('Data Entry'!$$632), "", 'Data Entry'!$$632)</f>
      </c>
      <c r="BP632">
        <f>IF(ISBLANK('Data Entry'!$$632), "", 'Data Entry'!$$632)</f>
      </c>
      <c r="BQ632">
        <f>IF(ISBLANK('Data Entry'!$$632), "", 'Data Entry'!$$632)</f>
      </c>
      <c r="BR632">
        <f>IF(ISBLANK('Data Entry'!$$632), "", 'Data Entry'!$$632)</f>
      </c>
      <c r="BS632">
        <f>IF(ISBLANK('Data Entry'!$$632), "", 'Data Entry'!$$632)</f>
      </c>
      <c r="BT632">
        <f>IF(ISBLANK('Data Entry'!$$632), "", 'Data Entry'!$$632)</f>
      </c>
      <c r="BU632">
        <f>IF(ISBLANK('Data Entry'!$$632), "", 'Data Entry'!$$632)</f>
      </c>
      <c r="BV632">
        <f>IF(ISBLANK('Data Entry'!$$632), "", 'Data Entry'!$$632)</f>
      </c>
      <c r="BW632">
        <f>IF(ISBLANK('Data Entry'!$$632), "", 'Data Entry'!$$632)</f>
      </c>
      <c r="BX632">
        <f>IF(ISBLANK('Data Entry'!$$632), "", 'Data Entry'!$$632)</f>
      </c>
      <c r="BY632">
        <f>IF(ISBLANK('Data Entry'!$$632), "", 'Data Entry'!$$632)</f>
      </c>
      <c r="BZ632">
        <f>IF(ISBLANK('Data Entry'!$$632), "", 'Data Entry'!$$632)</f>
      </c>
      <c r="CA632">
        <f>IF(ISBLANK('Data Entry'!$$632), "", 'Data Entry'!$$632)</f>
      </c>
      <c r="CB632">
        <f>IF(ISBLANK('Data Entry'!$$632), "", 'Data Entry'!$$632)</f>
      </c>
      <c r="CC632">
        <f>IF(ISBLANK('Data Entry'!$$632), "", 'Data Entry'!$$632)</f>
      </c>
      <c r="CD632">
        <f>IF(ISBLANK('Data Entry'!$$632), "", 'Data Entry'!$$632)</f>
      </c>
      <c r="CE632">
        <f>IF(ISBLANK('Data Entry'!$$632), "", 'Data Entry'!$$632)</f>
      </c>
      <c r="CF632">
        <f>IF(ISBLANK('Data Entry'!$$632), "", 'Data Entry'!$$632)</f>
      </c>
      <c r="CG632">
        <f>IF(ISBLANK('Data Entry'!$$632), "", 'Data Entry'!$$632)</f>
      </c>
      <c r="CH632">
        <f>IF(ISBLANK('Data Entry'!$$632), "", 'Data Entry'!$$632)</f>
      </c>
      <c r="CI632">
        <f>IF(ISBLANK('Data Entry'!$$632), "", 'Data Entry'!$$632)</f>
      </c>
      <c r="CJ632">
        <f>IF(ISBLANK('Data Entry'!$$632), "", 'Data Entry'!$$632)</f>
      </c>
      <c r="CK632">
        <f>IF(ISBLANK('Data Entry'!$$632), "", 'Data Entry'!$$632)</f>
      </c>
      <c r="CL632">
        <f>IF(ISBLANK('Data Entry'!$$632), "", 'Data Entry'!$$632)</f>
      </c>
      <c r="CM632">
        <f>IF(ISBLANK('Data Entry'!$$632), "", 'Data Entry'!$$632)</f>
      </c>
      <c r="CN632">
        <f>IF(ISBLANK('Data Entry'!$$632), "", 'Data Entry'!$$632)</f>
      </c>
      <c r="CO632">
        <f>IF(ISBLANK('Data Entry'!$$632), "", 'Data Entry'!$$632)</f>
      </c>
      <c r="CP632">
        <f>IF(ISBLANK('Data Entry'!$$632), "", 'Data Entry'!$$632)</f>
      </c>
      <c r="CQ632">
        <f>IF(ISBLANK('Data Entry'!$$632), "", 'Data Entry'!$$632)</f>
      </c>
      <c r="CR632">
        <f>IF(ISBLANK('Data Entry'!$ $632), "", 'Data Entry'!$ $632)</f>
      </c>
      <c r="CS632">
        <f>IF(ISBLANK('Data Entry'!$¡$632), "", 'Data Entry'!$¡$632)</f>
      </c>
      <c r="CT632">
        <f>IF(ISBLANK('Data Entry'!$¢$632), "", 'Data Entry'!$¢$632)</f>
      </c>
      <c r="CU632">
        <f>IF(ISBLANK('Data Entry'!$£$632), "", 'Data Entry'!$£$632)</f>
      </c>
      <c r="CV632">
        <f>IF(ISBLANK('Data Entry'!$¤$632), "", 'Data Entry'!$¤$632)</f>
      </c>
      <c r="CW632">
        <f>IF(ISBLANK('Data Entry'!$¥$632), "", 'Data Entry'!$¥$632)</f>
      </c>
      <c r="CX632">
        <f>IF(ISBLANK('Data Entry'!$¦$632), "", 'Data Entry'!$¦$632)</f>
      </c>
      <c r="CY632">
        <f>IF(ISBLANK('Data Entry'!$§$632), "", 'Data Entry'!$§$632)</f>
      </c>
      <c r="CZ632">
        <f>IF(ISBLANK('Data Entry'!$¨$632), "", 'Data Entry'!$¨$632)</f>
      </c>
      <c r="DA632">
        <f>IF(ISBLANK('Data Entry'!$©$632), "", 'Data Entry'!$©$632)</f>
      </c>
      <c r="DB632">
        <f>IF(ISBLANK('Data Entry'!$ª$632), "", 'Data Entry'!$ª$632)</f>
      </c>
      <c r="DC632">
        <f>IF(ISBLANK('Data Entry'!$«$632), "", 'Data Entry'!$«$632)</f>
      </c>
      <c r="DD632">
        <f>IF(ISBLANK('Data Entry'!$¬$632), "", 'Data Entry'!$¬$632)</f>
      </c>
      <c r="DE632">
        <f>IF(ISBLANK('Data Entry'!$­$632), "", 'Data Entry'!$­$632)</f>
      </c>
      <c r="DF632">
        <f>IF(ISBLANK('Data Entry'!$®$632), "", 'Data Entry'!$®$632)</f>
      </c>
      <c r="DG632">
        <f>IF(ISBLANK('Data Entry'!$¯$632), "", 'Data Entry'!$¯$632)</f>
      </c>
      <c r="DH632">
        <f>IF(ISBLANK('Data Entry'!$°$632), "", 'Data Entry'!$°$632)</f>
      </c>
      <c r="DI632">
        <f>IF(ISBLANK('Data Entry'!$±$632), "", 'Data Entry'!$±$632)</f>
      </c>
      <c r="DJ632">
        <f>IF(ISBLANK('Data Entry'!$²$632), "", 'Data Entry'!$²$632)</f>
      </c>
      <c r="DK632">
        <f>IF(ISBLANK('Data Entry'!$³$632), "", 'Data Entry'!$³$632)</f>
      </c>
      <c r="DL632">
        <f>IF(ISBLANK('Data Entry'!$´$632), "", 'Data Entry'!$´$632)</f>
      </c>
      <c r="DM632">
        <f>IF(ISBLANK('Data Entry'!$µ$632), "", 'Data Entry'!$µ$632)</f>
      </c>
      <c r="DN632">
        <f>IF(ISBLANK('Data Entry'!$¶$632), "", 'Data Entry'!$¶$632)</f>
      </c>
      <c r="DO632">
        <f>IF(ISBLANK('Data Entry'!$·$632), "", 'Data Entry'!$·$632)</f>
      </c>
      <c r="DP632">
        <f>IF(ISBLANK('Data Entry'!$¸$632), "", 'Data Entry'!$¸$632)</f>
      </c>
      <c r="DQ632">
        <f>IF(ISBLANK('Data Entry'!$¹$632), "", 'Data Entry'!$¹$632)</f>
      </c>
      <c r="DR632">
        <f>IF(ISBLANK('Data Entry'!$º$632), "", 'Data Entry'!$º$632)</f>
      </c>
      <c r="DS632">
        <f>IF(ISBLANK('Data Entry'!$»$632), "", 'Data Entry'!$»$632)</f>
      </c>
      <c r="DT632">
        <f>IF(ISBLANK('Data Entry'!$¼$632), "", 'Data Entry'!$¼$632)</f>
      </c>
      <c r="DU632">
        <f>IF(ISBLANK('Data Entry'!$½$632), "", 'Data Entry'!$½$632)</f>
      </c>
      <c r="DV632">
        <f>IF(ISBLANK('Data Entry'!$¾$632), "", 'Data Entry'!$¾$632)</f>
      </c>
      <c r="DW632">
        <f>IF(ISBLANK('Data Entry'!$¿$632), "", 'Data Entry'!$¿$632)</f>
      </c>
      <c r="DX632">
        <f>IF(ISBLANK('Data Entry'!$À$632), "", 'Data Entry'!$À$632)</f>
      </c>
      <c r="DY632">
        <f>IF(ISBLANK('Data Entry'!$Á$632), "", 'Data Entry'!$Á$632)</f>
      </c>
      <c r="DZ632">
        <f>IF(ISBLANK('Data Entry'!$Â$632), "", 'Data Entry'!$Â$632)</f>
      </c>
      <c r="EA632">
        <f>IF(ISBLANK('Data Entry'!$Ã$632), "", 'Data Entry'!$Ã$632)</f>
      </c>
      <c r="EB632">
        <f>IF(ISBLANK('Data Entry'!$Ä$632), "", 'Data Entry'!$Ä$632)</f>
      </c>
      <c r="EC632">
        <f>IF(ISBLANK('Data Entry'!$Å$632), "", 'Data Entry'!$Å$632)</f>
      </c>
      <c r="ED632">
        <f>IF(ISBLANK('Data Entry'!$Æ$632), "", 'Data Entry'!$Æ$632)</f>
      </c>
      <c r="EE632">
        <f>IF(ISBLANK('Data Entry'!$Ç$632), "", 'Data Entry'!$Ç$632)</f>
      </c>
      <c r="EF632">
        <f>IF(ISBLANK('Data Entry'!$È$632), "", 'Data Entry'!$È$632)</f>
      </c>
      <c r="EG632">
        <f>IF(ISBLANK('Data Entry'!$É$632), "", 'Data Entry'!$É$632)</f>
      </c>
      <c r="EH632">
        <f>IF(ISBLANK('Data Entry'!$Ê$632), "", 'Data Entry'!$Ê$632)</f>
      </c>
      <c r="EI632">
        <f>IF(ISBLANK('Data Entry'!$Ë$632), "", 'Data Entry'!$Ë$632)</f>
      </c>
      <c r="EJ632">
        <f>IF(ISBLANK('Data Entry'!$Ì$632), "", 'Data Entry'!$Ì$632)</f>
      </c>
      <c r="EK632">
        <f>IF(ISBLANK('Data Entry'!$Í$632), "", 'Data Entry'!$Í$632)</f>
      </c>
      <c r="EL632">
        <f>IF(ISBLANK('Data Entry'!$Î$632), "", 'Data Entry'!$Î$632)</f>
      </c>
      <c r="EM632">
        <f>IF(ISBLANK('Data Entry'!$Ï$632), "", 'Data Entry'!$Ï$632)</f>
      </c>
      <c r="EN632">
        <f>IF(ISBLANK('Data Entry'!$Ð$632), "", 'Data Entry'!$Ð$632)</f>
      </c>
      <c r="EO632">
        <f>IF(ISBLANK('Data Entry'!$Ñ$632), "", 'Data Entry'!$Ñ$632)</f>
      </c>
      <c r="EP632">
        <f>IF(ISBLANK('Data Entry'!$Ò$632), "", 'Data Entry'!$Ò$632)</f>
      </c>
      <c r="EQ632">
        <f>IF(ISBLANK('Data Entry'!$Ó$632), "", 'Data Entry'!$Ó$632)</f>
      </c>
      <c r="ER632">
        <f>IF(ISBLANK('Data Entry'!$Ô$632), "", 'Data Entry'!$Ô$632)</f>
      </c>
      <c r="ES632">
        <f>IF(ISBLANK('Data Entry'!$Õ$632), "", 'Data Entry'!$Õ$632)</f>
      </c>
      <c r="ET632">
        <f>IF(ISBLANK('Data Entry'!$Ö$632), "", 'Data Entry'!$Ö$632)</f>
      </c>
      <c r="EU632">
        <f>IF(ISBLANK('Data Entry'!$×$632), "", 'Data Entry'!$×$632)</f>
      </c>
      <c r="EV632">
        <f>IF(ISBLANK('Data Entry'!$Ø$632), "", 'Data Entry'!$Ø$632)</f>
      </c>
      <c r="EW632">
        <f>IF(ISBLANK('Data Entry'!$Ù$632), "", 'Data Entry'!$Ù$632)</f>
      </c>
      <c r="EX632">
        <f>IF(ISBLANK('Data Entry'!$Ú$632), "", 'Data Entry'!$Ú$632)</f>
      </c>
      <c r="EY632">
        <f>IF(ISBLANK('Data Entry'!$Û$632), "", 'Data Entry'!$Û$632)</f>
      </c>
      <c r="EZ632">
        <f>IF(ISBLANK('Data Entry'!$Ü$632), "", 'Data Entry'!$Ü$632)</f>
      </c>
      <c r="FA632">
        <f>IF(ISBLANK('Data Entry'!$Ý$632), "", 'Data Entry'!$Ý$632)</f>
      </c>
      <c r="FB632">
        <f>IF(ISBLANK('Data Entry'!$Þ$632), "", 'Data Entry'!$Þ$632)</f>
      </c>
      <c r="FC632">
        <f>IF(ISBLANK('Data Entry'!$ß$632), "", 'Data Entry'!$ß$632)</f>
      </c>
      <c r="FD632">
        <f>IF(ISBLANK('Data Entry'!$à$632), "", 'Data Entry'!$à$632)</f>
      </c>
      <c r="FE632">
        <f>IF(ISBLANK('Data Entry'!$á$632), "", 'Data Entry'!$á$632)</f>
      </c>
      <c r="FF632">
        <f>IF(ISBLANK('Data Entry'!$â$632), "", 'Data Entry'!$â$632)</f>
      </c>
      <c r="FG632">
        <f>IF(ISBLANK('Data Entry'!$ã$632), "", 'Data Entry'!$ã$632)</f>
      </c>
      <c r="FH632">
        <f>IF(ISBLANK('Data Entry'!$ä$632), "", 'Data Entry'!$ä$632)</f>
      </c>
      <c r="FI632">
        <f>IF(ISBLANK('Data Entry'!$å$632), "", 'Data Entry'!$å$632)</f>
      </c>
      <c r="FJ632">
        <f>IF(ISBLANK('Data Entry'!$æ$632), "", 'Data Entry'!$æ$632)</f>
      </c>
      <c r="FK632">
        <f>IF(ISBLANK('Data Entry'!$ç$632), "", 'Data Entry'!$ç$632)</f>
      </c>
      <c r="FL632">
        <f>IF(ISBLANK('Data Entry'!$è$632), "", 'Data Entry'!$è$632)</f>
      </c>
      <c r="FM632">
        <f>IF(ISBLANK('Data Entry'!$é$632), "", 'Data Entry'!$é$632)</f>
      </c>
      <c r="FN632">
        <f>IF(ISBLANK('Data Entry'!$ê$632), "", 'Data Entry'!$ê$632)</f>
      </c>
      <c r="FO632">
        <f>IF(ISBLANK('Data Entry'!$ë$632), "", 'Data Entry'!$ë$632)</f>
      </c>
      <c r="FP632">
        <f>IF(ISBLANK('Data Entry'!$ì$632), "", 'Data Entry'!$ì$632)</f>
      </c>
      <c r="FQ632">
        <f>IF(ISBLANK('Data Entry'!$í$632), "", 'Data Entry'!$í$632)</f>
      </c>
      <c r="FR632">
        <f>IF(ISBLANK('Data Entry'!$î$632), "", 'Data Entry'!$î$632)</f>
      </c>
      <c r="FS632">
        <f>IF(ISBLANK('Data Entry'!$ï$632), "", 'Data Entry'!$ï$632)</f>
      </c>
      <c r="FT632">
        <f>IF(ISBLANK('Data Entry'!$ð$632), "", 'Data Entry'!$ð$632)</f>
      </c>
      <c r="FU632">
        <f>IF(ISBLANK('Data Entry'!$ñ$632), "", 'Data Entry'!$ñ$632)</f>
      </c>
      <c r="FV632">
        <f>IF(ISBLANK('Data Entry'!$ò$632), "", 'Data Entry'!$ò$632)</f>
      </c>
      <c r="FW632">
        <f>IF(ISBLANK('Data Entry'!$ó$632), "", 'Data Entry'!$ó$632)</f>
      </c>
      <c r="FX632">
        <f>IF(ISBLANK('Data Entry'!$ô$632), "", 'Data Entry'!$ô$632)</f>
      </c>
      <c r="FY632">
        <f>IF(ISBLANK('Data Entry'!$õ$632), "", 'Data Entry'!$õ$632)</f>
      </c>
      <c r="FZ632">
        <f>IF(ISBLANK('Data Entry'!$ö$632), "", 'Data Entry'!$ö$632)</f>
      </c>
      <c r="GA632">
        <f>IF(ISBLANK('Data Entry'!$÷$632), "", 'Data Entry'!$÷$632)</f>
      </c>
      <c r="GB632">
        <f>IF(ISBLANK('Data Entry'!$ø$632), "", 'Data Entry'!$ø$632)</f>
      </c>
      <c r="GC632">
        <f>IF(ISBLANK('Data Entry'!$ù$632), "", 'Data Entry'!$ù$632)</f>
      </c>
      <c r="GD632">
        <f>IF(ISBLANK('Data Entry'!$ú$632), "", 'Data Entry'!$ú$632)</f>
      </c>
      <c r="GE632">
        <f>IF(ISBLANK('Data Entry'!$û$632), "", 'Data Entry'!$û$632)</f>
      </c>
      <c r="GF632">
        <f>IF(ISBLANK('Data Entry'!$ü$632), "", 'Data Entry'!$ü$632)</f>
      </c>
      <c r="GG632">
        <f>IF(ISBLANK('Data Entry'!$ý$632), "", 'Data Entry'!$ý$632)</f>
      </c>
      <c r="GH632">
        <f>IF(ISBLANK('Data Entry'!$þ$632), "", 'Data Entry'!$þ$632)</f>
      </c>
      <c r="GI632">
        <f>IF(ISBLANK('Data Entry'!$ÿ$632), "", 'Data Entry'!$ÿ$632)</f>
      </c>
      <c r="GJ632">
        <f>IF(ISBLANK('Data Entry'!$Ā$632), "", 'Data Entry'!$Ā$632)</f>
      </c>
      <c r="GK632">
        <f>IF(ISBLANK('Data Entry'!$ā$632), "", 'Data Entry'!$ā$632)</f>
      </c>
      <c r="GL632">
        <f>IF(ISBLANK('Data Entry'!$Ă$632), "", 'Data Entry'!$Ă$632)</f>
      </c>
      <c r="GM632">
        <f>IF(ISBLANK('Data Entry'!$ă$632), "", 'Data Entry'!$ă$632)</f>
      </c>
      <c r="GN632">
        <f>IF(ISBLANK('Data Entry'!$Ą$632), "", 'Data Entry'!$Ą$632)</f>
      </c>
      <c r="GO632">
        <f>IF(ISBLANK('Data Entry'!$ą$632), "", 'Data Entry'!$ą$632)</f>
      </c>
      <c r="GP632">
        <f>IF(ISBLANK('Data Entry'!$Ć$632), "", 'Data Entry'!$Ć$632)</f>
      </c>
      <c r="GQ632">
        <f>IF(ISBLANK('Data Entry'!$ć$632), "", 'Data Entry'!$ć$632)</f>
      </c>
      <c r="GR632">
        <f>IF(ISBLANK('Data Entry'!$Ĉ$632), "", 'Data Entry'!$Ĉ$632)</f>
      </c>
      <c r="GS632">
        <f>IF(ISBLANK('Data Entry'!$ĉ$632), "", 'Data Entry'!$ĉ$632)</f>
      </c>
      <c r="GT632">
        <f>IF(ISBLANK('Data Entry'!$Ċ$632), "", 'Data Entry'!$Ċ$632)</f>
      </c>
      <c r="GU632">
        <f>IF(ISBLANK('Data Entry'!$ċ$632), "", 'Data Entry'!$ċ$632)</f>
      </c>
      <c r="GV632">
        <f>IF(ISBLANK('Data Entry'!$Č$632), "", 'Data Entry'!$Č$632)</f>
      </c>
      <c r="GW632">
        <f>IF(ISBLANK('Data Entry'!$č$632), "", 'Data Entry'!$č$632)</f>
      </c>
      <c r="GX632">
        <f>IF(ISBLANK('Data Entry'!$Ď$632), "", 'Data Entry'!$Ď$632)</f>
      </c>
      <c r="GY632">
        <f>IF(ISBLANK('Data Entry'!$ď$632), "", 'Data Entry'!$ď$632)</f>
      </c>
      <c r="GZ632">
        <f>IF(ISBLANK('Data Entry'!$Đ$632), "", 'Data Entry'!$Đ$632)</f>
      </c>
      <c r="HA632">
        <f>IF(ISBLANK('Data Entry'!$đ$632), "", 'Data Entry'!$đ$632)</f>
      </c>
      <c r="HB632">
        <f>IF(ISBLANK('Data Entry'!$Ē$632), "", 'Data Entry'!$Ē$632)</f>
      </c>
      <c r="HC632">
        <f>IF(ISBLANK('Data Entry'!$ē$632), "", 'Data Entry'!$ē$632)</f>
      </c>
      <c r="HD632">
        <f>IF(ISBLANK('Data Entry'!$Ĕ$632), "", 'Data Entry'!$Ĕ$632)</f>
      </c>
      <c r="HE632">
        <f>IF(ISBLANK('Data Entry'!$ĕ$632), "", 'Data Entry'!$ĕ$632)</f>
      </c>
      <c r="HF632">
        <f>IF(ISBLANK('Data Entry'!$Ė$632), "", 'Data Entry'!$Ė$632)</f>
      </c>
      <c r="HG632">
        <f>IF(ISBLANK('Data Entry'!$ė$632), "", 'Data Entry'!$ė$632)</f>
      </c>
      <c r="HH632">
        <f>IF(ISBLANK('Data Entry'!$Ę$632), "", 'Data Entry'!$Ę$632)</f>
      </c>
      <c r="HI632">
        <f>IF(ISBLANK('Data Entry'!$ę$632), "", 'Data Entry'!$ę$632)</f>
      </c>
      <c r="HJ632">
        <f>IF(ISBLANK('Data Entry'!$Ě$632), "", 'Data Entry'!$Ě$632)</f>
      </c>
      <c r="HK632">
        <f>IF(ISBLANK('Data Entry'!$ě$632), "", 'Data Entry'!$ě$632)</f>
      </c>
      <c r="HL632">
        <f>IF(ISBLANK('Data Entry'!$Ĝ$632), "", 'Data Entry'!$Ĝ$632)</f>
      </c>
      <c r="HM632">
        <f>IF(ISBLANK('Data Entry'!$ĝ$632), "", 'Data Entry'!$ĝ$632)</f>
      </c>
      <c r="HN632">
        <f>IF(ISBLANK('Data Entry'!$Ğ$632), "", 'Data Entry'!$Ğ$632)</f>
      </c>
      <c r="HO632">
        <f>IF(ISBLANK('Data Entry'!$ğ$632), "", 'Data Entry'!$ğ$632)</f>
      </c>
      <c r="HP632">
        <f>IF(ISBLANK('Data Entry'!$Ġ$632), "", 'Data Entry'!$Ġ$632)</f>
      </c>
      <c r="HQ632">
        <f>IF(ISBLANK('Data Entry'!$ġ$632), "", 'Data Entry'!$ġ$632)</f>
      </c>
      <c r="HR632">
        <f>IF(ISBLANK('Data Entry'!$Ģ$632), "", 'Data Entry'!$Ģ$632)</f>
      </c>
      <c r="HS632">
        <f>IF(ISBLANK('Data Entry'!$ģ$632), "", 'Data Entry'!$ģ$632)</f>
      </c>
      <c r="HT632">
        <f>IF(ISBLANK('Data Entry'!$Ĥ$632), "", 'Data Entry'!$Ĥ$632)</f>
      </c>
      <c r="HU632">
        <f>IF(ISBLANK('Data Entry'!$ĥ$632), "", 'Data Entry'!$ĥ$632)</f>
      </c>
      <c r="HV632">
        <f>IF(ISBLANK('Data Entry'!$Ħ$632), "", 'Data Entry'!$Ħ$632)</f>
      </c>
      <c r="HW632">
        <f>IF(ISBLANK('Data Entry'!$ħ$632), "", 'Data Entry'!$ħ$632)</f>
      </c>
      <c r="HX632">
        <f>IF(ISBLANK('Data Entry'!$Ĩ$632), "", 'Data Entry'!$Ĩ$632)</f>
      </c>
      <c r="HY632">
        <f>IF(ISBLANK('Data Entry'!$ĩ$632), "", 'Data Entry'!$ĩ$632)</f>
      </c>
      <c r="HZ632">
        <f>IF(ISBLANK('Data Entry'!$Ī$632), "", 'Data Entry'!$Ī$632)</f>
      </c>
      <c r="IA632">
        <f>IF(ISBLANK('Data Entry'!$ī$632), "", 'Data Entry'!$ī$632)</f>
      </c>
      <c r="IB632">
        <f>IF(ISBLANK('Data Entry'!$Ĭ$632), "", 'Data Entry'!$Ĭ$632)</f>
      </c>
      <c r="IC632">
        <f>IF(ISBLANK('Data Entry'!$ĭ$632), "", 'Data Entry'!$ĭ$632)</f>
      </c>
      <c r="ID632">
        <f>IF(ISBLANK('Data Entry'!$Į$632), "", 'Data Entry'!$Į$632)</f>
      </c>
      <c r="IE632">
        <f>IF(ISBLANK('Data Entry'!$į$632), "", 'Data Entry'!$į$632)</f>
      </c>
      <c r="IF632">
        <f>IF(ISBLANK('Data Entry'!$İ$632), "", 'Data Entry'!$İ$632)</f>
      </c>
      <c r="IG632">
        <f>IF(ISBLANK('Data Entry'!$ı$632), "", 'Data Entry'!$ı$632)</f>
      </c>
      <c r="IH632">
        <f>IF(ISBLANK('Data Entry'!$Ĳ$632), "", 'Data Entry'!$Ĳ$632)</f>
      </c>
      <c r="II632">
        <f>IF(ISBLANK('Data Entry'!$ĳ$632), "", 'Data Entry'!$ĳ$632)</f>
      </c>
      <c r="IJ632">
        <f>IF(ISBLANK('Data Entry'!$Ĵ$632), "", 'Data Entry'!$Ĵ$632)</f>
      </c>
      <c r="IK632">
        <f>IF(ISBLANK('Data Entry'!$ĵ$632), "", 'Data Entry'!$ĵ$632)</f>
      </c>
      <c r="IL632">
        <f>IF(ISBLANK('Data Entry'!$Ķ$632), "", 'Data Entry'!$Ķ$632)</f>
      </c>
      <c r="IM632">
        <f>IF(ISBLANK('Data Entry'!$ķ$632), "", 'Data Entry'!$ķ$632)</f>
      </c>
      <c r="IN632">
        <f>IF(ISBLANK('Data Entry'!$ĸ$632), "", 'Data Entry'!$ĸ$632)</f>
      </c>
      <c r="IO632">
        <f>IF(ISBLANK('Data Entry'!$Ĺ$632), "", 'Data Entry'!$Ĺ$632)</f>
      </c>
      <c r="IP632">
        <f>IF(ISBLANK('Data Entry'!$ĺ$632), "", 'Data Entry'!$ĺ$632)</f>
      </c>
      <c r="IQ632">
        <f>IF(ISBLANK('Data Entry'!$Ļ$632), "", 'Data Entry'!$Ļ$632)</f>
      </c>
      <c r="IR632">
        <f>IF(ISBLANK('Data Entry'!$ļ$632), "", 'Data Entry'!$ļ$632)</f>
      </c>
      <c r="IS632">
        <f>IF(ISBLANK('Data Entry'!$Ľ$632), "", 'Data Entry'!$Ľ$632)</f>
      </c>
      <c r="IT632">
        <f>IF(ISBLANK('Data Entry'!$ľ$632), "", 'Data Entry'!$ľ$632)</f>
      </c>
    </row>
    <row r="633" spans="1:254" x14ac:dyDescent="0.25">
      <c r="A633">
        <f>IF(ISBLANK('Data Entry'!$A$633), "", 'Data Entry'!$A$633)</f>
      </c>
      <c r="B633">
        <f>IF(ISBLANK('Data Entry'!$B$633), "", 'Data Entry'!$B$633)</f>
      </c>
      <c r="C633">
        <f>IF(ISBLANK('Data Entry'!$C$633), "", 'Data Entry'!$C$633)</f>
      </c>
      <c r="D633">
        <f>IF(ISBLANK('Data Entry'!$D$633), "", 'Data Entry'!$D$633)</f>
      </c>
      <c r="E633">
        <f>IF(ISBLANK('Data Entry'!$E$633), "", 'Data Entry'!$E$633)</f>
      </c>
      <c r="F633">
        <f>IF(ISBLANK('Data Entry'!$F$633), "", 'Data Entry'!$F$633)</f>
      </c>
      <c r="G633">
        <f>IF(ISBLANK('Data Entry'!$G$633), "", 'Data Entry'!$G$633)</f>
      </c>
      <c r="H633">
        <f>IF(ISBLANK('Data Entry'!$H$633), "", 'Data Entry'!$H$633)</f>
      </c>
      <c r="I633">
        <f>IF(ISBLANK('Data Entry'!$I$633), "", 'Data Entry'!$I$633)</f>
      </c>
      <c r="J633">
        <f>IF(ISBLANK('Data Entry'!$J$633), "", 'Data Entry'!$J$633)</f>
      </c>
      <c r="K633">
        <f>IF(ISBLANK('Data Entry'!$K$633), "", 'Data Entry'!$K$633)</f>
      </c>
      <c r="L633">
        <f>IF(ISBLANK('Data Entry'!$L$633), "", 'Data Entry'!$L$633)</f>
      </c>
      <c r="M633">
        <f>IF(ISBLANK('Data Entry'!$M$633), "", 'Data Entry'!$M$633)</f>
      </c>
      <c r="N633">
        <f>IF(ISBLANK('Data Entry'!$N$633), "", 'Data Entry'!$N$633)</f>
      </c>
      <c r="O633">
        <f>IF(ISBLANK('Data Entry'!$O$633), "", 'Data Entry'!$O$633)</f>
      </c>
      <c r="P633">
        <f>IF(ISBLANK('Data Entry'!$P$633), "", 'Data Entry'!$P$633)</f>
      </c>
      <c r="Q633">
        <f>IF(ISBLANK('Data Entry'!$Q$633), "", 'Data Entry'!$Q$633)</f>
      </c>
      <c r="R633">
        <f>IF(ISBLANK('Data Entry'!$R$633), "", 'Data Entry'!$R$633)</f>
      </c>
      <c r="S633">
        <f>IF(ISBLANK('Data Entry'!$S$633), "", 'Data Entry'!$S$633)</f>
      </c>
      <c r="T633">
        <f>IF(ISBLANK('Data Entry'!$T$633), "", 'Data Entry'!$T$633)</f>
      </c>
      <c r="U633">
        <f>IF(ISBLANK('Data Entry'!$U$633), "", 'Data Entry'!$U$633)</f>
      </c>
      <c r="V633">
        <f>IF(ISBLANK('Data Entry'!$V$633), "", 'Data Entry'!$V$633)</f>
      </c>
      <c r="W633">
        <f>IF(ISBLANK('Data Entry'!$W$633), "", 'Data Entry'!$W$633)</f>
      </c>
      <c r="X633">
        <f>IF(ISBLANK('Data Entry'!$X$633), "", 'Data Entry'!$X$633)</f>
      </c>
      <c r="Y633">
        <f>IF(ISBLANK('Data Entry'!$Y$633), "", 'Data Entry'!$Y$633)</f>
      </c>
      <c r="Z633">
        <f>IF(ISBLANK('Data Entry'!$Z$633), "", 'Data Entry'!$Z$633)</f>
      </c>
      <c r="AA633">
        <f>IF(ISBLANK('Data Entry'!$[$633), "", 'Data Entry'!$[$633)</f>
      </c>
      <c r="AB633">
        <f>IF(ISBLANK('Data Entry'!$\$633), "", 'Data Entry'!$\$633)</f>
      </c>
      <c r="AC633">
        <f>IF(ISBLANK('Data Entry'!$]$633), "", 'Data Entry'!$]$633)</f>
      </c>
      <c r="AD633">
        <f>IF(ISBLANK('Data Entry'!$^$633), "", 'Data Entry'!$^$633)</f>
      </c>
      <c r="AE633">
        <f>IF(ISBLANK('Data Entry'!$_$633), "", 'Data Entry'!$_$633)</f>
      </c>
      <c r="AF633">
        <f>IF(ISBLANK('Data Entry'!$`$633), "", 'Data Entry'!$`$633)</f>
      </c>
      <c r="AG633">
        <f>IF(ISBLANK('Data Entry'!$a$633), "", 'Data Entry'!$a$633)</f>
      </c>
      <c r="AH633">
        <f>IF(ISBLANK('Data Entry'!$b$633), "", 'Data Entry'!$b$633)</f>
      </c>
      <c r="AI633">
        <f>IF(ISBLANK('Data Entry'!$c$633), "", 'Data Entry'!$c$633)</f>
      </c>
      <c r="AJ633">
        <f>IF(ISBLANK('Data Entry'!$d$633), "", 'Data Entry'!$d$633)</f>
      </c>
      <c r="AK633">
        <f>IF(ISBLANK('Data Entry'!$e$633), "", 'Data Entry'!$e$633)</f>
      </c>
      <c r="AL633">
        <f>IF(ISBLANK('Data Entry'!$f$633), "", 'Data Entry'!$f$633)</f>
      </c>
      <c r="AM633">
        <f>IF(ISBLANK('Data Entry'!$g$633), "", 'Data Entry'!$g$633)</f>
      </c>
      <c r="AN633">
        <f>IF(ISBLANK('Data Entry'!$h$633), "", 'Data Entry'!$h$633)</f>
      </c>
      <c r="AO633">
        <f>IF(ISBLANK('Data Entry'!$i$633), "", 'Data Entry'!$i$633)</f>
      </c>
      <c r="AP633">
        <f>IF(ISBLANK('Data Entry'!$j$633), "", 'Data Entry'!$j$633)</f>
      </c>
      <c r="AQ633">
        <f>IF(ISBLANK('Data Entry'!$k$633), "", 'Data Entry'!$k$633)</f>
      </c>
      <c r="AR633">
        <f>IF(ISBLANK('Data Entry'!$l$633), "", 'Data Entry'!$l$633)</f>
      </c>
      <c r="AS633">
        <f>IF(ISBLANK('Data Entry'!$m$633), "", 'Data Entry'!$m$633)</f>
      </c>
      <c r="AT633">
        <f>IF(ISBLANK('Data Entry'!$n$633), "", 'Data Entry'!$n$633)</f>
      </c>
      <c r="AU633">
        <f>IF(ISBLANK('Data Entry'!$o$633), "", 'Data Entry'!$o$633)</f>
      </c>
      <c r="AV633">
        <f>IF(ISBLANK('Data Entry'!$p$633), "", 'Data Entry'!$p$633)</f>
      </c>
      <c r="AW633">
        <f>IF(ISBLANK('Data Entry'!$q$633), "", 'Data Entry'!$q$633)</f>
      </c>
      <c r="AX633">
        <f>IF(ISBLANK('Data Entry'!$r$633), "", 'Data Entry'!$r$633)</f>
      </c>
      <c r="AY633">
        <f>IF(ISBLANK('Data Entry'!$s$633), "", 'Data Entry'!$s$633)</f>
      </c>
      <c r="AZ633">
        <f>IF(ISBLANK('Data Entry'!$t$633), "", 'Data Entry'!$t$633)</f>
      </c>
      <c r="BA633">
        <f>IF(ISBLANK('Data Entry'!$u$633), "", 'Data Entry'!$u$633)</f>
      </c>
      <c r="BB633">
        <f>IF(ISBLANK('Data Entry'!$v$633), "", 'Data Entry'!$v$633)</f>
      </c>
      <c r="BC633">
        <f>IF(ISBLANK('Data Entry'!$w$633), "", 'Data Entry'!$w$633)</f>
      </c>
      <c r="BD633">
        <f>IF(ISBLANK('Data Entry'!$x$633), "", 'Data Entry'!$x$633)</f>
      </c>
      <c r="BE633">
        <f>IF(ISBLANK('Data Entry'!$y$633), "", 'Data Entry'!$y$633)</f>
      </c>
      <c r="BF633">
        <f>IF(ISBLANK('Data Entry'!$z$633), "", 'Data Entry'!$z$633)</f>
      </c>
      <c r="BG633">
        <f>IF(ISBLANK('Data Entry'!${$633), "", 'Data Entry'!${$633)</f>
      </c>
      <c r="BH633">
        <f>IF(ISBLANK('Data Entry'!$|$633), "", 'Data Entry'!$|$633)</f>
      </c>
      <c r="BI633">
        <f>IF(ISBLANK('Data Entry'!$}$633), "", 'Data Entry'!$}$633)</f>
      </c>
      <c r="BJ633">
        <f>IF(ISBLANK('Data Entry'!$~$633), "", 'Data Entry'!$~$633)</f>
      </c>
      <c r="BK633">
        <f>IF(ISBLANK('Data Entry'!$$633), "", 'Data Entry'!$$633)</f>
      </c>
      <c r="BL633">
        <f>IF(ISBLANK('Data Entry'!$$633), "", 'Data Entry'!$$633)</f>
      </c>
      <c r="BM633">
        <f>IF(ISBLANK('Data Entry'!$$633), "", 'Data Entry'!$$633)</f>
      </c>
      <c r="BN633">
        <f>IF(ISBLANK('Data Entry'!$$633), "", 'Data Entry'!$$633)</f>
      </c>
      <c r="BO633">
        <f>IF(ISBLANK('Data Entry'!$$633), "", 'Data Entry'!$$633)</f>
      </c>
      <c r="BP633">
        <f>IF(ISBLANK('Data Entry'!$$633), "", 'Data Entry'!$$633)</f>
      </c>
      <c r="BQ633">
        <f>IF(ISBLANK('Data Entry'!$$633), "", 'Data Entry'!$$633)</f>
      </c>
      <c r="BR633">
        <f>IF(ISBLANK('Data Entry'!$$633), "", 'Data Entry'!$$633)</f>
      </c>
      <c r="BS633">
        <f>IF(ISBLANK('Data Entry'!$$633), "", 'Data Entry'!$$633)</f>
      </c>
      <c r="BT633">
        <f>IF(ISBLANK('Data Entry'!$$633), "", 'Data Entry'!$$633)</f>
      </c>
      <c r="BU633">
        <f>IF(ISBLANK('Data Entry'!$$633), "", 'Data Entry'!$$633)</f>
      </c>
      <c r="BV633">
        <f>IF(ISBLANK('Data Entry'!$$633), "", 'Data Entry'!$$633)</f>
      </c>
      <c r="BW633">
        <f>IF(ISBLANK('Data Entry'!$$633), "", 'Data Entry'!$$633)</f>
      </c>
      <c r="BX633">
        <f>IF(ISBLANK('Data Entry'!$$633), "", 'Data Entry'!$$633)</f>
      </c>
      <c r="BY633">
        <f>IF(ISBLANK('Data Entry'!$$633), "", 'Data Entry'!$$633)</f>
      </c>
      <c r="BZ633">
        <f>IF(ISBLANK('Data Entry'!$$633), "", 'Data Entry'!$$633)</f>
      </c>
      <c r="CA633">
        <f>IF(ISBLANK('Data Entry'!$$633), "", 'Data Entry'!$$633)</f>
      </c>
      <c r="CB633">
        <f>IF(ISBLANK('Data Entry'!$$633), "", 'Data Entry'!$$633)</f>
      </c>
      <c r="CC633">
        <f>IF(ISBLANK('Data Entry'!$$633), "", 'Data Entry'!$$633)</f>
      </c>
      <c r="CD633">
        <f>IF(ISBLANK('Data Entry'!$$633), "", 'Data Entry'!$$633)</f>
      </c>
      <c r="CE633">
        <f>IF(ISBLANK('Data Entry'!$$633), "", 'Data Entry'!$$633)</f>
      </c>
      <c r="CF633">
        <f>IF(ISBLANK('Data Entry'!$$633), "", 'Data Entry'!$$633)</f>
      </c>
      <c r="CG633">
        <f>IF(ISBLANK('Data Entry'!$$633), "", 'Data Entry'!$$633)</f>
      </c>
      <c r="CH633">
        <f>IF(ISBLANK('Data Entry'!$$633), "", 'Data Entry'!$$633)</f>
      </c>
      <c r="CI633">
        <f>IF(ISBLANK('Data Entry'!$$633), "", 'Data Entry'!$$633)</f>
      </c>
      <c r="CJ633">
        <f>IF(ISBLANK('Data Entry'!$$633), "", 'Data Entry'!$$633)</f>
      </c>
      <c r="CK633">
        <f>IF(ISBLANK('Data Entry'!$$633), "", 'Data Entry'!$$633)</f>
      </c>
      <c r="CL633">
        <f>IF(ISBLANK('Data Entry'!$$633), "", 'Data Entry'!$$633)</f>
      </c>
      <c r="CM633">
        <f>IF(ISBLANK('Data Entry'!$$633), "", 'Data Entry'!$$633)</f>
      </c>
      <c r="CN633">
        <f>IF(ISBLANK('Data Entry'!$$633), "", 'Data Entry'!$$633)</f>
      </c>
      <c r="CO633">
        <f>IF(ISBLANK('Data Entry'!$$633), "", 'Data Entry'!$$633)</f>
      </c>
      <c r="CP633">
        <f>IF(ISBLANK('Data Entry'!$$633), "", 'Data Entry'!$$633)</f>
      </c>
      <c r="CQ633">
        <f>IF(ISBLANK('Data Entry'!$$633), "", 'Data Entry'!$$633)</f>
      </c>
      <c r="CR633">
        <f>IF(ISBLANK('Data Entry'!$ $633), "", 'Data Entry'!$ $633)</f>
      </c>
      <c r="CS633">
        <f>IF(ISBLANK('Data Entry'!$¡$633), "", 'Data Entry'!$¡$633)</f>
      </c>
      <c r="CT633">
        <f>IF(ISBLANK('Data Entry'!$¢$633), "", 'Data Entry'!$¢$633)</f>
      </c>
      <c r="CU633">
        <f>IF(ISBLANK('Data Entry'!$£$633), "", 'Data Entry'!$£$633)</f>
      </c>
      <c r="CV633">
        <f>IF(ISBLANK('Data Entry'!$¤$633), "", 'Data Entry'!$¤$633)</f>
      </c>
      <c r="CW633">
        <f>IF(ISBLANK('Data Entry'!$¥$633), "", 'Data Entry'!$¥$633)</f>
      </c>
      <c r="CX633">
        <f>IF(ISBLANK('Data Entry'!$¦$633), "", 'Data Entry'!$¦$633)</f>
      </c>
      <c r="CY633">
        <f>IF(ISBLANK('Data Entry'!$§$633), "", 'Data Entry'!$§$633)</f>
      </c>
      <c r="CZ633">
        <f>IF(ISBLANK('Data Entry'!$¨$633), "", 'Data Entry'!$¨$633)</f>
      </c>
      <c r="DA633">
        <f>IF(ISBLANK('Data Entry'!$©$633), "", 'Data Entry'!$©$633)</f>
      </c>
      <c r="DB633">
        <f>IF(ISBLANK('Data Entry'!$ª$633), "", 'Data Entry'!$ª$633)</f>
      </c>
      <c r="DC633">
        <f>IF(ISBLANK('Data Entry'!$«$633), "", 'Data Entry'!$«$633)</f>
      </c>
      <c r="DD633">
        <f>IF(ISBLANK('Data Entry'!$¬$633), "", 'Data Entry'!$¬$633)</f>
      </c>
      <c r="DE633">
        <f>IF(ISBLANK('Data Entry'!$­$633), "", 'Data Entry'!$­$633)</f>
      </c>
      <c r="DF633">
        <f>IF(ISBLANK('Data Entry'!$®$633), "", 'Data Entry'!$®$633)</f>
      </c>
      <c r="DG633">
        <f>IF(ISBLANK('Data Entry'!$¯$633), "", 'Data Entry'!$¯$633)</f>
      </c>
      <c r="DH633">
        <f>IF(ISBLANK('Data Entry'!$°$633), "", 'Data Entry'!$°$633)</f>
      </c>
      <c r="DI633">
        <f>IF(ISBLANK('Data Entry'!$±$633), "", 'Data Entry'!$±$633)</f>
      </c>
      <c r="DJ633">
        <f>IF(ISBLANK('Data Entry'!$²$633), "", 'Data Entry'!$²$633)</f>
      </c>
      <c r="DK633">
        <f>IF(ISBLANK('Data Entry'!$³$633), "", 'Data Entry'!$³$633)</f>
      </c>
      <c r="DL633">
        <f>IF(ISBLANK('Data Entry'!$´$633), "", 'Data Entry'!$´$633)</f>
      </c>
      <c r="DM633">
        <f>IF(ISBLANK('Data Entry'!$µ$633), "", 'Data Entry'!$µ$633)</f>
      </c>
      <c r="DN633">
        <f>IF(ISBLANK('Data Entry'!$¶$633), "", 'Data Entry'!$¶$633)</f>
      </c>
      <c r="DO633">
        <f>IF(ISBLANK('Data Entry'!$·$633), "", 'Data Entry'!$·$633)</f>
      </c>
      <c r="DP633">
        <f>IF(ISBLANK('Data Entry'!$¸$633), "", 'Data Entry'!$¸$633)</f>
      </c>
      <c r="DQ633">
        <f>IF(ISBLANK('Data Entry'!$¹$633), "", 'Data Entry'!$¹$633)</f>
      </c>
      <c r="DR633">
        <f>IF(ISBLANK('Data Entry'!$º$633), "", 'Data Entry'!$º$633)</f>
      </c>
      <c r="DS633">
        <f>IF(ISBLANK('Data Entry'!$»$633), "", 'Data Entry'!$»$633)</f>
      </c>
      <c r="DT633">
        <f>IF(ISBLANK('Data Entry'!$¼$633), "", 'Data Entry'!$¼$633)</f>
      </c>
      <c r="DU633">
        <f>IF(ISBLANK('Data Entry'!$½$633), "", 'Data Entry'!$½$633)</f>
      </c>
      <c r="DV633">
        <f>IF(ISBLANK('Data Entry'!$¾$633), "", 'Data Entry'!$¾$633)</f>
      </c>
      <c r="DW633">
        <f>IF(ISBLANK('Data Entry'!$¿$633), "", 'Data Entry'!$¿$633)</f>
      </c>
      <c r="DX633">
        <f>IF(ISBLANK('Data Entry'!$À$633), "", 'Data Entry'!$À$633)</f>
      </c>
      <c r="DY633">
        <f>IF(ISBLANK('Data Entry'!$Á$633), "", 'Data Entry'!$Á$633)</f>
      </c>
      <c r="DZ633">
        <f>IF(ISBLANK('Data Entry'!$Â$633), "", 'Data Entry'!$Â$633)</f>
      </c>
      <c r="EA633">
        <f>IF(ISBLANK('Data Entry'!$Ã$633), "", 'Data Entry'!$Ã$633)</f>
      </c>
      <c r="EB633">
        <f>IF(ISBLANK('Data Entry'!$Ä$633), "", 'Data Entry'!$Ä$633)</f>
      </c>
      <c r="EC633">
        <f>IF(ISBLANK('Data Entry'!$Å$633), "", 'Data Entry'!$Å$633)</f>
      </c>
      <c r="ED633">
        <f>IF(ISBLANK('Data Entry'!$Æ$633), "", 'Data Entry'!$Æ$633)</f>
      </c>
      <c r="EE633">
        <f>IF(ISBLANK('Data Entry'!$Ç$633), "", 'Data Entry'!$Ç$633)</f>
      </c>
      <c r="EF633">
        <f>IF(ISBLANK('Data Entry'!$È$633), "", 'Data Entry'!$È$633)</f>
      </c>
      <c r="EG633">
        <f>IF(ISBLANK('Data Entry'!$É$633), "", 'Data Entry'!$É$633)</f>
      </c>
      <c r="EH633">
        <f>IF(ISBLANK('Data Entry'!$Ê$633), "", 'Data Entry'!$Ê$633)</f>
      </c>
      <c r="EI633">
        <f>IF(ISBLANK('Data Entry'!$Ë$633), "", 'Data Entry'!$Ë$633)</f>
      </c>
      <c r="EJ633">
        <f>IF(ISBLANK('Data Entry'!$Ì$633), "", 'Data Entry'!$Ì$633)</f>
      </c>
      <c r="EK633">
        <f>IF(ISBLANK('Data Entry'!$Í$633), "", 'Data Entry'!$Í$633)</f>
      </c>
      <c r="EL633">
        <f>IF(ISBLANK('Data Entry'!$Î$633), "", 'Data Entry'!$Î$633)</f>
      </c>
      <c r="EM633">
        <f>IF(ISBLANK('Data Entry'!$Ï$633), "", 'Data Entry'!$Ï$633)</f>
      </c>
      <c r="EN633">
        <f>IF(ISBLANK('Data Entry'!$Ð$633), "", 'Data Entry'!$Ð$633)</f>
      </c>
      <c r="EO633">
        <f>IF(ISBLANK('Data Entry'!$Ñ$633), "", 'Data Entry'!$Ñ$633)</f>
      </c>
      <c r="EP633">
        <f>IF(ISBLANK('Data Entry'!$Ò$633), "", 'Data Entry'!$Ò$633)</f>
      </c>
      <c r="EQ633">
        <f>IF(ISBLANK('Data Entry'!$Ó$633), "", 'Data Entry'!$Ó$633)</f>
      </c>
      <c r="ER633">
        <f>IF(ISBLANK('Data Entry'!$Ô$633), "", 'Data Entry'!$Ô$633)</f>
      </c>
      <c r="ES633">
        <f>IF(ISBLANK('Data Entry'!$Õ$633), "", 'Data Entry'!$Õ$633)</f>
      </c>
      <c r="ET633">
        <f>IF(ISBLANK('Data Entry'!$Ö$633), "", 'Data Entry'!$Ö$633)</f>
      </c>
      <c r="EU633">
        <f>IF(ISBLANK('Data Entry'!$×$633), "", 'Data Entry'!$×$633)</f>
      </c>
      <c r="EV633">
        <f>IF(ISBLANK('Data Entry'!$Ø$633), "", 'Data Entry'!$Ø$633)</f>
      </c>
      <c r="EW633">
        <f>IF(ISBLANK('Data Entry'!$Ù$633), "", 'Data Entry'!$Ù$633)</f>
      </c>
      <c r="EX633">
        <f>IF(ISBLANK('Data Entry'!$Ú$633), "", 'Data Entry'!$Ú$633)</f>
      </c>
      <c r="EY633">
        <f>IF(ISBLANK('Data Entry'!$Û$633), "", 'Data Entry'!$Û$633)</f>
      </c>
      <c r="EZ633">
        <f>IF(ISBLANK('Data Entry'!$Ü$633), "", 'Data Entry'!$Ü$633)</f>
      </c>
      <c r="FA633">
        <f>IF(ISBLANK('Data Entry'!$Ý$633), "", 'Data Entry'!$Ý$633)</f>
      </c>
      <c r="FB633">
        <f>IF(ISBLANK('Data Entry'!$Þ$633), "", 'Data Entry'!$Þ$633)</f>
      </c>
      <c r="FC633">
        <f>IF(ISBLANK('Data Entry'!$ß$633), "", 'Data Entry'!$ß$633)</f>
      </c>
      <c r="FD633">
        <f>IF(ISBLANK('Data Entry'!$à$633), "", 'Data Entry'!$à$633)</f>
      </c>
      <c r="FE633">
        <f>IF(ISBLANK('Data Entry'!$á$633), "", 'Data Entry'!$á$633)</f>
      </c>
      <c r="FF633">
        <f>IF(ISBLANK('Data Entry'!$â$633), "", 'Data Entry'!$â$633)</f>
      </c>
      <c r="FG633">
        <f>IF(ISBLANK('Data Entry'!$ã$633), "", 'Data Entry'!$ã$633)</f>
      </c>
      <c r="FH633">
        <f>IF(ISBLANK('Data Entry'!$ä$633), "", 'Data Entry'!$ä$633)</f>
      </c>
      <c r="FI633">
        <f>IF(ISBLANK('Data Entry'!$å$633), "", 'Data Entry'!$å$633)</f>
      </c>
      <c r="FJ633">
        <f>IF(ISBLANK('Data Entry'!$æ$633), "", 'Data Entry'!$æ$633)</f>
      </c>
      <c r="FK633">
        <f>IF(ISBLANK('Data Entry'!$ç$633), "", 'Data Entry'!$ç$633)</f>
      </c>
      <c r="FL633">
        <f>IF(ISBLANK('Data Entry'!$è$633), "", 'Data Entry'!$è$633)</f>
      </c>
      <c r="FM633">
        <f>IF(ISBLANK('Data Entry'!$é$633), "", 'Data Entry'!$é$633)</f>
      </c>
      <c r="FN633">
        <f>IF(ISBLANK('Data Entry'!$ê$633), "", 'Data Entry'!$ê$633)</f>
      </c>
      <c r="FO633">
        <f>IF(ISBLANK('Data Entry'!$ë$633), "", 'Data Entry'!$ë$633)</f>
      </c>
      <c r="FP633">
        <f>IF(ISBLANK('Data Entry'!$ì$633), "", 'Data Entry'!$ì$633)</f>
      </c>
      <c r="FQ633">
        <f>IF(ISBLANK('Data Entry'!$í$633), "", 'Data Entry'!$í$633)</f>
      </c>
      <c r="FR633">
        <f>IF(ISBLANK('Data Entry'!$î$633), "", 'Data Entry'!$î$633)</f>
      </c>
      <c r="FS633">
        <f>IF(ISBLANK('Data Entry'!$ï$633), "", 'Data Entry'!$ï$633)</f>
      </c>
      <c r="FT633">
        <f>IF(ISBLANK('Data Entry'!$ð$633), "", 'Data Entry'!$ð$633)</f>
      </c>
      <c r="FU633">
        <f>IF(ISBLANK('Data Entry'!$ñ$633), "", 'Data Entry'!$ñ$633)</f>
      </c>
      <c r="FV633">
        <f>IF(ISBLANK('Data Entry'!$ò$633), "", 'Data Entry'!$ò$633)</f>
      </c>
      <c r="FW633">
        <f>IF(ISBLANK('Data Entry'!$ó$633), "", 'Data Entry'!$ó$633)</f>
      </c>
      <c r="FX633">
        <f>IF(ISBLANK('Data Entry'!$ô$633), "", 'Data Entry'!$ô$633)</f>
      </c>
      <c r="FY633">
        <f>IF(ISBLANK('Data Entry'!$õ$633), "", 'Data Entry'!$õ$633)</f>
      </c>
      <c r="FZ633">
        <f>IF(ISBLANK('Data Entry'!$ö$633), "", 'Data Entry'!$ö$633)</f>
      </c>
      <c r="GA633">
        <f>IF(ISBLANK('Data Entry'!$÷$633), "", 'Data Entry'!$÷$633)</f>
      </c>
      <c r="GB633">
        <f>IF(ISBLANK('Data Entry'!$ø$633), "", 'Data Entry'!$ø$633)</f>
      </c>
      <c r="GC633">
        <f>IF(ISBLANK('Data Entry'!$ù$633), "", 'Data Entry'!$ù$633)</f>
      </c>
      <c r="GD633">
        <f>IF(ISBLANK('Data Entry'!$ú$633), "", 'Data Entry'!$ú$633)</f>
      </c>
      <c r="GE633">
        <f>IF(ISBLANK('Data Entry'!$û$633), "", 'Data Entry'!$û$633)</f>
      </c>
      <c r="GF633">
        <f>IF(ISBLANK('Data Entry'!$ü$633), "", 'Data Entry'!$ü$633)</f>
      </c>
      <c r="GG633">
        <f>IF(ISBLANK('Data Entry'!$ý$633), "", 'Data Entry'!$ý$633)</f>
      </c>
      <c r="GH633">
        <f>IF(ISBLANK('Data Entry'!$þ$633), "", 'Data Entry'!$þ$633)</f>
      </c>
      <c r="GI633">
        <f>IF(ISBLANK('Data Entry'!$ÿ$633), "", 'Data Entry'!$ÿ$633)</f>
      </c>
      <c r="GJ633">
        <f>IF(ISBLANK('Data Entry'!$Ā$633), "", 'Data Entry'!$Ā$633)</f>
      </c>
      <c r="GK633">
        <f>IF(ISBLANK('Data Entry'!$ā$633), "", 'Data Entry'!$ā$633)</f>
      </c>
      <c r="GL633">
        <f>IF(ISBLANK('Data Entry'!$Ă$633), "", 'Data Entry'!$Ă$633)</f>
      </c>
      <c r="GM633">
        <f>IF(ISBLANK('Data Entry'!$ă$633), "", 'Data Entry'!$ă$633)</f>
      </c>
      <c r="GN633">
        <f>IF(ISBLANK('Data Entry'!$Ą$633), "", 'Data Entry'!$Ą$633)</f>
      </c>
      <c r="GO633">
        <f>IF(ISBLANK('Data Entry'!$ą$633), "", 'Data Entry'!$ą$633)</f>
      </c>
      <c r="GP633">
        <f>IF(ISBLANK('Data Entry'!$Ć$633), "", 'Data Entry'!$Ć$633)</f>
      </c>
      <c r="GQ633">
        <f>IF(ISBLANK('Data Entry'!$ć$633), "", 'Data Entry'!$ć$633)</f>
      </c>
      <c r="GR633">
        <f>IF(ISBLANK('Data Entry'!$Ĉ$633), "", 'Data Entry'!$Ĉ$633)</f>
      </c>
      <c r="GS633">
        <f>IF(ISBLANK('Data Entry'!$ĉ$633), "", 'Data Entry'!$ĉ$633)</f>
      </c>
      <c r="GT633">
        <f>IF(ISBLANK('Data Entry'!$Ċ$633), "", 'Data Entry'!$Ċ$633)</f>
      </c>
      <c r="GU633">
        <f>IF(ISBLANK('Data Entry'!$ċ$633), "", 'Data Entry'!$ċ$633)</f>
      </c>
      <c r="GV633">
        <f>IF(ISBLANK('Data Entry'!$Č$633), "", 'Data Entry'!$Č$633)</f>
      </c>
      <c r="GW633">
        <f>IF(ISBLANK('Data Entry'!$č$633), "", 'Data Entry'!$č$633)</f>
      </c>
      <c r="GX633">
        <f>IF(ISBLANK('Data Entry'!$Ď$633), "", 'Data Entry'!$Ď$633)</f>
      </c>
      <c r="GY633">
        <f>IF(ISBLANK('Data Entry'!$ď$633), "", 'Data Entry'!$ď$633)</f>
      </c>
      <c r="GZ633">
        <f>IF(ISBLANK('Data Entry'!$Đ$633), "", 'Data Entry'!$Đ$633)</f>
      </c>
      <c r="HA633">
        <f>IF(ISBLANK('Data Entry'!$đ$633), "", 'Data Entry'!$đ$633)</f>
      </c>
      <c r="HB633">
        <f>IF(ISBLANK('Data Entry'!$Ē$633), "", 'Data Entry'!$Ē$633)</f>
      </c>
      <c r="HC633">
        <f>IF(ISBLANK('Data Entry'!$ē$633), "", 'Data Entry'!$ē$633)</f>
      </c>
      <c r="HD633">
        <f>IF(ISBLANK('Data Entry'!$Ĕ$633), "", 'Data Entry'!$Ĕ$633)</f>
      </c>
      <c r="HE633">
        <f>IF(ISBLANK('Data Entry'!$ĕ$633), "", 'Data Entry'!$ĕ$633)</f>
      </c>
      <c r="HF633">
        <f>IF(ISBLANK('Data Entry'!$Ė$633), "", 'Data Entry'!$Ė$633)</f>
      </c>
      <c r="HG633">
        <f>IF(ISBLANK('Data Entry'!$ė$633), "", 'Data Entry'!$ė$633)</f>
      </c>
      <c r="HH633">
        <f>IF(ISBLANK('Data Entry'!$Ę$633), "", 'Data Entry'!$Ę$633)</f>
      </c>
      <c r="HI633">
        <f>IF(ISBLANK('Data Entry'!$ę$633), "", 'Data Entry'!$ę$633)</f>
      </c>
      <c r="HJ633">
        <f>IF(ISBLANK('Data Entry'!$Ě$633), "", 'Data Entry'!$Ě$633)</f>
      </c>
      <c r="HK633">
        <f>IF(ISBLANK('Data Entry'!$ě$633), "", 'Data Entry'!$ě$633)</f>
      </c>
      <c r="HL633">
        <f>IF(ISBLANK('Data Entry'!$Ĝ$633), "", 'Data Entry'!$Ĝ$633)</f>
      </c>
      <c r="HM633">
        <f>IF(ISBLANK('Data Entry'!$ĝ$633), "", 'Data Entry'!$ĝ$633)</f>
      </c>
      <c r="HN633">
        <f>IF(ISBLANK('Data Entry'!$Ğ$633), "", 'Data Entry'!$Ğ$633)</f>
      </c>
      <c r="HO633">
        <f>IF(ISBLANK('Data Entry'!$ğ$633), "", 'Data Entry'!$ğ$633)</f>
      </c>
      <c r="HP633">
        <f>IF(ISBLANK('Data Entry'!$Ġ$633), "", 'Data Entry'!$Ġ$633)</f>
      </c>
      <c r="HQ633">
        <f>IF(ISBLANK('Data Entry'!$ġ$633), "", 'Data Entry'!$ġ$633)</f>
      </c>
      <c r="HR633">
        <f>IF(ISBLANK('Data Entry'!$Ģ$633), "", 'Data Entry'!$Ģ$633)</f>
      </c>
      <c r="HS633">
        <f>IF(ISBLANK('Data Entry'!$ģ$633), "", 'Data Entry'!$ģ$633)</f>
      </c>
      <c r="HT633">
        <f>IF(ISBLANK('Data Entry'!$Ĥ$633), "", 'Data Entry'!$Ĥ$633)</f>
      </c>
      <c r="HU633">
        <f>IF(ISBLANK('Data Entry'!$ĥ$633), "", 'Data Entry'!$ĥ$633)</f>
      </c>
      <c r="HV633">
        <f>IF(ISBLANK('Data Entry'!$Ħ$633), "", 'Data Entry'!$Ħ$633)</f>
      </c>
      <c r="HW633">
        <f>IF(ISBLANK('Data Entry'!$ħ$633), "", 'Data Entry'!$ħ$633)</f>
      </c>
      <c r="HX633">
        <f>IF(ISBLANK('Data Entry'!$Ĩ$633), "", 'Data Entry'!$Ĩ$633)</f>
      </c>
      <c r="HY633">
        <f>IF(ISBLANK('Data Entry'!$ĩ$633), "", 'Data Entry'!$ĩ$633)</f>
      </c>
      <c r="HZ633">
        <f>IF(ISBLANK('Data Entry'!$Ī$633), "", 'Data Entry'!$Ī$633)</f>
      </c>
      <c r="IA633">
        <f>IF(ISBLANK('Data Entry'!$ī$633), "", 'Data Entry'!$ī$633)</f>
      </c>
      <c r="IB633">
        <f>IF(ISBLANK('Data Entry'!$Ĭ$633), "", 'Data Entry'!$Ĭ$633)</f>
      </c>
      <c r="IC633">
        <f>IF(ISBLANK('Data Entry'!$ĭ$633), "", 'Data Entry'!$ĭ$633)</f>
      </c>
      <c r="ID633">
        <f>IF(ISBLANK('Data Entry'!$Į$633), "", 'Data Entry'!$Į$633)</f>
      </c>
      <c r="IE633">
        <f>IF(ISBLANK('Data Entry'!$į$633), "", 'Data Entry'!$į$633)</f>
      </c>
      <c r="IF633">
        <f>IF(ISBLANK('Data Entry'!$İ$633), "", 'Data Entry'!$İ$633)</f>
      </c>
      <c r="IG633">
        <f>IF(ISBLANK('Data Entry'!$ı$633), "", 'Data Entry'!$ı$633)</f>
      </c>
      <c r="IH633">
        <f>IF(ISBLANK('Data Entry'!$Ĳ$633), "", 'Data Entry'!$Ĳ$633)</f>
      </c>
      <c r="II633">
        <f>IF(ISBLANK('Data Entry'!$ĳ$633), "", 'Data Entry'!$ĳ$633)</f>
      </c>
      <c r="IJ633">
        <f>IF(ISBLANK('Data Entry'!$Ĵ$633), "", 'Data Entry'!$Ĵ$633)</f>
      </c>
      <c r="IK633">
        <f>IF(ISBLANK('Data Entry'!$ĵ$633), "", 'Data Entry'!$ĵ$633)</f>
      </c>
      <c r="IL633">
        <f>IF(ISBLANK('Data Entry'!$Ķ$633), "", 'Data Entry'!$Ķ$633)</f>
      </c>
      <c r="IM633">
        <f>IF(ISBLANK('Data Entry'!$ķ$633), "", 'Data Entry'!$ķ$633)</f>
      </c>
      <c r="IN633">
        <f>IF(ISBLANK('Data Entry'!$ĸ$633), "", 'Data Entry'!$ĸ$633)</f>
      </c>
      <c r="IO633">
        <f>IF(ISBLANK('Data Entry'!$Ĺ$633), "", 'Data Entry'!$Ĺ$633)</f>
      </c>
      <c r="IP633">
        <f>IF(ISBLANK('Data Entry'!$ĺ$633), "", 'Data Entry'!$ĺ$633)</f>
      </c>
      <c r="IQ633">
        <f>IF(ISBLANK('Data Entry'!$Ļ$633), "", 'Data Entry'!$Ļ$633)</f>
      </c>
      <c r="IR633">
        <f>IF(ISBLANK('Data Entry'!$ļ$633), "", 'Data Entry'!$ļ$633)</f>
      </c>
      <c r="IS633">
        <f>IF(ISBLANK('Data Entry'!$Ľ$633), "", 'Data Entry'!$Ľ$633)</f>
      </c>
      <c r="IT633">
        <f>IF(ISBLANK('Data Entry'!$ľ$633), "", 'Data Entry'!$ľ$633)</f>
      </c>
    </row>
    <row r="634" spans="1:254" x14ac:dyDescent="0.25">
      <c r="A634">
        <f>IF(ISBLANK('Data Entry'!$A$634), "", 'Data Entry'!$A$634)</f>
      </c>
      <c r="B634">
        <f>IF(ISBLANK('Data Entry'!$B$634), "", 'Data Entry'!$B$634)</f>
      </c>
      <c r="C634">
        <f>IF(ISBLANK('Data Entry'!$C$634), "", 'Data Entry'!$C$634)</f>
      </c>
      <c r="D634">
        <f>IF(ISBLANK('Data Entry'!$D$634), "", 'Data Entry'!$D$634)</f>
      </c>
      <c r="E634">
        <f>IF(ISBLANK('Data Entry'!$E$634), "", 'Data Entry'!$E$634)</f>
      </c>
      <c r="F634">
        <f>IF(ISBLANK('Data Entry'!$F$634), "", 'Data Entry'!$F$634)</f>
      </c>
      <c r="G634">
        <f>IF(ISBLANK('Data Entry'!$G$634), "", 'Data Entry'!$G$634)</f>
      </c>
      <c r="H634">
        <f>IF(ISBLANK('Data Entry'!$H$634), "", 'Data Entry'!$H$634)</f>
      </c>
      <c r="I634">
        <f>IF(ISBLANK('Data Entry'!$I$634), "", 'Data Entry'!$I$634)</f>
      </c>
      <c r="J634">
        <f>IF(ISBLANK('Data Entry'!$J$634), "", 'Data Entry'!$J$634)</f>
      </c>
      <c r="K634">
        <f>IF(ISBLANK('Data Entry'!$K$634), "", 'Data Entry'!$K$634)</f>
      </c>
      <c r="L634">
        <f>IF(ISBLANK('Data Entry'!$L$634), "", 'Data Entry'!$L$634)</f>
      </c>
      <c r="M634">
        <f>IF(ISBLANK('Data Entry'!$M$634), "", 'Data Entry'!$M$634)</f>
      </c>
      <c r="N634">
        <f>IF(ISBLANK('Data Entry'!$N$634), "", 'Data Entry'!$N$634)</f>
      </c>
      <c r="O634">
        <f>IF(ISBLANK('Data Entry'!$O$634), "", 'Data Entry'!$O$634)</f>
      </c>
      <c r="P634">
        <f>IF(ISBLANK('Data Entry'!$P$634), "", 'Data Entry'!$P$634)</f>
      </c>
      <c r="Q634">
        <f>IF(ISBLANK('Data Entry'!$Q$634), "", 'Data Entry'!$Q$634)</f>
      </c>
      <c r="R634">
        <f>IF(ISBLANK('Data Entry'!$R$634), "", 'Data Entry'!$R$634)</f>
      </c>
      <c r="S634">
        <f>IF(ISBLANK('Data Entry'!$S$634), "", 'Data Entry'!$S$634)</f>
      </c>
      <c r="T634">
        <f>IF(ISBLANK('Data Entry'!$T$634), "", 'Data Entry'!$T$634)</f>
      </c>
      <c r="U634">
        <f>IF(ISBLANK('Data Entry'!$U$634), "", 'Data Entry'!$U$634)</f>
      </c>
      <c r="V634">
        <f>IF(ISBLANK('Data Entry'!$V$634), "", 'Data Entry'!$V$634)</f>
      </c>
      <c r="W634">
        <f>IF(ISBLANK('Data Entry'!$W$634), "", 'Data Entry'!$W$634)</f>
      </c>
      <c r="X634">
        <f>IF(ISBLANK('Data Entry'!$X$634), "", 'Data Entry'!$X$634)</f>
      </c>
      <c r="Y634">
        <f>IF(ISBLANK('Data Entry'!$Y$634), "", 'Data Entry'!$Y$634)</f>
      </c>
      <c r="Z634">
        <f>IF(ISBLANK('Data Entry'!$Z$634), "", 'Data Entry'!$Z$634)</f>
      </c>
      <c r="AA634">
        <f>IF(ISBLANK('Data Entry'!$[$634), "", 'Data Entry'!$[$634)</f>
      </c>
      <c r="AB634">
        <f>IF(ISBLANK('Data Entry'!$\$634), "", 'Data Entry'!$\$634)</f>
      </c>
      <c r="AC634">
        <f>IF(ISBLANK('Data Entry'!$]$634), "", 'Data Entry'!$]$634)</f>
      </c>
      <c r="AD634">
        <f>IF(ISBLANK('Data Entry'!$^$634), "", 'Data Entry'!$^$634)</f>
      </c>
      <c r="AE634">
        <f>IF(ISBLANK('Data Entry'!$_$634), "", 'Data Entry'!$_$634)</f>
      </c>
      <c r="AF634">
        <f>IF(ISBLANK('Data Entry'!$`$634), "", 'Data Entry'!$`$634)</f>
      </c>
      <c r="AG634">
        <f>IF(ISBLANK('Data Entry'!$a$634), "", 'Data Entry'!$a$634)</f>
      </c>
      <c r="AH634">
        <f>IF(ISBLANK('Data Entry'!$b$634), "", 'Data Entry'!$b$634)</f>
      </c>
      <c r="AI634">
        <f>IF(ISBLANK('Data Entry'!$c$634), "", 'Data Entry'!$c$634)</f>
      </c>
      <c r="AJ634">
        <f>IF(ISBLANK('Data Entry'!$d$634), "", 'Data Entry'!$d$634)</f>
      </c>
      <c r="AK634">
        <f>IF(ISBLANK('Data Entry'!$e$634), "", 'Data Entry'!$e$634)</f>
      </c>
      <c r="AL634">
        <f>IF(ISBLANK('Data Entry'!$f$634), "", 'Data Entry'!$f$634)</f>
      </c>
      <c r="AM634">
        <f>IF(ISBLANK('Data Entry'!$g$634), "", 'Data Entry'!$g$634)</f>
      </c>
      <c r="AN634">
        <f>IF(ISBLANK('Data Entry'!$h$634), "", 'Data Entry'!$h$634)</f>
      </c>
      <c r="AO634">
        <f>IF(ISBLANK('Data Entry'!$i$634), "", 'Data Entry'!$i$634)</f>
      </c>
      <c r="AP634">
        <f>IF(ISBLANK('Data Entry'!$j$634), "", 'Data Entry'!$j$634)</f>
      </c>
      <c r="AQ634">
        <f>IF(ISBLANK('Data Entry'!$k$634), "", 'Data Entry'!$k$634)</f>
      </c>
      <c r="AR634">
        <f>IF(ISBLANK('Data Entry'!$l$634), "", 'Data Entry'!$l$634)</f>
      </c>
      <c r="AS634">
        <f>IF(ISBLANK('Data Entry'!$m$634), "", 'Data Entry'!$m$634)</f>
      </c>
      <c r="AT634">
        <f>IF(ISBLANK('Data Entry'!$n$634), "", 'Data Entry'!$n$634)</f>
      </c>
      <c r="AU634">
        <f>IF(ISBLANK('Data Entry'!$o$634), "", 'Data Entry'!$o$634)</f>
      </c>
      <c r="AV634">
        <f>IF(ISBLANK('Data Entry'!$p$634), "", 'Data Entry'!$p$634)</f>
      </c>
      <c r="AW634">
        <f>IF(ISBLANK('Data Entry'!$q$634), "", 'Data Entry'!$q$634)</f>
      </c>
      <c r="AX634">
        <f>IF(ISBLANK('Data Entry'!$r$634), "", 'Data Entry'!$r$634)</f>
      </c>
      <c r="AY634">
        <f>IF(ISBLANK('Data Entry'!$s$634), "", 'Data Entry'!$s$634)</f>
      </c>
      <c r="AZ634">
        <f>IF(ISBLANK('Data Entry'!$t$634), "", 'Data Entry'!$t$634)</f>
      </c>
      <c r="BA634">
        <f>IF(ISBLANK('Data Entry'!$u$634), "", 'Data Entry'!$u$634)</f>
      </c>
      <c r="BB634">
        <f>IF(ISBLANK('Data Entry'!$v$634), "", 'Data Entry'!$v$634)</f>
      </c>
      <c r="BC634">
        <f>IF(ISBLANK('Data Entry'!$w$634), "", 'Data Entry'!$w$634)</f>
      </c>
      <c r="BD634">
        <f>IF(ISBLANK('Data Entry'!$x$634), "", 'Data Entry'!$x$634)</f>
      </c>
      <c r="BE634">
        <f>IF(ISBLANK('Data Entry'!$y$634), "", 'Data Entry'!$y$634)</f>
      </c>
      <c r="BF634">
        <f>IF(ISBLANK('Data Entry'!$z$634), "", 'Data Entry'!$z$634)</f>
      </c>
      <c r="BG634">
        <f>IF(ISBLANK('Data Entry'!${$634), "", 'Data Entry'!${$634)</f>
      </c>
      <c r="BH634">
        <f>IF(ISBLANK('Data Entry'!$|$634), "", 'Data Entry'!$|$634)</f>
      </c>
      <c r="BI634">
        <f>IF(ISBLANK('Data Entry'!$}$634), "", 'Data Entry'!$}$634)</f>
      </c>
      <c r="BJ634">
        <f>IF(ISBLANK('Data Entry'!$~$634), "", 'Data Entry'!$~$634)</f>
      </c>
      <c r="BK634">
        <f>IF(ISBLANK('Data Entry'!$$634), "", 'Data Entry'!$$634)</f>
      </c>
      <c r="BL634">
        <f>IF(ISBLANK('Data Entry'!$$634), "", 'Data Entry'!$$634)</f>
      </c>
      <c r="BM634">
        <f>IF(ISBLANK('Data Entry'!$$634), "", 'Data Entry'!$$634)</f>
      </c>
      <c r="BN634">
        <f>IF(ISBLANK('Data Entry'!$$634), "", 'Data Entry'!$$634)</f>
      </c>
      <c r="BO634">
        <f>IF(ISBLANK('Data Entry'!$$634), "", 'Data Entry'!$$634)</f>
      </c>
      <c r="BP634">
        <f>IF(ISBLANK('Data Entry'!$$634), "", 'Data Entry'!$$634)</f>
      </c>
      <c r="BQ634">
        <f>IF(ISBLANK('Data Entry'!$$634), "", 'Data Entry'!$$634)</f>
      </c>
      <c r="BR634">
        <f>IF(ISBLANK('Data Entry'!$$634), "", 'Data Entry'!$$634)</f>
      </c>
      <c r="BS634">
        <f>IF(ISBLANK('Data Entry'!$$634), "", 'Data Entry'!$$634)</f>
      </c>
      <c r="BT634">
        <f>IF(ISBLANK('Data Entry'!$$634), "", 'Data Entry'!$$634)</f>
      </c>
      <c r="BU634">
        <f>IF(ISBLANK('Data Entry'!$$634), "", 'Data Entry'!$$634)</f>
      </c>
      <c r="BV634">
        <f>IF(ISBLANK('Data Entry'!$$634), "", 'Data Entry'!$$634)</f>
      </c>
      <c r="BW634">
        <f>IF(ISBLANK('Data Entry'!$$634), "", 'Data Entry'!$$634)</f>
      </c>
      <c r="BX634">
        <f>IF(ISBLANK('Data Entry'!$$634), "", 'Data Entry'!$$634)</f>
      </c>
      <c r="BY634">
        <f>IF(ISBLANK('Data Entry'!$$634), "", 'Data Entry'!$$634)</f>
      </c>
      <c r="BZ634">
        <f>IF(ISBLANK('Data Entry'!$$634), "", 'Data Entry'!$$634)</f>
      </c>
      <c r="CA634">
        <f>IF(ISBLANK('Data Entry'!$$634), "", 'Data Entry'!$$634)</f>
      </c>
      <c r="CB634">
        <f>IF(ISBLANK('Data Entry'!$$634), "", 'Data Entry'!$$634)</f>
      </c>
      <c r="CC634">
        <f>IF(ISBLANK('Data Entry'!$$634), "", 'Data Entry'!$$634)</f>
      </c>
      <c r="CD634">
        <f>IF(ISBLANK('Data Entry'!$$634), "", 'Data Entry'!$$634)</f>
      </c>
      <c r="CE634">
        <f>IF(ISBLANK('Data Entry'!$$634), "", 'Data Entry'!$$634)</f>
      </c>
      <c r="CF634">
        <f>IF(ISBLANK('Data Entry'!$$634), "", 'Data Entry'!$$634)</f>
      </c>
      <c r="CG634">
        <f>IF(ISBLANK('Data Entry'!$$634), "", 'Data Entry'!$$634)</f>
      </c>
      <c r="CH634">
        <f>IF(ISBLANK('Data Entry'!$$634), "", 'Data Entry'!$$634)</f>
      </c>
      <c r="CI634">
        <f>IF(ISBLANK('Data Entry'!$$634), "", 'Data Entry'!$$634)</f>
      </c>
      <c r="CJ634">
        <f>IF(ISBLANK('Data Entry'!$$634), "", 'Data Entry'!$$634)</f>
      </c>
      <c r="CK634">
        <f>IF(ISBLANK('Data Entry'!$$634), "", 'Data Entry'!$$634)</f>
      </c>
      <c r="CL634">
        <f>IF(ISBLANK('Data Entry'!$$634), "", 'Data Entry'!$$634)</f>
      </c>
      <c r="CM634">
        <f>IF(ISBLANK('Data Entry'!$$634), "", 'Data Entry'!$$634)</f>
      </c>
      <c r="CN634">
        <f>IF(ISBLANK('Data Entry'!$$634), "", 'Data Entry'!$$634)</f>
      </c>
      <c r="CO634">
        <f>IF(ISBLANK('Data Entry'!$$634), "", 'Data Entry'!$$634)</f>
      </c>
      <c r="CP634">
        <f>IF(ISBLANK('Data Entry'!$$634), "", 'Data Entry'!$$634)</f>
      </c>
      <c r="CQ634">
        <f>IF(ISBLANK('Data Entry'!$$634), "", 'Data Entry'!$$634)</f>
      </c>
      <c r="CR634">
        <f>IF(ISBLANK('Data Entry'!$ $634), "", 'Data Entry'!$ $634)</f>
      </c>
      <c r="CS634">
        <f>IF(ISBLANK('Data Entry'!$¡$634), "", 'Data Entry'!$¡$634)</f>
      </c>
      <c r="CT634">
        <f>IF(ISBLANK('Data Entry'!$¢$634), "", 'Data Entry'!$¢$634)</f>
      </c>
      <c r="CU634">
        <f>IF(ISBLANK('Data Entry'!$£$634), "", 'Data Entry'!$£$634)</f>
      </c>
      <c r="CV634">
        <f>IF(ISBLANK('Data Entry'!$¤$634), "", 'Data Entry'!$¤$634)</f>
      </c>
      <c r="CW634">
        <f>IF(ISBLANK('Data Entry'!$¥$634), "", 'Data Entry'!$¥$634)</f>
      </c>
      <c r="CX634">
        <f>IF(ISBLANK('Data Entry'!$¦$634), "", 'Data Entry'!$¦$634)</f>
      </c>
      <c r="CY634">
        <f>IF(ISBLANK('Data Entry'!$§$634), "", 'Data Entry'!$§$634)</f>
      </c>
      <c r="CZ634">
        <f>IF(ISBLANK('Data Entry'!$¨$634), "", 'Data Entry'!$¨$634)</f>
      </c>
      <c r="DA634">
        <f>IF(ISBLANK('Data Entry'!$©$634), "", 'Data Entry'!$©$634)</f>
      </c>
      <c r="DB634">
        <f>IF(ISBLANK('Data Entry'!$ª$634), "", 'Data Entry'!$ª$634)</f>
      </c>
      <c r="DC634">
        <f>IF(ISBLANK('Data Entry'!$«$634), "", 'Data Entry'!$«$634)</f>
      </c>
      <c r="DD634">
        <f>IF(ISBLANK('Data Entry'!$¬$634), "", 'Data Entry'!$¬$634)</f>
      </c>
      <c r="DE634">
        <f>IF(ISBLANK('Data Entry'!$­$634), "", 'Data Entry'!$­$634)</f>
      </c>
      <c r="DF634">
        <f>IF(ISBLANK('Data Entry'!$®$634), "", 'Data Entry'!$®$634)</f>
      </c>
      <c r="DG634">
        <f>IF(ISBLANK('Data Entry'!$¯$634), "", 'Data Entry'!$¯$634)</f>
      </c>
      <c r="DH634">
        <f>IF(ISBLANK('Data Entry'!$°$634), "", 'Data Entry'!$°$634)</f>
      </c>
      <c r="DI634">
        <f>IF(ISBLANK('Data Entry'!$±$634), "", 'Data Entry'!$±$634)</f>
      </c>
      <c r="DJ634">
        <f>IF(ISBLANK('Data Entry'!$²$634), "", 'Data Entry'!$²$634)</f>
      </c>
      <c r="DK634">
        <f>IF(ISBLANK('Data Entry'!$³$634), "", 'Data Entry'!$³$634)</f>
      </c>
      <c r="DL634">
        <f>IF(ISBLANK('Data Entry'!$´$634), "", 'Data Entry'!$´$634)</f>
      </c>
      <c r="DM634">
        <f>IF(ISBLANK('Data Entry'!$µ$634), "", 'Data Entry'!$µ$634)</f>
      </c>
      <c r="DN634">
        <f>IF(ISBLANK('Data Entry'!$¶$634), "", 'Data Entry'!$¶$634)</f>
      </c>
      <c r="DO634">
        <f>IF(ISBLANK('Data Entry'!$·$634), "", 'Data Entry'!$·$634)</f>
      </c>
      <c r="DP634">
        <f>IF(ISBLANK('Data Entry'!$¸$634), "", 'Data Entry'!$¸$634)</f>
      </c>
      <c r="DQ634">
        <f>IF(ISBLANK('Data Entry'!$¹$634), "", 'Data Entry'!$¹$634)</f>
      </c>
      <c r="DR634">
        <f>IF(ISBLANK('Data Entry'!$º$634), "", 'Data Entry'!$º$634)</f>
      </c>
      <c r="DS634">
        <f>IF(ISBLANK('Data Entry'!$»$634), "", 'Data Entry'!$»$634)</f>
      </c>
      <c r="DT634">
        <f>IF(ISBLANK('Data Entry'!$¼$634), "", 'Data Entry'!$¼$634)</f>
      </c>
      <c r="DU634">
        <f>IF(ISBLANK('Data Entry'!$½$634), "", 'Data Entry'!$½$634)</f>
      </c>
      <c r="DV634">
        <f>IF(ISBLANK('Data Entry'!$¾$634), "", 'Data Entry'!$¾$634)</f>
      </c>
      <c r="DW634">
        <f>IF(ISBLANK('Data Entry'!$¿$634), "", 'Data Entry'!$¿$634)</f>
      </c>
      <c r="DX634">
        <f>IF(ISBLANK('Data Entry'!$À$634), "", 'Data Entry'!$À$634)</f>
      </c>
      <c r="DY634">
        <f>IF(ISBLANK('Data Entry'!$Á$634), "", 'Data Entry'!$Á$634)</f>
      </c>
      <c r="DZ634">
        <f>IF(ISBLANK('Data Entry'!$Â$634), "", 'Data Entry'!$Â$634)</f>
      </c>
      <c r="EA634">
        <f>IF(ISBLANK('Data Entry'!$Ã$634), "", 'Data Entry'!$Ã$634)</f>
      </c>
      <c r="EB634">
        <f>IF(ISBLANK('Data Entry'!$Ä$634), "", 'Data Entry'!$Ä$634)</f>
      </c>
      <c r="EC634">
        <f>IF(ISBLANK('Data Entry'!$Å$634), "", 'Data Entry'!$Å$634)</f>
      </c>
      <c r="ED634">
        <f>IF(ISBLANK('Data Entry'!$Æ$634), "", 'Data Entry'!$Æ$634)</f>
      </c>
      <c r="EE634">
        <f>IF(ISBLANK('Data Entry'!$Ç$634), "", 'Data Entry'!$Ç$634)</f>
      </c>
      <c r="EF634">
        <f>IF(ISBLANK('Data Entry'!$È$634), "", 'Data Entry'!$È$634)</f>
      </c>
      <c r="EG634">
        <f>IF(ISBLANK('Data Entry'!$É$634), "", 'Data Entry'!$É$634)</f>
      </c>
      <c r="EH634">
        <f>IF(ISBLANK('Data Entry'!$Ê$634), "", 'Data Entry'!$Ê$634)</f>
      </c>
      <c r="EI634">
        <f>IF(ISBLANK('Data Entry'!$Ë$634), "", 'Data Entry'!$Ë$634)</f>
      </c>
      <c r="EJ634">
        <f>IF(ISBLANK('Data Entry'!$Ì$634), "", 'Data Entry'!$Ì$634)</f>
      </c>
      <c r="EK634">
        <f>IF(ISBLANK('Data Entry'!$Í$634), "", 'Data Entry'!$Í$634)</f>
      </c>
      <c r="EL634">
        <f>IF(ISBLANK('Data Entry'!$Î$634), "", 'Data Entry'!$Î$634)</f>
      </c>
      <c r="EM634">
        <f>IF(ISBLANK('Data Entry'!$Ï$634), "", 'Data Entry'!$Ï$634)</f>
      </c>
      <c r="EN634">
        <f>IF(ISBLANK('Data Entry'!$Ð$634), "", 'Data Entry'!$Ð$634)</f>
      </c>
      <c r="EO634">
        <f>IF(ISBLANK('Data Entry'!$Ñ$634), "", 'Data Entry'!$Ñ$634)</f>
      </c>
      <c r="EP634">
        <f>IF(ISBLANK('Data Entry'!$Ò$634), "", 'Data Entry'!$Ò$634)</f>
      </c>
      <c r="EQ634">
        <f>IF(ISBLANK('Data Entry'!$Ó$634), "", 'Data Entry'!$Ó$634)</f>
      </c>
      <c r="ER634">
        <f>IF(ISBLANK('Data Entry'!$Ô$634), "", 'Data Entry'!$Ô$634)</f>
      </c>
      <c r="ES634">
        <f>IF(ISBLANK('Data Entry'!$Õ$634), "", 'Data Entry'!$Õ$634)</f>
      </c>
      <c r="ET634">
        <f>IF(ISBLANK('Data Entry'!$Ö$634), "", 'Data Entry'!$Ö$634)</f>
      </c>
      <c r="EU634">
        <f>IF(ISBLANK('Data Entry'!$×$634), "", 'Data Entry'!$×$634)</f>
      </c>
      <c r="EV634">
        <f>IF(ISBLANK('Data Entry'!$Ø$634), "", 'Data Entry'!$Ø$634)</f>
      </c>
      <c r="EW634">
        <f>IF(ISBLANK('Data Entry'!$Ù$634), "", 'Data Entry'!$Ù$634)</f>
      </c>
      <c r="EX634">
        <f>IF(ISBLANK('Data Entry'!$Ú$634), "", 'Data Entry'!$Ú$634)</f>
      </c>
      <c r="EY634">
        <f>IF(ISBLANK('Data Entry'!$Û$634), "", 'Data Entry'!$Û$634)</f>
      </c>
      <c r="EZ634">
        <f>IF(ISBLANK('Data Entry'!$Ü$634), "", 'Data Entry'!$Ü$634)</f>
      </c>
      <c r="FA634">
        <f>IF(ISBLANK('Data Entry'!$Ý$634), "", 'Data Entry'!$Ý$634)</f>
      </c>
      <c r="FB634">
        <f>IF(ISBLANK('Data Entry'!$Þ$634), "", 'Data Entry'!$Þ$634)</f>
      </c>
      <c r="FC634">
        <f>IF(ISBLANK('Data Entry'!$ß$634), "", 'Data Entry'!$ß$634)</f>
      </c>
      <c r="FD634">
        <f>IF(ISBLANK('Data Entry'!$à$634), "", 'Data Entry'!$à$634)</f>
      </c>
      <c r="FE634">
        <f>IF(ISBLANK('Data Entry'!$á$634), "", 'Data Entry'!$á$634)</f>
      </c>
      <c r="FF634">
        <f>IF(ISBLANK('Data Entry'!$â$634), "", 'Data Entry'!$â$634)</f>
      </c>
      <c r="FG634">
        <f>IF(ISBLANK('Data Entry'!$ã$634), "", 'Data Entry'!$ã$634)</f>
      </c>
      <c r="FH634">
        <f>IF(ISBLANK('Data Entry'!$ä$634), "", 'Data Entry'!$ä$634)</f>
      </c>
      <c r="FI634">
        <f>IF(ISBLANK('Data Entry'!$å$634), "", 'Data Entry'!$å$634)</f>
      </c>
      <c r="FJ634">
        <f>IF(ISBLANK('Data Entry'!$æ$634), "", 'Data Entry'!$æ$634)</f>
      </c>
      <c r="FK634">
        <f>IF(ISBLANK('Data Entry'!$ç$634), "", 'Data Entry'!$ç$634)</f>
      </c>
      <c r="FL634">
        <f>IF(ISBLANK('Data Entry'!$è$634), "", 'Data Entry'!$è$634)</f>
      </c>
      <c r="FM634">
        <f>IF(ISBLANK('Data Entry'!$é$634), "", 'Data Entry'!$é$634)</f>
      </c>
      <c r="FN634">
        <f>IF(ISBLANK('Data Entry'!$ê$634), "", 'Data Entry'!$ê$634)</f>
      </c>
      <c r="FO634">
        <f>IF(ISBLANK('Data Entry'!$ë$634), "", 'Data Entry'!$ë$634)</f>
      </c>
      <c r="FP634">
        <f>IF(ISBLANK('Data Entry'!$ì$634), "", 'Data Entry'!$ì$634)</f>
      </c>
      <c r="FQ634">
        <f>IF(ISBLANK('Data Entry'!$í$634), "", 'Data Entry'!$í$634)</f>
      </c>
      <c r="FR634">
        <f>IF(ISBLANK('Data Entry'!$î$634), "", 'Data Entry'!$î$634)</f>
      </c>
      <c r="FS634">
        <f>IF(ISBLANK('Data Entry'!$ï$634), "", 'Data Entry'!$ï$634)</f>
      </c>
      <c r="FT634">
        <f>IF(ISBLANK('Data Entry'!$ð$634), "", 'Data Entry'!$ð$634)</f>
      </c>
      <c r="FU634">
        <f>IF(ISBLANK('Data Entry'!$ñ$634), "", 'Data Entry'!$ñ$634)</f>
      </c>
      <c r="FV634">
        <f>IF(ISBLANK('Data Entry'!$ò$634), "", 'Data Entry'!$ò$634)</f>
      </c>
      <c r="FW634">
        <f>IF(ISBLANK('Data Entry'!$ó$634), "", 'Data Entry'!$ó$634)</f>
      </c>
      <c r="FX634">
        <f>IF(ISBLANK('Data Entry'!$ô$634), "", 'Data Entry'!$ô$634)</f>
      </c>
      <c r="FY634">
        <f>IF(ISBLANK('Data Entry'!$õ$634), "", 'Data Entry'!$õ$634)</f>
      </c>
      <c r="FZ634">
        <f>IF(ISBLANK('Data Entry'!$ö$634), "", 'Data Entry'!$ö$634)</f>
      </c>
      <c r="GA634">
        <f>IF(ISBLANK('Data Entry'!$÷$634), "", 'Data Entry'!$÷$634)</f>
      </c>
      <c r="GB634">
        <f>IF(ISBLANK('Data Entry'!$ø$634), "", 'Data Entry'!$ø$634)</f>
      </c>
      <c r="GC634">
        <f>IF(ISBLANK('Data Entry'!$ù$634), "", 'Data Entry'!$ù$634)</f>
      </c>
      <c r="GD634">
        <f>IF(ISBLANK('Data Entry'!$ú$634), "", 'Data Entry'!$ú$634)</f>
      </c>
      <c r="GE634">
        <f>IF(ISBLANK('Data Entry'!$û$634), "", 'Data Entry'!$û$634)</f>
      </c>
      <c r="GF634">
        <f>IF(ISBLANK('Data Entry'!$ü$634), "", 'Data Entry'!$ü$634)</f>
      </c>
      <c r="GG634">
        <f>IF(ISBLANK('Data Entry'!$ý$634), "", 'Data Entry'!$ý$634)</f>
      </c>
      <c r="GH634">
        <f>IF(ISBLANK('Data Entry'!$þ$634), "", 'Data Entry'!$þ$634)</f>
      </c>
      <c r="GI634">
        <f>IF(ISBLANK('Data Entry'!$ÿ$634), "", 'Data Entry'!$ÿ$634)</f>
      </c>
      <c r="GJ634">
        <f>IF(ISBLANK('Data Entry'!$Ā$634), "", 'Data Entry'!$Ā$634)</f>
      </c>
      <c r="GK634">
        <f>IF(ISBLANK('Data Entry'!$ā$634), "", 'Data Entry'!$ā$634)</f>
      </c>
      <c r="GL634">
        <f>IF(ISBLANK('Data Entry'!$Ă$634), "", 'Data Entry'!$Ă$634)</f>
      </c>
      <c r="GM634">
        <f>IF(ISBLANK('Data Entry'!$ă$634), "", 'Data Entry'!$ă$634)</f>
      </c>
      <c r="GN634">
        <f>IF(ISBLANK('Data Entry'!$Ą$634), "", 'Data Entry'!$Ą$634)</f>
      </c>
      <c r="GO634">
        <f>IF(ISBLANK('Data Entry'!$ą$634), "", 'Data Entry'!$ą$634)</f>
      </c>
      <c r="GP634">
        <f>IF(ISBLANK('Data Entry'!$Ć$634), "", 'Data Entry'!$Ć$634)</f>
      </c>
      <c r="GQ634">
        <f>IF(ISBLANK('Data Entry'!$ć$634), "", 'Data Entry'!$ć$634)</f>
      </c>
      <c r="GR634">
        <f>IF(ISBLANK('Data Entry'!$Ĉ$634), "", 'Data Entry'!$Ĉ$634)</f>
      </c>
      <c r="GS634">
        <f>IF(ISBLANK('Data Entry'!$ĉ$634), "", 'Data Entry'!$ĉ$634)</f>
      </c>
      <c r="GT634">
        <f>IF(ISBLANK('Data Entry'!$Ċ$634), "", 'Data Entry'!$Ċ$634)</f>
      </c>
      <c r="GU634">
        <f>IF(ISBLANK('Data Entry'!$ċ$634), "", 'Data Entry'!$ċ$634)</f>
      </c>
      <c r="GV634">
        <f>IF(ISBLANK('Data Entry'!$Č$634), "", 'Data Entry'!$Č$634)</f>
      </c>
      <c r="GW634">
        <f>IF(ISBLANK('Data Entry'!$č$634), "", 'Data Entry'!$č$634)</f>
      </c>
      <c r="GX634">
        <f>IF(ISBLANK('Data Entry'!$Ď$634), "", 'Data Entry'!$Ď$634)</f>
      </c>
      <c r="GY634">
        <f>IF(ISBLANK('Data Entry'!$ď$634), "", 'Data Entry'!$ď$634)</f>
      </c>
      <c r="GZ634">
        <f>IF(ISBLANK('Data Entry'!$Đ$634), "", 'Data Entry'!$Đ$634)</f>
      </c>
      <c r="HA634">
        <f>IF(ISBLANK('Data Entry'!$đ$634), "", 'Data Entry'!$đ$634)</f>
      </c>
      <c r="HB634">
        <f>IF(ISBLANK('Data Entry'!$Ē$634), "", 'Data Entry'!$Ē$634)</f>
      </c>
      <c r="HC634">
        <f>IF(ISBLANK('Data Entry'!$ē$634), "", 'Data Entry'!$ē$634)</f>
      </c>
      <c r="HD634">
        <f>IF(ISBLANK('Data Entry'!$Ĕ$634), "", 'Data Entry'!$Ĕ$634)</f>
      </c>
      <c r="HE634">
        <f>IF(ISBLANK('Data Entry'!$ĕ$634), "", 'Data Entry'!$ĕ$634)</f>
      </c>
      <c r="HF634">
        <f>IF(ISBLANK('Data Entry'!$Ė$634), "", 'Data Entry'!$Ė$634)</f>
      </c>
      <c r="HG634">
        <f>IF(ISBLANK('Data Entry'!$ė$634), "", 'Data Entry'!$ė$634)</f>
      </c>
      <c r="HH634">
        <f>IF(ISBLANK('Data Entry'!$Ę$634), "", 'Data Entry'!$Ę$634)</f>
      </c>
      <c r="HI634">
        <f>IF(ISBLANK('Data Entry'!$ę$634), "", 'Data Entry'!$ę$634)</f>
      </c>
      <c r="HJ634">
        <f>IF(ISBLANK('Data Entry'!$Ě$634), "", 'Data Entry'!$Ě$634)</f>
      </c>
      <c r="HK634">
        <f>IF(ISBLANK('Data Entry'!$ě$634), "", 'Data Entry'!$ě$634)</f>
      </c>
      <c r="HL634">
        <f>IF(ISBLANK('Data Entry'!$Ĝ$634), "", 'Data Entry'!$Ĝ$634)</f>
      </c>
      <c r="HM634">
        <f>IF(ISBLANK('Data Entry'!$ĝ$634), "", 'Data Entry'!$ĝ$634)</f>
      </c>
      <c r="HN634">
        <f>IF(ISBLANK('Data Entry'!$Ğ$634), "", 'Data Entry'!$Ğ$634)</f>
      </c>
      <c r="HO634">
        <f>IF(ISBLANK('Data Entry'!$ğ$634), "", 'Data Entry'!$ğ$634)</f>
      </c>
      <c r="HP634">
        <f>IF(ISBLANK('Data Entry'!$Ġ$634), "", 'Data Entry'!$Ġ$634)</f>
      </c>
      <c r="HQ634">
        <f>IF(ISBLANK('Data Entry'!$ġ$634), "", 'Data Entry'!$ġ$634)</f>
      </c>
      <c r="HR634">
        <f>IF(ISBLANK('Data Entry'!$Ģ$634), "", 'Data Entry'!$Ģ$634)</f>
      </c>
      <c r="HS634">
        <f>IF(ISBLANK('Data Entry'!$ģ$634), "", 'Data Entry'!$ģ$634)</f>
      </c>
      <c r="HT634">
        <f>IF(ISBLANK('Data Entry'!$Ĥ$634), "", 'Data Entry'!$Ĥ$634)</f>
      </c>
      <c r="HU634">
        <f>IF(ISBLANK('Data Entry'!$ĥ$634), "", 'Data Entry'!$ĥ$634)</f>
      </c>
      <c r="HV634">
        <f>IF(ISBLANK('Data Entry'!$Ħ$634), "", 'Data Entry'!$Ħ$634)</f>
      </c>
      <c r="HW634">
        <f>IF(ISBLANK('Data Entry'!$ħ$634), "", 'Data Entry'!$ħ$634)</f>
      </c>
      <c r="HX634">
        <f>IF(ISBLANK('Data Entry'!$Ĩ$634), "", 'Data Entry'!$Ĩ$634)</f>
      </c>
      <c r="HY634">
        <f>IF(ISBLANK('Data Entry'!$ĩ$634), "", 'Data Entry'!$ĩ$634)</f>
      </c>
      <c r="HZ634">
        <f>IF(ISBLANK('Data Entry'!$Ī$634), "", 'Data Entry'!$Ī$634)</f>
      </c>
      <c r="IA634">
        <f>IF(ISBLANK('Data Entry'!$ī$634), "", 'Data Entry'!$ī$634)</f>
      </c>
      <c r="IB634">
        <f>IF(ISBLANK('Data Entry'!$Ĭ$634), "", 'Data Entry'!$Ĭ$634)</f>
      </c>
      <c r="IC634">
        <f>IF(ISBLANK('Data Entry'!$ĭ$634), "", 'Data Entry'!$ĭ$634)</f>
      </c>
      <c r="ID634">
        <f>IF(ISBLANK('Data Entry'!$Į$634), "", 'Data Entry'!$Į$634)</f>
      </c>
      <c r="IE634">
        <f>IF(ISBLANK('Data Entry'!$į$634), "", 'Data Entry'!$į$634)</f>
      </c>
      <c r="IF634">
        <f>IF(ISBLANK('Data Entry'!$İ$634), "", 'Data Entry'!$İ$634)</f>
      </c>
      <c r="IG634">
        <f>IF(ISBLANK('Data Entry'!$ı$634), "", 'Data Entry'!$ı$634)</f>
      </c>
      <c r="IH634">
        <f>IF(ISBLANK('Data Entry'!$Ĳ$634), "", 'Data Entry'!$Ĳ$634)</f>
      </c>
      <c r="II634">
        <f>IF(ISBLANK('Data Entry'!$ĳ$634), "", 'Data Entry'!$ĳ$634)</f>
      </c>
      <c r="IJ634">
        <f>IF(ISBLANK('Data Entry'!$Ĵ$634), "", 'Data Entry'!$Ĵ$634)</f>
      </c>
      <c r="IK634">
        <f>IF(ISBLANK('Data Entry'!$ĵ$634), "", 'Data Entry'!$ĵ$634)</f>
      </c>
      <c r="IL634">
        <f>IF(ISBLANK('Data Entry'!$Ķ$634), "", 'Data Entry'!$Ķ$634)</f>
      </c>
      <c r="IM634">
        <f>IF(ISBLANK('Data Entry'!$ķ$634), "", 'Data Entry'!$ķ$634)</f>
      </c>
      <c r="IN634">
        <f>IF(ISBLANK('Data Entry'!$ĸ$634), "", 'Data Entry'!$ĸ$634)</f>
      </c>
      <c r="IO634">
        <f>IF(ISBLANK('Data Entry'!$Ĺ$634), "", 'Data Entry'!$Ĺ$634)</f>
      </c>
      <c r="IP634">
        <f>IF(ISBLANK('Data Entry'!$ĺ$634), "", 'Data Entry'!$ĺ$634)</f>
      </c>
      <c r="IQ634">
        <f>IF(ISBLANK('Data Entry'!$Ļ$634), "", 'Data Entry'!$Ļ$634)</f>
      </c>
      <c r="IR634">
        <f>IF(ISBLANK('Data Entry'!$ļ$634), "", 'Data Entry'!$ļ$634)</f>
      </c>
      <c r="IS634">
        <f>IF(ISBLANK('Data Entry'!$Ľ$634), "", 'Data Entry'!$Ľ$634)</f>
      </c>
      <c r="IT634">
        <f>IF(ISBLANK('Data Entry'!$ľ$634), "", 'Data Entry'!$ľ$634)</f>
      </c>
    </row>
    <row r="635" spans="1:254" x14ac:dyDescent="0.25">
      <c r="A635">
        <f>IF(ISBLANK('Data Entry'!$A$635), "", 'Data Entry'!$A$635)</f>
      </c>
      <c r="B635">
        <f>IF(ISBLANK('Data Entry'!$B$635), "", 'Data Entry'!$B$635)</f>
      </c>
      <c r="C635">
        <f>IF(ISBLANK('Data Entry'!$C$635), "", 'Data Entry'!$C$635)</f>
      </c>
      <c r="D635">
        <f>IF(ISBLANK('Data Entry'!$D$635), "", 'Data Entry'!$D$635)</f>
      </c>
      <c r="E635">
        <f>IF(ISBLANK('Data Entry'!$E$635), "", 'Data Entry'!$E$635)</f>
      </c>
      <c r="F635">
        <f>IF(ISBLANK('Data Entry'!$F$635), "", 'Data Entry'!$F$635)</f>
      </c>
      <c r="G635">
        <f>IF(ISBLANK('Data Entry'!$G$635), "", 'Data Entry'!$G$635)</f>
      </c>
      <c r="H635">
        <f>IF(ISBLANK('Data Entry'!$H$635), "", 'Data Entry'!$H$635)</f>
      </c>
      <c r="I635">
        <f>IF(ISBLANK('Data Entry'!$I$635), "", 'Data Entry'!$I$635)</f>
      </c>
      <c r="J635">
        <f>IF(ISBLANK('Data Entry'!$J$635), "", 'Data Entry'!$J$635)</f>
      </c>
      <c r="K635">
        <f>IF(ISBLANK('Data Entry'!$K$635), "", 'Data Entry'!$K$635)</f>
      </c>
      <c r="L635">
        <f>IF(ISBLANK('Data Entry'!$L$635), "", 'Data Entry'!$L$635)</f>
      </c>
      <c r="M635">
        <f>IF(ISBLANK('Data Entry'!$M$635), "", 'Data Entry'!$M$635)</f>
      </c>
      <c r="N635">
        <f>IF(ISBLANK('Data Entry'!$N$635), "", 'Data Entry'!$N$635)</f>
      </c>
      <c r="O635">
        <f>IF(ISBLANK('Data Entry'!$O$635), "", 'Data Entry'!$O$635)</f>
      </c>
      <c r="P635">
        <f>IF(ISBLANK('Data Entry'!$P$635), "", 'Data Entry'!$P$635)</f>
      </c>
      <c r="Q635">
        <f>IF(ISBLANK('Data Entry'!$Q$635), "", 'Data Entry'!$Q$635)</f>
      </c>
      <c r="R635">
        <f>IF(ISBLANK('Data Entry'!$R$635), "", 'Data Entry'!$R$635)</f>
      </c>
      <c r="S635">
        <f>IF(ISBLANK('Data Entry'!$S$635), "", 'Data Entry'!$S$635)</f>
      </c>
      <c r="T635">
        <f>IF(ISBLANK('Data Entry'!$T$635), "", 'Data Entry'!$T$635)</f>
      </c>
      <c r="U635">
        <f>IF(ISBLANK('Data Entry'!$U$635), "", 'Data Entry'!$U$635)</f>
      </c>
      <c r="V635">
        <f>IF(ISBLANK('Data Entry'!$V$635), "", 'Data Entry'!$V$635)</f>
      </c>
      <c r="W635">
        <f>IF(ISBLANK('Data Entry'!$W$635), "", 'Data Entry'!$W$635)</f>
      </c>
      <c r="X635">
        <f>IF(ISBLANK('Data Entry'!$X$635), "", 'Data Entry'!$X$635)</f>
      </c>
      <c r="Y635">
        <f>IF(ISBLANK('Data Entry'!$Y$635), "", 'Data Entry'!$Y$635)</f>
      </c>
      <c r="Z635">
        <f>IF(ISBLANK('Data Entry'!$Z$635), "", 'Data Entry'!$Z$635)</f>
      </c>
      <c r="AA635">
        <f>IF(ISBLANK('Data Entry'!$[$635), "", 'Data Entry'!$[$635)</f>
      </c>
      <c r="AB635">
        <f>IF(ISBLANK('Data Entry'!$\$635), "", 'Data Entry'!$\$635)</f>
      </c>
      <c r="AC635">
        <f>IF(ISBLANK('Data Entry'!$]$635), "", 'Data Entry'!$]$635)</f>
      </c>
      <c r="AD635">
        <f>IF(ISBLANK('Data Entry'!$^$635), "", 'Data Entry'!$^$635)</f>
      </c>
      <c r="AE635">
        <f>IF(ISBLANK('Data Entry'!$_$635), "", 'Data Entry'!$_$635)</f>
      </c>
      <c r="AF635">
        <f>IF(ISBLANK('Data Entry'!$`$635), "", 'Data Entry'!$`$635)</f>
      </c>
      <c r="AG635">
        <f>IF(ISBLANK('Data Entry'!$a$635), "", 'Data Entry'!$a$635)</f>
      </c>
      <c r="AH635">
        <f>IF(ISBLANK('Data Entry'!$b$635), "", 'Data Entry'!$b$635)</f>
      </c>
      <c r="AI635">
        <f>IF(ISBLANK('Data Entry'!$c$635), "", 'Data Entry'!$c$635)</f>
      </c>
      <c r="AJ635">
        <f>IF(ISBLANK('Data Entry'!$d$635), "", 'Data Entry'!$d$635)</f>
      </c>
      <c r="AK635">
        <f>IF(ISBLANK('Data Entry'!$e$635), "", 'Data Entry'!$e$635)</f>
      </c>
      <c r="AL635">
        <f>IF(ISBLANK('Data Entry'!$f$635), "", 'Data Entry'!$f$635)</f>
      </c>
      <c r="AM635">
        <f>IF(ISBLANK('Data Entry'!$g$635), "", 'Data Entry'!$g$635)</f>
      </c>
      <c r="AN635">
        <f>IF(ISBLANK('Data Entry'!$h$635), "", 'Data Entry'!$h$635)</f>
      </c>
      <c r="AO635">
        <f>IF(ISBLANK('Data Entry'!$i$635), "", 'Data Entry'!$i$635)</f>
      </c>
      <c r="AP635">
        <f>IF(ISBLANK('Data Entry'!$j$635), "", 'Data Entry'!$j$635)</f>
      </c>
      <c r="AQ635">
        <f>IF(ISBLANK('Data Entry'!$k$635), "", 'Data Entry'!$k$635)</f>
      </c>
      <c r="AR635">
        <f>IF(ISBLANK('Data Entry'!$l$635), "", 'Data Entry'!$l$635)</f>
      </c>
      <c r="AS635">
        <f>IF(ISBLANK('Data Entry'!$m$635), "", 'Data Entry'!$m$635)</f>
      </c>
      <c r="AT635">
        <f>IF(ISBLANK('Data Entry'!$n$635), "", 'Data Entry'!$n$635)</f>
      </c>
      <c r="AU635">
        <f>IF(ISBLANK('Data Entry'!$o$635), "", 'Data Entry'!$o$635)</f>
      </c>
      <c r="AV635">
        <f>IF(ISBLANK('Data Entry'!$p$635), "", 'Data Entry'!$p$635)</f>
      </c>
      <c r="AW635">
        <f>IF(ISBLANK('Data Entry'!$q$635), "", 'Data Entry'!$q$635)</f>
      </c>
      <c r="AX635">
        <f>IF(ISBLANK('Data Entry'!$r$635), "", 'Data Entry'!$r$635)</f>
      </c>
      <c r="AY635">
        <f>IF(ISBLANK('Data Entry'!$s$635), "", 'Data Entry'!$s$635)</f>
      </c>
      <c r="AZ635">
        <f>IF(ISBLANK('Data Entry'!$t$635), "", 'Data Entry'!$t$635)</f>
      </c>
      <c r="BA635">
        <f>IF(ISBLANK('Data Entry'!$u$635), "", 'Data Entry'!$u$635)</f>
      </c>
      <c r="BB635">
        <f>IF(ISBLANK('Data Entry'!$v$635), "", 'Data Entry'!$v$635)</f>
      </c>
      <c r="BC635">
        <f>IF(ISBLANK('Data Entry'!$w$635), "", 'Data Entry'!$w$635)</f>
      </c>
      <c r="BD635">
        <f>IF(ISBLANK('Data Entry'!$x$635), "", 'Data Entry'!$x$635)</f>
      </c>
      <c r="BE635">
        <f>IF(ISBLANK('Data Entry'!$y$635), "", 'Data Entry'!$y$635)</f>
      </c>
      <c r="BF635">
        <f>IF(ISBLANK('Data Entry'!$z$635), "", 'Data Entry'!$z$635)</f>
      </c>
      <c r="BG635">
        <f>IF(ISBLANK('Data Entry'!${$635), "", 'Data Entry'!${$635)</f>
      </c>
      <c r="BH635">
        <f>IF(ISBLANK('Data Entry'!$|$635), "", 'Data Entry'!$|$635)</f>
      </c>
      <c r="BI635">
        <f>IF(ISBLANK('Data Entry'!$}$635), "", 'Data Entry'!$}$635)</f>
      </c>
      <c r="BJ635">
        <f>IF(ISBLANK('Data Entry'!$~$635), "", 'Data Entry'!$~$635)</f>
      </c>
      <c r="BK635">
        <f>IF(ISBLANK('Data Entry'!$$635), "", 'Data Entry'!$$635)</f>
      </c>
      <c r="BL635">
        <f>IF(ISBLANK('Data Entry'!$$635), "", 'Data Entry'!$$635)</f>
      </c>
      <c r="BM635">
        <f>IF(ISBLANK('Data Entry'!$$635), "", 'Data Entry'!$$635)</f>
      </c>
      <c r="BN635">
        <f>IF(ISBLANK('Data Entry'!$$635), "", 'Data Entry'!$$635)</f>
      </c>
      <c r="BO635">
        <f>IF(ISBLANK('Data Entry'!$$635), "", 'Data Entry'!$$635)</f>
      </c>
      <c r="BP635">
        <f>IF(ISBLANK('Data Entry'!$$635), "", 'Data Entry'!$$635)</f>
      </c>
      <c r="BQ635">
        <f>IF(ISBLANK('Data Entry'!$$635), "", 'Data Entry'!$$635)</f>
      </c>
      <c r="BR635">
        <f>IF(ISBLANK('Data Entry'!$$635), "", 'Data Entry'!$$635)</f>
      </c>
      <c r="BS635">
        <f>IF(ISBLANK('Data Entry'!$$635), "", 'Data Entry'!$$635)</f>
      </c>
      <c r="BT635">
        <f>IF(ISBLANK('Data Entry'!$$635), "", 'Data Entry'!$$635)</f>
      </c>
      <c r="BU635">
        <f>IF(ISBLANK('Data Entry'!$$635), "", 'Data Entry'!$$635)</f>
      </c>
      <c r="BV635">
        <f>IF(ISBLANK('Data Entry'!$$635), "", 'Data Entry'!$$635)</f>
      </c>
      <c r="BW635">
        <f>IF(ISBLANK('Data Entry'!$$635), "", 'Data Entry'!$$635)</f>
      </c>
      <c r="BX635">
        <f>IF(ISBLANK('Data Entry'!$$635), "", 'Data Entry'!$$635)</f>
      </c>
      <c r="BY635">
        <f>IF(ISBLANK('Data Entry'!$$635), "", 'Data Entry'!$$635)</f>
      </c>
      <c r="BZ635">
        <f>IF(ISBLANK('Data Entry'!$$635), "", 'Data Entry'!$$635)</f>
      </c>
      <c r="CA635">
        <f>IF(ISBLANK('Data Entry'!$$635), "", 'Data Entry'!$$635)</f>
      </c>
      <c r="CB635">
        <f>IF(ISBLANK('Data Entry'!$$635), "", 'Data Entry'!$$635)</f>
      </c>
      <c r="CC635">
        <f>IF(ISBLANK('Data Entry'!$$635), "", 'Data Entry'!$$635)</f>
      </c>
      <c r="CD635">
        <f>IF(ISBLANK('Data Entry'!$$635), "", 'Data Entry'!$$635)</f>
      </c>
      <c r="CE635">
        <f>IF(ISBLANK('Data Entry'!$$635), "", 'Data Entry'!$$635)</f>
      </c>
      <c r="CF635">
        <f>IF(ISBLANK('Data Entry'!$$635), "", 'Data Entry'!$$635)</f>
      </c>
      <c r="CG635">
        <f>IF(ISBLANK('Data Entry'!$$635), "", 'Data Entry'!$$635)</f>
      </c>
      <c r="CH635">
        <f>IF(ISBLANK('Data Entry'!$$635), "", 'Data Entry'!$$635)</f>
      </c>
      <c r="CI635">
        <f>IF(ISBLANK('Data Entry'!$$635), "", 'Data Entry'!$$635)</f>
      </c>
      <c r="CJ635">
        <f>IF(ISBLANK('Data Entry'!$$635), "", 'Data Entry'!$$635)</f>
      </c>
      <c r="CK635">
        <f>IF(ISBLANK('Data Entry'!$$635), "", 'Data Entry'!$$635)</f>
      </c>
      <c r="CL635">
        <f>IF(ISBLANK('Data Entry'!$$635), "", 'Data Entry'!$$635)</f>
      </c>
      <c r="CM635">
        <f>IF(ISBLANK('Data Entry'!$$635), "", 'Data Entry'!$$635)</f>
      </c>
      <c r="CN635">
        <f>IF(ISBLANK('Data Entry'!$$635), "", 'Data Entry'!$$635)</f>
      </c>
      <c r="CO635">
        <f>IF(ISBLANK('Data Entry'!$$635), "", 'Data Entry'!$$635)</f>
      </c>
      <c r="CP635">
        <f>IF(ISBLANK('Data Entry'!$$635), "", 'Data Entry'!$$635)</f>
      </c>
      <c r="CQ635">
        <f>IF(ISBLANK('Data Entry'!$$635), "", 'Data Entry'!$$635)</f>
      </c>
      <c r="CR635">
        <f>IF(ISBLANK('Data Entry'!$ $635), "", 'Data Entry'!$ $635)</f>
      </c>
      <c r="CS635">
        <f>IF(ISBLANK('Data Entry'!$¡$635), "", 'Data Entry'!$¡$635)</f>
      </c>
      <c r="CT635">
        <f>IF(ISBLANK('Data Entry'!$¢$635), "", 'Data Entry'!$¢$635)</f>
      </c>
      <c r="CU635">
        <f>IF(ISBLANK('Data Entry'!$£$635), "", 'Data Entry'!$£$635)</f>
      </c>
      <c r="CV635">
        <f>IF(ISBLANK('Data Entry'!$¤$635), "", 'Data Entry'!$¤$635)</f>
      </c>
      <c r="CW635">
        <f>IF(ISBLANK('Data Entry'!$¥$635), "", 'Data Entry'!$¥$635)</f>
      </c>
      <c r="CX635">
        <f>IF(ISBLANK('Data Entry'!$¦$635), "", 'Data Entry'!$¦$635)</f>
      </c>
      <c r="CY635">
        <f>IF(ISBLANK('Data Entry'!$§$635), "", 'Data Entry'!$§$635)</f>
      </c>
      <c r="CZ635">
        <f>IF(ISBLANK('Data Entry'!$¨$635), "", 'Data Entry'!$¨$635)</f>
      </c>
      <c r="DA635">
        <f>IF(ISBLANK('Data Entry'!$©$635), "", 'Data Entry'!$©$635)</f>
      </c>
      <c r="DB635">
        <f>IF(ISBLANK('Data Entry'!$ª$635), "", 'Data Entry'!$ª$635)</f>
      </c>
      <c r="DC635">
        <f>IF(ISBLANK('Data Entry'!$«$635), "", 'Data Entry'!$«$635)</f>
      </c>
      <c r="DD635">
        <f>IF(ISBLANK('Data Entry'!$¬$635), "", 'Data Entry'!$¬$635)</f>
      </c>
      <c r="DE635">
        <f>IF(ISBLANK('Data Entry'!$­$635), "", 'Data Entry'!$­$635)</f>
      </c>
      <c r="DF635">
        <f>IF(ISBLANK('Data Entry'!$®$635), "", 'Data Entry'!$®$635)</f>
      </c>
      <c r="DG635">
        <f>IF(ISBLANK('Data Entry'!$¯$635), "", 'Data Entry'!$¯$635)</f>
      </c>
      <c r="DH635">
        <f>IF(ISBLANK('Data Entry'!$°$635), "", 'Data Entry'!$°$635)</f>
      </c>
      <c r="DI635">
        <f>IF(ISBLANK('Data Entry'!$±$635), "", 'Data Entry'!$±$635)</f>
      </c>
      <c r="DJ635">
        <f>IF(ISBLANK('Data Entry'!$²$635), "", 'Data Entry'!$²$635)</f>
      </c>
      <c r="DK635">
        <f>IF(ISBLANK('Data Entry'!$³$635), "", 'Data Entry'!$³$635)</f>
      </c>
      <c r="DL635">
        <f>IF(ISBLANK('Data Entry'!$´$635), "", 'Data Entry'!$´$635)</f>
      </c>
      <c r="DM635">
        <f>IF(ISBLANK('Data Entry'!$µ$635), "", 'Data Entry'!$µ$635)</f>
      </c>
      <c r="DN635">
        <f>IF(ISBLANK('Data Entry'!$¶$635), "", 'Data Entry'!$¶$635)</f>
      </c>
      <c r="DO635">
        <f>IF(ISBLANK('Data Entry'!$·$635), "", 'Data Entry'!$·$635)</f>
      </c>
      <c r="DP635">
        <f>IF(ISBLANK('Data Entry'!$¸$635), "", 'Data Entry'!$¸$635)</f>
      </c>
      <c r="DQ635">
        <f>IF(ISBLANK('Data Entry'!$¹$635), "", 'Data Entry'!$¹$635)</f>
      </c>
      <c r="DR635">
        <f>IF(ISBLANK('Data Entry'!$º$635), "", 'Data Entry'!$º$635)</f>
      </c>
      <c r="DS635">
        <f>IF(ISBLANK('Data Entry'!$»$635), "", 'Data Entry'!$»$635)</f>
      </c>
      <c r="DT635">
        <f>IF(ISBLANK('Data Entry'!$¼$635), "", 'Data Entry'!$¼$635)</f>
      </c>
      <c r="DU635">
        <f>IF(ISBLANK('Data Entry'!$½$635), "", 'Data Entry'!$½$635)</f>
      </c>
      <c r="DV635">
        <f>IF(ISBLANK('Data Entry'!$¾$635), "", 'Data Entry'!$¾$635)</f>
      </c>
      <c r="DW635">
        <f>IF(ISBLANK('Data Entry'!$¿$635), "", 'Data Entry'!$¿$635)</f>
      </c>
      <c r="DX635">
        <f>IF(ISBLANK('Data Entry'!$À$635), "", 'Data Entry'!$À$635)</f>
      </c>
      <c r="DY635">
        <f>IF(ISBLANK('Data Entry'!$Á$635), "", 'Data Entry'!$Á$635)</f>
      </c>
      <c r="DZ635">
        <f>IF(ISBLANK('Data Entry'!$Â$635), "", 'Data Entry'!$Â$635)</f>
      </c>
      <c r="EA635">
        <f>IF(ISBLANK('Data Entry'!$Ã$635), "", 'Data Entry'!$Ã$635)</f>
      </c>
      <c r="EB635">
        <f>IF(ISBLANK('Data Entry'!$Ä$635), "", 'Data Entry'!$Ä$635)</f>
      </c>
      <c r="EC635">
        <f>IF(ISBLANK('Data Entry'!$Å$635), "", 'Data Entry'!$Å$635)</f>
      </c>
      <c r="ED635">
        <f>IF(ISBLANK('Data Entry'!$Æ$635), "", 'Data Entry'!$Æ$635)</f>
      </c>
      <c r="EE635">
        <f>IF(ISBLANK('Data Entry'!$Ç$635), "", 'Data Entry'!$Ç$635)</f>
      </c>
      <c r="EF635">
        <f>IF(ISBLANK('Data Entry'!$È$635), "", 'Data Entry'!$È$635)</f>
      </c>
      <c r="EG635">
        <f>IF(ISBLANK('Data Entry'!$É$635), "", 'Data Entry'!$É$635)</f>
      </c>
      <c r="EH635">
        <f>IF(ISBLANK('Data Entry'!$Ê$635), "", 'Data Entry'!$Ê$635)</f>
      </c>
      <c r="EI635">
        <f>IF(ISBLANK('Data Entry'!$Ë$635), "", 'Data Entry'!$Ë$635)</f>
      </c>
      <c r="EJ635">
        <f>IF(ISBLANK('Data Entry'!$Ì$635), "", 'Data Entry'!$Ì$635)</f>
      </c>
      <c r="EK635">
        <f>IF(ISBLANK('Data Entry'!$Í$635), "", 'Data Entry'!$Í$635)</f>
      </c>
      <c r="EL635">
        <f>IF(ISBLANK('Data Entry'!$Î$635), "", 'Data Entry'!$Î$635)</f>
      </c>
      <c r="EM635">
        <f>IF(ISBLANK('Data Entry'!$Ï$635), "", 'Data Entry'!$Ï$635)</f>
      </c>
      <c r="EN635">
        <f>IF(ISBLANK('Data Entry'!$Ð$635), "", 'Data Entry'!$Ð$635)</f>
      </c>
      <c r="EO635">
        <f>IF(ISBLANK('Data Entry'!$Ñ$635), "", 'Data Entry'!$Ñ$635)</f>
      </c>
      <c r="EP635">
        <f>IF(ISBLANK('Data Entry'!$Ò$635), "", 'Data Entry'!$Ò$635)</f>
      </c>
      <c r="EQ635">
        <f>IF(ISBLANK('Data Entry'!$Ó$635), "", 'Data Entry'!$Ó$635)</f>
      </c>
      <c r="ER635">
        <f>IF(ISBLANK('Data Entry'!$Ô$635), "", 'Data Entry'!$Ô$635)</f>
      </c>
      <c r="ES635">
        <f>IF(ISBLANK('Data Entry'!$Õ$635), "", 'Data Entry'!$Õ$635)</f>
      </c>
      <c r="ET635">
        <f>IF(ISBLANK('Data Entry'!$Ö$635), "", 'Data Entry'!$Ö$635)</f>
      </c>
      <c r="EU635">
        <f>IF(ISBLANK('Data Entry'!$×$635), "", 'Data Entry'!$×$635)</f>
      </c>
      <c r="EV635">
        <f>IF(ISBLANK('Data Entry'!$Ø$635), "", 'Data Entry'!$Ø$635)</f>
      </c>
      <c r="EW635">
        <f>IF(ISBLANK('Data Entry'!$Ù$635), "", 'Data Entry'!$Ù$635)</f>
      </c>
      <c r="EX635">
        <f>IF(ISBLANK('Data Entry'!$Ú$635), "", 'Data Entry'!$Ú$635)</f>
      </c>
      <c r="EY635">
        <f>IF(ISBLANK('Data Entry'!$Û$635), "", 'Data Entry'!$Û$635)</f>
      </c>
      <c r="EZ635">
        <f>IF(ISBLANK('Data Entry'!$Ü$635), "", 'Data Entry'!$Ü$635)</f>
      </c>
      <c r="FA635">
        <f>IF(ISBLANK('Data Entry'!$Ý$635), "", 'Data Entry'!$Ý$635)</f>
      </c>
      <c r="FB635">
        <f>IF(ISBLANK('Data Entry'!$Þ$635), "", 'Data Entry'!$Þ$635)</f>
      </c>
      <c r="FC635">
        <f>IF(ISBLANK('Data Entry'!$ß$635), "", 'Data Entry'!$ß$635)</f>
      </c>
      <c r="FD635">
        <f>IF(ISBLANK('Data Entry'!$à$635), "", 'Data Entry'!$à$635)</f>
      </c>
      <c r="FE635">
        <f>IF(ISBLANK('Data Entry'!$á$635), "", 'Data Entry'!$á$635)</f>
      </c>
      <c r="FF635">
        <f>IF(ISBLANK('Data Entry'!$â$635), "", 'Data Entry'!$â$635)</f>
      </c>
      <c r="FG635">
        <f>IF(ISBLANK('Data Entry'!$ã$635), "", 'Data Entry'!$ã$635)</f>
      </c>
      <c r="FH635">
        <f>IF(ISBLANK('Data Entry'!$ä$635), "", 'Data Entry'!$ä$635)</f>
      </c>
      <c r="FI635">
        <f>IF(ISBLANK('Data Entry'!$å$635), "", 'Data Entry'!$å$635)</f>
      </c>
      <c r="FJ635">
        <f>IF(ISBLANK('Data Entry'!$æ$635), "", 'Data Entry'!$æ$635)</f>
      </c>
      <c r="FK635">
        <f>IF(ISBLANK('Data Entry'!$ç$635), "", 'Data Entry'!$ç$635)</f>
      </c>
      <c r="FL635">
        <f>IF(ISBLANK('Data Entry'!$è$635), "", 'Data Entry'!$è$635)</f>
      </c>
      <c r="FM635">
        <f>IF(ISBLANK('Data Entry'!$é$635), "", 'Data Entry'!$é$635)</f>
      </c>
      <c r="FN635">
        <f>IF(ISBLANK('Data Entry'!$ê$635), "", 'Data Entry'!$ê$635)</f>
      </c>
      <c r="FO635">
        <f>IF(ISBLANK('Data Entry'!$ë$635), "", 'Data Entry'!$ë$635)</f>
      </c>
      <c r="FP635">
        <f>IF(ISBLANK('Data Entry'!$ì$635), "", 'Data Entry'!$ì$635)</f>
      </c>
      <c r="FQ635">
        <f>IF(ISBLANK('Data Entry'!$í$635), "", 'Data Entry'!$í$635)</f>
      </c>
      <c r="FR635">
        <f>IF(ISBLANK('Data Entry'!$î$635), "", 'Data Entry'!$î$635)</f>
      </c>
      <c r="FS635">
        <f>IF(ISBLANK('Data Entry'!$ï$635), "", 'Data Entry'!$ï$635)</f>
      </c>
      <c r="FT635">
        <f>IF(ISBLANK('Data Entry'!$ð$635), "", 'Data Entry'!$ð$635)</f>
      </c>
      <c r="FU635">
        <f>IF(ISBLANK('Data Entry'!$ñ$635), "", 'Data Entry'!$ñ$635)</f>
      </c>
      <c r="FV635">
        <f>IF(ISBLANK('Data Entry'!$ò$635), "", 'Data Entry'!$ò$635)</f>
      </c>
      <c r="FW635">
        <f>IF(ISBLANK('Data Entry'!$ó$635), "", 'Data Entry'!$ó$635)</f>
      </c>
      <c r="FX635">
        <f>IF(ISBLANK('Data Entry'!$ô$635), "", 'Data Entry'!$ô$635)</f>
      </c>
      <c r="FY635">
        <f>IF(ISBLANK('Data Entry'!$õ$635), "", 'Data Entry'!$õ$635)</f>
      </c>
      <c r="FZ635">
        <f>IF(ISBLANK('Data Entry'!$ö$635), "", 'Data Entry'!$ö$635)</f>
      </c>
      <c r="GA635">
        <f>IF(ISBLANK('Data Entry'!$÷$635), "", 'Data Entry'!$÷$635)</f>
      </c>
      <c r="GB635">
        <f>IF(ISBLANK('Data Entry'!$ø$635), "", 'Data Entry'!$ø$635)</f>
      </c>
      <c r="GC635">
        <f>IF(ISBLANK('Data Entry'!$ù$635), "", 'Data Entry'!$ù$635)</f>
      </c>
      <c r="GD635">
        <f>IF(ISBLANK('Data Entry'!$ú$635), "", 'Data Entry'!$ú$635)</f>
      </c>
      <c r="GE635">
        <f>IF(ISBLANK('Data Entry'!$û$635), "", 'Data Entry'!$û$635)</f>
      </c>
      <c r="GF635">
        <f>IF(ISBLANK('Data Entry'!$ü$635), "", 'Data Entry'!$ü$635)</f>
      </c>
      <c r="GG635">
        <f>IF(ISBLANK('Data Entry'!$ý$635), "", 'Data Entry'!$ý$635)</f>
      </c>
      <c r="GH635">
        <f>IF(ISBLANK('Data Entry'!$þ$635), "", 'Data Entry'!$þ$635)</f>
      </c>
      <c r="GI635">
        <f>IF(ISBLANK('Data Entry'!$ÿ$635), "", 'Data Entry'!$ÿ$635)</f>
      </c>
      <c r="GJ635">
        <f>IF(ISBLANK('Data Entry'!$Ā$635), "", 'Data Entry'!$Ā$635)</f>
      </c>
      <c r="GK635">
        <f>IF(ISBLANK('Data Entry'!$ā$635), "", 'Data Entry'!$ā$635)</f>
      </c>
      <c r="GL635">
        <f>IF(ISBLANK('Data Entry'!$Ă$635), "", 'Data Entry'!$Ă$635)</f>
      </c>
      <c r="GM635">
        <f>IF(ISBLANK('Data Entry'!$ă$635), "", 'Data Entry'!$ă$635)</f>
      </c>
      <c r="GN635">
        <f>IF(ISBLANK('Data Entry'!$Ą$635), "", 'Data Entry'!$Ą$635)</f>
      </c>
      <c r="GO635">
        <f>IF(ISBLANK('Data Entry'!$ą$635), "", 'Data Entry'!$ą$635)</f>
      </c>
      <c r="GP635">
        <f>IF(ISBLANK('Data Entry'!$Ć$635), "", 'Data Entry'!$Ć$635)</f>
      </c>
      <c r="GQ635">
        <f>IF(ISBLANK('Data Entry'!$ć$635), "", 'Data Entry'!$ć$635)</f>
      </c>
      <c r="GR635">
        <f>IF(ISBLANK('Data Entry'!$Ĉ$635), "", 'Data Entry'!$Ĉ$635)</f>
      </c>
      <c r="GS635">
        <f>IF(ISBLANK('Data Entry'!$ĉ$635), "", 'Data Entry'!$ĉ$635)</f>
      </c>
      <c r="GT635">
        <f>IF(ISBLANK('Data Entry'!$Ċ$635), "", 'Data Entry'!$Ċ$635)</f>
      </c>
      <c r="GU635">
        <f>IF(ISBLANK('Data Entry'!$ċ$635), "", 'Data Entry'!$ċ$635)</f>
      </c>
      <c r="GV635">
        <f>IF(ISBLANK('Data Entry'!$Č$635), "", 'Data Entry'!$Č$635)</f>
      </c>
      <c r="GW635">
        <f>IF(ISBLANK('Data Entry'!$č$635), "", 'Data Entry'!$č$635)</f>
      </c>
      <c r="GX635">
        <f>IF(ISBLANK('Data Entry'!$Ď$635), "", 'Data Entry'!$Ď$635)</f>
      </c>
      <c r="GY635">
        <f>IF(ISBLANK('Data Entry'!$ď$635), "", 'Data Entry'!$ď$635)</f>
      </c>
      <c r="GZ635">
        <f>IF(ISBLANK('Data Entry'!$Đ$635), "", 'Data Entry'!$Đ$635)</f>
      </c>
      <c r="HA635">
        <f>IF(ISBLANK('Data Entry'!$đ$635), "", 'Data Entry'!$đ$635)</f>
      </c>
      <c r="HB635">
        <f>IF(ISBLANK('Data Entry'!$Ē$635), "", 'Data Entry'!$Ē$635)</f>
      </c>
      <c r="HC635">
        <f>IF(ISBLANK('Data Entry'!$ē$635), "", 'Data Entry'!$ē$635)</f>
      </c>
      <c r="HD635">
        <f>IF(ISBLANK('Data Entry'!$Ĕ$635), "", 'Data Entry'!$Ĕ$635)</f>
      </c>
      <c r="HE635">
        <f>IF(ISBLANK('Data Entry'!$ĕ$635), "", 'Data Entry'!$ĕ$635)</f>
      </c>
      <c r="HF635">
        <f>IF(ISBLANK('Data Entry'!$Ė$635), "", 'Data Entry'!$Ė$635)</f>
      </c>
      <c r="HG635">
        <f>IF(ISBLANK('Data Entry'!$ė$635), "", 'Data Entry'!$ė$635)</f>
      </c>
      <c r="HH635">
        <f>IF(ISBLANK('Data Entry'!$Ę$635), "", 'Data Entry'!$Ę$635)</f>
      </c>
      <c r="HI635">
        <f>IF(ISBLANK('Data Entry'!$ę$635), "", 'Data Entry'!$ę$635)</f>
      </c>
      <c r="HJ635">
        <f>IF(ISBLANK('Data Entry'!$Ě$635), "", 'Data Entry'!$Ě$635)</f>
      </c>
      <c r="HK635">
        <f>IF(ISBLANK('Data Entry'!$ě$635), "", 'Data Entry'!$ě$635)</f>
      </c>
      <c r="HL635">
        <f>IF(ISBLANK('Data Entry'!$Ĝ$635), "", 'Data Entry'!$Ĝ$635)</f>
      </c>
      <c r="HM635">
        <f>IF(ISBLANK('Data Entry'!$ĝ$635), "", 'Data Entry'!$ĝ$635)</f>
      </c>
      <c r="HN635">
        <f>IF(ISBLANK('Data Entry'!$Ğ$635), "", 'Data Entry'!$Ğ$635)</f>
      </c>
      <c r="HO635">
        <f>IF(ISBLANK('Data Entry'!$ğ$635), "", 'Data Entry'!$ğ$635)</f>
      </c>
      <c r="HP635">
        <f>IF(ISBLANK('Data Entry'!$Ġ$635), "", 'Data Entry'!$Ġ$635)</f>
      </c>
      <c r="HQ635">
        <f>IF(ISBLANK('Data Entry'!$ġ$635), "", 'Data Entry'!$ġ$635)</f>
      </c>
      <c r="HR635">
        <f>IF(ISBLANK('Data Entry'!$Ģ$635), "", 'Data Entry'!$Ģ$635)</f>
      </c>
      <c r="HS635">
        <f>IF(ISBLANK('Data Entry'!$ģ$635), "", 'Data Entry'!$ģ$635)</f>
      </c>
      <c r="HT635">
        <f>IF(ISBLANK('Data Entry'!$Ĥ$635), "", 'Data Entry'!$Ĥ$635)</f>
      </c>
      <c r="HU635">
        <f>IF(ISBLANK('Data Entry'!$ĥ$635), "", 'Data Entry'!$ĥ$635)</f>
      </c>
      <c r="HV635">
        <f>IF(ISBLANK('Data Entry'!$Ħ$635), "", 'Data Entry'!$Ħ$635)</f>
      </c>
      <c r="HW635">
        <f>IF(ISBLANK('Data Entry'!$ħ$635), "", 'Data Entry'!$ħ$635)</f>
      </c>
      <c r="HX635">
        <f>IF(ISBLANK('Data Entry'!$Ĩ$635), "", 'Data Entry'!$Ĩ$635)</f>
      </c>
      <c r="HY635">
        <f>IF(ISBLANK('Data Entry'!$ĩ$635), "", 'Data Entry'!$ĩ$635)</f>
      </c>
      <c r="HZ635">
        <f>IF(ISBLANK('Data Entry'!$Ī$635), "", 'Data Entry'!$Ī$635)</f>
      </c>
      <c r="IA635">
        <f>IF(ISBLANK('Data Entry'!$ī$635), "", 'Data Entry'!$ī$635)</f>
      </c>
      <c r="IB635">
        <f>IF(ISBLANK('Data Entry'!$Ĭ$635), "", 'Data Entry'!$Ĭ$635)</f>
      </c>
      <c r="IC635">
        <f>IF(ISBLANK('Data Entry'!$ĭ$635), "", 'Data Entry'!$ĭ$635)</f>
      </c>
      <c r="ID635">
        <f>IF(ISBLANK('Data Entry'!$Į$635), "", 'Data Entry'!$Į$635)</f>
      </c>
      <c r="IE635">
        <f>IF(ISBLANK('Data Entry'!$į$635), "", 'Data Entry'!$į$635)</f>
      </c>
      <c r="IF635">
        <f>IF(ISBLANK('Data Entry'!$İ$635), "", 'Data Entry'!$İ$635)</f>
      </c>
      <c r="IG635">
        <f>IF(ISBLANK('Data Entry'!$ı$635), "", 'Data Entry'!$ı$635)</f>
      </c>
      <c r="IH635">
        <f>IF(ISBLANK('Data Entry'!$Ĳ$635), "", 'Data Entry'!$Ĳ$635)</f>
      </c>
      <c r="II635">
        <f>IF(ISBLANK('Data Entry'!$ĳ$635), "", 'Data Entry'!$ĳ$635)</f>
      </c>
      <c r="IJ635">
        <f>IF(ISBLANK('Data Entry'!$Ĵ$635), "", 'Data Entry'!$Ĵ$635)</f>
      </c>
      <c r="IK635">
        <f>IF(ISBLANK('Data Entry'!$ĵ$635), "", 'Data Entry'!$ĵ$635)</f>
      </c>
      <c r="IL635">
        <f>IF(ISBLANK('Data Entry'!$Ķ$635), "", 'Data Entry'!$Ķ$635)</f>
      </c>
      <c r="IM635">
        <f>IF(ISBLANK('Data Entry'!$ķ$635), "", 'Data Entry'!$ķ$635)</f>
      </c>
      <c r="IN635">
        <f>IF(ISBLANK('Data Entry'!$ĸ$635), "", 'Data Entry'!$ĸ$635)</f>
      </c>
      <c r="IO635">
        <f>IF(ISBLANK('Data Entry'!$Ĺ$635), "", 'Data Entry'!$Ĺ$635)</f>
      </c>
      <c r="IP635">
        <f>IF(ISBLANK('Data Entry'!$ĺ$635), "", 'Data Entry'!$ĺ$635)</f>
      </c>
      <c r="IQ635">
        <f>IF(ISBLANK('Data Entry'!$Ļ$635), "", 'Data Entry'!$Ļ$635)</f>
      </c>
      <c r="IR635">
        <f>IF(ISBLANK('Data Entry'!$ļ$635), "", 'Data Entry'!$ļ$635)</f>
      </c>
      <c r="IS635">
        <f>IF(ISBLANK('Data Entry'!$Ľ$635), "", 'Data Entry'!$Ľ$635)</f>
      </c>
      <c r="IT635">
        <f>IF(ISBLANK('Data Entry'!$ľ$635), "", 'Data Entry'!$ľ$635)</f>
      </c>
    </row>
    <row r="636" spans="1:254" x14ac:dyDescent="0.25">
      <c r="A636">
        <f>IF(ISBLANK('Data Entry'!$A$636), "", 'Data Entry'!$A$636)</f>
      </c>
      <c r="B636">
        <f>IF(ISBLANK('Data Entry'!$B$636), "", 'Data Entry'!$B$636)</f>
      </c>
      <c r="C636">
        <f>IF(ISBLANK('Data Entry'!$C$636), "", 'Data Entry'!$C$636)</f>
      </c>
      <c r="D636">
        <f>IF(ISBLANK('Data Entry'!$D$636), "", 'Data Entry'!$D$636)</f>
      </c>
      <c r="E636">
        <f>IF(ISBLANK('Data Entry'!$E$636), "", 'Data Entry'!$E$636)</f>
      </c>
      <c r="F636">
        <f>IF(ISBLANK('Data Entry'!$F$636), "", 'Data Entry'!$F$636)</f>
      </c>
      <c r="G636">
        <f>IF(ISBLANK('Data Entry'!$G$636), "", 'Data Entry'!$G$636)</f>
      </c>
      <c r="H636">
        <f>IF(ISBLANK('Data Entry'!$H$636), "", 'Data Entry'!$H$636)</f>
      </c>
      <c r="I636">
        <f>IF(ISBLANK('Data Entry'!$I$636), "", 'Data Entry'!$I$636)</f>
      </c>
      <c r="J636">
        <f>IF(ISBLANK('Data Entry'!$J$636), "", 'Data Entry'!$J$636)</f>
      </c>
      <c r="K636">
        <f>IF(ISBLANK('Data Entry'!$K$636), "", 'Data Entry'!$K$636)</f>
      </c>
      <c r="L636">
        <f>IF(ISBLANK('Data Entry'!$L$636), "", 'Data Entry'!$L$636)</f>
      </c>
      <c r="M636">
        <f>IF(ISBLANK('Data Entry'!$M$636), "", 'Data Entry'!$M$636)</f>
      </c>
      <c r="N636">
        <f>IF(ISBLANK('Data Entry'!$N$636), "", 'Data Entry'!$N$636)</f>
      </c>
      <c r="O636">
        <f>IF(ISBLANK('Data Entry'!$O$636), "", 'Data Entry'!$O$636)</f>
      </c>
      <c r="P636">
        <f>IF(ISBLANK('Data Entry'!$P$636), "", 'Data Entry'!$P$636)</f>
      </c>
      <c r="Q636">
        <f>IF(ISBLANK('Data Entry'!$Q$636), "", 'Data Entry'!$Q$636)</f>
      </c>
      <c r="R636">
        <f>IF(ISBLANK('Data Entry'!$R$636), "", 'Data Entry'!$R$636)</f>
      </c>
      <c r="S636">
        <f>IF(ISBLANK('Data Entry'!$S$636), "", 'Data Entry'!$S$636)</f>
      </c>
      <c r="T636">
        <f>IF(ISBLANK('Data Entry'!$T$636), "", 'Data Entry'!$T$636)</f>
      </c>
      <c r="U636">
        <f>IF(ISBLANK('Data Entry'!$U$636), "", 'Data Entry'!$U$636)</f>
      </c>
      <c r="V636">
        <f>IF(ISBLANK('Data Entry'!$V$636), "", 'Data Entry'!$V$636)</f>
      </c>
      <c r="W636">
        <f>IF(ISBLANK('Data Entry'!$W$636), "", 'Data Entry'!$W$636)</f>
      </c>
      <c r="X636">
        <f>IF(ISBLANK('Data Entry'!$X$636), "", 'Data Entry'!$X$636)</f>
      </c>
      <c r="Y636">
        <f>IF(ISBLANK('Data Entry'!$Y$636), "", 'Data Entry'!$Y$636)</f>
      </c>
      <c r="Z636">
        <f>IF(ISBLANK('Data Entry'!$Z$636), "", 'Data Entry'!$Z$636)</f>
      </c>
      <c r="AA636">
        <f>IF(ISBLANK('Data Entry'!$[$636), "", 'Data Entry'!$[$636)</f>
      </c>
      <c r="AB636">
        <f>IF(ISBLANK('Data Entry'!$\$636), "", 'Data Entry'!$\$636)</f>
      </c>
      <c r="AC636">
        <f>IF(ISBLANK('Data Entry'!$]$636), "", 'Data Entry'!$]$636)</f>
      </c>
      <c r="AD636">
        <f>IF(ISBLANK('Data Entry'!$^$636), "", 'Data Entry'!$^$636)</f>
      </c>
      <c r="AE636">
        <f>IF(ISBLANK('Data Entry'!$_$636), "", 'Data Entry'!$_$636)</f>
      </c>
      <c r="AF636">
        <f>IF(ISBLANK('Data Entry'!$`$636), "", 'Data Entry'!$`$636)</f>
      </c>
      <c r="AG636">
        <f>IF(ISBLANK('Data Entry'!$a$636), "", 'Data Entry'!$a$636)</f>
      </c>
      <c r="AH636">
        <f>IF(ISBLANK('Data Entry'!$b$636), "", 'Data Entry'!$b$636)</f>
      </c>
      <c r="AI636">
        <f>IF(ISBLANK('Data Entry'!$c$636), "", 'Data Entry'!$c$636)</f>
      </c>
      <c r="AJ636">
        <f>IF(ISBLANK('Data Entry'!$d$636), "", 'Data Entry'!$d$636)</f>
      </c>
      <c r="AK636">
        <f>IF(ISBLANK('Data Entry'!$e$636), "", 'Data Entry'!$e$636)</f>
      </c>
      <c r="AL636">
        <f>IF(ISBLANK('Data Entry'!$f$636), "", 'Data Entry'!$f$636)</f>
      </c>
      <c r="AM636">
        <f>IF(ISBLANK('Data Entry'!$g$636), "", 'Data Entry'!$g$636)</f>
      </c>
      <c r="AN636">
        <f>IF(ISBLANK('Data Entry'!$h$636), "", 'Data Entry'!$h$636)</f>
      </c>
      <c r="AO636">
        <f>IF(ISBLANK('Data Entry'!$i$636), "", 'Data Entry'!$i$636)</f>
      </c>
      <c r="AP636">
        <f>IF(ISBLANK('Data Entry'!$j$636), "", 'Data Entry'!$j$636)</f>
      </c>
      <c r="AQ636">
        <f>IF(ISBLANK('Data Entry'!$k$636), "", 'Data Entry'!$k$636)</f>
      </c>
      <c r="AR636">
        <f>IF(ISBLANK('Data Entry'!$l$636), "", 'Data Entry'!$l$636)</f>
      </c>
      <c r="AS636">
        <f>IF(ISBLANK('Data Entry'!$m$636), "", 'Data Entry'!$m$636)</f>
      </c>
      <c r="AT636">
        <f>IF(ISBLANK('Data Entry'!$n$636), "", 'Data Entry'!$n$636)</f>
      </c>
      <c r="AU636">
        <f>IF(ISBLANK('Data Entry'!$o$636), "", 'Data Entry'!$o$636)</f>
      </c>
      <c r="AV636">
        <f>IF(ISBLANK('Data Entry'!$p$636), "", 'Data Entry'!$p$636)</f>
      </c>
      <c r="AW636">
        <f>IF(ISBLANK('Data Entry'!$q$636), "", 'Data Entry'!$q$636)</f>
      </c>
      <c r="AX636">
        <f>IF(ISBLANK('Data Entry'!$r$636), "", 'Data Entry'!$r$636)</f>
      </c>
      <c r="AY636">
        <f>IF(ISBLANK('Data Entry'!$s$636), "", 'Data Entry'!$s$636)</f>
      </c>
      <c r="AZ636">
        <f>IF(ISBLANK('Data Entry'!$t$636), "", 'Data Entry'!$t$636)</f>
      </c>
      <c r="BA636">
        <f>IF(ISBLANK('Data Entry'!$u$636), "", 'Data Entry'!$u$636)</f>
      </c>
      <c r="BB636">
        <f>IF(ISBLANK('Data Entry'!$v$636), "", 'Data Entry'!$v$636)</f>
      </c>
      <c r="BC636">
        <f>IF(ISBLANK('Data Entry'!$w$636), "", 'Data Entry'!$w$636)</f>
      </c>
      <c r="BD636">
        <f>IF(ISBLANK('Data Entry'!$x$636), "", 'Data Entry'!$x$636)</f>
      </c>
      <c r="BE636">
        <f>IF(ISBLANK('Data Entry'!$y$636), "", 'Data Entry'!$y$636)</f>
      </c>
      <c r="BF636">
        <f>IF(ISBLANK('Data Entry'!$z$636), "", 'Data Entry'!$z$636)</f>
      </c>
      <c r="BG636">
        <f>IF(ISBLANK('Data Entry'!${$636), "", 'Data Entry'!${$636)</f>
      </c>
      <c r="BH636">
        <f>IF(ISBLANK('Data Entry'!$|$636), "", 'Data Entry'!$|$636)</f>
      </c>
      <c r="BI636">
        <f>IF(ISBLANK('Data Entry'!$}$636), "", 'Data Entry'!$}$636)</f>
      </c>
      <c r="BJ636">
        <f>IF(ISBLANK('Data Entry'!$~$636), "", 'Data Entry'!$~$636)</f>
      </c>
      <c r="BK636">
        <f>IF(ISBLANK('Data Entry'!$$636), "", 'Data Entry'!$$636)</f>
      </c>
      <c r="BL636">
        <f>IF(ISBLANK('Data Entry'!$$636), "", 'Data Entry'!$$636)</f>
      </c>
      <c r="BM636">
        <f>IF(ISBLANK('Data Entry'!$$636), "", 'Data Entry'!$$636)</f>
      </c>
      <c r="BN636">
        <f>IF(ISBLANK('Data Entry'!$$636), "", 'Data Entry'!$$636)</f>
      </c>
      <c r="BO636">
        <f>IF(ISBLANK('Data Entry'!$$636), "", 'Data Entry'!$$636)</f>
      </c>
      <c r="BP636">
        <f>IF(ISBLANK('Data Entry'!$$636), "", 'Data Entry'!$$636)</f>
      </c>
      <c r="BQ636">
        <f>IF(ISBLANK('Data Entry'!$$636), "", 'Data Entry'!$$636)</f>
      </c>
      <c r="BR636">
        <f>IF(ISBLANK('Data Entry'!$$636), "", 'Data Entry'!$$636)</f>
      </c>
      <c r="BS636">
        <f>IF(ISBLANK('Data Entry'!$$636), "", 'Data Entry'!$$636)</f>
      </c>
      <c r="BT636">
        <f>IF(ISBLANK('Data Entry'!$$636), "", 'Data Entry'!$$636)</f>
      </c>
      <c r="BU636">
        <f>IF(ISBLANK('Data Entry'!$$636), "", 'Data Entry'!$$636)</f>
      </c>
      <c r="BV636">
        <f>IF(ISBLANK('Data Entry'!$$636), "", 'Data Entry'!$$636)</f>
      </c>
      <c r="BW636">
        <f>IF(ISBLANK('Data Entry'!$$636), "", 'Data Entry'!$$636)</f>
      </c>
      <c r="BX636">
        <f>IF(ISBLANK('Data Entry'!$$636), "", 'Data Entry'!$$636)</f>
      </c>
      <c r="BY636">
        <f>IF(ISBLANK('Data Entry'!$$636), "", 'Data Entry'!$$636)</f>
      </c>
      <c r="BZ636">
        <f>IF(ISBLANK('Data Entry'!$$636), "", 'Data Entry'!$$636)</f>
      </c>
      <c r="CA636">
        <f>IF(ISBLANK('Data Entry'!$$636), "", 'Data Entry'!$$636)</f>
      </c>
      <c r="CB636">
        <f>IF(ISBLANK('Data Entry'!$$636), "", 'Data Entry'!$$636)</f>
      </c>
      <c r="CC636">
        <f>IF(ISBLANK('Data Entry'!$$636), "", 'Data Entry'!$$636)</f>
      </c>
      <c r="CD636">
        <f>IF(ISBLANK('Data Entry'!$$636), "", 'Data Entry'!$$636)</f>
      </c>
      <c r="CE636">
        <f>IF(ISBLANK('Data Entry'!$$636), "", 'Data Entry'!$$636)</f>
      </c>
      <c r="CF636">
        <f>IF(ISBLANK('Data Entry'!$$636), "", 'Data Entry'!$$636)</f>
      </c>
      <c r="CG636">
        <f>IF(ISBLANK('Data Entry'!$$636), "", 'Data Entry'!$$636)</f>
      </c>
      <c r="CH636">
        <f>IF(ISBLANK('Data Entry'!$$636), "", 'Data Entry'!$$636)</f>
      </c>
      <c r="CI636">
        <f>IF(ISBLANK('Data Entry'!$$636), "", 'Data Entry'!$$636)</f>
      </c>
      <c r="CJ636">
        <f>IF(ISBLANK('Data Entry'!$$636), "", 'Data Entry'!$$636)</f>
      </c>
      <c r="CK636">
        <f>IF(ISBLANK('Data Entry'!$$636), "", 'Data Entry'!$$636)</f>
      </c>
      <c r="CL636">
        <f>IF(ISBLANK('Data Entry'!$$636), "", 'Data Entry'!$$636)</f>
      </c>
      <c r="CM636">
        <f>IF(ISBLANK('Data Entry'!$$636), "", 'Data Entry'!$$636)</f>
      </c>
      <c r="CN636">
        <f>IF(ISBLANK('Data Entry'!$$636), "", 'Data Entry'!$$636)</f>
      </c>
      <c r="CO636">
        <f>IF(ISBLANK('Data Entry'!$$636), "", 'Data Entry'!$$636)</f>
      </c>
      <c r="CP636">
        <f>IF(ISBLANK('Data Entry'!$$636), "", 'Data Entry'!$$636)</f>
      </c>
      <c r="CQ636">
        <f>IF(ISBLANK('Data Entry'!$$636), "", 'Data Entry'!$$636)</f>
      </c>
      <c r="CR636">
        <f>IF(ISBLANK('Data Entry'!$ $636), "", 'Data Entry'!$ $636)</f>
      </c>
      <c r="CS636">
        <f>IF(ISBLANK('Data Entry'!$¡$636), "", 'Data Entry'!$¡$636)</f>
      </c>
      <c r="CT636">
        <f>IF(ISBLANK('Data Entry'!$¢$636), "", 'Data Entry'!$¢$636)</f>
      </c>
      <c r="CU636">
        <f>IF(ISBLANK('Data Entry'!$£$636), "", 'Data Entry'!$£$636)</f>
      </c>
      <c r="CV636">
        <f>IF(ISBLANK('Data Entry'!$¤$636), "", 'Data Entry'!$¤$636)</f>
      </c>
      <c r="CW636">
        <f>IF(ISBLANK('Data Entry'!$¥$636), "", 'Data Entry'!$¥$636)</f>
      </c>
      <c r="CX636">
        <f>IF(ISBLANK('Data Entry'!$¦$636), "", 'Data Entry'!$¦$636)</f>
      </c>
      <c r="CY636">
        <f>IF(ISBLANK('Data Entry'!$§$636), "", 'Data Entry'!$§$636)</f>
      </c>
      <c r="CZ636">
        <f>IF(ISBLANK('Data Entry'!$¨$636), "", 'Data Entry'!$¨$636)</f>
      </c>
      <c r="DA636">
        <f>IF(ISBLANK('Data Entry'!$©$636), "", 'Data Entry'!$©$636)</f>
      </c>
      <c r="DB636">
        <f>IF(ISBLANK('Data Entry'!$ª$636), "", 'Data Entry'!$ª$636)</f>
      </c>
      <c r="DC636">
        <f>IF(ISBLANK('Data Entry'!$«$636), "", 'Data Entry'!$«$636)</f>
      </c>
      <c r="DD636">
        <f>IF(ISBLANK('Data Entry'!$¬$636), "", 'Data Entry'!$¬$636)</f>
      </c>
      <c r="DE636">
        <f>IF(ISBLANK('Data Entry'!$­$636), "", 'Data Entry'!$­$636)</f>
      </c>
      <c r="DF636">
        <f>IF(ISBLANK('Data Entry'!$®$636), "", 'Data Entry'!$®$636)</f>
      </c>
      <c r="DG636">
        <f>IF(ISBLANK('Data Entry'!$¯$636), "", 'Data Entry'!$¯$636)</f>
      </c>
      <c r="DH636">
        <f>IF(ISBLANK('Data Entry'!$°$636), "", 'Data Entry'!$°$636)</f>
      </c>
      <c r="DI636">
        <f>IF(ISBLANK('Data Entry'!$±$636), "", 'Data Entry'!$±$636)</f>
      </c>
      <c r="DJ636">
        <f>IF(ISBLANK('Data Entry'!$²$636), "", 'Data Entry'!$²$636)</f>
      </c>
      <c r="DK636">
        <f>IF(ISBLANK('Data Entry'!$³$636), "", 'Data Entry'!$³$636)</f>
      </c>
      <c r="DL636">
        <f>IF(ISBLANK('Data Entry'!$´$636), "", 'Data Entry'!$´$636)</f>
      </c>
      <c r="DM636">
        <f>IF(ISBLANK('Data Entry'!$µ$636), "", 'Data Entry'!$µ$636)</f>
      </c>
      <c r="DN636">
        <f>IF(ISBLANK('Data Entry'!$¶$636), "", 'Data Entry'!$¶$636)</f>
      </c>
      <c r="DO636">
        <f>IF(ISBLANK('Data Entry'!$·$636), "", 'Data Entry'!$·$636)</f>
      </c>
      <c r="DP636">
        <f>IF(ISBLANK('Data Entry'!$¸$636), "", 'Data Entry'!$¸$636)</f>
      </c>
      <c r="DQ636">
        <f>IF(ISBLANK('Data Entry'!$¹$636), "", 'Data Entry'!$¹$636)</f>
      </c>
      <c r="DR636">
        <f>IF(ISBLANK('Data Entry'!$º$636), "", 'Data Entry'!$º$636)</f>
      </c>
      <c r="DS636">
        <f>IF(ISBLANK('Data Entry'!$»$636), "", 'Data Entry'!$»$636)</f>
      </c>
      <c r="DT636">
        <f>IF(ISBLANK('Data Entry'!$¼$636), "", 'Data Entry'!$¼$636)</f>
      </c>
      <c r="DU636">
        <f>IF(ISBLANK('Data Entry'!$½$636), "", 'Data Entry'!$½$636)</f>
      </c>
      <c r="DV636">
        <f>IF(ISBLANK('Data Entry'!$¾$636), "", 'Data Entry'!$¾$636)</f>
      </c>
      <c r="DW636">
        <f>IF(ISBLANK('Data Entry'!$¿$636), "", 'Data Entry'!$¿$636)</f>
      </c>
      <c r="DX636">
        <f>IF(ISBLANK('Data Entry'!$À$636), "", 'Data Entry'!$À$636)</f>
      </c>
      <c r="DY636">
        <f>IF(ISBLANK('Data Entry'!$Á$636), "", 'Data Entry'!$Á$636)</f>
      </c>
      <c r="DZ636">
        <f>IF(ISBLANK('Data Entry'!$Â$636), "", 'Data Entry'!$Â$636)</f>
      </c>
      <c r="EA636">
        <f>IF(ISBLANK('Data Entry'!$Ã$636), "", 'Data Entry'!$Ã$636)</f>
      </c>
      <c r="EB636">
        <f>IF(ISBLANK('Data Entry'!$Ä$636), "", 'Data Entry'!$Ä$636)</f>
      </c>
      <c r="EC636">
        <f>IF(ISBLANK('Data Entry'!$Å$636), "", 'Data Entry'!$Å$636)</f>
      </c>
      <c r="ED636">
        <f>IF(ISBLANK('Data Entry'!$Æ$636), "", 'Data Entry'!$Æ$636)</f>
      </c>
      <c r="EE636">
        <f>IF(ISBLANK('Data Entry'!$Ç$636), "", 'Data Entry'!$Ç$636)</f>
      </c>
      <c r="EF636">
        <f>IF(ISBLANK('Data Entry'!$È$636), "", 'Data Entry'!$È$636)</f>
      </c>
      <c r="EG636">
        <f>IF(ISBLANK('Data Entry'!$É$636), "", 'Data Entry'!$É$636)</f>
      </c>
      <c r="EH636">
        <f>IF(ISBLANK('Data Entry'!$Ê$636), "", 'Data Entry'!$Ê$636)</f>
      </c>
      <c r="EI636">
        <f>IF(ISBLANK('Data Entry'!$Ë$636), "", 'Data Entry'!$Ë$636)</f>
      </c>
      <c r="EJ636">
        <f>IF(ISBLANK('Data Entry'!$Ì$636), "", 'Data Entry'!$Ì$636)</f>
      </c>
      <c r="EK636">
        <f>IF(ISBLANK('Data Entry'!$Í$636), "", 'Data Entry'!$Í$636)</f>
      </c>
      <c r="EL636">
        <f>IF(ISBLANK('Data Entry'!$Î$636), "", 'Data Entry'!$Î$636)</f>
      </c>
      <c r="EM636">
        <f>IF(ISBLANK('Data Entry'!$Ï$636), "", 'Data Entry'!$Ï$636)</f>
      </c>
      <c r="EN636">
        <f>IF(ISBLANK('Data Entry'!$Ð$636), "", 'Data Entry'!$Ð$636)</f>
      </c>
      <c r="EO636">
        <f>IF(ISBLANK('Data Entry'!$Ñ$636), "", 'Data Entry'!$Ñ$636)</f>
      </c>
      <c r="EP636">
        <f>IF(ISBLANK('Data Entry'!$Ò$636), "", 'Data Entry'!$Ò$636)</f>
      </c>
      <c r="EQ636">
        <f>IF(ISBLANK('Data Entry'!$Ó$636), "", 'Data Entry'!$Ó$636)</f>
      </c>
      <c r="ER636">
        <f>IF(ISBLANK('Data Entry'!$Ô$636), "", 'Data Entry'!$Ô$636)</f>
      </c>
      <c r="ES636">
        <f>IF(ISBLANK('Data Entry'!$Õ$636), "", 'Data Entry'!$Õ$636)</f>
      </c>
      <c r="ET636">
        <f>IF(ISBLANK('Data Entry'!$Ö$636), "", 'Data Entry'!$Ö$636)</f>
      </c>
      <c r="EU636">
        <f>IF(ISBLANK('Data Entry'!$×$636), "", 'Data Entry'!$×$636)</f>
      </c>
      <c r="EV636">
        <f>IF(ISBLANK('Data Entry'!$Ø$636), "", 'Data Entry'!$Ø$636)</f>
      </c>
      <c r="EW636">
        <f>IF(ISBLANK('Data Entry'!$Ù$636), "", 'Data Entry'!$Ù$636)</f>
      </c>
      <c r="EX636">
        <f>IF(ISBLANK('Data Entry'!$Ú$636), "", 'Data Entry'!$Ú$636)</f>
      </c>
      <c r="EY636">
        <f>IF(ISBLANK('Data Entry'!$Û$636), "", 'Data Entry'!$Û$636)</f>
      </c>
      <c r="EZ636">
        <f>IF(ISBLANK('Data Entry'!$Ü$636), "", 'Data Entry'!$Ü$636)</f>
      </c>
      <c r="FA636">
        <f>IF(ISBLANK('Data Entry'!$Ý$636), "", 'Data Entry'!$Ý$636)</f>
      </c>
      <c r="FB636">
        <f>IF(ISBLANK('Data Entry'!$Þ$636), "", 'Data Entry'!$Þ$636)</f>
      </c>
      <c r="FC636">
        <f>IF(ISBLANK('Data Entry'!$ß$636), "", 'Data Entry'!$ß$636)</f>
      </c>
      <c r="FD636">
        <f>IF(ISBLANK('Data Entry'!$à$636), "", 'Data Entry'!$à$636)</f>
      </c>
      <c r="FE636">
        <f>IF(ISBLANK('Data Entry'!$á$636), "", 'Data Entry'!$á$636)</f>
      </c>
      <c r="FF636">
        <f>IF(ISBLANK('Data Entry'!$â$636), "", 'Data Entry'!$â$636)</f>
      </c>
      <c r="FG636">
        <f>IF(ISBLANK('Data Entry'!$ã$636), "", 'Data Entry'!$ã$636)</f>
      </c>
      <c r="FH636">
        <f>IF(ISBLANK('Data Entry'!$ä$636), "", 'Data Entry'!$ä$636)</f>
      </c>
      <c r="FI636">
        <f>IF(ISBLANK('Data Entry'!$å$636), "", 'Data Entry'!$å$636)</f>
      </c>
      <c r="FJ636">
        <f>IF(ISBLANK('Data Entry'!$æ$636), "", 'Data Entry'!$æ$636)</f>
      </c>
      <c r="FK636">
        <f>IF(ISBLANK('Data Entry'!$ç$636), "", 'Data Entry'!$ç$636)</f>
      </c>
      <c r="FL636">
        <f>IF(ISBLANK('Data Entry'!$è$636), "", 'Data Entry'!$è$636)</f>
      </c>
      <c r="FM636">
        <f>IF(ISBLANK('Data Entry'!$é$636), "", 'Data Entry'!$é$636)</f>
      </c>
      <c r="FN636">
        <f>IF(ISBLANK('Data Entry'!$ê$636), "", 'Data Entry'!$ê$636)</f>
      </c>
      <c r="FO636">
        <f>IF(ISBLANK('Data Entry'!$ë$636), "", 'Data Entry'!$ë$636)</f>
      </c>
      <c r="FP636">
        <f>IF(ISBLANK('Data Entry'!$ì$636), "", 'Data Entry'!$ì$636)</f>
      </c>
      <c r="FQ636">
        <f>IF(ISBLANK('Data Entry'!$í$636), "", 'Data Entry'!$í$636)</f>
      </c>
      <c r="FR636">
        <f>IF(ISBLANK('Data Entry'!$î$636), "", 'Data Entry'!$î$636)</f>
      </c>
      <c r="FS636">
        <f>IF(ISBLANK('Data Entry'!$ï$636), "", 'Data Entry'!$ï$636)</f>
      </c>
      <c r="FT636">
        <f>IF(ISBLANK('Data Entry'!$ð$636), "", 'Data Entry'!$ð$636)</f>
      </c>
      <c r="FU636">
        <f>IF(ISBLANK('Data Entry'!$ñ$636), "", 'Data Entry'!$ñ$636)</f>
      </c>
      <c r="FV636">
        <f>IF(ISBLANK('Data Entry'!$ò$636), "", 'Data Entry'!$ò$636)</f>
      </c>
      <c r="FW636">
        <f>IF(ISBLANK('Data Entry'!$ó$636), "", 'Data Entry'!$ó$636)</f>
      </c>
      <c r="FX636">
        <f>IF(ISBLANK('Data Entry'!$ô$636), "", 'Data Entry'!$ô$636)</f>
      </c>
      <c r="FY636">
        <f>IF(ISBLANK('Data Entry'!$õ$636), "", 'Data Entry'!$õ$636)</f>
      </c>
      <c r="FZ636">
        <f>IF(ISBLANK('Data Entry'!$ö$636), "", 'Data Entry'!$ö$636)</f>
      </c>
      <c r="GA636">
        <f>IF(ISBLANK('Data Entry'!$÷$636), "", 'Data Entry'!$÷$636)</f>
      </c>
      <c r="GB636">
        <f>IF(ISBLANK('Data Entry'!$ø$636), "", 'Data Entry'!$ø$636)</f>
      </c>
      <c r="GC636">
        <f>IF(ISBLANK('Data Entry'!$ù$636), "", 'Data Entry'!$ù$636)</f>
      </c>
      <c r="GD636">
        <f>IF(ISBLANK('Data Entry'!$ú$636), "", 'Data Entry'!$ú$636)</f>
      </c>
      <c r="GE636">
        <f>IF(ISBLANK('Data Entry'!$û$636), "", 'Data Entry'!$û$636)</f>
      </c>
      <c r="GF636">
        <f>IF(ISBLANK('Data Entry'!$ü$636), "", 'Data Entry'!$ü$636)</f>
      </c>
      <c r="GG636">
        <f>IF(ISBLANK('Data Entry'!$ý$636), "", 'Data Entry'!$ý$636)</f>
      </c>
      <c r="GH636">
        <f>IF(ISBLANK('Data Entry'!$þ$636), "", 'Data Entry'!$þ$636)</f>
      </c>
      <c r="GI636">
        <f>IF(ISBLANK('Data Entry'!$ÿ$636), "", 'Data Entry'!$ÿ$636)</f>
      </c>
      <c r="GJ636">
        <f>IF(ISBLANK('Data Entry'!$Ā$636), "", 'Data Entry'!$Ā$636)</f>
      </c>
      <c r="GK636">
        <f>IF(ISBLANK('Data Entry'!$ā$636), "", 'Data Entry'!$ā$636)</f>
      </c>
      <c r="GL636">
        <f>IF(ISBLANK('Data Entry'!$Ă$636), "", 'Data Entry'!$Ă$636)</f>
      </c>
      <c r="GM636">
        <f>IF(ISBLANK('Data Entry'!$ă$636), "", 'Data Entry'!$ă$636)</f>
      </c>
      <c r="GN636">
        <f>IF(ISBLANK('Data Entry'!$Ą$636), "", 'Data Entry'!$Ą$636)</f>
      </c>
      <c r="GO636">
        <f>IF(ISBLANK('Data Entry'!$ą$636), "", 'Data Entry'!$ą$636)</f>
      </c>
      <c r="GP636">
        <f>IF(ISBLANK('Data Entry'!$Ć$636), "", 'Data Entry'!$Ć$636)</f>
      </c>
      <c r="GQ636">
        <f>IF(ISBLANK('Data Entry'!$ć$636), "", 'Data Entry'!$ć$636)</f>
      </c>
      <c r="GR636">
        <f>IF(ISBLANK('Data Entry'!$Ĉ$636), "", 'Data Entry'!$Ĉ$636)</f>
      </c>
      <c r="GS636">
        <f>IF(ISBLANK('Data Entry'!$ĉ$636), "", 'Data Entry'!$ĉ$636)</f>
      </c>
      <c r="GT636">
        <f>IF(ISBLANK('Data Entry'!$Ċ$636), "", 'Data Entry'!$Ċ$636)</f>
      </c>
      <c r="GU636">
        <f>IF(ISBLANK('Data Entry'!$ċ$636), "", 'Data Entry'!$ċ$636)</f>
      </c>
      <c r="GV636">
        <f>IF(ISBLANK('Data Entry'!$Č$636), "", 'Data Entry'!$Č$636)</f>
      </c>
      <c r="GW636">
        <f>IF(ISBLANK('Data Entry'!$č$636), "", 'Data Entry'!$č$636)</f>
      </c>
      <c r="GX636">
        <f>IF(ISBLANK('Data Entry'!$Ď$636), "", 'Data Entry'!$Ď$636)</f>
      </c>
      <c r="GY636">
        <f>IF(ISBLANK('Data Entry'!$ď$636), "", 'Data Entry'!$ď$636)</f>
      </c>
      <c r="GZ636">
        <f>IF(ISBLANK('Data Entry'!$Đ$636), "", 'Data Entry'!$Đ$636)</f>
      </c>
      <c r="HA636">
        <f>IF(ISBLANK('Data Entry'!$đ$636), "", 'Data Entry'!$đ$636)</f>
      </c>
      <c r="HB636">
        <f>IF(ISBLANK('Data Entry'!$Ē$636), "", 'Data Entry'!$Ē$636)</f>
      </c>
      <c r="HC636">
        <f>IF(ISBLANK('Data Entry'!$ē$636), "", 'Data Entry'!$ē$636)</f>
      </c>
      <c r="HD636">
        <f>IF(ISBLANK('Data Entry'!$Ĕ$636), "", 'Data Entry'!$Ĕ$636)</f>
      </c>
      <c r="HE636">
        <f>IF(ISBLANK('Data Entry'!$ĕ$636), "", 'Data Entry'!$ĕ$636)</f>
      </c>
      <c r="HF636">
        <f>IF(ISBLANK('Data Entry'!$Ė$636), "", 'Data Entry'!$Ė$636)</f>
      </c>
      <c r="HG636">
        <f>IF(ISBLANK('Data Entry'!$ė$636), "", 'Data Entry'!$ė$636)</f>
      </c>
      <c r="HH636">
        <f>IF(ISBLANK('Data Entry'!$Ę$636), "", 'Data Entry'!$Ę$636)</f>
      </c>
      <c r="HI636">
        <f>IF(ISBLANK('Data Entry'!$ę$636), "", 'Data Entry'!$ę$636)</f>
      </c>
      <c r="HJ636">
        <f>IF(ISBLANK('Data Entry'!$Ě$636), "", 'Data Entry'!$Ě$636)</f>
      </c>
      <c r="HK636">
        <f>IF(ISBLANK('Data Entry'!$ě$636), "", 'Data Entry'!$ě$636)</f>
      </c>
      <c r="HL636">
        <f>IF(ISBLANK('Data Entry'!$Ĝ$636), "", 'Data Entry'!$Ĝ$636)</f>
      </c>
      <c r="HM636">
        <f>IF(ISBLANK('Data Entry'!$ĝ$636), "", 'Data Entry'!$ĝ$636)</f>
      </c>
      <c r="HN636">
        <f>IF(ISBLANK('Data Entry'!$Ğ$636), "", 'Data Entry'!$Ğ$636)</f>
      </c>
      <c r="HO636">
        <f>IF(ISBLANK('Data Entry'!$ğ$636), "", 'Data Entry'!$ğ$636)</f>
      </c>
      <c r="HP636">
        <f>IF(ISBLANK('Data Entry'!$Ġ$636), "", 'Data Entry'!$Ġ$636)</f>
      </c>
      <c r="HQ636">
        <f>IF(ISBLANK('Data Entry'!$ġ$636), "", 'Data Entry'!$ġ$636)</f>
      </c>
      <c r="HR636">
        <f>IF(ISBLANK('Data Entry'!$Ģ$636), "", 'Data Entry'!$Ģ$636)</f>
      </c>
      <c r="HS636">
        <f>IF(ISBLANK('Data Entry'!$ģ$636), "", 'Data Entry'!$ģ$636)</f>
      </c>
      <c r="HT636">
        <f>IF(ISBLANK('Data Entry'!$Ĥ$636), "", 'Data Entry'!$Ĥ$636)</f>
      </c>
      <c r="HU636">
        <f>IF(ISBLANK('Data Entry'!$ĥ$636), "", 'Data Entry'!$ĥ$636)</f>
      </c>
      <c r="HV636">
        <f>IF(ISBLANK('Data Entry'!$Ħ$636), "", 'Data Entry'!$Ħ$636)</f>
      </c>
      <c r="HW636">
        <f>IF(ISBLANK('Data Entry'!$ħ$636), "", 'Data Entry'!$ħ$636)</f>
      </c>
      <c r="HX636">
        <f>IF(ISBLANK('Data Entry'!$Ĩ$636), "", 'Data Entry'!$Ĩ$636)</f>
      </c>
      <c r="HY636">
        <f>IF(ISBLANK('Data Entry'!$ĩ$636), "", 'Data Entry'!$ĩ$636)</f>
      </c>
      <c r="HZ636">
        <f>IF(ISBLANK('Data Entry'!$Ī$636), "", 'Data Entry'!$Ī$636)</f>
      </c>
      <c r="IA636">
        <f>IF(ISBLANK('Data Entry'!$ī$636), "", 'Data Entry'!$ī$636)</f>
      </c>
      <c r="IB636">
        <f>IF(ISBLANK('Data Entry'!$Ĭ$636), "", 'Data Entry'!$Ĭ$636)</f>
      </c>
      <c r="IC636">
        <f>IF(ISBLANK('Data Entry'!$ĭ$636), "", 'Data Entry'!$ĭ$636)</f>
      </c>
      <c r="ID636">
        <f>IF(ISBLANK('Data Entry'!$Į$636), "", 'Data Entry'!$Į$636)</f>
      </c>
      <c r="IE636">
        <f>IF(ISBLANK('Data Entry'!$į$636), "", 'Data Entry'!$į$636)</f>
      </c>
      <c r="IF636">
        <f>IF(ISBLANK('Data Entry'!$İ$636), "", 'Data Entry'!$İ$636)</f>
      </c>
      <c r="IG636">
        <f>IF(ISBLANK('Data Entry'!$ı$636), "", 'Data Entry'!$ı$636)</f>
      </c>
      <c r="IH636">
        <f>IF(ISBLANK('Data Entry'!$Ĳ$636), "", 'Data Entry'!$Ĳ$636)</f>
      </c>
      <c r="II636">
        <f>IF(ISBLANK('Data Entry'!$ĳ$636), "", 'Data Entry'!$ĳ$636)</f>
      </c>
      <c r="IJ636">
        <f>IF(ISBLANK('Data Entry'!$Ĵ$636), "", 'Data Entry'!$Ĵ$636)</f>
      </c>
      <c r="IK636">
        <f>IF(ISBLANK('Data Entry'!$ĵ$636), "", 'Data Entry'!$ĵ$636)</f>
      </c>
      <c r="IL636">
        <f>IF(ISBLANK('Data Entry'!$Ķ$636), "", 'Data Entry'!$Ķ$636)</f>
      </c>
      <c r="IM636">
        <f>IF(ISBLANK('Data Entry'!$ķ$636), "", 'Data Entry'!$ķ$636)</f>
      </c>
      <c r="IN636">
        <f>IF(ISBLANK('Data Entry'!$ĸ$636), "", 'Data Entry'!$ĸ$636)</f>
      </c>
      <c r="IO636">
        <f>IF(ISBLANK('Data Entry'!$Ĺ$636), "", 'Data Entry'!$Ĺ$636)</f>
      </c>
      <c r="IP636">
        <f>IF(ISBLANK('Data Entry'!$ĺ$636), "", 'Data Entry'!$ĺ$636)</f>
      </c>
      <c r="IQ636">
        <f>IF(ISBLANK('Data Entry'!$Ļ$636), "", 'Data Entry'!$Ļ$636)</f>
      </c>
      <c r="IR636">
        <f>IF(ISBLANK('Data Entry'!$ļ$636), "", 'Data Entry'!$ļ$636)</f>
      </c>
      <c r="IS636">
        <f>IF(ISBLANK('Data Entry'!$Ľ$636), "", 'Data Entry'!$Ľ$636)</f>
      </c>
      <c r="IT636">
        <f>IF(ISBLANK('Data Entry'!$ľ$636), "", 'Data Entry'!$ľ$636)</f>
      </c>
    </row>
    <row r="637" spans="1:254" x14ac:dyDescent="0.25">
      <c r="A637">
        <f>IF(ISBLANK('Data Entry'!$A$637), "", 'Data Entry'!$A$637)</f>
      </c>
      <c r="B637">
        <f>IF(ISBLANK('Data Entry'!$B$637), "", 'Data Entry'!$B$637)</f>
      </c>
      <c r="C637">
        <f>IF(ISBLANK('Data Entry'!$C$637), "", 'Data Entry'!$C$637)</f>
      </c>
      <c r="D637">
        <f>IF(ISBLANK('Data Entry'!$D$637), "", 'Data Entry'!$D$637)</f>
      </c>
      <c r="E637">
        <f>IF(ISBLANK('Data Entry'!$E$637), "", 'Data Entry'!$E$637)</f>
      </c>
      <c r="F637">
        <f>IF(ISBLANK('Data Entry'!$F$637), "", 'Data Entry'!$F$637)</f>
      </c>
      <c r="G637">
        <f>IF(ISBLANK('Data Entry'!$G$637), "", 'Data Entry'!$G$637)</f>
      </c>
      <c r="H637">
        <f>IF(ISBLANK('Data Entry'!$H$637), "", 'Data Entry'!$H$637)</f>
      </c>
      <c r="I637">
        <f>IF(ISBLANK('Data Entry'!$I$637), "", 'Data Entry'!$I$637)</f>
      </c>
      <c r="J637">
        <f>IF(ISBLANK('Data Entry'!$J$637), "", 'Data Entry'!$J$637)</f>
      </c>
      <c r="K637">
        <f>IF(ISBLANK('Data Entry'!$K$637), "", 'Data Entry'!$K$637)</f>
      </c>
      <c r="L637">
        <f>IF(ISBLANK('Data Entry'!$L$637), "", 'Data Entry'!$L$637)</f>
      </c>
      <c r="M637">
        <f>IF(ISBLANK('Data Entry'!$M$637), "", 'Data Entry'!$M$637)</f>
      </c>
      <c r="N637">
        <f>IF(ISBLANK('Data Entry'!$N$637), "", 'Data Entry'!$N$637)</f>
      </c>
      <c r="O637">
        <f>IF(ISBLANK('Data Entry'!$O$637), "", 'Data Entry'!$O$637)</f>
      </c>
      <c r="P637">
        <f>IF(ISBLANK('Data Entry'!$P$637), "", 'Data Entry'!$P$637)</f>
      </c>
      <c r="Q637">
        <f>IF(ISBLANK('Data Entry'!$Q$637), "", 'Data Entry'!$Q$637)</f>
      </c>
      <c r="R637">
        <f>IF(ISBLANK('Data Entry'!$R$637), "", 'Data Entry'!$R$637)</f>
      </c>
      <c r="S637">
        <f>IF(ISBLANK('Data Entry'!$S$637), "", 'Data Entry'!$S$637)</f>
      </c>
      <c r="T637">
        <f>IF(ISBLANK('Data Entry'!$T$637), "", 'Data Entry'!$T$637)</f>
      </c>
      <c r="U637">
        <f>IF(ISBLANK('Data Entry'!$U$637), "", 'Data Entry'!$U$637)</f>
      </c>
      <c r="V637">
        <f>IF(ISBLANK('Data Entry'!$V$637), "", 'Data Entry'!$V$637)</f>
      </c>
      <c r="W637">
        <f>IF(ISBLANK('Data Entry'!$W$637), "", 'Data Entry'!$W$637)</f>
      </c>
      <c r="X637">
        <f>IF(ISBLANK('Data Entry'!$X$637), "", 'Data Entry'!$X$637)</f>
      </c>
      <c r="Y637">
        <f>IF(ISBLANK('Data Entry'!$Y$637), "", 'Data Entry'!$Y$637)</f>
      </c>
      <c r="Z637">
        <f>IF(ISBLANK('Data Entry'!$Z$637), "", 'Data Entry'!$Z$637)</f>
      </c>
      <c r="AA637">
        <f>IF(ISBLANK('Data Entry'!$[$637), "", 'Data Entry'!$[$637)</f>
      </c>
      <c r="AB637">
        <f>IF(ISBLANK('Data Entry'!$\$637), "", 'Data Entry'!$\$637)</f>
      </c>
      <c r="AC637">
        <f>IF(ISBLANK('Data Entry'!$]$637), "", 'Data Entry'!$]$637)</f>
      </c>
      <c r="AD637">
        <f>IF(ISBLANK('Data Entry'!$^$637), "", 'Data Entry'!$^$637)</f>
      </c>
      <c r="AE637">
        <f>IF(ISBLANK('Data Entry'!$_$637), "", 'Data Entry'!$_$637)</f>
      </c>
      <c r="AF637">
        <f>IF(ISBLANK('Data Entry'!$`$637), "", 'Data Entry'!$`$637)</f>
      </c>
      <c r="AG637">
        <f>IF(ISBLANK('Data Entry'!$a$637), "", 'Data Entry'!$a$637)</f>
      </c>
      <c r="AH637">
        <f>IF(ISBLANK('Data Entry'!$b$637), "", 'Data Entry'!$b$637)</f>
      </c>
      <c r="AI637">
        <f>IF(ISBLANK('Data Entry'!$c$637), "", 'Data Entry'!$c$637)</f>
      </c>
      <c r="AJ637">
        <f>IF(ISBLANK('Data Entry'!$d$637), "", 'Data Entry'!$d$637)</f>
      </c>
      <c r="AK637">
        <f>IF(ISBLANK('Data Entry'!$e$637), "", 'Data Entry'!$e$637)</f>
      </c>
      <c r="AL637">
        <f>IF(ISBLANK('Data Entry'!$f$637), "", 'Data Entry'!$f$637)</f>
      </c>
      <c r="AM637">
        <f>IF(ISBLANK('Data Entry'!$g$637), "", 'Data Entry'!$g$637)</f>
      </c>
      <c r="AN637">
        <f>IF(ISBLANK('Data Entry'!$h$637), "", 'Data Entry'!$h$637)</f>
      </c>
      <c r="AO637">
        <f>IF(ISBLANK('Data Entry'!$i$637), "", 'Data Entry'!$i$637)</f>
      </c>
      <c r="AP637">
        <f>IF(ISBLANK('Data Entry'!$j$637), "", 'Data Entry'!$j$637)</f>
      </c>
      <c r="AQ637">
        <f>IF(ISBLANK('Data Entry'!$k$637), "", 'Data Entry'!$k$637)</f>
      </c>
      <c r="AR637">
        <f>IF(ISBLANK('Data Entry'!$l$637), "", 'Data Entry'!$l$637)</f>
      </c>
      <c r="AS637">
        <f>IF(ISBLANK('Data Entry'!$m$637), "", 'Data Entry'!$m$637)</f>
      </c>
      <c r="AT637">
        <f>IF(ISBLANK('Data Entry'!$n$637), "", 'Data Entry'!$n$637)</f>
      </c>
      <c r="AU637">
        <f>IF(ISBLANK('Data Entry'!$o$637), "", 'Data Entry'!$o$637)</f>
      </c>
      <c r="AV637">
        <f>IF(ISBLANK('Data Entry'!$p$637), "", 'Data Entry'!$p$637)</f>
      </c>
      <c r="AW637">
        <f>IF(ISBLANK('Data Entry'!$q$637), "", 'Data Entry'!$q$637)</f>
      </c>
      <c r="AX637">
        <f>IF(ISBLANK('Data Entry'!$r$637), "", 'Data Entry'!$r$637)</f>
      </c>
      <c r="AY637">
        <f>IF(ISBLANK('Data Entry'!$s$637), "", 'Data Entry'!$s$637)</f>
      </c>
      <c r="AZ637">
        <f>IF(ISBLANK('Data Entry'!$t$637), "", 'Data Entry'!$t$637)</f>
      </c>
      <c r="BA637">
        <f>IF(ISBLANK('Data Entry'!$u$637), "", 'Data Entry'!$u$637)</f>
      </c>
      <c r="BB637">
        <f>IF(ISBLANK('Data Entry'!$v$637), "", 'Data Entry'!$v$637)</f>
      </c>
      <c r="BC637">
        <f>IF(ISBLANK('Data Entry'!$w$637), "", 'Data Entry'!$w$637)</f>
      </c>
      <c r="BD637">
        <f>IF(ISBLANK('Data Entry'!$x$637), "", 'Data Entry'!$x$637)</f>
      </c>
      <c r="BE637">
        <f>IF(ISBLANK('Data Entry'!$y$637), "", 'Data Entry'!$y$637)</f>
      </c>
      <c r="BF637">
        <f>IF(ISBLANK('Data Entry'!$z$637), "", 'Data Entry'!$z$637)</f>
      </c>
      <c r="BG637">
        <f>IF(ISBLANK('Data Entry'!${$637), "", 'Data Entry'!${$637)</f>
      </c>
      <c r="BH637">
        <f>IF(ISBLANK('Data Entry'!$|$637), "", 'Data Entry'!$|$637)</f>
      </c>
      <c r="BI637">
        <f>IF(ISBLANK('Data Entry'!$}$637), "", 'Data Entry'!$}$637)</f>
      </c>
      <c r="BJ637">
        <f>IF(ISBLANK('Data Entry'!$~$637), "", 'Data Entry'!$~$637)</f>
      </c>
      <c r="BK637">
        <f>IF(ISBLANK('Data Entry'!$$637), "", 'Data Entry'!$$637)</f>
      </c>
      <c r="BL637">
        <f>IF(ISBLANK('Data Entry'!$$637), "", 'Data Entry'!$$637)</f>
      </c>
      <c r="BM637">
        <f>IF(ISBLANK('Data Entry'!$$637), "", 'Data Entry'!$$637)</f>
      </c>
      <c r="BN637">
        <f>IF(ISBLANK('Data Entry'!$$637), "", 'Data Entry'!$$637)</f>
      </c>
      <c r="BO637">
        <f>IF(ISBLANK('Data Entry'!$$637), "", 'Data Entry'!$$637)</f>
      </c>
      <c r="BP637">
        <f>IF(ISBLANK('Data Entry'!$$637), "", 'Data Entry'!$$637)</f>
      </c>
      <c r="BQ637">
        <f>IF(ISBLANK('Data Entry'!$$637), "", 'Data Entry'!$$637)</f>
      </c>
      <c r="BR637">
        <f>IF(ISBLANK('Data Entry'!$$637), "", 'Data Entry'!$$637)</f>
      </c>
      <c r="BS637">
        <f>IF(ISBLANK('Data Entry'!$$637), "", 'Data Entry'!$$637)</f>
      </c>
      <c r="BT637">
        <f>IF(ISBLANK('Data Entry'!$$637), "", 'Data Entry'!$$637)</f>
      </c>
      <c r="BU637">
        <f>IF(ISBLANK('Data Entry'!$$637), "", 'Data Entry'!$$637)</f>
      </c>
      <c r="BV637">
        <f>IF(ISBLANK('Data Entry'!$$637), "", 'Data Entry'!$$637)</f>
      </c>
      <c r="BW637">
        <f>IF(ISBLANK('Data Entry'!$$637), "", 'Data Entry'!$$637)</f>
      </c>
      <c r="BX637">
        <f>IF(ISBLANK('Data Entry'!$$637), "", 'Data Entry'!$$637)</f>
      </c>
      <c r="BY637">
        <f>IF(ISBLANK('Data Entry'!$$637), "", 'Data Entry'!$$637)</f>
      </c>
      <c r="BZ637">
        <f>IF(ISBLANK('Data Entry'!$$637), "", 'Data Entry'!$$637)</f>
      </c>
      <c r="CA637">
        <f>IF(ISBLANK('Data Entry'!$$637), "", 'Data Entry'!$$637)</f>
      </c>
      <c r="CB637">
        <f>IF(ISBLANK('Data Entry'!$$637), "", 'Data Entry'!$$637)</f>
      </c>
      <c r="CC637">
        <f>IF(ISBLANK('Data Entry'!$$637), "", 'Data Entry'!$$637)</f>
      </c>
      <c r="CD637">
        <f>IF(ISBLANK('Data Entry'!$$637), "", 'Data Entry'!$$637)</f>
      </c>
      <c r="CE637">
        <f>IF(ISBLANK('Data Entry'!$$637), "", 'Data Entry'!$$637)</f>
      </c>
      <c r="CF637">
        <f>IF(ISBLANK('Data Entry'!$$637), "", 'Data Entry'!$$637)</f>
      </c>
      <c r="CG637">
        <f>IF(ISBLANK('Data Entry'!$$637), "", 'Data Entry'!$$637)</f>
      </c>
      <c r="CH637">
        <f>IF(ISBLANK('Data Entry'!$$637), "", 'Data Entry'!$$637)</f>
      </c>
      <c r="CI637">
        <f>IF(ISBLANK('Data Entry'!$$637), "", 'Data Entry'!$$637)</f>
      </c>
      <c r="CJ637">
        <f>IF(ISBLANK('Data Entry'!$$637), "", 'Data Entry'!$$637)</f>
      </c>
      <c r="CK637">
        <f>IF(ISBLANK('Data Entry'!$$637), "", 'Data Entry'!$$637)</f>
      </c>
      <c r="CL637">
        <f>IF(ISBLANK('Data Entry'!$$637), "", 'Data Entry'!$$637)</f>
      </c>
      <c r="CM637">
        <f>IF(ISBLANK('Data Entry'!$$637), "", 'Data Entry'!$$637)</f>
      </c>
      <c r="CN637">
        <f>IF(ISBLANK('Data Entry'!$$637), "", 'Data Entry'!$$637)</f>
      </c>
      <c r="CO637">
        <f>IF(ISBLANK('Data Entry'!$$637), "", 'Data Entry'!$$637)</f>
      </c>
      <c r="CP637">
        <f>IF(ISBLANK('Data Entry'!$$637), "", 'Data Entry'!$$637)</f>
      </c>
      <c r="CQ637">
        <f>IF(ISBLANK('Data Entry'!$$637), "", 'Data Entry'!$$637)</f>
      </c>
      <c r="CR637">
        <f>IF(ISBLANK('Data Entry'!$ $637), "", 'Data Entry'!$ $637)</f>
      </c>
      <c r="CS637">
        <f>IF(ISBLANK('Data Entry'!$¡$637), "", 'Data Entry'!$¡$637)</f>
      </c>
      <c r="CT637">
        <f>IF(ISBLANK('Data Entry'!$¢$637), "", 'Data Entry'!$¢$637)</f>
      </c>
      <c r="CU637">
        <f>IF(ISBLANK('Data Entry'!$£$637), "", 'Data Entry'!$£$637)</f>
      </c>
      <c r="CV637">
        <f>IF(ISBLANK('Data Entry'!$¤$637), "", 'Data Entry'!$¤$637)</f>
      </c>
      <c r="CW637">
        <f>IF(ISBLANK('Data Entry'!$¥$637), "", 'Data Entry'!$¥$637)</f>
      </c>
      <c r="CX637">
        <f>IF(ISBLANK('Data Entry'!$¦$637), "", 'Data Entry'!$¦$637)</f>
      </c>
      <c r="CY637">
        <f>IF(ISBLANK('Data Entry'!$§$637), "", 'Data Entry'!$§$637)</f>
      </c>
      <c r="CZ637">
        <f>IF(ISBLANK('Data Entry'!$¨$637), "", 'Data Entry'!$¨$637)</f>
      </c>
      <c r="DA637">
        <f>IF(ISBLANK('Data Entry'!$©$637), "", 'Data Entry'!$©$637)</f>
      </c>
      <c r="DB637">
        <f>IF(ISBLANK('Data Entry'!$ª$637), "", 'Data Entry'!$ª$637)</f>
      </c>
      <c r="DC637">
        <f>IF(ISBLANK('Data Entry'!$«$637), "", 'Data Entry'!$«$637)</f>
      </c>
      <c r="DD637">
        <f>IF(ISBLANK('Data Entry'!$¬$637), "", 'Data Entry'!$¬$637)</f>
      </c>
      <c r="DE637">
        <f>IF(ISBLANK('Data Entry'!$­$637), "", 'Data Entry'!$­$637)</f>
      </c>
      <c r="DF637">
        <f>IF(ISBLANK('Data Entry'!$®$637), "", 'Data Entry'!$®$637)</f>
      </c>
      <c r="DG637">
        <f>IF(ISBLANK('Data Entry'!$¯$637), "", 'Data Entry'!$¯$637)</f>
      </c>
      <c r="DH637">
        <f>IF(ISBLANK('Data Entry'!$°$637), "", 'Data Entry'!$°$637)</f>
      </c>
      <c r="DI637">
        <f>IF(ISBLANK('Data Entry'!$±$637), "", 'Data Entry'!$±$637)</f>
      </c>
      <c r="DJ637">
        <f>IF(ISBLANK('Data Entry'!$²$637), "", 'Data Entry'!$²$637)</f>
      </c>
      <c r="DK637">
        <f>IF(ISBLANK('Data Entry'!$³$637), "", 'Data Entry'!$³$637)</f>
      </c>
      <c r="DL637">
        <f>IF(ISBLANK('Data Entry'!$´$637), "", 'Data Entry'!$´$637)</f>
      </c>
      <c r="DM637">
        <f>IF(ISBLANK('Data Entry'!$µ$637), "", 'Data Entry'!$µ$637)</f>
      </c>
      <c r="DN637">
        <f>IF(ISBLANK('Data Entry'!$¶$637), "", 'Data Entry'!$¶$637)</f>
      </c>
      <c r="DO637">
        <f>IF(ISBLANK('Data Entry'!$·$637), "", 'Data Entry'!$·$637)</f>
      </c>
      <c r="DP637">
        <f>IF(ISBLANK('Data Entry'!$¸$637), "", 'Data Entry'!$¸$637)</f>
      </c>
      <c r="DQ637">
        <f>IF(ISBLANK('Data Entry'!$¹$637), "", 'Data Entry'!$¹$637)</f>
      </c>
      <c r="DR637">
        <f>IF(ISBLANK('Data Entry'!$º$637), "", 'Data Entry'!$º$637)</f>
      </c>
      <c r="DS637">
        <f>IF(ISBLANK('Data Entry'!$»$637), "", 'Data Entry'!$»$637)</f>
      </c>
      <c r="DT637">
        <f>IF(ISBLANK('Data Entry'!$¼$637), "", 'Data Entry'!$¼$637)</f>
      </c>
      <c r="DU637">
        <f>IF(ISBLANK('Data Entry'!$½$637), "", 'Data Entry'!$½$637)</f>
      </c>
      <c r="DV637">
        <f>IF(ISBLANK('Data Entry'!$¾$637), "", 'Data Entry'!$¾$637)</f>
      </c>
      <c r="DW637">
        <f>IF(ISBLANK('Data Entry'!$¿$637), "", 'Data Entry'!$¿$637)</f>
      </c>
      <c r="DX637">
        <f>IF(ISBLANK('Data Entry'!$À$637), "", 'Data Entry'!$À$637)</f>
      </c>
      <c r="DY637">
        <f>IF(ISBLANK('Data Entry'!$Á$637), "", 'Data Entry'!$Á$637)</f>
      </c>
      <c r="DZ637">
        <f>IF(ISBLANK('Data Entry'!$Â$637), "", 'Data Entry'!$Â$637)</f>
      </c>
      <c r="EA637">
        <f>IF(ISBLANK('Data Entry'!$Ã$637), "", 'Data Entry'!$Ã$637)</f>
      </c>
      <c r="EB637">
        <f>IF(ISBLANK('Data Entry'!$Ä$637), "", 'Data Entry'!$Ä$637)</f>
      </c>
      <c r="EC637">
        <f>IF(ISBLANK('Data Entry'!$Å$637), "", 'Data Entry'!$Å$637)</f>
      </c>
      <c r="ED637">
        <f>IF(ISBLANK('Data Entry'!$Æ$637), "", 'Data Entry'!$Æ$637)</f>
      </c>
      <c r="EE637">
        <f>IF(ISBLANK('Data Entry'!$Ç$637), "", 'Data Entry'!$Ç$637)</f>
      </c>
      <c r="EF637">
        <f>IF(ISBLANK('Data Entry'!$È$637), "", 'Data Entry'!$È$637)</f>
      </c>
      <c r="EG637">
        <f>IF(ISBLANK('Data Entry'!$É$637), "", 'Data Entry'!$É$637)</f>
      </c>
      <c r="EH637">
        <f>IF(ISBLANK('Data Entry'!$Ê$637), "", 'Data Entry'!$Ê$637)</f>
      </c>
      <c r="EI637">
        <f>IF(ISBLANK('Data Entry'!$Ë$637), "", 'Data Entry'!$Ë$637)</f>
      </c>
      <c r="EJ637">
        <f>IF(ISBLANK('Data Entry'!$Ì$637), "", 'Data Entry'!$Ì$637)</f>
      </c>
      <c r="EK637">
        <f>IF(ISBLANK('Data Entry'!$Í$637), "", 'Data Entry'!$Í$637)</f>
      </c>
      <c r="EL637">
        <f>IF(ISBLANK('Data Entry'!$Î$637), "", 'Data Entry'!$Î$637)</f>
      </c>
      <c r="EM637">
        <f>IF(ISBLANK('Data Entry'!$Ï$637), "", 'Data Entry'!$Ï$637)</f>
      </c>
      <c r="EN637">
        <f>IF(ISBLANK('Data Entry'!$Ð$637), "", 'Data Entry'!$Ð$637)</f>
      </c>
      <c r="EO637">
        <f>IF(ISBLANK('Data Entry'!$Ñ$637), "", 'Data Entry'!$Ñ$637)</f>
      </c>
      <c r="EP637">
        <f>IF(ISBLANK('Data Entry'!$Ò$637), "", 'Data Entry'!$Ò$637)</f>
      </c>
      <c r="EQ637">
        <f>IF(ISBLANK('Data Entry'!$Ó$637), "", 'Data Entry'!$Ó$637)</f>
      </c>
      <c r="ER637">
        <f>IF(ISBLANK('Data Entry'!$Ô$637), "", 'Data Entry'!$Ô$637)</f>
      </c>
      <c r="ES637">
        <f>IF(ISBLANK('Data Entry'!$Õ$637), "", 'Data Entry'!$Õ$637)</f>
      </c>
      <c r="ET637">
        <f>IF(ISBLANK('Data Entry'!$Ö$637), "", 'Data Entry'!$Ö$637)</f>
      </c>
      <c r="EU637">
        <f>IF(ISBLANK('Data Entry'!$×$637), "", 'Data Entry'!$×$637)</f>
      </c>
      <c r="EV637">
        <f>IF(ISBLANK('Data Entry'!$Ø$637), "", 'Data Entry'!$Ø$637)</f>
      </c>
      <c r="EW637">
        <f>IF(ISBLANK('Data Entry'!$Ù$637), "", 'Data Entry'!$Ù$637)</f>
      </c>
      <c r="EX637">
        <f>IF(ISBLANK('Data Entry'!$Ú$637), "", 'Data Entry'!$Ú$637)</f>
      </c>
      <c r="EY637">
        <f>IF(ISBLANK('Data Entry'!$Û$637), "", 'Data Entry'!$Û$637)</f>
      </c>
      <c r="EZ637">
        <f>IF(ISBLANK('Data Entry'!$Ü$637), "", 'Data Entry'!$Ü$637)</f>
      </c>
      <c r="FA637">
        <f>IF(ISBLANK('Data Entry'!$Ý$637), "", 'Data Entry'!$Ý$637)</f>
      </c>
      <c r="FB637">
        <f>IF(ISBLANK('Data Entry'!$Þ$637), "", 'Data Entry'!$Þ$637)</f>
      </c>
      <c r="FC637">
        <f>IF(ISBLANK('Data Entry'!$ß$637), "", 'Data Entry'!$ß$637)</f>
      </c>
      <c r="FD637">
        <f>IF(ISBLANK('Data Entry'!$à$637), "", 'Data Entry'!$à$637)</f>
      </c>
      <c r="FE637">
        <f>IF(ISBLANK('Data Entry'!$á$637), "", 'Data Entry'!$á$637)</f>
      </c>
      <c r="FF637">
        <f>IF(ISBLANK('Data Entry'!$â$637), "", 'Data Entry'!$â$637)</f>
      </c>
      <c r="FG637">
        <f>IF(ISBLANK('Data Entry'!$ã$637), "", 'Data Entry'!$ã$637)</f>
      </c>
      <c r="FH637">
        <f>IF(ISBLANK('Data Entry'!$ä$637), "", 'Data Entry'!$ä$637)</f>
      </c>
      <c r="FI637">
        <f>IF(ISBLANK('Data Entry'!$å$637), "", 'Data Entry'!$å$637)</f>
      </c>
      <c r="FJ637">
        <f>IF(ISBLANK('Data Entry'!$æ$637), "", 'Data Entry'!$æ$637)</f>
      </c>
      <c r="FK637">
        <f>IF(ISBLANK('Data Entry'!$ç$637), "", 'Data Entry'!$ç$637)</f>
      </c>
      <c r="FL637">
        <f>IF(ISBLANK('Data Entry'!$è$637), "", 'Data Entry'!$è$637)</f>
      </c>
      <c r="FM637">
        <f>IF(ISBLANK('Data Entry'!$é$637), "", 'Data Entry'!$é$637)</f>
      </c>
      <c r="FN637">
        <f>IF(ISBLANK('Data Entry'!$ê$637), "", 'Data Entry'!$ê$637)</f>
      </c>
      <c r="FO637">
        <f>IF(ISBLANK('Data Entry'!$ë$637), "", 'Data Entry'!$ë$637)</f>
      </c>
      <c r="FP637">
        <f>IF(ISBLANK('Data Entry'!$ì$637), "", 'Data Entry'!$ì$637)</f>
      </c>
      <c r="FQ637">
        <f>IF(ISBLANK('Data Entry'!$í$637), "", 'Data Entry'!$í$637)</f>
      </c>
      <c r="FR637">
        <f>IF(ISBLANK('Data Entry'!$î$637), "", 'Data Entry'!$î$637)</f>
      </c>
      <c r="FS637">
        <f>IF(ISBLANK('Data Entry'!$ï$637), "", 'Data Entry'!$ï$637)</f>
      </c>
      <c r="FT637">
        <f>IF(ISBLANK('Data Entry'!$ð$637), "", 'Data Entry'!$ð$637)</f>
      </c>
      <c r="FU637">
        <f>IF(ISBLANK('Data Entry'!$ñ$637), "", 'Data Entry'!$ñ$637)</f>
      </c>
      <c r="FV637">
        <f>IF(ISBLANK('Data Entry'!$ò$637), "", 'Data Entry'!$ò$637)</f>
      </c>
      <c r="FW637">
        <f>IF(ISBLANK('Data Entry'!$ó$637), "", 'Data Entry'!$ó$637)</f>
      </c>
      <c r="FX637">
        <f>IF(ISBLANK('Data Entry'!$ô$637), "", 'Data Entry'!$ô$637)</f>
      </c>
      <c r="FY637">
        <f>IF(ISBLANK('Data Entry'!$õ$637), "", 'Data Entry'!$õ$637)</f>
      </c>
      <c r="FZ637">
        <f>IF(ISBLANK('Data Entry'!$ö$637), "", 'Data Entry'!$ö$637)</f>
      </c>
      <c r="GA637">
        <f>IF(ISBLANK('Data Entry'!$÷$637), "", 'Data Entry'!$÷$637)</f>
      </c>
      <c r="GB637">
        <f>IF(ISBLANK('Data Entry'!$ø$637), "", 'Data Entry'!$ø$637)</f>
      </c>
      <c r="GC637">
        <f>IF(ISBLANK('Data Entry'!$ù$637), "", 'Data Entry'!$ù$637)</f>
      </c>
      <c r="GD637">
        <f>IF(ISBLANK('Data Entry'!$ú$637), "", 'Data Entry'!$ú$637)</f>
      </c>
      <c r="GE637">
        <f>IF(ISBLANK('Data Entry'!$û$637), "", 'Data Entry'!$û$637)</f>
      </c>
      <c r="GF637">
        <f>IF(ISBLANK('Data Entry'!$ü$637), "", 'Data Entry'!$ü$637)</f>
      </c>
      <c r="GG637">
        <f>IF(ISBLANK('Data Entry'!$ý$637), "", 'Data Entry'!$ý$637)</f>
      </c>
      <c r="GH637">
        <f>IF(ISBLANK('Data Entry'!$þ$637), "", 'Data Entry'!$þ$637)</f>
      </c>
      <c r="GI637">
        <f>IF(ISBLANK('Data Entry'!$ÿ$637), "", 'Data Entry'!$ÿ$637)</f>
      </c>
      <c r="GJ637">
        <f>IF(ISBLANK('Data Entry'!$Ā$637), "", 'Data Entry'!$Ā$637)</f>
      </c>
      <c r="GK637">
        <f>IF(ISBLANK('Data Entry'!$ā$637), "", 'Data Entry'!$ā$637)</f>
      </c>
      <c r="GL637">
        <f>IF(ISBLANK('Data Entry'!$Ă$637), "", 'Data Entry'!$Ă$637)</f>
      </c>
      <c r="GM637">
        <f>IF(ISBLANK('Data Entry'!$ă$637), "", 'Data Entry'!$ă$637)</f>
      </c>
      <c r="GN637">
        <f>IF(ISBLANK('Data Entry'!$Ą$637), "", 'Data Entry'!$Ą$637)</f>
      </c>
      <c r="GO637">
        <f>IF(ISBLANK('Data Entry'!$ą$637), "", 'Data Entry'!$ą$637)</f>
      </c>
      <c r="GP637">
        <f>IF(ISBLANK('Data Entry'!$Ć$637), "", 'Data Entry'!$Ć$637)</f>
      </c>
      <c r="GQ637">
        <f>IF(ISBLANK('Data Entry'!$ć$637), "", 'Data Entry'!$ć$637)</f>
      </c>
      <c r="GR637">
        <f>IF(ISBLANK('Data Entry'!$Ĉ$637), "", 'Data Entry'!$Ĉ$637)</f>
      </c>
      <c r="GS637">
        <f>IF(ISBLANK('Data Entry'!$ĉ$637), "", 'Data Entry'!$ĉ$637)</f>
      </c>
      <c r="GT637">
        <f>IF(ISBLANK('Data Entry'!$Ċ$637), "", 'Data Entry'!$Ċ$637)</f>
      </c>
      <c r="GU637">
        <f>IF(ISBLANK('Data Entry'!$ċ$637), "", 'Data Entry'!$ċ$637)</f>
      </c>
      <c r="GV637">
        <f>IF(ISBLANK('Data Entry'!$Č$637), "", 'Data Entry'!$Č$637)</f>
      </c>
      <c r="GW637">
        <f>IF(ISBLANK('Data Entry'!$č$637), "", 'Data Entry'!$č$637)</f>
      </c>
      <c r="GX637">
        <f>IF(ISBLANK('Data Entry'!$Ď$637), "", 'Data Entry'!$Ď$637)</f>
      </c>
      <c r="GY637">
        <f>IF(ISBLANK('Data Entry'!$ď$637), "", 'Data Entry'!$ď$637)</f>
      </c>
      <c r="GZ637">
        <f>IF(ISBLANK('Data Entry'!$Đ$637), "", 'Data Entry'!$Đ$637)</f>
      </c>
      <c r="HA637">
        <f>IF(ISBLANK('Data Entry'!$đ$637), "", 'Data Entry'!$đ$637)</f>
      </c>
      <c r="HB637">
        <f>IF(ISBLANK('Data Entry'!$Ē$637), "", 'Data Entry'!$Ē$637)</f>
      </c>
      <c r="HC637">
        <f>IF(ISBLANK('Data Entry'!$ē$637), "", 'Data Entry'!$ē$637)</f>
      </c>
      <c r="HD637">
        <f>IF(ISBLANK('Data Entry'!$Ĕ$637), "", 'Data Entry'!$Ĕ$637)</f>
      </c>
      <c r="HE637">
        <f>IF(ISBLANK('Data Entry'!$ĕ$637), "", 'Data Entry'!$ĕ$637)</f>
      </c>
      <c r="HF637">
        <f>IF(ISBLANK('Data Entry'!$Ė$637), "", 'Data Entry'!$Ė$637)</f>
      </c>
      <c r="HG637">
        <f>IF(ISBLANK('Data Entry'!$ė$637), "", 'Data Entry'!$ė$637)</f>
      </c>
      <c r="HH637">
        <f>IF(ISBLANK('Data Entry'!$Ę$637), "", 'Data Entry'!$Ę$637)</f>
      </c>
      <c r="HI637">
        <f>IF(ISBLANK('Data Entry'!$ę$637), "", 'Data Entry'!$ę$637)</f>
      </c>
      <c r="HJ637">
        <f>IF(ISBLANK('Data Entry'!$Ě$637), "", 'Data Entry'!$Ě$637)</f>
      </c>
      <c r="HK637">
        <f>IF(ISBLANK('Data Entry'!$ě$637), "", 'Data Entry'!$ě$637)</f>
      </c>
      <c r="HL637">
        <f>IF(ISBLANK('Data Entry'!$Ĝ$637), "", 'Data Entry'!$Ĝ$637)</f>
      </c>
      <c r="HM637">
        <f>IF(ISBLANK('Data Entry'!$ĝ$637), "", 'Data Entry'!$ĝ$637)</f>
      </c>
      <c r="HN637">
        <f>IF(ISBLANK('Data Entry'!$Ğ$637), "", 'Data Entry'!$Ğ$637)</f>
      </c>
      <c r="HO637">
        <f>IF(ISBLANK('Data Entry'!$ğ$637), "", 'Data Entry'!$ğ$637)</f>
      </c>
      <c r="HP637">
        <f>IF(ISBLANK('Data Entry'!$Ġ$637), "", 'Data Entry'!$Ġ$637)</f>
      </c>
      <c r="HQ637">
        <f>IF(ISBLANK('Data Entry'!$ġ$637), "", 'Data Entry'!$ġ$637)</f>
      </c>
      <c r="HR637">
        <f>IF(ISBLANK('Data Entry'!$Ģ$637), "", 'Data Entry'!$Ģ$637)</f>
      </c>
      <c r="HS637">
        <f>IF(ISBLANK('Data Entry'!$ģ$637), "", 'Data Entry'!$ģ$637)</f>
      </c>
      <c r="HT637">
        <f>IF(ISBLANK('Data Entry'!$Ĥ$637), "", 'Data Entry'!$Ĥ$637)</f>
      </c>
      <c r="HU637">
        <f>IF(ISBLANK('Data Entry'!$ĥ$637), "", 'Data Entry'!$ĥ$637)</f>
      </c>
      <c r="HV637">
        <f>IF(ISBLANK('Data Entry'!$Ħ$637), "", 'Data Entry'!$Ħ$637)</f>
      </c>
      <c r="HW637">
        <f>IF(ISBLANK('Data Entry'!$ħ$637), "", 'Data Entry'!$ħ$637)</f>
      </c>
      <c r="HX637">
        <f>IF(ISBLANK('Data Entry'!$Ĩ$637), "", 'Data Entry'!$Ĩ$637)</f>
      </c>
      <c r="HY637">
        <f>IF(ISBLANK('Data Entry'!$ĩ$637), "", 'Data Entry'!$ĩ$637)</f>
      </c>
      <c r="HZ637">
        <f>IF(ISBLANK('Data Entry'!$Ī$637), "", 'Data Entry'!$Ī$637)</f>
      </c>
      <c r="IA637">
        <f>IF(ISBLANK('Data Entry'!$ī$637), "", 'Data Entry'!$ī$637)</f>
      </c>
      <c r="IB637">
        <f>IF(ISBLANK('Data Entry'!$Ĭ$637), "", 'Data Entry'!$Ĭ$637)</f>
      </c>
      <c r="IC637">
        <f>IF(ISBLANK('Data Entry'!$ĭ$637), "", 'Data Entry'!$ĭ$637)</f>
      </c>
      <c r="ID637">
        <f>IF(ISBLANK('Data Entry'!$Į$637), "", 'Data Entry'!$Į$637)</f>
      </c>
      <c r="IE637">
        <f>IF(ISBLANK('Data Entry'!$į$637), "", 'Data Entry'!$į$637)</f>
      </c>
      <c r="IF637">
        <f>IF(ISBLANK('Data Entry'!$İ$637), "", 'Data Entry'!$İ$637)</f>
      </c>
      <c r="IG637">
        <f>IF(ISBLANK('Data Entry'!$ı$637), "", 'Data Entry'!$ı$637)</f>
      </c>
      <c r="IH637">
        <f>IF(ISBLANK('Data Entry'!$Ĳ$637), "", 'Data Entry'!$Ĳ$637)</f>
      </c>
      <c r="II637">
        <f>IF(ISBLANK('Data Entry'!$ĳ$637), "", 'Data Entry'!$ĳ$637)</f>
      </c>
      <c r="IJ637">
        <f>IF(ISBLANK('Data Entry'!$Ĵ$637), "", 'Data Entry'!$Ĵ$637)</f>
      </c>
      <c r="IK637">
        <f>IF(ISBLANK('Data Entry'!$ĵ$637), "", 'Data Entry'!$ĵ$637)</f>
      </c>
      <c r="IL637">
        <f>IF(ISBLANK('Data Entry'!$Ķ$637), "", 'Data Entry'!$Ķ$637)</f>
      </c>
      <c r="IM637">
        <f>IF(ISBLANK('Data Entry'!$ķ$637), "", 'Data Entry'!$ķ$637)</f>
      </c>
      <c r="IN637">
        <f>IF(ISBLANK('Data Entry'!$ĸ$637), "", 'Data Entry'!$ĸ$637)</f>
      </c>
      <c r="IO637">
        <f>IF(ISBLANK('Data Entry'!$Ĺ$637), "", 'Data Entry'!$Ĺ$637)</f>
      </c>
      <c r="IP637">
        <f>IF(ISBLANK('Data Entry'!$ĺ$637), "", 'Data Entry'!$ĺ$637)</f>
      </c>
      <c r="IQ637">
        <f>IF(ISBLANK('Data Entry'!$Ļ$637), "", 'Data Entry'!$Ļ$637)</f>
      </c>
      <c r="IR637">
        <f>IF(ISBLANK('Data Entry'!$ļ$637), "", 'Data Entry'!$ļ$637)</f>
      </c>
      <c r="IS637">
        <f>IF(ISBLANK('Data Entry'!$Ľ$637), "", 'Data Entry'!$Ľ$637)</f>
      </c>
      <c r="IT637">
        <f>IF(ISBLANK('Data Entry'!$ľ$637), "", 'Data Entry'!$ľ$637)</f>
      </c>
    </row>
    <row r="638" spans="1:254" x14ac:dyDescent="0.25">
      <c r="A638">
        <f>IF(ISBLANK('Data Entry'!$A$638), "", 'Data Entry'!$A$638)</f>
      </c>
      <c r="B638">
        <f>IF(ISBLANK('Data Entry'!$B$638), "", 'Data Entry'!$B$638)</f>
      </c>
      <c r="C638">
        <f>IF(ISBLANK('Data Entry'!$C$638), "", 'Data Entry'!$C$638)</f>
      </c>
      <c r="D638">
        <f>IF(ISBLANK('Data Entry'!$D$638), "", 'Data Entry'!$D$638)</f>
      </c>
      <c r="E638">
        <f>IF(ISBLANK('Data Entry'!$E$638), "", 'Data Entry'!$E$638)</f>
      </c>
      <c r="F638">
        <f>IF(ISBLANK('Data Entry'!$F$638), "", 'Data Entry'!$F$638)</f>
      </c>
      <c r="G638">
        <f>IF(ISBLANK('Data Entry'!$G$638), "", 'Data Entry'!$G$638)</f>
      </c>
      <c r="H638">
        <f>IF(ISBLANK('Data Entry'!$H$638), "", 'Data Entry'!$H$638)</f>
      </c>
      <c r="I638">
        <f>IF(ISBLANK('Data Entry'!$I$638), "", 'Data Entry'!$I$638)</f>
      </c>
      <c r="J638">
        <f>IF(ISBLANK('Data Entry'!$J$638), "", 'Data Entry'!$J$638)</f>
      </c>
      <c r="K638">
        <f>IF(ISBLANK('Data Entry'!$K$638), "", 'Data Entry'!$K$638)</f>
      </c>
      <c r="L638">
        <f>IF(ISBLANK('Data Entry'!$L$638), "", 'Data Entry'!$L$638)</f>
      </c>
      <c r="M638">
        <f>IF(ISBLANK('Data Entry'!$M$638), "", 'Data Entry'!$M$638)</f>
      </c>
      <c r="N638">
        <f>IF(ISBLANK('Data Entry'!$N$638), "", 'Data Entry'!$N$638)</f>
      </c>
      <c r="O638">
        <f>IF(ISBLANK('Data Entry'!$O$638), "", 'Data Entry'!$O$638)</f>
      </c>
      <c r="P638">
        <f>IF(ISBLANK('Data Entry'!$P$638), "", 'Data Entry'!$P$638)</f>
      </c>
      <c r="Q638">
        <f>IF(ISBLANK('Data Entry'!$Q$638), "", 'Data Entry'!$Q$638)</f>
      </c>
      <c r="R638">
        <f>IF(ISBLANK('Data Entry'!$R$638), "", 'Data Entry'!$R$638)</f>
      </c>
      <c r="S638">
        <f>IF(ISBLANK('Data Entry'!$S$638), "", 'Data Entry'!$S$638)</f>
      </c>
      <c r="T638">
        <f>IF(ISBLANK('Data Entry'!$T$638), "", 'Data Entry'!$T$638)</f>
      </c>
      <c r="U638">
        <f>IF(ISBLANK('Data Entry'!$U$638), "", 'Data Entry'!$U$638)</f>
      </c>
      <c r="V638">
        <f>IF(ISBLANK('Data Entry'!$V$638), "", 'Data Entry'!$V$638)</f>
      </c>
      <c r="W638">
        <f>IF(ISBLANK('Data Entry'!$W$638), "", 'Data Entry'!$W$638)</f>
      </c>
      <c r="X638">
        <f>IF(ISBLANK('Data Entry'!$X$638), "", 'Data Entry'!$X$638)</f>
      </c>
      <c r="Y638">
        <f>IF(ISBLANK('Data Entry'!$Y$638), "", 'Data Entry'!$Y$638)</f>
      </c>
      <c r="Z638">
        <f>IF(ISBLANK('Data Entry'!$Z$638), "", 'Data Entry'!$Z$638)</f>
      </c>
      <c r="AA638">
        <f>IF(ISBLANK('Data Entry'!$[$638), "", 'Data Entry'!$[$638)</f>
      </c>
      <c r="AB638">
        <f>IF(ISBLANK('Data Entry'!$\$638), "", 'Data Entry'!$\$638)</f>
      </c>
      <c r="AC638">
        <f>IF(ISBLANK('Data Entry'!$]$638), "", 'Data Entry'!$]$638)</f>
      </c>
      <c r="AD638">
        <f>IF(ISBLANK('Data Entry'!$^$638), "", 'Data Entry'!$^$638)</f>
      </c>
      <c r="AE638">
        <f>IF(ISBLANK('Data Entry'!$_$638), "", 'Data Entry'!$_$638)</f>
      </c>
      <c r="AF638">
        <f>IF(ISBLANK('Data Entry'!$`$638), "", 'Data Entry'!$`$638)</f>
      </c>
      <c r="AG638">
        <f>IF(ISBLANK('Data Entry'!$a$638), "", 'Data Entry'!$a$638)</f>
      </c>
      <c r="AH638">
        <f>IF(ISBLANK('Data Entry'!$b$638), "", 'Data Entry'!$b$638)</f>
      </c>
      <c r="AI638">
        <f>IF(ISBLANK('Data Entry'!$c$638), "", 'Data Entry'!$c$638)</f>
      </c>
      <c r="AJ638">
        <f>IF(ISBLANK('Data Entry'!$d$638), "", 'Data Entry'!$d$638)</f>
      </c>
      <c r="AK638">
        <f>IF(ISBLANK('Data Entry'!$e$638), "", 'Data Entry'!$e$638)</f>
      </c>
      <c r="AL638">
        <f>IF(ISBLANK('Data Entry'!$f$638), "", 'Data Entry'!$f$638)</f>
      </c>
      <c r="AM638">
        <f>IF(ISBLANK('Data Entry'!$g$638), "", 'Data Entry'!$g$638)</f>
      </c>
      <c r="AN638">
        <f>IF(ISBLANK('Data Entry'!$h$638), "", 'Data Entry'!$h$638)</f>
      </c>
      <c r="AO638">
        <f>IF(ISBLANK('Data Entry'!$i$638), "", 'Data Entry'!$i$638)</f>
      </c>
      <c r="AP638">
        <f>IF(ISBLANK('Data Entry'!$j$638), "", 'Data Entry'!$j$638)</f>
      </c>
      <c r="AQ638">
        <f>IF(ISBLANK('Data Entry'!$k$638), "", 'Data Entry'!$k$638)</f>
      </c>
      <c r="AR638">
        <f>IF(ISBLANK('Data Entry'!$l$638), "", 'Data Entry'!$l$638)</f>
      </c>
      <c r="AS638">
        <f>IF(ISBLANK('Data Entry'!$m$638), "", 'Data Entry'!$m$638)</f>
      </c>
      <c r="AT638">
        <f>IF(ISBLANK('Data Entry'!$n$638), "", 'Data Entry'!$n$638)</f>
      </c>
      <c r="AU638">
        <f>IF(ISBLANK('Data Entry'!$o$638), "", 'Data Entry'!$o$638)</f>
      </c>
      <c r="AV638">
        <f>IF(ISBLANK('Data Entry'!$p$638), "", 'Data Entry'!$p$638)</f>
      </c>
      <c r="AW638">
        <f>IF(ISBLANK('Data Entry'!$q$638), "", 'Data Entry'!$q$638)</f>
      </c>
      <c r="AX638">
        <f>IF(ISBLANK('Data Entry'!$r$638), "", 'Data Entry'!$r$638)</f>
      </c>
      <c r="AY638">
        <f>IF(ISBLANK('Data Entry'!$s$638), "", 'Data Entry'!$s$638)</f>
      </c>
      <c r="AZ638">
        <f>IF(ISBLANK('Data Entry'!$t$638), "", 'Data Entry'!$t$638)</f>
      </c>
      <c r="BA638">
        <f>IF(ISBLANK('Data Entry'!$u$638), "", 'Data Entry'!$u$638)</f>
      </c>
      <c r="BB638">
        <f>IF(ISBLANK('Data Entry'!$v$638), "", 'Data Entry'!$v$638)</f>
      </c>
      <c r="BC638">
        <f>IF(ISBLANK('Data Entry'!$w$638), "", 'Data Entry'!$w$638)</f>
      </c>
      <c r="BD638">
        <f>IF(ISBLANK('Data Entry'!$x$638), "", 'Data Entry'!$x$638)</f>
      </c>
      <c r="BE638">
        <f>IF(ISBLANK('Data Entry'!$y$638), "", 'Data Entry'!$y$638)</f>
      </c>
      <c r="BF638">
        <f>IF(ISBLANK('Data Entry'!$z$638), "", 'Data Entry'!$z$638)</f>
      </c>
      <c r="BG638">
        <f>IF(ISBLANK('Data Entry'!${$638), "", 'Data Entry'!${$638)</f>
      </c>
      <c r="BH638">
        <f>IF(ISBLANK('Data Entry'!$|$638), "", 'Data Entry'!$|$638)</f>
      </c>
      <c r="BI638">
        <f>IF(ISBLANK('Data Entry'!$}$638), "", 'Data Entry'!$}$638)</f>
      </c>
      <c r="BJ638">
        <f>IF(ISBLANK('Data Entry'!$~$638), "", 'Data Entry'!$~$638)</f>
      </c>
      <c r="BK638">
        <f>IF(ISBLANK('Data Entry'!$$638), "", 'Data Entry'!$$638)</f>
      </c>
      <c r="BL638">
        <f>IF(ISBLANK('Data Entry'!$$638), "", 'Data Entry'!$$638)</f>
      </c>
      <c r="BM638">
        <f>IF(ISBLANK('Data Entry'!$$638), "", 'Data Entry'!$$638)</f>
      </c>
      <c r="BN638">
        <f>IF(ISBLANK('Data Entry'!$$638), "", 'Data Entry'!$$638)</f>
      </c>
      <c r="BO638">
        <f>IF(ISBLANK('Data Entry'!$$638), "", 'Data Entry'!$$638)</f>
      </c>
      <c r="BP638">
        <f>IF(ISBLANK('Data Entry'!$$638), "", 'Data Entry'!$$638)</f>
      </c>
      <c r="BQ638">
        <f>IF(ISBLANK('Data Entry'!$$638), "", 'Data Entry'!$$638)</f>
      </c>
      <c r="BR638">
        <f>IF(ISBLANK('Data Entry'!$$638), "", 'Data Entry'!$$638)</f>
      </c>
      <c r="BS638">
        <f>IF(ISBLANK('Data Entry'!$$638), "", 'Data Entry'!$$638)</f>
      </c>
      <c r="BT638">
        <f>IF(ISBLANK('Data Entry'!$$638), "", 'Data Entry'!$$638)</f>
      </c>
      <c r="BU638">
        <f>IF(ISBLANK('Data Entry'!$$638), "", 'Data Entry'!$$638)</f>
      </c>
      <c r="BV638">
        <f>IF(ISBLANK('Data Entry'!$$638), "", 'Data Entry'!$$638)</f>
      </c>
      <c r="BW638">
        <f>IF(ISBLANK('Data Entry'!$$638), "", 'Data Entry'!$$638)</f>
      </c>
      <c r="BX638">
        <f>IF(ISBLANK('Data Entry'!$$638), "", 'Data Entry'!$$638)</f>
      </c>
      <c r="BY638">
        <f>IF(ISBLANK('Data Entry'!$$638), "", 'Data Entry'!$$638)</f>
      </c>
      <c r="BZ638">
        <f>IF(ISBLANK('Data Entry'!$$638), "", 'Data Entry'!$$638)</f>
      </c>
      <c r="CA638">
        <f>IF(ISBLANK('Data Entry'!$$638), "", 'Data Entry'!$$638)</f>
      </c>
      <c r="CB638">
        <f>IF(ISBLANK('Data Entry'!$$638), "", 'Data Entry'!$$638)</f>
      </c>
      <c r="CC638">
        <f>IF(ISBLANK('Data Entry'!$$638), "", 'Data Entry'!$$638)</f>
      </c>
      <c r="CD638">
        <f>IF(ISBLANK('Data Entry'!$$638), "", 'Data Entry'!$$638)</f>
      </c>
      <c r="CE638">
        <f>IF(ISBLANK('Data Entry'!$$638), "", 'Data Entry'!$$638)</f>
      </c>
      <c r="CF638">
        <f>IF(ISBLANK('Data Entry'!$$638), "", 'Data Entry'!$$638)</f>
      </c>
      <c r="CG638">
        <f>IF(ISBLANK('Data Entry'!$$638), "", 'Data Entry'!$$638)</f>
      </c>
      <c r="CH638">
        <f>IF(ISBLANK('Data Entry'!$$638), "", 'Data Entry'!$$638)</f>
      </c>
      <c r="CI638">
        <f>IF(ISBLANK('Data Entry'!$$638), "", 'Data Entry'!$$638)</f>
      </c>
      <c r="CJ638">
        <f>IF(ISBLANK('Data Entry'!$$638), "", 'Data Entry'!$$638)</f>
      </c>
      <c r="CK638">
        <f>IF(ISBLANK('Data Entry'!$$638), "", 'Data Entry'!$$638)</f>
      </c>
      <c r="CL638">
        <f>IF(ISBLANK('Data Entry'!$$638), "", 'Data Entry'!$$638)</f>
      </c>
      <c r="CM638">
        <f>IF(ISBLANK('Data Entry'!$$638), "", 'Data Entry'!$$638)</f>
      </c>
      <c r="CN638">
        <f>IF(ISBLANK('Data Entry'!$$638), "", 'Data Entry'!$$638)</f>
      </c>
      <c r="CO638">
        <f>IF(ISBLANK('Data Entry'!$$638), "", 'Data Entry'!$$638)</f>
      </c>
      <c r="CP638">
        <f>IF(ISBLANK('Data Entry'!$$638), "", 'Data Entry'!$$638)</f>
      </c>
      <c r="CQ638">
        <f>IF(ISBLANK('Data Entry'!$$638), "", 'Data Entry'!$$638)</f>
      </c>
      <c r="CR638">
        <f>IF(ISBLANK('Data Entry'!$ $638), "", 'Data Entry'!$ $638)</f>
      </c>
      <c r="CS638">
        <f>IF(ISBLANK('Data Entry'!$¡$638), "", 'Data Entry'!$¡$638)</f>
      </c>
      <c r="CT638">
        <f>IF(ISBLANK('Data Entry'!$¢$638), "", 'Data Entry'!$¢$638)</f>
      </c>
      <c r="CU638">
        <f>IF(ISBLANK('Data Entry'!$£$638), "", 'Data Entry'!$£$638)</f>
      </c>
      <c r="CV638">
        <f>IF(ISBLANK('Data Entry'!$¤$638), "", 'Data Entry'!$¤$638)</f>
      </c>
      <c r="CW638">
        <f>IF(ISBLANK('Data Entry'!$¥$638), "", 'Data Entry'!$¥$638)</f>
      </c>
      <c r="CX638">
        <f>IF(ISBLANK('Data Entry'!$¦$638), "", 'Data Entry'!$¦$638)</f>
      </c>
      <c r="CY638">
        <f>IF(ISBLANK('Data Entry'!$§$638), "", 'Data Entry'!$§$638)</f>
      </c>
      <c r="CZ638">
        <f>IF(ISBLANK('Data Entry'!$¨$638), "", 'Data Entry'!$¨$638)</f>
      </c>
      <c r="DA638">
        <f>IF(ISBLANK('Data Entry'!$©$638), "", 'Data Entry'!$©$638)</f>
      </c>
      <c r="DB638">
        <f>IF(ISBLANK('Data Entry'!$ª$638), "", 'Data Entry'!$ª$638)</f>
      </c>
      <c r="DC638">
        <f>IF(ISBLANK('Data Entry'!$«$638), "", 'Data Entry'!$«$638)</f>
      </c>
      <c r="DD638">
        <f>IF(ISBLANK('Data Entry'!$¬$638), "", 'Data Entry'!$¬$638)</f>
      </c>
      <c r="DE638">
        <f>IF(ISBLANK('Data Entry'!$­$638), "", 'Data Entry'!$­$638)</f>
      </c>
      <c r="DF638">
        <f>IF(ISBLANK('Data Entry'!$®$638), "", 'Data Entry'!$®$638)</f>
      </c>
      <c r="DG638">
        <f>IF(ISBLANK('Data Entry'!$¯$638), "", 'Data Entry'!$¯$638)</f>
      </c>
      <c r="DH638">
        <f>IF(ISBLANK('Data Entry'!$°$638), "", 'Data Entry'!$°$638)</f>
      </c>
      <c r="DI638">
        <f>IF(ISBLANK('Data Entry'!$±$638), "", 'Data Entry'!$±$638)</f>
      </c>
      <c r="DJ638">
        <f>IF(ISBLANK('Data Entry'!$²$638), "", 'Data Entry'!$²$638)</f>
      </c>
      <c r="DK638">
        <f>IF(ISBLANK('Data Entry'!$³$638), "", 'Data Entry'!$³$638)</f>
      </c>
      <c r="DL638">
        <f>IF(ISBLANK('Data Entry'!$´$638), "", 'Data Entry'!$´$638)</f>
      </c>
      <c r="DM638">
        <f>IF(ISBLANK('Data Entry'!$µ$638), "", 'Data Entry'!$µ$638)</f>
      </c>
      <c r="DN638">
        <f>IF(ISBLANK('Data Entry'!$¶$638), "", 'Data Entry'!$¶$638)</f>
      </c>
      <c r="DO638">
        <f>IF(ISBLANK('Data Entry'!$·$638), "", 'Data Entry'!$·$638)</f>
      </c>
      <c r="DP638">
        <f>IF(ISBLANK('Data Entry'!$¸$638), "", 'Data Entry'!$¸$638)</f>
      </c>
      <c r="DQ638">
        <f>IF(ISBLANK('Data Entry'!$¹$638), "", 'Data Entry'!$¹$638)</f>
      </c>
      <c r="DR638">
        <f>IF(ISBLANK('Data Entry'!$º$638), "", 'Data Entry'!$º$638)</f>
      </c>
      <c r="DS638">
        <f>IF(ISBLANK('Data Entry'!$»$638), "", 'Data Entry'!$»$638)</f>
      </c>
      <c r="DT638">
        <f>IF(ISBLANK('Data Entry'!$¼$638), "", 'Data Entry'!$¼$638)</f>
      </c>
      <c r="DU638">
        <f>IF(ISBLANK('Data Entry'!$½$638), "", 'Data Entry'!$½$638)</f>
      </c>
      <c r="DV638">
        <f>IF(ISBLANK('Data Entry'!$¾$638), "", 'Data Entry'!$¾$638)</f>
      </c>
      <c r="DW638">
        <f>IF(ISBLANK('Data Entry'!$¿$638), "", 'Data Entry'!$¿$638)</f>
      </c>
      <c r="DX638">
        <f>IF(ISBLANK('Data Entry'!$À$638), "", 'Data Entry'!$À$638)</f>
      </c>
      <c r="DY638">
        <f>IF(ISBLANK('Data Entry'!$Á$638), "", 'Data Entry'!$Á$638)</f>
      </c>
      <c r="DZ638">
        <f>IF(ISBLANK('Data Entry'!$Â$638), "", 'Data Entry'!$Â$638)</f>
      </c>
      <c r="EA638">
        <f>IF(ISBLANK('Data Entry'!$Ã$638), "", 'Data Entry'!$Ã$638)</f>
      </c>
      <c r="EB638">
        <f>IF(ISBLANK('Data Entry'!$Ä$638), "", 'Data Entry'!$Ä$638)</f>
      </c>
      <c r="EC638">
        <f>IF(ISBLANK('Data Entry'!$Å$638), "", 'Data Entry'!$Å$638)</f>
      </c>
      <c r="ED638">
        <f>IF(ISBLANK('Data Entry'!$Æ$638), "", 'Data Entry'!$Æ$638)</f>
      </c>
      <c r="EE638">
        <f>IF(ISBLANK('Data Entry'!$Ç$638), "", 'Data Entry'!$Ç$638)</f>
      </c>
      <c r="EF638">
        <f>IF(ISBLANK('Data Entry'!$È$638), "", 'Data Entry'!$È$638)</f>
      </c>
      <c r="EG638">
        <f>IF(ISBLANK('Data Entry'!$É$638), "", 'Data Entry'!$É$638)</f>
      </c>
      <c r="EH638">
        <f>IF(ISBLANK('Data Entry'!$Ê$638), "", 'Data Entry'!$Ê$638)</f>
      </c>
      <c r="EI638">
        <f>IF(ISBLANK('Data Entry'!$Ë$638), "", 'Data Entry'!$Ë$638)</f>
      </c>
      <c r="EJ638">
        <f>IF(ISBLANK('Data Entry'!$Ì$638), "", 'Data Entry'!$Ì$638)</f>
      </c>
      <c r="EK638">
        <f>IF(ISBLANK('Data Entry'!$Í$638), "", 'Data Entry'!$Í$638)</f>
      </c>
      <c r="EL638">
        <f>IF(ISBLANK('Data Entry'!$Î$638), "", 'Data Entry'!$Î$638)</f>
      </c>
      <c r="EM638">
        <f>IF(ISBLANK('Data Entry'!$Ï$638), "", 'Data Entry'!$Ï$638)</f>
      </c>
      <c r="EN638">
        <f>IF(ISBLANK('Data Entry'!$Ð$638), "", 'Data Entry'!$Ð$638)</f>
      </c>
      <c r="EO638">
        <f>IF(ISBLANK('Data Entry'!$Ñ$638), "", 'Data Entry'!$Ñ$638)</f>
      </c>
      <c r="EP638">
        <f>IF(ISBLANK('Data Entry'!$Ò$638), "", 'Data Entry'!$Ò$638)</f>
      </c>
      <c r="EQ638">
        <f>IF(ISBLANK('Data Entry'!$Ó$638), "", 'Data Entry'!$Ó$638)</f>
      </c>
      <c r="ER638">
        <f>IF(ISBLANK('Data Entry'!$Ô$638), "", 'Data Entry'!$Ô$638)</f>
      </c>
      <c r="ES638">
        <f>IF(ISBLANK('Data Entry'!$Õ$638), "", 'Data Entry'!$Õ$638)</f>
      </c>
      <c r="ET638">
        <f>IF(ISBLANK('Data Entry'!$Ö$638), "", 'Data Entry'!$Ö$638)</f>
      </c>
      <c r="EU638">
        <f>IF(ISBLANK('Data Entry'!$×$638), "", 'Data Entry'!$×$638)</f>
      </c>
      <c r="EV638">
        <f>IF(ISBLANK('Data Entry'!$Ø$638), "", 'Data Entry'!$Ø$638)</f>
      </c>
      <c r="EW638">
        <f>IF(ISBLANK('Data Entry'!$Ù$638), "", 'Data Entry'!$Ù$638)</f>
      </c>
      <c r="EX638">
        <f>IF(ISBLANK('Data Entry'!$Ú$638), "", 'Data Entry'!$Ú$638)</f>
      </c>
      <c r="EY638">
        <f>IF(ISBLANK('Data Entry'!$Û$638), "", 'Data Entry'!$Û$638)</f>
      </c>
      <c r="EZ638">
        <f>IF(ISBLANK('Data Entry'!$Ü$638), "", 'Data Entry'!$Ü$638)</f>
      </c>
      <c r="FA638">
        <f>IF(ISBLANK('Data Entry'!$Ý$638), "", 'Data Entry'!$Ý$638)</f>
      </c>
      <c r="FB638">
        <f>IF(ISBLANK('Data Entry'!$Þ$638), "", 'Data Entry'!$Þ$638)</f>
      </c>
      <c r="FC638">
        <f>IF(ISBLANK('Data Entry'!$ß$638), "", 'Data Entry'!$ß$638)</f>
      </c>
      <c r="FD638">
        <f>IF(ISBLANK('Data Entry'!$à$638), "", 'Data Entry'!$à$638)</f>
      </c>
      <c r="FE638">
        <f>IF(ISBLANK('Data Entry'!$á$638), "", 'Data Entry'!$á$638)</f>
      </c>
      <c r="FF638">
        <f>IF(ISBLANK('Data Entry'!$â$638), "", 'Data Entry'!$â$638)</f>
      </c>
      <c r="FG638">
        <f>IF(ISBLANK('Data Entry'!$ã$638), "", 'Data Entry'!$ã$638)</f>
      </c>
      <c r="FH638">
        <f>IF(ISBLANK('Data Entry'!$ä$638), "", 'Data Entry'!$ä$638)</f>
      </c>
      <c r="FI638">
        <f>IF(ISBLANK('Data Entry'!$å$638), "", 'Data Entry'!$å$638)</f>
      </c>
      <c r="FJ638">
        <f>IF(ISBLANK('Data Entry'!$æ$638), "", 'Data Entry'!$æ$638)</f>
      </c>
      <c r="FK638">
        <f>IF(ISBLANK('Data Entry'!$ç$638), "", 'Data Entry'!$ç$638)</f>
      </c>
      <c r="FL638">
        <f>IF(ISBLANK('Data Entry'!$è$638), "", 'Data Entry'!$è$638)</f>
      </c>
      <c r="FM638">
        <f>IF(ISBLANK('Data Entry'!$é$638), "", 'Data Entry'!$é$638)</f>
      </c>
      <c r="FN638">
        <f>IF(ISBLANK('Data Entry'!$ê$638), "", 'Data Entry'!$ê$638)</f>
      </c>
      <c r="FO638">
        <f>IF(ISBLANK('Data Entry'!$ë$638), "", 'Data Entry'!$ë$638)</f>
      </c>
      <c r="FP638">
        <f>IF(ISBLANK('Data Entry'!$ì$638), "", 'Data Entry'!$ì$638)</f>
      </c>
      <c r="FQ638">
        <f>IF(ISBLANK('Data Entry'!$í$638), "", 'Data Entry'!$í$638)</f>
      </c>
      <c r="FR638">
        <f>IF(ISBLANK('Data Entry'!$î$638), "", 'Data Entry'!$î$638)</f>
      </c>
      <c r="FS638">
        <f>IF(ISBLANK('Data Entry'!$ï$638), "", 'Data Entry'!$ï$638)</f>
      </c>
      <c r="FT638">
        <f>IF(ISBLANK('Data Entry'!$ð$638), "", 'Data Entry'!$ð$638)</f>
      </c>
      <c r="FU638">
        <f>IF(ISBLANK('Data Entry'!$ñ$638), "", 'Data Entry'!$ñ$638)</f>
      </c>
      <c r="FV638">
        <f>IF(ISBLANK('Data Entry'!$ò$638), "", 'Data Entry'!$ò$638)</f>
      </c>
      <c r="FW638">
        <f>IF(ISBLANK('Data Entry'!$ó$638), "", 'Data Entry'!$ó$638)</f>
      </c>
      <c r="FX638">
        <f>IF(ISBLANK('Data Entry'!$ô$638), "", 'Data Entry'!$ô$638)</f>
      </c>
      <c r="FY638">
        <f>IF(ISBLANK('Data Entry'!$õ$638), "", 'Data Entry'!$õ$638)</f>
      </c>
      <c r="FZ638">
        <f>IF(ISBLANK('Data Entry'!$ö$638), "", 'Data Entry'!$ö$638)</f>
      </c>
      <c r="GA638">
        <f>IF(ISBLANK('Data Entry'!$÷$638), "", 'Data Entry'!$÷$638)</f>
      </c>
      <c r="GB638">
        <f>IF(ISBLANK('Data Entry'!$ø$638), "", 'Data Entry'!$ø$638)</f>
      </c>
      <c r="GC638">
        <f>IF(ISBLANK('Data Entry'!$ù$638), "", 'Data Entry'!$ù$638)</f>
      </c>
      <c r="GD638">
        <f>IF(ISBLANK('Data Entry'!$ú$638), "", 'Data Entry'!$ú$638)</f>
      </c>
      <c r="GE638">
        <f>IF(ISBLANK('Data Entry'!$û$638), "", 'Data Entry'!$û$638)</f>
      </c>
      <c r="GF638">
        <f>IF(ISBLANK('Data Entry'!$ü$638), "", 'Data Entry'!$ü$638)</f>
      </c>
      <c r="GG638">
        <f>IF(ISBLANK('Data Entry'!$ý$638), "", 'Data Entry'!$ý$638)</f>
      </c>
      <c r="GH638">
        <f>IF(ISBLANK('Data Entry'!$þ$638), "", 'Data Entry'!$þ$638)</f>
      </c>
      <c r="GI638">
        <f>IF(ISBLANK('Data Entry'!$ÿ$638), "", 'Data Entry'!$ÿ$638)</f>
      </c>
      <c r="GJ638">
        <f>IF(ISBLANK('Data Entry'!$Ā$638), "", 'Data Entry'!$Ā$638)</f>
      </c>
      <c r="GK638">
        <f>IF(ISBLANK('Data Entry'!$ā$638), "", 'Data Entry'!$ā$638)</f>
      </c>
      <c r="GL638">
        <f>IF(ISBLANK('Data Entry'!$Ă$638), "", 'Data Entry'!$Ă$638)</f>
      </c>
      <c r="GM638">
        <f>IF(ISBLANK('Data Entry'!$ă$638), "", 'Data Entry'!$ă$638)</f>
      </c>
      <c r="GN638">
        <f>IF(ISBLANK('Data Entry'!$Ą$638), "", 'Data Entry'!$Ą$638)</f>
      </c>
      <c r="GO638">
        <f>IF(ISBLANK('Data Entry'!$ą$638), "", 'Data Entry'!$ą$638)</f>
      </c>
      <c r="GP638">
        <f>IF(ISBLANK('Data Entry'!$Ć$638), "", 'Data Entry'!$Ć$638)</f>
      </c>
      <c r="GQ638">
        <f>IF(ISBLANK('Data Entry'!$ć$638), "", 'Data Entry'!$ć$638)</f>
      </c>
      <c r="GR638">
        <f>IF(ISBLANK('Data Entry'!$Ĉ$638), "", 'Data Entry'!$Ĉ$638)</f>
      </c>
      <c r="GS638">
        <f>IF(ISBLANK('Data Entry'!$ĉ$638), "", 'Data Entry'!$ĉ$638)</f>
      </c>
      <c r="GT638">
        <f>IF(ISBLANK('Data Entry'!$Ċ$638), "", 'Data Entry'!$Ċ$638)</f>
      </c>
      <c r="GU638">
        <f>IF(ISBLANK('Data Entry'!$ċ$638), "", 'Data Entry'!$ċ$638)</f>
      </c>
      <c r="GV638">
        <f>IF(ISBLANK('Data Entry'!$Č$638), "", 'Data Entry'!$Č$638)</f>
      </c>
      <c r="GW638">
        <f>IF(ISBLANK('Data Entry'!$č$638), "", 'Data Entry'!$č$638)</f>
      </c>
      <c r="GX638">
        <f>IF(ISBLANK('Data Entry'!$Ď$638), "", 'Data Entry'!$Ď$638)</f>
      </c>
      <c r="GY638">
        <f>IF(ISBLANK('Data Entry'!$ď$638), "", 'Data Entry'!$ď$638)</f>
      </c>
      <c r="GZ638">
        <f>IF(ISBLANK('Data Entry'!$Đ$638), "", 'Data Entry'!$Đ$638)</f>
      </c>
      <c r="HA638">
        <f>IF(ISBLANK('Data Entry'!$đ$638), "", 'Data Entry'!$đ$638)</f>
      </c>
      <c r="HB638">
        <f>IF(ISBLANK('Data Entry'!$Ē$638), "", 'Data Entry'!$Ē$638)</f>
      </c>
      <c r="HC638">
        <f>IF(ISBLANK('Data Entry'!$ē$638), "", 'Data Entry'!$ē$638)</f>
      </c>
      <c r="HD638">
        <f>IF(ISBLANK('Data Entry'!$Ĕ$638), "", 'Data Entry'!$Ĕ$638)</f>
      </c>
      <c r="HE638">
        <f>IF(ISBLANK('Data Entry'!$ĕ$638), "", 'Data Entry'!$ĕ$638)</f>
      </c>
      <c r="HF638">
        <f>IF(ISBLANK('Data Entry'!$Ė$638), "", 'Data Entry'!$Ė$638)</f>
      </c>
      <c r="HG638">
        <f>IF(ISBLANK('Data Entry'!$ė$638), "", 'Data Entry'!$ė$638)</f>
      </c>
      <c r="HH638">
        <f>IF(ISBLANK('Data Entry'!$Ę$638), "", 'Data Entry'!$Ę$638)</f>
      </c>
      <c r="HI638">
        <f>IF(ISBLANK('Data Entry'!$ę$638), "", 'Data Entry'!$ę$638)</f>
      </c>
      <c r="HJ638">
        <f>IF(ISBLANK('Data Entry'!$Ě$638), "", 'Data Entry'!$Ě$638)</f>
      </c>
      <c r="HK638">
        <f>IF(ISBLANK('Data Entry'!$ě$638), "", 'Data Entry'!$ě$638)</f>
      </c>
      <c r="HL638">
        <f>IF(ISBLANK('Data Entry'!$Ĝ$638), "", 'Data Entry'!$Ĝ$638)</f>
      </c>
      <c r="HM638">
        <f>IF(ISBLANK('Data Entry'!$ĝ$638), "", 'Data Entry'!$ĝ$638)</f>
      </c>
      <c r="HN638">
        <f>IF(ISBLANK('Data Entry'!$Ğ$638), "", 'Data Entry'!$Ğ$638)</f>
      </c>
      <c r="HO638">
        <f>IF(ISBLANK('Data Entry'!$ğ$638), "", 'Data Entry'!$ğ$638)</f>
      </c>
      <c r="HP638">
        <f>IF(ISBLANK('Data Entry'!$Ġ$638), "", 'Data Entry'!$Ġ$638)</f>
      </c>
      <c r="HQ638">
        <f>IF(ISBLANK('Data Entry'!$ġ$638), "", 'Data Entry'!$ġ$638)</f>
      </c>
      <c r="HR638">
        <f>IF(ISBLANK('Data Entry'!$Ģ$638), "", 'Data Entry'!$Ģ$638)</f>
      </c>
      <c r="HS638">
        <f>IF(ISBLANK('Data Entry'!$ģ$638), "", 'Data Entry'!$ģ$638)</f>
      </c>
      <c r="HT638">
        <f>IF(ISBLANK('Data Entry'!$Ĥ$638), "", 'Data Entry'!$Ĥ$638)</f>
      </c>
      <c r="HU638">
        <f>IF(ISBLANK('Data Entry'!$ĥ$638), "", 'Data Entry'!$ĥ$638)</f>
      </c>
      <c r="HV638">
        <f>IF(ISBLANK('Data Entry'!$Ħ$638), "", 'Data Entry'!$Ħ$638)</f>
      </c>
      <c r="HW638">
        <f>IF(ISBLANK('Data Entry'!$ħ$638), "", 'Data Entry'!$ħ$638)</f>
      </c>
      <c r="HX638">
        <f>IF(ISBLANK('Data Entry'!$Ĩ$638), "", 'Data Entry'!$Ĩ$638)</f>
      </c>
      <c r="HY638">
        <f>IF(ISBLANK('Data Entry'!$ĩ$638), "", 'Data Entry'!$ĩ$638)</f>
      </c>
      <c r="HZ638">
        <f>IF(ISBLANK('Data Entry'!$Ī$638), "", 'Data Entry'!$Ī$638)</f>
      </c>
      <c r="IA638">
        <f>IF(ISBLANK('Data Entry'!$ī$638), "", 'Data Entry'!$ī$638)</f>
      </c>
      <c r="IB638">
        <f>IF(ISBLANK('Data Entry'!$Ĭ$638), "", 'Data Entry'!$Ĭ$638)</f>
      </c>
      <c r="IC638">
        <f>IF(ISBLANK('Data Entry'!$ĭ$638), "", 'Data Entry'!$ĭ$638)</f>
      </c>
      <c r="ID638">
        <f>IF(ISBLANK('Data Entry'!$Į$638), "", 'Data Entry'!$Į$638)</f>
      </c>
      <c r="IE638">
        <f>IF(ISBLANK('Data Entry'!$į$638), "", 'Data Entry'!$į$638)</f>
      </c>
      <c r="IF638">
        <f>IF(ISBLANK('Data Entry'!$İ$638), "", 'Data Entry'!$İ$638)</f>
      </c>
      <c r="IG638">
        <f>IF(ISBLANK('Data Entry'!$ı$638), "", 'Data Entry'!$ı$638)</f>
      </c>
      <c r="IH638">
        <f>IF(ISBLANK('Data Entry'!$Ĳ$638), "", 'Data Entry'!$Ĳ$638)</f>
      </c>
      <c r="II638">
        <f>IF(ISBLANK('Data Entry'!$ĳ$638), "", 'Data Entry'!$ĳ$638)</f>
      </c>
      <c r="IJ638">
        <f>IF(ISBLANK('Data Entry'!$Ĵ$638), "", 'Data Entry'!$Ĵ$638)</f>
      </c>
      <c r="IK638">
        <f>IF(ISBLANK('Data Entry'!$ĵ$638), "", 'Data Entry'!$ĵ$638)</f>
      </c>
      <c r="IL638">
        <f>IF(ISBLANK('Data Entry'!$Ķ$638), "", 'Data Entry'!$Ķ$638)</f>
      </c>
      <c r="IM638">
        <f>IF(ISBLANK('Data Entry'!$ķ$638), "", 'Data Entry'!$ķ$638)</f>
      </c>
      <c r="IN638">
        <f>IF(ISBLANK('Data Entry'!$ĸ$638), "", 'Data Entry'!$ĸ$638)</f>
      </c>
      <c r="IO638">
        <f>IF(ISBLANK('Data Entry'!$Ĺ$638), "", 'Data Entry'!$Ĺ$638)</f>
      </c>
      <c r="IP638">
        <f>IF(ISBLANK('Data Entry'!$ĺ$638), "", 'Data Entry'!$ĺ$638)</f>
      </c>
      <c r="IQ638">
        <f>IF(ISBLANK('Data Entry'!$Ļ$638), "", 'Data Entry'!$Ļ$638)</f>
      </c>
      <c r="IR638">
        <f>IF(ISBLANK('Data Entry'!$ļ$638), "", 'Data Entry'!$ļ$638)</f>
      </c>
      <c r="IS638">
        <f>IF(ISBLANK('Data Entry'!$Ľ$638), "", 'Data Entry'!$Ľ$638)</f>
      </c>
      <c r="IT638">
        <f>IF(ISBLANK('Data Entry'!$ľ$638), "", 'Data Entry'!$ľ$638)</f>
      </c>
    </row>
    <row r="639" spans="1:254" x14ac:dyDescent="0.25">
      <c r="A639">
        <f>IF(ISBLANK('Data Entry'!$A$639), "", 'Data Entry'!$A$639)</f>
      </c>
      <c r="B639">
        <f>IF(ISBLANK('Data Entry'!$B$639), "", 'Data Entry'!$B$639)</f>
      </c>
      <c r="C639">
        <f>IF(ISBLANK('Data Entry'!$C$639), "", 'Data Entry'!$C$639)</f>
      </c>
      <c r="D639">
        <f>IF(ISBLANK('Data Entry'!$D$639), "", 'Data Entry'!$D$639)</f>
      </c>
      <c r="E639">
        <f>IF(ISBLANK('Data Entry'!$E$639), "", 'Data Entry'!$E$639)</f>
      </c>
      <c r="F639">
        <f>IF(ISBLANK('Data Entry'!$F$639), "", 'Data Entry'!$F$639)</f>
      </c>
      <c r="G639">
        <f>IF(ISBLANK('Data Entry'!$G$639), "", 'Data Entry'!$G$639)</f>
      </c>
      <c r="H639">
        <f>IF(ISBLANK('Data Entry'!$H$639), "", 'Data Entry'!$H$639)</f>
      </c>
      <c r="I639">
        <f>IF(ISBLANK('Data Entry'!$I$639), "", 'Data Entry'!$I$639)</f>
      </c>
      <c r="J639">
        <f>IF(ISBLANK('Data Entry'!$J$639), "", 'Data Entry'!$J$639)</f>
      </c>
      <c r="K639">
        <f>IF(ISBLANK('Data Entry'!$K$639), "", 'Data Entry'!$K$639)</f>
      </c>
      <c r="L639">
        <f>IF(ISBLANK('Data Entry'!$L$639), "", 'Data Entry'!$L$639)</f>
      </c>
      <c r="M639">
        <f>IF(ISBLANK('Data Entry'!$M$639), "", 'Data Entry'!$M$639)</f>
      </c>
      <c r="N639">
        <f>IF(ISBLANK('Data Entry'!$N$639), "", 'Data Entry'!$N$639)</f>
      </c>
      <c r="O639">
        <f>IF(ISBLANK('Data Entry'!$O$639), "", 'Data Entry'!$O$639)</f>
      </c>
      <c r="P639">
        <f>IF(ISBLANK('Data Entry'!$P$639), "", 'Data Entry'!$P$639)</f>
      </c>
      <c r="Q639">
        <f>IF(ISBLANK('Data Entry'!$Q$639), "", 'Data Entry'!$Q$639)</f>
      </c>
      <c r="R639">
        <f>IF(ISBLANK('Data Entry'!$R$639), "", 'Data Entry'!$R$639)</f>
      </c>
      <c r="S639">
        <f>IF(ISBLANK('Data Entry'!$S$639), "", 'Data Entry'!$S$639)</f>
      </c>
      <c r="T639">
        <f>IF(ISBLANK('Data Entry'!$T$639), "", 'Data Entry'!$T$639)</f>
      </c>
      <c r="U639">
        <f>IF(ISBLANK('Data Entry'!$U$639), "", 'Data Entry'!$U$639)</f>
      </c>
      <c r="V639">
        <f>IF(ISBLANK('Data Entry'!$V$639), "", 'Data Entry'!$V$639)</f>
      </c>
      <c r="W639">
        <f>IF(ISBLANK('Data Entry'!$W$639), "", 'Data Entry'!$W$639)</f>
      </c>
      <c r="X639">
        <f>IF(ISBLANK('Data Entry'!$X$639), "", 'Data Entry'!$X$639)</f>
      </c>
      <c r="Y639">
        <f>IF(ISBLANK('Data Entry'!$Y$639), "", 'Data Entry'!$Y$639)</f>
      </c>
      <c r="Z639">
        <f>IF(ISBLANK('Data Entry'!$Z$639), "", 'Data Entry'!$Z$639)</f>
      </c>
      <c r="AA639">
        <f>IF(ISBLANK('Data Entry'!$[$639), "", 'Data Entry'!$[$639)</f>
      </c>
      <c r="AB639">
        <f>IF(ISBLANK('Data Entry'!$\$639), "", 'Data Entry'!$\$639)</f>
      </c>
      <c r="AC639">
        <f>IF(ISBLANK('Data Entry'!$]$639), "", 'Data Entry'!$]$639)</f>
      </c>
      <c r="AD639">
        <f>IF(ISBLANK('Data Entry'!$^$639), "", 'Data Entry'!$^$639)</f>
      </c>
      <c r="AE639">
        <f>IF(ISBLANK('Data Entry'!$_$639), "", 'Data Entry'!$_$639)</f>
      </c>
      <c r="AF639">
        <f>IF(ISBLANK('Data Entry'!$`$639), "", 'Data Entry'!$`$639)</f>
      </c>
      <c r="AG639">
        <f>IF(ISBLANK('Data Entry'!$a$639), "", 'Data Entry'!$a$639)</f>
      </c>
      <c r="AH639">
        <f>IF(ISBLANK('Data Entry'!$b$639), "", 'Data Entry'!$b$639)</f>
      </c>
      <c r="AI639">
        <f>IF(ISBLANK('Data Entry'!$c$639), "", 'Data Entry'!$c$639)</f>
      </c>
      <c r="AJ639">
        <f>IF(ISBLANK('Data Entry'!$d$639), "", 'Data Entry'!$d$639)</f>
      </c>
      <c r="AK639">
        <f>IF(ISBLANK('Data Entry'!$e$639), "", 'Data Entry'!$e$639)</f>
      </c>
      <c r="AL639">
        <f>IF(ISBLANK('Data Entry'!$f$639), "", 'Data Entry'!$f$639)</f>
      </c>
      <c r="AM639">
        <f>IF(ISBLANK('Data Entry'!$g$639), "", 'Data Entry'!$g$639)</f>
      </c>
      <c r="AN639">
        <f>IF(ISBLANK('Data Entry'!$h$639), "", 'Data Entry'!$h$639)</f>
      </c>
      <c r="AO639">
        <f>IF(ISBLANK('Data Entry'!$i$639), "", 'Data Entry'!$i$639)</f>
      </c>
      <c r="AP639">
        <f>IF(ISBLANK('Data Entry'!$j$639), "", 'Data Entry'!$j$639)</f>
      </c>
      <c r="AQ639">
        <f>IF(ISBLANK('Data Entry'!$k$639), "", 'Data Entry'!$k$639)</f>
      </c>
      <c r="AR639">
        <f>IF(ISBLANK('Data Entry'!$l$639), "", 'Data Entry'!$l$639)</f>
      </c>
      <c r="AS639">
        <f>IF(ISBLANK('Data Entry'!$m$639), "", 'Data Entry'!$m$639)</f>
      </c>
      <c r="AT639">
        <f>IF(ISBLANK('Data Entry'!$n$639), "", 'Data Entry'!$n$639)</f>
      </c>
      <c r="AU639">
        <f>IF(ISBLANK('Data Entry'!$o$639), "", 'Data Entry'!$o$639)</f>
      </c>
      <c r="AV639">
        <f>IF(ISBLANK('Data Entry'!$p$639), "", 'Data Entry'!$p$639)</f>
      </c>
      <c r="AW639">
        <f>IF(ISBLANK('Data Entry'!$q$639), "", 'Data Entry'!$q$639)</f>
      </c>
      <c r="AX639">
        <f>IF(ISBLANK('Data Entry'!$r$639), "", 'Data Entry'!$r$639)</f>
      </c>
      <c r="AY639">
        <f>IF(ISBLANK('Data Entry'!$s$639), "", 'Data Entry'!$s$639)</f>
      </c>
      <c r="AZ639">
        <f>IF(ISBLANK('Data Entry'!$t$639), "", 'Data Entry'!$t$639)</f>
      </c>
      <c r="BA639">
        <f>IF(ISBLANK('Data Entry'!$u$639), "", 'Data Entry'!$u$639)</f>
      </c>
      <c r="BB639">
        <f>IF(ISBLANK('Data Entry'!$v$639), "", 'Data Entry'!$v$639)</f>
      </c>
      <c r="BC639">
        <f>IF(ISBLANK('Data Entry'!$w$639), "", 'Data Entry'!$w$639)</f>
      </c>
      <c r="BD639">
        <f>IF(ISBLANK('Data Entry'!$x$639), "", 'Data Entry'!$x$639)</f>
      </c>
      <c r="BE639">
        <f>IF(ISBLANK('Data Entry'!$y$639), "", 'Data Entry'!$y$639)</f>
      </c>
      <c r="BF639">
        <f>IF(ISBLANK('Data Entry'!$z$639), "", 'Data Entry'!$z$639)</f>
      </c>
      <c r="BG639">
        <f>IF(ISBLANK('Data Entry'!${$639), "", 'Data Entry'!${$639)</f>
      </c>
      <c r="BH639">
        <f>IF(ISBLANK('Data Entry'!$|$639), "", 'Data Entry'!$|$639)</f>
      </c>
      <c r="BI639">
        <f>IF(ISBLANK('Data Entry'!$}$639), "", 'Data Entry'!$}$639)</f>
      </c>
      <c r="BJ639">
        <f>IF(ISBLANK('Data Entry'!$~$639), "", 'Data Entry'!$~$639)</f>
      </c>
      <c r="BK639">
        <f>IF(ISBLANK('Data Entry'!$$639), "", 'Data Entry'!$$639)</f>
      </c>
      <c r="BL639">
        <f>IF(ISBLANK('Data Entry'!$$639), "", 'Data Entry'!$$639)</f>
      </c>
      <c r="BM639">
        <f>IF(ISBLANK('Data Entry'!$$639), "", 'Data Entry'!$$639)</f>
      </c>
      <c r="BN639">
        <f>IF(ISBLANK('Data Entry'!$$639), "", 'Data Entry'!$$639)</f>
      </c>
      <c r="BO639">
        <f>IF(ISBLANK('Data Entry'!$$639), "", 'Data Entry'!$$639)</f>
      </c>
      <c r="BP639">
        <f>IF(ISBLANK('Data Entry'!$$639), "", 'Data Entry'!$$639)</f>
      </c>
      <c r="BQ639">
        <f>IF(ISBLANK('Data Entry'!$$639), "", 'Data Entry'!$$639)</f>
      </c>
      <c r="BR639">
        <f>IF(ISBLANK('Data Entry'!$$639), "", 'Data Entry'!$$639)</f>
      </c>
      <c r="BS639">
        <f>IF(ISBLANK('Data Entry'!$$639), "", 'Data Entry'!$$639)</f>
      </c>
      <c r="BT639">
        <f>IF(ISBLANK('Data Entry'!$$639), "", 'Data Entry'!$$639)</f>
      </c>
      <c r="BU639">
        <f>IF(ISBLANK('Data Entry'!$$639), "", 'Data Entry'!$$639)</f>
      </c>
      <c r="BV639">
        <f>IF(ISBLANK('Data Entry'!$$639), "", 'Data Entry'!$$639)</f>
      </c>
      <c r="BW639">
        <f>IF(ISBLANK('Data Entry'!$$639), "", 'Data Entry'!$$639)</f>
      </c>
      <c r="BX639">
        <f>IF(ISBLANK('Data Entry'!$$639), "", 'Data Entry'!$$639)</f>
      </c>
      <c r="BY639">
        <f>IF(ISBLANK('Data Entry'!$$639), "", 'Data Entry'!$$639)</f>
      </c>
      <c r="BZ639">
        <f>IF(ISBLANK('Data Entry'!$$639), "", 'Data Entry'!$$639)</f>
      </c>
      <c r="CA639">
        <f>IF(ISBLANK('Data Entry'!$$639), "", 'Data Entry'!$$639)</f>
      </c>
      <c r="CB639">
        <f>IF(ISBLANK('Data Entry'!$$639), "", 'Data Entry'!$$639)</f>
      </c>
      <c r="CC639">
        <f>IF(ISBLANK('Data Entry'!$$639), "", 'Data Entry'!$$639)</f>
      </c>
      <c r="CD639">
        <f>IF(ISBLANK('Data Entry'!$$639), "", 'Data Entry'!$$639)</f>
      </c>
      <c r="CE639">
        <f>IF(ISBLANK('Data Entry'!$$639), "", 'Data Entry'!$$639)</f>
      </c>
      <c r="CF639">
        <f>IF(ISBLANK('Data Entry'!$$639), "", 'Data Entry'!$$639)</f>
      </c>
      <c r="CG639">
        <f>IF(ISBLANK('Data Entry'!$$639), "", 'Data Entry'!$$639)</f>
      </c>
      <c r="CH639">
        <f>IF(ISBLANK('Data Entry'!$$639), "", 'Data Entry'!$$639)</f>
      </c>
      <c r="CI639">
        <f>IF(ISBLANK('Data Entry'!$$639), "", 'Data Entry'!$$639)</f>
      </c>
      <c r="CJ639">
        <f>IF(ISBLANK('Data Entry'!$$639), "", 'Data Entry'!$$639)</f>
      </c>
      <c r="CK639">
        <f>IF(ISBLANK('Data Entry'!$$639), "", 'Data Entry'!$$639)</f>
      </c>
      <c r="CL639">
        <f>IF(ISBLANK('Data Entry'!$$639), "", 'Data Entry'!$$639)</f>
      </c>
      <c r="CM639">
        <f>IF(ISBLANK('Data Entry'!$$639), "", 'Data Entry'!$$639)</f>
      </c>
      <c r="CN639">
        <f>IF(ISBLANK('Data Entry'!$$639), "", 'Data Entry'!$$639)</f>
      </c>
      <c r="CO639">
        <f>IF(ISBLANK('Data Entry'!$$639), "", 'Data Entry'!$$639)</f>
      </c>
      <c r="CP639">
        <f>IF(ISBLANK('Data Entry'!$$639), "", 'Data Entry'!$$639)</f>
      </c>
      <c r="CQ639">
        <f>IF(ISBLANK('Data Entry'!$$639), "", 'Data Entry'!$$639)</f>
      </c>
      <c r="CR639">
        <f>IF(ISBLANK('Data Entry'!$ $639), "", 'Data Entry'!$ $639)</f>
      </c>
      <c r="CS639">
        <f>IF(ISBLANK('Data Entry'!$¡$639), "", 'Data Entry'!$¡$639)</f>
      </c>
      <c r="CT639">
        <f>IF(ISBLANK('Data Entry'!$¢$639), "", 'Data Entry'!$¢$639)</f>
      </c>
      <c r="CU639">
        <f>IF(ISBLANK('Data Entry'!$£$639), "", 'Data Entry'!$£$639)</f>
      </c>
      <c r="CV639">
        <f>IF(ISBLANK('Data Entry'!$¤$639), "", 'Data Entry'!$¤$639)</f>
      </c>
      <c r="CW639">
        <f>IF(ISBLANK('Data Entry'!$¥$639), "", 'Data Entry'!$¥$639)</f>
      </c>
      <c r="CX639">
        <f>IF(ISBLANK('Data Entry'!$¦$639), "", 'Data Entry'!$¦$639)</f>
      </c>
      <c r="CY639">
        <f>IF(ISBLANK('Data Entry'!$§$639), "", 'Data Entry'!$§$639)</f>
      </c>
      <c r="CZ639">
        <f>IF(ISBLANK('Data Entry'!$¨$639), "", 'Data Entry'!$¨$639)</f>
      </c>
      <c r="DA639">
        <f>IF(ISBLANK('Data Entry'!$©$639), "", 'Data Entry'!$©$639)</f>
      </c>
      <c r="DB639">
        <f>IF(ISBLANK('Data Entry'!$ª$639), "", 'Data Entry'!$ª$639)</f>
      </c>
      <c r="DC639">
        <f>IF(ISBLANK('Data Entry'!$«$639), "", 'Data Entry'!$«$639)</f>
      </c>
      <c r="DD639">
        <f>IF(ISBLANK('Data Entry'!$¬$639), "", 'Data Entry'!$¬$639)</f>
      </c>
      <c r="DE639">
        <f>IF(ISBLANK('Data Entry'!$­$639), "", 'Data Entry'!$­$639)</f>
      </c>
      <c r="DF639">
        <f>IF(ISBLANK('Data Entry'!$®$639), "", 'Data Entry'!$®$639)</f>
      </c>
      <c r="DG639">
        <f>IF(ISBLANK('Data Entry'!$¯$639), "", 'Data Entry'!$¯$639)</f>
      </c>
      <c r="DH639">
        <f>IF(ISBLANK('Data Entry'!$°$639), "", 'Data Entry'!$°$639)</f>
      </c>
      <c r="DI639">
        <f>IF(ISBLANK('Data Entry'!$±$639), "", 'Data Entry'!$±$639)</f>
      </c>
      <c r="DJ639">
        <f>IF(ISBLANK('Data Entry'!$²$639), "", 'Data Entry'!$²$639)</f>
      </c>
      <c r="DK639">
        <f>IF(ISBLANK('Data Entry'!$³$639), "", 'Data Entry'!$³$639)</f>
      </c>
      <c r="DL639">
        <f>IF(ISBLANK('Data Entry'!$´$639), "", 'Data Entry'!$´$639)</f>
      </c>
      <c r="DM639">
        <f>IF(ISBLANK('Data Entry'!$µ$639), "", 'Data Entry'!$µ$639)</f>
      </c>
      <c r="DN639">
        <f>IF(ISBLANK('Data Entry'!$¶$639), "", 'Data Entry'!$¶$639)</f>
      </c>
      <c r="DO639">
        <f>IF(ISBLANK('Data Entry'!$·$639), "", 'Data Entry'!$·$639)</f>
      </c>
      <c r="DP639">
        <f>IF(ISBLANK('Data Entry'!$¸$639), "", 'Data Entry'!$¸$639)</f>
      </c>
      <c r="DQ639">
        <f>IF(ISBLANK('Data Entry'!$¹$639), "", 'Data Entry'!$¹$639)</f>
      </c>
      <c r="DR639">
        <f>IF(ISBLANK('Data Entry'!$º$639), "", 'Data Entry'!$º$639)</f>
      </c>
      <c r="DS639">
        <f>IF(ISBLANK('Data Entry'!$»$639), "", 'Data Entry'!$»$639)</f>
      </c>
      <c r="DT639">
        <f>IF(ISBLANK('Data Entry'!$¼$639), "", 'Data Entry'!$¼$639)</f>
      </c>
      <c r="DU639">
        <f>IF(ISBLANK('Data Entry'!$½$639), "", 'Data Entry'!$½$639)</f>
      </c>
      <c r="DV639">
        <f>IF(ISBLANK('Data Entry'!$¾$639), "", 'Data Entry'!$¾$639)</f>
      </c>
      <c r="DW639">
        <f>IF(ISBLANK('Data Entry'!$¿$639), "", 'Data Entry'!$¿$639)</f>
      </c>
      <c r="DX639">
        <f>IF(ISBLANK('Data Entry'!$À$639), "", 'Data Entry'!$À$639)</f>
      </c>
      <c r="DY639">
        <f>IF(ISBLANK('Data Entry'!$Á$639), "", 'Data Entry'!$Á$639)</f>
      </c>
      <c r="DZ639">
        <f>IF(ISBLANK('Data Entry'!$Â$639), "", 'Data Entry'!$Â$639)</f>
      </c>
      <c r="EA639">
        <f>IF(ISBLANK('Data Entry'!$Ã$639), "", 'Data Entry'!$Ã$639)</f>
      </c>
      <c r="EB639">
        <f>IF(ISBLANK('Data Entry'!$Ä$639), "", 'Data Entry'!$Ä$639)</f>
      </c>
      <c r="EC639">
        <f>IF(ISBLANK('Data Entry'!$Å$639), "", 'Data Entry'!$Å$639)</f>
      </c>
      <c r="ED639">
        <f>IF(ISBLANK('Data Entry'!$Æ$639), "", 'Data Entry'!$Æ$639)</f>
      </c>
      <c r="EE639">
        <f>IF(ISBLANK('Data Entry'!$Ç$639), "", 'Data Entry'!$Ç$639)</f>
      </c>
      <c r="EF639">
        <f>IF(ISBLANK('Data Entry'!$È$639), "", 'Data Entry'!$È$639)</f>
      </c>
      <c r="EG639">
        <f>IF(ISBLANK('Data Entry'!$É$639), "", 'Data Entry'!$É$639)</f>
      </c>
      <c r="EH639">
        <f>IF(ISBLANK('Data Entry'!$Ê$639), "", 'Data Entry'!$Ê$639)</f>
      </c>
      <c r="EI639">
        <f>IF(ISBLANK('Data Entry'!$Ë$639), "", 'Data Entry'!$Ë$639)</f>
      </c>
      <c r="EJ639">
        <f>IF(ISBLANK('Data Entry'!$Ì$639), "", 'Data Entry'!$Ì$639)</f>
      </c>
      <c r="EK639">
        <f>IF(ISBLANK('Data Entry'!$Í$639), "", 'Data Entry'!$Í$639)</f>
      </c>
      <c r="EL639">
        <f>IF(ISBLANK('Data Entry'!$Î$639), "", 'Data Entry'!$Î$639)</f>
      </c>
      <c r="EM639">
        <f>IF(ISBLANK('Data Entry'!$Ï$639), "", 'Data Entry'!$Ï$639)</f>
      </c>
      <c r="EN639">
        <f>IF(ISBLANK('Data Entry'!$Ð$639), "", 'Data Entry'!$Ð$639)</f>
      </c>
      <c r="EO639">
        <f>IF(ISBLANK('Data Entry'!$Ñ$639), "", 'Data Entry'!$Ñ$639)</f>
      </c>
      <c r="EP639">
        <f>IF(ISBLANK('Data Entry'!$Ò$639), "", 'Data Entry'!$Ò$639)</f>
      </c>
      <c r="EQ639">
        <f>IF(ISBLANK('Data Entry'!$Ó$639), "", 'Data Entry'!$Ó$639)</f>
      </c>
      <c r="ER639">
        <f>IF(ISBLANK('Data Entry'!$Ô$639), "", 'Data Entry'!$Ô$639)</f>
      </c>
      <c r="ES639">
        <f>IF(ISBLANK('Data Entry'!$Õ$639), "", 'Data Entry'!$Õ$639)</f>
      </c>
      <c r="ET639">
        <f>IF(ISBLANK('Data Entry'!$Ö$639), "", 'Data Entry'!$Ö$639)</f>
      </c>
      <c r="EU639">
        <f>IF(ISBLANK('Data Entry'!$×$639), "", 'Data Entry'!$×$639)</f>
      </c>
      <c r="EV639">
        <f>IF(ISBLANK('Data Entry'!$Ø$639), "", 'Data Entry'!$Ø$639)</f>
      </c>
      <c r="EW639">
        <f>IF(ISBLANK('Data Entry'!$Ù$639), "", 'Data Entry'!$Ù$639)</f>
      </c>
      <c r="EX639">
        <f>IF(ISBLANK('Data Entry'!$Ú$639), "", 'Data Entry'!$Ú$639)</f>
      </c>
      <c r="EY639">
        <f>IF(ISBLANK('Data Entry'!$Û$639), "", 'Data Entry'!$Û$639)</f>
      </c>
      <c r="EZ639">
        <f>IF(ISBLANK('Data Entry'!$Ü$639), "", 'Data Entry'!$Ü$639)</f>
      </c>
      <c r="FA639">
        <f>IF(ISBLANK('Data Entry'!$Ý$639), "", 'Data Entry'!$Ý$639)</f>
      </c>
      <c r="FB639">
        <f>IF(ISBLANK('Data Entry'!$Þ$639), "", 'Data Entry'!$Þ$639)</f>
      </c>
      <c r="FC639">
        <f>IF(ISBLANK('Data Entry'!$ß$639), "", 'Data Entry'!$ß$639)</f>
      </c>
      <c r="FD639">
        <f>IF(ISBLANK('Data Entry'!$à$639), "", 'Data Entry'!$à$639)</f>
      </c>
      <c r="FE639">
        <f>IF(ISBLANK('Data Entry'!$á$639), "", 'Data Entry'!$á$639)</f>
      </c>
      <c r="FF639">
        <f>IF(ISBLANK('Data Entry'!$â$639), "", 'Data Entry'!$â$639)</f>
      </c>
      <c r="FG639">
        <f>IF(ISBLANK('Data Entry'!$ã$639), "", 'Data Entry'!$ã$639)</f>
      </c>
      <c r="FH639">
        <f>IF(ISBLANK('Data Entry'!$ä$639), "", 'Data Entry'!$ä$639)</f>
      </c>
      <c r="FI639">
        <f>IF(ISBLANK('Data Entry'!$å$639), "", 'Data Entry'!$å$639)</f>
      </c>
      <c r="FJ639">
        <f>IF(ISBLANK('Data Entry'!$æ$639), "", 'Data Entry'!$æ$639)</f>
      </c>
      <c r="FK639">
        <f>IF(ISBLANK('Data Entry'!$ç$639), "", 'Data Entry'!$ç$639)</f>
      </c>
      <c r="FL639">
        <f>IF(ISBLANK('Data Entry'!$è$639), "", 'Data Entry'!$è$639)</f>
      </c>
      <c r="FM639">
        <f>IF(ISBLANK('Data Entry'!$é$639), "", 'Data Entry'!$é$639)</f>
      </c>
      <c r="FN639">
        <f>IF(ISBLANK('Data Entry'!$ê$639), "", 'Data Entry'!$ê$639)</f>
      </c>
      <c r="FO639">
        <f>IF(ISBLANK('Data Entry'!$ë$639), "", 'Data Entry'!$ë$639)</f>
      </c>
      <c r="FP639">
        <f>IF(ISBLANK('Data Entry'!$ì$639), "", 'Data Entry'!$ì$639)</f>
      </c>
      <c r="FQ639">
        <f>IF(ISBLANK('Data Entry'!$í$639), "", 'Data Entry'!$í$639)</f>
      </c>
      <c r="FR639">
        <f>IF(ISBLANK('Data Entry'!$î$639), "", 'Data Entry'!$î$639)</f>
      </c>
      <c r="FS639">
        <f>IF(ISBLANK('Data Entry'!$ï$639), "", 'Data Entry'!$ï$639)</f>
      </c>
      <c r="FT639">
        <f>IF(ISBLANK('Data Entry'!$ð$639), "", 'Data Entry'!$ð$639)</f>
      </c>
      <c r="FU639">
        <f>IF(ISBLANK('Data Entry'!$ñ$639), "", 'Data Entry'!$ñ$639)</f>
      </c>
      <c r="FV639">
        <f>IF(ISBLANK('Data Entry'!$ò$639), "", 'Data Entry'!$ò$639)</f>
      </c>
      <c r="FW639">
        <f>IF(ISBLANK('Data Entry'!$ó$639), "", 'Data Entry'!$ó$639)</f>
      </c>
      <c r="FX639">
        <f>IF(ISBLANK('Data Entry'!$ô$639), "", 'Data Entry'!$ô$639)</f>
      </c>
      <c r="FY639">
        <f>IF(ISBLANK('Data Entry'!$õ$639), "", 'Data Entry'!$õ$639)</f>
      </c>
      <c r="FZ639">
        <f>IF(ISBLANK('Data Entry'!$ö$639), "", 'Data Entry'!$ö$639)</f>
      </c>
      <c r="GA639">
        <f>IF(ISBLANK('Data Entry'!$÷$639), "", 'Data Entry'!$÷$639)</f>
      </c>
      <c r="GB639">
        <f>IF(ISBLANK('Data Entry'!$ø$639), "", 'Data Entry'!$ø$639)</f>
      </c>
      <c r="GC639">
        <f>IF(ISBLANK('Data Entry'!$ù$639), "", 'Data Entry'!$ù$639)</f>
      </c>
      <c r="GD639">
        <f>IF(ISBLANK('Data Entry'!$ú$639), "", 'Data Entry'!$ú$639)</f>
      </c>
      <c r="GE639">
        <f>IF(ISBLANK('Data Entry'!$û$639), "", 'Data Entry'!$û$639)</f>
      </c>
      <c r="GF639">
        <f>IF(ISBLANK('Data Entry'!$ü$639), "", 'Data Entry'!$ü$639)</f>
      </c>
      <c r="GG639">
        <f>IF(ISBLANK('Data Entry'!$ý$639), "", 'Data Entry'!$ý$639)</f>
      </c>
      <c r="GH639">
        <f>IF(ISBLANK('Data Entry'!$þ$639), "", 'Data Entry'!$þ$639)</f>
      </c>
      <c r="GI639">
        <f>IF(ISBLANK('Data Entry'!$ÿ$639), "", 'Data Entry'!$ÿ$639)</f>
      </c>
      <c r="GJ639">
        <f>IF(ISBLANK('Data Entry'!$Ā$639), "", 'Data Entry'!$Ā$639)</f>
      </c>
      <c r="GK639">
        <f>IF(ISBLANK('Data Entry'!$ā$639), "", 'Data Entry'!$ā$639)</f>
      </c>
      <c r="GL639">
        <f>IF(ISBLANK('Data Entry'!$Ă$639), "", 'Data Entry'!$Ă$639)</f>
      </c>
      <c r="GM639">
        <f>IF(ISBLANK('Data Entry'!$ă$639), "", 'Data Entry'!$ă$639)</f>
      </c>
      <c r="GN639">
        <f>IF(ISBLANK('Data Entry'!$Ą$639), "", 'Data Entry'!$Ą$639)</f>
      </c>
      <c r="GO639">
        <f>IF(ISBLANK('Data Entry'!$ą$639), "", 'Data Entry'!$ą$639)</f>
      </c>
      <c r="GP639">
        <f>IF(ISBLANK('Data Entry'!$Ć$639), "", 'Data Entry'!$Ć$639)</f>
      </c>
      <c r="GQ639">
        <f>IF(ISBLANK('Data Entry'!$ć$639), "", 'Data Entry'!$ć$639)</f>
      </c>
      <c r="GR639">
        <f>IF(ISBLANK('Data Entry'!$Ĉ$639), "", 'Data Entry'!$Ĉ$639)</f>
      </c>
      <c r="GS639">
        <f>IF(ISBLANK('Data Entry'!$ĉ$639), "", 'Data Entry'!$ĉ$639)</f>
      </c>
      <c r="GT639">
        <f>IF(ISBLANK('Data Entry'!$Ċ$639), "", 'Data Entry'!$Ċ$639)</f>
      </c>
      <c r="GU639">
        <f>IF(ISBLANK('Data Entry'!$ċ$639), "", 'Data Entry'!$ċ$639)</f>
      </c>
      <c r="GV639">
        <f>IF(ISBLANK('Data Entry'!$Č$639), "", 'Data Entry'!$Č$639)</f>
      </c>
      <c r="GW639">
        <f>IF(ISBLANK('Data Entry'!$č$639), "", 'Data Entry'!$č$639)</f>
      </c>
      <c r="GX639">
        <f>IF(ISBLANK('Data Entry'!$Ď$639), "", 'Data Entry'!$Ď$639)</f>
      </c>
      <c r="GY639">
        <f>IF(ISBLANK('Data Entry'!$ď$639), "", 'Data Entry'!$ď$639)</f>
      </c>
      <c r="GZ639">
        <f>IF(ISBLANK('Data Entry'!$Đ$639), "", 'Data Entry'!$Đ$639)</f>
      </c>
      <c r="HA639">
        <f>IF(ISBLANK('Data Entry'!$đ$639), "", 'Data Entry'!$đ$639)</f>
      </c>
      <c r="HB639">
        <f>IF(ISBLANK('Data Entry'!$Ē$639), "", 'Data Entry'!$Ē$639)</f>
      </c>
      <c r="HC639">
        <f>IF(ISBLANK('Data Entry'!$ē$639), "", 'Data Entry'!$ē$639)</f>
      </c>
      <c r="HD639">
        <f>IF(ISBLANK('Data Entry'!$Ĕ$639), "", 'Data Entry'!$Ĕ$639)</f>
      </c>
      <c r="HE639">
        <f>IF(ISBLANK('Data Entry'!$ĕ$639), "", 'Data Entry'!$ĕ$639)</f>
      </c>
      <c r="HF639">
        <f>IF(ISBLANK('Data Entry'!$Ė$639), "", 'Data Entry'!$Ė$639)</f>
      </c>
      <c r="HG639">
        <f>IF(ISBLANK('Data Entry'!$ė$639), "", 'Data Entry'!$ė$639)</f>
      </c>
      <c r="HH639">
        <f>IF(ISBLANK('Data Entry'!$Ę$639), "", 'Data Entry'!$Ę$639)</f>
      </c>
      <c r="HI639">
        <f>IF(ISBLANK('Data Entry'!$ę$639), "", 'Data Entry'!$ę$639)</f>
      </c>
      <c r="HJ639">
        <f>IF(ISBLANK('Data Entry'!$Ě$639), "", 'Data Entry'!$Ě$639)</f>
      </c>
      <c r="HK639">
        <f>IF(ISBLANK('Data Entry'!$ě$639), "", 'Data Entry'!$ě$639)</f>
      </c>
      <c r="HL639">
        <f>IF(ISBLANK('Data Entry'!$Ĝ$639), "", 'Data Entry'!$Ĝ$639)</f>
      </c>
      <c r="HM639">
        <f>IF(ISBLANK('Data Entry'!$ĝ$639), "", 'Data Entry'!$ĝ$639)</f>
      </c>
      <c r="HN639">
        <f>IF(ISBLANK('Data Entry'!$Ğ$639), "", 'Data Entry'!$Ğ$639)</f>
      </c>
      <c r="HO639">
        <f>IF(ISBLANK('Data Entry'!$ğ$639), "", 'Data Entry'!$ğ$639)</f>
      </c>
      <c r="HP639">
        <f>IF(ISBLANK('Data Entry'!$Ġ$639), "", 'Data Entry'!$Ġ$639)</f>
      </c>
      <c r="HQ639">
        <f>IF(ISBLANK('Data Entry'!$ġ$639), "", 'Data Entry'!$ġ$639)</f>
      </c>
      <c r="HR639">
        <f>IF(ISBLANK('Data Entry'!$Ģ$639), "", 'Data Entry'!$Ģ$639)</f>
      </c>
      <c r="HS639">
        <f>IF(ISBLANK('Data Entry'!$ģ$639), "", 'Data Entry'!$ģ$639)</f>
      </c>
      <c r="HT639">
        <f>IF(ISBLANK('Data Entry'!$Ĥ$639), "", 'Data Entry'!$Ĥ$639)</f>
      </c>
      <c r="HU639">
        <f>IF(ISBLANK('Data Entry'!$ĥ$639), "", 'Data Entry'!$ĥ$639)</f>
      </c>
      <c r="HV639">
        <f>IF(ISBLANK('Data Entry'!$Ħ$639), "", 'Data Entry'!$Ħ$639)</f>
      </c>
      <c r="HW639">
        <f>IF(ISBLANK('Data Entry'!$ħ$639), "", 'Data Entry'!$ħ$639)</f>
      </c>
      <c r="HX639">
        <f>IF(ISBLANK('Data Entry'!$Ĩ$639), "", 'Data Entry'!$Ĩ$639)</f>
      </c>
      <c r="HY639">
        <f>IF(ISBLANK('Data Entry'!$ĩ$639), "", 'Data Entry'!$ĩ$639)</f>
      </c>
      <c r="HZ639">
        <f>IF(ISBLANK('Data Entry'!$Ī$639), "", 'Data Entry'!$Ī$639)</f>
      </c>
      <c r="IA639">
        <f>IF(ISBLANK('Data Entry'!$ī$639), "", 'Data Entry'!$ī$639)</f>
      </c>
      <c r="IB639">
        <f>IF(ISBLANK('Data Entry'!$Ĭ$639), "", 'Data Entry'!$Ĭ$639)</f>
      </c>
      <c r="IC639">
        <f>IF(ISBLANK('Data Entry'!$ĭ$639), "", 'Data Entry'!$ĭ$639)</f>
      </c>
      <c r="ID639">
        <f>IF(ISBLANK('Data Entry'!$Į$639), "", 'Data Entry'!$Į$639)</f>
      </c>
      <c r="IE639">
        <f>IF(ISBLANK('Data Entry'!$į$639), "", 'Data Entry'!$į$639)</f>
      </c>
      <c r="IF639">
        <f>IF(ISBLANK('Data Entry'!$İ$639), "", 'Data Entry'!$İ$639)</f>
      </c>
      <c r="IG639">
        <f>IF(ISBLANK('Data Entry'!$ı$639), "", 'Data Entry'!$ı$639)</f>
      </c>
      <c r="IH639">
        <f>IF(ISBLANK('Data Entry'!$Ĳ$639), "", 'Data Entry'!$Ĳ$639)</f>
      </c>
      <c r="II639">
        <f>IF(ISBLANK('Data Entry'!$ĳ$639), "", 'Data Entry'!$ĳ$639)</f>
      </c>
      <c r="IJ639">
        <f>IF(ISBLANK('Data Entry'!$Ĵ$639), "", 'Data Entry'!$Ĵ$639)</f>
      </c>
      <c r="IK639">
        <f>IF(ISBLANK('Data Entry'!$ĵ$639), "", 'Data Entry'!$ĵ$639)</f>
      </c>
      <c r="IL639">
        <f>IF(ISBLANK('Data Entry'!$Ķ$639), "", 'Data Entry'!$Ķ$639)</f>
      </c>
      <c r="IM639">
        <f>IF(ISBLANK('Data Entry'!$ķ$639), "", 'Data Entry'!$ķ$639)</f>
      </c>
      <c r="IN639">
        <f>IF(ISBLANK('Data Entry'!$ĸ$639), "", 'Data Entry'!$ĸ$639)</f>
      </c>
      <c r="IO639">
        <f>IF(ISBLANK('Data Entry'!$Ĺ$639), "", 'Data Entry'!$Ĺ$639)</f>
      </c>
      <c r="IP639">
        <f>IF(ISBLANK('Data Entry'!$ĺ$639), "", 'Data Entry'!$ĺ$639)</f>
      </c>
      <c r="IQ639">
        <f>IF(ISBLANK('Data Entry'!$Ļ$639), "", 'Data Entry'!$Ļ$639)</f>
      </c>
      <c r="IR639">
        <f>IF(ISBLANK('Data Entry'!$ļ$639), "", 'Data Entry'!$ļ$639)</f>
      </c>
      <c r="IS639">
        <f>IF(ISBLANK('Data Entry'!$Ľ$639), "", 'Data Entry'!$Ľ$639)</f>
      </c>
      <c r="IT639">
        <f>IF(ISBLANK('Data Entry'!$ľ$639), "", 'Data Entry'!$ľ$639)</f>
      </c>
    </row>
    <row r="640" spans="1:254" x14ac:dyDescent="0.25">
      <c r="A640">
        <f>IF(ISBLANK('Data Entry'!$A$640), "", 'Data Entry'!$A$640)</f>
      </c>
      <c r="B640">
        <f>IF(ISBLANK('Data Entry'!$B$640), "", 'Data Entry'!$B$640)</f>
      </c>
      <c r="C640">
        <f>IF(ISBLANK('Data Entry'!$C$640), "", 'Data Entry'!$C$640)</f>
      </c>
      <c r="D640">
        <f>IF(ISBLANK('Data Entry'!$D$640), "", 'Data Entry'!$D$640)</f>
      </c>
      <c r="E640">
        <f>IF(ISBLANK('Data Entry'!$E$640), "", 'Data Entry'!$E$640)</f>
      </c>
      <c r="F640">
        <f>IF(ISBLANK('Data Entry'!$F$640), "", 'Data Entry'!$F$640)</f>
      </c>
      <c r="G640">
        <f>IF(ISBLANK('Data Entry'!$G$640), "", 'Data Entry'!$G$640)</f>
      </c>
      <c r="H640">
        <f>IF(ISBLANK('Data Entry'!$H$640), "", 'Data Entry'!$H$640)</f>
      </c>
      <c r="I640">
        <f>IF(ISBLANK('Data Entry'!$I$640), "", 'Data Entry'!$I$640)</f>
      </c>
      <c r="J640">
        <f>IF(ISBLANK('Data Entry'!$J$640), "", 'Data Entry'!$J$640)</f>
      </c>
      <c r="K640">
        <f>IF(ISBLANK('Data Entry'!$K$640), "", 'Data Entry'!$K$640)</f>
      </c>
      <c r="L640">
        <f>IF(ISBLANK('Data Entry'!$L$640), "", 'Data Entry'!$L$640)</f>
      </c>
      <c r="M640">
        <f>IF(ISBLANK('Data Entry'!$M$640), "", 'Data Entry'!$M$640)</f>
      </c>
      <c r="N640">
        <f>IF(ISBLANK('Data Entry'!$N$640), "", 'Data Entry'!$N$640)</f>
      </c>
      <c r="O640">
        <f>IF(ISBLANK('Data Entry'!$O$640), "", 'Data Entry'!$O$640)</f>
      </c>
      <c r="P640">
        <f>IF(ISBLANK('Data Entry'!$P$640), "", 'Data Entry'!$P$640)</f>
      </c>
      <c r="Q640">
        <f>IF(ISBLANK('Data Entry'!$Q$640), "", 'Data Entry'!$Q$640)</f>
      </c>
      <c r="R640">
        <f>IF(ISBLANK('Data Entry'!$R$640), "", 'Data Entry'!$R$640)</f>
      </c>
      <c r="S640">
        <f>IF(ISBLANK('Data Entry'!$S$640), "", 'Data Entry'!$S$640)</f>
      </c>
      <c r="T640">
        <f>IF(ISBLANK('Data Entry'!$T$640), "", 'Data Entry'!$T$640)</f>
      </c>
      <c r="U640">
        <f>IF(ISBLANK('Data Entry'!$U$640), "", 'Data Entry'!$U$640)</f>
      </c>
      <c r="V640">
        <f>IF(ISBLANK('Data Entry'!$V$640), "", 'Data Entry'!$V$640)</f>
      </c>
      <c r="W640">
        <f>IF(ISBLANK('Data Entry'!$W$640), "", 'Data Entry'!$W$640)</f>
      </c>
      <c r="X640">
        <f>IF(ISBLANK('Data Entry'!$X$640), "", 'Data Entry'!$X$640)</f>
      </c>
      <c r="Y640">
        <f>IF(ISBLANK('Data Entry'!$Y$640), "", 'Data Entry'!$Y$640)</f>
      </c>
      <c r="Z640">
        <f>IF(ISBLANK('Data Entry'!$Z$640), "", 'Data Entry'!$Z$640)</f>
      </c>
      <c r="AA640">
        <f>IF(ISBLANK('Data Entry'!$[$640), "", 'Data Entry'!$[$640)</f>
      </c>
      <c r="AB640">
        <f>IF(ISBLANK('Data Entry'!$\$640), "", 'Data Entry'!$\$640)</f>
      </c>
      <c r="AC640">
        <f>IF(ISBLANK('Data Entry'!$]$640), "", 'Data Entry'!$]$640)</f>
      </c>
      <c r="AD640">
        <f>IF(ISBLANK('Data Entry'!$^$640), "", 'Data Entry'!$^$640)</f>
      </c>
      <c r="AE640">
        <f>IF(ISBLANK('Data Entry'!$_$640), "", 'Data Entry'!$_$640)</f>
      </c>
      <c r="AF640">
        <f>IF(ISBLANK('Data Entry'!$`$640), "", 'Data Entry'!$`$640)</f>
      </c>
      <c r="AG640">
        <f>IF(ISBLANK('Data Entry'!$a$640), "", 'Data Entry'!$a$640)</f>
      </c>
      <c r="AH640">
        <f>IF(ISBLANK('Data Entry'!$b$640), "", 'Data Entry'!$b$640)</f>
      </c>
      <c r="AI640">
        <f>IF(ISBLANK('Data Entry'!$c$640), "", 'Data Entry'!$c$640)</f>
      </c>
      <c r="AJ640">
        <f>IF(ISBLANK('Data Entry'!$d$640), "", 'Data Entry'!$d$640)</f>
      </c>
      <c r="AK640">
        <f>IF(ISBLANK('Data Entry'!$e$640), "", 'Data Entry'!$e$640)</f>
      </c>
      <c r="AL640">
        <f>IF(ISBLANK('Data Entry'!$f$640), "", 'Data Entry'!$f$640)</f>
      </c>
      <c r="AM640">
        <f>IF(ISBLANK('Data Entry'!$g$640), "", 'Data Entry'!$g$640)</f>
      </c>
      <c r="AN640">
        <f>IF(ISBLANK('Data Entry'!$h$640), "", 'Data Entry'!$h$640)</f>
      </c>
      <c r="AO640">
        <f>IF(ISBLANK('Data Entry'!$i$640), "", 'Data Entry'!$i$640)</f>
      </c>
      <c r="AP640">
        <f>IF(ISBLANK('Data Entry'!$j$640), "", 'Data Entry'!$j$640)</f>
      </c>
      <c r="AQ640">
        <f>IF(ISBLANK('Data Entry'!$k$640), "", 'Data Entry'!$k$640)</f>
      </c>
      <c r="AR640">
        <f>IF(ISBLANK('Data Entry'!$l$640), "", 'Data Entry'!$l$640)</f>
      </c>
      <c r="AS640">
        <f>IF(ISBLANK('Data Entry'!$m$640), "", 'Data Entry'!$m$640)</f>
      </c>
      <c r="AT640">
        <f>IF(ISBLANK('Data Entry'!$n$640), "", 'Data Entry'!$n$640)</f>
      </c>
      <c r="AU640">
        <f>IF(ISBLANK('Data Entry'!$o$640), "", 'Data Entry'!$o$640)</f>
      </c>
      <c r="AV640">
        <f>IF(ISBLANK('Data Entry'!$p$640), "", 'Data Entry'!$p$640)</f>
      </c>
      <c r="AW640">
        <f>IF(ISBLANK('Data Entry'!$q$640), "", 'Data Entry'!$q$640)</f>
      </c>
      <c r="AX640">
        <f>IF(ISBLANK('Data Entry'!$r$640), "", 'Data Entry'!$r$640)</f>
      </c>
      <c r="AY640">
        <f>IF(ISBLANK('Data Entry'!$s$640), "", 'Data Entry'!$s$640)</f>
      </c>
      <c r="AZ640">
        <f>IF(ISBLANK('Data Entry'!$t$640), "", 'Data Entry'!$t$640)</f>
      </c>
      <c r="BA640">
        <f>IF(ISBLANK('Data Entry'!$u$640), "", 'Data Entry'!$u$640)</f>
      </c>
      <c r="BB640">
        <f>IF(ISBLANK('Data Entry'!$v$640), "", 'Data Entry'!$v$640)</f>
      </c>
      <c r="BC640">
        <f>IF(ISBLANK('Data Entry'!$w$640), "", 'Data Entry'!$w$640)</f>
      </c>
      <c r="BD640">
        <f>IF(ISBLANK('Data Entry'!$x$640), "", 'Data Entry'!$x$640)</f>
      </c>
      <c r="BE640">
        <f>IF(ISBLANK('Data Entry'!$y$640), "", 'Data Entry'!$y$640)</f>
      </c>
      <c r="BF640">
        <f>IF(ISBLANK('Data Entry'!$z$640), "", 'Data Entry'!$z$640)</f>
      </c>
      <c r="BG640">
        <f>IF(ISBLANK('Data Entry'!${$640), "", 'Data Entry'!${$640)</f>
      </c>
      <c r="BH640">
        <f>IF(ISBLANK('Data Entry'!$|$640), "", 'Data Entry'!$|$640)</f>
      </c>
      <c r="BI640">
        <f>IF(ISBLANK('Data Entry'!$}$640), "", 'Data Entry'!$}$640)</f>
      </c>
      <c r="BJ640">
        <f>IF(ISBLANK('Data Entry'!$~$640), "", 'Data Entry'!$~$640)</f>
      </c>
      <c r="BK640">
        <f>IF(ISBLANK('Data Entry'!$$640), "", 'Data Entry'!$$640)</f>
      </c>
      <c r="BL640">
        <f>IF(ISBLANK('Data Entry'!$$640), "", 'Data Entry'!$$640)</f>
      </c>
      <c r="BM640">
        <f>IF(ISBLANK('Data Entry'!$$640), "", 'Data Entry'!$$640)</f>
      </c>
      <c r="BN640">
        <f>IF(ISBLANK('Data Entry'!$$640), "", 'Data Entry'!$$640)</f>
      </c>
      <c r="BO640">
        <f>IF(ISBLANK('Data Entry'!$$640), "", 'Data Entry'!$$640)</f>
      </c>
      <c r="BP640">
        <f>IF(ISBLANK('Data Entry'!$$640), "", 'Data Entry'!$$640)</f>
      </c>
      <c r="BQ640">
        <f>IF(ISBLANK('Data Entry'!$$640), "", 'Data Entry'!$$640)</f>
      </c>
      <c r="BR640">
        <f>IF(ISBLANK('Data Entry'!$$640), "", 'Data Entry'!$$640)</f>
      </c>
      <c r="BS640">
        <f>IF(ISBLANK('Data Entry'!$$640), "", 'Data Entry'!$$640)</f>
      </c>
      <c r="BT640">
        <f>IF(ISBLANK('Data Entry'!$$640), "", 'Data Entry'!$$640)</f>
      </c>
      <c r="BU640">
        <f>IF(ISBLANK('Data Entry'!$$640), "", 'Data Entry'!$$640)</f>
      </c>
      <c r="BV640">
        <f>IF(ISBLANK('Data Entry'!$$640), "", 'Data Entry'!$$640)</f>
      </c>
      <c r="BW640">
        <f>IF(ISBLANK('Data Entry'!$$640), "", 'Data Entry'!$$640)</f>
      </c>
      <c r="BX640">
        <f>IF(ISBLANK('Data Entry'!$$640), "", 'Data Entry'!$$640)</f>
      </c>
      <c r="BY640">
        <f>IF(ISBLANK('Data Entry'!$$640), "", 'Data Entry'!$$640)</f>
      </c>
      <c r="BZ640">
        <f>IF(ISBLANK('Data Entry'!$$640), "", 'Data Entry'!$$640)</f>
      </c>
      <c r="CA640">
        <f>IF(ISBLANK('Data Entry'!$$640), "", 'Data Entry'!$$640)</f>
      </c>
      <c r="CB640">
        <f>IF(ISBLANK('Data Entry'!$$640), "", 'Data Entry'!$$640)</f>
      </c>
      <c r="CC640">
        <f>IF(ISBLANK('Data Entry'!$$640), "", 'Data Entry'!$$640)</f>
      </c>
      <c r="CD640">
        <f>IF(ISBLANK('Data Entry'!$$640), "", 'Data Entry'!$$640)</f>
      </c>
      <c r="CE640">
        <f>IF(ISBLANK('Data Entry'!$$640), "", 'Data Entry'!$$640)</f>
      </c>
      <c r="CF640">
        <f>IF(ISBLANK('Data Entry'!$$640), "", 'Data Entry'!$$640)</f>
      </c>
      <c r="CG640">
        <f>IF(ISBLANK('Data Entry'!$$640), "", 'Data Entry'!$$640)</f>
      </c>
      <c r="CH640">
        <f>IF(ISBLANK('Data Entry'!$$640), "", 'Data Entry'!$$640)</f>
      </c>
      <c r="CI640">
        <f>IF(ISBLANK('Data Entry'!$$640), "", 'Data Entry'!$$640)</f>
      </c>
      <c r="CJ640">
        <f>IF(ISBLANK('Data Entry'!$$640), "", 'Data Entry'!$$640)</f>
      </c>
      <c r="CK640">
        <f>IF(ISBLANK('Data Entry'!$$640), "", 'Data Entry'!$$640)</f>
      </c>
      <c r="CL640">
        <f>IF(ISBLANK('Data Entry'!$$640), "", 'Data Entry'!$$640)</f>
      </c>
      <c r="CM640">
        <f>IF(ISBLANK('Data Entry'!$$640), "", 'Data Entry'!$$640)</f>
      </c>
      <c r="CN640">
        <f>IF(ISBLANK('Data Entry'!$$640), "", 'Data Entry'!$$640)</f>
      </c>
      <c r="CO640">
        <f>IF(ISBLANK('Data Entry'!$$640), "", 'Data Entry'!$$640)</f>
      </c>
      <c r="CP640">
        <f>IF(ISBLANK('Data Entry'!$$640), "", 'Data Entry'!$$640)</f>
      </c>
      <c r="CQ640">
        <f>IF(ISBLANK('Data Entry'!$$640), "", 'Data Entry'!$$640)</f>
      </c>
      <c r="CR640">
        <f>IF(ISBLANK('Data Entry'!$ $640), "", 'Data Entry'!$ $640)</f>
      </c>
      <c r="CS640">
        <f>IF(ISBLANK('Data Entry'!$¡$640), "", 'Data Entry'!$¡$640)</f>
      </c>
      <c r="CT640">
        <f>IF(ISBLANK('Data Entry'!$¢$640), "", 'Data Entry'!$¢$640)</f>
      </c>
      <c r="CU640">
        <f>IF(ISBLANK('Data Entry'!$£$640), "", 'Data Entry'!$£$640)</f>
      </c>
      <c r="CV640">
        <f>IF(ISBLANK('Data Entry'!$¤$640), "", 'Data Entry'!$¤$640)</f>
      </c>
      <c r="CW640">
        <f>IF(ISBLANK('Data Entry'!$¥$640), "", 'Data Entry'!$¥$640)</f>
      </c>
      <c r="CX640">
        <f>IF(ISBLANK('Data Entry'!$¦$640), "", 'Data Entry'!$¦$640)</f>
      </c>
      <c r="CY640">
        <f>IF(ISBLANK('Data Entry'!$§$640), "", 'Data Entry'!$§$640)</f>
      </c>
      <c r="CZ640">
        <f>IF(ISBLANK('Data Entry'!$¨$640), "", 'Data Entry'!$¨$640)</f>
      </c>
      <c r="DA640">
        <f>IF(ISBLANK('Data Entry'!$©$640), "", 'Data Entry'!$©$640)</f>
      </c>
      <c r="DB640">
        <f>IF(ISBLANK('Data Entry'!$ª$640), "", 'Data Entry'!$ª$640)</f>
      </c>
      <c r="DC640">
        <f>IF(ISBLANK('Data Entry'!$«$640), "", 'Data Entry'!$«$640)</f>
      </c>
      <c r="DD640">
        <f>IF(ISBLANK('Data Entry'!$¬$640), "", 'Data Entry'!$¬$640)</f>
      </c>
      <c r="DE640">
        <f>IF(ISBLANK('Data Entry'!$­$640), "", 'Data Entry'!$­$640)</f>
      </c>
      <c r="DF640">
        <f>IF(ISBLANK('Data Entry'!$®$640), "", 'Data Entry'!$®$640)</f>
      </c>
      <c r="DG640">
        <f>IF(ISBLANK('Data Entry'!$¯$640), "", 'Data Entry'!$¯$640)</f>
      </c>
      <c r="DH640">
        <f>IF(ISBLANK('Data Entry'!$°$640), "", 'Data Entry'!$°$640)</f>
      </c>
      <c r="DI640">
        <f>IF(ISBLANK('Data Entry'!$±$640), "", 'Data Entry'!$±$640)</f>
      </c>
      <c r="DJ640">
        <f>IF(ISBLANK('Data Entry'!$²$640), "", 'Data Entry'!$²$640)</f>
      </c>
      <c r="DK640">
        <f>IF(ISBLANK('Data Entry'!$³$640), "", 'Data Entry'!$³$640)</f>
      </c>
      <c r="DL640">
        <f>IF(ISBLANK('Data Entry'!$´$640), "", 'Data Entry'!$´$640)</f>
      </c>
      <c r="DM640">
        <f>IF(ISBLANK('Data Entry'!$µ$640), "", 'Data Entry'!$µ$640)</f>
      </c>
      <c r="DN640">
        <f>IF(ISBLANK('Data Entry'!$¶$640), "", 'Data Entry'!$¶$640)</f>
      </c>
      <c r="DO640">
        <f>IF(ISBLANK('Data Entry'!$·$640), "", 'Data Entry'!$·$640)</f>
      </c>
      <c r="DP640">
        <f>IF(ISBLANK('Data Entry'!$¸$640), "", 'Data Entry'!$¸$640)</f>
      </c>
      <c r="DQ640">
        <f>IF(ISBLANK('Data Entry'!$¹$640), "", 'Data Entry'!$¹$640)</f>
      </c>
      <c r="DR640">
        <f>IF(ISBLANK('Data Entry'!$º$640), "", 'Data Entry'!$º$640)</f>
      </c>
      <c r="DS640">
        <f>IF(ISBLANK('Data Entry'!$»$640), "", 'Data Entry'!$»$640)</f>
      </c>
      <c r="DT640">
        <f>IF(ISBLANK('Data Entry'!$¼$640), "", 'Data Entry'!$¼$640)</f>
      </c>
      <c r="DU640">
        <f>IF(ISBLANK('Data Entry'!$½$640), "", 'Data Entry'!$½$640)</f>
      </c>
      <c r="DV640">
        <f>IF(ISBLANK('Data Entry'!$¾$640), "", 'Data Entry'!$¾$640)</f>
      </c>
      <c r="DW640">
        <f>IF(ISBLANK('Data Entry'!$¿$640), "", 'Data Entry'!$¿$640)</f>
      </c>
      <c r="DX640">
        <f>IF(ISBLANK('Data Entry'!$À$640), "", 'Data Entry'!$À$640)</f>
      </c>
      <c r="DY640">
        <f>IF(ISBLANK('Data Entry'!$Á$640), "", 'Data Entry'!$Á$640)</f>
      </c>
      <c r="DZ640">
        <f>IF(ISBLANK('Data Entry'!$Â$640), "", 'Data Entry'!$Â$640)</f>
      </c>
      <c r="EA640">
        <f>IF(ISBLANK('Data Entry'!$Ã$640), "", 'Data Entry'!$Ã$640)</f>
      </c>
      <c r="EB640">
        <f>IF(ISBLANK('Data Entry'!$Ä$640), "", 'Data Entry'!$Ä$640)</f>
      </c>
      <c r="EC640">
        <f>IF(ISBLANK('Data Entry'!$Å$640), "", 'Data Entry'!$Å$640)</f>
      </c>
      <c r="ED640">
        <f>IF(ISBLANK('Data Entry'!$Æ$640), "", 'Data Entry'!$Æ$640)</f>
      </c>
      <c r="EE640">
        <f>IF(ISBLANK('Data Entry'!$Ç$640), "", 'Data Entry'!$Ç$640)</f>
      </c>
      <c r="EF640">
        <f>IF(ISBLANK('Data Entry'!$È$640), "", 'Data Entry'!$È$640)</f>
      </c>
      <c r="EG640">
        <f>IF(ISBLANK('Data Entry'!$É$640), "", 'Data Entry'!$É$640)</f>
      </c>
      <c r="EH640">
        <f>IF(ISBLANK('Data Entry'!$Ê$640), "", 'Data Entry'!$Ê$640)</f>
      </c>
      <c r="EI640">
        <f>IF(ISBLANK('Data Entry'!$Ë$640), "", 'Data Entry'!$Ë$640)</f>
      </c>
      <c r="EJ640">
        <f>IF(ISBLANK('Data Entry'!$Ì$640), "", 'Data Entry'!$Ì$640)</f>
      </c>
      <c r="EK640">
        <f>IF(ISBLANK('Data Entry'!$Í$640), "", 'Data Entry'!$Í$640)</f>
      </c>
      <c r="EL640">
        <f>IF(ISBLANK('Data Entry'!$Î$640), "", 'Data Entry'!$Î$640)</f>
      </c>
      <c r="EM640">
        <f>IF(ISBLANK('Data Entry'!$Ï$640), "", 'Data Entry'!$Ï$640)</f>
      </c>
      <c r="EN640">
        <f>IF(ISBLANK('Data Entry'!$Ð$640), "", 'Data Entry'!$Ð$640)</f>
      </c>
      <c r="EO640">
        <f>IF(ISBLANK('Data Entry'!$Ñ$640), "", 'Data Entry'!$Ñ$640)</f>
      </c>
      <c r="EP640">
        <f>IF(ISBLANK('Data Entry'!$Ò$640), "", 'Data Entry'!$Ò$640)</f>
      </c>
      <c r="EQ640">
        <f>IF(ISBLANK('Data Entry'!$Ó$640), "", 'Data Entry'!$Ó$640)</f>
      </c>
      <c r="ER640">
        <f>IF(ISBLANK('Data Entry'!$Ô$640), "", 'Data Entry'!$Ô$640)</f>
      </c>
      <c r="ES640">
        <f>IF(ISBLANK('Data Entry'!$Õ$640), "", 'Data Entry'!$Õ$640)</f>
      </c>
      <c r="ET640">
        <f>IF(ISBLANK('Data Entry'!$Ö$640), "", 'Data Entry'!$Ö$640)</f>
      </c>
      <c r="EU640">
        <f>IF(ISBLANK('Data Entry'!$×$640), "", 'Data Entry'!$×$640)</f>
      </c>
      <c r="EV640">
        <f>IF(ISBLANK('Data Entry'!$Ø$640), "", 'Data Entry'!$Ø$640)</f>
      </c>
      <c r="EW640">
        <f>IF(ISBLANK('Data Entry'!$Ù$640), "", 'Data Entry'!$Ù$640)</f>
      </c>
      <c r="EX640">
        <f>IF(ISBLANK('Data Entry'!$Ú$640), "", 'Data Entry'!$Ú$640)</f>
      </c>
      <c r="EY640">
        <f>IF(ISBLANK('Data Entry'!$Û$640), "", 'Data Entry'!$Û$640)</f>
      </c>
      <c r="EZ640">
        <f>IF(ISBLANK('Data Entry'!$Ü$640), "", 'Data Entry'!$Ü$640)</f>
      </c>
      <c r="FA640">
        <f>IF(ISBLANK('Data Entry'!$Ý$640), "", 'Data Entry'!$Ý$640)</f>
      </c>
      <c r="FB640">
        <f>IF(ISBLANK('Data Entry'!$Þ$640), "", 'Data Entry'!$Þ$640)</f>
      </c>
      <c r="FC640">
        <f>IF(ISBLANK('Data Entry'!$ß$640), "", 'Data Entry'!$ß$640)</f>
      </c>
      <c r="FD640">
        <f>IF(ISBLANK('Data Entry'!$à$640), "", 'Data Entry'!$à$640)</f>
      </c>
      <c r="FE640">
        <f>IF(ISBLANK('Data Entry'!$á$640), "", 'Data Entry'!$á$640)</f>
      </c>
      <c r="FF640">
        <f>IF(ISBLANK('Data Entry'!$â$640), "", 'Data Entry'!$â$640)</f>
      </c>
      <c r="FG640">
        <f>IF(ISBLANK('Data Entry'!$ã$640), "", 'Data Entry'!$ã$640)</f>
      </c>
      <c r="FH640">
        <f>IF(ISBLANK('Data Entry'!$ä$640), "", 'Data Entry'!$ä$640)</f>
      </c>
      <c r="FI640">
        <f>IF(ISBLANK('Data Entry'!$å$640), "", 'Data Entry'!$å$640)</f>
      </c>
      <c r="FJ640">
        <f>IF(ISBLANK('Data Entry'!$æ$640), "", 'Data Entry'!$æ$640)</f>
      </c>
      <c r="FK640">
        <f>IF(ISBLANK('Data Entry'!$ç$640), "", 'Data Entry'!$ç$640)</f>
      </c>
      <c r="FL640">
        <f>IF(ISBLANK('Data Entry'!$è$640), "", 'Data Entry'!$è$640)</f>
      </c>
      <c r="FM640">
        <f>IF(ISBLANK('Data Entry'!$é$640), "", 'Data Entry'!$é$640)</f>
      </c>
      <c r="FN640">
        <f>IF(ISBLANK('Data Entry'!$ê$640), "", 'Data Entry'!$ê$640)</f>
      </c>
      <c r="FO640">
        <f>IF(ISBLANK('Data Entry'!$ë$640), "", 'Data Entry'!$ë$640)</f>
      </c>
      <c r="FP640">
        <f>IF(ISBLANK('Data Entry'!$ì$640), "", 'Data Entry'!$ì$640)</f>
      </c>
      <c r="FQ640">
        <f>IF(ISBLANK('Data Entry'!$í$640), "", 'Data Entry'!$í$640)</f>
      </c>
      <c r="FR640">
        <f>IF(ISBLANK('Data Entry'!$î$640), "", 'Data Entry'!$î$640)</f>
      </c>
      <c r="FS640">
        <f>IF(ISBLANK('Data Entry'!$ï$640), "", 'Data Entry'!$ï$640)</f>
      </c>
      <c r="FT640">
        <f>IF(ISBLANK('Data Entry'!$ð$640), "", 'Data Entry'!$ð$640)</f>
      </c>
      <c r="FU640">
        <f>IF(ISBLANK('Data Entry'!$ñ$640), "", 'Data Entry'!$ñ$640)</f>
      </c>
      <c r="FV640">
        <f>IF(ISBLANK('Data Entry'!$ò$640), "", 'Data Entry'!$ò$640)</f>
      </c>
      <c r="FW640">
        <f>IF(ISBLANK('Data Entry'!$ó$640), "", 'Data Entry'!$ó$640)</f>
      </c>
      <c r="FX640">
        <f>IF(ISBLANK('Data Entry'!$ô$640), "", 'Data Entry'!$ô$640)</f>
      </c>
      <c r="FY640">
        <f>IF(ISBLANK('Data Entry'!$õ$640), "", 'Data Entry'!$õ$640)</f>
      </c>
      <c r="FZ640">
        <f>IF(ISBLANK('Data Entry'!$ö$640), "", 'Data Entry'!$ö$640)</f>
      </c>
      <c r="GA640">
        <f>IF(ISBLANK('Data Entry'!$÷$640), "", 'Data Entry'!$÷$640)</f>
      </c>
      <c r="GB640">
        <f>IF(ISBLANK('Data Entry'!$ø$640), "", 'Data Entry'!$ø$640)</f>
      </c>
      <c r="GC640">
        <f>IF(ISBLANK('Data Entry'!$ù$640), "", 'Data Entry'!$ù$640)</f>
      </c>
      <c r="GD640">
        <f>IF(ISBLANK('Data Entry'!$ú$640), "", 'Data Entry'!$ú$640)</f>
      </c>
      <c r="GE640">
        <f>IF(ISBLANK('Data Entry'!$û$640), "", 'Data Entry'!$û$640)</f>
      </c>
      <c r="GF640">
        <f>IF(ISBLANK('Data Entry'!$ü$640), "", 'Data Entry'!$ü$640)</f>
      </c>
      <c r="GG640">
        <f>IF(ISBLANK('Data Entry'!$ý$640), "", 'Data Entry'!$ý$640)</f>
      </c>
      <c r="GH640">
        <f>IF(ISBLANK('Data Entry'!$þ$640), "", 'Data Entry'!$þ$640)</f>
      </c>
      <c r="GI640">
        <f>IF(ISBLANK('Data Entry'!$ÿ$640), "", 'Data Entry'!$ÿ$640)</f>
      </c>
      <c r="GJ640">
        <f>IF(ISBLANK('Data Entry'!$Ā$640), "", 'Data Entry'!$Ā$640)</f>
      </c>
      <c r="GK640">
        <f>IF(ISBLANK('Data Entry'!$ā$640), "", 'Data Entry'!$ā$640)</f>
      </c>
      <c r="GL640">
        <f>IF(ISBLANK('Data Entry'!$Ă$640), "", 'Data Entry'!$Ă$640)</f>
      </c>
      <c r="GM640">
        <f>IF(ISBLANK('Data Entry'!$ă$640), "", 'Data Entry'!$ă$640)</f>
      </c>
      <c r="GN640">
        <f>IF(ISBLANK('Data Entry'!$Ą$640), "", 'Data Entry'!$Ą$640)</f>
      </c>
      <c r="GO640">
        <f>IF(ISBLANK('Data Entry'!$ą$640), "", 'Data Entry'!$ą$640)</f>
      </c>
      <c r="GP640">
        <f>IF(ISBLANK('Data Entry'!$Ć$640), "", 'Data Entry'!$Ć$640)</f>
      </c>
      <c r="GQ640">
        <f>IF(ISBLANK('Data Entry'!$ć$640), "", 'Data Entry'!$ć$640)</f>
      </c>
      <c r="GR640">
        <f>IF(ISBLANK('Data Entry'!$Ĉ$640), "", 'Data Entry'!$Ĉ$640)</f>
      </c>
      <c r="GS640">
        <f>IF(ISBLANK('Data Entry'!$ĉ$640), "", 'Data Entry'!$ĉ$640)</f>
      </c>
      <c r="GT640">
        <f>IF(ISBLANK('Data Entry'!$Ċ$640), "", 'Data Entry'!$Ċ$640)</f>
      </c>
      <c r="GU640">
        <f>IF(ISBLANK('Data Entry'!$ċ$640), "", 'Data Entry'!$ċ$640)</f>
      </c>
      <c r="GV640">
        <f>IF(ISBLANK('Data Entry'!$Č$640), "", 'Data Entry'!$Č$640)</f>
      </c>
      <c r="GW640">
        <f>IF(ISBLANK('Data Entry'!$č$640), "", 'Data Entry'!$č$640)</f>
      </c>
      <c r="GX640">
        <f>IF(ISBLANK('Data Entry'!$Ď$640), "", 'Data Entry'!$Ď$640)</f>
      </c>
      <c r="GY640">
        <f>IF(ISBLANK('Data Entry'!$ď$640), "", 'Data Entry'!$ď$640)</f>
      </c>
      <c r="GZ640">
        <f>IF(ISBLANK('Data Entry'!$Đ$640), "", 'Data Entry'!$Đ$640)</f>
      </c>
      <c r="HA640">
        <f>IF(ISBLANK('Data Entry'!$đ$640), "", 'Data Entry'!$đ$640)</f>
      </c>
      <c r="HB640">
        <f>IF(ISBLANK('Data Entry'!$Ē$640), "", 'Data Entry'!$Ē$640)</f>
      </c>
      <c r="HC640">
        <f>IF(ISBLANK('Data Entry'!$ē$640), "", 'Data Entry'!$ē$640)</f>
      </c>
      <c r="HD640">
        <f>IF(ISBLANK('Data Entry'!$Ĕ$640), "", 'Data Entry'!$Ĕ$640)</f>
      </c>
      <c r="HE640">
        <f>IF(ISBLANK('Data Entry'!$ĕ$640), "", 'Data Entry'!$ĕ$640)</f>
      </c>
      <c r="HF640">
        <f>IF(ISBLANK('Data Entry'!$Ė$640), "", 'Data Entry'!$Ė$640)</f>
      </c>
      <c r="HG640">
        <f>IF(ISBLANK('Data Entry'!$ė$640), "", 'Data Entry'!$ė$640)</f>
      </c>
      <c r="HH640">
        <f>IF(ISBLANK('Data Entry'!$Ę$640), "", 'Data Entry'!$Ę$640)</f>
      </c>
      <c r="HI640">
        <f>IF(ISBLANK('Data Entry'!$ę$640), "", 'Data Entry'!$ę$640)</f>
      </c>
      <c r="HJ640">
        <f>IF(ISBLANK('Data Entry'!$Ě$640), "", 'Data Entry'!$Ě$640)</f>
      </c>
      <c r="HK640">
        <f>IF(ISBLANK('Data Entry'!$ě$640), "", 'Data Entry'!$ě$640)</f>
      </c>
      <c r="HL640">
        <f>IF(ISBLANK('Data Entry'!$Ĝ$640), "", 'Data Entry'!$Ĝ$640)</f>
      </c>
      <c r="HM640">
        <f>IF(ISBLANK('Data Entry'!$ĝ$640), "", 'Data Entry'!$ĝ$640)</f>
      </c>
      <c r="HN640">
        <f>IF(ISBLANK('Data Entry'!$Ğ$640), "", 'Data Entry'!$Ğ$640)</f>
      </c>
      <c r="HO640">
        <f>IF(ISBLANK('Data Entry'!$ğ$640), "", 'Data Entry'!$ğ$640)</f>
      </c>
      <c r="HP640">
        <f>IF(ISBLANK('Data Entry'!$Ġ$640), "", 'Data Entry'!$Ġ$640)</f>
      </c>
      <c r="HQ640">
        <f>IF(ISBLANK('Data Entry'!$ġ$640), "", 'Data Entry'!$ġ$640)</f>
      </c>
      <c r="HR640">
        <f>IF(ISBLANK('Data Entry'!$Ģ$640), "", 'Data Entry'!$Ģ$640)</f>
      </c>
      <c r="HS640">
        <f>IF(ISBLANK('Data Entry'!$ģ$640), "", 'Data Entry'!$ģ$640)</f>
      </c>
      <c r="HT640">
        <f>IF(ISBLANK('Data Entry'!$Ĥ$640), "", 'Data Entry'!$Ĥ$640)</f>
      </c>
      <c r="HU640">
        <f>IF(ISBLANK('Data Entry'!$ĥ$640), "", 'Data Entry'!$ĥ$640)</f>
      </c>
      <c r="HV640">
        <f>IF(ISBLANK('Data Entry'!$Ħ$640), "", 'Data Entry'!$Ħ$640)</f>
      </c>
      <c r="HW640">
        <f>IF(ISBLANK('Data Entry'!$ħ$640), "", 'Data Entry'!$ħ$640)</f>
      </c>
      <c r="HX640">
        <f>IF(ISBLANK('Data Entry'!$Ĩ$640), "", 'Data Entry'!$Ĩ$640)</f>
      </c>
      <c r="HY640">
        <f>IF(ISBLANK('Data Entry'!$ĩ$640), "", 'Data Entry'!$ĩ$640)</f>
      </c>
      <c r="HZ640">
        <f>IF(ISBLANK('Data Entry'!$Ī$640), "", 'Data Entry'!$Ī$640)</f>
      </c>
      <c r="IA640">
        <f>IF(ISBLANK('Data Entry'!$ī$640), "", 'Data Entry'!$ī$640)</f>
      </c>
      <c r="IB640">
        <f>IF(ISBLANK('Data Entry'!$Ĭ$640), "", 'Data Entry'!$Ĭ$640)</f>
      </c>
      <c r="IC640">
        <f>IF(ISBLANK('Data Entry'!$ĭ$640), "", 'Data Entry'!$ĭ$640)</f>
      </c>
      <c r="ID640">
        <f>IF(ISBLANK('Data Entry'!$Į$640), "", 'Data Entry'!$Į$640)</f>
      </c>
      <c r="IE640">
        <f>IF(ISBLANK('Data Entry'!$į$640), "", 'Data Entry'!$į$640)</f>
      </c>
      <c r="IF640">
        <f>IF(ISBLANK('Data Entry'!$İ$640), "", 'Data Entry'!$İ$640)</f>
      </c>
      <c r="IG640">
        <f>IF(ISBLANK('Data Entry'!$ı$640), "", 'Data Entry'!$ı$640)</f>
      </c>
      <c r="IH640">
        <f>IF(ISBLANK('Data Entry'!$Ĳ$640), "", 'Data Entry'!$Ĳ$640)</f>
      </c>
      <c r="II640">
        <f>IF(ISBLANK('Data Entry'!$ĳ$640), "", 'Data Entry'!$ĳ$640)</f>
      </c>
      <c r="IJ640">
        <f>IF(ISBLANK('Data Entry'!$Ĵ$640), "", 'Data Entry'!$Ĵ$640)</f>
      </c>
      <c r="IK640">
        <f>IF(ISBLANK('Data Entry'!$ĵ$640), "", 'Data Entry'!$ĵ$640)</f>
      </c>
      <c r="IL640">
        <f>IF(ISBLANK('Data Entry'!$Ķ$640), "", 'Data Entry'!$Ķ$640)</f>
      </c>
      <c r="IM640">
        <f>IF(ISBLANK('Data Entry'!$ķ$640), "", 'Data Entry'!$ķ$640)</f>
      </c>
      <c r="IN640">
        <f>IF(ISBLANK('Data Entry'!$ĸ$640), "", 'Data Entry'!$ĸ$640)</f>
      </c>
      <c r="IO640">
        <f>IF(ISBLANK('Data Entry'!$Ĺ$640), "", 'Data Entry'!$Ĺ$640)</f>
      </c>
      <c r="IP640">
        <f>IF(ISBLANK('Data Entry'!$ĺ$640), "", 'Data Entry'!$ĺ$640)</f>
      </c>
      <c r="IQ640">
        <f>IF(ISBLANK('Data Entry'!$Ļ$640), "", 'Data Entry'!$Ļ$640)</f>
      </c>
      <c r="IR640">
        <f>IF(ISBLANK('Data Entry'!$ļ$640), "", 'Data Entry'!$ļ$640)</f>
      </c>
      <c r="IS640">
        <f>IF(ISBLANK('Data Entry'!$Ľ$640), "", 'Data Entry'!$Ľ$640)</f>
      </c>
      <c r="IT640">
        <f>IF(ISBLANK('Data Entry'!$ľ$640), "", 'Data Entry'!$ľ$640)</f>
      </c>
    </row>
    <row r="641" spans="1:254" x14ac:dyDescent="0.25">
      <c r="A641">
        <f>IF(ISBLANK('Data Entry'!$A$641), "", 'Data Entry'!$A$641)</f>
      </c>
      <c r="B641">
        <f>IF(ISBLANK('Data Entry'!$B$641), "", 'Data Entry'!$B$641)</f>
      </c>
      <c r="C641">
        <f>IF(ISBLANK('Data Entry'!$C$641), "", 'Data Entry'!$C$641)</f>
      </c>
      <c r="D641">
        <f>IF(ISBLANK('Data Entry'!$D$641), "", 'Data Entry'!$D$641)</f>
      </c>
      <c r="E641">
        <f>IF(ISBLANK('Data Entry'!$E$641), "", 'Data Entry'!$E$641)</f>
      </c>
      <c r="F641">
        <f>IF(ISBLANK('Data Entry'!$F$641), "", 'Data Entry'!$F$641)</f>
      </c>
      <c r="G641">
        <f>IF(ISBLANK('Data Entry'!$G$641), "", 'Data Entry'!$G$641)</f>
      </c>
      <c r="H641">
        <f>IF(ISBLANK('Data Entry'!$H$641), "", 'Data Entry'!$H$641)</f>
      </c>
      <c r="I641">
        <f>IF(ISBLANK('Data Entry'!$I$641), "", 'Data Entry'!$I$641)</f>
      </c>
      <c r="J641">
        <f>IF(ISBLANK('Data Entry'!$J$641), "", 'Data Entry'!$J$641)</f>
      </c>
      <c r="K641">
        <f>IF(ISBLANK('Data Entry'!$K$641), "", 'Data Entry'!$K$641)</f>
      </c>
      <c r="L641">
        <f>IF(ISBLANK('Data Entry'!$L$641), "", 'Data Entry'!$L$641)</f>
      </c>
      <c r="M641">
        <f>IF(ISBLANK('Data Entry'!$M$641), "", 'Data Entry'!$M$641)</f>
      </c>
      <c r="N641">
        <f>IF(ISBLANK('Data Entry'!$N$641), "", 'Data Entry'!$N$641)</f>
      </c>
      <c r="O641">
        <f>IF(ISBLANK('Data Entry'!$O$641), "", 'Data Entry'!$O$641)</f>
      </c>
      <c r="P641">
        <f>IF(ISBLANK('Data Entry'!$P$641), "", 'Data Entry'!$P$641)</f>
      </c>
      <c r="Q641">
        <f>IF(ISBLANK('Data Entry'!$Q$641), "", 'Data Entry'!$Q$641)</f>
      </c>
      <c r="R641">
        <f>IF(ISBLANK('Data Entry'!$R$641), "", 'Data Entry'!$R$641)</f>
      </c>
      <c r="S641">
        <f>IF(ISBLANK('Data Entry'!$S$641), "", 'Data Entry'!$S$641)</f>
      </c>
      <c r="T641">
        <f>IF(ISBLANK('Data Entry'!$T$641), "", 'Data Entry'!$T$641)</f>
      </c>
      <c r="U641">
        <f>IF(ISBLANK('Data Entry'!$U$641), "", 'Data Entry'!$U$641)</f>
      </c>
      <c r="V641">
        <f>IF(ISBLANK('Data Entry'!$V$641), "", 'Data Entry'!$V$641)</f>
      </c>
      <c r="W641">
        <f>IF(ISBLANK('Data Entry'!$W$641), "", 'Data Entry'!$W$641)</f>
      </c>
      <c r="X641">
        <f>IF(ISBLANK('Data Entry'!$X$641), "", 'Data Entry'!$X$641)</f>
      </c>
      <c r="Y641">
        <f>IF(ISBLANK('Data Entry'!$Y$641), "", 'Data Entry'!$Y$641)</f>
      </c>
      <c r="Z641">
        <f>IF(ISBLANK('Data Entry'!$Z$641), "", 'Data Entry'!$Z$641)</f>
      </c>
      <c r="AA641">
        <f>IF(ISBLANK('Data Entry'!$[$641), "", 'Data Entry'!$[$641)</f>
      </c>
      <c r="AB641">
        <f>IF(ISBLANK('Data Entry'!$\$641), "", 'Data Entry'!$\$641)</f>
      </c>
      <c r="AC641">
        <f>IF(ISBLANK('Data Entry'!$]$641), "", 'Data Entry'!$]$641)</f>
      </c>
      <c r="AD641">
        <f>IF(ISBLANK('Data Entry'!$^$641), "", 'Data Entry'!$^$641)</f>
      </c>
      <c r="AE641">
        <f>IF(ISBLANK('Data Entry'!$_$641), "", 'Data Entry'!$_$641)</f>
      </c>
      <c r="AF641">
        <f>IF(ISBLANK('Data Entry'!$`$641), "", 'Data Entry'!$`$641)</f>
      </c>
      <c r="AG641">
        <f>IF(ISBLANK('Data Entry'!$a$641), "", 'Data Entry'!$a$641)</f>
      </c>
      <c r="AH641">
        <f>IF(ISBLANK('Data Entry'!$b$641), "", 'Data Entry'!$b$641)</f>
      </c>
      <c r="AI641">
        <f>IF(ISBLANK('Data Entry'!$c$641), "", 'Data Entry'!$c$641)</f>
      </c>
      <c r="AJ641">
        <f>IF(ISBLANK('Data Entry'!$d$641), "", 'Data Entry'!$d$641)</f>
      </c>
      <c r="AK641">
        <f>IF(ISBLANK('Data Entry'!$e$641), "", 'Data Entry'!$e$641)</f>
      </c>
      <c r="AL641">
        <f>IF(ISBLANK('Data Entry'!$f$641), "", 'Data Entry'!$f$641)</f>
      </c>
      <c r="AM641">
        <f>IF(ISBLANK('Data Entry'!$g$641), "", 'Data Entry'!$g$641)</f>
      </c>
      <c r="AN641">
        <f>IF(ISBLANK('Data Entry'!$h$641), "", 'Data Entry'!$h$641)</f>
      </c>
      <c r="AO641">
        <f>IF(ISBLANK('Data Entry'!$i$641), "", 'Data Entry'!$i$641)</f>
      </c>
      <c r="AP641">
        <f>IF(ISBLANK('Data Entry'!$j$641), "", 'Data Entry'!$j$641)</f>
      </c>
      <c r="AQ641">
        <f>IF(ISBLANK('Data Entry'!$k$641), "", 'Data Entry'!$k$641)</f>
      </c>
      <c r="AR641">
        <f>IF(ISBLANK('Data Entry'!$l$641), "", 'Data Entry'!$l$641)</f>
      </c>
      <c r="AS641">
        <f>IF(ISBLANK('Data Entry'!$m$641), "", 'Data Entry'!$m$641)</f>
      </c>
      <c r="AT641">
        <f>IF(ISBLANK('Data Entry'!$n$641), "", 'Data Entry'!$n$641)</f>
      </c>
      <c r="AU641">
        <f>IF(ISBLANK('Data Entry'!$o$641), "", 'Data Entry'!$o$641)</f>
      </c>
      <c r="AV641">
        <f>IF(ISBLANK('Data Entry'!$p$641), "", 'Data Entry'!$p$641)</f>
      </c>
      <c r="AW641">
        <f>IF(ISBLANK('Data Entry'!$q$641), "", 'Data Entry'!$q$641)</f>
      </c>
      <c r="AX641">
        <f>IF(ISBLANK('Data Entry'!$r$641), "", 'Data Entry'!$r$641)</f>
      </c>
      <c r="AY641">
        <f>IF(ISBLANK('Data Entry'!$s$641), "", 'Data Entry'!$s$641)</f>
      </c>
      <c r="AZ641">
        <f>IF(ISBLANK('Data Entry'!$t$641), "", 'Data Entry'!$t$641)</f>
      </c>
      <c r="BA641">
        <f>IF(ISBLANK('Data Entry'!$u$641), "", 'Data Entry'!$u$641)</f>
      </c>
      <c r="BB641">
        <f>IF(ISBLANK('Data Entry'!$v$641), "", 'Data Entry'!$v$641)</f>
      </c>
      <c r="BC641">
        <f>IF(ISBLANK('Data Entry'!$w$641), "", 'Data Entry'!$w$641)</f>
      </c>
      <c r="BD641">
        <f>IF(ISBLANK('Data Entry'!$x$641), "", 'Data Entry'!$x$641)</f>
      </c>
      <c r="BE641">
        <f>IF(ISBLANK('Data Entry'!$y$641), "", 'Data Entry'!$y$641)</f>
      </c>
      <c r="BF641">
        <f>IF(ISBLANK('Data Entry'!$z$641), "", 'Data Entry'!$z$641)</f>
      </c>
      <c r="BG641">
        <f>IF(ISBLANK('Data Entry'!${$641), "", 'Data Entry'!${$641)</f>
      </c>
      <c r="BH641">
        <f>IF(ISBLANK('Data Entry'!$|$641), "", 'Data Entry'!$|$641)</f>
      </c>
      <c r="BI641">
        <f>IF(ISBLANK('Data Entry'!$}$641), "", 'Data Entry'!$}$641)</f>
      </c>
      <c r="BJ641">
        <f>IF(ISBLANK('Data Entry'!$~$641), "", 'Data Entry'!$~$641)</f>
      </c>
      <c r="BK641">
        <f>IF(ISBLANK('Data Entry'!$$641), "", 'Data Entry'!$$641)</f>
      </c>
      <c r="BL641">
        <f>IF(ISBLANK('Data Entry'!$$641), "", 'Data Entry'!$$641)</f>
      </c>
      <c r="BM641">
        <f>IF(ISBLANK('Data Entry'!$$641), "", 'Data Entry'!$$641)</f>
      </c>
      <c r="BN641">
        <f>IF(ISBLANK('Data Entry'!$$641), "", 'Data Entry'!$$641)</f>
      </c>
      <c r="BO641">
        <f>IF(ISBLANK('Data Entry'!$$641), "", 'Data Entry'!$$641)</f>
      </c>
      <c r="BP641">
        <f>IF(ISBLANK('Data Entry'!$$641), "", 'Data Entry'!$$641)</f>
      </c>
      <c r="BQ641">
        <f>IF(ISBLANK('Data Entry'!$$641), "", 'Data Entry'!$$641)</f>
      </c>
      <c r="BR641">
        <f>IF(ISBLANK('Data Entry'!$$641), "", 'Data Entry'!$$641)</f>
      </c>
      <c r="BS641">
        <f>IF(ISBLANK('Data Entry'!$$641), "", 'Data Entry'!$$641)</f>
      </c>
      <c r="BT641">
        <f>IF(ISBLANK('Data Entry'!$$641), "", 'Data Entry'!$$641)</f>
      </c>
      <c r="BU641">
        <f>IF(ISBLANK('Data Entry'!$$641), "", 'Data Entry'!$$641)</f>
      </c>
      <c r="BV641">
        <f>IF(ISBLANK('Data Entry'!$$641), "", 'Data Entry'!$$641)</f>
      </c>
      <c r="BW641">
        <f>IF(ISBLANK('Data Entry'!$$641), "", 'Data Entry'!$$641)</f>
      </c>
      <c r="BX641">
        <f>IF(ISBLANK('Data Entry'!$$641), "", 'Data Entry'!$$641)</f>
      </c>
      <c r="BY641">
        <f>IF(ISBLANK('Data Entry'!$$641), "", 'Data Entry'!$$641)</f>
      </c>
      <c r="BZ641">
        <f>IF(ISBLANK('Data Entry'!$$641), "", 'Data Entry'!$$641)</f>
      </c>
      <c r="CA641">
        <f>IF(ISBLANK('Data Entry'!$$641), "", 'Data Entry'!$$641)</f>
      </c>
      <c r="CB641">
        <f>IF(ISBLANK('Data Entry'!$$641), "", 'Data Entry'!$$641)</f>
      </c>
      <c r="CC641">
        <f>IF(ISBLANK('Data Entry'!$$641), "", 'Data Entry'!$$641)</f>
      </c>
      <c r="CD641">
        <f>IF(ISBLANK('Data Entry'!$$641), "", 'Data Entry'!$$641)</f>
      </c>
      <c r="CE641">
        <f>IF(ISBLANK('Data Entry'!$$641), "", 'Data Entry'!$$641)</f>
      </c>
      <c r="CF641">
        <f>IF(ISBLANK('Data Entry'!$$641), "", 'Data Entry'!$$641)</f>
      </c>
      <c r="CG641">
        <f>IF(ISBLANK('Data Entry'!$$641), "", 'Data Entry'!$$641)</f>
      </c>
      <c r="CH641">
        <f>IF(ISBLANK('Data Entry'!$$641), "", 'Data Entry'!$$641)</f>
      </c>
      <c r="CI641">
        <f>IF(ISBLANK('Data Entry'!$$641), "", 'Data Entry'!$$641)</f>
      </c>
      <c r="CJ641">
        <f>IF(ISBLANK('Data Entry'!$$641), "", 'Data Entry'!$$641)</f>
      </c>
      <c r="CK641">
        <f>IF(ISBLANK('Data Entry'!$$641), "", 'Data Entry'!$$641)</f>
      </c>
      <c r="CL641">
        <f>IF(ISBLANK('Data Entry'!$$641), "", 'Data Entry'!$$641)</f>
      </c>
      <c r="CM641">
        <f>IF(ISBLANK('Data Entry'!$$641), "", 'Data Entry'!$$641)</f>
      </c>
      <c r="CN641">
        <f>IF(ISBLANK('Data Entry'!$$641), "", 'Data Entry'!$$641)</f>
      </c>
      <c r="CO641">
        <f>IF(ISBLANK('Data Entry'!$$641), "", 'Data Entry'!$$641)</f>
      </c>
      <c r="CP641">
        <f>IF(ISBLANK('Data Entry'!$$641), "", 'Data Entry'!$$641)</f>
      </c>
      <c r="CQ641">
        <f>IF(ISBLANK('Data Entry'!$$641), "", 'Data Entry'!$$641)</f>
      </c>
      <c r="CR641">
        <f>IF(ISBLANK('Data Entry'!$ $641), "", 'Data Entry'!$ $641)</f>
      </c>
      <c r="CS641">
        <f>IF(ISBLANK('Data Entry'!$¡$641), "", 'Data Entry'!$¡$641)</f>
      </c>
      <c r="CT641">
        <f>IF(ISBLANK('Data Entry'!$¢$641), "", 'Data Entry'!$¢$641)</f>
      </c>
      <c r="CU641">
        <f>IF(ISBLANK('Data Entry'!$£$641), "", 'Data Entry'!$£$641)</f>
      </c>
      <c r="CV641">
        <f>IF(ISBLANK('Data Entry'!$¤$641), "", 'Data Entry'!$¤$641)</f>
      </c>
      <c r="CW641">
        <f>IF(ISBLANK('Data Entry'!$¥$641), "", 'Data Entry'!$¥$641)</f>
      </c>
      <c r="CX641">
        <f>IF(ISBLANK('Data Entry'!$¦$641), "", 'Data Entry'!$¦$641)</f>
      </c>
      <c r="CY641">
        <f>IF(ISBLANK('Data Entry'!$§$641), "", 'Data Entry'!$§$641)</f>
      </c>
      <c r="CZ641">
        <f>IF(ISBLANK('Data Entry'!$¨$641), "", 'Data Entry'!$¨$641)</f>
      </c>
      <c r="DA641">
        <f>IF(ISBLANK('Data Entry'!$©$641), "", 'Data Entry'!$©$641)</f>
      </c>
      <c r="DB641">
        <f>IF(ISBLANK('Data Entry'!$ª$641), "", 'Data Entry'!$ª$641)</f>
      </c>
      <c r="DC641">
        <f>IF(ISBLANK('Data Entry'!$«$641), "", 'Data Entry'!$«$641)</f>
      </c>
      <c r="DD641">
        <f>IF(ISBLANK('Data Entry'!$¬$641), "", 'Data Entry'!$¬$641)</f>
      </c>
      <c r="DE641">
        <f>IF(ISBLANK('Data Entry'!$­$641), "", 'Data Entry'!$­$641)</f>
      </c>
      <c r="DF641">
        <f>IF(ISBLANK('Data Entry'!$®$641), "", 'Data Entry'!$®$641)</f>
      </c>
      <c r="DG641">
        <f>IF(ISBLANK('Data Entry'!$¯$641), "", 'Data Entry'!$¯$641)</f>
      </c>
      <c r="DH641">
        <f>IF(ISBLANK('Data Entry'!$°$641), "", 'Data Entry'!$°$641)</f>
      </c>
      <c r="DI641">
        <f>IF(ISBLANK('Data Entry'!$±$641), "", 'Data Entry'!$±$641)</f>
      </c>
      <c r="DJ641">
        <f>IF(ISBLANK('Data Entry'!$²$641), "", 'Data Entry'!$²$641)</f>
      </c>
      <c r="DK641">
        <f>IF(ISBLANK('Data Entry'!$³$641), "", 'Data Entry'!$³$641)</f>
      </c>
      <c r="DL641">
        <f>IF(ISBLANK('Data Entry'!$´$641), "", 'Data Entry'!$´$641)</f>
      </c>
      <c r="DM641">
        <f>IF(ISBLANK('Data Entry'!$µ$641), "", 'Data Entry'!$µ$641)</f>
      </c>
      <c r="DN641">
        <f>IF(ISBLANK('Data Entry'!$¶$641), "", 'Data Entry'!$¶$641)</f>
      </c>
      <c r="DO641">
        <f>IF(ISBLANK('Data Entry'!$·$641), "", 'Data Entry'!$·$641)</f>
      </c>
      <c r="DP641">
        <f>IF(ISBLANK('Data Entry'!$¸$641), "", 'Data Entry'!$¸$641)</f>
      </c>
      <c r="DQ641">
        <f>IF(ISBLANK('Data Entry'!$¹$641), "", 'Data Entry'!$¹$641)</f>
      </c>
      <c r="DR641">
        <f>IF(ISBLANK('Data Entry'!$º$641), "", 'Data Entry'!$º$641)</f>
      </c>
      <c r="DS641">
        <f>IF(ISBLANK('Data Entry'!$»$641), "", 'Data Entry'!$»$641)</f>
      </c>
      <c r="DT641">
        <f>IF(ISBLANK('Data Entry'!$¼$641), "", 'Data Entry'!$¼$641)</f>
      </c>
      <c r="DU641">
        <f>IF(ISBLANK('Data Entry'!$½$641), "", 'Data Entry'!$½$641)</f>
      </c>
      <c r="DV641">
        <f>IF(ISBLANK('Data Entry'!$¾$641), "", 'Data Entry'!$¾$641)</f>
      </c>
      <c r="DW641">
        <f>IF(ISBLANK('Data Entry'!$¿$641), "", 'Data Entry'!$¿$641)</f>
      </c>
      <c r="DX641">
        <f>IF(ISBLANK('Data Entry'!$À$641), "", 'Data Entry'!$À$641)</f>
      </c>
      <c r="DY641">
        <f>IF(ISBLANK('Data Entry'!$Á$641), "", 'Data Entry'!$Á$641)</f>
      </c>
      <c r="DZ641">
        <f>IF(ISBLANK('Data Entry'!$Â$641), "", 'Data Entry'!$Â$641)</f>
      </c>
      <c r="EA641">
        <f>IF(ISBLANK('Data Entry'!$Ã$641), "", 'Data Entry'!$Ã$641)</f>
      </c>
      <c r="EB641">
        <f>IF(ISBLANK('Data Entry'!$Ä$641), "", 'Data Entry'!$Ä$641)</f>
      </c>
      <c r="EC641">
        <f>IF(ISBLANK('Data Entry'!$Å$641), "", 'Data Entry'!$Å$641)</f>
      </c>
      <c r="ED641">
        <f>IF(ISBLANK('Data Entry'!$Æ$641), "", 'Data Entry'!$Æ$641)</f>
      </c>
      <c r="EE641">
        <f>IF(ISBLANK('Data Entry'!$Ç$641), "", 'Data Entry'!$Ç$641)</f>
      </c>
      <c r="EF641">
        <f>IF(ISBLANK('Data Entry'!$È$641), "", 'Data Entry'!$È$641)</f>
      </c>
      <c r="EG641">
        <f>IF(ISBLANK('Data Entry'!$É$641), "", 'Data Entry'!$É$641)</f>
      </c>
      <c r="EH641">
        <f>IF(ISBLANK('Data Entry'!$Ê$641), "", 'Data Entry'!$Ê$641)</f>
      </c>
      <c r="EI641">
        <f>IF(ISBLANK('Data Entry'!$Ë$641), "", 'Data Entry'!$Ë$641)</f>
      </c>
      <c r="EJ641">
        <f>IF(ISBLANK('Data Entry'!$Ì$641), "", 'Data Entry'!$Ì$641)</f>
      </c>
      <c r="EK641">
        <f>IF(ISBLANK('Data Entry'!$Í$641), "", 'Data Entry'!$Í$641)</f>
      </c>
      <c r="EL641">
        <f>IF(ISBLANK('Data Entry'!$Î$641), "", 'Data Entry'!$Î$641)</f>
      </c>
      <c r="EM641">
        <f>IF(ISBLANK('Data Entry'!$Ï$641), "", 'Data Entry'!$Ï$641)</f>
      </c>
      <c r="EN641">
        <f>IF(ISBLANK('Data Entry'!$Ð$641), "", 'Data Entry'!$Ð$641)</f>
      </c>
      <c r="EO641">
        <f>IF(ISBLANK('Data Entry'!$Ñ$641), "", 'Data Entry'!$Ñ$641)</f>
      </c>
      <c r="EP641">
        <f>IF(ISBLANK('Data Entry'!$Ò$641), "", 'Data Entry'!$Ò$641)</f>
      </c>
      <c r="EQ641">
        <f>IF(ISBLANK('Data Entry'!$Ó$641), "", 'Data Entry'!$Ó$641)</f>
      </c>
      <c r="ER641">
        <f>IF(ISBLANK('Data Entry'!$Ô$641), "", 'Data Entry'!$Ô$641)</f>
      </c>
      <c r="ES641">
        <f>IF(ISBLANK('Data Entry'!$Õ$641), "", 'Data Entry'!$Õ$641)</f>
      </c>
      <c r="ET641">
        <f>IF(ISBLANK('Data Entry'!$Ö$641), "", 'Data Entry'!$Ö$641)</f>
      </c>
      <c r="EU641">
        <f>IF(ISBLANK('Data Entry'!$×$641), "", 'Data Entry'!$×$641)</f>
      </c>
      <c r="EV641">
        <f>IF(ISBLANK('Data Entry'!$Ø$641), "", 'Data Entry'!$Ø$641)</f>
      </c>
      <c r="EW641">
        <f>IF(ISBLANK('Data Entry'!$Ù$641), "", 'Data Entry'!$Ù$641)</f>
      </c>
      <c r="EX641">
        <f>IF(ISBLANK('Data Entry'!$Ú$641), "", 'Data Entry'!$Ú$641)</f>
      </c>
      <c r="EY641">
        <f>IF(ISBLANK('Data Entry'!$Û$641), "", 'Data Entry'!$Û$641)</f>
      </c>
      <c r="EZ641">
        <f>IF(ISBLANK('Data Entry'!$Ü$641), "", 'Data Entry'!$Ü$641)</f>
      </c>
      <c r="FA641">
        <f>IF(ISBLANK('Data Entry'!$Ý$641), "", 'Data Entry'!$Ý$641)</f>
      </c>
      <c r="FB641">
        <f>IF(ISBLANK('Data Entry'!$Þ$641), "", 'Data Entry'!$Þ$641)</f>
      </c>
      <c r="FC641">
        <f>IF(ISBLANK('Data Entry'!$ß$641), "", 'Data Entry'!$ß$641)</f>
      </c>
      <c r="FD641">
        <f>IF(ISBLANK('Data Entry'!$à$641), "", 'Data Entry'!$à$641)</f>
      </c>
      <c r="FE641">
        <f>IF(ISBLANK('Data Entry'!$á$641), "", 'Data Entry'!$á$641)</f>
      </c>
      <c r="FF641">
        <f>IF(ISBLANK('Data Entry'!$â$641), "", 'Data Entry'!$â$641)</f>
      </c>
      <c r="FG641">
        <f>IF(ISBLANK('Data Entry'!$ã$641), "", 'Data Entry'!$ã$641)</f>
      </c>
      <c r="FH641">
        <f>IF(ISBLANK('Data Entry'!$ä$641), "", 'Data Entry'!$ä$641)</f>
      </c>
      <c r="FI641">
        <f>IF(ISBLANK('Data Entry'!$å$641), "", 'Data Entry'!$å$641)</f>
      </c>
      <c r="FJ641">
        <f>IF(ISBLANK('Data Entry'!$æ$641), "", 'Data Entry'!$æ$641)</f>
      </c>
      <c r="FK641">
        <f>IF(ISBLANK('Data Entry'!$ç$641), "", 'Data Entry'!$ç$641)</f>
      </c>
      <c r="FL641">
        <f>IF(ISBLANK('Data Entry'!$è$641), "", 'Data Entry'!$è$641)</f>
      </c>
      <c r="FM641">
        <f>IF(ISBLANK('Data Entry'!$é$641), "", 'Data Entry'!$é$641)</f>
      </c>
      <c r="FN641">
        <f>IF(ISBLANK('Data Entry'!$ê$641), "", 'Data Entry'!$ê$641)</f>
      </c>
      <c r="FO641">
        <f>IF(ISBLANK('Data Entry'!$ë$641), "", 'Data Entry'!$ë$641)</f>
      </c>
      <c r="FP641">
        <f>IF(ISBLANK('Data Entry'!$ì$641), "", 'Data Entry'!$ì$641)</f>
      </c>
      <c r="FQ641">
        <f>IF(ISBLANK('Data Entry'!$í$641), "", 'Data Entry'!$í$641)</f>
      </c>
      <c r="FR641">
        <f>IF(ISBLANK('Data Entry'!$î$641), "", 'Data Entry'!$î$641)</f>
      </c>
      <c r="FS641">
        <f>IF(ISBLANK('Data Entry'!$ï$641), "", 'Data Entry'!$ï$641)</f>
      </c>
      <c r="FT641">
        <f>IF(ISBLANK('Data Entry'!$ð$641), "", 'Data Entry'!$ð$641)</f>
      </c>
      <c r="FU641">
        <f>IF(ISBLANK('Data Entry'!$ñ$641), "", 'Data Entry'!$ñ$641)</f>
      </c>
      <c r="FV641">
        <f>IF(ISBLANK('Data Entry'!$ò$641), "", 'Data Entry'!$ò$641)</f>
      </c>
      <c r="FW641">
        <f>IF(ISBLANK('Data Entry'!$ó$641), "", 'Data Entry'!$ó$641)</f>
      </c>
      <c r="FX641">
        <f>IF(ISBLANK('Data Entry'!$ô$641), "", 'Data Entry'!$ô$641)</f>
      </c>
      <c r="FY641">
        <f>IF(ISBLANK('Data Entry'!$õ$641), "", 'Data Entry'!$õ$641)</f>
      </c>
      <c r="FZ641">
        <f>IF(ISBLANK('Data Entry'!$ö$641), "", 'Data Entry'!$ö$641)</f>
      </c>
      <c r="GA641">
        <f>IF(ISBLANK('Data Entry'!$÷$641), "", 'Data Entry'!$÷$641)</f>
      </c>
      <c r="GB641">
        <f>IF(ISBLANK('Data Entry'!$ø$641), "", 'Data Entry'!$ø$641)</f>
      </c>
      <c r="GC641">
        <f>IF(ISBLANK('Data Entry'!$ù$641), "", 'Data Entry'!$ù$641)</f>
      </c>
      <c r="GD641">
        <f>IF(ISBLANK('Data Entry'!$ú$641), "", 'Data Entry'!$ú$641)</f>
      </c>
      <c r="GE641">
        <f>IF(ISBLANK('Data Entry'!$û$641), "", 'Data Entry'!$û$641)</f>
      </c>
      <c r="GF641">
        <f>IF(ISBLANK('Data Entry'!$ü$641), "", 'Data Entry'!$ü$641)</f>
      </c>
      <c r="GG641">
        <f>IF(ISBLANK('Data Entry'!$ý$641), "", 'Data Entry'!$ý$641)</f>
      </c>
      <c r="GH641">
        <f>IF(ISBLANK('Data Entry'!$þ$641), "", 'Data Entry'!$þ$641)</f>
      </c>
      <c r="GI641">
        <f>IF(ISBLANK('Data Entry'!$ÿ$641), "", 'Data Entry'!$ÿ$641)</f>
      </c>
      <c r="GJ641">
        <f>IF(ISBLANK('Data Entry'!$Ā$641), "", 'Data Entry'!$Ā$641)</f>
      </c>
      <c r="GK641">
        <f>IF(ISBLANK('Data Entry'!$ā$641), "", 'Data Entry'!$ā$641)</f>
      </c>
      <c r="GL641">
        <f>IF(ISBLANK('Data Entry'!$Ă$641), "", 'Data Entry'!$Ă$641)</f>
      </c>
      <c r="GM641">
        <f>IF(ISBLANK('Data Entry'!$ă$641), "", 'Data Entry'!$ă$641)</f>
      </c>
      <c r="GN641">
        <f>IF(ISBLANK('Data Entry'!$Ą$641), "", 'Data Entry'!$Ą$641)</f>
      </c>
      <c r="GO641">
        <f>IF(ISBLANK('Data Entry'!$ą$641), "", 'Data Entry'!$ą$641)</f>
      </c>
      <c r="GP641">
        <f>IF(ISBLANK('Data Entry'!$Ć$641), "", 'Data Entry'!$Ć$641)</f>
      </c>
      <c r="GQ641">
        <f>IF(ISBLANK('Data Entry'!$ć$641), "", 'Data Entry'!$ć$641)</f>
      </c>
      <c r="GR641">
        <f>IF(ISBLANK('Data Entry'!$Ĉ$641), "", 'Data Entry'!$Ĉ$641)</f>
      </c>
      <c r="GS641">
        <f>IF(ISBLANK('Data Entry'!$ĉ$641), "", 'Data Entry'!$ĉ$641)</f>
      </c>
      <c r="GT641">
        <f>IF(ISBLANK('Data Entry'!$Ċ$641), "", 'Data Entry'!$Ċ$641)</f>
      </c>
      <c r="GU641">
        <f>IF(ISBLANK('Data Entry'!$ċ$641), "", 'Data Entry'!$ċ$641)</f>
      </c>
      <c r="GV641">
        <f>IF(ISBLANK('Data Entry'!$Č$641), "", 'Data Entry'!$Č$641)</f>
      </c>
      <c r="GW641">
        <f>IF(ISBLANK('Data Entry'!$č$641), "", 'Data Entry'!$č$641)</f>
      </c>
      <c r="GX641">
        <f>IF(ISBLANK('Data Entry'!$Ď$641), "", 'Data Entry'!$Ď$641)</f>
      </c>
      <c r="GY641">
        <f>IF(ISBLANK('Data Entry'!$ď$641), "", 'Data Entry'!$ď$641)</f>
      </c>
      <c r="GZ641">
        <f>IF(ISBLANK('Data Entry'!$Đ$641), "", 'Data Entry'!$Đ$641)</f>
      </c>
      <c r="HA641">
        <f>IF(ISBLANK('Data Entry'!$đ$641), "", 'Data Entry'!$đ$641)</f>
      </c>
      <c r="HB641">
        <f>IF(ISBLANK('Data Entry'!$Ē$641), "", 'Data Entry'!$Ē$641)</f>
      </c>
      <c r="HC641">
        <f>IF(ISBLANK('Data Entry'!$ē$641), "", 'Data Entry'!$ē$641)</f>
      </c>
      <c r="HD641">
        <f>IF(ISBLANK('Data Entry'!$Ĕ$641), "", 'Data Entry'!$Ĕ$641)</f>
      </c>
      <c r="HE641">
        <f>IF(ISBLANK('Data Entry'!$ĕ$641), "", 'Data Entry'!$ĕ$641)</f>
      </c>
      <c r="HF641">
        <f>IF(ISBLANK('Data Entry'!$Ė$641), "", 'Data Entry'!$Ė$641)</f>
      </c>
      <c r="HG641">
        <f>IF(ISBLANK('Data Entry'!$ė$641), "", 'Data Entry'!$ė$641)</f>
      </c>
      <c r="HH641">
        <f>IF(ISBLANK('Data Entry'!$Ę$641), "", 'Data Entry'!$Ę$641)</f>
      </c>
      <c r="HI641">
        <f>IF(ISBLANK('Data Entry'!$ę$641), "", 'Data Entry'!$ę$641)</f>
      </c>
      <c r="HJ641">
        <f>IF(ISBLANK('Data Entry'!$Ě$641), "", 'Data Entry'!$Ě$641)</f>
      </c>
      <c r="HK641">
        <f>IF(ISBLANK('Data Entry'!$ě$641), "", 'Data Entry'!$ě$641)</f>
      </c>
      <c r="HL641">
        <f>IF(ISBLANK('Data Entry'!$Ĝ$641), "", 'Data Entry'!$Ĝ$641)</f>
      </c>
      <c r="HM641">
        <f>IF(ISBLANK('Data Entry'!$ĝ$641), "", 'Data Entry'!$ĝ$641)</f>
      </c>
      <c r="HN641">
        <f>IF(ISBLANK('Data Entry'!$Ğ$641), "", 'Data Entry'!$Ğ$641)</f>
      </c>
      <c r="HO641">
        <f>IF(ISBLANK('Data Entry'!$ğ$641), "", 'Data Entry'!$ğ$641)</f>
      </c>
      <c r="HP641">
        <f>IF(ISBLANK('Data Entry'!$Ġ$641), "", 'Data Entry'!$Ġ$641)</f>
      </c>
      <c r="HQ641">
        <f>IF(ISBLANK('Data Entry'!$ġ$641), "", 'Data Entry'!$ġ$641)</f>
      </c>
      <c r="HR641">
        <f>IF(ISBLANK('Data Entry'!$Ģ$641), "", 'Data Entry'!$Ģ$641)</f>
      </c>
      <c r="HS641">
        <f>IF(ISBLANK('Data Entry'!$ģ$641), "", 'Data Entry'!$ģ$641)</f>
      </c>
      <c r="HT641">
        <f>IF(ISBLANK('Data Entry'!$Ĥ$641), "", 'Data Entry'!$Ĥ$641)</f>
      </c>
      <c r="HU641">
        <f>IF(ISBLANK('Data Entry'!$ĥ$641), "", 'Data Entry'!$ĥ$641)</f>
      </c>
      <c r="HV641">
        <f>IF(ISBLANK('Data Entry'!$Ħ$641), "", 'Data Entry'!$Ħ$641)</f>
      </c>
      <c r="HW641">
        <f>IF(ISBLANK('Data Entry'!$ħ$641), "", 'Data Entry'!$ħ$641)</f>
      </c>
      <c r="HX641">
        <f>IF(ISBLANK('Data Entry'!$Ĩ$641), "", 'Data Entry'!$Ĩ$641)</f>
      </c>
      <c r="HY641">
        <f>IF(ISBLANK('Data Entry'!$ĩ$641), "", 'Data Entry'!$ĩ$641)</f>
      </c>
      <c r="HZ641">
        <f>IF(ISBLANK('Data Entry'!$Ī$641), "", 'Data Entry'!$Ī$641)</f>
      </c>
      <c r="IA641">
        <f>IF(ISBLANK('Data Entry'!$ī$641), "", 'Data Entry'!$ī$641)</f>
      </c>
      <c r="IB641">
        <f>IF(ISBLANK('Data Entry'!$Ĭ$641), "", 'Data Entry'!$Ĭ$641)</f>
      </c>
      <c r="IC641">
        <f>IF(ISBLANK('Data Entry'!$ĭ$641), "", 'Data Entry'!$ĭ$641)</f>
      </c>
      <c r="ID641">
        <f>IF(ISBLANK('Data Entry'!$Į$641), "", 'Data Entry'!$Į$641)</f>
      </c>
      <c r="IE641">
        <f>IF(ISBLANK('Data Entry'!$į$641), "", 'Data Entry'!$į$641)</f>
      </c>
      <c r="IF641">
        <f>IF(ISBLANK('Data Entry'!$İ$641), "", 'Data Entry'!$İ$641)</f>
      </c>
      <c r="IG641">
        <f>IF(ISBLANK('Data Entry'!$ı$641), "", 'Data Entry'!$ı$641)</f>
      </c>
      <c r="IH641">
        <f>IF(ISBLANK('Data Entry'!$Ĳ$641), "", 'Data Entry'!$Ĳ$641)</f>
      </c>
      <c r="II641">
        <f>IF(ISBLANK('Data Entry'!$ĳ$641), "", 'Data Entry'!$ĳ$641)</f>
      </c>
      <c r="IJ641">
        <f>IF(ISBLANK('Data Entry'!$Ĵ$641), "", 'Data Entry'!$Ĵ$641)</f>
      </c>
      <c r="IK641">
        <f>IF(ISBLANK('Data Entry'!$ĵ$641), "", 'Data Entry'!$ĵ$641)</f>
      </c>
      <c r="IL641">
        <f>IF(ISBLANK('Data Entry'!$Ķ$641), "", 'Data Entry'!$Ķ$641)</f>
      </c>
      <c r="IM641">
        <f>IF(ISBLANK('Data Entry'!$ķ$641), "", 'Data Entry'!$ķ$641)</f>
      </c>
      <c r="IN641">
        <f>IF(ISBLANK('Data Entry'!$ĸ$641), "", 'Data Entry'!$ĸ$641)</f>
      </c>
      <c r="IO641">
        <f>IF(ISBLANK('Data Entry'!$Ĺ$641), "", 'Data Entry'!$Ĺ$641)</f>
      </c>
      <c r="IP641">
        <f>IF(ISBLANK('Data Entry'!$ĺ$641), "", 'Data Entry'!$ĺ$641)</f>
      </c>
      <c r="IQ641">
        <f>IF(ISBLANK('Data Entry'!$Ļ$641), "", 'Data Entry'!$Ļ$641)</f>
      </c>
      <c r="IR641">
        <f>IF(ISBLANK('Data Entry'!$ļ$641), "", 'Data Entry'!$ļ$641)</f>
      </c>
      <c r="IS641">
        <f>IF(ISBLANK('Data Entry'!$Ľ$641), "", 'Data Entry'!$Ľ$641)</f>
      </c>
      <c r="IT641">
        <f>IF(ISBLANK('Data Entry'!$ľ$641), "", 'Data Entry'!$ľ$641)</f>
      </c>
    </row>
    <row r="642" spans="1:254" x14ac:dyDescent="0.25">
      <c r="A642">
        <f>IF(ISBLANK('Data Entry'!$A$642), "", 'Data Entry'!$A$642)</f>
      </c>
      <c r="B642">
        <f>IF(ISBLANK('Data Entry'!$B$642), "", 'Data Entry'!$B$642)</f>
      </c>
      <c r="C642">
        <f>IF(ISBLANK('Data Entry'!$C$642), "", 'Data Entry'!$C$642)</f>
      </c>
      <c r="D642">
        <f>IF(ISBLANK('Data Entry'!$D$642), "", 'Data Entry'!$D$642)</f>
      </c>
      <c r="E642">
        <f>IF(ISBLANK('Data Entry'!$E$642), "", 'Data Entry'!$E$642)</f>
      </c>
      <c r="F642">
        <f>IF(ISBLANK('Data Entry'!$F$642), "", 'Data Entry'!$F$642)</f>
      </c>
      <c r="G642">
        <f>IF(ISBLANK('Data Entry'!$G$642), "", 'Data Entry'!$G$642)</f>
      </c>
      <c r="H642">
        <f>IF(ISBLANK('Data Entry'!$H$642), "", 'Data Entry'!$H$642)</f>
      </c>
      <c r="I642">
        <f>IF(ISBLANK('Data Entry'!$I$642), "", 'Data Entry'!$I$642)</f>
      </c>
      <c r="J642">
        <f>IF(ISBLANK('Data Entry'!$J$642), "", 'Data Entry'!$J$642)</f>
      </c>
      <c r="K642">
        <f>IF(ISBLANK('Data Entry'!$K$642), "", 'Data Entry'!$K$642)</f>
      </c>
      <c r="L642">
        <f>IF(ISBLANK('Data Entry'!$L$642), "", 'Data Entry'!$L$642)</f>
      </c>
      <c r="M642">
        <f>IF(ISBLANK('Data Entry'!$M$642), "", 'Data Entry'!$M$642)</f>
      </c>
      <c r="N642">
        <f>IF(ISBLANK('Data Entry'!$N$642), "", 'Data Entry'!$N$642)</f>
      </c>
      <c r="O642">
        <f>IF(ISBLANK('Data Entry'!$O$642), "", 'Data Entry'!$O$642)</f>
      </c>
      <c r="P642">
        <f>IF(ISBLANK('Data Entry'!$P$642), "", 'Data Entry'!$P$642)</f>
      </c>
      <c r="Q642">
        <f>IF(ISBLANK('Data Entry'!$Q$642), "", 'Data Entry'!$Q$642)</f>
      </c>
      <c r="R642">
        <f>IF(ISBLANK('Data Entry'!$R$642), "", 'Data Entry'!$R$642)</f>
      </c>
      <c r="S642">
        <f>IF(ISBLANK('Data Entry'!$S$642), "", 'Data Entry'!$S$642)</f>
      </c>
      <c r="T642">
        <f>IF(ISBLANK('Data Entry'!$T$642), "", 'Data Entry'!$T$642)</f>
      </c>
      <c r="U642">
        <f>IF(ISBLANK('Data Entry'!$U$642), "", 'Data Entry'!$U$642)</f>
      </c>
      <c r="V642">
        <f>IF(ISBLANK('Data Entry'!$V$642), "", 'Data Entry'!$V$642)</f>
      </c>
      <c r="W642">
        <f>IF(ISBLANK('Data Entry'!$W$642), "", 'Data Entry'!$W$642)</f>
      </c>
      <c r="X642">
        <f>IF(ISBLANK('Data Entry'!$X$642), "", 'Data Entry'!$X$642)</f>
      </c>
      <c r="Y642">
        <f>IF(ISBLANK('Data Entry'!$Y$642), "", 'Data Entry'!$Y$642)</f>
      </c>
      <c r="Z642">
        <f>IF(ISBLANK('Data Entry'!$Z$642), "", 'Data Entry'!$Z$642)</f>
      </c>
      <c r="AA642">
        <f>IF(ISBLANK('Data Entry'!$[$642), "", 'Data Entry'!$[$642)</f>
      </c>
      <c r="AB642">
        <f>IF(ISBLANK('Data Entry'!$\$642), "", 'Data Entry'!$\$642)</f>
      </c>
      <c r="AC642">
        <f>IF(ISBLANK('Data Entry'!$]$642), "", 'Data Entry'!$]$642)</f>
      </c>
      <c r="AD642">
        <f>IF(ISBLANK('Data Entry'!$^$642), "", 'Data Entry'!$^$642)</f>
      </c>
      <c r="AE642">
        <f>IF(ISBLANK('Data Entry'!$_$642), "", 'Data Entry'!$_$642)</f>
      </c>
      <c r="AF642">
        <f>IF(ISBLANK('Data Entry'!$`$642), "", 'Data Entry'!$`$642)</f>
      </c>
      <c r="AG642">
        <f>IF(ISBLANK('Data Entry'!$a$642), "", 'Data Entry'!$a$642)</f>
      </c>
      <c r="AH642">
        <f>IF(ISBLANK('Data Entry'!$b$642), "", 'Data Entry'!$b$642)</f>
      </c>
      <c r="AI642">
        <f>IF(ISBLANK('Data Entry'!$c$642), "", 'Data Entry'!$c$642)</f>
      </c>
      <c r="AJ642">
        <f>IF(ISBLANK('Data Entry'!$d$642), "", 'Data Entry'!$d$642)</f>
      </c>
      <c r="AK642">
        <f>IF(ISBLANK('Data Entry'!$e$642), "", 'Data Entry'!$e$642)</f>
      </c>
      <c r="AL642">
        <f>IF(ISBLANK('Data Entry'!$f$642), "", 'Data Entry'!$f$642)</f>
      </c>
      <c r="AM642">
        <f>IF(ISBLANK('Data Entry'!$g$642), "", 'Data Entry'!$g$642)</f>
      </c>
      <c r="AN642">
        <f>IF(ISBLANK('Data Entry'!$h$642), "", 'Data Entry'!$h$642)</f>
      </c>
      <c r="AO642">
        <f>IF(ISBLANK('Data Entry'!$i$642), "", 'Data Entry'!$i$642)</f>
      </c>
      <c r="AP642">
        <f>IF(ISBLANK('Data Entry'!$j$642), "", 'Data Entry'!$j$642)</f>
      </c>
      <c r="AQ642">
        <f>IF(ISBLANK('Data Entry'!$k$642), "", 'Data Entry'!$k$642)</f>
      </c>
      <c r="AR642">
        <f>IF(ISBLANK('Data Entry'!$l$642), "", 'Data Entry'!$l$642)</f>
      </c>
      <c r="AS642">
        <f>IF(ISBLANK('Data Entry'!$m$642), "", 'Data Entry'!$m$642)</f>
      </c>
      <c r="AT642">
        <f>IF(ISBLANK('Data Entry'!$n$642), "", 'Data Entry'!$n$642)</f>
      </c>
      <c r="AU642">
        <f>IF(ISBLANK('Data Entry'!$o$642), "", 'Data Entry'!$o$642)</f>
      </c>
      <c r="AV642">
        <f>IF(ISBLANK('Data Entry'!$p$642), "", 'Data Entry'!$p$642)</f>
      </c>
      <c r="AW642">
        <f>IF(ISBLANK('Data Entry'!$q$642), "", 'Data Entry'!$q$642)</f>
      </c>
      <c r="AX642">
        <f>IF(ISBLANK('Data Entry'!$r$642), "", 'Data Entry'!$r$642)</f>
      </c>
      <c r="AY642">
        <f>IF(ISBLANK('Data Entry'!$s$642), "", 'Data Entry'!$s$642)</f>
      </c>
      <c r="AZ642">
        <f>IF(ISBLANK('Data Entry'!$t$642), "", 'Data Entry'!$t$642)</f>
      </c>
      <c r="BA642">
        <f>IF(ISBLANK('Data Entry'!$u$642), "", 'Data Entry'!$u$642)</f>
      </c>
      <c r="BB642">
        <f>IF(ISBLANK('Data Entry'!$v$642), "", 'Data Entry'!$v$642)</f>
      </c>
      <c r="BC642">
        <f>IF(ISBLANK('Data Entry'!$w$642), "", 'Data Entry'!$w$642)</f>
      </c>
      <c r="BD642">
        <f>IF(ISBLANK('Data Entry'!$x$642), "", 'Data Entry'!$x$642)</f>
      </c>
      <c r="BE642">
        <f>IF(ISBLANK('Data Entry'!$y$642), "", 'Data Entry'!$y$642)</f>
      </c>
      <c r="BF642">
        <f>IF(ISBLANK('Data Entry'!$z$642), "", 'Data Entry'!$z$642)</f>
      </c>
      <c r="BG642">
        <f>IF(ISBLANK('Data Entry'!${$642), "", 'Data Entry'!${$642)</f>
      </c>
      <c r="BH642">
        <f>IF(ISBLANK('Data Entry'!$|$642), "", 'Data Entry'!$|$642)</f>
      </c>
      <c r="BI642">
        <f>IF(ISBLANK('Data Entry'!$}$642), "", 'Data Entry'!$}$642)</f>
      </c>
      <c r="BJ642">
        <f>IF(ISBLANK('Data Entry'!$~$642), "", 'Data Entry'!$~$642)</f>
      </c>
      <c r="BK642">
        <f>IF(ISBLANK('Data Entry'!$$642), "", 'Data Entry'!$$642)</f>
      </c>
      <c r="BL642">
        <f>IF(ISBLANK('Data Entry'!$$642), "", 'Data Entry'!$$642)</f>
      </c>
      <c r="BM642">
        <f>IF(ISBLANK('Data Entry'!$$642), "", 'Data Entry'!$$642)</f>
      </c>
      <c r="BN642">
        <f>IF(ISBLANK('Data Entry'!$$642), "", 'Data Entry'!$$642)</f>
      </c>
      <c r="BO642">
        <f>IF(ISBLANK('Data Entry'!$$642), "", 'Data Entry'!$$642)</f>
      </c>
      <c r="BP642">
        <f>IF(ISBLANK('Data Entry'!$$642), "", 'Data Entry'!$$642)</f>
      </c>
      <c r="BQ642">
        <f>IF(ISBLANK('Data Entry'!$$642), "", 'Data Entry'!$$642)</f>
      </c>
      <c r="BR642">
        <f>IF(ISBLANK('Data Entry'!$$642), "", 'Data Entry'!$$642)</f>
      </c>
      <c r="BS642">
        <f>IF(ISBLANK('Data Entry'!$$642), "", 'Data Entry'!$$642)</f>
      </c>
      <c r="BT642">
        <f>IF(ISBLANK('Data Entry'!$$642), "", 'Data Entry'!$$642)</f>
      </c>
      <c r="BU642">
        <f>IF(ISBLANK('Data Entry'!$$642), "", 'Data Entry'!$$642)</f>
      </c>
      <c r="BV642">
        <f>IF(ISBLANK('Data Entry'!$$642), "", 'Data Entry'!$$642)</f>
      </c>
      <c r="BW642">
        <f>IF(ISBLANK('Data Entry'!$$642), "", 'Data Entry'!$$642)</f>
      </c>
      <c r="BX642">
        <f>IF(ISBLANK('Data Entry'!$$642), "", 'Data Entry'!$$642)</f>
      </c>
      <c r="BY642">
        <f>IF(ISBLANK('Data Entry'!$$642), "", 'Data Entry'!$$642)</f>
      </c>
      <c r="BZ642">
        <f>IF(ISBLANK('Data Entry'!$$642), "", 'Data Entry'!$$642)</f>
      </c>
      <c r="CA642">
        <f>IF(ISBLANK('Data Entry'!$$642), "", 'Data Entry'!$$642)</f>
      </c>
      <c r="CB642">
        <f>IF(ISBLANK('Data Entry'!$$642), "", 'Data Entry'!$$642)</f>
      </c>
      <c r="CC642">
        <f>IF(ISBLANK('Data Entry'!$$642), "", 'Data Entry'!$$642)</f>
      </c>
      <c r="CD642">
        <f>IF(ISBLANK('Data Entry'!$$642), "", 'Data Entry'!$$642)</f>
      </c>
      <c r="CE642">
        <f>IF(ISBLANK('Data Entry'!$$642), "", 'Data Entry'!$$642)</f>
      </c>
      <c r="CF642">
        <f>IF(ISBLANK('Data Entry'!$$642), "", 'Data Entry'!$$642)</f>
      </c>
      <c r="CG642">
        <f>IF(ISBLANK('Data Entry'!$$642), "", 'Data Entry'!$$642)</f>
      </c>
      <c r="CH642">
        <f>IF(ISBLANK('Data Entry'!$$642), "", 'Data Entry'!$$642)</f>
      </c>
      <c r="CI642">
        <f>IF(ISBLANK('Data Entry'!$$642), "", 'Data Entry'!$$642)</f>
      </c>
      <c r="CJ642">
        <f>IF(ISBLANK('Data Entry'!$$642), "", 'Data Entry'!$$642)</f>
      </c>
      <c r="CK642">
        <f>IF(ISBLANK('Data Entry'!$$642), "", 'Data Entry'!$$642)</f>
      </c>
      <c r="CL642">
        <f>IF(ISBLANK('Data Entry'!$$642), "", 'Data Entry'!$$642)</f>
      </c>
      <c r="CM642">
        <f>IF(ISBLANK('Data Entry'!$$642), "", 'Data Entry'!$$642)</f>
      </c>
      <c r="CN642">
        <f>IF(ISBLANK('Data Entry'!$$642), "", 'Data Entry'!$$642)</f>
      </c>
      <c r="CO642">
        <f>IF(ISBLANK('Data Entry'!$$642), "", 'Data Entry'!$$642)</f>
      </c>
      <c r="CP642">
        <f>IF(ISBLANK('Data Entry'!$$642), "", 'Data Entry'!$$642)</f>
      </c>
      <c r="CQ642">
        <f>IF(ISBLANK('Data Entry'!$$642), "", 'Data Entry'!$$642)</f>
      </c>
      <c r="CR642">
        <f>IF(ISBLANK('Data Entry'!$ $642), "", 'Data Entry'!$ $642)</f>
      </c>
      <c r="CS642">
        <f>IF(ISBLANK('Data Entry'!$¡$642), "", 'Data Entry'!$¡$642)</f>
      </c>
      <c r="CT642">
        <f>IF(ISBLANK('Data Entry'!$¢$642), "", 'Data Entry'!$¢$642)</f>
      </c>
      <c r="CU642">
        <f>IF(ISBLANK('Data Entry'!$£$642), "", 'Data Entry'!$£$642)</f>
      </c>
      <c r="CV642">
        <f>IF(ISBLANK('Data Entry'!$¤$642), "", 'Data Entry'!$¤$642)</f>
      </c>
      <c r="CW642">
        <f>IF(ISBLANK('Data Entry'!$¥$642), "", 'Data Entry'!$¥$642)</f>
      </c>
      <c r="CX642">
        <f>IF(ISBLANK('Data Entry'!$¦$642), "", 'Data Entry'!$¦$642)</f>
      </c>
      <c r="CY642">
        <f>IF(ISBLANK('Data Entry'!$§$642), "", 'Data Entry'!$§$642)</f>
      </c>
      <c r="CZ642">
        <f>IF(ISBLANK('Data Entry'!$¨$642), "", 'Data Entry'!$¨$642)</f>
      </c>
      <c r="DA642">
        <f>IF(ISBLANK('Data Entry'!$©$642), "", 'Data Entry'!$©$642)</f>
      </c>
      <c r="DB642">
        <f>IF(ISBLANK('Data Entry'!$ª$642), "", 'Data Entry'!$ª$642)</f>
      </c>
      <c r="DC642">
        <f>IF(ISBLANK('Data Entry'!$«$642), "", 'Data Entry'!$«$642)</f>
      </c>
      <c r="DD642">
        <f>IF(ISBLANK('Data Entry'!$¬$642), "", 'Data Entry'!$¬$642)</f>
      </c>
      <c r="DE642">
        <f>IF(ISBLANK('Data Entry'!$­$642), "", 'Data Entry'!$­$642)</f>
      </c>
      <c r="DF642">
        <f>IF(ISBLANK('Data Entry'!$®$642), "", 'Data Entry'!$®$642)</f>
      </c>
      <c r="DG642">
        <f>IF(ISBLANK('Data Entry'!$¯$642), "", 'Data Entry'!$¯$642)</f>
      </c>
      <c r="DH642">
        <f>IF(ISBLANK('Data Entry'!$°$642), "", 'Data Entry'!$°$642)</f>
      </c>
      <c r="DI642">
        <f>IF(ISBLANK('Data Entry'!$±$642), "", 'Data Entry'!$±$642)</f>
      </c>
      <c r="DJ642">
        <f>IF(ISBLANK('Data Entry'!$²$642), "", 'Data Entry'!$²$642)</f>
      </c>
      <c r="DK642">
        <f>IF(ISBLANK('Data Entry'!$³$642), "", 'Data Entry'!$³$642)</f>
      </c>
      <c r="DL642">
        <f>IF(ISBLANK('Data Entry'!$´$642), "", 'Data Entry'!$´$642)</f>
      </c>
      <c r="DM642">
        <f>IF(ISBLANK('Data Entry'!$µ$642), "", 'Data Entry'!$µ$642)</f>
      </c>
      <c r="DN642">
        <f>IF(ISBLANK('Data Entry'!$¶$642), "", 'Data Entry'!$¶$642)</f>
      </c>
      <c r="DO642">
        <f>IF(ISBLANK('Data Entry'!$·$642), "", 'Data Entry'!$·$642)</f>
      </c>
      <c r="DP642">
        <f>IF(ISBLANK('Data Entry'!$¸$642), "", 'Data Entry'!$¸$642)</f>
      </c>
      <c r="DQ642">
        <f>IF(ISBLANK('Data Entry'!$¹$642), "", 'Data Entry'!$¹$642)</f>
      </c>
      <c r="DR642">
        <f>IF(ISBLANK('Data Entry'!$º$642), "", 'Data Entry'!$º$642)</f>
      </c>
      <c r="DS642">
        <f>IF(ISBLANK('Data Entry'!$»$642), "", 'Data Entry'!$»$642)</f>
      </c>
      <c r="DT642">
        <f>IF(ISBLANK('Data Entry'!$¼$642), "", 'Data Entry'!$¼$642)</f>
      </c>
      <c r="DU642">
        <f>IF(ISBLANK('Data Entry'!$½$642), "", 'Data Entry'!$½$642)</f>
      </c>
      <c r="DV642">
        <f>IF(ISBLANK('Data Entry'!$¾$642), "", 'Data Entry'!$¾$642)</f>
      </c>
      <c r="DW642">
        <f>IF(ISBLANK('Data Entry'!$¿$642), "", 'Data Entry'!$¿$642)</f>
      </c>
      <c r="DX642">
        <f>IF(ISBLANK('Data Entry'!$À$642), "", 'Data Entry'!$À$642)</f>
      </c>
      <c r="DY642">
        <f>IF(ISBLANK('Data Entry'!$Á$642), "", 'Data Entry'!$Á$642)</f>
      </c>
      <c r="DZ642">
        <f>IF(ISBLANK('Data Entry'!$Â$642), "", 'Data Entry'!$Â$642)</f>
      </c>
      <c r="EA642">
        <f>IF(ISBLANK('Data Entry'!$Ã$642), "", 'Data Entry'!$Ã$642)</f>
      </c>
      <c r="EB642">
        <f>IF(ISBLANK('Data Entry'!$Ä$642), "", 'Data Entry'!$Ä$642)</f>
      </c>
      <c r="EC642">
        <f>IF(ISBLANK('Data Entry'!$Å$642), "", 'Data Entry'!$Å$642)</f>
      </c>
      <c r="ED642">
        <f>IF(ISBLANK('Data Entry'!$Æ$642), "", 'Data Entry'!$Æ$642)</f>
      </c>
      <c r="EE642">
        <f>IF(ISBLANK('Data Entry'!$Ç$642), "", 'Data Entry'!$Ç$642)</f>
      </c>
      <c r="EF642">
        <f>IF(ISBLANK('Data Entry'!$È$642), "", 'Data Entry'!$È$642)</f>
      </c>
      <c r="EG642">
        <f>IF(ISBLANK('Data Entry'!$É$642), "", 'Data Entry'!$É$642)</f>
      </c>
      <c r="EH642">
        <f>IF(ISBLANK('Data Entry'!$Ê$642), "", 'Data Entry'!$Ê$642)</f>
      </c>
      <c r="EI642">
        <f>IF(ISBLANK('Data Entry'!$Ë$642), "", 'Data Entry'!$Ë$642)</f>
      </c>
      <c r="EJ642">
        <f>IF(ISBLANK('Data Entry'!$Ì$642), "", 'Data Entry'!$Ì$642)</f>
      </c>
      <c r="EK642">
        <f>IF(ISBLANK('Data Entry'!$Í$642), "", 'Data Entry'!$Í$642)</f>
      </c>
      <c r="EL642">
        <f>IF(ISBLANK('Data Entry'!$Î$642), "", 'Data Entry'!$Î$642)</f>
      </c>
      <c r="EM642">
        <f>IF(ISBLANK('Data Entry'!$Ï$642), "", 'Data Entry'!$Ï$642)</f>
      </c>
      <c r="EN642">
        <f>IF(ISBLANK('Data Entry'!$Ð$642), "", 'Data Entry'!$Ð$642)</f>
      </c>
      <c r="EO642">
        <f>IF(ISBLANK('Data Entry'!$Ñ$642), "", 'Data Entry'!$Ñ$642)</f>
      </c>
      <c r="EP642">
        <f>IF(ISBLANK('Data Entry'!$Ò$642), "", 'Data Entry'!$Ò$642)</f>
      </c>
      <c r="EQ642">
        <f>IF(ISBLANK('Data Entry'!$Ó$642), "", 'Data Entry'!$Ó$642)</f>
      </c>
      <c r="ER642">
        <f>IF(ISBLANK('Data Entry'!$Ô$642), "", 'Data Entry'!$Ô$642)</f>
      </c>
      <c r="ES642">
        <f>IF(ISBLANK('Data Entry'!$Õ$642), "", 'Data Entry'!$Õ$642)</f>
      </c>
      <c r="ET642">
        <f>IF(ISBLANK('Data Entry'!$Ö$642), "", 'Data Entry'!$Ö$642)</f>
      </c>
      <c r="EU642">
        <f>IF(ISBLANK('Data Entry'!$×$642), "", 'Data Entry'!$×$642)</f>
      </c>
      <c r="EV642">
        <f>IF(ISBLANK('Data Entry'!$Ø$642), "", 'Data Entry'!$Ø$642)</f>
      </c>
      <c r="EW642">
        <f>IF(ISBLANK('Data Entry'!$Ù$642), "", 'Data Entry'!$Ù$642)</f>
      </c>
      <c r="EX642">
        <f>IF(ISBLANK('Data Entry'!$Ú$642), "", 'Data Entry'!$Ú$642)</f>
      </c>
      <c r="EY642">
        <f>IF(ISBLANK('Data Entry'!$Û$642), "", 'Data Entry'!$Û$642)</f>
      </c>
      <c r="EZ642">
        <f>IF(ISBLANK('Data Entry'!$Ü$642), "", 'Data Entry'!$Ü$642)</f>
      </c>
      <c r="FA642">
        <f>IF(ISBLANK('Data Entry'!$Ý$642), "", 'Data Entry'!$Ý$642)</f>
      </c>
      <c r="FB642">
        <f>IF(ISBLANK('Data Entry'!$Þ$642), "", 'Data Entry'!$Þ$642)</f>
      </c>
      <c r="FC642">
        <f>IF(ISBLANK('Data Entry'!$ß$642), "", 'Data Entry'!$ß$642)</f>
      </c>
      <c r="FD642">
        <f>IF(ISBLANK('Data Entry'!$à$642), "", 'Data Entry'!$à$642)</f>
      </c>
      <c r="FE642">
        <f>IF(ISBLANK('Data Entry'!$á$642), "", 'Data Entry'!$á$642)</f>
      </c>
      <c r="FF642">
        <f>IF(ISBLANK('Data Entry'!$â$642), "", 'Data Entry'!$â$642)</f>
      </c>
      <c r="FG642">
        <f>IF(ISBLANK('Data Entry'!$ã$642), "", 'Data Entry'!$ã$642)</f>
      </c>
      <c r="FH642">
        <f>IF(ISBLANK('Data Entry'!$ä$642), "", 'Data Entry'!$ä$642)</f>
      </c>
      <c r="FI642">
        <f>IF(ISBLANK('Data Entry'!$å$642), "", 'Data Entry'!$å$642)</f>
      </c>
      <c r="FJ642">
        <f>IF(ISBLANK('Data Entry'!$æ$642), "", 'Data Entry'!$æ$642)</f>
      </c>
      <c r="FK642">
        <f>IF(ISBLANK('Data Entry'!$ç$642), "", 'Data Entry'!$ç$642)</f>
      </c>
      <c r="FL642">
        <f>IF(ISBLANK('Data Entry'!$è$642), "", 'Data Entry'!$è$642)</f>
      </c>
      <c r="FM642">
        <f>IF(ISBLANK('Data Entry'!$é$642), "", 'Data Entry'!$é$642)</f>
      </c>
      <c r="FN642">
        <f>IF(ISBLANK('Data Entry'!$ê$642), "", 'Data Entry'!$ê$642)</f>
      </c>
      <c r="FO642">
        <f>IF(ISBLANK('Data Entry'!$ë$642), "", 'Data Entry'!$ë$642)</f>
      </c>
      <c r="FP642">
        <f>IF(ISBLANK('Data Entry'!$ì$642), "", 'Data Entry'!$ì$642)</f>
      </c>
      <c r="FQ642">
        <f>IF(ISBLANK('Data Entry'!$í$642), "", 'Data Entry'!$í$642)</f>
      </c>
      <c r="FR642">
        <f>IF(ISBLANK('Data Entry'!$î$642), "", 'Data Entry'!$î$642)</f>
      </c>
      <c r="FS642">
        <f>IF(ISBLANK('Data Entry'!$ï$642), "", 'Data Entry'!$ï$642)</f>
      </c>
      <c r="FT642">
        <f>IF(ISBLANK('Data Entry'!$ð$642), "", 'Data Entry'!$ð$642)</f>
      </c>
      <c r="FU642">
        <f>IF(ISBLANK('Data Entry'!$ñ$642), "", 'Data Entry'!$ñ$642)</f>
      </c>
      <c r="FV642">
        <f>IF(ISBLANK('Data Entry'!$ò$642), "", 'Data Entry'!$ò$642)</f>
      </c>
      <c r="FW642">
        <f>IF(ISBLANK('Data Entry'!$ó$642), "", 'Data Entry'!$ó$642)</f>
      </c>
      <c r="FX642">
        <f>IF(ISBLANK('Data Entry'!$ô$642), "", 'Data Entry'!$ô$642)</f>
      </c>
      <c r="FY642">
        <f>IF(ISBLANK('Data Entry'!$õ$642), "", 'Data Entry'!$õ$642)</f>
      </c>
      <c r="FZ642">
        <f>IF(ISBLANK('Data Entry'!$ö$642), "", 'Data Entry'!$ö$642)</f>
      </c>
      <c r="GA642">
        <f>IF(ISBLANK('Data Entry'!$÷$642), "", 'Data Entry'!$÷$642)</f>
      </c>
      <c r="GB642">
        <f>IF(ISBLANK('Data Entry'!$ø$642), "", 'Data Entry'!$ø$642)</f>
      </c>
      <c r="GC642">
        <f>IF(ISBLANK('Data Entry'!$ù$642), "", 'Data Entry'!$ù$642)</f>
      </c>
      <c r="GD642">
        <f>IF(ISBLANK('Data Entry'!$ú$642), "", 'Data Entry'!$ú$642)</f>
      </c>
      <c r="GE642">
        <f>IF(ISBLANK('Data Entry'!$û$642), "", 'Data Entry'!$û$642)</f>
      </c>
      <c r="GF642">
        <f>IF(ISBLANK('Data Entry'!$ü$642), "", 'Data Entry'!$ü$642)</f>
      </c>
      <c r="GG642">
        <f>IF(ISBLANK('Data Entry'!$ý$642), "", 'Data Entry'!$ý$642)</f>
      </c>
      <c r="GH642">
        <f>IF(ISBLANK('Data Entry'!$þ$642), "", 'Data Entry'!$þ$642)</f>
      </c>
      <c r="GI642">
        <f>IF(ISBLANK('Data Entry'!$ÿ$642), "", 'Data Entry'!$ÿ$642)</f>
      </c>
      <c r="GJ642">
        <f>IF(ISBLANK('Data Entry'!$Ā$642), "", 'Data Entry'!$Ā$642)</f>
      </c>
      <c r="GK642">
        <f>IF(ISBLANK('Data Entry'!$ā$642), "", 'Data Entry'!$ā$642)</f>
      </c>
      <c r="GL642">
        <f>IF(ISBLANK('Data Entry'!$Ă$642), "", 'Data Entry'!$Ă$642)</f>
      </c>
      <c r="GM642">
        <f>IF(ISBLANK('Data Entry'!$ă$642), "", 'Data Entry'!$ă$642)</f>
      </c>
      <c r="GN642">
        <f>IF(ISBLANK('Data Entry'!$Ą$642), "", 'Data Entry'!$Ą$642)</f>
      </c>
      <c r="GO642">
        <f>IF(ISBLANK('Data Entry'!$ą$642), "", 'Data Entry'!$ą$642)</f>
      </c>
      <c r="GP642">
        <f>IF(ISBLANK('Data Entry'!$Ć$642), "", 'Data Entry'!$Ć$642)</f>
      </c>
      <c r="GQ642">
        <f>IF(ISBLANK('Data Entry'!$ć$642), "", 'Data Entry'!$ć$642)</f>
      </c>
      <c r="GR642">
        <f>IF(ISBLANK('Data Entry'!$Ĉ$642), "", 'Data Entry'!$Ĉ$642)</f>
      </c>
      <c r="GS642">
        <f>IF(ISBLANK('Data Entry'!$ĉ$642), "", 'Data Entry'!$ĉ$642)</f>
      </c>
      <c r="GT642">
        <f>IF(ISBLANK('Data Entry'!$Ċ$642), "", 'Data Entry'!$Ċ$642)</f>
      </c>
      <c r="GU642">
        <f>IF(ISBLANK('Data Entry'!$ċ$642), "", 'Data Entry'!$ċ$642)</f>
      </c>
      <c r="GV642">
        <f>IF(ISBLANK('Data Entry'!$Č$642), "", 'Data Entry'!$Č$642)</f>
      </c>
      <c r="GW642">
        <f>IF(ISBLANK('Data Entry'!$č$642), "", 'Data Entry'!$č$642)</f>
      </c>
      <c r="GX642">
        <f>IF(ISBLANK('Data Entry'!$Ď$642), "", 'Data Entry'!$Ď$642)</f>
      </c>
      <c r="GY642">
        <f>IF(ISBLANK('Data Entry'!$ď$642), "", 'Data Entry'!$ď$642)</f>
      </c>
      <c r="GZ642">
        <f>IF(ISBLANK('Data Entry'!$Đ$642), "", 'Data Entry'!$Đ$642)</f>
      </c>
      <c r="HA642">
        <f>IF(ISBLANK('Data Entry'!$đ$642), "", 'Data Entry'!$đ$642)</f>
      </c>
      <c r="HB642">
        <f>IF(ISBLANK('Data Entry'!$Ē$642), "", 'Data Entry'!$Ē$642)</f>
      </c>
      <c r="HC642">
        <f>IF(ISBLANK('Data Entry'!$ē$642), "", 'Data Entry'!$ē$642)</f>
      </c>
      <c r="HD642">
        <f>IF(ISBLANK('Data Entry'!$Ĕ$642), "", 'Data Entry'!$Ĕ$642)</f>
      </c>
      <c r="HE642">
        <f>IF(ISBLANK('Data Entry'!$ĕ$642), "", 'Data Entry'!$ĕ$642)</f>
      </c>
      <c r="HF642">
        <f>IF(ISBLANK('Data Entry'!$Ė$642), "", 'Data Entry'!$Ė$642)</f>
      </c>
      <c r="HG642">
        <f>IF(ISBLANK('Data Entry'!$ė$642), "", 'Data Entry'!$ė$642)</f>
      </c>
      <c r="HH642">
        <f>IF(ISBLANK('Data Entry'!$Ę$642), "", 'Data Entry'!$Ę$642)</f>
      </c>
      <c r="HI642">
        <f>IF(ISBLANK('Data Entry'!$ę$642), "", 'Data Entry'!$ę$642)</f>
      </c>
      <c r="HJ642">
        <f>IF(ISBLANK('Data Entry'!$Ě$642), "", 'Data Entry'!$Ě$642)</f>
      </c>
      <c r="HK642">
        <f>IF(ISBLANK('Data Entry'!$ě$642), "", 'Data Entry'!$ě$642)</f>
      </c>
      <c r="HL642">
        <f>IF(ISBLANK('Data Entry'!$Ĝ$642), "", 'Data Entry'!$Ĝ$642)</f>
      </c>
      <c r="HM642">
        <f>IF(ISBLANK('Data Entry'!$ĝ$642), "", 'Data Entry'!$ĝ$642)</f>
      </c>
      <c r="HN642">
        <f>IF(ISBLANK('Data Entry'!$Ğ$642), "", 'Data Entry'!$Ğ$642)</f>
      </c>
      <c r="HO642">
        <f>IF(ISBLANK('Data Entry'!$ğ$642), "", 'Data Entry'!$ğ$642)</f>
      </c>
      <c r="HP642">
        <f>IF(ISBLANK('Data Entry'!$Ġ$642), "", 'Data Entry'!$Ġ$642)</f>
      </c>
      <c r="HQ642">
        <f>IF(ISBLANK('Data Entry'!$ġ$642), "", 'Data Entry'!$ġ$642)</f>
      </c>
      <c r="HR642">
        <f>IF(ISBLANK('Data Entry'!$Ģ$642), "", 'Data Entry'!$Ģ$642)</f>
      </c>
      <c r="HS642">
        <f>IF(ISBLANK('Data Entry'!$ģ$642), "", 'Data Entry'!$ģ$642)</f>
      </c>
      <c r="HT642">
        <f>IF(ISBLANK('Data Entry'!$Ĥ$642), "", 'Data Entry'!$Ĥ$642)</f>
      </c>
      <c r="HU642">
        <f>IF(ISBLANK('Data Entry'!$ĥ$642), "", 'Data Entry'!$ĥ$642)</f>
      </c>
      <c r="HV642">
        <f>IF(ISBLANK('Data Entry'!$Ħ$642), "", 'Data Entry'!$Ħ$642)</f>
      </c>
      <c r="HW642">
        <f>IF(ISBLANK('Data Entry'!$ħ$642), "", 'Data Entry'!$ħ$642)</f>
      </c>
      <c r="HX642">
        <f>IF(ISBLANK('Data Entry'!$Ĩ$642), "", 'Data Entry'!$Ĩ$642)</f>
      </c>
      <c r="HY642">
        <f>IF(ISBLANK('Data Entry'!$ĩ$642), "", 'Data Entry'!$ĩ$642)</f>
      </c>
      <c r="HZ642">
        <f>IF(ISBLANK('Data Entry'!$Ī$642), "", 'Data Entry'!$Ī$642)</f>
      </c>
      <c r="IA642">
        <f>IF(ISBLANK('Data Entry'!$ī$642), "", 'Data Entry'!$ī$642)</f>
      </c>
      <c r="IB642">
        <f>IF(ISBLANK('Data Entry'!$Ĭ$642), "", 'Data Entry'!$Ĭ$642)</f>
      </c>
      <c r="IC642">
        <f>IF(ISBLANK('Data Entry'!$ĭ$642), "", 'Data Entry'!$ĭ$642)</f>
      </c>
      <c r="ID642">
        <f>IF(ISBLANK('Data Entry'!$Į$642), "", 'Data Entry'!$Į$642)</f>
      </c>
      <c r="IE642">
        <f>IF(ISBLANK('Data Entry'!$į$642), "", 'Data Entry'!$į$642)</f>
      </c>
      <c r="IF642">
        <f>IF(ISBLANK('Data Entry'!$İ$642), "", 'Data Entry'!$İ$642)</f>
      </c>
      <c r="IG642">
        <f>IF(ISBLANK('Data Entry'!$ı$642), "", 'Data Entry'!$ı$642)</f>
      </c>
      <c r="IH642">
        <f>IF(ISBLANK('Data Entry'!$Ĳ$642), "", 'Data Entry'!$Ĳ$642)</f>
      </c>
      <c r="II642">
        <f>IF(ISBLANK('Data Entry'!$ĳ$642), "", 'Data Entry'!$ĳ$642)</f>
      </c>
      <c r="IJ642">
        <f>IF(ISBLANK('Data Entry'!$Ĵ$642), "", 'Data Entry'!$Ĵ$642)</f>
      </c>
      <c r="IK642">
        <f>IF(ISBLANK('Data Entry'!$ĵ$642), "", 'Data Entry'!$ĵ$642)</f>
      </c>
      <c r="IL642">
        <f>IF(ISBLANK('Data Entry'!$Ķ$642), "", 'Data Entry'!$Ķ$642)</f>
      </c>
      <c r="IM642">
        <f>IF(ISBLANK('Data Entry'!$ķ$642), "", 'Data Entry'!$ķ$642)</f>
      </c>
      <c r="IN642">
        <f>IF(ISBLANK('Data Entry'!$ĸ$642), "", 'Data Entry'!$ĸ$642)</f>
      </c>
      <c r="IO642">
        <f>IF(ISBLANK('Data Entry'!$Ĺ$642), "", 'Data Entry'!$Ĺ$642)</f>
      </c>
      <c r="IP642">
        <f>IF(ISBLANK('Data Entry'!$ĺ$642), "", 'Data Entry'!$ĺ$642)</f>
      </c>
      <c r="IQ642">
        <f>IF(ISBLANK('Data Entry'!$Ļ$642), "", 'Data Entry'!$Ļ$642)</f>
      </c>
      <c r="IR642">
        <f>IF(ISBLANK('Data Entry'!$ļ$642), "", 'Data Entry'!$ļ$642)</f>
      </c>
      <c r="IS642">
        <f>IF(ISBLANK('Data Entry'!$Ľ$642), "", 'Data Entry'!$Ľ$642)</f>
      </c>
      <c r="IT642">
        <f>IF(ISBLANK('Data Entry'!$ľ$642), "", 'Data Entry'!$ľ$642)</f>
      </c>
    </row>
    <row r="643" spans="1:254" x14ac:dyDescent="0.25">
      <c r="A643">
        <f>IF(ISBLANK('Data Entry'!$A$643), "", 'Data Entry'!$A$643)</f>
      </c>
      <c r="B643">
        <f>IF(ISBLANK('Data Entry'!$B$643), "", 'Data Entry'!$B$643)</f>
      </c>
      <c r="C643">
        <f>IF(ISBLANK('Data Entry'!$C$643), "", 'Data Entry'!$C$643)</f>
      </c>
      <c r="D643">
        <f>IF(ISBLANK('Data Entry'!$D$643), "", 'Data Entry'!$D$643)</f>
      </c>
      <c r="E643">
        <f>IF(ISBLANK('Data Entry'!$E$643), "", 'Data Entry'!$E$643)</f>
      </c>
      <c r="F643">
        <f>IF(ISBLANK('Data Entry'!$F$643), "", 'Data Entry'!$F$643)</f>
      </c>
      <c r="G643">
        <f>IF(ISBLANK('Data Entry'!$G$643), "", 'Data Entry'!$G$643)</f>
      </c>
      <c r="H643">
        <f>IF(ISBLANK('Data Entry'!$H$643), "", 'Data Entry'!$H$643)</f>
      </c>
      <c r="I643">
        <f>IF(ISBLANK('Data Entry'!$I$643), "", 'Data Entry'!$I$643)</f>
      </c>
      <c r="J643">
        <f>IF(ISBLANK('Data Entry'!$J$643), "", 'Data Entry'!$J$643)</f>
      </c>
      <c r="K643">
        <f>IF(ISBLANK('Data Entry'!$K$643), "", 'Data Entry'!$K$643)</f>
      </c>
      <c r="L643">
        <f>IF(ISBLANK('Data Entry'!$L$643), "", 'Data Entry'!$L$643)</f>
      </c>
      <c r="M643">
        <f>IF(ISBLANK('Data Entry'!$M$643), "", 'Data Entry'!$M$643)</f>
      </c>
      <c r="N643">
        <f>IF(ISBLANK('Data Entry'!$N$643), "", 'Data Entry'!$N$643)</f>
      </c>
      <c r="O643">
        <f>IF(ISBLANK('Data Entry'!$O$643), "", 'Data Entry'!$O$643)</f>
      </c>
      <c r="P643">
        <f>IF(ISBLANK('Data Entry'!$P$643), "", 'Data Entry'!$P$643)</f>
      </c>
      <c r="Q643">
        <f>IF(ISBLANK('Data Entry'!$Q$643), "", 'Data Entry'!$Q$643)</f>
      </c>
      <c r="R643">
        <f>IF(ISBLANK('Data Entry'!$R$643), "", 'Data Entry'!$R$643)</f>
      </c>
      <c r="S643">
        <f>IF(ISBLANK('Data Entry'!$S$643), "", 'Data Entry'!$S$643)</f>
      </c>
      <c r="T643">
        <f>IF(ISBLANK('Data Entry'!$T$643), "", 'Data Entry'!$T$643)</f>
      </c>
      <c r="U643">
        <f>IF(ISBLANK('Data Entry'!$U$643), "", 'Data Entry'!$U$643)</f>
      </c>
      <c r="V643">
        <f>IF(ISBLANK('Data Entry'!$V$643), "", 'Data Entry'!$V$643)</f>
      </c>
      <c r="W643">
        <f>IF(ISBLANK('Data Entry'!$W$643), "", 'Data Entry'!$W$643)</f>
      </c>
      <c r="X643">
        <f>IF(ISBLANK('Data Entry'!$X$643), "", 'Data Entry'!$X$643)</f>
      </c>
      <c r="Y643">
        <f>IF(ISBLANK('Data Entry'!$Y$643), "", 'Data Entry'!$Y$643)</f>
      </c>
      <c r="Z643">
        <f>IF(ISBLANK('Data Entry'!$Z$643), "", 'Data Entry'!$Z$643)</f>
      </c>
      <c r="AA643">
        <f>IF(ISBLANK('Data Entry'!$[$643), "", 'Data Entry'!$[$643)</f>
      </c>
      <c r="AB643">
        <f>IF(ISBLANK('Data Entry'!$\$643), "", 'Data Entry'!$\$643)</f>
      </c>
      <c r="AC643">
        <f>IF(ISBLANK('Data Entry'!$]$643), "", 'Data Entry'!$]$643)</f>
      </c>
      <c r="AD643">
        <f>IF(ISBLANK('Data Entry'!$^$643), "", 'Data Entry'!$^$643)</f>
      </c>
      <c r="AE643">
        <f>IF(ISBLANK('Data Entry'!$_$643), "", 'Data Entry'!$_$643)</f>
      </c>
      <c r="AF643">
        <f>IF(ISBLANK('Data Entry'!$`$643), "", 'Data Entry'!$`$643)</f>
      </c>
      <c r="AG643">
        <f>IF(ISBLANK('Data Entry'!$a$643), "", 'Data Entry'!$a$643)</f>
      </c>
      <c r="AH643">
        <f>IF(ISBLANK('Data Entry'!$b$643), "", 'Data Entry'!$b$643)</f>
      </c>
      <c r="AI643">
        <f>IF(ISBLANK('Data Entry'!$c$643), "", 'Data Entry'!$c$643)</f>
      </c>
      <c r="AJ643">
        <f>IF(ISBLANK('Data Entry'!$d$643), "", 'Data Entry'!$d$643)</f>
      </c>
      <c r="AK643">
        <f>IF(ISBLANK('Data Entry'!$e$643), "", 'Data Entry'!$e$643)</f>
      </c>
      <c r="AL643">
        <f>IF(ISBLANK('Data Entry'!$f$643), "", 'Data Entry'!$f$643)</f>
      </c>
      <c r="AM643">
        <f>IF(ISBLANK('Data Entry'!$g$643), "", 'Data Entry'!$g$643)</f>
      </c>
      <c r="AN643">
        <f>IF(ISBLANK('Data Entry'!$h$643), "", 'Data Entry'!$h$643)</f>
      </c>
      <c r="AO643">
        <f>IF(ISBLANK('Data Entry'!$i$643), "", 'Data Entry'!$i$643)</f>
      </c>
      <c r="AP643">
        <f>IF(ISBLANK('Data Entry'!$j$643), "", 'Data Entry'!$j$643)</f>
      </c>
      <c r="AQ643">
        <f>IF(ISBLANK('Data Entry'!$k$643), "", 'Data Entry'!$k$643)</f>
      </c>
      <c r="AR643">
        <f>IF(ISBLANK('Data Entry'!$l$643), "", 'Data Entry'!$l$643)</f>
      </c>
      <c r="AS643">
        <f>IF(ISBLANK('Data Entry'!$m$643), "", 'Data Entry'!$m$643)</f>
      </c>
      <c r="AT643">
        <f>IF(ISBLANK('Data Entry'!$n$643), "", 'Data Entry'!$n$643)</f>
      </c>
      <c r="AU643">
        <f>IF(ISBLANK('Data Entry'!$o$643), "", 'Data Entry'!$o$643)</f>
      </c>
      <c r="AV643">
        <f>IF(ISBLANK('Data Entry'!$p$643), "", 'Data Entry'!$p$643)</f>
      </c>
      <c r="AW643">
        <f>IF(ISBLANK('Data Entry'!$q$643), "", 'Data Entry'!$q$643)</f>
      </c>
      <c r="AX643">
        <f>IF(ISBLANK('Data Entry'!$r$643), "", 'Data Entry'!$r$643)</f>
      </c>
      <c r="AY643">
        <f>IF(ISBLANK('Data Entry'!$s$643), "", 'Data Entry'!$s$643)</f>
      </c>
      <c r="AZ643">
        <f>IF(ISBLANK('Data Entry'!$t$643), "", 'Data Entry'!$t$643)</f>
      </c>
      <c r="BA643">
        <f>IF(ISBLANK('Data Entry'!$u$643), "", 'Data Entry'!$u$643)</f>
      </c>
      <c r="BB643">
        <f>IF(ISBLANK('Data Entry'!$v$643), "", 'Data Entry'!$v$643)</f>
      </c>
      <c r="BC643">
        <f>IF(ISBLANK('Data Entry'!$w$643), "", 'Data Entry'!$w$643)</f>
      </c>
      <c r="BD643">
        <f>IF(ISBLANK('Data Entry'!$x$643), "", 'Data Entry'!$x$643)</f>
      </c>
      <c r="BE643">
        <f>IF(ISBLANK('Data Entry'!$y$643), "", 'Data Entry'!$y$643)</f>
      </c>
      <c r="BF643">
        <f>IF(ISBLANK('Data Entry'!$z$643), "", 'Data Entry'!$z$643)</f>
      </c>
      <c r="BG643">
        <f>IF(ISBLANK('Data Entry'!${$643), "", 'Data Entry'!${$643)</f>
      </c>
      <c r="BH643">
        <f>IF(ISBLANK('Data Entry'!$|$643), "", 'Data Entry'!$|$643)</f>
      </c>
      <c r="BI643">
        <f>IF(ISBLANK('Data Entry'!$}$643), "", 'Data Entry'!$}$643)</f>
      </c>
      <c r="BJ643">
        <f>IF(ISBLANK('Data Entry'!$~$643), "", 'Data Entry'!$~$643)</f>
      </c>
      <c r="BK643">
        <f>IF(ISBLANK('Data Entry'!$$643), "", 'Data Entry'!$$643)</f>
      </c>
      <c r="BL643">
        <f>IF(ISBLANK('Data Entry'!$$643), "", 'Data Entry'!$$643)</f>
      </c>
      <c r="BM643">
        <f>IF(ISBLANK('Data Entry'!$$643), "", 'Data Entry'!$$643)</f>
      </c>
      <c r="BN643">
        <f>IF(ISBLANK('Data Entry'!$$643), "", 'Data Entry'!$$643)</f>
      </c>
      <c r="BO643">
        <f>IF(ISBLANK('Data Entry'!$$643), "", 'Data Entry'!$$643)</f>
      </c>
      <c r="BP643">
        <f>IF(ISBLANK('Data Entry'!$$643), "", 'Data Entry'!$$643)</f>
      </c>
      <c r="BQ643">
        <f>IF(ISBLANK('Data Entry'!$$643), "", 'Data Entry'!$$643)</f>
      </c>
      <c r="BR643">
        <f>IF(ISBLANK('Data Entry'!$$643), "", 'Data Entry'!$$643)</f>
      </c>
      <c r="BS643">
        <f>IF(ISBLANK('Data Entry'!$$643), "", 'Data Entry'!$$643)</f>
      </c>
      <c r="BT643">
        <f>IF(ISBLANK('Data Entry'!$$643), "", 'Data Entry'!$$643)</f>
      </c>
      <c r="BU643">
        <f>IF(ISBLANK('Data Entry'!$$643), "", 'Data Entry'!$$643)</f>
      </c>
      <c r="BV643">
        <f>IF(ISBLANK('Data Entry'!$$643), "", 'Data Entry'!$$643)</f>
      </c>
      <c r="BW643">
        <f>IF(ISBLANK('Data Entry'!$$643), "", 'Data Entry'!$$643)</f>
      </c>
      <c r="BX643">
        <f>IF(ISBLANK('Data Entry'!$$643), "", 'Data Entry'!$$643)</f>
      </c>
      <c r="BY643">
        <f>IF(ISBLANK('Data Entry'!$$643), "", 'Data Entry'!$$643)</f>
      </c>
      <c r="BZ643">
        <f>IF(ISBLANK('Data Entry'!$$643), "", 'Data Entry'!$$643)</f>
      </c>
      <c r="CA643">
        <f>IF(ISBLANK('Data Entry'!$$643), "", 'Data Entry'!$$643)</f>
      </c>
      <c r="CB643">
        <f>IF(ISBLANK('Data Entry'!$$643), "", 'Data Entry'!$$643)</f>
      </c>
      <c r="CC643">
        <f>IF(ISBLANK('Data Entry'!$$643), "", 'Data Entry'!$$643)</f>
      </c>
      <c r="CD643">
        <f>IF(ISBLANK('Data Entry'!$$643), "", 'Data Entry'!$$643)</f>
      </c>
      <c r="CE643">
        <f>IF(ISBLANK('Data Entry'!$$643), "", 'Data Entry'!$$643)</f>
      </c>
      <c r="CF643">
        <f>IF(ISBLANK('Data Entry'!$$643), "", 'Data Entry'!$$643)</f>
      </c>
      <c r="CG643">
        <f>IF(ISBLANK('Data Entry'!$$643), "", 'Data Entry'!$$643)</f>
      </c>
      <c r="CH643">
        <f>IF(ISBLANK('Data Entry'!$$643), "", 'Data Entry'!$$643)</f>
      </c>
      <c r="CI643">
        <f>IF(ISBLANK('Data Entry'!$$643), "", 'Data Entry'!$$643)</f>
      </c>
      <c r="CJ643">
        <f>IF(ISBLANK('Data Entry'!$$643), "", 'Data Entry'!$$643)</f>
      </c>
      <c r="CK643">
        <f>IF(ISBLANK('Data Entry'!$$643), "", 'Data Entry'!$$643)</f>
      </c>
      <c r="CL643">
        <f>IF(ISBLANK('Data Entry'!$$643), "", 'Data Entry'!$$643)</f>
      </c>
      <c r="CM643">
        <f>IF(ISBLANK('Data Entry'!$$643), "", 'Data Entry'!$$643)</f>
      </c>
      <c r="CN643">
        <f>IF(ISBLANK('Data Entry'!$$643), "", 'Data Entry'!$$643)</f>
      </c>
      <c r="CO643">
        <f>IF(ISBLANK('Data Entry'!$$643), "", 'Data Entry'!$$643)</f>
      </c>
      <c r="CP643">
        <f>IF(ISBLANK('Data Entry'!$$643), "", 'Data Entry'!$$643)</f>
      </c>
      <c r="CQ643">
        <f>IF(ISBLANK('Data Entry'!$$643), "", 'Data Entry'!$$643)</f>
      </c>
      <c r="CR643">
        <f>IF(ISBLANK('Data Entry'!$ $643), "", 'Data Entry'!$ $643)</f>
      </c>
      <c r="CS643">
        <f>IF(ISBLANK('Data Entry'!$¡$643), "", 'Data Entry'!$¡$643)</f>
      </c>
      <c r="CT643">
        <f>IF(ISBLANK('Data Entry'!$¢$643), "", 'Data Entry'!$¢$643)</f>
      </c>
      <c r="CU643">
        <f>IF(ISBLANK('Data Entry'!$£$643), "", 'Data Entry'!$£$643)</f>
      </c>
      <c r="CV643">
        <f>IF(ISBLANK('Data Entry'!$¤$643), "", 'Data Entry'!$¤$643)</f>
      </c>
      <c r="CW643">
        <f>IF(ISBLANK('Data Entry'!$¥$643), "", 'Data Entry'!$¥$643)</f>
      </c>
      <c r="CX643">
        <f>IF(ISBLANK('Data Entry'!$¦$643), "", 'Data Entry'!$¦$643)</f>
      </c>
      <c r="CY643">
        <f>IF(ISBLANK('Data Entry'!$§$643), "", 'Data Entry'!$§$643)</f>
      </c>
      <c r="CZ643">
        <f>IF(ISBLANK('Data Entry'!$¨$643), "", 'Data Entry'!$¨$643)</f>
      </c>
      <c r="DA643">
        <f>IF(ISBLANK('Data Entry'!$©$643), "", 'Data Entry'!$©$643)</f>
      </c>
      <c r="DB643">
        <f>IF(ISBLANK('Data Entry'!$ª$643), "", 'Data Entry'!$ª$643)</f>
      </c>
      <c r="DC643">
        <f>IF(ISBLANK('Data Entry'!$«$643), "", 'Data Entry'!$«$643)</f>
      </c>
      <c r="DD643">
        <f>IF(ISBLANK('Data Entry'!$¬$643), "", 'Data Entry'!$¬$643)</f>
      </c>
      <c r="DE643">
        <f>IF(ISBLANK('Data Entry'!$­$643), "", 'Data Entry'!$­$643)</f>
      </c>
      <c r="DF643">
        <f>IF(ISBLANK('Data Entry'!$®$643), "", 'Data Entry'!$®$643)</f>
      </c>
      <c r="DG643">
        <f>IF(ISBLANK('Data Entry'!$¯$643), "", 'Data Entry'!$¯$643)</f>
      </c>
      <c r="DH643">
        <f>IF(ISBLANK('Data Entry'!$°$643), "", 'Data Entry'!$°$643)</f>
      </c>
      <c r="DI643">
        <f>IF(ISBLANK('Data Entry'!$±$643), "", 'Data Entry'!$±$643)</f>
      </c>
      <c r="DJ643">
        <f>IF(ISBLANK('Data Entry'!$²$643), "", 'Data Entry'!$²$643)</f>
      </c>
      <c r="DK643">
        <f>IF(ISBLANK('Data Entry'!$³$643), "", 'Data Entry'!$³$643)</f>
      </c>
      <c r="DL643">
        <f>IF(ISBLANK('Data Entry'!$´$643), "", 'Data Entry'!$´$643)</f>
      </c>
      <c r="DM643">
        <f>IF(ISBLANK('Data Entry'!$µ$643), "", 'Data Entry'!$µ$643)</f>
      </c>
      <c r="DN643">
        <f>IF(ISBLANK('Data Entry'!$¶$643), "", 'Data Entry'!$¶$643)</f>
      </c>
      <c r="DO643">
        <f>IF(ISBLANK('Data Entry'!$·$643), "", 'Data Entry'!$·$643)</f>
      </c>
      <c r="DP643">
        <f>IF(ISBLANK('Data Entry'!$¸$643), "", 'Data Entry'!$¸$643)</f>
      </c>
      <c r="DQ643">
        <f>IF(ISBLANK('Data Entry'!$¹$643), "", 'Data Entry'!$¹$643)</f>
      </c>
      <c r="DR643">
        <f>IF(ISBLANK('Data Entry'!$º$643), "", 'Data Entry'!$º$643)</f>
      </c>
      <c r="DS643">
        <f>IF(ISBLANK('Data Entry'!$»$643), "", 'Data Entry'!$»$643)</f>
      </c>
      <c r="DT643">
        <f>IF(ISBLANK('Data Entry'!$¼$643), "", 'Data Entry'!$¼$643)</f>
      </c>
      <c r="DU643">
        <f>IF(ISBLANK('Data Entry'!$½$643), "", 'Data Entry'!$½$643)</f>
      </c>
      <c r="DV643">
        <f>IF(ISBLANK('Data Entry'!$¾$643), "", 'Data Entry'!$¾$643)</f>
      </c>
      <c r="DW643">
        <f>IF(ISBLANK('Data Entry'!$¿$643), "", 'Data Entry'!$¿$643)</f>
      </c>
      <c r="DX643">
        <f>IF(ISBLANK('Data Entry'!$À$643), "", 'Data Entry'!$À$643)</f>
      </c>
      <c r="DY643">
        <f>IF(ISBLANK('Data Entry'!$Á$643), "", 'Data Entry'!$Á$643)</f>
      </c>
      <c r="DZ643">
        <f>IF(ISBLANK('Data Entry'!$Â$643), "", 'Data Entry'!$Â$643)</f>
      </c>
      <c r="EA643">
        <f>IF(ISBLANK('Data Entry'!$Ã$643), "", 'Data Entry'!$Ã$643)</f>
      </c>
      <c r="EB643">
        <f>IF(ISBLANK('Data Entry'!$Ä$643), "", 'Data Entry'!$Ä$643)</f>
      </c>
      <c r="EC643">
        <f>IF(ISBLANK('Data Entry'!$Å$643), "", 'Data Entry'!$Å$643)</f>
      </c>
      <c r="ED643">
        <f>IF(ISBLANK('Data Entry'!$Æ$643), "", 'Data Entry'!$Æ$643)</f>
      </c>
      <c r="EE643">
        <f>IF(ISBLANK('Data Entry'!$Ç$643), "", 'Data Entry'!$Ç$643)</f>
      </c>
      <c r="EF643">
        <f>IF(ISBLANK('Data Entry'!$È$643), "", 'Data Entry'!$È$643)</f>
      </c>
      <c r="EG643">
        <f>IF(ISBLANK('Data Entry'!$É$643), "", 'Data Entry'!$É$643)</f>
      </c>
      <c r="EH643">
        <f>IF(ISBLANK('Data Entry'!$Ê$643), "", 'Data Entry'!$Ê$643)</f>
      </c>
      <c r="EI643">
        <f>IF(ISBLANK('Data Entry'!$Ë$643), "", 'Data Entry'!$Ë$643)</f>
      </c>
      <c r="EJ643">
        <f>IF(ISBLANK('Data Entry'!$Ì$643), "", 'Data Entry'!$Ì$643)</f>
      </c>
      <c r="EK643">
        <f>IF(ISBLANK('Data Entry'!$Í$643), "", 'Data Entry'!$Í$643)</f>
      </c>
      <c r="EL643">
        <f>IF(ISBLANK('Data Entry'!$Î$643), "", 'Data Entry'!$Î$643)</f>
      </c>
      <c r="EM643">
        <f>IF(ISBLANK('Data Entry'!$Ï$643), "", 'Data Entry'!$Ï$643)</f>
      </c>
      <c r="EN643">
        <f>IF(ISBLANK('Data Entry'!$Ð$643), "", 'Data Entry'!$Ð$643)</f>
      </c>
      <c r="EO643">
        <f>IF(ISBLANK('Data Entry'!$Ñ$643), "", 'Data Entry'!$Ñ$643)</f>
      </c>
      <c r="EP643">
        <f>IF(ISBLANK('Data Entry'!$Ò$643), "", 'Data Entry'!$Ò$643)</f>
      </c>
      <c r="EQ643">
        <f>IF(ISBLANK('Data Entry'!$Ó$643), "", 'Data Entry'!$Ó$643)</f>
      </c>
      <c r="ER643">
        <f>IF(ISBLANK('Data Entry'!$Ô$643), "", 'Data Entry'!$Ô$643)</f>
      </c>
      <c r="ES643">
        <f>IF(ISBLANK('Data Entry'!$Õ$643), "", 'Data Entry'!$Õ$643)</f>
      </c>
      <c r="ET643">
        <f>IF(ISBLANK('Data Entry'!$Ö$643), "", 'Data Entry'!$Ö$643)</f>
      </c>
      <c r="EU643">
        <f>IF(ISBLANK('Data Entry'!$×$643), "", 'Data Entry'!$×$643)</f>
      </c>
      <c r="EV643">
        <f>IF(ISBLANK('Data Entry'!$Ø$643), "", 'Data Entry'!$Ø$643)</f>
      </c>
      <c r="EW643">
        <f>IF(ISBLANK('Data Entry'!$Ù$643), "", 'Data Entry'!$Ù$643)</f>
      </c>
      <c r="EX643">
        <f>IF(ISBLANK('Data Entry'!$Ú$643), "", 'Data Entry'!$Ú$643)</f>
      </c>
      <c r="EY643">
        <f>IF(ISBLANK('Data Entry'!$Û$643), "", 'Data Entry'!$Û$643)</f>
      </c>
      <c r="EZ643">
        <f>IF(ISBLANK('Data Entry'!$Ü$643), "", 'Data Entry'!$Ü$643)</f>
      </c>
      <c r="FA643">
        <f>IF(ISBLANK('Data Entry'!$Ý$643), "", 'Data Entry'!$Ý$643)</f>
      </c>
      <c r="FB643">
        <f>IF(ISBLANK('Data Entry'!$Þ$643), "", 'Data Entry'!$Þ$643)</f>
      </c>
      <c r="FC643">
        <f>IF(ISBLANK('Data Entry'!$ß$643), "", 'Data Entry'!$ß$643)</f>
      </c>
      <c r="FD643">
        <f>IF(ISBLANK('Data Entry'!$à$643), "", 'Data Entry'!$à$643)</f>
      </c>
      <c r="FE643">
        <f>IF(ISBLANK('Data Entry'!$á$643), "", 'Data Entry'!$á$643)</f>
      </c>
      <c r="FF643">
        <f>IF(ISBLANK('Data Entry'!$â$643), "", 'Data Entry'!$â$643)</f>
      </c>
      <c r="FG643">
        <f>IF(ISBLANK('Data Entry'!$ã$643), "", 'Data Entry'!$ã$643)</f>
      </c>
      <c r="FH643">
        <f>IF(ISBLANK('Data Entry'!$ä$643), "", 'Data Entry'!$ä$643)</f>
      </c>
      <c r="FI643">
        <f>IF(ISBLANK('Data Entry'!$å$643), "", 'Data Entry'!$å$643)</f>
      </c>
      <c r="FJ643">
        <f>IF(ISBLANK('Data Entry'!$æ$643), "", 'Data Entry'!$æ$643)</f>
      </c>
      <c r="FK643">
        <f>IF(ISBLANK('Data Entry'!$ç$643), "", 'Data Entry'!$ç$643)</f>
      </c>
      <c r="FL643">
        <f>IF(ISBLANK('Data Entry'!$è$643), "", 'Data Entry'!$è$643)</f>
      </c>
      <c r="FM643">
        <f>IF(ISBLANK('Data Entry'!$é$643), "", 'Data Entry'!$é$643)</f>
      </c>
      <c r="FN643">
        <f>IF(ISBLANK('Data Entry'!$ê$643), "", 'Data Entry'!$ê$643)</f>
      </c>
      <c r="FO643">
        <f>IF(ISBLANK('Data Entry'!$ë$643), "", 'Data Entry'!$ë$643)</f>
      </c>
      <c r="FP643">
        <f>IF(ISBLANK('Data Entry'!$ì$643), "", 'Data Entry'!$ì$643)</f>
      </c>
      <c r="FQ643">
        <f>IF(ISBLANK('Data Entry'!$í$643), "", 'Data Entry'!$í$643)</f>
      </c>
      <c r="FR643">
        <f>IF(ISBLANK('Data Entry'!$î$643), "", 'Data Entry'!$î$643)</f>
      </c>
      <c r="FS643">
        <f>IF(ISBLANK('Data Entry'!$ï$643), "", 'Data Entry'!$ï$643)</f>
      </c>
      <c r="FT643">
        <f>IF(ISBLANK('Data Entry'!$ð$643), "", 'Data Entry'!$ð$643)</f>
      </c>
      <c r="FU643">
        <f>IF(ISBLANK('Data Entry'!$ñ$643), "", 'Data Entry'!$ñ$643)</f>
      </c>
      <c r="FV643">
        <f>IF(ISBLANK('Data Entry'!$ò$643), "", 'Data Entry'!$ò$643)</f>
      </c>
      <c r="FW643">
        <f>IF(ISBLANK('Data Entry'!$ó$643), "", 'Data Entry'!$ó$643)</f>
      </c>
      <c r="FX643">
        <f>IF(ISBLANK('Data Entry'!$ô$643), "", 'Data Entry'!$ô$643)</f>
      </c>
      <c r="FY643">
        <f>IF(ISBLANK('Data Entry'!$õ$643), "", 'Data Entry'!$õ$643)</f>
      </c>
      <c r="FZ643">
        <f>IF(ISBLANK('Data Entry'!$ö$643), "", 'Data Entry'!$ö$643)</f>
      </c>
      <c r="GA643">
        <f>IF(ISBLANK('Data Entry'!$÷$643), "", 'Data Entry'!$÷$643)</f>
      </c>
      <c r="GB643">
        <f>IF(ISBLANK('Data Entry'!$ø$643), "", 'Data Entry'!$ø$643)</f>
      </c>
      <c r="GC643">
        <f>IF(ISBLANK('Data Entry'!$ù$643), "", 'Data Entry'!$ù$643)</f>
      </c>
      <c r="GD643">
        <f>IF(ISBLANK('Data Entry'!$ú$643), "", 'Data Entry'!$ú$643)</f>
      </c>
      <c r="GE643">
        <f>IF(ISBLANK('Data Entry'!$û$643), "", 'Data Entry'!$û$643)</f>
      </c>
      <c r="GF643">
        <f>IF(ISBLANK('Data Entry'!$ü$643), "", 'Data Entry'!$ü$643)</f>
      </c>
      <c r="GG643">
        <f>IF(ISBLANK('Data Entry'!$ý$643), "", 'Data Entry'!$ý$643)</f>
      </c>
      <c r="GH643">
        <f>IF(ISBLANK('Data Entry'!$þ$643), "", 'Data Entry'!$þ$643)</f>
      </c>
      <c r="GI643">
        <f>IF(ISBLANK('Data Entry'!$ÿ$643), "", 'Data Entry'!$ÿ$643)</f>
      </c>
      <c r="GJ643">
        <f>IF(ISBLANK('Data Entry'!$Ā$643), "", 'Data Entry'!$Ā$643)</f>
      </c>
      <c r="GK643">
        <f>IF(ISBLANK('Data Entry'!$ā$643), "", 'Data Entry'!$ā$643)</f>
      </c>
      <c r="GL643">
        <f>IF(ISBLANK('Data Entry'!$Ă$643), "", 'Data Entry'!$Ă$643)</f>
      </c>
      <c r="GM643">
        <f>IF(ISBLANK('Data Entry'!$ă$643), "", 'Data Entry'!$ă$643)</f>
      </c>
      <c r="GN643">
        <f>IF(ISBLANK('Data Entry'!$Ą$643), "", 'Data Entry'!$Ą$643)</f>
      </c>
      <c r="GO643">
        <f>IF(ISBLANK('Data Entry'!$ą$643), "", 'Data Entry'!$ą$643)</f>
      </c>
      <c r="GP643">
        <f>IF(ISBLANK('Data Entry'!$Ć$643), "", 'Data Entry'!$Ć$643)</f>
      </c>
      <c r="GQ643">
        <f>IF(ISBLANK('Data Entry'!$ć$643), "", 'Data Entry'!$ć$643)</f>
      </c>
      <c r="GR643">
        <f>IF(ISBLANK('Data Entry'!$Ĉ$643), "", 'Data Entry'!$Ĉ$643)</f>
      </c>
      <c r="GS643">
        <f>IF(ISBLANK('Data Entry'!$ĉ$643), "", 'Data Entry'!$ĉ$643)</f>
      </c>
      <c r="GT643">
        <f>IF(ISBLANK('Data Entry'!$Ċ$643), "", 'Data Entry'!$Ċ$643)</f>
      </c>
      <c r="GU643">
        <f>IF(ISBLANK('Data Entry'!$ċ$643), "", 'Data Entry'!$ċ$643)</f>
      </c>
      <c r="GV643">
        <f>IF(ISBLANK('Data Entry'!$Č$643), "", 'Data Entry'!$Č$643)</f>
      </c>
      <c r="GW643">
        <f>IF(ISBLANK('Data Entry'!$č$643), "", 'Data Entry'!$č$643)</f>
      </c>
      <c r="GX643">
        <f>IF(ISBLANK('Data Entry'!$Ď$643), "", 'Data Entry'!$Ď$643)</f>
      </c>
      <c r="GY643">
        <f>IF(ISBLANK('Data Entry'!$ď$643), "", 'Data Entry'!$ď$643)</f>
      </c>
      <c r="GZ643">
        <f>IF(ISBLANK('Data Entry'!$Đ$643), "", 'Data Entry'!$Đ$643)</f>
      </c>
      <c r="HA643">
        <f>IF(ISBLANK('Data Entry'!$đ$643), "", 'Data Entry'!$đ$643)</f>
      </c>
      <c r="HB643">
        <f>IF(ISBLANK('Data Entry'!$Ē$643), "", 'Data Entry'!$Ē$643)</f>
      </c>
      <c r="HC643">
        <f>IF(ISBLANK('Data Entry'!$ē$643), "", 'Data Entry'!$ē$643)</f>
      </c>
      <c r="HD643">
        <f>IF(ISBLANK('Data Entry'!$Ĕ$643), "", 'Data Entry'!$Ĕ$643)</f>
      </c>
      <c r="HE643">
        <f>IF(ISBLANK('Data Entry'!$ĕ$643), "", 'Data Entry'!$ĕ$643)</f>
      </c>
      <c r="HF643">
        <f>IF(ISBLANK('Data Entry'!$Ė$643), "", 'Data Entry'!$Ė$643)</f>
      </c>
      <c r="HG643">
        <f>IF(ISBLANK('Data Entry'!$ė$643), "", 'Data Entry'!$ė$643)</f>
      </c>
      <c r="HH643">
        <f>IF(ISBLANK('Data Entry'!$Ę$643), "", 'Data Entry'!$Ę$643)</f>
      </c>
      <c r="HI643">
        <f>IF(ISBLANK('Data Entry'!$ę$643), "", 'Data Entry'!$ę$643)</f>
      </c>
      <c r="HJ643">
        <f>IF(ISBLANK('Data Entry'!$Ě$643), "", 'Data Entry'!$Ě$643)</f>
      </c>
      <c r="HK643">
        <f>IF(ISBLANK('Data Entry'!$ě$643), "", 'Data Entry'!$ě$643)</f>
      </c>
      <c r="HL643">
        <f>IF(ISBLANK('Data Entry'!$Ĝ$643), "", 'Data Entry'!$Ĝ$643)</f>
      </c>
      <c r="HM643">
        <f>IF(ISBLANK('Data Entry'!$ĝ$643), "", 'Data Entry'!$ĝ$643)</f>
      </c>
      <c r="HN643">
        <f>IF(ISBLANK('Data Entry'!$Ğ$643), "", 'Data Entry'!$Ğ$643)</f>
      </c>
      <c r="HO643">
        <f>IF(ISBLANK('Data Entry'!$ğ$643), "", 'Data Entry'!$ğ$643)</f>
      </c>
      <c r="HP643">
        <f>IF(ISBLANK('Data Entry'!$Ġ$643), "", 'Data Entry'!$Ġ$643)</f>
      </c>
      <c r="HQ643">
        <f>IF(ISBLANK('Data Entry'!$ġ$643), "", 'Data Entry'!$ġ$643)</f>
      </c>
      <c r="HR643">
        <f>IF(ISBLANK('Data Entry'!$Ģ$643), "", 'Data Entry'!$Ģ$643)</f>
      </c>
      <c r="HS643">
        <f>IF(ISBLANK('Data Entry'!$ģ$643), "", 'Data Entry'!$ģ$643)</f>
      </c>
      <c r="HT643">
        <f>IF(ISBLANK('Data Entry'!$Ĥ$643), "", 'Data Entry'!$Ĥ$643)</f>
      </c>
      <c r="HU643">
        <f>IF(ISBLANK('Data Entry'!$ĥ$643), "", 'Data Entry'!$ĥ$643)</f>
      </c>
      <c r="HV643">
        <f>IF(ISBLANK('Data Entry'!$Ħ$643), "", 'Data Entry'!$Ħ$643)</f>
      </c>
      <c r="HW643">
        <f>IF(ISBLANK('Data Entry'!$ħ$643), "", 'Data Entry'!$ħ$643)</f>
      </c>
      <c r="HX643">
        <f>IF(ISBLANK('Data Entry'!$Ĩ$643), "", 'Data Entry'!$Ĩ$643)</f>
      </c>
      <c r="HY643">
        <f>IF(ISBLANK('Data Entry'!$ĩ$643), "", 'Data Entry'!$ĩ$643)</f>
      </c>
      <c r="HZ643">
        <f>IF(ISBLANK('Data Entry'!$Ī$643), "", 'Data Entry'!$Ī$643)</f>
      </c>
      <c r="IA643">
        <f>IF(ISBLANK('Data Entry'!$ī$643), "", 'Data Entry'!$ī$643)</f>
      </c>
      <c r="IB643">
        <f>IF(ISBLANK('Data Entry'!$Ĭ$643), "", 'Data Entry'!$Ĭ$643)</f>
      </c>
      <c r="IC643">
        <f>IF(ISBLANK('Data Entry'!$ĭ$643), "", 'Data Entry'!$ĭ$643)</f>
      </c>
      <c r="ID643">
        <f>IF(ISBLANK('Data Entry'!$Į$643), "", 'Data Entry'!$Į$643)</f>
      </c>
      <c r="IE643">
        <f>IF(ISBLANK('Data Entry'!$į$643), "", 'Data Entry'!$į$643)</f>
      </c>
      <c r="IF643">
        <f>IF(ISBLANK('Data Entry'!$İ$643), "", 'Data Entry'!$İ$643)</f>
      </c>
      <c r="IG643">
        <f>IF(ISBLANK('Data Entry'!$ı$643), "", 'Data Entry'!$ı$643)</f>
      </c>
      <c r="IH643">
        <f>IF(ISBLANK('Data Entry'!$Ĳ$643), "", 'Data Entry'!$Ĳ$643)</f>
      </c>
      <c r="II643">
        <f>IF(ISBLANK('Data Entry'!$ĳ$643), "", 'Data Entry'!$ĳ$643)</f>
      </c>
      <c r="IJ643">
        <f>IF(ISBLANK('Data Entry'!$Ĵ$643), "", 'Data Entry'!$Ĵ$643)</f>
      </c>
      <c r="IK643">
        <f>IF(ISBLANK('Data Entry'!$ĵ$643), "", 'Data Entry'!$ĵ$643)</f>
      </c>
      <c r="IL643">
        <f>IF(ISBLANK('Data Entry'!$Ķ$643), "", 'Data Entry'!$Ķ$643)</f>
      </c>
      <c r="IM643">
        <f>IF(ISBLANK('Data Entry'!$ķ$643), "", 'Data Entry'!$ķ$643)</f>
      </c>
      <c r="IN643">
        <f>IF(ISBLANK('Data Entry'!$ĸ$643), "", 'Data Entry'!$ĸ$643)</f>
      </c>
      <c r="IO643">
        <f>IF(ISBLANK('Data Entry'!$Ĺ$643), "", 'Data Entry'!$Ĺ$643)</f>
      </c>
      <c r="IP643">
        <f>IF(ISBLANK('Data Entry'!$ĺ$643), "", 'Data Entry'!$ĺ$643)</f>
      </c>
      <c r="IQ643">
        <f>IF(ISBLANK('Data Entry'!$Ļ$643), "", 'Data Entry'!$Ļ$643)</f>
      </c>
      <c r="IR643">
        <f>IF(ISBLANK('Data Entry'!$ļ$643), "", 'Data Entry'!$ļ$643)</f>
      </c>
      <c r="IS643">
        <f>IF(ISBLANK('Data Entry'!$Ľ$643), "", 'Data Entry'!$Ľ$643)</f>
      </c>
      <c r="IT643">
        <f>IF(ISBLANK('Data Entry'!$ľ$643), "", 'Data Entry'!$ľ$643)</f>
      </c>
    </row>
    <row r="644" spans="1:254" x14ac:dyDescent="0.25">
      <c r="A644">
        <f>IF(ISBLANK('Data Entry'!$A$644), "", 'Data Entry'!$A$644)</f>
      </c>
      <c r="B644">
        <f>IF(ISBLANK('Data Entry'!$B$644), "", 'Data Entry'!$B$644)</f>
      </c>
      <c r="C644">
        <f>IF(ISBLANK('Data Entry'!$C$644), "", 'Data Entry'!$C$644)</f>
      </c>
      <c r="D644">
        <f>IF(ISBLANK('Data Entry'!$D$644), "", 'Data Entry'!$D$644)</f>
      </c>
      <c r="E644">
        <f>IF(ISBLANK('Data Entry'!$E$644), "", 'Data Entry'!$E$644)</f>
      </c>
      <c r="F644">
        <f>IF(ISBLANK('Data Entry'!$F$644), "", 'Data Entry'!$F$644)</f>
      </c>
      <c r="G644">
        <f>IF(ISBLANK('Data Entry'!$G$644), "", 'Data Entry'!$G$644)</f>
      </c>
      <c r="H644">
        <f>IF(ISBLANK('Data Entry'!$H$644), "", 'Data Entry'!$H$644)</f>
      </c>
      <c r="I644">
        <f>IF(ISBLANK('Data Entry'!$I$644), "", 'Data Entry'!$I$644)</f>
      </c>
      <c r="J644">
        <f>IF(ISBLANK('Data Entry'!$J$644), "", 'Data Entry'!$J$644)</f>
      </c>
      <c r="K644">
        <f>IF(ISBLANK('Data Entry'!$K$644), "", 'Data Entry'!$K$644)</f>
      </c>
      <c r="L644">
        <f>IF(ISBLANK('Data Entry'!$L$644), "", 'Data Entry'!$L$644)</f>
      </c>
      <c r="M644">
        <f>IF(ISBLANK('Data Entry'!$M$644), "", 'Data Entry'!$M$644)</f>
      </c>
      <c r="N644">
        <f>IF(ISBLANK('Data Entry'!$N$644), "", 'Data Entry'!$N$644)</f>
      </c>
      <c r="O644">
        <f>IF(ISBLANK('Data Entry'!$O$644), "", 'Data Entry'!$O$644)</f>
      </c>
      <c r="P644">
        <f>IF(ISBLANK('Data Entry'!$P$644), "", 'Data Entry'!$P$644)</f>
      </c>
      <c r="Q644">
        <f>IF(ISBLANK('Data Entry'!$Q$644), "", 'Data Entry'!$Q$644)</f>
      </c>
      <c r="R644">
        <f>IF(ISBLANK('Data Entry'!$R$644), "", 'Data Entry'!$R$644)</f>
      </c>
      <c r="S644">
        <f>IF(ISBLANK('Data Entry'!$S$644), "", 'Data Entry'!$S$644)</f>
      </c>
      <c r="T644">
        <f>IF(ISBLANK('Data Entry'!$T$644), "", 'Data Entry'!$T$644)</f>
      </c>
      <c r="U644">
        <f>IF(ISBLANK('Data Entry'!$U$644), "", 'Data Entry'!$U$644)</f>
      </c>
      <c r="V644">
        <f>IF(ISBLANK('Data Entry'!$V$644), "", 'Data Entry'!$V$644)</f>
      </c>
      <c r="W644">
        <f>IF(ISBLANK('Data Entry'!$W$644), "", 'Data Entry'!$W$644)</f>
      </c>
      <c r="X644">
        <f>IF(ISBLANK('Data Entry'!$X$644), "", 'Data Entry'!$X$644)</f>
      </c>
      <c r="Y644">
        <f>IF(ISBLANK('Data Entry'!$Y$644), "", 'Data Entry'!$Y$644)</f>
      </c>
      <c r="Z644">
        <f>IF(ISBLANK('Data Entry'!$Z$644), "", 'Data Entry'!$Z$644)</f>
      </c>
      <c r="AA644">
        <f>IF(ISBLANK('Data Entry'!$[$644), "", 'Data Entry'!$[$644)</f>
      </c>
      <c r="AB644">
        <f>IF(ISBLANK('Data Entry'!$\$644), "", 'Data Entry'!$\$644)</f>
      </c>
      <c r="AC644">
        <f>IF(ISBLANK('Data Entry'!$]$644), "", 'Data Entry'!$]$644)</f>
      </c>
      <c r="AD644">
        <f>IF(ISBLANK('Data Entry'!$^$644), "", 'Data Entry'!$^$644)</f>
      </c>
      <c r="AE644">
        <f>IF(ISBLANK('Data Entry'!$_$644), "", 'Data Entry'!$_$644)</f>
      </c>
      <c r="AF644">
        <f>IF(ISBLANK('Data Entry'!$`$644), "", 'Data Entry'!$`$644)</f>
      </c>
      <c r="AG644">
        <f>IF(ISBLANK('Data Entry'!$a$644), "", 'Data Entry'!$a$644)</f>
      </c>
      <c r="AH644">
        <f>IF(ISBLANK('Data Entry'!$b$644), "", 'Data Entry'!$b$644)</f>
      </c>
      <c r="AI644">
        <f>IF(ISBLANK('Data Entry'!$c$644), "", 'Data Entry'!$c$644)</f>
      </c>
      <c r="AJ644">
        <f>IF(ISBLANK('Data Entry'!$d$644), "", 'Data Entry'!$d$644)</f>
      </c>
      <c r="AK644">
        <f>IF(ISBLANK('Data Entry'!$e$644), "", 'Data Entry'!$e$644)</f>
      </c>
      <c r="AL644">
        <f>IF(ISBLANK('Data Entry'!$f$644), "", 'Data Entry'!$f$644)</f>
      </c>
      <c r="AM644">
        <f>IF(ISBLANK('Data Entry'!$g$644), "", 'Data Entry'!$g$644)</f>
      </c>
      <c r="AN644">
        <f>IF(ISBLANK('Data Entry'!$h$644), "", 'Data Entry'!$h$644)</f>
      </c>
      <c r="AO644">
        <f>IF(ISBLANK('Data Entry'!$i$644), "", 'Data Entry'!$i$644)</f>
      </c>
      <c r="AP644">
        <f>IF(ISBLANK('Data Entry'!$j$644), "", 'Data Entry'!$j$644)</f>
      </c>
      <c r="AQ644">
        <f>IF(ISBLANK('Data Entry'!$k$644), "", 'Data Entry'!$k$644)</f>
      </c>
      <c r="AR644">
        <f>IF(ISBLANK('Data Entry'!$l$644), "", 'Data Entry'!$l$644)</f>
      </c>
      <c r="AS644">
        <f>IF(ISBLANK('Data Entry'!$m$644), "", 'Data Entry'!$m$644)</f>
      </c>
      <c r="AT644">
        <f>IF(ISBLANK('Data Entry'!$n$644), "", 'Data Entry'!$n$644)</f>
      </c>
      <c r="AU644">
        <f>IF(ISBLANK('Data Entry'!$o$644), "", 'Data Entry'!$o$644)</f>
      </c>
      <c r="AV644">
        <f>IF(ISBLANK('Data Entry'!$p$644), "", 'Data Entry'!$p$644)</f>
      </c>
      <c r="AW644">
        <f>IF(ISBLANK('Data Entry'!$q$644), "", 'Data Entry'!$q$644)</f>
      </c>
      <c r="AX644">
        <f>IF(ISBLANK('Data Entry'!$r$644), "", 'Data Entry'!$r$644)</f>
      </c>
      <c r="AY644">
        <f>IF(ISBLANK('Data Entry'!$s$644), "", 'Data Entry'!$s$644)</f>
      </c>
      <c r="AZ644">
        <f>IF(ISBLANK('Data Entry'!$t$644), "", 'Data Entry'!$t$644)</f>
      </c>
      <c r="BA644">
        <f>IF(ISBLANK('Data Entry'!$u$644), "", 'Data Entry'!$u$644)</f>
      </c>
      <c r="BB644">
        <f>IF(ISBLANK('Data Entry'!$v$644), "", 'Data Entry'!$v$644)</f>
      </c>
      <c r="BC644">
        <f>IF(ISBLANK('Data Entry'!$w$644), "", 'Data Entry'!$w$644)</f>
      </c>
      <c r="BD644">
        <f>IF(ISBLANK('Data Entry'!$x$644), "", 'Data Entry'!$x$644)</f>
      </c>
      <c r="BE644">
        <f>IF(ISBLANK('Data Entry'!$y$644), "", 'Data Entry'!$y$644)</f>
      </c>
      <c r="BF644">
        <f>IF(ISBLANK('Data Entry'!$z$644), "", 'Data Entry'!$z$644)</f>
      </c>
      <c r="BG644">
        <f>IF(ISBLANK('Data Entry'!${$644), "", 'Data Entry'!${$644)</f>
      </c>
      <c r="BH644">
        <f>IF(ISBLANK('Data Entry'!$|$644), "", 'Data Entry'!$|$644)</f>
      </c>
      <c r="BI644">
        <f>IF(ISBLANK('Data Entry'!$}$644), "", 'Data Entry'!$}$644)</f>
      </c>
      <c r="BJ644">
        <f>IF(ISBLANK('Data Entry'!$~$644), "", 'Data Entry'!$~$644)</f>
      </c>
      <c r="BK644">
        <f>IF(ISBLANK('Data Entry'!$$644), "", 'Data Entry'!$$644)</f>
      </c>
      <c r="BL644">
        <f>IF(ISBLANK('Data Entry'!$$644), "", 'Data Entry'!$$644)</f>
      </c>
      <c r="BM644">
        <f>IF(ISBLANK('Data Entry'!$$644), "", 'Data Entry'!$$644)</f>
      </c>
      <c r="BN644">
        <f>IF(ISBLANK('Data Entry'!$$644), "", 'Data Entry'!$$644)</f>
      </c>
      <c r="BO644">
        <f>IF(ISBLANK('Data Entry'!$$644), "", 'Data Entry'!$$644)</f>
      </c>
      <c r="BP644">
        <f>IF(ISBLANK('Data Entry'!$$644), "", 'Data Entry'!$$644)</f>
      </c>
      <c r="BQ644">
        <f>IF(ISBLANK('Data Entry'!$$644), "", 'Data Entry'!$$644)</f>
      </c>
      <c r="BR644">
        <f>IF(ISBLANK('Data Entry'!$$644), "", 'Data Entry'!$$644)</f>
      </c>
      <c r="BS644">
        <f>IF(ISBLANK('Data Entry'!$$644), "", 'Data Entry'!$$644)</f>
      </c>
      <c r="BT644">
        <f>IF(ISBLANK('Data Entry'!$$644), "", 'Data Entry'!$$644)</f>
      </c>
      <c r="BU644">
        <f>IF(ISBLANK('Data Entry'!$$644), "", 'Data Entry'!$$644)</f>
      </c>
      <c r="BV644">
        <f>IF(ISBLANK('Data Entry'!$$644), "", 'Data Entry'!$$644)</f>
      </c>
      <c r="BW644">
        <f>IF(ISBLANK('Data Entry'!$$644), "", 'Data Entry'!$$644)</f>
      </c>
      <c r="BX644">
        <f>IF(ISBLANK('Data Entry'!$$644), "", 'Data Entry'!$$644)</f>
      </c>
      <c r="BY644">
        <f>IF(ISBLANK('Data Entry'!$$644), "", 'Data Entry'!$$644)</f>
      </c>
      <c r="BZ644">
        <f>IF(ISBLANK('Data Entry'!$$644), "", 'Data Entry'!$$644)</f>
      </c>
      <c r="CA644">
        <f>IF(ISBLANK('Data Entry'!$$644), "", 'Data Entry'!$$644)</f>
      </c>
      <c r="CB644">
        <f>IF(ISBLANK('Data Entry'!$$644), "", 'Data Entry'!$$644)</f>
      </c>
      <c r="CC644">
        <f>IF(ISBLANK('Data Entry'!$$644), "", 'Data Entry'!$$644)</f>
      </c>
      <c r="CD644">
        <f>IF(ISBLANK('Data Entry'!$$644), "", 'Data Entry'!$$644)</f>
      </c>
      <c r="CE644">
        <f>IF(ISBLANK('Data Entry'!$$644), "", 'Data Entry'!$$644)</f>
      </c>
      <c r="CF644">
        <f>IF(ISBLANK('Data Entry'!$$644), "", 'Data Entry'!$$644)</f>
      </c>
      <c r="CG644">
        <f>IF(ISBLANK('Data Entry'!$$644), "", 'Data Entry'!$$644)</f>
      </c>
      <c r="CH644">
        <f>IF(ISBLANK('Data Entry'!$$644), "", 'Data Entry'!$$644)</f>
      </c>
      <c r="CI644">
        <f>IF(ISBLANK('Data Entry'!$$644), "", 'Data Entry'!$$644)</f>
      </c>
      <c r="CJ644">
        <f>IF(ISBLANK('Data Entry'!$$644), "", 'Data Entry'!$$644)</f>
      </c>
      <c r="CK644">
        <f>IF(ISBLANK('Data Entry'!$$644), "", 'Data Entry'!$$644)</f>
      </c>
      <c r="CL644">
        <f>IF(ISBLANK('Data Entry'!$$644), "", 'Data Entry'!$$644)</f>
      </c>
      <c r="CM644">
        <f>IF(ISBLANK('Data Entry'!$$644), "", 'Data Entry'!$$644)</f>
      </c>
      <c r="CN644">
        <f>IF(ISBLANK('Data Entry'!$$644), "", 'Data Entry'!$$644)</f>
      </c>
      <c r="CO644">
        <f>IF(ISBLANK('Data Entry'!$$644), "", 'Data Entry'!$$644)</f>
      </c>
      <c r="CP644">
        <f>IF(ISBLANK('Data Entry'!$$644), "", 'Data Entry'!$$644)</f>
      </c>
      <c r="CQ644">
        <f>IF(ISBLANK('Data Entry'!$$644), "", 'Data Entry'!$$644)</f>
      </c>
      <c r="CR644">
        <f>IF(ISBLANK('Data Entry'!$ $644), "", 'Data Entry'!$ $644)</f>
      </c>
      <c r="CS644">
        <f>IF(ISBLANK('Data Entry'!$¡$644), "", 'Data Entry'!$¡$644)</f>
      </c>
      <c r="CT644">
        <f>IF(ISBLANK('Data Entry'!$¢$644), "", 'Data Entry'!$¢$644)</f>
      </c>
      <c r="CU644">
        <f>IF(ISBLANK('Data Entry'!$£$644), "", 'Data Entry'!$£$644)</f>
      </c>
      <c r="CV644">
        <f>IF(ISBLANK('Data Entry'!$¤$644), "", 'Data Entry'!$¤$644)</f>
      </c>
      <c r="CW644">
        <f>IF(ISBLANK('Data Entry'!$¥$644), "", 'Data Entry'!$¥$644)</f>
      </c>
      <c r="CX644">
        <f>IF(ISBLANK('Data Entry'!$¦$644), "", 'Data Entry'!$¦$644)</f>
      </c>
      <c r="CY644">
        <f>IF(ISBLANK('Data Entry'!$§$644), "", 'Data Entry'!$§$644)</f>
      </c>
      <c r="CZ644">
        <f>IF(ISBLANK('Data Entry'!$¨$644), "", 'Data Entry'!$¨$644)</f>
      </c>
      <c r="DA644">
        <f>IF(ISBLANK('Data Entry'!$©$644), "", 'Data Entry'!$©$644)</f>
      </c>
      <c r="DB644">
        <f>IF(ISBLANK('Data Entry'!$ª$644), "", 'Data Entry'!$ª$644)</f>
      </c>
      <c r="DC644">
        <f>IF(ISBLANK('Data Entry'!$«$644), "", 'Data Entry'!$«$644)</f>
      </c>
      <c r="DD644">
        <f>IF(ISBLANK('Data Entry'!$¬$644), "", 'Data Entry'!$¬$644)</f>
      </c>
      <c r="DE644">
        <f>IF(ISBLANK('Data Entry'!$­$644), "", 'Data Entry'!$­$644)</f>
      </c>
      <c r="DF644">
        <f>IF(ISBLANK('Data Entry'!$®$644), "", 'Data Entry'!$®$644)</f>
      </c>
      <c r="DG644">
        <f>IF(ISBLANK('Data Entry'!$¯$644), "", 'Data Entry'!$¯$644)</f>
      </c>
      <c r="DH644">
        <f>IF(ISBLANK('Data Entry'!$°$644), "", 'Data Entry'!$°$644)</f>
      </c>
      <c r="DI644">
        <f>IF(ISBLANK('Data Entry'!$±$644), "", 'Data Entry'!$±$644)</f>
      </c>
      <c r="DJ644">
        <f>IF(ISBLANK('Data Entry'!$²$644), "", 'Data Entry'!$²$644)</f>
      </c>
      <c r="DK644">
        <f>IF(ISBLANK('Data Entry'!$³$644), "", 'Data Entry'!$³$644)</f>
      </c>
      <c r="DL644">
        <f>IF(ISBLANK('Data Entry'!$´$644), "", 'Data Entry'!$´$644)</f>
      </c>
      <c r="DM644">
        <f>IF(ISBLANK('Data Entry'!$µ$644), "", 'Data Entry'!$µ$644)</f>
      </c>
      <c r="DN644">
        <f>IF(ISBLANK('Data Entry'!$¶$644), "", 'Data Entry'!$¶$644)</f>
      </c>
      <c r="DO644">
        <f>IF(ISBLANK('Data Entry'!$·$644), "", 'Data Entry'!$·$644)</f>
      </c>
      <c r="DP644">
        <f>IF(ISBLANK('Data Entry'!$¸$644), "", 'Data Entry'!$¸$644)</f>
      </c>
      <c r="DQ644">
        <f>IF(ISBLANK('Data Entry'!$¹$644), "", 'Data Entry'!$¹$644)</f>
      </c>
      <c r="DR644">
        <f>IF(ISBLANK('Data Entry'!$º$644), "", 'Data Entry'!$º$644)</f>
      </c>
      <c r="DS644">
        <f>IF(ISBLANK('Data Entry'!$»$644), "", 'Data Entry'!$»$644)</f>
      </c>
      <c r="DT644">
        <f>IF(ISBLANK('Data Entry'!$¼$644), "", 'Data Entry'!$¼$644)</f>
      </c>
      <c r="DU644">
        <f>IF(ISBLANK('Data Entry'!$½$644), "", 'Data Entry'!$½$644)</f>
      </c>
      <c r="DV644">
        <f>IF(ISBLANK('Data Entry'!$¾$644), "", 'Data Entry'!$¾$644)</f>
      </c>
      <c r="DW644">
        <f>IF(ISBLANK('Data Entry'!$¿$644), "", 'Data Entry'!$¿$644)</f>
      </c>
      <c r="DX644">
        <f>IF(ISBLANK('Data Entry'!$À$644), "", 'Data Entry'!$À$644)</f>
      </c>
      <c r="DY644">
        <f>IF(ISBLANK('Data Entry'!$Á$644), "", 'Data Entry'!$Á$644)</f>
      </c>
      <c r="DZ644">
        <f>IF(ISBLANK('Data Entry'!$Â$644), "", 'Data Entry'!$Â$644)</f>
      </c>
      <c r="EA644">
        <f>IF(ISBLANK('Data Entry'!$Ã$644), "", 'Data Entry'!$Ã$644)</f>
      </c>
      <c r="EB644">
        <f>IF(ISBLANK('Data Entry'!$Ä$644), "", 'Data Entry'!$Ä$644)</f>
      </c>
      <c r="EC644">
        <f>IF(ISBLANK('Data Entry'!$Å$644), "", 'Data Entry'!$Å$644)</f>
      </c>
      <c r="ED644">
        <f>IF(ISBLANK('Data Entry'!$Æ$644), "", 'Data Entry'!$Æ$644)</f>
      </c>
      <c r="EE644">
        <f>IF(ISBLANK('Data Entry'!$Ç$644), "", 'Data Entry'!$Ç$644)</f>
      </c>
      <c r="EF644">
        <f>IF(ISBLANK('Data Entry'!$È$644), "", 'Data Entry'!$È$644)</f>
      </c>
      <c r="EG644">
        <f>IF(ISBLANK('Data Entry'!$É$644), "", 'Data Entry'!$É$644)</f>
      </c>
      <c r="EH644">
        <f>IF(ISBLANK('Data Entry'!$Ê$644), "", 'Data Entry'!$Ê$644)</f>
      </c>
      <c r="EI644">
        <f>IF(ISBLANK('Data Entry'!$Ë$644), "", 'Data Entry'!$Ë$644)</f>
      </c>
      <c r="EJ644">
        <f>IF(ISBLANK('Data Entry'!$Ì$644), "", 'Data Entry'!$Ì$644)</f>
      </c>
      <c r="EK644">
        <f>IF(ISBLANK('Data Entry'!$Í$644), "", 'Data Entry'!$Í$644)</f>
      </c>
      <c r="EL644">
        <f>IF(ISBLANK('Data Entry'!$Î$644), "", 'Data Entry'!$Î$644)</f>
      </c>
      <c r="EM644">
        <f>IF(ISBLANK('Data Entry'!$Ï$644), "", 'Data Entry'!$Ï$644)</f>
      </c>
      <c r="EN644">
        <f>IF(ISBLANK('Data Entry'!$Ð$644), "", 'Data Entry'!$Ð$644)</f>
      </c>
      <c r="EO644">
        <f>IF(ISBLANK('Data Entry'!$Ñ$644), "", 'Data Entry'!$Ñ$644)</f>
      </c>
      <c r="EP644">
        <f>IF(ISBLANK('Data Entry'!$Ò$644), "", 'Data Entry'!$Ò$644)</f>
      </c>
      <c r="EQ644">
        <f>IF(ISBLANK('Data Entry'!$Ó$644), "", 'Data Entry'!$Ó$644)</f>
      </c>
      <c r="ER644">
        <f>IF(ISBLANK('Data Entry'!$Ô$644), "", 'Data Entry'!$Ô$644)</f>
      </c>
      <c r="ES644">
        <f>IF(ISBLANK('Data Entry'!$Õ$644), "", 'Data Entry'!$Õ$644)</f>
      </c>
      <c r="ET644">
        <f>IF(ISBLANK('Data Entry'!$Ö$644), "", 'Data Entry'!$Ö$644)</f>
      </c>
      <c r="EU644">
        <f>IF(ISBLANK('Data Entry'!$×$644), "", 'Data Entry'!$×$644)</f>
      </c>
      <c r="EV644">
        <f>IF(ISBLANK('Data Entry'!$Ø$644), "", 'Data Entry'!$Ø$644)</f>
      </c>
      <c r="EW644">
        <f>IF(ISBLANK('Data Entry'!$Ù$644), "", 'Data Entry'!$Ù$644)</f>
      </c>
      <c r="EX644">
        <f>IF(ISBLANK('Data Entry'!$Ú$644), "", 'Data Entry'!$Ú$644)</f>
      </c>
      <c r="EY644">
        <f>IF(ISBLANK('Data Entry'!$Û$644), "", 'Data Entry'!$Û$644)</f>
      </c>
      <c r="EZ644">
        <f>IF(ISBLANK('Data Entry'!$Ü$644), "", 'Data Entry'!$Ü$644)</f>
      </c>
      <c r="FA644">
        <f>IF(ISBLANK('Data Entry'!$Ý$644), "", 'Data Entry'!$Ý$644)</f>
      </c>
      <c r="FB644">
        <f>IF(ISBLANK('Data Entry'!$Þ$644), "", 'Data Entry'!$Þ$644)</f>
      </c>
      <c r="FC644">
        <f>IF(ISBLANK('Data Entry'!$ß$644), "", 'Data Entry'!$ß$644)</f>
      </c>
      <c r="FD644">
        <f>IF(ISBLANK('Data Entry'!$à$644), "", 'Data Entry'!$à$644)</f>
      </c>
      <c r="FE644">
        <f>IF(ISBLANK('Data Entry'!$á$644), "", 'Data Entry'!$á$644)</f>
      </c>
      <c r="FF644">
        <f>IF(ISBLANK('Data Entry'!$â$644), "", 'Data Entry'!$â$644)</f>
      </c>
      <c r="FG644">
        <f>IF(ISBLANK('Data Entry'!$ã$644), "", 'Data Entry'!$ã$644)</f>
      </c>
      <c r="FH644">
        <f>IF(ISBLANK('Data Entry'!$ä$644), "", 'Data Entry'!$ä$644)</f>
      </c>
      <c r="FI644">
        <f>IF(ISBLANK('Data Entry'!$å$644), "", 'Data Entry'!$å$644)</f>
      </c>
      <c r="FJ644">
        <f>IF(ISBLANK('Data Entry'!$æ$644), "", 'Data Entry'!$æ$644)</f>
      </c>
      <c r="FK644">
        <f>IF(ISBLANK('Data Entry'!$ç$644), "", 'Data Entry'!$ç$644)</f>
      </c>
      <c r="FL644">
        <f>IF(ISBLANK('Data Entry'!$è$644), "", 'Data Entry'!$è$644)</f>
      </c>
      <c r="FM644">
        <f>IF(ISBLANK('Data Entry'!$é$644), "", 'Data Entry'!$é$644)</f>
      </c>
      <c r="FN644">
        <f>IF(ISBLANK('Data Entry'!$ê$644), "", 'Data Entry'!$ê$644)</f>
      </c>
      <c r="FO644">
        <f>IF(ISBLANK('Data Entry'!$ë$644), "", 'Data Entry'!$ë$644)</f>
      </c>
      <c r="FP644">
        <f>IF(ISBLANK('Data Entry'!$ì$644), "", 'Data Entry'!$ì$644)</f>
      </c>
      <c r="FQ644">
        <f>IF(ISBLANK('Data Entry'!$í$644), "", 'Data Entry'!$í$644)</f>
      </c>
      <c r="FR644">
        <f>IF(ISBLANK('Data Entry'!$î$644), "", 'Data Entry'!$î$644)</f>
      </c>
      <c r="FS644">
        <f>IF(ISBLANK('Data Entry'!$ï$644), "", 'Data Entry'!$ï$644)</f>
      </c>
      <c r="FT644">
        <f>IF(ISBLANK('Data Entry'!$ð$644), "", 'Data Entry'!$ð$644)</f>
      </c>
      <c r="FU644">
        <f>IF(ISBLANK('Data Entry'!$ñ$644), "", 'Data Entry'!$ñ$644)</f>
      </c>
      <c r="FV644">
        <f>IF(ISBLANK('Data Entry'!$ò$644), "", 'Data Entry'!$ò$644)</f>
      </c>
      <c r="FW644">
        <f>IF(ISBLANK('Data Entry'!$ó$644), "", 'Data Entry'!$ó$644)</f>
      </c>
      <c r="FX644">
        <f>IF(ISBLANK('Data Entry'!$ô$644), "", 'Data Entry'!$ô$644)</f>
      </c>
      <c r="FY644">
        <f>IF(ISBLANK('Data Entry'!$õ$644), "", 'Data Entry'!$õ$644)</f>
      </c>
      <c r="FZ644">
        <f>IF(ISBLANK('Data Entry'!$ö$644), "", 'Data Entry'!$ö$644)</f>
      </c>
      <c r="GA644">
        <f>IF(ISBLANK('Data Entry'!$÷$644), "", 'Data Entry'!$÷$644)</f>
      </c>
      <c r="GB644">
        <f>IF(ISBLANK('Data Entry'!$ø$644), "", 'Data Entry'!$ø$644)</f>
      </c>
      <c r="GC644">
        <f>IF(ISBLANK('Data Entry'!$ù$644), "", 'Data Entry'!$ù$644)</f>
      </c>
      <c r="GD644">
        <f>IF(ISBLANK('Data Entry'!$ú$644), "", 'Data Entry'!$ú$644)</f>
      </c>
      <c r="GE644">
        <f>IF(ISBLANK('Data Entry'!$û$644), "", 'Data Entry'!$û$644)</f>
      </c>
      <c r="GF644">
        <f>IF(ISBLANK('Data Entry'!$ü$644), "", 'Data Entry'!$ü$644)</f>
      </c>
      <c r="GG644">
        <f>IF(ISBLANK('Data Entry'!$ý$644), "", 'Data Entry'!$ý$644)</f>
      </c>
      <c r="GH644">
        <f>IF(ISBLANK('Data Entry'!$þ$644), "", 'Data Entry'!$þ$644)</f>
      </c>
      <c r="GI644">
        <f>IF(ISBLANK('Data Entry'!$ÿ$644), "", 'Data Entry'!$ÿ$644)</f>
      </c>
      <c r="GJ644">
        <f>IF(ISBLANK('Data Entry'!$Ā$644), "", 'Data Entry'!$Ā$644)</f>
      </c>
      <c r="GK644">
        <f>IF(ISBLANK('Data Entry'!$ā$644), "", 'Data Entry'!$ā$644)</f>
      </c>
      <c r="GL644">
        <f>IF(ISBLANK('Data Entry'!$Ă$644), "", 'Data Entry'!$Ă$644)</f>
      </c>
      <c r="GM644">
        <f>IF(ISBLANK('Data Entry'!$ă$644), "", 'Data Entry'!$ă$644)</f>
      </c>
      <c r="GN644">
        <f>IF(ISBLANK('Data Entry'!$Ą$644), "", 'Data Entry'!$Ą$644)</f>
      </c>
      <c r="GO644">
        <f>IF(ISBLANK('Data Entry'!$ą$644), "", 'Data Entry'!$ą$644)</f>
      </c>
      <c r="GP644">
        <f>IF(ISBLANK('Data Entry'!$Ć$644), "", 'Data Entry'!$Ć$644)</f>
      </c>
      <c r="GQ644">
        <f>IF(ISBLANK('Data Entry'!$ć$644), "", 'Data Entry'!$ć$644)</f>
      </c>
      <c r="GR644">
        <f>IF(ISBLANK('Data Entry'!$Ĉ$644), "", 'Data Entry'!$Ĉ$644)</f>
      </c>
      <c r="GS644">
        <f>IF(ISBLANK('Data Entry'!$ĉ$644), "", 'Data Entry'!$ĉ$644)</f>
      </c>
      <c r="GT644">
        <f>IF(ISBLANK('Data Entry'!$Ċ$644), "", 'Data Entry'!$Ċ$644)</f>
      </c>
      <c r="GU644">
        <f>IF(ISBLANK('Data Entry'!$ċ$644), "", 'Data Entry'!$ċ$644)</f>
      </c>
      <c r="GV644">
        <f>IF(ISBLANK('Data Entry'!$Č$644), "", 'Data Entry'!$Č$644)</f>
      </c>
      <c r="GW644">
        <f>IF(ISBLANK('Data Entry'!$č$644), "", 'Data Entry'!$č$644)</f>
      </c>
      <c r="GX644">
        <f>IF(ISBLANK('Data Entry'!$Ď$644), "", 'Data Entry'!$Ď$644)</f>
      </c>
      <c r="GY644">
        <f>IF(ISBLANK('Data Entry'!$ď$644), "", 'Data Entry'!$ď$644)</f>
      </c>
      <c r="GZ644">
        <f>IF(ISBLANK('Data Entry'!$Đ$644), "", 'Data Entry'!$Đ$644)</f>
      </c>
      <c r="HA644">
        <f>IF(ISBLANK('Data Entry'!$đ$644), "", 'Data Entry'!$đ$644)</f>
      </c>
      <c r="HB644">
        <f>IF(ISBLANK('Data Entry'!$Ē$644), "", 'Data Entry'!$Ē$644)</f>
      </c>
      <c r="HC644">
        <f>IF(ISBLANK('Data Entry'!$ē$644), "", 'Data Entry'!$ē$644)</f>
      </c>
      <c r="HD644">
        <f>IF(ISBLANK('Data Entry'!$Ĕ$644), "", 'Data Entry'!$Ĕ$644)</f>
      </c>
      <c r="HE644">
        <f>IF(ISBLANK('Data Entry'!$ĕ$644), "", 'Data Entry'!$ĕ$644)</f>
      </c>
      <c r="HF644">
        <f>IF(ISBLANK('Data Entry'!$Ė$644), "", 'Data Entry'!$Ė$644)</f>
      </c>
      <c r="HG644">
        <f>IF(ISBLANK('Data Entry'!$ė$644), "", 'Data Entry'!$ė$644)</f>
      </c>
      <c r="HH644">
        <f>IF(ISBLANK('Data Entry'!$Ę$644), "", 'Data Entry'!$Ę$644)</f>
      </c>
      <c r="HI644">
        <f>IF(ISBLANK('Data Entry'!$ę$644), "", 'Data Entry'!$ę$644)</f>
      </c>
      <c r="HJ644">
        <f>IF(ISBLANK('Data Entry'!$Ě$644), "", 'Data Entry'!$Ě$644)</f>
      </c>
      <c r="HK644">
        <f>IF(ISBLANK('Data Entry'!$ě$644), "", 'Data Entry'!$ě$644)</f>
      </c>
      <c r="HL644">
        <f>IF(ISBLANK('Data Entry'!$Ĝ$644), "", 'Data Entry'!$Ĝ$644)</f>
      </c>
      <c r="HM644">
        <f>IF(ISBLANK('Data Entry'!$ĝ$644), "", 'Data Entry'!$ĝ$644)</f>
      </c>
      <c r="HN644">
        <f>IF(ISBLANK('Data Entry'!$Ğ$644), "", 'Data Entry'!$Ğ$644)</f>
      </c>
      <c r="HO644">
        <f>IF(ISBLANK('Data Entry'!$ğ$644), "", 'Data Entry'!$ğ$644)</f>
      </c>
      <c r="HP644">
        <f>IF(ISBLANK('Data Entry'!$Ġ$644), "", 'Data Entry'!$Ġ$644)</f>
      </c>
      <c r="HQ644">
        <f>IF(ISBLANK('Data Entry'!$ġ$644), "", 'Data Entry'!$ġ$644)</f>
      </c>
      <c r="HR644">
        <f>IF(ISBLANK('Data Entry'!$Ģ$644), "", 'Data Entry'!$Ģ$644)</f>
      </c>
      <c r="HS644">
        <f>IF(ISBLANK('Data Entry'!$ģ$644), "", 'Data Entry'!$ģ$644)</f>
      </c>
      <c r="HT644">
        <f>IF(ISBLANK('Data Entry'!$Ĥ$644), "", 'Data Entry'!$Ĥ$644)</f>
      </c>
      <c r="HU644">
        <f>IF(ISBLANK('Data Entry'!$ĥ$644), "", 'Data Entry'!$ĥ$644)</f>
      </c>
      <c r="HV644">
        <f>IF(ISBLANK('Data Entry'!$Ħ$644), "", 'Data Entry'!$Ħ$644)</f>
      </c>
      <c r="HW644">
        <f>IF(ISBLANK('Data Entry'!$ħ$644), "", 'Data Entry'!$ħ$644)</f>
      </c>
      <c r="HX644">
        <f>IF(ISBLANK('Data Entry'!$Ĩ$644), "", 'Data Entry'!$Ĩ$644)</f>
      </c>
      <c r="HY644">
        <f>IF(ISBLANK('Data Entry'!$ĩ$644), "", 'Data Entry'!$ĩ$644)</f>
      </c>
      <c r="HZ644">
        <f>IF(ISBLANK('Data Entry'!$Ī$644), "", 'Data Entry'!$Ī$644)</f>
      </c>
      <c r="IA644">
        <f>IF(ISBLANK('Data Entry'!$ī$644), "", 'Data Entry'!$ī$644)</f>
      </c>
      <c r="IB644">
        <f>IF(ISBLANK('Data Entry'!$Ĭ$644), "", 'Data Entry'!$Ĭ$644)</f>
      </c>
      <c r="IC644">
        <f>IF(ISBLANK('Data Entry'!$ĭ$644), "", 'Data Entry'!$ĭ$644)</f>
      </c>
      <c r="ID644">
        <f>IF(ISBLANK('Data Entry'!$Į$644), "", 'Data Entry'!$Į$644)</f>
      </c>
      <c r="IE644">
        <f>IF(ISBLANK('Data Entry'!$į$644), "", 'Data Entry'!$į$644)</f>
      </c>
      <c r="IF644">
        <f>IF(ISBLANK('Data Entry'!$İ$644), "", 'Data Entry'!$İ$644)</f>
      </c>
      <c r="IG644">
        <f>IF(ISBLANK('Data Entry'!$ı$644), "", 'Data Entry'!$ı$644)</f>
      </c>
      <c r="IH644">
        <f>IF(ISBLANK('Data Entry'!$Ĳ$644), "", 'Data Entry'!$Ĳ$644)</f>
      </c>
      <c r="II644">
        <f>IF(ISBLANK('Data Entry'!$ĳ$644), "", 'Data Entry'!$ĳ$644)</f>
      </c>
      <c r="IJ644">
        <f>IF(ISBLANK('Data Entry'!$Ĵ$644), "", 'Data Entry'!$Ĵ$644)</f>
      </c>
      <c r="IK644">
        <f>IF(ISBLANK('Data Entry'!$ĵ$644), "", 'Data Entry'!$ĵ$644)</f>
      </c>
      <c r="IL644">
        <f>IF(ISBLANK('Data Entry'!$Ķ$644), "", 'Data Entry'!$Ķ$644)</f>
      </c>
      <c r="IM644">
        <f>IF(ISBLANK('Data Entry'!$ķ$644), "", 'Data Entry'!$ķ$644)</f>
      </c>
      <c r="IN644">
        <f>IF(ISBLANK('Data Entry'!$ĸ$644), "", 'Data Entry'!$ĸ$644)</f>
      </c>
      <c r="IO644">
        <f>IF(ISBLANK('Data Entry'!$Ĺ$644), "", 'Data Entry'!$Ĺ$644)</f>
      </c>
      <c r="IP644">
        <f>IF(ISBLANK('Data Entry'!$ĺ$644), "", 'Data Entry'!$ĺ$644)</f>
      </c>
      <c r="IQ644">
        <f>IF(ISBLANK('Data Entry'!$Ļ$644), "", 'Data Entry'!$Ļ$644)</f>
      </c>
      <c r="IR644">
        <f>IF(ISBLANK('Data Entry'!$ļ$644), "", 'Data Entry'!$ļ$644)</f>
      </c>
      <c r="IS644">
        <f>IF(ISBLANK('Data Entry'!$Ľ$644), "", 'Data Entry'!$Ľ$644)</f>
      </c>
      <c r="IT644">
        <f>IF(ISBLANK('Data Entry'!$ľ$644), "", 'Data Entry'!$ľ$644)</f>
      </c>
    </row>
    <row r="645" spans="1:254" x14ac:dyDescent="0.25">
      <c r="A645">
        <f>IF(ISBLANK('Data Entry'!$A$645), "", 'Data Entry'!$A$645)</f>
      </c>
      <c r="B645">
        <f>IF(ISBLANK('Data Entry'!$B$645), "", 'Data Entry'!$B$645)</f>
      </c>
      <c r="C645">
        <f>IF(ISBLANK('Data Entry'!$C$645), "", 'Data Entry'!$C$645)</f>
      </c>
      <c r="D645">
        <f>IF(ISBLANK('Data Entry'!$D$645), "", 'Data Entry'!$D$645)</f>
      </c>
      <c r="E645">
        <f>IF(ISBLANK('Data Entry'!$E$645), "", 'Data Entry'!$E$645)</f>
      </c>
      <c r="F645">
        <f>IF(ISBLANK('Data Entry'!$F$645), "", 'Data Entry'!$F$645)</f>
      </c>
      <c r="G645">
        <f>IF(ISBLANK('Data Entry'!$G$645), "", 'Data Entry'!$G$645)</f>
      </c>
      <c r="H645">
        <f>IF(ISBLANK('Data Entry'!$H$645), "", 'Data Entry'!$H$645)</f>
      </c>
      <c r="I645">
        <f>IF(ISBLANK('Data Entry'!$I$645), "", 'Data Entry'!$I$645)</f>
      </c>
      <c r="J645">
        <f>IF(ISBLANK('Data Entry'!$J$645), "", 'Data Entry'!$J$645)</f>
      </c>
      <c r="K645">
        <f>IF(ISBLANK('Data Entry'!$K$645), "", 'Data Entry'!$K$645)</f>
      </c>
      <c r="L645">
        <f>IF(ISBLANK('Data Entry'!$L$645), "", 'Data Entry'!$L$645)</f>
      </c>
      <c r="M645">
        <f>IF(ISBLANK('Data Entry'!$M$645), "", 'Data Entry'!$M$645)</f>
      </c>
      <c r="N645">
        <f>IF(ISBLANK('Data Entry'!$N$645), "", 'Data Entry'!$N$645)</f>
      </c>
      <c r="O645">
        <f>IF(ISBLANK('Data Entry'!$O$645), "", 'Data Entry'!$O$645)</f>
      </c>
      <c r="P645">
        <f>IF(ISBLANK('Data Entry'!$P$645), "", 'Data Entry'!$P$645)</f>
      </c>
      <c r="Q645">
        <f>IF(ISBLANK('Data Entry'!$Q$645), "", 'Data Entry'!$Q$645)</f>
      </c>
      <c r="R645">
        <f>IF(ISBLANK('Data Entry'!$R$645), "", 'Data Entry'!$R$645)</f>
      </c>
      <c r="S645">
        <f>IF(ISBLANK('Data Entry'!$S$645), "", 'Data Entry'!$S$645)</f>
      </c>
      <c r="T645">
        <f>IF(ISBLANK('Data Entry'!$T$645), "", 'Data Entry'!$T$645)</f>
      </c>
      <c r="U645">
        <f>IF(ISBLANK('Data Entry'!$U$645), "", 'Data Entry'!$U$645)</f>
      </c>
      <c r="V645">
        <f>IF(ISBLANK('Data Entry'!$V$645), "", 'Data Entry'!$V$645)</f>
      </c>
      <c r="W645">
        <f>IF(ISBLANK('Data Entry'!$W$645), "", 'Data Entry'!$W$645)</f>
      </c>
      <c r="X645">
        <f>IF(ISBLANK('Data Entry'!$X$645), "", 'Data Entry'!$X$645)</f>
      </c>
      <c r="Y645">
        <f>IF(ISBLANK('Data Entry'!$Y$645), "", 'Data Entry'!$Y$645)</f>
      </c>
      <c r="Z645">
        <f>IF(ISBLANK('Data Entry'!$Z$645), "", 'Data Entry'!$Z$645)</f>
      </c>
      <c r="AA645">
        <f>IF(ISBLANK('Data Entry'!$[$645), "", 'Data Entry'!$[$645)</f>
      </c>
      <c r="AB645">
        <f>IF(ISBLANK('Data Entry'!$\$645), "", 'Data Entry'!$\$645)</f>
      </c>
      <c r="AC645">
        <f>IF(ISBLANK('Data Entry'!$]$645), "", 'Data Entry'!$]$645)</f>
      </c>
      <c r="AD645">
        <f>IF(ISBLANK('Data Entry'!$^$645), "", 'Data Entry'!$^$645)</f>
      </c>
      <c r="AE645">
        <f>IF(ISBLANK('Data Entry'!$_$645), "", 'Data Entry'!$_$645)</f>
      </c>
      <c r="AF645">
        <f>IF(ISBLANK('Data Entry'!$`$645), "", 'Data Entry'!$`$645)</f>
      </c>
      <c r="AG645">
        <f>IF(ISBLANK('Data Entry'!$a$645), "", 'Data Entry'!$a$645)</f>
      </c>
      <c r="AH645">
        <f>IF(ISBLANK('Data Entry'!$b$645), "", 'Data Entry'!$b$645)</f>
      </c>
      <c r="AI645">
        <f>IF(ISBLANK('Data Entry'!$c$645), "", 'Data Entry'!$c$645)</f>
      </c>
      <c r="AJ645">
        <f>IF(ISBLANK('Data Entry'!$d$645), "", 'Data Entry'!$d$645)</f>
      </c>
      <c r="AK645">
        <f>IF(ISBLANK('Data Entry'!$e$645), "", 'Data Entry'!$e$645)</f>
      </c>
      <c r="AL645">
        <f>IF(ISBLANK('Data Entry'!$f$645), "", 'Data Entry'!$f$645)</f>
      </c>
      <c r="AM645">
        <f>IF(ISBLANK('Data Entry'!$g$645), "", 'Data Entry'!$g$645)</f>
      </c>
      <c r="AN645">
        <f>IF(ISBLANK('Data Entry'!$h$645), "", 'Data Entry'!$h$645)</f>
      </c>
      <c r="AO645">
        <f>IF(ISBLANK('Data Entry'!$i$645), "", 'Data Entry'!$i$645)</f>
      </c>
      <c r="AP645">
        <f>IF(ISBLANK('Data Entry'!$j$645), "", 'Data Entry'!$j$645)</f>
      </c>
      <c r="AQ645">
        <f>IF(ISBLANK('Data Entry'!$k$645), "", 'Data Entry'!$k$645)</f>
      </c>
      <c r="AR645">
        <f>IF(ISBLANK('Data Entry'!$l$645), "", 'Data Entry'!$l$645)</f>
      </c>
      <c r="AS645">
        <f>IF(ISBLANK('Data Entry'!$m$645), "", 'Data Entry'!$m$645)</f>
      </c>
      <c r="AT645">
        <f>IF(ISBLANK('Data Entry'!$n$645), "", 'Data Entry'!$n$645)</f>
      </c>
      <c r="AU645">
        <f>IF(ISBLANK('Data Entry'!$o$645), "", 'Data Entry'!$o$645)</f>
      </c>
      <c r="AV645">
        <f>IF(ISBLANK('Data Entry'!$p$645), "", 'Data Entry'!$p$645)</f>
      </c>
      <c r="AW645">
        <f>IF(ISBLANK('Data Entry'!$q$645), "", 'Data Entry'!$q$645)</f>
      </c>
      <c r="AX645">
        <f>IF(ISBLANK('Data Entry'!$r$645), "", 'Data Entry'!$r$645)</f>
      </c>
      <c r="AY645">
        <f>IF(ISBLANK('Data Entry'!$s$645), "", 'Data Entry'!$s$645)</f>
      </c>
      <c r="AZ645">
        <f>IF(ISBLANK('Data Entry'!$t$645), "", 'Data Entry'!$t$645)</f>
      </c>
      <c r="BA645">
        <f>IF(ISBLANK('Data Entry'!$u$645), "", 'Data Entry'!$u$645)</f>
      </c>
      <c r="BB645">
        <f>IF(ISBLANK('Data Entry'!$v$645), "", 'Data Entry'!$v$645)</f>
      </c>
      <c r="BC645">
        <f>IF(ISBLANK('Data Entry'!$w$645), "", 'Data Entry'!$w$645)</f>
      </c>
      <c r="BD645">
        <f>IF(ISBLANK('Data Entry'!$x$645), "", 'Data Entry'!$x$645)</f>
      </c>
      <c r="BE645">
        <f>IF(ISBLANK('Data Entry'!$y$645), "", 'Data Entry'!$y$645)</f>
      </c>
      <c r="BF645">
        <f>IF(ISBLANK('Data Entry'!$z$645), "", 'Data Entry'!$z$645)</f>
      </c>
      <c r="BG645">
        <f>IF(ISBLANK('Data Entry'!${$645), "", 'Data Entry'!${$645)</f>
      </c>
      <c r="BH645">
        <f>IF(ISBLANK('Data Entry'!$|$645), "", 'Data Entry'!$|$645)</f>
      </c>
      <c r="BI645">
        <f>IF(ISBLANK('Data Entry'!$}$645), "", 'Data Entry'!$}$645)</f>
      </c>
      <c r="BJ645">
        <f>IF(ISBLANK('Data Entry'!$~$645), "", 'Data Entry'!$~$645)</f>
      </c>
      <c r="BK645">
        <f>IF(ISBLANK('Data Entry'!$$645), "", 'Data Entry'!$$645)</f>
      </c>
      <c r="BL645">
        <f>IF(ISBLANK('Data Entry'!$$645), "", 'Data Entry'!$$645)</f>
      </c>
      <c r="BM645">
        <f>IF(ISBLANK('Data Entry'!$$645), "", 'Data Entry'!$$645)</f>
      </c>
      <c r="BN645">
        <f>IF(ISBLANK('Data Entry'!$$645), "", 'Data Entry'!$$645)</f>
      </c>
      <c r="BO645">
        <f>IF(ISBLANK('Data Entry'!$$645), "", 'Data Entry'!$$645)</f>
      </c>
      <c r="BP645">
        <f>IF(ISBLANK('Data Entry'!$$645), "", 'Data Entry'!$$645)</f>
      </c>
      <c r="BQ645">
        <f>IF(ISBLANK('Data Entry'!$$645), "", 'Data Entry'!$$645)</f>
      </c>
      <c r="BR645">
        <f>IF(ISBLANK('Data Entry'!$$645), "", 'Data Entry'!$$645)</f>
      </c>
      <c r="BS645">
        <f>IF(ISBLANK('Data Entry'!$$645), "", 'Data Entry'!$$645)</f>
      </c>
      <c r="BT645">
        <f>IF(ISBLANK('Data Entry'!$$645), "", 'Data Entry'!$$645)</f>
      </c>
      <c r="BU645">
        <f>IF(ISBLANK('Data Entry'!$$645), "", 'Data Entry'!$$645)</f>
      </c>
      <c r="BV645">
        <f>IF(ISBLANK('Data Entry'!$$645), "", 'Data Entry'!$$645)</f>
      </c>
      <c r="BW645">
        <f>IF(ISBLANK('Data Entry'!$$645), "", 'Data Entry'!$$645)</f>
      </c>
      <c r="BX645">
        <f>IF(ISBLANK('Data Entry'!$$645), "", 'Data Entry'!$$645)</f>
      </c>
      <c r="BY645">
        <f>IF(ISBLANK('Data Entry'!$$645), "", 'Data Entry'!$$645)</f>
      </c>
      <c r="BZ645">
        <f>IF(ISBLANK('Data Entry'!$$645), "", 'Data Entry'!$$645)</f>
      </c>
      <c r="CA645">
        <f>IF(ISBLANK('Data Entry'!$$645), "", 'Data Entry'!$$645)</f>
      </c>
      <c r="CB645">
        <f>IF(ISBLANK('Data Entry'!$$645), "", 'Data Entry'!$$645)</f>
      </c>
      <c r="CC645">
        <f>IF(ISBLANK('Data Entry'!$$645), "", 'Data Entry'!$$645)</f>
      </c>
      <c r="CD645">
        <f>IF(ISBLANK('Data Entry'!$$645), "", 'Data Entry'!$$645)</f>
      </c>
      <c r="CE645">
        <f>IF(ISBLANK('Data Entry'!$$645), "", 'Data Entry'!$$645)</f>
      </c>
      <c r="CF645">
        <f>IF(ISBLANK('Data Entry'!$$645), "", 'Data Entry'!$$645)</f>
      </c>
      <c r="CG645">
        <f>IF(ISBLANK('Data Entry'!$$645), "", 'Data Entry'!$$645)</f>
      </c>
      <c r="CH645">
        <f>IF(ISBLANK('Data Entry'!$$645), "", 'Data Entry'!$$645)</f>
      </c>
      <c r="CI645">
        <f>IF(ISBLANK('Data Entry'!$$645), "", 'Data Entry'!$$645)</f>
      </c>
      <c r="CJ645">
        <f>IF(ISBLANK('Data Entry'!$$645), "", 'Data Entry'!$$645)</f>
      </c>
      <c r="CK645">
        <f>IF(ISBLANK('Data Entry'!$$645), "", 'Data Entry'!$$645)</f>
      </c>
      <c r="CL645">
        <f>IF(ISBLANK('Data Entry'!$$645), "", 'Data Entry'!$$645)</f>
      </c>
      <c r="CM645">
        <f>IF(ISBLANK('Data Entry'!$$645), "", 'Data Entry'!$$645)</f>
      </c>
      <c r="CN645">
        <f>IF(ISBLANK('Data Entry'!$$645), "", 'Data Entry'!$$645)</f>
      </c>
      <c r="CO645">
        <f>IF(ISBLANK('Data Entry'!$$645), "", 'Data Entry'!$$645)</f>
      </c>
      <c r="CP645">
        <f>IF(ISBLANK('Data Entry'!$$645), "", 'Data Entry'!$$645)</f>
      </c>
      <c r="CQ645">
        <f>IF(ISBLANK('Data Entry'!$$645), "", 'Data Entry'!$$645)</f>
      </c>
      <c r="CR645">
        <f>IF(ISBLANK('Data Entry'!$ $645), "", 'Data Entry'!$ $645)</f>
      </c>
      <c r="CS645">
        <f>IF(ISBLANK('Data Entry'!$¡$645), "", 'Data Entry'!$¡$645)</f>
      </c>
      <c r="CT645">
        <f>IF(ISBLANK('Data Entry'!$¢$645), "", 'Data Entry'!$¢$645)</f>
      </c>
      <c r="CU645">
        <f>IF(ISBLANK('Data Entry'!$£$645), "", 'Data Entry'!$£$645)</f>
      </c>
      <c r="CV645">
        <f>IF(ISBLANK('Data Entry'!$¤$645), "", 'Data Entry'!$¤$645)</f>
      </c>
      <c r="CW645">
        <f>IF(ISBLANK('Data Entry'!$¥$645), "", 'Data Entry'!$¥$645)</f>
      </c>
      <c r="CX645">
        <f>IF(ISBLANK('Data Entry'!$¦$645), "", 'Data Entry'!$¦$645)</f>
      </c>
      <c r="CY645">
        <f>IF(ISBLANK('Data Entry'!$§$645), "", 'Data Entry'!$§$645)</f>
      </c>
      <c r="CZ645">
        <f>IF(ISBLANK('Data Entry'!$¨$645), "", 'Data Entry'!$¨$645)</f>
      </c>
      <c r="DA645">
        <f>IF(ISBLANK('Data Entry'!$©$645), "", 'Data Entry'!$©$645)</f>
      </c>
      <c r="DB645">
        <f>IF(ISBLANK('Data Entry'!$ª$645), "", 'Data Entry'!$ª$645)</f>
      </c>
      <c r="DC645">
        <f>IF(ISBLANK('Data Entry'!$«$645), "", 'Data Entry'!$«$645)</f>
      </c>
      <c r="DD645">
        <f>IF(ISBLANK('Data Entry'!$¬$645), "", 'Data Entry'!$¬$645)</f>
      </c>
      <c r="DE645">
        <f>IF(ISBLANK('Data Entry'!$­$645), "", 'Data Entry'!$­$645)</f>
      </c>
      <c r="DF645">
        <f>IF(ISBLANK('Data Entry'!$®$645), "", 'Data Entry'!$®$645)</f>
      </c>
      <c r="DG645">
        <f>IF(ISBLANK('Data Entry'!$¯$645), "", 'Data Entry'!$¯$645)</f>
      </c>
      <c r="DH645">
        <f>IF(ISBLANK('Data Entry'!$°$645), "", 'Data Entry'!$°$645)</f>
      </c>
      <c r="DI645">
        <f>IF(ISBLANK('Data Entry'!$±$645), "", 'Data Entry'!$±$645)</f>
      </c>
      <c r="DJ645">
        <f>IF(ISBLANK('Data Entry'!$²$645), "", 'Data Entry'!$²$645)</f>
      </c>
      <c r="DK645">
        <f>IF(ISBLANK('Data Entry'!$³$645), "", 'Data Entry'!$³$645)</f>
      </c>
      <c r="DL645">
        <f>IF(ISBLANK('Data Entry'!$´$645), "", 'Data Entry'!$´$645)</f>
      </c>
      <c r="DM645">
        <f>IF(ISBLANK('Data Entry'!$µ$645), "", 'Data Entry'!$µ$645)</f>
      </c>
      <c r="DN645">
        <f>IF(ISBLANK('Data Entry'!$¶$645), "", 'Data Entry'!$¶$645)</f>
      </c>
      <c r="DO645">
        <f>IF(ISBLANK('Data Entry'!$·$645), "", 'Data Entry'!$·$645)</f>
      </c>
      <c r="DP645">
        <f>IF(ISBLANK('Data Entry'!$¸$645), "", 'Data Entry'!$¸$645)</f>
      </c>
      <c r="DQ645">
        <f>IF(ISBLANK('Data Entry'!$¹$645), "", 'Data Entry'!$¹$645)</f>
      </c>
      <c r="DR645">
        <f>IF(ISBLANK('Data Entry'!$º$645), "", 'Data Entry'!$º$645)</f>
      </c>
      <c r="DS645">
        <f>IF(ISBLANK('Data Entry'!$»$645), "", 'Data Entry'!$»$645)</f>
      </c>
      <c r="DT645">
        <f>IF(ISBLANK('Data Entry'!$¼$645), "", 'Data Entry'!$¼$645)</f>
      </c>
      <c r="DU645">
        <f>IF(ISBLANK('Data Entry'!$½$645), "", 'Data Entry'!$½$645)</f>
      </c>
      <c r="DV645">
        <f>IF(ISBLANK('Data Entry'!$¾$645), "", 'Data Entry'!$¾$645)</f>
      </c>
      <c r="DW645">
        <f>IF(ISBLANK('Data Entry'!$¿$645), "", 'Data Entry'!$¿$645)</f>
      </c>
      <c r="DX645">
        <f>IF(ISBLANK('Data Entry'!$À$645), "", 'Data Entry'!$À$645)</f>
      </c>
      <c r="DY645">
        <f>IF(ISBLANK('Data Entry'!$Á$645), "", 'Data Entry'!$Á$645)</f>
      </c>
      <c r="DZ645">
        <f>IF(ISBLANK('Data Entry'!$Â$645), "", 'Data Entry'!$Â$645)</f>
      </c>
      <c r="EA645">
        <f>IF(ISBLANK('Data Entry'!$Ã$645), "", 'Data Entry'!$Ã$645)</f>
      </c>
      <c r="EB645">
        <f>IF(ISBLANK('Data Entry'!$Ä$645), "", 'Data Entry'!$Ä$645)</f>
      </c>
      <c r="EC645">
        <f>IF(ISBLANK('Data Entry'!$Å$645), "", 'Data Entry'!$Å$645)</f>
      </c>
      <c r="ED645">
        <f>IF(ISBLANK('Data Entry'!$Æ$645), "", 'Data Entry'!$Æ$645)</f>
      </c>
      <c r="EE645">
        <f>IF(ISBLANK('Data Entry'!$Ç$645), "", 'Data Entry'!$Ç$645)</f>
      </c>
      <c r="EF645">
        <f>IF(ISBLANK('Data Entry'!$È$645), "", 'Data Entry'!$È$645)</f>
      </c>
      <c r="EG645">
        <f>IF(ISBLANK('Data Entry'!$É$645), "", 'Data Entry'!$É$645)</f>
      </c>
      <c r="EH645">
        <f>IF(ISBLANK('Data Entry'!$Ê$645), "", 'Data Entry'!$Ê$645)</f>
      </c>
      <c r="EI645">
        <f>IF(ISBLANK('Data Entry'!$Ë$645), "", 'Data Entry'!$Ë$645)</f>
      </c>
      <c r="EJ645">
        <f>IF(ISBLANK('Data Entry'!$Ì$645), "", 'Data Entry'!$Ì$645)</f>
      </c>
      <c r="EK645">
        <f>IF(ISBLANK('Data Entry'!$Í$645), "", 'Data Entry'!$Í$645)</f>
      </c>
      <c r="EL645">
        <f>IF(ISBLANK('Data Entry'!$Î$645), "", 'Data Entry'!$Î$645)</f>
      </c>
      <c r="EM645">
        <f>IF(ISBLANK('Data Entry'!$Ï$645), "", 'Data Entry'!$Ï$645)</f>
      </c>
      <c r="EN645">
        <f>IF(ISBLANK('Data Entry'!$Ð$645), "", 'Data Entry'!$Ð$645)</f>
      </c>
      <c r="EO645">
        <f>IF(ISBLANK('Data Entry'!$Ñ$645), "", 'Data Entry'!$Ñ$645)</f>
      </c>
      <c r="EP645">
        <f>IF(ISBLANK('Data Entry'!$Ò$645), "", 'Data Entry'!$Ò$645)</f>
      </c>
      <c r="EQ645">
        <f>IF(ISBLANK('Data Entry'!$Ó$645), "", 'Data Entry'!$Ó$645)</f>
      </c>
      <c r="ER645">
        <f>IF(ISBLANK('Data Entry'!$Ô$645), "", 'Data Entry'!$Ô$645)</f>
      </c>
      <c r="ES645">
        <f>IF(ISBLANK('Data Entry'!$Õ$645), "", 'Data Entry'!$Õ$645)</f>
      </c>
      <c r="ET645">
        <f>IF(ISBLANK('Data Entry'!$Ö$645), "", 'Data Entry'!$Ö$645)</f>
      </c>
      <c r="EU645">
        <f>IF(ISBLANK('Data Entry'!$×$645), "", 'Data Entry'!$×$645)</f>
      </c>
      <c r="EV645">
        <f>IF(ISBLANK('Data Entry'!$Ø$645), "", 'Data Entry'!$Ø$645)</f>
      </c>
      <c r="EW645">
        <f>IF(ISBLANK('Data Entry'!$Ù$645), "", 'Data Entry'!$Ù$645)</f>
      </c>
      <c r="EX645">
        <f>IF(ISBLANK('Data Entry'!$Ú$645), "", 'Data Entry'!$Ú$645)</f>
      </c>
      <c r="EY645">
        <f>IF(ISBLANK('Data Entry'!$Û$645), "", 'Data Entry'!$Û$645)</f>
      </c>
      <c r="EZ645">
        <f>IF(ISBLANK('Data Entry'!$Ü$645), "", 'Data Entry'!$Ü$645)</f>
      </c>
      <c r="FA645">
        <f>IF(ISBLANK('Data Entry'!$Ý$645), "", 'Data Entry'!$Ý$645)</f>
      </c>
      <c r="FB645">
        <f>IF(ISBLANK('Data Entry'!$Þ$645), "", 'Data Entry'!$Þ$645)</f>
      </c>
      <c r="FC645">
        <f>IF(ISBLANK('Data Entry'!$ß$645), "", 'Data Entry'!$ß$645)</f>
      </c>
      <c r="FD645">
        <f>IF(ISBLANK('Data Entry'!$à$645), "", 'Data Entry'!$à$645)</f>
      </c>
      <c r="FE645">
        <f>IF(ISBLANK('Data Entry'!$á$645), "", 'Data Entry'!$á$645)</f>
      </c>
      <c r="FF645">
        <f>IF(ISBLANK('Data Entry'!$â$645), "", 'Data Entry'!$â$645)</f>
      </c>
      <c r="FG645">
        <f>IF(ISBLANK('Data Entry'!$ã$645), "", 'Data Entry'!$ã$645)</f>
      </c>
      <c r="FH645">
        <f>IF(ISBLANK('Data Entry'!$ä$645), "", 'Data Entry'!$ä$645)</f>
      </c>
      <c r="FI645">
        <f>IF(ISBLANK('Data Entry'!$å$645), "", 'Data Entry'!$å$645)</f>
      </c>
      <c r="FJ645">
        <f>IF(ISBLANK('Data Entry'!$æ$645), "", 'Data Entry'!$æ$645)</f>
      </c>
      <c r="FK645">
        <f>IF(ISBLANK('Data Entry'!$ç$645), "", 'Data Entry'!$ç$645)</f>
      </c>
      <c r="FL645">
        <f>IF(ISBLANK('Data Entry'!$è$645), "", 'Data Entry'!$è$645)</f>
      </c>
      <c r="FM645">
        <f>IF(ISBLANK('Data Entry'!$é$645), "", 'Data Entry'!$é$645)</f>
      </c>
      <c r="FN645">
        <f>IF(ISBLANK('Data Entry'!$ê$645), "", 'Data Entry'!$ê$645)</f>
      </c>
      <c r="FO645">
        <f>IF(ISBLANK('Data Entry'!$ë$645), "", 'Data Entry'!$ë$645)</f>
      </c>
      <c r="FP645">
        <f>IF(ISBLANK('Data Entry'!$ì$645), "", 'Data Entry'!$ì$645)</f>
      </c>
      <c r="FQ645">
        <f>IF(ISBLANK('Data Entry'!$í$645), "", 'Data Entry'!$í$645)</f>
      </c>
      <c r="FR645">
        <f>IF(ISBLANK('Data Entry'!$î$645), "", 'Data Entry'!$î$645)</f>
      </c>
      <c r="FS645">
        <f>IF(ISBLANK('Data Entry'!$ï$645), "", 'Data Entry'!$ï$645)</f>
      </c>
      <c r="FT645">
        <f>IF(ISBLANK('Data Entry'!$ð$645), "", 'Data Entry'!$ð$645)</f>
      </c>
      <c r="FU645">
        <f>IF(ISBLANK('Data Entry'!$ñ$645), "", 'Data Entry'!$ñ$645)</f>
      </c>
      <c r="FV645">
        <f>IF(ISBLANK('Data Entry'!$ò$645), "", 'Data Entry'!$ò$645)</f>
      </c>
      <c r="FW645">
        <f>IF(ISBLANK('Data Entry'!$ó$645), "", 'Data Entry'!$ó$645)</f>
      </c>
      <c r="FX645">
        <f>IF(ISBLANK('Data Entry'!$ô$645), "", 'Data Entry'!$ô$645)</f>
      </c>
      <c r="FY645">
        <f>IF(ISBLANK('Data Entry'!$õ$645), "", 'Data Entry'!$õ$645)</f>
      </c>
      <c r="FZ645">
        <f>IF(ISBLANK('Data Entry'!$ö$645), "", 'Data Entry'!$ö$645)</f>
      </c>
      <c r="GA645">
        <f>IF(ISBLANK('Data Entry'!$÷$645), "", 'Data Entry'!$÷$645)</f>
      </c>
      <c r="GB645">
        <f>IF(ISBLANK('Data Entry'!$ø$645), "", 'Data Entry'!$ø$645)</f>
      </c>
      <c r="GC645">
        <f>IF(ISBLANK('Data Entry'!$ù$645), "", 'Data Entry'!$ù$645)</f>
      </c>
      <c r="GD645">
        <f>IF(ISBLANK('Data Entry'!$ú$645), "", 'Data Entry'!$ú$645)</f>
      </c>
      <c r="GE645">
        <f>IF(ISBLANK('Data Entry'!$û$645), "", 'Data Entry'!$û$645)</f>
      </c>
      <c r="GF645">
        <f>IF(ISBLANK('Data Entry'!$ü$645), "", 'Data Entry'!$ü$645)</f>
      </c>
      <c r="GG645">
        <f>IF(ISBLANK('Data Entry'!$ý$645), "", 'Data Entry'!$ý$645)</f>
      </c>
      <c r="GH645">
        <f>IF(ISBLANK('Data Entry'!$þ$645), "", 'Data Entry'!$þ$645)</f>
      </c>
      <c r="GI645">
        <f>IF(ISBLANK('Data Entry'!$ÿ$645), "", 'Data Entry'!$ÿ$645)</f>
      </c>
      <c r="GJ645">
        <f>IF(ISBLANK('Data Entry'!$Ā$645), "", 'Data Entry'!$Ā$645)</f>
      </c>
      <c r="GK645">
        <f>IF(ISBLANK('Data Entry'!$ā$645), "", 'Data Entry'!$ā$645)</f>
      </c>
      <c r="GL645">
        <f>IF(ISBLANK('Data Entry'!$Ă$645), "", 'Data Entry'!$Ă$645)</f>
      </c>
      <c r="GM645">
        <f>IF(ISBLANK('Data Entry'!$ă$645), "", 'Data Entry'!$ă$645)</f>
      </c>
      <c r="GN645">
        <f>IF(ISBLANK('Data Entry'!$Ą$645), "", 'Data Entry'!$Ą$645)</f>
      </c>
      <c r="GO645">
        <f>IF(ISBLANK('Data Entry'!$ą$645), "", 'Data Entry'!$ą$645)</f>
      </c>
      <c r="GP645">
        <f>IF(ISBLANK('Data Entry'!$Ć$645), "", 'Data Entry'!$Ć$645)</f>
      </c>
      <c r="GQ645">
        <f>IF(ISBLANK('Data Entry'!$ć$645), "", 'Data Entry'!$ć$645)</f>
      </c>
      <c r="GR645">
        <f>IF(ISBLANK('Data Entry'!$Ĉ$645), "", 'Data Entry'!$Ĉ$645)</f>
      </c>
      <c r="GS645">
        <f>IF(ISBLANK('Data Entry'!$ĉ$645), "", 'Data Entry'!$ĉ$645)</f>
      </c>
      <c r="GT645">
        <f>IF(ISBLANK('Data Entry'!$Ċ$645), "", 'Data Entry'!$Ċ$645)</f>
      </c>
      <c r="GU645">
        <f>IF(ISBLANK('Data Entry'!$ċ$645), "", 'Data Entry'!$ċ$645)</f>
      </c>
      <c r="GV645">
        <f>IF(ISBLANK('Data Entry'!$Č$645), "", 'Data Entry'!$Č$645)</f>
      </c>
      <c r="GW645">
        <f>IF(ISBLANK('Data Entry'!$č$645), "", 'Data Entry'!$č$645)</f>
      </c>
      <c r="GX645">
        <f>IF(ISBLANK('Data Entry'!$Ď$645), "", 'Data Entry'!$Ď$645)</f>
      </c>
      <c r="GY645">
        <f>IF(ISBLANK('Data Entry'!$ď$645), "", 'Data Entry'!$ď$645)</f>
      </c>
      <c r="GZ645">
        <f>IF(ISBLANK('Data Entry'!$Đ$645), "", 'Data Entry'!$Đ$645)</f>
      </c>
      <c r="HA645">
        <f>IF(ISBLANK('Data Entry'!$đ$645), "", 'Data Entry'!$đ$645)</f>
      </c>
      <c r="HB645">
        <f>IF(ISBLANK('Data Entry'!$Ē$645), "", 'Data Entry'!$Ē$645)</f>
      </c>
      <c r="HC645">
        <f>IF(ISBLANK('Data Entry'!$ē$645), "", 'Data Entry'!$ē$645)</f>
      </c>
      <c r="HD645">
        <f>IF(ISBLANK('Data Entry'!$Ĕ$645), "", 'Data Entry'!$Ĕ$645)</f>
      </c>
      <c r="HE645">
        <f>IF(ISBLANK('Data Entry'!$ĕ$645), "", 'Data Entry'!$ĕ$645)</f>
      </c>
      <c r="HF645">
        <f>IF(ISBLANK('Data Entry'!$Ė$645), "", 'Data Entry'!$Ė$645)</f>
      </c>
      <c r="HG645">
        <f>IF(ISBLANK('Data Entry'!$ė$645), "", 'Data Entry'!$ė$645)</f>
      </c>
      <c r="HH645">
        <f>IF(ISBLANK('Data Entry'!$Ę$645), "", 'Data Entry'!$Ę$645)</f>
      </c>
      <c r="HI645">
        <f>IF(ISBLANK('Data Entry'!$ę$645), "", 'Data Entry'!$ę$645)</f>
      </c>
      <c r="HJ645">
        <f>IF(ISBLANK('Data Entry'!$Ě$645), "", 'Data Entry'!$Ě$645)</f>
      </c>
      <c r="HK645">
        <f>IF(ISBLANK('Data Entry'!$ě$645), "", 'Data Entry'!$ě$645)</f>
      </c>
      <c r="HL645">
        <f>IF(ISBLANK('Data Entry'!$Ĝ$645), "", 'Data Entry'!$Ĝ$645)</f>
      </c>
      <c r="HM645">
        <f>IF(ISBLANK('Data Entry'!$ĝ$645), "", 'Data Entry'!$ĝ$645)</f>
      </c>
      <c r="HN645">
        <f>IF(ISBLANK('Data Entry'!$Ğ$645), "", 'Data Entry'!$Ğ$645)</f>
      </c>
      <c r="HO645">
        <f>IF(ISBLANK('Data Entry'!$ğ$645), "", 'Data Entry'!$ğ$645)</f>
      </c>
      <c r="HP645">
        <f>IF(ISBLANK('Data Entry'!$Ġ$645), "", 'Data Entry'!$Ġ$645)</f>
      </c>
      <c r="HQ645">
        <f>IF(ISBLANK('Data Entry'!$ġ$645), "", 'Data Entry'!$ġ$645)</f>
      </c>
      <c r="HR645">
        <f>IF(ISBLANK('Data Entry'!$Ģ$645), "", 'Data Entry'!$Ģ$645)</f>
      </c>
      <c r="HS645">
        <f>IF(ISBLANK('Data Entry'!$ģ$645), "", 'Data Entry'!$ģ$645)</f>
      </c>
      <c r="HT645">
        <f>IF(ISBLANK('Data Entry'!$Ĥ$645), "", 'Data Entry'!$Ĥ$645)</f>
      </c>
      <c r="HU645">
        <f>IF(ISBLANK('Data Entry'!$ĥ$645), "", 'Data Entry'!$ĥ$645)</f>
      </c>
      <c r="HV645">
        <f>IF(ISBLANK('Data Entry'!$Ħ$645), "", 'Data Entry'!$Ħ$645)</f>
      </c>
      <c r="HW645">
        <f>IF(ISBLANK('Data Entry'!$ħ$645), "", 'Data Entry'!$ħ$645)</f>
      </c>
      <c r="HX645">
        <f>IF(ISBLANK('Data Entry'!$Ĩ$645), "", 'Data Entry'!$Ĩ$645)</f>
      </c>
      <c r="HY645">
        <f>IF(ISBLANK('Data Entry'!$ĩ$645), "", 'Data Entry'!$ĩ$645)</f>
      </c>
      <c r="HZ645">
        <f>IF(ISBLANK('Data Entry'!$Ī$645), "", 'Data Entry'!$Ī$645)</f>
      </c>
      <c r="IA645">
        <f>IF(ISBLANK('Data Entry'!$ī$645), "", 'Data Entry'!$ī$645)</f>
      </c>
      <c r="IB645">
        <f>IF(ISBLANK('Data Entry'!$Ĭ$645), "", 'Data Entry'!$Ĭ$645)</f>
      </c>
      <c r="IC645">
        <f>IF(ISBLANK('Data Entry'!$ĭ$645), "", 'Data Entry'!$ĭ$645)</f>
      </c>
      <c r="ID645">
        <f>IF(ISBLANK('Data Entry'!$Į$645), "", 'Data Entry'!$Į$645)</f>
      </c>
      <c r="IE645">
        <f>IF(ISBLANK('Data Entry'!$į$645), "", 'Data Entry'!$į$645)</f>
      </c>
      <c r="IF645">
        <f>IF(ISBLANK('Data Entry'!$İ$645), "", 'Data Entry'!$İ$645)</f>
      </c>
      <c r="IG645">
        <f>IF(ISBLANK('Data Entry'!$ı$645), "", 'Data Entry'!$ı$645)</f>
      </c>
      <c r="IH645">
        <f>IF(ISBLANK('Data Entry'!$Ĳ$645), "", 'Data Entry'!$Ĳ$645)</f>
      </c>
      <c r="II645">
        <f>IF(ISBLANK('Data Entry'!$ĳ$645), "", 'Data Entry'!$ĳ$645)</f>
      </c>
      <c r="IJ645">
        <f>IF(ISBLANK('Data Entry'!$Ĵ$645), "", 'Data Entry'!$Ĵ$645)</f>
      </c>
      <c r="IK645">
        <f>IF(ISBLANK('Data Entry'!$ĵ$645), "", 'Data Entry'!$ĵ$645)</f>
      </c>
      <c r="IL645">
        <f>IF(ISBLANK('Data Entry'!$Ķ$645), "", 'Data Entry'!$Ķ$645)</f>
      </c>
      <c r="IM645">
        <f>IF(ISBLANK('Data Entry'!$ķ$645), "", 'Data Entry'!$ķ$645)</f>
      </c>
      <c r="IN645">
        <f>IF(ISBLANK('Data Entry'!$ĸ$645), "", 'Data Entry'!$ĸ$645)</f>
      </c>
      <c r="IO645">
        <f>IF(ISBLANK('Data Entry'!$Ĺ$645), "", 'Data Entry'!$Ĺ$645)</f>
      </c>
      <c r="IP645">
        <f>IF(ISBLANK('Data Entry'!$ĺ$645), "", 'Data Entry'!$ĺ$645)</f>
      </c>
      <c r="IQ645">
        <f>IF(ISBLANK('Data Entry'!$Ļ$645), "", 'Data Entry'!$Ļ$645)</f>
      </c>
      <c r="IR645">
        <f>IF(ISBLANK('Data Entry'!$ļ$645), "", 'Data Entry'!$ļ$645)</f>
      </c>
      <c r="IS645">
        <f>IF(ISBLANK('Data Entry'!$Ľ$645), "", 'Data Entry'!$Ľ$645)</f>
      </c>
      <c r="IT645">
        <f>IF(ISBLANK('Data Entry'!$ľ$645), "", 'Data Entry'!$ľ$645)</f>
      </c>
    </row>
    <row r="646" spans="1:254" x14ac:dyDescent="0.25">
      <c r="A646">
        <f>IF(ISBLANK('Data Entry'!$A$646), "", 'Data Entry'!$A$646)</f>
      </c>
      <c r="B646">
        <f>IF(ISBLANK('Data Entry'!$B$646), "", 'Data Entry'!$B$646)</f>
      </c>
      <c r="C646">
        <f>IF(ISBLANK('Data Entry'!$C$646), "", 'Data Entry'!$C$646)</f>
      </c>
      <c r="D646">
        <f>IF(ISBLANK('Data Entry'!$D$646), "", 'Data Entry'!$D$646)</f>
      </c>
      <c r="E646">
        <f>IF(ISBLANK('Data Entry'!$E$646), "", 'Data Entry'!$E$646)</f>
      </c>
      <c r="F646">
        <f>IF(ISBLANK('Data Entry'!$F$646), "", 'Data Entry'!$F$646)</f>
      </c>
      <c r="G646">
        <f>IF(ISBLANK('Data Entry'!$G$646), "", 'Data Entry'!$G$646)</f>
      </c>
      <c r="H646">
        <f>IF(ISBLANK('Data Entry'!$H$646), "", 'Data Entry'!$H$646)</f>
      </c>
      <c r="I646">
        <f>IF(ISBLANK('Data Entry'!$I$646), "", 'Data Entry'!$I$646)</f>
      </c>
      <c r="J646">
        <f>IF(ISBLANK('Data Entry'!$J$646), "", 'Data Entry'!$J$646)</f>
      </c>
      <c r="K646">
        <f>IF(ISBLANK('Data Entry'!$K$646), "", 'Data Entry'!$K$646)</f>
      </c>
      <c r="L646">
        <f>IF(ISBLANK('Data Entry'!$L$646), "", 'Data Entry'!$L$646)</f>
      </c>
      <c r="M646">
        <f>IF(ISBLANK('Data Entry'!$M$646), "", 'Data Entry'!$M$646)</f>
      </c>
      <c r="N646">
        <f>IF(ISBLANK('Data Entry'!$N$646), "", 'Data Entry'!$N$646)</f>
      </c>
      <c r="O646">
        <f>IF(ISBLANK('Data Entry'!$O$646), "", 'Data Entry'!$O$646)</f>
      </c>
      <c r="P646">
        <f>IF(ISBLANK('Data Entry'!$P$646), "", 'Data Entry'!$P$646)</f>
      </c>
      <c r="Q646">
        <f>IF(ISBLANK('Data Entry'!$Q$646), "", 'Data Entry'!$Q$646)</f>
      </c>
      <c r="R646">
        <f>IF(ISBLANK('Data Entry'!$R$646), "", 'Data Entry'!$R$646)</f>
      </c>
      <c r="S646">
        <f>IF(ISBLANK('Data Entry'!$S$646), "", 'Data Entry'!$S$646)</f>
      </c>
      <c r="T646">
        <f>IF(ISBLANK('Data Entry'!$T$646), "", 'Data Entry'!$T$646)</f>
      </c>
      <c r="U646">
        <f>IF(ISBLANK('Data Entry'!$U$646), "", 'Data Entry'!$U$646)</f>
      </c>
      <c r="V646">
        <f>IF(ISBLANK('Data Entry'!$V$646), "", 'Data Entry'!$V$646)</f>
      </c>
      <c r="W646">
        <f>IF(ISBLANK('Data Entry'!$W$646), "", 'Data Entry'!$W$646)</f>
      </c>
      <c r="X646">
        <f>IF(ISBLANK('Data Entry'!$X$646), "", 'Data Entry'!$X$646)</f>
      </c>
      <c r="Y646">
        <f>IF(ISBLANK('Data Entry'!$Y$646), "", 'Data Entry'!$Y$646)</f>
      </c>
      <c r="Z646">
        <f>IF(ISBLANK('Data Entry'!$Z$646), "", 'Data Entry'!$Z$646)</f>
      </c>
      <c r="AA646">
        <f>IF(ISBLANK('Data Entry'!$[$646), "", 'Data Entry'!$[$646)</f>
      </c>
      <c r="AB646">
        <f>IF(ISBLANK('Data Entry'!$\$646), "", 'Data Entry'!$\$646)</f>
      </c>
      <c r="AC646">
        <f>IF(ISBLANK('Data Entry'!$]$646), "", 'Data Entry'!$]$646)</f>
      </c>
      <c r="AD646">
        <f>IF(ISBLANK('Data Entry'!$^$646), "", 'Data Entry'!$^$646)</f>
      </c>
      <c r="AE646">
        <f>IF(ISBLANK('Data Entry'!$_$646), "", 'Data Entry'!$_$646)</f>
      </c>
      <c r="AF646">
        <f>IF(ISBLANK('Data Entry'!$`$646), "", 'Data Entry'!$`$646)</f>
      </c>
      <c r="AG646">
        <f>IF(ISBLANK('Data Entry'!$a$646), "", 'Data Entry'!$a$646)</f>
      </c>
      <c r="AH646">
        <f>IF(ISBLANK('Data Entry'!$b$646), "", 'Data Entry'!$b$646)</f>
      </c>
      <c r="AI646">
        <f>IF(ISBLANK('Data Entry'!$c$646), "", 'Data Entry'!$c$646)</f>
      </c>
      <c r="AJ646">
        <f>IF(ISBLANK('Data Entry'!$d$646), "", 'Data Entry'!$d$646)</f>
      </c>
      <c r="AK646">
        <f>IF(ISBLANK('Data Entry'!$e$646), "", 'Data Entry'!$e$646)</f>
      </c>
      <c r="AL646">
        <f>IF(ISBLANK('Data Entry'!$f$646), "", 'Data Entry'!$f$646)</f>
      </c>
      <c r="AM646">
        <f>IF(ISBLANK('Data Entry'!$g$646), "", 'Data Entry'!$g$646)</f>
      </c>
      <c r="AN646">
        <f>IF(ISBLANK('Data Entry'!$h$646), "", 'Data Entry'!$h$646)</f>
      </c>
      <c r="AO646">
        <f>IF(ISBLANK('Data Entry'!$i$646), "", 'Data Entry'!$i$646)</f>
      </c>
      <c r="AP646">
        <f>IF(ISBLANK('Data Entry'!$j$646), "", 'Data Entry'!$j$646)</f>
      </c>
      <c r="AQ646">
        <f>IF(ISBLANK('Data Entry'!$k$646), "", 'Data Entry'!$k$646)</f>
      </c>
      <c r="AR646">
        <f>IF(ISBLANK('Data Entry'!$l$646), "", 'Data Entry'!$l$646)</f>
      </c>
      <c r="AS646">
        <f>IF(ISBLANK('Data Entry'!$m$646), "", 'Data Entry'!$m$646)</f>
      </c>
      <c r="AT646">
        <f>IF(ISBLANK('Data Entry'!$n$646), "", 'Data Entry'!$n$646)</f>
      </c>
      <c r="AU646">
        <f>IF(ISBLANK('Data Entry'!$o$646), "", 'Data Entry'!$o$646)</f>
      </c>
      <c r="AV646">
        <f>IF(ISBLANK('Data Entry'!$p$646), "", 'Data Entry'!$p$646)</f>
      </c>
      <c r="AW646">
        <f>IF(ISBLANK('Data Entry'!$q$646), "", 'Data Entry'!$q$646)</f>
      </c>
      <c r="AX646">
        <f>IF(ISBLANK('Data Entry'!$r$646), "", 'Data Entry'!$r$646)</f>
      </c>
      <c r="AY646">
        <f>IF(ISBLANK('Data Entry'!$s$646), "", 'Data Entry'!$s$646)</f>
      </c>
      <c r="AZ646">
        <f>IF(ISBLANK('Data Entry'!$t$646), "", 'Data Entry'!$t$646)</f>
      </c>
      <c r="BA646">
        <f>IF(ISBLANK('Data Entry'!$u$646), "", 'Data Entry'!$u$646)</f>
      </c>
      <c r="BB646">
        <f>IF(ISBLANK('Data Entry'!$v$646), "", 'Data Entry'!$v$646)</f>
      </c>
      <c r="BC646">
        <f>IF(ISBLANK('Data Entry'!$w$646), "", 'Data Entry'!$w$646)</f>
      </c>
      <c r="BD646">
        <f>IF(ISBLANK('Data Entry'!$x$646), "", 'Data Entry'!$x$646)</f>
      </c>
      <c r="BE646">
        <f>IF(ISBLANK('Data Entry'!$y$646), "", 'Data Entry'!$y$646)</f>
      </c>
      <c r="BF646">
        <f>IF(ISBLANK('Data Entry'!$z$646), "", 'Data Entry'!$z$646)</f>
      </c>
      <c r="BG646">
        <f>IF(ISBLANK('Data Entry'!${$646), "", 'Data Entry'!${$646)</f>
      </c>
      <c r="BH646">
        <f>IF(ISBLANK('Data Entry'!$|$646), "", 'Data Entry'!$|$646)</f>
      </c>
      <c r="BI646">
        <f>IF(ISBLANK('Data Entry'!$}$646), "", 'Data Entry'!$}$646)</f>
      </c>
      <c r="BJ646">
        <f>IF(ISBLANK('Data Entry'!$~$646), "", 'Data Entry'!$~$646)</f>
      </c>
      <c r="BK646">
        <f>IF(ISBLANK('Data Entry'!$$646), "", 'Data Entry'!$$646)</f>
      </c>
      <c r="BL646">
        <f>IF(ISBLANK('Data Entry'!$$646), "", 'Data Entry'!$$646)</f>
      </c>
      <c r="BM646">
        <f>IF(ISBLANK('Data Entry'!$$646), "", 'Data Entry'!$$646)</f>
      </c>
      <c r="BN646">
        <f>IF(ISBLANK('Data Entry'!$$646), "", 'Data Entry'!$$646)</f>
      </c>
      <c r="BO646">
        <f>IF(ISBLANK('Data Entry'!$$646), "", 'Data Entry'!$$646)</f>
      </c>
      <c r="BP646">
        <f>IF(ISBLANK('Data Entry'!$$646), "", 'Data Entry'!$$646)</f>
      </c>
      <c r="BQ646">
        <f>IF(ISBLANK('Data Entry'!$$646), "", 'Data Entry'!$$646)</f>
      </c>
      <c r="BR646">
        <f>IF(ISBLANK('Data Entry'!$$646), "", 'Data Entry'!$$646)</f>
      </c>
      <c r="BS646">
        <f>IF(ISBLANK('Data Entry'!$$646), "", 'Data Entry'!$$646)</f>
      </c>
      <c r="BT646">
        <f>IF(ISBLANK('Data Entry'!$$646), "", 'Data Entry'!$$646)</f>
      </c>
      <c r="BU646">
        <f>IF(ISBLANK('Data Entry'!$$646), "", 'Data Entry'!$$646)</f>
      </c>
      <c r="BV646">
        <f>IF(ISBLANK('Data Entry'!$$646), "", 'Data Entry'!$$646)</f>
      </c>
      <c r="BW646">
        <f>IF(ISBLANK('Data Entry'!$$646), "", 'Data Entry'!$$646)</f>
      </c>
      <c r="BX646">
        <f>IF(ISBLANK('Data Entry'!$$646), "", 'Data Entry'!$$646)</f>
      </c>
      <c r="BY646">
        <f>IF(ISBLANK('Data Entry'!$$646), "", 'Data Entry'!$$646)</f>
      </c>
      <c r="BZ646">
        <f>IF(ISBLANK('Data Entry'!$$646), "", 'Data Entry'!$$646)</f>
      </c>
      <c r="CA646">
        <f>IF(ISBLANK('Data Entry'!$$646), "", 'Data Entry'!$$646)</f>
      </c>
      <c r="CB646">
        <f>IF(ISBLANK('Data Entry'!$$646), "", 'Data Entry'!$$646)</f>
      </c>
      <c r="CC646">
        <f>IF(ISBLANK('Data Entry'!$$646), "", 'Data Entry'!$$646)</f>
      </c>
      <c r="CD646">
        <f>IF(ISBLANK('Data Entry'!$$646), "", 'Data Entry'!$$646)</f>
      </c>
      <c r="CE646">
        <f>IF(ISBLANK('Data Entry'!$$646), "", 'Data Entry'!$$646)</f>
      </c>
      <c r="CF646">
        <f>IF(ISBLANK('Data Entry'!$$646), "", 'Data Entry'!$$646)</f>
      </c>
      <c r="CG646">
        <f>IF(ISBLANK('Data Entry'!$$646), "", 'Data Entry'!$$646)</f>
      </c>
      <c r="CH646">
        <f>IF(ISBLANK('Data Entry'!$$646), "", 'Data Entry'!$$646)</f>
      </c>
      <c r="CI646">
        <f>IF(ISBLANK('Data Entry'!$$646), "", 'Data Entry'!$$646)</f>
      </c>
      <c r="CJ646">
        <f>IF(ISBLANK('Data Entry'!$$646), "", 'Data Entry'!$$646)</f>
      </c>
      <c r="CK646">
        <f>IF(ISBLANK('Data Entry'!$$646), "", 'Data Entry'!$$646)</f>
      </c>
      <c r="CL646">
        <f>IF(ISBLANK('Data Entry'!$$646), "", 'Data Entry'!$$646)</f>
      </c>
      <c r="CM646">
        <f>IF(ISBLANK('Data Entry'!$$646), "", 'Data Entry'!$$646)</f>
      </c>
      <c r="CN646">
        <f>IF(ISBLANK('Data Entry'!$$646), "", 'Data Entry'!$$646)</f>
      </c>
      <c r="CO646">
        <f>IF(ISBLANK('Data Entry'!$$646), "", 'Data Entry'!$$646)</f>
      </c>
      <c r="CP646">
        <f>IF(ISBLANK('Data Entry'!$$646), "", 'Data Entry'!$$646)</f>
      </c>
      <c r="CQ646">
        <f>IF(ISBLANK('Data Entry'!$$646), "", 'Data Entry'!$$646)</f>
      </c>
      <c r="CR646">
        <f>IF(ISBLANK('Data Entry'!$ $646), "", 'Data Entry'!$ $646)</f>
      </c>
      <c r="CS646">
        <f>IF(ISBLANK('Data Entry'!$¡$646), "", 'Data Entry'!$¡$646)</f>
      </c>
      <c r="CT646">
        <f>IF(ISBLANK('Data Entry'!$¢$646), "", 'Data Entry'!$¢$646)</f>
      </c>
      <c r="CU646">
        <f>IF(ISBLANK('Data Entry'!$£$646), "", 'Data Entry'!$£$646)</f>
      </c>
      <c r="CV646">
        <f>IF(ISBLANK('Data Entry'!$¤$646), "", 'Data Entry'!$¤$646)</f>
      </c>
      <c r="CW646">
        <f>IF(ISBLANK('Data Entry'!$¥$646), "", 'Data Entry'!$¥$646)</f>
      </c>
      <c r="CX646">
        <f>IF(ISBLANK('Data Entry'!$¦$646), "", 'Data Entry'!$¦$646)</f>
      </c>
      <c r="CY646">
        <f>IF(ISBLANK('Data Entry'!$§$646), "", 'Data Entry'!$§$646)</f>
      </c>
      <c r="CZ646">
        <f>IF(ISBLANK('Data Entry'!$¨$646), "", 'Data Entry'!$¨$646)</f>
      </c>
      <c r="DA646">
        <f>IF(ISBLANK('Data Entry'!$©$646), "", 'Data Entry'!$©$646)</f>
      </c>
      <c r="DB646">
        <f>IF(ISBLANK('Data Entry'!$ª$646), "", 'Data Entry'!$ª$646)</f>
      </c>
      <c r="DC646">
        <f>IF(ISBLANK('Data Entry'!$«$646), "", 'Data Entry'!$«$646)</f>
      </c>
      <c r="DD646">
        <f>IF(ISBLANK('Data Entry'!$¬$646), "", 'Data Entry'!$¬$646)</f>
      </c>
      <c r="DE646">
        <f>IF(ISBLANK('Data Entry'!$­$646), "", 'Data Entry'!$­$646)</f>
      </c>
      <c r="DF646">
        <f>IF(ISBLANK('Data Entry'!$®$646), "", 'Data Entry'!$®$646)</f>
      </c>
      <c r="DG646">
        <f>IF(ISBLANK('Data Entry'!$¯$646), "", 'Data Entry'!$¯$646)</f>
      </c>
      <c r="DH646">
        <f>IF(ISBLANK('Data Entry'!$°$646), "", 'Data Entry'!$°$646)</f>
      </c>
      <c r="DI646">
        <f>IF(ISBLANK('Data Entry'!$±$646), "", 'Data Entry'!$±$646)</f>
      </c>
      <c r="DJ646">
        <f>IF(ISBLANK('Data Entry'!$²$646), "", 'Data Entry'!$²$646)</f>
      </c>
      <c r="DK646">
        <f>IF(ISBLANK('Data Entry'!$³$646), "", 'Data Entry'!$³$646)</f>
      </c>
      <c r="DL646">
        <f>IF(ISBLANK('Data Entry'!$´$646), "", 'Data Entry'!$´$646)</f>
      </c>
      <c r="DM646">
        <f>IF(ISBLANK('Data Entry'!$µ$646), "", 'Data Entry'!$µ$646)</f>
      </c>
      <c r="DN646">
        <f>IF(ISBLANK('Data Entry'!$¶$646), "", 'Data Entry'!$¶$646)</f>
      </c>
      <c r="DO646">
        <f>IF(ISBLANK('Data Entry'!$·$646), "", 'Data Entry'!$·$646)</f>
      </c>
      <c r="DP646">
        <f>IF(ISBLANK('Data Entry'!$¸$646), "", 'Data Entry'!$¸$646)</f>
      </c>
      <c r="DQ646">
        <f>IF(ISBLANK('Data Entry'!$¹$646), "", 'Data Entry'!$¹$646)</f>
      </c>
      <c r="DR646">
        <f>IF(ISBLANK('Data Entry'!$º$646), "", 'Data Entry'!$º$646)</f>
      </c>
      <c r="DS646">
        <f>IF(ISBLANK('Data Entry'!$»$646), "", 'Data Entry'!$»$646)</f>
      </c>
      <c r="DT646">
        <f>IF(ISBLANK('Data Entry'!$¼$646), "", 'Data Entry'!$¼$646)</f>
      </c>
      <c r="DU646">
        <f>IF(ISBLANK('Data Entry'!$½$646), "", 'Data Entry'!$½$646)</f>
      </c>
      <c r="DV646">
        <f>IF(ISBLANK('Data Entry'!$¾$646), "", 'Data Entry'!$¾$646)</f>
      </c>
      <c r="DW646">
        <f>IF(ISBLANK('Data Entry'!$¿$646), "", 'Data Entry'!$¿$646)</f>
      </c>
      <c r="DX646">
        <f>IF(ISBLANK('Data Entry'!$À$646), "", 'Data Entry'!$À$646)</f>
      </c>
      <c r="DY646">
        <f>IF(ISBLANK('Data Entry'!$Á$646), "", 'Data Entry'!$Á$646)</f>
      </c>
      <c r="DZ646">
        <f>IF(ISBLANK('Data Entry'!$Â$646), "", 'Data Entry'!$Â$646)</f>
      </c>
      <c r="EA646">
        <f>IF(ISBLANK('Data Entry'!$Ã$646), "", 'Data Entry'!$Ã$646)</f>
      </c>
      <c r="EB646">
        <f>IF(ISBLANK('Data Entry'!$Ä$646), "", 'Data Entry'!$Ä$646)</f>
      </c>
      <c r="EC646">
        <f>IF(ISBLANK('Data Entry'!$Å$646), "", 'Data Entry'!$Å$646)</f>
      </c>
      <c r="ED646">
        <f>IF(ISBLANK('Data Entry'!$Æ$646), "", 'Data Entry'!$Æ$646)</f>
      </c>
      <c r="EE646">
        <f>IF(ISBLANK('Data Entry'!$Ç$646), "", 'Data Entry'!$Ç$646)</f>
      </c>
      <c r="EF646">
        <f>IF(ISBLANK('Data Entry'!$È$646), "", 'Data Entry'!$È$646)</f>
      </c>
      <c r="EG646">
        <f>IF(ISBLANK('Data Entry'!$É$646), "", 'Data Entry'!$É$646)</f>
      </c>
      <c r="EH646">
        <f>IF(ISBLANK('Data Entry'!$Ê$646), "", 'Data Entry'!$Ê$646)</f>
      </c>
      <c r="EI646">
        <f>IF(ISBLANK('Data Entry'!$Ë$646), "", 'Data Entry'!$Ë$646)</f>
      </c>
      <c r="EJ646">
        <f>IF(ISBLANK('Data Entry'!$Ì$646), "", 'Data Entry'!$Ì$646)</f>
      </c>
      <c r="EK646">
        <f>IF(ISBLANK('Data Entry'!$Í$646), "", 'Data Entry'!$Í$646)</f>
      </c>
      <c r="EL646">
        <f>IF(ISBLANK('Data Entry'!$Î$646), "", 'Data Entry'!$Î$646)</f>
      </c>
      <c r="EM646">
        <f>IF(ISBLANK('Data Entry'!$Ï$646), "", 'Data Entry'!$Ï$646)</f>
      </c>
      <c r="EN646">
        <f>IF(ISBLANK('Data Entry'!$Ð$646), "", 'Data Entry'!$Ð$646)</f>
      </c>
      <c r="EO646">
        <f>IF(ISBLANK('Data Entry'!$Ñ$646), "", 'Data Entry'!$Ñ$646)</f>
      </c>
      <c r="EP646">
        <f>IF(ISBLANK('Data Entry'!$Ò$646), "", 'Data Entry'!$Ò$646)</f>
      </c>
      <c r="EQ646">
        <f>IF(ISBLANK('Data Entry'!$Ó$646), "", 'Data Entry'!$Ó$646)</f>
      </c>
      <c r="ER646">
        <f>IF(ISBLANK('Data Entry'!$Ô$646), "", 'Data Entry'!$Ô$646)</f>
      </c>
      <c r="ES646">
        <f>IF(ISBLANK('Data Entry'!$Õ$646), "", 'Data Entry'!$Õ$646)</f>
      </c>
      <c r="ET646">
        <f>IF(ISBLANK('Data Entry'!$Ö$646), "", 'Data Entry'!$Ö$646)</f>
      </c>
      <c r="EU646">
        <f>IF(ISBLANK('Data Entry'!$×$646), "", 'Data Entry'!$×$646)</f>
      </c>
      <c r="EV646">
        <f>IF(ISBLANK('Data Entry'!$Ø$646), "", 'Data Entry'!$Ø$646)</f>
      </c>
      <c r="EW646">
        <f>IF(ISBLANK('Data Entry'!$Ù$646), "", 'Data Entry'!$Ù$646)</f>
      </c>
      <c r="EX646">
        <f>IF(ISBLANK('Data Entry'!$Ú$646), "", 'Data Entry'!$Ú$646)</f>
      </c>
      <c r="EY646">
        <f>IF(ISBLANK('Data Entry'!$Û$646), "", 'Data Entry'!$Û$646)</f>
      </c>
      <c r="EZ646">
        <f>IF(ISBLANK('Data Entry'!$Ü$646), "", 'Data Entry'!$Ü$646)</f>
      </c>
      <c r="FA646">
        <f>IF(ISBLANK('Data Entry'!$Ý$646), "", 'Data Entry'!$Ý$646)</f>
      </c>
      <c r="FB646">
        <f>IF(ISBLANK('Data Entry'!$Þ$646), "", 'Data Entry'!$Þ$646)</f>
      </c>
      <c r="FC646">
        <f>IF(ISBLANK('Data Entry'!$ß$646), "", 'Data Entry'!$ß$646)</f>
      </c>
      <c r="FD646">
        <f>IF(ISBLANK('Data Entry'!$à$646), "", 'Data Entry'!$à$646)</f>
      </c>
      <c r="FE646">
        <f>IF(ISBLANK('Data Entry'!$á$646), "", 'Data Entry'!$á$646)</f>
      </c>
      <c r="FF646">
        <f>IF(ISBLANK('Data Entry'!$â$646), "", 'Data Entry'!$â$646)</f>
      </c>
      <c r="FG646">
        <f>IF(ISBLANK('Data Entry'!$ã$646), "", 'Data Entry'!$ã$646)</f>
      </c>
      <c r="FH646">
        <f>IF(ISBLANK('Data Entry'!$ä$646), "", 'Data Entry'!$ä$646)</f>
      </c>
      <c r="FI646">
        <f>IF(ISBLANK('Data Entry'!$å$646), "", 'Data Entry'!$å$646)</f>
      </c>
      <c r="FJ646">
        <f>IF(ISBLANK('Data Entry'!$æ$646), "", 'Data Entry'!$æ$646)</f>
      </c>
      <c r="FK646">
        <f>IF(ISBLANK('Data Entry'!$ç$646), "", 'Data Entry'!$ç$646)</f>
      </c>
      <c r="FL646">
        <f>IF(ISBLANK('Data Entry'!$è$646), "", 'Data Entry'!$è$646)</f>
      </c>
      <c r="FM646">
        <f>IF(ISBLANK('Data Entry'!$é$646), "", 'Data Entry'!$é$646)</f>
      </c>
      <c r="FN646">
        <f>IF(ISBLANK('Data Entry'!$ê$646), "", 'Data Entry'!$ê$646)</f>
      </c>
      <c r="FO646">
        <f>IF(ISBLANK('Data Entry'!$ë$646), "", 'Data Entry'!$ë$646)</f>
      </c>
      <c r="FP646">
        <f>IF(ISBLANK('Data Entry'!$ì$646), "", 'Data Entry'!$ì$646)</f>
      </c>
      <c r="FQ646">
        <f>IF(ISBLANK('Data Entry'!$í$646), "", 'Data Entry'!$í$646)</f>
      </c>
      <c r="FR646">
        <f>IF(ISBLANK('Data Entry'!$î$646), "", 'Data Entry'!$î$646)</f>
      </c>
      <c r="FS646">
        <f>IF(ISBLANK('Data Entry'!$ï$646), "", 'Data Entry'!$ï$646)</f>
      </c>
      <c r="FT646">
        <f>IF(ISBLANK('Data Entry'!$ð$646), "", 'Data Entry'!$ð$646)</f>
      </c>
      <c r="FU646">
        <f>IF(ISBLANK('Data Entry'!$ñ$646), "", 'Data Entry'!$ñ$646)</f>
      </c>
      <c r="FV646">
        <f>IF(ISBLANK('Data Entry'!$ò$646), "", 'Data Entry'!$ò$646)</f>
      </c>
      <c r="FW646">
        <f>IF(ISBLANK('Data Entry'!$ó$646), "", 'Data Entry'!$ó$646)</f>
      </c>
      <c r="FX646">
        <f>IF(ISBLANK('Data Entry'!$ô$646), "", 'Data Entry'!$ô$646)</f>
      </c>
      <c r="FY646">
        <f>IF(ISBLANK('Data Entry'!$õ$646), "", 'Data Entry'!$õ$646)</f>
      </c>
      <c r="FZ646">
        <f>IF(ISBLANK('Data Entry'!$ö$646), "", 'Data Entry'!$ö$646)</f>
      </c>
      <c r="GA646">
        <f>IF(ISBLANK('Data Entry'!$÷$646), "", 'Data Entry'!$÷$646)</f>
      </c>
      <c r="GB646">
        <f>IF(ISBLANK('Data Entry'!$ø$646), "", 'Data Entry'!$ø$646)</f>
      </c>
      <c r="GC646">
        <f>IF(ISBLANK('Data Entry'!$ù$646), "", 'Data Entry'!$ù$646)</f>
      </c>
      <c r="GD646">
        <f>IF(ISBLANK('Data Entry'!$ú$646), "", 'Data Entry'!$ú$646)</f>
      </c>
      <c r="GE646">
        <f>IF(ISBLANK('Data Entry'!$û$646), "", 'Data Entry'!$û$646)</f>
      </c>
      <c r="GF646">
        <f>IF(ISBLANK('Data Entry'!$ü$646), "", 'Data Entry'!$ü$646)</f>
      </c>
      <c r="GG646">
        <f>IF(ISBLANK('Data Entry'!$ý$646), "", 'Data Entry'!$ý$646)</f>
      </c>
      <c r="GH646">
        <f>IF(ISBLANK('Data Entry'!$þ$646), "", 'Data Entry'!$þ$646)</f>
      </c>
      <c r="GI646">
        <f>IF(ISBLANK('Data Entry'!$ÿ$646), "", 'Data Entry'!$ÿ$646)</f>
      </c>
      <c r="GJ646">
        <f>IF(ISBLANK('Data Entry'!$Ā$646), "", 'Data Entry'!$Ā$646)</f>
      </c>
      <c r="GK646">
        <f>IF(ISBLANK('Data Entry'!$ā$646), "", 'Data Entry'!$ā$646)</f>
      </c>
      <c r="GL646">
        <f>IF(ISBLANK('Data Entry'!$Ă$646), "", 'Data Entry'!$Ă$646)</f>
      </c>
      <c r="GM646">
        <f>IF(ISBLANK('Data Entry'!$ă$646), "", 'Data Entry'!$ă$646)</f>
      </c>
      <c r="GN646">
        <f>IF(ISBLANK('Data Entry'!$Ą$646), "", 'Data Entry'!$Ą$646)</f>
      </c>
      <c r="GO646">
        <f>IF(ISBLANK('Data Entry'!$ą$646), "", 'Data Entry'!$ą$646)</f>
      </c>
      <c r="GP646">
        <f>IF(ISBLANK('Data Entry'!$Ć$646), "", 'Data Entry'!$Ć$646)</f>
      </c>
      <c r="GQ646">
        <f>IF(ISBLANK('Data Entry'!$ć$646), "", 'Data Entry'!$ć$646)</f>
      </c>
      <c r="GR646">
        <f>IF(ISBLANK('Data Entry'!$Ĉ$646), "", 'Data Entry'!$Ĉ$646)</f>
      </c>
      <c r="GS646">
        <f>IF(ISBLANK('Data Entry'!$ĉ$646), "", 'Data Entry'!$ĉ$646)</f>
      </c>
      <c r="GT646">
        <f>IF(ISBLANK('Data Entry'!$Ċ$646), "", 'Data Entry'!$Ċ$646)</f>
      </c>
      <c r="GU646">
        <f>IF(ISBLANK('Data Entry'!$ċ$646), "", 'Data Entry'!$ċ$646)</f>
      </c>
      <c r="GV646">
        <f>IF(ISBLANK('Data Entry'!$Č$646), "", 'Data Entry'!$Č$646)</f>
      </c>
      <c r="GW646">
        <f>IF(ISBLANK('Data Entry'!$č$646), "", 'Data Entry'!$č$646)</f>
      </c>
      <c r="GX646">
        <f>IF(ISBLANK('Data Entry'!$Ď$646), "", 'Data Entry'!$Ď$646)</f>
      </c>
      <c r="GY646">
        <f>IF(ISBLANK('Data Entry'!$ď$646), "", 'Data Entry'!$ď$646)</f>
      </c>
      <c r="GZ646">
        <f>IF(ISBLANK('Data Entry'!$Đ$646), "", 'Data Entry'!$Đ$646)</f>
      </c>
      <c r="HA646">
        <f>IF(ISBLANK('Data Entry'!$đ$646), "", 'Data Entry'!$đ$646)</f>
      </c>
      <c r="HB646">
        <f>IF(ISBLANK('Data Entry'!$Ē$646), "", 'Data Entry'!$Ē$646)</f>
      </c>
      <c r="HC646">
        <f>IF(ISBLANK('Data Entry'!$ē$646), "", 'Data Entry'!$ē$646)</f>
      </c>
      <c r="HD646">
        <f>IF(ISBLANK('Data Entry'!$Ĕ$646), "", 'Data Entry'!$Ĕ$646)</f>
      </c>
      <c r="HE646">
        <f>IF(ISBLANK('Data Entry'!$ĕ$646), "", 'Data Entry'!$ĕ$646)</f>
      </c>
      <c r="HF646">
        <f>IF(ISBLANK('Data Entry'!$Ė$646), "", 'Data Entry'!$Ė$646)</f>
      </c>
      <c r="HG646">
        <f>IF(ISBLANK('Data Entry'!$ė$646), "", 'Data Entry'!$ė$646)</f>
      </c>
      <c r="HH646">
        <f>IF(ISBLANK('Data Entry'!$Ę$646), "", 'Data Entry'!$Ę$646)</f>
      </c>
      <c r="HI646">
        <f>IF(ISBLANK('Data Entry'!$ę$646), "", 'Data Entry'!$ę$646)</f>
      </c>
      <c r="HJ646">
        <f>IF(ISBLANK('Data Entry'!$Ě$646), "", 'Data Entry'!$Ě$646)</f>
      </c>
      <c r="HK646">
        <f>IF(ISBLANK('Data Entry'!$ě$646), "", 'Data Entry'!$ě$646)</f>
      </c>
      <c r="HL646">
        <f>IF(ISBLANK('Data Entry'!$Ĝ$646), "", 'Data Entry'!$Ĝ$646)</f>
      </c>
      <c r="HM646">
        <f>IF(ISBLANK('Data Entry'!$ĝ$646), "", 'Data Entry'!$ĝ$646)</f>
      </c>
      <c r="HN646">
        <f>IF(ISBLANK('Data Entry'!$Ğ$646), "", 'Data Entry'!$Ğ$646)</f>
      </c>
      <c r="HO646">
        <f>IF(ISBLANK('Data Entry'!$ğ$646), "", 'Data Entry'!$ğ$646)</f>
      </c>
      <c r="HP646">
        <f>IF(ISBLANK('Data Entry'!$Ġ$646), "", 'Data Entry'!$Ġ$646)</f>
      </c>
      <c r="HQ646">
        <f>IF(ISBLANK('Data Entry'!$ġ$646), "", 'Data Entry'!$ġ$646)</f>
      </c>
      <c r="HR646">
        <f>IF(ISBLANK('Data Entry'!$Ģ$646), "", 'Data Entry'!$Ģ$646)</f>
      </c>
      <c r="HS646">
        <f>IF(ISBLANK('Data Entry'!$ģ$646), "", 'Data Entry'!$ģ$646)</f>
      </c>
      <c r="HT646">
        <f>IF(ISBLANK('Data Entry'!$Ĥ$646), "", 'Data Entry'!$Ĥ$646)</f>
      </c>
      <c r="HU646">
        <f>IF(ISBLANK('Data Entry'!$ĥ$646), "", 'Data Entry'!$ĥ$646)</f>
      </c>
      <c r="HV646">
        <f>IF(ISBLANK('Data Entry'!$Ħ$646), "", 'Data Entry'!$Ħ$646)</f>
      </c>
      <c r="HW646">
        <f>IF(ISBLANK('Data Entry'!$ħ$646), "", 'Data Entry'!$ħ$646)</f>
      </c>
      <c r="HX646">
        <f>IF(ISBLANK('Data Entry'!$Ĩ$646), "", 'Data Entry'!$Ĩ$646)</f>
      </c>
      <c r="HY646">
        <f>IF(ISBLANK('Data Entry'!$ĩ$646), "", 'Data Entry'!$ĩ$646)</f>
      </c>
      <c r="HZ646">
        <f>IF(ISBLANK('Data Entry'!$Ī$646), "", 'Data Entry'!$Ī$646)</f>
      </c>
      <c r="IA646">
        <f>IF(ISBLANK('Data Entry'!$ī$646), "", 'Data Entry'!$ī$646)</f>
      </c>
      <c r="IB646">
        <f>IF(ISBLANK('Data Entry'!$Ĭ$646), "", 'Data Entry'!$Ĭ$646)</f>
      </c>
      <c r="IC646">
        <f>IF(ISBLANK('Data Entry'!$ĭ$646), "", 'Data Entry'!$ĭ$646)</f>
      </c>
      <c r="ID646">
        <f>IF(ISBLANK('Data Entry'!$Į$646), "", 'Data Entry'!$Į$646)</f>
      </c>
      <c r="IE646">
        <f>IF(ISBLANK('Data Entry'!$į$646), "", 'Data Entry'!$į$646)</f>
      </c>
      <c r="IF646">
        <f>IF(ISBLANK('Data Entry'!$İ$646), "", 'Data Entry'!$İ$646)</f>
      </c>
      <c r="IG646">
        <f>IF(ISBLANK('Data Entry'!$ı$646), "", 'Data Entry'!$ı$646)</f>
      </c>
      <c r="IH646">
        <f>IF(ISBLANK('Data Entry'!$Ĳ$646), "", 'Data Entry'!$Ĳ$646)</f>
      </c>
      <c r="II646">
        <f>IF(ISBLANK('Data Entry'!$ĳ$646), "", 'Data Entry'!$ĳ$646)</f>
      </c>
      <c r="IJ646">
        <f>IF(ISBLANK('Data Entry'!$Ĵ$646), "", 'Data Entry'!$Ĵ$646)</f>
      </c>
      <c r="IK646">
        <f>IF(ISBLANK('Data Entry'!$ĵ$646), "", 'Data Entry'!$ĵ$646)</f>
      </c>
      <c r="IL646">
        <f>IF(ISBLANK('Data Entry'!$Ķ$646), "", 'Data Entry'!$Ķ$646)</f>
      </c>
      <c r="IM646">
        <f>IF(ISBLANK('Data Entry'!$ķ$646), "", 'Data Entry'!$ķ$646)</f>
      </c>
      <c r="IN646">
        <f>IF(ISBLANK('Data Entry'!$ĸ$646), "", 'Data Entry'!$ĸ$646)</f>
      </c>
      <c r="IO646">
        <f>IF(ISBLANK('Data Entry'!$Ĺ$646), "", 'Data Entry'!$Ĺ$646)</f>
      </c>
      <c r="IP646">
        <f>IF(ISBLANK('Data Entry'!$ĺ$646), "", 'Data Entry'!$ĺ$646)</f>
      </c>
      <c r="IQ646">
        <f>IF(ISBLANK('Data Entry'!$Ļ$646), "", 'Data Entry'!$Ļ$646)</f>
      </c>
      <c r="IR646">
        <f>IF(ISBLANK('Data Entry'!$ļ$646), "", 'Data Entry'!$ļ$646)</f>
      </c>
      <c r="IS646">
        <f>IF(ISBLANK('Data Entry'!$Ľ$646), "", 'Data Entry'!$Ľ$646)</f>
      </c>
      <c r="IT646">
        <f>IF(ISBLANK('Data Entry'!$ľ$646), "", 'Data Entry'!$ľ$646)</f>
      </c>
    </row>
    <row r="647" spans="1:254" x14ac:dyDescent="0.25">
      <c r="A647">
        <f>IF(ISBLANK('Data Entry'!$A$647), "", 'Data Entry'!$A$647)</f>
      </c>
      <c r="B647">
        <f>IF(ISBLANK('Data Entry'!$B$647), "", 'Data Entry'!$B$647)</f>
      </c>
      <c r="C647">
        <f>IF(ISBLANK('Data Entry'!$C$647), "", 'Data Entry'!$C$647)</f>
      </c>
      <c r="D647">
        <f>IF(ISBLANK('Data Entry'!$D$647), "", 'Data Entry'!$D$647)</f>
      </c>
      <c r="E647">
        <f>IF(ISBLANK('Data Entry'!$E$647), "", 'Data Entry'!$E$647)</f>
      </c>
      <c r="F647">
        <f>IF(ISBLANK('Data Entry'!$F$647), "", 'Data Entry'!$F$647)</f>
      </c>
      <c r="G647">
        <f>IF(ISBLANK('Data Entry'!$G$647), "", 'Data Entry'!$G$647)</f>
      </c>
      <c r="H647">
        <f>IF(ISBLANK('Data Entry'!$H$647), "", 'Data Entry'!$H$647)</f>
      </c>
      <c r="I647">
        <f>IF(ISBLANK('Data Entry'!$I$647), "", 'Data Entry'!$I$647)</f>
      </c>
      <c r="J647">
        <f>IF(ISBLANK('Data Entry'!$J$647), "", 'Data Entry'!$J$647)</f>
      </c>
      <c r="K647">
        <f>IF(ISBLANK('Data Entry'!$K$647), "", 'Data Entry'!$K$647)</f>
      </c>
      <c r="L647">
        <f>IF(ISBLANK('Data Entry'!$L$647), "", 'Data Entry'!$L$647)</f>
      </c>
      <c r="M647">
        <f>IF(ISBLANK('Data Entry'!$M$647), "", 'Data Entry'!$M$647)</f>
      </c>
      <c r="N647">
        <f>IF(ISBLANK('Data Entry'!$N$647), "", 'Data Entry'!$N$647)</f>
      </c>
      <c r="O647">
        <f>IF(ISBLANK('Data Entry'!$O$647), "", 'Data Entry'!$O$647)</f>
      </c>
      <c r="P647">
        <f>IF(ISBLANK('Data Entry'!$P$647), "", 'Data Entry'!$P$647)</f>
      </c>
      <c r="Q647">
        <f>IF(ISBLANK('Data Entry'!$Q$647), "", 'Data Entry'!$Q$647)</f>
      </c>
      <c r="R647">
        <f>IF(ISBLANK('Data Entry'!$R$647), "", 'Data Entry'!$R$647)</f>
      </c>
      <c r="S647">
        <f>IF(ISBLANK('Data Entry'!$S$647), "", 'Data Entry'!$S$647)</f>
      </c>
      <c r="T647">
        <f>IF(ISBLANK('Data Entry'!$T$647), "", 'Data Entry'!$T$647)</f>
      </c>
      <c r="U647">
        <f>IF(ISBLANK('Data Entry'!$U$647), "", 'Data Entry'!$U$647)</f>
      </c>
      <c r="V647">
        <f>IF(ISBLANK('Data Entry'!$V$647), "", 'Data Entry'!$V$647)</f>
      </c>
      <c r="W647">
        <f>IF(ISBLANK('Data Entry'!$W$647), "", 'Data Entry'!$W$647)</f>
      </c>
      <c r="X647">
        <f>IF(ISBLANK('Data Entry'!$X$647), "", 'Data Entry'!$X$647)</f>
      </c>
      <c r="Y647">
        <f>IF(ISBLANK('Data Entry'!$Y$647), "", 'Data Entry'!$Y$647)</f>
      </c>
      <c r="Z647">
        <f>IF(ISBLANK('Data Entry'!$Z$647), "", 'Data Entry'!$Z$647)</f>
      </c>
      <c r="AA647">
        <f>IF(ISBLANK('Data Entry'!$[$647), "", 'Data Entry'!$[$647)</f>
      </c>
      <c r="AB647">
        <f>IF(ISBLANK('Data Entry'!$\$647), "", 'Data Entry'!$\$647)</f>
      </c>
      <c r="AC647">
        <f>IF(ISBLANK('Data Entry'!$]$647), "", 'Data Entry'!$]$647)</f>
      </c>
      <c r="AD647">
        <f>IF(ISBLANK('Data Entry'!$^$647), "", 'Data Entry'!$^$647)</f>
      </c>
      <c r="AE647">
        <f>IF(ISBLANK('Data Entry'!$_$647), "", 'Data Entry'!$_$647)</f>
      </c>
      <c r="AF647">
        <f>IF(ISBLANK('Data Entry'!$`$647), "", 'Data Entry'!$`$647)</f>
      </c>
      <c r="AG647">
        <f>IF(ISBLANK('Data Entry'!$a$647), "", 'Data Entry'!$a$647)</f>
      </c>
      <c r="AH647">
        <f>IF(ISBLANK('Data Entry'!$b$647), "", 'Data Entry'!$b$647)</f>
      </c>
      <c r="AI647">
        <f>IF(ISBLANK('Data Entry'!$c$647), "", 'Data Entry'!$c$647)</f>
      </c>
      <c r="AJ647">
        <f>IF(ISBLANK('Data Entry'!$d$647), "", 'Data Entry'!$d$647)</f>
      </c>
      <c r="AK647">
        <f>IF(ISBLANK('Data Entry'!$e$647), "", 'Data Entry'!$e$647)</f>
      </c>
      <c r="AL647">
        <f>IF(ISBLANK('Data Entry'!$f$647), "", 'Data Entry'!$f$647)</f>
      </c>
      <c r="AM647">
        <f>IF(ISBLANK('Data Entry'!$g$647), "", 'Data Entry'!$g$647)</f>
      </c>
      <c r="AN647">
        <f>IF(ISBLANK('Data Entry'!$h$647), "", 'Data Entry'!$h$647)</f>
      </c>
      <c r="AO647">
        <f>IF(ISBLANK('Data Entry'!$i$647), "", 'Data Entry'!$i$647)</f>
      </c>
      <c r="AP647">
        <f>IF(ISBLANK('Data Entry'!$j$647), "", 'Data Entry'!$j$647)</f>
      </c>
      <c r="AQ647">
        <f>IF(ISBLANK('Data Entry'!$k$647), "", 'Data Entry'!$k$647)</f>
      </c>
      <c r="AR647">
        <f>IF(ISBLANK('Data Entry'!$l$647), "", 'Data Entry'!$l$647)</f>
      </c>
      <c r="AS647">
        <f>IF(ISBLANK('Data Entry'!$m$647), "", 'Data Entry'!$m$647)</f>
      </c>
      <c r="AT647">
        <f>IF(ISBLANK('Data Entry'!$n$647), "", 'Data Entry'!$n$647)</f>
      </c>
      <c r="AU647">
        <f>IF(ISBLANK('Data Entry'!$o$647), "", 'Data Entry'!$o$647)</f>
      </c>
      <c r="AV647">
        <f>IF(ISBLANK('Data Entry'!$p$647), "", 'Data Entry'!$p$647)</f>
      </c>
      <c r="AW647">
        <f>IF(ISBLANK('Data Entry'!$q$647), "", 'Data Entry'!$q$647)</f>
      </c>
      <c r="AX647">
        <f>IF(ISBLANK('Data Entry'!$r$647), "", 'Data Entry'!$r$647)</f>
      </c>
      <c r="AY647">
        <f>IF(ISBLANK('Data Entry'!$s$647), "", 'Data Entry'!$s$647)</f>
      </c>
      <c r="AZ647">
        <f>IF(ISBLANK('Data Entry'!$t$647), "", 'Data Entry'!$t$647)</f>
      </c>
      <c r="BA647">
        <f>IF(ISBLANK('Data Entry'!$u$647), "", 'Data Entry'!$u$647)</f>
      </c>
      <c r="BB647">
        <f>IF(ISBLANK('Data Entry'!$v$647), "", 'Data Entry'!$v$647)</f>
      </c>
      <c r="BC647">
        <f>IF(ISBLANK('Data Entry'!$w$647), "", 'Data Entry'!$w$647)</f>
      </c>
      <c r="BD647">
        <f>IF(ISBLANK('Data Entry'!$x$647), "", 'Data Entry'!$x$647)</f>
      </c>
      <c r="BE647">
        <f>IF(ISBLANK('Data Entry'!$y$647), "", 'Data Entry'!$y$647)</f>
      </c>
      <c r="BF647">
        <f>IF(ISBLANK('Data Entry'!$z$647), "", 'Data Entry'!$z$647)</f>
      </c>
      <c r="BG647">
        <f>IF(ISBLANK('Data Entry'!${$647), "", 'Data Entry'!${$647)</f>
      </c>
      <c r="BH647">
        <f>IF(ISBLANK('Data Entry'!$|$647), "", 'Data Entry'!$|$647)</f>
      </c>
      <c r="BI647">
        <f>IF(ISBLANK('Data Entry'!$}$647), "", 'Data Entry'!$}$647)</f>
      </c>
      <c r="BJ647">
        <f>IF(ISBLANK('Data Entry'!$~$647), "", 'Data Entry'!$~$647)</f>
      </c>
      <c r="BK647">
        <f>IF(ISBLANK('Data Entry'!$$647), "", 'Data Entry'!$$647)</f>
      </c>
      <c r="BL647">
        <f>IF(ISBLANK('Data Entry'!$$647), "", 'Data Entry'!$$647)</f>
      </c>
      <c r="BM647">
        <f>IF(ISBLANK('Data Entry'!$$647), "", 'Data Entry'!$$647)</f>
      </c>
      <c r="BN647">
        <f>IF(ISBLANK('Data Entry'!$$647), "", 'Data Entry'!$$647)</f>
      </c>
      <c r="BO647">
        <f>IF(ISBLANK('Data Entry'!$$647), "", 'Data Entry'!$$647)</f>
      </c>
      <c r="BP647">
        <f>IF(ISBLANK('Data Entry'!$$647), "", 'Data Entry'!$$647)</f>
      </c>
      <c r="BQ647">
        <f>IF(ISBLANK('Data Entry'!$$647), "", 'Data Entry'!$$647)</f>
      </c>
      <c r="BR647">
        <f>IF(ISBLANK('Data Entry'!$$647), "", 'Data Entry'!$$647)</f>
      </c>
      <c r="BS647">
        <f>IF(ISBLANK('Data Entry'!$$647), "", 'Data Entry'!$$647)</f>
      </c>
      <c r="BT647">
        <f>IF(ISBLANK('Data Entry'!$$647), "", 'Data Entry'!$$647)</f>
      </c>
      <c r="BU647">
        <f>IF(ISBLANK('Data Entry'!$$647), "", 'Data Entry'!$$647)</f>
      </c>
      <c r="BV647">
        <f>IF(ISBLANK('Data Entry'!$$647), "", 'Data Entry'!$$647)</f>
      </c>
      <c r="BW647">
        <f>IF(ISBLANK('Data Entry'!$$647), "", 'Data Entry'!$$647)</f>
      </c>
      <c r="BX647">
        <f>IF(ISBLANK('Data Entry'!$$647), "", 'Data Entry'!$$647)</f>
      </c>
      <c r="BY647">
        <f>IF(ISBLANK('Data Entry'!$$647), "", 'Data Entry'!$$647)</f>
      </c>
      <c r="BZ647">
        <f>IF(ISBLANK('Data Entry'!$$647), "", 'Data Entry'!$$647)</f>
      </c>
      <c r="CA647">
        <f>IF(ISBLANK('Data Entry'!$$647), "", 'Data Entry'!$$647)</f>
      </c>
      <c r="CB647">
        <f>IF(ISBLANK('Data Entry'!$$647), "", 'Data Entry'!$$647)</f>
      </c>
      <c r="CC647">
        <f>IF(ISBLANK('Data Entry'!$$647), "", 'Data Entry'!$$647)</f>
      </c>
      <c r="CD647">
        <f>IF(ISBLANK('Data Entry'!$$647), "", 'Data Entry'!$$647)</f>
      </c>
      <c r="CE647">
        <f>IF(ISBLANK('Data Entry'!$$647), "", 'Data Entry'!$$647)</f>
      </c>
      <c r="CF647">
        <f>IF(ISBLANK('Data Entry'!$$647), "", 'Data Entry'!$$647)</f>
      </c>
      <c r="CG647">
        <f>IF(ISBLANK('Data Entry'!$$647), "", 'Data Entry'!$$647)</f>
      </c>
      <c r="CH647">
        <f>IF(ISBLANK('Data Entry'!$$647), "", 'Data Entry'!$$647)</f>
      </c>
      <c r="CI647">
        <f>IF(ISBLANK('Data Entry'!$$647), "", 'Data Entry'!$$647)</f>
      </c>
      <c r="CJ647">
        <f>IF(ISBLANK('Data Entry'!$$647), "", 'Data Entry'!$$647)</f>
      </c>
      <c r="CK647">
        <f>IF(ISBLANK('Data Entry'!$$647), "", 'Data Entry'!$$647)</f>
      </c>
      <c r="CL647">
        <f>IF(ISBLANK('Data Entry'!$$647), "", 'Data Entry'!$$647)</f>
      </c>
      <c r="CM647">
        <f>IF(ISBLANK('Data Entry'!$$647), "", 'Data Entry'!$$647)</f>
      </c>
      <c r="CN647">
        <f>IF(ISBLANK('Data Entry'!$$647), "", 'Data Entry'!$$647)</f>
      </c>
      <c r="CO647">
        <f>IF(ISBLANK('Data Entry'!$$647), "", 'Data Entry'!$$647)</f>
      </c>
      <c r="CP647">
        <f>IF(ISBLANK('Data Entry'!$$647), "", 'Data Entry'!$$647)</f>
      </c>
      <c r="CQ647">
        <f>IF(ISBLANK('Data Entry'!$$647), "", 'Data Entry'!$$647)</f>
      </c>
      <c r="CR647">
        <f>IF(ISBLANK('Data Entry'!$ $647), "", 'Data Entry'!$ $647)</f>
      </c>
      <c r="CS647">
        <f>IF(ISBLANK('Data Entry'!$¡$647), "", 'Data Entry'!$¡$647)</f>
      </c>
      <c r="CT647">
        <f>IF(ISBLANK('Data Entry'!$¢$647), "", 'Data Entry'!$¢$647)</f>
      </c>
      <c r="CU647">
        <f>IF(ISBLANK('Data Entry'!$£$647), "", 'Data Entry'!$£$647)</f>
      </c>
      <c r="CV647">
        <f>IF(ISBLANK('Data Entry'!$¤$647), "", 'Data Entry'!$¤$647)</f>
      </c>
      <c r="CW647">
        <f>IF(ISBLANK('Data Entry'!$¥$647), "", 'Data Entry'!$¥$647)</f>
      </c>
      <c r="CX647">
        <f>IF(ISBLANK('Data Entry'!$¦$647), "", 'Data Entry'!$¦$647)</f>
      </c>
      <c r="CY647">
        <f>IF(ISBLANK('Data Entry'!$§$647), "", 'Data Entry'!$§$647)</f>
      </c>
      <c r="CZ647">
        <f>IF(ISBLANK('Data Entry'!$¨$647), "", 'Data Entry'!$¨$647)</f>
      </c>
      <c r="DA647">
        <f>IF(ISBLANK('Data Entry'!$©$647), "", 'Data Entry'!$©$647)</f>
      </c>
      <c r="DB647">
        <f>IF(ISBLANK('Data Entry'!$ª$647), "", 'Data Entry'!$ª$647)</f>
      </c>
      <c r="DC647">
        <f>IF(ISBLANK('Data Entry'!$«$647), "", 'Data Entry'!$«$647)</f>
      </c>
      <c r="DD647">
        <f>IF(ISBLANK('Data Entry'!$¬$647), "", 'Data Entry'!$¬$647)</f>
      </c>
      <c r="DE647">
        <f>IF(ISBLANK('Data Entry'!$­$647), "", 'Data Entry'!$­$647)</f>
      </c>
      <c r="DF647">
        <f>IF(ISBLANK('Data Entry'!$®$647), "", 'Data Entry'!$®$647)</f>
      </c>
      <c r="DG647">
        <f>IF(ISBLANK('Data Entry'!$¯$647), "", 'Data Entry'!$¯$647)</f>
      </c>
      <c r="DH647">
        <f>IF(ISBLANK('Data Entry'!$°$647), "", 'Data Entry'!$°$647)</f>
      </c>
      <c r="DI647">
        <f>IF(ISBLANK('Data Entry'!$±$647), "", 'Data Entry'!$±$647)</f>
      </c>
      <c r="DJ647">
        <f>IF(ISBLANK('Data Entry'!$²$647), "", 'Data Entry'!$²$647)</f>
      </c>
      <c r="DK647">
        <f>IF(ISBLANK('Data Entry'!$³$647), "", 'Data Entry'!$³$647)</f>
      </c>
      <c r="DL647">
        <f>IF(ISBLANK('Data Entry'!$´$647), "", 'Data Entry'!$´$647)</f>
      </c>
      <c r="DM647">
        <f>IF(ISBLANK('Data Entry'!$µ$647), "", 'Data Entry'!$µ$647)</f>
      </c>
      <c r="DN647">
        <f>IF(ISBLANK('Data Entry'!$¶$647), "", 'Data Entry'!$¶$647)</f>
      </c>
      <c r="DO647">
        <f>IF(ISBLANK('Data Entry'!$·$647), "", 'Data Entry'!$·$647)</f>
      </c>
      <c r="DP647">
        <f>IF(ISBLANK('Data Entry'!$¸$647), "", 'Data Entry'!$¸$647)</f>
      </c>
      <c r="DQ647">
        <f>IF(ISBLANK('Data Entry'!$¹$647), "", 'Data Entry'!$¹$647)</f>
      </c>
      <c r="DR647">
        <f>IF(ISBLANK('Data Entry'!$º$647), "", 'Data Entry'!$º$647)</f>
      </c>
      <c r="DS647">
        <f>IF(ISBLANK('Data Entry'!$»$647), "", 'Data Entry'!$»$647)</f>
      </c>
      <c r="DT647">
        <f>IF(ISBLANK('Data Entry'!$¼$647), "", 'Data Entry'!$¼$647)</f>
      </c>
      <c r="DU647">
        <f>IF(ISBLANK('Data Entry'!$½$647), "", 'Data Entry'!$½$647)</f>
      </c>
      <c r="DV647">
        <f>IF(ISBLANK('Data Entry'!$¾$647), "", 'Data Entry'!$¾$647)</f>
      </c>
      <c r="DW647">
        <f>IF(ISBLANK('Data Entry'!$¿$647), "", 'Data Entry'!$¿$647)</f>
      </c>
      <c r="DX647">
        <f>IF(ISBLANK('Data Entry'!$À$647), "", 'Data Entry'!$À$647)</f>
      </c>
      <c r="DY647">
        <f>IF(ISBLANK('Data Entry'!$Á$647), "", 'Data Entry'!$Á$647)</f>
      </c>
      <c r="DZ647">
        <f>IF(ISBLANK('Data Entry'!$Â$647), "", 'Data Entry'!$Â$647)</f>
      </c>
      <c r="EA647">
        <f>IF(ISBLANK('Data Entry'!$Ã$647), "", 'Data Entry'!$Ã$647)</f>
      </c>
      <c r="EB647">
        <f>IF(ISBLANK('Data Entry'!$Ä$647), "", 'Data Entry'!$Ä$647)</f>
      </c>
      <c r="EC647">
        <f>IF(ISBLANK('Data Entry'!$Å$647), "", 'Data Entry'!$Å$647)</f>
      </c>
      <c r="ED647">
        <f>IF(ISBLANK('Data Entry'!$Æ$647), "", 'Data Entry'!$Æ$647)</f>
      </c>
      <c r="EE647">
        <f>IF(ISBLANK('Data Entry'!$Ç$647), "", 'Data Entry'!$Ç$647)</f>
      </c>
      <c r="EF647">
        <f>IF(ISBLANK('Data Entry'!$È$647), "", 'Data Entry'!$È$647)</f>
      </c>
      <c r="EG647">
        <f>IF(ISBLANK('Data Entry'!$É$647), "", 'Data Entry'!$É$647)</f>
      </c>
      <c r="EH647">
        <f>IF(ISBLANK('Data Entry'!$Ê$647), "", 'Data Entry'!$Ê$647)</f>
      </c>
      <c r="EI647">
        <f>IF(ISBLANK('Data Entry'!$Ë$647), "", 'Data Entry'!$Ë$647)</f>
      </c>
      <c r="EJ647">
        <f>IF(ISBLANK('Data Entry'!$Ì$647), "", 'Data Entry'!$Ì$647)</f>
      </c>
      <c r="EK647">
        <f>IF(ISBLANK('Data Entry'!$Í$647), "", 'Data Entry'!$Í$647)</f>
      </c>
      <c r="EL647">
        <f>IF(ISBLANK('Data Entry'!$Î$647), "", 'Data Entry'!$Î$647)</f>
      </c>
      <c r="EM647">
        <f>IF(ISBLANK('Data Entry'!$Ï$647), "", 'Data Entry'!$Ï$647)</f>
      </c>
      <c r="EN647">
        <f>IF(ISBLANK('Data Entry'!$Ð$647), "", 'Data Entry'!$Ð$647)</f>
      </c>
      <c r="EO647">
        <f>IF(ISBLANK('Data Entry'!$Ñ$647), "", 'Data Entry'!$Ñ$647)</f>
      </c>
      <c r="EP647">
        <f>IF(ISBLANK('Data Entry'!$Ò$647), "", 'Data Entry'!$Ò$647)</f>
      </c>
      <c r="EQ647">
        <f>IF(ISBLANK('Data Entry'!$Ó$647), "", 'Data Entry'!$Ó$647)</f>
      </c>
      <c r="ER647">
        <f>IF(ISBLANK('Data Entry'!$Ô$647), "", 'Data Entry'!$Ô$647)</f>
      </c>
      <c r="ES647">
        <f>IF(ISBLANK('Data Entry'!$Õ$647), "", 'Data Entry'!$Õ$647)</f>
      </c>
      <c r="ET647">
        <f>IF(ISBLANK('Data Entry'!$Ö$647), "", 'Data Entry'!$Ö$647)</f>
      </c>
      <c r="EU647">
        <f>IF(ISBLANK('Data Entry'!$×$647), "", 'Data Entry'!$×$647)</f>
      </c>
      <c r="EV647">
        <f>IF(ISBLANK('Data Entry'!$Ø$647), "", 'Data Entry'!$Ø$647)</f>
      </c>
      <c r="EW647">
        <f>IF(ISBLANK('Data Entry'!$Ù$647), "", 'Data Entry'!$Ù$647)</f>
      </c>
      <c r="EX647">
        <f>IF(ISBLANK('Data Entry'!$Ú$647), "", 'Data Entry'!$Ú$647)</f>
      </c>
      <c r="EY647">
        <f>IF(ISBLANK('Data Entry'!$Û$647), "", 'Data Entry'!$Û$647)</f>
      </c>
      <c r="EZ647">
        <f>IF(ISBLANK('Data Entry'!$Ü$647), "", 'Data Entry'!$Ü$647)</f>
      </c>
      <c r="FA647">
        <f>IF(ISBLANK('Data Entry'!$Ý$647), "", 'Data Entry'!$Ý$647)</f>
      </c>
      <c r="FB647">
        <f>IF(ISBLANK('Data Entry'!$Þ$647), "", 'Data Entry'!$Þ$647)</f>
      </c>
      <c r="FC647">
        <f>IF(ISBLANK('Data Entry'!$ß$647), "", 'Data Entry'!$ß$647)</f>
      </c>
      <c r="FD647">
        <f>IF(ISBLANK('Data Entry'!$à$647), "", 'Data Entry'!$à$647)</f>
      </c>
      <c r="FE647">
        <f>IF(ISBLANK('Data Entry'!$á$647), "", 'Data Entry'!$á$647)</f>
      </c>
      <c r="FF647">
        <f>IF(ISBLANK('Data Entry'!$â$647), "", 'Data Entry'!$â$647)</f>
      </c>
      <c r="FG647">
        <f>IF(ISBLANK('Data Entry'!$ã$647), "", 'Data Entry'!$ã$647)</f>
      </c>
      <c r="FH647">
        <f>IF(ISBLANK('Data Entry'!$ä$647), "", 'Data Entry'!$ä$647)</f>
      </c>
      <c r="FI647">
        <f>IF(ISBLANK('Data Entry'!$å$647), "", 'Data Entry'!$å$647)</f>
      </c>
      <c r="FJ647">
        <f>IF(ISBLANK('Data Entry'!$æ$647), "", 'Data Entry'!$æ$647)</f>
      </c>
      <c r="FK647">
        <f>IF(ISBLANK('Data Entry'!$ç$647), "", 'Data Entry'!$ç$647)</f>
      </c>
      <c r="FL647">
        <f>IF(ISBLANK('Data Entry'!$è$647), "", 'Data Entry'!$è$647)</f>
      </c>
      <c r="FM647">
        <f>IF(ISBLANK('Data Entry'!$é$647), "", 'Data Entry'!$é$647)</f>
      </c>
      <c r="FN647">
        <f>IF(ISBLANK('Data Entry'!$ê$647), "", 'Data Entry'!$ê$647)</f>
      </c>
      <c r="FO647">
        <f>IF(ISBLANK('Data Entry'!$ë$647), "", 'Data Entry'!$ë$647)</f>
      </c>
      <c r="FP647">
        <f>IF(ISBLANK('Data Entry'!$ì$647), "", 'Data Entry'!$ì$647)</f>
      </c>
      <c r="FQ647">
        <f>IF(ISBLANK('Data Entry'!$í$647), "", 'Data Entry'!$í$647)</f>
      </c>
      <c r="FR647">
        <f>IF(ISBLANK('Data Entry'!$î$647), "", 'Data Entry'!$î$647)</f>
      </c>
      <c r="FS647">
        <f>IF(ISBLANK('Data Entry'!$ï$647), "", 'Data Entry'!$ï$647)</f>
      </c>
      <c r="FT647">
        <f>IF(ISBLANK('Data Entry'!$ð$647), "", 'Data Entry'!$ð$647)</f>
      </c>
      <c r="FU647">
        <f>IF(ISBLANK('Data Entry'!$ñ$647), "", 'Data Entry'!$ñ$647)</f>
      </c>
      <c r="FV647">
        <f>IF(ISBLANK('Data Entry'!$ò$647), "", 'Data Entry'!$ò$647)</f>
      </c>
      <c r="FW647">
        <f>IF(ISBLANK('Data Entry'!$ó$647), "", 'Data Entry'!$ó$647)</f>
      </c>
      <c r="FX647">
        <f>IF(ISBLANK('Data Entry'!$ô$647), "", 'Data Entry'!$ô$647)</f>
      </c>
      <c r="FY647">
        <f>IF(ISBLANK('Data Entry'!$õ$647), "", 'Data Entry'!$õ$647)</f>
      </c>
      <c r="FZ647">
        <f>IF(ISBLANK('Data Entry'!$ö$647), "", 'Data Entry'!$ö$647)</f>
      </c>
      <c r="GA647">
        <f>IF(ISBLANK('Data Entry'!$÷$647), "", 'Data Entry'!$÷$647)</f>
      </c>
      <c r="GB647">
        <f>IF(ISBLANK('Data Entry'!$ø$647), "", 'Data Entry'!$ø$647)</f>
      </c>
      <c r="GC647">
        <f>IF(ISBLANK('Data Entry'!$ù$647), "", 'Data Entry'!$ù$647)</f>
      </c>
      <c r="GD647">
        <f>IF(ISBLANK('Data Entry'!$ú$647), "", 'Data Entry'!$ú$647)</f>
      </c>
      <c r="GE647">
        <f>IF(ISBLANK('Data Entry'!$û$647), "", 'Data Entry'!$û$647)</f>
      </c>
      <c r="GF647">
        <f>IF(ISBLANK('Data Entry'!$ü$647), "", 'Data Entry'!$ü$647)</f>
      </c>
      <c r="GG647">
        <f>IF(ISBLANK('Data Entry'!$ý$647), "", 'Data Entry'!$ý$647)</f>
      </c>
      <c r="GH647">
        <f>IF(ISBLANK('Data Entry'!$þ$647), "", 'Data Entry'!$þ$647)</f>
      </c>
      <c r="GI647">
        <f>IF(ISBLANK('Data Entry'!$ÿ$647), "", 'Data Entry'!$ÿ$647)</f>
      </c>
      <c r="GJ647">
        <f>IF(ISBLANK('Data Entry'!$Ā$647), "", 'Data Entry'!$Ā$647)</f>
      </c>
      <c r="GK647">
        <f>IF(ISBLANK('Data Entry'!$ā$647), "", 'Data Entry'!$ā$647)</f>
      </c>
      <c r="GL647">
        <f>IF(ISBLANK('Data Entry'!$Ă$647), "", 'Data Entry'!$Ă$647)</f>
      </c>
      <c r="GM647">
        <f>IF(ISBLANK('Data Entry'!$ă$647), "", 'Data Entry'!$ă$647)</f>
      </c>
      <c r="GN647">
        <f>IF(ISBLANK('Data Entry'!$Ą$647), "", 'Data Entry'!$Ą$647)</f>
      </c>
      <c r="GO647">
        <f>IF(ISBLANK('Data Entry'!$ą$647), "", 'Data Entry'!$ą$647)</f>
      </c>
      <c r="GP647">
        <f>IF(ISBLANK('Data Entry'!$Ć$647), "", 'Data Entry'!$Ć$647)</f>
      </c>
      <c r="GQ647">
        <f>IF(ISBLANK('Data Entry'!$ć$647), "", 'Data Entry'!$ć$647)</f>
      </c>
      <c r="GR647">
        <f>IF(ISBLANK('Data Entry'!$Ĉ$647), "", 'Data Entry'!$Ĉ$647)</f>
      </c>
      <c r="GS647">
        <f>IF(ISBLANK('Data Entry'!$ĉ$647), "", 'Data Entry'!$ĉ$647)</f>
      </c>
      <c r="GT647">
        <f>IF(ISBLANK('Data Entry'!$Ċ$647), "", 'Data Entry'!$Ċ$647)</f>
      </c>
      <c r="GU647">
        <f>IF(ISBLANK('Data Entry'!$ċ$647), "", 'Data Entry'!$ċ$647)</f>
      </c>
      <c r="GV647">
        <f>IF(ISBLANK('Data Entry'!$Č$647), "", 'Data Entry'!$Č$647)</f>
      </c>
      <c r="GW647">
        <f>IF(ISBLANK('Data Entry'!$č$647), "", 'Data Entry'!$č$647)</f>
      </c>
      <c r="GX647">
        <f>IF(ISBLANK('Data Entry'!$Ď$647), "", 'Data Entry'!$Ď$647)</f>
      </c>
      <c r="GY647">
        <f>IF(ISBLANK('Data Entry'!$ď$647), "", 'Data Entry'!$ď$647)</f>
      </c>
      <c r="GZ647">
        <f>IF(ISBLANK('Data Entry'!$Đ$647), "", 'Data Entry'!$Đ$647)</f>
      </c>
      <c r="HA647">
        <f>IF(ISBLANK('Data Entry'!$đ$647), "", 'Data Entry'!$đ$647)</f>
      </c>
      <c r="HB647">
        <f>IF(ISBLANK('Data Entry'!$Ē$647), "", 'Data Entry'!$Ē$647)</f>
      </c>
      <c r="HC647">
        <f>IF(ISBLANK('Data Entry'!$ē$647), "", 'Data Entry'!$ē$647)</f>
      </c>
      <c r="HD647">
        <f>IF(ISBLANK('Data Entry'!$Ĕ$647), "", 'Data Entry'!$Ĕ$647)</f>
      </c>
      <c r="HE647">
        <f>IF(ISBLANK('Data Entry'!$ĕ$647), "", 'Data Entry'!$ĕ$647)</f>
      </c>
      <c r="HF647">
        <f>IF(ISBLANK('Data Entry'!$Ė$647), "", 'Data Entry'!$Ė$647)</f>
      </c>
      <c r="HG647">
        <f>IF(ISBLANK('Data Entry'!$ė$647), "", 'Data Entry'!$ė$647)</f>
      </c>
      <c r="HH647">
        <f>IF(ISBLANK('Data Entry'!$Ę$647), "", 'Data Entry'!$Ę$647)</f>
      </c>
      <c r="HI647">
        <f>IF(ISBLANK('Data Entry'!$ę$647), "", 'Data Entry'!$ę$647)</f>
      </c>
      <c r="HJ647">
        <f>IF(ISBLANK('Data Entry'!$Ě$647), "", 'Data Entry'!$Ě$647)</f>
      </c>
      <c r="HK647">
        <f>IF(ISBLANK('Data Entry'!$ě$647), "", 'Data Entry'!$ě$647)</f>
      </c>
      <c r="HL647">
        <f>IF(ISBLANK('Data Entry'!$Ĝ$647), "", 'Data Entry'!$Ĝ$647)</f>
      </c>
      <c r="HM647">
        <f>IF(ISBLANK('Data Entry'!$ĝ$647), "", 'Data Entry'!$ĝ$647)</f>
      </c>
      <c r="HN647">
        <f>IF(ISBLANK('Data Entry'!$Ğ$647), "", 'Data Entry'!$Ğ$647)</f>
      </c>
      <c r="HO647">
        <f>IF(ISBLANK('Data Entry'!$ğ$647), "", 'Data Entry'!$ğ$647)</f>
      </c>
      <c r="HP647">
        <f>IF(ISBLANK('Data Entry'!$Ġ$647), "", 'Data Entry'!$Ġ$647)</f>
      </c>
      <c r="HQ647">
        <f>IF(ISBLANK('Data Entry'!$ġ$647), "", 'Data Entry'!$ġ$647)</f>
      </c>
      <c r="HR647">
        <f>IF(ISBLANK('Data Entry'!$Ģ$647), "", 'Data Entry'!$Ģ$647)</f>
      </c>
      <c r="HS647">
        <f>IF(ISBLANK('Data Entry'!$ģ$647), "", 'Data Entry'!$ģ$647)</f>
      </c>
      <c r="HT647">
        <f>IF(ISBLANK('Data Entry'!$Ĥ$647), "", 'Data Entry'!$Ĥ$647)</f>
      </c>
      <c r="HU647">
        <f>IF(ISBLANK('Data Entry'!$ĥ$647), "", 'Data Entry'!$ĥ$647)</f>
      </c>
      <c r="HV647">
        <f>IF(ISBLANK('Data Entry'!$Ħ$647), "", 'Data Entry'!$Ħ$647)</f>
      </c>
      <c r="HW647">
        <f>IF(ISBLANK('Data Entry'!$ħ$647), "", 'Data Entry'!$ħ$647)</f>
      </c>
      <c r="HX647">
        <f>IF(ISBLANK('Data Entry'!$Ĩ$647), "", 'Data Entry'!$Ĩ$647)</f>
      </c>
      <c r="HY647">
        <f>IF(ISBLANK('Data Entry'!$ĩ$647), "", 'Data Entry'!$ĩ$647)</f>
      </c>
      <c r="HZ647">
        <f>IF(ISBLANK('Data Entry'!$Ī$647), "", 'Data Entry'!$Ī$647)</f>
      </c>
      <c r="IA647">
        <f>IF(ISBLANK('Data Entry'!$ī$647), "", 'Data Entry'!$ī$647)</f>
      </c>
      <c r="IB647">
        <f>IF(ISBLANK('Data Entry'!$Ĭ$647), "", 'Data Entry'!$Ĭ$647)</f>
      </c>
      <c r="IC647">
        <f>IF(ISBLANK('Data Entry'!$ĭ$647), "", 'Data Entry'!$ĭ$647)</f>
      </c>
      <c r="ID647">
        <f>IF(ISBLANK('Data Entry'!$Į$647), "", 'Data Entry'!$Į$647)</f>
      </c>
      <c r="IE647">
        <f>IF(ISBLANK('Data Entry'!$į$647), "", 'Data Entry'!$į$647)</f>
      </c>
      <c r="IF647">
        <f>IF(ISBLANK('Data Entry'!$İ$647), "", 'Data Entry'!$İ$647)</f>
      </c>
      <c r="IG647">
        <f>IF(ISBLANK('Data Entry'!$ı$647), "", 'Data Entry'!$ı$647)</f>
      </c>
      <c r="IH647">
        <f>IF(ISBLANK('Data Entry'!$Ĳ$647), "", 'Data Entry'!$Ĳ$647)</f>
      </c>
      <c r="II647">
        <f>IF(ISBLANK('Data Entry'!$ĳ$647), "", 'Data Entry'!$ĳ$647)</f>
      </c>
      <c r="IJ647">
        <f>IF(ISBLANK('Data Entry'!$Ĵ$647), "", 'Data Entry'!$Ĵ$647)</f>
      </c>
      <c r="IK647">
        <f>IF(ISBLANK('Data Entry'!$ĵ$647), "", 'Data Entry'!$ĵ$647)</f>
      </c>
      <c r="IL647">
        <f>IF(ISBLANK('Data Entry'!$Ķ$647), "", 'Data Entry'!$Ķ$647)</f>
      </c>
      <c r="IM647">
        <f>IF(ISBLANK('Data Entry'!$ķ$647), "", 'Data Entry'!$ķ$647)</f>
      </c>
      <c r="IN647">
        <f>IF(ISBLANK('Data Entry'!$ĸ$647), "", 'Data Entry'!$ĸ$647)</f>
      </c>
      <c r="IO647">
        <f>IF(ISBLANK('Data Entry'!$Ĺ$647), "", 'Data Entry'!$Ĺ$647)</f>
      </c>
      <c r="IP647">
        <f>IF(ISBLANK('Data Entry'!$ĺ$647), "", 'Data Entry'!$ĺ$647)</f>
      </c>
      <c r="IQ647">
        <f>IF(ISBLANK('Data Entry'!$Ļ$647), "", 'Data Entry'!$Ļ$647)</f>
      </c>
      <c r="IR647">
        <f>IF(ISBLANK('Data Entry'!$ļ$647), "", 'Data Entry'!$ļ$647)</f>
      </c>
      <c r="IS647">
        <f>IF(ISBLANK('Data Entry'!$Ľ$647), "", 'Data Entry'!$Ľ$647)</f>
      </c>
      <c r="IT647">
        <f>IF(ISBLANK('Data Entry'!$ľ$647), "", 'Data Entry'!$ľ$647)</f>
      </c>
    </row>
    <row r="648" spans="1:254" x14ac:dyDescent="0.25">
      <c r="A648">
        <f>IF(ISBLANK('Data Entry'!$A$648), "", 'Data Entry'!$A$648)</f>
      </c>
      <c r="B648">
        <f>IF(ISBLANK('Data Entry'!$B$648), "", 'Data Entry'!$B$648)</f>
      </c>
      <c r="C648">
        <f>IF(ISBLANK('Data Entry'!$C$648), "", 'Data Entry'!$C$648)</f>
      </c>
      <c r="D648">
        <f>IF(ISBLANK('Data Entry'!$D$648), "", 'Data Entry'!$D$648)</f>
      </c>
      <c r="E648">
        <f>IF(ISBLANK('Data Entry'!$E$648), "", 'Data Entry'!$E$648)</f>
      </c>
      <c r="F648">
        <f>IF(ISBLANK('Data Entry'!$F$648), "", 'Data Entry'!$F$648)</f>
      </c>
      <c r="G648">
        <f>IF(ISBLANK('Data Entry'!$G$648), "", 'Data Entry'!$G$648)</f>
      </c>
      <c r="H648">
        <f>IF(ISBLANK('Data Entry'!$H$648), "", 'Data Entry'!$H$648)</f>
      </c>
      <c r="I648">
        <f>IF(ISBLANK('Data Entry'!$I$648), "", 'Data Entry'!$I$648)</f>
      </c>
      <c r="J648">
        <f>IF(ISBLANK('Data Entry'!$J$648), "", 'Data Entry'!$J$648)</f>
      </c>
      <c r="K648">
        <f>IF(ISBLANK('Data Entry'!$K$648), "", 'Data Entry'!$K$648)</f>
      </c>
      <c r="L648">
        <f>IF(ISBLANK('Data Entry'!$L$648), "", 'Data Entry'!$L$648)</f>
      </c>
      <c r="M648">
        <f>IF(ISBLANK('Data Entry'!$M$648), "", 'Data Entry'!$M$648)</f>
      </c>
      <c r="N648">
        <f>IF(ISBLANK('Data Entry'!$N$648), "", 'Data Entry'!$N$648)</f>
      </c>
      <c r="O648">
        <f>IF(ISBLANK('Data Entry'!$O$648), "", 'Data Entry'!$O$648)</f>
      </c>
      <c r="P648">
        <f>IF(ISBLANK('Data Entry'!$P$648), "", 'Data Entry'!$P$648)</f>
      </c>
      <c r="Q648">
        <f>IF(ISBLANK('Data Entry'!$Q$648), "", 'Data Entry'!$Q$648)</f>
      </c>
      <c r="R648">
        <f>IF(ISBLANK('Data Entry'!$R$648), "", 'Data Entry'!$R$648)</f>
      </c>
      <c r="S648">
        <f>IF(ISBLANK('Data Entry'!$S$648), "", 'Data Entry'!$S$648)</f>
      </c>
      <c r="T648">
        <f>IF(ISBLANK('Data Entry'!$T$648), "", 'Data Entry'!$T$648)</f>
      </c>
      <c r="U648">
        <f>IF(ISBLANK('Data Entry'!$U$648), "", 'Data Entry'!$U$648)</f>
      </c>
      <c r="V648">
        <f>IF(ISBLANK('Data Entry'!$V$648), "", 'Data Entry'!$V$648)</f>
      </c>
      <c r="W648">
        <f>IF(ISBLANK('Data Entry'!$W$648), "", 'Data Entry'!$W$648)</f>
      </c>
      <c r="X648">
        <f>IF(ISBLANK('Data Entry'!$X$648), "", 'Data Entry'!$X$648)</f>
      </c>
      <c r="Y648">
        <f>IF(ISBLANK('Data Entry'!$Y$648), "", 'Data Entry'!$Y$648)</f>
      </c>
      <c r="Z648">
        <f>IF(ISBLANK('Data Entry'!$Z$648), "", 'Data Entry'!$Z$648)</f>
      </c>
      <c r="AA648">
        <f>IF(ISBLANK('Data Entry'!$[$648), "", 'Data Entry'!$[$648)</f>
      </c>
      <c r="AB648">
        <f>IF(ISBLANK('Data Entry'!$\$648), "", 'Data Entry'!$\$648)</f>
      </c>
      <c r="AC648">
        <f>IF(ISBLANK('Data Entry'!$]$648), "", 'Data Entry'!$]$648)</f>
      </c>
      <c r="AD648">
        <f>IF(ISBLANK('Data Entry'!$^$648), "", 'Data Entry'!$^$648)</f>
      </c>
      <c r="AE648">
        <f>IF(ISBLANK('Data Entry'!$_$648), "", 'Data Entry'!$_$648)</f>
      </c>
      <c r="AF648">
        <f>IF(ISBLANK('Data Entry'!$`$648), "", 'Data Entry'!$`$648)</f>
      </c>
      <c r="AG648">
        <f>IF(ISBLANK('Data Entry'!$a$648), "", 'Data Entry'!$a$648)</f>
      </c>
      <c r="AH648">
        <f>IF(ISBLANK('Data Entry'!$b$648), "", 'Data Entry'!$b$648)</f>
      </c>
      <c r="AI648">
        <f>IF(ISBLANK('Data Entry'!$c$648), "", 'Data Entry'!$c$648)</f>
      </c>
      <c r="AJ648">
        <f>IF(ISBLANK('Data Entry'!$d$648), "", 'Data Entry'!$d$648)</f>
      </c>
      <c r="AK648">
        <f>IF(ISBLANK('Data Entry'!$e$648), "", 'Data Entry'!$e$648)</f>
      </c>
      <c r="AL648">
        <f>IF(ISBLANK('Data Entry'!$f$648), "", 'Data Entry'!$f$648)</f>
      </c>
      <c r="AM648">
        <f>IF(ISBLANK('Data Entry'!$g$648), "", 'Data Entry'!$g$648)</f>
      </c>
      <c r="AN648">
        <f>IF(ISBLANK('Data Entry'!$h$648), "", 'Data Entry'!$h$648)</f>
      </c>
      <c r="AO648">
        <f>IF(ISBLANK('Data Entry'!$i$648), "", 'Data Entry'!$i$648)</f>
      </c>
      <c r="AP648">
        <f>IF(ISBLANK('Data Entry'!$j$648), "", 'Data Entry'!$j$648)</f>
      </c>
      <c r="AQ648">
        <f>IF(ISBLANK('Data Entry'!$k$648), "", 'Data Entry'!$k$648)</f>
      </c>
      <c r="AR648">
        <f>IF(ISBLANK('Data Entry'!$l$648), "", 'Data Entry'!$l$648)</f>
      </c>
      <c r="AS648">
        <f>IF(ISBLANK('Data Entry'!$m$648), "", 'Data Entry'!$m$648)</f>
      </c>
      <c r="AT648">
        <f>IF(ISBLANK('Data Entry'!$n$648), "", 'Data Entry'!$n$648)</f>
      </c>
      <c r="AU648">
        <f>IF(ISBLANK('Data Entry'!$o$648), "", 'Data Entry'!$o$648)</f>
      </c>
      <c r="AV648">
        <f>IF(ISBLANK('Data Entry'!$p$648), "", 'Data Entry'!$p$648)</f>
      </c>
      <c r="AW648">
        <f>IF(ISBLANK('Data Entry'!$q$648), "", 'Data Entry'!$q$648)</f>
      </c>
      <c r="AX648">
        <f>IF(ISBLANK('Data Entry'!$r$648), "", 'Data Entry'!$r$648)</f>
      </c>
      <c r="AY648">
        <f>IF(ISBLANK('Data Entry'!$s$648), "", 'Data Entry'!$s$648)</f>
      </c>
      <c r="AZ648">
        <f>IF(ISBLANK('Data Entry'!$t$648), "", 'Data Entry'!$t$648)</f>
      </c>
      <c r="BA648">
        <f>IF(ISBLANK('Data Entry'!$u$648), "", 'Data Entry'!$u$648)</f>
      </c>
      <c r="BB648">
        <f>IF(ISBLANK('Data Entry'!$v$648), "", 'Data Entry'!$v$648)</f>
      </c>
      <c r="BC648">
        <f>IF(ISBLANK('Data Entry'!$w$648), "", 'Data Entry'!$w$648)</f>
      </c>
      <c r="BD648">
        <f>IF(ISBLANK('Data Entry'!$x$648), "", 'Data Entry'!$x$648)</f>
      </c>
      <c r="BE648">
        <f>IF(ISBLANK('Data Entry'!$y$648), "", 'Data Entry'!$y$648)</f>
      </c>
      <c r="BF648">
        <f>IF(ISBLANK('Data Entry'!$z$648), "", 'Data Entry'!$z$648)</f>
      </c>
      <c r="BG648">
        <f>IF(ISBLANK('Data Entry'!${$648), "", 'Data Entry'!${$648)</f>
      </c>
      <c r="BH648">
        <f>IF(ISBLANK('Data Entry'!$|$648), "", 'Data Entry'!$|$648)</f>
      </c>
      <c r="BI648">
        <f>IF(ISBLANK('Data Entry'!$}$648), "", 'Data Entry'!$}$648)</f>
      </c>
      <c r="BJ648">
        <f>IF(ISBLANK('Data Entry'!$~$648), "", 'Data Entry'!$~$648)</f>
      </c>
      <c r="BK648">
        <f>IF(ISBLANK('Data Entry'!$$648), "", 'Data Entry'!$$648)</f>
      </c>
      <c r="BL648">
        <f>IF(ISBLANK('Data Entry'!$$648), "", 'Data Entry'!$$648)</f>
      </c>
      <c r="BM648">
        <f>IF(ISBLANK('Data Entry'!$$648), "", 'Data Entry'!$$648)</f>
      </c>
      <c r="BN648">
        <f>IF(ISBLANK('Data Entry'!$$648), "", 'Data Entry'!$$648)</f>
      </c>
      <c r="BO648">
        <f>IF(ISBLANK('Data Entry'!$$648), "", 'Data Entry'!$$648)</f>
      </c>
      <c r="BP648">
        <f>IF(ISBLANK('Data Entry'!$$648), "", 'Data Entry'!$$648)</f>
      </c>
      <c r="BQ648">
        <f>IF(ISBLANK('Data Entry'!$$648), "", 'Data Entry'!$$648)</f>
      </c>
      <c r="BR648">
        <f>IF(ISBLANK('Data Entry'!$$648), "", 'Data Entry'!$$648)</f>
      </c>
      <c r="BS648">
        <f>IF(ISBLANK('Data Entry'!$$648), "", 'Data Entry'!$$648)</f>
      </c>
      <c r="BT648">
        <f>IF(ISBLANK('Data Entry'!$$648), "", 'Data Entry'!$$648)</f>
      </c>
      <c r="BU648">
        <f>IF(ISBLANK('Data Entry'!$$648), "", 'Data Entry'!$$648)</f>
      </c>
      <c r="BV648">
        <f>IF(ISBLANK('Data Entry'!$$648), "", 'Data Entry'!$$648)</f>
      </c>
      <c r="BW648">
        <f>IF(ISBLANK('Data Entry'!$$648), "", 'Data Entry'!$$648)</f>
      </c>
      <c r="BX648">
        <f>IF(ISBLANK('Data Entry'!$$648), "", 'Data Entry'!$$648)</f>
      </c>
      <c r="BY648">
        <f>IF(ISBLANK('Data Entry'!$$648), "", 'Data Entry'!$$648)</f>
      </c>
      <c r="BZ648">
        <f>IF(ISBLANK('Data Entry'!$$648), "", 'Data Entry'!$$648)</f>
      </c>
      <c r="CA648">
        <f>IF(ISBLANK('Data Entry'!$$648), "", 'Data Entry'!$$648)</f>
      </c>
      <c r="CB648">
        <f>IF(ISBLANK('Data Entry'!$$648), "", 'Data Entry'!$$648)</f>
      </c>
      <c r="CC648">
        <f>IF(ISBLANK('Data Entry'!$$648), "", 'Data Entry'!$$648)</f>
      </c>
      <c r="CD648">
        <f>IF(ISBLANK('Data Entry'!$$648), "", 'Data Entry'!$$648)</f>
      </c>
      <c r="CE648">
        <f>IF(ISBLANK('Data Entry'!$$648), "", 'Data Entry'!$$648)</f>
      </c>
      <c r="CF648">
        <f>IF(ISBLANK('Data Entry'!$$648), "", 'Data Entry'!$$648)</f>
      </c>
      <c r="CG648">
        <f>IF(ISBLANK('Data Entry'!$$648), "", 'Data Entry'!$$648)</f>
      </c>
      <c r="CH648">
        <f>IF(ISBLANK('Data Entry'!$$648), "", 'Data Entry'!$$648)</f>
      </c>
      <c r="CI648">
        <f>IF(ISBLANK('Data Entry'!$$648), "", 'Data Entry'!$$648)</f>
      </c>
      <c r="CJ648">
        <f>IF(ISBLANK('Data Entry'!$$648), "", 'Data Entry'!$$648)</f>
      </c>
      <c r="CK648">
        <f>IF(ISBLANK('Data Entry'!$$648), "", 'Data Entry'!$$648)</f>
      </c>
      <c r="CL648">
        <f>IF(ISBLANK('Data Entry'!$$648), "", 'Data Entry'!$$648)</f>
      </c>
      <c r="CM648">
        <f>IF(ISBLANK('Data Entry'!$$648), "", 'Data Entry'!$$648)</f>
      </c>
      <c r="CN648">
        <f>IF(ISBLANK('Data Entry'!$$648), "", 'Data Entry'!$$648)</f>
      </c>
      <c r="CO648">
        <f>IF(ISBLANK('Data Entry'!$$648), "", 'Data Entry'!$$648)</f>
      </c>
      <c r="CP648">
        <f>IF(ISBLANK('Data Entry'!$$648), "", 'Data Entry'!$$648)</f>
      </c>
      <c r="CQ648">
        <f>IF(ISBLANK('Data Entry'!$$648), "", 'Data Entry'!$$648)</f>
      </c>
      <c r="CR648">
        <f>IF(ISBLANK('Data Entry'!$ $648), "", 'Data Entry'!$ $648)</f>
      </c>
      <c r="CS648">
        <f>IF(ISBLANK('Data Entry'!$¡$648), "", 'Data Entry'!$¡$648)</f>
      </c>
      <c r="CT648">
        <f>IF(ISBLANK('Data Entry'!$¢$648), "", 'Data Entry'!$¢$648)</f>
      </c>
      <c r="CU648">
        <f>IF(ISBLANK('Data Entry'!$£$648), "", 'Data Entry'!$£$648)</f>
      </c>
      <c r="CV648">
        <f>IF(ISBLANK('Data Entry'!$¤$648), "", 'Data Entry'!$¤$648)</f>
      </c>
      <c r="CW648">
        <f>IF(ISBLANK('Data Entry'!$¥$648), "", 'Data Entry'!$¥$648)</f>
      </c>
      <c r="CX648">
        <f>IF(ISBLANK('Data Entry'!$¦$648), "", 'Data Entry'!$¦$648)</f>
      </c>
      <c r="CY648">
        <f>IF(ISBLANK('Data Entry'!$§$648), "", 'Data Entry'!$§$648)</f>
      </c>
      <c r="CZ648">
        <f>IF(ISBLANK('Data Entry'!$¨$648), "", 'Data Entry'!$¨$648)</f>
      </c>
      <c r="DA648">
        <f>IF(ISBLANK('Data Entry'!$©$648), "", 'Data Entry'!$©$648)</f>
      </c>
      <c r="DB648">
        <f>IF(ISBLANK('Data Entry'!$ª$648), "", 'Data Entry'!$ª$648)</f>
      </c>
      <c r="DC648">
        <f>IF(ISBLANK('Data Entry'!$«$648), "", 'Data Entry'!$«$648)</f>
      </c>
      <c r="DD648">
        <f>IF(ISBLANK('Data Entry'!$¬$648), "", 'Data Entry'!$¬$648)</f>
      </c>
      <c r="DE648">
        <f>IF(ISBLANK('Data Entry'!$­$648), "", 'Data Entry'!$­$648)</f>
      </c>
      <c r="DF648">
        <f>IF(ISBLANK('Data Entry'!$®$648), "", 'Data Entry'!$®$648)</f>
      </c>
      <c r="DG648">
        <f>IF(ISBLANK('Data Entry'!$¯$648), "", 'Data Entry'!$¯$648)</f>
      </c>
      <c r="DH648">
        <f>IF(ISBLANK('Data Entry'!$°$648), "", 'Data Entry'!$°$648)</f>
      </c>
      <c r="DI648">
        <f>IF(ISBLANK('Data Entry'!$±$648), "", 'Data Entry'!$±$648)</f>
      </c>
      <c r="DJ648">
        <f>IF(ISBLANK('Data Entry'!$²$648), "", 'Data Entry'!$²$648)</f>
      </c>
      <c r="DK648">
        <f>IF(ISBLANK('Data Entry'!$³$648), "", 'Data Entry'!$³$648)</f>
      </c>
      <c r="DL648">
        <f>IF(ISBLANK('Data Entry'!$´$648), "", 'Data Entry'!$´$648)</f>
      </c>
      <c r="DM648">
        <f>IF(ISBLANK('Data Entry'!$µ$648), "", 'Data Entry'!$µ$648)</f>
      </c>
      <c r="DN648">
        <f>IF(ISBLANK('Data Entry'!$¶$648), "", 'Data Entry'!$¶$648)</f>
      </c>
      <c r="DO648">
        <f>IF(ISBLANK('Data Entry'!$·$648), "", 'Data Entry'!$·$648)</f>
      </c>
      <c r="DP648">
        <f>IF(ISBLANK('Data Entry'!$¸$648), "", 'Data Entry'!$¸$648)</f>
      </c>
      <c r="DQ648">
        <f>IF(ISBLANK('Data Entry'!$¹$648), "", 'Data Entry'!$¹$648)</f>
      </c>
      <c r="DR648">
        <f>IF(ISBLANK('Data Entry'!$º$648), "", 'Data Entry'!$º$648)</f>
      </c>
      <c r="DS648">
        <f>IF(ISBLANK('Data Entry'!$»$648), "", 'Data Entry'!$»$648)</f>
      </c>
      <c r="DT648">
        <f>IF(ISBLANK('Data Entry'!$¼$648), "", 'Data Entry'!$¼$648)</f>
      </c>
      <c r="DU648">
        <f>IF(ISBLANK('Data Entry'!$½$648), "", 'Data Entry'!$½$648)</f>
      </c>
      <c r="DV648">
        <f>IF(ISBLANK('Data Entry'!$¾$648), "", 'Data Entry'!$¾$648)</f>
      </c>
      <c r="DW648">
        <f>IF(ISBLANK('Data Entry'!$¿$648), "", 'Data Entry'!$¿$648)</f>
      </c>
      <c r="DX648">
        <f>IF(ISBLANK('Data Entry'!$À$648), "", 'Data Entry'!$À$648)</f>
      </c>
      <c r="DY648">
        <f>IF(ISBLANK('Data Entry'!$Á$648), "", 'Data Entry'!$Á$648)</f>
      </c>
      <c r="DZ648">
        <f>IF(ISBLANK('Data Entry'!$Â$648), "", 'Data Entry'!$Â$648)</f>
      </c>
      <c r="EA648">
        <f>IF(ISBLANK('Data Entry'!$Ã$648), "", 'Data Entry'!$Ã$648)</f>
      </c>
      <c r="EB648">
        <f>IF(ISBLANK('Data Entry'!$Ä$648), "", 'Data Entry'!$Ä$648)</f>
      </c>
      <c r="EC648">
        <f>IF(ISBLANK('Data Entry'!$Å$648), "", 'Data Entry'!$Å$648)</f>
      </c>
      <c r="ED648">
        <f>IF(ISBLANK('Data Entry'!$Æ$648), "", 'Data Entry'!$Æ$648)</f>
      </c>
      <c r="EE648">
        <f>IF(ISBLANK('Data Entry'!$Ç$648), "", 'Data Entry'!$Ç$648)</f>
      </c>
      <c r="EF648">
        <f>IF(ISBLANK('Data Entry'!$È$648), "", 'Data Entry'!$È$648)</f>
      </c>
      <c r="EG648">
        <f>IF(ISBLANK('Data Entry'!$É$648), "", 'Data Entry'!$É$648)</f>
      </c>
      <c r="EH648">
        <f>IF(ISBLANK('Data Entry'!$Ê$648), "", 'Data Entry'!$Ê$648)</f>
      </c>
      <c r="EI648">
        <f>IF(ISBLANK('Data Entry'!$Ë$648), "", 'Data Entry'!$Ë$648)</f>
      </c>
      <c r="EJ648">
        <f>IF(ISBLANK('Data Entry'!$Ì$648), "", 'Data Entry'!$Ì$648)</f>
      </c>
      <c r="EK648">
        <f>IF(ISBLANK('Data Entry'!$Í$648), "", 'Data Entry'!$Í$648)</f>
      </c>
      <c r="EL648">
        <f>IF(ISBLANK('Data Entry'!$Î$648), "", 'Data Entry'!$Î$648)</f>
      </c>
      <c r="EM648">
        <f>IF(ISBLANK('Data Entry'!$Ï$648), "", 'Data Entry'!$Ï$648)</f>
      </c>
      <c r="EN648">
        <f>IF(ISBLANK('Data Entry'!$Ð$648), "", 'Data Entry'!$Ð$648)</f>
      </c>
      <c r="EO648">
        <f>IF(ISBLANK('Data Entry'!$Ñ$648), "", 'Data Entry'!$Ñ$648)</f>
      </c>
      <c r="EP648">
        <f>IF(ISBLANK('Data Entry'!$Ò$648), "", 'Data Entry'!$Ò$648)</f>
      </c>
      <c r="EQ648">
        <f>IF(ISBLANK('Data Entry'!$Ó$648), "", 'Data Entry'!$Ó$648)</f>
      </c>
      <c r="ER648">
        <f>IF(ISBLANK('Data Entry'!$Ô$648), "", 'Data Entry'!$Ô$648)</f>
      </c>
      <c r="ES648">
        <f>IF(ISBLANK('Data Entry'!$Õ$648), "", 'Data Entry'!$Õ$648)</f>
      </c>
      <c r="ET648">
        <f>IF(ISBLANK('Data Entry'!$Ö$648), "", 'Data Entry'!$Ö$648)</f>
      </c>
      <c r="EU648">
        <f>IF(ISBLANK('Data Entry'!$×$648), "", 'Data Entry'!$×$648)</f>
      </c>
      <c r="EV648">
        <f>IF(ISBLANK('Data Entry'!$Ø$648), "", 'Data Entry'!$Ø$648)</f>
      </c>
      <c r="EW648">
        <f>IF(ISBLANK('Data Entry'!$Ù$648), "", 'Data Entry'!$Ù$648)</f>
      </c>
      <c r="EX648">
        <f>IF(ISBLANK('Data Entry'!$Ú$648), "", 'Data Entry'!$Ú$648)</f>
      </c>
      <c r="EY648">
        <f>IF(ISBLANK('Data Entry'!$Û$648), "", 'Data Entry'!$Û$648)</f>
      </c>
      <c r="EZ648">
        <f>IF(ISBLANK('Data Entry'!$Ü$648), "", 'Data Entry'!$Ü$648)</f>
      </c>
      <c r="FA648">
        <f>IF(ISBLANK('Data Entry'!$Ý$648), "", 'Data Entry'!$Ý$648)</f>
      </c>
      <c r="FB648">
        <f>IF(ISBLANK('Data Entry'!$Þ$648), "", 'Data Entry'!$Þ$648)</f>
      </c>
      <c r="FC648">
        <f>IF(ISBLANK('Data Entry'!$ß$648), "", 'Data Entry'!$ß$648)</f>
      </c>
      <c r="FD648">
        <f>IF(ISBLANK('Data Entry'!$à$648), "", 'Data Entry'!$à$648)</f>
      </c>
      <c r="FE648">
        <f>IF(ISBLANK('Data Entry'!$á$648), "", 'Data Entry'!$á$648)</f>
      </c>
      <c r="FF648">
        <f>IF(ISBLANK('Data Entry'!$â$648), "", 'Data Entry'!$â$648)</f>
      </c>
      <c r="FG648">
        <f>IF(ISBLANK('Data Entry'!$ã$648), "", 'Data Entry'!$ã$648)</f>
      </c>
      <c r="FH648">
        <f>IF(ISBLANK('Data Entry'!$ä$648), "", 'Data Entry'!$ä$648)</f>
      </c>
      <c r="FI648">
        <f>IF(ISBLANK('Data Entry'!$å$648), "", 'Data Entry'!$å$648)</f>
      </c>
      <c r="FJ648">
        <f>IF(ISBLANK('Data Entry'!$æ$648), "", 'Data Entry'!$æ$648)</f>
      </c>
      <c r="FK648">
        <f>IF(ISBLANK('Data Entry'!$ç$648), "", 'Data Entry'!$ç$648)</f>
      </c>
      <c r="FL648">
        <f>IF(ISBLANK('Data Entry'!$è$648), "", 'Data Entry'!$è$648)</f>
      </c>
      <c r="FM648">
        <f>IF(ISBLANK('Data Entry'!$é$648), "", 'Data Entry'!$é$648)</f>
      </c>
      <c r="FN648">
        <f>IF(ISBLANK('Data Entry'!$ê$648), "", 'Data Entry'!$ê$648)</f>
      </c>
      <c r="FO648">
        <f>IF(ISBLANK('Data Entry'!$ë$648), "", 'Data Entry'!$ë$648)</f>
      </c>
      <c r="FP648">
        <f>IF(ISBLANK('Data Entry'!$ì$648), "", 'Data Entry'!$ì$648)</f>
      </c>
      <c r="FQ648">
        <f>IF(ISBLANK('Data Entry'!$í$648), "", 'Data Entry'!$í$648)</f>
      </c>
      <c r="FR648">
        <f>IF(ISBLANK('Data Entry'!$î$648), "", 'Data Entry'!$î$648)</f>
      </c>
      <c r="FS648">
        <f>IF(ISBLANK('Data Entry'!$ï$648), "", 'Data Entry'!$ï$648)</f>
      </c>
      <c r="FT648">
        <f>IF(ISBLANK('Data Entry'!$ð$648), "", 'Data Entry'!$ð$648)</f>
      </c>
      <c r="FU648">
        <f>IF(ISBLANK('Data Entry'!$ñ$648), "", 'Data Entry'!$ñ$648)</f>
      </c>
      <c r="FV648">
        <f>IF(ISBLANK('Data Entry'!$ò$648), "", 'Data Entry'!$ò$648)</f>
      </c>
      <c r="FW648">
        <f>IF(ISBLANK('Data Entry'!$ó$648), "", 'Data Entry'!$ó$648)</f>
      </c>
      <c r="FX648">
        <f>IF(ISBLANK('Data Entry'!$ô$648), "", 'Data Entry'!$ô$648)</f>
      </c>
      <c r="FY648">
        <f>IF(ISBLANK('Data Entry'!$õ$648), "", 'Data Entry'!$õ$648)</f>
      </c>
      <c r="FZ648">
        <f>IF(ISBLANK('Data Entry'!$ö$648), "", 'Data Entry'!$ö$648)</f>
      </c>
      <c r="GA648">
        <f>IF(ISBLANK('Data Entry'!$÷$648), "", 'Data Entry'!$÷$648)</f>
      </c>
      <c r="GB648">
        <f>IF(ISBLANK('Data Entry'!$ø$648), "", 'Data Entry'!$ø$648)</f>
      </c>
      <c r="GC648">
        <f>IF(ISBLANK('Data Entry'!$ù$648), "", 'Data Entry'!$ù$648)</f>
      </c>
      <c r="GD648">
        <f>IF(ISBLANK('Data Entry'!$ú$648), "", 'Data Entry'!$ú$648)</f>
      </c>
      <c r="GE648">
        <f>IF(ISBLANK('Data Entry'!$û$648), "", 'Data Entry'!$û$648)</f>
      </c>
      <c r="GF648">
        <f>IF(ISBLANK('Data Entry'!$ü$648), "", 'Data Entry'!$ü$648)</f>
      </c>
      <c r="GG648">
        <f>IF(ISBLANK('Data Entry'!$ý$648), "", 'Data Entry'!$ý$648)</f>
      </c>
      <c r="GH648">
        <f>IF(ISBLANK('Data Entry'!$þ$648), "", 'Data Entry'!$þ$648)</f>
      </c>
      <c r="GI648">
        <f>IF(ISBLANK('Data Entry'!$ÿ$648), "", 'Data Entry'!$ÿ$648)</f>
      </c>
      <c r="GJ648">
        <f>IF(ISBLANK('Data Entry'!$Ā$648), "", 'Data Entry'!$Ā$648)</f>
      </c>
      <c r="GK648">
        <f>IF(ISBLANK('Data Entry'!$ā$648), "", 'Data Entry'!$ā$648)</f>
      </c>
      <c r="GL648">
        <f>IF(ISBLANK('Data Entry'!$Ă$648), "", 'Data Entry'!$Ă$648)</f>
      </c>
      <c r="GM648">
        <f>IF(ISBLANK('Data Entry'!$ă$648), "", 'Data Entry'!$ă$648)</f>
      </c>
      <c r="GN648">
        <f>IF(ISBLANK('Data Entry'!$Ą$648), "", 'Data Entry'!$Ą$648)</f>
      </c>
      <c r="GO648">
        <f>IF(ISBLANK('Data Entry'!$ą$648), "", 'Data Entry'!$ą$648)</f>
      </c>
      <c r="GP648">
        <f>IF(ISBLANK('Data Entry'!$Ć$648), "", 'Data Entry'!$Ć$648)</f>
      </c>
      <c r="GQ648">
        <f>IF(ISBLANK('Data Entry'!$ć$648), "", 'Data Entry'!$ć$648)</f>
      </c>
      <c r="GR648">
        <f>IF(ISBLANK('Data Entry'!$Ĉ$648), "", 'Data Entry'!$Ĉ$648)</f>
      </c>
      <c r="GS648">
        <f>IF(ISBLANK('Data Entry'!$ĉ$648), "", 'Data Entry'!$ĉ$648)</f>
      </c>
      <c r="GT648">
        <f>IF(ISBLANK('Data Entry'!$Ċ$648), "", 'Data Entry'!$Ċ$648)</f>
      </c>
      <c r="GU648">
        <f>IF(ISBLANK('Data Entry'!$ċ$648), "", 'Data Entry'!$ċ$648)</f>
      </c>
      <c r="GV648">
        <f>IF(ISBLANK('Data Entry'!$Č$648), "", 'Data Entry'!$Č$648)</f>
      </c>
      <c r="GW648">
        <f>IF(ISBLANK('Data Entry'!$č$648), "", 'Data Entry'!$č$648)</f>
      </c>
      <c r="GX648">
        <f>IF(ISBLANK('Data Entry'!$Ď$648), "", 'Data Entry'!$Ď$648)</f>
      </c>
      <c r="GY648">
        <f>IF(ISBLANK('Data Entry'!$ď$648), "", 'Data Entry'!$ď$648)</f>
      </c>
      <c r="GZ648">
        <f>IF(ISBLANK('Data Entry'!$Đ$648), "", 'Data Entry'!$Đ$648)</f>
      </c>
      <c r="HA648">
        <f>IF(ISBLANK('Data Entry'!$đ$648), "", 'Data Entry'!$đ$648)</f>
      </c>
      <c r="HB648">
        <f>IF(ISBLANK('Data Entry'!$Ē$648), "", 'Data Entry'!$Ē$648)</f>
      </c>
      <c r="HC648">
        <f>IF(ISBLANK('Data Entry'!$ē$648), "", 'Data Entry'!$ē$648)</f>
      </c>
      <c r="HD648">
        <f>IF(ISBLANK('Data Entry'!$Ĕ$648), "", 'Data Entry'!$Ĕ$648)</f>
      </c>
      <c r="HE648">
        <f>IF(ISBLANK('Data Entry'!$ĕ$648), "", 'Data Entry'!$ĕ$648)</f>
      </c>
      <c r="HF648">
        <f>IF(ISBLANK('Data Entry'!$Ė$648), "", 'Data Entry'!$Ė$648)</f>
      </c>
      <c r="HG648">
        <f>IF(ISBLANK('Data Entry'!$ė$648), "", 'Data Entry'!$ė$648)</f>
      </c>
      <c r="HH648">
        <f>IF(ISBLANK('Data Entry'!$Ę$648), "", 'Data Entry'!$Ę$648)</f>
      </c>
      <c r="HI648">
        <f>IF(ISBLANK('Data Entry'!$ę$648), "", 'Data Entry'!$ę$648)</f>
      </c>
      <c r="HJ648">
        <f>IF(ISBLANK('Data Entry'!$Ě$648), "", 'Data Entry'!$Ě$648)</f>
      </c>
      <c r="HK648">
        <f>IF(ISBLANK('Data Entry'!$ě$648), "", 'Data Entry'!$ě$648)</f>
      </c>
      <c r="HL648">
        <f>IF(ISBLANK('Data Entry'!$Ĝ$648), "", 'Data Entry'!$Ĝ$648)</f>
      </c>
      <c r="HM648">
        <f>IF(ISBLANK('Data Entry'!$ĝ$648), "", 'Data Entry'!$ĝ$648)</f>
      </c>
      <c r="HN648">
        <f>IF(ISBLANK('Data Entry'!$Ğ$648), "", 'Data Entry'!$Ğ$648)</f>
      </c>
      <c r="HO648">
        <f>IF(ISBLANK('Data Entry'!$ğ$648), "", 'Data Entry'!$ğ$648)</f>
      </c>
      <c r="HP648">
        <f>IF(ISBLANK('Data Entry'!$Ġ$648), "", 'Data Entry'!$Ġ$648)</f>
      </c>
      <c r="HQ648">
        <f>IF(ISBLANK('Data Entry'!$ġ$648), "", 'Data Entry'!$ġ$648)</f>
      </c>
      <c r="HR648">
        <f>IF(ISBLANK('Data Entry'!$Ģ$648), "", 'Data Entry'!$Ģ$648)</f>
      </c>
      <c r="HS648">
        <f>IF(ISBLANK('Data Entry'!$ģ$648), "", 'Data Entry'!$ģ$648)</f>
      </c>
      <c r="HT648">
        <f>IF(ISBLANK('Data Entry'!$Ĥ$648), "", 'Data Entry'!$Ĥ$648)</f>
      </c>
      <c r="HU648">
        <f>IF(ISBLANK('Data Entry'!$ĥ$648), "", 'Data Entry'!$ĥ$648)</f>
      </c>
      <c r="HV648">
        <f>IF(ISBLANK('Data Entry'!$Ħ$648), "", 'Data Entry'!$Ħ$648)</f>
      </c>
      <c r="HW648">
        <f>IF(ISBLANK('Data Entry'!$ħ$648), "", 'Data Entry'!$ħ$648)</f>
      </c>
      <c r="HX648">
        <f>IF(ISBLANK('Data Entry'!$Ĩ$648), "", 'Data Entry'!$Ĩ$648)</f>
      </c>
      <c r="HY648">
        <f>IF(ISBLANK('Data Entry'!$ĩ$648), "", 'Data Entry'!$ĩ$648)</f>
      </c>
      <c r="HZ648">
        <f>IF(ISBLANK('Data Entry'!$Ī$648), "", 'Data Entry'!$Ī$648)</f>
      </c>
      <c r="IA648">
        <f>IF(ISBLANK('Data Entry'!$ī$648), "", 'Data Entry'!$ī$648)</f>
      </c>
      <c r="IB648">
        <f>IF(ISBLANK('Data Entry'!$Ĭ$648), "", 'Data Entry'!$Ĭ$648)</f>
      </c>
      <c r="IC648">
        <f>IF(ISBLANK('Data Entry'!$ĭ$648), "", 'Data Entry'!$ĭ$648)</f>
      </c>
      <c r="ID648">
        <f>IF(ISBLANK('Data Entry'!$Į$648), "", 'Data Entry'!$Į$648)</f>
      </c>
      <c r="IE648">
        <f>IF(ISBLANK('Data Entry'!$į$648), "", 'Data Entry'!$į$648)</f>
      </c>
      <c r="IF648">
        <f>IF(ISBLANK('Data Entry'!$İ$648), "", 'Data Entry'!$İ$648)</f>
      </c>
      <c r="IG648">
        <f>IF(ISBLANK('Data Entry'!$ı$648), "", 'Data Entry'!$ı$648)</f>
      </c>
      <c r="IH648">
        <f>IF(ISBLANK('Data Entry'!$Ĳ$648), "", 'Data Entry'!$Ĳ$648)</f>
      </c>
      <c r="II648">
        <f>IF(ISBLANK('Data Entry'!$ĳ$648), "", 'Data Entry'!$ĳ$648)</f>
      </c>
      <c r="IJ648">
        <f>IF(ISBLANK('Data Entry'!$Ĵ$648), "", 'Data Entry'!$Ĵ$648)</f>
      </c>
      <c r="IK648">
        <f>IF(ISBLANK('Data Entry'!$ĵ$648), "", 'Data Entry'!$ĵ$648)</f>
      </c>
      <c r="IL648">
        <f>IF(ISBLANK('Data Entry'!$Ķ$648), "", 'Data Entry'!$Ķ$648)</f>
      </c>
      <c r="IM648">
        <f>IF(ISBLANK('Data Entry'!$ķ$648), "", 'Data Entry'!$ķ$648)</f>
      </c>
      <c r="IN648">
        <f>IF(ISBLANK('Data Entry'!$ĸ$648), "", 'Data Entry'!$ĸ$648)</f>
      </c>
      <c r="IO648">
        <f>IF(ISBLANK('Data Entry'!$Ĺ$648), "", 'Data Entry'!$Ĺ$648)</f>
      </c>
      <c r="IP648">
        <f>IF(ISBLANK('Data Entry'!$ĺ$648), "", 'Data Entry'!$ĺ$648)</f>
      </c>
      <c r="IQ648">
        <f>IF(ISBLANK('Data Entry'!$Ļ$648), "", 'Data Entry'!$Ļ$648)</f>
      </c>
      <c r="IR648">
        <f>IF(ISBLANK('Data Entry'!$ļ$648), "", 'Data Entry'!$ļ$648)</f>
      </c>
      <c r="IS648">
        <f>IF(ISBLANK('Data Entry'!$Ľ$648), "", 'Data Entry'!$Ľ$648)</f>
      </c>
      <c r="IT648">
        <f>IF(ISBLANK('Data Entry'!$ľ$648), "", 'Data Entry'!$ľ$648)</f>
      </c>
    </row>
    <row r="649" spans="1:254" x14ac:dyDescent="0.25">
      <c r="A649">
        <f>IF(ISBLANK('Data Entry'!$A$649), "", 'Data Entry'!$A$649)</f>
      </c>
      <c r="B649">
        <f>IF(ISBLANK('Data Entry'!$B$649), "", 'Data Entry'!$B$649)</f>
      </c>
      <c r="C649">
        <f>IF(ISBLANK('Data Entry'!$C$649), "", 'Data Entry'!$C$649)</f>
      </c>
      <c r="D649">
        <f>IF(ISBLANK('Data Entry'!$D$649), "", 'Data Entry'!$D$649)</f>
      </c>
      <c r="E649">
        <f>IF(ISBLANK('Data Entry'!$E$649), "", 'Data Entry'!$E$649)</f>
      </c>
      <c r="F649">
        <f>IF(ISBLANK('Data Entry'!$F$649), "", 'Data Entry'!$F$649)</f>
      </c>
      <c r="G649">
        <f>IF(ISBLANK('Data Entry'!$G$649), "", 'Data Entry'!$G$649)</f>
      </c>
      <c r="H649">
        <f>IF(ISBLANK('Data Entry'!$H$649), "", 'Data Entry'!$H$649)</f>
      </c>
      <c r="I649">
        <f>IF(ISBLANK('Data Entry'!$I$649), "", 'Data Entry'!$I$649)</f>
      </c>
      <c r="J649">
        <f>IF(ISBLANK('Data Entry'!$J$649), "", 'Data Entry'!$J$649)</f>
      </c>
      <c r="K649">
        <f>IF(ISBLANK('Data Entry'!$K$649), "", 'Data Entry'!$K$649)</f>
      </c>
      <c r="L649">
        <f>IF(ISBLANK('Data Entry'!$L$649), "", 'Data Entry'!$L$649)</f>
      </c>
      <c r="M649">
        <f>IF(ISBLANK('Data Entry'!$M$649), "", 'Data Entry'!$M$649)</f>
      </c>
      <c r="N649">
        <f>IF(ISBLANK('Data Entry'!$N$649), "", 'Data Entry'!$N$649)</f>
      </c>
      <c r="O649">
        <f>IF(ISBLANK('Data Entry'!$O$649), "", 'Data Entry'!$O$649)</f>
      </c>
      <c r="P649">
        <f>IF(ISBLANK('Data Entry'!$P$649), "", 'Data Entry'!$P$649)</f>
      </c>
      <c r="Q649">
        <f>IF(ISBLANK('Data Entry'!$Q$649), "", 'Data Entry'!$Q$649)</f>
      </c>
      <c r="R649">
        <f>IF(ISBLANK('Data Entry'!$R$649), "", 'Data Entry'!$R$649)</f>
      </c>
      <c r="S649">
        <f>IF(ISBLANK('Data Entry'!$S$649), "", 'Data Entry'!$S$649)</f>
      </c>
      <c r="T649">
        <f>IF(ISBLANK('Data Entry'!$T$649), "", 'Data Entry'!$T$649)</f>
      </c>
      <c r="U649">
        <f>IF(ISBLANK('Data Entry'!$U$649), "", 'Data Entry'!$U$649)</f>
      </c>
      <c r="V649">
        <f>IF(ISBLANK('Data Entry'!$V$649), "", 'Data Entry'!$V$649)</f>
      </c>
      <c r="W649">
        <f>IF(ISBLANK('Data Entry'!$W$649), "", 'Data Entry'!$W$649)</f>
      </c>
      <c r="X649">
        <f>IF(ISBLANK('Data Entry'!$X$649), "", 'Data Entry'!$X$649)</f>
      </c>
      <c r="Y649">
        <f>IF(ISBLANK('Data Entry'!$Y$649), "", 'Data Entry'!$Y$649)</f>
      </c>
      <c r="Z649">
        <f>IF(ISBLANK('Data Entry'!$Z$649), "", 'Data Entry'!$Z$649)</f>
      </c>
      <c r="AA649">
        <f>IF(ISBLANK('Data Entry'!$[$649), "", 'Data Entry'!$[$649)</f>
      </c>
      <c r="AB649">
        <f>IF(ISBLANK('Data Entry'!$\$649), "", 'Data Entry'!$\$649)</f>
      </c>
      <c r="AC649">
        <f>IF(ISBLANK('Data Entry'!$]$649), "", 'Data Entry'!$]$649)</f>
      </c>
      <c r="AD649">
        <f>IF(ISBLANK('Data Entry'!$^$649), "", 'Data Entry'!$^$649)</f>
      </c>
      <c r="AE649">
        <f>IF(ISBLANK('Data Entry'!$_$649), "", 'Data Entry'!$_$649)</f>
      </c>
      <c r="AF649">
        <f>IF(ISBLANK('Data Entry'!$`$649), "", 'Data Entry'!$`$649)</f>
      </c>
      <c r="AG649">
        <f>IF(ISBLANK('Data Entry'!$a$649), "", 'Data Entry'!$a$649)</f>
      </c>
      <c r="AH649">
        <f>IF(ISBLANK('Data Entry'!$b$649), "", 'Data Entry'!$b$649)</f>
      </c>
      <c r="AI649">
        <f>IF(ISBLANK('Data Entry'!$c$649), "", 'Data Entry'!$c$649)</f>
      </c>
      <c r="AJ649">
        <f>IF(ISBLANK('Data Entry'!$d$649), "", 'Data Entry'!$d$649)</f>
      </c>
      <c r="AK649">
        <f>IF(ISBLANK('Data Entry'!$e$649), "", 'Data Entry'!$e$649)</f>
      </c>
      <c r="AL649">
        <f>IF(ISBLANK('Data Entry'!$f$649), "", 'Data Entry'!$f$649)</f>
      </c>
      <c r="AM649">
        <f>IF(ISBLANK('Data Entry'!$g$649), "", 'Data Entry'!$g$649)</f>
      </c>
      <c r="AN649">
        <f>IF(ISBLANK('Data Entry'!$h$649), "", 'Data Entry'!$h$649)</f>
      </c>
      <c r="AO649">
        <f>IF(ISBLANK('Data Entry'!$i$649), "", 'Data Entry'!$i$649)</f>
      </c>
      <c r="AP649">
        <f>IF(ISBLANK('Data Entry'!$j$649), "", 'Data Entry'!$j$649)</f>
      </c>
      <c r="AQ649">
        <f>IF(ISBLANK('Data Entry'!$k$649), "", 'Data Entry'!$k$649)</f>
      </c>
      <c r="AR649">
        <f>IF(ISBLANK('Data Entry'!$l$649), "", 'Data Entry'!$l$649)</f>
      </c>
      <c r="AS649">
        <f>IF(ISBLANK('Data Entry'!$m$649), "", 'Data Entry'!$m$649)</f>
      </c>
      <c r="AT649">
        <f>IF(ISBLANK('Data Entry'!$n$649), "", 'Data Entry'!$n$649)</f>
      </c>
      <c r="AU649">
        <f>IF(ISBLANK('Data Entry'!$o$649), "", 'Data Entry'!$o$649)</f>
      </c>
      <c r="AV649">
        <f>IF(ISBLANK('Data Entry'!$p$649), "", 'Data Entry'!$p$649)</f>
      </c>
      <c r="AW649">
        <f>IF(ISBLANK('Data Entry'!$q$649), "", 'Data Entry'!$q$649)</f>
      </c>
      <c r="AX649">
        <f>IF(ISBLANK('Data Entry'!$r$649), "", 'Data Entry'!$r$649)</f>
      </c>
      <c r="AY649">
        <f>IF(ISBLANK('Data Entry'!$s$649), "", 'Data Entry'!$s$649)</f>
      </c>
      <c r="AZ649">
        <f>IF(ISBLANK('Data Entry'!$t$649), "", 'Data Entry'!$t$649)</f>
      </c>
      <c r="BA649">
        <f>IF(ISBLANK('Data Entry'!$u$649), "", 'Data Entry'!$u$649)</f>
      </c>
      <c r="BB649">
        <f>IF(ISBLANK('Data Entry'!$v$649), "", 'Data Entry'!$v$649)</f>
      </c>
      <c r="BC649">
        <f>IF(ISBLANK('Data Entry'!$w$649), "", 'Data Entry'!$w$649)</f>
      </c>
      <c r="BD649">
        <f>IF(ISBLANK('Data Entry'!$x$649), "", 'Data Entry'!$x$649)</f>
      </c>
      <c r="BE649">
        <f>IF(ISBLANK('Data Entry'!$y$649), "", 'Data Entry'!$y$649)</f>
      </c>
      <c r="BF649">
        <f>IF(ISBLANK('Data Entry'!$z$649), "", 'Data Entry'!$z$649)</f>
      </c>
      <c r="BG649">
        <f>IF(ISBLANK('Data Entry'!${$649), "", 'Data Entry'!${$649)</f>
      </c>
      <c r="BH649">
        <f>IF(ISBLANK('Data Entry'!$|$649), "", 'Data Entry'!$|$649)</f>
      </c>
      <c r="BI649">
        <f>IF(ISBLANK('Data Entry'!$}$649), "", 'Data Entry'!$}$649)</f>
      </c>
      <c r="BJ649">
        <f>IF(ISBLANK('Data Entry'!$~$649), "", 'Data Entry'!$~$649)</f>
      </c>
      <c r="BK649">
        <f>IF(ISBLANK('Data Entry'!$$649), "", 'Data Entry'!$$649)</f>
      </c>
      <c r="BL649">
        <f>IF(ISBLANK('Data Entry'!$$649), "", 'Data Entry'!$$649)</f>
      </c>
      <c r="BM649">
        <f>IF(ISBLANK('Data Entry'!$$649), "", 'Data Entry'!$$649)</f>
      </c>
      <c r="BN649">
        <f>IF(ISBLANK('Data Entry'!$$649), "", 'Data Entry'!$$649)</f>
      </c>
      <c r="BO649">
        <f>IF(ISBLANK('Data Entry'!$$649), "", 'Data Entry'!$$649)</f>
      </c>
      <c r="BP649">
        <f>IF(ISBLANK('Data Entry'!$$649), "", 'Data Entry'!$$649)</f>
      </c>
      <c r="BQ649">
        <f>IF(ISBLANK('Data Entry'!$$649), "", 'Data Entry'!$$649)</f>
      </c>
      <c r="BR649">
        <f>IF(ISBLANK('Data Entry'!$$649), "", 'Data Entry'!$$649)</f>
      </c>
      <c r="BS649">
        <f>IF(ISBLANK('Data Entry'!$$649), "", 'Data Entry'!$$649)</f>
      </c>
      <c r="BT649">
        <f>IF(ISBLANK('Data Entry'!$$649), "", 'Data Entry'!$$649)</f>
      </c>
      <c r="BU649">
        <f>IF(ISBLANK('Data Entry'!$$649), "", 'Data Entry'!$$649)</f>
      </c>
      <c r="BV649">
        <f>IF(ISBLANK('Data Entry'!$$649), "", 'Data Entry'!$$649)</f>
      </c>
      <c r="BW649">
        <f>IF(ISBLANK('Data Entry'!$$649), "", 'Data Entry'!$$649)</f>
      </c>
      <c r="BX649">
        <f>IF(ISBLANK('Data Entry'!$$649), "", 'Data Entry'!$$649)</f>
      </c>
      <c r="BY649">
        <f>IF(ISBLANK('Data Entry'!$$649), "", 'Data Entry'!$$649)</f>
      </c>
      <c r="BZ649">
        <f>IF(ISBLANK('Data Entry'!$$649), "", 'Data Entry'!$$649)</f>
      </c>
      <c r="CA649">
        <f>IF(ISBLANK('Data Entry'!$$649), "", 'Data Entry'!$$649)</f>
      </c>
      <c r="CB649">
        <f>IF(ISBLANK('Data Entry'!$$649), "", 'Data Entry'!$$649)</f>
      </c>
      <c r="CC649">
        <f>IF(ISBLANK('Data Entry'!$$649), "", 'Data Entry'!$$649)</f>
      </c>
      <c r="CD649">
        <f>IF(ISBLANK('Data Entry'!$$649), "", 'Data Entry'!$$649)</f>
      </c>
      <c r="CE649">
        <f>IF(ISBLANK('Data Entry'!$$649), "", 'Data Entry'!$$649)</f>
      </c>
      <c r="CF649">
        <f>IF(ISBLANK('Data Entry'!$$649), "", 'Data Entry'!$$649)</f>
      </c>
      <c r="CG649">
        <f>IF(ISBLANK('Data Entry'!$$649), "", 'Data Entry'!$$649)</f>
      </c>
      <c r="CH649">
        <f>IF(ISBLANK('Data Entry'!$$649), "", 'Data Entry'!$$649)</f>
      </c>
      <c r="CI649">
        <f>IF(ISBLANK('Data Entry'!$$649), "", 'Data Entry'!$$649)</f>
      </c>
      <c r="CJ649">
        <f>IF(ISBLANK('Data Entry'!$$649), "", 'Data Entry'!$$649)</f>
      </c>
      <c r="CK649">
        <f>IF(ISBLANK('Data Entry'!$$649), "", 'Data Entry'!$$649)</f>
      </c>
      <c r="CL649">
        <f>IF(ISBLANK('Data Entry'!$$649), "", 'Data Entry'!$$649)</f>
      </c>
      <c r="CM649">
        <f>IF(ISBLANK('Data Entry'!$$649), "", 'Data Entry'!$$649)</f>
      </c>
      <c r="CN649">
        <f>IF(ISBLANK('Data Entry'!$$649), "", 'Data Entry'!$$649)</f>
      </c>
      <c r="CO649">
        <f>IF(ISBLANK('Data Entry'!$$649), "", 'Data Entry'!$$649)</f>
      </c>
      <c r="CP649">
        <f>IF(ISBLANK('Data Entry'!$$649), "", 'Data Entry'!$$649)</f>
      </c>
      <c r="CQ649">
        <f>IF(ISBLANK('Data Entry'!$$649), "", 'Data Entry'!$$649)</f>
      </c>
      <c r="CR649">
        <f>IF(ISBLANK('Data Entry'!$ $649), "", 'Data Entry'!$ $649)</f>
      </c>
      <c r="CS649">
        <f>IF(ISBLANK('Data Entry'!$¡$649), "", 'Data Entry'!$¡$649)</f>
      </c>
      <c r="CT649">
        <f>IF(ISBLANK('Data Entry'!$¢$649), "", 'Data Entry'!$¢$649)</f>
      </c>
      <c r="CU649">
        <f>IF(ISBLANK('Data Entry'!$£$649), "", 'Data Entry'!$£$649)</f>
      </c>
      <c r="CV649">
        <f>IF(ISBLANK('Data Entry'!$¤$649), "", 'Data Entry'!$¤$649)</f>
      </c>
      <c r="CW649">
        <f>IF(ISBLANK('Data Entry'!$¥$649), "", 'Data Entry'!$¥$649)</f>
      </c>
      <c r="CX649">
        <f>IF(ISBLANK('Data Entry'!$¦$649), "", 'Data Entry'!$¦$649)</f>
      </c>
      <c r="CY649">
        <f>IF(ISBLANK('Data Entry'!$§$649), "", 'Data Entry'!$§$649)</f>
      </c>
      <c r="CZ649">
        <f>IF(ISBLANK('Data Entry'!$¨$649), "", 'Data Entry'!$¨$649)</f>
      </c>
      <c r="DA649">
        <f>IF(ISBLANK('Data Entry'!$©$649), "", 'Data Entry'!$©$649)</f>
      </c>
      <c r="DB649">
        <f>IF(ISBLANK('Data Entry'!$ª$649), "", 'Data Entry'!$ª$649)</f>
      </c>
      <c r="DC649">
        <f>IF(ISBLANK('Data Entry'!$«$649), "", 'Data Entry'!$«$649)</f>
      </c>
      <c r="DD649">
        <f>IF(ISBLANK('Data Entry'!$¬$649), "", 'Data Entry'!$¬$649)</f>
      </c>
      <c r="DE649">
        <f>IF(ISBLANK('Data Entry'!$­$649), "", 'Data Entry'!$­$649)</f>
      </c>
      <c r="DF649">
        <f>IF(ISBLANK('Data Entry'!$®$649), "", 'Data Entry'!$®$649)</f>
      </c>
      <c r="DG649">
        <f>IF(ISBLANK('Data Entry'!$¯$649), "", 'Data Entry'!$¯$649)</f>
      </c>
      <c r="DH649">
        <f>IF(ISBLANK('Data Entry'!$°$649), "", 'Data Entry'!$°$649)</f>
      </c>
      <c r="DI649">
        <f>IF(ISBLANK('Data Entry'!$±$649), "", 'Data Entry'!$±$649)</f>
      </c>
      <c r="DJ649">
        <f>IF(ISBLANK('Data Entry'!$²$649), "", 'Data Entry'!$²$649)</f>
      </c>
      <c r="DK649">
        <f>IF(ISBLANK('Data Entry'!$³$649), "", 'Data Entry'!$³$649)</f>
      </c>
      <c r="DL649">
        <f>IF(ISBLANK('Data Entry'!$´$649), "", 'Data Entry'!$´$649)</f>
      </c>
      <c r="DM649">
        <f>IF(ISBLANK('Data Entry'!$µ$649), "", 'Data Entry'!$µ$649)</f>
      </c>
      <c r="DN649">
        <f>IF(ISBLANK('Data Entry'!$¶$649), "", 'Data Entry'!$¶$649)</f>
      </c>
      <c r="DO649">
        <f>IF(ISBLANK('Data Entry'!$·$649), "", 'Data Entry'!$·$649)</f>
      </c>
      <c r="DP649">
        <f>IF(ISBLANK('Data Entry'!$¸$649), "", 'Data Entry'!$¸$649)</f>
      </c>
      <c r="DQ649">
        <f>IF(ISBLANK('Data Entry'!$¹$649), "", 'Data Entry'!$¹$649)</f>
      </c>
      <c r="DR649">
        <f>IF(ISBLANK('Data Entry'!$º$649), "", 'Data Entry'!$º$649)</f>
      </c>
      <c r="DS649">
        <f>IF(ISBLANK('Data Entry'!$»$649), "", 'Data Entry'!$»$649)</f>
      </c>
      <c r="DT649">
        <f>IF(ISBLANK('Data Entry'!$¼$649), "", 'Data Entry'!$¼$649)</f>
      </c>
      <c r="DU649">
        <f>IF(ISBLANK('Data Entry'!$½$649), "", 'Data Entry'!$½$649)</f>
      </c>
      <c r="DV649">
        <f>IF(ISBLANK('Data Entry'!$¾$649), "", 'Data Entry'!$¾$649)</f>
      </c>
      <c r="DW649">
        <f>IF(ISBLANK('Data Entry'!$¿$649), "", 'Data Entry'!$¿$649)</f>
      </c>
      <c r="DX649">
        <f>IF(ISBLANK('Data Entry'!$À$649), "", 'Data Entry'!$À$649)</f>
      </c>
      <c r="DY649">
        <f>IF(ISBLANK('Data Entry'!$Á$649), "", 'Data Entry'!$Á$649)</f>
      </c>
      <c r="DZ649">
        <f>IF(ISBLANK('Data Entry'!$Â$649), "", 'Data Entry'!$Â$649)</f>
      </c>
      <c r="EA649">
        <f>IF(ISBLANK('Data Entry'!$Ã$649), "", 'Data Entry'!$Ã$649)</f>
      </c>
      <c r="EB649">
        <f>IF(ISBLANK('Data Entry'!$Ä$649), "", 'Data Entry'!$Ä$649)</f>
      </c>
      <c r="EC649">
        <f>IF(ISBLANK('Data Entry'!$Å$649), "", 'Data Entry'!$Å$649)</f>
      </c>
      <c r="ED649">
        <f>IF(ISBLANK('Data Entry'!$Æ$649), "", 'Data Entry'!$Æ$649)</f>
      </c>
      <c r="EE649">
        <f>IF(ISBLANK('Data Entry'!$Ç$649), "", 'Data Entry'!$Ç$649)</f>
      </c>
      <c r="EF649">
        <f>IF(ISBLANK('Data Entry'!$È$649), "", 'Data Entry'!$È$649)</f>
      </c>
      <c r="EG649">
        <f>IF(ISBLANK('Data Entry'!$É$649), "", 'Data Entry'!$É$649)</f>
      </c>
      <c r="EH649">
        <f>IF(ISBLANK('Data Entry'!$Ê$649), "", 'Data Entry'!$Ê$649)</f>
      </c>
      <c r="EI649">
        <f>IF(ISBLANK('Data Entry'!$Ë$649), "", 'Data Entry'!$Ë$649)</f>
      </c>
      <c r="EJ649">
        <f>IF(ISBLANK('Data Entry'!$Ì$649), "", 'Data Entry'!$Ì$649)</f>
      </c>
      <c r="EK649">
        <f>IF(ISBLANK('Data Entry'!$Í$649), "", 'Data Entry'!$Í$649)</f>
      </c>
      <c r="EL649">
        <f>IF(ISBLANK('Data Entry'!$Î$649), "", 'Data Entry'!$Î$649)</f>
      </c>
      <c r="EM649">
        <f>IF(ISBLANK('Data Entry'!$Ï$649), "", 'Data Entry'!$Ï$649)</f>
      </c>
      <c r="EN649">
        <f>IF(ISBLANK('Data Entry'!$Ð$649), "", 'Data Entry'!$Ð$649)</f>
      </c>
      <c r="EO649">
        <f>IF(ISBLANK('Data Entry'!$Ñ$649), "", 'Data Entry'!$Ñ$649)</f>
      </c>
      <c r="EP649">
        <f>IF(ISBLANK('Data Entry'!$Ò$649), "", 'Data Entry'!$Ò$649)</f>
      </c>
      <c r="EQ649">
        <f>IF(ISBLANK('Data Entry'!$Ó$649), "", 'Data Entry'!$Ó$649)</f>
      </c>
      <c r="ER649">
        <f>IF(ISBLANK('Data Entry'!$Ô$649), "", 'Data Entry'!$Ô$649)</f>
      </c>
      <c r="ES649">
        <f>IF(ISBLANK('Data Entry'!$Õ$649), "", 'Data Entry'!$Õ$649)</f>
      </c>
      <c r="ET649">
        <f>IF(ISBLANK('Data Entry'!$Ö$649), "", 'Data Entry'!$Ö$649)</f>
      </c>
      <c r="EU649">
        <f>IF(ISBLANK('Data Entry'!$×$649), "", 'Data Entry'!$×$649)</f>
      </c>
      <c r="EV649">
        <f>IF(ISBLANK('Data Entry'!$Ø$649), "", 'Data Entry'!$Ø$649)</f>
      </c>
      <c r="EW649">
        <f>IF(ISBLANK('Data Entry'!$Ù$649), "", 'Data Entry'!$Ù$649)</f>
      </c>
      <c r="EX649">
        <f>IF(ISBLANK('Data Entry'!$Ú$649), "", 'Data Entry'!$Ú$649)</f>
      </c>
      <c r="EY649">
        <f>IF(ISBLANK('Data Entry'!$Û$649), "", 'Data Entry'!$Û$649)</f>
      </c>
      <c r="EZ649">
        <f>IF(ISBLANK('Data Entry'!$Ü$649), "", 'Data Entry'!$Ü$649)</f>
      </c>
      <c r="FA649">
        <f>IF(ISBLANK('Data Entry'!$Ý$649), "", 'Data Entry'!$Ý$649)</f>
      </c>
      <c r="FB649">
        <f>IF(ISBLANK('Data Entry'!$Þ$649), "", 'Data Entry'!$Þ$649)</f>
      </c>
      <c r="FC649">
        <f>IF(ISBLANK('Data Entry'!$ß$649), "", 'Data Entry'!$ß$649)</f>
      </c>
      <c r="FD649">
        <f>IF(ISBLANK('Data Entry'!$à$649), "", 'Data Entry'!$à$649)</f>
      </c>
      <c r="FE649">
        <f>IF(ISBLANK('Data Entry'!$á$649), "", 'Data Entry'!$á$649)</f>
      </c>
      <c r="FF649">
        <f>IF(ISBLANK('Data Entry'!$â$649), "", 'Data Entry'!$â$649)</f>
      </c>
      <c r="FG649">
        <f>IF(ISBLANK('Data Entry'!$ã$649), "", 'Data Entry'!$ã$649)</f>
      </c>
      <c r="FH649">
        <f>IF(ISBLANK('Data Entry'!$ä$649), "", 'Data Entry'!$ä$649)</f>
      </c>
      <c r="FI649">
        <f>IF(ISBLANK('Data Entry'!$å$649), "", 'Data Entry'!$å$649)</f>
      </c>
      <c r="FJ649">
        <f>IF(ISBLANK('Data Entry'!$æ$649), "", 'Data Entry'!$æ$649)</f>
      </c>
      <c r="FK649">
        <f>IF(ISBLANK('Data Entry'!$ç$649), "", 'Data Entry'!$ç$649)</f>
      </c>
      <c r="FL649">
        <f>IF(ISBLANK('Data Entry'!$è$649), "", 'Data Entry'!$è$649)</f>
      </c>
      <c r="FM649">
        <f>IF(ISBLANK('Data Entry'!$é$649), "", 'Data Entry'!$é$649)</f>
      </c>
      <c r="FN649">
        <f>IF(ISBLANK('Data Entry'!$ê$649), "", 'Data Entry'!$ê$649)</f>
      </c>
      <c r="FO649">
        <f>IF(ISBLANK('Data Entry'!$ë$649), "", 'Data Entry'!$ë$649)</f>
      </c>
      <c r="FP649">
        <f>IF(ISBLANK('Data Entry'!$ì$649), "", 'Data Entry'!$ì$649)</f>
      </c>
      <c r="FQ649">
        <f>IF(ISBLANK('Data Entry'!$í$649), "", 'Data Entry'!$í$649)</f>
      </c>
      <c r="FR649">
        <f>IF(ISBLANK('Data Entry'!$î$649), "", 'Data Entry'!$î$649)</f>
      </c>
      <c r="FS649">
        <f>IF(ISBLANK('Data Entry'!$ï$649), "", 'Data Entry'!$ï$649)</f>
      </c>
      <c r="FT649">
        <f>IF(ISBLANK('Data Entry'!$ð$649), "", 'Data Entry'!$ð$649)</f>
      </c>
      <c r="FU649">
        <f>IF(ISBLANK('Data Entry'!$ñ$649), "", 'Data Entry'!$ñ$649)</f>
      </c>
      <c r="FV649">
        <f>IF(ISBLANK('Data Entry'!$ò$649), "", 'Data Entry'!$ò$649)</f>
      </c>
      <c r="FW649">
        <f>IF(ISBLANK('Data Entry'!$ó$649), "", 'Data Entry'!$ó$649)</f>
      </c>
      <c r="FX649">
        <f>IF(ISBLANK('Data Entry'!$ô$649), "", 'Data Entry'!$ô$649)</f>
      </c>
      <c r="FY649">
        <f>IF(ISBLANK('Data Entry'!$õ$649), "", 'Data Entry'!$õ$649)</f>
      </c>
      <c r="FZ649">
        <f>IF(ISBLANK('Data Entry'!$ö$649), "", 'Data Entry'!$ö$649)</f>
      </c>
      <c r="GA649">
        <f>IF(ISBLANK('Data Entry'!$÷$649), "", 'Data Entry'!$÷$649)</f>
      </c>
      <c r="GB649">
        <f>IF(ISBLANK('Data Entry'!$ø$649), "", 'Data Entry'!$ø$649)</f>
      </c>
      <c r="GC649">
        <f>IF(ISBLANK('Data Entry'!$ù$649), "", 'Data Entry'!$ù$649)</f>
      </c>
      <c r="GD649">
        <f>IF(ISBLANK('Data Entry'!$ú$649), "", 'Data Entry'!$ú$649)</f>
      </c>
      <c r="GE649">
        <f>IF(ISBLANK('Data Entry'!$û$649), "", 'Data Entry'!$û$649)</f>
      </c>
      <c r="GF649">
        <f>IF(ISBLANK('Data Entry'!$ü$649), "", 'Data Entry'!$ü$649)</f>
      </c>
      <c r="GG649">
        <f>IF(ISBLANK('Data Entry'!$ý$649), "", 'Data Entry'!$ý$649)</f>
      </c>
      <c r="GH649">
        <f>IF(ISBLANK('Data Entry'!$þ$649), "", 'Data Entry'!$þ$649)</f>
      </c>
      <c r="GI649">
        <f>IF(ISBLANK('Data Entry'!$ÿ$649), "", 'Data Entry'!$ÿ$649)</f>
      </c>
      <c r="GJ649">
        <f>IF(ISBLANK('Data Entry'!$Ā$649), "", 'Data Entry'!$Ā$649)</f>
      </c>
      <c r="GK649">
        <f>IF(ISBLANK('Data Entry'!$ā$649), "", 'Data Entry'!$ā$649)</f>
      </c>
      <c r="GL649">
        <f>IF(ISBLANK('Data Entry'!$Ă$649), "", 'Data Entry'!$Ă$649)</f>
      </c>
      <c r="GM649">
        <f>IF(ISBLANK('Data Entry'!$ă$649), "", 'Data Entry'!$ă$649)</f>
      </c>
      <c r="GN649">
        <f>IF(ISBLANK('Data Entry'!$Ą$649), "", 'Data Entry'!$Ą$649)</f>
      </c>
      <c r="GO649">
        <f>IF(ISBLANK('Data Entry'!$ą$649), "", 'Data Entry'!$ą$649)</f>
      </c>
      <c r="GP649">
        <f>IF(ISBLANK('Data Entry'!$Ć$649), "", 'Data Entry'!$Ć$649)</f>
      </c>
      <c r="GQ649">
        <f>IF(ISBLANK('Data Entry'!$ć$649), "", 'Data Entry'!$ć$649)</f>
      </c>
      <c r="GR649">
        <f>IF(ISBLANK('Data Entry'!$Ĉ$649), "", 'Data Entry'!$Ĉ$649)</f>
      </c>
      <c r="GS649">
        <f>IF(ISBLANK('Data Entry'!$ĉ$649), "", 'Data Entry'!$ĉ$649)</f>
      </c>
      <c r="GT649">
        <f>IF(ISBLANK('Data Entry'!$Ċ$649), "", 'Data Entry'!$Ċ$649)</f>
      </c>
      <c r="GU649">
        <f>IF(ISBLANK('Data Entry'!$ċ$649), "", 'Data Entry'!$ċ$649)</f>
      </c>
      <c r="GV649">
        <f>IF(ISBLANK('Data Entry'!$Č$649), "", 'Data Entry'!$Č$649)</f>
      </c>
      <c r="GW649">
        <f>IF(ISBLANK('Data Entry'!$č$649), "", 'Data Entry'!$č$649)</f>
      </c>
      <c r="GX649">
        <f>IF(ISBLANK('Data Entry'!$Ď$649), "", 'Data Entry'!$Ď$649)</f>
      </c>
      <c r="GY649">
        <f>IF(ISBLANK('Data Entry'!$ď$649), "", 'Data Entry'!$ď$649)</f>
      </c>
      <c r="GZ649">
        <f>IF(ISBLANK('Data Entry'!$Đ$649), "", 'Data Entry'!$Đ$649)</f>
      </c>
      <c r="HA649">
        <f>IF(ISBLANK('Data Entry'!$đ$649), "", 'Data Entry'!$đ$649)</f>
      </c>
      <c r="HB649">
        <f>IF(ISBLANK('Data Entry'!$Ē$649), "", 'Data Entry'!$Ē$649)</f>
      </c>
      <c r="HC649">
        <f>IF(ISBLANK('Data Entry'!$ē$649), "", 'Data Entry'!$ē$649)</f>
      </c>
      <c r="HD649">
        <f>IF(ISBLANK('Data Entry'!$Ĕ$649), "", 'Data Entry'!$Ĕ$649)</f>
      </c>
      <c r="HE649">
        <f>IF(ISBLANK('Data Entry'!$ĕ$649), "", 'Data Entry'!$ĕ$649)</f>
      </c>
      <c r="HF649">
        <f>IF(ISBLANK('Data Entry'!$Ė$649), "", 'Data Entry'!$Ė$649)</f>
      </c>
      <c r="HG649">
        <f>IF(ISBLANK('Data Entry'!$ė$649), "", 'Data Entry'!$ė$649)</f>
      </c>
      <c r="HH649">
        <f>IF(ISBLANK('Data Entry'!$Ę$649), "", 'Data Entry'!$Ę$649)</f>
      </c>
      <c r="HI649">
        <f>IF(ISBLANK('Data Entry'!$ę$649), "", 'Data Entry'!$ę$649)</f>
      </c>
      <c r="HJ649">
        <f>IF(ISBLANK('Data Entry'!$Ě$649), "", 'Data Entry'!$Ě$649)</f>
      </c>
      <c r="HK649">
        <f>IF(ISBLANK('Data Entry'!$ě$649), "", 'Data Entry'!$ě$649)</f>
      </c>
      <c r="HL649">
        <f>IF(ISBLANK('Data Entry'!$Ĝ$649), "", 'Data Entry'!$Ĝ$649)</f>
      </c>
      <c r="HM649">
        <f>IF(ISBLANK('Data Entry'!$ĝ$649), "", 'Data Entry'!$ĝ$649)</f>
      </c>
      <c r="HN649">
        <f>IF(ISBLANK('Data Entry'!$Ğ$649), "", 'Data Entry'!$Ğ$649)</f>
      </c>
      <c r="HO649">
        <f>IF(ISBLANK('Data Entry'!$ğ$649), "", 'Data Entry'!$ğ$649)</f>
      </c>
      <c r="HP649">
        <f>IF(ISBLANK('Data Entry'!$Ġ$649), "", 'Data Entry'!$Ġ$649)</f>
      </c>
      <c r="HQ649">
        <f>IF(ISBLANK('Data Entry'!$ġ$649), "", 'Data Entry'!$ġ$649)</f>
      </c>
      <c r="HR649">
        <f>IF(ISBLANK('Data Entry'!$Ģ$649), "", 'Data Entry'!$Ģ$649)</f>
      </c>
      <c r="HS649">
        <f>IF(ISBLANK('Data Entry'!$ģ$649), "", 'Data Entry'!$ģ$649)</f>
      </c>
      <c r="HT649">
        <f>IF(ISBLANK('Data Entry'!$Ĥ$649), "", 'Data Entry'!$Ĥ$649)</f>
      </c>
      <c r="HU649">
        <f>IF(ISBLANK('Data Entry'!$ĥ$649), "", 'Data Entry'!$ĥ$649)</f>
      </c>
      <c r="HV649">
        <f>IF(ISBLANK('Data Entry'!$Ħ$649), "", 'Data Entry'!$Ħ$649)</f>
      </c>
      <c r="HW649">
        <f>IF(ISBLANK('Data Entry'!$ħ$649), "", 'Data Entry'!$ħ$649)</f>
      </c>
      <c r="HX649">
        <f>IF(ISBLANK('Data Entry'!$Ĩ$649), "", 'Data Entry'!$Ĩ$649)</f>
      </c>
      <c r="HY649">
        <f>IF(ISBLANK('Data Entry'!$ĩ$649), "", 'Data Entry'!$ĩ$649)</f>
      </c>
      <c r="HZ649">
        <f>IF(ISBLANK('Data Entry'!$Ī$649), "", 'Data Entry'!$Ī$649)</f>
      </c>
      <c r="IA649">
        <f>IF(ISBLANK('Data Entry'!$ī$649), "", 'Data Entry'!$ī$649)</f>
      </c>
      <c r="IB649">
        <f>IF(ISBLANK('Data Entry'!$Ĭ$649), "", 'Data Entry'!$Ĭ$649)</f>
      </c>
      <c r="IC649">
        <f>IF(ISBLANK('Data Entry'!$ĭ$649), "", 'Data Entry'!$ĭ$649)</f>
      </c>
      <c r="ID649">
        <f>IF(ISBLANK('Data Entry'!$Į$649), "", 'Data Entry'!$Į$649)</f>
      </c>
      <c r="IE649">
        <f>IF(ISBLANK('Data Entry'!$į$649), "", 'Data Entry'!$į$649)</f>
      </c>
      <c r="IF649">
        <f>IF(ISBLANK('Data Entry'!$İ$649), "", 'Data Entry'!$İ$649)</f>
      </c>
      <c r="IG649">
        <f>IF(ISBLANK('Data Entry'!$ı$649), "", 'Data Entry'!$ı$649)</f>
      </c>
      <c r="IH649">
        <f>IF(ISBLANK('Data Entry'!$Ĳ$649), "", 'Data Entry'!$Ĳ$649)</f>
      </c>
      <c r="II649">
        <f>IF(ISBLANK('Data Entry'!$ĳ$649), "", 'Data Entry'!$ĳ$649)</f>
      </c>
      <c r="IJ649">
        <f>IF(ISBLANK('Data Entry'!$Ĵ$649), "", 'Data Entry'!$Ĵ$649)</f>
      </c>
      <c r="IK649">
        <f>IF(ISBLANK('Data Entry'!$ĵ$649), "", 'Data Entry'!$ĵ$649)</f>
      </c>
      <c r="IL649">
        <f>IF(ISBLANK('Data Entry'!$Ķ$649), "", 'Data Entry'!$Ķ$649)</f>
      </c>
      <c r="IM649">
        <f>IF(ISBLANK('Data Entry'!$ķ$649), "", 'Data Entry'!$ķ$649)</f>
      </c>
      <c r="IN649">
        <f>IF(ISBLANK('Data Entry'!$ĸ$649), "", 'Data Entry'!$ĸ$649)</f>
      </c>
      <c r="IO649">
        <f>IF(ISBLANK('Data Entry'!$Ĺ$649), "", 'Data Entry'!$Ĺ$649)</f>
      </c>
      <c r="IP649">
        <f>IF(ISBLANK('Data Entry'!$ĺ$649), "", 'Data Entry'!$ĺ$649)</f>
      </c>
      <c r="IQ649">
        <f>IF(ISBLANK('Data Entry'!$Ļ$649), "", 'Data Entry'!$Ļ$649)</f>
      </c>
      <c r="IR649">
        <f>IF(ISBLANK('Data Entry'!$ļ$649), "", 'Data Entry'!$ļ$649)</f>
      </c>
      <c r="IS649">
        <f>IF(ISBLANK('Data Entry'!$Ľ$649), "", 'Data Entry'!$Ľ$649)</f>
      </c>
      <c r="IT649">
        <f>IF(ISBLANK('Data Entry'!$ľ$649), "", 'Data Entry'!$ľ$649)</f>
      </c>
    </row>
    <row r="650" spans="1:254" x14ac:dyDescent="0.25">
      <c r="A650">
        <f>IF(ISBLANK('Data Entry'!$A$650), "", 'Data Entry'!$A$650)</f>
      </c>
      <c r="B650">
        <f>IF(ISBLANK('Data Entry'!$B$650), "", 'Data Entry'!$B$650)</f>
      </c>
      <c r="C650">
        <f>IF(ISBLANK('Data Entry'!$C$650), "", 'Data Entry'!$C$650)</f>
      </c>
      <c r="D650">
        <f>IF(ISBLANK('Data Entry'!$D$650), "", 'Data Entry'!$D$650)</f>
      </c>
      <c r="E650">
        <f>IF(ISBLANK('Data Entry'!$E$650), "", 'Data Entry'!$E$650)</f>
      </c>
      <c r="F650">
        <f>IF(ISBLANK('Data Entry'!$F$650), "", 'Data Entry'!$F$650)</f>
      </c>
      <c r="G650">
        <f>IF(ISBLANK('Data Entry'!$G$650), "", 'Data Entry'!$G$650)</f>
      </c>
      <c r="H650">
        <f>IF(ISBLANK('Data Entry'!$H$650), "", 'Data Entry'!$H$650)</f>
      </c>
      <c r="I650">
        <f>IF(ISBLANK('Data Entry'!$I$650), "", 'Data Entry'!$I$650)</f>
      </c>
      <c r="J650">
        <f>IF(ISBLANK('Data Entry'!$J$650), "", 'Data Entry'!$J$650)</f>
      </c>
      <c r="K650">
        <f>IF(ISBLANK('Data Entry'!$K$650), "", 'Data Entry'!$K$650)</f>
      </c>
      <c r="L650">
        <f>IF(ISBLANK('Data Entry'!$L$650), "", 'Data Entry'!$L$650)</f>
      </c>
      <c r="M650">
        <f>IF(ISBLANK('Data Entry'!$M$650), "", 'Data Entry'!$M$650)</f>
      </c>
      <c r="N650">
        <f>IF(ISBLANK('Data Entry'!$N$650), "", 'Data Entry'!$N$650)</f>
      </c>
      <c r="O650">
        <f>IF(ISBLANK('Data Entry'!$O$650), "", 'Data Entry'!$O$650)</f>
      </c>
      <c r="P650">
        <f>IF(ISBLANK('Data Entry'!$P$650), "", 'Data Entry'!$P$650)</f>
      </c>
      <c r="Q650">
        <f>IF(ISBLANK('Data Entry'!$Q$650), "", 'Data Entry'!$Q$650)</f>
      </c>
      <c r="R650">
        <f>IF(ISBLANK('Data Entry'!$R$650), "", 'Data Entry'!$R$650)</f>
      </c>
      <c r="S650">
        <f>IF(ISBLANK('Data Entry'!$S$650), "", 'Data Entry'!$S$650)</f>
      </c>
      <c r="T650">
        <f>IF(ISBLANK('Data Entry'!$T$650), "", 'Data Entry'!$T$650)</f>
      </c>
      <c r="U650">
        <f>IF(ISBLANK('Data Entry'!$U$650), "", 'Data Entry'!$U$650)</f>
      </c>
      <c r="V650">
        <f>IF(ISBLANK('Data Entry'!$V$650), "", 'Data Entry'!$V$650)</f>
      </c>
      <c r="W650">
        <f>IF(ISBLANK('Data Entry'!$W$650), "", 'Data Entry'!$W$650)</f>
      </c>
      <c r="X650">
        <f>IF(ISBLANK('Data Entry'!$X$650), "", 'Data Entry'!$X$650)</f>
      </c>
      <c r="Y650">
        <f>IF(ISBLANK('Data Entry'!$Y$650), "", 'Data Entry'!$Y$650)</f>
      </c>
      <c r="Z650">
        <f>IF(ISBLANK('Data Entry'!$Z$650), "", 'Data Entry'!$Z$650)</f>
      </c>
      <c r="AA650">
        <f>IF(ISBLANK('Data Entry'!$[$650), "", 'Data Entry'!$[$650)</f>
      </c>
      <c r="AB650">
        <f>IF(ISBLANK('Data Entry'!$\$650), "", 'Data Entry'!$\$650)</f>
      </c>
      <c r="AC650">
        <f>IF(ISBLANK('Data Entry'!$]$650), "", 'Data Entry'!$]$650)</f>
      </c>
      <c r="AD650">
        <f>IF(ISBLANK('Data Entry'!$^$650), "", 'Data Entry'!$^$650)</f>
      </c>
      <c r="AE650">
        <f>IF(ISBLANK('Data Entry'!$_$650), "", 'Data Entry'!$_$650)</f>
      </c>
      <c r="AF650">
        <f>IF(ISBLANK('Data Entry'!$`$650), "", 'Data Entry'!$`$650)</f>
      </c>
      <c r="AG650">
        <f>IF(ISBLANK('Data Entry'!$a$650), "", 'Data Entry'!$a$650)</f>
      </c>
      <c r="AH650">
        <f>IF(ISBLANK('Data Entry'!$b$650), "", 'Data Entry'!$b$650)</f>
      </c>
      <c r="AI650">
        <f>IF(ISBLANK('Data Entry'!$c$650), "", 'Data Entry'!$c$650)</f>
      </c>
      <c r="AJ650">
        <f>IF(ISBLANK('Data Entry'!$d$650), "", 'Data Entry'!$d$650)</f>
      </c>
      <c r="AK650">
        <f>IF(ISBLANK('Data Entry'!$e$650), "", 'Data Entry'!$e$650)</f>
      </c>
      <c r="AL650">
        <f>IF(ISBLANK('Data Entry'!$f$650), "", 'Data Entry'!$f$650)</f>
      </c>
      <c r="AM650">
        <f>IF(ISBLANK('Data Entry'!$g$650), "", 'Data Entry'!$g$650)</f>
      </c>
      <c r="AN650">
        <f>IF(ISBLANK('Data Entry'!$h$650), "", 'Data Entry'!$h$650)</f>
      </c>
      <c r="AO650">
        <f>IF(ISBLANK('Data Entry'!$i$650), "", 'Data Entry'!$i$650)</f>
      </c>
      <c r="AP650">
        <f>IF(ISBLANK('Data Entry'!$j$650), "", 'Data Entry'!$j$650)</f>
      </c>
      <c r="AQ650">
        <f>IF(ISBLANK('Data Entry'!$k$650), "", 'Data Entry'!$k$650)</f>
      </c>
      <c r="AR650">
        <f>IF(ISBLANK('Data Entry'!$l$650), "", 'Data Entry'!$l$650)</f>
      </c>
      <c r="AS650">
        <f>IF(ISBLANK('Data Entry'!$m$650), "", 'Data Entry'!$m$650)</f>
      </c>
      <c r="AT650">
        <f>IF(ISBLANK('Data Entry'!$n$650), "", 'Data Entry'!$n$650)</f>
      </c>
      <c r="AU650">
        <f>IF(ISBLANK('Data Entry'!$o$650), "", 'Data Entry'!$o$650)</f>
      </c>
      <c r="AV650">
        <f>IF(ISBLANK('Data Entry'!$p$650), "", 'Data Entry'!$p$650)</f>
      </c>
      <c r="AW650">
        <f>IF(ISBLANK('Data Entry'!$q$650), "", 'Data Entry'!$q$650)</f>
      </c>
      <c r="AX650">
        <f>IF(ISBLANK('Data Entry'!$r$650), "", 'Data Entry'!$r$650)</f>
      </c>
      <c r="AY650">
        <f>IF(ISBLANK('Data Entry'!$s$650), "", 'Data Entry'!$s$650)</f>
      </c>
      <c r="AZ650">
        <f>IF(ISBLANK('Data Entry'!$t$650), "", 'Data Entry'!$t$650)</f>
      </c>
      <c r="BA650">
        <f>IF(ISBLANK('Data Entry'!$u$650), "", 'Data Entry'!$u$650)</f>
      </c>
      <c r="BB650">
        <f>IF(ISBLANK('Data Entry'!$v$650), "", 'Data Entry'!$v$650)</f>
      </c>
      <c r="BC650">
        <f>IF(ISBLANK('Data Entry'!$w$650), "", 'Data Entry'!$w$650)</f>
      </c>
      <c r="BD650">
        <f>IF(ISBLANK('Data Entry'!$x$650), "", 'Data Entry'!$x$650)</f>
      </c>
      <c r="BE650">
        <f>IF(ISBLANK('Data Entry'!$y$650), "", 'Data Entry'!$y$650)</f>
      </c>
      <c r="BF650">
        <f>IF(ISBLANK('Data Entry'!$z$650), "", 'Data Entry'!$z$650)</f>
      </c>
      <c r="BG650">
        <f>IF(ISBLANK('Data Entry'!${$650), "", 'Data Entry'!${$650)</f>
      </c>
      <c r="BH650">
        <f>IF(ISBLANK('Data Entry'!$|$650), "", 'Data Entry'!$|$650)</f>
      </c>
      <c r="BI650">
        <f>IF(ISBLANK('Data Entry'!$}$650), "", 'Data Entry'!$}$650)</f>
      </c>
      <c r="BJ650">
        <f>IF(ISBLANK('Data Entry'!$~$650), "", 'Data Entry'!$~$650)</f>
      </c>
      <c r="BK650">
        <f>IF(ISBLANK('Data Entry'!$$650), "", 'Data Entry'!$$650)</f>
      </c>
      <c r="BL650">
        <f>IF(ISBLANK('Data Entry'!$$650), "", 'Data Entry'!$$650)</f>
      </c>
      <c r="BM650">
        <f>IF(ISBLANK('Data Entry'!$$650), "", 'Data Entry'!$$650)</f>
      </c>
      <c r="BN650">
        <f>IF(ISBLANK('Data Entry'!$$650), "", 'Data Entry'!$$650)</f>
      </c>
      <c r="BO650">
        <f>IF(ISBLANK('Data Entry'!$$650), "", 'Data Entry'!$$650)</f>
      </c>
      <c r="BP650">
        <f>IF(ISBLANK('Data Entry'!$$650), "", 'Data Entry'!$$650)</f>
      </c>
      <c r="BQ650">
        <f>IF(ISBLANK('Data Entry'!$$650), "", 'Data Entry'!$$650)</f>
      </c>
      <c r="BR650">
        <f>IF(ISBLANK('Data Entry'!$$650), "", 'Data Entry'!$$650)</f>
      </c>
      <c r="BS650">
        <f>IF(ISBLANK('Data Entry'!$$650), "", 'Data Entry'!$$650)</f>
      </c>
      <c r="BT650">
        <f>IF(ISBLANK('Data Entry'!$$650), "", 'Data Entry'!$$650)</f>
      </c>
      <c r="BU650">
        <f>IF(ISBLANK('Data Entry'!$$650), "", 'Data Entry'!$$650)</f>
      </c>
      <c r="BV650">
        <f>IF(ISBLANK('Data Entry'!$$650), "", 'Data Entry'!$$650)</f>
      </c>
      <c r="BW650">
        <f>IF(ISBLANK('Data Entry'!$$650), "", 'Data Entry'!$$650)</f>
      </c>
      <c r="BX650">
        <f>IF(ISBLANK('Data Entry'!$$650), "", 'Data Entry'!$$650)</f>
      </c>
      <c r="BY650">
        <f>IF(ISBLANK('Data Entry'!$$650), "", 'Data Entry'!$$650)</f>
      </c>
      <c r="BZ650">
        <f>IF(ISBLANK('Data Entry'!$$650), "", 'Data Entry'!$$650)</f>
      </c>
      <c r="CA650">
        <f>IF(ISBLANK('Data Entry'!$$650), "", 'Data Entry'!$$650)</f>
      </c>
      <c r="CB650">
        <f>IF(ISBLANK('Data Entry'!$$650), "", 'Data Entry'!$$650)</f>
      </c>
      <c r="CC650">
        <f>IF(ISBLANK('Data Entry'!$$650), "", 'Data Entry'!$$650)</f>
      </c>
      <c r="CD650">
        <f>IF(ISBLANK('Data Entry'!$$650), "", 'Data Entry'!$$650)</f>
      </c>
      <c r="CE650">
        <f>IF(ISBLANK('Data Entry'!$$650), "", 'Data Entry'!$$650)</f>
      </c>
      <c r="CF650">
        <f>IF(ISBLANK('Data Entry'!$$650), "", 'Data Entry'!$$650)</f>
      </c>
      <c r="CG650">
        <f>IF(ISBLANK('Data Entry'!$$650), "", 'Data Entry'!$$650)</f>
      </c>
      <c r="CH650">
        <f>IF(ISBLANK('Data Entry'!$$650), "", 'Data Entry'!$$650)</f>
      </c>
      <c r="CI650">
        <f>IF(ISBLANK('Data Entry'!$$650), "", 'Data Entry'!$$650)</f>
      </c>
      <c r="CJ650">
        <f>IF(ISBLANK('Data Entry'!$$650), "", 'Data Entry'!$$650)</f>
      </c>
      <c r="CK650">
        <f>IF(ISBLANK('Data Entry'!$$650), "", 'Data Entry'!$$650)</f>
      </c>
      <c r="CL650">
        <f>IF(ISBLANK('Data Entry'!$$650), "", 'Data Entry'!$$650)</f>
      </c>
      <c r="CM650">
        <f>IF(ISBLANK('Data Entry'!$$650), "", 'Data Entry'!$$650)</f>
      </c>
      <c r="CN650">
        <f>IF(ISBLANK('Data Entry'!$$650), "", 'Data Entry'!$$650)</f>
      </c>
      <c r="CO650">
        <f>IF(ISBLANK('Data Entry'!$$650), "", 'Data Entry'!$$650)</f>
      </c>
      <c r="CP650">
        <f>IF(ISBLANK('Data Entry'!$$650), "", 'Data Entry'!$$650)</f>
      </c>
      <c r="CQ650">
        <f>IF(ISBLANK('Data Entry'!$$650), "", 'Data Entry'!$$650)</f>
      </c>
      <c r="CR650">
        <f>IF(ISBLANK('Data Entry'!$ $650), "", 'Data Entry'!$ $650)</f>
      </c>
      <c r="CS650">
        <f>IF(ISBLANK('Data Entry'!$¡$650), "", 'Data Entry'!$¡$650)</f>
      </c>
      <c r="CT650">
        <f>IF(ISBLANK('Data Entry'!$¢$650), "", 'Data Entry'!$¢$650)</f>
      </c>
      <c r="CU650">
        <f>IF(ISBLANK('Data Entry'!$£$650), "", 'Data Entry'!$£$650)</f>
      </c>
      <c r="CV650">
        <f>IF(ISBLANK('Data Entry'!$¤$650), "", 'Data Entry'!$¤$650)</f>
      </c>
      <c r="CW650">
        <f>IF(ISBLANK('Data Entry'!$¥$650), "", 'Data Entry'!$¥$650)</f>
      </c>
      <c r="CX650">
        <f>IF(ISBLANK('Data Entry'!$¦$650), "", 'Data Entry'!$¦$650)</f>
      </c>
      <c r="CY650">
        <f>IF(ISBLANK('Data Entry'!$§$650), "", 'Data Entry'!$§$650)</f>
      </c>
      <c r="CZ650">
        <f>IF(ISBLANK('Data Entry'!$¨$650), "", 'Data Entry'!$¨$650)</f>
      </c>
      <c r="DA650">
        <f>IF(ISBLANK('Data Entry'!$©$650), "", 'Data Entry'!$©$650)</f>
      </c>
      <c r="DB650">
        <f>IF(ISBLANK('Data Entry'!$ª$650), "", 'Data Entry'!$ª$650)</f>
      </c>
      <c r="DC650">
        <f>IF(ISBLANK('Data Entry'!$«$650), "", 'Data Entry'!$«$650)</f>
      </c>
      <c r="DD650">
        <f>IF(ISBLANK('Data Entry'!$¬$650), "", 'Data Entry'!$¬$650)</f>
      </c>
      <c r="DE650">
        <f>IF(ISBLANK('Data Entry'!$­$650), "", 'Data Entry'!$­$650)</f>
      </c>
      <c r="DF650">
        <f>IF(ISBLANK('Data Entry'!$®$650), "", 'Data Entry'!$®$650)</f>
      </c>
      <c r="DG650">
        <f>IF(ISBLANK('Data Entry'!$¯$650), "", 'Data Entry'!$¯$650)</f>
      </c>
      <c r="DH650">
        <f>IF(ISBLANK('Data Entry'!$°$650), "", 'Data Entry'!$°$650)</f>
      </c>
      <c r="DI650">
        <f>IF(ISBLANK('Data Entry'!$±$650), "", 'Data Entry'!$±$650)</f>
      </c>
      <c r="DJ650">
        <f>IF(ISBLANK('Data Entry'!$²$650), "", 'Data Entry'!$²$650)</f>
      </c>
      <c r="DK650">
        <f>IF(ISBLANK('Data Entry'!$³$650), "", 'Data Entry'!$³$650)</f>
      </c>
      <c r="DL650">
        <f>IF(ISBLANK('Data Entry'!$´$650), "", 'Data Entry'!$´$650)</f>
      </c>
      <c r="DM650">
        <f>IF(ISBLANK('Data Entry'!$µ$650), "", 'Data Entry'!$µ$650)</f>
      </c>
      <c r="DN650">
        <f>IF(ISBLANK('Data Entry'!$¶$650), "", 'Data Entry'!$¶$650)</f>
      </c>
      <c r="DO650">
        <f>IF(ISBLANK('Data Entry'!$·$650), "", 'Data Entry'!$·$650)</f>
      </c>
      <c r="DP650">
        <f>IF(ISBLANK('Data Entry'!$¸$650), "", 'Data Entry'!$¸$650)</f>
      </c>
      <c r="DQ650">
        <f>IF(ISBLANK('Data Entry'!$¹$650), "", 'Data Entry'!$¹$650)</f>
      </c>
      <c r="DR650">
        <f>IF(ISBLANK('Data Entry'!$º$650), "", 'Data Entry'!$º$650)</f>
      </c>
      <c r="DS650">
        <f>IF(ISBLANK('Data Entry'!$»$650), "", 'Data Entry'!$»$650)</f>
      </c>
      <c r="DT650">
        <f>IF(ISBLANK('Data Entry'!$¼$650), "", 'Data Entry'!$¼$650)</f>
      </c>
      <c r="DU650">
        <f>IF(ISBLANK('Data Entry'!$½$650), "", 'Data Entry'!$½$650)</f>
      </c>
      <c r="DV650">
        <f>IF(ISBLANK('Data Entry'!$¾$650), "", 'Data Entry'!$¾$650)</f>
      </c>
      <c r="DW650">
        <f>IF(ISBLANK('Data Entry'!$¿$650), "", 'Data Entry'!$¿$650)</f>
      </c>
      <c r="DX650">
        <f>IF(ISBLANK('Data Entry'!$À$650), "", 'Data Entry'!$À$650)</f>
      </c>
      <c r="DY650">
        <f>IF(ISBLANK('Data Entry'!$Á$650), "", 'Data Entry'!$Á$650)</f>
      </c>
      <c r="DZ650">
        <f>IF(ISBLANK('Data Entry'!$Â$650), "", 'Data Entry'!$Â$650)</f>
      </c>
      <c r="EA650">
        <f>IF(ISBLANK('Data Entry'!$Ã$650), "", 'Data Entry'!$Ã$650)</f>
      </c>
      <c r="EB650">
        <f>IF(ISBLANK('Data Entry'!$Ä$650), "", 'Data Entry'!$Ä$650)</f>
      </c>
      <c r="EC650">
        <f>IF(ISBLANK('Data Entry'!$Å$650), "", 'Data Entry'!$Å$650)</f>
      </c>
      <c r="ED650">
        <f>IF(ISBLANK('Data Entry'!$Æ$650), "", 'Data Entry'!$Æ$650)</f>
      </c>
      <c r="EE650">
        <f>IF(ISBLANK('Data Entry'!$Ç$650), "", 'Data Entry'!$Ç$650)</f>
      </c>
      <c r="EF650">
        <f>IF(ISBLANK('Data Entry'!$È$650), "", 'Data Entry'!$È$650)</f>
      </c>
      <c r="EG650">
        <f>IF(ISBLANK('Data Entry'!$É$650), "", 'Data Entry'!$É$650)</f>
      </c>
      <c r="EH650">
        <f>IF(ISBLANK('Data Entry'!$Ê$650), "", 'Data Entry'!$Ê$650)</f>
      </c>
      <c r="EI650">
        <f>IF(ISBLANK('Data Entry'!$Ë$650), "", 'Data Entry'!$Ë$650)</f>
      </c>
      <c r="EJ650">
        <f>IF(ISBLANK('Data Entry'!$Ì$650), "", 'Data Entry'!$Ì$650)</f>
      </c>
      <c r="EK650">
        <f>IF(ISBLANK('Data Entry'!$Í$650), "", 'Data Entry'!$Í$650)</f>
      </c>
      <c r="EL650">
        <f>IF(ISBLANK('Data Entry'!$Î$650), "", 'Data Entry'!$Î$650)</f>
      </c>
      <c r="EM650">
        <f>IF(ISBLANK('Data Entry'!$Ï$650), "", 'Data Entry'!$Ï$650)</f>
      </c>
      <c r="EN650">
        <f>IF(ISBLANK('Data Entry'!$Ð$650), "", 'Data Entry'!$Ð$650)</f>
      </c>
      <c r="EO650">
        <f>IF(ISBLANK('Data Entry'!$Ñ$650), "", 'Data Entry'!$Ñ$650)</f>
      </c>
      <c r="EP650">
        <f>IF(ISBLANK('Data Entry'!$Ò$650), "", 'Data Entry'!$Ò$650)</f>
      </c>
      <c r="EQ650">
        <f>IF(ISBLANK('Data Entry'!$Ó$650), "", 'Data Entry'!$Ó$650)</f>
      </c>
      <c r="ER650">
        <f>IF(ISBLANK('Data Entry'!$Ô$650), "", 'Data Entry'!$Ô$650)</f>
      </c>
      <c r="ES650">
        <f>IF(ISBLANK('Data Entry'!$Õ$650), "", 'Data Entry'!$Õ$650)</f>
      </c>
      <c r="ET650">
        <f>IF(ISBLANK('Data Entry'!$Ö$650), "", 'Data Entry'!$Ö$650)</f>
      </c>
      <c r="EU650">
        <f>IF(ISBLANK('Data Entry'!$×$650), "", 'Data Entry'!$×$650)</f>
      </c>
      <c r="EV650">
        <f>IF(ISBLANK('Data Entry'!$Ø$650), "", 'Data Entry'!$Ø$650)</f>
      </c>
      <c r="EW650">
        <f>IF(ISBLANK('Data Entry'!$Ù$650), "", 'Data Entry'!$Ù$650)</f>
      </c>
      <c r="EX650">
        <f>IF(ISBLANK('Data Entry'!$Ú$650), "", 'Data Entry'!$Ú$650)</f>
      </c>
      <c r="EY650">
        <f>IF(ISBLANK('Data Entry'!$Û$650), "", 'Data Entry'!$Û$650)</f>
      </c>
      <c r="EZ650">
        <f>IF(ISBLANK('Data Entry'!$Ü$650), "", 'Data Entry'!$Ü$650)</f>
      </c>
      <c r="FA650">
        <f>IF(ISBLANK('Data Entry'!$Ý$650), "", 'Data Entry'!$Ý$650)</f>
      </c>
      <c r="FB650">
        <f>IF(ISBLANK('Data Entry'!$Þ$650), "", 'Data Entry'!$Þ$650)</f>
      </c>
      <c r="FC650">
        <f>IF(ISBLANK('Data Entry'!$ß$650), "", 'Data Entry'!$ß$650)</f>
      </c>
      <c r="FD650">
        <f>IF(ISBLANK('Data Entry'!$à$650), "", 'Data Entry'!$à$650)</f>
      </c>
      <c r="FE650">
        <f>IF(ISBLANK('Data Entry'!$á$650), "", 'Data Entry'!$á$650)</f>
      </c>
      <c r="FF650">
        <f>IF(ISBLANK('Data Entry'!$â$650), "", 'Data Entry'!$â$650)</f>
      </c>
      <c r="FG650">
        <f>IF(ISBLANK('Data Entry'!$ã$650), "", 'Data Entry'!$ã$650)</f>
      </c>
      <c r="FH650">
        <f>IF(ISBLANK('Data Entry'!$ä$650), "", 'Data Entry'!$ä$650)</f>
      </c>
      <c r="FI650">
        <f>IF(ISBLANK('Data Entry'!$å$650), "", 'Data Entry'!$å$650)</f>
      </c>
      <c r="FJ650">
        <f>IF(ISBLANK('Data Entry'!$æ$650), "", 'Data Entry'!$æ$650)</f>
      </c>
      <c r="FK650">
        <f>IF(ISBLANK('Data Entry'!$ç$650), "", 'Data Entry'!$ç$650)</f>
      </c>
      <c r="FL650">
        <f>IF(ISBLANK('Data Entry'!$è$650), "", 'Data Entry'!$è$650)</f>
      </c>
      <c r="FM650">
        <f>IF(ISBLANK('Data Entry'!$é$650), "", 'Data Entry'!$é$650)</f>
      </c>
      <c r="FN650">
        <f>IF(ISBLANK('Data Entry'!$ê$650), "", 'Data Entry'!$ê$650)</f>
      </c>
      <c r="FO650">
        <f>IF(ISBLANK('Data Entry'!$ë$650), "", 'Data Entry'!$ë$650)</f>
      </c>
      <c r="FP650">
        <f>IF(ISBLANK('Data Entry'!$ì$650), "", 'Data Entry'!$ì$650)</f>
      </c>
      <c r="FQ650">
        <f>IF(ISBLANK('Data Entry'!$í$650), "", 'Data Entry'!$í$650)</f>
      </c>
      <c r="FR650">
        <f>IF(ISBLANK('Data Entry'!$î$650), "", 'Data Entry'!$î$650)</f>
      </c>
      <c r="FS650">
        <f>IF(ISBLANK('Data Entry'!$ï$650), "", 'Data Entry'!$ï$650)</f>
      </c>
      <c r="FT650">
        <f>IF(ISBLANK('Data Entry'!$ð$650), "", 'Data Entry'!$ð$650)</f>
      </c>
      <c r="FU650">
        <f>IF(ISBLANK('Data Entry'!$ñ$650), "", 'Data Entry'!$ñ$650)</f>
      </c>
      <c r="FV650">
        <f>IF(ISBLANK('Data Entry'!$ò$650), "", 'Data Entry'!$ò$650)</f>
      </c>
      <c r="FW650">
        <f>IF(ISBLANK('Data Entry'!$ó$650), "", 'Data Entry'!$ó$650)</f>
      </c>
      <c r="FX650">
        <f>IF(ISBLANK('Data Entry'!$ô$650), "", 'Data Entry'!$ô$650)</f>
      </c>
      <c r="FY650">
        <f>IF(ISBLANK('Data Entry'!$õ$650), "", 'Data Entry'!$õ$650)</f>
      </c>
      <c r="FZ650">
        <f>IF(ISBLANK('Data Entry'!$ö$650), "", 'Data Entry'!$ö$650)</f>
      </c>
      <c r="GA650">
        <f>IF(ISBLANK('Data Entry'!$÷$650), "", 'Data Entry'!$÷$650)</f>
      </c>
      <c r="GB650">
        <f>IF(ISBLANK('Data Entry'!$ø$650), "", 'Data Entry'!$ø$650)</f>
      </c>
      <c r="GC650">
        <f>IF(ISBLANK('Data Entry'!$ù$650), "", 'Data Entry'!$ù$650)</f>
      </c>
      <c r="GD650">
        <f>IF(ISBLANK('Data Entry'!$ú$650), "", 'Data Entry'!$ú$650)</f>
      </c>
      <c r="GE650">
        <f>IF(ISBLANK('Data Entry'!$û$650), "", 'Data Entry'!$û$650)</f>
      </c>
      <c r="GF650">
        <f>IF(ISBLANK('Data Entry'!$ü$650), "", 'Data Entry'!$ü$650)</f>
      </c>
      <c r="GG650">
        <f>IF(ISBLANK('Data Entry'!$ý$650), "", 'Data Entry'!$ý$650)</f>
      </c>
      <c r="GH650">
        <f>IF(ISBLANK('Data Entry'!$þ$650), "", 'Data Entry'!$þ$650)</f>
      </c>
      <c r="GI650">
        <f>IF(ISBLANK('Data Entry'!$ÿ$650), "", 'Data Entry'!$ÿ$650)</f>
      </c>
      <c r="GJ650">
        <f>IF(ISBLANK('Data Entry'!$Ā$650), "", 'Data Entry'!$Ā$650)</f>
      </c>
      <c r="GK650">
        <f>IF(ISBLANK('Data Entry'!$ā$650), "", 'Data Entry'!$ā$650)</f>
      </c>
      <c r="GL650">
        <f>IF(ISBLANK('Data Entry'!$Ă$650), "", 'Data Entry'!$Ă$650)</f>
      </c>
      <c r="GM650">
        <f>IF(ISBLANK('Data Entry'!$ă$650), "", 'Data Entry'!$ă$650)</f>
      </c>
      <c r="GN650">
        <f>IF(ISBLANK('Data Entry'!$Ą$650), "", 'Data Entry'!$Ą$650)</f>
      </c>
      <c r="GO650">
        <f>IF(ISBLANK('Data Entry'!$ą$650), "", 'Data Entry'!$ą$650)</f>
      </c>
      <c r="GP650">
        <f>IF(ISBLANK('Data Entry'!$Ć$650), "", 'Data Entry'!$Ć$650)</f>
      </c>
      <c r="GQ650">
        <f>IF(ISBLANK('Data Entry'!$ć$650), "", 'Data Entry'!$ć$650)</f>
      </c>
      <c r="GR650">
        <f>IF(ISBLANK('Data Entry'!$Ĉ$650), "", 'Data Entry'!$Ĉ$650)</f>
      </c>
      <c r="GS650">
        <f>IF(ISBLANK('Data Entry'!$ĉ$650), "", 'Data Entry'!$ĉ$650)</f>
      </c>
      <c r="GT650">
        <f>IF(ISBLANK('Data Entry'!$Ċ$650), "", 'Data Entry'!$Ċ$650)</f>
      </c>
      <c r="GU650">
        <f>IF(ISBLANK('Data Entry'!$ċ$650), "", 'Data Entry'!$ċ$650)</f>
      </c>
      <c r="GV650">
        <f>IF(ISBLANK('Data Entry'!$Č$650), "", 'Data Entry'!$Č$650)</f>
      </c>
      <c r="GW650">
        <f>IF(ISBLANK('Data Entry'!$č$650), "", 'Data Entry'!$č$650)</f>
      </c>
      <c r="GX650">
        <f>IF(ISBLANK('Data Entry'!$Ď$650), "", 'Data Entry'!$Ď$650)</f>
      </c>
      <c r="GY650">
        <f>IF(ISBLANK('Data Entry'!$ď$650), "", 'Data Entry'!$ď$650)</f>
      </c>
      <c r="GZ650">
        <f>IF(ISBLANK('Data Entry'!$Đ$650), "", 'Data Entry'!$Đ$650)</f>
      </c>
      <c r="HA650">
        <f>IF(ISBLANK('Data Entry'!$đ$650), "", 'Data Entry'!$đ$650)</f>
      </c>
      <c r="HB650">
        <f>IF(ISBLANK('Data Entry'!$Ē$650), "", 'Data Entry'!$Ē$650)</f>
      </c>
      <c r="HC650">
        <f>IF(ISBLANK('Data Entry'!$ē$650), "", 'Data Entry'!$ē$650)</f>
      </c>
      <c r="HD650">
        <f>IF(ISBLANK('Data Entry'!$Ĕ$650), "", 'Data Entry'!$Ĕ$650)</f>
      </c>
      <c r="HE650">
        <f>IF(ISBLANK('Data Entry'!$ĕ$650), "", 'Data Entry'!$ĕ$650)</f>
      </c>
      <c r="HF650">
        <f>IF(ISBLANK('Data Entry'!$Ė$650), "", 'Data Entry'!$Ė$650)</f>
      </c>
      <c r="HG650">
        <f>IF(ISBLANK('Data Entry'!$ė$650), "", 'Data Entry'!$ė$650)</f>
      </c>
      <c r="HH650">
        <f>IF(ISBLANK('Data Entry'!$Ę$650), "", 'Data Entry'!$Ę$650)</f>
      </c>
      <c r="HI650">
        <f>IF(ISBLANK('Data Entry'!$ę$650), "", 'Data Entry'!$ę$650)</f>
      </c>
      <c r="HJ650">
        <f>IF(ISBLANK('Data Entry'!$Ě$650), "", 'Data Entry'!$Ě$650)</f>
      </c>
      <c r="HK650">
        <f>IF(ISBLANK('Data Entry'!$ě$650), "", 'Data Entry'!$ě$650)</f>
      </c>
      <c r="HL650">
        <f>IF(ISBLANK('Data Entry'!$Ĝ$650), "", 'Data Entry'!$Ĝ$650)</f>
      </c>
      <c r="HM650">
        <f>IF(ISBLANK('Data Entry'!$ĝ$650), "", 'Data Entry'!$ĝ$650)</f>
      </c>
      <c r="HN650">
        <f>IF(ISBLANK('Data Entry'!$Ğ$650), "", 'Data Entry'!$Ğ$650)</f>
      </c>
      <c r="HO650">
        <f>IF(ISBLANK('Data Entry'!$ğ$650), "", 'Data Entry'!$ğ$650)</f>
      </c>
      <c r="HP650">
        <f>IF(ISBLANK('Data Entry'!$Ġ$650), "", 'Data Entry'!$Ġ$650)</f>
      </c>
      <c r="HQ650">
        <f>IF(ISBLANK('Data Entry'!$ġ$650), "", 'Data Entry'!$ġ$650)</f>
      </c>
      <c r="HR650">
        <f>IF(ISBLANK('Data Entry'!$Ģ$650), "", 'Data Entry'!$Ģ$650)</f>
      </c>
      <c r="HS650">
        <f>IF(ISBLANK('Data Entry'!$ģ$650), "", 'Data Entry'!$ģ$650)</f>
      </c>
      <c r="HT650">
        <f>IF(ISBLANK('Data Entry'!$Ĥ$650), "", 'Data Entry'!$Ĥ$650)</f>
      </c>
      <c r="HU650">
        <f>IF(ISBLANK('Data Entry'!$ĥ$650), "", 'Data Entry'!$ĥ$650)</f>
      </c>
      <c r="HV650">
        <f>IF(ISBLANK('Data Entry'!$Ħ$650), "", 'Data Entry'!$Ħ$650)</f>
      </c>
      <c r="HW650">
        <f>IF(ISBLANK('Data Entry'!$ħ$650), "", 'Data Entry'!$ħ$650)</f>
      </c>
      <c r="HX650">
        <f>IF(ISBLANK('Data Entry'!$Ĩ$650), "", 'Data Entry'!$Ĩ$650)</f>
      </c>
      <c r="HY650">
        <f>IF(ISBLANK('Data Entry'!$ĩ$650), "", 'Data Entry'!$ĩ$650)</f>
      </c>
      <c r="HZ650">
        <f>IF(ISBLANK('Data Entry'!$Ī$650), "", 'Data Entry'!$Ī$650)</f>
      </c>
      <c r="IA650">
        <f>IF(ISBLANK('Data Entry'!$ī$650), "", 'Data Entry'!$ī$650)</f>
      </c>
      <c r="IB650">
        <f>IF(ISBLANK('Data Entry'!$Ĭ$650), "", 'Data Entry'!$Ĭ$650)</f>
      </c>
      <c r="IC650">
        <f>IF(ISBLANK('Data Entry'!$ĭ$650), "", 'Data Entry'!$ĭ$650)</f>
      </c>
      <c r="ID650">
        <f>IF(ISBLANK('Data Entry'!$Į$650), "", 'Data Entry'!$Į$650)</f>
      </c>
      <c r="IE650">
        <f>IF(ISBLANK('Data Entry'!$į$650), "", 'Data Entry'!$į$650)</f>
      </c>
      <c r="IF650">
        <f>IF(ISBLANK('Data Entry'!$İ$650), "", 'Data Entry'!$İ$650)</f>
      </c>
      <c r="IG650">
        <f>IF(ISBLANK('Data Entry'!$ı$650), "", 'Data Entry'!$ı$650)</f>
      </c>
      <c r="IH650">
        <f>IF(ISBLANK('Data Entry'!$Ĳ$650), "", 'Data Entry'!$Ĳ$650)</f>
      </c>
      <c r="II650">
        <f>IF(ISBLANK('Data Entry'!$ĳ$650), "", 'Data Entry'!$ĳ$650)</f>
      </c>
      <c r="IJ650">
        <f>IF(ISBLANK('Data Entry'!$Ĵ$650), "", 'Data Entry'!$Ĵ$650)</f>
      </c>
      <c r="IK650">
        <f>IF(ISBLANK('Data Entry'!$ĵ$650), "", 'Data Entry'!$ĵ$650)</f>
      </c>
      <c r="IL650">
        <f>IF(ISBLANK('Data Entry'!$Ķ$650), "", 'Data Entry'!$Ķ$650)</f>
      </c>
      <c r="IM650">
        <f>IF(ISBLANK('Data Entry'!$ķ$650), "", 'Data Entry'!$ķ$650)</f>
      </c>
      <c r="IN650">
        <f>IF(ISBLANK('Data Entry'!$ĸ$650), "", 'Data Entry'!$ĸ$650)</f>
      </c>
      <c r="IO650">
        <f>IF(ISBLANK('Data Entry'!$Ĺ$650), "", 'Data Entry'!$Ĺ$650)</f>
      </c>
      <c r="IP650">
        <f>IF(ISBLANK('Data Entry'!$ĺ$650), "", 'Data Entry'!$ĺ$650)</f>
      </c>
      <c r="IQ650">
        <f>IF(ISBLANK('Data Entry'!$Ļ$650), "", 'Data Entry'!$Ļ$650)</f>
      </c>
      <c r="IR650">
        <f>IF(ISBLANK('Data Entry'!$ļ$650), "", 'Data Entry'!$ļ$650)</f>
      </c>
      <c r="IS650">
        <f>IF(ISBLANK('Data Entry'!$Ľ$650), "", 'Data Entry'!$Ľ$650)</f>
      </c>
      <c r="IT650">
        <f>IF(ISBLANK('Data Entry'!$ľ$650), "", 'Data Entry'!$ľ$650)</f>
      </c>
    </row>
    <row r="651" spans="1:254" x14ac:dyDescent="0.25">
      <c r="A651">
        <f>IF(ISBLANK('Data Entry'!$A$651), "", 'Data Entry'!$A$651)</f>
      </c>
      <c r="B651">
        <f>IF(ISBLANK('Data Entry'!$B$651), "", 'Data Entry'!$B$651)</f>
      </c>
      <c r="C651">
        <f>IF(ISBLANK('Data Entry'!$C$651), "", 'Data Entry'!$C$651)</f>
      </c>
      <c r="D651">
        <f>IF(ISBLANK('Data Entry'!$D$651), "", 'Data Entry'!$D$651)</f>
      </c>
      <c r="E651">
        <f>IF(ISBLANK('Data Entry'!$E$651), "", 'Data Entry'!$E$651)</f>
      </c>
      <c r="F651">
        <f>IF(ISBLANK('Data Entry'!$F$651), "", 'Data Entry'!$F$651)</f>
      </c>
      <c r="G651">
        <f>IF(ISBLANK('Data Entry'!$G$651), "", 'Data Entry'!$G$651)</f>
      </c>
      <c r="H651">
        <f>IF(ISBLANK('Data Entry'!$H$651), "", 'Data Entry'!$H$651)</f>
      </c>
      <c r="I651">
        <f>IF(ISBLANK('Data Entry'!$I$651), "", 'Data Entry'!$I$651)</f>
      </c>
      <c r="J651">
        <f>IF(ISBLANK('Data Entry'!$J$651), "", 'Data Entry'!$J$651)</f>
      </c>
      <c r="K651">
        <f>IF(ISBLANK('Data Entry'!$K$651), "", 'Data Entry'!$K$651)</f>
      </c>
      <c r="L651">
        <f>IF(ISBLANK('Data Entry'!$L$651), "", 'Data Entry'!$L$651)</f>
      </c>
      <c r="M651">
        <f>IF(ISBLANK('Data Entry'!$M$651), "", 'Data Entry'!$M$651)</f>
      </c>
      <c r="N651">
        <f>IF(ISBLANK('Data Entry'!$N$651), "", 'Data Entry'!$N$651)</f>
      </c>
      <c r="O651">
        <f>IF(ISBLANK('Data Entry'!$O$651), "", 'Data Entry'!$O$651)</f>
      </c>
      <c r="P651">
        <f>IF(ISBLANK('Data Entry'!$P$651), "", 'Data Entry'!$P$651)</f>
      </c>
      <c r="Q651">
        <f>IF(ISBLANK('Data Entry'!$Q$651), "", 'Data Entry'!$Q$651)</f>
      </c>
      <c r="R651">
        <f>IF(ISBLANK('Data Entry'!$R$651), "", 'Data Entry'!$R$651)</f>
      </c>
      <c r="S651">
        <f>IF(ISBLANK('Data Entry'!$S$651), "", 'Data Entry'!$S$651)</f>
      </c>
      <c r="T651">
        <f>IF(ISBLANK('Data Entry'!$T$651), "", 'Data Entry'!$T$651)</f>
      </c>
      <c r="U651">
        <f>IF(ISBLANK('Data Entry'!$U$651), "", 'Data Entry'!$U$651)</f>
      </c>
      <c r="V651">
        <f>IF(ISBLANK('Data Entry'!$V$651), "", 'Data Entry'!$V$651)</f>
      </c>
      <c r="W651">
        <f>IF(ISBLANK('Data Entry'!$W$651), "", 'Data Entry'!$W$651)</f>
      </c>
      <c r="X651">
        <f>IF(ISBLANK('Data Entry'!$X$651), "", 'Data Entry'!$X$651)</f>
      </c>
      <c r="Y651">
        <f>IF(ISBLANK('Data Entry'!$Y$651), "", 'Data Entry'!$Y$651)</f>
      </c>
      <c r="Z651">
        <f>IF(ISBLANK('Data Entry'!$Z$651), "", 'Data Entry'!$Z$651)</f>
      </c>
      <c r="AA651">
        <f>IF(ISBLANK('Data Entry'!$[$651), "", 'Data Entry'!$[$651)</f>
      </c>
      <c r="AB651">
        <f>IF(ISBLANK('Data Entry'!$\$651), "", 'Data Entry'!$\$651)</f>
      </c>
      <c r="AC651">
        <f>IF(ISBLANK('Data Entry'!$]$651), "", 'Data Entry'!$]$651)</f>
      </c>
      <c r="AD651">
        <f>IF(ISBLANK('Data Entry'!$^$651), "", 'Data Entry'!$^$651)</f>
      </c>
      <c r="AE651">
        <f>IF(ISBLANK('Data Entry'!$_$651), "", 'Data Entry'!$_$651)</f>
      </c>
      <c r="AF651">
        <f>IF(ISBLANK('Data Entry'!$`$651), "", 'Data Entry'!$`$651)</f>
      </c>
      <c r="AG651">
        <f>IF(ISBLANK('Data Entry'!$a$651), "", 'Data Entry'!$a$651)</f>
      </c>
      <c r="AH651">
        <f>IF(ISBLANK('Data Entry'!$b$651), "", 'Data Entry'!$b$651)</f>
      </c>
      <c r="AI651">
        <f>IF(ISBLANK('Data Entry'!$c$651), "", 'Data Entry'!$c$651)</f>
      </c>
      <c r="AJ651">
        <f>IF(ISBLANK('Data Entry'!$d$651), "", 'Data Entry'!$d$651)</f>
      </c>
      <c r="AK651">
        <f>IF(ISBLANK('Data Entry'!$e$651), "", 'Data Entry'!$e$651)</f>
      </c>
      <c r="AL651">
        <f>IF(ISBLANK('Data Entry'!$f$651), "", 'Data Entry'!$f$651)</f>
      </c>
      <c r="AM651">
        <f>IF(ISBLANK('Data Entry'!$g$651), "", 'Data Entry'!$g$651)</f>
      </c>
      <c r="AN651">
        <f>IF(ISBLANK('Data Entry'!$h$651), "", 'Data Entry'!$h$651)</f>
      </c>
      <c r="AO651">
        <f>IF(ISBLANK('Data Entry'!$i$651), "", 'Data Entry'!$i$651)</f>
      </c>
      <c r="AP651">
        <f>IF(ISBLANK('Data Entry'!$j$651), "", 'Data Entry'!$j$651)</f>
      </c>
      <c r="AQ651">
        <f>IF(ISBLANK('Data Entry'!$k$651), "", 'Data Entry'!$k$651)</f>
      </c>
      <c r="AR651">
        <f>IF(ISBLANK('Data Entry'!$l$651), "", 'Data Entry'!$l$651)</f>
      </c>
      <c r="AS651">
        <f>IF(ISBLANK('Data Entry'!$m$651), "", 'Data Entry'!$m$651)</f>
      </c>
      <c r="AT651">
        <f>IF(ISBLANK('Data Entry'!$n$651), "", 'Data Entry'!$n$651)</f>
      </c>
      <c r="AU651">
        <f>IF(ISBLANK('Data Entry'!$o$651), "", 'Data Entry'!$o$651)</f>
      </c>
      <c r="AV651">
        <f>IF(ISBLANK('Data Entry'!$p$651), "", 'Data Entry'!$p$651)</f>
      </c>
      <c r="AW651">
        <f>IF(ISBLANK('Data Entry'!$q$651), "", 'Data Entry'!$q$651)</f>
      </c>
      <c r="AX651">
        <f>IF(ISBLANK('Data Entry'!$r$651), "", 'Data Entry'!$r$651)</f>
      </c>
      <c r="AY651">
        <f>IF(ISBLANK('Data Entry'!$s$651), "", 'Data Entry'!$s$651)</f>
      </c>
      <c r="AZ651">
        <f>IF(ISBLANK('Data Entry'!$t$651), "", 'Data Entry'!$t$651)</f>
      </c>
      <c r="BA651">
        <f>IF(ISBLANK('Data Entry'!$u$651), "", 'Data Entry'!$u$651)</f>
      </c>
      <c r="BB651">
        <f>IF(ISBLANK('Data Entry'!$v$651), "", 'Data Entry'!$v$651)</f>
      </c>
      <c r="BC651">
        <f>IF(ISBLANK('Data Entry'!$w$651), "", 'Data Entry'!$w$651)</f>
      </c>
      <c r="BD651">
        <f>IF(ISBLANK('Data Entry'!$x$651), "", 'Data Entry'!$x$651)</f>
      </c>
      <c r="BE651">
        <f>IF(ISBLANK('Data Entry'!$y$651), "", 'Data Entry'!$y$651)</f>
      </c>
      <c r="BF651">
        <f>IF(ISBLANK('Data Entry'!$z$651), "", 'Data Entry'!$z$651)</f>
      </c>
      <c r="BG651">
        <f>IF(ISBLANK('Data Entry'!${$651), "", 'Data Entry'!${$651)</f>
      </c>
      <c r="BH651">
        <f>IF(ISBLANK('Data Entry'!$|$651), "", 'Data Entry'!$|$651)</f>
      </c>
      <c r="BI651">
        <f>IF(ISBLANK('Data Entry'!$}$651), "", 'Data Entry'!$}$651)</f>
      </c>
      <c r="BJ651">
        <f>IF(ISBLANK('Data Entry'!$~$651), "", 'Data Entry'!$~$651)</f>
      </c>
      <c r="BK651">
        <f>IF(ISBLANK('Data Entry'!$$651), "", 'Data Entry'!$$651)</f>
      </c>
      <c r="BL651">
        <f>IF(ISBLANK('Data Entry'!$$651), "", 'Data Entry'!$$651)</f>
      </c>
      <c r="BM651">
        <f>IF(ISBLANK('Data Entry'!$$651), "", 'Data Entry'!$$651)</f>
      </c>
      <c r="BN651">
        <f>IF(ISBLANK('Data Entry'!$$651), "", 'Data Entry'!$$651)</f>
      </c>
      <c r="BO651">
        <f>IF(ISBLANK('Data Entry'!$$651), "", 'Data Entry'!$$651)</f>
      </c>
      <c r="BP651">
        <f>IF(ISBLANK('Data Entry'!$$651), "", 'Data Entry'!$$651)</f>
      </c>
      <c r="BQ651">
        <f>IF(ISBLANK('Data Entry'!$$651), "", 'Data Entry'!$$651)</f>
      </c>
      <c r="BR651">
        <f>IF(ISBLANK('Data Entry'!$$651), "", 'Data Entry'!$$651)</f>
      </c>
      <c r="BS651">
        <f>IF(ISBLANK('Data Entry'!$$651), "", 'Data Entry'!$$651)</f>
      </c>
      <c r="BT651">
        <f>IF(ISBLANK('Data Entry'!$$651), "", 'Data Entry'!$$651)</f>
      </c>
      <c r="BU651">
        <f>IF(ISBLANK('Data Entry'!$$651), "", 'Data Entry'!$$651)</f>
      </c>
      <c r="BV651">
        <f>IF(ISBLANK('Data Entry'!$$651), "", 'Data Entry'!$$651)</f>
      </c>
      <c r="BW651">
        <f>IF(ISBLANK('Data Entry'!$$651), "", 'Data Entry'!$$651)</f>
      </c>
      <c r="BX651">
        <f>IF(ISBLANK('Data Entry'!$$651), "", 'Data Entry'!$$651)</f>
      </c>
      <c r="BY651">
        <f>IF(ISBLANK('Data Entry'!$$651), "", 'Data Entry'!$$651)</f>
      </c>
      <c r="BZ651">
        <f>IF(ISBLANK('Data Entry'!$$651), "", 'Data Entry'!$$651)</f>
      </c>
      <c r="CA651">
        <f>IF(ISBLANK('Data Entry'!$$651), "", 'Data Entry'!$$651)</f>
      </c>
      <c r="CB651">
        <f>IF(ISBLANK('Data Entry'!$$651), "", 'Data Entry'!$$651)</f>
      </c>
      <c r="CC651">
        <f>IF(ISBLANK('Data Entry'!$$651), "", 'Data Entry'!$$651)</f>
      </c>
      <c r="CD651">
        <f>IF(ISBLANK('Data Entry'!$$651), "", 'Data Entry'!$$651)</f>
      </c>
      <c r="CE651">
        <f>IF(ISBLANK('Data Entry'!$$651), "", 'Data Entry'!$$651)</f>
      </c>
      <c r="CF651">
        <f>IF(ISBLANK('Data Entry'!$$651), "", 'Data Entry'!$$651)</f>
      </c>
      <c r="CG651">
        <f>IF(ISBLANK('Data Entry'!$$651), "", 'Data Entry'!$$651)</f>
      </c>
      <c r="CH651">
        <f>IF(ISBLANK('Data Entry'!$$651), "", 'Data Entry'!$$651)</f>
      </c>
      <c r="CI651">
        <f>IF(ISBLANK('Data Entry'!$$651), "", 'Data Entry'!$$651)</f>
      </c>
      <c r="CJ651">
        <f>IF(ISBLANK('Data Entry'!$$651), "", 'Data Entry'!$$651)</f>
      </c>
      <c r="CK651">
        <f>IF(ISBLANK('Data Entry'!$$651), "", 'Data Entry'!$$651)</f>
      </c>
      <c r="CL651">
        <f>IF(ISBLANK('Data Entry'!$$651), "", 'Data Entry'!$$651)</f>
      </c>
      <c r="CM651">
        <f>IF(ISBLANK('Data Entry'!$$651), "", 'Data Entry'!$$651)</f>
      </c>
      <c r="CN651">
        <f>IF(ISBLANK('Data Entry'!$$651), "", 'Data Entry'!$$651)</f>
      </c>
      <c r="CO651">
        <f>IF(ISBLANK('Data Entry'!$$651), "", 'Data Entry'!$$651)</f>
      </c>
      <c r="CP651">
        <f>IF(ISBLANK('Data Entry'!$$651), "", 'Data Entry'!$$651)</f>
      </c>
      <c r="CQ651">
        <f>IF(ISBLANK('Data Entry'!$$651), "", 'Data Entry'!$$651)</f>
      </c>
      <c r="CR651">
        <f>IF(ISBLANK('Data Entry'!$ $651), "", 'Data Entry'!$ $651)</f>
      </c>
      <c r="CS651">
        <f>IF(ISBLANK('Data Entry'!$¡$651), "", 'Data Entry'!$¡$651)</f>
      </c>
      <c r="CT651">
        <f>IF(ISBLANK('Data Entry'!$¢$651), "", 'Data Entry'!$¢$651)</f>
      </c>
      <c r="CU651">
        <f>IF(ISBLANK('Data Entry'!$£$651), "", 'Data Entry'!$£$651)</f>
      </c>
      <c r="CV651">
        <f>IF(ISBLANK('Data Entry'!$¤$651), "", 'Data Entry'!$¤$651)</f>
      </c>
      <c r="CW651">
        <f>IF(ISBLANK('Data Entry'!$¥$651), "", 'Data Entry'!$¥$651)</f>
      </c>
      <c r="CX651">
        <f>IF(ISBLANK('Data Entry'!$¦$651), "", 'Data Entry'!$¦$651)</f>
      </c>
      <c r="CY651">
        <f>IF(ISBLANK('Data Entry'!$§$651), "", 'Data Entry'!$§$651)</f>
      </c>
      <c r="CZ651">
        <f>IF(ISBLANK('Data Entry'!$¨$651), "", 'Data Entry'!$¨$651)</f>
      </c>
      <c r="DA651">
        <f>IF(ISBLANK('Data Entry'!$©$651), "", 'Data Entry'!$©$651)</f>
      </c>
      <c r="DB651">
        <f>IF(ISBLANK('Data Entry'!$ª$651), "", 'Data Entry'!$ª$651)</f>
      </c>
      <c r="DC651">
        <f>IF(ISBLANK('Data Entry'!$«$651), "", 'Data Entry'!$«$651)</f>
      </c>
      <c r="DD651">
        <f>IF(ISBLANK('Data Entry'!$¬$651), "", 'Data Entry'!$¬$651)</f>
      </c>
      <c r="DE651">
        <f>IF(ISBLANK('Data Entry'!$­$651), "", 'Data Entry'!$­$651)</f>
      </c>
      <c r="DF651">
        <f>IF(ISBLANK('Data Entry'!$®$651), "", 'Data Entry'!$®$651)</f>
      </c>
      <c r="DG651">
        <f>IF(ISBLANK('Data Entry'!$¯$651), "", 'Data Entry'!$¯$651)</f>
      </c>
      <c r="DH651">
        <f>IF(ISBLANK('Data Entry'!$°$651), "", 'Data Entry'!$°$651)</f>
      </c>
      <c r="DI651">
        <f>IF(ISBLANK('Data Entry'!$±$651), "", 'Data Entry'!$±$651)</f>
      </c>
      <c r="DJ651">
        <f>IF(ISBLANK('Data Entry'!$²$651), "", 'Data Entry'!$²$651)</f>
      </c>
      <c r="DK651">
        <f>IF(ISBLANK('Data Entry'!$³$651), "", 'Data Entry'!$³$651)</f>
      </c>
      <c r="DL651">
        <f>IF(ISBLANK('Data Entry'!$´$651), "", 'Data Entry'!$´$651)</f>
      </c>
      <c r="DM651">
        <f>IF(ISBLANK('Data Entry'!$µ$651), "", 'Data Entry'!$µ$651)</f>
      </c>
      <c r="DN651">
        <f>IF(ISBLANK('Data Entry'!$¶$651), "", 'Data Entry'!$¶$651)</f>
      </c>
      <c r="DO651">
        <f>IF(ISBLANK('Data Entry'!$·$651), "", 'Data Entry'!$·$651)</f>
      </c>
      <c r="DP651">
        <f>IF(ISBLANK('Data Entry'!$¸$651), "", 'Data Entry'!$¸$651)</f>
      </c>
      <c r="DQ651">
        <f>IF(ISBLANK('Data Entry'!$¹$651), "", 'Data Entry'!$¹$651)</f>
      </c>
      <c r="DR651">
        <f>IF(ISBLANK('Data Entry'!$º$651), "", 'Data Entry'!$º$651)</f>
      </c>
      <c r="DS651">
        <f>IF(ISBLANK('Data Entry'!$»$651), "", 'Data Entry'!$»$651)</f>
      </c>
      <c r="DT651">
        <f>IF(ISBLANK('Data Entry'!$¼$651), "", 'Data Entry'!$¼$651)</f>
      </c>
      <c r="DU651">
        <f>IF(ISBLANK('Data Entry'!$½$651), "", 'Data Entry'!$½$651)</f>
      </c>
      <c r="DV651">
        <f>IF(ISBLANK('Data Entry'!$¾$651), "", 'Data Entry'!$¾$651)</f>
      </c>
      <c r="DW651">
        <f>IF(ISBLANK('Data Entry'!$¿$651), "", 'Data Entry'!$¿$651)</f>
      </c>
      <c r="DX651">
        <f>IF(ISBLANK('Data Entry'!$À$651), "", 'Data Entry'!$À$651)</f>
      </c>
      <c r="DY651">
        <f>IF(ISBLANK('Data Entry'!$Á$651), "", 'Data Entry'!$Á$651)</f>
      </c>
      <c r="DZ651">
        <f>IF(ISBLANK('Data Entry'!$Â$651), "", 'Data Entry'!$Â$651)</f>
      </c>
      <c r="EA651">
        <f>IF(ISBLANK('Data Entry'!$Ã$651), "", 'Data Entry'!$Ã$651)</f>
      </c>
      <c r="EB651">
        <f>IF(ISBLANK('Data Entry'!$Ä$651), "", 'Data Entry'!$Ä$651)</f>
      </c>
      <c r="EC651">
        <f>IF(ISBLANK('Data Entry'!$Å$651), "", 'Data Entry'!$Å$651)</f>
      </c>
      <c r="ED651">
        <f>IF(ISBLANK('Data Entry'!$Æ$651), "", 'Data Entry'!$Æ$651)</f>
      </c>
      <c r="EE651">
        <f>IF(ISBLANK('Data Entry'!$Ç$651), "", 'Data Entry'!$Ç$651)</f>
      </c>
      <c r="EF651">
        <f>IF(ISBLANK('Data Entry'!$È$651), "", 'Data Entry'!$È$651)</f>
      </c>
      <c r="EG651">
        <f>IF(ISBLANK('Data Entry'!$É$651), "", 'Data Entry'!$É$651)</f>
      </c>
      <c r="EH651">
        <f>IF(ISBLANK('Data Entry'!$Ê$651), "", 'Data Entry'!$Ê$651)</f>
      </c>
      <c r="EI651">
        <f>IF(ISBLANK('Data Entry'!$Ë$651), "", 'Data Entry'!$Ë$651)</f>
      </c>
      <c r="EJ651">
        <f>IF(ISBLANK('Data Entry'!$Ì$651), "", 'Data Entry'!$Ì$651)</f>
      </c>
      <c r="EK651">
        <f>IF(ISBLANK('Data Entry'!$Í$651), "", 'Data Entry'!$Í$651)</f>
      </c>
      <c r="EL651">
        <f>IF(ISBLANK('Data Entry'!$Î$651), "", 'Data Entry'!$Î$651)</f>
      </c>
      <c r="EM651">
        <f>IF(ISBLANK('Data Entry'!$Ï$651), "", 'Data Entry'!$Ï$651)</f>
      </c>
      <c r="EN651">
        <f>IF(ISBLANK('Data Entry'!$Ð$651), "", 'Data Entry'!$Ð$651)</f>
      </c>
      <c r="EO651">
        <f>IF(ISBLANK('Data Entry'!$Ñ$651), "", 'Data Entry'!$Ñ$651)</f>
      </c>
      <c r="EP651">
        <f>IF(ISBLANK('Data Entry'!$Ò$651), "", 'Data Entry'!$Ò$651)</f>
      </c>
      <c r="EQ651">
        <f>IF(ISBLANK('Data Entry'!$Ó$651), "", 'Data Entry'!$Ó$651)</f>
      </c>
      <c r="ER651">
        <f>IF(ISBLANK('Data Entry'!$Ô$651), "", 'Data Entry'!$Ô$651)</f>
      </c>
      <c r="ES651">
        <f>IF(ISBLANK('Data Entry'!$Õ$651), "", 'Data Entry'!$Õ$651)</f>
      </c>
      <c r="ET651">
        <f>IF(ISBLANK('Data Entry'!$Ö$651), "", 'Data Entry'!$Ö$651)</f>
      </c>
      <c r="EU651">
        <f>IF(ISBLANK('Data Entry'!$×$651), "", 'Data Entry'!$×$651)</f>
      </c>
      <c r="EV651">
        <f>IF(ISBLANK('Data Entry'!$Ø$651), "", 'Data Entry'!$Ø$651)</f>
      </c>
      <c r="EW651">
        <f>IF(ISBLANK('Data Entry'!$Ù$651), "", 'Data Entry'!$Ù$651)</f>
      </c>
      <c r="EX651">
        <f>IF(ISBLANK('Data Entry'!$Ú$651), "", 'Data Entry'!$Ú$651)</f>
      </c>
      <c r="EY651">
        <f>IF(ISBLANK('Data Entry'!$Û$651), "", 'Data Entry'!$Û$651)</f>
      </c>
      <c r="EZ651">
        <f>IF(ISBLANK('Data Entry'!$Ü$651), "", 'Data Entry'!$Ü$651)</f>
      </c>
      <c r="FA651">
        <f>IF(ISBLANK('Data Entry'!$Ý$651), "", 'Data Entry'!$Ý$651)</f>
      </c>
      <c r="FB651">
        <f>IF(ISBLANK('Data Entry'!$Þ$651), "", 'Data Entry'!$Þ$651)</f>
      </c>
      <c r="FC651">
        <f>IF(ISBLANK('Data Entry'!$ß$651), "", 'Data Entry'!$ß$651)</f>
      </c>
      <c r="FD651">
        <f>IF(ISBLANK('Data Entry'!$à$651), "", 'Data Entry'!$à$651)</f>
      </c>
      <c r="FE651">
        <f>IF(ISBLANK('Data Entry'!$á$651), "", 'Data Entry'!$á$651)</f>
      </c>
      <c r="FF651">
        <f>IF(ISBLANK('Data Entry'!$â$651), "", 'Data Entry'!$â$651)</f>
      </c>
      <c r="FG651">
        <f>IF(ISBLANK('Data Entry'!$ã$651), "", 'Data Entry'!$ã$651)</f>
      </c>
      <c r="FH651">
        <f>IF(ISBLANK('Data Entry'!$ä$651), "", 'Data Entry'!$ä$651)</f>
      </c>
      <c r="FI651">
        <f>IF(ISBLANK('Data Entry'!$å$651), "", 'Data Entry'!$å$651)</f>
      </c>
      <c r="FJ651">
        <f>IF(ISBLANK('Data Entry'!$æ$651), "", 'Data Entry'!$æ$651)</f>
      </c>
      <c r="FK651">
        <f>IF(ISBLANK('Data Entry'!$ç$651), "", 'Data Entry'!$ç$651)</f>
      </c>
      <c r="FL651">
        <f>IF(ISBLANK('Data Entry'!$è$651), "", 'Data Entry'!$è$651)</f>
      </c>
      <c r="FM651">
        <f>IF(ISBLANK('Data Entry'!$é$651), "", 'Data Entry'!$é$651)</f>
      </c>
      <c r="FN651">
        <f>IF(ISBLANK('Data Entry'!$ê$651), "", 'Data Entry'!$ê$651)</f>
      </c>
      <c r="FO651">
        <f>IF(ISBLANK('Data Entry'!$ë$651), "", 'Data Entry'!$ë$651)</f>
      </c>
      <c r="FP651">
        <f>IF(ISBLANK('Data Entry'!$ì$651), "", 'Data Entry'!$ì$651)</f>
      </c>
      <c r="FQ651">
        <f>IF(ISBLANK('Data Entry'!$í$651), "", 'Data Entry'!$í$651)</f>
      </c>
      <c r="FR651">
        <f>IF(ISBLANK('Data Entry'!$î$651), "", 'Data Entry'!$î$651)</f>
      </c>
      <c r="FS651">
        <f>IF(ISBLANK('Data Entry'!$ï$651), "", 'Data Entry'!$ï$651)</f>
      </c>
      <c r="FT651">
        <f>IF(ISBLANK('Data Entry'!$ð$651), "", 'Data Entry'!$ð$651)</f>
      </c>
      <c r="FU651">
        <f>IF(ISBLANK('Data Entry'!$ñ$651), "", 'Data Entry'!$ñ$651)</f>
      </c>
      <c r="FV651">
        <f>IF(ISBLANK('Data Entry'!$ò$651), "", 'Data Entry'!$ò$651)</f>
      </c>
      <c r="FW651">
        <f>IF(ISBLANK('Data Entry'!$ó$651), "", 'Data Entry'!$ó$651)</f>
      </c>
      <c r="FX651">
        <f>IF(ISBLANK('Data Entry'!$ô$651), "", 'Data Entry'!$ô$651)</f>
      </c>
      <c r="FY651">
        <f>IF(ISBLANK('Data Entry'!$õ$651), "", 'Data Entry'!$õ$651)</f>
      </c>
      <c r="FZ651">
        <f>IF(ISBLANK('Data Entry'!$ö$651), "", 'Data Entry'!$ö$651)</f>
      </c>
      <c r="GA651">
        <f>IF(ISBLANK('Data Entry'!$÷$651), "", 'Data Entry'!$÷$651)</f>
      </c>
      <c r="GB651">
        <f>IF(ISBLANK('Data Entry'!$ø$651), "", 'Data Entry'!$ø$651)</f>
      </c>
      <c r="GC651">
        <f>IF(ISBLANK('Data Entry'!$ù$651), "", 'Data Entry'!$ù$651)</f>
      </c>
      <c r="GD651">
        <f>IF(ISBLANK('Data Entry'!$ú$651), "", 'Data Entry'!$ú$651)</f>
      </c>
      <c r="GE651">
        <f>IF(ISBLANK('Data Entry'!$û$651), "", 'Data Entry'!$û$651)</f>
      </c>
      <c r="GF651">
        <f>IF(ISBLANK('Data Entry'!$ü$651), "", 'Data Entry'!$ü$651)</f>
      </c>
      <c r="GG651">
        <f>IF(ISBLANK('Data Entry'!$ý$651), "", 'Data Entry'!$ý$651)</f>
      </c>
      <c r="GH651">
        <f>IF(ISBLANK('Data Entry'!$þ$651), "", 'Data Entry'!$þ$651)</f>
      </c>
      <c r="GI651">
        <f>IF(ISBLANK('Data Entry'!$ÿ$651), "", 'Data Entry'!$ÿ$651)</f>
      </c>
      <c r="GJ651">
        <f>IF(ISBLANK('Data Entry'!$Ā$651), "", 'Data Entry'!$Ā$651)</f>
      </c>
      <c r="GK651">
        <f>IF(ISBLANK('Data Entry'!$ā$651), "", 'Data Entry'!$ā$651)</f>
      </c>
      <c r="GL651">
        <f>IF(ISBLANK('Data Entry'!$Ă$651), "", 'Data Entry'!$Ă$651)</f>
      </c>
      <c r="GM651">
        <f>IF(ISBLANK('Data Entry'!$ă$651), "", 'Data Entry'!$ă$651)</f>
      </c>
      <c r="GN651">
        <f>IF(ISBLANK('Data Entry'!$Ą$651), "", 'Data Entry'!$Ą$651)</f>
      </c>
      <c r="GO651">
        <f>IF(ISBLANK('Data Entry'!$ą$651), "", 'Data Entry'!$ą$651)</f>
      </c>
      <c r="GP651">
        <f>IF(ISBLANK('Data Entry'!$Ć$651), "", 'Data Entry'!$Ć$651)</f>
      </c>
      <c r="GQ651">
        <f>IF(ISBLANK('Data Entry'!$ć$651), "", 'Data Entry'!$ć$651)</f>
      </c>
      <c r="GR651">
        <f>IF(ISBLANK('Data Entry'!$Ĉ$651), "", 'Data Entry'!$Ĉ$651)</f>
      </c>
      <c r="GS651">
        <f>IF(ISBLANK('Data Entry'!$ĉ$651), "", 'Data Entry'!$ĉ$651)</f>
      </c>
      <c r="GT651">
        <f>IF(ISBLANK('Data Entry'!$Ċ$651), "", 'Data Entry'!$Ċ$651)</f>
      </c>
      <c r="GU651">
        <f>IF(ISBLANK('Data Entry'!$ċ$651), "", 'Data Entry'!$ċ$651)</f>
      </c>
      <c r="GV651">
        <f>IF(ISBLANK('Data Entry'!$Č$651), "", 'Data Entry'!$Č$651)</f>
      </c>
      <c r="GW651">
        <f>IF(ISBLANK('Data Entry'!$č$651), "", 'Data Entry'!$č$651)</f>
      </c>
      <c r="GX651">
        <f>IF(ISBLANK('Data Entry'!$Ď$651), "", 'Data Entry'!$Ď$651)</f>
      </c>
      <c r="GY651">
        <f>IF(ISBLANK('Data Entry'!$ď$651), "", 'Data Entry'!$ď$651)</f>
      </c>
      <c r="GZ651">
        <f>IF(ISBLANK('Data Entry'!$Đ$651), "", 'Data Entry'!$Đ$651)</f>
      </c>
      <c r="HA651">
        <f>IF(ISBLANK('Data Entry'!$đ$651), "", 'Data Entry'!$đ$651)</f>
      </c>
      <c r="HB651">
        <f>IF(ISBLANK('Data Entry'!$Ē$651), "", 'Data Entry'!$Ē$651)</f>
      </c>
      <c r="HC651">
        <f>IF(ISBLANK('Data Entry'!$ē$651), "", 'Data Entry'!$ē$651)</f>
      </c>
      <c r="HD651">
        <f>IF(ISBLANK('Data Entry'!$Ĕ$651), "", 'Data Entry'!$Ĕ$651)</f>
      </c>
      <c r="HE651">
        <f>IF(ISBLANK('Data Entry'!$ĕ$651), "", 'Data Entry'!$ĕ$651)</f>
      </c>
      <c r="HF651">
        <f>IF(ISBLANK('Data Entry'!$Ė$651), "", 'Data Entry'!$Ė$651)</f>
      </c>
      <c r="HG651">
        <f>IF(ISBLANK('Data Entry'!$ė$651), "", 'Data Entry'!$ė$651)</f>
      </c>
      <c r="HH651">
        <f>IF(ISBLANK('Data Entry'!$Ę$651), "", 'Data Entry'!$Ę$651)</f>
      </c>
      <c r="HI651">
        <f>IF(ISBLANK('Data Entry'!$ę$651), "", 'Data Entry'!$ę$651)</f>
      </c>
      <c r="HJ651">
        <f>IF(ISBLANK('Data Entry'!$Ě$651), "", 'Data Entry'!$Ě$651)</f>
      </c>
      <c r="HK651">
        <f>IF(ISBLANK('Data Entry'!$ě$651), "", 'Data Entry'!$ě$651)</f>
      </c>
      <c r="HL651">
        <f>IF(ISBLANK('Data Entry'!$Ĝ$651), "", 'Data Entry'!$Ĝ$651)</f>
      </c>
      <c r="HM651">
        <f>IF(ISBLANK('Data Entry'!$ĝ$651), "", 'Data Entry'!$ĝ$651)</f>
      </c>
      <c r="HN651">
        <f>IF(ISBLANK('Data Entry'!$Ğ$651), "", 'Data Entry'!$Ğ$651)</f>
      </c>
      <c r="HO651">
        <f>IF(ISBLANK('Data Entry'!$ğ$651), "", 'Data Entry'!$ğ$651)</f>
      </c>
      <c r="HP651">
        <f>IF(ISBLANK('Data Entry'!$Ġ$651), "", 'Data Entry'!$Ġ$651)</f>
      </c>
      <c r="HQ651">
        <f>IF(ISBLANK('Data Entry'!$ġ$651), "", 'Data Entry'!$ġ$651)</f>
      </c>
      <c r="HR651">
        <f>IF(ISBLANK('Data Entry'!$Ģ$651), "", 'Data Entry'!$Ģ$651)</f>
      </c>
      <c r="HS651">
        <f>IF(ISBLANK('Data Entry'!$ģ$651), "", 'Data Entry'!$ģ$651)</f>
      </c>
      <c r="HT651">
        <f>IF(ISBLANK('Data Entry'!$Ĥ$651), "", 'Data Entry'!$Ĥ$651)</f>
      </c>
      <c r="HU651">
        <f>IF(ISBLANK('Data Entry'!$ĥ$651), "", 'Data Entry'!$ĥ$651)</f>
      </c>
      <c r="HV651">
        <f>IF(ISBLANK('Data Entry'!$Ħ$651), "", 'Data Entry'!$Ħ$651)</f>
      </c>
      <c r="HW651">
        <f>IF(ISBLANK('Data Entry'!$ħ$651), "", 'Data Entry'!$ħ$651)</f>
      </c>
      <c r="HX651">
        <f>IF(ISBLANK('Data Entry'!$Ĩ$651), "", 'Data Entry'!$Ĩ$651)</f>
      </c>
      <c r="HY651">
        <f>IF(ISBLANK('Data Entry'!$ĩ$651), "", 'Data Entry'!$ĩ$651)</f>
      </c>
      <c r="HZ651">
        <f>IF(ISBLANK('Data Entry'!$Ī$651), "", 'Data Entry'!$Ī$651)</f>
      </c>
      <c r="IA651">
        <f>IF(ISBLANK('Data Entry'!$ī$651), "", 'Data Entry'!$ī$651)</f>
      </c>
      <c r="IB651">
        <f>IF(ISBLANK('Data Entry'!$Ĭ$651), "", 'Data Entry'!$Ĭ$651)</f>
      </c>
      <c r="IC651">
        <f>IF(ISBLANK('Data Entry'!$ĭ$651), "", 'Data Entry'!$ĭ$651)</f>
      </c>
      <c r="ID651">
        <f>IF(ISBLANK('Data Entry'!$Į$651), "", 'Data Entry'!$Į$651)</f>
      </c>
      <c r="IE651">
        <f>IF(ISBLANK('Data Entry'!$į$651), "", 'Data Entry'!$į$651)</f>
      </c>
      <c r="IF651">
        <f>IF(ISBLANK('Data Entry'!$İ$651), "", 'Data Entry'!$İ$651)</f>
      </c>
      <c r="IG651">
        <f>IF(ISBLANK('Data Entry'!$ı$651), "", 'Data Entry'!$ı$651)</f>
      </c>
      <c r="IH651">
        <f>IF(ISBLANK('Data Entry'!$Ĳ$651), "", 'Data Entry'!$Ĳ$651)</f>
      </c>
      <c r="II651">
        <f>IF(ISBLANK('Data Entry'!$ĳ$651), "", 'Data Entry'!$ĳ$651)</f>
      </c>
      <c r="IJ651">
        <f>IF(ISBLANK('Data Entry'!$Ĵ$651), "", 'Data Entry'!$Ĵ$651)</f>
      </c>
      <c r="IK651">
        <f>IF(ISBLANK('Data Entry'!$ĵ$651), "", 'Data Entry'!$ĵ$651)</f>
      </c>
      <c r="IL651">
        <f>IF(ISBLANK('Data Entry'!$Ķ$651), "", 'Data Entry'!$Ķ$651)</f>
      </c>
      <c r="IM651">
        <f>IF(ISBLANK('Data Entry'!$ķ$651), "", 'Data Entry'!$ķ$651)</f>
      </c>
      <c r="IN651">
        <f>IF(ISBLANK('Data Entry'!$ĸ$651), "", 'Data Entry'!$ĸ$651)</f>
      </c>
      <c r="IO651">
        <f>IF(ISBLANK('Data Entry'!$Ĺ$651), "", 'Data Entry'!$Ĺ$651)</f>
      </c>
      <c r="IP651">
        <f>IF(ISBLANK('Data Entry'!$ĺ$651), "", 'Data Entry'!$ĺ$651)</f>
      </c>
      <c r="IQ651">
        <f>IF(ISBLANK('Data Entry'!$Ļ$651), "", 'Data Entry'!$Ļ$651)</f>
      </c>
      <c r="IR651">
        <f>IF(ISBLANK('Data Entry'!$ļ$651), "", 'Data Entry'!$ļ$651)</f>
      </c>
      <c r="IS651">
        <f>IF(ISBLANK('Data Entry'!$Ľ$651), "", 'Data Entry'!$Ľ$651)</f>
      </c>
      <c r="IT651">
        <f>IF(ISBLANK('Data Entry'!$ľ$651), "", 'Data Entry'!$ľ$651)</f>
      </c>
    </row>
    <row r="652" spans="1:254" x14ac:dyDescent="0.25">
      <c r="A652">
        <f>IF(ISBLANK('Data Entry'!$A$652), "", 'Data Entry'!$A$652)</f>
      </c>
      <c r="B652">
        <f>IF(ISBLANK('Data Entry'!$B$652), "", 'Data Entry'!$B$652)</f>
      </c>
      <c r="C652">
        <f>IF(ISBLANK('Data Entry'!$C$652), "", 'Data Entry'!$C$652)</f>
      </c>
      <c r="D652">
        <f>IF(ISBLANK('Data Entry'!$D$652), "", 'Data Entry'!$D$652)</f>
      </c>
      <c r="E652">
        <f>IF(ISBLANK('Data Entry'!$E$652), "", 'Data Entry'!$E$652)</f>
      </c>
      <c r="F652">
        <f>IF(ISBLANK('Data Entry'!$F$652), "", 'Data Entry'!$F$652)</f>
      </c>
      <c r="G652">
        <f>IF(ISBLANK('Data Entry'!$G$652), "", 'Data Entry'!$G$652)</f>
      </c>
      <c r="H652">
        <f>IF(ISBLANK('Data Entry'!$H$652), "", 'Data Entry'!$H$652)</f>
      </c>
      <c r="I652">
        <f>IF(ISBLANK('Data Entry'!$I$652), "", 'Data Entry'!$I$652)</f>
      </c>
      <c r="J652">
        <f>IF(ISBLANK('Data Entry'!$J$652), "", 'Data Entry'!$J$652)</f>
      </c>
      <c r="K652">
        <f>IF(ISBLANK('Data Entry'!$K$652), "", 'Data Entry'!$K$652)</f>
      </c>
      <c r="L652">
        <f>IF(ISBLANK('Data Entry'!$L$652), "", 'Data Entry'!$L$652)</f>
      </c>
      <c r="M652">
        <f>IF(ISBLANK('Data Entry'!$M$652), "", 'Data Entry'!$M$652)</f>
      </c>
      <c r="N652">
        <f>IF(ISBLANK('Data Entry'!$N$652), "", 'Data Entry'!$N$652)</f>
      </c>
      <c r="O652">
        <f>IF(ISBLANK('Data Entry'!$O$652), "", 'Data Entry'!$O$652)</f>
      </c>
      <c r="P652">
        <f>IF(ISBLANK('Data Entry'!$P$652), "", 'Data Entry'!$P$652)</f>
      </c>
      <c r="Q652">
        <f>IF(ISBLANK('Data Entry'!$Q$652), "", 'Data Entry'!$Q$652)</f>
      </c>
      <c r="R652">
        <f>IF(ISBLANK('Data Entry'!$R$652), "", 'Data Entry'!$R$652)</f>
      </c>
      <c r="S652">
        <f>IF(ISBLANK('Data Entry'!$S$652), "", 'Data Entry'!$S$652)</f>
      </c>
      <c r="T652">
        <f>IF(ISBLANK('Data Entry'!$T$652), "", 'Data Entry'!$T$652)</f>
      </c>
      <c r="U652">
        <f>IF(ISBLANK('Data Entry'!$U$652), "", 'Data Entry'!$U$652)</f>
      </c>
      <c r="V652">
        <f>IF(ISBLANK('Data Entry'!$V$652), "", 'Data Entry'!$V$652)</f>
      </c>
      <c r="W652">
        <f>IF(ISBLANK('Data Entry'!$W$652), "", 'Data Entry'!$W$652)</f>
      </c>
      <c r="X652">
        <f>IF(ISBLANK('Data Entry'!$X$652), "", 'Data Entry'!$X$652)</f>
      </c>
      <c r="Y652">
        <f>IF(ISBLANK('Data Entry'!$Y$652), "", 'Data Entry'!$Y$652)</f>
      </c>
      <c r="Z652">
        <f>IF(ISBLANK('Data Entry'!$Z$652), "", 'Data Entry'!$Z$652)</f>
      </c>
      <c r="AA652">
        <f>IF(ISBLANK('Data Entry'!$[$652), "", 'Data Entry'!$[$652)</f>
      </c>
      <c r="AB652">
        <f>IF(ISBLANK('Data Entry'!$\$652), "", 'Data Entry'!$\$652)</f>
      </c>
      <c r="AC652">
        <f>IF(ISBLANK('Data Entry'!$]$652), "", 'Data Entry'!$]$652)</f>
      </c>
      <c r="AD652">
        <f>IF(ISBLANK('Data Entry'!$^$652), "", 'Data Entry'!$^$652)</f>
      </c>
      <c r="AE652">
        <f>IF(ISBLANK('Data Entry'!$_$652), "", 'Data Entry'!$_$652)</f>
      </c>
      <c r="AF652">
        <f>IF(ISBLANK('Data Entry'!$`$652), "", 'Data Entry'!$`$652)</f>
      </c>
      <c r="AG652">
        <f>IF(ISBLANK('Data Entry'!$a$652), "", 'Data Entry'!$a$652)</f>
      </c>
      <c r="AH652">
        <f>IF(ISBLANK('Data Entry'!$b$652), "", 'Data Entry'!$b$652)</f>
      </c>
      <c r="AI652">
        <f>IF(ISBLANK('Data Entry'!$c$652), "", 'Data Entry'!$c$652)</f>
      </c>
      <c r="AJ652">
        <f>IF(ISBLANK('Data Entry'!$d$652), "", 'Data Entry'!$d$652)</f>
      </c>
      <c r="AK652">
        <f>IF(ISBLANK('Data Entry'!$e$652), "", 'Data Entry'!$e$652)</f>
      </c>
      <c r="AL652">
        <f>IF(ISBLANK('Data Entry'!$f$652), "", 'Data Entry'!$f$652)</f>
      </c>
      <c r="AM652">
        <f>IF(ISBLANK('Data Entry'!$g$652), "", 'Data Entry'!$g$652)</f>
      </c>
      <c r="AN652">
        <f>IF(ISBLANK('Data Entry'!$h$652), "", 'Data Entry'!$h$652)</f>
      </c>
      <c r="AO652">
        <f>IF(ISBLANK('Data Entry'!$i$652), "", 'Data Entry'!$i$652)</f>
      </c>
      <c r="AP652">
        <f>IF(ISBLANK('Data Entry'!$j$652), "", 'Data Entry'!$j$652)</f>
      </c>
      <c r="AQ652">
        <f>IF(ISBLANK('Data Entry'!$k$652), "", 'Data Entry'!$k$652)</f>
      </c>
      <c r="AR652">
        <f>IF(ISBLANK('Data Entry'!$l$652), "", 'Data Entry'!$l$652)</f>
      </c>
      <c r="AS652">
        <f>IF(ISBLANK('Data Entry'!$m$652), "", 'Data Entry'!$m$652)</f>
      </c>
      <c r="AT652">
        <f>IF(ISBLANK('Data Entry'!$n$652), "", 'Data Entry'!$n$652)</f>
      </c>
      <c r="AU652">
        <f>IF(ISBLANK('Data Entry'!$o$652), "", 'Data Entry'!$o$652)</f>
      </c>
      <c r="AV652">
        <f>IF(ISBLANK('Data Entry'!$p$652), "", 'Data Entry'!$p$652)</f>
      </c>
      <c r="AW652">
        <f>IF(ISBLANK('Data Entry'!$q$652), "", 'Data Entry'!$q$652)</f>
      </c>
      <c r="AX652">
        <f>IF(ISBLANK('Data Entry'!$r$652), "", 'Data Entry'!$r$652)</f>
      </c>
      <c r="AY652">
        <f>IF(ISBLANK('Data Entry'!$s$652), "", 'Data Entry'!$s$652)</f>
      </c>
      <c r="AZ652">
        <f>IF(ISBLANK('Data Entry'!$t$652), "", 'Data Entry'!$t$652)</f>
      </c>
      <c r="BA652">
        <f>IF(ISBLANK('Data Entry'!$u$652), "", 'Data Entry'!$u$652)</f>
      </c>
      <c r="BB652">
        <f>IF(ISBLANK('Data Entry'!$v$652), "", 'Data Entry'!$v$652)</f>
      </c>
      <c r="BC652">
        <f>IF(ISBLANK('Data Entry'!$w$652), "", 'Data Entry'!$w$652)</f>
      </c>
      <c r="BD652">
        <f>IF(ISBLANK('Data Entry'!$x$652), "", 'Data Entry'!$x$652)</f>
      </c>
      <c r="BE652">
        <f>IF(ISBLANK('Data Entry'!$y$652), "", 'Data Entry'!$y$652)</f>
      </c>
      <c r="BF652">
        <f>IF(ISBLANK('Data Entry'!$z$652), "", 'Data Entry'!$z$652)</f>
      </c>
      <c r="BG652">
        <f>IF(ISBLANK('Data Entry'!${$652), "", 'Data Entry'!${$652)</f>
      </c>
      <c r="BH652">
        <f>IF(ISBLANK('Data Entry'!$|$652), "", 'Data Entry'!$|$652)</f>
      </c>
      <c r="BI652">
        <f>IF(ISBLANK('Data Entry'!$}$652), "", 'Data Entry'!$}$652)</f>
      </c>
      <c r="BJ652">
        <f>IF(ISBLANK('Data Entry'!$~$652), "", 'Data Entry'!$~$652)</f>
      </c>
      <c r="BK652">
        <f>IF(ISBLANK('Data Entry'!$$652), "", 'Data Entry'!$$652)</f>
      </c>
      <c r="BL652">
        <f>IF(ISBLANK('Data Entry'!$$652), "", 'Data Entry'!$$652)</f>
      </c>
      <c r="BM652">
        <f>IF(ISBLANK('Data Entry'!$$652), "", 'Data Entry'!$$652)</f>
      </c>
      <c r="BN652">
        <f>IF(ISBLANK('Data Entry'!$$652), "", 'Data Entry'!$$652)</f>
      </c>
      <c r="BO652">
        <f>IF(ISBLANK('Data Entry'!$$652), "", 'Data Entry'!$$652)</f>
      </c>
      <c r="BP652">
        <f>IF(ISBLANK('Data Entry'!$$652), "", 'Data Entry'!$$652)</f>
      </c>
      <c r="BQ652">
        <f>IF(ISBLANK('Data Entry'!$$652), "", 'Data Entry'!$$652)</f>
      </c>
      <c r="BR652">
        <f>IF(ISBLANK('Data Entry'!$$652), "", 'Data Entry'!$$652)</f>
      </c>
      <c r="BS652">
        <f>IF(ISBLANK('Data Entry'!$$652), "", 'Data Entry'!$$652)</f>
      </c>
      <c r="BT652">
        <f>IF(ISBLANK('Data Entry'!$$652), "", 'Data Entry'!$$652)</f>
      </c>
      <c r="BU652">
        <f>IF(ISBLANK('Data Entry'!$$652), "", 'Data Entry'!$$652)</f>
      </c>
      <c r="BV652">
        <f>IF(ISBLANK('Data Entry'!$$652), "", 'Data Entry'!$$652)</f>
      </c>
      <c r="BW652">
        <f>IF(ISBLANK('Data Entry'!$$652), "", 'Data Entry'!$$652)</f>
      </c>
      <c r="BX652">
        <f>IF(ISBLANK('Data Entry'!$$652), "", 'Data Entry'!$$652)</f>
      </c>
      <c r="BY652">
        <f>IF(ISBLANK('Data Entry'!$$652), "", 'Data Entry'!$$652)</f>
      </c>
      <c r="BZ652">
        <f>IF(ISBLANK('Data Entry'!$$652), "", 'Data Entry'!$$652)</f>
      </c>
      <c r="CA652">
        <f>IF(ISBLANK('Data Entry'!$$652), "", 'Data Entry'!$$652)</f>
      </c>
      <c r="CB652">
        <f>IF(ISBLANK('Data Entry'!$$652), "", 'Data Entry'!$$652)</f>
      </c>
      <c r="CC652">
        <f>IF(ISBLANK('Data Entry'!$$652), "", 'Data Entry'!$$652)</f>
      </c>
      <c r="CD652">
        <f>IF(ISBLANK('Data Entry'!$$652), "", 'Data Entry'!$$652)</f>
      </c>
      <c r="CE652">
        <f>IF(ISBLANK('Data Entry'!$$652), "", 'Data Entry'!$$652)</f>
      </c>
      <c r="CF652">
        <f>IF(ISBLANK('Data Entry'!$$652), "", 'Data Entry'!$$652)</f>
      </c>
      <c r="CG652">
        <f>IF(ISBLANK('Data Entry'!$$652), "", 'Data Entry'!$$652)</f>
      </c>
      <c r="CH652">
        <f>IF(ISBLANK('Data Entry'!$$652), "", 'Data Entry'!$$652)</f>
      </c>
      <c r="CI652">
        <f>IF(ISBLANK('Data Entry'!$$652), "", 'Data Entry'!$$652)</f>
      </c>
      <c r="CJ652">
        <f>IF(ISBLANK('Data Entry'!$$652), "", 'Data Entry'!$$652)</f>
      </c>
      <c r="CK652">
        <f>IF(ISBLANK('Data Entry'!$$652), "", 'Data Entry'!$$652)</f>
      </c>
      <c r="CL652">
        <f>IF(ISBLANK('Data Entry'!$$652), "", 'Data Entry'!$$652)</f>
      </c>
      <c r="CM652">
        <f>IF(ISBLANK('Data Entry'!$$652), "", 'Data Entry'!$$652)</f>
      </c>
      <c r="CN652">
        <f>IF(ISBLANK('Data Entry'!$$652), "", 'Data Entry'!$$652)</f>
      </c>
      <c r="CO652">
        <f>IF(ISBLANK('Data Entry'!$$652), "", 'Data Entry'!$$652)</f>
      </c>
      <c r="CP652">
        <f>IF(ISBLANK('Data Entry'!$$652), "", 'Data Entry'!$$652)</f>
      </c>
      <c r="CQ652">
        <f>IF(ISBLANK('Data Entry'!$$652), "", 'Data Entry'!$$652)</f>
      </c>
      <c r="CR652">
        <f>IF(ISBLANK('Data Entry'!$ $652), "", 'Data Entry'!$ $652)</f>
      </c>
      <c r="CS652">
        <f>IF(ISBLANK('Data Entry'!$¡$652), "", 'Data Entry'!$¡$652)</f>
      </c>
      <c r="CT652">
        <f>IF(ISBLANK('Data Entry'!$¢$652), "", 'Data Entry'!$¢$652)</f>
      </c>
      <c r="CU652">
        <f>IF(ISBLANK('Data Entry'!$£$652), "", 'Data Entry'!$£$652)</f>
      </c>
      <c r="CV652">
        <f>IF(ISBLANK('Data Entry'!$¤$652), "", 'Data Entry'!$¤$652)</f>
      </c>
      <c r="CW652">
        <f>IF(ISBLANK('Data Entry'!$¥$652), "", 'Data Entry'!$¥$652)</f>
      </c>
      <c r="CX652">
        <f>IF(ISBLANK('Data Entry'!$¦$652), "", 'Data Entry'!$¦$652)</f>
      </c>
      <c r="CY652">
        <f>IF(ISBLANK('Data Entry'!$§$652), "", 'Data Entry'!$§$652)</f>
      </c>
      <c r="CZ652">
        <f>IF(ISBLANK('Data Entry'!$¨$652), "", 'Data Entry'!$¨$652)</f>
      </c>
      <c r="DA652">
        <f>IF(ISBLANK('Data Entry'!$©$652), "", 'Data Entry'!$©$652)</f>
      </c>
      <c r="DB652">
        <f>IF(ISBLANK('Data Entry'!$ª$652), "", 'Data Entry'!$ª$652)</f>
      </c>
      <c r="DC652">
        <f>IF(ISBLANK('Data Entry'!$«$652), "", 'Data Entry'!$«$652)</f>
      </c>
      <c r="DD652">
        <f>IF(ISBLANK('Data Entry'!$¬$652), "", 'Data Entry'!$¬$652)</f>
      </c>
      <c r="DE652">
        <f>IF(ISBLANK('Data Entry'!$­$652), "", 'Data Entry'!$­$652)</f>
      </c>
      <c r="DF652">
        <f>IF(ISBLANK('Data Entry'!$®$652), "", 'Data Entry'!$®$652)</f>
      </c>
      <c r="DG652">
        <f>IF(ISBLANK('Data Entry'!$¯$652), "", 'Data Entry'!$¯$652)</f>
      </c>
      <c r="DH652">
        <f>IF(ISBLANK('Data Entry'!$°$652), "", 'Data Entry'!$°$652)</f>
      </c>
      <c r="DI652">
        <f>IF(ISBLANK('Data Entry'!$±$652), "", 'Data Entry'!$±$652)</f>
      </c>
      <c r="DJ652">
        <f>IF(ISBLANK('Data Entry'!$²$652), "", 'Data Entry'!$²$652)</f>
      </c>
      <c r="DK652">
        <f>IF(ISBLANK('Data Entry'!$³$652), "", 'Data Entry'!$³$652)</f>
      </c>
      <c r="DL652">
        <f>IF(ISBLANK('Data Entry'!$´$652), "", 'Data Entry'!$´$652)</f>
      </c>
      <c r="DM652">
        <f>IF(ISBLANK('Data Entry'!$µ$652), "", 'Data Entry'!$µ$652)</f>
      </c>
      <c r="DN652">
        <f>IF(ISBLANK('Data Entry'!$¶$652), "", 'Data Entry'!$¶$652)</f>
      </c>
      <c r="DO652">
        <f>IF(ISBLANK('Data Entry'!$·$652), "", 'Data Entry'!$·$652)</f>
      </c>
      <c r="DP652">
        <f>IF(ISBLANK('Data Entry'!$¸$652), "", 'Data Entry'!$¸$652)</f>
      </c>
      <c r="DQ652">
        <f>IF(ISBLANK('Data Entry'!$¹$652), "", 'Data Entry'!$¹$652)</f>
      </c>
      <c r="DR652">
        <f>IF(ISBLANK('Data Entry'!$º$652), "", 'Data Entry'!$º$652)</f>
      </c>
      <c r="DS652">
        <f>IF(ISBLANK('Data Entry'!$»$652), "", 'Data Entry'!$»$652)</f>
      </c>
      <c r="DT652">
        <f>IF(ISBLANK('Data Entry'!$¼$652), "", 'Data Entry'!$¼$652)</f>
      </c>
      <c r="DU652">
        <f>IF(ISBLANK('Data Entry'!$½$652), "", 'Data Entry'!$½$652)</f>
      </c>
      <c r="DV652">
        <f>IF(ISBLANK('Data Entry'!$¾$652), "", 'Data Entry'!$¾$652)</f>
      </c>
      <c r="DW652">
        <f>IF(ISBLANK('Data Entry'!$¿$652), "", 'Data Entry'!$¿$652)</f>
      </c>
      <c r="DX652">
        <f>IF(ISBLANK('Data Entry'!$À$652), "", 'Data Entry'!$À$652)</f>
      </c>
      <c r="DY652">
        <f>IF(ISBLANK('Data Entry'!$Á$652), "", 'Data Entry'!$Á$652)</f>
      </c>
      <c r="DZ652">
        <f>IF(ISBLANK('Data Entry'!$Â$652), "", 'Data Entry'!$Â$652)</f>
      </c>
      <c r="EA652">
        <f>IF(ISBLANK('Data Entry'!$Ã$652), "", 'Data Entry'!$Ã$652)</f>
      </c>
      <c r="EB652">
        <f>IF(ISBLANK('Data Entry'!$Ä$652), "", 'Data Entry'!$Ä$652)</f>
      </c>
      <c r="EC652">
        <f>IF(ISBLANK('Data Entry'!$Å$652), "", 'Data Entry'!$Å$652)</f>
      </c>
      <c r="ED652">
        <f>IF(ISBLANK('Data Entry'!$Æ$652), "", 'Data Entry'!$Æ$652)</f>
      </c>
      <c r="EE652">
        <f>IF(ISBLANK('Data Entry'!$Ç$652), "", 'Data Entry'!$Ç$652)</f>
      </c>
      <c r="EF652">
        <f>IF(ISBLANK('Data Entry'!$È$652), "", 'Data Entry'!$È$652)</f>
      </c>
      <c r="EG652">
        <f>IF(ISBLANK('Data Entry'!$É$652), "", 'Data Entry'!$É$652)</f>
      </c>
      <c r="EH652">
        <f>IF(ISBLANK('Data Entry'!$Ê$652), "", 'Data Entry'!$Ê$652)</f>
      </c>
      <c r="EI652">
        <f>IF(ISBLANK('Data Entry'!$Ë$652), "", 'Data Entry'!$Ë$652)</f>
      </c>
      <c r="EJ652">
        <f>IF(ISBLANK('Data Entry'!$Ì$652), "", 'Data Entry'!$Ì$652)</f>
      </c>
      <c r="EK652">
        <f>IF(ISBLANK('Data Entry'!$Í$652), "", 'Data Entry'!$Í$652)</f>
      </c>
      <c r="EL652">
        <f>IF(ISBLANK('Data Entry'!$Î$652), "", 'Data Entry'!$Î$652)</f>
      </c>
      <c r="EM652">
        <f>IF(ISBLANK('Data Entry'!$Ï$652), "", 'Data Entry'!$Ï$652)</f>
      </c>
      <c r="EN652">
        <f>IF(ISBLANK('Data Entry'!$Ð$652), "", 'Data Entry'!$Ð$652)</f>
      </c>
      <c r="EO652">
        <f>IF(ISBLANK('Data Entry'!$Ñ$652), "", 'Data Entry'!$Ñ$652)</f>
      </c>
      <c r="EP652">
        <f>IF(ISBLANK('Data Entry'!$Ò$652), "", 'Data Entry'!$Ò$652)</f>
      </c>
      <c r="EQ652">
        <f>IF(ISBLANK('Data Entry'!$Ó$652), "", 'Data Entry'!$Ó$652)</f>
      </c>
      <c r="ER652">
        <f>IF(ISBLANK('Data Entry'!$Ô$652), "", 'Data Entry'!$Ô$652)</f>
      </c>
      <c r="ES652">
        <f>IF(ISBLANK('Data Entry'!$Õ$652), "", 'Data Entry'!$Õ$652)</f>
      </c>
      <c r="ET652">
        <f>IF(ISBLANK('Data Entry'!$Ö$652), "", 'Data Entry'!$Ö$652)</f>
      </c>
      <c r="EU652">
        <f>IF(ISBLANK('Data Entry'!$×$652), "", 'Data Entry'!$×$652)</f>
      </c>
      <c r="EV652">
        <f>IF(ISBLANK('Data Entry'!$Ø$652), "", 'Data Entry'!$Ø$652)</f>
      </c>
      <c r="EW652">
        <f>IF(ISBLANK('Data Entry'!$Ù$652), "", 'Data Entry'!$Ù$652)</f>
      </c>
      <c r="EX652">
        <f>IF(ISBLANK('Data Entry'!$Ú$652), "", 'Data Entry'!$Ú$652)</f>
      </c>
      <c r="EY652">
        <f>IF(ISBLANK('Data Entry'!$Û$652), "", 'Data Entry'!$Û$652)</f>
      </c>
      <c r="EZ652">
        <f>IF(ISBLANK('Data Entry'!$Ü$652), "", 'Data Entry'!$Ü$652)</f>
      </c>
      <c r="FA652">
        <f>IF(ISBLANK('Data Entry'!$Ý$652), "", 'Data Entry'!$Ý$652)</f>
      </c>
      <c r="FB652">
        <f>IF(ISBLANK('Data Entry'!$Þ$652), "", 'Data Entry'!$Þ$652)</f>
      </c>
      <c r="FC652">
        <f>IF(ISBLANK('Data Entry'!$ß$652), "", 'Data Entry'!$ß$652)</f>
      </c>
      <c r="FD652">
        <f>IF(ISBLANK('Data Entry'!$à$652), "", 'Data Entry'!$à$652)</f>
      </c>
      <c r="FE652">
        <f>IF(ISBLANK('Data Entry'!$á$652), "", 'Data Entry'!$á$652)</f>
      </c>
      <c r="FF652">
        <f>IF(ISBLANK('Data Entry'!$â$652), "", 'Data Entry'!$â$652)</f>
      </c>
      <c r="FG652">
        <f>IF(ISBLANK('Data Entry'!$ã$652), "", 'Data Entry'!$ã$652)</f>
      </c>
      <c r="FH652">
        <f>IF(ISBLANK('Data Entry'!$ä$652), "", 'Data Entry'!$ä$652)</f>
      </c>
      <c r="FI652">
        <f>IF(ISBLANK('Data Entry'!$å$652), "", 'Data Entry'!$å$652)</f>
      </c>
      <c r="FJ652">
        <f>IF(ISBLANK('Data Entry'!$æ$652), "", 'Data Entry'!$æ$652)</f>
      </c>
      <c r="FK652">
        <f>IF(ISBLANK('Data Entry'!$ç$652), "", 'Data Entry'!$ç$652)</f>
      </c>
      <c r="FL652">
        <f>IF(ISBLANK('Data Entry'!$è$652), "", 'Data Entry'!$è$652)</f>
      </c>
      <c r="FM652">
        <f>IF(ISBLANK('Data Entry'!$é$652), "", 'Data Entry'!$é$652)</f>
      </c>
      <c r="FN652">
        <f>IF(ISBLANK('Data Entry'!$ê$652), "", 'Data Entry'!$ê$652)</f>
      </c>
      <c r="FO652">
        <f>IF(ISBLANK('Data Entry'!$ë$652), "", 'Data Entry'!$ë$652)</f>
      </c>
      <c r="FP652">
        <f>IF(ISBLANK('Data Entry'!$ì$652), "", 'Data Entry'!$ì$652)</f>
      </c>
      <c r="FQ652">
        <f>IF(ISBLANK('Data Entry'!$í$652), "", 'Data Entry'!$í$652)</f>
      </c>
      <c r="FR652">
        <f>IF(ISBLANK('Data Entry'!$î$652), "", 'Data Entry'!$î$652)</f>
      </c>
      <c r="FS652">
        <f>IF(ISBLANK('Data Entry'!$ï$652), "", 'Data Entry'!$ï$652)</f>
      </c>
      <c r="FT652">
        <f>IF(ISBLANK('Data Entry'!$ð$652), "", 'Data Entry'!$ð$652)</f>
      </c>
      <c r="FU652">
        <f>IF(ISBLANK('Data Entry'!$ñ$652), "", 'Data Entry'!$ñ$652)</f>
      </c>
      <c r="FV652">
        <f>IF(ISBLANK('Data Entry'!$ò$652), "", 'Data Entry'!$ò$652)</f>
      </c>
      <c r="FW652">
        <f>IF(ISBLANK('Data Entry'!$ó$652), "", 'Data Entry'!$ó$652)</f>
      </c>
      <c r="FX652">
        <f>IF(ISBLANK('Data Entry'!$ô$652), "", 'Data Entry'!$ô$652)</f>
      </c>
      <c r="FY652">
        <f>IF(ISBLANK('Data Entry'!$õ$652), "", 'Data Entry'!$õ$652)</f>
      </c>
      <c r="FZ652">
        <f>IF(ISBLANK('Data Entry'!$ö$652), "", 'Data Entry'!$ö$652)</f>
      </c>
      <c r="GA652">
        <f>IF(ISBLANK('Data Entry'!$÷$652), "", 'Data Entry'!$÷$652)</f>
      </c>
      <c r="GB652">
        <f>IF(ISBLANK('Data Entry'!$ø$652), "", 'Data Entry'!$ø$652)</f>
      </c>
      <c r="GC652">
        <f>IF(ISBLANK('Data Entry'!$ù$652), "", 'Data Entry'!$ù$652)</f>
      </c>
      <c r="GD652">
        <f>IF(ISBLANK('Data Entry'!$ú$652), "", 'Data Entry'!$ú$652)</f>
      </c>
      <c r="GE652">
        <f>IF(ISBLANK('Data Entry'!$û$652), "", 'Data Entry'!$û$652)</f>
      </c>
      <c r="GF652">
        <f>IF(ISBLANK('Data Entry'!$ü$652), "", 'Data Entry'!$ü$652)</f>
      </c>
      <c r="GG652">
        <f>IF(ISBLANK('Data Entry'!$ý$652), "", 'Data Entry'!$ý$652)</f>
      </c>
      <c r="GH652">
        <f>IF(ISBLANK('Data Entry'!$þ$652), "", 'Data Entry'!$þ$652)</f>
      </c>
      <c r="GI652">
        <f>IF(ISBLANK('Data Entry'!$ÿ$652), "", 'Data Entry'!$ÿ$652)</f>
      </c>
      <c r="GJ652">
        <f>IF(ISBLANK('Data Entry'!$Ā$652), "", 'Data Entry'!$Ā$652)</f>
      </c>
      <c r="GK652">
        <f>IF(ISBLANK('Data Entry'!$ā$652), "", 'Data Entry'!$ā$652)</f>
      </c>
      <c r="GL652">
        <f>IF(ISBLANK('Data Entry'!$Ă$652), "", 'Data Entry'!$Ă$652)</f>
      </c>
      <c r="GM652">
        <f>IF(ISBLANK('Data Entry'!$ă$652), "", 'Data Entry'!$ă$652)</f>
      </c>
      <c r="GN652">
        <f>IF(ISBLANK('Data Entry'!$Ą$652), "", 'Data Entry'!$Ą$652)</f>
      </c>
      <c r="GO652">
        <f>IF(ISBLANK('Data Entry'!$ą$652), "", 'Data Entry'!$ą$652)</f>
      </c>
      <c r="GP652">
        <f>IF(ISBLANK('Data Entry'!$Ć$652), "", 'Data Entry'!$Ć$652)</f>
      </c>
      <c r="GQ652">
        <f>IF(ISBLANK('Data Entry'!$ć$652), "", 'Data Entry'!$ć$652)</f>
      </c>
      <c r="GR652">
        <f>IF(ISBLANK('Data Entry'!$Ĉ$652), "", 'Data Entry'!$Ĉ$652)</f>
      </c>
      <c r="GS652">
        <f>IF(ISBLANK('Data Entry'!$ĉ$652), "", 'Data Entry'!$ĉ$652)</f>
      </c>
      <c r="GT652">
        <f>IF(ISBLANK('Data Entry'!$Ċ$652), "", 'Data Entry'!$Ċ$652)</f>
      </c>
      <c r="GU652">
        <f>IF(ISBLANK('Data Entry'!$ċ$652), "", 'Data Entry'!$ċ$652)</f>
      </c>
      <c r="GV652">
        <f>IF(ISBLANK('Data Entry'!$Č$652), "", 'Data Entry'!$Č$652)</f>
      </c>
      <c r="GW652">
        <f>IF(ISBLANK('Data Entry'!$č$652), "", 'Data Entry'!$č$652)</f>
      </c>
      <c r="GX652">
        <f>IF(ISBLANK('Data Entry'!$Ď$652), "", 'Data Entry'!$Ď$652)</f>
      </c>
      <c r="GY652">
        <f>IF(ISBLANK('Data Entry'!$ď$652), "", 'Data Entry'!$ď$652)</f>
      </c>
      <c r="GZ652">
        <f>IF(ISBLANK('Data Entry'!$Đ$652), "", 'Data Entry'!$Đ$652)</f>
      </c>
      <c r="HA652">
        <f>IF(ISBLANK('Data Entry'!$đ$652), "", 'Data Entry'!$đ$652)</f>
      </c>
      <c r="HB652">
        <f>IF(ISBLANK('Data Entry'!$Ē$652), "", 'Data Entry'!$Ē$652)</f>
      </c>
      <c r="HC652">
        <f>IF(ISBLANK('Data Entry'!$ē$652), "", 'Data Entry'!$ē$652)</f>
      </c>
      <c r="HD652">
        <f>IF(ISBLANK('Data Entry'!$Ĕ$652), "", 'Data Entry'!$Ĕ$652)</f>
      </c>
      <c r="HE652">
        <f>IF(ISBLANK('Data Entry'!$ĕ$652), "", 'Data Entry'!$ĕ$652)</f>
      </c>
      <c r="HF652">
        <f>IF(ISBLANK('Data Entry'!$Ė$652), "", 'Data Entry'!$Ė$652)</f>
      </c>
      <c r="HG652">
        <f>IF(ISBLANK('Data Entry'!$ė$652), "", 'Data Entry'!$ė$652)</f>
      </c>
      <c r="HH652">
        <f>IF(ISBLANK('Data Entry'!$Ę$652), "", 'Data Entry'!$Ę$652)</f>
      </c>
      <c r="HI652">
        <f>IF(ISBLANK('Data Entry'!$ę$652), "", 'Data Entry'!$ę$652)</f>
      </c>
      <c r="HJ652">
        <f>IF(ISBLANK('Data Entry'!$Ě$652), "", 'Data Entry'!$Ě$652)</f>
      </c>
      <c r="HK652">
        <f>IF(ISBLANK('Data Entry'!$ě$652), "", 'Data Entry'!$ě$652)</f>
      </c>
      <c r="HL652">
        <f>IF(ISBLANK('Data Entry'!$Ĝ$652), "", 'Data Entry'!$Ĝ$652)</f>
      </c>
      <c r="HM652">
        <f>IF(ISBLANK('Data Entry'!$ĝ$652), "", 'Data Entry'!$ĝ$652)</f>
      </c>
      <c r="HN652">
        <f>IF(ISBLANK('Data Entry'!$Ğ$652), "", 'Data Entry'!$Ğ$652)</f>
      </c>
      <c r="HO652">
        <f>IF(ISBLANK('Data Entry'!$ğ$652), "", 'Data Entry'!$ğ$652)</f>
      </c>
      <c r="HP652">
        <f>IF(ISBLANK('Data Entry'!$Ġ$652), "", 'Data Entry'!$Ġ$652)</f>
      </c>
      <c r="HQ652">
        <f>IF(ISBLANK('Data Entry'!$ġ$652), "", 'Data Entry'!$ġ$652)</f>
      </c>
      <c r="HR652">
        <f>IF(ISBLANK('Data Entry'!$Ģ$652), "", 'Data Entry'!$Ģ$652)</f>
      </c>
      <c r="HS652">
        <f>IF(ISBLANK('Data Entry'!$ģ$652), "", 'Data Entry'!$ģ$652)</f>
      </c>
      <c r="HT652">
        <f>IF(ISBLANK('Data Entry'!$Ĥ$652), "", 'Data Entry'!$Ĥ$652)</f>
      </c>
      <c r="HU652">
        <f>IF(ISBLANK('Data Entry'!$ĥ$652), "", 'Data Entry'!$ĥ$652)</f>
      </c>
      <c r="HV652">
        <f>IF(ISBLANK('Data Entry'!$Ħ$652), "", 'Data Entry'!$Ħ$652)</f>
      </c>
      <c r="HW652">
        <f>IF(ISBLANK('Data Entry'!$ħ$652), "", 'Data Entry'!$ħ$652)</f>
      </c>
      <c r="HX652">
        <f>IF(ISBLANK('Data Entry'!$Ĩ$652), "", 'Data Entry'!$Ĩ$652)</f>
      </c>
      <c r="HY652">
        <f>IF(ISBLANK('Data Entry'!$ĩ$652), "", 'Data Entry'!$ĩ$652)</f>
      </c>
      <c r="HZ652">
        <f>IF(ISBLANK('Data Entry'!$Ī$652), "", 'Data Entry'!$Ī$652)</f>
      </c>
      <c r="IA652">
        <f>IF(ISBLANK('Data Entry'!$ī$652), "", 'Data Entry'!$ī$652)</f>
      </c>
      <c r="IB652">
        <f>IF(ISBLANK('Data Entry'!$Ĭ$652), "", 'Data Entry'!$Ĭ$652)</f>
      </c>
      <c r="IC652">
        <f>IF(ISBLANK('Data Entry'!$ĭ$652), "", 'Data Entry'!$ĭ$652)</f>
      </c>
      <c r="ID652">
        <f>IF(ISBLANK('Data Entry'!$Į$652), "", 'Data Entry'!$Į$652)</f>
      </c>
      <c r="IE652">
        <f>IF(ISBLANK('Data Entry'!$į$652), "", 'Data Entry'!$į$652)</f>
      </c>
      <c r="IF652">
        <f>IF(ISBLANK('Data Entry'!$İ$652), "", 'Data Entry'!$İ$652)</f>
      </c>
      <c r="IG652">
        <f>IF(ISBLANK('Data Entry'!$ı$652), "", 'Data Entry'!$ı$652)</f>
      </c>
      <c r="IH652">
        <f>IF(ISBLANK('Data Entry'!$Ĳ$652), "", 'Data Entry'!$Ĳ$652)</f>
      </c>
      <c r="II652">
        <f>IF(ISBLANK('Data Entry'!$ĳ$652), "", 'Data Entry'!$ĳ$652)</f>
      </c>
      <c r="IJ652">
        <f>IF(ISBLANK('Data Entry'!$Ĵ$652), "", 'Data Entry'!$Ĵ$652)</f>
      </c>
      <c r="IK652">
        <f>IF(ISBLANK('Data Entry'!$ĵ$652), "", 'Data Entry'!$ĵ$652)</f>
      </c>
      <c r="IL652">
        <f>IF(ISBLANK('Data Entry'!$Ķ$652), "", 'Data Entry'!$Ķ$652)</f>
      </c>
      <c r="IM652">
        <f>IF(ISBLANK('Data Entry'!$ķ$652), "", 'Data Entry'!$ķ$652)</f>
      </c>
      <c r="IN652">
        <f>IF(ISBLANK('Data Entry'!$ĸ$652), "", 'Data Entry'!$ĸ$652)</f>
      </c>
      <c r="IO652">
        <f>IF(ISBLANK('Data Entry'!$Ĺ$652), "", 'Data Entry'!$Ĺ$652)</f>
      </c>
      <c r="IP652">
        <f>IF(ISBLANK('Data Entry'!$ĺ$652), "", 'Data Entry'!$ĺ$652)</f>
      </c>
      <c r="IQ652">
        <f>IF(ISBLANK('Data Entry'!$Ļ$652), "", 'Data Entry'!$Ļ$652)</f>
      </c>
      <c r="IR652">
        <f>IF(ISBLANK('Data Entry'!$ļ$652), "", 'Data Entry'!$ļ$652)</f>
      </c>
      <c r="IS652">
        <f>IF(ISBLANK('Data Entry'!$Ľ$652), "", 'Data Entry'!$Ľ$652)</f>
      </c>
      <c r="IT652">
        <f>IF(ISBLANK('Data Entry'!$ľ$652), "", 'Data Entry'!$ľ$652)</f>
      </c>
    </row>
    <row r="653" spans="1:254" x14ac:dyDescent="0.25">
      <c r="A653">
        <f>IF(ISBLANK('Data Entry'!$A$653), "", 'Data Entry'!$A$653)</f>
      </c>
      <c r="B653">
        <f>IF(ISBLANK('Data Entry'!$B$653), "", 'Data Entry'!$B$653)</f>
      </c>
      <c r="C653">
        <f>IF(ISBLANK('Data Entry'!$C$653), "", 'Data Entry'!$C$653)</f>
      </c>
      <c r="D653">
        <f>IF(ISBLANK('Data Entry'!$D$653), "", 'Data Entry'!$D$653)</f>
      </c>
      <c r="E653">
        <f>IF(ISBLANK('Data Entry'!$E$653), "", 'Data Entry'!$E$653)</f>
      </c>
      <c r="F653">
        <f>IF(ISBLANK('Data Entry'!$F$653), "", 'Data Entry'!$F$653)</f>
      </c>
      <c r="G653">
        <f>IF(ISBLANK('Data Entry'!$G$653), "", 'Data Entry'!$G$653)</f>
      </c>
      <c r="H653">
        <f>IF(ISBLANK('Data Entry'!$H$653), "", 'Data Entry'!$H$653)</f>
      </c>
      <c r="I653">
        <f>IF(ISBLANK('Data Entry'!$I$653), "", 'Data Entry'!$I$653)</f>
      </c>
      <c r="J653">
        <f>IF(ISBLANK('Data Entry'!$J$653), "", 'Data Entry'!$J$653)</f>
      </c>
      <c r="K653">
        <f>IF(ISBLANK('Data Entry'!$K$653), "", 'Data Entry'!$K$653)</f>
      </c>
      <c r="L653">
        <f>IF(ISBLANK('Data Entry'!$L$653), "", 'Data Entry'!$L$653)</f>
      </c>
      <c r="M653">
        <f>IF(ISBLANK('Data Entry'!$M$653), "", 'Data Entry'!$M$653)</f>
      </c>
      <c r="N653">
        <f>IF(ISBLANK('Data Entry'!$N$653), "", 'Data Entry'!$N$653)</f>
      </c>
      <c r="O653">
        <f>IF(ISBLANK('Data Entry'!$O$653), "", 'Data Entry'!$O$653)</f>
      </c>
      <c r="P653">
        <f>IF(ISBLANK('Data Entry'!$P$653), "", 'Data Entry'!$P$653)</f>
      </c>
      <c r="Q653">
        <f>IF(ISBLANK('Data Entry'!$Q$653), "", 'Data Entry'!$Q$653)</f>
      </c>
      <c r="R653">
        <f>IF(ISBLANK('Data Entry'!$R$653), "", 'Data Entry'!$R$653)</f>
      </c>
      <c r="S653">
        <f>IF(ISBLANK('Data Entry'!$S$653), "", 'Data Entry'!$S$653)</f>
      </c>
      <c r="T653">
        <f>IF(ISBLANK('Data Entry'!$T$653), "", 'Data Entry'!$T$653)</f>
      </c>
      <c r="U653">
        <f>IF(ISBLANK('Data Entry'!$U$653), "", 'Data Entry'!$U$653)</f>
      </c>
      <c r="V653">
        <f>IF(ISBLANK('Data Entry'!$V$653), "", 'Data Entry'!$V$653)</f>
      </c>
      <c r="W653">
        <f>IF(ISBLANK('Data Entry'!$W$653), "", 'Data Entry'!$W$653)</f>
      </c>
      <c r="X653">
        <f>IF(ISBLANK('Data Entry'!$X$653), "", 'Data Entry'!$X$653)</f>
      </c>
      <c r="Y653">
        <f>IF(ISBLANK('Data Entry'!$Y$653), "", 'Data Entry'!$Y$653)</f>
      </c>
      <c r="Z653">
        <f>IF(ISBLANK('Data Entry'!$Z$653), "", 'Data Entry'!$Z$653)</f>
      </c>
      <c r="AA653">
        <f>IF(ISBLANK('Data Entry'!$[$653), "", 'Data Entry'!$[$653)</f>
      </c>
      <c r="AB653">
        <f>IF(ISBLANK('Data Entry'!$\$653), "", 'Data Entry'!$\$653)</f>
      </c>
      <c r="AC653">
        <f>IF(ISBLANK('Data Entry'!$]$653), "", 'Data Entry'!$]$653)</f>
      </c>
      <c r="AD653">
        <f>IF(ISBLANK('Data Entry'!$^$653), "", 'Data Entry'!$^$653)</f>
      </c>
      <c r="AE653">
        <f>IF(ISBLANK('Data Entry'!$_$653), "", 'Data Entry'!$_$653)</f>
      </c>
      <c r="AF653">
        <f>IF(ISBLANK('Data Entry'!$`$653), "", 'Data Entry'!$`$653)</f>
      </c>
      <c r="AG653">
        <f>IF(ISBLANK('Data Entry'!$a$653), "", 'Data Entry'!$a$653)</f>
      </c>
      <c r="AH653">
        <f>IF(ISBLANK('Data Entry'!$b$653), "", 'Data Entry'!$b$653)</f>
      </c>
      <c r="AI653">
        <f>IF(ISBLANK('Data Entry'!$c$653), "", 'Data Entry'!$c$653)</f>
      </c>
      <c r="AJ653">
        <f>IF(ISBLANK('Data Entry'!$d$653), "", 'Data Entry'!$d$653)</f>
      </c>
      <c r="AK653">
        <f>IF(ISBLANK('Data Entry'!$e$653), "", 'Data Entry'!$e$653)</f>
      </c>
      <c r="AL653">
        <f>IF(ISBLANK('Data Entry'!$f$653), "", 'Data Entry'!$f$653)</f>
      </c>
      <c r="AM653">
        <f>IF(ISBLANK('Data Entry'!$g$653), "", 'Data Entry'!$g$653)</f>
      </c>
      <c r="AN653">
        <f>IF(ISBLANK('Data Entry'!$h$653), "", 'Data Entry'!$h$653)</f>
      </c>
      <c r="AO653">
        <f>IF(ISBLANK('Data Entry'!$i$653), "", 'Data Entry'!$i$653)</f>
      </c>
      <c r="AP653">
        <f>IF(ISBLANK('Data Entry'!$j$653), "", 'Data Entry'!$j$653)</f>
      </c>
      <c r="AQ653">
        <f>IF(ISBLANK('Data Entry'!$k$653), "", 'Data Entry'!$k$653)</f>
      </c>
      <c r="AR653">
        <f>IF(ISBLANK('Data Entry'!$l$653), "", 'Data Entry'!$l$653)</f>
      </c>
      <c r="AS653">
        <f>IF(ISBLANK('Data Entry'!$m$653), "", 'Data Entry'!$m$653)</f>
      </c>
      <c r="AT653">
        <f>IF(ISBLANK('Data Entry'!$n$653), "", 'Data Entry'!$n$653)</f>
      </c>
      <c r="AU653">
        <f>IF(ISBLANK('Data Entry'!$o$653), "", 'Data Entry'!$o$653)</f>
      </c>
      <c r="AV653">
        <f>IF(ISBLANK('Data Entry'!$p$653), "", 'Data Entry'!$p$653)</f>
      </c>
      <c r="AW653">
        <f>IF(ISBLANK('Data Entry'!$q$653), "", 'Data Entry'!$q$653)</f>
      </c>
      <c r="AX653">
        <f>IF(ISBLANK('Data Entry'!$r$653), "", 'Data Entry'!$r$653)</f>
      </c>
      <c r="AY653">
        <f>IF(ISBLANK('Data Entry'!$s$653), "", 'Data Entry'!$s$653)</f>
      </c>
      <c r="AZ653">
        <f>IF(ISBLANK('Data Entry'!$t$653), "", 'Data Entry'!$t$653)</f>
      </c>
      <c r="BA653">
        <f>IF(ISBLANK('Data Entry'!$u$653), "", 'Data Entry'!$u$653)</f>
      </c>
      <c r="BB653">
        <f>IF(ISBLANK('Data Entry'!$v$653), "", 'Data Entry'!$v$653)</f>
      </c>
      <c r="BC653">
        <f>IF(ISBLANK('Data Entry'!$w$653), "", 'Data Entry'!$w$653)</f>
      </c>
      <c r="BD653">
        <f>IF(ISBLANK('Data Entry'!$x$653), "", 'Data Entry'!$x$653)</f>
      </c>
      <c r="BE653">
        <f>IF(ISBLANK('Data Entry'!$y$653), "", 'Data Entry'!$y$653)</f>
      </c>
      <c r="BF653">
        <f>IF(ISBLANK('Data Entry'!$z$653), "", 'Data Entry'!$z$653)</f>
      </c>
      <c r="BG653">
        <f>IF(ISBLANK('Data Entry'!${$653), "", 'Data Entry'!${$653)</f>
      </c>
      <c r="BH653">
        <f>IF(ISBLANK('Data Entry'!$|$653), "", 'Data Entry'!$|$653)</f>
      </c>
      <c r="BI653">
        <f>IF(ISBLANK('Data Entry'!$}$653), "", 'Data Entry'!$}$653)</f>
      </c>
      <c r="BJ653">
        <f>IF(ISBLANK('Data Entry'!$~$653), "", 'Data Entry'!$~$653)</f>
      </c>
      <c r="BK653">
        <f>IF(ISBLANK('Data Entry'!$$653), "", 'Data Entry'!$$653)</f>
      </c>
      <c r="BL653">
        <f>IF(ISBLANK('Data Entry'!$$653), "", 'Data Entry'!$$653)</f>
      </c>
      <c r="BM653">
        <f>IF(ISBLANK('Data Entry'!$$653), "", 'Data Entry'!$$653)</f>
      </c>
      <c r="BN653">
        <f>IF(ISBLANK('Data Entry'!$$653), "", 'Data Entry'!$$653)</f>
      </c>
      <c r="BO653">
        <f>IF(ISBLANK('Data Entry'!$$653), "", 'Data Entry'!$$653)</f>
      </c>
      <c r="BP653">
        <f>IF(ISBLANK('Data Entry'!$$653), "", 'Data Entry'!$$653)</f>
      </c>
      <c r="BQ653">
        <f>IF(ISBLANK('Data Entry'!$$653), "", 'Data Entry'!$$653)</f>
      </c>
      <c r="BR653">
        <f>IF(ISBLANK('Data Entry'!$$653), "", 'Data Entry'!$$653)</f>
      </c>
      <c r="BS653">
        <f>IF(ISBLANK('Data Entry'!$$653), "", 'Data Entry'!$$653)</f>
      </c>
      <c r="BT653">
        <f>IF(ISBLANK('Data Entry'!$$653), "", 'Data Entry'!$$653)</f>
      </c>
      <c r="BU653">
        <f>IF(ISBLANK('Data Entry'!$$653), "", 'Data Entry'!$$653)</f>
      </c>
      <c r="BV653">
        <f>IF(ISBLANK('Data Entry'!$$653), "", 'Data Entry'!$$653)</f>
      </c>
      <c r="BW653">
        <f>IF(ISBLANK('Data Entry'!$$653), "", 'Data Entry'!$$653)</f>
      </c>
      <c r="BX653">
        <f>IF(ISBLANK('Data Entry'!$$653), "", 'Data Entry'!$$653)</f>
      </c>
      <c r="BY653">
        <f>IF(ISBLANK('Data Entry'!$$653), "", 'Data Entry'!$$653)</f>
      </c>
      <c r="BZ653">
        <f>IF(ISBLANK('Data Entry'!$$653), "", 'Data Entry'!$$653)</f>
      </c>
      <c r="CA653">
        <f>IF(ISBLANK('Data Entry'!$$653), "", 'Data Entry'!$$653)</f>
      </c>
      <c r="CB653">
        <f>IF(ISBLANK('Data Entry'!$$653), "", 'Data Entry'!$$653)</f>
      </c>
      <c r="CC653">
        <f>IF(ISBLANK('Data Entry'!$$653), "", 'Data Entry'!$$653)</f>
      </c>
      <c r="CD653">
        <f>IF(ISBLANK('Data Entry'!$$653), "", 'Data Entry'!$$653)</f>
      </c>
      <c r="CE653">
        <f>IF(ISBLANK('Data Entry'!$$653), "", 'Data Entry'!$$653)</f>
      </c>
      <c r="CF653">
        <f>IF(ISBLANK('Data Entry'!$$653), "", 'Data Entry'!$$653)</f>
      </c>
      <c r="CG653">
        <f>IF(ISBLANK('Data Entry'!$$653), "", 'Data Entry'!$$653)</f>
      </c>
      <c r="CH653">
        <f>IF(ISBLANK('Data Entry'!$$653), "", 'Data Entry'!$$653)</f>
      </c>
      <c r="CI653">
        <f>IF(ISBLANK('Data Entry'!$$653), "", 'Data Entry'!$$653)</f>
      </c>
      <c r="CJ653">
        <f>IF(ISBLANK('Data Entry'!$$653), "", 'Data Entry'!$$653)</f>
      </c>
      <c r="CK653">
        <f>IF(ISBLANK('Data Entry'!$$653), "", 'Data Entry'!$$653)</f>
      </c>
      <c r="CL653">
        <f>IF(ISBLANK('Data Entry'!$$653), "", 'Data Entry'!$$653)</f>
      </c>
      <c r="CM653">
        <f>IF(ISBLANK('Data Entry'!$$653), "", 'Data Entry'!$$653)</f>
      </c>
      <c r="CN653">
        <f>IF(ISBLANK('Data Entry'!$$653), "", 'Data Entry'!$$653)</f>
      </c>
      <c r="CO653">
        <f>IF(ISBLANK('Data Entry'!$$653), "", 'Data Entry'!$$653)</f>
      </c>
      <c r="CP653">
        <f>IF(ISBLANK('Data Entry'!$$653), "", 'Data Entry'!$$653)</f>
      </c>
      <c r="CQ653">
        <f>IF(ISBLANK('Data Entry'!$$653), "", 'Data Entry'!$$653)</f>
      </c>
      <c r="CR653">
        <f>IF(ISBLANK('Data Entry'!$ $653), "", 'Data Entry'!$ $653)</f>
      </c>
      <c r="CS653">
        <f>IF(ISBLANK('Data Entry'!$¡$653), "", 'Data Entry'!$¡$653)</f>
      </c>
      <c r="CT653">
        <f>IF(ISBLANK('Data Entry'!$¢$653), "", 'Data Entry'!$¢$653)</f>
      </c>
      <c r="CU653">
        <f>IF(ISBLANK('Data Entry'!$£$653), "", 'Data Entry'!$£$653)</f>
      </c>
      <c r="CV653">
        <f>IF(ISBLANK('Data Entry'!$¤$653), "", 'Data Entry'!$¤$653)</f>
      </c>
      <c r="CW653">
        <f>IF(ISBLANK('Data Entry'!$¥$653), "", 'Data Entry'!$¥$653)</f>
      </c>
      <c r="CX653">
        <f>IF(ISBLANK('Data Entry'!$¦$653), "", 'Data Entry'!$¦$653)</f>
      </c>
      <c r="CY653">
        <f>IF(ISBLANK('Data Entry'!$§$653), "", 'Data Entry'!$§$653)</f>
      </c>
      <c r="CZ653">
        <f>IF(ISBLANK('Data Entry'!$¨$653), "", 'Data Entry'!$¨$653)</f>
      </c>
      <c r="DA653">
        <f>IF(ISBLANK('Data Entry'!$©$653), "", 'Data Entry'!$©$653)</f>
      </c>
      <c r="DB653">
        <f>IF(ISBLANK('Data Entry'!$ª$653), "", 'Data Entry'!$ª$653)</f>
      </c>
      <c r="DC653">
        <f>IF(ISBLANK('Data Entry'!$«$653), "", 'Data Entry'!$«$653)</f>
      </c>
      <c r="DD653">
        <f>IF(ISBLANK('Data Entry'!$¬$653), "", 'Data Entry'!$¬$653)</f>
      </c>
      <c r="DE653">
        <f>IF(ISBLANK('Data Entry'!$­$653), "", 'Data Entry'!$­$653)</f>
      </c>
      <c r="DF653">
        <f>IF(ISBLANK('Data Entry'!$®$653), "", 'Data Entry'!$®$653)</f>
      </c>
      <c r="DG653">
        <f>IF(ISBLANK('Data Entry'!$¯$653), "", 'Data Entry'!$¯$653)</f>
      </c>
      <c r="DH653">
        <f>IF(ISBLANK('Data Entry'!$°$653), "", 'Data Entry'!$°$653)</f>
      </c>
      <c r="DI653">
        <f>IF(ISBLANK('Data Entry'!$±$653), "", 'Data Entry'!$±$653)</f>
      </c>
      <c r="DJ653">
        <f>IF(ISBLANK('Data Entry'!$²$653), "", 'Data Entry'!$²$653)</f>
      </c>
      <c r="DK653">
        <f>IF(ISBLANK('Data Entry'!$³$653), "", 'Data Entry'!$³$653)</f>
      </c>
      <c r="DL653">
        <f>IF(ISBLANK('Data Entry'!$´$653), "", 'Data Entry'!$´$653)</f>
      </c>
      <c r="DM653">
        <f>IF(ISBLANK('Data Entry'!$µ$653), "", 'Data Entry'!$µ$653)</f>
      </c>
      <c r="DN653">
        <f>IF(ISBLANK('Data Entry'!$¶$653), "", 'Data Entry'!$¶$653)</f>
      </c>
      <c r="DO653">
        <f>IF(ISBLANK('Data Entry'!$·$653), "", 'Data Entry'!$·$653)</f>
      </c>
      <c r="DP653">
        <f>IF(ISBLANK('Data Entry'!$¸$653), "", 'Data Entry'!$¸$653)</f>
      </c>
      <c r="DQ653">
        <f>IF(ISBLANK('Data Entry'!$¹$653), "", 'Data Entry'!$¹$653)</f>
      </c>
      <c r="DR653">
        <f>IF(ISBLANK('Data Entry'!$º$653), "", 'Data Entry'!$º$653)</f>
      </c>
      <c r="DS653">
        <f>IF(ISBLANK('Data Entry'!$»$653), "", 'Data Entry'!$»$653)</f>
      </c>
      <c r="DT653">
        <f>IF(ISBLANK('Data Entry'!$¼$653), "", 'Data Entry'!$¼$653)</f>
      </c>
      <c r="DU653">
        <f>IF(ISBLANK('Data Entry'!$½$653), "", 'Data Entry'!$½$653)</f>
      </c>
      <c r="DV653">
        <f>IF(ISBLANK('Data Entry'!$¾$653), "", 'Data Entry'!$¾$653)</f>
      </c>
      <c r="DW653">
        <f>IF(ISBLANK('Data Entry'!$¿$653), "", 'Data Entry'!$¿$653)</f>
      </c>
      <c r="DX653">
        <f>IF(ISBLANK('Data Entry'!$À$653), "", 'Data Entry'!$À$653)</f>
      </c>
      <c r="DY653">
        <f>IF(ISBLANK('Data Entry'!$Á$653), "", 'Data Entry'!$Á$653)</f>
      </c>
      <c r="DZ653">
        <f>IF(ISBLANK('Data Entry'!$Â$653), "", 'Data Entry'!$Â$653)</f>
      </c>
      <c r="EA653">
        <f>IF(ISBLANK('Data Entry'!$Ã$653), "", 'Data Entry'!$Ã$653)</f>
      </c>
      <c r="EB653">
        <f>IF(ISBLANK('Data Entry'!$Ä$653), "", 'Data Entry'!$Ä$653)</f>
      </c>
      <c r="EC653">
        <f>IF(ISBLANK('Data Entry'!$Å$653), "", 'Data Entry'!$Å$653)</f>
      </c>
      <c r="ED653">
        <f>IF(ISBLANK('Data Entry'!$Æ$653), "", 'Data Entry'!$Æ$653)</f>
      </c>
      <c r="EE653">
        <f>IF(ISBLANK('Data Entry'!$Ç$653), "", 'Data Entry'!$Ç$653)</f>
      </c>
      <c r="EF653">
        <f>IF(ISBLANK('Data Entry'!$È$653), "", 'Data Entry'!$È$653)</f>
      </c>
      <c r="EG653">
        <f>IF(ISBLANK('Data Entry'!$É$653), "", 'Data Entry'!$É$653)</f>
      </c>
      <c r="EH653">
        <f>IF(ISBLANK('Data Entry'!$Ê$653), "", 'Data Entry'!$Ê$653)</f>
      </c>
      <c r="EI653">
        <f>IF(ISBLANK('Data Entry'!$Ë$653), "", 'Data Entry'!$Ë$653)</f>
      </c>
      <c r="EJ653">
        <f>IF(ISBLANK('Data Entry'!$Ì$653), "", 'Data Entry'!$Ì$653)</f>
      </c>
      <c r="EK653">
        <f>IF(ISBLANK('Data Entry'!$Í$653), "", 'Data Entry'!$Í$653)</f>
      </c>
      <c r="EL653">
        <f>IF(ISBLANK('Data Entry'!$Î$653), "", 'Data Entry'!$Î$653)</f>
      </c>
      <c r="EM653">
        <f>IF(ISBLANK('Data Entry'!$Ï$653), "", 'Data Entry'!$Ï$653)</f>
      </c>
      <c r="EN653">
        <f>IF(ISBLANK('Data Entry'!$Ð$653), "", 'Data Entry'!$Ð$653)</f>
      </c>
      <c r="EO653">
        <f>IF(ISBLANK('Data Entry'!$Ñ$653), "", 'Data Entry'!$Ñ$653)</f>
      </c>
      <c r="EP653">
        <f>IF(ISBLANK('Data Entry'!$Ò$653), "", 'Data Entry'!$Ò$653)</f>
      </c>
      <c r="EQ653">
        <f>IF(ISBLANK('Data Entry'!$Ó$653), "", 'Data Entry'!$Ó$653)</f>
      </c>
      <c r="ER653">
        <f>IF(ISBLANK('Data Entry'!$Ô$653), "", 'Data Entry'!$Ô$653)</f>
      </c>
      <c r="ES653">
        <f>IF(ISBLANK('Data Entry'!$Õ$653), "", 'Data Entry'!$Õ$653)</f>
      </c>
      <c r="ET653">
        <f>IF(ISBLANK('Data Entry'!$Ö$653), "", 'Data Entry'!$Ö$653)</f>
      </c>
      <c r="EU653">
        <f>IF(ISBLANK('Data Entry'!$×$653), "", 'Data Entry'!$×$653)</f>
      </c>
      <c r="EV653">
        <f>IF(ISBLANK('Data Entry'!$Ø$653), "", 'Data Entry'!$Ø$653)</f>
      </c>
      <c r="EW653">
        <f>IF(ISBLANK('Data Entry'!$Ù$653), "", 'Data Entry'!$Ù$653)</f>
      </c>
      <c r="EX653">
        <f>IF(ISBLANK('Data Entry'!$Ú$653), "", 'Data Entry'!$Ú$653)</f>
      </c>
      <c r="EY653">
        <f>IF(ISBLANK('Data Entry'!$Û$653), "", 'Data Entry'!$Û$653)</f>
      </c>
      <c r="EZ653">
        <f>IF(ISBLANK('Data Entry'!$Ü$653), "", 'Data Entry'!$Ü$653)</f>
      </c>
      <c r="FA653">
        <f>IF(ISBLANK('Data Entry'!$Ý$653), "", 'Data Entry'!$Ý$653)</f>
      </c>
      <c r="FB653">
        <f>IF(ISBLANK('Data Entry'!$Þ$653), "", 'Data Entry'!$Þ$653)</f>
      </c>
      <c r="FC653">
        <f>IF(ISBLANK('Data Entry'!$ß$653), "", 'Data Entry'!$ß$653)</f>
      </c>
      <c r="FD653">
        <f>IF(ISBLANK('Data Entry'!$à$653), "", 'Data Entry'!$à$653)</f>
      </c>
      <c r="FE653">
        <f>IF(ISBLANK('Data Entry'!$á$653), "", 'Data Entry'!$á$653)</f>
      </c>
      <c r="FF653">
        <f>IF(ISBLANK('Data Entry'!$â$653), "", 'Data Entry'!$â$653)</f>
      </c>
      <c r="FG653">
        <f>IF(ISBLANK('Data Entry'!$ã$653), "", 'Data Entry'!$ã$653)</f>
      </c>
      <c r="FH653">
        <f>IF(ISBLANK('Data Entry'!$ä$653), "", 'Data Entry'!$ä$653)</f>
      </c>
      <c r="FI653">
        <f>IF(ISBLANK('Data Entry'!$å$653), "", 'Data Entry'!$å$653)</f>
      </c>
      <c r="FJ653">
        <f>IF(ISBLANK('Data Entry'!$æ$653), "", 'Data Entry'!$æ$653)</f>
      </c>
      <c r="FK653">
        <f>IF(ISBLANK('Data Entry'!$ç$653), "", 'Data Entry'!$ç$653)</f>
      </c>
      <c r="FL653">
        <f>IF(ISBLANK('Data Entry'!$è$653), "", 'Data Entry'!$è$653)</f>
      </c>
      <c r="FM653">
        <f>IF(ISBLANK('Data Entry'!$é$653), "", 'Data Entry'!$é$653)</f>
      </c>
      <c r="FN653">
        <f>IF(ISBLANK('Data Entry'!$ê$653), "", 'Data Entry'!$ê$653)</f>
      </c>
      <c r="FO653">
        <f>IF(ISBLANK('Data Entry'!$ë$653), "", 'Data Entry'!$ë$653)</f>
      </c>
      <c r="FP653">
        <f>IF(ISBLANK('Data Entry'!$ì$653), "", 'Data Entry'!$ì$653)</f>
      </c>
      <c r="FQ653">
        <f>IF(ISBLANK('Data Entry'!$í$653), "", 'Data Entry'!$í$653)</f>
      </c>
      <c r="FR653">
        <f>IF(ISBLANK('Data Entry'!$î$653), "", 'Data Entry'!$î$653)</f>
      </c>
      <c r="FS653">
        <f>IF(ISBLANK('Data Entry'!$ï$653), "", 'Data Entry'!$ï$653)</f>
      </c>
      <c r="FT653">
        <f>IF(ISBLANK('Data Entry'!$ð$653), "", 'Data Entry'!$ð$653)</f>
      </c>
      <c r="FU653">
        <f>IF(ISBLANK('Data Entry'!$ñ$653), "", 'Data Entry'!$ñ$653)</f>
      </c>
      <c r="FV653">
        <f>IF(ISBLANK('Data Entry'!$ò$653), "", 'Data Entry'!$ò$653)</f>
      </c>
      <c r="FW653">
        <f>IF(ISBLANK('Data Entry'!$ó$653), "", 'Data Entry'!$ó$653)</f>
      </c>
      <c r="FX653">
        <f>IF(ISBLANK('Data Entry'!$ô$653), "", 'Data Entry'!$ô$653)</f>
      </c>
      <c r="FY653">
        <f>IF(ISBLANK('Data Entry'!$õ$653), "", 'Data Entry'!$õ$653)</f>
      </c>
      <c r="FZ653">
        <f>IF(ISBLANK('Data Entry'!$ö$653), "", 'Data Entry'!$ö$653)</f>
      </c>
      <c r="GA653">
        <f>IF(ISBLANK('Data Entry'!$÷$653), "", 'Data Entry'!$÷$653)</f>
      </c>
      <c r="GB653">
        <f>IF(ISBLANK('Data Entry'!$ø$653), "", 'Data Entry'!$ø$653)</f>
      </c>
      <c r="GC653">
        <f>IF(ISBLANK('Data Entry'!$ù$653), "", 'Data Entry'!$ù$653)</f>
      </c>
      <c r="GD653">
        <f>IF(ISBLANK('Data Entry'!$ú$653), "", 'Data Entry'!$ú$653)</f>
      </c>
      <c r="GE653">
        <f>IF(ISBLANK('Data Entry'!$û$653), "", 'Data Entry'!$û$653)</f>
      </c>
      <c r="GF653">
        <f>IF(ISBLANK('Data Entry'!$ü$653), "", 'Data Entry'!$ü$653)</f>
      </c>
      <c r="GG653">
        <f>IF(ISBLANK('Data Entry'!$ý$653), "", 'Data Entry'!$ý$653)</f>
      </c>
      <c r="GH653">
        <f>IF(ISBLANK('Data Entry'!$þ$653), "", 'Data Entry'!$þ$653)</f>
      </c>
      <c r="GI653">
        <f>IF(ISBLANK('Data Entry'!$ÿ$653), "", 'Data Entry'!$ÿ$653)</f>
      </c>
      <c r="GJ653">
        <f>IF(ISBLANK('Data Entry'!$Ā$653), "", 'Data Entry'!$Ā$653)</f>
      </c>
      <c r="GK653">
        <f>IF(ISBLANK('Data Entry'!$ā$653), "", 'Data Entry'!$ā$653)</f>
      </c>
      <c r="GL653">
        <f>IF(ISBLANK('Data Entry'!$Ă$653), "", 'Data Entry'!$Ă$653)</f>
      </c>
      <c r="GM653">
        <f>IF(ISBLANK('Data Entry'!$ă$653), "", 'Data Entry'!$ă$653)</f>
      </c>
      <c r="GN653">
        <f>IF(ISBLANK('Data Entry'!$Ą$653), "", 'Data Entry'!$Ą$653)</f>
      </c>
      <c r="GO653">
        <f>IF(ISBLANK('Data Entry'!$ą$653), "", 'Data Entry'!$ą$653)</f>
      </c>
      <c r="GP653">
        <f>IF(ISBLANK('Data Entry'!$Ć$653), "", 'Data Entry'!$Ć$653)</f>
      </c>
      <c r="GQ653">
        <f>IF(ISBLANK('Data Entry'!$ć$653), "", 'Data Entry'!$ć$653)</f>
      </c>
      <c r="GR653">
        <f>IF(ISBLANK('Data Entry'!$Ĉ$653), "", 'Data Entry'!$Ĉ$653)</f>
      </c>
      <c r="GS653">
        <f>IF(ISBLANK('Data Entry'!$ĉ$653), "", 'Data Entry'!$ĉ$653)</f>
      </c>
      <c r="GT653">
        <f>IF(ISBLANK('Data Entry'!$Ċ$653), "", 'Data Entry'!$Ċ$653)</f>
      </c>
      <c r="GU653">
        <f>IF(ISBLANK('Data Entry'!$ċ$653), "", 'Data Entry'!$ċ$653)</f>
      </c>
      <c r="GV653">
        <f>IF(ISBLANK('Data Entry'!$Č$653), "", 'Data Entry'!$Č$653)</f>
      </c>
      <c r="GW653">
        <f>IF(ISBLANK('Data Entry'!$č$653), "", 'Data Entry'!$č$653)</f>
      </c>
      <c r="GX653">
        <f>IF(ISBLANK('Data Entry'!$Ď$653), "", 'Data Entry'!$Ď$653)</f>
      </c>
      <c r="GY653">
        <f>IF(ISBLANK('Data Entry'!$ď$653), "", 'Data Entry'!$ď$653)</f>
      </c>
      <c r="GZ653">
        <f>IF(ISBLANK('Data Entry'!$Đ$653), "", 'Data Entry'!$Đ$653)</f>
      </c>
      <c r="HA653">
        <f>IF(ISBLANK('Data Entry'!$đ$653), "", 'Data Entry'!$đ$653)</f>
      </c>
      <c r="HB653">
        <f>IF(ISBLANK('Data Entry'!$Ē$653), "", 'Data Entry'!$Ē$653)</f>
      </c>
      <c r="HC653">
        <f>IF(ISBLANK('Data Entry'!$ē$653), "", 'Data Entry'!$ē$653)</f>
      </c>
      <c r="HD653">
        <f>IF(ISBLANK('Data Entry'!$Ĕ$653), "", 'Data Entry'!$Ĕ$653)</f>
      </c>
      <c r="HE653">
        <f>IF(ISBLANK('Data Entry'!$ĕ$653), "", 'Data Entry'!$ĕ$653)</f>
      </c>
      <c r="HF653">
        <f>IF(ISBLANK('Data Entry'!$Ė$653), "", 'Data Entry'!$Ė$653)</f>
      </c>
      <c r="HG653">
        <f>IF(ISBLANK('Data Entry'!$ė$653), "", 'Data Entry'!$ė$653)</f>
      </c>
      <c r="HH653">
        <f>IF(ISBLANK('Data Entry'!$Ę$653), "", 'Data Entry'!$Ę$653)</f>
      </c>
      <c r="HI653">
        <f>IF(ISBLANK('Data Entry'!$ę$653), "", 'Data Entry'!$ę$653)</f>
      </c>
      <c r="HJ653">
        <f>IF(ISBLANK('Data Entry'!$Ě$653), "", 'Data Entry'!$Ě$653)</f>
      </c>
      <c r="HK653">
        <f>IF(ISBLANK('Data Entry'!$ě$653), "", 'Data Entry'!$ě$653)</f>
      </c>
      <c r="HL653">
        <f>IF(ISBLANK('Data Entry'!$Ĝ$653), "", 'Data Entry'!$Ĝ$653)</f>
      </c>
      <c r="HM653">
        <f>IF(ISBLANK('Data Entry'!$ĝ$653), "", 'Data Entry'!$ĝ$653)</f>
      </c>
      <c r="HN653">
        <f>IF(ISBLANK('Data Entry'!$Ğ$653), "", 'Data Entry'!$Ğ$653)</f>
      </c>
      <c r="HO653">
        <f>IF(ISBLANK('Data Entry'!$ğ$653), "", 'Data Entry'!$ğ$653)</f>
      </c>
      <c r="HP653">
        <f>IF(ISBLANK('Data Entry'!$Ġ$653), "", 'Data Entry'!$Ġ$653)</f>
      </c>
      <c r="HQ653">
        <f>IF(ISBLANK('Data Entry'!$ġ$653), "", 'Data Entry'!$ġ$653)</f>
      </c>
      <c r="HR653">
        <f>IF(ISBLANK('Data Entry'!$Ģ$653), "", 'Data Entry'!$Ģ$653)</f>
      </c>
      <c r="HS653">
        <f>IF(ISBLANK('Data Entry'!$ģ$653), "", 'Data Entry'!$ģ$653)</f>
      </c>
      <c r="HT653">
        <f>IF(ISBLANK('Data Entry'!$Ĥ$653), "", 'Data Entry'!$Ĥ$653)</f>
      </c>
      <c r="HU653">
        <f>IF(ISBLANK('Data Entry'!$ĥ$653), "", 'Data Entry'!$ĥ$653)</f>
      </c>
      <c r="HV653">
        <f>IF(ISBLANK('Data Entry'!$Ħ$653), "", 'Data Entry'!$Ħ$653)</f>
      </c>
      <c r="HW653">
        <f>IF(ISBLANK('Data Entry'!$ħ$653), "", 'Data Entry'!$ħ$653)</f>
      </c>
      <c r="HX653">
        <f>IF(ISBLANK('Data Entry'!$Ĩ$653), "", 'Data Entry'!$Ĩ$653)</f>
      </c>
      <c r="HY653">
        <f>IF(ISBLANK('Data Entry'!$ĩ$653), "", 'Data Entry'!$ĩ$653)</f>
      </c>
      <c r="HZ653">
        <f>IF(ISBLANK('Data Entry'!$Ī$653), "", 'Data Entry'!$Ī$653)</f>
      </c>
      <c r="IA653">
        <f>IF(ISBLANK('Data Entry'!$ī$653), "", 'Data Entry'!$ī$653)</f>
      </c>
      <c r="IB653">
        <f>IF(ISBLANK('Data Entry'!$Ĭ$653), "", 'Data Entry'!$Ĭ$653)</f>
      </c>
      <c r="IC653">
        <f>IF(ISBLANK('Data Entry'!$ĭ$653), "", 'Data Entry'!$ĭ$653)</f>
      </c>
      <c r="ID653">
        <f>IF(ISBLANK('Data Entry'!$Į$653), "", 'Data Entry'!$Į$653)</f>
      </c>
      <c r="IE653">
        <f>IF(ISBLANK('Data Entry'!$į$653), "", 'Data Entry'!$į$653)</f>
      </c>
      <c r="IF653">
        <f>IF(ISBLANK('Data Entry'!$İ$653), "", 'Data Entry'!$İ$653)</f>
      </c>
      <c r="IG653">
        <f>IF(ISBLANK('Data Entry'!$ı$653), "", 'Data Entry'!$ı$653)</f>
      </c>
      <c r="IH653">
        <f>IF(ISBLANK('Data Entry'!$Ĳ$653), "", 'Data Entry'!$Ĳ$653)</f>
      </c>
      <c r="II653">
        <f>IF(ISBLANK('Data Entry'!$ĳ$653), "", 'Data Entry'!$ĳ$653)</f>
      </c>
      <c r="IJ653">
        <f>IF(ISBLANK('Data Entry'!$Ĵ$653), "", 'Data Entry'!$Ĵ$653)</f>
      </c>
      <c r="IK653">
        <f>IF(ISBLANK('Data Entry'!$ĵ$653), "", 'Data Entry'!$ĵ$653)</f>
      </c>
      <c r="IL653">
        <f>IF(ISBLANK('Data Entry'!$Ķ$653), "", 'Data Entry'!$Ķ$653)</f>
      </c>
      <c r="IM653">
        <f>IF(ISBLANK('Data Entry'!$ķ$653), "", 'Data Entry'!$ķ$653)</f>
      </c>
      <c r="IN653">
        <f>IF(ISBLANK('Data Entry'!$ĸ$653), "", 'Data Entry'!$ĸ$653)</f>
      </c>
      <c r="IO653">
        <f>IF(ISBLANK('Data Entry'!$Ĺ$653), "", 'Data Entry'!$Ĺ$653)</f>
      </c>
      <c r="IP653">
        <f>IF(ISBLANK('Data Entry'!$ĺ$653), "", 'Data Entry'!$ĺ$653)</f>
      </c>
      <c r="IQ653">
        <f>IF(ISBLANK('Data Entry'!$Ļ$653), "", 'Data Entry'!$Ļ$653)</f>
      </c>
      <c r="IR653">
        <f>IF(ISBLANK('Data Entry'!$ļ$653), "", 'Data Entry'!$ļ$653)</f>
      </c>
      <c r="IS653">
        <f>IF(ISBLANK('Data Entry'!$Ľ$653), "", 'Data Entry'!$Ľ$653)</f>
      </c>
      <c r="IT653">
        <f>IF(ISBLANK('Data Entry'!$ľ$653), "", 'Data Entry'!$ľ$653)</f>
      </c>
    </row>
    <row r="654" spans="1:254" x14ac:dyDescent="0.25">
      <c r="A654">
        <f>IF(ISBLANK('Data Entry'!$A$654), "", 'Data Entry'!$A$654)</f>
      </c>
      <c r="B654">
        <f>IF(ISBLANK('Data Entry'!$B$654), "", 'Data Entry'!$B$654)</f>
      </c>
      <c r="C654">
        <f>IF(ISBLANK('Data Entry'!$C$654), "", 'Data Entry'!$C$654)</f>
      </c>
      <c r="D654">
        <f>IF(ISBLANK('Data Entry'!$D$654), "", 'Data Entry'!$D$654)</f>
      </c>
      <c r="E654">
        <f>IF(ISBLANK('Data Entry'!$E$654), "", 'Data Entry'!$E$654)</f>
      </c>
      <c r="F654">
        <f>IF(ISBLANK('Data Entry'!$F$654), "", 'Data Entry'!$F$654)</f>
      </c>
      <c r="G654">
        <f>IF(ISBLANK('Data Entry'!$G$654), "", 'Data Entry'!$G$654)</f>
      </c>
      <c r="H654">
        <f>IF(ISBLANK('Data Entry'!$H$654), "", 'Data Entry'!$H$654)</f>
      </c>
      <c r="I654">
        <f>IF(ISBLANK('Data Entry'!$I$654), "", 'Data Entry'!$I$654)</f>
      </c>
      <c r="J654">
        <f>IF(ISBLANK('Data Entry'!$J$654), "", 'Data Entry'!$J$654)</f>
      </c>
      <c r="K654">
        <f>IF(ISBLANK('Data Entry'!$K$654), "", 'Data Entry'!$K$654)</f>
      </c>
      <c r="L654">
        <f>IF(ISBLANK('Data Entry'!$L$654), "", 'Data Entry'!$L$654)</f>
      </c>
      <c r="M654">
        <f>IF(ISBLANK('Data Entry'!$M$654), "", 'Data Entry'!$M$654)</f>
      </c>
      <c r="N654">
        <f>IF(ISBLANK('Data Entry'!$N$654), "", 'Data Entry'!$N$654)</f>
      </c>
      <c r="O654">
        <f>IF(ISBLANK('Data Entry'!$O$654), "", 'Data Entry'!$O$654)</f>
      </c>
      <c r="P654">
        <f>IF(ISBLANK('Data Entry'!$P$654), "", 'Data Entry'!$P$654)</f>
      </c>
      <c r="Q654">
        <f>IF(ISBLANK('Data Entry'!$Q$654), "", 'Data Entry'!$Q$654)</f>
      </c>
      <c r="R654">
        <f>IF(ISBLANK('Data Entry'!$R$654), "", 'Data Entry'!$R$654)</f>
      </c>
      <c r="S654">
        <f>IF(ISBLANK('Data Entry'!$S$654), "", 'Data Entry'!$S$654)</f>
      </c>
      <c r="T654">
        <f>IF(ISBLANK('Data Entry'!$T$654), "", 'Data Entry'!$T$654)</f>
      </c>
      <c r="U654">
        <f>IF(ISBLANK('Data Entry'!$U$654), "", 'Data Entry'!$U$654)</f>
      </c>
      <c r="V654">
        <f>IF(ISBLANK('Data Entry'!$V$654), "", 'Data Entry'!$V$654)</f>
      </c>
      <c r="W654">
        <f>IF(ISBLANK('Data Entry'!$W$654), "", 'Data Entry'!$W$654)</f>
      </c>
      <c r="X654">
        <f>IF(ISBLANK('Data Entry'!$X$654), "", 'Data Entry'!$X$654)</f>
      </c>
      <c r="Y654">
        <f>IF(ISBLANK('Data Entry'!$Y$654), "", 'Data Entry'!$Y$654)</f>
      </c>
      <c r="Z654">
        <f>IF(ISBLANK('Data Entry'!$Z$654), "", 'Data Entry'!$Z$654)</f>
      </c>
      <c r="AA654">
        <f>IF(ISBLANK('Data Entry'!$[$654), "", 'Data Entry'!$[$654)</f>
      </c>
      <c r="AB654">
        <f>IF(ISBLANK('Data Entry'!$\$654), "", 'Data Entry'!$\$654)</f>
      </c>
      <c r="AC654">
        <f>IF(ISBLANK('Data Entry'!$]$654), "", 'Data Entry'!$]$654)</f>
      </c>
      <c r="AD654">
        <f>IF(ISBLANK('Data Entry'!$^$654), "", 'Data Entry'!$^$654)</f>
      </c>
      <c r="AE654">
        <f>IF(ISBLANK('Data Entry'!$_$654), "", 'Data Entry'!$_$654)</f>
      </c>
      <c r="AF654">
        <f>IF(ISBLANK('Data Entry'!$`$654), "", 'Data Entry'!$`$654)</f>
      </c>
      <c r="AG654">
        <f>IF(ISBLANK('Data Entry'!$a$654), "", 'Data Entry'!$a$654)</f>
      </c>
      <c r="AH654">
        <f>IF(ISBLANK('Data Entry'!$b$654), "", 'Data Entry'!$b$654)</f>
      </c>
      <c r="AI654">
        <f>IF(ISBLANK('Data Entry'!$c$654), "", 'Data Entry'!$c$654)</f>
      </c>
      <c r="AJ654">
        <f>IF(ISBLANK('Data Entry'!$d$654), "", 'Data Entry'!$d$654)</f>
      </c>
      <c r="AK654">
        <f>IF(ISBLANK('Data Entry'!$e$654), "", 'Data Entry'!$e$654)</f>
      </c>
      <c r="AL654">
        <f>IF(ISBLANK('Data Entry'!$f$654), "", 'Data Entry'!$f$654)</f>
      </c>
      <c r="AM654">
        <f>IF(ISBLANK('Data Entry'!$g$654), "", 'Data Entry'!$g$654)</f>
      </c>
      <c r="AN654">
        <f>IF(ISBLANK('Data Entry'!$h$654), "", 'Data Entry'!$h$654)</f>
      </c>
      <c r="AO654">
        <f>IF(ISBLANK('Data Entry'!$i$654), "", 'Data Entry'!$i$654)</f>
      </c>
      <c r="AP654">
        <f>IF(ISBLANK('Data Entry'!$j$654), "", 'Data Entry'!$j$654)</f>
      </c>
      <c r="AQ654">
        <f>IF(ISBLANK('Data Entry'!$k$654), "", 'Data Entry'!$k$654)</f>
      </c>
      <c r="AR654">
        <f>IF(ISBLANK('Data Entry'!$l$654), "", 'Data Entry'!$l$654)</f>
      </c>
      <c r="AS654">
        <f>IF(ISBLANK('Data Entry'!$m$654), "", 'Data Entry'!$m$654)</f>
      </c>
      <c r="AT654">
        <f>IF(ISBLANK('Data Entry'!$n$654), "", 'Data Entry'!$n$654)</f>
      </c>
      <c r="AU654">
        <f>IF(ISBLANK('Data Entry'!$o$654), "", 'Data Entry'!$o$654)</f>
      </c>
      <c r="AV654">
        <f>IF(ISBLANK('Data Entry'!$p$654), "", 'Data Entry'!$p$654)</f>
      </c>
      <c r="AW654">
        <f>IF(ISBLANK('Data Entry'!$q$654), "", 'Data Entry'!$q$654)</f>
      </c>
      <c r="AX654">
        <f>IF(ISBLANK('Data Entry'!$r$654), "", 'Data Entry'!$r$654)</f>
      </c>
      <c r="AY654">
        <f>IF(ISBLANK('Data Entry'!$s$654), "", 'Data Entry'!$s$654)</f>
      </c>
      <c r="AZ654">
        <f>IF(ISBLANK('Data Entry'!$t$654), "", 'Data Entry'!$t$654)</f>
      </c>
      <c r="BA654">
        <f>IF(ISBLANK('Data Entry'!$u$654), "", 'Data Entry'!$u$654)</f>
      </c>
      <c r="BB654">
        <f>IF(ISBLANK('Data Entry'!$v$654), "", 'Data Entry'!$v$654)</f>
      </c>
      <c r="BC654">
        <f>IF(ISBLANK('Data Entry'!$w$654), "", 'Data Entry'!$w$654)</f>
      </c>
      <c r="BD654">
        <f>IF(ISBLANK('Data Entry'!$x$654), "", 'Data Entry'!$x$654)</f>
      </c>
      <c r="BE654">
        <f>IF(ISBLANK('Data Entry'!$y$654), "", 'Data Entry'!$y$654)</f>
      </c>
      <c r="BF654">
        <f>IF(ISBLANK('Data Entry'!$z$654), "", 'Data Entry'!$z$654)</f>
      </c>
      <c r="BG654">
        <f>IF(ISBLANK('Data Entry'!${$654), "", 'Data Entry'!${$654)</f>
      </c>
      <c r="BH654">
        <f>IF(ISBLANK('Data Entry'!$|$654), "", 'Data Entry'!$|$654)</f>
      </c>
      <c r="BI654">
        <f>IF(ISBLANK('Data Entry'!$}$654), "", 'Data Entry'!$}$654)</f>
      </c>
      <c r="BJ654">
        <f>IF(ISBLANK('Data Entry'!$~$654), "", 'Data Entry'!$~$654)</f>
      </c>
      <c r="BK654">
        <f>IF(ISBLANK('Data Entry'!$$654), "", 'Data Entry'!$$654)</f>
      </c>
      <c r="BL654">
        <f>IF(ISBLANK('Data Entry'!$$654), "", 'Data Entry'!$$654)</f>
      </c>
      <c r="BM654">
        <f>IF(ISBLANK('Data Entry'!$$654), "", 'Data Entry'!$$654)</f>
      </c>
      <c r="BN654">
        <f>IF(ISBLANK('Data Entry'!$$654), "", 'Data Entry'!$$654)</f>
      </c>
      <c r="BO654">
        <f>IF(ISBLANK('Data Entry'!$$654), "", 'Data Entry'!$$654)</f>
      </c>
      <c r="BP654">
        <f>IF(ISBLANK('Data Entry'!$$654), "", 'Data Entry'!$$654)</f>
      </c>
      <c r="BQ654">
        <f>IF(ISBLANK('Data Entry'!$$654), "", 'Data Entry'!$$654)</f>
      </c>
      <c r="BR654">
        <f>IF(ISBLANK('Data Entry'!$$654), "", 'Data Entry'!$$654)</f>
      </c>
      <c r="BS654">
        <f>IF(ISBLANK('Data Entry'!$$654), "", 'Data Entry'!$$654)</f>
      </c>
      <c r="BT654">
        <f>IF(ISBLANK('Data Entry'!$$654), "", 'Data Entry'!$$654)</f>
      </c>
      <c r="BU654">
        <f>IF(ISBLANK('Data Entry'!$$654), "", 'Data Entry'!$$654)</f>
      </c>
      <c r="BV654">
        <f>IF(ISBLANK('Data Entry'!$$654), "", 'Data Entry'!$$654)</f>
      </c>
      <c r="BW654">
        <f>IF(ISBLANK('Data Entry'!$$654), "", 'Data Entry'!$$654)</f>
      </c>
      <c r="BX654">
        <f>IF(ISBLANK('Data Entry'!$$654), "", 'Data Entry'!$$654)</f>
      </c>
      <c r="BY654">
        <f>IF(ISBLANK('Data Entry'!$$654), "", 'Data Entry'!$$654)</f>
      </c>
      <c r="BZ654">
        <f>IF(ISBLANK('Data Entry'!$$654), "", 'Data Entry'!$$654)</f>
      </c>
      <c r="CA654">
        <f>IF(ISBLANK('Data Entry'!$$654), "", 'Data Entry'!$$654)</f>
      </c>
      <c r="CB654">
        <f>IF(ISBLANK('Data Entry'!$$654), "", 'Data Entry'!$$654)</f>
      </c>
      <c r="CC654">
        <f>IF(ISBLANK('Data Entry'!$$654), "", 'Data Entry'!$$654)</f>
      </c>
      <c r="CD654">
        <f>IF(ISBLANK('Data Entry'!$$654), "", 'Data Entry'!$$654)</f>
      </c>
      <c r="CE654">
        <f>IF(ISBLANK('Data Entry'!$$654), "", 'Data Entry'!$$654)</f>
      </c>
      <c r="CF654">
        <f>IF(ISBLANK('Data Entry'!$$654), "", 'Data Entry'!$$654)</f>
      </c>
      <c r="CG654">
        <f>IF(ISBLANK('Data Entry'!$$654), "", 'Data Entry'!$$654)</f>
      </c>
      <c r="CH654">
        <f>IF(ISBLANK('Data Entry'!$$654), "", 'Data Entry'!$$654)</f>
      </c>
      <c r="CI654">
        <f>IF(ISBLANK('Data Entry'!$$654), "", 'Data Entry'!$$654)</f>
      </c>
      <c r="CJ654">
        <f>IF(ISBLANK('Data Entry'!$$654), "", 'Data Entry'!$$654)</f>
      </c>
      <c r="CK654">
        <f>IF(ISBLANK('Data Entry'!$$654), "", 'Data Entry'!$$654)</f>
      </c>
      <c r="CL654">
        <f>IF(ISBLANK('Data Entry'!$$654), "", 'Data Entry'!$$654)</f>
      </c>
      <c r="CM654">
        <f>IF(ISBLANK('Data Entry'!$$654), "", 'Data Entry'!$$654)</f>
      </c>
      <c r="CN654">
        <f>IF(ISBLANK('Data Entry'!$$654), "", 'Data Entry'!$$654)</f>
      </c>
      <c r="CO654">
        <f>IF(ISBLANK('Data Entry'!$$654), "", 'Data Entry'!$$654)</f>
      </c>
      <c r="CP654">
        <f>IF(ISBLANK('Data Entry'!$$654), "", 'Data Entry'!$$654)</f>
      </c>
      <c r="CQ654">
        <f>IF(ISBLANK('Data Entry'!$$654), "", 'Data Entry'!$$654)</f>
      </c>
      <c r="CR654">
        <f>IF(ISBLANK('Data Entry'!$ $654), "", 'Data Entry'!$ $654)</f>
      </c>
      <c r="CS654">
        <f>IF(ISBLANK('Data Entry'!$¡$654), "", 'Data Entry'!$¡$654)</f>
      </c>
      <c r="CT654">
        <f>IF(ISBLANK('Data Entry'!$¢$654), "", 'Data Entry'!$¢$654)</f>
      </c>
      <c r="CU654">
        <f>IF(ISBLANK('Data Entry'!$£$654), "", 'Data Entry'!$£$654)</f>
      </c>
      <c r="CV654">
        <f>IF(ISBLANK('Data Entry'!$¤$654), "", 'Data Entry'!$¤$654)</f>
      </c>
      <c r="CW654">
        <f>IF(ISBLANK('Data Entry'!$¥$654), "", 'Data Entry'!$¥$654)</f>
      </c>
      <c r="CX654">
        <f>IF(ISBLANK('Data Entry'!$¦$654), "", 'Data Entry'!$¦$654)</f>
      </c>
      <c r="CY654">
        <f>IF(ISBLANK('Data Entry'!$§$654), "", 'Data Entry'!$§$654)</f>
      </c>
      <c r="CZ654">
        <f>IF(ISBLANK('Data Entry'!$¨$654), "", 'Data Entry'!$¨$654)</f>
      </c>
      <c r="DA654">
        <f>IF(ISBLANK('Data Entry'!$©$654), "", 'Data Entry'!$©$654)</f>
      </c>
      <c r="DB654">
        <f>IF(ISBLANK('Data Entry'!$ª$654), "", 'Data Entry'!$ª$654)</f>
      </c>
      <c r="DC654">
        <f>IF(ISBLANK('Data Entry'!$«$654), "", 'Data Entry'!$«$654)</f>
      </c>
      <c r="DD654">
        <f>IF(ISBLANK('Data Entry'!$¬$654), "", 'Data Entry'!$¬$654)</f>
      </c>
      <c r="DE654">
        <f>IF(ISBLANK('Data Entry'!$­$654), "", 'Data Entry'!$­$654)</f>
      </c>
      <c r="DF654">
        <f>IF(ISBLANK('Data Entry'!$®$654), "", 'Data Entry'!$®$654)</f>
      </c>
      <c r="DG654">
        <f>IF(ISBLANK('Data Entry'!$¯$654), "", 'Data Entry'!$¯$654)</f>
      </c>
      <c r="DH654">
        <f>IF(ISBLANK('Data Entry'!$°$654), "", 'Data Entry'!$°$654)</f>
      </c>
      <c r="DI654">
        <f>IF(ISBLANK('Data Entry'!$±$654), "", 'Data Entry'!$±$654)</f>
      </c>
      <c r="DJ654">
        <f>IF(ISBLANK('Data Entry'!$²$654), "", 'Data Entry'!$²$654)</f>
      </c>
      <c r="DK654">
        <f>IF(ISBLANK('Data Entry'!$³$654), "", 'Data Entry'!$³$654)</f>
      </c>
      <c r="DL654">
        <f>IF(ISBLANK('Data Entry'!$´$654), "", 'Data Entry'!$´$654)</f>
      </c>
      <c r="DM654">
        <f>IF(ISBLANK('Data Entry'!$µ$654), "", 'Data Entry'!$µ$654)</f>
      </c>
      <c r="DN654">
        <f>IF(ISBLANK('Data Entry'!$¶$654), "", 'Data Entry'!$¶$654)</f>
      </c>
      <c r="DO654">
        <f>IF(ISBLANK('Data Entry'!$·$654), "", 'Data Entry'!$·$654)</f>
      </c>
      <c r="DP654">
        <f>IF(ISBLANK('Data Entry'!$¸$654), "", 'Data Entry'!$¸$654)</f>
      </c>
      <c r="DQ654">
        <f>IF(ISBLANK('Data Entry'!$¹$654), "", 'Data Entry'!$¹$654)</f>
      </c>
      <c r="DR654">
        <f>IF(ISBLANK('Data Entry'!$º$654), "", 'Data Entry'!$º$654)</f>
      </c>
      <c r="DS654">
        <f>IF(ISBLANK('Data Entry'!$»$654), "", 'Data Entry'!$»$654)</f>
      </c>
      <c r="DT654">
        <f>IF(ISBLANK('Data Entry'!$¼$654), "", 'Data Entry'!$¼$654)</f>
      </c>
      <c r="DU654">
        <f>IF(ISBLANK('Data Entry'!$½$654), "", 'Data Entry'!$½$654)</f>
      </c>
      <c r="DV654">
        <f>IF(ISBLANK('Data Entry'!$¾$654), "", 'Data Entry'!$¾$654)</f>
      </c>
      <c r="DW654">
        <f>IF(ISBLANK('Data Entry'!$¿$654), "", 'Data Entry'!$¿$654)</f>
      </c>
      <c r="DX654">
        <f>IF(ISBLANK('Data Entry'!$À$654), "", 'Data Entry'!$À$654)</f>
      </c>
      <c r="DY654">
        <f>IF(ISBLANK('Data Entry'!$Á$654), "", 'Data Entry'!$Á$654)</f>
      </c>
      <c r="DZ654">
        <f>IF(ISBLANK('Data Entry'!$Â$654), "", 'Data Entry'!$Â$654)</f>
      </c>
      <c r="EA654">
        <f>IF(ISBLANK('Data Entry'!$Ã$654), "", 'Data Entry'!$Ã$654)</f>
      </c>
      <c r="EB654">
        <f>IF(ISBLANK('Data Entry'!$Ä$654), "", 'Data Entry'!$Ä$654)</f>
      </c>
      <c r="EC654">
        <f>IF(ISBLANK('Data Entry'!$Å$654), "", 'Data Entry'!$Å$654)</f>
      </c>
      <c r="ED654">
        <f>IF(ISBLANK('Data Entry'!$Æ$654), "", 'Data Entry'!$Æ$654)</f>
      </c>
      <c r="EE654">
        <f>IF(ISBLANK('Data Entry'!$Ç$654), "", 'Data Entry'!$Ç$654)</f>
      </c>
      <c r="EF654">
        <f>IF(ISBLANK('Data Entry'!$È$654), "", 'Data Entry'!$È$654)</f>
      </c>
      <c r="EG654">
        <f>IF(ISBLANK('Data Entry'!$É$654), "", 'Data Entry'!$É$654)</f>
      </c>
      <c r="EH654">
        <f>IF(ISBLANK('Data Entry'!$Ê$654), "", 'Data Entry'!$Ê$654)</f>
      </c>
      <c r="EI654">
        <f>IF(ISBLANK('Data Entry'!$Ë$654), "", 'Data Entry'!$Ë$654)</f>
      </c>
      <c r="EJ654">
        <f>IF(ISBLANK('Data Entry'!$Ì$654), "", 'Data Entry'!$Ì$654)</f>
      </c>
      <c r="EK654">
        <f>IF(ISBLANK('Data Entry'!$Í$654), "", 'Data Entry'!$Í$654)</f>
      </c>
      <c r="EL654">
        <f>IF(ISBLANK('Data Entry'!$Î$654), "", 'Data Entry'!$Î$654)</f>
      </c>
      <c r="EM654">
        <f>IF(ISBLANK('Data Entry'!$Ï$654), "", 'Data Entry'!$Ï$654)</f>
      </c>
      <c r="EN654">
        <f>IF(ISBLANK('Data Entry'!$Ð$654), "", 'Data Entry'!$Ð$654)</f>
      </c>
      <c r="EO654">
        <f>IF(ISBLANK('Data Entry'!$Ñ$654), "", 'Data Entry'!$Ñ$654)</f>
      </c>
      <c r="EP654">
        <f>IF(ISBLANK('Data Entry'!$Ò$654), "", 'Data Entry'!$Ò$654)</f>
      </c>
      <c r="EQ654">
        <f>IF(ISBLANK('Data Entry'!$Ó$654), "", 'Data Entry'!$Ó$654)</f>
      </c>
      <c r="ER654">
        <f>IF(ISBLANK('Data Entry'!$Ô$654), "", 'Data Entry'!$Ô$654)</f>
      </c>
      <c r="ES654">
        <f>IF(ISBLANK('Data Entry'!$Õ$654), "", 'Data Entry'!$Õ$654)</f>
      </c>
      <c r="ET654">
        <f>IF(ISBLANK('Data Entry'!$Ö$654), "", 'Data Entry'!$Ö$654)</f>
      </c>
      <c r="EU654">
        <f>IF(ISBLANK('Data Entry'!$×$654), "", 'Data Entry'!$×$654)</f>
      </c>
      <c r="EV654">
        <f>IF(ISBLANK('Data Entry'!$Ø$654), "", 'Data Entry'!$Ø$654)</f>
      </c>
      <c r="EW654">
        <f>IF(ISBLANK('Data Entry'!$Ù$654), "", 'Data Entry'!$Ù$654)</f>
      </c>
      <c r="EX654">
        <f>IF(ISBLANK('Data Entry'!$Ú$654), "", 'Data Entry'!$Ú$654)</f>
      </c>
      <c r="EY654">
        <f>IF(ISBLANK('Data Entry'!$Û$654), "", 'Data Entry'!$Û$654)</f>
      </c>
      <c r="EZ654">
        <f>IF(ISBLANK('Data Entry'!$Ü$654), "", 'Data Entry'!$Ü$654)</f>
      </c>
      <c r="FA654">
        <f>IF(ISBLANK('Data Entry'!$Ý$654), "", 'Data Entry'!$Ý$654)</f>
      </c>
      <c r="FB654">
        <f>IF(ISBLANK('Data Entry'!$Þ$654), "", 'Data Entry'!$Þ$654)</f>
      </c>
      <c r="FC654">
        <f>IF(ISBLANK('Data Entry'!$ß$654), "", 'Data Entry'!$ß$654)</f>
      </c>
      <c r="FD654">
        <f>IF(ISBLANK('Data Entry'!$à$654), "", 'Data Entry'!$à$654)</f>
      </c>
      <c r="FE654">
        <f>IF(ISBLANK('Data Entry'!$á$654), "", 'Data Entry'!$á$654)</f>
      </c>
      <c r="FF654">
        <f>IF(ISBLANK('Data Entry'!$â$654), "", 'Data Entry'!$â$654)</f>
      </c>
      <c r="FG654">
        <f>IF(ISBLANK('Data Entry'!$ã$654), "", 'Data Entry'!$ã$654)</f>
      </c>
      <c r="FH654">
        <f>IF(ISBLANK('Data Entry'!$ä$654), "", 'Data Entry'!$ä$654)</f>
      </c>
      <c r="FI654">
        <f>IF(ISBLANK('Data Entry'!$å$654), "", 'Data Entry'!$å$654)</f>
      </c>
      <c r="FJ654">
        <f>IF(ISBLANK('Data Entry'!$æ$654), "", 'Data Entry'!$æ$654)</f>
      </c>
      <c r="FK654">
        <f>IF(ISBLANK('Data Entry'!$ç$654), "", 'Data Entry'!$ç$654)</f>
      </c>
      <c r="FL654">
        <f>IF(ISBLANK('Data Entry'!$è$654), "", 'Data Entry'!$è$654)</f>
      </c>
      <c r="FM654">
        <f>IF(ISBLANK('Data Entry'!$é$654), "", 'Data Entry'!$é$654)</f>
      </c>
      <c r="FN654">
        <f>IF(ISBLANK('Data Entry'!$ê$654), "", 'Data Entry'!$ê$654)</f>
      </c>
      <c r="FO654">
        <f>IF(ISBLANK('Data Entry'!$ë$654), "", 'Data Entry'!$ë$654)</f>
      </c>
      <c r="FP654">
        <f>IF(ISBLANK('Data Entry'!$ì$654), "", 'Data Entry'!$ì$654)</f>
      </c>
      <c r="FQ654">
        <f>IF(ISBLANK('Data Entry'!$í$654), "", 'Data Entry'!$í$654)</f>
      </c>
      <c r="FR654">
        <f>IF(ISBLANK('Data Entry'!$î$654), "", 'Data Entry'!$î$654)</f>
      </c>
      <c r="FS654">
        <f>IF(ISBLANK('Data Entry'!$ï$654), "", 'Data Entry'!$ï$654)</f>
      </c>
      <c r="FT654">
        <f>IF(ISBLANK('Data Entry'!$ð$654), "", 'Data Entry'!$ð$654)</f>
      </c>
      <c r="FU654">
        <f>IF(ISBLANK('Data Entry'!$ñ$654), "", 'Data Entry'!$ñ$654)</f>
      </c>
      <c r="FV654">
        <f>IF(ISBLANK('Data Entry'!$ò$654), "", 'Data Entry'!$ò$654)</f>
      </c>
      <c r="FW654">
        <f>IF(ISBLANK('Data Entry'!$ó$654), "", 'Data Entry'!$ó$654)</f>
      </c>
      <c r="FX654">
        <f>IF(ISBLANK('Data Entry'!$ô$654), "", 'Data Entry'!$ô$654)</f>
      </c>
      <c r="FY654">
        <f>IF(ISBLANK('Data Entry'!$õ$654), "", 'Data Entry'!$õ$654)</f>
      </c>
      <c r="FZ654">
        <f>IF(ISBLANK('Data Entry'!$ö$654), "", 'Data Entry'!$ö$654)</f>
      </c>
      <c r="GA654">
        <f>IF(ISBLANK('Data Entry'!$÷$654), "", 'Data Entry'!$÷$654)</f>
      </c>
      <c r="GB654">
        <f>IF(ISBLANK('Data Entry'!$ø$654), "", 'Data Entry'!$ø$654)</f>
      </c>
      <c r="GC654">
        <f>IF(ISBLANK('Data Entry'!$ù$654), "", 'Data Entry'!$ù$654)</f>
      </c>
      <c r="GD654">
        <f>IF(ISBLANK('Data Entry'!$ú$654), "", 'Data Entry'!$ú$654)</f>
      </c>
      <c r="GE654">
        <f>IF(ISBLANK('Data Entry'!$û$654), "", 'Data Entry'!$û$654)</f>
      </c>
      <c r="GF654">
        <f>IF(ISBLANK('Data Entry'!$ü$654), "", 'Data Entry'!$ü$654)</f>
      </c>
      <c r="GG654">
        <f>IF(ISBLANK('Data Entry'!$ý$654), "", 'Data Entry'!$ý$654)</f>
      </c>
      <c r="GH654">
        <f>IF(ISBLANK('Data Entry'!$þ$654), "", 'Data Entry'!$þ$654)</f>
      </c>
      <c r="GI654">
        <f>IF(ISBLANK('Data Entry'!$ÿ$654), "", 'Data Entry'!$ÿ$654)</f>
      </c>
      <c r="GJ654">
        <f>IF(ISBLANK('Data Entry'!$Ā$654), "", 'Data Entry'!$Ā$654)</f>
      </c>
      <c r="GK654">
        <f>IF(ISBLANK('Data Entry'!$ā$654), "", 'Data Entry'!$ā$654)</f>
      </c>
      <c r="GL654">
        <f>IF(ISBLANK('Data Entry'!$Ă$654), "", 'Data Entry'!$Ă$654)</f>
      </c>
      <c r="GM654">
        <f>IF(ISBLANK('Data Entry'!$ă$654), "", 'Data Entry'!$ă$654)</f>
      </c>
      <c r="GN654">
        <f>IF(ISBLANK('Data Entry'!$Ą$654), "", 'Data Entry'!$Ą$654)</f>
      </c>
      <c r="GO654">
        <f>IF(ISBLANK('Data Entry'!$ą$654), "", 'Data Entry'!$ą$654)</f>
      </c>
      <c r="GP654">
        <f>IF(ISBLANK('Data Entry'!$Ć$654), "", 'Data Entry'!$Ć$654)</f>
      </c>
      <c r="GQ654">
        <f>IF(ISBLANK('Data Entry'!$ć$654), "", 'Data Entry'!$ć$654)</f>
      </c>
      <c r="GR654">
        <f>IF(ISBLANK('Data Entry'!$Ĉ$654), "", 'Data Entry'!$Ĉ$654)</f>
      </c>
      <c r="GS654">
        <f>IF(ISBLANK('Data Entry'!$ĉ$654), "", 'Data Entry'!$ĉ$654)</f>
      </c>
      <c r="GT654">
        <f>IF(ISBLANK('Data Entry'!$Ċ$654), "", 'Data Entry'!$Ċ$654)</f>
      </c>
      <c r="GU654">
        <f>IF(ISBLANK('Data Entry'!$ċ$654), "", 'Data Entry'!$ċ$654)</f>
      </c>
      <c r="GV654">
        <f>IF(ISBLANK('Data Entry'!$Č$654), "", 'Data Entry'!$Č$654)</f>
      </c>
      <c r="GW654">
        <f>IF(ISBLANK('Data Entry'!$č$654), "", 'Data Entry'!$č$654)</f>
      </c>
      <c r="GX654">
        <f>IF(ISBLANK('Data Entry'!$Ď$654), "", 'Data Entry'!$Ď$654)</f>
      </c>
      <c r="GY654">
        <f>IF(ISBLANK('Data Entry'!$ď$654), "", 'Data Entry'!$ď$654)</f>
      </c>
      <c r="GZ654">
        <f>IF(ISBLANK('Data Entry'!$Đ$654), "", 'Data Entry'!$Đ$654)</f>
      </c>
      <c r="HA654">
        <f>IF(ISBLANK('Data Entry'!$đ$654), "", 'Data Entry'!$đ$654)</f>
      </c>
      <c r="HB654">
        <f>IF(ISBLANK('Data Entry'!$Ē$654), "", 'Data Entry'!$Ē$654)</f>
      </c>
      <c r="HC654">
        <f>IF(ISBLANK('Data Entry'!$ē$654), "", 'Data Entry'!$ē$654)</f>
      </c>
      <c r="HD654">
        <f>IF(ISBLANK('Data Entry'!$Ĕ$654), "", 'Data Entry'!$Ĕ$654)</f>
      </c>
      <c r="HE654">
        <f>IF(ISBLANK('Data Entry'!$ĕ$654), "", 'Data Entry'!$ĕ$654)</f>
      </c>
      <c r="HF654">
        <f>IF(ISBLANK('Data Entry'!$Ė$654), "", 'Data Entry'!$Ė$654)</f>
      </c>
      <c r="HG654">
        <f>IF(ISBLANK('Data Entry'!$ė$654), "", 'Data Entry'!$ė$654)</f>
      </c>
      <c r="HH654">
        <f>IF(ISBLANK('Data Entry'!$Ę$654), "", 'Data Entry'!$Ę$654)</f>
      </c>
      <c r="HI654">
        <f>IF(ISBLANK('Data Entry'!$ę$654), "", 'Data Entry'!$ę$654)</f>
      </c>
      <c r="HJ654">
        <f>IF(ISBLANK('Data Entry'!$Ě$654), "", 'Data Entry'!$Ě$654)</f>
      </c>
      <c r="HK654">
        <f>IF(ISBLANK('Data Entry'!$ě$654), "", 'Data Entry'!$ě$654)</f>
      </c>
      <c r="HL654">
        <f>IF(ISBLANK('Data Entry'!$Ĝ$654), "", 'Data Entry'!$Ĝ$654)</f>
      </c>
      <c r="HM654">
        <f>IF(ISBLANK('Data Entry'!$ĝ$654), "", 'Data Entry'!$ĝ$654)</f>
      </c>
      <c r="HN654">
        <f>IF(ISBLANK('Data Entry'!$Ğ$654), "", 'Data Entry'!$Ğ$654)</f>
      </c>
      <c r="HO654">
        <f>IF(ISBLANK('Data Entry'!$ğ$654), "", 'Data Entry'!$ğ$654)</f>
      </c>
      <c r="HP654">
        <f>IF(ISBLANK('Data Entry'!$Ġ$654), "", 'Data Entry'!$Ġ$654)</f>
      </c>
      <c r="HQ654">
        <f>IF(ISBLANK('Data Entry'!$ġ$654), "", 'Data Entry'!$ġ$654)</f>
      </c>
      <c r="HR654">
        <f>IF(ISBLANK('Data Entry'!$Ģ$654), "", 'Data Entry'!$Ģ$654)</f>
      </c>
      <c r="HS654">
        <f>IF(ISBLANK('Data Entry'!$ģ$654), "", 'Data Entry'!$ģ$654)</f>
      </c>
      <c r="HT654">
        <f>IF(ISBLANK('Data Entry'!$Ĥ$654), "", 'Data Entry'!$Ĥ$654)</f>
      </c>
      <c r="HU654">
        <f>IF(ISBLANK('Data Entry'!$ĥ$654), "", 'Data Entry'!$ĥ$654)</f>
      </c>
      <c r="HV654">
        <f>IF(ISBLANK('Data Entry'!$Ħ$654), "", 'Data Entry'!$Ħ$654)</f>
      </c>
      <c r="HW654">
        <f>IF(ISBLANK('Data Entry'!$ħ$654), "", 'Data Entry'!$ħ$654)</f>
      </c>
      <c r="HX654">
        <f>IF(ISBLANK('Data Entry'!$Ĩ$654), "", 'Data Entry'!$Ĩ$654)</f>
      </c>
      <c r="HY654">
        <f>IF(ISBLANK('Data Entry'!$ĩ$654), "", 'Data Entry'!$ĩ$654)</f>
      </c>
      <c r="HZ654">
        <f>IF(ISBLANK('Data Entry'!$Ī$654), "", 'Data Entry'!$Ī$654)</f>
      </c>
      <c r="IA654">
        <f>IF(ISBLANK('Data Entry'!$ī$654), "", 'Data Entry'!$ī$654)</f>
      </c>
      <c r="IB654">
        <f>IF(ISBLANK('Data Entry'!$Ĭ$654), "", 'Data Entry'!$Ĭ$654)</f>
      </c>
      <c r="IC654">
        <f>IF(ISBLANK('Data Entry'!$ĭ$654), "", 'Data Entry'!$ĭ$654)</f>
      </c>
      <c r="ID654">
        <f>IF(ISBLANK('Data Entry'!$Į$654), "", 'Data Entry'!$Į$654)</f>
      </c>
      <c r="IE654">
        <f>IF(ISBLANK('Data Entry'!$į$654), "", 'Data Entry'!$į$654)</f>
      </c>
      <c r="IF654">
        <f>IF(ISBLANK('Data Entry'!$İ$654), "", 'Data Entry'!$İ$654)</f>
      </c>
      <c r="IG654">
        <f>IF(ISBLANK('Data Entry'!$ı$654), "", 'Data Entry'!$ı$654)</f>
      </c>
      <c r="IH654">
        <f>IF(ISBLANK('Data Entry'!$Ĳ$654), "", 'Data Entry'!$Ĳ$654)</f>
      </c>
      <c r="II654">
        <f>IF(ISBLANK('Data Entry'!$ĳ$654), "", 'Data Entry'!$ĳ$654)</f>
      </c>
      <c r="IJ654">
        <f>IF(ISBLANK('Data Entry'!$Ĵ$654), "", 'Data Entry'!$Ĵ$654)</f>
      </c>
      <c r="IK654">
        <f>IF(ISBLANK('Data Entry'!$ĵ$654), "", 'Data Entry'!$ĵ$654)</f>
      </c>
      <c r="IL654">
        <f>IF(ISBLANK('Data Entry'!$Ķ$654), "", 'Data Entry'!$Ķ$654)</f>
      </c>
      <c r="IM654">
        <f>IF(ISBLANK('Data Entry'!$ķ$654), "", 'Data Entry'!$ķ$654)</f>
      </c>
      <c r="IN654">
        <f>IF(ISBLANK('Data Entry'!$ĸ$654), "", 'Data Entry'!$ĸ$654)</f>
      </c>
      <c r="IO654">
        <f>IF(ISBLANK('Data Entry'!$Ĺ$654), "", 'Data Entry'!$Ĺ$654)</f>
      </c>
      <c r="IP654">
        <f>IF(ISBLANK('Data Entry'!$ĺ$654), "", 'Data Entry'!$ĺ$654)</f>
      </c>
      <c r="IQ654">
        <f>IF(ISBLANK('Data Entry'!$Ļ$654), "", 'Data Entry'!$Ļ$654)</f>
      </c>
      <c r="IR654">
        <f>IF(ISBLANK('Data Entry'!$ļ$654), "", 'Data Entry'!$ļ$654)</f>
      </c>
      <c r="IS654">
        <f>IF(ISBLANK('Data Entry'!$Ľ$654), "", 'Data Entry'!$Ľ$654)</f>
      </c>
      <c r="IT654">
        <f>IF(ISBLANK('Data Entry'!$ľ$654), "", 'Data Entry'!$ľ$654)</f>
      </c>
    </row>
    <row r="655" spans="1:254" x14ac:dyDescent="0.25">
      <c r="A655">
        <f>IF(ISBLANK('Data Entry'!$A$655), "", 'Data Entry'!$A$655)</f>
      </c>
      <c r="B655">
        <f>IF(ISBLANK('Data Entry'!$B$655), "", 'Data Entry'!$B$655)</f>
      </c>
      <c r="C655">
        <f>IF(ISBLANK('Data Entry'!$C$655), "", 'Data Entry'!$C$655)</f>
      </c>
      <c r="D655">
        <f>IF(ISBLANK('Data Entry'!$D$655), "", 'Data Entry'!$D$655)</f>
      </c>
      <c r="E655">
        <f>IF(ISBLANK('Data Entry'!$E$655), "", 'Data Entry'!$E$655)</f>
      </c>
      <c r="F655">
        <f>IF(ISBLANK('Data Entry'!$F$655), "", 'Data Entry'!$F$655)</f>
      </c>
      <c r="G655">
        <f>IF(ISBLANK('Data Entry'!$G$655), "", 'Data Entry'!$G$655)</f>
      </c>
      <c r="H655">
        <f>IF(ISBLANK('Data Entry'!$H$655), "", 'Data Entry'!$H$655)</f>
      </c>
      <c r="I655">
        <f>IF(ISBLANK('Data Entry'!$I$655), "", 'Data Entry'!$I$655)</f>
      </c>
      <c r="J655">
        <f>IF(ISBLANK('Data Entry'!$J$655), "", 'Data Entry'!$J$655)</f>
      </c>
      <c r="K655">
        <f>IF(ISBLANK('Data Entry'!$K$655), "", 'Data Entry'!$K$655)</f>
      </c>
      <c r="L655">
        <f>IF(ISBLANK('Data Entry'!$L$655), "", 'Data Entry'!$L$655)</f>
      </c>
      <c r="M655">
        <f>IF(ISBLANK('Data Entry'!$M$655), "", 'Data Entry'!$M$655)</f>
      </c>
      <c r="N655">
        <f>IF(ISBLANK('Data Entry'!$N$655), "", 'Data Entry'!$N$655)</f>
      </c>
      <c r="O655">
        <f>IF(ISBLANK('Data Entry'!$O$655), "", 'Data Entry'!$O$655)</f>
      </c>
      <c r="P655">
        <f>IF(ISBLANK('Data Entry'!$P$655), "", 'Data Entry'!$P$655)</f>
      </c>
      <c r="Q655">
        <f>IF(ISBLANK('Data Entry'!$Q$655), "", 'Data Entry'!$Q$655)</f>
      </c>
      <c r="R655">
        <f>IF(ISBLANK('Data Entry'!$R$655), "", 'Data Entry'!$R$655)</f>
      </c>
      <c r="S655">
        <f>IF(ISBLANK('Data Entry'!$S$655), "", 'Data Entry'!$S$655)</f>
      </c>
      <c r="T655">
        <f>IF(ISBLANK('Data Entry'!$T$655), "", 'Data Entry'!$T$655)</f>
      </c>
      <c r="U655">
        <f>IF(ISBLANK('Data Entry'!$U$655), "", 'Data Entry'!$U$655)</f>
      </c>
      <c r="V655">
        <f>IF(ISBLANK('Data Entry'!$V$655), "", 'Data Entry'!$V$655)</f>
      </c>
      <c r="W655">
        <f>IF(ISBLANK('Data Entry'!$W$655), "", 'Data Entry'!$W$655)</f>
      </c>
      <c r="X655">
        <f>IF(ISBLANK('Data Entry'!$X$655), "", 'Data Entry'!$X$655)</f>
      </c>
      <c r="Y655">
        <f>IF(ISBLANK('Data Entry'!$Y$655), "", 'Data Entry'!$Y$655)</f>
      </c>
      <c r="Z655">
        <f>IF(ISBLANK('Data Entry'!$Z$655), "", 'Data Entry'!$Z$655)</f>
      </c>
      <c r="AA655">
        <f>IF(ISBLANK('Data Entry'!$[$655), "", 'Data Entry'!$[$655)</f>
      </c>
      <c r="AB655">
        <f>IF(ISBLANK('Data Entry'!$\$655), "", 'Data Entry'!$\$655)</f>
      </c>
      <c r="AC655">
        <f>IF(ISBLANK('Data Entry'!$]$655), "", 'Data Entry'!$]$655)</f>
      </c>
      <c r="AD655">
        <f>IF(ISBLANK('Data Entry'!$^$655), "", 'Data Entry'!$^$655)</f>
      </c>
      <c r="AE655">
        <f>IF(ISBLANK('Data Entry'!$_$655), "", 'Data Entry'!$_$655)</f>
      </c>
      <c r="AF655">
        <f>IF(ISBLANK('Data Entry'!$`$655), "", 'Data Entry'!$`$655)</f>
      </c>
      <c r="AG655">
        <f>IF(ISBLANK('Data Entry'!$a$655), "", 'Data Entry'!$a$655)</f>
      </c>
      <c r="AH655">
        <f>IF(ISBLANK('Data Entry'!$b$655), "", 'Data Entry'!$b$655)</f>
      </c>
      <c r="AI655">
        <f>IF(ISBLANK('Data Entry'!$c$655), "", 'Data Entry'!$c$655)</f>
      </c>
      <c r="AJ655">
        <f>IF(ISBLANK('Data Entry'!$d$655), "", 'Data Entry'!$d$655)</f>
      </c>
      <c r="AK655">
        <f>IF(ISBLANK('Data Entry'!$e$655), "", 'Data Entry'!$e$655)</f>
      </c>
      <c r="AL655">
        <f>IF(ISBLANK('Data Entry'!$f$655), "", 'Data Entry'!$f$655)</f>
      </c>
      <c r="AM655">
        <f>IF(ISBLANK('Data Entry'!$g$655), "", 'Data Entry'!$g$655)</f>
      </c>
      <c r="AN655">
        <f>IF(ISBLANK('Data Entry'!$h$655), "", 'Data Entry'!$h$655)</f>
      </c>
      <c r="AO655">
        <f>IF(ISBLANK('Data Entry'!$i$655), "", 'Data Entry'!$i$655)</f>
      </c>
      <c r="AP655">
        <f>IF(ISBLANK('Data Entry'!$j$655), "", 'Data Entry'!$j$655)</f>
      </c>
      <c r="AQ655">
        <f>IF(ISBLANK('Data Entry'!$k$655), "", 'Data Entry'!$k$655)</f>
      </c>
      <c r="AR655">
        <f>IF(ISBLANK('Data Entry'!$l$655), "", 'Data Entry'!$l$655)</f>
      </c>
      <c r="AS655">
        <f>IF(ISBLANK('Data Entry'!$m$655), "", 'Data Entry'!$m$655)</f>
      </c>
      <c r="AT655">
        <f>IF(ISBLANK('Data Entry'!$n$655), "", 'Data Entry'!$n$655)</f>
      </c>
      <c r="AU655">
        <f>IF(ISBLANK('Data Entry'!$o$655), "", 'Data Entry'!$o$655)</f>
      </c>
      <c r="AV655">
        <f>IF(ISBLANK('Data Entry'!$p$655), "", 'Data Entry'!$p$655)</f>
      </c>
      <c r="AW655">
        <f>IF(ISBLANK('Data Entry'!$q$655), "", 'Data Entry'!$q$655)</f>
      </c>
      <c r="AX655">
        <f>IF(ISBLANK('Data Entry'!$r$655), "", 'Data Entry'!$r$655)</f>
      </c>
      <c r="AY655">
        <f>IF(ISBLANK('Data Entry'!$s$655), "", 'Data Entry'!$s$655)</f>
      </c>
      <c r="AZ655">
        <f>IF(ISBLANK('Data Entry'!$t$655), "", 'Data Entry'!$t$655)</f>
      </c>
      <c r="BA655">
        <f>IF(ISBLANK('Data Entry'!$u$655), "", 'Data Entry'!$u$655)</f>
      </c>
      <c r="BB655">
        <f>IF(ISBLANK('Data Entry'!$v$655), "", 'Data Entry'!$v$655)</f>
      </c>
      <c r="BC655">
        <f>IF(ISBLANK('Data Entry'!$w$655), "", 'Data Entry'!$w$655)</f>
      </c>
      <c r="BD655">
        <f>IF(ISBLANK('Data Entry'!$x$655), "", 'Data Entry'!$x$655)</f>
      </c>
      <c r="BE655">
        <f>IF(ISBLANK('Data Entry'!$y$655), "", 'Data Entry'!$y$655)</f>
      </c>
      <c r="BF655">
        <f>IF(ISBLANK('Data Entry'!$z$655), "", 'Data Entry'!$z$655)</f>
      </c>
      <c r="BG655">
        <f>IF(ISBLANK('Data Entry'!${$655), "", 'Data Entry'!${$655)</f>
      </c>
      <c r="BH655">
        <f>IF(ISBLANK('Data Entry'!$|$655), "", 'Data Entry'!$|$655)</f>
      </c>
      <c r="BI655">
        <f>IF(ISBLANK('Data Entry'!$}$655), "", 'Data Entry'!$}$655)</f>
      </c>
      <c r="BJ655">
        <f>IF(ISBLANK('Data Entry'!$~$655), "", 'Data Entry'!$~$655)</f>
      </c>
      <c r="BK655">
        <f>IF(ISBLANK('Data Entry'!$$655), "", 'Data Entry'!$$655)</f>
      </c>
      <c r="BL655">
        <f>IF(ISBLANK('Data Entry'!$$655), "", 'Data Entry'!$$655)</f>
      </c>
      <c r="BM655">
        <f>IF(ISBLANK('Data Entry'!$$655), "", 'Data Entry'!$$655)</f>
      </c>
      <c r="BN655">
        <f>IF(ISBLANK('Data Entry'!$$655), "", 'Data Entry'!$$655)</f>
      </c>
      <c r="BO655">
        <f>IF(ISBLANK('Data Entry'!$$655), "", 'Data Entry'!$$655)</f>
      </c>
      <c r="BP655">
        <f>IF(ISBLANK('Data Entry'!$$655), "", 'Data Entry'!$$655)</f>
      </c>
      <c r="BQ655">
        <f>IF(ISBLANK('Data Entry'!$$655), "", 'Data Entry'!$$655)</f>
      </c>
      <c r="BR655">
        <f>IF(ISBLANK('Data Entry'!$$655), "", 'Data Entry'!$$655)</f>
      </c>
      <c r="BS655">
        <f>IF(ISBLANK('Data Entry'!$$655), "", 'Data Entry'!$$655)</f>
      </c>
      <c r="BT655">
        <f>IF(ISBLANK('Data Entry'!$$655), "", 'Data Entry'!$$655)</f>
      </c>
      <c r="BU655">
        <f>IF(ISBLANK('Data Entry'!$$655), "", 'Data Entry'!$$655)</f>
      </c>
      <c r="BV655">
        <f>IF(ISBLANK('Data Entry'!$$655), "", 'Data Entry'!$$655)</f>
      </c>
      <c r="BW655">
        <f>IF(ISBLANK('Data Entry'!$$655), "", 'Data Entry'!$$655)</f>
      </c>
      <c r="BX655">
        <f>IF(ISBLANK('Data Entry'!$$655), "", 'Data Entry'!$$655)</f>
      </c>
      <c r="BY655">
        <f>IF(ISBLANK('Data Entry'!$$655), "", 'Data Entry'!$$655)</f>
      </c>
      <c r="BZ655">
        <f>IF(ISBLANK('Data Entry'!$$655), "", 'Data Entry'!$$655)</f>
      </c>
      <c r="CA655">
        <f>IF(ISBLANK('Data Entry'!$$655), "", 'Data Entry'!$$655)</f>
      </c>
      <c r="CB655">
        <f>IF(ISBLANK('Data Entry'!$$655), "", 'Data Entry'!$$655)</f>
      </c>
      <c r="CC655">
        <f>IF(ISBLANK('Data Entry'!$$655), "", 'Data Entry'!$$655)</f>
      </c>
      <c r="CD655">
        <f>IF(ISBLANK('Data Entry'!$$655), "", 'Data Entry'!$$655)</f>
      </c>
      <c r="CE655">
        <f>IF(ISBLANK('Data Entry'!$$655), "", 'Data Entry'!$$655)</f>
      </c>
      <c r="CF655">
        <f>IF(ISBLANK('Data Entry'!$$655), "", 'Data Entry'!$$655)</f>
      </c>
      <c r="CG655">
        <f>IF(ISBLANK('Data Entry'!$$655), "", 'Data Entry'!$$655)</f>
      </c>
      <c r="CH655">
        <f>IF(ISBLANK('Data Entry'!$$655), "", 'Data Entry'!$$655)</f>
      </c>
      <c r="CI655">
        <f>IF(ISBLANK('Data Entry'!$$655), "", 'Data Entry'!$$655)</f>
      </c>
      <c r="CJ655">
        <f>IF(ISBLANK('Data Entry'!$$655), "", 'Data Entry'!$$655)</f>
      </c>
      <c r="CK655">
        <f>IF(ISBLANK('Data Entry'!$$655), "", 'Data Entry'!$$655)</f>
      </c>
      <c r="CL655">
        <f>IF(ISBLANK('Data Entry'!$$655), "", 'Data Entry'!$$655)</f>
      </c>
      <c r="CM655">
        <f>IF(ISBLANK('Data Entry'!$$655), "", 'Data Entry'!$$655)</f>
      </c>
      <c r="CN655">
        <f>IF(ISBLANK('Data Entry'!$$655), "", 'Data Entry'!$$655)</f>
      </c>
      <c r="CO655">
        <f>IF(ISBLANK('Data Entry'!$$655), "", 'Data Entry'!$$655)</f>
      </c>
      <c r="CP655">
        <f>IF(ISBLANK('Data Entry'!$$655), "", 'Data Entry'!$$655)</f>
      </c>
      <c r="CQ655">
        <f>IF(ISBLANK('Data Entry'!$$655), "", 'Data Entry'!$$655)</f>
      </c>
      <c r="CR655">
        <f>IF(ISBLANK('Data Entry'!$ $655), "", 'Data Entry'!$ $655)</f>
      </c>
      <c r="CS655">
        <f>IF(ISBLANK('Data Entry'!$¡$655), "", 'Data Entry'!$¡$655)</f>
      </c>
      <c r="CT655">
        <f>IF(ISBLANK('Data Entry'!$¢$655), "", 'Data Entry'!$¢$655)</f>
      </c>
      <c r="CU655">
        <f>IF(ISBLANK('Data Entry'!$£$655), "", 'Data Entry'!$£$655)</f>
      </c>
      <c r="CV655">
        <f>IF(ISBLANK('Data Entry'!$¤$655), "", 'Data Entry'!$¤$655)</f>
      </c>
      <c r="CW655">
        <f>IF(ISBLANK('Data Entry'!$¥$655), "", 'Data Entry'!$¥$655)</f>
      </c>
      <c r="CX655">
        <f>IF(ISBLANK('Data Entry'!$¦$655), "", 'Data Entry'!$¦$655)</f>
      </c>
      <c r="CY655">
        <f>IF(ISBLANK('Data Entry'!$§$655), "", 'Data Entry'!$§$655)</f>
      </c>
      <c r="CZ655">
        <f>IF(ISBLANK('Data Entry'!$¨$655), "", 'Data Entry'!$¨$655)</f>
      </c>
      <c r="DA655">
        <f>IF(ISBLANK('Data Entry'!$©$655), "", 'Data Entry'!$©$655)</f>
      </c>
      <c r="DB655">
        <f>IF(ISBLANK('Data Entry'!$ª$655), "", 'Data Entry'!$ª$655)</f>
      </c>
      <c r="DC655">
        <f>IF(ISBLANK('Data Entry'!$«$655), "", 'Data Entry'!$«$655)</f>
      </c>
      <c r="DD655">
        <f>IF(ISBLANK('Data Entry'!$¬$655), "", 'Data Entry'!$¬$655)</f>
      </c>
      <c r="DE655">
        <f>IF(ISBLANK('Data Entry'!$­$655), "", 'Data Entry'!$­$655)</f>
      </c>
      <c r="DF655">
        <f>IF(ISBLANK('Data Entry'!$®$655), "", 'Data Entry'!$®$655)</f>
      </c>
      <c r="DG655">
        <f>IF(ISBLANK('Data Entry'!$¯$655), "", 'Data Entry'!$¯$655)</f>
      </c>
      <c r="DH655">
        <f>IF(ISBLANK('Data Entry'!$°$655), "", 'Data Entry'!$°$655)</f>
      </c>
      <c r="DI655">
        <f>IF(ISBLANK('Data Entry'!$±$655), "", 'Data Entry'!$±$655)</f>
      </c>
      <c r="DJ655">
        <f>IF(ISBLANK('Data Entry'!$²$655), "", 'Data Entry'!$²$655)</f>
      </c>
      <c r="DK655">
        <f>IF(ISBLANK('Data Entry'!$³$655), "", 'Data Entry'!$³$655)</f>
      </c>
      <c r="DL655">
        <f>IF(ISBLANK('Data Entry'!$´$655), "", 'Data Entry'!$´$655)</f>
      </c>
      <c r="DM655">
        <f>IF(ISBLANK('Data Entry'!$µ$655), "", 'Data Entry'!$µ$655)</f>
      </c>
      <c r="DN655">
        <f>IF(ISBLANK('Data Entry'!$¶$655), "", 'Data Entry'!$¶$655)</f>
      </c>
      <c r="DO655">
        <f>IF(ISBLANK('Data Entry'!$·$655), "", 'Data Entry'!$·$655)</f>
      </c>
      <c r="DP655">
        <f>IF(ISBLANK('Data Entry'!$¸$655), "", 'Data Entry'!$¸$655)</f>
      </c>
      <c r="DQ655">
        <f>IF(ISBLANK('Data Entry'!$¹$655), "", 'Data Entry'!$¹$655)</f>
      </c>
      <c r="DR655">
        <f>IF(ISBLANK('Data Entry'!$º$655), "", 'Data Entry'!$º$655)</f>
      </c>
      <c r="DS655">
        <f>IF(ISBLANK('Data Entry'!$»$655), "", 'Data Entry'!$»$655)</f>
      </c>
      <c r="DT655">
        <f>IF(ISBLANK('Data Entry'!$¼$655), "", 'Data Entry'!$¼$655)</f>
      </c>
      <c r="DU655">
        <f>IF(ISBLANK('Data Entry'!$½$655), "", 'Data Entry'!$½$655)</f>
      </c>
      <c r="DV655">
        <f>IF(ISBLANK('Data Entry'!$¾$655), "", 'Data Entry'!$¾$655)</f>
      </c>
      <c r="DW655">
        <f>IF(ISBLANK('Data Entry'!$¿$655), "", 'Data Entry'!$¿$655)</f>
      </c>
      <c r="DX655">
        <f>IF(ISBLANK('Data Entry'!$À$655), "", 'Data Entry'!$À$655)</f>
      </c>
      <c r="DY655">
        <f>IF(ISBLANK('Data Entry'!$Á$655), "", 'Data Entry'!$Á$655)</f>
      </c>
      <c r="DZ655">
        <f>IF(ISBLANK('Data Entry'!$Â$655), "", 'Data Entry'!$Â$655)</f>
      </c>
      <c r="EA655">
        <f>IF(ISBLANK('Data Entry'!$Ã$655), "", 'Data Entry'!$Ã$655)</f>
      </c>
      <c r="EB655">
        <f>IF(ISBLANK('Data Entry'!$Ä$655), "", 'Data Entry'!$Ä$655)</f>
      </c>
      <c r="EC655">
        <f>IF(ISBLANK('Data Entry'!$Å$655), "", 'Data Entry'!$Å$655)</f>
      </c>
      <c r="ED655">
        <f>IF(ISBLANK('Data Entry'!$Æ$655), "", 'Data Entry'!$Æ$655)</f>
      </c>
      <c r="EE655">
        <f>IF(ISBLANK('Data Entry'!$Ç$655), "", 'Data Entry'!$Ç$655)</f>
      </c>
      <c r="EF655">
        <f>IF(ISBLANK('Data Entry'!$È$655), "", 'Data Entry'!$È$655)</f>
      </c>
      <c r="EG655">
        <f>IF(ISBLANK('Data Entry'!$É$655), "", 'Data Entry'!$É$655)</f>
      </c>
      <c r="EH655">
        <f>IF(ISBLANK('Data Entry'!$Ê$655), "", 'Data Entry'!$Ê$655)</f>
      </c>
      <c r="EI655">
        <f>IF(ISBLANK('Data Entry'!$Ë$655), "", 'Data Entry'!$Ë$655)</f>
      </c>
      <c r="EJ655">
        <f>IF(ISBLANK('Data Entry'!$Ì$655), "", 'Data Entry'!$Ì$655)</f>
      </c>
      <c r="EK655">
        <f>IF(ISBLANK('Data Entry'!$Í$655), "", 'Data Entry'!$Í$655)</f>
      </c>
      <c r="EL655">
        <f>IF(ISBLANK('Data Entry'!$Î$655), "", 'Data Entry'!$Î$655)</f>
      </c>
      <c r="EM655">
        <f>IF(ISBLANK('Data Entry'!$Ï$655), "", 'Data Entry'!$Ï$655)</f>
      </c>
      <c r="EN655">
        <f>IF(ISBLANK('Data Entry'!$Ð$655), "", 'Data Entry'!$Ð$655)</f>
      </c>
      <c r="EO655">
        <f>IF(ISBLANK('Data Entry'!$Ñ$655), "", 'Data Entry'!$Ñ$655)</f>
      </c>
      <c r="EP655">
        <f>IF(ISBLANK('Data Entry'!$Ò$655), "", 'Data Entry'!$Ò$655)</f>
      </c>
      <c r="EQ655">
        <f>IF(ISBLANK('Data Entry'!$Ó$655), "", 'Data Entry'!$Ó$655)</f>
      </c>
      <c r="ER655">
        <f>IF(ISBLANK('Data Entry'!$Ô$655), "", 'Data Entry'!$Ô$655)</f>
      </c>
      <c r="ES655">
        <f>IF(ISBLANK('Data Entry'!$Õ$655), "", 'Data Entry'!$Õ$655)</f>
      </c>
      <c r="ET655">
        <f>IF(ISBLANK('Data Entry'!$Ö$655), "", 'Data Entry'!$Ö$655)</f>
      </c>
      <c r="EU655">
        <f>IF(ISBLANK('Data Entry'!$×$655), "", 'Data Entry'!$×$655)</f>
      </c>
      <c r="EV655">
        <f>IF(ISBLANK('Data Entry'!$Ø$655), "", 'Data Entry'!$Ø$655)</f>
      </c>
      <c r="EW655">
        <f>IF(ISBLANK('Data Entry'!$Ù$655), "", 'Data Entry'!$Ù$655)</f>
      </c>
      <c r="EX655">
        <f>IF(ISBLANK('Data Entry'!$Ú$655), "", 'Data Entry'!$Ú$655)</f>
      </c>
      <c r="EY655">
        <f>IF(ISBLANK('Data Entry'!$Û$655), "", 'Data Entry'!$Û$655)</f>
      </c>
      <c r="EZ655">
        <f>IF(ISBLANK('Data Entry'!$Ü$655), "", 'Data Entry'!$Ü$655)</f>
      </c>
      <c r="FA655">
        <f>IF(ISBLANK('Data Entry'!$Ý$655), "", 'Data Entry'!$Ý$655)</f>
      </c>
      <c r="FB655">
        <f>IF(ISBLANK('Data Entry'!$Þ$655), "", 'Data Entry'!$Þ$655)</f>
      </c>
      <c r="FC655">
        <f>IF(ISBLANK('Data Entry'!$ß$655), "", 'Data Entry'!$ß$655)</f>
      </c>
      <c r="FD655">
        <f>IF(ISBLANK('Data Entry'!$à$655), "", 'Data Entry'!$à$655)</f>
      </c>
      <c r="FE655">
        <f>IF(ISBLANK('Data Entry'!$á$655), "", 'Data Entry'!$á$655)</f>
      </c>
      <c r="FF655">
        <f>IF(ISBLANK('Data Entry'!$â$655), "", 'Data Entry'!$â$655)</f>
      </c>
      <c r="FG655">
        <f>IF(ISBLANK('Data Entry'!$ã$655), "", 'Data Entry'!$ã$655)</f>
      </c>
      <c r="FH655">
        <f>IF(ISBLANK('Data Entry'!$ä$655), "", 'Data Entry'!$ä$655)</f>
      </c>
      <c r="FI655">
        <f>IF(ISBLANK('Data Entry'!$å$655), "", 'Data Entry'!$å$655)</f>
      </c>
      <c r="FJ655">
        <f>IF(ISBLANK('Data Entry'!$æ$655), "", 'Data Entry'!$æ$655)</f>
      </c>
      <c r="FK655">
        <f>IF(ISBLANK('Data Entry'!$ç$655), "", 'Data Entry'!$ç$655)</f>
      </c>
      <c r="FL655">
        <f>IF(ISBLANK('Data Entry'!$è$655), "", 'Data Entry'!$è$655)</f>
      </c>
      <c r="FM655">
        <f>IF(ISBLANK('Data Entry'!$é$655), "", 'Data Entry'!$é$655)</f>
      </c>
      <c r="FN655">
        <f>IF(ISBLANK('Data Entry'!$ê$655), "", 'Data Entry'!$ê$655)</f>
      </c>
      <c r="FO655">
        <f>IF(ISBLANK('Data Entry'!$ë$655), "", 'Data Entry'!$ë$655)</f>
      </c>
      <c r="FP655">
        <f>IF(ISBLANK('Data Entry'!$ì$655), "", 'Data Entry'!$ì$655)</f>
      </c>
      <c r="FQ655">
        <f>IF(ISBLANK('Data Entry'!$í$655), "", 'Data Entry'!$í$655)</f>
      </c>
      <c r="FR655">
        <f>IF(ISBLANK('Data Entry'!$î$655), "", 'Data Entry'!$î$655)</f>
      </c>
      <c r="FS655">
        <f>IF(ISBLANK('Data Entry'!$ï$655), "", 'Data Entry'!$ï$655)</f>
      </c>
      <c r="FT655">
        <f>IF(ISBLANK('Data Entry'!$ð$655), "", 'Data Entry'!$ð$655)</f>
      </c>
      <c r="FU655">
        <f>IF(ISBLANK('Data Entry'!$ñ$655), "", 'Data Entry'!$ñ$655)</f>
      </c>
      <c r="FV655">
        <f>IF(ISBLANK('Data Entry'!$ò$655), "", 'Data Entry'!$ò$655)</f>
      </c>
      <c r="FW655">
        <f>IF(ISBLANK('Data Entry'!$ó$655), "", 'Data Entry'!$ó$655)</f>
      </c>
      <c r="FX655">
        <f>IF(ISBLANK('Data Entry'!$ô$655), "", 'Data Entry'!$ô$655)</f>
      </c>
      <c r="FY655">
        <f>IF(ISBLANK('Data Entry'!$õ$655), "", 'Data Entry'!$õ$655)</f>
      </c>
      <c r="FZ655">
        <f>IF(ISBLANK('Data Entry'!$ö$655), "", 'Data Entry'!$ö$655)</f>
      </c>
      <c r="GA655">
        <f>IF(ISBLANK('Data Entry'!$÷$655), "", 'Data Entry'!$÷$655)</f>
      </c>
      <c r="GB655">
        <f>IF(ISBLANK('Data Entry'!$ø$655), "", 'Data Entry'!$ø$655)</f>
      </c>
      <c r="GC655">
        <f>IF(ISBLANK('Data Entry'!$ù$655), "", 'Data Entry'!$ù$655)</f>
      </c>
      <c r="GD655">
        <f>IF(ISBLANK('Data Entry'!$ú$655), "", 'Data Entry'!$ú$655)</f>
      </c>
      <c r="GE655">
        <f>IF(ISBLANK('Data Entry'!$û$655), "", 'Data Entry'!$û$655)</f>
      </c>
      <c r="GF655">
        <f>IF(ISBLANK('Data Entry'!$ü$655), "", 'Data Entry'!$ü$655)</f>
      </c>
      <c r="GG655">
        <f>IF(ISBLANK('Data Entry'!$ý$655), "", 'Data Entry'!$ý$655)</f>
      </c>
      <c r="GH655">
        <f>IF(ISBLANK('Data Entry'!$þ$655), "", 'Data Entry'!$þ$655)</f>
      </c>
      <c r="GI655">
        <f>IF(ISBLANK('Data Entry'!$ÿ$655), "", 'Data Entry'!$ÿ$655)</f>
      </c>
      <c r="GJ655">
        <f>IF(ISBLANK('Data Entry'!$Ā$655), "", 'Data Entry'!$Ā$655)</f>
      </c>
      <c r="GK655">
        <f>IF(ISBLANK('Data Entry'!$ā$655), "", 'Data Entry'!$ā$655)</f>
      </c>
      <c r="GL655">
        <f>IF(ISBLANK('Data Entry'!$Ă$655), "", 'Data Entry'!$Ă$655)</f>
      </c>
      <c r="GM655">
        <f>IF(ISBLANK('Data Entry'!$ă$655), "", 'Data Entry'!$ă$655)</f>
      </c>
      <c r="GN655">
        <f>IF(ISBLANK('Data Entry'!$Ą$655), "", 'Data Entry'!$Ą$655)</f>
      </c>
      <c r="GO655">
        <f>IF(ISBLANK('Data Entry'!$ą$655), "", 'Data Entry'!$ą$655)</f>
      </c>
      <c r="GP655">
        <f>IF(ISBLANK('Data Entry'!$Ć$655), "", 'Data Entry'!$Ć$655)</f>
      </c>
      <c r="GQ655">
        <f>IF(ISBLANK('Data Entry'!$ć$655), "", 'Data Entry'!$ć$655)</f>
      </c>
      <c r="GR655">
        <f>IF(ISBLANK('Data Entry'!$Ĉ$655), "", 'Data Entry'!$Ĉ$655)</f>
      </c>
      <c r="GS655">
        <f>IF(ISBLANK('Data Entry'!$ĉ$655), "", 'Data Entry'!$ĉ$655)</f>
      </c>
      <c r="GT655">
        <f>IF(ISBLANK('Data Entry'!$Ċ$655), "", 'Data Entry'!$Ċ$655)</f>
      </c>
      <c r="GU655">
        <f>IF(ISBLANK('Data Entry'!$ċ$655), "", 'Data Entry'!$ċ$655)</f>
      </c>
      <c r="GV655">
        <f>IF(ISBLANK('Data Entry'!$Č$655), "", 'Data Entry'!$Č$655)</f>
      </c>
      <c r="GW655">
        <f>IF(ISBLANK('Data Entry'!$č$655), "", 'Data Entry'!$č$655)</f>
      </c>
      <c r="GX655">
        <f>IF(ISBLANK('Data Entry'!$Ď$655), "", 'Data Entry'!$Ď$655)</f>
      </c>
      <c r="GY655">
        <f>IF(ISBLANK('Data Entry'!$ď$655), "", 'Data Entry'!$ď$655)</f>
      </c>
      <c r="GZ655">
        <f>IF(ISBLANK('Data Entry'!$Đ$655), "", 'Data Entry'!$Đ$655)</f>
      </c>
      <c r="HA655">
        <f>IF(ISBLANK('Data Entry'!$đ$655), "", 'Data Entry'!$đ$655)</f>
      </c>
      <c r="HB655">
        <f>IF(ISBLANK('Data Entry'!$Ē$655), "", 'Data Entry'!$Ē$655)</f>
      </c>
      <c r="HC655">
        <f>IF(ISBLANK('Data Entry'!$ē$655), "", 'Data Entry'!$ē$655)</f>
      </c>
      <c r="HD655">
        <f>IF(ISBLANK('Data Entry'!$Ĕ$655), "", 'Data Entry'!$Ĕ$655)</f>
      </c>
      <c r="HE655">
        <f>IF(ISBLANK('Data Entry'!$ĕ$655), "", 'Data Entry'!$ĕ$655)</f>
      </c>
      <c r="HF655">
        <f>IF(ISBLANK('Data Entry'!$Ė$655), "", 'Data Entry'!$Ė$655)</f>
      </c>
      <c r="HG655">
        <f>IF(ISBLANK('Data Entry'!$ė$655), "", 'Data Entry'!$ė$655)</f>
      </c>
      <c r="HH655">
        <f>IF(ISBLANK('Data Entry'!$Ę$655), "", 'Data Entry'!$Ę$655)</f>
      </c>
      <c r="HI655">
        <f>IF(ISBLANK('Data Entry'!$ę$655), "", 'Data Entry'!$ę$655)</f>
      </c>
      <c r="HJ655">
        <f>IF(ISBLANK('Data Entry'!$Ě$655), "", 'Data Entry'!$Ě$655)</f>
      </c>
      <c r="HK655">
        <f>IF(ISBLANK('Data Entry'!$ě$655), "", 'Data Entry'!$ě$655)</f>
      </c>
      <c r="HL655">
        <f>IF(ISBLANK('Data Entry'!$Ĝ$655), "", 'Data Entry'!$Ĝ$655)</f>
      </c>
      <c r="HM655">
        <f>IF(ISBLANK('Data Entry'!$ĝ$655), "", 'Data Entry'!$ĝ$655)</f>
      </c>
      <c r="HN655">
        <f>IF(ISBLANK('Data Entry'!$Ğ$655), "", 'Data Entry'!$Ğ$655)</f>
      </c>
      <c r="HO655">
        <f>IF(ISBLANK('Data Entry'!$ğ$655), "", 'Data Entry'!$ğ$655)</f>
      </c>
      <c r="HP655">
        <f>IF(ISBLANK('Data Entry'!$Ġ$655), "", 'Data Entry'!$Ġ$655)</f>
      </c>
      <c r="HQ655">
        <f>IF(ISBLANK('Data Entry'!$ġ$655), "", 'Data Entry'!$ġ$655)</f>
      </c>
      <c r="HR655">
        <f>IF(ISBLANK('Data Entry'!$Ģ$655), "", 'Data Entry'!$Ģ$655)</f>
      </c>
      <c r="HS655">
        <f>IF(ISBLANK('Data Entry'!$ģ$655), "", 'Data Entry'!$ģ$655)</f>
      </c>
      <c r="HT655">
        <f>IF(ISBLANK('Data Entry'!$Ĥ$655), "", 'Data Entry'!$Ĥ$655)</f>
      </c>
      <c r="HU655">
        <f>IF(ISBLANK('Data Entry'!$ĥ$655), "", 'Data Entry'!$ĥ$655)</f>
      </c>
      <c r="HV655">
        <f>IF(ISBLANK('Data Entry'!$Ħ$655), "", 'Data Entry'!$Ħ$655)</f>
      </c>
      <c r="HW655">
        <f>IF(ISBLANK('Data Entry'!$ħ$655), "", 'Data Entry'!$ħ$655)</f>
      </c>
      <c r="HX655">
        <f>IF(ISBLANK('Data Entry'!$Ĩ$655), "", 'Data Entry'!$Ĩ$655)</f>
      </c>
      <c r="HY655">
        <f>IF(ISBLANK('Data Entry'!$ĩ$655), "", 'Data Entry'!$ĩ$655)</f>
      </c>
      <c r="HZ655">
        <f>IF(ISBLANK('Data Entry'!$Ī$655), "", 'Data Entry'!$Ī$655)</f>
      </c>
      <c r="IA655">
        <f>IF(ISBLANK('Data Entry'!$ī$655), "", 'Data Entry'!$ī$655)</f>
      </c>
      <c r="IB655">
        <f>IF(ISBLANK('Data Entry'!$Ĭ$655), "", 'Data Entry'!$Ĭ$655)</f>
      </c>
      <c r="IC655">
        <f>IF(ISBLANK('Data Entry'!$ĭ$655), "", 'Data Entry'!$ĭ$655)</f>
      </c>
      <c r="ID655">
        <f>IF(ISBLANK('Data Entry'!$Į$655), "", 'Data Entry'!$Į$655)</f>
      </c>
      <c r="IE655">
        <f>IF(ISBLANK('Data Entry'!$į$655), "", 'Data Entry'!$į$655)</f>
      </c>
      <c r="IF655">
        <f>IF(ISBLANK('Data Entry'!$İ$655), "", 'Data Entry'!$İ$655)</f>
      </c>
      <c r="IG655">
        <f>IF(ISBLANK('Data Entry'!$ı$655), "", 'Data Entry'!$ı$655)</f>
      </c>
      <c r="IH655">
        <f>IF(ISBLANK('Data Entry'!$Ĳ$655), "", 'Data Entry'!$Ĳ$655)</f>
      </c>
      <c r="II655">
        <f>IF(ISBLANK('Data Entry'!$ĳ$655), "", 'Data Entry'!$ĳ$655)</f>
      </c>
      <c r="IJ655">
        <f>IF(ISBLANK('Data Entry'!$Ĵ$655), "", 'Data Entry'!$Ĵ$655)</f>
      </c>
      <c r="IK655">
        <f>IF(ISBLANK('Data Entry'!$ĵ$655), "", 'Data Entry'!$ĵ$655)</f>
      </c>
      <c r="IL655">
        <f>IF(ISBLANK('Data Entry'!$Ķ$655), "", 'Data Entry'!$Ķ$655)</f>
      </c>
      <c r="IM655">
        <f>IF(ISBLANK('Data Entry'!$ķ$655), "", 'Data Entry'!$ķ$655)</f>
      </c>
      <c r="IN655">
        <f>IF(ISBLANK('Data Entry'!$ĸ$655), "", 'Data Entry'!$ĸ$655)</f>
      </c>
      <c r="IO655">
        <f>IF(ISBLANK('Data Entry'!$Ĺ$655), "", 'Data Entry'!$Ĺ$655)</f>
      </c>
      <c r="IP655">
        <f>IF(ISBLANK('Data Entry'!$ĺ$655), "", 'Data Entry'!$ĺ$655)</f>
      </c>
      <c r="IQ655">
        <f>IF(ISBLANK('Data Entry'!$Ļ$655), "", 'Data Entry'!$Ļ$655)</f>
      </c>
      <c r="IR655">
        <f>IF(ISBLANK('Data Entry'!$ļ$655), "", 'Data Entry'!$ļ$655)</f>
      </c>
      <c r="IS655">
        <f>IF(ISBLANK('Data Entry'!$Ľ$655), "", 'Data Entry'!$Ľ$655)</f>
      </c>
      <c r="IT655">
        <f>IF(ISBLANK('Data Entry'!$ľ$655), "", 'Data Entry'!$ľ$655)</f>
      </c>
    </row>
    <row r="656" spans="1:254" x14ac:dyDescent="0.25">
      <c r="A656">
        <f>IF(ISBLANK('Data Entry'!$A$656), "", 'Data Entry'!$A$656)</f>
      </c>
      <c r="B656">
        <f>IF(ISBLANK('Data Entry'!$B$656), "", 'Data Entry'!$B$656)</f>
      </c>
      <c r="C656">
        <f>IF(ISBLANK('Data Entry'!$C$656), "", 'Data Entry'!$C$656)</f>
      </c>
      <c r="D656">
        <f>IF(ISBLANK('Data Entry'!$D$656), "", 'Data Entry'!$D$656)</f>
      </c>
      <c r="E656">
        <f>IF(ISBLANK('Data Entry'!$E$656), "", 'Data Entry'!$E$656)</f>
      </c>
      <c r="F656">
        <f>IF(ISBLANK('Data Entry'!$F$656), "", 'Data Entry'!$F$656)</f>
      </c>
      <c r="G656">
        <f>IF(ISBLANK('Data Entry'!$G$656), "", 'Data Entry'!$G$656)</f>
      </c>
      <c r="H656">
        <f>IF(ISBLANK('Data Entry'!$H$656), "", 'Data Entry'!$H$656)</f>
      </c>
      <c r="I656">
        <f>IF(ISBLANK('Data Entry'!$I$656), "", 'Data Entry'!$I$656)</f>
      </c>
      <c r="J656">
        <f>IF(ISBLANK('Data Entry'!$J$656), "", 'Data Entry'!$J$656)</f>
      </c>
      <c r="K656">
        <f>IF(ISBLANK('Data Entry'!$K$656), "", 'Data Entry'!$K$656)</f>
      </c>
      <c r="L656">
        <f>IF(ISBLANK('Data Entry'!$L$656), "", 'Data Entry'!$L$656)</f>
      </c>
      <c r="M656">
        <f>IF(ISBLANK('Data Entry'!$M$656), "", 'Data Entry'!$M$656)</f>
      </c>
      <c r="N656">
        <f>IF(ISBLANK('Data Entry'!$N$656), "", 'Data Entry'!$N$656)</f>
      </c>
      <c r="O656">
        <f>IF(ISBLANK('Data Entry'!$O$656), "", 'Data Entry'!$O$656)</f>
      </c>
      <c r="P656">
        <f>IF(ISBLANK('Data Entry'!$P$656), "", 'Data Entry'!$P$656)</f>
      </c>
      <c r="Q656">
        <f>IF(ISBLANK('Data Entry'!$Q$656), "", 'Data Entry'!$Q$656)</f>
      </c>
      <c r="R656">
        <f>IF(ISBLANK('Data Entry'!$R$656), "", 'Data Entry'!$R$656)</f>
      </c>
      <c r="S656">
        <f>IF(ISBLANK('Data Entry'!$S$656), "", 'Data Entry'!$S$656)</f>
      </c>
      <c r="T656">
        <f>IF(ISBLANK('Data Entry'!$T$656), "", 'Data Entry'!$T$656)</f>
      </c>
      <c r="U656">
        <f>IF(ISBLANK('Data Entry'!$U$656), "", 'Data Entry'!$U$656)</f>
      </c>
      <c r="V656">
        <f>IF(ISBLANK('Data Entry'!$V$656), "", 'Data Entry'!$V$656)</f>
      </c>
      <c r="W656">
        <f>IF(ISBLANK('Data Entry'!$W$656), "", 'Data Entry'!$W$656)</f>
      </c>
      <c r="X656">
        <f>IF(ISBLANK('Data Entry'!$X$656), "", 'Data Entry'!$X$656)</f>
      </c>
      <c r="Y656">
        <f>IF(ISBLANK('Data Entry'!$Y$656), "", 'Data Entry'!$Y$656)</f>
      </c>
      <c r="Z656">
        <f>IF(ISBLANK('Data Entry'!$Z$656), "", 'Data Entry'!$Z$656)</f>
      </c>
      <c r="AA656">
        <f>IF(ISBLANK('Data Entry'!$[$656), "", 'Data Entry'!$[$656)</f>
      </c>
      <c r="AB656">
        <f>IF(ISBLANK('Data Entry'!$\$656), "", 'Data Entry'!$\$656)</f>
      </c>
      <c r="AC656">
        <f>IF(ISBLANK('Data Entry'!$]$656), "", 'Data Entry'!$]$656)</f>
      </c>
      <c r="AD656">
        <f>IF(ISBLANK('Data Entry'!$^$656), "", 'Data Entry'!$^$656)</f>
      </c>
      <c r="AE656">
        <f>IF(ISBLANK('Data Entry'!$_$656), "", 'Data Entry'!$_$656)</f>
      </c>
      <c r="AF656">
        <f>IF(ISBLANK('Data Entry'!$`$656), "", 'Data Entry'!$`$656)</f>
      </c>
      <c r="AG656">
        <f>IF(ISBLANK('Data Entry'!$a$656), "", 'Data Entry'!$a$656)</f>
      </c>
      <c r="AH656">
        <f>IF(ISBLANK('Data Entry'!$b$656), "", 'Data Entry'!$b$656)</f>
      </c>
      <c r="AI656">
        <f>IF(ISBLANK('Data Entry'!$c$656), "", 'Data Entry'!$c$656)</f>
      </c>
      <c r="AJ656">
        <f>IF(ISBLANK('Data Entry'!$d$656), "", 'Data Entry'!$d$656)</f>
      </c>
      <c r="AK656">
        <f>IF(ISBLANK('Data Entry'!$e$656), "", 'Data Entry'!$e$656)</f>
      </c>
      <c r="AL656">
        <f>IF(ISBLANK('Data Entry'!$f$656), "", 'Data Entry'!$f$656)</f>
      </c>
      <c r="AM656">
        <f>IF(ISBLANK('Data Entry'!$g$656), "", 'Data Entry'!$g$656)</f>
      </c>
      <c r="AN656">
        <f>IF(ISBLANK('Data Entry'!$h$656), "", 'Data Entry'!$h$656)</f>
      </c>
      <c r="AO656">
        <f>IF(ISBLANK('Data Entry'!$i$656), "", 'Data Entry'!$i$656)</f>
      </c>
      <c r="AP656">
        <f>IF(ISBLANK('Data Entry'!$j$656), "", 'Data Entry'!$j$656)</f>
      </c>
      <c r="AQ656">
        <f>IF(ISBLANK('Data Entry'!$k$656), "", 'Data Entry'!$k$656)</f>
      </c>
      <c r="AR656">
        <f>IF(ISBLANK('Data Entry'!$l$656), "", 'Data Entry'!$l$656)</f>
      </c>
      <c r="AS656">
        <f>IF(ISBLANK('Data Entry'!$m$656), "", 'Data Entry'!$m$656)</f>
      </c>
      <c r="AT656">
        <f>IF(ISBLANK('Data Entry'!$n$656), "", 'Data Entry'!$n$656)</f>
      </c>
      <c r="AU656">
        <f>IF(ISBLANK('Data Entry'!$o$656), "", 'Data Entry'!$o$656)</f>
      </c>
      <c r="AV656">
        <f>IF(ISBLANK('Data Entry'!$p$656), "", 'Data Entry'!$p$656)</f>
      </c>
      <c r="AW656">
        <f>IF(ISBLANK('Data Entry'!$q$656), "", 'Data Entry'!$q$656)</f>
      </c>
      <c r="AX656">
        <f>IF(ISBLANK('Data Entry'!$r$656), "", 'Data Entry'!$r$656)</f>
      </c>
      <c r="AY656">
        <f>IF(ISBLANK('Data Entry'!$s$656), "", 'Data Entry'!$s$656)</f>
      </c>
      <c r="AZ656">
        <f>IF(ISBLANK('Data Entry'!$t$656), "", 'Data Entry'!$t$656)</f>
      </c>
      <c r="BA656">
        <f>IF(ISBLANK('Data Entry'!$u$656), "", 'Data Entry'!$u$656)</f>
      </c>
      <c r="BB656">
        <f>IF(ISBLANK('Data Entry'!$v$656), "", 'Data Entry'!$v$656)</f>
      </c>
      <c r="BC656">
        <f>IF(ISBLANK('Data Entry'!$w$656), "", 'Data Entry'!$w$656)</f>
      </c>
      <c r="BD656">
        <f>IF(ISBLANK('Data Entry'!$x$656), "", 'Data Entry'!$x$656)</f>
      </c>
      <c r="BE656">
        <f>IF(ISBLANK('Data Entry'!$y$656), "", 'Data Entry'!$y$656)</f>
      </c>
      <c r="BF656">
        <f>IF(ISBLANK('Data Entry'!$z$656), "", 'Data Entry'!$z$656)</f>
      </c>
      <c r="BG656">
        <f>IF(ISBLANK('Data Entry'!${$656), "", 'Data Entry'!${$656)</f>
      </c>
      <c r="BH656">
        <f>IF(ISBLANK('Data Entry'!$|$656), "", 'Data Entry'!$|$656)</f>
      </c>
      <c r="BI656">
        <f>IF(ISBLANK('Data Entry'!$}$656), "", 'Data Entry'!$}$656)</f>
      </c>
      <c r="BJ656">
        <f>IF(ISBLANK('Data Entry'!$~$656), "", 'Data Entry'!$~$656)</f>
      </c>
      <c r="BK656">
        <f>IF(ISBLANK('Data Entry'!$$656), "", 'Data Entry'!$$656)</f>
      </c>
      <c r="BL656">
        <f>IF(ISBLANK('Data Entry'!$$656), "", 'Data Entry'!$$656)</f>
      </c>
      <c r="BM656">
        <f>IF(ISBLANK('Data Entry'!$$656), "", 'Data Entry'!$$656)</f>
      </c>
      <c r="BN656">
        <f>IF(ISBLANK('Data Entry'!$$656), "", 'Data Entry'!$$656)</f>
      </c>
      <c r="BO656">
        <f>IF(ISBLANK('Data Entry'!$$656), "", 'Data Entry'!$$656)</f>
      </c>
      <c r="BP656">
        <f>IF(ISBLANK('Data Entry'!$$656), "", 'Data Entry'!$$656)</f>
      </c>
      <c r="BQ656">
        <f>IF(ISBLANK('Data Entry'!$$656), "", 'Data Entry'!$$656)</f>
      </c>
      <c r="BR656">
        <f>IF(ISBLANK('Data Entry'!$$656), "", 'Data Entry'!$$656)</f>
      </c>
      <c r="BS656">
        <f>IF(ISBLANK('Data Entry'!$$656), "", 'Data Entry'!$$656)</f>
      </c>
      <c r="BT656">
        <f>IF(ISBLANK('Data Entry'!$$656), "", 'Data Entry'!$$656)</f>
      </c>
      <c r="BU656">
        <f>IF(ISBLANK('Data Entry'!$$656), "", 'Data Entry'!$$656)</f>
      </c>
      <c r="BV656">
        <f>IF(ISBLANK('Data Entry'!$$656), "", 'Data Entry'!$$656)</f>
      </c>
      <c r="BW656">
        <f>IF(ISBLANK('Data Entry'!$$656), "", 'Data Entry'!$$656)</f>
      </c>
      <c r="BX656">
        <f>IF(ISBLANK('Data Entry'!$$656), "", 'Data Entry'!$$656)</f>
      </c>
      <c r="BY656">
        <f>IF(ISBLANK('Data Entry'!$$656), "", 'Data Entry'!$$656)</f>
      </c>
      <c r="BZ656">
        <f>IF(ISBLANK('Data Entry'!$$656), "", 'Data Entry'!$$656)</f>
      </c>
      <c r="CA656">
        <f>IF(ISBLANK('Data Entry'!$$656), "", 'Data Entry'!$$656)</f>
      </c>
      <c r="CB656">
        <f>IF(ISBLANK('Data Entry'!$$656), "", 'Data Entry'!$$656)</f>
      </c>
      <c r="CC656">
        <f>IF(ISBLANK('Data Entry'!$$656), "", 'Data Entry'!$$656)</f>
      </c>
      <c r="CD656">
        <f>IF(ISBLANK('Data Entry'!$$656), "", 'Data Entry'!$$656)</f>
      </c>
      <c r="CE656">
        <f>IF(ISBLANK('Data Entry'!$$656), "", 'Data Entry'!$$656)</f>
      </c>
      <c r="CF656">
        <f>IF(ISBLANK('Data Entry'!$$656), "", 'Data Entry'!$$656)</f>
      </c>
      <c r="CG656">
        <f>IF(ISBLANK('Data Entry'!$$656), "", 'Data Entry'!$$656)</f>
      </c>
      <c r="CH656">
        <f>IF(ISBLANK('Data Entry'!$$656), "", 'Data Entry'!$$656)</f>
      </c>
      <c r="CI656">
        <f>IF(ISBLANK('Data Entry'!$$656), "", 'Data Entry'!$$656)</f>
      </c>
      <c r="CJ656">
        <f>IF(ISBLANK('Data Entry'!$$656), "", 'Data Entry'!$$656)</f>
      </c>
      <c r="CK656">
        <f>IF(ISBLANK('Data Entry'!$$656), "", 'Data Entry'!$$656)</f>
      </c>
      <c r="CL656">
        <f>IF(ISBLANK('Data Entry'!$$656), "", 'Data Entry'!$$656)</f>
      </c>
      <c r="CM656">
        <f>IF(ISBLANK('Data Entry'!$$656), "", 'Data Entry'!$$656)</f>
      </c>
      <c r="CN656">
        <f>IF(ISBLANK('Data Entry'!$$656), "", 'Data Entry'!$$656)</f>
      </c>
      <c r="CO656">
        <f>IF(ISBLANK('Data Entry'!$$656), "", 'Data Entry'!$$656)</f>
      </c>
      <c r="CP656">
        <f>IF(ISBLANK('Data Entry'!$$656), "", 'Data Entry'!$$656)</f>
      </c>
      <c r="CQ656">
        <f>IF(ISBLANK('Data Entry'!$$656), "", 'Data Entry'!$$656)</f>
      </c>
      <c r="CR656">
        <f>IF(ISBLANK('Data Entry'!$ $656), "", 'Data Entry'!$ $656)</f>
      </c>
      <c r="CS656">
        <f>IF(ISBLANK('Data Entry'!$¡$656), "", 'Data Entry'!$¡$656)</f>
      </c>
      <c r="CT656">
        <f>IF(ISBLANK('Data Entry'!$¢$656), "", 'Data Entry'!$¢$656)</f>
      </c>
      <c r="CU656">
        <f>IF(ISBLANK('Data Entry'!$£$656), "", 'Data Entry'!$£$656)</f>
      </c>
      <c r="CV656">
        <f>IF(ISBLANK('Data Entry'!$¤$656), "", 'Data Entry'!$¤$656)</f>
      </c>
      <c r="CW656">
        <f>IF(ISBLANK('Data Entry'!$¥$656), "", 'Data Entry'!$¥$656)</f>
      </c>
      <c r="CX656">
        <f>IF(ISBLANK('Data Entry'!$¦$656), "", 'Data Entry'!$¦$656)</f>
      </c>
      <c r="CY656">
        <f>IF(ISBLANK('Data Entry'!$§$656), "", 'Data Entry'!$§$656)</f>
      </c>
      <c r="CZ656">
        <f>IF(ISBLANK('Data Entry'!$¨$656), "", 'Data Entry'!$¨$656)</f>
      </c>
      <c r="DA656">
        <f>IF(ISBLANK('Data Entry'!$©$656), "", 'Data Entry'!$©$656)</f>
      </c>
      <c r="DB656">
        <f>IF(ISBLANK('Data Entry'!$ª$656), "", 'Data Entry'!$ª$656)</f>
      </c>
      <c r="DC656">
        <f>IF(ISBLANK('Data Entry'!$«$656), "", 'Data Entry'!$«$656)</f>
      </c>
      <c r="DD656">
        <f>IF(ISBLANK('Data Entry'!$¬$656), "", 'Data Entry'!$¬$656)</f>
      </c>
      <c r="DE656">
        <f>IF(ISBLANK('Data Entry'!$­$656), "", 'Data Entry'!$­$656)</f>
      </c>
      <c r="DF656">
        <f>IF(ISBLANK('Data Entry'!$®$656), "", 'Data Entry'!$®$656)</f>
      </c>
      <c r="DG656">
        <f>IF(ISBLANK('Data Entry'!$¯$656), "", 'Data Entry'!$¯$656)</f>
      </c>
      <c r="DH656">
        <f>IF(ISBLANK('Data Entry'!$°$656), "", 'Data Entry'!$°$656)</f>
      </c>
      <c r="DI656">
        <f>IF(ISBLANK('Data Entry'!$±$656), "", 'Data Entry'!$±$656)</f>
      </c>
      <c r="DJ656">
        <f>IF(ISBLANK('Data Entry'!$²$656), "", 'Data Entry'!$²$656)</f>
      </c>
      <c r="DK656">
        <f>IF(ISBLANK('Data Entry'!$³$656), "", 'Data Entry'!$³$656)</f>
      </c>
      <c r="DL656">
        <f>IF(ISBLANK('Data Entry'!$´$656), "", 'Data Entry'!$´$656)</f>
      </c>
      <c r="DM656">
        <f>IF(ISBLANK('Data Entry'!$µ$656), "", 'Data Entry'!$µ$656)</f>
      </c>
      <c r="DN656">
        <f>IF(ISBLANK('Data Entry'!$¶$656), "", 'Data Entry'!$¶$656)</f>
      </c>
      <c r="DO656">
        <f>IF(ISBLANK('Data Entry'!$·$656), "", 'Data Entry'!$·$656)</f>
      </c>
      <c r="DP656">
        <f>IF(ISBLANK('Data Entry'!$¸$656), "", 'Data Entry'!$¸$656)</f>
      </c>
      <c r="DQ656">
        <f>IF(ISBLANK('Data Entry'!$¹$656), "", 'Data Entry'!$¹$656)</f>
      </c>
      <c r="DR656">
        <f>IF(ISBLANK('Data Entry'!$º$656), "", 'Data Entry'!$º$656)</f>
      </c>
      <c r="DS656">
        <f>IF(ISBLANK('Data Entry'!$»$656), "", 'Data Entry'!$»$656)</f>
      </c>
      <c r="DT656">
        <f>IF(ISBLANK('Data Entry'!$¼$656), "", 'Data Entry'!$¼$656)</f>
      </c>
      <c r="DU656">
        <f>IF(ISBLANK('Data Entry'!$½$656), "", 'Data Entry'!$½$656)</f>
      </c>
      <c r="DV656">
        <f>IF(ISBLANK('Data Entry'!$¾$656), "", 'Data Entry'!$¾$656)</f>
      </c>
      <c r="DW656">
        <f>IF(ISBLANK('Data Entry'!$¿$656), "", 'Data Entry'!$¿$656)</f>
      </c>
      <c r="DX656">
        <f>IF(ISBLANK('Data Entry'!$À$656), "", 'Data Entry'!$À$656)</f>
      </c>
      <c r="DY656">
        <f>IF(ISBLANK('Data Entry'!$Á$656), "", 'Data Entry'!$Á$656)</f>
      </c>
      <c r="DZ656">
        <f>IF(ISBLANK('Data Entry'!$Â$656), "", 'Data Entry'!$Â$656)</f>
      </c>
      <c r="EA656">
        <f>IF(ISBLANK('Data Entry'!$Ã$656), "", 'Data Entry'!$Ã$656)</f>
      </c>
      <c r="EB656">
        <f>IF(ISBLANK('Data Entry'!$Ä$656), "", 'Data Entry'!$Ä$656)</f>
      </c>
      <c r="EC656">
        <f>IF(ISBLANK('Data Entry'!$Å$656), "", 'Data Entry'!$Å$656)</f>
      </c>
      <c r="ED656">
        <f>IF(ISBLANK('Data Entry'!$Æ$656), "", 'Data Entry'!$Æ$656)</f>
      </c>
      <c r="EE656">
        <f>IF(ISBLANK('Data Entry'!$Ç$656), "", 'Data Entry'!$Ç$656)</f>
      </c>
      <c r="EF656">
        <f>IF(ISBLANK('Data Entry'!$È$656), "", 'Data Entry'!$È$656)</f>
      </c>
      <c r="EG656">
        <f>IF(ISBLANK('Data Entry'!$É$656), "", 'Data Entry'!$É$656)</f>
      </c>
      <c r="EH656">
        <f>IF(ISBLANK('Data Entry'!$Ê$656), "", 'Data Entry'!$Ê$656)</f>
      </c>
      <c r="EI656">
        <f>IF(ISBLANK('Data Entry'!$Ë$656), "", 'Data Entry'!$Ë$656)</f>
      </c>
      <c r="EJ656">
        <f>IF(ISBLANK('Data Entry'!$Ì$656), "", 'Data Entry'!$Ì$656)</f>
      </c>
      <c r="EK656">
        <f>IF(ISBLANK('Data Entry'!$Í$656), "", 'Data Entry'!$Í$656)</f>
      </c>
      <c r="EL656">
        <f>IF(ISBLANK('Data Entry'!$Î$656), "", 'Data Entry'!$Î$656)</f>
      </c>
      <c r="EM656">
        <f>IF(ISBLANK('Data Entry'!$Ï$656), "", 'Data Entry'!$Ï$656)</f>
      </c>
      <c r="EN656">
        <f>IF(ISBLANK('Data Entry'!$Ð$656), "", 'Data Entry'!$Ð$656)</f>
      </c>
      <c r="EO656">
        <f>IF(ISBLANK('Data Entry'!$Ñ$656), "", 'Data Entry'!$Ñ$656)</f>
      </c>
      <c r="EP656">
        <f>IF(ISBLANK('Data Entry'!$Ò$656), "", 'Data Entry'!$Ò$656)</f>
      </c>
      <c r="EQ656">
        <f>IF(ISBLANK('Data Entry'!$Ó$656), "", 'Data Entry'!$Ó$656)</f>
      </c>
      <c r="ER656">
        <f>IF(ISBLANK('Data Entry'!$Ô$656), "", 'Data Entry'!$Ô$656)</f>
      </c>
      <c r="ES656">
        <f>IF(ISBLANK('Data Entry'!$Õ$656), "", 'Data Entry'!$Õ$656)</f>
      </c>
      <c r="ET656">
        <f>IF(ISBLANK('Data Entry'!$Ö$656), "", 'Data Entry'!$Ö$656)</f>
      </c>
      <c r="EU656">
        <f>IF(ISBLANK('Data Entry'!$×$656), "", 'Data Entry'!$×$656)</f>
      </c>
      <c r="EV656">
        <f>IF(ISBLANK('Data Entry'!$Ø$656), "", 'Data Entry'!$Ø$656)</f>
      </c>
      <c r="EW656">
        <f>IF(ISBLANK('Data Entry'!$Ù$656), "", 'Data Entry'!$Ù$656)</f>
      </c>
      <c r="EX656">
        <f>IF(ISBLANK('Data Entry'!$Ú$656), "", 'Data Entry'!$Ú$656)</f>
      </c>
      <c r="EY656">
        <f>IF(ISBLANK('Data Entry'!$Û$656), "", 'Data Entry'!$Û$656)</f>
      </c>
      <c r="EZ656">
        <f>IF(ISBLANK('Data Entry'!$Ü$656), "", 'Data Entry'!$Ü$656)</f>
      </c>
      <c r="FA656">
        <f>IF(ISBLANK('Data Entry'!$Ý$656), "", 'Data Entry'!$Ý$656)</f>
      </c>
      <c r="FB656">
        <f>IF(ISBLANK('Data Entry'!$Þ$656), "", 'Data Entry'!$Þ$656)</f>
      </c>
      <c r="FC656">
        <f>IF(ISBLANK('Data Entry'!$ß$656), "", 'Data Entry'!$ß$656)</f>
      </c>
      <c r="FD656">
        <f>IF(ISBLANK('Data Entry'!$à$656), "", 'Data Entry'!$à$656)</f>
      </c>
      <c r="FE656">
        <f>IF(ISBLANK('Data Entry'!$á$656), "", 'Data Entry'!$á$656)</f>
      </c>
      <c r="FF656">
        <f>IF(ISBLANK('Data Entry'!$â$656), "", 'Data Entry'!$â$656)</f>
      </c>
      <c r="FG656">
        <f>IF(ISBLANK('Data Entry'!$ã$656), "", 'Data Entry'!$ã$656)</f>
      </c>
      <c r="FH656">
        <f>IF(ISBLANK('Data Entry'!$ä$656), "", 'Data Entry'!$ä$656)</f>
      </c>
      <c r="FI656">
        <f>IF(ISBLANK('Data Entry'!$å$656), "", 'Data Entry'!$å$656)</f>
      </c>
      <c r="FJ656">
        <f>IF(ISBLANK('Data Entry'!$æ$656), "", 'Data Entry'!$æ$656)</f>
      </c>
      <c r="FK656">
        <f>IF(ISBLANK('Data Entry'!$ç$656), "", 'Data Entry'!$ç$656)</f>
      </c>
      <c r="FL656">
        <f>IF(ISBLANK('Data Entry'!$è$656), "", 'Data Entry'!$è$656)</f>
      </c>
      <c r="FM656">
        <f>IF(ISBLANK('Data Entry'!$é$656), "", 'Data Entry'!$é$656)</f>
      </c>
      <c r="FN656">
        <f>IF(ISBLANK('Data Entry'!$ê$656), "", 'Data Entry'!$ê$656)</f>
      </c>
      <c r="FO656">
        <f>IF(ISBLANK('Data Entry'!$ë$656), "", 'Data Entry'!$ë$656)</f>
      </c>
      <c r="FP656">
        <f>IF(ISBLANK('Data Entry'!$ì$656), "", 'Data Entry'!$ì$656)</f>
      </c>
      <c r="FQ656">
        <f>IF(ISBLANK('Data Entry'!$í$656), "", 'Data Entry'!$í$656)</f>
      </c>
      <c r="FR656">
        <f>IF(ISBLANK('Data Entry'!$î$656), "", 'Data Entry'!$î$656)</f>
      </c>
      <c r="FS656">
        <f>IF(ISBLANK('Data Entry'!$ï$656), "", 'Data Entry'!$ï$656)</f>
      </c>
      <c r="FT656">
        <f>IF(ISBLANK('Data Entry'!$ð$656), "", 'Data Entry'!$ð$656)</f>
      </c>
      <c r="FU656">
        <f>IF(ISBLANK('Data Entry'!$ñ$656), "", 'Data Entry'!$ñ$656)</f>
      </c>
      <c r="FV656">
        <f>IF(ISBLANK('Data Entry'!$ò$656), "", 'Data Entry'!$ò$656)</f>
      </c>
      <c r="FW656">
        <f>IF(ISBLANK('Data Entry'!$ó$656), "", 'Data Entry'!$ó$656)</f>
      </c>
      <c r="FX656">
        <f>IF(ISBLANK('Data Entry'!$ô$656), "", 'Data Entry'!$ô$656)</f>
      </c>
      <c r="FY656">
        <f>IF(ISBLANK('Data Entry'!$õ$656), "", 'Data Entry'!$õ$656)</f>
      </c>
      <c r="FZ656">
        <f>IF(ISBLANK('Data Entry'!$ö$656), "", 'Data Entry'!$ö$656)</f>
      </c>
      <c r="GA656">
        <f>IF(ISBLANK('Data Entry'!$÷$656), "", 'Data Entry'!$÷$656)</f>
      </c>
      <c r="GB656">
        <f>IF(ISBLANK('Data Entry'!$ø$656), "", 'Data Entry'!$ø$656)</f>
      </c>
      <c r="GC656">
        <f>IF(ISBLANK('Data Entry'!$ù$656), "", 'Data Entry'!$ù$656)</f>
      </c>
      <c r="GD656">
        <f>IF(ISBLANK('Data Entry'!$ú$656), "", 'Data Entry'!$ú$656)</f>
      </c>
      <c r="GE656">
        <f>IF(ISBLANK('Data Entry'!$û$656), "", 'Data Entry'!$û$656)</f>
      </c>
      <c r="GF656">
        <f>IF(ISBLANK('Data Entry'!$ü$656), "", 'Data Entry'!$ü$656)</f>
      </c>
      <c r="GG656">
        <f>IF(ISBLANK('Data Entry'!$ý$656), "", 'Data Entry'!$ý$656)</f>
      </c>
      <c r="GH656">
        <f>IF(ISBLANK('Data Entry'!$þ$656), "", 'Data Entry'!$þ$656)</f>
      </c>
      <c r="GI656">
        <f>IF(ISBLANK('Data Entry'!$ÿ$656), "", 'Data Entry'!$ÿ$656)</f>
      </c>
      <c r="GJ656">
        <f>IF(ISBLANK('Data Entry'!$Ā$656), "", 'Data Entry'!$Ā$656)</f>
      </c>
      <c r="GK656">
        <f>IF(ISBLANK('Data Entry'!$ā$656), "", 'Data Entry'!$ā$656)</f>
      </c>
      <c r="GL656">
        <f>IF(ISBLANK('Data Entry'!$Ă$656), "", 'Data Entry'!$Ă$656)</f>
      </c>
      <c r="GM656">
        <f>IF(ISBLANK('Data Entry'!$ă$656), "", 'Data Entry'!$ă$656)</f>
      </c>
      <c r="GN656">
        <f>IF(ISBLANK('Data Entry'!$Ą$656), "", 'Data Entry'!$Ą$656)</f>
      </c>
      <c r="GO656">
        <f>IF(ISBLANK('Data Entry'!$ą$656), "", 'Data Entry'!$ą$656)</f>
      </c>
      <c r="GP656">
        <f>IF(ISBLANK('Data Entry'!$Ć$656), "", 'Data Entry'!$Ć$656)</f>
      </c>
      <c r="GQ656">
        <f>IF(ISBLANK('Data Entry'!$ć$656), "", 'Data Entry'!$ć$656)</f>
      </c>
      <c r="GR656">
        <f>IF(ISBLANK('Data Entry'!$Ĉ$656), "", 'Data Entry'!$Ĉ$656)</f>
      </c>
      <c r="GS656">
        <f>IF(ISBLANK('Data Entry'!$ĉ$656), "", 'Data Entry'!$ĉ$656)</f>
      </c>
      <c r="GT656">
        <f>IF(ISBLANK('Data Entry'!$Ċ$656), "", 'Data Entry'!$Ċ$656)</f>
      </c>
      <c r="GU656">
        <f>IF(ISBLANK('Data Entry'!$ċ$656), "", 'Data Entry'!$ċ$656)</f>
      </c>
      <c r="GV656">
        <f>IF(ISBLANK('Data Entry'!$Č$656), "", 'Data Entry'!$Č$656)</f>
      </c>
      <c r="GW656">
        <f>IF(ISBLANK('Data Entry'!$č$656), "", 'Data Entry'!$č$656)</f>
      </c>
      <c r="GX656">
        <f>IF(ISBLANK('Data Entry'!$Ď$656), "", 'Data Entry'!$Ď$656)</f>
      </c>
      <c r="GY656">
        <f>IF(ISBLANK('Data Entry'!$ď$656), "", 'Data Entry'!$ď$656)</f>
      </c>
      <c r="GZ656">
        <f>IF(ISBLANK('Data Entry'!$Đ$656), "", 'Data Entry'!$Đ$656)</f>
      </c>
      <c r="HA656">
        <f>IF(ISBLANK('Data Entry'!$đ$656), "", 'Data Entry'!$đ$656)</f>
      </c>
      <c r="HB656">
        <f>IF(ISBLANK('Data Entry'!$Ē$656), "", 'Data Entry'!$Ē$656)</f>
      </c>
      <c r="HC656">
        <f>IF(ISBLANK('Data Entry'!$ē$656), "", 'Data Entry'!$ē$656)</f>
      </c>
      <c r="HD656">
        <f>IF(ISBLANK('Data Entry'!$Ĕ$656), "", 'Data Entry'!$Ĕ$656)</f>
      </c>
      <c r="HE656">
        <f>IF(ISBLANK('Data Entry'!$ĕ$656), "", 'Data Entry'!$ĕ$656)</f>
      </c>
      <c r="HF656">
        <f>IF(ISBLANK('Data Entry'!$Ė$656), "", 'Data Entry'!$Ė$656)</f>
      </c>
      <c r="HG656">
        <f>IF(ISBLANK('Data Entry'!$ė$656), "", 'Data Entry'!$ė$656)</f>
      </c>
      <c r="HH656">
        <f>IF(ISBLANK('Data Entry'!$Ę$656), "", 'Data Entry'!$Ę$656)</f>
      </c>
      <c r="HI656">
        <f>IF(ISBLANK('Data Entry'!$ę$656), "", 'Data Entry'!$ę$656)</f>
      </c>
      <c r="HJ656">
        <f>IF(ISBLANK('Data Entry'!$Ě$656), "", 'Data Entry'!$Ě$656)</f>
      </c>
      <c r="HK656">
        <f>IF(ISBLANK('Data Entry'!$ě$656), "", 'Data Entry'!$ě$656)</f>
      </c>
      <c r="HL656">
        <f>IF(ISBLANK('Data Entry'!$Ĝ$656), "", 'Data Entry'!$Ĝ$656)</f>
      </c>
      <c r="HM656">
        <f>IF(ISBLANK('Data Entry'!$ĝ$656), "", 'Data Entry'!$ĝ$656)</f>
      </c>
      <c r="HN656">
        <f>IF(ISBLANK('Data Entry'!$Ğ$656), "", 'Data Entry'!$Ğ$656)</f>
      </c>
      <c r="HO656">
        <f>IF(ISBLANK('Data Entry'!$ğ$656), "", 'Data Entry'!$ğ$656)</f>
      </c>
      <c r="HP656">
        <f>IF(ISBLANK('Data Entry'!$Ġ$656), "", 'Data Entry'!$Ġ$656)</f>
      </c>
      <c r="HQ656">
        <f>IF(ISBLANK('Data Entry'!$ġ$656), "", 'Data Entry'!$ġ$656)</f>
      </c>
      <c r="HR656">
        <f>IF(ISBLANK('Data Entry'!$Ģ$656), "", 'Data Entry'!$Ģ$656)</f>
      </c>
      <c r="HS656">
        <f>IF(ISBLANK('Data Entry'!$ģ$656), "", 'Data Entry'!$ģ$656)</f>
      </c>
      <c r="HT656">
        <f>IF(ISBLANK('Data Entry'!$Ĥ$656), "", 'Data Entry'!$Ĥ$656)</f>
      </c>
      <c r="HU656">
        <f>IF(ISBLANK('Data Entry'!$ĥ$656), "", 'Data Entry'!$ĥ$656)</f>
      </c>
      <c r="HV656">
        <f>IF(ISBLANK('Data Entry'!$Ħ$656), "", 'Data Entry'!$Ħ$656)</f>
      </c>
      <c r="HW656">
        <f>IF(ISBLANK('Data Entry'!$ħ$656), "", 'Data Entry'!$ħ$656)</f>
      </c>
      <c r="HX656">
        <f>IF(ISBLANK('Data Entry'!$Ĩ$656), "", 'Data Entry'!$Ĩ$656)</f>
      </c>
      <c r="HY656">
        <f>IF(ISBLANK('Data Entry'!$ĩ$656), "", 'Data Entry'!$ĩ$656)</f>
      </c>
      <c r="HZ656">
        <f>IF(ISBLANK('Data Entry'!$Ī$656), "", 'Data Entry'!$Ī$656)</f>
      </c>
      <c r="IA656">
        <f>IF(ISBLANK('Data Entry'!$ī$656), "", 'Data Entry'!$ī$656)</f>
      </c>
      <c r="IB656">
        <f>IF(ISBLANK('Data Entry'!$Ĭ$656), "", 'Data Entry'!$Ĭ$656)</f>
      </c>
      <c r="IC656">
        <f>IF(ISBLANK('Data Entry'!$ĭ$656), "", 'Data Entry'!$ĭ$656)</f>
      </c>
      <c r="ID656">
        <f>IF(ISBLANK('Data Entry'!$Į$656), "", 'Data Entry'!$Į$656)</f>
      </c>
      <c r="IE656">
        <f>IF(ISBLANK('Data Entry'!$į$656), "", 'Data Entry'!$į$656)</f>
      </c>
      <c r="IF656">
        <f>IF(ISBLANK('Data Entry'!$İ$656), "", 'Data Entry'!$İ$656)</f>
      </c>
      <c r="IG656">
        <f>IF(ISBLANK('Data Entry'!$ı$656), "", 'Data Entry'!$ı$656)</f>
      </c>
      <c r="IH656">
        <f>IF(ISBLANK('Data Entry'!$Ĳ$656), "", 'Data Entry'!$Ĳ$656)</f>
      </c>
      <c r="II656">
        <f>IF(ISBLANK('Data Entry'!$ĳ$656), "", 'Data Entry'!$ĳ$656)</f>
      </c>
      <c r="IJ656">
        <f>IF(ISBLANK('Data Entry'!$Ĵ$656), "", 'Data Entry'!$Ĵ$656)</f>
      </c>
      <c r="IK656">
        <f>IF(ISBLANK('Data Entry'!$ĵ$656), "", 'Data Entry'!$ĵ$656)</f>
      </c>
      <c r="IL656">
        <f>IF(ISBLANK('Data Entry'!$Ķ$656), "", 'Data Entry'!$Ķ$656)</f>
      </c>
      <c r="IM656">
        <f>IF(ISBLANK('Data Entry'!$ķ$656), "", 'Data Entry'!$ķ$656)</f>
      </c>
      <c r="IN656">
        <f>IF(ISBLANK('Data Entry'!$ĸ$656), "", 'Data Entry'!$ĸ$656)</f>
      </c>
      <c r="IO656">
        <f>IF(ISBLANK('Data Entry'!$Ĺ$656), "", 'Data Entry'!$Ĺ$656)</f>
      </c>
      <c r="IP656">
        <f>IF(ISBLANK('Data Entry'!$ĺ$656), "", 'Data Entry'!$ĺ$656)</f>
      </c>
      <c r="IQ656">
        <f>IF(ISBLANK('Data Entry'!$Ļ$656), "", 'Data Entry'!$Ļ$656)</f>
      </c>
      <c r="IR656">
        <f>IF(ISBLANK('Data Entry'!$ļ$656), "", 'Data Entry'!$ļ$656)</f>
      </c>
      <c r="IS656">
        <f>IF(ISBLANK('Data Entry'!$Ľ$656), "", 'Data Entry'!$Ľ$656)</f>
      </c>
      <c r="IT656">
        <f>IF(ISBLANK('Data Entry'!$ľ$656), "", 'Data Entry'!$ľ$656)</f>
      </c>
    </row>
    <row r="657" spans="1:254" x14ac:dyDescent="0.25">
      <c r="A657">
        <f>IF(ISBLANK('Data Entry'!$A$657), "", 'Data Entry'!$A$657)</f>
      </c>
      <c r="B657">
        <f>IF(ISBLANK('Data Entry'!$B$657), "", 'Data Entry'!$B$657)</f>
      </c>
      <c r="C657">
        <f>IF(ISBLANK('Data Entry'!$C$657), "", 'Data Entry'!$C$657)</f>
      </c>
      <c r="D657">
        <f>IF(ISBLANK('Data Entry'!$D$657), "", 'Data Entry'!$D$657)</f>
      </c>
      <c r="E657">
        <f>IF(ISBLANK('Data Entry'!$E$657), "", 'Data Entry'!$E$657)</f>
      </c>
      <c r="F657">
        <f>IF(ISBLANK('Data Entry'!$F$657), "", 'Data Entry'!$F$657)</f>
      </c>
      <c r="G657">
        <f>IF(ISBLANK('Data Entry'!$G$657), "", 'Data Entry'!$G$657)</f>
      </c>
      <c r="H657">
        <f>IF(ISBLANK('Data Entry'!$H$657), "", 'Data Entry'!$H$657)</f>
      </c>
      <c r="I657">
        <f>IF(ISBLANK('Data Entry'!$I$657), "", 'Data Entry'!$I$657)</f>
      </c>
      <c r="J657">
        <f>IF(ISBLANK('Data Entry'!$J$657), "", 'Data Entry'!$J$657)</f>
      </c>
      <c r="K657">
        <f>IF(ISBLANK('Data Entry'!$K$657), "", 'Data Entry'!$K$657)</f>
      </c>
      <c r="L657">
        <f>IF(ISBLANK('Data Entry'!$L$657), "", 'Data Entry'!$L$657)</f>
      </c>
      <c r="M657">
        <f>IF(ISBLANK('Data Entry'!$M$657), "", 'Data Entry'!$M$657)</f>
      </c>
      <c r="N657">
        <f>IF(ISBLANK('Data Entry'!$N$657), "", 'Data Entry'!$N$657)</f>
      </c>
      <c r="O657">
        <f>IF(ISBLANK('Data Entry'!$O$657), "", 'Data Entry'!$O$657)</f>
      </c>
      <c r="P657">
        <f>IF(ISBLANK('Data Entry'!$P$657), "", 'Data Entry'!$P$657)</f>
      </c>
      <c r="Q657">
        <f>IF(ISBLANK('Data Entry'!$Q$657), "", 'Data Entry'!$Q$657)</f>
      </c>
      <c r="R657">
        <f>IF(ISBLANK('Data Entry'!$R$657), "", 'Data Entry'!$R$657)</f>
      </c>
      <c r="S657">
        <f>IF(ISBLANK('Data Entry'!$S$657), "", 'Data Entry'!$S$657)</f>
      </c>
      <c r="T657">
        <f>IF(ISBLANK('Data Entry'!$T$657), "", 'Data Entry'!$T$657)</f>
      </c>
      <c r="U657">
        <f>IF(ISBLANK('Data Entry'!$U$657), "", 'Data Entry'!$U$657)</f>
      </c>
      <c r="V657">
        <f>IF(ISBLANK('Data Entry'!$V$657), "", 'Data Entry'!$V$657)</f>
      </c>
      <c r="W657">
        <f>IF(ISBLANK('Data Entry'!$W$657), "", 'Data Entry'!$W$657)</f>
      </c>
      <c r="X657">
        <f>IF(ISBLANK('Data Entry'!$X$657), "", 'Data Entry'!$X$657)</f>
      </c>
      <c r="Y657">
        <f>IF(ISBLANK('Data Entry'!$Y$657), "", 'Data Entry'!$Y$657)</f>
      </c>
      <c r="Z657">
        <f>IF(ISBLANK('Data Entry'!$Z$657), "", 'Data Entry'!$Z$657)</f>
      </c>
      <c r="AA657">
        <f>IF(ISBLANK('Data Entry'!$[$657), "", 'Data Entry'!$[$657)</f>
      </c>
      <c r="AB657">
        <f>IF(ISBLANK('Data Entry'!$\$657), "", 'Data Entry'!$\$657)</f>
      </c>
      <c r="AC657">
        <f>IF(ISBLANK('Data Entry'!$]$657), "", 'Data Entry'!$]$657)</f>
      </c>
      <c r="AD657">
        <f>IF(ISBLANK('Data Entry'!$^$657), "", 'Data Entry'!$^$657)</f>
      </c>
      <c r="AE657">
        <f>IF(ISBLANK('Data Entry'!$_$657), "", 'Data Entry'!$_$657)</f>
      </c>
      <c r="AF657">
        <f>IF(ISBLANK('Data Entry'!$`$657), "", 'Data Entry'!$`$657)</f>
      </c>
      <c r="AG657">
        <f>IF(ISBLANK('Data Entry'!$a$657), "", 'Data Entry'!$a$657)</f>
      </c>
      <c r="AH657">
        <f>IF(ISBLANK('Data Entry'!$b$657), "", 'Data Entry'!$b$657)</f>
      </c>
      <c r="AI657">
        <f>IF(ISBLANK('Data Entry'!$c$657), "", 'Data Entry'!$c$657)</f>
      </c>
      <c r="AJ657">
        <f>IF(ISBLANK('Data Entry'!$d$657), "", 'Data Entry'!$d$657)</f>
      </c>
      <c r="AK657">
        <f>IF(ISBLANK('Data Entry'!$e$657), "", 'Data Entry'!$e$657)</f>
      </c>
      <c r="AL657">
        <f>IF(ISBLANK('Data Entry'!$f$657), "", 'Data Entry'!$f$657)</f>
      </c>
      <c r="AM657">
        <f>IF(ISBLANK('Data Entry'!$g$657), "", 'Data Entry'!$g$657)</f>
      </c>
      <c r="AN657">
        <f>IF(ISBLANK('Data Entry'!$h$657), "", 'Data Entry'!$h$657)</f>
      </c>
      <c r="AO657">
        <f>IF(ISBLANK('Data Entry'!$i$657), "", 'Data Entry'!$i$657)</f>
      </c>
      <c r="AP657">
        <f>IF(ISBLANK('Data Entry'!$j$657), "", 'Data Entry'!$j$657)</f>
      </c>
      <c r="AQ657">
        <f>IF(ISBLANK('Data Entry'!$k$657), "", 'Data Entry'!$k$657)</f>
      </c>
      <c r="AR657">
        <f>IF(ISBLANK('Data Entry'!$l$657), "", 'Data Entry'!$l$657)</f>
      </c>
      <c r="AS657">
        <f>IF(ISBLANK('Data Entry'!$m$657), "", 'Data Entry'!$m$657)</f>
      </c>
      <c r="AT657">
        <f>IF(ISBLANK('Data Entry'!$n$657), "", 'Data Entry'!$n$657)</f>
      </c>
      <c r="AU657">
        <f>IF(ISBLANK('Data Entry'!$o$657), "", 'Data Entry'!$o$657)</f>
      </c>
      <c r="AV657">
        <f>IF(ISBLANK('Data Entry'!$p$657), "", 'Data Entry'!$p$657)</f>
      </c>
      <c r="AW657">
        <f>IF(ISBLANK('Data Entry'!$q$657), "", 'Data Entry'!$q$657)</f>
      </c>
      <c r="AX657">
        <f>IF(ISBLANK('Data Entry'!$r$657), "", 'Data Entry'!$r$657)</f>
      </c>
      <c r="AY657">
        <f>IF(ISBLANK('Data Entry'!$s$657), "", 'Data Entry'!$s$657)</f>
      </c>
      <c r="AZ657">
        <f>IF(ISBLANK('Data Entry'!$t$657), "", 'Data Entry'!$t$657)</f>
      </c>
      <c r="BA657">
        <f>IF(ISBLANK('Data Entry'!$u$657), "", 'Data Entry'!$u$657)</f>
      </c>
      <c r="BB657">
        <f>IF(ISBLANK('Data Entry'!$v$657), "", 'Data Entry'!$v$657)</f>
      </c>
      <c r="BC657">
        <f>IF(ISBLANK('Data Entry'!$w$657), "", 'Data Entry'!$w$657)</f>
      </c>
      <c r="BD657">
        <f>IF(ISBLANK('Data Entry'!$x$657), "", 'Data Entry'!$x$657)</f>
      </c>
      <c r="BE657">
        <f>IF(ISBLANK('Data Entry'!$y$657), "", 'Data Entry'!$y$657)</f>
      </c>
      <c r="BF657">
        <f>IF(ISBLANK('Data Entry'!$z$657), "", 'Data Entry'!$z$657)</f>
      </c>
      <c r="BG657">
        <f>IF(ISBLANK('Data Entry'!${$657), "", 'Data Entry'!${$657)</f>
      </c>
      <c r="BH657">
        <f>IF(ISBLANK('Data Entry'!$|$657), "", 'Data Entry'!$|$657)</f>
      </c>
      <c r="BI657">
        <f>IF(ISBLANK('Data Entry'!$}$657), "", 'Data Entry'!$}$657)</f>
      </c>
      <c r="BJ657">
        <f>IF(ISBLANK('Data Entry'!$~$657), "", 'Data Entry'!$~$657)</f>
      </c>
      <c r="BK657">
        <f>IF(ISBLANK('Data Entry'!$$657), "", 'Data Entry'!$$657)</f>
      </c>
      <c r="BL657">
        <f>IF(ISBLANK('Data Entry'!$$657), "", 'Data Entry'!$$657)</f>
      </c>
      <c r="BM657">
        <f>IF(ISBLANK('Data Entry'!$$657), "", 'Data Entry'!$$657)</f>
      </c>
      <c r="BN657">
        <f>IF(ISBLANK('Data Entry'!$$657), "", 'Data Entry'!$$657)</f>
      </c>
      <c r="BO657">
        <f>IF(ISBLANK('Data Entry'!$$657), "", 'Data Entry'!$$657)</f>
      </c>
      <c r="BP657">
        <f>IF(ISBLANK('Data Entry'!$$657), "", 'Data Entry'!$$657)</f>
      </c>
      <c r="BQ657">
        <f>IF(ISBLANK('Data Entry'!$$657), "", 'Data Entry'!$$657)</f>
      </c>
      <c r="BR657">
        <f>IF(ISBLANK('Data Entry'!$$657), "", 'Data Entry'!$$657)</f>
      </c>
      <c r="BS657">
        <f>IF(ISBLANK('Data Entry'!$$657), "", 'Data Entry'!$$657)</f>
      </c>
      <c r="BT657">
        <f>IF(ISBLANK('Data Entry'!$$657), "", 'Data Entry'!$$657)</f>
      </c>
      <c r="BU657">
        <f>IF(ISBLANK('Data Entry'!$$657), "", 'Data Entry'!$$657)</f>
      </c>
      <c r="BV657">
        <f>IF(ISBLANK('Data Entry'!$$657), "", 'Data Entry'!$$657)</f>
      </c>
      <c r="BW657">
        <f>IF(ISBLANK('Data Entry'!$$657), "", 'Data Entry'!$$657)</f>
      </c>
      <c r="BX657">
        <f>IF(ISBLANK('Data Entry'!$$657), "", 'Data Entry'!$$657)</f>
      </c>
      <c r="BY657">
        <f>IF(ISBLANK('Data Entry'!$$657), "", 'Data Entry'!$$657)</f>
      </c>
      <c r="BZ657">
        <f>IF(ISBLANK('Data Entry'!$$657), "", 'Data Entry'!$$657)</f>
      </c>
      <c r="CA657">
        <f>IF(ISBLANK('Data Entry'!$$657), "", 'Data Entry'!$$657)</f>
      </c>
      <c r="CB657">
        <f>IF(ISBLANK('Data Entry'!$$657), "", 'Data Entry'!$$657)</f>
      </c>
      <c r="CC657">
        <f>IF(ISBLANK('Data Entry'!$$657), "", 'Data Entry'!$$657)</f>
      </c>
      <c r="CD657">
        <f>IF(ISBLANK('Data Entry'!$$657), "", 'Data Entry'!$$657)</f>
      </c>
      <c r="CE657">
        <f>IF(ISBLANK('Data Entry'!$$657), "", 'Data Entry'!$$657)</f>
      </c>
      <c r="CF657">
        <f>IF(ISBLANK('Data Entry'!$$657), "", 'Data Entry'!$$657)</f>
      </c>
      <c r="CG657">
        <f>IF(ISBLANK('Data Entry'!$$657), "", 'Data Entry'!$$657)</f>
      </c>
      <c r="CH657">
        <f>IF(ISBLANK('Data Entry'!$$657), "", 'Data Entry'!$$657)</f>
      </c>
      <c r="CI657">
        <f>IF(ISBLANK('Data Entry'!$$657), "", 'Data Entry'!$$657)</f>
      </c>
      <c r="CJ657">
        <f>IF(ISBLANK('Data Entry'!$$657), "", 'Data Entry'!$$657)</f>
      </c>
      <c r="CK657">
        <f>IF(ISBLANK('Data Entry'!$$657), "", 'Data Entry'!$$657)</f>
      </c>
      <c r="CL657">
        <f>IF(ISBLANK('Data Entry'!$$657), "", 'Data Entry'!$$657)</f>
      </c>
      <c r="CM657">
        <f>IF(ISBLANK('Data Entry'!$$657), "", 'Data Entry'!$$657)</f>
      </c>
      <c r="CN657">
        <f>IF(ISBLANK('Data Entry'!$$657), "", 'Data Entry'!$$657)</f>
      </c>
      <c r="CO657">
        <f>IF(ISBLANK('Data Entry'!$$657), "", 'Data Entry'!$$657)</f>
      </c>
      <c r="CP657">
        <f>IF(ISBLANK('Data Entry'!$$657), "", 'Data Entry'!$$657)</f>
      </c>
      <c r="CQ657">
        <f>IF(ISBLANK('Data Entry'!$$657), "", 'Data Entry'!$$657)</f>
      </c>
      <c r="CR657">
        <f>IF(ISBLANK('Data Entry'!$ $657), "", 'Data Entry'!$ $657)</f>
      </c>
      <c r="CS657">
        <f>IF(ISBLANK('Data Entry'!$¡$657), "", 'Data Entry'!$¡$657)</f>
      </c>
      <c r="CT657">
        <f>IF(ISBLANK('Data Entry'!$¢$657), "", 'Data Entry'!$¢$657)</f>
      </c>
      <c r="CU657">
        <f>IF(ISBLANK('Data Entry'!$£$657), "", 'Data Entry'!$£$657)</f>
      </c>
      <c r="CV657">
        <f>IF(ISBLANK('Data Entry'!$¤$657), "", 'Data Entry'!$¤$657)</f>
      </c>
      <c r="CW657">
        <f>IF(ISBLANK('Data Entry'!$¥$657), "", 'Data Entry'!$¥$657)</f>
      </c>
      <c r="CX657">
        <f>IF(ISBLANK('Data Entry'!$¦$657), "", 'Data Entry'!$¦$657)</f>
      </c>
      <c r="CY657">
        <f>IF(ISBLANK('Data Entry'!$§$657), "", 'Data Entry'!$§$657)</f>
      </c>
      <c r="CZ657">
        <f>IF(ISBLANK('Data Entry'!$¨$657), "", 'Data Entry'!$¨$657)</f>
      </c>
      <c r="DA657">
        <f>IF(ISBLANK('Data Entry'!$©$657), "", 'Data Entry'!$©$657)</f>
      </c>
      <c r="DB657">
        <f>IF(ISBLANK('Data Entry'!$ª$657), "", 'Data Entry'!$ª$657)</f>
      </c>
      <c r="DC657">
        <f>IF(ISBLANK('Data Entry'!$«$657), "", 'Data Entry'!$«$657)</f>
      </c>
      <c r="DD657">
        <f>IF(ISBLANK('Data Entry'!$¬$657), "", 'Data Entry'!$¬$657)</f>
      </c>
      <c r="DE657">
        <f>IF(ISBLANK('Data Entry'!$­$657), "", 'Data Entry'!$­$657)</f>
      </c>
      <c r="DF657">
        <f>IF(ISBLANK('Data Entry'!$®$657), "", 'Data Entry'!$®$657)</f>
      </c>
      <c r="DG657">
        <f>IF(ISBLANK('Data Entry'!$¯$657), "", 'Data Entry'!$¯$657)</f>
      </c>
      <c r="DH657">
        <f>IF(ISBLANK('Data Entry'!$°$657), "", 'Data Entry'!$°$657)</f>
      </c>
      <c r="DI657">
        <f>IF(ISBLANK('Data Entry'!$±$657), "", 'Data Entry'!$±$657)</f>
      </c>
      <c r="DJ657">
        <f>IF(ISBLANK('Data Entry'!$²$657), "", 'Data Entry'!$²$657)</f>
      </c>
      <c r="DK657">
        <f>IF(ISBLANK('Data Entry'!$³$657), "", 'Data Entry'!$³$657)</f>
      </c>
      <c r="DL657">
        <f>IF(ISBLANK('Data Entry'!$´$657), "", 'Data Entry'!$´$657)</f>
      </c>
      <c r="DM657">
        <f>IF(ISBLANK('Data Entry'!$µ$657), "", 'Data Entry'!$µ$657)</f>
      </c>
      <c r="DN657">
        <f>IF(ISBLANK('Data Entry'!$¶$657), "", 'Data Entry'!$¶$657)</f>
      </c>
      <c r="DO657">
        <f>IF(ISBLANK('Data Entry'!$·$657), "", 'Data Entry'!$·$657)</f>
      </c>
      <c r="DP657">
        <f>IF(ISBLANK('Data Entry'!$¸$657), "", 'Data Entry'!$¸$657)</f>
      </c>
      <c r="DQ657">
        <f>IF(ISBLANK('Data Entry'!$¹$657), "", 'Data Entry'!$¹$657)</f>
      </c>
      <c r="DR657">
        <f>IF(ISBLANK('Data Entry'!$º$657), "", 'Data Entry'!$º$657)</f>
      </c>
      <c r="DS657">
        <f>IF(ISBLANK('Data Entry'!$»$657), "", 'Data Entry'!$»$657)</f>
      </c>
      <c r="DT657">
        <f>IF(ISBLANK('Data Entry'!$¼$657), "", 'Data Entry'!$¼$657)</f>
      </c>
      <c r="DU657">
        <f>IF(ISBLANK('Data Entry'!$½$657), "", 'Data Entry'!$½$657)</f>
      </c>
      <c r="DV657">
        <f>IF(ISBLANK('Data Entry'!$¾$657), "", 'Data Entry'!$¾$657)</f>
      </c>
      <c r="DW657">
        <f>IF(ISBLANK('Data Entry'!$¿$657), "", 'Data Entry'!$¿$657)</f>
      </c>
      <c r="DX657">
        <f>IF(ISBLANK('Data Entry'!$À$657), "", 'Data Entry'!$À$657)</f>
      </c>
      <c r="DY657">
        <f>IF(ISBLANK('Data Entry'!$Á$657), "", 'Data Entry'!$Á$657)</f>
      </c>
      <c r="DZ657">
        <f>IF(ISBLANK('Data Entry'!$Â$657), "", 'Data Entry'!$Â$657)</f>
      </c>
      <c r="EA657">
        <f>IF(ISBLANK('Data Entry'!$Ã$657), "", 'Data Entry'!$Ã$657)</f>
      </c>
      <c r="EB657">
        <f>IF(ISBLANK('Data Entry'!$Ä$657), "", 'Data Entry'!$Ä$657)</f>
      </c>
      <c r="EC657">
        <f>IF(ISBLANK('Data Entry'!$Å$657), "", 'Data Entry'!$Å$657)</f>
      </c>
      <c r="ED657">
        <f>IF(ISBLANK('Data Entry'!$Æ$657), "", 'Data Entry'!$Æ$657)</f>
      </c>
      <c r="EE657">
        <f>IF(ISBLANK('Data Entry'!$Ç$657), "", 'Data Entry'!$Ç$657)</f>
      </c>
      <c r="EF657">
        <f>IF(ISBLANK('Data Entry'!$È$657), "", 'Data Entry'!$È$657)</f>
      </c>
      <c r="EG657">
        <f>IF(ISBLANK('Data Entry'!$É$657), "", 'Data Entry'!$É$657)</f>
      </c>
      <c r="EH657">
        <f>IF(ISBLANK('Data Entry'!$Ê$657), "", 'Data Entry'!$Ê$657)</f>
      </c>
      <c r="EI657">
        <f>IF(ISBLANK('Data Entry'!$Ë$657), "", 'Data Entry'!$Ë$657)</f>
      </c>
      <c r="EJ657">
        <f>IF(ISBLANK('Data Entry'!$Ì$657), "", 'Data Entry'!$Ì$657)</f>
      </c>
      <c r="EK657">
        <f>IF(ISBLANK('Data Entry'!$Í$657), "", 'Data Entry'!$Í$657)</f>
      </c>
      <c r="EL657">
        <f>IF(ISBLANK('Data Entry'!$Î$657), "", 'Data Entry'!$Î$657)</f>
      </c>
      <c r="EM657">
        <f>IF(ISBLANK('Data Entry'!$Ï$657), "", 'Data Entry'!$Ï$657)</f>
      </c>
      <c r="EN657">
        <f>IF(ISBLANK('Data Entry'!$Ð$657), "", 'Data Entry'!$Ð$657)</f>
      </c>
      <c r="EO657">
        <f>IF(ISBLANK('Data Entry'!$Ñ$657), "", 'Data Entry'!$Ñ$657)</f>
      </c>
      <c r="EP657">
        <f>IF(ISBLANK('Data Entry'!$Ò$657), "", 'Data Entry'!$Ò$657)</f>
      </c>
      <c r="EQ657">
        <f>IF(ISBLANK('Data Entry'!$Ó$657), "", 'Data Entry'!$Ó$657)</f>
      </c>
      <c r="ER657">
        <f>IF(ISBLANK('Data Entry'!$Ô$657), "", 'Data Entry'!$Ô$657)</f>
      </c>
      <c r="ES657">
        <f>IF(ISBLANK('Data Entry'!$Õ$657), "", 'Data Entry'!$Õ$657)</f>
      </c>
      <c r="ET657">
        <f>IF(ISBLANK('Data Entry'!$Ö$657), "", 'Data Entry'!$Ö$657)</f>
      </c>
      <c r="EU657">
        <f>IF(ISBLANK('Data Entry'!$×$657), "", 'Data Entry'!$×$657)</f>
      </c>
      <c r="EV657">
        <f>IF(ISBLANK('Data Entry'!$Ø$657), "", 'Data Entry'!$Ø$657)</f>
      </c>
      <c r="EW657">
        <f>IF(ISBLANK('Data Entry'!$Ù$657), "", 'Data Entry'!$Ù$657)</f>
      </c>
      <c r="EX657">
        <f>IF(ISBLANK('Data Entry'!$Ú$657), "", 'Data Entry'!$Ú$657)</f>
      </c>
      <c r="EY657">
        <f>IF(ISBLANK('Data Entry'!$Û$657), "", 'Data Entry'!$Û$657)</f>
      </c>
      <c r="EZ657">
        <f>IF(ISBLANK('Data Entry'!$Ü$657), "", 'Data Entry'!$Ü$657)</f>
      </c>
      <c r="FA657">
        <f>IF(ISBLANK('Data Entry'!$Ý$657), "", 'Data Entry'!$Ý$657)</f>
      </c>
      <c r="FB657">
        <f>IF(ISBLANK('Data Entry'!$Þ$657), "", 'Data Entry'!$Þ$657)</f>
      </c>
      <c r="FC657">
        <f>IF(ISBLANK('Data Entry'!$ß$657), "", 'Data Entry'!$ß$657)</f>
      </c>
      <c r="FD657">
        <f>IF(ISBLANK('Data Entry'!$à$657), "", 'Data Entry'!$à$657)</f>
      </c>
      <c r="FE657">
        <f>IF(ISBLANK('Data Entry'!$á$657), "", 'Data Entry'!$á$657)</f>
      </c>
      <c r="FF657">
        <f>IF(ISBLANK('Data Entry'!$â$657), "", 'Data Entry'!$â$657)</f>
      </c>
      <c r="FG657">
        <f>IF(ISBLANK('Data Entry'!$ã$657), "", 'Data Entry'!$ã$657)</f>
      </c>
      <c r="FH657">
        <f>IF(ISBLANK('Data Entry'!$ä$657), "", 'Data Entry'!$ä$657)</f>
      </c>
      <c r="FI657">
        <f>IF(ISBLANK('Data Entry'!$å$657), "", 'Data Entry'!$å$657)</f>
      </c>
      <c r="FJ657">
        <f>IF(ISBLANK('Data Entry'!$æ$657), "", 'Data Entry'!$æ$657)</f>
      </c>
      <c r="FK657">
        <f>IF(ISBLANK('Data Entry'!$ç$657), "", 'Data Entry'!$ç$657)</f>
      </c>
      <c r="FL657">
        <f>IF(ISBLANK('Data Entry'!$è$657), "", 'Data Entry'!$è$657)</f>
      </c>
      <c r="FM657">
        <f>IF(ISBLANK('Data Entry'!$é$657), "", 'Data Entry'!$é$657)</f>
      </c>
      <c r="FN657">
        <f>IF(ISBLANK('Data Entry'!$ê$657), "", 'Data Entry'!$ê$657)</f>
      </c>
      <c r="FO657">
        <f>IF(ISBLANK('Data Entry'!$ë$657), "", 'Data Entry'!$ë$657)</f>
      </c>
      <c r="FP657">
        <f>IF(ISBLANK('Data Entry'!$ì$657), "", 'Data Entry'!$ì$657)</f>
      </c>
      <c r="FQ657">
        <f>IF(ISBLANK('Data Entry'!$í$657), "", 'Data Entry'!$í$657)</f>
      </c>
      <c r="FR657">
        <f>IF(ISBLANK('Data Entry'!$î$657), "", 'Data Entry'!$î$657)</f>
      </c>
      <c r="FS657">
        <f>IF(ISBLANK('Data Entry'!$ï$657), "", 'Data Entry'!$ï$657)</f>
      </c>
      <c r="FT657">
        <f>IF(ISBLANK('Data Entry'!$ð$657), "", 'Data Entry'!$ð$657)</f>
      </c>
      <c r="FU657">
        <f>IF(ISBLANK('Data Entry'!$ñ$657), "", 'Data Entry'!$ñ$657)</f>
      </c>
      <c r="FV657">
        <f>IF(ISBLANK('Data Entry'!$ò$657), "", 'Data Entry'!$ò$657)</f>
      </c>
      <c r="FW657">
        <f>IF(ISBLANK('Data Entry'!$ó$657), "", 'Data Entry'!$ó$657)</f>
      </c>
      <c r="FX657">
        <f>IF(ISBLANK('Data Entry'!$ô$657), "", 'Data Entry'!$ô$657)</f>
      </c>
      <c r="FY657">
        <f>IF(ISBLANK('Data Entry'!$õ$657), "", 'Data Entry'!$õ$657)</f>
      </c>
      <c r="FZ657">
        <f>IF(ISBLANK('Data Entry'!$ö$657), "", 'Data Entry'!$ö$657)</f>
      </c>
      <c r="GA657">
        <f>IF(ISBLANK('Data Entry'!$÷$657), "", 'Data Entry'!$÷$657)</f>
      </c>
      <c r="GB657">
        <f>IF(ISBLANK('Data Entry'!$ø$657), "", 'Data Entry'!$ø$657)</f>
      </c>
      <c r="GC657">
        <f>IF(ISBLANK('Data Entry'!$ù$657), "", 'Data Entry'!$ù$657)</f>
      </c>
      <c r="GD657">
        <f>IF(ISBLANK('Data Entry'!$ú$657), "", 'Data Entry'!$ú$657)</f>
      </c>
      <c r="GE657">
        <f>IF(ISBLANK('Data Entry'!$û$657), "", 'Data Entry'!$û$657)</f>
      </c>
      <c r="GF657">
        <f>IF(ISBLANK('Data Entry'!$ü$657), "", 'Data Entry'!$ü$657)</f>
      </c>
      <c r="GG657">
        <f>IF(ISBLANK('Data Entry'!$ý$657), "", 'Data Entry'!$ý$657)</f>
      </c>
      <c r="GH657">
        <f>IF(ISBLANK('Data Entry'!$þ$657), "", 'Data Entry'!$þ$657)</f>
      </c>
      <c r="GI657">
        <f>IF(ISBLANK('Data Entry'!$ÿ$657), "", 'Data Entry'!$ÿ$657)</f>
      </c>
      <c r="GJ657">
        <f>IF(ISBLANK('Data Entry'!$Ā$657), "", 'Data Entry'!$Ā$657)</f>
      </c>
      <c r="GK657">
        <f>IF(ISBLANK('Data Entry'!$ā$657), "", 'Data Entry'!$ā$657)</f>
      </c>
      <c r="GL657">
        <f>IF(ISBLANK('Data Entry'!$Ă$657), "", 'Data Entry'!$Ă$657)</f>
      </c>
      <c r="GM657">
        <f>IF(ISBLANK('Data Entry'!$ă$657), "", 'Data Entry'!$ă$657)</f>
      </c>
      <c r="GN657">
        <f>IF(ISBLANK('Data Entry'!$Ą$657), "", 'Data Entry'!$Ą$657)</f>
      </c>
      <c r="GO657">
        <f>IF(ISBLANK('Data Entry'!$ą$657), "", 'Data Entry'!$ą$657)</f>
      </c>
      <c r="GP657">
        <f>IF(ISBLANK('Data Entry'!$Ć$657), "", 'Data Entry'!$Ć$657)</f>
      </c>
      <c r="GQ657">
        <f>IF(ISBLANK('Data Entry'!$ć$657), "", 'Data Entry'!$ć$657)</f>
      </c>
      <c r="GR657">
        <f>IF(ISBLANK('Data Entry'!$Ĉ$657), "", 'Data Entry'!$Ĉ$657)</f>
      </c>
      <c r="GS657">
        <f>IF(ISBLANK('Data Entry'!$ĉ$657), "", 'Data Entry'!$ĉ$657)</f>
      </c>
      <c r="GT657">
        <f>IF(ISBLANK('Data Entry'!$Ċ$657), "", 'Data Entry'!$Ċ$657)</f>
      </c>
      <c r="GU657">
        <f>IF(ISBLANK('Data Entry'!$ċ$657), "", 'Data Entry'!$ċ$657)</f>
      </c>
      <c r="GV657">
        <f>IF(ISBLANK('Data Entry'!$Č$657), "", 'Data Entry'!$Č$657)</f>
      </c>
      <c r="GW657">
        <f>IF(ISBLANK('Data Entry'!$č$657), "", 'Data Entry'!$č$657)</f>
      </c>
      <c r="GX657">
        <f>IF(ISBLANK('Data Entry'!$Ď$657), "", 'Data Entry'!$Ď$657)</f>
      </c>
      <c r="GY657">
        <f>IF(ISBLANK('Data Entry'!$ď$657), "", 'Data Entry'!$ď$657)</f>
      </c>
      <c r="GZ657">
        <f>IF(ISBLANK('Data Entry'!$Đ$657), "", 'Data Entry'!$Đ$657)</f>
      </c>
      <c r="HA657">
        <f>IF(ISBLANK('Data Entry'!$đ$657), "", 'Data Entry'!$đ$657)</f>
      </c>
      <c r="HB657">
        <f>IF(ISBLANK('Data Entry'!$Ē$657), "", 'Data Entry'!$Ē$657)</f>
      </c>
      <c r="HC657">
        <f>IF(ISBLANK('Data Entry'!$ē$657), "", 'Data Entry'!$ē$657)</f>
      </c>
      <c r="HD657">
        <f>IF(ISBLANK('Data Entry'!$Ĕ$657), "", 'Data Entry'!$Ĕ$657)</f>
      </c>
      <c r="HE657">
        <f>IF(ISBLANK('Data Entry'!$ĕ$657), "", 'Data Entry'!$ĕ$657)</f>
      </c>
      <c r="HF657">
        <f>IF(ISBLANK('Data Entry'!$Ė$657), "", 'Data Entry'!$Ė$657)</f>
      </c>
      <c r="HG657">
        <f>IF(ISBLANK('Data Entry'!$ė$657), "", 'Data Entry'!$ė$657)</f>
      </c>
      <c r="HH657">
        <f>IF(ISBLANK('Data Entry'!$Ę$657), "", 'Data Entry'!$Ę$657)</f>
      </c>
      <c r="HI657">
        <f>IF(ISBLANK('Data Entry'!$ę$657), "", 'Data Entry'!$ę$657)</f>
      </c>
      <c r="HJ657">
        <f>IF(ISBLANK('Data Entry'!$Ě$657), "", 'Data Entry'!$Ě$657)</f>
      </c>
      <c r="HK657">
        <f>IF(ISBLANK('Data Entry'!$ě$657), "", 'Data Entry'!$ě$657)</f>
      </c>
      <c r="HL657">
        <f>IF(ISBLANK('Data Entry'!$Ĝ$657), "", 'Data Entry'!$Ĝ$657)</f>
      </c>
      <c r="HM657">
        <f>IF(ISBLANK('Data Entry'!$ĝ$657), "", 'Data Entry'!$ĝ$657)</f>
      </c>
      <c r="HN657">
        <f>IF(ISBLANK('Data Entry'!$Ğ$657), "", 'Data Entry'!$Ğ$657)</f>
      </c>
      <c r="HO657">
        <f>IF(ISBLANK('Data Entry'!$ğ$657), "", 'Data Entry'!$ğ$657)</f>
      </c>
      <c r="HP657">
        <f>IF(ISBLANK('Data Entry'!$Ġ$657), "", 'Data Entry'!$Ġ$657)</f>
      </c>
      <c r="HQ657">
        <f>IF(ISBLANK('Data Entry'!$ġ$657), "", 'Data Entry'!$ġ$657)</f>
      </c>
      <c r="HR657">
        <f>IF(ISBLANK('Data Entry'!$Ģ$657), "", 'Data Entry'!$Ģ$657)</f>
      </c>
      <c r="HS657">
        <f>IF(ISBLANK('Data Entry'!$ģ$657), "", 'Data Entry'!$ģ$657)</f>
      </c>
      <c r="HT657">
        <f>IF(ISBLANK('Data Entry'!$Ĥ$657), "", 'Data Entry'!$Ĥ$657)</f>
      </c>
      <c r="HU657">
        <f>IF(ISBLANK('Data Entry'!$ĥ$657), "", 'Data Entry'!$ĥ$657)</f>
      </c>
      <c r="HV657">
        <f>IF(ISBLANK('Data Entry'!$Ħ$657), "", 'Data Entry'!$Ħ$657)</f>
      </c>
      <c r="HW657">
        <f>IF(ISBLANK('Data Entry'!$ħ$657), "", 'Data Entry'!$ħ$657)</f>
      </c>
      <c r="HX657">
        <f>IF(ISBLANK('Data Entry'!$Ĩ$657), "", 'Data Entry'!$Ĩ$657)</f>
      </c>
      <c r="HY657">
        <f>IF(ISBLANK('Data Entry'!$ĩ$657), "", 'Data Entry'!$ĩ$657)</f>
      </c>
      <c r="HZ657">
        <f>IF(ISBLANK('Data Entry'!$Ī$657), "", 'Data Entry'!$Ī$657)</f>
      </c>
      <c r="IA657">
        <f>IF(ISBLANK('Data Entry'!$ī$657), "", 'Data Entry'!$ī$657)</f>
      </c>
      <c r="IB657">
        <f>IF(ISBLANK('Data Entry'!$Ĭ$657), "", 'Data Entry'!$Ĭ$657)</f>
      </c>
      <c r="IC657">
        <f>IF(ISBLANK('Data Entry'!$ĭ$657), "", 'Data Entry'!$ĭ$657)</f>
      </c>
      <c r="ID657">
        <f>IF(ISBLANK('Data Entry'!$Į$657), "", 'Data Entry'!$Į$657)</f>
      </c>
      <c r="IE657">
        <f>IF(ISBLANK('Data Entry'!$į$657), "", 'Data Entry'!$į$657)</f>
      </c>
      <c r="IF657">
        <f>IF(ISBLANK('Data Entry'!$İ$657), "", 'Data Entry'!$İ$657)</f>
      </c>
      <c r="IG657">
        <f>IF(ISBLANK('Data Entry'!$ı$657), "", 'Data Entry'!$ı$657)</f>
      </c>
      <c r="IH657">
        <f>IF(ISBLANK('Data Entry'!$Ĳ$657), "", 'Data Entry'!$Ĳ$657)</f>
      </c>
      <c r="II657">
        <f>IF(ISBLANK('Data Entry'!$ĳ$657), "", 'Data Entry'!$ĳ$657)</f>
      </c>
      <c r="IJ657">
        <f>IF(ISBLANK('Data Entry'!$Ĵ$657), "", 'Data Entry'!$Ĵ$657)</f>
      </c>
      <c r="IK657">
        <f>IF(ISBLANK('Data Entry'!$ĵ$657), "", 'Data Entry'!$ĵ$657)</f>
      </c>
      <c r="IL657">
        <f>IF(ISBLANK('Data Entry'!$Ķ$657), "", 'Data Entry'!$Ķ$657)</f>
      </c>
      <c r="IM657">
        <f>IF(ISBLANK('Data Entry'!$ķ$657), "", 'Data Entry'!$ķ$657)</f>
      </c>
      <c r="IN657">
        <f>IF(ISBLANK('Data Entry'!$ĸ$657), "", 'Data Entry'!$ĸ$657)</f>
      </c>
      <c r="IO657">
        <f>IF(ISBLANK('Data Entry'!$Ĺ$657), "", 'Data Entry'!$Ĺ$657)</f>
      </c>
      <c r="IP657">
        <f>IF(ISBLANK('Data Entry'!$ĺ$657), "", 'Data Entry'!$ĺ$657)</f>
      </c>
      <c r="IQ657">
        <f>IF(ISBLANK('Data Entry'!$Ļ$657), "", 'Data Entry'!$Ļ$657)</f>
      </c>
      <c r="IR657">
        <f>IF(ISBLANK('Data Entry'!$ļ$657), "", 'Data Entry'!$ļ$657)</f>
      </c>
      <c r="IS657">
        <f>IF(ISBLANK('Data Entry'!$Ľ$657), "", 'Data Entry'!$Ľ$657)</f>
      </c>
      <c r="IT657">
        <f>IF(ISBLANK('Data Entry'!$ľ$657), "", 'Data Entry'!$ľ$657)</f>
      </c>
    </row>
    <row r="658" spans="1:254" x14ac:dyDescent="0.25">
      <c r="A658">
        <f>IF(ISBLANK('Data Entry'!$A$658), "", 'Data Entry'!$A$658)</f>
      </c>
      <c r="B658">
        <f>IF(ISBLANK('Data Entry'!$B$658), "", 'Data Entry'!$B$658)</f>
      </c>
      <c r="C658">
        <f>IF(ISBLANK('Data Entry'!$C$658), "", 'Data Entry'!$C$658)</f>
      </c>
      <c r="D658">
        <f>IF(ISBLANK('Data Entry'!$D$658), "", 'Data Entry'!$D$658)</f>
      </c>
      <c r="E658">
        <f>IF(ISBLANK('Data Entry'!$E$658), "", 'Data Entry'!$E$658)</f>
      </c>
      <c r="F658">
        <f>IF(ISBLANK('Data Entry'!$F$658), "", 'Data Entry'!$F$658)</f>
      </c>
      <c r="G658">
        <f>IF(ISBLANK('Data Entry'!$G$658), "", 'Data Entry'!$G$658)</f>
      </c>
      <c r="H658">
        <f>IF(ISBLANK('Data Entry'!$H$658), "", 'Data Entry'!$H$658)</f>
      </c>
      <c r="I658">
        <f>IF(ISBLANK('Data Entry'!$I$658), "", 'Data Entry'!$I$658)</f>
      </c>
      <c r="J658">
        <f>IF(ISBLANK('Data Entry'!$J$658), "", 'Data Entry'!$J$658)</f>
      </c>
      <c r="K658">
        <f>IF(ISBLANK('Data Entry'!$K$658), "", 'Data Entry'!$K$658)</f>
      </c>
      <c r="L658">
        <f>IF(ISBLANK('Data Entry'!$L$658), "", 'Data Entry'!$L$658)</f>
      </c>
      <c r="M658">
        <f>IF(ISBLANK('Data Entry'!$M$658), "", 'Data Entry'!$M$658)</f>
      </c>
      <c r="N658">
        <f>IF(ISBLANK('Data Entry'!$N$658), "", 'Data Entry'!$N$658)</f>
      </c>
      <c r="O658">
        <f>IF(ISBLANK('Data Entry'!$O$658), "", 'Data Entry'!$O$658)</f>
      </c>
      <c r="P658">
        <f>IF(ISBLANK('Data Entry'!$P$658), "", 'Data Entry'!$P$658)</f>
      </c>
      <c r="Q658">
        <f>IF(ISBLANK('Data Entry'!$Q$658), "", 'Data Entry'!$Q$658)</f>
      </c>
      <c r="R658">
        <f>IF(ISBLANK('Data Entry'!$R$658), "", 'Data Entry'!$R$658)</f>
      </c>
      <c r="S658">
        <f>IF(ISBLANK('Data Entry'!$S$658), "", 'Data Entry'!$S$658)</f>
      </c>
      <c r="T658">
        <f>IF(ISBLANK('Data Entry'!$T$658), "", 'Data Entry'!$T$658)</f>
      </c>
      <c r="U658">
        <f>IF(ISBLANK('Data Entry'!$U$658), "", 'Data Entry'!$U$658)</f>
      </c>
      <c r="V658">
        <f>IF(ISBLANK('Data Entry'!$V$658), "", 'Data Entry'!$V$658)</f>
      </c>
      <c r="W658">
        <f>IF(ISBLANK('Data Entry'!$W$658), "", 'Data Entry'!$W$658)</f>
      </c>
      <c r="X658">
        <f>IF(ISBLANK('Data Entry'!$X$658), "", 'Data Entry'!$X$658)</f>
      </c>
      <c r="Y658">
        <f>IF(ISBLANK('Data Entry'!$Y$658), "", 'Data Entry'!$Y$658)</f>
      </c>
      <c r="Z658">
        <f>IF(ISBLANK('Data Entry'!$Z$658), "", 'Data Entry'!$Z$658)</f>
      </c>
      <c r="AA658">
        <f>IF(ISBLANK('Data Entry'!$[$658), "", 'Data Entry'!$[$658)</f>
      </c>
      <c r="AB658">
        <f>IF(ISBLANK('Data Entry'!$\$658), "", 'Data Entry'!$\$658)</f>
      </c>
      <c r="AC658">
        <f>IF(ISBLANK('Data Entry'!$]$658), "", 'Data Entry'!$]$658)</f>
      </c>
      <c r="AD658">
        <f>IF(ISBLANK('Data Entry'!$^$658), "", 'Data Entry'!$^$658)</f>
      </c>
      <c r="AE658">
        <f>IF(ISBLANK('Data Entry'!$_$658), "", 'Data Entry'!$_$658)</f>
      </c>
      <c r="AF658">
        <f>IF(ISBLANK('Data Entry'!$`$658), "", 'Data Entry'!$`$658)</f>
      </c>
      <c r="AG658">
        <f>IF(ISBLANK('Data Entry'!$a$658), "", 'Data Entry'!$a$658)</f>
      </c>
      <c r="AH658">
        <f>IF(ISBLANK('Data Entry'!$b$658), "", 'Data Entry'!$b$658)</f>
      </c>
      <c r="AI658">
        <f>IF(ISBLANK('Data Entry'!$c$658), "", 'Data Entry'!$c$658)</f>
      </c>
      <c r="AJ658">
        <f>IF(ISBLANK('Data Entry'!$d$658), "", 'Data Entry'!$d$658)</f>
      </c>
      <c r="AK658">
        <f>IF(ISBLANK('Data Entry'!$e$658), "", 'Data Entry'!$e$658)</f>
      </c>
      <c r="AL658">
        <f>IF(ISBLANK('Data Entry'!$f$658), "", 'Data Entry'!$f$658)</f>
      </c>
      <c r="AM658">
        <f>IF(ISBLANK('Data Entry'!$g$658), "", 'Data Entry'!$g$658)</f>
      </c>
      <c r="AN658">
        <f>IF(ISBLANK('Data Entry'!$h$658), "", 'Data Entry'!$h$658)</f>
      </c>
      <c r="AO658">
        <f>IF(ISBLANK('Data Entry'!$i$658), "", 'Data Entry'!$i$658)</f>
      </c>
      <c r="AP658">
        <f>IF(ISBLANK('Data Entry'!$j$658), "", 'Data Entry'!$j$658)</f>
      </c>
      <c r="AQ658">
        <f>IF(ISBLANK('Data Entry'!$k$658), "", 'Data Entry'!$k$658)</f>
      </c>
      <c r="AR658">
        <f>IF(ISBLANK('Data Entry'!$l$658), "", 'Data Entry'!$l$658)</f>
      </c>
      <c r="AS658">
        <f>IF(ISBLANK('Data Entry'!$m$658), "", 'Data Entry'!$m$658)</f>
      </c>
      <c r="AT658">
        <f>IF(ISBLANK('Data Entry'!$n$658), "", 'Data Entry'!$n$658)</f>
      </c>
      <c r="AU658">
        <f>IF(ISBLANK('Data Entry'!$o$658), "", 'Data Entry'!$o$658)</f>
      </c>
      <c r="AV658">
        <f>IF(ISBLANK('Data Entry'!$p$658), "", 'Data Entry'!$p$658)</f>
      </c>
      <c r="AW658">
        <f>IF(ISBLANK('Data Entry'!$q$658), "", 'Data Entry'!$q$658)</f>
      </c>
      <c r="AX658">
        <f>IF(ISBLANK('Data Entry'!$r$658), "", 'Data Entry'!$r$658)</f>
      </c>
      <c r="AY658">
        <f>IF(ISBLANK('Data Entry'!$s$658), "", 'Data Entry'!$s$658)</f>
      </c>
      <c r="AZ658">
        <f>IF(ISBLANK('Data Entry'!$t$658), "", 'Data Entry'!$t$658)</f>
      </c>
      <c r="BA658">
        <f>IF(ISBLANK('Data Entry'!$u$658), "", 'Data Entry'!$u$658)</f>
      </c>
      <c r="BB658">
        <f>IF(ISBLANK('Data Entry'!$v$658), "", 'Data Entry'!$v$658)</f>
      </c>
      <c r="BC658">
        <f>IF(ISBLANK('Data Entry'!$w$658), "", 'Data Entry'!$w$658)</f>
      </c>
      <c r="BD658">
        <f>IF(ISBLANK('Data Entry'!$x$658), "", 'Data Entry'!$x$658)</f>
      </c>
      <c r="BE658">
        <f>IF(ISBLANK('Data Entry'!$y$658), "", 'Data Entry'!$y$658)</f>
      </c>
      <c r="BF658">
        <f>IF(ISBLANK('Data Entry'!$z$658), "", 'Data Entry'!$z$658)</f>
      </c>
      <c r="BG658">
        <f>IF(ISBLANK('Data Entry'!${$658), "", 'Data Entry'!${$658)</f>
      </c>
      <c r="BH658">
        <f>IF(ISBLANK('Data Entry'!$|$658), "", 'Data Entry'!$|$658)</f>
      </c>
      <c r="BI658">
        <f>IF(ISBLANK('Data Entry'!$}$658), "", 'Data Entry'!$}$658)</f>
      </c>
      <c r="BJ658">
        <f>IF(ISBLANK('Data Entry'!$~$658), "", 'Data Entry'!$~$658)</f>
      </c>
      <c r="BK658">
        <f>IF(ISBLANK('Data Entry'!$$658), "", 'Data Entry'!$$658)</f>
      </c>
      <c r="BL658">
        <f>IF(ISBLANK('Data Entry'!$$658), "", 'Data Entry'!$$658)</f>
      </c>
      <c r="BM658">
        <f>IF(ISBLANK('Data Entry'!$$658), "", 'Data Entry'!$$658)</f>
      </c>
      <c r="BN658">
        <f>IF(ISBLANK('Data Entry'!$$658), "", 'Data Entry'!$$658)</f>
      </c>
      <c r="BO658">
        <f>IF(ISBLANK('Data Entry'!$$658), "", 'Data Entry'!$$658)</f>
      </c>
      <c r="BP658">
        <f>IF(ISBLANK('Data Entry'!$$658), "", 'Data Entry'!$$658)</f>
      </c>
      <c r="BQ658">
        <f>IF(ISBLANK('Data Entry'!$$658), "", 'Data Entry'!$$658)</f>
      </c>
      <c r="BR658">
        <f>IF(ISBLANK('Data Entry'!$$658), "", 'Data Entry'!$$658)</f>
      </c>
      <c r="BS658">
        <f>IF(ISBLANK('Data Entry'!$$658), "", 'Data Entry'!$$658)</f>
      </c>
      <c r="BT658">
        <f>IF(ISBLANK('Data Entry'!$$658), "", 'Data Entry'!$$658)</f>
      </c>
      <c r="BU658">
        <f>IF(ISBLANK('Data Entry'!$$658), "", 'Data Entry'!$$658)</f>
      </c>
      <c r="BV658">
        <f>IF(ISBLANK('Data Entry'!$$658), "", 'Data Entry'!$$658)</f>
      </c>
      <c r="BW658">
        <f>IF(ISBLANK('Data Entry'!$$658), "", 'Data Entry'!$$658)</f>
      </c>
      <c r="BX658">
        <f>IF(ISBLANK('Data Entry'!$$658), "", 'Data Entry'!$$658)</f>
      </c>
      <c r="BY658">
        <f>IF(ISBLANK('Data Entry'!$$658), "", 'Data Entry'!$$658)</f>
      </c>
      <c r="BZ658">
        <f>IF(ISBLANK('Data Entry'!$$658), "", 'Data Entry'!$$658)</f>
      </c>
      <c r="CA658">
        <f>IF(ISBLANK('Data Entry'!$$658), "", 'Data Entry'!$$658)</f>
      </c>
      <c r="CB658">
        <f>IF(ISBLANK('Data Entry'!$$658), "", 'Data Entry'!$$658)</f>
      </c>
      <c r="CC658">
        <f>IF(ISBLANK('Data Entry'!$$658), "", 'Data Entry'!$$658)</f>
      </c>
      <c r="CD658">
        <f>IF(ISBLANK('Data Entry'!$$658), "", 'Data Entry'!$$658)</f>
      </c>
      <c r="CE658">
        <f>IF(ISBLANK('Data Entry'!$$658), "", 'Data Entry'!$$658)</f>
      </c>
      <c r="CF658">
        <f>IF(ISBLANK('Data Entry'!$$658), "", 'Data Entry'!$$658)</f>
      </c>
      <c r="CG658">
        <f>IF(ISBLANK('Data Entry'!$$658), "", 'Data Entry'!$$658)</f>
      </c>
      <c r="CH658">
        <f>IF(ISBLANK('Data Entry'!$$658), "", 'Data Entry'!$$658)</f>
      </c>
      <c r="CI658">
        <f>IF(ISBLANK('Data Entry'!$$658), "", 'Data Entry'!$$658)</f>
      </c>
      <c r="CJ658">
        <f>IF(ISBLANK('Data Entry'!$$658), "", 'Data Entry'!$$658)</f>
      </c>
      <c r="CK658">
        <f>IF(ISBLANK('Data Entry'!$$658), "", 'Data Entry'!$$658)</f>
      </c>
      <c r="CL658">
        <f>IF(ISBLANK('Data Entry'!$$658), "", 'Data Entry'!$$658)</f>
      </c>
      <c r="CM658">
        <f>IF(ISBLANK('Data Entry'!$$658), "", 'Data Entry'!$$658)</f>
      </c>
      <c r="CN658">
        <f>IF(ISBLANK('Data Entry'!$$658), "", 'Data Entry'!$$658)</f>
      </c>
      <c r="CO658">
        <f>IF(ISBLANK('Data Entry'!$$658), "", 'Data Entry'!$$658)</f>
      </c>
      <c r="CP658">
        <f>IF(ISBLANK('Data Entry'!$$658), "", 'Data Entry'!$$658)</f>
      </c>
      <c r="CQ658">
        <f>IF(ISBLANK('Data Entry'!$$658), "", 'Data Entry'!$$658)</f>
      </c>
      <c r="CR658">
        <f>IF(ISBLANK('Data Entry'!$ $658), "", 'Data Entry'!$ $658)</f>
      </c>
      <c r="CS658">
        <f>IF(ISBLANK('Data Entry'!$¡$658), "", 'Data Entry'!$¡$658)</f>
      </c>
      <c r="CT658">
        <f>IF(ISBLANK('Data Entry'!$¢$658), "", 'Data Entry'!$¢$658)</f>
      </c>
      <c r="CU658">
        <f>IF(ISBLANK('Data Entry'!$£$658), "", 'Data Entry'!$£$658)</f>
      </c>
      <c r="CV658">
        <f>IF(ISBLANK('Data Entry'!$¤$658), "", 'Data Entry'!$¤$658)</f>
      </c>
      <c r="CW658">
        <f>IF(ISBLANK('Data Entry'!$¥$658), "", 'Data Entry'!$¥$658)</f>
      </c>
      <c r="CX658">
        <f>IF(ISBLANK('Data Entry'!$¦$658), "", 'Data Entry'!$¦$658)</f>
      </c>
      <c r="CY658">
        <f>IF(ISBLANK('Data Entry'!$§$658), "", 'Data Entry'!$§$658)</f>
      </c>
      <c r="CZ658">
        <f>IF(ISBLANK('Data Entry'!$¨$658), "", 'Data Entry'!$¨$658)</f>
      </c>
      <c r="DA658">
        <f>IF(ISBLANK('Data Entry'!$©$658), "", 'Data Entry'!$©$658)</f>
      </c>
      <c r="DB658">
        <f>IF(ISBLANK('Data Entry'!$ª$658), "", 'Data Entry'!$ª$658)</f>
      </c>
      <c r="DC658">
        <f>IF(ISBLANK('Data Entry'!$«$658), "", 'Data Entry'!$«$658)</f>
      </c>
      <c r="DD658">
        <f>IF(ISBLANK('Data Entry'!$¬$658), "", 'Data Entry'!$¬$658)</f>
      </c>
      <c r="DE658">
        <f>IF(ISBLANK('Data Entry'!$­$658), "", 'Data Entry'!$­$658)</f>
      </c>
      <c r="DF658">
        <f>IF(ISBLANK('Data Entry'!$®$658), "", 'Data Entry'!$®$658)</f>
      </c>
      <c r="DG658">
        <f>IF(ISBLANK('Data Entry'!$¯$658), "", 'Data Entry'!$¯$658)</f>
      </c>
      <c r="DH658">
        <f>IF(ISBLANK('Data Entry'!$°$658), "", 'Data Entry'!$°$658)</f>
      </c>
      <c r="DI658">
        <f>IF(ISBLANK('Data Entry'!$±$658), "", 'Data Entry'!$±$658)</f>
      </c>
      <c r="DJ658">
        <f>IF(ISBLANK('Data Entry'!$²$658), "", 'Data Entry'!$²$658)</f>
      </c>
      <c r="DK658">
        <f>IF(ISBLANK('Data Entry'!$³$658), "", 'Data Entry'!$³$658)</f>
      </c>
      <c r="DL658">
        <f>IF(ISBLANK('Data Entry'!$´$658), "", 'Data Entry'!$´$658)</f>
      </c>
      <c r="DM658">
        <f>IF(ISBLANK('Data Entry'!$µ$658), "", 'Data Entry'!$µ$658)</f>
      </c>
      <c r="DN658">
        <f>IF(ISBLANK('Data Entry'!$¶$658), "", 'Data Entry'!$¶$658)</f>
      </c>
      <c r="DO658">
        <f>IF(ISBLANK('Data Entry'!$·$658), "", 'Data Entry'!$·$658)</f>
      </c>
      <c r="DP658">
        <f>IF(ISBLANK('Data Entry'!$¸$658), "", 'Data Entry'!$¸$658)</f>
      </c>
      <c r="DQ658">
        <f>IF(ISBLANK('Data Entry'!$¹$658), "", 'Data Entry'!$¹$658)</f>
      </c>
      <c r="DR658">
        <f>IF(ISBLANK('Data Entry'!$º$658), "", 'Data Entry'!$º$658)</f>
      </c>
      <c r="DS658">
        <f>IF(ISBLANK('Data Entry'!$»$658), "", 'Data Entry'!$»$658)</f>
      </c>
      <c r="DT658">
        <f>IF(ISBLANK('Data Entry'!$¼$658), "", 'Data Entry'!$¼$658)</f>
      </c>
      <c r="DU658">
        <f>IF(ISBLANK('Data Entry'!$½$658), "", 'Data Entry'!$½$658)</f>
      </c>
      <c r="DV658">
        <f>IF(ISBLANK('Data Entry'!$¾$658), "", 'Data Entry'!$¾$658)</f>
      </c>
      <c r="DW658">
        <f>IF(ISBLANK('Data Entry'!$¿$658), "", 'Data Entry'!$¿$658)</f>
      </c>
      <c r="DX658">
        <f>IF(ISBLANK('Data Entry'!$À$658), "", 'Data Entry'!$À$658)</f>
      </c>
      <c r="DY658">
        <f>IF(ISBLANK('Data Entry'!$Á$658), "", 'Data Entry'!$Á$658)</f>
      </c>
      <c r="DZ658">
        <f>IF(ISBLANK('Data Entry'!$Â$658), "", 'Data Entry'!$Â$658)</f>
      </c>
      <c r="EA658">
        <f>IF(ISBLANK('Data Entry'!$Ã$658), "", 'Data Entry'!$Ã$658)</f>
      </c>
      <c r="EB658">
        <f>IF(ISBLANK('Data Entry'!$Ä$658), "", 'Data Entry'!$Ä$658)</f>
      </c>
      <c r="EC658">
        <f>IF(ISBLANK('Data Entry'!$Å$658), "", 'Data Entry'!$Å$658)</f>
      </c>
      <c r="ED658">
        <f>IF(ISBLANK('Data Entry'!$Æ$658), "", 'Data Entry'!$Æ$658)</f>
      </c>
      <c r="EE658">
        <f>IF(ISBLANK('Data Entry'!$Ç$658), "", 'Data Entry'!$Ç$658)</f>
      </c>
      <c r="EF658">
        <f>IF(ISBLANK('Data Entry'!$È$658), "", 'Data Entry'!$È$658)</f>
      </c>
      <c r="EG658">
        <f>IF(ISBLANK('Data Entry'!$É$658), "", 'Data Entry'!$É$658)</f>
      </c>
      <c r="EH658">
        <f>IF(ISBLANK('Data Entry'!$Ê$658), "", 'Data Entry'!$Ê$658)</f>
      </c>
      <c r="EI658">
        <f>IF(ISBLANK('Data Entry'!$Ë$658), "", 'Data Entry'!$Ë$658)</f>
      </c>
      <c r="EJ658">
        <f>IF(ISBLANK('Data Entry'!$Ì$658), "", 'Data Entry'!$Ì$658)</f>
      </c>
      <c r="EK658">
        <f>IF(ISBLANK('Data Entry'!$Í$658), "", 'Data Entry'!$Í$658)</f>
      </c>
      <c r="EL658">
        <f>IF(ISBLANK('Data Entry'!$Î$658), "", 'Data Entry'!$Î$658)</f>
      </c>
      <c r="EM658">
        <f>IF(ISBLANK('Data Entry'!$Ï$658), "", 'Data Entry'!$Ï$658)</f>
      </c>
      <c r="EN658">
        <f>IF(ISBLANK('Data Entry'!$Ð$658), "", 'Data Entry'!$Ð$658)</f>
      </c>
      <c r="EO658">
        <f>IF(ISBLANK('Data Entry'!$Ñ$658), "", 'Data Entry'!$Ñ$658)</f>
      </c>
      <c r="EP658">
        <f>IF(ISBLANK('Data Entry'!$Ò$658), "", 'Data Entry'!$Ò$658)</f>
      </c>
      <c r="EQ658">
        <f>IF(ISBLANK('Data Entry'!$Ó$658), "", 'Data Entry'!$Ó$658)</f>
      </c>
      <c r="ER658">
        <f>IF(ISBLANK('Data Entry'!$Ô$658), "", 'Data Entry'!$Ô$658)</f>
      </c>
      <c r="ES658">
        <f>IF(ISBLANK('Data Entry'!$Õ$658), "", 'Data Entry'!$Õ$658)</f>
      </c>
      <c r="ET658">
        <f>IF(ISBLANK('Data Entry'!$Ö$658), "", 'Data Entry'!$Ö$658)</f>
      </c>
      <c r="EU658">
        <f>IF(ISBLANK('Data Entry'!$×$658), "", 'Data Entry'!$×$658)</f>
      </c>
      <c r="EV658">
        <f>IF(ISBLANK('Data Entry'!$Ø$658), "", 'Data Entry'!$Ø$658)</f>
      </c>
      <c r="EW658">
        <f>IF(ISBLANK('Data Entry'!$Ù$658), "", 'Data Entry'!$Ù$658)</f>
      </c>
      <c r="EX658">
        <f>IF(ISBLANK('Data Entry'!$Ú$658), "", 'Data Entry'!$Ú$658)</f>
      </c>
      <c r="EY658">
        <f>IF(ISBLANK('Data Entry'!$Û$658), "", 'Data Entry'!$Û$658)</f>
      </c>
      <c r="EZ658">
        <f>IF(ISBLANK('Data Entry'!$Ü$658), "", 'Data Entry'!$Ü$658)</f>
      </c>
      <c r="FA658">
        <f>IF(ISBLANK('Data Entry'!$Ý$658), "", 'Data Entry'!$Ý$658)</f>
      </c>
      <c r="FB658">
        <f>IF(ISBLANK('Data Entry'!$Þ$658), "", 'Data Entry'!$Þ$658)</f>
      </c>
      <c r="FC658">
        <f>IF(ISBLANK('Data Entry'!$ß$658), "", 'Data Entry'!$ß$658)</f>
      </c>
      <c r="FD658">
        <f>IF(ISBLANK('Data Entry'!$à$658), "", 'Data Entry'!$à$658)</f>
      </c>
      <c r="FE658">
        <f>IF(ISBLANK('Data Entry'!$á$658), "", 'Data Entry'!$á$658)</f>
      </c>
      <c r="FF658">
        <f>IF(ISBLANK('Data Entry'!$â$658), "", 'Data Entry'!$â$658)</f>
      </c>
      <c r="FG658">
        <f>IF(ISBLANK('Data Entry'!$ã$658), "", 'Data Entry'!$ã$658)</f>
      </c>
      <c r="FH658">
        <f>IF(ISBLANK('Data Entry'!$ä$658), "", 'Data Entry'!$ä$658)</f>
      </c>
      <c r="FI658">
        <f>IF(ISBLANK('Data Entry'!$å$658), "", 'Data Entry'!$å$658)</f>
      </c>
      <c r="FJ658">
        <f>IF(ISBLANK('Data Entry'!$æ$658), "", 'Data Entry'!$æ$658)</f>
      </c>
      <c r="FK658">
        <f>IF(ISBLANK('Data Entry'!$ç$658), "", 'Data Entry'!$ç$658)</f>
      </c>
      <c r="FL658">
        <f>IF(ISBLANK('Data Entry'!$è$658), "", 'Data Entry'!$è$658)</f>
      </c>
      <c r="FM658">
        <f>IF(ISBLANK('Data Entry'!$é$658), "", 'Data Entry'!$é$658)</f>
      </c>
      <c r="FN658">
        <f>IF(ISBLANK('Data Entry'!$ê$658), "", 'Data Entry'!$ê$658)</f>
      </c>
      <c r="FO658">
        <f>IF(ISBLANK('Data Entry'!$ë$658), "", 'Data Entry'!$ë$658)</f>
      </c>
      <c r="FP658">
        <f>IF(ISBLANK('Data Entry'!$ì$658), "", 'Data Entry'!$ì$658)</f>
      </c>
      <c r="FQ658">
        <f>IF(ISBLANK('Data Entry'!$í$658), "", 'Data Entry'!$í$658)</f>
      </c>
      <c r="FR658">
        <f>IF(ISBLANK('Data Entry'!$î$658), "", 'Data Entry'!$î$658)</f>
      </c>
      <c r="FS658">
        <f>IF(ISBLANK('Data Entry'!$ï$658), "", 'Data Entry'!$ï$658)</f>
      </c>
      <c r="FT658">
        <f>IF(ISBLANK('Data Entry'!$ð$658), "", 'Data Entry'!$ð$658)</f>
      </c>
      <c r="FU658">
        <f>IF(ISBLANK('Data Entry'!$ñ$658), "", 'Data Entry'!$ñ$658)</f>
      </c>
      <c r="FV658">
        <f>IF(ISBLANK('Data Entry'!$ò$658), "", 'Data Entry'!$ò$658)</f>
      </c>
      <c r="FW658">
        <f>IF(ISBLANK('Data Entry'!$ó$658), "", 'Data Entry'!$ó$658)</f>
      </c>
      <c r="FX658">
        <f>IF(ISBLANK('Data Entry'!$ô$658), "", 'Data Entry'!$ô$658)</f>
      </c>
      <c r="FY658">
        <f>IF(ISBLANK('Data Entry'!$õ$658), "", 'Data Entry'!$õ$658)</f>
      </c>
      <c r="FZ658">
        <f>IF(ISBLANK('Data Entry'!$ö$658), "", 'Data Entry'!$ö$658)</f>
      </c>
      <c r="GA658">
        <f>IF(ISBLANK('Data Entry'!$÷$658), "", 'Data Entry'!$÷$658)</f>
      </c>
      <c r="GB658">
        <f>IF(ISBLANK('Data Entry'!$ø$658), "", 'Data Entry'!$ø$658)</f>
      </c>
      <c r="GC658">
        <f>IF(ISBLANK('Data Entry'!$ù$658), "", 'Data Entry'!$ù$658)</f>
      </c>
      <c r="GD658">
        <f>IF(ISBLANK('Data Entry'!$ú$658), "", 'Data Entry'!$ú$658)</f>
      </c>
      <c r="GE658">
        <f>IF(ISBLANK('Data Entry'!$û$658), "", 'Data Entry'!$û$658)</f>
      </c>
      <c r="GF658">
        <f>IF(ISBLANK('Data Entry'!$ü$658), "", 'Data Entry'!$ü$658)</f>
      </c>
      <c r="GG658">
        <f>IF(ISBLANK('Data Entry'!$ý$658), "", 'Data Entry'!$ý$658)</f>
      </c>
      <c r="GH658">
        <f>IF(ISBLANK('Data Entry'!$þ$658), "", 'Data Entry'!$þ$658)</f>
      </c>
      <c r="GI658">
        <f>IF(ISBLANK('Data Entry'!$ÿ$658), "", 'Data Entry'!$ÿ$658)</f>
      </c>
      <c r="GJ658">
        <f>IF(ISBLANK('Data Entry'!$Ā$658), "", 'Data Entry'!$Ā$658)</f>
      </c>
      <c r="GK658">
        <f>IF(ISBLANK('Data Entry'!$ā$658), "", 'Data Entry'!$ā$658)</f>
      </c>
      <c r="GL658">
        <f>IF(ISBLANK('Data Entry'!$Ă$658), "", 'Data Entry'!$Ă$658)</f>
      </c>
      <c r="GM658">
        <f>IF(ISBLANK('Data Entry'!$ă$658), "", 'Data Entry'!$ă$658)</f>
      </c>
      <c r="GN658">
        <f>IF(ISBLANK('Data Entry'!$Ą$658), "", 'Data Entry'!$Ą$658)</f>
      </c>
      <c r="GO658">
        <f>IF(ISBLANK('Data Entry'!$ą$658), "", 'Data Entry'!$ą$658)</f>
      </c>
      <c r="GP658">
        <f>IF(ISBLANK('Data Entry'!$Ć$658), "", 'Data Entry'!$Ć$658)</f>
      </c>
      <c r="GQ658">
        <f>IF(ISBLANK('Data Entry'!$ć$658), "", 'Data Entry'!$ć$658)</f>
      </c>
      <c r="GR658">
        <f>IF(ISBLANK('Data Entry'!$Ĉ$658), "", 'Data Entry'!$Ĉ$658)</f>
      </c>
      <c r="GS658">
        <f>IF(ISBLANK('Data Entry'!$ĉ$658), "", 'Data Entry'!$ĉ$658)</f>
      </c>
      <c r="GT658">
        <f>IF(ISBLANK('Data Entry'!$Ċ$658), "", 'Data Entry'!$Ċ$658)</f>
      </c>
      <c r="GU658">
        <f>IF(ISBLANK('Data Entry'!$ċ$658), "", 'Data Entry'!$ċ$658)</f>
      </c>
      <c r="GV658">
        <f>IF(ISBLANK('Data Entry'!$Č$658), "", 'Data Entry'!$Č$658)</f>
      </c>
      <c r="GW658">
        <f>IF(ISBLANK('Data Entry'!$č$658), "", 'Data Entry'!$č$658)</f>
      </c>
      <c r="GX658">
        <f>IF(ISBLANK('Data Entry'!$Ď$658), "", 'Data Entry'!$Ď$658)</f>
      </c>
      <c r="GY658">
        <f>IF(ISBLANK('Data Entry'!$ď$658), "", 'Data Entry'!$ď$658)</f>
      </c>
      <c r="GZ658">
        <f>IF(ISBLANK('Data Entry'!$Đ$658), "", 'Data Entry'!$Đ$658)</f>
      </c>
      <c r="HA658">
        <f>IF(ISBLANK('Data Entry'!$đ$658), "", 'Data Entry'!$đ$658)</f>
      </c>
      <c r="HB658">
        <f>IF(ISBLANK('Data Entry'!$Ē$658), "", 'Data Entry'!$Ē$658)</f>
      </c>
      <c r="HC658">
        <f>IF(ISBLANK('Data Entry'!$ē$658), "", 'Data Entry'!$ē$658)</f>
      </c>
      <c r="HD658">
        <f>IF(ISBLANK('Data Entry'!$Ĕ$658), "", 'Data Entry'!$Ĕ$658)</f>
      </c>
      <c r="HE658">
        <f>IF(ISBLANK('Data Entry'!$ĕ$658), "", 'Data Entry'!$ĕ$658)</f>
      </c>
      <c r="HF658">
        <f>IF(ISBLANK('Data Entry'!$Ė$658), "", 'Data Entry'!$Ė$658)</f>
      </c>
      <c r="HG658">
        <f>IF(ISBLANK('Data Entry'!$ė$658), "", 'Data Entry'!$ė$658)</f>
      </c>
      <c r="HH658">
        <f>IF(ISBLANK('Data Entry'!$Ę$658), "", 'Data Entry'!$Ę$658)</f>
      </c>
      <c r="HI658">
        <f>IF(ISBLANK('Data Entry'!$ę$658), "", 'Data Entry'!$ę$658)</f>
      </c>
      <c r="HJ658">
        <f>IF(ISBLANK('Data Entry'!$Ě$658), "", 'Data Entry'!$Ě$658)</f>
      </c>
      <c r="HK658">
        <f>IF(ISBLANK('Data Entry'!$ě$658), "", 'Data Entry'!$ě$658)</f>
      </c>
      <c r="HL658">
        <f>IF(ISBLANK('Data Entry'!$Ĝ$658), "", 'Data Entry'!$Ĝ$658)</f>
      </c>
      <c r="HM658">
        <f>IF(ISBLANK('Data Entry'!$ĝ$658), "", 'Data Entry'!$ĝ$658)</f>
      </c>
      <c r="HN658">
        <f>IF(ISBLANK('Data Entry'!$Ğ$658), "", 'Data Entry'!$Ğ$658)</f>
      </c>
      <c r="HO658">
        <f>IF(ISBLANK('Data Entry'!$ğ$658), "", 'Data Entry'!$ğ$658)</f>
      </c>
      <c r="HP658">
        <f>IF(ISBLANK('Data Entry'!$Ġ$658), "", 'Data Entry'!$Ġ$658)</f>
      </c>
      <c r="HQ658">
        <f>IF(ISBLANK('Data Entry'!$ġ$658), "", 'Data Entry'!$ġ$658)</f>
      </c>
      <c r="HR658">
        <f>IF(ISBLANK('Data Entry'!$Ģ$658), "", 'Data Entry'!$Ģ$658)</f>
      </c>
      <c r="HS658">
        <f>IF(ISBLANK('Data Entry'!$ģ$658), "", 'Data Entry'!$ģ$658)</f>
      </c>
      <c r="HT658">
        <f>IF(ISBLANK('Data Entry'!$Ĥ$658), "", 'Data Entry'!$Ĥ$658)</f>
      </c>
      <c r="HU658">
        <f>IF(ISBLANK('Data Entry'!$ĥ$658), "", 'Data Entry'!$ĥ$658)</f>
      </c>
      <c r="HV658">
        <f>IF(ISBLANK('Data Entry'!$Ħ$658), "", 'Data Entry'!$Ħ$658)</f>
      </c>
      <c r="HW658">
        <f>IF(ISBLANK('Data Entry'!$ħ$658), "", 'Data Entry'!$ħ$658)</f>
      </c>
      <c r="HX658">
        <f>IF(ISBLANK('Data Entry'!$Ĩ$658), "", 'Data Entry'!$Ĩ$658)</f>
      </c>
      <c r="HY658">
        <f>IF(ISBLANK('Data Entry'!$ĩ$658), "", 'Data Entry'!$ĩ$658)</f>
      </c>
      <c r="HZ658">
        <f>IF(ISBLANK('Data Entry'!$Ī$658), "", 'Data Entry'!$Ī$658)</f>
      </c>
      <c r="IA658">
        <f>IF(ISBLANK('Data Entry'!$ī$658), "", 'Data Entry'!$ī$658)</f>
      </c>
      <c r="IB658">
        <f>IF(ISBLANK('Data Entry'!$Ĭ$658), "", 'Data Entry'!$Ĭ$658)</f>
      </c>
      <c r="IC658">
        <f>IF(ISBLANK('Data Entry'!$ĭ$658), "", 'Data Entry'!$ĭ$658)</f>
      </c>
      <c r="ID658">
        <f>IF(ISBLANK('Data Entry'!$Į$658), "", 'Data Entry'!$Į$658)</f>
      </c>
      <c r="IE658">
        <f>IF(ISBLANK('Data Entry'!$į$658), "", 'Data Entry'!$į$658)</f>
      </c>
      <c r="IF658">
        <f>IF(ISBLANK('Data Entry'!$İ$658), "", 'Data Entry'!$İ$658)</f>
      </c>
      <c r="IG658">
        <f>IF(ISBLANK('Data Entry'!$ı$658), "", 'Data Entry'!$ı$658)</f>
      </c>
      <c r="IH658">
        <f>IF(ISBLANK('Data Entry'!$Ĳ$658), "", 'Data Entry'!$Ĳ$658)</f>
      </c>
      <c r="II658">
        <f>IF(ISBLANK('Data Entry'!$ĳ$658), "", 'Data Entry'!$ĳ$658)</f>
      </c>
      <c r="IJ658">
        <f>IF(ISBLANK('Data Entry'!$Ĵ$658), "", 'Data Entry'!$Ĵ$658)</f>
      </c>
      <c r="IK658">
        <f>IF(ISBLANK('Data Entry'!$ĵ$658), "", 'Data Entry'!$ĵ$658)</f>
      </c>
      <c r="IL658">
        <f>IF(ISBLANK('Data Entry'!$Ķ$658), "", 'Data Entry'!$Ķ$658)</f>
      </c>
      <c r="IM658">
        <f>IF(ISBLANK('Data Entry'!$ķ$658), "", 'Data Entry'!$ķ$658)</f>
      </c>
      <c r="IN658">
        <f>IF(ISBLANK('Data Entry'!$ĸ$658), "", 'Data Entry'!$ĸ$658)</f>
      </c>
      <c r="IO658">
        <f>IF(ISBLANK('Data Entry'!$Ĺ$658), "", 'Data Entry'!$Ĺ$658)</f>
      </c>
      <c r="IP658">
        <f>IF(ISBLANK('Data Entry'!$ĺ$658), "", 'Data Entry'!$ĺ$658)</f>
      </c>
      <c r="IQ658">
        <f>IF(ISBLANK('Data Entry'!$Ļ$658), "", 'Data Entry'!$Ļ$658)</f>
      </c>
      <c r="IR658">
        <f>IF(ISBLANK('Data Entry'!$ļ$658), "", 'Data Entry'!$ļ$658)</f>
      </c>
      <c r="IS658">
        <f>IF(ISBLANK('Data Entry'!$Ľ$658), "", 'Data Entry'!$Ľ$658)</f>
      </c>
      <c r="IT658">
        <f>IF(ISBLANK('Data Entry'!$ľ$658), "", 'Data Entry'!$ľ$658)</f>
      </c>
    </row>
    <row r="659" spans="1:254" x14ac:dyDescent="0.25">
      <c r="A659">
        <f>IF(ISBLANK('Data Entry'!$A$659), "", 'Data Entry'!$A$659)</f>
      </c>
      <c r="B659">
        <f>IF(ISBLANK('Data Entry'!$B$659), "", 'Data Entry'!$B$659)</f>
      </c>
      <c r="C659">
        <f>IF(ISBLANK('Data Entry'!$C$659), "", 'Data Entry'!$C$659)</f>
      </c>
      <c r="D659">
        <f>IF(ISBLANK('Data Entry'!$D$659), "", 'Data Entry'!$D$659)</f>
      </c>
      <c r="E659">
        <f>IF(ISBLANK('Data Entry'!$E$659), "", 'Data Entry'!$E$659)</f>
      </c>
      <c r="F659">
        <f>IF(ISBLANK('Data Entry'!$F$659), "", 'Data Entry'!$F$659)</f>
      </c>
      <c r="G659">
        <f>IF(ISBLANK('Data Entry'!$G$659), "", 'Data Entry'!$G$659)</f>
      </c>
      <c r="H659">
        <f>IF(ISBLANK('Data Entry'!$H$659), "", 'Data Entry'!$H$659)</f>
      </c>
      <c r="I659">
        <f>IF(ISBLANK('Data Entry'!$I$659), "", 'Data Entry'!$I$659)</f>
      </c>
      <c r="J659">
        <f>IF(ISBLANK('Data Entry'!$J$659), "", 'Data Entry'!$J$659)</f>
      </c>
      <c r="K659">
        <f>IF(ISBLANK('Data Entry'!$K$659), "", 'Data Entry'!$K$659)</f>
      </c>
      <c r="L659">
        <f>IF(ISBLANK('Data Entry'!$L$659), "", 'Data Entry'!$L$659)</f>
      </c>
      <c r="M659">
        <f>IF(ISBLANK('Data Entry'!$M$659), "", 'Data Entry'!$M$659)</f>
      </c>
      <c r="N659">
        <f>IF(ISBLANK('Data Entry'!$N$659), "", 'Data Entry'!$N$659)</f>
      </c>
      <c r="O659">
        <f>IF(ISBLANK('Data Entry'!$O$659), "", 'Data Entry'!$O$659)</f>
      </c>
      <c r="P659">
        <f>IF(ISBLANK('Data Entry'!$P$659), "", 'Data Entry'!$P$659)</f>
      </c>
      <c r="Q659">
        <f>IF(ISBLANK('Data Entry'!$Q$659), "", 'Data Entry'!$Q$659)</f>
      </c>
      <c r="R659">
        <f>IF(ISBLANK('Data Entry'!$R$659), "", 'Data Entry'!$R$659)</f>
      </c>
      <c r="S659">
        <f>IF(ISBLANK('Data Entry'!$S$659), "", 'Data Entry'!$S$659)</f>
      </c>
      <c r="T659">
        <f>IF(ISBLANK('Data Entry'!$T$659), "", 'Data Entry'!$T$659)</f>
      </c>
      <c r="U659">
        <f>IF(ISBLANK('Data Entry'!$U$659), "", 'Data Entry'!$U$659)</f>
      </c>
      <c r="V659">
        <f>IF(ISBLANK('Data Entry'!$V$659), "", 'Data Entry'!$V$659)</f>
      </c>
      <c r="W659">
        <f>IF(ISBLANK('Data Entry'!$W$659), "", 'Data Entry'!$W$659)</f>
      </c>
      <c r="X659">
        <f>IF(ISBLANK('Data Entry'!$X$659), "", 'Data Entry'!$X$659)</f>
      </c>
      <c r="Y659">
        <f>IF(ISBLANK('Data Entry'!$Y$659), "", 'Data Entry'!$Y$659)</f>
      </c>
      <c r="Z659">
        <f>IF(ISBLANK('Data Entry'!$Z$659), "", 'Data Entry'!$Z$659)</f>
      </c>
      <c r="AA659">
        <f>IF(ISBLANK('Data Entry'!$[$659), "", 'Data Entry'!$[$659)</f>
      </c>
      <c r="AB659">
        <f>IF(ISBLANK('Data Entry'!$\$659), "", 'Data Entry'!$\$659)</f>
      </c>
      <c r="AC659">
        <f>IF(ISBLANK('Data Entry'!$]$659), "", 'Data Entry'!$]$659)</f>
      </c>
      <c r="AD659">
        <f>IF(ISBLANK('Data Entry'!$^$659), "", 'Data Entry'!$^$659)</f>
      </c>
      <c r="AE659">
        <f>IF(ISBLANK('Data Entry'!$_$659), "", 'Data Entry'!$_$659)</f>
      </c>
      <c r="AF659">
        <f>IF(ISBLANK('Data Entry'!$`$659), "", 'Data Entry'!$`$659)</f>
      </c>
      <c r="AG659">
        <f>IF(ISBLANK('Data Entry'!$a$659), "", 'Data Entry'!$a$659)</f>
      </c>
      <c r="AH659">
        <f>IF(ISBLANK('Data Entry'!$b$659), "", 'Data Entry'!$b$659)</f>
      </c>
      <c r="AI659">
        <f>IF(ISBLANK('Data Entry'!$c$659), "", 'Data Entry'!$c$659)</f>
      </c>
      <c r="AJ659">
        <f>IF(ISBLANK('Data Entry'!$d$659), "", 'Data Entry'!$d$659)</f>
      </c>
      <c r="AK659">
        <f>IF(ISBLANK('Data Entry'!$e$659), "", 'Data Entry'!$e$659)</f>
      </c>
      <c r="AL659">
        <f>IF(ISBLANK('Data Entry'!$f$659), "", 'Data Entry'!$f$659)</f>
      </c>
      <c r="AM659">
        <f>IF(ISBLANK('Data Entry'!$g$659), "", 'Data Entry'!$g$659)</f>
      </c>
      <c r="AN659">
        <f>IF(ISBLANK('Data Entry'!$h$659), "", 'Data Entry'!$h$659)</f>
      </c>
      <c r="AO659">
        <f>IF(ISBLANK('Data Entry'!$i$659), "", 'Data Entry'!$i$659)</f>
      </c>
      <c r="AP659">
        <f>IF(ISBLANK('Data Entry'!$j$659), "", 'Data Entry'!$j$659)</f>
      </c>
      <c r="AQ659">
        <f>IF(ISBLANK('Data Entry'!$k$659), "", 'Data Entry'!$k$659)</f>
      </c>
      <c r="AR659">
        <f>IF(ISBLANK('Data Entry'!$l$659), "", 'Data Entry'!$l$659)</f>
      </c>
      <c r="AS659">
        <f>IF(ISBLANK('Data Entry'!$m$659), "", 'Data Entry'!$m$659)</f>
      </c>
      <c r="AT659">
        <f>IF(ISBLANK('Data Entry'!$n$659), "", 'Data Entry'!$n$659)</f>
      </c>
      <c r="AU659">
        <f>IF(ISBLANK('Data Entry'!$o$659), "", 'Data Entry'!$o$659)</f>
      </c>
      <c r="AV659">
        <f>IF(ISBLANK('Data Entry'!$p$659), "", 'Data Entry'!$p$659)</f>
      </c>
      <c r="AW659">
        <f>IF(ISBLANK('Data Entry'!$q$659), "", 'Data Entry'!$q$659)</f>
      </c>
      <c r="AX659">
        <f>IF(ISBLANK('Data Entry'!$r$659), "", 'Data Entry'!$r$659)</f>
      </c>
      <c r="AY659">
        <f>IF(ISBLANK('Data Entry'!$s$659), "", 'Data Entry'!$s$659)</f>
      </c>
      <c r="AZ659">
        <f>IF(ISBLANK('Data Entry'!$t$659), "", 'Data Entry'!$t$659)</f>
      </c>
      <c r="BA659">
        <f>IF(ISBLANK('Data Entry'!$u$659), "", 'Data Entry'!$u$659)</f>
      </c>
      <c r="BB659">
        <f>IF(ISBLANK('Data Entry'!$v$659), "", 'Data Entry'!$v$659)</f>
      </c>
      <c r="BC659">
        <f>IF(ISBLANK('Data Entry'!$w$659), "", 'Data Entry'!$w$659)</f>
      </c>
      <c r="BD659">
        <f>IF(ISBLANK('Data Entry'!$x$659), "", 'Data Entry'!$x$659)</f>
      </c>
      <c r="BE659">
        <f>IF(ISBLANK('Data Entry'!$y$659), "", 'Data Entry'!$y$659)</f>
      </c>
      <c r="BF659">
        <f>IF(ISBLANK('Data Entry'!$z$659), "", 'Data Entry'!$z$659)</f>
      </c>
      <c r="BG659">
        <f>IF(ISBLANK('Data Entry'!${$659), "", 'Data Entry'!${$659)</f>
      </c>
      <c r="BH659">
        <f>IF(ISBLANK('Data Entry'!$|$659), "", 'Data Entry'!$|$659)</f>
      </c>
      <c r="BI659">
        <f>IF(ISBLANK('Data Entry'!$}$659), "", 'Data Entry'!$}$659)</f>
      </c>
      <c r="BJ659">
        <f>IF(ISBLANK('Data Entry'!$~$659), "", 'Data Entry'!$~$659)</f>
      </c>
      <c r="BK659">
        <f>IF(ISBLANK('Data Entry'!$$659), "", 'Data Entry'!$$659)</f>
      </c>
      <c r="BL659">
        <f>IF(ISBLANK('Data Entry'!$$659), "", 'Data Entry'!$$659)</f>
      </c>
      <c r="BM659">
        <f>IF(ISBLANK('Data Entry'!$$659), "", 'Data Entry'!$$659)</f>
      </c>
      <c r="BN659">
        <f>IF(ISBLANK('Data Entry'!$$659), "", 'Data Entry'!$$659)</f>
      </c>
      <c r="BO659">
        <f>IF(ISBLANK('Data Entry'!$$659), "", 'Data Entry'!$$659)</f>
      </c>
      <c r="BP659">
        <f>IF(ISBLANK('Data Entry'!$$659), "", 'Data Entry'!$$659)</f>
      </c>
      <c r="BQ659">
        <f>IF(ISBLANK('Data Entry'!$$659), "", 'Data Entry'!$$659)</f>
      </c>
      <c r="BR659">
        <f>IF(ISBLANK('Data Entry'!$$659), "", 'Data Entry'!$$659)</f>
      </c>
      <c r="BS659">
        <f>IF(ISBLANK('Data Entry'!$$659), "", 'Data Entry'!$$659)</f>
      </c>
      <c r="BT659">
        <f>IF(ISBLANK('Data Entry'!$$659), "", 'Data Entry'!$$659)</f>
      </c>
      <c r="BU659">
        <f>IF(ISBLANK('Data Entry'!$$659), "", 'Data Entry'!$$659)</f>
      </c>
      <c r="BV659">
        <f>IF(ISBLANK('Data Entry'!$$659), "", 'Data Entry'!$$659)</f>
      </c>
      <c r="BW659">
        <f>IF(ISBLANK('Data Entry'!$$659), "", 'Data Entry'!$$659)</f>
      </c>
      <c r="BX659">
        <f>IF(ISBLANK('Data Entry'!$$659), "", 'Data Entry'!$$659)</f>
      </c>
      <c r="BY659">
        <f>IF(ISBLANK('Data Entry'!$$659), "", 'Data Entry'!$$659)</f>
      </c>
      <c r="BZ659">
        <f>IF(ISBLANK('Data Entry'!$$659), "", 'Data Entry'!$$659)</f>
      </c>
      <c r="CA659">
        <f>IF(ISBLANK('Data Entry'!$$659), "", 'Data Entry'!$$659)</f>
      </c>
      <c r="CB659">
        <f>IF(ISBLANK('Data Entry'!$$659), "", 'Data Entry'!$$659)</f>
      </c>
      <c r="CC659">
        <f>IF(ISBLANK('Data Entry'!$$659), "", 'Data Entry'!$$659)</f>
      </c>
      <c r="CD659">
        <f>IF(ISBLANK('Data Entry'!$$659), "", 'Data Entry'!$$659)</f>
      </c>
      <c r="CE659">
        <f>IF(ISBLANK('Data Entry'!$$659), "", 'Data Entry'!$$659)</f>
      </c>
      <c r="CF659">
        <f>IF(ISBLANK('Data Entry'!$$659), "", 'Data Entry'!$$659)</f>
      </c>
      <c r="CG659">
        <f>IF(ISBLANK('Data Entry'!$$659), "", 'Data Entry'!$$659)</f>
      </c>
      <c r="CH659">
        <f>IF(ISBLANK('Data Entry'!$$659), "", 'Data Entry'!$$659)</f>
      </c>
      <c r="CI659">
        <f>IF(ISBLANK('Data Entry'!$$659), "", 'Data Entry'!$$659)</f>
      </c>
      <c r="CJ659">
        <f>IF(ISBLANK('Data Entry'!$$659), "", 'Data Entry'!$$659)</f>
      </c>
      <c r="CK659">
        <f>IF(ISBLANK('Data Entry'!$$659), "", 'Data Entry'!$$659)</f>
      </c>
      <c r="CL659">
        <f>IF(ISBLANK('Data Entry'!$$659), "", 'Data Entry'!$$659)</f>
      </c>
      <c r="CM659">
        <f>IF(ISBLANK('Data Entry'!$$659), "", 'Data Entry'!$$659)</f>
      </c>
      <c r="CN659">
        <f>IF(ISBLANK('Data Entry'!$$659), "", 'Data Entry'!$$659)</f>
      </c>
      <c r="CO659">
        <f>IF(ISBLANK('Data Entry'!$$659), "", 'Data Entry'!$$659)</f>
      </c>
      <c r="CP659">
        <f>IF(ISBLANK('Data Entry'!$$659), "", 'Data Entry'!$$659)</f>
      </c>
      <c r="CQ659">
        <f>IF(ISBLANK('Data Entry'!$$659), "", 'Data Entry'!$$659)</f>
      </c>
      <c r="CR659">
        <f>IF(ISBLANK('Data Entry'!$ $659), "", 'Data Entry'!$ $659)</f>
      </c>
      <c r="CS659">
        <f>IF(ISBLANK('Data Entry'!$¡$659), "", 'Data Entry'!$¡$659)</f>
      </c>
      <c r="CT659">
        <f>IF(ISBLANK('Data Entry'!$¢$659), "", 'Data Entry'!$¢$659)</f>
      </c>
      <c r="CU659">
        <f>IF(ISBLANK('Data Entry'!$£$659), "", 'Data Entry'!$£$659)</f>
      </c>
      <c r="CV659">
        <f>IF(ISBLANK('Data Entry'!$¤$659), "", 'Data Entry'!$¤$659)</f>
      </c>
      <c r="CW659">
        <f>IF(ISBLANK('Data Entry'!$¥$659), "", 'Data Entry'!$¥$659)</f>
      </c>
      <c r="CX659">
        <f>IF(ISBLANK('Data Entry'!$¦$659), "", 'Data Entry'!$¦$659)</f>
      </c>
      <c r="CY659">
        <f>IF(ISBLANK('Data Entry'!$§$659), "", 'Data Entry'!$§$659)</f>
      </c>
      <c r="CZ659">
        <f>IF(ISBLANK('Data Entry'!$¨$659), "", 'Data Entry'!$¨$659)</f>
      </c>
      <c r="DA659">
        <f>IF(ISBLANK('Data Entry'!$©$659), "", 'Data Entry'!$©$659)</f>
      </c>
      <c r="DB659">
        <f>IF(ISBLANK('Data Entry'!$ª$659), "", 'Data Entry'!$ª$659)</f>
      </c>
      <c r="DC659">
        <f>IF(ISBLANK('Data Entry'!$«$659), "", 'Data Entry'!$«$659)</f>
      </c>
      <c r="DD659">
        <f>IF(ISBLANK('Data Entry'!$¬$659), "", 'Data Entry'!$¬$659)</f>
      </c>
      <c r="DE659">
        <f>IF(ISBLANK('Data Entry'!$­$659), "", 'Data Entry'!$­$659)</f>
      </c>
      <c r="DF659">
        <f>IF(ISBLANK('Data Entry'!$®$659), "", 'Data Entry'!$®$659)</f>
      </c>
      <c r="DG659">
        <f>IF(ISBLANK('Data Entry'!$¯$659), "", 'Data Entry'!$¯$659)</f>
      </c>
      <c r="DH659">
        <f>IF(ISBLANK('Data Entry'!$°$659), "", 'Data Entry'!$°$659)</f>
      </c>
      <c r="DI659">
        <f>IF(ISBLANK('Data Entry'!$±$659), "", 'Data Entry'!$±$659)</f>
      </c>
      <c r="DJ659">
        <f>IF(ISBLANK('Data Entry'!$²$659), "", 'Data Entry'!$²$659)</f>
      </c>
      <c r="DK659">
        <f>IF(ISBLANK('Data Entry'!$³$659), "", 'Data Entry'!$³$659)</f>
      </c>
      <c r="DL659">
        <f>IF(ISBLANK('Data Entry'!$´$659), "", 'Data Entry'!$´$659)</f>
      </c>
      <c r="DM659">
        <f>IF(ISBLANK('Data Entry'!$µ$659), "", 'Data Entry'!$µ$659)</f>
      </c>
      <c r="DN659">
        <f>IF(ISBLANK('Data Entry'!$¶$659), "", 'Data Entry'!$¶$659)</f>
      </c>
      <c r="DO659">
        <f>IF(ISBLANK('Data Entry'!$·$659), "", 'Data Entry'!$·$659)</f>
      </c>
      <c r="DP659">
        <f>IF(ISBLANK('Data Entry'!$¸$659), "", 'Data Entry'!$¸$659)</f>
      </c>
      <c r="DQ659">
        <f>IF(ISBLANK('Data Entry'!$¹$659), "", 'Data Entry'!$¹$659)</f>
      </c>
      <c r="DR659">
        <f>IF(ISBLANK('Data Entry'!$º$659), "", 'Data Entry'!$º$659)</f>
      </c>
      <c r="DS659">
        <f>IF(ISBLANK('Data Entry'!$»$659), "", 'Data Entry'!$»$659)</f>
      </c>
      <c r="DT659">
        <f>IF(ISBLANK('Data Entry'!$¼$659), "", 'Data Entry'!$¼$659)</f>
      </c>
      <c r="DU659">
        <f>IF(ISBLANK('Data Entry'!$½$659), "", 'Data Entry'!$½$659)</f>
      </c>
      <c r="DV659">
        <f>IF(ISBLANK('Data Entry'!$¾$659), "", 'Data Entry'!$¾$659)</f>
      </c>
      <c r="DW659">
        <f>IF(ISBLANK('Data Entry'!$¿$659), "", 'Data Entry'!$¿$659)</f>
      </c>
      <c r="DX659">
        <f>IF(ISBLANK('Data Entry'!$À$659), "", 'Data Entry'!$À$659)</f>
      </c>
      <c r="DY659">
        <f>IF(ISBLANK('Data Entry'!$Á$659), "", 'Data Entry'!$Á$659)</f>
      </c>
      <c r="DZ659">
        <f>IF(ISBLANK('Data Entry'!$Â$659), "", 'Data Entry'!$Â$659)</f>
      </c>
      <c r="EA659">
        <f>IF(ISBLANK('Data Entry'!$Ã$659), "", 'Data Entry'!$Ã$659)</f>
      </c>
      <c r="EB659">
        <f>IF(ISBLANK('Data Entry'!$Ä$659), "", 'Data Entry'!$Ä$659)</f>
      </c>
      <c r="EC659">
        <f>IF(ISBLANK('Data Entry'!$Å$659), "", 'Data Entry'!$Å$659)</f>
      </c>
      <c r="ED659">
        <f>IF(ISBLANK('Data Entry'!$Æ$659), "", 'Data Entry'!$Æ$659)</f>
      </c>
      <c r="EE659">
        <f>IF(ISBLANK('Data Entry'!$Ç$659), "", 'Data Entry'!$Ç$659)</f>
      </c>
      <c r="EF659">
        <f>IF(ISBLANK('Data Entry'!$È$659), "", 'Data Entry'!$È$659)</f>
      </c>
      <c r="EG659">
        <f>IF(ISBLANK('Data Entry'!$É$659), "", 'Data Entry'!$É$659)</f>
      </c>
      <c r="EH659">
        <f>IF(ISBLANK('Data Entry'!$Ê$659), "", 'Data Entry'!$Ê$659)</f>
      </c>
      <c r="EI659">
        <f>IF(ISBLANK('Data Entry'!$Ë$659), "", 'Data Entry'!$Ë$659)</f>
      </c>
      <c r="EJ659">
        <f>IF(ISBLANK('Data Entry'!$Ì$659), "", 'Data Entry'!$Ì$659)</f>
      </c>
      <c r="EK659">
        <f>IF(ISBLANK('Data Entry'!$Í$659), "", 'Data Entry'!$Í$659)</f>
      </c>
      <c r="EL659">
        <f>IF(ISBLANK('Data Entry'!$Î$659), "", 'Data Entry'!$Î$659)</f>
      </c>
      <c r="EM659">
        <f>IF(ISBLANK('Data Entry'!$Ï$659), "", 'Data Entry'!$Ï$659)</f>
      </c>
      <c r="EN659">
        <f>IF(ISBLANK('Data Entry'!$Ð$659), "", 'Data Entry'!$Ð$659)</f>
      </c>
      <c r="EO659">
        <f>IF(ISBLANK('Data Entry'!$Ñ$659), "", 'Data Entry'!$Ñ$659)</f>
      </c>
      <c r="EP659">
        <f>IF(ISBLANK('Data Entry'!$Ò$659), "", 'Data Entry'!$Ò$659)</f>
      </c>
      <c r="EQ659">
        <f>IF(ISBLANK('Data Entry'!$Ó$659), "", 'Data Entry'!$Ó$659)</f>
      </c>
      <c r="ER659">
        <f>IF(ISBLANK('Data Entry'!$Ô$659), "", 'Data Entry'!$Ô$659)</f>
      </c>
      <c r="ES659">
        <f>IF(ISBLANK('Data Entry'!$Õ$659), "", 'Data Entry'!$Õ$659)</f>
      </c>
      <c r="ET659">
        <f>IF(ISBLANK('Data Entry'!$Ö$659), "", 'Data Entry'!$Ö$659)</f>
      </c>
      <c r="EU659">
        <f>IF(ISBLANK('Data Entry'!$×$659), "", 'Data Entry'!$×$659)</f>
      </c>
      <c r="EV659">
        <f>IF(ISBLANK('Data Entry'!$Ø$659), "", 'Data Entry'!$Ø$659)</f>
      </c>
      <c r="EW659">
        <f>IF(ISBLANK('Data Entry'!$Ù$659), "", 'Data Entry'!$Ù$659)</f>
      </c>
      <c r="EX659">
        <f>IF(ISBLANK('Data Entry'!$Ú$659), "", 'Data Entry'!$Ú$659)</f>
      </c>
      <c r="EY659">
        <f>IF(ISBLANK('Data Entry'!$Û$659), "", 'Data Entry'!$Û$659)</f>
      </c>
      <c r="EZ659">
        <f>IF(ISBLANK('Data Entry'!$Ü$659), "", 'Data Entry'!$Ü$659)</f>
      </c>
      <c r="FA659">
        <f>IF(ISBLANK('Data Entry'!$Ý$659), "", 'Data Entry'!$Ý$659)</f>
      </c>
      <c r="FB659">
        <f>IF(ISBLANK('Data Entry'!$Þ$659), "", 'Data Entry'!$Þ$659)</f>
      </c>
      <c r="FC659">
        <f>IF(ISBLANK('Data Entry'!$ß$659), "", 'Data Entry'!$ß$659)</f>
      </c>
      <c r="FD659">
        <f>IF(ISBLANK('Data Entry'!$à$659), "", 'Data Entry'!$à$659)</f>
      </c>
      <c r="FE659">
        <f>IF(ISBLANK('Data Entry'!$á$659), "", 'Data Entry'!$á$659)</f>
      </c>
      <c r="FF659">
        <f>IF(ISBLANK('Data Entry'!$â$659), "", 'Data Entry'!$â$659)</f>
      </c>
      <c r="FG659">
        <f>IF(ISBLANK('Data Entry'!$ã$659), "", 'Data Entry'!$ã$659)</f>
      </c>
      <c r="FH659">
        <f>IF(ISBLANK('Data Entry'!$ä$659), "", 'Data Entry'!$ä$659)</f>
      </c>
      <c r="FI659">
        <f>IF(ISBLANK('Data Entry'!$å$659), "", 'Data Entry'!$å$659)</f>
      </c>
      <c r="FJ659">
        <f>IF(ISBLANK('Data Entry'!$æ$659), "", 'Data Entry'!$æ$659)</f>
      </c>
      <c r="FK659">
        <f>IF(ISBLANK('Data Entry'!$ç$659), "", 'Data Entry'!$ç$659)</f>
      </c>
      <c r="FL659">
        <f>IF(ISBLANK('Data Entry'!$è$659), "", 'Data Entry'!$è$659)</f>
      </c>
      <c r="FM659">
        <f>IF(ISBLANK('Data Entry'!$é$659), "", 'Data Entry'!$é$659)</f>
      </c>
      <c r="FN659">
        <f>IF(ISBLANK('Data Entry'!$ê$659), "", 'Data Entry'!$ê$659)</f>
      </c>
      <c r="FO659">
        <f>IF(ISBLANK('Data Entry'!$ë$659), "", 'Data Entry'!$ë$659)</f>
      </c>
      <c r="FP659">
        <f>IF(ISBLANK('Data Entry'!$ì$659), "", 'Data Entry'!$ì$659)</f>
      </c>
      <c r="FQ659">
        <f>IF(ISBLANK('Data Entry'!$í$659), "", 'Data Entry'!$í$659)</f>
      </c>
      <c r="FR659">
        <f>IF(ISBLANK('Data Entry'!$î$659), "", 'Data Entry'!$î$659)</f>
      </c>
      <c r="FS659">
        <f>IF(ISBLANK('Data Entry'!$ï$659), "", 'Data Entry'!$ï$659)</f>
      </c>
      <c r="FT659">
        <f>IF(ISBLANK('Data Entry'!$ð$659), "", 'Data Entry'!$ð$659)</f>
      </c>
      <c r="FU659">
        <f>IF(ISBLANK('Data Entry'!$ñ$659), "", 'Data Entry'!$ñ$659)</f>
      </c>
      <c r="FV659">
        <f>IF(ISBLANK('Data Entry'!$ò$659), "", 'Data Entry'!$ò$659)</f>
      </c>
      <c r="FW659">
        <f>IF(ISBLANK('Data Entry'!$ó$659), "", 'Data Entry'!$ó$659)</f>
      </c>
      <c r="FX659">
        <f>IF(ISBLANK('Data Entry'!$ô$659), "", 'Data Entry'!$ô$659)</f>
      </c>
      <c r="FY659">
        <f>IF(ISBLANK('Data Entry'!$õ$659), "", 'Data Entry'!$õ$659)</f>
      </c>
      <c r="FZ659">
        <f>IF(ISBLANK('Data Entry'!$ö$659), "", 'Data Entry'!$ö$659)</f>
      </c>
      <c r="GA659">
        <f>IF(ISBLANK('Data Entry'!$÷$659), "", 'Data Entry'!$÷$659)</f>
      </c>
      <c r="GB659">
        <f>IF(ISBLANK('Data Entry'!$ø$659), "", 'Data Entry'!$ø$659)</f>
      </c>
      <c r="GC659">
        <f>IF(ISBLANK('Data Entry'!$ù$659), "", 'Data Entry'!$ù$659)</f>
      </c>
      <c r="GD659">
        <f>IF(ISBLANK('Data Entry'!$ú$659), "", 'Data Entry'!$ú$659)</f>
      </c>
      <c r="GE659">
        <f>IF(ISBLANK('Data Entry'!$û$659), "", 'Data Entry'!$û$659)</f>
      </c>
      <c r="GF659">
        <f>IF(ISBLANK('Data Entry'!$ü$659), "", 'Data Entry'!$ü$659)</f>
      </c>
      <c r="GG659">
        <f>IF(ISBLANK('Data Entry'!$ý$659), "", 'Data Entry'!$ý$659)</f>
      </c>
      <c r="GH659">
        <f>IF(ISBLANK('Data Entry'!$þ$659), "", 'Data Entry'!$þ$659)</f>
      </c>
      <c r="GI659">
        <f>IF(ISBLANK('Data Entry'!$ÿ$659), "", 'Data Entry'!$ÿ$659)</f>
      </c>
      <c r="GJ659">
        <f>IF(ISBLANK('Data Entry'!$Ā$659), "", 'Data Entry'!$Ā$659)</f>
      </c>
      <c r="GK659">
        <f>IF(ISBLANK('Data Entry'!$ā$659), "", 'Data Entry'!$ā$659)</f>
      </c>
      <c r="GL659">
        <f>IF(ISBLANK('Data Entry'!$Ă$659), "", 'Data Entry'!$Ă$659)</f>
      </c>
      <c r="GM659">
        <f>IF(ISBLANK('Data Entry'!$ă$659), "", 'Data Entry'!$ă$659)</f>
      </c>
      <c r="GN659">
        <f>IF(ISBLANK('Data Entry'!$Ą$659), "", 'Data Entry'!$Ą$659)</f>
      </c>
      <c r="GO659">
        <f>IF(ISBLANK('Data Entry'!$ą$659), "", 'Data Entry'!$ą$659)</f>
      </c>
      <c r="GP659">
        <f>IF(ISBLANK('Data Entry'!$Ć$659), "", 'Data Entry'!$Ć$659)</f>
      </c>
      <c r="GQ659">
        <f>IF(ISBLANK('Data Entry'!$ć$659), "", 'Data Entry'!$ć$659)</f>
      </c>
      <c r="GR659">
        <f>IF(ISBLANK('Data Entry'!$Ĉ$659), "", 'Data Entry'!$Ĉ$659)</f>
      </c>
      <c r="GS659">
        <f>IF(ISBLANK('Data Entry'!$ĉ$659), "", 'Data Entry'!$ĉ$659)</f>
      </c>
      <c r="GT659">
        <f>IF(ISBLANK('Data Entry'!$Ċ$659), "", 'Data Entry'!$Ċ$659)</f>
      </c>
      <c r="GU659">
        <f>IF(ISBLANK('Data Entry'!$ċ$659), "", 'Data Entry'!$ċ$659)</f>
      </c>
      <c r="GV659">
        <f>IF(ISBLANK('Data Entry'!$Č$659), "", 'Data Entry'!$Č$659)</f>
      </c>
      <c r="GW659">
        <f>IF(ISBLANK('Data Entry'!$č$659), "", 'Data Entry'!$č$659)</f>
      </c>
      <c r="GX659">
        <f>IF(ISBLANK('Data Entry'!$Ď$659), "", 'Data Entry'!$Ď$659)</f>
      </c>
      <c r="GY659">
        <f>IF(ISBLANK('Data Entry'!$ď$659), "", 'Data Entry'!$ď$659)</f>
      </c>
      <c r="GZ659">
        <f>IF(ISBLANK('Data Entry'!$Đ$659), "", 'Data Entry'!$Đ$659)</f>
      </c>
      <c r="HA659">
        <f>IF(ISBLANK('Data Entry'!$đ$659), "", 'Data Entry'!$đ$659)</f>
      </c>
      <c r="HB659">
        <f>IF(ISBLANK('Data Entry'!$Ē$659), "", 'Data Entry'!$Ē$659)</f>
      </c>
      <c r="HC659">
        <f>IF(ISBLANK('Data Entry'!$ē$659), "", 'Data Entry'!$ē$659)</f>
      </c>
      <c r="HD659">
        <f>IF(ISBLANK('Data Entry'!$Ĕ$659), "", 'Data Entry'!$Ĕ$659)</f>
      </c>
      <c r="HE659">
        <f>IF(ISBLANK('Data Entry'!$ĕ$659), "", 'Data Entry'!$ĕ$659)</f>
      </c>
      <c r="HF659">
        <f>IF(ISBLANK('Data Entry'!$Ė$659), "", 'Data Entry'!$Ė$659)</f>
      </c>
      <c r="HG659">
        <f>IF(ISBLANK('Data Entry'!$ė$659), "", 'Data Entry'!$ė$659)</f>
      </c>
      <c r="HH659">
        <f>IF(ISBLANK('Data Entry'!$Ę$659), "", 'Data Entry'!$Ę$659)</f>
      </c>
      <c r="HI659">
        <f>IF(ISBLANK('Data Entry'!$ę$659), "", 'Data Entry'!$ę$659)</f>
      </c>
      <c r="HJ659">
        <f>IF(ISBLANK('Data Entry'!$Ě$659), "", 'Data Entry'!$Ě$659)</f>
      </c>
      <c r="HK659">
        <f>IF(ISBLANK('Data Entry'!$ě$659), "", 'Data Entry'!$ě$659)</f>
      </c>
      <c r="HL659">
        <f>IF(ISBLANK('Data Entry'!$Ĝ$659), "", 'Data Entry'!$Ĝ$659)</f>
      </c>
      <c r="HM659">
        <f>IF(ISBLANK('Data Entry'!$ĝ$659), "", 'Data Entry'!$ĝ$659)</f>
      </c>
      <c r="HN659">
        <f>IF(ISBLANK('Data Entry'!$Ğ$659), "", 'Data Entry'!$Ğ$659)</f>
      </c>
      <c r="HO659">
        <f>IF(ISBLANK('Data Entry'!$ğ$659), "", 'Data Entry'!$ğ$659)</f>
      </c>
      <c r="HP659">
        <f>IF(ISBLANK('Data Entry'!$Ġ$659), "", 'Data Entry'!$Ġ$659)</f>
      </c>
      <c r="HQ659">
        <f>IF(ISBLANK('Data Entry'!$ġ$659), "", 'Data Entry'!$ġ$659)</f>
      </c>
      <c r="HR659">
        <f>IF(ISBLANK('Data Entry'!$Ģ$659), "", 'Data Entry'!$Ģ$659)</f>
      </c>
      <c r="HS659">
        <f>IF(ISBLANK('Data Entry'!$ģ$659), "", 'Data Entry'!$ģ$659)</f>
      </c>
      <c r="HT659">
        <f>IF(ISBLANK('Data Entry'!$Ĥ$659), "", 'Data Entry'!$Ĥ$659)</f>
      </c>
      <c r="HU659">
        <f>IF(ISBLANK('Data Entry'!$ĥ$659), "", 'Data Entry'!$ĥ$659)</f>
      </c>
      <c r="HV659">
        <f>IF(ISBLANK('Data Entry'!$Ħ$659), "", 'Data Entry'!$Ħ$659)</f>
      </c>
      <c r="HW659">
        <f>IF(ISBLANK('Data Entry'!$ħ$659), "", 'Data Entry'!$ħ$659)</f>
      </c>
      <c r="HX659">
        <f>IF(ISBLANK('Data Entry'!$Ĩ$659), "", 'Data Entry'!$Ĩ$659)</f>
      </c>
      <c r="HY659">
        <f>IF(ISBLANK('Data Entry'!$ĩ$659), "", 'Data Entry'!$ĩ$659)</f>
      </c>
      <c r="HZ659">
        <f>IF(ISBLANK('Data Entry'!$Ī$659), "", 'Data Entry'!$Ī$659)</f>
      </c>
      <c r="IA659">
        <f>IF(ISBLANK('Data Entry'!$ī$659), "", 'Data Entry'!$ī$659)</f>
      </c>
      <c r="IB659">
        <f>IF(ISBLANK('Data Entry'!$Ĭ$659), "", 'Data Entry'!$Ĭ$659)</f>
      </c>
      <c r="IC659">
        <f>IF(ISBLANK('Data Entry'!$ĭ$659), "", 'Data Entry'!$ĭ$659)</f>
      </c>
      <c r="ID659">
        <f>IF(ISBLANK('Data Entry'!$Į$659), "", 'Data Entry'!$Į$659)</f>
      </c>
      <c r="IE659">
        <f>IF(ISBLANK('Data Entry'!$į$659), "", 'Data Entry'!$į$659)</f>
      </c>
      <c r="IF659">
        <f>IF(ISBLANK('Data Entry'!$İ$659), "", 'Data Entry'!$İ$659)</f>
      </c>
      <c r="IG659">
        <f>IF(ISBLANK('Data Entry'!$ı$659), "", 'Data Entry'!$ı$659)</f>
      </c>
      <c r="IH659">
        <f>IF(ISBLANK('Data Entry'!$Ĳ$659), "", 'Data Entry'!$Ĳ$659)</f>
      </c>
      <c r="II659">
        <f>IF(ISBLANK('Data Entry'!$ĳ$659), "", 'Data Entry'!$ĳ$659)</f>
      </c>
      <c r="IJ659">
        <f>IF(ISBLANK('Data Entry'!$Ĵ$659), "", 'Data Entry'!$Ĵ$659)</f>
      </c>
      <c r="IK659">
        <f>IF(ISBLANK('Data Entry'!$ĵ$659), "", 'Data Entry'!$ĵ$659)</f>
      </c>
      <c r="IL659">
        <f>IF(ISBLANK('Data Entry'!$Ķ$659), "", 'Data Entry'!$Ķ$659)</f>
      </c>
      <c r="IM659">
        <f>IF(ISBLANK('Data Entry'!$ķ$659), "", 'Data Entry'!$ķ$659)</f>
      </c>
      <c r="IN659">
        <f>IF(ISBLANK('Data Entry'!$ĸ$659), "", 'Data Entry'!$ĸ$659)</f>
      </c>
      <c r="IO659">
        <f>IF(ISBLANK('Data Entry'!$Ĺ$659), "", 'Data Entry'!$Ĺ$659)</f>
      </c>
      <c r="IP659">
        <f>IF(ISBLANK('Data Entry'!$ĺ$659), "", 'Data Entry'!$ĺ$659)</f>
      </c>
      <c r="IQ659">
        <f>IF(ISBLANK('Data Entry'!$Ļ$659), "", 'Data Entry'!$Ļ$659)</f>
      </c>
      <c r="IR659">
        <f>IF(ISBLANK('Data Entry'!$ļ$659), "", 'Data Entry'!$ļ$659)</f>
      </c>
      <c r="IS659">
        <f>IF(ISBLANK('Data Entry'!$Ľ$659), "", 'Data Entry'!$Ľ$659)</f>
      </c>
      <c r="IT659">
        <f>IF(ISBLANK('Data Entry'!$ľ$659), "", 'Data Entry'!$ľ$659)</f>
      </c>
    </row>
    <row r="660" spans="1:254" x14ac:dyDescent="0.25">
      <c r="A660">
        <f>IF(ISBLANK('Data Entry'!$A$660), "", 'Data Entry'!$A$660)</f>
      </c>
      <c r="B660">
        <f>IF(ISBLANK('Data Entry'!$B$660), "", 'Data Entry'!$B$660)</f>
      </c>
      <c r="C660">
        <f>IF(ISBLANK('Data Entry'!$C$660), "", 'Data Entry'!$C$660)</f>
      </c>
      <c r="D660">
        <f>IF(ISBLANK('Data Entry'!$D$660), "", 'Data Entry'!$D$660)</f>
      </c>
      <c r="E660">
        <f>IF(ISBLANK('Data Entry'!$E$660), "", 'Data Entry'!$E$660)</f>
      </c>
      <c r="F660">
        <f>IF(ISBLANK('Data Entry'!$F$660), "", 'Data Entry'!$F$660)</f>
      </c>
      <c r="G660">
        <f>IF(ISBLANK('Data Entry'!$G$660), "", 'Data Entry'!$G$660)</f>
      </c>
      <c r="H660">
        <f>IF(ISBLANK('Data Entry'!$H$660), "", 'Data Entry'!$H$660)</f>
      </c>
      <c r="I660">
        <f>IF(ISBLANK('Data Entry'!$I$660), "", 'Data Entry'!$I$660)</f>
      </c>
      <c r="J660">
        <f>IF(ISBLANK('Data Entry'!$J$660), "", 'Data Entry'!$J$660)</f>
      </c>
      <c r="K660">
        <f>IF(ISBLANK('Data Entry'!$K$660), "", 'Data Entry'!$K$660)</f>
      </c>
      <c r="L660">
        <f>IF(ISBLANK('Data Entry'!$L$660), "", 'Data Entry'!$L$660)</f>
      </c>
      <c r="M660">
        <f>IF(ISBLANK('Data Entry'!$M$660), "", 'Data Entry'!$M$660)</f>
      </c>
      <c r="N660">
        <f>IF(ISBLANK('Data Entry'!$N$660), "", 'Data Entry'!$N$660)</f>
      </c>
      <c r="O660">
        <f>IF(ISBLANK('Data Entry'!$O$660), "", 'Data Entry'!$O$660)</f>
      </c>
      <c r="P660">
        <f>IF(ISBLANK('Data Entry'!$P$660), "", 'Data Entry'!$P$660)</f>
      </c>
      <c r="Q660">
        <f>IF(ISBLANK('Data Entry'!$Q$660), "", 'Data Entry'!$Q$660)</f>
      </c>
      <c r="R660">
        <f>IF(ISBLANK('Data Entry'!$R$660), "", 'Data Entry'!$R$660)</f>
      </c>
      <c r="S660">
        <f>IF(ISBLANK('Data Entry'!$S$660), "", 'Data Entry'!$S$660)</f>
      </c>
      <c r="T660">
        <f>IF(ISBLANK('Data Entry'!$T$660), "", 'Data Entry'!$T$660)</f>
      </c>
      <c r="U660">
        <f>IF(ISBLANK('Data Entry'!$U$660), "", 'Data Entry'!$U$660)</f>
      </c>
      <c r="V660">
        <f>IF(ISBLANK('Data Entry'!$V$660), "", 'Data Entry'!$V$660)</f>
      </c>
      <c r="W660">
        <f>IF(ISBLANK('Data Entry'!$W$660), "", 'Data Entry'!$W$660)</f>
      </c>
      <c r="X660">
        <f>IF(ISBLANK('Data Entry'!$X$660), "", 'Data Entry'!$X$660)</f>
      </c>
      <c r="Y660">
        <f>IF(ISBLANK('Data Entry'!$Y$660), "", 'Data Entry'!$Y$660)</f>
      </c>
      <c r="Z660">
        <f>IF(ISBLANK('Data Entry'!$Z$660), "", 'Data Entry'!$Z$660)</f>
      </c>
      <c r="AA660">
        <f>IF(ISBLANK('Data Entry'!$[$660), "", 'Data Entry'!$[$660)</f>
      </c>
      <c r="AB660">
        <f>IF(ISBLANK('Data Entry'!$\$660), "", 'Data Entry'!$\$660)</f>
      </c>
      <c r="AC660">
        <f>IF(ISBLANK('Data Entry'!$]$660), "", 'Data Entry'!$]$660)</f>
      </c>
      <c r="AD660">
        <f>IF(ISBLANK('Data Entry'!$^$660), "", 'Data Entry'!$^$660)</f>
      </c>
      <c r="AE660">
        <f>IF(ISBLANK('Data Entry'!$_$660), "", 'Data Entry'!$_$660)</f>
      </c>
      <c r="AF660">
        <f>IF(ISBLANK('Data Entry'!$`$660), "", 'Data Entry'!$`$660)</f>
      </c>
      <c r="AG660">
        <f>IF(ISBLANK('Data Entry'!$a$660), "", 'Data Entry'!$a$660)</f>
      </c>
      <c r="AH660">
        <f>IF(ISBLANK('Data Entry'!$b$660), "", 'Data Entry'!$b$660)</f>
      </c>
      <c r="AI660">
        <f>IF(ISBLANK('Data Entry'!$c$660), "", 'Data Entry'!$c$660)</f>
      </c>
      <c r="AJ660">
        <f>IF(ISBLANK('Data Entry'!$d$660), "", 'Data Entry'!$d$660)</f>
      </c>
      <c r="AK660">
        <f>IF(ISBLANK('Data Entry'!$e$660), "", 'Data Entry'!$e$660)</f>
      </c>
      <c r="AL660">
        <f>IF(ISBLANK('Data Entry'!$f$660), "", 'Data Entry'!$f$660)</f>
      </c>
      <c r="AM660">
        <f>IF(ISBLANK('Data Entry'!$g$660), "", 'Data Entry'!$g$660)</f>
      </c>
      <c r="AN660">
        <f>IF(ISBLANK('Data Entry'!$h$660), "", 'Data Entry'!$h$660)</f>
      </c>
      <c r="AO660">
        <f>IF(ISBLANK('Data Entry'!$i$660), "", 'Data Entry'!$i$660)</f>
      </c>
      <c r="AP660">
        <f>IF(ISBLANK('Data Entry'!$j$660), "", 'Data Entry'!$j$660)</f>
      </c>
      <c r="AQ660">
        <f>IF(ISBLANK('Data Entry'!$k$660), "", 'Data Entry'!$k$660)</f>
      </c>
      <c r="AR660">
        <f>IF(ISBLANK('Data Entry'!$l$660), "", 'Data Entry'!$l$660)</f>
      </c>
      <c r="AS660">
        <f>IF(ISBLANK('Data Entry'!$m$660), "", 'Data Entry'!$m$660)</f>
      </c>
      <c r="AT660">
        <f>IF(ISBLANK('Data Entry'!$n$660), "", 'Data Entry'!$n$660)</f>
      </c>
      <c r="AU660">
        <f>IF(ISBLANK('Data Entry'!$o$660), "", 'Data Entry'!$o$660)</f>
      </c>
      <c r="AV660">
        <f>IF(ISBLANK('Data Entry'!$p$660), "", 'Data Entry'!$p$660)</f>
      </c>
      <c r="AW660">
        <f>IF(ISBLANK('Data Entry'!$q$660), "", 'Data Entry'!$q$660)</f>
      </c>
      <c r="AX660">
        <f>IF(ISBLANK('Data Entry'!$r$660), "", 'Data Entry'!$r$660)</f>
      </c>
      <c r="AY660">
        <f>IF(ISBLANK('Data Entry'!$s$660), "", 'Data Entry'!$s$660)</f>
      </c>
      <c r="AZ660">
        <f>IF(ISBLANK('Data Entry'!$t$660), "", 'Data Entry'!$t$660)</f>
      </c>
      <c r="BA660">
        <f>IF(ISBLANK('Data Entry'!$u$660), "", 'Data Entry'!$u$660)</f>
      </c>
      <c r="BB660">
        <f>IF(ISBLANK('Data Entry'!$v$660), "", 'Data Entry'!$v$660)</f>
      </c>
      <c r="BC660">
        <f>IF(ISBLANK('Data Entry'!$w$660), "", 'Data Entry'!$w$660)</f>
      </c>
      <c r="BD660">
        <f>IF(ISBLANK('Data Entry'!$x$660), "", 'Data Entry'!$x$660)</f>
      </c>
      <c r="BE660">
        <f>IF(ISBLANK('Data Entry'!$y$660), "", 'Data Entry'!$y$660)</f>
      </c>
      <c r="BF660">
        <f>IF(ISBLANK('Data Entry'!$z$660), "", 'Data Entry'!$z$660)</f>
      </c>
      <c r="BG660">
        <f>IF(ISBLANK('Data Entry'!${$660), "", 'Data Entry'!${$660)</f>
      </c>
      <c r="BH660">
        <f>IF(ISBLANK('Data Entry'!$|$660), "", 'Data Entry'!$|$660)</f>
      </c>
      <c r="BI660">
        <f>IF(ISBLANK('Data Entry'!$}$660), "", 'Data Entry'!$}$660)</f>
      </c>
      <c r="BJ660">
        <f>IF(ISBLANK('Data Entry'!$~$660), "", 'Data Entry'!$~$660)</f>
      </c>
      <c r="BK660">
        <f>IF(ISBLANK('Data Entry'!$$660), "", 'Data Entry'!$$660)</f>
      </c>
      <c r="BL660">
        <f>IF(ISBLANK('Data Entry'!$$660), "", 'Data Entry'!$$660)</f>
      </c>
      <c r="BM660">
        <f>IF(ISBLANK('Data Entry'!$$660), "", 'Data Entry'!$$660)</f>
      </c>
      <c r="BN660">
        <f>IF(ISBLANK('Data Entry'!$$660), "", 'Data Entry'!$$660)</f>
      </c>
      <c r="BO660">
        <f>IF(ISBLANK('Data Entry'!$$660), "", 'Data Entry'!$$660)</f>
      </c>
      <c r="BP660">
        <f>IF(ISBLANK('Data Entry'!$$660), "", 'Data Entry'!$$660)</f>
      </c>
      <c r="BQ660">
        <f>IF(ISBLANK('Data Entry'!$$660), "", 'Data Entry'!$$660)</f>
      </c>
      <c r="BR660">
        <f>IF(ISBLANK('Data Entry'!$$660), "", 'Data Entry'!$$660)</f>
      </c>
      <c r="BS660">
        <f>IF(ISBLANK('Data Entry'!$$660), "", 'Data Entry'!$$660)</f>
      </c>
      <c r="BT660">
        <f>IF(ISBLANK('Data Entry'!$$660), "", 'Data Entry'!$$660)</f>
      </c>
      <c r="BU660">
        <f>IF(ISBLANK('Data Entry'!$$660), "", 'Data Entry'!$$660)</f>
      </c>
      <c r="BV660">
        <f>IF(ISBLANK('Data Entry'!$$660), "", 'Data Entry'!$$660)</f>
      </c>
      <c r="BW660">
        <f>IF(ISBLANK('Data Entry'!$$660), "", 'Data Entry'!$$660)</f>
      </c>
      <c r="BX660">
        <f>IF(ISBLANK('Data Entry'!$$660), "", 'Data Entry'!$$660)</f>
      </c>
      <c r="BY660">
        <f>IF(ISBLANK('Data Entry'!$$660), "", 'Data Entry'!$$660)</f>
      </c>
      <c r="BZ660">
        <f>IF(ISBLANK('Data Entry'!$$660), "", 'Data Entry'!$$660)</f>
      </c>
      <c r="CA660">
        <f>IF(ISBLANK('Data Entry'!$$660), "", 'Data Entry'!$$660)</f>
      </c>
      <c r="CB660">
        <f>IF(ISBLANK('Data Entry'!$$660), "", 'Data Entry'!$$660)</f>
      </c>
      <c r="CC660">
        <f>IF(ISBLANK('Data Entry'!$$660), "", 'Data Entry'!$$660)</f>
      </c>
      <c r="CD660">
        <f>IF(ISBLANK('Data Entry'!$$660), "", 'Data Entry'!$$660)</f>
      </c>
      <c r="CE660">
        <f>IF(ISBLANK('Data Entry'!$$660), "", 'Data Entry'!$$660)</f>
      </c>
      <c r="CF660">
        <f>IF(ISBLANK('Data Entry'!$$660), "", 'Data Entry'!$$660)</f>
      </c>
      <c r="CG660">
        <f>IF(ISBLANK('Data Entry'!$$660), "", 'Data Entry'!$$660)</f>
      </c>
      <c r="CH660">
        <f>IF(ISBLANK('Data Entry'!$$660), "", 'Data Entry'!$$660)</f>
      </c>
      <c r="CI660">
        <f>IF(ISBLANK('Data Entry'!$$660), "", 'Data Entry'!$$660)</f>
      </c>
      <c r="CJ660">
        <f>IF(ISBLANK('Data Entry'!$$660), "", 'Data Entry'!$$660)</f>
      </c>
      <c r="CK660">
        <f>IF(ISBLANK('Data Entry'!$$660), "", 'Data Entry'!$$660)</f>
      </c>
      <c r="CL660">
        <f>IF(ISBLANK('Data Entry'!$$660), "", 'Data Entry'!$$660)</f>
      </c>
      <c r="CM660">
        <f>IF(ISBLANK('Data Entry'!$$660), "", 'Data Entry'!$$660)</f>
      </c>
      <c r="CN660">
        <f>IF(ISBLANK('Data Entry'!$$660), "", 'Data Entry'!$$660)</f>
      </c>
      <c r="CO660">
        <f>IF(ISBLANK('Data Entry'!$$660), "", 'Data Entry'!$$660)</f>
      </c>
      <c r="CP660">
        <f>IF(ISBLANK('Data Entry'!$$660), "", 'Data Entry'!$$660)</f>
      </c>
      <c r="CQ660">
        <f>IF(ISBLANK('Data Entry'!$$660), "", 'Data Entry'!$$660)</f>
      </c>
      <c r="CR660">
        <f>IF(ISBLANK('Data Entry'!$ $660), "", 'Data Entry'!$ $660)</f>
      </c>
      <c r="CS660">
        <f>IF(ISBLANK('Data Entry'!$¡$660), "", 'Data Entry'!$¡$660)</f>
      </c>
      <c r="CT660">
        <f>IF(ISBLANK('Data Entry'!$¢$660), "", 'Data Entry'!$¢$660)</f>
      </c>
      <c r="CU660">
        <f>IF(ISBLANK('Data Entry'!$£$660), "", 'Data Entry'!$£$660)</f>
      </c>
      <c r="CV660">
        <f>IF(ISBLANK('Data Entry'!$¤$660), "", 'Data Entry'!$¤$660)</f>
      </c>
      <c r="CW660">
        <f>IF(ISBLANK('Data Entry'!$¥$660), "", 'Data Entry'!$¥$660)</f>
      </c>
      <c r="CX660">
        <f>IF(ISBLANK('Data Entry'!$¦$660), "", 'Data Entry'!$¦$660)</f>
      </c>
      <c r="CY660">
        <f>IF(ISBLANK('Data Entry'!$§$660), "", 'Data Entry'!$§$660)</f>
      </c>
      <c r="CZ660">
        <f>IF(ISBLANK('Data Entry'!$¨$660), "", 'Data Entry'!$¨$660)</f>
      </c>
      <c r="DA660">
        <f>IF(ISBLANK('Data Entry'!$©$660), "", 'Data Entry'!$©$660)</f>
      </c>
      <c r="DB660">
        <f>IF(ISBLANK('Data Entry'!$ª$660), "", 'Data Entry'!$ª$660)</f>
      </c>
      <c r="DC660">
        <f>IF(ISBLANK('Data Entry'!$«$660), "", 'Data Entry'!$«$660)</f>
      </c>
      <c r="DD660">
        <f>IF(ISBLANK('Data Entry'!$¬$660), "", 'Data Entry'!$¬$660)</f>
      </c>
      <c r="DE660">
        <f>IF(ISBLANK('Data Entry'!$­$660), "", 'Data Entry'!$­$660)</f>
      </c>
      <c r="DF660">
        <f>IF(ISBLANK('Data Entry'!$®$660), "", 'Data Entry'!$®$660)</f>
      </c>
      <c r="DG660">
        <f>IF(ISBLANK('Data Entry'!$¯$660), "", 'Data Entry'!$¯$660)</f>
      </c>
      <c r="DH660">
        <f>IF(ISBLANK('Data Entry'!$°$660), "", 'Data Entry'!$°$660)</f>
      </c>
      <c r="DI660">
        <f>IF(ISBLANK('Data Entry'!$±$660), "", 'Data Entry'!$±$660)</f>
      </c>
      <c r="DJ660">
        <f>IF(ISBLANK('Data Entry'!$²$660), "", 'Data Entry'!$²$660)</f>
      </c>
      <c r="DK660">
        <f>IF(ISBLANK('Data Entry'!$³$660), "", 'Data Entry'!$³$660)</f>
      </c>
      <c r="DL660">
        <f>IF(ISBLANK('Data Entry'!$´$660), "", 'Data Entry'!$´$660)</f>
      </c>
      <c r="DM660">
        <f>IF(ISBLANK('Data Entry'!$µ$660), "", 'Data Entry'!$µ$660)</f>
      </c>
      <c r="DN660">
        <f>IF(ISBLANK('Data Entry'!$¶$660), "", 'Data Entry'!$¶$660)</f>
      </c>
      <c r="DO660">
        <f>IF(ISBLANK('Data Entry'!$·$660), "", 'Data Entry'!$·$660)</f>
      </c>
      <c r="DP660">
        <f>IF(ISBLANK('Data Entry'!$¸$660), "", 'Data Entry'!$¸$660)</f>
      </c>
      <c r="DQ660">
        <f>IF(ISBLANK('Data Entry'!$¹$660), "", 'Data Entry'!$¹$660)</f>
      </c>
      <c r="DR660">
        <f>IF(ISBLANK('Data Entry'!$º$660), "", 'Data Entry'!$º$660)</f>
      </c>
      <c r="DS660">
        <f>IF(ISBLANK('Data Entry'!$»$660), "", 'Data Entry'!$»$660)</f>
      </c>
      <c r="DT660">
        <f>IF(ISBLANK('Data Entry'!$¼$660), "", 'Data Entry'!$¼$660)</f>
      </c>
      <c r="DU660">
        <f>IF(ISBLANK('Data Entry'!$½$660), "", 'Data Entry'!$½$660)</f>
      </c>
      <c r="DV660">
        <f>IF(ISBLANK('Data Entry'!$¾$660), "", 'Data Entry'!$¾$660)</f>
      </c>
      <c r="DW660">
        <f>IF(ISBLANK('Data Entry'!$¿$660), "", 'Data Entry'!$¿$660)</f>
      </c>
      <c r="DX660">
        <f>IF(ISBLANK('Data Entry'!$À$660), "", 'Data Entry'!$À$660)</f>
      </c>
      <c r="DY660">
        <f>IF(ISBLANK('Data Entry'!$Á$660), "", 'Data Entry'!$Á$660)</f>
      </c>
      <c r="DZ660">
        <f>IF(ISBLANK('Data Entry'!$Â$660), "", 'Data Entry'!$Â$660)</f>
      </c>
      <c r="EA660">
        <f>IF(ISBLANK('Data Entry'!$Ã$660), "", 'Data Entry'!$Ã$660)</f>
      </c>
      <c r="EB660">
        <f>IF(ISBLANK('Data Entry'!$Ä$660), "", 'Data Entry'!$Ä$660)</f>
      </c>
      <c r="EC660">
        <f>IF(ISBLANK('Data Entry'!$Å$660), "", 'Data Entry'!$Å$660)</f>
      </c>
      <c r="ED660">
        <f>IF(ISBLANK('Data Entry'!$Æ$660), "", 'Data Entry'!$Æ$660)</f>
      </c>
      <c r="EE660">
        <f>IF(ISBLANK('Data Entry'!$Ç$660), "", 'Data Entry'!$Ç$660)</f>
      </c>
      <c r="EF660">
        <f>IF(ISBLANK('Data Entry'!$È$660), "", 'Data Entry'!$È$660)</f>
      </c>
      <c r="EG660">
        <f>IF(ISBLANK('Data Entry'!$É$660), "", 'Data Entry'!$É$660)</f>
      </c>
      <c r="EH660">
        <f>IF(ISBLANK('Data Entry'!$Ê$660), "", 'Data Entry'!$Ê$660)</f>
      </c>
      <c r="EI660">
        <f>IF(ISBLANK('Data Entry'!$Ë$660), "", 'Data Entry'!$Ë$660)</f>
      </c>
      <c r="EJ660">
        <f>IF(ISBLANK('Data Entry'!$Ì$660), "", 'Data Entry'!$Ì$660)</f>
      </c>
      <c r="EK660">
        <f>IF(ISBLANK('Data Entry'!$Í$660), "", 'Data Entry'!$Í$660)</f>
      </c>
      <c r="EL660">
        <f>IF(ISBLANK('Data Entry'!$Î$660), "", 'Data Entry'!$Î$660)</f>
      </c>
      <c r="EM660">
        <f>IF(ISBLANK('Data Entry'!$Ï$660), "", 'Data Entry'!$Ï$660)</f>
      </c>
      <c r="EN660">
        <f>IF(ISBLANK('Data Entry'!$Ð$660), "", 'Data Entry'!$Ð$660)</f>
      </c>
      <c r="EO660">
        <f>IF(ISBLANK('Data Entry'!$Ñ$660), "", 'Data Entry'!$Ñ$660)</f>
      </c>
      <c r="EP660">
        <f>IF(ISBLANK('Data Entry'!$Ò$660), "", 'Data Entry'!$Ò$660)</f>
      </c>
      <c r="EQ660">
        <f>IF(ISBLANK('Data Entry'!$Ó$660), "", 'Data Entry'!$Ó$660)</f>
      </c>
      <c r="ER660">
        <f>IF(ISBLANK('Data Entry'!$Ô$660), "", 'Data Entry'!$Ô$660)</f>
      </c>
      <c r="ES660">
        <f>IF(ISBLANK('Data Entry'!$Õ$660), "", 'Data Entry'!$Õ$660)</f>
      </c>
      <c r="ET660">
        <f>IF(ISBLANK('Data Entry'!$Ö$660), "", 'Data Entry'!$Ö$660)</f>
      </c>
      <c r="EU660">
        <f>IF(ISBLANK('Data Entry'!$×$660), "", 'Data Entry'!$×$660)</f>
      </c>
      <c r="EV660">
        <f>IF(ISBLANK('Data Entry'!$Ø$660), "", 'Data Entry'!$Ø$660)</f>
      </c>
      <c r="EW660">
        <f>IF(ISBLANK('Data Entry'!$Ù$660), "", 'Data Entry'!$Ù$660)</f>
      </c>
      <c r="EX660">
        <f>IF(ISBLANK('Data Entry'!$Ú$660), "", 'Data Entry'!$Ú$660)</f>
      </c>
      <c r="EY660">
        <f>IF(ISBLANK('Data Entry'!$Û$660), "", 'Data Entry'!$Û$660)</f>
      </c>
      <c r="EZ660">
        <f>IF(ISBLANK('Data Entry'!$Ü$660), "", 'Data Entry'!$Ü$660)</f>
      </c>
      <c r="FA660">
        <f>IF(ISBLANK('Data Entry'!$Ý$660), "", 'Data Entry'!$Ý$660)</f>
      </c>
      <c r="FB660">
        <f>IF(ISBLANK('Data Entry'!$Þ$660), "", 'Data Entry'!$Þ$660)</f>
      </c>
      <c r="FC660">
        <f>IF(ISBLANK('Data Entry'!$ß$660), "", 'Data Entry'!$ß$660)</f>
      </c>
      <c r="FD660">
        <f>IF(ISBLANK('Data Entry'!$à$660), "", 'Data Entry'!$à$660)</f>
      </c>
      <c r="FE660">
        <f>IF(ISBLANK('Data Entry'!$á$660), "", 'Data Entry'!$á$660)</f>
      </c>
      <c r="FF660">
        <f>IF(ISBLANK('Data Entry'!$â$660), "", 'Data Entry'!$â$660)</f>
      </c>
      <c r="FG660">
        <f>IF(ISBLANK('Data Entry'!$ã$660), "", 'Data Entry'!$ã$660)</f>
      </c>
      <c r="FH660">
        <f>IF(ISBLANK('Data Entry'!$ä$660), "", 'Data Entry'!$ä$660)</f>
      </c>
      <c r="FI660">
        <f>IF(ISBLANK('Data Entry'!$å$660), "", 'Data Entry'!$å$660)</f>
      </c>
      <c r="FJ660">
        <f>IF(ISBLANK('Data Entry'!$æ$660), "", 'Data Entry'!$æ$660)</f>
      </c>
      <c r="FK660">
        <f>IF(ISBLANK('Data Entry'!$ç$660), "", 'Data Entry'!$ç$660)</f>
      </c>
      <c r="FL660">
        <f>IF(ISBLANK('Data Entry'!$è$660), "", 'Data Entry'!$è$660)</f>
      </c>
      <c r="FM660">
        <f>IF(ISBLANK('Data Entry'!$é$660), "", 'Data Entry'!$é$660)</f>
      </c>
      <c r="FN660">
        <f>IF(ISBLANK('Data Entry'!$ê$660), "", 'Data Entry'!$ê$660)</f>
      </c>
      <c r="FO660">
        <f>IF(ISBLANK('Data Entry'!$ë$660), "", 'Data Entry'!$ë$660)</f>
      </c>
      <c r="FP660">
        <f>IF(ISBLANK('Data Entry'!$ì$660), "", 'Data Entry'!$ì$660)</f>
      </c>
      <c r="FQ660">
        <f>IF(ISBLANK('Data Entry'!$í$660), "", 'Data Entry'!$í$660)</f>
      </c>
      <c r="FR660">
        <f>IF(ISBLANK('Data Entry'!$î$660), "", 'Data Entry'!$î$660)</f>
      </c>
      <c r="FS660">
        <f>IF(ISBLANK('Data Entry'!$ï$660), "", 'Data Entry'!$ï$660)</f>
      </c>
      <c r="FT660">
        <f>IF(ISBLANK('Data Entry'!$ð$660), "", 'Data Entry'!$ð$660)</f>
      </c>
      <c r="FU660">
        <f>IF(ISBLANK('Data Entry'!$ñ$660), "", 'Data Entry'!$ñ$660)</f>
      </c>
      <c r="FV660">
        <f>IF(ISBLANK('Data Entry'!$ò$660), "", 'Data Entry'!$ò$660)</f>
      </c>
      <c r="FW660">
        <f>IF(ISBLANK('Data Entry'!$ó$660), "", 'Data Entry'!$ó$660)</f>
      </c>
      <c r="FX660">
        <f>IF(ISBLANK('Data Entry'!$ô$660), "", 'Data Entry'!$ô$660)</f>
      </c>
      <c r="FY660">
        <f>IF(ISBLANK('Data Entry'!$õ$660), "", 'Data Entry'!$õ$660)</f>
      </c>
      <c r="FZ660">
        <f>IF(ISBLANK('Data Entry'!$ö$660), "", 'Data Entry'!$ö$660)</f>
      </c>
      <c r="GA660">
        <f>IF(ISBLANK('Data Entry'!$÷$660), "", 'Data Entry'!$÷$660)</f>
      </c>
      <c r="GB660">
        <f>IF(ISBLANK('Data Entry'!$ø$660), "", 'Data Entry'!$ø$660)</f>
      </c>
      <c r="GC660">
        <f>IF(ISBLANK('Data Entry'!$ù$660), "", 'Data Entry'!$ù$660)</f>
      </c>
      <c r="GD660">
        <f>IF(ISBLANK('Data Entry'!$ú$660), "", 'Data Entry'!$ú$660)</f>
      </c>
      <c r="GE660">
        <f>IF(ISBLANK('Data Entry'!$û$660), "", 'Data Entry'!$û$660)</f>
      </c>
      <c r="GF660">
        <f>IF(ISBLANK('Data Entry'!$ü$660), "", 'Data Entry'!$ü$660)</f>
      </c>
      <c r="GG660">
        <f>IF(ISBLANK('Data Entry'!$ý$660), "", 'Data Entry'!$ý$660)</f>
      </c>
      <c r="GH660">
        <f>IF(ISBLANK('Data Entry'!$þ$660), "", 'Data Entry'!$þ$660)</f>
      </c>
      <c r="GI660">
        <f>IF(ISBLANK('Data Entry'!$ÿ$660), "", 'Data Entry'!$ÿ$660)</f>
      </c>
      <c r="GJ660">
        <f>IF(ISBLANK('Data Entry'!$Ā$660), "", 'Data Entry'!$Ā$660)</f>
      </c>
      <c r="GK660">
        <f>IF(ISBLANK('Data Entry'!$ā$660), "", 'Data Entry'!$ā$660)</f>
      </c>
      <c r="GL660">
        <f>IF(ISBLANK('Data Entry'!$Ă$660), "", 'Data Entry'!$Ă$660)</f>
      </c>
      <c r="GM660">
        <f>IF(ISBLANK('Data Entry'!$ă$660), "", 'Data Entry'!$ă$660)</f>
      </c>
      <c r="GN660">
        <f>IF(ISBLANK('Data Entry'!$Ą$660), "", 'Data Entry'!$Ą$660)</f>
      </c>
      <c r="GO660">
        <f>IF(ISBLANK('Data Entry'!$ą$660), "", 'Data Entry'!$ą$660)</f>
      </c>
      <c r="GP660">
        <f>IF(ISBLANK('Data Entry'!$Ć$660), "", 'Data Entry'!$Ć$660)</f>
      </c>
      <c r="GQ660">
        <f>IF(ISBLANK('Data Entry'!$ć$660), "", 'Data Entry'!$ć$660)</f>
      </c>
      <c r="GR660">
        <f>IF(ISBLANK('Data Entry'!$Ĉ$660), "", 'Data Entry'!$Ĉ$660)</f>
      </c>
      <c r="GS660">
        <f>IF(ISBLANK('Data Entry'!$ĉ$660), "", 'Data Entry'!$ĉ$660)</f>
      </c>
      <c r="GT660">
        <f>IF(ISBLANK('Data Entry'!$Ċ$660), "", 'Data Entry'!$Ċ$660)</f>
      </c>
      <c r="GU660">
        <f>IF(ISBLANK('Data Entry'!$ċ$660), "", 'Data Entry'!$ċ$660)</f>
      </c>
      <c r="GV660">
        <f>IF(ISBLANK('Data Entry'!$Č$660), "", 'Data Entry'!$Č$660)</f>
      </c>
      <c r="GW660">
        <f>IF(ISBLANK('Data Entry'!$č$660), "", 'Data Entry'!$č$660)</f>
      </c>
      <c r="GX660">
        <f>IF(ISBLANK('Data Entry'!$Ď$660), "", 'Data Entry'!$Ď$660)</f>
      </c>
      <c r="GY660">
        <f>IF(ISBLANK('Data Entry'!$ď$660), "", 'Data Entry'!$ď$660)</f>
      </c>
      <c r="GZ660">
        <f>IF(ISBLANK('Data Entry'!$Đ$660), "", 'Data Entry'!$Đ$660)</f>
      </c>
      <c r="HA660">
        <f>IF(ISBLANK('Data Entry'!$đ$660), "", 'Data Entry'!$đ$660)</f>
      </c>
      <c r="HB660">
        <f>IF(ISBLANK('Data Entry'!$Ē$660), "", 'Data Entry'!$Ē$660)</f>
      </c>
      <c r="HC660">
        <f>IF(ISBLANK('Data Entry'!$ē$660), "", 'Data Entry'!$ē$660)</f>
      </c>
      <c r="HD660">
        <f>IF(ISBLANK('Data Entry'!$Ĕ$660), "", 'Data Entry'!$Ĕ$660)</f>
      </c>
      <c r="HE660">
        <f>IF(ISBLANK('Data Entry'!$ĕ$660), "", 'Data Entry'!$ĕ$660)</f>
      </c>
      <c r="HF660">
        <f>IF(ISBLANK('Data Entry'!$Ė$660), "", 'Data Entry'!$Ė$660)</f>
      </c>
      <c r="HG660">
        <f>IF(ISBLANK('Data Entry'!$ė$660), "", 'Data Entry'!$ė$660)</f>
      </c>
      <c r="HH660">
        <f>IF(ISBLANK('Data Entry'!$Ę$660), "", 'Data Entry'!$Ę$660)</f>
      </c>
      <c r="HI660">
        <f>IF(ISBLANK('Data Entry'!$ę$660), "", 'Data Entry'!$ę$660)</f>
      </c>
      <c r="HJ660">
        <f>IF(ISBLANK('Data Entry'!$Ě$660), "", 'Data Entry'!$Ě$660)</f>
      </c>
      <c r="HK660">
        <f>IF(ISBLANK('Data Entry'!$ě$660), "", 'Data Entry'!$ě$660)</f>
      </c>
      <c r="HL660">
        <f>IF(ISBLANK('Data Entry'!$Ĝ$660), "", 'Data Entry'!$Ĝ$660)</f>
      </c>
      <c r="HM660">
        <f>IF(ISBLANK('Data Entry'!$ĝ$660), "", 'Data Entry'!$ĝ$660)</f>
      </c>
      <c r="HN660">
        <f>IF(ISBLANK('Data Entry'!$Ğ$660), "", 'Data Entry'!$Ğ$660)</f>
      </c>
      <c r="HO660">
        <f>IF(ISBLANK('Data Entry'!$ğ$660), "", 'Data Entry'!$ğ$660)</f>
      </c>
      <c r="HP660">
        <f>IF(ISBLANK('Data Entry'!$Ġ$660), "", 'Data Entry'!$Ġ$660)</f>
      </c>
      <c r="HQ660">
        <f>IF(ISBLANK('Data Entry'!$ġ$660), "", 'Data Entry'!$ġ$660)</f>
      </c>
      <c r="HR660">
        <f>IF(ISBLANK('Data Entry'!$Ģ$660), "", 'Data Entry'!$Ģ$660)</f>
      </c>
      <c r="HS660">
        <f>IF(ISBLANK('Data Entry'!$ģ$660), "", 'Data Entry'!$ģ$660)</f>
      </c>
      <c r="HT660">
        <f>IF(ISBLANK('Data Entry'!$Ĥ$660), "", 'Data Entry'!$Ĥ$660)</f>
      </c>
      <c r="HU660">
        <f>IF(ISBLANK('Data Entry'!$ĥ$660), "", 'Data Entry'!$ĥ$660)</f>
      </c>
      <c r="HV660">
        <f>IF(ISBLANK('Data Entry'!$Ħ$660), "", 'Data Entry'!$Ħ$660)</f>
      </c>
      <c r="HW660">
        <f>IF(ISBLANK('Data Entry'!$ħ$660), "", 'Data Entry'!$ħ$660)</f>
      </c>
      <c r="HX660">
        <f>IF(ISBLANK('Data Entry'!$Ĩ$660), "", 'Data Entry'!$Ĩ$660)</f>
      </c>
      <c r="HY660">
        <f>IF(ISBLANK('Data Entry'!$ĩ$660), "", 'Data Entry'!$ĩ$660)</f>
      </c>
      <c r="HZ660">
        <f>IF(ISBLANK('Data Entry'!$Ī$660), "", 'Data Entry'!$Ī$660)</f>
      </c>
      <c r="IA660">
        <f>IF(ISBLANK('Data Entry'!$ī$660), "", 'Data Entry'!$ī$660)</f>
      </c>
      <c r="IB660">
        <f>IF(ISBLANK('Data Entry'!$Ĭ$660), "", 'Data Entry'!$Ĭ$660)</f>
      </c>
      <c r="IC660">
        <f>IF(ISBLANK('Data Entry'!$ĭ$660), "", 'Data Entry'!$ĭ$660)</f>
      </c>
      <c r="ID660">
        <f>IF(ISBLANK('Data Entry'!$Į$660), "", 'Data Entry'!$Į$660)</f>
      </c>
      <c r="IE660">
        <f>IF(ISBLANK('Data Entry'!$į$660), "", 'Data Entry'!$į$660)</f>
      </c>
      <c r="IF660">
        <f>IF(ISBLANK('Data Entry'!$İ$660), "", 'Data Entry'!$İ$660)</f>
      </c>
      <c r="IG660">
        <f>IF(ISBLANK('Data Entry'!$ı$660), "", 'Data Entry'!$ı$660)</f>
      </c>
      <c r="IH660">
        <f>IF(ISBLANK('Data Entry'!$Ĳ$660), "", 'Data Entry'!$Ĳ$660)</f>
      </c>
      <c r="II660">
        <f>IF(ISBLANK('Data Entry'!$ĳ$660), "", 'Data Entry'!$ĳ$660)</f>
      </c>
      <c r="IJ660">
        <f>IF(ISBLANK('Data Entry'!$Ĵ$660), "", 'Data Entry'!$Ĵ$660)</f>
      </c>
      <c r="IK660">
        <f>IF(ISBLANK('Data Entry'!$ĵ$660), "", 'Data Entry'!$ĵ$660)</f>
      </c>
      <c r="IL660">
        <f>IF(ISBLANK('Data Entry'!$Ķ$660), "", 'Data Entry'!$Ķ$660)</f>
      </c>
      <c r="IM660">
        <f>IF(ISBLANK('Data Entry'!$ķ$660), "", 'Data Entry'!$ķ$660)</f>
      </c>
      <c r="IN660">
        <f>IF(ISBLANK('Data Entry'!$ĸ$660), "", 'Data Entry'!$ĸ$660)</f>
      </c>
      <c r="IO660">
        <f>IF(ISBLANK('Data Entry'!$Ĺ$660), "", 'Data Entry'!$Ĺ$660)</f>
      </c>
      <c r="IP660">
        <f>IF(ISBLANK('Data Entry'!$ĺ$660), "", 'Data Entry'!$ĺ$660)</f>
      </c>
      <c r="IQ660">
        <f>IF(ISBLANK('Data Entry'!$Ļ$660), "", 'Data Entry'!$Ļ$660)</f>
      </c>
      <c r="IR660">
        <f>IF(ISBLANK('Data Entry'!$ļ$660), "", 'Data Entry'!$ļ$660)</f>
      </c>
      <c r="IS660">
        <f>IF(ISBLANK('Data Entry'!$Ľ$660), "", 'Data Entry'!$Ľ$660)</f>
      </c>
      <c r="IT660">
        <f>IF(ISBLANK('Data Entry'!$ľ$660), "", 'Data Entry'!$ľ$660)</f>
      </c>
    </row>
    <row r="661" spans="1:254" x14ac:dyDescent="0.25">
      <c r="A661">
        <f>IF(ISBLANK('Data Entry'!$A$661), "", 'Data Entry'!$A$661)</f>
      </c>
      <c r="B661">
        <f>IF(ISBLANK('Data Entry'!$B$661), "", 'Data Entry'!$B$661)</f>
      </c>
      <c r="C661">
        <f>IF(ISBLANK('Data Entry'!$C$661), "", 'Data Entry'!$C$661)</f>
      </c>
      <c r="D661">
        <f>IF(ISBLANK('Data Entry'!$D$661), "", 'Data Entry'!$D$661)</f>
      </c>
      <c r="E661">
        <f>IF(ISBLANK('Data Entry'!$E$661), "", 'Data Entry'!$E$661)</f>
      </c>
      <c r="F661">
        <f>IF(ISBLANK('Data Entry'!$F$661), "", 'Data Entry'!$F$661)</f>
      </c>
      <c r="G661">
        <f>IF(ISBLANK('Data Entry'!$G$661), "", 'Data Entry'!$G$661)</f>
      </c>
      <c r="H661">
        <f>IF(ISBLANK('Data Entry'!$H$661), "", 'Data Entry'!$H$661)</f>
      </c>
      <c r="I661">
        <f>IF(ISBLANK('Data Entry'!$I$661), "", 'Data Entry'!$I$661)</f>
      </c>
      <c r="J661">
        <f>IF(ISBLANK('Data Entry'!$J$661), "", 'Data Entry'!$J$661)</f>
      </c>
      <c r="K661">
        <f>IF(ISBLANK('Data Entry'!$K$661), "", 'Data Entry'!$K$661)</f>
      </c>
      <c r="L661">
        <f>IF(ISBLANK('Data Entry'!$L$661), "", 'Data Entry'!$L$661)</f>
      </c>
      <c r="M661">
        <f>IF(ISBLANK('Data Entry'!$M$661), "", 'Data Entry'!$M$661)</f>
      </c>
      <c r="N661">
        <f>IF(ISBLANK('Data Entry'!$N$661), "", 'Data Entry'!$N$661)</f>
      </c>
      <c r="O661">
        <f>IF(ISBLANK('Data Entry'!$O$661), "", 'Data Entry'!$O$661)</f>
      </c>
      <c r="P661">
        <f>IF(ISBLANK('Data Entry'!$P$661), "", 'Data Entry'!$P$661)</f>
      </c>
      <c r="Q661">
        <f>IF(ISBLANK('Data Entry'!$Q$661), "", 'Data Entry'!$Q$661)</f>
      </c>
      <c r="R661">
        <f>IF(ISBLANK('Data Entry'!$R$661), "", 'Data Entry'!$R$661)</f>
      </c>
      <c r="S661">
        <f>IF(ISBLANK('Data Entry'!$S$661), "", 'Data Entry'!$S$661)</f>
      </c>
      <c r="T661">
        <f>IF(ISBLANK('Data Entry'!$T$661), "", 'Data Entry'!$T$661)</f>
      </c>
      <c r="U661">
        <f>IF(ISBLANK('Data Entry'!$U$661), "", 'Data Entry'!$U$661)</f>
      </c>
      <c r="V661">
        <f>IF(ISBLANK('Data Entry'!$V$661), "", 'Data Entry'!$V$661)</f>
      </c>
      <c r="W661">
        <f>IF(ISBLANK('Data Entry'!$W$661), "", 'Data Entry'!$W$661)</f>
      </c>
      <c r="X661">
        <f>IF(ISBLANK('Data Entry'!$X$661), "", 'Data Entry'!$X$661)</f>
      </c>
      <c r="Y661">
        <f>IF(ISBLANK('Data Entry'!$Y$661), "", 'Data Entry'!$Y$661)</f>
      </c>
      <c r="Z661">
        <f>IF(ISBLANK('Data Entry'!$Z$661), "", 'Data Entry'!$Z$661)</f>
      </c>
      <c r="AA661">
        <f>IF(ISBLANK('Data Entry'!$[$661), "", 'Data Entry'!$[$661)</f>
      </c>
      <c r="AB661">
        <f>IF(ISBLANK('Data Entry'!$\$661), "", 'Data Entry'!$\$661)</f>
      </c>
      <c r="AC661">
        <f>IF(ISBLANK('Data Entry'!$]$661), "", 'Data Entry'!$]$661)</f>
      </c>
      <c r="AD661">
        <f>IF(ISBLANK('Data Entry'!$^$661), "", 'Data Entry'!$^$661)</f>
      </c>
      <c r="AE661">
        <f>IF(ISBLANK('Data Entry'!$_$661), "", 'Data Entry'!$_$661)</f>
      </c>
      <c r="AF661">
        <f>IF(ISBLANK('Data Entry'!$`$661), "", 'Data Entry'!$`$661)</f>
      </c>
      <c r="AG661">
        <f>IF(ISBLANK('Data Entry'!$a$661), "", 'Data Entry'!$a$661)</f>
      </c>
      <c r="AH661">
        <f>IF(ISBLANK('Data Entry'!$b$661), "", 'Data Entry'!$b$661)</f>
      </c>
      <c r="AI661">
        <f>IF(ISBLANK('Data Entry'!$c$661), "", 'Data Entry'!$c$661)</f>
      </c>
      <c r="AJ661">
        <f>IF(ISBLANK('Data Entry'!$d$661), "", 'Data Entry'!$d$661)</f>
      </c>
      <c r="AK661">
        <f>IF(ISBLANK('Data Entry'!$e$661), "", 'Data Entry'!$e$661)</f>
      </c>
      <c r="AL661">
        <f>IF(ISBLANK('Data Entry'!$f$661), "", 'Data Entry'!$f$661)</f>
      </c>
      <c r="AM661">
        <f>IF(ISBLANK('Data Entry'!$g$661), "", 'Data Entry'!$g$661)</f>
      </c>
      <c r="AN661">
        <f>IF(ISBLANK('Data Entry'!$h$661), "", 'Data Entry'!$h$661)</f>
      </c>
      <c r="AO661">
        <f>IF(ISBLANK('Data Entry'!$i$661), "", 'Data Entry'!$i$661)</f>
      </c>
      <c r="AP661">
        <f>IF(ISBLANK('Data Entry'!$j$661), "", 'Data Entry'!$j$661)</f>
      </c>
      <c r="AQ661">
        <f>IF(ISBLANK('Data Entry'!$k$661), "", 'Data Entry'!$k$661)</f>
      </c>
      <c r="AR661">
        <f>IF(ISBLANK('Data Entry'!$l$661), "", 'Data Entry'!$l$661)</f>
      </c>
      <c r="AS661">
        <f>IF(ISBLANK('Data Entry'!$m$661), "", 'Data Entry'!$m$661)</f>
      </c>
      <c r="AT661">
        <f>IF(ISBLANK('Data Entry'!$n$661), "", 'Data Entry'!$n$661)</f>
      </c>
      <c r="AU661">
        <f>IF(ISBLANK('Data Entry'!$o$661), "", 'Data Entry'!$o$661)</f>
      </c>
      <c r="AV661">
        <f>IF(ISBLANK('Data Entry'!$p$661), "", 'Data Entry'!$p$661)</f>
      </c>
      <c r="AW661">
        <f>IF(ISBLANK('Data Entry'!$q$661), "", 'Data Entry'!$q$661)</f>
      </c>
      <c r="AX661">
        <f>IF(ISBLANK('Data Entry'!$r$661), "", 'Data Entry'!$r$661)</f>
      </c>
      <c r="AY661">
        <f>IF(ISBLANK('Data Entry'!$s$661), "", 'Data Entry'!$s$661)</f>
      </c>
      <c r="AZ661">
        <f>IF(ISBLANK('Data Entry'!$t$661), "", 'Data Entry'!$t$661)</f>
      </c>
      <c r="BA661">
        <f>IF(ISBLANK('Data Entry'!$u$661), "", 'Data Entry'!$u$661)</f>
      </c>
      <c r="BB661">
        <f>IF(ISBLANK('Data Entry'!$v$661), "", 'Data Entry'!$v$661)</f>
      </c>
      <c r="BC661">
        <f>IF(ISBLANK('Data Entry'!$w$661), "", 'Data Entry'!$w$661)</f>
      </c>
      <c r="BD661">
        <f>IF(ISBLANK('Data Entry'!$x$661), "", 'Data Entry'!$x$661)</f>
      </c>
      <c r="BE661">
        <f>IF(ISBLANK('Data Entry'!$y$661), "", 'Data Entry'!$y$661)</f>
      </c>
      <c r="BF661">
        <f>IF(ISBLANK('Data Entry'!$z$661), "", 'Data Entry'!$z$661)</f>
      </c>
      <c r="BG661">
        <f>IF(ISBLANK('Data Entry'!${$661), "", 'Data Entry'!${$661)</f>
      </c>
      <c r="BH661">
        <f>IF(ISBLANK('Data Entry'!$|$661), "", 'Data Entry'!$|$661)</f>
      </c>
      <c r="BI661">
        <f>IF(ISBLANK('Data Entry'!$}$661), "", 'Data Entry'!$}$661)</f>
      </c>
      <c r="BJ661">
        <f>IF(ISBLANK('Data Entry'!$~$661), "", 'Data Entry'!$~$661)</f>
      </c>
      <c r="BK661">
        <f>IF(ISBLANK('Data Entry'!$$661), "", 'Data Entry'!$$661)</f>
      </c>
      <c r="BL661">
        <f>IF(ISBLANK('Data Entry'!$$661), "", 'Data Entry'!$$661)</f>
      </c>
      <c r="BM661">
        <f>IF(ISBLANK('Data Entry'!$$661), "", 'Data Entry'!$$661)</f>
      </c>
      <c r="BN661">
        <f>IF(ISBLANK('Data Entry'!$$661), "", 'Data Entry'!$$661)</f>
      </c>
      <c r="BO661">
        <f>IF(ISBLANK('Data Entry'!$$661), "", 'Data Entry'!$$661)</f>
      </c>
      <c r="BP661">
        <f>IF(ISBLANK('Data Entry'!$$661), "", 'Data Entry'!$$661)</f>
      </c>
      <c r="BQ661">
        <f>IF(ISBLANK('Data Entry'!$$661), "", 'Data Entry'!$$661)</f>
      </c>
      <c r="BR661">
        <f>IF(ISBLANK('Data Entry'!$$661), "", 'Data Entry'!$$661)</f>
      </c>
      <c r="BS661">
        <f>IF(ISBLANK('Data Entry'!$$661), "", 'Data Entry'!$$661)</f>
      </c>
      <c r="BT661">
        <f>IF(ISBLANK('Data Entry'!$$661), "", 'Data Entry'!$$661)</f>
      </c>
      <c r="BU661">
        <f>IF(ISBLANK('Data Entry'!$$661), "", 'Data Entry'!$$661)</f>
      </c>
      <c r="BV661">
        <f>IF(ISBLANK('Data Entry'!$$661), "", 'Data Entry'!$$661)</f>
      </c>
      <c r="BW661">
        <f>IF(ISBLANK('Data Entry'!$$661), "", 'Data Entry'!$$661)</f>
      </c>
      <c r="BX661">
        <f>IF(ISBLANK('Data Entry'!$$661), "", 'Data Entry'!$$661)</f>
      </c>
      <c r="BY661">
        <f>IF(ISBLANK('Data Entry'!$$661), "", 'Data Entry'!$$661)</f>
      </c>
      <c r="BZ661">
        <f>IF(ISBLANK('Data Entry'!$$661), "", 'Data Entry'!$$661)</f>
      </c>
      <c r="CA661">
        <f>IF(ISBLANK('Data Entry'!$$661), "", 'Data Entry'!$$661)</f>
      </c>
      <c r="CB661">
        <f>IF(ISBLANK('Data Entry'!$$661), "", 'Data Entry'!$$661)</f>
      </c>
      <c r="CC661">
        <f>IF(ISBLANK('Data Entry'!$$661), "", 'Data Entry'!$$661)</f>
      </c>
      <c r="CD661">
        <f>IF(ISBLANK('Data Entry'!$$661), "", 'Data Entry'!$$661)</f>
      </c>
      <c r="CE661">
        <f>IF(ISBLANK('Data Entry'!$$661), "", 'Data Entry'!$$661)</f>
      </c>
      <c r="CF661">
        <f>IF(ISBLANK('Data Entry'!$$661), "", 'Data Entry'!$$661)</f>
      </c>
      <c r="CG661">
        <f>IF(ISBLANK('Data Entry'!$$661), "", 'Data Entry'!$$661)</f>
      </c>
      <c r="CH661">
        <f>IF(ISBLANK('Data Entry'!$$661), "", 'Data Entry'!$$661)</f>
      </c>
      <c r="CI661">
        <f>IF(ISBLANK('Data Entry'!$$661), "", 'Data Entry'!$$661)</f>
      </c>
      <c r="CJ661">
        <f>IF(ISBLANK('Data Entry'!$$661), "", 'Data Entry'!$$661)</f>
      </c>
      <c r="CK661">
        <f>IF(ISBLANK('Data Entry'!$$661), "", 'Data Entry'!$$661)</f>
      </c>
      <c r="CL661">
        <f>IF(ISBLANK('Data Entry'!$$661), "", 'Data Entry'!$$661)</f>
      </c>
      <c r="CM661">
        <f>IF(ISBLANK('Data Entry'!$$661), "", 'Data Entry'!$$661)</f>
      </c>
      <c r="CN661">
        <f>IF(ISBLANK('Data Entry'!$$661), "", 'Data Entry'!$$661)</f>
      </c>
      <c r="CO661">
        <f>IF(ISBLANK('Data Entry'!$$661), "", 'Data Entry'!$$661)</f>
      </c>
      <c r="CP661">
        <f>IF(ISBLANK('Data Entry'!$$661), "", 'Data Entry'!$$661)</f>
      </c>
      <c r="CQ661">
        <f>IF(ISBLANK('Data Entry'!$$661), "", 'Data Entry'!$$661)</f>
      </c>
      <c r="CR661">
        <f>IF(ISBLANK('Data Entry'!$ $661), "", 'Data Entry'!$ $661)</f>
      </c>
      <c r="CS661">
        <f>IF(ISBLANK('Data Entry'!$¡$661), "", 'Data Entry'!$¡$661)</f>
      </c>
      <c r="CT661">
        <f>IF(ISBLANK('Data Entry'!$¢$661), "", 'Data Entry'!$¢$661)</f>
      </c>
      <c r="CU661">
        <f>IF(ISBLANK('Data Entry'!$£$661), "", 'Data Entry'!$£$661)</f>
      </c>
      <c r="CV661">
        <f>IF(ISBLANK('Data Entry'!$¤$661), "", 'Data Entry'!$¤$661)</f>
      </c>
      <c r="CW661">
        <f>IF(ISBLANK('Data Entry'!$¥$661), "", 'Data Entry'!$¥$661)</f>
      </c>
      <c r="CX661">
        <f>IF(ISBLANK('Data Entry'!$¦$661), "", 'Data Entry'!$¦$661)</f>
      </c>
      <c r="CY661">
        <f>IF(ISBLANK('Data Entry'!$§$661), "", 'Data Entry'!$§$661)</f>
      </c>
      <c r="CZ661">
        <f>IF(ISBLANK('Data Entry'!$¨$661), "", 'Data Entry'!$¨$661)</f>
      </c>
      <c r="DA661">
        <f>IF(ISBLANK('Data Entry'!$©$661), "", 'Data Entry'!$©$661)</f>
      </c>
      <c r="DB661">
        <f>IF(ISBLANK('Data Entry'!$ª$661), "", 'Data Entry'!$ª$661)</f>
      </c>
      <c r="DC661">
        <f>IF(ISBLANK('Data Entry'!$«$661), "", 'Data Entry'!$«$661)</f>
      </c>
      <c r="DD661">
        <f>IF(ISBLANK('Data Entry'!$¬$661), "", 'Data Entry'!$¬$661)</f>
      </c>
      <c r="DE661">
        <f>IF(ISBLANK('Data Entry'!$­$661), "", 'Data Entry'!$­$661)</f>
      </c>
      <c r="DF661">
        <f>IF(ISBLANK('Data Entry'!$®$661), "", 'Data Entry'!$®$661)</f>
      </c>
      <c r="DG661">
        <f>IF(ISBLANK('Data Entry'!$¯$661), "", 'Data Entry'!$¯$661)</f>
      </c>
      <c r="DH661">
        <f>IF(ISBLANK('Data Entry'!$°$661), "", 'Data Entry'!$°$661)</f>
      </c>
      <c r="DI661">
        <f>IF(ISBLANK('Data Entry'!$±$661), "", 'Data Entry'!$±$661)</f>
      </c>
      <c r="DJ661">
        <f>IF(ISBLANK('Data Entry'!$²$661), "", 'Data Entry'!$²$661)</f>
      </c>
      <c r="DK661">
        <f>IF(ISBLANK('Data Entry'!$³$661), "", 'Data Entry'!$³$661)</f>
      </c>
      <c r="DL661">
        <f>IF(ISBLANK('Data Entry'!$´$661), "", 'Data Entry'!$´$661)</f>
      </c>
      <c r="DM661">
        <f>IF(ISBLANK('Data Entry'!$µ$661), "", 'Data Entry'!$µ$661)</f>
      </c>
      <c r="DN661">
        <f>IF(ISBLANK('Data Entry'!$¶$661), "", 'Data Entry'!$¶$661)</f>
      </c>
      <c r="DO661">
        <f>IF(ISBLANK('Data Entry'!$·$661), "", 'Data Entry'!$·$661)</f>
      </c>
      <c r="DP661">
        <f>IF(ISBLANK('Data Entry'!$¸$661), "", 'Data Entry'!$¸$661)</f>
      </c>
      <c r="DQ661">
        <f>IF(ISBLANK('Data Entry'!$¹$661), "", 'Data Entry'!$¹$661)</f>
      </c>
      <c r="DR661">
        <f>IF(ISBLANK('Data Entry'!$º$661), "", 'Data Entry'!$º$661)</f>
      </c>
      <c r="DS661">
        <f>IF(ISBLANK('Data Entry'!$»$661), "", 'Data Entry'!$»$661)</f>
      </c>
      <c r="DT661">
        <f>IF(ISBLANK('Data Entry'!$¼$661), "", 'Data Entry'!$¼$661)</f>
      </c>
      <c r="DU661">
        <f>IF(ISBLANK('Data Entry'!$½$661), "", 'Data Entry'!$½$661)</f>
      </c>
      <c r="DV661">
        <f>IF(ISBLANK('Data Entry'!$¾$661), "", 'Data Entry'!$¾$661)</f>
      </c>
      <c r="DW661">
        <f>IF(ISBLANK('Data Entry'!$¿$661), "", 'Data Entry'!$¿$661)</f>
      </c>
      <c r="DX661">
        <f>IF(ISBLANK('Data Entry'!$À$661), "", 'Data Entry'!$À$661)</f>
      </c>
      <c r="DY661">
        <f>IF(ISBLANK('Data Entry'!$Á$661), "", 'Data Entry'!$Á$661)</f>
      </c>
      <c r="DZ661">
        <f>IF(ISBLANK('Data Entry'!$Â$661), "", 'Data Entry'!$Â$661)</f>
      </c>
      <c r="EA661">
        <f>IF(ISBLANK('Data Entry'!$Ã$661), "", 'Data Entry'!$Ã$661)</f>
      </c>
      <c r="EB661">
        <f>IF(ISBLANK('Data Entry'!$Ä$661), "", 'Data Entry'!$Ä$661)</f>
      </c>
      <c r="EC661">
        <f>IF(ISBLANK('Data Entry'!$Å$661), "", 'Data Entry'!$Å$661)</f>
      </c>
      <c r="ED661">
        <f>IF(ISBLANK('Data Entry'!$Æ$661), "", 'Data Entry'!$Æ$661)</f>
      </c>
      <c r="EE661">
        <f>IF(ISBLANK('Data Entry'!$Ç$661), "", 'Data Entry'!$Ç$661)</f>
      </c>
      <c r="EF661">
        <f>IF(ISBLANK('Data Entry'!$È$661), "", 'Data Entry'!$È$661)</f>
      </c>
      <c r="EG661">
        <f>IF(ISBLANK('Data Entry'!$É$661), "", 'Data Entry'!$É$661)</f>
      </c>
      <c r="EH661">
        <f>IF(ISBLANK('Data Entry'!$Ê$661), "", 'Data Entry'!$Ê$661)</f>
      </c>
      <c r="EI661">
        <f>IF(ISBLANK('Data Entry'!$Ë$661), "", 'Data Entry'!$Ë$661)</f>
      </c>
      <c r="EJ661">
        <f>IF(ISBLANK('Data Entry'!$Ì$661), "", 'Data Entry'!$Ì$661)</f>
      </c>
      <c r="EK661">
        <f>IF(ISBLANK('Data Entry'!$Í$661), "", 'Data Entry'!$Í$661)</f>
      </c>
      <c r="EL661">
        <f>IF(ISBLANK('Data Entry'!$Î$661), "", 'Data Entry'!$Î$661)</f>
      </c>
      <c r="EM661">
        <f>IF(ISBLANK('Data Entry'!$Ï$661), "", 'Data Entry'!$Ï$661)</f>
      </c>
      <c r="EN661">
        <f>IF(ISBLANK('Data Entry'!$Ð$661), "", 'Data Entry'!$Ð$661)</f>
      </c>
      <c r="EO661">
        <f>IF(ISBLANK('Data Entry'!$Ñ$661), "", 'Data Entry'!$Ñ$661)</f>
      </c>
      <c r="EP661">
        <f>IF(ISBLANK('Data Entry'!$Ò$661), "", 'Data Entry'!$Ò$661)</f>
      </c>
      <c r="EQ661">
        <f>IF(ISBLANK('Data Entry'!$Ó$661), "", 'Data Entry'!$Ó$661)</f>
      </c>
      <c r="ER661">
        <f>IF(ISBLANK('Data Entry'!$Ô$661), "", 'Data Entry'!$Ô$661)</f>
      </c>
      <c r="ES661">
        <f>IF(ISBLANK('Data Entry'!$Õ$661), "", 'Data Entry'!$Õ$661)</f>
      </c>
      <c r="ET661">
        <f>IF(ISBLANK('Data Entry'!$Ö$661), "", 'Data Entry'!$Ö$661)</f>
      </c>
      <c r="EU661">
        <f>IF(ISBLANK('Data Entry'!$×$661), "", 'Data Entry'!$×$661)</f>
      </c>
      <c r="EV661">
        <f>IF(ISBLANK('Data Entry'!$Ø$661), "", 'Data Entry'!$Ø$661)</f>
      </c>
      <c r="EW661">
        <f>IF(ISBLANK('Data Entry'!$Ù$661), "", 'Data Entry'!$Ù$661)</f>
      </c>
      <c r="EX661">
        <f>IF(ISBLANK('Data Entry'!$Ú$661), "", 'Data Entry'!$Ú$661)</f>
      </c>
      <c r="EY661">
        <f>IF(ISBLANK('Data Entry'!$Û$661), "", 'Data Entry'!$Û$661)</f>
      </c>
      <c r="EZ661">
        <f>IF(ISBLANK('Data Entry'!$Ü$661), "", 'Data Entry'!$Ü$661)</f>
      </c>
      <c r="FA661">
        <f>IF(ISBLANK('Data Entry'!$Ý$661), "", 'Data Entry'!$Ý$661)</f>
      </c>
      <c r="FB661">
        <f>IF(ISBLANK('Data Entry'!$Þ$661), "", 'Data Entry'!$Þ$661)</f>
      </c>
      <c r="FC661">
        <f>IF(ISBLANK('Data Entry'!$ß$661), "", 'Data Entry'!$ß$661)</f>
      </c>
      <c r="FD661">
        <f>IF(ISBLANK('Data Entry'!$à$661), "", 'Data Entry'!$à$661)</f>
      </c>
      <c r="FE661">
        <f>IF(ISBLANK('Data Entry'!$á$661), "", 'Data Entry'!$á$661)</f>
      </c>
      <c r="FF661">
        <f>IF(ISBLANK('Data Entry'!$â$661), "", 'Data Entry'!$â$661)</f>
      </c>
      <c r="FG661">
        <f>IF(ISBLANK('Data Entry'!$ã$661), "", 'Data Entry'!$ã$661)</f>
      </c>
      <c r="FH661">
        <f>IF(ISBLANK('Data Entry'!$ä$661), "", 'Data Entry'!$ä$661)</f>
      </c>
      <c r="FI661">
        <f>IF(ISBLANK('Data Entry'!$å$661), "", 'Data Entry'!$å$661)</f>
      </c>
      <c r="FJ661">
        <f>IF(ISBLANK('Data Entry'!$æ$661), "", 'Data Entry'!$æ$661)</f>
      </c>
      <c r="FK661">
        <f>IF(ISBLANK('Data Entry'!$ç$661), "", 'Data Entry'!$ç$661)</f>
      </c>
      <c r="FL661">
        <f>IF(ISBLANK('Data Entry'!$è$661), "", 'Data Entry'!$è$661)</f>
      </c>
      <c r="FM661">
        <f>IF(ISBLANK('Data Entry'!$é$661), "", 'Data Entry'!$é$661)</f>
      </c>
      <c r="FN661">
        <f>IF(ISBLANK('Data Entry'!$ê$661), "", 'Data Entry'!$ê$661)</f>
      </c>
      <c r="FO661">
        <f>IF(ISBLANK('Data Entry'!$ë$661), "", 'Data Entry'!$ë$661)</f>
      </c>
      <c r="FP661">
        <f>IF(ISBLANK('Data Entry'!$ì$661), "", 'Data Entry'!$ì$661)</f>
      </c>
      <c r="FQ661">
        <f>IF(ISBLANK('Data Entry'!$í$661), "", 'Data Entry'!$í$661)</f>
      </c>
      <c r="FR661">
        <f>IF(ISBLANK('Data Entry'!$î$661), "", 'Data Entry'!$î$661)</f>
      </c>
      <c r="FS661">
        <f>IF(ISBLANK('Data Entry'!$ï$661), "", 'Data Entry'!$ï$661)</f>
      </c>
      <c r="FT661">
        <f>IF(ISBLANK('Data Entry'!$ð$661), "", 'Data Entry'!$ð$661)</f>
      </c>
      <c r="FU661">
        <f>IF(ISBLANK('Data Entry'!$ñ$661), "", 'Data Entry'!$ñ$661)</f>
      </c>
      <c r="FV661">
        <f>IF(ISBLANK('Data Entry'!$ò$661), "", 'Data Entry'!$ò$661)</f>
      </c>
      <c r="FW661">
        <f>IF(ISBLANK('Data Entry'!$ó$661), "", 'Data Entry'!$ó$661)</f>
      </c>
      <c r="FX661">
        <f>IF(ISBLANK('Data Entry'!$ô$661), "", 'Data Entry'!$ô$661)</f>
      </c>
      <c r="FY661">
        <f>IF(ISBLANK('Data Entry'!$õ$661), "", 'Data Entry'!$õ$661)</f>
      </c>
      <c r="FZ661">
        <f>IF(ISBLANK('Data Entry'!$ö$661), "", 'Data Entry'!$ö$661)</f>
      </c>
      <c r="GA661">
        <f>IF(ISBLANK('Data Entry'!$÷$661), "", 'Data Entry'!$÷$661)</f>
      </c>
      <c r="GB661">
        <f>IF(ISBLANK('Data Entry'!$ø$661), "", 'Data Entry'!$ø$661)</f>
      </c>
      <c r="GC661">
        <f>IF(ISBLANK('Data Entry'!$ù$661), "", 'Data Entry'!$ù$661)</f>
      </c>
      <c r="GD661">
        <f>IF(ISBLANK('Data Entry'!$ú$661), "", 'Data Entry'!$ú$661)</f>
      </c>
      <c r="GE661">
        <f>IF(ISBLANK('Data Entry'!$û$661), "", 'Data Entry'!$û$661)</f>
      </c>
      <c r="GF661">
        <f>IF(ISBLANK('Data Entry'!$ü$661), "", 'Data Entry'!$ü$661)</f>
      </c>
      <c r="GG661">
        <f>IF(ISBLANK('Data Entry'!$ý$661), "", 'Data Entry'!$ý$661)</f>
      </c>
      <c r="GH661">
        <f>IF(ISBLANK('Data Entry'!$þ$661), "", 'Data Entry'!$þ$661)</f>
      </c>
      <c r="GI661">
        <f>IF(ISBLANK('Data Entry'!$ÿ$661), "", 'Data Entry'!$ÿ$661)</f>
      </c>
      <c r="GJ661">
        <f>IF(ISBLANK('Data Entry'!$Ā$661), "", 'Data Entry'!$Ā$661)</f>
      </c>
      <c r="GK661">
        <f>IF(ISBLANK('Data Entry'!$ā$661), "", 'Data Entry'!$ā$661)</f>
      </c>
      <c r="GL661">
        <f>IF(ISBLANK('Data Entry'!$Ă$661), "", 'Data Entry'!$Ă$661)</f>
      </c>
      <c r="GM661">
        <f>IF(ISBLANK('Data Entry'!$ă$661), "", 'Data Entry'!$ă$661)</f>
      </c>
      <c r="GN661">
        <f>IF(ISBLANK('Data Entry'!$Ą$661), "", 'Data Entry'!$Ą$661)</f>
      </c>
      <c r="GO661">
        <f>IF(ISBLANK('Data Entry'!$ą$661), "", 'Data Entry'!$ą$661)</f>
      </c>
      <c r="GP661">
        <f>IF(ISBLANK('Data Entry'!$Ć$661), "", 'Data Entry'!$Ć$661)</f>
      </c>
      <c r="GQ661">
        <f>IF(ISBLANK('Data Entry'!$ć$661), "", 'Data Entry'!$ć$661)</f>
      </c>
      <c r="GR661">
        <f>IF(ISBLANK('Data Entry'!$Ĉ$661), "", 'Data Entry'!$Ĉ$661)</f>
      </c>
      <c r="GS661">
        <f>IF(ISBLANK('Data Entry'!$ĉ$661), "", 'Data Entry'!$ĉ$661)</f>
      </c>
      <c r="GT661">
        <f>IF(ISBLANK('Data Entry'!$Ċ$661), "", 'Data Entry'!$Ċ$661)</f>
      </c>
      <c r="GU661">
        <f>IF(ISBLANK('Data Entry'!$ċ$661), "", 'Data Entry'!$ċ$661)</f>
      </c>
      <c r="GV661">
        <f>IF(ISBLANK('Data Entry'!$Č$661), "", 'Data Entry'!$Č$661)</f>
      </c>
      <c r="GW661">
        <f>IF(ISBLANK('Data Entry'!$č$661), "", 'Data Entry'!$č$661)</f>
      </c>
      <c r="GX661">
        <f>IF(ISBLANK('Data Entry'!$Ď$661), "", 'Data Entry'!$Ď$661)</f>
      </c>
      <c r="GY661">
        <f>IF(ISBLANK('Data Entry'!$ď$661), "", 'Data Entry'!$ď$661)</f>
      </c>
      <c r="GZ661">
        <f>IF(ISBLANK('Data Entry'!$Đ$661), "", 'Data Entry'!$Đ$661)</f>
      </c>
      <c r="HA661">
        <f>IF(ISBLANK('Data Entry'!$đ$661), "", 'Data Entry'!$đ$661)</f>
      </c>
      <c r="HB661">
        <f>IF(ISBLANK('Data Entry'!$Ē$661), "", 'Data Entry'!$Ē$661)</f>
      </c>
      <c r="HC661">
        <f>IF(ISBLANK('Data Entry'!$ē$661), "", 'Data Entry'!$ē$661)</f>
      </c>
      <c r="HD661">
        <f>IF(ISBLANK('Data Entry'!$Ĕ$661), "", 'Data Entry'!$Ĕ$661)</f>
      </c>
      <c r="HE661">
        <f>IF(ISBLANK('Data Entry'!$ĕ$661), "", 'Data Entry'!$ĕ$661)</f>
      </c>
      <c r="HF661">
        <f>IF(ISBLANK('Data Entry'!$Ė$661), "", 'Data Entry'!$Ė$661)</f>
      </c>
      <c r="HG661">
        <f>IF(ISBLANK('Data Entry'!$ė$661), "", 'Data Entry'!$ė$661)</f>
      </c>
      <c r="HH661">
        <f>IF(ISBLANK('Data Entry'!$Ę$661), "", 'Data Entry'!$Ę$661)</f>
      </c>
      <c r="HI661">
        <f>IF(ISBLANK('Data Entry'!$ę$661), "", 'Data Entry'!$ę$661)</f>
      </c>
      <c r="HJ661">
        <f>IF(ISBLANK('Data Entry'!$Ě$661), "", 'Data Entry'!$Ě$661)</f>
      </c>
      <c r="HK661">
        <f>IF(ISBLANK('Data Entry'!$ě$661), "", 'Data Entry'!$ě$661)</f>
      </c>
      <c r="HL661">
        <f>IF(ISBLANK('Data Entry'!$Ĝ$661), "", 'Data Entry'!$Ĝ$661)</f>
      </c>
      <c r="HM661">
        <f>IF(ISBLANK('Data Entry'!$ĝ$661), "", 'Data Entry'!$ĝ$661)</f>
      </c>
      <c r="HN661">
        <f>IF(ISBLANK('Data Entry'!$Ğ$661), "", 'Data Entry'!$Ğ$661)</f>
      </c>
      <c r="HO661">
        <f>IF(ISBLANK('Data Entry'!$ğ$661), "", 'Data Entry'!$ğ$661)</f>
      </c>
      <c r="HP661">
        <f>IF(ISBLANK('Data Entry'!$Ġ$661), "", 'Data Entry'!$Ġ$661)</f>
      </c>
      <c r="HQ661">
        <f>IF(ISBLANK('Data Entry'!$ġ$661), "", 'Data Entry'!$ġ$661)</f>
      </c>
      <c r="HR661">
        <f>IF(ISBLANK('Data Entry'!$Ģ$661), "", 'Data Entry'!$Ģ$661)</f>
      </c>
      <c r="HS661">
        <f>IF(ISBLANK('Data Entry'!$ģ$661), "", 'Data Entry'!$ģ$661)</f>
      </c>
      <c r="HT661">
        <f>IF(ISBLANK('Data Entry'!$Ĥ$661), "", 'Data Entry'!$Ĥ$661)</f>
      </c>
      <c r="HU661">
        <f>IF(ISBLANK('Data Entry'!$ĥ$661), "", 'Data Entry'!$ĥ$661)</f>
      </c>
      <c r="HV661">
        <f>IF(ISBLANK('Data Entry'!$Ħ$661), "", 'Data Entry'!$Ħ$661)</f>
      </c>
      <c r="HW661">
        <f>IF(ISBLANK('Data Entry'!$ħ$661), "", 'Data Entry'!$ħ$661)</f>
      </c>
      <c r="HX661">
        <f>IF(ISBLANK('Data Entry'!$Ĩ$661), "", 'Data Entry'!$Ĩ$661)</f>
      </c>
      <c r="HY661">
        <f>IF(ISBLANK('Data Entry'!$ĩ$661), "", 'Data Entry'!$ĩ$661)</f>
      </c>
      <c r="HZ661">
        <f>IF(ISBLANK('Data Entry'!$Ī$661), "", 'Data Entry'!$Ī$661)</f>
      </c>
      <c r="IA661">
        <f>IF(ISBLANK('Data Entry'!$ī$661), "", 'Data Entry'!$ī$661)</f>
      </c>
      <c r="IB661">
        <f>IF(ISBLANK('Data Entry'!$Ĭ$661), "", 'Data Entry'!$Ĭ$661)</f>
      </c>
      <c r="IC661">
        <f>IF(ISBLANK('Data Entry'!$ĭ$661), "", 'Data Entry'!$ĭ$661)</f>
      </c>
      <c r="ID661">
        <f>IF(ISBLANK('Data Entry'!$Į$661), "", 'Data Entry'!$Į$661)</f>
      </c>
      <c r="IE661">
        <f>IF(ISBLANK('Data Entry'!$į$661), "", 'Data Entry'!$į$661)</f>
      </c>
      <c r="IF661">
        <f>IF(ISBLANK('Data Entry'!$İ$661), "", 'Data Entry'!$İ$661)</f>
      </c>
      <c r="IG661">
        <f>IF(ISBLANK('Data Entry'!$ı$661), "", 'Data Entry'!$ı$661)</f>
      </c>
      <c r="IH661">
        <f>IF(ISBLANK('Data Entry'!$Ĳ$661), "", 'Data Entry'!$Ĳ$661)</f>
      </c>
      <c r="II661">
        <f>IF(ISBLANK('Data Entry'!$ĳ$661), "", 'Data Entry'!$ĳ$661)</f>
      </c>
      <c r="IJ661">
        <f>IF(ISBLANK('Data Entry'!$Ĵ$661), "", 'Data Entry'!$Ĵ$661)</f>
      </c>
      <c r="IK661">
        <f>IF(ISBLANK('Data Entry'!$ĵ$661), "", 'Data Entry'!$ĵ$661)</f>
      </c>
      <c r="IL661">
        <f>IF(ISBLANK('Data Entry'!$Ķ$661), "", 'Data Entry'!$Ķ$661)</f>
      </c>
      <c r="IM661">
        <f>IF(ISBLANK('Data Entry'!$ķ$661), "", 'Data Entry'!$ķ$661)</f>
      </c>
      <c r="IN661">
        <f>IF(ISBLANK('Data Entry'!$ĸ$661), "", 'Data Entry'!$ĸ$661)</f>
      </c>
      <c r="IO661">
        <f>IF(ISBLANK('Data Entry'!$Ĺ$661), "", 'Data Entry'!$Ĺ$661)</f>
      </c>
      <c r="IP661">
        <f>IF(ISBLANK('Data Entry'!$ĺ$661), "", 'Data Entry'!$ĺ$661)</f>
      </c>
      <c r="IQ661">
        <f>IF(ISBLANK('Data Entry'!$Ļ$661), "", 'Data Entry'!$Ļ$661)</f>
      </c>
      <c r="IR661">
        <f>IF(ISBLANK('Data Entry'!$ļ$661), "", 'Data Entry'!$ļ$661)</f>
      </c>
      <c r="IS661">
        <f>IF(ISBLANK('Data Entry'!$Ľ$661), "", 'Data Entry'!$Ľ$661)</f>
      </c>
      <c r="IT661">
        <f>IF(ISBLANK('Data Entry'!$ľ$661), "", 'Data Entry'!$ľ$661)</f>
      </c>
    </row>
    <row r="662" spans="1:254" x14ac:dyDescent="0.25">
      <c r="A662">
        <f>IF(ISBLANK('Data Entry'!$A$662), "", 'Data Entry'!$A$662)</f>
      </c>
      <c r="B662">
        <f>IF(ISBLANK('Data Entry'!$B$662), "", 'Data Entry'!$B$662)</f>
      </c>
      <c r="C662">
        <f>IF(ISBLANK('Data Entry'!$C$662), "", 'Data Entry'!$C$662)</f>
      </c>
      <c r="D662">
        <f>IF(ISBLANK('Data Entry'!$D$662), "", 'Data Entry'!$D$662)</f>
      </c>
      <c r="E662">
        <f>IF(ISBLANK('Data Entry'!$E$662), "", 'Data Entry'!$E$662)</f>
      </c>
      <c r="F662">
        <f>IF(ISBLANK('Data Entry'!$F$662), "", 'Data Entry'!$F$662)</f>
      </c>
      <c r="G662">
        <f>IF(ISBLANK('Data Entry'!$G$662), "", 'Data Entry'!$G$662)</f>
      </c>
      <c r="H662">
        <f>IF(ISBLANK('Data Entry'!$H$662), "", 'Data Entry'!$H$662)</f>
      </c>
      <c r="I662">
        <f>IF(ISBLANK('Data Entry'!$I$662), "", 'Data Entry'!$I$662)</f>
      </c>
      <c r="J662">
        <f>IF(ISBLANK('Data Entry'!$J$662), "", 'Data Entry'!$J$662)</f>
      </c>
      <c r="K662">
        <f>IF(ISBLANK('Data Entry'!$K$662), "", 'Data Entry'!$K$662)</f>
      </c>
      <c r="L662">
        <f>IF(ISBLANK('Data Entry'!$L$662), "", 'Data Entry'!$L$662)</f>
      </c>
      <c r="M662">
        <f>IF(ISBLANK('Data Entry'!$M$662), "", 'Data Entry'!$M$662)</f>
      </c>
      <c r="N662">
        <f>IF(ISBLANK('Data Entry'!$N$662), "", 'Data Entry'!$N$662)</f>
      </c>
      <c r="O662">
        <f>IF(ISBLANK('Data Entry'!$O$662), "", 'Data Entry'!$O$662)</f>
      </c>
      <c r="P662">
        <f>IF(ISBLANK('Data Entry'!$P$662), "", 'Data Entry'!$P$662)</f>
      </c>
      <c r="Q662">
        <f>IF(ISBLANK('Data Entry'!$Q$662), "", 'Data Entry'!$Q$662)</f>
      </c>
      <c r="R662">
        <f>IF(ISBLANK('Data Entry'!$R$662), "", 'Data Entry'!$R$662)</f>
      </c>
      <c r="S662">
        <f>IF(ISBLANK('Data Entry'!$S$662), "", 'Data Entry'!$S$662)</f>
      </c>
      <c r="T662">
        <f>IF(ISBLANK('Data Entry'!$T$662), "", 'Data Entry'!$T$662)</f>
      </c>
      <c r="U662">
        <f>IF(ISBLANK('Data Entry'!$U$662), "", 'Data Entry'!$U$662)</f>
      </c>
      <c r="V662">
        <f>IF(ISBLANK('Data Entry'!$V$662), "", 'Data Entry'!$V$662)</f>
      </c>
      <c r="W662">
        <f>IF(ISBLANK('Data Entry'!$W$662), "", 'Data Entry'!$W$662)</f>
      </c>
      <c r="X662">
        <f>IF(ISBLANK('Data Entry'!$X$662), "", 'Data Entry'!$X$662)</f>
      </c>
      <c r="Y662">
        <f>IF(ISBLANK('Data Entry'!$Y$662), "", 'Data Entry'!$Y$662)</f>
      </c>
      <c r="Z662">
        <f>IF(ISBLANK('Data Entry'!$Z$662), "", 'Data Entry'!$Z$662)</f>
      </c>
      <c r="AA662">
        <f>IF(ISBLANK('Data Entry'!$[$662), "", 'Data Entry'!$[$662)</f>
      </c>
      <c r="AB662">
        <f>IF(ISBLANK('Data Entry'!$\$662), "", 'Data Entry'!$\$662)</f>
      </c>
      <c r="AC662">
        <f>IF(ISBLANK('Data Entry'!$]$662), "", 'Data Entry'!$]$662)</f>
      </c>
      <c r="AD662">
        <f>IF(ISBLANK('Data Entry'!$^$662), "", 'Data Entry'!$^$662)</f>
      </c>
      <c r="AE662">
        <f>IF(ISBLANK('Data Entry'!$_$662), "", 'Data Entry'!$_$662)</f>
      </c>
      <c r="AF662">
        <f>IF(ISBLANK('Data Entry'!$`$662), "", 'Data Entry'!$`$662)</f>
      </c>
      <c r="AG662">
        <f>IF(ISBLANK('Data Entry'!$a$662), "", 'Data Entry'!$a$662)</f>
      </c>
      <c r="AH662">
        <f>IF(ISBLANK('Data Entry'!$b$662), "", 'Data Entry'!$b$662)</f>
      </c>
      <c r="AI662">
        <f>IF(ISBLANK('Data Entry'!$c$662), "", 'Data Entry'!$c$662)</f>
      </c>
      <c r="AJ662">
        <f>IF(ISBLANK('Data Entry'!$d$662), "", 'Data Entry'!$d$662)</f>
      </c>
      <c r="AK662">
        <f>IF(ISBLANK('Data Entry'!$e$662), "", 'Data Entry'!$e$662)</f>
      </c>
      <c r="AL662">
        <f>IF(ISBLANK('Data Entry'!$f$662), "", 'Data Entry'!$f$662)</f>
      </c>
      <c r="AM662">
        <f>IF(ISBLANK('Data Entry'!$g$662), "", 'Data Entry'!$g$662)</f>
      </c>
      <c r="AN662">
        <f>IF(ISBLANK('Data Entry'!$h$662), "", 'Data Entry'!$h$662)</f>
      </c>
      <c r="AO662">
        <f>IF(ISBLANK('Data Entry'!$i$662), "", 'Data Entry'!$i$662)</f>
      </c>
      <c r="AP662">
        <f>IF(ISBLANK('Data Entry'!$j$662), "", 'Data Entry'!$j$662)</f>
      </c>
      <c r="AQ662">
        <f>IF(ISBLANK('Data Entry'!$k$662), "", 'Data Entry'!$k$662)</f>
      </c>
      <c r="AR662">
        <f>IF(ISBLANK('Data Entry'!$l$662), "", 'Data Entry'!$l$662)</f>
      </c>
      <c r="AS662">
        <f>IF(ISBLANK('Data Entry'!$m$662), "", 'Data Entry'!$m$662)</f>
      </c>
      <c r="AT662">
        <f>IF(ISBLANK('Data Entry'!$n$662), "", 'Data Entry'!$n$662)</f>
      </c>
      <c r="AU662">
        <f>IF(ISBLANK('Data Entry'!$o$662), "", 'Data Entry'!$o$662)</f>
      </c>
      <c r="AV662">
        <f>IF(ISBLANK('Data Entry'!$p$662), "", 'Data Entry'!$p$662)</f>
      </c>
      <c r="AW662">
        <f>IF(ISBLANK('Data Entry'!$q$662), "", 'Data Entry'!$q$662)</f>
      </c>
      <c r="AX662">
        <f>IF(ISBLANK('Data Entry'!$r$662), "", 'Data Entry'!$r$662)</f>
      </c>
      <c r="AY662">
        <f>IF(ISBLANK('Data Entry'!$s$662), "", 'Data Entry'!$s$662)</f>
      </c>
      <c r="AZ662">
        <f>IF(ISBLANK('Data Entry'!$t$662), "", 'Data Entry'!$t$662)</f>
      </c>
      <c r="BA662">
        <f>IF(ISBLANK('Data Entry'!$u$662), "", 'Data Entry'!$u$662)</f>
      </c>
      <c r="BB662">
        <f>IF(ISBLANK('Data Entry'!$v$662), "", 'Data Entry'!$v$662)</f>
      </c>
      <c r="BC662">
        <f>IF(ISBLANK('Data Entry'!$w$662), "", 'Data Entry'!$w$662)</f>
      </c>
      <c r="BD662">
        <f>IF(ISBLANK('Data Entry'!$x$662), "", 'Data Entry'!$x$662)</f>
      </c>
      <c r="BE662">
        <f>IF(ISBLANK('Data Entry'!$y$662), "", 'Data Entry'!$y$662)</f>
      </c>
      <c r="BF662">
        <f>IF(ISBLANK('Data Entry'!$z$662), "", 'Data Entry'!$z$662)</f>
      </c>
      <c r="BG662">
        <f>IF(ISBLANK('Data Entry'!${$662), "", 'Data Entry'!${$662)</f>
      </c>
      <c r="BH662">
        <f>IF(ISBLANK('Data Entry'!$|$662), "", 'Data Entry'!$|$662)</f>
      </c>
      <c r="BI662">
        <f>IF(ISBLANK('Data Entry'!$}$662), "", 'Data Entry'!$}$662)</f>
      </c>
      <c r="BJ662">
        <f>IF(ISBLANK('Data Entry'!$~$662), "", 'Data Entry'!$~$662)</f>
      </c>
      <c r="BK662">
        <f>IF(ISBLANK('Data Entry'!$$662), "", 'Data Entry'!$$662)</f>
      </c>
      <c r="BL662">
        <f>IF(ISBLANK('Data Entry'!$$662), "", 'Data Entry'!$$662)</f>
      </c>
      <c r="BM662">
        <f>IF(ISBLANK('Data Entry'!$$662), "", 'Data Entry'!$$662)</f>
      </c>
      <c r="BN662">
        <f>IF(ISBLANK('Data Entry'!$$662), "", 'Data Entry'!$$662)</f>
      </c>
      <c r="BO662">
        <f>IF(ISBLANK('Data Entry'!$$662), "", 'Data Entry'!$$662)</f>
      </c>
      <c r="BP662">
        <f>IF(ISBLANK('Data Entry'!$$662), "", 'Data Entry'!$$662)</f>
      </c>
      <c r="BQ662">
        <f>IF(ISBLANK('Data Entry'!$$662), "", 'Data Entry'!$$662)</f>
      </c>
      <c r="BR662">
        <f>IF(ISBLANK('Data Entry'!$$662), "", 'Data Entry'!$$662)</f>
      </c>
      <c r="BS662">
        <f>IF(ISBLANK('Data Entry'!$$662), "", 'Data Entry'!$$662)</f>
      </c>
      <c r="BT662">
        <f>IF(ISBLANK('Data Entry'!$$662), "", 'Data Entry'!$$662)</f>
      </c>
      <c r="BU662">
        <f>IF(ISBLANK('Data Entry'!$$662), "", 'Data Entry'!$$662)</f>
      </c>
      <c r="BV662">
        <f>IF(ISBLANK('Data Entry'!$$662), "", 'Data Entry'!$$662)</f>
      </c>
      <c r="BW662">
        <f>IF(ISBLANK('Data Entry'!$$662), "", 'Data Entry'!$$662)</f>
      </c>
      <c r="BX662">
        <f>IF(ISBLANK('Data Entry'!$$662), "", 'Data Entry'!$$662)</f>
      </c>
      <c r="BY662">
        <f>IF(ISBLANK('Data Entry'!$$662), "", 'Data Entry'!$$662)</f>
      </c>
      <c r="BZ662">
        <f>IF(ISBLANK('Data Entry'!$$662), "", 'Data Entry'!$$662)</f>
      </c>
      <c r="CA662">
        <f>IF(ISBLANK('Data Entry'!$$662), "", 'Data Entry'!$$662)</f>
      </c>
      <c r="CB662">
        <f>IF(ISBLANK('Data Entry'!$$662), "", 'Data Entry'!$$662)</f>
      </c>
      <c r="CC662">
        <f>IF(ISBLANK('Data Entry'!$$662), "", 'Data Entry'!$$662)</f>
      </c>
      <c r="CD662">
        <f>IF(ISBLANK('Data Entry'!$$662), "", 'Data Entry'!$$662)</f>
      </c>
      <c r="CE662">
        <f>IF(ISBLANK('Data Entry'!$$662), "", 'Data Entry'!$$662)</f>
      </c>
      <c r="CF662">
        <f>IF(ISBLANK('Data Entry'!$$662), "", 'Data Entry'!$$662)</f>
      </c>
      <c r="CG662">
        <f>IF(ISBLANK('Data Entry'!$$662), "", 'Data Entry'!$$662)</f>
      </c>
      <c r="CH662">
        <f>IF(ISBLANK('Data Entry'!$$662), "", 'Data Entry'!$$662)</f>
      </c>
      <c r="CI662">
        <f>IF(ISBLANK('Data Entry'!$$662), "", 'Data Entry'!$$662)</f>
      </c>
      <c r="CJ662">
        <f>IF(ISBLANK('Data Entry'!$$662), "", 'Data Entry'!$$662)</f>
      </c>
      <c r="CK662">
        <f>IF(ISBLANK('Data Entry'!$$662), "", 'Data Entry'!$$662)</f>
      </c>
      <c r="CL662">
        <f>IF(ISBLANK('Data Entry'!$$662), "", 'Data Entry'!$$662)</f>
      </c>
      <c r="CM662">
        <f>IF(ISBLANK('Data Entry'!$$662), "", 'Data Entry'!$$662)</f>
      </c>
      <c r="CN662">
        <f>IF(ISBLANK('Data Entry'!$$662), "", 'Data Entry'!$$662)</f>
      </c>
      <c r="CO662">
        <f>IF(ISBLANK('Data Entry'!$$662), "", 'Data Entry'!$$662)</f>
      </c>
      <c r="CP662">
        <f>IF(ISBLANK('Data Entry'!$$662), "", 'Data Entry'!$$662)</f>
      </c>
      <c r="CQ662">
        <f>IF(ISBLANK('Data Entry'!$$662), "", 'Data Entry'!$$662)</f>
      </c>
      <c r="CR662">
        <f>IF(ISBLANK('Data Entry'!$ $662), "", 'Data Entry'!$ $662)</f>
      </c>
      <c r="CS662">
        <f>IF(ISBLANK('Data Entry'!$¡$662), "", 'Data Entry'!$¡$662)</f>
      </c>
      <c r="CT662">
        <f>IF(ISBLANK('Data Entry'!$¢$662), "", 'Data Entry'!$¢$662)</f>
      </c>
      <c r="CU662">
        <f>IF(ISBLANK('Data Entry'!$£$662), "", 'Data Entry'!$£$662)</f>
      </c>
      <c r="CV662">
        <f>IF(ISBLANK('Data Entry'!$¤$662), "", 'Data Entry'!$¤$662)</f>
      </c>
      <c r="CW662">
        <f>IF(ISBLANK('Data Entry'!$¥$662), "", 'Data Entry'!$¥$662)</f>
      </c>
      <c r="CX662">
        <f>IF(ISBLANK('Data Entry'!$¦$662), "", 'Data Entry'!$¦$662)</f>
      </c>
      <c r="CY662">
        <f>IF(ISBLANK('Data Entry'!$§$662), "", 'Data Entry'!$§$662)</f>
      </c>
      <c r="CZ662">
        <f>IF(ISBLANK('Data Entry'!$¨$662), "", 'Data Entry'!$¨$662)</f>
      </c>
      <c r="DA662">
        <f>IF(ISBLANK('Data Entry'!$©$662), "", 'Data Entry'!$©$662)</f>
      </c>
      <c r="DB662">
        <f>IF(ISBLANK('Data Entry'!$ª$662), "", 'Data Entry'!$ª$662)</f>
      </c>
      <c r="DC662">
        <f>IF(ISBLANK('Data Entry'!$«$662), "", 'Data Entry'!$«$662)</f>
      </c>
      <c r="DD662">
        <f>IF(ISBLANK('Data Entry'!$¬$662), "", 'Data Entry'!$¬$662)</f>
      </c>
      <c r="DE662">
        <f>IF(ISBLANK('Data Entry'!$­$662), "", 'Data Entry'!$­$662)</f>
      </c>
      <c r="DF662">
        <f>IF(ISBLANK('Data Entry'!$®$662), "", 'Data Entry'!$®$662)</f>
      </c>
      <c r="DG662">
        <f>IF(ISBLANK('Data Entry'!$¯$662), "", 'Data Entry'!$¯$662)</f>
      </c>
      <c r="DH662">
        <f>IF(ISBLANK('Data Entry'!$°$662), "", 'Data Entry'!$°$662)</f>
      </c>
      <c r="DI662">
        <f>IF(ISBLANK('Data Entry'!$±$662), "", 'Data Entry'!$±$662)</f>
      </c>
      <c r="DJ662">
        <f>IF(ISBLANK('Data Entry'!$²$662), "", 'Data Entry'!$²$662)</f>
      </c>
      <c r="DK662">
        <f>IF(ISBLANK('Data Entry'!$³$662), "", 'Data Entry'!$³$662)</f>
      </c>
      <c r="DL662">
        <f>IF(ISBLANK('Data Entry'!$´$662), "", 'Data Entry'!$´$662)</f>
      </c>
      <c r="DM662">
        <f>IF(ISBLANK('Data Entry'!$µ$662), "", 'Data Entry'!$µ$662)</f>
      </c>
      <c r="DN662">
        <f>IF(ISBLANK('Data Entry'!$¶$662), "", 'Data Entry'!$¶$662)</f>
      </c>
      <c r="DO662">
        <f>IF(ISBLANK('Data Entry'!$·$662), "", 'Data Entry'!$·$662)</f>
      </c>
      <c r="DP662">
        <f>IF(ISBLANK('Data Entry'!$¸$662), "", 'Data Entry'!$¸$662)</f>
      </c>
      <c r="DQ662">
        <f>IF(ISBLANK('Data Entry'!$¹$662), "", 'Data Entry'!$¹$662)</f>
      </c>
      <c r="DR662">
        <f>IF(ISBLANK('Data Entry'!$º$662), "", 'Data Entry'!$º$662)</f>
      </c>
      <c r="DS662">
        <f>IF(ISBLANK('Data Entry'!$»$662), "", 'Data Entry'!$»$662)</f>
      </c>
      <c r="DT662">
        <f>IF(ISBLANK('Data Entry'!$¼$662), "", 'Data Entry'!$¼$662)</f>
      </c>
      <c r="DU662">
        <f>IF(ISBLANK('Data Entry'!$½$662), "", 'Data Entry'!$½$662)</f>
      </c>
      <c r="DV662">
        <f>IF(ISBLANK('Data Entry'!$¾$662), "", 'Data Entry'!$¾$662)</f>
      </c>
      <c r="DW662">
        <f>IF(ISBLANK('Data Entry'!$¿$662), "", 'Data Entry'!$¿$662)</f>
      </c>
      <c r="DX662">
        <f>IF(ISBLANK('Data Entry'!$À$662), "", 'Data Entry'!$À$662)</f>
      </c>
      <c r="DY662">
        <f>IF(ISBLANK('Data Entry'!$Á$662), "", 'Data Entry'!$Á$662)</f>
      </c>
      <c r="DZ662">
        <f>IF(ISBLANK('Data Entry'!$Â$662), "", 'Data Entry'!$Â$662)</f>
      </c>
      <c r="EA662">
        <f>IF(ISBLANK('Data Entry'!$Ã$662), "", 'Data Entry'!$Ã$662)</f>
      </c>
      <c r="EB662">
        <f>IF(ISBLANK('Data Entry'!$Ä$662), "", 'Data Entry'!$Ä$662)</f>
      </c>
      <c r="EC662">
        <f>IF(ISBLANK('Data Entry'!$Å$662), "", 'Data Entry'!$Å$662)</f>
      </c>
      <c r="ED662">
        <f>IF(ISBLANK('Data Entry'!$Æ$662), "", 'Data Entry'!$Æ$662)</f>
      </c>
      <c r="EE662">
        <f>IF(ISBLANK('Data Entry'!$Ç$662), "", 'Data Entry'!$Ç$662)</f>
      </c>
      <c r="EF662">
        <f>IF(ISBLANK('Data Entry'!$È$662), "", 'Data Entry'!$È$662)</f>
      </c>
      <c r="EG662">
        <f>IF(ISBLANK('Data Entry'!$É$662), "", 'Data Entry'!$É$662)</f>
      </c>
      <c r="EH662">
        <f>IF(ISBLANK('Data Entry'!$Ê$662), "", 'Data Entry'!$Ê$662)</f>
      </c>
      <c r="EI662">
        <f>IF(ISBLANK('Data Entry'!$Ë$662), "", 'Data Entry'!$Ë$662)</f>
      </c>
      <c r="EJ662">
        <f>IF(ISBLANK('Data Entry'!$Ì$662), "", 'Data Entry'!$Ì$662)</f>
      </c>
      <c r="EK662">
        <f>IF(ISBLANK('Data Entry'!$Í$662), "", 'Data Entry'!$Í$662)</f>
      </c>
      <c r="EL662">
        <f>IF(ISBLANK('Data Entry'!$Î$662), "", 'Data Entry'!$Î$662)</f>
      </c>
      <c r="EM662">
        <f>IF(ISBLANK('Data Entry'!$Ï$662), "", 'Data Entry'!$Ï$662)</f>
      </c>
      <c r="EN662">
        <f>IF(ISBLANK('Data Entry'!$Ð$662), "", 'Data Entry'!$Ð$662)</f>
      </c>
      <c r="EO662">
        <f>IF(ISBLANK('Data Entry'!$Ñ$662), "", 'Data Entry'!$Ñ$662)</f>
      </c>
      <c r="EP662">
        <f>IF(ISBLANK('Data Entry'!$Ò$662), "", 'Data Entry'!$Ò$662)</f>
      </c>
      <c r="EQ662">
        <f>IF(ISBLANK('Data Entry'!$Ó$662), "", 'Data Entry'!$Ó$662)</f>
      </c>
      <c r="ER662">
        <f>IF(ISBLANK('Data Entry'!$Ô$662), "", 'Data Entry'!$Ô$662)</f>
      </c>
      <c r="ES662">
        <f>IF(ISBLANK('Data Entry'!$Õ$662), "", 'Data Entry'!$Õ$662)</f>
      </c>
      <c r="ET662">
        <f>IF(ISBLANK('Data Entry'!$Ö$662), "", 'Data Entry'!$Ö$662)</f>
      </c>
      <c r="EU662">
        <f>IF(ISBLANK('Data Entry'!$×$662), "", 'Data Entry'!$×$662)</f>
      </c>
      <c r="EV662">
        <f>IF(ISBLANK('Data Entry'!$Ø$662), "", 'Data Entry'!$Ø$662)</f>
      </c>
      <c r="EW662">
        <f>IF(ISBLANK('Data Entry'!$Ù$662), "", 'Data Entry'!$Ù$662)</f>
      </c>
      <c r="EX662">
        <f>IF(ISBLANK('Data Entry'!$Ú$662), "", 'Data Entry'!$Ú$662)</f>
      </c>
      <c r="EY662">
        <f>IF(ISBLANK('Data Entry'!$Û$662), "", 'Data Entry'!$Û$662)</f>
      </c>
      <c r="EZ662">
        <f>IF(ISBLANK('Data Entry'!$Ü$662), "", 'Data Entry'!$Ü$662)</f>
      </c>
      <c r="FA662">
        <f>IF(ISBLANK('Data Entry'!$Ý$662), "", 'Data Entry'!$Ý$662)</f>
      </c>
      <c r="FB662">
        <f>IF(ISBLANK('Data Entry'!$Þ$662), "", 'Data Entry'!$Þ$662)</f>
      </c>
      <c r="FC662">
        <f>IF(ISBLANK('Data Entry'!$ß$662), "", 'Data Entry'!$ß$662)</f>
      </c>
      <c r="FD662">
        <f>IF(ISBLANK('Data Entry'!$à$662), "", 'Data Entry'!$à$662)</f>
      </c>
      <c r="FE662">
        <f>IF(ISBLANK('Data Entry'!$á$662), "", 'Data Entry'!$á$662)</f>
      </c>
      <c r="FF662">
        <f>IF(ISBLANK('Data Entry'!$â$662), "", 'Data Entry'!$â$662)</f>
      </c>
      <c r="FG662">
        <f>IF(ISBLANK('Data Entry'!$ã$662), "", 'Data Entry'!$ã$662)</f>
      </c>
      <c r="FH662">
        <f>IF(ISBLANK('Data Entry'!$ä$662), "", 'Data Entry'!$ä$662)</f>
      </c>
      <c r="FI662">
        <f>IF(ISBLANK('Data Entry'!$å$662), "", 'Data Entry'!$å$662)</f>
      </c>
      <c r="FJ662">
        <f>IF(ISBLANK('Data Entry'!$æ$662), "", 'Data Entry'!$æ$662)</f>
      </c>
      <c r="FK662">
        <f>IF(ISBLANK('Data Entry'!$ç$662), "", 'Data Entry'!$ç$662)</f>
      </c>
      <c r="FL662">
        <f>IF(ISBLANK('Data Entry'!$è$662), "", 'Data Entry'!$è$662)</f>
      </c>
      <c r="FM662">
        <f>IF(ISBLANK('Data Entry'!$é$662), "", 'Data Entry'!$é$662)</f>
      </c>
      <c r="FN662">
        <f>IF(ISBLANK('Data Entry'!$ê$662), "", 'Data Entry'!$ê$662)</f>
      </c>
      <c r="FO662">
        <f>IF(ISBLANK('Data Entry'!$ë$662), "", 'Data Entry'!$ë$662)</f>
      </c>
      <c r="FP662">
        <f>IF(ISBLANK('Data Entry'!$ì$662), "", 'Data Entry'!$ì$662)</f>
      </c>
      <c r="FQ662">
        <f>IF(ISBLANK('Data Entry'!$í$662), "", 'Data Entry'!$í$662)</f>
      </c>
      <c r="FR662">
        <f>IF(ISBLANK('Data Entry'!$î$662), "", 'Data Entry'!$î$662)</f>
      </c>
      <c r="FS662">
        <f>IF(ISBLANK('Data Entry'!$ï$662), "", 'Data Entry'!$ï$662)</f>
      </c>
      <c r="FT662">
        <f>IF(ISBLANK('Data Entry'!$ð$662), "", 'Data Entry'!$ð$662)</f>
      </c>
      <c r="FU662">
        <f>IF(ISBLANK('Data Entry'!$ñ$662), "", 'Data Entry'!$ñ$662)</f>
      </c>
      <c r="FV662">
        <f>IF(ISBLANK('Data Entry'!$ò$662), "", 'Data Entry'!$ò$662)</f>
      </c>
      <c r="FW662">
        <f>IF(ISBLANK('Data Entry'!$ó$662), "", 'Data Entry'!$ó$662)</f>
      </c>
      <c r="FX662">
        <f>IF(ISBLANK('Data Entry'!$ô$662), "", 'Data Entry'!$ô$662)</f>
      </c>
      <c r="FY662">
        <f>IF(ISBLANK('Data Entry'!$õ$662), "", 'Data Entry'!$õ$662)</f>
      </c>
      <c r="FZ662">
        <f>IF(ISBLANK('Data Entry'!$ö$662), "", 'Data Entry'!$ö$662)</f>
      </c>
      <c r="GA662">
        <f>IF(ISBLANK('Data Entry'!$÷$662), "", 'Data Entry'!$÷$662)</f>
      </c>
      <c r="GB662">
        <f>IF(ISBLANK('Data Entry'!$ø$662), "", 'Data Entry'!$ø$662)</f>
      </c>
      <c r="GC662">
        <f>IF(ISBLANK('Data Entry'!$ù$662), "", 'Data Entry'!$ù$662)</f>
      </c>
      <c r="GD662">
        <f>IF(ISBLANK('Data Entry'!$ú$662), "", 'Data Entry'!$ú$662)</f>
      </c>
      <c r="GE662">
        <f>IF(ISBLANK('Data Entry'!$û$662), "", 'Data Entry'!$û$662)</f>
      </c>
      <c r="GF662">
        <f>IF(ISBLANK('Data Entry'!$ü$662), "", 'Data Entry'!$ü$662)</f>
      </c>
      <c r="GG662">
        <f>IF(ISBLANK('Data Entry'!$ý$662), "", 'Data Entry'!$ý$662)</f>
      </c>
      <c r="GH662">
        <f>IF(ISBLANK('Data Entry'!$þ$662), "", 'Data Entry'!$þ$662)</f>
      </c>
      <c r="GI662">
        <f>IF(ISBLANK('Data Entry'!$ÿ$662), "", 'Data Entry'!$ÿ$662)</f>
      </c>
      <c r="GJ662">
        <f>IF(ISBLANK('Data Entry'!$Ā$662), "", 'Data Entry'!$Ā$662)</f>
      </c>
      <c r="GK662">
        <f>IF(ISBLANK('Data Entry'!$ā$662), "", 'Data Entry'!$ā$662)</f>
      </c>
      <c r="GL662">
        <f>IF(ISBLANK('Data Entry'!$Ă$662), "", 'Data Entry'!$Ă$662)</f>
      </c>
      <c r="GM662">
        <f>IF(ISBLANK('Data Entry'!$ă$662), "", 'Data Entry'!$ă$662)</f>
      </c>
      <c r="GN662">
        <f>IF(ISBLANK('Data Entry'!$Ą$662), "", 'Data Entry'!$Ą$662)</f>
      </c>
      <c r="GO662">
        <f>IF(ISBLANK('Data Entry'!$ą$662), "", 'Data Entry'!$ą$662)</f>
      </c>
      <c r="GP662">
        <f>IF(ISBLANK('Data Entry'!$Ć$662), "", 'Data Entry'!$Ć$662)</f>
      </c>
      <c r="GQ662">
        <f>IF(ISBLANK('Data Entry'!$ć$662), "", 'Data Entry'!$ć$662)</f>
      </c>
      <c r="GR662">
        <f>IF(ISBLANK('Data Entry'!$Ĉ$662), "", 'Data Entry'!$Ĉ$662)</f>
      </c>
      <c r="GS662">
        <f>IF(ISBLANK('Data Entry'!$ĉ$662), "", 'Data Entry'!$ĉ$662)</f>
      </c>
      <c r="GT662">
        <f>IF(ISBLANK('Data Entry'!$Ċ$662), "", 'Data Entry'!$Ċ$662)</f>
      </c>
      <c r="GU662">
        <f>IF(ISBLANK('Data Entry'!$ċ$662), "", 'Data Entry'!$ċ$662)</f>
      </c>
      <c r="GV662">
        <f>IF(ISBLANK('Data Entry'!$Č$662), "", 'Data Entry'!$Č$662)</f>
      </c>
      <c r="GW662">
        <f>IF(ISBLANK('Data Entry'!$č$662), "", 'Data Entry'!$č$662)</f>
      </c>
      <c r="GX662">
        <f>IF(ISBLANK('Data Entry'!$Ď$662), "", 'Data Entry'!$Ď$662)</f>
      </c>
      <c r="GY662">
        <f>IF(ISBLANK('Data Entry'!$ď$662), "", 'Data Entry'!$ď$662)</f>
      </c>
      <c r="GZ662">
        <f>IF(ISBLANK('Data Entry'!$Đ$662), "", 'Data Entry'!$Đ$662)</f>
      </c>
      <c r="HA662">
        <f>IF(ISBLANK('Data Entry'!$đ$662), "", 'Data Entry'!$đ$662)</f>
      </c>
      <c r="HB662">
        <f>IF(ISBLANK('Data Entry'!$Ē$662), "", 'Data Entry'!$Ē$662)</f>
      </c>
      <c r="HC662">
        <f>IF(ISBLANK('Data Entry'!$ē$662), "", 'Data Entry'!$ē$662)</f>
      </c>
      <c r="HD662">
        <f>IF(ISBLANK('Data Entry'!$Ĕ$662), "", 'Data Entry'!$Ĕ$662)</f>
      </c>
      <c r="HE662">
        <f>IF(ISBLANK('Data Entry'!$ĕ$662), "", 'Data Entry'!$ĕ$662)</f>
      </c>
      <c r="HF662">
        <f>IF(ISBLANK('Data Entry'!$Ė$662), "", 'Data Entry'!$Ė$662)</f>
      </c>
      <c r="HG662">
        <f>IF(ISBLANK('Data Entry'!$ė$662), "", 'Data Entry'!$ė$662)</f>
      </c>
      <c r="HH662">
        <f>IF(ISBLANK('Data Entry'!$Ę$662), "", 'Data Entry'!$Ę$662)</f>
      </c>
      <c r="HI662">
        <f>IF(ISBLANK('Data Entry'!$ę$662), "", 'Data Entry'!$ę$662)</f>
      </c>
      <c r="HJ662">
        <f>IF(ISBLANK('Data Entry'!$Ě$662), "", 'Data Entry'!$Ě$662)</f>
      </c>
      <c r="HK662">
        <f>IF(ISBLANK('Data Entry'!$ě$662), "", 'Data Entry'!$ě$662)</f>
      </c>
      <c r="HL662">
        <f>IF(ISBLANK('Data Entry'!$Ĝ$662), "", 'Data Entry'!$Ĝ$662)</f>
      </c>
      <c r="HM662">
        <f>IF(ISBLANK('Data Entry'!$ĝ$662), "", 'Data Entry'!$ĝ$662)</f>
      </c>
      <c r="HN662">
        <f>IF(ISBLANK('Data Entry'!$Ğ$662), "", 'Data Entry'!$Ğ$662)</f>
      </c>
      <c r="HO662">
        <f>IF(ISBLANK('Data Entry'!$ğ$662), "", 'Data Entry'!$ğ$662)</f>
      </c>
      <c r="HP662">
        <f>IF(ISBLANK('Data Entry'!$Ġ$662), "", 'Data Entry'!$Ġ$662)</f>
      </c>
      <c r="HQ662">
        <f>IF(ISBLANK('Data Entry'!$ġ$662), "", 'Data Entry'!$ġ$662)</f>
      </c>
      <c r="HR662">
        <f>IF(ISBLANK('Data Entry'!$Ģ$662), "", 'Data Entry'!$Ģ$662)</f>
      </c>
      <c r="HS662">
        <f>IF(ISBLANK('Data Entry'!$ģ$662), "", 'Data Entry'!$ģ$662)</f>
      </c>
      <c r="HT662">
        <f>IF(ISBLANK('Data Entry'!$Ĥ$662), "", 'Data Entry'!$Ĥ$662)</f>
      </c>
      <c r="HU662">
        <f>IF(ISBLANK('Data Entry'!$ĥ$662), "", 'Data Entry'!$ĥ$662)</f>
      </c>
      <c r="HV662">
        <f>IF(ISBLANK('Data Entry'!$Ħ$662), "", 'Data Entry'!$Ħ$662)</f>
      </c>
      <c r="HW662">
        <f>IF(ISBLANK('Data Entry'!$ħ$662), "", 'Data Entry'!$ħ$662)</f>
      </c>
      <c r="HX662">
        <f>IF(ISBLANK('Data Entry'!$Ĩ$662), "", 'Data Entry'!$Ĩ$662)</f>
      </c>
      <c r="HY662">
        <f>IF(ISBLANK('Data Entry'!$ĩ$662), "", 'Data Entry'!$ĩ$662)</f>
      </c>
      <c r="HZ662">
        <f>IF(ISBLANK('Data Entry'!$Ī$662), "", 'Data Entry'!$Ī$662)</f>
      </c>
      <c r="IA662">
        <f>IF(ISBLANK('Data Entry'!$ī$662), "", 'Data Entry'!$ī$662)</f>
      </c>
      <c r="IB662">
        <f>IF(ISBLANK('Data Entry'!$Ĭ$662), "", 'Data Entry'!$Ĭ$662)</f>
      </c>
      <c r="IC662">
        <f>IF(ISBLANK('Data Entry'!$ĭ$662), "", 'Data Entry'!$ĭ$662)</f>
      </c>
      <c r="ID662">
        <f>IF(ISBLANK('Data Entry'!$Į$662), "", 'Data Entry'!$Į$662)</f>
      </c>
      <c r="IE662">
        <f>IF(ISBLANK('Data Entry'!$į$662), "", 'Data Entry'!$į$662)</f>
      </c>
      <c r="IF662">
        <f>IF(ISBLANK('Data Entry'!$İ$662), "", 'Data Entry'!$İ$662)</f>
      </c>
      <c r="IG662">
        <f>IF(ISBLANK('Data Entry'!$ı$662), "", 'Data Entry'!$ı$662)</f>
      </c>
      <c r="IH662">
        <f>IF(ISBLANK('Data Entry'!$Ĳ$662), "", 'Data Entry'!$Ĳ$662)</f>
      </c>
      <c r="II662">
        <f>IF(ISBLANK('Data Entry'!$ĳ$662), "", 'Data Entry'!$ĳ$662)</f>
      </c>
      <c r="IJ662">
        <f>IF(ISBLANK('Data Entry'!$Ĵ$662), "", 'Data Entry'!$Ĵ$662)</f>
      </c>
      <c r="IK662">
        <f>IF(ISBLANK('Data Entry'!$ĵ$662), "", 'Data Entry'!$ĵ$662)</f>
      </c>
      <c r="IL662">
        <f>IF(ISBLANK('Data Entry'!$Ķ$662), "", 'Data Entry'!$Ķ$662)</f>
      </c>
      <c r="IM662">
        <f>IF(ISBLANK('Data Entry'!$ķ$662), "", 'Data Entry'!$ķ$662)</f>
      </c>
      <c r="IN662">
        <f>IF(ISBLANK('Data Entry'!$ĸ$662), "", 'Data Entry'!$ĸ$662)</f>
      </c>
      <c r="IO662">
        <f>IF(ISBLANK('Data Entry'!$Ĺ$662), "", 'Data Entry'!$Ĺ$662)</f>
      </c>
      <c r="IP662">
        <f>IF(ISBLANK('Data Entry'!$ĺ$662), "", 'Data Entry'!$ĺ$662)</f>
      </c>
      <c r="IQ662">
        <f>IF(ISBLANK('Data Entry'!$Ļ$662), "", 'Data Entry'!$Ļ$662)</f>
      </c>
      <c r="IR662">
        <f>IF(ISBLANK('Data Entry'!$ļ$662), "", 'Data Entry'!$ļ$662)</f>
      </c>
      <c r="IS662">
        <f>IF(ISBLANK('Data Entry'!$Ľ$662), "", 'Data Entry'!$Ľ$662)</f>
      </c>
      <c r="IT662">
        <f>IF(ISBLANK('Data Entry'!$ľ$662), "", 'Data Entry'!$ľ$662)</f>
      </c>
    </row>
    <row r="663" spans="1:254" x14ac:dyDescent="0.25">
      <c r="A663">
        <f>IF(ISBLANK('Data Entry'!$A$663), "", 'Data Entry'!$A$663)</f>
      </c>
      <c r="B663">
        <f>IF(ISBLANK('Data Entry'!$B$663), "", 'Data Entry'!$B$663)</f>
      </c>
      <c r="C663">
        <f>IF(ISBLANK('Data Entry'!$C$663), "", 'Data Entry'!$C$663)</f>
      </c>
      <c r="D663">
        <f>IF(ISBLANK('Data Entry'!$D$663), "", 'Data Entry'!$D$663)</f>
      </c>
      <c r="E663">
        <f>IF(ISBLANK('Data Entry'!$E$663), "", 'Data Entry'!$E$663)</f>
      </c>
      <c r="F663">
        <f>IF(ISBLANK('Data Entry'!$F$663), "", 'Data Entry'!$F$663)</f>
      </c>
      <c r="G663">
        <f>IF(ISBLANK('Data Entry'!$G$663), "", 'Data Entry'!$G$663)</f>
      </c>
      <c r="H663">
        <f>IF(ISBLANK('Data Entry'!$H$663), "", 'Data Entry'!$H$663)</f>
      </c>
      <c r="I663">
        <f>IF(ISBLANK('Data Entry'!$I$663), "", 'Data Entry'!$I$663)</f>
      </c>
      <c r="J663">
        <f>IF(ISBLANK('Data Entry'!$J$663), "", 'Data Entry'!$J$663)</f>
      </c>
      <c r="K663">
        <f>IF(ISBLANK('Data Entry'!$K$663), "", 'Data Entry'!$K$663)</f>
      </c>
      <c r="L663">
        <f>IF(ISBLANK('Data Entry'!$L$663), "", 'Data Entry'!$L$663)</f>
      </c>
      <c r="M663">
        <f>IF(ISBLANK('Data Entry'!$M$663), "", 'Data Entry'!$M$663)</f>
      </c>
      <c r="N663">
        <f>IF(ISBLANK('Data Entry'!$N$663), "", 'Data Entry'!$N$663)</f>
      </c>
      <c r="O663">
        <f>IF(ISBLANK('Data Entry'!$O$663), "", 'Data Entry'!$O$663)</f>
      </c>
      <c r="P663">
        <f>IF(ISBLANK('Data Entry'!$P$663), "", 'Data Entry'!$P$663)</f>
      </c>
      <c r="Q663">
        <f>IF(ISBLANK('Data Entry'!$Q$663), "", 'Data Entry'!$Q$663)</f>
      </c>
      <c r="R663">
        <f>IF(ISBLANK('Data Entry'!$R$663), "", 'Data Entry'!$R$663)</f>
      </c>
      <c r="S663">
        <f>IF(ISBLANK('Data Entry'!$S$663), "", 'Data Entry'!$S$663)</f>
      </c>
      <c r="T663">
        <f>IF(ISBLANK('Data Entry'!$T$663), "", 'Data Entry'!$T$663)</f>
      </c>
      <c r="U663">
        <f>IF(ISBLANK('Data Entry'!$U$663), "", 'Data Entry'!$U$663)</f>
      </c>
      <c r="V663">
        <f>IF(ISBLANK('Data Entry'!$V$663), "", 'Data Entry'!$V$663)</f>
      </c>
      <c r="W663">
        <f>IF(ISBLANK('Data Entry'!$W$663), "", 'Data Entry'!$W$663)</f>
      </c>
      <c r="X663">
        <f>IF(ISBLANK('Data Entry'!$X$663), "", 'Data Entry'!$X$663)</f>
      </c>
      <c r="Y663">
        <f>IF(ISBLANK('Data Entry'!$Y$663), "", 'Data Entry'!$Y$663)</f>
      </c>
      <c r="Z663">
        <f>IF(ISBLANK('Data Entry'!$Z$663), "", 'Data Entry'!$Z$663)</f>
      </c>
      <c r="AA663">
        <f>IF(ISBLANK('Data Entry'!$[$663), "", 'Data Entry'!$[$663)</f>
      </c>
      <c r="AB663">
        <f>IF(ISBLANK('Data Entry'!$\$663), "", 'Data Entry'!$\$663)</f>
      </c>
      <c r="AC663">
        <f>IF(ISBLANK('Data Entry'!$]$663), "", 'Data Entry'!$]$663)</f>
      </c>
      <c r="AD663">
        <f>IF(ISBLANK('Data Entry'!$^$663), "", 'Data Entry'!$^$663)</f>
      </c>
      <c r="AE663">
        <f>IF(ISBLANK('Data Entry'!$_$663), "", 'Data Entry'!$_$663)</f>
      </c>
      <c r="AF663">
        <f>IF(ISBLANK('Data Entry'!$`$663), "", 'Data Entry'!$`$663)</f>
      </c>
      <c r="AG663">
        <f>IF(ISBLANK('Data Entry'!$a$663), "", 'Data Entry'!$a$663)</f>
      </c>
      <c r="AH663">
        <f>IF(ISBLANK('Data Entry'!$b$663), "", 'Data Entry'!$b$663)</f>
      </c>
      <c r="AI663">
        <f>IF(ISBLANK('Data Entry'!$c$663), "", 'Data Entry'!$c$663)</f>
      </c>
      <c r="AJ663">
        <f>IF(ISBLANK('Data Entry'!$d$663), "", 'Data Entry'!$d$663)</f>
      </c>
      <c r="AK663">
        <f>IF(ISBLANK('Data Entry'!$e$663), "", 'Data Entry'!$e$663)</f>
      </c>
      <c r="AL663">
        <f>IF(ISBLANK('Data Entry'!$f$663), "", 'Data Entry'!$f$663)</f>
      </c>
      <c r="AM663">
        <f>IF(ISBLANK('Data Entry'!$g$663), "", 'Data Entry'!$g$663)</f>
      </c>
      <c r="AN663">
        <f>IF(ISBLANK('Data Entry'!$h$663), "", 'Data Entry'!$h$663)</f>
      </c>
      <c r="AO663">
        <f>IF(ISBLANK('Data Entry'!$i$663), "", 'Data Entry'!$i$663)</f>
      </c>
      <c r="AP663">
        <f>IF(ISBLANK('Data Entry'!$j$663), "", 'Data Entry'!$j$663)</f>
      </c>
      <c r="AQ663">
        <f>IF(ISBLANK('Data Entry'!$k$663), "", 'Data Entry'!$k$663)</f>
      </c>
      <c r="AR663">
        <f>IF(ISBLANK('Data Entry'!$l$663), "", 'Data Entry'!$l$663)</f>
      </c>
      <c r="AS663">
        <f>IF(ISBLANK('Data Entry'!$m$663), "", 'Data Entry'!$m$663)</f>
      </c>
      <c r="AT663">
        <f>IF(ISBLANK('Data Entry'!$n$663), "", 'Data Entry'!$n$663)</f>
      </c>
      <c r="AU663">
        <f>IF(ISBLANK('Data Entry'!$o$663), "", 'Data Entry'!$o$663)</f>
      </c>
      <c r="AV663">
        <f>IF(ISBLANK('Data Entry'!$p$663), "", 'Data Entry'!$p$663)</f>
      </c>
      <c r="AW663">
        <f>IF(ISBLANK('Data Entry'!$q$663), "", 'Data Entry'!$q$663)</f>
      </c>
      <c r="AX663">
        <f>IF(ISBLANK('Data Entry'!$r$663), "", 'Data Entry'!$r$663)</f>
      </c>
      <c r="AY663">
        <f>IF(ISBLANK('Data Entry'!$s$663), "", 'Data Entry'!$s$663)</f>
      </c>
      <c r="AZ663">
        <f>IF(ISBLANK('Data Entry'!$t$663), "", 'Data Entry'!$t$663)</f>
      </c>
      <c r="BA663">
        <f>IF(ISBLANK('Data Entry'!$u$663), "", 'Data Entry'!$u$663)</f>
      </c>
      <c r="BB663">
        <f>IF(ISBLANK('Data Entry'!$v$663), "", 'Data Entry'!$v$663)</f>
      </c>
      <c r="BC663">
        <f>IF(ISBLANK('Data Entry'!$w$663), "", 'Data Entry'!$w$663)</f>
      </c>
      <c r="BD663">
        <f>IF(ISBLANK('Data Entry'!$x$663), "", 'Data Entry'!$x$663)</f>
      </c>
      <c r="BE663">
        <f>IF(ISBLANK('Data Entry'!$y$663), "", 'Data Entry'!$y$663)</f>
      </c>
      <c r="BF663">
        <f>IF(ISBLANK('Data Entry'!$z$663), "", 'Data Entry'!$z$663)</f>
      </c>
      <c r="BG663">
        <f>IF(ISBLANK('Data Entry'!${$663), "", 'Data Entry'!${$663)</f>
      </c>
      <c r="BH663">
        <f>IF(ISBLANK('Data Entry'!$|$663), "", 'Data Entry'!$|$663)</f>
      </c>
      <c r="BI663">
        <f>IF(ISBLANK('Data Entry'!$}$663), "", 'Data Entry'!$}$663)</f>
      </c>
      <c r="BJ663">
        <f>IF(ISBLANK('Data Entry'!$~$663), "", 'Data Entry'!$~$663)</f>
      </c>
      <c r="BK663">
        <f>IF(ISBLANK('Data Entry'!$$663), "", 'Data Entry'!$$663)</f>
      </c>
      <c r="BL663">
        <f>IF(ISBLANK('Data Entry'!$$663), "", 'Data Entry'!$$663)</f>
      </c>
      <c r="BM663">
        <f>IF(ISBLANK('Data Entry'!$$663), "", 'Data Entry'!$$663)</f>
      </c>
      <c r="BN663">
        <f>IF(ISBLANK('Data Entry'!$$663), "", 'Data Entry'!$$663)</f>
      </c>
      <c r="BO663">
        <f>IF(ISBLANK('Data Entry'!$$663), "", 'Data Entry'!$$663)</f>
      </c>
      <c r="BP663">
        <f>IF(ISBLANK('Data Entry'!$$663), "", 'Data Entry'!$$663)</f>
      </c>
      <c r="BQ663">
        <f>IF(ISBLANK('Data Entry'!$$663), "", 'Data Entry'!$$663)</f>
      </c>
      <c r="BR663">
        <f>IF(ISBLANK('Data Entry'!$$663), "", 'Data Entry'!$$663)</f>
      </c>
      <c r="BS663">
        <f>IF(ISBLANK('Data Entry'!$$663), "", 'Data Entry'!$$663)</f>
      </c>
      <c r="BT663">
        <f>IF(ISBLANK('Data Entry'!$$663), "", 'Data Entry'!$$663)</f>
      </c>
      <c r="BU663">
        <f>IF(ISBLANK('Data Entry'!$$663), "", 'Data Entry'!$$663)</f>
      </c>
      <c r="BV663">
        <f>IF(ISBLANK('Data Entry'!$$663), "", 'Data Entry'!$$663)</f>
      </c>
      <c r="BW663">
        <f>IF(ISBLANK('Data Entry'!$$663), "", 'Data Entry'!$$663)</f>
      </c>
      <c r="BX663">
        <f>IF(ISBLANK('Data Entry'!$$663), "", 'Data Entry'!$$663)</f>
      </c>
      <c r="BY663">
        <f>IF(ISBLANK('Data Entry'!$$663), "", 'Data Entry'!$$663)</f>
      </c>
      <c r="BZ663">
        <f>IF(ISBLANK('Data Entry'!$$663), "", 'Data Entry'!$$663)</f>
      </c>
      <c r="CA663">
        <f>IF(ISBLANK('Data Entry'!$$663), "", 'Data Entry'!$$663)</f>
      </c>
      <c r="CB663">
        <f>IF(ISBLANK('Data Entry'!$$663), "", 'Data Entry'!$$663)</f>
      </c>
      <c r="CC663">
        <f>IF(ISBLANK('Data Entry'!$$663), "", 'Data Entry'!$$663)</f>
      </c>
      <c r="CD663">
        <f>IF(ISBLANK('Data Entry'!$$663), "", 'Data Entry'!$$663)</f>
      </c>
      <c r="CE663">
        <f>IF(ISBLANK('Data Entry'!$$663), "", 'Data Entry'!$$663)</f>
      </c>
      <c r="CF663">
        <f>IF(ISBLANK('Data Entry'!$$663), "", 'Data Entry'!$$663)</f>
      </c>
      <c r="CG663">
        <f>IF(ISBLANK('Data Entry'!$$663), "", 'Data Entry'!$$663)</f>
      </c>
      <c r="CH663">
        <f>IF(ISBLANK('Data Entry'!$$663), "", 'Data Entry'!$$663)</f>
      </c>
      <c r="CI663">
        <f>IF(ISBLANK('Data Entry'!$$663), "", 'Data Entry'!$$663)</f>
      </c>
      <c r="CJ663">
        <f>IF(ISBLANK('Data Entry'!$$663), "", 'Data Entry'!$$663)</f>
      </c>
      <c r="CK663">
        <f>IF(ISBLANK('Data Entry'!$$663), "", 'Data Entry'!$$663)</f>
      </c>
      <c r="CL663">
        <f>IF(ISBLANK('Data Entry'!$$663), "", 'Data Entry'!$$663)</f>
      </c>
      <c r="CM663">
        <f>IF(ISBLANK('Data Entry'!$$663), "", 'Data Entry'!$$663)</f>
      </c>
      <c r="CN663">
        <f>IF(ISBLANK('Data Entry'!$$663), "", 'Data Entry'!$$663)</f>
      </c>
      <c r="CO663">
        <f>IF(ISBLANK('Data Entry'!$$663), "", 'Data Entry'!$$663)</f>
      </c>
      <c r="CP663">
        <f>IF(ISBLANK('Data Entry'!$$663), "", 'Data Entry'!$$663)</f>
      </c>
      <c r="CQ663">
        <f>IF(ISBLANK('Data Entry'!$$663), "", 'Data Entry'!$$663)</f>
      </c>
      <c r="CR663">
        <f>IF(ISBLANK('Data Entry'!$ $663), "", 'Data Entry'!$ $663)</f>
      </c>
      <c r="CS663">
        <f>IF(ISBLANK('Data Entry'!$¡$663), "", 'Data Entry'!$¡$663)</f>
      </c>
      <c r="CT663">
        <f>IF(ISBLANK('Data Entry'!$¢$663), "", 'Data Entry'!$¢$663)</f>
      </c>
      <c r="CU663">
        <f>IF(ISBLANK('Data Entry'!$£$663), "", 'Data Entry'!$£$663)</f>
      </c>
      <c r="CV663">
        <f>IF(ISBLANK('Data Entry'!$¤$663), "", 'Data Entry'!$¤$663)</f>
      </c>
      <c r="CW663">
        <f>IF(ISBLANK('Data Entry'!$¥$663), "", 'Data Entry'!$¥$663)</f>
      </c>
      <c r="CX663">
        <f>IF(ISBLANK('Data Entry'!$¦$663), "", 'Data Entry'!$¦$663)</f>
      </c>
      <c r="CY663">
        <f>IF(ISBLANK('Data Entry'!$§$663), "", 'Data Entry'!$§$663)</f>
      </c>
      <c r="CZ663">
        <f>IF(ISBLANK('Data Entry'!$¨$663), "", 'Data Entry'!$¨$663)</f>
      </c>
      <c r="DA663">
        <f>IF(ISBLANK('Data Entry'!$©$663), "", 'Data Entry'!$©$663)</f>
      </c>
      <c r="DB663">
        <f>IF(ISBLANK('Data Entry'!$ª$663), "", 'Data Entry'!$ª$663)</f>
      </c>
      <c r="DC663">
        <f>IF(ISBLANK('Data Entry'!$«$663), "", 'Data Entry'!$«$663)</f>
      </c>
      <c r="DD663">
        <f>IF(ISBLANK('Data Entry'!$¬$663), "", 'Data Entry'!$¬$663)</f>
      </c>
      <c r="DE663">
        <f>IF(ISBLANK('Data Entry'!$­$663), "", 'Data Entry'!$­$663)</f>
      </c>
      <c r="DF663">
        <f>IF(ISBLANK('Data Entry'!$®$663), "", 'Data Entry'!$®$663)</f>
      </c>
      <c r="DG663">
        <f>IF(ISBLANK('Data Entry'!$¯$663), "", 'Data Entry'!$¯$663)</f>
      </c>
      <c r="DH663">
        <f>IF(ISBLANK('Data Entry'!$°$663), "", 'Data Entry'!$°$663)</f>
      </c>
      <c r="DI663">
        <f>IF(ISBLANK('Data Entry'!$±$663), "", 'Data Entry'!$±$663)</f>
      </c>
      <c r="DJ663">
        <f>IF(ISBLANK('Data Entry'!$²$663), "", 'Data Entry'!$²$663)</f>
      </c>
      <c r="DK663">
        <f>IF(ISBLANK('Data Entry'!$³$663), "", 'Data Entry'!$³$663)</f>
      </c>
      <c r="DL663">
        <f>IF(ISBLANK('Data Entry'!$´$663), "", 'Data Entry'!$´$663)</f>
      </c>
      <c r="DM663">
        <f>IF(ISBLANK('Data Entry'!$µ$663), "", 'Data Entry'!$µ$663)</f>
      </c>
      <c r="DN663">
        <f>IF(ISBLANK('Data Entry'!$¶$663), "", 'Data Entry'!$¶$663)</f>
      </c>
      <c r="DO663">
        <f>IF(ISBLANK('Data Entry'!$·$663), "", 'Data Entry'!$·$663)</f>
      </c>
      <c r="DP663">
        <f>IF(ISBLANK('Data Entry'!$¸$663), "", 'Data Entry'!$¸$663)</f>
      </c>
      <c r="DQ663">
        <f>IF(ISBLANK('Data Entry'!$¹$663), "", 'Data Entry'!$¹$663)</f>
      </c>
      <c r="DR663">
        <f>IF(ISBLANK('Data Entry'!$º$663), "", 'Data Entry'!$º$663)</f>
      </c>
      <c r="DS663">
        <f>IF(ISBLANK('Data Entry'!$»$663), "", 'Data Entry'!$»$663)</f>
      </c>
      <c r="DT663">
        <f>IF(ISBLANK('Data Entry'!$¼$663), "", 'Data Entry'!$¼$663)</f>
      </c>
      <c r="DU663">
        <f>IF(ISBLANK('Data Entry'!$½$663), "", 'Data Entry'!$½$663)</f>
      </c>
      <c r="DV663">
        <f>IF(ISBLANK('Data Entry'!$¾$663), "", 'Data Entry'!$¾$663)</f>
      </c>
      <c r="DW663">
        <f>IF(ISBLANK('Data Entry'!$¿$663), "", 'Data Entry'!$¿$663)</f>
      </c>
      <c r="DX663">
        <f>IF(ISBLANK('Data Entry'!$À$663), "", 'Data Entry'!$À$663)</f>
      </c>
      <c r="DY663">
        <f>IF(ISBLANK('Data Entry'!$Á$663), "", 'Data Entry'!$Á$663)</f>
      </c>
      <c r="DZ663">
        <f>IF(ISBLANK('Data Entry'!$Â$663), "", 'Data Entry'!$Â$663)</f>
      </c>
      <c r="EA663">
        <f>IF(ISBLANK('Data Entry'!$Ã$663), "", 'Data Entry'!$Ã$663)</f>
      </c>
      <c r="EB663">
        <f>IF(ISBLANK('Data Entry'!$Ä$663), "", 'Data Entry'!$Ä$663)</f>
      </c>
      <c r="EC663">
        <f>IF(ISBLANK('Data Entry'!$Å$663), "", 'Data Entry'!$Å$663)</f>
      </c>
      <c r="ED663">
        <f>IF(ISBLANK('Data Entry'!$Æ$663), "", 'Data Entry'!$Æ$663)</f>
      </c>
      <c r="EE663">
        <f>IF(ISBLANK('Data Entry'!$Ç$663), "", 'Data Entry'!$Ç$663)</f>
      </c>
      <c r="EF663">
        <f>IF(ISBLANK('Data Entry'!$È$663), "", 'Data Entry'!$È$663)</f>
      </c>
      <c r="EG663">
        <f>IF(ISBLANK('Data Entry'!$É$663), "", 'Data Entry'!$É$663)</f>
      </c>
      <c r="EH663">
        <f>IF(ISBLANK('Data Entry'!$Ê$663), "", 'Data Entry'!$Ê$663)</f>
      </c>
      <c r="EI663">
        <f>IF(ISBLANK('Data Entry'!$Ë$663), "", 'Data Entry'!$Ë$663)</f>
      </c>
      <c r="EJ663">
        <f>IF(ISBLANK('Data Entry'!$Ì$663), "", 'Data Entry'!$Ì$663)</f>
      </c>
      <c r="EK663">
        <f>IF(ISBLANK('Data Entry'!$Í$663), "", 'Data Entry'!$Í$663)</f>
      </c>
      <c r="EL663">
        <f>IF(ISBLANK('Data Entry'!$Î$663), "", 'Data Entry'!$Î$663)</f>
      </c>
      <c r="EM663">
        <f>IF(ISBLANK('Data Entry'!$Ï$663), "", 'Data Entry'!$Ï$663)</f>
      </c>
      <c r="EN663">
        <f>IF(ISBLANK('Data Entry'!$Ð$663), "", 'Data Entry'!$Ð$663)</f>
      </c>
      <c r="EO663">
        <f>IF(ISBLANK('Data Entry'!$Ñ$663), "", 'Data Entry'!$Ñ$663)</f>
      </c>
      <c r="EP663">
        <f>IF(ISBLANK('Data Entry'!$Ò$663), "", 'Data Entry'!$Ò$663)</f>
      </c>
      <c r="EQ663">
        <f>IF(ISBLANK('Data Entry'!$Ó$663), "", 'Data Entry'!$Ó$663)</f>
      </c>
      <c r="ER663">
        <f>IF(ISBLANK('Data Entry'!$Ô$663), "", 'Data Entry'!$Ô$663)</f>
      </c>
      <c r="ES663">
        <f>IF(ISBLANK('Data Entry'!$Õ$663), "", 'Data Entry'!$Õ$663)</f>
      </c>
      <c r="ET663">
        <f>IF(ISBLANK('Data Entry'!$Ö$663), "", 'Data Entry'!$Ö$663)</f>
      </c>
      <c r="EU663">
        <f>IF(ISBLANK('Data Entry'!$×$663), "", 'Data Entry'!$×$663)</f>
      </c>
      <c r="EV663">
        <f>IF(ISBLANK('Data Entry'!$Ø$663), "", 'Data Entry'!$Ø$663)</f>
      </c>
      <c r="EW663">
        <f>IF(ISBLANK('Data Entry'!$Ù$663), "", 'Data Entry'!$Ù$663)</f>
      </c>
      <c r="EX663">
        <f>IF(ISBLANK('Data Entry'!$Ú$663), "", 'Data Entry'!$Ú$663)</f>
      </c>
      <c r="EY663">
        <f>IF(ISBLANK('Data Entry'!$Û$663), "", 'Data Entry'!$Û$663)</f>
      </c>
      <c r="EZ663">
        <f>IF(ISBLANK('Data Entry'!$Ü$663), "", 'Data Entry'!$Ü$663)</f>
      </c>
      <c r="FA663">
        <f>IF(ISBLANK('Data Entry'!$Ý$663), "", 'Data Entry'!$Ý$663)</f>
      </c>
      <c r="FB663">
        <f>IF(ISBLANK('Data Entry'!$Þ$663), "", 'Data Entry'!$Þ$663)</f>
      </c>
      <c r="FC663">
        <f>IF(ISBLANK('Data Entry'!$ß$663), "", 'Data Entry'!$ß$663)</f>
      </c>
      <c r="FD663">
        <f>IF(ISBLANK('Data Entry'!$à$663), "", 'Data Entry'!$à$663)</f>
      </c>
      <c r="FE663">
        <f>IF(ISBLANK('Data Entry'!$á$663), "", 'Data Entry'!$á$663)</f>
      </c>
      <c r="FF663">
        <f>IF(ISBLANK('Data Entry'!$â$663), "", 'Data Entry'!$â$663)</f>
      </c>
      <c r="FG663">
        <f>IF(ISBLANK('Data Entry'!$ã$663), "", 'Data Entry'!$ã$663)</f>
      </c>
      <c r="FH663">
        <f>IF(ISBLANK('Data Entry'!$ä$663), "", 'Data Entry'!$ä$663)</f>
      </c>
      <c r="FI663">
        <f>IF(ISBLANK('Data Entry'!$å$663), "", 'Data Entry'!$å$663)</f>
      </c>
      <c r="FJ663">
        <f>IF(ISBLANK('Data Entry'!$æ$663), "", 'Data Entry'!$æ$663)</f>
      </c>
      <c r="FK663">
        <f>IF(ISBLANK('Data Entry'!$ç$663), "", 'Data Entry'!$ç$663)</f>
      </c>
      <c r="FL663">
        <f>IF(ISBLANK('Data Entry'!$è$663), "", 'Data Entry'!$è$663)</f>
      </c>
      <c r="FM663">
        <f>IF(ISBLANK('Data Entry'!$é$663), "", 'Data Entry'!$é$663)</f>
      </c>
      <c r="FN663">
        <f>IF(ISBLANK('Data Entry'!$ê$663), "", 'Data Entry'!$ê$663)</f>
      </c>
      <c r="FO663">
        <f>IF(ISBLANK('Data Entry'!$ë$663), "", 'Data Entry'!$ë$663)</f>
      </c>
      <c r="FP663">
        <f>IF(ISBLANK('Data Entry'!$ì$663), "", 'Data Entry'!$ì$663)</f>
      </c>
      <c r="FQ663">
        <f>IF(ISBLANK('Data Entry'!$í$663), "", 'Data Entry'!$í$663)</f>
      </c>
      <c r="FR663">
        <f>IF(ISBLANK('Data Entry'!$î$663), "", 'Data Entry'!$î$663)</f>
      </c>
      <c r="FS663">
        <f>IF(ISBLANK('Data Entry'!$ï$663), "", 'Data Entry'!$ï$663)</f>
      </c>
      <c r="FT663">
        <f>IF(ISBLANK('Data Entry'!$ð$663), "", 'Data Entry'!$ð$663)</f>
      </c>
      <c r="FU663">
        <f>IF(ISBLANK('Data Entry'!$ñ$663), "", 'Data Entry'!$ñ$663)</f>
      </c>
      <c r="FV663">
        <f>IF(ISBLANK('Data Entry'!$ò$663), "", 'Data Entry'!$ò$663)</f>
      </c>
      <c r="FW663">
        <f>IF(ISBLANK('Data Entry'!$ó$663), "", 'Data Entry'!$ó$663)</f>
      </c>
      <c r="FX663">
        <f>IF(ISBLANK('Data Entry'!$ô$663), "", 'Data Entry'!$ô$663)</f>
      </c>
      <c r="FY663">
        <f>IF(ISBLANK('Data Entry'!$õ$663), "", 'Data Entry'!$õ$663)</f>
      </c>
      <c r="FZ663">
        <f>IF(ISBLANK('Data Entry'!$ö$663), "", 'Data Entry'!$ö$663)</f>
      </c>
      <c r="GA663">
        <f>IF(ISBLANK('Data Entry'!$÷$663), "", 'Data Entry'!$÷$663)</f>
      </c>
      <c r="GB663">
        <f>IF(ISBLANK('Data Entry'!$ø$663), "", 'Data Entry'!$ø$663)</f>
      </c>
      <c r="GC663">
        <f>IF(ISBLANK('Data Entry'!$ù$663), "", 'Data Entry'!$ù$663)</f>
      </c>
      <c r="GD663">
        <f>IF(ISBLANK('Data Entry'!$ú$663), "", 'Data Entry'!$ú$663)</f>
      </c>
      <c r="GE663">
        <f>IF(ISBLANK('Data Entry'!$û$663), "", 'Data Entry'!$û$663)</f>
      </c>
      <c r="GF663">
        <f>IF(ISBLANK('Data Entry'!$ü$663), "", 'Data Entry'!$ü$663)</f>
      </c>
      <c r="GG663">
        <f>IF(ISBLANK('Data Entry'!$ý$663), "", 'Data Entry'!$ý$663)</f>
      </c>
      <c r="GH663">
        <f>IF(ISBLANK('Data Entry'!$þ$663), "", 'Data Entry'!$þ$663)</f>
      </c>
      <c r="GI663">
        <f>IF(ISBLANK('Data Entry'!$ÿ$663), "", 'Data Entry'!$ÿ$663)</f>
      </c>
      <c r="GJ663">
        <f>IF(ISBLANK('Data Entry'!$Ā$663), "", 'Data Entry'!$Ā$663)</f>
      </c>
      <c r="GK663">
        <f>IF(ISBLANK('Data Entry'!$ā$663), "", 'Data Entry'!$ā$663)</f>
      </c>
      <c r="GL663">
        <f>IF(ISBLANK('Data Entry'!$Ă$663), "", 'Data Entry'!$Ă$663)</f>
      </c>
      <c r="GM663">
        <f>IF(ISBLANK('Data Entry'!$ă$663), "", 'Data Entry'!$ă$663)</f>
      </c>
      <c r="GN663">
        <f>IF(ISBLANK('Data Entry'!$Ą$663), "", 'Data Entry'!$Ą$663)</f>
      </c>
      <c r="GO663">
        <f>IF(ISBLANK('Data Entry'!$ą$663), "", 'Data Entry'!$ą$663)</f>
      </c>
      <c r="GP663">
        <f>IF(ISBLANK('Data Entry'!$Ć$663), "", 'Data Entry'!$Ć$663)</f>
      </c>
      <c r="GQ663">
        <f>IF(ISBLANK('Data Entry'!$ć$663), "", 'Data Entry'!$ć$663)</f>
      </c>
      <c r="GR663">
        <f>IF(ISBLANK('Data Entry'!$Ĉ$663), "", 'Data Entry'!$Ĉ$663)</f>
      </c>
      <c r="GS663">
        <f>IF(ISBLANK('Data Entry'!$ĉ$663), "", 'Data Entry'!$ĉ$663)</f>
      </c>
      <c r="GT663">
        <f>IF(ISBLANK('Data Entry'!$Ċ$663), "", 'Data Entry'!$Ċ$663)</f>
      </c>
      <c r="GU663">
        <f>IF(ISBLANK('Data Entry'!$ċ$663), "", 'Data Entry'!$ċ$663)</f>
      </c>
      <c r="GV663">
        <f>IF(ISBLANK('Data Entry'!$Č$663), "", 'Data Entry'!$Č$663)</f>
      </c>
      <c r="GW663">
        <f>IF(ISBLANK('Data Entry'!$č$663), "", 'Data Entry'!$č$663)</f>
      </c>
      <c r="GX663">
        <f>IF(ISBLANK('Data Entry'!$Ď$663), "", 'Data Entry'!$Ď$663)</f>
      </c>
      <c r="GY663">
        <f>IF(ISBLANK('Data Entry'!$ď$663), "", 'Data Entry'!$ď$663)</f>
      </c>
      <c r="GZ663">
        <f>IF(ISBLANK('Data Entry'!$Đ$663), "", 'Data Entry'!$Đ$663)</f>
      </c>
      <c r="HA663">
        <f>IF(ISBLANK('Data Entry'!$đ$663), "", 'Data Entry'!$đ$663)</f>
      </c>
      <c r="HB663">
        <f>IF(ISBLANK('Data Entry'!$Ē$663), "", 'Data Entry'!$Ē$663)</f>
      </c>
      <c r="HC663">
        <f>IF(ISBLANK('Data Entry'!$ē$663), "", 'Data Entry'!$ē$663)</f>
      </c>
      <c r="HD663">
        <f>IF(ISBLANK('Data Entry'!$Ĕ$663), "", 'Data Entry'!$Ĕ$663)</f>
      </c>
      <c r="HE663">
        <f>IF(ISBLANK('Data Entry'!$ĕ$663), "", 'Data Entry'!$ĕ$663)</f>
      </c>
      <c r="HF663">
        <f>IF(ISBLANK('Data Entry'!$Ė$663), "", 'Data Entry'!$Ė$663)</f>
      </c>
      <c r="HG663">
        <f>IF(ISBLANK('Data Entry'!$ė$663), "", 'Data Entry'!$ė$663)</f>
      </c>
      <c r="HH663">
        <f>IF(ISBLANK('Data Entry'!$Ę$663), "", 'Data Entry'!$Ę$663)</f>
      </c>
      <c r="HI663">
        <f>IF(ISBLANK('Data Entry'!$ę$663), "", 'Data Entry'!$ę$663)</f>
      </c>
      <c r="HJ663">
        <f>IF(ISBLANK('Data Entry'!$Ě$663), "", 'Data Entry'!$Ě$663)</f>
      </c>
      <c r="HK663">
        <f>IF(ISBLANK('Data Entry'!$ě$663), "", 'Data Entry'!$ě$663)</f>
      </c>
      <c r="HL663">
        <f>IF(ISBLANK('Data Entry'!$Ĝ$663), "", 'Data Entry'!$Ĝ$663)</f>
      </c>
      <c r="HM663">
        <f>IF(ISBLANK('Data Entry'!$ĝ$663), "", 'Data Entry'!$ĝ$663)</f>
      </c>
      <c r="HN663">
        <f>IF(ISBLANK('Data Entry'!$Ğ$663), "", 'Data Entry'!$Ğ$663)</f>
      </c>
      <c r="HO663">
        <f>IF(ISBLANK('Data Entry'!$ğ$663), "", 'Data Entry'!$ğ$663)</f>
      </c>
      <c r="HP663">
        <f>IF(ISBLANK('Data Entry'!$Ġ$663), "", 'Data Entry'!$Ġ$663)</f>
      </c>
      <c r="HQ663">
        <f>IF(ISBLANK('Data Entry'!$ġ$663), "", 'Data Entry'!$ġ$663)</f>
      </c>
      <c r="HR663">
        <f>IF(ISBLANK('Data Entry'!$Ģ$663), "", 'Data Entry'!$Ģ$663)</f>
      </c>
      <c r="HS663">
        <f>IF(ISBLANK('Data Entry'!$ģ$663), "", 'Data Entry'!$ģ$663)</f>
      </c>
      <c r="HT663">
        <f>IF(ISBLANK('Data Entry'!$Ĥ$663), "", 'Data Entry'!$Ĥ$663)</f>
      </c>
      <c r="HU663">
        <f>IF(ISBLANK('Data Entry'!$ĥ$663), "", 'Data Entry'!$ĥ$663)</f>
      </c>
      <c r="HV663">
        <f>IF(ISBLANK('Data Entry'!$Ħ$663), "", 'Data Entry'!$Ħ$663)</f>
      </c>
      <c r="HW663">
        <f>IF(ISBLANK('Data Entry'!$ħ$663), "", 'Data Entry'!$ħ$663)</f>
      </c>
      <c r="HX663">
        <f>IF(ISBLANK('Data Entry'!$Ĩ$663), "", 'Data Entry'!$Ĩ$663)</f>
      </c>
      <c r="HY663">
        <f>IF(ISBLANK('Data Entry'!$ĩ$663), "", 'Data Entry'!$ĩ$663)</f>
      </c>
      <c r="HZ663">
        <f>IF(ISBLANK('Data Entry'!$Ī$663), "", 'Data Entry'!$Ī$663)</f>
      </c>
      <c r="IA663">
        <f>IF(ISBLANK('Data Entry'!$ī$663), "", 'Data Entry'!$ī$663)</f>
      </c>
      <c r="IB663">
        <f>IF(ISBLANK('Data Entry'!$Ĭ$663), "", 'Data Entry'!$Ĭ$663)</f>
      </c>
      <c r="IC663">
        <f>IF(ISBLANK('Data Entry'!$ĭ$663), "", 'Data Entry'!$ĭ$663)</f>
      </c>
      <c r="ID663">
        <f>IF(ISBLANK('Data Entry'!$Į$663), "", 'Data Entry'!$Į$663)</f>
      </c>
      <c r="IE663">
        <f>IF(ISBLANK('Data Entry'!$į$663), "", 'Data Entry'!$į$663)</f>
      </c>
      <c r="IF663">
        <f>IF(ISBLANK('Data Entry'!$İ$663), "", 'Data Entry'!$İ$663)</f>
      </c>
      <c r="IG663">
        <f>IF(ISBLANK('Data Entry'!$ı$663), "", 'Data Entry'!$ı$663)</f>
      </c>
      <c r="IH663">
        <f>IF(ISBLANK('Data Entry'!$Ĳ$663), "", 'Data Entry'!$Ĳ$663)</f>
      </c>
      <c r="II663">
        <f>IF(ISBLANK('Data Entry'!$ĳ$663), "", 'Data Entry'!$ĳ$663)</f>
      </c>
      <c r="IJ663">
        <f>IF(ISBLANK('Data Entry'!$Ĵ$663), "", 'Data Entry'!$Ĵ$663)</f>
      </c>
      <c r="IK663">
        <f>IF(ISBLANK('Data Entry'!$ĵ$663), "", 'Data Entry'!$ĵ$663)</f>
      </c>
      <c r="IL663">
        <f>IF(ISBLANK('Data Entry'!$Ķ$663), "", 'Data Entry'!$Ķ$663)</f>
      </c>
      <c r="IM663">
        <f>IF(ISBLANK('Data Entry'!$ķ$663), "", 'Data Entry'!$ķ$663)</f>
      </c>
      <c r="IN663">
        <f>IF(ISBLANK('Data Entry'!$ĸ$663), "", 'Data Entry'!$ĸ$663)</f>
      </c>
      <c r="IO663">
        <f>IF(ISBLANK('Data Entry'!$Ĺ$663), "", 'Data Entry'!$Ĺ$663)</f>
      </c>
      <c r="IP663">
        <f>IF(ISBLANK('Data Entry'!$ĺ$663), "", 'Data Entry'!$ĺ$663)</f>
      </c>
      <c r="IQ663">
        <f>IF(ISBLANK('Data Entry'!$Ļ$663), "", 'Data Entry'!$Ļ$663)</f>
      </c>
      <c r="IR663">
        <f>IF(ISBLANK('Data Entry'!$ļ$663), "", 'Data Entry'!$ļ$663)</f>
      </c>
      <c r="IS663">
        <f>IF(ISBLANK('Data Entry'!$Ľ$663), "", 'Data Entry'!$Ľ$663)</f>
      </c>
      <c r="IT663">
        <f>IF(ISBLANK('Data Entry'!$ľ$663), "", 'Data Entry'!$ľ$663)</f>
      </c>
    </row>
    <row r="664" spans="1:254" x14ac:dyDescent="0.25">
      <c r="A664">
        <f>IF(ISBLANK('Data Entry'!$A$664), "", 'Data Entry'!$A$664)</f>
      </c>
      <c r="B664">
        <f>IF(ISBLANK('Data Entry'!$B$664), "", 'Data Entry'!$B$664)</f>
      </c>
      <c r="C664">
        <f>IF(ISBLANK('Data Entry'!$C$664), "", 'Data Entry'!$C$664)</f>
      </c>
      <c r="D664">
        <f>IF(ISBLANK('Data Entry'!$D$664), "", 'Data Entry'!$D$664)</f>
      </c>
      <c r="E664">
        <f>IF(ISBLANK('Data Entry'!$E$664), "", 'Data Entry'!$E$664)</f>
      </c>
      <c r="F664">
        <f>IF(ISBLANK('Data Entry'!$F$664), "", 'Data Entry'!$F$664)</f>
      </c>
      <c r="G664">
        <f>IF(ISBLANK('Data Entry'!$G$664), "", 'Data Entry'!$G$664)</f>
      </c>
      <c r="H664">
        <f>IF(ISBLANK('Data Entry'!$H$664), "", 'Data Entry'!$H$664)</f>
      </c>
      <c r="I664">
        <f>IF(ISBLANK('Data Entry'!$I$664), "", 'Data Entry'!$I$664)</f>
      </c>
      <c r="J664">
        <f>IF(ISBLANK('Data Entry'!$J$664), "", 'Data Entry'!$J$664)</f>
      </c>
      <c r="K664">
        <f>IF(ISBLANK('Data Entry'!$K$664), "", 'Data Entry'!$K$664)</f>
      </c>
      <c r="L664">
        <f>IF(ISBLANK('Data Entry'!$L$664), "", 'Data Entry'!$L$664)</f>
      </c>
      <c r="M664">
        <f>IF(ISBLANK('Data Entry'!$M$664), "", 'Data Entry'!$M$664)</f>
      </c>
      <c r="N664">
        <f>IF(ISBLANK('Data Entry'!$N$664), "", 'Data Entry'!$N$664)</f>
      </c>
      <c r="O664">
        <f>IF(ISBLANK('Data Entry'!$O$664), "", 'Data Entry'!$O$664)</f>
      </c>
      <c r="P664">
        <f>IF(ISBLANK('Data Entry'!$P$664), "", 'Data Entry'!$P$664)</f>
      </c>
      <c r="Q664">
        <f>IF(ISBLANK('Data Entry'!$Q$664), "", 'Data Entry'!$Q$664)</f>
      </c>
      <c r="R664">
        <f>IF(ISBLANK('Data Entry'!$R$664), "", 'Data Entry'!$R$664)</f>
      </c>
      <c r="S664">
        <f>IF(ISBLANK('Data Entry'!$S$664), "", 'Data Entry'!$S$664)</f>
      </c>
      <c r="T664">
        <f>IF(ISBLANK('Data Entry'!$T$664), "", 'Data Entry'!$T$664)</f>
      </c>
      <c r="U664">
        <f>IF(ISBLANK('Data Entry'!$U$664), "", 'Data Entry'!$U$664)</f>
      </c>
      <c r="V664">
        <f>IF(ISBLANK('Data Entry'!$V$664), "", 'Data Entry'!$V$664)</f>
      </c>
      <c r="W664">
        <f>IF(ISBLANK('Data Entry'!$W$664), "", 'Data Entry'!$W$664)</f>
      </c>
      <c r="X664">
        <f>IF(ISBLANK('Data Entry'!$X$664), "", 'Data Entry'!$X$664)</f>
      </c>
      <c r="Y664">
        <f>IF(ISBLANK('Data Entry'!$Y$664), "", 'Data Entry'!$Y$664)</f>
      </c>
      <c r="Z664">
        <f>IF(ISBLANK('Data Entry'!$Z$664), "", 'Data Entry'!$Z$664)</f>
      </c>
      <c r="AA664">
        <f>IF(ISBLANK('Data Entry'!$[$664), "", 'Data Entry'!$[$664)</f>
      </c>
      <c r="AB664">
        <f>IF(ISBLANK('Data Entry'!$\$664), "", 'Data Entry'!$\$664)</f>
      </c>
      <c r="AC664">
        <f>IF(ISBLANK('Data Entry'!$]$664), "", 'Data Entry'!$]$664)</f>
      </c>
      <c r="AD664">
        <f>IF(ISBLANK('Data Entry'!$^$664), "", 'Data Entry'!$^$664)</f>
      </c>
      <c r="AE664">
        <f>IF(ISBLANK('Data Entry'!$_$664), "", 'Data Entry'!$_$664)</f>
      </c>
      <c r="AF664">
        <f>IF(ISBLANK('Data Entry'!$`$664), "", 'Data Entry'!$`$664)</f>
      </c>
      <c r="AG664">
        <f>IF(ISBLANK('Data Entry'!$a$664), "", 'Data Entry'!$a$664)</f>
      </c>
      <c r="AH664">
        <f>IF(ISBLANK('Data Entry'!$b$664), "", 'Data Entry'!$b$664)</f>
      </c>
      <c r="AI664">
        <f>IF(ISBLANK('Data Entry'!$c$664), "", 'Data Entry'!$c$664)</f>
      </c>
      <c r="AJ664">
        <f>IF(ISBLANK('Data Entry'!$d$664), "", 'Data Entry'!$d$664)</f>
      </c>
      <c r="AK664">
        <f>IF(ISBLANK('Data Entry'!$e$664), "", 'Data Entry'!$e$664)</f>
      </c>
      <c r="AL664">
        <f>IF(ISBLANK('Data Entry'!$f$664), "", 'Data Entry'!$f$664)</f>
      </c>
      <c r="AM664">
        <f>IF(ISBLANK('Data Entry'!$g$664), "", 'Data Entry'!$g$664)</f>
      </c>
      <c r="AN664">
        <f>IF(ISBLANK('Data Entry'!$h$664), "", 'Data Entry'!$h$664)</f>
      </c>
      <c r="AO664">
        <f>IF(ISBLANK('Data Entry'!$i$664), "", 'Data Entry'!$i$664)</f>
      </c>
      <c r="AP664">
        <f>IF(ISBLANK('Data Entry'!$j$664), "", 'Data Entry'!$j$664)</f>
      </c>
      <c r="AQ664">
        <f>IF(ISBLANK('Data Entry'!$k$664), "", 'Data Entry'!$k$664)</f>
      </c>
      <c r="AR664">
        <f>IF(ISBLANK('Data Entry'!$l$664), "", 'Data Entry'!$l$664)</f>
      </c>
      <c r="AS664">
        <f>IF(ISBLANK('Data Entry'!$m$664), "", 'Data Entry'!$m$664)</f>
      </c>
      <c r="AT664">
        <f>IF(ISBLANK('Data Entry'!$n$664), "", 'Data Entry'!$n$664)</f>
      </c>
      <c r="AU664">
        <f>IF(ISBLANK('Data Entry'!$o$664), "", 'Data Entry'!$o$664)</f>
      </c>
      <c r="AV664">
        <f>IF(ISBLANK('Data Entry'!$p$664), "", 'Data Entry'!$p$664)</f>
      </c>
      <c r="AW664">
        <f>IF(ISBLANK('Data Entry'!$q$664), "", 'Data Entry'!$q$664)</f>
      </c>
      <c r="AX664">
        <f>IF(ISBLANK('Data Entry'!$r$664), "", 'Data Entry'!$r$664)</f>
      </c>
      <c r="AY664">
        <f>IF(ISBLANK('Data Entry'!$s$664), "", 'Data Entry'!$s$664)</f>
      </c>
      <c r="AZ664">
        <f>IF(ISBLANK('Data Entry'!$t$664), "", 'Data Entry'!$t$664)</f>
      </c>
      <c r="BA664">
        <f>IF(ISBLANK('Data Entry'!$u$664), "", 'Data Entry'!$u$664)</f>
      </c>
      <c r="BB664">
        <f>IF(ISBLANK('Data Entry'!$v$664), "", 'Data Entry'!$v$664)</f>
      </c>
      <c r="BC664">
        <f>IF(ISBLANK('Data Entry'!$w$664), "", 'Data Entry'!$w$664)</f>
      </c>
      <c r="BD664">
        <f>IF(ISBLANK('Data Entry'!$x$664), "", 'Data Entry'!$x$664)</f>
      </c>
      <c r="BE664">
        <f>IF(ISBLANK('Data Entry'!$y$664), "", 'Data Entry'!$y$664)</f>
      </c>
      <c r="BF664">
        <f>IF(ISBLANK('Data Entry'!$z$664), "", 'Data Entry'!$z$664)</f>
      </c>
      <c r="BG664">
        <f>IF(ISBLANK('Data Entry'!${$664), "", 'Data Entry'!${$664)</f>
      </c>
      <c r="BH664">
        <f>IF(ISBLANK('Data Entry'!$|$664), "", 'Data Entry'!$|$664)</f>
      </c>
      <c r="BI664">
        <f>IF(ISBLANK('Data Entry'!$}$664), "", 'Data Entry'!$}$664)</f>
      </c>
      <c r="BJ664">
        <f>IF(ISBLANK('Data Entry'!$~$664), "", 'Data Entry'!$~$664)</f>
      </c>
      <c r="BK664">
        <f>IF(ISBLANK('Data Entry'!$$664), "", 'Data Entry'!$$664)</f>
      </c>
      <c r="BL664">
        <f>IF(ISBLANK('Data Entry'!$$664), "", 'Data Entry'!$$664)</f>
      </c>
      <c r="BM664">
        <f>IF(ISBLANK('Data Entry'!$$664), "", 'Data Entry'!$$664)</f>
      </c>
      <c r="BN664">
        <f>IF(ISBLANK('Data Entry'!$$664), "", 'Data Entry'!$$664)</f>
      </c>
      <c r="BO664">
        <f>IF(ISBLANK('Data Entry'!$$664), "", 'Data Entry'!$$664)</f>
      </c>
      <c r="BP664">
        <f>IF(ISBLANK('Data Entry'!$$664), "", 'Data Entry'!$$664)</f>
      </c>
      <c r="BQ664">
        <f>IF(ISBLANK('Data Entry'!$$664), "", 'Data Entry'!$$664)</f>
      </c>
      <c r="BR664">
        <f>IF(ISBLANK('Data Entry'!$$664), "", 'Data Entry'!$$664)</f>
      </c>
      <c r="BS664">
        <f>IF(ISBLANK('Data Entry'!$$664), "", 'Data Entry'!$$664)</f>
      </c>
      <c r="BT664">
        <f>IF(ISBLANK('Data Entry'!$$664), "", 'Data Entry'!$$664)</f>
      </c>
      <c r="BU664">
        <f>IF(ISBLANK('Data Entry'!$$664), "", 'Data Entry'!$$664)</f>
      </c>
      <c r="BV664">
        <f>IF(ISBLANK('Data Entry'!$$664), "", 'Data Entry'!$$664)</f>
      </c>
      <c r="BW664">
        <f>IF(ISBLANK('Data Entry'!$$664), "", 'Data Entry'!$$664)</f>
      </c>
      <c r="BX664">
        <f>IF(ISBLANK('Data Entry'!$$664), "", 'Data Entry'!$$664)</f>
      </c>
      <c r="BY664">
        <f>IF(ISBLANK('Data Entry'!$$664), "", 'Data Entry'!$$664)</f>
      </c>
      <c r="BZ664">
        <f>IF(ISBLANK('Data Entry'!$$664), "", 'Data Entry'!$$664)</f>
      </c>
      <c r="CA664">
        <f>IF(ISBLANK('Data Entry'!$$664), "", 'Data Entry'!$$664)</f>
      </c>
      <c r="CB664">
        <f>IF(ISBLANK('Data Entry'!$$664), "", 'Data Entry'!$$664)</f>
      </c>
      <c r="CC664">
        <f>IF(ISBLANK('Data Entry'!$$664), "", 'Data Entry'!$$664)</f>
      </c>
      <c r="CD664">
        <f>IF(ISBLANK('Data Entry'!$$664), "", 'Data Entry'!$$664)</f>
      </c>
      <c r="CE664">
        <f>IF(ISBLANK('Data Entry'!$$664), "", 'Data Entry'!$$664)</f>
      </c>
      <c r="CF664">
        <f>IF(ISBLANK('Data Entry'!$$664), "", 'Data Entry'!$$664)</f>
      </c>
      <c r="CG664">
        <f>IF(ISBLANK('Data Entry'!$$664), "", 'Data Entry'!$$664)</f>
      </c>
      <c r="CH664">
        <f>IF(ISBLANK('Data Entry'!$$664), "", 'Data Entry'!$$664)</f>
      </c>
      <c r="CI664">
        <f>IF(ISBLANK('Data Entry'!$$664), "", 'Data Entry'!$$664)</f>
      </c>
      <c r="CJ664">
        <f>IF(ISBLANK('Data Entry'!$$664), "", 'Data Entry'!$$664)</f>
      </c>
      <c r="CK664">
        <f>IF(ISBLANK('Data Entry'!$$664), "", 'Data Entry'!$$664)</f>
      </c>
      <c r="CL664">
        <f>IF(ISBLANK('Data Entry'!$$664), "", 'Data Entry'!$$664)</f>
      </c>
      <c r="CM664">
        <f>IF(ISBLANK('Data Entry'!$$664), "", 'Data Entry'!$$664)</f>
      </c>
      <c r="CN664">
        <f>IF(ISBLANK('Data Entry'!$$664), "", 'Data Entry'!$$664)</f>
      </c>
      <c r="CO664">
        <f>IF(ISBLANK('Data Entry'!$$664), "", 'Data Entry'!$$664)</f>
      </c>
      <c r="CP664">
        <f>IF(ISBLANK('Data Entry'!$$664), "", 'Data Entry'!$$664)</f>
      </c>
      <c r="CQ664">
        <f>IF(ISBLANK('Data Entry'!$$664), "", 'Data Entry'!$$664)</f>
      </c>
      <c r="CR664">
        <f>IF(ISBLANK('Data Entry'!$ $664), "", 'Data Entry'!$ $664)</f>
      </c>
      <c r="CS664">
        <f>IF(ISBLANK('Data Entry'!$¡$664), "", 'Data Entry'!$¡$664)</f>
      </c>
      <c r="CT664">
        <f>IF(ISBLANK('Data Entry'!$¢$664), "", 'Data Entry'!$¢$664)</f>
      </c>
      <c r="CU664">
        <f>IF(ISBLANK('Data Entry'!$£$664), "", 'Data Entry'!$£$664)</f>
      </c>
      <c r="CV664">
        <f>IF(ISBLANK('Data Entry'!$¤$664), "", 'Data Entry'!$¤$664)</f>
      </c>
      <c r="CW664">
        <f>IF(ISBLANK('Data Entry'!$¥$664), "", 'Data Entry'!$¥$664)</f>
      </c>
      <c r="CX664">
        <f>IF(ISBLANK('Data Entry'!$¦$664), "", 'Data Entry'!$¦$664)</f>
      </c>
      <c r="CY664">
        <f>IF(ISBLANK('Data Entry'!$§$664), "", 'Data Entry'!$§$664)</f>
      </c>
      <c r="CZ664">
        <f>IF(ISBLANK('Data Entry'!$¨$664), "", 'Data Entry'!$¨$664)</f>
      </c>
      <c r="DA664">
        <f>IF(ISBLANK('Data Entry'!$©$664), "", 'Data Entry'!$©$664)</f>
      </c>
      <c r="DB664">
        <f>IF(ISBLANK('Data Entry'!$ª$664), "", 'Data Entry'!$ª$664)</f>
      </c>
      <c r="DC664">
        <f>IF(ISBLANK('Data Entry'!$«$664), "", 'Data Entry'!$«$664)</f>
      </c>
      <c r="DD664">
        <f>IF(ISBLANK('Data Entry'!$¬$664), "", 'Data Entry'!$¬$664)</f>
      </c>
      <c r="DE664">
        <f>IF(ISBLANK('Data Entry'!$­$664), "", 'Data Entry'!$­$664)</f>
      </c>
      <c r="DF664">
        <f>IF(ISBLANK('Data Entry'!$®$664), "", 'Data Entry'!$®$664)</f>
      </c>
      <c r="DG664">
        <f>IF(ISBLANK('Data Entry'!$¯$664), "", 'Data Entry'!$¯$664)</f>
      </c>
      <c r="DH664">
        <f>IF(ISBLANK('Data Entry'!$°$664), "", 'Data Entry'!$°$664)</f>
      </c>
      <c r="DI664">
        <f>IF(ISBLANK('Data Entry'!$±$664), "", 'Data Entry'!$±$664)</f>
      </c>
      <c r="DJ664">
        <f>IF(ISBLANK('Data Entry'!$²$664), "", 'Data Entry'!$²$664)</f>
      </c>
      <c r="DK664">
        <f>IF(ISBLANK('Data Entry'!$³$664), "", 'Data Entry'!$³$664)</f>
      </c>
      <c r="DL664">
        <f>IF(ISBLANK('Data Entry'!$´$664), "", 'Data Entry'!$´$664)</f>
      </c>
      <c r="DM664">
        <f>IF(ISBLANK('Data Entry'!$µ$664), "", 'Data Entry'!$µ$664)</f>
      </c>
      <c r="DN664">
        <f>IF(ISBLANK('Data Entry'!$¶$664), "", 'Data Entry'!$¶$664)</f>
      </c>
      <c r="DO664">
        <f>IF(ISBLANK('Data Entry'!$·$664), "", 'Data Entry'!$·$664)</f>
      </c>
      <c r="DP664">
        <f>IF(ISBLANK('Data Entry'!$¸$664), "", 'Data Entry'!$¸$664)</f>
      </c>
      <c r="DQ664">
        <f>IF(ISBLANK('Data Entry'!$¹$664), "", 'Data Entry'!$¹$664)</f>
      </c>
      <c r="DR664">
        <f>IF(ISBLANK('Data Entry'!$º$664), "", 'Data Entry'!$º$664)</f>
      </c>
      <c r="DS664">
        <f>IF(ISBLANK('Data Entry'!$»$664), "", 'Data Entry'!$»$664)</f>
      </c>
      <c r="DT664">
        <f>IF(ISBLANK('Data Entry'!$¼$664), "", 'Data Entry'!$¼$664)</f>
      </c>
      <c r="DU664">
        <f>IF(ISBLANK('Data Entry'!$½$664), "", 'Data Entry'!$½$664)</f>
      </c>
      <c r="DV664">
        <f>IF(ISBLANK('Data Entry'!$¾$664), "", 'Data Entry'!$¾$664)</f>
      </c>
      <c r="DW664">
        <f>IF(ISBLANK('Data Entry'!$¿$664), "", 'Data Entry'!$¿$664)</f>
      </c>
      <c r="DX664">
        <f>IF(ISBLANK('Data Entry'!$À$664), "", 'Data Entry'!$À$664)</f>
      </c>
      <c r="DY664">
        <f>IF(ISBLANK('Data Entry'!$Á$664), "", 'Data Entry'!$Á$664)</f>
      </c>
      <c r="DZ664">
        <f>IF(ISBLANK('Data Entry'!$Â$664), "", 'Data Entry'!$Â$664)</f>
      </c>
      <c r="EA664">
        <f>IF(ISBLANK('Data Entry'!$Ã$664), "", 'Data Entry'!$Ã$664)</f>
      </c>
      <c r="EB664">
        <f>IF(ISBLANK('Data Entry'!$Ä$664), "", 'Data Entry'!$Ä$664)</f>
      </c>
      <c r="EC664">
        <f>IF(ISBLANK('Data Entry'!$Å$664), "", 'Data Entry'!$Å$664)</f>
      </c>
      <c r="ED664">
        <f>IF(ISBLANK('Data Entry'!$Æ$664), "", 'Data Entry'!$Æ$664)</f>
      </c>
      <c r="EE664">
        <f>IF(ISBLANK('Data Entry'!$Ç$664), "", 'Data Entry'!$Ç$664)</f>
      </c>
      <c r="EF664">
        <f>IF(ISBLANK('Data Entry'!$È$664), "", 'Data Entry'!$È$664)</f>
      </c>
      <c r="EG664">
        <f>IF(ISBLANK('Data Entry'!$É$664), "", 'Data Entry'!$É$664)</f>
      </c>
      <c r="EH664">
        <f>IF(ISBLANK('Data Entry'!$Ê$664), "", 'Data Entry'!$Ê$664)</f>
      </c>
      <c r="EI664">
        <f>IF(ISBLANK('Data Entry'!$Ë$664), "", 'Data Entry'!$Ë$664)</f>
      </c>
      <c r="EJ664">
        <f>IF(ISBLANK('Data Entry'!$Ì$664), "", 'Data Entry'!$Ì$664)</f>
      </c>
      <c r="EK664">
        <f>IF(ISBLANK('Data Entry'!$Í$664), "", 'Data Entry'!$Í$664)</f>
      </c>
      <c r="EL664">
        <f>IF(ISBLANK('Data Entry'!$Î$664), "", 'Data Entry'!$Î$664)</f>
      </c>
      <c r="EM664">
        <f>IF(ISBLANK('Data Entry'!$Ï$664), "", 'Data Entry'!$Ï$664)</f>
      </c>
      <c r="EN664">
        <f>IF(ISBLANK('Data Entry'!$Ð$664), "", 'Data Entry'!$Ð$664)</f>
      </c>
      <c r="EO664">
        <f>IF(ISBLANK('Data Entry'!$Ñ$664), "", 'Data Entry'!$Ñ$664)</f>
      </c>
      <c r="EP664">
        <f>IF(ISBLANK('Data Entry'!$Ò$664), "", 'Data Entry'!$Ò$664)</f>
      </c>
      <c r="EQ664">
        <f>IF(ISBLANK('Data Entry'!$Ó$664), "", 'Data Entry'!$Ó$664)</f>
      </c>
      <c r="ER664">
        <f>IF(ISBLANK('Data Entry'!$Ô$664), "", 'Data Entry'!$Ô$664)</f>
      </c>
      <c r="ES664">
        <f>IF(ISBLANK('Data Entry'!$Õ$664), "", 'Data Entry'!$Õ$664)</f>
      </c>
      <c r="ET664">
        <f>IF(ISBLANK('Data Entry'!$Ö$664), "", 'Data Entry'!$Ö$664)</f>
      </c>
      <c r="EU664">
        <f>IF(ISBLANK('Data Entry'!$×$664), "", 'Data Entry'!$×$664)</f>
      </c>
      <c r="EV664">
        <f>IF(ISBLANK('Data Entry'!$Ø$664), "", 'Data Entry'!$Ø$664)</f>
      </c>
      <c r="EW664">
        <f>IF(ISBLANK('Data Entry'!$Ù$664), "", 'Data Entry'!$Ù$664)</f>
      </c>
      <c r="EX664">
        <f>IF(ISBLANK('Data Entry'!$Ú$664), "", 'Data Entry'!$Ú$664)</f>
      </c>
      <c r="EY664">
        <f>IF(ISBLANK('Data Entry'!$Û$664), "", 'Data Entry'!$Û$664)</f>
      </c>
      <c r="EZ664">
        <f>IF(ISBLANK('Data Entry'!$Ü$664), "", 'Data Entry'!$Ü$664)</f>
      </c>
      <c r="FA664">
        <f>IF(ISBLANK('Data Entry'!$Ý$664), "", 'Data Entry'!$Ý$664)</f>
      </c>
      <c r="FB664">
        <f>IF(ISBLANK('Data Entry'!$Þ$664), "", 'Data Entry'!$Þ$664)</f>
      </c>
      <c r="FC664">
        <f>IF(ISBLANK('Data Entry'!$ß$664), "", 'Data Entry'!$ß$664)</f>
      </c>
      <c r="FD664">
        <f>IF(ISBLANK('Data Entry'!$à$664), "", 'Data Entry'!$à$664)</f>
      </c>
      <c r="FE664">
        <f>IF(ISBLANK('Data Entry'!$á$664), "", 'Data Entry'!$á$664)</f>
      </c>
      <c r="FF664">
        <f>IF(ISBLANK('Data Entry'!$â$664), "", 'Data Entry'!$â$664)</f>
      </c>
      <c r="FG664">
        <f>IF(ISBLANK('Data Entry'!$ã$664), "", 'Data Entry'!$ã$664)</f>
      </c>
      <c r="FH664">
        <f>IF(ISBLANK('Data Entry'!$ä$664), "", 'Data Entry'!$ä$664)</f>
      </c>
      <c r="FI664">
        <f>IF(ISBLANK('Data Entry'!$å$664), "", 'Data Entry'!$å$664)</f>
      </c>
      <c r="FJ664">
        <f>IF(ISBLANK('Data Entry'!$æ$664), "", 'Data Entry'!$æ$664)</f>
      </c>
      <c r="FK664">
        <f>IF(ISBLANK('Data Entry'!$ç$664), "", 'Data Entry'!$ç$664)</f>
      </c>
      <c r="FL664">
        <f>IF(ISBLANK('Data Entry'!$è$664), "", 'Data Entry'!$è$664)</f>
      </c>
      <c r="FM664">
        <f>IF(ISBLANK('Data Entry'!$é$664), "", 'Data Entry'!$é$664)</f>
      </c>
      <c r="FN664">
        <f>IF(ISBLANK('Data Entry'!$ê$664), "", 'Data Entry'!$ê$664)</f>
      </c>
      <c r="FO664">
        <f>IF(ISBLANK('Data Entry'!$ë$664), "", 'Data Entry'!$ë$664)</f>
      </c>
      <c r="FP664">
        <f>IF(ISBLANK('Data Entry'!$ì$664), "", 'Data Entry'!$ì$664)</f>
      </c>
      <c r="FQ664">
        <f>IF(ISBLANK('Data Entry'!$í$664), "", 'Data Entry'!$í$664)</f>
      </c>
      <c r="FR664">
        <f>IF(ISBLANK('Data Entry'!$î$664), "", 'Data Entry'!$î$664)</f>
      </c>
      <c r="FS664">
        <f>IF(ISBLANK('Data Entry'!$ï$664), "", 'Data Entry'!$ï$664)</f>
      </c>
      <c r="FT664">
        <f>IF(ISBLANK('Data Entry'!$ð$664), "", 'Data Entry'!$ð$664)</f>
      </c>
      <c r="FU664">
        <f>IF(ISBLANK('Data Entry'!$ñ$664), "", 'Data Entry'!$ñ$664)</f>
      </c>
      <c r="FV664">
        <f>IF(ISBLANK('Data Entry'!$ò$664), "", 'Data Entry'!$ò$664)</f>
      </c>
      <c r="FW664">
        <f>IF(ISBLANK('Data Entry'!$ó$664), "", 'Data Entry'!$ó$664)</f>
      </c>
      <c r="FX664">
        <f>IF(ISBLANK('Data Entry'!$ô$664), "", 'Data Entry'!$ô$664)</f>
      </c>
      <c r="FY664">
        <f>IF(ISBLANK('Data Entry'!$õ$664), "", 'Data Entry'!$õ$664)</f>
      </c>
      <c r="FZ664">
        <f>IF(ISBLANK('Data Entry'!$ö$664), "", 'Data Entry'!$ö$664)</f>
      </c>
      <c r="GA664">
        <f>IF(ISBLANK('Data Entry'!$÷$664), "", 'Data Entry'!$÷$664)</f>
      </c>
      <c r="GB664">
        <f>IF(ISBLANK('Data Entry'!$ø$664), "", 'Data Entry'!$ø$664)</f>
      </c>
      <c r="GC664">
        <f>IF(ISBLANK('Data Entry'!$ù$664), "", 'Data Entry'!$ù$664)</f>
      </c>
      <c r="GD664">
        <f>IF(ISBLANK('Data Entry'!$ú$664), "", 'Data Entry'!$ú$664)</f>
      </c>
      <c r="GE664">
        <f>IF(ISBLANK('Data Entry'!$û$664), "", 'Data Entry'!$û$664)</f>
      </c>
      <c r="GF664">
        <f>IF(ISBLANK('Data Entry'!$ü$664), "", 'Data Entry'!$ü$664)</f>
      </c>
      <c r="GG664">
        <f>IF(ISBLANK('Data Entry'!$ý$664), "", 'Data Entry'!$ý$664)</f>
      </c>
      <c r="GH664">
        <f>IF(ISBLANK('Data Entry'!$þ$664), "", 'Data Entry'!$þ$664)</f>
      </c>
      <c r="GI664">
        <f>IF(ISBLANK('Data Entry'!$ÿ$664), "", 'Data Entry'!$ÿ$664)</f>
      </c>
      <c r="GJ664">
        <f>IF(ISBLANK('Data Entry'!$Ā$664), "", 'Data Entry'!$Ā$664)</f>
      </c>
      <c r="GK664">
        <f>IF(ISBLANK('Data Entry'!$ā$664), "", 'Data Entry'!$ā$664)</f>
      </c>
      <c r="GL664">
        <f>IF(ISBLANK('Data Entry'!$Ă$664), "", 'Data Entry'!$Ă$664)</f>
      </c>
      <c r="GM664">
        <f>IF(ISBLANK('Data Entry'!$ă$664), "", 'Data Entry'!$ă$664)</f>
      </c>
      <c r="GN664">
        <f>IF(ISBLANK('Data Entry'!$Ą$664), "", 'Data Entry'!$Ą$664)</f>
      </c>
      <c r="GO664">
        <f>IF(ISBLANK('Data Entry'!$ą$664), "", 'Data Entry'!$ą$664)</f>
      </c>
      <c r="GP664">
        <f>IF(ISBLANK('Data Entry'!$Ć$664), "", 'Data Entry'!$Ć$664)</f>
      </c>
      <c r="GQ664">
        <f>IF(ISBLANK('Data Entry'!$ć$664), "", 'Data Entry'!$ć$664)</f>
      </c>
      <c r="GR664">
        <f>IF(ISBLANK('Data Entry'!$Ĉ$664), "", 'Data Entry'!$Ĉ$664)</f>
      </c>
      <c r="GS664">
        <f>IF(ISBLANK('Data Entry'!$ĉ$664), "", 'Data Entry'!$ĉ$664)</f>
      </c>
      <c r="GT664">
        <f>IF(ISBLANK('Data Entry'!$Ċ$664), "", 'Data Entry'!$Ċ$664)</f>
      </c>
      <c r="GU664">
        <f>IF(ISBLANK('Data Entry'!$ċ$664), "", 'Data Entry'!$ċ$664)</f>
      </c>
      <c r="GV664">
        <f>IF(ISBLANK('Data Entry'!$Č$664), "", 'Data Entry'!$Č$664)</f>
      </c>
      <c r="GW664">
        <f>IF(ISBLANK('Data Entry'!$č$664), "", 'Data Entry'!$č$664)</f>
      </c>
      <c r="GX664">
        <f>IF(ISBLANK('Data Entry'!$Ď$664), "", 'Data Entry'!$Ď$664)</f>
      </c>
      <c r="GY664">
        <f>IF(ISBLANK('Data Entry'!$ď$664), "", 'Data Entry'!$ď$664)</f>
      </c>
      <c r="GZ664">
        <f>IF(ISBLANK('Data Entry'!$Đ$664), "", 'Data Entry'!$Đ$664)</f>
      </c>
      <c r="HA664">
        <f>IF(ISBLANK('Data Entry'!$đ$664), "", 'Data Entry'!$đ$664)</f>
      </c>
      <c r="HB664">
        <f>IF(ISBLANK('Data Entry'!$Ē$664), "", 'Data Entry'!$Ē$664)</f>
      </c>
      <c r="HC664">
        <f>IF(ISBLANK('Data Entry'!$ē$664), "", 'Data Entry'!$ē$664)</f>
      </c>
      <c r="HD664">
        <f>IF(ISBLANK('Data Entry'!$Ĕ$664), "", 'Data Entry'!$Ĕ$664)</f>
      </c>
      <c r="HE664">
        <f>IF(ISBLANK('Data Entry'!$ĕ$664), "", 'Data Entry'!$ĕ$664)</f>
      </c>
      <c r="HF664">
        <f>IF(ISBLANK('Data Entry'!$Ė$664), "", 'Data Entry'!$Ė$664)</f>
      </c>
      <c r="HG664">
        <f>IF(ISBLANK('Data Entry'!$ė$664), "", 'Data Entry'!$ė$664)</f>
      </c>
      <c r="HH664">
        <f>IF(ISBLANK('Data Entry'!$Ę$664), "", 'Data Entry'!$Ę$664)</f>
      </c>
      <c r="HI664">
        <f>IF(ISBLANK('Data Entry'!$ę$664), "", 'Data Entry'!$ę$664)</f>
      </c>
      <c r="HJ664">
        <f>IF(ISBLANK('Data Entry'!$Ě$664), "", 'Data Entry'!$Ě$664)</f>
      </c>
      <c r="HK664">
        <f>IF(ISBLANK('Data Entry'!$ě$664), "", 'Data Entry'!$ě$664)</f>
      </c>
      <c r="HL664">
        <f>IF(ISBLANK('Data Entry'!$Ĝ$664), "", 'Data Entry'!$Ĝ$664)</f>
      </c>
      <c r="HM664">
        <f>IF(ISBLANK('Data Entry'!$ĝ$664), "", 'Data Entry'!$ĝ$664)</f>
      </c>
      <c r="HN664">
        <f>IF(ISBLANK('Data Entry'!$Ğ$664), "", 'Data Entry'!$Ğ$664)</f>
      </c>
      <c r="HO664">
        <f>IF(ISBLANK('Data Entry'!$ğ$664), "", 'Data Entry'!$ğ$664)</f>
      </c>
      <c r="HP664">
        <f>IF(ISBLANK('Data Entry'!$Ġ$664), "", 'Data Entry'!$Ġ$664)</f>
      </c>
      <c r="HQ664">
        <f>IF(ISBLANK('Data Entry'!$ġ$664), "", 'Data Entry'!$ġ$664)</f>
      </c>
      <c r="HR664">
        <f>IF(ISBLANK('Data Entry'!$Ģ$664), "", 'Data Entry'!$Ģ$664)</f>
      </c>
      <c r="HS664">
        <f>IF(ISBLANK('Data Entry'!$ģ$664), "", 'Data Entry'!$ģ$664)</f>
      </c>
      <c r="HT664">
        <f>IF(ISBLANK('Data Entry'!$Ĥ$664), "", 'Data Entry'!$Ĥ$664)</f>
      </c>
      <c r="HU664">
        <f>IF(ISBLANK('Data Entry'!$ĥ$664), "", 'Data Entry'!$ĥ$664)</f>
      </c>
      <c r="HV664">
        <f>IF(ISBLANK('Data Entry'!$Ħ$664), "", 'Data Entry'!$Ħ$664)</f>
      </c>
      <c r="HW664">
        <f>IF(ISBLANK('Data Entry'!$ħ$664), "", 'Data Entry'!$ħ$664)</f>
      </c>
      <c r="HX664">
        <f>IF(ISBLANK('Data Entry'!$Ĩ$664), "", 'Data Entry'!$Ĩ$664)</f>
      </c>
      <c r="HY664">
        <f>IF(ISBLANK('Data Entry'!$ĩ$664), "", 'Data Entry'!$ĩ$664)</f>
      </c>
      <c r="HZ664">
        <f>IF(ISBLANK('Data Entry'!$Ī$664), "", 'Data Entry'!$Ī$664)</f>
      </c>
      <c r="IA664">
        <f>IF(ISBLANK('Data Entry'!$ī$664), "", 'Data Entry'!$ī$664)</f>
      </c>
      <c r="IB664">
        <f>IF(ISBLANK('Data Entry'!$Ĭ$664), "", 'Data Entry'!$Ĭ$664)</f>
      </c>
      <c r="IC664">
        <f>IF(ISBLANK('Data Entry'!$ĭ$664), "", 'Data Entry'!$ĭ$664)</f>
      </c>
      <c r="ID664">
        <f>IF(ISBLANK('Data Entry'!$Į$664), "", 'Data Entry'!$Į$664)</f>
      </c>
      <c r="IE664">
        <f>IF(ISBLANK('Data Entry'!$į$664), "", 'Data Entry'!$į$664)</f>
      </c>
      <c r="IF664">
        <f>IF(ISBLANK('Data Entry'!$İ$664), "", 'Data Entry'!$İ$664)</f>
      </c>
      <c r="IG664">
        <f>IF(ISBLANK('Data Entry'!$ı$664), "", 'Data Entry'!$ı$664)</f>
      </c>
      <c r="IH664">
        <f>IF(ISBLANK('Data Entry'!$Ĳ$664), "", 'Data Entry'!$Ĳ$664)</f>
      </c>
      <c r="II664">
        <f>IF(ISBLANK('Data Entry'!$ĳ$664), "", 'Data Entry'!$ĳ$664)</f>
      </c>
      <c r="IJ664">
        <f>IF(ISBLANK('Data Entry'!$Ĵ$664), "", 'Data Entry'!$Ĵ$664)</f>
      </c>
      <c r="IK664">
        <f>IF(ISBLANK('Data Entry'!$ĵ$664), "", 'Data Entry'!$ĵ$664)</f>
      </c>
      <c r="IL664">
        <f>IF(ISBLANK('Data Entry'!$Ķ$664), "", 'Data Entry'!$Ķ$664)</f>
      </c>
      <c r="IM664">
        <f>IF(ISBLANK('Data Entry'!$ķ$664), "", 'Data Entry'!$ķ$664)</f>
      </c>
      <c r="IN664">
        <f>IF(ISBLANK('Data Entry'!$ĸ$664), "", 'Data Entry'!$ĸ$664)</f>
      </c>
      <c r="IO664">
        <f>IF(ISBLANK('Data Entry'!$Ĺ$664), "", 'Data Entry'!$Ĺ$664)</f>
      </c>
      <c r="IP664">
        <f>IF(ISBLANK('Data Entry'!$ĺ$664), "", 'Data Entry'!$ĺ$664)</f>
      </c>
      <c r="IQ664">
        <f>IF(ISBLANK('Data Entry'!$Ļ$664), "", 'Data Entry'!$Ļ$664)</f>
      </c>
      <c r="IR664">
        <f>IF(ISBLANK('Data Entry'!$ļ$664), "", 'Data Entry'!$ļ$664)</f>
      </c>
      <c r="IS664">
        <f>IF(ISBLANK('Data Entry'!$Ľ$664), "", 'Data Entry'!$Ľ$664)</f>
      </c>
      <c r="IT664">
        <f>IF(ISBLANK('Data Entry'!$ľ$664), "", 'Data Entry'!$ľ$664)</f>
      </c>
    </row>
    <row r="665" spans="1:254" x14ac:dyDescent="0.25">
      <c r="A665">
        <f>IF(ISBLANK('Data Entry'!$A$665), "", 'Data Entry'!$A$665)</f>
      </c>
      <c r="B665">
        <f>IF(ISBLANK('Data Entry'!$B$665), "", 'Data Entry'!$B$665)</f>
      </c>
      <c r="C665">
        <f>IF(ISBLANK('Data Entry'!$C$665), "", 'Data Entry'!$C$665)</f>
      </c>
      <c r="D665">
        <f>IF(ISBLANK('Data Entry'!$D$665), "", 'Data Entry'!$D$665)</f>
      </c>
      <c r="E665">
        <f>IF(ISBLANK('Data Entry'!$E$665), "", 'Data Entry'!$E$665)</f>
      </c>
      <c r="F665">
        <f>IF(ISBLANK('Data Entry'!$F$665), "", 'Data Entry'!$F$665)</f>
      </c>
      <c r="G665">
        <f>IF(ISBLANK('Data Entry'!$G$665), "", 'Data Entry'!$G$665)</f>
      </c>
      <c r="H665">
        <f>IF(ISBLANK('Data Entry'!$H$665), "", 'Data Entry'!$H$665)</f>
      </c>
      <c r="I665">
        <f>IF(ISBLANK('Data Entry'!$I$665), "", 'Data Entry'!$I$665)</f>
      </c>
      <c r="J665">
        <f>IF(ISBLANK('Data Entry'!$J$665), "", 'Data Entry'!$J$665)</f>
      </c>
      <c r="K665">
        <f>IF(ISBLANK('Data Entry'!$K$665), "", 'Data Entry'!$K$665)</f>
      </c>
      <c r="L665">
        <f>IF(ISBLANK('Data Entry'!$L$665), "", 'Data Entry'!$L$665)</f>
      </c>
      <c r="M665">
        <f>IF(ISBLANK('Data Entry'!$M$665), "", 'Data Entry'!$M$665)</f>
      </c>
      <c r="N665">
        <f>IF(ISBLANK('Data Entry'!$N$665), "", 'Data Entry'!$N$665)</f>
      </c>
      <c r="O665">
        <f>IF(ISBLANK('Data Entry'!$O$665), "", 'Data Entry'!$O$665)</f>
      </c>
      <c r="P665">
        <f>IF(ISBLANK('Data Entry'!$P$665), "", 'Data Entry'!$P$665)</f>
      </c>
      <c r="Q665">
        <f>IF(ISBLANK('Data Entry'!$Q$665), "", 'Data Entry'!$Q$665)</f>
      </c>
      <c r="R665">
        <f>IF(ISBLANK('Data Entry'!$R$665), "", 'Data Entry'!$R$665)</f>
      </c>
      <c r="S665">
        <f>IF(ISBLANK('Data Entry'!$S$665), "", 'Data Entry'!$S$665)</f>
      </c>
      <c r="T665">
        <f>IF(ISBLANK('Data Entry'!$T$665), "", 'Data Entry'!$T$665)</f>
      </c>
      <c r="U665">
        <f>IF(ISBLANK('Data Entry'!$U$665), "", 'Data Entry'!$U$665)</f>
      </c>
      <c r="V665">
        <f>IF(ISBLANK('Data Entry'!$V$665), "", 'Data Entry'!$V$665)</f>
      </c>
      <c r="W665">
        <f>IF(ISBLANK('Data Entry'!$W$665), "", 'Data Entry'!$W$665)</f>
      </c>
      <c r="X665">
        <f>IF(ISBLANK('Data Entry'!$X$665), "", 'Data Entry'!$X$665)</f>
      </c>
      <c r="Y665">
        <f>IF(ISBLANK('Data Entry'!$Y$665), "", 'Data Entry'!$Y$665)</f>
      </c>
      <c r="Z665">
        <f>IF(ISBLANK('Data Entry'!$Z$665), "", 'Data Entry'!$Z$665)</f>
      </c>
      <c r="AA665">
        <f>IF(ISBLANK('Data Entry'!$[$665), "", 'Data Entry'!$[$665)</f>
      </c>
      <c r="AB665">
        <f>IF(ISBLANK('Data Entry'!$\$665), "", 'Data Entry'!$\$665)</f>
      </c>
      <c r="AC665">
        <f>IF(ISBLANK('Data Entry'!$]$665), "", 'Data Entry'!$]$665)</f>
      </c>
      <c r="AD665">
        <f>IF(ISBLANK('Data Entry'!$^$665), "", 'Data Entry'!$^$665)</f>
      </c>
      <c r="AE665">
        <f>IF(ISBLANK('Data Entry'!$_$665), "", 'Data Entry'!$_$665)</f>
      </c>
      <c r="AF665">
        <f>IF(ISBLANK('Data Entry'!$`$665), "", 'Data Entry'!$`$665)</f>
      </c>
      <c r="AG665">
        <f>IF(ISBLANK('Data Entry'!$a$665), "", 'Data Entry'!$a$665)</f>
      </c>
      <c r="AH665">
        <f>IF(ISBLANK('Data Entry'!$b$665), "", 'Data Entry'!$b$665)</f>
      </c>
      <c r="AI665">
        <f>IF(ISBLANK('Data Entry'!$c$665), "", 'Data Entry'!$c$665)</f>
      </c>
      <c r="AJ665">
        <f>IF(ISBLANK('Data Entry'!$d$665), "", 'Data Entry'!$d$665)</f>
      </c>
      <c r="AK665">
        <f>IF(ISBLANK('Data Entry'!$e$665), "", 'Data Entry'!$e$665)</f>
      </c>
      <c r="AL665">
        <f>IF(ISBLANK('Data Entry'!$f$665), "", 'Data Entry'!$f$665)</f>
      </c>
      <c r="AM665">
        <f>IF(ISBLANK('Data Entry'!$g$665), "", 'Data Entry'!$g$665)</f>
      </c>
      <c r="AN665">
        <f>IF(ISBLANK('Data Entry'!$h$665), "", 'Data Entry'!$h$665)</f>
      </c>
      <c r="AO665">
        <f>IF(ISBLANK('Data Entry'!$i$665), "", 'Data Entry'!$i$665)</f>
      </c>
      <c r="AP665">
        <f>IF(ISBLANK('Data Entry'!$j$665), "", 'Data Entry'!$j$665)</f>
      </c>
      <c r="AQ665">
        <f>IF(ISBLANK('Data Entry'!$k$665), "", 'Data Entry'!$k$665)</f>
      </c>
      <c r="AR665">
        <f>IF(ISBLANK('Data Entry'!$l$665), "", 'Data Entry'!$l$665)</f>
      </c>
      <c r="AS665">
        <f>IF(ISBLANK('Data Entry'!$m$665), "", 'Data Entry'!$m$665)</f>
      </c>
      <c r="AT665">
        <f>IF(ISBLANK('Data Entry'!$n$665), "", 'Data Entry'!$n$665)</f>
      </c>
      <c r="AU665">
        <f>IF(ISBLANK('Data Entry'!$o$665), "", 'Data Entry'!$o$665)</f>
      </c>
      <c r="AV665">
        <f>IF(ISBLANK('Data Entry'!$p$665), "", 'Data Entry'!$p$665)</f>
      </c>
      <c r="AW665">
        <f>IF(ISBLANK('Data Entry'!$q$665), "", 'Data Entry'!$q$665)</f>
      </c>
      <c r="AX665">
        <f>IF(ISBLANK('Data Entry'!$r$665), "", 'Data Entry'!$r$665)</f>
      </c>
      <c r="AY665">
        <f>IF(ISBLANK('Data Entry'!$s$665), "", 'Data Entry'!$s$665)</f>
      </c>
      <c r="AZ665">
        <f>IF(ISBLANK('Data Entry'!$t$665), "", 'Data Entry'!$t$665)</f>
      </c>
      <c r="BA665">
        <f>IF(ISBLANK('Data Entry'!$u$665), "", 'Data Entry'!$u$665)</f>
      </c>
      <c r="BB665">
        <f>IF(ISBLANK('Data Entry'!$v$665), "", 'Data Entry'!$v$665)</f>
      </c>
      <c r="BC665">
        <f>IF(ISBLANK('Data Entry'!$w$665), "", 'Data Entry'!$w$665)</f>
      </c>
      <c r="BD665">
        <f>IF(ISBLANK('Data Entry'!$x$665), "", 'Data Entry'!$x$665)</f>
      </c>
      <c r="BE665">
        <f>IF(ISBLANK('Data Entry'!$y$665), "", 'Data Entry'!$y$665)</f>
      </c>
      <c r="BF665">
        <f>IF(ISBLANK('Data Entry'!$z$665), "", 'Data Entry'!$z$665)</f>
      </c>
      <c r="BG665">
        <f>IF(ISBLANK('Data Entry'!${$665), "", 'Data Entry'!${$665)</f>
      </c>
      <c r="BH665">
        <f>IF(ISBLANK('Data Entry'!$|$665), "", 'Data Entry'!$|$665)</f>
      </c>
      <c r="BI665">
        <f>IF(ISBLANK('Data Entry'!$}$665), "", 'Data Entry'!$}$665)</f>
      </c>
      <c r="BJ665">
        <f>IF(ISBLANK('Data Entry'!$~$665), "", 'Data Entry'!$~$665)</f>
      </c>
      <c r="BK665">
        <f>IF(ISBLANK('Data Entry'!$$665), "", 'Data Entry'!$$665)</f>
      </c>
      <c r="BL665">
        <f>IF(ISBLANK('Data Entry'!$$665), "", 'Data Entry'!$$665)</f>
      </c>
      <c r="BM665">
        <f>IF(ISBLANK('Data Entry'!$$665), "", 'Data Entry'!$$665)</f>
      </c>
      <c r="BN665">
        <f>IF(ISBLANK('Data Entry'!$$665), "", 'Data Entry'!$$665)</f>
      </c>
      <c r="BO665">
        <f>IF(ISBLANK('Data Entry'!$$665), "", 'Data Entry'!$$665)</f>
      </c>
      <c r="BP665">
        <f>IF(ISBLANK('Data Entry'!$$665), "", 'Data Entry'!$$665)</f>
      </c>
      <c r="BQ665">
        <f>IF(ISBLANK('Data Entry'!$$665), "", 'Data Entry'!$$665)</f>
      </c>
      <c r="BR665">
        <f>IF(ISBLANK('Data Entry'!$$665), "", 'Data Entry'!$$665)</f>
      </c>
      <c r="BS665">
        <f>IF(ISBLANK('Data Entry'!$$665), "", 'Data Entry'!$$665)</f>
      </c>
      <c r="BT665">
        <f>IF(ISBLANK('Data Entry'!$$665), "", 'Data Entry'!$$665)</f>
      </c>
      <c r="BU665">
        <f>IF(ISBLANK('Data Entry'!$$665), "", 'Data Entry'!$$665)</f>
      </c>
      <c r="BV665">
        <f>IF(ISBLANK('Data Entry'!$$665), "", 'Data Entry'!$$665)</f>
      </c>
      <c r="BW665">
        <f>IF(ISBLANK('Data Entry'!$$665), "", 'Data Entry'!$$665)</f>
      </c>
      <c r="BX665">
        <f>IF(ISBLANK('Data Entry'!$$665), "", 'Data Entry'!$$665)</f>
      </c>
      <c r="BY665">
        <f>IF(ISBLANK('Data Entry'!$$665), "", 'Data Entry'!$$665)</f>
      </c>
      <c r="BZ665">
        <f>IF(ISBLANK('Data Entry'!$$665), "", 'Data Entry'!$$665)</f>
      </c>
      <c r="CA665">
        <f>IF(ISBLANK('Data Entry'!$$665), "", 'Data Entry'!$$665)</f>
      </c>
      <c r="CB665">
        <f>IF(ISBLANK('Data Entry'!$$665), "", 'Data Entry'!$$665)</f>
      </c>
      <c r="CC665">
        <f>IF(ISBLANK('Data Entry'!$$665), "", 'Data Entry'!$$665)</f>
      </c>
      <c r="CD665">
        <f>IF(ISBLANK('Data Entry'!$$665), "", 'Data Entry'!$$665)</f>
      </c>
      <c r="CE665">
        <f>IF(ISBLANK('Data Entry'!$$665), "", 'Data Entry'!$$665)</f>
      </c>
      <c r="CF665">
        <f>IF(ISBLANK('Data Entry'!$$665), "", 'Data Entry'!$$665)</f>
      </c>
      <c r="CG665">
        <f>IF(ISBLANK('Data Entry'!$$665), "", 'Data Entry'!$$665)</f>
      </c>
      <c r="CH665">
        <f>IF(ISBLANK('Data Entry'!$$665), "", 'Data Entry'!$$665)</f>
      </c>
      <c r="CI665">
        <f>IF(ISBLANK('Data Entry'!$$665), "", 'Data Entry'!$$665)</f>
      </c>
      <c r="CJ665">
        <f>IF(ISBLANK('Data Entry'!$$665), "", 'Data Entry'!$$665)</f>
      </c>
      <c r="CK665">
        <f>IF(ISBLANK('Data Entry'!$$665), "", 'Data Entry'!$$665)</f>
      </c>
      <c r="CL665">
        <f>IF(ISBLANK('Data Entry'!$$665), "", 'Data Entry'!$$665)</f>
      </c>
      <c r="CM665">
        <f>IF(ISBLANK('Data Entry'!$$665), "", 'Data Entry'!$$665)</f>
      </c>
      <c r="CN665">
        <f>IF(ISBLANK('Data Entry'!$$665), "", 'Data Entry'!$$665)</f>
      </c>
      <c r="CO665">
        <f>IF(ISBLANK('Data Entry'!$$665), "", 'Data Entry'!$$665)</f>
      </c>
      <c r="CP665">
        <f>IF(ISBLANK('Data Entry'!$$665), "", 'Data Entry'!$$665)</f>
      </c>
      <c r="CQ665">
        <f>IF(ISBLANK('Data Entry'!$$665), "", 'Data Entry'!$$665)</f>
      </c>
      <c r="CR665">
        <f>IF(ISBLANK('Data Entry'!$ $665), "", 'Data Entry'!$ $665)</f>
      </c>
      <c r="CS665">
        <f>IF(ISBLANK('Data Entry'!$¡$665), "", 'Data Entry'!$¡$665)</f>
      </c>
      <c r="CT665">
        <f>IF(ISBLANK('Data Entry'!$¢$665), "", 'Data Entry'!$¢$665)</f>
      </c>
      <c r="CU665">
        <f>IF(ISBLANK('Data Entry'!$£$665), "", 'Data Entry'!$£$665)</f>
      </c>
      <c r="CV665">
        <f>IF(ISBLANK('Data Entry'!$¤$665), "", 'Data Entry'!$¤$665)</f>
      </c>
      <c r="CW665">
        <f>IF(ISBLANK('Data Entry'!$¥$665), "", 'Data Entry'!$¥$665)</f>
      </c>
      <c r="CX665">
        <f>IF(ISBLANK('Data Entry'!$¦$665), "", 'Data Entry'!$¦$665)</f>
      </c>
      <c r="CY665">
        <f>IF(ISBLANK('Data Entry'!$§$665), "", 'Data Entry'!$§$665)</f>
      </c>
      <c r="CZ665">
        <f>IF(ISBLANK('Data Entry'!$¨$665), "", 'Data Entry'!$¨$665)</f>
      </c>
      <c r="DA665">
        <f>IF(ISBLANK('Data Entry'!$©$665), "", 'Data Entry'!$©$665)</f>
      </c>
      <c r="DB665">
        <f>IF(ISBLANK('Data Entry'!$ª$665), "", 'Data Entry'!$ª$665)</f>
      </c>
      <c r="DC665">
        <f>IF(ISBLANK('Data Entry'!$«$665), "", 'Data Entry'!$«$665)</f>
      </c>
      <c r="DD665">
        <f>IF(ISBLANK('Data Entry'!$¬$665), "", 'Data Entry'!$¬$665)</f>
      </c>
      <c r="DE665">
        <f>IF(ISBLANK('Data Entry'!$­$665), "", 'Data Entry'!$­$665)</f>
      </c>
      <c r="DF665">
        <f>IF(ISBLANK('Data Entry'!$®$665), "", 'Data Entry'!$®$665)</f>
      </c>
      <c r="DG665">
        <f>IF(ISBLANK('Data Entry'!$¯$665), "", 'Data Entry'!$¯$665)</f>
      </c>
      <c r="DH665">
        <f>IF(ISBLANK('Data Entry'!$°$665), "", 'Data Entry'!$°$665)</f>
      </c>
      <c r="DI665">
        <f>IF(ISBLANK('Data Entry'!$±$665), "", 'Data Entry'!$±$665)</f>
      </c>
      <c r="DJ665">
        <f>IF(ISBLANK('Data Entry'!$²$665), "", 'Data Entry'!$²$665)</f>
      </c>
      <c r="DK665">
        <f>IF(ISBLANK('Data Entry'!$³$665), "", 'Data Entry'!$³$665)</f>
      </c>
      <c r="DL665">
        <f>IF(ISBLANK('Data Entry'!$´$665), "", 'Data Entry'!$´$665)</f>
      </c>
      <c r="DM665">
        <f>IF(ISBLANK('Data Entry'!$µ$665), "", 'Data Entry'!$µ$665)</f>
      </c>
      <c r="DN665">
        <f>IF(ISBLANK('Data Entry'!$¶$665), "", 'Data Entry'!$¶$665)</f>
      </c>
      <c r="DO665">
        <f>IF(ISBLANK('Data Entry'!$·$665), "", 'Data Entry'!$·$665)</f>
      </c>
      <c r="DP665">
        <f>IF(ISBLANK('Data Entry'!$¸$665), "", 'Data Entry'!$¸$665)</f>
      </c>
      <c r="DQ665">
        <f>IF(ISBLANK('Data Entry'!$¹$665), "", 'Data Entry'!$¹$665)</f>
      </c>
      <c r="DR665">
        <f>IF(ISBLANK('Data Entry'!$º$665), "", 'Data Entry'!$º$665)</f>
      </c>
      <c r="DS665">
        <f>IF(ISBLANK('Data Entry'!$»$665), "", 'Data Entry'!$»$665)</f>
      </c>
      <c r="DT665">
        <f>IF(ISBLANK('Data Entry'!$¼$665), "", 'Data Entry'!$¼$665)</f>
      </c>
      <c r="DU665">
        <f>IF(ISBLANK('Data Entry'!$½$665), "", 'Data Entry'!$½$665)</f>
      </c>
      <c r="DV665">
        <f>IF(ISBLANK('Data Entry'!$¾$665), "", 'Data Entry'!$¾$665)</f>
      </c>
      <c r="DW665">
        <f>IF(ISBLANK('Data Entry'!$¿$665), "", 'Data Entry'!$¿$665)</f>
      </c>
      <c r="DX665">
        <f>IF(ISBLANK('Data Entry'!$À$665), "", 'Data Entry'!$À$665)</f>
      </c>
      <c r="DY665">
        <f>IF(ISBLANK('Data Entry'!$Á$665), "", 'Data Entry'!$Á$665)</f>
      </c>
      <c r="DZ665">
        <f>IF(ISBLANK('Data Entry'!$Â$665), "", 'Data Entry'!$Â$665)</f>
      </c>
      <c r="EA665">
        <f>IF(ISBLANK('Data Entry'!$Ã$665), "", 'Data Entry'!$Ã$665)</f>
      </c>
      <c r="EB665">
        <f>IF(ISBLANK('Data Entry'!$Ä$665), "", 'Data Entry'!$Ä$665)</f>
      </c>
      <c r="EC665">
        <f>IF(ISBLANK('Data Entry'!$Å$665), "", 'Data Entry'!$Å$665)</f>
      </c>
      <c r="ED665">
        <f>IF(ISBLANK('Data Entry'!$Æ$665), "", 'Data Entry'!$Æ$665)</f>
      </c>
      <c r="EE665">
        <f>IF(ISBLANK('Data Entry'!$Ç$665), "", 'Data Entry'!$Ç$665)</f>
      </c>
      <c r="EF665">
        <f>IF(ISBLANK('Data Entry'!$È$665), "", 'Data Entry'!$È$665)</f>
      </c>
      <c r="EG665">
        <f>IF(ISBLANK('Data Entry'!$É$665), "", 'Data Entry'!$É$665)</f>
      </c>
      <c r="EH665">
        <f>IF(ISBLANK('Data Entry'!$Ê$665), "", 'Data Entry'!$Ê$665)</f>
      </c>
      <c r="EI665">
        <f>IF(ISBLANK('Data Entry'!$Ë$665), "", 'Data Entry'!$Ë$665)</f>
      </c>
      <c r="EJ665">
        <f>IF(ISBLANK('Data Entry'!$Ì$665), "", 'Data Entry'!$Ì$665)</f>
      </c>
      <c r="EK665">
        <f>IF(ISBLANK('Data Entry'!$Í$665), "", 'Data Entry'!$Í$665)</f>
      </c>
      <c r="EL665">
        <f>IF(ISBLANK('Data Entry'!$Î$665), "", 'Data Entry'!$Î$665)</f>
      </c>
      <c r="EM665">
        <f>IF(ISBLANK('Data Entry'!$Ï$665), "", 'Data Entry'!$Ï$665)</f>
      </c>
      <c r="EN665">
        <f>IF(ISBLANK('Data Entry'!$Ð$665), "", 'Data Entry'!$Ð$665)</f>
      </c>
      <c r="EO665">
        <f>IF(ISBLANK('Data Entry'!$Ñ$665), "", 'Data Entry'!$Ñ$665)</f>
      </c>
      <c r="EP665">
        <f>IF(ISBLANK('Data Entry'!$Ò$665), "", 'Data Entry'!$Ò$665)</f>
      </c>
      <c r="EQ665">
        <f>IF(ISBLANK('Data Entry'!$Ó$665), "", 'Data Entry'!$Ó$665)</f>
      </c>
      <c r="ER665">
        <f>IF(ISBLANK('Data Entry'!$Ô$665), "", 'Data Entry'!$Ô$665)</f>
      </c>
      <c r="ES665">
        <f>IF(ISBLANK('Data Entry'!$Õ$665), "", 'Data Entry'!$Õ$665)</f>
      </c>
      <c r="ET665">
        <f>IF(ISBLANK('Data Entry'!$Ö$665), "", 'Data Entry'!$Ö$665)</f>
      </c>
      <c r="EU665">
        <f>IF(ISBLANK('Data Entry'!$×$665), "", 'Data Entry'!$×$665)</f>
      </c>
      <c r="EV665">
        <f>IF(ISBLANK('Data Entry'!$Ø$665), "", 'Data Entry'!$Ø$665)</f>
      </c>
      <c r="EW665">
        <f>IF(ISBLANK('Data Entry'!$Ù$665), "", 'Data Entry'!$Ù$665)</f>
      </c>
      <c r="EX665">
        <f>IF(ISBLANK('Data Entry'!$Ú$665), "", 'Data Entry'!$Ú$665)</f>
      </c>
      <c r="EY665">
        <f>IF(ISBLANK('Data Entry'!$Û$665), "", 'Data Entry'!$Û$665)</f>
      </c>
      <c r="EZ665">
        <f>IF(ISBLANK('Data Entry'!$Ü$665), "", 'Data Entry'!$Ü$665)</f>
      </c>
      <c r="FA665">
        <f>IF(ISBLANK('Data Entry'!$Ý$665), "", 'Data Entry'!$Ý$665)</f>
      </c>
      <c r="FB665">
        <f>IF(ISBLANK('Data Entry'!$Þ$665), "", 'Data Entry'!$Þ$665)</f>
      </c>
      <c r="FC665">
        <f>IF(ISBLANK('Data Entry'!$ß$665), "", 'Data Entry'!$ß$665)</f>
      </c>
      <c r="FD665">
        <f>IF(ISBLANK('Data Entry'!$à$665), "", 'Data Entry'!$à$665)</f>
      </c>
      <c r="FE665">
        <f>IF(ISBLANK('Data Entry'!$á$665), "", 'Data Entry'!$á$665)</f>
      </c>
      <c r="FF665">
        <f>IF(ISBLANK('Data Entry'!$â$665), "", 'Data Entry'!$â$665)</f>
      </c>
      <c r="FG665">
        <f>IF(ISBLANK('Data Entry'!$ã$665), "", 'Data Entry'!$ã$665)</f>
      </c>
      <c r="FH665">
        <f>IF(ISBLANK('Data Entry'!$ä$665), "", 'Data Entry'!$ä$665)</f>
      </c>
      <c r="FI665">
        <f>IF(ISBLANK('Data Entry'!$å$665), "", 'Data Entry'!$å$665)</f>
      </c>
      <c r="FJ665">
        <f>IF(ISBLANK('Data Entry'!$æ$665), "", 'Data Entry'!$æ$665)</f>
      </c>
      <c r="FK665">
        <f>IF(ISBLANK('Data Entry'!$ç$665), "", 'Data Entry'!$ç$665)</f>
      </c>
      <c r="FL665">
        <f>IF(ISBLANK('Data Entry'!$è$665), "", 'Data Entry'!$è$665)</f>
      </c>
      <c r="FM665">
        <f>IF(ISBLANK('Data Entry'!$é$665), "", 'Data Entry'!$é$665)</f>
      </c>
      <c r="FN665">
        <f>IF(ISBLANK('Data Entry'!$ê$665), "", 'Data Entry'!$ê$665)</f>
      </c>
      <c r="FO665">
        <f>IF(ISBLANK('Data Entry'!$ë$665), "", 'Data Entry'!$ë$665)</f>
      </c>
      <c r="FP665">
        <f>IF(ISBLANK('Data Entry'!$ì$665), "", 'Data Entry'!$ì$665)</f>
      </c>
      <c r="FQ665">
        <f>IF(ISBLANK('Data Entry'!$í$665), "", 'Data Entry'!$í$665)</f>
      </c>
      <c r="FR665">
        <f>IF(ISBLANK('Data Entry'!$î$665), "", 'Data Entry'!$î$665)</f>
      </c>
      <c r="FS665">
        <f>IF(ISBLANK('Data Entry'!$ï$665), "", 'Data Entry'!$ï$665)</f>
      </c>
      <c r="FT665">
        <f>IF(ISBLANK('Data Entry'!$ð$665), "", 'Data Entry'!$ð$665)</f>
      </c>
      <c r="FU665">
        <f>IF(ISBLANK('Data Entry'!$ñ$665), "", 'Data Entry'!$ñ$665)</f>
      </c>
      <c r="FV665">
        <f>IF(ISBLANK('Data Entry'!$ò$665), "", 'Data Entry'!$ò$665)</f>
      </c>
      <c r="FW665">
        <f>IF(ISBLANK('Data Entry'!$ó$665), "", 'Data Entry'!$ó$665)</f>
      </c>
      <c r="FX665">
        <f>IF(ISBLANK('Data Entry'!$ô$665), "", 'Data Entry'!$ô$665)</f>
      </c>
      <c r="FY665">
        <f>IF(ISBLANK('Data Entry'!$õ$665), "", 'Data Entry'!$õ$665)</f>
      </c>
      <c r="FZ665">
        <f>IF(ISBLANK('Data Entry'!$ö$665), "", 'Data Entry'!$ö$665)</f>
      </c>
      <c r="GA665">
        <f>IF(ISBLANK('Data Entry'!$÷$665), "", 'Data Entry'!$÷$665)</f>
      </c>
      <c r="GB665">
        <f>IF(ISBLANK('Data Entry'!$ø$665), "", 'Data Entry'!$ø$665)</f>
      </c>
      <c r="GC665">
        <f>IF(ISBLANK('Data Entry'!$ù$665), "", 'Data Entry'!$ù$665)</f>
      </c>
      <c r="GD665">
        <f>IF(ISBLANK('Data Entry'!$ú$665), "", 'Data Entry'!$ú$665)</f>
      </c>
      <c r="GE665">
        <f>IF(ISBLANK('Data Entry'!$û$665), "", 'Data Entry'!$û$665)</f>
      </c>
      <c r="GF665">
        <f>IF(ISBLANK('Data Entry'!$ü$665), "", 'Data Entry'!$ü$665)</f>
      </c>
      <c r="GG665">
        <f>IF(ISBLANK('Data Entry'!$ý$665), "", 'Data Entry'!$ý$665)</f>
      </c>
      <c r="GH665">
        <f>IF(ISBLANK('Data Entry'!$þ$665), "", 'Data Entry'!$þ$665)</f>
      </c>
      <c r="GI665">
        <f>IF(ISBLANK('Data Entry'!$ÿ$665), "", 'Data Entry'!$ÿ$665)</f>
      </c>
      <c r="GJ665">
        <f>IF(ISBLANK('Data Entry'!$Ā$665), "", 'Data Entry'!$Ā$665)</f>
      </c>
      <c r="GK665">
        <f>IF(ISBLANK('Data Entry'!$ā$665), "", 'Data Entry'!$ā$665)</f>
      </c>
      <c r="GL665">
        <f>IF(ISBLANK('Data Entry'!$Ă$665), "", 'Data Entry'!$Ă$665)</f>
      </c>
      <c r="GM665">
        <f>IF(ISBLANK('Data Entry'!$ă$665), "", 'Data Entry'!$ă$665)</f>
      </c>
      <c r="GN665">
        <f>IF(ISBLANK('Data Entry'!$Ą$665), "", 'Data Entry'!$Ą$665)</f>
      </c>
      <c r="GO665">
        <f>IF(ISBLANK('Data Entry'!$ą$665), "", 'Data Entry'!$ą$665)</f>
      </c>
      <c r="GP665">
        <f>IF(ISBLANK('Data Entry'!$Ć$665), "", 'Data Entry'!$Ć$665)</f>
      </c>
      <c r="GQ665">
        <f>IF(ISBLANK('Data Entry'!$ć$665), "", 'Data Entry'!$ć$665)</f>
      </c>
      <c r="GR665">
        <f>IF(ISBLANK('Data Entry'!$Ĉ$665), "", 'Data Entry'!$Ĉ$665)</f>
      </c>
      <c r="GS665">
        <f>IF(ISBLANK('Data Entry'!$ĉ$665), "", 'Data Entry'!$ĉ$665)</f>
      </c>
      <c r="GT665">
        <f>IF(ISBLANK('Data Entry'!$Ċ$665), "", 'Data Entry'!$Ċ$665)</f>
      </c>
      <c r="GU665">
        <f>IF(ISBLANK('Data Entry'!$ċ$665), "", 'Data Entry'!$ċ$665)</f>
      </c>
      <c r="GV665">
        <f>IF(ISBLANK('Data Entry'!$Č$665), "", 'Data Entry'!$Č$665)</f>
      </c>
      <c r="GW665">
        <f>IF(ISBLANK('Data Entry'!$č$665), "", 'Data Entry'!$č$665)</f>
      </c>
      <c r="GX665">
        <f>IF(ISBLANK('Data Entry'!$Ď$665), "", 'Data Entry'!$Ď$665)</f>
      </c>
      <c r="GY665">
        <f>IF(ISBLANK('Data Entry'!$ď$665), "", 'Data Entry'!$ď$665)</f>
      </c>
      <c r="GZ665">
        <f>IF(ISBLANK('Data Entry'!$Đ$665), "", 'Data Entry'!$Đ$665)</f>
      </c>
      <c r="HA665">
        <f>IF(ISBLANK('Data Entry'!$đ$665), "", 'Data Entry'!$đ$665)</f>
      </c>
      <c r="HB665">
        <f>IF(ISBLANK('Data Entry'!$Ē$665), "", 'Data Entry'!$Ē$665)</f>
      </c>
      <c r="HC665">
        <f>IF(ISBLANK('Data Entry'!$ē$665), "", 'Data Entry'!$ē$665)</f>
      </c>
      <c r="HD665">
        <f>IF(ISBLANK('Data Entry'!$Ĕ$665), "", 'Data Entry'!$Ĕ$665)</f>
      </c>
      <c r="HE665">
        <f>IF(ISBLANK('Data Entry'!$ĕ$665), "", 'Data Entry'!$ĕ$665)</f>
      </c>
      <c r="HF665">
        <f>IF(ISBLANK('Data Entry'!$Ė$665), "", 'Data Entry'!$Ė$665)</f>
      </c>
      <c r="HG665">
        <f>IF(ISBLANK('Data Entry'!$ė$665), "", 'Data Entry'!$ė$665)</f>
      </c>
      <c r="HH665">
        <f>IF(ISBLANK('Data Entry'!$Ę$665), "", 'Data Entry'!$Ę$665)</f>
      </c>
      <c r="HI665">
        <f>IF(ISBLANK('Data Entry'!$ę$665), "", 'Data Entry'!$ę$665)</f>
      </c>
      <c r="HJ665">
        <f>IF(ISBLANK('Data Entry'!$Ě$665), "", 'Data Entry'!$Ě$665)</f>
      </c>
      <c r="HK665">
        <f>IF(ISBLANK('Data Entry'!$ě$665), "", 'Data Entry'!$ě$665)</f>
      </c>
      <c r="HL665">
        <f>IF(ISBLANK('Data Entry'!$Ĝ$665), "", 'Data Entry'!$Ĝ$665)</f>
      </c>
      <c r="HM665">
        <f>IF(ISBLANK('Data Entry'!$ĝ$665), "", 'Data Entry'!$ĝ$665)</f>
      </c>
      <c r="HN665">
        <f>IF(ISBLANK('Data Entry'!$Ğ$665), "", 'Data Entry'!$Ğ$665)</f>
      </c>
      <c r="HO665">
        <f>IF(ISBLANK('Data Entry'!$ğ$665), "", 'Data Entry'!$ğ$665)</f>
      </c>
      <c r="HP665">
        <f>IF(ISBLANK('Data Entry'!$Ġ$665), "", 'Data Entry'!$Ġ$665)</f>
      </c>
      <c r="HQ665">
        <f>IF(ISBLANK('Data Entry'!$ġ$665), "", 'Data Entry'!$ġ$665)</f>
      </c>
      <c r="HR665">
        <f>IF(ISBLANK('Data Entry'!$Ģ$665), "", 'Data Entry'!$Ģ$665)</f>
      </c>
      <c r="HS665">
        <f>IF(ISBLANK('Data Entry'!$ģ$665), "", 'Data Entry'!$ģ$665)</f>
      </c>
      <c r="HT665">
        <f>IF(ISBLANK('Data Entry'!$Ĥ$665), "", 'Data Entry'!$Ĥ$665)</f>
      </c>
      <c r="HU665">
        <f>IF(ISBLANK('Data Entry'!$ĥ$665), "", 'Data Entry'!$ĥ$665)</f>
      </c>
      <c r="HV665">
        <f>IF(ISBLANK('Data Entry'!$Ħ$665), "", 'Data Entry'!$Ħ$665)</f>
      </c>
      <c r="HW665">
        <f>IF(ISBLANK('Data Entry'!$ħ$665), "", 'Data Entry'!$ħ$665)</f>
      </c>
      <c r="HX665">
        <f>IF(ISBLANK('Data Entry'!$Ĩ$665), "", 'Data Entry'!$Ĩ$665)</f>
      </c>
      <c r="HY665">
        <f>IF(ISBLANK('Data Entry'!$ĩ$665), "", 'Data Entry'!$ĩ$665)</f>
      </c>
      <c r="HZ665">
        <f>IF(ISBLANK('Data Entry'!$Ī$665), "", 'Data Entry'!$Ī$665)</f>
      </c>
      <c r="IA665">
        <f>IF(ISBLANK('Data Entry'!$ī$665), "", 'Data Entry'!$ī$665)</f>
      </c>
      <c r="IB665">
        <f>IF(ISBLANK('Data Entry'!$Ĭ$665), "", 'Data Entry'!$Ĭ$665)</f>
      </c>
      <c r="IC665">
        <f>IF(ISBLANK('Data Entry'!$ĭ$665), "", 'Data Entry'!$ĭ$665)</f>
      </c>
      <c r="ID665">
        <f>IF(ISBLANK('Data Entry'!$Į$665), "", 'Data Entry'!$Į$665)</f>
      </c>
      <c r="IE665">
        <f>IF(ISBLANK('Data Entry'!$į$665), "", 'Data Entry'!$į$665)</f>
      </c>
      <c r="IF665">
        <f>IF(ISBLANK('Data Entry'!$İ$665), "", 'Data Entry'!$İ$665)</f>
      </c>
      <c r="IG665">
        <f>IF(ISBLANK('Data Entry'!$ı$665), "", 'Data Entry'!$ı$665)</f>
      </c>
      <c r="IH665">
        <f>IF(ISBLANK('Data Entry'!$Ĳ$665), "", 'Data Entry'!$Ĳ$665)</f>
      </c>
      <c r="II665">
        <f>IF(ISBLANK('Data Entry'!$ĳ$665), "", 'Data Entry'!$ĳ$665)</f>
      </c>
      <c r="IJ665">
        <f>IF(ISBLANK('Data Entry'!$Ĵ$665), "", 'Data Entry'!$Ĵ$665)</f>
      </c>
      <c r="IK665">
        <f>IF(ISBLANK('Data Entry'!$ĵ$665), "", 'Data Entry'!$ĵ$665)</f>
      </c>
      <c r="IL665">
        <f>IF(ISBLANK('Data Entry'!$Ķ$665), "", 'Data Entry'!$Ķ$665)</f>
      </c>
      <c r="IM665">
        <f>IF(ISBLANK('Data Entry'!$ķ$665), "", 'Data Entry'!$ķ$665)</f>
      </c>
      <c r="IN665">
        <f>IF(ISBLANK('Data Entry'!$ĸ$665), "", 'Data Entry'!$ĸ$665)</f>
      </c>
      <c r="IO665">
        <f>IF(ISBLANK('Data Entry'!$Ĺ$665), "", 'Data Entry'!$Ĺ$665)</f>
      </c>
      <c r="IP665">
        <f>IF(ISBLANK('Data Entry'!$ĺ$665), "", 'Data Entry'!$ĺ$665)</f>
      </c>
      <c r="IQ665">
        <f>IF(ISBLANK('Data Entry'!$Ļ$665), "", 'Data Entry'!$Ļ$665)</f>
      </c>
      <c r="IR665">
        <f>IF(ISBLANK('Data Entry'!$ļ$665), "", 'Data Entry'!$ļ$665)</f>
      </c>
      <c r="IS665">
        <f>IF(ISBLANK('Data Entry'!$Ľ$665), "", 'Data Entry'!$Ľ$665)</f>
      </c>
      <c r="IT665">
        <f>IF(ISBLANK('Data Entry'!$ľ$665), "", 'Data Entry'!$ľ$665)</f>
      </c>
    </row>
    <row r="666" spans="1:254" x14ac:dyDescent="0.25">
      <c r="A666">
        <f>IF(ISBLANK('Data Entry'!$A$666), "", 'Data Entry'!$A$666)</f>
      </c>
      <c r="B666">
        <f>IF(ISBLANK('Data Entry'!$B$666), "", 'Data Entry'!$B$666)</f>
      </c>
      <c r="C666">
        <f>IF(ISBLANK('Data Entry'!$C$666), "", 'Data Entry'!$C$666)</f>
      </c>
      <c r="D666">
        <f>IF(ISBLANK('Data Entry'!$D$666), "", 'Data Entry'!$D$666)</f>
      </c>
      <c r="E666">
        <f>IF(ISBLANK('Data Entry'!$E$666), "", 'Data Entry'!$E$666)</f>
      </c>
      <c r="F666">
        <f>IF(ISBLANK('Data Entry'!$F$666), "", 'Data Entry'!$F$666)</f>
      </c>
      <c r="G666">
        <f>IF(ISBLANK('Data Entry'!$G$666), "", 'Data Entry'!$G$666)</f>
      </c>
      <c r="H666">
        <f>IF(ISBLANK('Data Entry'!$H$666), "", 'Data Entry'!$H$666)</f>
      </c>
      <c r="I666">
        <f>IF(ISBLANK('Data Entry'!$I$666), "", 'Data Entry'!$I$666)</f>
      </c>
      <c r="J666">
        <f>IF(ISBLANK('Data Entry'!$J$666), "", 'Data Entry'!$J$666)</f>
      </c>
      <c r="K666">
        <f>IF(ISBLANK('Data Entry'!$K$666), "", 'Data Entry'!$K$666)</f>
      </c>
      <c r="L666">
        <f>IF(ISBLANK('Data Entry'!$L$666), "", 'Data Entry'!$L$666)</f>
      </c>
      <c r="M666">
        <f>IF(ISBLANK('Data Entry'!$M$666), "", 'Data Entry'!$M$666)</f>
      </c>
      <c r="N666">
        <f>IF(ISBLANK('Data Entry'!$N$666), "", 'Data Entry'!$N$666)</f>
      </c>
      <c r="O666">
        <f>IF(ISBLANK('Data Entry'!$O$666), "", 'Data Entry'!$O$666)</f>
      </c>
      <c r="P666">
        <f>IF(ISBLANK('Data Entry'!$P$666), "", 'Data Entry'!$P$666)</f>
      </c>
      <c r="Q666">
        <f>IF(ISBLANK('Data Entry'!$Q$666), "", 'Data Entry'!$Q$666)</f>
      </c>
      <c r="R666">
        <f>IF(ISBLANK('Data Entry'!$R$666), "", 'Data Entry'!$R$666)</f>
      </c>
      <c r="S666">
        <f>IF(ISBLANK('Data Entry'!$S$666), "", 'Data Entry'!$S$666)</f>
      </c>
      <c r="T666">
        <f>IF(ISBLANK('Data Entry'!$T$666), "", 'Data Entry'!$T$666)</f>
      </c>
      <c r="U666">
        <f>IF(ISBLANK('Data Entry'!$U$666), "", 'Data Entry'!$U$666)</f>
      </c>
      <c r="V666">
        <f>IF(ISBLANK('Data Entry'!$V$666), "", 'Data Entry'!$V$666)</f>
      </c>
      <c r="W666">
        <f>IF(ISBLANK('Data Entry'!$W$666), "", 'Data Entry'!$W$666)</f>
      </c>
      <c r="X666">
        <f>IF(ISBLANK('Data Entry'!$X$666), "", 'Data Entry'!$X$666)</f>
      </c>
      <c r="Y666">
        <f>IF(ISBLANK('Data Entry'!$Y$666), "", 'Data Entry'!$Y$666)</f>
      </c>
      <c r="Z666">
        <f>IF(ISBLANK('Data Entry'!$Z$666), "", 'Data Entry'!$Z$666)</f>
      </c>
      <c r="AA666">
        <f>IF(ISBLANK('Data Entry'!$[$666), "", 'Data Entry'!$[$666)</f>
      </c>
      <c r="AB666">
        <f>IF(ISBLANK('Data Entry'!$\$666), "", 'Data Entry'!$\$666)</f>
      </c>
      <c r="AC666">
        <f>IF(ISBLANK('Data Entry'!$]$666), "", 'Data Entry'!$]$666)</f>
      </c>
      <c r="AD666">
        <f>IF(ISBLANK('Data Entry'!$^$666), "", 'Data Entry'!$^$666)</f>
      </c>
      <c r="AE666">
        <f>IF(ISBLANK('Data Entry'!$_$666), "", 'Data Entry'!$_$666)</f>
      </c>
      <c r="AF666">
        <f>IF(ISBLANK('Data Entry'!$`$666), "", 'Data Entry'!$`$666)</f>
      </c>
      <c r="AG666">
        <f>IF(ISBLANK('Data Entry'!$a$666), "", 'Data Entry'!$a$666)</f>
      </c>
      <c r="AH666">
        <f>IF(ISBLANK('Data Entry'!$b$666), "", 'Data Entry'!$b$666)</f>
      </c>
      <c r="AI666">
        <f>IF(ISBLANK('Data Entry'!$c$666), "", 'Data Entry'!$c$666)</f>
      </c>
      <c r="AJ666">
        <f>IF(ISBLANK('Data Entry'!$d$666), "", 'Data Entry'!$d$666)</f>
      </c>
      <c r="AK666">
        <f>IF(ISBLANK('Data Entry'!$e$666), "", 'Data Entry'!$e$666)</f>
      </c>
      <c r="AL666">
        <f>IF(ISBLANK('Data Entry'!$f$666), "", 'Data Entry'!$f$666)</f>
      </c>
      <c r="AM666">
        <f>IF(ISBLANK('Data Entry'!$g$666), "", 'Data Entry'!$g$666)</f>
      </c>
      <c r="AN666">
        <f>IF(ISBLANK('Data Entry'!$h$666), "", 'Data Entry'!$h$666)</f>
      </c>
      <c r="AO666">
        <f>IF(ISBLANK('Data Entry'!$i$666), "", 'Data Entry'!$i$666)</f>
      </c>
      <c r="AP666">
        <f>IF(ISBLANK('Data Entry'!$j$666), "", 'Data Entry'!$j$666)</f>
      </c>
      <c r="AQ666">
        <f>IF(ISBLANK('Data Entry'!$k$666), "", 'Data Entry'!$k$666)</f>
      </c>
      <c r="AR666">
        <f>IF(ISBLANK('Data Entry'!$l$666), "", 'Data Entry'!$l$666)</f>
      </c>
      <c r="AS666">
        <f>IF(ISBLANK('Data Entry'!$m$666), "", 'Data Entry'!$m$666)</f>
      </c>
      <c r="AT666">
        <f>IF(ISBLANK('Data Entry'!$n$666), "", 'Data Entry'!$n$666)</f>
      </c>
      <c r="AU666">
        <f>IF(ISBLANK('Data Entry'!$o$666), "", 'Data Entry'!$o$666)</f>
      </c>
      <c r="AV666">
        <f>IF(ISBLANK('Data Entry'!$p$666), "", 'Data Entry'!$p$666)</f>
      </c>
      <c r="AW666">
        <f>IF(ISBLANK('Data Entry'!$q$666), "", 'Data Entry'!$q$666)</f>
      </c>
      <c r="AX666">
        <f>IF(ISBLANK('Data Entry'!$r$666), "", 'Data Entry'!$r$666)</f>
      </c>
      <c r="AY666">
        <f>IF(ISBLANK('Data Entry'!$s$666), "", 'Data Entry'!$s$666)</f>
      </c>
      <c r="AZ666">
        <f>IF(ISBLANK('Data Entry'!$t$666), "", 'Data Entry'!$t$666)</f>
      </c>
      <c r="BA666">
        <f>IF(ISBLANK('Data Entry'!$u$666), "", 'Data Entry'!$u$666)</f>
      </c>
      <c r="BB666">
        <f>IF(ISBLANK('Data Entry'!$v$666), "", 'Data Entry'!$v$666)</f>
      </c>
      <c r="BC666">
        <f>IF(ISBLANK('Data Entry'!$w$666), "", 'Data Entry'!$w$666)</f>
      </c>
      <c r="BD666">
        <f>IF(ISBLANK('Data Entry'!$x$666), "", 'Data Entry'!$x$666)</f>
      </c>
      <c r="BE666">
        <f>IF(ISBLANK('Data Entry'!$y$666), "", 'Data Entry'!$y$666)</f>
      </c>
      <c r="BF666">
        <f>IF(ISBLANK('Data Entry'!$z$666), "", 'Data Entry'!$z$666)</f>
      </c>
      <c r="BG666">
        <f>IF(ISBLANK('Data Entry'!${$666), "", 'Data Entry'!${$666)</f>
      </c>
      <c r="BH666">
        <f>IF(ISBLANK('Data Entry'!$|$666), "", 'Data Entry'!$|$666)</f>
      </c>
      <c r="BI666">
        <f>IF(ISBLANK('Data Entry'!$}$666), "", 'Data Entry'!$}$666)</f>
      </c>
      <c r="BJ666">
        <f>IF(ISBLANK('Data Entry'!$~$666), "", 'Data Entry'!$~$666)</f>
      </c>
      <c r="BK666">
        <f>IF(ISBLANK('Data Entry'!$$666), "", 'Data Entry'!$$666)</f>
      </c>
      <c r="BL666">
        <f>IF(ISBLANK('Data Entry'!$$666), "", 'Data Entry'!$$666)</f>
      </c>
      <c r="BM666">
        <f>IF(ISBLANK('Data Entry'!$$666), "", 'Data Entry'!$$666)</f>
      </c>
      <c r="BN666">
        <f>IF(ISBLANK('Data Entry'!$$666), "", 'Data Entry'!$$666)</f>
      </c>
      <c r="BO666">
        <f>IF(ISBLANK('Data Entry'!$$666), "", 'Data Entry'!$$666)</f>
      </c>
      <c r="BP666">
        <f>IF(ISBLANK('Data Entry'!$$666), "", 'Data Entry'!$$666)</f>
      </c>
      <c r="BQ666">
        <f>IF(ISBLANK('Data Entry'!$$666), "", 'Data Entry'!$$666)</f>
      </c>
      <c r="BR666">
        <f>IF(ISBLANK('Data Entry'!$$666), "", 'Data Entry'!$$666)</f>
      </c>
      <c r="BS666">
        <f>IF(ISBLANK('Data Entry'!$$666), "", 'Data Entry'!$$666)</f>
      </c>
      <c r="BT666">
        <f>IF(ISBLANK('Data Entry'!$$666), "", 'Data Entry'!$$666)</f>
      </c>
      <c r="BU666">
        <f>IF(ISBLANK('Data Entry'!$$666), "", 'Data Entry'!$$666)</f>
      </c>
      <c r="BV666">
        <f>IF(ISBLANK('Data Entry'!$$666), "", 'Data Entry'!$$666)</f>
      </c>
      <c r="BW666">
        <f>IF(ISBLANK('Data Entry'!$$666), "", 'Data Entry'!$$666)</f>
      </c>
      <c r="BX666">
        <f>IF(ISBLANK('Data Entry'!$$666), "", 'Data Entry'!$$666)</f>
      </c>
      <c r="BY666">
        <f>IF(ISBLANK('Data Entry'!$$666), "", 'Data Entry'!$$666)</f>
      </c>
      <c r="BZ666">
        <f>IF(ISBLANK('Data Entry'!$$666), "", 'Data Entry'!$$666)</f>
      </c>
      <c r="CA666">
        <f>IF(ISBLANK('Data Entry'!$$666), "", 'Data Entry'!$$666)</f>
      </c>
      <c r="CB666">
        <f>IF(ISBLANK('Data Entry'!$$666), "", 'Data Entry'!$$666)</f>
      </c>
      <c r="CC666">
        <f>IF(ISBLANK('Data Entry'!$$666), "", 'Data Entry'!$$666)</f>
      </c>
      <c r="CD666">
        <f>IF(ISBLANK('Data Entry'!$$666), "", 'Data Entry'!$$666)</f>
      </c>
      <c r="CE666">
        <f>IF(ISBLANK('Data Entry'!$$666), "", 'Data Entry'!$$666)</f>
      </c>
      <c r="CF666">
        <f>IF(ISBLANK('Data Entry'!$$666), "", 'Data Entry'!$$666)</f>
      </c>
      <c r="CG666">
        <f>IF(ISBLANK('Data Entry'!$$666), "", 'Data Entry'!$$666)</f>
      </c>
      <c r="CH666">
        <f>IF(ISBLANK('Data Entry'!$$666), "", 'Data Entry'!$$666)</f>
      </c>
      <c r="CI666">
        <f>IF(ISBLANK('Data Entry'!$$666), "", 'Data Entry'!$$666)</f>
      </c>
      <c r="CJ666">
        <f>IF(ISBLANK('Data Entry'!$$666), "", 'Data Entry'!$$666)</f>
      </c>
      <c r="CK666">
        <f>IF(ISBLANK('Data Entry'!$$666), "", 'Data Entry'!$$666)</f>
      </c>
      <c r="CL666">
        <f>IF(ISBLANK('Data Entry'!$$666), "", 'Data Entry'!$$666)</f>
      </c>
      <c r="CM666">
        <f>IF(ISBLANK('Data Entry'!$$666), "", 'Data Entry'!$$666)</f>
      </c>
      <c r="CN666">
        <f>IF(ISBLANK('Data Entry'!$$666), "", 'Data Entry'!$$666)</f>
      </c>
      <c r="CO666">
        <f>IF(ISBLANK('Data Entry'!$$666), "", 'Data Entry'!$$666)</f>
      </c>
      <c r="CP666">
        <f>IF(ISBLANK('Data Entry'!$$666), "", 'Data Entry'!$$666)</f>
      </c>
      <c r="CQ666">
        <f>IF(ISBLANK('Data Entry'!$$666), "", 'Data Entry'!$$666)</f>
      </c>
      <c r="CR666">
        <f>IF(ISBLANK('Data Entry'!$ $666), "", 'Data Entry'!$ $666)</f>
      </c>
      <c r="CS666">
        <f>IF(ISBLANK('Data Entry'!$¡$666), "", 'Data Entry'!$¡$666)</f>
      </c>
      <c r="CT666">
        <f>IF(ISBLANK('Data Entry'!$¢$666), "", 'Data Entry'!$¢$666)</f>
      </c>
      <c r="CU666">
        <f>IF(ISBLANK('Data Entry'!$£$666), "", 'Data Entry'!$£$666)</f>
      </c>
      <c r="CV666">
        <f>IF(ISBLANK('Data Entry'!$¤$666), "", 'Data Entry'!$¤$666)</f>
      </c>
      <c r="CW666">
        <f>IF(ISBLANK('Data Entry'!$¥$666), "", 'Data Entry'!$¥$666)</f>
      </c>
      <c r="CX666">
        <f>IF(ISBLANK('Data Entry'!$¦$666), "", 'Data Entry'!$¦$666)</f>
      </c>
      <c r="CY666">
        <f>IF(ISBLANK('Data Entry'!$§$666), "", 'Data Entry'!$§$666)</f>
      </c>
      <c r="CZ666">
        <f>IF(ISBLANK('Data Entry'!$¨$666), "", 'Data Entry'!$¨$666)</f>
      </c>
      <c r="DA666">
        <f>IF(ISBLANK('Data Entry'!$©$666), "", 'Data Entry'!$©$666)</f>
      </c>
      <c r="DB666">
        <f>IF(ISBLANK('Data Entry'!$ª$666), "", 'Data Entry'!$ª$666)</f>
      </c>
      <c r="DC666">
        <f>IF(ISBLANK('Data Entry'!$«$666), "", 'Data Entry'!$«$666)</f>
      </c>
      <c r="DD666">
        <f>IF(ISBLANK('Data Entry'!$¬$666), "", 'Data Entry'!$¬$666)</f>
      </c>
      <c r="DE666">
        <f>IF(ISBLANK('Data Entry'!$­$666), "", 'Data Entry'!$­$666)</f>
      </c>
      <c r="DF666">
        <f>IF(ISBLANK('Data Entry'!$®$666), "", 'Data Entry'!$®$666)</f>
      </c>
      <c r="DG666">
        <f>IF(ISBLANK('Data Entry'!$¯$666), "", 'Data Entry'!$¯$666)</f>
      </c>
      <c r="DH666">
        <f>IF(ISBLANK('Data Entry'!$°$666), "", 'Data Entry'!$°$666)</f>
      </c>
      <c r="DI666">
        <f>IF(ISBLANK('Data Entry'!$±$666), "", 'Data Entry'!$±$666)</f>
      </c>
      <c r="DJ666">
        <f>IF(ISBLANK('Data Entry'!$²$666), "", 'Data Entry'!$²$666)</f>
      </c>
      <c r="DK666">
        <f>IF(ISBLANK('Data Entry'!$³$666), "", 'Data Entry'!$³$666)</f>
      </c>
      <c r="DL666">
        <f>IF(ISBLANK('Data Entry'!$´$666), "", 'Data Entry'!$´$666)</f>
      </c>
      <c r="DM666">
        <f>IF(ISBLANK('Data Entry'!$µ$666), "", 'Data Entry'!$µ$666)</f>
      </c>
      <c r="DN666">
        <f>IF(ISBLANK('Data Entry'!$¶$666), "", 'Data Entry'!$¶$666)</f>
      </c>
      <c r="DO666">
        <f>IF(ISBLANK('Data Entry'!$·$666), "", 'Data Entry'!$·$666)</f>
      </c>
      <c r="DP666">
        <f>IF(ISBLANK('Data Entry'!$¸$666), "", 'Data Entry'!$¸$666)</f>
      </c>
      <c r="DQ666">
        <f>IF(ISBLANK('Data Entry'!$¹$666), "", 'Data Entry'!$¹$666)</f>
      </c>
      <c r="DR666">
        <f>IF(ISBLANK('Data Entry'!$º$666), "", 'Data Entry'!$º$666)</f>
      </c>
      <c r="DS666">
        <f>IF(ISBLANK('Data Entry'!$»$666), "", 'Data Entry'!$»$666)</f>
      </c>
      <c r="DT666">
        <f>IF(ISBLANK('Data Entry'!$¼$666), "", 'Data Entry'!$¼$666)</f>
      </c>
      <c r="DU666">
        <f>IF(ISBLANK('Data Entry'!$½$666), "", 'Data Entry'!$½$666)</f>
      </c>
      <c r="DV666">
        <f>IF(ISBLANK('Data Entry'!$¾$666), "", 'Data Entry'!$¾$666)</f>
      </c>
      <c r="DW666">
        <f>IF(ISBLANK('Data Entry'!$¿$666), "", 'Data Entry'!$¿$666)</f>
      </c>
      <c r="DX666">
        <f>IF(ISBLANK('Data Entry'!$À$666), "", 'Data Entry'!$À$666)</f>
      </c>
      <c r="DY666">
        <f>IF(ISBLANK('Data Entry'!$Á$666), "", 'Data Entry'!$Á$666)</f>
      </c>
      <c r="DZ666">
        <f>IF(ISBLANK('Data Entry'!$Â$666), "", 'Data Entry'!$Â$666)</f>
      </c>
      <c r="EA666">
        <f>IF(ISBLANK('Data Entry'!$Ã$666), "", 'Data Entry'!$Ã$666)</f>
      </c>
      <c r="EB666">
        <f>IF(ISBLANK('Data Entry'!$Ä$666), "", 'Data Entry'!$Ä$666)</f>
      </c>
      <c r="EC666">
        <f>IF(ISBLANK('Data Entry'!$Å$666), "", 'Data Entry'!$Å$666)</f>
      </c>
      <c r="ED666">
        <f>IF(ISBLANK('Data Entry'!$Æ$666), "", 'Data Entry'!$Æ$666)</f>
      </c>
      <c r="EE666">
        <f>IF(ISBLANK('Data Entry'!$Ç$666), "", 'Data Entry'!$Ç$666)</f>
      </c>
      <c r="EF666">
        <f>IF(ISBLANK('Data Entry'!$È$666), "", 'Data Entry'!$È$666)</f>
      </c>
      <c r="EG666">
        <f>IF(ISBLANK('Data Entry'!$É$666), "", 'Data Entry'!$É$666)</f>
      </c>
      <c r="EH666">
        <f>IF(ISBLANK('Data Entry'!$Ê$666), "", 'Data Entry'!$Ê$666)</f>
      </c>
      <c r="EI666">
        <f>IF(ISBLANK('Data Entry'!$Ë$666), "", 'Data Entry'!$Ë$666)</f>
      </c>
      <c r="EJ666">
        <f>IF(ISBLANK('Data Entry'!$Ì$666), "", 'Data Entry'!$Ì$666)</f>
      </c>
      <c r="EK666">
        <f>IF(ISBLANK('Data Entry'!$Í$666), "", 'Data Entry'!$Í$666)</f>
      </c>
      <c r="EL666">
        <f>IF(ISBLANK('Data Entry'!$Î$666), "", 'Data Entry'!$Î$666)</f>
      </c>
      <c r="EM666">
        <f>IF(ISBLANK('Data Entry'!$Ï$666), "", 'Data Entry'!$Ï$666)</f>
      </c>
      <c r="EN666">
        <f>IF(ISBLANK('Data Entry'!$Ð$666), "", 'Data Entry'!$Ð$666)</f>
      </c>
      <c r="EO666">
        <f>IF(ISBLANK('Data Entry'!$Ñ$666), "", 'Data Entry'!$Ñ$666)</f>
      </c>
      <c r="EP666">
        <f>IF(ISBLANK('Data Entry'!$Ò$666), "", 'Data Entry'!$Ò$666)</f>
      </c>
      <c r="EQ666">
        <f>IF(ISBLANK('Data Entry'!$Ó$666), "", 'Data Entry'!$Ó$666)</f>
      </c>
      <c r="ER666">
        <f>IF(ISBLANK('Data Entry'!$Ô$666), "", 'Data Entry'!$Ô$666)</f>
      </c>
      <c r="ES666">
        <f>IF(ISBLANK('Data Entry'!$Õ$666), "", 'Data Entry'!$Õ$666)</f>
      </c>
      <c r="ET666">
        <f>IF(ISBLANK('Data Entry'!$Ö$666), "", 'Data Entry'!$Ö$666)</f>
      </c>
      <c r="EU666">
        <f>IF(ISBLANK('Data Entry'!$×$666), "", 'Data Entry'!$×$666)</f>
      </c>
      <c r="EV666">
        <f>IF(ISBLANK('Data Entry'!$Ø$666), "", 'Data Entry'!$Ø$666)</f>
      </c>
      <c r="EW666">
        <f>IF(ISBLANK('Data Entry'!$Ù$666), "", 'Data Entry'!$Ù$666)</f>
      </c>
      <c r="EX666">
        <f>IF(ISBLANK('Data Entry'!$Ú$666), "", 'Data Entry'!$Ú$666)</f>
      </c>
      <c r="EY666">
        <f>IF(ISBLANK('Data Entry'!$Û$666), "", 'Data Entry'!$Û$666)</f>
      </c>
      <c r="EZ666">
        <f>IF(ISBLANK('Data Entry'!$Ü$666), "", 'Data Entry'!$Ü$666)</f>
      </c>
      <c r="FA666">
        <f>IF(ISBLANK('Data Entry'!$Ý$666), "", 'Data Entry'!$Ý$666)</f>
      </c>
      <c r="FB666">
        <f>IF(ISBLANK('Data Entry'!$Þ$666), "", 'Data Entry'!$Þ$666)</f>
      </c>
      <c r="FC666">
        <f>IF(ISBLANK('Data Entry'!$ß$666), "", 'Data Entry'!$ß$666)</f>
      </c>
      <c r="FD666">
        <f>IF(ISBLANK('Data Entry'!$à$666), "", 'Data Entry'!$à$666)</f>
      </c>
      <c r="FE666">
        <f>IF(ISBLANK('Data Entry'!$á$666), "", 'Data Entry'!$á$666)</f>
      </c>
      <c r="FF666">
        <f>IF(ISBLANK('Data Entry'!$â$666), "", 'Data Entry'!$â$666)</f>
      </c>
      <c r="FG666">
        <f>IF(ISBLANK('Data Entry'!$ã$666), "", 'Data Entry'!$ã$666)</f>
      </c>
      <c r="FH666">
        <f>IF(ISBLANK('Data Entry'!$ä$666), "", 'Data Entry'!$ä$666)</f>
      </c>
      <c r="FI666">
        <f>IF(ISBLANK('Data Entry'!$å$666), "", 'Data Entry'!$å$666)</f>
      </c>
      <c r="FJ666">
        <f>IF(ISBLANK('Data Entry'!$æ$666), "", 'Data Entry'!$æ$666)</f>
      </c>
      <c r="FK666">
        <f>IF(ISBLANK('Data Entry'!$ç$666), "", 'Data Entry'!$ç$666)</f>
      </c>
      <c r="FL666">
        <f>IF(ISBLANK('Data Entry'!$è$666), "", 'Data Entry'!$è$666)</f>
      </c>
      <c r="FM666">
        <f>IF(ISBLANK('Data Entry'!$é$666), "", 'Data Entry'!$é$666)</f>
      </c>
      <c r="FN666">
        <f>IF(ISBLANK('Data Entry'!$ê$666), "", 'Data Entry'!$ê$666)</f>
      </c>
      <c r="FO666">
        <f>IF(ISBLANK('Data Entry'!$ë$666), "", 'Data Entry'!$ë$666)</f>
      </c>
      <c r="FP666">
        <f>IF(ISBLANK('Data Entry'!$ì$666), "", 'Data Entry'!$ì$666)</f>
      </c>
      <c r="FQ666">
        <f>IF(ISBLANK('Data Entry'!$í$666), "", 'Data Entry'!$í$666)</f>
      </c>
      <c r="FR666">
        <f>IF(ISBLANK('Data Entry'!$î$666), "", 'Data Entry'!$î$666)</f>
      </c>
      <c r="FS666">
        <f>IF(ISBLANK('Data Entry'!$ï$666), "", 'Data Entry'!$ï$666)</f>
      </c>
      <c r="FT666">
        <f>IF(ISBLANK('Data Entry'!$ð$666), "", 'Data Entry'!$ð$666)</f>
      </c>
      <c r="FU666">
        <f>IF(ISBLANK('Data Entry'!$ñ$666), "", 'Data Entry'!$ñ$666)</f>
      </c>
      <c r="FV666">
        <f>IF(ISBLANK('Data Entry'!$ò$666), "", 'Data Entry'!$ò$666)</f>
      </c>
      <c r="FW666">
        <f>IF(ISBLANK('Data Entry'!$ó$666), "", 'Data Entry'!$ó$666)</f>
      </c>
      <c r="FX666">
        <f>IF(ISBLANK('Data Entry'!$ô$666), "", 'Data Entry'!$ô$666)</f>
      </c>
      <c r="FY666">
        <f>IF(ISBLANK('Data Entry'!$õ$666), "", 'Data Entry'!$õ$666)</f>
      </c>
      <c r="FZ666">
        <f>IF(ISBLANK('Data Entry'!$ö$666), "", 'Data Entry'!$ö$666)</f>
      </c>
      <c r="GA666">
        <f>IF(ISBLANK('Data Entry'!$÷$666), "", 'Data Entry'!$÷$666)</f>
      </c>
      <c r="GB666">
        <f>IF(ISBLANK('Data Entry'!$ø$666), "", 'Data Entry'!$ø$666)</f>
      </c>
      <c r="GC666">
        <f>IF(ISBLANK('Data Entry'!$ù$666), "", 'Data Entry'!$ù$666)</f>
      </c>
      <c r="GD666">
        <f>IF(ISBLANK('Data Entry'!$ú$666), "", 'Data Entry'!$ú$666)</f>
      </c>
      <c r="GE666">
        <f>IF(ISBLANK('Data Entry'!$û$666), "", 'Data Entry'!$û$666)</f>
      </c>
      <c r="GF666">
        <f>IF(ISBLANK('Data Entry'!$ü$666), "", 'Data Entry'!$ü$666)</f>
      </c>
      <c r="GG666">
        <f>IF(ISBLANK('Data Entry'!$ý$666), "", 'Data Entry'!$ý$666)</f>
      </c>
      <c r="GH666">
        <f>IF(ISBLANK('Data Entry'!$þ$666), "", 'Data Entry'!$þ$666)</f>
      </c>
      <c r="GI666">
        <f>IF(ISBLANK('Data Entry'!$ÿ$666), "", 'Data Entry'!$ÿ$666)</f>
      </c>
      <c r="GJ666">
        <f>IF(ISBLANK('Data Entry'!$Ā$666), "", 'Data Entry'!$Ā$666)</f>
      </c>
      <c r="GK666">
        <f>IF(ISBLANK('Data Entry'!$ā$666), "", 'Data Entry'!$ā$666)</f>
      </c>
      <c r="GL666">
        <f>IF(ISBLANK('Data Entry'!$Ă$666), "", 'Data Entry'!$Ă$666)</f>
      </c>
      <c r="GM666">
        <f>IF(ISBLANK('Data Entry'!$ă$666), "", 'Data Entry'!$ă$666)</f>
      </c>
      <c r="GN666">
        <f>IF(ISBLANK('Data Entry'!$Ą$666), "", 'Data Entry'!$Ą$666)</f>
      </c>
      <c r="GO666">
        <f>IF(ISBLANK('Data Entry'!$ą$666), "", 'Data Entry'!$ą$666)</f>
      </c>
      <c r="GP666">
        <f>IF(ISBLANK('Data Entry'!$Ć$666), "", 'Data Entry'!$Ć$666)</f>
      </c>
      <c r="GQ666">
        <f>IF(ISBLANK('Data Entry'!$ć$666), "", 'Data Entry'!$ć$666)</f>
      </c>
      <c r="GR666">
        <f>IF(ISBLANK('Data Entry'!$Ĉ$666), "", 'Data Entry'!$Ĉ$666)</f>
      </c>
      <c r="GS666">
        <f>IF(ISBLANK('Data Entry'!$ĉ$666), "", 'Data Entry'!$ĉ$666)</f>
      </c>
      <c r="GT666">
        <f>IF(ISBLANK('Data Entry'!$Ċ$666), "", 'Data Entry'!$Ċ$666)</f>
      </c>
      <c r="GU666">
        <f>IF(ISBLANK('Data Entry'!$ċ$666), "", 'Data Entry'!$ċ$666)</f>
      </c>
      <c r="GV666">
        <f>IF(ISBLANK('Data Entry'!$Č$666), "", 'Data Entry'!$Č$666)</f>
      </c>
      <c r="GW666">
        <f>IF(ISBLANK('Data Entry'!$č$666), "", 'Data Entry'!$č$666)</f>
      </c>
      <c r="GX666">
        <f>IF(ISBLANK('Data Entry'!$Ď$666), "", 'Data Entry'!$Ď$666)</f>
      </c>
      <c r="GY666">
        <f>IF(ISBLANK('Data Entry'!$ď$666), "", 'Data Entry'!$ď$666)</f>
      </c>
      <c r="GZ666">
        <f>IF(ISBLANK('Data Entry'!$Đ$666), "", 'Data Entry'!$Đ$666)</f>
      </c>
      <c r="HA666">
        <f>IF(ISBLANK('Data Entry'!$đ$666), "", 'Data Entry'!$đ$666)</f>
      </c>
      <c r="HB666">
        <f>IF(ISBLANK('Data Entry'!$Ē$666), "", 'Data Entry'!$Ē$666)</f>
      </c>
      <c r="HC666">
        <f>IF(ISBLANK('Data Entry'!$ē$666), "", 'Data Entry'!$ē$666)</f>
      </c>
      <c r="HD666">
        <f>IF(ISBLANK('Data Entry'!$Ĕ$666), "", 'Data Entry'!$Ĕ$666)</f>
      </c>
      <c r="HE666">
        <f>IF(ISBLANK('Data Entry'!$ĕ$666), "", 'Data Entry'!$ĕ$666)</f>
      </c>
      <c r="HF666">
        <f>IF(ISBLANK('Data Entry'!$Ė$666), "", 'Data Entry'!$Ė$666)</f>
      </c>
      <c r="HG666">
        <f>IF(ISBLANK('Data Entry'!$ė$666), "", 'Data Entry'!$ė$666)</f>
      </c>
      <c r="HH666">
        <f>IF(ISBLANK('Data Entry'!$Ę$666), "", 'Data Entry'!$Ę$666)</f>
      </c>
      <c r="HI666">
        <f>IF(ISBLANK('Data Entry'!$ę$666), "", 'Data Entry'!$ę$666)</f>
      </c>
      <c r="HJ666">
        <f>IF(ISBLANK('Data Entry'!$Ě$666), "", 'Data Entry'!$Ě$666)</f>
      </c>
      <c r="HK666">
        <f>IF(ISBLANK('Data Entry'!$ě$666), "", 'Data Entry'!$ě$666)</f>
      </c>
      <c r="HL666">
        <f>IF(ISBLANK('Data Entry'!$Ĝ$666), "", 'Data Entry'!$Ĝ$666)</f>
      </c>
      <c r="HM666">
        <f>IF(ISBLANK('Data Entry'!$ĝ$666), "", 'Data Entry'!$ĝ$666)</f>
      </c>
      <c r="HN666">
        <f>IF(ISBLANK('Data Entry'!$Ğ$666), "", 'Data Entry'!$Ğ$666)</f>
      </c>
      <c r="HO666">
        <f>IF(ISBLANK('Data Entry'!$ğ$666), "", 'Data Entry'!$ğ$666)</f>
      </c>
      <c r="HP666">
        <f>IF(ISBLANK('Data Entry'!$Ġ$666), "", 'Data Entry'!$Ġ$666)</f>
      </c>
      <c r="HQ666">
        <f>IF(ISBLANK('Data Entry'!$ġ$666), "", 'Data Entry'!$ġ$666)</f>
      </c>
      <c r="HR666">
        <f>IF(ISBLANK('Data Entry'!$Ģ$666), "", 'Data Entry'!$Ģ$666)</f>
      </c>
      <c r="HS666">
        <f>IF(ISBLANK('Data Entry'!$ģ$666), "", 'Data Entry'!$ģ$666)</f>
      </c>
      <c r="HT666">
        <f>IF(ISBLANK('Data Entry'!$Ĥ$666), "", 'Data Entry'!$Ĥ$666)</f>
      </c>
      <c r="HU666">
        <f>IF(ISBLANK('Data Entry'!$ĥ$666), "", 'Data Entry'!$ĥ$666)</f>
      </c>
      <c r="HV666">
        <f>IF(ISBLANK('Data Entry'!$Ħ$666), "", 'Data Entry'!$Ħ$666)</f>
      </c>
      <c r="HW666">
        <f>IF(ISBLANK('Data Entry'!$ħ$666), "", 'Data Entry'!$ħ$666)</f>
      </c>
      <c r="HX666">
        <f>IF(ISBLANK('Data Entry'!$Ĩ$666), "", 'Data Entry'!$Ĩ$666)</f>
      </c>
      <c r="HY666">
        <f>IF(ISBLANK('Data Entry'!$ĩ$666), "", 'Data Entry'!$ĩ$666)</f>
      </c>
      <c r="HZ666">
        <f>IF(ISBLANK('Data Entry'!$Ī$666), "", 'Data Entry'!$Ī$666)</f>
      </c>
      <c r="IA666">
        <f>IF(ISBLANK('Data Entry'!$ī$666), "", 'Data Entry'!$ī$666)</f>
      </c>
      <c r="IB666">
        <f>IF(ISBLANK('Data Entry'!$Ĭ$666), "", 'Data Entry'!$Ĭ$666)</f>
      </c>
      <c r="IC666">
        <f>IF(ISBLANK('Data Entry'!$ĭ$666), "", 'Data Entry'!$ĭ$666)</f>
      </c>
      <c r="ID666">
        <f>IF(ISBLANK('Data Entry'!$Į$666), "", 'Data Entry'!$Į$666)</f>
      </c>
      <c r="IE666">
        <f>IF(ISBLANK('Data Entry'!$į$666), "", 'Data Entry'!$į$666)</f>
      </c>
      <c r="IF666">
        <f>IF(ISBLANK('Data Entry'!$İ$666), "", 'Data Entry'!$İ$666)</f>
      </c>
      <c r="IG666">
        <f>IF(ISBLANK('Data Entry'!$ı$666), "", 'Data Entry'!$ı$666)</f>
      </c>
      <c r="IH666">
        <f>IF(ISBLANK('Data Entry'!$Ĳ$666), "", 'Data Entry'!$Ĳ$666)</f>
      </c>
      <c r="II666">
        <f>IF(ISBLANK('Data Entry'!$ĳ$666), "", 'Data Entry'!$ĳ$666)</f>
      </c>
      <c r="IJ666">
        <f>IF(ISBLANK('Data Entry'!$Ĵ$666), "", 'Data Entry'!$Ĵ$666)</f>
      </c>
      <c r="IK666">
        <f>IF(ISBLANK('Data Entry'!$ĵ$666), "", 'Data Entry'!$ĵ$666)</f>
      </c>
      <c r="IL666">
        <f>IF(ISBLANK('Data Entry'!$Ķ$666), "", 'Data Entry'!$Ķ$666)</f>
      </c>
      <c r="IM666">
        <f>IF(ISBLANK('Data Entry'!$ķ$666), "", 'Data Entry'!$ķ$666)</f>
      </c>
      <c r="IN666">
        <f>IF(ISBLANK('Data Entry'!$ĸ$666), "", 'Data Entry'!$ĸ$666)</f>
      </c>
      <c r="IO666">
        <f>IF(ISBLANK('Data Entry'!$Ĺ$666), "", 'Data Entry'!$Ĺ$666)</f>
      </c>
      <c r="IP666">
        <f>IF(ISBLANK('Data Entry'!$ĺ$666), "", 'Data Entry'!$ĺ$666)</f>
      </c>
      <c r="IQ666">
        <f>IF(ISBLANK('Data Entry'!$Ļ$666), "", 'Data Entry'!$Ļ$666)</f>
      </c>
      <c r="IR666">
        <f>IF(ISBLANK('Data Entry'!$ļ$666), "", 'Data Entry'!$ļ$666)</f>
      </c>
      <c r="IS666">
        <f>IF(ISBLANK('Data Entry'!$Ľ$666), "", 'Data Entry'!$Ľ$666)</f>
      </c>
      <c r="IT666">
        <f>IF(ISBLANK('Data Entry'!$ľ$666), "", 'Data Entry'!$ľ$666)</f>
      </c>
    </row>
    <row r="667" spans="1:254" x14ac:dyDescent="0.25">
      <c r="A667">
        <f>IF(ISBLANK('Data Entry'!$A$667), "", 'Data Entry'!$A$667)</f>
      </c>
      <c r="B667">
        <f>IF(ISBLANK('Data Entry'!$B$667), "", 'Data Entry'!$B$667)</f>
      </c>
      <c r="C667">
        <f>IF(ISBLANK('Data Entry'!$C$667), "", 'Data Entry'!$C$667)</f>
      </c>
      <c r="D667">
        <f>IF(ISBLANK('Data Entry'!$D$667), "", 'Data Entry'!$D$667)</f>
      </c>
      <c r="E667">
        <f>IF(ISBLANK('Data Entry'!$E$667), "", 'Data Entry'!$E$667)</f>
      </c>
      <c r="F667">
        <f>IF(ISBLANK('Data Entry'!$F$667), "", 'Data Entry'!$F$667)</f>
      </c>
      <c r="G667">
        <f>IF(ISBLANK('Data Entry'!$G$667), "", 'Data Entry'!$G$667)</f>
      </c>
      <c r="H667">
        <f>IF(ISBLANK('Data Entry'!$H$667), "", 'Data Entry'!$H$667)</f>
      </c>
      <c r="I667">
        <f>IF(ISBLANK('Data Entry'!$I$667), "", 'Data Entry'!$I$667)</f>
      </c>
      <c r="J667">
        <f>IF(ISBLANK('Data Entry'!$J$667), "", 'Data Entry'!$J$667)</f>
      </c>
      <c r="K667">
        <f>IF(ISBLANK('Data Entry'!$K$667), "", 'Data Entry'!$K$667)</f>
      </c>
      <c r="L667">
        <f>IF(ISBLANK('Data Entry'!$L$667), "", 'Data Entry'!$L$667)</f>
      </c>
      <c r="M667">
        <f>IF(ISBLANK('Data Entry'!$M$667), "", 'Data Entry'!$M$667)</f>
      </c>
      <c r="N667">
        <f>IF(ISBLANK('Data Entry'!$N$667), "", 'Data Entry'!$N$667)</f>
      </c>
      <c r="O667">
        <f>IF(ISBLANK('Data Entry'!$O$667), "", 'Data Entry'!$O$667)</f>
      </c>
      <c r="P667">
        <f>IF(ISBLANK('Data Entry'!$P$667), "", 'Data Entry'!$P$667)</f>
      </c>
      <c r="Q667">
        <f>IF(ISBLANK('Data Entry'!$Q$667), "", 'Data Entry'!$Q$667)</f>
      </c>
      <c r="R667">
        <f>IF(ISBLANK('Data Entry'!$R$667), "", 'Data Entry'!$R$667)</f>
      </c>
      <c r="S667">
        <f>IF(ISBLANK('Data Entry'!$S$667), "", 'Data Entry'!$S$667)</f>
      </c>
      <c r="T667">
        <f>IF(ISBLANK('Data Entry'!$T$667), "", 'Data Entry'!$T$667)</f>
      </c>
      <c r="U667">
        <f>IF(ISBLANK('Data Entry'!$U$667), "", 'Data Entry'!$U$667)</f>
      </c>
      <c r="V667">
        <f>IF(ISBLANK('Data Entry'!$V$667), "", 'Data Entry'!$V$667)</f>
      </c>
      <c r="W667">
        <f>IF(ISBLANK('Data Entry'!$W$667), "", 'Data Entry'!$W$667)</f>
      </c>
      <c r="X667">
        <f>IF(ISBLANK('Data Entry'!$X$667), "", 'Data Entry'!$X$667)</f>
      </c>
      <c r="Y667">
        <f>IF(ISBLANK('Data Entry'!$Y$667), "", 'Data Entry'!$Y$667)</f>
      </c>
      <c r="Z667">
        <f>IF(ISBLANK('Data Entry'!$Z$667), "", 'Data Entry'!$Z$667)</f>
      </c>
      <c r="AA667">
        <f>IF(ISBLANK('Data Entry'!$[$667), "", 'Data Entry'!$[$667)</f>
      </c>
      <c r="AB667">
        <f>IF(ISBLANK('Data Entry'!$\$667), "", 'Data Entry'!$\$667)</f>
      </c>
      <c r="AC667">
        <f>IF(ISBLANK('Data Entry'!$]$667), "", 'Data Entry'!$]$667)</f>
      </c>
      <c r="AD667">
        <f>IF(ISBLANK('Data Entry'!$^$667), "", 'Data Entry'!$^$667)</f>
      </c>
      <c r="AE667">
        <f>IF(ISBLANK('Data Entry'!$_$667), "", 'Data Entry'!$_$667)</f>
      </c>
      <c r="AF667">
        <f>IF(ISBLANK('Data Entry'!$`$667), "", 'Data Entry'!$`$667)</f>
      </c>
      <c r="AG667">
        <f>IF(ISBLANK('Data Entry'!$a$667), "", 'Data Entry'!$a$667)</f>
      </c>
      <c r="AH667">
        <f>IF(ISBLANK('Data Entry'!$b$667), "", 'Data Entry'!$b$667)</f>
      </c>
      <c r="AI667">
        <f>IF(ISBLANK('Data Entry'!$c$667), "", 'Data Entry'!$c$667)</f>
      </c>
      <c r="AJ667">
        <f>IF(ISBLANK('Data Entry'!$d$667), "", 'Data Entry'!$d$667)</f>
      </c>
      <c r="AK667">
        <f>IF(ISBLANK('Data Entry'!$e$667), "", 'Data Entry'!$e$667)</f>
      </c>
      <c r="AL667">
        <f>IF(ISBLANK('Data Entry'!$f$667), "", 'Data Entry'!$f$667)</f>
      </c>
      <c r="AM667">
        <f>IF(ISBLANK('Data Entry'!$g$667), "", 'Data Entry'!$g$667)</f>
      </c>
      <c r="AN667">
        <f>IF(ISBLANK('Data Entry'!$h$667), "", 'Data Entry'!$h$667)</f>
      </c>
      <c r="AO667">
        <f>IF(ISBLANK('Data Entry'!$i$667), "", 'Data Entry'!$i$667)</f>
      </c>
      <c r="AP667">
        <f>IF(ISBLANK('Data Entry'!$j$667), "", 'Data Entry'!$j$667)</f>
      </c>
      <c r="AQ667">
        <f>IF(ISBLANK('Data Entry'!$k$667), "", 'Data Entry'!$k$667)</f>
      </c>
      <c r="AR667">
        <f>IF(ISBLANK('Data Entry'!$l$667), "", 'Data Entry'!$l$667)</f>
      </c>
      <c r="AS667">
        <f>IF(ISBLANK('Data Entry'!$m$667), "", 'Data Entry'!$m$667)</f>
      </c>
      <c r="AT667">
        <f>IF(ISBLANK('Data Entry'!$n$667), "", 'Data Entry'!$n$667)</f>
      </c>
      <c r="AU667">
        <f>IF(ISBLANK('Data Entry'!$o$667), "", 'Data Entry'!$o$667)</f>
      </c>
      <c r="AV667">
        <f>IF(ISBLANK('Data Entry'!$p$667), "", 'Data Entry'!$p$667)</f>
      </c>
      <c r="AW667">
        <f>IF(ISBLANK('Data Entry'!$q$667), "", 'Data Entry'!$q$667)</f>
      </c>
      <c r="AX667">
        <f>IF(ISBLANK('Data Entry'!$r$667), "", 'Data Entry'!$r$667)</f>
      </c>
      <c r="AY667">
        <f>IF(ISBLANK('Data Entry'!$s$667), "", 'Data Entry'!$s$667)</f>
      </c>
      <c r="AZ667">
        <f>IF(ISBLANK('Data Entry'!$t$667), "", 'Data Entry'!$t$667)</f>
      </c>
      <c r="BA667">
        <f>IF(ISBLANK('Data Entry'!$u$667), "", 'Data Entry'!$u$667)</f>
      </c>
      <c r="BB667">
        <f>IF(ISBLANK('Data Entry'!$v$667), "", 'Data Entry'!$v$667)</f>
      </c>
      <c r="BC667">
        <f>IF(ISBLANK('Data Entry'!$w$667), "", 'Data Entry'!$w$667)</f>
      </c>
      <c r="BD667">
        <f>IF(ISBLANK('Data Entry'!$x$667), "", 'Data Entry'!$x$667)</f>
      </c>
      <c r="BE667">
        <f>IF(ISBLANK('Data Entry'!$y$667), "", 'Data Entry'!$y$667)</f>
      </c>
      <c r="BF667">
        <f>IF(ISBLANK('Data Entry'!$z$667), "", 'Data Entry'!$z$667)</f>
      </c>
      <c r="BG667">
        <f>IF(ISBLANK('Data Entry'!${$667), "", 'Data Entry'!${$667)</f>
      </c>
      <c r="BH667">
        <f>IF(ISBLANK('Data Entry'!$|$667), "", 'Data Entry'!$|$667)</f>
      </c>
      <c r="BI667">
        <f>IF(ISBLANK('Data Entry'!$}$667), "", 'Data Entry'!$}$667)</f>
      </c>
      <c r="BJ667">
        <f>IF(ISBLANK('Data Entry'!$~$667), "", 'Data Entry'!$~$667)</f>
      </c>
      <c r="BK667">
        <f>IF(ISBLANK('Data Entry'!$$667), "", 'Data Entry'!$$667)</f>
      </c>
      <c r="BL667">
        <f>IF(ISBLANK('Data Entry'!$$667), "", 'Data Entry'!$$667)</f>
      </c>
      <c r="BM667">
        <f>IF(ISBLANK('Data Entry'!$$667), "", 'Data Entry'!$$667)</f>
      </c>
      <c r="BN667">
        <f>IF(ISBLANK('Data Entry'!$$667), "", 'Data Entry'!$$667)</f>
      </c>
      <c r="BO667">
        <f>IF(ISBLANK('Data Entry'!$$667), "", 'Data Entry'!$$667)</f>
      </c>
      <c r="BP667">
        <f>IF(ISBLANK('Data Entry'!$$667), "", 'Data Entry'!$$667)</f>
      </c>
      <c r="BQ667">
        <f>IF(ISBLANK('Data Entry'!$$667), "", 'Data Entry'!$$667)</f>
      </c>
      <c r="BR667">
        <f>IF(ISBLANK('Data Entry'!$$667), "", 'Data Entry'!$$667)</f>
      </c>
      <c r="BS667">
        <f>IF(ISBLANK('Data Entry'!$$667), "", 'Data Entry'!$$667)</f>
      </c>
      <c r="BT667">
        <f>IF(ISBLANK('Data Entry'!$$667), "", 'Data Entry'!$$667)</f>
      </c>
      <c r="BU667">
        <f>IF(ISBLANK('Data Entry'!$$667), "", 'Data Entry'!$$667)</f>
      </c>
      <c r="BV667">
        <f>IF(ISBLANK('Data Entry'!$$667), "", 'Data Entry'!$$667)</f>
      </c>
      <c r="BW667">
        <f>IF(ISBLANK('Data Entry'!$$667), "", 'Data Entry'!$$667)</f>
      </c>
      <c r="BX667">
        <f>IF(ISBLANK('Data Entry'!$$667), "", 'Data Entry'!$$667)</f>
      </c>
      <c r="BY667">
        <f>IF(ISBLANK('Data Entry'!$$667), "", 'Data Entry'!$$667)</f>
      </c>
      <c r="BZ667">
        <f>IF(ISBLANK('Data Entry'!$$667), "", 'Data Entry'!$$667)</f>
      </c>
      <c r="CA667">
        <f>IF(ISBLANK('Data Entry'!$$667), "", 'Data Entry'!$$667)</f>
      </c>
      <c r="CB667">
        <f>IF(ISBLANK('Data Entry'!$$667), "", 'Data Entry'!$$667)</f>
      </c>
      <c r="CC667">
        <f>IF(ISBLANK('Data Entry'!$$667), "", 'Data Entry'!$$667)</f>
      </c>
      <c r="CD667">
        <f>IF(ISBLANK('Data Entry'!$$667), "", 'Data Entry'!$$667)</f>
      </c>
      <c r="CE667">
        <f>IF(ISBLANK('Data Entry'!$$667), "", 'Data Entry'!$$667)</f>
      </c>
      <c r="CF667">
        <f>IF(ISBLANK('Data Entry'!$$667), "", 'Data Entry'!$$667)</f>
      </c>
      <c r="CG667">
        <f>IF(ISBLANK('Data Entry'!$$667), "", 'Data Entry'!$$667)</f>
      </c>
      <c r="CH667">
        <f>IF(ISBLANK('Data Entry'!$$667), "", 'Data Entry'!$$667)</f>
      </c>
      <c r="CI667">
        <f>IF(ISBLANK('Data Entry'!$$667), "", 'Data Entry'!$$667)</f>
      </c>
      <c r="CJ667">
        <f>IF(ISBLANK('Data Entry'!$$667), "", 'Data Entry'!$$667)</f>
      </c>
      <c r="CK667">
        <f>IF(ISBLANK('Data Entry'!$$667), "", 'Data Entry'!$$667)</f>
      </c>
      <c r="CL667">
        <f>IF(ISBLANK('Data Entry'!$$667), "", 'Data Entry'!$$667)</f>
      </c>
      <c r="CM667">
        <f>IF(ISBLANK('Data Entry'!$$667), "", 'Data Entry'!$$667)</f>
      </c>
      <c r="CN667">
        <f>IF(ISBLANK('Data Entry'!$$667), "", 'Data Entry'!$$667)</f>
      </c>
      <c r="CO667">
        <f>IF(ISBLANK('Data Entry'!$$667), "", 'Data Entry'!$$667)</f>
      </c>
      <c r="CP667">
        <f>IF(ISBLANK('Data Entry'!$$667), "", 'Data Entry'!$$667)</f>
      </c>
      <c r="CQ667">
        <f>IF(ISBLANK('Data Entry'!$$667), "", 'Data Entry'!$$667)</f>
      </c>
      <c r="CR667">
        <f>IF(ISBLANK('Data Entry'!$ $667), "", 'Data Entry'!$ $667)</f>
      </c>
      <c r="CS667">
        <f>IF(ISBLANK('Data Entry'!$¡$667), "", 'Data Entry'!$¡$667)</f>
      </c>
      <c r="CT667">
        <f>IF(ISBLANK('Data Entry'!$¢$667), "", 'Data Entry'!$¢$667)</f>
      </c>
      <c r="CU667">
        <f>IF(ISBLANK('Data Entry'!$£$667), "", 'Data Entry'!$£$667)</f>
      </c>
      <c r="CV667">
        <f>IF(ISBLANK('Data Entry'!$¤$667), "", 'Data Entry'!$¤$667)</f>
      </c>
      <c r="CW667">
        <f>IF(ISBLANK('Data Entry'!$¥$667), "", 'Data Entry'!$¥$667)</f>
      </c>
      <c r="CX667">
        <f>IF(ISBLANK('Data Entry'!$¦$667), "", 'Data Entry'!$¦$667)</f>
      </c>
      <c r="CY667">
        <f>IF(ISBLANK('Data Entry'!$§$667), "", 'Data Entry'!$§$667)</f>
      </c>
      <c r="CZ667">
        <f>IF(ISBLANK('Data Entry'!$¨$667), "", 'Data Entry'!$¨$667)</f>
      </c>
      <c r="DA667">
        <f>IF(ISBLANK('Data Entry'!$©$667), "", 'Data Entry'!$©$667)</f>
      </c>
      <c r="DB667">
        <f>IF(ISBLANK('Data Entry'!$ª$667), "", 'Data Entry'!$ª$667)</f>
      </c>
      <c r="DC667">
        <f>IF(ISBLANK('Data Entry'!$«$667), "", 'Data Entry'!$«$667)</f>
      </c>
      <c r="DD667">
        <f>IF(ISBLANK('Data Entry'!$¬$667), "", 'Data Entry'!$¬$667)</f>
      </c>
      <c r="DE667">
        <f>IF(ISBLANK('Data Entry'!$­$667), "", 'Data Entry'!$­$667)</f>
      </c>
      <c r="DF667">
        <f>IF(ISBLANK('Data Entry'!$®$667), "", 'Data Entry'!$®$667)</f>
      </c>
      <c r="DG667">
        <f>IF(ISBLANK('Data Entry'!$¯$667), "", 'Data Entry'!$¯$667)</f>
      </c>
      <c r="DH667">
        <f>IF(ISBLANK('Data Entry'!$°$667), "", 'Data Entry'!$°$667)</f>
      </c>
      <c r="DI667">
        <f>IF(ISBLANK('Data Entry'!$±$667), "", 'Data Entry'!$±$667)</f>
      </c>
      <c r="DJ667">
        <f>IF(ISBLANK('Data Entry'!$²$667), "", 'Data Entry'!$²$667)</f>
      </c>
      <c r="DK667">
        <f>IF(ISBLANK('Data Entry'!$³$667), "", 'Data Entry'!$³$667)</f>
      </c>
      <c r="DL667">
        <f>IF(ISBLANK('Data Entry'!$´$667), "", 'Data Entry'!$´$667)</f>
      </c>
      <c r="DM667">
        <f>IF(ISBLANK('Data Entry'!$µ$667), "", 'Data Entry'!$µ$667)</f>
      </c>
      <c r="DN667">
        <f>IF(ISBLANK('Data Entry'!$¶$667), "", 'Data Entry'!$¶$667)</f>
      </c>
      <c r="DO667">
        <f>IF(ISBLANK('Data Entry'!$·$667), "", 'Data Entry'!$·$667)</f>
      </c>
      <c r="DP667">
        <f>IF(ISBLANK('Data Entry'!$¸$667), "", 'Data Entry'!$¸$667)</f>
      </c>
      <c r="DQ667">
        <f>IF(ISBLANK('Data Entry'!$¹$667), "", 'Data Entry'!$¹$667)</f>
      </c>
      <c r="DR667">
        <f>IF(ISBLANK('Data Entry'!$º$667), "", 'Data Entry'!$º$667)</f>
      </c>
      <c r="DS667">
        <f>IF(ISBLANK('Data Entry'!$»$667), "", 'Data Entry'!$»$667)</f>
      </c>
      <c r="DT667">
        <f>IF(ISBLANK('Data Entry'!$¼$667), "", 'Data Entry'!$¼$667)</f>
      </c>
      <c r="DU667">
        <f>IF(ISBLANK('Data Entry'!$½$667), "", 'Data Entry'!$½$667)</f>
      </c>
      <c r="DV667">
        <f>IF(ISBLANK('Data Entry'!$¾$667), "", 'Data Entry'!$¾$667)</f>
      </c>
      <c r="DW667">
        <f>IF(ISBLANK('Data Entry'!$¿$667), "", 'Data Entry'!$¿$667)</f>
      </c>
      <c r="DX667">
        <f>IF(ISBLANK('Data Entry'!$À$667), "", 'Data Entry'!$À$667)</f>
      </c>
      <c r="DY667">
        <f>IF(ISBLANK('Data Entry'!$Á$667), "", 'Data Entry'!$Á$667)</f>
      </c>
      <c r="DZ667">
        <f>IF(ISBLANK('Data Entry'!$Â$667), "", 'Data Entry'!$Â$667)</f>
      </c>
      <c r="EA667">
        <f>IF(ISBLANK('Data Entry'!$Ã$667), "", 'Data Entry'!$Ã$667)</f>
      </c>
      <c r="EB667">
        <f>IF(ISBLANK('Data Entry'!$Ä$667), "", 'Data Entry'!$Ä$667)</f>
      </c>
      <c r="EC667">
        <f>IF(ISBLANK('Data Entry'!$Å$667), "", 'Data Entry'!$Å$667)</f>
      </c>
      <c r="ED667">
        <f>IF(ISBLANK('Data Entry'!$Æ$667), "", 'Data Entry'!$Æ$667)</f>
      </c>
      <c r="EE667">
        <f>IF(ISBLANK('Data Entry'!$Ç$667), "", 'Data Entry'!$Ç$667)</f>
      </c>
      <c r="EF667">
        <f>IF(ISBLANK('Data Entry'!$È$667), "", 'Data Entry'!$È$667)</f>
      </c>
      <c r="EG667">
        <f>IF(ISBLANK('Data Entry'!$É$667), "", 'Data Entry'!$É$667)</f>
      </c>
      <c r="EH667">
        <f>IF(ISBLANK('Data Entry'!$Ê$667), "", 'Data Entry'!$Ê$667)</f>
      </c>
      <c r="EI667">
        <f>IF(ISBLANK('Data Entry'!$Ë$667), "", 'Data Entry'!$Ë$667)</f>
      </c>
      <c r="EJ667">
        <f>IF(ISBLANK('Data Entry'!$Ì$667), "", 'Data Entry'!$Ì$667)</f>
      </c>
      <c r="EK667">
        <f>IF(ISBLANK('Data Entry'!$Í$667), "", 'Data Entry'!$Í$667)</f>
      </c>
      <c r="EL667">
        <f>IF(ISBLANK('Data Entry'!$Î$667), "", 'Data Entry'!$Î$667)</f>
      </c>
      <c r="EM667">
        <f>IF(ISBLANK('Data Entry'!$Ï$667), "", 'Data Entry'!$Ï$667)</f>
      </c>
      <c r="EN667">
        <f>IF(ISBLANK('Data Entry'!$Ð$667), "", 'Data Entry'!$Ð$667)</f>
      </c>
      <c r="EO667">
        <f>IF(ISBLANK('Data Entry'!$Ñ$667), "", 'Data Entry'!$Ñ$667)</f>
      </c>
      <c r="EP667">
        <f>IF(ISBLANK('Data Entry'!$Ò$667), "", 'Data Entry'!$Ò$667)</f>
      </c>
      <c r="EQ667">
        <f>IF(ISBLANK('Data Entry'!$Ó$667), "", 'Data Entry'!$Ó$667)</f>
      </c>
      <c r="ER667">
        <f>IF(ISBLANK('Data Entry'!$Ô$667), "", 'Data Entry'!$Ô$667)</f>
      </c>
      <c r="ES667">
        <f>IF(ISBLANK('Data Entry'!$Õ$667), "", 'Data Entry'!$Õ$667)</f>
      </c>
      <c r="ET667">
        <f>IF(ISBLANK('Data Entry'!$Ö$667), "", 'Data Entry'!$Ö$667)</f>
      </c>
      <c r="EU667">
        <f>IF(ISBLANK('Data Entry'!$×$667), "", 'Data Entry'!$×$667)</f>
      </c>
      <c r="EV667">
        <f>IF(ISBLANK('Data Entry'!$Ø$667), "", 'Data Entry'!$Ø$667)</f>
      </c>
      <c r="EW667">
        <f>IF(ISBLANK('Data Entry'!$Ù$667), "", 'Data Entry'!$Ù$667)</f>
      </c>
      <c r="EX667">
        <f>IF(ISBLANK('Data Entry'!$Ú$667), "", 'Data Entry'!$Ú$667)</f>
      </c>
      <c r="EY667">
        <f>IF(ISBLANK('Data Entry'!$Û$667), "", 'Data Entry'!$Û$667)</f>
      </c>
      <c r="EZ667">
        <f>IF(ISBLANK('Data Entry'!$Ü$667), "", 'Data Entry'!$Ü$667)</f>
      </c>
      <c r="FA667">
        <f>IF(ISBLANK('Data Entry'!$Ý$667), "", 'Data Entry'!$Ý$667)</f>
      </c>
      <c r="FB667">
        <f>IF(ISBLANK('Data Entry'!$Þ$667), "", 'Data Entry'!$Þ$667)</f>
      </c>
      <c r="FC667">
        <f>IF(ISBLANK('Data Entry'!$ß$667), "", 'Data Entry'!$ß$667)</f>
      </c>
      <c r="FD667">
        <f>IF(ISBLANK('Data Entry'!$à$667), "", 'Data Entry'!$à$667)</f>
      </c>
      <c r="FE667">
        <f>IF(ISBLANK('Data Entry'!$á$667), "", 'Data Entry'!$á$667)</f>
      </c>
      <c r="FF667">
        <f>IF(ISBLANK('Data Entry'!$â$667), "", 'Data Entry'!$â$667)</f>
      </c>
      <c r="FG667">
        <f>IF(ISBLANK('Data Entry'!$ã$667), "", 'Data Entry'!$ã$667)</f>
      </c>
      <c r="FH667">
        <f>IF(ISBLANK('Data Entry'!$ä$667), "", 'Data Entry'!$ä$667)</f>
      </c>
      <c r="FI667">
        <f>IF(ISBLANK('Data Entry'!$å$667), "", 'Data Entry'!$å$667)</f>
      </c>
      <c r="FJ667">
        <f>IF(ISBLANK('Data Entry'!$æ$667), "", 'Data Entry'!$æ$667)</f>
      </c>
      <c r="FK667">
        <f>IF(ISBLANK('Data Entry'!$ç$667), "", 'Data Entry'!$ç$667)</f>
      </c>
      <c r="FL667">
        <f>IF(ISBLANK('Data Entry'!$è$667), "", 'Data Entry'!$è$667)</f>
      </c>
      <c r="FM667">
        <f>IF(ISBLANK('Data Entry'!$é$667), "", 'Data Entry'!$é$667)</f>
      </c>
      <c r="FN667">
        <f>IF(ISBLANK('Data Entry'!$ê$667), "", 'Data Entry'!$ê$667)</f>
      </c>
      <c r="FO667">
        <f>IF(ISBLANK('Data Entry'!$ë$667), "", 'Data Entry'!$ë$667)</f>
      </c>
      <c r="FP667">
        <f>IF(ISBLANK('Data Entry'!$ì$667), "", 'Data Entry'!$ì$667)</f>
      </c>
      <c r="FQ667">
        <f>IF(ISBLANK('Data Entry'!$í$667), "", 'Data Entry'!$í$667)</f>
      </c>
      <c r="FR667">
        <f>IF(ISBLANK('Data Entry'!$î$667), "", 'Data Entry'!$î$667)</f>
      </c>
      <c r="FS667">
        <f>IF(ISBLANK('Data Entry'!$ï$667), "", 'Data Entry'!$ï$667)</f>
      </c>
      <c r="FT667">
        <f>IF(ISBLANK('Data Entry'!$ð$667), "", 'Data Entry'!$ð$667)</f>
      </c>
      <c r="FU667">
        <f>IF(ISBLANK('Data Entry'!$ñ$667), "", 'Data Entry'!$ñ$667)</f>
      </c>
      <c r="FV667">
        <f>IF(ISBLANK('Data Entry'!$ò$667), "", 'Data Entry'!$ò$667)</f>
      </c>
      <c r="FW667">
        <f>IF(ISBLANK('Data Entry'!$ó$667), "", 'Data Entry'!$ó$667)</f>
      </c>
      <c r="FX667">
        <f>IF(ISBLANK('Data Entry'!$ô$667), "", 'Data Entry'!$ô$667)</f>
      </c>
      <c r="FY667">
        <f>IF(ISBLANK('Data Entry'!$õ$667), "", 'Data Entry'!$õ$667)</f>
      </c>
      <c r="FZ667">
        <f>IF(ISBLANK('Data Entry'!$ö$667), "", 'Data Entry'!$ö$667)</f>
      </c>
      <c r="GA667">
        <f>IF(ISBLANK('Data Entry'!$÷$667), "", 'Data Entry'!$÷$667)</f>
      </c>
      <c r="GB667">
        <f>IF(ISBLANK('Data Entry'!$ø$667), "", 'Data Entry'!$ø$667)</f>
      </c>
      <c r="GC667">
        <f>IF(ISBLANK('Data Entry'!$ù$667), "", 'Data Entry'!$ù$667)</f>
      </c>
      <c r="GD667">
        <f>IF(ISBLANK('Data Entry'!$ú$667), "", 'Data Entry'!$ú$667)</f>
      </c>
      <c r="GE667">
        <f>IF(ISBLANK('Data Entry'!$û$667), "", 'Data Entry'!$û$667)</f>
      </c>
      <c r="GF667">
        <f>IF(ISBLANK('Data Entry'!$ü$667), "", 'Data Entry'!$ü$667)</f>
      </c>
      <c r="GG667">
        <f>IF(ISBLANK('Data Entry'!$ý$667), "", 'Data Entry'!$ý$667)</f>
      </c>
      <c r="GH667">
        <f>IF(ISBLANK('Data Entry'!$þ$667), "", 'Data Entry'!$þ$667)</f>
      </c>
      <c r="GI667">
        <f>IF(ISBLANK('Data Entry'!$ÿ$667), "", 'Data Entry'!$ÿ$667)</f>
      </c>
      <c r="GJ667">
        <f>IF(ISBLANK('Data Entry'!$Ā$667), "", 'Data Entry'!$Ā$667)</f>
      </c>
      <c r="GK667">
        <f>IF(ISBLANK('Data Entry'!$ā$667), "", 'Data Entry'!$ā$667)</f>
      </c>
      <c r="GL667">
        <f>IF(ISBLANK('Data Entry'!$Ă$667), "", 'Data Entry'!$Ă$667)</f>
      </c>
      <c r="GM667">
        <f>IF(ISBLANK('Data Entry'!$ă$667), "", 'Data Entry'!$ă$667)</f>
      </c>
      <c r="GN667">
        <f>IF(ISBLANK('Data Entry'!$Ą$667), "", 'Data Entry'!$Ą$667)</f>
      </c>
      <c r="GO667">
        <f>IF(ISBLANK('Data Entry'!$ą$667), "", 'Data Entry'!$ą$667)</f>
      </c>
      <c r="GP667">
        <f>IF(ISBLANK('Data Entry'!$Ć$667), "", 'Data Entry'!$Ć$667)</f>
      </c>
      <c r="GQ667">
        <f>IF(ISBLANK('Data Entry'!$ć$667), "", 'Data Entry'!$ć$667)</f>
      </c>
      <c r="GR667">
        <f>IF(ISBLANK('Data Entry'!$Ĉ$667), "", 'Data Entry'!$Ĉ$667)</f>
      </c>
      <c r="GS667">
        <f>IF(ISBLANK('Data Entry'!$ĉ$667), "", 'Data Entry'!$ĉ$667)</f>
      </c>
      <c r="GT667">
        <f>IF(ISBLANK('Data Entry'!$Ċ$667), "", 'Data Entry'!$Ċ$667)</f>
      </c>
      <c r="GU667">
        <f>IF(ISBLANK('Data Entry'!$ċ$667), "", 'Data Entry'!$ċ$667)</f>
      </c>
      <c r="GV667">
        <f>IF(ISBLANK('Data Entry'!$Č$667), "", 'Data Entry'!$Č$667)</f>
      </c>
      <c r="GW667">
        <f>IF(ISBLANK('Data Entry'!$č$667), "", 'Data Entry'!$č$667)</f>
      </c>
      <c r="GX667">
        <f>IF(ISBLANK('Data Entry'!$Ď$667), "", 'Data Entry'!$Ď$667)</f>
      </c>
      <c r="GY667">
        <f>IF(ISBLANK('Data Entry'!$ď$667), "", 'Data Entry'!$ď$667)</f>
      </c>
      <c r="GZ667">
        <f>IF(ISBLANK('Data Entry'!$Đ$667), "", 'Data Entry'!$Đ$667)</f>
      </c>
      <c r="HA667">
        <f>IF(ISBLANK('Data Entry'!$đ$667), "", 'Data Entry'!$đ$667)</f>
      </c>
      <c r="HB667">
        <f>IF(ISBLANK('Data Entry'!$Ē$667), "", 'Data Entry'!$Ē$667)</f>
      </c>
      <c r="HC667">
        <f>IF(ISBLANK('Data Entry'!$ē$667), "", 'Data Entry'!$ē$667)</f>
      </c>
      <c r="HD667">
        <f>IF(ISBLANK('Data Entry'!$Ĕ$667), "", 'Data Entry'!$Ĕ$667)</f>
      </c>
      <c r="HE667">
        <f>IF(ISBLANK('Data Entry'!$ĕ$667), "", 'Data Entry'!$ĕ$667)</f>
      </c>
      <c r="HF667">
        <f>IF(ISBLANK('Data Entry'!$Ė$667), "", 'Data Entry'!$Ė$667)</f>
      </c>
      <c r="HG667">
        <f>IF(ISBLANK('Data Entry'!$ė$667), "", 'Data Entry'!$ė$667)</f>
      </c>
      <c r="HH667">
        <f>IF(ISBLANK('Data Entry'!$Ę$667), "", 'Data Entry'!$Ę$667)</f>
      </c>
      <c r="HI667">
        <f>IF(ISBLANK('Data Entry'!$ę$667), "", 'Data Entry'!$ę$667)</f>
      </c>
      <c r="HJ667">
        <f>IF(ISBLANK('Data Entry'!$Ě$667), "", 'Data Entry'!$Ě$667)</f>
      </c>
      <c r="HK667">
        <f>IF(ISBLANK('Data Entry'!$ě$667), "", 'Data Entry'!$ě$667)</f>
      </c>
      <c r="HL667">
        <f>IF(ISBLANK('Data Entry'!$Ĝ$667), "", 'Data Entry'!$Ĝ$667)</f>
      </c>
      <c r="HM667">
        <f>IF(ISBLANK('Data Entry'!$ĝ$667), "", 'Data Entry'!$ĝ$667)</f>
      </c>
      <c r="HN667">
        <f>IF(ISBLANK('Data Entry'!$Ğ$667), "", 'Data Entry'!$Ğ$667)</f>
      </c>
      <c r="HO667">
        <f>IF(ISBLANK('Data Entry'!$ğ$667), "", 'Data Entry'!$ğ$667)</f>
      </c>
      <c r="HP667">
        <f>IF(ISBLANK('Data Entry'!$Ġ$667), "", 'Data Entry'!$Ġ$667)</f>
      </c>
      <c r="HQ667">
        <f>IF(ISBLANK('Data Entry'!$ġ$667), "", 'Data Entry'!$ġ$667)</f>
      </c>
      <c r="HR667">
        <f>IF(ISBLANK('Data Entry'!$Ģ$667), "", 'Data Entry'!$Ģ$667)</f>
      </c>
      <c r="HS667">
        <f>IF(ISBLANK('Data Entry'!$ģ$667), "", 'Data Entry'!$ģ$667)</f>
      </c>
      <c r="HT667">
        <f>IF(ISBLANK('Data Entry'!$Ĥ$667), "", 'Data Entry'!$Ĥ$667)</f>
      </c>
      <c r="HU667">
        <f>IF(ISBLANK('Data Entry'!$ĥ$667), "", 'Data Entry'!$ĥ$667)</f>
      </c>
      <c r="HV667">
        <f>IF(ISBLANK('Data Entry'!$Ħ$667), "", 'Data Entry'!$Ħ$667)</f>
      </c>
      <c r="HW667">
        <f>IF(ISBLANK('Data Entry'!$ħ$667), "", 'Data Entry'!$ħ$667)</f>
      </c>
      <c r="HX667">
        <f>IF(ISBLANK('Data Entry'!$Ĩ$667), "", 'Data Entry'!$Ĩ$667)</f>
      </c>
      <c r="HY667">
        <f>IF(ISBLANK('Data Entry'!$ĩ$667), "", 'Data Entry'!$ĩ$667)</f>
      </c>
      <c r="HZ667">
        <f>IF(ISBLANK('Data Entry'!$Ī$667), "", 'Data Entry'!$Ī$667)</f>
      </c>
      <c r="IA667">
        <f>IF(ISBLANK('Data Entry'!$ī$667), "", 'Data Entry'!$ī$667)</f>
      </c>
      <c r="IB667">
        <f>IF(ISBLANK('Data Entry'!$Ĭ$667), "", 'Data Entry'!$Ĭ$667)</f>
      </c>
      <c r="IC667">
        <f>IF(ISBLANK('Data Entry'!$ĭ$667), "", 'Data Entry'!$ĭ$667)</f>
      </c>
      <c r="ID667">
        <f>IF(ISBLANK('Data Entry'!$Į$667), "", 'Data Entry'!$Į$667)</f>
      </c>
      <c r="IE667">
        <f>IF(ISBLANK('Data Entry'!$į$667), "", 'Data Entry'!$į$667)</f>
      </c>
      <c r="IF667">
        <f>IF(ISBLANK('Data Entry'!$İ$667), "", 'Data Entry'!$İ$667)</f>
      </c>
      <c r="IG667">
        <f>IF(ISBLANK('Data Entry'!$ı$667), "", 'Data Entry'!$ı$667)</f>
      </c>
      <c r="IH667">
        <f>IF(ISBLANK('Data Entry'!$Ĳ$667), "", 'Data Entry'!$Ĳ$667)</f>
      </c>
      <c r="II667">
        <f>IF(ISBLANK('Data Entry'!$ĳ$667), "", 'Data Entry'!$ĳ$667)</f>
      </c>
      <c r="IJ667">
        <f>IF(ISBLANK('Data Entry'!$Ĵ$667), "", 'Data Entry'!$Ĵ$667)</f>
      </c>
      <c r="IK667">
        <f>IF(ISBLANK('Data Entry'!$ĵ$667), "", 'Data Entry'!$ĵ$667)</f>
      </c>
      <c r="IL667">
        <f>IF(ISBLANK('Data Entry'!$Ķ$667), "", 'Data Entry'!$Ķ$667)</f>
      </c>
      <c r="IM667">
        <f>IF(ISBLANK('Data Entry'!$ķ$667), "", 'Data Entry'!$ķ$667)</f>
      </c>
      <c r="IN667">
        <f>IF(ISBLANK('Data Entry'!$ĸ$667), "", 'Data Entry'!$ĸ$667)</f>
      </c>
      <c r="IO667">
        <f>IF(ISBLANK('Data Entry'!$Ĺ$667), "", 'Data Entry'!$Ĺ$667)</f>
      </c>
      <c r="IP667">
        <f>IF(ISBLANK('Data Entry'!$ĺ$667), "", 'Data Entry'!$ĺ$667)</f>
      </c>
      <c r="IQ667">
        <f>IF(ISBLANK('Data Entry'!$Ļ$667), "", 'Data Entry'!$Ļ$667)</f>
      </c>
      <c r="IR667">
        <f>IF(ISBLANK('Data Entry'!$ļ$667), "", 'Data Entry'!$ļ$667)</f>
      </c>
      <c r="IS667">
        <f>IF(ISBLANK('Data Entry'!$Ľ$667), "", 'Data Entry'!$Ľ$667)</f>
      </c>
      <c r="IT667">
        <f>IF(ISBLANK('Data Entry'!$ľ$667), "", 'Data Entry'!$ľ$667)</f>
      </c>
    </row>
    <row r="668" spans="1:254" x14ac:dyDescent="0.25">
      <c r="A668">
        <f>IF(ISBLANK('Data Entry'!$A$668), "", 'Data Entry'!$A$668)</f>
      </c>
      <c r="B668">
        <f>IF(ISBLANK('Data Entry'!$B$668), "", 'Data Entry'!$B$668)</f>
      </c>
      <c r="C668">
        <f>IF(ISBLANK('Data Entry'!$C$668), "", 'Data Entry'!$C$668)</f>
      </c>
      <c r="D668">
        <f>IF(ISBLANK('Data Entry'!$D$668), "", 'Data Entry'!$D$668)</f>
      </c>
      <c r="E668">
        <f>IF(ISBLANK('Data Entry'!$E$668), "", 'Data Entry'!$E$668)</f>
      </c>
      <c r="F668">
        <f>IF(ISBLANK('Data Entry'!$F$668), "", 'Data Entry'!$F$668)</f>
      </c>
      <c r="G668">
        <f>IF(ISBLANK('Data Entry'!$G$668), "", 'Data Entry'!$G$668)</f>
      </c>
      <c r="H668">
        <f>IF(ISBLANK('Data Entry'!$H$668), "", 'Data Entry'!$H$668)</f>
      </c>
      <c r="I668">
        <f>IF(ISBLANK('Data Entry'!$I$668), "", 'Data Entry'!$I$668)</f>
      </c>
      <c r="J668">
        <f>IF(ISBLANK('Data Entry'!$J$668), "", 'Data Entry'!$J$668)</f>
      </c>
      <c r="K668">
        <f>IF(ISBLANK('Data Entry'!$K$668), "", 'Data Entry'!$K$668)</f>
      </c>
      <c r="L668">
        <f>IF(ISBLANK('Data Entry'!$L$668), "", 'Data Entry'!$L$668)</f>
      </c>
      <c r="M668">
        <f>IF(ISBLANK('Data Entry'!$M$668), "", 'Data Entry'!$M$668)</f>
      </c>
      <c r="N668">
        <f>IF(ISBLANK('Data Entry'!$N$668), "", 'Data Entry'!$N$668)</f>
      </c>
      <c r="O668">
        <f>IF(ISBLANK('Data Entry'!$O$668), "", 'Data Entry'!$O$668)</f>
      </c>
      <c r="P668">
        <f>IF(ISBLANK('Data Entry'!$P$668), "", 'Data Entry'!$P$668)</f>
      </c>
      <c r="Q668">
        <f>IF(ISBLANK('Data Entry'!$Q$668), "", 'Data Entry'!$Q$668)</f>
      </c>
      <c r="R668">
        <f>IF(ISBLANK('Data Entry'!$R$668), "", 'Data Entry'!$R$668)</f>
      </c>
      <c r="S668">
        <f>IF(ISBLANK('Data Entry'!$S$668), "", 'Data Entry'!$S$668)</f>
      </c>
      <c r="T668">
        <f>IF(ISBLANK('Data Entry'!$T$668), "", 'Data Entry'!$T$668)</f>
      </c>
      <c r="U668">
        <f>IF(ISBLANK('Data Entry'!$U$668), "", 'Data Entry'!$U$668)</f>
      </c>
      <c r="V668">
        <f>IF(ISBLANK('Data Entry'!$V$668), "", 'Data Entry'!$V$668)</f>
      </c>
      <c r="W668">
        <f>IF(ISBLANK('Data Entry'!$W$668), "", 'Data Entry'!$W$668)</f>
      </c>
      <c r="X668">
        <f>IF(ISBLANK('Data Entry'!$X$668), "", 'Data Entry'!$X$668)</f>
      </c>
      <c r="Y668">
        <f>IF(ISBLANK('Data Entry'!$Y$668), "", 'Data Entry'!$Y$668)</f>
      </c>
      <c r="Z668">
        <f>IF(ISBLANK('Data Entry'!$Z$668), "", 'Data Entry'!$Z$668)</f>
      </c>
      <c r="AA668">
        <f>IF(ISBLANK('Data Entry'!$[$668), "", 'Data Entry'!$[$668)</f>
      </c>
      <c r="AB668">
        <f>IF(ISBLANK('Data Entry'!$\$668), "", 'Data Entry'!$\$668)</f>
      </c>
      <c r="AC668">
        <f>IF(ISBLANK('Data Entry'!$]$668), "", 'Data Entry'!$]$668)</f>
      </c>
      <c r="AD668">
        <f>IF(ISBLANK('Data Entry'!$^$668), "", 'Data Entry'!$^$668)</f>
      </c>
      <c r="AE668">
        <f>IF(ISBLANK('Data Entry'!$_$668), "", 'Data Entry'!$_$668)</f>
      </c>
      <c r="AF668">
        <f>IF(ISBLANK('Data Entry'!$`$668), "", 'Data Entry'!$`$668)</f>
      </c>
      <c r="AG668">
        <f>IF(ISBLANK('Data Entry'!$a$668), "", 'Data Entry'!$a$668)</f>
      </c>
      <c r="AH668">
        <f>IF(ISBLANK('Data Entry'!$b$668), "", 'Data Entry'!$b$668)</f>
      </c>
      <c r="AI668">
        <f>IF(ISBLANK('Data Entry'!$c$668), "", 'Data Entry'!$c$668)</f>
      </c>
      <c r="AJ668">
        <f>IF(ISBLANK('Data Entry'!$d$668), "", 'Data Entry'!$d$668)</f>
      </c>
      <c r="AK668">
        <f>IF(ISBLANK('Data Entry'!$e$668), "", 'Data Entry'!$e$668)</f>
      </c>
      <c r="AL668">
        <f>IF(ISBLANK('Data Entry'!$f$668), "", 'Data Entry'!$f$668)</f>
      </c>
      <c r="AM668">
        <f>IF(ISBLANK('Data Entry'!$g$668), "", 'Data Entry'!$g$668)</f>
      </c>
      <c r="AN668">
        <f>IF(ISBLANK('Data Entry'!$h$668), "", 'Data Entry'!$h$668)</f>
      </c>
      <c r="AO668">
        <f>IF(ISBLANK('Data Entry'!$i$668), "", 'Data Entry'!$i$668)</f>
      </c>
      <c r="AP668">
        <f>IF(ISBLANK('Data Entry'!$j$668), "", 'Data Entry'!$j$668)</f>
      </c>
      <c r="AQ668">
        <f>IF(ISBLANK('Data Entry'!$k$668), "", 'Data Entry'!$k$668)</f>
      </c>
      <c r="AR668">
        <f>IF(ISBLANK('Data Entry'!$l$668), "", 'Data Entry'!$l$668)</f>
      </c>
      <c r="AS668">
        <f>IF(ISBLANK('Data Entry'!$m$668), "", 'Data Entry'!$m$668)</f>
      </c>
      <c r="AT668">
        <f>IF(ISBLANK('Data Entry'!$n$668), "", 'Data Entry'!$n$668)</f>
      </c>
      <c r="AU668">
        <f>IF(ISBLANK('Data Entry'!$o$668), "", 'Data Entry'!$o$668)</f>
      </c>
      <c r="AV668">
        <f>IF(ISBLANK('Data Entry'!$p$668), "", 'Data Entry'!$p$668)</f>
      </c>
      <c r="AW668">
        <f>IF(ISBLANK('Data Entry'!$q$668), "", 'Data Entry'!$q$668)</f>
      </c>
      <c r="AX668">
        <f>IF(ISBLANK('Data Entry'!$r$668), "", 'Data Entry'!$r$668)</f>
      </c>
      <c r="AY668">
        <f>IF(ISBLANK('Data Entry'!$s$668), "", 'Data Entry'!$s$668)</f>
      </c>
      <c r="AZ668">
        <f>IF(ISBLANK('Data Entry'!$t$668), "", 'Data Entry'!$t$668)</f>
      </c>
      <c r="BA668">
        <f>IF(ISBLANK('Data Entry'!$u$668), "", 'Data Entry'!$u$668)</f>
      </c>
      <c r="BB668">
        <f>IF(ISBLANK('Data Entry'!$v$668), "", 'Data Entry'!$v$668)</f>
      </c>
      <c r="BC668">
        <f>IF(ISBLANK('Data Entry'!$w$668), "", 'Data Entry'!$w$668)</f>
      </c>
      <c r="BD668">
        <f>IF(ISBLANK('Data Entry'!$x$668), "", 'Data Entry'!$x$668)</f>
      </c>
      <c r="BE668">
        <f>IF(ISBLANK('Data Entry'!$y$668), "", 'Data Entry'!$y$668)</f>
      </c>
      <c r="BF668">
        <f>IF(ISBLANK('Data Entry'!$z$668), "", 'Data Entry'!$z$668)</f>
      </c>
      <c r="BG668">
        <f>IF(ISBLANK('Data Entry'!${$668), "", 'Data Entry'!${$668)</f>
      </c>
      <c r="BH668">
        <f>IF(ISBLANK('Data Entry'!$|$668), "", 'Data Entry'!$|$668)</f>
      </c>
      <c r="BI668">
        <f>IF(ISBLANK('Data Entry'!$}$668), "", 'Data Entry'!$}$668)</f>
      </c>
      <c r="BJ668">
        <f>IF(ISBLANK('Data Entry'!$~$668), "", 'Data Entry'!$~$668)</f>
      </c>
      <c r="BK668">
        <f>IF(ISBLANK('Data Entry'!$$668), "", 'Data Entry'!$$668)</f>
      </c>
      <c r="BL668">
        <f>IF(ISBLANK('Data Entry'!$$668), "", 'Data Entry'!$$668)</f>
      </c>
      <c r="BM668">
        <f>IF(ISBLANK('Data Entry'!$$668), "", 'Data Entry'!$$668)</f>
      </c>
      <c r="BN668">
        <f>IF(ISBLANK('Data Entry'!$$668), "", 'Data Entry'!$$668)</f>
      </c>
      <c r="BO668">
        <f>IF(ISBLANK('Data Entry'!$$668), "", 'Data Entry'!$$668)</f>
      </c>
      <c r="BP668">
        <f>IF(ISBLANK('Data Entry'!$$668), "", 'Data Entry'!$$668)</f>
      </c>
      <c r="BQ668">
        <f>IF(ISBLANK('Data Entry'!$$668), "", 'Data Entry'!$$668)</f>
      </c>
      <c r="BR668">
        <f>IF(ISBLANK('Data Entry'!$$668), "", 'Data Entry'!$$668)</f>
      </c>
      <c r="BS668">
        <f>IF(ISBLANK('Data Entry'!$$668), "", 'Data Entry'!$$668)</f>
      </c>
      <c r="BT668">
        <f>IF(ISBLANK('Data Entry'!$$668), "", 'Data Entry'!$$668)</f>
      </c>
      <c r="BU668">
        <f>IF(ISBLANK('Data Entry'!$$668), "", 'Data Entry'!$$668)</f>
      </c>
      <c r="BV668">
        <f>IF(ISBLANK('Data Entry'!$$668), "", 'Data Entry'!$$668)</f>
      </c>
      <c r="BW668">
        <f>IF(ISBLANK('Data Entry'!$$668), "", 'Data Entry'!$$668)</f>
      </c>
      <c r="BX668">
        <f>IF(ISBLANK('Data Entry'!$$668), "", 'Data Entry'!$$668)</f>
      </c>
      <c r="BY668">
        <f>IF(ISBLANK('Data Entry'!$$668), "", 'Data Entry'!$$668)</f>
      </c>
      <c r="BZ668">
        <f>IF(ISBLANK('Data Entry'!$$668), "", 'Data Entry'!$$668)</f>
      </c>
      <c r="CA668">
        <f>IF(ISBLANK('Data Entry'!$$668), "", 'Data Entry'!$$668)</f>
      </c>
      <c r="CB668">
        <f>IF(ISBLANK('Data Entry'!$$668), "", 'Data Entry'!$$668)</f>
      </c>
      <c r="CC668">
        <f>IF(ISBLANK('Data Entry'!$$668), "", 'Data Entry'!$$668)</f>
      </c>
      <c r="CD668">
        <f>IF(ISBLANK('Data Entry'!$$668), "", 'Data Entry'!$$668)</f>
      </c>
      <c r="CE668">
        <f>IF(ISBLANK('Data Entry'!$$668), "", 'Data Entry'!$$668)</f>
      </c>
      <c r="CF668">
        <f>IF(ISBLANK('Data Entry'!$$668), "", 'Data Entry'!$$668)</f>
      </c>
      <c r="CG668">
        <f>IF(ISBLANK('Data Entry'!$$668), "", 'Data Entry'!$$668)</f>
      </c>
      <c r="CH668">
        <f>IF(ISBLANK('Data Entry'!$$668), "", 'Data Entry'!$$668)</f>
      </c>
      <c r="CI668">
        <f>IF(ISBLANK('Data Entry'!$$668), "", 'Data Entry'!$$668)</f>
      </c>
      <c r="CJ668">
        <f>IF(ISBLANK('Data Entry'!$$668), "", 'Data Entry'!$$668)</f>
      </c>
      <c r="CK668">
        <f>IF(ISBLANK('Data Entry'!$$668), "", 'Data Entry'!$$668)</f>
      </c>
      <c r="CL668">
        <f>IF(ISBLANK('Data Entry'!$$668), "", 'Data Entry'!$$668)</f>
      </c>
      <c r="CM668">
        <f>IF(ISBLANK('Data Entry'!$$668), "", 'Data Entry'!$$668)</f>
      </c>
      <c r="CN668">
        <f>IF(ISBLANK('Data Entry'!$$668), "", 'Data Entry'!$$668)</f>
      </c>
      <c r="CO668">
        <f>IF(ISBLANK('Data Entry'!$$668), "", 'Data Entry'!$$668)</f>
      </c>
      <c r="CP668">
        <f>IF(ISBLANK('Data Entry'!$$668), "", 'Data Entry'!$$668)</f>
      </c>
      <c r="CQ668">
        <f>IF(ISBLANK('Data Entry'!$$668), "", 'Data Entry'!$$668)</f>
      </c>
      <c r="CR668">
        <f>IF(ISBLANK('Data Entry'!$ $668), "", 'Data Entry'!$ $668)</f>
      </c>
      <c r="CS668">
        <f>IF(ISBLANK('Data Entry'!$¡$668), "", 'Data Entry'!$¡$668)</f>
      </c>
      <c r="CT668">
        <f>IF(ISBLANK('Data Entry'!$¢$668), "", 'Data Entry'!$¢$668)</f>
      </c>
      <c r="CU668">
        <f>IF(ISBLANK('Data Entry'!$£$668), "", 'Data Entry'!$£$668)</f>
      </c>
      <c r="CV668">
        <f>IF(ISBLANK('Data Entry'!$¤$668), "", 'Data Entry'!$¤$668)</f>
      </c>
      <c r="CW668">
        <f>IF(ISBLANK('Data Entry'!$¥$668), "", 'Data Entry'!$¥$668)</f>
      </c>
      <c r="CX668">
        <f>IF(ISBLANK('Data Entry'!$¦$668), "", 'Data Entry'!$¦$668)</f>
      </c>
      <c r="CY668">
        <f>IF(ISBLANK('Data Entry'!$§$668), "", 'Data Entry'!$§$668)</f>
      </c>
      <c r="CZ668">
        <f>IF(ISBLANK('Data Entry'!$¨$668), "", 'Data Entry'!$¨$668)</f>
      </c>
      <c r="DA668">
        <f>IF(ISBLANK('Data Entry'!$©$668), "", 'Data Entry'!$©$668)</f>
      </c>
      <c r="DB668">
        <f>IF(ISBLANK('Data Entry'!$ª$668), "", 'Data Entry'!$ª$668)</f>
      </c>
      <c r="DC668">
        <f>IF(ISBLANK('Data Entry'!$«$668), "", 'Data Entry'!$«$668)</f>
      </c>
      <c r="DD668">
        <f>IF(ISBLANK('Data Entry'!$¬$668), "", 'Data Entry'!$¬$668)</f>
      </c>
      <c r="DE668">
        <f>IF(ISBLANK('Data Entry'!$­$668), "", 'Data Entry'!$­$668)</f>
      </c>
      <c r="DF668">
        <f>IF(ISBLANK('Data Entry'!$®$668), "", 'Data Entry'!$®$668)</f>
      </c>
      <c r="DG668">
        <f>IF(ISBLANK('Data Entry'!$¯$668), "", 'Data Entry'!$¯$668)</f>
      </c>
      <c r="DH668">
        <f>IF(ISBLANK('Data Entry'!$°$668), "", 'Data Entry'!$°$668)</f>
      </c>
      <c r="DI668">
        <f>IF(ISBLANK('Data Entry'!$±$668), "", 'Data Entry'!$±$668)</f>
      </c>
      <c r="DJ668">
        <f>IF(ISBLANK('Data Entry'!$²$668), "", 'Data Entry'!$²$668)</f>
      </c>
      <c r="DK668">
        <f>IF(ISBLANK('Data Entry'!$³$668), "", 'Data Entry'!$³$668)</f>
      </c>
      <c r="DL668">
        <f>IF(ISBLANK('Data Entry'!$´$668), "", 'Data Entry'!$´$668)</f>
      </c>
      <c r="DM668">
        <f>IF(ISBLANK('Data Entry'!$µ$668), "", 'Data Entry'!$µ$668)</f>
      </c>
      <c r="DN668">
        <f>IF(ISBLANK('Data Entry'!$¶$668), "", 'Data Entry'!$¶$668)</f>
      </c>
      <c r="DO668">
        <f>IF(ISBLANK('Data Entry'!$·$668), "", 'Data Entry'!$·$668)</f>
      </c>
      <c r="DP668">
        <f>IF(ISBLANK('Data Entry'!$¸$668), "", 'Data Entry'!$¸$668)</f>
      </c>
      <c r="DQ668">
        <f>IF(ISBLANK('Data Entry'!$¹$668), "", 'Data Entry'!$¹$668)</f>
      </c>
      <c r="DR668">
        <f>IF(ISBLANK('Data Entry'!$º$668), "", 'Data Entry'!$º$668)</f>
      </c>
      <c r="DS668">
        <f>IF(ISBLANK('Data Entry'!$»$668), "", 'Data Entry'!$»$668)</f>
      </c>
      <c r="DT668">
        <f>IF(ISBLANK('Data Entry'!$¼$668), "", 'Data Entry'!$¼$668)</f>
      </c>
      <c r="DU668">
        <f>IF(ISBLANK('Data Entry'!$½$668), "", 'Data Entry'!$½$668)</f>
      </c>
      <c r="DV668">
        <f>IF(ISBLANK('Data Entry'!$¾$668), "", 'Data Entry'!$¾$668)</f>
      </c>
      <c r="DW668">
        <f>IF(ISBLANK('Data Entry'!$¿$668), "", 'Data Entry'!$¿$668)</f>
      </c>
      <c r="DX668">
        <f>IF(ISBLANK('Data Entry'!$À$668), "", 'Data Entry'!$À$668)</f>
      </c>
      <c r="DY668">
        <f>IF(ISBLANK('Data Entry'!$Á$668), "", 'Data Entry'!$Á$668)</f>
      </c>
      <c r="DZ668">
        <f>IF(ISBLANK('Data Entry'!$Â$668), "", 'Data Entry'!$Â$668)</f>
      </c>
      <c r="EA668">
        <f>IF(ISBLANK('Data Entry'!$Ã$668), "", 'Data Entry'!$Ã$668)</f>
      </c>
      <c r="EB668">
        <f>IF(ISBLANK('Data Entry'!$Ä$668), "", 'Data Entry'!$Ä$668)</f>
      </c>
      <c r="EC668">
        <f>IF(ISBLANK('Data Entry'!$Å$668), "", 'Data Entry'!$Å$668)</f>
      </c>
      <c r="ED668">
        <f>IF(ISBLANK('Data Entry'!$Æ$668), "", 'Data Entry'!$Æ$668)</f>
      </c>
      <c r="EE668">
        <f>IF(ISBLANK('Data Entry'!$Ç$668), "", 'Data Entry'!$Ç$668)</f>
      </c>
      <c r="EF668">
        <f>IF(ISBLANK('Data Entry'!$È$668), "", 'Data Entry'!$È$668)</f>
      </c>
      <c r="EG668">
        <f>IF(ISBLANK('Data Entry'!$É$668), "", 'Data Entry'!$É$668)</f>
      </c>
      <c r="EH668">
        <f>IF(ISBLANK('Data Entry'!$Ê$668), "", 'Data Entry'!$Ê$668)</f>
      </c>
      <c r="EI668">
        <f>IF(ISBLANK('Data Entry'!$Ë$668), "", 'Data Entry'!$Ë$668)</f>
      </c>
      <c r="EJ668">
        <f>IF(ISBLANK('Data Entry'!$Ì$668), "", 'Data Entry'!$Ì$668)</f>
      </c>
      <c r="EK668">
        <f>IF(ISBLANK('Data Entry'!$Í$668), "", 'Data Entry'!$Í$668)</f>
      </c>
      <c r="EL668">
        <f>IF(ISBLANK('Data Entry'!$Î$668), "", 'Data Entry'!$Î$668)</f>
      </c>
      <c r="EM668">
        <f>IF(ISBLANK('Data Entry'!$Ï$668), "", 'Data Entry'!$Ï$668)</f>
      </c>
      <c r="EN668">
        <f>IF(ISBLANK('Data Entry'!$Ð$668), "", 'Data Entry'!$Ð$668)</f>
      </c>
      <c r="EO668">
        <f>IF(ISBLANK('Data Entry'!$Ñ$668), "", 'Data Entry'!$Ñ$668)</f>
      </c>
      <c r="EP668">
        <f>IF(ISBLANK('Data Entry'!$Ò$668), "", 'Data Entry'!$Ò$668)</f>
      </c>
      <c r="EQ668">
        <f>IF(ISBLANK('Data Entry'!$Ó$668), "", 'Data Entry'!$Ó$668)</f>
      </c>
      <c r="ER668">
        <f>IF(ISBLANK('Data Entry'!$Ô$668), "", 'Data Entry'!$Ô$668)</f>
      </c>
      <c r="ES668">
        <f>IF(ISBLANK('Data Entry'!$Õ$668), "", 'Data Entry'!$Õ$668)</f>
      </c>
      <c r="ET668">
        <f>IF(ISBLANK('Data Entry'!$Ö$668), "", 'Data Entry'!$Ö$668)</f>
      </c>
      <c r="EU668">
        <f>IF(ISBLANK('Data Entry'!$×$668), "", 'Data Entry'!$×$668)</f>
      </c>
      <c r="EV668">
        <f>IF(ISBLANK('Data Entry'!$Ø$668), "", 'Data Entry'!$Ø$668)</f>
      </c>
      <c r="EW668">
        <f>IF(ISBLANK('Data Entry'!$Ù$668), "", 'Data Entry'!$Ù$668)</f>
      </c>
      <c r="EX668">
        <f>IF(ISBLANK('Data Entry'!$Ú$668), "", 'Data Entry'!$Ú$668)</f>
      </c>
      <c r="EY668">
        <f>IF(ISBLANK('Data Entry'!$Û$668), "", 'Data Entry'!$Û$668)</f>
      </c>
      <c r="EZ668">
        <f>IF(ISBLANK('Data Entry'!$Ü$668), "", 'Data Entry'!$Ü$668)</f>
      </c>
      <c r="FA668">
        <f>IF(ISBLANK('Data Entry'!$Ý$668), "", 'Data Entry'!$Ý$668)</f>
      </c>
      <c r="FB668">
        <f>IF(ISBLANK('Data Entry'!$Þ$668), "", 'Data Entry'!$Þ$668)</f>
      </c>
      <c r="FC668">
        <f>IF(ISBLANK('Data Entry'!$ß$668), "", 'Data Entry'!$ß$668)</f>
      </c>
      <c r="FD668">
        <f>IF(ISBLANK('Data Entry'!$à$668), "", 'Data Entry'!$à$668)</f>
      </c>
      <c r="FE668">
        <f>IF(ISBLANK('Data Entry'!$á$668), "", 'Data Entry'!$á$668)</f>
      </c>
      <c r="FF668">
        <f>IF(ISBLANK('Data Entry'!$â$668), "", 'Data Entry'!$â$668)</f>
      </c>
      <c r="FG668">
        <f>IF(ISBLANK('Data Entry'!$ã$668), "", 'Data Entry'!$ã$668)</f>
      </c>
      <c r="FH668">
        <f>IF(ISBLANK('Data Entry'!$ä$668), "", 'Data Entry'!$ä$668)</f>
      </c>
      <c r="FI668">
        <f>IF(ISBLANK('Data Entry'!$å$668), "", 'Data Entry'!$å$668)</f>
      </c>
      <c r="FJ668">
        <f>IF(ISBLANK('Data Entry'!$æ$668), "", 'Data Entry'!$æ$668)</f>
      </c>
      <c r="FK668">
        <f>IF(ISBLANK('Data Entry'!$ç$668), "", 'Data Entry'!$ç$668)</f>
      </c>
      <c r="FL668">
        <f>IF(ISBLANK('Data Entry'!$è$668), "", 'Data Entry'!$è$668)</f>
      </c>
      <c r="FM668">
        <f>IF(ISBLANK('Data Entry'!$é$668), "", 'Data Entry'!$é$668)</f>
      </c>
      <c r="FN668">
        <f>IF(ISBLANK('Data Entry'!$ê$668), "", 'Data Entry'!$ê$668)</f>
      </c>
      <c r="FO668">
        <f>IF(ISBLANK('Data Entry'!$ë$668), "", 'Data Entry'!$ë$668)</f>
      </c>
      <c r="FP668">
        <f>IF(ISBLANK('Data Entry'!$ì$668), "", 'Data Entry'!$ì$668)</f>
      </c>
      <c r="FQ668">
        <f>IF(ISBLANK('Data Entry'!$í$668), "", 'Data Entry'!$í$668)</f>
      </c>
      <c r="FR668">
        <f>IF(ISBLANK('Data Entry'!$î$668), "", 'Data Entry'!$î$668)</f>
      </c>
      <c r="FS668">
        <f>IF(ISBLANK('Data Entry'!$ï$668), "", 'Data Entry'!$ï$668)</f>
      </c>
      <c r="FT668">
        <f>IF(ISBLANK('Data Entry'!$ð$668), "", 'Data Entry'!$ð$668)</f>
      </c>
      <c r="FU668">
        <f>IF(ISBLANK('Data Entry'!$ñ$668), "", 'Data Entry'!$ñ$668)</f>
      </c>
      <c r="FV668">
        <f>IF(ISBLANK('Data Entry'!$ò$668), "", 'Data Entry'!$ò$668)</f>
      </c>
      <c r="FW668">
        <f>IF(ISBLANK('Data Entry'!$ó$668), "", 'Data Entry'!$ó$668)</f>
      </c>
      <c r="FX668">
        <f>IF(ISBLANK('Data Entry'!$ô$668), "", 'Data Entry'!$ô$668)</f>
      </c>
      <c r="FY668">
        <f>IF(ISBLANK('Data Entry'!$õ$668), "", 'Data Entry'!$õ$668)</f>
      </c>
      <c r="FZ668">
        <f>IF(ISBLANK('Data Entry'!$ö$668), "", 'Data Entry'!$ö$668)</f>
      </c>
      <c r="GA668">
        <f>IF(ISBLANK('Data Entry'!$÷$668), "", 'Data Entry'!$÷$668)</f>
      </c>
      <c r="GB668">
        <f>IF(ISBLANK('Data Entry'!$ø$668), "", 'Data Entry'!$ø$668)</f>
      </c>
      <c r="GC668">
        <f>IF(ISBLANK('Data Entry'!$ù$668), "", 'Data Entry'!$ù$668)</f>
      </c>
      <c r="GD668">
        <f>IF(ISBLANK('Data Entry'!$ú$668), "", 'Data Entry'!$ú$668)</f>
      </c>
      <c r="GE668">
        <f>IF(ISBLANK('Data Entry'!$û$668), "", 'Data Entry'!$û$668)</f>
      </c>
      <c r="GF668">
        <f>IF(ISBLANK('Data Entry'!$ü$668), "", 'Data Entry'!$ü$668)</f>
      </c>
      <c r="GG668">
        <f>IF(ISBLANK('Data Entry'!$ý$668), "", 'Data Entry'!$ý$668)</f>
      </c>
      <c r="GH668">
        <f>IF(ISBLANK('Data Entry'!$þ$668), "", 'Data Entry'!$þ$668)</f>
      </c>
      <c r="GI668">
        <f>IF(ISBLANK('Data Entry'!$ÿ$668), "", 'Data Entry'!$ÿ$668)</f>
      </c>
      <c r="GJ668">
        <f>IF(ISBLANK('Data Entry'!$Ā$668), "", 'Data Entry'!$Ā$668)</f>
      </c>
      <c r="GK668">
        <f>IF(ISBLANK('Data Entry'!$ā$668), "", 'Data Entry'!$ā$668)</f>
      </c>
      <c r="GL668">
        <f>IF(ISBLANK('Data Entry'!$Ă$668), "", 'Data Entry'!$Ă$668)</f>
      </c>
      <c r="GM668">
        <f>IF(ISBLANK('Data Entry'!$ă$668), "", 'Data Entry'!$ă$668)</f>
      </c>
      <c r="GN668">
        <f>IF(ISBLANK('Data Entry'!$Ą$668), "", 'Data Entry'!$Ą$668)</f>
      </c>
      <c r="GO668">
        <f>IF(ISBLANK('Data Entry'!$ą$668), "", 'Data Entry'!$ą$668)</f>
      </c>
      <c r="GP668">
        <f>IF(ISBLANK('Data Entry'!$Ć$668), "", 'Data Entry'!$Ć$668)</f>
      </c>
      <c r="GQ668">
        <f>IF(ISBLANK('Data Entry'!$ć$668), "", 'Data Entry'!$ć$668)</f>
      </c>
      <c r="GR668">
        <f>IF(ISBLANK('Data Entry'!$Ĉ$668), "", 'Data Entry'!$Ĉ$668)</f>
      </c>
      <c r="GS668">
        <f>IF(ISBLANK('Data Entry'!$ĉ$668), "", 'Data Entry'!$ĉ$668)</f>
      </c>
      <c r="GT668">
        <f>IF(ISBLANK('Data Entry'!$Ċ$668), "", 'Data Entry'!$Ċ$668)</f>
      </c>
      <c r="GU668">
        <f>IF(ISBLANK('Data Entry'!$ċ$668), "", 'Data Entry'!$ċ$668)</f>
      </c>
      <c r="GV668">
        <f>IF(ISBLANK('Data Entry'!$Č$668), "", 'Data Entry'!$Č$668)</f>
      </c>
      <c r="GW668">
        <f>IF(ISBLANK('Data Entry'!$č$668), "", 'Data Entry'!$č$668)</f>
      </c>
      <c r="GX668">
        <f>IF(ISBLANK('Data Entry'!$Ď$668), "", 'Data Entry'!$Ď$668)</f>
      </c>
      <c r="GY668">
        <f>IF(ISBLANK('Data Entry'!$ď$668), "", 'Data Entry'!$ď$668)</f>
      </c>
      <c r="GZ668">
        <f>IF(ISBLANK('Data Entry'!$Đ$668), "", 'Data Entry'!$Đ$668)</f>
      </c>
      <c r="HA668">
        <f>IF(ISBLANK('Data Entry'!$đ$668), "", 'Data Entry'!$đ$668)</f>
      </c>
      <c r="HB668">
        <f>IF(ISBLANK('Data Entry'!$Ē$668), "", 'Data Entry'!$Ē$668)</f>
      </c>
      <c r="HC668">
        <f>IF(ISBLANK('Data Entry'!$ē$668), "", 'Data Entry'!$ē$668)</f>
      </c>
      <c r="HD668">
        <f>IF(ISBLANK('Data Entry'!$Ĕ$668), "", 'Data Entry'!$Ĕ$668)</f>
      </c>
      <c r="HE668">
        <f>IF(ISBLANK('Data Entry'!$ĕ$668), "", 'Data Entry'!$ĕ$668)</f>
      </c>
      <c r="HF668">
        <f>IF(ISBLANK('Data Entry'!$Ė$668), "", 'Data Entry'!$Ė$668)</f>
      </c>
      <c r="HG668">
        <f>IF(ISBLANK('Data Entry'!$ė$668), "", 'Data Entry'!$ė$668)</f>
      </c>
      <c r="HH668">
        <f>IF(ISBLANK('Data Entry'!$Ę$668), "", 'Data Entry'!$Ę$668)</f>
      </c>
      <c r="HI668">
        <f>IF(ISBLANK('Data Entry'!$ę$668), "", 'Data Entry'!$ę$668)</f>
      </c>
      <c r="HJ668">
        <f>IF(ISBLANK('Data Entry'!$Ě$668), "", 'Data Entry'!$Ě$668)</f>
      </c>
      <c r="HK668">
        <f>IF(ISBLANK('Data Entry'!$ě$668), "", 'Data Entry'!$ě$668)</f>
      </c>
      <c r="HL668">
        <f>IF(ISBLANK('Data Entry'!$Ĝ$668), "", 'Data Entry'!$Ĝ$668)</f>
      </c>
      <c r="HM668">
        <f>IF(ISBLANK('Data Entry'!$ĝ$668), "", 'Data Entry'!$ĝ$668)</f>
      </c>
      <c r="HN668">
        <f>IF(ISBLANK('Data Entry'!$Ğ$668), "", 'Data Entry'!$Ğ$668)</f>
      </c>
      <c r="HO668">
        <f>IF(ISBLANK('Data Entry'!$ğ$668), "", 'Data Entry'!$ğ$668)</f>
      </c>
      <c r="HP668">
        <f>IF(ISBLANK('Data Entry'!$Ġ$668), "", 'Data Entry'!$Ġ$668)</f>
      </c>
      <c r="HQ668">
        <f>IF(ISBLANK('Data Entry'!$ġ$668), "", 'Data Entry'!$ġ$668)</f>
      </c>
      <c r="HR668">
        <f>IF(ISBLANK('Data Entry'!$Ģ$668), "", 'Data Entry'!$Ģ$668)</f>
      </c>
      <c r="HS668">
        <f>IF(ISBLANK('Data Entry'!$ģ$668), "", 'Data Entry'!$ģ$668)</f>
      </c>
      <c r="HT668">
        <f>IF(ISBLANK('Data Entry'!$Ĥ$668), "", 'Data Entry'!$Ĥ$668)</f>
      </c>
      <c r="HU668">
        <f>IF(ISBLANK('Data Entry'!$ĥ$668), "", 'Data Entry'!$ĥ$668)</f>
      </c>
      <c r="HV668">
        <f>IF(ISBLANK('Data Entry'!$Ħ$668), "", 'Data Entry'!$Ħ$668)</f>
      </c>
      <c r="HW668">
        <f>IF(ISBLANK('Data Entry'!$ħ$668), "", 'Data Entry'!$ħ$668)</f>
      </c>
      <c r="HX668">
        <f>IF(ISBLANK('Data Entry'!$Ĩ$668), "", 'Data Entry'!$Ĩ$668)</f>
      </c>
      <c r="HY668">
        <f>IF(ISBLANK('Data Entry'!$ĩ$668), "", 'Data Entry'!$ĩ$668)</f>
      </c>
      <c r="HZ668">
        <f>IF(ISBLANK('Data Entry'!$Ī$668), "", 'Data Entry'!$Ī$668)</f>
      </c>
      <c r="IA668">
        <f>IF(ISBLANK('Data Entry'!$ī$668), "", 'Data Entry'!$ī$668)</f>
      </c>
      <c r="IB668">
        <f>IF(ISBLANK('Data Entry'!$Ĭ$668), "", 'Data Entry'!$Ĭ$668)</f>
      </c>
      <c r="IC668">
        <f>IF(ISBLANK('Data Entry'!$ĭ$668), "", 'Data Entry'!$ĭ$668)</f>
      </c>
      <c r="ID668">
        <f>IF(ISBLANK('Data Entry'!$Į$668), "", 'Data Entry'!$Į$668)</f>
      </c>
      <c r="IE668">
        <f>IF(ISBLANK('Data Entry'!$į$668), "", 'Data Entry'!$į$668)</f>
      </c>
      <c r="IF668">
        <f>IF(ISBLANK('Data Entry'!$İ$668), "", 'Data Entry'!$İ$668)</f>
      </c>
      <c r="IG668">
        <f>IF(ISBLANK('Data Entry'!$ı$668), "", 'Data Entry'!$ı$668)</f>
      </c>
      <c r="IH668">
        <f>IF(ISBLANK('Data Entry'!$Ĳ$668), "", 'Data Entry'!$Ĳ$668)</f>
      </c>
      <c r="II668">
        <f>IF(ISBLANK('Data Entry'!$ĳ$668), "", 'Data Entry'!$ĳ$668)</f>
      </c>
      <c r="IJ668">
        <f>IF(ISBLANK('Data Entry'!$Ĵ$668), "", 'Data Entry'!$Ĵ$668)</f>
      </c>
      <c r="IK668">
        <f>IF(ISBLANK('Data Entry'!$ĵ$668), "", 'Data Entry'!$ĵ$668)</f>
      </c>
      <c r="IL668">
        <f>IF(ISBLANK('Data Entry'!$Ķ$668), "", 'Data Entry'!$Ķ$668)</f>
      </c>
      <c r="IM668">
        <f>IF(ISBLANK('Data Entry'!$ķ$668), "", 'Data Entry'!$ķ$668)</f>
      </c>
      <c r="IN668">
        <f>IF(ISBLANK('Data Entry'!$ĸ$668), "", 'Data Entry'!$ĸ$668)</f>
      </c>
      <c r="IO668">
        <f>IF(ISBLANK('Data Entry'!$Ĺ$668), "", 'Data Entry'!$Ĺ$668)</f>
      </c>
      <c r="IP668">
        <f>IF(ISBLANK('Data Entry'!$ĺ$668), "", 'Data Entry'!$ĺ$668)</f>
      </c>
      <c r="IQ668">
        <f>IF(ISBLANK('Data Entry'!$Ļ$668), "", 'Data Entry'!$Ļ$668)</f>
      </c>
      <c r="IR668">
        <f>IF(ISBLANK('Data Entry'!$ļ$668), "", 'Data Entry'!$ļ$668)</f>
      </c>
      <c r="IS668">
        <f>IF(ISBLANK('Data Entry'!$Ľ$668), "", 'Data Entry'!$Ľ$668)</f>
      </c>
      <c r="IT668">
        <f>IF(ISBLANK('Data Entry'!$ľ$668), "", 'Data Entry'!$ľ$668)</f>
      </c>
    </row>
    <row r="669" spans="1:254" x14ac:dyDescent="0.25">
      <c r="A669">
        <f>IF(ISBLANK('Data Entry'!$A$669), "", 'Data Entry'!$A$669)</f>
      </c>
      <c r="B669">
        <f>IF(ISBLANK('Data Entry'!$B$669), "", 'Data Entry'!$B$669)</f>
      </c>
      <c r="C669">
        <f>IF(ISBLANK('Data Entry'!$C$669), "", 'Data Entry'!$C$669)</f>
      </c>
      <c r="D669">
        <f>IF(ISBLANK('Data Entry'!$D$669), "", 'Data Entry'!$D$669)</f>
      </c>
      <c r="E669">
        <f>IF(ISBLANK('Data Entry'!$E$669), "", 'Data Entry'!$E$669)</f>
      </c>
      <c r="F669">
        <f>IF(ISBLANK('Data Entry'!$F$669), "", 'Data Entry'!$F$669)</f>
      </c>
      <c r="G669">
        <f>IF(ISBLANK('Data Entry'!$G$669), "", 'Data Entry'!$G$669)</f>
      </c>
      <c r="H669">
        <f>IF(ISBLANK('Data Entry'!$H$669), "", 'Data Entry'!$H$669)</f>
      </c>
      <c r="I669">
        <f>IF(ISBLANK('Data Entry'!$I$669), "", 'Data Entry'!$I$669)</f>
      </c>
      <c r="J669">
        <f>IF(ISBLANK('Data Entry'!$J$669), "", 'Data Entry'!$J$669)</f>
      </c>
      <c r="K669">
        <f>IF(ISBLANK('Data Entry'!$K$669), "", 'Data Entry'!$K$669)</f>
      </c>
      <c r="L669">
        <f>IF(ISBLANK('Data Entry'!$L$669), "", 'Data Entry'!$L$669)</f>
      </c>
      <c r="M669">
        <f>IF(ISBLANK('Data Entry'!$M$669), "", 'Data Entry'!$M$669)</f>
      </c>
      <c r="N669">
        <f>IF(ISBLANK('Data Entry'!$N$669), "", 'Data Entry'!$N$669)</f>
      </c>
      <c r="O669">
        <f>IF(ISBLANK('Data Entry'!$O$669), "", 'Data Entry'!$O$669)</f>
      </c>
      <c r="P669">
        <f>IF(ISBLANK('Data Entry'!$P$669), "", 'Data Entry'!$P$669)</f>
      </c>
      <c r="Q669">
        <f>IF(ISBLANK('Data Entry'!$Q$669), "", 'Data Entry'!$Q$669)</f>
      </c>
      <c r="R669">
        <f>IF(ISBLANK('Data Entry'!$R$669), "", 'Data Entry'!$R$669)</f>
      </c>
      <c r="S669">
        <f>IF(ISBLANK('Data Entry'!$S$669), "", 'Data Entry'!$S$669)</f>
      </c>
      <c r="T669">
        <f>IF(ISBLANK('Data Entry'!$T$669), "", 'Data Entry'!$T$669)</f>
      </c>
      <c r="U669">
        <f>IF(ISBLANK('Data Entry'!$U$669), "", 'Data Entry'!$U$669)</f>
      </c>
      <c r="V669">
        <f>IF(ISBLANK('Data Entry'!$V$669), "", 'Data Entry'!$V$669)</f>
      </c>
      <c r="W669">
        <f>IF(ISBLANK('Data Entry'!$W$669), "", 'Data Entry'!$W$669)</f>
      </c>
      <c r="X669">
        <f>IF(ISBLANK('Data Entry'!$X$669), "", 'Data Entry'!$X$669)</f>
      </c>
      <c r="Y669">
        <f>IF(ISBLANK('Data Entry'!$Y$669), "", 'Data Entry'!$Y$669)</f>
      </c>
      <c r="Z669">
        <f>IF(ISBLANK('Data Entry'!$Z$669), "", 'Data Entry'!$Z$669)</f>
      </c>
      <c r="AA669">
        <f>IF(ISBLANK('Data Entry'!$[$669), "", 'Data Entry'!$[$669)</f>
      </c>
      <c r="AB669">
        <f>IF(ISBLANK('Data Entry'!$\$669), "", 'Data Entry'!$\$669)</f>
      </c>
      <c r="AC669">
        <f>IF(ISBLANK('Data Entry'!$]$669), "", 'Data Entry'!$]$669)</f>
      </c>
      <c r="AD669">
        <f>IF(ISBLANK('Data Entry'!$^$669), "", 'Data Entry'!$^$669)</f>
      </c>
      <c r="AE669">
        <f>IF(ISBLANK('Data Entry'!$_$669), "", 'Data Entry'!$_$669)</f>
      </c>
      <c r="AF669">
        <f>IF(ISBLANK('Data Entry'!$`$669), "", 'Data Entry'!$`$669)</f>
      </c>
      <c r="AG669">
        <f>IF(ISBLANK('Data Entry'!$a$669), "", 'Data Entry'!$a$669)</f>
      </c>
      <c r="AH669">
        <f>IF(ISBLANK('Data Entry'!$b$669), "", 'Data Entry'!$b$669)</f>
      </c>
      <c r="AI669">
        <f>IF(ISBLANK('Data Entry'!$c$669), "", 'Data Entry'!$c$669)</f>
      </c>
      <c r="AJ669">
        <f>IF(ISBLANK('Data Entry'!$d$669), "", 'Data Entry'!$d$669)</f>
      </c>
      <c r="AK669">
        <f>IF(ISBLANK('Data Entry'!$e$669), "", 'Data Entry'!$e$669)</f>
      </c>
      <c r="AL669">
        <f>IF(ISBLANK('Data Entry'!$f$669), "", 'Data Entry'!$f$669)</f>
      </c>
      <c r="AM669">
        <f>IF(ISBLANK('Data Entry'!$g$669), "", 'Data Entry'!$g$669)</f>
      </c>
      <c r="AN669">
        <f>IF(ISBLANK('Data Entry'!$h$669), "", 'Data Entry'!$h$669)</f>
      </c>
      <c r="AO669">
        <f>IF(ISBLANK('Data Entry'!$i$669), "", 'Data Entry'!$i$669)</f>
      </c>
      <c r="AP669">
        <f>IF(ISBLANK('Data Entry'!$j$669), "", 'Data Entry'!$j$669)</f>
      </c>
      <c r="AQ669">
        <f>IF(ISBLANK('Data Entry'!$k$669), "", 'Data Entry'!$k$669)</f>
      </c>
      <c r="AR669">
        <f>IF(ISBLANK('Data Entry'!$l$669), "", 'Data Entry'!$l$669)</f>
      </c>
      <c r="AS669">
        <f>IF(ISBLANK('Data Entry'!$m$669), "", 'Data Entry'!$m$669)</f>
      </c>
      <c r="AT669">
        <f>IF(ISBLANK('Data Entry'!$n$669), "", 'Data Entry'!$n$669)</f>
      </c>
      <c r="AU669">
        <f>IF(ISBLANK('Data Entry'!$o$669), "", 'Data Entry'!$o$669)</f>
      </c>
      <c r="AV669">
        <f>IF(ISBLANK('Data Entry'!$p$669), "", 'Data Entry'!$p$669)</f>
      </c>
      <c r="AW669">
        <f>IF(ISBLANK('Data Entry'!$q$669), "", 'Data Entry'!$q$669)</f>
      </c>
      <c r="AX669">
        <f>IF(ISBLANK('Data Entry'!$r$669), "", 'Data Entry'!$r$669)</f>
      </c>
      <c r="AY669">
        <f>IF(ISBLANK('Data Entry'!$s$669), "", 'Data Entry'!$s$669)</f>
      </c>
      <c r="AZ669">
        <f>IF(ISBLANK('Data Entry'!$t$669), "", 'Data Entry'!$t$669)</f>
      </c>
      <c r="BA669">
        <f>IF(ISBLANK('Data Entry'!$u$669), "", 'Data Entry'!$u$669)</f>
      </c>
      <c r="BB669">
        <f>IF(ISBLANK('Data Entry'!$v$669), "", 'Data Entry'!$v$669)</f>
      </c>
      <c r="BC669">
        <f>IF(ISBLANK('Data Entry'!$w$669), "", 'Data Entry'!$w$669)</f>
      </c>
      <c r="BD669">
        <f>IF(ISBLANK('Data Entry'!$x$669), "", 'Data Entry'!$x$669)</f>
      </c>
      <c r="BE669">
        <f>IF(ISBLANK('Data Entry'!$y$669), "", 'Data Entry'!$y$669)</f>
      </c>
      <c r="BF669">
        <f>IF(ISBLANK('Data Entry'!$z$669), "", 'Data Entry'!$z$669)</f>
      </c>
      <c r="BG669">
        <f>IF(ISBLANK('Data Entry'!${$669), "", 'Data Entry'!${$669)</f>
      </c>
      <c r="BH669">
        <f>IF(ISBLANK('Data Entry'!$|$669), "", 'Data Entry'!$|$669)</f>
      </c>
      <c r="BI669">
        <f>IF(ISBLANK('Data Entry'!$}$669), "", 'Data Entry'!$}$669)</f>
      </c>
      <c r="BJ669">
        <f>IF(ISBLANK('Data Entry'!$~$669), "", 'Data Entry'!$~$669)</f>
      </c>
      <c r="BK669">
        <f>IF(ISBLANK('Data Entry'!$$669), "", 'Data Entry'!$$669)</f>
      </c>
      <c r="BL669">
        <f>IF(ISBLANK('Data Entry'!$$669), "", 'Data Entry'!$$669)</f>
      </c>
      <c r="BM669">
        <f>IF(ISBLANK('Data Entry'!$$669), "", 'Data Entry'!$$669)</f>
      </c>
      <c r="BN669">
        <f>IF(ISBLANK('Data Entry'!$$669), "", 'Data Entry'!$$669)</f>
      </c>
      <c r="BO669">
        <f>IF(ISBLANK('Data Entry'!$$669), "", 'Data Entry'!$$669)</f>
      </c>
      <c r="BP669">
        <f>IF(ISBLANK('Data Entry'!$$669), "", 'Data Entry'!$$669)</f>
      </c>
      <c r="BQ669">
        <f>IF(ISBLANK('Data Entry'!$$669), "", 'Data Entry'!$$669)</f>
      </c>
      <c r="BR669">
        <f>IF(ISBLANK('Data Entry'!$$669), "", 'Data Entry'!$$669)</f>
      </c>
      <c r="BS669">
        <f>IF(ISBLANK('Data Entry'!$$669), "", 'Data Entry'!$$669)</f>
      </c>
      <c r="BT669">
        <f>IF(ISBLANK('Data Entry'!$$669), "", 'Data Entry'!$$669)</f>
      </c>
      <c r="BU669">
        <f>IF(ISBLANK('Data Entry'!$$669), "", 'Data Entry'!$$669)</f>
      </c>
      <c r="BV669">
        <f>IF(ISBLANK('Data Entry'!$$669), "", 'Data Entry'!$$669)</f>
      </c>
      <c r="BW669">
        <f>IF(ISBLANK('Data Entry'!$$669), "", 'Data Entry'!$$669)</f>
      </c>
      <c r="BX669">
        <f>IF(ISBLANK('Data Entry'!$$669), "", 'Data Entry'!$$669)</f>
      </c>
      <c r="BY669">
        <f>IF(ISBLANK('Data Entry'!$$669), "", 'Data Entry'!$$669)</f>
      </c>
      <c r="BZ669">
        <f>IF(ISBLANK('Data Entry'!$$669), "", 'Data Entry'!$$669)</f>
      </c>
      <c r="CA669">
        <f>IF(ISBLANK('Data Entry'!$$669), "", 'Data Entry'!$$669)</f>
      </c>
      <c r="CB669">
        <f>IF(ISBLANK('Data Entry'!$$669), "", 'Data Entry'!$$669)</f>
      </c>
      <c r="CC669">
        <f>IF(ISBLANK('Data Entry'!$$669), "", 'Data Entry'!$$669)</f>
      </c>
      <c r="CD669">
        <f>IF(ISBLANK('Data Entry'!$$669), "", 'Data Entry'!$$669)</f>
      </c>
      <c r="CE669">
        <f>IF(ISBLANK('Data Entry'!$$669), "", 'Data Entry'!$$669)</f>
      </c>
      <c r="CF669">
        <f>IF(ISBLANK('Data Entry'!$$669), "", 'Data Entry'!$$669)</f>
      </c>
      <c r="CG669">
        <f>IF(ISBLANK('Data Entry'!$$669), "", 'Data Entry'!$$669)</f>
      </c>
      <c r="CH669">
        <f>IF(ISBLANK('Data Entry'!$$669), "", 'Data Entry'!$$669)</f>
      </c>
      <c r="CI669">
        <f>IF(ISBLANK('Data Entry'!$$669), "", 'Data Entry'!$$669)</f>
      </c>
      <c r="CJ669">
        <f>IF(ISBLANK('Data Entry'!$$669), "", 'Data Entry'!$$669)</f>
      </c>
      <c r="CK669">
        <f>IF(ISBLANK('Data Entry'!$$669), "", 'Data Entry'!$$669)</f>
      </c>
      <c r="CL669">
        <f>IF(ISBLANK('Data Entry'!$$669), "", 'Data Entry'!$$669)</f>
      </c>
      <c r="CM669">
        <f>IF(ISBLANK('Data Entry'!$$669), "", 'Data Entry'!$$669)</f>
      </c>
      <c r="CN669">
        <f>IF(ISBLANK('Data Entry'!$$669), "", 'Data Entry'!$$669)</f>
      </c>
      <c r="CO669">
        <f>IF(ISBLANK('Data Entry'!$$669), "", 'Data Entry'!$$669)</f>
      </c>
      <c r="CP669">
        <f>IF(ISBLANK('Data Entry'!$$669), "", 'Data Entry'!$$669)</f>
      </c>
      <c r="CQ669">
        <f>IF(ISBLANK('Data Entry'!$$669), "", 'Data Entry'!$$669)</f>
      </c>
      <c r="CR669">
        <f>IF(ISBLANK('Data Entry'!$ $669), "", 'Data Entry'!$ $669)</f>
      </c>
      <c r="CS669">
        <f>IF(ISBLANK('Data Entry'!$¡$669), "", 'Data Entry'!$¡$669)</f>
      </c>
      <c r="CT669">
        <f>IF(ISBLANK('Data Entry'!$¢$669), "", 'Data Entry'!$¢$669)</f>
      </c>
      <c r="CU669">
        <f>IF(ISBLANK('Data Entry'!$£$669), "", 'Data Entry'!$£$669)</f>
      </c>
      <c r="CV669">
        <f>IF(ISBLANK('Data Entry'!$¤$669), "", 'Data Entry'!$¤$669)</f>
      </c>
      <c r="CW669">
        <f>IF(ISBLANK('Data Entry'!$¥$669), "", 'Data Entry'!$¥$669)</f>
      </c>
      <c r="CX669">
        <f>IF(ISBLANK('Data Entry'!$¦$669), "", 'Data Entry'!$¦$669)</f>
      </c>
      <c r="CY669">
        <f>IF(ISBLANK('Data Entry'!$§$669), "", 'Data Entry'!$§$669)</f>
      </c>
      <c r="CZ669">
        <f>IF(ISBLANK('Data Entry'!$¨$669), "", 'Data Entry'!$¨$669)</f>
      </c>
      <c r="DA669">
        <f>IF(ISBLANK('Data Entry'!$©$669), "", 'Data Entry'!$©$669)</f>
      </c>
      <c r="DB669">
        <f>IF(ISBLANK('Data Entry'!$ª$669), "", 'Data Entry'!$ª$669)</f>
      </c>
      <c r="DC669">
        <f>IF(ISBLANK('Data Entry'!$«$669), "", 'Data Entry'!$«$669)</f>
      </c>
      <c r="DD669">
        <f>IF(ISBLANK('Data Entry'!$¬$669), "", 'Data Entry'!$¬$669)</f>
      </c>
      <c r="DE669">
        <f>IF(ISBLANK('Data Entry'!$­$669), "", 'Data Entry'!$­$669)</f>
      </c>
      <c r="DF669">
        <f>IF(ISBLANK('Data Entry'!$®$669), "", 'Data Entry'!$®$669)</f>
      </c>
      <c r="DG669">
        <f>IF(ISBLANK('Data Entry'!$¯$669), "", 'Data Entry'!$¯$669)</f>
      </c>
      <c r="DH669">
        <f>IF(ISBLANK('Data Entry'!$°$669), "", 'Data Entry'!$°$669)</f>
      </c>
      <c r="DI669">
        <f>IF(ISBLANK('Data Entry'!$±$669), "", 'Data Entry'!$±$669)</f>
      </c>
      <c r="DJ669">
        <f>IF(ISBLANK('Data Entry'!$²$669), "", 'Data Entry'!$²$669)</f>
      </c>
      <c r="DK669">
        <f>IF(ISBLANK('Data Entry'!$³$669), "", 'Data Entry'!$³$669)</f>
      </c>
      <c r="DL669">
        <f>IF(ISBLANK('Data Entry'!$´$669), "", 'Data Entry'!$´$669)</f>
      </c>
      <c r="DM669">
        <f>IF(ISBLANK('Data Entry'!$µ$669), "", 'Data Entry'!$µ$669)</f>
      </c>
      <c r="DN669">
        <f>IF(ISBLANK('Data Entry'!$¶$669), "", 'Data Entry'!$¶$669)</f>
      </c>
      <c r="DO669">
        <f>IF(ISBLANK('Data Entry'!$·$669), "", 'Data Entry'!$·$669)</f>
      </c>
      <c r="DP669">
        <f>IF(ISBLANK('Data Entry'!$¸$669), "", 'Data Entry'!$¸$669)</f>
      </c>
      <c r="DQ669">
        <f>IF(ISBLANK('Data Entry'!$¹$669), "", 'Data Entry'!$¹$669)</f>
      </c>
      <c r="DR669">
        <f>IF(ISBLANK('Data Entry'!$º$669), "", 'Data Entry'!$º$669)</f>
      </c>
      <c r="DS669">
        <f>IF(ISBLANK('Data Entry'!$»$669), "", 'Data Entry'!$»$669)</f>
      </c>
      <c r="DT669">
        <f>IF(ISBLANK('Data Entry'!$¼$669), "", 'Data Entry'!$¼$669)</f>
      </c>
      <c r="DU669">
        <f>IF(ISBLANK('Data Entry'!$½$669), "", 'Data Entry'!$½$669)</f>
      </c>
      <c r="DV669">
        <f>IF(ISBLANK('Data Entry'!$¾$669), "", 'Data Entry'!$¾$669)</f>
      </c>
      <c r="DW669">
        <f>IF(ISBLANK('Data Entry'!$¿$669), "", 'Data Entry'!$¿$669)</f>
      </c>
      <c r="DX669">
        <f>IF(ISBLANK('Data Entry'!$À$669), "", 'Data Entry'!$À$669)</f>
      </c>
      <c r="DY669">
        <f>IF(ISBLANK('Data Entry'!$Á$669), "", 'Data Entry'!$Á$669)</f>
      </c>
      <c r="DZ669">
        <f>IF(ISBLANK('Data Entry'!$Â$669), "", 'Data Entry'!$Â$669)</f>
      </c>
      <c r="EA669">
        <f>IF(ISBLANK('Data Entry'!$Ã$669), "", 'Data Entry'!$Ã$669)</f>
      </c>
      <c r="EB669">
        <f>IF(ISBLANK('Data Entry'!$Ä$669), "", 'Data Entry'!$Ä$669)</f>
      </c>
      <c r="EC669">
        <f>IF(ISBLANK('Data Entry'!$Å$669), "", 'Data Entry'!$Å$669)</f>
      </c>
      <c r="ED669">
        <f>IF(ISBLANK('Data Entry'!$Æ$669), "", 'Data Entry'!$Æ$669)</f>
      </c>
      <c r="EE669">
        <f>IF(ISBLANK('Data Entry'!$Ç$669), "", 'Data Entry'!$Ç$669)</f>
      </c>
      <c r="EF669">
        <f>IF(ISBLANK('Data Entry'!$È$669), "", 'Data Entry'!$È$669)</f>
      </c>
      <c r="EG669">
        <f>IF(ISBLANK('Data Entry'!$É$669), "", 'Data Entry'!$É$669)</f>
      </c>
      <c r="EH669">
        <f>IF(ISBLANK('Data Entry'!$Ê$669), "", 'Data Entry'!$Ê$669)</f>
      </c>
      <c r="EI669">
        <f>IF(ISBLANK('Data Entry'!$Ë$669), "", 'Data Entry'!$Ë$669)</f>
      </c>
      <c r="EJ669">
        <f>IF(ISBLANK('Data Entry'!$Ì$669), "", 'Data Entry'!$Ì$669)</f>
      </c>
      <c r="EK669">
        <f>IF(ISBLANK('Data Entry'!$Í$669), "", 'Data Entry'!$Í$669)</f>
      </c>
      <c r="EL669">
        <f>IF(ISBLANK('Data Entry'!$Î$669), "", 'Data Entry'!$Î$669)</f>
      </c>
      <c r="EM669">
        <f>IF(ISBLANK('Data Entry'!$Ï$669), "", 'Data Entry'!$Ï$669)</f>
      </c>
      <c r="EN669">
        <f>IF(ISBLANK('Data Entry'!$Ð$669), "", 'Data Entry'!$Ð$669)</f>
      </c>
      <c r="EO669">
        <f>IF(ISBLANK('Data Entry'!$Ñ$669), "", 'Data Entry'!$Ñ$669)</f>
      </c>
      <c r="EP669">
        <f>IF(ISBLANK('Data Entry'!$Ò$669), "", 'Data Entry'!$Ò$669)</f>
      </c>
      <c r="EQ669">
        <f>IF(ISBLANK('Data Entry'!$Ó$669), "", 'Data Entry'!$Ó$669)</f>
      </c>
      <c r="ER669">
        <f>IF(ISBLANK('Data Entry'!$Ô$669), "", 'Data Entry'!$Ô$669)</f>
      </c>
      <c r="ES669">
        <f>IF(ISBLANK('Data Entry'!$Õ$669), "", 'Data Entry'!$Õ$669)</f>
      </c>
      <c r="ET669">
        <f>IF(ISBLANK('Data Entry'!$Ö$669), "", 'Data Entry'!$Ö$669)</f>
      </c>
      <c r="EU669">
        <f>IF(ISBLANK('Data Entry'!$×$669), "", 'Data Entry'!$×$669)</f>
      </c>
      <c r="EV669">
        <f>IF(ISBLANK('Data Entry'!$Ø$669), "", 'Data Entry'!$Ø$669)</f>
      </c>
      <c r="EW669">
        <f>IF(ISBLANK('Data Entry'!$Ù$669), "", 'Data Entry'!$Ù$669)</f>
      </c>
      <c r="EX669">
        <f>IF(ISBLANK('Data Entry'!$Ú$669), "", 'Data Entry'!$Ú$669)</f>
      </c>
      <c r="EY669">
        <f>IF(ISBLANK('Data Entry'!$Û$669), "", 'Data Entry'!$Û$669)</f>
      </c>
      <c r="EZ669">
        <f>IF(ISBLANK('Data Entry'!$Ü$669), "", 'Data Entry'!$Ü$669)</f>
      </c>
      <c r="FA669">
        <f>IF(ISBLANK('Data Entry'!$Ý$669), "", 'Data Entry'!$Ý$669)</f>
      </c>
      <c r="FB669">
        <f>IF(ISBLANK('Data Entry'!$Þ$669), "", 'Data Entry'!$Þ$669)</f>
      </c>
      <c r="FC669">
        <f>IF(ISBLANK('Data Entry'!$ß$669), "", 'Data Entry'!$ß$669)</f>
      </c>
      <c r="FD669">
        <f>IF(ISBLANK('Data Entry'!$à$669), "", 'Data Entry'!$à$669)</f>
      </c>
      <c r="FE669">
        <f>IF(ISBLANK('Data Entry'!$á$669), "", 'Data Entry'!$á$669)</f>
      </c>
      <c r="FF669">
        <f>IF(ISBLANK('Data Entry'!$â$669), "", 'Data Entry'!$â$669)</f>
      </c>
      <c r="FG669">
        <f>IF(ISBLANK('Data Entry'!$ã$669), "", 'Data Entry'!$ã$669)</f>
      </c>
      <c r="FH669">
        <f>IF(ISBLANK('Data Entry'!$ä$669), "", 'Data Entry'!$ä$669)</f>
      </c>
      <c r="FI669">
        <f>IF(ISBLANK('Data Entry'!$å$669), "", 'Data Entry'!$å$669)</f>
      </c>
      <c r="FJ669">
        <f>IF(ISBLANK('Data Entry'!$æ$669), "", 'Data Entry'!$æ$669)</f>
      </c>
      <c r="FK669">
        <f>IF(ISBLANK('Data Entry'!$ç$669), "", 'Data Entry'!$ç$669)</f>
      </c>
      <c r="FL669">
        <f>IF(ISBLANK('Data Entry'!$è$669), "", 'Data Entry'!$è$669)</f>
      </c>
      <c r="FM669">
        <f>IF(ISBLANK('Data Entry'!$é$669), "", 'Data Entry'!$é$669)</f>
      </c>
      <c r="FN669">
        <f>IF(ISBLANK('Data Entry'!$ê$669), "", 'Data Entry'!$ê$669)</f>
      </c>
      <c r="FO669">
        <f>IF(ISBLANK('Data Entry'!$ë$669), "", 'Data Entry'!$ë$669)</f>
      </c>
      <c r="FP669">
        <f>IF(ISBLANK('Data Entry'!$ì$669), "", 'Data Entry'!$ì$669)</f>
      </c>
      <c r="FQ669">
        <f>IF(ISBLANK('Data Entry'!$í$669), "", 'Data Entry'!$í$669)</f>
      </c>
      <c r="FR669">
        <f>IF(ISBLANK('Data Entry'!$î$669), "", 'Data Entry'!$î$669)</f>
      </c>
      <c r="FS669">
        <f>IF(ISBLANK('Data Entry'!$ï$669), "", 'Data Entry'!$ï$669)</f>
      </c>
      <c r="FT669">
        <f>IF(ISBLANK('Data Entry'!$ð$669), "", 'Data Entry'!$ð$669)</f>
      </c>
      <c r="FU669">
        <f>IF(ISBLANK('Data Entry'!$ñ$669), "", 'Data Entry'!$ñ$669)</f>
      </c>
      <c r="FV669">
        <f>IF(ISBLANK('Data Entry'!$ò$669), "", 'Data Entry'!$ò$669)</f>
      </c>
      <c r="FW669">
        <f>IF(ISBLANK('Data Entry'!$ó$669), "", 'Data Entry'!$ó$669)</f>
      </c>
      <c r="FX669">
        <f>IF(ISBLANK('Data Entry'!$ô$669), "", 'Data Entry'!$ô$669)</f>
      </c>
      <c r="FY669">
        <f>IF(ISBLANK('Data Entry'!$õ$669), "", 'Data Entry'!$õ$669)</f>
      </c>
      <c r="FZ669">
        <f>IF(ISBLANK('Data Entry'!$ö$669), "", 'Data Entry'!$ö$669)</f>
      </c>
      <c r="GA669">
        <f>IF(ISBLANK('Data Entry'!$÷$669), "", 'Data Entry'!$÷$669)</f>
      </c>
      <c r="GB669">
        <f>IF(ISBLANK('Data Entry'!$ø$669), "", 'Data Entry'!$ø$669)</f>
      </c>
      <c r="GC669">
        <f>IF(ISBLANK('Data Entry'!$ù$669), "", 'Data Entry'!$ù$669)</f>
      </c>
      <c r="GD669">
        <f>IF(ISBLANK('Data Entry'!$ú$669), "", 'Data Entry'!$ú$669)</f>
      </c>
      <c r="GE669">
        <f>IF(ISBLANK('Data Entry'!$û$669), "", 'Data Entry'!$û$669)</f>
      </c>
      <c r="GF669">
        <f>IF(ISBLANK('Data Entry'!$ü$669), "", 'Data Entry'!$ü$669)</f>
      </c>
      <c r="GG669">
        <f>IF(ISBLANK('Data Entry'!$ý$669), "", 'Data Entry'!$ý$669)</f>
      </c>
      <c r="GH669">
        <f>IF(ISBLANK('Data Entry'!$þ$669), "", 'Data Entry'!$þ$669)</f>
      </c>
      <c r="GI669">
        <f>IF(ISBLANK('Data Entry'!$ÿ$669), "", 'Data Entry'!$ÿ$669)</f>
      </c>
      <c r="GJ669">
        <f>IF(ISBLANK('Data Entry'!$Ā$669), "", 'Data Entry'!$Ā$669)</f>
      </c>
      <c r="GK669">
        <f>IF(ISBLANK('Data Entry'!$ā$669), "", 'Data Entry'!$ā$669)</f>
      </c>
      <c r="GL669">
        <f>IF(ISBLANK('Data Entry'!$Ă$669), "", 'Data Entry'!$Ă$669)</f>
      </c>
      <c r="GM669">
        <f>IF(ISBLANK('Data Entry'!$ă$669), "", 'Data Entry'!$ă$669)</f>
      </c>
      <c r="GN669">
        <f>IF(ISBLANK('Data Entry'!$Ą$669), "", 'Data Entry'!$Ą$669)</f>
      </c>
      <c r="GO669">
        <f>IF(ISBLANK('Data Entry'!$ą$669), "", 'Data Entry'!$ą$669)</f>
      </c>
      <c r="GP669">
        <f>IF(ISBLANK('Data Entry'!$Ć$669), "", 'Data Entry'!$Ć$669)</f>
      </c>
      <c r="GQ669">
        <f>IF(ISBLANK('Data Entry'!$ć$669), "", 'Data Entry'!$ć$669)</f>
      </c>
      <c r="GR669">
        <f>IF(ISBLANK('Data Entry'!$Ĉ$669), "", 'Data Entry'!$Ĉ$669)</f>
      </c>
      <c r="GS669">
        <f>IF(ISBLANK('Data Entry'!$ĉ$669), "", 'Data Entry'!$ĉ$669)</f>
      </c>
      <c r="GT669">
        <f>IF(ISBLANK('Data Entry'!$Ċ$669), "", 'Data Entry'!$Ċ$669)</f>
      </c>
      <c r="GU669">
        <f>IF(ISBLANK('Data Entry'!$ċ$669), "", 'Data Entry'!$ċ$669)</f>
      </c>
      <c r="GV669">
        <f>IF(ISBLANK('Data Entry'!$Č$669), "", 'Data Entry'!$Č$669)</f>
      </c>
      <c r="GW669">
        <f>IF(ISBLANK('Data Entry'!$č$669), "", 'Data Entry'!$č$669)</f>
      </c>
      <c r="GX669">
        <f>IF(ISBLANK('Data Entry'!$Ď$669), "", 'Data Entry'!$Ď$669)</f>
      </c>
      <c r="GY669">
        <f>IF(ISBLANK('Data Entry'!$ď$669), "", 'Data Entry'!$ď$669)</f>
      </c>
      <c r="GZ669">
        <f>IF(ISBLANK('Data Entry'!$Đ$669), "", 'Data Entry'!$Đ$669)</f>
      </c>
      <c r="HA669">
        <f>IF(ISBLANK('Data Entry'!$đ$669), "", 'Data Entry'!$đ$669)</f>
      </c>
      <c r="HB669">
        <f>IF(ISBLANK('Data Entry'!$Ē$669), "", 'Data Entry'!$Ē$669)</f>
      </c>
      <c r="HC669">
        <f>IF(ISBLANK('Data Entry'!$ē$669), "", 'Data Entry'!$ē$669)</f>
      </c>
      <c r="HD669">
        <f>IF(ISBLANK('Data Entry'!$Ĕ$669), "", 'Data Entry'!$Ĕ$669)</f>
      </c>
      <c r="HE669">
        <f>IF(ISBLANK('Data Entry'!$ĕ$669), "", 'Data Entry'!$ĕ$669)</f>
      </c>
      <c r="HF669">
        <f>IF(ISBLANK('Data Entry'!$Ė$669), "", 'Data Entry'!$Ė$669)</f>
      </c>
      <c r="HG669">
        <f>IF(ISBLANK('Data Entry'!$ė$669), "", 'Data Entry'!$ė$669)</f>
      </c>
      <c r="HH669">
        <f>IF(ISBLANK('Data Entry'!$Ę$669), "", 'Data Entry'!$Ę$669)</f>
      </c>
      <c r="HI669">
        <f>IF(ISBLANK('Data Entry'!$ę$669), "", 'Data Entry'!$ę$669)</f>
      </c>
      <c r="HJ669">
        <f>IF(ISBLANK('Data Entry'!$Ě$669), "", 'Data Entry'!$Ě$669)</f>
      </c>
      <c r="HK669">
        <f>IF(ISBLANK('Data Entry'!$ě$669), "", 'Data Entry'!$ě$669)</f>
      </c>
      <c r="HL669">
        <f>IF(ISBLANK('Data Entry'!$Ĝ$669), "", 'Data Entry'!$Ĝ$669)</f>
      </c>
      <c r="HM669">
        <f>IF(ISBLANK('Data Entry'!$ĝ$669), "", 'Data Entry'!$ĝ$669)</f>
      </c>
      <c r="HN669">
        <f>IF(ISBLANK('Data Entry'!$Ğ$669), "", 'Data Entry'!$Ğ$669)</f>
      </c>
      <c r="HO669">
        <f>IF(ISBLANK('Data Entry'!$ğ$669), "", 'Data Entry'!$ğ$669)</f>
      </c>
      <c r="HP669">
        <f>IF(ISBLANK('Data Entry'!$Ġ$669), "", 'Data Entry'!$Ġ$669)</f>
      </c>
      <c r="HQ669">
        <f>IF(ISBLANK('Data Entry'!$ġ$669), "", 'Data Entry'!$ġ$669)</f>
      </c>
      <c r="HR669">
        <f>IF(ISBLANK('Data Entry'!$Ģ$669), "", 'Data Entry'!$Ģ$669)</f>
      </c>
      <c r="HS669">
        <f>IF(ISBLANK('Data Entry'!$ģ$669), "", 'Data Entry'!$ģ$669)</f>
      </c>
      <c r="HT669">
        <f>IF(ISBLANK('Data Entry'!$Ĥ$669), "", 'Data Entry'!$Ĥ$669)</f>
      </c>
      <c r="HU669">
        <f>IF(ISBLANK('Data Entry'!$ĥ$669), "", 'Data Entry'!$ĥ$669)</f>
      </c>
      <c r="HV669">
        <f>IF(ISBLANK('Data Entry'!$Ħ$669), "", 'Data Entry'!$Ħ$669)</f>
      </c>
      <c r="HW669">
        <f>IF(ISBLANK('Data Entry'!$ħ$669), "", 'Data Entry'!$ħ$669)</f>
      </c>
      <c r="HX669">
        <f>IF(ISBLANK('Data Entry'!$Ĩ$669), "", 'Data Entry'!$Ĩ$669)</f>
      </c>
      <c r="HY669">
        <f>IF(ISBLANK('Data Entry'!$ĩ$669), "", 'Data Entry'!$ĩ$669)</f>
      </c>
      <c r="HZ669">
        <f>IF(ISBLANK('Data Entry'!$Ī$669), "", 'Data Entry'!$Ī$669)</f>
      </c>
      <c r="IA669">
        <f>IF(ISBLANK('Data Entry'!$ī$669), "", 'Data Entry'!$ī$669)</f>
      </c>
      <c r="IB669">
        <f>IF(ISBLANK('Data Entry'!$Ĭ$669), "", 'Data Entry'!$Ĭ$669)</f>
      </c>
      <c r="IC669">
        <f>IF(ISBLANK('Data Entry'!$ĭ$669), "", 'Data Entry'!$ĭ$669)</f>
      </c>
      <c r="ID669">
        <f>IF(ISBLANK('Data Entry'!$Į$669), "", 'Data Entry'!$Į$669)</f>
      </c>
      <c r="IE669">
        <f>IF(ISBLANK('Data Entry'!$į$669), "", 'Data Entry'!$į$669)</f>
      </c>
      <c r="IF669">
        <f>IF(ISBLANK('Data Entry'!$İ$669), "", 'Data Entry'!$İ$669)</f>
      </c>
      <c r="IG669">
        <f>IF(ISBLANK('Data Entry'!$ı$669), "", 'Data Entry'!$ı$669)</f>
      </c>
      <c r="IH669">
        <f>IF(ISBLANK('Data Entry'!$Ĳ$669), "", 'Data Entry'!$Ĳ$669)</f>
      </c>
      <c r="II669">
        <f>IF(ISBLANK('Data Entry'!$ĳ$669), "", 'Data Entry'!$ĳ$669)</f>
      </c>
      <c r="IJ669">
        <f>IF(ISBLANK('Data Entry'!$Ĵ$669), "", 'Data Entry'!$Ĵ$669)</f>
      </c>
      <c r="IK669">
        <f>IF(ISBLANK('Data Entry'!$ĵ$669), "", 'Data Entry'!$ĵ$669)</f>
      </c>
      <c r="IL669">
        <f>IF(ISBLANK('Data Entry'!$Ķ$669), "", 'Data Entry'!$Ķ$669)</f>
      </c>
      <c r="IM669">
        <f>IF(ISBLANK('Data Entry'!$ķ$669), "", 'Data Entry'!$ķ$669)</f>
      </c>
      <c r="IN669">
        <f>IF(ISBLANK('Data Entry'!$ĸ$669), "", 'Data Entry'!$ĸ$669)</f>
      </c>
      <c r="IO669">
        <f>IF(ISBLANK('Data Entry'!$Ĺ$669), "", 'Data Entry'!$Ĺ$669)</f>
      </c>
      <c r="IP669">
        <f>IF(ISBLANK('Data Entry'!$ĺ$669), "", 'Data Entry'!$ĺ$669)</f>
      </c>
      <c r="IQ669">
        <f>IF(ISBLANK('Data Entry'!$Ļ$669), "", 'Data Entry'!$Ļ$669)</f>
      </c>
      <c r="IR669">
        <f>IF(ISBLANK('Data Entry'!$ļ$669), "", 'Data Entry'!$ļ$669)</f>
      </c>
      <c r="IS669">
        <f>IF(ISBLANK('Data Entry'!$Ľ$669), "", 'Data Entry'!$Ľ$669)</f>
      </c>
      <c r="IT669">
        <f>IF(ISBLANK('Data Entry'!$ľ$669), "", 'Data Entry'!$ľ$669)</f>
      </c>
    </row>
    <row r="670" spans="1:254" x14ac:dyDescent="0.25">
      <c r="A670">
        <f>IF(ISBLANK('Data Entry'!$A$670), "", 'Data Entry'!$A$670)</f>
      </c>
      <c r="B670">
        <f>IF(ISBLANK('Data Entry'!$B$670), "", 'Data Entry'!$B$670)</f>
      </c>
      <c r="C670">
        <f>IF(ISBLANK('Data Entry'!$C$670), "", 'Data Entry'!$C$670)</f>
      </c>
      <c r="D670">
        <f>IF(ISBLANK('Data Entry'!$D$670), "", 'Data Entry'!$D$670)</f>
      </c>
      <c r="E670">
        <f>IF(ISBLANK('Data Entry'!$E$670), "", 'Data Entry'!$E$670)</f>
      </c>
      <c r="F670">
        <f>IF(ISBLANK('Data Entry'!$F$670), "", 'Data Entry'!$F$670)</f>
      </c>
      <c r="G670">
        <f>IF(ISBLANK('Data Entry'!$G$670), "", 'Data Entry'!$G$670)</f>
      </c>
      <c r="H670">
        <f>IF(ISBLANK('Data Entry'!$H$670), "", 'Data Entry'!$H$670)</f>
      </c>
      <c r="I670">
        <f>IF(ISBLANK('Data Entry'!$I$670), "", 'Data Entry'!$I$670)</f>
      </c>
      <c r="J670">
        <f>IF(ISBLANK('Data Entry'!$J$670), "", 'Data Entry'!$J$670)</f>
      </c>
      <c r="K670">
        <f>IF(ISBLANK('Data Entry'!$K$670), "", 'Data Entry'!$K$670)</f>
      </c>
      <c r="L670">
        <f>IF(ISBLANK('Data Entry'!$L$670), "", 'Data Entry'!$L$670)</f>
      </c>
      <c r="M670">
        <f>IF(ISBLANK('Data Entry'!$M$670), "", 'Data Entry'!$M$670)</f>
      </c>
      <c r="N670">
        <f>IF(ISBLANK('Data Entry'!$N$670), "", 'Data Entry'!$N$670)</f>
      </c>
      <c r="O670">
        <f>IF(ISBLANK('Data Entry'!$O$670), "", 'Data Entry'!$O$670)</f>
      </c>
      <c r="P670">
        <f>IF(ISBLANK('Data Entry'!$P$670), "", 'Data Entry'!$P$670)</f>
      </c>
      <c r="Q670">
        <f>IF(ISBLANK('Data Entry'!$Q$670), "", 'Data Entry'!$Q$670)</f>
      </c>
      <c r="R670">
        <f>IF(ISBLANK('Data Entry'!$R$670), "", 'Data Entry'!$R$670)</f>
      </c>
      <c r="S670">
        <f>IF(ISBLANK('Data Entry'!$S$670), "", 'Data Entry'!$S$670)</f>
      </c>
      <c r="T670">
        <f>IF(ISBLANK('Data Entry'!$T$670), "", 'Data Entry'!$T$670)</f>
      </c>
      <c r="U670">
        <f>IF(ISBLANK('Data Entry'!$U$670), "", 'Data Entry'!$U$670)</f>
      </c>
      <c r="V670">
        <f>IF(ISBLANK('Data Entry'!$V$670), "", 'Data Entry'!$V$670)</f>
      </c>
      <c r="W670">
        <f>IF(ISBLANK('Data Entry'!$W$670), "", 'Data Entry'!$W$670)</f>
      </c>
      <c r="X670">
        <f>IF(ISBLANK('Data Entry'!$X$670), "", 'Data Entry'!$X$670)</f>
      </c>
      <c r="Y670">
        <f>IF(ISBLANK('Data Entry'!$Y$670), "", 'Data Entry'!$Y$670)</f>
      </c>
      <c r="Z670">
        <f>IF(ISBLANK('Data Entry'!$Z$670), "", 'Data Entry'!$Z$670)</f>
      </c>
      <c r="AA670">
        <f>IF(ISBLANK('Data Entry'!$[$670), "", 'Data Entry'!$[$670)</f>
      </c>
      <c r="AB670">
        <f>IF(ISBLANK('Data Entry'!$\$670), "", 'Data Entry'!$\$670)</f>
      </c>
      <c r="AC670">
        <f>IF(ISBLANK('Data Entry'!$]$670), "", 'Data Entry'!$]$670)</f>
      </c>
      <c r="AD670">
        <f>IF(ISBLANK('Data Entry'!$^$670), "", 'Data Entry'!$^$670)</f>
      </c>
      <c r="AE670">
        <f>IF(ISBLANK('Data Entry'!$_$670), "", 'Data Entry'!$_$670)</f>
      </c>
      <c r="AF670">
        <f>IF(ISBLANK('Data Entry'!$`$670), "", 'Data Entry'!$`$670)</f>
      </c>
      <c r="AG670">
        <f>IF(ISBLANK('Data Entry'!$a$670), "", 'Data Entry'!$a$670)</f>
      </c>
      <c r="AH670">
        <f>IF(ISBLANK('Data Entry'!$b$670), "", 'Data Entry'!$b$670)</f>
      </c>
      <c r="AI670">
        <f>IF(ISBLANK('Data Entry'!$c$670), "", 'Data Entry'!$c$670)</f>
      </c>
      <c r="AJ670">
        <f>IF(ISBLANK('Data Entry'!$d$670), "", 'Data Entry'!$d$670)</f>
      </c>
      <c r="AK670">
        <f>IF(ISBLANK('Data Entry'!$e$670), "", 'Data Entry'!$e$670)</f>
      </c>
      <c r="AL670">
        <f>IF(ISBLANK('Data Entry'!$f$670), "", 'Data Entry'!$f$670)</f>
      </c>
      <c r="AM670">
        <f>IF(ISBLANK('Data Entry'!$g$670), "", 'Data Entry'!$g$670)</f>
      </c>
      <c r="AN670">
        <f>IF(ISBLANK('Data Entry'!$h$670), "", 'Data Entry'!$h$670)</f>
      </c>
      <c r="AO670">
        <f>IF(ISBLANK('Data Entry'!$i$670), "", 'Data Entry'!$i$670)</f>
      </c>
      <c r="AP670">
        <f>IF(ISBLANK('Data Entry'!$j$670), "", 'Data Entry'!$j$670)</f>
      </c>
      <c r="AQ670">
        <f>IF(ISBLANK('Data Entry'!$k$670), "", 'Data Entry'!$k$670)</f>
      </c>
      <c r="AR670">
        <f>IF(ISBLANK('Data Entry'!$l$670), "", 'Data Entry'!$l$670)</f>
      </c>
      <c r="AS670">
        <f>IF(ISBLANK('Data Entry'!$m$670), "", 'Data Entry'!$m$670)</f>
      </c>
      <c r="AT670">
        <f>IF(ISBLANK('Data Entry'!$n$670), "", 'Data Entry'!$n$670)</f>
      </c>
      <c r="AU670">
        <f>IF(ISBLANK('Data Entry'!$o$670), "", 'Data Entry'!$o$670)</f>
      </c>
      <c r="AV670">
        <f>IF(ISBLANK('Data Entry'!$p$670), "", 'Data Entry'!$p$670)</f>
      </c>
      <c r="AW670">
        <f>IF(ISBLANK('Data Entry'!$q$670), "", 'Data Entry'!$q$670)</f>
      </c>
      <c r="AX670">
        <f>IF(ISBLANK('Data Entry'!$r$670), "", 'Data Entry'!$r$670)</f>
      </c>
      <c r="AY670">
        <f>IF(ISBLANK('Data Entry'!$s$670), "", 'Data Entry'!$s$670)</f>
      </c>
      <c r="AZ670">
        <f>IF(ISBLANK('Data Entry'!$t$670), "", 'Data Entry'!$t$670)</f>
      </c>
      <c r="BA670">
        <f>IF(ISBLANK('Data Entry'!$u$670), "", 'Data Entry'!$u$670)</f>
      </c>
      <c r="BB670">
        <f>IF(ISBLANK('Data Entry'!$v$670), "", 'Data Entry'!$v$670)</f>
      </c>
      <c r="BC670">
        <f>IF(ISBLANK('Data Entry'!$w$670), "", 'Data Entry'!$w$670)</f>
      </c>
      <c r="BD670">
        <f>IF(ISBLANK('Data Entry'!$x$670), "", 'Data Entry'!$x$670)</f>
      </c>
      <c r="BE670">
        <f>IF(ISBLANK('Data Entry'!$y$670), "", 'Data Entry'!$y$670)</f>
      </c>
      <c r="BF670">
        <f>IF(ISBLANK('Data Entry'!$z$670), "", 'Data Entry'!$z$670)</f>
      </c>
      <c r="BG670">
        <f>IF(ISBLANK('Data Entry'!${$670), "", 'Data Entry'!${$670)</f>
      </c>
      <c r="BH670">
        <f>IF(ISBLANK('Data Entry'!$|$670), "", 'Data Entry'!$|$670)</f>
      </c>
      <c r="BI670">
        <f>IF(ISBLANK('Data Entry'!$}$670), "", 'Data Entry'!$}$670)</f>
      </c>
      <c r="BJ670">
        <f>IF(ISBLANK('Data Entry'!$~$670), "", 'Data Entry'!$~$670)</f>
      </c>
      <c r="BK670">
        <f>IF(ISBLANK('Data Entry'!$$670), "", 'Data Entry'!$$670)</f>
      </c>
      <c r="BL670">
        <f>IF(ISBLANK('Data Entry'!$$670), "", 'Data Entry'!$$670)</f>
      </c>
      <c r="BM670">
        <f>IF(ISBLANK('Data Entry'!$$670), "", 'Data Entry'!$$670)</f>
      </c>
      <c r="BN670">
        <f>IF(ISBLANK('Data Entry'!$$670), "", 'Data Entry'!$$670)</f>
      </c>
      <c r="BO670">
        <f>IF(ISBLANK('Data Entry'!$$670), "", 'Data Entry'!$$670)</f>
      </c>
      <c r="BP670">
        <f>IF(ISBLANK('Data Entry'!$$670), "", 'Data Entry'!$$670)</f>
      </c>
      <c r="BQ670">
        <f>IF(ISBLANK('Data Entry'!$$670), "", 'Data Entry'!$$670)</f>
      </c>
      <c r="BR670">
        <f>IF(ISBLANK('Data Entry'!$$670), "", 'Data Entry'!$$670)</f>
      </c>
      <c r="BS670">
        <f>IF(ISBLANK('Data Entry'!$$670), "", 'Data Entry'!$$670)</f>
      </c>
      <c r="BT670">
        <f>IF(ISBLANK('Data Entry'!$$670), "", 'Data Entry'!$$670)</f>
      </c>
      <c r="BU670">
        <f>IF(ISBLANK('Data Entry'!$$670), "", 'Data Entry'!$$670)</f>
      </c>
      <c r="BV670">
        <f>IF(ISBLANK('Data Entry'!$$670), "", 'Data Entry'!$$670)</f>
      </c>
      <c r="BW670">
        <f>IF(ISBLANK('Data Entry'!$$670), "", 'Data Entry'!$$670)</f>
      </c>
      <c r="BX670">
        <f>IF(ISBLANK('Data Entry'!$$670), "", 'Data Entry'!$$670)</f>
      </c>
      <c r="BY670">
        <f>IF(ISBLANK('Data Entry'!$$670), "", 'Data Entry'!$$670)</f>
      </c>
      <c r="BZ670">
        <f>IF(ISBLANK('Data Entry'!$$670), "", 'Data Entry'!$$670)</f>
      </c>
      <c r="CA670">
        <f>IF(ISBLANK('Data Entry'!$$670), "", 'Data Entry'!$$670)</f>
      </c>
      <c r="CB670">
        <f>IF(ISBLANK('Data Entry'!$$670), "", 'Data Entry'!$$670)</f>
      </c>
      <c r="CC670">
        <f>IF(ISBLANK('Data Entry'!$$670), "", 'Data Entry'!$$670)</f>
      </c>
      <c r="CD670">
        <f>IF(ISBLANK('Data Entry'!$$670), "", 'Data Entry'!$$670)</f>
      </c>
      <c r="CE670">
        <f>IF(ISBLANK('Data Entry'!$$670), "", 'Data Entry'!$$670)</f>
      </c>
      <c r="CF670">
        <f>IF(ISBLANK('Data Entry'!$$670), "", 'Data Entry'!$$670)</f>
      </c>
      <c r="CG670">
        <f>IF(ISBLANK('Data Entry'!$$670), "", 'Data Entry'!$$670)</f>
      </c>
      <c r="CH670">
        <f>IF(ISBLANK('Data Entry'!$$670), "", 'Data Entry'!$$670)</f>
      </c>
      <c r="CI670">
        <f>IF(ISBLANK('Data Entry'!$$670), "", 'Data Entry'!$$670)</f>
      </c>
      <c r="CJ670">
        <f>IF(ISBLANK('Data Entry'!$$670), "", 'Data Entry'!$$670)</f>
      </c>
      <c r="CK670">
        <f>IF(ISBLANK('Data Entry'!$$670), "", 'Data Entry'!$$670)</f>
      </c>
      <c r="CL670">
        <f>IF(ISBLANK('Data Entry'!$$670), "", 'Data Entry'!$$670)</f>
      </c>
      <c r="CM670">
        <f>IF(ISBLANK('Data Entry'!$$670), "", 'Data Entry'!$$670)</f>
      </c>
      <c r="CN670">
        <f>IF(ISBLANK('Data Entry'!$$670), "", 'Data Entry'!$$670)</f>
      </c>
      <c r="CO670">
        <f>IF(ISBLANK('Data Entry'!$$670), "", 'Data Entry'!$$670)</f>
      </c>
      <c r="CP670">
        <f>IF(ISBLANK('Data Entry'!$$670), "", 'Data Entry'!$$670)</f>
      </c>
      <c r="CQ670">
        <f>IF(ISBLANK('Data Entry'!$$670), "", 'Data Entry'!$$670)</f>
      </c>
      <c r="CR670">
        <f>IF(ISBLANK('Data Entry'!$ $670), "", 'Data Entry'!$ $670)</f>
      </c>
      <c r="CS670">
        <f>IF(ISBLANK('Data Entry'!$¡$670), "", 'Data Entry'!$¡$670)</f>
      </c>
      <c r="CT670">
        <f>IF(ISBLANK('Data Entry'!$¢$670), "", 'Data Entry'!$¢$670)</f>
      </c>
      <c r="CU670">
        <f>IF(ISBLANK('Data Entry'!$£$670), "", 'Data Entry'!$£$670)</f>
      </c>
      <c r="CV670">
        <f>IF(ISBLANK('Data Entry'!$¤$670), "", 'Data Entry'!$¤$670)</f>
      </c>
      <c r="CW670">
        <f>IF(ISBLANK('Data Entry'!$¥$670), "", 'Data Entry'!$¥$670)</f>
      </c>
      <c r="CX670">
        <f>IF(ISBLANK('Data Entry'!$¦$670), "", 'Data Entry'!$¦$670)</f>
      </c>
      <c r="CY670">
        <f>IF(ISBLANK('Data Entry'!$§$670), "", 'Data Entry'!$§$670)</f>
      </c>
      <c r="CZ670">
        <f>IF(ISBLANK('Data Entry'!$¨$670), "", 'Data Entry'!$¨$670)</f>
      </c>
      <c r="DA670">
        <f>IF(ISBLANK('Data Entry'!$©$670), "", 'Data Entry'!$©$670)</f>
      </c>
      <c r="DB670">
        <f>IF(ISBLANK('Data Entry'!$ª$670), "", 'Data Entry'!$ª$670)</f>
      </c>
      <c r="DC670">
        <f>IF(ISBLANK('Data Entry'!$«$670), "", 'Data Entry'!$«$670)</f>
      </c>
      <c r="DD670">
        <f>IF(ISBLANK('Data Entry'!$¬$670), "", 'Data Entry'!$¬$670)</f>
      </c>
      <c r="DE670">
        <f>IF(ISBLANK('Data Entry'!$­$670), "", 'Data Entry'!$­$670)</f>
      </c>
      <c r="DF670">
        <f>IF(ISBLANK('Data Entry'!$®$670), "", 'Data Entry'!$®$670)</f>
      </c>
      <c r="DG670">
        <f>IF(ISBLANK('Data Entry'!$¯$670), "", 'Data Entry'!$¯$670)</f>
      </c>
      <c r="DH670">
        <f>IF(ISBLANK('Data Entry'!$°$670), "", 'Data Entry'!$°$670)</f>
      </c>
      <c r="DI670">
        <f>IF(ISBLANK('Data Entry'!$±$670), "", 'Data Entry'!$±$670)</f>
      </c>
      <c r="DJ670">
        <f>IF(ISBLANK('Data Entry'!$²$670), "", 'Data Entry'!$²$670)</f>
      </c>
      <c r="DK670">
        <f>IF(ISBLANK('Data Entry'!$³$670), "", 'Data Entry'!$³$670)</f>
      </c>
      <c r="DL670">
        <f>IF(ISBLANK('Data Entry'!$´$670), "", 'Data Entry'!$´$670)</f>
      </c>
      <c r="DM670">
        <f>IF(ISBLANK('Data Entry'!$µ$670), "", 'Data Entry'!$µ$670)</f>
      </c>
      <c r="DN670">
        <f>IF(ISBLANK('Data Entry'!$¶$670), "", 'Data Entry'!$¶$670)</f>
      </c>
      <c r="DO670">
        <f>IF(ISBLANK('Data Entry'!$·$670), "", 'Data Entry'!$·$670)</f>
      </c>
      <c r="DP670">
        <f>IF(ISBLANK('Data Entry'!$¸$670), "", 'Data Entry'!$¸$670)</f>
      </c>
      <c r="DQ670">
        <f>IF(ISBLANK('Data Entry'!$¹$670), "", 'Data Entry'!$¹$670)</f>
      </c>
      <c r="DR670">
        <f>IF(ISBLANK('Data Entry'!$º$670), "", 'Data Entry'!$º$670)</f>
      </c>
      <c r="DS670">
        <f>IF(ISBLANK('Data Entry'!$»$670), "", 'Data Entry'!$»$670)</f>
      </c>
      <c r="DT670">
        <f>IF(ISBLANK('Data Entry'!$¼$670), "", 'Data Entry'!$¼$670)</f>
      </c>
      <c r="DU670">
        <f>IF(ISBLANK('Data Entry'!$½$670), "", 'Data Entry'!$½$670)</f>
      </c>
      <c r="DV670">
        <f>IF(ISBLANK('Data Entry'!$¾$670), "", 'Data Entry'!$¾$670)</f>
      </c>
      <c r="DW670">
        <f>IF(ISBLANK('Data Entry'!$¿$670), "", 'Data Entry'!$¿$670)</f>
      </c>
      <c r="DX670">
        <f>IF(ISBLANK('Data Entry'!$À$670), "", 'Data Entry'!$À$670)</f>
      </c>
      <c r="DY670">
        <f>IF(ISBLANK('Data Entry'!$Á$670), "", 'Data Entry'!$Á$670)</f>
      </c>
      <c r="DZ670">
        <f>IF(ISBLANK('Data Entry'!$Â$670), "", 'Data Entry'!$Â$670)</f>
      </c>
      <c r="EA670">
        <f>IF(ISBLANK('Data Entry'!$Ã$670), "", 'Data Entry'!$Ã$670)</f>
      </c>
      <c r="EB670">
        <f>IF(ISBLANK('Data Entry'!$Ä$670), "", 'Data Entry'!$Ä$670)</f>
      </c>
      <c r="EC670">
        <f>IF(ISBLANK('Data Entry'!$Å$670), "", 'Data Entry'!$Å$670)</f>
      </c>
      <c r="ED670">
        <f>IF(ISBLANK('Data Entry'!$Æ$670), "", 'Data Entry'!$Æ$670)</f>
      </c>
      <c r="EE670">
        <f>IF(ISBLANK('Data Entry'!$Ç$670), "", 'Data Entry'!$Ç$670)</f>
      </c>
      <c r="EF670">
        <f>IF(ISBLANK('Data Entry'!$È$670), "", 'Data Entry'!$È$670)</f>
      </c>
      <c r="EG670">
        <f>IF(ISBLANK('Data Entry'!$É$670), "", 'Data Entry'!$É$670)</f>
      </c>
      <c r="EH670">
        <f>IF(ISBLANK('Data Entry'!$Ê$670), "", 'Data Entry'!$Ê$670)</f>
      </c>
      <c r="EI670">
        <f>IF(ISBLANK('Data Entry'!$Ë$670), "", 'Data Entry'!$Ë$670)</f>
      </c>
      <c r="EJ670">
        <f>IF(ISBLANK('Data Entry'!$Ì$670), "", 'Data Entry'!$Ì$670)</f>
      </c>
      <c r="EK670">
        <f>IF(ISBLANK('Data Entry'!$Í$670), "", 'Data Entry'!$Í$670)</f>
      </c>
      <c r="EL670">
        <f>IF(ISBLANK('Data Entry'!$Î$670), "", 'Data Entry'!$Î$670)</f>
      </c>
      <c r="EM670">
        <f>IF(ISBLANK('Data Entry'!$Ï$670), "", 'Data Entry'!$Ï$670)</f>
      </c>
      <c r="EN670">
        <f>IF(ISBLANK('Data Entry'!$Ð$670), "", 'Data Entry'!$Ð$670)</f>
      </c>
      <c r="EO670">
        <f>IF(ISBLANK('Data Entry'!$Ñ$670), "", 'Data Entry'!$Ñ$670)</f>
      </c>
      <c r="EP670">
        <f>IF(ISBLANK('Data Entry'!$Ò$670), "", 'Data Entry'!$Ò$670)</f>
      </c>
      <c r="EQ670">
        <f>IF(ISBLANK('Data Entry'!$Ó$670), "", 'Data Entry'!$Ó$670)</f>
      </c>
      <c r="ER670">
        <f>IF(ISBLANK('Data Entry'!$Ô$670), "", 'Data Entry'!$Ô$670)</f>
      </c>
      <c r="ES670">
        <f>IF(ISBLANK('Data Entry'!$Õ$670), "", 'Data Entry'!$Õ$670)</f>
      </c>
      <c r="ET670">
        <f>IF(ISBLANK('Data Entry'!$Ö$670), "", 'Data Entry'!$Ö$670)</f>
      </c>
      <c r="EU670">
        <f>IF(ISBLANK('Data Entry'!$×$670), "", 'Data Entry'!$×$670)</f>
      </c>
      <c r="EV670">
        <f>IF(ISBLANK('Data Entry'!$Ø$670), "", 'Data Entry'!$Ø$670)</f>
      </c>
      <c r="EW670">
        <f>IF(ISBLANK('Data Entry'!$Ù$670), "", 'Data Entry'!$Ù$670)</f>
      </c>
      <c r="EX670">
        <f>IF(ISBLANK('Data Entry'!$Ú$670), "", 'Data Entry'!$Ú$670)</f>
      </c>
      <c r="EY670">
        <f>IF(ISBLANK('Data Entry'!$Û$670), "", 'Data Entry'!$Û$670)</f>
      </c>
      <c r="EZ670">
        <f>IF(ISBLANK('Data Entry'!$Ü$670), "", 'Data Entry'!$Ü$670)</f>
      </c>
      <c r="FA670">
        <f>IF(ISBLANK('Data Entry'!$Ý$670), "", 'Data Entry'!$Ý$670)</f>
      </c>
      <c r="FB670">
        <f>IF(ISBLANK('Data Entry'!$Þ$670), "", 'Data Entry'!$Þ$670)</f>
      </c>
      <c r="FC670">
        <f>IF(ISBLANK('Data Entry'!$ß$670), "", 'Data Entry'!$ß$670)</f>
      </c>
      <c r="FD670">
        <f>IF(ISBLANK('Data Entry'!$à$670), "", 'Data Entry'!$à$670)</f>
      </c>
      <c r="FE670">
        <f>IF(ISBLANK('Data Entry'!$á$670), "", 'Data Entry'!$á$670)</f>
      </c>
      <c r="FF670">
        <f>IF(ISBLANK('Data Entry'!$â$670), "", 'Data Entry'!$â$670)</f>
      </c>
      <c r="FG670">
        <f>IF(ISBLANK('Data Entry'!$ã$670), "", 'Data Entry'!$ã$670)</f>
      </c>
      <c r="FH670">
        <f>IF(ISBLANK('Data Entry'!$ä$670), "", 'Data Entry'!$ä$670)</f>
      </c>
      <c r="FI670">
        <f>IF(ISBLANK('Data Entry'!$å$670), "", 'Data Entry'!$å$670)</f>
      </c>
      <c r="FJ670">
        <f>IF(ISBLANK('Data Entry'!$æ$670), "", 'Data Entry'!$æ$670)</f>
      </c>
      <c r="FK670">
        <f>IF(ISBLANK('Data Entry'!$ç$670), "", 'Data Entry'!$ç$670)</f>
      </c>
      <c r="FL670">
        <f>IF(ISBLANK('Data Entry'!$è$670), "", 'Data Entry'!$è$670)</f>
      </c>
      <c r="FM670">
        <f>IF(ISBLANK('Data Entry'!$é$670), "", 'Data Entry'!$é$670)</f>
      </c>
      <c r="FN670">
        <f>IF(ISBLANK('Data Entry'!$ê$670), "", 'Data Entry'!$ê$670)</f>
      </c>
      <c r="FO670">
        <f>IF(ISBLANK('Data Entry'!$ë$670), "", 'Data Entry'!$ë$670)</f>
      </c>
      <c r="FP670">
        <f>IF(ISBLANK('Data Entry'!$ì$670), "", 'Data Entry'!$ì$670)</f>
      </c>
      <c r="FQ670">
        <f>IF(ISBLANK('Data Entry'!$í$670), "", 'Data Entry'!$í$670)</f>
      </c>
      <c r="FR670">
        <f>IF(ISBLANK('Data Entry'!$î$670), "", 'Data Entry'!$î$670)</f>
      </c>
      <c r="FS670">
        <f>IF(ISBLANK('Data Entry'!$ï$670), "", 'Data Entry'!$ï$670)</f>
      </c>
      <c r="FT670">
        <f>IF(ISBLANK('Data Entry'!$ð$670), "", 'Data Entry'!$ð$670)</f>
      </c>
      <c r="FU670">
        <f>IF(ISBLANK('Data Entry'!$ñ$670), "", 'Data Entry'!$ñ$670)</f>
      </c>
      <c r="FV670">
        <f>IF(ISBLANK('Data Entry'!$ò$670), "", 'Data Entry'!$ò$670)</f>
      </c>
      <c r="FW670">
        <f>IF(ISBLANK('Data Entry'!$ó$670), "", 'Data Entry'!$ó$670)</f>
      </c>
      <c r="FX670">
        <f>IF(ISBLANK('Data Entry'!$ô$670), "", 'Data Entry'!$ô$670)</f>
      </c>
      <c r="FY670">
        <f>IF(ISBLANK('Data Entry'!$õ$670), "", 'Data Entry'!$õ$670)</f>
      </c>
      <c r="FZ670">
        <f>IF(ISBLANK('Data Entry'!$ö$670), "", 'Data Entry'!$ö$670)</f>
      </c>
      <c r="GA670">
        <f>IF(ISBLANK('Data Entry'!$÷$670), "", 'Data Entry'!$÷$670)</f>
      </c>
      <c r="GB670">
        <f>IF(ISBLANK('Data Entry'!$ø$670), "", 'Data Entry'!$ø$670)</f>
      </c>
      <c r="GC670">
        <f>IF(ISBLANK('Data Entry'!$ù$670), "", 'Data Entry'!$ù$670)</f>
      </c>
      <c r="GD670">
        <f>IF(ISBLANK('Data Entry'!$ú$670), "", 'Data Entry'!$ú$670)</f>
      </c>
      <c r="GE670">
        <f>IF(ISBLANK('Data Entry'!$û$670), "", 'Data Entry'!$û$670)</f>
      </c>
      <c r="GF670">
        <f>IF(ISBLANK('Data Entry'!$ü$670), "", 'Data Entry'!$ü$670)</f>
      </c>
      <c r="GG670">
        <f>IF(ISBLANK('Data Entry'!$ý$670), "", 'Data Entry'!$ý$670)</f>
      </c>
      <c r="GH670">
        <f>IF(ISBLANK('Data Entry'!$þ$670), "", 'Data Entry'!$þ$670)</f>
      </c>
      <c r="GI670">
        <f>IF(ISBLANK('Data Entry'!$ÿ$670), "", 'Data Entry'!$ÿ$670)</f>
      </c>
      <c r="GJ670">
        <f>IF(ISBLANK('Data Entry'!$Ā$670), "", 'Data Entry'!$Ā$670)</f>
      </c>
      <c r="GK670">
        <f>IF(ISBLANK('Data Entry'!$ā$670), "", 'Data Entry'!$ā$670)</f>
      </c>
      <c r="GL670">
        <f>IF(ISBLANK('Data Entry'!$Ă$670), "", 'Data Entry'!$Ă$670)</f>
      </c>
      <c r="GM670">
        <f>IF(ISBLANK('Data Entry'!$ă$670), "", 'Data Entry'!$ă$670)</f>
      </c>
      <c r="GN670">
        <f>IF(ISBLANK('Data Entry'!$Ą$670), "", 'Data Entry'!$Ą$670)</f>
      </c>
      <c r="GO670">
        <f>IF(ISBLANK('Data Entry'!$ą$670), "", 'Data Entry'!$ą$670)</f>
      </c>
      <c r="GP670">
        <f>IF(ISBLANK('Data Entry'!$Ć$670), "", 'Data Entry'!$Ć$670)</f>
      </c>
      <c r="GQ670">
        <f>IF(ISBLANK('Data Entry'!$ć$670), "", 'Data Entry'!$ć$670)</f>
      </c>
      <c r="GR670">
        <f>IF(ISBLANK('Data Entry'!$Ĉ$670), "", 'Data Entry'!$Ĉ$670)</f>
      </c>
      <c r="GS670">
        <f>IF(ISBLANK('Data Entry'!$ĉ$670), "", 'Data Entry'!$ĉ$670)</f>
      </c>
      <c r="GT670">
        <f>IF(ISBLANK('Data Entry'!$Ċ$670), "", 'Data Entry'!$Ċ$670)</f>
      </c>
      <c r="GU670">
        <f>IF(ISBLANK('Data Entry'!$ċ$670), "", 'Data Entry'!$ċ$670)</f>
      </c>
      <c r="GV670">
        <f>IF(ISBLANK('Data Entry'!$Č$670), "", 'Data Entry'!$Č$670)</f>
      </c>
      <c r="GW670">
        <f>IF(ISBLANK('Data Entry'!$č$670), "", 'Data Entry'!$č$670)</f>
      </c>
      <c r="GX670">
        <f>IF(ISBLANK('Data Entry'!$Ď$670), "", 'Data Entry'!$Ď$670)</f>
      </c>
      <c r="GY670">
        <f>IF(ISBLANK('Data Entry'!$ď$670), "", 'Data Entry'!$ď$670)</f>
      </c>
      <c r="GZ670">
        <f>IF(ISBLANK('Data Entry'!$Đ$670), "", 'Data Entry'!$Đ$670)</f>
      </c>
      <c r="HA670">
        <f>IF(ISBLANK('Data Entry'!$đ$670), "", 'Data Entry'!$đ$670)</f>
      </c>
      <c r="HB670">
        <f>IF(ISBLANK('Data Entry'!$Ē$670), "", 'Data Entry'!$Ē$670)</f>
      </c>
      <c r="HC670">
        <f>IF(ISBLANK('Data Entry'!$ē$670), "", 'Data Entry'!$ē$670)</f>
      </c>
      <c r="HD670">
        <f>IF(ISBLANK('Data Entry'!$Ĕ$670), "", 'Data Entry'!$Ĕ$670)</f>
      </c>
      <c r="HE670">
        <f>IF(ISBLANK('Data Entry'!$ĕ$670), "", 'Data Entry'!$ĕ$670)</f>
      </c>
      <c r="HF670">
        <f>IF(ISBLANK('Data Entry'!$Ė$670), "", 'Data Entry'!$Ė$670)</f>
      </c>
      <c r="HG670">
        <f>IF(ISBLANK('Data Entry'!$ė$670), "", 'Data Entry'!$ė$670)</f>
      </c>
      <c r="HH670">
        <f>IF(ISBLANK('Data Entry'!$Ę$670), "", 'Data Entry'!$Ę$670)</f>
      </c>
      <c r="HI670">
        <f>IF(ISBLANK('Data Entry'!$ę$670), "", 'Data Entry'!$ę$670)</f>
      </c>
      <c r="HJ670">
        <f>IF(ISBLANK('Data Entry'!$Ě$670), "", 'Data Entry'!$Ě$670)</f>
      </c>
      <c r="HK670">
        <f>IF(ISBLANK('Data Entry'!$ě$670), "", 'Data Entry'!$ě$670)</f>
      </c>
      <c r="HL670">
        <f>IF(ISBLANK('Data Entry'!$Ĝ$670), "", 'Data Entry'!$Ĝ$670)</f>
      </c>
      <c r="HM670">
        <f>IF(ISBLANK('Data Entry'!$ĝ$670), "", 'Data Entry'!$ĝ$670)</f>
      </c>
      <c r="HN670">
        <f>IF(ISBLANK('Data Entry'!$Ğ$670), "", 'Data Entry'!$Ğ$670)</f>
      </c>
      <c r="HO670">
        <f>IF(ISBLANK('Data Entry'!$ğ$670), "", 'Data Entry'!$ğ$670)</f>
      </c>
      <c r="HP670">
        <f>IF(ISBLANK('Data Entry'!$Ġ$670), "", 'Data Entry'!$Ġ$670)</f>
      </c>
      <c r="HQ670">
        <f>IF(ISBLANK('Data Entry'!$ġ$670), "", 'Data Entry'!$ġ$670)</f>
      </c>
      <c r="HR670">
        <f>IF(ISBLANK('Data Entry'!$Ģ$670), "", 'Data Entry'!$Ģ$670)</f>
      </c>
      <c r="HS670">
        <f>IF(ISBLANK('Data Entry'!$ģ$670), "", 'Data Entry'!$ģ$670)</f>
      </c>
      <c r="HT670">
        <f>IF(ISBLANK('Data Entry'!$Ĥ$670), "", 'Data Entry'!$Ĥ$670)</f>
      </c>
      <c r="HU670">
        <f>IF(ISBLANK('Data Entry'!$ĥ$670), "", 'Data Entry'!$ĥ$670)</f>
      </c>
      <c r="HV670">
        <f>IF(ISBLANK('Data Entry'!$Ħ$670), "", 'Data Entry'!$Ħ$670)</f>
      </c>
      <c r="HW670">
        <f>IF(ISBLANK('Data Entry'!$ħ$670), "", 'Data Entry'!$ħ$670)</f>
      </c>
      <c r="HX670">
        <f>IF(ISBLANK('Data Entry'!$Ĩ$670), "", 'Data Entry'!$Ĩ$670)</f>
      </c>
      <c r="HY670">
        <f>IF(ISBLANK('Data Entry'!$ĩ$670), "", 'Data Entry'!$ĩ$670)</f>
      </c>
      <c r="HZ670">
        <f>IF(ISBLANK('Data Entry'!$Ī$670), "", 'Data Entry'!$Ī$670)</f>
      </c>
      <c r="IA670">
        <f>IF(ISBLANK('Data Entry'!$ī$670), "", 'Data Entry'!$ī$670)</f>
      </c>
      <c r="IB670">
        <f>IF(ISBLANK('Data Entry'!$Ĭ$670), "", 'Data Entry'!$Ĭ$670)</f>
      </c>
      <c r="IC670">
        <f>IF(ISBLANK('Data Entry'!$ĭ$670), "", 'Data Entry'!$ĭ$670)</f>
      </c>
      <c r="ID670">
        <f>IF(ISBLANK('Data Entry'!$Į$670), "", 'Data Entry'!$Į$670)</f>
      </c>
      <c r="IE670">
        <f>IF(ISBLANK('Data Entry'!$į$670), "", 'Data Entry'!$į$670)</f>
      </c>
      <c r="IF670">
        <f>IF(ISBLANK('Data Entry'!$İ$670), "", 'Data Entry'!$İ$670)</f>
      </c>
      <c r="IG670">
        <f>IF(ISBLANK('Data Entry'!$ı$670), "", 'Data Entry'!$ı$670)</f>
      </c>
      <c r="IH670">
        <f>IF(ISBLANK('Data Entry'!$Ĳ$670), "", 'Data Entry'!$Ĳ$670)</f>
      </c>
      <c r="II670">
        <f>IF(ISBLANK('Data Entry'!$ĳ$670), "", 'Data Entry'!$ĳ$670)</f>
      </c>
      <c r="IJ670">
        <f>IF(ISBLANK('Data Entry'!$Ĵ$670), "", 'Data Entry'!$Ĵ$670)</f>
      </c>
      <c r="IK670">
        <f>IF(ISBLANK('Data Entry'!$ĵ$670), "", 'Data Entry'!$ĵ$670)</f>
      </c>
      <c r="IL670">
        <f>IF(ISBLANK('Data Entry'!$Ķ$670), "", 'Data Entry'!$Ķ$670)</f>
      </c>
      <c r="IM670">
        <f>IF(ISBLANK('Data Entry'!$ķ$670), "", 'Data Entry'!$ķ$670)</f>
      </c>
      <c r="IN670">
        <f>IF(ISBLANK('Data Entry'!$ĸ$670), "", 'Data Entry'!$ĸ$670)</f>
      </c>
      <c r="IO670">
        <f>IF(ISBLANK('Data Entry'!$Ĺ$670), "", 'Data Entry'!$Ĺ$670)</f>
      </c>
      <c r="IP670">
        <f>IF(ISBLANK('Data Entry'!$ĺ$670), "", 'Data Entry'!$ĺ$670)</f>
      </c>
      <c r="IQ670">
        <f>IF(ISBLANK('Data Entry'!$Ļ$670), "", 'Data Entry'!$Ļ$670)</f>
      </c>
      <c r="IR670">
        <f>IF(ISBLANK('Data Entry'!$ļ$670), "", 'Data Entry'!$ļ$670)</f>
      </c>
      <c r="IS670">
        <f>IF(ISBLANK('Data Entry'!$Ľ$670), "", 'Data Entry'!$Ľ$670)</f>
      </c>
      <c r="IT670">
        <f>IF(ISBLANK('Data Entry'!$ľ$670), "", 'Data Entry'!$ľ$670)</f>
      </c>
    </row>
    <row r="671" spans="1:254" x14ac:dyDescent="0.25">
      <c r="A671">
        <f>IF(ISBLANK('Data Entry'!$A$671), "", 'Data Entry'!$A$671)</f>
      </c>
      <c r="B671">
        <f>IF(ISBLANK('Data Entry'!$B$671), "", 'Data Entry'!$B$671)</f>
      </c>
      <c r="C671">
        <f>IF(ISBLANK('Data Entry'!$C$671), "", 'Data Entry'!$C$671)</f>
      </c>
      <c r="D671">
        <f>IF(ISBLANK('Data Entry'!$D$671), "", 'Data Entry'!$D$671)</f>
      </c>
      <c r="E671">
        <f>IF(ISBLANK('Data Entry'!$E$671), "", 'Data Entry'!$E$671)</f>
      </c>
      <c r="F671">
        <f>IF(ISBLANK('Data Entry'!$F$671), "", 'Data Entry'!$F$671)</f>
      </c>
      <c r="G671">
        <f>IF(ISBLANK('Data Entry'!$G$671), "", 'Data Entry'!$G$671)</f>
      </c>
      <c r="H671">
        <f>IF(ISBLANK('Data Entry'!$H$671), "", 'Data Entry'!$H$671)</f>
      </c>
      <c r="I671">
        <f>IF(ISBLANK('Data Entry'!$I$671), "", 'Data Entry'!$I$671)</f>
      </c>
      <c r="J671">
        <f>IF(ISBLANK('Data Entry'!$J$671), "", 'Data Entry'!$J$671)</f>
      </c>
      <c r="K671">
        <f>IF(ISBLANK('Data Entry'!$K$671), "", 'Data Entry'!$K$671)</f>
      </c>
      <c r="L671">
        <f>IF(ISBLANK('Data Entry'!$L$671), "", 'Data Entry'!$L$671)</f>
      </c>
      <c r="M671">
        <f>IF(ISBLANK('Data Entry'!$M$671), "", 'Data Entry'!$M$671)</f>
      </c>
      <c r="N671">
        <f>IF(ISBLANK('Data Entry'!$N$671), "", 'Data Entry'!$N$671)</f>
      </c>
      <c r="O671">
        <f>IF(ISBLANK('Data Entry'!$O$671), "", 'Data Entry'!$O$671)</f>
      </c>
      <c r="P671">
        <f>IF(ISBLANK('Data Entry'!$P$671), "", 'Data Entry'!$P$671)</f>
      </c>
      <c r="Q671">
        <f>IF(ISBLANK('Data Entry'!$Q$671), "", 'Data Entry'!$Q$671)</f>
      </c>
      <c r="R671">
        <f>IF(ISBLANK('Data Entry'!$R$671), "", 'Data Entry'!$R$671)</f>
      </c>
      <c r="S671">
        <f>IF(ISBLANK('Data Entry'!$S$671), "", 'Data Entry'!$S$671)</f>
      </c>
      <c r="T671">
        <f>IF(ISBLANK('Data Entry'!$T$671), "", 'Data Entry'!$T$671)</f>
      </c>
      <c r="U671">
        <f>IF(ISBLANK('Data Entry'!$U$671), "", 'Data Entry'!$U$671)</f>
      </c>
      <c r="V671">
        <f>IF(ISBLANK('Data Entry'!$V$671), "", 'Data Entry'!$V$671)</f>
      </c>
      <c r="W671">
        <f>IF(ISBLANK('Data Entry'!$W$671), "", 'Data Entry'!$W$671)</f>
      </c>
      <c r="X671">
        <f>IF(ISBLANK('Data Entry'!$X$671), "", 'Data Entry'!$X$671)</f>
      </c>
      <c r="Y671">
        <f>IF(ISBLANK('Data Entry'!$Y$671), "", 'Data Entry'!$Y$671)</f>
      </c>
      <c r="Z671">
        <f>IF(ISBLANK('Data Entry'!$Z$671), "", 'Data Entry'!$Z$671)</f>
      </c>
      <c r="AA671">
        <f>IF(ISBLANK('Data Entry'!$[$671), "", 'Data Entry'!$[$671)</f>
      </c>
      <c r="AB671">
        <f>IF(ISBLANK('Data Entry'!$\$671), "", 'Data Entry'!$\$671)</f>
      </c>
      <c r="AC671">
        <f>IF(ISBLANK('Data Entry'!$]$671), "", 'Data Entry'!$]$671)</f>
      </c>
      <c r="AD671">
        <f>IF(ISBLANK('Data Entry'!$^$671), "", 'Data Entry'!$^$671)</f>
      </c>
      <c r="AE671">
        <f>IF(ISBLANK('Data Entry'!$_$671), "", 'Data Entry'!$_$671)</f>
      </c>
      <c r="AF671">
        <f>IF(ISBLANK('Data Entry'!$`$671), "", 'Data Entry'!$`$671)</f>
      </c>
      <c r="AG671">
        <f>IF(ISBLANK('Data Entry'!$a$671), "", 'Data Entry'!$a$671)</f>
      </c>
      <c r="AH671">
        <f>IF(ISBLANK('Data Entry'!$b$671), "", 'Data Entry'!$b$671)</f>
      </c>
      <c r="AI671">
        <f>IF(ISBLANK('Data Entry'!$c$671), "", 'Data Entry'!$c$671)</f>
      </c>
      <c r="AJ671">
        <f>IF(ISBLANK('Data Entry'!$d$671), "", 'Data Entry'!$d$671)</f>
      </c>
      <c r="AK671">
        <f>IF(ISBLANK('Data Entry'!$e$671), "", 'Data Entry'!$e$671)</f>
      </c>
      <c r="AL671">
        <f>IF(ISBLANK('Data Entry'!$f$671), "", 'Data Entry'!$f$671)</f>
      </c>
      <c r="AM671">
        <f>IF(ISBLANK('Data Entry'!$g$671), "", 'Data Entry'!$g$671)</f>
      </c>
      <c r="AN671">
        <f>IF(ISBLANK('Data Entry'!$h$671), "", 'Data Entry'!$h$671)</f>
      </c>
      <c r="AO671">
        <f>IF(ISBLANK('Data Entry'!$i$671), "", 'Data Entry'!$i$671)</f>
      </c>
      <c r="AP671">
        <f>IF(ISBLANK('Data Entry'!$j$671), "", 'Data Entry'!$j$671)</f>
      </c>
      <c r="AQ671">
        <f>IF(ISBLANK('Data Entry'!$k$671), "", 'Data Entry'!$k$671)</f>
      </c>
      <c r="AR671">
        <f>IF(ISBLANK('Data Entry'!$l$671), "", 'Data Entry'!$l$671)</f>
      </c>
      <c r="AS671">
        <f>IF(ISBLANK('Data Entry'!$m$671), "", 'Data Entry'!$m$671)</f>
      </c>
      <c r="AT671">
        <f>IF(ISBLANK('Data Entry'!$n$671), "", 'Data Entry'!$n$671)</f>
      </c>
      <c r="AU671">
        <f>IF(ISBLANK('Data Entry'!$o$671), "", 'Data Entry'!$o$671)</f>
      </c>
      <c r="AV671">
        <f>IF(ISBLANK('Data Entry'!$p$671), "", 'Data Entry'!$p$671)</f>
      </c>
      <c r="AW671">
        <f>IF(ISBLANK('Data Entry'!$q$671), "", 'Data Entry'!$q$671)</f>
      </c>
      <c r="AX671">
        <f>IF(ISBLANK('Data Entry'!$r$671), "", 'Data Entry'!$r$671)</f>
      </c>
      <c r="AY671">
        <f>IF(ISBLANK('Data Entry'!$s$671), "", 'Data Entry'!$s$671)</f>
      </c>
      <c r="AZ671">
        <f>IF(ISBLANK('Data Entry'!$t$671), "", 'Data Entry'!$t$671)</f>
      </c>
      <c r="BA671">
        <f>IF(ISBLANK('Data Entry'!$u$671), "", 'Data Entry'!$u$671)</f>
      </c>
      <c r="BB671">
        <f>IF(ISBLANK('Data Entry'!$v$671), "", 'Data Entry'!$v$671)</f>
      </c>
      <c r="BC671">
        <f>IF(ISBLANK('Data Entry'!$w$671), "", 'Data Entry'!$w$671)</f>
      </c>
      <c r="BD671">
        <f>IF(ISBLANK('Data Entry'!$x$671), "", 'Data Entry'!$x$671)</f>
      </c>
      <c r="BE671">
        <f>IF(ISBLANK('Data Entry'!$y$671), "", 'Data Entry'!$y$671)</f>
      </c>
      <c r="BF671">
        <f>IF(ISBLANK('Data Entry'!$z$671), "", 'Data Entry'!$z$671)</f>
      </c>
      <c r="BG671">
        <f>IF(ISBLANK('Data Entry'!${$671), "", 'Data Entry'!${$671)</f>
      </c>
      <c r="BH671">
        <f>IF(ISBLANK('Data Entry'!$|$671), "", 'Data Entry'!$|$671)</f>
      </c>
      <c r="BI671">
        <f>IF(ISBLANK('Data Entry'!$}$671), "", 'Data Entry'!$}$671)</f>
      </c>
      <c r="BJ671">
        <f>IF(ISBLANK('Data Entry'!$~$671), "", 'Data Entry'!$~$671)</f>
      </c>
      <c r="BK671">
        <f>IF(ISBLANK('Data Entry'!$$671), "", 'Data Entry'!$$671)</f>
      </c>
      <c r="BL671">
        <f>IF(ISBLANK('Data Entry'!$$671), "", 'Data Entry'!$$671)</f>
      </c>
      <c r="BM671">
        <f>IF(ISBLANK('Data Entry'!$$671), "", 'Data Entry'!$$671)</f>
      </c>
      <c r="BN671">
        <f>IF(ISBLANK('Data Entry'!$$671), "", 'Data Entry'!$$671)</f>
      </c>
      <c r="BO671">
        <f>IF(ISBLANK('Data Entry'!$$671), "", 'Data Entry'!$$671)</f>
      </c>
      <c r="BP671">
        <f>IF(ISBLANK('Data Entry'!$$671), "", 'Data Entry'!$$671)</f>
      </c>
      <c r="BQ671">
        <f>IF(ISBLANK('Data Entry'!$$671), "", 'Data Entry'!$$671)</f>
      </c>
      <c r="BR671">
        <f>IF(ISBLANK('Data Entry'!$$671), "", 'Data Entry'!$$671)</f>
      </c>
      <c r="BS671">
        <f>IF(ISBLANK('Data Entry'!$$671), "", 'Data Entry'!$$671)</f>
      </c>
      <c r="BT671">
        <f>IF(ISBLANK('Data Entry'!$$671), "", 'Data Entry'!$$671)</f>
      </c>
      <c r="BU671">
        <f>IF(ISBLANK('Data Entry'!$$671), "", 'Data Entry'!$$671)</f>
      </c>
      <c r="BV671">
        <f>IF(ISBLANK('Data Entry'!$$671), "", 'Data Entry'!$$671)</f>
      </c>
      <c r="BW671">
        <f>IF(ISBLANK('Data Entry'!$$671), "", 'Data Entry'!$$671)</f>
      </c>
      <c r="BX671">
        <f>IF(ISBLANK('Data Entry'!$$671), "", 'Data Entry'!$$671)</f>
      </c>
      <c r="BY671">
        <f>IF(ISBLANK('Data Entry'!$$671), "", 'Data Entry'!$$671)</f>
      </c>
      <c r="BZ671">
        <f>IF(ISBLANK('Data Entry'!$$671), "", 'Data Entry'!$$671)</f>
      </c>
      <c r="CA671">
        <f>IF(ISBLANK('Data Entry'!$$671), "", 'Data Entry'!$$671)</f>
      </c>
      <c r="CB671">
        <f>IF(ISBLANK('Data Entry'!$$671), "", 'Data Entry'!$$671)</f>
      </c>
      <c r="CC671">
        <f>IF(ISBLANK('Data Entry'!$$671), "", 'Data Entry'!$$671)</f>
      </c>
      <c r="CD671">
        <f>IF(ISBLANK('Data Entry'!$$671), "", 'Data Entry'!$$671)</f>
      </c>
      <c r="CE671">
        <f>IF(ISBLANK('Data Entry'!$$671), "", 'Data Entry'!$$671)</f>
      </c>
      <c r="CF671">
        <f>IF(ISBLANK('Data Entry'!$$671), "", 'Data Entry'!$$671)</f>
      </c>
      <c r="CG671">
        <f>IF(ISBLANK('Data Entry'!$$671), "", 'Data Entry'!$$671)</f>
      </c>
      <c r="CH671">
        <f>IF(ISBLANK('Data Entry'!$$671), "", 'Data Entry'!$$671)</f>
      </c>
      <c r="CI671">
        <f>IF(ISBLANK('Data Entry'!$$671), "", 'Data Entry'!$$671)</f>
      </c>
      <c r="CJ671">
        <f>IF(ISBLANK('Data Entry'!$$671), "", 'Data Entry'!$$671)</f>
      </c>
      <c r="CK671">
        <f>IF(ISBLANK('Data Entry'!$$671), "", 'Data Entry'!$$671)</f>
      </c>
      <c r="CL671">
        <f>IF(ISBLANK('Data Entry'!$$671), "", 'Data Entry'!$$671)</f>
      </c>
      <c r="CM671">
        <f>IF(ISBLANK('Data Entry'!$$671), "", 'Data Entry'!$$671)</f>
      </c>
      <c r="CN671">
        <f>IF(ISBLANK('Data Entry'!$$671), "", 'Data Entry'!$$671)</f>
      </c>
      <c r="CO671">
        <f>IF(ISBLANK('Data Entry'!$$671), "", 'Data Entry'!$$671)</f>
      </c>
      <c r="CP671">
        <f>IF(ISBLANK('Data Entry'!$$671), "", 'Data Entry'!$$671)</f>
      </c>
      <c r="CQ671">
        <f>IF(ISBLANK('Data Entry'!$$671), "", 'Data Entry'!$$671)</f>
      </c>
      <c r="CR671">
        <f>IF(ISBLANK('Data Entry'!$ $671), "", 'Data Entry'!$ $671)</f>
      </c>
      <c r="CS671">
        <f>IF(ISBLANK('Data Entry'!$¡$671), "", 'Data Entry'!$¡$671)</f>
      </c>
      <c r="CT671">
        <f>IF(ISBLANK('Data Entry'!$¢$671), "", 'Data Entry'!$¢$671)</f>
      </c>
      <c r="CU671">
        <f>IF(ISBLANK('Data Entry'!$£$671), "", 'Data Entry'!$£$671)</f>
      </c>
      <c r="CV671">
        <f>IF(ISBLANK('Data Entry'!$¤$671), "", 'Data Entry'!$¤$671)</f>
      </c>
      <c r="CW671">
        <f>IF(ISBLANK('Data Entry'!$¥$671), "", 'Data Entry'!$¥$671)</f>
      </c>
      <c r="CX671">
        <f>IF(ISBLANK('Data Entry'!$¦$671), "", 'Data Entry'!$¦$671)</f>
      </c>
      <c r="CY671">
        <f>IF(ISBLANK('Data Entry'!$§$671), "", 'Data Entry'!$§$671)</f>
      </c>
      <c r="CZ671">
        <f>IF(ISBLANK('Data Entry'!$¨$671), "", 'Data Entry'!$¨$671)</f>
      </c>
      <c r="DA671">
        <f>IF(ISBLANK('Data Entry'!$©$671), "", 'Data Entry'!$©$671)</f>
      </c>
      <c r="DB671">
        <f>IF(ISBLANK('Data Entry'!$ª$671), "", 'Data Entry'!$ª$671)</f>
      </c>
      <c r="DC671">
        <f>IF(ISBLANK('Data Entry'!$«$671), "", 'Data Entry'!$«$671)</f>
      </c>
      <c r="DD671">
        <f>IF(ISBLANK('Data Entry'!$¬$671), "", 'Data Entry'!$¬$671)</f>
      </c>
      <c r="DE671">
        <f>IF(ISBLANK('Data Entry'!$­$671), "", 'Data Entry'!$­$671)</f>
      </c>
      <c r="DF671">
        <f>IF(ISBLANK('Data Entry'!$®$671), "", 'Data Entry'!$®$671)</f>
      </c>
      <c r="DG671">
        <f>IF(ISBLANK('Data Entry'!$¯$671), "", 'Data Entry'!$¯$671)</f>
      </c>
      <c r="DH671">
        <f>IF(ISBLANK('Data Entry'!$°$671), "", 'Data Entry'!$°$671)</f>
      </c>
      <c r="DI671">
        <f>IF(ISBLANK('Data Entry'!$±$671), "", 'Data Entry'!$±$671)</f>
      </c>
      <c r="DJ671">
        <f>IF(ISBLANK('Data Entry'!$²$671), "", 'Data Entry'!$²$671)</f>
      </c>
      <c r="DK671">
        <f>IF(ISBLANK('Data Entry'!$³$671), "", 'Data Entry'!$³$671)</f>
      </c>
      <c r="DL671">
        <f>IF(ISBLANK('Data Entry'!$´$671), "", 'Data Entry'!$´$671)</f>
      </c>
      <c r="DM671">
        <f>IF(ISBLANK('Data Entry'!$µ$671), "", 'Data Entry'!$µ$671)</f>
      </c>
      <c r="DN671">
        <f>IF(ISBLANK('Data Entry'!$¶$671), "", 'Data Entry'!$¶$671)</f>
      </c>
      <c r="DO671">
        <f>IF(ISBLANK('Data Entry'!$·$671), "", 'Data Entry'!$·$671)</f>
      </c>
      <c r="DP671">
        <f>IF(ISBLANK('Data Entry'!$¸$671), "", 'Data Entry'!$¸$671)</f>
      </c>
      <c r="DQ671">
        <f>IF(ISBLANK('Data Entry'!$¹$671), "", 'Data Entry'!$¹$671)</f>
      </c>
      <c r="DR671">
        <f>IF(ISBLANK('Data Entry'!$º$671), "", 'Data Entry'!$º$671)</f>
      </c>
      <c r="DS671">
        <f>IF(ISBLANK('Data Entry'!$»$671), "", 'Data Entry'!$»$671)</f>
      </c>
      <c r="DT671">
        <f>IF(ISBLANK('Data Entry'!$¼$671), "", 'Data Entry'!$¼$671)</f>
      </c>
      <c r="DU671">
        <f>IF(ISBLANK('Data Entry'!$½$671), "", 'Data Entry'!$½$671)</f>
      </c>
      <c r="DV671">
        <f>IF(ISBLANK('Data Entry'!$¾$671), "", 'Data Entry'!$¾$671)</f>
      </c>
      <c r="DW671">
        <f>IF(ISBLANK('Data Entry'!$¿$671), "", 'Data Entry'!$¿$671)</f>
      </c>
      <c r="DX671">
        <f>IF(ISBLANK('Data Entry'!$À$671), "", 'Data Entry'!$À$671)</f>
      </c>
      <c r="DY671">
        <f>IF(ISBLANK('Data Entry'!$Á$671), "", 'Data Entry'!$Á$671)</f>
      </c>
      <c r="DZ671">
        <f>IF(ISBLANK('Data Entry'!$Â$671), "", 'Data Entry'!$Â$671)</f>
      </c>
      <c r="EA671">
        <f>IF(ISBLANK('Data Entry'!$Ã$671), "", 'Data Entry'!$Ã$671)</f>
      </c>
      <c r="EB671">
        <f>IF(ISBLANK('Data Entry'!$Ä$671), "", 'Data Entry'!$Ä$671)</f>
      </c>
      <c r="EC671">
        <f>IF(ISBLANK('Data Entry'!$Å$671), "", 'Data Entry'!$Å$671)</f>
      </c>
      <c r="ED671">
        <f>IF(ISBLANK('Data Entry'!$Æ$671), "", 'Data Entry'!$Æ$671)</f>
      </c>
      <c r="EE671">
        <f>IF(ISBLANK('Data Entry'!$Ç$671), "", 'Data Entry'!$Ç$671)</f>
      </c>
      <c r="EF671">
        <f>IF(ISBLANK('Data Entry'!$È$671), "", 'Data Entry'!$È$671)</f>
      </c>
      <c r="EG671">
        <f>IF(ISBLANK('Data Entry'!$É$671), "", 'Data Entry'!$É$671)</f>
      </c>
      <c r="EH671">
        <f>IF(ISBLANK('Data Entry'!$Ê$671), "", 'Data Entry'!$Ê$671)</f>
      </c>
      <c r="EI671">
        <f>IF(ISBLANK('Data Entry'!$Ë$671), "", 'Data Entry'!$Ë$671)</f>
      </c>
      <c r="EJ671">
        <f>IF(ISBLANK('Data Entry'!$Ì$671), "", 'Data Entry'!$Ì$671)</f>
      </c>
      <c r="EK671">
        <f>IF(ISBLANK('Data Entry'!$Í$671), "", 'Data Entry'!$Í$671)</f>
      </c>
      <c r="EL671">
        <f>IF(ISBLANK('Data Entry'!$Î$671), "", 'Data Entry'!$Î$671)</f>
      </c>
      <c r="EM671">
        <f>IF(ISBLANK('Data Entry'!$Ï$671), "", 'Data Entry'!$Ï$671)</f>
      </c>
      <c r="EN671">
        <f>IF(ISBLANK('Data Entry'!$Ð$671), "", 'Data Entry'!$Ð$671)</f>
      </c>
      <c r="EO671">
        <f>IF(ISBLANK('Data Entry'!$Ñ$671), "", 'Data Entry'!$Ñ$671)</f>
      </c>
      <c r="EP671">
        <f>IF(ISBLANK('Data Entry'!$Ò$671), "", 'Data Entry'!$Ò$671)</f>
      </c>
      <c r="EQ671">
        <f>IF(ISBLANK('Data Entry'!$Ó$671), "", 'Data Entry'!$Ó$671)</f>
      </c>
      <c r="ER671">
        <f>IF(ISBLANK('Data Entry'!$Ô$671), "", 'Data Entry'!$Ô$671)</f>
      </c>
      <c r="ES671">
        <f>IF(ISBLANK('Data Entry'!$Õ$671), "", 'Data Entry'!$Õ$671)</f>
      </c>
      <c r="ET671">
        <f>IF(ISBLANK('Data Entry'!$Ö$671), "", 'Data Entry'!$Ö$671)</f>
      </c>
      <c r="EU671">
        <f>IF(ISBLANK('Data Entry'!$×$671), "", 'Data Entry'!$×$671)</f>
      </c>
      <c r="EV671">
        <f>IF(ISBLANK('Data Entry'!$Ø$671), "", 'Data Entry'!$Ø$671)</f>
      </c>
      <c r="EW671">
        <f>IF(ISBLANK('Data Entry'!$Ù$671), "", 'Data Entry'!$Ù$671)</f>
      </c>
      <c r="EX671">
        <f>IF(ISBLANK('Data Entry'!$Ú$671), "", 'Data Entry'!$Ú$671)</f>
      </c>
      <c r="EY671">
        <f>IF(ISBLANK('Data Entry'!$Û$671), "", 'Data Entry'!$Û$671)</f>
      </c>
      <c r="EZ671">
        <f>IF(ISBLANK('Data Entry'!$Ü$671), "", 'Data Entry'!$Ü$671)</f>
      </c>
      <c r="FA671">
        <f>IF(ISBLANK('Data Entry'!$Ý$671), "", 'Data Entry'!$Ý$671)</f>
      </c>
      <c r="FB671">
        <f>IF(ISBLANK('Data Entry'!$Þ$671), "", 'Data Entry'!$Þ$671)</f>
      </c>
      <c r="FC671">
        <f>IF(ISBLANK('Data Entry'!$ß$671), "", 'Data Entry'!$ß$671)</f>
      </c>
      <c r="FD671">
        <f>IF(ISBLANK('Data Entry'!$à$671), "", 'Data Entry'!$à$671)</f>
      </c>
      <c r="FE671">
        <f>IF(ISBLANK('Data Entry'!$á$671), "", 'Data Entry'!$á$671)</f>
      </c>
      <c r="FF671">
        <f>IF(ISBLANK('Data Entry'!$â$671), "", 'Data Entry'!$â$671)</f>
      </c>
      <c r="FG671">
        <f>IF(ISBLANK('Data Entry'!$ã$671), "", 'Data Entry'!$ã$671)</f>
      </c>
      <c r="FH671">
        <f>IF(ISBLANK('Data Entry'!$ä$671), "", 'Data Entry'!$ä$671)</f>
      </c>
      <c r="FI671">
        <f>IF(ISBLANK('Data Entry'!$å$671), "", 'Data Entry'!$å$671)</f>
      </c>
      <c r="FJ671">
        <f>IF(ISBLANK('Data Entry'!$æ$671), "", 'Data Entry'!$æ$671)</f>
      </c>
      <c r="FK671">
        <f>IF(ISBLANK('Data Entry'!$ç$671), "", 'Data Entry'!$ç$671)</f>
      </c>
      <c r="FL671">
        <f>IF(ISBLANK('Data Entry'!$è$671), "", 'Data Entry'!$è$671)</f>
      </c>
      <c r="FM671">
        <f>IF(ISBLANK('Data Entry'!$é$671), "", 'Data Entry'!$é$671)</f>
      </c>
      <c r="FN671">
        <f>IF(ISBLANK('Data Entry'!$ê$671), "", 'Data Entry'!$ê$671)</f>
      </c>
      <c r="FO671">
        <f>IF(ISBLANK('Data Entry'!$ë$671), "", 'Data Entry'!$ë$671)</f>
      </c>
      <c r="FP671">
        <f>IF(ISBLANK('Data Entry'!$ì$671), "", 'Data Entry'!$ì$671)</f>
      </c>
      <c r="FQ671">
        <f>IF(ISBLANK('Data Entry'!$í$671), "", 'Data Entry'!$í$671)</f>
      </c>
      <c r="FR671">
        <f>IF(ISBLANK('Data Entry'!$î$671), "", 'Data Entry'!$î$671)</f>
      </c>
      <c r="FS671">
        <f>IF(ISBLANK('Data Entry'!$ï$671), "", 'Data Entry'!$ï$671)</f>
      </c>
      <c r="FT671">
        <f>IF(ISBLANK('Data Entry'!$ð$671), "", 'Data Entry'!$ð$671)</f>
      </c>
      <c r="FU671">
        <f>IF(ISBLANK('Data Entry'!$ñ$671), "", 'Data Entry'!$ñ$671)</f>
      </c>
      <c r="FV671">
        <f>IF(ISBLANK('Data Entry'!$ò$671), "", 'Data Entry'!$ò$671)</f>
      </c>
      <c r="FW671">
        <f>IF(ISBLANK('Data Entry'!$ó$671), "", 'Data Entry'!$ó$671)</f>
      </c>
      <c r="FX671">
        <f>IF(ISBLANK('Data Entry'!$ô$671), "", 'Data Entry'!$ô$671)</f>
      </c>
      <c r="FY671">
        <f>IF(ISBLANK('Data Entry'!$õ$671), "", 'Data Entry'!$õ$671)</f>
      </c>
      <c r="FZ671">
        <f>IF(ISBLANK('Data Entry'!$ö$671), "", 'Data Entry'!$ö$671)</f>
      </c>
      <c r="GA671">
        <f>IF(ISBLANK('Data Entry'!$÷$671), "", 'Data Entry'!$÷$671)</f>
      </c>
      <c r="GB671">
        <f>IF(ISBLANK('Data Entry'!$ø$671), "", 'Data Entry'!$ø$671)</f>
      </c>
      <c r="GC671">
        <f>IF(ISBLANK('Data Entry'!$ù$671), "", 'Data Entry'!$ù$671)</f>
      </c>
      <c r="GD671">
        <f>IF(ISBLANK('Data Entry'!$ú$671), "", 'Data Entry'!$ú$671)</f>
      </c>
      <c r="GE671">
        <f>IF(ISBLANK('Data Entry'!$û$671), "", 'Data Entry'!$û$671)</f>
      </c>
      <c r="GF671">
        <f>IF(ISBLANK('Data Entry'!$ü$671), "", 'Data Entry'!$ü$671)</f>
      </c>
      <c r="GG671">
        <f>IF(ISBLANK('Data Entry'!$ý$671), "", 'Data Entry'!$ý$671)</f>
      </c>
      <c r="GH671">
        <f>IF(ISBLANK('Data Entry'!$þ$671), "", 'Data Entry'!$þ$671)</f>
      </c>
      <c r="GI671">
        <f>IF(ISBLANK('Data Entry'!$ÿ$671), "", 'Data Entry'!$ÿ$671)</f>
      </c>
      <c r="GJ671">
        <f>IF(ISBLANK('Data Entry'!$Ā$671), "", 'Data Entry'!$Ā$671)</f>
      </c>
      <c r="GK671">
        <f>IF(ISBLANK('Data Entry'!$ā$671), "", 'Data Entry'!$ā$671)</f>
      </c>
      <c r="GL671">
        <f>IF(ISBLANK('Data Entry'!$Ă$671), "", 'Data Entry'!$Ă$671)</f>
      </c>
      <c r="GM671">
        <f>IF(ISBLANK('Data Entry'!$ă$671), "", 'Data Entry'!$ă$671)</f>
      </c>
      <c r="GN671">
        <f>IF(ISBLANK('Data Entry'!$Ą$671), "", 'Data Entry'!$Ą$671)</f>
      </c>
      <c r="GO671">
        <f>IF(ISBLANK('Data Entry'!$ą$671), "", 'Data Entry'!$ą$671)</f>
      </c>
      <c r="GP671">
        <f>IF(ISBLANK('Data Entry'!$Ć$671), "", 'Data Entry'!$Ć$671)</f>
      </c>
      <c r="GQ671">
        <f>IF(ISBLANK('Data Entry'!$ć$671), "", 'Data Entry'!$ć$671)</f>
      </c>
      <c r="GR671">
        <f>IF(ISBLANK('Data Entry'!$Ĉ$671), "", 'Data Entry'!$Ĉ$671)</f>
      </c>
      <c r="GS671">
        <f>IF(ISBLANK('Data Entry'!$ĉ$671), "", 'Data Entry'!$ĉ$671)</f>
      </c>
      <c r="GT671">
        <f>IF(ISBLANK('Data Entry'!$Ċ$671), "", 'Data Entry'!$Ċ$671)</f>
      </c>
      <c r="GU671">
        <f>IF(ISBLANK('Data Entry'!$ċ$671), "", 'Data Entry'!$ċ$671)</f>
      </c>
      <c r="GV671">
        <f>IF(ISBLANK('Data Entry'!$Č$671), "", 'Data Entry'!$Č$671)</f>
      </c>
      <c r="GW671">
        <f>IF(ISBLANK('Data Entry'!$č$671), "", 'Data Entry'!$č$671)</f>
      </c>
      <c r="GX671">
        <f>IF(ISBLANK('Data Entry'!$Ď$671), "", 'Data Entry'!$Ď$671)</f>
      </c>
      <c r="GY671">
        <f>IF(ISBLANK('Data Entry'!$ď$671), "", 'Data Entry'!$ď$671)</f>
      </c>
      <c r="GZ671">
        <f>IF(ISBLANK('Data Entry'!$Đ$671), "", 'Data Entry'!$Đ$671)</f>
      </c>
      <c r="HA671">
        <f>IF(ISBLANK('Data Entry'!$đ$671), "", 'Data Entry'!$đ$671)</f>
      </c>
      <c r="HB671">
        <f>IF(ISBLANK('Data Entry'!$Ē$671), "", 'Data Entry'!$Ē$671)</f>
      </c>
      <c r="HC671">
        <f>IF(ISBLANK('Data Entry'!$ē$671), "", 'Data Entry'!$ē$671)</f>
      </c>
      <c r="HD671">
        <f>IF(ISBLANK('Data Entry'!$Ĕ$671), "", 'Data Entry'!$Ĕ$671)</f>
      </c>
      <c r="HE671">
        <f>IF(ISBLANK('Data Entry'!$ĕ$671), "", 'Data Entry'!$ĕ$671)</f>
      </c>
      <c r="HF671">
        <f>IF(ISBLANK('Data Entry'!$Ė$671), "", 'Data Entry'!$Ė$671)</f>
      </c>
      <c r="HG671">
        <f>IF(ISBLANK('Data Entry'!$ė$671), "", 'Data Entry'!$ė$671)</f>
      </c>
      <c r="HH671">
        <f>IF(ISBLANK('Data Entry'!$Ę$671), "", 'Data Entry'!$Ę$671)</f>
      </c>
      <c r="HI671">
        <f>IF(ISBLANK('Data Entry'!$ę$671), "", 'Data Entry'!$ę$671)</f>
      </c>
      <c r="HJ671">
        <f>IF(ISBLANK('Data Entry'!$Ě$671), "", 'Data Entry'!$Ě$671)</f>
      </c>
      <c r="HK671">
        <f>IF(ISBLANK('Data Entry'!$ě$671), "", 'Data Entry'!$ě$671)</f>
      </c>
      <c r="HL671">
        <f>IF(ISBLANK('Data Entry'!$Ĝ$671), "", 'Data Entry'!$Ĝ$671)</f>
      </c>
      <c r="HM671">
        <f>IF(ISBLANK('Data Entry'!$ĝ$671), "", 'Data Entry'!$ĝ$671)</f>
      </c>
      <c r="HN671">
        <f>IF(ISBLANK('Data Entry'!$Ğ$671), "", 'Data Entry'!$Ğ$671)</f>
      </c>
      <c r="HO671">
        <f>IF(ISBLANK('Data Entry'!$ğ$671), "", 'Data Entry'!$ğ$671)</f>
      </c>
      <c r="HP671">
        <f>IF(ISBLANK('Data Entry'!$Ġ$671), "", 'Data Entry'!$Ġ$671)</f>
      </c>
      <c r="HQ671">
        <f>IF(ISBLANK('Data Entry'!$ġ$671), "", 'Data Entry'!$ġ$671)</f>
      </c>
      <c r="HR671">
        <f>IF(ISBLANK('Data Entry'!$Ģ$671), "", 'Data Entry'!$Ģ$671)</f>
      </c>
      <c r="HS671">
        <f>IF(ISBLANK('Data Entry'!$ģ$671), "", 'Data Entry'!$ģ$671)</f>
      </c>
      <c r="HT671">
        <f>IF(ISBLANK('Data Entry'!$Ĥ$671), "", 'Data Entry'!$Ĥ$671)</f>
      </c>
      <c r="HU671">
        <f>IF(ISBLANK('Data Entry'!$ĥ$671), "", 'Data Entry'!$ĥ$671)</f>
      </c>
      <c r="HV671">
        <f>IF(ISBLANK('Data Entry'!$Ħ$671), "", 'Data Entry'!$Ħ$671)</f>
      </c>
      <c r="HW671">
        <f>IF(ISBLANK('Data Entry'!$ħ$671), "", 'Data Entry'!$ħ$671)</f>
      </c>
      <c r="HX671">
        <f>IF(ISBLANK('Data Entry'!$Ĩ$671), "", 'Data Entry'!$Ĩ$671)</f>
      </c>
      <c r="HY671">
        <f>IF(ISBLANK('Data Entry'!$ĩ$671), "", 'Data Entry'!$ĩ$671)</f>
      </c>
      <c r="HZ671">
        <f>IF(ISBLANK('Data Entry'!$Ī$671), "", 'Data Entry'!$Ī$671)</f>
      </c>
      <c r="IA671">
        <f>IF(ISBLANK('Data Entry'!$ī$671), "", 'Data Entry'!$ī$671)</f>
      </c>
      <c r="IB671">
        <f>IF(ISBLANK('Data Entry'!$Ĭ$671), "", 'Data Entry'!$Ĭ$671)</f>
      </c>
      <c r="IC671">
        <f>IF(ISBLANK('Data Entry'!$ĭ$671), "", 'Data Entry'!$ĭ$671)</f>
      </c>
      <c r="ID671">
        <f>IF(ISBLANK('Data Entry'!$Į$671), "", 'Data Entry'!$Į$671)</f>
      </c>
      <c r="IE671">
        <f>IF(ISBLANK('Data Entry'!$į$671), "", 'Data Entry'!$į$671)</f>
      </c>
      <c r="IF671">
        <f>IF(ISBLANK('Data Entry'!$İ$671), "", 'Data Entry'!$İ$671)</f>
      </c>
      <c r="IG671">
        <f>IF(ISBLANK('Data Entry'!$ı$671), "", 'Data Entry'!$ı$671)</f>
      </c>
      <c r="IH671">
        <f>IF(ISBLANK('Data Entry'!$Ĳ$671), "", 'Data Entry'!$Ĳ$671)</f>
      </c>
      <c r="II671">
        <f>IF(ISBLANK('Data Entry'!$ĳ$671), "", 'Data Entry'!$ĳ$671)</f>
      </c>
      <c r="IJ671">
        <f>IF(ISBLANK('Data Entry'!$Ĵ$671), "", 'Data Entry'!$Ĵ$671)</f>
      </c>
      <c r="IK671">
        <f>IF(ISBLANK('Data Entry'!$ĵ$671), "", 'Data Entry'!$ĵ$671)</f>
      </c>
      <c r="IL671">
        <f>IF(ISBLANK('Data Entry'!$Ķ$671), "", 'Data Entry'!$Ķ$671)</f>
      </c>
      <c r="IM671">
        <f>IF(ISBLANK('Data Entry'!$ķ$671), "", 'Data Entry'!$ķ$671)</f>
      </c>
      <c r="IN671">
        <f>IF(ISBLANK('Data Entry'!$ĸ$671), "", 'Data Entry'!$ĸ$671)</f>
      </c>
      <c r="IO671">
        <f>IF(ISBLANK('Data Entry'!$Ĺ$671), "", 'Data Entry'!$Ĺ$671)</f>
      </c>
      <c r="IP671">
        <f>IF(ISBLANK('Data Entry'!$ĺ$671), "", 'Data Entry'!$ĺ$671)</f>
      </c>
      <c r="IQ671">
        <f>IF(ISBLANK('Data Entry'!$Ļ$671), "", 'Data Entry'!$Ļ$671)</f>
      </c>
      <c r="IR671">
        <f>IF(ISBLANK('Data Entry'!$ļ$671), "", 'Data Entry'!$ļ$671)</f>
      </c>
      <c r="IS671">
        <f>IF(ISBLANK('Data Entry'!$Ľ$671), "", 'Data Entry'!$Ľ$671)</f>
      </c>
      <c r="IT671">
        <f>IF(ISBLANK('Data Entry'!$ľ$671), "", 'Data Entry'!$ľ$671)</f>
      </c>
    </row>
    <row r="672" spans="1:254" x14ac:dyDescent="0.25">
      <c r="A672">
        <f>IF(ISBLANK('Data Entry'!$A$672), "", 'Data Entry'!$A$672)</f>
      </c>
      <c r="B672">
        <f>IF(ISBLANK('Data Entry'!$B$672), "", 'Data Entry'!$B$672)</f>
      </c>
      <c r="C672">
        <f>IF(ISBLANK('Data Entry'!$C$672), "", 'Data Entry'!$C$672)</f>
      </c>
      <c r="D672">
        <f>IF(ISBLANK('Data Entry'!$D$672), "", 'Data Entry'!$D$672)</f>
      </c>
      <c r="E672">
        <f>IF(ISBLANK('Data Entry'!$E$672), "", 'Data Entry'!$E$672)</f>
      </c>
      <c r="F672">
        <f>IF(ISBLANK('Data Entry'!$F$672), "", 'Data Entry'!$F$672)</f>
      </c>
      <c r="G672">
        <f>IF(ISBLANK('Data Entry'!$G$672), "", 'Data Entry'!$G$672)</f>
      </c>
      <c r="H672">
        <f>IF(ISBLANK('Data Entry'!$H$672), "", 'Data Entry'!$H$672)</f>
      </c>
      <c r="I672">
        <f>IF(ISBLANK('Data Entry'!$I$672), "", 'Data Entry'!$I$672)</f>
      </c>
      <c r="J672">
        <f>IF(ISBLANK('Data Entry'!$J$672), "", 'Data Entry'!$J$672)</f>
      </c>
      <c r="K672">
        <f>IF(ISBLANK('Data Entry'!$K$672), "", 'Data Entry'!$K$672)</f>
      </c>
      <c r="L672">
        <f>IF(ISBLANK('Data Entry'!$L$672), "", 'Data Entry'!$L$672)</f>
      </c>
      <c r="M672">
        <f>IF(ISBLANK('Data Entry'!$M$672), "", 'Data Entry'!$M$672)</f>
      </c>
      <c r="N672">
        <f>IF(ISBLANK('Data Entry'!$N$672), "", 'Data Entry'!$N$672)</f>
      </c>
      <c r="O672">
        <f>IF(ISBLANK('Data Entry'!$O$672), "", 'Data Entry'!$O$672)</f>
      </c>
      <c r="P672">
        <f>IF(ISBLANK('Data Entry'!$P$672), "", 'Data Entry'!$P$672)</f>
      </c>
      <c r="Q672">
        <f>IF(ISBLANK('Data Entry'!$Q$672), "", 'Data Entry'!$Q$672)</f>
      </c>
      <c r="R672">
        <f>IF(ISBLANK('Data Entry'!$R$672), "", 'Data Entry'!$R$672)</f>
      </c>
      <c r="S672">
        <f>IF(ISBLANK('Data Entry'!$S$672), "", 'Data Entry'!$S$672)</f>
      </c>
      <c r="T672">
        <f>IF(ISBLANK('Data Entry'!$T$672), "", 'Data Entry'!$T$672)</f>
      </c>
      <c r="U672">
        <f>IF(ISBLANK('Data Entry'!$U$672), "", 'Data Entry'!$U$672)</f>
      </c>
      <c r="V672">
        <f>IF(ISBLANK('Data Entry'!$V$672), "", 'Data Entry'!$V$672)</f>
      </c>
      <c r="W672">
        <f>IF(ISBLANK('Data Entry'!$W$672), "", 'Data Entry'!$W$672)</f>
      </c>
      <c r="X672">
        <f>IF(ISBLANK('Data Entry'!$X$672), "", 'Data Entry'!$X$672)</f>
      </c>
      <c r="Y672">
        <f>IF(ISBLANK('Data Entry'!$Y$672), "", 'Data Entry'!$Y$672)</f>
      </c>
      <c r="Z672">
        <f>IF(ISBLANK('Data Entry'!$Z$672), "", 'Data Entry'!$Z$672)</f>
      </c>
      <c r="AA672">
        <f>IF(ISBLANK('Data Entry'!$[$672), "", 'Data Entry'!$[$672)</f>
      </c>
      <c r="AB672">
        <f>IF(ISBLANK('Data Entry'!$\$672), "", 'Data Entry'!$\$672)</f>
      </c>
      <c r="AC672">
        <f>IF(ISBLANK('Data Entry'!$]$672), "", 'Data Entry'!$]$672)</f>
      </c>
      <c r="AD672">
        <f>IF(ISBLANK('Data Entry'!$^$672), "", 'Data Entry'!$^$672)</f>
      </c>
      <c r="AE672">
        <f>IF(ISBLANK('Data Entry'!$_$672), "", 'Data Entry'!$_$672)</f>
      </c>
      <c r="AF672">
        <f>IF(ISBLANK('Data Entry'!$`$672), "", 'Data Entry'!$`$672)</f>
      </c>
      <c r="AG672">
        <f>IF(ISBLANK('Data Entry'!$a$672), "", 'Data Entry'!$a$672)</f>
      </c>
      <c r="AH672">
        <f>IF(ISBLANK('Data Entry'!$b$672), "", 'Data Entry'!$b$672)</f>
      </c>
      <c r="AI672">
        <f>IF(ISBLANK('Data Entry'!$c$672), "", 'Data Entry'!$c$672)</f>
      </c>
      <c r="AJ672">
        <f>IF(ISBLANK('Data Entry'!$d$672), "", 'Data Entry'!$d$672)</f>
      </c>
      <c r="AK672">
        <f>IF(ISBLANK('Data Entry'!$e$672), "", 'Data Entry'!$e$672)</f>
      </c>
      <c r="AL672">
        <f>IF(ISBLANK('Data Entry'!$f$672), "", 'Data Entry'!$f$672)</f>
      </c>
      <c r="AM672">
        <f>IF(ISBLANK('Data Entry'!$g$672), "", 'Data Entry'!$g$672)</f>
      </c>
      <c r="AN672">
        <f>IF(ISBLANK('Data Entry'!$h$672), "", 'Data Entry'!$h$672)</f>
      </c>
      <c r="AO672">
        <f>IF(ISBLANK('Data Entry'!$i$672), "", 'Data Entry'!$i$672)</f>
      </c>
      <c r="AP672">
        <f>IF(ISBLANK('Data Entry'!$j$672), "", 'Data Entry'!$j$672)</f>
      </c>
      <c r="AQ672">
        <f>IF(ISBLANK('Data Entry'!$k$672), "", 'Data Entry'!$k$672)</f>
      </c>
      <c r="AR672">
        <f>IF(ISBLANK('Data Entry'!$l$672), "", 'Data Entry'!$l$672)</f>
      </c>
      <c r="AS672">
        <f>IF(ISBLANK('Data Entry'!$m$672), "", 'Data Entry'!$m$672)</f>
      </c>
      <c r="AT672">
        <f>IF(ISBLANK('Data Entry'!$n$672), "", 'Data Entry'!$n$672)</f>
      </c>
      <c r="AU672">
        <f>IF(ISBLANK('Data Entry'!$o$672), "", 'Data Entry'!$o$672)</f>
      </c>
      <c r="AV672">
        <f>IF(ISBLANK('Data Entry'!$p$672), "", 'Data Entry'!$p$672)</f>
      </c>
      <c r="AW672">
        <f>IF(ISBLANK('Data Entry'!$q$672), "", 'Data Entry'!$q$672)</f>
      </c>
      <c r="AX672">
        <f>IF(ISBLANK('Data Entry'!$r$672), "", 'Data Entry'!$r$672)</f>
      </c>
      <c r="AY672">
        <f>IF(ISBLANK('Data Entry'!$s$672), "", 'Data Entry'!$s$672)</f>
      </c>
      <c r="AZ672">
        <f>IF(ISBLANK('Data Entry'!$t$672), "", 'Data Entry'!$t$672)</f>
      </c>
      <c r="BA672">
        <f>IF(ISBLANK('Data Entry'!$u$672), "", 'Data Entry'!$u$672)</f>
      </c>
      <c r="BB672">
        <f>IF(ISBLANK('Data Entry'!$v$672), "", 'Data Entry'!$v$672)</f>
      </c>
      <c r="BC672">
        <f>IF(ISBLANK('Data Entry'!$w$672), "", 'Data Entry'!$w$672)</f>
      </c>
      <c r="BD672">
        <f>IF(ISBLANK('Data Entry'!$x$672), "", 'Data Entry'!$x$672)</f>
      </c>
      <c r="BE672">
        <f>IF(ISBLANK('Data Entry'!$y$672), "", 'Data Entry'!$y$672)</f>
      </c>
      <c r="BF672">
        <f>IF(ISBLANK('Data Entry'!$z$672), "", 'Data Entry'!$z$672)</f>
      </c>
      <c r="BG672">
        <f>IF(ISBLANK('Data Entry'!${$672), "", 'Data Entry'!${$672)</f>
      </c>
      <c r="BH672">
        <f>IF(ISBLANK('Data Entry'!$|$672), "", 'Data Entry'!$|$672)</f>
      </c>
      <c r="BI672">
        <f>IF(ISBLANK('Data Entry'!$}$672), "", 'Data Entry'!$}$672)</f>
      </c>
      <c r="BJ672">
        <f>IF(ISBLANK('Data Entry'!$~$672), "", 'Data Entry'!$~$672)</f>
      </c>
      <c r="BK672">
        <f>IF(ISBLANK('Data Entry'!$$672), "", 'Data Entry'!$$672)</f>
      </c>
      <c r="BL672">
        <f>IF(ISBLANK('Data Entry'!$$672), "", 'Data Entry'!$$672)</f>
      </c>
      <c r="BM672">
        <f>IF(ISBLANK('Data Entry'!$$672), "", 'Data Entry'!$$672)</f>
      </c>
      <c r="BN672">
        <f>IF(ISBLANK('Data Entry'!$$672), "", 'Data Entry'!$$672)</f>
      </c>
      <c r="BO672">
        <f>IF(ISBLANK('Data Entry'!$$672), "", 'Data Entry'!$$672)</f>
      </c>
      <c r="BP672">
        <f>IF(ISBLANK('Data Entry'!$$672), "", 'Data Entry'!$$672)</f>
      </c>
      <c r="BQ672">
        <f>IF(ISBLANK('Data Entry'!$$672), "", 'Data Entry'!$$672)</f>
      </c>
      <c r="BR672">
        <f>IF(ISBLANK('Data Entry'!$$672), "", 'Data Entry'!$$672)</f>
      </c>
      <c r="BS672">
        <f>IF(ISBLANK('Data Entry'!$$672), "", 'Data Entry'!$$672)</f>
      </c>
      <c r="BT672">
        <f>IF(ISBLANK('Data Entry'!$$672), "", 'Data Entry'!$$672)</f>
      </c>
      <c r="BU672">
        <f>IF(ISBLANK('Data Entry'!$$672), "", 'Data Entry'!$$672)</f>
      </c>
      <c r="BV672">
        <f>IF(ISBLANK('Data Entry'!$$672), "", 'Data Entry'!$$672)</f>
      </c>
      <c r="BW672">
        <f>IF(ISBLANK('Data Entry'!$$672), "", 'Data Entry'!$$672)</f>
      </c>
      <c r="BX672">
        <f>IF(ISBLANK('Data Entry'!$$672), "", 'Data Entry'!$$672)</f>
      </c>
      <c r="BY672">
        <f>IF(ISBLANK('Data Entry'!$$672), "", 'Data Entry'!$$672)</f>
      </c>
      <c r="BZ672">
        <f>IF(ISBLANK('Data Entry'!$$672), "", 'Data Entry'!$$672)</f>
      </c>
      <c r="CA672">
        <f>IF(ISBLANK('Data Entry'!$$672), "", 'Data Entry'!$$672)</f>
      </c>
      <c r="CB672">
        <f>IF(ISBLANK('Data Entry'!$$672), "", 'Data Entry'!$$672)</f>
      </c>
      <c r="CC672">
        <f>IF(ISBLANK('Data Entry'!$$672), "", 'Data Entry'!$$672)</f>
      </c>
      <c r="CD672">
        <f>IF(ISBLANK('Data Entry'!$$672), "", 'Data Entry'!$$672)</f>
      </c>
      <c r="CE672">
        <f>IF(ISBLANK('Data Entry'!$$672), "", 'Data Entry'!$$672)</f>
      </c>
      <c r="CF672">
        <f>IF(ISBLANK('Data Entry'!$$672), "", 'Data Entry'!$$672)</f>
      </c>
      <c r="CG672">
        <f>IF(ISBLANK('Data Entry'!$$672), "", 'Data Entry'!$$672)</f>
      </c>
      <c r="CH672">
        <f>IF(ISBLANK('Data Entry'!$$672), "", 'Data Entry'!$$672)</f>
      </c>
      <c r="CI672">
        <f>IF(ISBLANK('Data Entry'!$$672), "", 'Data Entry'!$$672)</f>
      </c>
      <c r="CJ672">
        <f>IF(ISBLANK('Data Entry'!$$672), "", 'Data Entry'!$$672)</f>
      </c>
      <c r="CK672">
        <f>IF(ISBLANK('Data Entry'!$$672), "", 'Data Entry'!$$672)</f>
      </c>
      <c r="CL672">
        <f>IF(ISBLANK('Data Entry'!$$672), "", 'Data Entry'!$$672)</f>
      </c>
      <c r="CM672">
        <f>IF(ISBLANK('Data Entry'!$$672), "", 'Data Entry'!$$672)</f>
      </c>
      <c r="CN672">
        <f>IF(ISBLANK('Data Entry'!$$672), "", 'Data Entry'!$$672)</f>
      </c>
      <c r="CO672">
        <f>IF(ISBLANK('Data Entry'!$$672), "", 'Data Entry'!$$672)</f>
      </c>
      <c r="CP672">
        <f>IF(ISBLANK('Data Entry'!$$672), "", 'Data Entry'!$$672)</f>
      </c>
      <c r="CQ672">
        <f>IF(ISBLANK('Data Entry'!$$672), "", 'Data Entry'!$$672)</f>
      </c>
      <c r="CR672">
        <f>IF(ISBLANK('Data Entry'!$ $672), "", 'Data Entry'!$ $672)</f>
      </c>
      <c r="CS672">
        <f>IF(ISBLANK('Data Entry'!$¡$672), "", 'Data Entry'!$¡$672)</f>
      </c>
      <c r="CT672">
        <f>IF(ISBLANK('Data Entry'!$¢$672), "", 'Data Entry'!$¢$672)</f>
      </c>
      <c r="CU672">
        <f>IF(ISBLANK('Data Entry'!$£$672), "", 'Data Entry'!$£$672)</f>
      </c>
      <c r="CV672">
        <f>IF(ISBLANK('Data Entry'!$¤$672), "", 'Data Entry'!$¤$672)</f>
      </c>
      <c r="CW672">
        <f>IF(ISBLANK('Data Entry'!$¥$672), "", 'Data Entry'!$¥$672)</f>
      </c>
      <c r="CX672">
        <f>IF(ISBLANK('Data Entry'!$¦$672), "", 'Data Entry'!$¦$672)</f>
      </c>
      <c r="CY672">
        <f>IF(ISBLANK('Data Entry'!$§$672), "", 'Data Entry'!$§$672)</f>
      </c>
      <c r="CZ672">
        <f>IF(ISBLANK('Data Entry'!$¨$672), "", 'Data Entry'!$¨$672)</f>
      </c>
      <c r="DA672">
        <f>IF(ISBLANK('Data Entry'!$©$672), "", 'Data Entry'!$©$672)</f>
      </c>
      <c r="DB672">
        <f>IF(ISBLANK('Data Entry'!$ª$672), "", 'Data Entry'!$ª$672)</f>
      </c>
      <c r="DC672">
        <f>IF(ISBLANK('Data Entry'!$«$672), "", 'Data Entry'!$«$672)</f>
      </c>
      <c r="DD672">
        <f>IF(ISBLANK('Data Entry'!$¬$672), "", 'Data Entry'!$¬$672)</f>
      </c>
      <c r="DE672">
        <f>IF(ISBLANK('Data Entry'!$­$672), "", 'Data Entry'!$­$672)</f>
      </c>
      <c r="DF672">
        <f>IF(ISBLANK('Data Entry'!$®$672), "", 'Data Entry'!$®$672)</f>
      </c>
      <c r="DG672">
        <f>IF(ISBLANK('Data Entry'!$¯$672), "", 'Data Entry'!$¯$672)</f>
      </c>
      <c r="DH672">
        <f>IF(ISBLANK('Data Entry'!$°$672), "", 'Data Entry'!$°$672)</f>
      </c>
      <c r="DI672">
        <f>IF(ISBLANK('Data Entry'!$±$672), "", 'Data Entry'!$±$672)</f>
      </c>
      <c r="DJ672">
        <f>IF(ISBLANK('Data Entry'!$²$672), "", 'Data Entry'!$²$672)</f>
      </c>
      <c r="DK672">
        <f>IF(ISBLANK('Data Entry'!$³$672), "", 'Data Entry'!$³$672)</f>
      </c>
      <c r="DL672">
        <f>IF(ISBLANK('Data Entry'!$´$672), "", 'Data Entry'!$´$672)</f>
      </c>
      <c r="DM672">
        <f>IF(ISBLANK('Data Entry'!$µ$672), "", 'Data Entry'!$µ$672)</f>
      </c>
      <c r="DN672">
        <f>IF(ISBLANK('Data Entry'!$¶$672), "", 'Data Entry'!$¶$672)</f>
      </c>
      <c r="DO672">
        <f>IF(ISBLANK('Data Entry'!$·$672), "", 'Data Entry'!$·$672)</f>
      </c>
      <c r="DP672">
        <f>IF(ISBLANK('Data Entry'!$¸$672), "", 'Data Entry'!$¸$672)</f>
      </c>
      <c r="DQ672">
        <f>IF(ISBLANK('Data Entry'!$¹$672), "", 'Data Entry'!$¹$672)</f>
      </c>
      <c r="DR672">
        <f>IF(ISBLANK('Data Entry'!$º$672), "", 'Data Entry'!$º$672)</f>
      </c>
      <c r="DS672">
        <f>IF(ISBLANK('Data Entry'!$»$672), "", 'Data Entry'!$»$672)</f>
      </c>
      <c r="DT672">
        <f>IF(ISBLANK('Data Entry'!$¼$672), "", 'Data Entry'!$¼$672)</f>
      </c>
      <c r="DU672">
        <f>IF(ISBLANK('Data Entry'!$½$672), "", 'Data Entry'!$½$672)</f>
      </c>
      <c r="DV672">
        <f>IF(ISBLANK('Data Entry'!$¾$672), "", 'Data Entry'!$¾$672)</f>
      </c>
      <c r="DW672">
        <f>IF(ISBLANK('Data Entry'!$¿$672), "", 'Data Entry'!$¿$672)</f>
      </c>
      <c r="DX672">
        <f>IF(ISBLANK('Data Entry'!$À$672), "", 'Data Entry'!$À$672)</f>
      </c>
      <c r="DY672">
        <f>IF(ISBLANK('Data Entry'!$Á$672), "", 'Data Entry'!$Á$672)</f>
      </c>
      <c r="DZ672">
        <f>IF(ISBLANK('Data Entry'!$Â$672), "", 'Data Entry'!$Â$672)</f>
      </c>
      <c r="EA672">
        <f>IF(ISBLANK('Data Entry'!$Ã$672), "", 'Data Entry'!$Ã$672)</f>
      </c>
      <c r="EB672">
        <f>IF(ISBLANK('Data Entry'!$Ä$672), "", 'Data Entry'!$Ä$672)</f>
      </c>
      <c r="EC672">
        <f>IF(ISBLANK('Data Entry'!$Å$672), "", 'Data Entry'!$Å$672)</f>
      </c>
      <c r="ED672">
        <f>IF(ISBLANK('Data Entry'!$Æ$672), "", 'Data Entry'!$Æ$672)</f>
      </c>
      <c r="EE672">
        <f>IF(ISBLANK('Data Entry'!$Ç$672), "", 'Data Entry'!$Ç$672)</f>
      </c>
      <c r="EF672">
        <f>IF(ISBLANK('Data Entry'!$È$672), "", 'Data Entry'!$È$672)</f>
      </c>
      <c r="EG672">
        <f>IF(ISBLANK('Data Entry'!$É$672), "", 'Data Entry'!$É$672)</f>
      </c>
      <c r="EH672">
        <f>IF(ISBLANK('Data Entry'!$Ê$672), "", 'Data Entry'!$Ê$672)</f>
      </c>
      <c r="EI672">
        <f>IF(ISBLANK('Data Entry'!$Ë$672), "", 'Data Entry'!$Ë$672)</f>
      </c>
      <c r="EJ672">
        <f>IF(ISBLANK('Data Entry'!$Ì$672), "", 'Data Entry'!$Ì$672)</f>
      </c>
      <c r="EK672">
        <f>IF(ISBLANK('Data Entry'!$Í$672), "", 'Data Entry'!$Í$672)</f>
      </c>
      <c r="EL672">
        <f>IF(ISBLANK('Data Entry'!$Î$672), "", 'Data Entry'!$Î$672)</f>
      </c>
      <c r="EM672">
        <f>IF(ISBLANK('Data Entry'!$Ï$672), "", 'Data Entry'!$Ï$672)</f>
      </c>
      <c r="EN672">
        <f>IF(ISBLANK('Data Entry'!$Ð$672), "", 'Data Entry'!$Ð$672)</f>
      </c>
      <c r="EO672">
        <f>IF(ISBLANK('Data Entry'!$Ñ$672), "", 'Data Entry'!$Ñ$672)</f>
      </c>
      <c r="EP672">
        <f>IF(ISBLANK('Data Entry'!$Ò$672), "", 'Data Entry'!$Ò$672)</f>
      </c>
      <c r="EQ672">
        <f>IF(ISBLANK('Data Entry'!$Ó$672), "", 'Data Entry'!$Ó$672)</f>
      </c>
      <c r="ER672">
        <f>IF(ISBLANK('Data Entry'!$Ô$672), "", 'Data Entry'!$Ô$672)</f>
      </c>
      <c r="ES672">
        <f>IF(ISBLANK('Data Entry'!$Õ$672), "", 'Data Entry'!$Õ$672)</f>
      </c>
      <c r="ET672">
        <f>IF(ISBLANK('Data Entry'!$Ö$672), "", 'Data Entry'!$Ö$672)</f>
      </c>
      <c r="EU672">
        <f>IF(ISBLANK('Data Entry'!$×$672), "", 'Data Entry'!$×$672)</f>
      </c>
      <c r="EV672">
        <f>IF(ISBLANK('Data Entry'!$Ø$672), "", 'Data Entry'!$Ø$672)</f>
      </c>
      <c r="EW672">
        <f>IF(ISBLANK('Data Entry'!$Ù$672), "", 'Data Entry'!$Ù$672)</f>
      </c>
      <c r="EX672">
        <f>IF(ISBLANK('Data Entry'!$Ú$672), "", 'Data Entry'!$Ú$672)</f>
      </c>
      <c r="EY672">
        <f>IF(ISBLANK('Data Entry'!$Û$672), "", 'Data Entry'!$Û$672)</f>
      </c>
      <c r="EZ672">
        <f>IF(ISBLANK('Data Entry'!$Ü$672), "", 'Data Entry'!$Ü$672)</f>
      </c>
      <c r="FA672">
        <f>IF(ISBLANK('Data Entry'!$Ý$672), "", 'Data Entry'!$Ý$672)</f>
      </c>
      <c r="FB672">
        <f>IF(ISBLANK('Data Entry'!$Þ$672), "", 'Data Entry'!$Þ$672)</f>
      </c>
      <c r="FC672">
        <f>IF(ISBLANK('Data Entry'!$ß$672), "", 'Data Entry'!$ß$672)</f>
      </c>
      <c r="FD672">
        <f>IF(ISBLANK('Data Entry'!$à$672), "", 'Data Entry'!$à$672)</f>
      </c>
      <c r="FE672">
        <f>IF(ISBLANK('Data Entry'!$á$672), "", 'Data Entry'!$á$672)</f>
      </c>
      <c r="FF672">
        <f>IF(ISBLANK('Data Entry'!$â$672), "", 'Data Entry'!$â$672)</f>
      </c>
      <c r="FG672">
        <f>IF(ISBLANK('Data Entry'!$ã$672), "", 'Data Entry'!$ã$672)</f>
      </c>
      <c r="FH672">
        <f>IF(ISBLANK('Data Entry'!$ä$672), "", 'Data Entry'!$ä$672)</f>
      </c>
      <c r="FI672">
        <f>IF(ISBLANK('Data Entry'!$å$672), "", 'Data Entry'!$å$672)</f>
      </c>
      <c r="FJ672">
        <f>IF(ISBLANK('Data Entry'!$æ$672), "", 'Data Entry'!$æ$672)</f>
      </c>
      <c r="FK672">
        <f>IF(ISBLANK('Data Entry'!$ç$672), "", 'Data Entry'!$ç$672)</f>
      </c>
      <c r="FL672">
        <f>IF(ISBLANK('Data Entry'!$è$672), "", 'Data Entry'!$è$672)</f>
      </c>
      <c r="FM672">
        <f>IF(ISBLANK('Data Entry'!$é$672), "", 'Data Entry'!$é$672)</f>
      </c>
      <c r="FN672">
        <f>IF(ISBLANK('Data Entry'!$ê$672), "", 'Data Entry'!$ê$672)</f>
      </c>
      <c r="FO672">
        <f>IF(ISBLANK('Data Entry'!$ë$672), "", 'Data Entry'!$ë$672)</f>
      </c>
      <c r="FP672">
        <f>IF(ISBLANK('Data Entry'!$ì$672), "", 'Data Entry'!$ì$672)</f>
      </c>
      <c r="FQ672">
        <f>IF(ISBLANK('Data Entry'!$í$672), "", 'Data Entry'!$í$672)</f>
      </c>
      <c r="FR672">
        <f>IF(ISBLANK('Data Entry'!$î$672), "", 'Data Entry'!$î$672)</f>
      </c>
      <c r="FS672">
        <f>IF(ISBLANK('Data Entry'!$ï$672), "", 'Data Entry'!$ï$672)</f>
      </c>
      <c r="FT672">
        <f>IF(ISBLANK('Data Entry'!$ð$672), "", 'Data Entry'!$ð$672)</f>
      </c>
      <c r="FU672">
        <f>IF(ISBLANK('Data Entry'!$ñ$672), "", 'Data Entry'!$ñ$672)</f>
      </c>
      <c r="FV672">
        <f>IF(ISBLANK('Data Entry'!$ò$672), "", 'Data Entry'!$ò$672)</f>
      </c>
      <c r="FW672">
        <f>IF(ISBLANK('Data Entry'!$ó$672), "", 'Data Entry'!$ó$672)</f>
      </c>
      <c r="FX672">
        <f>IF(ISBLANK('Data Entry'!$ô$672), "", 'Data Entry'!$ô$672)</f>
      </c>
      <c r="FY672">
        <f>IF(ISBLANK('Data Entry'!$õ$672), "", 'Data Entry'!$õ$672)</f>
      </c>
      <c r="FZ672">
        <f>IF(ISBLANK('Data Entry'!$ö$672), "", 'Data Entry'!$ö$672)</f>
      </c>
      <c r="GA672">
        <f>IF(ISBLANK('Data Entry'!$÷$672), "", 'Data Entry'!$÷$672)</f>
      </c>
      <c r="GB672">
        <f>IF(ISBLANK('Data Entry'!$ø$672), "", 'Data Entry'!$ø$672)</f>
      </c>
      <c r="GC672">
        <f>IF(ISBLANK('Data Entry'!$ù$672), "", 'Data Entry'!$ù$672)</f>
      </c>
      <c r="GD672">
        <f>IF(ISBLANK('Data Entry'!$ú$672), "", 'Data Entry'!$ú$672)</f>
      </c>
      <c r="GE672">
        <f>IF(ISBLANK('Data Entry'!$û$672), "", 'Data Entry'!$û$672)</f>
      </c>
      <c r="GF672">
        <f>IF(ISBLANK('Data Entry'!$ü$672), "", 'Data Entry'!$ü$672)</f>
      </c>
      <c r="GG672">
        <f>IF(ISBLANK('Data Entry'!$ý$672), "", 'Data Entry'!$ý$672)</f>
      </c>
      <c r="GH672">
        <f>IF(ISBLANK('Data Entry'!$þ$672), "", 'Data Entry'!$þ$672)</f>
      </c>
      <c r="GI672">
        <f>IF(ISBLANK('Data Entry'!$ÿ$672), "", 'Data Entry'!$ÿ$672)</f>
      </c>
      <c r="GJ672">
        <f>IF(ISBLANK('Data Entry'!$Ā$672), "", 'Data Entry'!$Ā$672)</f>
      </c>
      <c r="GK672">
        <f>IF(ISBLANK('Data Entry'!$ā$672), "", 'Data Entry'!$ā$672)</f>
      </c>
      <c r="GL672">
        <f>IF(ISBLANK('Data Entry'!$Ă$672), "", 'Data Entry'!$Ă$672)</f>
      </c>
      <c r="GM672">
        <f>IF(ISBLANK('Data Entry'!$ă$672), "", 'Data Entry'!$ă$672)</f>
      </c>
      <c r="GN672">
        <f>IF(ISBLANK('Data Entry'!$Ą$672), "", 'Data Entry'!$Ą$672)</f>
      </c>
      <c r="GO672">
        <f>IF(ISBLANK('Data Entry'!$ą$672), "", 'Data Entry'!$ą$672)</f>
      </c>
      <c r="GP672">
        <f>IF(ISBLANK('Data Entry'!$Ć$672), "", 'Data Entry'!$Ć$672)</f>
      </c>
      <c r="GQ672">
        <f>IF(ISBLANK('Data Entry'!$ć$672), "", 'Data Entry'!$ć$672)</f>
      </c>
      <c r="GR672">
        <f>IF(ISBLANK('Data Entry'!$Ĉ$672), "", 'Data Entry'!$Ĉ$672)</f>
      </c>
      <c r="GS672">
        <f>IF(ISBLANK('Data Entry'!$ĉ$672), "", 'Data Entry'!$ĉ$672)</f>
      </c>
      <c r="GT672">
        <f>IF(ISBLANK('Data Entry'!$Ċ$672), "", 'Data Entry'!$Ċ$672)</f>
      </c>
      <c r="GU672">
        <f>IF(ISBLANK('Data Entry'!$ċ$672), "", 'Data Entry'!$ċ$672)</f>
      </c>
      <c r="GV672">
        <f>IF(ISBLANK('Data Entry'!$Č$672), "", 'Data Entry'!$Č$672)</f>
      </c>
      <c r="GW672">
        <f>IF(ISBLANK('Data Entry'!$č$672), "", 'Data Entry'!$č$672)</f>
      </c>
      <c r="GX672">
        <f>IF(ISBLANK('Data Entry'!$Ď$672), "", 'Data Entry'!$Ď$672)</f>
      </c>
      <c r="GY672">
        <f>IF(ISBLANK('Data Entry'!$ď$672), "", 'Data Entry'!$ď$672)</f>
      </c>
      <c r="GZ672">
        <f>IF(ISBLANK('Data Entry'!$Đ$672), "", 'Data Entry'!$Đ$672)</f>
      </c>
      <c r="HA672">
        <f>IF(ISBLANK('Data Entry'!$đ$672), "", 'Data Entry'!$đ$672)</f>
      </c>
      <c r="HB672">
        <f>IF(ISBLANK('Data Entry'!$Ē$672), "", 'Data Entry'!$Ē$672)</f>
      </c>
      <c r="HC672">
        <f>IF(ISBLANK('Data Entry'!$ē$672), "", 'Data Entry'!$ē$672)</f>
      </c>
      <c r="HD672">
        <f>IF(ISBLANK('Data Entry'!$Ĕ$672), "", 'Data Entry'!$Ĕ$672)</f>
      </c>
      <c r="HE672">
        <f>IF(ISBLANK('Data Entry'!$ĕ$672), "", 'Data Entry'!$ĕ$672)</f>
      </c>
      <c r="HF672">
        <f>IF(ISBLANK('Data Entry'!$Ė$672), "", 'Data Entry'!$Ė$672)</f>
      </c>
      <c r="HG672">
        <f>IF(ISBLANK('Data Entry'!$ė$672), "", 'Data Entry'!$ė$672)</f>
      </c>
      <c r="HH672">
        <f>IF(ISBLANK('Data Entry'!$Ę$672), "", 'Data Entry'!$Ę$672)</f>
      </c>
      <c r="HI672">
        <f>IF(ISBLANK('Data Entry'!$ę$672), "", 'Data Entry'!$ę$672)</f>
      </c>
      <c r="HJ672">
        <f>IF(ISBLANK('Data Entry'!$Ě$672), "", 'Data Entry'!$Ě$672)</f>
      </c>
      <c r="HK672">
        <f>IF(ISBLANK('Data Entry'!$ě$672), "", 'Data Entry'!$ě$672)</f>
      </c>
      <c r="HL672">
        <f>IF(ISBLANK('Data Entry'!$Ĝ$672), "", 'Data Entry'!$Ĝ$672)</f>
      </c>
      <c r="HM672">
        <f>IF(ISBLANK('Data Entry'!$ĝ$672), "", 'Data Entry'!$ĝ$672)</f>
      </c>
      <c r="HN672">
        <f>IF(ISBLANK('Data Entry'!$Ğ$672), "", 'Data Entry'!$Ğ$672)</f>
      </c>
      <c r="HO672">
        <f>IF(ISBLANK('Data Entry'!$ğ$672), "", 'Data Entry'!$ğ$672)</f>
      </c>
      <c r="HP672">
        <f>IF(ISBLANK('Data Entry'!$Ġ$672), "", 'Data Entry'!$Ġ$672)</f>
      </c>
      <c r="HQ672">
        <f>IF(ISBLANK('Data Entry'!$ġ$672), "", 'Data Entry'!$ġ$672)</f>
      </c>
      <c r="HR672">
        <f>IF(ISBLANK('Data Entry'!$Ģ$672), "", 'Data Entry'!$Ģ$672)</f>
      </c>
      <c r="HS672">
        <f>IF(ISBLANK('Data Entry'!$ģ$672), "", 'Data Entry'!$ģ$672)</f>
      </c>
      <c r="HT672">
        <f>IF(ISBLANK('Data Entry'!$Ĥ$672), "", 'Data Entry'!$Ĥ$672)</f>
      </c>
      <c r="HU672">
        <f>IF(ISBLANK('Data Entry'!$ĥ$672), "", 'Data Entry'!$ĥ$672)</f>
      </c>
      <c r="HV672">
        <f>IF(ISBLANK('Data Entry'!$Ħ$672), "", 'Data Entry'!$Ħ$672)</f>
      </c>
      <c r="HW672">
        <f>IF(ISBLANK('Data Entry'!$ħ$672), "", 'Data Entry'!$ħ$672)</f>
      </c>
      <c r="HX672">
        <f>IF(ISBLANK('Data Entry'!$Ĩ$672), "", 'Data Entry'!$Ĩ$672)</f>
      </c>
      <c r="HY672">
        <f>IF(ISBLANK('Data Entry'!$ĩ$672), "", 'Data Entry'!$ĩ$672)</f>
      </c>
      <c r="HZ672">
        <f>IF(ISBLANK('Data Entry'!$Ī$672), "", 'Data Entry'!$Ī$672)</f>
      </c>
      <c r="IA672">
        <f>IF(ISBLANK('Data Entry'!$ī$672), "", 'Data Entry'!$ī$672)</f>
      </c>
      <c r="IB672">
        <f>IF(ISBLANK('Data Entry'!$Ĭ$672), "", 'Data Entry'!$Ĭ$672)</f>
      </c>
      <c r="IC672">
        <f>IF(ISBLANK('Data Entry'!$ĭ$672), "", 'Data Entry'!$ĭ$672)</f>
      </c>
      <c r="ID672">
        <f>IF(ISBLANK('Data Entry'!$Į$672), "", 'Data Entry'!$Į$672)</f>
      </c>
      <c r="IE672">
        <f>IF(ISBLANK('Data Entry'!$į$672), "", 'Data Entry'!$į$672)</f>
      </c>
      <c r="IF672">
        <f>IF(ISBLANK('Data Entry'!$İ$672), "", 'Data Entry'!$İ$672)</f>
      </c>
      <c r="IG672">
        <f>IF(ISBLANK('Data Entry'!$ı$672), "", 'Data Entry'!$ı$672)</f>
      </c>
      <c r="IH672">
        <f>IF(ISBLANK('Data Entry'!$Ĳ$672), "", 'Data Entry'!$Ĳ$672)</f>
      </c>
      <c r="II672">
        <f>IF(ISBLANK('Data Entry'!$ĳ$672), "", 'Data Entry'!$ĳ$672)</f>
      </c>
      <c r="IJ672">
        <f>IF(ISBLANK('Data Entry'!$Ĵ$672), "", 'Data Entry'!$Ĵ$672)</f>
      </c>
      <c r="IK672">
        <f>IF(ISBLANK('Data Entry'!$ĵ$672), "", 'Data Entry'!$ĵ$672)</f>
      </c>
      <c r="IL672">
        <f>IF(ISBLANK('Data Entry'!$Ķ$672), "", 'Data Entry'!$Ķ$672)</f>
      </c>
      <c r="IM672">
        <f>IF(ISBLANK('Data Entry'!$ķ$672), "", 'Data Entry'!$ķ$672)</f>
      </c>
      <c r="IN672">
        <f>IF(ISBLANK('Data Entry'!$ĸ$672), "", 'Data Entry'!$ĸ$672)</f>
      </c>
      <c r="IO672">
        <f>IF(ISBLANK('Data Entry'!$Ĺ$672), "", 'Data Entry'!$Ĺ$672)</f>
      </c>
      <c r="IP672">
        <f>IF(ISBLANK('Data Entry'!$ĺ$672), "", 'Data Entry'!$ĺ$672)</f>
      </c>
      <c r="IQ672">
        <f>IF(ISBLANK('Data Entry'!$Ļ$672), "", 'Data Entry'!$Ļ$672)</f>
      </c>
      <c r="IR672">
        <f>IF(ISBLANK('Data Entry'!$ļ$672), "", 'Data Entry'!$ļ$672)</f>
      </c>
      <c r="IS672">
        <f>IF(ISBLANK('Data Entry'!$Ľ$672), "", 'Data Entry'!$Ľ$672)</f>
      </c>
      <c r="IT672">
        <f>IF(ISBLANK('Data Entry'!$ľ$672), "", 'Data Entry'!$ľ$672)</f>
      </c>
    </row>
    <row r="673" spans="1:254" x14ac:dyDescent="0.25">
      <c r="A673">
        <f>IF(ISBLANK('Data Entry'!$A$673), "", 'Data Entry'!$A$673)</f>
      </c>
      <c r="B673">
        <f>IF(ISBLANK('Data Entry'!$B$673), "", 'Data Entry'!$B$673)</f>
      </c>
      <c r="C673">
        <f>IF(ISBLANK('Data Entry'!$C$673), "", 'Data Entry'!$C$673)</f>
      </c>
      <c r="D673">
        <f>IF(ISBLANK('Data Entry'!$D$673), "", 'Data Entry'!$D$673)</f>
      </c>
      <c r="E673">
        <f>IF(ISBLANK('Data Entry'!$E$673), "", 'Data Entry'!$E$673)</f>
      </c>
      <c r="F673">
        <f>IF(ISBLANK('Data Entry'!$F$673), "", 'Data Entry'!$F$673)</f>
      </c>
      <c r="G673">
        <f>IF(ISBLANK('Data Entry'!$G$673), "", 'Data Entry'!$G$673)</f>
      </c>
      <c r="H673">
        <f>IF(ISBLANK('Data Entry'!$H$673), "", 'Data Entry'!$H$673)</f>
      </c>
      <c r="I673">
        <f>IF(ISBLANK('Data Entry'!$I$673), "", 'Data Entry'!$I$673)</f>
      </c>
      <c r="J673">
        <f>IF(ISBLANK('Data Entry'!$J$673), "", 'Data Entry'!$J$673)</f>
      </c>
      <c r="K673">
        <f>IF(ISBLANK('Data Entry'!$K$673), "", 'Data Entry'!$K$673)</f>
      </c>
      <c r="L673">
        <f>IF(ISBLANK('Data Entry'!$L$673), "", 'Data Entry'!$L$673)</f>
      </c>
      <c r="M673">
        <f>IF(ISBLANK('Data Entry'!$M$673), "", 'Data Entry'!$M$673)</f>
      </c>
      <c r="N673">
        <f>IF(ISBLANK('Data Entry'!$N$673), "", 'Data Entry'!$N$673)</f>
      </c>
      <c r="O673">
        <f>IF(ISBLANK('Data Entry'!$O$673), "", 'Data Entry'!$O$673)</f>
      </c>
      <c r="P673">
        <f>IF(ISBLANK('Data Entry'!$P$673), "", 'Data Entry'!$P$673)</f>
      </c>
      <c r="Q673">
        <f>IF(ISBLANK('Data Entry'!$Q$673), "", 'Data Entry'!$Q$673)</f>
      </c>
      <c r="R673">
        <f>IF(ISBLANK('Data Entry'!$R$673), "", 'Data Entry'!$R$673)</f>
      </c>
      <c r="S673">
        <f>IF(ISBLANK('Data Entry'!$S$673), "", 'Data Entry'!$S$673)</f>
      </c>
      <c r="T673">
        <f>IF(ISBLANK('Data Entry'!$T$673), "", 'Data Entry'!$T$673)</f>
      </c>
      <c r="U673">
        <f>IF(ISBLANK('Data Entry'!$U$673), "", 'Data Entry'!$U$673)</f>
      </c>
      <c r="V673">
        <f>IF(ISBLANK('Data Entry'!$V$673), "", 'Data Entry'!$V$673)</f>
      </c>
      <c r="W673">
        <f>IF(ISBLANK('Data Entry'!$W$673), "", 'Data Entry'!$W$673)</f>
      </c>
      <c r="X673">
        <f>IF(ISBLANK('Data Entry'!$X$673), "", 'Data Entry'!$X$673)</f>
      </c>
      <c r="Y673">
        <f>IF(ISBLANK('Data Entry'!$Y$673), "", 'Data Entry'!$Y$673)</f>
      </c>
      <c r="Z673">
        <f>IF(ISBLANK('Data Entry'!$Z$673), "", 'Data Entry'!$Z$673)</f>
      </c>
      <c r="AA673">
        <f>IF(ISBLANK('Data Entry'!$[$673), "", 'Data Entry'!$[$673)</f>
      </c>
      <c r="AB673">
        <f>IF(ISBLANK('Data Entry'!$\$673), "", 'Data Entry'!$\$673)</f>
      </c>
      <c r="AC673">
        <f>IF(ISBLANK('Data Entry'!$]$673), "", 'Data Entry'!$]$673)</f>
      </c>
      <c r="AD673">
        <f>IF(ISBLANK('Data Entry'!$^$673), "", 'Data Entry'!$^$673)</f>
      </c>
      <c r="AE673">
        <f>IF(ISBLANK('Data Entry'!$_$673), "", 'Data Entry'!$_$673)</f>
      </c>
      <c r="AF673">
        <f>IF(ISBLANK('Data Entry'!$`$673), "", 'Data Entry'!$`$673)</f>
      </c>
      <c r="AG673">
        <f>IF(ISBLANK('Data Entry'!$a$673), "", 'Data Entry'!$a$673)</f>
      </c>
      <c r="AH673">
        <f>IF(ISBLANK('Data Entry'!$b$673), "", 'Data Entry'!$b$673)</f>
      </c>
      <c r="AI673">
        <f>IF(ISBLANK('Data Entry'!$c$673), "", 'Data Entry'!$c$673)</f>
      </c>
      <c r="AJ673">
        <f>IF(ISBLANK('Data Entry'!$d$673), "", 'Data Entry'!$d$673)</f>
      </c>
      <c r="AK673">
        <f>IF(ISBLANK('Data Entry'!$e$673), "", 'Data Entry'!$e$673)</f>
      </c>
      <c r="AL673">
        <f>IF(ISBLANK('Data Entry'!$f$673), "", 'Data Entry'!$f$673)</f>
      </c>
      <c r="AM673">
        <f>IF(ISBLANK('Data Entry'!$g$673), "", 'Data Entry'!$g$673)</f>
      </c>
      <c r="AN673">
        <f>IF(ISBLANK('Data Entry'!$h$673), "", 'Data Entry'!$h$673)</f>
      </c>
      <c r="AO673">
        <f>IF(ISBLANK('Data Entry'!$i$673), "", 'Data Entry'!$i$673)</f>
      </c>
      <c r="AP673">
        <f>IF(ISBLANK('Data Entry'!$j$673), "", 'Data Entry'!$j$673)</f>
      </c>
      <c r="AQ673">
        <f>IF(ISBLANK('Data Entry'!$k$673), "", 'Data Entry'!$k$673)</f>
      </c>
      <c r="AR673">
        <f>IF(ISBLANK('Data Entry'!$l$673), "", 'Data Entry'!$l$673)</f>
      </c>
      <c r="AS673">
        <f>IF(ISBLANK('Data Entry'!$m$673), "", 'Data Entry'!$m$673)</f>
      </c>
      <c r="AT673">
        <f>IF(ISBLANK('Data Entry'!$n$673), "", 'Data Entry'!$n$673)</f>
      </c>
      <c r="AU673">
        <f>IF(ISBLANK('Data Entry'!$o$673), "", 'Data Entry'!$o$673)</f>
      </c>
      <c r="AV673">
        <f>IF(ISBLANK('Data Entry'!$p$673), "", 'Data Entry'!$p$673)</f>
      </c>
      <c r="AW673">
        <f>IF(ISBLANK('Data Entry'!$q$673), "", 'Data Entry'!$q$673)</f>
      </c>
      <c r="AX673">
        <f>IF(ISBLANK('Data Entry'!$r$673), "", 'Data Entry'!$r$673)</f>
      </c>
      <c r="AY673">
        <f>IF(ISBLANK('Data Entry'!$s$673), "", 'Data Entry'!$s$673)</f>
      </c>
      <c r="AZ673">
        <f>IF(ISBLANK('Data Entry'!$t$673), "", 'Data Entry'!$t$673)</f>
      </c>
      <c r="BA673">
        <f>IF(ISBLANK('Data Entry'!$u$673), "", 'Data Entry'!$u$673)</f>
      </c>
      <c r="BB673">
        <f>IF(ISBLANK('Data Entry'!$v$673), "", 'Data Entry'!$v$673)</f>
      </c>
      <c r="BC673">
        <f>IF(ISBLANK('Data Entry'!$w$673), "", 'Data Entry'!$w$673)</f>
      </c>
      <c r="BD673">
        <f>IF(ISBLANK('Data Entry'!$x$673), "", 'Data Entry'!$x$673)</f>
      </c>
      <c r="BE673">
        <f>IF(ISBLANK('Data Entry'!$y$673), "", 'Data Entry'!$y$673)</f>
      </c>
      <c r="BF673">
        <f>IF(ISBLANK('Data Entry'!$z$673), "", 'Data Entry'!$z$673)</f>
      </c>
      <c r="BG673">
        <f>IF(ISBLANK('Data Entry'!${$673), "", 'Data Entry'!${$673)</f>
      </c>
      <c r="BH673">
        <f>IF(ISBLANK('Data Entry'!$|$673), "", 'Data Entry'!$|$673)</f>
      </c>
      <c r="BI673">
        <f>IF(ISBLANK('Data Entry'!$}$673), "", 'Data Entry'!$}$673)</f>
      </c>
      <c r="BJ673">
        <f>IF(ISBLANK('Data Entry'!$~$673), "", 'Data Entry'!$~$673)</f>
      </c>
      <c r="BK673">
        <f>IF(ISBLANK('Data Entry'!$$673), "", 'Data Entry'!$$673)</f>
      </c>
      <c r="BL673">
        <f>IF(ISBLANK('Data Entry'!$$673), "", 'Data Entry'!$$673)</f>
      </c>
      <c r="BM673">
        <f>IF(ISBLANK('Data Entry'!$$673), "", 'Data Entry'!$$673)</f>
      </c>
      <c r="BN673">
        <f>IF(ISBLANK('Data Entry'!$$673), "", 'Data Entry'!$$673)</f>
      </c>
      <c r="BO673">
        <f>IF(ISBLANK('Data Entry'!$$673), "", 'Data Entry'!$$673)</f>
      </c>
      <c r="BP673">
        <f>IF(ISBLANK('Data Entry'!$$673), "", 'Data Entry'!$$673)</f>
      </c>
      <c r="BQ673">
        <f>IF(ISBLANK('Data Entry'!$$673), "", 'Data Entry'!$$673)</f>
      </c>
      <c r="BR673">
        <f>IF(ISBLANK('Data Entry'!$$673), "", 'Data Entry'!$$673)</f>
      </c>
      <c r="BS673">
        <f>IF(ISBLANK('Data Entry'!$$673), "", 'Data Entry'!$$673)</f>
      </c>
      <c r="BT673">
        <f>IF(ISBLANK('Data Entry'!$$673), "", 'Data Entry'!$$673)</f>
      </c>
      <c r="BU673">
        <f>IF(ISBLANK('Data Entry'!$$673), "", 'Data Entry'!$$673)</f>
      </c>
      <c r="BV673">
        <f>IF(ISBLANK('Data Entry'!$$673), "", 'Data Entry'!$$673)</f>
      </c>
      <c r="BW673">
        <f>IF(ISBLANK('Data Entry'!$$673), "", 'Data Entry'!$$673)</f>
      </c>
      <c r="BX673">
        <f>IF(ISBLANK('Data Entry'!$$673), "", 'Data Entry'!$$673)</f>
      </c>
      <c r="BY673">
        <f>IF(ISBLANK('Data Entry'!$$673), "", 'Data Entry'!$$673)</f>
      </c>
      <c r="BZ673">
        <f>IF(ISBLANK('Data Entry'!$$673), "", 'Data Entry'!$$673)</f>
      </c>
      <c r="CA673">
        <f>IF(ISBLANK('Data Entry'!$$673), "", 'Data Entry'!$$673)</f>
      </c>
      <c r="CB673">
        <f>IF(ISBLANK('Data Entry'!$$673), "", 'Data Entry'!$$673)</f>
      </c>
      <c r="CC673">
        <f>IF(ISBLANK('Data Entry'!$$673), "", 'Data Entry'!$$673)</f>
      </c>
      <c r="CD673">
        <f>IF(ISBLANK('Data Entry'!$$673), "", 'Data Entry'!$$673)</f>
      </c>
      <c r="CE673">
        <f>IF(ISBLANK('Data Entry'!$$673), "", 'Data Entry'!$$673)</f>
      </c>
      <c r="CF673">
        <f>IF(ISBLANK('Data Entry'!$$673), "", 'Data Entry'!$$673)</f>
      </c>
      <c r="CG673">
        <f>IF(ISBLANK('Data Entry'!$$673), "", 'Data Entry'!$$673)</f>
      </c>
      <c r="CH673">
        <f>IF(ISBLANK('Data Entry'!$$673), "", 'Data Entry'!$$673)</f>
      </c>
      <c r="CI673">
        <f>IF(ISBLANK('Data Entry'!$$673), "", 'Data Entry'!$$673)</f>
      </c>
      <c r="CJ673">
        <f>IF(ISBLANK('Data Entry'!$$673), "", 'Data Entry'!$$673)</f>
      </c>
      <c r="CK673">
        <f>IF(ISBLANK('Data Entry'!$$673), "", 'Data Entry'!$$673)</f>
      </c>
      <c r="CL673">
        <f>IF(ISBLANK('Data Entry'!$$673), "", 'Data Entry'!$$673)</f>
      </c>
      <c r="CM673">
        <f>IF(ISBLANK('Data Entry'!$$673), "", 'Data Entry'!$$673)</f>
      </c>
      <c r="CN673">
        <f>IF(ISBLANK('Data Entry'!$$673), "", 'Data Entry'!$$673)</f>
      </c>
      <c r="CO673">
        <f>IF(ISBLANK('Data Entry'!$$673), "", 'Data Entry'!$$673)</f>
      </c>
      <c r="CP673">
        <f>IF(ISBLANK('Data Entry'!$$673), "", 'Data Entry'!$$673)</f>
      </c>
      <c r="CQ673">
        <f>IF(ISBLANK('Data Entry'!$$673), "", 'Data Entry'!$$673)</f>
      </c>
      <c r="CR673">
        <f>IF(ISBLANK('Data Entry'!$ $673), "", 'Data Entry'!$ $673)</f>
      </c>
      <c r="CS673">
        <f>IF(ISBLANK('Data Entry'!$¡$673), "", 'Data Entry'!$¡$673)</f>
      </c>
      <c r="CT673">
        <f>IF(ISBLANK('Data Entry'!$¢$673), "", 'Data Entry'!$¢$673)</f>
      </c>
      <c r="CU673">
        <f>IF(ISBLANK('Data Entry'!$£$673), "", 'Data Entry'!$£$673)</f>
      </c>
      <c r="CV673">
        <f>IF(ISBLANK('Data Entry'!$¤$673), "", 'Data Entry'!$¤$673)</f>
      </c>
      <c r="CW673">
        <f>IF(ISBLANK('Data Entry'!$¥$673), "", 'Data Entry'!$¥$673)</f>
      </c>
      <c r="CX673">
        <f>IF(ISBLANK('Data Entry'!$¦$673), "", 'Data Entry'!$¦$673)</f>
      </c>
      <c r="CY673">
        <f>IF(ISBLANK('Data Entry'!$§$673), "", 'Data Entry'!$§$673)</f>
      </c>
      <c r="CZ673">
        <f>IF(ISBLANK('Data Entry'!$¨$673), "", 'Data Entry'!$¨$673)</f>
      </c>
      <c r="DA673">
        <f>IF(ISBLANK('Data Entry'!$©$673), "", 'Data Entry'!$©$673)</f>
      </c>
      <c r="DB673">
        <f>IF(ISBLANK('Data Entry'!$ª$673), "", 'Data Entry'!$ª$673)</f>
      </c>
      <c r="DC673">
        <f>IF(ISBLANK('Data Entry'!$«$673), "", 'Data Entry'!$«$673)</f>
      </c>
      <c r="DD673">
        <f>IF(ISBLANK('Data Entry'!$¬$673), "", 'Data Entry'!$¬$673)</f>
      </c>
      <c r="DE673">
        <f>IF(ISBLANK('Data Entry'!$­$673), "", 'Data Entry'!$­$673)</f>
      </c>
      <c r="DF673">
        <f>IF(ISBLANK('Data Entry'!$®$673), "", 'Data Entry'!$®$673)</f>
      </c>
      <c r="DG673">
        <f>IF(ISBLANK('Data Entry'!$¯$673), "", 'Data Entry'!$¯$673)</f>
      </c>
      <c r="DH673">
        <f>IF(ISBLANK('Data Entry'!$°$673), "", 'Data Entry'!$°$673)</f>
      </c>
      <c r="DI673">
        <f>IF(ISBLANK('Data Entry'!$±$673), "", 'Data Entry'!$±$673)</f>
      </c>
      <c r="DJ673">
        <f>IF(ISBLANK('Data Entry'!$²$673), "", 'Data Entry'!$²$673)</f>
      </c>
      <c r="DK673">
        <f>IF(ISBLANK('Data Entry'!$³$673), "", 'Data Entry'!$³$673)</f>
      </c>
      <c r="DL673">
        <f>IF(ISBLANK('Data Entry'!$´$673), "", 'Data Entry'!$´$673)</f>
      </c>
      <c r="DM673">
        <f>IF(ISBLANK('Data Entry'!$µ$673), "", 'Data Entry'!$µ$673)</f>
      </c>
      <c r="DN673">
        <f>IF(ISBLANK('Data Entry'!$¶$673), "", 'Data Entry'!$¶$673)</f>
      </c>
      <c r="DO673">
        <f>IF(ISBLANK('Data Entry'!$·$673), "", 'Data Entry'!$·$673)</f>
      </c>
      <c r="DP673">
        <f>IF(ISBLANK('Data Entry'!$¸$673), "", 'Data Entry'!$¸$673)</f>
      </c>
      <c r="DQ673">
        <f>IF(ISBLANK('Data Entry'!$¹$673), "", 'Data Entry'!$¹$673)</f>
      </c>
      <c r="DR673">
        <f>IF(ISBLANK('Data Entry'!$º$673), "", 'Data Entry'!$º$673)</f>
      </c>
      <c r="DS673">
        <f>IF(ISBLANK('Data Entry'!$»$673), "", 'Data Entry'!$»$673)</f>
      </c>
      <c r="DT673">
        <f>IF(ISBLANK('Data Entry'!$¼$673), "", 'Data Entry'!$¼$673)</f>
      </c>
      <c r="DU673">
        <f>IF(ISBLANK('Data Entry'!$½$673), "", 'Data Entry'!$½$673)</f>
      </c>
      <c r="DV673">
        <f>IF(ISBLANK('Data Entry'!$¾$673), "", 'Data Entry'!$¾$673)</f>
      </c>
      <c r="DW673">
        <f>IF(ISBLANK('Data Entry'!$¿$673), "", 'Data Entry'!$¿$673)</f>
      </c>
      <c r="DX673">
        <f>IF(ISBLANK('Data Entry'!$À$673), "", 'Data Entry'!$À$673)</f>
      </c>
      <c r="DY673">
        <f>IF(ISBLANK('Data Entry'!$Á$673), "", 'Data Entry'!$Á$673)</f>
      </c>
      <c r="DZ673">
        <f>IF(ISBLANK('Data Entry'!$Â$673), "", 'Data Entry'!$Â$673)</f>
      </c>
      <c r="EA673">
        <f>IF(ISBLANK('Data Entry'!$Ã$673), "", 'Data Entry'!$Ã$673)</f>
      </c>
      <c r="EB673">
        <f>IF(ISBLANK('Data Entry'!$Ä$673), "", 'Data Entry'!$Ä$673)</f>
      </c>
      <c r="EC673">
        <f>IF(ISBLANK('Data Entry'!$Å$673), "", 'Data Entry'!$Å$673)</f>
      </c>
      <c r="ED673">
        <f>IF(ISBLANK('Data Entry'!$Æ$673), "", 'Data Entry'!$Æ$673)</f>
      </c>
      <c r="EE673">
        <f>IF(ISBLANK('Data Entry'!$Ç$673), "", 'Data Entry'!$Ç$673)</f>
      </c>
      <c r="EF673">
        <f>IF(ISBLANK('Data Entry'!$È$673), "", 'Data Entry'!$È$673)</f>
      </c>
      <c r="EG673">
        <f>IF(ISBLANK('Data Entry'!$É$673), "", 'Data Entry'!$É$673)</f>
      </c>
      <c r="EH673">
        <f>IF(ISBLANK('Data Entry'!$Ê$673), "", 'Data Entry'!$Ê$673)</f>
      </c>
      <c r="EI673">
        <f>IF(ISBLANK('Data Entry'!$Ë$673), "", 'Data Entry'!$Ë$673)</f>
      </c>
      <c r="EJ673">
        <f>IF(ISBLANK('Data Entry'!$Ì$673), "", 'Data Entry'!$Ì$673)</f>
      </c>
      <c r="EK673">
        <f>IF(ISBLANK('Data Entry'!$Í$673), "", 'Data Entry'!$Í$673)</f>
      </c>
      <c r="EL673">
        <f>IF(ISBLANK('Data Entry'!$Î$673), "", 'Data Entry'!$Î$673)</f>
      </c>
      <c r="EM673">
        <f>IF(ISBLANK('Data Entry'!$Ï$673), "", 'Data Entry'!$Ï$673)</f>
      </c>
      <c r="EN673">
        <f>IF(ISBLANK('Data Entry'!$Ð$673), "", 'Data Entry'!$Ð$673)</f>
      </c>
      <c r="EO673">
        <f>IF(ISBLANK('Data Entry'!$Ñ$673), "", 'Data Entry'!$Ñ$673)</f>
      </c>
      <c r="EP673">
        <f>IF(ISBLANK('Data Entry'!$Ò$673), "", 'Data Entry'!$Ò$673)</f>
      </c>
      <c r="EQ673">
        <f>IF(ISBLANK('Data Entry'!$Ó$673), "", 'Data Entry'!$Ó$673)</f>
      </c>
      <c r="ER673">
        <f>IF(ISBLANK('Data Entry'!$Ô$673), "", 'Data Entry'!$Ô$673)</f>
      </c>
      <c r="ES673">
        <f>IF(ISBLANK('Data Entry'!$Õ$673), "", 'Data Entry'!$Õ$673)</f>
      </c>
      <c r="ET673">
        <f>IF(ISBLANK('Data Entry'!$Ö$673), "", 'Data Entry'!$Ö$673)</f>
      </c>
      <c r="EU673">
        <f>IF(ISBLANK('Data Entry'!$×$673), "", 'Data Entry'!$×$673)</f>
      </c>
      <c r="EV673">
        <f>IF(ISBLANK('Data Entry'!$Ø$673), "", 'Data Entry'!$Ø$673)</f>
      </c>
      <c r="EW673">
        <f>IF(ISBLANK('Data Entry'!$Ù$673), "", 'Data Entry'!$Ù$673)</f>
      </c>
      <c r="EX673">
        <f>IF(ISBLANK('Data Entry'!$Ú$673), "", 'Data Entry'!$Ú$673)</f>
      </c>
      <c r="EY673">
        <f>IF(ISBLANK('Data Entry'!$Û$673), "", 'Data Entry'!$Û$673)</f>
      </c>
      <c r="EZ673">
        <f>IF(ISBLANK('Data Entry'!$Ü$673), "", 'Data Entry'!$Ü$673)</f>
      </c>
      <c r="FA673">
        <f>IF(ISBLANK('Data Entry'!$Ý$673), "", 'Data Entry'!$Ý$673)</f>
      </c>
      <c r="FB673">
        <f>IF(ISBLANK('Data Entry'!$Þ$673), "", 'Data Entry'!$Þ$673)</f>
      </c>
      <c r="FC673">
        <f>IF(ISBLANK('Data Entry'!$ß$673), "", 'Data Entry'!$ß$673)</f>
      </c>
      <c r="FD673">
        <f>IF(ISBLANK('Data Entry'!$à$673), "", 'Data Entry'!$à$673)</f>
      </c>
      <c r="FE673">
        <f>IF(ISBLANK('Data Entry'!$á$673), "", 'Data Entry'!$á$673)</f>
      </c>
      <c r="FF673">
        <f>IF(ISBLANK('Data Entry'!$â$673), "", 'Data Entry'!$â$673)</f>
      </c>
      <c r="FG673">
        <f>IF(ISBLANK('Data Entry'!$ã$673), "", 'Data Entry'!$ã$673)</f>
      </c>
      <c r="FH673">
        <f>IF(ISBLANK('Data Entry'!$ä$673), "", 'Data Entry'!$ä$673)</f>
      </c>
      <c r="FI673">
        <f>IF(ISBLANK('Data Entry'!$å$673), "", 'Data Entry'!$å$673)</f>
      </c>
      <c r="FJ673">
        <f>IF(ISBLANK('Data Entry'!$æ$673), "", 'Data Entry'!$æ$673)</f>
      </c>
      <c r="FK673">
        <f>IF(ISBLANK('Data Entry'!$ç$673), "", 'Data Entry'!$ç$673)</f>
      </c>
      <c r="FL673">
        <f>IF(ISBLANK('Data Entry'!$è$673), "", 'Data Entry'!$è$673)</f>
      </c>
      <c r="FM673">
        <f>IF(ISBLANK('Data Entry'!$é$673), "", 'Data Entry'!$é$673)</f>
      </c>
      <c r="FN673">
        <f>IF(ISBLANK('Data Entry'!$ê$673), "", 'Data Entry'!$ê$673)</f>
      </c>
      <c r="FO673">
        <f>IF(ISBLANK('Data Entry'!$ë$673), "", 'Data Entry'!$ë$673)</f>
      </c>
      <c r="FP673">
        <f>IF(ISBLANK('Data Entry'!$ì$673), "", 'Data Entry'!$ì$673)</f>
      </c>
      <c r="FQ673">
        <f>IF(ISBLANK('Data Entry'!$í$673), "", 'Data Entry'!$í$673)</f>
      </c>
      <c r="FR673">
        <f>IF(ISBLANK('Data Entry'!$î$673), "", 'Data Entry'!$î$673)</f>
      </c>
      <c r="FS673">
        <f>IF(ISBLANK('Data Entry'!$ï$673), "", 'Data Entry'!$ï$673)</f>
      </c>
      <c r="FT673">
        <f>IF(ISBLANK('Data Entry'!$ð$673), "", 'Data Entry'!$ð$673)</f>
      </c>
      <c r="FU673">
        <f>IF(ISBLANK('Data Entry'!$ñ$673), "", 'Data Entry'!$ñ$673)</f>
      </c>
      <c r="FV673">
        <f>IF(ISBLANK('Data Entry'!$ò$673), "", 'Data Entry'!$ò$673)</f>
      </c>
      <c r="FW673">
        <f>IF(ISBLANK('Data Entry'!$ó$673), "", 'Data Entry'!$ó$673)</f>
      </c>
      <c r="FX673">
        <f>IF(ISBLANK('Data Entry'!$ô$673), "", 'Data Entry'!$ô$673)</f>
      </c>
      <c r="FY673">
        <f>IF(ISBLANK('Data Entry'!$õ$673), "", 'Data Entry'!$õ$673)</f>
      </c>
      <c r="FZ673">
        <f>IF(ISBLANK('Data Entry'!$ö$673), "", 'Data Entry'!$ö$673)</f>
      </c>
      <c r="GA673">
        <f>IF(ISBLANK('Data Entry'!$÷$673), "", 'Data Entry'!$÷$673)</f>
      </c>
      <c r="GB673">
        <f>IF(ISBLANK('Data Entry'!$ø$673), "", 'Data Entry'!$ø$673)</f>
      </c>
      <c r="GC673">
        <f>IF(ISBLANK('Data Entry'!$ù$673), "", 'Data Entry'!$ù$673)</f>
      </c>
      <c r="GD673">
        <f>IF(ISBLANK('Data Entry'!$ú$673), "", 'Data Entry'!$ú$673)</f>
      </c>
      <c r="GE673">
        <f>IF(ISBLANK('Data Entry'!$û$673), "", 'Data Entry'!$û$673)</f>
      </c>
      <c r="GF673">
        <f>IF(ISBLANK('Data Entry'!$ü$673), "", 'Data Entry'!$ü$673)</f>
      </c>
      <c r="GG673">
        <f>IF(ISBLANK('Data Entry'!$ý$673), "", 'Data Entry'!$ý$673)</f>
      </c>
      <c r="GH673">
        <f>IF(ISBLANK('Data Entry'!$þ$673), "", 'Data Entry'!$þ$673)</f>
      </c>
      <c r="GI673">
        <f>IF(ISBLANK('Data Entry'!$ÿ$673), "", 'Data Entry'!$ÿ$673)</f>
      </c>
      <c r="GJ673">
        <f>IF(ISBLANK('Data Entry'!$Ā$673), "", 'Data Entry'!$Ā$673)</f>
      </c>
      <c r="GK673">
        <f>IF(ISBLANK('Data Entry'!$ā$673), "", 'Data Entry'!$ā$673)</f>
      </c>
      <c r="GL673">
        <f>IF(ISBLANK('Data Entry'!$Ă$673), "", 'Data Entry'!$Ă$673)</f>
      </c>
      <c r="GM673">
        <f>IF(ISBLANK('Data Entry'!$ă$673), "", 'Data Entry'!$ă$673)</f>
      </c>
      <c r="GN673">
        <f>IF(ISBLANK('Data Entry'!$Ą$673), "", 'Data Entry'!$Ą$673)</f>
      </c>
      <c r="GO673">
        <f>IF(ISBLANK('Data Entry'!$ą$673), "", 'Data Entry'!$ą$673)</f>
      </c>
      <c r="GP673">
        <f>IF(ISBLANK('Data Entry'!$Ć$673), "", 'Data Entry'!$Ć$673)</f>
      </c>
      <c r="GQ673">
        <f>IF(ISBLANK('Data Entry'!$ć$673), "", 'Data Entry'!$ć$673)</f>
      </c>
      <c r="GR673">
        <f>IF(ISBLANK('Data Entry'!$Ĉ$673), "", 'Data Entry'!$Ĉ$673)</f>
      </c>
      <c r="GS673">
        <f>IF(ISBLANK('Data Entry'!$ĉ$673), "", 'Data Entry'!$ĉ$673)</f>
      </c>
      <c r="GT673">
        <f>IF(ISBLANK('Data Entry'!$Ċ$673), "", 'Data Entry'!$Ċ$673)</f>
      </c>
      <c r="GU673">
        <f>IF(ISBLANK('Data Entry'!$ċ$673), "", 'Data Entry'!$ċ$673)</f>
      </c>
      <c r="GV673">
        <f>IF(ISBLANK('Data Entry'!$Č$673), "", 'Data Entry'!$Č$673)</f>
      </c>
      <c r="GW673">
        <f>IF(ISBLANK('Data Entry'!$č$673), "", 'Data Entry'!$č$673)</f>
      </c>
      <c r="GX673">
        <f>IF(ISBLANK('Data Entry'!$Ď$673), "", 'Data Entry'!$Ď$673)</f>
      </c>
      <c r="GY673">
        <f>IF(ISBLANK('Data Entry'!$ď$673), "", 'Data Entry'!$ď$673)</f>
      </c>
      <c r="GZ673">
        <f>IF(ISBLANK('Data Entry'!$Đ$673), "", 'Data Entry'!$Đ$673)</f>
      </c>
      <c r="HA673">
        <f>IF(ISBLANK('Data Entry'!$đ$673), "", 'Data Entry'!$đ$673)</f>
      </c>
      <c r="HB673">
        <f>IF(ISBLANK('Data Entry'!$Ē$673), "", 'Data Entry'!$Ē$673)</f>
      </c>
      <c r="HC673">
        <f>IF(ISBLANK('Data Entry'!$ē$673), "", 'Data Entry'!$ē$673)</f>
      </c>
      <c r="HD673">
        <f>IF(ISBLANK('Data Entry'!$Ĕ$673), "", 'Data Entry'!$Ĕ$673)</f>
      </c>
      <c r="HE673">
        <f>IF(ISBLANK('Data Entry'!$ĕ$673), "", 'Data Entry'!$ĕ$673)</f>
      </c>
      <c r="HF673">
        <f>IF(ISBLANK('Data Entry'!$Ė$673), "", 'Data Entry'!$Ė$673)</f>
      </c>
      <c r="HG673">
        <f>IF(ISBLANK('Data Entry'!$ė$673), "", 'Data Entry'!$ė$673)</f>
      </c>
      <c r="HH673">
        <f>IF(ISBLANK('Data Entry'!$Ę$673), "", 'Data Entry'!$Ę$673)</f>
      </c>
      <c r="HI673">
        <f>IF(ISBLANK('Data Entry'!$ę$673), "", 'Data Entry'!$ę$673)</f>
      </c>
      <c r="HJ673">
        <f>IF(ISBLANK('Data Entry'!$Ě$673), "", 'Data Entry'!$Ě$673)</f>
      </c>
      <c r="HK673">
        <f>IF(ISBLANK('Data Entry'!$ě$673), "", 'Data Entry'!$ě$673)</f>
      </c>
      <c r="HL673">
        <f>IF(ISBLANK('Data Entry'!$Ĝ$673), "", 'Data Entry'!$Ĝ$673)</f>
      </c>
      <c r="HM673">
        <f>IF(ISBLANK('Data Entry'!$ĝ$673), "", 'Data Entry'!$ĝ$673)</f>
      </c>
      <c r="HN673">
        <f>IF(ISBLANK('Data Entry'!$Ğ$673), "", 'Data Entry'!$Ğ$673)</f>
      </c>
      <c r="HO673">
        <f>IF(ISBLANK('Data Entry'!$ğ$673), "", 'Data Entry'!$ğ$673)</f>
      </c>
      <c r="HP673">
        <f>IF(ISBLANK('Data Entry'!$Ġ$673), "", 'Data Entry'!$Ġ$673)</f>
      </c>
      <c r="HQ673">
        <f>IF(ISBLANK('Data Entry'!$ġ$673), "", 'Data Entry'!$ġ$673)</f>
      </c>
      <c r="HR673">
        <f>IF(ISBLANK('Data Entry'!$Ģ$673), "", 'Data Entry'!$Ģ$673)</f>
      </c>
      <c r="HS673">
        <f>IF(ISBLANK('Data Entry'!$ģ$673), "", 'Data Entry'!$ģ$673)</f>
      </c>
      <c r="HT673">
        <f>IF(ISBLANK('Data Entry'!$Ĥ$673), "", 'Data Entry'!$Ĥ$673)</f>
      </c>
      <c r="HU673">
        <f>IF(ISBLANK('Data Entry'!$ĥ$673), "", 'Data Entry'!$ĥ$673)</f>
      </c>
      <c r="HV673">
        <f>IF(ISBLANK('Data Entry'!$Ħ$673), "", 'Data Entry'!$Ħ$673)</f>
      </c>
      <c r="HW673">
        <f>IF(ISBLANK('Data Entry'!$ħ$673), "", 'Data Entry'!$ħ$673)</f>
      </c>
      <c r="HX673">
        <f>IF(ISBLANK('Data Entry'!$Ĩ$673), "", 'Data Entry'!$Ĩ$673)</f>
      </c>
      <c r="HY673">
        <f>IF(ISBLANK('Data Entry'!$ĩ$673), "", 'Data Entry'!$ĩ$673)</f>
      </c>
      <c r="HZ673">
        <f>IF(ISBLANK('Data Entry'!$Ī$673), "", 'Data Entry'!$Ī$673)</f>
      </c>
      <c r="IA673">
        <f>IF(ISBLANK('Data Entry'!$ī$673), "", 'Data Entry'!$ī$673)</f>
      </c>
      <c r="IB673">
        <f>IF(ISBLANK('Data Entry'!$Ĭ$673), "", 'Data Entry'!$Ĭ$673)</f>
      </c>
      <c r="IC673">
        <f>IF(ISBLANK('Data Entry'!$ĭ$673), "", 'Data Entry'!$ĭ$673)</f>
      </c>
      <c r="ID673">
        <f>IF(ISBLANK('Data Entry'!$Į$673), "", 'Data Entry'!$Į$673)</f>
      </c>
      <c r="IE673">
        <f>IF(ISBLANK('Data Entry'!$į$673), "", 'Data Entry'!$į$673)</f>
      </c>
      <c r="IF673">
        <f>IF(ISBLANK('Data Entry'!$İ$673), "", 'Data Entry'!$İ$673)</f>
      </c>
      <c r="IG673">
        <f>IF(ISBLANK('Data Entry'!$ı$673), "", 'Data Entry'!$ı$673)</f>
      </c>
      <c r="IH673">
        <f>IF(ISBLANK('Data Entry'!$Ĳ$673), "", 'Data Entry'!$Ĳ$673)</f>
      </c>
      <c r="II673">
        <f>IF(ISBLANK('Data Entry'!$ĳ$673), "", 'Data Entry'!$ĳ$673)</f>
      </c>
      <c r="IJ673">
        <f>IF(ISBLANK('Data Entry'!$Ĵ$673), "", 'Data Entry'!$Ĵ$673)</f>
      </c>
      <c r="IK673">
        <f>IF(ISBLANK('Data Entry'!$ĵ$673), "", 'Data Entry'!$ĵ$673)</f>
      </c>
      <c r="IL673">
        <f>IF(ISBLANK('Data Entry'!$Ķ$673), "", 'Data Entry'!$Ķ$673)</f>
      </c>
      <c r="IM673">
        <f>IF(ISBLANK('Data Entry'!$ķ$673), "", 'Data Entry'!$ķ$673)</f>
      </c>
      <c r="IN673">
        <f>IF(ISBLANK('Data Entry'!$ĸ$673), "", 'Data Entry'!$ĸ$673)</f>
      </c>
      <c r="IO673">
        <f>IF(ISBLANK('Data Entry'!$Ĺ$673), "", 'Data Entry'!$Ĺ$673)</f>
      </c>
      <c r="IP673">
        <f>IF(ISBLANK('Data Entry'!$ĺ$673), "", 'Data Entry'!$ĺ$673)</f>
      </c>
      <c r="IQ673">
        <f>IF(ISBLANK('Data Entry'!$Ļ$673), "", 'Data Entry'!$Ļ$673)</f>
      </c>
      <c r="IR673">
        <f>IF(ISBLANK('Data Entry'!$ļ$673), "", 'Data Entry'!$ļ$673)</f>
      </c>
      <c r="IS673">
        <f>IF(ISBLANK('Data Entry'!$Ľ$673), "", 'Data Entry'!$Ľ$673)</f>
      </c>
      <c r="IT673">
        <f>IF(ISBLANK('Data Entry'!$ľ$673), "", 'Data Entry'!$ľ$673)</f>
      </c>
    </row>
    <row r="674" spans="1:254" x14ac:dyDescent="0.25">
      <c r="A674">
        <f>IF(ISBLANK('Data Entry'!$A$674), "", 'Data Entry'!$A$674)</f>
      </c>
      <c r="B674">
        <f>IF(ISBLANK('Data Entry'!$B$674), "", 'Data Entry'!$B$674)</f>
      </c>
      <c r="C674">
        <f>IF(ISBLANK('Data Entry'!$C$674), "", 'Data Entry'!$C$674)</f>
      </c>
      <c r="D674">
        <f>IF(ISBLANK('Data Entry'!$D$674), "", 'Data Entry'!$D$674)</f>
      </c>
      <c r="E674">
        <f>IF(ISBLANK('Data Entry'!$E$674), "", 'Data Entry'!$E$674)</f>
      </c>
      <c r="F674">
        <f>IF(ISBLANK('Data Entry'!$F$674), "", 'Data Entry'!$F$674)</f>
      </c>
      <c r="G674">
        <f>IF(ISBLANK('Data Entry'!$G$674), "", 'Data Entry'!$G$674)</f>
      </c>
      <c r="H674">
        <f>IF(ISBLANK('Data Entry'!$H$674), "", 'Data Entry'!$H$674)</f>
      </c>
      <c r="I674">
        <f>IF(ISBLANK('Data Entry'!$I$674), "", 'Data Entry'!$I$674)</f>
      </c>
      <c r="J674">
        <f>IF(ISBLANK('Data Entry'!$J$674), "", 'Data Entry'!$J$674)</f>
      </c>
      <c r="K674">
        <f>IF(ISBLANK('Data Entry'!$K$674), "", 'Data Entry'!$K$674)</f>
      </c>
      <c r="L674">
        <f>IF(ISBLANK('Data Entry'!$L$674), "", 'Data Entry'!$L$674)</f>
      </c>
      <c r="M674">
        <f>IF(ISBLANK('Data Entry'!$M$674), "", 'Data Entry'!$M$674)</f>
      </c>
      <c r="N674">
        <f>IF(ISBLANK('Data Entry'!$N$674), "", 'Data Entry'!$N$674)</f>
      </c>
      <c r="O674">
        <f>IF(ISBLANK('Data Entry'!$O$674), "", 'Data Entry'!$O$674)</f>
      </c>
      <c r="P674">
        <f>IF(ISBLANK('Data Entry'!$P$674), "", 'Data Entry'!$P$674)</f>
      </c>
      <c r="Q674">
        <f>IF(ISBLANK('Data Entry'!$Q$674), "", 'Data Entry'!$Q$674)</f>
      </c>
      <c r="R674">
        <f>IF(ISBLANK('Data Entry'!$R$674), "", 'Data Entry'!$R$674)</f>
      </c>
      <c r="S674">
        <f>IF(ISBLANK('Data Entry'!$S$674), "", 'Data Entry'!$S$674)</f>
      </c>
      <c r="T674">
        <f>IF(ISBLANK('Data Entry'!$T$674), "", 'Data Entry'!$T$674)</f>
      </c>
      <c r="U674">
        <f>IF(ISBLANK('Data Entry'!$U$674), "", 'Data Entry'!$U$674)</f>
      </c>
      <c r="V674">
        <f>IF(ISBLANK('Data Entry'!$V$674), "", 'Data Entry'!$V$674)</f>
      </c>
      <c r="W674">
        <f>IF(ISBLANK('Data Entry'!$W$674), "", 'Data Entry'!$W$674)</f>
      </c>
      <c r="X674">
        <f>IF(ISBLANK('Data Entry'!$X$674), "", 'Data Entry'!$X$674)</f>
      </c>
      <c r="Y674">
        <f>IF(ISBLANK('Data Entry'!$Y$674), "", 'Data Entry'!$Y$674)</f>
      </c>
      <c r="Z674">
        <f>IF(ISBLANK('Data Entry'!$Z$674), "", 'Data Entry'!$Z$674)</f>
      </c>
      <c r="AA674">
        <f>IF(ISBLANK('Data Entry'!$[$674), "", 'Data Entry'!$[$674)</f>
      </c>
      <c r="AB674">
        <f>IF(ISBLANK('Data Entry'!$\$674), "", 'Data Entry'!$\$674)</f>
      </c>
      <c r="AC674">
        <f>IF(ISBLANK('Data Entry'!$]$674), "", 'Data Entry'!$]$674)</f>
      </c>
      <c r="AD674">
        <f>IF(ISBLANK('Data Entry'!$^$674), "", 'Data Entry'!$^$674)</f>
      </c>
      <c r="AE674">
        <f>IF(ISBLANK('Data Entry'!$_$674), "", 'Data Entry'!$_$674)</f>
      </c>
      <c r="AF674">
        <f>IF(ISBLANK('Data Entry'!$`$674), "", 'Data Entry'!$`$674)</f>
      </c>
      <c r="AG674">
        <f>IF(ISBLANK('Data Entry'!$a$674), "", 'Data Entry'!$a$674)</f>
      </c>
      <c r="AH674">
        <f>IF(ISBLANK('Data Entry'!$b$674), "", 'Data Entry'!$b$674)</f>
      </c>
      <c r="AI674">
        <f>IF(ISBLANK('Data Entry'!$c$674), "", 'Data Entry'!$c$674)</f>
      </c>
      <c r="AJ674">
        <f>IF(ISBLANK('Data Entry'!$d$674), "", 'Data Entry'!$d$674)</f>
      </c>
      <c r="AK674">
        <f>IF(ISBLANK('Data Entry'!$e$674), "", 'Data Entry'!$e$674)</f>
      </c>
      <c r="AL674">
        <f>IF(ISBLANK('Data Entry'!$f$674), "", 'Data Entry'!$f$674)</f>
      </c>
      <c r="AM674">
        <f>IF(ISBLANK('Data Entry'!$g$674), "", 'Data Entry'!$g$674)</f>
      </c>
      <c r="AN674">
        <f>IF(ISBLANK('Data Entry'!$h$674), "", 'Data Entry'!$h$674)</f>
      </c>
      <c r="AO674">
        <f>IF(ISBLANK('Data Entry'!$i$674), "", 'Data Entry'!$i$674)</f>
      </c>
      <c r="AP674">
        <f>IF(ISBLANK('Data Entry'!$j$674), "", 'Data Entry'!$j$674)</f>
      </c>
      <c r="AQ674">
        <f>IF(ISBLANK('Data Entry'!$k$674), "", 'Data Entry'!$k$674)</f>
      </c>
      <c r="AR674">
        <f>IF(ISBLANK('Data Entry'!$l$674), "", 'Data Entry'!$l$674)</f>
      </c>
      <c r="AS674">
        <f>IF(ISBLANK('Data Entry'!$m$674), "", 'Data Entry'!$m$674)</f>
      </c>
      <c r="AT674">
        <f>IF(ISBLANK('Data Entry'!$n$674), "", 'Data Entry'!$n$674)</f>
      </c>
      <c r="AU674">
        <f>IF(ISBLANK('Data Entry'!$o$674), "", 'Data Entry'!$o$674)</f>
      </c>
      <c r="AV674">
        <f>IF(ISBLANK('Data Entry'!$p$674), "", 'Data Entry'!$p$674)</f>
      </c>
      <c r="AW674">
        <f>IF(ISBLANK('Data Entry'!$q$674), "", 'Data Entry'!$q$674)</f>
      </c>
      <c r="AX674">
        <f>IF(ISBLANK('Data Entry'!$r$674), "", 'Data Entry'!$r$674)</f>
      </c>
      <c r="AY674">
        <f>IF(ISBLANK('Data Entry'!$s$674), "", 'Data Entry'!$s$674)</f>
      </c>
      <c r="AZ674">
        <f>IF(ISBLANK('Data Entry'!$t$674), "", 'Data Entry'!$t$674)</f>
      </c>
      <c r="BA674">
        <f>IF(ISBLANK('Data Entry'!$u$674), "", 'Data Entry'!$u$674)</f>
      </c>
      <c r="BB674">
        <f>IF(ISBLANK('Data Entry'!$v$674), "", 'Data Entry'!$v$674)</f>
      </c>
      <c r="BC674">
        <f>IF(ISBLANK('Data Entry'!$w$674), "", 'Data Entry'!$w$674)</f>
      </c>
      <c r="BD674">
        <f>IF(ISBLANK('Data Entry'!$x$674), "", 'Data Entry'!$x$674)</f>
      </c>
      <c r="BE674">
        <f>IF(ISBLANK('Data Entry'!$y$674), "", 'Data Entry'!$y$674)</f>
      </c>
      <c r="BF674">
        <f>IF(ISBLANK('Data Entry'!$z$674), "", 'Data Entry'!$z$674)</f>
      </c>
      <c r="BG674">
        <f>IF(ISBLANK('Data Entry'!${$674), "", 'Data Entry'!${$674)</f>
      </c>
      <c r="BH674">
        <f>IF(ISBLANK('Data Entry'!$|$674), "", 'Data Entry'!$|$674)</f>
      </c>
      <c r="BI674">
        <f>IF(ISBLANK('Data Entry'!$}$674), "", 'Data Entry'!$}$674)</f>
      </c>
      <c r="BJ674">
        <f>IF(ISBLANK('Data Entry'!$~$674), "", 'Data Entry'!$~$674)</f>
      </c>
      <c r="BK674">
        <f>IF(ISBLANK('Data Entry'!$$674), "", 'Data Entry'!$$674)</f>
      </c>
      <c r="BL674">
        <f>IF(ISBLANK('Data Entry'!$$674), "", 'Data Entry'!$$674)</f>
      </c>
      <c r="BM674">
        <f>IF(ISBLANK('Data Entry'!$$674), "", 'Data Entry'!$$674)</f>
      </c>
      <c r="BN674">
        <f>IF(ISBLANK('Data Entry'!$$674), "", 'Data Entry'!$$674)</f>
      </c>
      <c r="BO674">
        <f>IF(ISBLANK('Data Entry'!$$674), "", 'Data Entry'!$$674)</f>
      </c>
      <c r="BP674">
        <f>IF(ISBLANK('Data Entry'!$$674), "", 'Data Entry'!$$674)</f>
      </c>
      <c r="BQ674">
        <f>IF(ISBLANK('Data Entry'!$$674), "", 'Data Entry'!$$674)</f>
      </c>
      <c r="BR674">
        <f>IF(ISBLANK('Data Entry'!$$674), "", 'Data Entry'!$$674)</f>
      </c>
      <c r="BS674">
        <f>IF(ISBLANK('Data Entry'!$$674), "", 'Data Entry'!$$674)</f>
      </c>
      <c r="BT674">
        <f>IF(ISBLANK('Data Entry'!$$674), "", 'Data Entry'!$$674)</f>
      </c>
      <c r="BU674">
        <f>IF(ISBLANK('Data Entry'!$$674), "", 'Data Entry'!$$674)</f>
      </c>
      <c r="BV674">
        <f>IF(ISBLANK('Data Entry'!$$674), "", 'Data Entry'!$$674)</f>
      </c>
      <c r="BW674">
        <f>IF(ISBLANK('Data Entry'!$$674), "", 'Data Entry'!$$674)</f>
      </c>
      <c r="BX674">
        <f>IF(ISBLANK('Data Entry'!$$674), "", 'Data Entry'!$$674)</f>
      </c>
      <c r="BY674">
        <f>IF(ISBLANK('Data Entry'!$$674), "", 'Data Entry'!$$674)</f>
      </c>
      <c r="BZ674">
        <f>IF(ISBLANK('Data Entry'!$$674), "", 'Data Entry'!$$674)</f>
      </c>
      <c r="CA674">
        <f>IF(ISBLANK('Data Entry'!$$674), "", 'Data Entry'!$$674)</f>
      </c>
      <c r="CB674">
        <f>IF(ISBLANK('Data Entry'!$$674), "", 'Data Entry'!$$674)</f>
      </c>
      <c r="CC674">
        <f>IF(ISBLANK('Data Entry'!$$674), "", 'Data Entry'!$$674)</f>
      </c>
      <c r="CD674">
        <f>IF(ISBLANK('Data Entry'!$$674), "", 'Data Entry'!$$674)</f>
      </c>
      <c r="CE674">
        <f>IF(ISBLANK('Data Entry'!$$674), "", 'Data Entry'!$$674)</f>
      </c>
      <c r="CF674">
        <f>IF(ISBLANK('Data Entry'!$$674), "", 'Data Entry'!$$674)</f>
      </c>
      <c r="CG674">
        <f>IF(ISBLANK('Data Entry'!$$674), "", 'Data Entry'!$$674)</f>
      </c>
      <c r="CH674">
        <f>IF(ISBLANK('Data Entry'!$$674), "", 'Data Entry'!$$674)</f>
      </c>
      <c r="CI674">
        <f>IF(ISBLANK('Data Entry'!$$674), "", 'Data Entry'!$$674)</f>
      </c>
      <c r="CJ674">
        <f>IF(ISBLANK('Data Entry'!$$674), "", 'Data Entry'!$$674)</f>
      </c>
      <c r="CK674">
        <f>IF(ISBLANK('Data Entry'!$$674), "", 'Data Entry'!$$674)</f>
      </c>
      <c r="CL674">
        <f>IF(ISBLANK('Data Entry'!$$674), "", 'Data Entry'!$$674)</f>
      </c>
      <c r="CM674">
        <f>IF(ISBLANK('Data Entry'!$$674), "", 'Data Entry'!$$674)</f>
      </c>
      <c r="CN674">
        <f>IF(ISBLANK('Data Entry'!$$674), "", 'Data Entry'!$$674)</f>
      </c>
      <c r="CO674">
        <f>IF(ISBLANK('Data Entry'!$$674), "", 'Data Entry'!$$674)</f>
      </c>
      <c r="CP674">
        <f>IF(ISBLANK('Data Entry'!$$674), "", 'Data Entry'!$$674)</f>
      </c>
      <c r="CQ674">
        <f>IF(ISBLANK('Data Entry'!$$674), "", 'Data Entry'!$$674)</f>
      </c>
      <c r="CR674">
        <f>IF(ISBLANK('Data Entry'!$ $674), "", 'Data Entry'!$ $674)</f>
      </c>
      <c r="CS674">
        <f>IF(ISBLANK('Data Entry'!$¡$674), "", 'Data Entry'!$¡$674)</f>
      </c>
      <c r="CT674">
        <f>IF(ISBLANK('Data Entry'!$¢$674), "", 'Data Entry'!$¢$674)</f>
      </c>
      <c r="CU674">
        <f>IF(ISBLANK('Data Entry'!$£$674), "", 'Data Entry'!$£$674)</f>
      </c>
      <c r="CV674">
        <f>IF(ISBLANK('Data Entry'!$¤$674), "", 'Data Entry'!$¤$674)</f>
      </c>
      <c r="CW674">
        <f>IF(ISBLANK('Data Entry'!$¥$674), "", 'Data Entry'!$¥$674)</f>
      </c>
      <c r="CX674">
        <f>IF(ISBLANK('Data Entry'!$¦$674), "", 'Data Entry'!$¦$674)</f>
      </c>
      <c r="CY674">
        <f>IF(ISBLANK('Data Entry'!$§$674), "", 'Data Entry'!$§$674)</f>
      </c>
      <c r="CZ674">
        <f>IF(ISBLANK('Data Entry'!$¨$674), "", 'Data Entry'!$¨$674)</f>
      </c>
      <c r="DA674">
        <f>IF(ISBLANK('Data Entry'!$©$674), "", 'Data Entry'!$©$674)</f>
      </c>
      <c r="DB674">
        <f>IF(ISBLANK('Data Entry'!$ª$674), "", 'Data Entry'!$ª$674)</f>
      </c>
      <c r="DC674">
        <f>IF(ISBLANK('Data Entry'!$«$674), "", 'Data Entry'!$«$674)</f>
      </c>
      <c r="DD674">
        <f>IF(ISBLANK('Data Entry'!$¬$674), "", 'Data Entry'!$¬$674)</f>
      </c>
      <c r="DE674">
        <f>IF(ISBLANK('Data Entry'!$­$674), "", 'Data Entry'!$­$674)</f>
      </c>
      <c r="DF674">
        <f>IF(ISBLANK('Data Entry'!$®$674), "", 'Data Entry'!$®$674)</f>
      </c>
      <c r="DG674">
        <f>IF(ISBLANK('Data Entry'!$¯$674), "", 'Data Entry'!$¯$674)</f>
      </c>
      <c r="DH674">
        <f>IF(ISBLANK('Data Entry'!$°$674), "", 'Data Entry'!$°$674)</f>
      </c>
      <c r="DI674">
        <f>IF(ISBLANK('Data Entry'!$±$674), "", 'Data Entry'!$±$674)</f>
      </c>
      <c r="DJ674">
        <f>IF(ISBLANK('Data Entry'!$²$674), "", 'Data Entry'!$²$674)</f>
      </c>
      <c r="DK674">
        <f>IF(ISBLANK('Data Entry'!$³$674), "", 'Data Entry'!$³$674)</f>
      </c>
      <c r="DL674">
        <f>IF(ISBLANK('Data Entry'!$´$674), "", 'Data Entry'!$´$674)</f>
      </c>
      <c r="DM674">
        <f>IF(ISBLANK('Data Entry'!$µ$674), "", 'Data Entry'!$µ$674)</f>
      </c>
      <c r="DN674">
        <f>IF(ISBLANK('Data Entry'!$¶$674), "", 'Data Entry'!$¶$674)</f>
      </c>
      <c r="DO674">
        <f>IF(ISBLANK('Data Entry'!$·$674), "", 'Data Entry'!$·$674)</f>
      </c>
      <c r="DP674">
        <f>IF(ISBLANK('Data Entry'!$¸$674), "", 'Data Entry'!$¸$674)</f>
      </c>
      <c r="DQ674">
        <f>IF(ISBLANK('Data Entry'!$¹$674), "", 'Data Entry'!$¹$674)</f>
      </c>
      <c r="DR674">
        <f>IF(ISBLANK('Data Entry'!$º$674), "", 'Data Entry'!$º$674)</f>
      </c>
      <c r="DS674">
        <f>IF(ISBLANK('Data Entry'!$»$674), "", 'Data Entry'!$»$674)</f>
      </c>
      <c r="DT674">
        <f>IF(ISBLANK('Data Entry'!$¼$674), "", 'Data Entry'!$¼$674)</f>
      </c>
      <c r="DU674">
        <f>IF(ISBLANK('Data Entry'!$½$674), "", 'Data Entry'!$½$674)</f>
      </c>
      <c r="DV674">
        <f>IF(ISBLANK('Data Entry'!$¾$674), "", 'Data Entry'!$¾$674)</f>
      </c>
      <c r="DW674">
        <f>IF(ISBLANK('Data Entry'!$¿$674), "", 'Data Entry'!$¿$674)</f>
      </c>
      <c r="DX674">
        <f>IF(ISBLANK('Data Entry'!$À$674), "", 'Data Entry'!$À$674)</f>
      </c>
      <c r="DY674">
        <f>IF(ISBLANK('Data Entry'!$Á$674), "", 'Data Entry'!$Á$674)</f>
      </c>
      <c r="DZ674">
        <f>IF(ISBLANK('Data Entry'!$Â$674), "", 'Data Entry'!$Â$674)</f>
      </c>
      <c r="EA674">
        <f>IF(ISBLANK('Data Entry'!$Ã$674), "", 'Data Entry'!$Ã$674)</f>
      </c>
      <c r="EB674">
        <f>IF(ISBLANK('Data Entry'!$Ä$674), "", 'Data Entry'!$Ä$674)</f>
      </c>
      <c r="EC674">
        <f>IF(ISBLANK('Data Entry'!$Å$674), "", 'Data Entry'!$Å$674)</f>
      </c>
      <c r="ED674">
        <f>IF(ISBLANK('Data Entry'!$Æ$674), "", 'Data Entry'!$Æ$674)</f>
      </c>
      <c r="EE674">
        <f>IF(ISBLANK('Data Entry'!$Ç$674), "", 'Data Entry'!$Ç$674)</f>
      </c>
      <c r="EF674">
        <f>IF(ISBLANK('Data Entry'!$È$674), "", 'Data Entry'!$È$674)</f>
      </c>
      <c r="EG674">
        <f>IF(ISBLANK('Data Entry'!$É$674), "", 'Data Entry'!$É$674)</f>
      </c>
      <c r="EH674">
        <f>IF(ISBLANK('Data Entry'!$Ê$674), "", 'Data Entry'!$Ê$674)</f>
      </c>
      <c r="EI674">
        <f>IF(ISBLANK('Data Entry'!$Ë$674), "", 'Data Entry'!$Ë$674)</f>
      </c>
      <c r="EJ674">
        <f>IF(ISBLANK('Data Entry'!$Ì$674), "", 'Data Entry'!$Ì$674)</f>
      </c>
      <c r="EK674">
        <f>IF(ISBLANK('Data Entry'!$Í$674), "", 'Data Entry'!$Í$674)</f>
      </c>
      <c r="EL674">
        <f>IF(ISBLANK('Data Entry'!$Î$674), "", 'Data Entry'!$Î$674)</f>
      </c>
      <c r="EM674">
        <f>IF(ISBLANK('Data Entry'!$Ï$674), "", 'Data Entry'!$Ï$674)</f>
      </c>
      <c r="EN674">
        <f>IF(ISBLANK('Data Entry'!$Ð$674), "", 'Data Entry'!$Ð$674)</f>
      </c>
      <c r="EO674">
        <f>IF(ISBLANK('Data Entry'!$Ñ$674), "", 'Data Entry'!$Ñ$674)</f>
      </c>
      <c r="EP674">
        <f>IF(ISBLANK('Data Entry'!$Ò$674), "", 'Data Entry'!$Ò$674)</f>
      </c>
      <c r="EQ674">
        <f>IF(ISBLANK('Data Entry'!$Ó$674), "", 'Data Entry'!$Ó$674)</f>
      </c>
      <c r="ER674">
        <f>IF(ISBLANK('Data Entry'!$Ô$674), "", 'Data Entry'!$Ô$674)</f>
      </c>
      <c r="ES674">
        <f>IF(ISBLANK('Data Entry'!$Õ$674), "", 'Data Entry'!$Õ$674)</f>
      </c>
      <c r="ET674">
        <f>IF(ISBLANK('Data Entry'!$Ö$674), "", 'Data Entry'!$Ö$674)</f>
      </c>
      <c r="EU674">
        <f>IF(ISBLANK('Data Entry'!$×$674), "", 'Data Entry'!$×$674)</f>
      </c>
      <c r="EV674">
        <f>IF(ISBLANK('Data Entry'!$Ø$674), "", 'Data Entry'!$Ø$674)</f>
      </c>
      <c r="EW674">
        <f>IF(ISBLANK('Data Entry'!$Ù$674), "", 'Data Entry'!$Ù$674)</f>
      </c>
      <c r="EX674">
        <f>IF(ISBLANK('Data Entry'!$Ú$674), "", 'Data Entry'!$Ú$674)</f>
      </c>
      <c r="EY674">
        <f>IF(ISBLANK('Data Entry'!$Û$674), "", 'Data Entry'!$Û$674)</f>
      </c>
      <c r="EZ674">
        <f>IF(ISBLANK('Data Entry'!$Ü$674), "", 'Data Entry'!$Ü$674)</f>
      </c>
      <c r="FA674">
        <f>IF(ISBLANK('Data Entry'!$Ý$674), "", 'Data Entry'!$Ý$674)</f>
      </c>
      <c r="FB674">
        <f>IF(ISBLANK('Data Entry'!$Þ$674), "", 'Data Entry'!$Þ$674)</f>
      </c>
      <c r="FC674">
        <f>IF(ISBLANK('Data Entry'!$ß$674), "", 'Data Entry'!$ß$674)</f>
      </c>
      <c r="FD674">
        <f>IF(ISBLANK('Data Entry'!$à$674), "", 'Data Entry'!$à$674)</f>
      </c>
      <c r="FE674">
        <f>IF(ISBLANK('Data Entry'!$á$674), "", 'Data Entry'!$á$674)</f>
      </c>
      <c r="FF674">
        <f>IF(ISBLANK('Data Entry'!$â$674), "", 'Data Entry'!$â$674)</f>
      </c>
      <c r="FG674">
        <f>IF(ISBLANK('Data Entry'!$ã$674), "", 'Data Entry'!$ã$674)</f>
      </c>
      <c r="FH674">
        <f>IF(ISBLANK('Data Entry'!$ä$674), "", 'Data Entry'!$ä$674)</f>
      </c>
      <c r="FI674">
        <f>IF(ISBLANK('Data Entry'!$å$674), "", 'Data Entry'!$å$674)</f>
      </c>
      <c r="FJ674">
        <f>IF(ISBLANK('Data Entry'!$æ$674), "", 'Data Entry'!$æ$674)</f>
      </c>
      <c r="FK674">
        <f>IF(ISBLANK('Data Entry'!$ç$674), "", 'Data Entry'!$ç$674)</f>
      </c>
      <c r="FL674">
        <f>IF(ISBLANK('Data Entry'!$è$674), "", 'Data Entry'!$è$674)</f>
      </c>
      <c r="FM674">
        <f>IF(ISBLANK('Data Entry'!$é$674), "", 'Data Entry'!$é$674)</f>
      </c>
      <c r="FN674">
        <f>IF(ISBLANK('Data Entry'!$ê$674), "", 'Data Entry'!$ê$674)</f>
      </c>
      <c r="FO674">
        <f>IF(ISBLANK('Data Entry'!$ë$674), "", 'Data Entry'!$ë$674)</f>
      </c>
      <c r="FP674">
        <f>IF(ISBLANK('Data Entry'!$ì$674), "", 'Data Entry'!$ì$674)</f>
      </c>
      <c r="FQ674">
        <f>IF(ISBLANK('Data Entry'!$í$674), "", 'Data Entry'!$í$674)</f>
      </c>
      <c r="FR674">
        <f>IF(ISBLANK('Data Entry'!$î$674), "", 'Data Entry'!$î$674)</f>
      </c>
      <c r="FS674">
        <f>IF(ISBLANK('Data Entry'!$ï$674), "", 'Data Entry'!$ï$674)</f>
      </c>
      <c r="FT674">
        <f>IF(ISBLANK('Data Entry'!$ð$674), "", 'Data Entry'!$ð$674)</f>
      </c>
      <c r="FU674">
        <f>IF(ISBLANK('Data Entry'!$ñ$674), "", 'Data Entry'!$ñ$674)</f>
      </c>
      <c r="FV674">
        <f>IF(ISBLANK('Data Entry'!$ò$674), "", 'Data Entry'!$ò$674)</f>
      </c>
      <c r="FW674">
        <f>IF(ISBLANK('Data Entry'!$ó$674), "", 'Data Entry'!$ó$674)</f>
      </c>
      <c r="FX674">
        <f>IF(ISBLANK('Data Entry'!$ô$674), "", 'Data Entry'!$ô$674)</f>
      </c>
      <c r="FY674">
        <f>IF(ISBLANK('Data Entry'!$õ$674), "", 'Data Entry'!$õ$674)</f>
      </c>
      <c r="FZ674">
        <f>IF(ISBLANK('Data Entry'!$ö$674), "", 'Data Entry'!$ö$674)</f>
      </c>
      <c r="GA674">
        <f>IF(ISBLANK('Data Entry'!$÷$674), "", 'Data Entry'!$÷$674)</f>
      </c>
      <c r="GB674">
        <f>IF(ISBLANK('Data Entry'!$ø$674), "", 'Data Entry'!$ø$674)</f>
      </c>
      <c r="GC674">
        <f>IF(ISBLANK('Data Entry'!$ù$674), "", 'Data Entry'!$ù$674)</f>
      </c>
      <c r="GD674">
        <f>IF(ISBLANK('Data Entry'!$ú$674), "", 'Data Entry'!$ú$674)</f>
      </c>
      <c r="GE674">
        <f>IF(ISBLANK('Data Entry'!$û$674), "", 'Data Entry'!$û$674)</f>
      </c>
      <c r="GF674">
        <f>IF(ISBLANK('Data Entry'!$ü$674), "", 'Data Entry'!$ü$674)</f>
      </c>
      <c r="GG674">
        <f>IF(ISBLANK('Data Entry'!$ý$674), "", 'Data Entry'!$ý$674)</f>
      </c>
      <c r="GH674">
        <f>IF(ISBLANK('Data Entry'!$þ$674), "", 'Data Entry'!$þ$674)</f>
      </c>
      <c r="GI674">
        <f>IF(ISBLANK('Data Entry'!$ÿ$674), "", 'Data Entry'!$ÿ$674)</f>
      </c>
      <c r="GJ674">
        <f>IF(ISBLANK('Data Entry'!$Ā$674), "", 'Data Entry'!$Ā$674)</f>
      </c>
      <c r="GK674">
        <f>IF(ISBLANK('Data Entry'!$ā$674), "", 'Data Entry'!$ā$674)</f>
      </c>
      <c r="GL674">
        <f>IF(ISBLANK('Data Entry'!$Ă$674), "", 'Data Entry'!$Ă$674)</f>
      </c>
      <c r="GM674">
        <f>IF(ISBLANK('Data Entry'!$ă$674), "", 'Data Entry'!$ă$674)</f>
      </c>
      <c r="GN674">
        <f>IF(ISBLANK('Data Entry'!$Ą$674), "", 'Data Entry'!$Ą$674)</f>
      </c>
      <c r="GO674">
        <f>IF(ISBLANK('Data Entry'!$ą$674), "", 'Data Entry'!$ą$674)</f>
      </c>
      <c r="GP674">
        <f>IF(ISBLANK('Data Entry'!$Ć$674), "", 'Data Entry'!$Ć$674)</f>
      </c>
      <c r="GQ674">
        <f>IF(ISBLANK('Data Entry'!$ć$674), "", 'Data Entry'!$ć$674)</f>
      </c>
      <c r="GR674">
        <f>IF(ISBLANK('Data Entry'!$Ĉ$674), "", 'Data Entry'!$Ĉ$674)</f>
      </c>
      <c r="GS674">
        <f>IF(ISBLANK('Data Entry'!$ĉ$674), "", 'Data Entry'!$ĉ$674)</f>
      </c>
      <c r="GT674">
        <f>IF(ISBLANK('Data Entry'!$Ċ$674), "", 'Data Entry'!$Ċ$674)</f>
      </c>
      <c r="GU674">
        <f>IF(ISBLANK('Data Entry'!$ċ$674), "", 'Data Entry'!$ċ$674)</f>
      </c>
      <c r="GV674">
        <f>IF(ISBLANK('Data Entry'!$Č$674), "", 'Data Entry'!$Č$674)</f>
      </c>
      <c r="GW674">
        <f>IF(ISBLANK('Data Entry'!$č$674), "", 'Data Entry'!$č$674)</f>
      </c>
      <c r="GX674">
        <f>IF(ISBLANK('Data Entry'!$Ď$674), "", 'Data Entry'!$Ď$674)</f>
      </c>
      <c r="GY674">
        <f>IF(ISBLANK('Data Entry'!$ď$674), "", 'Data Entry'!$ď$674)</f>
      </c>
      <c r="GZ674">
        <f>IF(ISBLANK('Data Entry'!$Đ$674), "", 'Data Entry'!$Đ$674)</f>
      </c>
      <c r="HA674">
        <f>IF(ISBLANK('Data Entry'!$đ$674), "", 'Data Entry'!$đ$674)</f>
      </c>
      <c r="HB674">
        <f>IF(ISBLANK('Data Entry'!$Ē$674), "", 'Data Entry'!$Ē$674)</f>
      </c>
      <c r="HC674">
        <f>IF(ISBLANK('Data Entry'!$ē$674), "", 'Data Entry'!$ē$674)</f>
      </c>
      <c r="HD674">
        <f>IF(ISBLANK('Data Entry'!$Ĕ$674), "", 'Data Entry'!$Ĕ$674)</f>
      </c>
      <c r="HE674">
        <f>IF(ISBLANK('Data Entry'!$ĕ$674), "", 'Data Entry'!$ĕ$674)</f>
      </c>
      <c r="HF674">
        <f>IF(ISBLANK('Data Entry'!$Ė$674), "", 'Data Entry'!$Ė$674)</f>
      </c>
      <c r="HG674">
        <f>IF(ISBLANK('Data Entry'!$ė$674), "", 'Data Entry'!$ė$674)</f>
      </c>
      <c r="HH674">
        <f>IF(ISBLANK('Data Entry'!$Ę$674), "", 'Data Entry'!$Ę$674)</f>
      </c>
      <c r="HI674">
        <f>IF(ISBLANK('Data Entry'!$ę$674), "", 'Data Entry'!$ę$674)</f>
      </c>
      <c r="HJ674">
        <f>IF(ISBLANK('Data Entry'!$Ě$674), "", 'Data Entry'!$Ě$674)</f>
      </c>
      <c r="HK674">
        <f>IF(ISBLANK('Data Entry'!$ě$674), "", 'Data Entry'!$ě$674)</f>
      </c>
      <c r="HL674">
        <f>IF(ISBLANK('Data Entry'!$Ĝ$674), "", 'Data Entry'!$Ĝ$674)</f>
      </c>
      <c r="HM674">
        <f>IF(ISBLANK('Data Entry'!$ĝ$674), "", 'Data Entry'!$ĝ$674)</f>
      </c>
      <c r="HN674">
        <f>IF(ISBLANK('Data Entry'!$Ğ$674), "", 'Data Entry'!$Ğ$674)</f>
      </c>
      <c r="HO674">
        <f>IF(ISBLANK('Data Entry'!$ğ$674), "", 'Data Entry'!$ğ$674)</f>
      </c>
      <c r="HP674">
        <f>IF(ISBLANK('Data Entry'!$Ġ$674), "", 'Data Entry'!$Ġ$674)</f>
      </c>
      <c r="HQ674">
        <f>IF(ISBLANK('Data Entry'!$ġ$674), "", 'Data Entry'!$ġ$674)</f>
      </c>
      <c r="HR674">
        <f>IF(ISBLANK('Data Entry'!$Ģ$674), "", 'Data Entry'!$Ģ$674)</f>
      </c>
      <c r="HS674">
        <f>IF(ISBLANK('Data Entry'!$ģ$674), "", 'Data Entry'!$ģ$674)</f>
      </c>
      <c r="HT674">
        <f>IF(ISBLANK('Data Entry'!$Ĥ$674), "", 'Data Entry'!$Ĥ$674)</f>
      </c>
      <c r="HU674">
        <f>IF(ISBLANK('Data Entry'!$ĥ$674), "", 'Data Entry'!$ĥ$674)</f>
      </c>
      <c r="HV674">
        <f>IF(ISBLANK('Data Entry'!$Ħ$674), "", 'Data Entry'!$Ħ$674)</f>
      </c>
      <c r="HW674">
        <f>IF(ISBLANK('Data Entry'!$ħ$674), "", 'Data Entry'!$ħ$674)</f>
      </c>
      <c r="HX674">
        <f>IF(ISBLANK('Data Entry'!$Ĩ$674), "", 'Data Entry'!$Ĩ$674)</f>
      </c>
      <c r="HY674">
        <f>IF(ISBLANK('Data Entry'!$ĩ$674), "", 'Data Entry'!$ĩ$674)</f>
      </c>
      <c r="HZ674">
        <f>IF(ISBLANK('Data Entry'!$Ī$674), "", 'Data Entry'!$Ī$674)</f>
      </c>
      <c r="IA674">
        <f>IF(ISBLANK('Data Entry'!$ī$674), "", 'Data Entry'!$ī$674)</f>
      </c>
      <c r="IB674">
        <f>IF(ISBLANK('Data Entry'!$Ĭ$674), "", 'Data Entry'!$Ĭ$674)</f>
      </c>
      <c r="IC674">
        <f>IF(ISBLANK('Data Entry'!$ĭ$674), "", 'Data Entry'!$ĭ$674)</f>
      </c>
      <c r="ID674">
        <f>IF(ISBLANK('Data Entry'!$Į$674), "", 'Data Entry'!$Į$674)</f>
      </c>
      <c r="IE674">
        <f>IF(ISBLANK('Data Entry'!$į$674), "", 'Data Entry'!$į$674)</f>
      </c>
      <c r="IF674">
        <f>IF(ISBLANK('Data Entry'!$İ$674), "", 'Data Entry'!$İ$674)</f>
      </c>
      <c r="IG674">
        <f>IF(ISBLANK('Data Entry'!$ı$674), "", 'Data Entry'!$ı$674)</f>
      </c>
      <c r="IH674">
        <f>IF(ISBLANK('Data Entry'!$Ĳ$674), "", 'Data Entry'!$Ĳ$674)</f>
      </c>
      <c r="II674">
        <f>IF(ISBLANK('Data Entry'!$ĳ$674), "", 'Data Entry'!$ĳ$674)</f>
      </c>
      <c r="IJ674">
        <f>IF(ISBLANK('Data Entry'!$Ĵ$674), "", 'Data Entry'!$Ĵ$674)</f>
      </c>
      <c r="IK674">
        <f>IF(ISBLANK('Data Entry'!$ĵ$674), "", 'Data Entry'!$ĵ$674)</f>
      </c>
      <c r="IL674">
        <f>IF(ISBLANK('Data Entry'!$Ķ$674), "", 'Data Entry'!$Ķ$674)</f>
      </c>
      <c r="IM674">
        <f>IF(ISBLANK('Data Entry'!$ķ$674), "", 'Data Entry'!$ķ$674)</f>
      </c>
      <c r="IN674">
        <f>IF(ISBLANK('Data Entry'!$ĸ$674), "", 'Data Entry'!$ĸ$674)</f>
      </c>
      <c r="IO674">
        <f>IF(ISBLANK('Data Entry'!$Ĺ$674), "", 'Data Entry'!$Ĺ$674)</f>
      </c>
      <c r="IP674">
        <f>IF(ISBLANK('Data Entry'!$ĺ$674), "", 'Data Entry'!$ĺ$674)</f>
      </c>
      <c r="IQ674">
        <f>IF(ISBLANK('Data Entry'!$Ļ$674), "", 'Data Entry'!$Ļ$674)</f>
      </c>
      <c r="IR674">
        <f>IF(ISBLANK('Data Entry'!$ļ$674), "", 'Data Entry'!$ļ$674)</f>
      </c>
      <c r="IS674">
        <f>IF(ISBLANK('Data Entry'!$Ľ$674), "", 'Data Entry'!$Ľ$674)</f>
      </c>
      <c r="IT674">
        <f>IF(ISBLANK('Data Entry'!$ľ$674), "", 'Data Entry'!$ľ$674)</f>
      </c>
    </row>
    <row r="675" spans="1:254" x14ac:dyDescent="0.25">
      <c r="A675">
        <f>IF(ISBLANK('Data Entry'!$A$675), "", 'Data Entry'!$A$675)</f>
      </c>
      <c r="B675">
        <f>IF(ISBLANK('Data Entry'!$B$675), "", 'Data Entry'!$B$675)</f>
      </c>
      <c r="C675">
        <f>IF(ISBLANK('Data Entry'!$C$675), "", 'Data Entry'!$C$675)</f>
      </c>
      <c r="D675">
        <f>IF(ISBLANK('Data Entry'!$D$675), "", 'Data Entry'!$D$675)</f>
      </c>
      <c r="E675">
        <f>IF(ISBLANK('Data Entry'!$E$675), "", 'Data Entry'!$E$675)</f>
      </c>
      <c r="F675">
        <f>IF(ISBLANK('Data Entry'!$F$675), "", 'Data Entry'!$F$675)</f>
      </c>
      <c r="G675">
        <f>IF(ISBLANK('Data Entry'!$G$675), "", 'Data Entry'!$G$675)</f>
      </c>
      <c r="H675">
        <f>IF(ISBLANK('Data Entry'!$H$675), "", 'Data Entry'!$H$675)</f>
      </c>
      <c r="I675">
        <f>IF(ISBLANK('Data Entry'!$I$675), "", 'Data Entry'!$I$675)</f>
      </c>
      <c r="J675">
        <f>IF(ISBLANK('Data Entry'!$J$675), "", 'Data Entry'!$J$675)</f>
      </c>
      <c r="K675">
        <f>IF(ISBLANK('Data Entry'!$K$675), "", 'Data Entry'!$K$675)</f>
      </c>
      <c r="L675">
        <f>IF(ISBLANK('Data Entry'!$L$675), "", 'Data Entry'!$L$675)</f>
      </c>
      <c r="M675">
        <f>IF(ISBLANK('Data Entry'!$M$675), "", 'Data Entry'!$M$675)</f>
      </c>
      <c r="N675">
        <f>IF(ISBLANK('Data Entry'!$N$675), "", 'Data Entry'!$N$675)</f>
      </c>
      <c r="O675">
        <f>IF(ISBLANK('Data Entry'!$O$675), "", 'Data Entry'!$O$675)</f>
      </c>
      <c r="P675">
        <f>IF(ISBLANK('Data Entry'!$P$675), "", 'Data Entry'!$P$675)</f>
      </c>
      <c r="Q675">
        <f>IF(ISBLANK('Data Entry'!$Q$675), "", 'Data Entry'!$Q$675)</f>
      </c>
      <c r="R675">
        <f>IF(ISBLANK('Data Entry'!$R$675), "", 'Data Entry'!$R$675)</f>
      </c>
      <c r="S675">
        <f>IF(ISBLANK('Data Entry'!$S$675), "", 'Data Entry'!$S$675)</f>
      </c>
      <c r="T675">
        <f>IF(ISBLANK('Data Entry'!$T$675), "", 'Data Entry'!$T$675)</f>
      </c>
      <c r="U675">
        <f>IF(ISBLANK('Data Entry'!$U$675), "", 'Data Entry'!$U$675)</f>
      </c>
      <c r="V675">
        <f>IF(ISBLANK('Data Entry'!$V$675), "", 'Data Entry'!$V$675)</f>
      </c>
      <c r="W675">
        <f>IF(ISBLANK('Data Entry'!$W$675), "", 'Data Entry'!$W$675)</f>
      </c>
      <c r="X675">
        <f>IF(ISBLANK('Data Entry'!$X$675), "", 'Data Entry'!$X$675)</f>
      </c>
      <c r="Y675">
        <f>IF(ISBLANK('Data Entry'!$Y$675), "", 'Data Entry'!$Y$675)</f>
      </c>
      <c r="Z675">
        <f>IF(ISBLANK('Data Entry'!$Z$675), "", 'Data Entry'!$Z$675)</f>
      </c>
      <c r="AA675">
        <f>IF(ISBLANK('Data Entry'!$[$675), "", 'Data Entry'!$[$675)</f>
      </c>
      <c r="AB675">
        <f>IF(ISBLANK('Data Entry'!$\$675), "", 'Data Entry'!$\$675)</f>
      </c>
      <c r="AC675">
        <f>IF(ISBLANK('Data Entry'!$]$675), "", 'Data Entry'!$]$675)</f>
      </c>
      <c r="AD675">
        <f>IF(ISBLANK('Data Entry'!$^$675), "", 'Data Entry'!$^$675)</f>
      </c>
      <c r="AE675">
        <f>IF(ISBLANK('Data Entry'!$_$675), "", 'Data Entry'!$_$675)</f>
      </c>
      <c r="AF675">
        <f>IF(ISBLANK('Data Entry'!$`$675), "", 'Data Entry'!$`$675)</f>
      </c>
      <c r="AG675">
        <f>IF(ISBLANK('Data Entry'!$a$675), "", 'Data Entry'!$a$675)</f>
      </c>
      <c r="AH675">
        <f>IF(ISBLANK('Data Entry'!$b$675), "", 'Data Entry'!$b$675)</f>
      </c>
      <c r="AI675">
        <f>IF(ISBLANK('Data Entry'!$c$675), "", 'Data Entry'!$c$675)</f>
      </c>
      <c r="AJ675">
        <f>IF(ISBLANK('Data Entry'!$d$675), "", 'Data Entry'!$d$675)</f>
      </c>
      <c r="AK675">
        <f>IF(ISBLANK('Data Entry'!$e$675), "", 'Data Entry'!$e$675)</f>
      </c>
      <c r="AL675">
        <f>IF(ISBLANK('Data Entry'!$f$675), "", 'Data Entry'!$f$675)</f>
      </c>
      <c r="AM675">
        <f>IF(ISBLANK('Data Entry'!$g$675), "", 'Data Entry'!$g$675)</f>
      </c>
      <c r="AN675">
        <f>IF(ISBLANK('Data Entry'!$h$675), "", 'Data Entry'!$h$675)</f>
      </c>
      <c r="AO675">
        <f>IF(ISBLANK('Data Entry'!$i$675), "", 'Data Entry'!$i$675)</f>
      </c>
      <c r="AP675">
        <f>IF(ISBLANK('Data Entry'!$j$675), "", 'Data Entry'!$j$675)</f>
      </c>
      <c r="AQ675">
        <f>IF(ISBLANK('Data Entry'!$k$675), "", 'Data Entry'!$k$675)</f>
      </c>
      <c r="AR675">
        <f>IF(ISBLANK('Data Entry'!$l$675), "", 'Data Entry'!$l$675)</f>
      </c>
      <c r="AS675">
        <f>IF(ISBLANK('Data Entry'!$m$675), "", 'Data Entry'!$m$675)</f>
      </c>
      <c r="AT675">
        <f>IF(ISBLANK('Data Entry'!$n$675), "", 'Data Entry'!$n$675)</f>
      </c>
      <c r="AU675">
        <f>IF(ISBLANK('Data Entry'!$o$675), "", 'Data Entry'!$o$675)</f>
      </c>
      <c r="AV675">
        <f>IF(ISBLANK('Data Entry'!$p$675), "", 'Data Entry'!$p$675)</f>
      </c>
      <c r="AW675">
        <f>IF(ISBLANK('Data Entry'!$q$675), "", 'Data Entry'!$q$675)</f>
      </c>
      <c r="AX675">
        <f>IF(ISBLANK('Data Entry'!$r$675), "", 'Data Entry'!$r$675)</f>
      </c>
      <c r="AY675">
        <f>IF(ISBLANK('Data Entry'!$s$675), "", 'Data Entry'!$s$675)</f>
      </c>
      <c r="AZ675">
        <f>IF(ISBLANK('Data Entry'!$t$675), "", 'Data Entry'!$t$675)</f>
      </c>
      <c r="BA675">
        <f>IF(ISBLANK('Data Entry'!$u$675), "", 'Data Entry'!$u$675)</f>
      </c>
      <c r="BB675">
        <f>IF(ISBLANK('Data Entry'!$v$675), "", 'Data Entry'!$v$675)</f>
      </c>
      <c r="BC675">
        <f>IF(ISBLANK('Data Entry'!$w$675), "", 'Data Entry'!$w$675)</f>
      </c>
      <c r="BD675">
        <f>IF(ISBLANK('Data Entry'!$x$675), "", 'Data Entry'!$x$675)</f>
      </c>
      <c r="BE675">
        <f>IF(ISBLANK('Data Entry'!$y$675), "", 'Data Entry'!$y$675)</f>
      </c>
      <c r="BF675">
        <f>IF(ISBLANK('Data Entry'!$z$675), "", 'Data Entry'!$z$675)</f>
      </c>
      <c r="BG675">
        <f>IF(ISBLANK('Data Entry'!${$675), "", 'Data Entry'!${$675)</f>
      </c>
      <c r="BH675">
        <f>IF(ISBLANK('Data Entry'!$|$675), "", 'Data Entry'!$|$675)</f>
      </c>
      <c r="BI675">
        <f>IF(ISBLANK('Data Entry'!$}$675), "", 'Data Entry'!$}$675)</f>
      </c>
      <c r="BJ675">
        <f>IF(ISBLANK('Data Entry'!$~$675), "", 'Data Entry'!$~$675)</f>
      </c>
      <c r="BK675">
        <f>IF(ISBLANK('Data Entry'!$$675), "", 'Data Entry'!$$675)</f>
      </c>
      <c r="BL675">
        <f>IF(ISBLANK('Data Entry'!$$675), "", 'Data Entry'!$$675)</f>
      </c>
      <c r="BM675">
        <f>IF(ISBLANK('Data Entry'!$$675), "", 'Data Entry'!$$675)</f>
      </c>
      <c r="BN675">
        <f>IF(ISBLANK('Data Entry'!$$675), "", 'Data Entry'!$$675)</f>
      </c>
      <c r="BO675">
        <f>IF(ISBLANK('Data Entry'!$$675), "", 'Data Entry'!$$675)</f>
      </c>
      <c r="BP675">
        <f>IF(ISBLANK('Data Entry'!$$675), "", 'Data Entry'!$$675)</f>
      </c>
      <c r="BQ675">
        <f>IF(ISBLANK('Data Entry'!$$675), "", 'Data Entry'!$$675)</f>
      </c>
      <c r="BR675">
        <f>IF(ISBLANK('Data Entry'!$$675), "", 'Data Entry'!$$675)</f>
      </c>
      <c r="BS675">
        <f>IF(ISBLANK('Data Entry'!$$675), "", 'Data Entry'!$$675)</f>
      </c>
      <c r="BT675">
        <f>IF(ISBLANK('Data Entry'!$$675), "", 'Data Entry'!$$675)</f>
      </c>
      <c r="BU675">
        <f>IF(ISBLANK('Data Entry'!$$675), "", 'Data Entry'!$$675)</f>
      </c>
      <c r="BV675">
        <f>IF(ISBLANK('Data Entry'!$$675), "", 'Data Entry'!$$675)</f>
      </c>
      <c r="BW675">
        <f>IF(ISBLANK('Data Entry'!$$675), "", 'Data Entry'!$$675)</f>
      </c>
      <c r="BX675">
        <f>IF(ISBLANK('Data Entry'!$$675), "", 'Data Entry'!$$675)</f>
      </c>
      <c r="BY675">
        <f>IF(ISBLANK('Data Entry'!$$675), "", 'Data Entry'!$$675)</f>
      </c>
      <c r="BZ675">
        <f>IF(ISBLANK('Data Entry'!$$675), "", 'Data Entry'!$$675)</f>
      </c>
      <c r="CA675">
        <f>IF(ISBLANK('Data Entry'!$$675), "", 'Data Entry'!$$675)</f>
      </c>
      <c r="CB675">
        <f>IF(ISBLANK('Data Entry'!$$675), "", 'Data Entry'!$$675)</f>
      </c>
      <c r="CC675">
        <f>IF(ISBLANK('Data Entry'!$$675), "", 'Data Entry'!$$675)</f>
      </c>
      <c r="CD675">
        <f>IF(ISBLANK('Data Entry'!$$675), "", 'Data Entry'!$$675)</f>
      </c>
      <c r="CE675">
        <f>IF(ISBLANK('Data Entry'!$$675), "", 'Data Entry'!$$675)</f>
      </c>
      <c r="CF675">
        <f>IF(ISBLANK('Data Entry'!$$675), "", 'Data Entry'!$$675)</f>
      </c>
      <c r="CG675">
        <f>IF(ISBLANK('Data Entry'!$$675), "", 'Data Entry'!$$675)</f>
      </c>
      <c r="CH675">
        <f>IF(ISBLANK('Data Entry'!$$675), "", 'Data Entry'!$$675)</f>
      </c>
      <c r="CI675">
        <f>IF(ISBLANK('Data Entry'!$$675), "", 'Data Entry'!$$675)</f>
      </c>
      <c r="CJ675">
        <f>IF(ISBLANK('Data Entry'!$$675), "", 'Data Entry'!$$675)</f>
      </c>
      <c r="CK675">
        <f>IF(ISBLANK('Data Entry'!$$675), "", 'Data Entry'!$$675)</f>
      </c>
      <c r="CL675">
        <f>IF(ISBLANK('Data Entry'!$$675), "", 'Data Entry'!$$675)</f>
      </c>
      <c r="CM675">
        <f>IF(ISBLANK('Data Entry'!$$675), "", 'Data Entry'!$$675)</f>
      </c>
      <c r="CN675">
        <f>IF(ISBLANK('Data Entry'!$$675), "", 'Data Entry'!$$675)</f>
      </c>
      <c r="CO675">
        <f>IF(ISBLANK('Data Entry'!$$675), "", 'Data Entry'!$$675)</f>
      </c>
      <c r="CP675">
        <f>IF(ISBLANK('Data Entry'!$$675), "", 'Data Entry'!$$675)</f>
      </c>
      <c r="CQ675">
        <f>IF(ISBLANK('Data Entry'!$$675), "", 'Data Entry'!$$675)</f>
      </c>
      <c r="CR675">
        <f>IF(ISBLANK('Data Entry'!$ $675), "", 'Data Entry'!$ $675)</f>
      </c>
      <c r="CS675">
        <f>IF(ISBLANK('Data Entry'!$¡$675), "", 'Data Entry'!$¡$675)</f>
      </c>
      <c r="CT675">
        <f>IF(ISBLANK('Data Entry'!$¢$675), "", 'Data Entry'!$¢$675)</f>
      </c>
      <c r="CU675">
        <f>IF(ISBLANK('Data Entry'!$£$675), "", 'Data Entry'!$£$675)</f>
      </c>
      <c r="CV675">
        <f>IF(ISBLANK('Data Entry'!$¤$675), "", 'Data Entry'!$¤$675)</f>
      </c>
      <c r="CW675">
        <f>IF(ISBLANK('Data Entry'!$¥$675), "", 'Data Entry'!$¥$675)</f>
      </c>
      <c r="CX675">
        <f>IF(ISBLANK('Data Entry'!$¦$675), "", 'Data Entry'!$¦$675)</f>
      </c>
      <c r="CY675">
        <f>IF(ISBLANK('Data Entry'!$§$675), "", 'Data Entry'!$§$675)</f>
      </c>
      <c r="CZ675">
        <f>IF(ISBLANK('Data Entry'!$¨$675), "", 'Data Entry'!$¨$675)</f>
      </c>
      <c r="DA675">
        <f>IF(ISBLANK('Data Entry'!$©$675), "", 'Data Entry'!$©$675)</f>
      </c>
      <c r="DB675">
        <f>IF(ISBLANK('Data Entry'!$ª$675), "", 'Data Entry'!$ª$675)</f>
      </c>
      <c r="DC675">
        <f>IF(ISBLANK('Data Entry'!$«$675), "", 'Data Entry'!$«$675)</f>
      </c>
      <c r="DD675">
        <f>IF(ISBLANK('Data Entry'!$¬$675), "", 'Data Entry'!$¬$675)</f>
      </c>
      <c r="DE675">
        <f>IF(ISBLANK('Data Entry'!$­$675), "", 'Data Entry'!$­$675)</f>
      </c>
      <c r="DF675">
        <f>IF(ISBLANK('Data Entry'!$®$675), "", 'Data Entry'!$®$675)</f>
      </c>
      <c r="DG675">
        <f>IF(ISBLANK('Data Entry'!$¯$675), "", 'Data Entry'!$¯$675)</f>
      </c>
      <c r="DH675">
        <f>IF(ISBLANK('Data Entry'!$°$675), "", 'Data Entry'!$°$675)</f>
      </c>
      <c r="DI675">
        <f>IF(ISBLANK('Data Entry'!$±$675), "", 'Data Entry'!$±$675)</f>
      </c>
      <c r="DJ675">
        <f>IF(ISBLANK('Data Entry'!$²$675), "", 'Data Entry'!$²$675)</f>
      </c>
      <c r="DK675">
        <f>IF(ISBLANK('Data Entry'!$³$675), "", 'Data Entry'!$³$675)</f>
      </c>
      <c r="DL675">
        <f>IF(ISBLANK('Data Entry'!$´$675), "", 'Data Entry'!$´$675)</f>
      </c>
      <c r="DM675">
        <f>IF(ISBLANK('Data Entry'!$µ$675), "", 'Data Entry'!$µ$675)</f>
      </c>
      <c r="DN675">
        <f>IF(ISBLANK('Data Entry'!$¶$675), "", 'Data Entry'!$¶$675)</f>
      </c>
      <c r="DO675">
        <f>IF(ISBLANK('Data Entry'!$·$675), "", 'Data Entry'!$·$675)</f>
      </c>
      <c r="DP675">
        <f>IF(ISBLANK('Data Entry'!$¸$675), "", 'Data Entry'!$¸$675)</f>
      </c>
      <c r="DQ675">
        <f>IF(ISBLANK('Data Entry'!$¹$675), "", 'Data Entry'!$¹$675)</f>
      </c>
      <c r="DR675">
        <f>IF(ISBLANK('Data Entry'!$º$675), "", 'Data Entry'!$º$675)</f>
      </c>
      <c r="DS675">
        <f>IF(ISBLANK('Data Entry'!$»$675), "", 'Data Entry'!$»$675)</f>
      </c>
      <c r="DT675">
        <f>IF(ISBLANK('Data Entry'!$¼$675), "", 'Data Entry'!$¼$675)</f>
      </c>
      <c r="DU675">
        <f>IF(ISBLANK('Data Entry'!$½$675), "", 'Data Entry'!$½$675)</f>
      </c>
      <c r="DV675">
        <f>IF(ISBLANK('Data Entry'!$¾$675), "", 'Data Entry'!$¾$675)</f>
      </c>
      <c r="DW675">
        <f>IF(ISBLANK('Data Entry'!$¿$675), "", 'Data Entry'!$¿$675)</f>
      </c>
      <c r="DX675">
        <f>IF(ISBLANK('Data Entry'!$À$675), "", 'Data Entry'!$À$675)</f>
      </c>
      <c r="DY675">
        <f>IF(ISBLANK('Data Entry'!$Á$675), "", 'Data Entry'!$Á$675)</f>
      </c>
      <c r="DZ675">
        <f>IF(ISBLANK('Data Entry'!$Â$675), "", 'Data Entry'!$Â$675)</f>
      </c>
      <c r="EA675">
        <f>IF(ISBLANK('Data Entry'!$Ã$675), "", 'Data Entry'!$Ã$675)</f>
      </c>
      <c r="EB675">
        <f>IF(ISBLANK('Data Entry'!$Ä$675), "", 'Data Entry'!$Ä$675)</f>
      </c>
      <c r="EC675">
        <f>IF(ISBLANK('Data Entry'!$Å$675), "", 'Data Entry'!$Å$675)</f>
      </c>
      <c r="ED675">
        <f>IF(ISBLANK('Data Entry'!$Æ$675), "", 'Data Entry'!$Æ$675)</f>
      </c>
      <c r="EE675">
        <f>IF(ISBLANK('Data Entry'!$Ç$675), "", 'Data Entry'!$Ç$675)</f>
      </c>
      <c r="EF675">
        <f>IF(ISBLANK('Data Entry'!$È$675), "", 'Data Entry'!$È$675)</f>
      </c>
      <c r="EG675">
        <f>IF(ISBLANK('Data Entry'!$É$675), "", 'Data Entry'!$É$675)</f>
      </c>
      <c r="EH675">
        <f>IF(ISBLANK('Data Entry'!$Ê$675), "", 'Data Entry'!$Ê$675)</f>
      </c>
      <c r="EI675">
        <f>IF(ISBLANK('Data Entry'!$Ë$675), "", 'Data Entry'!$Ë$675)</f>
      </c>
      <c r="EJ675">
        <f>IF(ISBLANK('Data Entry'!$Ì$675), "", 'Data Entry'!$Ì$675)</f>
      </c>
      <c r="EK675">
        <f>IF(ISBLANK('Data Entry'!$Í$675), "", 'Data Entry'!$Í$675)</f>
      </c>
      <c r="EL675">
        <f>IF(ISBLANK('Data Entry'!$Î$675), "", 'Data Entry'!$Î$675)</f>
      </c>
      <c r="EM675">
        <f>IF(ISBLANK('Data Entry'!$Ï$675), "", 'Data Entry'!$Ï$675)</f>
      </c>
      <c r="EN675">
        <f>IF(ISBLANK('Data Entry'!$Ð$675), "", 'Data Entry'!$Ð$675)</f>
      </c>
      <c r="EO675">
        <f>IF(ISBLANK('Data Entry'!$Ñ$675), "", 'Data Entry'!$Ñ$675)</f>
      </c>
      <c r="EP675">
        <f>IF(ISBLANK('Data Entry'!$Ò$675), "", 'Data Entry'!$Ò$675)</f>
      </c>
      <c r="EQ675">
        <f>IF(ISBLANK('Data Entry'!$Ó$675), "", 'Data Entry'!$Ó$675)</f>
      </c>
      <c r="ER675">
        <f>IF(ISBLANK('Data Entry'!$Ô$675), "", 'Data Entry'!$Ô$675)</f>
      </c>
      <c r="ES675">
        <f>IF(ISBLANK('Data Entry'!$Õ$675), "", 'Data Entry'!$Õ$675)</f>
      </c>
      <c r="ET675">
        <f>IF(ISBLANK('Data Entry'!$Ö$675), "", 'Data Entry'!$Ö$675)</f>
      </c>
      <c r="EU675">
        <f>IF(ISBLANK('Data Entry'!$×$675), "", 'Data Entry'!$×$675)</f>
      </c>
      <c r="EV675">
        <f>IF(ISBLANK('Data Entry'!$Ø$675), "", 'Data Entry'!$Ø$675)</f>
      </c>
      <c r="EW675">
        <f>IF(ISBLANK('Data Entry'!$Ù$675), "", 'Data Entry'!$Ù$675)</f>
      </c>
      <c r="EX675">
        <f>IF(ISBLANK('Data Entry'!$Ú$675), "", 'Data Entry'!$Ú$675)</f>
      </c>
      <c r="EY675">
        <f>IF(ISBLANK('Data Entry'!$Û$675), "", 'Data Entry'!$Û$675)</f>
      </c>
      <c r="EZ675">
        <f>IF(ISBLANK('Data Entry'!$Ü$675), "", 'Data Entry'!$Ü$675)</f>
      </c>
      <c r="FA675">
        <f>IF(ISBLANK('Data Entry'!$Ý$675), "", 'Data Entry'!$Ý$675)</f>
      </c>
      <c r="FB675">
        <f>IF(ISBLANK('Data Entry'!$Þ$675), "", 'Data Entry'!$Þ$675)</f>
      </c>
      <c r="FC675">
        <f>IF(ISBLANK('Data Entry'!$ß$675), "", 'Data Entry'!$ß$675)</f>
      </c>
      <c r="FD675">
        <f>IF(ISBLANK('Data Entry'!$à$675), "", 'Data Entry'!$à$675)</f>
      </c>
      <c r="FE675">
        <f>IF(ISBLANK('Data Entry'!$á$675), "", 'Data Entry'!$á$675)</f>
      </c>
      <c r="FF675">
        <f>IF(ISBLANK('Data Entry'!$â$675), "", 'Data Entry'!$â$675)</f>
      </c>
      <c r="FG675">
        <f>IF(ISBLANK('Data Entry'!$ã$675), "", 'Data Entry'!$ã$675)</f>
      </c>
      <c r="FH675">
        <f>IF(ISBLANK('Data Entry'!$ä$675), "", 'Data Entry'!$ä$675)</f>
      </c>
      <c r="FI675">
        <f>IF(ISBLANK('Data Entry'!$å$675), "", 'Data Entry'!$å$675)</f>
      </c>
      <c r="FJ675">
        <f>IF(ISBLANK('Data Entry'!$æ$675), "", 'Data Entry'!$æ$675)</f>
      </c>
      <c r="FK675">
        <f>IF(ISBLANK('Data Entry'!$ç$675), "", 'Data Entry'!$ç$675)</f>
      </c>
      <c r="FL675">
        <f>IF(ISBLANK('Data Entry'!$è$675), "", 'Data Entry'!$è$675)</f>
      </c>
      <c r="FM675">
        <f>IF(ISBLANK('Data Entry'!$é$675), "", 'Data Entry'!$é$675)</f>
      </c>
      <c r="FN675">
        <f>IF(ISBLANK('Data Entry'!$ê$675), "", 'Data Entry'!$ê$675)</f>
      </c>
      <c r="FO675">
        <f>IF(ISBLANK('Data Entry'!$ë$675), "", 'Data Entry'!$ë$675)</f>
      </c>
      <c r="FP675">
        <f>IF(ISBLANK('Data Entry'!$ì$675), "", 'Data Entry'!$ì$675)</f>
      </c>
      <c r="FQ675">
        <f>IF(ISBLANK('Data Entry'!$í$675), "", 'Data Entry'!$í$675)</f>
      </c>
      <c r="FR675">
        <f>IF(ISBLANK('Data Entry'!$î$675), "", 'Data Entry'!$î$675)</f>
      </c>
      <c r="FS675">
        <f>IF(ISBLANK('Data Entry'!$ï$675), "", 'Data Entry'!$ï$675)</f>
      </c>
      <c r="FT675">
        <f>IF(ISBLANK('Data Entry'!$ð$675), "", 'Data Entry'!$ð$675)</f>
      </c>
      <c r="FU675">
        <f>IF(ISBLANK('Data Entry'!$ñ$675), "", 'Data Entry'!$ñ$675)</f>
      </c>
      <c r="FV675">
        <f>IF(ISBLANK('Data Entry'!$ò$675), "", 'Data Entry'!$ò$675)</f>
      </c>
      <c r="FW675">
        <f>IF(ISBLANK('Data Entry'!$ó$675), "", 'Data Entry'!$ó$675)</f>
      </c>
      <c r="FX675">
        <f>IF(ISBLANK('Data Entry'!$ô$675), "", 'Data Entry'!$ô$675)</f>
      </c>
      <c r="FY675">
        <f>IF(ISBLANK('Data Entry'!$õ$675), "", 'Data Entry'!$õ$675)</f>
      </c>
      <c r="FZ675">
        <f>IF(ISBLANK('Data Entry'!$ö$675), "", 'Data Entry'!$ö$675)</f>
      </c>
      <c r="GA675">
        <f>IF(ISBLANK('Data Entry'!$÷$675), "", 'Data Entry'!$÷$675)</f>
      </c>
      <c r="GB675">
        <f>IF(ISBLANK('Data Entry'!$ø$675), "", 'Data Entry'!$ø$675)</f>
      </c>
      <c r="GC675">
        <f>IF(ISBLANK('Data Entry'!$ù$675), "", 'Data Entry'!$ù$675)</f>
      </c>
      <c r="GD675">
        <f>IF(ISBLANK('Data Entry'!$ú$675), "", 'Data Entry'!$ú$675)</f>
      </c>
      <c r="GE675">
        <f>IF(ISBLANK('Data Entry'!$û$675), "", 'Data Entry'!$û$675)</f>
      </c>
      <c r="GF675">
        <f>IF(ISBLANK('Data Entry'!$ü$675), "", 'Data Entry'!$ü$675)</f>
      </c>
      <c r="GG675">
        <f>IF(ISBLANK('Data Entry'!$ý$675), "", 'Data Entry'!$ý$675)</f>
      </c>
      <c r="GH675">
        <f>IF(ISBLANK('Data Entry'!$þ$675), "", 'Data Entry'!$þ$675)</f>
      </c>
      <c r="GI675">
        <f>IF(ISBLANK('Data Entry'!$ÿ$675), "", 'Data Entry'!$ÿ$675)</f>
      </c>
      <c r="GJ675">
        <f>IF(ISBLANK('Data Entry'!$Ā$675), "", 'Data Entry'!$Ā$675)</f>
      </c>
      <c r="GK675">
        <f>IF(ISBLANK('Data Entry'!$ā$675), "", 'Data Entry'!$ā$675)</f>
      </c>
      <c r="GL675">
        <f>IF(ISBLANK('Data Entry'!$Ă$675), "", 'Data Entry'!$Ă$675)</f>
      </c>
      <c r="GM675">
        <f>IF(ISBLANK('Data Entry'!$ă$675), "", 'Data Entry'!$ă$675)</f>
      </c>
      <c r="GN675">
        <f>IF(ISBLANK('Data Entry'!$Ą$675), "", 'Data Entry'!$Ą$675)</f>
      </c>
      <c r="GO675">
        <f>IF(ISBLANK('Data Entry'!$ą$675), "", 'Data Entry'!$ą$675)</f>
      </c>
      <c r="GP675">
        <f>IF(ISBLANK('Data Entry'!$Ć$675), "", 'Data Entry'!$Ć$675)</f>
      </c>
      <c r="GQ675">
        <f>IF(ISBLANK('Data Entry'!$ć$675), "", 'Data Entry'!$ć$675)</f>
      </c>
      <c r="GR675">
        <f>IF(ISBLANK('Data Entry'!$Ĉ$675), "", 'Data Entry'!$Ĉ$675)</f>
      </c>
      <c r="GS675">
        <f>IF(ISBLANK('Data Entry'!$ĉ$675), "", 'Data Entry'!$ĉ$675)</f>
      </c>
      <c r="GT675">
        <f>IF(ISBLANK('Data Entry'!$Ċ$675), "", 'Data Entry'!$Ċ$675)</f>
      </c>
      <c r="GU675">
        <f>IF(ISBLANK('Data Entry'!$ċ$675), "", 'Data Entry'!$ċ$675)</f>
      </c>
      <c r="GV675">
        <f>IF(ISBLANK('Data Entry'!$Č$675), "", 'Data Entry'!$Č$675)</f>
      </c>
      <c r="GW675">
        <f>IF(ISBLANK('Data Entry'!$č$675), "", 'Data Entry'!$č$675)</f>
      </c>
      <c r="GX675">
        <f>IF(ISBLANK('Data Entry'!$Ď$675), "", 'Data Entry'!$Ď$675)</f>
      </c>
      <c r="GY675">
        <f>IF(ISBLANK('Data Entry'!$ď$675), "", 'Data Entry'!$ď$675)</f>
      </c>
      <c r="GZ675">
        <f>IF(ISBLANK('Data Entry'!$Đ$675), "", 'Data Entry'!$Đ$675)</f>
      </c>
      <c r="HA675">
        <f>IF(ISBLANK('Data Entry'!$đ$675), "", 'Data Entry'!$đ$675)</f>
      </c>
      <c r="HB675">
        <f>IF(ISBLANK('Data Entry'!$Ē$675), "", 'Data Entry'!$Ē$675)</f>
      </c>
      <c r="HC675">
        <f>IF(ISBLANK('Data Entry'!$ē$675), "", 'Data Entry'!$ē$675)</f>
      </c>
      <c r="HD675">
        <f>IF(ISBLANK('Data Entry'!$Ĕ$675), "", 'Data Entry'!$Ĕ$675)</f>
      </c>
      <c r="HE675">
        <f>IF(ISBLANK('Data Entry'!$ĕ$675), "", 'Data Entry'!$ĕ$675)</f>
      </c>
      <c r="HF675">
        <f>IF(ISBLANK('Data Entry'!$Ė$675), "", 'Data Entry'!$Ė$675)</f>
      </c>
      <c r="HG675">
        <f>IF(ISBLANK('Data Entry'!$ė$675), "", 'Data Entry'!$ė$675)</f>
      </c>
      <c r="HH675">
        <f>IF(ISBLANK('Data Entry'!$Ę$675), "", 'Data Entry'!$Ę$675)</f>
      </c>
      <c r="HI675">
        <f>IF(ISBLANK('Data Entry'!$ę$675), "", 'Data Entry'!$ę$675)</f>
      </c>
      <c r="HJ675">
        <f>IF(ISBLANK('Data Entry'!$Ě$675), "", 'Data Entry'!$Ě$675)</f>
      </c>
      <c r="HK675">
        <f>IF(ISBLANK('Data Entry'!$ě$675), "", 'Data Entry'!$ě$675)</f>
      </c>
      <c r="HL675">
        <f>IF(ISBLANK('Data Entry'!$Ĝ$675), "", 'Data Entry'!$Ĝ$675)</f>
      </c>
      <c r="HM675">
        <f>IF(ISBLANK('Data Entry'!$ĝ$675), "", 'Data Entry'!$ĝ$675)</f>
      </c>
      <c r="HN675">
        <f>IF(ISBLANK('Data Entry'!$Ğ$675), "", 'Data Entry'!$Ğ$675)</f>
      </c>
      <c r="HO675">
        <f>IF(ISBLANK('Data Entry'!$ğ$675), "", 'Data Entry'!$ğ$675)</f>
      </c>
      <c r="HP675">
        <f>IF(ISBLANK('Data Entry'!$Ġ$675), "", 'Data Entry'!$Ġ$675)</f>
      </c>
      <c r="HQ675">
        <f>IF(ISBLANK('Data Entry'!$ġ$675), "", 'Data Entry'!$ġ$675)</f>
      </c>
      <c r="HR675">
        <f>IF(ISBLANK('Data Entry'!$Ģ$675), "", 'Data Entry'!$Ģ$675)</f>
      </c>
      <c r="HS675">
        <f>IF(ISBLANK('Data Entry'!$ģ$675), "", 'Data Entry'!$ģ$675)</f>
      </c>
      <c r="HT675">
        <f>IF(ISBLANK('Data Entry'!$Ĥ$675), "", 'Data Entry'!$Ĥ$675)</f>
      </c>
      <c r="HU675">
        <f>IF(ISBLANK('Data Entry'!$ĥ$675), "", 'Data Entry'!$ĥ$675)</f>
      </c>
      <c r="HV675">
        <f>IF(ISBLANK('Data Entry'!$Ħ$675), "", 'Data Entry'!$Ħ$675)</f>
      </c>
      <c r="HW675">
        <f>IF(ISBLANK('Data Entry'!$ħ$675), "", 'Data Entry'!$ħ$675)</f>
      </c>
      <c r="HX675">
        <f>IF(ISBLANK('Data Entry'!$Ĩ$675), "", 'Data Entry'!$Ĩ$675)</f>
      </c>
      <c r="HY675">
        <f>IF(ISBLANK('Data Entry'!$ĩ$675), "", 'Data Entry'!$ĩ$675)</f>
      </c>
      <c r="HZ675">
        <f>IF(ISBLANK('Data Entry'!$Ī$675), "", 'Data Entry'!$Ī$675)</f>
      </c>
      <c r="IA675">
        <f>IF(ISBLANK('Data Entry'!$ī$675), "", 'Data Entry'!$ī$675)</f>
      </c>
      <c r="IB675">
        <f>IF(ISBLANK('Data Entry'!$Ĭ$675), "", 'Data Entry'!$Ĭ$675)</f>
      </c>
      <c r="IC675">
        <f>IF(ISBLANK('Data Entry'!$ĭ$675), "", 'Data Entry'!$ĭ$675)</f>
      </c>
      <c r="ID675">
        <f>IF(ISBLANK('Data Entry'!$Į$675), "", 'Data Entry'!$Į$675)</f>
      </c>
      <c r="IE675">
        <f>IF(ISBLANK('Data Entry'!$į$675), "", 'Data Entry'!$į$675)</f>
      </c>
      <c r="IF675">
        <f>IF(ISBLANK('Data Entry'!$İ$675), "", 'Data Entry'!$İ$675)</f>
      </c>
      <c r="IG675">
        <f>IF(ISBLANK('Data Entry'!$ı$675), "", 'Data Entry'!$ı$675)</f>
      </c>
      <c r="IH675">
        <f>IF(ISBLANK('Data Entry'!$Ĳ$675), "", 'Data Entry'!$Ĳ$675)</f>
      </c>
      <c r="II675">
        <f>IF(ISBLANK('Data Entry'!$ĳ$675), "", 'Data Entry'!$ĳ$675)</f>
      </c>
      <c r="IJ675">
        <f>IF(ISBLANK('Data Entry'!$Ĵ$675), "", 'Data Entry'!$Ĵ$675)</f>
      </c>
      <c r="IK675">
        <f>IF(ISBLANK('Data Entry'!$ĵ$675), "", 'Data Entry'!$ĵ$675)</f>
      </c>
      <c r="IL675">
        <f>IF(ISBLANK('Data Entry'!$Ķ$675), "", 'Data Entry'!$Ķ$675)</f>
      </c>
      <c r="IM675">
        <f>IF(ISBLANK('Data Entry'!$ķ$675), "", 'Data Entry'!$ķ$675)</f>
      </c>
      <c r="IN675">
        <f>IF(ISBLANK('Data Entry'!$ĸ$675), "", 'Data Entry'!$ĸ$675)</f>
      </c>
      <c r="IO675">
        <f>IF(ISBLANK('Data Entry'!$Ĺ$675), "", 'Data Entry'!$Ĺ$675)</f>
      </c>
      <c r="IP675">
        <f>IF(ISBLANK('Data Entry'!$ĺ$675), "", 'Data Entry'!$ĺ$675)</f>
      </c>
      <c r="IQ675">
        <f>IF(ISBLANK('Data Entry'!$Ļ$675), "", 'Data Entry'!$Ļ$675)</f>
      </c>
      <c r="IR675">
        <f>IF(ISBLANK('Data Entry'!$ļ$675), "", 'Data Entry'!$ļ$675)</f>
      </c>
      <c r="IS675">
        <f>IF(ISBLANK('Data Entry'!$Ľ$675), "", 'Data Entry'!$Ľ$675)</f>
      </c>
      <c r="IT675">
        <f>IF(ISBLANK('Data Entry'!$ľ$675), "", 'Data Entry'!$ľ$675)</f>
      </c>
    </row>
    <row r="676" spans="1:254" x14ac:dyDescent="0.25">
      <c r="A676">
        <f>IF(ISBLANK('Data Entry'!$A$676), "", 'Data Entry'!$A$676)</f>
      </c>
      <c r="B676">
        <f>IF(ISBLANK('Data Entry'!$B$676), "", 'Data Entry'!$B$676)</f>
      </c>
      <c r="C676">
        <f>IF(ISBLANK('Data Entry'!$C$676), "", 'Data Entry'!$C$676)</f>
      </c>
      <c r="D676">
        <f>IF(ISBLANK('Data Entry'!$D$676), "", 'Data Entry'!$D$676)</f>
      </c>
      <c r="E676">
        <f>IF(ISBLANK('Data Entry'!$E$676), "", 'Data Entry'!$E$676)</f>
      </c>
      <c r="F676">
        <f>IF(ISBLANK('Data Entry'!$F$676), "", 'Data Entry'!$F$676)</f>
      </c>
      <c r="G676">
        <f>IF(ISBLANK('Data Entry'!$G$676), "", 'Data Entry'!$G$676)</f>
      </c>
      <c r="H676">
        <f>IF(ISBLANK('Data Entry'!$H$676), "", 'Data Entry'!$H$676)</f>
      </c>
      <c r="I676">
        <f>IF(ISBLANK('Data Entry'!$I$676), "", 'Data Entry'!$I$676)</f>
      </c>
      <c r="J676">
        <f>IF(ISBLANK('Data Entry'!$J$676), "", 'Data Entry'!$J$676)</f>
      </c>
      <c r="K676">
        <f>IF(ISBLANK('Data Entry'!$K$676), "", 'Data Entry'!$K$676)</f>
      </c>
      <c r="L676">
        <f>IF(ISBLANK('Data Entry'!$L$676), "", 'Data Entry'!$L$676)</f>
      </c>
      <c r="M676">
        <f>IF(ISBLANK('Data Entry'!$M$676), "", 'Data Entry'!$M$676)</f>
      </c>
      <c r="N676">
        <f>IF(ISBLANK('Data Entry'!$N$676), "", 'Data Entry'!$N$676)</f>
      </c>
      <c r="O676">
        <f>IF(ISBLANK('Data Entry'!$O$676), "", 'Data Entry'!$O$676)</f>
      </c>
      <c r="P676">
        <f>IF(ISBLANK('Data Entry'!$P$676), "", 'Data Entry'!$P$676)</f>
      </c>
      <c r="Q676">
        <f>IF(ISBLANK('Data Entry'!$Q$676), "", 'Data Entry'!$Q$676)</f>
      </c>
      <c r="R676">
        <f>IF(ISBLANK('Data Entry'!$R$676), "", 'Data Entry'!$R$676)</f>
      </c>
      <c r="S676">
        <f>IF(ISBLANK('Data Entry'!$S$676), "", 'Data Entry'!$S$676)</f>
      </c>
      <c r="T676">
        <f>IF(ISBLANK('Data Entry'!$T$676), "", 'Data Entry'!$T$676)</f>
      </c>
      <c r="U676">
        <f>IF(ISBLANK('Data Entry'!$U$676), "", 'Data Entry'!$U$676)</f>
      </c>
      <c r="V676">
        <f>IF(ISBLANK('Data Entry'!$V$676), "", 'Data Entry'!$V$676)</f>
      </c>
      <c r="W676">
        <f>IF(ISBLANK('Data Entry'!$W$676), "", 'Data Entry'!$W$676)</f>
      </c>
      <c r="X676">
        <f>IF(ISBLANK('Data Entry'!$X$676), "", 'Data Entry'!$X$676)</f>
      </c>
      <c r="Y676">
        <f>IF(ISBLANK('Data Entry'!$Y$676), "", 'Data Entry'!$Y$676)</f>
      </c>
      <c r="Z676">
        <f>IF(ISBLANK('Data Entry'!$Z$676), "", 'Data Entry'!$Z$676)</f>
      </c>
      <c r="AA676">
        <f>IF(ISBLANK('Data Entry'!$[$676), "", 'Data Entry'!$[$676)</f>
      </c>
      <c r="AB676">
        <f>IF(ISBLANK('Data Entry'!$\$676), "", 'Data Entry'!$\$676)</f>
      </c>
      <c r="AC676">
        <f>IF(ISBLANK('Data Entry'!$]$676), "", 'Data Entry'!$]$676)</f>
      </c>
      <c r="AD676">
        <f>IF(ISBLANK('Data Entry'!$^$676), "", 'Data Entry'!$^$676)</f>
      </c>
      <c r="AE676">
        <f>IF(ISBLANK('Data Entry'!$_$676), "", 'Data Entry'!$_$676)</f>
      </c>
      <c r="AF676">
        <f>IF(ISBLANK('Data Entry'!$`$676), "", 'Data Entry'!$`$676)</f>
      </c>
      <c r="AG676">
        <f>IF(ISBLANK('Data Entry'!$a$676), "", 'Data Entry'!$a$676)</f>
      </c>
      <c r="AH676">
        <f>IF(ISBLANK('Data Entry'!$b$676), "", 'Data Entry'!$b$676)</f>
      </c>
      <c r="AI676">
        <f>IF(ISBLANK('Data Entry'!$c$676), "", 'Data Entry'!$c$676)</f>
      </c>
      <c r="AJ676">
        <f>IF(ISBLANK('Data Entry'!$d$676), "", 'Data Entry'!$d$676)</f>
      </c>
      <c r="AK676">
        <f>IF(ISBLANK('Data Entry'!$e$676), "", 'Data Entry'!$e$676)</f>
      </c>
      <c r="AL676">
        <f>IF(ISBLANK('Data Entry'!$f$676), "", 'Data Entry'!$f$676)</f>
      </c>
      <c r="AM676">
        <f>IF(ISBLANK('Data Entry'!$g$676), "", 'Data Entry'!$g$676)</f>
      </c>
      <c r="AN676">
        <f>IF(ISBLANK('Data Entry'!$h$676), "", 'Data Entry'!$h$676)</f>
      </c>
      <c r="AO676">
        <f>IF(ISBLANK('Data Entry'!$i$676), "", 'Data Entry'!$i$676)</f>
      </c>
      <c r="AP676">
        <f>IF(ISBLANK('Data Entry'!$j$676), "", 'Data Entry'!$j$676)</f>
      </c>
      <c r="AQ676">
        <f>IF(ISBLANK('Data Entry'!$k$676), "", 'Data Entry'!$k$676)</f>
      </c>
      <c r="AR676">
        <f>IF(ISBLANK('Data Entry'!$l$676), "", 'Data Entry'!$l$676)</f>
      </c>
      <c r="AS676">
        <f>IF(ISBLANK('Data Entry'!$m$676), "", 'Data Entry'!$m$676)</f>
      </c>
      <c r="AT676">
        <f>IF(ISBLANK('Data Entry'!$n$676), "", 'Data Entry'!$n$676)</f>
      </c>
      <c r="AU676">
        <f>IF(ISBLANK('Data Entry'!$o$676), "", 'Data Entry'!$o$676)</f>
      </c>
      <c r="AV676">
        <f>IF(ISBLANK('Data Entry'!$p$676), "", 'Data Entry'!$p$676)</f>
      </c>
      <c r="AW676">
        <f>IF(ISBLANK('Data Entry'!$q$676), "", 'Data Entry'!$q$676)</f>
      </c>
      <c r="AX676">
        <f>IF(ISBLANK('Data Entry'!$r$676), "", 'Data Entry'!$r$676)</f>
      </c>
      <c r="AY676">
        <f>IF(ISBLANK('Data Entry'!$s$676), "", 'Data Entry'!$s$676)</f>
      </c>
      <c r="AZ676">
        <f>IF(ISBLANK('Data Entry'!$t$676), "", 'Data Entry'!$t$676)</f>
      </c>
      <c r="BA676">
        <f>IF(ISBLANK('Data Entry'!$u$676), "", 'Data Entry'!$u$676)</f>
      </c>
      <c r="BB676">
        <f>IF(ISBLANK('Data Entry'!$v$676), "", 'Data Entry'!$v$676)</f>
      </c>
      <c r="BC676">
        <f>IF(ISBLANK('Data Entry'!$w$676), "", 'Data Entry'!$w$676)</f>
      </c>
      <c r="BD676">
        <f>IF(ISBLANK('Data Entry'!$x$676), "", 'Data Entry'!$x$676)</f>
      </c>
      <c r="BE676">
        <f>IF(ISBLANK('Data Entry'!$y$676), "", 'Data Entry'!$y$676)</f>
      </c>
      <c r="BF676">
        <f>IF(ISBLANK('Data Entry'!$z$676), "", 'Data Entry'!$z$676)</f>
      </c>
      <c r="BG676">
        <f>IF(ISBLANK('Data Entry'!${$676), "", 'Data Entry'!${$676)</f>
      </c>
      <c r="BH676">
        <f>IF(ISBLANK('Data Entry'!$|$676), "", 'Data Entry'!$|$676)</f>
      </c>
      <c r="BI676">
        <f>IF(ISBLANK('Data Entry'!$}$676), "", 'Data Entry'!$}$676)</f>
      </c>
      <c r="BJ676">
        <f>IF(ISBLANK('Data Entry'!$~$676), "", 'Data Entry'!$~$676)</f>
      </c>
      <c r="BK676">
        <f>IF(ISBLANK('Data Entry'!$$676), "", 'Data Entry'!$$676)</f>
      </c>
      <c r="BL676">
        <f>IF(ISBLANK('Data Entry'!$$676), "", 'Data Entry'!$$676)</f>
      </c>
      <c r="BM676">
        <f>IF(ISBLANK('Data Entry'!$$676), "", 'Data Entry'!$$676)</f>
      </c>
      <c r="BN676">
        <f>IF(ISBLANK('Data Entry'!$$676), "", 'Data Entry'!$$676)</f>
      </c>
      <c r="BO676">
        <f>IF(ISBLANK('Data Entry'!$$676), "", 'Data Entry'!$$676)</f>
      </c>
      <c r="BP676">
        <f>IF(ISBLANK('Data Entry'!$$676), "", 'Data Entry'!$$676)</f>
      </c>
      <c r="BQ676">
        <f>IF(ISBLANK('Data Entry'!$$676), "", 'Data Entry'!$$676)</f>
      </c>
      <c r="BR676">
        <f>IF(ISBLANK('Data Entry'!$$676), "", 'Data Entry'!$$676)</f>
      </c>
      <c r="BS676">
        <f>IF(ISBLANK('Data Entry'!$$676), "", 'Data Entry'!$$676)</f>
      </c>
      <c r="BT676">
        <f>IF(ISBLANK('Data Entry'!$$676), "", 'Data Entry'!$$676)</f>
      </c>
      <c r="BU676">
        <f>IF(ISBLANK('Data Entry'!$$676), "", 'Data Entry'!$$676)</f>
      </c>
      <c r="BV676">
        <f>IF(ISBLANK('Data Entry'!$$676), "", 'Data Entry'!$$676)</f>
      </c>
      <c r="BW676">
        <f>IF(ISBLANK('Data Entry'!$$676), "", 'Data Entry'!$$676)</f>
      </c>
      <c r="BX676">
        <f>IF(ISBLANK('Data Entry'!$$676), "", 'Data Entry'!$$676)</f>
      </c>
      <c r="BY676">
        <f>IF(ISBLANK('Data Entry'!$$676), "", 'Data Entry'!$$676)</f>
      </c>
      <c r="BZ676">
        <f>IF(ISBLANK('Data Entry'!$$676), "", 'Data Entry'!$$676)</f>
      </c>
      <c r="CA676">
        <f>IF(ISBLANK('Data Entry'!$$676), "", 'Data Entry'!$$676)</f>
      </c>
      <c r="CB676">
        <f>IF(ISBLANK('Data Entry'!$$676), "", 'Data Entry'!$$676)</f>
      </c>
      <c r="CC676">
        <f>IF(ISBLANK('Data Entry'!$$676), "", 'Data Entry'!$$676)</f>
      </c>
      <c r="CD676">
        <f>IF(ISBLANK('Data Entry'!$$676), "", 'Data Entry'!$$676)</f>
      </c>
      <c r="CE676">
        <f>IF(ISBLANK('Data Entry'!$$676), "", 'Data Entry'!$$676)</f>
      </c>
      <c r="CF676">
        <f>IF(ISBLANK('Data Entry'!$$676), "", 'Data Entry'!$$676)</f>
      </c>
      <c r="CG676">
        <f>IF(ISBLANK('Data Entry'!$$676), "", 'Data Entry'!$$676)</f>
      </c>
      <c r="CH676">
        <f>IF(ISBLANK('Data Entry'!$$676), "", 'Data Entry'!$$676)</f>
      </c>
      <c r="CI676">
        <f>IF(ISBLANK('Data Entry'!$$676), "", 'Data Entry'!$$676)</f>
      </c>
      <c r="CJ676">
        <f>IF(ISBLANK('Data Entry'!$$676), "", 'Data Entry'!$$676)</f>
      </c>
      <c r="CK676">
        <f>IF(ISBLANK('Data Entry'!$$676), "", 'Data Entry'!$$676)</f>
      </c>
      <c r="CL676">
        <f>IF(ISBLANK('Data Entry'!$$676), "", 'Data Entry'!$$676)</f>
      </c>
      <c r="CM676">
        <f>IF(ISBLANK('Data Entry'!$$676), "", 'Data Entry'!$$676)</f>
      </c>
      <c r="CN676">
        <f>IF(ISBLANK('Data Entry'!$$676), "", 'Data Entry'!$$676)</f>
      </c>
      <c r="CO676">
        <f>IF(ISBLANK('Data Entry'!$$676), "", 'Data Entry'!$$676)</f>
      </c>
      <c r="CP676">
        <f>IF(ISBLANK('Data Entry'!$$676), "", 'Data Entry'!$$676)</f>
      </c>
      <c r="CQ676">
        <f>IF(ISBLANK('Data Entry'!$$676), "", 'Data Entry'!$$676)</f>
      </c>
      <c r="CR676">
        <f>IF(ISBLANK('Data Entry'!$ $676), "", 'Data Entry'!$ $676)</f>
      </c>
      <c r="CS676">
        <f>IF(ISBLANK('Data Entry'!$¡$676), "", 'Data Entry'!$¡$676)</f>
      </c>
      <c r="CT676">
        <f>IF(ISBLANK('Data Entry'!$¢$676), "", 'Data Entry'!$¢$676)</f>
      </c>
      <c r="CU676">
        <f>IF(ISBLANK('Data Entry'!$£$676), "", 'Data Entry'!$£$676)</f>
      </c>
      <c r="CV676">
        <f>IF(ISBLANK('Data Entry'!$¤$676), "", 'Data Entry'!$¤$676)</f>
      </c>
      <c r="CW676">
        <f>IF(ISBLANK('Data Entry'!$¥$676), "", 'Data Entry'!$¥$676)</f>
      </c>
      <c r="CX676">
        <f>IF(ISBLANK('Data Entry'!$¦$676), "", 'Data Entry'!$¦$676)</f>
      </c>
      <c r="CY676">
        <f>IF(ISBLANK('Data Entry'!$§$676), "", 'Data Entry'!$§$676)</f>
      </c>
      <c r="CZ676">
        <f>IF(ISBLANK('Data Entry'!$¨$676), "", 'Data Entry'!$¨$676)</f>
      </c>
      <c r="DA676">
        <f>IF(ISBLANK('Data Entry'!$©$676), "", 'Data Entry'!$©$676)</f>
      </c>
      <c r="DB676">
        <f>IF(ISBLANK('Data Entry'!$ª$676), "", 'Data Entry'!$ª$676)</f>
      </c>
      <c r="DC676">
        <f>IF(ISBLANK('Data Entry'!$«$676), "", 'Data Entry'!$«$676)</f>
      </c>
      <c r="DD676">
        <f>IF(ISBLANK('Data Entry'!$¬$676), "", 'Data Entry'!$¬$676)</f>
      </c>
      <c r="DE676">
        <f>IF(ISBLANK('Data Entry'!$­$676), "", 'Data Entry'!$­$676)</f>
      </c>
      <c r="DF676">
        <f>IF(ISBLANK('Data Entry'!$®$676), "", 'Data Entry'!$®$676)</f>
      </c>
      <c r="DG676">
        <f>IF(ISBLANK('Data Entry'!$¯$676), "", 'Data Entry'!$¯$676)</f>
      </c>
      <c r="DH676">
        <f>IF(ISBLANK('Data Entry'!$°$676), "", 'Data Entry'!$°$676)</f>
      </c>
      <c r="DI676">
        <f>IF(ISBLANK('Data Entry'!$±$676), "", 'Data Entry'!$±$676)</f>
      </c>
      <c r="DJ676">
        <f>IF(ISBLANK('Data Entry'!$²$676), "", 'Data Entry'!$²$676)</f>
      </c>
      <c r="DK676">
        <f>IF(ISBLANK('Data Entry'!$³$676), "", 'Data Entry'!$³$676)</f>
      </c>
      <c r="DL676">
        <f>IF(ISBLANK('Data Entry'!$´$676), "", 'Data Entry'!$´$676)</f>
      </c>
      <c r="DM676">
        <f>IF(ISBLANK('Data Entry'!$µ$676), "", 'Data Entry'!$µ$676)</f>
      </c>
      <c r="DN676">
        <f>IF(ISBLANK('Data Entry'!$¶$676), "", 'Data Entry'!$¶$676)</f>
      </c>
      <c r="DO676">
        <f>IF(ISBLANK('Data Entry'!$·$676), "", 'Data Entry'!$·$676)</f>
      </c>
      <c r="DP676">
        <f>IF(ISBLANK('Data Entry'!$¸$676), "", 'Data Entry'!$¸$676)</f>
      </c>
      <c r="DQ676">
        <f>IF(ISBLANK('Data Entry'!$¹$676), "", 'Data Entry'!$¹$676)</f>
      </c>
      <c r="DR676">
        <f>IF(ISBLANK('Data Entry'!$º$676), "", 'Data Entry'!$º$676)</f>
      </c>
      <c r="DS676">
        <f>IF(ISBLANK('Data Entry'!$»$676), "", 'Data Entry'!$»$676)</f>
      </c>
      <c r="DT676">
        <f>IF(ISBLANK('Data Entry'!$¼$676), "", 'Data Entry'!$¼$676)</f>
      </c>
      <c r="DU676">
        <f>IF(ISBLANK('Data Entry'!$½$676), "", 'Data Entry'!$½$676)</f>
      </c>
      <c r="DV676">
        <f>IF(ISBLANK('Data Entry'!$¾$676), "", 'Data Entry'!$¾$676)</f>
      </c>
      <c r="DW676">
        <f>IF(ISBLANK('Data Entry'!$¿$676), "", 'Data Entry'!$¿$676)</f>
      </c>
      <c r="DX676">
        <f>IF(ISBLANK('Data Entry'!$À$676), "", 'Data Entry'!$À$676)</f>
      </c>
      <c r="DY676">
        <f>IF(ISBLANK('Data Entry'!$Á$676), "", 'Data Entry'!$Á$676)</f>
      </c>
      <c r="DZ676">
        <f>IF(ISBLANK('Data Entry'!$Â$676), "", 'Data Entry'!$Â$676)</f>
      </c>
      <c r="EA676">
        <f>IF(ISBLANK('Data Entry'!$Ã$676), "", 'Data Entry'!$Ã$676)</f>
      </c>
      <c r="EB676">
        <f>IF(ISBLANK('Data Entry'!$Ä$676), "", 'Data Entry'!$Ä$676)</f>
      </c>
      <c r="EC676">
        <f>IF(ISBLANK('Data Entry'!$Å$676), "", 'Data Entry'!$Å$676)</f>
      </c>
      <c r="ED676">
        <f>IF(ISBLANK('Data Entry'!$Æ$676), "", 'Data Entry'!$Æ$676)</f>
      </c>
      <c r="EE676">
        <f>IF(ISBLANK('Data Entry'!$Ç$676), "", 'Data Entry'!$Ç$676)</f>
      </c>
      <c r="EF676">
        <f>IF(ISBLANK('Data Entry'!$È$676), "", 'Data Entry'!$È$676)</f>
      </c>
      <c r="EG676">
        <f>IF(ISBLANK('Data Entry'!$É$676), "", 'Data Entry'!$É$676)</f>
      </c>
      <c r="EH676">
        <f>IF(ISBLANK('Data Entry'!$Ê$676), "", 'Data Entry'!$Ê$676)</f>
      </c>
      <c r="EI676">
        <f>IF(ISBLANK('Data Entry'!$Ë$676), "", 'Data Entry'!$Ë$676)</f>
      </c>
      <c r="EJ676">
        <f>IF(ISBLANK('Data Entry'!$Ì$676), "", 'Data Entry'!$Ì$676)</f>
      </c>
      <c r="EK676">
        <f>IF(ISBLANK('Data Entry'!$Í$676), "", 'Data Entry'!$Í$676)</f>
      </c>
      <c r="EL676">
        <f>IF(ISBLANK('Data Entry'!$Î$676), "", 'Data Entry'!$Î$676)</f>
      </c>
      <c r="EM676">
        <f>IF(ISBLANK('Data Entry'!$Ï$676), "", 'Data Entry'!$Ï$676)</f>
      </c>
      <c r="EN676">
        <f>IF(ISBLANK('Data Entry'!$Ð$676), "", 'Data Entry'!$Ð$676)</f>
      </c>
      <c r="EO676">
        <f>IF(ISBLANK('Data Entry'!$Ñ$676), "", 'Data Entry'!$Ñ$676)</f>
      </c>
      <c r="EP676">
        <f>IF(ISBLANK('Data Entry'!$Ò$676), "", 'Data Entry'!$Ò$676)</f>
      </c>
      <c r="EQ676">
        <f>IF(ISBLANK('Data Entry'!$Ó$676), "", 'Data Entry'!$Ó$676)</f>
      </c>
      <c r="ER676">
        <f>IF(ISBLANK('Data Entry'!$Ô$676), "", 'Data Entry'!$Ô$676)</f>
      </c>
      <c r="ES676">
        <f>IF(ISBLANK('Data Entry'!$Õ$676), "", 'Data Entry'!$Õ$676)</f>
      </c>
      <c r="ET676">
        <f>IF(ISBLANK('Data Entry'!$Ö$676), "", 'Data Entry'!$Ö$676)</f>
      </c>
      <c r="EU676">
        <f>IF(ISBLANK('Data Entry'!$×$676), "", 'Data Entry'!$×$676)</f>
      </c>
      <c r="EV676">
        <f>IF(ISBLANK('Data Entry'!$Ø$676), "", 'Data Entry'!$Ø$676)</f>
      </c>
      <c r="EW676">
        <f>IF(ISBLANK('Data Entry'!$Ù$676), "", 'Data Entry'!$Ù$676)</f>
      </c>
      <c r="EX676">
        <f>IF(ISBLANK('Data Entry'!$Ú$676), "", 'Data Entry'!$Ú$676)</f>
      </c>
      <c r="EY676">
        <f>IF(ISBLANK('Data Entry'!$Û$676), "", 'Data Entry'!$Û$676)</f>
      </c>
      <c r="EZ676">
        <f>IF(ISBLANK('Data Entry'!$Ü$676), "", 'Data Entry'!$Ü$676)</f>
      </c>
      <c r="FA676">
        <f>IF(ISBLANK('Data Entry'!$Ý$676), "", 'Data Entry'!$Ý$676)</f>
      </c>
      <c r="FB676">
        <f>IF(ISBLANK('Data Entry'!$Þ$676), "", 'Data Entry'!$Þ$676)</f>
      </c>
      <c r="FC676">
        <f>IF(ISBLANK('Data Entry'!$ß$676), "", 'Data Entry'!$ß$676)</f>
      </c>
      <c r="FD676">
        <f>IF(ISBLANK('Data Entry'!$à$676), "", 'Data Entry'!$à$676)</f>
      </c>
      <c r="FE676">
        <f>IF(ISBLANK('Data Entry'!$á$676), "", 'Data Entry'!$á$676)</f>
      </c>
      <c r="FF676">
        <f>IF(ISBLANK('Data Entry'!$â$676), "", 'Data Entry'!$â$676)</f>
      </c>
      <c r="FG676">
        <f>IF(ISBLANK('Data Entry'!$ã$676), "", 'Data Entry'!$ã$676)</f>
      </c>
      <c r="FH676">
        <f>IF(ISBLANK('Data Entry'!$ä$676), "", 'Data Entry'!$ä$676)</f>
      </c>
      <c r="FI676">
        <f>IF(ISBLANK('Data Entry'!$å$676), "", 'Data Entry'!$å$676)</f>
      </c>
      <c r="FJ676">
        <f>IF(ISBLANK('Data Entry'!$æ$676), "", 'Data Entry'!$æ$676)</f>
      </c>
      <c r="FK676">
        <f>IF(ISBLANK('Data Entry'!$ç$676), "", 'Data Entry'!$ç$676)</f>
      </c>
      <c r="FL676">
        <f>IF(ISBLANK('Data Entry'!$è$676), "", 'Data Entry'!$è$676)</f>
      </c>
      <c r="FM676">
        <f>IF(ISBLANK('Data Entry'!$é$676), "", 'Data Entry'!$é$676)</f>
      </c>
      <c r="FN676">
        <f>IF(ISBLANK('Data Entry'!$ê$676), "", 'Data Entry'!$ê$676)</f>
      </c>
      <c r="FO676">
        <f>IF(ISBLANK('Data Entry'!$ë$676), "", 'Data Entry'!$ë$676)</f>
      </c>
      <c r="FP676">
        <f>IF(ISBLANK('Data Entry'!$ì$676), "", 'Data Entry'!$ì$676)</f>
      </c>
      <c r="FQ676">
        <f>IF(ISBLANK('Data Entry'!$í$676), "", 'Data Entry'!$í$676)</f>
      </c>
      <c r="FR676">
        <f>IF(ISBLANK('Data Entry'!$î$676), "", 'Data Entry'!$î$676)</f>
      </c>
      <c r="FS676">
        <f>IF(ISBLANK('Data Entry'!$ï$676), "", 'Data Entry'!$ï$676)</f>
      </c>
      <c r="FT676">
        <f>IF(ISBLANK('Data Entry'!$ð$676), "", 'Data Entry'!$ð$676)</f>
      </c>
      <c r="FU676">
        <f>IF(ISBLANK('Data Entry'!$ñ$676), "", 'Data Entry'!$ñ$676)</f>
      </c>
      <c r="FV676">
        <f>IF(ISBLANK('Data Entry'!$ò$676), "", 'Data Entry'!$ò$676)</f>
      </c>
      <c r="FW676">
        <f>IF(ISBLANK('Data Entry'!$ó$676), "", 'Data Entry'!$ó$676)</f>
      </c>
      <c r="FX676">
        <f>IF(ISBLANK('Data Entry'!$ô$676), "", 'Data Entry'!$ô$676)</f>
      </c>
      <c r="FY676">
        <f>IF(ISBLANK('Data Entry'!$õ$676), "", 'Data Entry'!$õ$676)</f>
      </c>
      <c r="FZ676">
        <f>IF(ISBLANK('Data Entry'!$ö$676), "", 'Data Entry'!$ö$676)</f>
      </c>
      <c r="GA676">
        <f>IF(ISBLANK('Data Entry'!$÷$676), "", 'Data Entry'!$÷$676)</f>
      </c>
      <c r="GB676">
        <f>IF(ISBLANK('Data Entry'!$ø$676), "", 'Data Entry'!$ø$676)</f>
      </c>
      <c r="GC676">
        <f>IF(ISBLANK('Data Entry'!$ù$676), "", 'Data Entry'!$ù$676)</f>
      </c>
      <c r="GD676">
        <f>IF(ISBLANK('Data Entry'!$ú$676), "", 'Data Entry'!$ú$676)</f>
      </c>
      <c r="GE676">
        <f>IF(ISBLANK('Data Entry'!$û$676), "", 'Data Entry'!$û$676)</f>
      </c>
      <c r="GF676">
        <f>IF(ISBLANK('Data Entry'!$ü$676), "", 'Data Entry'!$ü$676)</f>
      </c>
      <c r="GG676">
        <f>IF(ISBLANK('Data Entry'!$ý$676), "", 'Data Entry'!$ý$676)</f>
      </c>
      <c r="GH676">
        <f>IF(ISBLANK('Data Entry'!$þ$676), "", 'Data Entry'!$þ$676)</f>
      </c>
      <c r="GI676">
        <f>IF(ISBLANK('Data Entry'!$ÿ$676), "", 'Data Entry'!$ÿ$676)</f>
      </c>
      <c r="GJ676">
        <f>IF(ISBLANK('Data Entry'!$Ā$676), "", 'Data Entry'!$Ā$676)</f>
      </c>
      <c r="GK676">
        <f>IF(ISBLANK('Data Entry'!$ā$676), "", 'Data Entry'!$ā$676)</f>
      </c>
      <c r="GL676">
        <f>IF(ISBLANK('Data Entry'!$Ă$676), "", 'Data Entry'!$Ă$676)</f>
      </c>
      <c r="GM676">
        <f>IF(ISBLANK('Data Entry'!$ă$676), "", 'Data Entry'!$ă$676)</f>
      </c>
      <c r="GN676">
        <f>IF(ISBLANK('Data Entry'!$Ą$676), "", 'Data Entry'!$Ą$676)</f>
      </c>
      <c r="GO676">
        <f>IF(ISBLANK('Data Entry'!$ą$676), "", 'Data Entry'!$ą$676)</f>
      </c>
      <c r="GP676">
        <f>IF(ISBLANK('Data Entry'!$Ć$676), "", 'Data Entry'!$Ć$676)</f>
      </c>
      <c r="GQ676">
        <f>IF(ISBLANK('Data Entry'!$ć$676), "", 'Data Entry'!$ć$676)</f>
      </c>
      <c r="GR676">
        <f>IF(ISBLANK('Data Entry'!$Ĉ$676), "", 'Data Entry'!$Ĉ$676)</f>
      </c>
      <c r="GS676">
        <f>IF(ISBLANK('Data Entry'!$ĉ$676), "", 'Data Entry'!$ĉ$676)</f>
      </c>
      <c r="GT676">
        <f>IF(ISBLANK('Data Entry'!$Ċ$676), "", 'Data Entry'!$Ċ$676)</f>
      </c>
      <c r="GU676">
        <f>IF(ISBLANK('Data Entry'!$ċ$676), "", 'Data Entry'!$ċ$676)</f>
      </c>
      <c r="GV676">
        <f>IF(ISBLANK('Data Entry'!$Č$676), "", 'Data Entry'!$Č$676)</f>
      </c>
      <c r="GW676">
        <f>IF(ISBLANK('Data Entry'!$č$676), "", 'Data Entry'!$č$676)</f>
      </c>
      <c r="GX676">
        <f>IF(ISBLANK('Data Entry'!$Ď$676), "", 'Data Entry'!$Ď$676)</f>
      </c>
      <c r="GY676">
        <f>IF(ISBLANK('Data Entry'!$ď$676), "", 'Data Entry'!$ď$676)</f>
      </c>
      <c r="GZ676">
        <f>IF(ISBLANK('Data Entry'!$Đ$676), "", 'Data Entry'!$Đ$676)</f>
      </c>
      <c r="HA676">
        <f>IF(ISBLANK('Data Entry'!$đ$676), "", 'Data Entry'!$đ$676)</f>
      </c>
      <c r="HB676">
        <f>IF(ISBLANK('Data Entry'!$Ē$676), "", 'Data Entry'!$Ē$676)</f>
      </c>
      <c r="HC676">
        <f>IF(ISBLANK('Data Entry'!$ē$676), "", 'Data Entry'!$ē$676)</f>
      </c>
      <c r="HD676">
        <f>IF(ISBLANK('Data Entry'!$Ĕ$676), "", 'Data Entry'!$Ĕ$676)</f>
      </c>
      <c r="HE676">
        <f>IF(ISBLANK('Data Entry'!$ĕ$676), "", 'Data Entry'!$ĕ$676)</f>
      </c>
      <c r="HF676">
        <f>IF(ISBLANK('Data Entry'!$Ė$676), "", 'Data Entry'!$Ė$676)</f>
      </c>
      <c r="HG676">
        <f>IF(ISBLANK('Data Entry'!$ė$676), "", 'Data Entry'!$ė$676)</f>
      </c>
      <c r="HH676">
        <f>IF(ISBLANK('Data Entry'!$Ę$676), "", 'Data Entry'!$Ę$676)</f>
      </c>
      <c r="HI676">
        <f>IF(ISBLANK('Data Entry'!$ę$676), "", 'Data Entry'!$ę$676)</f>
      </c>
      <c r="HJ676">
        <f>IF(ISBLANK('Data Entry'!$Ě$676), "", 'Data Entry'!$Ě$676)</f>
      </c>
      <c r="HK676">
        <f>IF(ISBLANK('Data Entry'!$ě$676), "", 'Data Entry'!$ě$676)</f>
      </c>
      <c r="HL676">
        <f>IF(ISBLANK('Data Entry'!$Ĝ$676), "", 'Data Entry'!$Ĝ$676)</f>
      </c>
      <c r="HM676">
        <f>IF(ISBLANK('Data Entry'!$ĝ$676), "", 'Data Entry'!$ĝ$676)</f>
      </c>
      <c r="HN676">
        <f>IF(ISBLANK('Data Entry'!$Ğ$676), "", 'Data Entry'!$Ğ$676)</f>
      </c>
      <c r="HO676">
        <f>IF(ISBLANK('Data Entry'!$ğ$676), "", 'Data Entry'!$ğ$676)</f>
      </c>
      <c r="HP676">
        <f>IF(ISBLANK('Data Entry'!$Ġ$676), "", 'Data Entry'!$Ġ$676)</f>
      </c>
      <c r="HQ676">
        <f>IF(ISBLANK('Data Entry'!$ġ$676), "", 'Data Entry'!$ġ$676)</f>
      </c>
      <c r="HR676">
        <f>IF(ISBLANK('Data Entry'!$Ģ$676), "", 'Data Entry'!$Ģ$676)</f>
      </c>
      <c r="HS676">
        <f>IF(ISBLANK('Data Entry'!$ģ$676), "", 'Data Entry'!$ģ$676)</f>
      </c>
      <c r="HT676">
        <f>IF(ISBLANK('Data Entry'!$Ĥ$676), "", 'Data Entry'!$Ĥ$676)</f>
      </c>
      <c r="HU676">
        <f>IF(ISBLANK('Data Entry'!$ĥ$676), "", 'Data Entry'!$ĥ$676)</f>
      </c>
      <c r="HV676">
        <f>IF(ISBLANK('Data Entry'!$Ħ$676), "", 'Data Entry'!$Ħ$676)</f>
      </c>
      <c r="HW676">
        <f>IF(ISBLANK('Data Entry'!$ħ$676), "", 'Data Entry'!$ħ$676)</f>
      </c>
      <c r="HX676">
        <f>IF(ISBLANK('Data Entry'!$Ĩ$676), "", 'Data Entry'!$Ĩ$676)</f>
      </c>
      <c r="HY676">
        <f>IF(ISBLANK('Data Entry'!$ĩ$676), "", 'Data Entry'!$ĩ$676)</f>
      </c>
      <c r="HZ676">
        <f>IF(ISBLANK('Data Entry'!$Ī$676), "", 'Data Entry'!$Ī$676)</f>
      </c>
      <c r="IA676">
        <f>IF(ISBLANK('Data Entry'!$ī$676), "", 'Data Entry'!$ī$676)</f>
      </c>
      <c r="IB676">
        <f>IF(ISBLANK('Data Entry'!$Ĭ$676), "", 'Data Entry'!$Ĭ$676)</f>
      </c>
      <c r="IC676">
        <f>IF(ISBLANK('Data Entry'!$ĭ$676), "", 'Data Entry'!$ĭ$676)</f>
      </c>
      <c r="ID676">
        <f>IF(ISBLANK('Data Entry'!$Į$676), "", 'Data Entry'!$Į$676)</f>
      </c>
      <c r="IE676">
        <f>IF(ISBLANK('Data Entry'!$į$676), "", 'Data Entry'!$į$676)</f>
      </c>
      <c r="IF676">
        <f>IF(ISBLANK('Data Entry'!$İ$676), "", 'Data Entry'!$İ$676)</f>
      </c>
      <c r="IG676">
        <f>IF(ISBLANK('Data Entry'!$ı$676), "", 'Data Entry'!$ı$676)</f>
      </c>
      <c r="IH676">
        <f>IF(ISBLANK('Data Entry'!$Ĳ$676), "", 'Data Entry'!$Ĳ$676)</f>
      </c>
      <c r="II676">
        <f>IF(ISBLANK('Data Entry'!$ĳ$676), "", 'Data Entry'!$ĳ$676)</f>
      </c>
      <c r="IJ676">
        <f>IF(ISBLANK('Data Entry'!$Ĵ$676), "", 'Data Entry'!$Ĵ$676)</f>
      </c>
      <c r="IK676">
        <f>IF(ISBLANK('Data Entry'!$ĵ$676), "", 'Data Entry'!$ĵ$676)</f>
      </c>
      <c r="IL676">
        <f>IF(ISBLANK('Data Entry'!$Ķ$676), "", 'Data Entry'!$Ķ$676)</f>
      </c>
      <c r="IM676">
        <f>IF(ISBLANK('Data Entry'!$ķ$676), "", 'Data Entry'!$ķ$676)</f>
      </c>
      <c r="IN676">
        <f>IF(ISBLANK('Data Entry'!$ĸ$676), "", 'Data Entry'!$ĸ$676)</f>
      </c>
      <c r="IO676">
        <f>IF(ISBLANK('Data Entry'!$Ĺ$676), "", 'Data Entry'!$Ĺ$676)</f>
      </c>
      <c r="IP676">
        <f>IF(ISBLANK('Data Entry'!$ĺ$676), "", 'Data Entry'!$ĺ$676)</f>
      </c>
      <c r="IQ676">
        <f>IF(ISBLANK('Data Entry'!$Ļ$676), "", 'Data Entry'!$Ļ$676)</f>
      </c>
      <c r="IR676">
        <f>IF(ISBLANK('Data Entry'!$ļ$676), "", 'Data Entry'!$ļ$676)</f>
      </c>
      <c r="IS676">
        <f>IF(ISBLANK('Data Entry'!$Ľ$676), "", 'Data Entry'!$Ľ$676)</f>
      </c>
      <c r="IT676">
        <f>IF(ISBLANK('Data Entry'!$ľ$676), "", 'Data Entry'!$ľ$676)</f>
      </c>
    </row>
    <row r="677" spans="1:254" x14ac:dyDescent="0.25">
      <c r="A677">
        <f>IF(ISBLANK('Data Entry'!$A$677), "", 'Data Entry'!$A$677)</f>
      </c>
      <c r="B677">
        <f>IF(ISBLANK('Data Entry'!$B$677), "", 'Data Entry'!$B$677)</f>
      </c>
      <c r="C677">
        <f>IF(ISBLANK('Data Entry'!$C$677), "", 'Data Entry'!$C$677)</f>
      </c>
      <c r="D677">
        <f>IF(ISBLANK('Data Entry'!$D$677), "", 'Data Entry'!$D$677)</f>
      </c>
      <c r="E677">
        <f>IF(ISBLANK('Data Entry'!$E$677), "", 'Data Entry'!$E$677)</f>
      </c>
      <c r="F677">
        <f>IF(ISBLANK('Data Entry'!$F$677), "", 'Data Entry'!$F$677)</f>
      </c>
      <c r="G677">
        <f>IF(ISBLANK('Data Entry'!$G$677), "", 'Data Entry'!$G$677)</f>
      </c>
      <c r="H677">
        <f>IF(ISBLANK('Data Entry'!$H$677), "", 'Data Entry'!$H$677)</f>
      </c>
      <c r="I677">
        <f>IF(ISBLANK('Data Entry'!$I$677), "", 'Data Entry'!$I$677)</f>
      </c>
      <c r="J677">
        <f>IF(ISBLANK('Data Entry'!$J$677), "", 'Data Entry'!$J$677)</f>
      </c>
      <c r="K677">
        <f>IF(ISBLANK('Data Entry'!$K$677), "", 'Data Entry'!$K$677)</f>
      </c>
      <c r="L677">
        <f>IF(ISBLANK('Data Entry'!$L$677), "", 'Data Entry'!$L$677)</f>
      </c>
      <c r="M677">
        <f>IF(ISBLANK('Data Entry'!$M$677), "", 'Data Entry'!$M$677)</f>
      </c>
      <c r="N677">
        <f>IF(ISBLANK('Data Entry'!$N$677), "", 'Data Entry'!$N$677)</f>
      </c>
      <c r="O677">
        <f>IF(ISBLANK('Data Entry'!$O$677), "", 'Data Entry'!$O$677)</f>
      </c>
      <c r="P677">
        <f>IF(ISBLANK('Data Entry'!$P$677), "", 'Data Entry'!$P$677)</f>
      </c>
      <c r="Q677">
        <f>IF(ISBLANK('Data Entry'!$Q$677), "", 'Data Entry'!$Q$677)</f>
      </c>
      <c r="R677">
        <f>IF(ISBLANK('Data Entry'!$R$677), "", 'Data Entry'!$R$677)</f>
      </c>
      <c r="S677">
        <f>IF(ISBLANK('Data Entry'!$S$677), "", 'Data Entry'!$S$677)</f>
      </c>
      <c r="T677">
        <f>IF(ISBLANK('Data Entry'!$T$677), "", 'Data Entry'!$T$677)</f>
      </c>
      <c r="U677">
        <f>IF(ISBLANK('Data Entry'!$U$677), "", 'Data Entry'!$U$677)</f>
      </c>
      <c r="V677">
        <f>IF(ISBLANK('Data Entry'!$V$677), "", 'Data Entry'!$V$677)</f>
      </c>
      <c r="W677">
        <f>IF(ISBLANK('Data Entry'!$W$677), "", 'Data Entry'!$W$677)</f>
      </c>
      <c r="X677">
        <f>IF(ISBLANK('Data Entry'!$X$677), "", 'Data Entry'!$X$677)</f>
      </c>
      <c r="Y677">
        <f>IF(ISBLANK('Data Entry'!$Y$677), "", 'Data Entry'!$Y$677)</f>
      </c>
      <c r="Z677">
        <f>IF(ISBLANK('Data Entry'!$Z$677), "", 'Data Entry'!$Z$677)</f>
      </c>
      <c r="AA677">
        <f>IF(ISBLANK('Data Entry'!$[$677), "", 'Data Entry'!$[$677)</f>
      </c>
      <c r="AB677">
        <f>IF(ISBLANK('Data Entry'!$\$677), "", 'Data Entry'!$\$677)</f>
      </c>
      <c r="AC677">
        <f>IF(ISBLANK('Data Entry'!$]$677), "", 'Data Entry'!$]$677)</f>
      </c>
      <c r="AD677">
        <f>IF(ISBLANK('Data Entry'!$^$677), "", 'Data Entry'!$^$677)</f>
      </c>
      <c r="AE677">
        <f>IF(ISBLANK('Data Entry'!$_$677), "", 'Data Entry'!$_$677)</f>
      </c>
      <c r="AF677">
        <f>IF(ISBLANK('Data Entry'!$`$677), "", 'Data Entry'!$`$677)</f>
      </c>
      <c r="AG677">
        <f>IF(ISBLANK('Data Entry'!$a$677), "", 'Data Entry'!$a$677)</f>
      </c>
      <c r="AH677">
        <f>IF(ISBLANK('Data Entry'!$b$677), "", 'Data Entry'!$b$677)</f>
      </c>
      <c r="AI677">
        <f>IF(ISBLANK('Data Entry'!$c$677), "", 'Data Entry'!$c$677)</f>
      </c>
      <c r="AJ677">
        <f>IF(ISBLANK('Data Entry'!$d$677), "", 'Data Entry'!$d$677)</f>
      </c>
      <c r="AK677">
        <f>IF(ISBLANK('Data Entry'!$e$677), "", 'Data Entry'!$e$677)</f>
      </c>
      <c r="AL677">
        <f>IF(ISBLANK('Data Entry'!$f$677), "", 'Data Entry'!$f$677)</f>
      </c>
      <c r="AM677">
        <f>IF(ISBLANK('Data Entry'!$g$677), "", 'Data Entry'!$g$677)</f>
      </c>
      <c r="AN677">
        <f>IF(ISBLANK('Data Entry'!$h$677), "", 'Data Entry'!$h$677)</f>
      </c>
      <c r="AO677">
        <f>IF(ISBLANK('Data Entry'!$i$677), "", 'Data Entry'!$i$677)</f>
      </c>
      <c r="AP677">
        <f>IF(ISBLANK('Data Entry'!$j$677), "", 'Data Entry'!$j$677)</f>
      </c>
      <c r="AQ677">
        <f>IF(ISBLANK('Data Entry'!$k$677), "", 'Data Entry'!$k$677)</f>
      </c>
      <c r="AR677">
        <f>IF(ISBLANK('Data Entry'!$l$677), "", 'Data Entry'!$l$677)</f>
      </c>
      <c r="AS677">
        <f>IF(ISBLANK('Data Entry'!$m$677), "", 'Data Entry'!$m$677)</f>
      </c>
      <c r="AT677">
        <f>IF(ISBLANK('Data Entry'!$n$677), "", 'Data Entry'!$n$677)</f>
      </c>
      <c r="AU677">
        <f>IF(ISBLANK('Data Entry'!$o$677), "", 'Data Entry'!$o$677)</f>
      </c>
      <c r="AV677">
        <f>IF(ISBLANK('Data Entry'!$p$677), "", 'Data Entry'!$p$677)</f>
      </c>
      <c r="AW677">
        <f>IF(ISBLANK('Data Entry'!$q$677), "", 'Data Entry'!$q$677)</f>
      </c>
      <c r="AX677">
        <f>IF(ISBLANK('Data Entry'!$r$677), "", 'Data Entry'!$r$677)</f>
      </c>
      <c r="AY677">
        <f>IF(ISBLANK('Data Entry'!$s$677), "", 'Data Entry'!$s$677)</f>
      </c>
      <c r="AZ677">
        <f>IF(ISBLANK('Data Entry'!$t$677), "", 'Data Entry'!$t$677)</f>
      </c>
      <c r="BA677">
        <f>IF(ISBLANK('Data Entry'!$u$677), "", 'Data Entry'!$u$677)</f>
      </c>
      <c r="BB677">
        <f>IF(ISBLANK('Data Entry'!$v$677), "", 'Data Entry'!$v$677)</f>
      </c>
      <c r="BC677">
        <f>IF(ISBLANK('Data Entry'!$w$677), "", 'Data Entry'!$w$677)</f>
      </c>
      <c r="BD677">
        <f>IF(ISBLANK('Data Entry'!$x$677), "", 'Data Entry'!$x$677)</f>
      </c>
      <c r="BE677">
        <f>IF(ISBLANK('Data Entry'!$y$677), "", 'Data Entry'!$y$677)</f>
      </c>
      <c r="BF677">
        <f>IF(ISBLANK('Data Entry'!$z$677), "", 'Data Entry'!$z$677)</f>
      </c>
      <c r="BG677">
        <f>IF(ISBLANK('Data Entry'!${$677), "", 'Data Entry'!${$677)</f>
      </c>
      <c r="BH677">
        <f>IF(ISBLANK('Data Entry'!$|$677), "", 'Data Entry'!$|$677)</f>
      </c>
      <c r="BI677">
        <f>IF(ISBLANK('Data Entry'!$}$677), "", 'Data Entry'!$}$677)</f>
      </c>
      <c r="BJ677">
        <f>IF(ISBLANK('Data Entry'!$~$677), "", 'Data Entry'!$~$677)</f>
      </c>
      <c r="BK677">
        <f>IF(ISBLANK('Data Entry'!$$677), "", 'Data Entry'!$$677)</f>
      </c>
      <c r="BL677">
        <f>IF(ISBLANK('Data Entry'!$$677), "", 'Data Entry'!$$677)</f>
      </c>
      <c r="BM677">
        <f>IF(ISBLANK('Data Entry'!$$677), "", 'Data Entry'!$$677)</f>
      </c>
      <c r="BN677">
        <f>IF(ISBLANK('Data Entry'!$$677), "", 'Data Entry'!$$677)</f>
      </c>
      <c r="BO677">
        <f>IF(ISBLANK('Data Entry'!$$677), "", 'Data Entry'!$$677)</f>
      </c>
      <c r="BP677">
        <f>IF(ISBLANK('Data Entry'!$$677), "", 'Data Entry'!$$677)</f>
      </c>
      <c r="BQ677">
        <f>IF(ISBLANK('Data Entry'!$$677), "", 'Data Entry'!$$677)</f>
      </c>
      <c r="BR677">
        <f>IF(ISBLANK('Data Entry'!$$677), "", 'Data Entry'!$$677)</f>
      </c>
      <c r="BS677">
        <f>IF(ISBLANK('Data Entry'!$$677), "", 'Data Entry'!$$677)</f>
      </c>
      <c r="BT677">
        <f>IF(ISBLANK('Data Entry'!$$677), "", 'Data Entry'!$$677)</f>
      </c>
      <c r="BU677">
        <f>IF(ISBLANK('Data Entry'!$$677), "", 'Data Entry'!$$677)</f>
      </c>
      <c r="BV677">
        <f>IF(ISBLANK('Data Entry'!$$677), "", 'Data Entry'!$$677)</f>
      </c>
      <c r="BW677">
        <f>IF(ISBLANK('Data Entry'!$$677), "", 'Data Entry'!$$677)</f>
      </c>
      <c r="BX677">
        <f>IF(ISBLANK('Data Entry'!$$677), "", 'Data Entry'!$$677)</f>
      </c>
      <c r="BY677">
        <f>IF(ISBLANK('Data Entry'!$$677), "", 'Data Entry'!$$677)</f>
      </c>
      <c r="BZ677">
        <f>IF(ISBLANK('Data Entry'!$$677), "", 'Data Entry'!$$677)</f>
      </c>
      <c r="CA677">
        <f>IF(ISBLANK('Data Entry'!$$677), "", 'Data Entry'!$$677)</f>
      </c>
      <c r="CB677">
        <f>IF(ISBLANK('Data Entry'!$$677), "", 'Data Entry'!$$677)</f>
      </c>
      <c r="CC677">
        <f>IF(ISBLANK('Data Entry'!$$677), "", 'Data Entry'!$$677)</f>
      </c>
      <c r="CD677">
        <f>IF(ISBLANK('Data Entry'!$$677), "", 'Data Entry'!$$677)</f>
      </c>
      <c r="CE677">
        <f>IF(ISBLANK('Data Entry'!$$677), "", 'Data Entry'!$$677)</f>
      </c>
      <c r="CF677">
        <f>IF(ISBLANK('Data Entry'!$$677), "", 'Data Entry'!$$677)</f>
      </c>
      <c r="CG677">
        <f>IF(ISBLANK('Data Entry'!$$677), "", 'Data Entry'!$$677)</f>
      </c>
      <c r="CH677">
        <f>IF(ISBLANK('Data Entry'!$$677), "", 'Data Entry'!$$677)</f>
      </c>
      <c r="CI677">
        <f>IF(ISBLANK('Data Entry'!$$677), "", 'Data Entry'!$$677)</f>
      </c>
      <c r="CJ677">
        <f>IF(ISBLANK('Data Entry'!$$677), "", 'Data Entry'!$$677)</f>
      </c>
      <c r="CK677">
        <f>IF(ISBLANK('Data Entry'!$$677), "", 'Data Entry'!$$677)</f>
      </c>
      <c r="CL677">
        <f>IF(ISBLANK('Data Entry'!$$677), "", 'Data Entry'!$$677)</f>
      </c>
      <c r="CM677">
        <f>IF(ISBLANK('Data Entry'!$$677), "", 'Data Entry'!$$677)</f>
      </c>
      <c r="CN677">
        <f>IF(ISBLANK('Data Entry'!$$677), "", 'Data Entry'!$$677)</f>
      </c>
      <c r="CO677">
        <f>IF(ISBLANK('Data Entry'!$$677), "", 'Data Entry'!$$677)</f>
      </c>
      <c r="CP677">
        <f>IF(ISBLANK('Data Entry'!$$677), "", 'Data Entry'!$$677)</f>
      </c>
      <c r="CQ677">
        <f>IF(ISBLANK('Data Entry'!$$677), "", 'Data Entry'!$$677)</f>
      </c>
      <c r="CR677">
        <f>IF(ISBLANK('Data Entry'!$ $677), "", 'Data Entry'!$ $677)</f>
      </c>
      <c r="CS677">
        <f>IF(ISBLANK('Data Entry'!$¡$677), "", 'Data Entry'!$¡$677)</f>
      </c>
      <c r="CT677">
        <f>IF(ISBLANK('Data Entry'!$¢$677), "", 'Data Entry'!$¢$677)</f>
      </c>
      <c r="CU677">
        <f>IF(ISBLANK('Data Entry'!$£$677), "", 'Data Entry'!$£$677)</f>
      </c>
      <c r="CV677">
        <f>IF(ISBLANK('Data Entry'!$¤$677), "", 'Data Entry'!$¤$677)</f>
      </c>
      <c r="CW677">
        <f>IF(ISBLANK('Data Entry'!$¥$677), "", 'Data Entry'!$¥$677)</f>
      </c>
      <c r="CX677">
        <f>IF(ISBLANK('Data Entry'!$¦$677), "", 'Data Entry'!$¦$677)</f>
      </c>
      <c r="CY677">
        <f>IF(ISBLANK('Data Entry'!$§$677), "", 'Data Entry'!$§$677)</f>
      </c>
      <c r="CZ677">
        <f>IF(ISBLANK('Data Entry'!$¨$677), "", 'Data Entry'!$¨$677)</f>
      </c>
      <c r="DA677">
        <f>IF(ISBLANK('Data Entry'!$©$677), "", 'Data Entry'!$©$677)</f>
      </c>
      <c r="DB677">
        <f>IF(ISBLANK('Data Entry'!$ª$677), "", 'Data Entry'!$ª$677)</f>
      </c>
      <c r="DC677">
        <f>IF(ISBLANK('Data Entry'!$«$677), "", 'Data Entry'!$«$677)</f>
      </c>
      <c r="DD677">
        <f>IF(ISBLANK('Data Entry'!$¬$677), "", 'Data Entry'!$¬$677)</f>
      </c>
      <c r="DE677">
        <f>IF(ISBLANK('Data Entry'!$­$677), "", 'Data Entry'!$­$677)</f>
      </c>
      <c r="DF677">
        <f>IF(ISBLANK('Data Entry'!$®$677), "", 'Data Entry'!$®$677)</f>
      </c>
      <c r="DG677">
        <f>IF(ISBLANK('Data Entry'!$¯$677), "", 'Data Entry'!$¯$677)</f>
      </c>
      <c r="DH677">
        <f>IF(ISBLANK('Data Entry'!$°$677), "", 'Data Entry'!$°$677)</f>
      </c>
      <c r="DI677">
        <f>IF(ISBLANK('Data Entry'!$±$677), "", 'Data Entry'!$±$677)</f>
      </c>
      <c r="DJ677">
        <f>IF(ISBLANK('Data Entry'!$²$677), "", 'Data Entry'!$²$677)</f>
      </c>
      <c r="DK677">
        <f>IF(ISBLANK('Data Entry'!$³$677), "", 'Data Entry'!$³$677)</f>
      </c>
      <c r="DL677">
        <f>IF(ISBLANK('Data Entry'!$´$677), "", 'Data Entry'!$´$677)</f>
      </c>
      <c r="DM677">
        <f>IF(ISBLANK('Data Entry'!$µ$677), "", 'Data Entry'!$µ$677)</f>
      </c>
      <c r="DN677">
        <f>IF(ISBLANK('Data Entry'!$¶$677), "", 'Data Entry'!$¶$677)</f>
      </c>
      <c r="DO677">
        <f>IF(ISBLANK('Data Entry'!$·$677), "", 'Data Entry'!$·$677)</f>
      </c>
      <c r="DP677">
        <f>IF(ISBLANK('Data Entry'!$¸$677), "", 'Data Entry'!$¸$677)</f>
      </c>
      <c r="DQ677">
        <f>IF(ISBLANK('Data Entry'!$¹$677), "", 'Data Entry'!$¹$677)</f>
      </c>
      <c r="DR677">
        <f>IF(ISBLANK('Data Entry'!$º$677), "", 'Data Entry'!$º$677)</f>
      </c>
      <c r="DS677">
        <f>IF(ISBLANK('Data Entry'!$»$677), "", 'Data Entry'!$»$677)</f>
      </c>
      <c r="DT677">
        <f>IF(ISBLANK('Data Entry'!$¼$677), "", 'Data Entry'!$¼$677)</f>
      </c>
      <c r="DU677">
        <f>IF(ISBLANK('Data Entry'!$½$677), "", 'Data Entry'!$½$677)</f>
      </c>
      <c r="DV677">
        <f>IF(ISBLANK('Data Entry'!$¾$677), "", 'Data Entry'!$¾$677)</f>
      </c>
      <c r="DW677">
        <f>IF(ISBLANK('Data Entry'!$¿$677), "", 'Data Entry'!$¿$677)</f>
      </c>
      <c r="DX677">
        <f>IF(ISBLANK('Data Entry'!$À$677), "", 'Data Entry'!$À$677)</f>
      </c>
      <c r="DY677">
        <f>IF(ISBLANK('Data Entry'!$Á$677), "", 'Data Entry'!$Á$677)</f>
      </c>
      <c r="DZ677">
        <f>IF(ISBLANK('Data Entry'!$Â$677), "", 'Data Entry'!$Â$677)</f>
      </c>
      <c r="EA677">
        <f>IF(ISBLANK('Data Entry'!$Ã$677), "", 'Data Entry'!$Ã$677)</f>
      </c>
      <c r="EB677">
        <f>IF(ISBLANK('Data Entry'!$Ä$677), "", 'Data Entry'!$Ä$677)</f>
      </c>
      <c r="EC677">
        <f>IF(ISBLANK('Data Entry'!$Å$677), "", 'Data Entry'!$Å$677)</f>
      </c>
      <c r="ED677">
        <f>IF(ISBLANK('Data Entry'!$Æ$677), "", 'Data Entry'!$Æ$677)</f>
      </c>
      <c r="EE677">
        <f>IF(ISBLANK('Data Entry'!$Ç$677), "", 'Data Entry'!$Ç$677)</f>
      </c>
      <c r="EF677">
        <f>IF(ISBLANK('Data Entry'!$È$677), "", 'Data Entry'!$È$677)</f>
      </c>
      <c r="EG677">
        <f>IF(ISBLANK('Data Entry'!$É$677), "", 'Data Entry'!$É$677)</f>
      </c>
      <c r="EH677">
        <f>IF(ISBLANK('Data Entry'!$Ê$677), "", 'Data Entry'!$Ê$677)</f>
      </c>
      <c r="EI677">
        <f>IF(ISBLANK('Data Entry'!$Ë$677), "", 'Data Entry'!$Ë$677)</f>
      </c>
      <c r="EJ677">
        <f>IF(ISBLANK('Data Entry'!$Ì$677), "", 'Data Entry'!$Ì$677)</f>
      </c>
      <c r="EK677">
        <f>IF(ISBLANK('Data Entry'!$Í$677), "", 'Data Entry'!$Í$677)</f>
      </c>
      <c r="EL677">
        <f>IF(ISBLANK('Data Entry'!$Î$677), "", 'Data Entry'!$Î$677)</f>
      </c>
      <c r="EM677">
        <f>IF(ISBLANK('Data Entry'!$Ï$677), "", 'Data Entry'!$Ï$677)</f>
      </c>
      <c r="EN677">
        <f>IF(ISBLANK('Data Entry'!$Ð$677), "", 'Data Entry'!$Ð$677)</f>
      </c>
      <c r="EO677">
        <f>IF(ISBLANK('Data Entry'!$Ñ$677), "", 'Data Entry'!$Ñ$677)</f>
      </c>
      <c r="EP677">
        <f>IF(ISBLANK('Data Entry'!$Ò$677), "", 'Data Entry'!$Ò$677)</f>
      </c>
      <c r="EQ677">
        <f>IF(ISBLANK('Data Entry'!$Ó$677), "", 'Data Entry'!$Ó$677)</f>
      </c>
      <c r="ER677">
        <f>IF(ISBLANK('Data Entry'!$Ô$677), "", 'Data Entry'!$Ô$677)</f>
      </c>
      <c r="ES677">
        <f>IF(ISBLANK('Data Entry'!$Õ$677), "", 'Data Entry'!$Õ$677)</f>
      </c>
      <c r="ET677">
        <f>IF(ISBLANK('Data Entry'!$Ö$677), "", 'Data Entry'!$Ö$677)</f>
      </c>
      <c r="EU677">
        <f>IF(ISBLANK('Data Entry'!$×$677), "", 'Data Entry'!$×$677)</f>
      </c>
      <c r="EV677">
        <f>IF(ISBLANK('Data Entry'!$Ø$677), "", 'Data Entry'!$Ø$677)</f>
      </c>
      <c r="EW677">
        <f>IF(ISBLANK('Data Entry'!$Ù$677), "", 'Data Entry'!$Ù$677)</f>
      </c>
      <c r="EX677">
        <f>IF(ISBLANK('Data Entry'!$Ú$677), "", 'Data Entry'!$Ú$677)</f>
      </c>
      <c r="EY677">
        <f>IF(ISBLANK('Data Entry'!$Û$677), "", 'Data Entry'!$Û$677)</f>
      </c>
      <c r="EZ677">
        <f>IF(ISBLANK('Data Entry'!$Ü$677), "", 'Data Entry'!$Ü$677)</f>
      </c>
      <c r="FA677">
        <f>IF(ISBLANK('Data Entry'!$Ý$677), "", 'Data Entry'!$Ý$677)</f>
      </c>
      <c r="FB677">
        <f>IF(ISBLANK('Data Entry'!$Þ$677), "", 'Data Entry'!$Þ$677)</f>
      </c>
      <c r="FC677">
        <f>IF(ISBLANK('Data Entry'!$ß$677), "", 'Data Entry'!$ß$677)</f>
      </c>
      <c r="FD677">
        <f>IF(ISBLANK('Data Entry'!$à$677), "", 'Data Entry'!$à$677)</f>
      </c>
      <c r="FE677">
        <f>IF(ISBLANK('Data Entry'!$á$677), "", 'Data Entry'!$á$677)</f>
      </c>
      <c r="FF677">
        <f>IF(ISBLANK('Data Entry'!$â$677), "", 'Data Entry'!$â$677)</f>
      </c>
      <c r="FG677">
        <f>IF(ISBLANK('Data Entry'!$ã$677), "", 'Data Entry'!$ã$677)</f>
      </c>
      <c r="FH677">
        <f>IF(ISBLANK('Data Entry'!$ä$677), "", 'Data Entry'!$ä$677)</f>
      </c>
      <c r="FI677">
        <f>IF(ISBLANK('Data Entry'!$å$677), "", 'Data Entry'!$å$677)</f>
      </c>
      <c r="FJ677">
        <f>IF(ISBLANK('Data Entry'!$æ$677), "", 'Data Entry'!$æ$677)</f>
      </c>
      <c r="FK677">
        <f>IF(ISBLANK('Data Entry'!$ç$677), "", 'Data Entry'!$ç$677)</f>
      </c>
      <c r="FL677">
        <f>IF(ISBLANK('Data Entry'!$è$677), "", 'Data Entry'!$è$677)</f>
      </c>
      <c r="FM677">
        <f>IF(ISBLANK('Data Entry'!$é$677), "", 'Data Entry'!$é$677)</f>
      </c>
      <c r="FN677">
        <f>IF(ISBLANK('Data Entry'!$ê$677), "", 'Data Entry'!$ê$677)</f>
      </c>
      <c r="FO677">
        <f>IF(ISBLANK('Data Entry'!$ë$677), "", 'Data Entry'!$ë$677)</f>
      </c>
      <c r="FP677">
        <f>IF(ISBLANK('Data Entry'!$ì$677), "", 'Data Entry'!$ì$677)</f>
      </c>
      <c r="FQ677">
        <f>IF(ISBLANK('Data Entry'!$í$677), "", 'Data Entry'!$í$677)</f>
      </c>
      <c r="FR677">
        <f>IF(ISBLANK('Data Entry'!$î$677), "", 'Data Entry'!$î$677)</f>
      </c>
      <c r="FS677">
        <f>IF(ISBLANK('Data Entry'!$ï$677), "", 'Data Entry'!$ï$677)</f>
      </c>
      <c r="FT677">
        <f>IF(ISBLANK('Data Entry'!$ð$677), "", 'Data Entry'!$ð$677)</f>
      </c>
      <c r="FU677">
        <f>IF(ISBLANK('Data Entry'!$ñ$677), "", 'Data Entry'!$ñ$677)</f>
      </c>
      <c r="FV677">
        <f>IF(ISBLANK('Data Entry'!$ò$677), "", 'Data Entry'!$ò$677)</f>
      </c>
      <c r="FW677">
        <f>IF(ISBLANK('Data Entry'!$ó$677), "", 'Data Entry'!$ó$677)</f>
      </c>
      <c r="FX677">
        <f>IF(ISBLANK('Data Entry'!$ô$677), "", 'Data Entry'!$ô$677)</f>
      </c>
      <c r="FY677">
        <f>IF(ISBLANK('Data Entry'!$õ$677), "", 'Data Entry'!$õ$677)</f>
      </c>
      <c r="FZ677">
        <f>IF(ISBLANK('Data Entry'!$ö$677), "", 'Data Entry'!$ö$677)</f>
      </c>
      <c r="GA677">
        <f>IF(ISBLANK('Data Entry'!$÷$677), "", 'Data Entry'!$÷$677)</f>
      </c>
      <c r="GB677">
        <f>IF(ISBLANK('Data Entry'!$ø$677), "", 'Data Entry'!$ø$677)</f>
      </c>
      <c r="GC677">
        <f>IF(ISBLANK('Data Entry'!$ù$677), "", 'Data Entry'!$ù$677)</f>
      </c>
      <c r="GD677">
        <f>IF(ISBLANK('Data Entry'!$ú$677), "", 'Data Entry'!$ú$677)</f>
      </c>
      <c r="GE677">
        <f>IF(ISBLANK('Data Entry'!$û$677), "", 'Data Entry'!$û$677)</f>
      </c>
      <c r="GF677">
        <f>IF(ISBLANK('Data Entry'!$ü$677), "", 'Data Entry'!$ü$677)</f>
      </c>
      <c r="GG677">
        <f>IF(ISBLANK('Data Entry'!$ý$677), "", 'Data Entry'!$ý$677)</f>
      </c>
      <c r="GH677">
        <f>IF(ISBLANK('Data Entry'!$þ$677), "", 'Data Entry'!$þ$677)</f>
      </c>
      <c r="GI677">
        <f>IF(ISBLANK('Data Entry'!$ÿ$677), "", 'Data Entry'!$ÿ$677)</f>
      </c>
      <c r="GJ677">
        <f>IF(ISBLANK('Data Entry'!$Ā$677), "", 'Data Entry'!$Ā$677)</f>
      </c>
      <c r="GK677">
        <f>IF(ISBLANK('Data Entry'!$ā$677), "", 'Data Entry'!$ā$677)</f>
      </c>
      <c r="GL677">
        <f>IF(ISBLANK('Data Entry'!$Ă$677), "", 'Data Entry'!$Ă$677)</f>
      </c>
      <c r="GM677">
        <f>IF(ISBLANK('Data Entry'!$ă$677), "", 'Data Entry'!$ă$677)</f>
      </c>
      <c r="GN677">
        <f>IF(ISBLANK('Data Entry'!$Ą$677), "", 'Data Entry'!$Ą$677)</f>
      </c>
      <c r="GO677">
        <f>IF(ISBLANK('Data Entry'!$ą$677), "", 'Data Entry'!$ą$677)</f>
      </c>
      <c r="GP677">
        <f>IF(ISBLANK('Data Entry'!$Ć$677), "", 'Data Entry'!$Ć$677)</f>
      </c>
      <c r="GQ677">
        <f>IF(ISBLANK('Data Entry'!$ć$677), "", 'Data Entry'!$ć$677)</f>
      </c>
      <c r="GR677">
        <f>IF(ISBLANK('Data Entry'!$Ĉ$677), "", 'Data Entry'!$Ĉ$677)</f>
      </c>
      <c r="GS677">
        <f>IF(ISBLANK('Data Entry'!$ĉ$677), "", 'Data Entry'!$ĉ$677)</f>
      </c>
      <c r="GT677">
        <f>IF(ISBLANK('Data Entry'!$Ċ$677), "", 'Data Entry'!$Ċ$677)</f>
      </c>
      <c r="GU677">
        <f>IF(ISBLANK('Data Entry'!$ċ$677), "", 'Data Entry'!$ċ$677)</f>
      </c>
      <c r="GV677">
        <f>IF(ISBLANK('Data Entry'!$Č$677), "", 'Data Entry'!$Č$677)</f>
      </c>
      <c r="GW677">
        <f>IF(ISBLANK('Data Entry'!$č$677), "", 'Data Entry'!$č$677)</f>
      </c>
      <c r="GX677">
        <f>IF(ISBLANK('Data Entry'!$Ď$677), "", 'Data Entry'!$Ď$677)</f>
      </c>
      <c r="GY677">
        <f>IF(ISBLANK('Data Entry'!$ď$677), "", 'Data Entry'!$ď$677)</f>
      </c>
      <c r="GZ677">
        <f>IF(ISBLANK('Data Entry'!$Đ$677), "", 'Data Entry'!$Đ$677)</f>
      </c>
      <c r="HA677">
        <f>IF(ISBLANK('Data Entry'!$đ$677), "", 'Data Entry'!$đ$677)</f>
      </c>
      <c r="HB677">
        <f>IF(ISBLANK('Data Entry'!$Ē$677), "", 'Data Entry'!$Ē$677)</f>
      </c>
      <c r="HC677">
        <f>IF(ISBLANK('Data Entry'!$ē$677), "", 'Data Entry'!$ē$677)</f>
      </c>
      <c r="HD677">
        <f>IF(ISBLANK('Data Entry'!$Ĕ$677), "", 'Data Entry'!$Ĕ$677)</f>
      </c>
      <c r="HE677">
        <f>IF(ISBLANK('Data Entry'!$ĕ$677), "", 'Data Entry'!$ĕ$677)</f>
      </c>
      <c r="HF677">
        <f>IF(ISBLANK('Data Entry'!$Ė$677), "", 'Data Entry'!$Ė$677)</f>
      </c>
      <c r="HG677">
        <f>IF(ISBLANK('Data Entry'!$ė$677), "", 'Data Entry'!$ė$677)</f>
      </c>
      <c r="HH677">
        <f>IF(ISBLANK('Data Entry'!$Ę$677), "", 'Data Entry'!$Ę$677)</f>
      </c>
      <c r="HI677">
        <f>IF(ISBLANK('Data Entry'!$ę$677), "", 'Data Entry'!$ę$677)</f>
      </c>
      <c r="HJ677">
        <f>IF(ISBLANK('Data Entry'!$Ě$677), "", 'Data Entry'!$Ě$677)</f>
      </c>
      <c r="HK677">
        <f>IF(ISBLANK('Data Entry'!$ě$677), "", 'Data Entry'!$ě$677)</f>
      </c>
      <c r="HL677">
        <f>IF(ISBLANK('Data Entry'!$Ĝ$677), "", 'Data Entry'!$Ĝ$677)</f>
      </c>
      <c r="HM677">
        <f>IF(ISBLANK('Data Entry'!$ĝ$677), "", 'Data Entry'!$ĝ$677)</f>
      </c>
      <c r="HN677">
        <f>IF(ISBLANK('Data Entry'!$Ğ$677), "", 'Data Entry'!$Ğ$677)</f>
      </c>
      <c r="HO677">
        <f>IF(ISBLANK('Data Entry'!$ğ$677), "", 'Data Entry'!$ğ$677)</f>
      </c>
      <c r="HP677">
        <f>IF(ISBLANK('Data Entry'!$Ġ$677), "", 'Data Entry'!$Ġ$677)</f>
      </c>
      <c r="HQ677">
        <f>IF(ISBLANK('Data Entry'!$ġ$677), "", 'Data Entry'!$ġ$677)</f>
      </c>
      <c r="HR677">
        <f>IF(ISBLANK('Data Entry'!$Ģ$677), "", 'Data Entry'!$Ģ$677)</f>
      </c>
      <c r="HS677">
        <f>IF(ISBLANK('Data Entry'!$ģ$677), "", 'Data Entry'!$ģ$677)</f>
      </c>
      <c r="HT677">
        <f>IF(ISBLANK('Data Entry'!$Ĥ$677), "", 'Data Entry'!$Ĥ$677)</f>
      </c>
      <c r="HU677">
        <f>IF(ISBLANK('Data Entry'!$ĥ$677), "", 'Data Entry'!$ĥ$677)</f>
      </c>
      <c r="HV677">
        <f>IF(ISBLANK('Data Entry'!$Ħ$677), "", 'Data Entry'!$Ħ$677)</f>
      </c>
      <c r="HW677">
        <f>IF(ISBLANK('Data Entry'!$ħ$677), "", 'Data Entry'!$ħ$677)</f>
      </c>
      <c r="HX677">
        <f>IF(ISBLANK('Data Entry'!$Ĩ$677), "", 'Data Entry'!$Ĩ$677)</f>
      </c>
      <c r="HY677">
        <f>IF(ISBLANK('Data Entry'!$ĩ$677), "", 'Data Entry'!$ĩ$677)</f>
      </c>
      <c r="HZ677">
        <f>IF(ISBLANK('Data Entry'!$Ī$677), "", 'Data Entry'!$Ī$677)</f>
      </c>
      <c r="IA677">
        <f>IF(ISBLANK('Data Entry'!$ī$677), "", 'Data Entry'!$ī$677)</f>
      </c>
      <c r="IB677">
        <f>IF(ISBLANK('Data Entry'!$Ĭ$677), "", 'Data Entry'!$Ĭ$677)</f>
      </c>
      <c r="IC677">
        <f>IF(ISBLANK('Data Entry'!$ĭ$677), "", 'Data Entry'!$ĭ$677)</f>
      </c>
      <c r="ID677">
        <f>IF(ISBLANK('Data Entry'!$Į$677), "", 'Data Entry'!$Į$677)</f>
      </c>
      <c r="IE677">
        <f>IF(ISBLANK('Data Entry'!$į$677), "", 'Data Entry'!$į$677)</f>
      </c>
      <c r="IF677">
        <f>IF(ISBLANK('Data Entry'!$İ$677), "", 'Data Entry'!$İ$677)</f>
      </c>
      <c r="IG677">
        <f>IF(ISBLANK('Data Entry'!$ı$677), "", 'Data Entry'!$ı$677)</f>
      </c>
      <c r="IH677">
        <f>IF(ISBLANK('Data Entry'!$Ĳ$677), "", 'Data Entry'!$Ĳ$677)</f>
      </c>
      <c r="II677">
        <f>IF(ISBLANK('Data Entry'!$ĳ$677), "", 'Data Entry'!$ĳ$677)</f>
      </c>
      <c r="IJ677">
        <f>IF(ISBLANK('Data Entry'!$Ĵ$677), "", 'Data Entry'!$Ĵ$677)</f>
      </c>
      <c r="IK677">
        <f>IF(ISBLANK('Data Entry'!$ĵ$677), "", 'Data Entry'!$ĵ$677)</f>
      </c>
      <c r="IL677">
        <f>IF(ISBLANK('Data Entry'!$Ķ$677), "", 'Data Entry'!$Ķ$677)</f>
      </c>
      <c r="IM677">
        <f>IF(ISBLANK('Data Entry'!$ķ$677), "", 'Data Entry'!$ķ$677)</f>
      </c>
      <c r="IN677">
        <f>IF(ISBLANK('Data Entry'!$ĸ$677), "", 'Data Entry'!$ĸ$677)</f>
      </c>
      <c r="IO677">
        <f>IF(ISBLANK('Data Entry'!$Ĺ$677), "", 'Data Entry'!$Ĺ$677)</f>
      </c>
      <c r="IP677">
        <f>IF(ISBLANK('Data Entry'!$ĺ$677), "", 'Data Entry'!$ĺ$677)</f>
      </c>
      <c r="IQ677">
        <f>IF(ISBLANK('Data Entry'!$Ļ$677), "", 'Data Entry'!$Ļ$677)</f>
      </c>
      <c r="IR677">
        <f>IF(ISBLANK('Data Entry'!$ļ$677), "", 'Data Entry'!$ļ$677)</f>
      </c>
      <c r="IS677">
        <f>IF(ISBLANK('Data Entry'!$Ľ$677), "", 'Data Entry'!$Ľ$677)</f>
      </c>
      <c r="IT677">
        <f>IF(ISBLANK('Data Entry'!$ľ$677), "", 'Data Entry'!$ľ$677)</f>
      </c>
    </row>
    <row r="678" spans="1:254" x14ac:dyDescent="0.25">
      <c r="A678">
        <f>IF(ISBLANK('Data Entry'!$A$678), "", 'Data Entry'!$A$678)</f>
      </c>
      <c r="B678">
        <f>IF(ISBLANK('Data Entry'!$B$678), "", 'Data Entry'!$B$678)</f>
      </c>
      <c r="C678">
        <f>IF(ISBLANK('Data Entry'!$C$678), "", 'Data Entry'!$C$678)</f>
      </c>
      <c r="D678">
        <f>IF(ISBLANK('Data Entry'!$D$678), "", 'Data Entry'!$D$678)</f>
      </c>
      <c r="E678">
        <f>IF(ISBLANK('Data Entry'!$E$678), "", 'Data Entry'!$E$678)</f>
      </c>
      <c r="F678">
        <f>IF(ISBLANK('Data Entry'!$F$678), "", 'Data Entry'!$F$678)</f>
      </c>
      <c r="G678">
        <f>IF(ISBLANK('Data Entry'!$G$678), "", 'Data Entry'!$G$678)</f>
      </c>
      <c r="H678">
        <f>IF(ISBLANK('Data Entry'!$H$678), "", 'Data Entry'!$H$678)</f>
      </c>
      <c r="I678">
        <f>IF(ISBLANK('Data Entry'!$I$678), "", 'Data Entry'!$I$678)</f>
      </c>
      <c r="J678">
        <f>IF(ISBLANK('Data Entry'!$J$678), "", 'Data Entry'!$J$678)</f>
      </c>
      <c r="K678">
        <f>IF(ISBLANK('Data Entry'!$K$678), "", 'Data Entry'!$K$678)</f>
      </c>
      <c r="L678">
        <f>IF(ISBLANK('Data Entry'!$L$678), "", 'Data Entry'!$L$678)</f>
      </c>
      <c r="M678">
        <f>IF(ISBLANK('Data Entry'!$M$678), "", 'Data Entry'!$M$678)</f>
      </c>
      <c r="N678">
        <f>IF(ISBLANK('Data Entry'!$N$678), "", 'Data Entry'!$N$678)</f>
      </c>
      <c r="O678">
        <f>IF(ISBLANK('Data Entry'!$O$678), "", 'Data Entry'!$O$678)</f>
      </c>
      <c r="P678">
        <f>IF(ISBLANK('Data Entry'!$P$678), "", 'Data Entry'!$P$678)</f>
      </c>
      <c r="Q678">
        <f>IF(ISBLANK('Data Entry'!$Q$678), "", 'Data Entry'!$Q$678)</f>
      </c>
      <c r="R678">
        <f>IF(ISBLANK('Data Entry'!$R$678), "", 'Data Entry'!$R$678)</f>
      </c>
      <c r="S678">
        <f>IF(ISBLANK('Data Entry'!$S$678), "", 'Data Entry'!$S$678)</f>
      </c>
      <c r="T678">
        <f>IF(ISBLANK('Data Entry'!$T$678), "", 'Data Entry'!$T$678)</f>
      </c>
      <c r="U678">
        <f>IF(ISBLANK('Data Entry'!$U$678), "", 'Data Entry'!$U$678)</f>
      </c>
      <c r="V678">
        <f>IF(ISBLANK('Data Entry'!$V$678), "", 'Data Entry'!$V$678)</f>
      </c>
      <c r="W678">
        <f>IF(ISBLANK('Data Entry'!$W$678), "", 'Data Entry'!$W$678)</f>
      </c>
      <c r="X678">
        <f>IF(ISBLANK('Data Entry'!$X$678), "", 'Data Entry'!$X$678)</f>
      </c>
      <c r="Y678">
        <f>IF(ISBLANK('Data Entry'!$Y$678), "", 'Data Entry'!$Y$678)</f>
      </c>
      <c r="Z678">
        <f>IF(ISBLANK('Data Entry'!$Z$678), "", 'Data Entry'!$Z$678)</f>
      </c>
      <c r="AA678">
        <f>IF(ISBLANK('Data Entry'!$[$678), "", 'Data Entry'!$[$678)</f>
      </c>
      <c r="AB678">
        <f>IF(ISBLANK('Data Entry'!$\$678), "", 'Data Entry'!$\$678)</f>
      </c>
      <c r="AC678">
        <f>IF(ISBLANK('Data Entry'!$]$678), "", 'Data Entry'!$]$678)</f>
      </c>
      <c r="AD678">
        <f>IF(ISBLANK('Data Entry'!$^$678), "", 'Data Entry'!$^$678)</f>
      </c>
      <c r="AE678">
        <f>IF(ISBLANK('Data Entry'!$_$678), "", 'Data Entry'!$_$678)</f>
      </c>
      <c r="AF678">
        <f>IF(ISBLANK('Data Entry'!$`$678), "", 'Data Entry'!$`$678)</f>
      </c>
      <c r="AG678">
        <f>IF(ISBLANK('Data Entry'!$a$678), "", 'Data Entry'!$a$678)</f>
      </c>
      <c r="AH678">
        <f>IF(ISBLANK('Data Entry'!$b$678), "", 'Data Entry'!$b$678)</f>
      </c>
      <c r="AI678">
        <f>IF(ISBLANK('Data Entry'!$c$678), "", 'Data Entry'!$c$678)</f>
      </c>
      <c r="AJ678">
        <f>IF(ISBLANK('Data Entry'!$d$678), "", 'Data Entry'!$d$678)</f>
      </c>
      <c r="AK678">
        <f>IF(ISBLANK('Data Entry'!$e$678), "", 'Data Entry'!$e$678)</f>
      </c>
      <c r="AL678">
        <f>IF(ISBLANK('Data Entry'!$f$678), "", 'Data Entry'!$f$678)</f>
      </c>
      <c r="AM678">
        <f>IF(ISBLANK('Data Entry'!$g$678), "", 'Data Entry'!$g$678)</f>
      </c>
      <c r="AN678">
        <f>IF(ISBLANK('Data Entry'!$h$678), "", 'Data Entry'!$h$678)</f>
      </c>
      <c r="AO678">
        <f>IF(ISBLANK('Data Entry'!$i$678), "", 'Data Entry'!$i$678)</f>
      </c>
      <c r="AP678">
        <f>IF(ISBLANK('Data Entry'!$j$678), "", 'Data Entry'!$j$678)</f>
      </c>
      <c r="AQ678">
        <f>IF(ISBLANK('Data Entry'!$k$678), "", 'Data Entry'!$k$678)</f>
      </c>
      <c r="AR678">
        <f>IF(ISBLANK('Data Entry'!$l$678), "", 'Data Entry'!$l$678)</f>
      </c>
      <c r="AS678">
        <f>IF(ISBLANK('Data Entry'!$m$678), "", 'Data Entry'!$m$678)</f>
      </c>
      <c r="AT678">
        <f>IF(ISBLANK('Data Entry'!$n$678), "", 'Data Entry'!$n$678)</f>
      </c>
      <c r="AU678">
        <f>IF(ISBLANK('Data Entry'!$o$678), "", 'Data Entry'!$o$678)</f>
      </c>
      <c r="AV678">
        <f>IF(ISBLANK('Data Entry'!$p$678), "", 'Data Entry'!$p$678)</f>
      </c>
      <c r="AW678">
        <f>IF(ISBLANK('Data Entry'!$q$678), "", 'Data Entry'!$q$678)</f>
      </c>
      <c r="AX678">
        <f>IF(ISBLANK('Data Entry'!$r$678), "", 'Data Entry'!$r$678)</f>
      </c>
      <c r="AY678">
        <f>IF(ISBLANK('Data Entry'!$s$678), "", 'Data Entry'!$s$678)</f>
      </c>
      <c r="AZ678">
        <f>IF(ISBLANK('Data Entry'!$t$678), "", 'Data Entry'!$t$678)</f>
      </c>
      <c r="BA678">
        <f>IF(ISBLANK('Data Entry'!$u$678), "", 'Data Entry'!$u$678)</f>
      </c>
      <c r="BB678">
        <f>IF(ISBLANK('Data Entry'!$v$678), "", 'Data Entry'!$v$678)</f>
      </c>
      <c r="BC678">
        <f>IF(ISBLANK('Data Entry'!$w$678), "", 'Data Entry'!$w$678)</f>
      </c>
      <c r="BD678">
        <f>IF(ISBLANK('Data Entry'!$x$678), "", 'Data Entry'!$x$678)</f>
      </c>
      <c r="BE678">
        <f>IF(ISBLANK('Data Entry'!$y$678), "", 'Data Entry'!$y$678)</f>
      </c>
      <c r="BF678">
        <f>IF(ISBLANK('Data Entry'!$z$678), "", 'Data Entry'!$z$678)</f>
      </c>
      <c r="BG678">
        <f>IF(ISBLANK('Data Entry'!${$678), "", 'Data Entry'!${$678)</f>
      </c>
      <c r="BH678">
        <f>IF(ISBLANK('Data Entry'!$|$678), "", 'Data Entry'!$|$678)</f>
      </c>
      <c r="BI678">
        <f>IF(ISBLANK('Data Entry'!$}$678), "", 'Data Entry'!$}$678)</f>
      </c>
      <c r="BJ678">
        <f>IF(ISBLANK('Data Entry'!$~$678), "", 'Data Entry'!$~$678)</f>
      </c>
      <c r="BK678">
        <f>IF(ISBLANK('Data Entry'!$$678), "", 'Data Entry'!$$678)</f>
      </c>
      <c r="BL678">
        <f>IF(ISBLANK('Data Entry'!$$678), "", 'Data Entry'!$$678)</f>
      </c>
      <c r="BM678">
        <f>IF(ISBLANK('Data Entry'!$$678), "", 'Data Entry'!$$678)</f>
      </c>
      <c r="BN678">
        <f>IF(ISBLANK('Data Entry'!$$678), "", 'Data Entry'!$$678)</f>
      </c>
      <c r="BO678">
        <f>IF(ISBLANK('Data Entry'!$$678), "", 'Data Entry'!$$678)</f>
      </c>
      <c r="BP678">
        <f>IF(ISBLANK('Data Entry'!$$678), "", 'Data Entry'!$$678)</f>
      </c>
      <c r="BQ678">
        <f>IF(ISBLANK('Data Entry'!$$678), "", 'Data Entry'!$$678)</f>
      </c>
      <c r="BR678">
        <f>IF(ISBLANK('Data Entry'!$$678), "", 'Data Entry'!$$678)</f>
      </c>
      <c r="BS678">
        <f>IF(ISBLANK('Data Entry'!$$678), "", 'Data Entry'!$$678)</f>
      </c>
      <c r="BT678">
        <f>IF(ISBLANK('Data Entry'!$$678), "", 'Data Entry'!$$678)</f>
      </c>
      <c r="BU678">
        <f>IF(ISBLANK('Data Entry'!$$678), "", 'Data Entry'!$$678)</f>
      </c>
      <c r="BV678">
        <f>IF(ISBLANK('Data Entry'!$$678), "", 'Data Entry'!$$678)</f>
      </c>
      <c r="BW678">
        <f>IF(ISBLANK('Data Entry'!$$678), "", 'Data Entry'!$$678)</f>
      </c>
      <c r="BX678">
        <f>IF(ISBLANK('Data Entry'!$$678), "", 'Data Entry'!$$678)</f>
      </c>
      <c r="BY678">
        <f>IF(ISBLANK('Data Entry'!$$678), "", 'Data Entry'!$$678)</f>
      </c>
      <c r="BZ678">
        <f>IF(ISBLANK('Data Entry'!$$678), "", 'Data Entry'!$$678)</f>
      </c>
      <c r="CA678">
        <f>IF(ISBLANK('Data Entry'!$$678), "", 'Data Entry'!$$678)</f>
      </c>
      <c r="CB678">
        <f>IF(ISBLANK('Data Entry'!$$678), "", 'Data Entry'!$$678)</f>
      </c>
      <c r="CC678">
        <f>IF(ISBLANK('Data Entry'!$$678), "", 'Data Entry'!$$678)</f>
      </c>
      <c r="CD678">
        <f>IF(ISBLANK('Data Entry'!$$678), "", 'Data Entry'!$$678)</f>
      </c>
      <c r="CE678">
        <f>IF(ISBLANK('Data Entry'!$$678), "", 'Data Entry'!$$678)</f>
      </c>
      <c r="CF678">
        <f>IF(ISBLANK('Data Entry'!$$678), "", 'Data Entry'!$$678)</f>
      </c>
      <c r="CG678">
        <f>IF(ISBLANK('Data Entry'!$$678), "", 'Data Entry'!$$678)</f>
      </c>
      <c r="CH678">
        <f>IF(ISBLANK('Data Entry'!$$678), "", 'Data Entry'!$$678)</f>
      </c>
      <c r="CI678">
        <f>IF(ISBLANK('Data Entry'!$$678), "", 'Data Entry'!$$678)</f>
      </c>
      <c r="CJ678">
        <f>IF(ISBLANK('Data Entry'!$$678), "", 'Data Entry'!$$678)</f>
      </c>
      <c r="CK678">
        <f>IF(ISBLANK('Data Entry'!$$678), "", 'Data Entry'!$$678)</f>
      </c>
      <c r="CL678">
        <f>IF(ISBLANK('Data Entry'!$$678), "", 'Data Entry'!$$678)</f>
      </c>
      <c r="CM678">
        <f>IF(ISBLANK('Data Entry'!$$678), "", 'Data Entry'!$$678)</f>
      </c>
      <c r="CN678">
        <f>IF(ISBLANK('Data Entry'!$$678), "", 'Data Entry'!$$678)</f>
      </c>
      <c r="CO678">
        <f>IF(ISBLANK('Data Entry'!$$678), "", 'Data Entry'!$$678)</f>
      </c>
      <c r="CP678">
        <f>IF(ISBLANK('Data Entry'!$$678), "", 'Data Entry'!$$678)</f>
      </c>
      <c r="CQ678">
        <f>IF(ISBLANK('Data Entry'!$$678), "", 'Data Entry'!$$678)</f>
      </c>
      <c r="CR678">
        <f>IF(ISBLANK('Data Entry'!$ $678), "", 'Data Entry'!$ $678)</f>
      </c>
      <c r="CS678">
        <f>IF(ISBLANK('Data Entry'!$¡$678), "", 'Data Entry'!$¡$678)</f>
      </c>
      <c r="CT678">
        <f>IF(ISBLANK('Data Entry'!$¢$678), "", 'Data Entry'!$¢$678)</f>
      </c>
      <c r="CU678">
        <f>IF(ISBLANK('Data Entry'!$£$678), "", 'Data Entry'!$£$678)</f>
      </c>
      <c r="CV678">
        <f>IF(ISBLANK('Data Entry'!$¤$678), "", 'Data Entry'!$¤$678)</f>
      </c>
      <c r="CW678">
        <f>IF(ISBLANK('Data Entry'!$¥$678), "", 'Data Entry'!$¥$678)</f>
      </c>
      <c r="CX678">
        <f>IF(ISBLANK('Data Entry'!$¦$678), "", 'Data Entry'!$¦$678)</f>
      </c>
      <c r="CY678">
        <f>IF(ISBLANK('Data Entry'!$§$678), "", 'Data Entry'!$§$678)</f>
      </c>
      <c r="CZ678">
        <f>IF(ISBLANK('Data Entry'!$¨$678), "", 'Data Entry'!$¨$678)</f>
      </c>
      <c r="DA678">
        <f>IF(ISBLANK('Data Entry'!$©$678), "", 'Data Entry'!$©$678)</f>
      </c>
      <c r="DB678">
        <f>IF(ISBLANK('Data Entry'!$ª$678), "", 'Data Entry'!$ª$678)</f>
      </c>
      <c r="DC678">
        <f>IF(ISBLANK('Data Entry'!$«$678), "", 'Data Entry'!$«$678)</f>
      </c>
      <c r="DD678">
        <f>IF(ISBLANK('Data Entry'!$¬$678), "", 'Data Entry'!$¬$678)</f>
      </c>
      <c r="DE678">
        <f>IF(ISBLANK('Data Entry'!$­$678), "", 'Data Entry'!$­$678)</f>
      </c>
      <c r="DF678">
        <f>IF(ISBLANK('Data Entry'!$®$678), "", 'Data Entry'!$®$678)</f>
      </c>
      <c r="DG678">
        <f>IF(ISBLANK('Data Entry'!$¯$678), "", 'Data Entry'!$¯$678)</f>
      </c>
      <c r="DH678">
        <f>IF(ISBLANK('Data Entry'!$°$678), "", 'Data Entry'!$°$678)</f>
      </c>
      <c r="DI678">
        <f>IF(ISBLANK('Data Entry'!$±$678), "", 'Data Entry'!$±$678)</f>
      </c>
      <c r="DJ678">
        <f>IF(ISBLANK('Data Entry'!$²$678), "", 'Data Entry'!$²$678)</f>
      </c>
      <c r="DK678">
        <f>IF(ISBLANK('Data Entry'!$³$678), "", 'Data Entry'!$³$678)</f>
      </c>
      <c r="DL678">
        <f>IF(ISBLANK('Data Entry'!$´$678), "", 'Data Entry'!$´$678)</f>
      </c>
      <c r="DM678">
        <f>IF(ISBLANK('Data Entry'!$µ$678), "", 'Data Entry'!$µ$678)</f>
      </c>
      <c r="DN678">
        <f>IF(ISBLANK('Data Entry'!$¶$678), "", 'Data Entry'!$¶$678)</f>
      </c>
      <c r="DO678">
        <f>IF(ISBLANK('Data Entry'!$·$678), "", 'Data Entry'!$·$678)</f>
      </c>
      <c r="DP678">
        <f>IF(ISBLANK('Data Entry'!$¸$678), "", 'Data Entry'!$¸$678)</f>
      </c>
      <c r="DQ678">
        <f>IF(ISBLANK('Data Entry'!$¹$678), "", 'Data Entry'!$¹$678)</f>
      </c>
      <c r="DR678">
        <f>IF(ISBLANK('Data Entry'!$º$678), "", 'Data Entry'!$º$678)</f>
      </c>
      <c r="DS678">
        <f>IF(ISBLANK('Data Entry'!$»$678), "", 'Data Entry'!$»$678)</f>
      </c>
      <c r="DT678">
        <f>IF(ISBLANK('Data Entry'!$¼$678), "", 'Data Entry'!$¼$678)</f>
      </c>
      <c r="DU678">
        <f>IF(ISBLANK('Data Entry'!$½$678), "", 'Data Entry'!$½$678)</f>
      </c>
      <c r="DV678">
        <f>IF(ISBLANK('Data Entry'!$¾$678), "", 'Data Entry'!$¾$678)</f>
      </c>
      <c r="DW678">
        <f>IF(ISBLANK('Data Entry'!$¿$678), "", 'Data Entry'!$¿$678)</f>
      </c>
      <c r="DX678">
        <f>IF(ISBLANK('Data Entry'!$À$678), "", 'Data Entry'!$À$678)</f>
      </c>
      <c r="DY678">
        <f>IF(ISBLANK('Data Entry'!$Á$678), "", 'Data Entry'!$Á$678)</f>
      </c>
      <c r="DZ678">
        <f>IF(ISBLANK('Data Entry'!$Â$678), "", 'Data Entry'!$Â$678)</f>
      </c>
      <c r="EA678">
        <f>IF(ISBLANK('Data Entry'!$Ã$678), "", 'Data Entry'!$Ã$678)</f>
      </c>
      <c r="EB678">
        <f>IF(ISBLANK('Data Entry'!$Ä$678), "", 'Data Entry'!$Ä$678)</f>
      </c>
      <c r="EC678">
        <f>IF(ISBLANK('Data Entry'!$Å$678), "", 'Data Entry'!$Å$678)</f>
      </c>
      <c r="ED678">
        <f>IF(ISBLANK('Data Entry'!$Æ$678), "", 'Data Entry'!$Æ$678)</f>
      </c>
      <c r="EE678">
        <f>IF(ISBLANK('Data Entry'!$Ç$678), "", 'Data Entry'!$Ç$678)</f>
      </c>
      <c r="EF678">
        <f>IF(ISBLANK('Data Entry'!$È$678), "", 'Data Entry'!$È$678)</f>
      </c>
      <c r="EG678">
        <f>IF(ISBLANK('Data Entry'!$É$678), "", 'Data Entry'!$É$678)</f>
      </c>
      <c r="EH678">
        <f>IF(ISBLANK('Data Entry'!$Ê$678), "", 'Data Entry'!$Ê$678)</f>
      </c>
      <c r="EI678">
        <f>IF(ISBLANK('Data Entry'!$Ë$678), "", 'Data Entry'!$Ë$678)</f>
      </c>
      <c r="EJ678">
        <f>IF(ISBLANK('Data Entry'!$Ì$678), "", 'Data Entry'!$Ì$678)</f>
      </c>
      <c r="EK678">
        <f>IF(ISBLANK('Data Entry'!$Í$678), "", 'Data Entry'!$Í$678)</f>
      </c>
      <c r="EL678">
        <f>IF(ISBLANK('Data Entry'!$Î$678), "", 'Data Entry'!$Î$678)</f>
      </c>
      <c r="EM678">
        <f>IF(ISBLANK('Data Entry'!$Ï$678), "", 'Data Entry'!$Ï$678)</f>
      </c>
      <c r="EN678">
        <f>IF(ISBLANK('Data Entry'!$Ð$678), "", 'Data Entry'!$Ð$678)</f>
      </c>
      <c r="EO678">
        <f>IF(ISBLANK('Data Entry'!$Ñ$678), "", 'Data Entry'!$Ñ$678)</f>
      </c>
      <c r="EP678">
        <f>IF(ISBLANK('Data Entry'!$Ò$678), "", 'Data Entry'!$Ò$678)</f>
      </c>
      <c r="EQ678">
        <f>IF(ISBLANK('Data Entry'!$Ó$678), "", 'Data Entry'!$Ó$678)</f>
      </c>
      <c r="ER678">
        <f>IF(ISBLANK('Data Entry'!$Ô$678), "", 'Data Entry'!$Ô$678)</f>
      </c>
      <c r="ES678">
        <f>IF(ISBLANK('Data Entry'!$Õ$678), "", 'Data Entry'!$Õ$678)</f>
      </c>
      <c r="ET678">
        <f>IF(ISBLANK('Data Entry'!$Ö$678), "", 'Data Entry'!$Ö$678)</f>
      </c>
      <c r="EU678">
        <f>IF(ISBLANK('Data Entry'!$×$678), "", 'Data Entry'!$×$678)</f>
      </c>
      <c r="EV678">
        <f>IF(ISBLANK('Data Entry'!$Ø$678), "", 'Data Entry'!$Ø$678)</f>
      </c>
      <c r="EW678">
        <f>IF(ISBLANK('Data Entry'!$Ù$678), "", 'Data Entry'!$Ù$678)</f>
      </c>
      <c r="EX678">
        <f>IF(ISBLANK('Data Entry'!$Ú$678), "", 'Data Entry'!$Ú$678)</f>
      </c>
      <c r="EY678">
        <f>IF(ISBLANK('Data Entry'!$Û$678), "", 'Data Entry'!$Û$678)</f>
      </c>
      <c r="EZ678">
        <f>IF(ISBLANK('Data Entry'!$Ü$678), "", 'Data Entry'!$Ü$678)</f>
      </c>
      <c r="FA678">
        <f>IF(ISBLANK('Data Entry'!$Ý$678), "", 'Data Entry'!$Ý$678)</f>
      </c>
      <c r="FB678">
        <f>IF(ISBLANK('Data Entry'!$Þ$678), "", 'Data Entry'!$Þ$678)</f>
      </c>
      <c r="FC678">
        <f>IF(ISBLANK('Data Entry'!$ß$678), "", 'Data Entry'!$ß$678)</f>
      </c>
      <c r="FD678">
        <f>IF(ISBLANK('Data Entry'!$à$678), "", 'Data Entry'!$à$678)</f>
      </c>
      <c r="FE678">
        <f>IF(ISBLANK('Data Entry'!$á$678), "", 'Data Entry'!$á$678)</f>
      </c>
      <c r="FF678">
        <f>IF(ISBLANK('Data Entry'!$â$678), "", 'Data Entry'!$â$678)</f>
      </c>
      <c r="FG678">
        <f>IF(ISBLANK('Data Entry'!$ã$678), "", 'Data Entry'!$ã$678)</f>
      </c>
      <c r="FH678">
        <f>IF(ISBLANK('Data Entry'!$ä$678), "", 'Data Entry'!$ä$678)</f>
      </c>
      <c r="FI678">
        <f>IF(ISBLANK('Data Entry'!$å$678), "", 'Data Entry'!$å$678)</f>
      </c>
      <c r="FJ678">
        <f>IF(ISBLANK('Data Entry'!$æ$678), "", 'Data Entry'!$æ$678)</f>
      </c>
      <c r="FK678">
        <f>IF(ISBLANK('Data Entry'!$ç$678), "", 'Data Entry'!$ç$678)</f>
      </c>
      <c r="FL678">
        <f>IF(ISBLANK('Data Entry'!$è$678), "", 'Data Entry'!$è$678)</f>
      </c>
      <c r="FM678">
        <f>IF(ISBLANK('Data Entry'!$é$678), "", 'Data Entry'!$é$678)</f>
      </c>
      <c r="FN678">
        <f>IF(ISBLANK('Data Entry'!$ê$678), "", 'Data Entry'!$ê$678)</f>
      </c>
      <c r="FO678">
        <f>IF(ISBLANK('Data Entry'!$ë$678), "", 'Data Entry'!$ë$678)</f>
      </c>
      <c r="FP678">
        <f>IF(ISBLANK('Data Entry'!$ì$678), "", 'Data Entry'!$ì$678)</f>
      </c>
      <c r="FQ678">
        <f>IF(ISBLANK('Data Entry'!$í$678), "", 'Data Entry'!$í$678)</f>
      </c>
      <c r="FR678">
        <f>IF(ISBLANK('Data Entry'!$î$678), "", 'Data Entry'!$î$678)</f>
      </c>
      <c r="FS678">
        <f>IF(ISBLANK('Data Entry'!$ï$678), "", 'Data Entry'!$ï$678)</f>
      </c>
      <c r="FT678">
        <f>IF(ISBLANK('Data Entry'!$ð$678), "", 'Data Entry'!$ð$678)</f>
      </c>
      <c r="FU678">
        <f>IF(ISBLANK('Data Entry'!$ñ$678), "", 'Data Entry'!$ñ$678)</f>
      </c>
      <c r="FV678">
        <f>IF(ISBLANK('Data Entry'!$ò$678), "", 'Data Entry'!$ò$678)</f>
      </c>
      <c r="FW678">
        <f>IF(ISBLANK('Data Entry'!$ó$678), "", 'Data Entry'!$ó$678)</f>
      </c>
      <c r="FX678">
        <f>IF(ISBLANK('Data Entry'!$ô$678), "", 'Data Entry'!$ô$678)</f>
      </c>
      <c r="FY678">
        <f>IF(ISBLANK('Data Entry'!$õ$678), "", 'Data Entry'!$õ$678)</f>
      </c>
      <c r="FZ678">
        <f>IF(ISBLANK('Data Entry'!$ö$678), "", 'Data Entry'!$ö$678)</f>
      </c>
      <c r="GA678">
        <f>IF(ISBLANK('Data Entry'!$÷$678), "", 'Data Entry'!$÷$678)</f>
      </c>
      <c r="GB678">
        <f>IF(ISBLANK('Data Entry'!$ø$678), "", 'Data Entry'!$ø$678)</f>
      </c>
      <c r="GC678">
        <f>IF(ISBLANK('Data Entry'!$ù$678), "", 'Data Entry'!$ù$678)</f>
      </c>
      <c r="GD678">
        <f>IF(ISBLANK('Data Entry'!$ú$678), "", 'Data Entry'!$ú$678)</f>
      </c>
      <c r="GE678">
        <f>IF(ISBLANK('Data Entry'!$û$678), "", 'Data Entry'!$û$678)</f>
      </c>
      <c r="GF678">
        <f>IF(ISBLANK('Data Entry'!$ü$678), "", 'Data Entry'!$ü$678)</f>
      </c>
      <c r="GG678">
        <f>IF(ISBLANK('Data Entry'!$ý$678), "", 'Data Entry'!$ý$678)</f>
      </c>
      <c r="GH678">
        <f>IF(ISBLANK('Data Entry'!$þ$678), "", 'Data Entry'!$þ$678)</f>
      </c>
      <c r="GI678">
        <f>IF(ISBLANK('Data Entry'!$ÿ$678), "", 'Data Entry'!$ÿ$678)</f>
      </c>
      <c r="GJ678">
        <f>IF(ISBLANK('Data Entry'!$Ā$678), "", 'Data Entry'!$Ā$678)</f>
      </c>
      <c r="GK678">
        <f>IF(ISBLANK('Data Entry'!$ā$678), "", 'Data Entry'!$ā$678)</f>
      </c>
      <c r="GL678">
        <f>IF(ISBLANK('Data Entry'!$Ă$678), "", 'Data Entry'!$Ă$678)</f>
      </c>
      <c r="GM678">
        <f>IF(ISBLANK('Data Entry'!$ă$678), "", 'Data Entry'!$ă$678)</f>
      </c>
      <c r="GN678">
        <f>IF(ISBLANK('Data Entry'!$Ą$678), "", 'Data Entry'!$Ą$678)</f>
      </c>
      <c r="GO678">
        <f>IF(ISBLANK('Data Entry'!$ą$678), "", 'Data Entry'!$ą$678)</f>
      </c>
      <c r="GP678">
        <f>IF(ISBLANK('Data Entry'!$Ć$678), "", 'Data Entry'!$Ć$678)</f>
      </c>
      <c r="GQ678">
        <f>IF(ISBLANK('Data Entry'!$ć$678), "", 'Data Entry'!$ć$678)</f>
      </c>
      <c r="GR678">
        <f>IF(ISBLANK('Data Entry'!$Ĉ$678), "", 'Data Entry'!$Ĉ$678)</f>
      </c>
      <c r="GS678">
        <f>IF(ISBLANK('Data Entry'!$ĉ$678), "", 'Data Entry'!$ĉ$678)</f>
      </c>
      <c r="GT678">
        <f>IF(ISBLANK('Data Entry'!$Ċ$678), "", 'Data Entry'!$Ċ$678)</f>
      </c>
      <c r="GU678">
        <f>IF(ISBLANK('Data Entry'!$ċ$678), "", 'Data Entry'!$ċ$678)</f>
      </c>
      <c r="GV678">
        <f>IF(ISBLANK('Data Entry'!$Č$678), "", 'Data Entry'!$Č$678)</f>
      </c>
      <c r="GW678">
        <f>IF(ISBLANK('Data Entry'!$č$678), "", 'Data Entry'!$č$678)</f>
      </c>
      <c r="GX678">
        <f>IF(ISBLANK('Data Entry'!$Ď$678), "", 'Data Entry'!$Ď$678)</f>
      </c>
      <c r="GY678">
        <f>IF(ISBLANK('Data Entry'!$ď$678), "", 'Data Entry'!$ď$678)</f>
      </c>
      <c r="GZ678">
        <f>IF(ISBLANK('Data Entry'!$Đ$678), "", 'Data Entry'!$Đ$678)</f>
      </c>
      <c r="HA678">
        <f>IF(ISBLANK('Data Entry'!$đ$678), "", 'Data Entry'!$đ$678)</f>
      </c>
      <c r="HB678">
        <f>IF(ISBLANK('Data Entry'!$Ē$678), "", 'Data Entry'!$Ē$678)</f>
      </c>
      <c r="HC678">
        <f>IF(ISBLANK('Data Entry'!$ē$678), "", 'Data Entry'!$ē$678)</f>
      </c>
      <c r="HD678">
        <f>IF(ISBLANK('Data Entry'!$Ĕ$678), "", 'Data Entry'!$Ĕ$678)</f>
      </c>
      <c r="HE678">
        <f>IF(ISBLANK('Data Entry'!$ĕ$678), "", 'Data Entry'!$ĕ$678)</f>
      </c>
      <c r="HF678">
        <f>IF(ISBLANK('Data Entry'!$Ė$678), "", 'Data Entry'!$Ė$678)</f>
      </c>
      <c r="HG678">
        <f>IF(ISBLANK('Data Entry'!$ė$678), "", 'Data Entry'!$ė$678)</f>
      </c>
      <c r="HH678">
        <f>IF(ISBLANK('Data Entry'!$Ę$678), "", 'Data Entry'!$Ę$678)</f>
      </c>
      <c r="HI678">
        <f>IF(ISBLANK('Data Entry'!$ę$678), "", 'Data Entry'!$ę$678)</f>
      </c>
      <c r="HJ678">
        <f>IF(ISBLANK('Data Entry'!$Ě$678), "", 'Data Entry'!$Ě$678)</f>
      </c>
      <c r="HK678">
        <f>IF(ISBLANK('Data Entry'!$ě$678), "", 'Data Entry'!$ě$678)</f>
      </c>
      <c r="HL678">
        <f>IF(ISBLANK('Data Entry'!$Ĝ$678), "", 'Data Entry'!$Ĝ$678)</f>
      </c>
      <c r="HM678">
        <f>IF(ISBLANK('Data Entry'!$ĝ$678), "", 'Data Entry'!$ĝ$678)</f>
      </c>
      <c r="HN678">
        <f>IF(ISBLANK('Data Entry'!$Ğ$678), "", 'Data Entry'!$Ğ$678)</f>
      </c>
      <c r="HO678">
        <f>IF(ISBLANK('Data Entry'!$ğ$678), "", 'Data Entry'!$ğ$678)</f>
      </c>
      <c r="HP678">
        <f>IF(ISBLANK('Data Entry'!$Ġ$678), "", 'Data Entry'!$Ġ$678)</f>
      </c>
      <c r="HQ678">
        <f>IF(ISBLANK('Data Entry'!$ġ$678), "", 'Data Entry'!$ġ$678)</f>
      </c>
      <c r="HR678">
        <f>IF(ISBLANK('Data Entry'!$Ģ$678), "", 'Data Entry'!$Ģ$678)</f>
      </c>
      <c r="HS678">
        <f>IF(ISBLANK('Data Entry'!$ģ$678), "", 'Data Entry'!$ģ$678)</f>
      </c>
      <c r="HT678">
        <f>IF(ISBLANK('Data Entry'!$Ĥ$678), "", 'Data Entry'!$Ĥ$678)</f>
      </c>
      <c r="HU678">
        <f>IF(ISBLANK('Data Entry'!$ĥ$678), "", 'Data Entry'!$ĥ$678)</f>
      </c>
      <c r="HV678">
        <f>IF(ISBLANK('Data Entry'!$Ħ$678), "", 'Data Entry'!$Ħ$678)</f>
      </c>
      <c r="HW678">
        <f>IF(ISBLANK('Data Entry'!$ħ$678), "", 'Data Entry'!$ħ$678)</f>
      </c>
      <c r="HX678">
        <f>IF(ISBLANK('Data Entry'!$Ĩ$678), "", 'Data Entry'!$Ĩ$678)</f>
      </c>
      <c r="HY678">
        <f>IF(ISBLANK('Data Entry'!$ĩ$678), "", 'Data Entry'!$ĩ$678)</f>
      </c>
      <c r="HZ678">
        <f>IF(ISBLANK('Data Entry'!$Ī$678), "", 'Data Entry'!$Ī$678)</f>
      </c>
      <c r="IA678">
        <f>IF(ISBLANK('Data Entry'!$ī$678), "", 'Data Entry'!$ī$678)</f>
      </c>
      <c r="IB678">
        <f>IF(ISBLANK('Data Entry'!$Ĭ$678), "", 'Data Entry'!$Ĭ$678)</f>
      </c>
      <c r="IC678">
        <f>IF(ISBLANK('Data Entry'!$ĭ$678), "", 'Data Entry'!$ĭ$678)</f>
      </c>
      <c r="ID678">
        <f>IF(ISBLANK('Data Entry'!$Į$678), "", 'Data Entry'!$Į$678)</f>
      </c>
      <c r="IE678">
        <f>IF(ISBLANK('Data Entry'!$į$678), "", 'Data Entry'!$į$678)</f>
      </c>
      <c r="IF678">
        <f>IF(ISBLANK('Data Entry'!$İ$678), "", 'Data Entry'!$İ$678)</f>
      </c>
      <c r="IG678">
        <f>IF(ISBLANK('Data Entry'!$ı$678), "", 'Data Entry'!$ı$678)</f>
      </c>
      <c r="IH678">
        <f>IF(ISBLANK('Data Entry'!$Ĳ$678), "", 'Data Entry'!$Ĳ$678)</f>
      </c>
      <c r="II678">
        <f>IF(ISBLANK('Data Entry'!$ĳ$678), "", 'Data Entry'!$ĳ$678)</f>
      </c>
      <c r="IJ678">
        <f>IF(ISBLANK('Data Entry'!$Ĵ$678), "", 'Data Entry'!$Ĵ$678)</f>
      </c>
      <c r="IK678">
        <f>IF(ISBLANK('Data Entry'!$ĵ$678), "", 'Data Entry'!$ĵ$678)</f>
      </c>
      <c r="IL678">
        <f>IF(ISBLANK('Data Entry'!$Ķ$678), "", 'Data Entry'!$Ķ$678)</f>
      </c>
      <c r="IM678">
        <f>IF(ISBLANK('Data Entry'!$ķ$678), "", 'Data Entry'!$ķ$678)</f>
      </c>
      <c r="IN678">
        <f>IF(ISBLANK('Data Entry'!$ĸ$678), "", 'Data Entry'!$ĸ$678)</f>
      </c>
      <c r="IO678">
        <f>IF(ISBLANK('Data Entry'!$Ĺ$678), "", 'Data Entry'!$Ĺ$678)</f>
      </c>
      <c r="IP678">
        <f>IF(ISBLANK('Data Entry'!$ĺ$678), "", 'Data Entry'!$ĺ$678)</f>
      </c>
      <c r="IQ678">
        <f>IF(ISBLANK('Data Entry'!$Ļ$678), "", 'Data Entry'!$Ļ$678)</f>
      </c>
      <c r="IR678">
        <f>IF(ISBLANK('Data Entry'!$ļ$678), "", 'Data Entry'!$ļ$678)</f>
      </c>
      <c r="IS678">
        <f>IF(ISBLANK('Data Entry'!$Ľ$678), "", 'Data Entry'!$Ľ$678)</f>
      </c>
      <c r="IT678">
        <f>IF(ISBLANK('Data Entry'!$ľ$678), "", 'Data Entry'!$ľ$678)</f>
      </c>
    </row>
    <row r="679" spans="1:254" x14ac:dyDescent="0.25">
      <c r="A679">
        <f>IF(ISBLANK('Data Entry'!$A$679), "", 'Data Entry'!$A$679)</f>
      </c>
      <c r="B679">
        <f>IF(ISBLANK('Data Entry'!$B$679), "", 'Data Entry'!$B$679)</f>
      </c>
      <c r="C679">
        <f>IF(ISBLANK('Data Entry'!$C$679), "", 'Data Entry'!$C$679)</f>
      </c>
      <c r="D679">
        <f>IF(ISBLANK('Data Entry'!$D$679), "", 'Data Entry'!$D$679)</f>
      </c>
      <c r="E679">
        <f>IF(ISBLANK('Data Entry'!$E$679), "", 'Data Entry'!$E$679)</f>
      </c>
      <c r="F679">
        <f>IF(ISBLANK('Data Entry'!$F$679), "", 'Data Entry'!$F$679)</f>
      </c>
      <c r="G679">
        <f>IF(ISBLANK('Data Entry'!$G$679), "", 'Data Entry'!$G$679)</f>
      </c>
      <c r="H679">
        <f>IF(ISBLANK('Data Entry'!$H$679), "", 'Data Entry'!$H$679)</f>
      </c>
      <c r="I679">
        <f>IF(ISBLANK('Data Entry'!$I$679), "", 'Data Entry'!$I$679)</f>
      </c>
      <c r="J679">
        <f>IF(ISBLANK('Data Entry'!$J$679), "", 'Data Entry'!$J$679)</f>
      </c>
      <c r="K679">
        <f>IF(ISBLANK('Data Entry'!$K$679), "", 'Data Entry'!$K$679)</f>
      </c>
      <c r="L679">
        <f>IF(ISBLANK('Data Entry'!$L$679), "", 'Data Entry'!$L$679)</f>
      </c>
      <c r="M679">
        <f>IF(ISBLANK('Data Entry'!$M$679), "", 'Data Entry'!$M$679)</f>
      </c>
      <c r="N679">
        <f>IF(ISBLANK('Data Entry'!$N$679), "", 'Data Entry'!$N$679)</f>
      </c>
      <c r="O679">
        <f>IF(ISBLANK('Data Entry'!$O$679), "", 'Data Entry'!$O$679)</f>
      </c>
      <c r="P679">
        <f>IF(ISBLANK('Data Entry'!$P$679), "", 'Data Entry'!$P$679)</f>
      </c>
      <c r="Q679">
        <f>IF(ISBLANK('Data Entry'!$Q$679), "", 'Data Entry'!$Q$679)</f>
      </c>
      <c r="R679">
        <f>IF(ISBLANK('Data Entry'!$R$679), "", 'Data Entry'!$R$679)</f>
      </c>
      <c r="S679">
        <f>IF(ISBLANK('Data Entry'!$S$679), "", 'Data Entry'!$S$679)</f>
      </c>
      <c r="T679">
        <f>IF(ISBLANK('Data Entry'!$T$679), "", 'Data Entry'!$T$679)</f>
      </c>
      <c r="U679">
        <f>IF(ISBLANK('Data Entry'!$U$679), "", 'Data Entry'!$U$679)</f>
      </c>
      <c r="V679">
        <f>IF(ISBLANK('Data Entry'!$V$679), "", 'Data Entry'!$V$679)</f>
      </c>
      <c r="W679">
        <f>IF(ISBLANK('Data Entry'!$W$679), "", 'Data Entry'!$W$679)</f>
      </c>
      <c r="X679">
        <f>IF(ISBLANK('Data Entry'!$X$679), "", 'Data Entry'!$X$679)</f>
      </c>
      <c r="Y679">
        <f>IF(ISBLANK('Data Entry'!$Y$679), "", 'Data Entry'!$Y$679)</f>
      </c>
      <c r="Z679">
        <f>IF(ISBLANK('Data Entry'!$Z$679), "", 'Data Entry'!$Z$679)</f>
      </c>
      <c r="AA679">
        <f>IF(ISBLANK('Data Entry'!$[$679), "", 'Data Entry'!$[$679)</f>
      </c>
      <c r="AB679">
        <f>IF(ISBLANK('Data Entry'!$\$679), "", 'Data Entry'!$\$679)</f>
      </c>
      <c r="AC679">
        <f>IF(ISBLANK('Data Entry'!$]$679), "", 'Data Entry'!$]$679)</f>
      </c>
      <c r="AD679">
        <f>IF(ISBLANK('Data Entry'!$^$679), "", 'Data Entry'!$^$679)</f>
      </c>
      <c r="AE679">
        <f>IF(ISBLANK('Data Entry'!$_$679), "", 'Data Entry'!$_$679)</f>
      </c>
      <c r="AF679">
        <f>IF(ISBLANK('Data Entry'!$`$679), "", 'Data Entry'!$`$679)</f>
      </c>
      <c r="AG679">
        <f>IF(ISBLANK('Data Entry'!$a$679), "", 'Data Entry'!$a$679)</f>
      </c>
      <c r="AH679">
        <f>IF(ISBLANK('Data Entry'!$b$679), "", 'Data Entry'!$b$679)</f>
      </c>
      <c r="AI679">
        <f>IF(ISBLANK('Data Entry'!$c$679), "", 'Data Entry'!$c$679)</f>
      </c>
      <c r="AJ679">
        <f>IF(ISBLANK('Data Entry'!$d$679), "", 'Data Entry'!$d$679)</f>
      </c>
      <c r="AK679">
        <f>IF(ISBLANK('Data Entry'!$e$679), "", 'Data Entry'!$e$679)</f>
      </c>
      <c r="AL679">
        <f>IF(ISBLANK('Data Entry'!$f$679), "", 'Data Entry'!$f$679)</f>
      </c>
      <c r="AM679">
        <f>IF(ISBLANK('Data Entry'!$g$679), "", 'Data Entry'!$g$679)</f>
      </c>
      <c r="AN679">
        <f>IF(ISBLANK('Data Entry'!$h$679), "", 'Data Entry'!$h$679)</f>
      </c>
      <c r="AO679">
        <f>IF(ISBLANK('Data Entry'!$i$679), "", 'Data Entry'!$i$679)</f>
      </c>
      <c r="AP679">
        <f>IF(ISBLANK('Data Entry'!$j$679), "", 'Data Entry'!$j$679)</f>
      </c>
      <c r="AQ679">
        <f>IF(ISBLANK('Data Entry'!$k$679), "", 'Data Entry'!$k$679)</f>
      </c>
      <c r="AR679">
        <f>IF(ISBLANK('Data Entry'!$l$679), "", 'Data Entry'!$l$679)</f>
      </c>
      <c r="AS679">
        <f>IF(ISBLANK('Data Entry'!$m$679), "", 'Data Entry'!$m$679)</f>
      </c>
      <c r="AT679">
        <f>IF(ISBLANK('Data Entry'!$n$679), "", 'Data Entry'!$n$679)</f>
      </c>
      <c r="AU679">
        <f>IF(ISBLANK('Data Entry'!$o$679), "", 'Data Entry'!$o$679)</f>
      </c>
      <c r="AV679">
        <f>IF(ISBLANK('Data Entry'!$p$679), "", 'Data Entry'!$p$679)</f>
      </c>
      <c r="AW679">
        <f>IF(ISBLANK('Data Entry'!$q$679), "", 'Data Entry'!$q$679)</f>
      </c>
      <c r="AX679">
        <f>IF(ISBLANK('Data Entry'!$r$679), "", 'Data Entry'!$r$679)</f>
      </c>
      <c r="AY679">
        <f>IF(ISBLANK('Data Entry'!$s$679), "", 'Data Entry'!$s$679)</f>
      </c>
      <c r="AZ679">
        <f>IF(ISBLANK('Data Entry'!$t$679), "", 'Data Entry'!$t$679)</f>
      </c>
      <c r="BA679">
        <f>IF(ISBLANK('Data Entry'!$u$679), "", 'Data Entry'!$u$679)</f>
      </c>
      <c r="BB679">
        <f>IF(ISBLANK('Data Entry'!$v$679), "", 'Data Entry'!$v$679)</f>
      </c>
      <c r="BC679">
        <f>IF(ISBLANK('Data Entry'!$w$679), "", 'Data Entry'!$w$679)</f>
      </c>
      <c r="BD679">
        <f>IF(ISBLANK('Data Entry'!$x$679), "", 'Data Entry'!$x$679)</f>
      </c>
      <c r="BE679">
        <f>IF(ISBLANK('Data Entry'!$y$679), "", 'Data Entry'!$y$679)</f>
      </c>
      <c r="BF679">
        <f>IF(ISBLANK('Data Entry'!$z$679), "", 'Data Entry'!$z$679)</f>
      </c>
      <c r="BG679">
        <f>IF(ISBLANK('Data Entry'!${$679), "", 'Data Entry'!${$679)</f>
      </c>
      <c r="BH679">
        <f>IF(ISBLANK('Data Entry'!$|$679), "", 'Data Entry'!$|$679)</f>
      </c>
      <c r="BI679">
        <f>IF(ISBLANK('Data Entry'!$}$679), "", 'Data Entry'!$}$679)</f>
      </c>
      <c r="BJ679">
        <f>IF(ISBLANK('Data Entry'!$~$679), "", 'Data Entry'!$~$679)</f>
      </c>
      <c r="BK679">
        <f>IF(ISBLANK('Data Entry'!$$679), "", 'Data Entry'!$$679)</f>
      </c>
      <c r="BL679">
        <f>IF(ISBLANK('Data Entry'!$$679), "", 'Data Entry'!$$679)</f>
      </c>
      <c r="BM679">
        <f>IF(ISBLANK('Data Entry'!$$679), "", 'Data Entry'!$$679)</f>
      </c>
      <c r="BN679">
        <f>IF(ISBLANK('Data Entry'!$$679), "", 'Data Entry'!$$679)</f>
      </c>
      <c r="BO679">
        <f>IF(ISBLANK('Data Entry'!$$679), "", 'Data Entry'!$$679)</f>
      </c>
      <c r="BP679">
        <f>IF(ISBLANK('Data Entry'!$$679), "", 'Data Entry'!$$679)</f>
      </c>
      <c r="BQ679">
        <f>IF(ISBLANK('Data Entry'!$$679), "", 'Data Entry'!$$679)</f>
      </c>
      <c r="BR679">
        <f>IF(ISBLANK('Data Entry'!$$679), "", 'Data Entry'!$$679)</f>
      </c>
      <c r="BS679">
        <f>IF(ISBLANK('Data Entry'!$$679), "", 'Data Entry'!$$679)</f>
      </c>
      <c r="BT679">
        <f>IF(ISBLANK('Data Entry'!$$679), "", 'Data Entry'!$$679)</f>
      </c>
      <c r="BU679">
        <f>IF(ISBLANK('Data Entry'!$$679), "", 'Data Entry'!$$679)</f>
      </c>
      <c r="BV679">
        <f>IF(ISBLANK('Data Entry'!$$679), "", 'Data Entry'!$$679)</f>
      </c>
      <c r="BW679">
        <f>IF(ISBLANK('Data Entry'!$$679), "", 'Data Entry'!$$679)</f>
      </c>
      <c r="BX679">
        <f>IF(ISBLANK('Data Entry'!$$679), "", 'Data Entry'!$$679)</f>
      </c>
      <c r="BY679">
        <f>IF(ISBLANK('Data Entry'!$$679), "", 'Data Entry'!$$679)</f>
      </c>
      <c r="BZ679">
        <f>IF(ISBLANK('Data Entry'!$$679), "", 'Data Entry'!$$679)</f>
      </c>
      <c r="CA679">
        <f>IF(ISBLANK('Data Entry'!$$679), "", 'Data Entry'!$$679)</f>
      </c>
      <c r="CB679">
        <f>IF(ISBLANK('Data Entry'!$$679), "", 'Data Entry'!$$679)</f>
      </c>
      <c r="CC679">
        <f>IF(ISBLANK('Data Entry'!$$679), "", 'Data Entry'!$$679)</f>
      </c>
      <c r="CD679">
        <f>IF(ISBLANK('Data Entry'!$$679), "", 'Data Entry'!$$679)</f>
      </c>
      <c r="CE679">
        <f>IF(ISBLANK('Data Entry'!$$679), "", 'Data Entry'!$$679)</f>
      </c>
      <c r="CF679">
        <f>IF(ISBLANK('Data Entry'!$$679), "", 'Data Entry'!$$679)</f>
      </c>
      <c r="CG679">
        <f>IF(ISBLANK('Data Entry'!$$679), "", 'Data Entry'!$$679)</f>
      </c>
      <c r="CH679">
        <f>IF(ISBLANK('Data Entry'!$$679), "", 'Data Entry'!$$679)</f>
      </c>
      <c r="CI679">
        <f>IF(ISBLANK('Data Entry'!$$679), "", 'Data Entry'!$$679)</f>
      </c>
      <c r="CJ679">
        <f>IF(ISBLANK('Data Entry'!$$679), "", 'Data Entry'!$$679)</f>
      </c>
      <c r="CK679">
        <f>IF(ISBLANK('Data Entry'!$$679), "", 'Data Entry'!$$679)</f>
      </c>
      <c r="CL679">
        <f>IF(ISBLANK('Data Entry'!$$679), "", 'Data Entry'!$$679)</f>
      </c>
      <c r="CM679">
        <f>IF(ISBLANK('Data Entry'!$$679), "", 'Data Entry'!$$679)</f>
      </c>
      <c r="CN679">
        <f>IF(ISBLANK('Data Entry'!$$679), "", 'Data Entry'!$$679)</f>
      </c>
      <c r="CO679">
        <f>IF(ISBLANK('Data Entry'!$$679), "", 'Data Entry'!$$679)</f>
      </c>
      <c r="CP679">
        <f>IF(ISBLANK('Data Entry'!$$679), "", 'Data Entry'!$$679)</f>
      </c>
      <c r="CQ679">
        <f>IF(ISBLANK('Data Entry'!$$679), "", 'Data Entry'!$$679)</f>
      </c>
      <c r="CR679">
        <f>IF(ISBLANK('Data Entry'!$ $679), "", 'Data Entry'!$ $679)</f>
      </c>
      <c r="CS679">
        <f>IF(ISBLANK('Data Entry'!$¡$679), "", 'Data Entry'!$¡$679)</f>
      </c>
      <c r="CT679">
        <f>IF(ISBLANK('Data Entry'!$¢$679), "", 'Data Entry'!$¢$679)</f>
      </c>
      <c r="CU679">
        <f>IF(ISBLANK('Data Entry'!$£$679), "", 'Data Entry'!$£$679)</f>
      </c>
      <c r="CV679">
        <f>IF(ISBLANK('Data Entry'!$¤$679), "", 'Data Entry'!$¤$679)</f>
      </c>
      <c r="CW679">
        <f>IF(ISBLANK('Data Entry'!$¥$679), "", 'Data Entry'!$¥$679)</f>
      </c>
      <c r="CX679">
        <f>IF(ISBLANK('Data Entry'!$¦$679), "", 'Data Entry'!$¦$679)</f>
      </c>
      <c r="CY679">
        <f>IF(ISBLANK('Data Entry'!$§$679), "", 'Data Entry'!$§$679)</f>
      </c>
      <c r="CZ679">
        <f>IF(ISBLANK('Data Entry'!$¨$679), "", 'Data Entry'!$¨$679)</f>
      </c>
      <c r="DA679">
        <f>IF(ISBLANK('Data Entry'!$©$679), "", 'Data Entry'!$©$679)</f>
      </c>
      <c r="DB679">
        <f>IF(ISBLANK('Data Entry'!$ª$679), "", 'Data Entry'!$ª$679)</f>
      </c>
      <c r="DC679">
        <f>IF(ISBLANK('Data Entry'!$«$679), "", 'Data Entry'!$«$679)</f>
      </c>
      <c r="DD679">
        <f>IF(ISBLANK('Data Entry'!$¬$679), "", 'Data Entry'!$¬$679)</f>
      </c>
      <c r="DE679">
        <f>IF(ISBLANK('Data Entry'!$­$679), "", 'Data Entry'!$­$679)</f>
      </c>
      <c r="DF679">
        <f>IF(ISBLANK('Data Entry'!$®$679), "", 'Data Entry'!$®$679)</f>
      </c>
      <c r="DG679">
        <f>IF(ISBLANK('Data Entry'!$¯$679), "", 'Data Entry'!$¯$679)</f>
      </c>
      <c r="DH679">
        <f>IF(ISBLANK('Data Entry'!$°$679), "", 'Data Entry'!$°$679)</f>
      </c>
      <c r="DI679">
        <f>IF(ISBLANK('Data Entry'!$±$679), "", 'Data Entry'!$±$679)</f>
      </c>
      <c r="DJ679">
        <f>IF(ISBLANK('Data Entry'!$²$679), "", 'Data Entry'!$²$679)</f>
      </c>
      <c r="DK679">
        <f>IF(ISBLANK('Data Entry'!$³$679), "", 'Data Entry'!$³$679)</f>
      </c>
      <c r="DL679">
        <f>IF(ISBLANK('Data Entry'!$´$679), "", 'Data Entry'!$´$679)</f>
      </c>
      <c r="DM679">
        <f>IF(ISBLANK('Data Entry'!$µ$679), "", 'Data Entry'!$µ$679)</f>
      </c>
      <c r="DN679">
        <f>IF(ISBLANK('Data Entry'!$¶$679), "", 'Data Entry'!$¶$679)</f>
      </c>
      <c r="DO679">
        <f>IF(ISBLANK('Data Entry'!$·$679), "", 'Data Entry'!$·$679)</f>
      </c>
      <c r="DP679">
        <f>IF(ISBLANK('Data Entry'!$¸$679), "", 'Data Entry'!$¸$679)</f>
      </c>
      <c r="DQ679">
        <f>IF(ISBLANK('Data Entry'!$¹$679), "", 'Data Entry'!$¹$679)</f>
      </c>
      <c r="DR679">
        <f>IF(ISBLANK('Data Entry'!$º$679), "", 'Data Entry'!$º$679)</f>
      </c>
      <c r="DS679">
        <f>IF(ISBLANK('Data Entry'!$»$679), "", 'Data Entry'!$»$679)</f>
      </c>
      <c r="DT679">
        <f>IF(ISBLANK('Data Entry'!$¼$679), "", 'Data Entry'!$¼$679)</f>
      </c>
      <c r="DU679">
        <f>IF(ISBLANK('Data Entry'!$½$679), "", 'Data Entry'!$½$679)</f>
      </c>
      <c r="DV679">
        <f>IF(ISBLANK('Data Entry'!$¾$679), "", 'Data Entry'!$¾$679)</f>
      </c>
      <c r="DW679">
        <f>IF(ISBLANK('Data Entry'!$¿$679), "", 'Data Entry'!$¿$679)</f>
      </c>
      <c r="DX679">
        <f>IF(ISBLANK('Data Entry'!$À$679), "", 'Data Entry'!$À$679)</f>
      </c>
      <c r="DY679">
        <f>IF(ISBLANK('Data Entry'!$Á$679), "", 'Data Entry'!$Á$679)</f>
      </c>
      <c r="DZ679">
        <f>IF(ISBLANK('Data Entry'!$Â$679), "", 'Data Entry'!$Â$679)</f>
      </c>
      <c r="EA679">
        <f>IF(ISBLANK('Data Entry'!$Ã$679), "", 'Data Entry'!$Ã$679)</f>
      </c>
      <c r="EB679">
        <f>IF(ISBLANK('Data Entry'!$Ä$679), "", 'Data Entry'!$Ä$679)</f>
      </c>
      <c r="EC679">
        <f>IF(ISBLANK('Data Entry'!$Å$679), "", 'Data Entry'!$Å$679)</f>
      </c>
      <c r="ED679">
        <f>IF(ISBLANK('Data Entry'!$Æ$679), "", 'Data Entry'!$Æ$679)</f>
      </c>
      <c r="EE679">
        <f>IF(ISBLANK('Data Entry'!$Ç$679), "", 'Data Entry'!$Ç$679)</f>
      </c>
      <c r="EF679">
        <f>IF(ISBLANK('Data Entry'!$È$679), "", 'Data Entry'!$È$679)</f>
      </c>
      <c r="EG679">
        <f>IF(ISBLANK('Data Entry'!$É$679), "", 'Data Entry'!$É$679)</f>
      </c>
      <c r="EH679">
        <f>IF(ISBLANK('Data Entry'!$Ê$679), "", 'Data Entry'!$Ê$679)</f>
      </c>
      <c r="EI679">
        <f>IF(ISBLANK('Data Entry'!$Ë$679), "", 'Data Entry'!$Ë$679)</f>
      </c>
      <c r="EJ679">
        <f>IF(ISBLANK('Data Entry'!$Ì$679), "", 'Data Entry'!$Ì$679)</f>
      </c>
      <c r="EK679">
        <f>IF(ISBLANK('Data Entry'!$Í$679), "", 'Data Entry'!$Í$679)</f>
      </c>
      <c r="EL679">
        <f>IF(ISBLANK('Data Entry'!$Î$679), "", 'Data Entry'!$Î$679)</f>
      </c>
      <c r="EM679">
        <f>IF(ISBLANK('Data Entry'!$Ï$679), "", 'Data Entry'!$Ï$679)</f>
      </c>
      <c r="EN679">
        <f>IF(ISBLANK('Data Entry'!$Ð$679), "", 'Data Entry'!$Ð$679)</f>
      </c>
      <c r="EO679">
        <f>IF(ISBLANK('Data Entry'!$Ñ$679), "", 'Data Entry'!$Ñ$679)</f>
      </c>
      <c r="EP679">
        <f>IF(ISBLANK('Data Entry'!$Ò$679), "", 'Data Entry'!$Ò$679)</f>
      </c>
      <c r="EQ679">
        <f>IF(ISBLANK('Data Entry'!$Ó$679), "", 'Data Entry'!$Ó$679)</f>
      </c>
      <c r="ER679">
        <f>IF(ISBLANK('Data Entry'!$Ô$679), "", 'Data Entry'!$Ô$679)</f>
      </c>
      <c r="ES679">
        <f>IF(ISBLANK('Data Entry'!$Õ$679), "", 'Data Entry'!$Õ$679)</f>
      </c>
      <c r="ET679">
        <f>IF(ISBLANK('Data Entry'!$Ö$679), "", 'Data Entry'!$Ö$679)</f>
      </c>
      <c r="EU679">
        <f>IF(ISBLANK('Data Entry'!$×$679), "", 'Data Entry'!$×$679)</f>
      </c>
      <c r="EV679">
        <f>IF(ISBLANK('Data Entry'!$Ø$679), "", 'Data Entry'!$Ø$679)</f>
      </c>
      <c r="EW679">
        <f>IF(ISBLANK('Data Entry'!$Ù$679), "", 'Data Entry'!$Ù$679)</f>
      </c>
      <c r="EX679">
        <f>IF(ISBLANK('Data Entry'!$Ú$679), "", 'Data Entry'!$Ú$679)</f>
      </c>
      <c r="EY679">
        <f>IF(ISBLANK('Data Entry'!$Û$679), "", 'Data Entry'!$Û$679)</f>
      </c>
      <c r="EZ679">
        <f>IF(ISBLANK('Data Entry'!$Ü$679), "", 'Data Entry'!$Ü$679)</f>
      </c>
      <c r="FA679">
        <f>IF(ISBLANK('Data Entry'!$Ý$679), "", 'Data Entry'!$Ý$679)</f>
      </c>
      <c r="FB679">
        <f>IF(ISBLANK('Data Entry'!$Þ$679), "", 'Data Entry'!$Þ$679)</f>
      </c>
      <c r="FC679">
        <f>IF(ISBLANK('Data Entry'!$ß$679), "", 'Data Entry'!$ß$679)</f>
      </c>
      <c r="FD679">
        <f>IF(ISBLANK('Data Entry'!$à$679), "", 'Data Entry'!$à$679)</f>
      </c>
      <c r="FE679">
        <f>IF(ISBLANK('Data Entry'!$á$679), "", 'Data Entry'!$á$679)</f>
      </c>
      <c r="FF679">
        <f>IF(ISBLANK('Data Entry'!$â$679), "", 'Data Entry'!$â$679)</f>
      </c>
      <c r="FG679">
        <f>IF(ISBLANK('Data Entry'!$ã$679), "", 'Data Entry'!$ã$679)</f>
      </c>
      <c r="FH679">
        <f>IF(ISBLANK('Data Entry'!$ä$679), "", 'Data Entry'!$ä$679)</f>
      </c>
      <c r="FI679">
        <f>IF(ISBLANK('Data Entry'!$å$679), "", 'Data Entry'!$å$679)</f>
      </c>
      <c r="FJ679">
        <f>IF(ISBLANK('Data Entry'!$æ$679), "", 'Data Entry'!$æ$679)</f>
      </c>
      <c r="FK679">
        <f>IF(ISBLANK('Data Entry'!$ç$679), "", 'Data Entry'!$ç$679)</f>
      </c>
      <c r="FL679">
        <f>IF(ISBLANK('Data Entry'!$è$679), "", 'Data Entry'!$è$679)</f>
      </c>
      <c r="FM679">
        <f>IF(ISBLANK('Data Entry'!$é$679), "", 'Data Entry'!$é$679)</f>
      </c>
      <c r="FN679">
        <f>IF(ISBLANK('Data Entry'!$ê$679), "", 'Data Entry'!$ê$679)</f>
      </c>
      <c r="FO679">
        <f>IF(ISBLANK('Data Entry'!$ë$679), "", 'Data Entry'!$ë$679)</f>
      </c>
      <c r="FP679">
        <f>IF(ISBLANK('Data Entry'!$ì$679), "", 'Data Entry'!$ì$679)</f>
      </c>
      <c r="FQ679">
        <f>IF(ISBLANK('Data Entry'!$í$679), "", 'Data Entry'!$í$679)</f>
      </c>
      <c r="FR679">
        <f>IF(ISBLANK('Data Entry'!$î$679), "", 'Data Entry'!$î$679)</f>
      </c>
      <c r="FS679">
        <f>IF(ISBLANK('Data Entry'!$ï$679), "", 'Data Entry'!$ï$679)</f>
      </c>
      <c r="FT679">
        <f>IF(ISBLANK('Data Entry'!$ð$679), "", 'Data Entry'!$ð$679)</f>
      </c>
      <c r="FU679">
        <f>IF(ISBLANK('Data Entry'!$ñ$679), "", 'Data Entry'!$ñ$679)</f>
      </c>
      <c r="FV679">
        <f>IF(ISBLANK('Data Entry'!$ò$679), "", 'Data Entry'!$ò$679)</f>
      </c>
      <c r="FW679">
        <f>IF(ISBLANK('Data Entry'!$ó$679), "", 'Data Entry'!$ó$679)</f>
      </c>
      <c r="FX679">
        <f>IF(ISBLANK('Data Entry'!$ô$679), "", 'Data Entry'!$ô$679)</f>
      </c>
      <c r="FY679">
        <f>IF(ISBLANK('Data Entry'!$õ$679), "", 'Data Entry'!$õ$679)</f>
      </c>
      <c r="FZ679">
        <f>IF(ISBLANK('Data Entry'!$ö$679), "", 'Data Entry'!$ö$679)</f>
      </c>
      <c r="GA679">
        <f>IF(ISBLANK('Data Entry'!$÷$679), "", 'Data Entry'!$÷$679)</f>
      </c>
      <c r="GB679">
        <f>IF(ISBLANK('Data Entry'!$ø$679), "", 'Data Entry'!$ø$679)</f>
      </c>
      <c r="GC679">
        <f>IF(ISBLANK('Data Entry'!$ù$679), "", 'Data Entry'!$ù$679)</f>
      </c>
      <c r="GD679">
        <f>IF(ISBLANK('Data Entry'!$ú$679), "", 'Data Entry'!$ú$679)</f>
      </c>
      <c r="GE679">
        <f>IF(ISBLANK('Data Entry'!$û$679), "", 'Data Entry'!$û$679)</f>
      </c>
      <c r="GF679">
        <f>IF(ISBLANK('Data Entry'!$ü$679), "", 'Data Entry'!$ü$679)</f>
      </c>
      <c r="GG679">
        <f>IF(ISBLANK('Data Entry'!$ý$679), "", 'Data Entry'!$ý$679)</f>
      </c>
      <c r="GH679">
        <f>IF(ISBLANK('Data Entry'!$þ$679), "", 'Data Entry'!$þ$679)</f>
      </c>
      <c r="GI679">
        <f>IF(ISBLANK('Data Entry'!$ÿ$679), "", 'Data Entry'!$ÿ$679)</f>
      </c>
      <c r="GJ679">
        <f>IF(ISBLANK('Data Entry'!$Ā$679), "", 'Data Entry'!$Ā$679)</f>
      </c>
      <c r="GK679">
        <f>IF(ISBLANK('Data Entry'!$ā$679), "", 'Data Entry'!$ā$679)</f>
      </c>
      <c r="GL679">
        <f>IF(ISBLANK('Data Entry'!$Ă$679), "", 'Data Entry'!$Ă$679)</f>
      </c>
      <c r="GM679">
        <f>IF(ISBLANK('Data Entry'!$ă$679), "", 'Data Entry'!$ă$679)</f>
      </c>
      <c r="GN679">
        <f>IF(ISBLANK('Data Entry'!$Ą$679), "", 'Data Entry'!$Ą$679)</f>
      </c>
      <c r="GO679">
        <f>IF(ISBLANK('Data Entry'!$ą$679), "", 'Data Entry'!$ą$679)</f>
      </c>
      <c r="GP679">
        <f>IF(ISBLANK('Data Entry'!$Ć$679), "", 'Data Entry'!$Ć$679)</f>
      </c>
      <c r="GQ679">
        <f>IF(ISBLANK('Data Entry'!$ć$679), "", 'Data Entry'!$ć$679)</f>
      </c>
      <c r="GR679">
        <f>IF(ISBLANK('Data Entry'!$Ĉ$679), "", 'Data Entry'!$Ĉ$679)</f>
      </c>
      <c r="GS679">
        <f>IF(ISBLANK('Data Entry'!$ĉ$679), "", 'Data Entry'!$ĉ$679)</f>
      </c>
      <c r="GT679">
        <f>IF(ISBLANK('Data Entry'!$Ċ$679), "", 'Data Entry'!$Ċ$679)</f>
      </c>
      <c r="GU679">
        <f>IF(ISBLANK('Data Entry'!$ċ$679), "", 'Data Entry'!$ċ$679)</f>
      </c>
      <c r="GV679">
        <f>IF(ISBLANK('Data Entry'!$Č$679), "", 'Data Entry'!$Č$679)</f>
      </c>
      <c r="GW679">
        <f>IF(ISBLANK('Data Entry'!$č$679), "", 'Data Entry'!$č$679)</f>
      </c>
      <c r="GX679">
        <f>IF(ISBLANK('Data Entry'!$Ď$679), "", 'Data Entry'!$Ď$679)</f>
      </c>
      <c r="GY679">
        <f>IF(ISBLANK('Data Entry'!$ď$679), "", 'Data Entry'!$ď$679)</f>
      </c>
      <c r="GZ679">
        <f>IF(ISBLANK('Data Entry'!$Đ$679), "", 'Data Entry'!$Đ$679)</f>
      </c>
      <c r="HA679">
        <f>IF(ISBLANK('Data Entry'!$đ$679), "", 'Data Entry'!$đ$679)</f>
      </c>
      <c r="HB679">
        <f>IF(ISBLANK('Data Entry'!$Ē$679), "", 'Data Entry'!$Ē$679)</f>
      </c>
      <c r="HC679">
        <f>IF(ISBLANK('Data Entry'!$ē$679), "", 'Data Entry'!$ē$679)</f>
      </c>
      <c r="HD679">
        <f>IF(ISBLANK('Data Entry'!$Ĕ$679), "", 'Data Entry'!$Ĕ$679)</f>
      </c>
      <c r="HE679">
        <f>IF(ISBLANK('Data Entry'!$ĕ$679), "", 'Data Entry'!$ĕ$679)</f>
      </c>
      <c r="HF679">
        <f>IF(ISBLANK('Data Entry'!$Ė$679), "", 'Data Entry'!$Ė$679)</f>
      </c>
      <c r="HG679">
        <f>IF(ISBLANK('Data Entry'!$ė$679), "", 'Data Entry'!$ė$679)</f>
      </c>
      <c r="HH679">
        <f>IF(ISBLANK('Data Entry'!$Ę$679), "", 'Data Entry'!$Ę$679)</f>
      </c>
      <c r="HI679">
        <f>IF(ISBLANK('Data Entry'!$ę$679), "", 'Data Entry'!$ę$679)</f>
      </c>
      <c r="HJ679">
        <f>IF(ISBLANK('Data Entry'!$Ě$679), "", 'Data Entry'!$Ě$679)</f>
      </c>
      <c r="HK679">
        <f>IF(ISBLANK('Data Entry'!$ě$679), "", 'Data Entry'!$ě$679)</f>
      </c>
      <c r="HL679">
        <f>IF(ISBLANK('Data Entry'!$Ĝ$679), "", 'Data Entry'!$Ĝ$679)</f>
      </c>
      <c r="HM679">
        <f>IF(ISBLANK('Data Entry'!$ĝ$679), "", 'Data Entry'!$ĝ$679)</f>
      </c>
      <c r="HN679">
        <f>IF(ISBLANK('Data Entry'!$Ğ$679), "", 'Data Entry'!$Ğ$679)</f>
      </c>
      <c r="HO679">
        <f>IF(ISBLANK('Data Entry'!$ğ$679), "", 'Data Entry'!$ğ$679)</f>
      </c>
      <c r="HP679">
        <f>IF(ISBLANK('Data Entry'!$Ġ$679), "", 'Data Entry'!$Ġ$679)</f>
      </c>
      <c r="HQ679">
        <f>IF(ISBLANK('Data Entry'!$ġ$679), "", 'Data Entry'!$ġ$679)</f>
      </c>
      <c r="HR679">
        <f>IF(ISBLANK('Data Entry'!$Ģ$679), "", 'Data Entry'!$Ģ$679)</f>
      </c>
      <c r="HS679">
        <f>IF(ISBLANK('Data Entry'!$ģ$679), "", 'Data Entry'!$ģ$679)</f>
      </c>
      <c r="HT679">
        <f>IF(ISBLANK('Data Entry'!$Ĥ$679), "", 'Data Entry'!$Ĥ$679)</f>
      </c>
      <c r="HU679">
        <f>IF(ISBLANK('Data Entry'!$ĥ$679), "", 'Data Entry'!$ĥ$679)</f>
      </c>
      <c r="HV679">
        <f>IF(ISBLANK('Data Entry'!$Ħ$679), "", 'Data Entry'!$Ħ$679)</f>
      </c>
      <c r="HW679">
        <f>IF(ISBLANK('Data Entry'!$ħ$679), "", 'Data Entry'!$ħ$679)</f>
      </c>
      <c r="HX679">
        <f>IF(ISBLANK('Data Entry'!$Ĩ$679), "", 'Data Entry'!$Ĩ$679)</f>
      </c>
      <c r="HY679">
        <f>IF(ISBLANK('Data Entry'!$ĩ$679), "", 'Data Entry'!$ĩ$679)</f>
      </c>
      <c r="HZ679">
        <f>IF(ISBLANK('Data Entry'!$Ī$679), "", 'Data Entry'!$Ī$679)</f>
      </c>
      <c r="IA679">
        <f>IF(ISBLANK('Data Entry'!$ī$679), "", 'Data Entry'!$ī$679)</f>
      </c>
      <c r="IB679">
        <f>IF(ISBLANK('Data Entry'!$Ĭ$679), "", 'Data Entry'!$Ĭ$679)</f>
      </c>
      <c r="IC679">
        <f>IF(ISBLANK('Data Entry'!$ĭ$679), "", 'Data Entry'!$ĭ$679)</f>
      </c>
      <c r="ID679">
        <f>IF(ISBLANK('Data Entry'!$Į$679), "", 'Data Entry'!$Į$679)</f>
      </c>
      <c r="IE679">
        <f>IF(ISBLANK('Data Entry'!$į$679), "", 'Data Entry'!$į$679)</f>
      </c>
      <c r="IF679">
        <f>IF(ISBLANK('Data Entry'!$İ$679), "", 'Data Entry'!$İ$679)</f>
      </c>
      <c r="IG679">
        <f>IF(ISBLANK('Data Entry'!$ı$679), "", 'Data Entry'!$ı$679)</f>
      </c>
      <c r="IH679">
        <f>IF(ISBLANK('Data Entry'!$Ĳ$679), "", 'Data Entry'!$Ĳ$679)</f>
      </c>
      <c r="II679">
        <f>IF(ISBLANK('Data Entry'!$ĳ$679), "", 'Data Entry'!$ĳ$679)</f>
      </c>
      <c r="IJ679">
        <f>IF(ISBLANK('Data Entry'!$Ĵ$679), "", 'Data Entry'!$Ĵ$679)</f>
      </c>
      <c r="IK679">
        <f>IF(ISBLANK('Data Entry'!$ĵ$679), "", 'Data Entry'!$ĵ$679)</f>
      </c>
      <c r="IL679">
        <f>IF(ISBLANK('Data Entry'!$Ķ$679), "", 'Data Entry'!$Ķ$679)</f>
      </c>
      <c r="IM679">
        <f>IF(ISBLANK('Data Entry'!$ķ$679), "", 'Data Entry'!$ķ$679)</f>
      </c>
      <c r="IN679">
        <f>IF(ISBLANK('Data Entry'!$ĸ$679), "", 'Data Entry'!$ĸ$679)</f>
      </c>
      <c r="IO679">
        <f>IF(ISBLANK('Data Entry'!$Ĺ$679), "", 'Data Entry'!$Ĺ$679)</f>
      </c>
      <c r="IP679">
        <f>IF(ISBLANK('Data Entry'!$ĺ$679), "", 'Data Entry'!$ĺ$679)</f>
      </c>
      <c r="IQ679">
        <f>IF(ISBLANK('Data Entry'!$Ļ$679), "", 'Data Entry'!$Ļ$679)</f>
      </c>
      <c r="IR679">
        <f>IF(ISBLANK('Data Entry'!$ļ$679), "", 'Data Entry'!$ļ$679)</f>
      </c>
      <c r="IS679">
        <f>IF(ISBLANK('Data Entry'!$Ľ$679), "", 'Data Entry'!$Ľ$679)</f>
      </c>
      <c r="IT679">
        <f>IF(ISBLANK('Data Entry'!$ľ$679), "", 'Data Entry'!$ľ$679)</f>
      </c>
    </row>
    <row r="680" spans="1:254" x14ac:dyDescent="0.25">
      <c r="A680">
        <f>IF(ISBLANK('Data Entry'!$A$680), "", 'Data Entry'!$A$680)</f>
      </c>
      <c r="B680">
        <f>IF(ISBLANK('Data Entry'!$B$680), "", 'Data Entry'!$B$680)</f>
      </c>
      <c r="C680">
        <f>IF(ISBLANK('Data Entry'!$C$680), "", 'Data Entry'!$C$680)</f>
      </c>
      <c r="D680">
        <f>IF(ISBLANK('Data Entry'!$D$680), "", 'Data Entry'!$D$680)</f>
      </c>
      <c r="E680">
        <f>IF(ISBLANK('Data Entry'!$E$680), "", 'Data Entry'!$E$680)</f>
      </c>
      <c r="F680">
        <f>IF(ISBLANK('Data Entry'!$F$680), "", 'Data Entry'!$F$680)</f>
      </c>
      <c r="G680">
        <f>IF(ISBLANK('Data Entry'!$G$680), "", 'Data Entry'!$G$680)</f>
      </c>
      <c r="H680">
        <f>IF(ISBLANK('Data Entry'!$H$680), "", 'Data Entry'!$H$680)</f>
      </c>
      <c r="I680">
        <f>IF(ISBLANK('Data Entry'!$I$680), "", 'Data Entry'!$I$680)</f>
      </c>
      <c r="J680">
        <f>IF(ISBLANK('Data Entry'!$J$680), "", 'Data Entry'!$J$680)</f>
      </c>
      <c r="K680">
        <f>IF(ISBLANK('Data Entry'!$K$680), "", 'Data Entry'!$K$680)</f>
      </c>
      <c r="L680">
        <f>IF(ISBLANK('Data Entry'!$L$680), "", 'Data Entry'!$L$680)</f>
      </c>
      <c r="M680">
        <f>IF(ISBLANK('Data Entry'!$M$680), "", 'Data Entry'!$M$680)</f>
      </c>
      <c r="N680">
        <f>IF(ISBLANK('Data Entry'!$N$680), "", 'Data Entry'!$N$680)</f>
      </c>
      <c r="O680">
        <f>IF(ISBLANK('Data Entry'!$O$680), "", 'Data Entry'!$O$680)</f>
      </c>
      <c r="P680">
        <f>IF(ISBLANK('Data Entry'!$P$680), "", 'Data Entry'!$P$680)</f>
      </c>
      <c r="Q680">
        <f>IF(ISBLANK('Data Entry'!$Q$680), "", 'Data Entry'!$Q$680)</f>
      </c>
      <c r="R680">
        <f>IF(ISBLANK('Data Entry'!$R$680), "", 'Data Entry'!$R$680)</f>
      </c>
      <c r="S680">
        <f>IF(ISBLANK('Data Entry'!$S$680), "", 'Data Entry'!$S$680)</f>
      </c>
      <c r="T680">
        <f>IF(ISBLANK('Data Entry'!$T$680), "", 'Data Entry'!$T$680)</f>
      </c>
      <c r="U680">
        <f>IF(ISBLANK('Data Entry'!$U$680), "", 'Data Entry'!$U$680)</f>
      </c>
      <c r="V680">
        <f>IF(ISBLANK('Data Entry'!$V$680), "", 'Data Entry'!$V$680)</f>
      </c>
      <c r="W680">
        <f>IF(ISBLANK('Data Entry'!$W$680), "", 'Data Entry'!$W$680)</f>
      </c>
      <c r="X680">
        <f>IF(ISBLANK('Data Entry'!$X$680), "", 'Data Entry'!$X$680)</f>
      </c>
      <c r="Y680">
        <f>IF(ISBLANK('Data Entry'!$Y$680), "", 'Data Entry'!$Y$680)</f>
      </c>
      <c r="Z680">
        <f>IF(ISBLANK('Data Entry'!$Z$680), "", 'Data Entry'!$Z$680)</f>
      </c>
      <c r="AA680">
        <f>IF(ISBLANK('Data Entry'!$[$680), "", 'Data Entry'!$[$680)</f>
      </c>
      <c r="AB680">
        <f>IF(ISBLANK('Data Entry'!$\$680), "", 'Data Entry'!$\$680)</f>
      </c>
      <c r="AC680">
        <f>IF(ISBLANK('Data Entry'!$]$680), "", 'Data Entry'!$]$680)</f>
      </c>
      <c r="AD680">
        <f>IF(ISBLANK('Data Entry'!$^$680), "", 'Data Entry'!$^$680)</f>
      </c>
      <c r="AE680">
        <f>IF(ISBLANK('Data Entry'!$_$680), "", 'Data Entry'!$_$680)</f>
      </c>
      <c r="AF680">
        <f>IF(ISBLANK('Data Entry'!$`$680), "", 'Data Entry'!$`$680)</f>
      </c>
      <c r="AG680">
        <f>IF(ISBLANK('Data Entry'!$a$680), "", 'Data Entry'!$a$680)</f>
      </c>
      <c r="AH680">
        <f>IF(ISBLANK('Data Entry'!$b$680), "", 'Data Entry'!$b$680)</f>
      </c>
      <c r="AI680">
        <f>IF(ISBLANK('Data Entry'!$c$680), "", 'Data Entry'!$c$680)</f>
      </c>
      <c r="AJ680">
        <f>IF(ISBLANK('Data Entry'!$d$680), "", 'Data Entry'!$d$680)</f>
      </c>
      <c r="AK680">
        <f>IF(ISBLANK('Data Entry'!$e$680), "", 'Data Entry'!$e$680)</f>
      </c>
      <c r="AL680">
        <f>IF(ISBLANK('Data Entry'!$f$680), "", 'Data Entry'!$f$680)</f>
      </c>
      <c r="AM680">
        <f>IF(ISBLANK('Data Entry'!$g$680), "", 'Data Entry'!$g$680)</f>
      </c>
      <c r="AN680">
        <f>IF(ISBLANK('Data Entry'!$h$680), "", 'Data Entry'!$h$680)</f>
      </c>
      <c r="AO680">
        <f>IF(ISBLANK('Data Entry'!$i$680), "", 'Data Entry'!$i$680)</f>
      </c>
      <c r="AP680">
        <f>IF(ISBLANK('Data Entry'!$j$680), "", 'Data Entry'!$j$680)</f>
      </c>
      <c r="AQ680">
        <f>IF(ISBLANK('Data Entry'!$k$680), "", 'Data Entry'!$k$680)</f>
      </c>
      <c r="AR680">
        <f>IF(ISBLANK('Data Entry'!$l$680), "", 'Data Entry'!$l$680)</f>
      </c>
      <c r="AS680">
        <f>IF(ISBLANK('Data Entry'!$m$680), "", 'Data Entry'!$m$680)</f>
      </c>
      <c r="AT680">
        <f>IF(ISBLANK('Data Entry'!$n$680), "", 'Data Entry'!$n$680)</f>
      </c>
      <c r="AU680">
        <f>IF(ISBLANK('Data Entry'!$o$680), "", 'Data Entry'!$o$680)</f>
      </c>
      <c r="AV680">
        <f>IF(ISBLANK('Data Entry'!$p$680), "", 'Data Entry'!$p$680)</f>
      </c>
      <c r="AW680">
        <f>IF(ISBLANK('Data Entry'!$q$680), "", 'Data Entry'!$q$680)</f>
      </c>
      <c r="AX680">
        <f>IF(ISBLANK('Data Entry'!$r$680), "", 'Data Entry'!$r$680)</f>
      </c>
      <c r="AY680">
        <f>IF(ISBLANK('Data Entry'!$s$680), "", 'Data Entry'!$s$680)</f>
      </c>
      <c r="AZ680">
        <f>IF(ISBLANK('Data Entry'!$t$680), "", 'Data Entry'!$t$680)</f>
      </c>
      <c r="BA680">
        <f>IF(ISBLANK('Data Entry'!$u$680), "", 'Data Entry'!$u$680)</f>
      </c>
      <c r="BB680">
        <f>IF(ISBLANK('Data Entry'!$v$680), "", 'Data Entry'!$v$680)</f>
      </c>
      <c r="BC680">
        <f>IF(ISBLANK('Data Entry'!$w$680), "", 'Data Entry'!$w$680)</f>
      </c>
      <c r="BD680">
        <f>IF(ISBLANK('Data Entry'!$x$680), "", 'Data Entry'!$x$680)</f>
      </c>
      <c r="BE680">
        <f>IF(ISBLANK('Data Entry'!$y$680), "", 'Data Entry'!$y$680)</f>
      </c>
      <c r="BF680">
        <f>IF(ISBLANK('Data Entry'!$z$680), "", 'Data Entry'!$z$680)</f>
      </c>
      <c r="BG680">
        <f>IF(ISBLANK('Data Entry'!${$680), "", 'Data Entry'!${$680)</f>
      </c>
      <c r="BH680">
        <f>IF(ISBLANK('Data Entry'!$|$680), "", 'Data Entry'!$|$680)</f>
      </c>
      <c r="BI680">
        <f>IF(ISBLANK('Data Entry'!$}$680), "", 'Data Entry'!$}$680)</f>
      </c>
      <c r="BJ680">
        <f>IF(ISBLANK('Data Entry'!$~$680), "", 'Data Entry'!$~$680)</f>
      </c>
      <c r="BK680">
        <f>IF(ISBLANK('Data Entry'!$$680), "", 'Data Entry'!$$680)</f>
      </c>
      <c r="BL680">
        <f>IF(ISBLANK('Data Entry'!$$680), "", 'Data Entry'!$$680)</f>
      </c>
      <c r="BM680">
        <f>IF(ISBLANK('Data Entry'!$$680), "", 'Data Entry'!$$680)</f>
      </c>
      <c r="BN680">
        <f>IF(ISBLANK('Data Entry'!$$680), "", 'Data Entry'!$$680)</f>
      </c>
      <c r="BO680">
        <f>IF(ISBLANK('Data Entry'!$$680), "", 'Data Entry'!$$680)</f>
      </c>
      <c r="BP680">
        <f>IF(ISBLANK('Data Entry'!$$680), "", 'Data Entry'!$$680)</f>
      </c>
      <c r="BQ680">
        <f>IF(ISBLANK('Data Entry'!$$680), "", 'Data Entry'!$$680)</f>
      </c>
      <c r="BR680">
        <f>IF(ISBLANK('Data Entry'!$$680), "", 'Data Entry'!$$680)</f>
      </c>
      <c r="BS680">
        <f>IF(ISBLANK('Data Entry'!$$680), "", 'Data Entry'!$$680)</f>
      </c>
      <c r="BT680">
        <f>IF(ISBLANK('Data Entry'!$$680), "", 'Data Entry'!$$680)</f>
      </c>
      <c r="BU680">
        <f>IF(ISBLANK('Data Entry'!$$680), "", 'Data Entry'!$$680)</f>
      </c>
      <c r="BV680">
        <f>IF(ISBLANK('Data Entry'!$$680), "", 'Data Entry'!$$680)</f>
      </c>
      <c r="BW680">
        <f>IF(ISBLANK('Data Entry'!$$680), "", 'Data Entry'!$$680)</f>
      </c>
      <c r="BX680">
        <f>IF(ISBLANK('Data Entry'!$$680), "", 'Data Entry'!$$680)</f>
      </c>
      <c r="BY680">
        <f>IF(ISBLANK('Data Entry'!$$680), "", 'Data Entry'!$$680)</f>
      </c>
      <c r="BZ680">
        <f>IF(ISBLANK('Data Entry'!$$680), "", 'Data Entry'!$$680)</f>
      </c>
      <c r="CA680">
        <f>IF(ISBLANK('Data Entry'!$$680), "", 'Data Entry'!$$680)</f>
      </c>
      <c r="CB680">
        <f>IF(ISBLANK('Data Entry'!$$680), "", 'Data Entry'!$$680)</f>
      </c>
      <c r="CC680">
        <f>IF(ISBLANK('Data Entry'!$$680), "", 'Data Entry'!$$680)</f>
      </c>
      <c r="CD680">
        <f>IF(ISBLANK('Data Entry'!$$680), "", 'Data Entry'!$$680)</f>
      </c>
      <c r="CE680">
        <f>IF(ISBLANK('Data Entry'!$$680), "", 'Data Entry'!$$680)</f>
      </c>
      <c r="CF680">
        <f>IF(ISBLANK('Data Entry'!$$680), "", 'Data Entry'!$$680)</f>
      </c>
      <c r="CG680">
        <f>IF(ISBLANK('Data Entry'!$$680), "", 'Data Entry'!$$680)</f>
      </c>
      <c r="CH680">
        <f>IF(ISBLANK('Data Entry'!$$680), "", 'Data Entry'!$$680)</f>
      </c>
      <c r="CI680">
        <f>IF(ISBLANK('Data Entry'!$$680), "", 'Data Entry'!$$680)</f>
      </c>
      <c r="CJ680">
        <f>IF(ISBLANK('Data Entry'!$$680), "", 'Data Entry'!$$680)</f>
      </c>
      <c r="CK680">
        <f>IF(ISBLANK('Data Entry'!$$680), "", 'Data Entry'!$$680)</f>
      </c>
      <c r="CL680">
        <f>IF(ISBLANK('Data Entry'!$$680), "", 'Data Entry'!$$680)</f>
      </c>
      <c r="CM680">
        <f>IF(ISBLANK('Data Entry'!$$680), "", 'Data Entry'!$$680)</f>
      </c>
      <c r="CN680">
        <f>IF(ISBLANK('Data Entry'!$$680), "", 'Data Entry'!$$680)</f>
      </c>
      <c r="CO680">
        <f>IF(ISBLANK('Data Entry'!$$680), "", 'Data Entry'!$$680)</f>
      </c>
      <c r="CP680">
        <f>IF(ISBLANK('Data Entry'!$$680), "", 'Data Entry'!$$680)</f>
      </c>
      <c r="CQ680">
        <f>IF(ISBLANK('Data Entry'!$$680), "", 'Data Entry'!$$680)</f>
      </c>
      <c r="CR680">
        <f>IF(ISBLANK('Data Entry'!$ $680), "", 'Data Entry'!$ $680)</f>
      </c>
      <c r="CS680">
        <f>IF(ISBLANK('Data Entry'!$¡$680), "", 'Data Entry'!$¡$680)</f>
      </c>
      <c r="CT680">
        <f>IF(ISBLANK('Data Entry'!$¢$680), "", 'Data Entry'!$¢$680)</f>
      </c>
      <c r="CU680">
        <f>IF(ISBLANK('Data Entry'!$£$680), "", 'Data Entry'!$£$680)</f>
      </c>
      <c r="CV680">
        <f>IF(ISBLANK('Data Entry'!$¤$680), "", 'Data Entry'!$¤$680)</f>
      </c>
      <c r="CW680">
        <f>IF(ISBLANK('Data Entry'!$¥$680), "", 'Data Entry'!$¥$680)</f>
      </c>
      <c r="CX680">
        <f>IF(ISBLANK('Data Entry'!$¦$680), "", 'Data Entry'!$¦$680)</f>
      </c>
      <c r="CY680">
        <f>IF(ISBLANK('Data Entry'!$§$680), "", 'Data Entry'!$§$680)</f>
      </c>
      <c r="CZ680">
        <f>IF(ISBLANK('Data Entry'!$¨$680), "", 'Data Entry'!$¨$680)</f>
      </c>
      <c r="DA680">
        <f>IF(ISBLANK('Data Entry'!$©$680), "", 'Data Entry'!$©$680)</f>
      </c>
      <c r="DB680">
        <f>IF(ISBLANK('Data Entry'!$ª$680), "", 'Data Entry'!$ª$680)</f>
      </c>
      <c r="DC680">
        <f>IF(ISBLANK('Data Entry'!$«$680), "", 'Data Entry'!$«$680)</f>
      </c>
      <c r="DD680">
        <f>IF(ISBLANK('Data Entry'!$¬$680), "", 'Data Entry'!$¬$680)</f>
      </c>
      <c r="DE680">
        <f>IF(ISBLANK('Data Entry'!$­$680), "", 'Data Entry'!$­$680)</f>
      </c>
      <c r="DF680">
        <f>IF(ISBLANK('Data Entry'!$®$680), "", 'Data Entry'!$®$680)</f>
      </c>
      <c r="DG680">
        <f>IF(ISBLANK('Data Entry'!$¯$680), "", 'Data Entry'!$¯$680)</f>
      </c>
      <c r="DH680">
        <f>IF(ISBLANK('Data Entry'!$°$680), "", 'Data Entry'!$°$680)</f>
      </c>
      <c r="DI680">
        <f>IF(ISBLANK('Data Entry'!$±$680), "", 'Data Entry'!$±$680)</f>
      </c>
      <c r="DJ680">
        <f>IF(ISBLANK('Data Entry'!$²$680), "", 'Data Entry'!$²$680)</f>
      </c>
      <c r="DK680">
        <f>IF(ISBLANK('Data Entry'!$³$680), "", 'Data Entry'!$³$680)</f>
      </c>
      <c r="DL680">
        <f>IF(ISBLANK('Data Entry'!$´$680), "", 'Data Entry'!$´$680)</f>
      </c>
      <c r="DM680">
        <f>IF(ISBLANK('Data Entry'!$µ$680), "", 'Data Entry'!$µ$680)</f>
      </c>
      <c r="DN680">
        <f>IF(ISBLANK('Data Entry'!$¶$680), "", 'Data Entry'!$¶$680)</f>
      </c>
      <c r="DO680">
        <f>IF(ISBLANK('Data Entry'!$·$680), "", 'Data Entry'!$·$680)</f>
      </c>
      <c r="DP680">
        <f>IF(ISBLANK('Data Entry'!$¸$680), "", 'Data Entry'!$¸$680)</f>
      </c>
      <c r="DQ680">
        <f>IF(ISBLANK('Data Entry'!$¹$680), "", 'Data Entry'!$¹$680)</f>
      </c>
      <c r="DR680">
        <f>IF(ISBLANK('Data Entry'!$º$680), "", 'Data Entry'!$º$680)</f>
      </c>
      <c r="DS680">
        <f>IF(ISBLANK('Data Entry'!$»$680), "", 'Data Entry'!$»$680)</f>
      </c>
      <c r="DT680">
        <f>IF(ISBLANK('Data Entry'!$¼$680), "", 'Data Entry'!$¼$680)</f>
      </c>
      <c r="DU680">
        <f>IF(ISBLANK('Data Entry'!$½$680), "", 'Data Entry'!$½$680)</f>
      </c>
      <c r="DV680">
        <f>IF(ISBLANK('Data Entry'!$¾$680), "", 'Data Entry'!$¾$680)</f>
      </c>
      <c r="DW680">
        <f>IF(ISBLANK('Data Entry'!$¿$680), "", 'Data Entry'!$¿$680)</f>
      </c>
      <c r="DX680">
        <f>IF(ISBLANK('Data Entry'!$À$680), "", 'Data Entry'!$À$680)</f>
      </c>
      <c r="DY680">
        <f>IF(ISBLANK('Data Entry'!$Á$680), "", 'Data Entry'!$Á$680)</f>
      </c>
      <c r="DZ680">
        <f>IF(ISBLANK('Data Entry'!$Â$680), "", 'Data Entry'!$Â$680)</f>
      </c>
      <c r="EA680">
        <f>IF(ISBLANK('Data Entry'!$Ã$680), "", 'Data Entry'!$Ã$680)</f>
      </c>
      <c r="EB680">
        <f>IF(ISBLANK('Data Entry'!$Ä$680), "", 'Data Entry'!$Ä$680)</f>
      </c>
      <c r="EC680">
        <f>IF(ISBLANK('Data Entry'!$Å$680), "", 'Data Entry'!$Å$680)</f>
      </c>
      <c r="ED680">
        <f>IF(ISBLANK('Data Entry'!$Æ$680), "", 'Data Entry'!$Æ$680)</f>
      </c>
      <c r="EE680">
        <f>IF(ISBLANK('Data Entry'!$Ç$680), "", 'Data Entry'!$Ç$680)</f>
      </c>
      <c r="EF680">
        <f>IF(ISBLANK('Data Entry'!$È$680), "", 'Data Entry'!$È$680)</f>
      </c>
      <c r="EG680">
        <f>IF(ISBLANK('Data Entry'!$É$680), "", 'Data Entry'!$É$680)</f>
      </c>
      <c r="EH680">
        <f>IF(ISBLANK('Data Entry'!$Ê$680), "", 'Data Entry'!$Ê$680)</f>
      </c>
      <c r="EI680">
        <f>IF(ISBLANK('Data Entry'!$Ë$680), "", 'Data Entry'!$Ë$680)</f>
      </c>
      <c r="EJ680">
        <f>IF(ISBLANK('Data Entry'!$Ì$680), "", 'Data Entry'!$Ì$680)</f>
      </c>
      <c r="EK680">
        <f>IF(ISBLANK('Data Entry'!$Í$680), "", 'Data Entry'!$Í$680)</f>
      </c>
      <c r="EL680">
        <f>IF(ISBLANK('Data Entry'!$Î$680), "", 'Data Entry'!$Î$680)</f>
      </c>
      <c r="EM680">
        <f>IF(ISBLANK('Data Entry'!$Ï$680), "", 'Data Entry'!$Ï$680)</f>
      </c>
      <c r="EN680">
        <f>IF(ISBLANK('Data Entry'!$Ð$680), "", 'Data Entry'!$Ð$680)</f>
      </c>
      <c r="EO680">
        <f>IF(ISBLANK('Data Entry'!$Ñ$680), "", 'Data Entry'!$Ñ$680)</f>
      </c>
      <c r="EP680">
        <f>IF(ISBLANK('Data Entry'!$Ò$680), "", 'Data Entry'!$Ò$680)</f>
      </c>
      <c r="EQ680">
        <f>IF(ISBLANK('Data Entry'!$Ó$680), "", 'Data Entry'!$Ó$680)</f>
      </c>
      <c r="ER680">
        <f>IF(ISBLANK('Data Entry'!$Ô$680), "", 'Data Entry'!$Ô$680)</f>
      </c>
      <c r="ES680">
        <f>IF(ISBLANK('Data Entry'!$Õ$680), "", 'Data Entry'!$Õ$680)</f>
      </c>
      <c r="ET680">
        <f>IF(ISBLANK('Data Entry'!$Ö$680), "", 'Data Entry'!$Ö$680)</f>
      </c>
      <c r="EU680">
        <f>IF(ISBLANK('Data Entry'!$×$680), "", 'Data Entry'!$×$680)</f>
      </c>
      <c r="EV680">
        <f>IF(ISBLANK('Data Entry'!$Ø$680), "", 'Data Entry'!$Ø$680)</f>
      </c>
      <c r="EW680">
        <f>IF(ISBLANK('Data Entry'!$Ù$680), "", 'Data Entry'!$Ù$680)</f>
      </c>
      <c r="EX680">
        <f>IF(ISBLANK('Data Entry'!$Ú$680), "", 'Data Entry'!$Ú$680)</f>
      </c>
      <c r="EY680">
        <f>IF(ISBLANK('Data Entry'!$Û$680), "", 'Data Entry'!$Û$680)</f>
      </c>
      <c r="EZ680">
        <f>IF(ISBLANK('Data Entry'!$Ü$680), "", 'Data Entry'!$Ü$680)</f>
      </c>
      <c r="FA680">
        <f>IF(ISBLANK('Data Entry'!$Ý$680), "", 'Data Entry'!$Ý$680)</f>
      </c>
      <c r="FB680">
        <f>IF(ISBLANK('Data Entry'!$Þ$680), "", 'Data Entry'!$Þ$680)</f>
      </c>
      <c r="FC680">
        <f>IF(ISBLANK('Data Entry'!$ß$680), "", 'Data Entry'!$ß$680)</f>
      </c>
      <c r="FD680">
        <f>IF(ISBLANK('Data Entry'!$à$680), "", 'Data Entry'!$à$680)</f>
      </c>
      <c r="FE680">
        <f>IF(ISBLANK('Data Entry'!$á$680), "", 'Data Entry'!$á$680)</f>
      </c>
      <c r="FF680">
        <f>IF(ISBLANK('Data Entry'!$â$680), "", 'Data Entry'!$â$680)</f>
      </c>
      <c r="FG680">
        <f>IF(ISBLANK('Data Entry'!$ã$680), "", 'Data Entry'!$ã$680)</f>
      </c>
      <c r="FH680">
        <f>IF(ISBLANK('Data Entry'!$ä$680), "", 'Data Entry'!$ä$680)</f>
      </c>
      <c r="FI680">
        <f>IF(ISBLANK('Data Entry'!$å$680), "", 'Data Entry'!$å$680)</f>
      </c>
      <c r="FJ680">
        <f>IF(ISBLANK('Data Entry'!$æ$680), "", 'Data Entry'!$æ$680)</f>
      </c>
      <c r="FK680">
        <f>IF(ISBLANK('Data Entry'!$ç$680), "", 'Data Entry'!$ç$680)</f>
      </c>
      <c r="FL680">
        <f>IF(ISBLANK('Data Entry'!$è$680), "", 'Data Entry'!$è$680)</f>
      </c>
      <c r="FM680">
        <f>IF(ISBLANK('Data Entry'!$é$680), "", 'Data Entry'!$é$680)</f>
      </c>
      <c r="FN680">
        <f>IF(ISBLANK('Data Entry'!$ê$680), "", 'Data Entry'!$ê$680)</f>
      </c>
      <c r="FO680">
        <f>IF(ISBLANK('Data Entry'!$ë$680), "", 'Data Entry'!$ë$680)</f>
      </c>
      <c r="FP680">
        <f>IF(ISBLANK('Data Entry'!$ì$680), "", 'Data Entry'!$ì$680)</f>
      </c>
      <c r="FQ680">
        <f>IF(ISBLANK('Data Entry'!$í$680), "", 'Data Entry'!$í$680)</f>
      </c>
      <c r="FR680">
        <f>IF(ISBLANK('Data Entry'!$î$680), "", 'Data Entry'!$î$680)</f>
      </c>
      <c r="FS680">
        <f>IF(ISBLANK('Data Entry'!$ï$680), "", 'Data Entry'!$ï$680)</f>
      </c>
      <c r="FT680">
        <f>IF(ISBLANK('Data Entry'!$ð$680), "", 'Data Entry'!$ð$680)</f>
      </c>
      <c r="FU680">
        <f>IF(ISBLANK('Data Entry'!$ñ$680), "", 'Data Entry'!$ñ$680)</f>
      </c>
      <c r="FV680">
        <f>IF(ISBLANK('Data Entry'!$ò$680), "", 'Data Entry'!$ò$680)</f>
      </c>
      <c r="FW680">
        <f>IF(ISBLANK('Data Entry'!$ó$680), "", 'Data Entry'!$ó$680)</f>
      </c>
      <c r="FX680">
        <f>IF(ISBLANK('Data Entry'!$ô$680), "", 'Data Entry'!$ô$680)</f>
      </c>
      <c r="FY680">
        <f>IF(ISBLANK('Data Entry'!$õ$680), "", 'Data Entry'!$õ$680)</f>
      </c>
      <c r="FZ680">
        <f>IF(ISBLANK('Data Entry'!$ö$680), "", 'Data Entry'!$ö$680)</f>
      </c>
      <c r="GA680">
        <f>IF(ISBLANK('Data Entry'!$÷$680), "", 'Data Entry'!$÷$680)</f>
      </c>
      <c r="GB680">
        <f>IF(ISBLANK('Data Entry'!$ø$680), "", 'Data Entry'!$ø$680)</f>
      </c>
      <c r="GC680">
        <f>IF(ISBLANK('Data Entry'!$ù$680), "", 'Data Entry'!$ù$680)</f>
      </c>
      <c r="GD680">
        <f>IF(ISBLANK('Data Entry'!$ú$680), "", 'Data Entry'!$ú$680)</f>
      </c>
      <c r="GE680">
        <f>IF(ISBLANK('Data Entry'!$û$680), "", 'Data Entry'!$û$680)</f>
      </c>
      <c r="GF680">
        <f>IF(ISBLANK('Data Entry'!$ü$680), "", 'Data Entry'!$ü$680)</f>
      </c>
      <c r="GG680">
        <f>IF(ISBLANK('Data Entry'!$ý$680), "", 'Data Entry'!$ý$680)</f>
      </c>
      <c r="GH680">
        <f>IF(ISBLANK('Data Entry'!$þ$680), "", 'Data Entry'!$þ$680)</f>
      </c>
      <c r="GI680">
        <f>IF(ISBLANK('Data Entry'!$ÿ$680), "", 'Data Entry'!$ÿ$680)</f>
      </c>
      <c r="GJ680">
        <f>IF(ISBLANK('Data Entry'!$Ā$680), "", 'Data Entry'!$Ā$680)</f>
      </c>
      <c r="GK680">
        <f>IF(ISBLANK('Data Entry'!$ā$680), "", 'Data Entry'!$ā$680)</f>
      </c>
      <c r="GL680">
        <f>IF(ISBLANK('Data Entry'!$Ă$680), "", 'Data Entry'!$Ă$680)</f>
      </c>
      <c r="GM680">
        <f>IF(ISBLANK('Data Entry'!$ă$680), "", 'Data Entry'!$ă$680)</f>
      </c>
      <c r="GN680">
        <f>IF(ISBLANK('Data Entry'!$Ą$680), "", 'Data Entry'!$Ą$680)</f>
      </c>
      <c r="GO680">
        <f>IF(ISBLANK('Data Entry'!$ą$680), "", 'Data Entry'!$ą$680)</f>
      </c>
      <c r="GP680">
        <f>IF(ISBLANK('Data Entry'!$Ć$680), "", 'Data Entry'!$Ć$680)</f>
      </c>
      <c r="GQ680">
        <f>IF(ISBLANK('Data Entry'!$ć$680), "", 'Data Entry'!$ć$680)</f>
      </c>
      <c r="GR680">
        <f>IF(ISBLANK('Data Entry'!$Ĉ$680), "", 'Data Entry'!$Ĉ$680)</f>
      </c>
      <c r="GS680">
        <f>IF(ISBLANK('Data Entry'!$ĉ$680), "", 'Data Entry'!$ĉ$680)</f>
      </c>
      <c r="GT680">
        <f>IF(ISBLANK('Data Entry'!$Ċ$680), "", 'Data Entry'!$Ċ$680)</f>
      </c>
      <c r="GU680">
        <f>IF(ISBLANK('Data Entry'!$ċ$680), "", 'Data Entry'!$ċ$680)</f>
      </c>
      <c r="GV680">
        <f>IF(ISBLANK('Data Entry'!$Č$680), "", 'Data Entry'!$Č$680)</f>
      </c>
      <c r="GW680">
        <f>IF(ISBLANK('Data Entry'!$č$680), "", 'Data Entry'!$č$680)</f>
      </c>
      <c r="GX680">
        <f>IF(ISBLANK('Data Entry'!$Ď$680), "", 'Data Entry'!$Ď$680)</f>
      </c>
      <c r="GY680">
        <f>IF(ISBLANK('Data Entry'!$ď$680), "", 'Data Entry'!$ď$680)</f>
      </c>
      <c r="GZ680">
        <f>IF(ISBLANK('Data Entry'!$Đ$680), "", 'Data Entry'!$Đ$680)</f>
      </c>
      <c r="HA680">
        <f>IF(ISBLANK('Data Entry'!$đ$680), "", 'Data Entry'!$đ$680)</f>
      </c>
      <c r="HB680">
        <f>IF(ISBLANK('Data Entry'!$Ē$680), "", 'Data Entry'!$Ē$680)</f>
      </c>
      <c r="HC680">
        <f>IF(ISBLANK('Data Entry'!$ē$680), "", 'Data Entry'!$ē$680)</f>
      </c>
      <c r="HD680">
        <f>IF(ISBLANK('Data Entry'!$Ĕ$680), "", 'Data Entry'!$Ĕ$680)</f>
      </c>
      <c r="HE680">
        <f>IF(ISBLANK('Data Entry'!$ĕ$680), "", 'Data Entry'!$ĕ$680)</f>
      </c>
      <c r="HF680">
        <f>IF(ISBLANK('Data Entry'!$Ė$680), "", 'Data Entry'!$Ė$680)</f>
      </c>
      <c r="HG680">
        <f>IF(ISBLANK('Data Entry'!$ė$680), "", 'Data Entry'!$ė$680)</f>
      </c>
      <c r="HH680">
        <f>IF(ISBLANK('Data Entry'!$Ę$680), "", 'Data Entry'!$Ę$680)</f>
      </c>
      <c r="HI680">
        <f>IF(ISBLANK('Data Entry'!$ę$680), "", 'Data Entry'!$ę$680)</f>
      </c>
      <c r="HJ680">
        <f>IF(ISBLANK('Data Entry'!$Ě$680), "", 'Data Entry'!$Ě$680)</f>
      </c>
      <c r="HK680">
        <f>IF(ISBLANK('Data Entry'!$ě$680), "", 'Data Entry'!$ě$680)</f>
      </c>
      <c r="HL680">
        <f>IF(ISBLANK('Data Entry'!$Ĝ$680), "", 'Data Entry'!$Ĝ$680)</f>
      </c>
      <c r="HM680">
        <f>IF(ISBLANK('Data Entry'!$ĝ$680), "", 'Data Entry'!$ĝ$680)</f>
      </c>
      <c r="HN680">
        <f>IF(ISBLANK('Data Entry'!$Ğ$680), "", 'Data Entry'!$Ğ$680)</f>
      </c>
      <c r="HO680">
        <f>IF(ISBLANK('Data Entry'!$ğ$680), "", 'Data Entry'!$ğ$680)</f>
      </c>
      <c r="HP680">
        <f>IF(ISBLANK('Data Entry'!$Ġ$680), "", 'Data Entry'!$Ġ$680)</f>
      </c>
      <c r="HQ680">
        <f>IF(ISBLANK('Data Entry'!$ġ$680), "", 'Data Entry'!$ġ$680)</f>
      </c>
      <c r="HR680">
        <f>IF(ISBLANK('Data Entry'!$Ģ$680), "", 'Data Entry'!$Ģ$680)</f>
      </c>
      <c r="HS680">
        <f>IF(ISBLANK('Data Entry'!$ģ$680), "", 'Data Entry'!$ģ$680)</f>
      </c>
      <c r="HT680">
        <f>IF(ISBLANK('Data Entry'!$Ĥ$680), "", 'Data Entry'!$Ĥ$680)</f>
      </c>
      <c r="HU680">
        <f>IF(ISBLANK('Data Entry'!$ĥ$680), "", 'Data Entry'!$ĥ$680)</f>
      </c>
      <c r="HV680">
        <f>IF(ISBLANK('Data Entry'!$Ħ$680), "", 'Data Entry'!$Ħ$680)</f>
      </c>
      <c r="HW680">
        <f>IF(ISBLANK('Data Entry'!$ħ$680), "", 'Data Entry'!$ħ$680)</f>
      </c>
      <c r="HX680">
        <f>IF(ISBLANK('Data Entry'!$Ĩ$680), "", 'Data Entry'!$Ĩ$680)</f>
      </c>
      <c r="HY680">
        <f>IF(ISBLANK('Data Entry'!$ĩ$680), "", 'Data Entry'!$ĩ$680)</f>
      </c>
      <c r="HZ680">
        <f>IF(ISBLANK('Data Entry'!$Ī$680), "", 'Data Entry'!$Ī$680)</f>
      </c>
      <c r="IA680">
        <f>IF(ISBLANK('Data Entry'!$ī$680), "", 'Data Entry'!$ī$680)</f>
      </c>
      <c r="IB680">
        <f>IF(ISBLANK('Data Entry'!$Ĭ$680), "", 'Data Entry'!$Ĭ$680)</f>
      </c>
      <c r="IC680">
        <f>IF(ISBLANK('Data Entry'!$ĭ$680), "", 'Data Entry'!$ĭ$680)</f>
      </c>
      <c r="ID680">
        <f>IF(ISBLANK('Data Entry'!$Į$680), "", 'Data Entry'!$Į$680)</f>
      </c>
      <c r="IE680">
        <f>IF(ISBLANK('Data Entry'!$į$680), "", 'Data Entry'!$į$680)</f>
      </c>
      <c r="IF680">
        <f>IF(ISBLANK('Data Entry'!$İ$680), "", 'Data Entry'!$İ$680)</f>
      </c>
      <c r="IG680">
        <f>IF(ISBLANK('Data Entry'!$ı$680), "", 'Data Entry'!$ı$680)</f>
      </c>
      <c r="IH680">
        <f>IF(ISBLANK('Data Entry'!$Ĳ$680), "", 'Data Entry'!$Ĳ$680)</f>
      </c>
      <c r="II680">
        <f>IF(ISBLANK('Data Entry'!$ĳ$680), "", 'Data Entry'!$ĳ$680)</f>
      </c>
      <c r="IJ680">
        <f>IF(ISBLANK('Data Entry'!$Ĵ$680), "", 'Data Entry'!$Ĵ$680)</f>
      </c>
      <c r="IK680">
        <f>IF(ISBLANK('Data Entry'!$ĵ$680), "", 'Data Entry'!$ĵ$680)</f>
      </c>
      <c r="IL680">
        <f>IF(ISBLANK('Data Entry'!$Ķ$680), "", 'Data Entry'!$Ķ$680)</f>
      </c>
      <c r="IM680">
        <f>IF(ISBLANK('Data Entry'!$ķ$680), "", 'Data Entry'!$ķ$680)</f>
      </c>
      <c r="IN680">
        <f>IF(ISBLANK('Data Entry'!$ĸ$680), "", 'Data Entry'!$ĸ$680)</f>
      </c>
      <c r="IO680">
        <f>IF(ISBLANK('Data Entry'!$Ĺ$680), "", 'Data Entry'!$Ĺ$680)</f>
      </c>
      <c r="IP680">
        <f>IF(ISBLANK('Data Entry'!$ĺ$680), "", 'Data Entry'!$ĺ$680)</f>
      </c>
      <c r="IQ680">
        <f>IF(ISBLANK('Data Entry'!$Ļ$680), "", 'Data Entry'!$Ļ$680)</f>
      </c>
      <c r="IR680">
        <f>IF(ISBLANK('Data Entry'!$ļ$680), "", 'Data Entry'!$ļ$680)</f>
      </c>
      <c r="IS680">
        <f>IF(ISBLANK('Data Entry'!$Ľ$680), "", 'Data Entry'!$Ľ$680)</f>
      </c>
      <c r="IT680">
        <f>IF(ISBLANK('Data Entry'!$ľ$680), "", 'Data Entry'!$ľ$680)</f>
      </c>
    </row>
    <row r="681" spans="1:254" x14ac:dyDescent="0.25">
      <c r="A681">
        <f>IF(ISBLANK('Data Entry'!$A$681), "", 'Data Entry'!$A$681)</f>
      </c>
      <c r="B681">
        <f>IF(ISBLANK('Data Entry'!$B$681), "", 'Data Entry'!$B$681)</f>
      </c>
      <c r="C681">
        <f>IF(ISBLANK('Data Entry'!$C$681), "", 'Data Entry'!$C$681)</f>
      </c>
      <c r="D681">
        <f>IF(ISBLANK('Data Entry'!$D$681), "", 'Data Entry'!$D$681)</f>
      </c>
      <c r="E681">
        <f>IF(ISBLANK('Data Entry'!$E$681), "", 'Data Entry'!$E$681)</f>
      </c>
      <c r="F681">
        <f>IF(ISBLANK('Data Entry'!$F$681), "", 'Data Entry'!$F$681)</f>
      </c>
      <c r="G681">
        <f>IF(ISBLANK('Data Entry'!$G$681), "", 'Data Entry'!$G$681)</f>
      </c>
      <c r="H681">
        <f>IF(ISBLANK('Data Entry'!$H$681), "", 'Data Entry'!$H$681)</f>
      </c>
      <c r="I681">
        <f>IF(ISBLANK('Data Entry'!$I$681), "", 'Data Entry'!$I$681)</f>
      </c>
      <c r="J681">
        <f>IF(ISBLANK('Data Entry'!$J$681), "", 'Data Entry'!$J$681)</f>
      </c>
      <c r="K681">
        <f>IF(ISBLANK('Data Entry'!$K$681), "", 'Data Entry'!$K$681)</f>
      </c>
      <c r="L681">
        <f>IF(ISBLANK('Data Entry'!$L$681), "", 'Data Entry'!$L$681)</f>
      </c>
      <c r="M681">
        <f>IF(ISBLANK('Data Entry'!$M$681), "", 'Data Entry'!$M$681)</f>
      </c>
      <c r="N681">
        <f>IF(ISBLANK('Data Entry'!$N$681), "", 'Data Entry'!$N$681)</f>
      </c>
      <c r="O681">
        <f>IF(ISBLANK('Data Entry'!$O$681), "", 'Data Entry'!$O$681)</f>
      </c>
      <c r="P681">
        <f>IF(ISBLANK('Data Entry'!$P$681), "", 'Data Entry'!$P$681)</f>
      </c>
      <c r="Q681">
        <f>IF(ISBLANK('Data Entry'!$Q$681), "", 'Data Entry'!$Q$681)</f>
      </c>
      <c r="R681">
        <f>IF(ISBLANK('Data Entry'!$R$681), "", 'Data Entry'!$R$681)</f>
      </c>
      <c r="S681">
        <f>IF(ISBLANK('Data Entry'!$S$681), "", 'Data Entry'!$S$681)</f>
      </c>
      <c r="T681">
        <f>IF(ISBLANK('Data Entry'!$T$681), "", 'Data Entry'!$T$681)</f>
      </c>
      <c r="U681">
        <f>IF(ISBLANK('Data Entry'!$U$681), "", 'Data Entry'!$U$681)</f>
      </c>
      <c r="V681">
        <f>IF(ISBLANK('Data Entry'!$V$681), "", 'Data Entry'!$V$681)</f>
      </c>
      <c r="W681">
        <f>IF(ISBLANK('Data Entry'!$W$681), "", 'Data Entry'!$W$681)</f>
      </c>
      <c r="X681">
        <f>IF(ISBLANK('Data Entry'!$X$681), "", 'Data Entry'!$X$681)</f>
      </c>
      <c r="Y681">
        <f>IF(ISBLANK('Data Entry'!$Y$681), "", 'Data Entry'!$Y$681)</f>
      </c>
      <c r="Z681">
        <f>IF(ISBLANK('Data Entry'!$Z$681), "", 'Data Entry'!$Z$681)</f>
      </c>
      <c r="AA681">
        <f>IF(ISBLANK('Data Entry'!$[$681), "", 'Data Entry'!$[$681)</f>
      </c>
      <c r="AB681">
        <f>IF(ISBLANK('Data Entry'!$\$681), "", 'Data Entry'!$\$681)</f>
      </c>
      <c r="AC681">
        <f>IF(ISBLANK('Data Entry'!$]$681), "", 'Data Entry'!$]$681)</f>
      </c>
      <c r="AD681">
        <f>IF(ISBLANK('Data Entry'!$^$681), "", 'Data Entry'!$^$681)</f>
      </c>
      <c r="AE681">
        <f>IF(ISBLANK('Data Entry'!$_$681), "", 'Data Entry'!$_$681)</f>
      </c>
      <c r="AF681">
        <f>IF(ISBLANK('Data Entry'!$`$681), "", 'Data Entry'!$`$681)</f>
      </c>
      <c r="AG681">
        <f>IF(ISBLANK('Data Entry'!$a$681), "", 'Data Entry'!$a$681)</f>
      </c>
      <c r="AH681">
        <f>IF(ISBLANK('Data Entry'!$b$681), "", 'Data Entry'!$b$681)</f>
      </c>
      <c r="AI681">
        <f>IF(ISBLANK('Data Entry'!$c$681), "", 'Data Entry'!$c$681)</f>
      </c>
      <c r="AJ681">
        <f>IF(ISBLANK('Data Entry'!$d$681), "", 'Data Entry'!$d$681)</f>
      </c>
      <c r="AK681">
        <f>IF(ISBLANK('Data Entry'!$e$681), "", 'Data Entry'!$e$681)</f>
      </c>
      <c r="AL681">
        <f>IF(ISBLANK('Data Entry'!$f$681), "", 'Data Entry'!$f$681)</f>
      </c>
      <c r="AM681">
        <f>IF(ISBLANK('Data Entry'!$g$681), "", 'Data Entry'!$g$681)</f>
      </c>
      <c r="AN681">
        <f>IF(ISBLANK('Data Entry'!$h$681), "", 'Data Entry'!$h$681)</f>
      </c>
      <c r="AO681">
        <f>IF(ISBLANK('Data Entry'!$i$681), "", 'Data Entry'!$i$681)</f>
      </c>
      <c r="AP681">
        <f>IF(ISBLANK('Data Entry'!$j$681), "", 'Data Entry'!$j$681)</f>
      </c>
      <c r="AQ681">
        <f>IF(ISBLANK('Data Entry'!$k$681), "", 'Data Entry'!$k$681)</f>
      </c>
      <c r="AR681">
        <f>IF(ISBLANK('Data Entry'!$l$681), "", 'Data Entry'!$l$681)</f>
      </c>
      <c r="AS681">
        <f>IF(ISBLANK('Data Entry'!$m$681), "", 'Data Entry'!$m$681)</f>
      </c>
      <c r="AT681">
        <f>IF(ISBLANK('Data Entry'!$n$681), "", 'Data Entry'!$n$681)</f>
      </c>
      <c r="AU681">
        <f>IF(ISBLANK('Data Entry'!$o$681), "", 'Data Entry'!$o$681)</f>
      </c>
      <c r="AV681">
        <f>IF(ISBLANK('Data Entry'!$p$681), "", 'Data Entry'!$p$681)</f>
      </c>
      <c r="AW681">
        <f>IF(ISBLANK('Data Entry'!$q$681), "", 'Data Entry'!$q$681)</f>
      </c>
      <c r="AX681">
        <f>IF(ISBLANK('Data Entry'!$r$681), "", 'Data Entry'!$r$681)</f>
      </c>
      <c r="AY681">
        <f>IF(ISBLANK('Data Entry'!$s$681), "", 'Data Entry'!$s$681)</f>
      </c>
      <c r="AZ681">
        <f>IF(ISBLANK('Data Entry'!$t$681), "", 'Data Entry'!$t$681)</f>
      </c>
      <c r="BA681">
        <f>IF(ISBLANK('Data Entry'!$u$681), "", 'Data Entry'!$u$681)</f>
      </c>
      <c r="BB681">
        <f>IF(ISBLANK('Data Entry'!$v$681), "", 'Data Entry'!$v$681)</f>
      </c>
      <c r="BC681">
        <f>IF(ISBLANK('Data Entry'!$w$681), "", 'Data Entry'!$w$681)</f>
      </c>
      <c r="BD681">
        <f>IF(ISBLANK('Data Entry'!$x$681), "", 'Data Entry'!$x$681)</f>
      </c>
      <c r="BE681">
        <f>IF(ISBLANK('Data Entry'!$y$681), "", 'Data Entry'!$y$681)</f>
      </c>
      <c r="BF681">
        <f>IF(ISBLANK('Data Entry'!$z$681), "", 'Data Entry'!$z$681)</f>
      </c>
      <c r="BG681">
        <f>IF(ISBLANK('Data Entry'!${$681), "", 'Data Entry'!${$681)</f>
      </c>
      <c r="BH681">
        <f>IF(ISBLANK('Data Entry'!$|$681), "", 'Data Entry'!$|$681)</f>
      </c>
      <c r="BI681">
        <f>IF(ISBLANK('Data Entry'!$}$681), "", 'Data Entry'!$}$681)</f>
      </c>
      <c r="BJ681">
        <f>IF(ISBLANK('Data Entry'!$~$681), "", 'Data Entry'!$~$681)</f>
      </c>
      <c r="BK681">
        <f>IF(ISBLANK('Data Entry'!$$681), "", 'Data Entry'!$$681)</f>
      </c>
      <c r="BL681">
        <f>IF(ISBLANK('Data Entry'!$$681), "", 'Data Entry'!$$681)</f>
      </c>
      <c r="BM681">
        <f>IF(ISBLANK('Data Entry'!$$681), "", 'Data Entry'!$$681)</f>
      </c>
      <c r="BN681">
        <f>IF(ISBLANK('Data Entry'!$$681), "", 'Data Entry'!$$681)</f>
      </c>
      <c r="BO681">
        <f>IF(ISBLANK('Data Entry'!$$681), "", 'Data Entry'!$$681)</f>
      </c>
      <c r="BP681">
        <f>IF(ISBLANK('Data Entry'!$$681), "", 'Data Entry'!$$681)</f>
      </c>
      <c r="BQ681">
        <f>IF(ISBLANK('Data Entry'!$$681), "", 'Data Entry'!$$681)</f>
      </c>
      <c r="BR681">
        <f>IF(ISBLANK('Data Entry'!$$681), "", 'Data Entry'!$$681)</f>
      </c>
      <c r="BS681">
        <f>IF(ISBLANK('Data Entry'!$$681), "", 'Data Entry'!$$681)</f>
      </c>
      <c r="BT681">
        <f>IF(ISBLANK('Data Entry'!$$681), "", 'Data Entry'!$$681)</f>
      </c>
      <c r="BU681">
        <f>IF(ISBLANK('Data Entry'!$$681), "", 'Data Entry'!$$681)</f>
      </c>
      <c r="BV681">
        <f>IF(ISBLANK('Data Entry'!$$681), "", 'Data Entry'!$$681)</f>
      </c>
      <c r="BW681">
        <f>IF(ISBLANK('Data Entry'!$$681), "", 'Data Entry'!$$681)</f>
      </c>
      <c r="BX681">
        <f>IF(ISBLANK('Data Entry'!$$681), "", 'Data Entry'!$$681)</f>
      </c>
      <c r="BY681">
        <f>IF(ISBLANK('Data Entry'!$$681), "", 'Data Entry'!$$681)</f>
      </c>
      <c r="BZ681">
        <f>IF(ISBLANK('Data Entry'!$$681), "", 'Data Entry'!$$681)</f>
      </c>
      <c r="CA681">
        <f>IF(ISBLANK('Data Entry'!$$681), "", 'Data Entry'!$$681)</f>
      </c>
      <c r="CB681">
        <f>IF(ISBLANK('Data Entry'!$$681), "", 'Data Entry'!$$681)</f>
      </c>
      <c r="CC681">
        <f>IF(ISBLANK('Data Entry'!$$681), "", 'Data Entry'!$$681)</f>
      </c>
      <c r="CD681">
        <f>IF(ISBLANK('Data Entry'!$$681), "", 'Data Entry'!$$681)</f>
      </c>
      <c r="CE681">
        <f>IF(ISBLANK('Data Entry'!$$681), "", 'Data Entry'!$$681)</f>
      </c>
      <c r="CF681">
        <f>IF(ISBLANK('Data Entry'!$$681), "", 'Data Entry'!$$681)</f>
      </c>
      <c r="CG681">
        <f>IF(ISBLANK('Data Entry'!$$681), "", 'Data Entry'!$$681)</f>
      </c>
      <c r="CH681">
        <f>IF(ISBLANK('Data Entry'!$$681), "", 'Data Entry'!$$681)</f>
      </c>
      <c r="CI681">
        <f>IF(ISBLANK('Data Entry'!$$681), "", 'Data Entry'!$$681)</f>
      </c>
      <c r="CJ681">
        <f>IF(ISBLANK('Data Entry'!$$681), "", 'Data Entry'!$$681)</f>
      </c>
      <c r="CK681">
        <f>IF(ISBLANK('Data Entry'!$$681), "", 'Data Entry'!$$681)</f>
      </c>
      <c r="CL681">
        <f>IF(ISBLANK('Data Entry'!$$681), "", 'Data Entry'!$$681)</f>
      </c>
      <c r="CM681">
        <f>IF(ISBLANK('Data Entry'!$$681), "", 'Data Entry'!$$681)</f>
      </c>
      <c r="CN681">
        <f>IF(ISBLANK('Data Entry'!$$681), "", 'Data Entry'!$$681)</f>
      </c>
      <c r="CO681">
        <f>IF(ISBLANK('Data Entry'!$$681), "", 'Data Entry'!$$681)</f>
      </c>
      <c r="CP681">
        <f>IF(ISBLANK('Data Entry'!$$681), "", 'Data Entry'!$$681)</f>
      </c>
      <c r="CQ681">
        <f>IF(ISBLANK('Data Entry'!$$681), "", 'Data Entry'!$$681)</f>
      </c>
      <c r="CR681">
        <f>IF(ISBLANK('Data Entry'!$ $681), "", 'Data Entry'!$ $681)</f>
      </c>
      <c r="CS681">
        <f>IF(ISBLANK('Data Entry'!$¡$681), "", 'Data Entry'!$¡$681)</f>
      </c>
      <c r="CT681">
        <f>IF(ISBLANK('Data Entry'!$¢$681), "", 'Data Entry'!$¢$681)</f>
      </c>
      <c r="CU681">
        <f>IF(ISBLANK('Data Entry'!$£$681), "", 'Data Entry'!$£$681)</f>
      </c>
      <c r="CV681">
        <f>IF(ISBLANK('Data Entry'!$¤$681), "", 'Data Entry'!$¤$681)</f>
      </c>
      <c r="CW681">
        <f>IF(ISBLANK('Data Entry'!$¥$681), "", 'Data Entry'!$¥$681)</f>
      </c>
      <c r="CX681">
        <f>IF(ISBLANK('Data Entry'!$¦$681), "", 'Data Entry'!$¦$681)</f>
      </c>
      <c r="CY681">
        <f>IF(ISBLANK('Data Entry'!$§$681), "", 'Data Entry'!$§$681)</f>
      </c>
      <c r="CZ681">
        <f>IF(ISBLANK('Data Entry'!$¨$681), "", 'Data Entry'!$¨$681)</f>
      </c>
      <c r="DA681">
        <f>IF(ISBLANK('Data Entry'!$©$681), "", 'Data Entry'!$©$681)</f>
      </c>
      <c r="DB681">
        <f>IF(ISBLANK('Data Entry'!$ª$681), "", 'Data Entry'!$ª$681)</f>
      </c>
      <c r="DC681">
        <f>IF(ISBLANK('Data Entry'!$«$681), "", 'Data Entry'!$«$681)</f>
      </c>
      <c r="DD681">
        <f>IF(ISBLANK('Data Entry'!$¬$681), "", 'Data Entry'!$¬$681)</f>
      </c>
      <c r="DE681">
        <f>IF(ISBLANK('Data Entry'!$­$681), "", 'Data Entry'!$­$681)</f>
      </c>
      <c r="DF681">
        <f>IF(ISBLANK('Data Entry'!$®$681), "", 'Data Entry'!$®$681)</f>
      </c>
      <c r="DG681">
        <f>IF(ISBLANK('Data Entry'!$¯$681), "", 'Data Entry'!$¯$681)</f>
      </c>
      <c r="DH681">
        <f>IF(ISBLANK('Data Entry'!$°$681), "", 'Data Entry'!$°$681)</f>
      </c>
      <c r="DI681">
        <f>IF(ISBLANK('Data Entry'!$±$681), "", 'Data Entry'!$±$681)</f>
      </c>
      <c r="DJ681">
        <f>IF(ISBLANK('Data Entry'!$²$681), "", 'Data Entry'!$²$681)</f>
      </c>
      <c r="DK681">
        <f>IF(ISBLANK('Data Entry'!$³$681), "", 'Data Entry'!$³$681)</f>
      </c>
      <c r="DL681">
        <f>IF(ISBLANK('Data Entry'!$´$681), "", 'Data Entry'!$´$681)</f>
      </c>
      <c r="DM681">
        <f>IF(ISBLANK('Data Entry'!$µ$681), "", 'Data Entry'!$µ$681)</f>
      </c>
      <c r="DN681">
        <f>IF(ISBLANK('Data Entry'!$¶$681), "", 'Data Entry'!$¶$681)</f>
      </c>
      <c r="DO681">
        <f>IF(ISBLANK('Data Entry'!$·$681), "", 'Data Entry'!$·$681)</f>
      </c>
      <c r="DP681">
        <f>IF(ISBLANK('Data Entry'!$¸$681), "", 'Data Entry'!$¸$681)</f>
      </c>
      <c r="DQ681">
        <f>IF(ISBLANK('Data Entry'!$¹$681), "", 'Data Entry'!$¹$681)</f>
      </c>
      <c r="DR681">
        <f>IF(ISBLANK('Data Entry'!$º$681), "", 'Data Entry'!$º$681)</f>
      </c>
      <c r="DS681">
        <f>IF(ISBLANK('Data Entry'!$»$681), "", 'Data Entry'!$»$681)</f>
      </c>
      <c r="DT681">
        <f>IF(ISBLANK('Data Entry'!$¼$681), "", 'Data Entry'!$¼$681)</f>
      </c>
      <c r="DU681">
        <f>IF(ISBLANK('Data Entry'!$½$681), "", 'Data Entry'!$½$681)</f>
      </c>
      <c r="DV681">
        <f>IF(ISBLANK('Data Entry'!$¾$681), "", 'Data Entry'!$¾$681)</f>
      </c>
      <c r="DW681">
        <f>IF(ISBLANK('Data Entry'!$¿$681), "", 'Data Entry'!$¿$681)</f>
      </c>
      <c r="DX681">
        <f>IF(ISBLANK('Data Entry'!$À$681), "", 'Data Entry'!$À$681)</f>
      </c>
      <c r="DY681">
        <f>IF(ISBLANK('Data Entry'!$Á$681), "", 'Data Entry'!$Á$681)</f>
      </c>
      <c r="DZ681">
        <f>IF(ISBLANK('Data Entry'!$Â$681), "", 'Data Entry'!$Â$681)</f>
      </c>
      <c r="EA681">
        <f>IF(ISBLANK('Data Entry'!$Ã$681), "", 'Data Entry'!$Ã$681)</f>
      </c>
      <c r="EB681">
        <f>IF(ISBLANK('Data Entry'!$Ä$681), "", 'Data Entry'!$Ä$681)</f>
      </c>
      <c r="EC681">
        <f>IF(ISBLANK('Data Entry'!$Å$681), "", 'Data Entry'!$Å$681)</f>
      </c>
      <c r="ED681">
        <f>IF(ISBLANK('Data Entry'!$Æ$681), "", 'Data Entry'!$Æ$681)</f>
      </c>
      <c r="EE681">
        <f>IF(ISBLANK('Data Entry'!$Ç$681), "", 'Data Entry'!$Ç$681)</f>
      </c>
      <c r="EF681">
        <f>IF(ISBLANK('Data Entry'!$È$681), "", 'Data Entry'!$È$681)</f>
      </c>
      <c r="EG681">
        <f>IF(ISBLANK('Data Entry'!$É$681), "", 'Data Entry'!$É$681)</f>
      </c>
      <c r="EH681">
        <f>IF(ISBLANK('Data Entry'!$Ê$681), "", 'Data Entry'!$Ê$681)</f>
      </c>
      <c r="EI681">
        <f>IF(ISBLANK('Data Entry'!$Ë$681), "", 'Data Entry'!$Ë$681)</f>
      </c>
      <c r="EJ681">
        <f>IF(ISBLANK('Data Entry'!$Ì$681), "", 'Data Entry'!$Ì$681)</f>
      </c>
      <c r="EK681">
        <f>IF(ISBLANK('Data Entry'!$Í$681), "", 'Data Entry'!$Í$681)</f>
      </c>
      <c r="EL681">
        <f>IF(ISBLANK('Data Entry'!$Î$681), "", 'Data Entry'!$Î$681)</f>
      </c>
      <c r="EM681">
        <f>IF(ISBLANK('Data Entry'!$Ï$681), "", 'Data Entry'!$Ï$681)</f>
      </c>
      <c r="EN681">
        <f>IF(ISBLANK('Data Entry'!$Ð$681), "", 'Data Entry'!$Ð$681)</f>
      </c>
      <c r="EO681">
        <f>IF(ISBLANK('Data Entry'!$Ñ$681), "", 'Data Entry'!$Ñ$681)</f>
      </c>
      <c r="EP681">
        <f>IF(ISBLANK('Data Entry'!$Ò$681), "", 'Data Entry'!$Ò$681)</f>
      </c>
      <c r="EQ681">
        <f>IF(ISBLANK('Data Entry'!$Ó$681), "", 'Data Entry'!$Ó$681)</f>
      </c>
      <c r="ER681">
        <f>IF(ISBLANK('Data Entry'!$Ô$681), "", 'Data Entry'!$Ô$681)</f>
      </c>
      <c r="ES681">
        <f>IF(ISBLANK('Data Entry'!$Õ$681), "", 'Data Entry'!$Õ$681)</f>
      </c>
      <c r="ET681">
        <f>IF(ISBLANK('Data Entry'!$Ö$681), "", 'Data Entry'!$Ö$681)</f>
      </c>
      <c r="EU681">
        <f>IF(ISBLANK('Data Entry'!$×$681), "", 'Data Entry'!$×$681)</f>
      </c>
      <c r="EV681">
        <f>IF(ISBLANK('Data Entry'!$Ø$681), "", 'Data Entry'!$Ø$681)</f>
      </c>
      <c r="EW681">
        <f>IF(ISBLANK('Data Entry'!$Ù$681), "", 'Data Entry'!$Ù$681)</f>
      </c>
      <c r="EX681">
        <f>IF(ISBLANK('Data Entry'!$Ú$681), "", 'Data Entry'!$Ú$681)</f>
      </c>
      <c r="EY681">
        <f>IF(ISBLANK('Data Entry'!$Û$681), "", 'Data Entry'!$Û$681)</f>
      </c>
      <c r="EZ681">
        <f>IF(ISBLANK('Data Entry'!$Ü$681), "", 'Data Entry'!$Ü$681)</f>
      </c>
      <c r="FA681">
        <f>IF(ISBLANK('Data Entry'!$Ý$681), "", 'Data Entry'!$Ý$681)</f>
      </c>
      <c r="FB681">
        <f>IF(ISBLANK('Data Entry'!$Þ$681), "", 'Data Entry'!$Þ$681)</f>
      </c>
      <c r="FC681">
        <f>IF(ISBLANK('Data Entry'!$ß$681), "", 'Data Entry'!$ß$681)</f>
      </c>
      <c r="FD681">
        <f>IF(ISBLANK('Data Entry'!$à$681), "", 'Data Entry'!$à$681)</f>
      </c>
      <c r="FE681">
        <f>IF(ISBLANK('Data Entry'!$á$681), "", 'Data Entry'!$á$681)</f>
      </c>
      <c r="FF681">
        <f>IF(ISBLANK('Data Entry'!$â$681), "", 'Data Entry'!$â$681)</f>
      </c>
      <c r="FG681">
        <f>IF(ISBLANK('Data Entry'!$ã$681), "", 'Data Entry'!$ã$681)</f>
      </c>
      <c r="FH681">
        <f>IF(ISBLANK('Data Entry'!$ä$681), "", 'Data Entry'!$ä$681)</f>
      </c>
      <c r="FI681">
        <f>IF(ISBLANK('Data Entry'!$å$681), "", 'Data Entry'!$å$681)</f>
      </c>
      <c r="FJ681">
        <f>IF(ISBLANK('Data Entry'!$æ$681), "", 'Data Entry'!$æ$681)</f>
      </c>
      <c r="FK681">
        <f>IF(ISBLANK('Data Entry'!$ç$681), "", 'Data Entry'!$ç$681)</f>
      </c>
      <c r="FL681">
        <f>IF(ISBLANK('Data Entry'!$è$681), "", 'Data Entry'!$è$681)</f>
      </c>
      <c r="FM681">
        <f>IF(ISBLANK('Data Entry'!$é$681), "", 'Data Entry'!$é$681)</f>
      </c>
      <c r="FN681">
        <f>IF(ISBLANK('Data Entry'!$ê$681), "", 'Data Entry'!$ê$681)</f>
      </c>
      <c r="FO681">
        <f>IF(ISBLANK('Data Entry'!$ë$681), "", 'Data Entry'!$ë$681)</f>
      </c>
      <c r="FP681">
        <f>IF(ISBLANK('Data Entry'!$ì$681), "", 'Data Entry'!$ì$681)</f>
      </c>
      <c r="FQ681">
        <f>IF(ISBLANK('Data Entry'!$í$681), "", 'Data Entry'!$í$681)</f>
      </c>
      <c r="FR681">
        <f>IF(ISBLANK('Data Entry'!$î$681), "", 'Data Entry'!$î$681)</f>
      </c>
      <c r="FS681">
        <f>IF(ISBLANK('Data Entry'!$ï$681), "", 'Data Entry'!$ï$681)</f>
      </c>
      <c r="FT681">
        <f>IF(ISBLANK('Data Entry'!$ð$681), "", 'Data Entry'!$ð$681)</f>
      </c>
      <c r="FU681">
        <f>IF(ISBLANK('Data Entry'!$ñ$681), "", 'Data Entry'!$ñ$681)</f>
      </c>
      <c r="FV681">
        <f>IF(ISBLANK('Data Entry'!$ò$681), "", 'Data Entry'!$ò$681)</f>
      </c>
      <c r="FW681">
        <f>IF(ISBLANK('Data Entry'!$ó$681), "", 'Data Entry'!$ó$681)</f>
      </c>
      <c r="FX681">
        <f>IF(ISBLANK('Data Entry'!$ô$681), "", 'Data Entry'!$ô$681)</f>
      </c>
      <c r="FY681">
        <f>IF(ISBLANK('Data Entry'!$õ$681), "", 'Data Entry'!$õ$681)</f>
      </c>
      <c r="FZ681">
        <f>IF(ISBLANK('Data Entry'!$ö$681), "", 'Data Entry'!$ö$681)</f>
      </c>
      <c r="GA681">
        <f>IF(ISBLANK('Data Entry'!$÷$681), "", 'Data Entry'!$÷$681)</f>
      </c>
      <c r="GB681">
        <f>IF(ISBLANK('Data Entry'!$ø$681), "", 'Data Entry'!$ø$681)</f>
      </c>
      <c r="GC681">
        <f>IF(ISBLANK('Data Entry'!$ù$681), "", 'Data Entry'!$ù$681)</f>
      </c>
      <c r="GD681">
        <f>IF(ISBLANK('Data Entry'!$ú$681), "", 'Data Entry'!$ú$681)</f>
      </c>
      <c r="GE681">
        <f>IF(ISBLANK('Data Entry'!$û$681), "", 'Data Entry'!$û$681)</f>
      </c>
      <c r="GF681">
        <f>IF(ISBLANK('Data Entry'!$ü$681), "", 'Data Entry'!$ü$681)</f>
      </c>
      <c r="GG681">
        <f>IF(ISBLANK('Data Entry'!$ý$681), "", 'Data Entry'!$ý$681)</f>
      </c>
      <c r="GH681">
        <f>IF(ISBLANK('Data Entry'!$þ$681), "", 'Data Entry'!$þ$681)</f>
      </c>
      <c r="GI681">
        <f>IF(ISBLANK('Data Entry'!$ÿ$681), "", 'Data Entry'!$ÿ$681)</f>
      </c>
      <c r="GJ681">
        <f>IF(ISBLANK('Data Entry'!$Ā$681), "", 'Data Entry'!$Ā$681)</f>
      </c>
      <c r="GK681">
        <f>IF(ISBLANK('Data Entry'!$ā$681), "", 'Data Entry'!$ā$681)</f>
      </c>
      <c r="GL681">
        <f>IF(ISBLANK('Data Entry'!$Ă$681), "", 'Data Entry'!$Ă$681)</f>
      </c>
      <c r="GM681">
        <f>IF(ISBLANK('Data Entry'!$ă$681), "", 'Data Entry'!$ă$681)</f>
      </c>
      <c r="GN681">
        <f>IF(ISBLANK('Data Entry'!$Ą$681), "", 'Data Entry'!$Ą$681)</f>
      </c>
      <c r="GO681">
        <f>IF(ISBLANK('Data Entry'!$ą$681), "", 'Data Entry'!$ą$681)</f>
      </c>
      <c r="GP681">
        <f>IF(ISBLANK('Data Entry'!$Ć$681), "", 'Data Entry'!$Ć$681)</f>
      </c>
      <c r="GQ681">
        <f>IF(ISBLANK('Data Entry'!$ć$681), "", 'Data Entry'!$ć$681)</f>
      </c>
      <c r="GR681">
        <f>IF(ISBLANK('Data Entry'!$Ĉ$681), "", 'Data Entry'!$Ĉ$681)</f>
      </c>
      <c r="GS681">
        <f>IF(ISBLANK('Data Entry'!$ĉ$681), "", 'Data Entry'!$ĉ$681)</f>
      </c>
      <c r="GT681">
        <f>IF(ISBLANK('Data Entry'!$Ċ$681), "", 'Data Entry'!$Ċ$681)</f>
      </c>
      <c r="GU681">
        <f>IF(ISBLANK('Data Entry'!$ċ$681), "", 'Data Entry'!$ċ$681)</f>
      </c>
      <c r="GV681">
        <f>IF(ISBLANK('Data Entry'!$Č$681), "", 'Data Entry'!$Č$681)</f>
      </c>
      <c r="GW681">
        <f>IF(ISBLANK('Data Entry'!$č$681), "", 'Data Entry'!$č$681)</f>
      </c>
      <c r="GX681">
        <f>IF(ISBLANK('Data Entry'!$Ď$681), "", 'Data Entry'!$Ď$681)</f>
      </c>
      <c r="GY681">
        <f>IF(ISBLANK('Data Entry'!$ď$681), "", 'Data Entry'!$ď$681)</f>
      </c>
      <c r="GZ681">
        <f>IF(ISBLANK('Data Entry'!$Đ$681), "", 'Data Entry'!$Đ$681)</f>
      </c>
      <c r="HA681">
        <f>IF(ISBLANK('Data Entry'!$đ$681), "", 'Data Entry'!$đ$681)</f>
      </c>
      <c r="HB681">
        <f>IF(ISBLANK('Data Entry'!$Ē$681), "", 'Data Entry'!$Ē$681)</f>
      </c>
      <c r="HC681">
        <f>IF(ISBLANK('Data Entry'!$ē$681), "", 'Data Entry'!$ē$681)</f>
      </c>
      <c r="HD681">
        <f>IF(ISBLANK('Data Entry'!$Ĕ$681), "", 'Data Entry'!$Ĕ$681)</f>
      </c>
      <c r="HE681">
        <f>IF(ISBLANK('Data Entry'!$ĕ$681), "", 'Data Entry'!$ĕ$681)</f>
      </c>
      <c r="HF681">
        <f>IF(ISBLANK('Data Entry'!$Ė$681), "", 'Data Entry'!$Ė$681)</f>
      </c>
      <c r="HG681">
        <f>IF(ISBLANK('Data Entry'!$ė$681), "", 'Data Entry'!$ė$681)</f>
      </c>
      <c r="HH681">
        <f>IF(ISBLANK('Data Entry'!$Ę$681), "", 'Data Entry'!$Ę$681)</f>
      </c>
      <c r="HI681">
        <f>IF(ISBLANK('Data Entry'!$ę$681), "", 'Data Entry'!$ę$681)</f>
      </c>
      <c r="HJ681">
        <f>IF(ISBLANK('Data Entry'!$Ě$681), "", 'Data Entry'!$Ě$681)</f>
      </c>
      <c r="HK681">
        <f>IF(ISBLANK('Data Entry'!$ě$681), "", 'Data Entry'!$ě$681)</f>
      </c>
      <c r="HL681">
        <f>IF(ISBLANK('Data Entry'!$Ĝ$681), "", 'Data Entry'!$Ĝ$681)</f>
      </c>
      <c r="HM681">
        <f>IF(ISBLANK('Data Entry'!$ĝ$681), "", 'Data Entry'!$ĝ$681)</f>
      </c>
      <c r="HN681">
        <f>IF(ISBLANK('Data Entry'!$Ğ$681), "", 'Data Entry'!$Ğ$681)</f>
      </c>
      <c r="HO681">
        <f>IF(ISBLANK('Data Entry'!$ğ$681), "", 'Data Entry'!$ğ$681)</f>
      </c>
      <c r="HP681">
        <f>IF(ISBLANK('Data Entry'!$Ġ$681), "", 'Data Entry'!$Ġ$681)</f>
      </c>
      <c r="HQ681">
        <f>IF(ISBLANK('Data Entry'!$ġ$681), "", 'Data Entry'!$ġ$681)</f>
      </c>
      <c r="HR681">
        <f>IF(ISBLANK('Data Entry'!$Ģ$681), "", 'Data Entry'!$Ģ$681)</f>
      </c>
      <c r="HS681">
        <f>IF(ISBLANK('Data Entry'!$ģ$681), "", 'Data Entry'!$ģ$681)</f>
      </c>
      <c r="HT681">
        <f>IF(ISBLANK('Data Entry'!$Ĥ$681), "", 'Data Entry'!$Ĥ$681)</f>
      </c>
      <c r="HU681">
        <f>IF(ISBLANK('Data Entry'!$ĥ$681), "", 'Data Entry'!$ĥ$681)</f>
      </c>
      <c r="HV681">
        <f>IF(ISBLANK('Data Entry'!$Ħ$681), "", 'Data Entry'!$Ħ$681)</f>
      </c>
      <c r="HW681">
        <f>IF(ISBLANK('Data Entry'!$ħ$681), "", 'Data Entry'!$ħ$681)</f>
      </c>
      <c r="HX681">
        <f>IF(ISBLANK('Data Entry'!$Ĩ$681), "", 'Data Entry'!$Ĩ$681)</f>
      </c>
      <c r="HY681">
        <f>IF(ISBLANK('Data Entry'!$ĩ$681), "", 'Data Entry'!$ĩ$681)</f>
      </c>
      <c r="HZ681">
        <f>IF(ISBLANK('Data Entry'!$Ī$681), "", 'Data Entry'!$Ī$681)</f>
      </c>
      <c r="IA681">
        <f>IF(ISBLANK('Data Entry'!$ī$681), "", 'Data Entry'!$ī$681)</f>
      </c>
      <c r="IB681">
        <f>IF(ISBLANK('Data Entry'!$Ĭ$681), "", 'Data Entry'!$Ĭ$681)</f>
      </c>
      <c r="IC681">
        <f>IF(ISBLANK('Data Entry'!$ĭ$681), "", 'Data Entry'!$ĭ$681)</f>
      </c>
      <c r="ID681">
        <f>IF(ISBLANK('Data Entry'!$Į$681), "", 'Data Entry'!$Į$681)</f>
      </c>
      <c r="IE681">
        <f>IF(ISBLANK('Data Entry'!$į$681), "", 'Data Entry'!$į$681)</f>
      </c>
      <c r="IF681">
        <f>IF(ISBLANK('Data Entry'!$İ$681), "", 'Data Entry'!$İ$681)</f>
      </c>
      <c r="IG681">
        <f>IF(ISBLANK('Data Entry'!$ı$681), "", 'Data Entry'!$ı$681)</f>
      </c>
      <c r="IH681">
        <f>IF(ISBLANK('Data Entry'!$Ĳ$681), "", 'Data Entry'!$Ĳ$681)</f>
      </c>
      <c r="II681">
        <f>IF(ISBLANK('Data Entry'!$ĳ$681), "", 'Data Entry'!$ĳ$681)</f>
      </c>
      <c r="IJ681">
        <f>IF(ISBLANK('Data Entry'!$Ĵ$681), "", 'Data Entry'!$Ĵ$681)</f>
      </c>
      <c r="IK681">
        <f>IF(ISBLANK('Data Entry'!$ĵ$681), "", 'Data Entry'!$ĵ$681)</f>
      </c>
      <c r="IL681">
        <f>IF(ISBLANK('Data Entry'!$Ķ$681), "", 'Data Entry'!$Ķ$681)</f>
      </c>
      <c r="IM681">
        <f>IF(ISBLANK('Data Entry'!$ķ$681), "", 'Data Entry'!$ķ$681)</f>
      </c>
      <c r="IN681">
        <f>IF(ISBLANK('Data Entry'!$ĸ$681), "", 'Data Entry'!$ĸ$681)</f>
      </c>
      <c r="IO681">
        <f>IF(ISBLANK('Data Entry'!$Ĺ$681), "", 'Data Entry'!$Ĺ$681)</f>
      </c>
      <c r="IP681">
        <f>IF(ISBLANK('Data Entry'!$ĺ$681), "", 'Data Entry'!$ĺ$681)</f>
      </c>
      <c r="IQ681">
        <f>IF(ISBLANK('Data Entry'!$Ļ$681), "", 'Data Entry'!$Ļ$681)</f>
      </c>
      <c r="IR681">
        <f>IF(ISBLANK('Data Entry'!$ļ$681), "", 'Data Entry'!$ļ$681)</f>
      </c>
      <c r="IS681">
        <f>IF(ISBLANK('Data Entry'!$Ľ$681), "", 'Data Entry'!$Ľ$681)</f>
      </c>
      <c r="IT681">
        <f>IF(ISBLANK('Data Entry'!$ľ$681), "", 'Data Entry'!$ľ$681)</f>
      </c>
    </row>
    <row r="682" spans="1:254" x14ac:dyDescent="0.25">
      <c r="A682">
        <f>IF(ISBLANK('Data Entry'!$A$682), "", 'Data Entry'!$A$682)</f>
      </c>
      <c r="B682">
        <f>IF(ISBLANK('Data Entry'!$B$682), "", 'Data Entry'!$B$682)</f>
      </c>
      <c r="C682">
        <f>IF(ISBLANK('Data Entry'!$C$682), "", 'Data Entry'!$C$682)</f>
      </c>
      <c r="D682">
        <f>IF(ISBLANK('Data Entry'!$D$682), "", 'Data Entry'!$D$682)</f>
      </c>
      <c r="E682">
        <f>IF(ISBLANK('Data Entry'!$E$682), "", 'Data Entry'!$E$682)</f>
      </c>
      <c r="F682">
        <f>IF(ISBLANK('Data Entry'!$F$682), "", 'Data Entry'!$F$682)</f>
      </c>
      <c r="G682">
        <f>IF(ISBLANK('Data Entry'!$G$682), "", 'Data Entry'!$G$682)</f>
      </c>
      <c r="H682">
        <f>IF(ISBLANK('Data Entry'!$H$682), "", 'Data Entry'!$H$682)</f>
      </c>
      <c r="I682">
        <f>IF(ISBLANK('Data Entry'!$I$682), "", 'Data Entry'!$I$682)</f>
      </c>
      <c r="J682">
        <f>IF(ISBLANK('Data Entry'!$J$682), "", 'Data Entry'!$J$682)</f>
      </c>
      <c r="K682">
        <f>IF(ISBLANK('Data Entry'!$K$682), "", 'Data Entry'!$K$682)</f>
      </c>
      <c r="L682">
        <f>IF(ISBLANK('Data Entry'!$L$682), "", 'Data Entry'!$L$682)</f>
      </c>
      <c r="M682">
        <f>IF(ISBLANK('Data Entry'!$M$682), "", 'Data Entry'!$M$682)</f>
      </c>
      <c r="N682">
        <f>IF(ISBLANK('Data Entry'!$N$682), "", 'Data Entry'!$N$682)</f>
      </c>
      <c r="O682">
        <f>IF(ISBLANK('Data Entry'!$O$682), "", 'Data Entry'!$O$682)</f>
      </c>
      <c r="P682">
        <f>IF(ISBLANK('Data Entry'!$P$682), "", 'Data Entry'!$P$682)</f>
      </c>
      <c r="Q682">
        <f>IF(ISBLANK('Data Entry'!$Q$682), "", 'Data Entry'!$Q$682)</f>
      </c>
      <c r="R682">
        <f>IF(ISBLANK('Data Entry'!$R$682), "", 'Data Entry'!$R$682)</f>
      </c>
      <c r="S682">
        <f>IF(ISBLANK('Data Entry'!$S$682), "", 'Data Entry'!$S$682)</f>
      </c>
      <c r="T682">
        <f>IF(ISBLANK('Data Entry'!$T$682), "", 'Data Entry'!$T$682)</f>
      </c>
      <c r="U682">
        <f>IF(ISBLANK('Data Entry'!$U$682), "", 'Data Entry'!$U$682)</f>
      </c>
      <c r="V682">
        <f>IF(ISBLANK('Data Entry'!$V$682), "", 'Data Entry'!$V$682)</f>
      </c>
      <c r="W682">
        <f>IF(ISBLANK('Data Entry'!$W$682), "", 'Data Entry'!$W$682)</f>
      </c>
      <c r="X682">
        <f>IF(ISBLANK('Data Entry'!$X$682), "", 'Data Entry'!$X$682)</f>
      </c>
      <c r="Y682">
        <f>IF(ISBLANK('Data Entry'!$Y$682), "", 'Data Entry'!$Y$682)</f>
      </c>
      <c r="Z682">
        <f>IF(ISBLANK('Data Entry'!$Z$682), "", 'Data Entry'!$Z$682)</f>
      </c>
      <c r="AA682">
        <f>IF(ISBLANK('Data Entry'!$[$682), "", 'Data Entry'!$[$682)</f>
      </c>
      <c r="AB682">
        <f>IF(ISBLANK('Data Entry'!$\$682), "", 'Data Entry'!$\$682)</f>
      </c>
      <c r="AC682">
        <f>IF(ISBLANK('Data Entry'!$]$682), "", 'Data Entry'!$]$682)</f>
      </c>
      <c r="AD682">
        <f>IF(ISBLANK('Data Entry'!$^$682), "", 'Data Entry'!$^$682)</f>
      </c>
      <c r="AE682">
        <f>IF(ISBLANK('Data Entry'!$_$682), "", 'Data Entry'!$_$682)</f>
      </c>
      <c r="AF682">
        <f>IF(ISBLANK('Data Entry'!$`$682), "", 'Data Entry'!$`$682)</f>
      </c>
      <c r="AG682">
        <f>IF(ISBLANK('Data Entry'!$a$682), "", 'Data Entry'!$a$682)</f>
      </c>
      <c r="AH682">
        <f>IF(ISBLANK('Data Entry'!$b$682), "", 'Data Entry'!$b$682)</f>
      </c>
      <c r="AI682">
        <f>IF(ISBLANK('Data Entry'!$c$682), "", 'Data Entry'!$c$682)</f>
      </c>
      <c r="AJ682">
        <f>IF(ISBLANK('Data Entry'!$d$682), "", 'Data Entry'!$d$682)</f>
      </c>
      <c r="AK682">
        <f>IF(ISBLANK('Data Entry'!$e$682), "", 'Data Entry'!$e$682)</f>
      </c>
      <c r="AL682">
        <f>IF(ISBLANK('Data Entry'!$f$682), "", 'Data Entry'!$f$682)</f>
      </c>
      <c r="AM682">
        <f>IF(ISBLANK('Data Entry'!$g$682), "", 'Data Entry'!$g$682)</f>
      </c>
      <c r="AN682">
        <f>IF(ISBLANK('Data Entry'!$h$682), "", 'Data Entry'!$h$682)</f>
      </c>
      <c r="AO682">
        <f>IF(ISBLANK('Data Entry'!$i$682), "", 'Data Entry'!$i$682)</f>
      </c>
      <c r="AP682">
        <f>IF(ISBLANK('Data Entry'!$j$682), "", 'Data Entry'!$j$682)</f>
      </c>
      <c r="AQ682">
        <f>IF(ISBLANK('Data Entry'!$k$682), "", 'Data Entry'!$k$682)</f>
      </c>
      <c r="AR682">
        <f>IF(ISBLANK('Data Entry'!$l$682), "", 'Data Entry'!$l$682)</f>
      </c>
      <c r="AS682">
        <f>IF(ISBLANK('Data Entry'!$m$682), "", 'Data Entry'!$m$682)</f>
      </c>
      <c r="AT682">
        <f>IF(ISBLANK('Data Entry'!$n$682), "", 'Data Entry'!$n$682)</f>
      </c>
      <c r="AU682">
        <f>IF(ISBLANK('Data Entry'!$o$682), "", 'Data Entry'!$o$682)</f>
      </c>
      <c r="AV682">
        <f>IF(ISBLANK('Data Entry'!$p$682), "", 'Data Entry'!$p$682)</f>
      </c>
      <c r="AW682">
        <f>IF(ISBLANK('Data Entry'!$q$682), "", 'Data Entry'!$q$682)</f>
      </c>
      <c r="AX682">
        <f>IF(ISBLANK('Data Entry'!$r$682), "", 'Data Entry'!$r$682)</f>
      </c>
      <c r="AY682">
        <f>IF(ISBLANK('Data Entry'!$s$682), "", 'Data Entry'!$s$682)</f>
      </c>
      <c r="AZ682">
        <f>IF(ISBLANK('Data Entry'!$t$682), "", 'Data Entry'!$t$682)</f>
      </c>
      <c r="BA682">
        <f>IF(ISBLANK('Data Entry'!$u$682), "", 'Data Entry'!$u$682)</f>
      </c>
      <c r="BB682">
        <f>IF(ISBLANK('Data Entry'!$v$682), "", 'Data Entry'!$v$682)</f>
      </c>
      <c r="BC682">
        <f>IF(ISBLANK('Data Entry'!$w$682), "", 'Data Entry'!$w$682)</f>
      </c>
      <c r="BD682">
        <f>IF(ISBLANK('Data Entry'!$x$682), "", 'Data Entry'!$x$682)</f>
      </c>
      <c r="BE682">
        <f>IF(ISBLANK('Data Entry'!$y$682), "", 'Data Entry'!$y$682)</f>
      </c>
      <c r="BF682">
        <f>IF(ISBLANK('Data Entry'!$z$682), "", 'Data Entry'!$z$682)</f>
      </c>
      <c r="BG682">
        <f>IF(ISBLANK('Data Entry'!${$682), "", 'Data Entry'!${$682)</f>
      </c>
      <c r="BH682">
        <f>IF(ISBLANK('Data Entry'!$|$682), "", 'Data Entry'!$|$682)</f>
      </c>
      <c r="BI682">
        <f>IF(ISBLANK('Data Entry'!$}$682), "", 'Data Entry'!$}$682)</f>
      </c>
      <c r="BJ682">
        <f>IF(ISBLANK('Data Entry'!$~$682), "", 'Data Entry'!$~$682)</f>
      </c>
      <c r="BK682">
        <f>IF(ISBLANK('Data Entry'!$$682), "", 'Data Entry'!$$682)</f>
      </c>
      <c r="BL682">
        <f>IF(ISBLANK('Data Entry'!$$682), "", 'Data Entry'!$$682)</f>
      </c>
      <c r="BM682">
        <f>IF(ISBLANK('Data Entry'!$$682), "", 'Data Entry'!$$682)</f>
      </c>
      <c r="BN682">
        <f>IF(ISBLANK('Data Entry'!$$682), "", 'Data Entry'!$$682)</f>
      </c>
      <c r="BO682">
        <f>IF(ISBLANK('Data Entry'!$$682), "", 'Data Entry'!$$682)</f>
      </c>
      <c r="BP682">
        <f>IF(ISBLANK('Data Entry'!$$682), "", 'Data Entry'!$$682)</f>
      </c>
      <c r="BQ682">
        <f>IF(ISBLANK('Data Entry'!$$682), "", 'Data Entry'!$$682)</f>
      </c>
      <c r="BR682">
        <f>IF(ISBLANK('Data Entry'!$$682), "", 'Data Entry'!$$682)</f>
      </c>
      <c r="BS682">
        <f>IF(ISBLANK('Data Entry'!$$682), "", 'Data Entry'!$$682)</f>
      </c>
      <c r="BT682">
        <f>IF(ISBLANK('Data Entry'!$$682), "", 'Data Entry'!$$682)</f>
      </c>
      <c r="BU682">
        <f>IF(ISBLANK('Data Entry'!$$682), "", 'Data Entry'!$$682)</f>
      </c>
      <c r="BV682">
        <f>IF(ISBLANK('Data Entry'!$$682), "", 'Data Entry'!$$682)</f>
      </c>
      <c r="BW682">
        <f>IF(ISBLANK('Data Entry'!$$682), "", 'Data Entry'!$$682)</f>
      </c>
      <c r="BX682">
        <f>IF(ISBLANK('Data Entry'!$$682), "", 'Data Entry'!$$682)</f>
      </c>
      <c r="BY682">
        <f>IF(ISBLANK('Data Entry'!$$682), "", 'Data Entry'!$$682)</f>
      </c>
      <c r="BZ682">
        <f>IF(ISBLANK('Data Entry'!$$682), "", 'Data Entry'!$$682)</f>
      </c>
      <c r="CA682">
        <f>IF(ISBLANK('Data Entry'!$$682), "", 'Data Entry'!$$682)</f>
      </c>
      <c r="CB682">
        <f>IF(ISBLANK('Data Entry'!$$682), "", 'Data Entry'!$$682)</f>
      </c>
      <c r="CC682">
        <f>IF(ISBLANK('Data Entry'!$$682), "", 'Data Entry'!$$682)</f>
      </c>
      <c r="CD682">
        <f>IF(ISBLANK('Data Entry'!$$682), "", 'Data Entry'!$$682)</f>
      </c>
      <c r="CE682">
        <f>IF(ISBLANK('Data Entry'!$$682), "", 'Data Entry'!$$682)</f>
      </c>
      <c r="CF682">
        <f>IF(ISBLANK('Data Entry'!$$682), "", 'Data Entry'!$$682)</f>
      </c>
      <c r="CG682">
        <f>IF(ISBLANK('Data Entry'!$$682), "", 'Data Entry'!$$682)</f>
      </c>
      <c r="CH682">
        <f>IF(ISBLANK('Data Entry'!$$682), "", 'Data Entry'!$$682)</f>
      </c>
      <c r="CI682">
        <f>IF(ISBLANK('Data Entry'!$$682), "", 'Data Entry'!$$682)</f>
      </c>
      <c r="CJ682">
        <f>IF(ISBLANK('Data Entry'!$$682), "", 'Data Entry'!$$682)</f>
      </c>
      <c r="CK682">
        <f>IF(ISBLANK('Data Entry'!$$682), "", 'Data Entry'!$$682)</f>
      </c>
      <c r="CL682">
        <f>IF(ISBLANK('Data Entry'!$$682), "", 'Data Entry'!$$682)</f>
      </c>
      <c r="CM682">
        <f>IF(ISBLANK('Data Entry'!$$682), "", 'Data Entry'!$$682)</f>
      </c>
      <c r="CN682">
        <f>IF(ISBLANK('Data Entry'!$$682), "", 'Data Entry'!$$682)</f>
      </c>
      <c r="CO682">
        <f>IF(ISBLANK('Data Entry'!$$682), "", 'Data Entry'!$$682)</f>
      </c>
      <c r="CP682">
        <f>IF(ISBLANK('Data Entry'!$$682), "", 'Data Entry'!$$682)</f>
      </c>
      <c r="CQ682">
        <f>IF(ISBLANK('Data Entry'!$$682), "", 'Data Entry'!$$682)</f>
      </c>
      <c r="CR682">
        <f>IF(ISBLANK('Data Entry'!$ $682), "", 'Data Entry'!$ $682)</f>
      </c>
      <c r="CS682">
        <f>IF(ISBLANK('Data Entry'!$¡$682), "", 'Data Entry'!$¡$682)</f>
      </c>
      <c r="CT682">
        <f>IF(ISBLANK('Data Entry'!$¢$682), "", 'Data Entry'!$¢$682)</f>
      </c>
      <c r="CU682">
        <f>IF(ISBLANK('Data Entry'!$£$682), "", 'Data Entry'!$£$682)</f>
      </c>
      <c r="CV682">
        <f>IF(ISBLANK('Data Entry'!$¤$682), "", 'Data Entry'!$¤$682)</f>
      </c>
      <c r="CW682">
        <f>IF(ISBLANK('Data Entry'!$¥$682), "", 'Data Entry'!$¥$682)</f>
      </c>
      <c r="CX682">
        <f>IF(ISBLANK('Data Entry'!$¦$682), "", 'Data Entry'!$¦$682)</f>
      </c>
      <c r="CY682">
        <f>IF(ISBLANK('Data Entry'!$§$682), "", 'Data Entry'!$§$682)</f>
      </c>
      <c r="CZ682">
        <f>IF(ISBLANK('Data Entry'!$¨$682), "", 'Data Entry'!$¨$682)</f>
      </c>
      <c r="DA682">
        <f>IF(ISBLANK('Data Entry'!$©$682), "", 'Data Entry'!$©$682)</f>
      </c>
      <c r="DB682">
        <f>IF(ISBLANK('Data Entry'!$ª$682), "", 'Data Entry'!$ª$682)</f>
      </c>
      <c r="DC682">
        <f>IF(ISBLANK('Data Entry'!$«$682), "", 'Data Entry'!$«$682)</f>
      </c>
      <c r="DD682">
        <f>IF(ISBLANK('Data Entry'!$¬$682), "", 'Data Entry'!$¬$682)</f>
      </c>
      <c r="DE682">
        <f>IF(ISBLANK('Data Entry'!$­$682), "", 'Data Entry'!$­$682)</f>
      </c>
      <c r="DF682">
        <f>IF(ISBLANK('Data Entry'!$®$682), "", 'Data Entry'!$®$682)</f>
      </c>
      <c r="DG682">
        <f>IF(ISBLANK('Data Entry'!$¯$682), "", 'Data Entry'!$¯$682)</f>
      </c>
      <c r="DH682">
        <f>IF(ISBLANK('Data Entry'!$°$682), "", 'Data Entry'!$°$682)</f>
      </c>
      <c r="DI682">
        <f>IF(ISBLANK('Data Entry'!$±$682), "", 'Data Entry'!$±$682)</f>
      </c>
      <c r="DJ682">
        <f>IF(ISBLANK('Data Entry'!$²$682), "", 'Data Entry'!$²$682)</f>
      </c>
      <c r="DK682">
        <f>IF(ISBLANK('Data Entry'!$³$682), "", 'Data Entry'!$³$682)</f>
      </c>
      <c r="DL682">
        <f>IF(ISBLANK('Data Entry'!$´$682), "", 'Data Entry'!$´$682)</f>
      </c>
      <c r="DM682">
        <f>IF(ISBLANK('Data Entry'!$µ$682), "", 'Data Entry'!$µ$682)</f>
      </c>
      <c r="DN682">
        <f>IF(ISBLANK('Data Entry'!$¶$682), "", 'Data Entry'!$¶$682)</f>
      </c>
      <c r="DO682">
        <f>IF(ISBLANK('Data Entry'!$·$682), "", 'Data Entry'!$·$682)</f>
      </c>
      <c r="DP682">
        <f>IF(ISBLANK('Data Entry'!$¸$682), "", 'Data Entry'!$¸$682)</f>
      </c>
      <c r="DQ682">
        <f>IF(ISBLANK('Data Entry'!$¹$682), "", 'Data Entry'!$¹$682)</f>
      </c>
      <c r="DR682">
        <f>IF(ISBLANK('Data Entry'!$º$682), "", 'Data Entry'!$º$682)</f>
      </c>
      <c r="DS682">
        <f>IF(ISBLANK('Data Entry'!$»$682), "", 'Data Entry'!$»$682)</f>
      </c>
      <c r="DT682">
        <f>IF(ISBLANK('Data Entry'!$¼$682), "", 'Data Entry'!$¼$682)</f>
      </c>
      <c r="DU682">
        <f>IF(ISBLANK('Data Entry'!$½$682), "", 'Data Entry'!$½$682)</f>
      </c>
      <c r="DV682">
        <f>IF(ISBLANK('Data Entry'!$¾$682), "", 'Data Entry'!$¾$682)</f>
      </c>
      <c r="DW682">
        <f>IF(ISBLANK('Data Entry'!$¿$682), "", 'Data Entry'!$¿$682)</f>
      </c>
      <c r="DX682">
        <f>IF(ISBLANK('Data Entry'!$À$682), "", 'Data Entry'!$À$682)</f>
      </c>
      <c r="DY682">
        <f>IF(ISBLANK('Data Entry'!$Á$682), "", 'Data Entry'!$Á$682)</f>
      </c>
      <c r="DZ682">
        <f>IF(ISBLANK('Data Entry'!$Â$682), "", 'Data Entry'!$Â$682)</f>
      </c>
      <c r="EA682">
        <f>IF(ISBLANK('Data Entry'!$Ã$682), "", 'Data Entry'!$Ã$682)</f>
      </c>
      <c r="EB682">
        <f>IF(ISBLANK('Data Entry'!$Ä$682), "", 'Data Entry'!$Ä$682)</f>
      </c>
      <c r="EC682">
        <f>IF(ISBLANK('Data Entry'!$Å$682), "", 'Data Entry'!$Å$682)</f>
      </c>
      <c r="ED682">
        <f>IF(ISBLANK('Data Entry'!$Æ$682), "", 'Data Entry'!$Æ$682)</f>
      </c>
      <c r="EE682">
        <f>IF(ISBLANK('Data Entry'!$Ç$682), "", 'Data Entry'!$Ç$682)</f>
      </c>
      <c r="EF682">
        <f>IF(ISBLANK('Data Entry'!$È$682), "", 'Data Entry'!$È$682)</f>
      </c>
      <c r="EG682">
        <f>IF(ISBLANK('Data Entry'!$É$682), "", 'Data Entry'!$É$682)</f>
      </c>
      <c r="EH682">
        <f>IF(ISBLANK('Data Entry'!$Ê$682), "", 'Data Entry'!$Ê$682)</f>
      </c>
      <c r="EI682">
        <f>IF(ISBLANK('Data Entry'!$Ë$682), "", 'Data Entry'!$Ë$682)</f>
      </c>
      <c r="EJ682">
        <f>IF(ISBLANK('Data Entry'!$Ì$682), "", 'Data Entry'!$Ì$682)</f>
      </c>
      <c r="EK682">
        <f>IF(ISBLANK('Data Entry'!$Í$682), "", 'Data Entry'!$Í$682)</f>
      </c>
      <c r="EL682">
        <f>IF(ISBLANK('Data Entry'!$Î$682), "", 'Data Entry'!$Î$682)</f>
      </c>
      <c r="EM682">
        <f>IF(ISBLANK('Data Entry'!$Ï$682), "", 'Data Entry'!$Ï$682)</f>
      </c>
      <c r="EN682">
        <f>IF(ISBLANK('Data Entry'!$Ð$682), "", 'Data Entry'!$Ð$682)</f>
      </c>
      <c r="EO682">
        <f>IF(ISBLANK('Data Entry'!$Ñ$682), "", 'Data Entry'!$Ñ$682)</f>
      </c>
      <c r="EP682">
        <f>IF(ISBLANK('Data Entry'!$Ò$682), "", 'Data Entry'!$Ò$682)</f>
      </c>
      <c r="EQ682">
        <f>IF(ISBLANK('Data Entry'!$Ó$682), "", 'Data Entry'!$Ó$682)</f>
      </c>
      <c r="ER682">
        <f>IF(ISBLANK('Data Entry'!$Ô$682), "", 'Data Entry'!$Ô$682)</f>
      </c>
      <c r="ES682">
        <f>IF(ISBLANK('Data Entry'!$Õ$682), "", 'Data Entry'!$Õ$682)</f>
      </c>
      <c r="ET682">
        <f>IF(ISBLANK('Data Entry'!$Ö$682), "", 'Data Entry'!$Ö$682)</f>
      </c>
      <c r="EU682">
        <f>IF(ISBLANK('Data Entry'!$×$682), "", 'Data Entry'!$×$682)</f>
      </c>
      <c r="EV682">
        <f>IF(ISBLANK('Data Entry'!$Ø$682), "", 'Data Entry'!$Ø$682)</f>
      </c>
      <c r="EW682">
        <f>IF(ISBLANK('Data Entry'!$Ù$682), "", 'Data Entry'!$Ù$682)</f>
      </c>
      <c r="EX682">
        <f>IF(ISBLANK('Data Entry'!$Ú$682), "", 'Data Entry'!$Ú$682)</f>
      </c>
      <c r="EY682">
        <f>IF(ISBLANK('Data Entry'!$Û$682), "", 'Data Entry'!$Û$682)</f>
      </c>
      <c r="EZ682">
        <f>IF(ISBLANK('Data Entry'!$Ü$682), "", 'Data Entry'!$Ü$682)</f>
      </c>
      <c r="FA682">
        <f>IF(ISBLANK('Data Entry'!$Ý$682), "", 'Data Entry'!$Ý$682)</f>
      </c>
      <c r="FB682">
        <f>IF(ISBLANK('Data Entry'!$Þ$682), "", 'Data Entry'!$Þ$682)</f>
      </c>
      <c r="FC682">
        <f>IF(ISBLANK('Data Entry'!$ß$682), "", 'Data Entry'!$ß$682)</f>
      </c>
      <c r="FD682">
        <f>IF(ISBLANK('Data Entry'!$à$682), "", 'Data Entry'!$à$682)</f>
      </c>
      <c r="FE682">
        <f>IF(ISBLANK('Data Entry'!$á$682), "", 'Data Entry'!$á$682)</f>
      </c>
      <c r="FF682">
        <f>IF(ISBLANK('Data Entry'!$â$682), "", 'Data Entry'!$â$682)</f>
      </c>
      <c r="FG682">
        <f>IF(ISBLANK('Data Entry'!$ã$682), "", 'Data Entry'!$ã$682)</f>
      </c>
      <c r="FH682">
        <f>IF(ISBLANK('Data Entry'!$ä$682), "", 'Data Entry'!$ä$682)</f>
      </c>
      <c r="FI682">
        <f>IF(ISBLANK('Data Entry'!$å$682), "", 'Data Entry'!$å$682)</f>
      </c>
      <c r="FJ682">
        <f>IF(ISBLANK('Data Entry'!$æ$682), "", 'Data Entry'!$æ$682)</f>
      </c>
      <c r="FK682">
        <f>IF(ISBLANK('Data Entry'!$ç$682), "", 'Data Entry'!$ç$682)</f>
      </c>
      <c r="FL682">
        <f>IF(ISBLANK('Data Entry'!$è$682), "", 'Data Entry'!$è$682)</f>
      </c>
      <c r="FM682">
        <f>IF(ISBLANK('Data Entry'!$é$682), "", 'Data Entry'!$é$682)</f>
      </c>
      <c r="FN682">
        <f>IF(ISBLANK('Data Entry'!$ê$682), "", 'Data Entry'!$ê$682)</f>
      </c>
      <c r="FO682">
        <f>IF(ISBLANK('Data Entry'!$ë$682), "", 'Data Entry'!$ë$682)</f>
      </c>
      <c r="FP682">
        <f>IF(ISBLANK('Data Entry'!$ì$682), "", 'Data Entry'!$ì$682)</f>
      </c>
      <c r="FQ682">
        <f>IF(ISBLANK('Data Entry'!$í$682), "", 'Data Entry'!$í$682)</f>
      </c>
      <c r="FR682">
        <f>IF(ISBLANK('Data Entry'!$î$682), "", 'Data Entry'!$î$682)</f>
      </c>
      <c r="FS682">
        <f>IF(ISBLANK('Data Entry'!$ï$682), "", 'Data Entry'!$ï$682)</f>
      </c>
      <c r="FT682">
        <f>IF(ISBLANK('Data Entry'!$ð$682), "", 'Data Entry'!$ð$682)</f>
      </c>
      <c r="FU682">
        <f>IF(ISBLANK('Data Entry'!$ñ$682), "", 'Data Entry'!$ñ$682)</f>
      </c>
      <c r="FV682">
        <f>IF(ISBLANK('Data Entry'!$ò$682), "", 'Data Entry'!$ò$682)</f>
      </c>
      <c r="FW682">
        <f>IF(ISBLANK('Data Entry'!$ó$682), "", 'Data Entry'!$ó$682)</f>
      </c>
      <c r="FX682">
        <f>IF(ISBLANK('Data Entry'!$ô$682), "", 'Data Entry'!$ô$682)</f>
      </c>
      <c r="FY682">
        <f>IF(ISBLANK('Data Entry'!$õ$682), "", 'Data Entry'!$õ$682)</f>
      </c>
      <c r="FZ682">
        <f>IF(ISBLANK('Data Entry'!$ö$682), "", 'Data Entry'!$ö$682)</f>
      </c>
      <c r="GA682">
        <f>IF(ISBLANK('Data Entry'!$÷$682), "", 'Data Entry'!$÷$682)</f>
      </c>
      <c r="GB682">
        <f>IF(ISBLANK('Data Entry'!$ø$682), "", 'Data Entry'!$ø$682)</f>
      </c>
      <c r="GC682">
        <f>IF(ISBLANK('Data Entry'!$ù$682), "", 'Data Entry'!$ù$682)</f>
      </c>
      <c r="GD682">
        <f>IF(ISBLANK('Data Entry'!$ú$682), "", 'Data Entry'!$ú$682)</f>
      </c>
      <c r="GE682">
        <f>IF(ISBLANK('Data Entry'!$û$682), "", 'Data Entry'!$û$682)</f>
      </c>
      <c r="GF682">
        <f>IF(ISBLANK('Data Entry'!$ü$682), "", 'Data Entry'!$ü$682)</f>
      </c>
      <c r="GG682">
        <f>IF(ISBLANK('Data Entry'!$ý$682), "", 'Data Entry'!$ý$682)</f>
      </c>
      <c r="GH682">
        <f>IF(ISBLANK('Data Entry'!$þ$682), "", 'Data Entry'!$þ$682)</f>
      </c>
      <c r="GI682">
        <f>IF(ISBLANK('Data Entry'!$ÿ$682), "", 'Data Entry'!$ÿ$682)</f>
      </c>
      <c r="GJ682">
        <f>IF(ISBLANK('Data Entry'!$Ā$682), "", 'Data Entry'!$Ā$682)</f>
      </c>
      <c r="GK682">
        <f>IF(ISBLANK('Data Entry'!$ā$682), "", 'Data Entry'!$ā$682)</f>
      </c>
      <c r="GL682">
        <f>IF(ISBLANK('Data Entry'!$Ă$682), "", 'Data Entry'!$Ă$682)</f>
      </c>
      <c r="GM682">
        <f>IF(ISBLANK('Data Entry'!$ă$682), "", 'Data Entry'!$ă$682)</f>
      </c>
      <c r="GN682">
        <f>IF(ISBLANK('Data Entry'!$Ą$682), "", 'Data Entry'!$Ą$682)</f>
      </c>
      <c r="GO682">
        <f>IF(ISBLANK('Data Entry'!$ą$682), "", 'Data Entry'!$ą$682)</f>
      </c>
      <c r="GP682">
        <f>IF(ISBLANK('Data Entry'!$Ć$682), "", 'Data Entry'!$Ć$682)</f>
      </c>
      <c r="GQ682">
        <f>IF(ISBLANK('Data Entry'!$ć$682), "", 'Data Entry'!$ć$682)</f>
      </c>
      <c r="GR682">
        <f>IF(ISBLANK('Data Entry'!$Ĉ$682), "", 'Data Entry'!$Ĉ$682)</f>
      </c>
      <c r="GS682">
        <f>IF(ISBLANK('Data Entry'!$ĉ$682), "", 'Data Entry'!$ĉ$682)</f>
      </c>
      <c r="GT682">
        <f>IF(ISBLANK('Data Entry'!$Ċ$682), "", 'Data Entry'!$Ċ$682)</f>
      </c>
      <c r="GU682">
        <f>IF(ISBLANK('Data Entry'!$ċ$682), "", 'Data Entry'!$ċ$682)</f>
      </c>
      <c r="GV682">
        <f>IF(ISBLANK('Data Entry'!$Č$682), "", 'Data Entry'!$Č$682)</f>
      </c>
      <c r="GW682">
        <f>IF(ISBLANK('Data Entry'!$č$682), "", 'Data Entry'!$č$682)</f>
      </c>
      <c r="GX682">
        <f>IF(ISBLANK('Data Entry'!$Ď$682), "", 'Data Entry'!$Ď$682)</f>
      </c>
      <c r="GY682">
        <f>IF(ISBLANK('Data Entry'!$ď$682), "", 'Data Entry'!$ď$682)</f>
      </c>
      <c r="GZ682">
        <f>IF(ISBLANK('Data Entry'!$Đ$682), "", 'Data Entry'!$Đ$682)</f>
      </c>
      <c r="HA682">
        <f>IF(ISBLANK('Data Entry'!$đ$682), "", 'Data Entry'!$đ$682)</f>
      </c>
      <c r="HB682">
        <f>IF(ISBLANK('Data Entry'!$Ē$682), "", 'Data Entry'!$Ē$682)</f>
      </c>
      <c r="HC682">
        <f>IF(ISBLANK('Data Entry'!$ē$682), "", 'Data Entry'!$ē$682)</f>
      </c>
      <c r="HD682">
        <f>IF(ISBLANK('Data Entry'!$Ĕ$682), "", 'Data Entry'!$Ĕ$682)</f>
      </c>
      <c r="HE682">
        <f>IF(ISBLANK('Data Entry'!$ĕ$682), "", 'Data Entry'!$ĕ$682)</f>
      </c>
      <c r="HF682">
        <f>IF(ISBLANK('Data Entry'!$Ė$682), "", 'Data Entry'!$Ė$682)</f>
      </c>
      <c r="HG682">
        <f>IF(ISBLANK('Data Entry'!$ė$682), "", 'Data Entry'!$ė$682)</f>
      </c>
      <c r="HH682">
        <f>IF(ISBLANK('Data Entry'!$Ę$682), "", 'Data Entry'!$Ę$682)</f>
      </c>
      <c r="HI682">
        <f>IF(ISBLANK('Data Entry'!$ę$682), "", 'Data Entry'!$ę$682)</f>
      </c>
      <c r="HJ682">
        <f>IF(ISBLANK('Data Entry'!$Ě$682), "", 'Data Entry'!$Ě$682)</f>
      </c>
      <c r="HK682">
        <f>IF(ISBLANK('Data Entry'!$ě$682), "", 'Data Entry'!$ě$682)</f>
      </c>
      <c r="HL682">
        <f>IF(ISBLANK('Data Entry'!$Ĝ$682), "", 'Data Entry'!$Ĝ$682)</f>
      </c>
      <c r="HM682">
        <f>IF(ISBLANK('Data Entry'!$ĝ$682), "", 'Data Entry'!$ĝ$682)</f>
      </c>
      <c r="HN682">
        <f>IF(ISBLANK('Data Entry'!$Ğ$682), "", 'Data Entry'!$Ğ$682)</f>
      </c>
      <c r="HO682">
        <f>IF(ISBLANK('Data Entry'!$ğ$682), "", 'Data Entry'!$ğ$682)</f>
      </c>
      <c r="HP682">
        <f>IF(ISBLANK('Data Entry'!$Ġ$682), "", 'Data Entry'!$Ġ$682)</f>
      </c>
      <c r="HQ682">
        <f>IF(ISBLANK('Data Entry'!$ġ$682), "", 'Data Entry'!$ġ$682)</f>
      </c>
      <c r="HR682">
        <f>IF(ISBLANK('Data Entry'!$Ģ$682), "", 'Data Entry'!$Ģ$682)</f>
      </c>
      <c r="HS682">
        <f>IF(ISBLANK('Data Entry'!$ģ$682), "", 'Data Entry'!$ģ$682)</f>
      </c>
      <c r="HT682">
        <f>IF(ISBLANK('Data Entry'!$Ĥ$682), "", 'Data Entry'!$Ĥ$682)</f>
      </c>
      <c r="HU682">
        <f>IF(ISBLANK('Data Entry'!$ĥ$682), "", 'Data Entry'!$ĥ$682)</f>
      </c>
      <c r="HV682">
        <f>IF(ISBLANK('Data Entry'!$Ħ$682), "", 'Data Entry'!$Ħ$682)</f>
      </c>
      <c r="HW682">
        <f>IF(ISBLANK('Data Entry'!$ħ$682), "", 'Data Entry'!$ħ$682)</f>
      </c>
      <c r="HX682">
        <f>IF(ISBLANK('Data Entry'!$Ĩ$682), "", 'Data Entry'!$Ĩ$682)</f>
      </c>
      <c r="HY682">
        <f>IF(ISBLANK('Data Entry'!$ĩ$682), "", 'Data Entry'!$ĩ$682)</f>
      </c>
      <c r="HZ682">
        <f>IF(ISBLANK('Data Entry'!$Ī$682), "", 'Data Entry'!$Ī$682)</f>
      </c>
      <c r="IA682">
        <f>IF(ISBLANK('Data Entry'!$ī$682), "", 'Data Entry'!$ī$682)</f>
      </c>
      <c r="IB682">
        <f>IF(ISBLANK('Data Entry'!$Ĭ$682), "", 'Data Entry'!$Ĭ$682)</f>
      </c>
      <c r="IC682">
        <f>IF(ISBLANK('Data Entry'!$ĭ$682), "", 'Data Entry'!$ĭ$682)</f>
      </c>
      <c r="ID682">
        <f>IF(ISBLANK('Data Entry'!$Į$682), "", 'Data Entry'!$Į$682)</f>
      </c>
      <c r="IE682">
        <f>IF(ISBLANK('Data Entry'!$į$682), "", 'Data Entry'!$į$682)</f>
      </c>
      <c r="IF682">
        <f>IF(ISBLANK('Data Entry'!$İ$682), "", 'Data Entry'!$İ$682)</f>
      </c>
      <c r="IG682">
        <f>IF(ISBLANK('Data Entry'!$ı$682), "", 'Data Entry'!$ı$682)</f>
      </c>
      <c r="IH682">
        <f>IF(ISBLANK('Data Entry'!$Ĳ$682), "", 'Data Entry'!$Ĳ$682)</f>
      </c>
      <c r="II682">
        <f>IF(ISBLANK('Data Entry'!$ĳ$682), "", 'Data Entry'!$ĳ$682)</f>
      </c>
      <c r="IJ682">
        <f>IF(ISBLANK('Data Entry'!$Ĵ$682), "", 'Data Entry'!$Ĵ$682)</f>
      </c>
      <c r="IK682">
        <f>IF(ISBLANK('Data Entry'!$ĵ$682), "", 'Data Entry'!$ĵ$682)</f>
      </c>
      <c r="IL682">
        <f>IF(ISBLANK('Data Entry'!$Ķ$682), "", 'Data Entry'!$Ķ$682)</f>
      </c>
      <c r="IM682">
        <f>IF(ISBLANK('Data Entry'!$ķ$682), "", 'Data Entry'!$ķ$682)</f>
      </c>
      <c r="IN682">
        <f>IF(ISBLANK('Data Entry'!$ĸ$682), "", 'Data Entry'!$ĸ$682)</f>
      </c>
      <c r="IO682">
        <f>IF(ISBLANK('Data Entry'!$Ĺ$682), "", 'Data Entry'!$Ĺ$682)</f>
      </c>
      <c r="IP682">
        <f>IF(ISBLANK('Data Entry'!$ĺ$682), "", 'Data Entry'!$ĺ$682)</f>
      </c>
      <c r="IQ682">
        <f>IF(ISBLANK('Data Entry'!$Ļ$682), "", 'Data Entry'!$Ļ$682)</f>
      </c>
      <c r="IR682">
        <f>IF(ISBLANK('Data Entry'!$ļ$682), "", 'Data Entry'!$ļ$682)</f>
      </c>
      <c r="IS682">
        <f>IF(ISBLANK('Data Entry'!$Ľ$682), "", 'Data Entry'!$Ľ$682)</f>
      </c>
      <c r="IT682">
        <f>IF(ISBLANK('Data Entry'!$ľ$682), "", 'Data Entry'!$ľ$682)</f>
      </c>
    </row>
    <row r="683" spans="1:254" x14ac:dyDescent="0.25">
      <c r="A683">
        <f>IF(ISBLANK('Data Entry'!$A$683), "", 'Data Entry'!$A$683)</f>
      </c>
      <c r="B683">
        <f>IF(ISBLANK('Data Entry'!$B$683), "", 'Data Entry'!$B$683)</f>
      </c>
      <c r="C683">
        <f>IF(ISBLANK('Data Entry'!$C$683), "", 'Data Entry'!$C$683)</f>
      </c>
      <c r="D683">
        <f>IF(ISBLANK('Data Entry'!$D$683), "", 'Data Entry'!$D$683)</f>
      </c>
      <c r="E683">
        <f>IF(ISBLANK('Data Entry'!$E$683), "", 'Data Entry'!$E$683)</f>
      </c>
      <c r="F683">
        <f>IF(ISBLANK('Data Entry'!$F$683), "", 'Data Entry'!$F$683)</f>
      </c>
      <c r="G683">
        <f>IF(ISBLANK('Data Entry'!$G$683), "", 'Data Entry'!$G$683)</f>
      </c>
      <c r="H683">
        <f>IF(ISBLANK('Data Entry'!$H$683), "", 'Data Entry'!$H$683)</f>
      </c>
      <c r="I683">
        <f>IF(ISBLANK('Data Entry'!$I$683), "", 'Data Entry'!$I$683)</f>
      </c>
      <c r="J683">
        <f>IF(ISBLANK('Data Entry'!$J$683), "", 'Data Entry'!$J$683)</f>
      </c>
      <c r="K683">
        <f>IF(ISBLANK('Data Entry'!$K$683), "", 'Data Entry'!$K$683)</f>
      </c>
      <c r="L683">
        <f>IF(ISBLANK('Data Entry'!$L$683), "", 'Data Entry'!$L$683)</f>
      </c>
      <c r="M683">
        <f>IF(ISBLANK('Data Entry'!$M$683), "", 'Data Entry'!$M$683)</f>
      </c>
      <c r="N683">
        <f>IF(ISBLANK('Data Entry'!$N$683), "", 'Data Entry'!$N$683)</f>
      </c>
      <c r="O683">
        <f>IF(ISBLANK('Data Entry'!$O$683), "", 'Data Entry'!$O$683)</f>
      </c>
      <c r="P683">
        <f>IF(ISBLANK('Data Entry'!$P$683), "", 'Data Entry'!$P$683)</f>
      </c>
      <c r="Q683">
        <f>IF(ISBLANK('Data Entry'!$Q$683), "", 'Data Entry'!$Q$683)</f>
      </c>
      <c r="R683">
        <f>IF(ISBLANK('Data Entry'!$R$683), "", 'Data Entry'!$R$683)</f>
      </c>
      <c r="S683">
        <f>IF(ISBLANK('Data Entry'!$S$683), "", 'Data Entry'!$S$683)</f>
      </c>
      <c r="T683">
        <f>IF(ISBLANK('Data Entry'!$T$683), "", 'Data Entry'!$T$683)</f>
      </c>
      <c r="U683">
        <f>IF(ISBLANK('Data Entry'!$U$683), "", 'Data Entry'!$U$683)</f>
      </c>
      <c r="V683">
        <f>IF(ISBLANK('Data Entry'!$V$683), "", 'Data Entry'!$V$683)</f>
      </c>
      <c r="W683">
        <f>IF(ISBLANK('Data Entry'!$W$683), "", 'Data Entry'!$W$683)</f>
      </c>
      <c r="X683">
        <f>IF(ISBLANK('Data Entry'!$X$683), "", 'Data Entry'!$X$683)</f>
      </c>
      <c r="Y683">
        <f>IF(ISBLANK('Data Entry'!$Y$683), "", 'Data Entry'!$Y$683)</f>
      </c>
      <c r="Z683">
        <f>IF(ISBLANK('Data Entry'!$Z$683), "", 'Data Entry'!$Z$683)</f>
      </c>
      <c r="AA683">
        <f>IF(ISBLANK('Data Entry'!$[$683), "", 'Data Entry'!$[$683)</f>
      </c>
      <c r="AB683">
        <f>IF(ISBLANK('Data Entry'!$\$683), "", 'Data Entry'!$\$683)</f>
      </c>
      <c r="AC683">
        <f>IF(ISBLANK('Data Entry'!$]$683), "", 'Data Entry'!$]$683)</f>
      </c>
      <c r="AD683">
        <f>IF(ISBLANK('Data Entry'!$^$683), "", 'Data Entry'!$^$683)</f>
      </c>
      <c r="AE683">
        <f>IF(ISBLANK('Data Entry'!$_$683), "", 'Data Entry'!$_$683)</f>
      </c>
      <c r="AF683">
        <f>IF(ISBLANK('Data Entry'!$`$683), "", 'Data Entry'!$`$683)</f>
      </c>
      <c r="AG683">
        <f>IF(ISBLANK('Data Entry'!$a$683), "", 'Data Entry'!$a$683)</f>
      </c>
      <c r="AH683">
        <f>IF(ISBLANK('Data Entry'!$b$683), "", 'Data Entry'!$b$683)</f>
      </c>
      <c r="AI683">
        <f>IF(ISBLANK('Data Entry'!$c$683), "", 'Data Entry'!$c$683)</f>
      </c>
      <c r="AJ683">
        <f>IF(ISBLANK('Data Entry'!$d$683), "", 'Data Entry'!$d$683)</f>
      </c>
      <c r="AK683">
        <f>IF(ISBLANK('Data Entry'!$e$683), "", 'Data Entry'!$e$683)</f>
      </c>
      <c r="AL683">
        <f>IF(ISBLANK('Data Entry'!$f$683), "", 'Data Entry'!$f$683)</f>
      </c>
      <c r="AM683">
        <f>IF(ISBLANK('Data Entry'!$g$683), "", 'Data Entry'!$g$683)</f>
      </c>
      <c r="AN683">
        <f>IF(ISBLANK('Data Entry'!$h$683), "", 'Data Entry'!$h$683)</f>
      </c>
      <c r="AO683">
        <f>IF(ISBLANK('Data Entry'!$i$683), "", 'Data Entry'!$i$683)</f>
      </c>
      <c r="AP683">
        <f>IF(ISBLANK('Data Entry'!$j$683), "", 'Data Entry'!$j$683)</f>
      </c>
      <c r="AQ683">
        <f>IF(ISBLANK('Data Entry'!$k$683), "", 'Data Entry'!$k$683)</f>
      </c>
      <c r="AR683">
        <f>IF(ISBLANK('Data Entry'!$l$683), "", 'Data Entry'!$l$683)</f>
      </c>
      <c r="AS683">
        <f>IF(ISBLANK('Data Entry'!$m$683), "", 'Data Entry'!$m$683)</f>
      </c>
      <c r="AT683">
        <f>IF(ISBLANK('Data Entry'!$n$683), "", 'Data Entry'!$n$683)</f>
      </c>
      <c r="AU683">
        <f>IF(ISBLANK('Data Entry'!$o$683), "", 'Data Entry'!$o$683)</f>
      </c>
      <c r="AV683">
        <f>IF(ISBLANK('Data Entry'!$p$683), "", 'Data Entry'!$p$683)</f>
      </c>
      <c r="AW683">
        <f>IF(ISBLANK('Data Entry'!$q$683), "", 'Data Entry'!$q$683)</f>
      </c>
      <c r="AX683">
        <f>IF(ISBLANK('Data Entry'!$r$683), "", 'Data Entry'!$r$683)</f>
      </c>
      <c r="AY683">
        <f>IF(ISBLANK('Data Entry'!$s$683), "", 'Data Entry'!$s$683)</f>
      </c>
      <c r="AZ683">
        <f>IF(ISBLANK('Data Entry'!$t$683), "", 'Data Entry'!$t$683)</f>
      </c>
      <c r="BA683">
        <f>IF(ISBLANK('Data Entry'!$u$683), "", 'Data Entry'!$u$683)</f>
      </c>
      <c r="BB683">
        <f>IF(ISBLANK('Data Entry'!$v$683), "", 'Data Entry'!$v$683)</f>
      </c>
      <c r="BC683">
        <f>IF(ISBLANK('Data Entry'!$w$683), "", 'Data Entry'!$w$683)</f>
      </c>
      <c r="BD683">
        <f>IF(ISBLANK('Data Entry'!$x$683), "", 'Data Entry'!$x$683)</f>
      </c>
      <c r="BE683">
        <f>IF(ISBLANK('Data Entry'!$y$683), "", 'Data Entry'!$y$683)</f>
      </c>
      <c r="BF683">
        <f>IF(ISBLANK('Data Entry'!$z$683), "", 'Data Entry'!$z$683)</f>
      </c>
      <c r="BG683">
        <f>IF(ISBLANK('Data Entry'!${$683), "", 'Data Entry'!${$683)</f>
      </c>
      <c r="BH683">
        <f>IF(ISBLANK('Data Entry'!$|$683), "", 'Data Entry'!$|$683)</f>
      </c>
      <c r="BI683">
        <f>IF(ISBLANK('Data Entry'!$}$683), "", 'Data Entry'!$}$683)</f>
      </c>
      <c r="BJ683">
        <f>IF(ISBLANK('Data Entry'!$~$683), "", 'Data Entry'!$~$683)</f>
      </c>
      <c r="BK683">
        <f>IF(ISBLANK('Data Entry'!$$683), "", 'Data Entry'!$$683)</f>
      </c>
      <c r="BL683">
        <f>IF(ISBLANK('Data Entry'!$$683), "", 'Data Entry'!$$683)</f>
      </c>
      <c r="BM683">
        <f>IF(ISBLANK('Data Entry'!$$683), "", 'Data Entry'!$$683)</f>
      </c>
      <c r="BN683">
        <f>IF(ISBLANK('Data Entry'!$$683), "", 'Data Entry'!$$683)</f>
      </c>
      <c r="BO683">
        <f>IF(ISBLANK('Data Entry'!$$683), "", 'Data Entry'!$$683)</f>
      </c>
      <c r="BP683">
        <f>IF(ISBLANK('Data Entry'!$$683), "", 'Data Entry'!$$683)</f>
      </c>
      <c r="BQ683">
        <f>IF(ISBLANK('Data Entry'!$$683), "", 'Data Entry'!$$683)</f>
      </c>
      <c r="BR683">
        <f>IF(ISBLANK('Data Entry'!$$683), "", 'Data Entry'!$$683)</f>
      </c>
      <c r="BS683">
        <f>IF(ISBLANK('Data Entry'!$$683), "", 'Data Entry'!$$683)</f>
      </c>
      <c r="BT683">
        <f>IF(ISBLANK('Data Entry'!$$683), "", 'Data Entry'!$$683)</f>
      </c>
      <c r="BU683">
        <f>IF(ISBLANK('Data Entry'!$$683), "", 'Data Entry'!$$683)</f>
      </c>
      <c r="BV683">
        <f>IF(ISBLANK('Data Entry'!$$683), "", 'Data Entry'!$$683)</f>
      </c>
      <c r="BW683">
        <f>IF(ISBLANK('Data Entry'!$$683), "", 'Data Entry'!$$683)</f>
      </c>
      <c r="BX683">
        <f>IF(ISBLANK('Data Entry'!$$683), "", 'Data Entry'!$$683)</f>
      </c>
      <c r="BY683">
        <f>IF(ISBLANK('Data Entry'!$$683), "", 'Data Entry'!$$683)</f>
      </c>
      <c r="BZ683">
        <f>IF(ISBLANK('Data Entry'!$$683), "", 'Data Entry'!$$683)</f>
      </c>
      <c r="CA683">
        <f>IF(ISBLANK('Data Entry'!$$683), "", 'Data Entry'!$$683)</f>
      </c>
      <c r="CB683">
        <f>IF(ISBLANK('Data Entry'!$$683), "", 'Data Entry'!$$683)</f>
      </c>
      <c r="CC683">
        <f>IF(ISBLANK('Data Entry'!$$683), "", 'Data Entry'!$$683)</f>
      </c>
      <c r="CD683">
        <f>IF(ISBLANK('Data Entry'!$$683), "", 'Data Entry'!$$683)</f>
      </c>
      <c r="CE683">
        <f>IF(ISBLANK('Data Entry'!$$683), "", 'Data Entry'!$$683)</f>
      </c>
      <c r="CF683">
        <f>IF(ISBLANK('Data Entry'!$$683), "", 'Data Entry'!$$683)</f>
      </c>
      <c r="CG683">
        <f>IF(ISBLANK('Data Entry'!$$683), "", 'Data Entry'!$$683)</f>
      </c>
      <c r="CH683">
        <f>IF(ISBLANK('Data Entry'!$$683), "", 'Data Entry'!$$683)</f>
      </c>
      <c r="CI683">
        <f>IF(ISBLANK('Data Entry'!$$683), "", 'Data Entry'!$$683)</f>
      </c>
      <c r="CJ683">
        <f>IF(ISBLANK('Data Entry'!$$683), "", 'Data Entry'!$$683)</f>
      </c>
      <c r="CK683">
        <f>IF(ISBLANK('Data Entry'!$$683), "", 'Data Entry'!$$683)</f>
      </c>
      <c r="CL683">
        <f>IF(ISBLANK('Data Entry'!$$683), "", 'Data Entry'!$$683)</f>
      </c>
      <c r="CM683">
        <f>IF(ISBLANK('Data Entry'!$$683), "", 'Data Entry'!$$683)</f>
      </c>
      <c r="CN683">
        <f>IF(ISBLANK('Data Entry'!$$683), "", 'Data Entry'!$$683)</f>
      </c>
      <c r="CO683">
        <f>IF(ISBLANK('Data Entry'!$$683), "", 'Data Entry'!$$683)</f>
      </c>
      <c r="CP683">
        <f>IF(ISBLANK('Data Entry'!$$683), "", 'Data Entry'!$$683)</f>
      </c>
      <c r="CQ683">
        <f>IF(ISBLANK('Data Entry'!$$683), "", 'Data Entry'!$$683)</f>
      </c>
      <c r="CR683">
        <f>IF(ISBLANK('Data Entry'!$ $683), "", 'Data Entry'!$ $683)</f>
      </c>
      <c r="CS683">
        <f>IF(ISBLANK('Data Entry'!$¡$683), "", 'Data Entry'!$¡$683)</f>
      </c>
      <c r="CT683">
        <f>IF(ISBLANK('Data Entry'!$¢$683), "", 'Data Entry'!$¢$683)</f>
      </c>
      <c r="CU683">
        <f>IF(ISBLANK('Data Entry'!$£$683), "", 'Data Entry'!$£$683)</f>
      </c>
      <c r="CV683">
        <f>IF(ISBLANK('Data Entry'!$¤$683), "", 'Data Entry'!$¤$683)</f>
      </c>
      <c r="CW683">
        <f>IF(ISBLANK('Data Entry'!$¥$683), "", 'Data Entry'!$¥$683)</f>
      </c>
      <c r="CX683">
        <f>IF(ISBLANK('Data Entry'!$¦$683), "", 'Data Entry'!$¦$683)</f>
      </c>
      <c r="CY683">
        <f>IF(ISBLANK('Data Entry'!$§$683), "", 'Data Entry'!$§$683)</f>
      </c>
      <c r="CZ683">
        <f>IF(ISBLANK('Data Entry'!$¨$683), "", 'Data Entry'!$¨$683)</f>
      </c>
      <c r="DA683">
        <f>IF(ISBLANK('Data Entry'!$©$683), "", 'Data Entry'!$©$683)</f>
      </c>
      <c r="DB683">
        <f>IF(ISBLANK('Data Entry'!$ª$683), "", 'Data Entry'!$ª$683)</f>
      </c>
      <c r="DC683">
        <f>IF(ISBLANK('Data Entry'!$«$683), "", 'Data Entry'!$«$683)</f>
      </c>
      <c r="DD683">
        <f>IF(ISBLANK('Data Entry'!$¬$683), "", 'Data Entry'!$¬$683)</f>
      </c>
      <c r="DE683">
        <f>IF(ISBLANK('Data Entry'!$­$683), "", 'Data Entry'!$­$683)</f>
      </c>
      <c r="DF683">
        <f>IF(ISBLANK('Data Entry'!$®$683), "", 'Data Entry'!$®$683)</f>
      </c>
      <c r="DG683">
        <f>IF(ISBLANK('Data Entry'!$¯$683), "", 'Data Entry'!$¯$683)</f>
      </c>
      <c r="DH683">
        <f>IF(ISBLANK('Data Entry'!$°$683), "", 'Data Entry'!$°$683)</f>
      </c>
      <c r="DI683">
        <f>IF(ISBLANK('Data Entry'!$±$683), "", 'Data Entry'!$±$683)</f>
      </c>
      <c r="DJ683">
        <f>IF(ISBLANK('Data Entry'!$²$683), "", 'Data Entry'!$²$683)</f>
      </c>
      <c r="DK683">
        <f>IF(ISBLANK('Data Entry'!$³$683), "", 'Data Entry'!$³$683)</f>
      </c>
      <c r="DL683">
        <f>IF(ISBLANK('Data Entry'!$´$683), "", 'Data Entry'!$´$683)</f>
      </c>
      <c r="DM683">
        <f>IF(ISBLANK('Data Entry'!$µ$683), "", 'Data Entry'!$µ$683)</f>
      </c>
      <c r="DN683">
        <f>IF(ISBLANK('Data Entry'!$¶$683), "", 'Data Entry'!$¶$683)</f>
      </c>
      <c r="DO683">
        <f>IF(ISBLANK('Data Entry'!$·$683), "", 'Data Entry'!$·$683)</f>
      </c>
      <c r="DP683">
        <f>IF(ISBLANK('Data Entry'!$¸$683), "", 'Data Entry'!$¸$683)</f>
      </c>
      <c r="DQ683">
        <f>IF(ISBLANK('Data Entry'!$¹$683), "", 'Data Entry'!$¹$683)</f>
      </c>
      <c r="DR683">
        <f>IF(ISBLANK('Data Entry'!$º$683), "", 'Data Entry'!$º$683)</f>
      </c>
      <c r="DS683">
        <f>IF(ISBLANK('Data Entry'!$»$683), "", 'Data Entry'!$»$683)</f>
      </c>
      <c r="DT683">
        <f>IF(ISBLANK('Data Entry'!$¼$683), "", 'Data Entry'!$¼$683)</f>
      </c>
      <c r="DU683">
        <f>IF(ISBLANK('Data Entry'!$½$683), "", 'Data Entry'!$½$683)</f>
      </c>
      <c r="DV683">
        <f>IF(ISBLANK('Data Entry'!$¾$683), "", 'Data Entry'!$¾$683)</f>
      </c>
      <c r="DW683">
        <f>IF(ISBLANK('Data Entry'!$¿$683), "", 'Data Entry'!$¿$683)</f>
      </c>
      <c r="DX683">
        <f>IF(ISBLANK('Data Entry'!$À$683), "", 'Data Entry'!$À$683)</f>
      </c>
      <c r="DY683">
        <f>IF(ISBLANK('Data Entry'!$Á$683), "", 'Data Entry'!$Á$683)</f>
      </c>
      <c r="DZ683">
        <f>IF(ISBLANK('Data Entry'!$Â$683), "", 'Data Entry'!$Â$683)</f>
      </c>
      <c r="EA683">
        <f>IF(ISBLANK('Data Entry'!$Ã$683), "", 'Data Entry'!$Ã$683)</f>
      </c>
      <c r="EB683">
        <f>IF(ISBLANK('Data Entry'!$Ä$683), "", 'Data Entry'!$Ä$683)</f>
      </c>
      <c r="EC683">
        <f>IF(ISBLANK('Data Entry'!$Å$683), "", 'Data Entry'!$Å$683)</f>
      </c>
      <c r="ED683">
        <f>IF(ISBLANK('Data Entry'!$Æ$683), "", 'Data Entry'!$Æ$683)</f>
      </c>
      <c r="EE683">
        <f>IF(ISBLANK('Data Entry'!$Ç$683), "", 'Data Entry'!$Ç$683)</f>
      </c>
      <c r="EF683">
        <f>IF(ISBLANK('Data Entry'!$È$683), "", 'Data Entry'!$È$683)</f>
      </c>
      <c r="EG683">
        <f>IF(ISBLANK('Data Entry'!$É$683), "", 'Data Entry'!$É$683)</f>
      </c>
      <c r="EH683">
        <f>IF(ISBLANK('Data Entry'!$Ê$683), "", 'Data Entry'!$Ê$683)</f>
      </c>
      <c r="EI683">
        <f>IF(ISBLANK('Data Entry'!$Ë$683), "", 'Data Entry'!$Ë$683)</f>
      </c>
      <c r="EJ683">
        <f>IF(ISBLANK('Data Entry'!$Ì$683), "", 'Data Entry'!$Ì$683)</f>
      </c>
      <c r="EK683">
        <f>IF(ISBLANK('Data Entry'!$Í$683), "", 'Data Entry'!$Í$683)</f>
      </c>
      <c r="EL683">
        <f>IF(ISBLANK('Data Entry'!$Î$683), "", 'Data Entry'!$Î$683)</f>
      </c>
      <c r="EM683">
        <f>IF(ISBLANK('Data Entry'!$Ï$683), "", 'Data Entry'!$Ï$683)</f>
      </c>
      <c r="EN683">
        <f>IF(ISBLANK('Data Entry'!$Ð$683), "", 'Data Entry'!$Ð$683)</f>
      </c>
      <c r="EO683">
        <f>IF(ISBLANK('Data Entry'!$Ñ$683), "", 'Data Entry'!$Ñ$683)</f>
      </c>
      <c r="EP683">
        <f>IF(ISBLANK('Data Entry'!$Ò$683), "", 'Data Entry'!$Ò$683)</f>
      </c>
      <c r="EQ683">
        <f>IF(ISBLANK('Data Entry'!$Ó$683), "", 'Data Entry'!$Ó$683)</f>
      </c>
      <c r="ER683">
        <f>IF(ISBLANK('Data Entry'!$Ô$683), "", 'Data Entry'!$Ô$683)</f>
      </c>
      <c r="ES683">
        <f>IF(ISBLANK('Data Entry'!$Õ$683), "", 'Data Entry'!$Õ$683)</f>
      </c>
      <c r="ET683">
        <f>IF(ISBLANK('Data Entry'!$Ö$683), "", 'Data Entry'!$Ö$683)</f>
      </c>
      <c r="EU683">
        <f>IF(ISBLANK('Data Entry'!$×$683), "", 'Data Entry'!$×$683)</f>
      </c>
      <c r="EV683">
        <f>IF(ISBLANK('Data Entry'!$Ø$683), "", 'Data Entry'!$Ø$683)</f>
      </c>
      <c r="EW683">
        <f>IF(ISBLANK('Data Entry'!$Ù$683), "", 'Data Entry'!$Ù$683)</f>
      </c>
      <c r="EX683">
        <f>IF(ISBLANK('Data Entry'!$Ú$683), "", 'Data Entry'!$Ú$683)</f>
      </c>
      <c r="EY683">
        <f>IF(ISBLANK('Data Entry'!$Û$683), "", 'Data Entry'!$Û$683)</f>
      </c>
      <c r="EZ683">
        <f>IF(ISBLANK('Data Entry'!$Ü$683), "", 'Data Entry'!$Ü$683)</f>
      </c>
      <c r="FA683">
        <f>IF(ISBLANK('Data Entry'!$Ý$683), "", 'Data Entry'!$Ý$683)</f>
      </c>
      <c r="FB683">
        <f>IF(ISBLANK('Data Entry'!$Þ$683), "", 'Data Entry'!$Þ$683)</f>
      </c>
      <c r="FC683">
        <f>IF(ISBLANK('Data Entry'!$ß$683), "", 'Data Entry'!$ß$683)</f>
      </c>
      <c r="FD683">
        <f>IF(ISBLANK('Data Entry'!$à$683), "", 'Data Entry'!$à$683)</f>
      </c>
      <c r="FE683">
        <f>IF(ISBLANK('Data Entry'!$á$683), "", 'Data Entry'!$á$683)</f>
      </c>
      <c r="FF683">
        <f>IF(ISBLANK('Data Entry'!$â$683), "", 'Data Entry'!$â$683)</f>
      </c>
      <c r="FG683">
        <f>IF(ISBLANK('Data Entry'!$ã$683), "", 'Data Entry'!$ã$683)</f>
      </c>
      <c r="FH683">
        <f>IF(ISBLANK('Data Entry'!$ä$683), "", 'Data Entry'!$ä$683)</f>
      </c>
      <c r="FI683">
        <f>IF(ISBLANK('Data Entry'!$å$683), "", 'Data Entry'!$å$683)</f>
      </c>
      <c r="FJ683">
        <f>IF(ISBLANK('Data Entry'!$æ$683), "", 'Data Entry'!$æ$683)</f>
      </c>
      <c r="FK683">
        <f>IF(ISBLANK('Data Entry'!$ç$683), "", 'Data Entry'!$ç$683)</f>
      </c>
      <c r="FL683">
        <f>IF(ISBLANK('Data Entry'!$è$683), "", 'Data Entry'!$è$683)</f>
      </c>
      <c r="FM683">
        <f>IF(ISBLANK('Data Entry'!$é$683), "", 'Data Entry'!$é$683)</f>
      </c>
      <c r="FN683">
        <f>IF(ISBLANK('Data Entry'!$ê$683), "", 'Data Entry'!$ê$683)</f>
      </c>
      <c r="FO683">
        <f>IF(ISBLANK('Data Entry'!$ë$683), "", 'Data Entry'!$ë$683)</f>
      </c>
      <c r="FP683">
        <f>IF(ISBLANK('Data Entry'!$ì$683), "", 'Data Entry'!$ì$683)</f>
      </c>
      <c r="FQ683">
        <f>IF(ISBLANK('Data Entry'!$í$683), "", 'Data Entry'!$í$683)</f>
      </c>
      <c r="FR683">
        <f>IF(ISBLANK('Data Entry'!$î$683), "", 'Data Entry'!$î$683)</f>
      </c>
      <c r="FS683">
        <f>IF(ISBLANK('Data Entry'!$ï$683), "", 'Data Entry'!$ï$683)</f>
      </c>
      <c r="FT683">
        <f>IF(ISBLANK('Data Entry'!$ð$683), "", 'Data Entry'!$ð$683)</f>
      </c>
      <c r="FU683">
        <f>IF(ISBLANK('Data Entry'!$ñ$683), "", 'Data Entry'!$ñ$683)</f>
      </c>
      <c r="FV683">
        <f>IF(ISBLANK('Data Entry'!$ò$683), "", 'Data Entry'!$ò$683)</f>
      </c>
      <c r="FW683">
        <f>IF(ISBLANK('Data Entry'!$ó$683), "", 'Data Entry'!$ó$683)</f>
      </c>
      <c r="FX683">
        <f>IF(ISBLANK('Data Entry'!$ô$683), "", 'Data Entry'!$ô$683)</f>
      </c>
      <c r="FY683">
        <f>IF(ISBLANK('Data Entry'!$õ$683), "", 'Data Entry'!$õ$683)</f>
      </c>
      <c r="FZ683">
        <f>IF(ISBLANK('Data Entry'!$ö$683), "", 'Data Entry'!$ö$683)</f>
      </c>
      <c r="GA683">
        <f>IF(ISBLANK('Data Entry'!$÷$683), "", 'Data Entry'!$÷$683)</f>
      </c>
      <c r="GB683">
        <f>IF(ISBLANK('Data Entry'!$ø$683), "", 'Data Entry'!$ø$683)</f>
      </c>
      <c r="GC683">
        <f>IF(ISBLANK('Data Entry'!$ù$683), "", 'Data Entry'!$ù$683)</f>
      </c>
      <c r="GD683">
        <f>IF(ISBLANK('Data Entry'!$ú$683), "", 'Data Entry'!$ú$683)</f>
      </c>
      <c r="GE683">
        <f>IF(ISBLANK('Data Entry'!$û$683), "", 'Data Entry'!$û$683)</f>
      </c>
      <c r="GF683">
        <f>IF(ISBLANK('Data Entry'!$ü$683), "", 'Data Entry'!$ü$683)</f>
      </c>
      <c r="GG683">
        <f>IF(ISBLANK('Data Entry'!$ý$683), "", 'Data Entry'!$ý$683)</f>
      </c>
      <c r="GH683">
        <f>IF(ISBLANK('Data Entry'!$þ$683), "", 'Data Entry'!$þ$683)</f>
      </c>
      <c r="GI683">
        <f>IF(ISBLANK('Data Entry'!$ÿ$683), "", 'Data Entry'!$ÿ$683)</f>
      </c>
      <c r="GJ683">
        <f>IF(ISBLANK('Data Entry'!$Ā$683), "", 'Data Entry'!$Ā$683)</f>
      </c>
      <c r="GK683">
        <f>IF(ISBLANK('Data Entry'!$ā$683), "", 'Data Entry'!$ā$683)</f>
      </c>
      <c r="GL683">
        <f>IF(ISBLANK('Data Entry'!$Ă$683), "", 'Data Entry'!$Ă$683)</f>
      </c>
      <c r="GM683">
        <f>IF(ISBLANK('Data Entry'!$ă$683), "", 'Data Entry'!$ă$683)</f>
      </c>
      <c r="GN683">
        <f>IF(ISBLANK('Data Entry'!$Ą$683), "", 'Data Entry'!$Ą$683)</f>
      </c>
      <c r="GO683">
        <f>IF(ISBLANK('Data Entry'!$ą$683), "", 'Data Entry'!$ą$683)</f>
      </c>
      <c r="GP683">
        <f>IF(ISBLANK('Data Entry'!$Ć$683), "", 'Data Entry'!$Ć$683)</f>
      </c>
      <c r="GQ683">
        <f>IF(ISBLANK('Data Entry'!$ć$683), "", 'Data Entry'!$ć$683)</f>
      </c>
      <c r="GR683">
        <f>IF(ISBLANK('Data Entry'!$Ĉ$683), "", 'Data Entry'!$Ĉ$683)</f>
      </c>
      <c r="GS683">
        <f>IF(ISBLANK('Data Entry'!$ĉ$683), "", 'Data Entry'!$ĉ$683)</f>
      </c>
      <c r="GT683">
        <f>IF(ISBLANK('Data Entry'!$Ċ$683), "", 'Data Entry'!$Ċ$683)</f>
      </c>
      <c r="GU683">
        <f>IF(ISBLANK('Data Entry'!$ċ$683), "", 'Data Entry'!$ċ$683)</f>
      </c>
      <c r="GV683">
        <f>IF(ISBLANK('Data Entry'!$Č$683), "", 'Data Entry'!$Č$683)</f>
      </c>
      <c r="GW683">
        <f>IF(ISBLANK('Data Entry'!$č$683), "", 'Data Entry'!$č$683)</f>
      </c>
      <c r="GX683">
        <f>IF(ISBLANK('Data Entry'!$Ď$683), "", 'Data Entry'!$Ď$683)</f>
      </c>
      <c r="GY683">
        <f>IF(ISBLANK('Data Entry'!$ď$683), "", 'Data Entry'!$ď$683)</f>
      </c>
      <c r="GZ683">
        <f>IF(ISBLANK('Data Entry'!$Đ$683), "", 'Data Entry'!$Đ$683)</f>
      </c>
      <c r="HA683">
        <f>IF(ISBLANK('Data Entry'!$đ$683), "", 'Data Entry'!$đ$683)</f>
      </c>
      <c r="HB683">
        <f>IF(ISBLANK('Data Entry'!$Ē$683), "", 'Data Entry'!$Ē$683)</f>
      </c>
      <c r="HC683">
        <f>IF(ISBLANK('Data Entry'!$ē$683), "", 'Data Entry'!$ē$683)</f>
      </c>
      <c r="HD683">
        <f>IF(ISBLANK('Data Entry'!$Ĕ$683), "", 'Data Entry'!$Ĕ$683)</f>
      </c>
      <c r="HE683">
        <f>IF(ISBLANK('Data Entry'!$ĕ$683), "", 'Data Entry'!$ĕ$683)</f>
      </c>
      <c r="HF683">
        <f>IF(ISBLANK('Data Entry'!$Ė$683), "", 'Data Entry'!$Ė$683)</f>
      </c>
      <c r="HG683">
        <f>IF(ISBLANK('Data Entry'!$ė$683), "", 'Data Entry'!$ė$683)</f>
      </c>
      <c r="HH683">
        <f>IF(ISBLANK('Data Entry'!$Ę$683), "", 'Data Entry'!$Ę$683)</f>
      </c>
      <c r="HI683">
        <f>IF(ISBLANK('Data Entry'!$ę$683), "", 'Data Entry'!$ę$683)</f>
      </c>
      <c r="HJ683">
        <f>IF(ISBLANK('Data Entry'!$Ě$683), "", 'Data Entry'!$Ě$683)</f>
      </c>
      <c r="HK683">
        <f>IF(ISBLANK('Data Entry'!$ě$683), "", 'Data Entry'!$ě$683)</f>
      </c>
      <c r="HL683">
        <f>IF(ISBLANK('Data Entry'!$Ĝ$683), "", 'Data Entry'!$Ĝ$683)</f>
      </c>
      <c r="HM683">
        <f>IF(ISBLANK('Data Entry'!$ĝ$683), "", 'Data Entry'!$ĝ$683)</f>
      </c>
      <c r="HN683">
        <f>IF(ISBLANK('Data Entry'!$Ğ$683), "", 'Data Entry'!$Ğ$683)</f>
      </c>
      <c r="HO683">
        <f>IF(ISBLANK('Data Entry'!$ğ$683), "", 'Data Entry'!$ğ$683)</f>
      </c>
      <c r="HP683">
        <f>IF(ISBLANK('Data Entry'!$Ġ$683), "", 'Data Entry'!$Ġ$683)</f>
      </c>
      <c r="HQ683">
        <f>IF(ISBLANK('Data Entry'!$ġ$683), "", 'Data Entry'!$ġ$683)</f>
      </c>
      <c r="HR683">
        <f>IF(ISBLANK('Data Entry'!$Ģ$683), "", 'Data Entry'!$Ģ$683)</f>
      </c>
      <c r="HS683">
        <f>IF(ISBLANK('Data Entry'!$ģ$683), "", 'Data Entry'!$ģ$683)</f>
      </c>
      <c r="HT683">
        <f>IF(ISBLANK('Data Entry'!$Ĥ$683), "", 'Data Entry'!$Ĥ$683)</f>
      </c>
      <c r="HU683">
        <f>IF(ISBLANK('Data Entry'!$ĥ$683), "", 'Data Entry'!$ĥ$683)</f>
      </c>
      <c r="HV683">
        <f>IF(ISBLANK('Data Entry'!$Ħ$683), "", 'Data Entry'!$Ħ$683)</f>
      </c>
      <c r="HW683">
        <f>IF(ISBLANK('Data Entry'!$ħ$683), "", 'Data Entry'!$ħ$683)</f>
      </c>
      <c r="HX683">
        <f>IF(ISBLANK('Data Entry'!$Ĩ$683), "", 'Data Entry'!$Ĩ$683)</f>
      </c>
      <c r="HY683">
        <f>IF(ISBLANK('Data Entry'!$ĩ$683), "", 'Data Entry'!$ĩ$683)</f>
      </c>
      <c r="HZ683">
        <f>IF(ISBLANK('Data Entry'!$Ī$683), "", 'Data Entry'!$Ī$683)</f>
      </c>
      <c r="IA683">
        <f>IF(ISBLANK('Data Entry'!$ī$683), "", 'Data Entry'!$ī$683)</f>
      </c>
      <c r="IB683">
        <f>IF(ISBLANK('Data Entry'!$Ĭ$683), "", 'Data Entry'!$Ĭ$683)</f>
      </c>
      <c r="IC683">
        <f>IF(ISBLANK('Data Entry'!$ĭ$683), "", 'Data Entry'!$ĭ$683)</f>
      </c>
      <c r="ID683">
        <f>IF(ISBLANK('Data Entry'!$Į$683), "", 'Data Entry'!$Į$683)</f>
      </c>
      <c r="IE683">
        <f>IF(ISBLANK('Data Entry'!$į$683), "", 'Data Entry'!$į$683)</f>
      </c>
      <c r="IF683">
        <f>IF(ISBLANK('Data Entry'!$İ$683), "", 'Data Entry'!$İ$683)</f>
      </c>
      <c r="IG683">
        <f>IF(ISBLANK('Data Entry'!$ı$683), "", 'Data Entry'!$ı$683)</f>
      </c>
      <c r="IH683">
        <f>IF(ISBLANK('Data Entry'!$Ĳ$683), "", 'Data Entry'!$Ĳ$683)</f>
      </c>
      <c r="II683">
        <f>IF(ISBLANK('Data Entry'!$ĳ$683), "", 'Data Entry'!$ĳ$683)</f>
      </c>
      <c r="IJ683">
        <f>IF(ISBLANK('Data Entry'!$Ĵ$683), "", 'Data Entry'!$Ĵ$683)</f>
      </c>
      <c r="IK683">
        <f>IF(ISBLANK('Data Entry'!$ĵ$683), "", 'Data Entry'!$ĵ$683)</f>
      </c>
      <c r="IL683">
        <f>IF(ISBLANK('Data Entry'!$Ķ$683), "", 'Data Entry'!$Ķ$683)</f>
      </c>
      <c r="IM683">
        <f>IF(ISBLANK('Data Entry'!$ķ$683), "", 'Data Entry'!$ķ$683)</f>
      </c>
      <c r="IN683">
        <f>IF(ISBLANK('Data Entry'!$ĸ$683), "", 'Data Entry'!$ĸ$683)</f>
      </c>
      <c r="IO683">
        <f>IF(ISBLANK('Data Entry'!$Ĺ$683), "", 'Data Entry'!$Ĺ$683)</f>
      </c>
      <c r="IP683">
        <f>IF(ISBLANK('Data Entry'!$ĺ$683), "", 'Data Entry'!$ĺ$683)</f>
      </c>
      <c r="IQ683">
        <f>IF(ISBLANK('Data Entry'!$Ļ$683), "", 'Data Entry'!$Ļ$683)</f>
      </c>
      <c r="IR683">
        <f>IF(ISBLANK('Data Entry'!$ļ$683), "", 'Data Entry'!$ļ$683)</f>
      </c>
      <c r="IS683">
        <f>IF(ISBLANK('Data Entry'!$Ľ$683), "", 'Data Entry'!$Ľ$683)</f>
      </c>
      <c r="IT683">
        <f>IF(ISBLANK('Data Entry'!$ľ$683), "", 'Data Entry'!$ľ$683)</f>
      </c>
    </row>
    <row r="684" spans="1:254" x14ac:dyDescent="0.25">
      <c r="A684">
        <f>IF(ISBLANK('Data Entry'!$A$684), "", 'Data Entry'!$A$684)</f>
      </c>
      <c r="B684">
        <f>IF(ISBLANK('Data Entry'!$B$684), "", 'Data Entry'!$B$684)</f>
      </c>
      <c r="C684">
        <f>IF(ISBLANK('Data Entry'!$C$684), "", 'Data Entry'!$C$684)</f>
      </c>
      <c r="D684">
        <f>IF(ISBLANK('Data Entry'!$D$684), "", 'Data Entry'!$D$684)</f>
      </c>
      <c r="E684">
        <f>IF(ISBLANK('Data Entry'!$E$684), "", 'Data Entry'!$E$684)</f>
      </c>
      <c r="F684">
        <f>IF(ISBLANK('Data Entry'!$F$684), "", 'Data Entry'!$F$684)</f>
      </c>
      <c r="G684">
        <f>IF(ISBLANK('Data Entry'!$G$684), "", 'Data Entry'!$G$684)</f>
      </c>
      <c r="H684">
        <f>IF(ISBLANK('Data Entry'!$H$684), "", 'Data Entry'!$H$684)</f>
      </c>
      <c r="I684">
        <f>IF(ISBLANK('Data Entry'!$I$684), "", 'Data Entry'!$I$684)</f>
      </c>
      <c r="J684">
        <f>IF(ISBLANK('Data Entry'!$J$684), "", 'Data Entry'!$J$684)</f>
      </c>
      <c r="K684">
        <f>IF(ISBLANK('Data Entry'!$K$684), "", 'Data Entry'!$K$684)</f>
      </c>
      <c r="L684">
        <f>IF(ISBLANK('Data Entry'!$L$684), "", 'Data Entry'!$L$684)</f>
      </c>
      <c r="M684">
        <f>IF(ISBLANK('Data Entry'!$M$684), "", 'Data Entry'!$M$684)</f>
      </c>
      <c r="N684">
        <f>IF(ISBLANK('Data Entry'!$N$684), "", 'Data Entry'!$N$684)</f>
      </c>
      <c r="O684">
        <f>IF(ISBLANK('Data Entry'!$O$684), "", 'Data Entry'!$O$684)</f>
      </c>
      <c r="P684">
        <f>IF(ISBLANK('Data Entry'!$P$684), "", 'Data Entry'!$P$684)</f>
      </c>
      <c r="Q684">
        <f>IF(ISBLANK('Data Entry'!$Q$684), "", 'Data Entry'!$Q$684)</f>
      </c>
      <c r="R684">
        <f>IF(ISBLANK('Data Entry'!$R$684), "", 'Data Entry'!$R$684)</f>
      </c>
      <c r="S684">
        <f>IF(ISBLANK('Data Entry'!$S$684), "", 'Data Entry'!$S$684)</f>
      </c>
      <c r="T684">
        <f>IF(ISBLANK('Data Entry'!$T$684), "", 'Data Entry'!$T$684)</f>
      </c>
      <c r="U684">
        <f>IF(ISBLANK('Data Entry'!$U$684), "", 'Data Entry'!$U$684)</f>
      </c>
      <c r="V684">
        <f>IF(ISBLANK('Data Entry'!$V$684), "", 'Data Entry'!$V$684)</f>
      </c>
      <c r="W684">
        <f>IF(ISBLANK('Data Entry'!$W$684), "", 'Data Entry'!$W$684)</f>
      </c>
      <c r="X684">
        <f>IF(ISBLANK('Data Entry'!$X$684), "", 'Data Entry'!$X$684)</f>
      </c>
      <c r="Y684">
        <f>IF(ISBLANK('Data Entry'!$Y$684), "", 'Data Entry'!$Y$684)</f>
      </c>
      <c r="Z684">
        <f>IF(ISBLANK('Data Entry'!$Z$684), "", 'Data Entry'!$Z$684)</f>
      </c>
      <c r="AA684">
        <f>IF(ISBLANK('Data Entry'!$[$684), "", 'Data Entry'!$[$684)</f>
      </c>
      <c r="AB684">
        <f>IF(ISBLANK('Data Entry'!$\$684), "", 'Data Entry'!$\$684)</f>
      </c>
      <c r="AC684">
        <f>IF(ISBLANK('Data Entry'!$]$684), "", 'Data Entry'!$]$684)</f>
      </c>
      <c r="AD684">
        <f>IF(ISBLANK('Data Entry'!$^$684), "", 'Data Entry'!$^$684)</f>
      </c>
      <c r="AE684">
        <f>IF(ISBLANK('Data Entry'!$_$684), "", 'Data Entry'!$_$684)</f>
      </c>
      <c r="AF684">
        <f>IF(ISBLANK('Data Entry'!$`$684), "", 'Data Entry'!$`$684)</f>
      </c>
      <c r="AG684">
        <f>IF(ISBLANK('Data Entry'!$a$684), "", 'Data Entry'!$a$684)</f>
      </c>
      <c r="AH684">
        <f>IF(ISBLANK('Data Entry'!$b$684), "", 'Data Entry'!$b$684)</f>
      </c>
      <c r="AI684">
        <f>IF(ISBLANK('Data Entry'!$c$684), "", 'Data Entry'!$c$684)</f>
      </c>
      <c r="AJ684">
        <f>IF(ISBLANK('Data Entry'!$d$684), "", 'Data Entry'!$d$684)</f>
      </c>
      <c r="AK684">
        <f>IF(ISBLANK('Data Entry'!$e$684), "", 'Data Entry'!$e$684)</f>
      </c>
      <c r="AL684">
        <f>IF(ISBLANK('Data Entry'!$f$684), "", 'Data Entry'!$f$684)</f>
      </c>
      <c r="AM684">
        <f>IF(ISBLANK('Data Entry'!$g$684), "", 'Data Entry'!$g$684)</f>
      </c>
      <c r="AN684">
        <f>IF(ISBLANK('Data Entry'!$h$684), "", 'Data Entry'!$h$684)</f>
      </c>
      <c r="AO684">
        <f>IF(ISBLANK('Data Entry'!$i$684), "", 'Data Entry'!$i$684)</f>
      </c>
      <c r="AP684">
        <f>IF(ISBLANK('Data Entry'!$j$684), "", 'Data Entry'!$j$684)</f>
      </c>
      <c r="AQ684">
        <f>IF(ISBLANK('Data Entry'!$k$684), "", 'Data Entry'!$k$684)</f>
      </c>
      <c r="AR684">
        <f>IF(ISBLANK('Data Entry'!$l$684), "", 'Data Entry'!$l$684)</f>
      </c>
      <c r="AS684">
        <f>IF(ISBLANK('Data Entry'!$m$684), "", 'Data Entry'!$m$684)</f>
      </c>
      <c r="AT684">
        <f>IF(ISBLANK('Data Entry'!$n$684), "", 'Data Entry'!$n$684)</f>
      </c>
      <c r="AU684">
        <f>IF(ISBLANK('Data Entry'!$o$684), "", 'Data Entry'!$o$684)</f>
      </c>
      <c r="AV684">
        <f>IF(ISBLANK('Data Entry'!$p$684), "", 'Data Entry'!$p$684)</f>
      </c>
      <c r="AW684">
        <f>IF(ISBLANK('Data Entry'!$q$684), "", 'Data Entry'!$q$684)</f>
      </c>
      <c r="AX684">
        <f>IF(ISBLANK('Data Entry'!$r$684), "", 'Data Entry'!$r$684)</f>
      </c>
      <c r="AY684">
        <f>IF(ISBLANK('Data Entry'!$s$684), "", 'Data Entry'!$s$684)</f>
      </c>
      <c r="AZ684">
        <f>IF(ISBLANK('Data Entry'!$t$684), "", 'Data Entry'!$t$684)</f>
      </c>
      <c r="BA684">
        <f>IF(ISBLANK('Data Entry'!$u$684), "", 'Data Entry'!$u$684)</f>
      </c>
      <c r="BB684">
        <f>IF(ISBLANK('Data Entry'!$v$684), "", 'Data Entry'!$v$684)</f>
      </c>
      <c r="BC684">
        <f>IF(ISBLANK('Data Entry'!$w$684), "", 'Data Entry'!$w$684)</f>
      </c>
      <c r="BD684">
        <f>IF(ISBLANK('Data Entry'!$x$684), "", 'Data Entry'!$x$684)</f>
      </c>
      <c r="BE684">
        <f>IF(ISBLANK('Data Entry'!$y$684), "", 'Data Entry'!$y$684)</f>
      </c>
      <c r="BF684">
        <f>IF(ISBLANK('Data Entry'!$z$684), "", 'Data Entry'!$z$684)</f>
      </c>
      <c r="BG684">
        <f>IF(ISBLANK('Data Entry'!${$684), "", 'Data Entry'!${$684)</f>
      </c>
      <c r="BH684">
        <f>IF(ISBLANK('Data Entry'!$|$684), "", 'Data Entry'!$|$684)</f>
      </c>
      <c r="BI684">
        <f>IF(ISBLANK('Data Entry'!$}$684), "", 'Data Entry'!$}$684)</f>
      </c>
      <c r="BJ684">
        <f>IF(ISBLANK('Data Entry'!$~$684), "", 'Data Entry'!$~$684)</f>
      </c>
      <c r="BK684">
        <f>IF(ISBLANK('Data Entry'!$$684), "", 'Data Entry'!$$684)</f>
      </c>
      <c r="BL684">
        <f>IF(ISBLANK('Data Entry'!$$684), "", 'Data Entry'!$$684)</f>
      </c>
      <c r="BM684">
        <f>IF(ISBLANK('Data Entry'!$$684), "", 'Data Entry'!$$684)</f>
      </c>
      <c r="BN684">
        <f>IF(ISBLANK('Data Entry'!$$684), "", 'Data Entry'!$$684)</f>
      </c>
      <c r="BO684">
        <f>IF(ISBLANK('Data Entry'!$$684), "", 'Data Entry'!$$684)</f>
      </c>
      <c r="BP684">
        <f>IF(ISBLANK('Data Entry'!$$684), "", 'Data Entry'!$$684)</f>
      </c>
      <c r="BQ684">
        <f>IF(ISBLANK('Data Entry'!$$684), "", 'Data Entry'!$$684)</f>
      </c>
      <c r="BR684">
        <f>IF(ISBLANK('Data Entry'!$$684), "", 'Data Entry'!$$684)</f>
      </c>
      <c r="BS684">
        <f>IF(ISBLANK('Data Entry'!$$684), "", 'Data Entry'!$$684)</f>
      </c>
      <c r="BT684">
        <f>IF(ISBLANK('Data Entry'!$$684), "", 'Data Entry'!$$684)</f>
      </c>
      <c r="BU684">
        <f>IF(ISBLANK('Data Entry'!$$684), "", 'Data Entry'!$$684)</f>
      </c>
      <c r="BV684">
        <f>IF(ISBLANK('Data Entry'!$$684), "", 'Data Entry'!$$684)</f>
      </c>
      <c r="BW684">
        <f>IF(ISBLANK('Data Entry'!$$684), "", 'Data Entry'!$$684)</f>
      </c>
      <c r="BX684">
        <f>IF(ISBLANK('Data Entry'!$$684), "", 'Data Entry'!$$684)</f>
      </c>
      <c r="BY684">
        <f>IF(ISBLANK('Data Entry'!$$684), "", 'Data Entry'!$$684)</f>
      </c>
      <c r="BZ684">
        <f>IF(ISBLANK('Data Entry'!$$684), "", 'Data Entry'!$$684)</f>
      </c>
      <c r="CA684">
        <f>IF(ISBLANK('Data Entry'!$$684), "", 'Data Entry'!$$684)</f>
      </c>
      <c r="CB684">
        <f>IF(ISBLANK('Data Entry'!$$684), "", 'Data Entry'!$$684)</f>
      </c>
      <c r="CC684">
        <f>IF(ISBLANK('Data Entry'!$$684), "", 'Data Entry'!$$684)</f>
      </c>
      <c r="CD684">
        <f>IF(ISBLANK('Data Entry'!$$684), "", 'Data Entry'!$$684)</f>
      </c>
      <c r="CE684">
        <f>IF(ISBLANK('Data Entry'!$$684), "", 'Data Entry'!$$684)</f>
      </c>
      <c r="CF684">
        <f>IF(ISBLANK('Data Entry'!$$684), "", 'Data Entry'!$$684)</f>
      </c>
      <c r="CG684">
        <f>IF(ISBLANK('Data Entry'!$$684), "", 'Data Entry'!$$684)</f>
      </c>
      <c r="CH684">
        <f>IF(ISBLANK('Data Entry'!$$684), "", 'Data Entry'!$$684)</f>
      </c>
      <c r="CI684">
        <f>IF(ISBLANK('Data Entry'!$$684), "", 'Data Entry'!$$684)</f>
      </c>
      <c r="CJ684">
        <f>IF(ISBLANK('Data Entry'!$$684), "", 'Data Entry'!$$684)</f>
      </c>
      <c r="CK684">
        <f>IF(ISBLANK('Data Entry'!$$684), "", 'Data Entry'!$$684)</f>
      </c>
      <c r="CL684">
        <f>IF(ISBLANK('Data Entry'!$$684), "", 'Data Entry'!$$684)</f>
      </c>
      <c r="CM684">
        <f>IF(ISBLANK('Data Entry'!$$684), "", 'Data Entry'!$$684)</f>
      </c>
      <c r="CN684">
        <f>IF(ISBLANK('Data Entry'!$$684), "", 'Data Entry'!$$684)</f>
      </c>
      <c r="CO684">
        <f>IF(ISBLANK('Data Entry'!$$684), "", 'Data Entry'!$$684)</f>
      </c>
      <c r="CP684">
        <f>IF(ISBLANK('Data Entry'!$$684), "", 'Data Entry'!$$684)</f>
      </c>
      <c r="CQ684">
        <f>IF(ISBLANK('Data Entry'!$$684), "", 'Data Entry'!$$684)</f>
      </c>
      <c r="CR684">
        <f>IF(ISBLANK('Data Entry'!$ $684), "", 'Data Entry'!$ $684)</f>
      </c>
      <c r="CS684">
        <f>IF(ISBLANK('Data Entry'!$¡$684), "", 'Data Entry'!$¡$684)</f>
      </c>
      <c r="CT684">
        <f>IF(ISBLANK('Data Entry'!$¢$684), "", 'Data Entry'!$¢$684)</f>
      </c>
      <c r="CU684">
        <f>IF(ISBLANK('Data Entry'!$£$684), "", 'Data Entry'!$£$684)</f>
      </c>
      <c r="CV684">
        <f>IF(ISBLANK('Data Entry'!$¤$684), "", 'Data Entry'!$¤$684)</f>
      </c>
      <c r="CW684">
        <f>IF(ISBLANK('Data Entry'!$¥$684), "", 'Data Entry'!$¥$684)</f>
      </c>
      <c r="CX684">
        <f>IF(ISBLANK('Data Entry'!$¦$684), "", 'Data Entry'!$¦$684)</f>
      </c>
      <c r="CY684">
        <f>IF(ISBLANK('Data Entry'!$§$684), "", 'Data Entry'!$§$684)</f>
      </c>
      <c r="CZ684">
        <f>IF(ISBLANK('Data Entry'!$¨$684), "", 'Data Entry'!$¨$684)</f>
      </c>
      <c r="DA684">
        <f>IF(ISBLANK('Data Entry'!$©$684), "", 'Data Entry'!$©$684)</f>
      </c>
      <c r="DB684">
        <f>IF(ISBLANK('Data Entry'!$ª$684), "", 'Data Entry'!$ª$684)</f>
      </c>
      <c r="DC684">
        <f>IF(ISBLANK('Data Entry'!$«$684), "", 'Data Entry'!$«$684)</f>
      </c>
      <c r="DD684">
        <f>IF(ISBLANK('Data Entry'!$¬$684), "", 'Data Entry'!$¬$684)</f>
      </c>
      <c r="DE684">
        <f>IF(ISBLANK('Data Entry'!$­$684), "", 'Data Entry'!$­$684)</f>
      </c>
      <c r="DF684">
        <f>IF(ISBLANK('Data Entry'!$®$684), "", 'Data Entry'!$®$684)</f>
      </c>
      <c r="DG684">
        <f>IF(ISBLANK('Data Entry'!$¯$684), "", 'Data Entry'!$¯$684)</f>
      </c>
      <c r="DH684">
        <f>IF(ISBLANK('Data Entry'!$°$684), "", 'Data Entry'!$°$684)</f>
      </c>
      <c r="DI684">
        <f>IF(ISBLANK('Data Entry'!$±$684), "", 'Data Entry'!$±$684)</f>
      </c>
      <c r="DJ684">
        <f>IF(ISBLANK('Data Entry'!$²$684), "", 'Data Entry'!$²$684)</f>
      </c>
      <c r="DK684">
        <f>IF(ISBLANK('Data Entry'!$³$684), "", 'Data Entry'!$³$684)</f>
      </c>
      <c r="DL684">
        <f>IF(ISBLANK('Data Entry'!$´$684), "", 'Data Entry'!$´$684)</f>
      </c>
      <c r="DM684">
        <f>IF(ISBLANK('Data Entry'!$µ$684), "", 'Data Entry'!$µ$684)</f>
      </c>
      <c r="DN684">
        <f>IF(ISBLANK('Data Entry'!$¶$684), "", 'Data Entry'!$¶$684)</f>
      </c>
      <c r="DO684">
        <f>IF(ISBLANK('Data Entry'!$·$684), "", 'Data Entry'!$·$684)</f>
      </c>
      <c r="DP684">
        <f>IF(ISBLANK('Data Entry'!$¸$684), "", 'Data Entry'!$¸$684)</f>
      </c>
      <c r="DQ684">
        <f>IF(ISBLANK('Data Entry'!$¹$684), "", 'Data Entry'!$¹$684)</f>
      </c>
      <c r="DR684">
        <f>IF(ISBLANK('Data Entry'!$º$684), "", 'Data Entry'!$º$684)</f>
      </c>
      <c r="DS684">
        <f>IF(ISBLANK('Data Entry'!$»$684), "", 'Data Entry'!$»$684)</f>
      </c>
      <c r="DT684">
        <f>IF(ISBLANK('Data Entry'!$¼$684), "", 'Data Entry'!$¼$684)</f>
      </c>
      <c r="DU684">
        <f>IF(ISBLANK('Data Entry'!$½$684), "", 'Data Entry'!$½$684)</f>
      </c>
      <c r="DV684">
        <f>IF(ISBLANK('Data Entry'!$¾$684), "", 'Data Entry'!$¾$684)</f>
      </c>
      <c r="DW684">
        <f>IF(ISBLANK('Data Entry'!$¿$684), "", 'Data Entry'!$¿$684)</f>
      </c>
      <c r="DX684">
        <f>IF(ISBLANK('Data Entry'!$À$684), "", 'Data Entry'!$À$684)</f>
      </c>
      <c r="DY684">
        <f>IF(ISBLANK('Data Entry'!$Á$684), "", 'Data Entry'!$Á$684)</f>
      </c>
      <c r="DZ684">
        <f>IF(ISBLANK('Data Entry'!$Â$684), "", 'Data Entry'!$Â$684)</f>
      </c>
      <c r="EA684">
        <f>IF(ISBLANK('Data Entry'!$Ã$684), "", 'Data Entry'!$Ã$684)</f>
      </c>
      <c r="EB684">
        <f>IF(ISBLANK('Data Entry'!$Ä$684), "", 'Data Entry'!$Ä$684)</f>
      </c>
      <c r="EC684">
        <f>IF(ISBLANK('Data Entry'!$Å$684), "", 'Data Entry'!$Å$684)</f>
      </c>
      <c r="ED684">
        <f>IF(ISBLANK('Data Entry'!$Æ$684), "", 'Data Entry'!$Æ$684)</f>
      </c>
      <c r="EE684">
        <f>IF(ISBLANK('Data Entry'!$Ç$684), "", 'Data Entry'!$Ç$684)</f>
      </c>
      <c r="EF684">
        <f>IF(ISBLANK('Data Entry'!$È$684), "", 'Data Entry'!$È$684)</f>
      </c>
      <c r="EG684">
        <f>IF(ISBLANK('Data Entry'!$É$684), "", 'Data Entry'!$É$684)</f>
      </c>
      <c r="EH684">
        <f>IF(ISBLANK('Data Entry'!$Ê$684), "", 'Data Entry'!$Ê$684)</f>
      </c>
      <c r="EI684">
        <f>IF(ISBLANK('Data Entry'!$Ë$684), "", 'Data Entry'!$Ë$684)</f>
      </c>
      <c r="EJ684">
        <f>IF(ISBLANK('Data Entry'!$Ì$684), "", 'Data Entry'!$Ì$684)</f>
      </c>
      <c r="EK684">
        <f>IF(ISBLANK('Data Entry'!$Í$684), "", 'Data Entry'!$Í$684)</f>
      </c>
      <c r="EL684">
        <f>IF(ISBLANK('Data Entry'!$Î$684), "", 'Data Entry'!$Î$684)</f>
      </c>
      <c r="EM684">
        <f>IF(ISBLANK('Data Entry'!$Ï$684), "", 'Data Entry'!$Ï$684)</f>
      </c>
      <c r="EN684">
        <f>IF(ISBLANK('Data Entry'!$Ð$684), "", 'Data Entry'!$Ð$684)</f>
      </c>
      <c r="EO684">
        <f>IF(ISBLANK('Data Entry'!$Ñ$684), "", 'Data Entry'!$Ñ$684)</f>
      </c>
      <c r="EP684">
        <f>IF(ISBLANK('Data Entry'!$Ò$684), "", 'Data Entry'!$Ò$684)</f>
      </c>
      <c r="EQ684">
        <f>IF(ISBLANK('Data Entry'!$Ó$684), "", 'Data Entry'!$Ó$684)</f>
      </c>
      <c r="ER684">
        <f>IF(ISBLANK('Data Entry'!$Ô$684), "", 'Data Entry'!$Ô$684)</f>
      </c>
      <c r="ES684">
        <f>IF(ISBLANK('Data Entry'!$Õ$684), "", 'Data Entry'!$Õ$684)</f>
      </c>
      <c r="ET684">
        <f>IF(ISBLANK('Data Entry'!$Ö$684), "", 'Data Entry'!$Ö$684)</f>
      </c>
      <c r="EU684">
        <f>IF(ISBLANK('Data Entry'!$×$684), "", 'Data Entry'!$×$684)</f>
      </c>
      <c r="EV684">
        <f>IF(ISBLANK('Data Entry'!$Ø$684), "", 'Data Entry'!$Ø$684)</f>
      </c>
      <c r="EW684">
        <f>IF(ISBLANK('Data Entry'!$Ù$684), "", 'Data Entry'!$Ù$684)</f>
      </c>
      <c r="EX684">
        <f>IF(ISBLANK('Data Entry'!$Ú$684), "", 'Data Entry'!$Ú$684)</f>
      </c>
      <c r="EY684">
        <f>IF(ISBLANK('Data Entry'!$Û$684), "", 'Data Entry'!$Û$684)</f>
      </c>
      <c r="EZ684">
        <f>IF(ISBLANK('Data Entry'!$Ü$684), "", 'Data Entry'!$Ü$684)</f>
      </c>
      <c r="FA684">
        <f>IF(ISBLANK('Data Entry'!$Ý$684), "", 'Data Entry'!$Ý$684)</f>
      </c>
      <c r="FB684">
        <f>IF(ISBLANK('Data Entry'!$Þ$684), "", 'Data Entry'!$Þ$684)</f>
      </c>
      <c r="FC684">
        <f>IF(ISBLANK('Data Entry'!$ß$684), "", 'Data Entry'!$ß$684)</f>
      </c>
      <c r="FD684">
        <f>IF(ISBLANK('Data Entry'!$à$684), "", 'Data Entry'!$à$684)</f>
      </c>
      <c r="FE684">
        <f>IF(ISBLANK('Data Entry'!$á$684), "", 'Data Entry'!$á$684)</f>
      </c>
      <c r="FF684">
        <f>IF(ISBLANK('Data Entry'!$â$684), "", 'Data Entry'!$â$684)</f>
      </c>
      <c r="FG684">
        <f>IF(ISBLANK('Data Entry'!$ã$684), "", 'Data Entry'!$ã$684)</f>
      </c>
      <c r="FH684">
        <f>IF(ISBLANK('Data Entry'!$ä$684), "", 'Data Entry'!$ä$684)</f>
      </c>
      <c r="FI684">
        <f>IF(ISBLANK('Data Entry'!$å$684), "", 'Data Entry'!$å$684)</f>
      </c>
      <c r="FJ684">
        <f>IF(ISBLANK('Data Entry'!$æ$684), "", 'Data Entry'!$æ$684)</f>
      </c>
      <c r="FK684">
        <f>IF(ISBLANK('Data Entry'!$ç$684), "", 'Data Entry'!$ç$684)</f>
      </c>
      <c r="FL684">
        <f>IF(ISBLANK('Data Entry'!$è$684), "", 'Data Entry'!$è$684)</f>
      </c>
      <c r="FM684">
        <f>IF(ISBLANK('Data Entry'!$é$684), "", 'Data Entry'!$é$684)</f>
      </c>
      <c r="FN684">
        <f>IF(ISBLANK('Data Entry'!$ê$684), "", 'Data Entry'!$ê$684)</f>
      </c>
      <c r="FO684">
        <f>IF(ISBLANK('Data Entry'!$ë$684), "", 'Data Entry'!$ë$684)</f>
      </c>
      <c r="FP684">
        <f>IF(ISBLANK('Data Entry'!$ì$684), "", 'Data Entry'!$ì$684)</f>
      </c>
      <c r="FQ684">
        <f>IF(ISBLANK('Data Entry'!$í$684), "", 'Data Entry'!$í$684)</f>
      </c>
      <c r="FR684">
        <f>IF(ISBLANK('Data Entry'!$î$684), "", 'Data Entry'!$î$684)</f>
      </c>
      <c r="FS684">
        <f>IF(ISBLANK('Data Entry'!$ï$684), "", 'Data Entry'!$ï$684)</f>
      </c>
      <c r="FT684">
        <f>IF(ISBLANK('Data Entry'!$ð$684), "", 'Data Entry'!$ð$684)</f>
      </c>
      <c r="FU684">
        <f>IF(ISBLANK('Data Entry'!$ñ$684), "", 'Data Entry'!$ñ$684)</f>
      </c>
      <c r="FV684">
        <f>IF(ISBLANK('Data Entry'!$ò$684), "", 'Data Entry'!$ò$684)</f>
      </c>
      <c r="FW684">
        <f>IF(ISBLANK('Data Entry'!$ó$684), "", 'Data Entry'!$ó$684)</f>
      </c>
      <c r="FX684">
        <f>IF(ISBLANK('Data Entry'!$ô$684), "", 'Data Entry'!$ô$684)</f>
      </c>
      <c r="FY684">
        <f>IF(ISBLANK('Data Entry'!$õ$684), "", 'Data Entry'!$õ$684)</f>
      </c>
      <c r="FZ684">
        <f>IF(ISBLANK('Data Entry'!$ö$684), "", 'Data Entry'!$ö$684)</f>
      </c>
      <c r="GA684">
        <f>IF(ISBLANK('Data Entry'!$÷$684), "", 'Data Entry'!$÷$684)</f>
      </c>
      <c r="GB684">
        <f>IF(ISBLANK('Data Entry'!$ø$684), "", 'Data Entry'!$ø$684)</f>
      </c>
      <c r="GC684">
        <f>IF(ISBLANK('Data Entry'!$ù$684), "", 'Data Entry'!$ù$684)</f>
      </c>
      <c r="GD684">
        <f>IF(ISBLANK('Data Entry'!$ú$684), "", 'Data Entry'!$ú$684)</f>
      </c>
      <c r="GE684">
        <f>IF(ISBLANK('Data Entry'!$û$684), "", 'Data Entry'!$û$684)</f>
      </c>
      <c r="GF684">
        <f>IF(ISBLANK('Data Entry'!$ü$684), "", 'Data Entry'!$ü$684)</f>
      </c>
      <c r="GG684">
        <f>IF(ISBLANK('Data Entry'!$ý$684), "", 'Data Entry'!$ý$684)</f>
      </c>
      <c r="GH684">
        <f>IF(ISBLANK('Data Entry'!$þ$684), "", 'Data Entry'!$þ$684)</f>
      </c>
      <c r="GI684">
        <f>IF(ISBLANK('Data Entry'!$ÿ$684), "", 'Data Entry'!$ÿ$684)</f>
      </c>
      <c r="GJ684">
        <f>IF(ISBLANK('Data Entry'!$Ā$684), "", 'Data Entry'!$Ā$684)</f>
      </c>
      <c r="GK684">
        <f>IF(ISBLANK('Data Entry'!$ā$684), "", 'Data Entry'!$ā$684)</f>
      </c>
      <c r="GL684">
        <f>IF(ISBLANK('Data Entry'!$Ă$684), "", 'Data Entry'!$Ă$684)</f>
      </c>
      <c r="GM684">
        <f>IF(ISBLANK('Data Entry'!$ă$684), "", 'Data Entry'!$ă$684)</f>
      </c>
      <c r="GN684">
        <f>IF(ISBLANK('Data Entry'!$Ą$684), "", 'Data Entry'!$Ą$684)</f>
      </c>
      <c r="GO684">
        <f>IF(ISBLANK('Data Entry'!$ą$684), "", 'Data Entry'!$ą$684)</f>
      </c>
      <c r="GP684">
        <f>IF(ISBLANK('Data Entry'!$Ć$684), "", 'Data Entry'!$Ć$684)</f>
      </c>
      <c r="GQ684">
        <f>IF(ISBLANK('Data Entry'!$ć$684), "", 'Data Entry'!$ć$684)</f>
      </c>
      <c r="GR684">
        <f>IF(ISBLANK('Data Entry'!$Ĉ$684), "", 'Data Entry'!$Ĉ$684)</f>
      </c>
      <c r="GS684">
        <f>IF(ISBLANK('Data Entry'!$ĉ$684), "", 'Data Entry'!$ĉ$684)</f>
      </c>
      <c r="GT684">
        <f>IF(ISBLANK('Data Entry'!$Ċ$684), "", 'Data Entry'!$Ċ$684)</f>
      </c>
      <c r="GU684">
        <f>IF(ISBLANK('Data Entry'!$ċ$684), "", 'Data Entry'!$ċ$684)</f>
      </c>
      <c r="GV684">
        <f>IF(ISBLANK('Data Entry'!$Č$684), "", 'Data Entry'!$Č$684)</f>
      </c>
      <c r="GW684">
        <f>IF(ISBLANK('Data Entry'!$č$684), "", 'Data Entry'!$č$684)</f>
      </c>
      <c r="GX684">
        <f>IF(ISBLANK('Data Entry'!$Ď$684), "", 'Data Entry'!$Ď$684)</f>
      </c>
      <c r="GY684">
        <f>IF(ISBLANK('Data Entry'!$ď$684), "", 'Data Entry'!$ď$684)</f>
      </c>
      <c r="GZ684">
        <f>IF(ISBLANK('Data Entry'!$Đ$684), "", 'Data Entry'!$Đ$684)</f>
      </c>
      <c r="HA684">
        <f>IF(ISBLANK('Data Entry'!$đ$684), "", 'Data Entry'!$đ$684)</f>
      </c>
      <c r="HB684">
        <f>IF(ISBLANK('Data Entry'!$Ē$684), "", 'Data Entry'!$Ē$684)</f>
      </c>
      <c r="HC684">
        <f>IF(ISBLANK('Data Entry'!$ē$684), "", 'Data Entry'!$ē$684)</f>
      </c>
      <c r="HD684">
        <f>IF(ISBLANK('Data Entry'!$Ĕ$684), "", 'Data Entry'!$Ĕ$684)</f>
      </c>
      <c r="HE684">
        <f>IF(ISBLANK('Data Entry'!$ĕ$684), "", 'Data Entry'!$ĕ$684)</f>
      </c>
      <c r="HF684">
        <f>IF(ISBLANK('Data Entry'!$Ė$684), "", 'Data Entry'!$Ė$684)</f>
      </c>
      <c r="HG684">
        <f>IF(ISBLANK('Data Entry'!$ė$684), "", 'Data Entry'!$ė$684)</f>
      </c>
      <c r="HH684">
        <f>IF(ISBLANK('Data Entry'!$Ę$684), "", 'Data Entry'!$Ę$684)</f>
      </c>
      <c r="HI684">
        <f>IF(ISBLANK('Data Entry'!$ę$684), "", 'Data Entry'!$ę$684)</f>
      </c>
      <c r="HJ684">
        <f>IF(ISBLANK('Data Entry'!$Ě$684), "", 'Data Entry'!$Ě$684)</f>
      </c>
      <c r="HK684">
        <f>IF(ISBLANK('Data Entry'!$ě$684), "", 'Data Entry'!$ě$684)</f>
      </c>
      <c r="HL684">
        <f>IF(ISBLANK('Data Entry'!$Ĝ$684), "", 'Data Entry'!$Ĝ$684)</f>
      </c>
      <c r="HM684">
        <f>IF(ISBLANK('Data Entry'!$ĝ$684), "", 'Data Entry'!$ĝ$684)</f>
      </c>
      <c r="HN684">
        <f>IF(ISBLANK('Data Entry'!$Ğ$684), "", 'Data Entry'!$Ğ$684)</f>
      </c>
      <c r="HO684">
        <f>IF(ISBLANK('Data Entry'!$ğ$684), "", 'Data Entry'!$ğ$684)</f>
      </c>
      <c r="HP684">
        <f>IF(ISBLANK('Data Entry'!$Ġ$684), "", 'Data Entry'!$Ġ$684)</f>
      </c>
      <c r="HQ684">
        <f>IF(ISBLANK('Data Entry'!$ġ$684), "", 'Data Entry'!$ġ$684)</f>
      </c>
      <c r="HR684">
        <f>IF(ISBLANK('Data Entry'!$Ģ$684), "", 'Data Entry'!$Ģ$684)</f>
      </c>
      <c r="HS684">
        <f>IF(ISBLANK('Data Entry'!$ģ$684), "", 'Data Entry'!$ģ$684)</f>
      </c>
      <c r="HT684">
        <f>IF(ISBLANK('Data Entry'!$Ĥ$684), "", 'Data Entry'!$Ĥ$684)</f>
      </c>
      <c r="HU684">
        <f>IF(ISBLANK('Data Entry'!$ĥ$684), "", 'Data Entry'!$ĥ$684)</f>
      </c>
      <c r="HV684">
        <f>IF(ISBLANK('Data Entry'!$Ħ$684), "", 'Data Entry'!$Ħ$684)</f>
      </c>
      <c r="HW684">
        <f>IF(ISBLANK('Data Entry'!$ħ$684), "", 'Data Entry'!$ħ$684)</f>
      </c>
      <c r="HX684">
        <f>IF(ISBLANK('Data Entry'!$Ĩ$684), "", 'Data Entry'!$Ĩ$684)</f>
      </c>
      <c r="HY684">
        <f>IF(ISBLANK('Data Entry'!$ĩ$684), "", 'Data Entry'!$ĩ$684)</f>
      </c>
      <c r="HZ684">
        <f>IF(ISBLANK('Data Entry'!$Ī$684), "", 'Data Entry'!$Ī$684)</f>
      </c>
      <c r="IA684">
        <f>IF(ISBLANK('Data Entry'!$ī$684), "", 'Data Entry'!$ī$684)</f>
      </c>
      <c r="IB684">
        <f>IF(ISBLANK('Data Entry'!$Ĭ$684), "", 'Data Entry'!$Ĭ$684)</f>
      </c>
      <c r="IC684">
        <f>IF(ISBLANK('Data Entry'!$ĭ$684), "", 'Data Entry'!$ĭ$684)</f>
      </c>
      <c r="ID684">
        <f>IF(ISBLANK('Data Entry'!$Į$684), "", 'Data Entry'!$Į$684)</f>
      </c>
      <c r="IE684">
        <f>IF(ISBLANK('Data Entry'!$į$684), "", 'Data Entry'!$į$684)</f>
      </c>
      <c r="IF684">
        <f>IF(ISBLANK('Data Entry'!$İ$684), "", 'Data Entry'!$İ$684)</f>
      </c>
      <c r="IG684">
        <f>IF(ISBLANK('Data Entry'!$ı$684), "", 'Data Entry'!$ı$684)</f>
      </c>
      <c r="IH684">
        <f>IF(ISBLANK('Data Entry'!$Ĳ$684), "", 'Data Entry'!$Ĳ$684)</f>
      </c>
      <c r="II684">
        <f>IF(ISBLANK('Data Entry'!$ĳ$684), "", 'Data Entry'!$ĳ$684)</f>
      </c>
      <c r="IJ684">
        <f>IF(ISBLANK('Data Entry'!$Ĵ$684), "", 'Data Entry'!$Ĵ$684)</f>
      </c>
      <c r="IK684">
        <f>IF(ISBLANK('Data Entry'!$ĵ$684), "", 'Data Entry'!$ĵ$684)</f>
      </c>
      <c r="IL684">
        <f>IF(ISBLANK('Data Entry'!$Ķ$684), "", 'Data Entry'!$Ķ$684)</f>
      </c>
      <c r="IM684">
        <f>IF(ISBLANK('Data Entry'!$ķ$684), "", 'Data Entry'!$ķ$684)</f>
      </c>
      <c r="IN684">
        <f>IF(ISBLANK('Data Entry'!$ĸ$684), "", 'Data Entry'!$ĸ$684)</f>
      </c>
      <c r="IO684">
        <f>IF(ISBLANK('Data Entry'!$Ĺ$684), "", 'Data Entry'!$Ĺ$684)</f>
      </c>
      <c r="IP684">
        <f>IF(ISBLANK('Data Entry'!$ĺ$684), "", 'Data Entry'!$ĺ$684)</f>
      </c>
      <c r="IQ684">
        <f>IF(ISBLANK('Data Entry'!$Ļ$684), "", 'Data Entry'!$Ļ$684)</f>
      </c>
      <c r="IR684">
        <f>IF(ISBLANK('Data Entry'!$ļ$684), "", 'Data Entry'!$ļ$684)</f>
      </c>
      <c r="IS684">
        <f>IF(ISBLANK('Data Entry'!$Ľ$684), "", 'Data Entry'!$Ľ$684)</f>
      </c>
      <c r="IT684">
        <f>IF(ISBLANK('Data Entry'!$ľ$684), "", 'Data Entry'!$ľ$684)</f>
      </c>
    </row>
    <row r="685" spans="1:254" x14ac:dyDescent="0.25">
      <c r="A685">
        <f>IF(ISBLANK('Data Entry'!$A$685), "", 'Data Entry'!$A$685)</f>
      </c>
      <c r="B685">
        <f>IF(ISBLANK('Data Entry'!$B$685), "", 'Data Entry'!$B$685)</f>
      </c>
      <c r="C685">
        <f>IF(ISBLANK('Data Entry'!$C$685), "", 'Data Entry'!$C$685)</f>
      </c>
      <c r="D685">
        <f>IF(ISBLANK('Data Entry'!$D$685), "", 'Data Entry'!$D$685)</f>
      </c>
      <c r="E685">
        <f>IF(ISBLANK('Data Entry'!$E$685), "", 'Data Entry'!$E$685)</f>
      </c>
      <c r="F685">
        <f>IF(ISBLANK('Data Entry'!$F$685), "", 'Data Entry'!$F$685)</f>
      </c>
      <c r="G685">
        <f>IF(ISBLANK('Data Entry'!$G$685), "", 'Data Entry'!$G$685)</f>
      </c>
      <c r="H685">
        <f>IF(ISBLANK('Data Entry'!$H$685), "", 'Data Entry'!$H$685)</f>
      </c>
      <c r="I685">
        <f>IF(ISBLANK('Data Entry'!$I$685), "", 'Data Entry'!$I$685)</f>
      </c>
      <c r="J685">
        <f>IF(ISBLANK('Data Entry'!$J$685), "", 'Data Entry'!$J$685)</f>
      </c>
      <c r="K685">
        <f>IF(ISBLANK('Data Entry'!$K$685), "", 'Data Entry'!$K$685)</f>
      </c>
      <c r="L685">
        <f>IF(ISBLANK('Data Entry'!$L$685), "", 'Data Entry'!$L$685)</f>
      </c>
      <c r="M685">
        <f>IF(ISBLANK('Data Entry'!$M$685), "", 'Data Entry'!$M$685)</f>
      </c>
      <c r="N685">
        <f>IF(ISBLANK('Data Entry'!$N$685), "", 'Data Entry'!$N$685)</f>
      </c>
      <c r="O685">
        <f>IF(ISBLANK('Data Entry'!$O$685), "", 'Data Entry'!$O$685)</f>
      </c>
      <c r="P685">
        <f>IF(ISBLANK('Data Entry'!$P$685), "", 'Data Entry'!$P$685)</f>
      </c>
      <c r="Q685">
        <f>IF(ISBLANK('Data Entry'!$Q$685), "", 'Data Entry'!$Q$685)</f>
      </c>
      <c r="R685">
        <f>IF(ISBLANK('Data Entry'!$R$685), "", 'Data Entry'!$R$685)</f>
      </c>
      <c r="S685">
        <f>IF(ISBLANK('Data Entry'!$S$685), "", 'Data Entry'!$S$685)</f>
      </c>
      <c r="T685">
        <f>IF(ISBLANK('Data Entry'!$T$685), "", 'Data Entry'!$T$685)</f>
      </c>
      <c r="U685">
        <f>IF(ISBLANK('Data Entry'!$U$685), "", 'Data Entry'!$U$685)</f>
      </c>
      <c r="V685">
        <f>IF(ISBLANK('Data Entry'!$V$685), "", 'Data Entry'!$V$685)</f>
      </c>
      <c r="W685">
        <f>IF(ISBLANK('Data Entry'!$W$685), "", 'Data Entry'!$W$685)</f>
      </c>
      <c r="X685">
        <f>IF(ISBLANK('Data Entry'!$X$685), "", 'Data Entry'!$X$685)</f>
      </c>
      <c r="Y685">
        <f>IF(ISBLANK('Data Entry'!$Y$685), "", 'Data Entry'!$Y$685)</f>
      </c>
      <c r="Z685">
        <f>IF(ISBLANK('Data Entry'!$Z$685), "", 'Data Entry'!$Z$685)</f>
      </c>
      <c r="AA685">
        <f>IF(ISBLANK('Data Entry'!$[$685), "", 'Data Entry'!$[$685)</f>
      </c>
      <c r="AB685">
        <f>IF(ISBLANK('Data Entry'!$\$685), "", 'Data Entry'!$\$685)</f>
      </c>
      <c r="AC685">
        <f>IF(ISBLANK('Data Entry'!$]$685), "", 'Data Entry'!$]$685)</f>
      </c>
      <c r="AD685">
        <f>IF(ISBLANK('Data Entry'!$^$685), "", 'Data Entry'!$^$685)</f>
      </c>
      <c r="AE685">
        <f>IF(ISBLANK('Data Entry'!$_$685), "", 'Data Entry'!$_$685)</f>
      </c>
      <c r="AF685">
        <f>IF(ISBLANK('Data Entry'!$`$685), "", 'Data Entry'!$`$685)</f>
      </c>
      <c r="AG685">
        <f>IF(ISBLANK('Data Entry'!$a$685), "", 'Data Entry'!$a$685)</f>
      </c>
      <c r="AH685">
        <f>IF(ISBLANK('Data Entry'!$b$685), "", 'Data Entry'!$b$685)</f>
      </c>
      <c r="AI685">
        <f>IF(ISBLANK('Data Entry'!$c$685), "", 'Data Entry'!$c$685)</f>
      </c>
      <c r="AJ685">
        <f>IF(ISBLANK('Data Entry'!$d$685), "", 'Data Entry'!$d$685)</f>
      </c>
      <c r="AK685">
        <f>IF(ISBLANK('Data Entry'!$e$685), "", 'Data Entry'!$e$685)</f>
      </c>
      <c r="AL685">
        <f>IF(ISBLANK('Data Entry'!$f$685), "", 'Data Entry'!$f$685)</f>
      </c>
      <c r="AM685">
        <f>IF(ISBLANK('Data Entry'!$g$685), "", 'Data Entry'!$g$685)</f>
      </c>
      <c r="AN685">
        <f>IF(ISBLANK('Data Entry'!$h$685), "", 'Data Entry'!$h$685)</f>
      </c>
      <c r="AO685">
        <f>IF(ISBLANK('Data Entry'!$i$685), "", 'Data Entry'!$i$685)</f>
      </c>
      <c r="AP685">
        <f>IF(ISBLANK('Data Entry'!$j$685), "", 'Data Entry'!$j$685)</f>
      </c>
      <c r="AQ685">
        <f>IF(ISBLANK('Data Entry'!$k$685), "", 'Data Entry'!$k$685)</f>
      </c>
      <c r="AR685">
        <f>IF(ISBLANK('Data Entry'!$l$685), "", 'Data Entry'!$l$685)</f>
      </c>
      <c r="AS685">
        <f>IF(ISBLANK('Data Entry'!$m$685), "", 'Data Entry'!$m$685)</f>
      </c>
      <c r="AT685">
        <f>IF(ISBLANK('Data Entry'!$n$685), "", 'Data Entry'!$n$685)</f>
      </c>
      <c r="AU685">
        <f>IF(ISBLANK('Data Entry'!$o$685), "", 'Data Entry'!$o$685)</f>
      </c>
      <c r="AV685">
        <f>IF(ISBLANK('Data Entry'!$p$685), "", 'Data Entry'!$p$685)</f>
      </c>
      <c r="AW685">
        <f>IF(ISBLANK('Data Entry'!$q$685), "", 'Data Entry'!$q$685)</f>
      </c>
      <c r="AX685">
        <f>IF(ISBLANK('Data Entry'!$r$685), "", 'Data Entry'!$r$685)</f>
      </c>
      <c r="AY685">
        <f>IF(ISBLANK('Data Entry'!$s$685), "", 'Data Entry'!$s$685)</f>
      </c>
      <c r="AZ685">
        <f>IF(ISBLANK('Data Entry'!$t$685), "", 'Data Entry'!$t$685)</f>
      </c>
      <c r="BA685">
        <f>IF(ISBLANK('Data Entry'!$u$685), "", 'Data Entry'!$u$685)</f>
      </c>
      <c r="BB685">
        <f>IF(ISBLANK('Data Entry'!$v$685), "", 'Data Entry'!$v$685)</f>
      </c>
      <c r="BC685">
        <f>IF(ISBLANK('Data Entry'!$w$685), "", 'Data Entry'!$w$685)</f>
      </c>
      <c r="BD685">
        <f>IF(ISBLANK('Data Entry'!$x$685), "", 'Data Entry'!$x$685)</f>
      </c>
      <c r="BE685">
        <f>IF(ISBLANK('Data Entry'!$y$685), "", 'Data Entry'!$y$685)</f>
      </c>
      <c r="BF685">
        <f>IF(ISBLANK('Data Entry'!$z$685), "", 'Data Entry'!$z$685)</f>
      </c>
      <c r="BG685">
        <f>IF(ISBLANK('Data Entry'!${$685), "", 'Data Entry'!${$685)</f>
      </c>
      <c r="BH685">
        <f>IF(ISBLANK('Data Entry'!$|$685), "", 'Data Entry'!$|$685)</f>
      </c>
      <c r="BI685">
        <f>IF(ISBLANK('Data Entry'!$}$685), "", 'Data Entry'!$}$685)</f>
      </c>
      <c r="BJ685">
        <f>IF(ISBLANK('Data Entry'!$~$685), "", 'Data Entry'!$~$685)</f>
      </c>
      <c r="BK685">
        <f>IF(ISBLANK('Data Entry'!$$685), "", 'Data Entry'!$$685)</f>
      </c>
      <c r="BL685">
        <f>IF(ISBLANK('Data Entry'!$$685), "", 'Data Entry'!$$685)</f>
      </c>
      <c r="BM685">
        <f>IF(ISBLANK('Data Entry'!$$685), "", 'Data Entry'!$$685)</f>
      </c>
      <c r="BN685">
        <f>IF(ISBLANK('Data Entry'!$$685), "", 'Data Entry'!$$685)</f>
      </c>
      <c r="BO685">
        <f>IF(ISBLANK('Data Entry'!$$685), "", 'Data Entry'!$$685)</f>
      </c>
      <c r="BP685">
        <f>IF(ISBLANK('Data Entry'!$$685), "", 'Data Entry'!$$685)</f>
      </c>
      <c r="BQ685">
        <f>IF(ISBLANK('Data Entry'!$$685), "", 'Data Entry'!$$685)</f>
      </c>
      <c r="BR685">
        <f>IF(ISBLANK('Data Entry'!$$685), "", 'Data Entry'!$$685)</f>
      </c>
      <c r="BS685">
        <f>IF(ISBLANK('Data Entry'!$$685), "", 'Data Entry'!$$685)</f>
      </c>
      <c r="BT685">
        <f>IF(ISBLANK('Data Entry'!$$685), "", 'Data Entry'!$$685)</f>
      </c>
      <c r="BU685">
        <f>IF(ISBLANK('Data Entry'!$$685), "", 'Data Entry'!$$685)</f>
      </c>
      <c r="BV685">
        <f>IF(ISBLANK('Data Entry'!$$685), "", 'Data Entry'!$$685)</f>
      </c>
      <c r="BW685">
        <f>IF(ISBLANK('Data Entry'!$$685), "", 'Data Entry'!$$685)</f>
      </c>
      <c r="BX685">
        <f>IF(ISBLANK('Data Entry'!$$685), "", 'Data Entry'!$$685)</f>
      </c>
      <c r="BY685">
        <f>IF(ISBLANK('Data Entry'!$$685), "", 'Data Entry'!$$685)</f>
      </c>
      <c r="BZ685">
        <f>IF(ISBLANK('Data Entry'!$$685), "", 'Data Entry'!$$685)</f>
      </c>
      <c r="CA685">
        <f>IF(ISBLANK('Data Entry'!$$685), "", 'Data Entry'!$$685)</f>
      </c>
      <c r="CB685">
        <f>IF(ISBLANK('Data Entry'!$$685), "", 'Data Entry'!$$685)</f>
      </c>
      <c r="CC685">
        <f>IF(ISBLANK('Data Entry'!$$685), "", 'Data Entry'!$$685)</f>
      </c>
      <c r="CD685">
        <f>IF(ISBLANK('Data Entry'!$$685), "", 'Data Entry'!$$685)</f>
      </c>
      <c r="CE685">
        <f>IF(ISBLANK('Data Entry'!$$685), "", 'Data Entry'!$$685)</f>
      </c>
      <c r="CF685">
        <f>IF(ISBLANK('Data Entry'!$$685), "", 'Data Entry'!$$685)</f>
      </c>
      <c r="CG685">
        <f>IF(ISBLANK('Data Entry'!$$685), "", 'Data Entry'!$$685)</f>
      </c>
      <c r="CH685">
        <f>IF(ISBLANK('Data Entry'!$$685), "", 'Data Entry'!$$685)</f>
      </c>
      <c r="CI685">
        <f>IF(ISBLANK('Data Entry'!$$685), "", 'Data Entry'!$$685)</f>
      </c>
      <c r="CJ685">
        <f>IF(ISBLANK('Data Entry'!$$685), "", 'Data Entry'!$$685)</f>
      </c>
      <c r="CK685">
        <f>IF(ISBLANK('Data Entry'!$$685), "", 'Data Entry'!$$685)</f>
      </c>
      <c r="CL685">
        <f>IF(ISBLANK('Data Entry'!$$685), "", 'Data Entry'!$$685)</f>
      </c>
      <c r="CM685">
        <f>IF(ISBLANK('Data Entry'!$$685), "", 'Data Entry'!$$685)</f>
      </c>
      <c r="CN685">
        <f>IF(ISBLANK('Data Entry'!$$685), "", 'Data Entry'!$$685)</f>
      </c>
      <c r="CO685">
        <f>IF(ISBLANK('Data Entry'!$$685), "", 'Data Entry'!$$685)</f>
      </c>
      <c r="CP685">
        <f>IF(ISBLANK('Data Entry'!$$685), "", 'Data Entry'!$$685)</f>
      </c>
      <c r="CQ685">
        <f>IF(ISBLANK('Data Entry'!$$685), "", 'Data Entry'!$$685)</f>
      </c>
      <c r="CR685">
        <f>IF(ISBLANK('Data Entry'!$ $685), "", 'Data Entry'!$ $685)</f>
      </c>
      <c r="CS685">
        <f>IF(ISBLANK('Data Entry'!$¡$685), "", 'Data Entry'!$¡$685)</f>
      </c>
      <c r="CT685">
        <f>IF(ISBLANK('Data Entry'!$¢$685), "", 'Data Entry'!$¢$685)</f>
      </c>
      <c r="CU685">
        <f>IF(ISBLANK('Data Entry'!$£$685), "", 'Data Entry'!$£$685)</f>
      </c>
      <c r="CV685">
        <f>IF(ISBLANK('Data Entry'!$¤$685), "", 'Data Entry'!$¤$685)</f>
      </c>
      <c r="CW685">
        <f>IF(ISBLANK('Data Entry'!$¥$685), "", 'Data Entry'!$¥$685)</f>
      </c>
      <c r="CX685">
        <f>IF(ISBLANK('Data Entry'!$¦$685), "", 'Data Entry'!$¦$685)</f>
      </c>
      <c r="CY685">
        <f>IF(ISBLANK('Data Entry'!$§$685), "", 'Data Entry'!$§$685)</f>
      </c>
      <c r="CZ685">
        <f>IF(ISBLANK('Data Entry'!$¨$685), "", 'Data Entry'!$¨$685)</f>
      </c>
      <c r="DA685">
        <f>IF(ISBLANK('Data Entry'!$©$685), "", 'Data Entry'!$©$685)</f>
      </c>
      <c r="DB685">
        <f>IF(ISBLANK('Data Entry'!$ª$685), "", 'Data Entry'!$ª$685)</f>
      </c>
      <c r="DC685">
        <f>IF(ISBLANK('Data Entry'!$«$685), "", 'Data Entry'!$«$685)</f>
      </c>
      <c r="DD685">
        <f>IF(ISBLANK('Data Entry'!$¬$685), "", 'Data Entry'!$¬$685)</f>
      </c>
      <c r="DE685">
        <f>IF(ISBLANK('Data Entry'!$­$685), "", 'Data Entry'!$­$685)</f>
      </c>
      <c r="DF685">
        <f>IF(ISBLANK('Data Entry'!$®$685), "", 'Data Entry'!$®$685)</f>
      </c>
      <c r="DG685">
        <f>IF(ISBLANK('Data Entry'!$¯$685), "", 'Data Entry'!$¯$685)</f>
      </c>
      <c r="DH685">
        <f>IF(ISBLANK('Data Entry'!$°$685), "", 'Data Entry'!$°$685)</f>
      </c>
      <c r="DI685">
        <f>IF(ISBLANK('Data Entry'!$±$685), "", 'Data Entry'!$±$685)</f>
      </c>
      <c r="DJ685">
        <f>IF(ISBLANK('Data Entry'!$²$685), "", 'Data Entry'!$²$685)</f>
      </c>
      <c r="DK685">
        <f>IF(ISBLANK('Data Entry'!$³$685), "", 'Data Entry'!$³$685)</f>
      </c>
      <c r="DL685">
        <f>IF(ISBLANK('Data Entry'!$´$685), "", 'Data Entry'!$´$685)</f>
      </c>
      <c r="DM685">
        <f>IF(ISBLANK('Data Entry'!$µ$685), "", 'Data Entry'!$µ$685)</f>
      </c>
      <c r="DN685">
        <f>IF(ISBLANK('Data Entry'!$¶$685), "", 'Data Entry'!$¶$685)</f>
      </c>
      <c r="DO685">
        <f>IF(ISBLANK('Data Entry'!$·$685), "", 'Data Entry'!$·$685)</f>
      </c>
      <c r="DP685">
        <f>IF(ISBLANK('Data Entry'!$¸$685), "", 'Data Entry'!$¸$685)</f>
      </c>
      <c r="DQ685">
        <f>IF(ISBLANK('Data Entry'!$¹$685), "", 'Data Entry'!$¹$685)</f>
      </c>
      <c r="DR685">
        <f>IF(ISBLANK('Data Entry'!$º$685), "", 'Data Entry'!$º$685)</f>
      </c>
      <c r="DS685">
        <f>IF(ISBLANK('Data Entry'!$»$685), "", 'Data Entry'!$»$685)</f>
      </c>
      <c r="DT685">
        <f>IF(ISBLANK('Data Entry'!$¼$685), "", 'Data Entry'!$¼$685)</f>
      </c>
      <c r="DU685">
        <f>IF(ISBLANK('Data Entry'!$½$685), "", 'Data Entry'!$½$685)</f>
      </c>
      <c r="DV685">
        <f>IF(ISBLANK('Data Entry'!$¾$685), "", 'Data Entry'!$¾$685)</f>
      </c>
      <c r="DW685">
        <f>IF(ISBLANK('Data Entry'!$¿$685), "", 'Data Entry'!$¿$685)</f>
      </c>
      <c r="DX685">
        <f>IF(ISBLANK('Data Entry'!$À$685), "", 'Data Entry'!$À$685)</f>
      </c>
      <c r="DY685">
        <f>IF(ISBLANK('Data Entry'!$Á$685), "", 'Data Entry'!$Á$685)</f>
      </c>
      <c r="DZ685">
        <f>IF(ISBLANK('Data Entry'!$Â$685), "", 'Data Entry'!$Â$685)</f>
      </c>
      <c r="EA685">
        <f>IF(ISBLANK('Data Entry'!$Ã$685), "", 'Data Entry'!$Ã$685)</f>
      </c>
      <c r="EB685">
        <f>IF(ISBLANK('Data Entry'!$Ä$685), "", 'Data Entry'!$Ä$685)</f>
      </c>
      <c r="EC685">
        <f>IF(ISBLANK('Data Entry'!$Å$685), "", 'Data Entry'!$Å$685)</f>
      </c>
      <c r="ED685">
        <f>IF(ISBLANK('Data Entry'!$Æ$685), "", 'Data Entry'!$Æ$685)</f>
      </c>
      <c r="EE685">
        <f>IF(ISBLANK('Data Entry'!$Ç$685), "", 'Data Entry'!$Ç$685)</f>
      </c>
      <c r="EF685">
        <f>IF(ISBLANK('Data Entry'!$È$685), "", 'Data Entry'!$È$685)</f>
      </c>
      <c r="EG685">
        <f>IF(ISBLANK('Data Entry'!$É$685), "", 'Data Entry'!$É$685)</f>
      </c>
      <c r="EH685">
        <f>IF(ISBLANK('Data Entry'!$Ê$685), "", 'Data Entry'!$Ê$685)</f>
      </c>
      <c r="EI685">
        <f>IF(ISBLANK('Data Entry'!$Ë$685), "", 'Data Entry'!$Ë$685)</f>
      </c>
      <c r="EJ685">
        <f>IF(ISBLANK('Data Entry'!$Ì$685), "", 'Data Entry'!$Ì$685)</f>
      </c>
      <c r="EK685">
        <f>IF(ISBLANK('Data Entry'!$Í$685), "", 'Data Entry'!$Í$685)</f>
      </c>
      <c r="EL685">
        <f>IF(ISBLANK('Data Entry'!$Î$685), "", 'Data Entry'!$Î$685)</f>
      </c>
      <c r="EM685">
        <f>IF(ISBLANK('Data Entry'!$Ï$685), "", 'Data Entry'!$Ï$685)</f>
      </c>
      <c r="EN685">
        <f>IF(ISBLANK('Data Entry'!$Ð$685), "", 'Data Entry'!$Ð$685)</f>
      </c>
      <c r="EO685">
        <f>IF(ISBLANK('Data Entry'!$Ñ$685), "", 'Data Entry'!$Ñ$685)</f>
      </c>
      <c r="EP685">
        <f>IF(ISBLANK('Data Entry'!$Ò$685), "", 'Data Entry'!$Ò$685)</f>
      </c>
      <c r="EQ685">
        <f>IF(ISBLANK('Data Entry'!$Ó$685), "", 'Data Entry'!$Ó$685)</f>
      </c>
      <c r="ER685">
        <f>IF(ISBLANK('Data Entry'!$Ô$685), "", 'Data Entry'!$Ô$685)</f>
      </c>
      <c r="ES685">
        <f>IF(ISBLANK('Data Entry'!$Õ$685), "", 'Data Entry'!$Õ$685)</f>
      </c>
      <c r="ET685">
        <f>IF(ISBLANK('Data Entry'!$Ö$685), "", 'Data Entry'!$Ö$685)</f>
      </c>
      <c r="EU685">
        <f>IF(ISBLANK('Data Entry'!$×$685), "", 'Data Entry'!$×$685)</f>
      </c>
      <c r="EV685">
        <f>IF(ISBLANK('Data Entry'!$Ø$685), "", 'Data Entry'!$Ø$685)</f>
      </c>
      <c r="EW685">
        <f>IF(ISBLANK('Data Entry'!$Ù$685), "", 'Data Entry'!$Ù$685)</f>
      </c>
      <c r="EX685">
        <f>IF(ISBLANK('Data Entry'!$Ú$685), "", 'Data Entry'!$Ú$685)</f>
      </c>
      <c r="EY685">
        <f>IF(ISBLANK('Data Entry'!$Û$685), "", 'Data Entry'!$Û$685)</f>
      </c>
      <c r="EZ685">
        <f>IF(ISBLANK('Data Entry'!$Ü$685), "", 'Data Entry'!$Ü$685)</f>
      </c>
      <c r="FA685">
        <f>IF(ISBLANK('Data Entry'!$Ý$685), "", 'Data Entry'!$Ý$685)</f>
      </c>
      <c r="FB685">
        <f>IF(ISBLANK('Data Entry'!$Þ$685), "", 'Data Entry'!$Þ$685)</f>
      </c>
      <c r="FC685">
        <f>IF(ISBLANK('Data Entry'!$ß$685), "", 'Data Entry'!$ß$685)</f>
      </c>
      <c r="FD685">
        <f>IF(ISBLANK('Data Entry'!$à$685), "", 'Data Entry'!$à$685)</f>
      </c>
      <c r="FE685">
        <f>IF(ISBLANK('Data Entry'!$á$685), "", 'Data Entry'!$á$685)</f>
      </c>
      <c r="FF685">
        <f>IF(ISBLANK('Data Entry'!$â$685), "", 'Data Entry'!$â$685)</f>
      </c>
      <c r="FG685">
        <f>IF(ISBLANK('Data Entry'!$ã$685), "", 'Data Entry'!$ã$685)</f>
      </c>
      <c r="FH685">
        <f>IF(ISBLANK('Data Entry'!$ä$685), "", 'Data Entry'!$ä$685)</f>
      </c>
      <c r="FI685">
        <f>IF(ISBLANK('Data Entry'!$å$685), "", 'Data Entry'!$å$685)</f>
      </c>
      <c r="FJ685">
        <f>IF(ISBLANK('Data Entry'!$æ$685), "", 'Data Entry'!$æ$685)</f>
      </c>
      <c r="FK685">
        <f>IF(ISBLANK('Data Entry'!$ç$685), "", 'Data Entry'!$ç$685)</f>
      </c>
      <c r="FL685">
        <f>IF(ISBLANK('Data Entry'!$è$685), "", 'Data Entry'!$è$685)</f>
      </c>
      <c r="FM685">
        <f>IF(ISBLANK('Data Entry'!$é$685), "", 'Data Entry'!$é$685)</f>
      </c>
      <c r="FN685">
        <f>IF(ISBLANK('Data Entry'!$ê$685), "", 'Data Entry'!$ê$685)</f>
      </c>
      <c r="FO685">
        <f>IF(ISBLANK('Data Entry'!$ë$685), "", 'Data Entry'!$ë$685)</f>
      </c>
      <c r="FP685">
        <f>IF(ISBLANK('Data Entry'!$ì$685), "", 'Data Entry'!$ì$685)</f>
      </c>
      <c r="FQ685">
        <f>IF(ISBLANK('Data Entry'!$í$685), "", 'Data Entry'!$í$685)</f>
      </c>
      <c r="FR685">
        <f>IF(ISBLANK('Data Entry'!$î$685), "", 'Data Entry'!$î$685)</f>
      </c>
      <c r="FS685">
        <f>IF(ISBLANK('Data Entry'!$ï$685), "", 'Data Entry'!$ï$685)</f>
      </c>
      <c r="FT685">
        <f>IF(ISBLANK('Data Entry'!$ð$685), "", 'Data Entry'!$ð$685)</f>
      </c>
      <c r="FU685">
        <f>IF(ISBLANK('Data Entry'!$ñ$685), "", 'Data Entry'!$ñ$685)</f>
      </c>
      <c r="FV685">
        <f>IF(ISBLANK('Data Entry'!$ò$685), "", 'Data Entry'!$ò$685)</f>
      </c>
      <c r="FW685">
        <f>IF(ISBLANK('Data Entry'!$ó$685), "", 'Data Entry'!$ó$685)</f>
      </c>
      <c r="FX685">
        <f>IF(ISBLANK('Data Entry'!$ô$685), "", 'Data Entry'!$ô$685)</f>
      </c>
      <c r="FY685">
        <f>IF(ISBLANK('Data Entry'!$õ$685), "", 'Data Entry'!$õ$685)</f>
      </c>
      <c r="FZ685">
        <f>IF(ISBLANK('Data Entry'!$ö$685), "", 'Data Entry'!$ö$685)</f>
      </c>
      <c r="GA685">
        <f>IF(ISBLANK('Data Entry'!$÷$685), "", 'Data Entry'!$÷$685)</f>
      </c>
      <c r="GB685">
        <f>IF(ISBLANK('Data Entry'!$ø$685), "", 'Data Entry'!$ø$685)</f>
      </c>
      <c r="GC685">
        <f>IF(ISBLANK('Data Entry'!$ù$685), "", 'Data Entry'!$ù$685)</f>
      </c>
      <c r="GD685">
        <f>IF(ISBLANK('Data Entry'!$ú$685), "", 'Data Entry'!$ú$685)</f>
      </c>
      <c r="GE685">
        <f>IF(ISBLANK('Data Entry'!$û$685), "", 'Data Entry'!$û$685)</f>
      </c>
      <c r="GF685">
        <f>IF(ISBLANK('Data Entry'!$ü$685), "", 'Data Entry'!$ü$685)</f>
      </c>
      <c r="GG685">
        <f>IF(ISBLANK('Data Entry'!$ý$685), "", 'Data Entry'!$ý$685)</f>
      </c>
      <c r="GH685">
        <f>IF(ISBLANK('Data Entry'!$þ$685), "", 'Data Entry'!$þ$685)</f>
      </c>
      <c r="GI685">
        <f>IF(ISBLANK('Data Entry'!$ÿ$685), "", 'Data Entry'!$ÿ$685)</f>
      </c>
      <c r="GJ685">
        <f>IF(ISBLANK('Data Entry'!$Ā$685), "", 'Data Entry'!$Ā$685)</f>
      </c>
      <c r="GK685">
        <f>IF(ISBLANK('Data Entry'!$ā$685), "", 'Data Entry'!$ā$685)</f>
      </c>
      <c r="GL685">
        <f>IF(ISBLANK('Data Entry'!$Ă$685), "", 'Data Entry'!$Ă$685)</f>
      </c>
      <c r="GM685">
        <f>IF(ISBLANK('Data Entry'!$ă$685), "", 'Data Entry'!$ă$685)</f>
      </c>
      <c r="GN685">
        <f>IF(ISBLANK('Data Entry'!$Ą$685), "", 'Data Entry'!$Ą$685)</f>
      </c>
      <c r="GO685">
        <f>IF(ISBLANK('Data Entry'!$ą$685), "", 'Data Entry'!$ą$685)</f>
      </c>
      <c r="GP685">
        <f>IF(ISBLANK('Data Entry'!$Ć$685), "", 'Data Entry'!$Ć$685)</f>
      </c>
      <c r="GQ685">
        <f>IF(ISBLANK('Data Entry'!$ć$685), "", 'Data Entry'!$ć$685)</f>
      </c>
      <c r="GR685">
        <f>IF(ISBLANK('Data Entry'!$Ĉ$685), "", 'Data Entry'!$Ĉ$685)</f>
      </c>
      <c r="GS685">
        <f>IF(ISBLANK('Data Entry'!$ĉ$685), "", 'Data Entry'!$ĉ$685)</f>
      </c>
      <c r="GT685">
        <f>IF(ISBLANK('Data Entry'!$Ċ$685), "", 'Data Entry'!$Ċ$685)</f>
      </c>
      <c r="GU685">
        <f>IF(ISBLANK('Data Entry'!$ċ$685), "", 'Data Entry'!$ċ$685)</f>
      </c>
      <c r="GV685">
        <f>IF(ISBLANK('Data Entry'!$Č$685), "", 'Data Entry'!$Č$685)</f>
      </c>
      <c r="GW685">
        <f>IF(ISBLANK('Data Entry'!$č$685), "", 'Data Entry'!$č$685)</f>
      </c>
      <c r="GX685">
        <f>IF(ISBLANK('Data Entry'!$Ď$685), "", 'Data Entry'!$Ď$685)</f>
      </c>
      <c r="GY685">
        <f>IF(ISBLANK('Data Entry'!$ď$685), "", 'Data Entry'!$ď$685)</f>
      </c>
      <c r="GZ685">
        <f>IF(ISBLANK('Data Entry'!$Đ$685), "", 'Data Entry'!$Đ$685)</f>
      </c>
      <c r="HA685">
        <f>IF(ISBLANK('Data Entry'!$đ$685), "", 'Data Entry'!$đ$685)</f>
      </c>
      <c r="HB685">
        <f>IF(ISBLANK('Data Entry'!$Ē$685), "", 'Data Entry'!$Ē$685)</f>
      </c>
      <c r="HC685">
        <f>IF(ISBLANK('Data Entry'!$ē$685), "", 'Data Entry'!$ē$685)</f>
      </c>
      <c r="HD685">
        <f>IF(ISBLANK('Data Entry'!$Ĕ$685), "", 'Data Entry'!$Ĕ$685)</f>
      </c>
      <c r="HE685">
        <f>IF(ISBLANK('Data Entry'!$ĕ$685), "", 'Data Entry'!$ĕ$685)</f>
      </c>
      <c r="HF685">
        <f>IF(ISBLANK('Data Entry'!$Ė$685), "", 'Data Entry'!$Ė$685)</f>
      </c>
      <c r="HG685">
        <f>IF(ISBLANK('Data Entry'!$ė$685), "", 'Data Entry'!$ė$685)</f>
      </c>
      <c r="HH685">
        <f>IF(ISBLANK('Data Entry'!$Ę$685), "", 'Data Entry'!$Ę$685)</f>
      </c>
      <c r="HI685">
        <f>IF(ISBLANK('Data Entry'!$ę$685), "", 'Data Entry'!$ę$685)</f>
      </c>
      <c r="HJ685">
        <f>IF(ISBLANK('Data Entry'!$Ě$685), "", 'Data Entry'!$Ě$685)</f>
      </c>
      <c r="HK685">
        <f>IF(ISBLANK('Data Entry'!$ě$685), "", 'Data Entry'!$ě$685)</f>
      </c>
      <c r="HL685">
        <f>IF(ISBLANK('Data Entry'!$Ĝ$685), "", 'Data Entry'!$Ĝ$685)</f>
      </c>
      <c r="HM685">
        <f>IF(ISBLANK('Data Entry'!$ĝ$685), "", 'Data Entry'!$ĝ$685)</f>
      </c>
      <c r="HN685">
        <f>IF(ISBLANK('Data Entry'!$Ğ$685), "", 'Data Entry'!$Ğ$685)</f>
      </c>
      <c r="HO685">
        <f>IF(ISBLANK('Data Entry'!$ğ$685), "", 'Data Entry'!$ğ$685)</f>
      </c>
      <c r="HP685">
        <f>IF(ISBLANK('Data Entry'!$Ġ$685), "", 'Data Entry'!$Ġ$685)</f>
      </c>
      <c r="HQ685">
        <f>IF(ISBLANK('Data Entry'!$ġ$685), "", 'Data Entry'!$ġ$685)</f>
      </c>
      <c r="HR685">
        <f>IF(ISBLANK('Data Entry'!$Ģ$685), "", 'Data Entry'!$Ģ$685)</f>
      </c>
      <c r="HS685">
        <f>IF(ISBLANK('Data Entry'!$ģ$685), "", 'Data Entry'!$ģ$685)</f>
      </c>
      <c r="HT685">
        <f>IF(ISBLANK('Data Entry'!$Ĥ$685), "", 'Data Entry'!$Ĥ$685)</f>
      </c>
      <c r="HU685">
        <f>IF(ISBLANK('Data Entry'!$ĥ$685), "", 'Data Entry'!$ĥ$685)</f>
      </c>
      <c r="HV685">
        <f>IF(ISBLANK('Data Entry'!$Ħ$685), "", 'Data Entry'!$Ħ$685)</f>
      </c>
      <c r="HW685">
        <f>IF(ISBLANK('Data Entry'!$ħ$685), "", 'Data Entry'!$ħ$685)</f>
      </c>
      <c r="HX685">
        <f>IF(ISBLANK('Data Entry'!$Ĩ$685), "", 'Data Entry'!$Ĩ$685)</f>
      </c>
      <c r="HY685">
        <f>IF(ISBLANK('Data Entry'!$ĩ$685), "", 'Data Entry'!$ĩ$685)</f>
      </c>
      <c r="HZ685">
        <f>IF(ISBLANK('Data Entry'!$Ī$685), "", 'Data Entry'!$Ī$685)</f>
      </c>
      <c r="IA685">
        <f>IF(ISBLANK('Data Entry'!$ī$685), "", 'Data Entry'!$ī$685)</f>
      </c>
      <c r="IB685">
        <f>IF(ISBLANK('Data Entry'!$Ĭ$685), "", 'Data Entry'!$Ĭ$685)</f>
      </c>
      <c r="IC685">
        <f>IF(ISBLANK('Data Entry'!$ĭ$685), "", 'Data Entry'!$ĭ$685)</f>
      </c>
      <c r="ID685">
        <f>IF(ISBLANK('Data Entry'!$Į$685), "", 'Data Entry'!$Į$685)</f>
      </c>
      <c r="IE685">
        <f>IF(ISBLANK('Data Entry'!$į$685), "", 'Data Entry'!$į$685)</f>
      </c>
      <c r="IF685">
        <f>IF(ISBLANK('Data Entry'!$İ$685), "", 'Data Entry'!$İ$685)</f>
      </c>
      <c r="IG685">
        <f>IF(ISBLANK('Data Entry'!$ı$685), "", 'Data Entry'!$ı$685)</f>
      </c>
      <c r="IH685">
        <f>IF(ISBLANK('Data Entry'!$Ĳ$685), "", 'Data Entry'!$Ĳ$685)</f>
      </c>
      <c r="II685">
        <f>IF(ISBLANK('Data Entry'!$ĳ$685), "", 'Data Entry'!$ĳ$685)</f>
      </c>
      <c r="IJ685">
        <f>IF(ISBLANK('Data Entry'!$Ĵ$685), "", 'Data Entry'!$Ĵ$685)</f>
      </c>
      <c r="IK685">
        <f>IF(ISBLANK('Data Entry'!$ĵ$685), "", 'Data Entry'!$ĵ$685)</f>
      </c>
      <c r="IL685">
        <f>IF(ISBLANK('Data Entry'!$Ķ$685), "", 'Data Entry'!$Ķ$685)</f>
      </c>
      <c r="IM685">
        <f>IF(ISBLANK('Data Entry'!$ķ$685), "", 'Data Entry'!$ķ$685)</f>
      </c>
      <c r="IN685">
        <f>IF(ISBLANK('Data Entry'!$ĸ$685), "", 'Data Entry'!$ĸ$685)</f>
      </c>
      <c r="IO685">
        <f>IF(ISBLANK('Data Entry'!$Ĺ$685), "", 'Data Entry'!$Ĺ$685)</f>
      </c>
      <c r="IP685">
        <f>IF(ISBLANK('Data Entry'!$ĺ$685), "", 'Data Entry'!$ĺ$685)</f>
      </c>
      <c r="IQ685">
        <f>IF(ISBLANK('Data Entry'!$Ļ$685), "", 'Data Entry'!$Ļ$685)</f>
      </c>
      <c r="IR685">
        <f>IF(ISBLANK('Data Entry'!$ļ$685), "", 'Data Entry'!$ļ$685)</f>
      </c>
      <c r="IS685">
        <f>IF(ISBLANK('Data Entry'!$Ľ$685), "", 'Data Entry'!$Ľ$685)</f>
      </c>
      <c r="IT685">
        <f>IF(ISBLANK('Data Entry'!$ľ$685), "", 'Data Entry'!$ľ$685)</f>
      </c>
    </row>
    <row r="686" spans="1:254" x14ac:dyDescent="0.25">
      <c r="A686">
        <f>IF(ISBLANK('Data Entry'!$A$686), "", 'Data Entry'!$A$686)</f>
      </c>
      <c r="B686">
        <f>IF(ISBLANK('Data Entry'!$B$686), "", 'Data Entry'!$B$686)</f>
      </c>
      <c r="C686">
        <f>IF(ISBLANK('Data Entry'!$C$686), "", 'Data Entry'!$C$686)</f>
      </c>
      <c r="D686">
        <f>IF(ISBLANK('Data Entry'!$D$686), "", 'Data Entry'!$D$686)</f>
      </c>
      <c r="E686">
        <f>IF(ISBLANK('Data Entry'!$E$686), "", 'Data Entry'!$E$686)</f>
      </c>
      <c r="F686">
        <f>IF(ISBLANK('Data Entry'!$F$686), "", 'Data Entry'!$F$686)</f>
      </c>
      <c r="G686">
        <f>IF(ISBLANK('Data Entry'!$G$686), "", 'Data Entry'!$G$686)</f>
      </c>
      <c r="H686">
        <f>IF(ISBLANK('Data Entry'!$H$686), "", 'Data Entry'!$H$686)</f>
      </c>
      <c r="I686">
        <f>IF(ISBLANK('Data Entry'!$I$686), "", 'Data Entry'!$I$686)</f>
      </c>
      <c r="J686">
        <f>IF(ISBLANK('Data Entry'!$J$686), "", 'Data Entry'!$J$686)</f>
      </c>
      <c r="K686">
        <f>IF(ISBLANK('Data Entry'!$K$686), "", 'Data Entry'!$K$686)</f>
      </c>
      <c r="L686">
        <f>IF(ISBLANK('Data Entry'!$L$686), "", 'Data Entry'!$L$686)</f>
      </c>
      <c r="M686">
        <f>IF(ISBLANK('Data Entry'!$M$686), "", 'Data Entry'!$M$686)</f>
      </c>
      <c r="N686">
        <f>IF(ISBLANK('Data Entry'!$N$686), "", 'Data Entry'!$N$686)</f>
      </c>
      <c r="O686">
        <f>IF(ISBLANK('Data Entry'!$O$686), "", 'Data Entry'!$O$686)</f>
      </c>
      <c r="P686">
        <f>IF(ISBLANK('Data Entry'!$P$686), "", 'Data Entry'!$P$686)</f>
      </c>
      <c r="Q686">
        <f>IF(ISBLANK('Data Entry'!$Q$686), "", 'Data Entry'!$Q$686)</f>
      </c>
      <c r="R686">
        <f>IF(ISBLANK('Data Entry'!$R$686), "", 'Data Entry'!$R$686)</f>
      </c>
      <c r="S686">
        <f>IF(ISBLANK('Data Entry'!$S$686), "", 'Data Entry'!$S$686)</f>
      </c>
      <c r="T686">
        <f>IF(ISBLANK('Data Entry'!$T$686), "", 'Data Entry'!$T$686)</f>
      </c>
      <c r="U686">
        <f>IF(ISBLANK('Data Entry'!$U$686), "", 'Data Entry'!$U$686)</f>
      </c>
      <c r="V686">
        <f>IF(ISBLANK('Data Entry'!$V$686), "", 'Data Entry'!$V$686)</f>
      </c>
      <c r="W686">
        <f>IF(ISBLANK('Data Entry'!$W$686), "", 'Data Entry'!$W$686)</f>
      </c>
      <c r="X686">
        <f>IF(ISBLANK('Data Entry'!$X$686), "", 'Data Entry'!$X$686)</f>
      </c>
      <c r="Y686">
        <f>IF(ISBLANK('Data Entry'!$Y$686), "", 'Data Entry'!$Y$686)</f>
      </c>
      <c r="Z686">
        <f>IF(ISBLANK('Data Entry'!$Z$686), "", 'Data Entry'!$Z$686)</f>
      </c>
      <c r="AA686">
        <f>IF(ISBLANK('Data Entry'!$[$686), "", 'Data Entry'!$[$686)</f>
      </c>
      <c r="AB686">
        <f>IF(ISBLANK('Data Entry'!$\$686), "", 'Data Entry'!$\$686)</f>
      </c>
      <c r="AC686">
        <f>IF(ISBLANK('Data Entry'!$]$686), "", 'Data Entry'!$]$686)</f>
      </c>
      <c r="AD686">
        <f>IF(ISBLANK('Data Entry'!$^$686), "", 'Data Entry'!$^$686)</f>
      </c>
      <c r="AE686">
        <f>IF(ISBLANK('Data Entry'!$_$686), "", 'Data Entry'!$_$686)</f>
      </c>
      <c r="AF686">
        <f>IF(ISBLANK('Data Entry'!$`$686), "", 'Data Entry'!$`$686)</f>
      </c>
      <c r="AG686">
        <f>IF(ISBLANK('Data Entry'!$a$686), "", 'Data Entry'!$a$686)</f>
      </c>
      <c r="AH686">
        <f>IF(ISBLANK('Data Entry'!$b$686), "", 'Data Entry'!$b$686)</f>
      </c>
      <c r="AI686">
        <f>IF(ISBLANK('Data Entry'!$c$686), "", 'Data Entry'!$c$686)</f>
      </c>
      <c r="AJ686">
        <f>IF(ISBLANK('Data Entry'!$d$686), "", 'Data Entry'!$d$686)</f>
      </c>
      <c r="AK686">
        <f>IF(ISBLANK('Data Entry'!$e$686), "", 'Data Entry'!$e$686)</f>
      </c>
      <c r="AL686">
        <f>IF(ISBLANK('Data Entry'!$f$686), "", 'Data Entry'!$f$686)</f>
      </c>
      <c r="AM686">
        <f>IF(ISBLANK('Data Entry'!$g$686), "", 'Data Entry'!$g$686)</f>
      </c>
      <c r="AN686">
        <f>IF(ISBLANK('Data Entry'!$h$686), "", 'Data Entry'!$h$686)</f>
      </c>
      <c r="AO686">
        <f>IF(ISBLANK('Data Entry'!$i$686), "", 'Data Entry'!$i$686)</f>
      </c>
      <c r="AP686">
        <f>IF(ISBLANK('Data Entry'!$j$686), "", 'Data Entry'!$j$686)</f>
      </c>
      <c r="AQ686">
        <f>IF(ISBLANK('Data Entry'!$k$686), "", 'Data Entry'!$k$686)</f>
      </c>
      <c r="AR686">
        <f>IF(ISBLANK('Data Entry'!$l$686), "", 'Data Entry'!$l$686)</f>
      </c>
      <c r="AS686">
        <f>IF(ISBLANK('Data Entry'!$m$686), "", 'Data Entry'!$m$686)</f>
      </c>
      <c r="AT686">
        <f>IF(ISBLANK('Data Entry'!$n$686), "", 'Data Entry'!$n$686)</f>
      </c>
      <c r="AU686">
        <f>IF(ISBLANK('Data Entry'!$o$686), "", 'Data Entry'!$o$686)</f>
      </c>
      <c r="AV686">
        <f>IF(ISBLANK('Data Entry'!$p$686), "", 'Data Entry'!$p$686)</f>
      </c>
      <c r="AW686">
        <f>IF(ISBLANK('Data Entry'!$q$686), "", 'Data Entry'!$q$686)</f>
      </c>
      <c r="AX686">
        <f>IF(ISBLANK('Data Entry'!$r$686), "", 'Data Entry'!$r$686)</f>
      </c>
      <c r="AY686">
        <f>IF(ISBLANK('Data Entry'!$s$686), "", 'Data Entry'!$s$686)</f>
      </c>
      <c r="AZ686">
        <f>IF(ISBLANK('Data Entry'!$t$686), "", 'Data Entry'!$t$686)</f>
      </c>
      <c r="BA686">
        <f>IF(ISBLANK('Data Entry'!$u$686), "", 'Data Entry'!$u$686)</f>
      </c>
      <c r="BB686">
        <f>IF(ISBLANK('Data Entry'!$v$686), "", 'Data Entry'!$v$686)</f>
      </c>
      <c r="BC686">
        <f>IF(ISBLANK('Data Entry'!$w$686), "", 'Data Entry'!$w$686)</f>
      </c>
      <c r="BD686">
        <f>IF(ISBLANK('Data Entry'!$x$686), "", 'Data Entry'!$x$686)</f>
      </c>
      <c r="BE686">
        <f>IF(ISBLANK('Data Entry'!$y$686), "", 'Data Entry'!$y$686)</f>
      </c>
      <c r="BF686">
        <f>IF(ISBLANK('Data Entry'!$z$686), "", 'Data Entry'!$z$686)</f>
      </c>
      <c r="BG686">
        <f>IF(ISBLANK('Data Entry'!${$686), "", 'Data Entry'!${$686)</f>
      </c>
      <c r="BH686">
        <f>IF(ISBLANK('Data Entry'!$|$686), "", 'Data Entry'!$|$686)</f>
      </c>
      <c r="BI686">
        <f>IF(ISBLANK('Data Entry'!$}$686), "", 'Data Entry'!$}$686)</f>
      </c>
      <c r="BJ686">
        <f>IF(ISBLANK('Data Entry'!$~$686), "", 'Data Entry'!$~$686)</f>
      </c>
      <c r="BK686">
        <f>IF(ISBLANK('Data Entry'!$$686), "", 'Data Entry'!$$686)</f>
      </c>
      <c r="BL686">
        <f>IF(ISBLANK('Data Entry'!$$686), "", 'Data Entry'!$$686)</f>
      </c>
      <c r="BM686">
        <f>IF(ISBLANK('Data Entry'!$$686), "", 'Data Entry'!$$686)</f>
      </c>
      <c r="BN686">
        <f>IF(ISBLANK('Data Entry'!$$686), "", 'Data Entry'!$$686)</f>
      </c>
      <c r="BO686">
        <f>IF(ISBLANK('Data Entry'!$$686), "", 'Data Entry'!$$686)</f>
      </c>
      <c r="BP686">
        <f>IF(ISBLANK('Data Entry'!$$686), "", 'Data Entry'!$$686)</f>
      </c>
      <c r="BQ686">
        <f>IF(ISBLANK('Data Entry'!$$686), "", 'Data Entry'!$$686)</f>
      </c>
      <c r="BR686">
        <f>IF(ISBLANK('Data Entry'!$$686), "", 'Data Entry'!$$686)</f>
      </c>
      <c r="BS686">
        <f>IF(ISBLANK('Data Entry'!$$686), "", 'Data Entry'!$$686)</f>
      </c>
      <c r="BT686">
        <f>IF(ISBLANK('Data Entry'!$$686), "", 'Data Entry'!$$686)</f>
      </c>
      <c r="BU686">
        <f>IF(ISBLANK('Data Entry'!$$686), "", 'Data Entry'!$$686)</f>
      </c>
      <c r="BV686">
        <f>IF(ISBLANK('Data Entry'!$$686), "", 'Data Entry'!$$686)</f>
      </c>
      <c r="BW686">
        <f>IF(ISBLANK('Data Entry'!$$686), "", 'Data Entry'!$$686)</f>
      </c>
      <c r="BX686">
        <f>IF(ISBLANK('Data Entry'!$$686), "", 'Data Entry'!$$686)</f>
      </c>
      <c r="BY686">
        <f>IF(ISBLANK('Data Entry'!$$686), "", 'Data Entry'!$$686)</f>
      </c>
      <c r="BZ686">
        <f>IF(ISBLANK('Data Entry'!$$686), "", 'Data Entry'!$$686)</f>
      </c>
      <c r="CA686">
        <f>IF(ISBLANK('Data Entry'!$$686), "", 'Data Entry'!$$686)</f>
      </c>
      <c r="CB686">
        <f>IF(ISBLANK('Data Entry'!$$686), "", 'Data Entry'!$$686)</f>
      </c>
      <c r="CC686">
        <f>IF(ISBLANK('Data Entry'!$$686), "", 'Data Entry'!$$686)</f>
      </c>
      <c r="CD686">
        <f>IF(ISBLANK('Data Entry'!$$686), "", 'Data Entry'!$$686)</f>
      </c>
      <c r="CE686">
        <f>IF(ISBLANK('Data Entry'!$$686), "", 'Data Entry'!$$686)</f>
      </c>
      <c r="CF686">
        <f>IF(ISBLANK('Data Entry'!$$686), "", 'Data Entry'!$$686)</f>
      </c>
      <c r="CG686">
        <f>IF(ISBLANK('Data Entry'!$$686), "", 'Data Entry'!$$686)</f>
      </c>
      <c r="CH686">
        <f>IF(ISBLANK('Data Entry'!$$686), "", 'Data Entry'!$$686)</f>
      </c>
      <c r="CI686">
        <f>IF(ISBLANK('Data Entry'!$$686), "", 'Data Entry'!$$686)</f>
      </c>
      <c r="CJ686">
        <f>IF(ISBLANK('Data Entry'!$$686), "", 'Data Entry'!$$686)</f>
      </c>
      <c r="CK686">
        <f>IF(ISBLANK('Data Entry'!$$686), "", 'Data Entry'!$$686)</f>
      </c>
      <c r="CL686">
        <f>IF(ISBLANK('Data Entry'!$$686), "", 'Data Entry'!$$686)</f>
      </c>
      <c r="CM686">
        <f>IF(ISBLANK('Data Entry'!$$686), "", 'Data Entry'!$$686)</f>
      </c>
      <c r="CN686">
        <f>IF(ISBLANK('Data Entry'!$$686), "", 'Data Entry'!$$686)</f>
      </c>
      <c r="CO686">
        <f>IF(ISBLANK('Data Entry'!$$686), "", 'Data Entry'!$$686)</f>
      </c>
      <c r="CP686">
        <f>IF(ISBLANK('Data Entry'!$$686), "", 'Data Entry'!$$686)</f>
      </c>
      <c r="CQ686">
        <f>IF(ISBLANK('Data Entry'!$$686), "", 'Data Entry'!$$686)</f>
      </c>
      <c r="CR686">
        <f>IF(ISBLANK('Data Entry'!$ $686), "", 'Data Entry'!$ $686)</f>
      </c>
      <c r="CS686">
        <f>IF(ISBLANK('Data Entry'!$¡$686), "", 'Data Entry'!$¡$686)</f>
      </c>
      <c r="CT686">
        <f>IF(ISBLANK('Data Entry'!$¢$686), "", 'Data Entry'!$¢$686)</f>
      </c>
      <c r="CU686">
        <f>IF(ISBLANK('Data Entry'!$£$686), "", 'Data Entry'!$£$686)</f>
      </c>
      <c r="CV686">
        <f>IF(ISBLANK('Data Entry'!$¤$686), "", 'Data Entry'!$¤$686)</f>
      </c>
      <c r="CW686">
        <f>IF(ISBLANK('Data Entry'!$¥$686), "", 'Data Entry'!$¥$686)</f>
      </c>
      <c r="CX686">
        <f>IF(ISBLANK('Data Entry'!$¦$686), "", 'Data Entry'!$¦$686)</f>
      </c>
      <c r="CY686">
        <f>IF(ISBLANK('Data Entry'!$§$686), "", 'Data Entry'!$§$686)</f>
      </c>
      <c r="CZ686">
        <f>IF(ISBLANK('Data Entry'!$¨$686), "", 'Data Entry'!$¨$686)</f>
      </c>
      <c r="DA686">
        <f>IF(ISBLANK('Data Entry'!$©$686), "", 'Data Entry'!$©$686)</f>
      </c>
      <c r="DB686">
        <f>IF(ISBLANK('Data Entry'!$ª$686), "", 'Data Entry'!$ª$686)</f>
      </c>
      <c r="DC686">
        <f>IF(ISBLANK('Data Entry'!$«$686), "", 'Data Entry'!$«$686)</f>
      </c>
      <c r="DD686">
        <f>IF(ISBLANK('Data Entry'!$¬$686), "", 'Data Entry'!$¬$686)</f>
      </c>
      <c r="DE686">
        <f>IF(ISBLANK('Data Entry'!$­$686), "", 'Data Entry'!$­$686)</f>
      </c>
      <c r="DF686">
        <f>IF(ISBLANK('Data Entry'!$®$686), "", 'Data Entry'!$®$686)</f>
      </c>
      <c r="DG686">
        <f>IF(ISBLANK('Data Entry'!$¯$686), "", 'Data Entry'!$¯$686)</f>
      </c>
      <c r="DH686">
        <f>IF(ISBLANK('Data Entry'!$°$686), "", 'Data Entry'!$°$686)</f>
      </c>
      <c r="DI686">
        <f>IF(ISBLANK('Data Entry'!$±$686), "", 'Data Entry'!$±$686)</f>
      </c>
      <c r="DJ686">
        <f>IF(ISBLANK('Data Entry'!$²$686), "", 'Data Entry'!$²$686)</f>
      </c>
      <c r="DK686">
        <f>IF(ISBLANK('Data Entry'!$³$686), "", 'Data Entry'!$³$686)</f>
      </c>
      <c r="DL686">
        <f>IF(ISBLANK('Data Entry'!$´$686), "", 'Data Entry'!$´$686)</f>
      </c>
      <c r="DM686">
        <f>IF(ISBLANK('Data Entry'!$µ$686), "", 'Data Entry'!$µ$686)</f>
      </c>
      <c r="DN686">
        <f>IF(ISBLANK('Data Entry'!$¶$686), "", 'Data Entry'!$¶$686)</f>
      </c>
      <c r="DO686">
        <f>IF(ISBLANK('Data Entry'!$·$686), "", 'Data Entry'!$·$686)</f>
      </c>
      <c r="DP686">
        <f>IF(ISBLANK('Data Entry'!$¸$686), "", 'Data Entry'!$¸$686)</f>
      </c>
      <c r="DQ686">
        <f>IF(ISBLANK('Data Entry'!$¹$686), "", 'Data Entry'!$¹$686)</f>
      </c>
      <c r="DR686">
        <f>IF(ISBLANK('Data Entry'!$º$686), "", 'Data Entry'!$º$686)</f>
      </c>
      <c r="DS686">
        <f>IF(ISBLANK('Data Entry'!$»$686), "", 'Data Entry'!$»$686)</f>
      </c>
      <c r="DT686">
        <f>IF(ISBLANK('Data Entry'!$¼$686), "", 'Data Entry'!$¼$686)</f>
      </c>
      <c r="DU686">
        <f>IF(ISBLANK('Data Entry'!$½$686), "", 'Data Entry'!$½$686)</f>
      </c>
      <c r="DV686">
        <f>IF(ISBLANK('Data Entry'!$¾$686), "", 'Data Entry'!$¾$686)</f>
      </c>
      <c r="DW686">
        <f>IF(ISBLANK('Data Entry'!$¿$686), "", 'Data Entry'!$¿$686)</f>
      </c>
      <c r="DX686">
        <f>IF(ISBLANK('Data Entry'!$À$686), "", 'Data Entry'!$À$686)</f>
      </c>
      <c r="DY686">
        <f>IF(ISBLANK('Data Entry'!$Á$686), "", 'Data Entry'!$Á$686)</f>
      </c>
      <c r="DZ686">
        <f>IF(ISBLANK('Data Entry'!$Â$686), "", 'Data Entry'!$Â$686)</f>
      </c>
      <c r="EA686">
        <f>IF(ISBLANK('Data Entry'!$Ã$686), "", 'Data Entry'!$Ã$686)</f>
      </c>
      <c r="EB686">
        <f>IF(ISBLANK('Data Entry'!$Ä$686), "", 'Data Entry'!$Ä$686)</f>
      </c>
      <c r="EC686">
        <f>IF(ISBLANK('Data Entry'!$Å$686), "", 'Data Entry'!$Å$686)</f>
      </c>
      <c r="ED686">
        <f>IF(ISBLANK('Data Entry'!$Æ$686), "", 'Data Entry'!$Æ$686)</f>
      </c>
      <c r="EE686">
        <f>IF(ISBLANK('Data Entry'!$Ç$686), "", 'Data Entry'!$Ç$686)</f>
      </c>
      <c r="EF686">
        <f>IF(ISBLANK('Data Entry'!$È$686), "", 'Data Entry'!$È$686)</f>
      </c>
      <c r="EG686">
        <f>IF(ISBLANK('Data Entry'!$É$686), "", 'Data Entry'!$É$686)</f>
      </c>
      <c r="EH686">
        <f>IF(ISBLANK('Data Entry'!$Ê$686), "", 'Data Entry'!$Ê$686)</f>
      </c>
      <c r="EI686">
        <f>IF(ISBLANK('Data Entry'!$Ë$686), "", 'Data Entry'!$Ë$686)</f>
      </c>
      <c r="EJ686">
        <f>IF(ISBLANK('Data Entry'!$Ì$686), "", 'Data Entry'!$Ì$686)</f>
      </c>
      <c r="EK686">
        <f>IF(ISBLANK('Data Entry'!$Í$686), "", 'Data Entry'!$Í$686)</f>
      </c>
      <c r="EL686">
        <f>IF(ISBLANK('Data Entry'!$Î$686), "", 'Data Entry'!$Î$686)</f>
      </c>
      <c r="EM686">
        <f>IF(ISBLANK('Data Entry'!$Ï$686), "", 'Data Entry'!$Ï$686)</f>
      </c>
      <c r="EN686">
        <f>IF(ISBLANK('Data Entry'!$Ð$686), "", 'Data Entry'!$Ð$686)</f>
      </c>
      <c r="EO686">
        <f>IF(ISBLANK('Data Entry'!$Ñ$686), "", 'Data Entry'!$Ñ$686)</f>
      </c>
      <c r="EP686">
        <f>IF(ISBLANK('Data Entry'!$Ò$686), "", 'Data Entry'!$Ò$686)</f>
      </c>
      <c r="EQ686">
        <f>IF(ISBLANK('Data Entry'!$Ó$686), "", 'Data Entry'!$Ó$686)</f>
      </c>
      <c r="ER686">
        <f>IF(ISBLANK('Data Entry'!$Ô$686), "", 'Data Entry'!$Ô$686)</f>
      </c>
      <c r="ES686">
        <f>IF(ISBLANK('Data Entry'!$Õ$686), "", 'Data Entry'!$Õ$686)</f>
      </c>
      <c r="ET686">
        <f>IF(ISBLANK('Data Entry'!$Ö$686), "", 'Data Entry'!$Ö$686)</f>
      </c>
      <c r="EU686">
        <f>IF(ISBLANK('Data Entry'!$×$686), "", 'Data Entry'!$×$686)</f>
      </c>
      <c r="EV686">
        <f>IF(ISBLANK('Data Entry'!$Ø$686), "", 'Data Entry'!$Ø$686)</f>
      </c>
      <c r="EW686">
        <f>IF(ISBLANK('Data Entry'!$Ù$686), "", 'Data Entry'!$Ù$686)</f>
      </c>
      <c r="EX686">
        <f>IF(ISBLANK('Data Entry'!$Ú$686), "", 'Data Entry'!$Ú$686)</f>
      </c>
      <c r="EY686">
        <f>IF(ISBLANK('Data Entry'!$Û$686), "", 'Data Entry'!$Û$686)</f>
      </c>
      <c r="EZ686">
        <f>IF(ISBLANK('Data Entry'!$Ü$686), "", 'Data Entry'!$Ü$686)</f>
      </c>
      <c r="FA686">
        <f>IF(ISBLANK('Data Entry'!$Ý$686), "", 'Data Entry'!$Ý$686)</f>
      </c>
      <c r="FB686">
        <f>IF(ISBLANK('Data Entry'!$Þ$686), "", 'Data Entry'!$Þ$686)</f>
      </c>
      <c r="FC686">
        <f>IF(ISBLANK('Data Entry'!$ß$686), "", 'Data Entry'!$ß$686)</f>
      </c>
      <c r="FD686">
        <f>IF(ISBLANK('Data Entry'!$à$686), "", 'Data Entry'!$à$686)</f>
      </c>
      <c r="FE686">
        <f>IF(ISBLANK('Data Entry'!$á$686), "", 'Data Entry'!$á$686)</f>
      </c>
      <c r="FF686">
        <f>IF(ISBLANK('Data Entry'!$â$686), "", 'Data Entry'!$â$686)</f>
      </c>
      <c r="FG686">
        <f>IF(ISBLANK('Data Entry'!$ã$686), "", 'Data Entry'!$ã$686)</f>
      </c>
      <c r="FH686">
        <f>IF(ISBLANK('Data Entry'!$ä$686), "", 'Data Entry'!$ä$686)</f>
      </c>
      <c r="FI686">
        <f>IF(ISBLANK('Data Entry'!$å$686), "", 'Data Entry'!$å$686)</f>
      </c>
      <c r="FJ686">
        <f>IF(ISBLANK('Data Entry'!$æ$686), "", 'Data Entry'!$æ$686)</f>
      </c>
      <c r="FK686">
        <f>IF(ISBLANK('Data Entry'!$ç$686), "", 'Data Entry'!$ç$686)</f>
      </c>
      <c r="FL686">
        <f>IF(ISBLANK('Data Entry'!$è$686), "", 'Data Entry'!$è$686)</f>
      </c>
      <c r="FM686">
        <f>IF(ISBLANK('Data Entry'!$é$686), "", 'Data Entry'!$é$686)</f>
      </c>
      <c r="FN686">
        <f>IF(ISBLANK('Data Entry'!$ê$686), "", 'Data Entry'!$ê$686)</f>
      </c>
      <c r="FO686">
        <f>IF(ISBLANK('Data Entry'!$ë$686), "", 'Data Entry'!$ë$686)</f>
      </c>
      <c r="FP686">
        <f>IF(ISBLANK('Data Entry'!$ì$686), "", 'Data Entry'!$ì$686)</f>
      </c>
      <c r="FQ686">
        <f>IF(ISBLANK('Data Entry'!$í$686), "", 'Data Entry'!$í$686)</f>
      </c>
      <c r="FR686">
        <f>IF(ISBLANK('Data Entry'!$î$686), "", 'Data Entry'!$î$686)</f>
      </c>
      <c r="FS686">
        <f>IF(ISBLANK('Data Entry'!$ï$686), "", 'Data Entry'!$ï$686)</f>
      </c>
      <c r="FT686">
        <f>IF(ISBLANK('Data Entry'!$ð$686), "", 'Data Entry'!$ð$686)</f>
      </c>
      <c r="FU686">
        <f>IF(ISBLANK('Data Entry'!$ñ$686), "", 'Data Entry'!$ñ$686)</f>
      </c>
      <c r="FV686">
        <f>IF(ISBLANK('Data Entry'!$ò$686), "", 'Data Entry'!$ò$686)</f>
      </c>
      <c r="FW686">
        <f>IF(ISBLANK('Data Entry'!$ó$686), "", 'Data Entry'!$ó$686)</f>
      </c>
      <c r="FX686">
        <f>IF(ISBLANK('Data Entry'!$ô$686), "", 'Data Entry'!$ô$686)</f>
      </c>
      <c r="FY686">
        <f>IF(ISBLANK('Data Entry'!$õ$686), "", 'Data Entry'!$õ$686)</f>
      </c>
      <c r="FZ686">
        <f>IF(ISBLANK('Data Entry'!$ö$686), "", 'Data Entry'!$ö$686)</f>
      </c>
      <c r="GA686">
        <f>IF(ISBLANK('Data Entry'!$÷$686), "", 'Data Entry'!$÷$686)</f>
      </c>
      <c r="GB686">
        <f>IF(ISBLANK('Data Entry'!$ø$686), "", 'Data Entry'!$ø$686)</f>
      </c>
      <c r="GC686">
        <f>IF(ISBLANK('Data Entry'!$ù$686), "", 'Data Entry'!$ù$686)</f>
      </c>
      <c r="GD686">
        <f>IF(ISBLANK('Data Entry'!$ú$686), "", 'Data Entry'!$ú$686)</f>
      </c>
      <c r="GE686">
        <f>IF(ISBLANK('Data Entry'!$û$686), "", 'Data Entry'!$û$686)</f>
      </c>
      <c r="GF686">
        <f>IF(ISBLANK('Data Entry'!$ü$686), "", 'Data Entry'!$ü$686)</f>
      </c>
      <c r="GG686">
        <f>IF(ISBLANK('Data Entry'!$ý$686), "", 'Data Entry'!$ý$686)</f>
      </c>
      <c r="GH686">
        <f>IF(ISBLANK('Data Entry'!$þ$686), "", 'Data Entry'!$þ$686)</f>
      </c>
      <c r="GI686">
        <f>IF(ISBLANK('Data Entry'!$ÿ$686), "", 'Data Entry'!$ÿ$686)</f>
      </c>
      <c r="GJ686">
        <f>IF(ISBLANK('Data Entry'!$Ā$686), "", 'Data Entry'!$Ā$686)</f>
      </c>
      <c r="GK686">
        <f>IF(ISBLANK('Data Entry'!$ā$686), "", 'Data Entry'!$ā$686)</f>
      </c>
      <c r="GL686">
        <f>IF(ISBLANK('Data Entry'!$Ă$686), "", 'Data Entry'!$Ă$686)</f>
      </c>
      <c r="GM686">
        <f>IF(ISBLANK('Data Entry'!$ă$686), "", 'Data Entry'!$ă$686)</f>
      </c>
      <c r="GN686">
        <f>IF(ISBLANK('Data Entry'!$Ą$686), "", 'Data Entry'!$Ą$686)</f>
      </c>
      <c r="GO686">
        <f>IF(ISBLANK('Data Entry'!$ą$686), "", 'Data Entry'!$ą$686)</f>
      </c>
      <c r="GP686">
        <f>IF(ISBLANK('Data Entry'!$Ć$686), "", 'Data Entry'!$Ć$686)</f>
      </c>
      <c r="GQ686">
        <f>IF(ISBLANK('Data Entry'!$ć$686), "", 'Data Entry'!$ć$686)</f>
      </c>
      <c r="GR686">
        <f>IF(ISBLANK('Data Entry'!$Ĉ$686), "", 'Data Entry'!$Ĉ$686)</f>
      </c>
      <c r="GS686">
        <f>IF(ISBLANK('Data Entry'!$ĉ$686), "", 'Data Entry'!$ĉ$686)</f>
      </c>
      <c r="GT686">
        <f>IF(ISBLANK('Data Entry'!$Ċ$686), "", 'Data Entry'!$Ċ$686)</f>
      </c>
      <c r="GU686">
        <f>IF(ISBLANK('Data Entry'!$ċ$686), "", 'Data Entry'!$ċ$686)</f>
      </c>
      <c r="GV686">
        <f>IF(ISBLANK('Data Entry'!$Č$686), "", 'Data Entry'!$Č$686)</f>
      </c>
      <c r="GW686">
        <f>IF(ISBLANK('Data Entry'!$č$686), "", 'Data Entry'!$č$686)</f>
      </c>
      <c r="GX686">
        <f>IF(ISBLANK('Data Entry'!$Ď$686), "", 'Data Entry'!$Ď$686)</f>
      </c>
      <c r="GY686">
        <f>IF(ISBLANK('Data Entry'!$ď$686), "", 'Data Entry'!$ď$686)</f>
      </c>
      <c r="GZ686">
        <f>IF(ISBLANK('Data Entry'!$Đ$686), "", 'Data Entry'!$Đ$686)</f>
      </c>
      <c r="HA686">
        <f>IF(ISBLANK('Data Entry'!$đ$686), "", 'Data Entry'!$đ$686)</f>
      </c>
      <c r="HB686">
        <f>IF(ISBLANK('Data Entry'!$Ē$686), "", 'Data Entry'!$Ē$686)</f>
      </c>
      <c r="HC686">
        <f>IF(ISBLANK('Data Entry'!$ē$686), "", 'Data Entry'!$ē$686)</f>
      </c>
      <c r="HD686">
        <f>IF(ISBLANK('Data Entry'!$Ĕ$686), "", 'Data Entry'!$Ĕ$686)</f>
      </c>
      <c r="HE686">
        <f>IF(ISBLANK('Data Entry'!$ĕ$686), "", 'Data Entry'!$ĕ$686)</f>
      </c>
      <c r="HF686">
        <f>IF(ISBLANK('Data Entry'!$Ė$686), "", 'Data Entry'!$Ė$686)</f>
      </c>
      <c r="HG686">
        <f>IF(ISBLANK('Data Entry'!$ė$686), "", 'Data Entry'!$ė$686)</f>
      </c>
      <c r="HH686">
        <f>IF(ISBLANK('Data Entry'!$Ę$686), "", 'Data Entry'!$Ę$686)</f>
      </c>
      <c r="HI686">
        <f>IF(ISBLANK('Data Entry'!$ę$686), "", 'Data Entry'!$ę$686)</f>
      </c>
      <c r="HJ686">
        <f>IF(ISBLANK('Data Entry'!$Ě$686), "", 'Data Entry'!$Ě$686)</f>
      </c>
      <c r="HK686">
        <f>IF(ISBLANK('Data Entry'!$ě$686), "", 'Data Entry'!$ě$686)</f>
      </c>
      <c r="HL686">
        <f>IF(ISBLANK('Data Entry'!$Ĝ$686), "", 'Data Entry'!$Ĝ$686)</f>
      </c>
      <c r="HM686">
        <f>IF(ISBLANK('Data Entry'!$ĝ$686), "", 'Data Entry'!$ĝ$686)</f>
      </c>
      <c r="HN686">
        <f>IF(ISBLANK('Data Entry'!$Ğ$686), "", 'Data Entry'!$Ğ$686)</f>
      </c>
      <c r="HO686">
        <f>IF(ISBLANK('Data Entry'!$ğ$686), "", 'Data Entry'!$ğ$686)</f>
      </c>
      <c r="HP686">
        <f>IF(ISBLANK('Data Entry'!$Ġ$686), "", 'Data Entry'!$Ġ$686)</f>
      </c>
      <c r="HQ686">
        <f>IF(ISBLANK('Data Entry'!$ġ$686), "", 'Data Entry'!$ġ$686)</f>
      </c>
      <c r="HR686">
        <f>IF(ISBLANK('Data Entry'!$Ģ$686), "", 'Data Entry'!$Ģ$686)</f>
      </c>
      <c r="HS686">
        <f>IF(ISBLANK('Data Entry'!$ģ$686), "", 'Data Entry'!$ģ$686)</f>
      </c>
      <c r="HT686">
        <f>IF(ISBLANK('Data Entry'!$Ĥ$686), "", 'Data Entry'!$Ĥ$686)</f>
      </c>
      <c r="HU686">
        <f>IF(ISBLANK('Data Entry'!$ĥ$686), "", 'Data Entry'!$ĥ$686)</f>
      </c>
      <c r="HV686">
        <f>IF(ISBLANK('Data Entry'!$Ħ$686), "", 'Data Entry'!$Ħ$686)</f>
      </c>
      <c r="HW686">
        <f>IF(ISBLANK('Data Entry'!$ħ$686), "", 'Data Entry'!$ħ$686)</f>
      </c>
      <c r="HX686">
        <f>IF(ISBLANK('Data Entry'!$Ĩ$686), "", 'Data Entry'!$Ĩ$686)</f>
      </c>
      <c r="HY686">
        <f>IF(ISBLANK('Data Entry'!$ĩ$686), "", 'Data Entry'!$ĩ$686)</f>
      </c>
      <c r="HZ686">
        <f>IF(ISBLANK('Data Entry'!$Ī$686), "", 'Data Entry'!$Ī$686)</f>
      </c>
      <c r="IA686">
        <f>IF(ISBLANK('Data Entry'!$ī$686), "", 'Data Entry'!$ī$686)</f>
      </c>
      <c r="IB686">
        <f>IF(ISBLANK('Data Entry'!$Ĭ$686), "", 'Data Entry'!$Ĭ$686)</f>
      </c>
      <c r="IC686">
        <f>IF(ISBLANK('Data Entry'!$ĭ$686), "", 'Data Entry'!$ĭ$686)</f>
      </c>
      <c r="ID686">
        <f>IF(ISBLANK('Data Entry'!$Į$686), "", 'Data Entry'!$Į$686)</f>
      </c>
      <c r="IE686">
        <f>IF(ISBLANK('Data Entry'!$į$686), "", 'Data Entry'!$į$686)</f>
      </c>
      <c r="IF686">
        <f>IF(ISBLANK('Data Entry'!$İ$686), "", 'Data Entry'!$İ$686)</f>
      </c>
      <c r="IG686">
        <f>IF(ISBLANK('Data Entry'!$ı$686), "", 'Data Entry'!$ı$686)</f>
      </c>
      <c r="IH686">
        <f>IF(ISBLANK('Data Entry'!$Ĳ$686), "", 'Data Entry'!$Ĳ$686)</f>
      </c>
      <c r="II686">
        <f>IF(ISBLANK('Data Entry'!$ĳ$686), "", 'Data Entry'!$ĳ$686)</f>
      </c>
      <c r="IJ686">
        <f>IF(ISBLANK('Data Entry'!$Ĵ$686), "", 'Data Entry'!$Ĵ$686)</f>
      </c>
      <c r="IK686">
        <f>IF(ISBLANK('Data Entry'!$ĵ$686), "", 'Data Entry'!$ĵ$686)</f>
      </c>
      <c r="IL686">
        <f>IF(ISBLANK('Data Entry'!$Ķ$686), "", 'Data Entry'!$Ķ$686)</f>
      </c>
      <c r="IM686">
        <f>IF(ISBLANK('Data Entry'!$ķ$686), "", 'Data Entry'!$ķ$686)</f>
      </c>
      <c r="IN686">
        <f>IF(ISBLANK('Data Entry'!$ĸ$686), "", 'Data Entry'!$ĸ$686)</f>
      </c>
      <c r="IO686">
        <f>IF(ISBLANK('Data Entry'!$Ĺ$686), "", 'Data Entry'!$Ĺ$686)</f>
      </c>
      <c r="IP686">
        <f>IF(ISBLANK('Data Entry'!$ĺ$686), "", 'Data Entry'!$ĺ$686)</f>
      </c>
      <c r="IQ686">
        <f>IF(ISBLANK('Data Entry'!$Ļ$686), "", 'Data Entry'!$Ļ$686)</f>
      </c>
      <c r="IR686">
        <f>IF(ISBLANK('Data Entry'!$ļ$686), "", 'Data Entry'!$ļ$686)</f>
      </c>
      <c r="IS686">
        <f>IF(ISBLANK('Data Entry'!$Ľ$686), "", 'Data Entry'!$Ľ$686)</f>
      </c>
      <c r="IT686">
        <f>IF(ISBLANK('Data Entry'!$ľ$686), "", 'Data Entry'!$ľ$686)</f>
      </c>
    </row>
    <row r="687" spans="1:254" x14ac:dyDescent="0.25">
      <c r="A687">
        <f>IF(ISBLANK('Data Entry'!$A$687), "", 'Data Entry'!$A$687)</f>
      </c>
      <c r="B687">
        <f>IF(ISBLANK('Data Entry'!$B$687), "", 'Data Entry'!$B$687)</f>
      </c>
      <c r="C687">
        <f>IF(ISBLANK('Data Entry'!$C$687), "", 'Data Entry'!$C$687)</f>
      </c>
      <c r="D687">
        <f>IF(ISBLANK('Data Entry'!$D$687), "", 'Data Entry'!$D$687)</f>
      </c>
      <c r="E687">
        <f>IF(ISBLANK('Data Entry'!$E$687), "", 'Data Entry'!$E$687)</f>
      </c>
      <c r="F687">
        <f>IF(ISBLANK('Data Entry'!$F$687), "", 'Data Entry'!$F$687)</f>
      </c>
      <c r="G687">
        <f>IF(ISBLANK('Data Entry'!$G$687), "", 'Data Entry'!$G$687)</f>
      </c>
      <c r="H687">
        <f>IF(ISBLANK('Data Entry'!$H$687), "", 'Data Entry'!$H$687)</f>
      </c>
      <c r="I687">
        <f>IF(ISBLANK('Data Entry'!$I$687), "", 'Data Entry'!$I$687)</f>
      </c>
      <c r="J687">
        <f>IF(ISBLANK('Data Entry'!$J$687), "", 'Data Entry'!$J$687)</f>
      </c>
      <c r="K687">
        <f>IF(ISBLANK('Data Entry'!$K$687), "", 'Data Entry'!$K$687)</f>
      </c>
      <c r="L687">
        <f>IF(ISBLANK('Data Entry'!$L$687), "", 'Data Entry'!$L$687)</f>
      </c>
      <c r="M687">
        <f>IF(ISBLANK('Data Entry'!$M$687), "", 'Data Entry'!$M$687)</f>
      </c>
      <c r="N687">
        <f>IF(ISBLANK('Data Entry'!$N$687), "", 'Data Entry'!$N$687)</f>
      </c>
      <c r="O687">
        <f>IF(ISBLANK('Data Entry'!$O$687), "", 'Data Entry'!$O$687)</f>
      </c>
      <c r="P687">
        <f>IF(ISBLANK('Data Entry'!$P$687), "", 'Data Entry'!$P$687)</f>
      </c>
      <c r="Q687">
        <f>IF(ISBLANK('Data Entry'!$Q$687), "", 'Data Entry'!$Q$687)</f>
      </c>
      <c r="R687">
        <f>IF(ISBLANK('Data Entry'!$R$687), "", 'Data Entry'!$R$687)</f>
      </c>
      <c r="S687">
        <f>IF(ISBLANK('Data Entry'!$S$687), "", 'Data Entry'!$S$687)</f>
      </c>
      <c r="T687">
        <f>IF(ISBLANK('Data Entry'!$T$687), "", 'Data Entry'!$T$687)</f>
      </c>
      <c r="U687">
        <f>IF(ISBLANK('Data Entry'!$U$687), "", 'Data Entry'!$U$687)</f>
      </c>
      <c r="V687">
        <f>IF(ISBLANK('Data Entry'!$V$687), "", 'Data Entry'!$V$687)</f>
      </c>
      <c r="W687">
        <f>IF(ISBLANK('Data Entry'!$W$687), "", 'Data Entry'!$W$687)</f>
      </c>
      <c r="X687">
        <f>IF(ISBLANK('Data Entry'!$X$687), "", 'Data Entry'!$X$687)</f>
      </c>
      <c r="Y687">
        <f>IF(ISBLANK('Data Entry'!$Y$687), "", 'Data Entry'!$Y$687)</f>
      </c>
      <c r="Z687">
        <f>IF(ISBLANK('Data Entry'!$Z$687), "", 'Data Entry'!$Z$687)</f>
      </c>
      <c r="AA687">
        <f>IF(ISBLANK('Data Entry'!$[$687), "", 'Data Entry'!$[$687)</f>
      </c>
      <c r="AB687">
        <f>IF(ISBLANK('Data Entry'!$\$687), "", 'Data Entry'!$\$687)</f>
      </c>
      <c r="AC687">
        <f>IF(ISBLANK('Data Entry'!$]$687), "", 'Data Entry'!$]$687)</f>
      </c>
      <c r="AD687">
        <f>IF(ISBLANK('Data Entry'!$^$687), "", 'Data Entry'!$^$687)</f>
      </c>
      <c r="AE687">
        <f>IF(ISBLANK('Data Entry'!$_$687), "", 'Data Entry'!$_$687)</f>
      </c>
      <c r="AF687">
        <f>IF(ISBLANK('Data Entry'!$`$687), "", 'Data Entry'!$`$687)</f>
      </c>
      <c r="AG687">
        <f>IF(ISBLANK('Data Entry'!$a$687), "", 'Data Entry'!$a$687)</f>
      </c>
      <c r="AH687">
        <f>IF(ISBLANK('Data Entry'!$b$687), "", 'Data Entry'!$b$687)</f>
      </c>
      <c r="AI687">
        <f>IF(ISBLANK('Data Entry'!$c$687), "", 'Data Entry'!$c$687)</f>
      </c>
      <c r="AJ687">
        <f>IF(ISBLANK('Data Entry'!$d$687), "", 'Data Entry'!$d$687)</f>
      </c>
      <c r="AK687">
        <f>IF(ISBLANK('Data Entry'!$e$687), "", 'Data Entry'!$e$687)</f>
      </c>
      <c r="AL687">
        <f>IF(ISBLANK('Data Entry'!$f$687), "", 'Data Entry'!$f$687)</f>
      </c>
      <c r="AM687">
        <f>IF(ISBLANK('Data Entry'!$g$687), "", 'Data Entry'!$g$687)</f>
      </c>
      <c r="AN687">
        <f>IF(ISBLANK('Data Entry'!$h$687), "", 'Data Entry'!$h$687)</f>
      </c>
      <c r="AO687">
        <f>IF(ISBLANK('Data Entry'!$i$687), "", 'Data Entry'!$i$687)</f>
      </c>
      <c r="AP687">
        <f>IF(ISBLANK('Data Entry'!$j$687), "", 'Data Entry'!$j$687)</f>
      </c>
      <c r="AQ687">
        <f>IF(ISBLANK('Data Entry'!$k$687), "", 'Data Entry'!$k$687)</f>
      </c>
      <c r="AR687">
        <f>IF(ISBLANK('Data Entry'!$l$687), "", 'Data Entry'!$l$687)</f>
      </c>
      <c r="AS687">
        <f>IF(ISBLANK('Data Entry'!$m$687), "", 'Data Entry'!$m$687)</f>
      </c>
      <c r="AT687">
        <f>IF(ISBLANK('Data Entry'!$n$687), "", 'Data Entry'!$n$687)</f>
      </c>
      <c r="AU687">
        <f>IF(ISBLANK('Data Entry'!$o$687), "", 'Data Entry'!$o$687)</f>
      </c>
      <c r="AV687">
        <f>IF(ISBLANK('Data Entry'!$p$687), "", 'Data Entry'!$p$687)</f>
      </c>
      <c r="AW687">
        <f>IF(ISBLANK('Data Entry'!$q$687), "", 'Data Entry'!$q$687)</f>
      </c>
      <c r="AX687">
        <f>IF(ISBLANK('Data Entry'!$r$687), "", 'Data Entry'!$r$687)</f>
      </c>
      <c r="AY687">
        <f>IF(ISBLANK('Data Entry'!$s$687), "", 'Data Entry'!$s$687)</f>
      </c>
      <c r="AZ687">
        <f>IF(ISBLANK('Data Entry'!$t$687), "", 'Data Entry'!$t$687)</f>
      </c>
      <c r="BA687">
        <f>IF(ISBLANK('Data Entry'!$u$687), "", 'Data Entry'!$u$687)</f>
      </c>
      <c r="BB687">
        <f>IF(ISBLANK('Data Entry'!$v$687), "", 'Data Entry'!$v$687)</f>
      </c>
      <c r="BC687">
        <f>IF(ISBLANK('Data Entry'!$w$687), "", 'Data Entry'!$w$687)</f>
      </c>
      <c r="BD687">
        <f>IF(ISBLANK('Data Entry'!$x$687), "", 'Data Entry'!$x$687)</f>
      </c>
      <c r="BE687">
        <f>IF(ISBLANK('Data Entry'!$y$687), "", 'Data Entry'!$y$687)</f>
      </c>
      <c r="BF687">
        <f>IF(ISBLANK('Data Entry'!$z$687), "", 'Data Entry'!$z$687)</f>
      </c>
      <c r="BG687">
        <f>IF(ISBLANK('Data Entry'!${$687), "", 'Data Entry'!${$687)</f>
      </c>
      <c r="BH687">
        <f>IF(ISBLANK('Data Entry'!$|$687), "", 'Data Entry'!$|$687)</f>
      </c>
      <c r="BI687">
        <f>IF(ISBLANK('Data Entry'!$}$687), "", 'Data Entry'!$}$687)</f>
      </c>
      <c r="BJ687">
        <f>IF(ISBLANK('Data Entry'!$~$687), "", 'Data Entry'!$~$687)</f>
      </c>
      <c r="BK687">
        <f>IF(ISBLANK('Data Entry'!$$687), "", 'Data Entry'!$$687)</f>
      </c>
      <c r="BL687">
        <f>IF(ISBLANK('Data Entry'!$$687), "", 'Data Entry'!$$687)</f>
      </c>
      <c r="BM687">
        <f>IF(ISBLANK('Data Entry'!$$687), "", 'Data Entry'!$$687)</f>
      </c>
      <c r="BN687">
        <f>IF(ISBLANK('Data Entry'!$$687), "", 'Data Entry'!$$687)</f>
      </c>
      <c r="BO687">
        <f>IF(ISBLANK('Data Entry'!$$687), "", 'Data Entry'!$$687)</f>
      </c>
      <c r="BP687">
        <f>IF(ISBLANK('Data Entry'!$$687), "", 'Data Entry'!$$687)</f>
      </c>
      <c r="BQ687">
        <f>IF(ISBLANK('Data Entry'!$$687), "", 'Data Entry'!$$687)</f>
      </c>
      <c r="BR687">
        <f>IF(ISBLANK('Data Entry'!$$687), "", 'Data Entry'!$$687)</f>
      </c>
      <c r="BS687">
        <f>IF(ISBLANK('Data Entry'!$$687), "", 'Data Entry'!$$687)</f>
      </c>
      <c r="BT687">
        <f>IF(ISBLANK('Data Entry'!$$687), "", 'Data Entry'!$$687)</f>
      </c>
      <c r="BU687">
        <f>IF(ISBLANK('Data Entry'!$$687), "", 'Data Entry'!$$687)</f>
      </c>
      <c r="BV687">
        <f>IF(ISBLANK('Data Entry'!$$687), "", 'Data Entry'!$$687)</f>
      </c>
      <c r="BW687">
        <f>IF(ISBLANK('Data Entry'!$$687), "", 'Data Entry'!$$687)</f>
      </c>
      <c r="BX687">
        <f>IF(ISBLANK('Data Entry'!$$687), "", 'Data Entry'!$$687)</f>
      </c>
      <c r="BY687">
        <f>IF(ISBLANK('Data Entry'!$$687), "", 'Data Entry'!$$687)</f>
      </c>
      <c r="BZ687">
        <f>IF(ISBLANK('Data Entry'!$$687), "", 'Data Entry'!$$687)</f>
      </c>
      <c r="CA687">
        <f>IF(ISBLANK('Data Entry'!$$687), "", 'Data Entry'!$$687)</f>
      </c>
      <c r="CB687">
        <f>IF(ISBLANK('Data Entry'!$$687), "", 'Data Entry'!$$687)</f>
      </c>
      <c r="CC687">
        <f>IF(ISBLANK('Data Entry'!$$687), "", 'Data Entry'!$$687)</f>
      </c>
      <c r="CD687">
        <f>IF(ISBLANK('Data Entry'!$$687), "", 'Data Entry'!$$687)</f>
      </c>
      <c r="CE687">
        <f>IF(ISBLANK('Data Entry'!$$687), "", 'Data Entry'!$$687)</f>
      </c>
      <c r="CF687">
        <f>IF(ISBLANK('Data Entry'!$$687), "", 'Data Entry'!$$687)</f>
      </c>
      <c r="CG687">
        <f>IF(ISBLANK('Data Entry'!$$687), "", 'Data Entry'!$$687)</f>
      </c>
      <c r="CH687">
        <f>IF(ISBLANK('Data Entry'!$$687), "", 'Data Entry'!$$687)</f>
      </c>
      <c r="CI687">
        <f>IF(ISBLANK('Data Entry'!$$687), "", 'Data Entry'!$$687)</f>
      </c>
      <c r="CJ687">
        <f>IF(ISBLANK('Data Entry'!$$687), "", 'Data Entry'!$$687)</f>
      </c>
      <c r="CK687">
        <f>IF(ISBLANK('Data Entry'!$$687), "", 'Data Entry'!$$687)</f>
      </c>
      <c r="CL687">
        <f>IF(ISBLANK('Data Entry'!$$687), "", 'Data Entry'!$$687)</f>
      </c>
      <c r="CM687">
        <f>IF(ISBLANK('Data Entry'!$$687), "", 'Data Entry'!$$687)</f>
      </c>
      <c r="CN687">
        <f>IF(ISBLANK('Data Entry'!$$687), "", 'Data Entry'!$$687)</f>
      </c>
      <c r="CO687">
        <f>IF(ISBLANK('Data Entry'!$$687), "", 'Data Entry'!$$687)</f>
      </c>
      <c r="CP687">
        <f>IF(ISBLANK('Data Entry'!$$687), "", 'Data Entry'!$$687)</f>
      </c>
      <c r="CQ687">
        <f>IF(ISBLANK('Data Entry'!$$687), "", 'Data Entry'!$$687)</f>
      </c>
      <c r="CR687">
        <f>IF(ISBLANK('Data Entry'!$ $687), "", 'Data Entry'!$ $687)</f>
      </c>
      <c r="CS687">
        <f>IF(ISBLANK('Data Entry'!$¡$687), "", 'Data Entry'!$¡$687)</f>
      </c>
      <c r="CT687">
        <f>IF(ISBLANK('Data Entry'!$¢$687), "", 'Data Entry'!$¢$687)</f>
      </c>
      <c r="CU687">
        <f>IF(ISBLANK('Data Entry'!$£$687), "", 'Data Entry'!$£$687)</f>
      </c>
      <c r="CV687">
        <f>IF(ISBLANK('Data Entry'!$¤$687), "", 'Data Entry'!$¤$687)</f>
      </c>
      <c r="CW687">
        <f>IF(ISBLANK('Data Entry'!$¥$687), "", 'Data Entry'!$¥$687)</f>
      </c>
      <c r="CX687">
        <f>IF(ISBLANK('Data Entry'!$¦$687), "", 'Data Entry'!$¦$687)</f>
      </c>
      <c r="CY687">
        <f>IF(ISBLANK('Data Entry'!$§$687), "", 'Data Entry'!$§$687)</f>
      </c>
      <c r="CZ687">
        <f>IF(ISBLANK('Data Entry'!$¨$687), "", 'Data Entry'!$¨$687)</f>
      </c>
      <c r="DA687">
        <f>IF(ISBLANK('Data Entry'!$©$687), "", 'Data Entry'!$©$687)</f>
      </c>
      <c r="DB687">
        <f>IF(ISBLANK('Data Entry'!$ª$687), "", 'Data Entry'!$ª$687)</f>
      </c>
      <c r="DC687">
        <f>IF(ISBLANK('Data Entry'!$«$687), "", 'Data Entry'!$«$687)</f>
      </c>
      <c r="DD687">
        <f>IF(ISBLANK('Data Entry'!$¬$687), "", 'Data Entry'!$¬$687)</f>
      </c>
      <c r="DE687">
        <f>IF(ISBLANK('Data Entry'!$­$687), "", 'Data Entry'!$­$687)</f>
      </c>
      <c r="DF687">
        <f>IF(ISBLANK('Data Entry'!$®$687), "", 'Data Entry'!$®$687)</f>
      </c>
      <c r="DG687">
        <f>IF(ISBLANK('Data Entry'!$¯$687), "", 'Data Entry'!$¯$687)</f>
      </c>
      <c r="DH687">
        <f>IF(ISBLANK('Data Entry'!$°$687), "", 'Data Entry'!$°$687)</f>
      </c>
      <c r="DI687">
        <f>IF(ISBLANK('Data Entry'!$±$687), "", 'Data Entry'!$±$687)</f>
      </c>
      <c r="DJ687">
        <f>IF(ISBLANK('Data Entry'!$²$687), "", 'Data Entry'!$²$687)</f>
      </c>
      <c r="DK687">
        <f>IF(ISBLANK('Data Entry'!$³$687), "", 'Data Entry'!$³$687)</f>
      </c>
      <c r="DL687">
        <f>IF(ISBLANK('Data Entry'!$´$687), "", 'Data Entry'!$´$687)</f>
      </c>
      <c r="DM687">
        <f>IF(ISBLANK('Data Entry'!$µ$687), "", 'Data Entry'!$µ$687)</f>
      </c>
      <c r="DN687">
        <f>IF(ISBLANK('Data Entry'!$¶$687), "", 'Data Entry'!$¶$687)</f>
      </c>
      <c r="DO687">
        <f>IF(ISBLANK('Data Entry'!$·$687), "", 'Data Entry'!$·$687)</f>
      </c>
      <c r="DP687">
        <f>IF(ISBLANK('Data Entry'!$¸$687), "", 'Data Entry'!$¸$687)</f>
      </c>
      <c r="DQ687">
        <f>IF(ISBLANK('Data Entry'!$¹$687), "", 'Data Entry'!$¹$687)</f>
      </c>
      <c r="DR687">
        <f>IF(ISBLANK('Data Entry'!$º$687), "", 'Data Entry'!$º$687)</f>
      </c>
      <c r="DS687">
        <f>IF(ISBLANK('Data Entry'!$»$687), "", 'Data Entry'!$»$687)</f>
      </c>
      <c r="DT687">
        <f>IF(ISBLANK('Data Entry'!$¼$687), "", 'Data Entry'!$¼$687)</f>
      </c>
      <c r="DU687">
        <f>IF(ISBLANK('Data Entry'!$½$687), "", 'Data Entry'!$½$687)</f>
      </c>
      <c r="DV687">
        <f>IF(ISBLANK('Data Entry'!$¾$687), "", 'Data Entry'!$¾$687)</f>
      </c>
      <c r="DW687">
        <f>IF(ISBLANK('Data Entry'!$¿$687), "", 'Data Entry'!$¿$687)</f>
      </c>
      <c r="DX687">
        <f>IF(ISBLANK('Data Entry'!$À$687), "", 'Data Entry'!$À$687)</f>
      </c>
      <c r="DY687">
        <f>IF(ISBLANK('Data Entry'!$Á$687), "", 'Data Entry'!$Á$687)</f>
      </c>
      <c r="DZ687">
        <f>IF(ISBLANK('Data Entry'!$Â$687), "", 'Data Entry'!$Â$687)</f>
      </c>
      <c r="EA687">
        <f>IF(ISBLANK('Data Entry'!$Ã$687), "", 'Data Entry'!$Ã$687)</f>
      </c>
      <c r="EB687">
        <f>IF(ISBLANK('Data Entry'!$Ä$687), "", 'Data Entry'!$Ä$687)</f>
      </c>
      <c r="EC687">
        <f>IF(ISBLANK('Data Entry'!$Å$687), "", 'Data Entry'!$Å$687)</f>
      </c>
      <c r="ED687">
        <f>IF(ISBLANK('Data Entry'!$Æ$687), "", 'Data Entry'!$Æ$687)</f>
      </c>
      <c r="EE687">
        <f>IF(ISBLANK('Data Entry'!$Ç$687), "", 'Data Entry'!$Ç$687)</f>
      </c>
      <c r="EF687">
        <f>IF(ISBLANK('Data Entry'!$È$687), "", 'Data Entry'!$È$687)</f>
      </c>
      <c r="EG687">
        <f>IF(ISBLANK('Data Entry'!$É$687), "", 'Data Entry'!$É$687)</f>
      </c>
      <c r="EH687">
        <f>IF(ISBLANK('Data Entry'!$Ê$687), "", 'Data Entry'!$Ê$687)</f>
      </c>
      <c r="EI687">
        <f>IF(ISBLANK('Data Entry'!$Ë$687), "", 'Data Entry'!$Ë$687)</f>
      </c>
      <c r="EJ687">
        <f>IF(ISBLANK('Data Entry'!$Ì$687), "", 'Data Entry'!$Ì$687)</f>
      </c>
      <c r="EK687">
        <f>IF(ISBLANK('Data Entry'!$Í$687), "", 'Data Entry'!$Í$687)</f>
      </c>
      <c r="EL687">
        <f>IF(ISBLANK('Data Entry'!$Î$687), "", 'Data Entry'!$Î$687)</f>
      </c>
      <c r="EM687">
        <f>IF(ISBLANK('Data Entry'!$Ï$687), "", 'Data Entry'!$Ï$687)</f>
      </c>
      <c r="EN687">
        <f>IF(ISBLANK('Data Entry'!$Ð$687), "", 'Data Entry'!$Ð$687)</f>
      </c>
      <c r="EO687">
        <f>IF(ISBLANK('Data Entry'!$Ñ$687), "", 'Data Entry'!$Ñ$687)</f>
      </c>
      <c r="EP687">
        <f>IF(ISBLANK('Data Entry'!$Ò$687), "", 'Data Entry'!$Ò$687)</f>
      </c>
      <c r="EQ687">
        <f>IF(ISBLANK('Data Entry'!$Ó$687), "", 'Data Entry'!$Ó$687)</f>
      </c>
      <c r="ER687">
        <f>IF(ISBLANK('Data Entry'!$Ô$687), "", 'Data Entry'!$Ô$687)</f>
      </c>
      <c r="ES687">
        <f>IF(ISBLANK('Data Entry'!$Õ$687), "", 'Data Entry'!$Õ$687)</f>
      </c>
      <c r="ET687">
        <f>IF(ISBLANK('Data Entry'!$Ö$687), "", 'Data Entry'!$Ö$687)</f>
      </c>
      <c r="EU687">
        <f>IF(ISBLANK('Data Entry'!$×$687), "", 'Data Entry'!$×$687)</f>
      </c>
      <c r="EV687">
        <f>IF(ISBLANK('Data Entry'!$Ø$687), "", 'Data Entry'!$Ø$687)</f>
      </c>
      <c r="EW687">
        <f>IF(ISBLANK('Data Entry'!$Ù$687), "", 'Data Entry'!$Ù$687)</f>
      </c>
      <c r="EX687">
        <f>IF(ISBLANK('Data Entry'!$Ú$687), "", 'Data Entry'!$Ú$687)</f>
      </c>
      <c r="EY687">
        <f>IF(ISBLANK('Data Entry'!$Û$687), "", 'Data Entry'!$Û$687)</f>
      </c>
      <c r="EZ687">
        <f>IF(ISBLANK('Data Entry'!$Ü$687), "", 'Data Entry'!$Ü$687)</f>
      </c>
      <c r="FA687">
        <f>IF(ISBLANK('Data Entry'!$Ý$687), "", 'Data Entry'!$Ý$687)</f>
      </c>
      <c r="FB687">
        <f>IF(ISBLANK('Data Entry'!$Þ$687), "", 'Data Entry'!$Þ$687)</f>
      </c>
      <c r="FC687">
        <f>IF(ISBLANK('Data Entry'!$ß$687), "", 'Data Entry'!$ß$687)</f>
      </c>
      <c r="FD687">
        <f>IF(ISBLANK('Data Entry'!$à$687), "", 'Data Entry'!$à$687)</f>
      </c>
      <c r="FE687">
        <f>IF(ISBLANK('Data Entry'!$á$687), "", 'Data Entry'!$á$687)</f>
      </c>
      <c r="FF687">
        <f>IF(ISBLANK('Data Entry'!$â$687), "", 'Data Entry'!$â$687)</f>
      </c>
      <c r="FG687">
        <f>IF(ISBLANK('Data Entry'!$ã$687), "", 'Data Entry'!$ã$687)</f>
      </c>
      <c r="FH687">
        <f>IF(ISBLANK('Data Entry'!$ä$687), "", 'Data Entry'!$ä$687)</f>
      </c>
      <c r="FI687">
        <f>IF(ISBLANK('Data Entry'!$å$687), "", 'Data Entry'!$å$687)</f>
      </c>
      <c r="FJ687">
        <f>IF(ISBLANK('Data Entry'!$æ$687), "", 'Data Entry'!$æ$687)</f>
      </c>
      <c r="FK687">
        <f>IF(ISBLANK('Data Entry'!$ç$687), "", 'Data Entry'!$ç$687)</f>
      </c>
      <c r="FL687">
        <f>IF(ISBLANK('Data Entry'!$è$687), "", 'Data Entry'!$è$687)</f>
      </c>
      <c r="FM687">
        <f>IF(ISBLANK('Data Entry'!$é$687), "", 'Data Entry'!$é$687)</f>
      </c>
      <c r="FN687">
        <f>IF(ISBLANK('Data Entry'!$ê$687), "", 'Data Entry'!$ê$687)</f>
      </c>
      <c r="FO687">
        <f>IF(ISBLANK('Data Entry'!$ë$687), "", 'Data Entry'!$ë$687)</f>
      </c>
      <c r="FP687">
        <f>IF(ISBLANK('Data Entry'!$ì$687), "", 'Data Entry'!$ì$687)</f>
      </c>
      <c r="FQ687">
        <f>IF(ISBLANK('Data Entry'!$í$687), "", 'Data Entry'!$í$687)</f>
      </c>
      <c r="FR687">
        <f>IF(ISBLANK('Data Entry'!$î$687), "", 'Data Entry'!$î$687)</f>
      </c>
      <c r="FS687">
        <f>IF(ISBLANK('Data Entry'!$ï$687), "", 'Data Entry'!$ï$687)</f>
      </c>
      <c r="FT687">
        <f>IF(ISBLANK('Data Entry'!$ð$687), "", 'Data Entry'!$ð$687)</f>
      </c>
      <c r="FU687">
        <f>IF(ISBLANK('Data Entry'!$ñ$687), "", 'Data Entry'!$ñ$687)</f>
      </c>
      <c r="FV687">
        <f>IF(ISBLANK('Data Entry'!$ò$687), "", 'Data Entry'!$ò$687)</f>
      </c>
      <c r="FW687">
        <f>IF(ISBLANK('Data Entry'!$ó$687), "", 'Data Entry'!$ó$687)</f>
      </c>
      <c r="FX687">
        <f>IF(ISBLANK('Data Entry'!$ô$687), "", 'Data Entry'!$ô$687)</f>
      </c>
      <c r="FY687">
        <f>IF(ISBLANK('Data Entry'!$õ$687), "", 'Data Entry'!$õ$687)</f>
      </c>
      <c r="FZ687">
        <f>IF(ISBLANK('Data Entry'!$ö$687), "", 'Data Entry'!$ö$687)</f>
      </c>
      <c r="GA687">
        <f>IF(ISBLANK('Data Entry'!$÷$687), "", 'Data Entry'!$÷$687)</f>
      </c>
      <c r="GB687">
        <f>IF(ISBLANK('Data Entry'!$ø$687), "", 'Data Entry'!$ø$687)</f>
      </c>
      <c r="GC687">
        <f>IF(ISBLANK('Data Entry'!$ù$687), "", 'Data Entry'!$ù$687)</f>
      </c>
      <c r="GD687">
        <f>IF(ISBLANK('Data Entry'!$ú$687), "", 'Data Entry'!$ú$687)</f>
      </c>
      <c r="GE687">
        <f>IF(ISBLANK('Data Entry'!$û$687), "", 'Data Entry'!$û$687)</f>
      </c>
      <c r="GF687">
        <f>IF(ISBLANK('Data Entry'!$ü$687), "", 'Data Entry'!$ü$687)</f>
      </c>
      <c r="GG687">
        <f>IF(ISBLANK('Data Entry'!$ý$687), "", 'Data Entry'!$ý$687)</f>
      </c>
      <c r="GH687">
        <f>IF(ISBLANK('Data Entry'!$þ$687), "", 'Data Entry'!$þ$687)</f>
      </c>
      <c r="GI687">
        <f>IF(ISBLANK('Data Entry'!$ÿ$687), "", 'Data Entry'!$ÿ$687)</f>
      </c>
      <c r="GJ687">
        <f>IF(ISBLANK('Data Entry'!$Ā$687), "", 'Data Entry'!$Ā$687)</f>
      </c>
      <c r="GK687">
        <f>IF(ISBLANK('Data Entry'!$ā$687), "", 'Data Entry'!$ā$687)</f>
      </c>
      <c r="GL687">
        <f>IF(ISBLANK('Data Entry'!$Ă$687), "", 'Data Entry'!$Ă$687)</f>
      </c>
      <c r="GM687">
        <f>IF(ISBLANK('Data Entry'!$ă$687), "", 'Data Entry'!$ă$687)</f>
      </c>
      <c r="GN687">
        <f>IF(ISBLANK('Data Entry'!$Ą$687), "", 'Data Entry'!$Ą$687)</f>
      </c>
      <c r="GO687">
        <f>IF(ISBLANK('Data Entry'!$ą$687), "", 'Data Entry'!$ą$687)</f>
      </c>
      <c r="GP687">
        <f>IF(ISBLANK('Data Entry'!$Ć$687), "", 'Data Entry'!$Ć$687)</f>
      </c>
      <c r="GQ687">
        <f>IF(ISBLANK('Data Entry'!$ć$687), "", 'Data Entry'!$ć$687)</f>
      </c>
      <c r="GR687">
        <f>IF(ISBLANK('Data Entry'!$Ĉ$687), "", 'Data Entry'!$Ĉ$687)</f>
      </c>
      <c r="GS687">
        <f>IF(ISBLANK('Data Entry'!$ĉ$687), "", 'Data Entry'!$ĉ$687)</f>
      </c>
      <c r="GT687">
        <f>IF(ISBLANK('Data Entry'!$Ċ$687), "", 'Data Entry'!$Ċ$687)</f>
      </c>
      <c r="GU687">
        <f>IF(ISBLANK('Data Entry'!$ċ$687), "", 'Data Entry'!$ċ$687)</f>
      </c>
      <c r="GV687">
        <f>IF(ISBLANK('Data Entry'!$Č$687), "", 'Data Entry'!$Č$687)</f>
      </c>
      <c r="GW687">
        <f>IF(ISBLANK('Data Entry'!$č$687), "", 'Data Entry'!$č$687)</f>
      </c>
      <c r="GX687">
        <f>IF(ISBLANK('Data Entry'!$Ď$687), "", 'Data Entry'!$Ď$687)</f>
      </c>
      <c r="GY687">
        <f>IF(ISBLANK('Data Entry'!$ď$687), "", 'Data Entry'!$ď$687)</f>
      </c>
      <c r="GZ687">
        <f>IF(ISBLANK('Data Entry'!$Đ$687), "", 'Data Entry'!$Đ$687)</f>
      </c>
      <c r="HA687">
        <f>IF(ISBLANK('Data Entry'!$đ$687), "", 'Data Entry'!$đ$687)</f>
      </c>
      <c r="HB687">
        <f>IF(ISBLANK('Data Entry'!$Ē$687), "", 'Data Entry'!$Ē$687)</f>
      </c>
      <c r="HC687">
        <f>IF(ISBLANK('Data Entry'!$ē$687), "", 'Data Entry'!$ē$687)</f>
      </c>
      <c r="HD687">
        <f>IF(ISBLANK('Data Entry'!$Ĕ$687), "", 'Data Entry'!$Ĕ$687)</f>
      </c>
      <c r="HE687">
        <f>IF(ISBLANK('Data Entry'!$ĕ$687), "", 'Data Entry'!$ĕ$687)</f>
      </c>
      <c r="HF687">
        <f>IF(ISBLANK('Data Entry'!$Ė$687), "", 'Data Entry'!$Ė$687)</f>
      </c>
      <c r="HG687">
        <f>IF(ISBLANK('Data Entry'!$ė$687), "", 'Data Entry'!$ė$687)</f>
      </c>
      <c r="HH687">
        <f>IF(ISBLANK('Data Entry'!$Ę$687), "", 'Data Entry'!$Ę$687)</f>
      </c>
      <c r="HI687">
        <f>IF(ISBLANK('Data Entry'!$ę$687), "", 'Data Entry'!$ę$687)</f>
      </c>
      <c r="HJ687">
        <f>IF(ISBLANK('Data Entry'!$Ě$687), "", 'Data Entry'!$Ě$687)</f>
      </c>
      <c r="HK687">
        <f>IF(ISBLANK('Data Entry'!$ě$687), "", 'Data Entry'!$ě$687)</f>
      </c>
      <c r="HL687">
        <f>IF(ISBLANK('Data Entry'!$Ĝ$687), "", 'Data Entry'!$Ĝ$687)</f>
      </c>
      <c r="HM687">
        <f>IF(ISBLANK('Data Entry'!$ĝ$687), "", 'Data Entry'!$ĝ$687)</f>
      </c>
      <c r="HN687">
        <f>IF(ISBLANK('Data Entry'!$Ğ$687), "", 'Data Entry'!$Ğ$687)</f>
      </c>
      <c r="HO687">
        <f>IF(ISBLANK('Data Entry'!$ğ$687), "", 'Data Entry'!$ğ$687)</f>
      </c>
      <c r="HP687">
        <f>IF(ISBLANK('Data Entry'!$Ġ$687), "", 'Data Entry'!$Ġ$687)</f>
      </c>
      <c r="HQ687">
        <f>IF(ISBLANK('Data Entry'!$ġ$687), "", 'Data Entry'!$ġ$687)</f>
      </c>
      <c r="HR687">
        <f>IF(ISBLANK('Data Entry'!$Ģ$687), "", 'Data Entry'!$Ģ$687)</f>
      </c>
      <c r="HS687">
        <f>IF(ISBLANK('Data Entry'!$ģ$687), "", 'Data Entry'!$ģ$687)</f>
      </c>
      <c r="HT687">
        <f>IF(ISBLANK('Data Entry'!$Ĥ$687), "", 'Data Entry'!$Ĥ$687)</f>
      </c>
      <c r="HU687">
        <f>IF(ISBLANK('Data Entry'!$ĥ$687), "", 'Data Entry'!$ĥ$687)</f>
      </c>
      <c r="HV687">
        <f>IF(ISBLANK('Data Entry'!$Ħ$687), "", 'Data Entry'!$Ħ$687)</f>
      </c>
      <c r="HW687">
        <f>IF(ISBLANK('Data Entry'!$ħ$687), "", 'Data Entry'!$ħ$687)</f>
      </c>
      <c r="HX687">
        <f>IF(ISBLANK('Data Entry'!$Ĩ$687), "", 'Data Entry'!$Ĩ$687)</f>
      </c>
      <c r="HY687">
        <f>IF(ISBLANK('Data Entry'!$ĩ$687), "", 'Data Entry'!$ĩ$687)</f>
      </c>
      <c r="HZ687">
        <f>IF(ISBLANK('Data Entry'!$Ī$687), "", 'Data Entry'!$Ī$687)</f>
      </c>
      <c r="IA687">
        <f>IF(ISBLANK('Data Entry'!$ī$687), "", 'Data Entry'!$ī$687)</f>
      </c>
      <c r="IB687">
        <f>IF(ISBLANK('Data Entry'!$Ĭ$687), "", 'Data Entry'!$Ĭ$687)</f>
      </c>
      <c r="IC687">
        <f>IF(ISBLANK('Data Entry'!$ĭ$687), "", 'Data Entry'!$ĭ$687)</f>
      </c>
      <c r="ID687">
        <f>IF(ISBLANK('Data Entry'!$Į$687), "", 'Data Entry'!$Į$687)</f>
      </c>
      <c r="IE687">
        <f>IF(ISBLANK('Data Entry'!$į$687), "", 'Data Entry'!$į$687)</f>
      </c>
      <c r="IF687">
        <f>IF(ISBLANK('Data Entry'!$İ$687), "", 'Data Entry'!$İ$687)</f>
      </c>
      <c r="IG687">
        <f>IF(ISBLANK('Data Entry'!$ı$687), "", 'Data Entry'!$ı$687)</f>
      </c>
      <c r="IH687">
        <f>IF(ISBLANK('Data Entry'!$Ĳ$687), "", 'Data Entry'!$Ĳ$687)</f>
      </c>
      <c r="II687">
        <f>IF(ISBLANK('Data Entry'!$ĳ$687), "", 'Data Entry'!$ĳ$687)</f>
      </c>
      <c r="IJ687">
        <f>IF(ISBLANK('Data Entry'!$Ĵ$687), "", 'Data Entry'!$Ĵ$687)</f>
      </c>
      <c r="IK687">
        <f>IF(ISBLANK('Data Entry'!$ĵ$687), "", 'Data Entry'!$ĵ$687)</f>
      </c>
      <c r="IL687">
        <f>IF(ISBLANK('Data Entry'!$Ķ$687), "", 'Data Entry'!$Ķ$687)</f>
      </c>
      <c r="IM687">
        <f>IF(ISBLANK('Data Entry'!$ķ$687), "", 'Data Entry'!$ķ$687)</f>
      </c>
      <c r="IN687">
        <f>IF(ISBLANK('Data Entry'!$ĸ$687), "", 'Data Entry'!$ĸ$687)</f>
      </c>
      <c r="IO687">
        <f>IF(ISBLANK('Data Entry'!$Ĺ$687), "", 'Data Entry'!$Ĺ$687)</f>
      </c>
      <c r="IP687">
        <f>IF(ISBLANK('Data Entry'!$ĺ$687), "", 'Data Entry'!$ĺ$687)</f>
      </c>
      <c r="IQ687">
        <f>IF(ISBLANK('Data Entry'!$Ļ$687), "", 'Data Entry'!$Ļ$687)</f>
      </c>
      <c r="IR687">
        <f>IF(ISBLANK('Data Entry'!$ļ$687), "", 'Data Entry'!$ļ$687)</f>
      </c>
      <c r="IS687">
        <f>IF(ISBLANK('Data Entry'!$Ľ$687), "", 'Data Entry'!$Ľ$687)</f>
      </c>
      <c r="IT687">
        <f>IF(ISBLANK('Data Entry'!$ľ$687), "", 'Data Entry'!$ľ$687)</f>
      </c>
    </row>
    <row r="688" spans="1:254" x14ac:dyDescent="0.25">
      <c r="A688">
        <f>IF(ISBLANK('Data Entry'!$A$688), "", 'Data Entry'!$A$688)</f>
      </c>
      <c r="B688">
        <f>IF(ISBLANK('Data Entry'!$B$688), "", 'Data Entry'!$B$688)</f>
      </c>
      <c r="C688">
        <f>IF(ISBLANK('Data Entry'!$C$688), "", 'Data Entry'!$C$688)</f>
      </c>
      <c r="D688">
        <f>IF(ISBLANK('Data Entry'!$D$688), "", 'Data Entry'!$D$688)</f>
      </c>
      <c r="E688">
        <f>IF(ISBLANK('Data Entry'!$E$688), "", 'Data Entry'!$E$688)</f>
      </c>
      <c r="F688">
        <f>IF(ISBLANK('Data Entry'!$F$688), "", 'Data Entry'!$F$688)</f>
      </c>
      <c r="G688">
        <f>IF(ISBLANK('Data Entry'!$G$688), "", 'Data Entry'!$G$688)</f>
      </c>
      <c r="H688">
        <f>IF(ISBLANK('Data Entry'!$H$688), "", 'Data Entry'!$H$688)</f>
      </c>
      <c r="I688">
        <f>IF(ISBLANK('Data Entry'!$I$688), "", 'Data Entry'!$I$688)</f>
      </c>
      <c r="J688">
        <f>IF(ISBLANK('Data Entry'!$J$688), "", 'Data Entry'!$J$688)</f>
      </c>
      <c r="K688">
        <f>IF(ISBLANK('Data Entry'!$K$688), "", 'Data Entry'!$K$688)</f>
      </c>
      <c r="L688">
        <f>IF(ISBLANK('Data Entry'!$L$688), "", 'Data Entry'!$L$688)</f>
      </c>
      <c r="M688">
        <f>IF(ISBLANK('Data Entry'!$M$688), "", 'Data Entry'!$M$688)</f>
      </c>
      <c r="N688">
        <f>IF(ISBLANK('Data Entry'!$N$688), "", 'Data Entry'!$N$688)</f>
      </c>
      <c r="O688">
        <f>IF(ISBLANK('Data Entry'!$O$688), "", 'Data Entry'!$O$688)</f>
      </c>
      <c r="P688">
        <f>IF(ISBLANK('Data Entry'!$P$688), "", 'Data Entry'!$P$688)</f>
      </c>
      <c r="Q688">
        <f>IF(ISBLANK('Data Entry'!$Q$688), "", 'Data Entry'!$Q$688)</f>
      </c>
      <c r="R688">
        <f>IF(ISBLANK('Data Entry'!$R$688), "", 'Data Entry'!$R$688)</f>
      </c>
      <c r="S688">
        <f>IF(ISBLANK('Data Entry'!$S$688), "", 'Data Entry'!$S$688)</f>
      </c>
      <c r="T688">
        <f>IF(ISBLANK('Data Entry'!$T$688), "", 'Data Entry'!$T$688)</f>
      </c>
      <c r="U688">
        <f>IF(ISBLANK('Data Entry'!$U$688), "", 'Data Entry'!$U$688)</f>
      </c>
      <c r="V688">
        <f>IF(ISBLANK('Data Entry'!$V$688), "", 'Data Entry'!$V$688)</f>
      </c>
      <c r="W688">
        <f>IF(ISBLANK('Data Entry'!$W$688), "", 'Data Entry'!$W$688)</f>
      </c>
      <c r="X688">
        <f>IF(ISBLANK('Data Entry'!$X$688), "", 'Data Entry'!$X$688)</f>
      </c>
      <c r="Y688">
        <f>IF(ISBLANK('Data Entry'!$Y$688), "", 'Data Entry'!$Y$688)</f>
      </c>
      <c r="Z688">
        <f>IF(ISBLANK('Data Entry'!$Z$688), "", 'Data Entry'!$Z$688)</f>
      </c>
      <c r="AA688">
        <f>IF(ISBLANK('Data Entry'!$[$688), "", 'Data Entry'!$[$688)</f>
      </c>
      <c r="AB688">
        <f>IF(ISBLANK('Data Entry'!$\$688), "", 'Data Entry'!$\$688)</f>
      </c>
      <c r="AC688">
        <f>IF(ISBLANK('Data Entry'!$]$688), "", 'Data Entry'!$]$688)</f>
      </c>
      <c r="AD688">
        <f>IF(ISBLANK('Data Entry'!$^$688), "", 'Data Entry'!$^$688)</f>
      </c>
      <c r="AE688">
        <f>IF(ISBLANK('Data Entry'!$_$688), "", 'Data Entry'!$_$688)</f>
      </c>
      <c r="AF688">
        <f>IF(ISBLANK('Data Entry'!$`$688), "", 'Data Entry'!$`$688)</f>
      </c>
      <c r="AG688">
        <f>IF(ISBLANK('Data Entry'!$a$688), "", 'Data Entry'!$a$688)</f>
      </c>
      <c r="AH688">
        <f>IF(ISBLANK('Data Entry'!$b$688), "", 'Data Entry'!$b$688)</f>
      </c>
      <c r="AI688">
        <f>IF(ISBLANK('Data Entry'!$c$688), "", 'Data Entry'!$c$688)</f>
      </c>
      <c r="AJ688">
        <f>IF(ISBLANK('Data Entry'!$d$688), "", 'Data Entry'!$d$688)</f>
      </c>
      <c r="AK688">
        <f>IF(ISBLANK('Data Entry'!$e$688), "", 'Data Entry'!$e$688)</f>
      </c>
      <c r="AL688">
        <f>IF(ISBLANK('Data Entry'!$f$688), "", 'Data Entry'!$f$688)</f>
      </c>
      <c r="AM688">
        <f>IF(ISBLANK('Data Entry'!$g$688), "", 'Data Entry'!$g$688)</f>
      </c>
      <c r="AN688">
        <f>IF(ISBLANK('Data Entry'!$h$688), "", 'Data Entry'!$h$688)</f>
      </c>
      <c r="AO688">
        <f>IF(ISBLANK('Data Entry'!$i$688), "", 'Data Entry'!$i$688)</f>
      </c>
      <c r="AP688">
        <f>IF(ISBLANK('Data Entry'!$j$688), "", 'Data Entry'!$j$688)</f>
      </c>
      <c r="AQ688">
        <f>IF(ISBLANK('Data Entry'!$k$688), "", 'Data Entry'!$k$688)</f>
      </c>
      <c r="AR688">
        <f>IF(ISBLANK('Data Entry'!$l$688), "", 'Data Entry'!$l$688)</f>
      </c>
      <c r="AS688">
        <f>IF(ISBLANK('Data Entry'!$m$688), "", 'Data Entry'!$m$688)</f>
      </c>
      <c r="AT688">
        <f>IF(ISBLANK('Data Entry'!$n$688), "", 'Data Entry'!$n$688)</f>
      </c>
      <c r="AU688">
        <f>IF(ISBLANK('Data Entry'!$o$688), "", 'Data Entry'!$o$688)</f>
      </c>
      <c r="AV688">
        <f>IF(ISBLANK('Data Entry'!$p$688), "", 'Data Entry'!$p$688)</f>
      </c>
      <c r="AW688">
        <f>IF(ISBLANK('Data Entry'!$q$688), "", 'Data Entry'!$q$688)</f>
      </c>
      <c r="AX688">
        <f>IF(ISBLANK('Data Entry'!$r$688), "", 'Data Entry'!$r$688)</f>
      </c>
      <c r="AY688">
        <f>IF(ISBLANK('Data Entry'!$s$688), "", 'Data Entry'!$s$688)</f>
      </c>
      <c r="AZ688">
        <f>IF(ISBLANK('Data Entry'!$t$688), "", 'Data Entry'!$t$688)</f>
      </c>
      <c r="BA688">
        <f>IF(ISBLANK('Data Entry'!$u$688), "", 'Data Entry'!$u$688)</f>
      </c>
      <c r="BB688">
        <f>IF(ISBLANK('Data Entry'!$v$688), "", 'Data Entry'!$v$688)</f>
      </c>
      <c r="BC688">
        <f>IF(ISBLANK('Data Entry'!$w$688), "", 'Data Entry'!$w$688)</f>
      </c>
      <c r="BD688">
        <f>IF(ISBLANK('Data Entry'!$x$688), "", 'Data Entry'!$x$688)</f>
      </c>
      <c r="BE688">
        <f>IF(ISBLANK('Data Entry'!$y$688), "", 'Data Entry'!$y$688)</f>
      </c>
      <c r="BF688">
        <f>IF(ISBLANK('Data Entry'!$z$688), "", 'Data Entry'!$z$688)</f>
      </c>
      <c r="BG688">
        <f>IF(ISBLANK('Data Entry'!${$688), "", 'Data Entry'!${$688)</f>
      </c>
      <c r="BH688">
        <f>IF(ISBLANK('Data Entry'!$|$688), "", 'Data Entry'!$|$688)</f>
      </c>
      <c r="BI688">
        <f>IF(ISBLANK('Data Entry'!$}$688), "", 'Data Entry'!$}$688)</f>
      </c>
      <c r="BJ688">
        <f>IF(ISBLANK('Data Entry'!$~$688), "", 'Data Entry'!$~$688)</f>
      </c>
      <c r="BK688">
        <f>IF(ISBLANK('Data Entry'!$$688), "", 'Data Entry'!$$688)</f>
      </c>
      <c r="BL688">
        <f>IF(ISBLANK('Data Entry'!$$688), "", 'Data Entry'!$$688)</f>
      </c>
      <c r="BM688">
        <f>IF(ISBLANK('Data Entry'!$$688), "", 'Data Entry'!$$688)</f>
      </c>
      <c r="BN688">
        <f>IF(ISBLANK('Data Entry'!$$688), "", 'Data Entry'!$$688)</f>
      </c>
      <c r="BO688">
        <f>IF(ISBLANK('Data Entry'!$$688), "", 'Data Entry'!$$688)</f>
      </c>
      <c r="BP688">
        <f>IF(ISBLANK('Data Entry'!$$688), "", 'Data Entry'!$$688)</f>
      </c>
      <c r="BQ688">
        <f>IF(ISBLANK('Data Entry'!$$688), "", 'Data Entry'!$$688)</f>
      </c>
      <c r="BR688">
        <f>IF(ISBLANK('Data Entry'!$$688), "", 'Data Entry'!$$688)</f>
      </c>
      <c r="BS688">
        <f>IF(ISBLANK('Data Entry'!$$688), "", 'Data Entry'!$$688)</f>
      </c>
      <c r="BT688">
        <f>IF(ISBLANK('Data Entry'!$$688), "", 'Data Entry'!$$688)</f>
      </c>
      <c r="BU688">
        <f>IF(ISBLANK('Data Entry'!$$688), "", 'Data Entry'!$$688)</f>
      </c>
      <c r="BV688">
        <f>IF(ISBLANK('Data Entry'!$$688), "", 'Data Entry'!$$688)</f>
      </c>
      <c r="BW688">
        <f>IF(ISBLANK('Data Entry'!$$688), "", 'Data Entry'!$$688)</f>
      </c>
      <c r="BX688">
        <f>IF(ISBLANK('Data Entry'!$$688), "", 'Data Entry'!$$688)</f>
      </c>
      <c r="BY688">
        <f>IF(ISBLANK('Data Entry'!$$688), "", 'Data Entry'!$$688)</f>
      </c>
      <c r="BZ688">
        <f>IF(ISBLANK('Data Entry'!$$688), "", 'Data Entry'!$$688)</f>
      </c>
      <c r="CA688">
        <f>IF(ISBLANK('Data Entry'!$$688), "", 'Data Entry'!$$688)</f>
      </c>
      <c r="CB688">
        <f>IF(ISBLANK('Data Entry'!$$688), "", 'Data Entry'!$$688)</f>
      </c>
      <c r="CC688">
        <f>IF(ISBLANK('Data Entry'!$$688), "", 'Data Entry'!$$688)</f>
      </c>
      <c r="CD688">
        <f>IF(ISBLANK('Data Entry'!$$688), "", 'Data Entry'!$$688)</f>
      </c>
      <c r="CE688">
        <f>IF(ISBLANK('Data Entry'!$$688), "", 'Data Entry'!$$688)</f>
      </c>
      <c r="CF688">
        <f>IF(ISBLANK('Data Entry'!$$688), "", 'Data Entry'!$$688)</f>
      </c>
      <c r="CG688">
        <f>IF(ISBLANK('Data Entry'!$$688), "", 'Data Entry'!$$688)</f>
      </c>
      <c r="CH688">
        <f>IF(ISBLANK('Data Entry'!$$688), "", 'Data Entry'!$$688)</f>
      </c>
      <c r="CI688">
        <f>IF(ISBLANK('Data Entry'!$$688), "", 'Data Entry'!$$688)</f>
      </c>
      <c r="CJ688">
        <f>IF(ISBLANK('Data Entry'!$$688), "", 'Data Entry'!$$688)</f>
      </c>
      <c r="CK688">
        <f>IF(ISBLANK('Data Entry'!$$688), "", 'Data Entry'!$$688)</f>
      </c>
      <c r="CL688">
        <f>IF(ISBLANK('Data Entry'!$$688), "", 'Data Entry'!$$688)</f>
      </c>
      <c r="CM688">
        <f>IF(ISBLANK('Data Entry'!$$688), "", 'Data Entry'!$$688)</f>
      </c>
      <c r="CN688">
        <f>IF(ISBLANK('Data Entry'!$$688), "", 'Data Entry'!$$688)</f>
      </c>
      <c r="CO688">
        <f>IF(ISBLANK('Data Entry'!$$688), "", 'Data Entry'!$$688)</f>
      </c>
      <c r="CP688">
        <f>IF(ISBLANK('Data Entry'!$$688), "", 'Data Entry'!$$688)</f>
      </c>
      <c r="CQ688">
        <f>IF(ISBLANK('Data Entry'!$$688), "", 'Data Entry'!$$688)</f>
      </c>
      <c r="CR688">
        <f>IF(ISBLANK('Data Entry'!$ $688), "", 'Data Entry'!$ $688)</f>
      </c>
      <c r="CS688">
        <f>IF(ISBLANK('Data Entry'!$¡$688), "", 'Data Entry'!$¡$688)</f>
      </c>
      <c r="CT688">
        <f>IF(ISBLANK('Data Entry'!$¢$688), "", 'Data Entry'!$¢$688)</f>
      </c>
      <c r="CU688">
        <f>IF(ISBLANK('Data Entry'!$£$688), "", 'Data Entry'!$£$688)</f>
      </c>
      <c r="CV688">
        <f>IF(ISBLANK('Data Entry'!$¤$688), "", 'Data Entry'!$¤$688)</f>
      </c>
      <c r="CW688">
        <f>IF(ISBLANK('Data Entry'!$¥$688), "", 'Data Entry'!$¥$688)</f>
      </c>
      <c r="CX688">
        <f>IF(ISBLANK('Data Entry'!$¦$688), "", 'Data Entry'!$¦$688)</f>
      </c>
      <c r="CY688">
        <f>IF(ISBLANK('Data Entry'!$§$688), "", 'Data Entry'!$§$688)</f>
      </c>
      <c r="CZ688">
        <f>IF(ISBLANK('Data Entry'!$¨$688), "", 'Data Entry'!$¨$688)</f>
      </c>
      <c r="DA688">
        <f>IF(ISBLANK('Data Entry'!$©$688), "", 'Data Entry'!$©$688)</f>
      </c>
      <c r="DB688">
        <f>IF(ISBLANK('Data Entry'!$ª$688), "", 'Data Entry'!$ª$688)</f>
      </c>
      <c r="DC688">
        <f>IF(ISBLANK('Data Entry'!$«$688), "", 'Data Entry'!$«$688)</f>
      </c>
      <c r="DD688">
        <f>IF(ISBLANK('Data Entry'!$¬$688), "", 'Data Entry'!$¬$688)</f>
      </c>
      <c r="DE688">
        <f>IF(ISBLANK('Data Entry'!$­$688), "", 'Data Entry'!$­$688)</f>
      </c>
      <c r="DF688">
        <f>IF(ISBLANK('Data Entry'!$®$688), "", 'Data Entry'!$®$688)</f>
      </c>
      <c r="DG688">
        <f>IF(ISBLANK('Data Entry'!$¯$688), "", 'Data Entry'!$¯$688)</f>
      </c>
      <c r="DH688">
        <f>IF(ISBLANK('Data Entry'!$°$688), "", 'Data Entry'!$°$688)</f>
      </c>
      <c r="DI688">
        <f>IF(ISBLANK('Data Entry'!$±$688), "", 'Data Entry'!$±$688)</f>
      </c>
      <c r="DJ688">
        <f>IF(ISBLANK('Data Entry'!$²$688), "", 'Data Entry'!$²$688)</f>
      </c>
      <c r="DK688">
        <f>IF(ISBLANK('Data Entry'!$³$688), "", 'Data Entry'!$³$688)</f>
      </c>
      <c r="DL688">
        <f>IF(ISBLANK('Data Entry'!$´$688), "", 'Data Entry'!$´$688)</f>
      </c>
      <c r="DM688">
        <f>IF(ISBLANK('Data Entry'!$µ$688), "", 'Data Entry'!$µ$688)</f>
      </c>
      <c r="DN688">
        <f>IF(ISBLANK('Data Entry'!$¶$688), "", 'Data Entry'!$¶$688)</f>
      </c>
      <c r="DO688">
        <f>IF(ISBLANK('Data Entry'!$·$688), "", 'Data Entry'!$·$688)</f>
      </c>
      <c r="DP688">
        <f>IF(ISBLANK('Data Entry'!$¸$688), "", 'Data Entry'!$¸$688)</f>
      </c>
      <c r="DQ688">
        <f>IF(ISBLANK('Data Entry'!$¹$688), "", 'Data Entry'!$¹$688)</f>
      </c>
      <c r="DR688">
        <f>IF(ISBLANK('Data Entry'!$º$688), "", 'Data Entry'!$º$688)</f>
      </c>
      <c r="DS688">
        <f>IF(ISBLANK('Data Entry'!$»$688), "", 'Data Entry'!$»$688)</f>
      </c>
      <c r="DT688">
        <f>IF(ISBLANK('Data Entry'!$¼$688), "", 'Data Entry'!$¼$688)</f>
      </c>
      <c r="DU688">
        <f>IF(ISBLANK('Data Entry'!$½$688), "", 'Data Entry'!$½$688)</f>
      </c>
      <c r="DV688">
        <f>IF(ISBLANK('Data Entry'!$¾$688), "", 'Data Entry'!$¾$688)</f>
      </c>
      <c r="DW688">
        <f>IF(ISBLANK('Data Entry'!$¿$688), "", 'Data Entry'!$¿$688)</f>
      </c>
      <c r="DX688">
        <f>IF(ISBLANK('Data Entry'!$À$688), "", 'Data Entry'!$À$688)</f>
      </c>
      <c r="DY688">
        <f>IF(ISBLANK('Data Entry'!$Á$688), "", 'Data Entry'!$Á$688)</f>
      </c>
      <c r="DZ688">
        <f>IF(ISBLANK('Data Entry'!$Â$688), "", 'Data Entry'!$Â$688)</f>
      </c>
      <c r="EA688">
        <f>IF(ISBLANK('Data Entry'!$Ã$688), "", 'Data Entry'!$Ã$688)</f>
      </c>
      <c r="EB688">
        <f>IF(ISBLANK('Data Entry'!$Ä$688), "", 'Data Entry'!$Ä$688)</f>
      </c>
      <c r="EC688">
        <f>IF(ISBLANK('Data Entry'!$Å$688), "", 'Data Entry'!$Å$688)</f>
      </c>
      <c r="ED688">
        <f>IF(ISBLANK('Data Entry'!$Æ$688), "", 'Data Entry'!$Æ$688)</f>
      </c>
      <c r="EE688">
        <f>IF(ISBLANK('Data Entry'!$Ç$688), "", 'Data Entry'!$Ç$688)</f>
      </c>
      <c r="EF688">
        <f>IF(ISBLANK('Data Entry'!$È$688), "", 'Data Entry'!$È$688)</f>
      </c>
      <c r="EG688">
        <f>IF(ISBLANK('Data Entry'!$É$688), "", 'Data Entry'!$É$688)</f>
      </c>
      <c r="EH688">
        <f>IF(ISBLANK('Data Entry'!$Ê$688), "", 'Data Entry'!$Ê$688)</f>
      </c>
      <c r="EI688">
        <f>IF(ISBLANK('Data Entry'!$Ë$688), "", 'Data Entry'!$Ë$688)</f>
      </c>
      <c r="EJ688">
        <f>IF(ISBLANK('Data Entry'!$Ì$688), "", 'Data Entry'!$Ì$688)</f>
      </c>
      <c r="EK688">
        <f>IF(ISBLANK('Data Entry'!$Í$688), "", 'Data Entry'!$Í$688)</f>
      </c>
      <c r="EL688">
        <f>IF(ISBLANK('Data Entry'!$Î$688), "", 'Data Entry'!$Î$688)</f>
      </c>
      <c r="EM688">
        <f>IF(ISBLANK('Data Entry'!$Ï$688), "", 'Data Entry'!$Ï$688)</f>
      </c>
      <c r="EN688">
        <f>IF(ISBLANK('Data Entry'!$Ð$688), "", 'Data Entry'!$Ð$688)</f>
      </c>
      <c r="EO688">
        <f>IF(ISBLANK('Data Entry'!$Ñ$688), "", 'Data Entry'!$Ñ$688)</f>
      </c>
      <c r="EP688">
        <f>IF(ISBLANK('Data Entry'!$Ò$688), "", 'Data Entry'!$Ò$688)</f>
      </c>
      <c r="EQ688">
        <f>IF(ISBLANK('Data Entry'!$Ó$688), "", 'Data Entry'!$Ó$688)</f>
      </c>
      <c r="ER688">
        <f>IF(ISBLANK('Data Entry'!$Ô$688), "", 'Data Entry'!$Ô$688)</f>
      </c>
      <c r="ES688">
        <f>IF(ISBLANK('Data Entry'!$Õ$688), "", 'Data Entry'!$Õ$688)</f>
      </c>
      <c r="ET688">
        <f>IF(ISBLANK('Data Entry'!$Ö$688), "", 'Data Entry'!$Ö$688)</f>
      </c>
      <c r="EU688">
        <f>IF(ISBLANK('Data Entry'!$×$688), "", 'Data Entry'!$×$688)</f>
      </c>
      <c r="EV688">
        <f>IF(ISBLANK('Data Entry'!$Ø$688), "", 'Data Entry'!$Ø$688)</f>
      </c>
      <c r="EW688">
        <f>IF(ISBLANK('Data Entry'!$Ù$688), "", 'Data Entry'!$Ù$688)</f>
      </c>
      <c r="EX688">
        <f>IF(ISBLANK('Data Entry'!$Ú$688), "", 'Data Entry'!$Ú$688)</f>
      </c>
      <c r="EY688">
        <f>IF(ISBLANK('Data Entry'!$Û$688), "", 'Data Entry'!$Û$688)</f>
      </c>
      <c r="EZ688">
        <f>IF(ISBLANK('Data Entry'!$Ü$688), "", 'Data Entry'!$Ü$688)</f>
      </c>
      <c r="FA688">
        <f>IF(ISBLANK('Data Entry'!$Ý$688), "", 'Data Entry'!$Ý$688)</f>
      </c>
      <c r="FB688">
        <f>IF(ISBLANK('Data Entry'!$Þ$688), "", 'Data Entry'!$Þ$688)</f>
      </c>
      <c r="FC688">
        <f>IF(ISBLANK('Data Entry'!$ß$688), "", 'Data Entry'!$ß$688)</f>
      </c>
      <c r="FD688">
        <f>IF(ISBLANK('Data Entry'!$à$688), "", 'Data Entry'!$à$688)</f>
      </c>
      <c r="FE688">
        <f>IF(ISBLANK('Data Entry'!$á$688), "", 'Data Entry'!$á$688)</f>
      </c>
      <c r="FF688">
        <f>IF(ISBLANK('Data Entry'!$â$688), "", 'Data Entry'!$â$688)</f>
      </c>
      <c r="FG688">
        <f>IF(ISBLANK('Data Entry'!$ã$688), "", 'Data Entry'!$ã$688)</f>
      </c>
      <c r="FH688">
        <f>IF(ISBLANK('Data Entry'!$ä$688), "", 'Data Entry'!$ä$688)</f>
      </c>
      <c r="FI688">
        <f>IF(ISBLANK('Data Entry'!$å$688), "", 'Data Entry'!$å$688)</f>
      </c>
      <c r="FJ688">
        <f>IF(ISBLANK('Data Entry'!$æ$688), "", 'Data Entry'!$æ$688)</f>
      </c>
      <c r="FK688">
        <f>IF(ISBLANK('Data Entry'!$ç$688), "", 'Data Entry'!$ç$688)</f>
      </c>
      <c r="FL688">
        <f>IF(ISBLANK('Data Entry'!$è$688), "", 'Data Entry'!$è$688)</f>
      </c>
      <c r="FM688">
        <f>IF(ISBLANK('Data Entry'!$é$688), "", 'Data Entry'!$é$688)</f>
      </c>
      <c r="FN688">
        <f>IF(ISBLANK('Data Entry'!$ê$688), "", 'Data Entry'!$ê$688)</f>
      </c>
      <c r="FO688">
        <f>IF(ISBLANK('Data Entry'!$ë$688), "", 'Data Entry'!$ë$688)</f>
      </c>
      <c r="FP688">
        <f>IF(ISBLANK('Data Entry'!$ì$688), "", 'Data Entry'!$ì$688)</f>
      </c>
      <c r="FQ688">
        <f>IF(ISBLANK('Data Entry'!$í$688), "", 'Data Entry'!$í$688)</f>
      </c>
      <c r="FR688">
        <f>IF(ISBLANK('Data Entry'!$î$688), "", 'Data Entry'!$î$688)</f>
      </c>
      <c r="FS688">
        <f>IF(ISBLANK('Data Entry'!$ï$688), "", 'Data Entry'!$ï$688)</f>
      </c>
      <c r="FT688">
        <f>IF(ISBLANK('Data Entry'!$ð$688), "", 'Data Entry'!$ð$688)</f>
      </c>
      <c r="FU688">
        <f>IF(ISBLANK('Data Entry'!$ñ$688), "", 'Data Entry'!$ñ$688)</f>
      </c>
      <c r="FV688">
        <f>IF(ISBLANK('Data Entry'!$ò$688), "", 'Data Entry'!$ò$688)</f>
      </c>
      <c r="FW688">
        <f>IF(ISBLANK('Data Entry'!$ó$688), "", 'Data Entry'!$ó$688)</f>
      </c>
      <c r="FX688">
        <f>IF(ISBLANK('Data Entry'!$ô$688), "", 'Data Entry'!$ô$688)</f>
      </c>
      <c r="FY688">
        <f>IF(ISBLANK('Data Entry'!$õ$688), "", 'Data Entry'!$õ$688)</f>
      </c>
      <c r="FZ688">
        <f>IF(ISBLANK('Data Entry'!$ö$688), "", 'Data Entry'!$ö$688)</f>
      </c>
      <c r="GA688">
        <f>IF(ISBLANK('Data Entry'!$÷$688), "", 'Data Entry'!$÷$688)</f>
      </c>
      <c r="GB688">
        <f>IF(ISBLANK('Data Entry'!$ø$688), "", 'Data Entry'!$ø$688)</f>
      </c>
      <c r="GC688">
        <f>IF(ISBLANK('Data Entry'!$ù$688), "", 'Data Entry'!$ù$688)</f>
      </c>
      <c r="GD688">
        <f>IF(ISBLANK('Data Entry'!$ú$688), "", 'Data Entry'!$ú$688)</f>
      </c>
      <c r="GE688">
        <f>IF(ISBLANK('Data Entry'!$û$688), "", 'Data Entry'!$û$688)</f>
      </c>
      <c r="GF688">
        <f>IF(ISBLANK('Data Entry'!$ü$688), "", 'Data Entry'!$ü$688)</f>
      </c>
      <c r="GG688">
        <f>IF(ISBLANK('Data Entry'!$ý$688), "", 'Data Entry'!$ý$688)</f>
      </c>
      <c r="GH688">
        <f>IF(ISBLANK('Data Entry'!$þ$688), "", 'Data Entry'!$þ$688)</f>
      </c>
      <c r="GI688">
        <f>IF(ISBLANK('Data Entry'!$ÿ$688), "", 'Data Entry'!$ÿ$688)</f>
      </c>
      <c r="GJ688">
        <f>IF(ISBLANK('Data Entry'!$Ā$688), "", 'Data Entry'!$Ā$688)</f>
      </c>
      <c r="GK688">
        <f>IF(ISBLANK('Data Entry'!$ā$688), "", 'Data Entry'!$ā$688)</f>
      </c>
      <c r="GL688">
        <f>IF(ISBLANK('Data Entry'!$Ă$688), "", 'Data Entry'!$Ă$688)</f>
      </c>
      <c r="GM688">
        <f>IF(ISBLANK('Data Entry'!$ă$688), "", 'Data Entry'!$ă$688)</f>
      </c>
      <c r="GN688">
        <f>IF(ISBLANK('Data Entry'!$Ą$688), "", 'Data Entry'!$Ą$688)</f>
      </c>
      <c r="GO688">
        <f>IF(ISBLANK('Data Entry'!$ą$688), "", 'Data Entry'!$ą$688)</f>
      </c>
      <c r="GP688">
        <f>IF(ISBLANK('Data Entry'!$Ć$688), "", 'Data Entry'!$Ć$688)</f>
      </c>
      <c r="GQ688">
        <f>IF(ISBLANK('Data Entry'!$ć$688), "", 'Data Entry'!$ć$688)</f>
      </c>
      <c r="GR688">
        <f>IF(ISBLANK('Data Entry'!$Ĉ$688), "", 'Data Entry'!$Ĉ$688)</f>
      </c>
      <c r="GS688">
        <f>IF(ISBLANK('Data Entry'!$ĉ$688), "", 'Data Entry'!$ĉ$688)</f>
      </c>
      <c r="GT688">
        <f>IF(ISBLANK('Data Entry'!$Ċ$688), "", 'Data Entry'!$Ċ$688)</f>
      </c>
      <c r="GU688">
        <f>IF(ISBLANK('Data Entry'!$ċ$688), "", 'Data Entry'!$ċ$688)</f>
      </c>
      <c r="GV688">
        <f>IF(ISBLANK('Data Entry'!$Č$688), "", 'Data Entry'!$Č$688)</f>
      </c>
      <c r="GW688">
        <f>IF(ISBLANK('Data Entry'!$č$688), "", 'Data Entry'!$č$688)</f>
      </c>
      <c r="GX688">
        <f>IF(ISBLANK('Data Entry'!$Ď$688), "", 'Data Entry'!$Ď$688)</f>
      </c>
      <c r="GY688">
        <f>IF(ISBLANK('Data Entry'!$ď$688), "", 'Data Entry'!$ď$688)</f>
      </c>
      <c r="GZ688">
        <f>IF(ISBLANK('Data Entry'!$Đ$688), "", 'Data Entry'!$Đ$688)</f>
      </c>
      <c r="HA688">
        <f>IF(ISBLANK('Data Entry'!$đ$688), "", 'Data Entry'!$đ$688)</f>
      </c>
      <c r="HB688">
        <f>IF(ISBLANK('Data Entry'!$Ē$688), "", 'Data Entry'!$Ē$688)</f>
      </c>
      <c r="HC688">
        <f>IF(ISBLANK('Data Entry'!$ē$688), "", 'Data Entry'!$ē$688)</f>
      </c>
      <c r="HD688">
        <f>IF(ISBLANK('Data Entry'!$Ĕ$688), "", 'Data Entry'!$Ĕ$688)</f>
      </c>
      <c r="HE688">
        <f>IF(ISBLANK('Data Entry'!$ĕ$688), "", 'Data Entry'!$ĕ$688)</f>
      </c>
      <c r="HF688">
        <f>IF(ISBLANK('Data Entry'!$Ė$688), "", 'Data Entry'!$Ė$688)</f>
      </c>
      <c r="HG688">
        <f>IF(ISBLANK('Data Entry'!$ė$688), "", 'Data Entry'!$ė$688)</f>
      </c>
      <c r="HH688">
        <f>IF(ISBLANK('Data Entry'!$Ę$688), "", 'Data Entry'!$Ę$688)</f>
      </c>
      <c r="HI688">
        <f>IF(ISBLANK('Data Entry'!$ę$688), "", 'Data Entry'!$ę$688)</f>
      </c>
      <c r="HJ688">
        <f>IF(ISBLANK('Data Entry'!$Ě$688), "", 'Data Entry'!$Ě$688)</f>
      </c>
      <c r="HK688">
        <f>IF(ISBLANK('Data Entry'!$ě$688), "", 'Data Entry'!$ě$688)</f>
      </c>
      <c r="HL688">
        <f>IF(ISBLANK('Data Entry'!$Ĝ$688), "", 'Data Entry'!$Ĝ$688)</f>
      </c>
      <c r="HM688">
        <f>IF(ISBLANK('Data Entry'!$ĝ$688), "", 'Data Entry'!$ĝ$688)</f>
      </c>
      <c r="HN688">
        <f>IF(ISBLANK('Data Entry'!$Ğ$688), "", 'Data Entry'!$Ğ$688)</f>
      </c>
      <c r="HO688">
        <f>IF(ISBLANK('Data Entry'!$ğ$688), "", 'Data Entry'!$ğ$688)</f>
      </c>
      <c r="HP688">
        <f>IF(ISBLANK('Data Entry'!$Ġ$688), "", 'Data Entry'!$Ġ$688)</f>
      </c>
      <c r="HQ688">
        <f>IF(ISBLANK('Data Entry'!$ġ$688), "", 'Data Entry'!$ġ$688)</f>
      </c>
      <c r="HR688">
        <f>IF(ISBLANK('Data Entry'!$Ģ$688), "", 'Data Entry'!$Ģ$688)</f>
      </c>
      <c r="HS688">
        <f>IF(ISBLANK('Data Entry'!$ģ$688), "", 'Data Entry'!$ģ$688)</f>
      </c>
      <c r="HT688">
        <f>IF(ISBLANK('Data Entry'!$Ĥ$688), "", 'Data Entry'!$Ĥ$688)</f>
      </c>
      <c r="HU688">
        <f>IF(ISBLANK('Data Entry'!$ĥ$688), "", 'Data Entry'!$ĥ$688)</f>
      </c>
      <c r="HV688">
        <f>IF(ISBLANK('Data Entry'!$Ħ$688), "", 'Data Entry'!$Ħ$688)</f>
      </c>
      <c r="HW688">
        <f>IF(ISBLANK('Data Entry'!$ħ$688), "", 'Data Entry'!$ħ$688)</f>
      </c>
      <c r="HX688">
        <f>IF(ISBLANK('Data Entry'!$Ĩ$688), "", 'Data Entry'!$Ĩ$688)</f>
      </c>
      <c r="HY688">
        <f>IF(ISBLANK('Data Entry'!$ĩ$688), "", 'Data Entry'!$ĩ$688)</f>
      </c>
      <c r="HZ688">
        <f>IF(ISBLANK('Data Entry'!$Ī$688), "", 'Data Entry'!$Ī$688)</f>
      </c>
      <c r="IA688">
        <f>IF(ISBLANK('Data Entry'!$ī$688), "", 'Data Entry'!$ī$688)</f>
      </c>
      <c r="IB688">
        <f>IF(ISBLANK('Data Entry'!$Ĭ$688), "", 'Data Entry'!$Ĭ$688)</f>
      </c>
      <c r="IC688">
        <f>IF(ISBLANK('Data Entry'!$ĭ$688), "", 'Data Entry'!$ĭ$688)</f>
      </c>
      <c r="ID688">
        <f>IF(ISBLANK('Data Entry'!$Į$688), "", 'Data Entry'!$Į$688)</f>
      </c>
      <c r="IE688">
        <f>IF(ISBLANK('Data Entry'!$į$688), "", 'Data Entry'!$į$688)</f>
      </c>
      <c r="IF688">
        <f>IF(ISBLANK('Data Entry'!$İ$688), "", 'Data Entry'!$İ$688)</f>
      </c>
      <c r="IG688">
        <f>IF(ISBLANK('Data Entry'!$ı$688), "", 'Data Entry'!$ı$688)</f>
      </c>
      <c r="IH688">
        <f>IF(ISBLANK('Data Entry'!$Ĳ$688), "", 'Data Entry'!$Ĳ$688)</f>
      </c>
      <c r="II688">
        <f>IF(ISBLANK('Data Entry'!$ĳ$688), "", 'Data Entry'!$ĳ$688)</f>
      </c>
      <c r="IJ688">
        <f>IF(ISBLANK('Data Entry'!$Ĵ$688), "", 'Data Entry'!$Ĵ$688)</f>
      </c>
      <c r="IK688">
        <f>IF(ISBLANK('Data Entry'!$ĵ$688), "", 'Data Entry'!$ĵ$688)</f>
      </c>
      <c r="IL688">
        <f>IF(ISBLANK('Data Entry'!$Ķ$688), "", 'Data Entry'!$Ķ$688)</f>
      </c>
      <c r="IM688">
        <f>IF(ISBLANK('Data Entry'!$ķ$688), "", 'Data Entry'!$ķ$688)</f>
      </c>
      <c r="IN688">
        <f>IF(ISBLANK('Data Entry'!$ĸ$688), "", 'Data Entry'!$ĸ$688)</f>
      </c>
      <c r="IO688">
        <f>IF(ISBLANK('Data Entry'!$Ĺ$688), "", 'Data Entry'!$Ĺ$688)</f>
      </c>
      <c r="IP688">
        <f>IF(ISBLANK('Data Entry'!$ĺ$688), "", 'Data Entry'!$ĺ$688)</f>
      </c>
      <c r="IQ688">
        <f>IF(ISBLANK('Data Entry'!$Ļ$688), "", 'Data Entry'!$Ļ$688)</f>
      </c>
      <c r="IR688">
        <f>IF(ISBLANK('Data Entry'!$ļ$688), "", 'Data Entry'!$ļ$688)</f>
      </c>
      <c r="IS688">
        <f>IF(ISBLANK('Data Entry'!$Ľ$688), "", 'Data Entry'!$Ľ$688)</f>
      </c>
      <c r="IT688">
        <f>IF(ISBLANK('Data Entry'!$ľ$688), "", 'Data Entry'!$ľ$688)</f>
      </c>
    </row>
    <row r="689" spans="1:254" x14ac:dyDescent="0.25">
      <c r="A689">
        <f>IF(ISBLANK('Data Entry'!$A$689), "", 'Data Entry'!$A$689)</f>
      </c>
      <c r="B689">
        <f>IF(ISBLANK('Data Entry'!$B$689), "", 'Data Entry'!$B$689)</f>
      </c>
      <c r="C689">
        <f>IF(ISBLANK('Data Entry'!$C$689), "", 'Data Entry'!$C$689)</f>
      </c>
      <c r="D689">
        <f>IF(ISBLANK('Data Entry'!$D$689), "", 'Data Entry'!$D$689)</f>
      </c>
      <c r="E689">
        <f>IF(ISBLANK('Data Entry'!$E$689), "", 'Data Entry'!$E$689)</f>
      </c>
      <c r="F689">
        <f>IF(ISBLANK('Data Entry'!$F$689), "", 'Data Entry'!$F$689)</f>
      </c>
      <c r="G689">
        <f>IF(ISBLANK('Data Entry'!$G$689), "", 'Data Entry'!$G$689)</f>
      </c>
      <c r="H689">
        <f>IF(ISBLANK('Data Entry'!$H$689), "", 'Data Entry'!$H$689)</f>
      </c>
      <c r="I689">
        <f>IF(ISBLANK('Data Entry'!$I$689), "", 'Data Entry'!$I$689)</f>
      </c>
      <c r="J689">
        <f>IF(ISBLANK('Data Entry'!$J$689), "", 'Data Entry'!$J$689)</f>
      </c>
      <c r="K689">
        <f>IF(ISBLANK('Data Entry'!$K$689), "", 'Data Entry'!$K$689)</f>
      </c>
      <c r="L689">
        <f>IF(ISBLANK('Data Entry'!$L$689), "", 'Data Entry'!$L$689)</f>
      </c>
      <c r="M689">
        <f>IF(ISBLANK('Data Entry'!$M$689), "", 'Data Entry'!$M$689)</f>
      </c>
      <c r="N689">
        <f>IF(ISBLANK('Data Entry'!$N$689), "", 'Data Entry'!$N$689)</f>
      </c>
      <c r="O689">
        <f>IF(ISBLANK('Data Entry'!$O$689), "", 'Data Entry'!$O$689)</f>
      </c>
      <c r="P689">
        <f>IF(ISBLANK('Data Entry'!$P$689), "", 'Data Entry'!$P$689)</f>
      </c>
      <c r="Q689">
        <f>IF(ISBLANK('Data Entry'!$Q$689), "", 'Data Entry'!$Q$689)</f>
      </c>
      <c r="R689">
        <f>IF(ISBLANK('Data Entry'!$R$689), "", 'Data Entry'!$R$689)</f>
      </c>
      <c r="S689">
        <f>IF(ISBLANK('Data Entry'!$S$689), "", 'Data Entry'!$S$689)</f>
      </c>
      <c r="T689">
        <f>IF(ISBLANK('Data Entry'!$T$689), "", 'Data Entry'!$T$689)</f>
      </c>
      <c r="U689">
        <f>IF(ISBLANK('Data Entry'!$U$689), "", 'Data Entry'!$U$689)</f>
      </c>
      <c r="V689">
        <f>IF(ISBLANK('Data Entry'!$V$689), "", 'Data Entry'!$V$689)</f>
      </c>
      <c r="W689">
        <f>IF(ISBLANK('Data Entry'!$W$689), "", 'Data Entry'!$W$689)</f>
      </c>
      <c r="X689">
        <f>IF(ISBLANK('Data Entry'!$X$689), "", 'Data Entry'!$X$689)</f>
      </c>
      <c r="Y689">
        <f>IF(ISBLANK('Data Entry'!$Y$689), "", 'Data Entry'!$Y$689)</f>
      </c>
      <c r="Z689">
        <f>IF(ISBLANK('Data Entry'!$Z$689), "", 'Data Entry'!$Z$689)</f>
      </c>
      <c r="AA689">
        <f>IF(ISBLANK('Data Entry'!$[$689), "", 'Data Entry'!$[$689)</f>
      </c>
      <c r="AB689">
        <f>IF(ISBLANK('Data Entry'!$\$689), "", 'Data Entry'!$\$689)</f>
      </c>
      <c r="AC689">
        <f>IF(ISBLANK('Data Entry'!$]$689), "", 'Data Entry'!$]$689)</f>
      </c>
      <c r="AD689">
        <f>IF(ISBLANK('Data Entry'!$^$689), "", 'Data Entry'!$^$689)</f>
      </c>
      <c r="AE689">
        <f>IF(ISBLANK('Data Entry'!$_$689), "", 'Data Entry'!$_$689)</f>
      </c>
      <c r="AF689">
        <f>IF(ISBLANK('Data Entry'!$`$689), "", 'Data Entry'!$`$689)</f>
      </c>
      <c r="AG689">
        <f>IF(ISBLANK('Data Entry'!$a$689), "", 'Data Entry'!$a$689)</f>
      </c>
      <c r="AH689">
        <f>IF(ISBLANK('Data Entry'!$b$689), "", 'Data Entry'!$b$689)</f>
      </c>
      <c r="AI689">
        <f>IF(ISBLANK('Data Entry'!$c$689), "", 'Data Entry'!$c$689)</f>
      </c>
      <c r="AJ689">
        <f>IF(ISBLANK('Data Entry'!$d$689), "", 'Data Entry'!$d$689)</f>
      </c>
      <c r="AK689">
        <f>IF(ISBLANK('Data Entry'!$e$689), "", 'Data Entry'!$e$689)</f>
      </c>
      <c r="AL689">
        <f>IF(ISBLANK('Data Entry'!$f$689), "", 'Data Entry'!$f$689)</f>
      </c>
      <c r="AM689">
        <f>IF(ISBLANK('Data Entry'!$g$689), "", 'Data Entry'!$g$689)</f>
      </c>
      <c r="AN689">
        <f>IF(ISBLANK('Data Entry'!$h$689), "", 'Data Entry'!$h$689)</f>
      </c>
      <c r="AO689">
        <f>IF(ISBLANK('Data Entry'!$i$689), "", 'Data Entry'!$i$689)</f>
      </c>
      <c r="AP689">
        <f>IF(ISBLANK('Data Entry'!$j$689), "", 'Data Entry'!$j$689)</f>
      </c>
      <c r="AQ689">
        <f>IF(ISBLANK('Data Entry'!$k$689), "", 'Data Entry'!$k$689)</f>
      </c>
      <c r="AR689">
        <f>IF(ISBLANK('Data Entry'!$l$689), "", 'Data Entry'!$l$689)</f>
      </c>
      <c r="AS689">
        <f>IF(ISBLANK('Data Entry'!$m$689), "", 'Data Entry'!$m$689)</f>
      </c>
      <c r="AT689">
        <f>IF(ISBLANK('Data Entry'!$n$689), "", 'Data Entry'!$n$689)</f>
      </c>
      <c r="AU689">
        <f>IF(ISBLANK('Data Entry'!$o$689), "", 'Data Entry'!$o$689)</f>
      </c>
      <c r="AV689">
        <f>IF(ISBLANK('Data Entry'!$p$689), "", 'Data Entry'!$p$689)</f>
      </c>
      <c r="AW689">
        <f>IF(ISBLANK('Data Entry'!$q$689), "", 'Data Entry'!$q$689)</f>
      </c>
      <c r="AX689">
        <f>IF(ISBLANK('Data Entry'!$r$689), "", 'Data Entry'!$r$689)</f>
      </c>
      <c r="AY689">
        <f>IF(ISBLANK('Data Entry'!$s$689), "", 'Data Entry'!$s$689)</f>
      </c>
      <c r="AZ689">
        <f>IF(ISBLANK('Data Entry'!$t$689), "", 'Data Entry'!$t$689)</f>
      </c>
      <c r="BA689">
        <f>IF(ISBLANK('Data Entry'!$u$689), "", 'Data Entry'!$u$689)</f>
      </c>
      <c r="BB689">
        <f>IF(ISBLANK('Data Entry'!$v$689), "", 'Data Entry'!$v$689)</f>
      </c>
      <c r="BC689">
        <f>IF(ISBLANK('Data Entry'!$w$689), "", 'Data Entry'!$w$689)</f>
      </c>
      <c r="BD689">
        <f>IF(ISBLANK('Data Entry'!$x$689), "", 'Data Entry'!$x$689)</f>
      </c>
      <c r="BE689">
        <f>IF(ISBLANK('Data Entry'!$y$689), "", 'Data Entry'!$y$689)</f>
      </c>
      <c r="BF689">
        <f>IF(ISBLANK('Data Entry'!$z$689), "", 'Data Entry'!$z$689)</f>
      </c>
      <c r="BG689">
        <f>IF(ISBLANK('Data Entry'!${$689), "", 'Data Entry'!${$689)</f>
      </c>
      <c r="BH689">
        <f>IF(ISBLANK('Data Entry'!$|$689), "", 'Data Entry'!$|$689)</f>
      </c>
      <c r="BI689">
        <f>IF(ISBLANK('Data Entry'!$}$689), "", 'Data Entry'!$}$689)</f>
      </c>
      <c r="BJ689">
        <f>IF(ISBLANK('Data Entry'!$~$689), "", 'Data Entry'!$~$689)</f>
      </c>
      <c r="BK689">
        <f>IF(ISBLANK('Data Entry'!$$689), "", 'Data Entry'!$$689)</f>
      </c>
      <c r="BL689">
        <f>IF(ISBLANK('Data Entry'!$$689), "", 'Data Entry'!$$689)</f>
      </c>
      <c r="BM689">
        <f>IF(ISBLANK('Data Entry'!$$689), "", 'Data Entry'!$$689)</f>
      </c>
      <c r="BN689">
        <f>IF(ISBLANK('Data Entry'!$$689), "", 'Data Entry'!$$689)</f>
      </c>
      <c r="BO689">
        <f>IF(ISBLANK('Data Entry'!$$689), "", 'Data Entry'!$$689)</f>
      </c>
      <c r="BP689">
        <f>IF(ISBLANK('Data Entry'!$$689), "", 'Data Entry'!$$689)</f>
      </c>
      <c r="BQ689">
        <f>IF(ISBLANK('Data Entry'!$$689), "", 'Data Entry'!$$689)</f>
      </c>
      <c r="BR689">
        <f>IF(ISBLANK('Data Entry'!$$689), "", 'Data Entry'!$$689)</f>
      </c>
      <c r="BS689">
        <f>IF(ISBLANK('Data Entry'!$$689), "", 'Data Entry'!$$689)</f>
      </c>
      <c r="BT689">
        <f>IF(ISBLANK('Data Entry'!$$689), "", 'Data Entry'!$$689)</f>
      </c>
      <c r="BU689">
        <f>IF(ISBLANK('Data Entry'!$$689), "", 'Data Entry'!$$689)</f>
      </c>
      <c r="BV689">
        <f>IF(ISBLANK('Data Entry'!$$689), "", 'Data Entry'!$$689)</f>
      </c>
      <c r="BW689">
        <f>IF(ISBLANK('Data Entry'!$$689), "", 'Data Entry'!$$689)</f>
      </c>
      <c r="BX689">
        <f>IF(ISBLANK('Data Entry'!$$689), "", 'Data Entry'!$$689)</f>
      </c>
      <c r="BY689">
        <f>IF(ISBLANK('Data Entry'!$$689), "", 'Data Entry'!$$689)</f>
      </c>
      <c r="BZ689">
        <f>IF(ISBLANK('Data Entry'!$$689), "", 'Data Entry'!$$689)</f>
      </c>
      <c r="CA689">
        <f>IF(ISBLANK('Data Entry'!$$689), "", 'Data Entry'!$$689)</f>
      </c>
      <c r="CB689">
        <f>IF(ISBLANK('Data Entry'!$$689), "", 'Data Entry'!$$689)</f>
      </c>
      <c r="CC689">
        <f>IF(ISBLANK('Data Entry'!$$689), "", 'Data Entry'!$$689)</f>
      </c>
      <c r="CD689">
        <f>IF(ISBLANK('Data Entry'!$$689), "", 'Data Entry'!$$689)</f>
      </c>
      <c r="CE689">
        <f>IF(ISBLANK('Data Entry'!$$689), "", 'Data Entry'!$$689)</f>
      </c>
      <c r="CF689">
        <f>IF(ISBLANK('Data Entry'!$$689), "", 'Data Entry'!$$689)</f>
      </c>
      <c r="CG689">
        <f>IF(ISBLANK('Data Entry'!$$689), "", 'Data Entry'!$$689)</f>
      </c>
      <c r="CH689">
        <f>IF(ISBLANK('Data Entry'!$$689), "", 'Data Entry'!$$689)</f>
      </c>
      <c r="CI689">
        <f>IF(ISBLANK('Data Entry'!$$689), "", 'Data Entry'!$$689)</f>
      </c>
      <c r="CJ689">
        <f>IF(ISBLANK('Data Entry'!$$689), "", 'Data Entry'!$$689)</f>
      </c>
      <c r="CK689">
        <f>IF(ISBLANK('Data Entry'!$$689), "", 'Data Entry'!$$689)</f>
      </c>
      <c r="CL689">
        <f>IF(ISBLANK('Data Entry'!$$689), "", 'Data Entry'!$$689)</f>
      </c>
      <c r="CM689">
        <f>IF(ISBLANK('Data Entry'!$$689), "", 'Data Entry'!$$689)</f>
      </c>
      <c r="CN689">
        <f>IF(ISBLANK('Data Entry'!$$689), "", 'Data Entry'!$$689)</f>
      </c>
      <c r="CO689">
        <f>IF(ISBLANK('Data Entry'!$$689), "", 'Data Entry'!$$689)</f>
      </c>
      <c r="CP689">
        <f>IF(ISBLANK('Data Entry'!$$689), "", 'Data Entry'!$$689)</f>
      </c>
      <c r="CQ689">
        <f>IF(ISBLANK('Data Entry'!$$689), "", 'Data Entry'!$$689)</f>
      </c>
      <c r="CR689">
        <f>IF(ISBLANK('Data Entry'!$ $689), "", 'Data Entry'!$ $689)</f>
      </c>
      <c r="CS689">
        <f>IF(ISBLANK('Data Entry'!$¡$689), "", 'Data Entry'!$¡$689)</f>
      </c>
      <c r="CT689">
        <f>IF(ISBLANK('Data Entry'!$¢$689), "", 'Data Entry'!$¢$689)</f>
      </c>
      <c r="CU689">
        <f>IF(ISBLANK('Data Entry'!$£$689), "", 'Data Entry'!$£$689)</f>
      </c>
      <c r="CV689">
        <f>IF(ISBLANK('Data Entry'!$¤$689), "", 'Data Entry'!$¤$689)</f>
      </c>
      <c r="CW689">
        <f>IF(ISBLANK('Data Entry'!$¥$689), "", 'Data Entry'!$¥$689)</f>
      </c>
      <c r="CX689">
        <f>IF(ISBLANK('Data Entry'!$¦$689), "", 'Data Entry'!$¦$689)</f>
      </c>
      <c r="CY689">
        <f>IF(ISBLANK('Data Entry'!$§$689), "", 'Data Entry'!$§$689)</f>
      </c>
      <c r="CZ689">
        <f>IF(ISBLANK('Data Entry'!$¨$689), "", 'Data Entry'!$¨$689)</f>
      </c>
      <c r="DA689">
        <f>IF(ISBLANK('Data Entry'!$©$689), "", 'Data Entry'!$©$689)</f>
      </c>
      <c r="DB689">
        <f>IF(ISBLANK('Data Entry'!$ª$689), "", 'Data Entry'!$ª$689)</f>
      </c>
      <c r="DC689">
        <f>IF(ISBLANK('Data Entry'!$«$689), "", 'Data Entry'!$«$689)</f>
      </c>
      <c r="DD689">
        <f>IF(ISBLANK('Data Entry'!$¬$689), "", 'Data Entry'!$¬$689)</f>
      </c>
      <c r="DE689">
        <f>IF(ISBLANK('Data Entry'!$­$689), "", 'Data Entry'!$­$689)</f>
      </c>
      <c r="DF689">
        <f>IF(ISBLANK('Data Entry'!$®$689), "", 'Data Entry'!$®$689)</f>
      </c>
      <c r="DG689">
        <f>IF(ISBLANK('Data Entry'!$¯$689), "", 'Data Entry'!$¯$689)</f>
      </c>
      <c r="DH689">
        <f>IF(ISBLANK('Data Entry'!$°$689), "", 'Data Entry'!$°$689)</f>
      </c>
      <c r="DI689">
        <f>IF(ISBLANK('Data Entry'!$±$689), "", 'Data Entry'!$±$689)</f>
      </c>
      <c r="DJ689">
        <f>IF(ISBLANK('Data Entry'!$²$689), "", 'Data Entry'!$²$689)</f>
      </c>
      <c r="DK689">
        <f>IF(ISBLANK('Data Entry'!$³$689), "", 'Data Entry'!$³$689)</f>
      </c>
      <c r="DL689">
        <f>IF(ISBLANK('Data Entry'!$´$689), "", 'Data Entry'!$´$689)</f>
      </c>
      <c r="DM689">
        <f>IF(ISBLANK('Data Entry'!$µ$689), "", 'Data Entry'!$µ$689)</f>
      </c>
      <c r="DN689">
        <f>IF(ISBLANK('Data Entry'!$¶$689), "", 'Data Entry'!$¶$689)</f>
      </c>
      <c r="DO689">
        <f>IF(ISBLANK('Data Entry'!$·$689), "", 'Data Entry'!$·$689)</f>
      </c>
      <c r="DP689">
        <f>IF(ISBLANK('Data Entry'!$¸$689), "", 'Data Entry'!$¸$689)</f>
      </c>
      <c r="DQ689">
        <f>IF(ISBLANK('Data Entry'!$¹$689), "", 'Data Entry'!$¹$689)</f>
      </c>
      <c r="DR689">
        <f>IF(ISBLANK('Data Entry'!$º$689), "", 'Data Entry'!$º$689)</f>
      </c>
      <c r="DS689">
        <f>IF(ISBLANK('Data Entry'!$»$689), "", 'Data Entry'!$»$689)</f>
      </c>
      <c r="DT689">
        <f>IF(ISBLANK('Data Entry'!$¼$689), "", 'Data Entry'!$¼$689)</f>
      </c>
      <c r="DU689">
        <f>IF(ISBLANK('Data Entry'!$½$689), "", 'Data Entry'!$½$689)</f>
      </c>
      <c r="DV689">
        <f>IF(ISBLANK('Data Entry'!$¾$689), "", 'Data Entry'!$¾$689)</f>
      </c>
      <c r="DW689">
        <f>IF(ISBLANK('Data Entry'!$¿$689), "", 'Data Entry'!$¿$689)</f>
      </c>
      <c r="DX689">
        <f>IF(ISBLANK('Data Entry'!$À$689), "", 'Data Entry'!$À$689)</f>
      </c>
      <c r="DY689">
        <f>IF(ISBLANK('Data Entry'!$Á$689), "", 'Data Entry'!$Á$689)</f>
      </c>
      <c r="DZ689">
        <f>IF(ISBLANK('Data Entry'!$Â$689), "", 'Data Entry'!$Â$689)</f>
      </c>
      <c r="EA689">
        <f>IF(ISBLANK('Data Entry'!$Ã$689), "", 'Data Entry'!$Ã$689)</f>
      </c>
      <c r="EB689">
        <f>IF(ISBLANK('Data Entry'!$Ä$689), "", 'Data Entry'!$Ä$689)</f>
      </c>
      <c r="EC689">
        <f>IF(ISBLANK('Data Entry'!$Å$689), "", 'Data Entry'!$Å$689)</f>
      </c>
      <c r="ED689">
        <f>IF(ISBLANK('Data Entry'!$Æ$689), "", 'Data Entry'!$Æ$689)</f>
      </c>
      <c r="EE689">
        <f>IF(ISBLANK('Data Entry'!$Ç$689), "", 'Data Entry'!$Ç$689)</f>
      </c>
      <c r="EF689">
        <f>IF(ISBLANK('Data Entry'!$È$689), "", 'Data Entry'!$È$689)</f>
      </c>
      <c r="EG689">
        <f>IF(ISBLANK('Data Entry'!$É$689), "", 'Data Entry'!$É$689)</f>
      </c>
      <c r="EH689">
        <f>IF(ISBLANK('Data Entry'!$Ê$689), "", 'Data Entry'!$Ê$689)</f>
      </c>
      <c r="EI689">
        <f>IF(ISBLANK('Data Entry'!$Ë$689), "", 'Data Entry'!$Ë$689)</f>
      </c>
      <c r="EJ689">
        <f>IF(ISBLANK('Data Entry'!$Ì$689), "", 'Data Entry'!$Ì$689)</f>
      </c>
      <c r="EK689">
        <f>IF(ISBLANK('Data Entry'!$Í$689), "", 'Data Entry'!$Í$689)</f>
      </c>
      <c r="EL689">
        <f>IF(ISBLANK('Data Entry'!$Î$689), "", 'Data Entry'!$Î$689)</f>
      </c>
      <c r="EM689">
        <f>IF(ISBLANK('Data Entry'!$Ï$689), "", 'Data Entry'!$Ï$689)</f>
      </c>
      <c r="EN689">
        <f>IF(ISBLANK('Data Entry'!$Ð$689), "", 'Data Entry'!$Ð$689)</f>
      </c>
      <c r="EO689">
        <f>IF(ISBLANK('Data Entry'!$Ñ$689), "", 'Data Entry'!$Ñ$689)</f>
      </c>
      <c r="EP689">
        <f>IF(ISBLANK('Data Entry'!$Ò$689), "", 'Data Entry'!$Ò$689)</f>
      </c>
      <c r="EQ689">
        <f>IF(ISBLANK('Data Entry'!$Ó$689), "", 'Data Entry'!$Ó$689)</f>
      </c>
      <c r="ER689">
        <f>IF(ISBLANK('Data Entry'!$Ô$689), "", 'Data Entry'!$Ô$689)</f>
      </c>
      <c r="ES689">
        <f>IF(ISBLANK('Data Entry'!$Õ$689), "", 'Data Entry'!$Õ$689)</f>
      </c>
      <c r="ET689">
        <f>IF(ISBLANK('Data Entry'!$Ö$689), "", 'Data Entry'!$Ö$689)</f>
      </c>
      <c r="EU689">
        <f>IF(ISBLANK('Data Entry'!$×$689), "", 'Data Entry'!$×$689)</f>
      </c>
      <c r="EV689">
        <f>IF(ISBLANK('Data Entry'!$Ø$689), "", 'Data Entry'!$Ø$689)</f>
      </c>
      <c r="EW689">
        <f>IF(ISBLANK('Data Entry'!$Ù$689), "", 'Data Entry'!$Ù$689)</f>
      </c>
      <c r="EX689">
        <f>IF(ISBLANK('Data Entry'!$Ú$689), "", 'Data Entry'!$Ú$689)</f>
      </c>
      <c r="EY689">
        <f>IF(ISBLANK('Data Entry'!$Û$689), "", 'Data Entry'!$Û$689)</f>
      </c>
      <c r="EZ689">
        <f>IF(ISBLANK('Data Entry'!$Ü$689), "", 'Data Entry'!$Ü$689)</f>
      </c>
      <c r="FA689">
        <f>IF(ISBLANK('Data Entry'!$Ý$689), "", 'Data Entry'!$Ý$689)</f>
      </c>
      <c r="FB689">
        <f>IF(ISBLANK('Data Entry'!$Þ$689), "", 'Data Entry'!$Þ$689)</f>
      </c>
      <c r="FC689">
        <f>IF(ISBLANK('Data Entry'!$ß$689), "", 'Data Entry'!$ß$689)</f>
      </c>
      <c r="FD689">
        <f>IF(ISBLANK('Data Entry'!$à$689), "", 'Data Entry'!$à$689)</f>
      </c>
      <c r="FE689">
        <f>IF(ISBLANK('Data Entry'!$á$689), "", 'Data Entry'!$á$689)</f>
      </c>
      <c r="FF689">
        <f>IF(ISBLANK('Data Entry'!$â$689), "", 'Data Entry'!$â$689)</f>
      </c>
      <c r="FG689">
        <f>IF(ISBLANK('Data Entry'!$ã$689), "", 'Data Entry'!$ã$689)</f>
      </c>
      <c r="FH689">
        <f>IF(ISBLANK('Data Entry'!$ä$689), "", 'Data Entry'!$ä$689)</f>
      </c>
      <c r="FI689">
        <f>IF(ISBLANK('Data Entry'!$å$689), "", 'Data Entry'!$å$689)</f>
      </c>
      <c r="FJ689">
        <f>IF(ISBLANK('Data Entry'!$æ$689), "", 'Data Entry'!$æ$689)</f>
      </c>
      <c r="FK689">
        <f>IF(ISBLANK('Data Entry'!$ç$689), "", 'Data Entry'!$ç$689)</f>
      </c>
      <c r="FL689">
        <f>IF(ISBLANK('Data Entry'!$è$689), "", 'Data Entry'!$è$689)</f>
      </c>
      <c r="FM689">
        <f>IF(ISBLANK('Data Entry'!$é$689), "", 'Data Entry'!$é$689)</f>
      </c>
      <c r="FN689">
        <f>IF(ISBLANK('Data Entry'!$ê$689), "", 'Data Entry'!$ê$689)</f>
      </c>
      <c r="FO689">
        <f>IF(ISBLANK('Data Entry'!$ë$689), "", 'Data Entry'!$ë$689)</f>
      </c>
      <c r="FP689">
        <f>IF(ISBLANK('Data Entry'!$ì$689), "", 'Data Entry'!$ì$689)</f>
      </c>
      <c r="FQ689">
        <f>IF(ISBLANK('Data Entry'!$í$689), "", 'Data Entry'!$í$689)</f>
      </c>
      <c r="FR689">
        <f>IF(ISBLANK('Data Entry'!$î$689), "", 'Data Entry'!$î$689)</f>
      </c>
      <c r="FS689">
        <f>IF(ISBLANK('Data Entry'!$ï$689), "", 'Data Entry'!$ï$689)</f>
      </c>
      <c r="FT689">
        <f>IF(ISBLANK('Data Entry'!$ð$689), "", 'Data Entry'!$ð$689)</f>
      </c>
      <c r="FU689">
        <f>IF(ISBLANK('Data Entry'!$ñ$689), "", 'Data Entry'!$ñ$689)</f>
      </c>
      <c r="FV689">
        <f>IF(ISBLANK('Data Entry'!$ò$689), "", 'Data Entry'!$ò$689)</f>
      </c>
      <c r="FW689">
        <f>IF(ISBLANK('Data Entry'!$ó$689), "", 'Data Entry'!$ó$689)</f>
      </c>
      <c r="FX689">
        <f>IF(ISBLANK('Data Entry'!$ô$689), "", 'Data Entry'!$ô$689)</f>
      </c>
      <c r="FY689">
        <f>IF(ISBLANK('Data Entry'!$õ$689), "", 'Data Entry'!$õ$689)</f>
      </c>
      <c r="FZ689">
        <f>IF(ISBLANK('Data Entry'!$ö$689), "", 'Data Entry'!$ö$689)</f>
      </c>
      <c r="GA689">
        <f>IF(ISBLANK('Data Entry'!$÷$689), "", 'Data Entry'!$÷$689)</f>
      </c>
      <c r="GB689">
        <f>IF(ISBLANK('Data Entry'!$ø$689), "", 'Data Entry'!$ø$689)</f>
      </c>
      <c r="GC689">
        <f>IF(ISBLANK('Data Entry'!$ù$689), "", 'Data Entry'!$ù$689)</f>
      </c>
      <c r="GD689">
        <f>IF(ISBLANK('Data Entry'!$ú$689), "", 'Data Entry'!$ú$689)</f>
      </c>
      <c r="GE689">
        <f>IF(ISBLANK('Data Entry'!$û$689), "", 'Data Entry'!$û$689)</f>
      </c>
      <c r="GF689">
        <f>IF(ISBLANK('Data Entry'!$ü$689), "", 'Data Entry'!$ü$689)</f>
      </c>
      <c r="GG689">
        <f>IF(ISBLANK('Data Entry'!$ý$689), "", 'Data Entry'!$ý$689)</f>
      </c>
      <c r="GH689">
        <f>IF(ISBLANK('Data Entry'!$þ$689), "", 'Data Entry'!$þ$689)</f>
      </c>
      <c r="GI689">
        <f>IF(ISBLANK('Data Entry'!$ÿ$689), "", 'Data Entry'!$ÿ$689)</f>
      </c>
      <c r="GJ689">
        <f>IF(ISBLANK('Data Entry'!$Ā$689), "", 'Data Entry'!$Ā$689)</f>
      </c>
      <c r="GK689">
        <f>IF(ISBLANK('Data Entry'!$ā$689), "", 'Data Entry'!$ā$689)</f>
      </c>
      <c r="GL689">
        <f>IF(ISBLANK('Data Entry'!$Ă$689), "", 'Data Entry'!$Ă$689)</f>
      </c>
      <c r="GM689">
        <f>IF(ISBLANK('Data Entry'!$ă$689), "", 'Data Entry'!$ă$689)</f>
      </c>
      <c r="GN689">
        <f>IF(ISBLANK('Data Entry'!$Ą$689), "", 'Data Entry'!$Ą$689)</f>
      </c>
      <c r="GO689">
        <f>IF(ISBLANK('Data Entry'!$ą$689), "", 'Data Entry'!$ą$689)</f>
      </c>
      <c r="GP689">
        <f>IF(ISBLANK('Data Entry'!$Ć$689), "", 'Data Entry'!$Ć$689)</f>
      </c>
      <c r="GQ689">
        <f>IF(ISBLANK('Data Entry'!$ć$689), "", 'Data Entry'!$ć$689)</f>
      </c>
      <c r="GR689">
        <f>IF(ISBLANK('Data Entry'!$Ĉ$689), "", 'Data Entry'!$Ĉ$689)</f>
      </c>
      <c r="GS689">
        <f>IF(ISBLANK('Data Entry'!$ĉ$689), "", 'Data Entry'!$ĉ$689)</f>
      </c>
      <c r="GT689">
        <f>IF(ISBLANK('Data Entry'!$Ċ$689), "", 'Data Entry'!$Ċ$689)</f>
      </c>
      <c r="GU689">
        <f>IF(ISBLANK('Data Entry'!$ċ$689), "", 'Data Entry'!$ċ$689)</f>
      </c>
      <c r="GV689">
        <f>IF(ISBLANK('Data Entry'!$Č$689), "", 'Data Entry'!$Č$689)</f>
      </c>
      <c r="GW689">
        <f>IF(ISBLANK('Data Entry'!$č$689), "", 'Data Entry'!$č$689)</f>
      </c>
      <c r="GX689">
        <f>IF(ISBLANK('Data Entry'!$Ď$689), "", 'Data Entry'!$Ď$689)</f>
      </c>
      <c r="GY689">
        <f>IF(ISBLANK('Data Entry'!$ď$689), "", 'Data Entry'!$ď$689)</f>
      </c>
      <c r="GZ689">
        <f>IF(ISBLANK('Data Entry'!$Đ$689), "", 'Data Entry'!$Đ$689)</f>
      </c>
      <c r="HA689">
        <f>IF(ISBLANK('Data Entry'!$đ$689), "", 'Data Entry'!$đ$689)</f>
      </c>
      <c r="HB689">
        <f>IF(ISBLANK('Data Entry'!$Ē$689), "", 'Data Entry'!$Ē$689)</f>
      </c>
      <c r="HC689">
        <f>IF(ISBLANK('Data Entry'!$ē$689), "", 'Data Entry'!$ē$689)</f>
      </c>
      <c r="HD689">
        <f>IF(ISBLANK('Data Entry'!$Ĕ$689), "", 'Data Entry'!$Ĕ$689)</f>
      </c>
      <c r="HE689">
        <f>IF(ISBLANK('Data Entry'!$ĕ$689), "", 'Data Entry'!$ĕ$689)</f>
      </c>
      <c r="HF689">
        <f>IF(ISBLANK('Data Entry'!$Ė$689), "", 'Data Entry'!$Ė$689)</f>
      </c>
      <c r="HG689">
        <f>IF(ISBLANK('Data Entry'!$ė$689), "", 'Data Entry'!$ė$689)</f>
      </c>
      <c r="HH689">
        <f>IF(ISBLANK('Data Entry'!$Ę$689), "", 'Data Entry'!$Ę$689)</f>
      </c>
      <c r="HI689">
        <f>IF(ISBLANK('Data Entry'!$ę$689), "", 'Data Entry'!$ę$689)</f>
      </c>
      <c r="HJ689">
        <f>IF(ISBLANK('Data Entry'!$Ě$689), "", 'Data Entry'!$Ě$689)</f>
      </c>
      <c r="HK689">
        <f>IF(ISBLANK('Data Entry'!$ě$689), "", 'Data Entry'!$ě$689)</f>
      </c>
      <c r="HL689">
        <f>IF(ISBLANK('Data Entry'!$Ĝ$689), "", 'Data Entry'!$Ĝ$689)</f>
      </c>
      <c r="HM689">
        <f>IF(ISBLANK('Data Entry'!$ĝ$689), "", 'Data Entry'!$ĝ$689)</f>
      </c>
      <c r="HN689">
        <f>IF(ISBLANK('Data Entry'!$Ğ$689), "", 'Data Entry'!$Ğ$689)</f>
      </c>
      <c r="HO689">
        <f>IF(ISBLANK('Data Entry'!$ğ$689), "", 'Data Entry'!$ğ$689)</f>
      </c>
      <c r="HP689">
        <f>IF(ISBLANK('Data Entry'!$Ġ$689), "", 'Data Entry'!$Ġ$689)</f>
      </c>
      <c r="HQ689">
        <f>IF(ISBLANK('Data Entry'!$ġ$689), "", 'Data Entry'!$ġ$689)</f>
      </c>
      <c r="HR689">
        <f>IF(ISBLANK('Data Entry'!$Ģ$689), "", 'Data Entry'!$Ģ$689)</f>
      </c>
      <c r="HS689">
        <f>IF(ISBLANK('Data Entry'!$ģ$689), "", 'Data Entry'!$ģ$689)</f>
      </c>
      <c r="HT689">
        <f>IF(ISBLANK('Data Entry'!$Ĥ$689), "", 'Data Entry'!$Ĥ$689)</f>
      </c>
      <c r="HU689">
        <f>IF(ISBLANK('Data Entry'!$ĥ$689), "", 'Data Entry'!$ĥ$689)</f>
      </c>
      <c r="HV689">
        <f>IF(ISBLANK('Data Entry'!$Ħ$689), "", 'Data Entry'!$Ħ$689)</f>
      </c>
      <c r="HW689">
        <f>IF(ISBLANK('Data Entry'!$ħ$689), "", 'Data Entry'!$ħ$689)</f>
      </c>
      <c r="HX689">
        <f>IF(ISBLANK('Data Entry'!$Ĩ$689), "", 'Data Entry'!$Ĩ$689)</f>
      </c>
      <c r="HY689">
        <f>IF(ISBLANK('Data Entry'!$ĩ$689), "", 'Data Entry'!$ĩ$689)</f>
      </c>
      <c r="HZ689">
        <f>IF(ISBLANK('Data Entry'!$Ī$689), "", 'Data Entry'!$Ī$689)</f>
      </c>
      <c r="IA689">
        <f>IF(ISBLANK('Data Entry'!$ī$689), "", 'Data Entry'!$ī$689)</f>
      </c>
      <c r="IB689">
        <f>IF(ISBLANK('Data Entry'!$Ĭ$689), "", 'Data Entry'!$Ĭ$689)</f>
      </c>
      <c r="IC689">
        <f>IF(ISBLANK('Data Entry'!$ĭ$689), "", 'Data Entry'!$ĭ$689)</f>
      </c>
      <c r="ID689">
        <f>IF(ISBLANK('Data Entry'!$Į$689), "", 'Data Entry'!$Į$689)</f>
      </c>
      <c r="IE689">
        <f>IF(ISBLANK('Data Entry'!$į$689), "", 'Data Entry'!$į$689)</f>
      </c>
      <c r="IF689">
        <f>IF(ISBLANK('Data Entry'!$İ$689), "", 'Data Entry'!$İ$689)</f>
      </c>
      <c r="IG689">
        <f>IF(ISBLANK('Data Entry'!$ı$689), "", 'Data Entry'!$ı$689)</f>
      </c>
      <c r="IH689">
        <f>IF(ISBLANK('Data Entry'!$Ĳ$689), "", 'Data Entry'!$Ĳ$689)</f>
      </c>
      <c r="II689">
        <f>IF(ISBLANK('Data Entry'!$ĳ$689), "", 'Data Entry'!$ĳ$689)</f>
      </c>
      <c r="IJ689">
        <f>IF(ISBLANK('Data Entry'!$Ĵ$689), "", 'Data Entry'!$Ĵ$689)</f>
      </c>
      <c r="IK689">
        <f>IF(ISBLANK('Data Entry'!$ĵ$689), "", 'Data Entry'!$ĵ$689)</f>
      </c>
      <c r="IL689">
        <f>IF(ISBLANK('Data Entry'!$Ķ$689), "", 'Data Entry'!$Ķ$689)</f>
      </c>
      <c r="IM689">
        <f>IF(ISBLANK('Data Entry'!$ķ$689), "", 'Data Entry'!$ķ$689)</f>
      </c>
      <c r="IN689">
        <f>IF(ISBLANK('Data Entry'!$ĸ$689), "", 'Data Entry'!$ĸ$689)</f>
      </c>
      <c r="IO689">
        <f>IF(ISBLANK('Data Entry'!$Ĺ$689), "", 'Data Entry'!$Ĺ$689)</f>
      </c>
      <c r="IP689">
        <f>IF(ISBLANK('Data Entry'!$ĺ$689), "", 'Data Entry'!$ĺ$689)</f>
      </c>
      <c r="IQ689">
        <f>IF(ISBLANK('Data Entry'!$Ļ$689), "", 'Data Entry'!$Ļ$689)</f>
      </c>
      <c r="IR689">
        <f>IF(ISBLANK('Data Entry'!$ļ$689), "", 'Data Entry'!$ļ$689)</f>
      </c>
      <c r="IS689">
        <f>IF(ISBLANK('Data Entry'!$Ľ$689), "", 'Data Entry'!$Ľ$689)</f>
      </c>
      <c r="IT689">
        <f>IF(ISBLANK('Data Entry'!$ľ$689), "", 'Data Entry'!$ľ$689)</f>
      </c>
    </row>
    <row r="690" spans="1:254" x14ac:dyDescent="0.25">
      <c r="A690">
        <f>IF(ISBLANK('Data Entry'!$A$690), "", 'Data Entry'!$A$690)</f>
      </c>
      <c r="B690">
        <f>IF(ISBLANK('Data Entry'!$B$690), "", 'Data Entry'!$B$690)</f>
      </c>
      <c r="C690">
        <f>IF(ISBLANK('Data Entry'!$C$690), "", 'Data Entry'!$C$690)</f>
      </c>
      <c r="D690">
        <f>IF(ISBLANK('Data Entry'!$D$690), "", 'Data Entry'!$D$690)</f>
      </c>
      <c r="E690">
        <f>IF(ISBLANK('Data Entry'!$E$690), "", 'Data Entry'!$E$690)</f>
      </c>
      <c r="F690">
        <f>IF(ISBLANK('Data Entry'!$F$690), "", 'Data Entry'!$F$690)</f>
      </c>
      <c r="G690">
        <f>IF(ISBLANK('Data Entry'!$G$690), "", 'Data Entry'!$G$690)</f>
      </c>
      <c r="H690">
        <f>IF(ISBLANK('Data Entry'!$H$690), "", 'Data Entry'!$H$690)</f>
      </c>
      <c r="I690">
        <f>IF(ISBLANK('Data Entry'!$I$690), "", 'Data Entry'!$I$690)</f>
      </c>
      <c r="J690">
        <f>IF(ISBLANK('Data Entry'!$J$690), "", 'Data Entry'!$J$690)</f>
      </c>
      <c r="K690">
        <f>IF(ISBLANK('Data Entry'!$K$690), "", 'Data Entry'!$K$690)</f>
      </c>
      <c r="L690">
        <f>IF(ISBLANK('Data Entry'!$L$690), "", 'Data Entry'!$L$690)</f>
      </c>
      <c r="M690">
        <f>IF(ISBLANK('Data Entry'!$M$690), "", 'Data Entry'!$M$690)</f>
      </c>
      <c r="N690">
        <f>IF(ISBLANK('Data Entry'!$N$690), "", 'Data Entry'!$N$690)</f>
      </c>
      <c r="O690">
        <f>IF(ISBLANK('Data Entry'!$O$690), "", 'Data Entry'!$O$690)</f>
      </c>
      <c r="P690">
        <f>IF(ISBLANK('Data Entry'!$P$690), "", 'Data Entry'!$P$690)</f>
      </c>
      <c r="Q690">
        <f>IF(ISBLANK('Data Entry'!$Q$690), "", 'Data Entry'!$Q$690)</f>
      </c>
      <c r="R690">
        <f>IF(ISBLANK('Data Entry'!$R$690), "", 'Data Entry'!$R$690)</f>
      </c>
      <c r="S690">
        <f>IF(ISBLANK('Data Entry'!$S$690), "", 'Data Entry'!$S$690)</f>
      </c>
      <c r="T690">
        <f>IF(ISBLANK('Data Entry'!$T$690), "", 'Data Entry'!$T$690)</f>
      </c>
      <c r="U690">
        <f>IF(ISBLANK('Data Entry'!$U$690), "", 'Data Entry'!$U$690)</f>
      </c>
      <c r="V690">
        <f>IF(ISBLANK('Data Entry'!$V$690), "", 'Data Entry'!$V$690)</f>
      </c>
      <c r="W690">
        <f>IF(ISBLANK('Data Entry'!$W$690), "", 'Data Entry'!$W$690)</f>
      </c>
      <c r="X690">
        <f>IF(ISBLANK('Data Entry'!$X$690), "", 'Data Entry'!$X$690)</f>
      </c>
      <c r="Y690">
        <f>IF(ISBLANK('Data Entry'!$Y$690), "", 'Data Entry'!$Y$690)</f>
      </c>
      <c r="Z690">
        <f>IF(ISBLANK('Data Entry'!$Z$690), "", 'Data Entry'!$Z$690)</f>
      </c>
      <c r="AA690">
        <f>IF(ISBLANK('Data Entry'!$[$690), "", 'Data Entry'!$[$690)</f>
      </c>
      <c r="AB690">
        <f>IF(ISBLANK('Data Entry'!$\$690), "", 'Data Entry'!$\$690)</f>
      </c>
      <c r="AC690">
        <f>IF(ISBLANK('Data Entry'!$]$690), "", 'Data Entry'!$]$690)</f>
      </c>
      <c r="AD690">
        <f>IF(ISBLANK('Data Entry'!$^$690), "", 'Data Entry'!$^$690)</f>
      </c>
      <c r="AE690">
        <f>IF(ISBLANK('Data Entry'!$_$690), "", 'Data Entry'!$_$690)</f>
      </c>
      <c r="AF690">
        <f>IF(ISBLANK('Data Entry'!$`$690), "", 'Data Entry'!$`$690)</f>
      </c>
      <c r="AG690">
        <f>IF(ISBLANK('Data Entry'!$a$690), "", 'Data Entry'!$a$690)</f>
      </c>
      <c r="AH690">
        <f>IF(ISBLANK('Data Entry'!$b$690), "", 'Data Entry'!$b$690)</f>
      </c>
      <c r="AI690">
        <f>IF(ISBLANK('Data Entry'!$c$690), "", 'Data Entry'!$c$690)</f>
      </c>
      <c r="AJ690">
        <f>IF(ISBLANK('Data Entry'!$d$690), "", 'Data Entry'!$d$690)</f>
      </c>
      <c r="AK690">
        <f>IF(ISBLANK('Data Entry'!$e$690), "", 'Data Entry'!$e$690)</f>
      </c>
      <c r="AL690">
        <f>IF(ISBLANK('Data Entry'!$f$690), "", 'Data Entry'!$f$690)</f>
      </c>
      <c r="AM690">
        <f>IF(ISBLANK('Data Entry'!$g$690), "", 'Data Entry'!$g$690)</f>
      </c>
      <c r="AN690">
        <f>IF(ISBLANK('Data Entry'!$h$690), "", 'Data Entry'!$h$690)</f>
      </c>
      <c r="AO690">
        <f>IF(ISBLANK('Data Entry'!$i$690), "", 'Data Entry'!$i$690)</f>
      </c>
      <c r="AP690">
        <f>IF(ISBLANK('Data Entry'!$j$690), "", 'Data Entry'!$j$690)</f>
      </c>
      <c r="AQ690">
        <f>IF(ISBLANK('Data Entry'!$k$690), "", 'Data Entry'!$k$690)</f>
      </c>
      <c r="AR690">
        <f>IF(ISBLANK('Data Entry'!$l$690), "", 'Data Entry'!$l$690)</f>
      </c>
      <c r="AS690">
        <f>IF(ISBLANK('Data Entry'!$m$690), "", 'Data Entry'!$m$690)</f>
      </c>
      <c r="AT690">
        <f>IF(ISBLANK('Data Entry'!$n$690), "", 'Data Entry'!$n$690)</f>
      </c>
      <c r="AU690">
        <f>IF(ISBLANK('Data Entry'!$o$690), "", 'Data Entry'!$o$690)</f>
      </c>
      <c r="AV690">
        <f>IF(ISBLANK('Data Entry'!$p$690), "", 'Data Entry'!$p$690)</f>
      </c>
      <c r="AW690">
        <f>IF(ISBLANK('Data Entry'!$q$690), "", 'Data Entry'!$q$690)</f>
      </c>
      <c r="AX690">
        <f>IF(ISBLANK('Data Entry'!$r$690), "", 'Data Entry'!$r$690)</f>
      </c>
      <c r="AY690">
        <f>IF(ISBLANK('Data Entry'!$s$690), "", 'Data Entry'!$s$690)</f>
      </c>
      <c r="AZ690">
        <f>IF(ISBLANK('Data Entry'!$t$690), "", 'Data Entry'!$t$690)</f>
      </c>
      <c r="BA690">
        <f>IF(ISBLANK('Data Entry'!$u$690), "", 'Data Entry'!$u$690)</f>
      </c>
      <c r="BB690">
        <f>IF(ISBLANK('Data Entry'!$v$690), "", 'Data Entry'!$v$690)</f>
      </c>
      <c r="BC690">
        <f>IF(ISBLANK('Data Entry'!$w$690), "", 'Data Entry'!$w$690)</f>
      </c>
      <c r="BD690">
        <f>IF(ISBLANK('Data Entry'!$x$690), "", 'Data Entry'!$x$690)</f>
      </c>
      <c r="BE690">
        <f>IF(ISBLANK('Data Entry'!$y$690), "", 'Data Entry'!$y$690)</f>
      </c>
      <c r="BF690">
        <f>IF(ISBLANK('Data Entry'!$z$690), "", 'Data Entry'!$z$690)</f>
      </c>
      <c r="BG690">
        <f>IF(ISBLANK('Data Entry'!${$690), "", 'Data Entry'!${$690)</f>
      </c>
      <c r="BH690">
        <f>IF(ISBLANK('Data Entry'!$|$690), "", 'Data Entry'!$|$690)</f>
      </c>
      <c r="BI690">
        <f>IF(ISBLANK('Data Entry'!$}$690), "", 'Data Entry'!$}$690)</f>
      </c>
      <c r="BJ690">
        <f>IF(ISBLANK('Data Entry'!$~$690), "", 'Data Entry'!$~$690)</f>
      </c>
      <c r="BK690">
        <f>IF(ISBLANK('Data Entry'!$$690), "", 'Data Entry'!$$690)</f>
      </c>
      <c r="BL690">
        <f>IF(ISBLANK('Data Entry'!$$690), "", 'Data Entry'!$$690)</f>
      </c>
      <c r="BM690">
        <f>IF(ISBLANK('Data Entry'!$$690), "", 'Data Entry'!$$690)</f>
      </c>
      <c r="BN690">
        <f>IF(ISBLANK('Data Entry'!$$690), "", 'Data Entry'!$$690)</f>
      </c>
      <c r="BO690">
        <f>IF(ISBLANK('Data Entry'!$$690), "", 'Data Entry'!$$690)</f>
      </c>
      <c r="BP690">
        <f>IF(ISBLANK('Data Entry'!$$690), "", 'Data Entry'!$$690)</f>
      </c>
      <c r="BQ690">
        <f>IF(ISBLANK('Data Entry'!$$690), "", 'Data Entry'!$$690)</f>
      </c>
      <c r="BR690">
        <f>IF(ISBLANK('Data Entry'!$$690), "", 'Data Entry'!$$690)</f>
      </c>
      <c r="BS690">
        <f>IF(ISBLANK('Data Entry'!$$690), "", 'Data Entry'!$$690)</f>
      </c>
      <c r="BT690">
        <f>IF(ISBLANK('Data Entry'!$$690), "", 'Data Entry'!$$690)</f>
      </c>
      <c r="BU690">
        <f>IF(ISBLANK('Data Entry'!$$690), "", 'Data Entry'!$$690)</f>
      </c>
      <c r="BV690">
        <f>IF(ISBLANK('Data Entry'!$$690), "", 'Data Entry'!$$690)</f>
      </c>
      <c r="BW690">
        <f>IF(ISBLANK('Data Entry'!$$690), "", 'Data Entry'!$$690)</f>
      </c>
      <c r="BX690">
        <f>IF(ISBLANK('Data Entry'!$$690), "", 'Data Entry'!$$690)</f>
      </c>
      <c r="BY690">
        <f>IF(ISBLANK('Data Entry'!$$690), "", 'Data Entry'!$$690)</f>
      </c>
      <c r="BZ690">
        <f>IF(ISBLANK('Data Entry'!$$690), "", 'Data Entry'!$$690)</f>
      </c>
      <c r="CA690">
        <f>IF(ISBLANK('Data Entry'!$$690), "", 'Data Entry'!$$690)</f>
      </c>
      <c r="CB690">
        <f>IF(ISBLANK('Data Entry'!$$690), "", 'Data Entry'!$$690)</f>
      </c>
      <c r="CC690">
        <f>IF(ISBLANK('Data Entry'!$$690), "", 'Data Entry'!$$690)</f>
      </c>
      <c r="CD690">
        <f>IF(ISBLANK('Data Entry'!$$690), "", 'Data Entry'!$$690)</f>
      </c>
      <c r="CE690">
        <f>IF(ISBLANK('Data Entry'!$$690), "", 'Data Entry'!$$690)</f>
      </c>
      <c r="CF690">
        <f>IF(ISBLANK('Data Entry'!$$690), "", 'Data Entry'!$$690)</f>
      </c>
      <c r="CG690">
        <f>IF(ISBLANK('Data Entry'!$$690), "", 'Data Entry'!$$690)</f>
      </c>
      <c r="CH690">
        <f>IF(ISBLANK('Data Entry'!$$690), "", 'Data Entry'!$$690)</f>
      </c>
      <c r="CI690">
        <f>IF(ISBLANK('Data Entry'!$$690), "", 'Data Entry'!$$690)</f>
      </c>
      <c r="CJ690">
        <f>IF(ISBLANK('Data Entry'!$$690), "", 'Data Entry'!$$690)</f>
      </c>
      <c r="CK690">
        <f>IF(ISBLANK('Data Entry'!$$690), "", 'Data Entry'!$$690)</f>
      </c>
      <c r="CL690">
        <f>IF(ISBLANK('Data Entry'!$$690), "", 'Data Entry'!$$690)</f>
      </c>
      <c r="CM690">
        <f>IF(ISBLANK('Data Entry'!$$690), "", 'Data Entry'!$$690)</f>
      </c>
      <c r="CN690">
        <f>IF(ISBLANK('Data Entry'!$$690), "", 'Data Entry'!$$690)</f>
      </c>
      <c r="CO690">
        <f>IF(ISBLANK('Data Entry'!$$690), "", 'Data Entry'!$$690)</f>
      </c>
      <c r="CP690">
        <f>IF(ISBLANK('Data Entry'!$$690), "", 'Data Entry'!$$690)</f>
      </c>
      <c r="CQ690">
        <f>IF(ISBLANK('Data Entry'!$$690), "", 'Data Entry'!$$690)</f>
      </c>
      <c r="CR690">
        <f>IF(ISBLANK('Data Entry'!$ $690), "", 'Data Entry'!$ $690)</f>
      </c>
      <c r="CS690">
        <f>IF(ISBLANK('Data Entry'!$¡$690), "", 'Data Entry'!$¡$690)</f>
      </c>
      <c r="CT690">
        <f>IF(ISBLANK('Data Entry'!$¢$690), "", 'Data Entry'!$¢$690)</f>
      </c>
      <c r="CU690">
        <f>IF(ISBLANK('Data Entry'!$£$690), "", 'Data Entry'!$£$690)</f>
      </c>
      <c r="CV690">
        <f>IF(ISBLANK('Data Entry'!$¤$690), "", 'Data Entry'!$¤$690)</f>
      </c>
      <c r="CW690">
        <f>IF(ISBLANK('Data Entry'!$¥$690), "", 'Data Entry'!$¥$690)</f>
      </c>
      <c r="CX690">
        <f>IF(ISBLANK('Data Entry'!$¦$690), "", 'Data Entry'!$¦$690)</f>
      </c>
      <c r="CY690">
        <f>IF(ISBLANK('Data Entry'!$§$690), "", 'Data Entry'!$§$690)</f>
      </c>
      <c r="CZ690">
        <f>IF(ISBLANK('Data Entry'!$¨$690), "", 'Data Entry'!$¨$690)</f>
      </c>
      <c r="DA690">
        <f>IF(ISBLANK('Data Entry'!$©$690), "", 'Data Entry'!$©$690)</f>
      </c>
      <c r="DB690">
        <f>IF(ISBLANK('Data Entry'!$ª$690), "", 'Data Entry'!$ª$690)</f>
      </c>
      <c r="DC690">
        <f>IF(ISBLANK('Data Entry'!$«$690), "", 'Data Entry'!$«$690)</f>
      </c>
      <c r="DD690">
        <f>IF(ISBLANK('Data Entry'!$¬$690), "", 'Data Entry'!$¬$690)</f>
      </c>
      <c r="DE690">
        <f>IF(ISBLANK('Data Entry'!$­$690), "", 'Data Entry'!$­$690)</f>
      </c>
      <c r="DF690">
        <f>IF(ISBLANK('Data Entry'!$®$690), "", 'Data Entry'!$®$690)</f>
      </c>
      <c r="DG690">
        <f>IF(ISBLANK('Data Entry'!$¯$690), "", 'Data Entry'!$¯$690)</f>
      </c>
      <c r="DH690">
        <f>IF(ISBLANK('Data Entry'!$°$690), "", 'Data Entry'!$°$690)</f>
      </c>
      <c r="DI690">
        <f>IF(ISBLANK('Data Entry'!$±$690), "", 'Data Entry'!$±$690)</f>
      </c>
      <c r="DJ690">
        <f>IF(ISBLANK('Data Entry'!$²$690), "", 'Data Entry'!$²$690)</f>
      </c>
      <c r="DK690">
        <f>IF(ISBLANK('Data Entry'!$³$690), "", 'Data Entry'!$³$690)</f>
      </c>
      <c r="DL690">
        <f>IF(ISBLANK('Data Entry'!$´$690), "", 'Data Entry'!$´$690)</f>
      </c>
      <c r="DM690">
        <f>IF(ISBLANK('Data Entry'!$µ$690), "", 'Data Entry'!$µ$690)</f>
      </c>
      <c r="DN690">
        <f>IF(ISBLANK('Data Entry'!$¶$690), "", 'Data Entry'!$¶$690)</f>
      </c>
      <c r="DO690">
        <f>IF(ISBLANK('Data Entry'!$·$690), "", 'Data Entry'!$·$690)</f>
      </c>
      <c r="DP690">
        <f>IF(ISBLANK('Data Entry'!$¸$690), "", 'Data Entry'!$¸$690)</f>
      </c>
      <c r="DQ690">
        <f>IF(ISBLANK('Data Entry'!$¹$690), "", 'Data Entry'!$¹$690)</f>
      </c>
      <c r="DR690">
        <f>IF(ISBLANK('Data Entry'!$º$690), "", 'Data Entry'!$º$690)</f>
      </c>
      <c r="DS690">
        <f>IF(ISBLANK('Data Entry'!$»$690), "", 'Data Entry'!$»$690)</f>
      </c>
      <c r="DT690">
        <f>IF(ISBLANK('Data Entry'!$¼$690), "", 'Data Entry'!$¼$690)</f>
      </c>
      <c r="DU690">
        <f>IF(ISBLANK('Data Entry'!$½$690), "", 'Data Entry'!$½$690)</f>
      </c>
      <c r="DV690">
        <f>IF(ISBLANK('Data Entry'!$¾$690), "", 'Data Entry'!$¾$690)</f>
      </c>
      <c r="DW690">
        <f>IF(ISBLANK('Data Entry'!$¿$690), "", 'Data Entry'!$¿$690)</f>
      </c>
      <c r="DX690">
        <f>IF(ISBLANK('Data Entry'!$À$690), "", 'Data Entry'!$À$690)</f>
      </c>
      <c r="DY690">
        <f>IF(ISBLANK('Data Entry'!$Á$690), "", 'Data Entry'!$Á$690)</f>
      </c>
      <c r="DZ690">
        <f>IF(ISBLANK('Data Entry'!$Â$690), "", 'Data Entry'!$Â$690)</f>
      </c>
      <c r="EA690">
        <f>IF(ISBLANK('Data Entry'!$Ã$690), "", 'Data Entry'!$Ã$690)</f>
      </c>
      <c r="EB690">
        <f>IF(ISBLANK('Data Entry'!$Ä$690), "", 'Data Entry'!$Ä$690)</f>
      </c>
      <c r="EC690">
        <f>IF(ISBLANK('Data Entry'!$Å$690), "", 'Data Entry'!$Å$690)</f>
      </c>
      <c r="ED690">
        <f>IF(ISBLANK('Data Entry'!$Æ$690), "", 'Data Entry'!$Æ$690)</f>
      </c>
      <c r="EE690">
        <f>IF(ISBLANK('Data Entry'!$Ç$690), "", 'Data Entry'!$Ç$690)</f>
      </c>
      <c r="EF690">
        <f>IF(ISBLANK('Data Entry'!$È$690), "", 'Data Entry'!$È$690)</f>
      </c>
      <c r="EG690">
        <f>IF(ISBLANK('Data Entry'!$É$690), "", 'Data Entry'!$É$690)</f>
      </c>
      <c r="EH690">
        <f>IF(ISBLANK('Data Entry'!$Ê$690), "", 'Data Entry'!$Ê$690)</f>
      </c>
      <c r="EI690">
        <f>IF(ISBLANK('Data Entry'!$Ë$690), "", 'Data Entry'!$Ë$690)</f>
      </c>
      <c r="EJ690">
        <f>IF(ISBLANK('Data Entry'!$Ì$690), "", 'Data Entry'!$Ì$690)</f>
      </c>
      <c r="EK690">
        <f>IF(ISBLANK('Data Entry'!$Í$690), "", 'Data Entry'!$Í$690)</f>
      </c>
      <c r="EL690">
        <f>IF(ISBLANK('Data Entry'!$Î$690), "", 'Data Entry'!$Î$690)</f>
      </c>
      <c r="EM690">
        <f>IF(ISBLANK('Data Entry'!$Ï$690), "", 'Data Entry'!$Ï$690)</f>
      </c>
      <c r="EN690">
        <f>IF(ISBLANK('Data Entry'!$Ð$690), "", 'Data Entry'!$Ð$690)</f>
      </c>
      <c r="EO690">
        <f>IF(ISBLANK('Data Entry'!$Ñ$690), "", 'Data Entry'!$Ñ$690)</f>
      </c>
      <c r="EP690">
        <f>IF(ISBLANK('Data Entry'!$Ò$690), "", 'Data Entry'!$Ò$690)</f>
      </c>
      <c r="EQ690">
        <f>IF(ISBLANK('Data Entry'!$Ó$690), "", 'Data Entry'!$Ó$690)</f>
      </c>
      <c r="ER690">
        <f>IF(ISBLANK('Data Entry'!$Ô$690), "", 'Data Entry'!$Ô$690)</f>
      </c>
      <c r="ES690">
        <f>IF(ISBLANK('Data Entry'!$Õ$690), "", 'Data Entry'!$Õ$690)</f>
      </c>
      <c r="ET690">
        <f>IF(ISBLANK('Data Entry'!$Ö$690), "", 'Data Entry'!$Ö$690)</f>
      </c>
      <c r="EU690">
        <f>IF(ISBLANK('Data Entry'!$×$690), "", 'Data Entry'!$×$690)</f>
      </c>
      <c r="EV690">
        <f>IF(ISBLANK('Data Entry'!$Ø$690), "", 'Data Entry'!$Ø$690)</f>
      </c>
      <c r="EW690">
        <f>IF(ISBLANK('Data Entry'!$Ù$690), "", 'Data Entry'!$Ù$690)</f>
      </c>
      <c r="EX690">
        <f>IF(ISBLANK('Data Entry'!$Ú$690), "", 'Data Entry'!$Ú$690)</f>
      </c>
      <c r="EY690">
        <f>IF(ISBLANK('Data Entry'!$Û$690), "", 'Data Entry'!$Û$690)</f>
      </c>
      <c r="EZ690">
        <f>IF(ISBLANK('Data Entry'!$Ü$690), "", 'Data Entry'!$Ü$690)</f>
      </c>
      <c r="FA690">
        <f>IF(ISBLANK('Data Entry'!$Ý$690), "", 'Data Entry'!$Ý$690)</f>
      </c>
      <c r="FB690">
        <f>IF(ISBLANK('Data Entry'!$Þ$690), "", 'Data Entry'!$Þ$690)</f>
      </c>
      <c r="FC690">
        <f>IF(ISBLANK('Data Entry'!$ß$690), "", 'Data Entry'!$ß$690)</f>
      </c>
      <c r="FD690">
        <f>IF(ISBLANK('Data Entry'!$à$690), "", 'Data Entry'!$à$690)</f>
      </c>
      <c r="FE690">
        <f>IF(ISBLANK('Data Entry'!$á$690), "", 'Data Entry'!$á$690)</f>
      </c>
      <c r="FF690">
        <f>IF(ISBLANK('Data Entry'!$â$690), "", 'Data Entry'!$â$690)</f>
      </c>
      <c r="FG690">
        <f>IF(ISBLANK('Data Entry'!$ã$690), "", 'Data Entry'!$ã$690)</f>
      </c>
      <c r="FH690">
        <f>IF(ISBLANK('Data Entry'!$ä$690), "", 'Data Entry'!$ä$690)</f>
      </c>
      <c r="FI690">
        <f>IF(ISBLANK('Data Entry'!$å$690), "", 'Data Entry'!$å$690)</f>
      </c>
      <c r="FJ690">
        <f>IF(ISBLANK('Data Entry'!$æ$690), "", 'Data Entry'!$æ$690)</f>
      </c>
      <c r="FK690">
        <f>IF(ISBLANK('Data Entry'!$ç$690), "", 'Data Entry'!$ç$690)</f>
      </c>
      <c r="FL690">
        <f>IF(ISBLANK('Data Entry'!$è$690), "", 'Data Entry'!$è$690)</f>
      </c>
      <c r="FM690">
        <f>IF(ISBLANK('Data Entry'!$é$690), "", 'Data Entry'!$é$690)</f>
      </c>
      <c r="FN690">
        <f>IF(ISBLANK('Data Entry'!$ê$690), "", 'Data Entry'!$ê$690)</f>
      </c>
      <c r="FO690">
        <f>IF(ISBLANK('Data Entry'!$ë$690), "", 'Data Entry'!$ë$690)</f>
      </c>
      <c r="FP690">
        <f>IF(ISBLANK('Data Entry'!$ì$690), "", 'Data Entry'!$ì$690)</f>
      </c>
      <c r="FQ690">
        <f>IF(ISBLANK('Data Entry'!$í$690), "", 'Data Entry'!$í$690)</f>
      </c>
      <c r="FR690">
        <f>IF(ISBLANK('Data Entry'!$î$690), "", 'Data Entry'!$î$690)</f>
      </c>
      <c r="FS690">
        <f>IF(ISBLANK('Data Entry'!$ï$690), "", 'Data Entry'!$ï$690)</f>
      </c>
      <c r="FT690">
        <f>IF(ISBLANK('Data Entry'!$ð$690), "", 'Data Entry'!$ð$690)</f>
      </c>
      <c r="FU690">
        <f>IF(ISBLANK('Data Entry'!$ñ$690), "", 'Data Entry'!$ñ$690)</f>
      </c>
      <c r="FV690">
        <f>IF(ISBLANK('Data Entry'!$ò$690), "", 'Data Entry'!$ò$690)</f>
      </c>
      <c r="FW690">
        <f>IF(ISBLANK('Data Entry'!$ó$690), "", 'Data Entry'!$ó$690)</f>
      </c>
      <c r="FX690">
        <f>IF(ISBLANK('Data Entry'!$ô$690), "", 'Data Entry'!$ô$690)</f>
      </c>
      <c r="FY690">
        <f>IF(ISBLANK('Data Entry'!$õ$690), "", 'Data Entry'!$õ$690)</f>
      </c>
      <c r="FZ690">
        <f>IF(ISBLANK('Data Entry'!$ö$690), "", 'Data Entry'!$ö$690)</f>
      </c>
      <c r="GA690">
        <f>IF(ISBLANK('Data Entry'!$÷$690), "", 'Data Entry'!$÷$690)</f>
      </c>
      <c r="GB690">
        <f>IF(ISBLANK('Data Entry'!$ø$690), "", 'Data Entry'!$ø$690)</f>
      </c>
      <c r="GC690">
        <f>IF(ISBLANK('Data Entry'!$ù$690), "", 'Data Entry'!$ù$690)</f>
      </c>
      <c r="GD690">
        <f>IF(ISBLANK('Data Entry'!$ú$690), "", 'Data Entry'!$ú$690)</f>
      </c>
      <c r="GE690">
        <f>IF(ISBLANK('Data Entry'!$û$690), "", 'Data Entry'!$û$690)</f>
      </c>
      <c r="GF690">
        <f>IF(ISBLANK('Data Entry'!$ü$690), "", 'Data Entry'!$ü$690)</f>
      </c>
      <c r="GG690">
        <f>IF(ISBLANK('Data Entry'!$ý$690), "", 'Data Entry'!$ý$690)</f>
      </c>
      <c r="GH690">
        <f>IF(ISBLANK('Data Entry'!$þ$690), "", 'Data Entry'!$þ$690)</f>
      </c>
      <c r="GI690">
        <f>IF(ISBLANK('Data Entry'!$ÿ$690), "", 'Data Entry'!$ÿ$690)</f>
      </c>
      <c r="GJ690">
        <f>IF(ISBLANK('Data Entry'!$Ā$690), "", 'Data Entry'!$Ā$690)</f>
      </c>
      <c r="GK690">
        <f>IF(ISBLANK('Data Entry'!$ā$690), "", 'Data Entry'!$ā$690)</f>
      </c>
      <c r="GL690">
        <f>IF(ISBLANK('Data Entry'!$Ă$690), "", 'Data Entry'!$Ă$690)</f>
      </c>
      <c r="GM690">
        <f>IF(ISBLANK('Data Entry'!$ă$690), "", 'Data Entry'!$ă$690)</f>
      </c>
      <c r="GN690">
        <f>IF(ISBLANK('Data Entry'!$Ą$690), "", 'Data Entry'!$Ą$690)</f>
      </c>
      <c r="GO690">
        <f>IF(ISBLANK('Data Entry'!$ą$690), "", 'Data Entry'!$ą$690)</f>
      </c>
      <c r="GP690">
        <f>IF(ISBLANK('Data Entry'!$Ć$690), "", 'Data Entry'!$Ć$690)</f>
      </c>
      <c r="GQ690">
        <f>IF(ISBLANK('Data Entry'!$ć$690), "", 'Data Entry'!$ć$690)</f>
      </c>
      <c r="GR690">
        <f>IF(ISBLANK('Data Entry'!$Ĉ$690), "", 'Data Entry'!$Ĉ$690)</f>
      </c>
      <c r="GS690">
        <f>IF(ISBLANK('Data Entry'!$ĉ$690), "", 'Data Entry'!$ĉ$690)</f>
      </c>
      <c r="GT690">
        <f>IF(ISBLANK('Data Entry'!$Ċ$690), "", 'Data Entry'!$Ċ$690)</f>
      </c>
      <c r="GU690">
        <f>IF(ISBLANK('Data Entry'!$ċ$690), "", 'Data Entry'!$ċ$690)</f>
      </c>
      <c r="GV690">
        <f>IF(ISBLANK('Data Entry'!$Č$690), "", 'Data Entry'!$Č$690)</f>
      </c>
      <c r="GW690">
        <f>IF(ISBLANK('Data Entry'!$č$690), "", 'Data Entry'!$č$690)</f>
      </c>
      <c r="GX690">
        <f>IF(ISBLANK('Data Entry'!$Ď$690), "", 'Data Entry'!$Ď$690)</f>
      </c>
      <c r="GY690">
        <f>IF(ISBLANK('Data Entry'!$ď$690), "", 'Data Entry'!$ď$690)</f>
      </c>
      <c r="GZ690">
        <f>IF(ISBLANK('Data Entry'!$Đ$690), "", 'Data Entry'!$Đ$690)</f>
      </c>
      <c r="HA690">
        <f>IF(ISBLANK('Data Entry'!$đ$690), "", 'Data Entry'!$đ$690)</f>
      </c>
      <c r="HB690">
        <f>IF(ISBLANK('Data Entry'!$Ē$690), "", 'Data Entry'!$Ē$690)</f>
      </c>
      <c r="HC690">
        <f>IF(ISBLANK('Data Entry'!$ē$690), "", 'Data Entry'!$ē$690)</f>
      </c>
      <c r="HD690">
        <f>IF(ISBLANK('Data Entry'!$Ĕ$690), "", 'Data Entry'!$Ĕ$690)</f>
      </c>
      <c r="HE690">
        <f>IF(ISBLANK('Data Entry'!$ĕ$690), "", 'Data Entry'!$ĕ$690)</f>
      </c>
      <c r="HF690">
        <f>IF(ISBLANK('Data Entry'!$Ė$690), "", 'Data Entry'!$Ė$690)</f>
      </c>
      <c r="HG690">
        <f>IF(ISBLANK('Data Entry'!$ė$690), "", 'Data Entry'!$ė$690)</f>
      </c>
      <c r="HH690">
        <f>IF(ISBLANK('Data Entry'!$Ę$690), "", 'Data Entry'!$Ę$690)</f>
      </c>
      <c r="HI690">
        <f>IF(ISBLANK('Data Entry'!$ę$690), "", 'Data Entry'!$ę$690)</f>
      </c>
      <c r="HJ690">
        <f>IF(ISBLANK('Data Entry'!$Ě$690), "", 'Data Entry'!$Ě$690)</f>
      </c>
      <c r="HK690">
        <f>IF(ISBLANK('Data Entry'!$ě$690), "", 'Data Entry'!$ě$690)</f>
      </c>
      <c r="HL690">
        <f>IF(ISBLANK('Data Entry'!$Ĝ$690), "", 'Data Entry'!$Ĝ$690)</f>
      </c>
      <c r="HM690">
        <f>IF(ISBLANK('Data Entry'!$ĝ$690), "", 'Data Entry'!$ĝ$690)</f>
      </c>
      <c r="HN690">
        <f>IF(ISBLANK('Data Entry'!$Ğ$690), "", 'Data Entry'!$Ğ$690)</f>
      </c>
      <c r="HO690">
        <f>IF(ISBLANK('Data Entry'!$ğ$690), "", 'Data Entry'!$ğ$690)</f>
      </c>
      <c r="HP690">
        <f>IF(ISBLANK('Data Entry'!$Ġ$690), "", 'Data Entry'!$Ġ$690)</f>
      </c>
      <c r="HQ690">
        <f>IF(ISBLANK('Data Entry'!$ġ$690), "", 'Data Entry'!$ġ$690)</f>
      </c>
      <c r="HR690">
        <f>IF(ISBLANK('Data Entry'!$Ģ$690), "", 'Data Entry'!$Ģ$690)</f>
      </c>
      <c r="HS690">
        <f>IF(ISBLANK('Data Entry'!$ģ$690), "", 'Data Entry'!$ģ$690)</f>
      </c>
      <c r="HT690">
        <f>IF(ISBLANK('Data Entry'!$Ĥ$690), "", 'Data Entry'!$Ĥ$690)</f>
      </c>
      <c r="HU690">
        <f>IF(ISBLANK('Data Entry'!$ĥ$690), "", 'Data Entry'!$ĥ$690)</f>
      </c>
      <c r="HV690">
        <f>IF(ISBLANK('Data Entry'!$Ħ$690), "", 'Data Entry'!$Ħ$690)</f>
      </c>
      <c r="HW690">
        <f>IF(ISBLANK('Data Entry'!$ħ$690), "", 'Data Entry'!$ħ$690)</f>
      </c>
      <c r="HX690">
        <f>IF(ISBLANK('Data Entry'!$Ĩ$690), "", 'Data Entry'!$Ĩ$690)</f>
      </c>
      <c r="HY690">
        <f>IF(ISBLANK('Data Entry'!$ĩ$690), "", 'Data Entry'!$ĩ$690)</f>
      </c>
      <c r="HZ690">
        <f>IF(ISBLANK('Data Entry'!$Ī$690), "", 'Data Entry'!$Ī$690)</f>
      </c>
      <c r="IA690">
        <f>IF(ISBLANK('Data Entry'!$ī$690), "", 'Data Entry'!$ī$690)</f>
      </c>
      <c r="IB690">
        <f>IF(ISBLANK('Data Entry'!$Ĭ$690), "", 'Data Entry'!$Ĭ$690)</f>
      </c>
      <c r="IC690">
        <f>IF(ISBLANK('Data Entry'!$ĭ$690), "", 'Data Entry'!$ĭ$690)</f>
      </c>
      <c r="ID690">
        <f>IF(ISBLANK('Data Entry'!$Į$690), "", 'Data Entry'!$Į$690)</f>
      </c>
      <c r="IE690">
        <f>IF(ISBLANK('Data Entry'!$į$690), "", 'Data Entry'!$į$690)</f>
      </c>
      <c r="IF690">
        <f>IF(ISBLANK('Data Entry'!$İ$690), "", 'Data Entry'!$İ$690)</f>
      </c>
      <c r="IG690">
        <f>IF(ISBLANK('Data Entry'!$ı$690), "", 'Data Entry'!$ı$690)</f>
      </c>
      <c r="IH690">
        <f>IF(ISBLANK('Data Entry'!$Ĳ$690), "", 'Data Entry'!$Ĳ$690)</f>
      </c>
      <c r="II690">
        <f>IF(ISBLANK('Data Entry'!$ĳ$690), "", 'Data Entry'!$ĳ$690)</f>
      </c>
      <c r="IJ690">
        <f>IF(ISBLANK('Data Entry'!$Ĵ$690), "", 'Data Entry'!$Ĵ$690)</f>
      </c>
      <c r="IK690">
        <f>IF(ISBLANK('Data Entry'!$ĵ$690), "", 'Data Entry'!$ĵ$690)</f>
      </c>
      <c r="IL690">
        <f>IF(ISBLANK('Data Entry'!$Ķ$690), "", 'Data Entry'!$Ķ$690)</f>
      </c>
      <c r="IM690">
        <f>IF(ISBLANK('Data Entry'!$ķ$690), "", 'Data Entry'!$ķ$690)</f>
      </c>
      <c r="IN690">
        <f>IF(ISBLANK('Data Entry'!$ĸ$690), "", 'Data Entry'!$ĸ$690)</f>
      </c>
      <c r="IO690">
        <f>IF(ISBLANK('Data Entry'!$Ĺ$690), "", 'Data Entry'!$Ĺ$690)</f>
      </c>
      <c r="IP690">
        <f>IF(ISBLANK('Data Entry'!$ĺ$690), "", 'Data Entry'!$ĺ$690)</f>
      </c>
      <c r="IQ690">
        <f>IF(ISBLANK('Data Entry'!$Ļ$690), "", 'Data Entry'!$Ļ$690)</f>
      </c>
      <c r="IR690">
        <f>IF(ISBLANK('Data Entry'!$ļ$690), "", 'Data Entry'!$ļ$690)</f>
      </c>
      <c r="IS690">
        <f>IF(ISBLANK('Data Entry'!$Ľ$690), "", 'Data Entry'!$Ľ$690)</f>
      </c>
      <c r="IT690">
        <f>IF(ISBLANK('Data Entry'!$ľ$690), "", 'Data Entry'!$ľ$690)</f>
      </c>
    </row>
    <row r="691" spans="1:254" x14ac:dyDescent="0.25">
      <c r="A691">
        <f>IF(ISBLANK('Data Entry'!$A$691), "", 'Data Entry'!$A$691)</f>
      </c>
      <c r="B691">
        <f>IF(ISBLANK('Data Entry'!$B$691), "", 'Data Entry'!$B$691)</f>
      </c>
      <c r="C691">
        <f>IF(ISBLANK('Data Entry'!$C$691), "", 'Data Entry'!$C$691)</f>
      </c>
      <c r="D691">
        <f>IF(ISBLANK('Data Entry'!$D$691), "", 'Data Entry'!$D$691)</f>
      </c>
      <c r="E691">
        <f>IF(ISBLANK('Data Entry'!$E$691), "", 'Data Entry'!$E$691)</f>
      </c>
      <c r="F691">
        <f>IF(ISBLANK('Data Entry'!$F$691), "", 'Data Entry'!$F$691)</f>
      </c>
      <c r="G691">
        <f>IF(ISBLANK('Data Entry'!$G$691), "", 'Data Entry'!$G$691)</f>
      </c>
      <c r="H691">
        <f>IF(ISBLANK('Data Entry'!$H$691), "", 'Data Entry'!$H$691)</f>
      </c>
      <c r="I691">
        <f>IF(ISBLANK('Data Entry'!$I$691), "", 'Data Entry'!$I$691)</f>
      </c>
      <c r="J691">
        <f>IF(ISBLANK('Data Entry'!$J$691), "", 'Data Entry'!$J$691)</f>
      </c>
      <c r="K691">
        <f>IF(ISBLANK('Data Entry'!$K$691), "", 'Data Entry'!$K$691)</f>
      </c>
      <c r="L691">
        <f>IF(ISBLANK('Data Entry'!$L$691), "", 'Data Entry'!$L$691)</f>
      </c>
      <c r="M691">
        <f>IF(ISBLANK('Data Entry'!$M$691), "", 'Data Entry'!$M$691)</f>
      </c>
      <c r="N691">
        <f>IF(ISBLANK('Data Entry'!$N$691), "", 'Data Entry'!$N$691)</f>
      </c>
      <c r="O691">
        <f>IF(ISBLANK('Data Entry'!$O$691), "", 'Data Entry'!$O$691)</f>
      </c>
      <c r="P691">
        <f>IF(ISBLANK('Data Entry'!$P$691), "", 'Data Entry'!$P$691)</f>
      </c>
      <c r="Q691">
        <f>IF(ISBLANK('Data Entry'!$Q$691), "", 'Data Entry'!$Q$691)</f>
      </c>
      <c r="R691">
        <f>IF(ISBLANK('Data Entry'!$R$691), "", 'Data Entry'!$R$691)</f>
      </c>
      <c r="S691">
        <f>IF(ISBLANK('Data Entry'!$S$691), "", 'Data Entry'!$S$691)</f>
      </c>
      <c r="T691">
        <f>IF(ISBLANK('Data Entry'!$T$691), "", 'Data Entry'!$T$691)</f>
      </c>
      <c r="U691">
        <f>IF(ISBLANK('Data Entry'!$U$691), "", 'Data Entry'!$U$691)</f>
      </c>
      <c r="V691">
        <f>IF(ISBLANK('Data Entry'!$V$691), "", 'Data Entry'!$V$691)</f>
      </c>
      <c r="W691">
        <f>IF(ISBLANK('Data Entry'!$W$691), "", 'Data Entry'!$W$691)</f>
      </c>
      <c r="X691">
        <f>IF(ISBLANK('Data Entry'!$X$691), "", 'Data Entry'!$X$691)</f>
      </c>
      <c r="Y691">
        <f>IF(ISBLANK('Data Entry'!$Y$691), "", 'Data Entry'!$Y$691)</f>
      </c>
      <c r="Z691">
        <f>IF(ISBLANK('Data Entry'!$Z$691), "", 'Data Entry'!$Z$691)</f>
      </c>
      <c r="AA691">
        <f>IF(ISBLANK('Data Entry'!$[$691), "", 'Data Entry'!$[$691)</f>
      </c>
      <c r="AB691">
        <f>IF(ISBLANK('Data Entry'!$\$691), "", 'Data Entry'!$\$691)</f>
      </c>
      <c r="AC691">
        <f>IF(ISBLANK('Data Entry'!$]$691), "", 'Data Entry'!$]$691)</f>
      </c>
      <c r="AD691">
        <f>IF(ISBLANK('Data Entry'!$^$691), "", 'Data Entry'!$^$691)</f>
      </c>
      <c r="AE691">
        <f>IF(ISBLANK('Data Entry'!$_$691), "", 'Data Entry'!$_$691)</f>
      </c>
      <c r="AF691">
        <f>IF(ISBLANK('Data Entry'!$`$691), "", 'Data Entry'!$`$691)</f>
      </c>
      <c r="AG691">
        <f>IF(ISBLANK('Data Entry'!$a$691), "", 'Data Entry'!$a$691)</f>
      </c>
      <c r="AH691">
        <f>IF(ISBLANK('Data Entry'!$b$691), "", 'Data Entry'!$b$691)</f>
      </c>
      <c r="AI691">
        <f>IF(ISBLANK('Data Entry'!$c$691), "", 'Data Entry'!$c$691)</f>
      </c>
      <c r="AJ691">
        <f>IF(ISBLANK('Data Entry'!$d$691), "", 'Data Entry'!$d$691)</f>
      </c>
      <c r="AK691">
        <f>IF(ISBLANK('Data Entry'!$e$691), "", 'Data Entry'!$e$691)</f>
      </c>
      <c r="AL691">
        <f>IF(ISBLANK('Data Entry'!$f$691), "", 'Data Entry'!$f$691)</f>
      </c>
      <c r="AM691">
        <f>IF(ISBLANK('Data Entry'!$g$691), "", 'Data Entry'!$g$691)</f>
      </c>
      <c r="AN691">
        <f>IF(ISBLANK('Data Entry'!$h$691), "", 'Data Entry'!$h$691)</f>
      </c>
      <c r="AO691">
        <f>IF(ISBLANK('Data Entry'!$i$691), "", 'Data Entry'!$i$691)</f>
      </c>
      <c r="AP691">
        <f>IF(ISBLANK('Data Entry'!$j$691), "", 'Data Entry'!$j$691)</f>
      </c>
      <c r="AQ691">
        <f>IF(ISBLANK('Data Entry'!$k$691), "", 'Data Entry'!$k$691)</f>
      </c>
      <c r="AR691">
        <f>IF(ISBLANK('Data Entry'!$l$691), "", 'Data Entry'!$l$691)</f>
      </c>
      <c r="AS691">
        <f>IF(ISBLANK('Data Entry'!$m$691), "", 'Data Entry'!$m$691)</f>
      </c>
      <c r="AT691">
        <f>IF(ISBLANK('Data Entry'!$n$691), "", 'Data Entry'!$n$691)</f>
      </c>
      <c r="AU691">
        <f>IF(ISBLANK('Data Entry'!$o$691), "", 'Data Entry'!$o$691)</f>
      </c>
      <c r="AV691">
        <f>IF(ISBLANK('Data Entry'!$p$691), "", 'Data Entry'!$p$691)</f>
      </c>
      <c r="AW691">
        <f>IF(ISBLANK('Data Entry'!$q$691), "", 'Data Entry'!$q$691)</f>
      </c>
      <c r="AX691">
        <f>IF(ISBLANK('Data Entry'!$r$691), "", 'Data Entry'!$r$691)</f>
      </c>
      <c r="AY691">
        <f>IF(ISBLANK('Data Entry'!$s$691), "", 'Data Entry'!$s$691)</f>
      </c>
      <c r="AZ691">
        <f>IF(ISBLANK('Data Entry'!$t$691), "", 'Data Entry'!$t$691)</f>
      </c>
      <c r="BA691">
        <f>IF(ISBLANK('Data Entry'!$u$691), "", 'Data Entry'!$u$691)</f>
      </c>
      <c r="BB691">
        <f>IF(ISBLANK('Data Entry'!$v$691), "", 'Data Entry'!$v$691)</f>
      </c>
      <c r="BC691">
        <f>IF(ISBLANK('Data Entry'!$w$691), "", 'Data Entry'!$w$691)</f>
      </c>
      <c r="BD691">
        <f>IF(ISBLANK('Data Entry'!$x$691), "", 'Data Entry'!$x$691)</f>
      </c>
      <c r="BE691">
        <f>IF(ISBLANK('Data Entry'!$y$691), "", 'Data Entry'!$y$691)</f>
      </c>
      <c r="BF691">
        <f>IF(ISBLANK('Data Entry'!$z$691), "", 'Data Entry'!$z$691)</f>
      </c>
      <c r="BG691">
        <f>IF(ISBLANK('Data Entry'!${$691), "", 'Data Entry'!${$691)</f>
      </c>
      <c r="BH691">
        <f>IF(ISBLANK('Data Entry'!$|$691), "", 'Data Entry'!$|$691)</f>
      </c>
      <c r="BI691">
        <f>IF(ISBLANK('Data Entry'!$}$691), "", 'Data Entry'!$}$691)</f>
      </c>
      <c r="BJ691">
        <f>IF(ISBLANK('Data Entry'!$~$691), "", 'Data Entry'!$~$691)</f>
      </c>
      <c r="BK691">
        <f>IF(ISBLANK('Data Entry'!$$691), "", 'Data Entry'!$$691)</f>
      </c>
      <c r="BL691">
        <f>IF(ISBLANK('Data Entry'!$$691), "", 'Data Entry'!$$691)</f>
      </c>
      <c r="BM691">
        <f>IF(ISBLANK('Data Entry'!$$691), "", 'Data Entry'!$$691)</f>
      </c>
      <c r="BN691">
        <f>IF(ISBLANK('Data Entry'!$$691), "", 'Data Entry'!$$691)</f>
      </c>
      <c r="BO691">
        <f>IF(ISBLANK('Data Entry'!$$691), "", 'Data Entry'!$$691)</f>
      </c>
      <c r="BP691">
        <f>IF(ISBLANK('Data Entry'!$$691), "", 'Data Entry'!$$691)</f>
      </c>
      <c r="BQ691">
        <f>IF(ISBLANK('Data Entry'!$$691), "", 'Data Entry'!$$691)</f>
      </c>
      <c r="BR691">
        <f>IF(ISBLANK('Data Entry'!$$691), "", 'Data Entry'!$$691)</f>
      </c>
      <c r="BS691">
        <f>IF(ISBLANK('Data Entry'!$$691), "", 'Data Entry'!$$691)</f>
      </c>
      <c r="BT691">
        <f>IF(ISBLANK('Data Entry'!$$691), "", 'Data Entry'!$$691)</f>
      </c>
      <c r="BU691">
        <f>IF(ISBLANK('Data Entry'!$$691), "", 'Data Entry'!$$691)</f>
      </c>
      <c r="BV691">
        <f>IF(ISBLANK('Data Entry'!$$691), "", 'Data Entry'!$$691)</f>
      </c>
      <c r="BW691">
        <f>IF(ISBLANK('Data Entry'!$$691), "", 'Data Entry'!$$691)</f>
      </c>
      <c r="BX691">
        <f>IF(ISBLANK('Data Entry'!$$691), "", 'Data Entry'!$$691)</f>
      </c>
      <c r="BY691">
        <f>IF(ISBLANK('Data Entry'!$$691), "", 'Data Entry'!$$691)</f>
      </c>
      <c r="BZ691">
        <f>IF(ISBLANK('Data Entry'!$$691), "", 'Data Entry'!$$691)</f>
      </c>
      <c r="CA691">
        <f>IF(ISBLANK('Data Entry'!$$691), "", 'Data Entry'!$$691)</f>
      </c>
      <c r="CB691">
        <f>IF(ISBLANK('Data Entry'!$$691), "", 'Data Entry'!$$691)</f>
      </c>
      <c r="CC691">
        <f>IF(ISBLANK('Data Entry'!$$691), "", 'Data Entry'!$$691)</f>
      </c>
      <c r="CD691">
        <f>IF(ISBLANK('Data Entry'!$$691), "", 'Data Entry'!$$691)</f>
      </c>
      <c r="CE691">
        <f>IF(ISBLANK('Data Entry'!$$691), "", 'Data Entry'!$$691)</f>
      </c>
      <c r="CF691">
        <f>IF(ISBLANK('Data Entry'!$$691), "", 'Data Entry'!$$691)</f>
      </c>
      <c r="CG691">
        <f>IF(ISBLANK('Data Entry'!$$691), "", 'Data Entry'!$$691)</f>
      </c>
      <c r="CH691">
        <f>IF(ISBLANK('Data Entry'!$$691), "", 'Data Entry'!$$691)</f>
      </c>
      <c r="CI691">
        <f>IF(ISBLANK('Data Entry'!$$691), "", 'Data Entry'!$$691)</f>
      </c>
      <c r="CJ691">
        <f>IF(ISBLANK('Data Entry'!$$691), "", 'Data Entry'!$$691)</f>
      </c>
      <c r="CK691">
        <f>IF(ISBLANK('Data Entry'!$$691), "", 'Data Entry'!$$691)</f>
      </c>
      <c r="CL691">
        <f>IF(ISBLANK('Data Entry'!$$691), "", 'Data Entry'!$$691)</f>
      </c>
      <c r="CM691">
        <f>IF(ISBLANK('Data Entry'!$$691), "", 'Data Entry'!$$691)</f>
      </c>
      <c r="CN691">
        <f>IF(ISBLANK('Data Entry'!$$691), "", 'Data Entry'!$$691)</f>
      </c>
      <c r="CO691">
        <f>IF(ISBLANK('Data Entry'!$$691), "", 'Data Entry'!$$691)</f>
      </c>
      <c r="CP691">
        <f>IF(ISBLANK('Data Entry'!$$691), "", 'Data Entry'!$$691)</f>
      </c>
      <c r="CQ691">
        <f>IF(ISBLANK('Data Entry'!$$691), "", 'Data Entry'!$$691)</f>
      </c>
      <c r="CR691">
        <f>IF(ISBLANK('Data Entry'!$ $691), "", 'Data Entry'!$ $691)</f>
      </c>
      <c r="CS691">
        <f>IF(ISBLANK('Data Entry'!$¡$691), "", 'Data Entry'!$¡$691)</f>
      </c>
      <c r="CT691">
        <f>IF(ISBLANK('Data Entry'!$¢$691), "", 'Data Entry'!$¢$691)</f>
      </c>
      <c r="CU691">
        <f>IF(ISBLANK('Data Entry'!$£$691), "", 'Data Entry'!$£$691)</f>
      </c>
      <c r="CV691">
        <f>IF(ISBLANK('Data Entry'!$¤$691), "", 'Data Entry'!$¤$691)</f>
      </c>
      <c r="CW691">
        <f>IF(ISBLANK('Data Entry'!$¥$691), "", 'Data Entry'!$¥$691)</f>
      </c>
      <c r="CX691">
        <f>IF(ISBLANK('Data Entry'!$¦$691), "", 'Data Entry'!$¦$691)</f>
      </c>
      <c r="CY691">
        <f>IF(ISBLANK('Data Entry'!$§$691), "", 'Data Entry'!$§$691)</f>
      </c>
      <c r="CZ691">
        <f>IF(ISBLANK('Data Entry'!$¨$691), "", 'Data Entry'!$¨$691)</f>
      </c>
      <c r="DA691">
        <f>IF(ISBLANK('Data Entry'!$©$691), "", 'Data Entry'!$©$691)</f>
      </c>
      <c r="DB691">
        <f>IF(ISBLANK('Data Entry'!$ª$691), "", 'Data Entry'!$ª$691)</f>
      </c>
      <c r="DC691">
        <f>IF(ISBLANK('Data Entry'!$«$691), "", 'Data Entry'!$«$691)</f>
      </c>
      <c r="DD691">
        <f>IF(ISBLANK('Data Entry'!$¬$691), "", 'Data Entry'!$¬$691)</f>
      </c>
      <c r="DE691">
        <f>IF(ISBLANK('Data Entry'!$­$691), "", 'Data Entry'!$­$691)</f>
      </c>
      <c r="DF691">
        <f>IF(ISBLANK('Data Entry'!$®$691), "", 'Data Entry'!$®$691)</f>
      </c>
      <c r="DG691">
        <f>IF(ISBLANK('Data Entry'!$¯$691), "", 'Data Entry'!$¯$691)</f>
      </c>
      <c r="DH691">
        <f>IF(ISBLANK('Data Entry'!$°$691), "", 'Data Entry'!$°$691)</f>
      </c>
      <c r="DI691">
        <f>IF(ISBLANK('Data Entry'!$±$691), "", 'Data Entry'!$±$691)</f>
      </c>
      <c r="DJ691">
        <f>IF(ISBLANK('Data Entry'!$²$691), "", 'Data Entry'!$²$691)</f>
      </c>
      <c r="DK691">
        <f>IF(ISBLANK('Data Entry'!$³$691), "", 'Data Entry'!$³$691)</f>
      </c>
      <c r="DL691">
        <f>IF(ISBLANK('Data Entry'!$´$691), "", 'Data Entry'!$´$691)</f>
      </c>
      <c r="DM691">
        <f>IF(ISBLANK('Data Entry'!$µ$691), "", 'Data Entry'!$µ$691)</f>
      </c>
      <c r="DN691">
        <f>IF(ISBLANK('Data Entry'!$¶$691), "", 'Data Entry'!$¶$691)</f>
      </c>
      <c r="DO691">
        <f>IF(ISBLANK('Data Entry'!$·$691), "", 'Data Entry'!$·$691)</f>
      </c>
      <c r="DP691">
        <f>IF(ISBLANK('Data Entry'!$¸$691), "", 'Data Entry'!$¸$691)</f>
      </c>
      <c r="DQ691">
        <f>IF(ISBLANK('Data Entry'!$¹$691), "", 'Data Entry'!$¹$691)</f>
      </c>
      <c r="DR691">
        <f>IF(ISBLANK('Data Entry'!$º$691), "", 'Data Entry'!$º$691)</f>
      </c>
      <c r="DS691">
        <f>IF(ISBLANK('Data Entry'!$»$691), "", 'Data Entry'!$»$691)</f>
      </c>
      <c r="DT691">
        <f>IF(ISBLANK('Data Entry'!$¼$691), "", 'Data Entry'!$¼$691)</f>
      </c>
      <c r="DU691">
        <f>IF(ISBLANK('Data Entry'!$½$691), "", 'Data Entry'!$½$691)</f>
      </c>
      <c r="DV691">
        <f>IF(ISBLANK('Data Entry'!$¾$691), "", 'Data Entry'!$¾$691)</f>
      </c>
      <c r="DW691">
        <f>IF(ISBLANK('Data Entry'!$¿$691), "", 'Data Entry'!$¿$691)</f>
      </c>
      <c r="DX691">
        <f>IF(ISBLANK('Data Entry'!$À$691), "", 'Data Entry'!$À$691)</f>
      </c>
      <c r="DY691">
        <f>IF(ISBLANK('Data Entry'!$Á$691), "", 'Data Entry'!$Á$691)</f>
      </c>
      <c r="DZ691">
        <f>IF(ISBLANK('Data Entry'!$Â$691), "", 'Data Entry'!$Â$691)</f>
      </c>
      <c r="EA691">
        <f>IF(ISBLANK('Data Entry'!$Ã$691), "", 'Data Entry'!$Ã$691)</f>
      </c>
      <c r="EB691">
        <f>IF(ISBLANK('Data Entry'!$Ä$691), "", 'Data Entry'!$Ä$691)</f>
      </c>
      <c r="EC691">
        <f>IF(ISBLANK('Data Entry'!$Å$691), "", 'Data Entry'!$Å$691)</f>
      </c>
      <c r="ED691">
        <f>IF(ISBLANK('Data Entry'!$Æ$691), "", 'Data Entry'!$Æ$691)</f>
      </c>
      <c r="EE691">
        <f>IF(ISBLANK('Data Entry'!$Ç$691), "", 'Data Entry'!$Ç$691)</f>
      </c>
      <c r="EF691">
        <f>IF(ISBLANK('Data Entry'!$È$691), "", 'Data Entry'!$È$691)</f>
      </c>
      <c r="EG691">
        <f>IF(ISBLANK('Data Entry'!$É$691), "", 'Data Entry'!$É$691)</f>
      </c>
      <c r="EH691">
        <f>IF(ISBLANK('Data Entry'!$Ê$691), "", 'Data Entry'!$Ê$691)</f>
      </c>
      <c r="EI691">
        <f>IF(ISBLANK('Data Entry'!$Ë$691), "", 'Data Entry'!$Ë$691)</f>
      </c>
      <c r="EJ691">
        <f>IF(ISBLANK('Data Entry'!$Ì$691), "", 'Data Entry'!$Ì$691)</f>
      </c>
      <c r="EK691">
        <f>IF(ISBLANK('Data Entry'!$Í$691), "", 'Data Entry'!$Í$691)</f>
      </c>
      <c r="EL691">
        <f>IF(ISBLANK('Data Entry'!$Î$691), "", 'Data Entry'!$Î$691)</f>
      </c>
      <c r="EM691">
        <f>IF(ISBLANK('Data Entry'!$Ï$691), "", 'Data Entry'!$Ï$691)</f>
      </c>
      <c r="EN691">
        <f>IF(ISBLANK('Data Entry'!$Ð$691), "", 'Data Entry'!$Ð$691)</f>
      </c>
      <c r="EO691">
        <f>IF(ISBLANK('Data Entry'!$Ñ$691), "", 'Data Entry'!$Ñ$691)</f>
      </c>
      <c r="EP691">
        <f>IF(ISBLANK('Data Entry'!$Ò$691), "", 'Data Entry'!$Ò$691)</f>
      </c>
      <c r="EQ691">
        <f>IF(ISBLANK('Data Entry'!$Ó$691), "", 'Data Entry'!$Ó$691)</f>
      </c>
      <c r="ER691">
        <f>IF(ISBLANK('Data Entry'!$Ô$691), "", 'Data Entry'!$Ô$691)</f>
      </c>
      <c r="ES691">
        <f>IF(ISBLANK('Data Entry'!$Õ$691), "", 'Data Entry'!$Õ$691)</f>
      </c>
      <c r="ET691">
        <f>IF(ISBLANK('Data Entry'!$Ö$691), "", 'Data Entry'!$Ö$691)</f>
      </c>
      <c r="EU691">
        <f>IF(ISBLANK('Data Entry'!$×$691), "", 'Data Entry'!$×$691)</f>
      </c>
      <c r="EV691">
        <f>IF(ISBLANK('Data Entry'!$Ø$691), "", 'Data Entry'!$Ø$691)</f>
      </c>
      <c r="EW691">
        <f>IF(ISBLANK('Data Entry'!$Ù$691), "", 'Data Entry'!$Ù$691)</f>
      </c>
      <c r="EX691">
        <f>IF(ISBLANK('Data Entry'!$Ú$691), "", 'Data Entry'!$Ú$691)</f>
      </c>
      <c r="EY691">
        <f>IF(ISBLANK('Data Entry'!$Û$691), "", 'Data Entry'!$Û$691)</f>
      </c>
      <c r="EZ691">
        <f>IF(ISBLANK('Data Entry'!$Ü$691), "", 'Data Entry'!$Ü$691)</f>
      </c>
      <c r="FA691">
        <f>IF(ISBLANK('Data Entry'!$Ý$691), "", 'Data Entry'!$Ý$691)</f>
      </c>
      <c r="FB691">
        <f>IF(ISBLANK('Data Entry'!$Þ$691), "", 'Data Entry'!$Þ$691)</f>
      </c>
      <c r="FC691">
        <f>IF(ISBLANK('Data Entry'!$ß$691), "", 'Data Entry'!$ß$691)</f>
      </c>
      <c r="FD691">
        <f>IF(ISBLANK('Data Entry'!$à$691), "", 'Data Entry'!$à$691)</f>
      </c>
      <c r="FE691">
        <f>IF(ISBLANK('Data Entry'!$á$691), "", 'Data Entry'!$á$691)</f>
      </c>
      <c r="FF691">
        <f>IF(ISBLANK('Data Entry'!$â$691), "", 'Data Entry'!$â$691)</f>
      </c>
      <c r="FG691">
        <f>IF(ISBLANK('Data Entry'!$ã$691), "", 'Data Entry'!$ã$691)</f>
      </c>
      <c r="FH691">
        <f>IF(ISBLANK('Data Entry'!$ä$691), "", 'Data Entry'!$ä$691)</f>
      </c>
      <c r="FI691">
        <f>IF(ISBLANK('Data Entry'!$å$691), "", 'Data Entry'!$å$691)</f>
      </c>
      <c r="FJ691">
        <f>IF(ISBLANK('Data Entry'!$æ$691), "", 'Data Entry'!$æ$691)</f>
      </c>
      <c r="FK691">
        <f>IF(ISBLANK('Data Entry'!$ç$691), "", 'Data Entry'!$ç$691)</f>
      </c>
      <c r="FL691">
        <f>IF(ISBLANK('Data Entry'!$è$691), "", 'Data Entry'!$è$691)</f>
      </c>
      <c r="FM691">
        <f>IF(ISBLANK('Data Entry'!$é$691), "", 'Data Entry'!$é$691)</f>
      </c>
      <c r="FN691">
        <f>IF(ISBLANK('Data Entry'!$ê$691), "", 'Data Entry'!$ê$691)</f>
      </c>
      <c r="FO691">
        <f>IF(ISBLANK('Data Entry'!$ë$691), "", 'Data Entry'!$ë$691)</f>
      </c>
      <c r="FP691">
        <f>IF(ISBLANK('Data Entry'!$ì$691), "", 'Data Entry'!$ì$691)</f>
      </c>
      <c r="FQ691">
        <f>IF(ISBLANK('Data Entry'!$í$691), "", 'Data Entry'!$í$691)</f>
      </c>
      <c r="FR691">
        <f>IF(ISBLANK('Data Entry'!$î$691), "", 'Data Entry'!$î$691)</f>
      </c>
      <c r="FS691">
        <f>IF(ISBLANK('Data Entry'!$ï$691), "", 'Data Entry'!$ï$691)</f>
      </c>
      <c r="FT691">
        <f>IF(ISBLANK('Data Entry'!$ð$691), "", 'Data Entry'!$ð$691)</f>
      </c>
      <c r="FU691">
        <f>IF(ISBLANK('Data Entry'!$ñ$691), "", 'Data Entry'!$ñ$691)</f>
      </c>
      <c r="FV691">
        <f>IF(ISBLANK('Data Entry'!$ò$691), "", 'Data Entry'!$ò$691)</f>
      </c>
      <c r="FW691">
        <f>IF(ISBLANK('Data Entry'!$ó$691), "", 'Data Entry'!$ó$691)</f>
      </c>
      <c r="FX691">
        <f>IF(ISBLANK('Data Entry'!$ô$691), "", 'Data Entry'!$ô$691)</f>
      </c>
      <c r="FY691">
        <f>IF(ISBLANK('Data Entry'!$õ$691), "", 'Data Entry'!$õ$691)</f>
      </c>
      <c r="FZ691">
        <f>IF(ISBLANK('Data Entry'!$ö$691), "", 'Data Entry'!$ö$691)</f>
      </c>
      <c r="GA691">
        <f>IF(ISBLANK('Data Entry'!$÷$691), "", 'Data Entry'!$÷$691)</f>
      </c>
      <c r="GB691">
        <f>IF(ISBLANK('Data Entry'!$ø$691), "", 'Data Entry'!$ø$691)</f>
      </c>
      <c r="GC691">
        <f>IF(ISBLANK('Data Entry'!$ù$691), "", 'Data Entry'!$ù$691)</f>
      </c>
      <c r="GD691">
        <f>IF(ISBLANK('Data Entry'!$ú$691), "", 'Data Entry'!$ú$691)</f>
      </c>
      <c r="GE691">
        <f>IF(ISBLANK('Data Entry'!$û$691), "", 'Data Entry'!$û$691)</f>
      </c>
      <c r="GF691">
        <f>IF(ISBLANK('Data Entry'!$ü$691), "", 'Data Entry'!$ü$691)</f>
      </c>
      <c r="GG691">
        <f>IF(ISBLANK('Data Entry'!$ý$691), "", 'Data Entry'!$ý$691)</f>
      </c>
      <c r="GH691">
        <f>IF(ISBLANK('Data Entry'!$þ$691), "", 'Data Entry'!$þ$691)</f>
      </c>
      <c r="GI691">
        <f>IF(ISBLANK('Data Entry'!$ÿ$691), "", 'Data Entry'!$ÿ$691)</f>
      </c>
      <c r="GJ691">
        <f>IF(ISBLANK('Data Entry'!$Ā$691), "", 'Data Entry'!$Ā$691)</f>
      </c>
      <c r="GK691">
        <f>IF(ISBLANK('Data Entry'!$ā$691), "", 'Data Entry'!$ā$691)</f>
      </c>
      <c r="GL691">
        <f>IF(ISBLANK('Data Entry'!$Ă$691), "", 'Data Entry'!$Ă$691)</f>
      </c>
      <c r="GM691">
        <f>IF(ISBLANK('Data Entry'!$ă$691), "", 'Data Entry'!$ă$691)</f>
      </c>
      <c r="GN691">
        <f>IF(ISBLANK('Data Entry'!$Ą$691), "", 'Data Entry'!$Ą$691)</f>
      </c>
      <c r="GO691">
        <f>IF(ISBLANK('Data Entry'!$ą$691), "", 'Data Entry'!$ą$691)</f>
      </c>
      <c r="GP691">
        <f>IF(ISBLANK('Data Entry'!$Ć$691), "", 'Data Entry'!$Ć$691)</f>
      </c>
      <c r="GQ691">
        <f>IF(ISBLANK('Data Entry'!$ć$691), "", 'Data Entry'!$ć$691)</f>
      </c>
      <c r="GR691">
        <f>IF(ISBLANK('Data Entry'!$Ĉ$691), "", 'Data Entry'!$Ĉ$691)</f>
      </c>
      <c r="GS691">
        <f>IF(ISBLANK('Data Entry'!$ĉ$691), "", 'Data Entry'!$ĉ$691)</f>
      </c>
      <c r="GT691">
        <f>IF(ISBLANK('Data Entry'!$Ċ$691), "", 'Data Entry'!$Ċ$691)</f>
      </c>
      <c r="GU691">
        <f>IF(ISBLANK('Data Entry'!$ċ$691), "", 'Data Entry'!$ċ$691)</f>
      </c>
      <c r="GV691">
        <f>IF(ISBLANK('Data Entry'!$Č$691), "", 'Data Entry'!$Č$691)</f>
      </c>
      <c r="GW691">
        <f>IF(ISBLANK('Data Entry'!$č$691), "", 'Data Entry'!$č$691)</f>
      </c>
      <c r="GX691">
        <f>IF(ISBLANK('Data Entry'!$Ď$691), "", 'Data Entry'!$Ď$691)</f>
      </c>
      <c r="GY691">
        <f>IF(ISBLANK('Data Entry'!$ď$691), "", 'Data Entry'!$ď$691)</f>
      </c>
      <c r="GZ691">
        <f>IF(ISBLANK('Data Entry'!$Đ$691), "", 'Data Entry'!$Đ$691)</f>
      </c>
      <c r="HA691">
        <f>IF(ISBLANK('Data Entry'!$đ$691), "", 'Data Entry'!$đ$691)</f>
      </c>
      <c r="HB691">
        <f>IF(ISBLANK('Data Entry'!$Ē$691), "", 'Data Entry'!$Ē$691)</f>
      </c>
      <c r="HC691">
        <f>IF(ISBLANK('Data Entry'!$ē$691), "", 'Data Entry'!$ē$691)</f>
      </c>
      <c r="HD691">
        <f>IF(ISBLANK('Data Entry'!$Ĕ$691), "", 'Data Entry'!$Ĕ$691)</f>
      </c>
      <c r="HE691">
        <f>IF(ISBLANK('Data Entry'!$ĕ$691), "", 'Data Entry'!$ĕ$691)</f>
      </c>
      <c r="HF691">
        <f>IF(ISBLANK('Data Entry'!$Ė$691), "", 'Data Entry'!$Ė$691)</f>
      </c>
      <c r="HG691">
        <f>IF(ISBLANK('Data Entry'!$ė$691), "", 'Data Entry'!$ė$691)</f>
      </c>
      <c r="HH691">
        <f>IF(ISBLANK('Data Entry'!$Ę$691), "", 'Data Entry'!$Ę$691)</f>
      </c>
      <c r="HI691">
        <f>IF(ISBLANK('Data Entry'!$ę$691), "", 'Data Entry'!$ę$691)</f>
      </c>
      <c r="HJ691">
        <f>IF(ISBLANK('Data Entry'!$Ě$691), "", 'Data Entry'!$Ě$691)</f>
      </c>
      <c r="HK691">
        <f>IF(ISBLANK('Data Entry'!$ě$691), "", 'Data Entry'!$ě$691)</f>
      </c>
      <c r="HL691">
        <f>IF(ISBLANK('Data Entry'!$Ĝ$691), "", 'Data Entry'!$Ĝ$691)</f>
      </c>
      <c r="HM691">
        <f>IF(ISBLANK('Data Entry'!$ĝ$691), "", 'Data Entry'!$ĝ$691)</f>
      </c>
      <c r="HN691">
        <f>IF(ISBLANK('Data Entry'!$Ğ$691), "", 'Data Entry'!$Ğ$691)</f>
      </c>
      <c r="HO691">
        <f>IF(ISBLANK('Data Entry'!$ğ$691), "", 'Data Entry'!$ğ$691)</f>
      </c>
      <c r="HP691">
        <f>IF(ISBLANK('Data Entry'!$Ġ$691), "", 'Data Entry'!$Ġ$691)</f>
      </c>
      <c r="HQ691">
        <f>IF(ISBLANK('Data Entry'!$ġ$691), "", 'Data Entry'!$ġ$691)</f>
      </c>
      <c r="HR691">
        <f>IF(ISBLANK('Data Entry'!$Ģ$691), "", 'Data Entry'!$Ģ$691)</f>
      </c>
      <c r="HS691">
        <f>IF(ISBLANK('Data Entry'!$ģ$691), "", 'Data Entry'!$ģ$691)</f>
      </c>
      <c r="HT691">
        <f>IF(ISBLANK('Data Entry'!$Ĥ$691), "", 'Data Entry'!$Ĥ$691)</f>
      </c>
      <c r="HU691">
        <f>IF(ISBLANK('Data Entry'!$ĥ$691), "", 'Data Entry'!$ĥ$691)</f>
      </c>
      <c r="HV691">
        <f>IF(ISBLANK('Data Entry'!$Ħ$691), "", 'Data Entry'!$Ħ$691)</f>
      </c>
      <c r="HW691">
        <f>IF(ISBLANK('Data Entry'!$ħ$691), "", 'Data Entry'!$ħ$691)</f>
      </c>
      <c r="HX691">
        <f>IF(ISBLANK('Data Entry'!$Ĩ$691), "", 'Data Entry'!$Ĩ$691)</f>
      </c>
      <c r="HY691">
        <f>IF(ISBLANK('Data Entry'!$ĩ$691), "", 'Data Entry'!$ĩ$691)</f>
      </c>
      <c r="HZ691">
        <f>IF(ISBLANK('Data Entry'!$Ī$691), "", 'Data Entry'!$Ī$691)</f>
      </c>
      <c r="IA691">
        <f>IF(ISBLANK('Data Entry'!$ī$691), "", 'Data Entry'!$ī$691)</f>
      </c>
      <c r="IB691">
        <f>IF(ISBLANK('Data Entry'!$Ĭ$691), "", 'Data Entry'!$Ĭ$691)</f>
      </c>
      <c r="IC691">
        <f>IF(ISBLANK('Data Entry'!$ĭ$691), "", 'Data Entry'!$ĭ$691)</f>
      </c>
      <c r="ID691">
        <f>IF(ISBLANK('Data Entry'!$Į$691), "", 'Data Entry'!$Į$691)</f>
      </c>
      <c r="IE691">
        <f>IF(ISBLANK('Data Entry'!$į$691), "", 'Data Entry'!$į$691)</f>
      </c>
      <c r="IF691">
        <f>IF(ISBLANK('Data Entry'!$İ$691), "", 'Data Entry'!$İ$691)</f>
      </c>
      <c r="IG691">
        <f>IF(ISBLANK('Data Entry'!$ı$691), "", 'Data Entry'!$ı$691)</f>
      </c>
      <c r="IH691">
        <f>IF(ISBLANK('Data Entry'!$Ĳ$691), "", 'Data Entry'!$Ĳ$691)</f>
      </c>
      <c r="II691">
        <f>IF(ISBLANK('Data Entry'!$ĳ$691), "", 'Data Entry'!$ĳ$691)</f>
      </c>
      <c r="IJ691">
        <f>IF(ISBLANK('Data Entry'!$Ĵ$691), "", 'Data Entry'!$Ĵ$691)</f>
      </c>
      <c r="IK691">
        <f>IF(ISBLANK('Data Entry'!$ĵ$691), "", 'Data Entry'!$ĵ$691)</f>
      </c>
      <c r="IL691">
        <f>IF(ISBLANK('Data Entry'!$Ķ$691), "", 'Data Entry'!$Ķ$691)</f>
      </c>
      <c r="IM691">
        <f>IF(ISBLANK('Data Entry'!$ķ$691), "", 'Data Entry'!$ķ$691)</f>
      </c>
      <c r="IN691">
        <f>IF(ISBLANK('Data Entry'!$ĸ$691), "", 'Data Entry'!$ĸ$691)</f>
      </c>
      <c r="IO691">
        <f>IF(ISBLANK('Data Entry'!$Ĺ$691), "", 'Data Entry'!$Ĺ$691)</f>
      </c>
      <c r="IP691">
        <f>IF(ISBLANK('Data Entry'!$ĺ$691), "", 'Data Entry'!$ĺ$691)</f>
      </c>
      <c r="IQ691">
        <f>IF(ISBLANK('Data Entry'!$Ļ$691), "", 'Data Entry'!$Ļ$691)</f>
      </c>
      <c r="IR691">
        <f>IF(ISBLANK('Data Entry'!$ļ$691), "", 'Data Entry'!$ļ$691)</f>
      </c>
      <c r="IS691">
        <f>IF(ISBLANK('Data Entry'!$Ľ$691), "", 'Data Entry'!$Ľ$691)</f>
      </c>
      <c r="IT691">
        <f>IF(ISBLANK('Data Entry'!$ľ$691), "", 'Data Entry'!$ľ$691)</f>
      </c>
    </row>
    <row r="692" spans="1:254" x14ac:dyDescent="0.25">
      <c r="A692">
        <f>IF(ISBLANK('Data Entry'!$A$692), "", 'Data Entry'!$A$692)</f>
      </c>
      <c r="B692">
        <f>IF(ISBLANK('Data Entry'!$B$692), "", 'Data Entry'!$B$692)</f>
      </c>
      <c r="C692">
        <f>IF(ISBLANK('Data Entry'!$C$692), "", 'Data Entry'!$C$692)</f>
      </c>
      <c r="D692">
        <f>IF(ISBLANK('Data Entry'!$D$692), "", 'Data Entry'!$D$692)</f>
      </c>
      <c r="E692">
        <f>IF(ISBLANK('Data Entry'!$E$692), "", 'Data Entry'!$E$692)</f>
      </c>
      <c r="F692">
        <f>IF(ISBLANK('Data Entry'!$F$692), "", 'Data Entry'!$F$692)</f>
      </c>
      <c r="G692">
        <f>IF(ISBLANK('Data Entry'!$G$692), "", 'Data Entry'!$G$692)</f>
      </c>
      <c r="H692">
        <f>IF(ISBLANK('Data Entry'!$H$692), "", 'Data Entry'!$H$692)</f>
      </c>
      <c r="I692">
        <f>IF(ISBLANK('Data Entry'!$I$692), "", 'Data Entry'!$I$692)</f>
      </c>
      <c r="J692">
        <f>IF(ISBLANK('Data Entry'!$J$692), "", 'Data Entry'!$J$692)</f>
      </c>
      <c r="K692">
        <f>IF(ISBLANK('Data Entry'!$K$692), "", 'Data Entry'!$K$692)</f>
      </c>
      <c r="L692">
        <f>IF(ISBLANK('Data Entry'!$L$692), "", 'Data Entry'!$L$692)</f>
      </c>
      <c r="M692">
        <f>IF(ISBLANK('Data Entry'!$M$692), "", 'Data Entry'!$M$692)</f>
      </c>
      <c r="N692">
        <f>IF(ISBLANK('Data Entry'!$N$692), "", 'Data Entry'!$N$692)</f>
      </c>
      <c r="O692">
        <f>IF(ISBLANK('Data Entry'!$O$692), "", 'Data Entry'!$O$692)</f>
      </c>
      <c r="P692">
        <f>IF(ISBLANK('Data Entry'!$P$692), "", 'Data Entry'!$P$692)</f>
      </c>
      <c r="Q692">
        <f>IF(ISBLANK('Data Entry'!$Q$692), "", 'Data Entry'!$Q$692)</f>
      </c>
      <c r="R692">
        <f>IF(ISBLANK('Data Entry'!$R$692), "", 'Data Entry'!$R$692)</f>
      </c>
      <c r="S692">
        <f>IF(ISBLANK('Data Entry'!$S$692), "", 'Data Entry'!$S$692)</f>
      </c>
      <c r="T692">
        <f>IF(ISBLANK('Data Entry'!$T$692), "", 'Data Entry'!$T$692)</f>
      </c>
      <c r="U692">
        <f>IF(ISBLANK('Data Entry'!$U$692), "", 'Data Entry'!$U$692)</f>
      </c>
      <c r="V692">
        <f>IF(ISBLANK('Data Entry'!$V$692), "", 'Data Entry'!$V$692)</f>
      </c>
      <c r="W692">
        <f>IF(ISBLANK('Data Entry'!$W$692), "", 'Data Entry'!$W$692)</f>
      </c>
      <c r="X692">
        <f>IF(ISBLANK('Data Entry'!$X$692), "", 'Data Entry'!$X$692)</f>
      </c>
      <c r="Y692">
        <f>IF(ISBLANK('Data Entry'!$Y$692), "", 'Data Entry'!$Y$692)</f>
      </c>
      <c r="Z692">
        <f>IF(ISBLANK('Data Entry'!$Z$692), "", 'Data Entry'!$Z$692)</f>
      </c>
      <c r="AA692">
        <f>IF(ISBLANK('Data Entry'!$[$692), "", 'Data Entry'!$[$692)</f>
      </c>
      <c r="AB692">
        <f>IF(ISBLANK('Data Entry'!$\$692), "", 'Data Entry'!$\$692)</f>
      </c>
      <c r="AC692">
        <f>IF(ISBLANK('Data Entry'!$]$692), "", 'Data Entry'!$]$692)</f>
      </c>
      <c r="AD692">
        <f>IF(ISBLANK('Data Entry'!$^$692), "", 'Data Entry'!$^$692)</f>
      </c>
      <c r="AE692">
        <f>IF(ISBLANK('Data Entry'!$_$692), "", 'Data Entry'!$_$692)</f>
      </c>
      <c r="AF692">
        <f>IF(ISBLANK('Data Entry'!$`$692), "", 'Data Entry'!$`$692)</f>
      </c>
      <c r="AG692">
        <f>IF(ISBLANK('Data Entry'!$a$692), "", 'Data Entry'!$a$692)</f>
      </c>
      <c r="AH692">
        <f>IF(ISBLANK('Data Entry'!$b$692), "", 'Data Entry'!$b$692)</f>
      </c>
      <c r="AI692">
        <f>IF(ISBLANK('Data Entry'!$c$692), "", 'Data Entry'!$c$692)</f>
      </c>
      <c r="AJ692">
        <f>IF(ISBLANK('Data Entry'!$d$692), "", 'Data Entry'!$d$692)</f>
      </c>
      <c r="AK692">
        <f>IF(ISBLANK('Data Entry'!$e$692), "", 'Data Entry'!$e$692)</f>
      </c>
      <c r="AL692">
        <f>IF(ISBLANK('Data Entry'!$f$692), "", 'Data Entry'!$f$692)</f>
      </c>
      <c r="AM692">
        <f>IF(ISBLANK('Data Entry'!$g$692), "", 'Data Entry'!$g$692)</f>
      </c>
      <c r="AN692">
        <f>IF(ISBLANK('Data Entry'!$h$692), "", 'Data Entry'!$h$692)</f>
      </c>
      <c r="AO692">
        <f>IF(ISBLANK('Data Entry'!$i$692), "", 'Data Entry'!$i$692)</f>
      </c>
      <c r="AP692">
        <f>IF(ISBLANK('Data Entry'!$j$692), "", 'Data Entry'!$j$692)</f>
      </c>
      <c r="AQ692">
        <f>IF(ISBLANK('Data Entry'!$k$692), "", 'Data Entry'!$k$692)</f>
      </c>
      <c r="AR692">
        <f>IF(ISBLANK('Data Entry'!$l$692), "", 'Data Entry'!$l$692)</f>
      </c>
      <c r="AS692">
        <f>IF(ISBLANK('Data Entry'!$m$692), "", 'Data Entry'!$m$692)</f>
      </c>
      <c r="AT692">
        <f>IF(ISBLANK('Data Entry'!$n$692), "", 'Data Entry'!$n$692)</f>
      </c>
      <c r="AU692">
        <f>IF(ISBLANK('Data Entry'!$o$692), "", 'Data Entry'!$o$692)</f>
      </c>
      <c r="AV692">
        <f>IF(ISBLANK('Data Entry'!$p$692), "", 'Data Entry'!$p$692)</f>
      </c>
      <c r="AW692">
        <f>IF(ISBLANK('Data Entry'!$q$692), "", 'Data Entry'!$q$692)</f>
      </c>
      <c r="AX692">
        <f>IF(ISBLANK('Data Entry'!$r$692), "", 'Data Entry'!$r$692)</f>
      </c>
      <c r="AY692">
        <f>IF(ISBLANK('Data Entry'!$s$692), "", 'Data Entry'!$s$692)</f>
      </c>
      <c r="AZ692">
        <f>IF(ISBLANK('Data Entry'!$t$692), "", 'Data Entry'!$t$692)</f>
      </c>
      <c r="BA692">
        <f>IF(ISBLANK('Data Entry'!$u$692), "", 'Data Entry'!$u$692)</f>
      </c>
      <c r="BB692">
        <f>IF(ISBLANK('Data Entry'!$v$692), "", 'Data Entry'!$v$692)</f>
      </c>
      <c r="BC692">
        <f>IF(ISBLANK('Data Entry'!$w$692), "", 'Data Entry'!$w$692)</f>
      </c>
      <c r="BD692">
        <f>IF(ISBLANK('Data Entry'!$x$692), "", 'Data Entry'!$x$692)</f>
      </c>
      <c r="BE692">
        <f>IF(ISBLANK('Data Entry'!$y$692), "", 'Data Entry'!$y$692)</f>
      </c>
      <c r="BF692">
        <f>IF(ISBLANK('Data Entry'!$z$692), "", 'Data Entry'!$z$692)</f>
      </c>
      <c r="BG692">
        <f>IF(ISBLANK('Data Entry'!${$692), "", 'Data Entry'!${$692)</f>
      </c>
      <c r="BH692">
        <f>IF(ISBLANK('Data Entry'!$|$692), "", 'Data Entry'!$|$692)</f>
      </c>
      <c r="BI692">
        <f>IF(ISBLANK('Data Entry'!$}$692), "", 'Data Entry'!$}$692)</f>
      </c>
      <c r="BJ692">
        <f>IF(ISBLANK('Data Entry'!$~$692), "", 'Data Entry'!$~$692)</f>
      </c>
      <c r="BK692">
        <f>IF(ISBLANK('Data Entry'!$$692), "", 'Data Entry'!$$692)</f>
      </c>
      <c r="BL692">
        <f>IF(ISBLANK('Data Entry'!$$692), "", 'Data Entry'!$$692)</f>
      </c>
      <c r="BM692">
        <f>IF(ISBLANK('Data Entry'!$$692), "", 'Data Entry'!$$692)</f>
      </c>
      <c r="BN692">
        <f>IF(ISBLANK('Data Entry'!$$692), "", 'Data Entry'!$$692)</f>
      </c>
      <c r="BO692">
        <f>IF(ISBLANK('Data Entry'!$$692), "", 'Data Entry'!$$692)</f>
      </c>
      <c r="BP692">
        <f>IF(ISBLANK('Data Entry'!$$692), "", 'Data Entry'!$$692)</f>
      </c>
      <c r="BQ692">
        <f>IF(ISBLANK('Data Entry'!$$692), "", 'Data Entry'!$$692)</f>
      </c>
      <c r="BR692">
        <f>IF(ISBLANK('Data Entry'!$$692), "", 'Data Entry'!$$692)</f>
      </c>
      <c r="BS692">
        <f>IF(ISBLANK('Data Entry'!$$692), "", 'Data Entry'!$$692)</f>
      </c>
      <c r="BT692">
        <f>IF(ISBLANK('Data Entry'!$$692), "", 'Data Entry'!$$692)</f>
      </c>
      <c r="BU692">
        <f>IF(ISBLANK('Data Entry'!$$692), "", 'Data Entry'!$$692)</f>
      </c>
      <c r="BV692">
        <f>IF(ISBLANK('Data Entry'!$$692), "", 'Data Entry'!$$692)</f>
      </c>
      <c r="BW692">
        <f>IF(ISBLANK('Data Entry'!$$692), "", 'Data Entry'!$$692)</f>
      </c>
      <c r="BX692">
        <f>IF(ISBLANK('Data Entry'!$$692), "", 'Data Entry'!$$692)</f>
      </c>
      <c r="BY692">
        <f>IF(ISBLANK('Data Entry'!$$692), "", 'Data Entry'!$$692)</f>
      </c>
      <c r="BZ692">
        <f>IF(ISBLANK('Data Entry'!$$692), "", 'Data Entry'!$$692)</f>
      </c>
      <c r="CA692">
        <f>IF(ISBLANK('Data Entry'!$$692), "", 'Data Entry'!$$692)</f>
      </c>
      <c r="CB692">
        <f>IF(ISBLANK('Data Entry'!$$692), "", 'Data Entry'!$$692)</f>
      </c>
      <c r="CC692">
        <f>IF(ISBLANK('Data Entry'!$$692), "", 'Data Entry'!$$692)</f>
      </c>
      <c r="CD692">
        <f>IF(ISBLANK('Data Entry'!$$692), "", 'Data Entry'!$$692)</f>
      </c>
      <c r="CE692">
        <f>IF(ISBLANK('Data Entry'!$$692), "", 'Data Entry'!$$692)</f>
      </c>
      <c r="CF692">
        <f>IF(ISBLANK('Data Entry'!$$692), "", 'Data Entry'!$$692)</f>
      </c>
      <c r="CG692">
        <f>IF(ISBLANK('Data Entry'!$$692), "", 'Data Entry'!$$692)</f>
      </c>
      <c r="CH692">
        <f>IF(ISBLANK('Data Entry'!$$692), "", 'Data Entry'!$$692)</f>
      </c>
      <c r="CI692">
        <f>IF(ISBLANK('Data Entry'!$$692), "", 'Data Entry'!$$692)</f>
      </c>
      <c r="CJ692">
        <f>IF(ISBLANK('Data Entry'!$$692), "", 'Data Entry'!$$692)</f>
      </c>
      <c r="CK692">
        <f>IF(ISBLANK('Data Entry'!$$692), "", 'Data Entry'!$$692)</f>
      </c>
      <c r="CL692">
        <f>IF(ISBLANK('Data Entry'!$$692), "", 'Data Entry'!$$692)</f>
      </c>
      <c r="CM692">
        <f>IF(ISBLANK('Data Entry'!$$692), "", 'Data Entry'!$$692)</f>
      </c>
      <c r="CN692">
        <f>IF(ISBLANK('Data Entry'!$$692), "", 'Data Entry'!$$692)</f>
      </c>
      <c r="CO692">
        <f>IF(ISBLANK('Data Entry'!$$692), "", 'Data Entry'!$$692)</f>
      </c>
      <c r="CP692">
        <f>IF(ISBLANK('Data Entry'!$$692), "", 'Data Entry'!$$692)</f>
      </c>
      <c r="CQ692">
        <f>IF(ISBLANK('Data Entry'!$$692), "", 'Data Entry'!$$692)</f>
      </c>
      <c r="CR692">
        <f>IF(ISBLANK('Data Entry'!$ $692), "", 'Data Entry'!$ $692)</f>
      </c>
      <c r="CS692">
        <f>IF(ISBLANK('Data Entry'!$¡$692), "", 'Data Entry'!$¡$692)</f>
      </c>
      <c r="CT692">
        <f>IF(ISBLANK('Data Entry'!$¢$692), "", 'Data Entry'!$¢$692)</f>
      </c>
      <c r="CU692">
        <f>IF(ISBLANK('Data Entry'!$£$692), "", 'Data Entry'!$£$692)</f>
      </c>
      <c r="CV692">
        <f>IF(ISBLANK('Data Entry'!$¤$692), "", 'Data Entry'!$¤$692)</f>
      </c>
      <c r="CW692">
        <f>IF(ISBLANK('Data Entry'!$¥$692), "", 'Data Entry'!$¥$692)</f>
      </c>
      <c r="CX692">
        <f>IF(ISBLANK('Data Entry'!$¦$692), "", 'Data Entry'!$¦$692)</f>
      </c>
      <c r="CY692">
        <f>IF(ISBLANK('Data Entry'!$§$692), "", 'Data Entry'!$§$692)</f>
      </c>
      <c r="CZ692">
        <f>IF(ISBLANK('Data Entry'!$¨$692), "", 'Data Entry'!$¨$692)</f>
      </c>
      <c r="DA692">
        <f>IF(ISBLANK('Data Entry'!$©$692), "", 'Data Entry'!$©$692)</f>
      </c>
      <c r="DB692">
        <f>IF(ISBLANK('Data Entry'!$ª$692), "", 'Data Entry'!$ª$692)</f>
      </c>
      <c r="DC692">
        <f>IF(ISBLANK('Data Entry'!$«$692), "", 'Data Entry'!$«$692)</f>
      </c>
      <c r="DD692">
        <f>IF(ISBLANK('Data Entry'!$¬$692), "", 'Data Entry'!$¬$692)</f>
      </c>
      <c r="DE692">
        <f>IF(ISBLANK('Data Entry'!$­$692), "", 'Data Entry'!$­$692)</f>
      </c>
      <c r="DF692">
        <f>IF(ISBLANK('Data Entry'!$®$692), "", 'Data Entry'!$®$692)</f>
      </c>
      <c r="DG692">
        <f>IF(ISBLANK('Data Entry'!$¯$692), "", 'Data Entry'!$¯$692)</f>
      </c>
      <c r="DH692">
        <f>IF(ISBLANK('Data Entry'!$°$692), "", 'Data Entry'!$°$692)</f>
      </c>
      <c r="DI692">
        <f>IF(ISBLANK('Data Entry'!$±$692), "", 'Data Entry'!$±$692)</f>
      </c>
      <c r="DJ692">
        <f>IF(ISBLANK('Data Entry'!$²$692), "", 'Data Entry'!$²$692)</f>
      </c>
      <c r="DK692">
        <f>IF(ISBLANK('Data Entry'!$³$692), "", 'Data Entry'!$³$692)</f>
      </c>
      <c r="DL692">
        <f>IF(ISBLANK('Data Entry'!$´$692), "", 'Data Entry'!$´$692)</f>
      </c>
      <c r="DM692">
        <f>IF(ISBLANK('Data Entry'!$µ$692), "", 'Data Entry'!$µ$692)</f>
      </c>
      <c r="DN692">
        <f>IF(ISBLANK('Data Entry'!$¶$692), "", 'Data Entry'!$¶$692)</f>
      </c>
      <c r="DO692">
        <f>IF(ISBLANK('Data Entry'!$·$692), "", 'Data Entry'!$·$692)</f>
      </c>
      <c r="DP692">
        <f>IF(ISBLANK('Data Entry'!$¸$692), "", 'Data Entry'!$¸$692)</f>
      </c>
      <c r="DQ692">
        <f>IF(ISBLANK('Data Entry'!$¹$692), "", 'Data Entry'!$¹$692)</f>
      </c>
      <c r="DR692">
        <f>IF(ISBLANK('Data Entry'!$º$692), "", 'Data Entry'!$º$692)</f>
      </c>
      <c r="DS692">
        <f>IF(ISBLANK('Data Entry'!$»$692), "", 'Data Entry'!$»$692)</f>
      </c>
      <c r="DT692">
        <f>IF(ISBLANK('Data Entry'!$¼$692), "", 'Data Entry'!$¼$692)</f>
      </c>
      <c r="DU692">
        <f>IF(ISBLANK('Data Entry'!$½$692), "", 'Data Entry'!$½$692)</f>
      </c>
      <c r="DV692">
        <f>IF(ISBLANK('Data Entry'!$¾$692), "", 'Data Entry'!$¾$692)</f>
      </c>
      <c r="DW692">
        <f>IF(ISBLANK('Data Entry'!$¿$692), "", 'Data Entry'!$¿$692)</f>
      </c>
      <c r="DX692">
        <f>IF(ISBLANK('Data Entry'!$À$692), "", 'Data Entry'!$À$692)</f>
      </c>
      <c r="DY692">
        <f>IF(ISBLANK('Data Entry'!$Á$692), "", 'Data Entry'!$Á$692)</f>
      </c>
      <c r="DZ692">
        <f>IF(ISBLANK('Data Entry'!$Â$692), "", 'Data Entry'!$Â$692)</f>
      </c>
      <c r="EA692">
        <f>IF(ISBLANK('Data Entry'!$Ã$692), "", 'Data Entry'!$Ã$692)</f>
      </c>
      <c r="EB692">
        <f>IF(ISBLANK('Data Entry'!$Ä$692), "", 'Data Entry'!$Ä$692)</f>
      </c>
      <c r="EC692">
        <f>IF(ISBLANK('Data Entry'!$Å$692), "", 'Data Entry'!$Å$692)</f>
      </c>
      <c r="ED692">
        <f>IF(ISBLANK('Data Entry'!$Æ$692), "", 'Data Entry'!$Æ$692)</f>
      </c>
      <c r="EE692">
        <f>IF(ISBLANK('Data Entry'!$Ç$692), "", 'Data Entry'!$Ç$692)</f>
      </c>
      <c r="EF692">
        <f>IF(ISBLANK('Data Entry'!$È$692), "", 'Data Entry'!$È$692)</f>
      </c>
      <c r="EG692">
        <f>IF(ISBLANK('Data Entry'!$É$692), "", 'Data Entry'!$É$692)</f>
      </c>
      <c r="EH692">
        <f>IF(ISBLANK('Data Entry'!$Ê$692), "", 'Data Entry'!$Ê$692)</f>
      </c>
      <c r="EI692">
        <f>IF(ISBLANK('Data Entry'!$Ë$692), "", 'Data Entry'!$Ë$692)</f>
      </c>
      <c r="EJ692">
        <f>IF(ISBLANK('Data Entry'!$Ì$692), "", 'Data Entry'!$Ì$692)</f>
      </c>
      <c r="EK692">
        <f>IF(ISBLANK('Data Entry'!$Í$692), "", 'Data Entry'!$Í$692)</f>
      </c>
      <c r="EL692">
        <f>IF(ISBLANK('Data Entry'!$Î$692), "", 'Data Entry'!$Î$692)</f>
      </c>
      <c r="EM692">
        <f>IF(ISBLANK('Data Entry'!$Ï$692), "", 'Data Entry'!$Ï$692)</f>
      </c>
      <c r="EN692">
        <f>IF(ISBLANK('Data Entry'!$Ð$692), "", 'Data Entry'!$Ð$692)</f>
      </c>
      <c r="EO692">
        <f>IF(ISBLANK('Data Entry'!$Ñ$692), "", 'Data Entry'!$Ñ$692)</f>
      </c>
      <c r="EP692">
        <f>IF(ISBLANK('Data Entry'!$Ò$692), "", 'Data Entry'!$Ò$692)</f>
      </c>
      <c r="EQ692">
        <f>IF(ISBLANK('Data Entry'!$Ó$692), "", 'Data Entry'!$Ó$692)</f>
      </c>
      <c r="ER692">
        <f>IF(ISBLANK('Data Entry'!$Ô$692), "", 'Data Entry'!$Ô$692)</f>
      </c>
      <c r="ES692">
        <f>IF(ISBLANK('Data Entry'!$Õ$692), "", 'Data Entry'!$Õ$692)</f>
      </c>
      <c r="ET692">
        <f>IF(ISBLANK('Data Entry'!$Ö$692), "", 'Data Entry'!$Ö$692)</f>
      </c>
      <c r="EU692">
        <f>IF(ISBLANK('Data Entry'!$×$692), "", 'Data Entry'!$×$692)</f>
      </c>
      <c r="EV692">
        <f>IF(ISBLANK('Data Entry'!$Ø$692), "", 'Data Entry'!$Ø$692)</f>
      </c>
      <c r="EW692">
        <f>IF(ISBLANK('Data Entry'!$Ù$692), "", 'Data Entry'!$Ù$692)</f>
      </c>
      <c r="EX692">
        <f>IF(ISBLANK('Data Entry'!$Ú$692), "", 'Data Entry'!$Ú$692)</f>
      </c>
      <c r="EY692">
        <f>IF(ISBLANK('Data Entry'!$Û$692), "", 'Data Entry'!$Û$692)</f>
      </c>
      <c r="EZ692">
        <f>IF(ISBLANK('Data Entry'!$Ü$692), "", 'Data Entry'!$Ü$692)</f>
      </c>
      <c r="FA692">
        <f>IF(ISBLANK('Data Entry'!$Ý$692), "", 'Data Entry'!$Ý$692)</f>
      </c>
      <c r="FB692">
        <f>IF(ISBLANK('Data Entry'!$Þ$692), "", 'Data Entry'!$Þ$692)</f>
      </c>
      <c r="FC692">
        <f>IF(ISBLANK('Data Entry'!$ß$692), "", 'Data Entry'!$ß$692)</f>
      </c>
      <c r="FD692">
        <f>IF(ISBLANK('Data Entry'!$à$692), "", 'Data Entry'!$à$692)</f>
      </c>
      <c r="FE692">
        <f>IF(ISBLANK('Data Entry'!$á$692), "", 'Data Entry'!$á$692)</f>
      </c>
      <c r="FF692">
        <f>IF(ISBLANK('Data Entry'!$â$692), "", 'Data Entry'!$â$692)</f>
      </c>
      <c r="FG692">
        <f>IF(ISBLANK('Data Entry'!$ã$692), "", 'Data Entry'!$ã$692)</f>
      </c>
      <c r="FH692">
        <f>IF(ISBLANK('Data Entry'!$ä$692), "", 'Data Entry'!$ä$692)</f>
      </c>
      <c r="FI692">
        <f>IF(ISBLANK('Data Entry'!$å$692), "", 'Data Entry'!$å$692)</f>
      </c>
      <c r="FJ692">
        <f>IF(ISBLANK('Data Entry'!$æ$692), "", 'Data Entry'!$æ$692)</f>
      </c>
      <c r="FK692">
        <f>IF(ISBLANK('Data Entry'!$ç$692), "", 'Data Entry'!$ç$692)</f>
      </c>
      <c r="FL692">
        <f>IF(ISBLANK('Data Entry'!$è$692), "", 'Data Entry'!$è$692)</f>
      </c>
      <c r="FM692">
        <f>IF(ISBLANK('Data Entry'!$é$692), "", 'Data Entry'!$é$692)</f>
      </c>
      <c r="FN692">
        <f>IF(ISBLANK('Data Entry'!$ê$692), "", 'Data Entry'!$ê$692)</f>
      </c>
      <c r="FO692">
        <f>IF(ISBLANK('Data Entry'!$ë$692), "", 'Data Entry'!$ë$692)</f>
      </c>
      <c r="FP692">
        <f>IF(ISBLANK('Data Entry'!$ì$692), "", 'Data Entry'!$ì$692)</f>
      </c>
      <c r="FQ692">
        <f>IF(ISBLANK('Data Entry'!$í$692), "", 'Data Entry'!$í$692)</f>
      </c>
      <c r="FR692">
        <f>IF(ISBLANK('Data Entry'!$î$692), "", 'Data Entry'!$î$692)</f>
      </c>
      <c r="FS692">
        <f>IF(ISBLANK('Data Entry'!$ï$692), "", 'Data Entry'!$ï$692)</f>
      </c>
      <c r="FT692">
        <f>IF(ISBLANK('Data Entry'!$ð$692), "", 'Data Entry'!$ð$692)</f>
      </c>
      <c r="FU692">
        <f>IF(ISBLANK('Data Entry'!$ñ$692), "", 'Data Entry'!$ñ$692)</f>
      </c>
      <c r="FV692">
        <f>IF(ISBLANK('Data Entry'!$ò$692), "", 'Data Entry'!$ò$692)</f>
      </c>
      <c r="FW692">
        <f>IF(ISBLANK('Data Entry'!$ó$692), "", 'Data Entry'!$ó$692)</f>
      </c>
      <c r="FX692">
        <f>IF(ISBLANK('Data Entry'!$ô$692), "", 'Data Entry'!$ô$692)</f>
      </c>
      <c r="FY692">
        <f>IF(ISBLANK('Data Entry'!$õ$692), "", 'Data Entry'!$õ$692)</f>
      </c>
      <c r="FZ692">
        <f>IF(ISBLANK('Data Entry'!$ö$692), "", 'Data Entry'!$ö$692)</f>
      </c>
      <c r="GA692">
        <f>IF(ISBLANK('Data Entry'!$÷$692), "", 'Data Entry'!$÷$692)</f>
      </c>
      <c r="GB692">
        <f>IF(ISBLANK('Data Entry'!$ø$692), "", 'Data Entry'!$ø$692)</f>
      </c>
      <c r="GC692">
        <f>IF(ISBLANK('Data Entry'!$ù$692), "", 'Data Entry'!$ù$692)</f>
      </c>
      <c r="GD692">
        <f>IF(ISBLANK('Data Entry'!$ú$692), "", 'Data Entry'!$ú$692)</f>
      </c>
      <c r="GE692">
        <f>IF(ISBLANK('Data Entry'!$û$692), "", 'Data Entry'!$û$692)</f>
      </c>
      <c r="GF692">
        <f>IF(ISBLANK('Data Entry'!$ü$692), "", 'Data Entry'!$ü$692)</f>
      </c>
      <c r="GG692">
        <f>IF(ISBLANK('Data Entry'!$ý$692), "", 'Data Entry'!$ý$692)</f>
      </c>
      <c r="GH692">
        <f>IF(ISBLANK('Data Entry'!$þ$692), "", 'Data Entry'!$þ$692)</f>
      </c>
      <c r="GI692">
        <f>IF(ISBLANK('Data Entry'!$ÿ$692), "", 'Data Entry'!$ÿ$692)</f>
      </c>
      <c r="GJ692">
        <f>IF(ISBLANK('Data Entry'!$Ā$692), "", 'Data Entry'!$Ā$692)</f>
      </c>
      <c r="GK692">
        <f>IF(ISBLANK('Data Entry'!$ā$692), "", 'Data Entry'!$ā$692)</f>
      </c>
      <c r="GL692">
        <f>IF(ISBLANK('Data Entry'!$Ă$692), "", 'Data Entry'!$Ă$692)</f>
      </c>
      <c r="GM692">
        <f>IF(ISBLANK('Data Entry'!$ă$692), "", 'Data Entry'!$ă$692)</f>
      </c>
      <c r="GN692">
        <f>IF(ISBLANK('Data Entry'!$Ą$692), "", 'Data Entry'!$Ą$692)</f>
      </c>
      <c r="GO692">
        <f>IF(ISBLANK('Data Entry'!$ą$692), "", 'Data Entry'!$ą$692)</f>
      </c>
      <c r="GP692">
        <f>IF(ISBLANK('Data Entry'!$Ć$692), "", 'Data Entry'!$Ć$692)</f>
      </c>
      <c r="GQ692">
        <f>IF(ISBLANK('Data Entry'!$ć$692), "", 'Data Entry'!$ć$692)</f>
      </c>
      <c r="GR692">
        <f>IF(ISBLANK('Data Entry'!$Ĉ$692), "", 'Data Entry'!$Ĉ$692)</f>
      </c>
      <c r="GS692">
        <f>IF(ISBLANK('Data Entry'!$ĉ$692), "", 'Data Entry'!$ĉ$692)</f>
      </c>
      <c r="GT692">
        <f>IF(ISBLANK('Data Entry'!$Ċ$692), "", 'Data Entry'!$Ċ$692)</f>
      </c>
      <c r="GU692">
        <f>IF(ISBLANK('Data Entry'!$ċ$692), "", 'Data Entry'!$ċ$692)</f>
      </c>
      <c r="GV692">
        <f>IF(ISBLANK('Data Entry'!$Č$692), "", 'Data Entry'!$Č$692)</f>
      </c>
      <c r="GW692">
        <f>IF(ISBLANK('Data Entry'!$č$692), "", 'Data Entry'!$č$692)</f>
      </c>
      <c r="GX692">
        <f>IF(ISBLANK('Data Entry'!$Ď$692), "", 'Data Entry'!$Ď$692)</f>
      </c>
      <c r="GY692">
        <f>IF(ISBLANK('Data Entry'!$ď$692), "", 'Data Entry'!$ď$692)</f>
      </c>
      <c r="GZ692">
        <f>IF(ISBLANK('Data Entry'!$Đ$692), "", 'Data Entry'!$Đ$692)</f>
      </c>
      <c r="HA692">
        <f>IF(ISBLANK('Data Entry'!$đ$692), "", 'Data Entry'!$đ$692)</f>
      </c>
      <c r="HB692">
        <f>IF(ISBLANK('Data Entry'!$Ē$692), "", 'Data Entry'!$Ē$692)</f>
      </c>
      <c r="HC692">
        <f>IF(ISBLANK('Data Entry'!$ē$692), "", 'Data Entry'!$ē$692)</f>
      </c>
      <c r="HD692">
        <f>IF(ISBLANK('Data Entry'!$Ĕ$692), "", 'Data Entry'!$Ĕ$692)</f>
      </c>
      <c r="HE692">
        <f>IF(ISBLANK('Data Entry'!$ĕ$692), "", 'Data Entry'!$ĕ$692)</f>
      </c>
      <c r="HF692">
        <f>IF(ISBLANK('Data Entry'!$Ė$692), "", 'Data Entry'!$Ė$692)</f>
      </c>
      <c r="HG692">
        <f>IF(ISBLANK('Data Entry'!$ė$692), "", 'Data Entry'!$ė$692)</f>
      </c>
      <c r="HH692">
        <f>IF(ISBLANK('Data Entry'!$Ę$692), "", 'Data Entry'!$Ę$692)</f>
      </c>
      <c r="HI692">
        <f>IF(ISBLANK('Data Entry'!$ę$692), "", 'Data Entry'!$ę$692)</f>
      </c>
      <c r="HJ692">
        <f>IF(ISBLANK('Data Entry'!$Ě$692), "", 'Data Entry'!$Ě$692)</f>
      </c>
      <c r="HK692">
        <f>IF(ISBLANK('Data Entry'!$ě$692), "", 'Data Entry'!$ě$692)</f>
      </c>
      <c r="HL692">
        <f>IF(ISBLANK('Data Entry'!$Ĝ$692), "", 'Data Entry'!$Ĝ$692)</f>
      </c>
      <c r="HM692">
        <f>IF(ISBLANK('Data Entry'!$ĝ$692), "", 'Data Entry'!$ĝ$692)</f>
      </c>
      <c r="HN692">
        <f>IF(ISBLANK('Data Entry'!$Ğ$692), "", 'Data Entry'!$Ğ$692)</f>
      </c>
      <c r="HO692">
        <f>IF(ISBLANK('Data Entry'!$ğ$692), "", 'Data Entry'!$ğ$692)</f>
      </c>
      <c r="HP692">
        <f>IF(ISBLANK('Data Entry'!$Ġ$692), "", 'Data Entry'!$Ġ$692)</f>
      </c>
      <c r="HQ692">
        <f>IF(ISBLANK('Data Entry'!$ġ$692), "", 'Data Entry'!$ġ$692)</f>
      </c>
      <c r="HR692">
        <f>IF(ISBLANK('Data Entry'!$Ģ$692), "", 'Data Entry'!$Ģ$692)</f>
      </c>
      <c r="HS692">
        <f>IF(ISBLANK('Data Entry'!$ģ$692), "", 'Data Entry'!$ģ$692)</f>
      </c>
      <c r="HT692">
        <f>IF(ISBLANK('Data Entry'!$Ĥ$692), "", 'Data Entry'!$Ĥ$692)</f>
      </c>
      <c r="HU692">
        <f>IF(ISBLANK('Data Entry'!$ĥ$692), "", 'Data Entry'!$ĥ$692)</f>
      </c>
      <c r="HV692">
        <f>IF(ISBLANK('Data Entry'!$Ħ$692), "", 'Data Entry'!$Ħ$692)</f>
      </c>
      <c r="HW692">
        <f>IF(ISBLANK('Data Entry'!$ħ$692), "", 'Data Entry'!$ħ$692)</f>
      </c>
      <c r="HX692">
        <f>IF(ISBLANK('Data Entry'!$Ĩ$692), "", 'Data Entry'!$Ĩ$692)</f>
      </c>
      <c r="HY692">
        <f>IF(ISBLANK('Data Entry'!$ĩ$692), "", 'Data Entry'!$ĩ$692)</f>
      </c>
      <c r="HZ692">
        <f>IF(ISBLANK('Data Entry'!$Ī$692), "", 'Data Entry'!$Ī$692)</f>
      </c>
      <c r="IA692">
        <f>IF(ISBLANK('Data Entry'!$ī$692), "", 'Data Entry'!$ī$692)</f>
      </c>
      <c r="IB692">
        <f>IF(ISBLANK('Data Entry'!$Ĭ$692), "", 'Data Entry'!$Ĭ$692)</f>
      </c>
      <c r="IC692">
        <f>IF(ISBLANK('Data Entry'!$ĭ$692), "", 'Data Entry'!$ĭ$692)</f>
      </c>
      <c r="ID692">
        <f>IF(ISBLANK('Data Entry'!$Į$692), "", 'Data Entry'!$Į$692)</f>
      </c>
      <c r="IE692">
        <f>IF(ISBLANK('Data Entry'!$į$692), "", 'Data Entry'!$į$692)</f>
      </c>
      <c r="IF692">
        <f>IF(ISBLANK('Data Entry'!$İ$692), "", 'Data Entry'!$İ$692)</f>
      </c>
      <c r="IG692">
        <f>IF(ISBLANK('Data Entry'!$ı$692), "", 'Data Entry'!$ı$692)</f>
      </c>
      <c r="IH692">
        <f>IF(ISBLANK('Data Entry'!$Ĳ$692), "", 'Data Entry'!$Ĳ$692)</f>
      </c>
      <c r="II692">
        <f>IF(ISBLANK('Data Entry'!$ĳ$692), "", 'Data Entry'!$ĳ$692)</f>
      </c>
      <c r="IJ692">
        <f>IF(ISBLANK('Data Entry'!$Ĵ$692), "", 'Data Entry'!$Ĵ$692)</f>
      </c>
      <c r="IK692">
        <f>IF(ISBLANK('Data Entry'!$ĵ$692), "", 'Data Entry'!$ĵ$692)</f>
      </c>
      <c r="IL692">
        <f>IF(ISBLANK('Data Entry'!$Ķ$692), "", 'Data Entry'!$Ķ$692)</f>
      </c>
      <c r="IM692">
        <f>IF(ISBLANK('Data Entry'!$ķ$692), "", 'Data Entry'!$ķ$692)</f>
      </c>
      <c r="IN692">
        <f>IF(ISBLANK('Data Entry'!$ĸ$692), "", 'Data Entry'!$ĸ$692)</f>
      </c>
      <c r="IO692">
        <f>IF(ISBLANK('Data Entry'!$Ĺ$692), "", 'Data Entry'!$Ĺ$692)</f>
      </c>
      <c r="IP692">
        <f>IF(ISBLANK('Data Entry'!$ĺ$692), "", 'Data Entry'!$ĺ$692)</f>
      </c>
      <c r="IQ692">
        <f>IF(ISBLANK('Data Entry'!$Ļ$692), "", 'Data Entry'!$Ļ$692)</f>
      </c>
      <c r="IR692">
        <f>IF(ISBLANK('Data Entry'!$ļ$692), "", 'Data Entry'!$ļ$692)</f>
      </c>
      <c r="IS692">
        <f>IF(ISBLANK('Data Entry'!$Ľ$692), "", 'Data Entry'!$Ľ$692)</f>
      </c>
      <c r="IT692">
        <f>IF(ISBLANK('Data Entry'!$ľ$692), "", 'Data Entry'!$ľ$692)</f>
      </c>
    </row>
    <row r="693" spans="1:254" x14ac:dyDescent="0.25">
      <c r="A693">
        <f>IF(ISBLANK('Data Entry'!$A$693), "", 'Data Entry'!$A$693)</f>
      </c>
      <c r="B693">
        <f>IF(ISBLANK('Data Entry'!$B$693), "", 'Data Entry'!$B$693)</f>
      </c>
      <c r="C693">
        <f>IF(ISBLANK('Data Entry'!$C$693), "", 'Data Entry'!$C$693)</f>
      </c>
      <c r="D693">
        <f>IF(ISBLANK('Data Entry'!$D$693), "", 'Data Entry'!$D$693)</f>
      </c>
      <c r="E693">
        <f>IF(ISBLANK('Data Entry'!$E$693), "", 'Data Entry'!$E$693)</f>
      </c>
      <c r="F693">
        <f>IF(ISBLANK('Data Entry'!$F$693), "", 'Data Entry'!$F$693)</f>
      </c>
      <c r="G693">
        <f>IF(ISBLANK('Data Entry'!$G$693), "", 'Data Entry'!$G$693)</f>
      </c>
      <c r="H693">
        <f>IF(ISBLANK('Data Entry'!$H$693), "", 'Data Entry'!$H$693)</f>
      </c>
      <c r="I693">
        <f>IF(ISBLANK('Data Entry'!$I$693), "", 'Data Entry'!$I$693)</f>
      </c>
      <c r="J693">
        <f>IF(ISBLANK('Data Entry'!$J$693), "", 'Data Entry'!$J$693)</f>
      </c>
      <c r="K693">
        <f>IF(ISBLANK('Data Entry'!$K$693), "", 'Data Entry'!$K$693)</f>
      </c>
      <c r="L693">
        <f>IF(ISBLANK('Data Entry'!$L$693), "", 'Data Entry'!$L$693)</f>
      </c>
      <c r="M693">
        <f>IF(ISBLANK('Data Entry'!$M$693), "", 'Data Entry'!$M$693)</f>
      </c>
      <c r="N693">
        <f>IF(ISBLANK('Data Entry'!$N$693), "", 'Data Entry'!$N$693)</f>
      </c>
      <c r="O693">
        <f>IF(ISBLANK('Data Entry'!$O$693), "", 'Data Entry'!$O$693)</f>
      </c>
      <c r="P693">
        <f>IF(ISBLANK('Data Entry'!$P$693), "", 'Data Entry'!$P$693)</f>
      </c>
      <c r="Q693">
        <f>IF(ISBLANK('Data Entry'!$Q$693), "", 'Data Entry'!$Q$693)</f>
      </c>
      <c r="R693">
        <f>IF(ISBLANK('Data Entry'!$R$693), "", 'Data Entry'!$R$693)</f>
      </c>
      <c r="S693">
        <f>IF(ISBLANK('Data Entry'!$S$693), "", 'Data Entry'!$S$693)</f>
      </c>
      <c r="T693">
        <f>IF(ISBLANK('Data Entry'!$T$693), "", 'Data Entry'!$T$693)</f>
      </c>
      <c r="U693">
        <f>IF(ISBLANK('Data Entry'!$U$693), "", 'Data Entry'!$U$693)</f>
      </c>
      <c r="V693">
        <f>IF(ISBLANK('Data Entry'!$V$693), "", 'Data Entry'!$V$693)</f>
      </c>
      <c r="W693">
        <f>IF(ISBLANK('Data Entry'!$W$693), "", 'Data Entry'!$W$693)</f>
      </c>
      <c r="X693">
        <f>IF(ISBLANK('Data Entry'!$X$693), "", 'Data Entry'!$X$693)</f>
      </c>
      <c r="Y693">
        <f>IF(ISBLANK('Data Entry'!$Y$693), "", 'Data Entry'!$Y$693)</f>
      </c>
      <c r="Z693">
        <f>IF(ISBLANK('Data Entry'!$Z$693), "", 'Data Entry'!$Z$693)</f>
      </c>
      <c r="AA693">
        <f>IF(ISBLANK('Data Entry'!$[$693), "", 'Data Entry'!$[$693)</f>
      </c>
      <c r="AB693">
        <f>IF(ISBLANK('Data Entry'!$\$693), "", 'Data Entry'!$\$693)</f>
      </c>
      <c r="AC693">
        <f>IF(ISBLANK('Data Entry'!$]$693), "", 'Data Entry'!$]$693)</f>
      </c>
      <c r="AD693">
        <f>IF(ISBLANK('Data Entry'!$^$693), "", 'Data Entry'!$^$693)</f>
      </c>
      <c r="AE693">
        <f>IF(ISBLANK('Data Entry'!$_$693), "", 'Data Entry'!$_$693)</f>
      </c>
      <c r="AF693">
        <f>IF(ISBLANK('Data Entry'!$`$693), "", 'Data Entry'!$`$693)</f>
      </c>
      <c r="AG693">
        <f>IF(ISBLANK('Data Entry'!$a$693), "", 'Data Entry'!$a$693)</f>
      </c>
      <c r="AH693">
        <f>IF(ISBLANK('Data Entry'!$b$693), "", 'Data Entry'!$b$693)</f>
      </c>
      <c r="AI693">
        <f>IF(ISBLANK('Data Entry'!$c$693), "", 'Data Entry'!$c$693)</f>
      </c>
      <c r="AJ693">
        <f>IF(ISBLANK('Data Entry'!$d$693), "", 'Data Entry'!$d$693)</f>
      </c>
      <c r="AK693">
        <f>IF(ISBLANK('Data Entry'!$e$693), "", 'Data Entry'!$e$693)</f>
      </c>
      <c r="AL693">
        <f>IF(ISBLANK('Data Entry'!$f$693), "", 'Data Entry'!$f$693)</f>
      </c>
      <c r="AM693">
        <f>IF(ISBLANK('Data Entry'!$g$693), "", 'Data Entry'!$g$693)</f>
      </c>
      <c r="AN693">
        <f>IF(ISBLANK('Data Entry'!$h$693), "", 'Data Entry'!$h$693)</f>
      </c>
      <c r="AO693">
        <f>IF(ISBLANK('Data Entry'!$i$693), "", 'Data Entry'!$i$693)</f>
      </c>
      <c r="AP693">
        <f>IF(ISBLANK('Data Entry'!$j$693), "", 'Data Entry'!$j$693)</f>
      </c>
      <c r="AQ693">
        <f>IF(ISBLANK('Data Entry'!$k$693), "", 'Data Entry'!$k$693)</f>
      </c>
      <c r="AR693">
        <f>IF(ISBLANK('Data Entry'!$l$693), "", 'Data Entry'!$l$693)</f>
      </c>
      <c r="AS693">
        <f>IF(ISBLANK('Data Entry'!$m$693), "", 'Data Entry'!$m$693)</f>
      </c>
      <c r="AT693">
        <f>IF(ISBLANK('Data Entry'!$n$693), "", 'Data Entry'!$n$693)</f>
      </c>
      <c r="AU693">
        <f>IF(ISBLANK('Data Entry'!$o$693), "", 'Data Entry'!$o$693)</f>
      </c>
      <c r="AV693">
        <f>IF(ISBLANK('Data Entry'!$p$693), "", 'Data Entry'!$p$693)</f>
      </c>
      <c r="AW693">
        <f>IF(ISBLANK('Data Entry'!$q$693), "", 'Data Entry'!$q$693)</f>
      </c>
      <c r="AX693">
        <f>IF(ISBLANK('Data Entry'!$r$693), "", 'Data Entry'!$r$693)</f>
      </c>
      <c r="AY693">
        <f>IF(ISBLANK('Data Entry'!$s$693), "", 'Data Entry'!$s$693)</f>
      </c>
      <c r="AZ693">
        <f>IF(ISBLANK('Data Entry'!$t$693), "", 'Data Entry'!$t$693)</f>
      </c>
      <c r="BA693">
        <f>IF(ISBLANK('Data Entry'!$u$693), "", 'Data Entry'!$u$693)</f>
      </c>
      <c r="BB693">
        <f>IF(ISBLANK('Data Entry'!$v$693), "", 'Data Entry'!$v$693)</f>
      </c>
      <c r="BC693">
        <f>IF(ISBLANK('Data Entry'!$w$693), "", 'Data Entry'!$w$693)</f>
      </c>
      <c r="BD693">
        <f>IF(ISBLANK('Data Entry'!$x$693), "", 'Data Entry'!$x$693)</f>
      </c>
      <c r="BE693">
        <f>IF(ISBLANK('Data Entry'!$y$693), "", 'Data Entry'!$y$693)</f>
      </c>
      <c r="BF693">
        <f>IF(ISBLANK('Data Entry'!$z$693), "", 'Data Entry'!$z$693)</f>
      </c>
      <c r="BG693">
        <f>IF(ISBLANK('Data Entry'!${$693), "", 'Data Entry'!${$693)</f>
      </c>
      <c r="BH693">
        <f>IF(ISBLANK('Data Entry'!$|$693), "", 'Data Entry'!$|$693)</f>
      </c>
      <c r="BI693">
        <f>IF(ISBLANK('Data Entry'!$}$693), "", 'Data Entry'!$}$693)</f>
      </c>
      <c r="BJ693">
        <f>IF(ISBLANK('Data Entry'!$~$693), "", 'Data Entry'!$~$693)</f>
      </c>
      <c r="BK693">
        <f>IF(ISBLANK('Data Entry'!$$693), "", 'Data Entry'!$$693)</f>
      </c>
      <c r="BL693">
        <f>IF(ISBLANK('Data Entry'!$$693), "", 'Data Entry'!$$693)</f>
      </c>
      <c r="BM693">
        <f>IF(ISBLANK('Data Entry'!$$693), "", 'Data Entry'!$$693)</f>
      </c>
      <c r="BN693">
        <f>IF(ISBLANK('Data Entry'!$$693), "", 'Data Entry'!$$693)</f>
      </c>
      <c r="BO693">
        <f>IF(ISBLANK('Data Entry'!$$693), "", 'Data Entry'!$$693)</f>
      </c>
      <c r="BP693">
        <f>IF(ISBLANK('Data Entry'!$$693), "", 'Data Entry'!$$693)</f>
      </c>
      <c r="BQ693">
        <f>IF(ISBLANK('Data Entry'!$$693), "", 'Data Entry'!$$693)</f>
      </c>
      <c r="BR693">
        <f>IF(ISBLANK('Data Entry'!$$693), "", 'Data Entry'!$$693)</f>
      </c>
      <c r="BS693">
        <f>IF(ISBLANK('Data Entry'!$$693), "", 'Data Entry'!$$693)</f>
      </c>
      <c r="BT693">
        <f>IF(ISBLANK('Data Entry'!$$693), "", 'Data Entry'!$$693)</f>
      </c>
      <c r="BU693">
        <f>IF(ISBLANK('Data Entry'!$$693), "", 'Data Entry'!$$693)</f>
      </c>
      <c r="BV693">
        <f>IF(ISBLANK('Data Entry'!$$693), "", 'Data Entry'!$$693)</f>
      </c>
      <c r="BW693">
        <f>IF(ISBLANK('Data Entry'!$$693), "", 'Data Entry'!$$693)</f>
      </c>
      <c r="BX693">
        <f>IF(ISBLANK('Data Entry'!$$693), "", 'Data Entry'!$$693)</f>
      </c>
      <c r="BY693">
        <f>IF(ISBLANK('Data Entry'!$$693), "", 'Data Entry'!$$693)</f>
      </c>
      <c r="BZ693">
        <f>IF(ISBLANK('Data Entry'!$$693), "", 'Data Entry'!$$693)</f>
      </c>
      <c r="CA693">
        <f>IF(ISBLANK('Data Entry'!$$693), "", 'Data Entry'!$$693)</f>
      </c>
      <c r="CB693">
        <f>IF(ISBLANK('Data Entry'!$$693), "", 'Data Entry'!$$693)</f>
      </c>
      <c r="CC693">
        <f>IF(ISBLANK('Data Entry'!$$693), "", 'Data Entry'!$$693)</f>
      </c>
      <c r="CD693">
        <f>IF(ISBLANK('Data Entry'!$$693), "", 'Data Entry'!$$693)</f>
      </c>
      <c r="CE693">
        <f>IF(ISBLANK('Data Entry'!$$693), "", 'Data Entry'!$$693)</f>
      </c>
      <c r="CF693">
        <f>IF(ISBLANK('Data Entry'!$$693), "", 'Data Entry'!$$693)</f>
      </c>
      <c r="CG693">
        <f>IF(ISBLANK('Data Entry'!$$693), "", 'Data Entry'!$$693)</f>
      </c>
      <c r="CH693">
        <f>IF(ISBLANK('Data Entry'!$$693), "", 'Data Entry'!$$693)</f>
      </c>
      <c r="CI693">
        <f>IF(ISBLANK('Data Entry'!$$693), "", 'Data Entry'!$$693)</f>
      </c>
      <c r="CJ693">
        <f>IF(ISBLANK('Data Entry'!$$693), "", 'Data Entry'!$$693)</f>
      </c>
      <c r="CK693">
        <f>IF(ISBLANK('Data Entry'!$$693), "", 'Data Entry'!$$693)</f>
      </c>
      <c r="CL693">
        <f>IF(ISBLANK('Data Entry'!$$693), "", 'Data Entry'!$$693)</f>
      </c>
      <c r="CM693">
        <f>IF(ISBLANK('Data Entry'!$$693), "", 'Data Entry'!$$693)</f>
      </c>
      <c r="CN693">
        <f>IF(ISBLANK('Data Entry'!$$693), "", 'Data Entry'!$$693)</f>
      </c>
      <c r="CO693">
        <f>IF(ISBLANK('Data Entry'!$$693), "", 'Data Entry'!$$693)</f>
      </c>
      <c r="CP693">
        <f>IF(ISBLANK('Data Entry'!$$693), "", 'Data Entry'!$$693)</f>
      </c>
      <c r="CQ693">
        <f>IF(ISBLANK('Data Entry'!$$693), "", 'Data Entry'!$$693)</f>
      </c>
      <c r="CR693">
        <f>IF(ISBLANK('Data Entry'!$ $693), "", 'Data Entry'!$ $693)</f>
      </c>
      <c r="CS693">
        <f>IF(ISBLANK('Data Entry'!$¡$693), "", 'Data Entry'!$¡$693)</f>
      </c>
      <c r="CT693">
        <f>IF(ISBLANK('Data Entry'!$¢$693), "", 'Data Entry'!$¢$693)</f>
      </c>
      <c r="CU693">
        <f>IF(ISBLANK('Data Entry'!$£$693), "", 'Data Entry'!$£$693)</f>
      </c>
      <c r="CV693">
        <f>IF(ISBLANK('Data Entry'!$¤$693), "", 'Data Entry'!$¤$693)</f>
      </c>
      <c r="CW693">
        <f>IF(ISBLANK('Data Entry'!$¥$693), "", 'Data Entry'!$¥$693)</f>
      </c>
      <c r="CX693">
        <f>IF(ISBLANK('Data Entry'!$¦$693), "", 'Data Entry'!$¦$693)</f>
      </c>
      <c r="CY693">
        <f>IF(ISBLANK('Data Entry'!$§$693), "", 'Data Entry'!$§$693)</f>
      </c>
      <c r="CZ693">
        <f>IF(ISBLANK('Data Entry'!$¨$693), "", 'Data Entry'!$¨$693)</f>
      </c>
      <c r="DA693">
        <f>IF(ISBLANK('Data Entry'!$©$693), "", 'Data Entry'!$©$693)</f>
      </c>
      <c r="DB693">
        <f>IF(ISBLANK('Data Entry'!$ª$693), "", 'Data Entry'!$ª$693)</f>
      </c>
      <c r="DC693">
        <f>IF(ISBLANK('Data Entry'!$«$693), "", 'Data Entry'!$«$693)</f>
      </c>
      <c r="DD693">
        <f>IF(ISBLANK('Data Entry'!$¬$693), "", 'Data Entry'!$¬$693)</f>
      </c>
      <c r="DE693">
        <f>IF(ISBLANK('Data Entry'!$­$693), "", 'Data Entry'!$­$693)</f>
      </c>
      <c r="DF693">
        <f>IF(ISBLANK('Data Entry'!$®$693), "", 'Data Entry'!$®$693)</f>
      </c>
      <c r="DG693">
        <f>IF(ISBLANK('Data Entry'!$¯$693), "", 'Data Entry'!$¯$693)</f>
      </c>
      <c r="DH693">
        <f>IF(ISBLANK('Data Entry'!$°$693), "", 'Data Entry'!$°$693)</f>
      </c>
      <c r="DI693">
        <f>IF(ISBLANK('Data Entry'!$±$693), "", 'Data Entry'!$±$693)</f>
      </c>
      <c r="DJ693">
        <f>IF(ISBLANK('Data Entry'!$²$693), "", 'Data Entry'!$²$693)</f>
      </c>
      <c r="DK693">
        <f>IF(ISBLANK('Data Entry'!$³$693), "", 'Data Entry'!$³$693)</f>
      </c>
      <c r="DL693">
        <f>IF(ISBLANK('Data Entry'!$´$693), "", 'Data Entry'!$´$693)</f>
      </c>
      <c r="DM693">
        <f>IF(ISBLANK('Data Entry'!$µ$693), "", 'Data Entry'!$µ$693)</f>
      </c>
      <c r="DN693">
        <f>IF(ISBLANK('Data Entry'!$¶$693), "", 'Data Entry'!$¶$693)</f>
      </c>
      <c r="DO693">
        <f>IF(ISBLANK('Data Entry'!$·$693), "", 'Data Entry'!$·$693)</f>
      </c>
      <c r="DP693">
        <f>IF(ISBLANK('Data Entry'!$¸$693), "", 'Data Entry'!$¸$693)</f>
      </c>
      <c r="DQ693">
        <f>IF(ISBLANK('Data Entry'!$¹$693), "", 'Data Entry'!$¹$693)</f>
      </c>
      <c r="DR693">
        <f>IF(ISBLANK('Data Entry'!$º$693), "", 'Data Entry'!$º$693)</f>
      </c>
      <c r="DS693">
        <f>IF(ISBLANK('Data Entry'!$»$693), "", 'Data Entry'!$»$693)</f>
      </c>
      <c r="DT693">
        <f>IF(ISBLANK('Data Entry'!$¼$693), "", 'Data Entry'!$¼$693)</f>
      </c>
      <c r="DU693">
        <f>IF(ISBLANK('Data Entry'!$½$693), "", 'Data Entry'!$½$693)</f>
      </c>
      <c r="DV693">
        <f>IF(ISBLANK('Data Entry'!$¾$693), "", 'Data Entry'!$¾$693)</f>
      </c>
      <c r="DW693">
        <f>IF(ISBLANK('Data Entry'!$¿$693), "", 'Data Entry'!$¿$693)</f>
      </c>
      <c r="DX693">
        <f>IF(ISBLANK('Data Entry'!$À$693), "", 'Data Entry'!$À$693)</f>
      </c>
      <c r="DY693">
        <f>IF(ISBLANK('Data Entry'!$Á$693), "", 'Data Entry'!$Á$693)</f>
      </c>
      <c r="DZ693">
        <f>IF(ISBLANK('Data Entry'!$Â$693), "", 'Data Entry'!$Â$693)</f>
      </c>
      <c r="EA693">
        <f>IF(ISBLANK('Data Entry'!$Ã$693), "", 'Data Entry'!$Ã$693)</f>
      </c>
      <c r="EB693">
        <f>IF(ISBLANK('Data Entry'!$Ä$693), "", 'Data Entry'!$Ä$693)</f>
      </c>
      <c r="EC693">
        <f>IF(ISBLANK('Data Entry'!$Å$693), "", 'Data Entry'!$Å$693)</f>
      </c>
      <c r="ED693">
        <f>IF(ISBLANK('Data Entry'!$Æ$693), "", 'Data Entry'!$Æ$693)</f>
      </c>
      <c r="EE693">
        <f>IF(ISBLANK('Data Entry'!$Ç$693), "", 'Data Entry'!$Ç$693)</f>
      </c>
      <c r="EF693">
        <f>IF(ISBLANK('Data Entry'!$È$693), "", 'Data Entry'!$È$693)</f>
      </c>
      <c r="EG693">
        <f>IF(ISBLANK('Data Entry'!$É$693), "", 'Data Entry'!$É$693)</f>
      </c>
      <c r="EH693">
        <f>IF(ISBLANK('Data Entry'!$Ê$693), "", 'Data Entry'!$Ê$693)</f>
      </c>
      <c r="EI693">
        <f>IF(ISBLANK('Data Entry'!$Ë$693), "", 'Data Entry'!$Ë$693)</f>
      </c>
      <c r="EJ693">
        <f>IF(ISBLANK('Data Entry'!$Ì$693), "", 'Data Entry'!$Ì$693)</f>
      </c>
      <c r="EK693">
        <f>IF(ISBLANK('Data Entry'!$Í$693), "", 'Data Entry'!$Í$693)</f>
      </c>
      <c r="EL693">
        <f>IF(ISBLANK('Data Entry'!$Î$693), "", 'Data Entry'!$Î$693)</f>
      </c>
      <c r="EM693">
        <f>IF(ISBLANK('Data Entry'!$Ï$693), "", 'Data Entry'!$Ï$693)</f>
      </c>
      <c r="EN693">
        <f>IF(ISBLANK('Data Entry'!$Ð$693), "", 'Data Entry'!$Ð$693)</f>
      </c>
      <c r="EO693">
        <f>IF(ISBLANK('Data Entry'!$Ñ$693), "", 'Data Entry'!$Ñ$693)</f>
      </c>
      <c r="EP693">
        <f>IF(ISBLANK('Data Entry'!$Ò$693), "", 'Data Entry'!$Ò$693)</f>
      </c>
      <c r="EQ693">
        <f>IF(ISBLANK('Data Entry'!$Ó$693), "", 'Data Entry'!$Ó$693)</f>
      </c>
      <c r="ER693">
        <f>IF(ISBLANK('Data Entry'!$Ô$693), "", 'Data Entry'!$Ô$693)</f>
      </c>
      <c r="ES693">
        <f>IF(ISBLANK('Data Entry'!$Õ$693), "", 'Data Entry'!$Õ$693)</f>
      </c>
      <c r="ET693">
        <f>IF(ISBLANK('Data Entry'!$Ö$693), "", 'Data Entry'!$Ö$693)</f>
      </c>
      <c r="EU693">
        <f>IF(ISBLANK('Data Entry'!$×$693), "", 'Data Entry'!$×$693)</f>
      </c>
      <c r="EV693">
        <f>IF(ISBLANK('Data Entry'!$Ø$693), "", 'Data Entry'!$Ø$693)</f>
      </c>
      <c r="EW693">
        <f>IF(ISBLANK('Data Entry'!$Ù$693), "", 'Data Entry'!$Ù$693)</f>
      </c>
      <c r="EX693">
        <f>IF(ISBLANK('Data Entry'!$Ú$693), "", 'Data Entry'!$Ú$693)</f>
      </c>
      <c r="EY693">
        <f>IF(ISBLANK('Data Entry'!$Û$693), "", 'Data Entry'!$Û$693)</f>
      </c>
      <c r="EZ693">
        <f>IF(ISBLANK('Data Entry'!$Ü$693), "", 'Data Entry'!$Ü$693)</f>
      </c>
      <c r="FA693">
        <f>IF(ISBLANK('Data Entry'!$Ý$693), "", 'Data Entry'!$Ý$693)</f>
      </c>
      <c r="FB693">
        <f>IF(ISBLANK('Data Entry'!$Þ$693), "", 'Data Entry'!$Þ$693)</f>
      </c>
      <c r="FC693">
        <f>IF(ISBLANK('Data Entry'!$ß$693), "", 'Data Entry'!$ß$693)</f>
      </c>
      <c r="FD693">
        <f>IF(ISBLANK('Data Entry'!$à$693), "", 'Data Entry'!$à$693)</f>
      </c>
      <c r="FE693">
        <f>IF(ISBLANK('Data Entry'!$á$693), "", 'Data Entry'!$á$693)</f>
      </c>
      <c r="FF693">
        <f>IF(ISBLANK('Data Entry'!$â$693), "", 'Data Entry'!$â$693)</f>
      </c>
      <c r="FG693">
        <f>IF(ISBLANK('Data Entry'!$ã$693), "", 'Data Entry'!$ã$693)</f>
      </c>
      <c r="FH693">
        <f>IF(ISBLANK('Data Entry'!$ä$693), "", 'Data Entry'!$ä$693)</f>
      </c>
      <c r="FI693">
        <f>IF(ISBLANK('Data Entry'!$å$693), "", 'Data Entry'!$å$693)</f>
      </c>
      <c r="FJ693">
        <f>IF(ISBLANK('Data Entry'!$æ$693), "", 'Data Entry'!$æ$693)</f>
      </c>
      <c r="FK693">
        <f>IF(ISBLANK('Data Entry'!$ç$693), "", 'Data Entry'!$ç$693)</f>
      </c>
      <c r="FL693">
        <f>IF(ISBLANK('Data Entry'!$è$693), "", 'Data Entry'!$è$693)</f>
      </c>
      <c r="FM693">
        <f>IF(ISBLANK('Data Entry'!$é$693), "", 'Data Entry'!$é$693)</f>
      </c>
      <c r="FN693">
        <f>IF(ISBLANK('Data Entry'!$ê$693), "", 'Data Entry'!$ê$693)</f>
      </c>
      <c r="FO693">
        <f>IF(ISBLANK('Data Entry'!$ë$693), "", 'Data Entry'!$ë$693)</f>
      </c>
      <c r="FP693">
        <f>IF(ISBLANK('Data Entry'!$ì$693), "", 'Data Entry'!$ì$693)</f>
      </c>
      <c r="FQ693">
        <f>IF(ISBLANK('Data Entry'!$í$693), "", 'Data Entry'!$í$693)</f>
      </c>
      <c r="FR693">
        <f>IF(ISBLANK('Data Entry'!$î$693), "", 'Data Entry'!$î$693)</f>
      </c>
      <c r="FS693">
        <f>IF(ISBLANK('Data Entry'!$ï$693), "", 'Data Entry'!$ï$693)</f>
      </c>
      <c r="FT693">
        <f>IF(ISBLANK('Data Entry'!$ð$693), "", 'Data Entry'!$ð$693)</f>
      </c>
      <c r="FU693">
        <f>IF(ISBLANK('Data Entry'!$ñ$693), "", 'Data Entry'!$ñ$693)</f>
      </c>
      <c r="FV693">
        <f>IF(ISBLANK('Data Entry'!$ò$693), "", 'Data Entry'!$ò$693)</f>
      </c>
      <c r="FW693">
        <f>IF(ISBLANK('Data Entry'!$ó$693), "", 'Data Entry'!$ó$693)</f>
      </c>
      <c r="FX693">
        <f>IF(ISBLANK('Data Entry'!$ô$693), "", 'Data Entry'!$ô$693)</f>
      </c>
      <c r="FY693">
        <f>IF(ISBLANK('Data Entry'!$õ$693), "", 'Data Entry'!$õ$693)</f>
      </c>
      <c r="FZ693">
        <f>IF(ISBLANK('Data Entry'!$ö$693), "", 'Data Entry'!$ö$693)</f>
      </c>
      <c r="GA693">
        <f>IF(ISBLANK('Data Entry'!$÷$693), "", 'Data Entry'!$÷$693)</f>
      </c>
      <c r="GB693">
        <f>IF(ISBLANK('Data Entry'!$ø$693), "", 'Data Entry'!$ø$693)</f>
      </c>
      <c r="GC693">
        <f>IF(ISBLANK('Data Entry'!$ù$693), "", 'Data Entry'!$ù$693)</f>
      </c>
      <c r="GD693">
        <f>IF(ISBLANK('Data Entry'!$ú$693), "", 'Data Entry'!$ú$693)</f>
      </c>
      <c r="GE693">
        <f>IF(ISBLANK('Data Entry'!$û$693), "", 'Data Entry'!$û$693)</f>
      </c>
      <c r="GF693">
        <f>IF(ISBLANK('Data Entry'!$ü$693), "", 'Data Entry'!$ü$693)</f>
      </c>
      <c r="GG693">
        <f>IF(ISBLANK('Data Entry'!$ý$693), "", 'Data Entry'!$ý$693)</f>
      </c>
      <c r="GH693">
        <f>IF(ISBLANK('Data Entry'!$þ$693), "", 'Data Entry'!$þ$693)</f>
      </c>
      <c r="GI693">
        <f>IF(ISBLANK('Data Entry'!$ÿ$693), "", 'Data Entry'!$ÿ$693)</f>
      </c>
      <c r="GJ693">
        <f>IF(ISBLANK('Data Entry'!$Ā$693), "", 'Data Entry'!$Ā$693)</f>
      </c>
      <c r="GK693">
        <f>IF(ISBLANK('Data Entry'!$ā$693), "", 'Data Entry'!$ā$693)</f>
      </c>
      <c r="GL693">
        <f>IF(ISBLANK('Data Entry'!$Ă$693), "", 'Data Entry'!$Ă$693)</f>
      </c>
      <c r="GM693">
        <f>IF(ISBLANK('Data Entry'!$ă$693), "", 'Data Entry'!$ă$693)</f>
      </c>
      <c r="GN693">
        <f>IF(ISBLANK('Data Entry'!$Ą$693), "", 'Data Entry'!$Ą$693)</f>
      </c>
      <c r="GO693">
        <f>IF(ISBLANK('Data Entry'!$ą$693), "", 'Data Entry'!$ą$693)</f>
      </c>
      <c r="GP693">
        <f>IF(ISBLANK('Data Entry'!$Ć$693), "", 'Data Entry'!$Ć$693)</f>
      </c>
      <c r="GQ693">
        <f>IF(ISBLANK('Data Entry'!$ć$693), "", 'Data Entry'!$ć$693)</f>
      </c>
      <c r="GR693">
        <f>IF(ISBLANK('Data Entry'!$Ĉ$693), "", 'Data Entry'!$Ĉ$693)</f>
      </c>
      <c r="GS693">
        <f>IF(ISBLANK('Data Entry'!$ĉ$693), "", 'Data Entry'!$ĉ$693)</f>
      </c>
      <c r="GT693">
        <f>IF(ISBLANK('Data Entry'!$Ċ$693), "", 'Data Entry'!$Ċ$693)</f>
      </c>
      <c r="GU693">
        <f>IF(ISBLANK('Data Entry'!$ċ$693), "", 'Data Entry'!$ċ$693)</f>
      </c>
      <c r="GV693">
        <f>IF(ISBLANK('Data Entry'!$Č$693), "", 'Data Entry'!$Č$693)</f>
      </c>
      <c r="GW693">
        <f>IF(ISBLANK('Data Entry'!$č$693), "", 'Data Entry'!$č$693)</f>
      </c>
      <c r="GX693">
        <f>IF(ISBLANK('Data Entry'!$Ď$693), "", 'Data Entry'!$Ď$693)</f>
      </c>
      <c r="GY693">
        <f>IF(ISBLANK('Data Entry'!$ď$693), "", 'Data Entry'!$ď$693)</f>
      </c>
      <c r="GZ693">
        <f>IF(ISBLANK('Data Entry'!$Đ$693), "", 'Data Entry'!$Đ$693)</f>
      </c>
      <c r="HA693">
        <f>IF(ISBLANK('Data Entry'!$đ$693), "", 'Data Entry'!$đ$693)</f>
      </c>
      <c r="HB693">
        <f>IF(ISBLANK('Data Entry'!$Ē$693), "", 'Data Entry'!$Ē$693)</f>
      </c>
      <c r="HC693">
        <f>IF(ISBLANK('Data Entry'!$ē$693), "", 'Data Entry'!$ē$693)</f>
      </c>
      <c r="HD693">
        <f>IF(ISBLANK('Data Entry'!$Ĕ$693), "", 'Data Entry'!$Ĕ$693)</f>
      </c>
      <c r="HE693">
        <f>IF(ISBLANK('Data Entry'!$ĕ$693), "", 'Data Entry'!$ĕ$693)</f>
      </c>
      <c r="HF693">
        <f>IF(ISBLANK('Data Entry'!$Ė$693), "", 'Data Entry'!$Ė$693)</f>
      </c>
      <c r="HG693">
        <f>IF(ISBLANK('Data Entry'!$ė$693), "", 'Data Entry'!$ė$693)</f>
      </c>
      <c r="HH693">
        <f>IF(ISBLANK('Data Entry'!$Ę$693), "", 'Data Entry'!$Ę$693)</f>
      </c>
      <c r="HI693">
        <f>IF(ISBLANK('Data Entry'!$ę$693), "", 'Data Entry'!$ę$693)</f>
      </c>
      <c r="HJ693">
        <f>IF(ISBLANK('Data Entry'!$Ě$693), "", 'Data Entry'!$Ě$693)</f>
      </c>
      <c r="HK693">
        <f>IF(ISBLANK('Data Entry'!$ě$693), "", 'Data Entry'!$ě$693)</f>
      </c>
      <c r="HL693">
        <f>IF(ISBLANK('Data Entry'!$Ĝ$693), "", 'Data Entry'!$Ĝ$693)</f>
      </c>
      <c r="HM693">
        <f>IF(ISBLANK('Data Entry'!$ĝ$693), "", 'Data Entry'!$ĝ$693)</f>
      </c>
      <c r="HN693">
        <f>IF(ISBLANK('Data Entry'!$Ğ$693), "", 'Data Entry'!$Ğ$693)</f>
      </c>
      <c r="HO693">
        <f>IF(ISBLANK('Data Entry'!$ğ$693), "", 'Data Entry'!$ğ$693)</f>
      </c>
      <c r="HP693">
        <f>IF(ISBLANK('Data Entry'!$Ġ$693), "", 'Data Entry'!$Ġ$693)</f>
      </c>
      <c r="HQ693">
        <f>IF(ISBLANK('Data Entry'!$ġ$693), "", 'Data Entry'!$ġ$693)</f>
      </c>
      <c r="HR693">
        <f>IF(ISBLANK('Data Entry'!$Ģ$693), "", 'Data Entry'!$Ģ$693)</f>
      </c>
      <c r="HS693">
        <f>IF(ISBLANK('Data Entry'!$ģ$693), "", 'Data Entry'!$ģ$693)</f>
      </c>
      <c r="HT693">
        <f>IF(ISBLANK('Data Entry'!$Ĥ$693), "", 'Data Entry'!$Ĥ$693)</f>
      </c>
      <c r="HU693">
        <f>IF(ISBLANK('Data Entry'!$ĥ$693), "", 'Data Entry'!$ĥ$693)</f>
      </c>
      <c r="HV693">
        <f>IF(ISBLANK('Data Entry'!$Ħ$693), "", 'Data Entry'!$Ħ$693)</f>
      </c>
      <c r="HW693">
        <f>IF(ISBLANK('Data Entry'!$ħ$693), "", 'Data Entry'!$ħ$693)</f>
      </c>
      <c r="HX693">
        <f>IF(ISBLANK('Data Entry'!$Ĩ$693), "", 'Data Entry'!$Ĩ$693)</f>
      </c>
      <c r="HY693">
        <f>IF(ISBLANK('Data Entry'!$ĩ$693), "", 'Data Entry'!$ĩ$693)</f>
      </c>
      <c r="HZ693">
        <f>IF(ISBLANK('Data Entry'!$Ī$693), "", 'Data Entry'!$Ī$693)</f>
      </c>
      <c r="IA693">
        <f>IF(ISBLANK('Data Entry'!$ī$693), "", 'Data Entry'!$ī$693)</f>
      </c>
      <c r="IB693">
        <f>IF(ISBLANK('Data Entry'!$Ĭ$693), "", 'Data Entry'!$Ĭ$693)</f>
      </c>
      <c r="IC693">
        <f>IF(ISBLANK('Data Entry'!$ĭ$693), "", 'Data Entry'!$ĭ$693)</f>
      </c>
      <c r="ID693">
        <f>IF(ISBLANK('Data Entry'!$Į$693), "", 'Data Entry'!$Į$693)</f>
      </c>
      <c r="IE693">
        <f>IF(ISBLANK('Data Entry'!$į$693), "", 'Data Entry'!$į$693)</f>
      </c>
      <c r="IF693">
        <f>IF(ISBLANK('Data Entry'!$İ$693), "", 'Data Entry'!$İ$693)</f>
      </c>
      <c r="IG693">
        <f>IF(ISBLANK('Data Entry'!$ı$693), "", 'Data Entry'!$ı$693)</f>
      </c>
      <c r="IH693">
        <f>IF(ISBLANK('Data Entry'!$Ĳ$693), "", 'Data Entry'!$Ĳ$693)</f>
      </c>
      <c r="II693">
        <f>IF(ISBLANK('Data Entry'!$ĳ$693), "", 'Data Entry'!$ĳ$693)</f>
      </c>
      <c r="IJ693">
        <f>IF(ISBLANK('Data Entry'!$Ĵ$693), "", 'Data Entry'!$Ĵ$693)</f>
      </c>
      <c r="IK693">
        <f>IF(ISBLANK('Data Entry'!$ĵ$693), "", 'Data Entry'!$ĵ$693)</f>
      </c>
      <c r="IL693">
        <f>IF(ISBLANK('Data Entry'!$Ķ$693), "", 'Data Entry'!$Ķ$693)</f>
      </c>
      <c r="IM693">
        <f>IF(ISBLANK('Data Entry'!$ķ$693), "", 'Data Entry'!$ķ$693)</f>
      </c>
      <c r="IN693">
        <f>IF(ISBLANK('Data Entry'!$ĸ$693), "", 'Data Entry'!$ĸ$693)</f>
      </c>
      <c r="IO693">
        <f>IF(ISBLANK('Data Entry'!$Ĺ$693), "", 'Data Entry'!$Ĺ$693)</f>
      </c>
      <c r="IP693">
        <f>IF(ISBLANK('Data Entry'!$ĺ$693), "", 'Data Entry'!$ĺ$693)</f>
      </c>
      <c r="IQ693">
        <f>IF(ISBLANK('Data Entry'!$Ļ$693), "", 'Data Entry'!$Ļ$693)</f>
      </c>
      <c r="IR693">
        <f>IF(ISBLANK('Data Entry'!$ļ$693), "", 'Data Entry'!$ļ$693)</f>
      </c>
      <c r="IS693">
        <f>IF(ISBLANK('Data Entry'!$Ľ$693), "", 'Data Entry'!$Ľ$693)</f>
      </c>
      <c r="IT693">
        <f>IF(ISBLANK('Data Entry'!$ľ$693), "", 'Data Entry'!$ľ$693)</f>
      </c>
    </row>
    <row r="694" spans="1:254" x14ac:dyDescent="0.25">
      <c r="A694">
        <f>IF(ISBLANK('Data Entry'!$A$694), "", 'Data Entry'!$A$694)</f>
      </c>
      <c r="B694">
        <f>IF(ISBLANK('Data Entry'!$B$694), "", 'Data Entry'!$B$694)</f>
      </c>
      <c r="C694">
        <f>IF(ISBLANK('Data Entry'!$C$694), "", 'Data Entry'!$C$694)</f>
      </c>
      <c r="D694">
        <f>IF(ISBLANK('Data Entry'!$D$694), "", 'Data Entry'!$D$694)</f>
      </c>
      <c r="E694">
        <f>IF(ISBLANK('Data Entry'!$E$694), "", 'Data Entry'!$E$694)</f>
      </c>
      <c r="F694">
        <f>IF(ISBLANK('Data Entry'!$F$694), "", 'Data Entry'!$F$694)</f>
      </c>
      <c r="G694">
        <f>IF(ISBLANK('Data Entry'!$G$694), "", 'Data Entry'!$G$694)</f>
      </c>
      <c r="H694">
        <f>IF(ISBLANK('Data Entry'!$H$694), "", 'Data Entry'!$H$694)</f>
      </c>
      <c r="I694">
        <f>IF(ISBLANK('Data Entry'!$I$694), "", 'Data Entry'!$I$694)</f>
      </c>
      <c r="J694">
        <f>IF(ISBLANK('Data Entry'!$J$694), "", 'Data Entry'!$J$694)</f>
      </c>
      <c r="K694">
        <f>IF(ISBLANK('Data Entry'!$K$694), "", 'Data Entry'!$K$694)</f>
      </c>
      <c r="L694">
        <f>IF(ISBLANK('Data Entry'!$L$694), "", 'Data Entry'!$L$694)</f>
      </c>
      <c r="M694">
        <f>IF(ISBLANK('Data Entry'!$M$694), "", 'Data Entry'!$M$694)</f>
      </c>
      <c r="N694">
        <f>IF(ISBLANK('Data Entry'!$N$694), "", 'Data Entry'!$N$694)</f>
      </c>
      <c r="O694">
        <f>IF(ISBLANK('Data Entry'!$O$694), "", 'Data Entry'!$O$694)</f>
      </c>
      <c r="P694">
        <f>IF(ISBLANK('Data Entry'!$P$694), "", 'Data Entry'!$P$694)</f>
      </c>
      <c r="Q694">
        <f>IF(ISBLANK('Data Entry'!$Q$694), "", 'Data Entry'!$Q$694)</f>
      </c>
      <c r="R694">
        <f>IF(ISBLANK('Data Entry'!$R$694), "", 'Data Entry'!$R$694)</f>
      </c>
      <c r="S694">
        <f>IF(ISBLANK('Data Entry'!$S$694), "", 'Data Entry'!$S$694)</f>
      </c>
      <c r="T694">
        <f>IF(ISBLANK('Data Entry'!$T$694), "", 'Data Entry'!$T$694)</f>
      </c>
      <c r="U694">
        <f>IF(ISBLANK('Data Entry'!$U$694), "", 'Data Entry'!$U$694)</f>
      </c>
      <c r="V694">
        <f>IF(ISBLANK('Data Entry'!$V$694), "", 'Data Entry'!$V$694)</f>
      </c>
      <c r="W694">
        <f>IF(ISBLANK('Data Entry'!$W$694), "", 'Data Entry'!$W$694)</f>
      </c>
      <c r="X694">
        <f>IF(ISBLANK('Data Entry'!$X$694), "", 'Data Entry'!$X$694)</f>
      </c>
      <c r="Y694">
        <f>IF(ISBLANK('Data Entry'!$Y$694), "", 'Data Entry'!$Y$694)</f>
      </c>
      <c r="Z694">
        <f>IF(ISBLANK('Data Entry'!$Z$694), "", 'Data Entry'!$Z$694)</f>
      </c>
      <c r="AA694">
        <f>IF(ISBLANK('Data Entry'!$[$694), "", 'Data Entry'!$[$694)</f>
      </c>
      <c r="AB694">
        <f>IF(ISBLANK('Data Entry'!$\$694), "", 'Data Entry'!$\$694)</f>
      </c>
      <c r="AC694">
        <f>IF(ISBLANK('Data Entry'!$]$694), "", 'Data Entry'!$]$694)</f>
      </c>
      <c r="AD694">
        <f>IF(ISBLANK('Data Entry'!$^$694), "", 'Data Entry'!$^$694)</f>
      </c>
      <c r="AE694">
        <f>IF(ISBLANK('Data Entry'!$_$694), "", 'Data Entry'!$_$694)</f>
      </c>
      <c r="AF694">
        <f>IF(ISBLANK('Data Entry'!$`$694), "", 'Data Entry'!$`$694)</f>
      </c>
      <c r="AG694">
        <f>IF(ISBLANK('Data Entry'!$a$694), "", 'Data Entry'!$a$694)</f>
      </c>
      <c r="AH694">
        <f>IF(ISBLANK('Data Entry'!$b$694), "", 'Data Entry'!$b$694)</f>
      </c>
      <c r="AI694">
        <f>IF(ISBLANK('Data Entry'!$c$694), "", 'Data Entry'!$c$694)</f>
      </c>
      <c r="AJ694">
        <f>IF(ISBLANK('Data Entry'!$d$694), "", 'Data Entry'!$d$694)</f>
      </c>
      <c r="AK694">
        <f>IF(ISBLANK('Data Entry'!$e$694), "", 'Data Entry'!$e$694)</f>
      </c>
      <c r="AL694">
        <f>IF(ISBLANK('Data Entry'!$f$694), "", 'Data Entry'!$f$694)</f>
      </c>
      <c r="AM694">
        <f>IF(ISBLANK('Data Entry'!$g$694), "", 'Data Entry'!$g$694)</f>
      </c>
      <c r="AN694">
        <f>IF(ISBLANK('Data Entry'!$h$694), "", 'Data Entry'!$h$694)</f>
      </c>
      <c r="AO694">
        <f>IF(ISBLANK('Data Entry'!$i$694), "", 'Data Entry'!$i$694)</f>
      </c>
      <c r="AP694">
        <f>IF(ISBLANK('Data Entry'!$j$694), "", 'Data Entry'!$j$694)</f>
      </c>
      <c r="AQ694">
        <f>IF(ISBLANK('Data Entry'!$k$694), "", 'Data Entry'!$k$694)</f>
      </c>
      <c r="AR694">
        <f>IF(ISBLANK('Data Entry'!$l$694), "", 'Data Entry'!$l$694)</f>
      </c>
      <c r="AS694">
        <f>IF(ISBLANK('Data Entry'!$m$694), "", 'Data Entry'!$m$694)</f>
      </c>
      <c r="AT694">
        <f>IF(ISBLANK('Data Entry'!$n$694), "", 'Data Entry'!$n$694)</f>
      </c>
      <c r="AU694">
        <f>IF(ISBLANK('Data Entry'!$o$694), "", 'Data Entry'!$o$694)</f>
      </c>
      <c r="AV694">
        <f>IF(ISBLANK('Data Entry'!$p$694), "", 'Data Entry'!$p$694)</f>
      </c>
      <c r="AW694">
        <f>IF(ISBLANK('Data Entry'!$q$694), "", 'Data Entry'!$q$694)</f>
      </c>
      <c r="AX694">
        <f>IF(ISBLANK('Data Entry'!$r$694), "", 'Data Entry'!$r$694)</f>
      </c>
      <c r="AY694">
        <f>IF(ISBLANK('Data Entry'!$s$694), "", 'Data Entry'!$s$694)</f>
      </c>
      <c r="AZ694">
        <f>IF(ISBLANK('Data Entry'!$t$694), "", 'Data Entry'!$t$694)</f>
      </c>
      <c r="BA694">
        <f>IF(ISBLANK('Data Entry'!$u$694), "", 'Data Entry'!$u$694)</f>
      </c>
      <c r="BB694">
        <f>IF(ISBLANK('Data Entry'!$v$694), "", 'Data Entry'!$v$694)</f>
      </c>
      <c r="BC694">
        <f>IF(ISBLANK('Data Entry'!$w$694), "", 'Data Entry'!$w$694)</f>
      </c>
      <c r="BD694">
        <f>IF(ISBLANK('Data Entry'!$x$694), "", 'Data Entry'!$x$694)</f>
      </c>
      <c r="BE694">
        <f>IF(ISBLANK('Data Entry'!$y$694), "", 'Data Entry'!$y$694)</f>
      </c>
      <c r="BF694">
        <f>IF(ISBLANK('Data Entry'!$z$694), "", 'Data Entry'!$z$694)</f>
      </c>
      <c r="BG694">
        <f>IF(ISBLANK('Data Entry'!${$694), "", 'Data Entry'!${$694)</f>
      </c>
      <c r="BH694">
        <f>IF(ISBLANK('Data Entry'!$|$694), "", 'Data Entry'!$|$694)</f>
      </c>
      <c r="BI694">
        <f>IF(ISBLANK('Data Entry'!$}$694), "", 'Data Entry'!$}$694)</f>
      </c>
      <c r="BJ694">
        <f>IF(ISBLANK('Data Entry'!$~$694), "", 'Data Entry'!$~$694)</f>
      </c>
      <c r="BK694">
        <f>IF(ISBLANK('Data Entry'!$$694), "", 'Data Entry'!$$694)</f>
      </c>
      <c r="BL694">
        <f>IF(ISBLANK('Data Entry'!$$694), "", 'Data Entry'!$$694)</f>
      </c>
      <c r="BM694">
        <f>IF(ISBLANK('Data Entry'!$$694), "", 'Data Entry'!$$694)</f>
      </c>
      <c r="BN694">
        <f>IF(ISBLANK('Data Entry'!$$694), "", 'Data Entry'!$$694)</f>
      </c>
      <c r="BO694">
        <f>IF(ISBLANK('Data Entry'!$$694), "", 'Data Entry'!$$694)</f>
      </c>
      <c r="BP694">
        <f>IF(ISBLANK('Data Entry'!$$694), "", 'Data Entry'!$$694)</f>
      </c>
      <c r="BQ694">
        <f>IF(ISBLANK('Data Entry'!$$694), "", 'Data Entry'!$$694)</f>
      </c>
      <c r="BR694">
        <f>IF(ISBLANK('Data Entry'!$$694), "", 'Data Entry'!$$694)</f>
      </c>
      <c r="BS694">
        <f>IF(ISBLANK('Data Entry'!$$694), "", 'Data Entry'!$$694)</f>
      </c>
      <c r="BT694">
        <f>IF(ISBLANK('Data Entry'!$$694), "", 'Data Entry'!$$694)</f>
      </c>
      <c r="BU694">
        <f>IF(ISBLANK('Data Entry'!$$694), "", 'Data Entry'!$$694)</f>
      </c>
      <c r="BV694">
        <f>IF(ISBLANK('Data Entry'!$$694), "", 'Data Entry'!$$694)</f>
      </c>
      <c r="BW694">
        <f>IF(ISBLANK('Data Entry'!$$694), "", 'Data Entry'!$$694)</f>
      </c>
      <c r="BX694">
        <f>IF(ISBLANK('Data Entry'!$$694), "", 'Data Entry'!$$694)</f>
      </c>
      <c r="BY694">
        <f>IF(ISBLANK('Data Entry'!$$694), "", 'Data Entry'!$$694)</f>
      </c>
      <c r="BZ694">
        <f>IF(ISBLANK('Data Entry'!$$694), "", 'Data Entry'!$$694)</f>
      </c>
      <c r="CA694">
        <f>IF(ISBLANK('Data Entry'!$$694), "", 'Data Entry'!$$694)</f>
      </c>
      <c r="CB694">
        <f>IF(ISBLANK('Data Entry'!$$694), "", 'Data Entry'!$$694)</f>
      </c>
      <c r="CC694">
        <f>IF(ISBLANK('Data Entry'!$$694), "", 'Data Entry'!$$694)</f>
      </c>
      <c r="CD694">
        <f>IF(ISBLANK('Data Entry'!$$694), "", 'Data Entry'!$$694)</f>
      </c>
      <c r="CE694">
        <f>IF(ISBLANK('Data Entry'!$$694), "", 'Data Entry'!$$694)</f>
      </c>
      <c r="CF694">
        <f>IF(ISBLANK('Data Entry'!$$694), "", 'Data Entry'!$$694)</f>
      </c>
      <c r="CG694">
        <f>IF(ISBLANK('Data Entry'!$$694), "", 'Data Entry'!$$694)</f>
      </c>
      <c r="CH694">
        <f>IF(ISBLANK('Data Entry'!$$694), "", 'Data Entry'!$$694)</f>
      </c>
      <c r="CI694">
        <f>IF(ISBLANK('Data Entry'!$$694), "", 'Data Entry'!$$694)</f>
      </c>
      <c r="CJ694">
        <f>IF(ISBLANK('Data Entry'!$$694), "", 'Data Entry'!$$694)</f>
      </c>
      <c r="CK694">
        <f>IF(ISBLANK('Data Entry'!$$694), "", 'Data Entry'!$$694)</f>
      </c>
      <c r="CL694">
        <f>IF(ISBLANK('Data Entry'!$$694), "", 'Data Entry'!$$694)</f>
      </c>
      <c r="CM694">
        <f>IF(ISBLANK('Data Entry'!$$694), "", 'Data Entry'!$$694)</f>
      </c>
      <c r="CN694">
        <f>IF(ISBLANK('Data Entry'!$$694), "", 'Data Entry'!$$694)</f>
      </c>
      <c r="CO694">
        <f>IF(ISBLANK('Data Entry'!$$694), "", 'Data Entry'!$$694)</f>
      </c>
      <c r="CP694">
        <f>IF(ISBLANK('Data Entry'!$$694), "", 'Data Entry'!$$694)</f>
      </c>
      <c r="CQ694">
        <f>IF(ISBLANK('Data Entry'!$$694), "", 'Data Entry'!$$694)</f>
      </c>
      <c r="CR694">
        <f>IF(ISBLANK('Data Entry'!$ $694), "", 'Data Entry'!$ $694)</f>
      </c>
      <c r="CS694">
        <f>IF(ISBLANK('Data Entry'!$¡$694), "", 'Data Entry'!$¡$694)</f>
      </c>
      <c r="CT694">
        <f>IF(ISBLANK('Data Entry'!$¢$694), "", 'Data Entry'!$¢$694)</f>
      </c>
      <c r="CU694">
        <f>IF(ISBLANK('Data Entry'!$£$694), "", 'Data Entry'!$£$694)</f>
      </c>
      <c r="CV694">
        <f>IF(ISBLANK('Data Entry'!$¤$694), "", 'Data Entry'!$¤$694)</f>
      </c>
      <c r="CW694">
        <f>IF(ISBLANK('Data Entry'!$¥$694), "", 'Data Entry'!$¥$694)</f>
      </c>
      <c r="CX694">
        <f>IF(ISBLANK('Data Entry'!$¦$694), "", 'Data Entry'!$¦$694)</f>
      </c>
      <c r="CY694">
        <f>IF(ISBLANK('Data Entry'!$§$694), "", 'Data Entry'!$§$694)</f>
      </c>
      <c r="CZ694">
        <f>IF(ISBLANK('Data Entry'!$¨$694), "", 'Data Entry'!$¨$694)</f>
      </c>
      <c r="DA694">
        <f>IF(ISBLANK('Data Entry'!$©$694), "", 'Data Entry'!$©$694)</f>
      </c>
      <c r="DB694">
        <f>IF(ISBLANK('Data Entry'!$ª$694), "", 'Data Entry'!$ª$694)</f>
      </c>
      <c r="DC694">
        <f>IF(ISBLANK('Data Entry'!$«$694), "", 'Data Entry'!$«$694)</f>
      </c>
      <c r="DD694">
        <f>IF(ISBLANK('Data Entry'!$¬$694), "", 'Data Entry'!$¬$694)</f>
      </c>
      <c r="DE694">
        <f>IF(ISBLANK('Data Entry'!$­$694), "", 'Data Entry'!$­$694)</f>
      </c>
      <c r="DF694">
        <f>IF(ISBLANK('Data Entry'!$®$694), "", 'Data Entry'!$®$694)</f>
      </c>
      <c r="DG694">
        <f>IF(ISBLANK('Data Entry'!$¯$694), "", 'Data Entry'!$¯$694)</f>
      </c>
      <c r="DH694">
        <f>IF(ISBLANK('Data Entry'!$°$694), "", 'Data Entry'!$°$694)</f>
      </c>
      <c r="DI694">
        <f>IF(ISBLANK('Data Entry'!$±$694), "", 'Data Entry'!$±$694)</f>
      </c>
      <c r="DJ694">
        <f>IF(ISBLANK('Data Entry'!$²$694), "", 'Data Entry'!$²$694)</f>
      </c>
      <c r="DK694">
        <f>IF(ISBLANK('Data Entry'!$³$694), "", 'Data Entry'!$³$694)</f>
      </c>
      <c r="DL694">
        <f>IF(ISBLANK('Data Entry'!$´$694), "", 'Data Entry'!$´$694)</f>
      </c>
      <c r="DM694">
        <f>IF(ISBLANK('Data Entry'!$µ$694), "", 'Data Entry'!$µ$694)</f>
      </c>
      <c r="DN694">
        <f>IF(ISBLANK('Data Entry'!$¶$694), "", 'Data Entry'!$¶$694)</f>
      </c>
      <c r="DO694">
        <f>IF(ISBLANK('Data Entry'!$·$694), "", 'Data Entry'!$·$694)</f>
      </c>
      <c r="DP694">
        <f>IF(ISBLANK('Data Entry'!$¸$694), "", 'Data Entry'!$¸$694)</f>
      </c>
      <c r="DQ694">
        <f>IF(ISBLANK('Data Entry'!$¹$694), "", 'Data Entry'!$¹$694)</f>
      </c>
      <c r="DR694">
        <f>IF(ISBLANK('Data Entry'!$º$694), "", 'Data Entry'!$º$694)</f>
      </c>
      <c r="DS694">
        <f>IF(ISBLANK('Data Entry'!$»$694), "", 'Data Entry'!$»$694)</f>
      </c>
      <c r="DT694">
        <f>IF(ISBLANK('Data Entry'!$¼$694), "", 'Data Entry'!$¼$694)</f>
      </c>
      <c r="DU694">
        <f>IF(ISBLANK('Data Entry'!$½$694), "", 'Data Entry'!$½$694)</f>
      </c>
      <c r="DV694">
        <f>IF(ISBLANK('Data Entry'!$¾$694), "", 'Data Entry'!$¾$694)</f>
      </c>
      <c r="DW694">
        <f>IF(ISBLANK('Data Entry'!$¿$694), "", 'Data Entry'!$¿$694)</f>
      </c>
      <c r="DX694">
        <f>IF(ISBLANK('Data Entry'!$À$694), "", 'Data Entry'!$À$694)</f>
      </c>
      <c r="DY694">
        <f>IF(ISBLANK('Data Entry'!$Á$694), "", 'Data Entry'!$Á$694)</f>
      </c>
      <c r="DZ694">
        <f>IF(ISBLANK('Data Entry'!$Â$694), "", 'Data Entry'!$Â$694)</f>
      </c>
      <c r="EA694">
        <f>IF(ISBLANK('Data Entry'!$Ã$694), "", 'Data Entry'!$Ã$694)</f>
      </c>
      <c r="EB694">
        <f>IF(ISBLANK('Data Entry'!$Ä$694), "", 'Data Entry'!$Ä$694)</f>
      </c>
      <c r="EC694">
        <f>IF(ISBLANK('Data Entry'!$Å$694), "", 'Data Entry'!$Å$694)</f>
      </c>
      <c r="ED694">
        <f>IF(ISBLANK('Data Entry'!$Æ$694), "", 'Data Entry'!$Æ$694)</f>
      </c>
      <c r="EE694">
        <f>IF(ISBLANK('Data Entry'!$Ç$694), "", 'Data Entry'!$Ç$694)</f>
      </c>
      <c r="EF694">
        <f>IF(ISBLANK('Data Entry'!$È$694), "", 'Data Entry'!$È$694)</f>
      </c>
      <c r="EG694">
        <f>IF(ISBLANK('Data Entry'!$É$694), "", 'Data Entry'!$É$694)</f>
      </c>
      <c r="EH694">
        <f>IF(ISBLANK('Data Entry'!$Ê$694), "", 'Data Entry'!$Ê$694)</f>
      </c>
      <c r="EI694">
        <f>IF(ISBLANK('Data Entry'!$Ë$694), "", 'Data Entry'!$Ë$694)</f>
      </c>
      <c r="EJ694">
        <f>IF(ISBLANK('Data Entry'!$Ì$694), "", 'Data Entry'!$Ì$694)</f>
      </c>
      <c r="EK694">
        <f>IF(ISBLANK('Data Entry'!$Í$694), "", 'Data Entry'!$Í$694)</f>
      </c>
      <c r="EL694">
        <f>IF(ISBLANK('Data Entry'!$Î$694), "", 'Data Entry'!$Î$694)</f>
      </c>
      <c r="EM694">
        <f>IF(ISBLANK('Data Entry'!$Ï$694), "", 'Data Entry'!$Ï$694)</f>
      </c>
      <c r="EN694">
        <f>IF(ISBLANK('Data Entry'!$Ð$694), "", 'Data Entry'!$Ð$694)</f>
      </c>
      <c r="EO694">
        <f>IF(ISBLANK('Data Entry'!$Ñ$694), "", 'Data Entry'!$Ñ$694)</f>
      </c>
      <c r="EP694">
        <f>IF(ISBLANK('Data Entry'!$Ò$694), "", 'Data Entry'!$Ò$694)</f>
      </c>
      <c r="EQ694">
        <f>IF(ISBLANK('Data Entry'!$Ó$694), "", 'Data Entry'!$Ó$694)</f>
      </c>
      <c r="ER694">
        <f>IF(ISBLANK('Data Entry'!$Ô$694), "", 'Data Entry'!$Ô$694)</f>
      </c>
      <c r="ES694">
        <f>IF(ISBLANK('Data Entry'!$Õ$694), "", 'Data Entry'!$Õ$694)</f>
      </c>
      <c r="ET694">
        <f>IF(ISBLANK('Data Entry'!$Ö$694), "", 'Data Entry'!$Ö$694)</f>
      </c>
      <c r="EU694">
        <f>IF(ISBLANK('Data Entry'!$×$694), "", 'Data Entry'!$×$694)</f>
      </c>
      <c r="EV694">
        <f>IF(ISBLANK('Data Entry'!$Ø$694), "", 'Data Entry'!$Ø$694)</f>
      </c>
      <c r="EW694">
        <f>IF(ISBLANK('Data Entry'!$Ù$694), "", 'Data Entry'!$Ù$694)</f>
      </c>
      <c r="EX694">
        <f>IF(ISBLANK('Data Entry'!$Ú$694), "", 'Data Entry'!$Ú$694)</f>
      </c>
      <c r="EY694">
        <f>IF(ISBLANK('Data Entry'!$Û$694), "", 'Data Entry'!$Û$694)</f>
      </c>
      <c r="EZ694">
        <f>IF(ISBLANK('Data Entry'!$Ü$694), "", 'Data Entry'!$Ü$694)</f>
      </c>
      <c r="FA694">
        <f>IF(ISBLANK('Data Entry'!$Ý$694), "", 'Data Entry'!$Ý$694)</f>
      </c>
      <c r="FB694">
        <f>IF(ISBLANK('Data Entry'!$Þ$694), "", 'Data Entry'!$Þ$694)</f>
      </c>
      <c r="FC694">
        <f>IF(ISBLANK('Data Entry'!$ß$694), "", 'Data Entry'!$ß$694)</f>
      </c>
      <c r="FD694">
        <f>IF(ISBLANK('Data Entry'!$à$694), "", 'Data Entry'!$à$694)</f>
      </c>
      <c r="FE694">
        <f>IF(ISBLANK('Data Entry'!$á$694), "", 'Data Entry'!$á$694)</f>
      </c>
      <c r="FF694">
        <f>IF(ISBLANK('Data Entry'!$â$694), "", 'Data Entry'!$â$694)</f>
      </c>
      <c r="FG694">
        <f>IF(ISBLANK('Data Entry'!$ã$694), "", 'Data Entry'!$ã$694)</f>
      </c>
      <c r="FH694">
        <f>IF(ISBLANK('Data Entry'!$ä$694), "", 'Data Entry'!$ä$694)</f>
      </c>
      <c r="FI694">
        <f>IF(ISBLANK('Data Entry'!$å$694), "", 'Data Entry'!$å$694)</f>
      </c>
      <c r="FJ694">
        <f>IF(ISBLANK('Data Entry'!$æ$694), "", 'Data Entry'!$æ$694)</f>
      </c>
      <c r="FK694">
        <f>IF(ISBLANK('Data Entry'!$ç$694), "", 'Data Entry'!$ç$694)</f>
      </c>
      <c r="FL694">
        <f>IF(ISBLANK('Data Entry'!$è$694), "", 'Data Entry'!$è$694)</f>
      </c>
      <c r="FM694">
        <f>IF(ISBLANK('Data Entry'!$é$694), "", 'Data Entry'!$é$694)</f>
      </c>
      <c r="FN694">
        <f>IF(ISBLANK('Data Entry'!$ê$694), "", 'Data Entry'!$ê$694)</f>
      </c>
      <c r="FO694">
        <f>IF(ISBLANK('Data Entry'!$ë$694), "", 'Data Entry'!$ë$694)</f>
      </c>
      <c r="FP694">
        <f>IF(ISBLANK('Data Entry'!$ì$694), "", 'Data Entry'!$ì$694)</f>
      </c>
      <c r="FQ694">
        <f>IF(ISBLANK('Data Entry'!$í$694), "", 'Data Entry'!$í$694)</f>
      </c>
      <c r="FR694">
        <f>IF(ISBLANK('Data Entry'!$î$694), "", 'Data Entry'!$î$694)</f>
      </c>
      <c r="FS694">
        <f>IF(ISBLANK('Data Entry'!$ï$694), "", 'Data Entry'!$ï$694)</f>
      </c>
      <c r="FT694">
        <f>IF(ISBLANK('Data Entry'!$ð$694), "", 'Data Entry'!$ð$694)</f>
      </c>
      <c r="FU694">
        <f>IF(ISBLANK('Data Entry'!$ñ$694), "", 'Data Entry'!$ñ$694)</f>
      </c>
      <c r="FV694">
        <f>IF(ISBLANK('Data Entry'!$ò$694), "", 'Data Entry'!$ò$694)</f>
      </c>
      <c r="FW694">
        <f>IF(ISBLANK('Data Entry'!$ó$694), "", 'Data Entry'!$ó$694)</f>
      </c>
      <c r="FX694">
        <f>IF(ISBLANK('Data Entry'!$ô$694), "", 'Data Entry'!$ô$694)</f>
      </c>
      <c r="FY694">
        <f>IF(ISBLANK('Data Entry'!$õ$694), "", 'Data Entry'!$õ$694)</f>
      </c>
      <c r="FZ694">
        <f>IF(ISBLANK('Data Entry'!$ö$694), "", 'Data Entry'!$ö$694)</f>
      </c>
      <c r="GA694">
        <f>IF(ISBLANK('Data Entry'!$÷$694), "", 'Data Entry'!$÷$694)</f>
      </c>
      <c r="GB694">
        <f>IF(ISBLANK('Data Entry'!$ø$694), "", 'Data Entry'!$ø$694)</f>
      </c>
      <c r="GC694">
        <f>IF(ISBLANK('Data Entry'!$ù$694), "", 'Data Entry'!$ù$694)</f>
      </c>
      <c r="GD694">
        <f>IF(ISBLANK('Data Entry'!$ú$694), "", 'Data Entry'!$ú$694)</f>
      </c>
      <c r="GE694">
        <f>IF(ISBLANK('Data Entry'!$û$694), "", 'Data Entry'!$û$694)</f>
      </c>
      <c r="GF694">
        <f>IF(ISBLANK('Data Entry'!$ü$694), "", 'Data Entry'!$ü$694)</f>
      </c>
      <c r="GG694">
        <f>IF(ISBLANK('Data Entry'!$ý$694), "", 'Data Entry'!$ý$694)</f>
      </c>
      <c r="GH694">
        <f>IF(ISBLANK('Data Entry'!$þ$694), "", 'Data Entry'!$þ$694)</f>
      </c>
      <c r="GI694">
        <f>IF(ISBLANK('Data Entry'!$ÿ$694), "", 'Data Entry'!$ÿ$694)</f>
      </c>
      <c r="GJ694">
        <f>IF(ISBLANK('Data Entry'!$Ā$694), "", 'Data Entry'!$Ā$694)</f>
      </c>
      <c r="GK694">
        <f>IF(ISBLANK('Data Entry'!$ā$694), "", 'Data Entry'!$ā$694)</f>
      </c>
      <c r="GL694">
        <f>IF(ISBLANK('Data Entry'!$Ă$694), "", 'Data Entry'!$Ă$694)</f>
      </c>
      <c r="GM694">
        <f>IF(ISBLANK('Data Entry'!$ă$694), "", 'Data Entry'!$ă$694)</f>
      </c>
      <c r="GN694">
        <f>IF(ISBLANK('Data Entry'!$Ą$694), "", 'Data Entry'!$Ą$694)</f>
      </c>
      <c r="GO694">
        <f>IF(ISBLANK('Data Entry'!$ą$694), "", 'Data Entry'!$ą$694)</f>
      </c>
      <c r="GP694">
        <f>IF(ISBLANK('Data Entry'!$Ć$694), "", 'Data Entry'!$Ć$694)</f>
      </c>
      <c r="GQ694">
        <f>IF(ISBLANK('Data Entry'!$ć$694), "", 'Data Entry'!$ć$694)</f>
      </c>
      <c r="GR694">
        <f>IF(ISBLANK('Data Entry'!$Ĉ$694), "", 'Data Entry'!$Ĉ$694)</f>
      </c>
      <c r="GS694">
        <f>IF(ISBLANK('Data Entry'!$ĉ$694), "", 'Data Entry'!$ĉ$694)</f>
      </c>
      <c r="GT694">
        <f>IF(ISBLANK('Data Entry'!$Ċ$694), "", 'Data Entry'!$Ċ$694)</f>
      </c>
      <c r="GU694">
        <f>IF(ISBLANK('Data Entry'!$ċ$694), "", 'Data Entry'!$ċ$694)</f>
      </c>
      <c r="GV694">
        <f>IF(ISBLANK('Data Entry'!$Č$694), "", 'Data Entry'!$Č$694)</f>
      </c>
      <c r="GW694">
        <f>IF(ISBLANK('Data Entry'!$č$694), "", 'Data Entry'!$č$694)</f>
      </c>
      <c r="GX694">
        <f>IF(ISBLANK('Data Entry'!$Ď$694), "", 'Data Entry'!$Ď$694)</f>
      </c>
      <c r="GY694">
        <f>IF(ISBLANK('Data Entry'!$ď$694), "", 'Data Entry'!$ď$694)</f>
      </c>
      <c r="GZ694">
        <f>IF(ISBLANK('Data Entry'!$Đ$694), "", 'Data Entry'!$Đ$694)</f>
      </c>
      <c r="HA694">
        <f>IF(ISBLANK('Data Entry'!$đ$694), "", 'Data Entry'!$đ$694)</f>
      </c>
      <c r="HB694">
        <f>IF(ISBLANK('Data Entry'!$Ē$694), "", 'Data Entry'!$Ē$694)</f>
      </c>
      <c r="HC694">
        <f>IF(ISBLANK('Data Entry'!$ē$694), "", 'Data Entry'!$ē$694)</f>
      </c>
      <c r="HD694">
        <f>IF(ISBLANK('Data Entry'!$Ĕ$694), "", 'Data Entry'!$Ĕ$694)</f>
      </c>
      <c r="HE694">
        <f>IF(ISBLANK('Data Entry'!$ĕ$694), "", 'Data Entry'!$ĕ$694)</f>
      </c>
      <c r="HF694">
        <f>IF(ISBLANK('Data Entry'!$Ė$694), "", 'Data Entry'!$Ė$694)</f>
      </c>
      <c r="HG694">
        <f>IF(ISBLANK('Data Entry'!$ė$694), "", 'Data Entry'!$ė$694)</f>
      </c>
      <c r="HH694">
        <f>IF(ISBLANK('Data Entry'!$Ę$694), "", 'Data Entry'!$Ę$694)</f>
      </c>
      <c r="HI694">
        <f>IF(ISBLANK('Data Entry'!$ę$694), "", 'Data Entry'!$ę$694)</f>
      </c>
      <c r="HJ694">
        <f>IF(ISBLANK('Data Entry'!$Ě$694), "", 'Data Entry'!$Ě$694)</f>
      </c>
      <c r="HK694">
        <f>IF(ISBLANK('Data Entry'!$ě$694), "", 'Data Entry'!$ě$694)</f>
      </c>
      <c r="HL694">
        <f>IF(ISBLANK('Data Entry'!$Ĝ$694), "", 'Data Entry'!$Ĝ$694)</f>
      </c>
      <c r="HM694">
        <f>IF(ISBLANK('Data Entry'!$ĝ$694), "", 'Data Entry'!$ĝ$694)</f>
      </c>
      <c r="HN694">
        <f>IF(ISBLANK('Data Entry'!$Ğ$694), "", 'Data Entry'!$Ğ$694)</f>
      </c>
      <c r="HO694">
        <f>IF(ISBLANK('Data Entry'!$ğ$694), "", 'Data Entry'!$ğ$694)</f>
      </c>
      <c r="HP694">
        <f>IF(ISBLANK('Data Entry'!$Ġ$694), "", 'Data Entry'!$Ġ$694)</f>
      </c>
      <c r="HQ694">
        <f>IF(ISBLANK('Data Entry'!$ġ$694), "", 'Data Entry'!$ġ$694)</f>
      </c>
      <c r="HR694">
        <f>IF(ISBLANK('Data Entry'!$Ģ$694), "", 'Data Entry'!$Ģ$694)</f>
      </c>
      <c r="HS694">
        <f>IF(ISBLANK('Data Entry'!$ģ$694), "", 'Data Entry'!$ģ$694)</f>
      </c>
      <c r="HT694">
        <f>IF(ISBLANK('Data Entry'!$Ĥ$694), "", 'Data Entry'!$Ĥ$694)</f>
      </c>
      <c r="HU694">
        <f>IF(ISBLANK('Data Entry'!$ĥ$694), "", 'Data Entry'!$ĥ$694)</f>
      </c>
      <c r="HV694">
        <f>IF(ISBLANK('Data Entry'!$Ħ$694), "", 'Data Entry'!$Ħ$694)</f>
      </c>
      <c r="HW694">
        <f>IF(ISBLANK('Data Entry'!$ħ$694), "", 'Data Entry'!$ħ$694)</f>
      </c>
      <c r="HX694">
        <f>IF(ISBLANK('Data Entry'!$Ĩ$694), "", 'Data Entry'!$Ĩ$694)</f>
      </c>
      <c r="HY694">
        <f>IF(ISBLANK('Data Entry'!$ĩ$694), "", 'Data Entry'!$ĩ$694)</f>
      </c>
      <c r="HZ694">
        <f>IF(ISBLANK('Data Entry'!$Ī$694), "", 'Data Entry'!$Ī$694)</f>
      </c>
      <c r="IA694">
        <f>IF(ISBLANK('Data Entry'!$ī$694), "", 'Data Entry'!$ī$694)</f>
      </c>
      <c r="IB694">
        <f>IF(ISBLANK('Data Entry'!$Ĭ$694), "", 'Data Entry'!$Ĭ$694)</f>
      </c>
      <c r="IC694">
        <f>IF(ISBLANK('Data Entry'!$ĭ$694), "", 'Data Entry'!$ĭ$694)</f>
      </c>
      <c r="ID694">
        <f>IF(ISBLANK('Data Entry'!$Į$694), "", 'Data Entry'!$Į$694)</f>
      </c>
      <c r="IE694">
        <f>IF(ISBLANK('Data Entry'!$į$694), "", 'Data Entry'!$į$694)</f>
      </c>
      <c r="IF694">
        <f>IF(ISBLANK('Data Entry'!$İ$694), "", 'Data Entry'!$İ$694)</f>
      </c>
      <c r="IG694">
        <f>IF(ISBLANK('Data Entry'!$ı$694), "", 'Data Entry'!$ı$694)</f>
      </c>
      <c r="IH694">
        <f>IF(ISBLANK('Data Entry'!$Ĳ$694), "", 'Data Entry'!$Ĳ$694)</f>
      </c>
      <c r="II694">
        <f>IF(ISBLANK('Data Entry'!$ĳ$694), "", 'Data Entry'!$ĳ$694)</f>
      </c>
      <c r="IJ694">
        <f>IF(ISBLANK('Data Entry'!$Ĵ$694), "", 'Data Entry'!$Ĵ$694)</f>
      </c>
      <c r="IK694">
        <f>IF(ISBLANK('Data Entry'!$ĵ$694), "", 'Data Entry'!$ĵ$694)</f>
      </c>
      <c r="IL694">
        <f>IF(ISBLANK('Data Entry'!$Ķ$694), "", 'Data Entry'!$Ķ$694)</f>
      </c>
      <c r="IM694">
        <f>IF(ISBLANK('Data Entry'!$ķ$694), "", 'Data Entry'!$ķ$694)</f>
      </c>
      <c r="IN694">
        <f>IF(ISBLANK('Data Entry'!$ĸ$694), "", 'Data Entry'!$ĸ$694)</f>
      </c>
      <c r="IO694">
        <f>IF(ISBLANK('Data Entry'!$Ĺ$694), "", 'Data Entry'!$Ĺ$694)</f>
      </c>
      <c r="IP694">
        <f>IF(ISBLANK('Data Entry'!$ĺ$694), "", 'Data Entry'!$ĺ$694)</f>
      </c>
      <c r="IQ694">
        <f>IF(ISBLANK('Data Entry'!$Ļ$694), "", 'Data Entry'!$Ļ$694)</f>
      </c>
      <c r="IR694">
        <f>IF(ISBLANK('Data Entry'!$ļ$694), "", 'Data Entry'!$ļ$694)</f>
      </c>
      <c r="IS694">
        <f>IF(ISBLANK('Data Entry'!$Ľ$694), "", 'Data Entry'!$Ľ$694)</f>
      </c>
      <c r="IT694">
        <f>IF(ISBLANK('Data Entry'!$ľ$694), "", 'Data Entry'!$ľ$694)</f>
      </c>
    </row>
    <row r="695" spans="1:254" x14ac:dyDescent="0.25">
      <c r="A695">
        <f>IF(ISBLANK('Data Entry'!$A$695), "", 'Data Entry'!$A$695)</f>
      </c>
      <c r="B695">
        <f>IF(ISBLANK('Data Entry'!$B$695), "", 'Data Entry'!$B$695)</f>
      </c>
      <c r="C695">
        <f>IF(ISBLANK('Data Entry'!$C$695), "", 'Data Entry'!$C$695)</f>
      </c>
      <c r="D695">
        <f>IF(ISBLANK('Data Entry'!$D$695), "", 'Data Entry'!$D$695)</f>
      </c>
      <c r="E695">
        <f>IF(ISBLANK('Data Entry'!$E$695), "", 'Data Entry'!$E$695)</f>
      </c>
      <c r="F695">
        <f>IF(ISBLANK('Data Entry'!$F$695), "", 'Data Entry'!$F$695)</f>
      </c>
      <c r="G695">
        <f>IF(ISBLANK('Data Entry'!$G$695), "", 'Data Entry'!$G$695)</f>
      </c>
      <c r="H695">
        <f>IF(ISBLANK('Data Entry'!$H$695), "", 'Data Entry'!$H$695)</f>
      </c>
      <c r="I695">
        <f>IF(ISBLANK('Data Entry'!$I$695), "", 'Data Entry'!$I$695)</f>
      </c>
      <c r="J695">
        <f>IF(ISBLANK('Data Entry'!$J$695), "", 'Data Entry'!$J$695)</f>
      </c>
      <c r="K695">
        <f>IF(ISBLANK('Data Entry'!$K$695), "", 'Data Entry'!$K$695)</f>
      </c>
      <c r="L695">
        <f>IF(ISBLANK('Data Entry'!$L$695), "", 'Data Entry'!$L$695)</f>
      </c>
      <c r="M695">
        <f>IF(ISBLANK('Data Entry'!$M$695), "", 'Data Entry'!$M$695)</f>
      </c>
      <c r="N695">
        <f>IF(ISBLANK('Data Entry'!$N$695), "", 'Data Entry'!$N$695)</f>
      </c>
      <c r="O695">
        <f>IF(ISBLANK('Data Entry'!$O$695), "", 'Data Entry'!$O$695)</f>
      </c>
      <c r="P695">
        <f>IF(ISBLANK('Data Entry'!$P$695), "", 'Data Entry'!$P$695)</f>
      </c>
      <c r="Q695">
        <f>IF(ISBLANK('Data Entry'!$Q$695), "", 'Data Entry'!$Q$695)</f>
      </c>
      <c r="R695">
        <f>IF(ISBLANK('Data Entry'!$R$695), "", 'Data Entry'!$R$695)</f>
      </c>
      <c r="S695">
        <f>IF(ISBLANK('Data Entry'!$S$695), "", 'Data Entry'!$S$695)</f>
      </c>
      <c r="T695">
        <f>IF(ISBLANK('Data Entry'!$T$695), "", 'Data Entry'!$T$695)</f>
      </c>
      <c r="U695">
        <f>IF(ISBLANK('Data Entry'!$U$695), "", 'Data Entry'!$U$695)</f>
      </c>
      <c r="V695">
        <f>IF(ISBLANK('Data Entry'!$V$695), "", 'Data Entry'!$V$695)</f>
      </c>
      <c r="W695">
        <f>IF(ISBLANK('Data Entry'!$W$695), "", 'Data Entry'!$W$695)</f>
      </c>
      <c r="X695">
        <f>IF(ISBLANK('Data Entry'!$X$695), "", 'Data Entry'!$X$695)</f>
      </c>
      <c r="Y695">
        <f>IF(ISBLANK('Data Entry'!$Y$695), "", 'Data Entry'!$Y$695)</f>
      </c>
      <c r="Z695">
        <f>IF(ISBLANK('Data Entry'!$Z$695), "", 'Data Entry'!$Z$695)</f>
      </c>
      <c r="AA695">
        <f>IF(ISBLANK('Data Entry'!$[$695), "", 'Data Entry'!$[$695)</f>
      </c>
      <c r="AB695">
        <f>IF(ISBLANK('Data Entry'!$\$695), "", 'Data Entry'!$\$695)</f>
      </c>
      <c r="AC695">
        <f>IF(ISBLANK('Data Entry'!$]$695), "", 'Data Entry'!$]$695)</f>
      </c>
      <c r="AD695">
        <f>IF(ISBLANK('Data Entry'!$^$695), "", 'Data Entry'!$^$695)</f>
      </c>
      <c r="AE695">
        <f>IF(ISBLANK('Data Entry'!$_$695), "", 'Data Entry'!$_$695)</f>
      </c>
      <c r="AF695">
        <f>IF(ISBLANK('Data Entry'!$`$695), "", 'Data Entry'!$`$695)</f>
      </c>
      <c r="AG695">
        <f>IF(ISBLANK('Data Entry'!$a$695), "", 'Data Entry'!$a$695)</f>
      </c>
      <c r="AH695">
        <f>IF(ISBLANK('Data Entry'!$b$695), "", 'Data Entry'!$b$695)</f>
      </c>
      <c r="AI695">
        <f>IF(ISBLANK('Data Entry'!$c$695), "", 'Data Entry'!$c$695)</f>
      </c>
      <c r="AJ695">
        <f>IF(ISBLANK('Data Entry'!$d$695), "", 'Data Entry'!$d$695)</f>
      </c>
      <c r="AK695">
        <f>IF(ISBLANK('Data Entry'!$e$695), "", 'Data Entry'!$e$695)</f>
      </c>
      <c r="AL695">
        <f>IF(ISBLANK('Data Entry'!$f$695), "", 'Data Entry'!$f$695)</f>
      </c>
      <c r="AM695">
        <f>IF(ISBLANK('Data Entry'!$g$695), "", 'Data Entry'!$g$695)</f>
      </c>
      <c r="AN695">
        <f>IF(ISBLANK('Data Entry'!$h$695), "", 'Data Entry'!$h$695)</f>
      </c>
      <c r="AO695">
        <f>IF(ISBLANK('Data Entry'!$i$695), "", 'Data Entry'!$i$695)</f>
      </c>
      <c r="AP695">
        <f>IF(ISBLANK('Data Entry'!$j$695), "", 'Data Entry'!$j$695)</f>
      </c>
      <c r="AQ695">
        <f>IF(ISBLANK('Data Entry'!$k$695), "", 'Data Entry'!$k$695)</f>
      </c>
      <c r="AR695">
        <f>IF(ISBLANK('Data Entry'!$l$695), "", 'Data Entry'!$l$695)</f>
      </c>
      <c r="AS695">
        <f>IF(ISBLANK('Data Entry'!$m$695), "", 'Data Entry'!$m$695)</f>
      </c>
      <c r="AT695">
        <f>IF(ISBLANK('Data Entry'!$n$695), "", 'Data Entry'!$n$695)</f>
      </c>
      <c r="AU695">
        <f>IF(ISBLANK('Data Entry'!$o$695), "", 'Data Entry'!$o$695)</f>
      </c>
      <c r="AV695">
        <f>IF(ISBLANK('Data Entry'!$p$695), "", 'Data Entry'!$p$695)</f>
      </c>
      <c r="AW695">
        <f>IF(ISBLANK('Data Entry'!$q$695), "", 'Data Entry'!$q$695)</f>
      </c>
      <c r="AX695">
        <f>IF(ISBLANK('Data Entry'!$r$695), "", 'Data Entry'!$r$695)</f>
      </c>
      <c r="AY695">
        <f>IF(ISBLANK('Data Entry'!$s$695), "", 'Data Entry'!$s$695)</f>
      </c>
      <c r="AZ695">
        <f>IF(ISBLANK('Data Entry'!$t$695), "", 'Data Entry'!$t$695)</f>
      </c>
      <c r="BA695">
        <f>IF(ISBLANK('Data Entry'!$u$695), "", 'Data Entry'!$u$695)</f>
      </c>
      <c r="BB695">
        <f>IF(ISBLANK('Data Entry'!$v$695), "", 'Data Entry'!$v$695)</f>
      </c>
      <c r="BC695">
        <f>IF(ISBLANK('Data Entry'!$w$695), "", 'Data Entry'!$w$695)</f>
      </c>
      <c r="BD695">
        <f>IF(ISBLANK('Data Entry'!$x$695), "", 'Data Entry'!$x$695)</f>
      </c>
      <c r="BE695">
        <f>IF(ISBLANK('Data Entry'!$y$695), "", 'Data Entry'!$y$695)</f>
      </c>
      <c r="BF695">
        <f>IF(ISBLANK('Data Entry'!$z$695), "", 'Data Entry'!$z$695)</f>
      </c>
      <c r="BG695">
        <f>IF(ISBLANK('Data Entry'!${$695), "", 'Data Entry'!${$695)</f>
      </c>
      <c r="BH695">
        <f>IF(ISBLANK('Data Entry'!$|$695), "", 'Data Entry'!$|$695)</f>
      </c>
      <c r="BI695">
        <f>IF(ISBLANK('Data Entry'!$}$695), "", 'Data Entry'!$}$695)</f>
      </c>
      <c r="BJ695">
        <f>IF(ISBLANK('Data Entry'!$~$695), "", 'Data Entry'!$~$695)</f>
      </c>
      <c r="BK695">
        <f>IF(ISBLANK('Data Entry'!$$695), "", 'Data Entry'!$$695)</f>
      </c>
      <c r="BL695">
        <f>IF(ISBLANK('Data Entry'!$$695), "", 'Data Entry'!$$695)</f>
      </c>
      <c r="BM695">
        <f>IF(ISBLANK('Data Entry'!$$695), "", 'Data Entry'!$$695)</f>
      </c>
      <c r="BN695">
        <f>IF(ISBLANK('Data Entry'!$$695), "", 'Data Entry'!$$695)</f>
      </c>
      <c r="BO695">
        <f>IF(ISBLANK('Data Entry'!$$695), "", 'Data Entry'!$$695)</f>
      </c>
      <c r="BP695">
        <f>IF(ISBLANK('Data Entry'!$$695), "", 'Data Entry'!$$695)</f>
      </c>
      <c r="BQ695">
        <f>IF(ISBLANK('Data Entry'!$$695), "", 'Data Entry'!$$695)</f>
      </c>
      <c r="BR695">
        <f>IF(ISBLANK('Data Entry'!$$695), "", 'Data Entry'!$$695)</f>
      </c>
      <c r="BS695">
        <f>IF(ISBLANK('Data Entry'!$$695), "", 'Data Entry'!$$695)</f>
      </c>
      <c r="BT695">
        <f>IF(ISBLANK('Data Entry'!$$695), "", 'Data Entry'!$$695)</f>
      </c>
      <c r="BU695">
        <f>IF(ISBLANK('Data Entry'!$$695), "", 'Data Entry'!$$695)</f>
      </c>
      <c r="BV695">
        <f>IF(ISBLANK('Data Entry'!$$695), "", 'Data Entry'!$$695)</f>
      </c>
      <c r="BW695">
        <f>IF(ISBLANK('Data Entry'!$$695), "", 'Data Entry'!$$695)</f>
      </c>
      <c r="BX695">
        <f>IF(ISBLANK('Data Entry'!$$695), "", 'Data Entry'!$$695)</f>
      </c>
      <c r="BY695">
        <f>IF(ISBLANK('Data Entry'!$$695), "", 'Data Entry'!$$695)</f>
      </c>
      <c r="BZ695">
        <f>IF(ISBLANK('Data Entry'!$$695), "", 'Data Entry'!$$695)</f>
      </c>
      <c r="CA695">
        <f>IF(ISBLANK('Data Entry'!$$695), "", 'Data Entry'!$$695)</f>
      </c>
      <c r="CB695">
        <f>IF(ISBLANK('Data Entry'!$$695), "", 'Data Entry'!$$695)</f>
      </c>
      <c r="CC695">
        <f>IF(ISBLANK('Data Entry'!$$695), "", 'Data Entry'!$$695)</f>
      </c>
      <c r="CD695">
        <f>IF(ISBLANK('Data Entry'!$$695), "", 'Data Entry'!$$695)</f>
      </c>
      <c r="CE695">
        <f>IF(ISBLANK('Data Entry'!$$695), "", 'Data Entry'!$$695)</f>
      </c>
      <c r="CF695">
        <f>IF(ISBLANK('Data Entry'!$$695), "", 'Data Entry'!$$695)</f>
      </c>
      <c r="CG695">
        <f>IF(ISBLANK('Data Entry'!$$695), "", 'Data Entry'!$$695)</f>
      </c>
      <c r="CH695">
        <f>IF(ISBLANK('Data Entry'!$$695), "", 'Data Entry'!$$695)</f>
      </c>
      <c r="CI695">
        <f>IF(ISBLANK('Data Entry'!$$695), "", 'Data Entry'!$$695)</f>
      </c>
      <c r="CJ695">
        <f>IF(ISBLANK('Data Entry'!$$695), "", 'Data Entry'!$$695)</f>
      </c>
      <c r="CK695">
        <f>IF(ISBLANK('Data Entry'!$$695), "", 'Data Entry'!$$695)</f>
      </c>
      <c r="CL695">
        <f>IF(ISBLANK('Data Entry'!$$695), "", 'Data Entry'!$$695)</f>
      </c>
      <c r="CM695">
        <f>IF(ISBLANK('Data Entry'!$$695), "", 'Data Entry'!$$695)</f>
      </c>
      <c r="CN695">
        <f>IF(ISBLANK('Data Entry'!$$695), "", 'Data Entry'!$$695)</f>
      </c>
      <c r="CO695">
        <f>IF(ISBLANK('Data Entry'!$$695), "", 'Data Entry'!$$695)</f>
      </c>
      <c r="CP695">
        <f>IF(ISBLANK('Data Entry'!$$695), "", 'Data Entry'!$$695)</f>
      </c>
      <c r="CQ695">
        <f>IF(ISBLANK('Data Entry'!$$695), "", 'Data Entry'!$$695)</f>
      </c>
      <c r="CR695">
        <f>IF(ISBLANK('Data Entry'!$ $695), "", 'Data Entry'!$ $695)</f>
      </c>
      <c r="CS695">
        <f>IF(ISBLANK('Data Entry'!$¡$695), "", 'Data Entry'!$¡$695)</f>
      </c>
      <c r="CT695">
        <f>IF(ISBLANK('Data Entry'!$¢$695), "", 'Data Entry'!$¢$695)</f>
      </c>
      <c r="CU695">
        <f>IF(ISBLANK('Data Entry'!$£$695), "", 'Data Entry'!$£$695)</f>
      </c>
      <c r="CV695">
        <f>IF(ISBLANK('Data Entry'!$¤$695), "", 'Data Entry'!$¤$695)</f>
      </c>
      <c r="CW695">
        <f>IF(ISBLANK('Data Entry'!$¥$695), "", 'Data Entry'!$¥$695)</f>
      </c>
      <c r="CX695">
        <f>IF(ISBLANK('Data Entry'!$¦$695), "", 'Data Entry'!$¦$695)</f>
      </c>
      <c r="CY695">
        <f>IF(ISBLANK('Data Entry'!$§$695), "", 'Data Entry'!$§$695)</f>
      </c>
      <c r="CZ695">
        <f>IF(ISBLANK('Data Entry'!$¨$695), "", 'Data Entry'!$¨$695)</f>
      </c>
      <c r="DA695">
        <f>IF(ISBLANK('Data Entry'!$©$695), "", 'Data Entry'!$©$695)</f>
      </c>
      <c r="DB695">
        <f>IF(ISBLANK('Data Entry'!$ª$695), "", 'Data Entry'!$ª$695)</f>
      </c>
      <c r="DC695">
        <f>IF(ISBLANK('Data Entry'!$«$695), "", 'Data Entry'!$«$695)</f>
      </c>
      <c r="DD695">
        <f>IF(ISBLANK('Data Entry'!$¬$695), "", 'Data Entry'!$¬$695)</f>
      </c>
      <c r="DE695">
        <f>IF(ISBLANK('Data Entry'!$­$695), "", 'Data Entry'!$­$695)</f>
      </c>
      <c r="DF695">
        <f>IF(ISBLANK('Data Entry'!$®$695), "", 'Data Entry'!$®$695)</f>
      </c>
      <c r="DG695">
        <f>IF(ISBLANK('Data Entry'!$¯$695), "", 'Data Entry'!$¯$695)</f>
      </c>
      <c r="DH695">
        <f>IF(ISBLANK('Data Entry'!$°$695), "", 'Data Entry'!$°$695)</f>
      </c>
      <c r="DI695">
        <f>IF(ISBLANK('Data Entry'!$±$695), "", 'Data Entry'!$±$695)</f>
      </c>
      <c r="DJ695">
        <f>IF(ISBLANK('Data Entry'!$²$695), "", 'Data Entry'!$²$695)</f>
      </c>
      <c r="DK695">
        <f>IF(ISBLANK('Data Entry'!$³$695), "", 'Data Entry'!$³$695)</f>
      </c>
      <c r="DL695">
        <f>IF(ISBLANK('Data Entry'!$´$695), "", 'Data Entry'!$´$695)</f>
      </c>
      <c r="DM695">
        <f>IF(ISBLANK('Data Entry'!$µ$695), "", 'Data Entry'!$µ$695)</f>
      </c>
      <c r="DN695">
        <f>IF(ISBLANK('Data Entry'!$¶$695), "", 'Data Entry'!$¶$695)</f>
      </c>
      <c r="DO695">
        <f>IF(ISBLANK('Data Entry'!$·$695), "", 'Data Entry'!$·$695)</f>
      </c>
      <c r="DP695">
        <f>IF(ISBLANK('Data Entry'!$¸$695), "", 'Data Entry'!$¸$695)</f>
      </c>
      <c r="DQ695">
        <f>IF(ISBLANK('Data Entry'!$¹$695), "", 'Data Entry'!$¹$695)</f>
      </c>
      <c r="DR695">
        <f>IF(ISBLANK('Data Entry'!$º$695), "", 'Data Entry'!$º$695)</f>
      </c>
      <c r="DS695">
        <f>IF(ISBLANK('Data Entry'!$»$695), "", 'Data Entry'!$»$695)</f>
      </c>
      <c r="DT695">
        <f>IF(ISBLANK('Data Entry'!$¼$695), "", 'Data Entry'!$¼$695)</f>
      </c>
      <c r="DU695">
        <f>IF(ISBLANK('Data Entry'!$½$695), "", 'Data Entry'!$½$695)</f>
      </c>
      <c r="DV695">
        <f>IF(ISBLANK('Data Entry'!$¾$695), "", 'Data Entry'!$¾$695)</f>
      </c>
      <c r="DW695">
        <f>IF(ISBLANK('Data Entry'!$¿$695), "", 'Data Entry'!$¿$695)</f>
      </c>
      <c r="DX695">
        <f>IF(ISBLANK('Data Entry'!$À$695), "", 'Data Entry'!$À$695)</f>
      </c>
      <c r="DY695">
        <f>IF(ISBLANK('Data Entry'!$Á$695), "", 'Data Entry'!$Á$695)</f>
      </c>
      <c r="DZ695">
        <f>IF(ISBLANK('Data Entry'!$Â$695), "", 'Data Entry'!$Â$695)</f>
      </c>
      <c r="EA695">
        <f>IF(ISBLANK('Data Entry'!$Ã$695), "", 'Data Entry'!$Ã$695)</f>
      </c>
      <c r="EB695">
        <f>IF(ISBLANK('Data Entry'!$Ä$695), "", 'Data Entry'!$Ä$695)</f>
      </c>
      <c r="EC695">
        <f>IF(ISBLANK('Data Entry'!$Å$695), "", 'Data Entry'!$Å$695)</f>
      </c>
      <c r="ED695">
        <f>IF(ISBLANK('Data Entry'!$Æ$695), "", 'Data Entry'!$Æ$695)</f>
      </c>
      <c r="EE695">
        <f>IF(ISBLANK('Data Entry'!$Ç$695), "", 'Data Entry'!$Ç$695)</f>
      </c>
      <c r="EF695">
        <f>IF(ISBLANK('Data Entry'!$È$695), "", 'Data Entry'!$È$695)</f>
      </c>
      <c r="EG695">
        <f>IF(ISBLANK('Data Entry'!$É$695), "", 'Data Entry'!$É$695)</f>
      </c>
      <c r="EH695">
        <f>IF(ISBLANK('Data Entry'!$Ê$695), "", 'Data Entry'!$Ê$695)</f>
      </c>
      <c r="EI695">
        <f>IF(ISBLANK('Data Entry'!$Ë$695), "", 'Data Entry'!$Ë$695)</f>
      </c>
      <c r="EJ695">
        <f>IF(ISBLANK('Data Entry'!$Ì$695), "", 'Data Entry'!$Ì$695)</f>
      </c>
      <c r="EK695">
        <f>IF(ISBLANK('Data Entry'!$Í$695), "", 'Data Entry'!$Í$695)</f>
      </c>
      <c r="EL695">
        <f>IF(ISBLANK('Data Entry'!$Î$695), "", 'Data Entry'!$Î$695)</f>
      </c>
      <c r="EM695">
        <f>IF(ISBLANK('Data Entry'!$Ï$695), "", 'Data Entry'!$Ï$695)</f>
      </c>
      <c r="EN695">
        <f>IF(ISBLANK('Data Entry'!$Ð$695), "", 'Data Entry'!$Ð$695)</f>
      </c>
      <c r="EO695">
        <f>IF(ISBLANK('Data Entry'!$Ñ$695), "", 'Data Entry'!$Ñ$695)</f>
      </c>
      <c r="EP695">
        <f>IF(ISBLANK('Data Entry'!$Ò$695), "", 'Data Entry'!$Ò$695)</f>
      </c>
      <c r="EQ695">
        <f>IF(ISBLANK('Data Entry'!$Ó$695), "", 'Data Entry'!$Ó$695)</f>
      </c>
      <c r="ER695">
        <f>IF(ISBLANK('Data Entry'!$Ô$695), "", 'Data Entry'!$Ô$695)</f>
      </c>
      <c r="ES695">
        <f>IF(ISBLANK('Data Entry'!$Õ$695), "", 'Data Entry'!$Õ$695)</f>
      </c>
      <c r="ET695">
        <f>IF(ISBLANK('Data Entry'!$Ö$695), "", 'Data Entry'!$Ö$695)</f>
      </c>
      <c r="EU695">
        <f>IF(ISBLANK('Data Entry'!$×$695), "", 'Data Entry'!$×$695)</f>
      </c>
      <c r="EV695">
        <f>IF(ISBLANK('Data Entry'!$Ø$695), "", 'Data Entry'!$Ø$695)</f>
      </c>
      <c r="EW695">
        <f>IF(ISBLANK('Data Entry'!$Ù$695), "", 'Data Entry'!$Ù$695)</f>
      </c>
      <c r="EX695">
        <f>IF(ISBLANK('Data Entry'!$Ú$695), "", 'Data Entry'!$Ú$695)</f>
      </c>
      <c r="EY695">
        <f>IF(ISBLANK('Data Entry'!$Û$695), "", 'Data Entry'!$Û$695)</f>
      </c>
      <c r="EZ695">
        <f>IF(ISBLANK('Data Entry'!$Ü$695), "", 'Data Entry'!$Ü$695)</f>
      </c>
      <c r="FA695">
        <f>IF(ISBLANK('Data Entry'!$Ý$695), "", 'Data Entry'!$Ý$695)</f>
      </c>
      <c r="FB695">
        <f>IF(ISBLANK('Data Entry'!$Þ$695), "", 'Data Entry'!$Þ$695)</f>
      </c>
      <c r="FC695">
        <f>IF(ISBLANK('Data Entry'!$ß$695), "", 'Data Entry'!$ß$695)</f>
      </c>
      <c r="FD695">
        <f>IF(ISBLANK('Data Entry'!$à$695), "", 'Data Entry'!$à$695)</f>
      </c>
      <c r="FE695">
        <f>IF(ISBLANK('Data Entry'!$á$695), "", 'Data Entry'!$á$695)</f>
      </c>
      <c r="FF695">
        <f>IF(ISBLANK('Data Entry'!$â$695), "", 'Data Entry'!$â$695)</f>
      </c>
      <c r="FG695">
        <f>IF(ISBLANK('Data Entry'!$ã$695), "", 'Data Entry'!$ã$695)</f>
      </c>
      <c r="FH695">
        <f>IF(ISBLANK('Data Entry'!$ä$695), "", 'Data Entry'!$ä$695)</f>
      </c>
      <c r="FI695">
        <f>IF(ISBLANK('Data Entry'!$å$695), "", 'Data Entry'!$å$695)</f>
      </c>
      <c r="FJ695">
        <f>IF(ISBLANK('Data Entry'!$æ$695), "", 'Data Entry'!$æ$695)</f>
      </c>
      <c r="FK695">
        <f>IF(ISBLANK('Data Entry'!$ç$695), "", 'Data Entry'!$ç$695)</f>
      </c>
      <c r="FL695">
        <f>IF(ISBLANK('Data Entry'!$è$695), "", 'Data Entry'!$è$695)</f>
      </c>
      <c r="FM695">
        <f>IF(ISBLANK('Data Entry'!$é$695), "", 'Data Entry'!$é$695)</f>
      </c>
      <c r="FN695">
        <f>IF(ISBLANK('Data Entry'!$ê$695), "", 'Data Entry'!$ê$695)</f>
      </c>
      <c r="FO695">
        <f>IF(ISBLANK('Data Entry'!$ë$695), "", 'Data Entry'!$ë$695)</f>
      </c>
      <c r="FP695">
        <f>IF(ISBLANK('Data Entry'!$ì$695), "", 'Data Entry'!$ì$695)</f>
      </c>
      <c r="FQ695">
        <f>IF(ISBLANK('Data Entry'!$í$695), "", 'Data Entry'!$í$695)</f>
      </c>
      <c r="FR695">
        <f>IF(ISBLANK('Data Entry'!$î$695), "", 'Data Entry'!$î$695)</f>
      </c>
      <c r="FS695">
        <f>IF(ISBLANK('Data Entry'!$ï$695), "", 'Data Entry'!$ï$695)</f>
      </c>
      <c r="FT695">
        <f>IF(ISBLANK('Data Entry'!$ð$695), "", 'Data Entry'!$ð$695)</f>
      </c>
      <c r="FU695">
        <f>IF(ISBLANK('Data Entry'!$ñ$695), "", 'Data Entry'!$ñ$695)</f>
      </c>
      <c r="FV695">
        <f>IF(ISBLANK('Data Entry'!$ò$695), "", 'Data Entry'!$ò$695)</f>
      </c>
      <c r="FW695">
        <f>IF(ISBLANK('Data Entry'!$ó$695), "", 'Data Entry'!$ó$695)</f>
      </c>
      <c r="FX695">
        <f>IF(ISBLANK('Data Entry'!$ô$695), "", 'Data Entry'!$ô$695)</f>
      </c>
      <c r="FY695">
        <f>IF(ISBLANK('Data Entry'!$õ$695), "", 'Data Entry'!$õ$695)</f>
      </c>
      <c r="FZ695">
        <f>IF(ISBLANK('Data Entry'!$ö$695), "", 'Data Entry'!$ö$695)</f>
      </c>
      <c r="GA695">
        <f>IF(ISBLANK('Data Entry'!$÷$695), "", 'Data Entry'!$÷$695)</f>
      </c>
      <c r="GB695">
        <f>IF(ISBLANK('Data Entry'!$ø$695), "", 'Data Entry'!$ø$695)</f>
      </c>
      <c r="GC695">
        <f>IF(ISBLANK('Data Entry'!$ù$695), "", 'Data Entry'!$ù$695)</f>
      </c>
      <c r="GD695">
        <f>IF(ISBLANK('Data Entry'!$ú$695), "", 'Data Entry'!$ú$695)</f>
      </c>
      <c r="GE695">
        <f>IF(ISBLANK('Data Entry'!$û$695), "", 'Data Entry'!$û$695)</f>
      </c>
      <c r="GF695">
        <f>IF(ISBLANK('Data Entry'!$ü$695), "", 'Data Entry'!$ü$695)</f>
      </c>
      <c r="GG695">
        <f>IF(ISBLANK('Data Entry'!$ý$695), "", 'Data Entry'!$ý$695)</f>
      </c>
      <c r="GH695">
        <f>IF(ISBLANK('Data Entry'!$þ$695), "", 'Data Entry'!$þ$695)</f>
      </c>
      <c r="GI695">
        <f>IF(ISBLANK('Data Entry'!$ÿ$695), "", 'Data Entry'!$ÿ$695)</f>
      </c>
      <c r="GJ695">
        <f>IF(ISBLANK('Data Entry'!$Ā$695), "", 'Data Entry'!$Ā$695)</f>
      </c>
      <c r="GK695">
        <f>IF(ISBLANK('Data Entry'!$ā$695), "", 'Data Entry'!$ā$695)</f>
      </c>
      <c r="GL695">
        <f>IF(ISBLANK('Data Entry'!$Ă$695), "", 'Data Entry'!$Ă$695)</f>
      </c>
      <c r="GM695">
        <f>IF(ISBLANK('Data Entry'!$ă$695), "", 'Data Entry'!$ă$695)</f>
      </c>
      <c r="GN695">
        <f>IF(ISBLANK('Data Entry'!$Ą$695), "", 'Data Entry'!$Ą$695)</f>
      </c>
      <c r="GO695">
        <f>IF(ISBLANK('Data Entry'!$ą$695), "", 'Data Entry'!$ą$695)</f>
      </c>
      <c r="GP695">
        <f>IF(ISBLANK('Data Entry'!$Ć$695), "", 'Data Entry'!$Ć$695)</f>
      </c>
      <c r="GQ695">
        <f>IF(ISBLANK('Data Entry'!$ć$695), "", 'Data Entry'!$ć$695)</f>
      </c>
      <c r="GR695">
        <f>IF(ISBLANK('Data Entry'!$Ĉ$695), "", 'Data Entry'!$Ĉ$695)</f>
      </c>
      <c r="GS695">
        <f>IF(ISBLANK('Data Entry'!$ĉ$695), "", 'Data Entry'!$ĉ$695)</f>
      </c>
      <c r="GT695">
        <f>IF(ISBLANK('Data Entry'!$Ċ$695), "", 'Data Entry'!$Ċ$695)</f>
      </c>
      <c r="GU695">
        <f>IF(ISBLANK('Data Entry'!$ċ$695), "", 'Data Entry'!$ċ$695)</f>
      </c>
      <c r="GV695">
        <f>IF(ISBLANK('Data Entry'!$Č$695), "", 'Data Entry'!$Č$695)</f>
      </c>
      <c r="GW695">
        <f>IF(ISBLANK('Data Entry'!$č$695), "", 'Data Entry'!$č$695)</f>
      </c>
      <c r="GX695">
        <f>IF(ISBLANK('Data Entry'!$Ď$695), "", 'Data Entry'!$Ď$695)</f>
      </c>
      <c r="GY695">
        <f>IF(ISBLANK('Data Entry'!$ď$695), "", 'Data Entry'!$ď$695)</f>
      </c>
      <c r="GZ695">
        <f>IF(ISBLANK('Data Entry'!$Đ$695), "", 'Data Entry'!$Đ$695)</f>
      </c>
      <c r="HA695">
        <f>IF(ISBLANK('Data Entry'!$đ$695), "", 'Data Entry'!$đ$695)</f>
      </c>
      <c r="HB695">
        <f>IF(ISBLANK('Data Entry'!$Ē$695), "", 'Data Entry'!$Ē$695)</f>
      </c>
      <c r="HC695">
        <f>IF(ISBLANK('Data Entry'!$ē$695), "", 'Data Entry'!$ē$695)</f>
      </c>
      <c r="HD695">
        <f>IF(ISBLANK('Data Entry'!$Ĕ$695), "", 'Data Entry'!$Ĕ$695)</f>
      </c>
      <c r="HE695">
        <f>IF(ISBLANK('Data Entry'!$ĕ$695), "", 'Data Entry'!$ĕ$695)</f>
      </c>
      <c r="HF695">
        <f>IF(ISBLANK('Data Entry'!$Ė$695), "", 'Data Entry'!$Ė$695)</f>
      </c>
      <c r="HG695">
        <f>IF(ISBLANK('Data Entry'!$ė$695), "", 'Data Entry'!$ė$695)</f>
      </c>
      <c r="HH695">
        <f>IF(ISBLANK('Data Entry'!$Ę$695), "", 'Data Entry'!$Ę$695)</f>
      </c>
      <c r="HI695">
        <f>IF(ISBLANK('Data Entry'!$ę$695), "", 'Data Entry'!$ę$695)</f>
      </c>
      <c r="HJ695">
        <f>IF(ISBLANK('Data Entry'!$Ě$695), "", 'Data Entry'!$Ě$695)</f>
      </c>
      <c r="HK695">
        <f>IF(ISBLANK('Data Entry'!$ě$695), "", 'Data Entry'!$ě$695)</f>
      </c>
      <c r="HL695">
        <f>IF(ISBLANK('Data Entry'!$Ĝ$695), "", 'Data Entry'!$Ĝ$695)</f>
      </c>
      <c r="HM695">
        <f>IF(ISBLANK('Data Entry'!$ĝ$695), "", 'Data Entry'!$ĝ$695)</f>
      </c>
      <c r="HN695">
        <f>IF(ISBLANK('Data Entry'!$Ğ$695), "", 'Data Entry'!$Ğ$695)</f>
      </c>
      <c r="HO695">
        <f>IF(ISBLANK('Data Entry'!$ğ$695), "", 'Data Entry'!$ğ$695)</f>
      </c>
      <c r="HP695">
        <f>IF(ISBLANK('Data Entry'!$Ġ$695), "", 'Data Entry'!$Ġ$695)</f>
      </c>
      <c r="HQ695">
        <f>IF(ISBLANK('Data Entry'!$ġ$695), "", 'Data Entry'!$ġ$695)</f>
      </c>
      <c r="HR695">
        <f>IF(ISBLANK('Data Entry'!$Ģ$695), "", 'Data Entry'!$Ģ$695)</f>
      </c>
      <c r="HS695">
        <f>IF(ISBLANK('Data Entry'!$ģ$695), "", 'Data Entry'!$ģ$695)</f>
      </c>
      <c r="HT695">
        <f>IF(ISBLANK('Data Entry'!$Ĥ$695), "", 'Data Entry'!$Ĥ$695)</f>
      </c>
      <c r="HU695">
        <f>IF(ISBLANK('Data Entry'!$ĥ$695), "", 'Data Entry'!$ĥ$695)</f>
      </c>
      <c r="HV695">
        <f>IF(ISBLANK('Data Entry'!$Ħ$695), "", 'Data Entry'!$Ħ$695)</f>
      </c>
      <c r="HW695">
        <f>IF(ISBLANK('Data Entry'!$ħ$695), "", 'Data Entry'!$ħ$695)</f>
      </c>
      <c r="HX695">
        <f>IF(ISBLANK('Data Entry'!$Ĩ$695), "", 'Data Entry'!$Ĩ$695)</f>
      </c>
      <c r="HY695">
        <f>IF(ISBLANK('Data Entry'!$ĩ$695), "", 'Data Entry'!$ĩ$695)</f>
      </c>
      <c r="HZ695">
        <f>IF(ISBLANK('Data Entry'!$Ī$695), "", 'Data Entry'!$Ī$695)</f>
      </c>
      <c r="IA695">
        <f>IF(ISBLANK('Data Entry'!$ī$695), "", 'Data Entry'!$ī$695)</f>
      </c>
      <c r="IB695">
        <f>IF(ISBLANK('Data Entry'!$Ĭ$695), "", 'Data Entry'!$Ĭ$695)</f>
      </c>
      <c r="IC695">
        <f>IF(ISBLANK('Data Entry'!$ĭ$695), "", 'Data Entry'!$ĭ$695)</f>
      </c>
      <c r="ID695">
        <f>IF(ISBLANK('Data Entry'!$Į$695), "", 'Data Entry'!$Į$695)</f>
      </c>
      <c r="IE695">
        <f>IF(ISBLANK('Data Entry'!$į$695), "", 'Data Entry'!$į$695)</f>
      </c>
      <c r="IF695">
        <f>IF(ISBLANK('Data Entry'!$İ$695), "", 'Data Entry'!$İ$695)</f>
      </c>
      <c r="IG695">
        <f>IF(ISBLANK('Data Entry'!$ı$695), "", 'Data Entry'!$ı$695)</f>
      </c>
      <c r="IH695">
        <f>IF(ISBLANK('Data Entry'!$Ĳ$695), "", 'Data Entry'!$Ĳ$695)</f>
      </c>
      <c r="II695">
        <f>IF(ISBLANK('Data Entry'!$ĳ$695), "", 'Data Entry'!$ĳ$695)</f>
      </c>
      <c r="IJ695">
        <f>IF(ISBLANK('Data Entry'!$Ĵ$695), "", 'Data Entry'!$Ĵ$695)</f>
      </c>
      <c r="IK695">
        <f>IF(ISBLANK('Data Entry'!$ĵ$695), "", 'Data Entry'!$ĵ$695)</f>
      </c>
      <c r="IL695">
        <f>IF(ISBLANK('Data Entry'!$Ķ$695), "", 'Data Entry'!$Ķ$695)</f>
      </c>
      <c r="IM695">
        <f>IF(ISBLANK('Data Entry'!$ķ$695), "", 'Data Entry'!$ķ$695)</f>
      </c>
      <c r="IN695">
        <f>IF(ISBLANK('Data Entry'!$ĸ$695), "", 'Data Entry'!$ĸ$695)</f>
      </c>
      <c r="IO695">
        <f>IF(ISBLANK('Data Entry'!$Ĺ$695), "", 'Data Entry'!$Ĺ$695)</f>
      </c>
      <c r="IP695">
        <f>IF(ISBLANK('Data Entry'!$ĺ$695), "", 'Data Entry'!$ĺ$695)</f>
      </c>
      <c r="IQ695">
        <f>IF(ISBLANK('Data Entry'!$Ļ$695), "", 'Data Entry'!$Ļ$695)</f>
      </c>
      <c r="IR695">
        <f>IF(ISBLANK('Data Entry'!$ļ$695), "", 'Data Entry'!$ļ$695)</f>
      </c>
      <c r="IS695">
        <f>IF(ISBLANK('Data Entry'!$Ľ$695), "", 'Data Entry'!$Ľ$695)</f>
      </c>
      <c r="IT695">
        <f>IF(ISBLANK('Data Entry'!$ľ$695), "", 'Data Entry'!$ľ$695)</f>
      </c>
    </row>
    <row r="696" spans="1:254" x14ac:dyDescent="0.25">
      <c r="A696">
        <f>IF(ISBLANK('Data Entry'!$A$696), "", 'Data Entry'!$A$696)</f>
      </c>
      <c r="B696">
        <f>IF(ISBLANK('Data Entry'!$B$696), "", 'Data Entry'!$B$696)</f>
      </c>
      <c r="C696">
        <f>IF(ISBLANK('Data Entry'!$C$696), "", 'Data Entry'!$C$696)</f>
      </c>
      <c r="D696">
        <f>IF(ISBLANK('Data Entry'!$D$696), "", 'Data Entry'!$D$696)</f>
      </c>
      <c r="E696">
        <f>IF(ISBLANK('Data Entry'!$E$696), "", 'Data Entry'!$E$696)</f>
      </c>
      <c r="F696">
        <f>IF(ISBLANK('Data Entry'!$F$696), "", 'Data Entry'!$F$696)</f>
      </c>
      <c r="G696">
        <f>IF(ISBLANK('Data Entry'!$G$696), "", 'Data Entry'!$G$696)</f>
      </c>
      <c r="H696">
        <f>IF(ISBLANK('Data Entry'!$H$696), "", 'Data Entry'!$H$696)</f>
      </c>
      <c r="I696">
        <f>IF(ISBLANK('Data Entry'!$I$696), "", 'Data Entry'!$I$696)</f>
      </c>
      <c r="J696">
        <f>IF(ISBLANK('Data Entry'!$J$696), "", 'Data Entry'!$J$696)</f>
      </c>
      <c r="K696">
        <f>IF(ISBLANK('Data Entry'!$K$696), "", 'Data Entry'!$K$696)</f>
      </c>
      <c r="L696">
        <f>IF(ISBLANK('Data Entry'!$L$696), "", 'Data Entry'!$L$696)</f>
      </c>
      <c r="M696">
        <f>IF(ISBLANK('Data Entry'!$M$696), "", 'Data Entry'!$M$696)</f>
      </c>
      <c r="N696">
        <f>IF(ISBLANK('Data Entry'!$N$696), "", 'Data Entry'!$N$696)</f>
      </c>
      <c r="O696">
        <f>IF(ISBLANK('Data Entry'!$O$696), "", 'Data Entry'!$O$696)</f>
      </c>
      <c r="P696">
        <f>IF(ISBLANK('Data Entry'!$P$696), "", 'Data Entry'!$P$696)</f>
      </c>
      <c r="Q696">
        <f>IF(ISBLANK('Data Entry'!$Q$696), "", 'Data Entry'!$Q$696)</f>
      </c>
      <c r="R696">
        <f>IF(ISBLANK('Data Entry'!$R$696), "", 'Data Entry'!$R$696)</f>
      </c>
      <c r="S696">
        <f>IF(ISBLANK('Data Entry'!$S$696), "", 'Data Entry'!$S$696)</f>
      </c>
      <c r="T696">
        <f>IF(ISBLANK('Data Entry'!$T$696), "", 'Data Entry'!$T$696)</f>
      </c>
      <c r="U696">
        <f>IF(ISBLANK('Data Entry'!$U$696), "", 'Data Entry'!$U$696)</f>
      </c>
      <c r="V696">
        <f>IF(ISBLANK('Data Entry'!$V$696), "", 'Data Entry'!$V$696)</f>
      </c>
      <c r="W696">
        <f>IF(ISBLANK('Data Entry'!$W$696), "", 'Data Entry'!$W$696)</f>
      </c>
      <c r="X696">
        <f>IF(ISBLANK('Data Entry'!$X$696), "", 'Data Entry'!$X$696)</f>
      </c>
      <c r="Y696">
        <f>IF(ISBLANK('Data Entry'!$Y$696), "", 'Data Entry'!$Y$696)</f>
      </c>
      <c r="Z696">
        <f>IF(ISBLANK('Data Entry'!$Z$696), "", 'Data Entry'!$Z$696)</f>
      </c>
      <c r="AA696">
        <f>IF(ISBLANK('Data Entry'!$[$696), "", 'Data Entry'!$[$696)</f>
      </c>
      <c r="AB696">
        <f>IF(ISBLANK('Data Entry'!$\$696), "", 'Data Entry'!$\$696)</f>
      </c>
      <c r="AC696">
        <f>IF(ISBLANK('Data Entry'!$]$696), "", 'Data Entry'!$]$696)</f>
      </c>
      <c r="AD696">
        <f>IF(ISBLANK('Data Entry'!$^$696), "", 'Data Entry'!$^$696)</f>
      </c>
      <c r="AE696">
        <f>IF(ISBLANK('Data Entry'!$_$696), "", 'Data Entry'!$_$696)</f>
      </c>
      <c r="AF696">
        <f>IF(ISBLANK('Data Entry'!$`$696), "", 'Data Entry'!$`$696)</f>
      </c>
      <c r="AG696">
        <f>IF(ISBLANK('Data Entry'!$a$696), "", 'Data Entry'!$a$696)</f>
      </c>
      <c r="AH696">
        <f>IF(ISBLANK('Data Entry'!$b$696), "", 'Data Entry'!$b$696)</f>
      </c>
      <c r="AI696">
        <f>IF(ISBLANK('Data Entry'!$c$696), "", 'Data Entry'!$c$696)</f>
      </c>
      <c r="AJ696">
        <f>IF(ISBLANK('Data Entry'!$d$696), "", 'Data Entry'!$d$696)</f>
      </c>
      <c r="AK696">
        <f>IF(ISBLANK('Data Entry'!$e$696), "", 'Data Entry'!$e$696)</f>
      </c>
      <c r="AL696">
        <f>IF(ISBLANK('Data Entry'!$f$696), "", 'Data Entry'!$f$696)</f>
      </c>
      <c r="AM696">
        <f>IF(ISBLANK('Data Entry'!$g$696), "", 'Data Entry'!$g$696)</f>
      </c>
      <c r="AN696">
        <f>IF(ISBLANK('Data Entry'!$h$696), "", 'Data Entry'!$h$696)</f>
      </c>
      <c r="AO696">
        <f>IF(ISBLANK('Data Entry'!$i$696), "", 'Data Entry'!$i$696)</f>
      </c>
      <c r="AP696">
        <f>IF(ISBLANK('Data Entry'!$j$696), "", 'Data Entry'!$j$696)</f>
      </c>
      <c r="AQ696">
        <f>IF(ISBLANK('Data Entry'!$k$696), "", 'Data Entry'!$k$696)</f>
      </c>
      <c r="AR696">
        <f>IF(ISBLANK('Data Entry'!$l$696), "", 'Data Entry'!$l$696)</f>
      </c>
      <c r="AS696">
        <f>IF(ISBLANK('Data Entry'!$m$696), "", 'Data Entry'!$m$696)</f>
      </c>
      <c r="AT696">
        <f>IF(ISBLANK('Data Entry'!$n$696), "", 'Data Entry'!$n$696)</f>
      </c>
      <c r="AU696">
        <f>IF(ISBLANK('Data Entry'!$o$696), "", 'Data Entry'!$o$696)</f>
      </c>
      <c r="AV696">
        <f>IF(ISBLANK('Data Entry'!$p$696), "", 'Data Entry'!$p$696)</f>
      </c>
      <c r="AW696">
        <f>IF(ISBLANK('Data Entry'!$q$696), "", 'Data Entry'!$q$696)</f>
      </c>
      <c r="AX696">
        <f>IF(ISBLANK('Data Entry'!$r$696), "", 'Data Entry'!$r$696)</f>
      </c>
      <c r="AY696">
        <f>IF(ISBLANK('Data Entry'!$s$696), "", 'Data Entry'!$s$696)</f>
      </c>
      <c r="AZ696">
        <f>IF(ISBLANK('Data Entry'!$t$696), "", 'Data Entry'!$t$696)</f>
      </c>
      <c r="BA696">
        <f>IF(ISBLANK('Data Entry'!$u$696), "", 'Data Entry'!$u$696)</f>
      </c>
      <c r="BB696">
        <f>IF(ISBLANK('Data Entry'!$v$696), "", 'Data Entry'!$v$696)</f>
      </c>
      <c r="BC696">
        <f>IF(ISBLANK('Data Entry'!$w$696), "", 'Data Entry'!$w$696)</f>
      </c>
      <c r="BD696">
        <f>IF(ISBLANK('Data Entry'!$x$696), "", 'Data Entry'!$x$696)</f>
      </c>
      <c r="BE696">
        <f>IF(ISBLANK('Data Entry'!$y$696), "", 'Data Entry'!$y$696)</f>
      </c>
      <c r="BF696">
        <f>IF(ISBLANK('Data Entry'!$z$696), "", 'Data Entry'!$z$696)</f>
      </c>
      <c r="BG696">
        <f>IF(ISBLANK('Data Entry'!${$696), "", 'Data Entry'!${$696)</f>
      </c>
      <c r="BH696">
        <f>IF(ISBLANK('Data Entry'!$|$696), "", 'Data Entry'!$|$696)</f>
      </c>
      <c r="BI696">
        <f>IF(ISBLANK('Data Entry'!$}$696), "", 'Data Entry'!$}$696)</f>
      </c>
      <c r="BJ696">
        <f>IF(ISBLANK('Data Entry'!$~$696), "", 'Data Entry'!$~$696)</f>
      </c>
      <c r="BK696">
        <f>IF(ISBLANK('Data Entry'!$$696), "", 'Data Entry'!$$696)</f>
      </c>
      <c r="BL696">
        <f>IF(ISBLANK('Data Entry'!$$696), "", 'Data Entry'!$$696)</f>
      </c>
      <c r="BM696">
        <f>IF(ISBLANK('Data Entry'!$$696), "", 'Data Entry'!$$696)</f>
      </c>
      <c r="BN696">
        <f>IF(ISBLANK('Data Entry'!$$696), "", 'Data Entry'!$$696)</f>
      </c>
      <c r="BO696">
        <f>IF(ISBLANK('Data Entry'!$$696), "", 'Data Entry'!$$696)</f>
      </c>
      <c r="BP696">
        <f>IF(ISBLANK('Data Entry'!$$696), "", 'Data Entry'!$$696)</f>
      </c>
      <c r="BQ696">
        <f>IF(ISBLANK('Data Entry'!$$696), "", 'Data Entry'!$$696)</f>
      </c>
      <c r="BR696">
        <f>IF(ISBLANK('Data Entry'!$$696), "", 'Data Entry'!$$696)</f>
      </c>
      <c r="BS696">
        <f>IF(ISBLANK('Data Entry'!$$696), "", 'Data Entry'!$$696)</f>
      </c>
      <c r="BT696">
        <f>IF(ISBLANK('Data Entry'!$$696), "", 'Data Entry'!$$696)</f>
      </c>
      <c r="BU696">
        <f>IF(ISBLANK('Data Entry'!$$696), "", 'Data Entry'!$$696)</f>
      </c>
      <c r="BV696">
        <f>IF(ISBLANK('Data Entry'!$$696), "", 'Data Entry'!$$696)</f>
      </c>
      <c r="BW696">
        <f>IF(ISBLANK('Data Entry'!$$696), "", 'Data Entry'!$$696)</f>
      </c>
      <c r="BX696">
        <f>IF(ISBLANK('Data Entry'!$$696), "", 'Data Entry'!$$696)</f>
      </c>
      <c r="BY696">
        <f>IF(ISBLANK('Data Entry'!$$696), "", 'Data Entry'!$$696)</f>
      </c>
      <c r="BZ696">
        <f>IF(ISBLANK('Data Entry'!$$696), "", 'Data Entry'!$$696)</f>
      </c>
      <c r="CA696">
        <f>IF(ISBLANK('Data Entry'!$$696), "", 'Data Entry'!$$696)</f>
      </c>
      <c r="CB696">
        <f>IF(ISBLANK('Data Entry'!$$696), "", 'Data Entry'!$$696)</f>
      </c>
      <c r="CC696">
        <f>IF(ISBLANK('Data Entry'!$$696), "", 'Data Entry'!$$696)</f>
      </c>
      <c r="CD696">
        <f>IF(ISBLANK('Data Entry'!$$696), "", 'Data Entry'!$$696)</f>
      </c>
      <c r="CE696">
        <f>IF(ISBLANK('Data Entry'!$$696), "", 'Data Entry'!$$696)</f>
      </c>
      <c r="CF696">
        <f>IF(ISBLANK('Data Entry'!$$696), "", 'Data Entry'!$$696)</f>
      </c>
      <c r="CG696">
        <f>IF(ISBLANK('Data Entry'!$$696), "", 'Data Entry'!$$696)</f>
      </c>
      <c r="CH696">
        <f>IF(ISBLANK('Data Entry'!$$696), "", 'Data Entry'!$$696)</f>
      </c>
      <c r="CI696">
        <f>IF(ISBLANK('Data Entry'!$$696), "", 'Data Entry'!$$696)</f>
      </c>
      <c r="CJ696">
        <f>IF(ISBLANK('Data Entry'!$$696), "", 'Data Entry'!$$696)</f>
      </c>
      <c r="CK696">
        <f>IF(ISBLANK('Data Entry'!$$696), "", 'Data Entry'!$$696)</f>
      </c>
      <c r="CL696">
        <f>IF(ISBLANK('Data Entry'!$$696), "", 'Data Entry'!$$696)</f>
      </c>
      <c r="CM696">
        <f>IF(ISBLANK('Data Entry'!$$696), "", 'Data Entry'!$$696)</f>
      </c>
      <c r="CN696">
        <f>IF(ISBLANK('Data Entry'!$$696), "", 'Data Entry'!$$696)</f>
      </c>
      <c r="CO696">
        <f>IF(ISBLANK('Data Entry'!$$696), "", 'Data Entry'!$$696)</f>
      </c>
      <c r="CP696">
        <f>IF(ISBLANK('Data Entry'!$$696), "", 'Data Entry'!$$696)</f>
      </c>
      <c r="CQ696">
        <f>IF(ISBLANK('Data Entry'!$$696), "", 'Data Entry'!$$696)</f>
      </c>
      <c r="CR696">
        <f>IF(ISBLANK('Data Entry'!$ $696), "", 'Data Entry'!$ $696)</f>
      </c>
      <c r="CS696">
        <f>IF(ISBLANK('Data Entry'!$¡$696), "", 'Data Entry'!$¡$696)</f>
      </c>
      <c r="CT696">
        <f>IF(ISBLANK('Data Entry'!$¢$696), "", 'Data Entry'!$¢$696)</f>
      </c>
      <c r="CU696">
        <f>IF(ISBLANK('Data Entry'!$£$696), "", 'Data Entry'!$£$696)</f>
      </c>
      <c r="CV696">
        <f>IF(ISBLANK('Data Entry'!$¤$696), "", 'Data Entry'!$¤$696)</f>
      </c>
      <c r="CW696">
        <f>IF(ISBLANK('Data Entry'!$¥$696), "", 'Data Entry'!$¥$696)</f>
      </c>
      <c r="CX696">
        <f>IF(ISBLANK('Data Entry'!$¦$696), "", 'Data Entry'!$¦$696)</f>
      </c>
      <c r="CY696">
        <f>IF(ISBLANK('Data Entry'!$§$696), "", 'Data Entry'!$§$696)</f>
      </c>
      <c r="CZ696">
        <f>IF(ISBLANK('Data Entry'!$¨$696), "", 'Data Entry'!$¨$696)</f>
      </c>
      <c r="DA696">
        <f>IF(ISBLANK('Data Entry'!$©$696), "", 'Data Entry'!$©$696)</f>
      </c>
      <c r="DB696">
        <f>IF(ISBLANK('Data Entry'!$ª$696), "", 'Data Entry'!$ª$696)</f>
      </c>
      <c r="DC696">
        <f>IF(ISBLANK('Data Entry'!$«$696), "", 'Data Entry'!$«$696)</f>
      </c>
      <c r="DD696">
        <f>IF(ISBLANK('Data Entry'!$¬$696), "", 'Data Entry'!$¬$696)</f>
      </c>
      <c r="DE696">
        <f>IF(ISBLANK('Data Entry'!$­$696), "", 'Data Entry'!$­$696)</f>
      </c>
      <c r="DF696">
        <f>IF(ISBLANK('Data Entry'!$®$696), "", 'Data Entry'!$®$696)</f>
      </c>
      <c r="DG696">
        <f>IF(ISBLANK('Data Entry'!$¯$696), "", 'Data Entry'!$¯$696)</f>
      </c>
      <c r="DH696">
        <f>IF(ISBLANK('Data Entry'!$°$696), "", 'Data Entry'!$°$696)</f>
      </c>
      <c r="DI696">
        <f>IF(ISBLANK('Data Entry'!$±$696), "", 'Data Entry'!$±$696)</f>
      </c>
      <c r="DJ696">
        <f>IF(ISBLANK('Data Entry'!$²$696), "", 'Data Entry'!$²$696)</f>
      </c>
      <c r="DK696">
        <f>IF(ISBLANK('Data Entry'!$³$696), "", 'Data Entry'!$³$696)</f>
      </c>
      <c r="DL696">
        <f>IF(ISBLANK('Data Entry'!$´$696), "", 'Data Entry'!$´$696)</f>
      </c>
      <c r="DM696">
        <f>IF(ISBLANK('Data Entry'!$µ$696), "", 'Data Entry'!$µ$696)</f>
      </c>
      <c r="DN696">
        <f>IF(ISBLANK('Data Entry'!$¶$696), "", 'Data Entry'!$¶$696)</f>
      </c>
      <c r="DO696">
        <f>IF(ISBLANK('Data Entry'!$·$696), "", 'Data Entry'!$·$696)</f>
      </c>
      <c r="DP696">
        <f>IF(ISBLANK('Data Entry'!$¸$696), "", 'Data Entry'!$¸$696)</f>
      </c>
      <c r="DQ696">
        <f>IF(ISBLANK('Data Entry'!$¹$696), "", 'Data Entry'!$¹$696)</f>
      </c>
      <c r="DR696">
        <f>IF(ISBLANK('Data Entry'!$º$696), "", 'Data Entry'!$º$696)</f>
      </c>
      <c r="DS696">
        <f>IF(ISBLANK('Data Entry'!$»$696), "", 'Data Entry'!$»$696)</f>
      </c>
      <c r="DT696">
        <f>IF(ISBLANK('Data Entry'!$¼$696), "", 'Data Entry'!$¼$696)</f>
      </c>
      <c r="DU696">
        <f>IF(ISBLANK('Data Entry'!$½$696), "", 'Data Entry'!$½$696)</f>
      </c>
      <c r="DV696">
        <f>IF(ISBLANK('Data Entry'!$¾$696), "", 'Data Entry'!$¾$696)</f>
      </c>
      <c r="DW696">
        <f>IF(ISBLANK('Data Entry'!$¿$696), "", 'Data Entry'!$¿$696)</f>
      </c>
      <c r="DX696">
        <f>IF(ISBLANK('Data Entry'!$À$696), "", 'Data Entry'!$À$696)</f>
      </c>
      <c r="DY696">
        <f>IF(ISBLANK('Data Entry'!$Á$696), "", 'Data Entry'!$Á$696)</f>
      </c>
      <c r="DZ696">
        <f>IF(ISBLANK('Data Entry'!$Â$696), "", 'Data Entry'!$Â$696)</f>
      </c>
      <c r="EA696">
        <f>IF(ISBLANK('Data Entry'!$Ã$696), "", 'Data Entry'!$Ã$696)</f>
      </c>
      <c r="EB696">
        <f>IF(ISBLANK('Data Entry'!$Ä$696), "", 'Data Entry'!$Ä$696)</f>
      </c>
      <c r="EC696">
        <f>IF(ISBLANK('Data Entry'!$Å$696), "", 'Data Entry'!$Å$696)</f>
      </c>
      <c r="ED696">
        <f>IF(ISBLANK('Data Entry'!$Æ$696), "", 'Data Entry'!$Æ$696)</f>
      </c>
      <c r="EE696">
        <f>IF(ISBLANK('Data Entry'!$Ç$696), "", 'Data Entry'!$Ç$696)</f>
      </c>
      <c r="EF696">
        <f>IF(ISBLANK('Data Entry'!$È$696), "", 'Data Entry'!$È$696)</f>
      </c>
      <c r="EG696">
        <f>IF(ISBLANK('Data Entry'!$É$696), "", 'Data Entry'!$É$696)</f>
      </c>
      <c r="EH696">
        <f>IF(ISBLANK('Data Entry'!$Ê$696), "", 'Data Entry'!$Ê$696)</f>
      </c>
      <c r="EI696">
        <f>IF(ISBLANK('Data Entry'!$Ë$696), "", 'Data Entry'!$Ë$696)</f>
      </c>
      <c r="EJ696">
        <f>IF(ISBLANK('Data Entry'!$Ì$696), "", 'Data Entry'!$Ì$696)</f>
      </c>
      <c r="EK696">
        <f>IF(ISBLANK('Data Entry'!$Í$696), "", 'Data Entry'!$Í$696)</f>
      </c>
      <c r="EL696">
        <f>IF(ISBLANK('Data Entry'!$Î$696), "", 'Data Entry'!$Î$696)</f>
      </c>
      <c r="EM696">
        <f>IF(ISBLANK('Data Entry'!$Ï$696), "", 'Data Entry'!$Ï$696)</f>
      </c>
      <c r="EN696">
        <f>IF(ISBLANK('Data Entry'!$Ð$696), "", 'Data Entry'!$Ð$696)</f>
      </c>
      <c r="EO696">
        <f>IF(ISBLANK('Data Entry'!$Ñ$696), "", 'Data Entry'!$Ñ$696)</f>
      </c>
      <c r="EP696">
        <f>IF(ISBLANK('Data Entry'!$Ò$696), "", 'Data Entry'!$Ò$696)</f>
      </c>
      <c r="EQ696">
        <f>IF(ISBLANK('Data Entry'!$Ó$696), "", 'Data Entry'!$Ó$696)</f>
      </c>
      <c r="ER696">
        <f>IF(ISBLANK('Data Entry'!$Ô$696), "", 'Data Entry'!$Ô$696)</f>
      </c>
      <c r="ES696">
        <f>IF(ISBLANK('Data Entry'!$Õ$696), "", 'Data Entry'!$Õ$696)</f>
      </c>
      <c r="ET696">
        <f>IF(ISBLANK('Data Entry'!$Ö$696), "", 'Data Entry'!$Ö$696)</f>
      </c>
      <c r="EU696">
        <f>IF(ISBLANK('Data Entry'!$×$696), "", 'Data Entry'!$×$696)</f>
      </c>
      <c r="EV696">
        <f>IF(ISBLANK('Data Entry'!$Ø$696), "", 'Data Entry'!$Ø$696)</f>
      </c>
      <c r="EW696">
        <f>IF(ISBLANK('Data Entry'!$Ù$696), "", 'Data Entry'!$Ù$696)</f>
      </c>
      <c r="EX696">
        <f>IF(ISBLANK('Data Entry'!$Ú$696), "", 'Data Entry'!$Ú$696)</f>
      </c>
      <c r="EY696">
        <f>IF(ISBLANK('Data Entry'!$Û$696), "", 'Data Entry'!$Û$696)</f>
      </c>
      <c r="EZ696">
        <f>IF(ISBLANK('Data Entry'!$Ü$696), "", 'Data Entry'!$Ü$696)</f>
      </c>
      <c r="FA696">
        <f>IF(ISBLANK('Data Entry'!$Ý$696), "", 'Data Entry'!$Ý$696)</f>
      </c>
      <c r="FB696">
        <f>IF(ISBLANK('Data Entry'!$Þ$696), "", 'Data Entry'!$Þ$696)</f>
      </c>
      <c r="FC696">
        <f>IF(ISBLANK('Data Entry'!$ß$696), "", 'Data Entry'!$ß$696)</f>
      </c>
      <c r="FD696">
        <f>IF(ISBLANK('Data Entry'!$à$696), "", 'Data Entry'!$à$696)</f>
      </c>
      <c r="FE696">
        <f>IF(ISBLANK('Data Entry'!$á$696), "", 'Data Entry'!$á$696)</f>
      </c>
      <c r="FF696">
        <f>IF(ISBLANK('Data Entry'!$â$696), "", 'Data Entry'!$â$696)</f>
      </c>
      <c r="FG696">
        <f>IF(ISBLANK('Data Entry'!$ã$696), "", 'Data Entry'!$ã$696)</f>
      </c>
      <c r="FH696">
        <f>IF(ISBLANK('Data Entry'!$ä$696), "", 'Data Entry'!$ä$696)</f>
      </c>
      <c r="FI696">
        <f>IF(ISBLANK('Data Entry'!$å$696), "", 'Data Entry'!$å$696)</f>
      </c>
      <c r="FJ696">
        <f>IF(ISBLANK('Data Entry'!$æ$696), "", 'Data Entry'!$æ$696)</f>
      </c>
      <c r="FK696">
        <f>IF(ISBLANK('Data Entry'!$ç$696), "", 'Data Entry'!$ç$696)</f>
      </c>
      <c r="FL696">
        <f>IF(ISBLANK('Data Entry'!$è$696), "", 'Data Entry'!$è$696)</f>
      </c>
      <c r="FM696">
        <f>IF(ISBLANK('Data Entry'!$é$696), "", 'Data Entry'!$é$696)</f>
      </c>
      <c r="FN696">
        <f>IF(ISBLANK('Data Entry'!$ê$696), "", 'Data Entry'!$ê$696)</f>
      </c>
      <c r="FO696">
        <f>IF(ISBLANK('Data Entry'!$ë$696), "", 'Data Entry'!$ë$696)</f>
      </c>
      <c r="FP696">
        <f>IF(ISBLANK('Data Entry'!$ì$696), "", 'Data Entry'!$ì$696)</f>
      </c>
      <c r="FQ696">
        <f>IF(ISBLANK('Data Entry'!$í$696), "", 'Data Entry'!$í$696)</f>
      </c>
      <c r="FR696">
        <f>IF(ISBLANK('Data Entry'!$î$696), "", 'Data Entry'!$î$696)</f>
      </c>
      <c r="FS696">
        <f>IF(ISBLANK('Data Entry'!$ï$696), "", 'Data Entry'!$ï$696)</f>
      </c>
      <c r="FT696">
        <f>IF(ISBLANK('Data Entry'!$ð$696), "", 'Data Entry'!$ð$696)</f>
      </c>
      <c r="FU696">
        <f>IF(ISBLANK('Data Entry'!$ñ$696), "", 'Data Entry'!$ñ$696)</f>
      </c>
      <c r="FV696">
        <f>IF(ISBLANK('Data Entry'!$ò$696), "", 'Data Entry'!$ò$696)</f>
      </c>
      <c r="FW696">
        <f>IF(ISBLANK('Data Entry'!$ó$696), "", 'Data Entry'!$ó$696)</f>
      </c>
      <c r="FX696">
        <f>IF(ISBLANK('Data Entry'!$ô$696), "", 'Data Entry'!$ô$696)</f>
      </c>
      <c r="FY696">
        <f>IF(ISBLANK('Data Entry'!$õ$696), "", 'Data Entry'!$õ$696)</f>
      </c>
      <c r="FZ696">
        <f>IF(ISBLANK('Data Entry'!$ö$696), "", 'Data Entry'!$ö$696)</f>
      </c>
      <c r="GA696">
        <f>IF(ISBLANK('Data Entry'!$÷$696), "", 'Data Entry'!$÷$696)</f>
      </c>
      <c r="GB696">
        <f>IF(ISBLANK('Data Entry'!$ø$696), "", 'Data Entry'!$ø$696)</f>
      </c>
      <c r="GC696">
        <f>IF(ISBLANK('Data Entry'!$ù$696), "", 'Data Entry'!$ù$696)</f>
      </c>
      <c r="GD696">
        <f>IF(ISBLANK('Data Entry'!$ú$696), "", 'Data Entry'!$ú$696)</f>
      </c>
      <c r="GE696">
        <f>IF(ISBLANK('Data Entry'!$û$696), "", 'Data Entry'!$û$696)</f>
      </c>
      <c r="GF696">
        <f>IF(ISBLANK('Data Entry'!$ü$696), "", 'Data Entry'!$ü$696)</f>
      </c>
      <c r="GG696">
        <f>IF(ISBLANK('Data Entry'!$ý$696), "", 'Data Entry'!$ý$696)</f>
      </c>
      <c r="GH696">
        <f>IF(ISBLANK('Data Entry'!$þ$696), "", 'Data Entry'!$þ$696)</f>
      </c>
      <c r="GI696">
        <f>IF(ISBLANK('Data Entry'!$ÿ$696), "", 'Data Entry'!$ÿ$696)</f>
      </c>
      <c r="GJ696">
        <f>IF(ISBLANK('Data Entry'!$Ā$696), "", 'Data Entry'!$Ā$696)</f>
      </c>
      <c r="GK696">
        <f>IF(ISBLANK('Data Entry'!$ā$696), "", 'Data Entry'!$ā$696)</f>
      </c>
      <c r="GL696">
        <f>IF(ISBLANK('Data Entry'!$Ă$696), "", 'Data Entry'!$Ă$696)</f>
      </c>
      <c r="GM696">
        <f>IF(ISBLANK('Data Entry'!$ă$696), "", 'Data Entry'!$ă$696)</f>
      </c>
      <c r="GN696">
        <f>IF(ISBLANK('Data Entry'!$Ą$696), "", 'Data Entry'!$Ą$696)</f>
      </c>
      <c r="GO696">
        <f>IF(ISBLANK('Data Entry'!$ą$696), "", 'Data Entry'!$ą$696)</f>
      </c>
      <c r="GP696">
        <f>IF(ISBLANK('Data Entry'!$Ć$696), "", 'Data Entry'!$Ć$696)</f>
      </c>
      <c r="GQ696">
        <f>IF(ISBLANK('Data Entry'!$ć$696), "", 'Data Entry'!$ć$696)</f>
      </c>
      <c r="GR696">
        <f>IF(ISBLANK('Data Entry'!$Ĉ$696), "", 'Data Entry'!$Ĉ$696)</f>
      </c>
      <c r="GS696">
        <f>IF(ISBLANK('Data Entry'!$ĉ$696), "", 'Data Entry'!$ĉ$696)</f>
      </c>
      <c r="GT696">
        <f>IF(ISBLANK('Data Entry'!$Ċ$696), "", 'Data Entry'!$Ċ$696)</f>
      </c>
      <c r="GU696">
        <f>IF(ISBLANK('Data Entry'!$ċ$696), "", 'Data Entry'!$ċ$696)</f>
      </c>
      <c r="GV696">
        <f>IF(ISBLANK('Data Entry'!$Č$696), "", 'Data Entry'!$Č$696)</f>
      </c>
      <c r="GW696">
        <f>IF(ISBLANK('Data Entry'!$č$696), "", 'Data Entry'!$č$696)</f>
      </c>
      <c r="GX696">
        <f>IF(ISBLANK('Data Entry'!$Ď$696), "", 'Data Entry'!$Ď$696)</f>
      </c>
      <c r="GY696">
        <f>IF(ISBLANK('Data Entry'!$ď$696), "", 'Data Entry'!$ď$696)</f>
      </c>
      <c r="GZ696">
        <f>IF(ISBLANK('Data Entry'!$Đ$696), "", 'Data Entry'!$Đ$696)</f>
      </c>
      <c r="HA696">
        <f>IF(ISBLANK('Data Entry'!$đ$696), "", 'Data Entry'!$đ$696)</f>
      </c>
      <c r="HB696">
        <f>IF(ISBLANK('Data Entry'!$Ē$696), "", 'Data Entry'!$Ē$696)</f>
      </c>
      <c r="HC696">
        <f>IF(ISBLANK('Data Entry'!$ē$696), "", 'Data Entry'!$ē$696)</f>
      </c>
      <c r="HD696">
        <f>IF(ISBLANK('Data Entry'!$Ĕ$696), "", 'Data Entry'!$Ĕ$696)</f>
      </c>
      <c r="HE696">
        <f>IF(ISBLANK('Data Entry'!$ĕ$696), "", 'Data Entry'!$ĕ$696)</f>
      </c>
      <c r="HF696">
        <f>IF(ISBLANK('Data Entry'!$Ė$696), "", 'Data Entry'!$Ė$696)</f>
      </c>
      <c r="HG696">
        <f>IF(ISBLANK('Data Entry'!$ė$696), "", 'Data Entry'!$ė$696)</f>
      </c>
      <c r="HH696">
        <f>IF(ISBLANK('Data Entry'!$Ę$696), "", 'Data Entry'!$Ę$696)</f>
      </c>
      <c r="HI696">
        <f>IF(ISBLANK('Data Entry'!$ę$696), "", 'Data Entry'!$ę$696)</f>
      </c>
      <c r="HJ696">
        <f>IF(ISBLANK('Data Entry'!$Ě$696), "", 'Data Entry'!$Ě$696)</f>
      </c>
      <c r="HK696">
        <f>IF(ISBLANK('Data Entry'!$ě$696), "", 'Data Entry'!$ě$696)</f>
      </c>
      <c r="HL696">
        <f>IF(ISBLANK('Data Entry'!$Ĝ$696), "", 'Data Entry'!$Ĝ$696)</f>
      </c>
      <c r="HM696">
        <f>IF(ISBLANK('Data Entry'!$ĝ$696), "", 'Data Entry'!$ĝ$696)</f>
      </c>
      <c r="HN696">
        <f>IF(ISBLANK('Data Entry'!$Ğ$696), "", 'Data Entry'!$Ğ$696)</f>
      </c>
      <c r="HO696">
        <f>IF(ISBLANK('Data Entry'!$ğ$696), "", 'Data Entry'!$ğ$696)</f>
      </c>
      <c r="HP696">
        <f>IF(ISBLANK('Data Entry'!$Ġ$696), "", 'Data Entry'!$Ġ$696)</f>
      </c>
      <c r="HQ696">
        <f>IF(ISBLANK('Data Entry'!$ġ$696), "", 'Data Entry'!$ġ$696)</f>
      </c>
      <c r="HR696">
        <f>IF(ISBLANK('Data Entry'!$Ģ$696), "", 'Data Entry'!$Ģ$696)</f>
      </c>
      <c r="HS696">
        <f>IF(ISBLANK('Data Entry'!$ģ$696), "", 'Data Entry'!$ģ$696)</f>
      </c>
      <c r="HT696">
        <f>IF(ISBLANK('Data Entry'!$Ĥ$696), "", 'Data Entry'!$Ĥ$696)</f>
      </c>
      <c r="HU696">
        <f>IF(ISBLANK('Data Entry'!$ĥ$696), "", 'Data Entry'!$ĥ$696)</f>
      </c>
      <c r="HV696">
        <f>IF(ISBLANK('Data Entry'!$Ħ$696), "", 'Data Entry'!$Ħ$696)</f>
      </c>
      <c r="HW696">
        <f>IF(ISBLANK('Data Entry'!$ħ$696), "", 'Data Entry'!$ħ$696)</f>
      </c>
      <c r="HX696">
        <f>IF(ISBLANK('Data Entry'!$Ĩ$696), "", 'Data Entry'!$Ĩ$696)</f>
      </c>
      <c r="HY696">
        <f>IF(ISBLANK('Data Entry'!$ĩ$696), "", 'Data Entry'!$ĩ$696)</f>
      </c>
      <c r="HZ696">
        <f>IF(ISBLANK('Data Entry'!$Ī$696), "", 'Data Entry'!$Ī$696)</f>
      </c>
      <c r="IA696">
        <f>IF(ISBLANK('Data Entry'!$ī$696), "", 'Data Entry'!$ī$696)</f>
      </c>
      <c r="IB696">
        <f>IF(ISBLANK('Data Entry'!$Ĭ$696), "", 'Data Entry'!$Ĭ$696)</f>
      </c>
      <c r="IC696">
        <f>IF(ISBLANK('Data Entry'!$ĭ$696), "", 'Data Entry'!$ĭ$696)</f>
      </c>
      <c r="ID696">
        <f>IF(ISBLANK('Data Entry'!$Į$696), "", 'Data Entry'!$Į$696)</f>
      </c>
      <c r="IE696">
        <f>IF(ISBLANK('Data Entry'!$į$696), "", 'Data Entry'!$į$696)</f>
      </c>
      <c r="IF696">
        <f>IF(ISBLANK('Data Entry'!$İ$696), "", 'Data Entry'!$İ$696)</f>
      </c>
      <c r="IG696">
        <f>IF(ISBLANK('Data Entry'!$ı$696), "", 'Data Entry'!$ı$696)</f>
      </c>
      <c r="IH696">
        <f>IF(ISBLANK('Data Entry'!$Ĳ$696), "", 'Data Entry'!$Ĳ$696)</f>
      </c>
      <c r="II696">
        <f>IF(ISBLANK('Data Entry'!$ĳ$696), "", 'Data Entry'!$ĳ$696)</f>
      </c>
      <c r="IJ696">
        <f>IF(ISBLANK('Data Entry'!$Ĵ$696), "", 'Data Entry'!$Ĵ$696)</f>
      </c>
      <c r="IK696">
        <f>IF(ISBLANK('Data Entry'!$ĵ$696), "", 'Data Entry'!$ĵ$696)</f>
      </c>
      <c r="IL696">
        <f>IF(ISBLANK('Data Entry'!$Ķ$696), "", 'Data Entry'!$Ķ$696)</f>
      </c>
      <c r="IM696">
        <f>IF(ISBLANK('Data Entry'!$ķ$696), "", 'Data Entry'!$ķ$696)</f>
      </c>
      <c r="IN696">
        <f>IF(ISBLANK('Data Entry'!$ĸ$696), "", 'Data Entry'!$ĸ$696)</f>
      </c>
      <c r="IO696">
        <f>IF(ISBLANK('Data Entry'!$Ĺ$696), "", 'Data Entry'!$Ĺ$696)</f>
      </c>
      <c r="IP696">
        <f>IF(ISBLANK('Data Entry'!$ĺ$696), "", 'Data Entry'!$ĺ$696)</f>
      </c>
      <c r="IQ696">
        <f>IF(ISBLANK('Data Entry'!$Ļ$696), "", 'Data Entry'!$Ļ$696)</f>
      </c>
      <c r="IR696">
        <f>IF(ISBLANK('Data Entry'!$ļ$696), "", 'Data Entry'!$ļ$696)</f>
      </c>
      <c r="IS696">
        <f>IF(ISBLANK('Data Entry'!$Ľ$696), "", 'Data Entry'!$Ľ$696)</f>
      </c>
      <c r="IT696">
        <f>IF(ISBLANK('Data Entry'!$ľ$696), "", 'Data Entry'!$ľ$696)</f>
      </c>
    </row>
    <row r="697" spans="1:254" x14ac:dyDescent="0.25">
      <c r="A697">
        <f>IF(ISBLANK('Data Entry'!$A$697), "", 'Data Entry'!$A$697)</f>
      </c>
      <c r="B697">
        <f>IF(ISBLANK('Data Entry'!$B$697), "", 'Data Entry'!$B$697)</f>
      </c>
      <c r="C697">
        <f>IF(ISBLANK('Data Entry'!$C$697), "", 'Data Entry'!$C$697)</f>
      </c>
      <c r="D697">
        <f>IF(ISBLANK('Data Entry'!$D$697), "", 'Data Entry'!$D$697)</f>
      </c>
      <c r="E697">
        <f>IF(ISBLANK('Data Entry'!$E$697), "", 'Data Entry'!$E$697)</f>
      </c>
      <c r="F697">
        <f>IF(ISBLANK('Data Entry'!$F$697), "", 'Data Entry'!$F$697)</f>
      </c>
      <c r="G697">
        <f>IF(ISBLANK('Data Entry'!$G$697), "", 'Data Entry'!$G$697)</f>
      </c>
      <c r="H697">
        <f>IF(ISBLANK('Data Entry'!$H$697), "", 'Data Entry'!$H$697)</f>
      </c>
      <c r="I697">
        <f>IF(ISBLANK('Data Entry'!$I$697), "", 'Data Entry'!$I$697)</f>
      </c>
      <c r="J697">
        <f>IF(ISBLANK('Data Entry'!$J$697), "", 'Data Entry'!$J$697)</f>
      </c>
      <c r="K697">
        <f>IF(ISBLANK('Data Entry'!$K$697), "", 'Data Entry'!$K$697)</f>
      </c>
      <c r="L697">
        <f>IF(ISBLANK('Data Entry'!$L$697), "", 'Data Entry'!$L$697)</f>
      </c>
      <c r="M697">
        <f>IF(ISBLANK('Data Entry'!$M$697), "", 'Data Entry'!$M$697)</f>
      </c>
      <c r="N697">
        <f>IF(ISBLANK('Data Entry'!$N$697), "", 'Data Entry'!$N$697)</f>
      </c>
      <c r="O697">
        <f>IF(ISBLANK('Data Entry'!$O$697), "", 'Data Entry'!$O$697)</f>
      </c>
      <c r="P697">
        <f>IF(ISBLANK('Data Entry'!$P$697), "", 'Data Entry'!$P$697)</f>
      </c>
      <c r="Q697">
        <f>IF(ISBLANK('Data Entry'!$Q$697), "", 'Data Entry'!$Q$697)</f>
      </c>
      <c r="R697">
        <f>IF(ISBLANK('Data Entry'!$R$697), "", 'Data Entry'!$R$697)</f>
      </c>
      <c r="S697">
        <f>IF(ISBLANK('Data Entry'!$S$697), "", 'Data Entry'!$S$697)</f>
      </c>
      <c r="T697">
        <f>IF(ISBLANK('Data Entry'!$T$697), "", 'Data Entry'!$T$697)</f>
      </c>
      <c r="U697">
        <f>IF(ISBLANK('Data Entry'!$U$697), "", 'Data Entry'!$U$697)</f>
      </c>
      <c r="V697">
        <f>IF(ISBLANK('Data Entry'!$V$697), "", 'Data Entry'!$V$697)</f>
      </c>
      <c r="W697">
        <f>IF(ISBLANK('Data Entry'!$W$697), "", 'Data Entry'!$W$697)</f>
      </c>
      <c r="X697">
        <f>IF(ISBLANK('Data Entry'!$X$697), "", 'Data Entry'!$X$697)</f>
      </c>
      <c r="Y697">
        <f>IF(ISBLANK('Data Entry'!$Y$697), "", 'Data Entry'!$Y$697)</f>
      </c>
      <c r="Z697">
        <f>IF(ISBLANK('Data Entry'!$Z$697), "", 'Data Entry'!$Z$697)</f>
      </c>
      <c r="AA697">
        <f>IF(ISBLANK('Data Entry'!$[$697), "", 'Data Entry'!$[$697)</f>
      </c>
      <c r="AB697">
        <f>IF(ISBLANK('Data Entry'!$\$697), "", 'Data Entry'!$\$697)</f>
      </c>
      <c r="AC697">
        <f>IF(ISBLANK('Data Entry'!$]$697), "", 'Data Entry'!$]$697)</f>
      </c>
      <c r="AD697">
        <f>IF(ISBLANK('Data Entry'!$^$697), "", 'Data Entry'!$^$697)</f>
      </c>
      <c r="AE697">
        <f>IF(ISBLANK('Data Entry'!$_$697), "", 'Data Entry'!$_$697)</f>
      </c>
      <c r="AF697">
        <f>IF(ISBLANK('Data Entry'!$`$697), "", 'Data Entry'!$`$697)</f>
      </c>
      <c r="AG697">
        <f>IF(ISBLANK('Data Entry'!$a$697), "", 'Data Entry'!$a$697)</f>
      </c>
      <c r="AH697">
        <f>IF(ISBLANK('Data Entry'!$b$697), "", 'Data Entry'!$b$697)</f>
      </c>
      <c r="AI697">
        <f>IF(ISBLANK('Data Entry'!$c$697), "", 'Data Entry'!$c$697)</f>
      </c>
      <c r="AJ697">
        <f>IF(ISBLANK('Data Entry'!$d$697), "", 'Data Entry'!$d$697)</f>
      </c>
      <c r="AK697">
        <f>IF(ISBLANK('Data Entry'!$e$697), "", 'Data Entry'!$e$697)</f>
      </c>
      <c r="AL697">
        <f>IF(ISBLANK('Data Entry'!$f$697), "", 'Data Entry'!$f$697)</f>
      </c>
      <c r="AM697">
        <f>IF(ISBLANK('Data Entry'!$g$697), "", 'Data Entry'!$g$697)</f>
      </c>
      <c r="AN697">
        <f>IF(ISBLANK('Data Entry'!$h$697), "", 'Data Entry'!$h$697)</f>
      </c>
      <c r="AO697">
        <f>IF(ISBLANK('Data Entry'!$i$697), "", 'Data Entry'!$i$697)</f>
      </c>
      <c r="AP697">
        <f>IF(ISBLANK('Data Entry'!$j$697), "", 'Data Entry'!$j$697)</f>
      </c>
      <c r="AQ697">
        <f>IF(ISBLANK('Data Entry'!$k$697), "", 'Data Entry'!$k$697)</f>
      </c>
      <c r="AR697">
        <f>IF(ISBLANK('Data Entry'!$l$697), "", 'Data Entry'!$l$697)</f>
      </c>
      <c r="AS697">
        <f>IF(ISBLANK('Data Entry'!$m$697), "", 'Data Entry'!$m$697)</f>
      </c>
      <c r="AT697">
        <f>IF(ISBLANK('Data Entry'!$n$697), "", 'Data Entry'!$n$697)</f>
      </c>
      <c r="AU697">
        <f>IF(ISBLANK('Data Entry'!$o$697), "", 'Data Entry'!$o$697)</f>
      </c>
      <c r="AV697">
        <f>IF(ISBLANK('Data Entry'!$p$697), "", 'Data Entry'!$p$697)</f>
      </c>
      <c r="AW697">
        <f>IF(ISBLANK('Data Entry'!$q$697), "", 'Data Entry'!$q$697)</f>
      </c>
      <c r="AX697">
        <f>IF(ISBLANK('Data Entry'!$r$697), "", 'Data Entry'!$r$697)</f>
      </c>
      <c r="AY697">
        <f>IF(ISBLANK('Data Entry'!$s$697), "", 'Data Entry'!$s$697)</f>
      </c>
      <c r="AZ697">
        <f>IF(ISBLANK('Data Entry'!$t$697), "", 'Data Entry'!$t$697)</f>
      </c>
      <c r="BA697">
        <f>IF(ISBLANK('Data Entry'!$u$697), "", 'Data Entry'!$u$697)</f>
      </c>
      <c r="BB697">
        <f>IF(ISBLANK('Data Entry'!$v$697), "", 'Data Entry'!$v$697)</f>
      </c>
      <c r="BC697">
        <f>IF(ISBLANK('Data Entry'!$w$697), "", 'Data Entry'!$w$697)</f>
      </c>
      <c r="BD697">
        <f>IF(ISBLANK('Data Entry'!$x$697), "", 'Data Entry'!$x$697)</f>
      </c>
      <c r="BE697">
        <f>IF(ISBLANK('Data Entry'!$y$697), "", 'Data Entry'!$y$697)</f>
      </c>
      <c r="BF697">
        <f>IF(ISBLANK('Data Entry'!$z$697), "", 'Data Entry'!$z$697)</f>
      </c>
      <c r="BG697">
        <f>IF(ISBLANK('Data Entry'!${$697), "", 'Data Entry'!${$697)</f>
      </c>
      <c r="BH697">
        <f>IF(ISBLANK('Data Entry'!$|$697), "", 'Data Entry'!$|$697)</f>
      </c>
      <c r="BI697">
        <f>IF(ISBLANK('Data Entry'!$}$697), "", 'Data Entry'!$}$697)</f>
      </c>
      <c r="BJ697">
        <f>IF(ISBLANK('Data Entry'!$~$697), "", 'Data Entry'!$~$697)</f>
      </c>
      <c r="BK697">
        <f>IF(ISBLANK('Data Entry'!$$697), "", 'Data Entry'!$$697)</f>
      </c>
      <c r="BL697">
        <f>IF(ISBLANK('Data Entry'!$$697), "", 'Data Entry'!$$697)</f>
      </c>
      <c r="BM697">
        <f>IF(ISBLANK('Data Entry'!$$697), "", 'Data Entry'!$$697)</f>
      </c>
      <c r="BN697">
        <f>IF(ISBLANK('Data Entry'!$$697), "", 'Data Entry'!$$697)</f>
      </c>
      <c r="BO697">
        <f>IF(ISBLANK('Data Entry'!$$697), "", 'Data Entry'!$$697)</f>
      </c>
      <c r="BP697">
        <f>IF(ISBLANK('Data Entry'!$$697), "", 'Data Entry'!$$697)</f>
      </c>
      <c r="BQ697">
        <f>IF(ISBLANK('Data Entry'!$$697), "", 'Data Entry'!$$697)</f>
      </c>
      <c r="BR697">
        <f>IF(ISBLANK('Data Entry'!$$697), "", 'Data Entry'!$$697)</f>
      </c>
      <c r="BS697">
        <f>IF(ISBLANK('Data Entry'!$$697), "", 'Data Entry'!$$697)</f>
      </c>
      <c r="BT697">
        <f>IF(ISBLANK('Data Entry'!$$697), "", 'Data Entry'!$$697)</f>
      </c>
      <c r="BU697">
        <f>IF(ISBLANK('Data Entry'!$$697), "", 'Data Entry'!$$697)</f>
      </c>
      <c r="BV697">
        <f>IF(ISBLANK('Data Entry'!$$697), "", 'Data Entry'!$$697)</f>
      </c>
      <c r="BW697">
        <f>IF(ISBLANK('Data Entry'!$$697), "", 'Data Entry'!$$697)</f>
      </c>
      <c r="BX697">
        <f>IF(ISBLANK('Data Entry'!$$697), "", 'Data Entry'!$$697)</f>
      </c>
      <c r="BY697">
        <f>IF(ISBLANK('Data Entry'!$$697), "", 'Data Entry'!$$697)</f>
      </c>
      <c r="BZ697">
        <f>IF(ISBLANK('Data Entry'!$$697), "", 'Data Entry'!$$697)</f>
      </c>
      <c r="CA697">
        <f>IF(ISBLANK('Data Entry'!$$697), "", 'Data Entry'!$$697)</f>
      </c>
      <c r="CB697">
        <f>IF(ISBLANK('Data Entry'!$$697), "", 'Data Entry'!$$697)</f>
      </c>
      <c r="CC697">
        <f>IF(ISBLANK('Data Entry'!$$697), "", 'Data Entry'!$$697)</f>
      </c>
      <c r="CD697">
        <f>IF(ISBLANK('Data Entry'!$$697), "", 'Data Entry'!$$697)</f>
      </c>
      <c r="CE697">
        <f>IF(ISBLANK('Data Entry'!$$697), "", 'Data Entry'!$$697)</f>
      </c>
      <c r="CF697">
        <f>IF(ISBLANK('Data Entry'!$$697), "", 'Data Entry'!$$697)</f>
      </c>
      <c r="CG697">
        <f>IF(ISBLANK('Data Entry'!$$697), "", 'Data Entry'!$$697)</f>
      </c>
      <c r="CH697">
        <f>IF(ISBLANK('Data Entry'!$$697), "", 'Data Entry'!$$697)</f>
      </c>
      <c r="CI697">
        <f>IF(ISBLANK('Data Entry'!$$697), "", 'Data Entry'!$$697)</f>
      </c>
      <c r="CJ697">
        <f>IF(ISBLANK('Data Entry'!$$697), "", 'Data Entry'!$$697)</f>
      </c>
      <c r="CK697">
        <f>IF(ISBLANK('Data Entry'!$$697), "", 'Data Entry'!$$697)</f>
      </c>
      <c r="CL697">
        <f>IF(ISBLANK('Data Entry'!$$697), "", 'Data Entry'!$$697)</f>
      </c>
      <c r="CM697">
        <f>IF(ISBLANK('Data Entry'!$$697), "", 'Data Entry'!$$697)</f>
      </c>
      <c r="CN697">
        <f>IF(ISBLANK('Data Entry'!$$697), "", 'Data Entry'!$$697)</f>
      </c>
      <c r="CO697">
        <f>IF(ISBLANK('Data Entry'!$$697), "", 'Data Entry'!$$697)</f>
      </c>
      <c r="CP697">
        <f>IF(ISBLANK('Data Entry'!$$697), "", 'Data Entry'!$$697)</f>
      </c>
      <c r="CQ697">
        <f>IF(ISBLANK('Data Entry'!$$697), "", 'Data Entry'!$$697)</f>
      </c>
      <c r="CR697">
        <f>IF(ISBLANK('Data Entry'!$ $697), "", 'Data Entry'!$ $697)</f>
      </c>
      <c r="CS697">
        <f>IF(ISBLANK('Data Entry'!$¡$697), "", 'Data Entry'!$¡$697)</f>
      </c>
      <c r="CT697">
        <f>IF(ISBLANK('Data Entry'!$¢$697), "", 'Data Entry'!$¢$697)</f>
      </c>
      <c r="CU697">
        <f>IF(ISBLANK('Data Entry'!$£$697), "", 'Data Entry'!$£$697)</f>
      </c>
      <c r="CV697">
        <f>IF(ISBLANK('Data Entry'!$¤$697), "", 'Data Entry'!$¤$697)</f>
      </c>
      <c r="CW697">
        <f>IF(ISBLANK('Data Entry'!$¥$697), "", 'Data Entry'!$¥$697)</f>
      </c>
      <c r="CX697">
        <f>IF(ISBLANK('Data Entry'!$¦$697), "", 'Data Entry'!$¦$697)</f>
      </c>
      <c r="CY697">
        <f>IF(ISBLANK('Data Entry'!$§$697), "", 'Data Entry'!$§$697)</f>
      </c>
      <c r="CZ697">
        <f>IF(ISBLANK('Data Entry'!$¨$697), "", 'Data Entry'!$¨$697)</f>
      </c>
      <c r="DA697">
        <f>IF(ISBLANK('Data Entry'!$©$697), "", 'Data Entry'!$©$697)</f>
      </c>
      <c r="DB697">
        <f>IF(ISBLANK('Data Entry'!$ª$697), "", 'Data Entry'!$ª$697)</f>
      </c>
      <c r="DC697">
        <f>IF(ISBLANK('Data Entry'!$«$697), "", 'Data Entry'!$«$697)</f>
      </c>
      <c r="DD697">
        <f>IF(ISBLANK('Data Entry'!$¬$697), "", 'Data Entry'!$¬$697)</f>
      </c>
      <c r="DE697">
        <f>IF(ISBLANK('Data Entry'!$­$697), "", 'Data Entry'!$­$697)</f>
      </c>
      <c r="DF697">
        <f>IF(ISBLANK('Data Entry'!$®$697), "", 'Data Entry'!$®$697)</f>
      </c>
      <c r="DG697">
        <f>IF(ISBLANK('Data Entry'!$¯$697), "", 'Data Entry'!$¯$697)</f>
      </c>
      <c r="DH697">
        <f>IF(ISBLANK('Data Entry'!$°$697), "", 'Data Entry'!$°$697)</f>
      </c>
      <c r="DI697">
        <f>IF(ISBLANK('Data Entry'!$±$697), "", 'Data Entry'!$±$697)</f>
      </c>
      <c r="DJ697">
        <f>IF(ISBLANK('Data Entry'!$²$697), "", 'Data Entry'!$²$697)</f>
      </c>
      <c r="DK697">
        <f>IF(ISBLANK('Data Entry'!$³$697), "", 'Data Entry'!$³$697)</f>
      </c>
      <c r="DL697">
        <f>IF(ISBLANK('Data Entry'!$´$697), "", 'Data Entry'!$´$697)</f>
      </c>
      <c r="DM697">
        <f>IF(ISBLANK('Data Entry'!$µ$697), "", 'Data Entry'!$µ$697)</f>
      </c>
      <c r="DN697">
        <f>IF(ISBLANK('Data Entry'!$¶$697), "", 'Data Entry'!$¶$697)</f>
      </c>
      <c r="DO697">
        <f>IF(ISBLANK('Data Entry'!$·$697), "", 'Data Entry'!$·$697)</f>
      </c>
      <c r="DP697">
        <f>IF(ISBLANK('Data Entry'!$¸$697), "", 'Data Entry'!$¸$697)</f>
      </c>
      <c r="DQ697">
        <f>IF(ISBLANK('Data Entry'!$¹$697), "", 'Data Entry'!$¹$697)</f>
      </c>
      <c r="DR697">
        <f>IF(ISBLANK('Data Entry'!$º$697), "", 'Data Entry'!$º$697)</f>
      </c>
      <c r="DS697">
        <f>IF(ISBLANK('Data Entry'!$»$697), "", 'Data Entry'!$»$697)</f>
      </c>
      <c r="DT697">
        <f>IF(ISBLANK('Data Entry'!$¼$697), "", 'Data Entry'!$¼$697)</f>
      </c>
      <c r="DU697">
        <f>IF(ISBLANK('Data Entry'!$½$697), "", 'Data Entry'!$½$697)</f>
      </c>
      <c r="DV697">
        <f>IF(ISBLANK('Data Entry'!$¾$697), "", 'Data Entry'!$¾$697)</f>
      </c>
      <c r="DW697">
        <f>IF(ISBLANK('Data Entry'!$¿$697), "", 'Data Entry'!$¿$697)</f>
      </c>
      <c r="DX697">
        <f>IF(ISBLANK('Data Entry'!$À$697), "", 'Data Entry'!$À$697)</f>
      </c>
      <c r="DY697">
        <f>IF(ISBLANK('Data Entry'!$Á$697), "", 'Data Entry'!$Á$697)</f>
      </c>
      <c r="DZ697">
        <f>IF(ISBLANK('Data Entry'!$Â$697), "", 'Data Entry'!$Â$697)</f>
      </c>
      <c r="EA697">
        <f>IF(ISBLANK('Data Entry'!$Ã$697), "", 'Data Entry'!$Ã$697)</f>
      </c>
      <c r="EB697">
        <f>IF(ISBLANK('Data Entry'!$Ä$697), "", 'Data Entry'!$Ä$697)</f>
      </c>
      <c r="EC697">
        <f>IF(ISBLANK('Data Entry'!$Å$697), "", 'Data Entry'!$Å$697)</f>
      </c>
      <c r="ED697">
        <f>IF(ISBLANK('Data Entry'!$Æ$697), "", 'Data Entry'!$Æ$697)</f>
      </c>
      <c r="EE697">
        <f>IF(ISBLANK('Data Entry'!$Ç$697), "", 'Data Entry'!$Ç$697)</f>
      </c>
      <c r="EF697">
        <f>IF(ISBLANK('Data Entry'!$È$697), "", 'Data Entry'!$È$697)</f>
      </c>
      <c r="EG697">
        <f>IF(ISBLANK('Data Entry'!$É$697), "", 'Data Entry'!$É$697)</f>
      </c>
      <c r="EH697">
        <f>IF(ISBLANK('Data Entry'!$Ê$697), "", 'Data Entry'!$Ê$697)</f>
      </c>
      <c r="EI697">
        <f>IF(ISBLANK('Data Entry'!$Ë$697), "", 'Data Entry'!$Ë$697)</f>
      </c>
      <c r="EJ697">
        <f>IF(ISBLANK('Data Entry'!$Ì$697), "", 'Data Entry'!$Ì$697)</f>
      </c>
      <c r="EK697">
        <f>IF(ISBLANK('Data Entry'!$Í$697), "", 'Data Entry'!$Í$697)</f>
      </c>
      <c r="EL697">
        <f>IF(ISBLANK('Data Entry'!$Î$697), "", 'Data Entry'!$Î$697)</f>
      </c>
      <c r="EM697">
        <f>IF(ISBLANK('Data Entry'!$Ï$697), "", 'Data Entry'!$Ï$697)</f>
      </c>
      <c r="EN697">
        <f>IF(ISBLANK('Data Entry'!$Ð$697), "", 'Data Entry'!$Ð$697)</f>
      </c>
      <c r="EO697">
        <f>IF(ISBLANK('Data Entry'!$Ñ$697), "", 'Data Entry'!$Ñ$697)</f>
      </c>
      <c r="EP697">
        <f>IF(ISBLANK('Data Entry'!$Ò$697), "", 'Data Entry'!$Ò$697)</f>
      </c>
      <c r="EQ697">
        <f>IF(ISBLANK('Data Entry'!$Ó$697), "", 'Data Entry'!$Ó$697)</f>
      </c>
      <c r="ER697">
        <f>IF(ISBLANK('Data Entry'!$Ô$697), "", 'Data Entry'!$Ô$697)</f>
      </c>
      <c r="ES697">
        <f>IF(ISBLANK('Data Entry'!$Õ$697), "", 'Data Entry'!$Õ$697)</f>
      </c>
      <c r="ET697">
        <f>IF(ISBLANK('Data Entry'!$Ö$697), "", 'Data Entry'!$Ö$697)</f>
      </c>
      <c r="EU697">
        <f>IF(ISBLANK('Data Entry'!$×$697), "", 'Data Entry'!$×$697)</f>
      </c>
      <c r="EV697">
        <f>IF(ISBLANK('Data Entry'!$Ø$697), "", 'Data Entry'!$Ø$697)</f>
      </c>
      <c r="EW697">
        <f>IF(ISBLANK('Data Entry'!$Ù$697), "", 'Data Entry'!$Ù$697)</f>
      </c>
      <c r="EX697">
        <f>IF(ISBLANK('Data Entry'!$Ú$697), "", 'Data Entry'!$Ú$697)</f>
      </c>
      <c r="EY697">
        <f>IF(ISBLANK('Data Entry'!$Û$697), "", 'Data Entry'!$Û$697)</f>
      </c>
      <c r="EZ697">
        <f>IF(ISBLANK('Data Entry'!$Ü$697), "", 'Data Entry'!$Ü$697)</f>
      </c>
      <c r="FA697">
        <f>IF(ISBLANK('Data Entry'!$Ý$697), "", 'Data Entry'!$Ý$697)</f>
      </c>
      <c r="FB697">
        <f>IF(ISBLANK('Data Entry'!$Þ$697), "", 'Data Entry'!$Þ$697)</f>
      </c>
      <c r="FC697">
        <f>IF(ISBLANK('Data Entry'!$ß$697), "", 'Data Entry'!$ß$697)</f>
      </c>
      <c r="FD697">
        <f>IF(ISBLANK('Data Entry'!$à$697), "", 'Data Entry'!$à$697)</f>
      </c>
      <c r="FE697">
        <f>IF(ISBLANK('Data Entry'!$á$697), "", 'Data Entry'!$á$697)</f>
      </c>
      <c r="FF697">
        <f>IF(ISBLANK('Data Entry'!$â$697), "", 'Data Entry'!$â$697)</f>
      </c>
      <c r="FG697">
        <f>IF(ISBLANK('Data Entry'!$ã$697), "", 'Data Entry'!$ã$697)</f>
      </c>
      <c r="FH697">
        <f>IF(ISBLANK('Data Entry'!$ä$697), "", 'Data Entry'!$ä$697)</f>
      </c>
      <c r="FI697">
        <f>IF(ISBLANK('Data Entry'!$å$697), "", 'Data Entry'!$å$697)</f>
      </c>
      <c r="FJ697">
        <f>IF(ISBLANK('Data Entry'!$æ$697), "", 'Data Entry'!$æ$697)</f>
      </c>
      <c r="FK697">
        <f>IF(ISBLANK('Data Entry'!$ç$697), "", 'Data Entry'!$ç$697)</f>
      </c>
      <c r="FL697">
        <f>IF(ISBLANK('Data Entry'!$è$697), "", 'Data Entry'!$è$697)</f>
      </c>
      <c r="FM697">
        <f>IF(ISBLANK('Data Entry'!$é$697), "", 'Data Entry'!$é$697)</f>
      </c>
      <c r="FN697">
        <f>IF(ISBLANK('Data Entry'!$ê$697), "", 'Data Entry'!$ê$697)</f>
      </c>
      <c r="FO697">
        <f>IF(ISBLANK('Data Entry'!$ë$697), "", 'Data Entry'!$ë$697)</f>
      </c>
      <c r="FP697">
        <f>IF(ISBLANK('Data Entry'!$ì$697), "", 'Data Entry'!$ì$697)</f>
      </c>
      <c r="FQ697">
        <f>IF(ISBLANK('Data Entry'!$í$697), "", 'Data Entry'!$í$697)</f>
      </c>
      <c r="FR697">
        <f>IF(ISBLANK('Data Entry'!$î$697), "", 'Data Entry'!$î$697)</f>
      </c>
      <c r="FS697">
        <f>IF(ISBLANK('Data Entry'!$ï$697), "", 'Data Entry'!$ï$697)</f>
      </c>
      <c r="FT697">
        <f>IF(ISBLANK('Data Entry'!$ð$697), "", 'Data Entry'!$ð$697)</f>
      </c>
      <c r="FU697">
        <f>IF(ISBLANK('Data Entry'!$ñ$697), "", 'Data Entry'!$ñ$697)</f>
      </c>
      <c r="FV697">
        <f>IF(ISBLANK('Data Entry'!$ò$697), "", 'Data Entry'!$ò$697)</f>
      </c>
      <c r="FW697">
        <f>IF(ISBLANK('Data Entry'!$ó$697), "", 'Data Entry'!$ó$697)</f>
      </c>
      <c r="FX697">
        <f>IF(ISBLANK('Data Entry'!$ô$697), "", 'Data Entry'!$ô$697)</f>
      </c>
      <c r="FY697">
        <f>IF(ISBLANK('Data Entry'!$õ$697), "", 'Data Entry'!$õ$697)</f>
      </c>
      <c r="FZ697">
        <f>IF(ISBLANK('Data Entry'!$ö$697), "", 'Data Entry'!$ö$697)</f>
      </c>
      <c r="GA697">
        <f>IF(ISBLANK('Data Entry'!$÷$697), "", 'Data Entry'!$÷$697)</f>
      </c>
      <c r="GB697">
        <f>IF(ISBLANK('Data Entry'!$ø$697), "", 'Data Entry'!$ø$697)</f>
      </c>
      <c r="GC697">
        <f>IF(ISBLANK('Data Entry'!$ù$697), "", 'Data Entry'!$ù$697)</f>
      </c>
      <c r="GD697">
        <f>IF(ISBLANK('Data Entry'!$ú$697), "", 'Data Entry'!$ú$697)</f>
      </c>
      <c r="GE697">
        <f>IF(ISBLANK('Data Entry'!$û$697), "", 'Data Entry'!$û$697)</f>
      </c>
      <c r="GF697">
        <f>IF(ISBLANK('Data Entry'!$ü$697), "", 'Data Entry'!$ü$697)</f>
      </c>
      <c r="GG697">
        <f>IF(ISBLANK('Data Entry'!$ý$697), "", 'Data Entry'!$ý$697)</f>
      </c>
      <c r="GH697">
        <f>IF(ISBLANK('Data Entry'!$þ$697), "", 'Data Entry'!$þ$697)</f>
      </c>
      <c r="GI697">
        <f>IF(ISBLANK('Data Entry'!$ÿ$697), "", 'Data Entry'!$ÿ$697)</f>
      </c>
      <c r="GJ697">
        <f>IF(ISBLANK('Data Entry'!$Ā$697), "", 'Data Entry'!$Ā$697)</f>
      </c>
      <c r="GK697">
        <f>IF(ISBLANK('Data Entry'!$ā$697), "", 'Data Entry'!$ā$697)</f>
      </c>
      <c r="GL697">
        <f>IF(ISBLANK('Data Entry'!$Ă$697), "", 'Data Entry'!$Ă$697)</f>
      </c>
      <c r="GM697">
        <f>IF(ISBLANK('Data Entry'!$ă$697), "", 'Data Entry'!$ă$697)</f>
      </c>
      <c r="GN697">
        <f>IF(ISBLANK('Data Entry'!$Ą$697), "", 'Data Entry'!$Ą$697)</f>
      </c>
      <c r="GO697">
        <f>IF(ISBLANK('Data Entry'!$ą$697), "", 'Data Entry'!$ą$697)</f>
      </c>
      <c r="GP697">
        <f>IF(ISBLANK('Data Entry'!$Ć$697), "", 'Data Entry'!$Ć$697)</f>
      </c>
      <c r="GQ697">
        <f>IF(ISBLANK('Data Entry'!$ć$697), "", 'Data Entry'!$ć$697)</f>
      </c>
      <c r="GR697">
        <f>IF(ISBLANK('Data Entry'!$Ĉ$697), "", 'Data Entry'!$Ĉ$697)</f>
      </c>
      <c r="GS697">
        <f>IF(ISBLANK('Data Entry'!$ĉ$697), "", 'Data Entry'!$ĉ$697)</f>
      </c>
      <c r="GT697">
        <f>IF(ISBLANK('Data Entry'!$Ċ$697), "", 'Data Entry'!$Ċ$697)</f>
      </c>
      <c r="GU697">
        <f>IF(ISBLANK('Data Entry'!$ċ$697), "", 'Data Entry'!$ċ$697)</f>
      </c>
      <c r="GV697">
        <f>IF(ISBLANK('Data Entry'!$Č$697), "", 'Data Entry'!$Č$697)</f>
      </c>
      <c r="GW697">
        <f>IF(ISBLANK('Data Entry'!$č$697), "", 'Data Entry'!$č$697)</f>
      </c>
      <c r="GX697">
        <f>IF(ISBLANK('Data Entry'!$Ď$697), "", 'Data Entry'!$Ď$697)</f>
      </c>
      <c r="GY697">
        <f>IF(ISBLANK('Data Entry'!$ď$697), "", 'Data Entry'!$ď$697)</f>
      </c>
      <c r="GZ697">
        <f>IF(ISBLANK('Data Entry'!$Đ$697), "", 'Data Entry'!$Đ$697)</f>
      </c>
      <c r="HA697">
        <f>IF(ISBLANK('Data Entry'!$đ$697), "", 'Data Entry'!$đ$697)</f>
      </c>
      <c r="HB697">
        <f>IF(ISBLANK('Data Entry'!$Ē$697), "", 'Data Entry'!$Ē$697)</f>
      </c>
      <c r="HC697">
        <f>IF(ISBLANK('Data Entry'!$ē$697), "", 'Data Entry'!$ē$697)</f>
      </c>
      <c r="HD697">
        <f>IF(ISBLANK('Data Entry'!$Ĕ$697), "", 'Data Entry'!$Ĕ$697)</f>
      </c>
      <c r="HE697">
        <f>IF(ISBLANK('Data Entry'!$ĕ$697), "", 'Data Entry'!$ĕ$697)</f>
      </c>
      <c r="HF697">
        <f>IF(ISBLANK('Data Entry'!$Ė$697), "", 'Data Entry'!$Ė$697)</f>
      </c>
      <c r="HG697">
        <f>IF(ISBLANK('Data Entry'!$ė$697), "", 'Data Entry'!$ė$697)</f>
      </c>
      <c r="HH697">
        <f>IF(ISBLANK('Data Entry'!$Ę$697), "", 'Data Entry'!$Ę$697)</f>
      </c>
      <c r="HI697">
        <f>IF(ISBLANK('Data Entry'!$ę$697), "", 'Data Entry'!$ę$697)</f>
      </c>
      <c r="HJ697">
        <f>IF(ISBLANK('Data Entry'!$Ě$697), "", 'Data Entry'!$Ě$697)</f>
      </c>
      <c r="HK697">
        <f>IF(ISBLANK('Data Entry'!$ě$697), "", 'Data Entry'!$ě$697)</f>
      </c>
      <c r="HL697">
        <f>IF(ISBLANK('Data Entry'!$Ĝ$697), "", 'Data Entry'!$Ĝ$697)</f>
      </c>
      <c r="HM697">
        <f>IF(ISBLANK('Data Entry'!$ĝ$697), "", 'Data Entry'!$ĝ$697)</f>
      </c>
      <c r="HN697">
        <f>IF(ISBLANK('Data Entry'!$Ğ$697), "", 'Data Entry'!$Ğ$697)</f>
      </c>
      <c r="HO697">
        <f>IF(ISBLANK('Data Entry'!$ğ$697), "", 'Data Entry'!$ğ$697)</f>
      </c>
      <c r="HP697">
        <f>IF(ISBLANK('Data Entry'!$Ġ$697), "", 'Data Entry'!$Ġ$697)</f>
      </c>
      <c r="HQ697">
        <f>IF(ISBLANK('Data Entry'!$ġ$697), "", 'Data Entry'!$ġ$697)</f>
      </c>
      <c r="HR697">
        <f>IF(ISBLANK('Data Entry'!$Ģ$697), "", 'Data Entry'!$Ģ$697)</f>
      </c>
      <c r="HS697">
        <f>IF(ISBLANK('Data Entry'!$ģ$697), "", 'Data Entry'!$ģ$697)</f>
      </c>
      <c r="HT697">
        <f>IF(ISBLANK('Data Entry'!$Ĥ$697), "", 'Data Entry'!$Ĥ$697)</f>
      </c>
      <c r="HU697">
        <f>IF(ISBLANK('Data Entry'!$ĥ$697), "", 'Data Entry'!$ĥ$697)</f>
      </c>
      <c r="HV697">
        <f>IF(ISBLANK('Data Entry'!$Ħ$697), "", 'Data Entry'!$Ħ$697)</f>
      </c>
      <c r="HW697">
        <f>IF(ISBLANK('Data Entry'!$ħ$697), "", 'Data Entry'!$ħ$697)</f>
      </c>
      <c r="HX697">
        <f>IF(ISBLANK('Data Entry'!$Ĩ$697), "", 'Data Entry'!$Ĩ$697)</f>
      </c>
      <c r="HY697">
        <f>IF(ISBLANK('Data Entry'!$ĩ$697), "", 'Data Entry'!$ĩ$697)</f>
      </c>
      <c r="HZ697">
        <f>IF(ISBLANK('Data Entry'!$Ī$697), "", 'Data Entry'!$Ī$697)</f>
      </c>
      <c r="IA697">
        <f>IF(ISBLANK('Data Entry'!$ī$697), "", 'Data Entry'!$ī$697)</f>
      </c>
      <c r="IB697">
        <f>IF(ISBLANK('Data Entry'!$Ĭ$697), "", 'Data Entry'!$Ĭ$697)</f>
      </c>
      <c r="IC697">
        <f>IF(ISBLANK('Data Entry'!$ĭ$697), "", 'Data Entry'!$ĭ$697)</f>
      </c>
      <c r="ID697">
        <f>IF(ISBLANK('Data Entry'!$Į$697), "", 'Data Entry'!$Į$697)</f>
      </c>
      <c r="IE697">
        <f>IF(ISBLANK('Data Entry'!$į$697), "", 'Data Entry'!$į$697)</f>
      </c>
      <c r="IF697">
        <f>IF(ISBLANK('Data Entry'!$İ$697), "", 'Data Entry'!$İ$697)</f>
      </c>
      <c r="IG697">
        <f>IF(ISBLANK('Data Entry'!$ı$697), "", 'Data Entry'!$ı$697)</f>
      </c>
      <c r="IH697">
        <f>IF(ISBLANK('Data Entry'!$Ĳ$697), "", 'Data Entry'!$Ĳ$697)</f>
      </c>
      <c r="II697">
        <f>IF(ISBLANK('Data Entry'!$ĳ$697), "", 'Data Entry'!$ĳ$697)</f>
      </c>
      <c r="IJ697">
        <f>IF(ISBLANK('Data Entry'!$Ĵ$697), "", 'Data Entry'!$Ĵ$697)</f>
      </c>
      <c r="IK697">
        <f>IF(ISBLANK('Data Entry'!$ĵ$697), "", 'Data Entry'!$ĵ$697)</f>
      </c>
      <c r="IL697">
        <f>IF(ISBLANK('Data Entry'!$Ķ$697), "", 'Data Entry'!$Ķ$697)</f>
      </c>
      <c r="IM697">
        <f>IF(ISBLANK('Data Entry'!$ķ$697), "", 'Data Entry'!$ķ$697)</f>
      </c>
      <c r="IN697">
        <f>IF(ISBLANK('Data Entry'!$ĸ$697), "", 'Data Entry'!$ĸ$697)</f>
      </c>
      <c r="IO697">
        <f>IF(ISBLANK('Data Entry'!$Ĺ$697), "", 'Data Entry'!$Ĺ$697)</f>
      </c>
      <c r="IP697">
        <f>IF(ISBLANK('Data Entry'!$ĺ$697), "", 'Data Entry'!$ĺ$697)</f>
      </c>
      <c r="IQ697">
        <f>IF(ISBLANK('Data Entry'!$Ļ$697), "", 'Data Entry'!$Ļ$697)</f>
      </c>
      <c r="IR697">
        <f>IF(ISBLANK('Data Entry'!$ļ$697), "", 'Data Entry'!$ļ$697)</f>
      </c>
      <c r="IS697">
        <f>IF(ISBLANK('Data Entry'!$Ľ$697), "", 'Data Entry'!$Ľ$697)</f>
      </c>
      <c r="IT697">
        <f>IF(ISBLANK('Data Entry'!$ľ$697), "", 'Data Entry'!$ľ$697)</f>
      </c>
    </row>
    <row r="698" spans="1:254" x14ac:dyDescent="0.25">
      <c r="A698">
        <f>IF(ISBLANK('Data Entry'!$A$698), "", 'Data Entry'!$A$698)</f>
      </c>
      <c r="B698">
        <f>IF(ISBLANK('Data Entry'!$B$698), "", 'Data Entry'!$B$698)</f>
      </c>
      <c r="C698">
        <f>IF(ISBLANK('Data Entry'!$C$698), "", 'Data Entry'!$C$698)</f>
      </c>
      <c r="D698">
        <f>IF(ISBLANK('Data Entry'!$D$698), "", 'Data Entry'!$D$698)</f>
      </c>
      <c r="E698">
        <f>IF(ISBLANK('Data Entry'!$E$698), "", 'Data Entry'!$E$698)</f>
      </c>
      <c r="F698">
        <f>IF(ISBLANK('Data Entry'!$F$698), "", 'Data Entry'!$F$698)</f>
      </c>
      <c r="G698">
        <f>IF(ISBLANK('Data Entry'!$G$698), "", 'Data Entry'!$G$698)</f>
      </c>
      <c r="H698">
        <f>IF(ISBLANK('Data Entry'!$H$698), "", 'Data Entry'!$H$698)</f>
      </c>
      <c r="I698">
        <f>IF(ISBLANK('Data Entry'!$I$698), "", 'Data Entry'!$I$698)</f>
      </c>
      <c r="J698">
        <f>IF(ISBLANK('Data Entry'!$J$698), "", 'Data Entry'!$J$698)</f>
      </c>
      <c r="K698">
        <f>IF(ISBLANK('Data Entry'!$K$698), "", 'Data Entry'!$K$698)</f>
      </c>
      <c r="L698">
        <f>IF(ISBLANK('Data Entry'!$L$698), "", 'Data Entry'!$L$698)</f>
      </c>
      <c r="M698">
        <f>IF(ISBLANK('Data Entry'!$M$698), "", 'Data Entry'!$M$698)</f>
      </c>
      <c r="N698">
        <f>IF(ISBLANK('Data Entry'!$N$698), "", 'Data Entry'!$N$698)</f>
      </c>
      <c r="O698">
        <f>IF(ISBLANK('Data Entry'!$O$698), "", 'Data Entry'!$O$698)</f>
      </c>
      <c r="P698">
        <f>IF(ISBLANK('Data Entry'!$P$698), "", 'Data Entry'!$P$698)</f>
      </c>
      <c r="Q698">
        <f>IF(ISBLANK('Data Entry'!$Q$698), "", 'Data Entry'!$Q$698)</f>
      </c>
      <c r="R698">
        <f>IF(ISBLANK('Data Entry'!$R$698), "", 'Data Entry'!$R$698)</f>
      </c>
      <c r="S698">
        <f>IF(ISBLANK('Data Entry'!$S$698), "", 'Data Entry'!$S$698)</f>
      </c>
      <c r="T698">
        <f>IF(ISBLANK('Data Entry'!$T$698), "", 'Data Entry'!$T$698)</f>
      </c>
      <c r="U698">
        <f>IF(ISBLANK('Data Entry'!$U$698), "", 'Data Entry'!$U$698)</f>
      </c>
      <c r="V698">
        <f>IF(ISBLANK('Data Entry'!$V$698), "", 'Data Entry'!$V$698)</f>
      </c>
      <c r="W698">
        <f>IF(ISBLANK('Data Entry'!$W$698), "", 'Data Entry'!$W$698)</f>
      </c>
      <c r="X698">
        <f>IF(ISBLANK('Data Entry'!$X$698), "", 'Data Entry'!$X$698)</f>
      </c>
      <c r="Y698">
        <f>IF(ISBLANK('Data Entry'!$Y$698), "", 'Data Entry'!$Y$698)</f>
      </c>
      <c r="Z698">
        <f>IF(ISBLANK('Data Entry'!$Z$698), "", 'Data Entry'!$Z$698)</f>
      </c>
      <c r="AA698">
        <f>IF(ISBLANK('Data Entry'!$[$698), "", 'Data Entry'!$[$698)</f>
      </c>
      <c r="AB698">
        <f>IF(ISBLANK('Data Entry'!$\$698), "", 'Data Entry'!$\$698)</f>
      </c>
      <c r="AC698">
        <f>IF(ISBLANK('Data Entry'!$]$698), "", 'Data Entry'!$]$698)</f>
      </c>
      <c r="AD698">
        <f>IF(ISBLANK('Data Entry'!$^$698), "", 'Data Entry'!$^$698)</f>
      </c>
      <c r="AE698">
        <f>IF(ISBLANK('Data Entry'!$_$698), "", 'Data Entry'!$_$698)</f>
      </c>
      <c r="AF698">
        <f>IF(ISBLANK('Data Entry'!$`$698), "", 'Data Entry'!$`$698)</f>
      </c>
      <c r="AG698">
        <f>IF(ISBLANK('Data Entry'!$a$698), "", 'Data Entry'!$a$698)</f>
      </c>
      <c r="AH698">
        <f>IF(ISBLANK('Data Entry'!$b$698), "", 'Data Entry'!$b$698)</f>
      </c>
      <c r="AI698">
        <f>IF(ISBLANK('Data Entry'!$c$698), "", 'Data Entry'!$c$698)</f>
      </c>
      <c r="AJ698">
        <f>IF(ISBLANK('Data Entry'!$d$698), "", 'Data Entry'!$d$698)</f>
      </c>
      <c r="AK698">
        <f>IF(ISBLANK('Data Entry'!$e$698), "", 'Data Entry'!$e$698)</f>
      </c>
      <c r="AL698">
        <f>IF(ISBLANK('Data Entry'!$f$698), "", 'Data Entry'!$f$698)</f>
      </c>
      <c r="AM698">
        <f>IF(ISBLANK('Data Entry'!$g$698), "", 'Data Entry'!$g$698)</f>
      </c>
      <c r="AN698">
        <f>IF(ISBLANK('Data Entry'!$h$698), "", 'Data Entry'!$h$698)</f>
      </c>
      <c r="AO698">
        <f>IF(ISBLANK('Data Entry'!$i$698), "", 'Data Entry'!$i$698)</f>
      </c>
      <c r="AP698">
        <f>IF(ISBLANK('Data Entry'!$j$698), "", 'Data Entry'!$j$698)</f>
      </c>
      <c r="AQ698">
        <f>IF(ISBLANK('Data Entry'!$k$698), "", 'Data Entry'!$k$698)</f>
      </c>
      <c r="AR698">
        <f>IF(ISBLANK('Data Entry'!$l$698), "", 'Data Entry'!$l$698)</f>
      </c>
      <c r="AS698">
        <f>IF(ISBLANK('Data Entry'!$m$698), "", 'Data Entry'!$m$698)</f>
      </c>
      <c r="AT698">
        <f>IF(ISBLANK('Data Entry'!$n$698), "", 'Data Entry'!$n$698)</f>
      </c>
      <c r="AU698">
        <f>IF(ISBLANK('Data Entry'!$o$698), "", 'Data Entry'!$o$698)</f>
      </c>
      <c r="AV698">
        <f>IF(ISBLANK('Data Entry'!$p$698), "", 'Data Entry'!$p$698)</f>
      </c>
      <c r="AW698">
        <f>IF(ISBLANK('Data Entry'!$q$698), "", 'Data Entry'!$q$698)</f>
      </c>
      <c r="AX698">
        <f>IF(ISBLANK('Data Entry'!$r$698), "", 'Data Entry'!$r$698)</f>
      </c>
      <c r="AY698">
        <f>IF(ISBLANK('Data Entry'!$s$698), "", 'Data Entry'!$s$698)</f>
      </c>
      <c r="AZ698">
        <f>IF(ISBLANK('Data Entry'!$t$698), "", 'Data Entry'!$t$698)</f>
      </c>
      <c r="BA698">
        <f>IF(ISBLANK('Data Entry'!$u$698), "", 'Data Entry'!$u$698)</f>
      </c>
      <c r="BB698">
        <f>IF(ISBLANK('Data Entry'!$v$698), "", 'Data Entry'!$v$698)</f>
      </c>
      <c r="BC698">
        <f>IF(ISBLANK('Data Entry'!$w$698), "", 'Data Entry'!$w$698)</f>
      </c>
      <c r="BD698">
        <f>IF(ISBLANK('Data Entry'!$x$698), "", 'Data Entry'!$x$698)</f>
      </c>
      <c r="BE698">
        <f>IF(ISBLANK('Data Entry'!$y$698), "", 'Data Entry'!$y$698)</f>
      </c>
      <c r="BF698">
        <f>IF(ISBLANK('Data Entry'!$z$698), "", 'Data Entry'!$z$698)</f>
      </c>
      <c r="BG698">
        <f>IF(ISBLANK('Data Entry'!${$698), "", 'Data Entry'!${$698)</f>
      </c>
      <c r="BH698">
        <f>IF(ISBLANK('Data Entry'!$|$698), "", 'Data Entry'!$|$698)</f>
      </c>
      <c r="BI698">
        <f>IF(ISBLANK('Data Entry'!$}$698), "", 'Data Entry'!$}$698)</f>
      </c>
      <c r="BJ698">
        <f>IF(ISBLANK('Data Entry'!$~$698), "", 'Data Entry'!$~$698)</f>
      </c>
      <c r="BK698">
        <f>IF(ISBLANK('Data Entry'!$$698), "", 'Data Entry'!$$698)</f>
      </c>
      <c r="BL698">
        <f>IF(ISBLANK('Data Entry'!$$698), "", 'Data Entry'!$$698)</f>
      </c>
      <c r="BM698">
        <f>IF(ISBLANK('Data Entry'!$$698), "", 'Data Entry'!$$698)</f>
      </c>
      <c r="BN698">
        <f>IF(ISBLANK('Data Entry'!$$698), "", 'Data Entry'!$$698)</f>
      </c>
      <c r="BO698">
        <f>IF(ISBLANK('Data Entry'!$$698), "", 'Data Entry'!$$698)</f>
      </c>
      <c r="BP698">
        <f>IF(ISBLANK('Data Entry'!$$698), "", 'Data Entry'!$$698)</f>
      </c>
      <c r="BQ698">
        <f>IF(ISBLANK('Data Entry'!$$698), "", 'Data Entry'!$$698)</f>
      </c>
      <c r="BR698">
        <f>IF(ISBLANK('Data Entry'!$$698), "", 'Data Entry'!$$698)</f>
      </c>
      <c r="BS698">
        <f>IF(ISBLANK('Data Entry'!$$698), "", 'Data Entry'!$$698)</f>
      </c>
      <c r="BT698">
        <f>IF(ISBLANK('Data Entry'!$$698), "", 'Data Entry'!$$698)</f>
      </c>
      <c r="BU698">
        <f>IF(ISBLANK('Data Entry'!$$698), "", 'Data Entry'!$$698)</f>
      </c>
      <c r="BV698">
        <f>IF(ISBLANK('Data Entry'!$$698), "", 'Data Entry'!$$698)</f>
      </c>
      <c r="BW698">
        <f>IF(ISBLANK('Data Entry'!$$698), "", 'Data Entry'!$$698)</f>
      </c>
      <c r="BX698">
        <f>IF(ISBLANK('Data Entry'!$$698), "", 'Data Entry'!$$698)</f>
      </c>
      <c r="BY698">
        <f>IF(ISBLANK('Data Entry'!$$698), "", 'Data Entry'!$$698)</f>
      </c>
      <c r="BZ698">
        <f>IF(ISBLANK('Data Entry'!$$698), "", 'Data Entry'!$$698)</f>
      </c>
      <c r="CA698">
        <f>IF(ISBLANK('Data Entry'!$$698), "", 'Data Entry'!$$698)</f>
      </c>
      <c r="CB698">
        <f>IF(ISBLANK('Data Entry'!$$698), "", 'Data Entry'!$$698)</f>
      </c>
      <c r="CC698">
        <f>IF(ISBLANK('Data Entry'!$$698), "", 'Data Entry'!$$698)</f>
      </c>
      <c r="CD698">
        <f>IF(ISBLANK('Data Entry'!$$698), "", 'Data Entry'!$$698)</f>
      </c>
      <c r="CE698">
        <f>IF(ISBLANK('Data Entry'!$$698), "", 'Data Entry'!$$698)</f>
      </c>
      <c r="CF698">
        <f>IF(ISBLANK('Data Entry'!$$698), "", 'Data Entry'!$$698)</f>
      </c>
      <c r="CG698">
        <f>IF(ISBLANK('Data Entry'!$$698), "", 'Data Entry'!$$698)</f>
      </c>
      <c r="CH698">
        <f>IF(ISBLANK('Data Entry'!$$698), "", 'Data Entry'!$$698)</f>
      </c>
      <c r="CI698">
        <f>IF(ISBLANK('Data Entry'!$$698), "", 'Data Entry'!$$698)</f>
      </c>
      <c r="CJ698">
        <f>IF(ISBLANK('Data Entry'!$$698), "", 'Data Entry'!$$698)</f>
      </c>
      <c r="CK698">
        <f>IF(ISBLANK('Data Entry'!$$698), "", 'Data Entry'!$$698)</f>
      </c>
      <c r="CL698">
        <f>IF(ISBLANK('Data Entry'!$$698), "", 'Data Entry'!$$698)</f>
      </c>
      <c r="CM698">
        <f>IF(ISBLANK('Data Entry'!$$698), "", 'Data Entry'!$$698)</f>
      </c>
      <c r="CN698">
        <f>IF(ISBLANK('Data Entry'!$$698), "", 'Data Entry'!$$698)</f>
      </c>
      <c r="CO698">
        <f>IF(ISBLANK('Data Entry'!$$698), "", 'Data Entry'!$$698)</f>
      </c>
      <c r="CP698">
        <f>IF(ISBLANK('Data Entry'!$$698), "", 'Data Entry'!$$698)</f>
      </c>
      <c r="CQ698">
        <f>IF(ISBLANK('Data Entry'!$$698), "", 'Data Entry'!$$698)</f>
      </c>
      <c r="CR698">
        <f>IF(ISBLANK('Data Entry'!$ $698), "", 'Data Entry'!$ $698)</f>
      </c>
      <c r="CS698">
        <f>IF(ISBLANK('Data Entry'!$¡$698), "", 'Data Entry'!$¡$698)</f>
      </c>
      <c r="CT698">
        <f>IF(ISBLANK('Data Entry'!$¢$698), "", 'Data Entry'!$¢$698)</f>
      </c>
      <c r="CU698">
        <f>IF(ISBLANK('Data Entry'!$£$698), "", 'Data Entry'!$£$698)</f>
      </c>
      <c r="CV698">
        <f>IF(ISBLANK('Data Entry'!$¤$698), "", 'Data Entry'!$¤$698)</f>
      </c>
      <c r="CW698">
        <f>IF(ISBLANK('Data Entry'!$¥$698), "", 'Data Entry'!$¥$698)</f>
      </c>
      <c r="CX698">
        <f>IF(ISBLANK('Data Entry'!$¦$698), "", 'Data Entry'!$¦$698)</f>
      </c>
      <c r="CY698">
        <f>IF(ISBLANK('Data Entry'!$§$698), "", 'Data Entry'!$§$698)</f>
      </c>
      <c r="CZ698">
        <f>IF(ISBLANK('Data Entry'!$¨$698), "", 'Data Entry'!$¨$698)</f>
      </c>
      <c r="DA698">
        <f>IF(ISBLANK('Data Entry'!$©$698), "", 'Data Entry'!$©$698)</f>
      </c>
      <c r="DB698">
        <f>IF(ISBLANK('Data Entry'!$ª$698), "", 'Data Entry'!$ª$698)</f>
      </c>
      <c r="DC698">
        <f>IF(ISBLANK('Data Entry'!$«$698), "", 'Data Entry'!$«$698)</f>
      </c>
      <c r="DD698">
        <f>IF(ISBLANK('Data Entry'!$¬$698), "", 'Data Entry'!$¬$698)</f>
      </c>
      <c r="DE698">
        <f>IF(ISBLANK('Data Entry'!$­$698), "", 'Data Entry'!$­$698)</f>
      </c>
      <c r="DF698">
        <f>IF(ISBLANK('Data Entry'!$®$698), "", 'Data Entry'!$®$698)</f>
      </c>
      <c r="DG698">
        <f>IF(ISBLANK('Data Entry'!$¯$698), "", 'Data Entry'!$¯$698)</f>
      </c>
      <c r="DH698">
        <f>IF(ISBLANK('Data Entry'!$°$698), "", 'Data Entry'!$°$698)</f>
      </c>
      <c r="DI698">
        <f>IF(ISBLANK('Data Entry'!$±$698), "", 'Data Entry'!$±$698)</f>
      </c>
      <c r="DJ698">
        <f>IF(ISBLANK('Data Entry'!$²$698), "", 'Data Entry'!$²$698)</f>
      </c>
      <c r="DK698">
        <f>IF(ISBLANK('Data Entry'!$³$698), "", 'Data Entry'!$³$698)</f>
      </c>
      <c r="DL698">
        <f>IF(ISBLANK('Data Entry'!$´$698), "", 'Data Entry'!$´$698)</f>
      </c>
      <c r="DM698">
        <f>IF(ISBLANK('Data Entry'!$µ$698), "", 'Data Entry'!$µ$698)</f>
      </c>
      <c r="DN698">
        <f>IF(ISBLANK('Data Entry'!$¶$698), "", 'Data Entry'!$¶$698)</f>
      </c>
      <c r="DO698">
        <f>IF(ISBLANK('Data Entry'!$·$698), "", 'Data Entry'!$·$698)</f>
      </c>
      <c r="DP698">
        <f>IF(ISBLANK('Data Entry'!$¸$698), "", 'Data Entry'!$¸$698)</f>
      </c>
      <c r="DQ698">
        <f>IF(ISBLANK('Data Entry'!$¹$698), "", 'Data Entry'!$¹$698)</f>
      </c>
      <c r="DR698">
        <f>IF(ISBLANK('Data Entry'!$º$698), "", 'Data Entry'!$º$698)</f>
      </c>
      <c r="DS698">
        <f>IF(ISBLANK('Data Entry'!$»$698), "", 'Data Entry'!$»$698)</f>
      </c>
      <c r="DT698">
        <f>IF(ISBLANK('Data Entry'!$¼$698), "", 'Data Entry'!$¼$698)</f>
      </c>
      <c r="DU698">
        <f>IF(ISBLANK('Data Entry'!$½$698), "", 'Data Entry'!$½$698)</f>
      </c>
      <c r="DV698">
        <f>IF(ISBLANK('Data Entry'!$¾$698), "", 'Data Entry'!$¾$698)</f>
      </c>
      <c r="DW698">
        <f>IF(ISBLANK('Data Entry'!$¿$698), "", 'Data Entry'!$¿$698)</f>
      </c>
      <c r="DX698">
        <f>IF(ISBLANK('Data Entry'!$À$698), "", 'Data Entry'!$À$698)</f>
      </c>
      <c r="DY698">
        <f>IF(ISBLANK('Data Entry'!$Á$698), "", 'Data Entry'!$Á$698)</f>
      </c>
      <c r="DZ698">
        <f>IF(ISBLANK('Data Entry'!$Â$698), "", 'Data Entry'!$Â$698)</f>
      </c>
      <c r="EA698">
        <f>IF(ISBLANK('Data Entry'!$Ã$698), "", 'Data Entry'!$Ã$698)</f>
      </c>
      <c r="EB698">
        <f>IF(ISBLANK('Data Entry'!$Ä$698), "", 'Data Entry'!$Ä$698)</f>
      </c>
      <c r="EC698">
        <f>IF(ISBLANK('Data Entry'!$Å$698), "", 'Data Entry'!$Å$698)</f>
      </c>
      <c r="ED698">
        <f>IF(ISBLANK('Data Entry'!$Æ$698), "", 'Data Entry'!$Æ$698)</f>
      </c>
      <c r="EE698">
        <f>IF(ISBLANK('Data Entry'!$Ç$698), "", 'Data Entry'!$Ç$698)</f>
      </c>
      <c r="EF698">
        <f>IF(ISBLANK('Data Entry'!$È$698), "", 'Data Entry'!$È$698)</f>
      </c>
      <c r="EG698">
        <f>IF(ISBLANK('Data Entry'!$É$698), "", 'Data Entry'!$É$698)</f>
      </c>
      <c r="EH698">
        <f>IF(ISBLANK('Data Entry'!$Ê$698), "", 'Data Entry'!$Ê$698)</f>
      </c>
      <c r="EI698">
        <f>IF(ISBLANK('Data Entry'!$Ë$698), "", 'Data Entry'!$Ë$698)</f>
      </c>
      <c r="EJ698">
        <f>IF(ISBLANK('Data Entry'!$Ì$698), "", 'Data Entry'!$Ì$698)</f>
      </c>
      <c r="EK698">
        <f>IF(ISBLANK('Data Entry'!$Í$698), "", 'Data Entry'!$Í$698)</f>
      </c>
      <c r="EL698">
        <f>IF(ISBLANK('Data Entry'!$Î$698), "", 'Data Entry'!$Î$698)</f>
      </c>
      <c r="EM698">
        <f>IF(ISBLANK('Data Entry'!$Ï$698), "", 'Data Entry'!$Ï$698)</f>
      </c>
      <c r="EN698">
        <f>IF(ISBLANK('Data Entry'!$Ð$698), "", 'Data Entry'!$Ð$698)</f>
      </c>
      <c r="EO698">
        <f>IF(ISBLANK('Data Entry'!$Ñ$698), "", 'Data Entry'!$Ñ$698)</f>
      </c>
      <c r="EP698">
        <f>IF(ISBLANK('Data Entry'!$Ò$698), "", 'Data Entry'!$Ò$698)</f>
      </c>
      <c r="EQ698">
        <f>IF(ISBLANK('Data Entry'!$Ó$698), "", 'Data Entry'!$Ó$698)</f>
      </c>
      <c r="ER698">
        <f>IF(ISBLANK('Data Entry'!$Ô$698), "", 'Data Entry'!$Ô$698)</f>
      </c>
      <c r="ES698">
        <f>IF(ISBLANK('Data Entry'!$Õ$698), "", 'Data Entry'!$Õ$698)</f>
      </c>
      <c r="ET698">
        <f>IF(ISBLANK('Data Entry'!$Ö$698), "", 'Data Entry'!$Ö$698)</f>
      </c>
      <c r="EU698">
        <f>IF(ISBLANK('Data Entry'!$×$698), "", 'Data Entry'!$×$698)</f>
      </c>
      <c r="EV698">
        <f>IF(ISBLANK('Data Entry'!$Ø$698), "", 'Data Entry'!$Ø$698)</f>
      </c>
      <c r="EW698">
        <f>IF(ISBLANK('Data Entry'!$Ù$698), "", 'Data Entry'!$Ù$698)</f>
      </c>
      <c r="EX698">
        <f>IF(ISBLANK('Data Entry'!$Ú$698), "", 'Data Entry'!$Ú$698)</f>
      </c>
      <c r="EY698">
        <f>IF(ISBLANK('Data Entry'!$Û$698), "", 'Data Entry'!$Û$698)</f>
      </c>
      <c r="EZ698">
        <f>IF(ISBLANK('Data Entry'!$Ü$698), "", 'Data Entry'!$Ü$698)</f>
      </c>
      <c r="FA698">
        <f>IF(ISBLANK('Data Entry'!$Ý$698), "", 'Data Entry'!$Ý$698)</f>
      </c>
      <c r="FB698">
        <f>IF(ISBLANK('Data Entry'!$Þ$698), "", 'Data Entry'!$Þ$698)</f>
      </c>
      <c r="FC698">
        <f>IF(ISBLANK('Data Entry'!$ß$698), "", 'Data Entry'!$ß$698)</f>
      </c>
      <c r="FD698">
        <f>IF(ISBLANK('Data Entry'!$à$698), "", 'Data Entry'!$à$698)</f>
      </c>
      <c r="FE698">
        <f>IF(ISBLANK('Data Entry'!$á$698), "", 'Data Entry'!$á$698)</f>
      </c>
      <c r="FF698">
        <f>IF(ISBLANK('Data Entry'!$â$698), "", 'Data Entry'!$â$698)</f>
      </c>
      <c r="FG698">
        <f>IF(ISBLANK('Data Entry'!$ã$698), "", 'Data Entry'!$ã$698)</f>
      </c>
      <c r="FH698">
        <f>IF(ISBLANK('Data Entry'!$ä$698), "", 'Data Entry'!$ä$698)</f>
      </c>
      <c r="FI698">
        <f>IF(ISBLANK('Data Entry'!$å$698), "", 'Data Entry'!$å$698)</f>
      </c>
      <c r="FJ698">
        <f>IF(ISBLANK('Data Entry'!$æ$698), "", 'Data Entry'!$æ$698)</f>
      </c>
      <c r="FK698">
        <f>IF(ISBLANK('Data Entry'!$ç$698), "", 'Data Entry'!$ç$698)</f>
      </c>
      <c r="FL698">
        <f>IF(ISBLANK('Data Entry'!$è$698), "", 'Data Entry'!$è$698)</f>
      </c>
      <c r="FM698">
        <f>IF(ISBLANK('Data Entry'!$é$698), "", 'Data Entry'!$é$698)</f>
      </c>
      <c r="FN698">
        <f>IF(ISBLANK('Data Entry'!$ê$698), "", 'Data Entry'!$ê$698)</f>
      </c>
      <c r="FO698">
        <f>IF(ISBLANK('Data Entry'!$ë$698), "", 'Data Entry'!$ë$698)</f>
      </c>
      <c r="FP698">
        <f>IF(ISBLANK('Data Entry'!$ì$698), "", 'Data Entry'!$ì$698)</f>
      </c>
      <c r="FQ698">
        <f>IF(ISBLANK('Data Entry'!$í$698), "", 'Data Entry'!$í$698)</f>
      </c>
      <c r="FR698">
        <f>IF(ISBLANK('Data Entry'!$î$698), "", 'Data Entry'!$î$698)</f>
      </c>
      <c r="FS698">
        <f>IF(ISBLANK('Data Entry'!$ï$698), "", 'Data Entry'!$ï$698)</f>
      </c>
      <c r="FT698">
        <f>IF(ISBLANK('Data Entry'!$ð$698), "", 'Data Entry'!$ð$698)</f>
      </c>
      <c r="FU698">
        <f>IF(ISBLANK('Data Entry'!$ñ$698), "", 'Data Entry'!$ñ$698)</f>
      </c>
      <c r="FV698">
        <f>IF(ISBLANK('Data Entry'!$ò$698), "", 'Data Entry'!$ò$698)</f>
      </c>
      <c r="FW698">
        <f>IF(ISBLANK('Data Entry'!$ó$698), "", 'Data Entry'!$ó$698)</f>
      </c>
      <c r="FX698">
        <f>IF(ISBLANK('Data Entry'!$ô$698), "", 'Data Entry'!$ô$698)</f>
      </c>
      <c r="FY698">
        <f>IF(ISBLANK('Data Entry'!$õ$698), "", 'Data Entry'!$õ$698)</f>
      </c>
      <c r="FZ698">
        <f>IF(ISBLANK('Data Entry'!$ö$698), "", 'Data Entry'!$ö$698)</f>
      </c>
      <c r="GA698">
        <f>IF(ISBLANK('Data Entry'!$÷$698), "", 'Data Entry'!$÷$698)</f>
      </c>
      <c r="GB698">
        <f>IF(ISBLANK('Data Entry'!$ø$698), "", 'Data Entry'!$ø$698)</f>
      </c>
      <c r="GC698">
        <f>IF(ISBLANK('Data Entry'!$ù$698), "", 'Data Entry'!$ù$698)</f>
      </c>
      <c r="GD698">
        <f>IF(ISBLANK('Data Entry'!$ú$698), "", 'Data Entry'!$ú$698)</f>
      </c>
      <c r="GE698">
        <f>IF(ISBLANK('Data Entry'!$û$698), "", 'Data Entry'!$û$698)</f>
      </c>
      <c r="GF698">
        <f>IF(ISBLANK('Data Entry'!$ü$698), "", 'Data Entry'!$ü$698)</f>
      </c>
      <c r="GG698">
        <f>IF(ISBLANK('Data Entry'!$ý$698), "", 'Data Entry'!$ý$698)</f>
      </c>
      <c r="GH698">
        <f>IF(ISBLANK('Data Entry'!$þ$698), "", 'Data Entry'!$þ$698)</f>
      </c>
      <c r="GI698">
        <f>IF(ISBLANK('Data Entry'!$ÿ$698), "", 'Data Entry'!$ÿ$698)</f>
      </c>
      <c r="GJ698">
        <f>IF(ISBLANK('Data Entry'!$Ā$698), "", 'Data Entry'!$Ā$698)</f>
      </c>
      <c r="GK698">
        <f>IF(ISBLANK('Data Entry'!$ā$698), "", 'Data Entry'!$ā$698)</f>
      </c>
      <c r="GL698">
        <f>IF(ISBLANK('Data Entry'!$Ă$698), "", 'Data Entry'!$Ă$698)</f>
      </c>
      <c r="GM698">
        <f>IF(ISBLANK('Data Entry'!$ă$698), "", 'Data Entry'!$ă$698)</f>
      </c>
      <c r="GN698">
        <f>IF(ISBLANK('Data Entry'!$Ą$698), "", 'Data Entry'!$Ą$698)</f>
      </c>
      <c r="GO698">
        <f>IF(ISBLANK('Data Entry'!$ą$698), "", 'Data Entry'!$ą$698)</f>
      </c>
      <c r="GP698">
        <f>IF(ISBLANK('Data Entry'!$Ć$698), "", 'Data Entry'!$Ć$698)</f>
      </c>
      <c r="GQ698">
        <f>IF(ISBLANK('Data Entry'!$ć$698), "", 'Data Entry'!$ć$698)</f>
      </c>
      <c r="GR698">
        <f>IF(ISBLANK('Data Entry'!$Ĉ$698), "", 'Data Entry'!$Ĉ$698)</f>
      </c>
      <c r="GS698">
        <f>IF(ISBLANK('Data Entry'!$ĉ$698), "", 'Data Entry'!$ĉ$698)</f>
      </c>
      <c r="GT698">
        <f>IF(ISBLANK('Data Entry'!$Ċ$698), "", 'Data Entry'!$Ċ$698)</f>
      </c>
      <c r="GU698">
        <f>IF(ISBLANK('Data Entry'!$ċ$698), "", 'Data Entry'!$ċ$698)</f>
      </c>
      <c r="GV698">
        <f>IF(ISBLANK('Data Entry'!$Č$698), "", 'Data Entry'!$Č$698)</f>
      </c>
      <c r="GW698">
        <f>IF(ISBLANK('Data Entry'!$č$698), "", 'Data Entry'!$č$698)</f>
      </c>
      <c r="GX698">
        <f>IF(ISBLANK('Data Entry'!$Ď$698), "", 'Data Entry'!$Ď$698)</f>
      </c>
      <c r="GY698">
        <f>IF(ISBLANK('Data Entry'!$ď$698), "", 'Data Entry'!$ď$698)</f>
      </c>
      <c r="GZ698">
        <f>IF(ISBLANK('Data Entry'!$Đ$698), "", 'Data Entry'!$Đ$698)</f>
      </c>
      <c r="HA698">
        <f>IF(ISBLANK('Data Entry'!$đ$698), "", 'Data Entry'!$đ$698)</f>
      </c>
      <c r="HB698">
        <f>IF(ISBLANK('Data Entry'!$Ē$698), "", 'Data Entry'!$Ē$698)</f>
      </c>
      <c r="HC698">
        <f>IF(ISBLANK('Data Entry'!$ē$698), "", 'Data Entry'!$ē$698)</f>
      </c>
      <c r="HD698">
        <f>IF(ISBLANK('Data Entry'!$Ĕ$698), "", 'Data Entry'!$Ĕ$698)</f>
      </c>
      <c r="HE698">
        <f>IF(ISBLANK('Data Entry'!$ĕ$698), "", 'Data Entry'!$ĕ$698)</f>
      </c>
      <c r="HF698">
        <f>IF(ISBLANK('Data Entry'!$Ė$698), "", 'Data Entry'!$Ė$698)</f>
      </c>
      <c r="HG698">
        <f>IF(ISBLANK('Data Entry'!$ė$698), "", 'Data Entry'!$ė$698)</f>
      </c>
      <c r="HH698">
        <f>IF(ISBLANK('Data Entry'!$Ę$698), "", 'Data Entry'!$Ę$698)</f>
      </c>
      <c r="HI698">
        <f>IF(ISBLANK('Data Entry'!$ę$698), "", 'Data Entry'!$ę$698)</f>
      </c>
      <c r="HJ698">
        <f>IF(ISBLANK('Data Entry'!$Ě$698), "", 'Data Entry'!$Ě$698)</f>
      </c>
      <c r="HK698">
        <f>IF(ISBLANK('Data Entry'!$ě$698), "", 'Data Entry'!$ě$698)</f>
      </c>
      <c r="HL698">
        <f>IF(ISBLANK('Data Entry'!$Ĝ$698), "", 'Data Entry'!$Ĝ$698)</f>
      </c>
      <c r="HM698">
        <f>IF(ISBLANK('Data Entry'!$ĝ$698), "", 'Data Entry'!$ĝ$698)</f>
      </c>
      <c r="HN698">
        <f>IF(ISBLANK('Data Entry'!$Ğ$698), "", 'Data Entry'!$Ğ$698)</f>
      </c>
      <c r="HO698">
        <f>IF(ISBLANK('Data Entry'!$ğ$698), "", 'Data Entry'!$ğ$698)</f>
      </c>
      <c r="HP698">
        <f>IF(ISBLANK('Data Entry'!$Ġ$698), "", 'Data Entry'!$Ġ$698)</f>
      </c>
      <c r="HQ698">
        <f>IF(ISBLANK('Data Entry'!$ġ$698), "", 'Data Entry'!$ġ$698)</f>
      </c>
      <c r="HR698">
        <f>IF(ISBLANK('Data Entry'!$Ģ$698), "", 'Data Entry'!$Ģ$698)</f>
      </c>
      <c r="HS698">
        <f>IF(ISBLANK('Data Entry'!$ģ$698), "", 'Data Entry'!$ģ$698)</f>
      </c>
      <c r="HT698">
        <f>IF(ISBLANK('Data Entry'!$Ĥ$698), "", 'Data Entry'!$Ĥ$698)</f>
      </c>
      <c r="HU698">
        <f>IF(ISBLANK('Data Entry'!$ĥ$698), "", 'Data Entry'!$ĥ$698)</f>
      </c>
      <c r="HV698">
        <f>IF(ISBLANK('Data Entry'!$Ħ$698), "", 'Data Entry'!$Ħ$698)</f>
      </c>
      <c r="HW698">
        <f>IF(ISBLANK('Data Entry'!$ħ$698), "", 'Data Entry'!$ħ$698)</f>
      </c>
      <c r="HX698">
        <f>IF(ISBLANK('Data Entry'!$Ĩ$698), "", 'Data Entry'!$Ĩ$698)</f>
      </c>
      <c r="HY698">
        <f>IF(ISBLANK('Data Entry'!$ĩ$698), "", 'Data Entry'!$ĩ$698)</f>
      </c>
      <c r="HZ698">
        <f>IF(ISBLANK('Data Entry'!$Ī$698), "", 'Data Entry'!$Ī$698)</f>
      </c>
      <c r="IA698">
        <f>IF(ISBLANK('Data Entry'!$ī$698), "", 'Data Entry'!$ī$698)</f>
      </c>
      <c r="IB698">
        <f>IF(ISBLANK('Data Entry'!$Ĭ$698), "", 'Data Entry'!$Ĭ$698)</f>
      </c>
      <c r="IC698">
        <f>IF(ISBLANK('Data Entry'!$ĭ$698), "", 'Data Entry'!$ĭ$698)</f>
      </c>
      <c r="ID698">
        <f>IF(ISBLANK('Data Entry'!$Į$698), "", 'Data Entry'!$Į$698)</f>
      </c>
      <c r="IE698">
        <f>IF(ISBLANK('Data Entry'!$į$698), "", 'Data Entry'!$į$698)</f>
      </c>
      <c r="IF698">
        <f>IF(ISBLANK('Data Entry'!$İ$698), "", 'Data Entry'!$İ$698)</f>
      </c>
      <c r="IG698">
        <f>IF(ISBLANK('Data Entry'!$ı$698), "", 'Data Entry'!$ı$698)</f>
      </c>
      <c r="IH698">
        <f>IF(ISBLANK('Data Entry'!$Ĳ$698), "", 'Data Entry'!$Ĳ$698)</f>
      </c>
      <c r="II698">
        <f>IF(ISBLANK('Data Entry'!$ĳ$698), "", 'Data Entry'!$ĳ$698)</f>
      </c>
      <c r="IJ698">
        <f>IF(ISBLANK('Data Entry'!$Ĵ$698), "", 'Data Entry'!$Ĵ$698)</f>
      </c>
      <c r="IK698">
        <f>IF(ISBLANK('Data Entry'!$ĵ$698), "", 'Data Entry'!$ĵ$698)</f>
      </c>
      <c r="IL698">
        <f>IF(ISBLANK('Data Entry'!$Ķ$698), "", 'Data Entry'!$Ķ$698)</f>
      </c>
      <c r="IM698">
        <f>IF(ISBLANK('Data Entry'!$ķ$698), "", 'Data Entry'!$ķ$698)</f>
      </c>
      <c r="IN698">
        <f>IF(ISBLANK('Data Entry'!$ĸ$698), "", 'Data Entry'!$ĸ$698)</f>
      </c>
      <c r="IO698">
        <f>IF(ISBLANK('Data Entry'!$Ĺ$698), "", 'Data Entry'!$Ĺ$698)</f>
      </c>
      <c r="IP698">
        <f>IF(ISBLANK('Data Entry'!$ĺ$698), "", 'Data Entry'!$ĺ$698)</f>
      </c>
      <c r="IQ698">
        <f>IF(ISBLANK('Data Entry'!$Ļ$698), "", 'Data Entry'!$Ļ$698)</f>
      </c>
      <c r="IR698">
        <f>IF(ISBLANK('Data Entry'!$ļ$698), "", 'Data Entry'!$ļ$698)</f>
      </c>
      <c r="IS698">
        <f>IF(ISBLANK('Data Entry'!$Ľ$698), "", 'Data Entry'!$Ľ$698)</f>
      </c>
      <c r="IT698">
        <f>IF(ISBLANK('Data Entry'!$ľ$698), "", 'Data Entry'!$ľ$698)</f>
      </c>
    </row>
    <row r="699" spans="1:254" x14ac:dyDescent="0.25">
      <c r="A699">
        <f>IF(ISBLANK('Data Entry'!$A$699), "", 'Data Entry'!$A$699)</f>
      </c>
      <c r="B699">
        <f>IF(ISBLANK('Data Entry'!$B$699), "", 'Data Entry'!$B$699)</f>
      </c>
      <c r="C699">
        <f>IF(ISBLANK('Data Entry'!$C$699), "", 'Data Entry'!$C$699)</f>
      </c>
      <c r="D699">
        <f>IF(ISBLANK('Data Entry'!$D$699), "", 'Data Entry'!$D$699)</f>
      </c>
      <c r="E699">
        <f>IF(ISBLANK('Data Entry'!$E$699), "", 'Data Entry'!$E$699)</f>
      </c>
      <c r="F699">
        <f>IF(ISBLANK('Data Entry'!$F$699), "", 'Data Entry'!$F$699)</f>
      </c>
      <c r="G699">
        <f>IF(ISBLANK('Data Entry'!$G$699), "", 'Data Entry'!$G$699)</f>
      </c>
      <c r="H699">
        <f>IF(ISBLANK('Data Entry'!$H$699), "", 'Data Entry'!$H$699)</f>
      </c>
      <c r="I699">
        <f>IF(ISBLANK('Data Entry'!$I$699), "", 'Data Entry'!$I$699)</f>
      </c>
      <c r="J699">
        <f>IF(ISBLANK('Data Entry'!$J$699), "", 'Data Entry'!$J$699)</f>
      </c>
      <c r="K699">
        <f>IF(ISBLANK('Data Entry'!$K$699), "", 'Data Entry'!$K$699)</f>
      </c>
      <c r="L699">
        <f>IF(ISBLANK('Data Entry'!$L$699), "", 'Data Entry'!$L$699)</f>
      </c>
      <c r="M699">
        <f>IF(ISBLANK('Data Entry'!$M$699), "", 'Data Entry'!$M$699)</f>
      </c>
      <c r="N699">
        <f>IF(ISBLANK('Data Entry'!$N$699), "", 'Data Entry'!$N$699)</f>
      </c>
      <c r="O699">
        <f>IF(ISBLANK('Data Entry'!$O$699), "", 'Data Entry'!$O$699)</f>
      </c>
      <c r="P699">
        <f>IF(ISBLANK('Data Entry'!$P$699), "", 'Data Entry'!$P$699)</f>
      </c>
      <c r="Q699">
        <f>IF(ISBLANK('Data Entry'!$Q$699), "", 'Data Entry'!$Q$699)</f>
      </c>
      <c r="R699">
        <f>IF(ISBLANK('Data Entry'!$R$699), "", 'Data Entry'!$R$699)</f>
      </c>
      <c r="S699">
        <f>IF(ISBLANK('Data Entry'!$S$699), "", 'Data Entry'!$S$699)</f>
      </c>
      <c r="T699">
        <f>IF(ISBLANK('Data Entry'!$T$699), "", 'Data Entry'!$T$699)</f>
      </c>
      <c r="U699">
        <f>IF(ISBLANK('Data Entry'!$U$699), "", 'Data Entry'!$U$699)</f>
      </c>
      <c r="V699">
        <f>IF(ISBLANK('Data Entry'!$V$699), "", 'Data Entry'!$V$699)</f>
      </c>
      <c r="W699">
        <f>IF(ISBLANK('Data Entry'!$W$699), "", 'Data Entry'!$W$699)</f>
      </c>
      <c r="X699">
        <f>IF(ISBLANK('Data Entry'!$X$699), "", 'Data Entry'!$X$699)</f>
      </c>
      <c r="Y699">
        <f>IF(ISBLANK('Data Entry'!$Y$699), "", 'Data Entry'!$Y$699)</f>
      </c>
      <c r="Z699">
        <f>IF(ISBLANK('Data Entry'!$Z$699), "", 'Data Entry'!$Z$699)</f>
      </c>
      <c r="AA699">
        <f>IF(ISBLANK('Data Entry'!$[$699), "", 'Data Entry'!$[$699)</f>
      </c>
      <c r="AB699">
        <f>IF(ISBLANK('Data Entry'!$\$699), "", 'Data Entry'!$\$699)</f>
      </c>
      <c r="AC699">
        <f>IF(ISBLANK('Data Entry'!$]$699), "", 'Data Entry'!$]$699)</f>
      </c>
      <c r="AD699">
        <f>IF(ISBLANK('Data Entry'!$^$699), "", 'Data Entry'!$^$699)</f>
      </c>
      <c r="AE699">
        <f>IF(ISBLANK('Data Entry'!$_$699), "", 'Data Entry'!$_$699)</f>
      </c>
      <c r="AF699">
        <f>IF(ISBLANK('Data Entry'!$`$699), "", 'Data Entry'!$`$699)</f>
      </c>
      <c r="AG699">
        <f>IF(ISBLANK('Data Entry'!$a$699), "", 'Data Entry'!$a$699)</f>
      </c>
      <c r="AH699">
        <f>IF(ISBLANK('Data Entry'!$b$699), "", 'Data Entry'!$b$699)</f>
      </c>
      <c r="AI699">
        <f>IF(ISBLANK('Data Entry'!$c$699), "", 'Data Entry'!$c$699)</f>
      </c>
      <c r="AJ699">
        <f>IF(ISBLANK('Data Entry'!$d$699), "", 'Data Entry'!$d$699)</f>
      </c>
      <c r="AK699">
        <f>IF(ISBLANK('Data Entry'!$e$699), "", 'Data Entry'!$e$699)</f>
      </c>
      <c r="AL699">
        <f>IF(ISBLANK('Data Entry'!$f$699), "", 'Data Entry'!$f$699)</f>
      </c>
      <c r="AM699">
        <f>IF(ISBLANK('Data Entry'!$g$699), "", 'Data Entry'!$g$699)</f>
      </c>
      <c r="AN699">
        <f>IF(ISBLANK('Data Entry'!$h$699), "", 'Data Entry'!$h$699)</f>
      </c>
      <c r="AO699">
        <f>IF(ISBLANK('Data Entry'!$i$699), "", 'Data Entry'!$i$699)</f>
      </c>
      <c r="AP699">
        <f>IF(ISBLANK('Data Entry'!$j$699), "", 'Data Entry'!$j$699)</f>
      </c>
      <c r="AQ699">
        <f>IF(ISBLANK('Data Entry'!$k$699), "", 'Data Entry'!$k$699)</f>
      </c>
      <c r="AR699">
        <f>IF(ISBLANK('Data Entry'!$l$699), "", 'Data Entry'!$l$699)</f>
      </c>
      <c r="AS699">
        <f>IF(ISBLANK('Data Entry'!$m$699), "", 'Data Entry'!$m$699)</f>
      </c>
      <c r="AT699">
        <f>IF(ISBLANK('Data Entry'!$n$699), "", 'Data Entry'!$n$699)</f>
      </c>
      <c r="AU699">
        <f>IF(ISBLANK('Data Entry'!$o$699), "", 'Data Entry'!$o$699)</f>
      </c>
      <c r="AV699">
        <f>IF(ISBLANK('Data Entry'!$p$699), "", 'Data Entry'!$p$699)</f>
      </c>
      <c r="AW699">
        <f>IF(ISBLANK('Data Entry'!$q$699), "", 'Data Entry'!$q$699)</f>
      </c>
      <c r="AX699">
        <f>IF(ISBLANK('Data Entry'!$r$699), "", 'Data Entry'!$r$699)</f>
      </c>
      <c r="AY699">
        <f>IF(ISBLANK('Data Entry'!$s$699), "", 'Data Entry'!$s$699)</f>
      </c>
      <c r="AZ699">
        <f>IF(ISBLANK('Data Entry'!$t$699), "", 'Data Entry'!$t$699)</f>
      </c>
      <c r="BA699">
        <f>IF(ISBLANK('Data Entry'!$u$699), "", 'Data Entry'!$u$699)</f>
      </c>
      <c r="BB699">
        <f>IF(ISBLANK('Data Entry'!$v$699), "", 'Data Entry'!$v$699)</f>
      </c>
      <c r="BC699">
        <f>IF(ISBLANK('Data Entry'!$w$699), "", 'Data Entry'!$w$699)</f>
      </c>
      <c r="BD699">
        <f>IF(ISBLANK('Data Entry'!$x$699), "", 'Data Entry'!$x$699)</f>
      </c>
      <c r="BE699">
        <f>IF(ISBLANK('Data Entry'!$y$699), "", 'Data Entry'!$y$699)</f>
      </c>
      <c r="BF699">
        <f>IF(ISBLANK('Data Entry'!$z$699), "", 'Data Entry'!$z$699)</f>
      </c>
      <c r="BG699">
        <f>IF(ISBLANK('Data Entry'!${$699), "", 'Data Entry'!${$699)</f>
      </c>
      <c r="BH699">
        <f>IF(ISBLANK('Data Entry'!$|$699), "", 'Data Entry'!$|$699)</f>
      </c>
      <c r="BI699">
        <f>IF(ISBLANK('Data Entry'!$}$699), "", 'Data Entry'!$}$699)</f>
      </c>
      <c r="BJ699">
        <f>IF(ISBLANK('Data Entry'!$~$699), "", 'Data Entry'!$~$699)</f>
      </c>
      <c r="BK699">
        <f>IF(ISBLANK('Data Entry'!$$699), "", 'Data Entry'!$$699)</f>
      </c>
      <c r="BL699">
        <f>IF(ISBLANK('Data Entry'!$$699), "", 'Data Entry'!$$699)</f>
      </c>
      <c r="BM699">
        <f>IF(ISBLANK('Data Entry'!$$699), "", 'Data Entry'!$$699)</f>
      </c>
      <c r="BN699">
        <f>IF(ISBLANK('Data Entry'!$$699), "", 'Data Entry'!$$699)</f>
      </c>
      <c r="BO699">
        <f>IF(ISBLANK('Data Entry'!$$699), "", 'Data Entry'!$$699)</f>
      </c>
      <c r="BP699">
        <f>IF(ISBLANK('Data Entry'!$$699), "", 'Data Entry'!$$699)</f>
      </c>
      <c r="BQ699">
        <f>IF(ISBLANK('Data Entry'!$$699), "", 'Data Entry'!$$699)</f>
      </c>
      <c r="BR699">
        <f>IF(ISBLANK('Data Entry'!$$699), "", 'Data Entry'!$$699)</f>
      </c>
      <c r="BS699">
        <f>IF(ISBLANK('Data Entry'!$$699), "", 'Data Entry'!$$699)</f>
      </c>
      <c r="BT699">
        <f>IF(ISBLANK('Data Entry'!$$699), "", 'Data Entry'!$$699)</f>
      </c>
      <c r="BU699">
        <f>IF(ISBLANK('Data Entry'!$$699), "", 'Data Entry'!$$699)</f>
      </c>
      <c r="BV699">
        <f>IF(ISBLANK('Data Entry'!$$699), "", 'Data Entry'!$$699)</f>
      </c>
      <c r="BW699">
        <f>IF(ISBLANK('Data Entry'!$$699), "", 'Data Entry'!$$699)</f>
      </c>
      <c r="BX699">
        <f>IF(ISBLANK('Data Entry'!$$699), "", 'Data Entry'!$$699)</f>
      </c>
      <c r="BY699">
        <f>IF(ISBLANK('Data Entry'!$$699), "", 'Data Entry'!$$699)</f>
      </c>
      <c r="BZ699">
        <f>IF(ISBLANK('Data Entry'!$$699), "", 'Data Entry'!$$699)</f>
      </c>
      <c r="CA699">
        <f>IF(ISBLANK('Data Entry'!$$699), "", 'Data Entry'!$$699)</f>
      </c>
      <c r="CB699">
        <f>IF(ISBLANK('Data Entry'!$$699), "", 'Data Entry'!$$699)</f>
      </c>
      <c r="CC699">
        <f>IF(ISBLANK('Data Entry'!$$699), "", 'Data Entry'!$$699)</f>
      </c>
      <c r="CD699">
        <f>IF(ISBLANK('Data Entry'!$$699), "", 'Data Entry'!$$699)</f>
      </c>
      <c r="CE699">
        <f>IF(ISBLANK('Data Entry'!$$699), "", 'Data Entry'!$$699)</f>
      </c>
      <c r="CF699">
        <f>IF(ISBLANK('Data Entry'!$$699), "", 'Data Entry'!$$699)</f>
      </c>
      <c r="CG699">
        <f>IF(ISBLANK('Data Entry'!$$699), "", 'Data Entry'!$$699)</f>
      </c>
      <c r="CH699">
        <f>IF(ISBLANK('Data Entry'!$$699), "", 'Data Entry'!$$699)</f>
      </c>
      <c r="CI699">
        <f>IF(ISBLANK('Data Entry'!$$699), "", 'Data Entry'!$$699)</f>
      </c>
      <c r="CJ699">
        <f>IF(ISBLANK('Data Entry'!$$699), "", 'Data Entry'!$$699)</f>
      </c>
      <c r="CK699">
        <f>IF(ISBLANK('Data Entry'!$$699), "", 'Data Entry'!$$699)</f>
      </c>
      <c r="CL699">
        <f>IF(ISBLANK('Data Entry'!$$699), "", 'Data Entry'!$$699)</f>
      </c>
      <c r="CM699">
        <f>IF(ISBLANK('Data Entry'!$$699), "", 'Data Entry'!$$699)</f>
      </c>
      <c r="CN699">
        <f>IF(ISBLANK('Data Entry'!$$699), "", 'Data Entry'!$$699)</f>
      </c>
      <c r="CO699">
        <f>IF(ISBLANK('Data Entry'!$$699), "", 'Data Entry'!$$699)</f>
      </c>
      <c r="CP699">
        <f>IF(ISBLANK('Data Entry'!$$699), "", 'Data Entry'!$$699)</f>
      </c>
      <c r="CQ699">
        <f>IF(ISBLANK('Data Entry'!$$699), "", 'Data Entry'!$$699)</f>
      </c>
      <c r="CR699">
        <f>IF(ISBLANK('Data Entry'!$ $699), "", 'Data Entry'!$ $699)</f>
      </c>
      <c r="CS699">
        <f>IF(ISBLANK('Data Entry'!$¡$699), "", 'Data Entry'!$¡$699)</f>
      </c>
      <c r="CT699">
        <f>IF(ISBLANK('Data Entry'!$¢$699), "", 'Data Entry'!$¢$699)</f>
      </c>
      <c r="CU699">
        <f>IF(ISBLANK('Data Entry'!$£$699), "", 'Data Entry'!$£$699)</f>
      </c>
      <c r="CV699">
        <f>IF(ISBLANK('Data Entry'!$¤$699), "", 'Data Entry'!$¤$699)</f>
      </c>
      <c r="CW699">
        <f>IF(ISBLANK('Data Entry'!$¥$699), "", 'Data Entry'!$¥$699)</f>
      </c>
      <c r="CX699">
        <f>IF(ISBLANK('Data Entry'!$¦$699), "", 'Data Entry'!$¦$699)</f>
      </c>
      <c r="CY699">
        <f>IF(ISBLANK('Data Entry'!$§$699), "", 'Data Entry'!$§$699)</f>
      </c>
      <c r="CZ699">
        <f>IF(ISBLANK('Data Entry'!$¨$699), "", 'Data Entry'!$¨$699)</f>
      </c>
      <c r="DA699">
        <f>IF(ISBLANK('Data Entry'!$©$699), "", 'Data Entry'!$©$699)</f>
      </c>
      <c r="DB699">
        <f>IF(ISBLANK('Data Entry'!$ª$699), "", 'Data Entry'!$ª$699)</f>
      </c>
      <c r="DC699">
        <f>IF(ISBLANK('Data Entry'!$«$699), "", 'Data Entry'!$«$699)</f>
      </c>
      <c r="DD699">
        <f>IF(ISBLANK('Data Entry'!$¬$699), "", 'Data Entry'!$¬$699)</f>
      </c>
      <c r="DE699">
        <f>IF(ISBLANK('Data Entry'!$­$699), "", 'Data Entry'!$­$699)</f>
      </c>
      <c r="DF699">
        <f>IF(ISBLANK('Data Entry'!$®$699), "", 'Data Entry'!$®$699)</f>
      </c>
      <c r="DG699">
        <f>IF(ISBLANK('Data Entry'!$¯$699), "", 'Data Entry'!$¯$699)</f>
      </c>
      <c r="DH699">
        <f>IF(ISBLANK('Data Entry'!$°$699), "", 'Data Entry'!$°$699)</f>
      </c>
      <c r="DI699">
        <f>IF(ISBLANK('Data Entry'!$±$699), "", 'Data Entry'!$±$699)</f>
      </c>
      <c r="DJ699">
        <f>IF(ISBLANK('Data Entry'!$²$699), "", 'Data Entry'!$²$699)</f>
      </c>
      <c r="DK699">
        <f>IF(ISBLANK('Data Entry'!$³$699), "", 'Data Entry'!$³$699)</f>
      </c>
      <c r="DL699">
        <f>IF(ISBLANK('Data Entry'!$´$699), "", 'Data Entry'!$´$699)</f>
      </c>
      <c r="DM699">
        <f>IF(ISBLANK('Data Entry'!$µ$699), "", 'Data Entry'!$µ$699)</f>
      </c>
      <c r="DN699">
        <f>IF(ISBLANK('Data Entry'!$¶$699), "", 'Data Entry'!$¶$699)</f>
      </c>
      <c r="DO699">
        <f>IF(ISBLANK('Data Entry'!$·$699), "", 'Data Entry'!$·$699)</f>
      </c>
      <c r="DP699">
        <f>IF(ISBLANK('Data Entry'!$¸$699), "", 'Data Entry'!$¸$699)</f>
      </c>
      <c r="DQ699">
        <f>IF(ISBLANK('Data Entry'!$¹$699), "", 'Data Entry'!$¹$699)</f>
      </c>
      <c r="DR699">
        <f>IF(ISBLANK('Data Entry'!$º$699), "", 'Data Entry'!$º$699)</f>
      </c>
      <c r="DS699">
        <f>IF(ISBLANK('Data Entry'!$»$699), "", 'Data Entry'!$»$699)</f>
      </c>
      <c r="DT699">
        <f>IF(ISBLANK('Data Entry'!$¼$699), "", 'Data Entry'!$¼$699)</f>
      </c>
      <c r="DU699">
        <f>IF(ISBLANK('Data Entry'!$½$699), "", 'Data Entry'!$½$699)</f>
      </c>
      <c r="DV699">
        <f>IF(ISBLANK('Data Entry'!$¾$699), "", 'Data Entry'!$¾$699)</f>
      </c>
      <c r="DW699">
        <f>IF(ISBLANK('Data Entry'!$¿$699), "", 'Data Entry'!$¿$699)</f>
      </c>
      <c r="DX699">
        <f>IF(ISBLANK('Data Entry'!$À$699), "", 'Data Entry'!$À$699)</f>
      </c>
      <c r="DY699">
        <f>IF(ISBLANK('Data Entry'!$Á$699), "", 'Data Entry'!$Á$699)</f>
      </c>
      <c r="DZ699">
        <f>IF(ISBLANK('Data Entry'!$Â$699), "", 'Data Entry'!$Â$699)</f>
      </c>
      <c r="EA699">
        <f>IF(ISBLANK('Data Entry'!$Ã$699), "", 'Data Entry'!$Ã$699)</f>
      </c>
      <c r="EB699">
        <f>IF(ISBLANK('Data Entry'!$Ä$699), "", 'Data Entry'!$Ä$699)</f>
      </c>
      <c r="EC699">
        <f>IF(ISBLANK('Data Entry'!$Å$699), "", 'Data Entry'!$Å$699)</f>
      </c>
      <c r="ED699">
        <f>IF(ISBLANK('Data Entry'!$Æ$699), "", 'Data Entry'!$Æ$699)</f>
      </c>
      <c r="EE699">
        <f>IF(ISBLANK('Data Entry'!$Ç$699), "", 'Data Entry'!$Ç$699)</f>
      </c>
      <c r="EF699">
        <f>IF(ISBLANK('Data Entry'!$È$699), "", 'Data Entry'!$È$699)</f>
      </c>
      <c r="EG699">
        <f>IF(ISBLANK('Data Entry'!$É$699), "", 'Data Entry'!$É$699)</f>
      </c>
      <c r="EH699">
        <f>IF(ISBLANK('Data Entry'!$Ê$699), "", 'Data Entry'!$Ê$699)</f>
      </c>
      <c r="EI699">
        <f>IF(ISBLANK('Data Entry'!$Ë$699), "", 'Data Entry'!$Ë$699)</f>
      </c>
      <c r="EJ699">
        <f>IF(ISBLANK('Data Entry'!$Ì$699), "", 'Data Entry'!$Ì$699)</f>
      </c>
      <c r="EK699">
        <f>IF(ISBLANK('Data Entry'!$Í$699), "", 'Data Entry'!$Í$699)</f>
      </c>
      <c r="EL699">
        <f>IF(ISBLANK('Data Entry'!$Î$699), "", 'Data Entry'!$Î$699)</f>
      </c>
      <c r="EM699">
        <f>IF(ISBLANK('Data Entry'!$Ï$699), "", 'Data Entry'!$Ï$699)</f>
      </c>
      <c r="EN699">
        <f>IF(ISBLANK('Data Entry'!$Ð$699), "", 'Data Entry'!$Ð$699)</f>
      </c>
      <c r="EO699">
        <f>IF(ISBLANK('Data Entry'!$Ñ$699), "", 'Data Entry'!$Ñ$699)</f>
      </c>
      <c r="EP699">
        <f>IF(ISBLANK('Data Entry'!$Ò$699), "", 'Data Entry'!$Ò$699)</f>
      </c>
      <c r="EQ699">
        <f>IF(ISBLANK('Data Entry'!$Ó$699), "", 'Data Entry'!$Ó$699)</f>
      </c>
      <c r="ER699">
        <f>IF(ISBLANK('Data Entry'!$Ô$699), "", 'Data Entry'!$Ô$699)</f>
      </c>
      <c r="ES699">
        <f>IF(ISBLANK('Data Entry'!$Õ$699), "", 'Data Entry'!$Õ$699)</f>
      </c>
      <c r="ET699">
        <f>IF(ISBLANK('Data Entry'!$Ö$699), "", 'Data Entry'!$Ö$699)</f>
      </c>
      <c r="EU699">
        <f>IF(ISBLANK('Data Entry'!$×$699), "", 'Data Entry'!$×$699)</f>
      </c>
      <c r="EV699">
        <f>IF(ISBLANK('Data Entry'!$Ø$699), "", 'Data Entry'!$Ø$699)</f>
      </c>
      <c r="EW699">
        <f>IF(ISBLANK('Data Entry'!$Ù$699), "", 'Data Entry'!$Ù$699)</f>
      </c>
      <c r="EX699">
        <f>IF(ISBLANK('Data Entry'!$Ú$699), "", 'Data Entry'!$Ú$699)</f>
      </c>
      <c r="EY699">
        <f>IF(ISBLANK('Data Entry'!$Û$699), "", 'Data Entry'!$Û$699)</f>
      </c>
      <c r="EZ699">
        <f>IF(ISBLANK('Data Entry'!$Ü$699), "", 'Data Entry'!$Ü$699)</f>
      </c>
      <c r="FA699">
        <f>IF(ISBLANK('Data Entry'!$Ý$699), "", 'Data Entry'!$Ý$699)</f>
      </c>
      <c r="FB699">
        <f>IF(ISBLANK('Data Entry'!$Þ$699), "", 'Data Entry'!$Þ$699)</f>
      </c>
      <c r="FC699">
        <f>IF(ISBLANK('Data Entry'!$ß$699), "", 'Data Entry'!$ß$699)</f>
      </c>
      <c r="FD699">
        <f>IF(ISBLANK('Data Entry'!$à$699), "", 'Data Entry'!$à$699)</f>
      </c>
      <c r="FE699">
        <f>IF(ISBLANK('Data Entry'!$á$699), "", 'Data Entry'!$á$699)</f>
      </c>
      <c r="FF699">
        <f>IF(ISBLANK('Data Entry'!$â$699), "", 'Data Entry'!$â$699)</f>
      </c>
      <c r="FG699">
        <f>IF(ISBLANK('Data Entry'!$ã$699), "", 'Data Entry'!$ã$699)</f>
      </c>
      <c r="FH699">
        <f>IF(ISBLANK('Data Entry'!$ä$699), "", 'Data Entry'!$ä$699)</f>
      </c>
      <c r="FI699">
        <f>IF(ISBLANK('Data Entry'!$å$699), "", 'Data Entry'!$å$699)</f>
      </c>
      <c r="FJ699">
        <f>IF(ISBLANK('Data Entry'!$æ$699), "", 'Data Entry'!$æ$699)</f>
      </c>
      <c r="FK699">
        <f>IF(ISBLANK('Data Entry'!$ç$699), "", 'Data Entry'!$ç$699)</f>
      </c>
      <c r="FL699">
        <f>IF(ISBLANK('Data Entry'!$è$699), "", 'Data Entry'!$è$699)</f>
      </c>
      <c r="FM699">
        <f>IF(ISBLANK('Data Entry'!$é$699), "", 'Data Entry'!$é$699)</f>
      </c>
      <c r="FN699">
        <f>IF(ISBLANK('Data Entry'!$ê$699), "", 'Data Entry'!$ê$699)</f>
      </c>
      <c r="FO699">
        <f>IF(ISBLANK('Data Entry'!$ë$699), "", 'Data Entry'!$ë$699)</f>
      </c>
      <c r="FP699">
        <f>IF(ISBLANK('Data Entry'!$ì$699), "", 'Data Entry'!$ì$699)</f>
      </c>
      <c r="FQ699">
        <f>IF(ISBLANK('Data Entry'!$í$699), "", 'Data Entry'!$í$699)</f>
      </c>
      <c r="FR699">
        <f>IF(ISBLANK('Data Entry'!$î$699), "", 'Data Entry'!$î$699)</f>
      </c>
      <c r="FS699">
        <f>IF(ISBLANK('Data Entry'!$ï$699), "", 'Data Entry'!$ï$699)</f>
      </c>
      <c r="FT699">
        <f>IF(ISBLANK('Data Entry'!$ð$699), "", 'Data Entry'!$ð$699)</f>
      </c>
      <c r="FU699">
        <f>IF(ISBLANK('Data Entry'!$ñ$699), "", 'Data Entry'!$ñ$699)</f>
      </c>
      <c r="FV699">
        <f>IF(ISBLANK('Data Entry'!$ò$699), "", 'Data Entry'!$ò$699)</f>
      </c>
      <c r="FW699">
        <f>IF(ISBLANK('Data Entry'!$ó$699), "", 'Data Entry'!$ó$699)</f>
      </c>
      <c r="FX699">
        <f>IF(ISBLANK('Data Entry'!$ô$699), "", 'Data Entry'!$ô$699)</f>
      </c>
      <c r="FY699">
        <f>IF(ISBLANK('Data Entry'!$õ$699), "", 'Data Entry'!$õ$699)</f>
      </c>
      <c r="FZ699">
        <f>IF(ISBLANK('Data Entry'!$ö$699), "", 'Data Entry'!$ö$699)</f>
      </c>
      <c r="GA699">
        <f>IF(ISBLANK('Data Entry'!$÷$699), "", 'Data Entry'!$÷$699)</f>
      </c>
      <c r="GB699">
        <f>IF(ISBLANK('Data Entry'!$ø$699), "", 'Data Entry'!$ø$699)</f>
      </c>
      <c r="GC699">
        <f>IF(ISBLANK('Data Entry'!$ù$699), "", 'Data Entry'!$ù$699)</f>
      </c>
      <c r="GD699">
        <f>IF(ISBLANK('Data Entry'!$ú$699), "", 'Data Entry'!$ú$699)</f>
      </c>
      <c r="GE699">
        <f>IF(ISBLANK('Data Entry'!$û$699), "", 'Data Entry'!$û$699)</f>
      </c>
      <c r="GF699">
        <f>IF(ISBLANK('Data Entry'!$ü$699), "", 'Data Entry'!$ü$699)</f>
      </c>
      <c r="GG699">
        <f>IF(ISBLANK('Data Entry'!$ý$699), "", 'Data Entry'!$ý$699)</f>
      </c>
      <c r="GH699">
        <f>IF(ISBLANK('Data Entry'!$þ$699), "", 'Data Entry'!$þ$699)</f>
      </c>
      <c r="GI699">
        <f>IF(ISBLANK('Data Entry'!$ÿ$699), "", 'Data Entry'!$ÿ$699)</f>
      </c>
      <c r="GJ699">
        <f>IF(ISBLANK('Data Entry'!$Ā$699), "", 'Data Entry'!$Ā$699)</f>
      </c>
      <c r="GK699">
        <f>IF(ISBLANK('Data Entry'!$ā$699), "", 'Data Entry'!$ā$699)</f>
      </c>
      <c r="GL699">
        <f>IF(ISBLANK('Data Entry'!$Ă$699), "", 'Data Entry'!$Ă$699)</f>
      </c>
      <c r="GM699">
        <f>IF(ISBLANK('Data Entry'!$ă$699), "", 'Data Entry'!$ă$699)</f>
      </c>
      <c r="GN699">
        <f>IF(ISBLANK('Data Entry'!$Ą$699), "", 'Data Entry'!$Ą$699)</f>
      </c>
      <c r="GO699">
        <f>IF(ISBLANK('Data Entry'!$ą$699), "", 'Data Entry'!$ą$699)</f>
      </c>
      <c r="GP699">
        <f>IF(ISBLANK('Data Entry'!$Ć$699), "", 'Data Entry'!$Ć$699)</f>
      </c>
      <c r="GQ699">
        <f>IF(ISBLANK('Data Entry'!$ć$699), "", 'Data Entry'!$ć$699)</f>
      </c>
      <c r="GR699">
        <f>IF(ISBLANK('Data Entry'!$Ĉ$699), "", 'Data Entry'!$Ĉ$699)</f>
      </c>
      <c r="GS699">
        <f>IF(ISBLANK('Data Entry'!$ĉ$699), "", 'Data Entry'!$ĉ$699)</f>
      </c>
      <c r="GT699">
        <f>IF(ISBLANK('Data Entry'!$Ċ$699), "", 'Data Entry'!$Ċ$699)</f>
      </c>
      <c r="GU699">
        <f>IF(ISBLANK('Data Entry'!$ċ$699), "", 'Data Entry'!$ċ$699)</f>
      </c>
      <c r="GV699">
        <f>IF(ISBLANK('Data Entry'!$Č$699), "", 'Data Entry'!$Č$699)</f>
      </c>
      <c r="GW699">
        <f>IF(ISBLANK('Data Entry'!$č$699), "", 'Data Entry'!$č$699)</f>
      </c>
      <c r="GX699">
        <f>IF(ISBLANK('Data Entry'!$Ď$699), "", 'Data Entry'!$Ď$699)</f>
      </c>
      <c r="GY699">
        <f>IF(ISBLANK('Data Entry'!$ď$699), "", 'Data Entry'!$ď$699)</f>
      </c>
      <c r="GZ699">
        <f>IF(ISBLANK('Data Entry'!$Đ$699), "", 'Data Entry'!$Đ$699)</f>
      </c>
      <c r="HA699">
        <f>IF(ISBLANK('Data Entry'!$đ$699), "", 'Data Entry'!$đ$699)</f>
      </c>
      <c r="HB699">
        <f>IF(ISBLANK('Data Entry'!$Ē$699), "", 'Data Entry'!$Ē$699)</f>
      </c>
      <c r="HC699">
        <f>IF(ISBLANK('Data Entry'!$ē$699), "", 'Data Entry'!$ē$699)</f>
      </c>
      <c r="HD699">
        <f>IF(ISBLANK('Data Entry'!$Ĕ$699), "", 'Data Entry'!$Ĕ$699)</f>
      </c>
      <c r="HE699">
        <f>IF(ISBLANK('Data Entry'!$ĕ$699), "", 'Data Entry'!$ĕ$699)</f>
      </c>
      <c r="HF699">
        <f>IF(ISBLANK('Data Entry'!$Ė$699), "", 'Data Entry'!$Ė$699)</f>
      </c>
      <c r="HG699">
        <f>IF(ISBLANK('Data Entry'!$ė$699), "", 'Data Entry'!$ė$699)</f>
      </c>
      <c r="HH699">
        <f>IF(ISBLANK('Data Entry'!$Ę$699), "", 'Data Entry'!$Ę$699)</f>
      </c>
      <c r="HI699">
        <f>IF(ISBLANK('Data Entry'!$ę$699), "", 'Data Entry'!$ę$699)</f>
      </c>
      <c r="HJ699">
        <f>IF(ISBLANK('Data Entry'!$Ě$699), "", 'Data Entry'!$Ě$699)</f>
      </c>
      <c r="HK699">
        <f>IF(ISBLANK('Data Entry'!$ě$699), "", 'Data Entry'!$ě$699)</f>
      </c>
      <c r="HL699">
        <f>IF(ISBLANK('Data Entry'!$Ĝ$699), "", 'Data Entry'!$Ĝ$699)</f>
      </c>
      <c r="HM699">
        <f>IF(ISBLANK('Data Entry'!$ĝ$699), "", 'Data Entry'!$ĝ$699)</f>
      </c>
      <c r="HN699">
        <f>IF(ISBLANK('Data Entry'!$Ğ$699), "", 'Data Entry'!$Ğ$699)</f>
      </c>
      <c r="HO699">
        <f>IF(ISBLANK('Data Entry'!$ğ$699), "", 'Data Entry'!$ğ$699)</f>
      </c>
      <c r="HP699">
        <f>IF(ISBLANK('Data Entry'!$Ġ$699), "", 'Data Entry'!$Ġ$699)</f>
      </c>
      <c r="HQ699">
        <f>IF(ISBLANK('Data Entry'!$ġ$699), "", 'Data Entry'!$ġ$699)</f>
      </c>
      <c r="HR699">
        <f>IF(ISBLANK('Data Entry'!$Ģ$699), "", 'Data Entry'!$Ģ$699)</f>
      </c>
      <c r="HS699">
        <f>IF(ISBLANK('Data Entry'!$ģ$699), "", 'Data Entry'!$ģ$699)</f>
      </c>
      <c r="HT699">
        <f>IF(ISBLANK('Data Entry'!$Ĥ$699), "", 'Data Entry'!$Ĥ$699)</f>
      </c>
      <c r="HU699">
        <f>IF(ISBLANK('Data Entry'!$ĥ$699), "", 'Data Entry'!$ĥ$699)</f>
      </c>
      <c r="HV699">
        <f>IF(ISBLANK('Data Entry'!$Ħ$699), "", 'Data Entry'!$Ħ$699)</f>
      </c>
      <c r="HW699">
        <f>IF(ISBLANK('Data Entry'!$ħ$699), "", 'Data Entry'!$ħ$699)</f>
      </c>
      <c r="HX699">
        <f>IF(ISBLANK('Data Entry'!$Ĩ$699), "", 'Data Entry'!$Ĩ$699)</f>
      </c>
      <c r="HY699">
        <f>IF(ISBLANK('Data Entry'!$ĩ$699), "", 'Data Entry'!$ĩ$699)</f>
      </c>
      <c r="HZ699">
        <f>IF(ISBLANK('Data Entry'!$Ī$699), "", 'Data Entry'!$Ī$699)</f>
      </c>
      <c r="IA699">
        <f>IF(ISBLANK('Data Entry'!$ī$699), "", 'Data Entry'!$ī$699)</f>
      </c>
      <c r="IB699">
        <f>IF(ISBLANK('Data Entry'!$Ĭ$699), "", 'Data Entry'!$Ĭ$699)</f>
      </c>
      <c r="IC699">
        <f>IF(ISBLANK('Data Entry'!$ĭ$699), "", 'Data Entry'!$ĭ$699)</f>
      </c>
      <c r="ID699">
        <f>IF(ISBLANK('Data Entry'!$Į$699), "", 'Data Entry'!$Į$699)</f>
      </c>
      <c r="IE699">
        <f>IF(ISBLANK('Data Entry'!$į$699), "", 'Data Entry'!$į$699)</f>
      </c>
      <c r="IF699">
        <f>IF(ISBLANK('Data Entry'!$İ$699), "", 'Data Entry'!$İ$699)</f>
      </c>
      <c r="IG699">
        <f>IF(ISBLANK('Data Entry'!$ı$699), "", 'Data Entry'!$ı$699)</f>
      </c>
      <c r="IH699">
        <f>IF(ISBLANK('Data Entry'!$Ĳ$699), "", 'Data Entry'!$Ĳ$699)</f>
      </c>
      <c r="II699">
        <f>IF(ISBLANK('Data Entry'!$ĳ$699), "", 'Data Entry'!$ĳ$699)</f>
      </c>
      <c r="IJ699">
        <f>IF(ISBLANK('Data Entry'!$Ĵ$699), "", 'Data Entry'!$Ĵ$699)</f>
      </c>
      <c r="IK699">
        <f>IF(ISBLANK('Data Entry'!$ĵ$699), "", 'Data Entry'!$ĵ$699)</f>
      </c>
      <c r="IL699">
        <f>IF(ISBLANK('Data Entry'!$Ķ$699), "", 'Data Entry'!$Ķ$699)</f>
      </c>
      <c r="IM699">
        <f>IF(ISBLANK('Data Entry'!$ķ$699), "", 'Data Entry'!$ķ$699)</f>
      </c>
      <c r="IN699">
        <f>IF(ISBLANK('Data Entry'!$ĸ$699), "", 'Data Entry'!$ĸ$699)</f>
      </c>
      <c r="IO699">
        <f>IF(ISBLANK('Data Entry'!$Ĺ$699), "", 'Data Entry'!$Ĺ$699)</f>
      </c>
      <c r="IP699">
        <f>IF(ISBLANK('Data Entry'!$ĺ$699), "", 'Data Entry'!$ĺ$699)</f>
      </c>
      <c r="IQ699">
        <f>IF(ISBLANK('Data Entry'!$Ļ$699), "", 'Data Entry'!$Ļ$699)</f>
      </c>
      <c r="IR699">
        <f>IF(ISBLANK('Data Entry'!$ļ$699), "", 'Data Entry'!$ļ$699)</f>
      </c>
      <c r="IS699">
        <f>IF(ISBLANK('Data Entry'!$Ľ$699), "", 'Data Entry'!$Ľ$699)</f>
      </c>
      <c r="IT699">
        <f>IF(ISBLANK('Data Entry'!$ľ$699), "", 'Data Entry'!$ľ$699)</f>
      </c>
    </row>
    <row r="700" spans="1:254" x14ac:dyDescent="0.25">
      <c r="A700">
        <f>IF(ISBLANK('Data Entry'!$A$700), "", 'Data Entry'!$A$700)</f>
      </c>
      <c r="B700">
        <f>IF(ISBLANK('Data Entry'!$B$700), "", 'Data Entry'!$B$700)</f>
      </c>
      <c r="C700">
        <f>IF(ISBLANK('Data Entry'!$C$700), "", 'Data Entry'!$C$700)</f>
      </c>
      <c r="D700">
        <f>IF(ISBLANK('Data Entry'!$D$700), "", 'Data Entry'!$D$700)</f>
      </c>
      <c r="E700">
        <f>IF(ISBLANK('Data Entry'!$E$700), "", 'Data Entry'!$E$700)</f>
      </c>
      <c r="F700">
        <f>IF(ISBLANK('Data Entry'!$F$700), "", 'Data Entry'!$F$700)</f>
      </c>
      <c r="G700">
        <f>IF(ISBLANK('Data Entry'!$G$700), "", 'Data Entry'!$G$700)</f>
      </c>
      <c r="H700">
        <f>IF(ISBLANK('Data Entry'!$H$700), "", 'Data Entry'!$H$700)</f>
      </c>
      <c r="I700">
        <f>IF(ISBLANK('Data Entry'!$I$700), "", 'Data Entry'!$I$700)</f>
      </c>
      <c r="J700">
        <f>IF(ISBLANK('Data Entry'!$J$700), "", 'Data Entry'!$J$700)</f>
      </c>
      <c r="K700">
        <f>IF(ISBLANK('Data Entry'!$K$700), "", 'Data Entry'!$K$700)</f>
      </c>
      <c r="L700">
        <f>IF(ISBLANK('Data Entry'!$L$700), "", 'Data Entry'!$L$700)</f>
      </c>
      <c r="M700">
        <f>IF(ISBLANK('Data Entry'!$M$700), "", 'Data Entry'!$M$700)</f>
      </c>
      <c r="N700">
        <f>IF(ISBLANK('Data Entry'!$N$700), "", 'Data Entry'!$N$700)</f>
      </c>
      <c r="O700">
        <f>IF(ISBLANK('Data Entry'!$O$700), "", 'Data Entry'!$O$700)</f>
      </c>
      <c r="P700">
        <f>IF(ISBLANK('Data Entry'!$P$700), "", 'Data Entry'!$P$700)</f>
      </c>
      <c r="Q700">
        <f>IF(ISBLANK('Data Entry'!$Q$700), "", 'Data Entry'!$Q$700)</f>
      </c>
      <c r="R700">
        <f>IF(ISBLANK('Data Entry'!$R$700), "", 'Data Entry'!$R$700)</f>
      </c>
      <c r="S700">
        <f>IF(ISBLANK('Data Entry'!$S$700), "", 'Data Entry'!$S$700)</f>
      </c>
      <c r="T700">
        <f>IF(ISBLANK('Data Entry'!$T$700), "", 'Data Entry'!$T$700)</f>
      </c>
      <c r="U700">
        <f>IF(ISBLANK('Data Entry'!$U$700), "", 'Data Entry'!$U$700)</f>
      </c>
      <c r="V700">
        <f>IF(ISBLANK('Data Entry'!$V$700), "", 'Data Entry'!$V$700)</f>
      </c>
      <c r="W700">
        <f>IF(ISBLANK('Data Entry'!$W$700), "", 'Data Entry'!$W$700)</f>
      </c>
      <c r="X700">
        <f>IF(ISBLANK('Data Entry'!$X$700), "", 'Data Entry'!$X$700)</f>
      </c>
      <c r="Y700">
        <f>IF(ISBLANK('Data Entry'!$Y$700), "", 'Data Entry'!$Y$700)</f>
      </c>
      <c r="Z700">
        <f>IF(ISBLANK('Data Entry'!$Z$700), "", 'Data Entry'!$Z$700)</f>
      </c>
      <c r="AA700">
        <f>IF(ISBLANK('Data Entry'!$[$700), "", 'Data Entry'!$[$700)</f>
      </c>
      <c r="AB700">
        <f>IF(ISBLANK('Data Entry'!$\$700), "", 'Data Entry'!$\$700)</f>
      </c>
      <c r="AC700">
        <f>IF(ISBLANK('Data Entry'!$]$700), "", 'Data Entry'!$]$700)</f>
      </c>
      <c r="AD700">
        <f>IF(ISBLANK('Data Entry'!$^$700), "", 'Data Entry'!$^$700)</f>
      </c>
      <c r="AE700">
        <f>IF(ISBLANK('Data Entry'!$_$700), "", 'Data Entry'!$_$700)</f>
      </c>
      <c r="AF700">
        <f>IF(ISBLANK('Data Entry'!$`$700), "", 'Data Entry'!$`$700)</f>
      </c>
      <c r="AG700">
        <f>IF(ISBLANK('Data Entry'!$a$700), "", 'Data Entry'!$a$700)</f>
      </c>
      <c r="AH700">
        <f>IF(ISBLANK('Data Entry'!$b$700), "", 'Data Entry'!$b$700)</f>
      </c>
      <c r="AI700">
        <f>IF(ISBLANK('Data Entry'!$c$700), "", 'Data Entry'!$c$700)</f>
      </c>
      <c r="AJ700">
        <f>IF(ISBLANK('Data Entry'!$d$700), "", 'Data Entry'!$d$700)</f>
      </c>
      <c r="AK700">
        <f>IF(ISBLANK('Data Entry'!$e$700), "", 'Data Entry'!$e$700)</f>
      </c>
      <c r="AL700">
        <f>IF(ISBLANK('Data Entry'!$f$700), "", 'Data Entry'!$f$700)</f>
      </c>
      <c r="AM700">
        <f>IF(ISBLANK('Data Entry'!$g$700), "", 'Data Entry'!$g$700)</f>
      </c>
      <c r="AN700">
        <f>IF(ISBLANK('Data Entry'!$h$700), "", 'Data Entry'!$h$700)</f>
      </c>
      <c r="AO700">
        <f>IF(ISBLANK('Data Entry'!$i$700), "", 'Data Entry'!$i$700)</f>
      </c>
      <c r="AP700">
        <f>IF(ISBLANK('Data Entry'!$j$700), "", 'Data Entry'!$j$700)</f>
      </c>
      <c r="AQ700">
        <f>IF(ISBLANK('Data Entry'!$k$700), "", 'Data Entry'!$k$700)</f>
      </c>
      <c r="AR700">
        <f>IF(ISBLANK('Data Entry'!$l$700), "", 'Data Entry'!$l$700)</f>
      </c>
      <c r="AS700">
        <f>IF(ISBLANK('Data Entry'!$m$700), "", 'Data Entry'!$m$700)</f>
      </c>
      <c r="AT700">
        <f>IF(ISBLANK('Data Entry'!$n$700), "", 'Data Entry'!$n$700)</f>
      </c>
      <c r="AU700">
        <f>IF(ISBLANK('Data Entry'!$o$700), "", 'Data Entry'!$o$700)</f>
      </c>
      <c r="AV700">
        <f>IF(ISBLANK('Data Entry'!$p$700), "", 'Data Entry'!$p$700)</f>
      </c>
      <c r="AW700">
        <f>IF(ISBLANK('Data Entry'!$q$700), "", 'Data Entry'!$q$700)</f>
      </c>
      <c r="AX700">
        <f>IF(ISBLANK('Data Entry'!$r$700), "", 'Data Entry'!$r$700)</f>
      </c>
      <c r="AY700">
        <f>IF(ISBLANK('Data Entry'!$s$700), "", 'Data Entry'!$s$700)</f>
      </c>
      <c r="AZ700">
        <f>IF(ISBLANK('Data Entry'!$t$700), "", 'Data Entry'!$t$700)</f>
      </c>
      <c r="BA700">
        <f>IF(ISBLANK('Data Entry'!$u$700), "", 'Data Entry'!$u$700)</f>
      </c>
      <c r="BB700">
        <f>IF(ISBLANK('Data Entry'!$v$700), "", 'Data Entry'!$v$700)</f>
      </c>
      <c r="BC700">
        <f>IF(ISBLANK('Data Entry'!$w$700), "", 'Data Entry'!$w$700)</f>
      </c>
      <c r="BD700">
        <f>IF(ISBLANK('Data Entry'!$x$700), "", 'Data Entry'!$x$700)</f>
      </c>
      <c r="BE700">
        <f>IF(ISBLANK('Data Entry'!$y$700), "", 'Data Entry'!$y$700)</f>
      </c>
      <c r="BF700">
        <f>IF(ISBLANK('Data Entry'!$z$700), "", 'Data Entry'!$z$700)</f>
      </c>
      <c r="BG700">
        <f>IF(ISBLANK('Data Entry'!${$700), "", 'Data Entry'!${$700)</f>
      </c>
      <c r="BH700">
        <f>IF(ISBLANK('Data Entry'!$|$700), "", 'Data Entry'!$|$700)</f>
      </c>
      <c r="BI700">
        <f>IF(ISBLANK('Data Entry'!$}$700), "", 'Data Entry'!$}$700)</f>
      </c>
      <c r="BJ700">
        <f>IF(ISBLANK('Data Entry'!$~$700), "", 'Data Entry'!$~$700)</f>
      </c>
      <c r="BK700">
        <f>IF(ISBLANK('Data Entry'!$$700), "", 'Data Entry'!$$700)</f>
      </c>
      <c r="BL700">
        <f>IF(ISBLANK('Data Entry'!$$700), "", 'Data Entry'!$$700)</f>
      </c>
      <c r="BM700">
        <f>IF(ISBLANK('Data Entry'!$$700), "", 'Data Entry'!$$700)</f>
      </c>
      <c r="BN700">
        <f>IF(ISBLANK('Data Entry'!$$700), "", 'Data Entry'!$$700)</f>
      </c>
      <c r="BO700">
        <f>IF(ISBLANK('Data Entry'!$$700), "", 'Data Entry'!$$700)</f>
      </c>
      <c r="BP700">
        <f>IF(ISBLANK('Data Entry'!$$700), "", 'Data Entry'!$$700)</f>
      </c>
      <c r="BQ700">
        <f>IF(ISBLANK('Data Entry'!$$700), "", 'Data Entry'!$$700)</f>
      </c>
      <c r="BR700">
        <f>IF(ISBLANK('Data Entry'!$$700), "", 'Data Entry'!$$700)</f>
      </c>
      <c r="BS700">
        <f>IF(ISBLANK('Data Entry'!$$700), "", 'Data Entry'!$$700)</f>
      </c>
      <c r="BT700">
        <f>IF(ISBLANK('Data Entry'!$$700), "", 'Data Entry'!$$700)</f>
      </c>
      <c r="BU700">
        <f>IF(ISBLANK('Data Entry'!$$700), "", 'Data Entry'!$$700)</f>
      </c>
      <c r="BV700">
        <f>IF(ISBLANK('Data Entry'!$$700), "", 'Data Entry'!$$700)</f>
      </c>
      <c r="BW700">
        <f>IF(ISBLANK('Data Entry'!$$700), "", 'Data Entry'!$$700)</f>
      </c>
      <c r="BX700">
        <f>IF(ISBLANK('Data Entry'!$$700), "", 'Data Entry'!$$700)</f>
      </c>
      <c r="BY700">
        <f>IF(ISBLANK('Data Entry'!$$700), "", 'Data Entry'!$$700)</f>
      </c>
      <c r="BZ700">
        <f>IF(ISBLANK('Data Entry'!$$700), "", 'Data Entry'!$$700)</f>
      </c>
      <c r="CA700">
        <f>IF(ISBLANK('Data Entry'!$$700), "", 'Data Entry'!$$700)</f>
      </c>
      <c r="CB700">
        <f>IF(ISBLANK('Data Entry'!$$700), "", 'Data Entry'!$$700)</f>
      </c>
      <c r="CC700">
        <f>IF(ISBLANK('Data Entry'!$$700), "", 'Data Entry'!$$700)</f>
      </c>
      <c r="CD700">
        <f>IF(ISBLANK('Data Entry'!$$700), "", 'Data Entry'!$$700)</f>
      </c>
      <c r="CE700">
        <f>IF(ISBLANK('Data Entry'!$$700), "", 'Data Entry'!$$700)</f>
      </c>
      <c r="CF700">
        <f>IF(ISBLANK('Data Entry'!$$700), "", 'Data Entry'!$$700)</f>
      </c>
      <c r="CG700">
        <f>IF(ISBLANK('Data Entry'!$$700), "", 'Data Entry'!$$700)</f>
      </c>
      <c r="CH700">
        <f>IF(ISBLANK('Data Entry'!$$700), "", 'Data Entry'!$$700)</f>
      </c>
      <c r="CI700">
        <f>IF(ISBLANK('Data Entry'!$$700), "", 'Data Entry'!$$700)</f>
      </c>
      <c r="CJ700">
        <f>IF(ISBLANK('Data Entry'!$$700), "", 'Data Entry'!$$700)</f>
      </c>
      <c r="CK700">
        <f>IF(ISBLANK('Data Entry'!$$700), "", 'Data Entry'!$$700)</f>
      </c>
      <c r="CL700">
        <f>IF(ISBLANK('Data Entry'!$$700), "", 'Data Entry'!$$700)</f>
      </c>
      <c r="CM700">
        <f>IF(ISBLANK('Data Entry'!$$700), "", 'Data Entry'!$$700)</f>
      </c>
      <c r="CN700">
        <f>IF(ISBLANK('Data Entry'!$$700), "", 'Data Entry'!$$700)</f>
      </c>
      <c r="CO700">
        <f>IF(ISBLANK('Data Entry'!$$700), "", 'Data Entry'!$$700)</f>
      </c>
      <c r="CP700">
        <f>IF(ISBLANK('Data Entry'!$$700), "", 'Data Entry'!$$700)</f>
      </c>
      <c r="CQ700">
        <f>IF(ISBLANK('Data Entry'!$$700), "", 'Data Entry'!$$700)</f>
      </c>
      <c r="CR700">
        <f>IF(ISBLANK('Data Entry'!$ $700), "", 'Data Entry'!$ $700)</f>
      </c>
      <c r="CS700">
        <f>IF(ISBLANK('Data Entry'!$¡$700), "", 'Data Entry'!$¡$700)</f>
      </c>
      <c r="CT700">
        <f>IF(ISBLANK('Data Entry'!$¢$700), "", 'Data Entry'!$¢$700)</f>
      </c>
      <c r="CU700">
        <f>IF(ISBLANK('Data Entry'!$£$700), "", 'Data Entry'!$£$700)</f>
      </c>
      <c r="CV700">
        <f>IF(ISBLANK('Data Entry'!$¤$700), "", 'Data Entry'!$¤$700)</f>
      </c>
      <c r="CW700">
        <f>IF(ISBLANK('Data Entry'!$¥$700), "", 'Data Entry'!$¥$700)</f>
      </c>
      <c r="CX700">
        <f>IF(ISBLANK('Data Entry'!$¦$700), "", 'Data Entry'!$¦$700)</f>
      </c>
      <c r="CY700">
        <f>IF(ISBLANK('Data Entry'!$§$700), "", 'Data Entry'!$§$700)</f>
      </c>
      <c r="CZ700">
        <f>IF(ISBLANK('Data Entry'!$¨$700), "", 'Data Entry'!$¨$700)</f>
      </c>
      <c r="DA700">
        <f>IF(ISBLANK('Data Entry'!$©$700), "", 'Data Entry'!$©$700)</f>
      </c>
      <c r="DB700">
        <f>IF(ISBLANK('Data Entry'!$ª$700), "", 'Data Entry'!$ª$700)</f>
      </c>
      <c r="DC700">
        <f>IF(ISBLANK('Data Entry'!$«$700), "", 'Data Entry'!$«$700)</f>
      </c>
      <c r="DD700">
        <f>IF(ISBLANK('Data Entry'!$¬$700), "", 'Data Entry'!$¬$700)</f>
      </c>
      <c r="DE700">
        <f>IF(ISBLANK('Data Entry'!$­$700), "", 'Data Entry'!$­$700)</f>
      </c>
      <c r="DF700">
        <f>IF(ISBLANK('Data Entry'!$®$700), "", 'Data Entry'!$®$700)</f>
      </c>
      <c r="DG700">
        <f>IF(ISBLANK('Data Entry'!$¯$700), "", 'Data Entry'!$¯$700)</f>
      </c>
      <c r="DH700">
        <f>IF(ISBLANK('Data Entry'!$°$700), "", 'Data Entry'!$°$700)</f>
      </c>
      <c r="DI700">
        <f>IF(ISBLANK('Data Entry'!$±$700), "", 'Data Entry'!$±$700)</f>
      </c>
      <c r="DJ700">
        <f>IF(ISBLANK('Data Entry'!$²$700), "", 'Data Entry'!$²$700)</f>
      </c>
      <c r="DK700">
        <f>IF(ISBLANK('Data Entry'!$³$700), "", 'Data Entry'!$³$700)</f>
      </c>
      <c r="DL700">
        <f>IF(ISBLANK('Data Entry'!$´$700), "", 'Data Entry'!$´$700)</f>
      </c>
      <c r="DM700">
        <f>IF(ISBLANK('Data Entry'!$µ$700), "", 'Data Entry'!$µ$700)</f>
      </c>
      <c r="DN700">
        <f>IF(ISBLANK('Data Entry'!$¶$700), "", 'Data Entry'!$¶$700)</f>
      </c>
      <c r="DO700">
        <f>IF(ISBLANK('Data Entry'!$·$700), "", 'Data Entry'!$·$700)</f>
      </c>
      <c r="DP700">
        <f>IF(ISBLANK('Data Entry'!$¸$700), "", 'Data Entry'!$¸$700)</f>
      </c>
      <c r="DQ700">
        <f>IF(ISBLANK('Data Entry'!$¹$700), "", 'Data Entry'!$¹$700)</f>
      </c>
      <c r="DR700">
        <f>IF(ISBLANK('Data Entry'!$º$700), "", 'Data Entry'!$º$700)</f>
      </c>
      <c r="DS700">
        <f>IF(ISBLANK('Data Entry'!$»$700), "", 'Data Entry'!$»$700)</f>
      </c>
      <c r="DT700">
        <f>IF(ISBLANK('Data Entry'!$¼$700), "", 'Data Entry'!$¼$700)</f>
      </c>
      <c r="DU700">
        <f>IF(ISBLANK('Data Entry'!$½$700), "", 'Data Entry'!$½$700)</f>
      </c>
      <c r="DV700">
        <f>IF(ISBLANK('Data Entry'!$¾$700), "", 'Data Entry'!$¾$700)</f>
      </c>
      <c r="DW700">
        <f>IF(ISBLANK('Data Entry'!$¿$700), "", 'Data Entry'!$¿$700)</f>
      </c>
      <c r="DX700">
        <f>IF(ISBLANK('Data Entry'!$À$700), "", 'Data Entry'!$À$700)</f>
      </c>
      <c r="DY700">
        <f>IF(ISBLANK('Data Entry'!$Á$700), "", 'Data Entry'!$Á$700)</f>
      </c>
      <c r="DZ700">
        <f>IF(ISBLANK('Data Entry'!$Â$700), "", 'Data Entry'!$Â$700)</f>
      </c>
      <c r="EA700">
        <f>IF(ISBLANK('Data Entry'!$Ã$700), "", 'Data Entry'!$Ã$700)</f>
      </c>
      <c r="EB700">
        <f>IF(ISBLANK('Data Entry'!$Ä$700), "", 'Data Entry'!$Ä$700)</f>
      </c>
      <c r="EC700">
        <f>IF(ISBLANK('Data Entry'!$Å$700), "", 'Data Entry'!$Å$700)</f>
      </c>
      <c r="ED700">
        <f>IF(ISBLANK('Data Entry'!$Æ$700), "", 'Data Entry'!$Æ$700)</f>
      </c>
      <c r="EE700">
        <f>IF(ISBLANK('Data Entry'!$Ç$700), "", 'Data Entry'!$Ç$700)</f>
      </c>
      <c r="EF700">
        <f>IF(ISBLANK('Data Entry'!$È$700), "", 'Data Entry'!$È$700)</f>
      </c>
      <c r="EG700">
        <f>IF(ISBLANK('Data Entry'!$É$700), "", 'Data Entry'!$É$700)</f>
      </c>
      <c r="EH700">
        <f>IF(ISBLANK('Data Entry'!$Ê$700), "", 'Data Entry'!$Ê$700)</f>
      </c>
      <c r="EI700">
        <f>IF(ISBLANK('Data Entry'!$Ë$700), "", 'Data Entry'!$Ë$700)</f>
      </c>
      <c r="EJ700">
        <f>IF(ISBLANK('Data Entry'!$Ì$700), "", 'Data Entry'!$Ì$700)</f>
      </c>
      <c r="EK700">
        <f>IF(ISBLANK('Data Entry'!$Í$700), "", 'Data Entry'!$Í$700)</f>
      </c>
      <c r="EL700">
        <f>IF(ISBLANK('Data Entry'!$Î$700), "", 'Data Entry'!$Î$700)</f>
      </c>
      <c r="EM700">
        <f>IF(ISBLANK('Data Entry'!$Ï$700), "", 'Data Entry'!$Ï$700)</f>
      </c>
      <c r="EN700">
        <f>IF(ISBLANK('Data Entry'!$Ð$700), "", 'Data Entry'!$Ð$700)</f>
      </c>
      <c r="EO700">
        <f>IF(ISBLANK('Data Entry'!$Ñ$700), "", 'Data Entry'!$Ñ$700)</f>
      </c>
      <c r="EP700">
        <f>IF(ISBLANK('Data Entry'!$Ò$700), "", 'Data Entry'!$Ò$700)</f>
      </c>
      <c r="EQ700">
        <f>IF(ISBLANK('Data Entry'!$Ó$700), "", 'Data Entry'!$Ó$700)</f>
      </c>
      <c r="ER700">
        <f>IF(ISBLANK('Data Entry'!$Ô$700), "", 'Data Entry'!$Ô$700)</f>
      </c>
      <c r="ES700">
        <f>IF(ISBLANK('Data Entry'!$Õ$700), "", 'Data Entry'!$Õ$700)</f>
      </c>
      <c r="ET700">
        <f>IF(ISBLANK('Data Entry'!$Ö$700), "", 'Data Entry'!$Ö$700)</f>
      </c>
      <c r="EU700">
        <f>IF(ISBLANK('Data Entry'!$×$700), "", 'Data Entry'!$×$700)</f>
      </c>
      <c r="EV700">
        <f>IF(ISBLANK('Data Entry'!$Ø$700), "", 'Data Entry'!$Ø$700)</f>
      </c>
      <c r="EW700">
        <f>IF(ISBLANK('Data Entry'!$Ù$700), "", 'Data Entry'!$Ù$700)</f>
      </c>
      <c r="EX700">
        <f>IF(ISBLANK('Data Entry'!$Ú$700), "", 'Data Entry'!$Ú$700)</f>
      </c>
      <c r="EY700">
        <f>IF(ISBLANK('Data Entry'!$Û$700), "", 'Data Entry'!$Û$700)</f>
      </c>
      <c r="EZ700">
        <f>IF(ISBLANK('Data Entry'!$Ü$700), "", 'Data Entry'!$Ü$700)</f>
      </c>
      <c r="FA700">
        <f>IF(ISBLANK('Data Entry'!$Ý$700), "", 'Data Entry'!$Ý$700)</f>
      </c>
      <c r="FB700">
        <f>IF(ISBLANK('Data Entry'!$Þ$700), "", 'Data Entry'!$Þ$700)</f>
      </c>
      <c r="FC700">
        <f>IF(ISBLANK('Data Entry'!$ß$700), "", 'Data Entry'!$ß$700)</f>
      </c>
      <c r="FD700">
        <f>IF(ISBLANK('Data Entry'!$à$700), "", 'Data Entry'!$à$700)</f>
      </c>
      <c r="FE700">
        <f>IF(ISBLANK('Data Entry'!$á$700), "", 'Data Entry'!$á$700)</f>
      </c>
      <c r="FF700">
        <f>IF(ISBLANK('Data Entry'!$â$700), "", 'Data Entry'!$â$700)</f>
      </c>
      <c r="FG700">
        <f>IF(ISBLANK('Data Entry'!$ã$700), "", 'Data Entry'!$ã$700)</f>
      </c>
      <c r="FH700">
        <f>IF(ISBLANK('Data Entry'!$ä$700), "", 'Data Entry'!$ä$700)</f>
      </c>
      <c r="FI700">
        <f>IF(ISBLANK('Data Entry'!$å$700), "", 'Data Entry'!$å$700)</f>
      </c>
      <c r="FJ700">
        <f>IF(ISBLANK('Data Entry'!$æ$700), "", 'Data Entry'!$æ$700)</f>
      </c>
      <c r="FK700">
        <f>IF(ISBLANK('Data Entry'!$ç$700), "", 'Data Entry'!$ç$700)</f>
      </c>
      <c r="FL700">
        <f>IF(ISBLANK('Data Entry'!$è$700), "", 'Data Entry'!$è$700)</f>
      </c>
      <c r="FM700">
        <f>IF(ISBLANK('Data Entry'!$é$700), "", 'Data Entry'!$é$700)</f>
      </c>
      <c r="FN700">
        <f>IF(ISBLANK('Data Entry'!$ê$700), "", 'Data Entry'!$ê$700)</f>
      </c>
      <c r="FO700">
        <f>IF(ISBLANK('Data Entry'!$ë$700), "", 'Data Entry'!$ë$700)</f>
      </c>
      <c r="FP700">
        <f>IF(ISBLANK('Data Entry'!$ì$700), "", 'Data Entry'!$ì$700)</f>
      </c>
      <c r="FQ700">
        <f>IF(ISBLANK('Data Entry'!$í$700), "", 'Data Entry'!$í$700)</f>
      </c>
      <c r="FR700">
        <f>IF(ISBLANK('Data Entry'!$î$700), "", 'Data Entry'!$î$700)</f>
      </c>
      <c r="FS700">
        <f>IF(ISBLANK('Data Entry'!$ï$700), "", 'Data Entry'!$ï$700)</f>
      </c>
      <c r="FT700">
        <f>IF(ISBLANK('Data Entry'!$ð$700), "", 'Data Entry'!$ð$700)</f>
      </c>
      <c r="FU700">
        <f>IF(ISBLANK('Data Entry'!$ñ$700), "", 'Data Entry'!$ñ$700)</f>
      </c>
      <c r="FV700">
        <f>IF(ISBLANK('Data Entry'!$ò$700), "", 'Data Entry'!$ò$700)</f>
      </c>
      <c r="FW700">
        <f>IF(ISBLANK('Data Entry'!$ó$700), "", 'Data Entry'!$ó$700)</f>
      </c>
      <c r="FX700">
        <f>IF(ISBLANK('Data Entry'!$ô$700), "", 'Data Entry'!$ô$700)</f>
      </c>
      <c r="FY700">
        <f>IF(ISBLANK('Data Entry'!$õ$700), "", 'Data Entry'!$õ$700)</f>
      </c>
      <c r="FZ700">
        <f>IF(ISBLANK('Data Entry'!$ö$700), "", 'Data Entry'!$ö$700)</f>
      </c>
      <c r="GA700">
        <f>IF(ISBLANK('Data Entry'!$÷$700), "", 'Data Entry'!$÷$700)</f>
      </c>
      <c r="GB700">
        <f>IF(ISBLANK('Data Entry'!$ø$700), "", 'Data Entry'!$ø$700)</f>
      </c>
      <c r="GC700">
        <f>IF(ISBLANK('Data Entry'!$ù$700), "", 'Data Entry'!$ù$700)</f>
      </c>
      <c r="GD700">
        <f>IF(ISBLANK('Data Entry'!$ú$700), "", 'Data Entry'!$ú$700)</f>
      </c>
      <c r="GE700">
        <f>IF(ISBLANK('Data Entry'!$û$700), "", 'Data Entry'!$û$700)</f>
      </c>
      <c r="GF700">
        <f>IF(ISBLANK('Data Entry'!$ü$700), "", 'Data Entry'!$ü$700)</f>
      </c>
      <c r="GG700">
        <f>IF(ISBLANK('Data Entry'!$ý$700), "", 'Data Entry'!$ý$700)</f>
      </c>
      <c r="GH700">
        <f>IF(ISBLANK('Data Entry'!$þ$700), "", 'Data Entry'!$þ$700)</f>
      </c>
      <c r="GI700">
        <f>IF(ISBLANK('Data Entry'!$ÿ$700), "", 'Data Entry'!$ÿ$700)</f>
      </c>
      <c r="GJ700">
        <f>IF(ISBLANK('Data Entry'!$Ā$700), "", 'Data Entry'!$Ā$700)</f>
      </c>
      <c r="GK700">
        <f>IF(ISBLANK('Data Entry'!$ā$700), "", 'Data Entry'!$ā$700)</f>
      </c>
      <c r="GL700">
        <f>IF(ISBLANK('Data Entry'!$Ă$700), "", 'Data Entry'!$Ă$700)</f>
      </c>
      <c r="GM700">
        <f>IF(ISBLANK('Data Entry'!$ă$700), "", 'Data Entry'!$ă$700)</f>
      </c>
      <c r="GN700">
        <f>IF(ISBLANK('Data Entry'!$Ą$700), "", 'Data Entry'!$Ą$700)</f>
      </c>
      <c r="GO700">
        <f>IF(ISBLANK('Data Entry'!$ą$700), "", 'Data Entry'!$ą$700)</f>
      </c>
      <c r="GP700">
        <f>IF(ISBLANK('Data Entry'!$Ć$700), "", 'Data Entry'!$Ć$700)</f>
      </c>
      <c r="GQ700">
        <f>IF(ISBLANK('Data Entry'!$ć$700), "", 'Data Entry'!$ć$700)</f>
      </c>
      <c r="GR700">
        <f>IF(ISBLANK('Data Entry'!$Ĉ$700), "", 'Data Entry'!$Ĉ$700)</f>
      </c>
      <c r="GS700">
        <f>IF(ISBLANK('Data Entry'!$ĉ$700), "", 'Data Entry'!$ĉ$700)</f>
      </c>
      <c r="GT700">
        <f>IF(ISBLANK('Data Entry'!$Ċ$700), "", 'Data Entry'!$Ċ$700)</f>
      </c>
      <c r="GU700">
        <f>IF(ISBLANK('Data Entry'!$ċ$700), "", 'Data Entry'!$ċ$700)</f>
      </c>
      <c r="GV700">
        <f>IF(ISBLANK('Data Entry'!$Č$700), "", 'Data Entry'!$Č$700)</f>
      </c>
      <c r="GW700">
        <f>IF(ISBLANK('Data Entry'!$č$700), "", 'Data Entry'!$č$700)</f>
      </c>
      <c r="GX700">
        <f>IF(ISBLANK('Data Entry'!$Ď$700), "", 'Data Entry'!$Ď$700)</f>
      </c>
      <c r="GY700">
        <f>IF(ISBLANK('Data Entry'!$ď$700), "", 'Data Entry'!$ď$700)</f>
      </c>
      <c r="GZ700">
        <f>IF(ISBLANK('Data Entry'!$Đ$700), "", 'Data Entry'!$Đ$700)</f>
      </c>
      <c r="HA700">
        <f>IF(ISBLANK('Data Entry'!$đ$700), "", 'Data Entry'!$đ$700)</f>
      </c>
      <c r="HB700">
        <f>IF(ISBLANK('Data Entry'!$Ē$700), "", 'Data Entry'!$Ē$700)</f>
      </c>
      <c r="HC700">
        <f>IF(ISBLANK('Data Entry'!$ē$700), "", 'Data Entry'!$ē$700)</f>
      </c>
      <c r="HD700">
        <f>IF(ISBLANK('Data Entry'!$Ĕ$700), "", 'Data Entry'!$Ĕ$700)</f>
      </c>
      <c r="HE700">
        <f>IF(ISBLANK('Data Entry'!$ĕ$700), "", 'Data Entry'!$ĕ$700)</f>
      </c>
      <c r="HF700">
        <f>IF(ISBLANK('Data Entry'!$Ė$700), "", 'Data Entry'!$Ė$700)</f>
      </c>
      <c r="HG700">
        <f>IF(ISBLANK('Data Entry'!$ė$700), "", 'Data Entry'!$ė$700)</f>
      </c>
      <c r="HH700">
        <f>IF(ISBLANK('Data Entry'!$Ę$700), "", 'Data Entry'!$Ę$700)</f>
      </c>
      <c r="HI700">
        <f>IF(ISBLANK('Data Entry'!$ę$700), "", 'Data Entry'!$ę$700)</f>
      </c>
      <c r="HJ700">
        <f>IF(ISBLANK('Data Entry'!$Ě$700), "", 'Data Entry'!$Ě$700)</f>
      </c>
      <c r="HK700">
        <f>IF(ISBLANK('Data Entry'!$ě$700), "", 'Data Entry'!$ě$700)</f>
      </c>
      <c r="HL700">
        <f>IF(ISBLANK('Data Entry'!$Ĝ$700), "", 'Data Entry'!$Ĝ$700)</f>
      </c>
      <c r="HM700">
        <f>IF(ISBLANK('Data Entry'!$ĝ$700), "", 'Data Entry'!$ĝ$700)</f>
      </c>
      <c r="HN700">
        <f>IF(ISBLANK('Data Entry'!$Ğ$700), "", 'Data Entry'!$Ğ$700)</f>
      </c>
      <c r="HO700">
        <f>IF(ISBLANK('Data Entry'!$ğ$700), "", 'Data Entry'!$ğ$700)</f>
      </c>
      <c r="HP700">
        <f>IF(ISBLANK('Data Entry'!$Ġ$700), "", 'Data Entry'!$Ġ$700)</f>
      </c>
      <c r="HQ700">
        <f>IF(ISBLANK('Data Entry'!$ġ$700), "", 'Data Entry'!$ġ$700)</f>
      </c>
      <c r="HR700">
        <f>IF(ISBLANK('Data Entry'!$Ģ$700), "", 'Data Entry'!$Ģ$700)</f>
      </c>
      <c r="HS700">
        <f>IF(ISBLANK('Data Entry'!$ģ$700), "", 'Data Entry'!$ģ$700)</f>
      </c>
      <c r="HT700">
        <f>IF(ISBLANK('Data Entry'!$Ĥ$700), "", 'Data Entry'!$Ĥ$700)</f>
      </c>
      <c r="HU700">
        <f>IF(ISBLANK('Data Entry'!$ĥ$700), "", 'Data Entry'!$ĥ$700)</f>
      </c>
      <c r="HV700">
        <f>IF(ISBLANK('Data Entry'!$Ħ$700), "", 'Data Entry'!$Ħ$700)</f>
      </c>
      <c r="HW700">
        <f>IF(ISBLANK('Data Entry'!$ħ$700), "", 'Data Entry'!$ħ$700)</f>
      </c>
      <c r="HX700">
        <f>IF(ISBLANK('Data Entry'!$Ĩ$700), "", 'Data Entry'!$Ĩ$700)</f>
      </c>
      <c r="HY700">
        <f>IF(ISBLANK('Data Entry'!$ĩ$700), "", 'Data Entry'!$ĩ$700)</f>
      </c>
      <c r="HZ700">
        <f>IF(ISBLANK('Data Entry'!$Ī$700), "", 'Data Entry'!$Ī$700)</f>
      </c>
      <c r="IA700">
        <f>IF(ISBLANK('Data Entry'!$ī$700), "", 'Data Entry'!$ī$700)</f>
      </c>
      <c r="IB700">
        <f>IF(ISBLANK('Data Entry'!$Ĭ$700), "", 'Data Entry'!$Ĭ$700)</f>
      </c>
      <c r="IC700">
        <f>IF(ISBLANK('Data Entry'!$ĭ$700), "", 'Data Entry'!$ĭ$700)</f>
      </c>
      <c r="ID700">
        <f>IF(ISBLANK('Data Entry'!$Į$700), "", 'Data Entry'!$Į$700)</f>
      </c>
      <c r="IE700">
        <f>IF(ISBLANK('Data Entry'!$į$700), "", 'Data Entry'!$į$700)</f>
      </c>
      <c r="IF700">
        <f>IF(ISBLANK('Data Entry'!$İ$700), "", 'Data Entry'!$İ$700)</f>
      </c>
      <c r="IG700">
        <f>IF(ISBLANK('Data Entry'!$ı$700), "", 'Data Entry'!$ı$700)</f>
      </c>
      <c r="IH700">
        <f>IF(ISBLANK('Data Entry'!$Ĳ$700), "", 'Data Entry'!$Ĳ$700)</f>
      </c>
      <c r="II700">
        <f>IF(ISBLANK('Data Entry'!$ĳ$700), "", 'Data Entry'!$ĳ$700)</f>
      </c>
      <c r="IJ700">
        <f>IF(ISBLANK('Data Entry'!$Ĵ$700), "", 'Data Entry'!$Ĵ$700)</f>
      </c>
      <c r="IK700">
        <f>IF(ISBLANK('Data Entry'!$ĵ$700), "", 'Data Entry'!$ĵ$700)</f>
      </c>
      <c r="IL700">
        <f>IF(ISBLANK('Data Entry'!$Ķ$700), "", 'Data Entry'!$Ķ$700)</f>
      </c>
      <c r="IM700">
        <f>IF(ISBLANK('Data Entry'!$ķ$700), "", 'Data Entry'!$ķ$700)</f>
      </c>
      <c r="IN700">
        <f>IF(ISBLANK('Data Entry'!$ĸ$700), "", 'Data Entry'!$ĸ$700)</f>
      </c>
      <c r="IO700">
        <f>IF(ISBLANK('Data Entry'!$Ĺ$700), "", 'Data Entry'!$Ĺ$700)</f>
      </c>
      <c r="IP700">
        <f>IF(ISBLANK('Data Entry'!$ĺ$700), "", 'Data Entry'!$ĺ$700)</f>
      </c>
      <c r="IQ700">
        <f>IF(ISBLANK('Data Entry'!$Ļ$700), "", 'Data Entry'!$Ļ$700)</f>
      </c>
      <c r="IR700">
        <f>IF(ISBLANK('Data Entry'!$ļ$700), "", 'Data Entry'!$ļ$700)</f>
      </c>
      <c r="IS700">
        <f>IF(ISBLANK('Data Entry'!$Ľ$700), "", 'Data Entry'!$Ľ$700)</f>
      </c>
      <c r="IT700">
        <f>IF(ISBLANK('Data Entry'!$ľ$700), "", 'Data Entry'!$ľ$700)</f>
      </c>
    </row>
    <row r="701" spans="1:254" x14ac:dyDescent="0.25">
      <c r="A701">
        <f>IF(ISBLANK('Data Entry'!$A$701), "", 'Data Entry'!$A$701)</f>
      </c>
      <c r="B701">
        <f>IF(ISBLANK('Data Entry'!$B$701), "", 'Data Entry'!$B$701)</f>
      </c>
      <c r="C701">
        <f>IF(ISBLANK('Data Entry'!$C$701), "", 'Data Entry'!$C$701)</f>
      </c>
      <c r="D701">
        <f>IF(ISBLANK('Data Entry'!$D$701), "", 'Data Entry'!$D$701)</f>
      </c>
      <c r="E701">
        <f>IF(ISBLANK('Data Entry'!$E$701), "", 'Data Entry'!$E$701)</f>
      </c>
      <c r="F701">
        <f>IF(ISBLANK('Data Entry'!$F$701), "", 'Data Entry'!$F$701)</f>
      </c>
      <c r="G701">
        <f>IF(ISBLANK('Data Entry'!$G$701), "", 'Data Entry'!$G$701)</f>
      </c>
      <c r="H701">
        <f>IF(ISBLANK('Data Entry'!$H$701), "", 'Data Entry'!$H$701)</f>
      </c>
      <c r="I701">
        <f>IF(ISBLANK('Data Entry'!$I$701), "", 'Data Entry'!$I$701)</f>
      </c>
      <c r="J701">
        <f>IF(ISBLANK('Data Entry'!$J$701), "", 'Data Entry'!$J$701)</f>
      </c>
      <c r="K701">
        <f>IF(ISBLANK('Data Entry'!$K$701), "", 'Data Entry'!$K$701)</f>
      </c>
      <c r="L701">
        <f>IF(ISBLANK('Data Entry'!$L$701), "", 'Data Entry'!$L$701)</f>
      </c>
      <c r="M701">
        <f>IF(ISBLANK('Data Entry'!$M$701), "", 'Data Entry'!$M$701)</f>
      </c>
      <c r="N701">
        <f>IF(ISBLANK('Data Entry'!$N$701), "", 'Data Entry'!$N$701)</f>
      </c>
      <c r="O701">
        <f>IF(ISBLANK('Data Entry'!$O$701), "", 'Data Entry'!$O$701)</f>
      </c>
      <c r="P701">
        <f>IF(ISBLANK('Data Entry'!$P$701), "", 'Data Entry'!$P$701)</f>
      </c>
      <c r="Q701">
        <f>IF(ISBLANK('Data Entry'!$Q$701), "", 'Data Entry'!$Q$701)</f>
      </c>
      <c r="R701">
        <f>IF(ISBLANK('Data Entry'!$R$701), "", 'Data Entry'!$R$701)</f>
      </c>
      <c r="S701">
        <f>IF(ISBLANK('Data Entry'!$S$701), "", 'Data Entry'!$S$701)</f>
      </c>
      <c r="T701">
        <f>IF(ISBLANK('Data Entry'!$T$701), "", 'Data Entry'!$T$701)</f>
      </c>
      <c r="U701">
        <f>IF(ISBLANK('Data Entry'!$U$701), "", 'Data Entry'!$U$701)</f>
      </c>
      <c r="V701">
        <f>IF(ISBLANK('Data Entry'!$V$701), "", 'Data Entry'!$V$701)</f>
      </c>
      <c r="W701">
        <f>IF(ISBLANK('Data Entry'!$W$701), "", 'Data Entry'!$W$701)</f>
      </c>
      <c r="X701">
        <f>IF(ISBLANK('Data Entry'!$X$701), "", 'Data Entry'!$X$701)</f>
      </c>
      <c r="Y701">
        <f>IF(ISBLANK('Data Entry'!$Y$701), "", 'Data Entry'!$Y$701)</f>
      </c>
      <c r="Z701">
        <f>IF(ISBLANK('Data Entry'!$Z$701), "", 'Data Entry'!$Z$701)</f>
      </c>
      <c r="AA701">
        <f>IF(ISBLANK('Data Entry'!$[$701), "", 'Data Entry'!$[$701)</f>
      </c>
      <c r="AB701">
        <f>IF(ISBLANK('Data Entry'!$\$701), "", 'Data Entry'!$\$701)</f>
      </c>
      <c r="AC701">
        <f>IF(ISBLANK('Data Entry'!$]$701), "", 'Data Entry'!$]$701)</f>
      </c>
      <c r="AD701">
        <f>IF(ISBLANK('Data Entry'!$^$701), "", 'Data Entry'!$^$701)</f>
      </c>
      <c r="AE701">
        <f>IF(ISBLANK('Data Entry'!$_$701), "", 'Data Entry'!$_$701)</f>
      </c>
      <c r="AF701">
        <f>IF(ISBLANK('Data Entry'!$`$701), "", 'Data Entry'!$`$701)</f>
      </c>
      <c r="AG701">
        <f>IF(ISBLANK('Data Entry'!$a$701), "", 'Data Entry'!$a$701)</f>
      </c>
      <c r="AH701">
        <f>IF(ISBLANK('Data Entry'!$b$701), "", 'Data Entry'!$b$701)</f>
      </c>
      <c r="AI701">
        <f>IF(ISBLANK('Data Entry'!$c$701), "", 'Data Entry'!$c$701)</f>
      </c>
      <c r="AJ701">
        <f>IF(ISBLANK('Data Entry'!$d$701), "", 'Data Entry'!$d$701)</f>
      </c>
      <c r="AK701">
        <f>IF(ISBLANK('Data Entry'!$e$701), "", 'Data Entry'!$e$701)</f>
      </c>
      <c r="AL701">
        <f>IF(ISBLANK('Data Entry'!$f$701), "", 'Data Entry'!$f$701)</f>
      </c>
      <c r="AM701">
        <f>IF(ISBLANK('Data Entry'!$g$701), "", 'Data Entry'!$g$701)</f>
      </c>
      <c r="AN701">
        <f>IF(ISBLANK('Data Entry'!$h$701), "", 'Data Entry'!$h$701)</f>
      </c>
      <c r="AO701">
        <f>IF(ISBLANK('Data Entry'!$i$701), "", 'Data Entry'!$i$701)</f>
      </c>
      <c r="AP701">
        <f>IF(ISBLANK('Data Entry'!$j$701), "", 'Data Entry'!$j$701)</f>
      </c>
      <c r="AQ701">
        <f>IF(ISBLANK('Data Entry'!$k$701), "", 'Data Entry'!$k$701)</f>
      </c>
      <c r="AR701">
        <f>IF(ISBLANK('Data Entry'!$l$701), "", 'Data Entry'!$l$701)</f>
      </c>
      <c r="AS701">
        <f>IF(ISBLANK('Data Entry'!$m$701), "", 'Data Entry'!$m$701)</f>
      </c>
      <c r="AT701">
        <f>IF(ISBLANK('Data Entry'!$n$701), "", 'Data Entry'!$n$701)</f>
      </c>
      <c r="AU701">
        <f>IF(ISBLANK('Data Entry'!$o$701), "", 'Data Entry'!$o$701)</f>
      </c>
      <c r="AV701">
        <f>IF(ISBLANK('Data Entry'!$p$701), "", 'Data Entry'!$p$701)</f>
      </c>
      <c r="AW701">
        <f>IF(ISBLANK('Data Entry'!$q$701), "", 'Data Entry'!$q$701)</f>
      </c>
      <c r="AX701">
        <f>IF(ISBLANK('Data Entry'!$r$701), "", 'Data Entry'!$r$701)</f>
      </c>
      <c r="AY701">
        <f>IF(ISBLANK('Data Entry'!$s$701), "", 'Data Entry'!$s$701)</f>
      </c>
      <c r="AZ701">
        <f>IF(ISBLANK('Data Entry'!$t$701), "", 'Data Entry'!$t$701)</f>
      </c>
      <c r="BA701">
        <f>IF(ISBLANK('Data Entry'!$u$701), "", 'Data Entry'!$u$701)</f>
      </c>
      <c r="BB701">
        <f>IF(ISBLANK('Data Entry'!$v$701), "", 'Data Entry'!$v$701)</f>
      </c>
      <c r="BC701">
        <f>IF(ISBLANK('Data Entry'!$w$701), "", 'Data Entry'!$w$701)</f>
      </c>
      <c r="BD701">
        <f>IF(ISBLANK('Data Entry'!$x$701), "", 'Data Entry'!$x$701)</f>
      </c>
      <c r="BE701">
        <f>IF(ISBLANK('Data Entry'!$y$701), "", 'Data Entry'!$y$701)</f>
      </c>
      <c r="BF701">
        <f>IF(ISBLANK('Data Entry'!$z$701), "", 'Data Entry'!$z$701)</f>
      </c>
      <c r="BG701">
        <f>IF(ISBLANK('Data Entry'!${$701), "", 'Data Entry'!${$701)</f>
      </c>
      <c r="BH701">
        <f>IF(ISBLANK('Data Entry'!$|$701), "", 'Data Entry'!$|$701)</f>
      </c>
      <c r="BI701">
        <f>IF(ISBLANK('Data Entry'!$}$701), "", 'Data Entry'!$}$701)</f>
      </c>
      <c r="BJ701">
        <f>IF(ISBLANK('Data Entry'!$~$701), "", 'Data Entry'!$~$701)</f>
      </c>
      <c r="BK701">
        <f>IF(ISBLANK('Data Entry'!$$701), "", 'Data Entry'!$$701)</f>
      </c>
      <c r="BL701">
        <f>IF(ISBLANK('Data Entry'!$$701), "", 'Data Entry'!$$701)</f>
      </c>
      <c r="BM701">
        <f>IF(ISBLANK('Data Entry'!$$701), "", 'Data Entry'!$$701)</f>
      </c>
      <c r="BN701">
        <f>IF(ISBLANK('Data Entry'!$$701), "", 'Data Entry'!$$701)</f>
      </c>
      <c r="BO701">
        <f>IF(ISBLANK('Data Entry'!$$701), "", 'Data Entry'!$$701)</f>
      </c>
      <c r="BP701">
        <f>IF(ISBLANK('Data Entry'!$$701), "", 'Data Entry'!$$701)</f>
      </c>
      <c r="BQ701">
        <f>IF(ISBLANK('Data Entry'!$$701), "", 'Data Entry'!$$701)</f>
      </c>
      <c r="BR701">
        <f>IF(ISBLANK('Data Entry'!$$701), "", 'Data Entry'!$$701)</f>
      </c>
      <c r="BS701">
        <f>IF(ISBLANK('Data Entry'!$$701), "", 'Data Entry'!$$701)</f>
      </c>
      <c r="BT701">
        <f>IF(ISBLANK('Data Entry'!$$701), "", 'Data Entry'!$$701)</f>
      </c>
      <c r="BU701">
        <f>IF(ISBLANK('Data Entry'!$$701), "", 'Data Entry'!$$701)</f>
      </c>
      <c r="BV701">
        <f>IF(ISBLANK('Data Entry'!$$701), "", 'Data Entry'!$$701)</f>
      </c>
      <c r="BW701">
        <f>IF(ISBLANK('Data Entry'!$$701), "", 'Data Entry'!$$701)</f>
      </c>
      <c r="BX701">
        <f>IF(ISBLANK('Data Entry'!$$701), "", 'Data Entry'!$$701)</f>
      </c>
      <c r="BY701">
        <f>IF(ISBLANK('Data Entry'!$$701), "", 'Data Entry'!$$701)</f>
      </c>
      <c r="BZ701">
        <f>IF(ISBLANK('Data Entry'!$$701), "", 'Data Entry'!$$701)</f>
      </c>
      <c r="CA701">
        <f>IF(ISBLANK('Data Entry'!$$701), "", 'Data Entry'!$$701)</f>
      </c>
      <c r="CB701">
        <f>IF(ISBLANK('Data Entry'!$$701), "", 'Data Entry'!$$701)</f>
      </c>
      <c r="CC701">
        <f>IF(ISBLANK('Data Entry'!$$701), "", 'Data Entry'!$$701)</f>
      </c>
      <c r="CD701">
        <f>IF(ISBLANK('Data Entry'!$$701), "", 'Data Entry'!$$701)</f>
      </c>
      <c r="CE701">
        <f>IF(ISBLANK('Data Entry'!$$701), "", 'Data Entry'!$$701)</f>
      </c>
      <c r="CF701">
        <f>IF(ISBLANK('Data Entry'!$$701), "", 'Data Entry'!$$701)</f>
      </c>
      <c r="CG701">
        <f>IF(ISBLANK('Data Entry'!$$701), "", 'Data Entry'!$$701)</f>
      </c>
      <c r="CH701">
        <f>IF(ISBLANK('Data Entry'!$$701), "", 'Data Entry'!$$701)</f>
      </c>
      <c r="CI701">
        <f>IF(ISBLANK('Data Entry'!$$701), "", 'Data Entry'!$$701)</f>
      </c>
      <c r="CJ701">
        <f>IF(ISBLANK('Data Entry'!$$701), "", 'Data Entry'!$$701)</f>
      </c>
      <c r="CK701">
        <f>IF(ISBLANK('Data Entry'!$$701), "", 'Data Entry'!$$701)</f>
      </c>
      <c r="CL701">
        <f>IF(ISBLANK('Data Entry'!$$701), "", 'Data Entry'!$$701)</f>
      </c>
      <c r="CM701">
        <f>IF(ISBLANK('Data Entry'!$$701), "", 'Data Entry'!$$701)</f>
      </c>
      <c r="CN701">
        <f>IF(ISBLANK('Data Entry'!$$701), "", 'Data Entry'!$$701)</f>
      </c>
      <c r="CO701">
        <f>IF(ISBLANK('Data Entry'!$$701), "", 'Data Entry'!$$701)</f>
      </c>
      <c r="CP701">
        <f>IF(ISBLANK('Data Entry'!$$701), "", 'Data Entry'!$$701)</f>
      </c>
      <c r="CQ701">
        <f>IF(ISBLANK('Data Entry'!$$701), "", 'Data Entry'!$$701)</f>
      </c>
      <c r="CR701">
        <f>IF(ISBLANK('Data Entry'!$ $701), "", 'Data Entry'!$ $701)</f>
      </c>
      <c r="CS701">
        <f>IF(ISBLANK('Data Entry'!$¡$701), "", 'Data Entry'!$¡$701)</f>
      </c>
      <c r="CT701">
        <f>IF(ISBLANK('Data Entry'!$¢$701), "", 'Data Entry'!$¢$701)</f>
      </c>
      <c r="CU701">
        <f>IF(ISBLANK('Data Entry'!$£$701), "", 'Data Entry'!$£$701)</f>
      </c>
      <c r="CV701">
        <f>IF(ISBLANK('Data Entry'!$¤$701), "", 'Data Entry'!$¤$701)</f>
      </c>
      <c r="CW701">
        <f>IF(ISBLANK('Data Entry'!$¥$701), "", 'Data Entry'!$¥$701)</f>
      </c>
      <c r="CX701">
        <f>IF(ISBLANK('Data Entry'!$¦$701), "", 'Data Entry'!$¦$701)</f>
      </c>
      <c r="CY701">
        <f>IF(ISBLANK('Data Entry'!$§$701), "", 'Data Entry'!$§$701)</f>
      </c>
      <c r="CZ701">
        <f>IF(ISBLANK('Data Entry'!$¨$701), "", 'Data Entry'!$¨$701)</f>
      </c>
      <c r="DA701">
        <f>IF(ISBLANK('Data Entry'!$©$701), "", 'Data Entry'!$©$701)</f>
      </c>
      <c r="DB701">
        <f>IF(ISBLANK('Data Entry'!$ª$701), "", 'Data Entry'!$ª$701)</f>
      </c>
      <c r="DC701">
        <f>IF(ISBLANK('Data Entry'!$«$701), "", 'Data Entry'!$«$701)</f>
      </c>
      <c r="DD701">
        <f>IF(ISBLANK('Data Entry'!$¬$701), "", 'Data Entry'!$¬$701)</f>
      </c>
      <c r="DE701">
        <f>IF(ISBLANK('Data Entry'!$­$701), "", 'Data Entry'!$­$701)</f>
      </c>
      <c r="DF701">
        <f>IF(ISBLANK('Data Entry'!$®$701), "", 'Data Entry'!$®$701)</f>
      </c>
      <c r="DG701">
        <f>IF(ISBLANK('Data Entry'!$¯$701), "", 'Data Entry'!$¯$701)</f>
      </c>
      <c r="DH701">
        <f>IF(ISBLANK('Data Entry'!$°$701), "", 'Data Entry'!$°$701)</f>
      </c>
      <c r="DI701">
        <f>IF(ISBLANK('Data Entry'!$±$701), "", 'Data Entry'!$±$701)</f>
      </c>
      <c r="DJ701">
        <f>IF(ISBLANK('Data Entry'!$²$701), "", 'Data Entry'!$²$701)</f>
      </c>
      <c r="DK701">
        <f>IF(ISBLANK('Data Entry'!$³$701), "", 'Data Entry'!$³$701)</f>
      </c>
      <c r="DL701">
        <f>IF(ISBLANK('Data Entry'!$´$701), "", 'Data Entry'!$´$701)</f>
      </c>
      <c r="DM701">
        <f>IF(ISBLANK('Data Entry'!$µ$701), "", 'Data Entry'!$µ$701)</f>
      </c>
      <c r="DN701">
        <f>IF(ISBLANK('Data Entry'!$¶$701), "", 'Data Entry'!$¶$701)</f>
      </c>
      <c r="DO701">
        <f>IF(ISBLANK('Data Entry'!$·$701), "", 'Data Entry'!$·$701)</f>
      </c>
      <c r="DP701">
        <f>IF(ISBLANK('Data Entry'!$¸$701), "", 'Data Entry'!$¸$701)</f>
      </c>
      <c r="DQ701">
        <f>IF(ISBLANK('Data Entry'!$¹$701), "", 'Data Entry'!$¹$701)</f>
      </c>
      <c r="DR701">
        <f>IF(ISBLANK('Data Entry'!$º$701), "", 'Data Entry'!$º$701)</f>
      </c>
      <c r="DS701">
        <f>IF(ISBLANK('Data Entry'!$»$701), "", 'Data Entry'!$»$701)</f>
      </c>
      <c r="DT701">
        <f>IF(ISBLANK('Data Entry'!$¼$701), "", 'Data Entry'!$¼$701)</f>
      </c>
      <c r="DU701">
        <f>IF(ISBLANK('Data Entry'!$½$701), "", 'Data Entry'!$½$701)</f>
      </c>
      <c r="DV701">
        <f>IF(ISBLANK('Data Entry'!$¾$701), "", 'Data Entry'!$¾$701)</f>
      </c>
      <c r="DW701">
        <f>IF(ISBLANK('Data Entry'!$¿$701), "", 'Data Entry'!$¿$701)</f>
      </c>
      <c r="DX701">
        <f>IF(ISBLANK('Data Entry'!$À$701), "", 'Data Entry'!$À$701)</f>
      </c>
      <c r="DY701">
        <f>IF(ISBLANK('Data Entry'!$Á$701), "", 'Data Entry'!$Á$701)</f>
      </c>
      <c r="DZ701">
        <f>IF(ISBLANK('Data Entry'!$Â$701), "", 'Data Entry'!$Â$701)</f>
      </c>
      <c r="EA701">
        <f>IF(ISBLANK('Data Entry'!$Ã$701), "", 'Data Entry'!$Ã$701)</f>
      </c>
      <c r="EB701">
        <f>IF(ISBLANK('Data Entry'!$Ä$701), "", 'Data Entry'!$Ä$701)</f>
      </c>
      <c r="EC701">
        <f>IF(ISBLANK('Data Entry'!$Å$701), "", 'Data Entry'!$Å$701)</f>
      </c>
      <c r="ED701">
        <f>IF(ISBLANK('Data Entry'!$Æ$701), "", 'Data Entry'!$Æ$701)</f>
      </c>
      <c r="EE701">
        <f>IF(ISBLANK('Data Entry'!$Ç$701), "", 'Data Entry'!$Ç$701)</f>
      </c>
      <c r="EF701">
        <f>IF(ISBLANK('Data Entry'!$È$701), "", 'Data Entry'!$È$701)</f>
      </c>
      <c r="EG701">
        <f>IF(ISBLANK('Data Entry'!$É$701), "", 'Data Entry'!$É$701)</f>
      </c>
      <c r="EH701">
        <f>IF(ISBLANK('Data Entry'!$Ê$701), "", 'Data Entry'!$Ê$701)</f>
      </c>
      <c r="EI701">
        <f>IF(ISBLANK('Data Entry'!$Ë$701), "", 'Data Entry'!$Ë$701)</f>
      </c>
      <c r="EJ701">
        <f>IF(ISBLANK('Data Entry'!$Ì$701), "", 'Data Entry'!$Ì$701)</f>
      </c>
      <c r="EK701">
        <f>IF(ISBLANK('Data Entry'!$Í$701), "", 'Data Entry'!$Í$701)</f>
      </c>
      <c r="EL701">
        <f>IF(ISBLANK('Data Entry'!$Î$701), "", 'Data Entry'!$Î$701)</f>
      </c>
      <c r="EM701">
        <f>IF(ISBLANK('Data Entry'!$Ï$701), "", 'Data Entry'!$Ï$701)</f>
      </c>
      <c r="EN701">
        <f>IF(ISBLANK('Data Entry'!$Ð$701), "", 'Data Entry'!$Ð$701)</f>
      </c>
      <c r="EO701">
        <f>IF(ISBLANK('Data Entry'!$Ñ$701), "", 'Data Entry'!$Ñ$701)</f>
      </c>
      <c r="EP701">
        <f>IF(ISBLANK('Data Entry'!$Ò$701), "", 'Data Entry'!$Ò$701)</f>
      </c>
      <c r="EQ701">
        <f>IF(ISBLANK('Data Entry'!$Ó$701), "", 'Data Entry'!$Ó$701)</f>
      </c>
      <c r="ER701">
        <f>IF(ISBLANK('Data Entry'!$Ô$701), "", 'Data Entry'!$Ô$701)</f>
      </c>
      <c r="ES701">
        <f>IF(ISBLANK('Data Entry'!$Õ$701), "", 'Data Entry'!$Õ$701)</f>
      </c>
      <c r="ET701">
        <f>IF(ISBLANK('Data Entry'!$Ö$701), "", 'Data Entry'!$Ö$701)</f>
      </c>
      <c r="EU701">
        <f>IF(ISBLANK('Data Entry'!$×$701), "", 'Data Entry'!$×$701)</f>
      </c>
      <c r="EV701">
        <f>IF(ISBLANK('Data Entry'!$Ø$701), "", 'Data Entry'!$Ø$701)</f>
      </c>
      <c r="EW701">
        <f>IF(ISBLANK('Data Entry'!$Ù$701), "", 'Data Entry'!$Ù$701)</f>
      </c>
      <c r="EX701">
        <f>IF(ISBLANK('Data Entry'!$Ú$701), "", 'Data Entry'!$Ú$701)</f>
      </c>
      <c r="EY701">
        <f>IF(ISBLANK('Data Entry'!$Û$701), "", 'Data Entry'!$Û$701)</f>
      </c>
      <c r="EZ701">
        <f>IF(ISBLANK('Data Entry'!$Ü$701), "", 'Data Entry'!$Ü$701)</f>
      </c>
      <c r="FA701">
        <f>IF(ISBLANK('Data Entry'!$Ý$701), "", 'Data Entry'!$Ý$701)</f>
      </c>
      <c r="FB701">
        <f>IF(ISBLANK('Data Entry'!$Þ$701), "", 'Data Entry'!$Þ$701)</f>
      </c>
      <c r="FC701">
        <f>IF(ISBLANK('Data Entry'!$ß$701), "", 'Data Entry'!$ß$701)</f>
      </c>
      <c r="FD701">
        <f>IF(ISBLANK('Data Entry'!$à$701), "", 'Data Entry'!$à$701)</f>
      </c>
      <c r="FE701">
        <f>IF(ISBLANK('Data Entry'!$á$701), "", 'Data Entry'!$á$701)</f>
      </c>
      <c r="FF701">
        <f>IF(ISBLANK('Data Entry'!$â$701), "", 'Data Entry'!$â$701)</f>
      </c>
      <c r="FG701">
        <f>IF(ISBLANK('Data Entry'!$ã$701), "", 'Data Entry'!$ã$701)</f>
      </c>
      <c r="FH701">
        <f>IF(ISBLANK('Data Entry'!$ä$701), "", 'Data Entry'!$ä$701)</f>
      </c>
      <c r="FI701">
        <f>IF(ISBLANK('Data Entry'!$å$701), "", 'Data Entry'!$å$701)</f>
      </c>
      <c r="FJ701">
        <f>IF(ISBLANK('Data Entry'!$æ$701), "", 'Data Entry'!$æ$701)</f>
      </c>
      <c r="FK701">
        <f>IF(ISBLANK('Data Entry'!$ç$701), "", 'Data Entry'!$ç$701)</f>
      </c>
      <c r="FL701">
        <f>IF(ISBLANK('Data Entry'!$è$701), "", 'Data Entry'!$è$701)</f>
      </c>
      <c r="FM701">
        <f>IF(ISBLANK('Data Entry'!$é$701), "", 'Data Entry'!$é$701)</f>
      </c>
      <c r="FN701">
        <f>IF(ISBLANK('Data Entry'!$ê$701), "", 'Data Entry'!$ê$701)</f>
      </c>
      <c r="FO701">
        <f>IF(ISBLANK('Data Entry'!$ë$701), "", 'Data Entry'!$ë$701)</f>
      </c>
      <c r="FP701">
        <f>IF(ISBLANK('Data Entry'!$ì$701), "", 'Data Entry'!$ì$701)</f>
      </c>
      <c r="FQ701">
        <f>IF(ISBLANK('Data Entry'!$í$701), "", 'Data Entry'!$í$701)</f>
      </c>
      <c r="FR701">
        <f>IF(ISBLANK('Data Entry'!$î$701), "", 'Data Entry'!$î$701)</f>
      </c>
      <c r="FS701">
        <f>IF(ISBLANK('Data Entry'!$ï$701), "", 'Data Entry'!$ï$701)</f>
      </c>
      <c r="FT701">
        <f>IF(ISBLANK('Data Entry'!$ð$701), "", 'Data Entry'!$ð$701)</f>
      </c>
      <c r="FU701">
        <f>IF(ISBLANK('Data Entry'!$ñ$701), "", 'Data Entry'!$ñ$701)</f>
      </c>
      <c r="FV701">
        <f>IF(ISBLANK('Data Entry'!$ò$701), "", 'Data Entry'!$ò$701)</f>
      </c>
      <c r="FW701">
        <f>IF(ISBLANK('Data Entry'!$ó$701), "", 'Data Entry'!$ó$701)</f>
      </c>
      <c r="FX701">
        <f>IF(ISBLANK('Data Entry'!$ô$701), "", 'Data Entry'!$ô$701)</f>
      </c>
      <c r="FY701">
        <f>IF(ISBLANK('Data Entry'!$õ$701), "", 'Data Entry'!$õ$701)</f>
      </c>
      <c r="FZ701">
        <f>IF(ISBLANK('Data Entry'!$ö$701), "", 'Data Entry'!$ö$701)</f>
      </c>
      <c r="GA701">
        <f>IF(ISBLANK('Data Entry'!$÷$701), "", 'Data Entry'!$÷$701)</f>
      </c>
      <c r="GB701">
        <f>IF(ISBLANK('Data Entry'!$ø$701), "", 'Data Entry'!$ø$701)</f>
      </c>
      <c r="GC701">
        <f>IF(ISBLANK('Data Entry'!$ù$701), "", 'Data Entry'!$ù$701)</f>
      </c>
      <c r="GD701">
        <f>IF(ISBLANK('Data Entry'!$ú$701), "", 'Data Entry'!$ú$701)</f>
      </c>
      <c r="GE701">
        <f>IF(ISBLANK('Data Entry'!$û$701), "", 'Data Entry'!$û$701)</f>
      </c>
      <c r="GF701">
        <f>IF(ISBLANK('Data Entry'!$ü$701), "", 'Data Entry'!$ü$701)</f>
      </c>
      <c r="GG701">
        <f>IF(ISBLANK('Data Entry'!$ý$701), "", 'Data Entry'!$ý$701)</f>
      </c>
      <c r="GH701">
        <f>IF(ISBLANK('Data Entry'!$þ$701), "", 'Data Entry'!$þ$701)</f>
      </c>
      <c r="GI701">
        <f>IF(ISBLANK('Data Entry'!$ÿ$701), "", 'Data Entry'!$ÿ$701)</f>
      </c>
      <c r="GJ701">
        <f>IF(ISBLANK('Data Entry'!$Ā$701), "", 'Data Entry'!$Ā$701)</f>
      </c>
      <c r="GK701">
        <f>IF(ISBLANK('Data Entry'!$ā$701), "", 'Data Entry'!$ā$701)</f>
      </c>
      <c r="GL701">
        <f>IF(ISBLANK('Data Entry'!$Ă$701), "", 'Data Entry'!$Ă$701)</f>
      </c>
      <c r="GM701">
        <f>IF(ISBLANK('Data Entry'!$ă$701), "", 'Data Entry'!$ă$701)</f>
      </c>
      <c r="GN701">
        <f>IF(ISBLANK('Data Entry'!$Ą$701), "", 'Data Entry'!$Ą$701)</f>
      </c>
      <c r="GO701">
        <f>IF(ISBLANK('Data Entry'!$ą$701), "", 'Data Entry'!$ą$701)</f>
      </c>
      <c r="GP701">
        <f>IF(ISBLANK('Data Entry'!$Ć$701), "", 'Data Entry'!$Ć$701)</f>
      </c>
      <c r="GQ701">
        <f>IF(ISBLANK('Data Entry'!$ć$701), "", 'Data Entry'!$ć$701)</f>
      </c>
      <c r="GR701">
        <f>IF(ISBLANK('Data Entry'!$Ĉ$701), "", 'Data Entry'!$Ĉ$701)</f>
      </c>
      <c r="GS701">
        <f>IF(ISBLANK('Data Entry'!$ĉ$701), "", 'Data Entry'!$ĉ$701)</f>
      </c>
      <c r="GT701">
        <f>IF(ISBLANK('Data Entry'!$Ċ$701), "", 'Data Entry'!$Ċ$701)</f>
      </c>
      <c r="GU701">
        <f>IF(ISBLANK('Data Entry'!$ċ$701), "", 'Data Entry'!$ċ$701)</f>
      </c>
      <c r="GV701">
        <f>IF(ISBLANK('Data Entry'!$Č$701), "", 'Data Entry'!$Č$701)</f>
      </c>
      <c r="GW701">
        <f>IF(ISBLANK('Data Entry'!$č$701), "", 'Data Entry'!$č$701)</f>
      </c>
      <c r="GX701">
        <f>IF(ISBLANK('Data Entry'!$Ď$701), "", 'Data Entry'!$Ď$701)</f>
      </c>
      <c r="GY701">
        <f>IF(ISBLANK('Data Entry'!$ď$701), "", 'Data Entry'!$ď$701)</f>
      </c>
      <c r="GZ701">
        <f>IF(ISBLANK('Data Entry'!$Đ$701), "", 'Data Entry'!$Đ$701)</f>
      </c>
      <c r="HA701">
        <f>IF(ISBLANK('Data Entry'!$đ$701), "", 'Data Entry'!$đ$701)</f>
      </c>
      <c r="HB701">
        <f>IF(ISBLANK('Data Entry'!$Ē$701), "", 'Data Entry'!$Ē$701)</f>
      </c>
      <c r="HC701">
        <f>IF(ISBLANK('Data Entry'!$ē$701), "", 'Data Entry'!$ē$701)</f>
      </c>
      <c r="HD701">
        <f>IF(ISBLANK('Data Entry'!$Ĕ$701), "", 'Data Entry'!$Ĕ$701)</f>
      </c>
      <c r="HE701">
        <f>IF(ISBLANK('Data Entry'!$ĕ$701), "", 'Data Entry'!$ĕ$701)</f>
      </c>
      <c r="HF701">
        <f>IF(ISBLANK('Data Entry'!$Ė$701), "", 'Data Entry'!$Ė$701)</f>
      </c>
      <c r="HG701">
        <f>IF(ISBLANK('Data Entry'!$ė$701), "", 'Data Entry'!$ė$701)</f>
      </c>
      <c r="HH701">
        <f>IF(ISBLANK('Data Entry'!$Ę$701), "", 'Data Entry'!$Ę$701)</f>
      </c>
      <c r="HI701">
        <f>IF(ISBLANK('Data Entry'!$ę$701), "", 'Data Entry'!$ę$701)</f>
      </c>
      <c r="HJ701">
        <f>IF(ISBLANK('Data Entry'!$Ě$701), "", 'Data Entry'!$Ě$701)</f>
      </c>
      <c r="HK701">
        <f>IF(ISBLANK('Data Entry'!$ě$701), "", 'Data Entry'!$ě$701)</f>
      </c>
      <c r="HL701">
        <f>IF(ISBLANK('Data Entry'!$Ĝ$701), "", 'Data Entry'!$Ĝ$701)</f>
      </c>
      <c r="HM701">
        <f>IF(ISBLANK('Data Entry'!$ĝ$701), "", 'Data Entry'!$ĝ$701)</f>
      </c>
      <c r="HN701">
        <f>IF(ISBLANK('Data Entry'!$Ğ$701), "", 'Data Entry'!$Ğ$701)</f>
      </c>
      <c r="HO701">
        <f>IF(ISBLANK('Data Entry'!$ğ$701), "", 'Data Entry'!$ğ$701)</f>
      </c>
      <c r="HP701">
        <f>IF(ISBLANK('Data Entry'!$Ġ$701), "", 'Data Entry'!$Ġ$701)</f>
      </c>
      <c r="HQ701">
        <f>IF(ISBLANK('Data Entry'!$ġ$701), "", 'Data Entry'!$ġ$701)</f>
      </c>
      <c r="HR701">
        <f>IF(ISBLANK('Data Entry'!$Ģ$701), "", 'Data Entry'!$Ģ$701)</f>
      </c>
      <c r="HS701">
        <f>IF(ISBLANK('Data Entry'!$ģ$701), "", 'Data Entry'!$ģ$701)</f>
      </c>
      <c r="HT701">
        <f>IF(ISBLANK('Data Entry'!$Ĥ$701), "", 'Data Entry'!$Ĥ$701)</f>
      </c>
      <c r="HU701">
        <f>IF(ISBLANK('Data Entry'!$ĥ$701), "", 'Data Entry'!$ĥ$701)</f>
      </c>
      <c r="HV701">
        <f>IF(ISBLANK('Data Entry'!$Ħ$701), "", 'Data Entry'!$Ħ$701)</f>
      </c>
      <c r="HW701">
        <f>IF(ISBLANK('Data Entry'!$ħ$701), "", 'Data Entry'!$ħ$701)</f>
      </c>
      <c r="HX701">
        <f>IF(ISBLANK('Data Entry'!$Ĩ$701), "", 'Data Entry'!$Ĩ$701)</f>
      </c>
      <c r="HY701">
        <f>IF(ISBLANK('Data Entry'!$ĩ$701), "", 'Data Entry'!$ĩ$701)</f>
      </c>
      <c r="HZ701">
        <f>IF(ISBLANK('Data Entry'!$Ī$701), "", 'Data Entry'!$Ī$701)</f>
      </c>
      <c r="IA701">
        <f>IF(ISBLANK('Data Entry'!$ī$701), "", 'Data Entry'!$ī$701)</f>
      </c>
      <c r="IB701">
        <f>IF(ISBLANK('Data Entry'!$Ĭ$701), "", 'Data Entry'!$Ĭ$701)</f>
      </c>
      <c r="IC701">
        <f>IF(ISBLANK('Data Entry'!$ĭ$701), "", 'Data Entry'!$ĭ$701)</f>
      </c>
      <c r="ID701">
        <f>IF(ISBLANK('Data Entry'!$Į$701), "", 'Data Entry'!$Į$701)</f>
      </c>
      <c r="IE701">
        <f>IF(ISBLANK('Data Entry'!$į$701), "", 'Data Entry'!$į$701)</f>
      </c>
      <c r="IF701">
        <f>IF(ISBLANK('Data Entry'!$İ$701), "", 'Data Entry'!$İ$701)</f>
      </c>
      <c r="IG701">
        <f>IF(ISBLANK('Data Entry'!$ı$701), "", 'Data Entry'!$ı$701)</f>
      </c>
      <c r="IH701">
        <f>IF(ISBLANK('Data Entry'!$Ĳ$701), "", 'Data Entry'!$Ĳ$701)</f>
      </c>
      <c r="II701">
        <f>IF(ISBLANK('Data Entry'!$ĳ$701), "", 'Data Entry'!$ĳ$701)</f>
      </c>
      <c r="IJ701">
        <f>IF(ISBLANK('Data Entry'!$Ĵ$701), "", 'Data Entry'!$Ĵ$701)</f>
      </c>
      <c r="IK701">
        <f>IF(ISBLANK('Data Entry'!$ĵ$701), "", 'Data Entry'!$ĵ$701)</f>
      </c>
      <c r="IL701">
        <f>IF(ISBLANK('Data Entry'!$Ķ$701), "", 'Data Entry'!$Ķ$701)</f>
      </c>
      <c r="IM701">
        <f>IF(ISBLANK('Data Entry'!$ķ$701), "", 'Data Entry'!$ķ$701)</f>
      </c>
      <c r="IN701">
        <f>IF(ISBLANK('Data Entry'!$ĸ$701), "", 'Data Entry'!$ĸ$701)</f>
      </c>
      <c r="IO701">
        <f>IF(ISBLANK('Data Entry'!$Ĺ$701), "", 'Data Entry'!$Ĺ$701)</f>
      </c>
      <c r="IP701">
        <f>IF(ISBLANK('Data Entry'!$ĺ$701), "", 'Data Entry'!$ĺ$701)</f>
      </c>
      <c r="IQ701">
        <f>IF(ISBLANK('Data Entry'!$Ļ$701), "", 'Data Entry'!$Ļ$701)</f>
      </c>
      <c r="IR701">
        <f>IF(ISBLANK('Data Entry'!$ļ$701), "", 'Data Entry'!$ļ$701)</f>
      </c>
      <c r="IS701">
        <f>IF(ISBLANK('Data Entry'!$Ľ$701), "", 'Data Entry'!$Ľ$701)</f>
      </c>
      <c r="IT701">
        <f>IF(ISBLANK('Data Entry'!$ľ$701), "", 'Data Entry'!$ľ$701)</f>
      </c>
    </row>
    <row r="702" spans="1:254" x14ac:dyDescent="0.25">
      <c r="A702">
        <f>IF(ISBLANK('Data Entry'!$A$702), "", 'Data Entry'!$A$702)</f>
      </c>
      <c r="B702">
        <f>IF(ISBLANK('Data Entry'!$B$702), "", 'Data Entry'!$B$702)</f>
      </c>
      <c r="C702">
        <f>IF(ISBLANK('Data Entry'!$C$702), "", 'Data Entry'!$C$702)</f>
      </c>
      <c r="D702">
        <f>IF(ISBLANK('Data Entry'!$D$702), "", 'Data Entry'!$D$702)</f>
      </c>
      <c r="E702">
        <f>IF(ISBLANK('Data Entry'!$E$702), "", 'Data Entry'!$E$702)</f>
      </c>
      <c r="F702">
        <f>IF(ISBLANK('Data Entry'!$F$702), "", 'Data Entry'!$F$702)</f>
      </c>
      <c r="G702">
        <f>IF(ISBLANK('Data Entry'!$G$702), "", 'Data Entry'!$G$702)</f>
      </c>
      <c r="H702">
        <f>IF(ISBLANK('Data Entry'!$H$702), "", 'Data Entry'!$H$702)</f>
      </c>
      <c r="I702">
        <f>IF(ISBLANK('Data Entry'!$I$702), "", 'Data Entry'!$I$702)</f>
      </c>
      <c r="J702">
        <f>IF(ISBLANK('Data Entry'!$J$702), "", 'Data Entry'!$J$702)</f>
      </c>
      <c r="K702">
        <f>IF(ISBLANK('Data Entry'!$K$702), "", 'Data Entry'!$K$702)</f>
      </c>
      <c r="L702">
        <f>IF(ISBLANK('Data Entry'!$L$702), "", 'Data Entry'!$L$702)</f>
      </c>
      <c r="M702">
        <f>IF(ISBLANK('Data Entry'!$M$702), "", 'Data Entry'!$M$702)</f>
      </c>
      <c r="N702">
        <f>IF(ISBLANK('Data Entry'!$N$702), "", 'Data Entry'!$N$702)</f>
      </c>
      <c r="O702">
        <f>IF(ISBLANK('Data Entry'!$O$702), "", 'Data Entry'!$O$702)</f>
      </c>
      <c r="P702">
        <f>IF(ISBLANK('Data Entry'!$P$702), "", 'Data Entry'!$P$702)</f>
      </c>
      <c r="Q702">
        <f>IF(ISBLANK('Data Entry'!$Q$702), "", 'Data Entry'!$Q$702)</f>
      </c>
      <c r="R702">
        <f>IF(ISBLANK('Data Entry'!$R$702), "", 'Data Entry'!$R$702)</f>
      </c>
      <c r="S702">
        <f>IF(ISBLANK('Data Entry'!$S$702), "", 'Data Entry'!$S$702)</f>
      </c>
      <c r="T702">
        <f>IF(ISBLANK('Data Entry'!$T$702), "", 'Data Entry'!$T$702)</f>
      </c>
      <c r="U702">
        <f>IF(ISBLANK('Data Entry'!$U$702), "", 'Data Entry'!$U$702)</f>
      </c>
      <c r="V702">
        <f>IF(ISBLANK('Data Entry'!$V$702), "", 'Data Entry'!$V$702)</f>
      </c>
      <c r="W702">
        <f>IF(ISBLANK('Data Entry'!$W$702), "", 'Data Entry'!$W$702)</f>
      </c>
      <c r="X702">
        <f>IF(ISBLANK('Data Entry'!$X$702), "", 'Data Entry'!$X$702)</f>
      </c>
      <c r="Y702">
        <f>IF(ISBLANK('Data Entry'!$Y$702), "", 'Data Entry'!$Y$702)</f>
      </c>
      <c r="Z702">
        <f>IF(ISBLANK('Data Entry'!$Z$702), "", 'Data Entry'!$Z$702)</f>
      </c>
      <c r="AA702">
        <f>IF(ISBLANK('Data Entry'!$[$702), "", 'Data Entry'!$[$702)</f>
      </c>
      <c r="AB702">
        <f>IF(ISBLANK('Data Entry'!$\$702), "", 'Data Entry'!$\$702)</f>
      </c>
      <c r="AC702">
        <f>IF(ISBLANK('Data Entry'!$]$702), "", 'Data Entry'!$]$702)</f>
      </c>
      <c r="AD702">
        <f>IF(ISBLANK('Data Entry'!$^$702), "", 'Data Entry'!$^$702)</f>
      </c>
      <c r="AE702">
        <f>IF(ISBLANK('Data Entry'!$_$702), "", 'Data Entry'!$_$702)</f>
      </c>
      <c r="AF702">
        <f>IF(ISBLANK('Data Entry'!$`$702), "", 'Data Entry'!$`$702)</f>
      </c>
      <c r="AG702">
        <f>IF(ISBLANK('Data Entry'!$a$702), "", 'Data Entry'!$a$702)</f>
      </c>
      <c r="AH702">
        <f>IF(ISBLANK('Data Entry'!$b$702), "", 'Data Entry'!$b$702)</f>
      </c>
      <c r="AI702">
        <f>IF(ISBLANK('Data Entry'!$c$702), "", 'Data Entry'!$c$702)</f>
      </c>
      <c r="AJ702">
        <f>IF(ISBLANK('Data Entry'!$d$702), "", 'Data Entry'!$d$702)</f>
      </c>
      <c r="AK702">
        <f>IF(ISBLANK('Data Entry'!$e$702), "", 'Data Entry'!$e$702)</f>
      </c>
      <c r="AL702">
        <f>IF(ISBLANK('Data Entry'!$f$702), "", 'Data Entry'!$f$702)</f>
      </c>
      <c r="AM702">
        <f>IF(ISBLANK('Data Entry'!$g$702), "", 'Data Entry'!$g$702)</f>
      </c>
      <c r="AN702">
        <f>IF(ISBLANK('Data Entry'!$h$702), "", 'Data Entry'!$h$702)</f>
      </c>
      <c r="AO702">
        <f>IF(ISBLANK('Data Entry'!$i$702), "", 'Data Entry'!$i$702)</f>
      </c>
      <c r="AP702">
        <f>IF(ISBLANK('Data Entry'!$j$702), "", 'Data Entry'!$j$702)</f>
      </c>
      <c r="AQ702">
        <f>IF(ISBLANK('Data Entry'!$k$702), "", 'Data Entry'!$k$702)</f>
      </c>
      <c r="AR702">
        <f>IF(ISBLANK('Data Entry'!$l$702), "", 'Data Entry'!$l$702)</f>
      </c>
      <c r="AS702">
        <f>IF(ISBLANK('Data Entry'!$m$702), "", 'Data Entry'!$m$702)</f>
      </c>
      <c r="AT702">
        <f>IF(ISBLANK('Data Entry'!$n$702), "", 'Data Entry'!$n$702)</f>
      </c>
      <c r="AU702">
        <f>IF(ISBLANK('Data Entry'!$o$702), "", 'Data Entry'!$o$702)</f>
      </c>
      <c r="AV702">
        <f>IF(ISBLANK('Data Entry'!$p$702), "", 'Data Entry'!$p$702)</f>
      </c>
      <c r="AW702">
        <f>IF(ISBLANK('Data Entry'!$q$702), "", 'Data Entry'!$q$702)</f>
      </c>
      <c r="AX702">
        <f>IF(ISBLANK('Data Entry'!$r$702), "", 'Data Entry'!$r$702)</f>
      </c>
      <c r="AY702">
        <f>IF(ISBLANK('Data Entry'!$s$702), "", 'Data Entry'!$s$702)</f>
      </c>
      <c r="AZ702">
        <f>IF(ISBLANK('Data Entry'!$t$702), "", 'Data Entry'!$t$702)</f>
      </c>
      <c r="BA702">
        <f>IF(ISBLANK('Data Entry'!$u$702), "", 'Data Entry'!$u$702)</f>
      </c>
      <c r="BB702">
        <f>IF(ISBLANK('Data Entry'!$v$702), "", 'Data Entry'!$v$702)</f>
      </c>
      <c r="BC702">
        <f>IF(ISBLANK('Data Entry'!$w$702), "", 'Data Entry'!$w$702)</f>
      </c>
      <c r="BD702">
        <f>IF(ISBLANK('Data Entry'!$x$702), "", 'Data Entry'!$x$702)</f>
      </c>
      <c r="BE702">
        <f>IF(ISBLANK('Data Entry'!$y$702), "", 'Data Entry'!$y$702)</f>
      </c>
      <c r="BF702">
        <f>IF(ISBLANK('Data Entry'!$z$702), "", 'Data Entry'!$z$702)</f>
      </c>
      <c r="BG702">
        <f>IF(ISBLANK('Data Entry'!${$702), "", 'Data Entry'!${$702)</f>
      </c>
      <c r="BH702">
        <f>IF(ISBLANK('Data Entry'!$|$702), "", 'Data Entry'!$|$702)</f>
      </c>
      <c r="BI702">
        <f>IF(ISBLANK('Data Entry'!$}$702), "", 'Data Entry'!$}$702)</f>
      </c>
      <c r="BJ702">
        <f>IF(ISBLANK('Data Entry'!$~$702), "", 'Data Entry'!$~$702)</f>
      </c>
      <c r="BK702">
        <f>IF(ISBLANK('Data Entry'!$$702), "", 'Data Entry'!$$702)</f>
      </c>
      <c r="BL702">
        <f>IF(ISBLANK('Data Entry'!$$702), "", 'Data Entry'!$$702)</f>
      </c>
      <c r="BM702">
        <f>IF(ISBLANK('Data Entry'!$$702), "", 'Data Entry'!$$702)</f>
      </c>
      <c r="BN702">
        <f>IF(ISBLANK('Data Entry'!$$702), "", 'Data Entry'!$$702)</f>
      </c>
      <c r="BO702">
        <f>IF(ISBLANK('Data Entry'!$$702), "", 'Data Entry'!$$702)</f>
      </c>
      <c r="BP702">
        <f>IF(ISBLANK('Data Entry'!$$702), "", 'Data Entry'!$$702)</f>
      </c>
      <c r="BQ702">
        <f>IF(ISBLANK('Data Entry'!$$702), "", 'Data Entry'!$$702)</f>
      </c>
      <c r="BR702">
        <f>IF(ISBLANK('Data Entry'!$$702), "", 'Data Entry'!$$702)</f>
      </c>
      <c r="BS702">
        <f>IF(ISBLANK('Data Entry'!$$702), "", 'Data Entry'!$$702)</f>
      </c>
      <c r="BT702">
        <f>IF(ISBLANK('Data Entry'!$$702), "", 'Data Entry'!$$702)</f>
      </c>
      <c r="BU702">
        <f>IF(ISBLANK('Data Entry'!$$702), "", 'Data Entry'!$$702)</f>
      </c>
      <c r="BV702">
        <f>IF(ISBLANK('Data Entry'!$$702), "", 'Data Entry'!$$702)</f>
      </c>
      <c r="BW702">
        <f>IF(ISBLANK('Data Entry'!$$702), "", 'Data Entry'!$$702)</f>
      </c>
      <c r="BX702">
        <f>IF(ISBLANK('Data Entry'!$$702), "", 'Data Entry'!$$702)</f>
      </c>
      <c r="BY702">
        <f>IF(ISBLANK('Data Entry'!$$702), "", 'Data Entry'!$$702)</f>
      </c>
      <c r="BZ702">
        <f>IF(ISBLANK('Data Entry'!$$702), "", 'Data Entry'!$$702)</f>
      </c>
      <c r="CA702">
        <f>IF(ISBLANK('Data Entry'!$$702), "", 'Data Entry'!$$702)</f>
      </c>
      <c r="CB702">
        <f>IF(ISBLANK('Data Entry'!$$702), "", 'Data Entry'!$$702)</f>
      </c>
      <c r="CC702">
        <f>IF(ISBLANK('Data Entry'!$$702), "", 'Data Entry'!$$702)</f>
      </c>
      <c r="CD702">
        <f>IF(ISBLANK('Data Entry'!$$702), "", 'Data Entry'!$$702)</f>
      </c>
      <c r="CE702">
        <f>IF(ISBLANK('Data Entry'!$$702), "", 'Data Entry'!$$702)</f>
      </c>
      <c r="CF702">
        <f>IF(ISBLANK('Data Entry'!$$702), "", 'Data Entry'!$$702)</f>
      </c>
      <c r="CG702">
        <f>IF(ISBLANK('Data Entry'!$$702), "", 'Data Entry'!$$702)</f>
      </c>
      <c r="CH702">
        <f>IF(ISBLANK('Data Entry'!$$702), "", 'Data Entry'!$$702)</f>
      </c>
      <c r="CI702">
        <f>IF(ISBLANK('Data Entry'!$$702), "", 'Data Entry'!$$702)</f>
      </c>
      <c r="CJ702">
        <f>IF(ISBLANK('Data Entry'!$$702), "", 'Data Entry'!$$702)</f>
      </c>
      <c r="CK702">
        <f>IF(ISBLANK('Data Entry'!$$702), "", 'Data Entry'!$$702)</f>
      </c>
      <c r="CL702">
        <f>IF(ISBLANK('Data Entry'!$$702), "", 'Data Entry'!$$702)</f>
      </c>
      <c r="CM702">
        <f>IF(ISBLANK('Data Entry'!$$702), "", 'Data Entry'!$$702)</f>
      </c>
      <c r="CN702">
        <f>IF(ISBLANK('Data Entry'!$$702), "", 'Data Entry'!$$702)</f>
      </c>
      <c r="CO702">
        <f>IF(ISBLANK('Data Entry'!$$702), "", 'Data Entry'!$$702)</f>
      </c>
      <c r="CP702">
        <f>IF(ISBLANK('Data Entry'!$$702), "", 'Data Entry'!$$702)</f>
      </c>
      <c r="CQ702">
        <f>IF(ISBLANK('Data Entry'!$$702), "", 'Data Entry'!$$702)</f>
      </c>
      <c r="CR702">
        <f>IF(ISBLANK('Data Entry'!$ $702), "", 'Data Entry'!$ $702)</f>
      </c>
      <c r="CS702">
        <f>IF(ISBLANK('Data Entry'!$¡$702), "", 'Data Entry'!$¡$702)</f>
      </c>
      <c r="CT702">
        <f>IF(ISBLANK('Data Entry'!$¢$702), "", 'Data Entry'!$¢$702)</f>
      </c>
      <c r="CU702">
        <f>IF(ISBLANK('Data Entry'!$£$702), "", 'Data Entry'!$£$702)</f>
      </c>
      <c r="CV702">
        <f>IF(ISBLANK('Data Entry'!$¤$702), "", 'Data Entry'!$¤$702)</f>
      </c>
      <c r="CW702">
        <f>IF(ISBLANK('Data Entry'!$¥$702), "", 'Data Entry'!$¥$702)</f>
      </c>
      <c r="CX702">
        <f>IF(ISBLANK('Data Entry'!$¦$702), "", 'Data Entry'!$¦$702)</f>
      </c>
      <c r="CY702">
        <f>IF(ISBLANK('Data Entry'!$§$702), "", 'Data Entry'!$§$702)</f>
      </c>
      <c r="CZ702">
        <f>IF(ISBLANK('Data Entry'!$¨$702), "", 'Data Entry'!$¨$702)</f>
      </c>
      <c r="DA702">
        <f>IF(ISBLANK('Data Entry'!$©$702), "", 'Data Entry'!$©$702)</f>
      </c>
      <c r="DB702">
        <f>IF(ISBLANK('Data Entry'!$ª$702), "", 'Data Entry'!$ª$702)</f>
      </c>
      <c r="DC702">
        <f>IF(ISBLANK('Data Entry'!$«$702), "", 'Data Entry'!$«$702)</f>
      </c>
      <c r="DD702">
        <f>IF(ISBLANK('Data Entry'!$¬$702), "", 'Data Entry'!$¬$702)</f>
      </c>
      <c r="DE702">
        <f>IF(ISBLANK('Data Entry'!$­$702), "", 'Data Entry'!$­$702)</f>
      </c>
      <c r="DF702">
        <f>IF(ISBLANK('Data Entry'!$®$702), "", 'Data Entry'!$®$702)</f>
      </c>
      <c r="DG702">
        <f>IF(ISBLANK('Data Entry'!$¯$702), "", 'Data Entry'!$¯$702)</f>
      </c>
      <c r="DH702">
        <f>IF(ISBLANK('Data Entry'!$°$702), "", 'Data Entry'!$°$702)</f>
      </c>
      <c r="DI702">
        <f>IF(ISBLANK('Data Entry'!$±$702), "", 'Data Entry'!$±$702)</f>
      </c>
      <c r="DJ702">
        <f>IF(ISBLANK('Data Entry'!$²$702), "", 'Data Entry'!$²$702)</f>
      </c>
      <c r="DK702">
        <f>IF(ISBLANK('Data Entry'!$³$702), "", 'Data Entry'!$³$702)</f>
      </c>
      <c r="DL702">
        <f>IF(ISBLANK('Data Entry'!$´$702), "", 'Data Entry'!$´$702)</f>
      </c>
      <c r="DM702">
        <f>IF(ISBLANK('Data Entry'!$µ$702), "", 'Data Entry'!$µ$702)</f>
      </c>
      <c r="DN702">
        <f>IF(ISBLANK('Data Entry'!$¶$702), "", 'Data Entry'!$¶$702)</f>
      </c>
      <c r="DO702">
        <f>IF(ISBLANK('Data Entry'!$·$702), "", 'Data Entry'!$·$702)</f>
      </c>
      <c r="DP702">
        <f>IF(ISBLANK('Data Entry'!$¸$702), "", 'Data Entry'!$¸$702)</f>
      </c>
      <c r="DQ702">
        <f>IF(ISBLANK('Data Entry'!$¹$702), "", 'Data Entry'!$¹$702)</f>
      </c>
      <c r="DR702">
        <f>IF(ISBLANK('Data Entry'!$º$702), "", 'Data Entry'!$º$702)</f>
      </c>
      <c r="DS702">
        <f>IF(ISBLANK('Data Entry'!$»$702), "", 'Data Entry'!$»$702)</f>
      </c>
      <c r="DT702">
        <f>IF(ISBLANK('Data Entry'!$¼$702), "", 'Data Entry'!$¼$702)</f>
      </c>
      <c r="DU702">
        <f>IF(ISBLANK('Data Entry'!$½$702), "", 'Data Entry'!$½$702)</f>
      </c>
      <c r="DV702">
        <f>IF(ISBLANK('Data Entry'!$¾$702), "", 'Data Entry'!$¾$702)</f>
      </c>
      <c r="DW702">
        <f>IF(ISBLANK('Data Entry'!$¿$702), "", 'Data Entry'!$¿$702)</f>
      </c>
      <c r="DX702">
        <f>IF(ISBLANK('Data Entry'!$À$702), "", 'Data Entry'!$À$702)</f>
      </c>
      <c r="DY702">
        <f>IF(ISBLANK('Data Entry'!$Á$702), "", 'Data Entry'!$Á$702)</f>
      </c>
      <c r="DZ702">
        <f>IF(ISBLANK('Data Entry'!$Â$702), "", 'Data Entry'!$Â$702)</f>
      </c>
      <c r="EA702">
        <f>IF(ISBLANK('Data Entry'!$Ã$702), "", 'Data Entry'!$Ã$702)</f>
      </c>
      <c r="EB702">
        <f>IF(ISBLANK('Data Entry'!$Ä$702), "", 'Data Entry'!$Ä$702)</f>
      </c>
      <c r="EC702">
        <f>IF(ISBLANK('Data Entry'!$Å$702), "", 'Data Entry'!$Å$702)</f>
      </c>
      <c r="ED702">
        <f>IF(ISBLANK('Data Entry'!$Æ$702), "", 'Data Entry'!$Æ$702)</f>
      </c>
      <c r="EE702">
        <f>IF(ISBLANK('Data Entry'!$Ç$702), "", 'Data Entry'!$Ç$702)</f>
      </c>
      <c r="EF702">
        <f>IF(ISBLANK('Data Entry'!$È$702), "", 'Data Entry'!$È$702)</f>
      </c>
      <c r="EG702">
        <f>IF(ISBLANK('Data Entry'!$É$702), "", 'Data Entry'!$É$702)</f>
      </c>
      <c r="EH702">
        <f>IF(ISBLANK('Data Entry'!$Ê$702), "", 'Data Entry'!$Ê$702)</f>
      </c>
      <c r="EI702">
        <f>IF(ISBLANK('Data Entry'!$Ë$702), "", 'Data Entry'!$Ë$702)</f>
      </c>
      <c r="EJ702">
        <f>IF(ISBLANK('Data Entry'!$Ì$702), "", 'Data Entry'!$Ì$702)</f>
      </c>
      <c r="EK702">
        <f>IF(ISBLANK('Data Entry'!$Í$702), "", 'Data Entry'!$Í$702)</f>
      </c>
      <c r="EL702">
        <f>IF(ISBLANK('Data Entry'!$Î$702), "", 'Data Entry'!$Î$702)</f>
      </c>
      <c r="EM702">
        <f>IF(ISBLANK('Data Entry'!$Ï$702), "", 'Data Entry'!$Ï$702)</f>
      </c>
      <c r="EN702">
        <f>IF(ISBLANK('Data Entry'!$Ð$702), "", 'Data Entry'!$Ð$702)</f>
      </c>
      <c r="EO702">
        <f>IF(ISBLANK('Data Entry'!$Ñ$702), "", 'Data Entry'!$Ñ$702)</f>
      </c>
      <c r="EP702">
        <f>IF(ISBLANK('Data Entry'!$Ò$702), "", 'Data Entry'!$Ò$702)</f>
      </c>
      <c r="EQ702">
        <f>IF(ISBLANK('Data Entry'!$Ó$702), "", 'Data Entry'!$Ó$702)</f>
      </c>
      <c r="ER702">
        <f>IF(ISBLANK('Data Entry'!$Ô$702), "", 'Data Entry'!$Ô$702)</f>
      </c>
      <c r="ES702">
        <f>IF(ISBLANK('Data Entry'!$Õ$702), "", 'Data Entry'!$Õ$702)</f>
      </c>
      <c r="ET702">
        <f>IF(ISBLANK('Data Entry'!$Ö$702), "", 'Data Entry'!$Ö$702)</f>
      </c>
      <c r="EU702">
        <f>IF(ISBLANK('Data Entry'!$×$702), "", 'Data Entry'!$×$702)</f>
      </c>
      <c r="EV702">
        <f>IF(ISBLANK('Data Entry'!$Ø$702), "", 'Data Entry'!$Ø$702)</f>
      </c>
      <c r="EW702">
        <f>IF(ISBLANK('Data Entry'!$Ù$702), "", 'Data Entry'!$Ù$702)</f>
      </c>
      <c r="EX702">
        <f>IF(ISBLANK('Data Entry'!$Ú$702), "", 'Data Entry'!$Ú$702)</f>
      </c>
      <c r="EY702">
        <f>IF(ISBLANK('Data Entry'!$Û$702), "", 'Data Entry'!$Û$702)</f>
      </c>
      <c r="EZ702">
        <f>IF(ISBLANK('Data Entry'!$Ü$702), "", 'Data Entry'!$Ü$702)</f>
      </c>
      <c r="FA702">
        <f>IF(ISBLANK('Data Entry'!$Ý$702), "", 'Data Entry'!$Ý$702)</f>
      </c>
      <c r="FB702">
        <f>IF(ISBLANK('Data Entry'!$Þ$702), "", 'Data Entry'!$Þ$702)</f>
      </c>
      <c r="FC702">
        <f>IF(ISBLANK('Data Entry'!$ß$702), "", 'Data Entry'!$ß$702)</f>
      </c>
      <c r="FD702">
        <f>IF(ISBLANK('Data Entry'!$à$702), "", 'Data Entry'!$à$702)</f>
      </c>
      <c r="FE702">
        <f>IF(ISBLANK('Data Entry'!$á$702), "", 'Data Entry'!$á$702)</f>
      </c>
      <c r="FF702">
        <f>IF(ISBLANK('Data Entry'!$â$702), "", 'Data Entry'!$â$702)</f>
      </c>
      <c r="FG702">
        <f>IF(ISBLANK('Data Entry'!$ã$702), "", 'Data Entry'!$ã$702)</f>
      </c>
      <c r="FH702">
        <f>IF(ISBLANK('Data Entry'!$ä$702), "", 'Data Entry'!$ä$702)</f>
      </c>
      <c r="FI702">
        <f>IF(ISBLANK('Data Entry'!$å$702), "", 'Data Entry'!$å$702)</f>
      </c>
      <c r="FJ702">
        <f>IF(ISBLANK('Data Entry'!$æ$702), "", 'Data Entry'!$æ$702)</f>
      </c>
      <c r="FK702">
        <f>IF(ISBLANK('Data Entry'!$ç$702), "", 'Data Entry'!$ç$702)</f>
      </c>
      <c r="FL702">
        <f>IF(ISBLANK('Data Entry'!$è$702), "", 'Data Entry'!$è$702)</f>
      </c>
      <c r="FM702">
        <f>IF(ISBLANK('Data Entry'!$é$702), "", 'Data Entry'!$é$702)</f>
      </c>
      <c r="FN702">
        <f>IF(ISBLANK('Data Entry'!$ê$702), "", 'Data Entry'!$ê$702)</f>
      </c>
      <c r="FO702">
        <f>IF(ISBLANK('Data Entry'!$ë$702), "", 'Data Entry'!$ë$702)</f>
      </c>
      <c r="FP702">
        <f>IF(ISBLANK('Data Entry'!$ì$702), "", 'Data Entry'!$ì$702)</f>
      </c>
      <c r="FQ702">
        <f>IF(ISBLANK('Data Entry'!$í$702), "", 'Data Entry'!$í$702)</f>
      </c>
      <c r="FR702">
        <f>IF(ISBLANK('Data Entry'!$î$702), "", 'Data Entry'!$î$702)</f>
      </c>
      <c r="FS702">
        <f>IF(ISBLANK('Data Entry'!$ï$702), "", 'Data Entry'!$ï$702)</f>
      </c>
      <c r="FT702">
        <f>IF(ISBLANK('Data Entry'!$ð$702), "", 'Data Entry'!$ð$702)</f>
      </c>
      <c r="FU702">
        <f>IF(ISBLANK('Data Entry'!$ñ$702), "", 'Data Entry'!$ñ$702)</f>
      </c>
      <c r="FV702">
        <f>IF(ISBLANK('Data Entry'!$ò$702), "", 'Data Entry'!$ò$702)</f>
      </c>
      <c r="FW702">
        <f>IF(ISBLANK('Data Entry'!$ó$702), "", 'Data Entry'!$ó$702)</f>
      </c>
      <c r="FX702">
        <f>IF(ISBLANK('Data Entry'!$ô$702), "", 'Data Entry'!$ô$702)</f>
      </c>
      <c r="FY702">
        <f>IF(ISBLANK('Data Entry'!$õ$702), "", 'Data Entry'!$õ$702)</f>
      </c>
      <c r="FZ702">
        <f>IF(ISBLANK('Data Entry'!$ö$702), "", 'Data Entry'!$ö$702)</f>
      </c>
      <c r="GA702">
        <f>IF(ISBLANK('Data Entry'!$÷$702), "", 'Data Entry'!$÷$702)</f>
      </c>
      <c r="GB702">
        <f>IF(ISBLANK('Data Entry'!$ø$702), "", 'Data Entry'!$ø$702)</f>
      </c>
      <c r="GC702">
        <f>IF(ISBLANK('Data Entry'!$ù$702), "", 'Data Entry'!$ù$702)</f>
      </c>
      <c r="GD702">
        <f>IF(ISBLANK('Data Entry'!$ú$702), "", 'Data Entry'!$ú$702)</f>
      </c>
      <c r="GE702">
        <f>IF(ISBLANK('Data Entry'!$û$702), "", 'Data Entry'!$û$702)</f>
      </c>
      <c r="GF702">
        <f>IF(ISBLANK('Data Entry'!$ü$702), "", 'Data Entry'!$ü$702)</f>
      </c>
      <c r="GG702">
        <f>IF(ISBLANK('Data Entry'!$ý$702), "", 'Data Entry'!$ý$702)</f>
      </c>
      <c r="GH702">
        <f>IF(ISBLANK('Data Entry'!$þ$702), "", 'Data Entry'!$þ$702)</f>
      </c>
      <c r="GI702">
        <f>IF(ISBLANK('Data Entry'!$ÿ$702), "", 'Data Entry'!$ÿ$702)</f>
      </c>
      <c r="GJ702">
        <f>IF(ISBLANK('Data Entry'!$Ā$702), "", 'Data Entry'!$Ā$702)</f>
      </c>
      <c r="GK702">
        <f>IF(ISBLANK('Data Entry'!$ā$702), "", 'Data Entry'!$ā$702)</f>
      </c>
      <c r="GL702">
        <f>IF(ISBLANK('Data Entry'!$Ă$702), "", 'Data Entry'!$Ă$702)</f>
      </c>
      <c r="GM702">
        <f>IF(ISBLANK('Data Entry'!$ă$702), "", 'Data Entry'!$ă$702)</f>
      </c>
      <c r="GN702">
        <f>IF(ISBLANK('Data Entry'!$Ą$702), "", 'Data Entry'!$Ą$702)</f>
      </c>
      <c r="GO702">
        <f>IF(ISBLANK('Data Entry'!$ą$702), "", 'Data Entry'!$ą$702)</f>
      </c>
      <c r="GP702">
        <f>IF(ISBLANK('Data Entry'!$Ć$702), "", 'Data Entry'!$Ć$702)</f>
      </c>
      <c r="GQ702">
        <f>IF(ISBLANK('Data Entry'!$ć$702), "", 'Data Entry'!$ć$702)</f>
      </c>
      <c r="GR702">
        <f>IF(ISBLANK('Data Entry'!$Ĉ$702), "", 'Data Entry'!$Ĉ$702)</f>
      </c>
      <c r="GS702">
        <f>IF(ISBLANK('Data Entry'!$ĉ$702), "", 'Data Entry'!$ĉ$702)</f>
      </c>
      <c r="GT702">
        <f>IF(ISBLANK('Data Entry'!$Ċ$702), "", 'Data Entry'!$Ċ$702)</f>
      </c>
      <c r="GU702">
        <f>IF(ISBLANK('Data Entry'!$ċ$702), "", 'Data Entry'!$ċ$702)</f>
      </c>
      <c r="GV702">
        <f>IF(ISBLANK('Data Entry'!$Č$702), "", 'Data Entry'!$Č$702)</f>
      </c>
      <c r="GW702">
        <f>IF(ISBLANK('Data Entry'!$č$702), "", 'Data Entry'!$č$702)</f>
      </c>
      <c r="GX702">
        <f>IF(ISBLANK('Data Entry'!$Ď$702), "", 'Data Entry'!$Ď$702)</f>
      </c>
      <c r="GY702">
        <f>IF(ISBLANK('Data Entry'!$ď$702), "", 'Data Entry'!$ď$702)</f>
      </c>
      <c r="GZ702">
        <f>IF(ISBLANK('Data Entry'!$Đ$702), "", 'Data Entry'!$Đ$702)</f>
      </c>
      <c r="HA702">
        <f>IF(ISBLANK('Data Entry'!$đ$702), "", 'Data Entry'!$đ$702)</f>
      </c>
      <c r="HB702">
        <f>IF(ISBLANK('Data Entry'!$Ē$702), "", 'Data Entry'!$Ē$702)</f>
      </c>
      <c r="HC702">
        <f>IF(ISBLANK('Data Entry'!$ē$702), "", 'Data Entry'!$ē$702)</f>
      </c>
      <c r="HD702">
        <f>IF(ISBLANK('Data Entry'!$Ĕ$702), "", 'Data Entry'!$Ĕ$702)</f>
      </c>
      <c r="HE702">
        <f>IF(ISBLANK('Data Entry'!$ĕ$702), "", 'Data Entry'!$ĕ$702)</f>
      </c>
      <c r="HF702">
        <f>IF(ISBLANK('Data Entry'!$Ė$702), "", 'Data Entry'!$Ė$702)</f>
      </c>
      <c r="HG702">
        <f>IF(ISBLANK('Data Entry'!$ė$702), "", 'Data Entry'!$ė$702)</f>
      </c>
      <c r="HH702">
        <f>IF(ISBLANK('Data Entry'!$Ę$702), "", 'Data Entry'!$Ę$702)</f>
      </c>
      <c r="HI702">
        <f>IF(ISBLANK('Data Entry'!$ę$702), "", 'Data Entry'!$ę$702)</f>
      </c>
      <c r="HJ702">
        <f>IF(ISBLANK('Data Entry'!$Ě$702), "", 'Data Entry'!$Ě$702)</f>
      </c>
      <c r="HK702">
        <f>IF(ISBLANK('Data Entry'!$ě$702), "", 'Data Entry'!$ě$702)</f>
      </c>
      <c r="HL702">
        <f>IF(ISBLANK('Data Entry'!$Ĝ$702), "", 'Data Entry'!$Ĝ$702)</f>
      </c>
      <c r="HM702">
        <f>IF(ISBLANK('Data Entry'!$ĝ$702), "", 'Data Entry'!$ĝ$702)</f>
      </c>
      <c r="HN702">
        <f>IF(ISBLANK('Data Entry'!$Ğ$702), "", 'Data Entry'!$Ğ$702)</f>
      </c>
      <c r="HO702">
        <f>IF(ISBLANK('Data Entry'!$ğ$702), "", 'Data Entry'!$ğ$702)</f>
      </c>
      <c r="HP702">
        <f>IF(ISBLANK('Data Entry'!$Ġ$702), "", 'Data Entry'!$Ġ$702)</f>
      </c>
      <c r="HQ702">
        <f>IF(ISBLANK('Data Entry'!$ġ$702), "", 'Data Entry'!$ġ$702)</f>
      </c>
      <c r="HR702">
        <f>IF(ISBLANK('Data Entry'!$Ģ$702), "", 'Data Entry'!$Ģ$702)</f>
      </c>
      <c r="HS702">
        <f>IF(ISBLANK('Data Entry'!$ģ$702), "", 'Data Entry'!$ģ$702)</f>
      </c>
      <c r="HT702">
        <f>IF(ISBLANK('Data Entry'!$Ĥ$702), "", 'Data Entry'!$Ĥ$702)</f>
      </c>
      <c r="HU702">
        <f>IF(ISBLANK('Data Entry'!$ĥ$702), "", 'Data Entry'!$ĥ$702)</f>
      </c>
      <c r="HV702">
        <f>IF(ISBLANK('Data Entry'!$Ħ$702), "", 'Data Entry'!$Ħ$702)</f>
      </c>
      <c r="HW702">
        <f>IF(ISBLANK('Data Entry'!$ħ$702), "", 'Data Entry'!$ħ$702)</f>
      </c>
      <c r="HX702">
        <f>IF(ISBLANK('Data Entry'!$Ĩ$702), "", 'Data Entry'!$Ĩ$702)</f>
      </c>
      <c r="HY702">
        <f>IF(ISBLANK('Data Entry'!$ĩ$702), "", 'Data Entry'!$ĩ$702)</f>
      </c>
      <c r="HZ702">
        <f>IF(ISBLANK('Data Entry'!$Ī$702), "", 'Data Entry'!$Ī$702)</f>
      </c>
      <c r="IA702">
        <f>IF(ISBLANK('Data Entry'!$ī$702), "", 'Data Entry'!$ī$702)</f>
      </c>
      <c r="IB702">
        <f>IF(ISBLANK('Data Entry'!$Ĭ$702), "", 'Data Entry'!$Ĭ$702)</f>
      </c>
      <c r="IC702">
        <f>IF(ISBLANK('Data Entry'!$ĭ$702), "", 'Data Entry'!$ĭ$702)</f>
      </c>
      <c r="ID702">
        <f>IF(ISBLANK('Data Entry'!$Į$702), "", 'Data Entry'!$Į$702)</f>
      </c>
      <c r="IE702">
        <f>IF(ISBLANK('Data Entry'!$į$702), "", 'Data Entry'!$į$702)</f>
      </c>
      <c r="IF702">
        <f>IF(ISBLANK('Data Entry'!$İ$702), "", 'Data Entry'!$İ$702)</f>
      </c>
      <c r="IG702">
        <f>IF(ISBLANK('Data Entry'!$ı$702), "", 'Data Entry'!$ı$702)</f>
      </c>
      <c r="IH702">
        <f>IF(ISBLANK('Data Entry'!$Ĳ$702), "", 'Data Entry'!$Ĳ$702)</f>
      </c>
      <c r="II702">
        <f>IF(ISBLANK('Data Entry'!$ĳ$702), "", 'Data Entry'!$ĳ$702)</f>
      </c>
      <c r="IJ702">
        <f>IF(ISBLANK('Data Entry'!$Ĵ$702), "", 'Data Entry'!$Ĵ$702)</f>
      </c>
      <c r="IK702">
        <f>IF(ISBLANK('Data Entry'!$ĵ$702), "", 'Data Entry'!$ĵ$702)</f>
      </c>
      <c r="IL702">
        <f>IF(ISBLANK('Data Entry'!$Ķ$702), "", 'Data Entry'!$Ķ$702)</f>
      </c>
      <c r="IM702">
        <f>IF(ISBLANK('Data Entry'!$ķ$702), "", 'Data Entry'!$ķ$702)</f>
      </c>
      <c r="IN702">
        <f>IF(ISBLANK('Data Entry'!$ĸ$702), "", 'Data Entry'!$ĸ$702)</f>
      </c>
      <c r="IO702">
        <f>IF(ISBLANK('Data Entry'!$Ĺ$702), "", 'Data Entry'!$Ĺ$702)</f>
      </c>
      <c r="IP702">
        <f>IF(ISBLANK('Data Entry'!$ĺ$702), "", 'Data Entry'!$ĺ$702)</f>
      </c>
      <c r="IQ702">
        <f>IF(ISBLANK('Data Entry'!$Ļ$702), "", 'Data Entry'!$Ļ$702)</f>
      </c>
      <c r="IR702">
        <f>IF(ISBLANK('Data Entry'!$ļ$702), "", 'Data Entry'!$ļ$702)</f>
      </c>
      <c r="IS702">
        <f>IF(ISBLANK('Data Entry'!$Ľ$702), "", 'Data Entry'!$Ľ$702)</f>
      </c>
      <c r="IT702">
        <f>IF(ISBLANK('Data Entry'!$ľ$702), "", 'Data Entry'!$ľ$702)</f>
      </c>
    </row>
    <row r="703" spans="1:254" x14ac:dyDescent="0.25">
      <c r="A703">
        <f>IF(ISBLANK('Data Entry'!$A$703), "", 'Data Entry'!$A$703)</f>
      </c>
      <c r="B703">
        <f>IF(ISBLANK('Data Entry'!$B$703), "", 'Data Entry'!$B$703)</f>
      </c>
      <c r="C703">
        <f>IF(ISBLANK('Data Entry'!$C$703), "", 'Data Entry'!$C$703)</f>
      </c>
      <c r="D703">
        <f>IF(ISBLANK('Data Entry'!$D$703), "", 'Data Entry'!$D$703)</f>
      </c>
      <c r="E703">
        <f>IF(ISBLANK('Data Entry'!$E$703), "", 'Data Entry'!$E$703)</f>
      </c>
      <c r="F703">
        <f>IF(ISBLANK('Data Entry'!$F$703), "", 'Data Entry'!$F$703)</f>
      </c>
      <c r="G703">
        <f>IF(ISBLANK('Data Entry'!$G$703), "", 'Data Entry'!$G$703)</f>
      </c>
      <c r="H703">
        <f>IF(ISBLANK('Data Entry'!$H$703), "", 'Data Entry'!$H$703)</f>
      </c>
      <c r="I703">
        <f>IF(ISBLANK('Data Entry'!$I$703), "", 'Data Entry'!$I$703)</f>
      </c>
      <c r="J703">
        <f>IF(ISBLANK('Data Entry'!$J$703), "", 'Data Entry'!$J$703)</f>
      </c>
      <c r="K703">
        <f>IF(ISBLANK('Data Entry'!$K$703), "", 'Data Entry'!$K$703)</f>
      </c>
      <c r="L703">
        <f>IF(ISBLANK('Data Entry'!$L$703), "", 'Data Entry'!$L$703)</f>
      </c>
      <c r="M703">
        <f>IF(ISBLANK('Data Entry'!$M$703), "", 'Data Entry'!$M$703)</f>
      </c>
      <c r="N703">
        <f>IF(ISBLANK('Data Entry'!$N$703), "", 'Data Entry'!$N$703)</f>
      </c>
      <c r="O703">
        <f>IF(ISBLANK('Data Entry'!$O$703), "", 'Data Entry'!$O$703)</f>
      </c>
      <c r="P703">
        <f>IF(ISBLANK('Data Entry'!$P$703), "", 'Data Entry'!$P$703)</f>
      </c>
      <c r="Q703">
        <f>IF(ISBLANK('Data Entry'!$Q$703), "", 'Data Entry'!$Q$703)</f>
      </c>
      <c r="R703">
        <f>IF(ISBLANK('Data Entry'!$R$703), "", 'Data Entry'!$R$703)</f>
      </c>
      <c r="S703">
        <f>IF(ISBLANK('Data Entry'!$S$703), "", 'Data Entry'!$S$703)</f>
      </c>
      <c r="T703">
        <f>IF(ISBLANK('Data Entry'!$T$703), "", 'Data Entry'!$T$703)</f>
      </c>
      <c r="U703">
        <f>IF(ISBLANK('Data Entry'!$U$703), "", 'Data Entry'!$U$703)</f>
      </c>
      <c r="V703">
        <f>IF(ISBLANK('Data Entry'!$V$703), "", 'Data Entry'!$V$703)</f>
      </c>
      <c r="W703">
        <f>IF(ISBLANK('Data Entry'!$W$703), "", 'Data Entry'!$W$703)</f>
      </c>
      <c r="X703">
        <f>IF(ISBLANK('Data Entry'!$X$703), "", 'Data Entry'!$X$703)</f>
      </c>
      <c r="Y703">
        <f>IF(ISBLANK('Data Entry'!$Y$703), "", 'Data Entry'!$Y$703)</f>
      </c>
      <c r="Z703">
        <f>IF(ISBLANK('Data Entry'!$Z$703), "", 'Data Entry'!$Z$703)</f>
      </c>
      <c r="AA703">
        <f>IF(ISBLANK('Data Entry'!$[$703), "", 'Data Entry'!$[$703)</f>
      </c>
      <c r="AB703">
        <f>IF(ISBLANK('Data Entry'!$\$703), "", 'Data Entry'!$\$703)</f>
      </c>
      <c r="AC703">
        <f>IF(ISBLANK('Data Entry'!$]$703), "", 'Data Entry'!$]$703)</f>
      </c>
      <c r="AD703">
        <f>IF(ISBLANK('Data Entry'!$^$703), "", 'Data Entry'!$^$703)</f>
      </c>
      <c r="AE703">
        <f>IF(ISBLANK('Data Entry'!$_$703), "", 'Data Entry'!$_$703)</f>
      </c>
      <c r="AF703">
        <f>IF(ISBLANK('Data Entry'!$`$703), "", 'Data Entry'!$`$703)</f>
      </c>
      <c r="AG703">
        <f>IF(ISBLANK('Data Entry'!$a$703), "", 'Data Entry'!$a$703)</f>
      </c>
      <c r="AH703">
        <f>IF(ISBLANK('Data Entry'!$b$703), "", 'Data Entry'!$b$703)</f>
      </c>
      <c r="AI703">
        <f>IF(ISBLANK('Data Entry'!$c$703), "", 'Data Entry'!$c$703)</f>
      </c>
      <c r="AJ703">
        <f>IF(ISBLANK('Data Entry'!$d$703), "", 'Data Entry'!$d$703)</f>
      </c>
      <c r="AK703">
        <f>IF(ISBLANK('Data Entry'!$e$703), "", 'Data Entry'!$e$703)</f>
      </c>
      <c r="AL703">
        <f>IF(ISBLANK('Data Entry'!$f$703), "", 'Data Entry'!$f$703)</f>
      </c>
      <c r="AM703">
        <f>IF(ISBLANK('Data Entry'!$g$703), "", 'Data Entry'!$g$703)</f>
      </c>
      <c r="AN703">
        <f>IF(ISBLANK('Data Entry'!$h$703), "", 'Data Entry'!$h$703)</f>
      </c>
      <c r="AO703">
        <f>IF(ISBLANK('Data Entry'!$i$703), "", 'Data Entry'!$i$703)</f>
      </c>
      <c r="AP703">
        <f>IF(ISBLANK('Data Entry'!$j$703), "", 'Data Entry'!$j$703)</f>
      </c>
      <c r="AQ703">
        <f>IF(ISBLANK('Data Entry'!$k$703), "", 'Data Entry'!$k$703)</f>
      </c>
      <c r="AR703">
        <f>IF(ISBLANK('Data Entry'!$l$703), "", 'Data Entry'!$l$703)</f>
      </c>
      <c r="AS703">
        <f>IF(ISBLANK('Data Entry'!$m$703), "", 'Data Entry'!$m$703)</f>
      </c>
      <c r="AT703">
        <f>IF(ISBLANK('Data Entry'!$n$703), "", 'Data Entry'!$n$703)</f>
      </c>
      <c r="AU703">
        <f>IF(ISBLANK('Data Entry'!$o$703), "", 'Data Entry'!$o$703)</f>
      </c>
      <c r="AV703">
        <f>IF(ISBLANK('Data Entry'!$p$703), "", 'Data Entry'!$p$703)</f>
      </c>
      <c r="AW703">
        <f>IF(ISBLANK('Data Entry'!$q$703), "", 'Data Entry'!$q$703)</f>
      </c>
      <c r="AX703">
        <f>IF(ISBLANK('Data Entry'!$r$703), "", 'Data Entry'!$r$703)</f>
      </c>
      <c r="AY703">
        <f>IF(ISBLANK('Data Entry'!$s$703), "", 'Data Entry'!$s$703)</f>
      </c>
      <c r="AZ703">
        <f>IF(ISBLANK('Data Entry'!$t$703), "", 'Data Entry'!$t$703)</f>
      </c>
      <c r="BA703">
        <f>IF(ISBLANK('Data Entry'!$u$703), "", 'Data Entry'!$u$703)</f>
      </c>
      <c r="BB703">
        <f>IF(ISBLANK('Data Entry'!$v$703), "", 'Data Entry'!$v$703)</f>
      </c>
      <c r="BC703">
        <f>IF(ISBLANK('Data Entry'!$w$703), "", 'Data Entry'!$w$703)</f>
      </c>
      <c r="BD703">
        <f>IF(ISBLANK('Data Entry'!$x$703), "", 'Data Entry'!$x$703)</f>
      </c>
      <c r="BE703">
        <f>IF(ISBLANK('Data Entry'!$y$703), "", 'Data Entry'!$y$703)</f>
      </c>
      <c r="BF703">
        <f>IF(ISBLANK('Data Entry'!$z$703), "", 'Data Entry'!$z$703)</f>
      </c>
      <c r="BG703">
        <f>IF(ISBLANK('Data Entry'!${$703), "", 'Data Entry'!${$703)</f>
      </c>
      <c r="BH703">
        <f>IF(ISBLANK('Data Entry'!$|$703), "", 'Data Entry'!$|$703)</f>
      </c>
      <c r="BI703">
        <f>IF(ISBLANK('Data Entry'!$}$703), "", 'Data Entry'!$}$703)</f>
      </c>
      <c r="BJ703">
        <f>IF(ISBLANK('Data Entry'!$~$703), "", 'Data Entry'!$~$703)</f>
      </c>
      <c r="BK703">
        <f>IF(ISBLANK('Data Entry'!$$703), "", 'Data Entry'!$$703)</f>
      </c>
      <c r="BL703">
        <f>IF(ISBLANK('Data Entry'!$$703), "", 'Data Entry'!$$703)</f>
      </c>
      <c r="BM703">
        <f>IF(ISBLANK('Data Entry'!$$703), "", 'Data Entry'!$$703)</f>
      </c>
      <c r="BN703">
        <f>IF(ISBLANK('Data Entry'!$$703), "", 'Data Entry'!$$703)</f>
      </c>
      <c r="BO703">
        <f>IF(ISBLANK('Data Entry'!$$703), "", 'Data Entry'!$$703)</f>
      </c>
      <c r="BP703">
        <f>IF(ISBLANK('Data Entry'!$$703), "", 'Data Entry'!$$703)</f>
      </c>
      <c r="BQ703">
        <f>IF(ISBLANK('Data Entry'!$$703), "", 'Data Entry'!$$703)</f>
      </c>
      <c r="BR703">
        <f>IF(ISBLANK('Data Entry'!$$703), "", 'Data Entry'!$$703)</f>
      </c>
      <c r="BS703">
        <f>IF(ISBLANK('Data Entry'!$$703), "", 'Data Entry'!$$703)</f>
      </c>
      <c r="BT703">
        <f>IF(ISBLANK('Data Entry'!$$703), "", 'Data Entry'!$$703)</f>
      </c>
      <c r="BU703">
        <f>IF(ISBLANK('Data Entry'!$$703), "", 'Data Entry'!$$703)</f>
      </c>
      <c r="BV703">
        <f>IF(ISBLANK('Data Entry'!$$703), "", 'Data Entry'!$$703)</f>
      </c>
      <c r="BW703">
        <f>IF(ISBLANK('Data Entry'!$$703), "", 'Data Entry'!$$703)</f>
      </c>
      <c r="BX703">
        <f>IF(ISBLANK('Data Entry'!$$703), "", 'Data Entry'!$$703)</f>
      </c>
      <c r="BY703">
        <f>IF(ISBLANK('Data Entry'!$$703), "", 'Data Entry'!$$703)</f>
      </c>
      <c r="BZ703">
        <f>IF(ISBLANK('Data Entry'!$$703), "", 'Data Entry'!$$703)</f>
      </c>
      <c r="CA703">
        <f>IF(ISBLANK('Data Entry'!$$703), "", 'Data Entry'!$$703)</f>
      </c>
      <c r="CB703">
        <f>IF(ISBLANK('Data Entry'!$$703), "", 'Data Entry'!$$703)</f>
      </c>
      <c r="CC703">
        <f>IF(ISBLANK('Data Entry'!$$703), "", 'Data Entry'!$$703)</f>
      </c>
      <c r="CD703">
        <f>IF(ISBLANK('Data Entry'!$$703), "", 'Data Entry'!$$703)</f>
      </c>
      <c r="CE703">
        <f>IF(ISBLANK('Data Entry'!$$703), "", 'Data Entry'!$$703)</f>
      </c>
      <c r="CF703">
        <f>IF(ISBLANK('Data Entry'!$$703), "", 'Data Entry'!$$703)</f>
      </c>
      <c r="CG703">
        <f>IF(ISBLANK('Data Entry'!$$703), "", 'Data Entry'!$$703)</f>
      </c>
      <c r="CH703">
        <f>IF(ISBLANK('Data Entry'!$$703), "", 'Data Entry'!$$703)</f>
      </c>
      <c r="CI703">
        <f>IF(ISBLANK('Data Entry'!$$703), "", 'Data Entry'!$$703)</f>
      </c>
      <c r="CJ703">
        <f>IF(ISBLANK('Data Entry'!$$703), "", 'Data Entry'!$$703)</f>
      </c>
      <c r="CK703">
        <f>IF(ISBLANK('Data Entry'!$$703), "", 'Data Entry'!$$703)</f>
      </c>
      <c r="CL703">
        <f>IF(ISBLANK('Data Entry'!$$703), "", 'Data Entry'!$$703)</f>
      </c>
      <c r="CM703">
        <f>IF(ISBLANK('Data Entry'!$$703), "", 'Data Entry'!$$703)</f>
      </c>
      <c r="CN703">
        <f>IF(ISBLANK('Data Entry'!$$703), "", 'Data Entry'!$$703)</f>
      </c>
      <c r="CO703">
        <f>IF(ISBLANK('Data Entry'!$$703), "", 'Data Entry'!$$703)</f>
      </c>
      <c r="CP703">
        <f>IF(ISBLANK('Data Entry'!$$703), "", 'Data Entry'!$$703)</f>
      </c>
      <c r="CQ703">
        <f>IF(ISBLANK('Data Entry'!$$703), "", 'Data Entry'!$$703)</f>
      </c>
      <c r="CR703">
        <f>IF(ISBLANK('Data Entry'!$ $703), "", 'Data Entry'!$ $703)</f>
      </c>
      <c r="CS703">
        <f>IF(ISBLANK('Data Entry'!$¡$703), "", 'Data Entry'!$¡$703)</f>
      </c>
      <c r="CT703">
        <f>IF(ISBLANK('Data Entry'!$¢$703), "", 'Data Entry'!$¢$703)</f>
      </c>
      <c r="CU703">
        <f>IF(ISBLANK('Data Entry'!$£$703), "", 'Data Entry'!$£$703)</f>
      </c>
      <c r="CV703">
        <f>IF(ISBLANK('Data Entry'!$¤$703), "", 'Data Entry'!$¤$703)</f>
      </c>
      <c r="CW703">
        <f>IF(ISBLANK('Data Entry'!$¥$703), "", 'Data Entry'!$¥$703)</f>
      </c>
      <c r="CX703">
        <f>IF(ISBLANK('Data Entry'!$¦$703), "", 'Data Entry'!$¦$703)</f>
      </c>
      <c r="CY703">
        <f>IF(ISBLANK('Data Entry'!$§$703), "", 'Data Entry'!$§$703)</f>
      </c>
      <c r="CZ703">
        <f>IF(ISBLANK('Data Entry'!$¨$703), "", 'Data Entry'!$¨$703)</f>
      </c>
      <c r="DA703">
        <f>IF(ISBLANK('Data Entry'!$©$703), "", 'Data Entry'!$©$703)</f>
      </c>
      <c r="DB703">
        <f>IF(ISBLANK('Data Entry'!$ª$703), "", 'Data Entry'!$ª$703)</f>
      </c>
      <c r="DC703">
        <f>IF(ISBLANK('Data Entry'!$«$703), "", 'Data Entry'!$«$703)</f>
      </c>
      <c r="DD703">
        <f>IF(ISBLANK('Data Entry'!$¬$703), "", 'Data Entry'!$¬$703)</f>
      </c>
      <c r="DE703">
        <f>IF(ISBLANK('Data Entry'!$­$703), "", 'Data Entry'!$­$703)</f>
      </c>
      <c r="DF703">
        <f>IF(ISBLANK('Data Entry'!$®$703), "", 'Data Entry'!$®$703)</f>
      </c>
      <c r="DG703">
        <f>IF(ISBLANK('Data Entry'!$¯$703), "", 'Data Entry'!$¯$703)</f>
      </c>
      <c r="DH703">
        <f>IF(ISBLANK('Data Entry'!$°$703), "", 'Data Entry'!$°$703)</f>
      </c>
      <c r="DI703">
        <f>IF(ISBLANK('Data Entry'!$±$703), "", 'Data Entry'!$±$703)</f>
      </c>
      <c r="DJ703">
        <f>IF(ISBLANK('Data Entry'!$²$703), "", 'Data Entry'!$²$703)</f>
      </c>
      <c r="DK703">
        <f>IF(ISBLANK('Data Entry'!$³$703), "", 'Data Entry'!$³$703)</f>
      </c>
      <c r="DL703">
        <f>IF(ISBLANK('Data Entry'!$´$703), "", 'Data Entry'!$´$703)</f>
      </c>
      <c r="DM703">
        <f>IF(ISBLANK('Data Entry'!$µ$703), "", 'Data Entry'!$µ$703)</f>
      </c>
      <c r="DN703">
        <f>IF(ISBLANK('Data Entry'!$¶$703), "", 'Data Entry'!$¶$703)</f>
      </c>
      <c r="DO703">
        <f>IF(ISBLANK('Data Entry'!$·$703), "", 'Data Entry'!$·$703)</f>
      </c>
      <c r="DP703">
        <f>IF(ISBLANK('Data Entry'!$¸$703), "", 'Data Entry'!$¸$703)</f>
      </c>
      <c r="DQ703">
        <f>IF(ISBLANK('Data Entry'!$¹$703), "", 'Data Entry'!$¹$703)</f>
      </c>
      <c r="DR703">
        <f>IF(ISBLANK('Data Entry'!$º$703), "", 'Data Entry'!$º$703)</f>
      </c>
      <c r="DS703">
        <f>IF(ISBLANK('Data Entry'!$»$703), "", 'Data Entry'!$»$703)</f>
      </c>
      <c r="DT703">
        <f>IF(ISBLANK('Data Entry'!$¼$703), "", 'Data Entry'!$¼$703)</f>
      </c>
      <c r="DU703">
        <f>IF(ISBLANK('Data Entry'!$½$703), "", 'Data Entry'!$½$703)</f>
      </c>
      <c r="DV703">
        <f>IF(ISBLANK('Data Entry'!$¾$703), "", 'Data Entry'!$¾$703)</f>
      </c>
      <c r="DW703">
        <f>IF(ISBLANK('Data Entry'!$¿$703), "", 'Data Entry'!$¿$703)</f>
      </c>
      <c r="DX703">
        <f>IF(ISBLANK('Data Entry'!$À$703), "", 'Data Entry'!$À$703)</f>
      </c>
      <c r="DY703">
        <f>IF(ISBLANK('Data Entry'!$Á$703), "", 'Data Entry'!$Á$703)</f>
      </c>
      <c r="DZ703">
        <f>IF(ISBLANK('Data Entry'!$Â$703), "", 'Data Entry'!$Â$703)</f>
      </c>
      <c r="EA703">
        <f>IF(ISBLANK('Data Entry'!$Ã$703), "", 'Data Entry'!$Ã$703)</f>
      </c>
      <c r="EB703">
        <f>IF(ISBLANK('Data Entry'!$Ä$703), "", 'Data Entry'!$Ä$703)</f>
      </c>
      <c r="EC703">
        <f>IF(ISBLANK('Data Entry'!$Å$703), "", 'Data Entry'!$Å$703)</f>
      </c>
      <c r="ED703">
        <f>IF(ISBLANK('Data Entry'!$Æ$703), "", 'Data Entry'!$Æ$703)</f>
      </c>
      <c r="EE703">
        <f>IF(ISBLANK('Data Entry'!$Ç$703), "", 'Data Entry'!$Ç$703)</f>
      </c>
      <c r="EF703">
        <f>IF(ISBLANK('Data Entry'!$È$703), "", 'Data Entry'!$È$703)</f>
      </c>
      <c r="EG703">
        <f>IF(ISBLANK('Data Entry'!$É$703), "", 'Data Entry'!$É$703)</f>
      </c>
      <c r="EH703">
        <f>IF(ISBLANK('Data Entry'!$Ê$703), "", 'Data Entry'!$Ê$703)</f>
      </c>
      <c r="EI703">
        <f>IF(ISBLANK('Data Entry'!$Ë$703), "", 'Data Entry'!$Ë$703)</f>
      </c>
      <c r="EJ703">
        <f>IF(ISBLANK('Data Entry'!$Ì$703), "", 'Data Entry'!$Ì$703)</f>
      </c>
      <c r="EK703">
        <f>IF(ISBLANK('Data Entry'!$Í$703), "", 'Data Entry'!$Í$703)</f>
      </c>
      <c r="EL703">
        <f>IF(ISBLANK('Data Entry'!$Î$703), "", 'Data Entry'!$Î$703)</f>
      </c>
      <c r="EM703">
        <f>IF(ISBLANK('Data Entry'!$Ï$703), "", 'Data Entry'!$Ï$703)</f>
      </c>
      <c r="EN703">
        <f>IF(ISBLANK('Data Entry'!$Ð$703), "", 'Data Entry'!$Ð$703)</f>
      </c>
      <c r="EO703">
        <f>IF(ISBLANK('Data Entry'!$Ñ$703), "", 'Data Entry'!$Ñ$703)</f>
      </c>
      <c r="EP703">
        <f>IF(ISBLANK('Data Entry'!$Ò$703), "", 'Data Entry'!$Ò$703)</f>
      </c>
      <c r="EQ703">
        <f>IF(ISBLANK('Data Entry'!$Ó$703), "", 'Data Entry'!$Ó$703)</f>
      </c>
      <c r="ER703">
        <f>IF(ISBLANK('Data Entry'!$Ô$703), "", 'Data Entry'!$Ô$703)</f>
      </c>
      <c r="ES703">
        <f>IF(ISBLANK('Data Entry'!$Õ$703), "", 'Data Entry'!$Õ$703)</f>
      </c>
      <c r="ET703">
        <f>IF(ISBLANK('Data Entry'!$Ö$703), "", 'Data Entry'!$Ö$703)</f>
      </c>
      <c r="EU703">
        <f>IF(ISBLANK('Data Entry'!$×$703), "", 'Data Entry'!$×$703)</f>
      </c>
      <c r="EV703">
        <f>IF(ISBLANK('Data Entry'!$Ø$703), "", 'Data Entry'!$Ø$703)</f>
      </c>
      <c r="EW703">
        <f>IF(ISBLANK('Data Entry'!$Ù$703), "", 'Data Entry'!$Ù$703)</f>
      </c>
      <c r="EX703">
        <f>IF(ISBLANK('Data Entry'!$Ú$703), "", 'Data Entry'!$Ú$703)</f>
      </c>
      <c r="EY703">
        <f>IF(ISBLANK('Data Entry'!$Û$703), "", 'Data Entry'!$Û$703)</f>
      </c>
      <c r="EZ703">
        <f>IF(ISBLANK('Data Entry'!$Ü$703), "", 'Data Entry'!$Ü$703)</f>
      </c>
      <c r="FA703">
        <f>IF(ISBLANK('Data Entry'!$Ý$703), "", 'Data Entry'!$Ý$703)</f>
      </c>
      <c r="FB703">
        <f>IF(ISBLANK('Data Entry'!$Þ$703), "", 'Data Entry'!$Þ$703)</f>
      </c>
      <c r="FC703">
        <f>IF(ISBLANK('Data Entry'!$ß$703), "", 'Data Entry'!$ß$703)</f>
      </c>
      <c r="FD703">
        <f>IF(ISBLANK('Data Entry'!$à$703), "", 'Data Entry'!$à$703)</f>
      </c>
      <c r="FE703">
        <f>IF(ISBLANK('Data Entry'!$á$703), "", 'Data Entry'!$á$703)</f>
      </c>
      <c r="FF703">
        <f>IF(ISBLANK('Data Entry'!$â$703), "", 'Data Entry'!$â$703)</f>
      </c>
      <c r="FG703">
        <f>IF(ISBLANK('Data Entry'!$ã$703), "", 'Data Entry'!$ã$703)</f>
      </c>
      <c r="FH703">
        <f>IF(ISBLANK('Data Entry'!$ä$703), "", 'Data Entry'!$ä$703)</f>
      </c>
      <c r="FI703">
        <f>IF(ISBLANK('Data Entry'!$å$703), "", 'Data Entry'!$å$703)</f>
      </c>
      <c r="FJ703">
        <f>IF(ISBLANK('Data Entry'!$æ$703), "", 'Data Entry'!$æ$703)</f>
      </c>
      <c r="FK703">
        <f>IF(ISBLANK('Data Entry'!$ç$703), "", 'Data Entry'!$ç$703)</f>
      </c>
      <c r="FL703">
        <f>IF(ISBLANK('Data Entry'!$è$703), "", 'Data Entry'!$è$703)</f>
      </c>
      <c r="FM703">
        <f>IF(ISBLANK('Data Entry'!$é$703), "", 'Data Entry'!$é$703)</f>
      </c>
      <c r="FN703">
        <f>IF(ISBLANK('Data Entry'!$ê$703), "", 'Data Entry'!$ê$703)</f>
      </c>
      <c r="FO703">
        <f>IF(ISBLANK('Data Entry'!$ë$703), "", 'Data Entry'!$ë$703)</f>
      </c>
      <c r="FP703">
        <f>IF(ISBLANK('Data Entry'!$ì$703), "", 'Data Entry'!$ì$703)</f>
      </c>
      <c r="FQ703">
        <f>IF(ISBLANK('Data Entry'!$í$703), "", 'Data Entry'!$í$703)</f>
      </c>
      <c r="FR703">
        <f>IF(ISBLANK('Data Entry'!$î$703), "", 'Data Entry'!$î$703)</f>
      </c>
      <c r="FS703">
        <f>IF(ISBLANK('Data Entry'!$ï$703), "", 'Data Entry'!$ï$703)</f>
      </c>
      <c r="FT703">
        <f>IF(ISBLANK('Data Entry'!$ð$703), "", 'Data Entry'!$ð$703)</f>
      </c>
      <c r="FU703">
        <f>IF(ISBLANK('Data Entry'!$ñ$703), "", 'Data Entry'!$ñ$703)</f>
      </c>
      <c r="FV703">
        <f>IF(ISBLANK('Data Entry'!$ò$703), "", 'Data Entry'!$ò$703)</f>
      </c>
      <c r="FW703">
        <f>IF(ISBLANK('Data Entry'!$ó$703), "", 'Data Entry'!$ó$703)</f>
      </c>
      <c r="FX703">
        <f>IF(ISBLANK('Data Entry'!$ô$703), "", 'Data Entry'!$ô$703)</f>
      </c>
      <c r="FY703">
        <f>IF(ISBLANK('Data Entry'!$õ$703), "", 'Data Entry'!$õ$703)</f>
      </c>
      <c r="FZ703">
        <f>IF(ISBLANK('Data Entry'!$ö$703), "", 'Data Entry'!$ö$703)</f>
      </c>
      <c r="GA703">
        <f>IF(ISBLANK('Data Entry'!$÷$703), "", 'Data Entry'!$÷$703)</f>
      </c>
      <c r="GB703">
        <f>IF(ISBLANK('Data Entry'!$ø$703), "", 'Data Entry'!$ø$703)</f>
      </c>
      <c r="GC703">
        <f>IF(ISBLANK('Data Entry'!$ù$703), "", 'Data Entry'!$ù$703)</f>
      </c>
      <c r="GD703">
        <f>IF(ISBLANK('Data Entry'!$ú$703), "", 'Data Entry'!$ú$703)</f>
      </c>
      <c r="GE703">
        <f>IF(ISBLANK('Data Entry'!$û$703), "", 'Data Entry'!$û$703)</f>
      </c>
      <c r="GF703">
        <f>IF(ISBLANK('Data Entry'!$ü$703), "", 'Data Entry'!$ü$703)</f>
      </c>
      <c r="GG703">
        <f>IF(ISBLANK('Data Entry'!$ý$703), "", 'Data Entry'!$ý$703)</f>
      </c>
      <c r="GH703">
        <f>IF(ISBLANK('Data Entry'!$þ$703), "", 'Data Entry'!$þ$703)</f>
      </c>
      <c r="GI703">
        <f>IF(ISBLANK('Data Entry'!$ÿ$703), "", 'Data Entry'!$ÿ$703)</f>
      </c>
      <c r="GJ703">
        <f>IF(ISBLANK('Data Entry'!$Ā$703), "", 'Data Entry'!$Ā$703)</f>
      </c>
      <c r="GK703">
        <f>IF(ISBLANK('Data Entry'!$ā$703), "", 'Data Entry'!$ā$703)</f>
      </c>
      <c r="GL703">
        <f>IF(ISBLANK('Data Entry'!$Ă$703), "", 'Data Entry'!$Ă$703)</f>
      </c>
      <c r="GM703">
        <f>IF(ISBLANK('Data Entry'!$ă$703), "", 'Data Entry'!$ă$703)</f>
      </c>
      <c r="GN703">
        <f>IF(ISBLANK('Data Entry'!$Ą$703), "", 'Data Entry'!$Ą$703)</f>
      </c>
      <c r="GO703">
        <f>IF(ISBLANK('Data Entry'!$ą$703), "", 'Data Entry'!$ą$703)</f>
      </c>
      <c r="GP703">
        <f>IF(ISBLANK('Data Entry'!$Ć$703), "", 'Data Entry'!$Ć$703)</f>
      </c>
      <c r="GQ703">
        <f>IF(ISBLANK('Data Entry'!$ć$703), "", 'Data Entry'!$ć$703)</f>
      </c>
      <c r="GR703">
        <f>IF(ISBLANK('Data Entry'!$Ĉ$703), "", 'Data Entry'!$Ĉ$703)</f>
      </c>
      <c r="GS703">
        <f>IF(ISBLANK('Data Entry'!$ĉ$703), "", 'Data Entry'!$ĉ$703)</f>
      </c>
      <c r="GT703">
        <f>IF(ISBLANK('Data Entry'!$Ċ$703), "", 'Data Entry'!$Ċ$703)</f>
      </c>
      <c r="GU703">
        <f>IF(ISBLANK('Data Entry'!$ċ$703), "", 'Data Entry'!$ċ$703)</f>
      </c>
      <c r="GV703">
        <f>IF(ISBLANK('Data Entry'!$Č$703), "", 'Data Entry'!$Č$703)</f>
      </c>
      <c r="GW703">
        <f>IF(ISBLANK('Data Entry'!$č$703), "", 'Data Entry'!$č$703)</f>
      </c>
      <c r="GX703">
        <f>IF(ISBLANK('Data Entry'!$Ď$703), "", 'Data Entry'!$Ď$703)</f>
      </c>
      <c r="GY703">
        <f>IF(ISBLANK('Data Entry'!$ď$703), "", 'Data Entry'!$ď$703)</f>
      </c>
      <c r="GZ703">
        <f>IF(ISBLANK('Data Entry'!$Đ$703), "", 'Data Entry'!$Đ$703)</f>
      </c>
      <c r="HA703">
        <f>IF(ISBLANK('Data Entry'!$đ$703), "", 'Data Entry'!$đ$703)</f>
      </c>
      <c r="HB703">
        <f>IF(ISBLANK('Data Entry'!$Ē$703), "", 'Data Entry'!$Ē$703)</f>
      </c>
      <c r="HC703">
        <f>IF(ISBLANK('Data Entry'!$ē$703), "", 'Data Entry'!$ē$703)</f>
      </c>
      <c r="HD703">
        <f>IF(ISBLANK('Data Entry'!$Ĕ$703), "", 'Data Entry'!$Ĕ$703)</f>
      </c>
      <c r="HE703">
        <f>IF(ISBLANK('Data Entry'!$ĕ$703), "", 'Data Entry'!$ĕ$703)</f>
      </c>
      <c r="HF703">
        <f>IF(ISBLANK('Data Entry'!$Ė$703), "", 'Data Entry'!$Ė$703)</f>
      </c>
      <c r="HG703">
        <f>IF(ISBLANK('Data Entry'!$ė$703), "", 'Data Entry'!$ė$703)</f>
      </c>
      <c r="HH703">
        <f>IF(ISBLANK('Data Entry'!$Ę$703), "", 'Data Entry'!$Ę$703)</f>
      </c>
      <c r="HI703">
        <f>IF(ISBLANK('Data Entry'!$ę$703), "", 'Data Entry'!$ę$703)</f>
      </c>
      <c r="HJ703">
        <f>IF(ISBLANK('Data Entry'!$Ě$703), "", 'Data Entry'!$Ě$703)</f>
      </c>
      <c r="HK703">
        <f>IF(ISBLANK('Data Entry'!$ě$703), "", 'Data Entry'!$ě$703)</f>
      </c>
      <c r="HL703">
        <f>IF(ISBLANK('Data Entry'!$Ĝ$703), "", 'Data Entry'!$Ĝ$703)</f>
      </c>
      <c r="HM703">
        <f>IF(ISBLANK('Data Entry'!$ĝ$703), "", 'Data Entry'!$ĝ$703)</f>
      </c>
      <c r="HN703">
        <f>IF(ISBLANK('Data Entry'!$Ğ$703), "", 'Data Entry'!$Ğ$703)</f>
      </c>
      <c r="HO703">
        <f>IF(ISBLANK('Data Entry'!$ğ$703), "", 'Data Entry'!$ğ$703)</f>
      </c>
      <c r="HP703">
        <f>IF(ISBLANK('Data Entry'!$Ġ$703), "", 'Data Entry'!$Ġ$703)</f>
      </c>
      <c r="HQ703">
        <f>IF(ISBLANK('Data Entry'!$ġ$703), "", 'Data Entry'!$ġ$703)</f>
      </c>
      <c r="HR703">
        <f>IF(ISBLANK('Data Entry'!$Ģ$703), "", 'Data Entry'!$Ģ$703)</f>
      </c>
      <c r="HS703">
        <f>IF(ISBLANK('Data Entry'!$ģ$703), "", 'Data Entry'!$ģ$703)</f>
      </c>
      <c r="HT703">
        <f>IF(ISBLANK('Data Entry'!$Ĥ$703), "", 'Data Entry'!$Ĥ$703)</f>
      </c>
      <c r="HU703">
        <f>IF(ISBLANK('Data Entry'!$ĥ$703), "", 'Data Entry'!$ĥ$703)</f>
      </c>
      <c r="HV703">
        <f>IF(ISBLANK('Data Entry'!$Ħ$703), "", 'Data Entry'!$Ħ$703)</f>
      </c>
      <c r="HW703">
        <f>IF(ISBLANK('Data Entry'!$ħ$703), "", 'Data Entry'!$ħ$703)</f>
      </c>
      <c r="HX703">
        <f>IF(ISBLANK('Data Entry'!$Ĩ$703), "", 'Data Entry'!$Ĩ$703)</f>
      </c>
      <c r="HY703">
        <f>IF(ISBLANK('Data Entry'!$ĩ$703), "", 'Data Entry'!$ĩ$703)</f>
      </c>
      <c r="HZ703">
        <f>IF(ISBLANK('Data Entry'!$Ī$703), "", 'Data Entry'!$Ī$703)</f>
      </c>
      <c r="IA703">
        <f>IF(ISBLANK('Data Entry'!$ī$703), "", 'Data Entry'!$ī$703)</f>
      </c>
      <c r="IB703">
        <f>IF(ISBLANK('Data Entry'!$Ĭ$703), "", 'Data Entry'!$Ĭ$703)</f>
      </c>
      <c r="IC703">
        <f>IF(ISBLANK('Data Entry'!$ĭ$703), "", 'Data Entry'!$ĭ$703)</f>
      </c>
      <c r="ID703">
        <f>IF(ISBLANK('Data Entry'!$Į$703), "", 'Data Entry'!$Į$703)</f>
      </c>
      <c r="IE703">
        <f>IF(ISBLANK('Data Entry'!$į$703), "", 'Data Entry'!$į$703)</f>
      </c>
      <c r="IF703">
        <f>IF(ISBLANK('Data Entry'!$İ$703), "", 'Data Entry'!$İ$703)</f>
      </c>
      <c r="IG703">
        <f>IF(ISBLANK('Data Entry'!$ı$703), "", 'Data Entry'!$ı$703)</f>
      </c>
      <c r="IH703">
        <f>IF(ISBLANK('Data Entry'!$Ĳ$703), "", 'Data Entry'!$Ĳ$703)</f>
      </c>
      <c r="II703">
        <f>IF(ISBLANK('Data Entry'!$ĳ$703), "", 'Data Entry'!$ĳ$703)</f>
      </c>
      <c r="IJ703">
        <f>IF(ISBLANK('Data Entry'!$Ĵ$703), "", 'Data Entry'!$Ĵ$703)</f>
      </c>
      <c r="IK703">
        <f>IF(ISBLANK('Data Entry'!$ĵ$703), "", 'Data Entry'!$ĵ$703)</f>
      </c>
      <c r="IL703">
        <f>IF(ISBLANK('Data Entry'!$Ķ$703), "", 'Data Entry'!$Ķ$703)</f>
      </c>
      <c r="IM703">
        <f>IF(ISBLANK('Data Entry'!$ķ$703), "", 'Data Entry'!$ķ$703)</f>
      </c>
      <c r="IN703">
        <f>IF(ISBLANK('Data Entry'!$ĸ$703), "", 'Data Entry'!$ĸ$703)</f>
      </c>
      <c r="IO703">
        <f>IF(ISBLANK('Data Entry'!$Ĺ$703), "", 'Data Entry'!$Ĺ$703)</f>
      </c>
      <c r="IP703">
        <f>IF(ISBLANK('Data Entry'!$ĺ$703), "", 'Data Entry'!$ĺ$703)</f>
      </c>
      <c r="IQ703">
        <f>IF(ISBLANK('Data Entry'!$Ļ$703), "", 'Data Entry'!$Ļ$703)</f>
      </c>
      <c r="IR703">
        <f>IF(ISBLANK('Data Entry'!$ļ$703), "", 'Data Entry'!$ļ$703)</f>
      </c>
      <c r="IS703">
        <f>IF(ISBLANK('Data Entry'!$Ľ$703), "", 'Data Entry'!$Ľ$703)</f>
      </c>
      <c r="IT703">
        <f>IF(ISBLANK('Data Entry'!$ľ$703), "", 'Data Entry'!$ľ$703)</f>
      </c>
    </row>
    <row r="704" spans="1:254" x14ac:dyDescent="0.25">
      <c r="A704">
        <f>IF(ISBLANK('Data Entry'!$A$704), "", 'Data Entry'!$A$704)</f>
      </c>
      <c r="B704">
        <f>IF(ISBLANK('Data Entry'!$B$704), "", 'Data Entry'!$B$704)</f>
      </c>
      <c r="C704">
        <f>IF(ISBLANK('Data Entry'!$C$704), "", 'Data Entry'!$C$704)</f>
      </c>
      <c r="D704">
        <f>IF(ISBLANK('Data Entry'!$D$704), "", 'Data Entry'!$D$704)</f>
      </c>
      <c r="E704">
        <f>IF(ISBLANK('Data Entry'!$E$704), "", 'Data Entry'!$E$704)</f>
      </c>
      <c r="F704">
        <f>IF(ISBLANK('Data Entry'!$F$704), "", 'Data Entry'!$F$704)</f>
      </c>
      <c r="G704">
        <f>IF(ISBLANK('Data Entry'!$G$704), "", 'Data Entry'!$G$704)</f>
      </c>
      <c r="H704">
        <f>IF(ISBLANK('Data Entry'!$H$704), "", 'Data Entry'!$H$704)</f>
      </c>
      <c r="I704">
        <f>IF(ISBLANK('Data Entry'!$I$704), "", 'Data Entry'!$I$704)</f>
      </c>
      <c r="J704">
        <f>IF(ISBLANK('Data Entry'!$J$704), "", 'Data Entry'!$J$704)</f>
      </c>
      <c r="K704">
        <f>IF(ISBLANK('Data Entry'!$K$704), "", 'Data Entry'!$K$704)</f>
      </c>
      <c r="L704">
        <f>IF(ISBLANK('Data Entry'!$L$704), "", 'Data Entry'!$L$704)</f>
      </c>
      <c r="M704">
        <f>IF(ISBLANK('Data Entry'!$M$704), "", 'Data Entry'!$M$704)</f>
      </c>
      <c r="N704">
        <f>IF(ISBLANK('Data Entry'!$N$704), "", 'Data Entry'!$N$704)</f>
      </c>
      <c r="O704">
        <f>IF(ISBLANK('Data Entry'!$O$704), "", 'Data Entry'!$O$704)</f>
      </c>
      <c r="P704">
        <f>IF(ISBLANK('Data Entry'!$P$704), "", 'Data Entry'!$P$704)</f>
      </c>
      <c r="Q704">
        <f>IF(ISBLANK('Data Entry'!$Q$704), "", 'Data Entry'!$Q$704)</f>
      </c>
      <c r="R704">
        <f>IF(ISBLANK('Data Entry'!$R$704), "", 'Data Entry'!$R$704)</f>
      </c>
      <c r="S704">
        <f>IF(ISBLANK('Data Entry'!$S$704), "", 'Data Entry'!$S$704)</f>
      </c>
      <c r="T704">
        <f>IF(ISBLANK('Data Entry'!$T$704), "", 'Data Entry'!$T$704)</f>
      </c>
      <c r="U704">
        <f>IF(ISBLANK('Data Entry'!$U$704), "", 'Data Entry'!$U$704)</f>
      </c>
      <c r="V704">
        <f>IF(ISBLANK('Data Entry'!$V$704), "", 'Data Entry'!$V$704)</f>
      </c>
      <c r="W704">
        <f>IF(ISBLANK('Data Entry'!$W$704), "", 'Data Entry'!$W$704)</f>
      </c>
      <c r="X704">
        <f>IF(ISBLANK('Data Entry'!$X$704), "", 'Data Entry'!$X$704)</f>
      </c>
      <c r="Y704">
        <f>IF(ISBLANK('Data Entry'!$Y$704), "", 'Data Entry'!$Y$704)</f>
      </c>
      <c r="Z704">
        <f>IF(ISBLANK('Data Entry'!$Z$704), "", 'Data Entry'!$Z$704)</f>
      </c>
      <c r="AA704">
        <f>IF(ISBLANK('Data Entry'!$[$704), "", 'Data Entry'!$[$704)</f>
      </c>
      <c r="AB704">
        <f>IF(ISBLANK('Data Entry'!$\$704), "", 'Data Entry'!$\$704)</f>
      </c>
      <c r="AC704">
        <f>IF(ISBLANK('Data Entry'!$]$704), "", 'Data Entry'!$]$704)</f>
      </c>
      <c r="AD704">
        <f>IF(ISBLANK('Data Entry'!$^$704), "", 'Data Entry'!$^$704)</f>
      </c>
      <c r="AE704">
        <f>IF(ISBLANK('Data Entry'!$_$704), "", 'Data Entry'!$_$704)</f>
      </c>
      <c r="AF704">
        <f>IF(ISBLANK('Data Entry'!$`$704), "", 'Data Entry'!$`$704)</f>
      </c>
      <c r="AG704">
        <f>IF(ISBLANK('Data Entry'!$a$704), "", 'Data Entry'!$a$704)</f>
      </c>
      <c r="AH704">
        <f>IF(ISBLANK('Data Entry'!$b$704), "", 'Data Entry'!$b$704)</f>
      </c>
      <c r="AI704">
        <f>IF(ISBLANK('Data Entry'!$c$704), "", 'Data Entry'!$c$704)</f>
      </c>
      <c r="AJ704">
        <f>IF(ISBLANK('Data Entry'!$d$704), "", 'Data Entry'!$d$704)</f>
      </c>
      <c r="AK704">
        <f>IF(ISBLANK('Data Entry'!$e$704), "", 'Data Entry'!$e$704)</f>
      </c>
      <c r="AL704">
        <f>IF(ISBLANK('Data Entry'!$f$704), "", 'Data Entry'!$f$704)</f>
      </c>
      <c r="AM704">
        <f>IF(ISBLANK('Data Entry'!$g$704), "", 'Data Entry'!$g$704)</f>
      </c>
      <c r="AN704">
        <f>IF(ISBLANK('Data Entry'!$h$704), "", 'Data Entry'!$h$704)</f>
      </c>
      <c r="AO704">
        <f>IF(ISBLANK('Data Entry'!$i$704), "", 'Data Entry'!$i$704)</f>
      </c>
      <c r="AP704">
        <f>IF(ISBLANK('Data Entry'!$j$704), "", 'Data Entry'!$j$704)</f>
      </c>
      <c r="AQ704">
        <f>IF(ISBLANK('Data Entry'!$k$704), "", 'Data Entry'!$k$704)</f>
      </c>
      <c r="AR704">
        <f>IF(ISBLANK('Data Entry'!$l$704), "", 'Data Entry'!$l$704)</f>
      </c>
      <c r="AS704">
        <f>IF(ISBLANK('Data Entry'!$m$704), "", 'Data Entry'!$m$704)</f>
      </c>
      <c r="AT704">
        <f>IF(ISBLANK('Data Entry'!$n$704), "", 'Data Entry'!$n$704)</f>
      </c>
      <c r="AU704">
        <f>IF(ISBLANK('Data Entry'!$o$704), "", 'Data Entry'!$o$704)</f>
      </c>
      <c r="AV704">
        <f>IF(ISBLANK('Data Entry'!$p$704), "", 'Data Entry'!$p$704)</f>
      </c>
      <c r="AW704">
        <f>IF(ISBLANK('Data Entry'!$q$704), "", 'Data Entry'!$q$704)</f>
      </c>
      <c r="AX704">
        <f>IF(ISBLANK('Data Entry'!$r$704), "", 'Data Entry'!$r$704)</f>
      </c>
      <c r="AY704">
        <f>IF(ISBLANK('Data Entry'!$s$704), "", 'Data Entry'!$s$704)</f>
      </c>
      <c r="AZ704">
        <f>IF(ISBLANK('Data Entry'!$t$704), "", 'Data Entry'!$t$704)</f>
      </c>
      <c r="BA704">
        <f>IF(ISBLANK('Data Entry'!$u$704), "", 'Data Entry'!$u$704)</f>
      </c>
      <c r="BB704">
        <f>IF(ISBLANK('Data Entry'!$v$704), "", 'Data Entry'!$v$704)</f>
      </c>
      <c r="BC704">
        <f>IF(ISBLANK('Data Entry'!$w$704), "", 'Data Entry'!$w$704)</f>
      </c>
      <c r="BD704">
        <f>IF(ISBLANK('Data Entry'!$x$704), "", 'Data Entry'!$x$704)</f>
      </c>
      <c r="BE704">
        <f>IF(ISBLANK('Data Entry'!$y$704), "", 'Data Entry'!$y$704)</f>
      </c>
      <c r="BF704">
        <f>IF(ISBLANK('Data Entry'!$z$704), "", 'Data Entry'!$z$704)</f>
      </c>
      <c r="BG704">
        <f>IF(ISBLANK('Data Entry'!${$704), "", 'Data Entry'!${$704)</f>
      </c>
      <c r="BH704">
        <f>IF(ISBLANK('Data Entry'!$|$704), "", 'Data Entry'!$|$704)</f>
      </c>
      <c r="BI704">
        <f>IF(ISBLANK('Data Entry'!$}$704), "", 'Data Entry'!$}$704)</f>
      </c>
      <c r="BJ704">
        <f>IF(ISBLANK('Data Entry'!$~$704), "", 'Data Entry'!$~$704)</f>
      </c>
      <c r="BK704">
        <f>IF(ISBLANK('Data Entry'!$$704), "", 'Data Entry'!$$704)</f>
      </c>
      <c r="BL704">
        <f>IF(ISBLANK('Data Entry'!$$704), "", 'Data Entry'!$$704)</f>
      </c>
      <c r="BM704">
        <f>IF(ISBLANK('Data Entry'!$$704), "", 'Data Entry'!$$704)</f>
      </c>
      <c r="BN704">
        <f>IF(ISBLANK('Data Entry'!$$704), "", 'Data Entry'!$$704)</f>
      </c>
      <c r="BO704">
        <f>IF(ISBLANK('Data Entry'!$$704), "", 'Data Entry'!$$704)</f>
      </c>
      <c r="BP704">
        <f>IF(ISBLANK('Data Entry'!$$704), "", 'Data Entry'!$$704)</f>
      </c>
      <c r="BQ704">
        <f>IF(ISBLANK('Data Entry'!$$704), "", 'Data Entry'!$$704)</f>
      </c>
      <c r="BR704">
        <f>IF(ISBLANK('Data Entry'!$$704), "", 'Data Entry'!$$704)</f>
      </c>
      <c r="BS704">
        <f>IF(ISBLANK('Data Entry'!$$704), "", 'Data Entry'!$$704)</f>
      </c>
      <c r="BT704">
        <f>IF(ISBLANK('Data Entry'!$$704), "", 'Data Entry'!$$704)</f>
      </c>
      <c r="BU704">
        <f>IF(ISBLANK('Data Entry'!$$704), "", 'Data Entry'!$$704)</f>
      </c>
      <c r="BV704">
        <f>IF(ISBLANK('Data Entry'!$$704), "", 'Data Entry'!$$704)</f>
      </c>
      <c r="BW704">
        <f>IF(ISBLANK('Data Entry'!$$704), "", 'Data Entry'!$$704)</f>
      </c>
      <c r="BX704">
        <f>IF(ISBLANK('Data Entry'!$$704), "", 'Data Entry'!$$704)</f>
      </c>
      <c r="BY704">
        <f>IF(ISBLANK('Data Entry'!$$704), "", 'Data Entry'!$$704)</f>
      </c>
      <c r="BZ704">
        <f>IF(ISBLANK('Data Entry'!$$704), "", 'Data Entry'!$$704)</f>
      </c>
      <c r="CA704">
        <f>IF(ISBLANK('Data Entry'!$$704), "", 'Data Entry'!$$704)</f>
      </c>
      <c r="CB704">
        <f>IF(ISBLANK('Data Entry'!$$704), "", 'Data Entry'!$$704)</f>
      </c>
      <c r="CC704">
        <f>IF(ISBLANK('Data Entry'!$$704), "", 'Data Entry'!$$704)</f>
      </c>
      <c r="CD704">
        <f>IF(ISBLANK('Data Entry'!$$704), "", 'Data Entry'!$$704)</f>
      </c>
      <c r="CE704">
        <f>IF(ISBLANK('Data Entry'!$$704), "", 'Data Entry'!$$704)</f>
      </c>
      <c r="CF704">
        <f>IF(ISBLANK('Data Entry'!$$704), "", 'Data Entry'!$$704)</f>
      </c>
      <c r="CG704">
        <f>IF(ISBLANK('Data Entry'!$$704), "", 'Data Entry'!$$704)</f>
      </c>
      <c r="CH704">
        <f>IF(ISBLANK('Data Entry'!$$704), "", 'Data Entry'!$$704)</f>
      </c>
      <c r="CI704">
        <f>IF(ISBLANK('Data Entry'!$$704), "", 'Data Entry'!$$704)</f>
      </c>
      <c r="CJ704">
        <f>IF(ISBLANK('Data Entry'!$$704), "", 'Data Entry'!$$704)</f>
      </c>
      <c r="CK704">
        <f>IF(ISBLANK('Data Entry'!$$704), "", 'Data Entry'!$$704)</f>
      </c>
      <c r="CL704">
        <f>IF(ISBLANK('Data Entry'!$$704), "", 'Data Entry'!$$704)</f>
      </c>
      <c r="CM704">
        <f>IF(ISBLANK('Data Entry'!$$704), "", 'Data Entry'!$$704)</f>
      </c>
      <c r="CN704">
        <f>IF(ISBLANK('Data Entry'!$$704), "", 'Data Entry'!$$704)</f>
      </c>
      <c r="CO704">
        <f>IF(ISBLANK('Data Entry'!$$704), "", 'Data Entry'!$$704)</f>
      </c>
      <c r="CP704">
        <f>IF(ISBLANK('Data Entry'!$$704), "", 'Data Entry'!$$704)</f>
      </c>
      <c r="CQ704">
        <f>IF(ISBLANK('Data Entry'!$$704), "", 'Data Entry'!$$704)</f>
      </c>
      <c r="CR704">
        <f>IF(ISBLANK('Data Entry'!$ $704), "", 'Data Entry'!$ $704)</f>
      </c>
      <c r="CS704">
        <f>IF(ISBLANK('Data Entry'!$¡$704), "", 'Data Entry'!$¡$704)</f>
      </c>
      <c r="CT704">
        <f>IF(ISBLANK('Data Entry'!$¢$704), "", 'Data Entry'!$¢$704)</f>
      </c>
      <c r="CU704">
        <f>IF(ISBLANK('Data Entry'!$£$704), "", 'Data Entry'!$£$704)</f>
      </c>
      <c r="CV704">
        <f>IF(ISBLANK('Data Entry'!$¤$704), "", 'Data Entry'!$¤$704)</f>
      </c>
      <c r="CW704">
        <f>IF(ISBLANK('Data Entry'!$¥$704), "", 'Data Entry'!$¥$704)</f>
      </c>
      <c r="CX704">
        <f>IF(ISBLANK('Data Entry'!$¦$704), "", 'Data Entry'!$¦$704)</f>
      </c>
      <c r="CY704">
        <f>IF(ISBLANK('Data Entry'!$§$704), "", 'Data Entry'!$§$704)</f>
      </c>
      <c r="CZ704">
        <f>IF(ISBLANK('Data Entry'!$¨$704), "", 'Data Entry'!$¨$704)</f>
      </c>
      <c r="DA704">
        <f>IF(ISBLANK('Data Entry'!$©$704), "", 'Data Entry'!$©$704)</f>
      </c>
      <c r="DB704">
        <f>IF(ISBLANK('Data Entry'!$ª$704), "", 'Data Entry'!$ª$704)</f>
      </c>
      <c r="DC704">
        <f>IF(ISBLANK('Data Entry'!$«$704), "", 'Data Entry'!$«$704)</f>
      </c>
      <c r="DD704">
        <f>IF(ISBLANK('Data Entry'!$¬$704), "", 'Data Entry'!$¬$704)</f>
      </c>
      <c r="DE704">
        <f>IF(ISBLANK('Data Entry'!$­$704), "", 'Data Entry'!$­$704)</f>
      </c>
      <c r="DF704">
        <f>IF(ISBLANK('Data Entry'!$®$704), "", 'Data Entry'!$®$704)</f>
      </c>
      <c r="DG704">
        <f>IF(ISBLANK('Data Entry'!$¯$704), "", 'Data Entry'!$¯$704)</f>
      </c>
      <c r="DH704">
        <f>IF(ISBLANK('Data Entry'!$°$704), "", 'Data Entry'!$°$704)</f>
      </c>
      <c r="DI704">
        <f>IF(ISBLANK('Data Entry'!$±$704), "", 'Data Entry'!$±$704)</f>
      </c>
      <c r="DJ704">
        <f>IF(ISBLANK('Data Entry'!$²$704), "", 'Data Entry'!$²$704)</f>
      </c>
      <c r="DK704">
        <f>IF(ISBLANK('Data Entry'!$³$704), "", 'Data Entry'!$³$704)</f>
      </c>
      <c r="DL704">
        <f>IF(ISBLANK('Data Entry'!$´$704), "", 'Data Entry'!$´$704)</f>
      </c>
      <c r="DM704">
        <f>IF(ISBLANK('Data Entry'!$µ$704), "", 'Data Entry'!$µ$704)</f>
      </c>
      <c r="DN704">
        <f>IF(ISBLANK('Data Entry'!$¶$704), "", 'Data Entry'!$¶$704)</f>
      </c>
      <c r="DO704">
        <f>IF(ISBLANK('Data Entry'!$·$704), "", 'Data Entry'!$·$704)</f>
      </c>
      <c r="DP704">
        <f>IF(ISBLANK('Data Entry'!$¸$704), "", 'Data Entry'!$¸$704)</f>
      </c>
      <c r="DQ704">
        <f>IF(ISBLANK('Data Entry'!$¹$704), "", 'Data Entry'!$¹$704)</f>
      </c>
      <c r="DR704">
        <f>IF(ISBLANK('Data Entry'!$º$704), "", 'Data Entry'!$º$704)</f>
      </c>
      <c r="DS704">
        <f>IF(ISBLANK('Data Entry'!$»$704), "", 'Data Entry'!$»$704)</f>
      </c>
      <c r="DT704">
        <f>IF(ISBLANK('Data Entry'!$¼$704), "", 'Data Entry'!$¼$704)</f>
      </c>
      <c r="DU704">
        <f>IF(ISBLANK('Data Entry'!$½$704), "", 'Data Entry'!$½$704)</f>
      </c>
      <c r="DV704">
        <f>IF(ISBLANK('Data Entry'!$¾$704), "", 'Data Entry'!$¾$704)</f>
      </c>
      <c r="DW704">
        <f>IF(ISBLANK('Data Entry'!$¿$704), "", 'Data Entry'!$¿$704)</f>
      </c>
      <c r="DX704">
        <f>IF(ISBLANK('Data Entry'!$À$704), "", 'Data Entry'!$À$704)</f>
      </c>
      <c r="DY704">
        <f>IF(ISBLANK('Data Entry'!$Á$704), "", 'Data Entry'!$Á$704)</f>
      </c>
      <c r="DZ704">
        <f>IF(ISBLANK('Data Entry'!$Â$704), "", 'Data Entry'!$Â$704)</f>
      </c>
      <c r="EA704">
        <f>IF(ISBLANK('Data Entry'!$Ã$704), "", 'Data Entry'!$Ã$704)</f>
      </c>
      <c r="EB704">
        <f>IF(ISBLANK('Data Entry'!$Ä$704), "", 'Data Entry'!$Ä$704)</f>
      </c>
      <c r="EC704">
        <f>IF(ISBLANK('Data Entry'!$Å$704), "", 'Data Entry'!$Å$704)</f>
      </c>
      <c r="ED704">
        <f>IF(ISBLANK('Data Entry'!$Æ$704), "", 'Data Entry'!$Æ$704)</f>
      </c>
      <c r="EE704">
        <f>IF(ISBLANK('Data Entry'!$Ç$704), "", 'Data Entry'!$Ç$704)</f>
      </c>
      <c r="EF704">
        <f>IF(ISBLANK('Data Entry'!$È$704), "", 'Data Entry'!$È$704)</f>
      </c>
      <c r="EG704">
        <f>IF(ISBLANK('Data Entry'!$É$704), "", 'Data Entry'!$É$704)</f>
      </c>
      <c r="EH704">
        <f>IF(ISBLANK('Data Entry'!$Ê$704), "", 'Data Entry'!$Ê$704)</f>
      </c>
      <c r="EI704">
        <f>IF(ISBLANK('Data Entry'!$Ë$704), "", 'Data Entry'!$Ë$704)</f>
      </c>
      <c r="EJ704">
        <f>IF(ISBLANK('Data Entry'!$Ì$704), "", 'Data Entry'!$Ì$704)</f>
      </c>
      <c r="EK704">
        <f>IF(ISBLANK('Data Entry'!$Í$704), "", 'Data Entry'!$Í$704)</f>
      </c>
      <c r="EL704">
        <f>IF(ISBLANK('Data Entry'!$Î$704), "", 'Data Entry'!$Î$704)</f>
      </c>
      <c r="EM704">
        <f>IF(ISBLANK('Data Entry'!$Ï$704), "", 'Data Entry'!$Ï$704)</f>
      </c>
      <c r="EN704">
        <f>IF(ISBLANK('Data Entry'!$Ð$704), "", 'Data Entry'!$Ð$704)</f>
      </c>
      <c r="EO704">
        <f>IF(ISBLANK('Data Entry'!$Ñ$704), "", 'Data Entry'!$Ñ$704)</f>
      </c>
      <c r="EP704">
        <f>IF(ISBLANK('Data Entry'!$Ò$704), "", 'Data Entry'!$Ò$704)</f>
      </c>
      <c r="EQ704">
        <f>IF(ISBLANK('Data Entry'!$Ó$704), "", 'Data Entry'!$Ó$704)</f>
      </c>
      <c r="ER704">
        <f>IF(ISBLANK('Data Entry'!$Ô$704), "", 'Data Entry'!$Ô$704)</f>
      </c>
      <c r="ES704">
        <f>IF(ISBLANK('Data Entry'!$Õ$704), "", 'Data Entry'!$Õ$704)</f>
      </c>
      <c r="ET704">
        <f>IF(ISBLANK('Data Entry'!$Ö$704), "", 'Data Entry'!$Ö$704)</f>
      </c>
      <c r="EU704">
        <f>IF(ISBLANK('Data Entry'!$×$704), "", 'Data Entry'!$×$704)</f>
      </c>
      <c r="EV704">
        <f>IF(ISBLANK('Data Entry'!$Ø$704), "", 'Data Entry'!$Ø$704)</f>
      </c>
      <c r="EW704">
        <f>IF(ISBLANK('Data Entry'!$Ù$704), "", 'Data Entry'!$Ù$704)</f>
      </c>
      <c r="EX704">
        <f>IF(ISBLANK('Data Entry'!$Ú$704), "", 'Data Entry'!$Ú$704)</f>
      </c>
      <c r="EY704">
        <f>IF(ISBLANK('Data Entry'!$Û$704), "", 'Data Entry'!$Û$704)</f>
      </c>
      <c r="EZ704">
        <f>IF(ISBLANK('Data Entry'!$Ü$704), "", 'Data Entry'!$Ü$704)</f>
      </c>
      <c r="FA704">
        <f>IF(ISBLANK('Data Entry'!$Ý$704), "", 'Data Entry'!$Ý$704)</f>
      </c>
      <c r="FB704">
        <f>IF(ISBLANK('Data Entry'!$Þ$704), "", 'Data Entry'!$Þ$704)</f>
      </c>
      <c r="FC704">
        <f>IF(ISBLANK('Data Entry'!$ß$704), "", 'Data Entry'!$ß$704)</f>
      </c>
      <c r="FD704">
        <f>IF(ISBLANK('Data Entry'!$à$704), "", 'Data Entry'!$à$704)</f>
      </c>
      <c r="FE704">
        <f>IF(ISBLANK('Data Entry'!$á$704), "", 'Data Entry'!$á$704)</f>
      </c>
      <c r="FF704">
        <f>IF(ISBLANK('Data Entry'!$â$704), "", 'Data Entry'!$â$704)</f>
      </c>
      <c r="FG704">
        <f>IF(ISBLANK('Data Entry'!$ã$704), "", 'Data Entry'!$ã$704)</f>
      </c>
      <c r="FH704">
        <f>IF(ISBLANK('Data Entry'!$ä$704), "", 'Data Entry'!$ä$704)</f>
      </c>
      <c r="FI704">
        <f>IF(ISBLANK('Data Entry'!$å$704), "", 'Data Entry'!$å$704)</f>
      </c>
      <c r="FJ704">
        <f>IF(ISBLANK('Data Entry'!$æ$704), "", 'Data Entry'!$æ$704)</f>
      </c>
      <c r="FK704">
        <f>IF(ISBLANK('Data Entry'!$ç$704), "", 'Data Entry'!$ç$704)</f>
      </c>
      <c r="FL704">
        <f>IF(ISBLANK('Data Entry'!$è$704), "", 'Data Entry'!$è$704)</f>
      </c>
      <c r="FM704">
        <f>IF(ISBLANK('Data Entry'!$é$704), "", 'Data Entry'!$é$704)</f>
      </c>
      <c r="FN704">
        <f>IF(ISBLANK('Data Entry'!$ê$704), "", 'Data Entry'!$ê$704)</f>
      </c>
      <c r="FO704">
        <f>IF(ISBLANK('Data Entry'!$ë$704), "", 'Data Entry'!$ë$704)</f>
      </c>
      <c r="FP704">
        <f>IF(ISBLANK('Data Entry'!$ì$704), "", 'Data Entry'!$ì$704)</f>
      </c>
      <c r="FQ704">
        <f>IF(ISBLANK('Data Entry'!$í$704), "", 'Data Entry'!$í$704)</f>
      </c>
      <c r="FR704">
        <f>IF(ISBLANK('Data Entry'!$î$704), "", 'Data Entry'!$î$704)</f>
      </c>
      <c r="FS704">
        <f>IF(ISBLANK('Data Entry'!$ï$704), "", 'Data Entry'!$ï$704)</f>
      </c>
      <c r="FT704">
        <f>IF(ISBLANK('Data Entry'!$ð$704), "", 'Data Entry'!$ð$704)</f>
      </c>
      <c r="FU704">
        <f>IF(ISBLANK('Data Entry'!$ñ$704), "", 'Data Entry'!$ñ$704)</f>
      </c>
      <c r="FV704">
        <f>IF(ISBLANK('Data Entry'!$ò$704), "", 'Data Entry'!$ò$704)</f>
      </c>
      <c r="FW704">
        <f>IF(ISBLANK('Data Entry'!$ó$704), "", 'Data Entry'!$ó$704)</f>
      </c>
      <c r="FX704">
        <f>IF(ISBLANK('Data Entry'!$ô$704), "", 'Data Entry'!$ô$704)</f>
      </c>
      <c r="FY704">
        <f>IF(ISBLANK('Data Entry'!$õ$704), "", 'Data Entry'!$õ$704)</f>
      </c>
      <c r="FZ704">
        <f>IF(ISBLANK('Data Entry'!$ö$704), "", 'Data Entry'!$ö$704)</f>
      </c>
      <c r="GA704">
        <f>IF(ISBLANK('Data Entry'!$÷$704), "", 'Data Entry'!$÷$704)</f>
      </c>
      <c r="GB704">
        <f>IF(ISBLANK('Data Entry'!$ø$704), "", 'Data Entry'!$ø$704)</f>
      </c>
      <c r="GC704">
        <f>IF(ISBLANK('Data Entry'!$ù$704), "", 'Data Entry'!$ù$704)</f>
      </c>
      <c r="GD704">
        <f>IF(ISBLANK('Data Entry'!$ú$704), "", 'Data Entry'!$ú$704)</f>
      </c>
      <c r="GE704">
        <f>IF(ISBLANK('Data Entry'!$û$704), "", 'Data Entry'!$û$704)</f>
      </c>
      <c r="GF704">
        <f>IF(ISBLANK('Data Entry'!$ü$704), "", 'Data Entry'!$ü$704)</f>
      </c>
      <c r="GG704">
        <f>IF(ISBLANK('Data Entry'!$ý$704), "", 'Data Entry'!$ý$704)</f>
      </c>
      <c r="GH704">
        <f>IF(ISBLANK('Data Entry'!$þ$704), "", 'Data Entry'!$þ$704)</f>
      </c>
      <c r="GI704">
        <f>IF(ISBLANK('Data Entry'!$ÿ$704), "", 'Data Entry'!$ÿ$704)</f>
      </c>
      <c r="GJ704">
        <f>IF(ISBLANK('Data Entry'!$Ā$704), "", 'Data Entry'!$Ā$704)</f>
      </c>
      <c r="GK704">
        <f>IF(ISBLANK('Data Entry'!$ā$704), "", 'Data Entry'!$ā$704)</f>
      </c>
      <c r="GL704">
        <f>IF(ISBLANK('Data Entry'!$Ă$704), "", 'Data Entry'!$Ă$704)</f>
      </c>
      <c r="GM704">
        <f>IF(ISBLANK('Data Entry'!$ă$704), "", 'Data Entry'!$ă$704)</f>
      </c>
      <c r="GN704">
        <f>IF(ISBLANK('Data Entry'!$Ą$704), "", 'Data Entry'!$Ą$704)</f>
      </c>
      <c r="GO704">
        <f>IF(ISBLANK('Data Entry'!$ą$704), "", 'Data Entry'!$ą$704)</f>
      </c>
      <c r="GP704">
        <f>IF(ISBLANK('Data Entry'!$Ć$704), "", 'Data Entry'!$Ć$704)</f>
      </c>
      <c r="GQ704">
        <f>IF(ISBLANK('Data Entry'!$ć$704), "", 'Data Entry'!$ć$704)</f>
      </c>
      <c r="GR704">
        <f>IF(ISBLANK('Data Entry'!$Ĉ$704), "", 'Data Entry'!$Ĉ$704)</f>
      </c>
      <c r="GS704">
        <f>IF(ISBLANK('Data Entry'!$ĉ$704), "", 'Data Entry'!$ĉ$704)</f>
      </c>
      <c r="GT704">
        <f>IF(ISBLANK('Data Entry'!$Ċ$704), "", 'Data Entry'!$Ċ$704)</f>
      </c>
      <c r="GU704">
        <f>IF(ISBLANK('Data Entry'!$ċ$704), "", 'Data Entry'!$ċ$704)</f>
      </c>
      <c r="GV704">
        <f>IF(ISBLANK('Data Entry'!$Č$704), "", 'Data Entry'!$Č$704)</f>
      </c>
      <c r="GW704">
        <f>IF(ISBLANK('Data Entry'!$č$704), "", 'Data Entry'!$č$704)</f>
      </c>
      <c r="GX704">
        <f>IF(ISBLANK('Data Entry'!$Ď$704), "", 'Data Entry'!$Ď$704)</f>
      </c>
      <c r="GY704">
        <f>IF(ISBLANK('Data Entry'!$ď$704), "", 'Data Entry'!$ď$704)</f>
      </c>
      <c r="GZ704">
        <f>IF(ISBLANK('Data Entry'!$Đ$704), "", 'Data Entry'!$Đ$704)</f>
      </c>
      <c r="HA704">
        <f>IF(ISBLANK('Data Entry'!$đ$704), "", 'Data Entry'!$đ$704)</f>
      </c>
      <c r="HB704">
        <f>IF(ISBLANK('Data Entry'!$Ē$704), "", 'Data Entry'!$Ē$704)</f>
      </c>
      <c r="HC704">
        <f>IF(ISBLANK('Data Entry'!$ē$704), "", 'Data Entry'!$ē$704)</f>
      </c>
      <c r="HD704">
        <f>IF(ISBLANK('Data Entry'!$Ĕ$704), "", 'Data Entry'!$Ĕ$704)</f>
      </c>
      <c r="HE704">
        <f>IF(ISBLANK('Data Entry'!$ĕ$704), "", 'Data Entry'!$ĕ$704)</f>
      </c>
      <c r="HF704">
        <f>IF(ISBLANK('Data Entry'!$Ė$704), "", 'Data Entry'!$Ė$704)</f>
      </c>
      <c r="HG704">
        <f>IF(ISBLANK('Data Entry'!$ė$704), "", 'Data Entry'!$ė$704)</f>
      </c>
      <c r="HH704">
        <f>IF(ISBLANK('Data Entry'!$Ę$704), "", 'Data Entry'!$Ę$704)</f>
      </c>
      <c r="HI704">
        <f>IF(ISBLANK('Data Entry'!$ę$704), "", 'Data Entry'!$ę$704)</f>
      </c>
      <c r="HJ704">
        <f>IF(ISBLANK('Data Entry'!$Ě$704), "", 'Data Entry'!$Ě$704)</f>
      </c>
      <c r="HK704">
        <f>IF(ISBLANK('Data Entry'!$ě$704), "", 'Data Entry'!$ě$704)</f>
      </c>
      <c r="HL704">
        <f>IF(ISBLANK('Data Entry'!$Ĝ$704), "", 'Data Entry'!$Ĝ$704)</f>
      </c>
      <c r="HM704">
        <f>IF(ISBLANK('Data Entry'!$ĝ$704), "", 'Data Entry'!$ĝ$704)</f>
      </c>
      <c r="HN704">
        <f>IF(ISBLANK('Data Entry'!$Ğ$704), "", 'Data Entry'!$Ğ$704)</f>
      </c>
      <c r="HO704">
        <f>IF(ISBLANK('Data Entry'!$ğ$704), "", 'Data Entry'!$ğ$704)</f>
      </c>
      <c r="HP704">
        <f>IF(ISBLANK('Data Entry'!$Ġ$704), "", 'Data Entry'!$Ġ$704)</f>
      </c>
      <c r="HQ704">
        <f>IF(ISBLANK('Data Entry'!$ġ$704), "", 'Data Entry'!$ġ$704)</f>
      </c>
      <c r="HR704">
        <f>IF(ISBLANK('Data Entry'!$Ģ$704), "", 'Data Entry'!$Ģ$704)</f>
      </c>
      <c r="HS704">
        <f>IF(ISBLANK('Data Entry'!$ģ$704), "", 'Data Entry'!$ģ$704)</f>
      </c>
      <c r="HT704">
        <f>IF(ISBLANK('Data Entry'!$Ĥ$704), "", 'Data Entry'!$Ĥ$704)</f>
      </c>
      <c r="HU704">
        <f>IF(ISBLANK('Data Entry'!$ĥ$704), "", 'Data Entry'!$ĥ$704)</f>
      </c>
      <c r="HV704">
        <f>IF(ISBLANK('Data Entry'!$Ħ$704), "", 'Data Entry'!$Ħ$704)</f>
      </c>
      <c r="HW704">
        <f>IF(ISBLANK('Data Entry'!$ħ$704), "", 'Data Entry'!$ħ$704)</f>
      </c>
      <c r="HX704">
        <f>IF(ISBLANK('Data Entry'!$Ĩ$704), "", 'Data Entry'!$Ĩ$704)</f>
      </c>
      <c r="HY704">
        <f>IF(ISBLANK('Data Entry'!$ĩ$704), "", 'Data Entry'!$ĩ$704)</f>
      </c>
      <c r="HZ704">
        <f>IF(ISBLANK('Data Entry'!$Ī$704), "", 'Data Entry'!$Ī$704)</f>
      </c>
      <c r="IA704">
        <f>IF(ISBLANK('Data Entry'!$ī$704), "", 'Data Entry'!$ī$704)</f>
      </c>
      <c r="IB704">
        <f>IF(ISBLANK('Data Entry'!$Ĭ$704), "", 'Data Entry'!$Ĭ$704)</f>
      </c>
      <c r="IC704">
        <f>IF(ISBLANK('Data Entry'!$ĭ$704), "", 'Data Entry'!$ĭ$704)</f>
      </c>
      <c r="ID704">
        <f>IF(ISBLANK('Data Entry'!$Į$704), "", 'Data Entry'!$Į$704)</f>
      </c>
      <c r="IE704">
        <f>IF(ISBLANK('Data Entry'!$į$704), "", 'Data Entry'!$į$704)</f>
      </c>
      <c r="IF704">
        <f>IF(ISBLANK('Data Entry'!$İ$704), "", 'Data Entry'!$İ$704)</f>
      </c>
      <c r="IG704">
        <f>IF(ISBLANK('Data Entry'!$ı$704), "", 'Data Entry'!$ı$704)</f>
      </c>
      <c r="IH704">
        <f>IF(ISBLANK('Data Entry'!$Ĳ$704), "", 'Data Entry'!$Ĳ$704)</f>
      </c>
      <c r="II704">
        <f>IF(ISBLANK('Data Entry'!$ĳ$704), "", 'Data Entry'!$ĳ$704)</f>
      </c>
      <c r="IJ704">
        <f>IF(ISBLANK('Data Entry'!$Ĵ$704), "", 'Data Entry'!$Ĵ$704)</f>
      </c>
      <c r="IK704">
        <f>IF(ISBLANK('Data Entry'!$ĵ$704), "", 'Data Entry'!$ĵ$704)</f>
      </c>
      <c r="IL704">
        <f>IF(ISBLANK('Data Entry'!$Ķ$704), "", 'Data Entry'!$Ķ$704)</f>
      </c>
      <c r="IM704">
        <f>IF(ISBLANK('Data Entry'!$ķ$704), "", 'Data Entry'!$ķ$704)</f>
      </c>
      <c r="IN704">
        <f>IF(ISBLANK('Data Entry'!$ĸ$704), "", 'Data Entry'!$ĸ$704)</f>
      </c>
      <c r="IO704">
        <f>IF(ISBLANK('Data Entry'!$Ĺ$704), "", 'Data Entry'!$Ĺ$704)</f>
      </c>
      <c r="IP704">
        <f>IF(ISBLANK('Data Entry'!$ĺ$704), "", 'Data Entry'!$ĺ$704)</f>
      </c>
      <c r="IQ704">
        <f>IF(ISBLANK('Data Entry'!$Ļ$704), "", 'Data Entry'!$Ļ$704)</f>
      </c>
      <c r="IR704">
        <f>IF(ISBLANK('Data Entry'!$ļ$704), "", 'Data Entry'!$ļ$704)</f>
      </c>
      <c r="IS704">
        <f>IF(ISBLANK('Data Entry'!$Ľ$704), "", 'Data Entry'!$Ľ$704)</f>
      </c>
      <c r="IT704">
        <f>IF(ISBLANK('Data Entry'!$ľ$704), "", 'Data Entry'!$ľ$704)</f>
      </c>
    </row>
    <row r="705" spans="1:254" x14ac:dyDescent="0.25">
      <c r="A705">
        <f>IF(ISBLANK('Data Entry'!$A$705), "", 'Data Entry'!$A$705)</f>
      </c>
      <c r="B705">
        <f>IF(ISBLANK('Data Entry'!$B$705), "", 'Data Entry'!$B$705)</f>
      </c>
      <c r="C705">
        <f>IF(ISBLANK('Data Entry'!$C$705), "", 'Data Entry'!$C$705)</f>
      </c>
      <c r="D705">
        <f>IF(ISBLANK('Data Entry'!$D$705), "", 'Data Entry'!$D$705)</f>
      </c>
      <c r="E705">
        <f>IF(ISBLANK('Data Entry'!$E$705), "", 'Data Entry'!$E$705)</f>
      </c>
      <c r="F705">
        <f>IF(ISBLANK('Data Entry'!$F$705), "", 'Data Entry'!$F$705)</f>
      </c>
      <c r="G705">
        <f>IF(ISBLANK('Data Entry'!$G$705), "", 'Data Entry'!$G$705)</f>
      </c>
      <c r="H705">
        <f>IF(ISBLANK('Data Entry'!$H$705), "", 'Data Entry'!$H$705)</f>
      </c>
      <c r="I705">
        <f>IF(ISBLANK('Data Entry'!$I$705), "", 'Data Entry'!$I$705)</f>
      </c>
      <c r="J705">
        <f>IF(ISBLANK('Data Entry'!$J$705), "", 'Data Entry'!$J$705)</f>
      </c>
      <c r="K705">
        <f>IF(ISBLANK('Data Entry'!$K$705), "", 'Data Entry'!$K$705)</f>
      </c>
      <c r="L705">
        <f>IF(ISBLANK('Data Entry'!$L$705), "", 'Data Entry'!$L$705)</f>
      </c>
      <c r="M705">
        <f>IF(ISBLANK('Data Entry'!$M$705), "", 'Data Entry'!$M$705)</f>
      </c>
      <c r="N705">
        <f>IF(ISBLANK('Data Entry'!$N$705), "", 'Data Entry'!$N$705)</f>
      </c>
      <c r="O705">
        <f>IF(ISBLANK('Data Entry'!$O$705), "", 'Data Entry'!$O$705)</f>
      </c>
      <c r="P705">
        <f>IF(ISBLANK('Data Entry'!$P$705), "", 'Data Entry'!$P$705)</f>
      </c>
      <c r="Q705">
        <f>IF(ISBLANK('Data Entry'!$Q$705), "", 'Data Entry'!$Q$705)</f>
      </c>
      <c r="R705">
        <f>IF(ISBLANK('Data Entry'!$R$705), "", 'Data Entry'!$R$705)</f>
      </c>
      <c r="S705">
        <f>IF(ISBLANK('Data Entry'!$S$705), "", 'Data Entry'!$S$705)</f>
      </c>
      <c r="T705">
        <f>IF(ISBLANK('Data Entry'!$T$705), "", 'Data Entry'!$T$705)</f>
      </c>
      <c r="U705">
        <f>IF(ISBLANK('Data Entry'!$U$705), "", 'Data Entry'!$U$705)</f>
      </c>
      <c r="V705">
        <f>IF(ISBLANK('Data Entry'!$V$705), "", 'Data Entry'!$V$705)</f>
      </c>
      <c r="W705">
        <f>IF(ISBLANK('Data Entry'!$W$705), "", 'Data Entry'!$W$705)</f>
      </c>
      <c r="X705">
        <f>IF(ISBLANK('Data Entry'!$X$705), "", 'Data Entry'!$X$705)</f>
      </c>
      <c r="Y705">
        <f>IF(ISBLANK('Data Entry'!$Y$705), "", 'Data Entry'!$Y$705)</f>
      </c>
      <c r="Z705">
        <f>IF(ISBLANK('Data Entry'!$Z$705), "", 'Data Entry'!$Z$705)</f>
      </c>
      <c r="AA705">
        <f>IF(ISBLANK('Data Entry'!$[$705), "", 'Data Entry'!$[$705)</f>
      </c>
      <c r="AB705">
        <f>IF(ISBLANK('Data Entry'!$\$705), "", 'Data Entry'!$\$705)</f>
      </c>
      <c r="AC705">
        <f>IF(ISBLANK('Data Entry'!$]$705), "", 'Data Entry'!$]$705)</f>
      </c>
      <c r="AD705">
        <f>IF(ISBLANK('Data Entry'!$^$705), "", 'Data Entry'!$^$705)</f>
      </c>
      <c r="AE705">
        <f>IF(ISBLANK('Data Entry'!$_$705), "", 'Data Entry'!$_$705)</f>
      </c>
      <c r="AF705">
        <f>IF(ISBLANK('Data Entry'!$`$705), "", 'Data Entry'!$`$705)</f>
      </c>
      <c r="AG705">
        <f>IF(ISBLANK('Data Entry'!$a$705), "", 'Data Entry'!$a$705)</f>
      </c>
      <c r="AH705">
        <f>IF(ISBLANK('Data Entry'!$b$705), "", 'Data Entry'!$b$705)</f>
      </c>
      <c r="AI705">
        <f>IF(ISBLANK('Data Entry'!$c$705), "", 'Data Entry'!$c$705)</f>
      </c>
      <c r="AJ705">
        <f>IF(ISBLANK('Data Entry'!$d$705), "", 'Data Entry'!$d$705)</f>
      </c>
      <c r="AK705">
        <f>IF(ISBLANK('Data Entry'!$e$705), "", 'Data Entry'!$e$705)</f>
      </c>
      <c r="AL705">
        <f>IF(ISBLANK('Data Entry'!$f$705), "", 'Data Entry'!$f$705)</f>
      </c>
      <c r="AM705">
        <f>IF(ISBLANK('Data Entry'!$g$705), "", 'Data Entry'!$g$705)</f>
      </c>
      <c r="AN705">
        <f>IF(ISBLANK('Data Entry'!$h$705), "", 'Data Entry'!$h$705)</f>
      </c>
      <c r="AO705">
        <f>IF(ISBLANK('Data Entry'!$i$705), "", 'Data Entry'!$i$705)</f>
      </c>
      <c r="AP705">
        <f>IF(ISBLANK('Data Entry'!$j$705), "", 'Data Entry'!$j$705)</f>
      </c>
      <c r="AQ705">
        <f>IF(ISBLANK('Data Entry'!$k$705), "", 'Data Entry'!$k$705)</f>
      </c>
      <c r="AR705">
        <f>IF(ISBLANK('Data Entry'!$l$705), "", 'Data Entry'!$l$705)</f>
      </c>
      <c r="AS705">
        <f>IF(ISBLANK('Data Entry'!$m$705), "", 'Data Entry'!$m$705)</f>
      </c>
      <c r="AT705">
        <f>IF(ISBLANK('Data Entry'!$n$705), "", 'Data Entry'!$n$705)</f>
      </c>
      <c r="AU705">
        <f>IF(ISBLANK('Data Entry'!$o$705), "", 'Data Entry'!$o$705)</f>
      </c>
      <c r="AV705">
        <f>IF(ISBLANK('Data Entry'!$p$705), "", 'Data Entry'!$p$705)</f>
      </c>
      <c r="AW705">
        <f>IF(ISBLANK('Data Entry'!$q$705), "", 'Data Entry'!$q$705)</f>
      </c>
      <c r="AX705">
        <f>IF(ISBLANK('Data Entry'!$r$705), "", 'Data Entry'!$r$705)</f>
      </c>
      <c r="AY705">
        <f>IF(ISBLANK('Data Entry'!$s$705), "", 'Data Entry'!$s$705)</f>
      </c>
      <c r="AZ705">
        <f>IF(ISBLANK('Data Entry'!$t$705), "", 'Data Entry'!$t$705)</f>
      </c>
      <c r="BA705">
        <f>IF(ISBLANK('Data Entry'!$u$705), "", 'Data Entry'!$u$705)</f>
      </c>
      <c r="BB705">
        <f>IF(ISBLANK('Data Entry'!$v$705), "", 'Data Entry'!$v$705)</f>
      </c>
      <c r="BC705">
        <f>IF(ISBLANK('Data Entry'!$w$705), "", 'Data Entry'!$w$705)</f>
      </c>
      <c r="BD705">
        <f>IF(ISBLANK('Data Entry'!$x$705), "", 'Data Entry'!$x$705)</f>
      </c>
      <c r="BE705">
        <f>IF(ISBLANK('Data Entry'!$y$705), "", 'Data Entry'!$y$705)</f>
      </c>
      <c r="BF705">
        <f>IF(ISBLANK('Data Entry'!$z$705), "", 'Data Entry'!$z$705)</f>
      </c>
      <c r="BG705">
        <f>IF(ISBLANK('Data Entry'!${$705), "", 'Data Entry'!${$705)</f>
      </c>
      <c r="BH705">
        <f>IF(ISBLANK('Data Entry'!$|$705), "", 'Data Entry'!$|$705)</f>
      </c>
      <c r="BI705">
        <f>IF(ISBLANK('Data Entry'!$}$705), "", 'Data Entry'!$}$705)</f>
      </c>
      <c r="BJ705">
        <f>IF(ISBLANK('Data Entry'!$~$705), "", 'Data Entry'!$~$705)</f>
      </c>
      <c r="BK705">
        <f>IF(ISBLANK('Data Entry'!$$705), "", 'Data Entry'!$$705)</f>
      </c>
      <c r="BL705">
        <f>IF(ISBLANK('Data Entry'!$$705), "", 'Data Entry'!$$705)</f>
      </c>
      <c r="BM705">
        <f>IF(ISBLANK('Data Entry'!$$705), "", 'Data Entry'!$$705)</f>
      </c>
      <c r="BN705">
        <f>IF(ISBLANK('Data Entry'!$$705), "", 'Data Entry'!$$705)</f>
      </c>
      <c r="BO705">
        <f>IF(ISBLANK('Data Entry'!$$705), "", 'Data Entry'!$$705)</f>
      </c>
      <c r="BP705">
        <f>IF(ISBLANK('Data Entry'!$$705), "", 'Data Entry'!$$705)</f>
      </c>
      <c r="BQ705">
        <f>IF(ISBLANK('Data Entry'!$$705), "", 'Data Entry'!$$705)</f>
      </c>
      <c r="BR705">
        <f>IF(ISBLANK('Data Entry'!$$705), "", 'Data Entry'!$$705)</f>
      </c>
      <c r="BS705">
        <f>IF(ISBLANK('Data Entry'!$$705), "", 'Data Entry'!$$705)</f>
      </c>
      <c r="BT705">
        <f>IF(ISBLANK('Data Entry'!$$705), "", 'Data Entry'!$$705)</f>
      </c>
      <c r="BU705">
        <f>IF(ISBLANK('Data Entry'!$$705), "", 'Data Entry'!$$705)</f>
      </c>
      <c r="BV705">
        <f>IF(ISBLANK('Data Entry'!$$705), "", 'Data Entry'!$$705)</f>
      </c>
      <c r="BW705">
        <f>IF(ISBLANK('Data Entry'!$$705), "", 'Data Entry'!$$705)</f>
      </c>
      <c r="BX705">
        <f>IF(ISBLANK('Data Entry'!$$705), "", 'Data Entry'!$$705)</f>
      </c>
      <c r="BY705">
        <f>IF(ISBLANK('Data Entry'!$$705), "", 'Data Entry'!$$705)</f>
      </c>
      <c r="BZ705">
        <f>IF(ISBLANK('Data Entry'!$$705), "", 'Data Entry'!$$705)</f>
      </c>
      <c r="CA705">
        <f>IF(ISBLANK('Data Entry'!$$705), "", 'Data Entry'!$$705)</f>
      </c>
      <c r="CB705">
        <f>IF(ISBLANK('Data Entry'!$$705), "", 'Data Entry'!$$705)</f>
      </c>
      <c r="CC705">
        <f>IF(ISBLANK('Data Entry'!$$705), "", 'Data Entry'!$$705)</f>
      </c>
      <c r="CD705">
        <f>IF(ISBLANK('Data Entry'!$$705), "", 'Data Entry'!$$705)</f>
      </c>
      <c r="CE705">
        <f>IF(ISBLANK('Data Entry'!$$705), "", 'Data Entry'!$$705)</f>
      </c>
      <c r="CF705">
        <f>IF(ISBLANK('Data Entry'!$$705), "", 'Data Entry'!$$705)</f>
      </c>
      <c r="CG705">
        <f>IF(ISBLANK('Data Entry'!$$705), "", 'Data Entry'!$$705)</f>
      </c>
      <c r="CH705">
        <f>IF(ISBLANK('Data Entry'!$$705), "", 'Data Entry'!$$705)</f>
      </c>
      <c r="CI705">
        <f>IF(ISBLANK('Data Entry'!$$705), "", 'Data Entry'!$$705)</f>
      </c>
      <c r="CJ705">
        <f>IF(ISBLANK('Data Entry'!$$705), "", 'Data Entry'!$$705)</f>
      </c>
      <c r="CK705">
        <f>IF(ISBLANK('Data Entry'!$$705), "", 'Data Entry'!$$705)</f>
      </c>
      <c r="CL705">
        <f>IF(ISBLANK('Data Entry'!$$705), "", 'Data Entry'!$$705)</f>
      </c>
      <c r="CM705">
        <f>IF(ISBLANK('Data Entry'!$$705), "", 'Data Entry'!$$705)</f>
      </c>
      <c r="CN705">
        <f>IF(ISBLANK('Data Entry'!$$705), "", 'Data Entry'!$$705)</f>
      </c>
      <c r="CO705">
        <f>IF(ISBLANK('Data Entry'!$$705), "", 'Data Entry'!$$705)</f>
      </c>
      <c r="CP705">
        <f>IF(ISBLANK('Data Entry'!$$705), "", 'Data Entry'!$$705)</f>
      </c>
      <c r="CQ705">
        <f>IF(ISBLANK('Data Entry'!$$705), "", 'Data Entry'!$$705)</f>
      </c>
      <c r="CR705">
        <f>IF(ISBLANK('Data Entry'!$ $705), "", 'Data Entry'!$ $705)</f>
      </c>
      <c r="CS705">
        <f>IF(ISBLANK('Data Entry'!$¡$705), "", 'Data Entry'!$¡$705)</f>
      </c>
      <c r="CT705">
        <f>IF(ISBLANK('Data Entry'!$¢$705), "", 'Data Entry'!$¢$705)</f>
      </c>
      <c r="CU705">
        <f>IF(ISBLANK('Data Entry'!$£$705), "", 'Data Entry'!$£$705)</f>
      </c>
      <c r="CV705">
        <f>IF(ISBLANK('Data Entry'!$¤$705), "", 'Data Entry'!$¤$705)</f>
      </c>
      <c r="CW705">
        <f>IF(ISBLANK('Data Entry'!$¥$705), "", 'Data Entry'!$¥$705)</f>
      </c>
      <c r="CX705">
        <f>IF(ISBLANK('Data Entry'!$¦$705), "", 'Data Entry'!$¦$705)</f>
      </c>
      <c r="CY705">
        <f>IF(ISBLANK('Data Entry'!$§$705), "", 'Data Entry'!$§$705)</f>
      </c>
      <c r="CZ705">
        <f>IF(ISBLANK('Data Entry'!$¨$705), "", 'Data Entry'!$¨$705)</f>
      </c>
      <c r="DA705">
        <f>IF(ISBLANK('Data Entry'!$©$705), "", 'Data Entry'!$©$705)</f>
      </c>
      <c r="DB705">
        <f>IF(ISBLANK('Data Entry'!$ª$705), "", 'Data Entry'!$ª$705)</f>
      </c>
      <c r="DC705">
        <f>IF(ISBLANK('Data Entry'!$«$705), "", 'Data Entry'!$«$705)</f>
      </c>
      <c r="DD705">
        <f>IF(ISBLANK('Data Entry'!$¬$705), "", 'Data Entry'!$¬$705)</f>
      </c>
      <c r="DE705">
        <f>IF(ISBLANK('Data Entry'!$­$705), "", 'Data Entry'!$­$705)</f>
      </c>
      <c r="DF705">
        <f>IF(ISBLANK('Data Entry'!$®$705), "", 'Data Entry'!$®$705)</f>
      </c>
      <c r="DG705">
        <f>IF(ISBLANK('Data Entry'!$¯$705), "", 'Data Entry'!$¯$705)</f>
      </c>
      <c r="DH705">
        <f>IF(ISBLANK('Data Entry'!$°$705), "", 'Data Entry'!$°$705)</f>
      </c>
      <c r="DI705">
        <f>IF(ISBLANK('Data Entry'!$±$705), "", 'Data Entry'!$±$705)</f>
      </c>
      <c r="DJ705">
        <f>IF(ISBLANK('Data Entry'!$²$705), "", 'Data Entry'!$²$705)</f>
      </c>
      <c r="DK705">
        <f>IF(ISBLANK('Data Entry'!$³$705), "", 'Data Entry'!$³$705)</f>
      </c>
      <c r="DL705">
        <f>IF(ISBLANK('Data Entry'!$´$705), "", 'Data Entry'!$´$705)</f>
      </c>
      <c r="DM705">
        <f>IF(ISBLANK('Data Entry'!$µ$705), "", 'Data Entry'!$µ$705)</f>
      </c>
      <c r="DN705">
        <f>IF(ISBLANK('Data Entry'!$¶$705), "", 'Data Entry'!$¶$705)</f>
      </c>
      <c r="DO705">
        <f>IF(ISBLANK('Data Entry'!$·$705), "", 'Data Entry'!$·$705)</f>
      </c>
      <c r="DP705">
        <f>IF(ISBLANK('Data Entry'!$¸$705), "", 'Data Entry'!$¸$705)</f>
      </c>
      <c r="DQ705">
        <f>IF(ISBLANK('Data Entry'!$¹$705), "", 'Data Entry'!$¹$705)</f>
      </c>
      <c r="DR705">
        <f>IF(ISBLANK('Data Entry'!$º$705), "", 'Data Entry'!$º$705)</f>
      </c>
      <c r="DS705">
        <f>IF(ISBLANK('Data Entry'!$»$705), "", 'Data Entry'!$»$705)</f>
      </c>
      <c r="DT705">
        <f>IF(ISBLANK('Data Entry'!$¼$705), "", 'Data Entry'!$¼$705)</f>
      </c>
      <c r="DU705">
        <f>IF(ISBLANK('Data Entry'!$½$705), "", 'Data Entry'!$½$705)</f>
      </c>
      <c r="DV705">
        <f>IF(ISBLANK('Data Entry'!$¾$705), "", 'Data Entry'!$¾$705)</f>
      </c>
      <c r="DW705">
        <f>IF(ISBLANK('Data Entry'!$¿$705), "", 'Data Entry'!$¿$705)</f>
      </c>
      <c r="DX705">
        <f>IF(ISBLANK('Data Entry'!$À$705), "", 'Data Entry'!$À$705)</f>
      </c>
      <c r="DY705">
        <f>IF(ISBLANK('Data Entry'!$Á$705), "", 'Data Entry'!$Á$705)</f>
      </c>
      <c r="DZ705">
        <f>IF(ISBLANK('Data Entry'!$Â$705), "", 'Data Entry'!$Â$705)</f>
      </c>
      <c r="EA705">
        <f>IF(ISBLANK('Data Entry'!$Ã$705), "", 'Data Entry'!$Ã$705)</f>
      </c>
      <c r="EB705">
        <f>IF(ISBLANK('Data Entry'!$Ä$705), "", 'Data Entry'!$Ä$705)</f>
      </c>
      <c r="EC705">
        <f>IF(ISBLANK('Data Entry'!$Å$705), "", 'Data Entry'!$Å$705)</f>
      </c>
      <c r="ED705">
        <f>IF(ISBLANK('Data Entry'!$Æ$705), "", 'Data Entry'!$Æ$705)</f>
      </c>
      <c r="EE705">
        <f>IF(ISBLANK('Data Entry'!$Ç$705), "", 'Data Entry'!$Ç$705)</f>
      </c>
      <c r="EF705">
        <f>IF(ISBLANK('Data Entry'!$È$705), "", 'Data Entry'!$È$705)</f>
      </c>
      <c r="EG705">
        <f>IF(ISBLANK('Data Entry'!$É$705), "", 'Data Entry'!$É$705)</f>
      </c>
      <c r="EH705">
        <f>IF(ISBLANK('Data Entry'!$Ê$705), "", 'Data Entry'!$Ê$705)</f>
      </c>
      <c r="EI705">
        <f>IF(ISBLANK('Data Entry'!$Ë$705), "", 'Data Entry'!$Ë$705)</f>
      </c>
      <c r="EJ705">
        <f>IF(ISBLANK('Data Entry'!$Ì$705), "", 'Data Entry'!$Ì$705)</f>
      </c>
      <c r="EK705">
        <f>IF(ISBLANK('Data Entry'!$Í$705), "", 'Data Entry'!$Í$705)</f>
      </c>
      <c r="EL705">
        <f>IF(ISBLANK('Data Entry'!$Î$705), "", 'Data Entry'!$Î$705)</f>
      </c>
      <c r="EM705">
        <f>IF(ISBLANK('Data Entry'!$Ï$705), "", 'Data Entry'!$Ï$705)</f>
      </c>
      <c r="EN705">
        <f>IF(ISBLANK('Data Entry'!$Ð$705), "", 'Data Entry'!$Ð$705)</f>
      </c>
      <c r="EO705">
        <f>IF(ISBLANK('Data Entry'!$Ñ$705), "", 'Data Entry'!$Ñ$705)</f>
      </c>
      <c r="EP705">
        <f>IF(ISBLANK('Data Entry'!$Ò$705), "", 'Data Entry'!$Ò$705)</f>
      </c>
      <c r="EQ705">
        <f>IF(ISBLANK('Data Entry'!$Ó$705), "", 'Data Entry'!$Ó$705)</f>
      </c>
      <c r="ER705">
        <f>IF(ISBLANK('Data Entry'!$Ô$705), "", 'Data Entry'!$Ô$705)</f>
      </c>
      <c r="ES705">
        <f>IF(ISBLANK('Data Entry'!$Õ$705), "", 'Data Entry'!$Õ$705)</f>
      </c>
      <c r="ET705">
        <f>IF(ISBLANK('Data Entry'!$Ö$705), "", 'Data Entry'!$Ö$705)</f>
      </c>
      <c r="EU705">
        <f>IF(ISBLANK('Data Entry'!$×$705), "", 'Data Entry'!$×$705)</f>
      </c>
      <c r="EV705">
        <f>IF(ISBLANK('Data Entry'!$Ø$705), "", 'Data Entry'!$Ø$705)</f>
      </c>
      <c r="EW705">
        <f>IF(ISBLANK('Data Entry'!$Ù$705), "", 'Data Entry'!$Ù$705)</f>
      </c>
      <c r="EX705">
        <f>IF(ISBLANK('Data Entry'!$Ú$705), "", 'Data Entry'!$Ú$705)</f>
      </c>
      <c r="EY705">
        <f>IF(ISBLANK('Data Entry'!$Û$705), "", 'Data Entry'!$Û$705)</f>
      </c>
      <c r="EZ705">
        <f>IF(ISBLANK('Data Entry'!$Ü$705), "", 'Data Entry'!$Ü$705)</f>
      </c>
      <c r="FA705">
        <f>IF(ISBLANK('Data Entry'!$Ý$705), "", 'Data Entry'!$Ý$705)</f>
      </c>
      <c r="FB705">
        <f>IF(ISBLANK('Data Entry'!$Þ$705), "", 'Data Entry'!$Þ$705)</f>
      </c>
      <c r="FC705">
        <f>IF(ISBLANK('Data Entry'!$ß$705), "", 'Data Entry'!$ß$705)</f>
      </c>
      <c r="FD705">
        <f>IF(ISBLANK('Data Entry'!$à$705), "", 'Data Entry'!$à$705)</f>
      </c>
      <c r="FE705">
        <f>IF(ISBLANK('Data Entry'!$á$705), "", 'Data Entry'!$á$705)</f>
      </c>
      <c r="FF705">
        <f>IF(ISBLANK('Data Entry'!$â$705), "", 'Data Entry'!$â$705)</f>
      </c>
      <c r="FG705">
        <f>IF(ISBLANK('Data Entry'!$ã$705), "", 'Data Entry'!$ã$705)</f>
      </c>
      <c r="FH705">
        <f>IF(ISBLANK('Data Entry'!$ä$705), "", 'Data Entry'!$ä$705)</f>
      </c>
      <c r="FI705">
        <f>IF(ISBLANK('Data Entry'!$å$705), "", 'Data Entry'!$å$705)</f>
      </c>
      <c r="FJ705">
        <f>IF(ISBLANK('Data Entry'!$æ$705), "", 'Data Entry'!$æ$705)</f>
      </c>
      <c r="FK705">
        <f>IF(ISBLANK('Data Entry'!$ç$705), "", 'Data Entry'!$ç$705)</f>
      </c>
      <c r="FL705">
        <f>IF(ISBLANK('Data Entry'!$è$705), "", 'Data Entry'!$è$705)</f>
      </c>
      <c r="FM705">
        <f>IF(ISBLANK('Data Entry'!$é$705), "", 'Data Entry'!$é$705)</f>
      </c>
      <c r="FN705">
        <f>IF(ISBLANK('Data Entry'!$ê$705), "", 'Data Entry'!$ê$705)</f>
      </c>
      <c r="FO705">
        <f>IF(ISBLANK('Data Entry'!$ë$705), "", 'Data Entry'!$ë$705)</f>
      </c>
      <c r="FP705">
        <f>IF(ISBLANK('Data Entry'!$ì$705), "", 'Data Entry'!$ì$705)</f>
      </c>
      <c r="FQ705">
        <f>IF(ISBLANK('Data Entry'!$í$705), "", 'Data Entry'!$í$705)</f>
      </c>
      <c r="FR705">
        <f>IF(ISBLANK('Data Entry'!$î$705), "", 'Data Entry'!$î$705)</f>
      </c>
      <c r="FS705">
        <f>IF(ISBLANK('Data Entry'!$ï$705), "", 'Data Entry'!$ï$705)</f>
      </c>
      <c r="FT705">
        <f>IF(ISBLANK('Data Entry'!$ð$705), "", 'Data Entry'!$ð$705)</f>
      </c>
      <c r="FU705">
        <f>IF(ISBLANK('Data Entry'!$ñ$705), "", 'Data Entry'!$ñ$705)</f>
      </c>
      <c r="FV705">
        <f>IF(ISBLANK('Data Entry'!$ò$705), "", 'Data Entry'!$ò$705)</f>
      </c>
      <c r="FW705">
        <f>IF(ISBLANK('Data Entry'!$ó$705), "", 'Data Entry'!$ó$705)</f>
      </c>
      <c r="FX705">
        <f>IF(ISBLANK('Data Entry'!$ô$705), "", 'Data Entry'!$ô$705)</f>
      </c>
      <c r="FY705">
        <f>IF(ISBLANK('Data Entry'!$õ$705), "", 'Data Entry'!$õ$705)</f>
      </c>
      <c r="FZ705">
        <f>IF(ISBLANK('Data Entry'!$ö$705), "", 'Data Entry'!$ö$705)</f>
      </c>
      <c r="GA705">
        <f>IF(ISBLANK('Data Entry'!$÷$705), "", 'Data Entry'!$÷$705)</f>
      </c>
      <c r="GB705">
        <f>IF(ISBLANK('Data Entry'!$ø$705), "", 'Data Entry'!$ø$705)</f>
      </c>
      <c r="GC705">
        <f>IF(ISBLANK('Data Entry'!$ù$705), "", 'Data Entry'!$ù$705)</f>
      </c>
      <c r="GD705">
        <f>IF(ISBLANK('Data Entry'!$ú$705), "", 'Data Entry'!$ú$705)</f>
      </c>
      <c r="GE705">
        <f>IF(ISBLANK('Data Entry'!$û$705), "", 'Data Entry'!$û$705)</f>
      </c>
      <c r="GF705">
        <f>IF(ISBLANK('Data Entry'!$ü$705), "", 'Data Entry'!$ü$705)</f>
      </c>
      <c r="GG705">
        <f>IF(ISBLANK('Data Entry'!$ý$705), "", 'Data Entry'!$ý$705)</f>
      </c>
      <c r="GH705">
        <f>IF(ISBLANK('Data Entry'!$þ$705), "", 'Data Entry'!$þ$705)</f>
      </c>
      <c r="GI705">
        <f>IF(ISBLANK('Data Entry'!$ÿ$705), "", 'Data Entry'!$ÿ$705)</f>
      </c>
      <c r="GJ705">
        <f>IF(ISBLANK('Data Entry'!$Ā$705), "", 'Data Entry'!$Ā$705)</f>
      </c>
      <c r="GK705">
        <f>IF(ISBLANK('Data Entry'!$ā$705), "", 'Data Entry'!$ā$705)</f>
      </c>
      <c r="GL705">
        <f>IF(ISBLANK('Data Entry'!$Ă$705), "", 'Data Entry'!$Ă$705)</f>
      </c>
      <c r="GM705">
        <f>IF(ISBLANK('Data Entry'!$ă$705), "", 'Data Entry'!$ă$705)</f>
      </c>
      <c r="GN705">
        <f>IF(ISBLANK('Data Entry'!$Ą$705), "", 'Data Entry'!$Ą$705)</f>
      </c>
      <c r="GO705">
        <f>IF(ISBLANK('Data Entry'!$ą$705), "", 'Data Entry'!$ą$705)</f>
      </c>
      <c r="GP705">
        <f>IF(ISBLANK('Data Entry'!$Ć$705), "", 'Data Entry'!$Ć$705)</f>
      </c>
      <c r="GQ705">
        <f>IF(ISBLANK('Data Entry'!$ć$705), "", 'Data Entry'!$ć$705)</f>
      </c>
      <c r="GR705">
        <f>IF(ISBLANK('Data Entry'!$Ĉ$705), "", 'Data Entry'!$Ĉ$705)</f>
      </c>
      <c r="GS705">
        <f>IF(ISBLANK('Data Entry'!$ĉ$705), "", 'Data Entry'!$ĉ$705)</f>
      </c>
      <c r="GT705">
        <f>IF(ISBLANK('Data Entry'!$Ċ$705), "", 'Data Entry'!$Ċ$705)</f>
      </c>
      <c r="GU705">
        <f>IF(ISBLANK('Data Entry'!$ċ$705), "", 'Data Entry'!$ċ$705)</f>
      </c>
      <c r="GV705">
        <f>IF(ISBLANK('Data Entry'!$Č$705), "", 'Data Entry'!$Č$705)</f>
      </c>
      <c r="GW705">
        <f>IF(ISBLANK('Data Entry'!$č$705), "", 'Data Entry'!$č$705)</f>
      </c>
      <c r="GX705">
        <f>IF(ISBLANK('Data Entry'!$Ď$705), "", 'Data Entry'!$Ď$705)</f>
      </c>
      <c r="GY705">
        <f>IF(ISBLANK('Data Entry'!$ď$705), "", 'Data Entry'!$ď$705)</f>
      </c>
      <c r="GZ705">
        <f>IF(ISBLANK('Data Entry'!$Đ$705), "", 'Data Entry'!$Đ$705)</f>
      </c>
      <c r="HA705">
        <f>IF(ISBLANK('Data Entry'!$đ$705), "", 'Data Entry'!$đ$705)</f>
      </c>
      <c r="HB705">
        <f>IF(ISBLANK('Data Entry'!$Ē$705), "", 'Data Entry'!$Ē$705)</f>
      </c>
      <c r="HC705">
        <f>IF(ISBLANK('Data Entry'!$ē$705), "", 'Data Entry'!$ē$705)</f>
      </c>
      <c r="HD705">
        <f>IF(ISBLANK('Data Entry'!$Ĕ$705), "", 'Data Entry'!$Ĕ$705)</f>
      </c>
      <c r="HE705">
        <f>IF(ISBLANK('Data Entry'!$ĕ$705), "", 'Data Entry'!$ĕ$705)</f>
      </c>
      <c r="HF705">
        <f>IF(ISBLANK('Data Entry'!$Ė$705), "", 'Data Entry'!$Ė$705)</f>
      </c>
      <c r="HG705">
        <f>IF(ISBLANK('Data Entry'!$ė$705), "", 'Data Entry'!$ė$705)</f>
      </c>
      <c r="HH705">
        <f>IF(ISBLANK('Data Entry'!$Ę$705), "", 'Data Entry'!$Ę$705)</f>
      </c>
      <c r="HI705">
        <f>IF(ISBLANK('Data Entry'!$ę$705), "", 'Data Entry'!$ę$705)</f>
      </c>
      <c r="HJ705">
        <f>IF(ISBLANK('Data Entry'!$Ě$705), "", 'Data Entry'!$Ě$705)</f>
      </c>
      <c r="HK705">
        <f>IF(ISBLANK('Data Entry'!$ě$705), "", 'Data Entry'!$ě$705)</f>
      </c>
      <c r="HL705">
        <f>IF(ISBLANK('Data Entry'!$Ĝ$705), "", 'Data Entry'!$Ĝ$705)</f>
      </c>
      <c r="HM705">
        <f>IF(ISBLANK('Data Entry'!$ĝ$705), "", 'Data Entry'!$ĝ$705)</f>
      </c>
      <c r="HN705">
        <f>IF(ISBLANK('Data Entry'!$Ğ$705), "", 'Data Entry'!$Ğ$705)</f>
      </c>
      <c r="HO705">
        <f>IF(ISBLANK('Data Entry'!$ğ$705), "", 'Data Entry'!$ğ$705)</f>
      </c>
      <c r="HP705">
        <f>IF(ISBLANK('Data Entry'!$Ġ$705), "", 'Data Entry'!$Ġ$705)</f>
      </c>
      <c r="HQ705">
        <f>IF(ISBLANK('Data Entry'!$ġ$705), "", 'Data Entry'!$ġ$705)</f>
      </c>
      <c r="HR705">
        <f>IF(ISBLANK('Data Entry'!$Ģ$705), "", 'Data Entry'!$Ģ$705)</f>
      </c>
      <c r="HS705">
        <f>IF(ISBLANK('Data Entry'!$ģ$705), "", 'Data Entry'!$ģ$705)</f>
      </c>
      <c r="HT705">
        <f>IF(ISBLANK('Data Entry'!$Ĥ$705), "", 'Data Entry'!$Ĥ$705)</f>
      </c>
      <c r="HU705">
        <f>IF(ISBLANK('Data Entry'!$ĥ$705), "", 'Data Entry'!$ĥ$705)</f>
      </c>
      <c r="HV705">
        <f>IF(ISBLANK('Data Entry'!$Ħ$705), "", 'Data Entry'!$Ħ$705)</f>
      </c>
      <c r="HW705">
        <f>IF(ISBLANK('Data Entry'!$ħ$705), "", 'Data Entry'!$ħ$705)</f>
      </c>
      <c r="HX705">
        <f>IF(ISBLANK('Data Entry'!$Ĩ$705), "", 'Data Entry'!$Ĩ$705)</f>
      </c>
      <c r="HY705">
        <f>IF(ISBLANK('Data Entry'!$ĩ$705), "", 'Data Entry'!$ĩ$705)</f>
      </c>
      <c r="HZ705">
        <f>IF(ISBLANK('Data Entry'!$Ī$705), "", 'Data Entry'!$Ī$705)</f>
      </c>
      <c r="IA705">
        <f>IF(ISBLANK('Data Entry'!$ī$705), "", 'Data Entry'!$ī$705)</f>
      </c>
      <c r="IB705">
        <f>IF(ISBLANK('Data Entry'!$Ĭ$705), "", 'Data Entry'!$Ĭ$705)</f>
      </c>
      <c r="IC705">
        <f>IF(ISBLANK('Data Entry'!$ĭ$705), "", 'Data Entry'!$ĭ$705)</f>
      </c>
      <c r="ID705">
        <f>IF(ISBLANK('Data Entry'!$Į$705), "", 'Data Entry'!$Į$705)</f>
      </c>
      <c r="IE705">
        <f>IF(ISBLANK('Data Entry'!$į$705), "", 'Data Entry'!$į$705)</f>
      </c>
      <c r="IF705">
        <f>IF(ISBLANK('Data Entry'!$İ$705), "", 'Data Entry'!$İ$705)</f>
      </c>
      <c r="IG705">
        <f>IF(ISBLANK('Data Entry'!$ı$705), "", 'Data Entry'!$ı$705)</f>
      </c>
      <c r="IH705">
        <f>IF(ISBLANK('Data Entry'!$Ĳ$705), "", 'Data Entry'!$Ĳ$705)</f>
      </c>
      <c r="II705">
        <f>IF(ISBLANK('Data Entry'!$ĳ$705), "", 'Data Entry'!$ĳ$705)</f>
      </c>
      <c r="IJ705">
        <f>IF(ISBLANK('Data Entry'!$Ĵ$705), "", 'Data Entry'!$Ĵ$705)</f>
      </c>
      <c r="IK705">
        <f>IF(ISBLANK('Data Entry'!$ĵ$705), "", 'Data Entry'!$ĵ$705)</f>
      </c>
      <c r="IL705">
        <f>IF(ISBLANK('Data Entry'!$Ķ$705), "", 'Data Entry'!$Ķ$705)</f>
      </c>
      <c r="IM705">
        <f>IF(ISBLANK('Data Entry'!$ķ$705), "", 'Data Entry'!$ķ$705)</f>
      </c>
      <c r="IN705">
        <f>IF(ISBLANK('Data Entry'!$ĸ$705), "", 'Data Entry'!$ĸ$705)</f>
      </c>
      <c r="IO705">
        <f>IF(ISBLANK('Data Entry'!$Ĺ$705), "", 'Data Entry'!$Ĺ$705)</f>
      </c>
      <c r="IP705">
        <f>IF(ISBLANK('Data Entry'!$ĺ$705), "", 'Data Entry'!$ĺ$705)</f>
      </c>
      <c r="IQ705">
        <f>IF(ISBLANK('Data Entry'!$Ļ$705), "", 'Data Entry'!$Ļ$705)</f>
      </c>
      <c r="IR705">
        <f>IF(ISBLANK('Data Entry'!$ļ$705), "", 'Data Entry'!$ļ$705)</f>
      </c>
      <c r="IS705">
        <f>IF(ISBLANK('Data Entry'!$Ľ$705), "", 'Data Entry'!$Ľ$705)</f>
      </c>
      <c r="IT705">
        <f>IF(ISBLANK('Data Entry'!$ľ$705), "", 'Data Entry'!$ľ$705)</f>
      </c>
    </row>
    <row r="706" spans="1:254" x14ac:dyDescent="0.25">
      <c r="A706">
        <f>IF(ISBLANK('Data Entry'!$A$706), "", 'Data Entry'!$A$706)</f>
      </c>
      <c r="B706">
        <f>IF(ISBLANK('Data Entry'!$B$706), "", 'Data Entry'!$B$706)</f>
      </c>
      <c r="C706">
        <f>IF(ISBLANK('Data Entry'!$C$706), "", 'Data Entry'!$C$706)</f>
      </c>
      <c r="D706">
        <f>IF(ISBLANK('Data Entry'!$D$706), "", 'Data Entry'!$D$706)</f>
      </c>
      <c r="E706">
        <f>IF(ISBLANK('Data Entry'!$E$706), "", 'Data Entry'!$E$706)</f>
      </c>
      <c r="F706">
        <f>IF(ISBLANK('Data Entry'!$F$706), "", 'Data Entry'!$F$706)</f>
      </c>
      <c r="G706">
        <f>IF(ISBLANK('Data Entry'!$G$706), "", 'Data Entry'!$G$706)</f>
      </c>
      <c r="H706">
        <f>IF(ISBLANK('Data Entry'!$H$706), "", 'Data Entry'!$H$706)</f>
      </c>
      <c r="I706">
        <f>IF(ISBLANK('Data Entry'!$I$706), "", 'Data Entry'!$I$706)</f>
      </c>
      <c r="J706">
        <f>IF(ISBLANK('Data Entry'!$J$706), "", 'Data Entry'!$J$706)</f>
      </c>
      <c r="K706">
        <f>IF(ISBLANK('Data Entry'!$K$706), "", 'Data Entry'!$K$706)</f>
      </c>
      <c r="L706">
        <f>IF(ISBLANK('Data Entry'!$L$706), "", 'Data Entry'!$L$706)</f>
      </c>
      <c r="M706">
        <f>IF(ISBLANK('Data Entry'!$M$706), "", 'Data Entry'!$M$706)</f>
      </c>
      <c r="N706">
        <f>IF(ISBLANK('Data Entry'!$N$706), "", 'Data Entry'!$N$706)</f>
      </c>
      <c r="O706">
        <f>IF(ISBLANK('Data Entry'!$O$706), "", 'Data Entry'!$O$706)</f>
      </c>
      <c r="P706">
        <f>IF(ISBLANK('Data Entry'!$P$706), "", 'Data Entry'!$P$706)</f>
      </c>
      <c r="Q706">
        <f>IF(ISBLANK('Data Entry'!$Q$706), "", 'Data Entry'!$Q$706)</f>
      </c>
      <c r="R706">
        <f>IF(ISBLANK('Data Entry'!$R$706), "", 'Data Entry'!$R$706)</f>
      </c>
      <c r="S706">
        <f>IF(ISBLANK('Data Entry'!$S$706), "", 'Data Entry'!$S$706)</f>
      </c>
      <c r="T706">
        <f>IF(ISBLANK('Data Entry'!$T$706), "", 'Data Entry'!$T$706)</f>
      </c>
      <c r="U706">
        <f>IF(ISBLANK('Data Entry'!$U$706), "", 'Data Entry'!$U$706)</f>
      </c>
      <c r="V706">
        <f>IF(ISBLANK('Data Entry'!$V$706), "", 'Data Entry'!$V$706)</f>
      </c>
      <c r="W706">
        <f>IF(ISBLANK('Data Entry'!$W$706), "", 'Data Entry'!$W$706)</f>
      </c>
      <c r="X706">
        <f>IF(ISBLANK('Data Entry'!$X$706), "", 'Data Entry'!$X$706)</f>
      </c>
      <c r="Y706">
        <f>IF(ISBLANK('Data Entry'!$Y$706), "", 'Data Entry'!$Y$706)</f>
      </c>
      <c r="Z706">
        <f>IF(ISBLANK('Data Entry'!$Z$706), "", 'Data Entry'!$Z$706)</f>
      </c>
      <c r="AA706">
        <f>IF(ISBLANK('Data Entry'!$[$706), "", 'Data Entry'!$[$706)</f>
      </c>
      <c r="AB706">
        <f>IF(ISBLANK('Data Entry'!$\$706), "", 'Data Entry'!$\$706)</f>
      </c>
      <c r="AC706">
        <f>IF(ISBLANK('Data Entry'!$]$706), "", 'Data Entry'!$]$706)</f>
      </c>
      <c r="AD706">
        <f>IF(ISBLANK('Data Entry'!$^$706), "", 'Data Entry'!$^$706)</f>
      </c>
      <c r="AE706">
        <f>IF(ISBLANK('Data Entry'!$_$706), "", 'Data Entry'!$_$706)</f>
      </c>
      <c r="AF706">
        <f>IF(ISBLANK('Data Entry'!$`$706), "", 'Data Entry'!$`$706)</f>
      </c>
      <c r="AG706">
        <f>IF(ISBLANK('Data Entry'!$a$706), "", 'Data Entry'!$a$706)</f>
      </c>
      <c r="AH706">
        <f>IF(ISBLANK('Data Entry'!$b$706), "", 'Data Entry'!$b$706)</f>
      </c>
      <c r="AI706">
        <f>IF(ISBLANK('Data Entry'!$c$706), "", 'Data Entry'!$c$706)</f>
      </c>
      <c r="AJ706">
        <f>IF(ISBLANK('Data Entry'!$d$706), "", 'Data Entry'!$d$706)</f>
      </c>
      <c r="AK706">
        <f>IF(ISBLANK('Data Entry'!$e$706), "", 'Data Entry'!$e$706)</f>
      </c>
      <c r="AL706">
        <f>IF(ISBLANK('Data Entry'!$f$706), "", 'Data Entry'!$f$706)</f>
      </c>
      <c r="AM706">
        <f>IF(ISBLANK('Data Entry'!$g$706), "", 'Data Entry'!$g$706)</f>
      </c>
      <c r="AN706">
        <f>IF(ISBLANK('Data Entry'!$h$706), "", 'Data Entry'!$h$706)</f>
      </c>
      <c r="AO706">
        <f>IF(ISBLANK('Data Entry'!$i$706), "", 'Data Entry'!$i$706)</f>
      </c>
      <c r="AP706">
        <f>IF(ISBLANK('Data Entry'!$j$706), "", 'Data Entry'!$j$706)</f>
      </c>
      <c r="AQ706">
        <f>IF(ISBLANK('Data Entry'!$k$706), "", 'Data Entry'!$k$706)</f>
      </c>
      <c r="AR706">
        <f>IF(ISBLANK('Data Entry'!$l$706), "", 'Data Entry'!$l$706)</f>
      </c>
      <c r="AS706">
        <f>IF(ISBLANK('Data Entry'!$m$706), "", 'Data Entry'!$m$706)</f>
      </c>
      <c r="AT706">
        <f>IF(ISBLANK('Data Entry'!$n$706), "", 'Data Entry'!$n$706)</f>
      </c>
      <c r="AU706">
        <f>IF(ISBLANK('Data Entry'!$o$706), "", 'Data Entry'!$o$706)</f>
      </c>
      <c r="AV706">
        <f>IF(ISBLANK('Data Entry'!$p$706), "", 'Data Entry'!$p$706)</f>
      </c>
      <c r="AW706">
        <f>IF(ISBLANK('Data Entry'!$q$706), "", 'Data Entry'!$q$706)</f>
      </c>
      <c r="AX706">
        <f>IF(ISBLANK('Data Entry'!$r$706), "", 'Data Entry'!$r$706)</f>
      </c>
      <c r="AY706">
        <f>IF(ISBLANK('Data Entry'!$s$706), "", 'Data Entry'!$s$706)</f>
      </c>
      <c r="AZ706">
        <f>IF(ISBLANK('Data Entry'!$t$706), "", 'Data Entry'!$t$706)</f>
      </c>
      <c r="BA706">
        <f>IF(ISBLANK('Data Entry'!$u$706), "", 'Data Entry'!$u$706)</f>
      </c>
      <c r="BB706">
        <f>IF(ISBLANK('Data Entry'!$v$706), "", 'Data Entry'!$v$706)</f>
      </c>
      <c r="BC706">
        <f>IF(ISBLANK('Data Entry'!$w$706), "", 'Data Entry'!$w$706)</f>
      </c>
      <c r="BD706">
        <f>IF(ISBLANK('Data Entry'!$x$706), "", 'Data Entry'!$x$706)</f>
      </c>
      <c r="BE706">
        <f>IF(ISBLANK('Data Entry'!$y$706), "", 'Data Entry'!$y$706)</f>
      </c>
      <c r="BF706">
        <f>IF(ISBLANK('Data Entry'!$z$706), "", 'Data Entry'!$z$706)</f>
      </c>
      <c r="BG706">
        <f>IF(ISBLANK('Data Entry'!${$706), "", 'Data Entry'!${$706)</f>
      </c>
      <c r="BH706">
        <f>IF(ISBLANK('Data Entry'!$|$706), "", 'Data Entry'!$|$706)</f>
      </c>
      <c r="BI706">
        <f>IF(ISBLANK('Data Entry'!$}$706), "", 'Data Entry'!$}$706)</f>
      </c>
      <c r="BJ706">
        <f>IF(ISBLANK('Data Entry'!$~$706), "", 'Data Entry'!$~$706)</f>
      </c>
      <c r="BK706">
        <f>IF(ISBLANK('Data Entry'!$$706), "", 'Data Entry'!$$706)</f>
      </c>
      <c r="BL706">
        <f>IF(ISBLANK('Data Entry'!$$706), "", 'Data Entry'!$$706)</f>
      </c>
      <c r="BM706">
        <f>IF(ISBLANK('Data Entry'!$$706), "", 'Data Entry'!$$706)</f>
      </c>
      <c r="BN706">
        <f>IF(ISBLANK('Data Entry'!$$706), "", 'Data Entry'!$$706)</f>
      </c>
      <c r="BO706">
        <f>IF(ISBLANK('Data Entry'!$$706), "", 'Data Entry'!$$706)</f>
      </c>
      <c r="BP706">
        <f>IF(ISBLANK('Data Entry'!$$706), "", 'Data Entry'!$$706)</f>
      </c>
      <c r="BQ706">
        <f>IF(ISBLANK('Data Entry'!$$706), "", 'Data Entry'!$$706)</f>
      </c>
      <c r="BR706">
        <f>IF(ISBLANK('Data Entry'!$$706), "", 'Data Entry'!$$706)</f>
      </c>
      <c r="BS706">
        <f>IF(ISBLANK('Data Entry'!$$706), "", 'Data Entry'!$$706)</f>
      </c>
      <c r="BT706">
        <f>IF(ISBLANK('Data Entry'!$$706), "", 'Data Entry'!$$706)</f>
      </c>
      <c r="BU706">
        <f>IF(ISBLANK('Data Entry'!$$706), "", 'Data Entry'!$$706)</f>
      </c>
      <c r="BV706">
        <f>IF(ISBLANK('Data Entry'!$$706), "", 'Data Entry'!$$706)</f>
      </c>
      <c r="BW706">
        <f>IF(ISBLANK('Data Entry'!$$706), "", 'Data Entry'!$$706)</f>
      </c>
      <c r="BX706">
        <f>IF(ISBLANK('Data Entry'!$$706), "", 'Data Entry'!$$706)</f>
      </c>
      <c r="BY706">
        <f>IF(ISBLANK('Data Entry'!$$706), "", 'Data Entry'!$$706)</f>
      </c>
      <c r="BZ706">
        <f>IF(ISBLANK('Data Entry'!$$706), "", 'Data Entry'!$$706)</f>
      </c>
      <c r="CA706">
        <f>IF(ISBLANK('Data Entry'!$$706), "", 'Data Entry'!$$706)</f>
      </c>
      <c r="CB706">
        <f>IF(ISBLANK('Data Entry'!$$706), "", 'Data Entry'!$$706)</f>
      </c>
      <c r="CC706">
        <f>IF(ISBLANK('Data Entry'!$$706), "", 'Data Entry'!$$706)</f>
      </c>
      <c r="CD706">
        <f>IF(ISBLANK('Data Entry'!$$706), "", 'Data Entry'!$$706)</f>
      </c>
      <c r="CE706">
        <f>IF(ISBLANK('Data Entry'!$$706), "", 'Data Entry'!$$706)</f>
      </c>
      <c r="CF706">
        <f>IF(ISBLANK('Data Entry'!$$706), "", 'Data Entry'!$$706)</f>
      </c>
      <c r="CG706">
        <f>IF(ISBLANK('Data Entry'!$$706), "", 'Data Entry'!$$706)</f>
      </c>
      <c r="CH706">
        <f>IF(ISBLANK('Data Entry'!$$706), "", 'Data Entry'!$$706)</f>
      </c>
      <c r="CI706">
        <f>IF(ISBLANK('Data Entry'!$$706), "", 'Data Entry'!$$706)</f>
      </c>
      <c r="CJ706">
        <f>IF(ISBLANK('Data Entry'!$$706), "", 'Data Entry'!$$706)</f>
      </c>
      <c r="CK706">
        <f>IF(ISBLANK('Data Entry'!$$706), "", 'Data Entry'!$$706)</f>
      </c>
      <c r="CL706">
        <f>IF(ISBLANK('Data Entry'!$$706), "", 'Data Entry'!$$706)</f>
      </c>
      <c r="CM706">
        <f>IF(ISBLANK('Data Entry'!$$706), "", 'Data Entry'!$$706)</f>
      </c>
      <c r="CN706">
        <f>IF(ISBLANK('Data Entry'!$$706), "", 'Data Entry'!$$706)</f>
      </c>
      <c r="CO706">
        <f>IF(ISBLANK('Data Entry'!$$706), "", 'Data Entry'!$$706)</f>
      </c>
      <c r="CP706">
        <f>IF(ISBLANK('Data Entry'!$$706), "", 'Data Entry'!$$706)</f>
      </c>
      <c r="CQ706">
        <f>IF(ISBLANK('Data Entry'!$$706), "", 'Data Entry'!$$706)</f>
      </c>
      <c r="CR706">
        <f>IF(ISBLANK('Data Entry'!$ $706), "", 'Data Entry'!$ $706)</f>
      </c>
      <c r="CS706">
        <f>IF(ISBLANK('Data Entry'!$¡$706), "", 'Data Entry'!$¡$706)</f>
      </c>
      <c r="CT706">
        <f>IF(ISBLANK('Data Entry'!$¢$706), "", 'Data Entry'!$¢$706)</f>
      </c>
      <c r="CU706">
        <f>IF(ISBLANK('Data Entry'!$£$706), "", 'Data Entry'!$£$706)</f>
      </c>
      <c r="CV706">
        <f>IF(ISBLANK('Data Entry'!$¤$706), "", 'Data Entry'!$¤$706)</f>
      </c>
      <c r="CW706">
        <f>IF(ISBLANK('Data Entry'!$¥$706), "", 'Data Entry'!$¥$706)</f>
      </c>
      <c r="CX706">
        <f>IF(ISBLANK('Data Entry'!$¦$706), "", 'Data Entry'!$¦$706)</f>
      </c>
      <c r="CY706">
        <f>IF(ISBLANK('Data Entry'!$§$706), "", 'Data Entry'!$§$706)</f>
      </c>
      <c r="CZ706">
        <f>IF(ISBLANK('Data Entry'!$¨$706), "", 'Data Entry'!$¨$706)</f>
      </c>
      <c r="DA706">
        <f>IF(ISBLANK('Data Entry'!$©$706), "", 'Data Entry'!$©$706)</f>
      </c>
      <c r="DB706">
        <f>IF(ISBLANK('Data Entry'!$ª$706), "", 'Data Entry'!$ª$706)</f>
      </c>
      <c r="DC706">
        <f>IF(ISBLANK('Data Entry'!$«$706), "", 'Data Entry'!$«$706)</f>
      </c>
      <c r="DD706">
        <f>IF(ISBLANK('Data Entry'!$¬$706), "", 'Data Entry'!$¬$706)</f>
      </c>
      <c r="DE706">
        <f>IF(ISBLANK('Data Entry'!$­$706), "", 'Data Entry'!$­$706)</f>
      </c>
      <c r="DF706">
        <f>IF(ISBLANK('Data Entry'!$®$706), "", 'Data Entry'!$®$706)</f>
      </c>
      <c r="DG706">
        <f>IF(ISBLANK('Data Entry'!$¯$706), "", 'Data Entry'!$¯$706)</f>
      </c>
      <c r="DH706">
        <f>IF(ISBLANK('Data Entry'!$°$706), "", 'Data Entry'!$°$706)</f>
      </c>
      <c r="DI706">
        <f>IF(ISBLANK('Data Entry'!$±$706), "", 'Data Entry'!$±$706)</f>
      </c>
      <c r="DJ706">
        <f>IF(ISBLANK('Data Entry'!$²$706), "", 'Data Entry'!$²$706)</f>
      </c>
      <c r="DK706">
        <f>IF(ISBLANK('Data Entry'!$³$706), "", 'Data Entry'!$³$706)</f>
      </c>
      <c r="DL706">
        <f>IF(ISBLANK('Data Entry'!$´$706), "", 'Data Entry'!$´$706)</f>
      </c>
      <c r="DM706">
        <f>IF(ISBLANK('Data Entry'!$µ$706), "", 'Data Entry'!$µ$706)</f>
      </c>
      <c r="DN706">
        <f>IF(ISBLANK('Data Entry'!$¶$706), "", 'Data Entry'!$¶$706)</f>
      </c>
      <c r="DO706">
        <f>IF(ISBLANK('Data Entry'!$·$706), "", 'Data Entry'!$·$706)</f>
      </c>
      <c r="DP706">
        <f>IF(ISBLANK('Data Entry'!$¸$706), "", 'Data Entry'!$¸$706)</f>
      </c>
      <c r="DQ706">
        <f>IF(ISBLANK('Data Entry'!$¹$706), "", 'Data Entry'!$¹$706)</f>
      </c>
      <c r="DR706">
        <f>IF(ISBLANK('Data Entry'!$º$706), "", 'Data Entry'!$º$706)</f>
      </c>
      <c r="DS706">
        <f>IF(ISBLANK('Data Entry'!$»$706), "", 'Data Entry'!$»$706)</f>
      </c>
      <c r="DT706">
        <f>IF(ISBLANK('Data Entry'!$¼$706), "", 'Data Entry'!$¼$706)</f>
      </c>
      <c r="DU706">
        <f>IF(ISBLANK('Data Entry'!$½$706), "", 'Data Entry'!$½$706)</f>
      </c>
      <c r="DV706">
        <f>IF(ISBLANK('Data Entry'!$¾$706), "", 'Data Entry'!$¾$706)</f>
      </c>
      <c r="DW706">
        <f>IF(ISBLANK('Data Entry'!$¿$706), "", 'Data Entry'!$¿$706)</f>
      </c>
      <c r="DX706">
        <f>IF(ISBLANK('Data Entry'!$À$706), "", 'Data Entry'!$À$706)</f>
      </c>
      <c r="DY706">
        <f>IF(ISBLANK('Data Entry'!$Á$706), "", 'Data Entry'!$Á$706)</f>
      </c>
      <c r="DZ706">
        <f>IF(ISBLANK('Data Entry'!$Â$706), "", 'Data Entry'!$Â$706)</f>
      </c>
      <c r="EA706">
        <f>IF(ISBLANK('Data Entry'!$Ã$706), "", 'Data Entry'!$Ã$706)</f>
      </c>
      <c r="EB706">
        <f>IF(ISBLANK('Data Entry'!$Ä$706), "", 'Data Entry'!$Ä$706)</f>
      </c>
      <c r="EC706">
        <f>IF(ISBLANK('Data Entry'!$Å$706), "", 'Data Entry'!$Å$706)</f>
      </c>
      <c r="ED706">
        <f>IF(ISBLANK('Data Entry'!$Æ$706), "", 'Data Entry'!$Æ$706)</f>
      </c>
      <c r="EE706">
        <f>IF(ISBLANK('Data Entry'!$Ç$706), "", 'Data Entry'!$Ç$706)</f>
      </c>
      <c r="EF706">
        <f>IF(ISBLANK('Data Entry'!$È$706), "", 'Data Entry'!$È$706)</f>
      </c>
      <c r="EG706">
        <f>IF(ISBLANK('Data Entry'!$É$706), "", 'Data Entry'!$É$706)</f>
      </c>
      <c r="EH706">
        <f>IF(ISBLANK('Data Entry'!$Ê$706), "", 'Data Entry'!$Ê$706)</f>
      </c>
      <c r="EI706">
        <f>IF(ISBLANK('Data Entry'!$Ë$706), "", 'Data Entry'!$Ë$706)</f>
      </c>
      <c r="EJ706">
        <f>IF(ISBLANK('Data Entry'!$Ì$706), "", 'Data Entry'!$Ì$706)</f>
      </c>
      <c r="EK706">
        <f>IF(ISBLANK('Data Entry'!$Í$706), "", 'Data Entry'!$Í$706)</f>
      </c>
      <c r="EL706">
        <f>IF(ISBLANK('Data Entry'!$Î$706), "", 'Data Entry'!$Î$706)</f>
      </c>
      <c r="EM706">
        <f>IF(ISBLANK('Data Entry'!$Ï$706), "", 'Data Entry'!$Ï$706)</f>
      </c>
      <c r="EN706">
        <f>IF(ISBLANK('Data Entry'!$Ð$706), "", 'Data Entry'!$Ð$706)</f>
      </c>
      <c r="EO706">
        <f>IF(ISBLANK('Data Entry'!$Ñ$706), "", 'Data Entry'!$Ñ$706)</f>
      </c>
      <c r="EP706">
        <f>IF(ISBLANK('Data Entry'!$Ò$706), "", 'Data Entry'!$Ò$706)</f>
      </c>
      <c r="EQ706">
        <f>IF(ISBLANK('Data Entry'!$Ó$706), "", 'Data Entry'!$Ó$706)</f>
      </c>
      <c r="ER706">
        <f>IF(ISBLANK('Data Entry'!$Ô$706), "", 'Data Entry'!$Ô$706)</f>
      </c>
      <c r="ES706">
        <f>IF(ISBLANK('Data Entry'!$Õ$706), "", 'Data Entry'!$Õ$706)</f>
      </c>
      <c r="ET706">
        <f>IF(ISBLANK('Data Entry'!$Ö$706), "", 'Data Entry'!$Ö$706)</f>
      </c>
      <c r="EU706">
        <f>IF(ISBLANK('Data Entry'!$×$706), "", 'Data Entry'!$×$706)</f>
      </c>
      <c r="EV706">
        <f>IF(ISBLANK('Data Entry'!$Ø$706), "", 'Data Entry'!$Ø$706)</f>
      </c>
      <c r="EW706">
        <f>IF(ISBLANK('Data Entry'!$Ù$706), "", 'Data Entry'!$Ù$706)</f>
      </c>
      <c r="EX706">
        <f>IF(ISBLANK('Data Entry'!$Ú$706), "", 'Data Entry'!$Ú$706)</f>
      </c>
      <c r="EY706">
        <f>IF(ISBLANK('Data Entry'!$Û$706), "", 'Data Entry'!$Û$706)</f>
      </c>
      <c r="EZ706">
        <f>IF(ISBLANK('Data Entry'!$Ü$706), "", 'Data Entry'!$Ü$706)</f>
      </c>
      <c r="FA706">
        <f>IF(ISBLANK('Data Entry'!$Ý$706), "", 'Data Entry'!$Ý$706)</f>
      </c>
      <c r="FB706">
        <f>IF(ISBLANK('Data Entry'!$Þ$706), "", 'Data Entry'!$Þ$706)</f>
      </c>
      <c r="FC706">
        <f>IF(ISBLANK('Data Entry'!$ß$706), "", 'Data Entry'!$ß$706)</f>
      </c>
      <c r="FD706">
        <f>IF(ISBLANK('Data Entry'!$à$706), "", 'Data Entry'!$à$706)</f>
      </c>
      <c r="FE706">
        <f>IF(ISBLANK('Data Entry'!$á$706), "", 'Data Entry'!$á$706)</f>
      </c>
      <c r="FF706">
        <f>IF(ISBLANK('Data Entry'!$â$706), "", 'Data Entry'!$â$706)</f>
      </c>
      <c r="FG706">
        <f>IF(ISBLANK('Data Entry'!$ã$706), "", 'Data Entry'!$ã$706)</f>
      </c>
      <c r="FH706">
        <f>IF(ISBLANK('Data Entry'!$ä$706), "", 'Data Entry'!$ä$706)</f>
      </c>
      <c r="FI706">
        <f>IF(ISBLANK('Data Entry'!$å$706), "", 'Data Entry'!$å$706)</f>
      </c>
      <c r="FJ706">
        <f>IF(ISBLANK('Data Entry'!$æ$706), "", 'Data Entry'!$æ$706)</f>
      </c>
      <c r="FK706">
        <f>IF(ISBLANK('Data Entry'!$ç$706), "", 'Data Entry'!$ç$706)</f>
      </c>
      <c r="FL706">
        <f>IF(ISBLANK('Data Entry'!$è$706), "", 'Data Entry'!$è$706)</f>
      </c>
      <c r="FM706">
        <f>IF(ISBLANK('Data Entry'!$é$706), "", 'Data Entry'!$é$706)</f>
      </c>
      <c r="FN706">
        <f>IF(ISBLANK('Data Entry'!$ê$706), "", 'Data Entry'!$ê$706)</f>
      </c>
      <c r="FO706">
        <f>IF(ISBLANK('Data Entry'!$ë$706), "", 'Data Entry'!$ë$706)</f>
      </c>
      <c r="FP706">
        <f>IF(ISBLANK('Data Entry'!$ì$706), "", 'Data Entry'!$ì$706)</f>
      </c>
      <c r="FQ706">
        <f>IF(ISBLANK('Data Entry'!$í$706), "", 'Data Entry'!$í$706)</f>
      </c>
      <c r="FR706">
        <f>IF(ISBLANK('Data Entry'!$î$706), "", 'Data Entry'!$î$706)</f>
      </c>
      <c r="FS706">
        <f>IF(ISBLANK('Data Entry'!$ï$706), "", 'Data Entry'!$ï$706)</f>
      </c>
      <c r="FT706">
        <f>IF(ISBLANK('Data Entry'!$ð$706), "", 'Data Entry'!$ð$706)</f>
      </c>
      <c r="FU706">
        <f>IF(ISBLANK('Data Entry'!$ñ$706), "", 'Data Entry'!$ñ$706)</f>
      </c>
      <c r="FV706">
        <f>IF(ISBLANK('Data Entry'!$ò$706), "", 'Data Entry'!$ò$706)</f>
      </c>
      <c r="FW706">
        <f>IF(ISBLANK('Data Entry'!$ó$706), "", 'Data Entry'!$ó$706)</f>
      </c>
      <c r="FX706">
        <f>IF(ISBLANK('Data Entry'!$ô$706), "", 'Data Entry'!$ô$706)</f>
      </c>
      <c r="FY706">
        <f>IF(ISBLANK('Data Entry'!$õ$706), "", 'Data Entry'!$õ$706)</f>
      </c>
      <c r="FZ706">
        <f>IF(ISBLANK('Data Entry'!$ö$706), "", 'Data Entry'!$ö$706)</f>
      </c>
      <c r="GA706">
        <f>IF(ISBLANK('Data Entry'!$÷$706), "", 'Data Entry'!$÷$706)</f>
      </c>
      <c r="GB706">
        <f>IF(ISBLANK('Data Entry'!$ø$706), "", 'Data Entry'!$ø$706)</f>
      </c>
      <c r="GC706">
        <f>IF(ISBLANK('Data Entry'!$ù$706), "", 'Data Entry'!$ù$706)</f>
      </c>
      <c r="GD706">
        <f>IF(ISBLANK('Data Entry'!$ú$706), "", 'Data Entry'!$ú$706)</f>
      </c>
      <c r="GE706">
        <f>IF(ISBLANK('Data Entry'!$û$706), "", 'Data Entry'!$û$706)</f>
      </c>
      <c r="GF706">
        <f>IF(ISBLANK('Data Entry'!$ü$706), "", 'Data Entry'!$ü$706)</f>
      </c>
      <c r="GG706">
        <f>IF(ISBLANK('Data Entry'!$ý$706), "", 'Data Entry'!$ý$706)</f>
      </c>
      <c r="GH706">
        <f>IF(ISBLANK('Data Entry'!$þ$706), "", 'Data Entry'!$þ$706)</f>
      </c>
      <c r="GI706">
        <f>IF(ISBLANK('Data Entry'!$ÿ$706), "", 'Data Entry'!$ÿ$706)</f>
      </c>
      <c r="GJ706">
        <f>IF(ISBLANK('Data Entry'!$Ā$706), "", 'Data Entry'!$Ā$706)</f>
      </c>
      <c r="GK706">
        <f>IF(ISBLANK('Data Entry'!$ā$706), "", 'Data Entry'!$ā$706)</f>
      </c>
      <c r="GL706">
        <f>IF(ISBLANK('Data Entry'!$Ă$706), "", 'Data Entry'!$Ă$706)</f>
      </c>
      <c r="GM706">
        <f>IF(ISBLANK('Data Entry'!$ă$706), "", 'Data Entry'!$ă$706)</f>
      </c>
      <c r="GN706">
        <f>IF(ISBLANK('Data Entry'!$Ą$706), "", 'Data Entry'!$Ą$706)</f>
      </c>
      <c r="GO706">
        <f>IF(ISBLANK('Data Entry'!$ą$706), "", 'Data Entry'!$ą$706)</f>
      </c>
      <c r="GP706">
        <f>IF(ISBLANK('Data Entry'!$Ć$706), "", 'Data Entry'!$Ć$706)</f>
      </c>
      <c r="GQ706">
        <f>IF(ISBLANK('Data Entry'!$ć$706), "", 'Data Entry'!$ć$706)</f>
      </c>
      <c r="GR706">
        <f>IF(ISBLANK('Data Entry'!$Ĉ$706), "", 'Data Entry'!$Ĉ$706)</f>
      </c>
      <c r="GS706">
        <f>IF(ISBLANK('Data Entry'!$ĉ$706), "", 'Data Entry'!$ĉ$706)</f>
      </c>
      <c r="GT706">
        <f>IF(ISBLANK('Data Entry'!$Ċ$706), "", 'Data Entry'!$Ċ$706)</f>
      </c>
      <c r="GU706">
        <f>IF(ISBLANK('Data Entry'!$ċ$706), "", 'Data Entry'!$ċ$706)</f>
      </c>
      <c r="GV706">
        <f>IF(ISBLANK('Data Entry'!$Č$706), "", 'Data Entry'!$Č$706)</f>
      </c>
      <c r="GW706">
        <f>IF(ISBLANK('Data Entry'!$č$706), "", 'Data Entry'!$č$706)</f>
      </c>
      <c r="GX706">
        <f>IF(ISBLANK('Data Entry'!$Ď$706), "", 'Data Entry'!$Ď$706)</f>
      </c>
      <c r="GY706">
        <f>IF(ISBLANK('Data Entry'!$ď$706), "", 'Data Entry'!$ď$706)</f>
      </c>
      <c r="GZ706">
        <f>IF(ISBLANK('Data Entry'!$Đ$706), "", 'Data Entry'!$Đ$706)</f>
      </c>
      <c r="HA706">
        <f>IF(ISBLANK('Data Entry'!$đ$706), "", 'Data Entry'!$đ$706)</f>
      </c>
      <c r="HB706">
        <f>IF(ISBLANK('Data Entry'!$Ē$706), "", 'Data Entry'!$Ē$706)</f>
      </c>
      <c r="HC706">
        <f>IF(ISBLANK('Data Entry'!$ē$706), "", 'Data Entry'!$ē$706)</f>
      </c>
      <c r="HD706">
        <f>IF(ISBLANK('Data Entry'!$Ĕ$706), "", 'Data Entry'!$Ĕ$706)</f>
      </c>
      <c r="HE706">
        <f>IF(ISBLANK('Data Entry'!$ĕ$706), "", 'Data Entry'!$ĕ$706)</f>
      </c>
      <c r="HF706">
        <f>IF(ISBLANK('Data Entry'!$Ė$706), "", 'Data Entry'!$Ė$706)</f>
      </c>
      <c r="HG706">
        <f>IF(ISBLANK('Data Entry'!$ė$706), "", 'Data Entry'!$ė$706)</f>
      </c>
      <c r="HH706">
        <f>IF(ISBLANK('Data Entry'!$Ę$706), "", 'Data Entry'!$Ę$706)</f>
      </c>
      <c r="HI706">
        <f>IF(ISBLANK('Data Entry'!$ę$706), "", 'Data Entry'!$ę$706)</f>
      </c>
      <c r="HJ706">
        <f>IF(ISBLANK('Data Entry'!$Ě$706), "", 'Data Entry'!$Ě$706)</f>
      </c>
      <c r="HK706">
        <f>IF(ISBLANK('Data Entry'!$ě$706), "", 'Data Entry'!$ě$706)</f>
      </c>
      <c r="HL706">
        <f>IF(ISBLANK('Data Entry'!$Ĝ$706), "", 'Data Entry'!$Ĝ$706)</f>
      </c>
      <c r="HM706">
        <f>IF(ISBLANK('Data Entry'!$ĝ$706), "", 'Data Entry'!$ĝ$706)</f>
      </c>
      <c r="HN706">
        <f>IF(ISBLANK('Data Entry'!$Ğ$706), "", 'Data Entry'!$Ğ$706)</f>
      </c>
      <c r="HO706">
        <f>IF(ISBLANK('Data Entry'!$ğ$706), "", 'Data Entry'!$ğ$706)</f>
      </c>
      <c r="HP706">
        <f>IF(ISBLANK('Data Entry'!$Ġ$706), "", 'Data Entry'!$Ġ$706)</f>
      </c>
      <c r="HQ706">
        <f>IF(ISBLANK('Data Entry'!$ġ$706), "", 'Data Entry'!$ġ$706)</f>
      </c>
      <c r="HR706">
        <f>IF(ISBLANK('Data Entry'!$Ģ$706), "", 'Data Entry'!$Ģ$706)</f>
      </c>
      <c r="HS706">
        <f>IF(ISBLANK('Data Entry'!$ģ$706), "", 'Data Entry'!$ģ$706)</f>
      </c>
      <c r="HT706">
        <f>IF(ISBLANK('Data Entry'!$Ĥ$706), "", 'Data Entry'!$Ĥ$706)</f>
      </c>
      <c r="HU706">
        <f>IF(ISBLANK('Data Entry'!$ĥ$706), "", 'Data Entry'!$ĥ$706)</f>
      </c>
      <c r="HV706">
        <f>IF(ISBLANK('Data Entry'!$Ħ$706), "", 'Data Entry'!$Ħ$706)</f>
      </c>
      <c r="HW706">
        <f>IF(ISBLANK('Data Entry'!$ħ$706), "", 'Data Entry'!$ħ$706)</f>
      </c>
      <c r="HX706">
        <f>IF(ISBLANK('Data Entry'!$Ĩ$706), "", 'Data Entry'!$Ĩ$706)</f>
      </c>
      <c r="HY706">
        <f>IF(ISBLANK('Data Entry'!$ĩ$706), "", 'Data Entry'!$ĩ$706)</f>
      </c>
      <c r="HZ706">
        <f>IF(ISBLANK('Data Entry'!$Ī$706), "", 'Data Entry'!$Ī$706)</f>
      </c>
      <c r="IA706">
        <f>IF(ISBLANK('Data Entry'!$ī$706), "", 'Data Entry'!$ī$706)</f>
      </c>
      <c r="IB706">
        <f>IF(ISBLANK('Data Entry'!$Ĭ$706), "", 'Data Entry'!$Ĭ$706)</f>
      </c>
      <c r="IC706">
        <f>IF(ISBLANK('Data Entry'!$ĭ$706), "", 'Data Entry'!$ĭ$706)</f>
      </c>
      <c r="ID706">
        <f>IF(ISBLANK('Data Entry'!$Į$706), "", 'Data Entry'!$Į$706)</f>
      </c>
      <c r="IE706">
        <f>IF(ISBLANK('Data Entry'!$į$706), "", 'Data Entry'!$į$706)</f>
      </c>
      <c r="IF706">
        <f>IF(ISBLANK('Data Entry'!$İ$706), "", 'Data Entry'!$İ$706)</f>
      </c>
      <c r="IG706">
        <f>IF(ISBLANK('Data Entry'!$ı$706), "", 'Data Entry'!$ı$706)</f>
      </c>
      <c r="IH706">
        <f>IF(ISBLANK('Data Entry'!$Ĳ$706), "", 'Data Entry'!$Ĳ$706)</f>
      </c>
      <c r="II706">
        <f>IF(ISBLANK('Data Entry'!$ĳ$706), "", 'Data Entry'!$ĳ$706)</f>
      </c>
      <c r="IJ706">
        <f>IF(ISBLANK('Data Entry'!$Ĵ$706), "", 'Data Entry'!$Ĵ$706)</f>
      </c>
      <c r="IK706">
        <f>IF(ISBLANK('Data Entry'!$ĵ$706), "", 'Data Entry'!$ĵ$706)</f>
      </c>
      <c r="IL706">
        <f>IF(ISBLANK('Data Entry'!$Ķ$706), "", 'Data Entry'!$Ķ$706)</f>
      </c>
      <c r="IM706">
        <f>IF(ISBLANK('Data Entry'!$ķ$706), "", 'Data Entry'!$ķ$706)</f>
      </c>
      <c r="IN706">
        <f>IF(ISBLANK('Data Entry'!$ĸ$706), "", 'Data Entry'!$ĸ$706)</f>
      </c>
      <c r="IO706">
        <f>IF(ISBLANK('Data Entry'!$Ĺ$706), "", 'Data Entry'!$Ĺ$706)</f>
      </c>
      <c r="IP706">
        <f>IF(ISBLANK('Data Entry'!$ĺ$706), "", 'Data Entry'!$ĺ$706)</f>
      </c>
      <c r="IQ706">
        <f>IF(ISBLANK('Data Entry'!$Ļ$706), "", 'Data Entry'!$Ļ$706)</f>
      </c>
      <c r="IR706">
        <f>IF(ISBLANK('Data Entry'!$ļ$706), "", 'Data Entry'!$ļ$706)</f>
      </c>
      <c r="IS706">
        <f>IF(ISBLANK('Data Entry'!$Ľ$706), "", 'Data Entry'!$Ľ$706)</f>
      </c>
      <c r="IT706">
        <f>IF(ISBLANK('Data Entry'!$ľ$706), "", 'Data Entry'!$ľ$706)</f>
      </c>
    </row>
    <row r="707" spans="1:254" x14ac:dyDescent="0.25">
      <c r="A707">
        <f>IF(ISBLANK('Data Entry'!$A$707), "", 'Data Entry'!$A$707)</f>
      </c>
      <c r="B707">
        <f>IF(ISBLANK('Data Entry'!$B$707), "", 'Data Entry'!$B$707)</f>
      </c>
      <c r="C707">
        <f>IF(ISBLANK('Data Entry'!$C$707), "", 'Data Entry'!$C$707)</f>
      </c>
      <c r="D707">
        <f>IF(ISBLANK('Data Entry'!$D$707), "", 'Data Entry'!$D$707)</f>
      </c>
      <c r="E707">
        <f>IF(ISBLANK('Data Entry'!$E$707), "", 'Data Entry'!$E$707)</f>
      </c>
      <c r="F707">
        <f>IF(ISBLANK('Data Entry'!$F$707), "", 'Data Entry'!$F$707)</f>
      </c>
      <c r="G707">
        <f>IF(ISBLANK('Data Entry'!$G$707), "", 'Data Entry'!$G$707)</f>
      </c>
      <c r="H707">
        <f>IF(ISBLANK('Data Entry'!$H$707), "", 'Data Entry'!$H$707)</f>
      </c>
      <c r="I707">
        <f>IF(ISBLANK('Data Entry'!$I$707), "", 'Data Entry'!$I$707)</f>
      </c>
      <c r="J707">
        <f>IF(ISBLANK('Data Entry'!$J$707), "", 'Data Entry'!$J$707)</f>
      </c>
      <c r="K707">
        <f>IF(ISBLANK('Data Entry'!$K$707), "", 'Data Entry'!$K$707)</f>
      </c>
      <c r="L707">
        <f>IF(ISBLANK('Data Entry'!$L$707), "", 'Data Entry'!$L$707)</f>
      </c>
      <c r="M707">
        <f>IF(ISBLANK('Data Entry'!$M$707), "", 'Data Entry'!$M$707)</f>
      </c>
      <c r="N707">
        <f>IF(ISBLANK('Data Entry'!$N$707), "", 'Data Entry'!$N$707)</f>
      </c>
      <c r="O707">
        <f>IF(ISBLANK('Data Entry'!$O$707), "", 'Data Entry'!$O$707)</f>
      </c>
      <c r="P707">
        <f>IF(ISBLANK('Data Entry'!$P$707), "", 'Data Entry'!$P$707)</f>
      </c>
      <c r="Q707">
        <f>IF(ISBLANK('Data Entry'!$Q$707), "", 'Data Entry'!$Q$707)</f>
      </c>
      <c r="R707">
        <f>IF(ISBLANK('Data Entry'!$R$707), "", 'Data Entry'!$R$707)</f>
      </c>
      <c r="S707">
        <f>IF(ISBLANK('Data Entry'!$S$707), "", 'Data Entry'!$S$707)</f>
      </c>
      <c r="T707">
        <f>IF(ISBLANK('Data Entry'!$T$707), "", 'Data Entry'!$T$707)</f>
      </c>
      <c r="U707">
        <f>IF(ISBLANK('Data Entry'!$U$707), "", 'Data Entry'!$U$707)</f>
      </c>
      <c r="V707">
        <f>IF(ISBLANK('Data Entry'!$V$707), "", 'Data Entry'!$V$707)</f>
      </c>
      <c r="W707">
        <f>IF(ISBLANK('Data Entry'!$W$707), "", 'Data Entry'!$W$707)</f>
      </c>
      <c r="X707">
        <f>IF(ISBLANK('Data Entry'!$X$707), "", 'Data Entry'!$X$707)</f>
      </c>
      <c r="Y707">
        <f>IF(ISBLANK('Data Entry'!$Y$707), "", 'Data Entry'!$Y$707)</f>
      </c>
      <c r="Z707">
        <f>IF(ISBLANK('Data Entry'!$Z$707), "", 'Data Entry'!$Z$707)</f>
      </c>
      <c r="AA707">
        <f>IF(ISBLANK('Data Entry'!$[$707), "", 'Data Entry'!$[$707)</f>
      </c>
      <c r="AB707">
        <f>IF(ISBLANK('Data Entry'!$\$707), "", 'Data Entry'!$\$707)</f>
      </c>
      <c r="AC707">
        <f>IF(ISBLANK('Data Entry'!$]$707), "", 'Data Entry'!$]$707)</f>
      </c>
      <c r="AD707">
        <f>IF(ISBLANK('Data Entry'!$^$707), "", 'Data Entry'!$^$707)</f>
      </c>
      <c r="AE707">
        <f>IF(ISBLANK('Data Entry'!$_$707), "", 'Data Entry'!$_$707)</f>
      </c>
      <c r="AF707">
        <f>IF(ISBLANK('Data Entry'!$`$707), "", 'Data Entry'!$`$707)</f>
      </c>
      <c r="AG707">
        <f>IF(ISBLANK('Data Entry'!$a$707), "", 'Data Entry'!$a$707)</f>
      </c>
      <c r="AH707">
        <f>IF(ISBLANK('Data Entry'!$b$707), "", 'Data Entry'!$b$707)</f>
      </c>
      <c r="AI707">
        <f>IF(ISBLANK('Data Entry'!$c$707), "", 'Data Entry'!$c$707)</f>
      </c>
      <c r="AJ707">
        <f>IF(ISBLANK('Data Entry'!$d$707), "", 'Data Entry'!$d$707)</f>
      </c>
      <c r="AK707">
        <f>IF(ISBLANK('Data Entry'!$e$707), "", 'Data Entry'!$e$707)</f>
      </c>
      <c r="AL707">
        <f>IF(ISBLANK('Data Entry'!$f$707), "", 'Data Entry'!$f$707)</f>
      </c>
      <c r="AM707">
        <f>IF(ISBLANK('Data Entry'!$g$707), "", 'Data Entry'!$g$707)</f>
      </c>
      <c r="AN707">
        <f>IF(ISBLANK('Data Entry'!$h$707), "", 'Data Entry'!$h$707)</f>
      </c>
      <c r="AO707">
        <f>IF(ISBLANK('Data Entry'!$i$707), "", 'Data Entry'!$i$707)</f>
      </c>
      <c r="AP707">
        <f>IF(ISBLANK('Data Entry'!$j$707), "", 'Data Entry'!$j$707)</f>
      </c>
      <c r="AQ707">
        <f>IF(ISBLANK('Data Entry'!$k$707), "", 'Data Entry'!$k$707)</f>
      </c>
      <c r="AR707">
        <f>IF(ISBLANK('Data Entry'!$l$707), "", 'Data Entry'!$l$707)</f>
      </c>
      <c r="AS707">
        <f>IF(ISBLANK('Data Entry'!$m$707), "", 'Data Entry'!$m$707)</f>
      </c>
      <c r="AT707">
        <f>IF(ISBLANK('Data Entry'!$n$707), "", 'Data Entry'!$n$707)</f>
      </c>
      <c r="AU707">
        <f>IF(ISBLANK('Data Entry'!$o$707), "", 'Data Entry'!$o$707)</f>
      </c>
      <c r="AV707">
        <f>IF(ISBLANK('Data Entry'!$p$707), "", 'Data Entry'!$p$707)</f>
      </c>
      <c r="AW707">
        <f>IF(ISBLANK('Data Entry'!$q$707), "", 'Data Entry'!$q$707)</f>
      </c>
      <c r="AX707">
        <f>IF(ISBLANK('Data Entry'!$r$707), "", 'Data Entry'!$r$707)</f>
      </c>
      <c r="AY707">
        <f>IF(ISBLANK('Data Entry'!$s$707), "", 'Data Entry'!$s$707)</f>
      </c>
      <c r="AZ707">
        <f>IF(ISBLANK('Data Entry'!$t$707), "", 'Data Entry'!$t$707)</f>
      </c>
      <c r="BA707">
        <f>IF(ISBLANK('Data Entry'!$u$707), "", 'Data Entry'!$u$707)</f>
      </c>
      <c r="BB707">
        <f>IF(ISBLANK('Data Entry'!$v$707), "", 'Data Entry'!$v$707)</f>
      </c>
      <c r="BC707">
        <f>IF(ISBLANK('Data Entry'!$w$707), "", 'Data Entry'!$w$707)</f>
      </c>
      <c r="BD707">
        <f>IF(ISBLANK('Data Entry'!$x$707), "", 'Data Entry'!$x$707)</f>
      </c>
      <c r="BE707">
        <f>IF(ISBLANK('Data Entry'!$y$707), "", 'Data Entry'!$y$707)</f>
      </c>
      <c r="BF707">
        <f>IF(ISBLANK('Data Entry'!$z$707), "", 'Data Entry'!$z$707)</f>
      </c>
      <c r="BG707">
        <f>IF(ISBLANK('Data Entry'!${$707), "", 'Data Entry'!${$707)</f>
      </c>
      <c r="BH707">
        <f>IF(ISBLANK('Data Entry'!$|$707), "", 'Data Entry'!$|$707)</f>
      </c>
      <c r="BI707">
        <f>IF(ISBLANK('Data Entry'!$}$707), "", 'Data Entry'!$}$707)</f>
      </c>
      <c r="BJ707">
        <f>IF(ISBLANK('Data Entry'!$~$707), "", 'Data Entry'!$~$707)</f>
      </c>
      <c r="BK707">
        <f>IF(ISBLANK('Data Entry'!$$707), "", 'Data Entry'!$$707)</f>
      </c>
      <c r="BL707">
        <f>IF(ISBLANK('Data Entry'!$$707), "", 'Data Entry'!$$707)</f>
      </c>
      <c r="BM707">
        <f>IF(ISBLANK('Data Entry'!$$707), "", 'Data Entry'!$$707)</f>
      </c>
      <c r="BN707">
        <f>IF(ISBLANK('Data Entry'!$$707), "", 'Data Entry'!$$707)</f>
      </c>
      <c r="BO707">
        <f>IF(ISBLANK('Data Entry'!$$707), "", 'Data Entry'!$$707)</f>
      </c>
      <c r="BP707">
        <f>IF(ISBLANK('Data Entry'!$$707), "", 'Data Entry'!$$707)</f>
      </c>
      <c r="BQ707">
        <f>IF(ISBLANK('Data Entry'!$$707), "", 'Data Entry'!$$707)</f>
      </c>
      <c r="BR707">
        <f>IF(ISBLANK('Data Entry'!$$707), "", 'Data Entry'!$$707)</f>
      </c>
      <c r="BS707">
        <f>IF(ISBLANK('Data Entry'!$$707), "", 'Data Entry'!$$707)</f>
      </c>
      <c r="BT707">
        <f>IF(ISBLANK('Data Entry'!$$707), "", 'Data Entry'!$$707)</f>
      </c>
      <c r="BU707">
        <f>IF(ISBLANK('Data Entry'!$$707), "", 'Data Entry'!$$707)</f>
      </c>
      <c r="BV707">
        <f>IF(ISBLANK('Data Entry'!$$707), "", 'Data Entry'!$$707)</f>
      </c>
      <c r="BW707">
        <f>IF(ISBLANK('Data Entry'!$$707), "", 'Data Entry'!$$707)</f>
      </c>
      <c r="BX707">
        <f>IF(ISBLANK('Data Entry'!$$707), "", 'Data Entry'!$$707)</f>
      </c>
      <c r="BY707">
        <f>IF(ISBLANK('Data Entry'!$$707), "", 'Data Entry'!$$707)</f>
      </c>
      <c r="BZ707">
        <f>IF(ISBLANK('Data Entry'!$$707), "", 'Data Entry'!$$707)</f>
      </c>
      <c r="CA707">
        <f>IF(ISBLANK('Data Entry'!$$707), "", 'Data Entry'!$$707)</f>
      </c>
      <c r="CB707">
        <f>IF(ISBLANK('Data Entry'!$$707), "", 'Data Entry'!$$707)</f>
      </c>
      <c r="CC707">
        <f>IF(ISBLANK('Data Entry'!$$707), "", 'Data Entry'!$$707)</f>
      </c>
      <c r="CD707">
        <f>IF(ISBLANK('Data Entry'!$$707), "", 'Data Entry'!$$707)</f>
      </c>
      <c r="CE707">
        <f>IF(ISBLANK('Data Entry'!$$707), "", 'Data Entry'!$$707)</f>
      </c>
      <c r="CF707">
        <f>IF(ISBLANK('Data Entry'!$$707), "", 'Data Entry'!$$707)</f>
      </c>
      <c r="CG707">
        <f>IF(ISBLANK('Data Entry'!$$707), "", 'Data Entry'!$$707)</f>
      </c>
      <c r="CH707">
        <f>IF(ISBLANK('Data Entry'!$$707), "", 'Data Entry'!$$707)</f>
      </c>
      <c r="CI707">
        <f>IF(ISBLANK('Data Entry'!$$707), "", 'Data Entry'!$$707)</f>
      </c>
      <c r="CJ707">
        <f>IF(ISBLANK('Data Entry'!$$707), "", 'Data Entry'!$$707)</f>
      </c>
      <c r="CK707">
        <f>IF(ISBLANK('Data Entry'!$$707), "", 'Data Entry'!$$707)</f>
      </c>
      <c r="CL707">
        <f>IF(ISBLANK('Data Entry'!$$707), "", 'Data Entry'!$$707)</f>
      </c>
      <c r="CM707">
        <f>IF(ISBLANK('Data Entry'!$$707), "", 'Data Entry'!$$707)</f>
      </c>
      <c r="CN707">
        <f>IF(ISBLANK('Data Entry'!$$707), "", 'Data Entry'!$$707)</f>
      </c>
      <c r="CO707">
        <f>IF(ISBLANK('Data Entry'!$$707), "", 'Data Entry'!$$707)</f>
      </c>
      <c r="CP707">
        <f>IF(ISBLANK('Data Entry'!$$707), "", 'Data Entry'!$$707)</f>
      </c>
      <c r="CQ707">
        <f>IF(ISBLANK('Data Entry'!$$707), "", 'Data Entry'!$$707)</f>
      </c>
      <c r="CR707">
        <f>IF(ISBLANK('Data Entry'!$ $707), "", 'Data Entry'!$ $707)</f>
      </c>
      <c r="CS707">
        <f>IF(ISBLANK('Data Entry'!$¡$707), "", 'Data Entry'!$¡$707)</f>
      </c>
      <c r="CT707">
        <f>IF(ISBLANK('Data Entry'!$¢$707), "", 'Data Entry'!$¢$707)</f>
      </c>
      <c r="CU707">
        <f>IF(ISBLANK('Data Entry'!$£$707), "", 'Data Entry'!$£$707)</f>
      </c>
      <c r="CV707">
        <f>IF(ISBLANK('Data Entry'!$¤$707), "", 'Data Entry'!$¤$707)</f>
      </c>
      <c r="CW707">
        <f>IF(ISBLANK('Data Entry'!$¥$707), "", 'Data Entry'!$¥$707)</f>
      </c>
      <c r="CX707">
        <f>IF(ISBLANK('Data Entry'!$¦$707), "", 'Data Entry'!$¦$707)</f>
      </c>
      <c r="CY707">
        <f>IF(ISBLANK('Data Entry'!$§$707), "", 'Data Entry'!$§$707)</f>
      </c>
      <c r="CZ707">
        <f>IF(ISBLANK('Data Entry'!$¨$707), "", 'Data Entry'!$¨$707)</f>
      </c>
      <c r="DA707">
        <f>IF(ISBLANK('Data Entry'!$©$707), "", 'Data Entry'!$©$707)</f>
      </c>
      <c r="DB707">
        <f>IF(ISBLANK('Data Entry'!$ª$707), "", 'Data Entry'!$ª$707)</f>
      </c>
      <c r="DC707">
        <f>IF(ISBLANK('Data Entry'!$«$707), "", 'Data Entry'!$«$707)</f>
      </c>
      <c r="DD707">
        <f>IF(ISBLANK('Data Entry'!$¬$707), "", 'Data Entry'!$¬$707)</f>
      </c>
      <c r="DE707">
        <f>IF(ISBLANK('Data Entry'!$­$707), "", 'Data Entry'!$­$707)</f>
      </c>
      <c r="DF707">
        <f>IF(ISBLANK('Data Entry'!$®$707), "", 'Data Entry'!$®$707)</f>
      </c>
      <c r="DG707">
        <f>IF(ISBLANK('Data Entry'!$¯$707), "", 'Data Entry'!$¯$707)</f>
      </c>
      <c r="DH707">
        <f>IF(ISBLANK('Data Entry'!$°$707), "", 'Data Entry'!$°$707)</f>
      </c>
      <c r="DI707">
        <f>IF(ISBLANK('Data Entry'!$±$707), "", 'Data Entry'!$±$707)</f>
      </c>
      <c r="DJ707">
        <f>IF(ISBLANK('Data Entry'!$²$707), "", 'Data Entry'!$²$707)</f>
      </c>
      <c r="DK707">
        <f>IF(ISBLANK('Data Entry'!$³$707), "", 'Data Entry'!$³$707)</f>
      </c>
      <c r="DL707">
        <f>IF(ISBLANK('Data Entry'!$´$707), "", 'Data Entry'!$´$707)</f>
      </c>
      <c r="DM707">
        <f>IF(ISBLANK('Data Entry'!$µ$707), "", 'Data Entry'!$µ$707)</f>
      </c>
      <c r="DN707">
        <f>IF(ISBLANK('Data Entry'!$¶$707), "", 'Data Entry'!$¶$707)</f>
      </c>
      <c r="DO707">
        <f>IF(ISBLANK('Data Entry'!$·$707), "", 'Data Entry'!$·$707)</f>
      </c>
      <c r="DP707">
        <f>IF(ISBLANK('Data Entry'!$¸$707), "", 'Data Entry'!$¸$707)</f>
      </c>
      <c r="DQ707">
        <f>IF(ISBLANK('Data Entry'!$¹$707), "", 'Data Entry'!$¹$707)</f>
      </c>
      <c r="DR707">
        <f>IF(ISBLANK('Data Entry'!$º$707), "", 'Data Entry'!$º$707)</f>
      </c>
      <c r="DS707">
        <f>IF(ISBLANK('Data Entry'!$»$707), "", 'Data Entry'!$»$707)</f>
      </c>
      <c r="DT707">
        <f>IF(ISBLANK('Data Entry'!$¼$707), "", 'Data Entry'!$¼$707)</f>
      </c>
      <c r="DU707">
        <f>IF(ISBLANK('Data Entry'!$½$707), "", 'Data Entry'!$½$707)</f>
      </c>
      <c r="DV707">
        <f>IF(ISBLANK('Data Entry'!$¾$707), "", 'Data Entry'!$¾$707)</f>
      </c>
      <c r="DW707">
        <f>IF(ISBLANK('Data Entry'!$¿$707), "", 'Data Entry'!$¿$707)</f>
      </c>
      <c r="DX707">
        <f>IF(ISBLANK('Data Entry'!$À$707), "", 'Data Entry'!$À$707)</f>
      </c>
      <c r="DY707">
        <f>IF(ISBLANK('Data Entry'!$Á$707), "", 'Data Entry'!$Á$707)</f>
      </c>
      <c r="DZ707">
        <f>IF(ISBLANK('Data Entry'!$Â$707), "", 'Data Entry'!$Â$707)</f>
      </c>
      <c r="EA707">
        <f>IF(ISBLANK('Data Entry'!$Ã$707), "", 'Data Entry'!$Ã$707)</f>
      </c>
      <c r="EB707">
        <f>IF(ISBLANK('Data Entry'!$Ä$707), "", 'Data Entry'!$Ä$707)</f>
      </c>
      <c r="EC707">
        <f>IF(ISBLANK('Data Entry'!$Å$707), "", 'Data Entry'!$Å$707)</f>
      </c>
      <c r="ED707">
        <f>IF(ISBLANK('Data Entry'!$Æ$707), "", 'Data Entry'!$Æ$707)</f>
      </c>
      <c r="EE707">
        <f>IF(ISBLANK('Data Entry'!$Ç$707), "", 'Data Entry'!$Ç$707)</f>
      </c>
      <c r="EF707">
        <f>IF(ISBLANK('Data Entry'!$È$707), "", 'Data Entry'!$È$707)</f>
      </c>
      <c r="EG707">
        <f>IF(ISBLANK('Data Entry'!$É$707), "", 'Data Entry'!$É$707)</f>
      </c>
      <c r="EH707">
        <f>IF(ISBLANK('Data Entry'!$Ê$707), "", 'Data Entry'!$Ê$707)</f>
      </c>
      <c r="EI707">
        <f>IF(ISBLANK('Data Entry'!$Ë$707), "", 'Data Entry'!$Ë$707)</f>
      </c>
      <c r="EJ707">
        <f>IF(ISBLANK('Data Entry'!$Ì$707), "", 'Data Entry'!$Ì$707)</f>
      </c>
      <c r="EK707">
        <f>IF(ISBLANK('Data Entry'!$Í$707), "", 'Data Entry'!$Í$707)</f>
      </c>
      <c r="EL707">
        <f>IF(ISBLANK('Data Entry'!$Î$707), "", 'Data Entry'!$Î$707)</f>
      </c>
      <c r="EM707">
        <f>IF(ISBLANK('Data Entry'!$Ï$707), "", 'Data Entry'!$Ï$707)</f>
      </c>
      <c r="EN707">
        <f>IF(ISBLANK('Data Entry'!$Ð$707), "", 'Data Entry'!$Ð$707)</f>
      </c>
      <c r="EO707">
        <f>IF(ISBLANK('Data Entry'!$Ñ$707), "", 'Data Entry'!$Ñ$707)</f>
      </c>
      <c r="EP707">
        <f>IF(ISBLANK('Data Entry'!$Ò$707), "", 'Data Entry'!$Ò$707)</f>
      </c>
      <c r="EQ707">
        <f>IF(ISBLANK('Data Entry'!$Ó$707), "", 'Data Entry'!$Ó$707)</f>
      </c>
      <c r="ER707">
        <f>IF(ISBLANK('Data Entry'!$Ô$707), "", 'Data Entry'!$Ô$707)</f>
      </c>
      <c r="ES707">
        <f>IF(ISBLANK('Data Entry'!$Õ$707), "", 'Data Entry'!$Õ$707)</f>
      </c>
      <c r="ET707">
        <f>IF(ISBLANK('Data Entry'!$Ö$707), "", 'Data Entry'!$Ö$707)</f>
      </c>
      <c r="EU707">
        <f>IF(ISBLANK('Data Entry'!$×$707), "", 'Data Entry'!$×$707)</f>
      </c>
      <c r="EV707">
        <f>IF(ISBLANK('Data Entry'!$Ø$707), "", 'Data Entry'!$Ø$707)</f>
      </c>
      <c r="EW707">
        <f>IF(ISBLANK('Data Entry'!$Ù$707), "", 'Data Entry'!$Ù$707)</f>
      </c>
      <c r="EX707">
        <f>IF(ISBLANK('Data Entry'!$Ú$707), "", 'Data Entry'!$Ú$707)</f>
      </c>
      <c r="EY707">
        <f>IF(ISBLANK('Data Entry'!$Û$707), "", 'Data Entry'!$Û$707)</f>
      </c>
      <c r="EZ707">
        <f>IF(ISBLANK('Data Entry'!$Ü$707), "", 'Data Entry'!$Ü$707)</f>
      </c>
      <c r="FA707">
        <f>IF(ISBLANK('Data Entry'!$Ý$707), "", 'Data Entry'!$Ý$707)</f>
      </c>
      <c r="FB707">
        <f>IF(ISBLANK('Data Entry'!$Þ$707), "", 'Data Entry'!$Þ$707)</f>
      </c>
      <c r="FC707">
        <f>IF(ISBLANK('Data Entry'!$ß$707), "", 'Data Entry'!$ß$707)</f>
      </c>
      <c r="FD707">
        <f>IF(ISBLANK('Data Entry'!$à$707), "", 'Data Entry'!$à$707)</f>
      </c>
      <c r="FE707">
        <f>IF(ISBLANK('Data Entry'!$á$707), "", 'Data Entry'!$á$707)</f>
      </c>
      <c r="FF707">
        <f>IF(ISBLANK('Data Entry'!$â$707), "", 'Data Entry'!$â$707)</f>
      </c>
      <c r="FG707">
        <f>IF(ISBLANK('Data Entry'!$ã$707), "", 'Data Entry'!$ã$707)</f>
      </c>
      <c r="FH707">
        <f>IF(ISBLANK('Data Entry'!$ä$707), "", 'Data Entry'!$ä$707)</f>
      </c>
      <c r="FI707">
        <f>IF(ISBLANK('Data Entry'!$å$707), "", 'Data Entry'!$å$707)</f>
      </c>
      <c r="FJ707">
        <f>IF(ISBLANK('Data Entry'!$æ$707), "", 'Data Entry'!$æ$707)</f>
      </c>
      <c r="FK707">
        <f>IF(ISBLANK('Data Entry'!$ç$707), "", 'Data Entry'!$ç$707)</f>
      </c>
      <c r="FL707">
        <f>IF(ISBLANK('Data Entry'!$è$707), "", 'Data Entry'!$è$707)</f>
      </c>
      <c r="FM707">
        <f>IF(ISBLANK('Data Entry'!$é$707), "", 'Data Entry'!$é$707)</f>
      </c>
      <c r="FN707">
        <f>IF(ISBLANK('Data Entry'!$ê$707), "", 'Data Entry'!$ê$707)</f>
      </c>
      <c r="FO707">
        <f>IF(ISBLANK('Data Entry'!$ë$707), "", 'Data Entry'!$ë$707)</f>
      </c>
      <c r="FP707">
        <f>IF(ISBLANK('Data Entry'!$ì$707), "", 'Data Entry'!$ì$707)</f>
      </c>
      <c r="FQ707">
        <f>IF(ISBLANK('Data Entry'!$í$707), "", 'Data Entry'!$í$707)</f>
      </c>
      <c r="FR707">
        <f>IF(ISBLANK('Data Entry'!$î$707), "", 'Data Entry'!$î$707)</f>
      </c>
      <c r="FS707">
        <f>IF(ISBLANK('Data Entry'!$ï$707), "", 'Data Entry'!$ï$707)</f>
      </c>
      <c r="FT707">
        <f>IF(ISBLANK('Data Entry'!$ð$707), "", 'Data Entry'!$ð$707)</f>
      </c>
      <c r="FU707">
        <f>IF(ISBLANK('Data Entry'!$ñ$707), "", 'Data Entry'!$ñ$707)</f>
      </c>
      <c r="FV707">
        <f>IF(ISBLANK('Data Entry'!$ò$707), "", 'Data Entry'!$ò$707)</f>
      </c>
      <c r="FW707">
        <f>IF(ISBLANK('Data Entry'!$ó$707), "", 'Data Entry'!$ó$707)</f>
      </c>
      <c r="FX707">
        <f>IF(ISBLANK('Data Entry'!$ô$707), "", 'Data Entry'!$ô$707)</f>
      </c>
      <c r="FY707">
        <f>IF(ISBLANK('Data Entry'!$õ$707), "", 'Data Entry'!$õ$707)</f>
      </c>
      <c r="FZ707">
        <f>IF(ISBLANK('Data Entry'!$ö$707), "", 'Data Entry'!$ö$707)</f>
      </c>
      <c r="GA707">
        <f>IF(ISBLANK('Data Entry'!$÷$707), "", 'Data Entry'!$÷$707)</f>
      </c>
      <c r="GB707">
        <f>IF(ISBLANK('Data Entry'!$ø$707), "", 'Data Entry'!$ø$707)</f>
      </c>
      <c r="GC707">
        <f>IF(ISBLANK('Data Entry'!$ù$707), "", 'Data Entry'!$ù$707)</f>
      </c>
      <c r="GD707">
        <f>IF(ISBLANK('Data Entry'!$ú$707), "", 'Data Entry'!$ú$707)</f>
      </c>
      <c r="GE707">
        <f>IF(ISBLANK('Data Entry'!$û$707), "", 'Data Entry'!$û$707)</f>
      </c>
      <c r="GF707">
        <f>IF(ISBLANK('Data Entry'!$ü$707), "", 'Data Entry'!$ü$707)</f>
      </c>
      <c r="GG707">
        <f>IF(ISBLANK('Data Entry'!$ý$707), "", 'Data Entry'!$ý$707)</f>
      </c>
      <c r="GH707">
        <f>IF(ISBLANK('Data Entry'!$þ$707), "", 'Data Entry'!$þ$707)</f>
      </c>
      <c r="GI707">
        <f>IF(ISBLANK('Data Entry'!$ÿ$707), "", 'Data Entry'!$ÿ$707)</f>
      </c>
      <c r="GJ707">
        <f>IF(ISBLANK('Data Entry'!$Ā$707), "", 'Data Entry'!$Ā$707)</f>
      </c>
      <c r="GK707">
        <f>IF(ISBLANK('Data Entry'!$ā$707), "", 'Data Entry'!$ā$707)</f>
      </c>
      <c r="GL707">
        <f>IF(ISBLANK('Data Entry'!$Ă$707), "", 'Data Entry'!$Ă$707)</f>
      </c>
      <c r="GM707">
        <f>IF(ISBLANK('Data Entry'!$ă$707), "", 'Data Entry'!$ă$707)</f>
      </c>
      <c r="GN707">
        <f>IF(ISBLANK('Data Entry'!$Ą$707), "", 'Data Entry'!$Ą$707)</f>
      </c>
      <c r="GO707">
        <f>IF(ISBLANK('Data Entry'!$ą$707), "", 'Data Entry'!$ą$707)</f>
      </c>
      <c r="GP707">
        <f>IF(ISBLANK('Data Entry'!$Ć$707), "", 'Data Entry'!$Ć$707)</f>
      </c>
      <c r="GQ707">
        <f>IF(ISBLANK('Data Entry'!$ć$707), "", 'Data Entry'!$ć$707)</f>
      </c>
      <c r="GR707">
        <f>IF(ISBLANK('Data Entry'!$Ĉ$707), "", 'Data Entry'!$Ĉ$707)</f>
      </c>
      <c r="GS707">
        <f>IF(ISBLANK('Data Entry'!$ĉ$707), "", 'Data Entry'!$ĉ$707)</f>
      </c>
      <c r="GT707">
        <f>IF(ISBLANK('Data Entry'!$Ċ$707), "", 'Data Entry'!$Ċ$707)</f>
      </c>
      <c r="GU707">
        <f>IF(ISBLANK('Data Entry'!$ċ$707), "", 'Data Entry'!$ċ$707)</f>
      </c>
      <c r="GV707">
        <f>IF(ISBLANK('Data Entry'!$Č$707), "", 'Data Entry'!$Č$707)</f>
      </c>
      <c r="GW707">
        <f>IF(ISBLANK('Data Entry'!$č$707), "", 'Data Entry'!$č$707)</f>
      </c>
      <c r="GX707">
        <f>IF(ISBLANK('Data Entry'!$Ď$707), "", 'Data Entry'!$Ď$707)</f>
      </c>
      <c r="GY707">
        <f>IF(ISBLANK('Data Entry'!$ď$707), "", 'Data Entry'!$ď$707)</f>
      </c>
      <c r="GZ707">
        <f>IF(ISBLANK('Data Entry'!$Đ$707), "", 'Data Entry'!$Đ$707)</f>
      </c>
      <c r="HA707">
        <f>IF(ISBLANK('Data Entry'!$đ$707), "", 'Data Entry'!$đ$707)</f>
      </c>
      <c r="HB707">
        <f>IF(ISBLANK('Data Entry'!$Ē$707), "", 'Data Entry'!$Ē$707)</f>
      </c>
      <c r="HC707">
        <f>IF(ISBLANK('Data Entry'!$ē$707), "", 'Data Entry'!$ē$707)</f>
      </c>
      <c r="HD707">
        <f>IF(ISBLANK('Data Entry'!$Ĕ$707), "", 'Data Entry'!$Ĕ$707)</f>
      </c>
      <c r="HE707">
        <f>IF(ISBLANK('Data Entry'!$ĕ$707), "", 'Data Entry'!$ĕ$707)</f>
      </c>
      <c r="HF707">
        <f>IF(ISBLANK('Data Entry'!$Ė$707), "", 'Data Entry'!$Ė$707)</f>
      </c>
      <c r="HG707">
        <f>IF(ISBLANK('Data Entry'!$ė$707), "", 'Data Entry'!$ė$707)</f>
      </c>
      <c r="HH707">
        <f>IF(ISBLANK('Data Entry'!$Ę$707), "", 'Data Entry'!$Ę$707)</f>
      </c>
      <c r="HI707">
        <f>IF(ISBLANK('Data Entry'!$ę$707), "", 'Data Entry'!$ę$707)</f>
      </c>
      <c r="HJ707">
        <f>IF(ISBLANK('Data Entry'!$Ě$707), "", 'Data Entry'!$Ě$707)</f>
      </c>
      <c r="HK707">
        <f>IF(ISBLANK('Data Entry'!$ě$707), "", 'Data Entry'!$ě$707)</f>
      </c>
      <c r="HL707">
        <f>IF(ISBLANK('Data Entry'!$Ĝ$707), "", 'Data Entry'!$Ĝ$707)</f>
      </c>
      <c r="HM707">
        <f>IF(ISBLANK('Data Entry'!$ĝ$707), "", 'Data Entry'!$ĝ$707)</f>
      </c>
      <c r="HN707">
        <f>IF(ISBLANK('Data Entry'!$Ğ$707), "", 'Data Entry'!$Ğ$707)</f>
      </c>
      <c r="HO707">
        <f>IF(ISBLANK('Data Entry'!$ğ$707), "", 'Data Entry'!$ğ$707)</f>
      </c>
      <c r="HP707">
        <f>IF(ISBLANK('Data Entry'!$Ġ$707), "", 'Data Entry'!$Ġ$707)</f>
      </c>
      <c r="HQ707">
        <f>IF(ISBLANK('Data Entry'!$ġ$707), "", 'Data Entry'!$ġ$707)</f>
      </c>
      <c r="HR707">
        <f>IF(ISBLANK('Data Entry'!$Ģ$707), "", 'Data Entry'!$Ģ$707)</f>
      </c>
      <c r="HS707">
        <f>IF(ISBLANK('Data Entry'!$ģ$707), "", 'Data Entry'!$ģ$707)</f>
      </c>
      <c r="HT707">
        <f>IF(ISBLANK('Data Entry'!$Ĥ$707), "", 'Data Entry'!$Ĥ$707)</f>
      </c>
      <c r="HU707">
        <f>IF(ISBLANK('Data Entry'!$ĥ$707), "", 'Data Entry'!$ĥ$707)</f>
      </c>
      <c r="HV707">
        <f>IF(ISBLANK('Data Entry'!$Ħ$707), "", 'Data Entry'!$Ħ$707)</f>
      </c>
      <c r="HW707">
        <f>IF(ISBLANK('Data Entry'!$ħ$707), "", 'Data Entry'!$ħ$707)</f>
      </c>
      <c r="HX707">
        <f>IF(ISBLANK('Data Entry'!$Ĩ$707), "", 'Data Entry'!$Ĩ$707)</f>
      </c>
      <c r="HY707">
        <f>IF(ISBLANK('Data Entry'!$ĩ$707), "", 'Data Entry'!$ĩ$707)</f>
      </c>
      <c r="HZ707">
        <f>IF(ISBLANK('Data Entry'!$Ī$707), "", 'Data Entry'!$Ī$707)</f>
      </c>
      <c r="IA707">
        <f>IF(ISBLANK('Data Entry'!$ī$707), "", 'Data Entry'!$ī$707)</f>
      </c>
      <c r="IB707">
        <f>IF(ISBLANK('Data Entry'!$Ĭ$707), "", 'Data Entry'!$Ĭ$707)</f>
      </c>
      <c r="IC707">
        <f>IF(ISBLANK('Data Entry'!$ĭ$707), "", 'Data Entry'!$ĭ$707)</f>
      </c>
      <c r="ID707">
        <f>IF(ISBLANK('Data Entry'!$Į$707), "", 'Data Entry'!$Į$707)</f>
      </c>
      <c r="IE707">
        <f>IF(ISBLANK('Data Entry'!$į$707), "", 'Data Entry'!$į$707)</f>
      </c>
      <c r="IF707">
        <f>IF(ISBLANK('Data Entry'!$İ$707), "", 'Data Entry'!$İ$707)</f>
      </c>
      <c r="IG707">
        <f>IF(ISBLANK('Data Entry'!$ı$707), "", 'Data Entry'!$ı$707)</f>
      </c>
      <c r="IH707">
        <f>IF(ISBLANK('Data Entry'!$Ĳ$707), "", 'Data Entry'!$Ĳ$707)</f>
      </c>
      <c r="II707">
        <f>IF(ISBLANK('Data Entry'!$ĳ$707), "", 'Data Entry'!$ĳ$707)</f>
      </c>
      <c r="IJ707">
        <f>IF(ISBLANK('Data Entry'!$Ĵ$707), "", 'Data Entry'!$Ĵ$707)</f>
      </c>
      <c r="IK707">
        <f>IF(ISBLANK('Data Entry'!$ĵ$707), "", 'Data Entry'!$ĵ$707)</f>
      </c>
      <c r="IL707">
        <f>IF(ISBLANK('Data Entry'!$Ķ$707), "", 'Data Entry'!$Ķ$707)</f>
      </c>
      <c r="IM707">
        <f>IF(ISBLANK('Data Entry'!$ķ$707), "", 'Data Entry'!$ķ$707)</f>
      </c>
      <c r="IN707">
        <f>IF(ISBLANK('Data Entry'!$ĸ$707), "", 'Data Entry'!$ĸ$707)</f>
      </c>
      <c r="IO707">
        <f>IF(ISBLANK('Data Entry'!$Ĺ$707), "", 'Data Entry'!$Ĺ$707)</f>
      </c>
      <c r="IP707">
        <f>IF(ISBLANK('Data Entry'!$ĺ$707), "", 'Data Entry'!$ĺ$707)</f>
      </c>
      <c r="IQ707">
        <f>IF(ISBLANK('Data Entry'!$Ļ$707), "", 'Data Entry'!$Ļ$707)</f>
      </c>
      <c r="IR707">
        <f>IF(ISBLANK('Data Entry'!$ļ$707), "", 'Data Entry'!$ļ$707)</f>
      </c>
      <c r="IS707">
        <f>IF(ISBLANK('Data Entry'!$Ľ$707), "", 'Data Entry'!$Ľ$707)</f>
      </c>
      <c r="IT707">
        <f>IF(ISBLANK('Data Entry'!$ľ$707), "", 'Data Entry'!$ľ$707)</f>
      </c>
    </row>
    <row r="708" spans="1:254" x14ac:dyDescent="0.25">
      <c r="A708">
        <f>IF(ISBLANK('Data Entry'!$A$708), "", 'Data Entry'!$A$708)</f>
      </c>
      <c r="B708">
        <f>IF(ISBLANK('Data Entry'!$B$708), "", 'Data Entry'!$B$708)</f>
      </c>
      <c r="C708">
        <f>IF(ISBLANK('Data Entry'!$C$708), "", 'Data Entry'!$C$708)</f>
      </c>
      <c r="D708">
        <f>IF(ISBLANK('Data Entry'!$D$708), "", 'Data Entry'!$D$708)</f>
      </c>
      <c r="E708">
        <f>IF(ISBLANK('Data Entry'!$E$708), "", 'Data Entry'!$E$708)</f>
      </c>
      <c r="F708">
        <f>IF(ISBLANK('Data Entry'!$F$708), "", 'Data Entry'!$F$708)</f>
      </c>
      <c r="G708">
        <f>IF(ISBLANK('Data Entry'!$G$708), "", 'Data Entry'!$G$708)</f>
      </c>
      <c r="H708">
        <f>IF(ISBLANK('Data Entry'!$H$708), "", 'Data Entry'!$H$708)</f>
      </c>
      <c r="I708">
        <f>IF(ISBLANK('Data Entry'!$I$708), "", 'Data Entry'!$I$708)</f>
      </c>
      <c r="J708">
        <f>IF(ISBLANK('Data Entry'!$J$708), "", 'Data Entry'!$J$708)</f>
      </c>
      <c r="K708">
        <f>IF(ISBLANK('Data Entry'!$K$708), "", 'Data Entry'!$K$708)</f>
      </c>
      <c r="L708">
        <f>IF(ISBLANK('Data Entry'!$L$708), "", 'Data Entry'!$L$708)</f>
      </c>
      <c r="M708">
        <f>IF(ISBLANK('Data Entry'!$M$708), "", 'Data Entry'!$M$708)</f>
      </c>
      <c r="N708">
        <f>IF(ISBLANK('Data Entry'!$N$708), "", 'Data Entry'!$N$708)</f>
      </c>
      <c r="O708">
        <f>IF(ISBLANK('Data Entry'!$O$708), "", 'Data Entry'!$O$708)</f>
      </c>
      <c r="P708">
        <f>IF(ISBLANK('Data Entry'!$P$708), "", 'Data Entry'!$P$708)</f>
      </c>
      <c r="Q708">
        <f>IF(ISBLANK('Data Entry'!$Q$708), "", 'Data Entry'!$Q$708)</f>
      </c>
      <c r="R708">
        <f>IF(ISBLANK('Data Entry'!$R$708), "", 'Data Entry'!$R$708)</f>
      </c>
      <c r="S708">
        <f>IF(ISBLANK('Data Entry'!$S$708), "", 'Data Entry'!$S$708)</f>
      </c>
      <c r="T708">
        <f>IF(ISBLANK('Data Entry'!$T$708), "", 'Data Entry'!$T$708)</f>
      </c>
      <c r="U708">
        <f>IF(ISBLANK('Data Entry'!$U$708), "", 'Data Entry'!$U$708)</f>
      </c>
      <c r="V708">
        <f>IF(ISBLANK('Data Entry'!$V$708), "", 'Data Entry'!$V$708)</f>
      </c>
      <c r="W708">
        <f>IF(ISBLANK('Data Entry'!$W$708), "", 'Data Entry'!$W$708)</f>
      </c>
      <c r="X708">
        <f>IF(ISBLANK('Data Entry'!$X$708), "", 'Data Entry'!$X$708)</f>
      </c>
      <c r="Y708">
        <f>IF(ISBLANK('Data Entry'!$Y$708), "", 'Data Entry'!$Y$708)</f>
      </c>
      <c r="Z708">
        <f>IF(ISBLANK('Data Entry'!$Z$708), "", 'Data Entry'!$Z$708)</f>
      </c>
      <c r="AA708">
        <f>IF(ISBLANK('Data Entry'!$[$708), "", 'Data Entry'!$[$708)</f>
      </c>
      <c r="AB708">
        <f>IF(ISBLANK('Data Entry'!$\$708), "", 'Data Entry'!$\$708)</f>
      </c>
      <c r="AC708">
        <f>IF(ISBLANK('Data Entry'!$]$708), "", 'Data Entry'!$]$708)</f>
      </c>
      <c r="AD708">
        <f>IF(ISBLANK('Data Entry'!$^$708), "", 'Data Entry'!$^$708)</f>
      </c>
      <c r="AE708">
        <f>IF(ISBLANK('Data Entry'!$_$708), "", 'Data Entry'!$_$708)</f>
      </c>
      <c r="AF708">
        <f>IF(ISBLANK('Data Entry'!$`$708), "", 'Data Entry'!$`$708)</f>
      </c>
      <c r="AG708">
        <f>IF(ISBLANK('Data Entry'!$a$708), "", 'Data Entry'!$a$708)</f>
      </c>
      <c r="AH708">
        <f>IF(ISBLANK('Data Entry'!$b$708), "", 'Data Entry'!$b$708)</f>
      </c>
      <c r="AI708">
        <f>IF(ISBLANK('Data Entry'!$c$708), "", 'Data Entry'!$c$708)</f>
      </c>
      <c r="AJ708">
        <f>IF(ISBLANK('Data Entry'!$d$708), "", 'Data Entry'!$d$708)</f>
      </c>
      <c r="AK708">
        <f>IF(ISBLANK('Data Entry'!$e$708), "", 'Data Entry'!$e$708)</f>
      </c>
      <c r="AL708">
        <f>IF(ISBLANK('Data Entry'!$f$708), "", 'Data Entry'!$f$708)</f>
      </c>
      <c r="AM708">
        <f>IF(ISBLANK('Data Entry'!$g$708), "", 'Data Entry'!$g$708)</f>
      </c>
      <c r="AN708">
        <f>IF(ISBLANK('Data Entry'!$h$708), "", 'Data Entry'!$h$708)</f>
      </c>
      <c r="AO708">
        <f>IF(ISBLANK('Data Entry'!$i$708), "", 'Data Entry'!$i$708)</f>
      </c>
      <c r="AP708">
        <f>IF(ISBLANK('Data Entry'!$j$708), "", 'Data Entry'!$j$708)</f>
      </c>
      <c r="AQ708">
        <f>IF(ISBLANK('Data Entry'!$k$708), "", 'Data Entry'!$k$708)</f>
      </c>
      <c r="AR708">
        <f>IF(ISBLANK('Data Entry'!$l$708), "", 'Data Entry'!$l$708)</f>
      </c>
      <c r="AS708">
        <f>IF(ISBLANK('Data Entry'!$m$708), "", 'Data Entry'!$m$708)</f>
      </c>
      <c r="AT708">
        <f>IF(ISBLANK('Data Entry'!$n$708), "", 'Data Entry'!$n$708)</f>
      </c>
      <c r="AU708">
        <f>IF(ISBLANK('Data Entry'!$o$708), "", 'Data Entry'!$o$708)</f>
      </c>
      <c r="AV708">
        <f>IF(ISBLANK('Data Entry'!$p$708), "", 'Data Entry'!$p$708)</f>
      </c>
      <c r="AW708">
        <f>IF(ISBLANK('Data Entry'!$q$708), "", 'Data Entry'!$q$708)</f>
      </c>
      <c r="AX708">
        <f>IF(ISBLANK('Data Entry'!$r$708), "", 'Data Entry'!$r$708)</f>
      </c>
      <c r="AY708">
        <f>IF(ISBLANK('Data Entry'!$s$708), "", 'Data Entry'!$s$708)</f>
      </c>
      <c r="AZ708">
        <f>IF(ISBLANK('Data Entry'!$t$708), "", 'Data Entry'!$t$708)</f>
      </c>
      <c r="BA708">
        <f>IF(ISBLANK('Data Entry'!$u$708), "", 'Data Entry'!$u$708)</f>
      </c>
      <c r="BB708">
        <f>IF(ISBLANK('Data Entry'!$v$708), "", 'Data Entry'!$v$708)</f>
      </c>
      <c r="BC708">
        <f>IF(ISBLANK('Data Entry'!$w$708), "", 'Data Entry'!$w$708)</f>
      </c>
      <c r="BD708">
        <f>IF(ISBLANK('Data Entry'!$x$708), "", 'Data Entry'!$x$708)</f>
      </c>
      <c r="BE708">
        <f>IF(ISBLANK('Data Entry'!$y$708), "", 'Data Entry'!$y$708)</f>
      </c>
      <c r="BF708">
        <f>IF(ISBLANK('Data Entry'!$z$708), "", 'Data Entry'!$z$708)</f>
      </c>
      <c r="BG708">
        <f>IF(ISBLANK('Data Entry'!${$708), "", 'Data Entry'!${$708)</f>
      </c>
      <c r="BH708">
        <f>IF(ISBLANK('Data Entry'!$|$708), "", 'Data Entry'!$|$708)</f>
      </c>
      <c r="BI708">
        <f>IF(ISBLANK('Data Entry'!$}$708), "", 'Data Entry'!$}$708)</f>
      </c>
      <c r="BJ708">
        <f>IF(ISBLANK('Data Entry'!$~$708), "", 'Data Entry'!$~$708)</f>
      </c>
      <c r="BK708">
        <f>IF(ISBLANK('Data Entry'!$$708), "", 'Data Entry'!$$708)</f>
      </c>
      <c r="BL708">
        <f>IF(ISBLANK('Data Entry'!$$708), "", 'Data Entry'!$$708)</f>
      </c>
      <c r="BM708">
        <f>IF(ISBLANK('Data Entry'!$$708), "", 'Data Entry'!$$708)</f>
      </c>
      <c r="BN708">
        <f>IF(ISBLANK('Data Entry'!$$708), "", 'Data Entry'!$$708)</f>
      </c>
      <c r="BO708">
        <f>IF(ISBLANK('Data Entry'!$$708), "", 'Data Entry'!$$708)</f>
      </c>
      <c r="BP708">
        <f>IF(ISBLANK('Data Entry'!$$708), "", 'Data Entry'!$$708)</f>
      </c>
      <c r="BQ708">
        <f>IF(ISBLANK('Data Entry'!$$708), "", 'Data Entry'!$$708)</f>
      </c>
      <c r="BR708">
        <f>IF(ISBLANK('Data Entry'!$$708), "", 'Data Entry'!$$708)</f>
      </c>
      <c r="BS708">
        <f>IF(ISBLANK('Data Entry'!$$708), "", 'Data Entry'!$$708)</f>
      </c>
      <c r="BT708">
        <f>IF(ISBLANK('Data Entry'!$$708), "", 'Data Entry'!$$708)</f>
      </c>
      <c r="BU708">
        <f>IF(ISBLANK('Data Entry'!$$708), "", 'Data Entry'!$$708)</f>
      </c>
      <c r="BV708">
        <f>IF(ISBLANK('Data Entry'!$$708), "", 'Data Entry'!$$708)</f>
      </c>
      <c r="BW708">
        <f>IF(ISBLANK('Data Entry'!$$708), "", 'Data Entry'!$$708)</f>
      </c>
      <c r="BX708">
        <f>IF(ISBLANK('Data Entry'!$$708), "", 'Data Entry'!$$708)</f>
      </c>
      <c r="BY708">
        <f>IF(ISBLANK('Data Entry'!$$708), "", 'Data Entry'!$$708)</f>
      </c>
      <c r="BZ708">
        <f>IF(ISBLANK('Data Entry'!$$708), "", 'Data Entry'!$$708)</f>
      </c>
      <c r="CA708">
        <f>IF(ISBLANK('Data Entry'!$$708), "", 'Data Entry'!$$708)</f>
      </c>
      <c r="CB708">
        <f>IF(ISBLANK('Data Entry'!$$708), "", 'Data Entry'!$$708)</f>
      </c>
      <c r="CC708">
        <f>IF(ISBLANK('Data Entry'!$$708), "", 'Data Entry'!$$708)</f>
      </c>
      <c r="CD708">
        <f>IF(ISBLANK('Data Entry'!$$708), "", 'Data Entry'!$$708)</f>
      </c>
      <c r="CE708">
        <f>IF(ISBLANK('Data Entry'!$$708), "", 'Data Entry'!$$708)</f>
      </c>
      <c r="CF708">
        <f>IF(ISBLANK('Data Entry'!$$708), "", 'Data Entry'!$$708)</f>
      </c>
      <c r="CG708">
        <f>IF(ISBLANK('Data Entry'!$$708), "", 'Data Entry'!$$708)</f>
      </c>
      <c r="CH708">
        <f>IF(ISBLANK('Data Entry'!$$708), "", 'Data Entry'!$$708)</f>
      </c>
      <c r="CI708">
        <f>IF(ISBLANK('Data Entry'!$$708), "", 'Data Entry'!$$708)</f>
      </c>
      <c r="CJ708">
        <f>IF(ISBLANK('Data Entry'!$$708), "", 'Data Entry'!$$708)</f>
      </c>
      <c r="CK708">
        <f>IF(ISBLANK('Data Entry'!$$708), "", 'Data Entry'!$$708)</f>
      </c>
      <c r="CL708">
        <f>IF(ISBLANK('Data Entry'!$$708), "", 'Data Entry'!$$708)</f>
      </c>
      <c r="CM708">
        <f>IF(ISBLANK('Data Entry'!$$708), "", 'Data Entry'!$$708)</f>
      </c>
      <c r="CN708">
        <f>IF(ISBLANK('Data Entry'!$$708), "", 'Data Entry'!$$708)</f>
      </c>
      <c r="CO708">
        <f>IF(ISBLANK('Data Entry'!$$708), "", 'Data Entry'!$$708)</f>
      </c>
      <c r="CP708">
        <f>IF(ISBLANK('Data Entry'!$$708), "", 'Data Entry'!$$708)</f>
      </c>
      <c r="CQ708">
        <f>IF(ISBLANK('Data Entry'!$$708), "", 'Data Entry'!$$708)</f>
      </c>
      <c r="CR708">
        <f>IF(ISBLANK('Data Entry'!$ $708), "", 'Data Entry'!$ $708)</f>
      </c>
      <c r="CS708">
        <f>IF(ISBLANK('Data Entry'!$¡$708), "", 'Data Entry'!$¡$708)</f>
      </c>
      <c r="CT708">
        <f>IF(ISBLANK('Data Entry'!$¢$708), "", 'Data Entry'!$¢$708)</f>
      </c>
      <c r="CU708">
        <f>IF(ISBLANK('Data Entry'!$£$708), "", 'Data Entry'!$£$708)</f>
      </c>
      <c r="CV708">
        <f>IF(ISBLANK('Data Entry'!$¤$708), "", 'Data Entry'!$¤$708)</f>
      </c>
      <c r="CW708">
        <f>IF(ISBLANK('Data Entry'!$¥$708), "", 'Data Entry'!$¥$708)</f>
      </c>
      <c r="CX708">
        <f>IF(ISBLANK('Data Entry'!$¦$708), "", 'Data Entry'!$¦$708)</f>
      </c>
      <c r="CY708">
        <f>IF(ISBLANK('Data Entry'!$§$708), "", 'Data Entry'!$§$708)</f>
      </c>
      <c r="CZ708">
        <f>IF(ISBLANK('Data Entry'!$¨$708), "", 'Data Entry'!$¨$708)</f>
      </c>
      <c r="DA708">
        <f>IF(ISBLANK('Data Entry'!$©$708), "", 'Data Entry'!$©$708)</f>
      </c>
      <c r="DB708">
        <f>IF(ISBLANK('Data Entry'!$ª$708), "", 'Data Entry'!$ª$708)</f>
      </c>
      <c r="DC708">
        <f>IF(ISBLANK('Data Entry'!$«$708), "", 'Data Entry'!$«$708)</f>
      </c>
      <c r="DD708">
        <f>IF(ISBLANK('Data Entry'!$¬$708), "", 'Data Entry'!$¬$708)</f>
      </c>
      <c r="DE708">
        <f>IF(ISBLANK('Data Entry'!$­$708), "", 'Data Entry'!$­$708)</f>
      </c>
      <c r="DF708">
        <f>IF(ISBLANK('Data Entry'!$®$708), "", 'Data Entry'!$®$708)</f>
      </c>
      <c r="DG708">
        <f>IF(ISBLANK('Data Entry'!$¯$708), "", 'Data Entry'!$¯$708)</f>
      </c>
      <c r="DH708">
        <f>IF(ISBLANK('Data Entry'!$°$708), "", 'Data Entry'!$°$708)</f>
      </c>
      <c r="DI708">
        <f>IF(ISBLANK('Data Entry'!$±$708), "", 'Data Entry'!$±$708)</f>
      </c>
      <c r="DJ708">
        <f>IF(ISBLANK('Data Entry'!$²$708), "", 'Data Entry'!$²$708)</f>
      </c>
      <c r="DK708">
        <f>IF(ISBLANK('Data Entry'!$³$708), "", 'Data Entry'!$³$708)</f>
      </c>
      <c r="DL708">
        <f>IF(ISBLANK('Data Entry'!$´$708), "", 'Data Entry'!$´$708)</f>
      </c>
      <c r="DM708">
        <f>IF(ISBLANK('Data Entry'!$µ$708), "", 'Data Entry'!$µ$708)</f>
      </c>
      <c r="DN708">
        <f>IF(ISBLANK('Data Entry'!$¶$708), "", 'Data Entry'!$¶$708)</f>
      </c>
      <c r="DO708">
        <f>IF(ISBLANK('Data Entry'!$·$708), "", 'Data Entry'!$·$708)</f>
      </c>
      <c r="DP708">
        <f>IF(ISBLANK('Data Entry'!$¸$708), "", 'Data Entry'!$¸$708)</f>
      </c>
      <c r="DQ708">
        <f>IF(ISBLANK('Data Entry'!$¹$708), "", 'Data Entry'!$¹$708)</f>
      </c>
      <c r="DR708">
        <f>IF(ISBLANK('Data Entry'!$º$708), "", 'Data Entry'!$º$708)</f>
      </c>
      <c r="DS708">
        <f>IF(ISBLANK('Data Entry'!$»$708), "", 'Data Entry'!$»$708)</f>
      </c>
      <c r="DT708">
        <f>IF(ISBLANK('Data Entry'!$¼$708), "", 'Data Entry'!$¼$708)</f>
      </c>
      <c r="DU708">
        <f>IF(ISBLANK('Data Entry'!$½$708), "", 'Data Entry'!$½$708)</f>
      </c>
      <c r="DV708">
        <f>IF(ISBLANK('Data Entry'!$¾$708), "", 'Data Entry'!$¾$708)</f>
      </c>
      <c r="DW708">
        <f>IF(ISBLANK('Data Entry'!$¿$708), "", 'Data Entry'!$¿$708)</f>
      </c>
      <c r="DX708">
        <f>IF(ISBLANK('Data Entry'!$À$708), "", 'Data Entry'!$À$708)</f>
      </c>
      <c r="DY708">
        <f>IF(ISBLANK('Data Entry'!$Á$708), "", 'Data Entry'!$Á$708)</f>
      </c>
      <c r="DZ708">
        <f>IF(ISBLANK('Data Entry'!$Â$708), "", 'Data Entry'!$Â$708)</f>
      </c>
      <c r="EA708">
        <f>IF(ISBLANK('Data Entry'!$Ã$708), "", 'Data Entry'!$Ã$708)</f>
      </c>
      <c r="EB708">
        <f>IF(ISBLANK('Data Entry'!$Ä$708), "", 'Data Entry'!$Ä$708)</f>
      </c>
      <c r="EC708">
        <f>IF(ISBLANK('Data Entry'!$Å$708), "", 'Data Entry'!$Å$708)</f>
      </c>
      <c r="ED708">
        <f>IF(ISBLANK('Data Entry'!$Æ$708), "", 'Data Entry'!$Æ$708)</f>
      </c>
      <c r="EE708">
        <f>IF(ISBLANK('Data Entry'!$Ç$708), "", 'Data Entry'!$Ç$708)</f>
      </c>
      <c r="EF708">
        <f>IF(ISBLANK('Data Entry'!$È$708), "", 'Data Entry'!$È$708)</f>
      </c>
      <c r="EG708">
        <f>IF(ISBLANK('Data Entry'!$É$708), "", 'Data Entry'!$É$708)</f>
      </c>
      <c r="EH708">
        <f>IF(ISBLANK('Data Entry'!$Ê$708), "", 'Data Entry'!$Ê$708)</f>
      </c>
      <c r="EI708">
        <f>IF(ISBLANK('Data Entry'!$Ë$708), "", 'Data Entry'!$Ë$708)</f>
      </c>
      <c r="EJ708">
        <f>IF(ISBLANK('Data Entry'!$Ì$708), "", 'Data Entry'!$Ì$708)</f>
      </c>
      <c r="EK708">
        <f>IF(ISBLANK('Data Entry'!$Í$708), "", 'Data Entry'!$Í$708)</f>
      </c>
      <c r="EL708">
        <f>IF(ISBLANK('Data Entry'!$Î$708), "", 'Data Entry'!$Î$708)</f>
      </c>
      <c r="EM708">
        <f>IF(ISBLANK('Data Entry'!$Ï$708), "", 'Data Entry'!$Ï$708)</f>
      </c>
      <c r="EN708">
        <f>IF(ISBLANK('Data Entry'!$Ð$708), "", 'Data Entry'!$Ð$708)</f>
      </c>
      <c r="EO708">
        <f>IF(ISBLANK('Data Entry'!$Ñ$708), "", 'Data Entry'!$Ñ$708)</f>
      </c>
      <c r="EP708">
        <f>IF(ISBLANK('Data Entry'!$Ò$708), "", 'Data Entry'!$Ò$708)</f>
      </c>
      <c r="EQ708">
        <f>IF(ISBLANK('Data Entry'!$Ó$708), "", 'Data Entry'!$Ó$708)</f>
      </c>
      <c r="ER708">
        <f>IF(ISBLANK('Data Entry'!$Ô$708), "", 'Data Entry'!$Ô$708)</f>
      </c>
      <c r="ES708">
        <f>IF(ISBLANK('Data Entry'!$Õ$708), "", 'Data Entry'!$Õ$708)</f>
      </c>
      <c r="ET708">
        <f>IF(ISBLANK('Data Entry'!$Ö$708), "", 'Data Entry'!$Ö$708)</f>
      </c>
      <c r="EU708">
        <f>IF(ISBLANK('Data Entry'!$×$708), "", 'Data Entry'!$×$708)</f>
      </c>
      <c r="EV708">
        <f>IF(ISBLANK('Data Entry'!$Ø$708), "", 'Data Entry'!$Ø$708)</f>
      </c>
      <c r="EW708">
        <f>IF(ISBLANK('Data Entry'!$Ù$708), "", 'Data Entry'!$Ù$708)</f>
      </c>
      <c r="EX708">
        <f>IF(ISBLANK('Data Entry'!$Ú$708), "", 'Data Entry'!$Ú$708)</f>
      </c>
      <c r="EY708">
        <f>IF(ISBLANK('Data Entry'!$Û$708), "", 'Data Entry'!$Û$708)</f>
      </c>
      <c r="EZ708">
        <f>IF(ISBLANK('Data Entry'!$Ü$708), "", 'Data Entry'!$Ü$708)</f>
      </c>
      <c r="FA708">
        <f>IF(ISBLANK('Data Entry'!$Ý$708), "", 'Data Entry'!$Ý$708)</f>
      </c>
      <c r="FB708">
        <f>IF(ISBLANK('Data Entry'!$Þ$708), "", 'Data Entry'!$Þ$708)</f>
      </c>
      <c r="FC708">
        <f>IF(ISBLANK('Data Entry'!$ß$708), "", 'Data Entry'!$ß$708)</f>
      </c>
      <c r="FD708">
        <f>IF(ISBLANK('Data Entry'!$à$708), "", 'Data Entry'!$à$708)</f>
      </c>
      <c r="FE708">
        <f>IF(ISBLANK('Data Entry'!$á$708), "", 'Data Entry'!$á$708)</f>
      </c>
      <c r="FF708">
        <f>IF(ISBLANK('Data Entry'!$â$708), "", 'Data Entry'!$â$708)</f>
      </c>
      <c r="FG708">
        <f>IF(ISBLANK('Data Entry'!$ã$708), "", 'Data Entry'!$ã$708)</f>
      </c>
      <c r="FH708">
        <f>IF(ISBLANK('Data Entry'!$ä$708), "", 'Data Entry'!$ä$708)</f>
      </c>
      <c r="FI708">
        <f>IF(ISBLANK('Data Entry'!$å$708), "", 'Data Entry'!$å$708)</f>
      </c>
      <c r="FJ708">
        <f>IF(ISBLANK('Data Entry'!$æ$708), "", 'Data Entry'!$æ$708)</f>
      </c>
      <c r="FK708">
        <f>IF(ISBLANK('Data Entry'!$ç$708), "", 'Data Entry'!$ç$708)</f>
      </c>
      <c r="FL708">
        <f>IF(ISBLANK('Data Entry'!$è$708), "", 'Data Entry'!$è$708)</f>
      </c>
      <c r="FM708">
        <f>IF(ISBLANK('Data Entry'!$é$708), "", 'Data Entry'!$é$708)</f>
      </c>
      <c r="FN708">
        <f>IF(ISBLANK('Data Entry'!$ê$708), "", 'Data Entry'!$ê$708)</f>
      </c>
      <c r="FO708">
        <f>IF(ISBLANK('Data Entry'!$ë$708), "", 'Data Entry'!$ë$708)</f>
      </c>
      <c r="FP708">
        <f>IF(ISBLANK('Data Entry'!$ì$708), "", 'Data Entry'!$ì$708)</f>
      </c>
      <c r="FQ708">
        <f>IF(ISBLANK('Data Entry'!$í$708), "", 'Data Entry'!$í$708)</f>
      </c>
      <c r="FR708">
        <f>IF(ISBLANK('Data Entry'!$î$708), "", 'Data Entry'!$î$708)</f>
      </c>
      <c r="FS708">
        <f>IF(ISBLANK('Data Entry'!$ï$708), "", 'Data Entry'!$ï$708)</f>
      </c>
      <c r="FT708">
        <f>IF(ISBLANK('Data Entry'!$ð$708), "", 'Data Entry'!$ð$708)</f>
      </c>
      <c r="FU708">
        <f>IF(ISBLANK('Data Entry'!$ñ$708), "", 'Data Entry'!$ñ$708)</f>
      </c>
      <c r="FV708">
        <f>IF(ISBLANK('Data Entry'!$ò$708), "", 'Data Entry'!$ò$708)</f>
      </c>
      <c r="FW708">
        <f>IF(ISBLANK('Data Entry'!$ó$708), "", 'Data Entry'!$ó$708)</f>
      </c>
      <c r="FX708">
        <f>IF(ISBLANK('Data Entry'!$ô$708), "", 'Data Entry'!$ô$708)</f>
      </c>
      <c r="FY708">
        <f>IF(ISBLANK('Data Entry'!$õ$708), "", 'Data Entry'!$õ$708)</f>
      </c>
      <c r="FZ708">
        <f>IF(ISBLANK('Data Entry'!$ö$708), "", 'Data Entry'!$ö$708)</f>
      </c>
      <c r="GA708">
        <f>IF(ISBLANK('Data Entry'!$÷$708), "", 'Data Entry'!$÷$708)</f>
      </c>
      <c r="GB708">
        <f>IF(ISBLANK('Data Entry'!$ø$708), "", 'Data Entry'!$ø$708)</f>
      </c>
      <c r="GC708">
        <f>IF(ISBLANK('Data Entry'!$ù$708), "", 'Data Entry'!$ù$708)</f>
      </c>
      <c r="GD708">
        <f>IF(ISBLANK('Data Entry'!$ú$708), "", 'Data Entry'!$ú$708)</f>
      </c>
      <c r="GE708">
        <f>IF(ISBLANK('Data Entry'!$û$708), "", 'Data Entry'!$û$708)</f>
      </c>
      <c r="GF708">
        <f>IF(ISBLANK('Data Entry'!$ü$708), "", 'Data Entry'!$ü$708)</f>
      </c>
      <c r="GG708">
        <f>IF(ISBLANK('Data Entry'!$ý$708), "", 'Data Entry'!$ý$708)</f>
      </c>
      <c r="GH708">
        <f>IF(ISBLANK('Data Entry'!$þ$708), "", 'Data Entry'!$þ$708)</f>
      </c>
      <c r="GI708">
        <f>IF(ISBLANK('Data Entry'!$ÿ$708), "", 'Data Entry'!$ÿ$708)</f>
      </c>
      <c r="GJ708">
        <f>IF(ISBLANK('Data Entry'!$Ā$708), "", 'Data Entry'!$Ā$708)</f>
      </c>
      <c r="GK708">
        <f>IF(ISBLANK('Data Entry'!$ā$708), "", 'Data Entry'!$ā$708)</f>
      </c>
      <c r="GL708">
        <f>IF(ISBLANK('Data Entry'!$Ă$708), "", 'Data Entry'!$Ă$708)</f>
      </c>
      <c r="GM708">
        <f>IF(ISBLANK('Data Entry'!$ă$708), "", 'Data Entry'!$ă$708)</f>
      </c>
      <c r="GN708">
        <f>IF(ISBLANK('Data Entry'!$Ą$708), "", 'Data Entry'!$Ą$708)</f>
      </c>
      <c r="GO708">
        <f>IF(ISBLANK('Data Entry'!$ą$708), "", 'Data Entry'!$ą$708)</f>
      </c>
      <c r="GP708">
        <f>IF(ISBLANK('Data Entry'!$Ć$708), "", 'Data Entry'!$Ć$708)</f>
      </c>
      <c r="GQ708">
        <f>IF(ISBLANK('Data Entry'!$ć$708), "", 'Data Entry'!$ć$708)</f>
      </c>
      <c r="GR708">
        <f>IF(ISBLANK('Data Entry'!$Ĉ$708), "", 'Data Entry'!$Ĉ$708)</f>
      </c>
      <c r="GS708">
        <f>IF(ISBLANK('Data Entry'!$ĉ$708), "", 'Data Entry'!$ĉ$708)</f>
      </c>
      <c r="GT708">
        <f>IF(ISBLANK('Data Entry'!$Ċ$708), "", 'Data Entry'!$Ċ$708)</f>
      </c>
      <c r="GU708">
        <f>IF(ISBLANK('Data Entry'!$ċ$708), "", 'Data Entry'!$ċ$708)</f>
      </c>
      <c r="GV708">
        <f>IF(ISBLANK('Data Entry'!$Č$708), "", 'Data Entry'!$Č$708)</f>
      </c>
      <c r="GW708">
        <f>IF(ISBLANK('Data Entry'!$č$708), "", 'Data Entry'!$č$708)</f>
      </c>
      <c r="GX708">
        <f>IF(ISBLANK('Data Entry'!$Ď$708), "", 'Data Entry'!$Ď$708)</f>
      </c>
      <c r="GY708">
        <f>IF(ISBLANK('Data Entry'!$ď$708), "", 'Data Entry'!$ď$708)</f>
      </c>
      <c r="GZ708">
        <f>IF(ISBLANK('Data Entry'!$Đ$708), "", 'Data Entry'!$Đ$708)</f>
      </c>
      <c r="HA708">
        <f>IF(ISBLANK('Data Entry'!$đ$708), "", 'Data Entry'!$đ$708)</f>
      </c>
      <c r="HB708">
        <f>IF(ISBLANK('Data Entry'!$Ē$708), "", 'Data Entry'!$Ē$708)</f>
      </c>
      <c r="HC708">
        <f>IF(ISBLANK('Data Entry'!$ē$708), "", 'Data Entry'!$ē$708)</f>
      </c>
      <c r="HD708">
        <f>IF(ISBLANK('Data Entry'!$Ĕ$708), "", 'Data Entry'!$Ĕ$708)</f>
      </c>
      <c r="HE708">
        <f>IF(ISBLANK('Data Entry'!$ĕ$708), "", 'Data Entry'!$ĕ$708)</f>
      </c>
      <c r="HF708">
        <f>IF(ISBLANK('Data Entry'!$Ė$708), "", 'Data Entry'!$Ė$708)</f>
      </c>
      <c r="HG708">
        <f>IF(ISBLANK('Data Entry'!$ė$708), "", 'Data Entry'!$ė$708)</f>
      </c>
      <c r="HH708">
        <f>IF(ISBLANK('Data Entry'!$Ę$708), "", 'Data Entry'!$Ę$708)</f>
      </c>
      <c r="HI708">
        <f>IF(ISBLANK('Data Entry'!$ę$708), "", 'Data Entry'!$ę$708)</f>
      </c>
      <c r="HJ708">
        <f>IF(ISBLANK('Data Entry'!$Ě$708), "", 'Data Entry'!$Ě$708)</f>
      </c>
      <c r="HK708">
        <f>IF(ISBLANK('Data Entry'!$ě$708), "", 'Data Entry'!$ě$708)</f>
      </c>
      <c r="HL708">
        <f>IF(ISBLANK('Data Entry'!$Ĝ$708), "", 'Data Entry'!$Ĝ$708)</f>
      </c>
      <c r="HM708">
        <f>IF(ISBLANK('Data Entry'!$ĝ$708), "", 'Data Entry'!$ĝ$708)</f>
      </c>
      <c r="HN708">
        <f>IF(ISBLANK('Data Entry'!$Ğ$708), "", 'Data Entry'!$Ğ$708)</f>
      </c>
      <c r="HO708">
        <f>IF(ISBLANK('Data Entry'!$ğ$708), "", 'Data Entry'!$ğ$708)</f>
      </c>
      <c r="HP708">
        <f>IF(ISBLANK('Data Entry'!$Ġ$708), "", 'Data Entry'!$Ġ$708)</f>
      </c>
      <c r="HQ708">
        <f>IF(ISBLANK('Data Entry'!$ġ$708), "", 'Data Entry'!$ġ$708)</f>
      </c>
      <c r="HR708">
        <f>IF(ISBLANK('Data Entry'!$Ģ$708), "", 'Data Entry'!$Ģ$708)</f>
      </c>
      <c r="HS708">
        <f>IF(ISBLANK('Data Entry'!$ģ$708), "", 'Data Entry'!$ģ$708)</f>
      </c>
      <c r="HT708">
        <f>IF(ISBLANK('Data Entry'!$Ĥ$708), "", 'Data Entry'!$Ĥ$708)</f>
      </c>
      <c r="HU708">
        <f>IF(ISBLANK('Data Entry'!$ĥ$708), "", 'Data Entry'!$ĥ$708)</f>
      </c>
      <c r="HV708">
        <f>IF(ISBLANK('Data Entry'!$Ħ$708), "", 'Data Entry'!$Ħ$708)</f>
      </c>
      <c r="HW708">
        <f>IF(ISBLANK('Data Entry'!$ħ$708), "", 'Data Entry'!$ħ$708)</f>
      </c>
      <c r="HX708">
        <f>IF(ISBLANK('Data Entry'!$Ĩ$708), "", 'Data Entry'!$Ĩ$708)</f>
      </c>
      <c r="HY708">
        <f>IF(ISBLANK('Data Entry'!$ĩ$708), "", 'Data Entry'!$ĩ$708)</f>
      </c>
      <c r="HZ708">
        <f>IF(ISBLANK('Data Entry'!$Ī$708), "", 'Data Entry'!$Ī$708)</f>
      </c>
      <c r="IA708">
        <f>IF(ISBLANK('Data Entry'!$ī$708), "", 'Data Entry'!$ī$708)</f>
      </c>
      <c r="IB708">
        <f>IF(ISBLANK('Data Entry'!$Ĭ$708), "", 'Data Entry'!$Ĭ$708)</f>
      </c>
      <c r="IC708">
        <f>IF(ISBLANK('Data Entry'!$ĭ$708), "", 'Data Entry'!$ĭ$708)</f>
      </c>
      <c r="ID708">
        <f>IF(ISBLANK('Data Entry'!$Į$708), "", 'Data Entry'!$Į$708)</f>
      </c>
      <c r="IE708">
        <f>IF(ISBLANK('Data Entry'!$į$708), "", 'Data Entry'!$į$708)</f>
      </c>
      <c r="IF708">
        <f>IF(ISBLANK('Data Entry'!$İ$708), "", 'Data Entry'!$İ$708)</f>
      </c>
      <c r="IG708">
        <f>IF(ISBLANK('Data Entry'!$ı$708), "", 'Data Entry'!$ı$708)</f>
      </c>
      <c r="IH708">
        <f>IF(ISBLANK('Data Entry'!$Ĳ$708), "", 'Data Entry'!$Ĳ$708)</f>
      </c>
      <c r="II708">
        <f>IF(ISBLANK('Data Entry'!$ĳ$708), "", 'Data Entry'!$ĳ$708)</f>
      </c>
      <c r="IJ708">
        <f>IF(ISBLANK('Data Entry'!$Ĵ$708), "", 'Data Entry'!$Ĵ$708)</f>
      </c>
      <c r="IK708">
        <f>IF(ISBLANK('Data Entry'!$ĵ$708), "", 'Data Entry'!$ĵ$708)</f>
      </c>
      <c r="IL708">
        <f>IF(ISBLANK('Data Entry'!$Ķ$708), "", 'Data Entry'!$Ķ$708)</f>
      </c>
      <c r="IM708">
        <f>IF(ISBLANK('Data Entry'!$ķ$708), "", 'Data Entry'!$ķ$708)</f>
      </c>
      <c r="IN708">
        <f>IF(ISBLANK('Data Entry'!$ĸ$708), "", 'Data Entry'!$ĸ$708)</f>
      </c>
      <c r="IO708">
        <f>IF(ISBLANK('Data Entry'!$Ĺ$708), "", 'Data Entry'!$Ĺ$708)</f>
      </c>
      <c r="IP708">
        <f>IF(ISBLANK('Data Entry'!$ĺ$708), "", 'Data Entry'!$ĺ$708)</f>
      </c>
      <c r="IQ708">
        <f>IF(ISBLANK('Data Entry'!$Ļ$708), "", 'Data Entry'!$Ļ$708)</f>
      </c>
      <c r="IR708">
        <f>IF(ISBLANK('Data Entry'!$ļ$708), "", 'Data Entry'!$ļ$708)</f>
      </c>
      <c r="IS708">
        <f>IF(ISBLANK('Data Entry'!$Ľ$708), "", 'Data Entry'!$Ľ$708)</f>
      </c>
      <c r="IT708">
        <f>IF(ISBLANK('Data Entry'!$ľ$708), "", 'Data Entry'!$ľ$708)</f>
      </c>
    </row>
    <row r="709" spans="1:254" x14ac:dyDescent="0.25">
      <c r="A709">
        <f>IF(ISBLANK('Data Entry'!$A$709), "", 'Data Entry'!$A$709)</f>
      </c>
      <c r="B709">
        <f>IF(ISBLANK('Data Entry'!$B$709), "", 'Data Entry'!$B$709)</f>
      </c>
      <c r="C709">
        <f>IF(ISBLANK('Data Entry'!$C$709), "", 'Data Entry'!$C$709)</f>
      </c>
      <c r="D709">
        <f>IF(ISBLANK('Data Entry'!$D$709), "", 'Data Entry'!$D$709)</f>
      </c>
      <c r="E709">
        <f>IF(ISBLANK('Data Entry'!$E$709), "", 'Data Entry'!$E$709)</f>
      </c>
      <c r="F709">
        <f>IF(ISBLANK('Data Entry'!$F$709), "", 'Data Entry'!$F$709)</f>
      </c>
      <c r="G709">
        <f>IF(ISBLANK('Data Entry'!$G$709), "", 'Data Entry'!$G$709)</f>
      </c>
      <c r="H709">
        <f>IF(ISBLANK('Data Entry'!$H$709), "", 'Data Entry'!$H$709)</f>
      </c>
      <c r="I709">
        <f>IF(ISBLANK('Data Entry'!$I$709), "", 'Data Entry'!$I$709)</f>
      </c>
      <c r="J709">
        <f>IF(ISBLANK('Data Entry'!$J$709), "", 'Data Entry'!$J$709)</f>
      </c>
      <c r="K709">
        <f>IF(ISBLANK('Data Entry'!$K$709), "", 'Data Entry'!$K$709)</f>
      </c>
      <c r="L709">
        <f>IF(ISBLANK('Data Entry'!$L$709), "", 'Data Entry'!$L$709)</f>
      </c>
      <c r="M709">
        <f>IF(ISBLANK('Data Entry'!$M$709), "", 'Data Entry'!$M$709)</f>
      </c>
      <c r="N709">
        <f>IF(ISBLANK('Data Entry'!$N$709), "", 'Data Entry'!$N$709)</f>
      </c>
      <c r="O709">
        <f>IF(ISBLANK('Data Entry'!$O$709), "", 'Data Entry'!$O$709)</f>
      </c>
      <c r="P709">
        <f>IF(ISBLANK('Data Entry'!$P$709), "", 'Data Entry'!$P$709)</f>
      </c>
      <c r="Q709">
        <f>IF(ISBLANK('Data Entry'!$Q$709), "", 'Data Entry'!$Q$709)</f>
      </c>
      <c r="R709">
        <f>IF(ISBLANK('Data Entry'!$R$709), "", 'Data Entry'!$R$709)</f>
      </c>
      <c r="S709">
        <f>IF(ISBLANK('Data Entry'!$S$709), "", 'Data Entry'!$S$709)</f>
      </c>
      <c r="T709">
        <f>IF(ISBLANK('Data Entry'!$T$709), "", 'Data Entry'!$T$709)</f>
      </c>
      <c r="U709">
        <f>IF(ISBLANK('Data Entry'!$U$709), "", 'Data Entry'!$U$709)</f>
      </c>
      <c r="V709">
        <f>IF(ISBLANK('Data Entry'!$V$709), "", 'Data Entry'!$V$709)</f>
      </c>
      <c r="W709">
        <f>IF(ISBLANK('Data Entry'!$W$709), "", 'Data Entry'!$W$709)</f>
      </c>
      <c r="X709">
        <f>IF(ISBLANK('Data Entry'!$X$709), "", 'Data Entry'!$X$709)</f>
      </c>
      <c r="Y709">
        <f>IF(ISBLANK('Data Entry'!$Y$709), "", 'Data Entry'!$Y$709)</f>
      </c>
      <c r="Z709">
        <f>IF(ISBLANK('Data Entry'!$Z$709), "", 'Data Entry'!$Z$709)</f>
      </c>
      <c r="AA709">
        <f>IF(ISBLANK('Data Entry'!$[$709), "", 'Data Entry'!$[$709)</f>
      </c>
      <c r="AB709">
        <f>IF(ISBLANK('Data Entry'!$\$709), "", 'Data Entry'!$\$709)</f>
      </c>
      <c r="AC709">
        <f>IF(ISBLANK('Data Entry'!$]$709), "", 'Data Entry'!$]$709)</f>
      </c>
      <c r="AD709">
        <f>IF(ISBLANK('Data Entry'!$^$709), "", 'Data Entry'!$^$709)</f>
      </c>
      <c r="AE709">
        <f>IF(ISBLANK('Data Entry'!$_$709), "", 'Data Entry'!$_$709)</f>
      </c>
      <c r="AF709">
        <f>IF(ISBLANK('Data Entry'!$`$709), "", 'Data Entry'!$`$709)</f>
      </c>
      <c r="AG709">
        <f>IF(ISBLANK('Data Entry'!$a$709), "", 'Data Entry'!$a$709)</f>
      </c>
      <c r="AH709">
        <f>IF(ISBLANK('Data Entry'!$b$709), "", 'Data Entry'!$b$709)</f>
      </c>
      <c r="AI709">
        <f>IF(ISBLANK('Data Entry'!$c$709), "", 'Data Entry'!$c$709)</f>
      </c>
      <c r="AJ709">
        <f>IF(ISBLANK('Data Entry'!$d$709), "", 'Data Entry'!$d$709)</f>
      </c>
      <c r="AK709">
        <f>IF(ISBLANK('Data Entry'!$e$709), "", 'Data Entry'!$e$709)</f>
      </c>
      <c r="AL709">
        <f>IF(ISBLANK('Data Entry'!$f$709), "", 'Data Entry'!$f$709)</f>
      </c>
      <c r="AM709">
        <f>IF(ISBLANK('Data Entry'!$g$709), "", 'Data Entry'!$g$709)</f>
      </c>
      <c r="AN709">
        <f>IF(ISBLANK('Data Entry'!$h$709), "", 'Data Entry'!$h$709)</f>
      </c>
      <c r="AO709">
        <f>IF(ISBLANK('Data Entry'!$i$709), "", 'Data Entry'!$i$709)</f>
      </c>
      <c r="AP709">
        <f>IF(ISBLANK('Data Entry'!$j$709), "", 'Data Entry'!$j$709)</f>
      </c>
      <c r="AQ709">
        <f>IF(ISBLANK('Data Entry'!$k$709), "", 'Data Entry'!$k$709)</f>
      </c>
      <c r="AR709">
        <f>IF(ISBLANK('Data Entry'!$l$709), "", 'Data Entry'!$l$709)</f>
      </c>
      <c r="AS709">
        <f>IF(ISBLANK('Data Entry'!$m$709), "", 'Data Entry'!$m$709)</f>
      </c>
      <c r="AT709">
        <f>IF(ISBLANK('Data Entry'!$n$709), "", 'Data Entry'!$n$709)</f>
      </c>
      <c r="AU709">
        <f>IF(ISBLANK('Data Entry'!$o$709), "", 'Data Entry'!$o$709)</f>
      </c>
      <c r="AV709">
        <f>IF(ISBLANK('Data Entry'!$p$709), "", 'Data Entry'!$p$709)</f>
      </c>
      <c r="AW709">
        <f>IF(ISBLANK('Data Entry'!$q$709), "", 'Data Entry'!$q$709)</f>
      </c>
      <c r="AX709">
        <f>IF(ISBLANK('Data Entry'!$r$709), "", 'Data Entry'!$r$709)</f>
      </c>
      <c r="AY709">
        <f>IF(ISBLANK('Data Entry'!$s$709), "", 'Data Entry'!$s$709)</f>
      </c>
      <c r="AZ709">
        <f>IF(ISBLANK('Data Entry'!$t$709), "", 'Data Entry'!$t$709)</f>
      </c>
      <c r="BA709">
        <f>IF(ISBLANK('Data Entry'!$u$709), "", 'Data Entry'!$u$709)</f>
      </c>
      <c r="BB709">
        <f>IF(ISBLANK('Data Entry'!$v$709), "", 'Data Entry'!$v$709)</f>
      </c>
      <c r="BC709">
        <f>IF(ISBLANK('Data Entry'!$w$709), "", 'Data Entry'!$w$709)</f>
      </c>
      <c r="BD709">
        <f>IF(ISBLANK('Data Entry'!$x$709), "", 'Data Entry'!$x$709)</f>
      </c>
      <c r="BE709">
        <f>IF(ISBLANK('Data Entry'!$y$709), "", 'Data Entry'!$y$709)</f>
      </c>
      <c r="BF709">
        <f>IF(ISBLANK('Data Entry'!$z$709), "", 'Data Entry'!$z$709)</f>
      </c>
      <c r="BG709">
        <f>IF(ISBLANK('Data Entry'!${$709), "", 'Data Entry'!${$709)</f>
      </c>
      <c r="BH709">
        <f>IF(ISBLANK('Data Entry'!$|$709), "", 'Data Entry'!$|$709)</f>
      </c>
      <c r="BI709">
        <f>IF(ISBLANK('Data Entry'!$}$709), "", 'Data Entry'!$}$709)</f>
      </c>
      <c r="BJ709">
        <f>IF(ISBLANK('Data Entry'!$~$709), "", 'Data Entry'!$~$709)</f>
      </c>
      <c r="BK709">
        <f>IF(ISBLANK('Data Entry'!$$709), "", 'Data Entry'!$$709)</f>
      </c>
      <c r="BL709">
        <f>IF(ISBLANK('Data Entry'!$$709), "", 'Data Entry'!$$709)</f>
      </c>
      <c r="BM709">
        <f>IF(ISBLANK('Data Entry'!$$709), "", 'Data Entry'!$$709)</f>
      </c>
      <c r="BN709">
        <f>IF(ISBLANK('Data Entry'!$$709), "", 'Data Entry'!$$709)</f>
      </c>
      <c r="BO709">
        <f>IF(ISBLANK('Data Entry'!$$709), "", 'Data Entry'!$$709)</f>
      </c>
      <c r="BP709">
        <f>IF(ISBLANK('Data Entry'!$$709), "", 'Data Entry'!$$709)</f>
      </c>
      <c r="BQ709">
        <f>IF(ISBLANK('Data Entry'!$$709), "", 'Data Entry'!$$709)</f>
      </c>
      <c r="BR709">
        <f>IF(ISBLANK('Data Entry'!$$709), "", 'Data Entry'!$$709)</f>
      </c>
      <c r="BS709">
        <f>IF(ISBLANK('Data Entry'!$$709), "", 'Data Entry'!$$709)</f>
      </c>
      <c r="BT709">
        <f>IF(ISBLANK('Data Entry'!$$709), "", 'Data Entry'!$$709)</f>
      </c>
      <c r="BU709">
        <f>IF(ISBLANK('Data Entry'!$$709), "", 'Data Entry'!$$709)</f>
      </c>
      <c r="BV709">
        <f>IF(ISBLANK('Data Entry'!$$709), "", 'Data Entry'!$$709)</f>
      </c>
      <c r="BW709">
        <f>IF(ISBLANK('Data Entry'!$$709), "", 'Data Entry'!$$709)</f>
      </c>
      <c r="BX709">
        <f>IF(ISBLANK('Data Entry'!$$709), "", 'Data Entry'!$$709)</f>
      </c>
      <c r="BY709">
        <f>IF(ISBLANK('Data Entry'!$$709), "", 'Data Entry'!$$709)</f>
      </c>
      <c r="BZ709">
        <f>IF(ISBLANK('Data Entry'!$$709), "", 'Data Entry'!$$709)</f>
      </c>
      <c r="CA709">
        <f>IF(ISBLANK('Data Entry'!$$709), "", 'Data Entry'!$$709)</f>
      </c>
      <c r="CB709">
        <f>IF(ISBLANK('Data Entry'!$$709), "", 'Data Entry'!$$709)</f>
      </c>
      <c r="CC709">
        <f>IF(ISBLANK('Data Entry'!$$709), "", 'Data Entry'!$$709)</f>
      </c>
      <c r="CD709">
        <f>IF(ISBLANK('Data Entry'!$$709), "", 'Data Entry'!$$709)</f>
      </c>
      <c r="CE709">
        <f>IF(ISBLANK('Data Entry'!$$709), "", 'Data Entry'!$$709)</f>
      </c>
      <c r="CF709">
        <f>IF(ISBLANK('Data Entry'!$$709), "", 'Data Entry'!$$709)</f>
      </c>
      <c r="CG709">
        <f>IF(ISBLANK('Data Entry'!$$709), "", 'Data Entry'!$$709)</f>
      </c>
      <c r="CH709">
        <f>IF(ISBLANK('Data Entry'!$$709), "", 'Data Entry'!$$709)</f>
      </c>
      <c r="CI709">
        <f>IF(ISBLANK('Data Entry'!$$709), "", 'Data Entry'!$$709)</f>
      </c>
      <c r="CJ709">
        <f>IF(ISBLANK('Data Entry'!$$709), "", 'Data Entry'!$$709)</f>
      </c>
      <c r="CK709">
        <f>IF(ISBLANK('Data Entry'!$$709), "", 'Data Entry'!$$709)</f>
      </c>
      <c r="CL709">
        <f>IF(ISBLANK('Data Entry'!$$709), "", 'Data Entry'!$$709)</f>
      </c>
      <c r="CM709">
        <f>IF(ISBLANK('Data Entry'!$$709), "", 'Data Entry'!$$709)</f>
      </c>
      <c r="CN709">
        <f>IF(ISBLANK('Data Entry'!$$709), "", 'Data Entry'!$$709)</f>
      </c>
      <c r="CO709">
        <f>IF(ISBLANK('Data Entry'!$$709), "", 'Data Entry'!$$709)</f>
      </c>
      <c r="CP709">
        <f>IF(ISBLANK('Data Entry'!$$709), "", 'Data Entry'!$$709)</f>
      </c>
      <c r="CQ709">
        <f>IF(ISBLANK('Data Entry'!$$709), "", 'Data Entry'!$$709)</f>
      </c>
      <c r="CR709">
        <f>IF(ISBLANK('Data Entry'!$ $709), "", 'Data Entry'!$ $709)</f>
      </c>
      <c r="CS709">
        <f>IF(ISBLANK('Data Entry'!$¡$709), "", 'Data Entry'!$¡$709)</f>
      </c>
      <c r="CT709">
        <f>IF(ISBLANK('Data Entry'!$¢$709), "", 'Data Entry'!$¢$709)</f>
      </c>
      <c r="CU709">
        <f>IF(ISBLANK('Data Entry'!$£$709), "", 'Data Entry'!$£$709)</f>
      </c>
      <c r="CV709">
        <f>IF(ISBLANK('Data Entry'!$¤$709), "", 'Data Entry'!$¤$709)</f>
      </c>
      <c r="CW709">
        <f>IF(ISBLANK('Data Entry'!$¥$709), "", 'Data Entry'!$¥$709)</f>
      </c>
      <c r="CX709">
        <f>IF(ISBLANK('Data Entry'!$¦$709), "", 'Data Entry'!$¦$709)</f>
      </c>
      <c r="CY709">
        <f>IF(ISBLANK('Data Entry'!$§$709), "", 'Data Entry'!$§$709)</f>
      </c>
      <c r="CZ709">
        <f>IF(ISBLANK('Data Entry'!$¨$709), "", 'Data Entry'!$¨$709)</f>
      </c>
      <c r="DA709">
        <f>IF(ISBLANK('Data Entry'!$©$709), "", 'Data Entry'!$©$709)</f>
      </c>
      <c r="DB709">
        <f>IF(ISBLANK('Data Entry'!$ª$709), "", 'Data Entry'!$ª$709)</f>
      </c>
      <c r="DC709">
        <f>IF(ISBLANK('Data Entry'!$«$709), "", 'Data Entry'!$«$709)</f>
      </c>
      <c r="DD709">
        <f>IF(ISBLANK('Data Entry'!$¬$709), "", 'Data Entry'!$¬$709)</f>
      </c>
      <c r="DE709">
        <f>IF(ISBLANK('Data Entry'!$­$709), "", 'Data Entry'!$­$709)</f>
      </c>
      <c r="DF709">
        <f>IF(ISBLANK('Data Entry'!$®$709), "", 'Data Entry'!$®$709)</f>
      </c>
      <c r="DG709">
        <f>IF(ISBLANK('Data Entry'!$¯$709), "", 'Data Entry'!$¯$709)</f>
      </c>
      <c r="DH709">
        <f>IF(ISBLANK('Data Entry'!$°$709), "", 'Data Entry'!$°$709)</f>
      </c>
      <c r="DI709">
        <f>IF(ISBLANK('Data Entry'!$±$709), "", 'Data Entry'!$±$709)</f>
      </c>
      <c r="DJ709">
        <f>IF(ISBLANK('Data Entry'!$²$709), "", 'Data Entry'!$²$709)</f>
      </c>
      <c r="DK709">
        <f>IF(ISBLANK('Data Entry'!$³$709), "", 'Data Entry'!$³$709)</f>
      </c>
      <c r="DL709">
        <f>IF(ISBLANK('Data Entry'!$´$709), "", 'Data Entry'!$´$709)</f>
      </c>
      <c r="DM709">
        <f>IF(ISBLANK('Data Entry'!$µ$709), "", 'Data Entry'!$µ$709)</f>
      </c>
      <c r="DN709">
        <f>IF(ISBLANK('Data Entry'!$¶$709), "", 'Data Entry'!$¶$709)</f>
      </c>
      <c r="DO709">
        <f>IF(ISBLANK('Data Entry'!$·$709), "", 'Data Entry'!$·$709)</f>
      </c>
      <c r="DP709">
        <f>IF(ISBLANK('Data Entry'!$¸$709), "", 'Data Entry'!$¸$709)</f>
      </c>
      <c r="DQ709">
        <f>IF(ISBLANK('Data Entry'!$¹$709), "", 'Data Entry'!$¹$709)</f>
      </c>
      <c r="DR709">
        <f>IF(ISBLANK('Data Entry'!$º$709), "", 'Data Entry'!$º$709)</f>
      </c>
      <c r="DS709">
        <f>IF(ISBLANK('Data Entry'!$»$709), "", 'Data Entry'!$»$709)</f>
      </c>
      <c r="DT709">
        <f>IF(ISBLANK('Data Entry'!$¼$709), "", 'Data Entry'!$¼$709)</f>
      </c>
      <c r="DU709">
        <f>IF(ISBLANK('Data Entry'!$½$709), "", 'Data Entry'!$½$709)</f>
      </c>
      <c r="DV709">
        <f>IF(ISBLANK('Data Entry'!$¾$709), "", 'Data Entry'!$¾$709)</f>
      </c>
      <c r="DW709">
        <f>IF(ISBLANK('Data Entry'!$¿$709), "", 'Data Entry'!$¿$709)</f>
      </c>
      <c r="DX709">
        <f>IF(ISBLANK('Data Entry'!$À$709), "", 'Data Entry'!$À$709)</f>
      </c>
      <c r="DY709">
        <f>IF(ISBLANK('Data Entry'!$Á$709), "", 'Data Entry'!$Á$709)</f>
      </c>
      <c r="DZ709">
        <f>IF(ISBLANK('Data Entry'!$Â$709), "", 'Data Entry'!$Â$709)</f>
      </c>
      <c r="EA709">
        <f>IF(ISBLANK('Data Entry'!$Ã$709), "", 'Data Entry'!$Ã$709)</f>
      </c>
      <c r="EB709">
        <f>IF(ISBLANK('Data Entry'!$Ä$709), "", 'Data Entry'!$Ä$709)</f>
      </c>
      <c r="EC709">
        <f>IF(ISBLANK('Data Entry'!$Å$709), "", 'Data Entry'!$Å$709)</f>
      </c>
      <c r="ED709">
        <f>IF(ISBLANK('Data Entry'!$Æ$709), "", 'Data Entry'!$Æ$709)</f>
      </c>
      <c r="EE709">
        <f>IF(ISBLANK('Data Entry'!$Ç$709), "", 'Data Entry'!$Ç$709)</f>
      </c>
      <c r="EF709">
        <f>IF(ISBLANK('Data Entry'!$È$709), "", 'Data Entry'!$È$709)</f>
      </c>
      <c r="EG709">
        <f>IF(ISBLANK('Data Entry'!$É$709), "", 'Data Entry'!$É$709)</f>
      </c>
      <c r="EH709">
        <f>IF(ISBLANK('Data Entry'!$Ê$709), "", 'Data Entry'!$Ê$709)</f>
      </c>
      <c r="EI709">
        <f>IF(ISBLANK('Data Entry'!$Ë$709), "", 'Data Entry'!$Ë$709)</f>
      </c>
      <c r="EJ709">
        <f>IF(ISBLANK('Data Entry'!$Ì$709), "", 'Data Entry'!$Ì$709)</f>
      </c>
      <c r="EK709">
        <f>IF(ISBLANK('Data Entry'!$Í$709), "", 'Data Entry'!$Í$709)</f>
      </c>
      <c r="EL709">
        <f>IF(ISBLANK('Data Entry'!$Î$709), "", 'Data Entry'!$Î$709)</f>
      </c>
      <c r="EM709">
        <f>IF(ISBLANK('Data Entry'!$Ï$709), "", 'Data Entry'!$Ï$709)</f>
      </c>
      <c r="EN709">
        <f>IF(ISBLANK('Data Entry'!$Ð$709), "", 'Data Entry'!$Ð$709)</f>
      </c>
      <c r="EO709">
        <f>IF(ISBLANK('Data Entry'!$Ñ$709), "", 'Data Entry'!$Ñ$709)</f>
      </c>
      <c r="EP709">
        <f>IF(ISBLANK('Data Entry'!$Ò$709), "", 'Data Entry'!$Ò$709)</f>
      </c>
      <c r="EQ709">
        <f>IF(ISBLANK('Data Entry'!$Ó$709), "", 'Data Entry'!$Ó$709)</f>
      </c>
      <c r="ER709">
        <f>IF(ISBLANK('Data Entry'!$Ô$709), "", 'Data Entry'!$Ô$709)</f>
      </c>
      <c r="ES709">
        <f>IF(ISBLANK('Data Entry'!$Õ$709), "", 'Data Entry'!$Õ$709)</f>
      </c>
      <c r="ET709">
        <f>IF(ISBLANK('Data Entry'!$Ö$709), "", 'Data Entry'!$Ö$709)</f>
      </c>
      <c r="EU709">
        <f>IF(ISBLANK('Data Entry'!$×$709), "", 'Data Entry'!$×$709)</f>
      </c>
      <c r="EV709">
        <f>IF(ISBLANK('Data Entry'!$Ø$709), "", 'Data Entry'!$Ø$709)</f>
      </c>
      <c r="EW709">
        <f>IF(ISBLANK('Data Entry'!$Ù$709), "", 'Data Entry'!$Ù$709)</f>
      </c>
      <c r="EX709">
        <f>IF(ISBLANK('Data Entry'!$Ú$709), "", 'Data Entry'!$Ú$709)</f>
      </c>
      <c r="EY709">
        <f>IF(ISBLANK('Data Entry'!$Û$709), "", 'Data Entry'!$Û$709)</f>
      </c>
      <c r="EZ709">
        <f>IF(ISBLANK('Data Entry'!$Ü$709), "", 'Data Entry'!$Ü$709)</f>
      </c>
      <c r="FA709">
        <f>IF(ISBLANK('Data Entry'!$Ý$709), "", 'Data Entry'!$Ý$709)</f>
      </c>
      <c r="FB709">
        <f>IF(ISBLANK('Data Entry'!$Þ$709), "", 'Data Entry'!$Þ$709)</f>
      </c>
      <c r="FC709">
        <f>IF(ISBLANK('Data Entry'!$ß$709), "", 'Data Entry'!$ß$709)</f>
      </c>
      <c r="FD709">
        <f>IF(ISBLANK('Data Entry'!$à$709), "", 'Data Entry'!$à$709)</f>
      </c>
      <c r="FE709">
        <f>IF(ISBLANK('Data Entry'!$á$709), "", 'Data Entry'!$á$709)</f>
      </c>
      <c r="FF709">
        <f>IF(ISBLANK('Data Entry'!$â$709), "", 'Data Entry'!$â$709)</f>
      </c>
      <c r="FG709">
        <f>IF(ISBLANK('Data Entry'!$ã$709), "", 'Data Entry'!$ã$709)</f>
      </c>
      <c r="FH709">
        <f>IF(ISBLANK('Data Entry'!$ä$709), "", 'Data Entry'!$ä$709)</f>
      </c>
      <c r="FI709">
        <f>IF(ISBLANK('Data Entry'!$å$709), "", 'Data Entry'!$å$709)</f>
      </c>
      <c r="FJ709">
        <f>IF(ISBLANK('Data Entry'!$æ$709), "", 'Data Entry'!$æ$709)</f>
      </c>
      <c r="FK709">
        <f>IF(ISBLANK('Data Entry'!$ç$709), "", 'Data Entry'!$ç$709)</f>
      </c>
      <c r="FL709">
        <f>IF(ISBLANK('Data Entry'!$è$709), "", 'Data Entry'!$è$709)</f>
      </c>
      <c r="FM709">
        <f>IF(ISBLANK('Data Entry'!$é$709), "", 'Data Entry'!$é$709)</f>
      </c>
      <c r="FN709">
        <f>IF(ISBLANK('Data Entry'!$ê$709), "", 'Data Entry'!$ê$709)</f>
      </c>
      <c r="FO709">
        <f>IF(ISBLANK('Data Entry'!$ë$709), "", 'Data Entry'!$ë$709)</f>
      </c>
      <c r="FP709">
        <f>IF(ISBLANK('Data Entry'!$ì$709), "", 'Data Entry'!$ì$709)</f>
      </c>
      <c r="FQ709">
        <f>IF(ISBLANK('Data Entry'!$í$709), "", 'Data Entry'!$í$709)</f>
      </c>
      <c r="FR709">
        <f>IF(ISBLANK('Data Entry'!$î$709), "", 'Data Entry'!$î$709)</f>
      </c>
      <c r="FS709">
        <f>IF(ISBLANK('Data Entry'!$ï$709), "", 'Data Entry'!$ï$709)</f>
      </c>
      <c r="FT709">
        <f>IF(ISBLANK('Data Entry'!$ð$709), "", 'Data Entry'!$ð$709)</f>
      </c>
      <c r="FU709">
        <f>IF(ISBLANK('Data Entry'!$ñ$709), "", 'Data Entry'!$ñ$709)</f>
      </c>
      <c r="FV709">
        <f>IF(ISBLANK('Data Entry'!$ò$709), "", 'Data Entry'!$ò$709)</f>
      </c>
      <c r="FW709">
        <f>IF(ISBLANK('Data Entry'!$ó$709), "", 'Data Entry'!$ó$709)</f>
      </c>
      <c r="FX709">
        <f>IF(ISBLANK('Data Entry'!$ô$709), "", 'Data Entry'!$ô$709)</f>
      </c>
      <c r="FY709">
        <f>IF(ISBLANK('Data Entry'!$õ$709), "", 'Data Entry'!$õ$709)</f>
      </c>
      <c r="FZ709">
        <f>IF(ISBLANK('Data Entry'!$ö$709), "", 'Data Entry'!$ö$709)</f>
      </c>
      <c r="GA709">
        <f>IF(ISBLANK('Data Entry'!$÷$709), "", 'Data Entry'!$÷$709)</f>
      </c>
      <c r="GB709">
        <f>IF(ISBLANK('Data Entry'!$ø$709), "", 'Data Entry'!$ø$709)</f>
      </c>
      <c r="GC709">
        <f>IF(ISBLANK('Data Entry'!$ù$709), "", 'Data Entry'!$ù$709)</f>
      </c>
      <c r="GD709">
        <f>IF(ISBLANK('Data Entry'!$ú$709), "", 'Data Entry'!$ú$709)</f>
      </c>
      <c r="GE709">
        <f>IF(ISBLANK('Data Entry'!$û$709), "", 'Data Entry'!$û$709)</f>
      </c>
      <c r="GF709">
        <f>IF(ISBLANK('Data Entry'!$ü$709), "", 'Data Entry'!$ü$709)</f>
      </c>
      <c r="GG709">
        <f>IF(ISBLANK('Data Entry'!$ý$709), "", 'Data Entry'!$ý$709)</f>
      </c>
      <c r="GH709">
        <f>IF(ISBLANK('Data Entry'!$þ$709), "", 'Data Entry'!$þ$709)</f>
      </c>
      <c r="GI709">
        <f>IF(ISBLANK('Data Entry'!$ÿ$709), "", 'Data Entry'!$ÿ$709)</f>
      </c>
      <c r="GJ709">
        <f>IF(ISBLANK('Data Entry'!$Ā$709), "", 'Data Entry'!$Ā$709)</f>
      </c>
      <c r="GK709">
        <f>IF(ISBLANK('Data Entry'!$ā$709), "", 'Data Entry'!$ā$709)</f>
      </c>
      <c r="GL709">
        <f>IF(ISBLANK('Data Entry'!$Ă$709), "", 'Data Entry'!$Ă$709)</f>
      </c>
      <c r="GM709">
        <f>IF(ISBLANK('Data Entry'!$ă$709), "", 'Data Entry'!$ă$709)</f>
      </c>
      <c r="GN709">
        <f>IF(ISBLANK('Data Entry'!$Ą$709), "", 'Data Entry'!$Ą$709)</f>
      </c>
      <c r="GO709">
        <f>IF(ISBLANK('Data Entry'!$ą$709), "", 'Data Entry'!$ą$709)</f>
      </c>
      <c r="GP709">
        <f>IF(ISBLANK('Data Entry'!$Ć$709), "", 'Data Entry'!$Ć$709)</f>
      </c>
      <c r="GQ709">
        <f>IF(ISBLANK('Data Entry'!$ć$709), "", 'Data Entry'!$ć$709)</f>
      </c>
      <c r="GR709">
        <f>IF(ISBLANK('Data Entry'!$Ĉ$709), "", 'Data Entry'!$Ĉ$709)</f>
      </c>
      <c r="GS709">
        <f>IF(ISBLANK('Data Entry'!$ĉ$709), "", 'Data Entry'!$ĉ$709)</f>
      </c>
      <c r="GT709">
        <f>IF(ISBLANK('Data Entry'!$Ċ$709), "", 'Data Entry'!$Ċ$709)</f>
      </c>
      <c r="GU709">
        <f>IF(ISBLANK('Data Entry'!$ċ$709), "", 'Data Entry'!$ċ$709)</f>
      </c>
      <c r="GV709">
        <f>IF(ISBLANK('Data Entry'!$Č$709), "", 'Data Entry'!$Č$709)</f>
      </c>
      <c r="GW709">
        <f>IF(ISBLANK('Data Entry'!$č$709), "", 'Data Entry'!$č$709)</f>
      </c>
      <c r="GX709">
        <f>IF(ISBLANK('Data Entry'!$Ď$709), "", 'Data Entry'!$Ď$709)</f>
      </c>
      <c r="GY709">
        <f>IF(ISBLANK('Data Entry'!$ď$709), "", 'Data Entry'!$ď$709)</f>
      </c>
      <c r="GZ709">
        <f>IF(ISBLANK('Data Entry'!$Đ$709), "", 'Data Entry'!$Đ$709)</f>
      </c>
      <c r="HA709">
        <f>IF(ISBLANK('Data Entry'!$đ$709), "", 'Data Entry'!$đ$709)</f>
      </c>
      <c r="HB709">
        <f>IF(ISBLANK('Data Entry'!$Ē$709), "", 'Data Entry'!$Ē$709)</f>
      </c>
      <c r="HC709">
        <f>IF(ISBLANK('Data Entry'!$ē$709), "", 'Data Entry'!$ē$709)</f>
      </c>
      <c r="HD709">
        <f>IF(ISBLANK('Data Entry'!$Ĕ$709), "", 'Data Entry'!$Ĕ$709)</f>
      </c>
      <c r="HE709">
        <f>IF(ISBLANK('Data Entry'!$ĕ$709), "", 'Data Entry'!$ĕ$709)</f>
      </c>
      <c r="HF709">
        <f>IF(ISBLANK('Data Entry'!$Ė$709), "", 'Data Entry'!$Ė$709)</f>
      </c>
      <c r="HG709">
        <f>IF(ISBLANK('Data Entry'!$ė$709), "", 'Data Entry'!$ė$709)</f>
      </c>
      <c r="HH709">
        <f>IF(ISBLANK('Data Entry'!$Ę$709), "", 'Data Entry'!$Ę$709)</f>
      </c>
      <c r="HI709">
        <f>IF(ISBLANK('Data Entry'!$ę$709), "", 'Data Entry'!$ę$709)</f>
      </c>
      <c r="HJ709">
        <f>IF(ISBLANK('Data Entry'!$Ě$709), "", 'Data Entry'!$Ě$709)</f>
      </c>
      <c r="HK709">
        <f>IF(ISBLANK('Data Entry'!$ě$709), "", 'Data Entry'!$ě$709)</f>
      </c>
      <c r="HL709">
        <f>IF(ISBLANK('Data Entry'!$Ĝ$709), "", 'Data Entry'!$Ĝ$709)</f>
      </c>
      <c r="HM709">
        <f>IF(ISBLANK('Data Entry'!$ĝ$709), "", 'Data Entry'!$ĝ$709)</f>
      </c>
      <c r="HN709">
        <f>IF(ISBLANK('Data Entry'!$Ğ$709), "", 'Data Entry'!$Ğ$709)</f>
      </c>
      <c r="HO709">
        <f>IF(ISBLANK('Data Entry'!$ğ$709), "", 'Data Entry'!$ğ$709)</f>
      </c>
      <c r="HP709">
        <f>IF(ISBLANK('Data Entry'!$Ġ$709), "", 'Data Entry'!$Ġ$709)</f>
      </c>
      <c r="HQ709">
        <f>IF(ISBLANK('Data Entry'!$ġ$709), "", 'Data Entry'!$ġ$709)</f>
      </c>
      <c r="HR709">
        <f>IF(ISBLANK('Data Entry'!$Ģ$709), "", 'Data Entry'!$Ģ$709)</f>
      </c>
      <c r="HS709">
        <f>IF(ISBLANK('Data Entry'!$ģ$709), "", 'Data Entry'!$ģ$709)</f>
      </c>
      <c r="HT709">
        <f>IF(ISBLANK('Data Entry'!$Ĥ$709), "", 'Data Entry'!$Ĥ$709)</f>
      </c>
      <c r="HU709">
        <f>IF(ISBLANK('Data Entry'!$ĥ$709), "", 'Data Entry'!$ĥ$709)</f>
      </c>
      <c r="HV709">
        <f>IF(ISBLANK('Data Entry'!$Ħ$709), "", 'Data Entry'!$Ħ$709)</f>
      </c>
      <c r="HW709">
        <f>IF(ISBLANK('Data Entry'!$ħ$709), "", 'Data Entry'!$ħ$709)</f>
      </c>
      <c r="HX709">
        <f>IF(ISBLANK('Data Entry'!$Ĩ$709), "", 'Data Entry'!$Ĩ$709)</f>
      </c>
      <c r="HY709">
        <f>IF(ISBLANK('Data Entry'!$ĩ$709), "", 'Data Entry'!$ĩ$709)</f>
      </c>
      <c r="HZ709">
        <f>IF(ISBLANK('Data Entry'!$Ī$709), "", 'Data Entry'!$Ī$709)</f>
      </c>
      <c r="IA709">
        <f>IF(ISBLANK('Data Entry'!$ī$709), "", 'Data Entry'!$ī$709)</f>
      </c>
      <c r="IB709">
        <f>IF(ISBLANK('Data Entry'!$Ĭ$709), "", 'Data Entry'!$Ĭ$709)</f>
      </c>
      <c r="IC709">
        <f>IF(ISBLANK('Data Entry'!$ĭ$709), "", 'Data Entry'!$ĭ$709)</f>
      </c>
      <c r="ID709">
        <f>IF(ISBLANK('Data Entry'!$Į$709), "", 'Data Entry'!$Į$709)</f>
      </c>
      <c r="IE709">
        <f>IF(ISBLANK('Data Entry'!$į$709), "", 'Data Entry'!$į$709)</f>
      </c>
      <c r="IF709">
        <f>IF(ISBLANK('Data Entry'!$İ$709), "", 'Data Entry'!$İ$709)</f>
      </c>
      <c r="IG709">
        <f>IF(ISBLANK('Data Entry'!$ı$709), "", 'Data Entry'!$ı$709)</f>
      </c>
      <c r="IH709">
        <f>IF(ISBLANK('Data Entry'!$Ĳ$709), "", 'Data Entry'!$Ĳ$709)</f>
      </c>
      <c r="II709">
        <f>IF(ISBLANK('Data Entry'!$ĳ$709), "", 'Data Entry'!$ĳ$709)</f>
      </c>
      <c r="IJ709">
        <f>IF(ISBLANK('Data Entry'!$Ĵ$709), "", 'Data Entry'!$Ĵ$709)</f>
      </c>
      <c r="IK709">
        <f>IF(ISBLANK('Data Entry'!$ĵ$709), "", 'Data Entry'!$ĵ$709)</f>
      </c>
      <c r="IL709">
        <f>IF(ISBLANK('Data Entry'!$Ķ$709), "", 'Data Entry'!$Ķ$709)</f>
      </c>
      <c r="IM709">
        <f>IF(ISBLANK('Data Entry'!$ķ$709), "", 'Data Entry'!$ķ$709)</f>
      </c>
      <c r="IN709">
        <f>IF(ISBLANK('Data Entry'!$ĸ$709), "", 'Data Entry'!$ĸ$709)</f>
      </c>
      <c r="IO709">
        <f>IF(ISBLANK('Data Entry'!$Ĺ$709), "", 'Data Entry'!$Ĺ$709)</f>
      </c>
      <c r="IP709">
        <f>IF(ISBLANK('Data Entry'!$ĺ$709), "", 'Data Entry'!$ĺ$709)</f>
      </c>
      <c r="IQ709">
        <f>IF(ISBLANK('Data Entry'!$Ļ$709), "", 'Data Entry'!$Ļ$709)</f>
      </c>
      <c r="IR709">
        <f>IF(ISBLANK('Data Entry'!$ļ$709), "", 'Data Entry'!$ļ$709)</f>
      </c>
      <c r="IS709">
        <f>IF(ISBLANK('Data Entry'!$Ľ$709), "", 'Data Entry'!$Ľ$709)</f>
      </c>
      <c r="IT709">
        <f>IF(ISBLANK('Data Entry'!$ľ$709), "", 'Data Entry'!$ľ$709)</f>
      </c>
    </row>
    <row r="710" spans="1:254" x14ac:dyDescent="0.25">
      <c r="A710">
        <f>IF(ISBLANK('Data Entry'!$A$710), "", 'Data Entry'!$A$710)</f>
      </c>
      <c r="B710">
        <f>IF(ISBLANK('Data Entry'!$B$710), "", 'Data Entry'!$B$710)</f>
      </c>
      <c r="C710">
        <f>IF(ISBLANK('Data Entry'!$C$710), "", 'Data Entry'!$C$710)</f>
      </c>
      <c r="D710">
        <f>IF(ISBLANK('Data Entry'!$D$710), "", 'Data Entry'!$D$710)</f>
      </c>
      <c r="E710">
        <f>IF(ISBLANK('Data Entry'!$E$710), "", 'Data Entry'!$E$710)</f>
      </c>
      <c r="F710">
        <f>IF(ISBLANK('Data Entry'!$F$710), "", 'Data Entry'!$F$710)</f>
      </c>
      <c r="G710">
        <f>IF(ISBLANK('Data Entry'!$G$710), "", 'Data Entry'!$G$710)</f>
      </c>
      <c r="H710">
        <f>IF(ISBLANK('Data Entry'!$H$710), "", 'Data Entry'!$H$710)</f>
      </c>
      <c r="I710">
        <f>IF(ISBLANK('Data Entry'!$I$710), "", 'Data Entry'!$I$710)</f>
      </c>
      <c r="J710">
        <f>IF(ISBLANK('Data Entry'!$J$710), "", 'Data Entry'!$J$710)</f>
      </c>
      <c r="K710">
        <f>IF(ISBLANK('Data Entry'!$K$710), "", 'Data Entry'!$K$710)</f>
      </c>
      <c r="L710">
        <f>IF(ISBLANK('Data Entry'!$L$710), "", 'Data Entry'!$L$710)</f>
      </c>
      <c r="M710">
        <f>IF(ISBLANK('Data Entry'!$M$710), "", 'Data Entry'!$M$710)</f>
      </c>
      <c r="N710">
        <f>IF(ISBLANK('Data Entry'!$N$710), "", 'Data Entry'!$N$710)</f>
      </c>
      <c r="O710">
        <f>IF(ISBLANK('Data Entry'!$O$710), "", 'Data Entry'!$O$710)</f>
      </c>
      <c r="P710">
        <f>IF(ISBLANK('Data Entry'!$P$710), "", 'Data Entry'!$P$710)</f>
      </c>
      <c r="Q710">
        <f>IF(ISBLANK('Data Entry'!$Q$710), "", 'Data Entry'!$Q$710)</f>
      </c>
      <c r="R710">
        <f>IF(ISBLANK('Data Entry'!$R$710), "", 'Data Entry'!$R$710)</f>
      </c>
      <c r="S710">
        <f>IF(ISBLANK('Data Entry'!$S$710), "", 'Data Entry'!$S$710)</f>
      </c>
      <c r="T710">
        <f>IF(ISBLANK('Data Entry'!$T$710), "", 'Data Entry'!$T$710)</f>
      </c>
      <c r="U710">
        <f>IF(ISBLANK('Data Entry'!$U$710), "", 'Data Entry'!$U$710)</f>
      </c>
      <c r="V710">
        <f>IF(ISBLANK('Data Entry'!$V$710), "", 'Data Entry'!$V$710)</f>
      </c>
      <c r="W710">
        <f>IF(ISBLANK('Data Entry'!$W$710), "", 'Data Entry'!$W$710)</f>
      </c>
      <c r="X710">
        <f>IF(ISBLANK('Data Entry'!$X$710), "", 'Data Entry'!$X$710)</f>
      </c>
      <c r="Y710">
        <f>IF(ISBLANK('Data Entry'!$Y$710), "", 'Data Entry'!$Y$710)</f>
      </c>
      <c r="Z710">
        <f>IF(ISBLANK('Data Entry'!$Z$710), "", 'Data Entry'!$Z$710)</f>
      </c>
      <c r="AA710">
        <f>IF(ISBLANK('Data Entry'!$[$710), "", 'Data Entry'!$[$710)</f>
      </c>
      <c r="AB710">
        <f>IF(ISBLANK('Data Entry'!$\$710), "", 'Data Entry'!$\$710)</f>
      </c>
      <c r="AC710">
        <f>IF(ISBLANK('Data Entry'!$]$710), "", 'Data Entry'!$]$710)</f>
      </c>
      <c r="AD710">
        <f>IF(ISBLANK('Data Entry'!$^$710), "", 'Data Entry'!$^$710)</f>
      </c>
      <c r="AE710">
        <f>IF(ISBLANK('Data Entry'!$_$710), "", 'Data Entry'!$_$710)</f>
      </c>
      <c r="AF710">
        <f>IF(ISBLANK('Data Entry'!$`$710), "", 'Data Entry'!$`$710)</f>
      </c>
      <c r="AG710">
        <f>IF(ISBLANK('Data Entry'!$a$710), "", 'Data Entry'!$a$710)</f>
      </c>
      <c r="AH710">
        <f>IF(ISBLANK('Data Entry'!$b$710), "", 'Data Entry'!$b$710)</f>
      </c>
      <c r="AI710">
        <f>IF(ISBLANK('Data Entry'!$c$710), "", 'Data Entry'!$c$710)</f>
      </c>
      <c r="AJ710">
        <f>IF(ISBLANK('Data Entry'!$d$710), "", 'Data Entry'!$d$710)</f>
      </c>
      <c r="AK710">
        <f>IF(ISBLANK('Data Entry'!$e$710), "", 'Data Entry'!$e$710)</f>
      </c>
      <c r="AL710">
        <f>IF(ISBLANK('Data Entry'!$f$710), "", 'Data Entry'!$f$710)</f>
      </c>
      <c r="AM710">
        <f>IF(ISBLANK('Data Entry'!$g$710), "", 'Data Entry'!$g$710)</f>
      </c>
      <c r="AN710">
        <f>IF(ISBLANK('Data Entry'!$h$710), "", 'Data Entry'!$h$710)</f>
      </c>
      <c r="AO710">
        <f>IF(ISBLANK('Data Entry'!$i$710), "", 'Data Entry'!$i$710)</f>
      </c>
      <c r="AP710">
        <f>IF(ISBLANK('Data Entry'!$j$710), "", 'Data Entry'!$j$710)</f>
      </c>
      <c r="AQ710">
        <f>IF(ISBLANK('Data Entry'!$k$710), "", 'Data Entry'!$k$710)</f>
      </c>
      <c r="AR710">
        <f>IF(ISBLANK('Data Entry'!$l$710), "", 'Data Entry'!$l$710)</f>
      </c>
      <c r="AS710">
        <f>IF(ISBLANK('Data Entry'!$m$710), "", 'Data Entry'!$m$710)</f>
      </c>
      <c r="AT710">
        <f>IF(ISBLANK('Data Entry'!$n$710), "", 'Data Entry'!$n$710)</f>
      </c>
      <c r="AU710">
        <f>IF(ISBLANK('Data Entry'!$o$710), "", 'Data Entry'!$o$710)</f>
      </c>
      <c r="AV710">
        <f>IF(ISBLANK('Data Entry'!$p$710), "", 'Data Entry'!$p$710)</f>
      </c>
      <c r="AW710">
        <f>IF(ISBLANK('Data Entry'!$q$710), "", 'Data Entry'!$q$710)</f>
      </c>
      <c r="AX710">
        <f>IF(ISBLANK('Data Entry'!$r$710), "", 'Data Entry'!$r$710)</f>
      </c>
      <c r="AY710">
        <f>IF(ISBLANK('Data Entry'!$s$710), "", 'Data Entry'!$s$710)</f>
      </c>
      <c r="AZ710">
        <f>IF(ISBLANK('Data Entry'!$t$710), "", 'Data Entry'!$t$710)</f>
      </c>
      <c r="BA710">
        <f>IF(ISBLANK('Data Entry'!$u$710), "", 'Data Entry'!$u$710)</f>
      </c>
      <c r="BB710">
        <f>IF(ISBLANK('Data Entry'!$v$710), "", 'Data Entry'!$v$710)</f>
      </c>
      <c r="BC710">
        <f>IF(ISBLANK('Data Entry'!$w$710), "", 'Data Entry'!$w$710)</f>
      </c>
      <c r="BD710">
        <f>IF(ISBLANK('Data Entry'!$x$710), "", 'Data Entry'!$x$710)</f>
      </c>
      <c r="BE710">
        <f>IF(ISBLANK('Data Entry'!$y$710), "", 'Data Entry'!$y$710)</f>
      </c>
      <c r="BF710">
        <f>IF(ISBLANK('Data Entry'!$z$710), "", 'Data Entry'!$z$710)</f>
      </c>
      <c r="BG710">
        <f>IF(ISBLANK('Data Entry'!${$710), "", 'Data Entry'!${$710)</f>
      </c>
      <c r="BH710">
        <f>IF(ISBLANK('Data Entry'!$|$710), "", 'Data Entry'!$|$710)</f>
      </c>
      <c r="BI710">
        <f>IF(ISBLANK('Data Entry'!$}$710), "", 'Data Entry'!$}$710)</f>
      </c>
      <c r="BJ710">
        <f>IF(ISBLANK('Data Entry'!$~$710), "", 'Data Entry'!$~$710)</f>
      </c>
      <c r="BK710">
        <f>IF(ISBLANK('Data Entry'!$$710), "", 'Data Entry'!$$710)</f>
      </c>
      <c r="BL710">
        <f>IF(ISBLANK('Data Entry'!$$710), "", 'Data Entry'!$$710)</f>
      </c>
      <c r="BM710">
        <f>IF(ISBLANK('Data Entry'!$$710), "", 'Data Entry'!$$710)</f>
      </c>
      <c r="BN710">
        <f>IF(ISBLANK('Data Entry'!$$710), "", 'Data Entry'!$$710)</f>
      </c>
      <c r="BO710">
        <f>IF(ISBLANK('Data Entry'!$$710), "", 'Data Entry'!$$710)</f>
      </c>
      <c r="BP710">
        <f>IF(ISBLANK('Data Entry'!$$710), "", 'Data Entry'!$$710)</f>
      </c>
      <c r="BQ710">
        <f>IF(ISBLANK('Data Entry'!$$710), "", 'Data Entry'!$$710)</f>
      </c>
      <c r="BR710">
        <f>IF(ISBLANK('Data Entry'!$$710), "", 'Data Entry'!$$710)</f>
      </c>
      <c r="BS710">
        <f>IF(ISBLANK('Data Entry'!$$710), "", 'Data Entry'!$$710)</f>
      </c>
      <c r="BT710">
        <f>IF(ISBLANK('Data Entry'!$$710), "", 'Data Entry'!$$710)</f>
      </c>
      <c r="BU710">
        <f>IF(ISBLANK('Data Entry'!$$710), "", 'Data Entry'!$$710)</f>
      </c>
      <c r="BV710">
        <f>IF(ISBLANK('Data Entry'!$$710), "", 'Data Entry'!$$710)</f>
      </c>
      <c r="BW710">
        <f>IF(ISBLANK('Data Entry'!$$710), "", 'Data Entry'!$$710)</f>
      </c>
      <c r="BX710">
        <f>IF(ISBLANK('Data Entry'!$$710), "", 'Data Entry'!$$710)</f>
      </c>
      <c r="BY710">
        <f>IF(ISBLANK('Data Entry'!$$710), "", 'Data Entry'!$$710)</f>
      </c>
      <c r="BZ710">
        <f>IF(ISBLANK('Data Entry'!$$710), "", 'Data Entry'!$$710)</f>
      </c>
      <c r="CA710">
        <f>IF(ISBLANK('Data Entry'!$$710), "", 'Data Entry'!$$710)</f>
      </c>
      <c r="CB710">
        <f>IF(ISBLANK('Data Entry'!$$710), "", 'Data Entry'!$$710)</f>
      </c>
      <c r="CC710">
        <f>IF(ISBLANK('Data Entry'!$$710), "", 'Data Entry'!$$710)</f>
      </c>
      <c r="CD710">
        <f>IF(ISBLANK('Data Entry'!$$710), "", 'Data Entry'!$$710)</f>
      </c>
      <c r="CE710">
        <f>IF(ISBLANK('Data Entry'!$$710), "", 'Data Entry'!$$710)</f>
      </c>
      <c r="CF710">
        <f>IF(ISBLANK('Data Entry'!$$710), "", 'Data Entry'!$$710)</f>
      </c>
      <c r="CG710">
        <f>IF(ISBLANK('Data Entry'!$$710), "", 'Data Entry'!$$710)</f>
      </c>
      <c r="CH710">
        <f>IF(ISBLANK('Data Entry'!$$710), "", 'Data Entry'!$$710)</f>
      </c>
      <c r="CI710">
        <f>IF(ISBLANK('Data Entry'!$$710), "", 'Data Entry'!$$710)</f>
      </c>
      <c r="CJ710">
        <f>IF(ISBLANK('Data Entry'!$$710), "", 'Data Entry'!$$710)</f>
      </c>
      <c r="CK710">
        <f>IF(ISBLANK('Data Entry'!$$710), "", 'Data Entry'!$$710)</f>
      </c>
      <c r="CL710">
        <f>IF(ISBLANK('Data Entry'!$$710), "", 'Data Entry'!$$710)</f>
      </c>
      <c r="CM710">
        <f>IF(ISBLANK('Data Entry'!$$710), "", 'Data Entry'!$$710)</f>
      </c>
      <c r="CN710">
        <f>IF(ISBLANK('Data Entry'!$$710), "", 'Data Entry'!$$710)</f>
      </c>
      <c r="CO710">
        <f>IF(ISBLANK('Data Entry'!$$710), "", 'Data Entry'!$$710)</f>
      </c>
      <c r="CP710">
        <f>IF(ISBLANK('Data Entry'!$$710), "", 'Data Entry'!$$710)</f>
      </c>
      <c r="CQ710">
        <f>IF(ISBLANK('Data Entry'!$$710), "", 'Data Entry'!$$710)</f>
      </c>
      <c r="CR710">
        <f>IF(ISBLANK('Data Entry'!$ $710), "", 'Data Entry'!$ $710)</f>
      </c>
      <c r="CS710">
        <f>IF(ISBLANK('Data Entry'!$¡$710), "", 'Data Entry'!$¡$710)</f>
      </c>
      <c r="CT710">
        <f>IF(ISBLANK('Data Entry'!$¢$710), "", 'Data Entry'!$¢$710)</f>
      </c>
      <c r="CU710">
        <f>IF(ISBLANK('Data Entry'!$£$710), "", 'Data Entry'!$£$710)</f>
      </c>
      <c r="CV710">
        <f>IF(ISBLANK('Data Entry'!$¤$710), "", 'Data Entry'!$¤$710)</f>
      </c>
      <c r="CW710">
        <f>IF(ISBLANK('Data Entry'!$¥$710), "", 'Data Entry'!$¥$710)</f>
      </c>
      <c r="CX710">
        <f>IF(ISBLANK('Data Entry'!$¦$710), "", 'Data Entry'!$¦$710)</f>
      </c>
      <c r="CY710">
        <f>IF(ISBLANK('Data Entry'!$§$710), "", 'Data Entry'!$§$710)</f>
      </c>
      <c r="CZ710">
        <f>IF(ISBLANK('Data Entry'!$¨$710), "", 'Data Entry'!$¨$710)</f>
      </c>
      <c r="DA710">
        <f>IF(ISBLANK('Data Entry'!$©$710), "", 'Data Entry'!$©$710)</f>
      </c>
      <c r="DB710">
        <f>IF(ISBLANK('Data Entry'!$ª$710), "", 'Data Entry'!$ª$710)</f>
      </c>
      <c r="DC710">
        <f>IF(ISBLANK('Data Entry'!$«$710), "", 'Data Entry'!$«$710)</f>
      </c>
      <c r="DD710">
        <f>IF(ISBLANK('Data Entry'!$¬$710), "", 'Data Entry'!$¬$710)</f>
      </c>
      <c r="DE710">
        <f>IF(ISBLANK('Data Entry'!$­$710), "", 'Data Entry'!$­$710)</f>
      </c>
      <c r="DF710">
        <f>IF(ISBLANK('Data Entry'!$®$710), "", 'Data Entry'!$®$710)</f>
      </c>
      <c r="DG710">
        <f>IF(ISBLANK('Data Entry'!$¯$710), "", 'Data Entry'!$¯$710)</f>
      </c>
      <c r="DH710">
        <f>IF(ISBLANK('Data Entry'!$°$710), "", 'Data Entry'!$°$710)</f>
      </c>
      <c r="DI710">
        <f>IF(ISBLANK('Data Entry'!$±$710), "", 'Data Entry'!$±$710)</f>
      </c>
      <c r="DJ710">
        <f>IF(ISBLANK('Data Entry'!$²$710), "", 'Data Entry'!$²$710)</f>
      </c>
      <c r="DK710">
        <f>IF(ISBLANK('Data Entry'!$³$710), "", 'Data Entry'!$³$710)</f>
      </c>
      <c r="DL710">
        <f>IF(ISBLANK('Data Entry'!$´$710), "", 'Data Entry'!$´$710)</f>
      </c>
      <c r="DM710">
        <f>IF(ISBLANK('Data Entry'!$µ$710), "", 'Data Entry'!$µ$710)</f>
      </c>
      <c r="DN710">
        <f>IF(ISBLANK('Data Entry'!$¶$710), "", 'Data Entry'!$¶$710)</f>
      </c>
      <c r="DO710">
        <f>IF(ISBLANK('Data Entry'!$·$710), "", 'Data Entry'!$·$710)</f>
      </c>
      <c r="DP710">
        <f>IF(ISBLANK('Data Entry'!$¸$710), "", 'Data Entry'!$¸$710)</f>
      </c>
      <c r="DQ710">
        <f>IF(ISBLANK('Data Entry'!$¹$710), "", 'Data Entry'!$¹$710)</f>
      </c>
      <c r="DR710">
        <f>IF(ISBLANK('Data Entry'!$º$710), "", 'Data Entry'!$º$710)</f>
      </c>
      <c r="DS710">
        <f>IF(ISBLANK('Data Entry'!$»$710), "", 'Data Entry'!$»$710)</f>
      </c>
      <c r="DT710">
        <f>IF(ISBLANK('Data Entry'!$¼$710), "", 'Data Entry'!$¼$710)</f>
      </c>
      <c r="DU710">
        <f>IF(ISBLANK('Data Entry'!$½$710), "", 'Data Entry'!$½$710)</f>
      </c>
      <c r="DV710">
        <f>IF(ISBLANK('Data Entry'!$¾$710), "", 'Data Entry'!$¾$710)</f>
      </c>
      <c r="DW710">
        <f>IF(ISBLANK('Data Entry'!$¿$710), "", 'Data Entry'!$¿$710)</f>
      </c>
      <c r="DX710">
        <f>IF(ISBLANK('Data Entry'!$À$710), "", 'Data Entry'!$À$710)</f>
      </c>
      <c r="DY710">
        <f>IF(ISBLANK('Data Entry'!$Á$710), "", 'Data Entry'!$Á$710)</f>
      </c>
      <c r="DZ710">
        <f>IF(ISBLANK('Data Entry'!$Â$710), "", 'Data Entry'!$Â$710)</f>
      </c>
      <c r="EA710">
        <f>IF(ISBLANK('Data Entry'!$Ã$710), "", 'Data Entry'!$Ã$710)</f>
      </c>
      <c r="EB710">
        <f>IF(ISBLANK('Data Entry'!$Ä$710), "", 'Data Entry'!$Ä$710)</f>
      </c>
      <c r="EC710">
        <f>IF(ISBLANK('Data Entry'!$Å$710), "", 'Data Entry'!$Å$710)</f>
      </c>
      <c r="ED710">
        <f>IF(ISBLANK('Data Entry'!$Æ$710), "", 'Data Entry'!$Æ$710)</f>
      </c>
      <c r="EE710">
        <f>IF(ISBLANK('Data Entry'!$Ç$710), "", 'Data Entry'!$Ç$710)</f>
      </c>
      <c r="EF710">
        <f>IF(ISBLANK('Data Entry'!$È$710), "", 'Data Entry'!$È$710)</f>
      </c>
      <c r="EG710">
        <f>IF(ISBLANK('Data Entry'!$É$710), "", 'Data Entry'!$É$710)</f>
      </c>
      <c r="EH710">
        <f>IF(ISBLANK('Data Entry'!$Ê$710), "", 'Data Entry'!$Ê$710)</f>
      </c>
      <c r="EI710">
        <f>IF(ISBLANK('Data Entry'!$Ë$710), "", 'Data Entry'!$Ë$710)</f>
      </c>
      <c r="EJ710">
        <f>IF(ISBLANK('Data Entry'!$Ì$710), "", 'Data Entry'!$Ì$710)</f>
      </c>
      <c r="EK710">
        <f>IF(ISBLANK('Data Entry'!$Í$710), "", 'Data Entry'!$Í$710)</f>
      </c>
      <c r="EL710">
        <f>IF(ISBLANK('Data Entry'!$Î$710), "", 'Data Entry'!$Î$710)</f>
      </c>
      <c r="EM710">
        <f>IF(ISBLANK('Data Entry'!$Ï$710), "", 'Data Entry'!$Ï$710)</f>
      </c>
      <c r="EN710">
        <f>IF(ISBLANK('Data Entry'!$Ð$710), "", 'Data Entry'!$Ð$710)</f>
      </c>
      <c r="EO710">
        <f>IF(ISBLANK('Data Entry'!$Ñ$710), "", 'Data Entry'!$Ñ$710)</f>
      </c>
      <c r="EP710">
        <f>IF(ISBLANK('Data Entry'!$Ò$710), "", 'Data Entry'!$Ò$710)</f>
      </c>
      <c r="EQ710">
        <f>IF(ISBLANK('Data Entry'!$Ó$710), "", 'Data Entry'!$Ó$710)</f>
      </c>
      <c r="ER710">
        <f>IF(ISBLANK('Data Entry'!$Ô$710), "", 'Data Entry'!$Ô$710)</f>
      </c>
      <c r="ES710">
        <f>IF(ISBLANK('Data Entry'!$Õ$710), "", 'Data Entry'!$Õ$710)</f>
      </c>
      <c r="ET710">
        <f>IF(ISBLANK('Data Entry'!$Ö$710), "", 'Data Entry'!$Ö$710)</f>
      </c>
      <c r="EU710">
        <f>IF(ISBLANK('Data Entry'!$×$710), "", 'Data Entry'!$×$710)</f>
      </c>
      <c r="EV710">
        <f>IF(ISBLANK('Data Entry'!$Ø$710), "", 'Data Entry'!$Ø$710)</f>
      </c>
      <c r="EW710">
        <f>IF(ISBLANK('Data Entry'!$Ù$710), "", 'Data Entry'!$Ù$710)</f>
      </c>
      <c r="EX710">
        <f>IF(ISBLANK('Data Entry'!$Ú$710), "", 'Data Entry'!$Ú$710)</f>
      </c>
      <c r="EY710">
        <f>IF(ISBLANK('Data Entry'!$Û$710), "", 'Data Entry'!$Û$710)</f>
      </c>
      <c r="EZ710">
        <f>IF(ISBLANK('Data Entry'!$Ü$710), "", 'Data Entry'!$Ü$710)</f>
      </c>
      <c r="FA710">
        <f>IF(ISBLANK('Data Entry'!$Ý$710), "", 'Data Entry'!$Ý$710)</f>
      </c>
      <c r="FB710">
        <f>IF(ISBLANK('Data Entry'!$Þ$710), "", 'Data Entry'!$Þ$710)</f>
      </c>
      <c r="FC710">
        <f>IF(ISBLANK('Data Entry'!$ß$710), "", 'Data Entry'!$ß$710)</f>
      </c>
      <c r="FD710">
        <f>IF(ISBLANK('Data Entry'!$à$710), "", 'Data Entry'!$à$710)</f>
      </c>
      <c r="FE710">
        <f>IF(ISBLANK('Data Entry'!$á$710), "", 'Data Entry'!$á$710)</f>
      </c>
      <c r="FF710">
        <f>IF(ISBLANK('Data Entry'!$â$710), "", 'Data Entry'!$â$710)</f>
      </c>
      <c r="FG710">
        <f>IF(ISBLANK('Data Entry'!$ã$710), "", 'Data Entry'!$ã$710)</f>
      </c>
      <c r="FH710">
        <f>IF(ISBLANK('Data Entry'!$ä$710), "", 'Data Entry'!$ä$710)</f>
      </c>
      <c r="FI710">
        <f>IF(ISBLANK('Data Entry'!$å$710), "", 'Data Entry'!$å$710)</f>
      </c>
      <c r="FJ710">
        <f>IF(ISBLANK('Data Entry'!$æ$710), "", 'Data Entry'!$æ$710)</f>
      </c>
      <c r="FK710">
        <f>IF(ISBLANK('Data Entry'!$ç$710), "", 'Data Entry'!$ç$710)</f>
      </c>
      <c r="FL710">
        <f>IF(ISBLANK('Data Entry'!$è$710), "", 'Data Entry'!$è$710)</f>
      </c>
      <c r="FM710">
        <f>IF(ISBLANK('Data Entry'!$é$710), "", 'Data Entry'!$é$710)</f>
      </c>
      <c r="FN710">
        <f>IF(ISBLANK('Data Entry'!$ê$710), "", 'Data Entry'!$ê$710)</f>
      </c>
      <c r="FO710">
        <f>IF(ISBLANK('Data Entry'!$ë$710), "", 'Data Entry'!$ë$710)</f>
      </c>
      <c r="FP710">
        <f>IF(ISBLANK('Data Entry'!$ì$710), "", 'Data Entry'!$ì$710)</f>
      </c>
      <c r="FQ710">
        <f>IF(ISBLANK('Data Entry'!$í$710), "", 'Data Entry'!$í$710)</f>
      </c>
      <c r="FR710">
        <f>IF(ISBLANK('Data Entry'!$î$710), "", 'Data Entry'!$î$710)</f>
      </c>
      <c r="FS710">
        <f>IF(ISBLANK('Data Entry'!$ï$710), "", 'Data Entry'!$ï$710)</f>
      </c>
      <c r="FT710">
        <f>IF(ISBLANK('Data Entry'!$ð$710), "", 'Data Entry'!$ð$710)</f>
      </c>
      <c r="FU710">
        <f>IF(ISBLANK('Data Entry'!$ñ$710), "", 'Data Entry'!$ñ$710)</f>
      </c>
      <c r="FV710">
        <f>IF(ISBLANK('Data Entry'!$ò$710), "", 'Data Entry'!$ò$710)</f>
      </c>
      <c r="FW710">
        <f>IF(ISBLANK('Data Entry'!$ó$710), "", 'Data Entry'!$ó$710)</f>
      </c>
      <c r="FX710">
        <f>IF(ISBLANK('Data Entry'!$ô$710), "", 'Data Entry'!$ô$710)</f>
      </c>
      <c r="FY710">
        <f>IF(ISBLANK('Data Entry'!$õ$710), "", 'Data Entry'!$õ$710)</f>
      </c>
      <c r="FZ710">
        <f>IF(ISBLANK('Data Entry'!$ö$710), "", 'Data Entry'!$ö$710)</f>
      </c>
      <c r="GA710">
        <f>IF(ISBLANK('Data Entry'!$÷$710), "", 'Data Entry'!$÷$710)</f>
      </c>
      <c r="GB710">
        <f>IF(ISBLANK('Data Entry'!$ø$710), "", 'Data Entry'!$ø$710)</f>
      </c>
      <c r="GC710">
        <f>IF(ISBLANK('Data Entry'!$ù$710), "", 'Data Entry'!$ù$710)</f>
      </c>
      <c r="GD710">
        <f>IF(ISBLANK('Data Entry'!$ú$710), "", 'Data Entry'!$ú$710)</f>
      </c>
      <c r="GE710">
        <f>IF(ISBLANK('Data Entry'!$û$710), "", 'Data Entry'!$û$710)</f>
      </c>
      <c r="GF710">
        <f>IF(ISBLANK('Data Entry'!$ü$710), "", 'Data Entry'!$ü$710)</f>
      </c>
      <c r="GG710">
        <f>IF(ISBLANK('Data Entry'!$ý$710), "", 'Data Entry'!$ý$710)</f>
      </c>
      <c r="GH710">
        <f>IF(ISBLANK('Data Entry'!$þ$710), "", 'Data Entry'!$þ$710)</f>
      </c>
      <c r="GI710">
        <f>IF(ISBLANK('Data Entry'!$ÿ$710), "", 'Data Entry'!$ÿ$710)</f>
      </c>
      <c r="GJ710">
        <f>IF(ISBLANK('Data Entry'!$Ā$710), "", 'Data Entry'!$Ā$710)</f>
      </c>
      <c r="GK710">
        <f>IF(ISBLANK('Data Entry'!$ā$710), "", 'Data Entry'!$ā$710)</f>
      </c>
      <c r="GL710">
        <f>IF(ISBLANK('Data Entry'!$Ă$710), "", 'Data Entry'!$Ă$710)</f>
      </c>
      <c r="GM710">
        <f>IF(ISBLANK('Data Entry'!$ă$710), "", 'Data Entry'!$ă$710)</f>
      </c>
      <c r="GN710">
        <f>IF(ISBLANK('Data Entry'!$Ą$710), "", 'Data Entry'!$Ą$710)</f>
      </c>
      <c r="GO710">
        <f>IF(ISBLANK('Data Entry'!$ą$710), "", 'Data Entry'!$ą$710)</f>
      </c>
      <c r="GP710">
        <f>IF(ISBLANK('Data Entry'!$Ć$710), "", 'Data Entry'!$Ć$710)</f>
      </c>
      <c r="GQ710">
        <f>IF(ISBLANK('Data Entry'!$ć$710), "", 'Data Entry'!$ć$710)</f>
      </c>
      <c r="GR710">
        <f>IF(ISBLANK('Data Entry'!$Ĉ$710), "", 'Data Entry'!$Ĉ$710)</f>
      </c>
      <c r="GS710">
        <f>IF(ISBLANK('Data Entry'!$ĉ$710), "", 'Data Entry'!$ĉ$710)</f>
      </c>
      <c r="GT710">
        <f>IF(ISBLANK('Data Entry'!$Ċ$710), "", 'Data Entry'!$Ċ$710)</f>
      </c>
      <c r="GU710">
        <f>IF(ISBLANK('Data Entry'!$ċ$710), "", 'Data Entry'!$ċ$710)</f>
      </c>
      <c r="GV710">
        <f>IF(ISBLANK('Data Entry'!$Č$710), "", 'Data Entry'!$Č$710)</f>
      </c>
      <c r="GW710">
        <f>IF(ISBLANK('Data Entry'!$č$710), "", 'Data Entry'!$č$710)</f>
      </c>
      <c r="GX710">
        <f>IF(ISBLANK('Data Entry'!$Ď$710), "", 'Data Entry'!$Ď$710)</f>
      </c>
      <c r="GY710">
        <f>IF(ISBLANK('Data Entry'!$ď$710), "", 'Data Entry'!$ď$710)</f>
      </c>
      <c r="GZ710">
        <f>IF(ISBLANK('Data Entry'!$Đ$710), "", 'Data Entry'!$Đ$710)</f>
      </c>
      <c r="HA710">
        <f>IF(ISBLANK('Data Entry'!$đ$710), "", 'Data Entry'!$đ$710)</f>
      </c>
      <c r="HB710">
        <f>IF(ISBLANK('Data Entry'!$Ē$710), "", 'Data Entry'!$Ē$710)</f>
      </c>
      <c r="HC710">
        <f>IF(ISBLANK('Data Entry'!$ē$710), "", 'Data Entry'!$ē$710)</f>
      </c>
      <c r="HD710">
        <f>IF(ISBLANK('Data Entry'!$Ĕ$710), "", 'Data Entry'!$Ĕ$710)</f>
      </c>
      <c r="HE710">
        <f>IF(ISBLANK('Data Entry'!$ĕ$710), "", 'Data Entry'!$ĕ$710)</f>
      </c>
      <c r="HF710">
        <f>IF(ISBLANK('Data Entry'!$Ė$710), "", 'Data Entry'!$Ė$710)</f>
      </c>
      <c r="HG710">
        <f>IF(ISBLANK('Data Entry'!$ė$710), "", 'Data Entry'!$ė$710)</f>
      </c>
      <c r="HH710">
        <f>IF(ISBLANK('Data Entry'!$Ę$710), "", 'Data Entry'!$Ę$710)</f>
      </c>
      <c r="HI710">
        <f>IF(ISBLANK('Data Entry'!$ę$710), "", 'Data Entry'!$ę$710)</f>
      </c>
      <c r="HJ710">
        <f>IF(ISBLANK('Data Entry'!$Ě$710), "", 'Data Entry'!$Ě$710)</f>
      </c>
      <c r="HK710">
        <f>IF(ISBLANK('Data Entry'!$ě$710), "", 'Data Entry'!$ě$710)</f>
      </c>
      <c r="HL710">
        <f>IF(ISBLANK('Data Entry'!$Ĝ$710), "", 'Data Entry'!$Ĝ$710)</f>
      </c>
      <c r="HM710">
        <f>IF(ISBLANK('Data Entry'!$ĝ$710), "", 'Data Entry'!$ĝ$710)</f>
      </c>
      <c r="HN710">
        <f>IF(ISBLANK('Data Entry'!$Ğ$710), "", 'Data Entry'!$Ğ$710)</f>
      </c>
      <c r="HO710">
        <f>IF(ISBLANK('Data Entry'!$ğ$710), "", 'Data Entry'!$ğ$710)</f>
      </c>
      <c r="HP710">
        <f>IF(ISBLANK('Data Entry'!$Ġ$710), "", 'Data Entry'!$Ġ$710)</f>
      </c>
      <c r="HQ710">
        <f>IF(ISBLANK('Data Entry'!$ġ$710), "", 'Data Entry'!$ġ$710)</f>
      </c>
      <c r="HR710">
        <f>IF(ISBLANK('Data Entry'!$Ģ$710), "", 'Data Entry'!$Ģ$710)</f>
      </c>
      <c r="HS710">
        <f>IF(ISBLANK('Data Entry'!$ģ$710), "", 'Data Entry'!$ģ$710)</f>
      </c>
      <c r="HT710">
        <f>IF(ISBLANK('Data Entry'!$Ĥ$710), "", 'Data Entry'!$Ĥ$710)</f>
      </c>
      <c r="HU710">
        <f>IF(ISBLANK('Data Entry'!$ĥ$710), "", 'Data Entry'!$ĥ$710)</f>
      </c>
      <c r="HV710">
        <f>IF(ISBLANK('Data Entry'!$Ħ$710), "", 'Data Entry'!$Ħ$710)</f>
      </c>
      <c r="HW710">
        <f>IF(ISBLANK('Data Entry'!$ħ$710), "", 'Data Entry'!$ħ$710)</f>
      </c>
      <c r="HX710">
        <f>IF(ISBLANK('Data Entry'!$Ĩ$710), "", 'Data Entry'!$Ĩ$710)</f>
      </c>
      <c r="HY710">
        <f>IF(ISBLANK('Data Entry'!$ĩ$710), "", 'Data Entry'!$ĩ$710)</f>
      </c>
      <c r="HZ710">
        <f>IF(ISBLANK('Data Entry'!$Ī$710), "", 'Data Entry'!$Ī$710)</f>
      </c>
      <c r="IA710">
        <f>IF(ISBLANK('Data Entry'!$ī$710), "", 'Data Entry'!$ī$710)</f>
      </c>
      <c r="IB710">
        <f>IF(ISBLANK('Data Entry'!$Ĭ$710), "", 'Data Entry'!$Ĭ$710)</f>
      </c>
      <c r="IC710">
        <f>IF(ISBLANK('Data Entry'!$ĭ$710), "", 'Data Entry'!$ĭ$710)</f>
      </c>
      <c r="ID710">
        <f>IF(ISBLANK('Data Entry'!$Į$710), "", 'Data Entry'!$Į$710)</f>
      </c>
      <c r="IE710">
        <f>IF(ISBLANK('Data Entry'!$į$710), "", 'Data Entry'!$į$710)</f>
      </c>
      <c r="IF710">
        <f>IF(ISBLANK('Data Entry'!$İ$710), "", 'Data Entry'!$İ$710)</f>
      </c>
      <c r="IG710">
        <f>IF(ISBLANK('Data Entry'!$ı$710), "", 'Data Entry'!$ı$710)</f>
      </c>
      <c r="IH710">
        <f>IF(ISBLANK('Data Entry'!$Ĳ$710), "", 'Data Entry'!$Ĳ$710)</f>
      </c>
      <c r="II710">
        <f>IF(ISBLANK('Data Entry'!$ĳ$710), "", 'Data Entry'!$ĳ$710)</f>
      </c>
      <c r="IJ710">
        <f>IF(ISBLANK('Data Entry'!$Ĵ$710), "", 'Data Entry'!$Ĵ$710)</f>
      </c>
      <c r="IK710">
        <f>IF(ISBLANK('Data Entry'!$ĵ$710), "", 'Data Entry'!$ĵ$710)</f>
      </c>
      <c r="IL710">
        <f>IF(ISBLANK('Data Entry'!$Ķ$710), "", 'Data Entry'!$Ķ$710)</f>
      </c>
      <c r="IM710">
        <f>IF(ISBLANK('Data Entry'!$ķ$710), "", 'Data Entry'!$ķ$710)</f>
      </c>
      <c r="IN710">
        <f>IF(ISBLANK('Data Entry'!$ĸ$710), "", 'Data Entry'!$ĸ$710)</f>
      </c>
      <c r="IO710">
        <f>IF(ISBLANK('Data Entry'!$Ĺ$710), "", 'Data Entry'!$Ĺ$710)</f>
      </c>
      <c r="IP710">
        <f>IF(ISBLANK('Data Entry'!$ĺ$710), "", 'Data Entry'!$ĺ$710)</f>
      </c>
      <c r="IQ710">
        <f>IF(ISBLANK('Data Entry'!$Ļ$710), "", 'Data Entry'!$Ļ$710)</f>
      </c>
      <c r="IR710">
        <f>IF(ISBLANK('Data Entry'!$ļ$710), "", 'Data Entry'!$ļ$710)</f>
      </c>
      <c r="IS710">
        <f>IF(ISBLANK('Data Entry'!$Ľ$710), "", 'Data Entry'!$Ľ$710)</f>
      </c>
      <c r="IT710">
        <f>IF(ISBLANK('Data Entry'!$ľ$710), "", 'Data Entry'!$ľ$710)</f>
      </c>
    </row>
    <row r="711" spans="1:254" x14ac:dyDescent="0.25">
      <c r="A711">
        <f>IF(ISBLANK('Data Entry'!$A$711), "", 'Data Entry'!$A$711)</f>
      </c>
      <c r="B711">
        <f>IF(ISBLANK('Data Entry'!$B$711), "", 'Data Entry'!$B$711)</f>
      </c>
      <c r="C711">
        <f>IF(ISBLANK('Data Entry'!$C$711), "", 'Data Entry'!$C$711)</f>
      </c>
      <c r="D711">
        <f>IF(ISBLANK('Data Entry'!$D$711), "", 'Data Entry'!$D$711)</f>
      </c>
      <c r="E711">
        <f>IF(ISBLANK('Data Entry'!$E$711), "", 'Data Entry'!$E$711)</f>
      </c>
      <c r="F711">
        <f>IF(ISBLANK('Data Entry'!$F$711), "", 'Data Entry'!$F$711)</f>
      </c>
      <c r="G711">
        <f>IF(ISBLANK('Data Entry'!$G$711), "", 'Data Entry'!$G$711)</f>
      </c>
      <c r="H711">
        <f>IF(ISBLANK('Data Entry'!$H$711), "", 'Data Entry'!$H$711)</f>
      </c>
      <c r="I711">
        <f>IF(ISBLANK('Data Entry'!$I$711), "", 'Data Entry'!$I$711)</f>
      </c>
      <c r="J711">
        <f>IF(ISBLANK('Data Entry'!$J$711), "", 'Data Entry'!$J$711)</f>
      </c>
      <c r="K711">
        <f>IF(ISBLANK('Data Entry'!$K$711), "", 'Data Entry'!$K$711)</f>
      </c>
      <c r="L711">
        <f>IF(ISBLANK('Data Entry'!$L$711), "", 'Data Entry'!$L$711)</f>
      </c>
      <c r="M711">
        <f>IF(ISBLANK('Data Entry'!$M$711), "", 'Data Entry'!$M$711)</f>
      </c>
      <c r="N711">
        <f>IF(ISBLANK('Data Entry'!$N$711), "", 'Data Entry'!$N$711)</f>
      </c>
      <c r="O711">
        <f>IF(ISBLANK('Data Entry'!$O$711), "", 'Data Entry'!$O$711)</f>
      </c>
      <c r="P711">
        <f>IF(ISBLANK('Data Entry'!$P$711), "", 'Data Entry'!$P$711)</f>
      </c>
      <c r="Q711">
        <f>IF(ISBLANK('Data Entry'!$Q$711), "", 'Data Entry'!$Q$711)</f>
      </c>
      <c r="R711">
        <f>IF(ISBLANK('Data Entry'!$R$711), "", 'Data Entry'!$R$711)</f>
      </c>
      <c r="S711">
        <f>IF(ISBLANK('Data Entry'!$S$711), "", 'Data Entry'!$S$711)</f>
      </c>
      <c r="T711">
        <f>IF(ISBLANK('Data Entry'!$T$711), "", 'Data Entry'!$T$711)</f>
      </c>
      <c r="U711">
        <f>IF(ISBLANK('Data Entry'!$U$711), "", 'Data Entry'!$U$711)</f>
      </c>
      <c r="V711">
        <f>IF(ISBLANK('Data Entry'!$V$711), "", 'Data Entry'!$V$711)</f>
      </c>
      <c r="W711">
        <f>IF(ISBLANK('Data Entry'!$W$711), "", 'Data Entry'!$W$711)</f>
      </c>
      <c r="X711">
        <f>IF(ISBLANK('Data Entry'!$X$711), "", 'Data Entry'!$X$711)</f>
      </c>
      <c r="Y711">
        <f>IF(ISBLANK('Data Entry'!$Y$711), "", 'Data Entry'!$Y$711)</f>
      </c>
      <c r="Z711">
        <f>IF(ISBLANK('Data Entry'!$Z$711), "", 'Data Entry'!$Z$711)</f>
      </c>
      <c r="AA711">
        <f>IF(ISBLANK('Data Entry'!$[$711), "", 'Data Entry'!$[$711)</f>
      </c>
      <c r="AB711">
        <f>IF(ISBLANK('Data Entry'!$\$711), "", 'Data Entry'!$\$711)</f>
      </c>
      <c r="AC711">
        <f>IF(ISBLANK('Data Entry'!$]$711), "", 'Data Entry'!$]$711)</f>
      </c>
      <c r="AD711">
        <f>IF(ISBLANK('Data Entry'!$^$711), "", 'Data Entry'!$^$711)</f>
      </c>
      <c r="AE711">
        <f>IF(ISBLANK('Data Entry'!$_$711), "", 'Data Entry'!$_$711)</f>
      </c>
      <c r="AF711">
        <f>IF(ISBLANK('Data Entry'!$`$711), "", 'Data Entry'!$`$711)</f>
      </c>
      <c r="AG711">
        <f>IF(ISBLANK('Data Entry'!$a$711), "", 'Data Entry'!$a$711)</f>
      </c>
      <c r="AH711">
        <f>IF(ISBLANK('Data Entry'!$b$711), "", 'Data Entry'!$b$711)</f>
      </c>
      <c r="AI711">
        <f>IF(ISBLANK('Data Entry'!$c$711), "", 'Data Entry'!$c$711)</f>
      </c>
      <c r="AJ711">
        <f>IF(ISBLANK('Data Entry'!$d$711), "", 'Data Entry'!$d$711)</f>
      </c>
      <c r="AK711">
        <f>IF(ISBLANK('Data Entry'!$e$711), "", 'Data Entry'!$e$711)</f>
      </c>
      <c r="AL711">
        <f>IF(ISBLANK('Data Entry'!$f$711), "", 'Data Entry'!$f$711)</f>
      </c>
      <c r="AM711">
        <f>IF(ISBLANK('Data Entry'!$g$711), "", 'Data Entry'!$g$711)</f>
      </c>
      <c r="AN711">
        <f>IF(ISBLANK('Data Entry'!$h$711), "", 'Data Entry'!$h$711)</f>
      </c>
      <c r="AO711">
        <f>IF(ISBLANK('Data Entry'!$i$711), "", 'Data Entry'!$i$711)</f>
      </c>
      <c r="AP711">
        <f>IF(ISBLANK('Data Entry'!$j$711), "", 'Data Entry'!$j$711)</f>
      </c>
      <c r="AQ711">
        <f>IF(ISBLANK('Data Entry'!$k$711), "", 'Data Entry'!$k$711)</f>
      </c>
      <c r="AR711">
        <f>IF(ISBLANK('Data Entry'!$l$711), "", 'Data Entry'!$l$711)</f>
      </c>
      <c r="AS711">
        <f>IF(ISBLANK('Data Entry'!$m$711), "", 'Data Entry'!$m$711)</f>
      </c>
      <c r="AT711">
        <f>IF(ISBLANK('Data Entry'!$n$711), "", 'Data Entry'!$n$711)</f>
      </c>
      <c r="AU711">
        <f>IF(ISBLANK('Data Entry'!$o$711), "", 'Data Entry'!$o$711)</f>
      </c>
      <c r="AV711">
        <f>IF(ISBLANK('Data Entry'!$p$711), "", 'Data Entry'!$p$711)</f>
      </c>
      <c r="AW711">
        <f>IF(ISBLANK('Data Entry'!$q$711), "", 'Data Entry'!$q$711)</f>
      </c>
      <c r="AX711">
        <f>IF(ISBLANK('Data Entry'!$r$711), "", 'Data Entry'!$r$711)</f>
      </c>
      <c r="AY711">
        <f>IF(ISBLANK('Data Entry'!$s$711), "", 'Data Entry'!$s$711)</f>
      </c>
      <c r="AZ711">
        <f>IF(ISBLANK('Data Entry'!$t$711), "", 'Data Entry'!$t$711)</f>
      </c>
      <c r="BA711">
        <f>IF(ISBLANK('Data Entry'!$u$711), "", 'Data Entry'!$u$711)</f>
      </c>
      <c r="BB711">
        <f>IF(ISBLANK('Data Entry'!$v$711), "", 'Data Entry'!$v$711)</f>
      </c>
      <c r="BC711">
        <f>IF(ISBLANK('Data Entry'!$w$711), "", 'Data Entry'!$w$711)</f>
      </c>
      <c r="BD711">
        <f>IF(ISBLANK('Data Entry'!$x$711), "", 'Data Entry'!$x$711)</f>
      </c>
      <c r="BE711">
        <f>IF(ISBLANK('Data Entry'!$y$711), "", 'Data Entry'!$y$711)</f>
      </c>
      <c r="BF711">
        <f>IF(ISBLANK('Data Entry'!$z$711), "", 'Data Entry'!$z$711)</f>
      </c>
      <c r="BG711">
        <f>IF(ISBLANK('Data Entry'!${$711), "", 'Data Entry'!${$711)</f>
      </c>
      <c r="BH711">
        <f>IF(ISBLANK('Data Entry'!$|$711), "", 'Data Entry'!$|$711)</f>
      </c>
      <c r="BI711">
        <f>IF(ISBLANK('Data Entry'!$}$711), "", 'Data Entry'!$}$711)</f>
      </c>
      <c r="BJ711">
        <f>IF(ISBLANK('Data Entry'!$~$711), "", 'Data Entry'!$~$711)</f>
      </c>
      <c r="BK711">
        <f>IF(ISBLANK('Data Entry'!$$711), "", 'Data Entry'!$$711)</f>
      </c>
      <c r="BL711">
        <f>IF(ISBLANK('Data Entry'!$$711), "", 'Data Entry'!$$711)</f>
      </c>
      <c r="BM711">
        <f>IF(ISBLANK('Data Entry'!$$711), "", 'Data Entry'!$$711)</f>
      </c>
      <c r="BN711">
        <f>IF(ISBLANK('Data Entry'!$$711), "", 'Data Entry'!$$711)</f>
      </c>
      <c r="BO711">
        <f>IF(ISBLANK('Data Entry'!$$711), "", 'Data Entry'!$$711)</f>
      </c>
      <c r="BP711">
        <f>IF(ISBLANK('Data Entry'!$$711), "", 'Data Entry'!$$711)</f>
      </c>
      <c r="BQ711">
        <f>IF(ISBLANK('Data Entry'!$$711), "", 'Data Entry'!$$711)</f>
      </c>
      <c r="BR711">
        <f>IF(ISBLANK('Data Entry'!$$711), "", 'Data Entry'!$$711)</f>
      </c>
      <c r="BS711">
        <f>IF(ISBLANK('Data Entry'!$$711), "", 'Data Entry'!$$711)</f>
      </c>
      <c r="BT711">
        <f>IF(ISBLANK('Data Entry'!$$711), "", 'Data Entry'!$$711)</f>
      </c>
      <c r="BU711">
        <f>IF(ISBLANK('Data Entry'!$$711), "", 'Data Entry'!$$711)</f>
      </c>
      <c r="BV711">
        <f>IF(ISBLANK('Data Entry'!$$711), "", 'Data Entry'!$$711)</f>
      </c>
      <c r="BW711">
        <f>IF(ISBLANK('Data Entry'!$$711), "", 'Data Entry'!$$711)</f>
      </c>
      <c r="BX711">
        <f>IF(ISBLANK('Data Entry'!$$711), "", 'Data Entry'!$$711)</f>
      </c>
      <c r="BY711">
        <f>IF(ISBLANK('Data Entry'!$$711), "", 'Data Entry'!$$711)</f>
      </c>
      <c r="BZ711">
        <f>IF(ISBLANK('Data Entry'!$$711), "", 'Data Entry'!$$711)</f>
      </c>
      <c r="CA711">
        <f>IF(ISBLANK('Data Entry'!$$711), "", 'Data Entry'!$$711)</f>
      </c>
      <c r="CB711">
        <f>IF(ISBLANK('Data Entry'!$$711), "", 'Data Entry'!$$711)</f>
      </c>
      <c r="CC711">
        <f>IF(ISBLANK('Data Entry'!$$711), "", 'Data Entry'!$$711)</f>
      </c>
      <c r="CD711">
        <f>IF(ISBLANK('Data Entry'!$$711), "", 'Data Entry'!$$711)</f>
      </c>
      <c r="CE711">
        <f>IF(ISBLANK('Data Entry'!$$711), "", 'Data Entry'!$$711)</f>
      </c>
      <c r="CF711">
        <f>IF(ISBLANK('Data Entry'!$$711), "", 'Data Entry'!$$711)</f>
      </c>
      <c r="CG711">
        <f>IF(ISBLANK('Data Entry'!$$711), "", 'Data Entry'!$$711)</f>
      </c>
      <c r="CH711">
        <f>IF(ISBLANK('Data Entry'!$$711), "", 'Data Entry'!$$711)</f>
      </c>
      <c r="CI711">
        <f>IF(ISBLANK('Data Entry'!$$711), "", 'Data Entry'!$$711)</f>
      </c>
      <c r="CJ711">
        <f>IF(ISBLANK('Data Entry'!$$711), "", 'Data Entry'!$$711)</f>
      </c>
      <c r="CK711">
        <f>IF(ISBLANK('Data Entry'!$$711), "", 'Data Entry'!$$711)</f>
      </c>
      <c r="CL711">
        <f>IF(ISBLANK('Data Entry'!$$711), "", 'Data Entry'!$$711)</f>
      </c>
      <c r="CM711">
        <f>IF(ISBLANK('Data Entry'!$$711), "", 'Data Entry'!$$711)</f>
      </c>
      <c r="CN711">
        <f>IF(ISBLANK('Data Entry'!$$711), "", 'Data Entry'!$$711)</f>
      </c>
      <c r="CO711">
        <f>IF(ISBLANK('Data Entry'!$$711), "", 'Data Entry'!$$711)</f>
      </c>
      <c r="CP711">
        <f>IF(ISBLANK('Data Entry'!$$711), "", 'Data Entry'!$$711)</f>
      </c>
      <c r="CQ711">
        <f>IF(ISBLANK('Data Entry'!$$711), "", 'Data Entry'!$$711)</f>
      </c>
      <c r="CR711">
        <f>IF(ISBLANK('Data Entry'!$ $711), "", 'Data Entry'!$ $711)</f>
      </c>
      <c r="CS711">
        <f>IF(ISBLANK('Data Entry'!$¡$711), "", 'Data Entry'!$¡$711)</f>
      </c>
      <c r="CT711">
        <f>IF(ISBLANK('Data Entry'!$¢$711), "", 'Data Entry'!$¢$711)</f>
      </c>
      <c r="CU711">
        <f>IF(ISBLANK('Data Entry'!$£$711), "", 'Data Entry'!$£$711)</f>
      </c>
      <c r="CV711">
        <f>IF(ISBLANK('Data Entry'!$¤$711), "", 'Data Entry'!$¤$711)</f>
      </c>
      <c r="CW711">
        <f>IF(ISBLANK('Data Entry'!$¥$711), "", 'Data Entry'!$¥$711)</f>
      </c>
      <c r="CX711">
        <f>IF(ISBLANK('Data Entry'!$¦$711), "", 'Data Entry'!$¦$711)</f>
      </c>
      <c r="CY711">
        <f>IF(ISBLANK('Data Entry'!$§$711), "", 'Data Entry'!$§$711)</f>
      </c>
      <c r="CZ711">
        <f>IF(ISBLANK('Data Entry'!$¨$711), "", 'Data Entry'!$¨$711)</f>
      </c>
      <c r="DA711">
        <f>IF(ISBLANK('Data Entry'!$©$711), "", 'Data Entry'!$©$711)</f>
      </c>
      <c r="DB711">
        <f>IF(ISBLANK('Data Entry'!$ª$711), "", 'Data Entry'!$ª$711)</f>
      </c>
      <c r="DC711">
        <f>IF(ISBLANK('Data Entry'!$«$711), "", 'Data Entry'!$«$711)</f>
      </c>
      <c r="DD711">
        <f>IF(ISBLANK('Data Entry'!$¬$711), "", 'Data Entry'!$¬$711)</f>
      </c>
      <c r="DE711">
        <f>IF(ISBLANK('Data Entry'!$­$711), "", 'Data Entry'!$­$711)</f>
      </c>
      <c r="DF711">
        <f>IF(ISBLANK('Data Entry'!$®$711), "", 'Data Entry'!$®$711)</f>
      </c>
      <c r="DG711">
        <f>IF(ISBLANK('Data Entry'!$¯$711), "", 'Data Entry'!$¯$711)</f>
      </c>
      <c r="DH711">
        <f>IF(ISBLANK('Data Entry'!$°$711), "", 'Data Entry'!$°$711)</f>
      </c>
      <c r="DI711">
        <f>IF(ISBLANK('Data Entry'!$±$711), "", 'Data Entry'!$±$711)</f>
      </c>
      <c r="DJ711">
        <f>IF(ISBLANK('Data Entry'!$²$711), "", 'Data Entry'!$²$711)</f>
      </c>
      <c r="DK711">
        <f>IF(ISBLANK('Data Entry'!$³$711), "", 'Data Entry'!$³$711)</f>
      </c>
      <c r="DL711">
        <f>IF(ISBLANK('Data Entry'!$´$711), "", 'Data Entry'!$´$711)</f>
      </c>
      <c r="DM711">
        <f>IF(ISBLANK('Data Entry'!$µ$711), "", 'Data Entry'!$µ$711)</f>
      </c>
      <c r="DN711">
        <f>IF(ISBLANK('Data Entry'!$¶$711), "", 'Data Entry'!$¶$711)</f>
      </c>
      <c r="DO711">
        <f>IF(ISBLANK('Data Entry'!$·$711), "", 'Data Entry'!$·$711)</f>
      </c>
      <c r="DP711">
        <f>IF(ISBLANK('Data Entry'!$¸$711), "", 'Data Entry'!$¸$711)</f>
      </c>
      <c r="DQ711">
        <f>IF(ISBLANK('Data Entry'!$¹$711), "", 'Data Entry'!$¹$711)</f>
      </c>
      <c r="DR711">
        <f>IF(ISBLANK('Data Entry'!$º$711), "", 'Data Entry'!$º$711)</f>
      </c>
      <c r="DS711">
        <f>IF(ISBLANK('Data Entry'!$»$711), "", 'Data Entry'!$»$711)</f>
      </c>
      <c r="DT711">
        <f>IF(ISBLANK('Data Entry'!$¼$711), "", 'Data Entry'!$¼$711)</f>
      </c>
      <c r="DU711">
        <f>IF(ISBLANK('Data Entry'!$½$711), "", 'Data Entry'!$½$711)</f>
      </c>
      <c r="DV711">
        <f>IF(ISBLANK('Data Entry'!$¾$711), "", 'Data Entry'!$¾$711)</f>
      </c>
      <c r="DW711">
        <f>IF(ISBLANK('Data Entry'!$¿$711), "", 'Data Entry'!$¿$711)</f>
      </c>
      <c r="DX711">
        <f>IF(ISBLANK('Data Entry'!$À$711), "", 'Data Entry'!$À$711)</f>
      </c>
      <c r="DY711">
        <f>IF(ISBLANK('Data Entry'!$Á$711), "", 'Data Entry'!$Á$711)</f>
      </c>
      <c r="DZ711">
        <f>IF(ISBLANK('Data Entry'!$Â$711), "", 'Data Entry'!$Â$711)</f>
      </c>
      <c r="EA711">
        <f>IF(ISBLANK('Data Entry'!$Ã$711), "", 'Data Entry'!$Ã$711)</f>
      </c>
      <c r="EB711">
        <f>IF(ISBLANK('Data Entry'!$Ä$711), "", 'Data Entry'!$Ä$711)</f>
      </c>
      <c r="EC711">
        <f>IF(ISBLANK('Data Entry'!$Å$711), "", 'Data Entry'!$Å$711)</f>
      </c>
      <c r="ED711">
        <f>IF(ISBLANK('Data Entry'!$Æ$711), "", 'Data Entry'!$Æ$711)</f>
      </c>
      <c r="EE711">
        <f>IF(ISBLANK('Data Entry'!$Ç$711), "", 'Data Entry'!$Ç$711)</f>
      </c>
      <c r="EF711">
        <f>IF(ISBLANK('Data Entry'!$È$711), "", 'Data Entry'!$È$711)</f>
      </c>
      <c r="EG711">
        <f>IF(ISBLANK('Data Entry'!$É$711), "", 'Data Entry'!$É$711)</f>
      </c>
      <c r="EH711">
        <f>IF(ISBLANK('Data Entry'!$Ê$711), "", 'Data Entry'!$Ê$711)</f>
      </c>
      <c r="EI711">
        <f>IF(ISBLANK('Data Entry'!$Ë$711), "", 'Data Entry'!$Ë$711)</f>
      </c>
      <c r="EJ711">
        <f>IF(ISBLANK('Data Entry'!$Ì$711), "", 'Data Entry'!$Ì$711)</f>
      </c>
      <c r="EK711">
        <f>IF(ISBLANK('Data Entry'!$Í$711), "", 'Data Entry'!$Í$711)</f>
      </c>
      <c r="EL711">
        <f>IF(ISBLANK('Data Entry'!$Î$711), "", 'Data Entry'!$Î$711)</f>
      </c>
      <c r="EM711">
        <f>IF(ISBLANK('Data Entry'!$Ï$711), "", 'Data Entry'!$Ï$711)</f>
      </c>
      <c r="EN711">
        <f>IF(ISBLANK('Data Entry'!$Ð$711), "", 'Data Entry'!$Ð$711)</f>
      </c>
      <c r="EO711">
        <f>IF(ISBLANK('Data Entry'!$Ñ$711), "", 'Data Entry'!$Ñ$711)</f>
      </c>
      <c r="EP711">
        <f>IF(ISBLANK('Data Entry'!$Ò$711), "", 'Data Entry'!$Ò$711)</f>
      </c>
      <c r="EQ711">
        <f>IF(ISBLANK('Data Entry'!$Ó$711), "", 'Data Entry'!$Ó$711)</f>
      </c>
      <c r="ER711">
        <f>IF(ISBLANK('Data Entry'!$Ô$711), "", 'Data Entry'!$Ô$711)</f>
      </c>
      <c r="ES711">
        <f>IF(ISBLANK('Data Entry'!$Õ$711), "", 'Data Entry'!$Õ$711)</f>
      </c>
      <c r="ET711">
        <f>IF(ISBLANK('Data Entry'!$Ö$711), "", 'Data Entry'!$Ö$711)</f>
      </c>
      <c r="EU711">
        <f>IF(ISBLANK('Data Entry'!$×$711), "", 'Data Entry'!$×$711)</f>
      </c>
      <c r="EV711">
        <f>IF(ISBLANK('Data Entry'!$Ø$711), "", 'Data Entry'!$Ø$711)</f>
      </c>
      <c r="EW711">
        <f>IF(ISBLANK('Data Entry'!$Ù$711), "", 'Data Entry'!$Ù$711)</f>
      </c>
      <c r="EX711">
        <f>IF(ISBLANK('Data Entry'!$Ú$711), "", 'Data Entry'!$Ú$711)</f>
      </c>
      <c r="EY711">
        <f>IF(ISBLANK('Data Entry'!$Û$711), "", 'Data Entry'!$Û$711)</f>
      </c>
      <c r="EZ711">
        <f>IF(ISBLANK('Data Entry'!$Ü$711), "", 'Data Entry'!$Ü$711)</f>
      </c>
      <c r="FA711">
        <f>IF(ISBLANK('Data Entry'!$Ý$711), "", 'Data Entry'!$Ý$711)</f>
      </c>
      <c r="FB711">
        <f>IF(ISBLANK('Data Entry'!$Þ$711), "", 'Data Entry'!$Þ$711)</f>
      </c>
      <c r="FC711">
        <f>IF(ISBLANK('Data Entry'!$ß$711), "", 'Data Entry'!$ß$711)</f>
      </c>
      <c r="FD711">
        <f>IF(ISBLANK('Data Entry'!$à$711), "", 'Data Entry'!$à$711)</f>
      </c>
      <c r="FE711">
        <f>IF(ISBLANK('Data Entry'!$á$711), "", 'Data Entry'!$á$711)</f>
      </c>
      <c r="FF711">
        <f>IF(ISBLANK('Data Entry'!$â$711), "", 'Data Entry'!$â$711)</f>
      </c>
      <c r="FG711">
        <f>IF(ISBLANK('Data Entry'!$ã$711), "", 'Data Entry'!$ã$711)</f>
      </c>
      <c r="FH711">
        <f>IF(ISBLANK('Data Entry'!$ä$711), "", 'Data Entry'!$ä$711)</f>
      </c>
      <c r="FI711">
        <f>IF(ISBLANK('Data Entry'!$å$711), "", 'Data Entry'!$å$711)</f>
      </c>
      <c r="FJ711">
        <f>IF(ISBLANK('Data Entry'!$æ$711), "", 'Data Entry'!$æ$711)</f>
      </c>
      <c r="FK711">
        <f>IF(ISBLANK('Data Entry'!$ç$711), "", 'Data Entry'!$ç$711)</f>
      </c>
      <c r="FL711">
        <f>IF(ISBLANK('Data Entry'!$è$711), "", 'Data Entry'!$è$711)</f>
      </c>
      <c r="FM711">
        <f>IF(ISBLANK('Data Entry'!$é$711), "", 'Data Entry'!$é$711)</f>
      </c>
      <c r="FN711">
        <f>IF(ISBLANK('Data Entry'!$ê$711), "", 'Data Entry'!$ê$711)</f>
      </c>
      <c r="FO711">
        <f>IF(ISBLANK('Data Entry'!$ë$711), "", 'Data Entry'!$ë$711)</f>
      </c>
      <c r="FP711">
        <f>IF(ISBLANK('Data Entry'!$ì$711), "", 'Data Entry'!$ì$711)</f>
      </c>
      <c r="FQ711">
        <f>IF(ISBLANK('Data Entry'!$í$711), "", 'Data Entry'!$í$711)</f>
      </c>
      <c r="FR711">
        <f>IF(ISBLANK('Data Entry'!$î$711), "", 'Data Entry'!$î$711)</f>
      </c>
      <c r="FS711">
        <f>IF(ISBLANK('Data Entry'!$ï$711), "", 'Data Entry'!$ï$711)</f>
      </c>
      <c r="FT711">
        <f>IF(ISBLANK('Data Entry'!$ð$711), "", 'Data Entry'!$ð$711)</f>
      </c>
      <c r="FU711">
        <f>IF(ISBLANK('Data Entry'!$ñ$711), "", 'Data Entry'!$ñ$711)</f>
      </c>
      <c r="FV711">
        <f>IF(ISBLANK('Data Entry'!$ò$711), "", 'Data Entry'!$ò$711)</f>
      </c>
      <c r="FW711">
        <f>IF(ISBLANK('Data Entry'!$ó$711), "", 'Data Entry'!$ó$711)</f>
      </c>
      <c r="FX711">
        <f>IF(ISBLANK('Data Entry'!$ô$711), "", 'Data Entry'!$ô$711)</f>
      </c>
      <c r="FY711">
        <f>IF(ISBLANK('Data Entry'!$õ$711), "", 'Data Entry'!$õ$711)</f>
      </c>
      <c r="FZ711">
        <f>IF(ISBLANK('Data Entry'!$ö$711), "", 'Data Entry'!$ö$711)</f>
      </c>
      <c r="GA711">
        <f>IF(ISBLANK('Data Entry'!$÷$711), "", 'Data Entry'!$÷$711)</f>
      </c>
      <c r="GB711">
        <f>IF(ISBLANK('Data Entry'!$ø$711), "", 'Data Entry'!$ø$711)</f>
      </c>
      <c r="GC711">
        <f>IF(ISBLANK('Data Entry'!$ù$711), "", 'Data Entry'!$ù$711)</f>
      </c>
      <c r="GD711">
        <f>IF(ISBLANK('Data Entry'!$ú$711), "", 'Data Entry'!$ú$711)</f>
      </c>
      <c r="GE711">
        <f>IF(ISBLANK('Data Entry'!$û$711), "", 'Data Entry'!$û$711)</f>
      </c>
      <c r="GF711">
        <f>IF(ISBLANK('Data Entry'!$ü$711), "", 'Data Entry'!$ü$711)</f>
      </c>
      <c r="GG711">
        <f>IF(ISBLANK('Data Entry'!$ý$711), "", 'Data Entry'!$ý$711)</f>
      </c>
      <c r="GH711">
        <f>IF(ISBLANK('Data Entry'!$þ$711), "", 'Data Entry'!$þ$711)</f>
      </c>
      <c r="GI711">
        <f>IF(ISBLANK('Data Entry'!$ÿ$711), "", 'Data Entry'!$ÿ$711)</f>
      </c>
      <c r="GJ711">
        <f>IF(ISBLANK('Data Entry'!$Ā$711), "", 'Data Entry'!$Ā$711)</f>
      </c>
      <c r="GK711">
        <f>IF(ISBLANK('Data Entry'!$ā$711), "", 'Data Entry'!$ā$711)</f>
      </c>
      <c r="GL711">
        <f>IF(ISBLANK('Data Entry'!$Ă$711), "", 'Data Entry'!$Ă$711)</f>
      </c>
      <c r="GM711">
        <f>IF(ISBLANK('Data Entry'!$ă$711), "", 'Data Entry'!$ă$711)</f>
      </c>
      <c r="GN711">
        <f>IF(ISBLANK('Data Entry'!$Ą$711), "", 'Data Entry'!$Ą$711)</f>
      </c>
      <c r="GO711">
        <f>IF(ISBLANK('Data Entry'!$ą$711), "", 'Data Entry'!$ą$711)</f>
      </c>
      <c r="GP711">
        <f>IF(ISBLANK('Data Entry'!$Ć$711), "", 'Data Entry'!$Ć$711)</f>
      </c>
      <c r="GQ711">
        <f>IF(ISBLANK('Data Entry'!$ć$711), "", 'Data Entry'!$ć$711)</f>
      </c>
      <c r="GR711">
        <f>IF(ISBLANK('Data Entry'!$Ĉ$711), "", 'Data Entry'!$Ĉ$711)</f>
      </c>
      <c r="GS711">
        <f>IF(ISBLANK('Data Entry'!$ĉ$711), "", 'Data Entry'!$ĉ$711)</f>
      </c>
      <c r="GT711">
        <f>IF(ISBLANK('Data Entry'!$Ċ$711), "", 'Data Entry'!$Ċ$711)</f>
      </c>
      <c r="GU711">
        <f>IF(ISBLANK('Data Entry'!$ċ$711), "", 'Data Entry'!$ċ$711)</f>
      </c>
      <c r="GV711">
        <f>IF(ISBLANK('Data Entry'!$Č$711), "", 'Data Entry'!$Č$711)</f>
      </c>
      <c r="GW711">
        <f>IF(ISBLANK('Data Entry'!$č$711), "", 'Data Entry'!$č$711)</f>
      </c>
      <c r="GX711">
        <f>IF(ISBLANK('Data Entry'!$Ď$711), "", 'Data Entry'!$Ď$711)</f>
      </c>
      <c r="GY711">
        <f>IF(ISBLANK('Data Entry'!$ď$711), "", 'Data Entry'!$ď$711)</f>
      </c>
      <c r="GZ711">
        <f>IF(ISBLANK('Data Entry'!$Đ$711), "", 'Data Entry'!$Đ$711)</f>
      </c>
      <c r="HA711">
        <f>IF(ISBLANK('Data Entry'!$đ$711), "", 'Data Entry'!$đ$711)</f>
      </c>
      <c r="HB711">
        <f>IF(ISBLANK('Data Entry'!$Ē$711), "", 'Data Entry'!$Ē$711)</f>
      </c>
      <c r="HC711">
        <f>IF(ISBLANK('Data Entry'!$ē$711), "", 'Data Entry'!$ē$711)</f>
      </c>
      <c r="HD711">
        <f>IF(ISBLANK('Data Entry'!$Ĕ$711), "", 'Data Entry'!$Ĕ$711)</f>
      </c>
      <c r="HE711">
        <f>IF(ISBLANK('Data Entry'!$ĕ$711), "", 'Data Entry'!$ĕ$711)</f>
      </c>
      <c r="HF711">
        <f>IF(ISBLANK('Data Entry'!$Ė$711), "", 'Data Entry'!$Ė$711)</f>
      </c>
      <c r="HG711">
        <f>IF(ISBLANK('Data Entry'!$ė$711), "", 'Data Entry'!$ė$711)</f>
      </c>
      <c r="HH711">
        <f>IF(ISBLANK('Data Entry'!$Ę$711), "", 'Data Entry'!$Ę$711)</f>
      </c>
      <c r="HI711">
        <f>IF(ISBLANK('Data Entry'!$ę$711), "", 'Data Entry'!$ę$711)</f>
      </c>
      <c r="HJ711">
        <f>IF(ISBLANK('Data Entry'!$Ě$711), "", 'Data Entry'!$Ě$711)</f>
      </c>
      <c r="HK711">
        <f>IF(ISBLANK('Data Entry'!$ě$711), "", 'Data Entry'!$ě$711)</f>
      </c>
      <c r="HL711">
        <f>IF(ISBLANK('Data Entry'!$Ĝ$711), "", 'Data Entry'!$Ĝ$711)</f>
      </c>
      <c r="HM711">
        <f>IF(ISBLANK('Data Entry'!$ĝ$711), "", 'Data Entry'!$ĝ$711)</f>
      </c>
      <c r="HN711">
        <f>IF(ISBLANK('Data Entry'!$Ğ$711), "", 'Data Entry'!$Ğ$711)</f>
      </c>
      <c r="HO711">
        <f>IF(ISBLANK('Data Entry'!$ğ$711), "", 'Data Entry'!$ğ$711)</f>
      </c>
      <c r="HP711">
        <f>IF(ISBLANK('Data Entry'!$Ġ$711), "", 'Data Entry'!$Ġ$711)</f>
      </c>
      <c r="HQ711">
        <f>IF(ISBLANK('Data Entry'!$ġ$711), "", 'Data Entry'!$ġ$711)</f>
      </c>
      <c r="HR711">
        <f>IF(ISBLANK('Data Entry'!$Ģ$711), "", 'Data Entry'!$Ģ$711)</f>
      </c>
      <c r="HS711">
        <f>IF(ISBLANK('Data Entry'!$ģ$711), "", 'Data Entry'!$ģ$711)</f>
      </c>
      <c r="HT711">
        <f>IF(ISBLANK('Data Entry'!$Ĥ$711), "", 'Data Entry'!$Ĥ$711)</f>
      </c>
      <c r="HU711">
        <f>IF(ISBLANK('Data Entry'!$ĥ$711), "", 'Data Entry'!$ĥ$711)</f>
      </c>
      <c r="HV711">
        <f>IF(ISBLANK('Data Entry'!$Ħ$711), "", 'Data Entry'!$Ħ$711)</f>
      </c>
      <c r="HW711">
        <f>IF(ISBLANK('Data Entry'!$ħ$711), "", 'Data Entry'!$ħ$711)</f>
      </c>
      <c r="HX711">
        <f>IF(ISBLANK('Data Entry'!$Ĩ$711), "", 'Data Entry'!$Ĩ$711)</f>
      </c>
      <c r="HY711">
        <f>IF(ISBLANK('Data Entry'!$ĩ$711), "", 'Data Entry'!$ĩ$711)</f>
      </c>
      <c r="HZ711">
        <f>IF(ISBLANK('Data Entry'!$Ī$711), "", 'Data Entry'!$Ī$711)</f>
      </c>
      <c r="IA711">
        <f>IF(ISBLANK('Data Entry'!$ī$711), "", 'Data Entry'!$ī$711)</f>
      </c>
      <c r="IB711">
        <f>IF(ISBLANK('Data Entry'!$Ĭ$711), "", 'Data Entry'!$Ĭ$711)</f>
      </c>
      <c r="IC711">
        <f>IF(ISBLANK('Data Entry'!$ĭ$711), "", 'Data Entry'!$ĭ$711)</f>
      </c>
      <c r="ID711">
        <f>IF(ISBLANK('Data Entry'!$Į$711), "", 'Data Entry'!$Į$711)</f>
      </c>
      <c r="IE711">
        <f>IF(ISBLANK('Data Entry'!$į$711), "", 'Data Entry'!$į$711)</f>
      </c>
      <c r="IF711">
        <f>IF(ISBLANK('Data Entry'!$İ$711), "", 'Data Entry'!$İ$711)</f>
      </c>
      <c r="IG711">
        <f>IF(ISBLANK('Data Entry'!$ı$711), "", 'Data Entry'!$ı$711)</f>
      </c>
      <c r="IH711">
        <f>IF(ISBLANK('Data Entry'!$Ĳ$711), "", 'Data Entry'!$Ĳ$711)</f>
      </c>
      <c r="II711">
        <f>IF(ISBLANK('Data Entry'!$ĳ$711), "", 'Data Entry'!$ĳ$711)</f>
      </c>
      <c r="IJ711">
        <f>IF(ISBLANK('Data Entry'!$Ĵ$711), "", 'Data Entry'!$Ĵ$711)</f>
      </c>
      <c r="IK711">
        <f>IF(ISBLANK('Data Entry'!$ĵ$711), "", 'Data Entry'!$ĵ$711)</f>
      </c>
      <c r="IL711">
        <f>IF(ISBLANK('Data Entry'!$Ķ$711), "", 'Data Entry'!$Ķ$711)</f>
      </c>
      <c r="IM711">
        <f>IF(ISBLANK('Data Entry'!$ķ$711), "", 'Data Entry'!$ķ$711)</f>
      </c>
      <c r="IN711">
        <f>IF(ISBLANK('Data Entry'!$ĸ$711), "", 'Data Entry'!$ĸ$711)</f>
      </c>
      <c r="IO711">
        <f>IF(ISBLANK('Data Entry'!$Ĺ$711), "", 'Data Entry'!$Ĺ$711)</f>
      </c>
      <c r="IP711">
        <f>IF(ISBLANK('Data Entry'!$ĺ$711), "", 'Data Entry'!$ĺ$711)</f>
      </c>
      <c r="IQ711">
        <f>IF(ISBLANK('Data Entry'!$Ļ$711), "", 'Data Entry'!$Ļ$711)</f>
      </c>
      <c r="IR711">
        <f>IF(ISBLANK('Data Entry'!$ļ$711), "", 'Data Entry'!$ļ$711)</f>
      </c>
      <c r="IS711">
        <f>IF(ISBLANK('Data Entry'!$Ľ$711), "", 'Data Entry'!$Ľ$711)</f>
      </c>
      <c r="IT711">
        <f>IF(ISBLANK('Data Entry'!$ľ$711), "", 'Data Entry'!$ľ$711)</f>
      </c>
    </row>
    <row r="712" spans="1:254" x14ac:dyDescent="0.25">
      <c r="A712">
        <f>IF(ISBLANK('Data Entry'!$A$712), "", 'Data Entry'!$A$712)</f>
      </c>
      <c r="B712">
        <f>IF(ISBLANK('Data Entry'!$B$712), "", 'Data Entry'!$B$712)</f>
      </c>
      <c r="C712">
        <f>IF(ISBLANK('Data Entry'!$C$712), "", 'Data Entry'!$C$712)</f>
      </c>
      <c r="D712">
        <f>IF(ISBLANK('Data Entry'!$D$712), "", 'Data Entry'!$D$712)</f>
      </c>
      <c r="E712">
        <f>IF(ISBLANK('Data Entry'!$E$712), "", 'Data Entry'!$E$712)</f>
      </c>
      <c r="F712">
        <f>IF(ISBLANK('Data Entry'!$F$712), "", 'Data Entry'!$F$712)</f>
      </c>
      <c r="G712">
        <f>IF(ISBLANK('Data Entry'!$G$712), "", 'Data Entry'!$G$712)</f>
      </c>
      <c r="H712">
        <f>IF(ISBLANK('Data Entry'!$H$712), "", 'Data Entry'!$H$712)</f>
      </c>
      <c r="I712">
        <f>IF(ISBLANK('Data Entry'!$I$712), "", 'Data Entry'!$I$712)</f>
      </c>
      <c r="J712">
        <f>IF(ISBLANK('Data Entry'!$J$712), "", 'Data Entry'!$J$712)</f>
      </c>
      <c r="K712">
        <f>IF(ISBLANK('Data Entry'!$K$712), "", 'Data Entry'!$K$712)</f>
      </c>
      <c r="L712">
        <f>IF(ISBLANK('Data Entry'!$L$712), "", 'Data Entry'!$L$712)</f>
      </c>
      <c r="M712">
        <f>IF(ISBLANK('Data Entry'!$M$712), "", 'Data Entry'!$M$712)</f>
      </c>
      <c r="N712">
        <f>IF(ISBLANK('Data Entry'!$N$712), "", 'Data Entry'!$N$712)</f>
      </c>
      <c r="O712">
        <f>IF(ISBLANK('Data Entry'!$O$712), "", 'Data Entry'!$O$712)</f>
      </c>
      <c r="P712">
        <f>IF(ISBLANK('Data Entry'!$P$712), "", 'Data Entry'!$P$712)</f>
      </c>
      <c r="Q712">
        <f>IF(ISBLANK('Data Entry'!$Q$712), "", 'Data Entry'!$Q$712)</f>
      </c>
      <c r="R712">
        <f>IF(ISBLANK('Data Entry'!$R$712), "", 'Data Entry'!$R$712)</f>
      </c>
      <c r="S712">
        <f>IF(ISBLANK('Data Entry'!$S$712), "", 'Data Entry'!$S$712)</f>
      </c>
      <c r="T712">
        <f>IF(ISBLANK('Data Entry'!$T$712), "", 'Data Entry'!$T$712)</f>
      </c>
      <c r="U712">
        <f>IF(ISBLANK('Data Entry'!$U$712), "", 'Data Entry'!$U$712)</f>
      </c>
      <c r="V712">
        <f>IF(ISBLANK('Data Entry'!$V$712), "", 'Data Entry'!$V$712)</f>
      </c>
      <c r="W712">
        <f>IF(ISBLANK('Data Entry'!$W$712), "", 'Data Entry'!$W$712)</f>
      </c>
      <c r="X712">
        <f>IF(ISBLANK('Data Entry'!$X$712), "", 'Data Entry'!$X$712)</f>
      </c>
      <c r="Y712">
        <f>IF(ISBLANK('Data Entry'!$Y$712), "", 'Data Entry'!$Y$712)</f>
      </c>
      <c r="Z712">
        <f>IF(ISBLANK('Data Entry'!$Z$712), "", 'Data Entry'!$Z$712)</f>
      </c>
      <c r="AA712">
        <f>IF(ISBLANK('Data Entry'!$[$712), "", 'Data Entry'!$[$712)</f>
      </c>
      <c r="AB712">
        <f>IF(ISBLANK('Data Entry'!$\$712), "", 'Data Entry'!$\$712)</f>
      </c>
      <c r="AC712">
        <f>IF(ISBLANK('Data Entry'!$]$712), "", 'Data Entry'!$]$712)</f>
      </c>
      <c r="AD712">
        <f>IF(ISBLANK('Data Entry'!$^$712), "", 'Data Entry'!$^$712)</f>
      </c>
      <c r="AE712">
        <f>IF(ISBLANK('Data Entry'!$_$712), "", 'Data Entry'!$_$712)</f>
      </c>
      <c r="AF712">
        <f>IF(ISBLANK('Data Entry'!$`$712), "", 'Data Entry'!$`$712)</f>
      </c>
      <c r="AG712">
        <f>IF(ISBLANK('Data Entry'!$a$712), "", 'Data Entry'!$a$712)</f>
      </c>
      <c r="AH712">
        <f>IF(ISBLANK('Data Entry'!$b$712), "", 'Data Entry'!$b$712)</f>
      </c>
      <c r="AI712">
        <f>IF(ISBLANK('Data Entry'!$c$712), "", 'Data Entry'!$c$712)</f>
      </c>
      <c r="AJ712">
        <f>IF(ISBLANK('Data Entry'!$d$712), "", 'Data Entry'!$d$712)</f>
      </c>
      <c r="AK712">
        <f>IF(ISBLANK('Data Entry'!$e$712), "", 'Data Entry'!$e$712)</f>
      </c>
      <c r="AL712">
        <f>IF(ISBLANK('Data Entry'!$f$712), "", 'Data Entry'!$f$712)</f>
      </c>
      <c r="AM712">
        <f>IF(ISBLANK('Data Entry'!$g$712), "", 'Data Entry'!$g$712)</f>
      </c>
      <c r="AN712">
        <f>IF(ISBLANK('Data Entry'!$h$712), "", 'Data Entry'!$h$712)</f>
      </c>
      <c r="AO712">
        <f>IF(ISBLANK('Data Entry'!$i$712), "", 'Data Entry'!$i$712)</f>
      </c>
      <c r="AP712">
        <f>IF(ISBLANK('Data Entry'!$j$712), "", 'Data Entry'!$j$712)</f>
      </c>
      <c r="AQ712">
        <f>IF(ISBLANK('Data Entry'!$k$712), "", 'Data Entry'!$k$712)</f>
      </c>
      <c r="AR712">
        <f>IF(ISBLANK('Data Entry'!$l$712), "", 'Data Entry'!$l$712)</f>
      </c>
      <c r="AS712">
        <f>IF(ISBLANK('Data Entry'!$m$712), "", 'Data Entry'!$m$712)</f>
      </c>
      <c r="AT712">
        <f>IF(ISBLANK('Data Entry'!$n$712), "", 'Data Entry'!$n$712)</f>
      </c>
      <c r="AU712">
        <f>IF(ISBLANK('Data Entry'!$o$712), "", 'Data Entry'!$o$712)</f>
      </c>
      <c r="AV712">
        <f>IF(ISBLANK('Data Entry'!$p$712), "", 'Data Entry'!$p$712)</f>
      </c>
      <c r="AW712">
        <f>IF(ISBLANK('Data Entry'!$q$712), "", 'Data Entry'!$q$712)</f>
      </c>
      <c r="AX712">
        <f>IF(ISBLANK('Data Entry'!$r$712), "", 'Data Entry'!$r$712)</f>
      </c>
      <c r="AY712">
        <f>IF(ISBLANK('Data Entry'!$s$712), "", 'Data Entry'!$s$712)</f>
      </c>
      <c r="AZ712">
        <f>IF(ISBLANK('Data Entry'!$t$712), "", 'Data Entry'!$t$712)</f>
      </c>
      <c r="BA712">
        <f>IF(ISBLANK('Data Entry'!$u$712), "", 'Data Entry'!$u$712)</f>
      </c>
      <c r="BB712">
        <f>IF(ISBLANK('Data Entry'!$v$712), "", 'Data Entry'!$v$712)</f>
      </c>
      <c r="BC712">
        <f>IF(ISBLANK('Data Entry'!$w$712), "", 'Data Entry'!$w$712)</f>
      </c>
      <c r="BD712">
        <f>IF(ISBLANK('Data Entry'!$x$712), "", 'Data Entry'!$x$712)</f>
      </c>
      <c r="BE712">
        <f>IF(ISBLANK('Data Entry'!$y$712), "", 'Data Entry'!$y$712)</f>
      </c>
      <c r="BF712">
        <f>IF(ISBLANK('Data Entry'!$z$712), "", 'Data Entry'!$z$712)</f>
      </c>
      <c r="BG712">
        <f>IF(ISBLANK('Data Entry'!${$712), "", 'Data Entry'!${$712)</f>
      </c>
      <c r="BH712">
        <f>IF(ISBLANK('Data Entry'!$|$712), "", 'Data Entry'!$|$712)</f>
      </c>
      <c r="BI712">
        <f>IF(ISBLANK('Data Entry'!$}$712), "", 'Data Entry'!$}$712)</f>
      </c>
      <c r="BJ712">
        <f>IF(ISBLANK('Data Entry'!$~$712), "", 'Data Entry'!$~$712)</f>
      </c>
      <c r="BK712">
        <f>IF(ISBLANK('Data Entry'!$$712), "", 'Data Entry'!$$712)</f>
      </c>
      <c r="BL712">
        <f>IF(ISBLANK('Data Entry'!$$712), "", 'Data Entry'!$$712)</f>
      </c>
      <c r="BM712">
        <f>IF(ISBLANK('Data Entry'!$$712), "", 'Data Entry'!$$712)</f>
      </c>
      <c r="BN712">
        <f>IF(ISBLANK('Data Entry'!$$712), "", 'Data Entry'!$$712)</f>
      </c>
      <c r="BO712">
        <f>IF(ISBLANK('Data Entry'!$$712), "", 'Data Entry'!$$712)</f>
      </c>
      <c r="BP712">
        <f>IF(ISBLANK('Data Entry'!$$712), "", 'Data Entry'!$$712)</f>
      </c>
      <c r="BQ712">
        <f>IF(ISBLANK('Data Entry'!$$712), "", 'Data Entry'!$$712)</f>
      </c>
      <c r="BR712">
        <f>IF(ISBLANK('Data Entry'!$$712), "", 'Data Entry'!$$712)</f>
      </c>
      <c r="BS712">
        <f>IF(ISBLANK('Data Entry'!$$712), "", 'Data Entry'!$$712)</f>
      </c>
      <c r="BT712">
        <f>IF(ISBLANK('Data Entry'!$$712), "", 'Data Entry'!$$712)</f>
      </c>
      <c r="BU712">
        <f>IF(ISBLANK('Data Entry'!$$712), "", 'Data Entry'!$$712)</f>
      </c>
      <c r="BV712">
        <f>IF(ISBLANK('Data Entry'!$$712), "", 'Data Entry'!$$712)</f>
      </c>
      <c r="BW712">
        <f>IF(ISBLANK('Data Entry'!$$712), "", 'Data Entry'!$$712)</f>
      </c>
      <c r="BX712">
        <f>IF(ISBLANK('Data Entry'!$$712), "", 'Data Entry'!$$712)</f>
      </c>
      <c r="BY712">
        <f>IF(ISBLANK('Data Entry'!$$712), "", 'Data Entry'!$$712)</f>
      </c>
      <c r="BZ712">
        <f>IF(ISBLANK('Data Entry'!$$712), "", 'Data Entry'!$$712)</f>
      </c>
      <c r="CA712">
        <f>IF(ISBLANK('Data Entry'!$$712), "", 'Data Entry'!$$712)</f>
      </c>
      <c r="CB712">
        <f>IF(ISBLANK('Data Entry'!$$712), "", 'Data Entry'!$$712)</f>
      </c>
      <c r="CC712">
        <f>IF(ISBLANK('Data Entry'!$$712), "", 'Data Entry'!$$712)</f>
      </c>
      <c r="CD712">
        <f>IF(ISBLANK('Data Entry'!$$712), "", 'Data Entry'!$$712)</f>
      </c>
      <c r="CE712">
        <f>IF(ISBLANK('Data Entry'!$$712), "", 'Data Entry'!$$712)</f>
      </c>
      <c r="CF712">
        <f>IF(ISBLANK('Data Entry'!$$712), "", 'Data Entry'!$$712)</f>
      </c>
      <c r="CG712">
        <f>IF(ISBLANK('Data Entry'!$$712), "", 'Data Entry'!$$712)</f>
      </c>
      <c r="CH712">
        <f>IF(ISBLANK('Data Entry'!$$712), "", 'Data Entry'!$$712)</f>
      </c>
      <c r="CI712">
        <f>IF(ISBLANK('Data Entry'!$$712), "", 'Data Entry'!$$712)</f>
      </c>
      <c r="CJ712">
        <f>IF(ISBLANK('Data Entry'!$$712), "", 'Data Entry'!$$712)</f>
      </c>
      <c r="CK712">
        <f>IF(ISBLANK('Data Entry'!$$712), "", 'Data Entry'!$$712)</f>
      </c>
      <c r="CL712">
        <f>IF(ISBLANK('Data Entry'!$$712), "", 'Data Entry'!$$712)</f>
      </c>
      <c r="CM712">
        <f>IF(ISBLANK('Data Entry'!$$712), "", 'Data Entry'!$$712)</f>
      </c>
      <c r="CN712">
        <f>IF(ISBLANK('Data Entry'!$$712), "", 'Data Entry'!$$712)</f>
      </c>
      <c r="CO712">
        <f>IF(ISBLANK('Data Entry'!$$712), "", 'Data Entry'!$$712)</f>
      </c>
      <c r="CP712">
        <f>IF(ISBLANK('Data Entry'!$$712), "", 'Data Entry'!$$712)</f>
      </c>
      <c r="CQ712">
        <f>IF(ISBLANK('Data Entry'!$$712), "", 'Data Entry'!$$712)</f>
      </c>
      <c r="CR712">
        <f>IF(ISBLANK('Data Entry'!$ $712), "", 'Data Entry'!$ $712)</f>
      </c>
      <c r="CS712">
        <f>IF(ISBLANK('Data Entry'!$¡$712), "", 'Data Entry'!$¡$712)</f>
      </c>
      <c r="CT712">
        <f>IF(ISBLANK('Data Entry'!$¢$712), "", 'Data Entry'!$¢$712)</f>
      </c>
      <c r="CU712">
        <f>IF(ISBLANK('Data Entry'!$£$712), "", 'Data Entry'!$£$712)</f>
      </c>
      <c r="CV712">
        <f>IF(ISBLANK('Data Entry'!$¤$712), "", 'Data Entry'!$¤$712)</f>
      </c>
      <c r="CW712">
        <f>IF(ISBLANK('Data Entry'!$¥$712), "", 'Data Entry'!$¥$712)</f>
      </c>
      <c r="CX712">
        <f>IF(ISBLANK('Data Entry'!$¦$712), "", 'Data Entry'!$¦$712)</f>
      </c>
      <c r="CY712">
        <f>IF(ISBLANK('Data Entry'!$§$712), "", 'Data Entry'!$§$712)</f>
      </c>
      <c r="CZ712">
        <f>IF(ISBLANK('Data Entry'!$¨$712), "", 'Data Entry'!$¨$712)</f>
      </c>
      <c r="DA712">
        <f>IF(ISBLANK('Data Entry'!$©$712), "", 'Data Entry'!$©$712)</f>
      </c>
      <c r="DB712">
        <f>IF(ISBLANK('Data Entry'!$ª$712), "", 'Data Entry'!$ª$712)</f>
      </c>
      <c r="DC712">
        <f>IF(ISBLANK('Data Entry'!$«$712), "", 'Data Entry'!$«$712)</f>
      </c>
      <c r="DD712">
        <f>IF(ISBLANK('Data Entry'!$¬$712), "", 'Data Entry'!$¬$712)</f>
      </c>
      <c r="DE712">
        <f>IF(ISBLANK('Data Entry'!$­$712), "", 'Data Entry'!$­$712)</f>
      </c>
      <c r="DF712">
        <f>IF(ISBLANK('Data Entry'!$®$712), "", 'Data Entry'!$®$712)</f>
      </c>
      <c r="DG712">
        <f>IF(ISBLANK('Data Entry'!$¯$712), "", 'Data Entry'!$¯$712)</f>
      </c>
      <c r="DH712">
        <f>IF(ISBLANK('Data Entry'!$°$712), "", 'Data Entry'!$°$712)</f>
      </c>
      <c r="DI712">
        <f>IF(ISBLANK('Data Entry'!$±$712), "", 'Data Entry'!$±$712)</f>
      </c>
      <c r="DJ712">
        <f>IF(ISBLANK('Data Entry'!$²$712), "", 'Data Entry'!$²$712)</f>
      </c>
      <c r="DK712">
        <f>IF(ISBLANK('Data Entry'!$³$712), "", 'Data Entry'!$³$712)</f>
      </c>
      <c r="DL712">
        <f>IF(ISBLANK('Data Entry'!$´$712), "", 'Data Entry'!$´$712)</f>
      </c>
      <c r="DM712">
        <f>IF(ISBLANK('Data Entry'!$µ$712), "", 'Data Entry'!$µ$712)</f>
      </c>
      <c r="DN712">
        <f>IF(ISBLANK('Data Entry'!$¶$712), "", 'Data Entry'!$¶$712)</f>
      </c>
      <c r="DO712">
        <f>IF(ISBLANK('Data Entry'!$·$712), "", 'Data Entry'!$·$712)</f>
      </c>
      <c r="DP712">
        <f>IF(ISBLANK('Data Entry'!$¸$712), "", 'Data Entry'!$¸$712)</f>
      </c>
      <c r="DQ712">
        <f>IF(ISBLANK('Data Entry'!$¹$712), "", 'Data Entry'!$¹$712)</f>
      </c>
      <c r="DR712">
        <f>IF(ISBLANK('Data Entry'!$º$712), "", 'Data Entry'!$º$712)</f>
      </c>
      <c r="DS712">
        <f>IF(ISBLANK('Data Entry'!$»$712), "", 'Data Entry'!$»$712)</f>
      </c>
      <c r="DT712">
        <f>IF(ISBLANK('Data Entry'!$¼$712), "", 'Data Entry'!$¼$712)</f>
      </c>
      <c r="DU712">
        <f>IF(ISBLANK('Data Entry'!$½$712), "", 'Data Entry'!$½$712)</f>
      </c>
      <c r="DV712">
        <f>IF(ISBLANK('Data Entry'!$¾$712), "", 'Data Entry'!$¾$712)</f>
      </c>
      <c r="DW712">
        <f>IF(ISBLANK('Data Entry'!$¿$712), "", 'Data Entry'!$¿$712)</f>
      </c>
      <c r="DX712">
        <f>IF(ISBLANK('Data Entry'!$À$712), "", 'Data Entry'!$À$712)</f>
      </c>
      <c r="DY712">
        <f>IF(ISBLANK('Data Entry'!$Á$712), "", 'Data Entry'!$Á$712)</f>
      </c>
      <c r="DZ712">
        <f>IF(ISBLANK('Data Entry'!$Â$712), "", 'Data Entry'!$Â$712)</f>
      </c>
      <c r="EA712">
        <f>IF(ISBLANK('Data Entry'!$Ã$712), "", 'Data Entry'!$Ã$712)</f>
      </c>
      <c r="EB712">
        <f>IF(ISBLANK('Data Entry'!$Ä$712), "", 'Data Entry'!$Ä$712)</f>
      </c>
      <c r="EC712">
        <f>IF(ISBLANK('Data Entry'!$Å$712), "", 'Data Entry'!$Å$712)</f>
      </c>
      <c r="ED712">
        <f>IF(ISBLANK('Data Entry'!$Æ$712), "", 'Data Entry'!$Æ$712)</f>
      </c>
      <c r="EE712">
        <f>IF(ISBLANK('Data Entry'!$Ç$712), "", 'Data Entry'!$Ç$712)</f>
      </c>
      <c r="EF712">
        <f>IF(ISBLANK('Data Entry'!$È$712), "", 'Data Entry'!$È$712)</f>
      </c>
      <c r="EG712">
        <f>IF(ISBLANK('Data Entry'!$É$712), "", 'Data Entry'!$É$712)</f>
      </c>
      <c r="EH712">
        <f>IF(ISBLANK('Data Entry'!$Ê$712), "", 'Data Entry'!$Ê$712)</f>
      </c>
      <c r="EI712">
        <f>IF(ISBLANK('Data Entry'!$Ë$712), "", 'Data Entry'!$Ë$712)</f>
      </c>
      <c r="EJ712">
        <f>IF(ISBLANK('Data Entry'!$Ì$712), "", 'Data Entry'!$Ì$712)</f>
      </c>
      <c r="EK712">
        <f>IF(ISBLANK('Data Entry'!$Í$712), "", 'Data Entry'!$Í$712)</f>
      </c>
      <c r="EL712">
        <f>IF(ISBLANK('Data Entry'!$Î$712), "", 'Data Entry'!$Î$712)</f>
      </c>
      <c r="EM712">
        <f>IF(ISBLANK('Data Entry'!$Ï$712), "", 'Data Entry'!$Ï$712)</f>
      </c>
      <c r="EN712">
        <f>IF(ISBLANK('Data Entry'!$Ð$712), "", 'Data Entry'!$Ð$712)</f>
      </c>
      <c r="EO712">
        <f>IF(ISBLANK('Data Entry'!$Ñ$712), "", 'Data Entry'!$Ñ$712)</f>
      </c>
      <c r="EP712">
        <f>IF(ISBLANK('Data Entry'!$Ò$712), "", 'Data Entry'!$Ò$712)</f>
      </c>
      <c r="EQ712">
        <f>IF(ISBLANK('Data Entry'!$Ó$712), "", 'Data Entry'!$Ó$712)</f>
      </c>
      <c r="ER712">
        <f>IF(ISBLANK('Data Entry'!$Ô$712), "", 'Data Entry'!$Ô$712)</f>
      </c>
      <c r="ES712">
        <f>IF(ISBLANK('Data Entry'!$Õ$712), "", 'Data Entry'!$Õ$712)</f>
      </c>
      <c r="ET712">
        <f>IF(ISBLANK('Data Entry'!$Ö$712), "", 'Data Entry'!$Ö$712)</f>
      </c>
      <c r="EU712">
        <f>IF(ISBLANK('Data Entry'!$×$712), "", 'Data Entry'!$×$712)</f>
      </c>
      <c r="EV712">
        <f>IF(ISBLANK('Data Entry'!$Ø$712), "", 'Data Entry'!$Ø$712)</f>
      </c>
      <c r="EW712">
        <f>IF(ISBLANK('Data Entry'!$Ù$712), "", 'Data Entry'!$Ù$712)</f>
      </c>
      <c r="EX712">
        <f>IF(ISBLANK('Data Entry'!$Ú$712), "", 'Data Entry'!$Ú$712)</f>
      </c>
      <c r="EY712">
        <f>IF(ISBLANK('Data Entry'!$Û$712), "", 'Data Entry'!$Û$712)</f>
      </c>
      <c r="EZ712">
        <f>IF(ISBLANK('Data Entry'!$Ü$712), "", 'Data Entry'!$Ü$712)</f>
      </c>
      <c r="FA712">
        <f>IF(ISBLANK('Data Entry'!$Ý$712), "", 'Data Entry'!$Ý$712)</f>
      </c>
      <c r="FB712">
        <f>IF(ISBLANK('Data Entry'!$Þ$712), "", 'Data Entry'!$Þ$712)</f>
      </c>
      <c r="FC712">
        <f>IF(ISBLANK('Data Entry'!$ß$712), "", 'Data Entry'!$ß$712)</f>
      </c>
      <c r="FD712">
        <f>IF(ISBLANK('Data Entry'!$à$712), "", 'Data Entry'!$à$712)</f>
      </c>
      <c r="FE712">
        <f>IF(ISBLANK('Data Entry'!$á$712), "", 'Data Entry'!$á$712)</f>
      </c>
      <c r="FF712">
        <f>IF(ISBLANK('Data Entry'!$â$712), "", 'Data Entry'!$â$712)</f>
      </c>
      <c r="FG712">
        <f>IF(ISBLANK('Data Entry'!$ã$712), "", 'Data Entry'!$ã$712)</f>
      </c>
      <c r="FH712">
        <f>IF(ISBLANK('Data Entry'!$ä$712), "", 'Data Entry'!$ä$712)</f>
      </c>
      <c r="FI712">
        <f>IF(ISBLANK('Data Entry'!$å$712), "", 'Data Entry'!$å$712)</f>
      </c>
      <c r="FJ712">
        <f>IF(ISBLANK('Data Entry'!$æ$712), "", 'Data Entry'!$æ$712)</f>
      </c>
      <c r="FK712">
        <f>IF(ISBLANK('Data Entry'!$ç$712), "", 'Data Entry'!$ç$712)</f>
      </c>
      <c r="FL712">
        <f>IF(ISBLANK('Data Entry'!$è$712), "", 'Data Entry'!$è$712)</f>
      </c>
      <c r="FM712">
        <f>IF(ISBLANK('Data Entry'!$é$712), "", 'Data Entry'!$é$712)</f>
      </c>
      <c r="FN712">
        <f>IF(ISBLANK('Data Entry'!$ê$712), "", 'Data Entry'!$ê$712)</f>
      </c>
      <c r="FO712">
        <f>IF(ISBLANK('Data Entry'!$ë$712), "", 'Data Entry'!$ë$712)</f>
      </c>
      <c r="FP712">
        <f>IF(ISBLANK('Data Entry'!$ì$712), "", 'Data Entry'!$ì$712)</f>
      </c>
      <c r="FQ712">
        <f>IF(ISBLANK('Data Entry'!$í$712), "", 'Data Entry'!$í$712)</f>
      </c>
      <c r="FR712">
        <f>IF(ISBLANK('Data Entry'!$î$712), "", 'Data Entry'!$î$712)</f>
      </c>
      <c r="FS712">
        <f>IF(ISBLANK('Data Entry'!$ï$712), "", 'Data Entry'!$ï$712)</f>
      </c>
      <c r="FT712">
        <f>IF(ISBLANK('Data Entry'!$ð$712), "", 'Data Entry'!$ð$712)</f>
      </c>
      <c r="FU712">
        <f>IF(ISBLANK('Data Entry'!$ñ$712), "", 'Data Entry'!$ñ$712)</f>
      </c>
      <c r="FV712">
        <f>IF(ISBLANK('Data Entry'!$ò$712), "", 'Data Entry'!$ò$712)</f>
      </c>
      <c r="FW712">
        <f>IF(ISBLANK('Data Entry'!$ó$712), "", 'Data Entry'!$ó$712)</f>
      </c>
      <c r="FX712">
        <f>IF(ISBLANK('Data Entry'!$ô$712), "", 'Data Entry'!$ô$712)</f>
      </c>
      <c r="FY712">
        <f>IF(ISBLANK('Data Entry'!$õ$712), "", 'Data Entry'!$õ$712)</f>
      </c>
      <c r="FZ712">
        <f>IF(ISBLANK('Data Entry'!$ö$712), "", 'Data Entry'!$ö$712)</f>
      </c>
      <c r="GA712">
        <f>IF(ISBLANK('Data Entry'!$÷$712), "", 'Data Entry'!$÷$712)</f>
      </c>
      <c r="GB712">
        <f>IF(ISBLANK('Data Entry'!$ø$712), "", 'Data Entry'!$ø$712)</f>
      </c>
      <c r="GC712">
        <f>IF(ISBLANK('Data Entry'!$ù$712), "", 'Data Entry'!$ù$712)</f>
      </c>
      <c r="GD712">
        <f>IF(ISBLANK('Data Entry'!$ú$712), "", 'Data Entry'!$ú$712)</f>
      </c>
      <c r="GE712">
        <f>IF(ISBLANK('Data Entry'!$û$712), "", 'Data Entry'!$û$712)</f>
      </c>
      <c r="GF712">
        <f>IF(ISBLANK('Data Entry'!$ü$712), "", 'Data Entry'!$ü$712)</f>
      </c>
      <c r="GG712">
        <f>IF(ISBLANK('Data Entry'!$ý$712), "", 'Data Entry'!$ý$712)</f>
      </c>
      <c r="GH712">
        <f>IF(ISBLANK('Data Entry'!$þ$712), "", 'Data Entry'!$þ$712)</f>
      </c>
      <c r="GI712">
        <f>IF(ISBLANK('Data Entry'!$ÿ$712), "", 'Data Entry'!$ÿ$712)</f>
      </c>
      <c r="GJ712">
        <f>IF(ISBLANK('Data Entry'!$Ā$712), "", 'Data Entry'!$Ā$712)</f>
      </c>
      <c r="GK712">
        <f>IF(ISBLANK('Data Entry'!$ā$712), "", 'Data Entry'!$ā$712)</f>
      </c>
      <c r="GL712">
        <f>IF(ISBLANK('Data Entry'!$Ă$712), "", 'Data Entry'!$Ă$712)</f>
      </c>
      <c r="GM712">
        <f>IF(ISBLANK('Data Entry'!$ă$712), "", 'Data Entry'!$ă$712)</f>
      </c>
      <c r="GN712">
        <f>IF(ISBLANK('Data Entry'!$Ą$712), "", 'Data Entry'!$Ą$712)</f>
      </c>
      <c r="GO712">
        <f>IF(ISBLANK('Data Entry'!$ą$712), "", 'Data Entry'!$ą$712)</f>
      </c>
      <c r="GP712">
        <f>IF(ISBLANK('Data Entry'!$Ć$712), "", 'Data Entry'!$Ć$712)</f>
      </c>
      <c r="GQ712">
        <f>IF(ISBLANK('Data Entry'!$ć$712), "", 'Data Entry'!$ć$712)</f>
      </c>
      <c r="GR712">
        <f>IF(ISBLANK('Data Entry'!$Ĉ$712), "", 'Data Entry'!$Ĉ$712)</f>
      </c>
      <c r="GS712">
        <f>IF(ISBLANK('Data Entry'!$ĉ$712), "", 'Data Entry'!$ĉ$712)</f>
      </c>
      <c r="GT712">
        <f>IF(ISBLANK('Data Entry'!$Ċ$712), "", 'Data Entry'!$Ċ$712)</f>
      </c>
      <c r="GU712">
        <f>IF(ISBLANK('Data Entry'!$ċ$712), "", 'Data Entry'!$ċ$712)</f>
      </c>
      <c r="GV712">
        <f>IF(ISBLANK('Data Entry'!$Č$712), "", 'Data Entry'!$Č$712)</f>
      </c>
      <c r="GW712">
        <f>IF(ISBLANK('Data Entry'!$č$712), "", 'Data Entry'!$č$712)</f>
      </c>
      <c r="GX712">
        <f>IF(ISBLANK('Data Entry'!$Ď$712), "", 'Data Entry'!$Ď$712)</f>
      </c>
      <c r="GY712">
        <f>IF(ISBLANK('Data Entry'!$ď$712), "", 'Data Entry'!$ď$712)</f>
      </c>
      <c r="GZ712">
        <f>IF(ISBLANK('Data Entry'!$Đ$712), "", 'Data Entry'!$Đ$712)</f>
      </c>
      <c r="HA712">
        <f>IF(ISBLANK('Data Entry'!$đ$712), "", 'Data Entry'!$đ$712)</f>
      </c>
      <c r="HB712">
        <f>IF(ISBLANK('Data Entry'!$Ē$712), "", 'Data Entry'!$Ē$712)</f>
      </c>
      <c r="HC712">
        <f>IF(ISBLANK('Data Entry'!$ē$712), "", 'Data Entry'!$ē$712)</f>
      </c>
      <c r="HD712">
        <f>IF(ISBLANK('Data Entry'!$Ĕ$712), "", 'Data Entry'!$Ĕ$712)</f>
      </c>
      <c r="HE712">
        <f>IF(ISBLANK('Data Entry'!$ĕ$712), "", 'Data Entry'!$ĕ$712)</f>
      </c>
      <c r="HF712">
        <f>IF(ISBLANK('Data Entry'!$Ė$712), "", 'Data Entry'!$Ė$712)</f>
      </c>
      <c r="HG712">
        <f>IF(ISBLANK('Data Entry'!$ė$712), "", 'Data Entry'!$ė$712)</f>
      </c>
      <c r="HH712">
        <f>IF(ISBLANK('Data Entry'!$Ę$712), "", 'Data Entry'!$Ę$712)</f>
      </c>
      <c r="HI712">
        <f>IF(ISBLANK('Data Entry'!$ę$712), "", 'Data Entry'!$ę$712)</f>
      </c>
      <c r="HJ712">
        <f>IF(ISBLANK('Data Entry'!$Ě$712), "", 'Data Entry'!$Ě$712)</f>
      </c>
      <c r="HK712">
        <f>IF(ISBLANK('Data Entry'!$ě$712), "", 'Data Entry'!$ě$712)</f>
      </c>
      <c r="HL712">
        <f>IF(ISBLANK('Data Entry'!$Ĝ$712), "", 'Data Entry'!$Ĝ$712)</f>
      </c>
      <c r="HM712">
        <f>IF(ISBLANK('Data Entry'!$ĝ$712), "", 'Data Entry'!$ĝ$712)</f>
      </c>
      <c r="HN712">
        <f>IF(ISBLANK('Data Entry'!$Ğ$712), "", 'Data Entry'!$Ğ$712)</f>
      </c>
      <c r="HO712">
        <f>IF(ISBLANK('Data Entry'!$ğ$712), "", 'Data Entry'!$ğ$712)</f>
      </c>
      <c r="HP712">
        <f>IF(ISBLANK('Data Entry'!$Ġ$712), "", 'Data Entry'!$Ġ$712)</f>
      </c>
      <c r="HQ712">
        <f>IF(ISBLANK('Data Entry'!$ġ$712), "", 'Data Entry'!$ġ$712)</f>
      </c>
      <c r="HR712">
        <f>IF(ISBLANK('Data Entry'!$Ģ$712), "", 'Data Entry'!$Ģ$712)</f>
      </c>
      <c r="HS712">
        <f>IF(ISBLANK('Data Entry'!$ģ$712), "", 'Data Entry'!$ģ$712)</f>
      </c>
      <c r="HT712">
        <f>IF(ISBLANK('Data Entry'!$Ĥ$712), "", 'Data Entry'!$Ĥ$712)</f>
      </c>
      <c r="HU712">
        <f>IF(ISBLANK('Data Entry'!$ĥ$712), "", 'Data Entry'!$ĥ$712)</f>
      </c>
      <c r="HV712">
        <f>IF(ISBLANK('Data Entry'!$Ħ$712), "", 'Data Entry'!$Ħ$712)</f>
      </c>
      <c r="HW712">
        <f>IF(ISBLANK('Data Entry'!$ħ$712), "", 'Data Entry'!$ħ$712)</f>
      </c>
      <c r="HX712">
        <f>IF(ISBLANK('Data Entry'!$Ĩ$712), "", 'Data Entry'!$Ĩ$712)</f>
      </c>
      <c r="HY712">
        <f>IF(ISBLANK('Data Entry'!$ĩ$712), "", 'Data Entry'!$ĩ$712)</f>
      </c>
      <c r="HZ712">
        <f>IF(ISBLANK('Data Entry'!$Ī$712), "", 'Data Entry'!$Ī$712)</f>
      </c>
      <c r="IA712">
        <f>IF(ISBLANK('Data Entry'!$ī$712), "", 'Data Entry'!$ī$712)</f>
      </c>
      <c r="IB712">
        <f>IF(ISBLANK('Data Entry'!$Ĭ$712), "", 'Data Entry'!$Ĭ$712)</f>
      </c>
      <c r="IC712">
        <f>IF(ISBLANK('Data Entry'!$ĭ$712), "", 'Data Entry'!$ĭ$712)</f>
      </c>
      <c r="ID712">
        <f>IF(ISBLANK('Data Entry'!$Į$712), "", 'Data Entry'!$Į$712)</f>
      </c>
      <c r="IE712">
        <f>IF(ISBLANK('Data Entry'!$į$712), "", 'Data Entry'!$į$712)</f>
      </c>
      <c r="IF712">
        <f>IF(ISBLANK('Data Entry'!$İ$712), "", 'Data Entry'!$İ$712)</f>
      </c>
      <c r="IG712">
        <f>IF(ISBLANK('Data Entry'!$ı$712), "", 'Data Entry'!$ı$712)</f>
      </c>
      <c r="IH712">
        <f>IF(ISBLANK('Data Entry'!$Ĳ$712), "", 'Data Entry'!$Ĳ$712)</f>
      </c>
      <c r="II712">
        <f>IF(ISBLANK('Data Entry'!$ĳ$712), "", 'Data Entry'!$ĳ$712)</f>
      </c>
      <c r="IJ712">
        <f>IF(ISBLANK('Data Entry'!$Ĵ$712), "", 'Data Entry'!$Ĵ$712)</f>
      </c>
      <c r="IK712">
        <f>IF(ISBLANK('Data Entry'!$ĵ$712), "", 'Data Entry'!$ĵ$712)</f>
      </c>
      <c r="IL712">
        <f>IF(ISBLANK('Data Entry'!$Ķ$712), "", 'Data Entry'!$Ķ$712)</f>
      </c>
      <c r="IM712">
        <f>IF(ISBLANK('Data Entry'!$ķ$712), "", 'Data Entry'!$ķ$712)</f>
      </c>
      <c r="IN712">
        <f>IF(ISBLANK('Data Entry'!$ĸ$712), "", 'Data Entry'!$ĸ$712)</f>
      </c>
      <c r="IO712">
        <f>IF(ISBLANK('Data Entry'!$Ĺ$712), "", 'Data Entry'!$Ĺ$712)</f>
      </c>
      <c r="IP712">
        <f>IF(ISBLANK('Data Entry'!$ĺ$712), "", 'Data Entry'!$ĺ$712)</f>
      </c>
      <c r="IQ712">
        <f>IF(ISBLANK('Data Entry'!$Ļ$712), "", 'Data Entry'!$Ļ$712)</f>
      </c>
      <c r="IR712">
        <f>IF(ISBLANK('Data Entry'!$ļ$712), "", 'Data Entry'!$ļ$712)</f>
      </c>
      <c r="IS712">
        <f>IF(ISBLANK('Data Entry'!$Ľ$712), "", 'Data Entry'!$Ľ$712)</f>
      </c>
      <c r="IT712">
        <f>IF(ISBLANK('Data Entry'!$ľ$712), "", 'Data Entry'!$ľ$712)</f>
      </c>
    </row>
    <row r="713" spans="1:254" x14ac:dyDescent="0.25">
      <c r="A713">
        <f>IF(ISBLANK('Data Entry'!$A$713), "", 'Data Entry'!$A$713)</f>
      </c>
      <c r="B713">
        <f>IF(ISBLANK('Data Entry'!$B$713), "", 'Data Entry'!$B$713)</f>
      </c>
      <c r="C713">
        <f>IF(ISBLANK('Data Entry'!$C$713), "", 'Data Entry'!$C$713)</f>
      </c>
      <c r="D713">
        <f>IF(ISBLANK('Data Entry'!$D$713), "", 'Data Entry'!$D$713)</f>
      </c>
      <c r="E713">
        <f>IF(ISBLANK('Data Entry'!$E$713), "", 'Data Entry'!$E$713)</f>
      </c>
      <c r="F713">
        <f>IF(ISBLANK('Data Entry'!$F$713), "", 'Data Entry'!$F$713)</f>
      </c>
      <c r="G713">
        <f>IF(ISBLANK('Data Entry'!$G$713), "", 'Data Entry'!$G$713)</f>
      </c>
      <c r="H713">
        <f>IF(ISBLANK('Data Entry'!$H$713), "", 'Data Entry'!$H$713)</f>
      </c>
      <c r="I713">
        <f>IF(ISBLANK('Data Entry'!$I$713), "", 'Data Entry'!$I$713)</f>
      </c>
      <c r="J713">
        <f>IF(ISBLANK('Data Entry'!$J$713), "", 'Data Entry'!$J$713)</f>
      </c>
      <c r="K713">
        <f>IF(ISBLANK('Data Entry'!$K$713), "", 'Data Entry'!$K$713)</f>
      </c>
      <c r="L713">
        <f>IF(ISBLANK('Data Entry'!$L$713), "", 'Data Entry'!$L$713)</f>
      </c>
      <c r="M713">
        <f>IF(ISBLANK('Data Entry'!$M$713), "", 'Data Entry'!$M$713)</f>
      </c>
      <c r="N713">
        <f>IF(ISBLANK('Data Entry'!$N$713), "", 'Data Entry'!$N$713)</f>
      </c>
      <c r="O713">
        <f>IF(ISBLANK('Data Entry'!$O$713), "", 'Data Entry'!$O$713)</f>
      </c>
      <c r="P713">
        <f>IF(ISBLANK('Data Entry'!$P$713), "", 'Data Entry'!$P$713)</f>
      </c>
      <c r="Q713">
        <f>IF(ISBLANK('Data Entry'!$Q$713), "", 'Data Entry'!$Q$713)</f>
      </c>
      <c r="R713">
        <f>IF(ISBLANK('Data Entry'!$R$713), "", 'Data Entry'!$R$713)</f>
      </c>
      <c r="S713">
        <f>IF(ISBLANK('Data Entry'!$S$713), "", 'Data Entry'!$S$713)</f>
      </c>
      <c r="T713">
        <f>IF(ISBLANK('Data Entry'!$T$713), "", 'Data Entry'!$T$713)</f>
      </c>
      <c r="U713">
        <f>IF(ISBLANK('Data Entry'!$U$713), "", 'Data Entry'!$U$713)</f>
      </c>
      <c r="V713">
        <f>IF(ISBLANK('Data Entry'!$V$713), "", 'Data Entry'!$V$713)</f>
      </c>
      <c r="W713">
        <f>IF(ISBLANK('Data Entry'!$W$713), "", 'Data Entry'!$W$713)</f>
      </c>
      <c r="X713">
        <f>IF(ISBLANK('Data Entry'!$X$713), "", 'Data Entry'!$X$713)</f>
      </c>
      <c r="Y713">
        <f>IF(ISBLANK('Data Entry'!$Y$713), "", 'Data Entry'!$Y$713)</f>
      </c>
      <c r="Z713">
        <f>IF(ISBLANK('Data Entry'!$Z$713), "", 'Data Entry'!$Z$713)</f>
      </c>
      <c r="AA713">
        <f>IF(ISBLANK('Data Entry'!$[$713), "", 'Data Entry'!$[$713)</f>
      </c>
      <c r="AB713">
        <f>IF(ISBLANK('Data Entry'!$\$713), "", 'Data Entry'!$\$713)</f>
      </c>
      <c r="AC713">
        <f>IF(ISBLANK('Data Entry'!$]$713), "", 'Data Entry'!$]$713)</f>
      </c>
      <c r="AD713">
        <f>IF(ISBLANK('Data Entry'!$^$713), "", 'Data Entry'!$^$713)</f>
      </c>
      <c r="AE713">
        <f>IF(ISBLANK('Data Entry'!$_$713), "", 'Data Entry'!$_$713)</f>
      </c>
      <c r="AF713">
        <f>IF(ISBLANK('Data Entry'!$`$713), "", 'Data Entry'!$`$713)</f>
      </c>
      <c r="AG713">
        <f>IF(ISBLANK('Data Entry'!$a$713), "", 'Data Entry'!$a$713)</f>
      </c>
      <c r="AH713">
        <f>IF(ISBLANK('Data Entry'!$b$713), "", 'Data Entry'!$b$713)</f>
      </c>
      <c r="AI713">
        <f>IF(ISBLANK('Data Entry'!$c$713), "", 'Data Entry'!$c$713)</f>
      </c>
      <c r="AJ713">
        <f>IF(ISBLANK('Data Entry'!$d$713), "", 'Data Entry'!$d$713)</f>
      </c>
      <c r="AK713">
        <f>IF(ISBLANK('Data Entry'!$e$713), "", 'Data Entry'!$e$713)</f>
      </c>
      <c r="AL713">
        <f>IF(ISBLANK('Data Entry'!$f$713), "", 'Data Entry'!$f$713)</f>
      </c>
      <c r="AM713">
        <f>IF(ISBLANK('Data Entry'!$g$713), "", 'Data Entry'!$g$713)</f>
      </c>
      <c r="AN713">
        <f>IF(ISBLANK('Data Entry'!$h$713), "", 'Data Entry'!$h$713)</f>
      </c>
      <c r="AO713">
        <f>IF(ISBLANK('Data Entry'!$i$713), "", 'Data Entry'!$i$713)</f>
      </c>
      <c r="AP713">
        <f>IF(ISBLANK('Data Entry'!$j$713), "", 'Data Entry'!$j$713)</f>
      </c>
      <c r="AQ713">
        <f>IF(ISBLANK('Data Entry'!$k$713), "", 'Data Entry'!$k$713)</f>
      </c>
      <c r="AR713">
        <f>IF(ISBLANK('Data Entry'!$l$713), "", 'Data Entry'!$l$713)</f>
      </c>
      <c r="AS713">
        <f>IF(ISBLANK('Data Entry'!$m$713), "", 'Data Entry'!$m$713)</f>
      </c>
      <c r="AT713">
        <f>IF(ISBLANK('Data Entry'!$n$713), "", 'Data Entry'!$n$713)</f>
      </c>
      <c r="AU713">
        <f>IF(ISBLANK('Data Entry'!$o$713), "", 'Data Entry'!$o$713)</f>
      </c>
      <c r="AV713">
        <f>IF(ISBLANK('Data Entry'!$p$713), "", 'Data Entry'!$p$713)</f>
      </c>
      <c r="AW713">
        <f>IF(ISBLANK('Data Entry'!$q$713), "", 'Data Entry'!$q$713)</f>
      </c>
      <c r="AX713">
        <f>IF(ISBLANK('Data Entry'!$r$713), "", 'Data Entry'!$r$713)</f>
      </c>
      <c r="AY713">
        <f>IF(ISBLANK('Data Entry'!$s$713), "", 'Data Entry'!$s$713)</f>
      </c>
      <c r="AZ713">
        <f>IF(ISBLANK('Data Entry'!$t$713), "", 'Data Entry'!$t$713)</f>
      </c>
      <c r="BA713">
        <f>IF(ISBLANK('Data Entry'!$u$713), "", 'Data Entry'!$u$713)</f>
      </c>
      <c r="BB713">
        <f>IF(ISBLANK('Data Entry'!$v$713), "", 'Data Entry'!$v$713)</f>
      </c>
      <c r="BC713">
        <f>IF(ISBLANK('Data Entry'!$w$713), "", 'Data Entry'!$w$713)</f>
      </c>
      <c r="BD713">
        <f>IF(ISBLANK('Data Entry'!$x$713), "", 'Data Entry'!$x$713)</f>
      </c>
      <c r="BE713">
        <f>IF(ISBLANK('Data Entry'!$y$713), "", 'Data Entry'!$y$713)</f>
      </c>
      <c r="BF713">
        <f>IF(ISBLANK('Data Entry'!$z$713), "", 'Data Entry'!$z$713)</f>
      </c>
      <c r="BG713">
        <f>IF(ISBLANK('Data Entry'!${$713), "", 'Data Entry'!${$713)</f>
      </c>
      <c r="BH713">
        <f>IF(ISBLANK('Data Entry'!$|$713), "", 'Data Entry'!$|$713)</f>
      </c>
      <c r="BI713">
        <f>IF(ISBLANK('Data Entry'!$}$713), "", 'Data Entry'!$}$713)</f>
      </c>
      <c r="BJ713">
        <f>IF(ISBLANK('Data Entry'!$~$713), "", 'Data Entry'!$~$713)</f>
      </c>
      <c r="BK713">
        <f>IF(ISBLANK('Data Entry'!$$713), "", 'Data Entry'!$$713)</f>
      </c>
      <c r="BL713">
        <f>IF(ISBLANK('Data Entry'!$$713), "", 'Data Entry'!$$713)</f>
      </c>
      <c r="BM713">
        <f>IF(ISBLANK('Data Entry'!$$713), "", 'Data Entry'!$$713)</f>
      </c>
      <c r="BN713">
        <f>IF(ISBLANK('Data Entry'!$$713), "", 'Data Entry'!$$713)</f>
      </c>
      <c r="BO713">
        <f>IF(ISBLANK('Data Entry'!$$713), "", 'Data Entry'!$$713)</f>
      </c>
      <c r="BP713">
        <f>IF(ISBLANK('Data Entry'!$$713), "", 'Data Entry'!$$713)</f>
      </c>
      <c r="BQ713">
        <f>IF(ISBLANK('Data Entry'!$$713), "", 'Data Entry'!$$713)</f>
      </c>
      <c r="BR713">
        <f>IF(ISBLANK('Data Entry'!$$713), "", 'Data Entry'!$$713)</f>
      </c>
      <c r="BS713">
        <f>IF(ISBLANK('Data Entry'!$$713), "", 'Data Entry'!$$713)</f>
      </c>
      <c r="BT713">
        <f>IF(ISBLANK('Data Entry'!$$713), "", 'Data Entry'!$$713)</f>
      </c>
      <c r="BU713">
        <f>IF(ISBLANK('Data Entry'!$$713), "", 'Data Entry'!$$713)</f>
      </c>
      <c r="BV713">
        <f>IF(ISBLANK('Data Entry'!$$713), "", 'Data Entry'!$$713)</f>
      </c>
      <c r="BW713">
        <f>IF(ISBLANK('Data Entry'!$$713), "", 'Data Entry'!$$713)</f>
      </c>
      <c r="BX713">
        <f>IF(ISBLANK('Data Entry'!$$713), "", 'Data Entry'!$$713)</f>
      </c>
      <c r="BY713">
        <f>IF(ISBLANK('Data Entry'!$$713), "", 'Data Entry'!$$713)</f>
      </c>
      <c r="BZ713">
        <f>IF(ISBLANK('Data Entry'!$$713), "", 'Data Entry'!$$713)</f>
      </c>
      <c r="CA713">
        <f>IF(ISBLANK('Data Entry'!$$713), "", 'Data Entry'!$$713)</f>
      </c>
      <c r="CB713">
        <f>IF(ISBLANK('Data Entry'!$$713), "", 'Data Entry'!$$713)</f>
      </c>
      <c r="CC713">
        <f>IF(ISBLANK('Data Entry'!$$713), "", 'Data Entry'!$$713)</f>
      </c>
      <c r="CD713">
        <f>IF(ISBLANK('Data Entry'!$$713), "", 'Data Entry'!$$713)</f>
      </c>
      <c r="CE713">
        <f>IF(ISBLANK('Data Entry'!$$713), "", 'Data Entry'!$$713)</f>
      </c>
      <c r="CF713">
        <f>IF(ISBLANK('Data Entry'!$$713), "", 'Data Entry'!$$713)</f>
      </c>
      <c r="CG713">
        <f>IF(ISBLANK('Data Entry'!$$713), "", 'Data Entry'!$$713)</f>
      </c>
      <c r="CH713">
        <f>IF(ISBLANK('Data Entry'!$$713), "", 'Data Entry'!$$713)</f>
      </c>
      <c r="CI713">
        <f>IF(ISBLANK('Data Entry'!$$713), "", 'Data Entry'!$$713)</f>
      </c>
      <c r="CJ713">
        <f>IF(ISBLANK('Data Entry'!$$713), "", 'Data Entry'!$$713)</f>
      </c>
      <c r="CK713">
        <f>IF(ISBLANK('Data Entry'!$$713), "", 'Data Entry'!$$713)</f>
      </c>
      <c r="CL713">
        <f>IF(ISBLANK('Data Entry'!$$713), "", 'Data Entry'!$$713)</f>
      </c>
      <c r="CM713">
        <f>IF(ISBLANK('Data Entry'!$$713), "", 'Data Entry'!$$713)</f>
      </c>
      <c r="CN713">
        <f>IF(ISBLANK('Data Entry'!$$713), "", 'Data Entry'!$$713)</f>
      </c>
      <c r="CO713">
        <f>IF(ISBLANK('Data Entry'!$$713), "", 'Data Entry'!$$713)</f>
      </c>
      <c r="CP713">
        <f>IF(ISBLANK('Data Entry'!$$713), "", 'Data Entry'!$$713)</f>
      </c>
      <c r="CQ713">
        <f>IF(ISBLANK('Data Entry'!$$713), "", 'Data Entry'!$$713)</f>
      </c>
      <c r="CR713">
        <f>IF(ISBLANK('Data Entry'!$ $713), "", 'Data Entry'!$ $713)</f>
      </c>
      <c r="CS713">
        <f>IF(ISBLANK('Data Entry'!$¡$713), "", 'Data Entry'!$¡$713)</f>
      </c>
      <c r="CT713">
        <f>IF(ISBLANK('Data Entry'!$¢$713), "", 'Data Entry'!$¢$713)</f>
      </c>
      <c r="CU713">
        <f>IF(ISBLANK('Data Entry'!$£$713), "", 'Data Entry'!$£$713)</f>
      </c>
      <c r="CV713">
        <f>IF(ISBLANK('Data Entry'!$¤$713), "", 'Data Entry'!$¤$713)</f>
      </c>
      <c r="CW713">
        <f>IF(ISBLANK('Data Entry'!$¥$713), "", 'Data Entry'!$¥$713)</f>
      </c>
      <c r="CX713">
        <f>IF(ISBLANK('Data Entry'!$¦$713), "", 'Data Entry'!$¦$713)</f>
      </c>
      <c r="CY713">
        <f>IF(ISBLANK('Data Entry'!$§$713), "", 'Data Entry'!$§$713)</f>
      </c>
      <c r="CZ713">
        <f>IF(ISBLANK('Data Entry'!$¨$713), "", 'Data Entry'!$¨$713)</f>
      </c>
      <c r="DA713">
        <f>IF(ISBLANK('Data Entry'!$©$713), "", 'Data Entry'!$©$713)</f>
      </c>
      <c r="DB713">
        <f>IF(ISBLANK('Data Entry'!$ª$713), "", 'Data Entry'!$ª$713)</f>
      </c>
      <c r="DC713">
        <f>IF(ISBLANK('Data Entry'!$«$713), "", 'Data Entry'!$«$713)</f>
      </c>
      <c r="DD713">
        <f>IF(ISBLANK('Data Entry'!$¬$713), "", 'Data Entry'!$¬$713)</f>
      </c>
      <c r="DE713">
        <f>IF(ISBLANK('Data Entry'!$­$713), "", 'Data Entry'!$­$713)</f>
      </c>
      <c r="DF713">
        <f>IF(ISBLANK('Data Entry'!$®$713), "", 'Data Entry'!$®$713)</f>
      </c>
      <c r="DG713">
        <f>IF(ISBLANK('Data Entry'!$¯$713), "", 'Data Entry'!$¯$713)</f>
      </c>
      <c r="DH713">
        <f>IF(ISBLANK('Data Entry'!$°$713), "", 'Data Entry'!$°$713)</f>
      </c>
      <c r="DI713">
        <f>IF(ISBLANK('Data Entry'!$±$713), "", 'Data Entry'!$±$713)</f>
      </c>
      <c r="DJ713">
        <f>IF(ISBLANK('Data Entry'!$²$713), "", 'Data Entry'!$²$713)</f>
      </c>
      <c r="DK713">
        <f>IF(ISBLANK('Data Entry'!$³$713), "", 'Data Entry'!$³$713)</f>
      </c>
      <c r="DL713">
        <f>IF(ISBLANK('Data Entry'!$´$713), "", 'Data Entry'!$´$713)</f>
      </c>
      <c r="DM713">
        <f>IF(ISBLANK('Data Entry'!$µ$713), "", 'Data Entry'!$µ$713)</f>
      </c>
      <c r="DN713">
        <f>IF(ISBLANK('Data Entry'!$¶$713), "", 'Data Entry'!$¶$713)</f>
      </c>
      <c r="DO713">
        <f>IF(ISBLANK('Data Entry'!$·$713), "", 'Data Entry'!$·$713)</f>
      </c>
      <c r="DP713">
        <f>IF(ISBLANK('Data Entry'!$¸$713), "", 'Data Entry'!$¸$713)</f>
      </c>
      <c r="DQ713">
        <f>IF(ISBLANK('Data Entry'!$¹$713), "", 'Data Entry'!$¹$713)</f>
      </c>
      <c r="DR713">
        <f>IF(ISBLANK('Data Entry'!$º$713), "", 'Data Entry'!$º$713)</f>
      </c>
      <c r="DS713">
        <f>IF(ISBLANK('Data Entry'!$»$713), "", 'Data Entry'!$»$713)</f>
      </c>
      <c r="DT713">
        <f>IF(ISBLANK('Data Entry'!$¼$713), "", 'Data Entry'!$¼$713)</f>
      </c>
      <c r="DU713">
        <f>IF(ISBLANK('Data Entry'!$½$713), "", 'Data Entry'!$½$713)</f>
      </c>
      <c r="DV713">
        <f>IF(ISBLANK('Data Entry'!$¾$713), "", 'Data Entry'!$¾$713)</f>
      </c>
      <c r="DW713">
        <f>IF(ISBLANK('Data Entry'!$¿$713), "", 'Data Entry'!$¿$713)</f>
      </c>
      <c r="DX713">
        <f>IF(ISBLANK('Data Entry'!$À$713), "", 'Data Entry'!$À$713)</f>
      </c>
      <c r="DY713">
        <f>IF(ISBLANK('Data Entry'!$Á$713), "", 'Data Entry'!$Á$713)</f>
      </c>
      <c r="DZ713">
        <f>IF(ISBLANK('Data Entry'!$Â$713), "", 'Data Entry'!$Â$713)</f>
      </c>
      <c r="EA713">
        <f>IF(ISBLANK('Data Entry'!$Ã$713), "", 'Data Entry'!$Ã$713)</f>
      </c>
      <c r="EB713">
        <f>IF(ISBLANK('Data Entry'!$Ä$713), "", 'Data Entry'!$Ä$713)</f>
      </c>
      <c r="EC713">
        <f>IF(ISBLANK('Data Entry'!$Å$713), "", 'Data Entry'!$Å$713)</f>
      </c>
      <c r="ED713">
        <f>IF(ISBLANK('Data Entry'!$Æ$713), "", 'Data Entry'!$Æ$713)</f>
      </c>
      <c r="EE713">
        <f>IF(ISBLANK('Data Entry'!$Ç$713), "", 'Data Entry'!$Ç$713)</f>
      </c>
      <c r="EF713">
        <f>IF(ISBLANK('Data Entry'!$È$713), "", 'Data Entry'!$È$713)</f>
      </c>
      <c r="EG713">
        <f>IF(ISBLANK('Data Entry'!$É$713), "", 'Data Entry'!$É$713)</f>
      </c>
      <c r="EH713">
        <f>IF(ISBLANK('Data Entry'!$Ê$713), "", 'Data Entry'!$Ê$713)</f>
      </c>
      <c r="EI713">
        <f>IF(ISBLANK('Data Entry'!$Ë$713), "", 'Data Entry'!$Ë$713)</f>
      </c>
      <c r="EJ713">
        <f>IF(ISBLANK('Data Entry'!$Ì$713), "", 'Data Entry'!$Ì$713)</f>
      </c>
      <c r="EK713">
        <f>IF(ISBLANK('Data Entry'!$Í$713), "", 'Data Entry'!$Í$713)</f>
      </c>
      <c r="EL713">
        <f>IF(ISBLANK('Data Entry'!$Î$713), "", 'Data Entry'!$Î$713)</f>
      </c>
      <c r="EM713">
        <f>IF(ISBLANK('Data Entry'!$Ï$713), "", 'Data Entry'!$Ï$713)</f>
      </c>
      <c r="EN713">
        <f>IF(ISBLANK('Data Entry'!$Ð$713), "", 'Data Entry'!$Ð$713)</f>
      </c>
      <c r="EO713">
        <f>IF(ISBLANK('Data Entry'!$Ñ$713), "", 'Data Entry'!$Ñ$713)</f>
      </c>
      <c r="EP713">
        <f>IF(ISBLANK('Data Entry'!$Ò$713), "", 'Data Entry'!$Ò$713)</f>
      </c>
      <c r="EQ713">
        <f>IF(ISBLANK('Data Entry'!$Ó$713), "", 'Data Entry'!$Ó$713)</f>
      </c>
      <c r="ER713">
        <f>IF(ISBLANK('Data Entry'!$Ô$713), "", 'Data Entry'!$Ô$713)</f>
      </c>
      <c r="ES713">
        <f>IF(ISBLANK('Data Entry'!$Õ$713), "", 'Data Entry'!$Õ$713)</f>
      </c>
      <c r="ET713">
        <f>IF(ISBLANK('Data Entry'!$Ö$713), "", 'Data Entry'!$Ö$713)</f>
      </c>
      <c r="EU713">
        <f>IF(ISBLANK('Data Entry'!$×$713), "", 'Data Entry'!$×$713)</f>
      </c>
      <c r="EV713">
        <f>IF(ISBLANK('Data Entry'!$Ø$713), "", 'Data Entry'!$Ø$713)</f>
      </c>
      <c r="EW713">
        <f>IF(ISBLANK('Data Entry'!$Ù$713), "", 'Data Entry'!$Ù$713)</f>
      </c>
      <c r="EX713">
        <f>IF(ISBLANK('Data Entry'!$Ú$713), "", 'Data Entry'!$Ú$713)</f>
      </c>
      <c r="EY713">
        <f>IF(ISBLANK('Data Entry'!$Û$713), "", 'Data Entry'!$Û$713)</f>
      </c>
      <c r="EZ713">
        <f>IF(ISBLANK('Data Entry'!$Ü$713), "", 'Data Entry'!$Ü$713)</f>
      </c>
      <c r="FA713">
        <f>IF(ISBLANK('Data Entry'!$Ý$713), "", 'Data Entry'!$Ý$713)</f>
      </c>
      <c r="FB713">
        <f>IF(ISBLANK('Data Entry'!$Þ$713), "", 'Data Entry'!$Þ$713)</f>
      </c>
      <c r="FC713">
        <f>IF(ISBLANK('Data Entry'!$ß$713), "", 'Data Entry'!$ß$713)</f>
      </c>
      <c r="FD713">
        <f>IF(ISBLANK('Data Entry'!$à$713), "", 'Data Entry'!$à$713)</f>
      </c>
      <c r="FE713">
        <f>IF(ISBLANK('Data Entry'!$á$713), "", 'Data Entry'!$á$713)</f>
      </c>
      <c r="FF713">
        <f>IF(ISBLANK('Data Entry'!$â$713), "", 'Data Entry'!$â$713)</f>
      </c>
      <c r="FG713">
        <f>IF(ISBLANK('Data Entry'!$ã$713), "", 'Data Entry'!$ã$713)</f>
      </c>
      <c r="FH713">
        <f>IF(ISBLANK('Data Entry'!$ä$713), "", 'Data Entry'!$ä$713)</f>
      </c>
      <c r="FI713">
        <f>IF(ISBLANK('Data Entry'!$å$713), "", 'Data Entry'!$å$713)</f>
      </c>
      <c r="FJ713">
        <f>IF(ISBLANK('Data Entry'!$æ$713), "", 'Data Entry'!$æ$713)</f>
      </c>
      <c r="FK713">
        <f>IF(ISBLANK('Data Entry'!$ç$713), "", 'Data Entry'!$ç$713)</f>
      </c>
      <c r="FL713">
        <f>IF(ISBLANK('Data Entry'!$è$713), "", 'Data Entry'!$è$713)</f>
      </c>
      <c r="FM713">
        <f>IF(ISBLANK('Data Entry'!$é$713), "", 'Data Entry'!$é$713)</f>
      </c>
      <c r="FN713">
        <f>IF(ISBLANK('Data Entry'!$ê$713), "", 'Data Entry'!$ê$713)</f>
      </c>
      <c r="FO713">
        <f>IF(ISBLANK('Data Entry'!$ë$713), "", 'Data Entry'!$ë$713)</f>
      </c>
      <c r="FP713">
        <f>IF(ISBLANK('Data Entry'!$ì$713), "", 'Data Entry'!$ì$713)</f>
      </c>
      <c r="FQ713">
        <f>IF(ISBLANK('Data Entry'!$í$713), "", 'Data Entry'!$í$713)</f>
      </c>
      <c r="FR713">
        <f>IF(ISBLANK('Data Entry'!$î$713), "", 'Data Entry'!$î$713)</f>
      </c>
      <c r="FS713">
        <f>IF(ISBLANK('Data Entry'!$ï$713), "", 'Data Entry'!$ï$713)</f>
      </c>
      <c r="FT713">
        <f>IF(ISBLANK('Data Entry'!$ð$713), "", 'Data Entry'!$ð$713)</f>
      </c>
      <c r="FU713">
        <f>IF(ISBLANK('Data Entry'!$ñ$713), "", 'Data Entry'!$ñ$713)</f>
      </c>
      <c r="FV713">
        <f>IF(ISBLANK('Data Entry'!$ò$713), "", 'Data Entry'!$ò$713)</f>
      </c>
      <c r="FW713">
        <f>IF(ISBLANK('Data Entry'!$ó$713), "", 'Data Entry'!$ó$713)</f>
      </c>
      <c r="FX713">
        <f>IF(ISBLANK('Data Entry'!$ô$713), "", 'Data Entry'!$ô$713)</f>
      </c>
      <c r="FY713">
        <f>IF(ISBLANK('Data Entry'!$õ$713), "", 'Data Entry'!$õ$713)</f>
      </c>
      <c r="FZ713">
        <f>IF(ISBLANK('Data Entry'!$ö$713), "", 'Data Entry'!$ö$713)</f>
      </c>
      <c r="GA713">
        <f>IF(ISBLANK('Data Entry'!$÷$713), "", 'Data Entry'!$÷$713)</f>
      </c>
      <c r="GB713">
        <f>IF(ISBLANK('Data Entry'!$ø$713), "", 'Data Entry'!$ø$713)</f>
      </c>
      <c r="GC713">
        <f>IF(ISBLANK('Data Entry'!$ù$713), "", 'Data Entry'!$ù$713)</f>
      </c>
      <c r="GD713">
        <f>IF(ISBLANK('Data Entry'!$ú$713), "", 'Data Entry'!$ú$713)</f>
      </c>
      <c r="GE713">
        <f>IF(ISBLANK('Data Entry'!$û$713), "", 'Data Entry'!$û$713)</f>
      </c>
      <c r="GF713">
        <f>IF(ISBLANK('Data Entry'!$ü$713), "", 'Data Entry'!$ü$713)</f>
      </c>
      <c r="GG713">
        <f>IF(ISBLANK('Data Entry'!$ý$713), "", 'Data Entry'!$ý$713)</f>
      </c>
      <c r="GH713">
        <f>IF(ISBLANK('Data Entry'!$þ$713), "", 'Data Entry'!$þ$713)</f>
      </c>
      <c r="GI713">
        <f>IF(ISBLANK('Data Entry'!$ÿ$713), "", 'Data Entry'!$ÿ$713)</f>
      </c>
      <c r="GJ713">
        <f>IF(ISBLANK('Data Entry'!$Ā$713), "", 'Data Entry'!$Ā$713)</f>
      </c>
      <c r="GK713">
        <f>IF(ISBLANK('Data Entry'!$ā$713), "", 'Data Entry'!$ā$713)</f>
      </c>
      <c r="GL713">
        <f>IF(ISBLANK('Data Entry'!$Ă$713), "", 'Data Entry'!$Ă$713)</f>
      </c>
      <c r="GM713">
        <f>IF(ISBLANK('Data Entry'!$ă$713), "", 'Data Entry'!$ă$713)</f>
      </c>
      <c r="GN713">
        <f>IF(ISBLANK('Data Entry'!$Ą$713), "", 'Data Entry'!$Ą$713)</f>
      </c>
      <c r="GO713">
        <f>IF(ISBLANK('Data Entry'!$ą$713), "", 'Data Entry'!$ą$713)</f>
      </c>
      <c r="GP713">
        <f>IF(ISBLANK('Data Entry'!$Ć$713), "", 'Data Entry'!$Ć$713)</f>
      </c>
      <c r="GQ713">
        <f>IF(ISBLANK('Data Entry'!$ć$713), "", 'Data Entry'!$ć$713)</f>
      </c>
      <c r="GR713">
        <f>IF(ISBLANK('Data Entry'!$Ĉ$713), "", 'Data Entry'!$Ĉ$713)</f>
      </c>
      <c r="GS713">
        <f>IF(ISBLANK('Data Entry'!$ĉ$713), "", 'Data Entry'!$ĉ$713)</f>
      </c>
      <c r="GT713">
        <f>IF(ISBLANK('Data Entry'!$Ċ$713), "", 'Data Entry'!$Ċ$713)</f>
      </c>
      <c r="GU713">
        <f>IF(ISBLANK('Data Entry'!$ċ$713), "", 'Data Entry'!$ċ$713)</f>
      </c>
      <c r="GV713">
        <f>IF(ISBLANK('Data Entry'!$Č$713), "", 'Data Entry'!$Č$713)</f>
      </c>
      <c r="GW713">
        <f>IF(ISBLANK('Data Entry'!$č$713), "", 'Data Entry'!$č$713)</f>
      </c>
      <c r="GX713">
        <f>IF(ISBLANK('Data Entry'!$Ď$713), "", 'Data Entry'!$Ď$713)</f>
      </c>
      <c r="GY713">
        <f>IF(ISBLANK('Data Entry'!$ď$713), "", 'Data Entry'!$ď$713)</f>
      </c>
      <c r="GZ713">
        <f>IF(ISBLANK('Data Entry'!$Đ$713), "", 'Data Entry'!$Đ$713)</f>
      </c>
      <c r="HA713">
        <f>IF(ISBLANK('Data Entry'!$đ$713), "", 'Data Entry'!$đ$713)</f>
      </c>
      <c r="HB713">
        <f>IF(ISBLANK('Data Entry'!$Ē$713), "", 'Data Entry'!$Ē$713)</f>
      </c>
      <c r="HC713">
        <f>IF(ISBLANK('Data Entry'!$ē$713), "", 'Data Entry'!$ē$713)</f>
      </c>
      <c r="HD713">
        <f>IF(ISBLANK('Data Entry'!$Ĕ$713), "", 'Data Entry'!$Ĕ$713)</f>
      </c>
      <c r="HE713">
        <f>IF(ISBLANK('Data Entry'!$ĕ$713), "", 'Data Entry'!$ĕ$713)</f>
      </c>
      <c r="HF713">
        <f>IF(ISBLANK('Data Entry'!$Ė$713), "", 'Data Entry'!$Ė$713)</f>
      </c>
      <c r="HG713">
        <f>IF(ISBLANK('Data Entry'!$ė$713), "", 'Data Entry'!$ė$713)</f>
      </c>
      <c r="HH713">
        <f>IF(ISBLANK('Data Entry'!$Ę$713), "", 'Data Entry'!$Ę$713)</f>
      </c>
      <c r="HI713">
        <f>IF(ISBLANK('Data Entry'!$ę$713), "", 'Data Entry'!$ę$713)</f>
      </c>
      <c r="HJ713">
        <f>IF(ISBLANK('Data Entry'!$Ě$713), "", 'Data Entry'!$Ě$713)</f>
      </c>
      <c r="HK713">
        <f>IF(ISBLANK('Data Entry'!$ě$713), "", 'Data Entry'!$ě$713)</f>
      </c>
      <c r="HL713">
        <f>IF(ISBLANK('Data Entry'!$Ĝ$713), "", 'Data Entry'!$Ĝ$713)</f>
      </c>
      <c r="HM713">
        <f>IF(ISBLANK('Data Entry'!$ĝ$713), "", 'Data Entry'!$ĝ$713)</f>
      </c>
      <c r="HN713">
        <f>IF(ISBLANK('Data Entry'!$Ğ$713), "", 'Data Entry'!$Ğ$713)</f>
      </c>
      <c r="HO713">
        <f>IF(ISBLANK('Data Entry'!$ğ$713), "", 'Data Entry'!$ğ$713)</f>
      </c>
      <c r="HP713">
        <f>IF(ISBLANK('Data Entry'!$Ġ$713), "", 'Data Entry'!$Ġ$713)</f>
      </c>
      <c r="HQ713">
        <f>IF(ISBLANK('Data Entry'!$ġ$713), "", 'Data Entry'!$ġ$713)</f>
      </c>
      <c r="HR713">
        <f>IF(ISBLANK('Data Entry'!$Ģ$713), "", 'Data Entry'!$Ģ$713)</f>
      </c>
      <c r="HS713">
        <f>IF(ISBLANK('Data Entry'!$ģ$713), "", 'Data Entry'!$ģ$713)</f>
      </c>
      <c r="HT713">
        <f>IF(ISBLANK('Data Entry'!$Ĥ$713), "", 'Data Entry'!$Ĥ$713)</f>
      </c>
      <c r="HU713">
        <f>IF(ISBLANK('Data Entry'!$ĥ$713), "", 'Data Entry'!$ĥ$713)</f>
      </c>
      <c r="HV713">
        <f>IF(ISBLANK('Data Entry'!$Ħ$713), "", 'Data Entry'!$Ħ$713)</f>
      </c>
      <c r="HW713">
        <f>IF(ISBLANK('Data Entry'!$ħ$713), "", 'Data Entry'!$ħ$713)</f>
      </c>
      <c r="HX713">
        <f>IF(ISBLANK('Data Entry'!$Ĩ$713), "", 'Data Entry'!$Ĩ$713)</f>
      </c>
      <c r="HY713">
        <f>IF(ISBLANK('Data Entry'!$ĩ$713), "", 'Data Entry'!$ĩ$713)</f>
      </c>
      <c r="HZ713">
        <f>IF(ISBLANK('Data Entry'!$Ī$713), "", 'Data Entry'!$Ī$713)</f>
      </c>
      <c r="IA713">
        <f>IF(ISBLANK('Data Entry'!$ī$713), "", 'Data Entry'!$ī$713)</f>
      </c>
      <c r="IB713">
        <f>IF(ISBLANK('Data Entry'!$Ĭ$713), "", 'Data Entry'!$Ĭ$713)</f>
      </c>
      <c r="IC713">
        <f>IF(ISBLANK('Data Entry'!$ĭ$713), "", 'Data Entry'!$ĭ$713)</f>
      </c>
      <c r="ID713">
        <f>IF(ISBLANK('Data Entry'!$Į$713), "", 'Data Entry'!$Į$713)</f>
      </c>
      <c r="IE713">
        <f>IF(ISBLANK('Data Entry'!$į$713), "", 'Data Entry'!$į$713)</f>
      </c>
      <c r="IF713">
        <f>IF(ISBLANK('Data Entry'!$İ$713), "", 'Data Entry'!$İ$713)</f>
      </c>
      <c r="IG713">
        <f>IF(ISBLANK('Data Entry'!$ı$713), "", 'Data Entry'!$ı$713)</f>
      </c>
      <c r="IH713">
        <f>IF(ISBLANK('Data Entry'!$Ĳ$713), "", 'Data Entry'!$Ĳ$713)</f>
      </c>
      <c r="II713">
        <f>IF(ISBLANK('Data Entry'!$ĳ$713), "", 'Data Entry'!$ĳ$713)</f>
      </c>
      <c r="IJ713">
        <f>IF(ISBLANK('Data Entry'!$Ĵ$713), "", 'Data Entry'!$Ĵ$713)</f>
      </c>
      <c r="IK713">
        <f>IF(ISBLANK('Data Entry'!$ĵ$713), "", 'Data Entry'!$ĵ$713)</f>
      </c>
      <c r="IL713">
        <f>IF(ISBLANK('Data Entry'!$Ķ$713), "", 'Data Entry'!$Ķ$713)</f>
      </c>
      <c r="IM713">
        <f>IF(ISBLANK('Data Entry'!$ķ$713), "", 'Data Entry'!$ķ$713)</f>
      </c>
      <c r="IN713">
        <f>IF(ISBLANK('Data Entry'!$ĸ$713), "", 'Data Entry'!$ĸ$713)</f>
      </c>
      <c r="IO713">
        <f>IF(ISBLANK('Data Entry'!$Ĺ$713), "", 'Data Entry'!$Ĺ$713)</f>
      </c>
      <c r="IP713">
        <f>IF(ISBLANK('Data Entry'!$ĺ$713), "", 'Data Entry'!$ĺ$713)</f>
      </c>
      <c r="IQ713">
        <f>IF(ISBLANK('Data Entry'!$Ļ$713), "", 'Data Entry'!$Ļ$713)</f>
      </c>
      <c r="IR713">
        <f>IF(ISBLANK('Data Entry'!$ļ$713), "", 'Data Entry'!$ļ$713)</f>
      </c>
      <c r="IS713">
        <f>IF(ISBLANK('Data Entry'!$Ľ$713), "", 'Data Entry'!$Ľ$713)</f>
      </c>
      <c r="IT713">
        <f>IF(ISBLANK('Data Entry'!$ľ$713), "", 'Data Entry'!$ľ$713)</f>
      </c>
    </row>
    <row r="714" spans="1:254" x14ac:dyDescent="0.25">
      <c r="A714">
        <f>IF(ISBLANK('Data Entry'!$A$714), "", 'Data Entry'!$A$714)</f>
      </c>
      <c r="B714">
        <f>IF(ISBLANK('Data Entry'!$B$714), "", 'Data Entry'!$B$714)</f>
      </c>
      <c r="C714">
        <f>IF(ISBLANK('Data Entry'!$C$714), "", 'Data Entry'!$C$714)</f>
      </c>
      <c r="D714">
        <f>IF(ISBLANK('Data Entry'!$D$714), "", 'Data Entry'!$D$714)</f>
      </c>
      <c r="E714">
        <f>IF(ISBLANK('Data Entry'!$E$714), "", 'Data Entry'!$E$714)</f>
      </c>
      <c r="F714">
        <f>IF(ISBLANK('Data Entry'!$F$714), "", 'Data Entry'!$F$714)</f>
      </c>
      <c r="G714">
        <f>IF(ISBLANK('Data Entry'!$G$714), "", 'Data Entry'!$G$714)</f>
      </c>
      <c r="H714">
        <f>IF(ISBLANK('Data Entry'!$H$714), "", 'Data Entry'!$H$714)</f>
      </c>
      <c r="I714">
        <f>IF(ISBLANK('Data Entry'!$I$714), "", 'Data Entry'!$I$714)</f>
      </c>
      <c r="J714">
        <f>IF(ISBLANK('Data Entry'!$J$714), "", 'Data Entry'!$J$714)</f>
      </c>
      <c r="K714">
        <f>IF(ISBLANK('Data Entry'!$K$714), "", 'Data Entry'!$K$714)</f>
      </c>
      <c r="L714">
        <f>IF(ISBLANK('Data Entry'!$L$714), "", 'Data Entry'!$L$714)</f>
      </c>
      <c r="M714">
        <f>IF(ISBLANK('Data Entry'!$M$714), "", 'Data Entry'!$M$714)</f>
      </c>
      <c r="N714">
        <f>IF(ISBLANK('Data Entry'!$N$714), "", 'Data Entry'!$N$714)</f>
      </c>
      <c r="O714">
        <f>IF(ISBLANK('Data Entry'!$O$714), "", 'Data Entry'!$O$714)</f>
      </c>
      <c r="P714">
        <f>IF(ISBLANK('Data Entry'!$P$714), "", 'Data Entry'!$P$714)</f>
      </c>
      <c r="Q714">
        <f>IF(ISBLANK('Data Entry'!$Q$714), "", 'Data Entry'!$Q$714)</f>
      </c>
      <c r="R714">
        <f>IF(ISBLANK('Data Entry'!$R$714), "", 'Data Entry'!$R$714)</f>
      </c>
      <c r="S714">
        <f>IF(ISBLANK('Data Entry'!$S$714), "", 'Data Entry'!$S$714)</f>
      </c>
      <c r="T714">
        <f>IF(ISBLANK('Data Entry'!$T$714), "", 'Data Entry'!$T$714)</f>
      </c>
      <c r="U714">
        <f>IF(ISBLANK('Data Entry'!$U$714), "", 'Data Entry'!$U$714)</f>
      </c>
      <c r="V714">
        <f>IF(ISBLANK('Data Entry'!$V$714), "", 'Data Entry'!$V$714)</f>
      </c>
      <c r="W714">
        <f>IF(ISBLANK('Data Entry'!$W$714), "", 'Data Entry'!$W$714)</f>
      </c>
      <c r="X714">
        <f>IF(ISBLANK('Data Entry'!$X$714), "", 'Data Entry'!$X$714)</f>
      </c>
      <c r="Y714">
        <f>IF(ISBLANK('Data Entry'!$Y$714), "", 'Data Entry'!$Y$714)</f>
      </c>
      <c r="Z714">
        <f>IF(ISBLANK('Data Entry'!$Z$714), "", 'Data Entry'!$Z$714)</f>
      </c>
      <c r="AA714">
        <f>IF(ISBLANK('Data Entry'!$[$714), "", 'Data Entry'!$[$714)</f>
      </c>
      <c r="AB714">
        <f>IF(ISBLANK('Data Entry'!$\$714), "", 'Data Entry'!$\$714)</f>
      </c>
      <c r="AC714">
        <f>IF(ISBLANK('Data Entry'!$]$714), "", 'Data Entry'!$]$714)</f>
      </c>
      <c r="AD714">
        <f>IF(ISBLANK('Data Entry'!$^$714), "", 'Data Entry'!$^$714)</f>
      </c>
      <c r="AE714">
        <f>IF(ISBLANK('Data Entry'!$_$714), "", 'Data Entry'!$_$714)</f>
      </c>
      <c r="AF714">
        <f>IF(ISBLANK('Data Entry'!$`$714), "", 'Data Entry'!$`$714)</f>
      </c>
      <c r="AG714">
        <f>IF(ISBLANK('Data Entry'!$a$714), "", 'Data Entry'!$a$714)</f>
      </c>
      <c r="AH714">
        <f>IF(ISBLANK('Data Entry'!$b$714), "", 'Data Entry'!$b$714)</f>
      </c>
      <c r="AI714">
        <f>IF(ISBLANK('Data Entry'!$c$714), "", 'Data Entry'!$c$714)</f>
      </c>
      <c r="AJ714">
        <f>IF(ISBLANK('Data Entry'!$d$714), "", 'Data Entry'!$d$714)</f>
      </c>
      <c r="AK714">
        <f>IF(ISBLANK('Data Entry'!$e$714), "", 'Data Entry'!$e$714)</f>
      </c>
      <c r="AL714">
        <f>IF(ISBLANK('Data Entry'!$f$714), "", 'Data Entry'!$f$714)</f>
      </c>
      <c r="AM714">
        <f>IF(ISBLANK('Data Entry'!$g$714), "", 'Data Entry'!$g$714)</f>
      </c>
      <c r="AN714">
        <f>IF(ISBLANK('Data Entry'!$h$714), "", 'Data Entry'!$h$714)</f>
      </c>
      <c r="AO714">
        <f>IF(ISBLANK('Data Entry'!$i$714), "", 'Data Entry'!$i$714)</f>
      </c>
      <c r="AP714">
        <f>IF(ISBLANK('Data Entry'!$j$714), "", 'Data Entry'!$j$714)</f>
      </c>
      <c r="AQ714">
        <f>IF(ISBLANK('Data Entry'!$k$714), "", 'Data Entry'!$k$714)</f>
      </c>
      <c r="AR714">
        <f>IF(ISBLANK('Data Entry'!$l$714), "", 'Data Entry'!$l$714)</f>
      </c>
      <c r="AS714">
        <f>IF(ISBLANK('Data Entry'!$m$714), "", 'Data Entry'!$m$714)</f>
      </c>
      <c r="AT714">
        <f>IF(ISBLANK('Data Entry'!$n$714), "", 'Data Entry'!$n$714)</f>
      </c>
      <c r="AU714">
        <f>IF(ISBLANK('Data Entry'!$o$714), "", 'Data Entry'!$o$714)</f>
      </c>
      <c r="AV714">
        <f>IF(ISBLANK('Data Entry'!$p$714), "", 'Data Entry'!$p$714)</f>
      </c>
      <c r="AW714">
        <f>IF(ISBLANK('Data Entry'!$q$714), "", 'Data Entry'!$q$714)</f>
      </c>
      <c r="AX714">
        <f>IF(ISBLANK('Data Entry'!$r$714), "", 'Data Entry'!$r$714)</f>
      </c>
      <c r="AY714">
        <f>IF(ISBLANK('Data Entry'!$s$714), "", 'Data Entry'!$s$714)</f>
      </c>
      <c r="AZ714">
        <f>IF(ISBLANK('Data Entry'!$t$714), "", 'Data Entry'!$t$714)</f>
      </c>
      <c r="BA714">
        <f>IF(ISBLANK('Data Entry'!$u$714), "", 'Data Entry'!$u$714)</f>
      </c>
      <c r="BB714">
        <f>IF(ISBLANK('Data Entry'!$v$714), "", 'Data Entry'!$v$714)</f>
      </c>
      <c r="BC714">
        <f>IF(ISBLANK('Data Entry'!$w$714), "", 'Data Entry'!$w$714)</f>
      </c>
      <c r="BD714">
        <f>IF(ISBLANK('Data Entry'!$x$714), "", 'Data Entry'!$x$714)</f>
      </c>
      <c r="BE714">
        <f>IF(ISBLANK('Data Entry'!$y$714), "", 'Data Entry'!$y$714)</f>
      </c>
      <c r="BF714">
        <f>IF(ISBLANK('Data Entry'!$z$714), "", 'Data Entry'!$z$714)</f>
      </c>
      <c r="BG714">
        <f>IF(ISBLANK('Data Entry'!${$714), "", 'Data Entry'!${$714)</f>
      </c>
      <c r="BH714">
        <f>IF(ISBLANK('Data Entry'!$|$714), "", 'Data Entry'!$|$714)</f>
      </c>
      <c r="BI714">
        <f>IF(ISBLANK('Data Entry'!$}$714), "", 'Data Entry'!$}$714)</f>
      </c>
      <c r="BJ714">
        <f>IF(ISBLANK('Data Entry'!$~$714), "", 'Data Entry'!$~$714)</f>
      </c>
      <c r="BK714">
        <f>IF(ISBLANK('Data Entry'!$$714), "", 'Data Entry'!$$714)</f>
      </c>
      <c r="BL714">
        <f>IF(ISBLANK('Data Entry'!$$714), "", 'Data Entry'!$$714)</f>
      </c>
      <c r="BM714">
        <f>IF(ISBLANK('Data Entry'!$$714), "", 'Data Entry'!$$714)</f>
      </c>
      <c r="BN714">
        <f>IF(ISBLANK('Data Entry'!$$714), "", 'Data Entry'!$$714)</f>
      </c>
      <c r="BO714">
        <f>IF(ISBLANK('Data Entry'!$$714), "", 'Data Entry'!$$714)</f>
      </c>
      <c r="BP714">
        <f>IF(ISBLANK('Data Entry'!$$714), "", 'Data Entry'!$$714)</f>
      </c>
      <c r="BQ714">
        <f>IF(ISBLANK('Data Entry'!$$714), "", 'Data Entry'!$$714)</f>
      </c>
      <c r="BR714">
        <f>IF(ISBLANK('Data Entry'!$$714), "", 'Data Entry'!$$714)</f>
      </c>
      <c r="BS714">
        <f>IF(ISBLANK('Data Entry'!$$714), "", 'Data Entry'!$$714)</f>
      </c>
      <c r="BT714">
        <f>IF(ISBLANK('Data Entry'!$$714), "", 'Data Entry'!$$714)</f>
      </c>
      <c r="BU714">
        <f>IF(ISBLANK('Data Entry'!$$714), "", 'Data Entry'!$$714)</f>
      </c>
      <c r="BV714">
        <f>IF(ISBLANK('Data Entry'!$$714), "", 'Data Entry'!$$714)</f>
      </c>
      <c r="BW714">
        <f>IF(ISBLANK('Data Entry'!$$714), "", 'Data Entry'!$$714)</f>
      </c>
      <c r="BX714">
        <f>IF(ISBLANK('Data Entry'!$$714), "", 'Data Entry'!$$714)</f>
      </c>
      <c r="BY714">
        <f>IF(ISBLANK('Data Entry'!$$714), "", 'Data Entry'!$$714)</f>
      </c>
      <c r="BZ714">
        <f>IF(ISBLANK('Data Entry'!$$714), "", 'Data Entry'!$$714)</f>
      </c>
      <c r="CA714">
        <f>IF(ISBLANK('Data Entry'!$$714), "", 'Data Entry'!$$714)</f>
      </c>
      <c r="CB714">
        <f>IF(ISBLANK('Data Entry'!$$714), "", 'Data Entry'!$$714)</f>
      </c>
      <c r="CC714">
        <f>IF(ISBLANK('Data Entry'!$$714), "", 'Data Entry'!$$714)</f>
      </c>
      <c r="CD714">
        <f>IF(ISBLANK('Data Entry'!$$714), "", 'Data Entry'!$$714)</f>
      </c>
      <c r="CE714">
        <f>IF(ISBLANK('Data Entry'!$$714), "", 'Data Entry'!$$714)</f>
      </c>
      <c r="CF714">
        <f>IF(ISBLANK('Data Entry'!$$714), "", 'Data Entry'!$$714)</f>
      </c>
      <c r="CG714">
        <f>IF(ISBLANK('Data Entry'!$$714), "", 'Data Entry'!$$714)</f>
      </c>
      <c r="CH714">
        <f>IF(ISBLANK('Data Entry'!$$714), "", 'Data Entry'!$$714)</f>
      </c>
      <c r="CI714">
        <f>IF(ISBLANK('Data Entry'!$$714), "", 'Data Entry'!$$714)</f>
      </c>
      <c r="CJ714">
        <f>IF(ISBLANK('Data Entry'!$$714), "", 'Data Entry'!$$714)</f>
      </c>
      <c r="CK714">
        <f>IF(ISBLANK('Data Entry'!$$714), "", 'Data Entry'!$$714)</f>
      </c>
      <c r="CL714">
        <f>IF(ISBLANK('Data Entry'!$$714), "", 'Data Entry'!$$714)</f>
      </c>
      <c r="CM714">
        <f>IF(ISBLANK('Data Entry'!$$714), "", 'Data Entry'!$$714)</f>
      </c>
      <c r="CN714">
        <f>IF(ISBLANK('Data Entry'!$$714), "", 'Data Entry'!$$714)</f>
      </c>
      <c r="CO714">
        <f>IF(ISBLANK('Data Entry'!$$714), "", 'Data Entry'!$$714)</f>
      </c>
      <c r="CP714">
        <f>IF(ISBLANK('Data Entry'!$$714), "", 'Data Entry'!$$714)</f>
      </c>
      <c r="CQ714">
        <f>IF(ISBLANK('Data Entry'!$$714), "", 'Data Entry'!$$714)</f>
      </c>
      <c r="CR714">
        <f>IF(ISBLANK('Data Entry'!$ $714), "", 'Data Entry'!$ $714)</f>
      </c>
      <c r="CS714">
        <f>IF(ISBLANK('Data Entry'!$¡$714), "", 'Data Entry'!$¡$714)</f>
      </c>
      <c r="CT714">
        <f>IF(ISBLANK('Data Entry'!$¢$714), "", 'Data Entry'!$¢$714)</f>
      </c>
      <c r="CU714">
        <f>IF(ISBLANK('Data Entry'!$£$714), "", 'Data Entry'!$£$714)</f>
      </c>
      <c r="CV714">
        <f>IF(ISBLANK('Data Entry'!$¤$714), "", 'Data Entry'!$¤$714)</f>
      </c>
      <c r="CW714">
        <f>IF(ISBLANK('Data Entry'!$¥$714), "", 'Data Entry'!$¥$714)</f>
      </c>
      <c r="CX714">
        <f>IF(ISBLANK('Data Entry'!$¦$714), "", 'Data Entry'!$¦$714)</f>
      </c>
      <c r="CY714">
        <f>IF(ISBLANK('Data Entry'!$§$714), "", 'Data Entry'!$§$714)</f>
      </c>
      <c r="CZ714">
        <f>IF(ISBLANK('Data Entry'!$¨$714), "", 'Data Entry'!$¨$714)</f>
      </c>
      <c r="DA714">
        <f>IF(ISBLANK('Data Entry'!$©$714), "", 'Data Entry'!$©$714)</f>
      </c>
      <c r="DB714">
        <f>IF(ISBLANK('Data Entry'!$ª$714), "", 'Data Entry'!$ª$714)</f>
      </c>
      <c r="DC714">
        <f>IF(ISBLANK('Data Entry'!$«$714), "", 'Data Entry'!$«$714)</f>
      </c>
      <c r="DD714">
        <f>IF(ISBLANK('Data Entry'!$¬$714), "", 'Data Entry'!$¬$714)</f>
      </c>
      <c r="DE714">
        <f>IF(ISBLANK('Data Entry'!$­$714), "", 'Data Entry'!$­$714)</f>
      </c>
      <c r="DF714">
        <f>IF(ISBLANK('Data Entry'!$®$714), "", 'Data Entry'!$®$714)</f>
      </c>
      <c r="DG714">
        <f>IF(ISBLANK('Data Entry'!$¯$714), "", 'Data Entry'!$¯$714)</f>
      </c>
      <c r="DH714">
        <f>IF(ISBLANK('Data Entry'!$°$714), "", 'Data Entry'!$°$714)</f>
      </c>
      <c r="DI714">
        <f>IF(ISBLANK('Data Entry'!$±$714), "", 'Data Entry'!$±$714)</f>
      </c>
      <c r="DJ714">
        <f>IF(ISBLANK('Data Entry'!$²$714), "", 'Data Entry'!$²$714)</f>
      </c>
      <c r="DK714">
        <f>IF(ISBLANK('Data Entry'!$³$714), "", 'Data Entry'!$³$714)</f>
      </c>
      <c r="DL714">
        <f>IF(ISBLANK('Data Entry'!$´$714), "", 'Data Entry'!$´$714)</f>
      </c>
      <c r="DM714">
        <f>IF(ISBLANK('Data Entry'!$µ$714), "", 'Data Entry'!$µ$714)</f>
      </c>
      <c r="DN714">
        <f>IF(ISBLANK('Data Entry'!$¶$714), "", 'Data Entry'!$¶$714)</f>
      </c>
      <c r="DO714">
        <f>IF(ISBLANK('Data Entry'!$·$714), "", 'Data Entry'!$·$714)</f>
      </c>
      <c r="DP714">
        <f>IF(ISBLANK('Data Entry'!$¸$714), "", 'Data Entry'!$¸$714)</f>
      </c>
      <c r="DQ714">
        <f>IF(ISBLANK('Data Entry'!$¹$714), "", 'Data Entry'!$¹$714)</f>
      </c>
      <c r="DR714">
        <f>IF(ISBLANK('Data Entry'!$º$714), "", 'Data Entry'!$º$714)</f>
      </c>
      <c r="DS714">
        <f>IF(ISBLANK('Data Entry'!$»$714), "", 'Data Entry'!$»$714)</f>
      </c>
      <c r="DT714">
        <f>IF(ISBLANK('Data Entry'!$¼$714), "", 'Data Entry'!$¼$714)</f>
      </c>
      <c r="DU714">
        <f>IF(ISBLANK('Data Entry'!$½$714), "", 'Data Entry'!$½$714)</f>
      </c>
      <c r="DV714">
        <f>IF(ISBLANK('Data Entry'!$¾$714), "", 'Data Entry'!$¾$714)</f>
      </c>
      <c r="DW714">
        <f>IF(ISBLANK('Data Entry'!$¿$714), "", 'Data Entry'!$¿$714)</f>
      </c>
      <c r="DX714">
        <f>IF(ISBLANK('Data Entry'!$À$714), "", 'Data Entry'!$À$714)</f>
      </c>
      <c r="DY714">
        <f>IF(ISBLANK('Data Entry'!$Á$714), "", 'Data Entry'!$Á$714)</f>
      </c>
      <c r="DZ714">
        <f>IF(ISBLANK('Data Entry'!$Â$714), "", 'Data Entry'!$Â$714)</f>
      </c>
      <c r="EA714">
        <f>IF(ISBLANK('Data Entry'!$Ã$714), "", 'Data Entry'!$Ã$714)</f>
      </c>
      <c r="EB714">
        <f>IF(ISBLANK('Data Entry'!$Ä$714), "", 'Data Entry'!$Ä$714)</f>
      </c>
      <c r="EC714">
        <f>IF(ISBLANK('Data Entry'!$Å$714), "", 'Data Entry'!$Å$714)</f>
      </c>
      <c r="ED714">
        <f>IF(ISBLANK('Data Entry'!$Æ$714), "", 'Data Entry'!$Æ$714)</f>
      </c>
      <c r="EE714">
        <f>IF(ISBLANK('Data Entry'!$Ç$714), "", 'Data Entry'!$Ç$714)</f>
      </c>
      <c r="EF714">
        <f>IF(ISBLANK('Data Entry'!$È$714), "", 'Data Entry'!$È$714)</f>
      </c>
      <c r="EG714">
        <f>IF(ISBLANK('Data Entry'!$É$714), "", 'Data Entry'!$É$714)</f>
      </c>
      <c r="EH714">
        <f>IF(ISBLANK('Data Entry'!$Ê$714), "", 'Data Entry'!$Ê$714)</f>
      </c>
      <c r="EI714">
        <f>IF(ISBLANK('Data Entry'!$Ë$714), "", 'Data Entry'!$Ë$714)</f>
      </c>
      <c r="EJ714">
        <f>IF(ISBLANK('Data Entry'!$Ì$714), "", 'Data Entry'!$Ì$714)</f>
      </c>
      <c r="EK714">
        <f>IF(ISBLANK('Data Entry'!$Í$714), "", 'Data Entry'!$Í$714)</f>
      </c>
      <c r="EL714">
        <f>IF(ISBLANK('Data Entry'!$Î$714), "", 'Data Entry'!$Î$714)</f>
      </c>
      <c r="EM714">
        <f>IF(ISBLANK('Data Entry'!$Ï$714), "", 'Data Entry'!$Ï$714)</f>
      </c>
      <c r="EN714">
        <f>IF(ISBLANK('Data Entry'!$Ð$714), "", 'Data Entry'!$Ð$714)</f>
      </c>
      <c r="EO714">
        <f>IF(ISBLANK('Data Entry'!$Ñ$714), "", 'Data Entry'!$Ñ$714)</f>
      </c>
      <c r="EP714">
        <f>IF(ISBLANK('Data Entry'!$Ò$714), "", 'Data Entry'!$Ò$714)</f>
      </c>
      <c r="EQ714">
        <f>IF(ISBLANK('Data Entry'!$Ó$714), "", 'Data Entry'!$Ó$714)</f>
      </c>
      <c r="ER714">
        <f>IF(ISBLANK('Data Entry'!$Ô$714), "", 'Data Entry'!$Ô$714)</f>
      </c>
      <c r="ES714">
        <f>IF(ISBLANK('Data Entry'!$Õ$714), "", 'Data Entry'!$Õ$714)</f>
      </c>
      <c r="ET714">
        <f>IF(ISBLANK('Data Entry'!$Ö$714), "", 'Data Entry'!$Ö$714)</f>
      </c>
      <c r="EU714">
        <f>IF(ISBLANK('Data Entry'!$×$714), "", 'Data Entry'!$×$714)</f>
      </c>
      <c r="EV714">
        <f>IF(ISBLANK('Data Entry'!$Ø$714), "", 'Data Entry'!$Ø$714)</f>
      </c>
      <c r="EW714">
        <f>IF(ISBLANK('Data Entry'!$Ù$714), "", 'Data Entry'!$Ù$714)</f>
      </c>
      <c r="EX714">
        <f>IF(ISBLANK('Data Entry'!$Ú$714), "", 'Data Entry'!$Ú$714)</f>
      </c>
      <c r="EY714">
        <f>IF(ISBLANK('Data Entry'!$Û$714), "", 'Data Entry'!$Û$714)</f>
      </c>
      <c r="EZ714">
        <f>IF(ISBLANK('Data Entry'!$Ü$714), "", 'Data Entry'!$Ü$714)</f>
      </c>
      <c r="FA714">
        <f>IF(ISBLANK('Data Entry'!$Ý$714), "", 'Data Entry'!$Ý$714)</f>
      </c>
      <c r="FB714">
        <f>IF(ISBLANK('Data Entry'!$Þ$714), "", 'Data Entry'!$Þ$714)</f>
      </c>
      <c r="FC714">
        <f>IF(ISBLANK('Data Entry'!$ß$714), "", 'Data Entry'!$ß$714)</f>
      </c>
      <c r="FD714">
        <f>IF(ISBLANK('Data Entry'!$à$714), "", 'Data Entry'!$à$714)</f>
      </c>
      <c r="FE714">
        <f>IF(ISBLANK('Data Entry'!$á$714), "", 'Data Entry'!$á$714)</f>
      </c>
      <c r="FF714">
        <f>IF(ISBLANK('Data Entry'!$â$714), "", 'Data Entry'!$â$714)</f>
      </c>
      <c r="FG714">
        <f>IF(ISBLANK('Data Entry'!$ã$714), "", 'Data Entry'!$ã$714)</f>
      </c>
      <c r="FH714">
        <f>IF(ISBLANK('Data Entry'!$ä$714), "", 'Data Entry'!$ä$714)</f>
      </c>
      <c r="FI714">
        <f>IF(ISBLANK('Data Entry'!$å$714), "", 'Data Entry'!$å$714)</f>
      </c>
      <c r="FJ714">
        <f>IF(ISBLANK('Data Entry'!$æ$714), "", 'Data Entry'!$æ$714)</f>
      </c>
      <c r="FK714">
        <f>IF(ISBLANK('Data Entry'!$ç$714), "", 'Data Entry'!$ç$714)</f>
      </c>
      <c r="FL714">
        <f>IF(ISBLANK('Data Entry'!$è$714), "", 'Data Entry'!$è$714)</f>
      </c>
      <c r="FM714">
        <f>IF(ISBLANK('Data Entry'!$é$714), "", 'Data Entry'!$é$714)</f>
      </c>
      <c r="FN714">
        <f>IF(ISBLANK('Data Entry'!$ê$714), "", 'Data Entry'!$ê$714)</f>
      </c>
      <c r="FO714">
        <f>IF(ISBLANK('Data Entry'!$ë$714), "", 'Data Entry'!$ë$714)</f>
      </c>
      <c r="FP714">
        <f>IF(ISBLANK('Data Entry'!$ì$714), "", 'Data Entry'!$ì$714)</f>
      </c>
      <c r="FQ714">
        <f>IF(ISBLANK('Data Entry'!$í$714), "", 'Data Entry'!$í$714)</f>
      </c>
      <c r="FR714">
        <f>IF(ISBLANK('Data Entry'!$î$714), "", 'Data Entry'!$î$714)</f>
      </c>
      <c r="FS714">
        <f>IF(ISBLANK('Data Entry'!$ï$714), "", 'Data Entry'!$ï$714)</f>
      </c>
      <c r="FT714">
        <f>IF(ISBLANK('Data Entry'!$ð$714), "", 'Data Entry'!$ð$714)</f>
      </c>
      <c r="FU714">
        <f>IF(ISBLANK('Data Entry'!$ñ$714), "", 'Data Entry'!$ñ$714)</f>
      </c>
      <c r="FV714">
        <f>IF(ISBLANK('Data Entry'!$ò$714), "", 'Data Entry'!$ò$714)</f>
      </c>
      <c r="FW714">
        <f>IF(ISBLANK('Data Entry'!$ó$714), "", 'Data Entry'!$ó$714)</f>
      </c>
      <c r="FX714">
        <f>IF(ISBLANK('Data Entry'!$ô$714), "", 'Data Entry'!$ô$714)</f>
      </c>
      <c r="FY714">
        <f>IF(ISBLANK('Data Entry'!$õ$714), "", 'Data Entry'!$õ$714)</f>
      </c>
      <c r="FZ714">
        <f>IF(ISBLANK('Data Entry'!$ö$714), "", 'Data Entry'!$ö$714)</f>
      </c>
      <c r="GA714">
        <f>IF(ISBLANK('Data Entry'!$÷$714), "", 'Data Entry'!$÷$714)</f>
      </c>
      <c r="GB714">
        <f>IF(ISBLANK('Data Entry'!$ø$714), "", 'Data Entry'!$ø$714)</f>
      </c>
      <c r="GC714">
        <f>IF(ISBLANK('Data Entry'!$ù$714), "", 'Data Entry'!$ù$714)</f>
      </c>
      <c r="GD714">
        <f>IF(ISBLANK('Data Entry'!$ú$714), "", 'Data Entry'!$ú$714)</f>
      </c>
      <c r="GE714">
        <f>IF(ISBLANK('Data Entry'!$û$714), "", 'Data Entry'!$û$714)</f>
      </c>
      <c r="GF714">
        <f>IF(ISBLANK('Data Entry'!$ü$714), "", 'Data Entry'!$ü$714)</f>
      </c>
      <c r="GG714">
        <f>IF(ISBLANK('Data Entry'!$ý$714), "", 'Data Entry'!$ý$714)</f>
      </c>
      <c r="GH714">
        <f>IF(ISBLANK('Data Entry'!$þ$714), "", 'Data Entry'!$þ$714)</f>
      </c>
      <c r="GI714">
        <f>IF(ISBLANK('Data Entry'!$ÿ$714), "", 'Data Entry'!$ÿ$714)</f>
      </c>
      <c r="GJ714">
        <f>IF(ISBLANK('Data Entry'!$Ā$714), "", 'Data Entry'!$Ā$714)</f>
      </c>
      <c r="GK714">
        <f>IF(ISBLANK('Data Entry'!$ā$714), "", 'Data Entry'!$ā$714)</f>
      </c>
      <c r="GL714">
        <f>IF(ISBLANK('Data Entry'!$Ă$714), "", 'Data Entry'!$Ă$714)</f>
      </c>
      <c r="GM714">
        <f>IF(ISBLANK('Data Entry'!$ă$714), "", 'Data Entry'!$ă$714)</f>
      </c>
      <c r="GN714">
        <f>IF(ISBLANK('Data Entry'!$Ą$714), "", 'Data Entry'!$Ą$714)</f>
      </c>
      <c r="GO714">
        <f>IF(ISBLANK('Data Entry'!$ą$714), "", 'Data Entry'!$ą$714)</f>
      </c>
      <c r="GP714">
        <f>IF(ISBLANK('Data Entry'!$Ć$714), "", 'Data Entry'!$Ć$714)</f>
      </c>
      <c r="GQ714">
        <f>IF(ISBLANK('Data Entry'!$ć$714), "", 'Data Entry'!$ć$714)</f>
      </c>
      <c r="GR714">
        <f>IF(ISBLANK('Data Entry'!$Ĉ$714), "", 'Data Entry'!$Ĉ$714)</f>
      </c>
      <c r="GS714">
        <f>IF(ISBLANK('Data Entry'!$ĉ$714), "", 'Data Entry'!$ĉ$714)</f>
      </c>
      <c r="GT714">
        <f>IF(ISBLANK('Data Entry'!$Ċ$714), "", 'Data Entry'!$Ċ$714)</f>
      </c>
      <c r="GU714">
        <f>IF(ISBLANK('Data Entry'!$ċ$714), "", 'Data Entry'!$ċ$714)</f>
      </c>
      <c r="GV714">
        <f>IF(ISBLANK('Data Entry'!$Č$714), "", 'Data Entry'!$Č$714)</f>
      </c>
      <c r="GW714">
        <f>IF(ISBLANK('Data Entry'!$č$714), "", 'Data Entry'!$č$714)</f>
      </c>
      <c r="GX714">
        <f>IF(ISBLANK('Data Entry'!$Ď$714), "", 'Data Entry'!$Ď$714)</f>
      </c>
      <c r="GY714">
        <f>IF(ISBLANK('Data Entry'!$ď$714), "", 'Data Entry'!$ď$714)</f>
      </c>
      <c r="GZ714">
        <f>IF(ISBLANK('Data Entry'!$Đ$714), "", 'Data Entry'!$Đ$714)</f>
      </c>
      <c r="HA714">
        <f>IF(ISBLANK('Data Entry'!$đ$714), "", 'Data Entry'!$đ$714)</f>
      </c>
      <c r="HB714">
        <f>IF(ISBLANK('Data Entry'!$Ē$714), "", 'Data Entry'!$Ē$714)</f>
      </c>
      <c r="HC714">
        <f>IF(ISBLANK('Data Entry'!$ē$714), "", 'Data Entry'!$ē$714)</f>
      </c>
      <c r="HD714">
        <f>IF(ISBLANK('Data Entry'!$Ĕ$714), "", 'Data Entry'!$Ĕ$714)</f>
      </c>
      <c r="HE714">
        <f>IF(ISBLANK('Data Entry'!$ĕ$714), "", 'Data Entry'!$ĕ$714)</f>
      </c>
      <c r="HF714">
        <f>IF(ISBLANK('Data Entry'!$Ė$714), "", 'Data Entry'!$Ė$714)</f>
      </c>
      <c r="HG714">
        <f>IF(ISBLANK('Data Entry'!$ė$714), "", 'Data Entry'!$ė$714)</f>
      </c>
      <c r="HH714">
        <f>IF(ISBLANK('Data Entry'!$Ę$714), "", 'Data Entry'!$Ę$714)</f>
      </c>
      <c r="HI714">
        <f>IF(ISBLANK('Data Entry'!$ę$714), "", 'Data Entry'!$ę$714)</f>
      </c>
      <c r="HJ714">
        <f>IF(ISBLANK('Data Entry'!$Ě$714), "", 'Data Entry'!$Ě$714)</f>
      </c>
      <c r="HK714">
        <f>IF(ISBLANK('Data Entry'!$ě$714), "", 'Data Entry'!$ě$714)</f>
      </c>
      <c r="HL714">
        <f>IF(ISBLANK('Data Entry'!$Ĝ$714), "", 'Data Entry'!$Ĝ$714)</f>
      </c>
      <c r="HM714">
        <f>IF(ISBLANK('Data Entry'!$ĝ$714), "", 'Data Entry'!$ĝ$714)</f>
      </c>
      <c r="HN714">
        <f>IF(ISBLANK('Data Entry'!$Ğ$714), "", 'Data Entry'!$Ğ$714)</f>
      </c>
      <c r="HO714">
        <f>IF(ISBLANK('Data Entry'!$ğ$714), "", 'Data Entry'!$ğ$714)</f>
      </c>
      <c r="HP714">
        <f>IF(ISBLANK('Data Entry'!$Ġ$714), "", 'Data Entry'!$Ġ$714)</f>
      </c>
      <c r="HQ714">
        <f>IF(ISBLANK('Data Entry'!$ġ$714), "", 'Data Entry'!$ġ$714)</f>
      </c>
      <c r="HR714">
        <f>IF(ISBLANK('Data Entry'!$Ģ$714), "", 'Data Entry'!$Ģ$714)</f>
      </c>
      <c r="HS714">
        <f>IF(ISBLANK('Data Entry'!$ģ$714), "", 'Data Entry'!$ģ$714)</f>
      </c>
      <c r="HT714">
        <f>IF(ISBLANK('Data Entry'!$Ĥ$714), "", 'Data Entry'!$Ĥ$714)</f>
      </c>
      <c r="HU714">
        <f>IF(ISBLANK('Data Entry'!$ĥ$714), "", 'Data Entry'!$ĥ$714)</f>
      </c>
      <c r="HV714">
        <f>IF(ISBLANK('Data Entry'!$Ħ$714), "", 'Data Entry'!$Ħ$714)</f>
      </c>
      <c r="HW714">
        <f>IF(ISBLANK('Data Entry'!$ħ$714), "", 'Data Entry'!$ħ$714)</f>
      </c>
      <c r="HX714">
        <f>IF(ISBLANK('Data Entry'!$Ĩ$714), "", 'Data Entry'!$Ĩ$714)</f>
      </c>
      <c r="HY714">
        <f>IF(ISBLANK('Data Entry'!$ĩ$714), "", 'Data Entry'!$ĩ$714)</f>
      </c>
      <c r="HZ714">
        <f>IF(ISBLANK('Data Entry'!$Ī$714), "", 'Data Entry'!$Ī$714)</f>
      </c>
      <c r="IA714">
        <f>IF(ISBLANK('Data Entry'!$ī$714), "", 'Data Entry'!$ī$714)</f>
      </c>
      <c r="IB714">
        <f>IF(ISBLANK('Data Entry'!$Ĭ$714), "", 'Data Entry'!$Ĭ$714)</f>
      </c>
      <c r="IC714">
        <f>IF(ISBLANK('Data Entry'!$ĭ$714), "", 'Data Entry'!$ĭ$714)</f>
      </c>
      <c r="ID714">
        <f>IF(ISBLANK('Data Entry'!$Į$714), "", 'Data Entry'!$Į$714)</f>
      </c>
      <c r="IE714">
        <f>IF(ISBLANK('Data Entry'!$į$714), "", 'Data Entry'!$į$714)</f>
      </c>
      <c r="IF714">
        <f>IF(ISBLANK('Data Entry'!$İ$714), "", 'Data Entry'!$İ$714)</f>
      </c>
      <c r="IG714">
        <f>IF(ISBLANK('Data Entry'!$ı$714), "", 'Data Entry'!$ı$714)</f>
      </c>
      <c r="IH714">
        <f>IF(ISBLANK('Data Entry'!$Ĳ$714), "", 'Data Entry'!$Ĳ$714)</f>
      </c>
      <c r="II714">
        <f>IF(ISBLANK('Data Entry'!$ĳ$714), "", 'Data Entry'!$ĳ$714)</f>
      </c>
      <c r="IJ714">
        <f>IF(ISBLANK('Data Entry'!$Ĵ$714), "", 'Data Entry'!$Ĵ$714)</f>
      </c>
      <c r="IK714">
        <f>IF(ISBLANK('Data Entry'!$ĵ$714), "", 'Data Entry'!$ĵ$714)</f>
      </c>
      <c r="IL714">
        <f>IF(ISBLANK('Data Entry'!$Ķ$714), "", 'Data Entry'!$Ķ$714)</f>
      </c>
      <c r="IM714">
        <f>IF(ISBLANK('Data Entry'!$ķ$714), "", 'Data Entry'!$ķ$714)</f>
      </c>
      <c r="IN714">
        <f>IF(ISBLANK('Data Entry'!$ĸ$714), "", 'Data Entry'!$ĸ$714)</f>
      </c>
      <c r="IO714">
        <f>IF(ISBLANK('Data Entry'!$Ĺ$714), "", 'Data Entry'!$Ĺ$714)</f>
      </c>
      <c r="IP714">
        <f>IF(ISBLANK('Data Entry'!$ĺ$714), "", 'Data Entry'!$ĺ$714)</f>
      </c>
      <c r="IQ714">
        <f>IF(ISBLANK('Data Entry'!$Ļ$714), "", 'Data Entry'!$Ļ$714)</f>
      </c>
      <c r="IR714">
        <f>IF(ISBLANK('Data Entry'!$ļ$714), "", 'Data Entry'!$ļ$714)</f>
      </c>
      <c r="IS714">
        <f>IF(ISBLANK('Data Entry'!$Ľ$714), "", 'Data Entry'!$Ľ$714)</f>
      </c>
      <c r="IT714">
        <f>IF(ISBLANK('Data Entry'!$ľ$714), "", 'Data Entry'!$ľ$714)</f>
      </c>
    </row>
    <row r="715" spans="1:254" x14ac:dyDescent="0.25">
      <c r="A715">
        <f>IF(ISBLANK('Data Entry'!$A$715), "", 'Data Entry'!$A$715)</f>
      </c>
      <c r="B715">
        <f>IF(ISBLANK('Data Entry'!$B$715), "", 'Data Entry'!$B$715)</f>
      </c>
      <c r="C715">
        <f>IF(ISBLANK('Data Entry'!$C$715), "", 'Data Entry'!$C$715)</f>
      </c>
      <c r="D715">
        <f>IF(ISBLANK('Data Entry'!$D$715), "", 'Data Entry'!$D$715)</f>
      </c>
      <c r="E715">
        <f>IF(ISBLANK('Data Entry'!$E$715), "", 'Data Entry'!$E$715)</f>
      </c>
      <c r="F715">
        <f>IF(ISBLANK('Data Entry'!$F$715), "", 'Data Entry'!$F$715)</f>
      </c>
      <c r="G715">
        <f>IF(ISBLANK('Data Entry'!$G$715), "", 'Data Entry'!$G$715)</f>
      </c>
      <c r="H715">
        <f>IF(ISBLANK('Data Entry'!$H$715), "", 'Data Entry'!$H$715)</f>
      </c>
      <c r="I715">
        <f>IF(ISBLANK('Data Entry'!$I$715), "", 'Data Entry'!$I$715)</f>
      </c>
      <c r="J715">
        <f>IF(ISBLANK('Data Entry'!$J$715), "", 'Data Entry'!$J$715)</f>
      </c>
      <c r="K715">
        <f>IF(ISBLANK('Data Entry'!$K$715), "", 'Data Entry'!$K$715)</f>
      </c>
      <c r="L715">
        <f>IF(ISBLANK('Data Entry'!$L$715), "", 'Data Entry'!$L$715)</f>
      </c>
      <c r="M715">
        <f>IF(ISBLANK('Data Entry'!$M$715), "", 'Data Entry'!$M$715)</f>
      </c>
      <c r="N715">
        <f>IF(ISBLANK('Data Entry'!$N$715), "", 'Data Entry'!$N$715)</f>
      </c>
      <c r="O715">
        <f>IF(ISBLANK('Data Entry'!$O$715), "", 'Data Entry'!$O$715)</f>
      </c>
      <c r="P715">
        <f>IF(ISBLANK('Data Entry'!$P$715), "", 'Data Entry'!$P$715)</f>
      </c>
      <c r="Q715">
        <f>IF(ISBLANK('Data Entry'!$Q$715), "", 'Data Entry'!$Q$715)</f>
      </c>
      <c r="R715">
        <f>IF(ISBLANK('Data Entry'!$R$715), "", 'Data Entry'!$R$715)</f>
      </c>
      <c r="S715">
        <f>IF(ISBLANK('Data Entry'!$S$715), "", 'Data Entry'!$S$715)</f>
      </c>
      <c r="T715">
        <f>IF(ISBLANK('Data Entry'!$T$715), "", 'Data Entry'!$T$715)</f>
      </c>
      <c r="U715">
        <f>IF(ISBLANK('Data Entry'!$U$715), "", 'Data Entry'!$U$715)</f>
      </c>
      <c r="V715">
        <f>IF(ISBLANK('Data Entry'!$V$715), "", 'Data Entry'!$V$715)</f>
      </c>
      <c r="W715">
        <f>IF(ISBLANK('Data Entry'!$W$715), "", 'Data Entry'!$W$715)</f>
      </c>
      <c r="X715">
        <f>IF(ISBLANK('Data Entry'!$X$715), "", 'Data Entry'!$X$715)</f>
      </c>
      <c r="Y715">
        <f>IF(ISBLANK('Data Entry'!$Y$715), "", 'Data Entry'!$Y$715)</f>
      </c>
      <c r="Z715">
        <f>IF(ISBLANK('Data Entry'!$Z$715), "", 'Data Entry'!$Z$715)</f>
      </c>
      <c r="AA715">
        <f>IF(ISBLANK('Data Entry'!$[$715), "", 'Data Entry'!$[$715)</f>
      </c>
      <c r="AB715">
        <f>IF(ISBLANK('Data Entry'!$\$715), "", 'Data Entry'!$\$715)</f>
      </c>
      <c r="AC715">
        <f>IF(ISBLANK('Data Entry'!$]$715), "", 'Data Entry'!$]$715)</f>
      </c>
      <c r="AD715">
        <f>IF(ISBLANK('Data Entry'!$^$715), "", 'Data Entry'!$^$715)</f>
      </c>
      <c r="AE715">
        <f>IF(ISBLANK('Data Entry'!$_$715), "", 'Data Entry'!$_$715)</f>
      </c>
      <c r="AF715">
        <f>IF(ISBLANK('Data Entry'!$`$715), "", 'Data Entry'!$`$715)</f>
      </c>
      <c r="AG715">
        <f>IF(ISBLANK('Data Entry'!$a$715), "", 'Data Entry'!$a$715)</f>
      </c>
      <c r="AH715">
        <f>IF(ISBLANK('Data Entry'!$b$715), "", 'Data Entry'!$b$715)</f>
      </c>
      <c r="AI715">
        <f>IF(ISBLANK('Data Entry'!$c$715), "", 'Data Entry'!$c$715)</f>
      </c>
      <c r="AJ715">
        <f>IF(ISBLANK('Data Entry'!$d$715), "", 'Data Entry'!$d$715)</f>
      </c>
      <c r="AK715">
        <f>IF(ISBLANK('Data Entry'!$e$715), "", 'Data Entry'!$e$715)</f>
      </c>
      <c r="AL715">
        <f>IF(ISBLANK('Data Entry'!$f$715), "", 'Data Entry'!$f$715)</f>
      </c>
      <c r="AM715">
        <f>IF(ISBLANK('Data Entry'!$g$715), "", 'Data Entry'!$g$715)</f>
      </c>
      <c r="AN715">
        <f>IF(ISBLANK('Data Entry'!$h$715), "", 'Data Entry'!$h$715)</f>
      </c>
      <c r="AO715">
        <f>IF(ISBLANK('Data Entry'!$i$715), "", 'Data Entry'!$i$715)</f>
      </c>
      <c r="AP715">
        <f>IF(ISBLANK('Data Entry'!$j$715), "", 'Data Entry'!$j$715)</f>
      </c>
      <c r="AQ715">
        <f>IF(ISBLANK('Data Entry'!$k$715), "", 'Data Entry'!$k$715)</f>
      </c>
      <c r="AR715">
        <f>IF(ISBLANK('Data Entry'!$l$715), "", 'Data Entry'!$l$715)</f>
      </c>
      <c r="AS715">
        <f>IF(ISBLANK('Data Entry'!$m$715), "", 'Data Entry'!$m$715)</f>
      </c>
      <c r="AT715">
        <f>IF(ISBLANK('Data Entry'!$n$715), "", 'Data Entry'!$n$715)</f>
      </c>
      <c r="AU715">
        <f>IF(ISBLANK('Data Entry'!$o$715), "", 'Data Entry'!$o$715)</f>
      </c>
      <c r="AV715">
        <f>IF(ISBLANK('Data Entry'!$p$715), "", 'Data Entry'!$p$715)</f>
      </c>
      <c r="AW715">
        <f>IF(ISBLANK('Data Entry'!$q$715), "", 'Data Entry'!$q$715)</f>
      </c>
      <c r="AX715">
        <f>IF(ISBLANK('Data Entry'!$r$715), "", 'Data Entry'!$r$715)</f>
      </c>
      <c r="AY715">
        <f>IF(ISBLANK('Data Entry'!$s$715), "", 'Data Entry'!$s$715)</f>
      </c>
      <c r="AZ715">
        <f>IF(ISBLANK('Data Entry'!$t$715), "", 'Data Entry'!$t$715)</f>
      </c>
      <c r="BA715">
        <f>IF(ISBLANK('Data Entry'!$u$715), "", 'Data Entry'!$u$715)</f>
      </c>
      <c r="BB715">
        <f>IF(ISBLANK('Data Entry'!$v$715), "", 'Data Entry'!$v$715)</f>
      </c>
      <c r="BC715">
        <f>IF(ISBLANK('Data Entry'!$w$715), "", 'Data Entry'!$w$715)</f>
      </c>
      <c r="BD715">
        <f>IF(ISBLANK('Data Entry'!$x$715), "", 'Data Entry'!$x$715)</f>
      </c>
      <c r="BE715">
        <f>IF(ISBLANK('Data Entry'!$y$715), "", 'Data Entry'!$y$715)</f>
      </c>
      <c r="BF715">
        <f>IF(ISBLANK('Data Entry'!$z$715), "", 'Data Entry'!$z$715)</f>
      </c>
      <c r="BG715">
        <f>IF(ISBLANK('Data Entry'!${$715), "", 'Data Entry'!${$715)</f>
      </c>
      <c r="BH715">
        <f>IF(ISBLANK('Data Entry'!$|$715), "", 'Data Entry'!$|$715)</f>
      </c>
      <c r="BI715">
        <f>IF(ISBLANK('Data Entry'!$}$715), "", 'Data Entry'!$}$715)</f>
      </c>
      <c r="BJ715">
        <f>IF(ISBLANK('Data Entry'!$~$715), "", 'Data Entry'!$~$715)</f>
      </c>
      <c r="BK715">
        <f>IF(ISBLANK('Data Entry'!$$715), "", 'Data Entry'!$$715)</f>
      </c>
      <c r="BL715">
        <f>IF(ISBLANK('Data Entry'!$$715), "", 'Data Entry'!$$715)</f>
      </c>
      <c r="BM715">
        <f>IF(ISBLANK('Data Entry'!$$715), "", 'Data Entry'!$$715)</f>
      </c>
      <c r="BN715">
        <f>IF(ISBLANK('Data Entry'!$$715), "", 'Data Entry'!$$715)</f>
      </c>
      <c r="BO715">
        <f>IF(ISBLANK('Data Entry'!$$715), "", 'Data Entry'!$$715)</f>
      </c>
      <c r="BP715">
        <f>IF(ISBLANK('Data Entry'!$$715), "", 'Data Entry'!$$715)</f>
      </c>
      <c r="BQ715">
        <f>IF(ISBLANK('Data Entry'!$$715), "", 'Data Entry'!$$715)</f>
      </c>
      <c r="BR715">
        <f>IF(ISBLANK('Data Entry'!$$715), "", 'Data Entry'!$$715)</f>
      </c>
      <c r="BS715">
        <f>IF(ISBLANK('Data Entry'!$$715), "", 'Data Entry'!$$715)</f>
      </c>
      <c r="BT715">
        <f>IF(ISBLANK('Data Entry'!$$715), "", 'Data Entry'!$$715)</f>
      </c>
      <c r="BU715">
        <f>IF(ISBLANK('Data Entry'!$$715), "", 'Data Entry'!$$715)</f>
      </c>
      <c r="BV715">
        <f>IF(ISBLANK('Data Entry'!$$715), "", 'Data Entry'!$$715)</f>
      </c>
      <c r="BW715">
        <f>IF(ISBLANK('Data Entry'!$$715), "", 'Data Entry'!$$715)</f>
      </c>
      <c r="BX715">
        <f>IF(ISBLANK('Data Entry'!$$715), "", 'Data Entry'!$$715)</f>
      </c>
      <c r="BY715">
        <f>IF(ISBLANK('Data Entry'!$$715), "", 'Data Entry'!$$715)</f>
      </c>
      <c r="BZ715">
        <f>IF(ISBLANK('Data Entry'!$$715), "", 'Data Entry'!$$715)</f>
      </c>
      <c r="CA715">
        <f>IF(ISBLANK('Data Entry'!$$715), "", 'Data Entry'!$$715)</f>
      </c>
      <c r="CB715">
        <f>IF(ISBLANK('Data Entry'!$$715), "", 'Data Entry'!$$715)</f>
      </c>
      <c r="CC715">
        <f>IF(ISBLANK('Data Entry'!$$715), "", 'Data Entry'!$$715)</f>
      </c>
      <c r="CD715">
        <f>IF(ISBLANK('Data Entry'!$$715), "", 'Data Entry'!$$715)</f>
      </c>
      <c r="CE715">
        <f>IF(ISBLANK('Data Entry'!$$715), "", 'Data Entry'!$$715)</f>
      </c>
      <c r="CF715">
        <f>IF(ISBLANK('Data Entry'!$$715), "", 'Data Entry'!$$715)</f>
      </c>
      <c r="CG715">
        <f>IF(ISBLANK('Data Entry'!$$715), "", 'Data Entry'!$$715)</f>
      </c>
      <c r="CH715">
        <f>IF(ISBLANK('Data Entry'!$$715), "", 'Data Entry'!$$715)</f>
      </c>
      <c r="CI715">
        <f>IF(ISBLANK('Data Entry'!$$715), "", 'Data Entry'!$$715)</f>
      </c>
      <c r="CJ715">
        <f>IF(ISBLANK('Data Entry'!$$715), "", 'Data Entry'!$$715)</f>
      </c>
      <c r="CK715">
        <f>IF(ISBLANK('Data Entry'!$$715), "", 'Data Entry'!$$715)</f>
      </c>
      <c r="CL715">
        <f>IF(ISBLANK('Data Entry'!$$715), "", 'Data Entry'!$$715)</f>
      </c>
      <c r="CM715">
        <f>IF(ISBLANK('Data Entry'!$$715), "", 'Data Entry'!$$715)</f>
      </c>
      <c r="CN715">
        <f>IF(ISBLANK('Data Entry'!$$715), "", 'Data Entry'!$$715)</f>
      </c>
      <c r="CO715">
        <f>IF(ISBLANK('Data Entry'!$$715), "", 'Data Entry'!$$715)</f>
      </c>
      <c r="CP715">
        <f>IF(ISBLANK('Data Entry'!$$715), "", 'Data Entry'!$$715)</f>
      </c>
      <c r="CQ715">
        <f>IF(ISBLANK('Data Entry'!$$715), "", 'Data Entry'!$$715)</f>
      </c>
      <c r="CR715">
        <f>IF(ISBLANK('Data Entry'!$ $715), "", 'Data Entry'!$ $715)</f>
      </c>
      <c r="CS715">
        <f>IF(ISBLANK('Data Entry'!$¡$715), "", 'Data Entry'!$¡$715)</f>
      </c>
      <c r="CT715">
        <f>IF(ISBLANK('Data Entry'!$¢$715), "", 'Data Entry'!$¢$715)</f>
      </c>
      <c r="CU715">
        <f>IF(ISBLANK('Data Entry'!$£$715), "", 'Data Entry'!$£$715)</f>
      </c>
      <c r="CV715">
        <f>IF(ISBLANK('Data Entry'!$¤$715), "", 'Data Entry'!$¤$715)</f>
      </c>
      <c r="CW715">
        <f>IF(ISBLANK('Data Entry'!$¥$715), "", 'Data Entry'!$¥$715)</f>
      </c>
      <c r="CX715">
        <f>IF(ISBLANK('Data Entry'!$¦$715), "", 'Data Entry'!$¦$715)</f>
      </c>
      <c r="CY715">
        <f>IF(ISBLANK('Data Entry'!$§$715), "", 'Data Entry'!$§$715)</f>
      </c>
      <c r="CZ715">
        <f>IF(ISBLANK('Data Entry'!$¨$715), "", 'Data Entry'!$¨$715)</f>
      </c>
      <c r="DA715">
        <f>IF(ISBLANK('Data Entry'!$©$715), "", 'Data Entry'!$©$715)</f>
      </c>
      <c r="DB715">
        <f>IF(ISBLANK('Data Entry'!$ª$715), "", 'Data Entry'!$ª$715)</f>
      </c>
      <c r="DC715">
        <f>IF(ISBLANK('Data Entry'!$«$715), "", 'Data Entry'!$«$715)</f>
      </c>
      <c r="DD715">
        <f>IF(ISBLANK('Data Entry'!$¬$715), "", 'Data Entry'!$¬$715)</f>
      </c>
      <c r="DE715">
        <f>IF(ISBLANK('Data Entry'!$­$715), "", 'Data Entry'!$­$715)</f>
      </c>
      <c r="DF715">
        <f>IF(ISBLANK('Data Entry'!$®$715), "", 'Data Entry'!$®$715)</f>
      </c>
      <c r="DG715">
        <f>IF(ISBLANK('Data Entry'!$¯$715), "", 'Data Entry'!$¯$715)</f>
      </c>
      <c r="DH715">
        <f>IF(ISBLANK('Data Entry'!$°$715), "", 'Data Entry'!$°$715)</f>
      </c>
      <c r="DI715">
        <f>IF(ISBLANK('Data Entry'!$±$715), "", 'Data Entry'!$±$715)</f>
      </c>
      <c r="DJ715">
        <f>IF(ISBLANK('Data Entry'!$²$715), "", 'Data Entry'!$²$715)</f>
      </c>
      <c r="DK715">
        <f>IF(ISBLANK('Data Entry'!$³$715), "", 'Data Entry'!$³$715)</f>
      </c>
      <c r="DL715">
        <f>IF(ISBLANK('Data Entry'!$´$715), "", 'Data Entry'!$´$715)</f>
      </c>
      <c r="DM715">
        <f>IF(ISBLANK('Data Entry'!$µ$715), "", 'Data Entry'!$µ$715)</f>
      </c>
      <c r="DN715">
        <f>IF(ISBLANK('Data Entry'!$¶$715), "", 'Data Entry'!$¶$715)</f>
      </c>
      <c r="DO715">
        <f>IF(ISBLANK('Data Entry'!$·$715), "", 'Data Entry'!$·$715)</f>
      </c>
      <c r="DP715">
        <f>IF(ISBLANK('Data Entry'!$¸$715), "", 'Data Entry'!$¸$715)</f>
      </c>
      <c r="DQ715">
        <f>IF(ISBLANK('Data Entry'!$¹$715), "", 'Data Entry'!$¹$715)</f>
      </c>
      <c r="DR715">
        <f>IF(ISBLANK('Data Entry'!$º$715), "", 'Data Entry'!$º$715)</f>
      </c>
      <c r="DS715">
        <f>IF(ISBLANK('Data Entry'!$»$715), "", 'Data Entry'!$»$715)</f>
      </c>
      <c r="DT715">
        <f>IF(ISBLANK('Data Entry'!$¼$715), "", 'Data Entry'!$¼$715)</f>
      </c>
      <c r="DU715">
        <f>IF(ISBLANK('Data Entry'!$½$715), "", 'Data Entry'!$½$715)</f>
      </c>
      <c r="DV715">
        <f>IF(ISBLANK('Data Entry'!$¾$715), "", 'Data Entry'!$¾$715)</f>
      </c>
      <c r="DW715">
        <f>IF(ISBLANK('Data Entry'!$¿$715), "", 'Data Entry'!$¿$715)</f>
      </c>
      <c r="DX715">
        <f>IF(ISBLANK('Data Entry'!$À$715), "", 'Data Entry'!$À$715)</f>
      </c>
      <c r="DY715">
        <f>IF(ISBLANK('Data Entry'!$Á$715), "", 'Data Entry'!$Á$715)</f>
      </c>
      <c r="DZ715">
        <f>IF(ISBLANK('Data Entry'!$Â$715), "", 'Data Entry'!$Â$715)</f>
      </c>
      <c r="EA715">
        <f>IF(ISBLANK('Data Entry'!$Ã$715), "", 'Data Entry'!$Ã$715)</f>
      </c>
      <c r="EB715">
        <f>IF(ISBLANK('Data Entry'!$Ä$715), "", 'Data Entry'!$Ä$715)</f>
      </c>
      <c r="EC715">
        <f>IF(ISBLANK('Data Entry'!$Å$715), "", 'Data Entry'!$Å$715)</f>
      </c>
      <c r="ED715">
        <f>IF(ISBLANK('Data Entry'!$Æ$715), "", 'Data Entry'!$Æ$715)</f>
      </c>
      <c r="EE715">
        <f>IF(ISBLANK('Data Entry'!$Ç$715), "", 'Data Entry'!$Ç$715)</f>
      </c>
      <c r="EF715">
        <f>IF(ISBLANK('Data Entry'!$È$715), "", 'Data Entry'!$È$715)</f>
      </c>
      <c r="EG715">
        <f>IF(ISBLANK('Data Entry'!$É$715), "", 'Data Entry'!$É$715)</f>
      </c>
      <c r="EH715">
        <f>IF(ISBLANK('Data Entry'!$Ê$715), "", 'Data Entry'!$Ê$715)</f>
      </c>
      <c r="EI715">
        <f>IF(ISBLANK('Data Entry'!$Ë$715), "", 'Data Entry'!$Ë$715)</f>
      </c>
      <c r="EJ715">
        <f>IF(ISBLANK('Data Entry'!$Ì$715), "", 'Data Entry'!$Ì$715)</f>
      </c>
      <c r="EK715">
        <f>IF(ISBLANK('Data Entry'!$Í$715), "", 'Data Entry'!$Í$715)</f>
      </c>
      <c r="EL715">
        <f>IF(ISBLANK('Data Entry'!$Î$715), "", 'Data Entry'!$Î$715)</f>
      </c>
      <c r="EM715">
        <f>IF(ISBLANK('Data Entry'!$Ï$715), "", 'Data Entry'!$Ï$715)</f>
      </c>
      <c r="EN715">
        <f>IF(ISBLANK('Data Entry'!$Ð$715), "", 'Data Entry'!$Ð$715)</f>
      </c>
      <c r="EO715">
        <f>IF(ISBLANK('Data Entry'!$Ñ$715), "", 'Data Entry'!$Ñ$715)</f>
      </c>
      <c r="EP715">
        <f>IF(ISBLANK('Data Entry'!$Ò$715), "", 'Data Entry'!$Ò$715)</f>
      </c>
      <c r="EQ715">
        <f>IF(ISBLANK('Data Entry'!$Ó$715), "", 'Data Entry'!$Ó$715)</f>
      </c>
      <c r="ER715">
        <f>IF(ISBLANK('Data Entry'!$Ô$715), "", 'Data Entry'!$Ô$715)</f>
      </c>
      <c r="ES715">
        <f>IF(ISBLANK('Data Entry'!$Õ$715), "", 'Data Entry'!$Õ$715)</f>
      </c>
      <c r="ET715">
        <f>IF(ISBLANK('Data Entry'!$Ö$715), "", 'Data Entry'!$Ö$715)</f>
      </c>
      <c r="EU715">
        <f>IF(ISBLANK('Data Entry'!$×$715), "", 'Data Entry'!$×$715)</f>
      </c>
      <c r="EV715">
        <f>IF(ISBLANK('Data Entry'!$Ø$715), "", 'Data Entry'!$Ø$715)</f>
      </c>
      <c r="EW715">
        <f>IF(ISBLANK('Data Entry'!$Ù$715), "", 'Data Entry'!$Ù$715)</f>
      </c>
      <c r="EX715">
        <f>IF(ISBLANK('Data Entry'!$Ú$715), "", 'Data Entry'!$Ú$715)</f>
      </c>
      <c r="EY715">
        <f>IF(ISBLANK('Data Entry'!$Û$715), "", 'Data Entry'!$Û$715)</f>
      </c>
      <c r="EZ715">
        <f>IF(ISBLANK('Data Entry'!$Ü$715), "", 'Data Entry'!$Ü$715)</f>
      </c>
      <c r="FA715">
        <f>IF(ISBLANK('Data Entry'!$Ý$715), "", 'Data Entry'!$Ý$715)</f>
      </c>
      <c r="FB715">
        <f>IF(ISBLANK('Data Entry'!$Þ$715), "", 'Data Entry'!$Þ$715)</f>
      </c>
      <c r="FC715">
        <f>IF(ISBLANK('Data Entry'!$ß$715), "", 'Data Entry'!$ß$715)</f>
      </c>
      <c r="FD715">
        <f>IF(ISBLANK('Data Entry'!$à$715), "", 'Data Entry'!$à$715)</f>
      </c>
      <c r="FE715">
        <f>IF(ISBLANK('Data Entry'!$á$715), "", 'Data Entry'!$á$715)</f>
      </c>
      <c r="FF715">
        <f>IF(ISBLANK('Data Entry'!$â$715), "", 'Data Entry'!$â$715)</f>
      </c>
      <c r="FG715">
        <f>IF(ISBLANK('Data Entry'!$ã$715), "", 'Data Entry'!$ã$715)</f>
      </c>
      <c r="FH715">
        <f>IF(ISBLANK('Data Entry'!$ä$715), "", 'Data Entry'!$ä$715)</f>
      </c>
      <c r="FI715">
        <f>IF(ISBLANK('Data Entry'!$å$715), "", 'Data Entry'!$å$715)</f>
      </c>
      <c r="FJ715">
        <f>IF(ISBLANK('Data Entry'!$æ$715), "", 'Data Entry'!$æ$715)</f>
      </c>
      <c r="FK715">
        <f>IF(ISBLANK('Data Entry'!$ç$715), "", 'Data Entry'!$ç$715)</f>
      </c>
      <c r="FL715">
        <f>IF(ISBLANK('Data Entry'!$è$715), "", 'Data Entry'!$è$715)</f>
      </c>
      <c r="FM715">
        <f>IF(ISBLANK('Data Entry'!$é$715), "", 'Data Entry'!$é$715)</f>
      </c>
      <c r="FN715">
        <f>IF(ISBLANK('Data Entry'!$ê$715), "", 'Data Entry'!$ê$715)</f>
      </c>
      <c r="FO715">
        <f>IF(ISBLANK('Data Entry'!$ë$715), "", 'Data Entry'!$ë$715)</f>
      </c>
      <c r="FP715">
        <f>IF(ISBLANK('Data Entry'!$ì$715), "", 'Data Entry'!$ì$715)</f>
      </c>
      <c r="FQ715">
        <f>IF(ISBLANK('Data Entry'!$í$715), "", 'Data Entry'!$í$715)</f>
      </c>
      <c r="FR715">
        <f>IF(ISBLANK('Data Entry'!$î$715), "", 'Data Entry'!$î$715)</f>
      </c>
      <c r="FS715">
        <f>IF(ISBLANK('Data Entry'!$ï$715), "", 'Data Entry'!$ï$715)</f>
      </c>
      <c r="FT715">
        <f>IF(ISBLANK('Data Entry'!$ð$715), "", 'Data Entry'!$ð$715)</f>
      </c>
      <c r="FU715">
        <f>IF(ISBLANK('Data Entry'!$ñ$715), "", 'Data Entry'!$ñ$715)</f>
      </c>
      <c r="FV715">
        <f>IF(ISBLANK('Data Entry'!$ò$715), "", 'Data Entry'!$ò$715)</f>
      </c>
      <c r="FW715">
        <f>IF(ISBLANK('Data Entry'!$ó$715), "", 'Data Entry'!$ó$715)</f>
      </c>
      <c r="FX715">
        <f>IF(ISBLANK('Data Entry'!$ô$715), "", 'Data Entry'!$ô$715)</f>
      </c>
      <c r="FY715">
        <f>IF(ISBLANK('Data Entry'!$õ$715), "", 'Data Entry'!$õ$715)</f>
      </c>
      <c r="FZ715">
        <f>IF(ISBLANK('Data Entry'!$ö$715), "", 'Data Entry'!$ö$715)</f>
      </c>
      <c r="GA715">
        <f>IF(ISBLANK('Data Entry'!$÷$715), "", 'Data Entry'!$÷$715)</f>
      </c>
      <c r="GB715">
        <f>IF(ISBLANK('Data Entry'!$ø$715), "", 'Data Entry'!$ø$715)</f>
      </c>
      <c r="GC715">
        <f>IF(ISBLANK('Data Entry'!$ù$715), "", 'Data Entry'!$ù$715)</f>
      </c>
      <c r="GD715">
        <f>IF(ISBLANK('Data Entry'!$ú$715), "", 'Data Entry'!$ú$715)</f>
      </c>
      <c r="GE715">
        <f>IF(ISBLANK('Data Entry'!$û$715), "", 'Data Entry'!$û$715)</f>
      </c>
      <c r="GF715">
        <f>IF(ISBLANK('Data Entry'!$ü$715), "", 'Data Entry'!$ü$715)</f>
      </c>
      <c r="GG715">
        <f>IF(ISBLANK('Data Entry'!$ý$715), "", 'Data Entry'!$ý$715)</f>
      </c>
      <c r="GH715">
        <f>IF(ISBLANK('Data Entry'!$þ$715), "", 'Data Entry'!$þ$715)</f>
      </c>
      <c r="GI715">
        <f>IF(ISBLANK('Data Entry'!$ÿ$715), "", 'Data Entry'!$ÿ$715)</f>
      </c>
      <c r="GJ715">
        <f>IF(ISBLANK('Data Entry'!$Ā$715), "", 'Data Entry'!$Ā$715)</f>
      </c>
      <c r="GK715">
        <f>IF(ISBLANK('Data Entry'!$ā$715), "", 'Data Entry'!$ā$715)</f>
      </c>
      <c r="GL715">
        <f>IF(ISBLANK('Data Entry'!$Ă$715), "", 'Data Entry'!$Ă$715)</f>
      </c>
      <c r="GM715">
        <f>IF(ISBLANK('Data Entry'!$ă$715), "", 'Data Entry'!$ă$715)</f>
      </c>
      <c r="GN715">
        <f>IF(ISBLANK('Data Entry'!$Ą$715), "", 'Data Entry'!$Ą$715)</f>
      </c>
      <c r="GO715">
        <f>IF(ISBLANK('Data Entry'!$ą$715), "", 'Data Entry'!$ą$715)</f>
      </c>
      <c r="GP715">
        <f>IF(ISBLANK('Data Entry'!$Ć$715), "", 'Data Entry'!$Ć$715)</f>
      </c>
      <c r="GQ715">
        <f>IF(ISBLANK('Data Entry'!$ć$715), "", 'Data Entry'!$ć$715)</f>
      </c>
      <c r="GR715">
        <f>IF(ISBLANK('Data Entry'!$Ĉ$715), "", 'Data Entry'!$Ĉ$715)</f>
      </c>
      <c r="GS715">
        <f>IF(ISBLANK('Data Entry'!$ĉ$715), "", 'Data Entry'!$ĉ$715)</f>
      </c>
      <c r="GT715">
        <f>IF(ISBLANK('Data Entry'!$Ċ$715), "", 'Data Entry'!$Ċ$715)</f>
      </c>
      <c r="GU715">
        <f>IF(ISBLANK('Data Entry'!$ċ$715), "", 'Data Entry'!$ċ$715)</f>
      </c>
      <c r="GV715">
        <f>IF(ISBLANK('Data Entry'!$Č$715), "", 'Data Entry'!$Č$715)</f>
      </c>
      <c r="GW715">
        <f>IF(ISBLANK('Data Entry'!$č$715), "", 'Data Entry'!$č$715)</f>
      </c>
      <c r="GX715">
        <f>IF(ISBLANK('Data Entry'!$Ď$715), "", 'Data Entry'!$Ď$715)</f>
      </c>
      <c r="GY715">
        <f>IF(ISBLANK('Data Entry'!$ď$715), "", 'Data Entry'!$ď$715)</f>
      </c>
      <c r="GZ715">
        <f>IF(ISBLANK('Data Entry'!$Đ$715), "", 'Data Entry'!$Đ$715)</f>
      </c>
      <c r="HA715">
        <f>IF(ISBLANK('Data Entry'!$đ$715), "", 'Data Entry'!$đ$715)</f>
      </c>
      <c r="HB715">
        <f>IF(ISBLANK('Data Entry'!$Ē$715), "", 'Data Entry'!$Ē$715)</f>
      </c>
      <c r="HC715">
        <f>IF(ISBLANK('Data Entry'!$ē$715), "", 'Data Entry'!$ē$715)</f>
      </c>
      <c r="HD715">
        <f>IF(ISBLANK('Data Entry'!$Ĕ$715), "", 'Data Entry'!$Ĕ$715)</f>
      </c>
      <c r="HE715">
        <f>IF(ISBLANK('Data Entry'!$ĕ$715), "", 'Data Entry'!$ĕ$715)</f>
      </c>
      <c r="HF715">
        <f>IF(ISBLANK('Data Entry'!$Ė$715), "", 'Data Entry'!$Ė$715)</f>
      </c>
      <c r="HG715">
        <f>IF(ISBLANK('Data Entry'!$ė$715), "", 'Data Entry'!$ė$715)</f>
      </c>
      <c r="HH715">
        <f>IF(ISBLANK('Data Entry'!$Ę$715), "", 'Data Entry'!$Ę$715)</f>
      </c>
      <c r="HI715">
        <f>IF(ISBLANK('Data Entry'!$ę$715), "", 'Data Entry'!$ę$715)</f>
      </c>
      <c r="HJ715">
        <f>IF(ISBLANK('Data Entry'!$Ě$715), "", 'Data Entry'!$Ě$715)</f>
      </c>
      <c r="HK715">
        <f>IF(ISBLANK('Data Entry'!$ě$715), "", 'Data Entry'!$ě$715)</f>
      </c>
      <c r="HL715">
        <f>IF(ISBLANK('Data Entry'!$Ĝ$715), "", 'Data Entry'!$Ĝ$715)</f>
      </c>
      <c r="HM715">
        <f>IF(ISBLANK('Data Entry'!$ĝ$715), "", 'Data Entry'!$ĝ$715)</f>
      </c>
      <c r="HN715">
        <f>IF(ISBLANK('Data Entry'!$Ğ$715), "", 'Data Entry'!$Ğ$715)</f>
      </c>
      <c r="HO715">
        <f>IF(ISBLANK('Data Entry'!$ğ$715), "", 'Data Entry'!$ğ$715)</f>
      </c>
      <c r="HP715">
        <f>IF(ISBLANK('Data Entry'!$Ġ$715), "", 'Data Entry'!$Ġ$715)</f>
      </c>
      <c r="HQ715">
        <f>IF(ISBLANK('Data Entry'!$ġ$715), "", 'Data Entry'!$ġ$715)</f>
      </c>
      <c r="HR715">
        <f>IF(ISBLANK('Data Entry'!$Ģ$715), "", 'Data Entry'!$Ģ$715)</f>
      </c>
      <c r="HS715">
        <f>IF(ISBLANK('Data Entry'!$ģ$715), "", 'Data Entry'!$ģ$715)</f>
      </c>
      <c r="HT715">
        <f>IF(ISBLANK('Data Entry'!$Ĥ$715), "", 'Data Entry'!$Ĥ$715)</f>
      </c>
      <c r="HU715">
        <f>IF(ISBLANK('Data Entry'!$ĥ$715), "", 'Data Entry'!$ĥ$715)</f>
      </c>
      <c r="HV715">
        <f>IF(ISBLANK('Data Entry'!$Ħ$715), "", 'Data Entry'!$Ħ$715)</f>
      </c>
      <c r="HW715">
        <f>IF(ISBLANK('Data Entry'!$ħ$715), "", 'Data Entry'!$ħ$715)</f>
      </c>
      <c r="HX715">
        <f>IF(ISBLANK('Data Entry'!$Ĩ$715), "", 'Data Entry'!$Ĩ$715)</f>
      </c>
      <c r="HY715">
        <f>IF(ISBLANK('Data Entry'!$ĩ$715), "", 'Data Entry'!$ĩ$715)</f>
      </c>
      <c r="HZ715">
        <f>IF(ISBLANK('Data Entry'!$Ī$715), "", 'Data Entry'!$Ī$715)</f>
      </c>
      <c r="IA715">
        <f>IF(ISBLANK('Data Entry'!$ī$715), "", 'Data Entry'!$ī$715)</f>
      </c>
      <c r="IB715">
        <f>IF(ISBLANK('Data Entry'!$Ĭ$715), "", 'Data Entry'!$Ĭ$715)</f>
      </c>
      <c r="IC715">
        <f>IF(ISBLANK('Data Entry'!$ĭ$715), "", 'Data Entry'!$ĭ$715)</f>
      </c>
      <c r="ID715">
        <f>IF(ISBLANK('Data Entry'!$Į$715), "", 'Data Entry'!$Į$715)</f>
      </c>
      <c r="IE715">
        <f>IF(ISBLANK('Data Entry'!$į$715), "", 'Data Entry'!$į$715)</f>
      </c>
      <c r="IF715">
        <f>IF(ISBLANK('Data Entry'!$İ$715), "", 'Data Entry'!$İ$715)</f>
      </c>
      <c r="IG715">
        <f>IF(ISBLANK('Data Entry'!$ı$715), "", 'Data Entry'!$ı$715)</f>
      </c>
      <c r="IH715">
        <f>IF(ISBLANK('Data Entry'!$Ĳ$715), "", 'Data Entry'!$Ĳ$715)</f>
      </c>
      <c r="II715">
        <f>IF(ISBLANK('Data Entry'!$ĳ$715), "", 'Data Entry'!$ĳ$715)</f>
      </c>
      <c r="IJ715">
        <f>IF(ISBLANK('Data Entry'!$Ĵ$715), "", 'Data Entry'!$Ĵ$715)</f>
      </c>
      <c r="IK715">
        <f>IF(ISBLANK('Data Entry'!$ĵ$715), "", 'Data Entry'!$ĵ$715)</f>
      </c>
      <c r="IL715">
        <f>IF(ISBLANK('Data Entry'!$Ķ$715), "", 'Data Entry'!$Ķ$715)</f>
      </c>
      <c r="IM715">
        <f>IF(ISBLANK('Data Entry'!$ķ$715), "", 'Data Entry'!$ķ$715)</f>
      </c>
      <c r="IN715">
        <f>IF(ISBLANK('Data Entry'!$ĸ$715), "", 'Data Entry'!$ĸ$715)</f>
      </c>
      <c r="IO715">
        <f>IF(ISBLANK('Data Entry'!$Ĺ$715), "", 'Data Entry'!$Ĺ$715)</f>
      </c>
      <c r="IP715">
        <f>IF(ISBLANK('Data Entry'!$ĺ$715), "", 'Data Entry'!$ĺ$715)</f>
      </c>
      <c r="IQ715">
        <f>IF(ISBLANK('Data Entry'!$Ļ$715), "", 'Data Entry'!$Ļ$715)</f>
      </c>
      <c r="IR715">
        <f>IF(ISBLANK('Data Entry'!$ļ$715), "", 'Data Entry'!$ļ$715)</f>
      </c>
      <c r="IS715">
        <f>IF(ISBLANK('Data Entry'!$Ľ$715), "", 'Data Entry'!$Ľ$715)</f>
      </c>
      <c r="IT715">
        <f>IF(ISBLANK('Data Entry'!$ľ$715), "", 'Data Entry'!$ľ$715)</f>
      </c>
    </row>
    <row r="716" spans="1:254" x14ac:dyDescent="0.25">
      <c r="A716">
        <f>IF(ISBLANK('Data Entry'!$A$716), "", 'Data Entry'!$A$716)</f>
      </c>
      <c r="B716">
        <f>IF(ISBLANK('Data Entry'!$B$716), "", 'Data Entry'!$B$716)</f>
      </c>
      <c r="C716">
        <f>IF(ISBLANK('Data Entry'!$C$716), "", 'Data Entry'!$C$716)</f>
      </c>
      <c r="D716">
        <f>IF(ISBLANK('Data Entry'!$D$716), "", 'Data Entry'!$D$716)</f>
      </c>
      <c r="E716">
        <f>IF(ISBLANK('Data Entry'!$E$716), "", 'Data Entry'!$E$716)</f>
      </c>
      <c r="F716">
        <f>IF(ISBLANK('Data Entry'!$F$716), "", 'Data Entry'!$F$716)</f>
      </c>
      <c r="G716">
        <f>IF(ISBLANK('Data Entry'!$G$716), "", 'Data Entry'!$G$716)</f>
      </c>
      <c r="H716">
        <f>IF(ISBLANK('Data Entry'!$H$716), "", 'Data Entry'!$H$716)</f>
      </c>
      <c r="I716">
        <f>IF(ISBLANK('Data Entry'!$I$716), "", 'Data Entry'!$I$716)</f>
      </c>
      <c r="J716">
        <f>IF(ISBLANK('Data Entry'!$J$716), "", 'Data Entry'!$J$716)</f>
      </c>
      <c r="K716">
        <f>IF(ISBLANK('Data Entry'!$K$716), "", 'Data Entry'!$K$716)</f>
      </c>
      <c r="L716">
        <f>IF(ISBLANK('Data Entry'!$L$716), "", 'Data Entry'!$L$716)</f>
      </c>
      <c r="M716">
        <f>IF(ISBLANK('Data Entry'!$M$716), "", 'Data Entry'!$M$716)</f>
      </c>
      <c r="N716">
        <f>IF(ISBLANK('Data Entry'!$N$716), "", 'Data Entry'!$N$716)</f>
      </c>
      <c r="O716">
        <f>IF(ISBLANK('Data Entry'!$O$716), "", 'Data Entry'!$O$716)</f>
      </c>
      <c r="P716">
        <f>IF(ISBLANK('Data Entry'!$P$716), "", 'Data Entry'!$P$716)</f>
      </c>
      <c r="Q716">
        <f>IF(ISBLANK('Data Entry'!$Q$716), "", 'Data Entry'!$Q$716)</f>
      </c>
      <c r="R716">
        <f>IF(ISBLANK('Data Entry'!$R$716), "", 'Data Entry'!$R$716)</f>
      </c>
      <c r="S716">
        <f>IF(ISBLANK('Data Entry'!$S$716), "", 'Data Entry'!$S$716)</f>
      </c>
      <c r="T716">
        <f>IF(ISBLANK('Data Entry'!$T$716), "", 'Data Entry'!$T$716)</f>
      </c>
      <c r="U716">
        <f>IF(ISBLANK('Data Entry'!$U$716), "", 'Data Entry'!$U$716)</f>
      </c>
      <c r="V716">
        <f>IF(ISBLANK('Data Entry'!$V$716), "", 'Data Entry'!$V$716)</f>
      </c>
      <c r="W716">
        <f>IF(ISBLANK('Data Entry'!$W$716), "", 'Data Entry'!$W$716)</f>
      </c>
      <c r="X716">
        <f>IF(ISBLANK('Data Entry'!$X$716), "", 'Data Entry'!$X$716)</f>
      </c>
      <c r="Y716">
        <f>IF(ISBLANK('Data Entry'!$Y$716), "", 'Data Entry'!$Y$716)</f>
      </c>
      <c r="Z716">
        <f>IF(ISBLANK('Data Entry'!$Z$716), "", 'Data Entry'!$Z$716)</f>
      </c>
      <c r="AA716">
        <f>IF(ISBLANK('Data Entry'!$[$716), "", 'Data Entry'!$[$716)</f>
      </c>
      <c r="AB716">
        <f>IF(ISBLANK('Data Entry'!$\$716), "", 'Data Entry'!$\$716)</f>
      </c>
      <c r="AC716">
        <f>IF(ISBLANK('Data Entry'!$]$716), "", 'Data Entry'!$]$716)</f>
      </c>
      <c r="AD716">
        <f>IF(ISBLANK('Data Entry'!$^$716), "", 'Data Entry'!$^$716)</f>
      </c>
      <c r="AE716">
        <f>IF(ISBLANK('Data Entry'!$_$716), "", 'Data Entry'!$_$716)</f>
      </c>
      <c r="AF716">
        <f>IF(ISBLANK('Data Entry'!$`$716), "", 'Data Entry'!$`$716)</f>
      </c>
      <c r="AG716">
        <f>IF(ISBLANK('Data Entry'!$a$716), "", 'Data Entry'!$a$716)</f>
      </c>
      <c r="AH716">
        <f>IF(ISBLANK('Data Entry'!$b$716), "", 'Data Entry'!$b$716)</f>
      </c>
      <c r="AI716">
        <f>IF(ISBLANK('Data Entry'!$c$716), "", 'Data Entry'!$c$716)</f>
      </c>
      <c r="AJ716">
        <f>IF(ISBLANK('Data Entry'!$d$716), "", 'Data Entry'!$d$716)</f>
      </c>
      <c r="AK716">
        <f>IF(ISBLANK('Data Entry'!$e$716), "", 'Data Entry'!$e$716)</f>
      </c>
      <c r="AL716">
        <f>IF(ISBLANK('Data Entry'!$f$716), "", 'Data Entry'!$f$716)</f>
      </c>
      <c r="AM716">
        <f>IF(ISBLANK('Data Entry'!$g$716), "", 'Data Entry'!$g$716)</f>
      </c>
      <c r="AN716">
        <f>IF(ISBLANK('Data Entry'!$h$716), "", 'Data Entry'!$h$716)</f>
      </c>
      <c r="AO716">
        <f>IF(ISBLANK('Data Entry'!$i$716), "", 'Data Entry'!$i$716)</f>
      </c>
      <c r="AP716">
        <f>IF(ISBLANK('Data Entry'!$j$716), "", 'Data Entry'!$j$716)</f>
      </c>
      <c r="AQ716">
        <f>IF(ISBLANK('Data Entry'!$k$716), "", 'Data Entry'!$k$716)</f>
      </c>
      <c r="AR716">
        <f>IF(ISBLANK('Data Entry'!$l$716), "", 'Data Entry'!$l$716)</f>
      </c>
      <c r="AS716">
        <f>IF(ISBLANK('Data Entry'!$m$716), "", 'Data Entry'!$m$716)</f>
      </c>
      <c r="AT716">
        <f>IF(ISBLANK('Data Entry'!$n$716), "", 'Data Entry'!$n$716)</f>
      </c>
      <c r="AU716">
        <f>IF(ISBLANK('Data Entry'!$o$716), "", 'Data Entry'!$o$716)</f>
      </c>
      <c r="AV716">
        <f>IF(ISBLANK('Data Entry'!$p$716), "", 'Data Entry'!$p$716)</f>
      </c>
      <c r="AW716">
        <f>IF(ISBLANK('Data Entry'!$q$716), "", 'Data Entry'!$q$716)</f>
      </c>
      <c r="AX716">
        <f>IF(ISBLANK('Data Entry'!$r$716), "", 'Data Entry'!$r$716)</f>
      </c>
      <c r="AY716">
        <f>IF(ISBLANK('Data Entry'!$s$716), "", 'Data Entry'!$s$716)</f>
      </c>
      <c r="AZ716">
        <f>IF(ISBLANK('Data Entry'!$t$716), "", 'Data Entry'!$t$716)</f>
      </c>
      <c r="BA716">
        <f>IF(ISBLANK('Data Entry'!$u$716), "", 'Data Entry'!$u$716)</f>
      </c>
      <c r="BB716">
        <f>IF(ISBLANK('Data Entry'!$v$716), "", 'Data Entry'!$v$716)</f>
      </c>
      <c r="BC716">
        <f>IF(ISBLANK('Data Entry'!$w$716), "", 'Data Entry'!$w$716)</f>
      </c>
      <c r="BD716">
        <f>IF(ISBLANK('Data Entry'!$x$716), "", 'Data Entry'!$x$716)</f>
      </c>
      <c r="BE716">
        <f>IF(ISBLANK('Data Entry'!$y$716), "", 'Data Entry'!$y$716)</f>
      </c>
      <c r="BF716">
        <f>IF(ISBLANK('Data Entry'!$z$716), "", 'Data Entry'!$z$716)</f>
      </c>
      <c r="BG716">
        <f>IF(ISBLANK('Data Entry'!${$716), "", 'Data Entry'!${$716)</f>
      </c>
      <c r="BH716">
        <f>IF(ISBLANK('Data Entry'!$|$716), "", 'Data Entry'!$|$716)</f>
      </c>
      <c r="BI716">
        <f>IF(ISBLANK('Data Entry'!$}$716), "", 'Data Entry'!$}$716)</f>
      </c>
      <c r="BJ716">
        <f>IF(ISBLANK('Data Entry'!$~$716), "", 'Data Entry'!$~$716)</f>
      </c>
      <c r="BK716">
        <f>IF(ISBLANK('Data Entry'!$$716), "", 'Data Entry'!$$716)</f>
      </c>
      <c r="BL716">
        <f>IF(ISBLANK('Data Entry'!$$716), "", 'Data Entry'!$$716)</f>
      </c>
      <c r="BM716">
        <f>IF(ISBLANK('Data Entry'!$$716), "", 'Data Entry'!$$716)</f>
      </c>
      <c r="BN716">
        <f>IF(ISBLANK('Data Entry'!$$716), "", 'Data Entry'!$$716)</f>
      </c>
      <c r="BO716">
        <f>IF(ISBLANK('Data Entry'!$$716), "", 'Data Entry'!$$716)</f>
      </c>
      <c r="BP716">
        <f>IF(ISBLANK('Data Entry'!$$716), "", 'Data Entry'!$$716)</f>
      </c>
      <c r="BQ716">
        <f>IF(ISBLANK('Data Entry'!$$716), "", 'Data Entry'!$$716)</f>
      </c>
      <c r="BR716">
        <f>IF(ISBLANK('Data Entry'!$$716), "", 'Data Entry'!$$716)</f>
      </c>
      <c r="BS716">
        <f>IF(ISBLANK('Data Entry'!$$716), "", 'Data Entry'!$$716)</f>
      </c>
      <c r="BT716">
        <f>IF(ISBLANK('Data Entry'!$$716), "", 'Data Entry'!$$716)</f>
      </c>
      <c r="BU716">
        <f>IF(ISBLANK('Data Entry'!$$716), "", 'Data Entry'!$$716)</f>
      </c>
      <c r="BV716">
        <f>IF(ISBLANK('Data Entry'!$$716), "", 'Data Entry'!$$716)</f>
      </c>
      <c r="BW716">
        <f>IF(ISBLANK('Data Entry'!$$716), "", 'Data Entry'!$$716)</f>
      </c>
      <c r="BX716">
        <f>IF(ISBLANK('Data Entry'!$$716), "", 'Data Entry'!$$716)</f>
      </c>
      <c r="BY716">
        <f>IF(ISBLANK('Data Entry'!$$716), "", 'Data Entry'!$$716)</f>
      </c>
      <c r="BZ716">
        <f>IF(ISBLANK('Data Entry'!$$716), "", 'Data Entry'!$$716)</f>
      </c>
      <c r="CA716">
        <f>IF(ISBLANK('Data Entry'!$$716), "", 'Data Entry'!$$716)</f>
      </c>
      <c r="CB716">
        <f>IF(ISBLANK('Data Entry'!$$716), "", 'Data Entry'!$$716)</f>
      </c>
      <c r="CC716">
        <f>IF(ISBLANK('Data Entry'!$$716), "", 'Data Entry'!$$716)</f>
      </c>
      <c r="CD716">
        <f>IF(ISBLANK('Data Entry'!$$716), "", 'Data Entry'!$$716)</f>
      </c>
      <c r="CE716">
        <f>IF(ISBLANK('Data Entry'!$$716), "", 'Data Entry'!$$716)</f>
      </c>
      <c r="CF716">
        <f>IF(ISBLANK('Data Entry'!$$716), "", 'Data Entry'!$$716)</f>
      </c>
      <c r="CG716">
        <f>IF(ISBLANK('Data Entry'!$$716), "", 'Data Entry'!$$716)</f>
      </c>
      <c r="CH716">
        <f>IF(ISBLANK('Data Entry'!$$716), "", 'Data Entry'!$$716)</f>
      </c>
      <c r="CI716">
        <f>IF(ISBLANK('Data Entry'!$$716), "", 'Data Entry'!$$716)</f>
      </c>
      <c r="CJ716">
        <f>IF(ISBLANK('Data Entry'!$$716), "", 'Data Entry'!$$716)</f>
      </c>
      <c r="CK716">
        <f>IF(ISBLANK('Data Entry'!$$716), "", 'Data Entry'!$$716)</f>
      </c>
      <c r="CL716">
        <f>IF(ISBLANK('Data Entry'!$$716), "", 'Data Entry'!$$716)</f>
      </c>
      <c r="CM716">
        <f>IF(ISBLANK('Data Entry'!$$716), "", 'Data Entry'!$$716)</f>
      </c>
      <c r="CN716">
        <f>IF(ISBLANK('Data Entry'!$$716), "", 'Data Entry'!$$716)</f>
      </c>
      <c r="CO716">
        <f>IF(ISBLANK('Data Entry'!$$716), "", 'Data Entry'!$$716)</f>
      </c>
      <c r="CP716">
        <f>IF(ISBLANK('Data Entry'!$$716), "", 'Data Entry'!$$716)</f>
      </c>
      <c r="CQ716">
        <f>IF(ISBLANK('Data Entry'!$$716), "", 'Data Entry'!$$716)</f>
      </c>
      <c r="CR716">
        <f>IF(ISBLANK('Data Entry'!$ $716), "", 'Data Entry'!$ $716)</f>
      </c>
      <c r="CS716">
        <f>IF(ISBLANK('Data Entry'!$¡$716), "", 'Data Entry'!$¡$716)</f>
      </c>
      <c r="CT716">
        <f>IF(ISBLANK('Data Entry'!$¢$716), "", 'Data Entry'!$¢$716)</f>
      </c>
      <c r="CU716">
        <f>IF(ISBLANK('Data Entry'!$£$716), "", 'Data Entry'!$£$716)</f>
      </c>
      <c r="CV716">
        <f>IF(ISBLANK('Data Entry'!$¤$716), "", 'Data Entry'!$¤$716)</f>
      </c>
      <c r="CW716">
        <f>IF(ISBLANK('Data Entry'!$¥$716), "", 'Data Entry'!$¥$716)</f>
      </c>
      <c r="CX716">
        <f>IF(ISBLANK('Data Entry'!$¦$716), "", 'Data Entry'!$¦$716)</f>
      </c>
      <c r="CY716">
        <f>IF(ISBLANK('Data Entry'!$§$716), "", 'Data Entry'!$§$716)</f>
      </c>
      <c r="CZ716">
        <f>IF(ISBLANK('Data Entry'!$¨$716), "", 'Data Entry'!$¨$716)</f>
      </c>
      <c r="DA716">
        <f>IF(ISBLANK('Data Entry'!$©$716), "", 'Data Entry'!$©$716)</f>
      </c>
      <c r="DB716">
        <f>IF(ISBLANK('Data Entry'!$ª$716), "", 'Data Entry'!$ª$716)</f>
      </c>
      <c r="DC716">
        <f>IF(ISBLANK('Data Entry'!$«$716), "", 'Data Entry'!$«$716)</f>
      </c>
      <c r="DD716">
        <f>IF(ISBLANK('Data Entry'!$¬$716), "", 'Data Entry'!$¬$716)</f>
      </c>
      <c r="DE716">
        <f>IF(ISBLANK('Data Entry'!$­$716), "", 'Data Entry'!$­$716)</f>
      </c>
      <c r="DF716">
        <f>IF(ISBLANK('Data Entry'!$®$716), "", 'Data Entry'!$®$716)</f>
      </c>
      <c r="DG716">
        <f>IF(ISBLANK('Data Entry'!$¯$716), "", 'Data Entry'!$¯$716)</f>
      </c>
      <c r="DH716">
        <f>IF(ISBLANK('Data Entry'!$°$716), "", 'Data Entry'!$°$716)</f>
      </c>
      <c r="DI716">
        <f>IF(ISBLANK('Data Entry'!$±$716), "", 'Data Entry'!$±$716)</f>
      </c>
      <c r="DJ716">
        <f>IF(ISBLANK('Data Entry'!$²$716), "", 'Data Entry'!$²$716)</f>
      </c>
      <c r="DK716">
        <f>IF(ISBLANK('Data Entry'!$³$716), "", 'Data Entry'!$³$716)</f>
      </c>
      <c r="DL716">
        <f>IF(ISBLANK('Data Entry'!$´$716), "", 'Data Entry'!$´$716)</f>
      </c>
      <c r="DM716">
        <f>IF(ISBLANK('Data Entry'!$µ$716), "", 'Data Entry'!$µ$716)</f>
      </c>
      <c r="DN716">
        <f>IF(ISBLANK('Data Entry'!$¶$716), "", 'Data Entry'!$¶$716)</f>
      </c>
      <c r="DO716">
        <f>IF(ISBLANK('Data Entry'!$·$716), "", 'Data Entry'!$·$716)</f>
      </c>
      <c r="DP716">
        <f>IF(ISBLANK('Data Entry'!$¸$716), "", 'Data Entry'!$¸$716)</f>
      </c>
      <c r="DQ716">
        <f>IF(ISBLANK('Data Entry'!$¹$716), "", 'Data Entry'!$¹$716)</f>
      </c>
      <c r="DR716">
        <f>IF(ISBLANK('Data Entry'!$º$716), "", 'Data Entry'!$º$716)</f>
      </c>
      <c r="DS716">
        <f>IF(ISBLANK('Data Entry'!$»$716), "", 'Data Entry'!$»$716)</f>
      </c>
      <c r="DT716">
        <f>IF(ISBLANK('Data Entry'!$¼$716), "", 'Data Entry'!$¼$716)</f>
      </c>
      <c r="DU716">
        <f>IF(ISBLANK('Data Entry'!$½$716), "", 'Data Entry'!$½$716)</f>
      </c>
      <c r="DV716">
        <f>IF(ISBLANK('Data Entry'!$¾$716), "", 'Data Entry'!$¾$716)</f>
      </c>
      <c r="DW716">
        <f>IF(ISBLANK('Data Entry'!$¿$716), "", 'Data Entry'!$¿$716)</f>
      </c>
      <c r="DX716">
        <f>IF(ISBLANK('Data Entry'!$À$716), "", 'Data Entry'!$À$716)</f>
      </c>
      <c r="DY716">
        <f>IF(ISBLANK('Data Entry'!$Á$716), "", 'Data Entry'!$Á$716)</f>
      </c>
      <c r="DZ716">
        <f>IF(ISBLANK('Data Entry'!$Â$716), "", 'Data Entry'!$Â$716)</f>
      </c>
      <c r="EA716">
        <f>IF(ISBLANK('Data Entry'!$Ã$716), "", 'Data Entry'!$Ã$716)</f>
      </c>
      <c r="EB716">
        <f>IF(ISBLANK('Data Entry'!$Ä$716), "", 'Data Entry'!$Ä$716)</f>
      </c>
      <c r="EC716">
        <f>IF(ISBLANK('Data Entry'!$Å$716), "", 'Data Entry'!$Å$716)</f>
      </c>
      <c r="ED716">
        <f>IF(ISBLANK('Data Entry'!$Æ$716), "", 'Data Entry'!$Æ$716)</f>
      </c>
      <c r="EE716">
        <f>IF(ISBLANK('Data Entry'!$Ç$716), "", 'Data Entry'!$Ç$716)</f>
      </c>
      <c r="EF716">
        <f>IF(ISBLANK('Data Entry'!$È$716), "", 'Data Entry'!$È$716)</f>
      </c>
      <c r="EG716">
        <f>IF(ISBLANK('Data Entry'!$É$716), "", 'Data Entry'!$É$716)</f>
      </c>
      <c r="EH716">
        <f>IF(ISBLANK('Data Entry'!$Ê$716), "", 'Data Entry'!$Ê$716)</f>
      </c>
      <c r="EI716">
        <f>IF(ISBLANK('Data Entry'!$Ë$716), "", 'Data Entry'!$Ë$716)</f>
      </c>
      <c r="EJ716">
        <f>IF(ISBLANK('Data Entry'!$Ì$716), "", 'Data Entry'!$Ì$716)</f>
      </c>
      <c r="EK716">
        <f>IF(ISBLANK('Data Entry'!$Í$716), "", 'Data Entry'!$Í$716)</f>
      </c>
      <c r="EL716">
        <f>IF(ISBLANK('Data Entry'!$Î$716), "", 'Data Entry'!$Î$716)</f>
      </c>
      <c r="EM716">
        <f>IF(ISBLANK('Data Entry'!$Ï$716), "", 'Data Entry'!$Ï$716)</f>
      </c>
      <c r="EN716">
        <f>IF(ISBLANK('Data Entry'!$Ð$716), "", 'Data Entry'!$Ð$716)</f>
      </c>
      <c r="EO716">
        <f>IF(ISBLANK('Data Entry'!$Ñ$716), "", 'Data Entry'!$Ñ$716)</f>
      </c>
      <c r="EP716">
        <f>IF(ISBLANK('Data Entry'!$Ò$716), "", 'Data Entry'!$Ò$716)</f>
      </c>
      <c r="EQ716">
        <f>IF(ISBLANK('Data Entry'!$Ó$716), "", 'Data Entry'!$Ó$716)</f>
      </c>
      <c r="ER716">
        <f>IF(ISBLANK('Data Entry'!$Ô$716), "", 'Data Entry'!$Ô$716)</f>
      </c>
      <c r="ES716">
        <f>IF(ISBLANK('Data Entry'!$Õ$716), "", 'Data Entry'!$Õ$716)</f>
      </c>
      <c r="ET716">
        <f>IF(ISBLANK('Data Entry'!$Ö$716), "", 'Data Entry'!$Ö$716)</f>
      </c>
      <c r="EU716">
        <f>IF(ISBLANK('Data Entry'!$×$716), "", 'Data Entry'!$×$716)</f>
      </c>
      <c r="EV716">
        <f>IF(ISBLANK('Data Entry'!$Ø$716), "", 'Data Entry'!$Ø$716)</f>
      </c>
      <c r="EW716">
        <f>IF(ISBLANK('Data Entry'!$Ù$716), "", 'Data Entry'!$Ù$716)</f>
      </c>
      <c r="EX716">
        <f>IF(ISBLANK('Data Entry'!$Ú$716), "", 'Data Entry'!$Ú$716)</f>
      </c>
      <c r="EY716">
        <f>IF(ISBLANK('Data Entry'!$Û$716), "", 'Data Entry'!$Û$716)</f>
      </c>
      <c r="EZ716">
        <f>IF(ISBLANK('Data Entry'!$Ü$716), "", 'Data Entry'!$Ü$716)</f>
      </c>
      <c r="FA716">
        <f>IF(ISBLANK('Data Entry'!$Ý$716), "", 'Data Entry'!$Ý$716)</f>
      </c>
      <c r="FB716">
        <f>IF(ISBLANK('Data Entry'!$Þ$716), "", 'Data Entry'!$Þ$716)</f>
      </c>
      <c r="FC716">
        <f>IF(ISBLANK('Data Entry'!$ß$716), "", 'Data Entry'!$ß$716)</f>
      </c>
      <c r="FD716">
        <f>IF(ISBLANK('Data Entry'!$à$716), "", 'Data Entry'!$à$716)</f>
      </c>
      <c r="FE716">
        <f>IF(ISBLANK('Data Entry'!$á$716), "", 'Data Entry'!$á$716)</f>
      </c>
      <c r="FF716">
        <f>IF(ISBLANK('Data Entry'!$â$716), "", 'Data Entry'!$â$716)</f>
      </c>
      <c r="FG716">
        <f>IF(ISBLANK('Data Entry'!$ã$716), "", 'Data Entry'!$ã$716)</f>
      </c>
      <c r="FH716">
        <f>IF(ISBLANK('Data Entry'!$ä$716), "", 'Data Entry'!$ä$716)</f>
      </c>
      <c r="FI716">
        <f>IF(ISBLANK('Data Entry'!$å$716), "", 'Data Entry'!$å$716)</f>
      </c>
      <c r="FJ716">
        <f>IF(ISBLANK('Data Entry'!$æ$716), "", 'Data Entry'!$æ$716)</f>
      </c>
      <c r="FK716">
        <f>IF(ISBLANK('Data Entry'!$ç$716), "", 'Data Entry'!$ç$716)</f>
      </c>
      <c r="FL716">
        <f>IF(ISBLANK('Data Entry'!$è$716), "", 'Data Entry'!$è$716)</f>
      </c>
      <c r="FM716">
        <f>IF(ISBLANK('Data Entry'!$é$716), "", 'Data Entry'!$é$716)</f>
      </c>
      <c r="FN716">
        <f>IF(ISBLANK('Data Entry'!$ê$716), "", 'Data Entry'!$ê$716)</f>
      </c>
      <c r="FO716">
        <f>IF(ISBLANK('Data Entry'!$ë$716), "", 'Data Entry'!$ë$716)</f>
      </c>
      <c r="FP716">
        <f>IF(ISBLANK('Data Entry'!$ì$716), "", 'Data Entry'!$ì$716)</f>
      </c>
      <c r="FQ716">
        <f>IF(ISBLANK('Data Entry'!$í$716), "", 'Data Entry'!$í$716)</f>
      </c>
      <c r="FR716">
        <f>IF(ISBLANK('Data Entry'!$î$716), "", 'Data Entry'!$î$716)</f>
      </c>
      <c r="FS716">
        <f>IF(ISBLANK('Data Entry'!$ï$716), "", 'Data Entry'!$ï$716)</f>
      </c>
      <c r="FT716">
        <f>IF(ISBLANK('Data Entry'!$ð$716), "", 'Data Entry'!$ð$716)</f>
      </c>
      <c r="FU716">
        <f>IF(ISBLANK('Data Entry'!$ñ$716), "", 'Data Entry'!$ñ$716)</f>
      </c>
      <c r="FV716">
        <f>IF(ISBLANK('Data Entry'!$ò$716), "", 'Data Entry'!$ò$716)</f>
      </c>
      <c r="FW716">
        <f>IF(ISBLANK('Data Entry'!$ó$716), "", 'Data Entry'!$ó$716)</f>
      </c>
      <c r="FX716">
        <f>IF(ISBLANK('Data Entry'!$ô$716), "", 'Data Entry'!$ô$716)</f>
      </c>
      <c r="FY716">
        <f>IF(ISBLANK('Data Entry'!$õ$716), "", 'Data Entry'!$õ$716)</f>
      </c>
      <c r="FZ716">
        <f>IF(ISBLANK('Data Entry'!$ö$716), "", 'Data Entry'!$ö$716)</f>
      </c>
      <c r="GA716">
        <f>IF(ISBLANK('Data Entry'!$÷$716), "", 'Data Entry'!$÷$716)</f>
      </c>
      <c r="GB716">
        <f>IF(ISBLANK('Data Entry'!$ø$716), "", 'Data Entry'!$ø$716)</f>
      </c>
      <c r="GC716">
        <f>IF(ISBLANK('Data Entry'!$ù$716), "", 'Data Entry'!$ù$716)</f>
      </c>
      <c r="GD716">
        <f>IF(ISBLANK('Data Entry'!$ú$716), "", 'Data Entry'!$ú$716)</f>
      </c>
      <c r="GE716">
        <f>IF(ISBLANK('Data Entry'!$û$716), "", 'Data Entry'!$û$716)</f>
      </c>
      <c r="GF716">
        <f>IF(ISBLANK('Data Entry'!$ü$716), "", 'Data Entry'!$ü$716)</f>
      </c>
      <c r="GG716">
        <f>IF(ISBLANK('Data Entry'!$ý$716), "", 'Data Entry'!$ý$716)</f>
      </c>
      <c r="GH716">
        <f>IF(ISBLANK('Data Entry'!$þ$716), "", 'Data Entry'!$þ$716)</f>
      </c>
      <c r="GI716">
        <f>IF(ISBLANK('Data Entry'!$ÿ$716), "", 'Data Entry'!$ÿ$716)</f>
      </c>
      <c r="GJ716">
        <f>IF(ISBLANK('Data Entry'!$Ā$716), "", 'Data Entry'!$Ā$716)</f>
      </c>
      <c r="GK716">
        <f>IF(ISBLANK('Data Entry'!$ā$716), "", 'Data Entry'!$ā$716)</f>
      </c>
      <c r="GL716">
        <f>IF(ISBLANK('Data Entry'!$Ă$716), "", 'Data Entry'!$Ă$716)</f>
      </c>
      <c r="GM716">
        <f>IF(ISBLANK('Data Entry'!$ă$716), "", 'Data Entry'!$ă$716)</f>
      </c>
      <c r="GN716">
        <f>IF(ISBLANK('Data Entry'!$Ą$716), "", 'Data Entry'!$Ą$716)</f>
      </c>
      <c r="GO716">
        <f>IF(ISBLANK('Data Entry'!$ą$716), "", 'Data Entry'!$ą$716)</f>
      </c>
      <c r="GP716">
        <f>IF(ISBLANK('Data Entry'!$Ć$716), "", 'Data Entry'!$Ć$716)</f>
      </c>
      <c r="GQ716">
        <f>IF(ISBLANK('Data Entry'!$ć$716), "", 'Data Entry'!$ć$716)</f>
      </c>
      <c r="GR716">
        <f>IF(ISBLANK('Data Entry'!$Ĉ$716), "", 'Data Entry'!$Ĉ$716)</f>
      </c>
      <c r="GS716">
        <f>IF(ISBLANK('Data Entry'!$ĉ$716), "", 'Data Entry'!$ĉ$716)</f>
      </c>
      <c r="GT716">
        <f>IF(ISBLANK('Data Entry'!$Ċ$716), "", 'Data Entry'!$Ċ$716)</f>
      </c>
      <c r="GU716">
        <f>IF(ISBLANK('Data Entry'!$ċ$716), "", 'Data Entry'!$ċ$716)</f>
      </c>
      <c r="GV716">
        <f>IF(ISBLANK('Data Entry'!$Č$716), "", 'Data Entry'!$Č$716)</f>
      </c>
      <c r="GW716">
        <f>IF(ISBLANK('Data Entry'!$č$716), "", 'Data Entry'!$č$716)</f>
      </c>
      <c r="GX716">
        <f>IF(ISBLANK('Data Entry'!$Ď$716), "", 'Data Entry'!$Ď$716)</f>
      </c>
      <c r="GY716">
        <f>IF(ISBLANK('Data Entry'!$ď$716), "", 'Data Entry'!$ď$716)</f>
      </c>
      <c r="GZ716">
        <f>IF(ISBLANK('Data Entry'!$Đ$716), "", 'Data Entry'!$Đ$716)</f>
      </c>
      <c r="HA716">
        <f>IF(ISBLANK('Data Entry'!$đ$716), "", 'Data Entry'!$đ$716)</f>
      </c>
      <c r="HB716">
        <f>IF(ISBLANK('Data Entry'!$Ē$716), "", 'Data Entry'!$Ē$716)</f>
      </c>
      <c r="HC716">
        <f>IF(ISBLANK('Data Entry'!$ē$716), "", 'Data Entry'!$ē$716)</f>
      </c>
      <c r="HD716">
        <f>IF(ISBLANK('Data Entry'!$Ĕ$716), "", 'Data Entry'!$Ĕ$716)</f>
      </c>
      <c r="HE716">
        <f>IF(ISBLANK('Data Entry'!$ĕ$716), "", 'Data Entry'!$ĕ$716)</f>
      </c>
      <c r="HF716">
        <f>IF(ISBLANK('Data Entry'!$Ė$716), "", 'Data Entry'!$Ė$716)</f>
      </c>
      <c r="HG716">
        <f>IF(ISBLANK('Data Entry'!$ė$716), "", 'Data Entry'!$ė$716)</f>
      </c>
      <c r="HH716">
        <f>IF(ISBLANK('Data Entry'!$Ę$716), "", 'Data Entry'!$Ę$716)</f>
      </c>
      <c r="HI716">
        <f>IF(ISBLANK('Data Entry'!$ę$716), "", 'Data Entry'!$ę$716)</f>
      </c>
      <c r="HJ716">
        <f>IF(ISBLANK('Data Entry'!$Ě$716), "", 'Data Entry'!$Ě$716)</f>
      </c>
      <c r="HK716">
        <f>IF(ISBLANK('Data Entry'!$ě$716), "", 'Data Entry'!$ě$716)</f>
      </c>
      <c r="HL716">
        <f>IF(ISBLANK('Data Entry'!$Ĝ$716), "", 'Data Entry'!$Ĝ$716)</f>
      </c>
      <c r="HM716">
        <f>IF(ISBLANK('Data Entry'!$ĝ$716), "", 'Data Entry'!$ĝ$716)</f>
      </c>
      <c r="HN716">
        <f>IF(ISBLANK('Data Entry'!$Ğ$716), "", 'Data Entry'!$Ğ$716)</f>
      </c>
      <c r="HO716">
        <f>IF(ISBLANK('Data Entry'!$ğ$716), "", 'Data Entry'!$ğ$716)</f>
      </c>
      <c r="HP716">
        <f>IF(ISBLANK('Data Entry'!$Ġ$716), "", 'Data Entry'!$Ġ$716)</f>
      </c>
      <c r="HQ716">
        <f>IF(ISBLANK('Data Entry'!$ġ$716), "", 'Data Entry'!$ġ$716)</f>
      </c>
      <c r="HR716">
        <f>IF(ISBLANK('Data Entry'!$Ģ$716), "", 'Data Entry'!$Ģ$716)</f>
      </c>
      <c r="HS716">
        <f>IF(ISBLANK('Data Entry'!$ģ$716), "", 'Data Entry'!$ģ$716)</f>
      </c>
      <c r="HT716">
        <f>IF(ISBLANK('Data Entry'!$Ĥ$716), "", 'Data Entry'!$Ĥ$716)</f>
      </c>
      <c r="HU716">
        <f>IF(ISBLANK('Data Entry'!$ĥ$716), "", 'Data Entry'!$ĥ$716)</f>
      </c>
      <c r="HV716">
        <f>IF(ISBLANK('Data Entry'!$Ħ$716), "", 'Data Entry'!$Ħ$716)</f>
      </c>
      <c r="HW716">
        <f>IF(ISBLANK('Data Entry'!$ħ$716), "", 'Data Entry'!$ħ$716)</f>
      </c>
      <c r="HX716">
        <f>IF(ISBLANK('Data Entry'!$Ĩ$716), "", 'Data Entry'!$Ĩ$716)</f>
      </c>
      <c r="HY716">
        <f>IF(ISBLANK('Data Entry'!$ĩ$716), "", 'Data Entry'!$ĩ$716)</f>
      </c>
      <c r="HZ716">
        <f>IF(ISBLANK('Data Entry'!$Ī$716), "", 'Data Entry'!$Ī$716)</f>
      </c>
      <c r="IA716">
        <f>IF(ISBLANK('Data Entry'!$ī$716), "", 'Data Entry'!$ī$716)</f>
      </c>
      <c r="IB716">
        <f>IF(ISBLANK('Data Entry'!$Ĭ$716), "", 'Data Entry'!$Ĭ$716)</f>
      </c>
      <c r="IC716">
        <f>IF(ISBLANK('Data Entry'!$ĭ$716), "", 'Data Entry'!$ĭ$716)</f>
      </c>
      <c r="ID716">
        <f>IF(ISBLANK('Data Entry'!$Į$716), "", 'Data Entry'!$Į$716)</f>
      </c>
      <c r="IE716">
        <f>IF(ISBLANK('Data Entry'!$į$716), "", 'Data Entry'!$į$716)</f>
      </c>
      <c r="IF716">
        <f>IF(ISBLANK('Data Entry'!$İ$716), "", 'Data Entry'!$İ$716)</f>
      </c>
      <c r="IG716">
        <f>IF(ISBLANK('Data Entry'!$ı$716), "", 'Data Entry'!$ı$716)</f>
      </c>
      <c r="IH716">
        <f>IF(ISBLANK('Data Entry'!$Ĳ$716), "", 'Data Entry'!$Ĳ$716)</f>
      </c>
      <c r="II716">
        <f>IF(ISBLANK('Data Entry'!$ĳ$716), "", 'Data Entry'!$ĳ$716)</f>
      </c>
      <c r="IJ716">
        <f>IF(ISBLANK('Data Entry'!$Ĵ$716), "", 'Data Entry'!$Ĵ$716)</f>
      </c>
      <c r="IK716">
        <f>IF(ISBLANK('Data Entry'!$ĵ$716), "", 'Data Entry'!$ĵ$716)</f>
      </c>
      <c r="IL716">
        <f>IF(ISBLANK('Data Entry'!$Ķ$716), "", 'Data Entry'!$Ķ$716)</f>
      </c>
      <c r="IM716">
        <f>IF(ISBLANK('Data Entry'!$ķ$716), "", 'Data Entry'!$ķ$716)</f>
      </c>
      <c r="IN716">
        <f>IF(ISBLANK('Data Entry'!$ĸ$716), "", 'Data Entry'!$ĸ$716)</f>
      </c>
      <c r="IO716">
        <f>IF(ISBLANK('Data Entry'!$Ĺ$716), "", 'Data Entry'!$Ĺ$716)</f>
      </c>
      <c r="IP716">
        <f>IF(ISBLANK('Data Entry'!$ĺ$716), "", 'Data Entry'!$ĺ$716)</f>
      </c>
      <c r="IQ716">
        <f>IF(ISBLANK('Data Entry'!$Ļ$716), "", 'Data Entry'!$Ļ$716)</f>
      </c>
      <c r="IR716">
        <f>IF(ISBLANK('Data Entry'!$ļ$716), "", 'Data Entry'!$ļ$716)</f>
      </c>
      <c r="IS716">
        <f>IF(ISBLANK('Data Entry'!$Ľ$716), "", 'Data Entry'!$Ľ$716)</f>
      </c>
      <c r="IT716">
        <f>IF(ISBLANK('Data Entry'!$ľ$716), "", 'Data Entry'!$ľ$716)</f>
      </c>
    </row>
    <row r="717" spans="1:254" x14ac:dyDescent="0.25">
      <c r="A717">
        <f>IF(ISBLANK('Data Entry'!$A$717), "", 'Data Entry'!$A$717)</f>
      </c>
      <c r="B717">
        <f>IF(ISBLANK('Data Entry'!$B$717), "", 'Data Entry'!$B$717)</f>
      </c>
      <c r="C717">
        <f>IF(ISBLANK('Data Entry'!$C$717), "", 'Data Entry'!$C$717)</f>
      </c>
      <c r="D717">
        <f>IF(ISBLANK('Data Entry'!$D$717), "", 'Data Entry'!$D$717)</f>
      </c>
      <c r="E717">
        <f>IF(ISBLANK('Data Entry'!$E$717), "", 'Data Entry'!$E$717)</f>
      </c>
      <c r="F717">
        <f>IF(ISBLANK('Data Entry'!$F$717), "", 'Data Entry'!$F$717)</f>
      </c>
      <c r="G717">
        <f>IF(ISBLANK('Data Entry'!$G$717), "", 'Data Entry'!$G$717)</f>
      </c>
      <c r="H717">
        <f>IF(ISBLANK('Data Entry'!$H$717), "", 'Data Entry'!$H$717)</f>
      </c>
      <c r="I717">
        <f>IF(ISBLANK('Data Entry'!$I$717), "", 'Data Entry'!$I$717)</f>
      </c>
      <c r="J717">
        <f>IF(ISBLANK('Data Entry'!$J$717), "", 'Data Entry'!$J$717)</f>
      </c>
      <c r="K717">
        <f>IF(ISBLANK('Data Entry'!$K$717), "", 'Data Entry'!$K$717)</f>
      </c>
      <c r="L717">
        <f>IF(ISBLANK('Data Entry'!$L$717), "", 'Data Entry'!$L$717)</f>
      </c>
      <c r="M717">
        <f>IF(ISBLANK('Data Entry'!$M$717), "", 'Data Entry'!$M$717)</f>
      </c>
      <c r="N717">
        <f>IF(ISBLANK('Data Entry'!$N$717), "", 'Data Entry'!$N$717)</f>
      </c>
      <c r="O717">
        <f>IF(ISBLANK('Data Entry'!$O$717), "", 'Data Entry'!$O$717)</f>
      </c>
      <c r="P717">
        <f>IF(ISBLANK('Data Entry'!$P$717), "", 'Data Entry'!$P$717)</f>
      </c>
      <c r="Q717">
        <f>IF(ISBLANK('Data Entry'!$Q$717), "", 'Data Entry'!$Q$717)</f>
      </c>
      <c r="R717">
        <f>IF(ISBLANK('Data Entry'!$R$717), "", 'Data Entry'!$R$717)</f>
      </c>
      <c r="S717">
        <f>IF(ISBLANK('Data Entry'!$S$717), "", 'Data Entry'!$S$717)</f>
      </c>
      <c r="T717">
        <f>IF(ISBLANK('Data Entry'!$T$717), "", 'Data Entry'!$T$717)</f>
      </c>
      <c r="U717">
        <f>IF(ISBLANK('Data Entry'!$U$717), "", 'Data Entry'!$U$717)</f>
      </c>
      <c r="V717">
        <f>IF(ISBLANK('Data Entry'!$V$717), "", 'Data Entry'!$V$717)</f>
      </c>
      <c r="W717">
        <f>IF(ISBLANK('Data Entry'!$W$717), "", 'Data Entry'!$W$717)</f>
      </c>
      <c r="X717">
        <f>IF(ISBLANK('Data Entry'!$X$717), "", 'Data Entry'!$X$717)</f>
      </c>
      <c r="Y717">
        <f>IF(ISBLANK('Data Entry'!$Y$717), "", 'Data Entry'!$Y$717)</f>
      </c>
      <c r="Z717">
        <f>IF(ISBLANK('Data Entry'!$Z$717), "", 'Data Entry'!$Z$717)</f>
      </c>
      <c r="AA717">
        <f>IF(ISBLANK('Data Entry'!$[$717), "", 'Data Entry'!$[$717)</f>
      </c>
      <c r="AB717">
        <f>IF(ISBLANK('Data Entry'!$\$717), "", 'Data Entry'!$\$717)</f>
      </c>
      <c r="AC717">
        <f>IF(ISBLANK('Data Entry'!$]$717), "", 'Data Entry'!$]$717)</f>
      </c>
      <c r="AD717">
        <f>IF(ISBLANK('Data Entry'!$^$717), "", 'Data Entry'!$^$717)</f>
      </c>
      <c r="AE717">
        <f>IF(ISBLANK('Data Entry'!$_$717), "", 'Data Entry'!$_$717)</f>
      </c>
      <c r="AF717">
        <f>IF(ISBLANK('Data Entry'!$`$717), "", 'Data Entry'!$`$717)</f>
      </c>
      <c r="AG717">
        <f>IF(ISBLANK('Data Entry'!$a$717), "", 'Data Entry'!$a$717)</f>
      </c>
      <c r="AH717">
        <f>IF(ISBLANK('Data Entry'!$b$717), "", 'Data Entry'!$b$717)</f>
      </c>
      <c r="AI717">
        <f>IF(ISBLANK('Data Entry'!$c$717), "", 'Data Entry'!$c$717)</f>
      </c>
      <c r="AJ717">
        <f>IF(ISBLANK('Data Entry'!$d$717), "", 'Data Entry'!$d$717)</f>
      </c>
      <c r="AK717">
        <f>IF(ISBLANK('Data Entry'!$e$717), "", 'Data Entry'!$e$717)</f>
      </c>
      <c r="AL717">
        <f>IF(ISBLANK('Data Entry'!$f$717), "", 'Data Entry'!$f$717)</f>
      </c>
      <c r="AM717">
        <f>IF(ISBLANK('Data Entry'!$g$717), "", 'Data Entry'!$g$717)</f>
      </c>
      <c r="AN717">
        <f>IF(ISBLANK('Data Entry'!$h$717), "", 'Data Entry'!$h$717)</f>
      </c>
      <c r="AO717">
        <f>IF(ISBLANK('Data Entry'!$i$717), "", 'Data Entry'!$i$717)</f>
      </c>
      <c r="AP717">
        <f>IF(ISBLANK('Data Entry'!$j$717), "", 'Data Entry'!$j$717)</f>
      </c>
      <c r="AQ717">
        <f>IF(ISBLANK('Data Entry'!$k$717), "", 'Data Entry'!$k$717)</f>
      </c>
      <c r="AR717">
        <f>IF(ISBLANK('Data Entry'!$l$717), "", 'Data Entry'!$l$717)</f>
      </c>
      <c r="AS717">
        <f>IF(ISBLANK('Data Entry'!$m$717), "", 'Data Entry'!$m$717)</f>
      </c>
      <c r="AT717">
        <f>IF(ISBLANK('Data Entry'!$n$717), "", 'Data Entry'!$n$717)</f>
      </c>
      <c r="AU717">
        <f>IF(ISBLANK('Data Entry'!$o$717), "", 'Data Entry'!$o$717)</f>
      </c>
      <c r="AV717">
        <f>IF(ISBLANK('Data Entry'!$p$717), "", 'Data Entry'!$p$717)</f>
      </c>
      <c r="AW717">
        <f>IF(ISBLANK('Data Entry'!$q$717), "", 'Data Entry'!$q$717)</f>
      </c>
      <c r="AX717">
        <f>IF(ISBLANK('Data Entry'!$r$717), "", 'Data Entry'!$r$717)</f>
      </c>
      <c r="AY717">
        <f>IF(ISBLANK('Data Entry'!$s$717), "", 'Data Entry'!$s$717)</f>
      </c>
      <c r="AZ717">
        <f>IF(ISBLANK('Data Entry'!$t$717), "", 'Data Entry'!$t$717)</f>
      </c>
      <c r="BA717">
        <f>IF(ISBLANK('Data Entry'!$u$717), "", 'Data Entry'!$u$717)</f>
      </c>
      <c r="BB717">
        <f>IF(ISBLANK('Data Entry'!$v$717), "", 'Data Entry'!$v$717)</f>
      </c>
      <c r="BC717">
        <f>IF(ISBLANK('Data Entry'!$w$717), "", 'Data Entry'!$w$717)</f>
      </c>
      <c r="BD717">
        <f>IF(ISBLANK('Data Entry'!$x$717), "", 'Data Entry'!$x$717)</f>
      </c>
      <c r="BE717">
        <f>IF(ISBLANK('Data Entry'!$y$717), "", 'Data Entry'!$y$717)</f>
      </c>
      <c r="BF717">
        <f>IF(ISBLANK('Data Entry'!$z$717), "", 'Data Entry'!$z$717)</f>
      </c>
      <c r="BG717">
        <f>IF(ISBLANK('Data Entry'!${$717), "", 'Data Entry'!${$717)</f>
      </c>
      <c r="BH717">
        <f>IF(ISBLANK('Data Entry'!$|$717), "", 'Data Entry'!$|$717)</f>
      </c>
      <c r="BI717">
        <f>IF(ISBLANK('Data Entry'!$}$717), "", 'Data Entry'!$}$717)</f>
      </c>
      <c r="BJ717">
        <f>IF(ISBLANK('Data Entry'!$~$717), "", 'Data Entry'!$~$717)</f>
      </c>
      <c r="BK717">
        <f>IF(ISBLANK('Data Entry'!$$717), "", 'Data Entry'!$$717)</f>
      </c>
      <c r="BL717">
        <f>IF(ISBLANK('Data Entry'!$$717), "", 'Data Entry'!$$717)</f>
      </c>
      <c r="BM717">
        <f>IF(ISBLANK('Data Entry'!$$717), "", 'Data Entry'!$$717)</f>
      </c>
      <c r="BN717">
        <f>IF(ISBLANK('Data Entry'!$$717), "", 'Data Entry'!$$717)</f>
      </c>
      <c r="BO717">
        <f>IF(ISBLANK('Data Entry'!$$717), "", 'Data Entry'!$$717)</f>
      </c>
      <c r="BP717">
        <f>IF(ISBLANK('Data Entry'!$$717), "", 'Data Entry'!$$717)</f>
      </c>
      <c r="BQ717">
        <f>IF(ISBLANK('Data Entry'!$$717), "", 'Data Entry'!$$717)</f>
      </c>
      <c r="BR717">
        <f>IF(ISBLANK('Data Entry'!$$717), "", 'Data Entry'!$$717)</f>
      </c>
      <c r="BS717">
        <f>IF(ISBLANK('Data Entry'!$$717), "", 'Data Entry'!$$717)</f>
      </c>
      <c r="BT717">
        <f>IF(ISBLANK('Data Entry'!$$717), "", 'Data Entry'!$$717)</f>
      </c>
      <c r="BU717">
        <f>IF(ISBLANK('Data Entry'!$$717), "", 'Data Entry'!$$717)</f>
      </c>
      <c r="BV717">
        <f>IF(ISBLANK('Data Entry'!$$717), "", 'Data Entry'!$$717)</f>
      </c>
      <c r="BW717">
        <f>IF(ISBLANK('Data Entry'!$$717), "", 'Data Entry'!$$717)</f>
      </c>
      <c r="BX717">
        <f>IF(ISBLANK('Data Entry'!$$717), "", 'Data Entry'!$$717)</f>
      </c>
      <c r="BY717">
        <f>IF(ISBLANK('Data Entry'!$$717), "", 'Data Entry'!$$717)</f>
      </c>
      <c r="BZ717">
        <f>IF(ISBLANK('Data Entry'!$$717), "", 'Data Entry'!$$717)</f>
      </c>
      <c r="CA717">
        <f>IF(ISBLANK('Data Entry'!$$717), "", 'Data Entry'!$$717)</f>
      </c>
      <c r="CB717">
        <f>IF(ISBLANK('Data Entry'!$$717), "", 'Data Entry'!$$717)</f>
      </c>
      <c r="CC717">
        <f>IF(ISBLANK('Data Entry'!$$717), "", 'Data Entry'!$$717)</f>
      </c>
      <c r="CD717">
        <f>IF(ISBLANK('Data Entry'!$$717), "", 'Data Entry'!$$717)</f>
      </c>
      <c r="CE717">
        <f>IF(ISBLANK('Data Entry'!$$717), "", 'Data Entry'!$$717)</f>
      </c>
      <c r="CF717">
        <f>IF(ISBLANK('Data Entry'!$$717), "", 'Data Entry'!$$717)</f>
      </c>
      <c r="CG717">
        <f>IF(ISBLANK('Data Entry'!$$717), "", 'Data Entry'!$$717)</f>
      </c>
      <c r="CH717">
        <f>IF(ISBLANK('Data Entry'!$$717), "", 'Data Entry'!$$717)</f>
      </c>
      <c r="CI717">
        <f>IF(ISBLANK('Data Entry'!$$717), "", 'Data Entry'!$$717)</f>
      </c>
      <c r="CJ717">
        <f>IF(ISBLANK('Data Entry'!$$717), "", 'Data Entry'!$$717)</f>
      </c>
      <c r="CK717">
        <f>IF(ISBLANK('Data Entry'!$$717), "", 'Data Entry'!$$717)</f>
      </c>
      <c r="CL717">
        <f>IF(ISBLANK('Data Entry'!$$717), "", 'Data Entry'!$$717)</f>
      </c>
      <c r="CM717">
        <f>IF(ISBLANK('Data Entry'!$$717), "", 'Data Entry'!$$717)</f>
      </c>
      <c r="CN717">
        <f>IF(ISBLANK('Data Entry'!$$717), "", 'Data Entry'!$$717)</f>
      </c>
      <c r="CO717">
        <f>IF(ISBLANK('Data Entry'!$$717), "", 'Data Entry'!$$717)</f>
      </c>
      <c r="CP717">
        <f>IF(ISBLANK('Data Entry'!$$717), "", 'Data Entry'!$$717)</f>
      </c>
      <c r="CQ717">
        <f>IF(ISBLANK('Data Entry'!$$717), "", 'Data Entry'!$$717)</f>
      </c>
      <c r="CR717">
        <f>IF(ISBLANK('Data Entry'!$ $717), "", 'Data Entry'!$ $717)</f>
      </c>
      <c r="CS717">
        <f>IF(ISBLANK('Data Entry'!$¡$717), "", 'Data Entry'!$¡$717)</f>
      </c>
      <c r="CT717">
        <f>IF(ISBLANK('Data Entry'!$¢$717), "", 'Data Entry'!$¢$717)</f>
      </c>
      <c r="CU717">
        <f>IF(ISBLANK('Data Entry'!$£$717), "", 'Data Entry'!$£$717)</f>
      </c>
      <c r="CV717">
        <f>IF(ISBLANK('Data Entry'!$¤$717), "", 'Data Entry'!$¤$717)</f>
      </c>
      <c r="CW717">
        <f>IF(ISBLANK('Data Entry'!$¥$717), "", 'Data Entry'!$¥$717)</f>
      </c>
      <c r="CX717">
        <f>IF(ISBLANK('Data Entry'!$¦$717), "", 'Data Entry'!$¦$717)</f>
      </c>
      <c r="CY717">
        <f>IF(ISBLANK('Data Entry'!$§$717), "", 'Data Entry'!$§$717)</f>
      </c>
      <c r="CZ717">
        <f>IF(ISBLANK('Data Entry'!$¨$717), "", 'Data Entry'!$¨$717)</f>
      </c>
      <c r="DA717">
        <f>IF(ISBLANK('Data Entry'!$©$717), "", 'Data Entry'!$©$717)</f>
      </c>
      <c r="DB717">
        <f>IF(ISBLANK('Data Entry'!$ª$717), "", 'Data Entry'!$ª$717)</f>
      </c>
      <c r="DC717">
        <f>IF(ISBLANK('Data Entry'!$«$717), "", 'Data Entry'!$«$717)</f>
      </c>
      <c r="DD717">
        <f>IF(ISBLANK('Data Entry'!$¬$717), "", 'Data Entry'!$¬$717)</f>
      </c>
      <c r="DE717">
        <f>IF(ISBLANK('Data Entry'!$­$717), "", 'Data Entry'!$­$717)</f>
      </c>
      <c r="DF717">
        <f>IF(ISBLANK('Data Entry'!$®$717), "", 'Data Entry'!$®$717)</f>
      </c>
      <c r="DG717">
        <f>IF(ISBLANK('Data Entry'!$¯$717), "", 'Data Entry'!$¯$717)</f>
      </c>
      <c r="DH717">
        <f>IF(ISBLANK('Data Entry'!$°$717), "", 'Data Entry'!$°$717)</f>
      </c>
      <c r="DI717">
        <f>IF(ISBLANK('Data Entry'!$±$717), "", 'Data Entry'!$±$717)</f>
      </c>
      <c r="DJ717">
        <f>IF(ISBLANK('Data Entry'!$²$717), "", 'Data Entry'!$²$717)</f>
      </c>
      <c r="DK717">
        <f>IF(ISBLANK('Data Entry'!$³$717), "", 'Data Entry'!$³$717)</f>
      </c>
      <c r="DL717">
        <f>IF(ISBLANK('Data Entry'!$´$717), "", 'Data Entry'!$´$717)</f>
      </c>
      <c r="DM717">
        <f>IF(ISBLANK('Data Entry'!$µ$717), "", 'Data Entry'!$µ$717)</f>
      </c>
      <c r="DN717">
        <f>IF(ISBLANK('Data Entry'!$¶$717), "", 'Data Entry'!$¶$717)</f>
      </c>
      <c r="DO717">
        <f>IF(ISBLANK('Data Entry'!$·$717), "", 'Data Entry'!$·$717)</f>
      </c>
      <c r="DP717">
        <f>IF(ISBLANK('Data Entry'!$¸$717), "", 'Data Entry'!$¸$717)</f>
      </c>
      <c r="DQ717">
        <f>IF(ISBLANK('Data Entry'!$¹$717), "", 'Data Entry'!$¹$717)</f>
      </c>
      <c r="DR717">
        <f>IF(ISBLANK('Data Entry'!$º$717), "", 'Data Entry'!$º$717)</f>
      </c>
      <c r="DS717">
        <f>IF(ISBLANK('Data Entry'!$»$717), "", 'Data Entry'!$»$717)</f>
      </c>
      <c r="DT717">
        <f>IF(ISBLANK('Data Entry'!$¼$717), "", 'Data Entry'!$¼$717)</f>
      </c>
      <c r="DU717">
        <f>IF(ISBLANK('Data Entry'!$½$717), "", 'Data Entry'!$½$717)</f>
      </c>
      <c r="DV717">
        <f>IF(ISBLANK('Data Entry'!$¾$717), "", 'Data Entry'!$¾$717)</f>
      </c>
      <c r="DW717">
        <f>IF(ISBLANK('Data Entry'!$¿$717), "", 'Data Entry'!$¿$717)</f>
      </c>
      <c r="DX717">
        <f>IF(ISBLANK('Data Entry'!$À$717), "", 'Data Entry'!$À$717)</f>
      </c>
      <c r="DY717">
        <f>IF(ISBLANK('Data Entry'!$Á$717), "", 'Data Entry'!$Á$717)</f>
      </c>
      <c r="DZ717">
        <f>IF(ISBLANK('Data Entry'!$Â$717), "", 'Data Entry'!$Â$717)</f>
      </c>
      <c r="EA717">
        <f>IF(ISBLANK('Data Entry'!$Ã$717), "", 'Data Entry'!$Ã$717)</f>
      </c>
      <c r="EB717">
        <f>IF(ISBLANK('Data Entry'!$Ä$717), "", 'Data Entry'!$Ä$717)</f>
      </c>
      <c r="EC717">
        <f>IF(ISBLANK('Data Entry'!$Å$717), "", 'Data Entry'!$Å$717)</f>
      </c>
      <c r="ED717">
        <f>IF(ISBLANK('Data Entry'!$Æ$717), "", 'Data Entry'!$Æ$717)</f>
      </c>
      <c r="EE717">
        <f>IF(ISBLANK('Data Entry'!$Ç$717), "", 'Data Entry'!$Ç$717)</f>
      </c>
      <c r="EF717">
        <f>IF(ISBLANK('Data Entry'!$È$717), "", 'Data Entry'!$È$717)</f>
      </c>
      <c r="EG717">
        <f>IF(ISBLANK('Data Entry'!$É$717), "", 'Data Entry'!$É$717)</f>
      </c>
      <c r="EH717">
        <f>IF(ISBLANK('Data Entry'!$Ê$717), "", 'Data Entry'!$Ê$717)</f>
      </c>
      <c r="EI717">
        <f>IF(ISBLANK('Data Entry'!$Ë$717), "", 'Data Entry'!$Ë$717)</f>
      </c>
      <c r="EJ717">
        <f>IF(ISBLANK('Data Entry'!$Ì$717), "", 'Data Entry'!$Ì$717)</f>
      </c>
      <c r="EK717">
        <f>IF(ISBLANK('Data Entry'!$Í$717), "", 'Data Entry'!$Í$717)</f>
      </c>
      <c r="EL717">
        <f>IF(ISBLANK('Data Entry'!$Î$717), "", 'Data Entry'!$Î$717)</f>
      </c>
      <c r="EM717">
        <f>IF(ISBLANK('Data Entry'!$Ï$717), "", 'Data Entry'!$Ï$717)</f>
      </c>
      <c r="EN717">
        <f>IF(ISBLANK('Data Entry'!$Ð$717), "", 'Data Entry'!$Ð$717)</f>
      </c>
      <c r="EO717">
        <f>IF(ISBLANK('Data Entry'!$Ñ$717), "", 'Data Entry'!$Ñ$717)</f>
      </c>
      <c r="EP717">
        <f>IF(ISBLANK('Data Entry'!$Ò$717), "", 'Data Entry'!$Ò$717)</f>
      </c>
      <c r="EQ717">
        <f>IF(ISBLANK('Data Entry'!$Ó$717), "", 'Data Entry'!$Ó$717)</f>
      </c>
      <c r="ER717">
        <f>IF(ISBLANK('Data Entry'!$Ô$717), "", 'Data Entry'!$Ô$717)</f>
      </c>
      <c r="ES717">
        <f>IF(ISBLANK('Data Entry'!$Õ$717), "", 'Data Entry'!$Õ$717)</f>
      </c>
      <c r="ET717">
        <f>IF(ISBLANK('Data Entry'!$Ö$717), "", 'Data Entry'!$Ö$717)</f>
      </c>
      <c r="EU717">
        <f>IF(ISBLANK('Data Entry'!$×$717), "", 'Data Entry'!$×$717)</f>
      </c>
      <c r="EV717">
        <f>IF(ISBLANK('Data Entry'!$Ø$717), "", 'Data Entry'!$Ø$717)</f>
      </c>
      <c r="EW717">
        <f>IF(ISBLANK('Data Entry'!$Ù$717), "", 'Data Entry'!$Ù$717)</f>
      </c>
      <c r="EX717">
        <f>IF(ISBLANK('Data Entry'!$Ú$717), "", 'Data Entry'!$Ú$717)</f>
      </c>
      <c r="EY717">
        <f>IF(ISBLANK('Data Entry'!$Û$717), "", 'Data Entry'!$Û$717)</f>
      </c>
      <c r="EZ717">
        <f>IF(ISBLANK('Data Entry'!$Ü$717), "", 'Data Entry'!$Ü$717)</f>
      </c>
      <c r="FA717">
        <f>IF(ISBLANK('Data Entry'!$Ý$717), "", 'Data Entry'!$Ý$717)</f>
      </c>
      <c r="FB717">
        <f>IF(ISBLANK('Data Entry'!$Þ$717), "", 'Data Entry'!$Þ$717)</f>
      </c>
      <c r="FC717">
        <f>IF(ISBLANK('Data Entry'!$ß$717), "", 'Data Entry'!$ß$717)</f>
      </c>
      <c r="FD717">
        <f>IF(ISBLANK('Data Entry'!$à$717), "", 'Data Entry'!$à$717)</f>
      </c>
      <c r="FE717">
        <f>IF(ISBLANK('Data Entry'!$á$717), "", 'Data Entry'!$á$717)</f>
      </c>
      <c r="FF717">
        <f>IF(ISBLANK('Data Entry'!$â$717), "", 'Data Entry'!$â$717)</f>
      </c>
      <c r="FG717">
        <f>IF(ISBLANK('Data Entry'!$ã$717), "", 'Data Entry'!$ã$717)</f>
      </c>
      <c r="FH717">
        <f>IF(ISBLANK('Data Entry'!$ä$717), "", 'Data Entry'!$ä$717)</f>
      </c>
      <c r="FI717">
        <f>IF(ISBLANK('Data Entry'!$å$717), "", 'Data Entry'!$å$717)</f>
      </c>
      <c r="FJ717">
        <f>IF(ISBLANK('Data Entry'!$æ$717), "", 'Data Entry'!$æ$717)</f>
      </c>
      <c r="FK717">
        <f>IF(ISBLANK('Data Entry'!$ç$717), "", 'Data Entry'!$ç$717)</f>
      </c>
      <c r="FL717">
        <f>IF(ISBLANK('Data Entry'!$è$717), "", 'Data Entry'!$è$717)</f>
      </c>
      <c r="FM717">
        <f>IF(ISBLANK('Data Entry'!$é$717), "", 'Data Entry'!$é$717)</f>
      </c>
      <c r="FN717">
        <f>IF(ISBLANK('Data Entry'!$ê$717), "", 'Data Entry'!$ê$717)</f>
      </c>
      <c r="FO717">
        <f>IF(ISBLANK('Data Entry'!$ë$717), "", 'Data Entry'!$ë$717)</f>
      </c>
      <c r="FP717">
        <f>IF(ISBLANK('Data Entry'!$ì$717), "", 'Data Entry'!$ì$717)</f>
      </c>
      <c r="FQ717">
        <f>IF(ISBLANK('Data Entry'!$í$717), "", 'Data Entry'!$í$717)</f>
      </c>
      <c r="FR717">
        <f>IF(ISBLANK('Data Entry'!$î$717), "", 'Data Entry'!$î$717)</f>
      </c>
      <c r="FS717">
        <f>IF(ISBLANK('Data Entry'!$ï$717), "", 'Data Entry'!$ï$717)</f>
      </c>
      <c r="FT717">
        <f>IF(ISBLANK('Data Entry'!$ð$717), "", 'Data Entry'!$ð$717)</f>
      </c>
      <c r="FU717">
        <f>IF(ISBLANK('Data Entry'!$ñ$717), "", 'Data Entry'!$ñ$717)</f>
      </c>
      <c r="FV717">
        <f>IF(ISBLANK('Data Entry'!$ò$717), "", 'Data Entry'!$ò$717)</f>
      </c>
      <c r="FW717">
        <f>IF(ISBLANK('Data Entry'!$ó$717), "", 'Data Entry'!$ó$717)</f>
      </c>
      <c r="FX717">
        <f>IF(ISBLANK('Data Entry'!$ô$717), "", 'Data Entry'!$ô$717)</f>
      </c>
      <c r="FY717">
        <f>IF(ISBLANK('Data Entry'!$õ$717), "", 'Data Entry'!$õ$717)</f>
      </c>
      <c r="FZ717">
        <f>IF(ISBLANK('Data Entry'!$ö$717), "", 'Data Entry'!$ö$717)</f>
      </c>
      <c r="GA717">
        <f>IF(ISBLANK('Data Entry'!$÷$717), "", 'Data Entry'!$÷$717)</f>
      </c>
      <c r="GB717">
        <f>IF(ISBLANK('Data Entry'!$ø$717), "", 'Data Entry'!$ø$717)</f>
      </c>
      <c r="GC717">
        <f>IF(ISBLANK('Data Entry'!$ù$717), "", 'Data Entry'!$ù$717)</f>
      </c>
      <c r="GD717">
        <f>IF(ISBLANK('Data Entry'!$ú$717), "", 'Data Entry'!$ú$717)</f>
      </c>
      <c r="GE717">
        <f>IF(ISBLANK('Data Entry'!$û$717), "", 'Data Entry'!$û$717)</f>
      </c>
      <c r="GF717">
        <f>IF(ISBLANK('Data Entry'!$ü$717), "", 'Data Entry'!$ü$717)</f>
      </c>
      <c r="GG717">
        <f>IF(ISBLANK('Data Entry'!$ý$717), "", 'Data Entry'!$ý$717)</f>
      </c>
      <c r="GH717">
        <f>IF(ISBLANK('Data Entry'!$þ$717), "", 'Data Entry'!$þ$717)</f>
      </c>
      <c r="GI717">
        <f>IF(ISBLANK('Data Entry'!$ÿ$717), "", 'Data Entry'!$ÿ$717)</f>
      </c>
      <c r="GJ717">
        <f>IF(ISBLANK('Data Entry'!$Ā$717), "", 'Data Entry'!$Ā$717)</f>
      </c>
      <c r="GK717">
        <f>IF(ISBLANK('Data Entry'!$ā$717), "", 'Data Entry'!$ā$717)</f>
      </c>
      <c r="GL717">
        <f>IF(ISBLANK('Data Entry'!$Ă$717), "", 'Data Entry'!$Ă$717)</f>
      </c>
      <c r="GM717">
        <f>IF(ISBLANK('Data Entry'!$ă$717), "", 'Data Entry'!$ă$717)</f>
      </c>
      <c r="GN717">
        <f>IF(ISBLANK('Data Entry'!$Ą$717), "", 'Data Entry'!$Ą$717)</f>
      </c>
      <c r="GO717">
        <f>IF(ISBLANK('Data Entry'!$ą$717), "", 'Data Entry'!$ą$717)</f>
      </c>
      <c r="GP717">
        <f>IF(ISBLANK('Data Entry'!$Ć$717), "", 'Data Entry'!$Ć$717)</f>
      </c>
      <c r="GQ717">
        <f>IF(ISBLANK('Data Entry'!$ć$717), "", 'Data Entry'!$ć$717)</f>
      </c>
      <c r="GR717">
        <f>IF(ISBLANK('Data Entry'!$Ĉ$717), "", 'Data Entry'!$Ĉ$717)</f>
      </c>
      <c r="GS717">
        <f>IF(ISBLANK('Data Entry'!$ĉ$717), "", 'Data Entry'!$ĉ$717)</f>
      </c>
      <c r="GT717">
        <f>IF(ISBLANK('Data Entry'!$Ċ$717), "", 'Data Entry'!$Ċ$717)</f>
      </c>
      <c r="GU717">
        <f>IF(ISBLANK('Data Entry'!$ċ$717), "", 'Data Entry'!$ċ$717)</f>
      </c>
      <c r="GV717">
        <f>IF(ISBLANK('Data Entry'!$Č$717), "", 'Data Entry'!$Č$717)</f>
      </c>
      <c r="GW717">
        <f>IF(ISBLANK('Data Entry'!$č$717), "", 'Data Entry'!$č$717)</f>
      </c>
      <c r="GX717">
        <f>IF(ISBLANK('Data Entry'!$Ď$717), "", 'Data Entry'!$Ď$717)</f>
      </c>
      <c r="GY717">
        <f>IF(ISBLANK('Data Entry'!$ď$717), "", 'Data Entry'!$ď$717)</f>
      </c>
      <c r="GZ717">
        <f>IF(ISBLANK('Data Entry'!$Đ$717), "", 'Data Entry'!$Đ$717)</f>
      </c>
      <c r="HA717">
        <f>IF(ISBLANK('Data Entry'!$đ$717), "", 'Data Entry'!$đ$717)</f>
      </c>
      <c r="HB717">
        <f>IF(ISBLANK('Data Entry'!$Ē$717), "", 'Data Entry'!$Ē$717)</f>
      </c>
      <c r="HC717">
        <f>IF(ISBLANK('Data Entry'!$ē$717), "", 'Data Entry'!$ē$717)</f>
      </c>
      <c r="HD717">
        <f>IF(ISBLANK('Data Entry'!$Ĕ$717), "", 'Data Entry'!$Ĕ$717)</f>
      </c>
      <c r="HE717">
        <f>IF(ISBLANK('Data Entry'!$ĕ$717), "", 'Data Entry'!$ĕ$717)</f>
      </c>
      <c r="HF717">
        <f>IF(ISBLANK('Data Entry'!$Ė$717), "", 'Data Entry'!$Ė$717)</f>
      </c>
      <c r="HG717">
        <f>IF(ISBLANK('Data Entry'!$ė$717), "", 'Data Entry'!$ė$717)</f>
      </c>
      <c r="HH717">
        <f>IF(ISBLANK('Data Entry'!$Ę$717), "", 'Data Entry'!$Ę$717)</f>
      </c>
      <c r="HI717">
        <f>IF(ISBLANK('Data Entry'!$ę$717), "", 'Data Entry'!$ę$717)</f>
      </c>
      <c r="HJ717">
        <f>IF(ISBLANK('Data Entry'!$Ě$717), "", 'Data Entry'!$Ě$717)</f>
      </c>
      <c r="HK717">
        <f>IF(ISBLANK('Data Entry'!$ě$717), "", 'Data Entry'!$ě$717)</f>
      </c>
      <c r="HL717">
        <f>IF(ISBLANK('Data Entry'!$Ĝ$717), "", 'Data Entry'!$Ĝ$717)</f>
      </c>
      <c r="HM717">
        <f>IF(ISBLANK('Data Entry'!$ĝ$717), "", 'Data Entry'!$ĝ$717)</f>
      </c>
      <c r="HN717">
        <f>IF(ISBLANK('Data Entry'!$Ğ$717), "", 'Data Entry'!$Ğ$717)</f>
      </c>
      <c r="HO717">
        <f>IF(ISBLANK('Data Entry'!$ğ$717), "", 'Data Entry'!$ğ$717)</f>
      </c>
      <c r="HP717">
        <f>IF(ISBLANK('Data Entry'!$Ġ$717), "", 'Data Entry'!$Ġ$717)</f>
      </c>
      <c r="HQ717">
        <f>IF(ISBLANK('Data Entry'!$ġ$717), "", 'Data Entry'!$ġ$717)</f>
      </c>
      <c r="HR717">
        <f>IF(ISBLANK('Data Entry'!$Ģ$717), "", 'Data Entry'!$Ģ$717)</f>
      </c>
      <c r="HS717">
        <f>IF(ISBLANK('Data Entry'!$ģ$717), "", 'Data Entry'!$ģ$717)</f>
      </c>
      <c r="HT717">
        <f>IF(ISBLANK('Data Entry'!$Ĥ$717), "", 'Data Entry'!$Ĥ$717)</f>
      </c>
      <c r="HU717">
        <f>IF(ISBLANK('Data Entry'!$ĥ$717), "", 'Data Entry'!$ĥ$717)</f>
      </c>
      <c r="HV717">
        <f>IF(ISBLANK('Data Entry'!$Ħ$717), "", 'Data Entry'!$Ħ$717)</f>
      </c>
      <c r="HW717">
        <f>IF(ISBLANK('Data Entry'!$ħ$717), "", 'Data Entry'!$ħ$717)</f>
      </c>
      <c r="HX717">
        <f>IF(ISBLANK('Data Entry'!$Ĩ$717), "", 'Data Entry'!$Ĩ$717)</f>
      </c>
      <c r="HY717">
        <f>IF(ISBLANK('Data Entry'!$ĩ$717), "", 'Data Entry'!$ĩ$717)</f>
      </c>
      <c r="HZ717">
        <f>IF(ISBLANK('Data Entry'!$Ī$717), "", 'Data Entry'!$Ī$717)</f>
      </c>
      <c r="IA717">
        <f>IF(ISBLANK('Data Entry'!$ī$717), "", 'Data Entry'!$ī$717)</f>
      </c>
      <c r="IB717">
        <f>IF(ISBLANK('Data Entry'!$Ĭ$717), "", 'Data Entry'!$Ĭ$717)</f>
      </c>
      <c r="IC717">
        <f>IF(ISBLANK('Data Entry'!$ĭ$717), "", 'Data Entry'!$ĭ$717)</f>
      </c>
      <c r="ID717">
        <f>IF(ISBLANK('Data Entry'!$Į$717), "", 'Data Entry'!$Į$717)</f>
      </c>
      <c r="IE717">
        <f>IF(ISBLANK('Data Entry'!$į$717), "", 'Data Entry'!$į$717)</f>
      </c>
      <c r="IF717">
        <f>IF(ISBLANK('Data Entry'!$İ$717), "", 'Data Entry'!$İ$717)</f>
      </c>
      <c r="IG717">
        <f>IF(ISBLANK('Data Entry'!$ı$717), "", 'Data Entry'!$ı$717)</f>
      </c>
      <c r="IH717">
        <f>IF(ISBLANK('Data Entry'!$Ĳ$717), "", 'Data Entry'!$Ĳ$717)</f>
      </c>
      <c r="II717">
        <f>IF(ISBLANK('Data Entry'!$ĳ$717), "", 'Data Entry'!$ĳ$717)</f>
      </c>
      <c r="IJ717">
        <f>IF(ISBLANK('Data Entry'!$Ĵ$717), "", 'Data Entry'!$Ĵ$717)</f>
      </c>
      <c r="IK717">
        <f>IF(ISBLANK('Data Entry'!$ĵ$717), "", 'Data Entry'!$ĵ$717)</f>
      </c>
      <c r="IL717">
        <f>IF(ISBLANK('Data Entry'!$Ķ$717), "", 'Data Entry'!$Ķ$717)</f>
      </c>
      <c r="IM717">
        <f>IF(ISBLANK('Data Entry'!$ķ$717), "", 'Data Entry'!$ķ$717)</f>
      </c>
      <c r="IN717">
        <f>IF(ISBLANK('Data Entry'!$ĸ$717), "", 'Data Entry'!$ĸ$717)</f>
      </c>
      <c r="IO717">
        <f>IF(ISBLANK('Data Entry'!$Ĺ$717), "", 'Data Entry'!$Ĺ$717)</f>
      </c>
      <c r="IP717">
        <f>IF(ISBLANK('Data Entry'!$ĺ$717), "", 'Data Entry'!$ĺ$717)</f>
      </c>
      <c r="IQ717">
        <f>IF(ISBLANK('Data Entry'!$Ļ$717), "", 'Data Entry'!$Ļ$717)</f>
      </c>
      <c r="IR717">
        <f>IF(ISBLANK('Data Entry'!$ļ$717), "", 'Data Entry'!$ļ$717)</f>
      </c>
      <c r="IS717">
        <f>IF(ISBLANK('Data Entry'!$Ľ$717), "", 'Data Entry'!$Ľ$717)</f>
      </c>
      <c r="IT717">
        <f>IF(ISBLANK('Data Entry'!$ľ$717), "", 'Data Entry'!$ľ$717)</f>
      </c>
    </row>
    <row r="718" spans="1:254" x14ac:dyDescent="0.25">
      <c r="A718">
        <f>IF(ISBLANK('Data Entry'!$A$718), "", 'Data Entry'!$A$718)</f>
      </c>
      <c r="B718">
        <f>IF(ISBLANK('Data Entry'!$B$718), "", 'Data Entry'!$B$718)</f>
      </c>
      <c r="C718">
        <f>IF(ISBLANK('Data Entry'!$C$718), "", 'Data Entry'!$C$718)</f>
      </c>
      <c r="D718">
        <f>IF(ISBLANK('Data Entry'!$D$718), "", 'Data Entry'!$D$718)</f>
      </c>
      <c r="E718">
        <f>IF(ISBLANK('Data Entry'!$E$718), "", 'Data Entry'!$E$718)</f>
      </c>
      <c r="F718">
        <f>IF(ISBLANK('Data Entry'!$F$718), "", 'Data Entry'!$F$718)</f>
      </c>
      <c r="G718">
        <f>IF(ISBLANK('Data Entry'!$G$718), "", 'Data Entry'!$G$718)</f>
      </c>
      <c r="H718">
        <f>IF(ISBLANK('Data Entry'!$H$718), "", 'Data Entry'!$H$718)</f>
      </c>
      <c r="I718">
        <f>IF(ISBLANK('Data Entry'!$I$718), "", 'Data Entry'!$I$718)</f>
      </c>
      <c r="J718">
        <f>IF(ISBLANK('Data Entry'!$J$718), "", 'Data Entry'!$J$718)</f>
      </c>
      <c r="K718">
        <f>IF(ISBLANK('Data Entry'!$K$718), "", 'Data Entry'!$K$718)</f>
      </c>
      <c r="L718">
        <f>IF(ISBLANK('Data Entry'!$L$718), "", 'Data Entry'!$L$718)</f>
      </c>
      <c r="M718">
        <f>IF(ISBLANK('Data Entry'!$M$718), "", 'Data Entry'!$M$718)</f>
      </c>
      <c r="N718">
        <f>IF(ISBLANK('Data Entry'!$N$718), "", 'Data Entry'!$N$718)</f>
      </c>
      <c r="O718">
        <f>IF(ISBLANK('Data Entry'!$O$718), "", 'Data Entry'!$O$718)</f>
      </c>
      <c r="P718">
        <f>IF(ISBLANK('Data Entry'!$P$718), "", 'Data Entry'!$P$718)</f>
      </c>
      <c r="Q718">
        <f>IF(ISBLANK('Data Entry'!$Q$718), "", 'Data Entry'!$Q$718)</f>
      </c>
      <c r="R718">
        <f>IF(ISBLANK('Data Entry'!$R$718), "", 'Data Entry'!$R$718)</f>
      </c>
      <c r="S718">
        <f>IF(ISBLANK('Data Entry'!$S$718), "", 'Data Entry'!$S$718)</f>
      </c>
      <c r="T718">
        <f>IF(ISBLANK('Data Entry'!$T$718), "", 'Data Entry'!$T$718)</f>
      </c>
      <c r="U718">
        <f>IF(ISBLANK('Data Entry'!$U$718), "", 'Data Entry'!$U$718)</f>
      </c>
      <c r="V718">
        <f>IF(ISBLANK('Data Entry'!$V$718), "", 'Data Entry'!$V$718)</f>
      </c>
      <c r="W718">
        <f>IF(ISBLANK('Data Entry'!$W$718), "", 'Data Entry'!$W$718)</f>
      </c>
      <c r="X718">
        <f>IF(ISBLANK('Data Entry'!$X$718), "", 'Data Entry'!$X$718)</f>
      </c>
      <c r="Y718">
        <f>IF(ISBLANK('Data Entry'!$Y$718), "", 'Data Entry'!$Y$718)</f>
      </c>
      <c r="Z718">
        <f>IF(ISBLANK('Data Entry'!$Z$718), "", 'Data Entry'!$Z$718)</f>
      </c>
      <c r="AA718">
        <f>IF(ISBLANK('Data Entry'!$[$718), "", 'Data Entry'!$[$718)</f>
      </c>
      <c r="AB718">
        <f>IF(ISBLANK('Data Entry'!$\$718), "", 'Data Entry'!$\$718)</f>
      </c>
      <c r="AC718">
        <f>IF(ISBLANK('Data Entry'!$]$718), "", 'Data Entry'!$]$718)</f>
      </c>
      <c r="AD718">
        <f>IF(ISBLANK('Data Entry'!$^$718), "", 'Data Entry'!$^$718)</f>
      </c>
      <c r="AE718">
        <f>IF(ISBLANK('Data Entry'!$_$718), "", 'Data Entry'!$_$718)</f>
      </c>
      <c r="AF718">
        <f>IF(ISBLANK('Data Entry'!$`$718), "", 'Data Entry'!$`$718)</f>
      </c>
      <c r="AG718">
        <f>IF(ISBLANK('Data Entry'!$a$718), "", 'Data Entry'!$a$718)</f>
      </c>
      <c r="AH718">
        <f>IF(ISBLANK('Data Entry'!$b$718), "", 'Data Entry'!$b$718)</f>
      </c>
      <c r="AI718">
        <f>IF(ISBLANK('Data Entry'!$c$718), "", 'Data Entry'!$c$718)</f>
      </c>
      <c r="AJ718">
        <f>IF(ISBLANK('Data Entry'!$d$718), "", 'Data Entry'!$d$718)</f>
      </c>
      <c r="AK718">
        <f>IF(ISBLANK('Data Entry'!$e$718), "", 'Data Entry'!$e$718)</f>
      </c>
      <c r="AL718">
        <f>IF(ISBLANK('Data Entry'!$f$718), "", 'Data Entry'!$f$718)</f>
      </c>
      <c r="AM718">
        <f>IF(ISBLANK('Data Entry'!$g$718), "", 'Data Entry'!$g$718)</f>
      </c>
      <c r="AN718">
        <f>IF(ISBLANK('Data Entry'!$h$718), "", 'Data Entry'!$h$718)</f>
      </c>
      <c r="AO718">
        <f>IF(ISBLANK('Data Entry'!$i$718), "", 'Data Entry'!$i$718)</f>
      </c>
      <c r="AP718">
        <f>IF(ISBLANK('Data Entry'!$j$718), "", 'Data Entry'!$j$718)</f>
      </c>
      <c r="AQ718">
        <f>IF(ISBLANK('Data Entry'!$k$718), "", 'Data Entry'!$k$718)</f>
      </c>
      <c r="AR718">
        <f>IF(ISBLANK('Data Entry'!$l$718), "", 'Data Entry'!$l$718)</f>
      </c>
      <c r="AS718">
        <f>IF(ISBLANK('Data Entry'!$m$718), "", 'Data Entry'!$m$718)</f>
      </c>
      <c r="AT718">
        <f>IF(ISBLANK('Data Entry'!$n$718), "", 'Data Entry'!$n$718)</f>
      </c>
      <c r="AU718">
        <f>IF(ISBLANK('Data Entry'!$o$718), "", 'Data Entry'!$o$718)</f>
      </c>
      <c r="AV718">
        <f>IF(ISBLANK('Data Entry'!$p$718), "", 'Data Entry'!$p$718)</f>
      </c>
      <c r="AW718">
        <f>IF(ISBLANK('Data Entry'!$q$718), "", 'Data Entry'!$q$718)</f>
      </c>
      <c r="AX718">
        <f>IF(ISBLANK('Data Entry'!$r$718), "", 'Data Entry'!$r$718)</f>
      </c>
      <c r="AY718">
        <f>IF(ISBLANK('Data Entry'!$s$718), "", 'Data Entry'!$s$718)</f>
      </c>
      <c r="AZ718">
        <f>IF(ISBLANK('Data Entry'!$t$718), "", 'Data Entry'!$t$718)</f>
      </c>
      <c r="BA718">
        <f>IF(ISBLANK('Data Entry'!$u$718), "", 'Data Entry'!$u$718)</f>
      </c>
      <c r="BB718">
        <f>IF(ISBLANK('Data Entry'!$v$718), "", 'Data Entry'!$v$718)</f>
      </c>
      <c r="BC718">
        <f>IF(ISBLANK('Data Entry'!$w$718), "", 'Data Entry'!$w$718)</f>
      </c>
      <c r="BD718">
        <f>IF(ISBLANK('Data Entry'!$x$718), "", 'Data Entry'!$x$718)</f>
      </c>
      <c r="BE718">
        <f>IF(ISBLANK('Data Entry'!$y$718), "", 'Data Entry'!$y$718)</f>
      </c>
      <c r="BF718">
        <f>IF(ISBLANK('Data Entry'!$z$718), "", 'Data Entry'!$z$718)</f>
      </c>
      <c r="BG718">
        <f>IF(ISBLANK('Data Entry'!${$718), "", 'Data Entry'!${$718)</f>
      </c>
      <c r="BH718">
        <f>IF(ISBLANK('Data Entry'!$|$718), "", 'Data Entry'!$|$718)</f>
      </c>
      <c r="BI718">
        <f>IF(ISBLANK('Data Entry'!$}$718), "", 'Data Entry'!$}$718)</f>
      </c>
      <c r="BJ718">
        <f>IF(ISBLANK('Data Entry'!$~$718), "", 'Data Entry'!$~$718)</f>
      </c>
      <c r="BK718">
        <f>IF(ISBLANK('Data Entry'!$$718), "", 'Data Entry'!$$718)</f>
      </c>
      <c r="BL718">
        <f>IF(ISBLANK('Data Entry'!$$718), "", 'Data Entry'!$$718)</f>
      </c>
      <c r="BM718">
        <f>IF(ISBLANK('Data Entry'!$$718), "", 'Data Entry'!$$718)</f>
      </c>
      <c r="BN718">
        <f>IF(ISBLANK('Data Entry'!$$718), "", 'Data Entry'!$$718)</f>
      </c>
      <c r="BO718">
        <f>IF(ISBLANK('Data Entry'!$$718), "", 'Data Entry'!$$718)</f>
      </c>
      <c r="BP718">
        <f>IF(ISBLANK('Data Entry'!$$718), "", 'Data Entry'!$$718)</f>
      </c>
      <c r="BQ718">
        <f>IF(ISBLANK('Data Entry'!$$718), "", 'Data Entry'!$$718)</f>
      </c>
      <c r="BR718">
        <f>IF(ISBLANK('Data Entry'!$$718), "", 'Data Entry'!$$718)</f>
      </c>
      <c r="BS718">
        <f>IF(ISBLANK('Data Entry'!$$718), "", 'Data Entry'!$$718)</f>
      </c>
      <c r="BT718">
        <f>IF(ISBLANK('Data Entry'!$$718), "", 'Data Entry'!$$718)</f>
      </c>
      <c r="BU718">
        <f>IF(ISBLANK('Data Entry'!$$718), "", 'Data Entry'!$$718)</f>
      </c>
      <c r="BV718">
        <f>IF(ISBLANK('Data Entry'!$$718), "", 'Data Entry'!$$718)</f>
      </c>
      <c r="BW718">
        <f>IF(ISBLANK('Data Entry'!$$718), "", 'Data Entry'!$$718)</f>
      </c>
      <c r="BX718">
        <f>IF(ISBLANK('Data Entry'!$$718), "", 'Data Entry'!$$718)</f>
      </c>
      <c r="BY718">
        <f>IF(ISBLANK('Data Entry'!$$718), "", 'Data Entry'!$$718)</f>
      </c>
      <c r="BZ718">
        <f>IF(ISBLANK('Data Entry'!$$718), "", 'Data Entry'!$$718)</f>
      </c>
      <c r="CA718">
        <f>IF(ISBLANK('Data Entry'!$$718), "", 'Data Entry'!$$718)</f>
      </c>
      <c r="CB718">
        <f>IF(ISBLANK('Data Entry'!$$718), "", 'Data Entry'!$$718)</f>
      </c>
      <c r="CC718">
        <f>IF(ISBLANK('Data Entry'!$$718), "", 'Data Entry'!$$718)</f>
      </c>
      <c r="CD718">
        <f>IF(ISBLANK('Data Entry'!$$718), "", 'Data Entry'!$$718)</f>
      </c>
      <c r="CE718">
        <f>IF(ISBLANK('Data Entry'!$$718), "", 'Data Entry'!$$718)</f>
      </c>
      <c r="CF718">
        <f>IF(ISBLANK('Data Entry'!$$718), "", 'Data Entry'!$$718)</f>
      </c>
      <c r="CG718">
        <f>IF(ISBLANK('Data Entry'!$$718), "", 'Data Entry'!$$718)</f>
      </c>
      <c r="CH718">
        <f>IF(ISBLANK('Data Entry'!$$718), "", 'Data Entry'!$$718)</f>
      </c>
      <c r="CI718">
        <f>IF(ISBLANK('Data Entry'!$$718), "", 'Data Entry'!$$718)</f>
      </c>
      <c r="CJ718">
        <f>IF(ISBLANK('Data Entry'!$$718), "", 'Data Entry'!$$718)</f>
      </c>
      <c r="CK718">
        <f>IF(ISBLANK('Data Entry'!$$718), "", 'Data Entry'!$$718)</f>
      </c>
      <c r="CL718">
        <f>IF(ISBLANK('Data Entry'!$$718), "", 'Data Entry'!$$718)</f>
      </c>
      <c r="CM718">
        <f>IF(ISBLANK('Data Entry'!$$718), "", 'Data Entry'!$$718)</f>
      </c>
      <c r="CN718">
        <f>IF(ISBLANK('Data Entry'!$$718), "", 'Data Entry'!$$718)</f>
      </c>
      <c r="CO718">
        <f>IF(ISBLANK('Data Entry'!$$718), "", 'Data Entry'!$$718)</f>
      </c>
      <c r="CP718">
        <f>IF(ISBLANK('Data Entry'!$$718), "", 'Data Entry'!$$718)</f>
      </c>
      <c r="CQ718">
        <f>IF(ISBLANK('Data Entry'!$$718), "", 'Data Entry'!$$718)</f>
      </c>
      <c r="CR718">
        <f>IF(ISBLANK('Data Entry'!$ $718), "", 'Data Entry'!$ $718)</f>
      </c>
      <c r="CS718">
        <f>IF(ISBLANK('Data Entry'!$¡$718), "", 'Data Entry'!$¡$718)</f>
      </c>
      <c r="CT718">
        <f>IF(ISBLANK('Data Entry'!$¢$718), "", 'Data Entry'!$¢$718)</f>
      </c>
      <c r="CU718">
        <f>IF(ISBLANK('Data Entry'!$£$718), "", 'Data Entry'!$£$718)</f>
      </c>
      <c r="CV718">
        <f>IF(ISBLANK('Data Entry'!$¤$718), "", 'Data Entry'!$¤$718)</f>
      </c>
      <c r="CW718">
        <f>IF(ISBLANK('Data Entry'!$¥$718), "", 'Data Entry'!$¥$718)</f>
      </c>
      <c r="CX718">
        <f>IF(ISBLANK('Data Entry'!$¦$718), "", 'Data Entry'!$¦$718)</f>
      </c>
      <c r="CY718">
        <f>IF(ISBLANK('Data Entry'!$§$718), "", 'Data Entry'!$§$718)</f>
      </c>
      <c r="CZ718">
        <f>IF(ISBLANK('Data Entry'!$¨$718), "", 'Data Entry'!$¨$718)</f>
      </c>
      <c r="DA718">
        <f>IF(ISBLANK('Data Entry'!$©$718), "", 'Data Entry'!$©$718)</f>
      </c>
      <c r="DB718">
        <f>IF(ISBLANK('Data Entry'!$ª$718), "", 'Data Entry'!$ª$718)</f>
      </c>
      <c r="DC718">
        <f>IF(ISBLANK('Data Entry'!$«$718), "", 'Data Entry'!$«$718)</f>
      </c>
      <c r="DD718">
        <f>IF(ISBLANK('Data Entry'!$¬$718), "", 'Data Entry'!$¬$718)</f>
      </c>
      <c r="DE718">
        <f>IF(ISBLANK('Data Entry'!$­$718), "", 'Data Entry'!$­$718)</f>
      </c>
      <c r="DF718">
        <f>IF(ISBLANK('Data Entry'!$®$718), "", 'Data Entry'!$®$718)</f>
      </c>
      <c r="DG718">
        <f>IF(ISBLANK('Data Entry'!$¯$718), "", 'Data Entry'!$¯$718)</f>
      </c>
      <c r="DH718">
        <f>IF(ISBLANK('Data Entry'!$°$718), "", 'Data Entry'!$°$718)</f>
      </c>
      <c r="DI718">
        <f>IF(ISBLANK('Data Entry'!$±$718), "", 'Data Entry'!$±$718)</f>
      </c>
      <c r="DJ718">
        <f>IF(ISBLANK('Data Entry'!$²$718), "", 'Data Entry'!$²$718)</f>
      </c>
      <c r="DK718">
        <f>IF(ISBLANK('Data Entry'!$³$718), "", 'Data Entry'!$³$718)</f>
      </c>
      <c r="DL718">
        <f>IF(ISBLANK('Data Entry'!$´$718), "", 'Data Entry'!$´$718)</f>
      </c>
      <c r="DM718">
        <f>IF(ISBLANK('Data Entry'!$µ$718), "", 'Data Entry'!$µ$718)</f>
      </c>
      <c r="DN718">
        <f>IF(ISBLANK('Data Entry'!$¶$718), "", 'Data Entry'!$¶$718)</f>
      </c>
      <c r="DO718">
        <f>IF(ISBLANK('Data Entry'!$·$718), "", 'Data Entry'!$·$718)</f>
      </c>
      <c r="DP718">
        <f>IF(ISBLANK('Data Entry'!$¸$718), "", 'Data Entry'!$¸$718)</f>
      </c>
      <c r="DQ718">
        <f>IF(ISBLANK('Data Entry'!$¹$718), "", 'Data Entry'!$¹$718)</f>
      </c>
      <c r="DR718">
        <f>IF(ISBLANK('Data Entry'!$º$718), "", 'Data Entry'!$º$718)</f>
      </c>
      <c r="DS718">
        <f>IF(ISBLANK('Data Entry'!$»$718), "", 'Data Entry'!$»$718)</f>
      </c>
      <c r="DT718">
        <f>IF(ISBLANK('Data Entry'!$¼$718), "", 'Data Entry'!$¼$718)</f>
      </c>
      <c r="DU718">
        <f>IF(ISBLANK('Data Entry'!$½$718), "", 'Data Entry'!$½$718)</f>
      </c>
      <c r="DV718">
        <f>IF(ISBLANK('Data Entry'!$¾$718), "", 'Data Entry'!$¾$718)</f>
      </c>
      <c r="DW718">
        <f>IF(ISBLANK('Data Entry'!$¿$718), "", 'Data Entry'!$¿$718)</f>
      </c>
      <c r="DX718">
        <f>IF(ISBLANK('Data Entry'!$À$718), "", 'Data Entry'!$À$718)</f>
      </c>
      <c r="DY718">
        <f>IF(ISBLANK('Data Entry'!$Á$718), "", 'Data Entry'!$Á$718)</f>
      </c>
      <c r="DZ718">
        <f>IF(ISBLANK('Data Entry'!$Â$718), "", 'Data Entry'!$Â$718)</f>
      </c>
      <c r="EA718">
        <f>IF(ISBLANK('Data Entry'!$Ã$718), "", 'Data Entry'!$Ã$718)</f>
      </c>
      <c r="EB718">
        <f>IF(ISBLANK('Data Entry'!$Ä$718), "", 'Data Entry'!$Ä$718)</f>
      </c>
      <c r="EC718">
        <f>IF(ISBLANK('Data Entry'!$Å$718), "", 'Data Entry'!$Å$718)</f>
      </c>
      <c r="ED718">
        <f>IF(ISBLANK('Data Entry'!$Æ$718), "", 'Data Entry'!$Æ$718)</f>
      </c>
      <c r="EE718">
        <f>IF(ISBLANK('Data Entry'!$Ç$718), "", 'Data Entry'!$Ç$718)</f>
      </c>
      <c r="EF718">
        <f>IF(ISBLANK('Data Entry'!$È$718), "", 'Data Entry'!$È$718)</f>
      </c>
      <c r="EG718">
        <f>IF(ISBLANK('Data Entry'!$É$718), "", 'Data Entry'!$É$718)</f>
      </c>
      <c r="EH718">
        <f>IF(ISBLANK('Data Entry'!$Ê$718), "", 'Data Entry'!$Ê$718)</f>
      </c>
      <c r="EI718">
        <f>IF(ISBLANK('Data Entry'!$Ë$718), "", 'Data Entry'!$Ë$718)</f>
      </c>
      <c r="EJ718">
        <f>IF(ISBLANK('Data Entry'!$Ì$718), "", 'Data Entry'!$Ì$718)</f>
      </c>
      <c r="EK718">
        <f>IF(ISBLANK('Data Entry'!$Í$718), "", 'Data Entry'!$Í$718)</f>
      </c>
      <c r="EL718">
        <f>IF(ISBLANK('Data Entry'!$Î$718), "", 'Data Entry'!$Î$718)</f>
      </c>
      <c r="EM718">
        <f>IF(ISBLANK('Data Entry'!$Ï$718), "", 'Data Entry'!$Ï$718)</f>
      </c>
      <c r="EN718">
        <f>IF(ISBLANK('Data Entry'!$Ð$718), "", 'Data Entry'!$Ð$718)</f>
      </c>
      <c r="EO718">
        <f>IF(ISBLANK('Data Entry'!$Ñ$718), "", 'Data Entry'!$Ñ$718)</f>
      </c>
      <c r="EP718">
        <f>IF(ISBLANK('Data Entry'!$Ò$718), "", 'Data Entry'!$Ò$718)</f>
      </c>
      <c r="EQ718">
        <f>IF(ISBLANK('Data Entry'!$Ó$718), "", 'Data Entry'!$Ó$718)</f>
      </c>
      <c r="ER718">
        <f>IF(ISBLANK('Data Entry'!$Ô$718), "", 'Data Entry'!$Ô$718)</f>
      </c>
      <c r="ES718">
        <f>IF(ISBLANK('Data Entry'!$Õ$718), "", 'Data Entry'!$Õ$718)</f>
      </c>
      <c r="ET718">
        <f>IF(ISBLANK('Data Entry'!$Ö$718), "", 'Data Entry'!$Ö$718)</f>
      </c>
      <c r="EU718">
        <f>IF(ISBLANK('Data Entry'!$×$718), "", 'Data Entry'!$×$718)</f>
      </c>
      <c r="EV718">
        <f>IF(ISBLANK('Data Entry'!$Ø$718), "", 'Data Entry'!$Ø$718)</f>
      </c>
      <c r="EW718">
        <f>IF(ISBLANK('Data Entry'!$Ù$718), "", 'Data Entry'!$Ù$718)</f>
      </c>
      <c r="EX718">
        <f>IF(ISBLANK('Data Entry'!$Ú$718), "", 'Data Entry'!$Ú$718)</f>
      </c>
      <c r="EY718">
        <f>IF(ISBLANK('Data Entry'!$Û$718), "", 'Data Entry'!$Û$718)</f>
      </c>
      <c r="EZ718">
        <f>IF(ISBLANK('Data Entry'!$Ü$718), "", 'Data Entry'!$Ü$718)</f>
      </c>
      <c r="FA718">
        <f>IF(ISBLANK('Data Entry'!$Ý$718), "", 'Data Entry'!$Ý$718)</f>
      </c>
      <c r="FB718">
        <f>IF(ISBLANK('Data Entry'!$Þ$718), "", 'Data Entry'!$Þ$718)</f>
      </c>
      <c r="FC718">
        <f>IF(ISBLANK('Data Entry'!$ß$718), "", 'Data Entry'!$ß$718)</f>
      </c>
      <c r="FD718">
        <f>IF(ISBLANK('Data Entry'!$à$718), "", 'Data Entry'!$à$718)</f>
      </c>
      <c r="FE718">
        <f>IF(ISBLANK('Data Entry'!$á$718), "", 'Data Entry'!$á$718)</f>
      </c>
      <c r="FF718">
        <f>IF(ISBLANK('Data Entry'!$â$718), "", 'Data Entry'!$â$718)</f>
      </c>
      <c r="FG718">
        <f>IF(ISBLANK('Data Entry'!$ã$718), "", 'Data Entry'!$ã$718)</f>
      </c>
      <c r="FH718">
        <f>IF(ISBLANK('Data Entry'!$ä$718), "", 'Data Entry'!$ä$718)</f>
      </c>
      <c r="FI718">
        <f>IF(ISBLANK('Data Entry'!$å$718), "", 'Data Entry'!$å$718)</f>
      </c>
      <c r="FJ718">
        <f>IF(ISBLANK('Data Entry'!$æ$718), "", 'Data Entry'!$æ$718)</f>
      </c>
      <c r="FK718">
        <f>IF(ISBLANK('Data Entry'!$ç$718), "", 'Data Entry'!$ç$718)</f>
      </c>
      <c r="FL718">
        <f>IF(ISBLANK('Data Entry'!$è$718), "", 'Data Entry'!$è$718)</f>
      </c>
      <c r="FM718">
        <f>IF(ISBLANK('Data Entry'!$é$718), "", 'Data Entry'!$é$718)</f>
      </c>
      <c r="FN718">
        <f>IF(ISBLANK('Data Entry'!$ê$718), "", 'Data Entry'!$ê$718)</f>
      </c>
      <c r="FO718">
        <f>IF(ISBLANK('Data Entry'!$ë$718), "", 'Data Entry'!$ë$718)</f>
      </c>
      <c r="FP718">
        <f>IF(ISBLANK('Data Entry'!$ì$718), "", 'Data Entry'!$ì$718)</f>
      </c>
      <c r="FQ718">
        <f>IF(ISBLANK('Data Entry'!$í$718), "", 'Data Entry'!$í$718)</f>
      </c>
      <c r="FR718">
        <f>IF(ISBLANK('Data Entry'!$î$718), "", 'Data Entry'!$î$718)</f>
      </c>
      <c r="FS718">
        <f>IF(ISBLANK('Data Entry'!$ï$718), "", 'Data Entry'!$ï$718)</f>
      </c>
      <c r="FT718">
        <f>IF(ISBLANK('Data Entry'!$ð$718), "", 'Data Entry'!$ð$718)</f>
      </c>
      <c r="FU718">
        <f>IF(ISBLANK('Data Entry'!$ñ$718), "", 'Data Entry'!$ñ$718)</f>
      </c>
      <c r="FV718">
        <f>IF(ISBLANK('Data Entry'!$ò$718), "", 'Data Entry'!$ò$718)</f>
      </c>
      <c r="FW718">
        <f>IF(ISBLANK('Data Entry'!$ó$718), "", 'Data Entry'!$ó$718)</f>
      </c>
      <c r="FX718">
        <f>IF(ISBLANK('Data Entry'!$ô$718), "", 'Data Entry'!$ô$718)</f>
      </c>
      <c r="FY718">
        <f>IF(ISBLANK('Data Entry'!$õ$718), "", 'Data Entry'!$õ$718)</f>
      </c>
      <c r="FZ718">
        <f>IF(ISBLANK('Data Entry'!$ö$718), "", 'Data Entry'!$ö$718)</f>
      </c>
      <c r="GA718">
        <f>IF(ISBLANK('Data Entry'!$÷$718), "", 'Data Entry'!$÷$718)</f>
      </c>
      <c r="GB718">
        <f>IF(ISBLANK('Data Entry'!$ø$718), "", 'Data Entry'!$ø$718)</f>
      </c>
      <c r="GC718">
        <f>IF(ISBLANK('Data Entry'!$ù$718), "", 'Data Entry'!$ù$718)</f>
      </c>
      <c r="GD718">
        <f>IF(ISBLANK('Data Entry'!$ú$718), "", 'Data Entry'!$ú$718)</f>
      </c>
      <c r="GE718">
        <f>IF(ISBLANK('Data Entry'!$û$718), "", 'Data Entry'!$û$718)</f>
      </c>
      <c r="GF718">
        <f>IF(ISBLANK('Data Entry'!$ü$718), "", 'Data Entry'!$ü$718)</f>
      </c>
      <c r="GG718">
        <f>IF(ISBLANK('Data Entry'!$ý$718), "", 'Data Entry'!$ý$718)</f>
      </c>
      <c r="GH718">
        <f>IF(ISBLANK('Data Entry'!$þ$718), "", 'Data Entry'!$þ$718)</f>
      </c>
      <c r="GI718">
        <f>IF(ISBLANK('Data Entry'!$ÿ$718), "", 'Data Entry'!$ÿ$718)</f>
      </c>
      <c r="GJ718">
        <f>IF(ISBLANK('Data Entry'!$Ā$718), "", 'Data Entry'!$Ā$718)</f>
      </c>
      <c r="GK718">
        <f>IF(ISBLANK('Data Entry'!$ā$718), "", 'Data Entry'!$ā$718)</f>
      </c>
      <c r="GL718">
        <f>IF(ISBLANK('Data Entry'!$Ă$718), "", 'Data Entry'!$Ă$718)</f>
      </c>
      <c r="GM718">
        <f>IF(ISBLANK('Data Entry'!$ă$718), "", 'Data Entry'!$ă$718)</f>
      </c>
      <c r="GN718">
        <f>IF(ISBLANK('Data Entry'!$Ą$718), "", 'Data Entry'!$Ą$718)</f>
      </c>
      <c r="GO718">
        <f>IF(ISBLANK('Data Entry'!$ą$718), "", 'Data Entry'!$ą$718)</f>
      </c>
      <c r="GP718">
        <f>IF(ISBLANK('Data Entry'!$Ć$718), "", 'Data Entry'!$Ć$718)</f>
      </c>
      <c r="GQ718">
        <f>IF(ISBLANK('Data Entry'!$ć$718), "", 'Data Entry'!$ć$718)</f>
      </c>
      <c r="GR718">
        <f>IF(ISBLANK('Data Entry'!$Ĉ$718), "", 'Data Entry'!$Ĉ$718)</f>
      </c>
      <c r="GS718">
        <f>IF(ISBLANK('Data Entry'!$ĉ$718), "", 'Data Entry'!$ĉ$718)</f>
      </c>
      <c r="GT718">
        <f>IF(ISBLANK('Data Entry'!$Ċ$718), "", 'Data Entry'!$Ċ$718)</f>
      </c>
      <c r="GU718">
        <f>IF(ISBLANK('Data Entry'!$ċ$718), "", 'Data Entry'!$ċ$718)</f>
      </c>
      <c r="GV718">
        <f>IF(ISBLANK('Data Entry'!$Č$718), "", 'Data Entry'!$Č$718)</f>
      </c>
      <c r="GW718">
        <f>IF(ISBLANK('Data Entry'!$č$718), "", 'Data Entry'!$č$718)</f>
      </c>
      <c r="GX718">
        <f>IF(ISBLANK('Data Entry'!$Ď$718), "", 'Data Entry'!$Ď$718)</f>
      </c>
      <c r="GY718">
        <f>IF(ISBLANK('Data Entry'!$ď$718), "", 'Data Entry'!$ď$718)</f>
      </c>
      <c r="GZ718">
        <f>IF(ISBLANK('Data Entry'!$Đ$718), "", 'Data Entry'!$Đ$718)</f>
      </c>
      <c r="HA718">
        <f>IF(ISBLANK('Data Entry'!$đ$718), "", 'Data Entry'!$đ$718)</f>
      </c>
      <c r="HB718">
        <f>IF(ISBLANK('Data Entry'!$Ē$718), "", 'Data Entry'!$Ē$718)</f>
      </c>
      <c r="HC718">
        <f>IF(ISBLANK('Data Entry'!$ē$718), "", 'Data Entry'!$ē$718)</f>
      </c>
      <c r="HD718">
        <f>IF(ISBLANK('Data Entry'!$Ĕ$718), "", 'Data Entry'!$Ĕ$718)</f>
      </c>
      <c r="HE718">
        <f>IF(ISBLANK('Data Entry'!$ĕ$718), "", 'Data Entry'!$ĕ$718)</f>
      </c>
      <c r="HF718">
        <f>IF(ISBLANK('Data Entry'!$Ė$718), "", 'Data Entry'!$Ė$718)</f>
      </c>
      <c r="HG718">
        <f>IF(ISBLANK('Data Entry'!$ė$718), "", 'Data Entry'!$ė$718)</f>
      </c>
      <c r="HH718">
        <f>IF(ISBLANK('Data Entry'!$Ę$718), "", 'Data Entry'!$Ę$718)</f>
      </c>
      <c r="HI718">
        <f>IF(ISBLANK('Data Entry'!$ę$718), "", 'Data Entry'!$ę$718)</f>
      </c>
      <c r="HJ718">
        <f>IF(ISBLANK('Data Entry'!$Ě$718), "", 'Data Entry'!$Ě$718)</f>
      </c>
      <c r="HK718">
        <f>IF(ISBLANK('Data Entry'!$ě$718), "", 'Data Entry'!$ě$718)</f>
      </c>
      <c r="HL718">
        <f>IF(ISBLANK('Data Entry'!$Ĝ$718), "", 'Data Entry'!$Ĝ$718)</f>
      </c>
      <c r="HM718">
        <f>IF(ISBLANK('Data Entry'!$ĝ$718), "", 'Data Entry'!$ĝ$718)</f>
      </c>
      <c r="HN718">
        <f>IF(ISBLANK('Data Entry'!$Ğ$718), "", 'Data Entry'!$Ğ$718)</f>
      </c>
      <c r="HO718">
        <f>IF(ISBLANK('Data Entry'!$ğ$718), "", 'Data Entry'!$ğ$718)</f>
      </c>
      <c r="HP718">
        <f>IF(ISBLANK('Data Entry'!$Ġ$718), "", 'Data Entry'!$Ġ$718)</f>
      </c>
      <c r="HQ718">
        <f>IF(ISBLANK('Data Entry'!$ġ$718), "", 'Data Entry'!$ġ$718)</f>
      </c>
      <c r="HR718">
        <f>IF(ISBLANK('Data Entry'!$Ģ$718), "", 'Data Entry'!$Ģ$718)</f>
      </c>
      <c r="HS718">
        <f>IF(ISBLANK('Data Entry'!$ģ$718), "", 'Data Entry'!$ģ$718)</f>
      </c>
      <c r="HT718">
        <f>IF(ISBLANK('Data Entry'!$Ĥ$718), "", 'Data Entry'!$Ĥ$718)</f>
      </c>
      <c r="HU718">
        <f>IF(ISBLANK('Data Entry'!$ĥ$718), "", 'Data Entry'!$ĥ$718)</f>
      </c>
      <c r="HV718">
        <f>IF(ISBLANK('Data Entry'!$Ħ$718), "", 'Data Entry'!$Ħ$718)</f>
      </c>
      <c r="HW718">
        <f>IF(ISBLANK('Data Entry'!$ħ$718), "", 'Data Entry'!$ħ$718)</f>
      </c>
      <c r="HX718">
        <f>IF(ISBLANK('Data Entry'!$Ĩ$718), "", 'Data Entry'!$Ĩ$718)</f>
      </c>
      <c r="HY718">
        <f>IF(ISBLANK('Data Entry'!$ĩ$718), "", 'Data Entry'!$ĩ$718)</f>
      </c>
      <c r="HZ718">
        <f>IF(ISBLANK('Data Entry'!$Ī$718), "", 'Data Entry'!$Ī$718)</f>
      </c>
      <c r="IA718">
        <f>IF(ISBLANK('Data Entry'!$ī$718), "", 'Data Entry'!$ī$718)</f>
      </c>
      <c r="IB718">
        <f>IF(ISBLANK('Data Entry'!$Ĭ$718), "", 'Data Entry'!$Ĭ$718)</f>
      </c>
      <c r="IC718">
        <f>IF(ISBLANK('Data Entry'!$ĭ$718), "", 'Data Entry'!$ĭ$718)</f>
      </c>
      <c r="ID718">
        <f>IF(ISBLANK('Data Entry'!$Į$718), "", 'Data Entry'!$Į$718)</f>
      </c>
      <c r="IE718">
        <f>IF(ISBLANK('Data Entry'!$į$718), "", 'Data Entry'!$į$718)</f>
      </c>
      <c r="IF718">
        <f>IF(ISBLANK('Data Entry'!$İ$718), "", 'Data Entry'!$İ$718)</f>
      </c>
      <c r="IG718">
        <f>IF(ISBLANK('Data Entry'!$ı$718), "", 'Data Entry'!$ı$718)</f>
      </c>
      <c r="IH718">
        <f>IF(ISBLANK('Data Entry'!$Ĳ$718), "", 'Data Entry'!$Ĳ$718)</f>
      </c>
      <c r="II718">
        <f>IF(ISBLANK('Data Entry'!$ĳ$718), "", 'Data Entry'!$ĳ$718)</f>
      </c>
      <c r="IJ718">
        <f>IF(ISBLANK('Data Entry'!$Ĵ$718), "", 'Data Entry'!$Ĵ$718)</f>
      </c>
      <c r="IK718">
        <f>IF(ISBLANK('Data Entry'!$ĵ$718), "", 'Data Entry'!$ĵ$718)</f>
      </c>
      <c r="IL718">
        <f>IF(ISBLANK('Data Entry'!$Ķ$718), "", 'Data Entry'!$Ķ$718)</f>
      </c>
      <c r="IM718">
        <f>IF(ISBLANK('Data Entry'!$ķ$718), "", 'Data Entry'!$ķ$718)</f>
      </c>
      <c r="IN718">
        <f>IF(ISBLANK('Data Entry'!$ĸ$718), "", 'Data Entry'!$ĸ$718)</f>
      </c>
      <c r="IO718">
        <f>IF(ISBLANK('Data Entry'!$Ĺ$718), "", 'Data Entry'!$Ĺ$718)</f>
      </c>
      <c r="IP718">
        <f>IF(ISBLANK('Data Entry'!$ĺ$718), "", 'Data Entry'!$ĺ$718)</f>
      </c>
      <c r="IQ718">
        <f>IF(ISBLANK('Data Entry'!$Ļ$718), "", 'Data Entry'!$Ļ$718)</f>
      </c>
      <c r="IR718">
        <f>IF(ISBLANK('Data Entry'!$ļ$718), "", 'Data Entry'!$ļ$718)</f>
      </c>
      <c r="IS718">
        <f>IF(ISBLANK('Data Entry'!$Ľ$718), "", 'Data Entry'!$Ľ$718)</f>
      </c>
      <c r="IT718">
        <f>IF(ISBLANK('Data Entry'!$ľ$718), "", 'Data Entry'!$ľ$718)</f>
      </c>
    </row>
    <row r="719" spans="1:254" x14ac:dyDescent="0.25">
      <c r="A719">
        <f>IF(ISBLANK('Data Entry'!$A$719), "", 'Data Entry'!$A$719)</f>
      </c>
      <c r="B719">
        <f>IF(ISBLANK('Data Entry'!$B$719), "", 'Data Entry'!$B$719)</f>
      </c>
      <c r="C719">
        <f>IF(ISBLANK('Data Entry'!$C$719), "", 'Data Entry'!$C$719)</f>
      </c>
      <c r="D719">
        <f>IF(ISBLANK('Data Entry'!$D$719), "", 'Data Entry'!$D$719)</f>
      </c>
      <c r="E719">
        <f>IF(ISBLANK('Data Entry'!$E$719), "", 'Data Entry'!$E$719)</f>
      </c>
      <c r="F719">
        <f>IF(ISBLANK('Data Entry'!$F$719), "", 'Data Entry'!$F$719)</f>
      </c>
      <c r="G719">
        <f>IF(ISBLANK('Data Entry'!$G$719), "", 'Data Entry'!$G$719)</f>
      </c>
      <c r="H719">
        <f>IF(ISBLANK('Data Entry'!$H$719), "", 'Data Entry'!$H$719)</f>
      </c>
      <c r="I719">
        <f>IF(ISBLANK('Data Entry'!$I$719), "", 'Data Entry'!$I$719)</f>
      </c>
      <c r="J719">
        <f>IF(ISBLANK('Data Entry'!$J$719), "", 'Data Entry'!$J$719)</f>
      </c>
      <c r="K719">
        <f>IF(ISBLANK('Data Entry'!$K$719), "", 'Data Entry'!$K$719)</f>
      </c>
      <c r="L719">
        <f>IF(ISBLANK('Data Entry'!$L$719), "", 'Data Entry'!$L$719)</f>
      </c>
      <c r="M719">
        <f>IF(ISBLANK('Data Entry'!$M$719), "", 'Data Entry'!$M$719)</f>
      </c>
      <c r="N719">
        <f>IF(ISBLANK('Data Entry'!$N$719), "", 'Data Entry'!$N$719)</f>
      </c>
      <c r="O719">
        <f>IF(ISBLANK('Data Entry'!$O$719), "", 'Data Entry'!$O$719)</f>
      </c>
      <c r="P719">
        <f>IF(ISBLANK('Data Entry'!$P$719), "", 'Data Entry'!$P$719)</f>
      </c>
      <c r="Q719">
        <f>IF(ISBLANK('Data Entry'!$Q$719), "", 'Data Entry'!$Q$719)</f>
      </c>
      <c r="R719">
        <f>IF(ISBLANK('Data Entry'!$R$719), "", 'Data Entry'!$R$719)</f>
      </c>
      <c r="S719">
        <f>IF(ISBLANK('Data Entry'!$S$719), "", 'Data Entry'!$S$719)</f>
      </c>
      <c r="T719">
        <f>IF(ISBLANK('Data Entry'!$T$719), "", 'Data Entry'!$T$719)</f>
      </c>
      <c r="U719">
        <f>IF(ISBLANK('Data Entry'!$U$719), "", 'Data Entry'!$U$719)</f>
      </c>
      <c r="V719">
        <f>IF(ISBLANK('Data Entry'!$V$719), "", 'Data Entry'!$V$719)</f>
      </c>
      <c r="W719">
        <f>IF(ISBLANK('Data Entry'!$W$719), "", 'Data Entry'!$W$719)</f>
      </c>
      <c r="X719">
        <f>IF(ISBLANK('Data Entry'!$X$719), "", 'Data Entry'!$X$719)</f>
      </c>
      <c r="Y719">
        <f>IF(ISBLANK('Data Entry'!$Y$719), "", 'Data Entry'!$Y$719)</f>
      </c>
      <c r="Z719">
        <f>IF(ISBLANK('Data Entry'!$Z$719), "", 'Data Entry'!$Z$719)</f>
      </c>
      <c r="AA719">
        <f>IF(ISBLANK('Data Entry'!$[$719), "", 'Data Entry'!$[$719)</f>
      </c>
      <c r="AB719">
        <f>IF(ISBLANK('Data Entry'!$\$719), "", 'Data Entry'!$\$719)</f>
      </c>
      <c r="AC719">
        <f>IF(ISBLANK('Data Entry'!$]$719), "", 'Data Entry'!$]$719)</f>
      </c>
      <c r="AD719">
        <f>IF(ISBLANK('Data Entry'!$^$719), "", 'Data Entry'!$^$719)</f>
      </c>
      <c r="AE719">
        <f>IF(ISBLANK('Data Entry'!$_$719), "", 'Data Entry'!$_$719)</f>
      </c>
      <c r="AF719">
        <f>IF(ISBLANK('Data Entry'!$`$719), "", 'Data Entry'!$`$719)</f>
      </c>
      <c r="AG719">
        <f>IF(ISBLANK('Data Entry'!$a$719), "", 'Data Entry'!$a$719)</f>
      </c>
      <c r="AH719">
        <f>IF(ISBLANK('Data Entry'!$b$719), "", 'Data Entry'!$b$719)</f>
      </c>
      <c r="AI719">
        <f>IF(ISBLANK('Data Entry'!$c$719), "", 'Data Entry'!$c$719)</f>
      </c>
      <c r="AJ719">
        <f>IF(ISBLANK('Data Entry'!$d$719), "", 'Data Entry'!$d$719)</f>
      </c>
      <c r="AK719">
        <f>IF(ISBLANK('Data Entry'!$e$719), "", 'Data Entry'!$e$719)</f>
      </c>
      <c r="AL719">
        <f>IF(ISBLANK('Data Entry'!$f$719), "", 'Data Entry'!$f$719)</f>
      </c>
      <c r="AM719">
        <f>IF(ISBLANK('Data Entry'!$g$719), "", 'Data Entry'!$g$719)</f>
      </c>
      <c r="AN719">
        <f>IF(ISBLANK('Data Entry'!$h$719), "", 'Data Entry'!$h$719)</f>
      </c>
      <c r="AO719">
        <f>IF(ISBLANK('Data Entry'!$i$719), "", 'Data Entry'!$i$719)</f>
      </c>
      <c r="AP719">
        <f>IF(ISBLANK('Data Entry'!$j$719), "", 'Data Entry'!$j$719)</f>
      </c>
      <c r="AQ719">
        <f>IF(ISBLANK('Data Entry'!$k$719), "", 'Data Entry'!$k$719)</f>
      </c>
      <c r="AR719">
        <f>IF(ISBLANK('Data Entry'!$l$719), "", 'Data Entry'!$l$719)</f>
      </c>
      <c r="AS719">
        <f>IF(ISBLANK('Data Entry'!$m$719), "", 'Data Entry'!$m$719)</f>
      </c>
      <c r="AT719">
        <f>IF(ISBLANK('Data Entry'!$n$719), "", 'Data Entry'!$n$719)</f>
      </c>
      <c r="AU719">
        <f>IF(ISBLANK('Data Entry'!$o$719), "", 'Data Entry'!$o$719)</f>
      </c>
      <c r="AV719">
        <f>IF(ISBLANK('Data Entry'!$p$719), "", 'Data Entry'!$p$719)</f>
      </c>
      <c r="AW719">
        <f>IF(ISBLANK('Data Entry'!$q$719), "", 'Data Entry'!$q$719)</f>
      </c>
      <c r="AX719">
        <f>IF(ISBLANK('Data Entry'!$r$719), "", 'Data Entry'!$r$719)</f>
      </c>
      <c r="AY719">
        <f>IF(ISBLANK('Data Entry'!$s$719), "", 'Data Entry'!$s$719)</f>
      </c>
      <c r="AZ719">
        <f>IF(ISBLANK('Data Entry'!$t$719), "", 'Data Entry'!$t$719)</f>
      </c>
      <c r="BA719">
        <f>IF(ISBLANK('Data Entry'!$u$719), "", 'Data Entry'!$u$719)</f>
      </c>
      <c r="BB719">
        <f>IF(ISBLANK('Data Entry'!$v$719), "", 'Data Entry'!$v$719)</f>
      </c>
      <c r="BC719">
        <f>IF(ISBLANK('Data Entry'!$w$719), "", 'Data Entry'!$w$719)</f>
      </c>
      <c r="BD719">
        <f>IF(ISBLANK('Data Entry'!$x$719), "", 'Data Entry'!$x$719)</f>
      </c>
      <c r="BE719">
        <f>IF(ISBLANK('Data Entry'!$y$719), "", 'Data Entry'!$y$719)</f>
      </c>
      <c r="BF719">
        <f>IF(ISBLANK('Data Entry'!$z$719), "", 'Data Entry'!$z$719)</f>
      </c>
      <c r="BG719">
        <f>IF(ISBLANK('Data Entry'!${$719), "", 'Data Entry'!${$719)</f>
      </c>
      <c r="BH719">
        <f>IF(ISBLANK('Data Entry'!$|$719), "", 'Data Entry'!$|$719)</f>
      </c>
      <c r="BI719">
        <f>IF(ISBLANK('Data Entry'!$}$719), "", 'Data Entry'!$}$719)</f>
      </c>
      <c r="BJ719">
        <f>IF(ISBLANK('Data Entry'!$~$719), "", 'Data Entry'!$~$719)</f>
      </c>
      <c r="BK719">
        <f>IF(ISBLANK('Data Entry'!$$719), "", 'Data Entry'!$$719)</f>
      </c>
      <c r="BL719">
        <f>IF(ISBLANK('Data Entry'!$$719), "", 'Data Entry'!$$719)</f>
      </c>
      <c r="BM719">
        <f>IF(ISBLANK('Data Entry'!$$719), "", 'Data Entry'!$$719)</f>
      </c>
      <c r="BN719">
        <f>IF(ISBLANK('Data Entry'!$$719), "", 'Data Entry'!$$719)</f>
      </c>
      <c r="BO719">
        <f>IF(ISBLANK('Data Entry'!$$719), "", 'Data Entry'!$$719)</f>
      </c>
      <c r="BP719">
        <f>IF(ISBLANK('Data Entry'!$$719), "", 'Data Entry'!$$719)</f>
      </c>
      <c r="BQ719">
        <f>IF(ISBLANK('Data Entry'!$$719), "", 'Data Entry'!$$719)</f>
      </c>
      <c r="BR719">
        <f>IF(ISBLANK('Data Entry'!$$719), "", 'Data Entry'!$$719)</f>
      </c>
      <c r="BS719">
        <f>IF(ISBLANK('Data Entry'!$$719), "", 'Data Entry'!$$719)</f>
      </c>
      <c r="BT719">
        <f>IF(ISBLANK('Data Entry'!$$719), "", 'Data Entry'!$$719)</f>
      </c>
      <c r="BU719">
        <f>IF(ISBLANK('Data Entry'!$$719), "", 'Data Entry'!$$719)</f>
      </c>
      <c r="BV719">
        <f>IF(ISBLANK('Data Entry'!$$719), "", 'Data Entry'!$$719)</f>
      </c>
      <c r="BW719">
        <f>IF(ISBLANK('Data Entry'!$$719), "", 'Data Entry'!$$719)</f>
      </c>
      <c r="BX719">
        <f>IF(ISBLANK('Data Entry'!$$719), "", 'Data Entry'!$$719)</f>
      </c>
      <c r="BY719">
        <f>IF(ISBLANK('Data Entry'!$$719), "", 'Data Entry'!$$719)</f>
      </c>
      <c r="BZ719">
        <f>IF(ISBLANK('Data Entry'!$$719), "", 'Data Entry'!$$719)</f>
      </c>
      <c r="CA719">
        <f>IF(ISBLANK('Data Entry'!$$719), "", 'Data Entry'!$$719)</f>
      </c>
      <c r="CB719">
        <f>IF(ISBLANK('Data Entry'!$$719), "", 'Data Entry'!$$719)</f>
      </c>
      <c r="CC719">
        <f>IF(ISBLANK('Data Entry'!$$719), "", 'Data Entry'!$$719)</f>
      </c>
      <c r="CD719">
        <f>IF(ISBLANK('Data Entry'!$$719), "", 'Data Entry'!$$719)</f>
      </c>
      <c r="CE719">
        <f>IF(ISBLANK('Data Entry'!$$719), "", 'Data Entry'!$$719)</f>
      </c>
      <c r="CF719">
        <f>IF(ISBLANK('Data Entry'!$$719), "", 'Data Entry'!$$719)</f>
      </c>
      <c r="CG719">
        <f>IF(ISBLANK('Data Entry'!$$719), "", 'Data Entry'!$$719)</f>
      </c>
      <c r="CH719">
        <f>IF(ISBLANK('Data Entry'!$$719), "", 'Data Entry'!$$719)</f>
      </c>
      <c r="CI719">
        <f>IF(ISBLANK('Data Entry'!$$719), "", 'Data Entry'!$$719)</f>
      </c>
      <c r="CJ719">
        <f>IF(ISBLANK('Data Entry'!$$719), "", 'Data Entry'!$$719)</f>
      </c>
      <c r="CK719">
        <f>IF(ISBLANK('Data Entry'!$$719), "", 'Data Entry'!$$719)</f>
      </c>
      <c r="CL719">
        <f>IF(ISBLANK('Data Entry'!$$719), "", 'Data Entry'!$$719)</f>
      </c>
      <c r="CM719">
        <f>IF(ISBLANK('Data Entry'!$$719), "", 'Data Entry'!$$719)</f>
      </c>
      <c r="CN719">
        <f>IF(ISBLANK('Data Entry'!$$719), "", 'Data Entry'!$$719)</f>
      </c>
      <c r="CO719">
        <f>IF(ISBLANK('Data Entry'!$$719), "", 'Data Entry'!$$719)</f>
      </c>
      <c r="CP719">
        <f>IF(ISBLANK('Data Entry'!$$719), "", 'Data Entry'!$$719)</f>
      </c>
      <c r="CQ719">
        <f>IF(ISBLANK('Data Entry'!$$719), "", 'Data Entry'!$$719)</f>
      </c>
      <c r="CR719">
        <f>IF(ISBLANK('Data Entry'!$ $719), "", 'Data Entry'!$ $719)</f>
      </c>
      <c r="CS719">
        <f>IF(ISBLANK('Data Entry'!$¡$719), "", 'Data Entry'!$¡$719)</f>
      </c>
      <c r="CT719">
        <f>IF(ISBLANK('Data Entry'!$¢$719), "", 'Data Entry'!$¢$719)</f>
      </c>
      <c r="CU719">
        <f>IF(ISBLANK('Data Entry'!$£$719), "", 'Data Entry'!$£$719)</f>
      </c>
      <c r="CV719">
        <f>IF(ISBLANK('Data Entry'!$¤$719), "", 'Data Entry'!$¤$719)</f>
      </c>
      <c r="CW719">
        <f>IF(ISBLANK('Data Entry'!$¥$719), "", 'Data Entry'!$¥$719)</f>
      </c>
      <c r="CX719">
        <f>IF(ISBLANK('Data Entry'!$¦$719), "", 'Data Entry'!$¦$719)</f>
      </c>
      <c r="CY719">
        <f>IF(ISBLANK('Data Entry'!$§$719), "", 'Data Entry'!$§$719)</f>
      </c>
      <c r="CZ719">
        <f>IF(ISBLANK('Data Entry'!$¨$719), "", 'Data Entry'!$¨$719)</f>
      </c>
      <c r="DA719">
        <f>IF(ISBLANK('Data Entry'!$©$719), "", 'Data Entry'!$©$719)</f>
      </c>
      <c r="DB719">
        <f>IF(ISBLANK('Data Entry'!$ª$719), "", 'Data Entry'!$ª$719)</f>
      </c>
      <c r="DC719">
        <f>IF(ISBLANK('Data Entry'!$«$719), "", 'Data Entry'!$«$719)</f>
      </c>
      <c r="DD719">
        <f>IF(ISBLANK('Data Entry'!$¬$719), "", 'Data Entry'!$¬$719)</f>
      </c>
      <c r="DE719">
        <f>IF(ISBLANK('Data Entry'!$­$719), "", 'Data Entry'!$­$719)</f>
      </c>
      <c r="DF719">
        <f>IF(ISBLANK('Data Entry'!$®$719), "", 'Data Entry'!$®$719)</f>
      </c>
      <c r="DG719">
        <f>IF(ISBLANK('Data Entry'!$¯$719), "", 'Data Entry'!$¯$719)</f>
      </c>
      <c r="DH719">
        <f>IF(ISBLANK('Data Entry'!$°$719), "", 'Data Entry'!$°$719)</f>
      </c>
      <c r="DI719">
        <f>IF(ISBLANK('Data Entry'!$±$719), "", 'Data Entry'!$±$719)</f>
      </c>
      <c r="DJ719">
        <f>IF(ISBLANK('Data Entry'!$²$719), "", 'Data Entry'!$²$719)</f>
      </c>
      <c r="DK719">
        <f>IF(ISBLANK('Data Entry'!$³$719), "", 'Data Entry'!$³$719)</f>
      </c>
      <c r="DL719">
        <f>IF(ISBLANK('Data Entry'!$´$719), "", 'Data Entry'!$´$719)</f>
      </c>
      <c r="DM719">
        <f>IF(ISBLANK('Data Entry'!$µ$719), "", 'Data Entry'!$µ$719)</f>
      </c>
      <c r="DN719">
        <f>IF(ISBLANK('Data Entry'!$¶$719), "", 'Data Entry'!$¶$719)</f>
      </c>
      <c r="DO719">
        <f>IF(ISBLANK('Data Entry'!$·$719), "", 'Data Entry'!$·$719)</f>
      </c>
      <c r="DP719">
        <f>IF(ISBLANK('Data Entry'!$¸$719), "", 'Data Entry'!$¸$719)</f>
      </c>
      <c r="DQ719">
        <f>IF(ISBLANK('Data Entry'!$¹$719), "", 'Data Entry'!$¹$719)</f>
      </c>
      <c r="DR719">
        <f>IF(ISBLANK('Data Entry'!$º$719), "", 'Data Entry'!$º$719)</f>
      </c>
      <c r="DS719">
        <f>IF(ISBLANK('Data Entry'!$»$719), "", 'Data Entry'!$»$719)</f>
      </c>
      <c r="DT719">
        <f>IF(ISBLANK('Data Entry'!$¼$719), "", 'Data Entry'!$¼$719)</f>
      </c>
      <c r="DU719">
        <f>IF(ISBLANK('Data Entry'!$½$719), "", 'Data Entry'!$½$719)</f>
      </c>
      <c r="DV719">
        <f>IF(ISBLANK('Data Entry'!$¾$719), "", 'Data Entry'!$¾$719)</f>
      </c>
      <c r="DW719">
        <f>IF(ISBLANK('Data Entry'!$¿$719), "", 'Data Entry'!$¿$719)</f>
      </c>
      <c r="DX719">
        <f>IF(ISBLANK('Data Entry'!$À$719), "", 'Data Entry'!$À$719)</f>
      </c>
      <c r="DY719">
        <f>IF(ISBLANK('Data Entry'!$Á$719), "", 'Data Entry'!$Á$719)</f>
      </c>
      <c r="DZ719">
        <f>IF(ISBLANK('Data Entry'!$Â$719), "", 'Data Entry'!$Â$719)</f>
      </c>
      <c r="EA719">
        <f>IF(ISBLANK('Data Entry'!$Ã$719), "", 'Data Entry'!$Ã$719)</f>
      </c>
      <c r="EB719">
        <f>IF(ISBLANK('Data Entry'!$Ä$719), "", 'Data Entry'!$Ä$719)</f>
      </c>
      <c r="EC719">
        <f>IF(ISBLANK('Data Entry'!$Å$719), "", 'Data Entry'!$Å$719)</f>
      </c>
      <c r="ED719">
        <f>IF(ISBLANK('Data Entry'!$Æ$719), "", 'Data Entry'!$Æ$719)</f>
      </c>
      <c r="EE719">
        <f>IF(ISBLANK('Data Entry'!$Ç$719), "", 'Data Entry'!$Ç$719)</f>
      </c>
      <c r="EF719">
        <f>IF(ISBLANK('Data Entry'!$È$719), "", 'Data Entry'!$È$719)</f>
      </c>
      <c r="EG719">
        <f>IF(ISBLANK('Data Entry'!$É$719), "", 'Data Entry'!$É$719)</f>
      </c>
      <c r="EH719">
        <f>IF(ISBLANK('Data Entry'!$Ê$719), "", 'Data Entry'!$Ê$719)</f>
      </c>
      <c r="EI719">
        <f>IF(ISBLANK('Data Entry'!$Ë$719), "", 'Data Entry'!$Ë$719)</f>
      </c>
      <c r="EJ719">
        <f>IF(ISBLANK('Data Entry'!$Ì$719), "", 'Data Entry'!$Ì$719)</f>
      </c>
      <c r="EK719">
        <f>IF(ISBLANK('Data Entry'!$Í$719), "", 'Data Entry'!$Í$719)</f>
      </c>
      <c r="EL719">
        <f>IF(ISBLANK('Data Entry'!$Î$719), "", 'Data Entry'!$Î$719)</f>
      </c>
      <c r="EM719">
        <f>IF(ISBLANK('Data Entry'!$Ï$719), "", 'Data Entry'!$Ï$719)</f>
      </c>
      <c r="EN719">
        <f>IF(ISBLANK('Data Entry'!$Ð$719), "", 'Data Entry'!$Ð$719)</f>
      </c>
      <c r="EO719">
        <f>IF(ISBLANK('Data Entry'!$Ñ$719), "", 'Data Entry'!$Ñ$719)</f>
      </c>
      <c r="EP719">
        <f>IF(ISBLANK('Data Entry'!$Ò$719), "", 'Data Entry'!$Ò$719)</f>
      </c>
      <c r="EQ719">
        <f>IF(ISBLANK('Data Entry'!$Ó$719), "", 'Data Entry'!$Ó$719)</f>
      </c>
      <c r="ER719">
        <f>IF(ISBLANK('Data Entry'!$Ô$719), "", 'Data Entry'!$Ô$719)</f>
      </c>
      <c r="ES719">
        <f>IF(ISBLANK('Data Entry'!$Õ$719), "", 'Data Entry'!$Õ$719)</f>
      </c>
      <c r="ET719">
        <f>IF(ISBLANK('Data Entry'!$Ö$719), "", 'Data Entry'!$Ö$719)</f>
      </c>
      <c r="EU719">
        <f>IF(ISBLANK('Data Entry'!$×$719), "", 'Data Entry'!$×$719)</f>
      </c>
      <c r="EV719">
        <f>IF(ISBLANK('Data Entry'!$Ø$719), "", 'Data Entry'!$Ø$719)</f>
      </c>
      <c r="EW719">
        <f>IF(ISBLANK('Data Entry'!$Ù$719), "", 'Data Entry'!$Ù$719)</f>
      </c>
      <c r="EX719">
        <f>IF(ISBLANK('Data Entry'!$Ú$719), "", 'Data Entry'!$Ú$719)</f>
      </c>
      <c r="EY719">
        <f>IF(ISBLANK('Data Entry'!$Û$719), "", 'Data Entry'!$Û$719)</f>
      </c>
      <c r="EZ719">
        <f>IF(ISBLANK('Data Entry'!$Ü$719), "", 'Data Entry'!$Ü$719)</f>
      </c>
      <c r="FA719">
        <f>IF(ISBLANK('Data Entry'!$Ý$719), "", 'Data Entry'!$Ý$719)</f>
      </c>
      <c r="FB719">
        <f>IF(ISBLANK('Data Entry'!$Þ$719), "", 'Data Entry'!$Þ$719)</f>
      </c>
      <c r="FC719">
        <f>IF(ISBLANK('Data Entry'!$ß$719), "", 'Data Entry'!$ß$719)</f>
      </c>
      <c r="FD719">
        <f>IF(ISBLANK('Data Entry'!$à$719), "", 'Data Entry'!$à$719)</f>
      </c>
      <c r="FE719">
        <f>IF(ISBLANK('Data Entry'!$á$719), "", 'Data Entry'!$á$719)</f>
      </c>
      <c r="FF719">
        <f>IF(ISBLANK('Data Entry'!$â$719), "", 'Data Entry'!$â$719)</f>
      </c>
      <c r="FG719">
        <f>IF(ISBLANK('Data Entry'!$ã$719), "", 'Data Entry'!$ã$719)</f>
      </c>
      <c r="FH719">
        <f>IF(ISBLANK('Data Entry'!$ä$719), "", 'Data Entry'!$ä$719)</f>
      </c>
      <c r="FI719">
        <f>IF(ISBLANK('Data Entry'!$å$719), "", 'Data Entry'!$å$719)</f>
      </c>
      <c r="FJ719">
        <f>IF(ISBLANK('Data Entry'!$æ$719), "", 'Data Entry'!$æ$719)</f>
      </c>
      <c r="FK719">
        <f>IF(ISBLANK('Data Entry'!$ç$719), "", 'Data Entry'!$ç$719)</f>
      </c>
      <c r="FL719">
        <f>IF(ISBLANK('Data Entry'!$è$719), "", 'Data Entry'!$è$719)</f>
      </c>
      <c r="FM719">
        <f>IF(ISBLANK('Data Entry'!$é$719), "", 'Data Entry'!$é$719)</f>
      </c>
      <c r="FN719">
        <f>IF(ISBLANK('Data Entry'!$ê$719), "", 'Data Entry'!$ê$719)</f>
      </c>
      <c r="FO719">
        <f>IF(ISBLANK('Data Entry'!$ë$719), "", 'Data Entry'!$ë$719)</f>
      </c>
      <c r="FP719">
        <f>IF(ISBLANK('Data Entry'!$ì$719), "", 'Data Entry'!$ì$719)</f>
      </c>
      <c r="FQ719">
        <f>IF(ISBLANK('Data Entry'!$í$719), "", 'Data Entry'!$í$719)</f>
      </c>
      <c r="FR719">
        <f>IF(ISBLANK('Data Entry'!$î$719), "", 'Data Entry'!$î$719)</f>
      </c>
      <c r="FS719">
        <f>IF(ISBLANK('Data Entry'!$ï$719), "", 'Data Entry'!$ï$719)</f>
      </c>
      <c r="FT719">
        <f>IF(ISBLANK('Data Entry'!$ð$719), "", 'Data Entry'!$ð$719)</f>
      </c>
      <c r="FU719">
        <f>IF(ISBLANK('Data Entry'!$ñ$719), "", 'Data Entry'!$ñ$719)</f>
      </c>
      <c r="FV719">
        <f>IF(ISBLANK('Data Entry'!$ò$719), "", 'Data Entry'!$ò$719)</f>
      </c>
      <c r="FW719">
        <f>IF(ISBLANK('Data Entry'!$ó$719), "", 'Data Entry'!$ó$719)</f>
      </c>
      <c r="FX719">
        <f>IF(ISBLANK('Data Entry'!$ô$719), "", 'Data Entry'!$ô$719)</f>
      </c>
      <c r="FY719">
        <f>IF(ISBLANK('Data Entry'!$õ$719), "", 'Data Entry'!$õ$719)</f>
      </c>
      <c r="FZ719">
        <f>IF(ISBLANK('Data Entry'!$ö$719), "", 'Data Entry'!$ö$719)</f>
      </c>
      <c r="GA719">
        <f>IF(ISBLANK('Data Entry'!$÷$719), "", 'Data Entry'!$÷$719)</f>
      </c>
      <c r="GB719">
        <f>IF(ISBLANK('Data Entry'!$ø$719), "", 'Data Entry'!$ø$719)</f>
      </c>
      <c r="GC719">
        <f>IF(ISBLANK('Data Entry'!$ù$719), "", 'Data Entry'!$ù$719)</f>
      </c>
      <c r="GD719">
        <f>IF(ISBLANK('Data Entry'!$ú$719), "", 'Data Entry'!$ú$719)</f>
      </c>
      <c r="GE719">
        <f>IF(ISBLANK('Data Entry'!$û$719), "", 'Data Entry'!$û$719)</f>
      </c>
      <c r="GF719">
        <f>IF(ISBLANK('Data Entry'!$ü$719), "", 'Data Entry'!$ü$719)</f>
      </c>
      <c r="GG719">
        <f>IF(ISBLANK('Data Entry'!$ý$719), "", 'Data Entry'!$ý$719)</f>
      </c>
      <c r="GH719">
        <f>IF(ISBLANK('Data Entry'!$þ$719), "", 'Data Entry'!$þ$719)</f>
      </c>
      <c r="GI719">
        <f>IF(ISBLANK('Data Entry'!$ÿ$719), "", 'Data Entry'!$ÿ$719)</f>
      </c>
      <c r="GJ719">
        <f>IF(ISBLANK('Data Entry'!$Ā$719), "", 'Data Entry'!$Ā$719)</f>
      </c>
      <c r="GK719">
        <f>IF(ISBLANK('Data Entry'!$ā$719), "", 'Data Entry'!$ā$719)</f>
      </c>
      <c r="GL719">
        <f>IF(ISBLANK('Data Entry'!$Ă$719), "", 'Data Entry'!$Ă$719)</f>
      </c>
      <c r="GM719">
        <f>IF(ISBLANK('Data Entry'!$ă$719), "", 'Data Entry'!$ă$719)</f>
      </c>
      <c r="GN719">
        <f>IF(ISBLANK('Data Entry'!$Ą$719), "", 'Data Entry'!$Ą$719)</f>
      </c>
      <c r="GO719">
        <f>IF(ISBLANK('Data Entry'!$ą$719), "", 'Data Entry'!$ą$719)</f>
      </c>
      <c r="GP719">
        <f>IF(ISBLANK('Data Entry'!$Ć$719), "", 'Data Entry'!$Ć$719)</f>
      </c>
      <c r="GQ719">
        <f>IF(ISBLANK('Data Entry'!$ć$719), "", 'Data Entry'!$ć$719)</f>
      </c>
      <c r="GR719">
        <f>IF(ISBLANK('Data Entry'!$Ĉ$719), "", 'Data Entry'!$Ĉ$719)</f>
      </c>
      <c r="GS719">
        <f>IF(ISBLANK('Data Entry'!$ĉ$719), "", 'Data Entry'!$ĉ$719)</f>
      </c>
      <c r="GT719">
        <f>IF(ISBLANK('Data Entry'!$Ċ$719), "", 'Data Entry'!$Ċ$719)</f>
      </c>
      <c r="GU719">
        <f>IF(ISBLANK('Data Entry'!$ċ$719), "", 'Data Entry'!$ċ$719)</f>
      </c>
      <c r="GV719">
        <f>IF(ISBLANK('Data Entry'!$Č$719), "", 'Data Entry'!$Č$719)</f>
      </c>
      <c r="GW719">
        <f>IF(ISBLANK('Data Entry'!$č$719), "", 'Data Entry'!$č$719)</f>
      </c>
      <c r="GX719">
        <f>IF(ISBLANK('Data Entry'!$Ď$719), "", 'Data Entry'!$Ď$719)</f>
      </c>
      <c r="GY719">
        <f>IF(ISBLANK('Data Entry'!$ď$719), "", 'Data Entry'!$ď$719)</f>
      </c>
      <c r="GZ719">
        <f>IF(ISBLANK('Data Entry'!$Đ$719), "", 'Data Entry'!$Đ$719)</f>
      </c>
      <c r="HA719">
        <f>IF(ISBLANK('Data Entry'!$đ$719), "", 'Data Entry'!$đ$719)</f>
      </c>
      <c r="HB719">
        <f>IF(ISBLANK('Data Entry'!$Ē$719), "", 'Data Entry'!$Ē$719)</f>
      </c>
      <c r="HC719">
        <f>IF(ISBLANK('Data Entry'!$ē$719), "", 'Data Entry'!$ē$719)</f>
      </c>
      <c r="HD719">
        <f>IF(ISBLANK('Data Entry'!$Ĕ$719), "", 'Data Entry'!$Ĕ$719)</f>
      </c>
      <c r="HE719">
        <f>IF(ISBLANK('Data Entry'!$ĕ$719), "", 'Data Entry'!$ĕ$719)</f>
      </c>
      <c r="HF719">
        <f>IF(ISBLANK('Data Entry'!$Ė$719), "", 'Data Entry'!$Ė$719)</f>
      </c>
      <c r="HG719">
        <f>IF(ISBLANK('Data Entry'!$ė$719), "", 'Data Entry'!$ė$719)</f>
      </c>
      <c r="HH719">
        <f>IF(ISBLANK('Data Entry'!$Ę$719), "", 'Data Entry'!$Ę$719)</f>
      </c>
      <c r="HI719">
        <f>IF(ISBLANK('Data Entry'!$ę$719), "", 'Data Entry'!$ę$719)</f>
      </c>
      <c r="HJ719">
        <f>IF(ISBLANK('Data Entry'!$Ě$719), "", 'Data Entry'!$Ě$719)</f>
      </c>
      <c r="HK719">
        <f>IF(ISBLANK('Data Entry'!$ě$719), "", 'Data Entry'!$ě$719)</f>
      </c>
      <c r="HL719">
        <f>IF(ISBLANK('Data Entry'!$Ĝ$719), "", 'Data Entry'!$Ĝ$719)</f>
      </c>
      <c r="HM719">
        <f>IF(ISBLANK('Data Entry'!$ĝ$719), "", 'Data Entry'!$ĝ$719)</f>
      </c>
      <c r="HN719">
        <f>IF(ISBLANK('Data Entry'!$Ğ$719), "", 'Data Entry'!$Ğ$719)</f>
      </c>
      <c r="HO719">
        <f>IF(ISBLANK('Data Entry'!$ğ$719), "", 'Data Entry'!$ğ$719)</f>
      </c>
      <c r="HP719">
        <f>IF(ISBLANK('Data Entry'!$Ġ$719), "", 'Data Entry'!$Ġ$719)</f>
      </c>
      <c r="HQ719">
        <f>IF(ISBLANK('Data Entry'!$ġ$719), "", 'Data Entry'!$ġ$719)</f>
      </c>
      <c r="HR719">
        <f>IF(ISBLANK('Data Entry'!$Ģ$719), "", 'Data Entry'!$Ģ$719)</f>
      </c>
      <c r="HS719">
        <f>IF(ISBLANK('Data Entry'!$ģ$719), "", 'Data Entry'!$ģ$719)</f>
      </c>
      <c r="HT719">
        <f>IF(ISBLANK('Data Entry'!$Ĥ$719), "", 'Data Entry'!$Ĥ$719)</f>
      </c>
      <c r="HU719">
        <f>IF(ISBLANK('Data Entry'!$ĥ$719), "", 'Data Entry'!$ĥ$719)</f>
      </c>
      <c r="HV719">
        <f>IF(ISBLANK('Data Entry'!$Ħ$719), "", 'Data Entry'!$Ħ$719)</f>
      </c>
      <c r="HW719">
        <f>IF(ISBLANK('Data Entry'!$ħ$719), "", 'Data Entry'!$ħ$719)</f>
      </c>
      <c r="HX719">
        <f>IF(ISBLANK('Data Entry'!$Ĩ$719), "", 'Data Entry'!$Ĩ$719)</f>
      </c>
      <c r="HY719">
        <f>IF(ISBLANK('Data Entry'!$ĩ$719), "", 'Data Entry'!$ĩ$719)</f>
      </c>
      <c r="HZ719">
        <f>IF(ISBLANK('Data Entry'!$Ī$719), "", 'Data Entry'!$Ī$719)</f>
      </c>
      <c r="IA719">
        <f>IF(ISBLANK('Data Entry'!$ī$719), "", 'Data Entry'!$ī$719)</f>
      </c>
      <c r="IB719">
        <f>IF(ISBLANK('Data Entry'!$Ĭ$719), "", 'Data Entry'!$Ĭ$719)</f>
      </c>
      <c r="IC719">
        <f>IF(ISBLANK('Data Entry'!$ĭ$719), "", 'Data Entry'!$ĭ$719)</f>
      </c>
      <c r="ID719">
        <f>IF(ISBLANK('Data Entry'!$Į$719), "", 'Data Entry'!$Į$719)</f>
      </c>
      <c r="IE719">
        <f>IF(ISBLANK('Data Entry'!$į$719), "", 'Data Entry'!$į$719)</f>
      </c>
      <c r="IF719">
        <f>IF(ISBLANK('Data Entry'!$İ$719), "", 'Data Entry'!$İ$719)</f>
      </c>
      <c r="IG719">
        <f>IF(ISBLANK('Data Entry'!$ı$719), "", 'Data Entry'!$ı$719)</f>
      </c>
      <c r="IH719">
        <f>IF(ISBLANK('Data Entry'!$Ĳ$719), "", 'Data Entry'!$Ĳ$719)</f>
      </c>
      <c r="II719">
        <f>IF(ISBLANK('Data Entry'!$ĳ$719), "", 'Data Entry'!$ĳ$719)</f>
      </c>
      <c r="IJ719">
        <f>IF(ISBLANK('Data Entry'!$Ĵ$719), "", 'Data Entry'!$Ĵ$719)</f>
      </c>
      <c r="IK719">
        <f>IF(ISBLANK('Data Entry'!$ĵ$719), "", 'Data Entry'!$ĵ$719)</f>
      </c>
      <c r="IL719">
        <f>IF(ISBLANK('Data Entry'!$Ķ$719), "", 'Data Entry'!$Ķ$719)</f>
      </c>
      <c r="IM719">
        <f>IF(ISBLANK('Data Entry'!$ķ$719), "", 'Data Entry'!$ķ$719)</f>
      </c>
      <c r="IN719">
        <f>IF(ISBLANK('Data Entry'!$ĸ$719), "", 'Data Entry'!$ĸ$719)</f>
      </c>
      <c r="IO719">
        <f>IF(ISBLANK('Data Entry'!$Ĺ$719), "", 'Data Entry'!$Ĺ$719)</f>
      </c>
      <c r="IP719">
        <f>IF(ISBLANK('Data Entry'!$ĺ$719), "", 'Data Entry'!$ĺ$719)</f>
      </c>
      <c r="IQ719">
        <f>IF(ISBLANK('Data Entry'!$Ļ$719), "", 'Data Entry'!$Ļ$719)</f>
      </c>
      <c r="IR719">
        <f>IF(ISBLANK('Data Entry'!$ļ$719), "", 'Data Entry'!$ļ$719)</f>
      </c>
      <c r="IS719">
        <f>IF(ISBLANK('Data Entry'!$Ľ$719), "", 'Data Entry'!$Ľ$719)</f>
      </c>
      <c r="IT719">
        <f>IF(ISBLANK('Data Entry'!$ľ$719), "", 'Data Entry'!$ľ$719)</f>
      </c>
    </row>
    <row r="720" spans="1:254" x14ac:dyDescent="0.25">
      <c r="A720">
        <f>IF(ISBLANK('Data Entry'!$A$720), "", 'Data Entry'!$A$720)</f>
      </c>
      <c r="B720">
        <f>IF(ISBLANK('Data Entry'!$B$720), "", 'Data Entry'!$B$720)</f>
      </c>
      <c r="C720">
        <f>IF(ISBLANK('Data Entry'!$C$720), "", 'Data Entry'!$C$720)</f>
      </c>
      <c r="D720">
        <f>IF(ISBLANK('Data Entry'!$D$720), "", 'Data Entry'!$D$720)</f>
      </c>
      <c r="E720">
        <f>IF(ISBLANK('Data Entry'!$E$720), "", 'Data Entry'!$E$720)</f>
      </c>
      <c r="F720">
        <f>IF(ISBLANK('Data Entry'!$F$720), "", 'Data Entry'!$F$720)</f>
      </c>
      <c r="G720">
        <f>IF(ISBLANK('Data Entry'!$G$720), "", 'Data Entry'!$G$720)</f>
      </c>
      <c r="H720">
        <f>IF(ISBLANK('Data Entry'!$H$720), "", 'Data Entry'!$H$720)</f>
      </c>
      <c r="I720">
        <f>IF(ISBLANK('Data Entry'!$I$720), "", 'Data Entry'!$I$720)</f>
      </c>
      <c r="J720">
        <f>IF(ISBLANK('Data Entry'!$J$720), "", 'Data Entry'!$J$720)</f>
      </c>
      <c r="K720">
        <f>IF(ISBLANK('Data Entry'!$K$720), "", 'Data Entry'!$K$720)</f>
      </c>
      <c r="L720">
        <f>IF(ISBLANK('Data Entry'!$L$720), "", 'Data Entry'!$L$720)</f>
      </c>
      <c r="M720">
        <f>IF(ISBLANK('Data Entry'!$M$720), "", 'Data Entry'!$M$720)</f>
      </c>
      <c r="N720">
        <f>IF(ISBLANK('Data Entry'!$N$720), "", 'Data Entry'!$N$720)</f>
      </c>
      <c r="O720">
        <f>IF(ISBLANK('Data Entry'!$O$720), "", 'Data Entry'!$O$720)</f>
      </c>
      <c r="P720">
        <f>IF(ISBLANK('Data Entry'!$P$720), "", 'Data Entry'!$P$720)</f>
      </c>
      <c r="Q720">
        <f>IF(ISBLANK('Data Entry'!$Q$720), "", 'Data Entry'!$Q$720)</f>
      </c>
      <c r="R720">
        <f>IF(ISBLANK('Data Entry'!$R$720), "", 'Data Entry'!$R$720)</f>
      </c>
      <c r="S720">
        <f>IF(ISBLANK('Data Entry'!$S$720), "", 'Data Entry'!$S$720)</f>
      </c>
      <c r="T720">
        <f>IF(ISBLANK('Data Entry'!$T$720), "", 'Data Entry'!$T$720)</f>
      </c>
      <c r="U720">
        <f>IF(ISBLANK('Data Entry'!$U$720), "", 'Data Entry'!$U$720)</f>
      </c>
      <c r="V720">
        <f>IF(ISBLANK('Data Entry'!$V$720), "", 'Data Entry'!$V$720)</f>
      </c>
      <c r="W720">
        <f>IF(ISBLANK('Data Entry'!$W$720), "", 'Data Entry'!$W$720)</f>
      </c>
      <c r="X720">
        <f>IF(ISBLANK('Data Entry'!$X$720), "", 'Data Entry'!$X$720)</f>
      </c>
      <c r="Y720">
        <f>IF(ISBLANK('Data Entry'!$Y$720), "", 'Data Entry'!$Y$720)</f>
      </c>
      <c r="Z720">
        <f>IF(ISBLANK('Data Entry'!$Z$720), "", 'Data Entry'!$Z$720)</f>
      </c>
      <c r="AA720">
        <f>IF(ISBLANK('Data Entry'!$[$720), "", 'Data Entry'!$[$720)</f>
      </c>
      <c r="AB720">
        <f>IF(ISBLANK('Data Entry'!$\$720), "", 'Data Entry'!$\$720)</f>
      </c>
      <c r="AC720">
        <f>IF(ISBLANK('Data Entry'!$]$720), "", 'Data Entry'!$]$720)</f>
      </c>
      <c r="AD720">
        <f>IF(ISBLANK('Data Entry'!$^$720), "", 'Data Entry'!$^$720)</f>
      </c>
      <c r="AE720">
        <f>IF(ISBLANK('Data Entry'!$_$720), "", 'Data Entry'!$_$720)</f>
      </c>
      <c r="AF720">
        <f>IF(ISBLANK('Data Entry'!$`$720), "", 'Data Entry'!$`$720)</f>
      </c>
      <c r="AG720">
        <f>IF(ISBLANK('Data Entry'!$a$720), "", 'Data Entry'!$a$720)</f>
      </c>
      <c r="AH720">
        <f>IF(ISBLANK('Data Entry'!$b$720), "", 'Data Entry'!$b$720)</f>
      </c>
      <c r="AI720">
        <f>IF(ISBLANK('Data Entry'!$c$720), "", 'Data Entry'!$c$720)</f>
      </c>
      <c r="AJ720">
        <f>IF(ISBLANK('Data Entry'!$d$720), "", 'Data Entry'!$d$720)</f>
      </c>
      <c r="AK720">
        <f>IF(ISBLANK('Data Entry'!$e$720), "", 'Data Entry'!$e$720)</f>
      </c>
      <c r="AL720">
        <f>IF(ISBLANK('Data Entry'!$f$720), "", 'Data Entry'!$f$720)</f>
      </c>
      <c r="AM720">
        <f>IF(ISBLANK('Data Entry'!$g$720), "", 'Data Entry'!$g$720)</f>
      </c>
      <c r="AN720">
        <f>IF(ISBLANK('Data Entry'!$h$720), "", 'Data Entry'!$h$720)</f>
      </c>
      <c r="AO720">
        <f>IF(ISBLANK('Data Entry'!$i$720), "", 'Data Entry'!$i$720)</f>
      </c>
      <c r="AP720">
        <f>IF(ISBLANK('Data Entry'!$j$720), "", 'Data Entry'!$j$720)</f>
      </c>
      <c r="AQ720">
        <f>IF(ISBLANK('Data Entry'!$k$720), "", 'Data Entry'!$k$720)</f>
      </c>
      <c r="AR720">
        <f>IF(ISBLANK('Data Entry'!$l$720), "", 'Data Entry'!$l$720)</f>
      </c>
      <c r="AS720">
        <f>IF(ISBLANK('Data Entry'!$m$720), "", 'Data Entry'!$m$720)</f>
      </c>
      <c r="AT720">
        <f>IF(ISBLANK('Data Entry'!$n$720), "", 'Data Entry'!$n$720)</f>
      </c>
      <c r="AU720">
        <f>IF(ISBLANK('Data Entry'!$o$720), "", 'Data Entry'!$o$720)</f>
      </c>
      <c r="AV720">
        <f>IF(ISBLANK('Data Entry'!$p$720), "", 'Data Entry'!$p$720)</f>
      </c>
      <c r="AW720">
        <f>IF(ISBLANK('Data Entry'!$q$720), "", 'Data Entry'!$q$720)</f>
      </c>
      <c r="AX720">
        <f>IF(ISBLANK('Data Entry'!$r$720), "", 'Data Entry'!$r$720)</f>
      </c>
      <c r="AY720">
        <f>IF(ISBLANK('Data Entry'!$s$720), "", 'Data Entry'!$s$720)</f>
      </c>
      <c r="AZ720">
        <f>IF(ISBLANK('Data Entry'!$t$720), "", 'Data Entry'!$t$720)</f>
      </c>
      <c r="BA720">
        <f>IF(ISBLANK('Data Entry'!$u$720), "", 'Data Entry'!$u$720)</f>
      </c>
      <c r="BB720">
        <f>IF(ISBLANK('Data Entry'!$v$720), "", 'Data Entry'!$v$720)</f>
      </c>
      <c r="BC720">
        <f>IF(ISBLANK('Data Entry'!$w$720), "", 'Data Entry'!$w$720)</f>
      </c>
      <c r="BD720">
        <f>IF(ISBLANK('Data Entry'!$x$720), "", 'Data Entry'!$x$720)</f>
      </c>
      <c r="BE720">
        <f>IF(ISBLANK('Data Entry'!$y$720), "", 'Data Entry'!$y$720)</f>
      </c>
      <c r="BF720">
        <f>IF(ISBLANK('Data Entry'!$z$720), "", 'Data Entry'!$z$720)</f>
      </c>
      <c r="BG720">
        <f>IF(ISBLANK('Data Entry'!${$720), "", 'Data Entry'!${$720)</f>
      </c>
      <c r="BH720">
        <f>IF(ISBLANK('Data Entry'!$|$720), "", 'Data Entry'!$|$720)</f>
      </c>
      <c r="BI720">
        <f>IF(ISBLANK('Data Entry'!$}$720), "", 'Data Entry'!$}$720)</f>
      </c>
      <c r="BJ720">
        <f>IF(ISBLANK('Data Entry'!$~$720), "", 'Data Entry'!$~$720)</f>
      </c>
      <c r="BK720">
        <f>IF(ISBLANK('Data Entry'!$$720), "", 'Data Entry'!$$720)</f>
      </c>
      <c r="BL720">
        <f>IF(ISBLANK('Data Entry'!$$720), "", 'Data Entry'!$$720)</f>
      </c>
      <c r="BM720">
        <f>IF(ISBLANK('Data Entry'!$$720), "", 'Data Entry'!$$720)</f>
      </c>
      <c r="BN720">
        <f>IF(ISBLANK('Data Entry'!$$720), "", 'Data Entry'!$$720)</f>
      </c>
      <c r="BO720">
        <f>IF(ISBLANK('Data Entry'!$$720), "", 'Data Entry'!$$720)</f>
      </c>
      <c r="BP720">
        <f>IF(ISBLANK('Data Entry'!$$720), "", 'Data Entry'!$$720)</f>
      </c>
      <c r="BQ720">
        <f>IF(ISBLANK('Data Entry'!$$720), "", 'Data Entry'!$$720)</f>
      </c>
      <c r="BR720">
        <f>IF(ISBLANK('Data Entry'!$$720), "", 'Data Entry'!$$720)</f>
      </c>
      <c r="BS720">
        <f>IF(ISBLANK('Data Entry'!$$720), "", 'Data Entry'!$$720)</f>
      </c>
      <c r="BT720">
        <f>IF(ISBLANK('Data Entry'!$$720), "", 'Data Entry'!$$720)</f>
      </c>
      <c r="BU720">
        <f>IF(ISBLANK('Data Entry'!$$720), "", 'Data Entry'!$$720)</f>
      </c>
      <c r="BV720">
        <f>IF(ISBLANK('Data Entry'!$$720), "", 'Data Entry'!$$720)</f>
      </c>
      <c r="BW720">
        <f>IF(ISBLANK('Data Entry'!$$720), "", 'Data Entry'!$$720)</f>
      </c>
      <c r="BX720">
        <f>IF(ISBLANK('Data Entry'!$$720), "", 'Data Entry'!$$720)</f>
      </c>
      <c r="BY720">
        <f>IF(ISBLANK('Data Entry'!$$720), "", 'Data Entry'!$$720)</f>
      </c>
      <c r="BZ720">
        <f>IF(ISBLANK('Data Entry'!$$720), "", 'Data Entry'!$$720)</f>
      </c>
      <c r="CA720">
        <f>IF(ISBLANK('Data Entry'!$$720), "", 'Data Entry'!$$720)</f>
      </c>
      <c r="CB720">
        <f>IF(ISBLANK('Data Entry'!$$720), "", 'Data Entry'!$$720)</f>
      </c>
      <c r="CC720">
        <f>IF(ISBLANK('Data Entry'!$$720), "", 'Data Entry'!$$720)</f>
      </c>
      <c r="CD720">
        <f>IF(ISBLANK('Data Entry'!$$720), "", 'Data Entry'!$$720)</f>
      </c>
      <c r="CE720">
        <f>IF(ISBLANK('Data Entry'!$$720), "", 'Data Entry'!$$720)</f>
      </c>
      <c r="CF720">
        <f>IF(ISBLANK('Data Entry'!$$720), "", 'Data Entry'!$$720)</f>
      </c>
      <c r="CG720">
        <f>IF(ISBLANK('Data Entry'!$$720), "", 'Data Entry'!$$720)</f>
      </c>
      <c r="CH720">
        <f>IF(ISBLANK('Data Entry'!$$720), "", 'Data Entry'!$$720)</f>
      </c>
      <c r="CI720">
        <f>IF(ISBLANK('Data Entry'!$$720), "", 'Data Entry'!$$720)</f>
      </c>
      <c r="CJ720">
        <f>IF(ISBLANK('Data Entry'!$$720), "", 'Data Entry'!$$720)</f>
      </c>
      <c r="CK720">
        <f>IF(ISBLANK('Data Entry'!$$720), "", 'Data Entry'!$$720)</f>
      </c>
      <c r="CL720">
        <f>IF(ISBLANK('Data Entry'!$$720), "", 'Data Entry'!$$720)</f>
      </c>
      <c r="CM720">
        <f>IF(ISBLANK('Data Entry'!$$720), "", 'Data Entry'!$$720)</f>
      </c>
      <c r="CN720">
        <f>IF(ISBLANK('Data Entry'!$$720), "", 'Data Entry'!$$720)</f>
      </c>
      <c r="CO720">
        <f>IF(ISBLANK('Data Entry'!$$720), "", 'Data Entry'!$$720)</f>
      </c>
      <c r="CP720">
        <f>IF(ISBLANK('Data Entry'!$$720), "", 'Data Entry'!$$720)</f>
      </c>
      <c r="CQ720">
        <f>IF(ISBLANK('Data Entry'!$$720), "", 'Data Entry'!$$720)</f>
      </c>
      <c r="CR720">
        <f>IF(ISBLANK('Data Entry'!$ $720), "", 'Data Entry'!$ $720)</f>
      </c>
      <c r="CS720">
        <f>IF(ISBLANK('Data Entry'!$¡$720), "", 'Data Entry'!$¡$720)</f>
      </c>
      <c r="CT720">
        <f>IF(ISBLANK('Data Entry'!$¢$720), "", 'Data Entry'!$¢$720)</f>
      </c>
      <c r="CU720">
        <f>IF(ISBLANK('Data Entry'!$£$720), "", 'Data Entry'!$£$720)</f>
      </c>
      <c r="CV720">
        <f>IF(ISBLANK('Data Entry'!$¤$720), "", 'Data Entry'!$¤$720)</f>
      </c>
      <c r="CW720">
        <f>IF(ISBLANK('Data Entry'!$¥$720), "", 'Data Entry'!$¥$720)</f>
      </c>
      <c r="CX720">
        <f>IF(ISBLANK('Data Entry'!$¦$720), "", 'Data Entry'!$¦$720)</f>
      </c>
      <c r="CY720">
        <f>IF(ISBLANK('Data Entry'!$§$720), "", 'Data Entry'!$§$720)</f>
      </c>
      <c r="CZ720">
        <f>IF(ISBLANK('Data Entry'!$¨$720), "", 'Data Entry'!$¨$720)</f>
      </c>
      <c r="DA720">
        <f>IF(ISBLANK('Data Entry'!$©$720), "", 'Data Entry'!$©$720)</f>
      </c>
      <c r="DB720">
        <f>IF(ISBLANK('Data Entry'!$ª$720), "", 'Data Entry'!$ª$720)</f>
      </c>
      <c r="DC720">
        <f>IF(ISBLANK('Data Entry'!$«$720), "", 'Data Entry'!$«$720)</f>
      </c>
      <c r="DD720">
        <f>IF(ISBLANK('Data Entry'!$¬$720), "", 'Data Entry'!$¬$720)</f>
      </c>
      <c r="DE720">
        <f>IF(ISBLANK('Data Entry'!$­$720), "", 'Data Entry'!$­$720)</f>
      </c>
      <c r="DF720">
        <f>IF(ISBLANK('Data Entry'!$®$720), "", 'Data Entry'!$®$720)</f>
      </c>
      <c r="DG720">
        <f>IF(ISBLANK('Data Entry'!$¯$720), "", 'Data Entry'!$¯$720)</f>
      </c>
      <c r="DH720">
        <f>IF(ISBLANK('Data Entry'!$°$720), "", 'Data Entry'!$°$720)</f>
      </c>
      <c r="DI720">
        <f>IF(ISBLANK('Data Entry'!$±$720), "", 'Data Entry'!$±$720)</f>
      </c>
      <c r="DJ720">
        <f>IF(ISBLANK('Data Entry'!$²$720), "", 'Data Entry'!$²$720)</f>
      </c>
      <c r="DK720">
        <f>IF(ISBLANK('Data Entry'!$³$720), "", 'Data Entry'!$³$720)</f>
      </c>
      <c r="DL720">
        <f>IF(ISBLANK('Data Entry'!$´$720), "", 'Data Entry'!$´$720)</f>
      </c>
      <c r="DM720">
        <f>IF(ISBLANK('Data Entry'!$µ$720), "", 'Data Entry'!$µ$720)</f>
      </c>
      <c r="DN720">
        <f>IF(ISBLANK('Data Entry'!$¶$720), "", 'Data Entry'!$¶$720)</f>
      </c>
      <c r="DO720">
        <f>IF(ISBLANK('Data Entry'!$·$720), "", 'Data Entry'!$·$720)</f>
      </c>
      <c r="DP720">
        <f>IF(ISBLANK('Data Entry'!$¸$720), "", 'Data Entry'!$¸$720)</f>
      </c>
      <c r="DQ720">
        <f>IF(ISBLANK('Data Entry'!$¹$720), "", 'Data Entry'!$¹$720)</f>
      </c>
      <c r="DR720">
        <f>IF(ISBLANK('Data Entry'!$º$720), "", 'Data Entry'!$º$720)</f>
      </c>
      <c r="DS720">
        <f>IF(ISBLANK('Data Entry'!$»$720), "", 'Data Entry'!$»$720)</f>
      </c>
      <c r="DT720">
        <f>IF(ISBLANK('Data Entry'!$¼$720), "", 'Data Entry'!$¼$720)</f>
      </c>
      <c r="DU720">
        <f>IF(ISBLANK('Data Entry'!$½$720), "", 'Data Entry'!$½$720)</f>
      </c>
      <c r="DV720">
        <f>IF(ISBLANK('Data Entry'!$¾$720), "", 'Data Entry'!$¾$720)</f>
      </c>
      <c r="DW720">
        <f>IF(ISBLANK('Data Entry'!$¿$720), "", 'Data Entry'!$¿$720)</f>
      </c>
      <c r="DX720">
        <f>IF(ISBLANK('Data Entry'!$À$720), "", 'Data Entry'!$À$720)</f>
      </c>
      <c r="DY720">
        <f>IF(ISBLANK('Data Entry'!$Á$720), "", 'Data Entry'!$Á$720)</f>
      </c>
      <c r="DZ720">
        <f>IF(ISBLANK('Data Entry'!$Â$720), "", 'Data Entry'!$Â$720)</f>
      </c>
      <c r="EA720">
        <f>IF(ISBLANK('Data Entry'!$Ã$720), "", 'Data Entry'!$Ã$720)</f>
      </c>
      <c r="EB720">
        <f>IF(ISBLANK('Data Entry'!$Ä$720), "", 'Data Entry'!$Ä$720)</f>
      </c>
      <c r="EC720">
        <f>IF(ISBLANK('Data Entry'!$Å$720), "", 'Data Entry'!$Å$720)</f>
      </c>
      <c r="ED720">
        <f>IF(ISBLANK('Data Entry'!$Æ$720), "", 'Data Entry'!$Æ$720)</f>
      </c>
      <c r="EE720">
        <f>IF(ISBLANK('Data Entry'!$Ç$720), "", 'Data Entry'!$Ç$720)</f>
      </c>
      <c r="EF720">
        <f>IF(ISBLANK('Data Entry'!$È$720), "", 'Data Entry'!$È$720)</f>
      </c>
      <c r="EG720">
        <f>IF(ISBLANK('Data Entry'!$É$720), "", 'Data Entry'!$É$720)</f>
      </c>
      <c r="EH720">
        <f>IF(ISBLANK('Data Entry'!$Ê$720), "", 'Data Entry'!$Ê$720)</f>
      </c>
      <c r="EI720">
        <f>IF(ISBLANK('Data Entry'!$Ë$720), "", 'Data Entry'!$Ë$720)</f>
      </c>
      <c r="EJ720">
        <f>IF(ISBLANK('Data Entry'!$Ì$720), "", 'Data Entry'!$Ì$720)</f>
      </c>
      <c r="EK720">
        <f>IF(ISBLANK('Data Entry'!$Í$720), "", 'Data Entry'!$Í$720)</f>
      </c>
      <c r="EL720">
        <f>IF(ISBLANK('Data Entry'!$Î$720), "", 'Data Entry'!$Î$720)</f>
      </c>
      <c r="EM720">
        <f>IF(ISBLANK('Data Entry'!$Ï$720), "", 'Data Entry'!$Ï$720)</f>
      </c>
      <c r="EN720">
        <f>IF(ISBLANK('Data Entry'!$Ð$720), "", 'Data Entry'!$Ð$720)</f>
      </c>
      <c r="EO720">
        <f>IF(ISBLANK('Data Entry'!$Ñ$720), "", 'Data Entry'!$Ñ$720)</f>
      </c>
      <c r="EP720">
        <f>IF(ISBLANK('Data Entry'!$Ò$720), "", 'Data Entry'!$Ò$720)</f>
      </c>
      <c r="EQ720">
        <f>IF(ISBLANK('Data Entry'!$Ó$720), "", 'Data Entry'!$Ó$720)</f>
      </c>
      <c r="ER720">
        <f>IF(ISBLANK('Data Entry'!$Ô$720), "", 'Data Entry'!$Ô$720)</f>
      </c>
      <c r="ES720">
        <f>IF(ISBLANK('Data Entry'!$Õ$720), "", 'Data Entry'!$Õ$720)</f>
      </c>
      <c r="ET720">
        <f>IF(ISBLANK('Data Entry'!$Ö$720), "", 'Data Entry'!$Ö$720)</f>
      </c>
      <c r="EU720">
        <f>IF(ISBLANK('Data Entry'!$×$720), "", 'Data Entry'!$×$720)</f>
      </c>
      <c r="EV720">
        <f>IF(ISBLANK('Data Entry'!$Ø$720), "", 'Data Entry'!$Ø$720)</f>
      </c>
      <c r="EW720">
        <f>IF(ISBLANK('Data Entry'!$Ù$720), "", 'Data Entry'!$Ù$720)</f>
      </c>
      <c r="EX720">
        <f>IF(ISBLANK('Data Entry'!$Ú$720), "", 'Data Entry'!$Ú$720)</f>
      </c>
      <c r="EY720">
        <f>IF(ISBLANK('Data Entry'!$Û$720), "", 'Data Entry'!$Û$720)</f>
      </c>
      <c r="EZ720">
        <f>IF(ISBLANK('Data Entry'!$Ü$720), "", 'Data Entry'!$Ü$720)</f>
      </c>
      <c r="FA720">
        <f>IF(ISBLANK('Data Entry'!$Ý$720), "", 'Data Entry'!$Ý$720)</f>
      </c>
      <c r="FB720">
        <f>IF(ISBLANK('Data Entry'!$Þ$720), "", 'Data Entry'!$Þ$720)</f>
      </c>
      <c r="FC720">
        <f>IF(ISBLANK('Data Entry'!$ß$720), "", 'Data Entry'!$ß$720)</f>
      </c>
      <c r="FD720">
        <f>IF(ISBLANK('Data Entry'!$à$720), "", 'Data Entry'!$à$720)</f>
      </c>
      <c r="FE720">
        <f>IF(ISBLANK('Data Entry'!$á$720), "", 'Data Entry'!$á$720)</f>
      </c>
      <c r="FF720">
        <f>IF(ISBLANK('Data Entry'!$â$720), "", 'Data Entry'!$â$720)</f>
      </c>
      <c r="FG720">
        <f>IF(ISBLANK('Data Entry'!$ã$720), "", 'Data Entry'!$ã$720)</f>
      </c>
      <c r="FH720">
        <f>IF(ISBLANK('Data Entry'!$ä$720), "", 'Data Entry'!$ä$720)</f>
      </c>
      <c r="FI720">
        <f>IF(ISBLANK('Data Entry'!$å$720), "", 'Data Entry'!$å$720)</f>
      </c>
      <c r="FJ720">
        <f>IF(ISBLANK('Data Entry'!$æ$720), "", 'Data Entry'!$æ$720)</f>
      </c>
      <c r="FK720">
        <f>IF(ISBLANK('Data Entry'!$ç$720), "", 'Data Entry'!$ç$720)</f>
      </c>
      <c r="FL720">
        <f>IF(ISBLANK('Data Entry'!$è$720), "", 'Data Entry'!$è$720)</f>
      </c>
      <c r="FM720">
        <f>IF(ISBLANK('Data Entry'!$é$720), "", 'Data Entry'!$é$720)</f>
      </c>
      <c r="FN720">
        <f>IF(ISBLANK('Data Entry'!$ê$720), "", 'Data Entry'!$ê$720)</f>
      </c>
      <c r="FO720">
        <f>IF(ISBLANK('Data Entry'!$ë$720), "", 'Data Entry'!$ë$720)</f>
      </c>
      <c r="FP720">
        <f>IF(ISBLANK('Data Entry'!$ì$720), "", 'Data Entry'!$ì$720)</f>
      </c>
      <c r="FQ720">
        <f>IF(ISBLANK('Data Entry'!$í$720), "", 'Data Entry'!$í$720)</f>
      </c>
      <c r="FR720">
        <f>IF(ISBLANK('Data Entry'!$î$720), "", 'Data Entry'!$î$720)</f>
      </c>
      <c r="FS720">
        <f>IF(ISBLANK('Data Entry'!$ï$720), "", 'Data Entry'!$ï$720)</f>
      </c>
      <c r="FT720">
        <f>IF(ISBLANK('Data Entry'!$ð$720), "", 'Data Entry'!$ð$720)</f>
      </c>
      <c r="FU720">
        <f>IF(ISBLANK('Data Entry'!$ñ$720), "", 'Data Entry'!$ñ$720)</f>
      </c>
      <c r="FV720">
        <f>IF(ISBLANK('Data Entry'!$ò$720), "", 'Data Entry'!$ò$720)</f>
      </c>
      <c r="FW720">
        <f>IF(ISBLANK('Data Entry'!$ó$720), "", 'Data Entry'!$ó$720)</f>
      </c>
      <c r="FX720">
        <f>IF(ISBLANK('Data Entry'!$ô$720), "", 'Data Entry'!$ô$720)</f>
      </c>
      <c r="FY720">
        <f>IF(ISBLANK('Data Entry'!$õ$720), "", 'Data Entry'!$õ$720)</f>
      </c>
      <c r="FZ720">
        <f>IF(ISBLANK('Data Entry'!$ö$720), "", 'Data Entry'!$ö$720)</f>
      </c>
      <c r="GA720">
        <f>IF(ISBLANK('Data Entry'!$÷$720), "", 'Data Entry'!$÷$720)</f>
      </c>
      <c r="GB720">
        <f>IF(ISBLANK('Data Entry'!$ø$720), "", 'Data Entry'!$ø$720)</f>
      </c>
      <c r="GC720">
        <f>IF(ISBLANK('Data Entry'!$ù$720), "", 'Data Entry'!$ù$720)</f>
      </c>
      <c r="GD720">
        <f>IF(ISBLANK('Data Entry'!$ú$720), "", 'Data Entry'!$ú$720)</f>
      </c>
      <c r="GE720">
        <f>IF(ISBLANK('Data Entry'!$û$720), "", 'Data Entry'!$û$720)</f>
      </c>
      <c r="GF720">
        <f>IF(ISBLANK('Data Entry'!$ü$720), "", 'Data Entry'!$ü$720)</f>
      </c>
      <c r="GG720">
        <f>IF(ISBLANK('Data Entry'!$ý$720), "", 'Data Entry'!$ý$720)</f>
      </c>
      <c r="GH720">
        <f>IF(ISBLANK('Data Entry'!$þ$720), "", 'Data Entry'!$þ$720)</f>
      </c>
      <c r="GI720">
        <f>IF(ISBLANK('Data Entry'!$ÿ$720), "", 'Data Entry'!$ÿ$720)</f>
      </c>
      <c r="GJ720">
        <f>IF(ISBLANK('Data Entry'!$Ā$720), "", 'Data Entry'!$Ā$720)</f>
      </c>
      <c r="GK720">
        <f>IF(ISBLANK('Data Entry'!$ā$720), "", 'Data Entry'!$ā$720)</f>
      </c>
      <c r="GL720">
        <f>IF(ISBLANK('Data Entry'!$Ă$720), "", 'Data Entry'!$Ă$720)</f>
      </c>
      <c r="GM720">
        <f>IF(ISBLANK('Data Entry'!$ă$720), "", 'Data Entry'!$ă$720)</f>
      </c>
      <c r="GN720">
        <f>IF(ISBLANK('Data Entry'!$Ą$720), "", 'Data Entry'!$Ą$720)</f>
      </c>
      <c r="GO720">
        <f>IF(ISBLANK('Data Entry'!$ą$720), "", 'Data Entry'!$ą$720)</f>
      </c>
      <c r="GP720">
        <f>IF(ISBLANK('Data Entry'!$Ć$720), "", 'Data Entry'!$Ć$720)</f>
      </c>
      <c r="GQ720">
        <f>IF(ISBLANK('Data Entry'!$ć$720), "", 'Data Entry'!$ć$720)</f>
      </c>
      <c r="GR720">
        <f>IF(ISBLANK('Data Entry'!$Ĉ$720), "", 'Data Entry'!$Ĉ$720)</f>
      </c>
      <c r="GS720">
        <f>IF(ISBLANK('Data Entry'!$ĉ$720), "", 'Data Entry'!$ĉ$720)</f>
      </c>
      <c r="GT720">
        <f>IF(ISBLANK('Data Entry'!$Ċ$720), "", 'Data Entry'!$Ċ$720)</f>
      </c>
      <c r="GU720">
        <f>IF(ISBLANK('Data Entry'!$ċ$720), "", 'Data Entry'!$ċ$720)</f>
      </c>
      <c r="GV720">
        <f>IF(ISBLANK('Data Entry'!$Č$720), "", 'Data Entry'!$Č$720)</f>
      </c>
      <c r="GW720">
        <f>IF(ISBLANK('Data Entry'!$č$720), "", 'Data Entry'!$č$720)</f>
      </c>
      <c r="GX720">
        <f>IF(ISBLANK('Data Entry'!$Ď$720), "", 'Data Entry'!$Ď$720)</f>
      </c>
      <c r="GY720">
        <f>IF(ISBLANK('Data Entry'!$ď$720), "", 'Data Entry'!$ď$720)</f>
      </c>
      <c r="GZ720">
        <f>IF(ISBLANK('Data Entry'!$Đ$720), "", 'Data Entry'!$Đ$720)</f>
      </c>
      <c r="HA720">
        <f>IF(ISBLANK('Data Entry'!$đ$720), "", 'Data Entry'!$đ$720)</f>
      </c>
      <c r="HB720">
        <f>IF(ISBLANK('Data Entry'!$Ē$720), "", 'Data Entry'!$Ē$720)</f>
      </c>
      <c r="HC720">
        <f>IF(ISBLANK('Data Entry'!$ē$720), "", 'Data Entry'!$ē$720)</f>
      </c>
      <c r="HD720">
        <f>IF(ISBLANK('Data Entry'!$Ĕ$720), "", 'Data Entry'!$Ĕ$720)</f>
      </c>
      <c r="HE720">
        <f>IF(ISBLANK('Data Entry'!$ĕ$720), "", 'Data Entry'!$ĕ$720)</f>
      </c>
      <c r="HF720">
        <f>IF(ISBLANK('Data Entry'!$Ė$720), "", 'Data Entry'!$Ė$720)</f>
      </c>
      <c r="HG720">
        <f>IF(ISBLANK('Data Entry'!$ė$720), "", 'Data Entry'!$ė$720)</f>
      </c>
      <c r="HH720">
        <f>IF(ISBLANK('Data Entry'!$Ę$720), "", 'Data Entry'!$Ę$720)</f>
      </c>
      <c r="HI720">
        <f>IF(ISBLANK('Data Entry'!$ę$720), "", 'Data Entry'!$ę$720)</f>
      </c>
      <c r="HJ720">
        <f>IF(ISBLANK('Data Entry'!$Ě$720), "", 'Data Entry'!$Ě$720)</f>
      </c>
      <c r="HK720">
        <f>IF(ISBLANK('Data Entry'!$ě$720), "", 'Data Entry'!$ě$720)</f>
      </c>
      <c r="HL720">
        <f>IF(ISBLANK('Data Entry'!$Ĝ$720), "", 'Data Entry'!$Ĝ$720)</f>
      </c>
      <c r="HM720">
        <f>IF(ISBLANK('Data Entry'!$ĝ$720), "", 'Data Entry'!$ĝ$720)</f>
      </c>
      <c r="HN720">
        <f>IF(ISBLANK('Data Entry'!$Ğ$720), "", 'Data Entry'!$Ğ$720)</f>
      </c>
      <c r="HO720">
        <f>IF(ISBLANK('Data Entry'!$ğ$720), "", 'Data Entry'!$ğ$720)</f>
      </c>
      <c r="HP720">
        <f>IF(ISBLANK('Data Entry'!$Ġ$720), "", 'Data Entry'!$Ġ$720)</f>
      </c>
      <c r="HQ720">
        <f>IF(ISBLANK('Data Entry'!$ġ$720), "", 'Data Entry'!$ġ$720)</f>
      </c>
      <c r="HR720">
        <f>IF(ISBLANK('Data Entry'!$Ģ$720), "", 'Data Entry'!$Ģ$720)</f>
      </c>
      <c r="HS720">
        <f>IF(ISBLANK('Data Entry'!$ģ$720), "", 'Data Entry'!$ģ$720)</f>
      </c>
      <c r="HT720">
        <f>IF(ISBLANK('Data Entry'!$Ĥ$720), "", 'Data Entry'!$Ĥ$720)</f>
      </c>
      <c r="HU720">
        <f>IF(ISBLANK('Data Entry'!$ĥ$720), "", 'Data Entry'!$ĥ$720)</f>
      </c>
      <c r="HV720">
        <f>IF(ISBLANK('Data Entry'!$Ħ$720), "", 'Data Entry'!$Ħ$720)</f>
      </c>
      <c r="HW720">
        <f>IF(ISBLANK('Data Entry'!$ħ$720), "", 'Data Entry'!$ħ$720)</f>
      </c>
      <c r="HX720">
        <f>IF(ISBLANK('Data Entry'!$Ĩ$720), "", 'Data Entry'!$Ĩ$720)</f>
      </c>
      <c r="HY720">
        <f>IF(ISBLANK('Data Entry'!$ĩ$720), "", 'Data Entry'!$ĩ$720)</f>
      </c>
      <c r="HZ720">
        <f>IF(ISBLANK('Data Entry'!$Ī$720), "", 'Data Entry'!$Ī$720)</f>
      </c>
      <c r="IA720">
        <f>IF(ISBLANK('Data Entry'!$ī$720), "", 'Data Entry'!$ī$720)</f>
      </c>
      <c r="IB720">
        <f>IF(ISBLANK('Data Entry'!$Ĭ$720), "", 'Data Entry'!$Ĭ$720)</f>
      </c>
      <c r="IC720">
        <f>IF(ISBLANK('Data Entry'!$ĭ$720), "", 'Data Entry'!$ĭ$720)</f>
      </c>
      <c r="ID720">
        <f>IF(ISBLANK('Data Entry'!$Į$720), "", 'Data Entry'!$Į$720)</f>
      </c>
      <c r="IE720">
        <f>IF(ISBLANK('Data Entry'!$į$720), "", 'Data Entry'!$į$720)</f>
      </c>
      <c r="IF720">
        <f>IF(ISBLANK('Data Entry'!$İ$720), "", 'Data Entry'!$İ$720)</f>
      </c>
      <c r="IG720">
        <f>IF(ISBLANK('Data Entry'!$ı$720), "", 'Data Entry'!$ı$720)</f>
      </c>
      <c r="IH720">
        <f>IF(ISBLANK('Data Entry'!$Ĳ$720), "", 'Data Entry'!$Ĳ$720)</f>
      </c>
      <c r="II720">
        <f>IF(ISBLANK('Data Entry'!$ĳ$720), "", 'Data Entry'!$ĳ$720)</f>
      </c>
      <c r="IJ720">
        <f>IF(ISBLANK('Data Entry'!$Ĵ$720), "", 'Data Entry'!$Ĵ$720)</f>
      </c>
      <c r="IK720">
        <f>IF(ISBLANK('Data Entry'!$ĵ$720), "", 'Data Entry'!$ĵ$720)</f>
      </c>
      <c r="IL720">
        <f>IF(ISBLANK('Data Entry'!$Ķ$720), "", 'Data Entry'!$Ķ$720)</f>
      </c>
      <c r="IM720">
        <f>IF(ISBLANK('Data Entry'!$ķ$720), "", 'Data Entry'!$ķ$720)</f>
      </c>
      <c r="IN720">
        <f>IF(ISBLANK('Data Entry'!$ĸ$720), "", 'Data Entry'!$ĸ$720)</f>
      </c>
      <c r="IO720">
        <f>IF(ISBLANK('Data Entry'!$Ĺ$720), "", 'Data Entry'!$Ĺ$720)</f>
      </c>
      <c r="IP720">
        <f>IF(ISBLANK('Data Entry'!$ĺ$720), "", 'Data Entry'!$ĺ$720)</f>
      </c>
      <c r="IQ720">
        <f>IF(ISBLANK('Data Entry'!$Ļ$720), "", 'Data Entry'!$Ļ$720)</f>
      </c>
      <c r="IR720">
        <f>IF(ISBLANK('Data Entry'!$ļ$720), "", 'Data Entry'!$ļ$720)</f>
      </c>
      <c r="IS720">
        <f>IF(ISBLANK('Data Entry'!$Ľ$720), "", 'Data Entry'!$Ľ$720)</f>
      </c>
      <c r="IT720">
        <f>IF(ISBLANK('Data Entry'!$ľ$720), "", 'Data Entry'!$ľ$720)</f>
      </c>
    </row>
    <row r="721" spans="1:254" x14ac:dyDescent="0.25">
      <c r="A721">
        <f>IF(ISBLANK('Data Entry'!$A$721), "", 'Data Entry'!$A$721)</f>
      </c>
      <c r="B721">
        <f>IF(ISBLANK('Data Entry'!$B$721), "", 'Data Entry'!$B$721)</f>
      </c>
      <c r="C721">
        <f>IF(ISBLANK('Data Entry'!$C$721), "", 'Data Entry'!$C$721)</f>
      </c>
      <c r="D721">
        <f>IF(ISBLANK('Data Entry'!$D$721), "", 'Data Entry'!$D$721)</f>
      </c>
      <c r="E721">
        <f>IF(ISBLANK('Data Entry'!$E$721), "", 'Data Entry'!$E$721)</f>
      </c>
      <c r="F721">
        <f>IF(ISBLANK('Data Entry'!$F$721), "", 'Data Entry'!$F$721)</f>
      </c>
      <c r="G721">
        <f>IF(ISBLANK('Data Entry'!$G$721), "", 'Data Entry'!$G$721)</f>
      </c>
      <c r="H721">
        <f>IF(ISBLANK('Data Entry'!$H$721), "", 'Data Entry'!$H$721)</f>
      </c>
      <c r="I721">
        <f>IF(ISBLANK('Data Entry'!$I$721), "", 'Data Entry'!$I$721)</f>
      </c>
      <c r="J721">
        <f>IF(ISBLANK('Data Entry'!$J$721), "", 'Data Entry'!$J$721)</f>
      </c>
      <c r="K721">
        <f>IF(ISBLANK('Data Entry'!$K$721), "", 'Data Entry'!$K$721)</f>
      </c>
      <c r="L721">
        <f>IF(ISBLANK('Data Entry'!$L$721), "", 'Data Entry'!$L$721)</f>
      </c>
      <c r="M721">
        <f>IF(ISBLANK('Data Entry'!$M$721), "", 'Data Entry'!$M$721)</f>
      </c>
      <c r="N721">
        <f>IF(ISBLANK('Data Entry'!$N$721), "", 'Data Entry'!$N$721)</f>
      </c>
      <c r="O721">
        <f>IF(ISBLANK('Data Entry'!$O$721), "", 'Data Entry'!$O$721)</f>
      </c>
      <c r="P721">
        <f>IF(ISBLANK('Data Entry'!$P$721), "", 'Data Entry'!$P$721)</f>
      </c>
      <c r="Q721">
        <f>IF(ISBLANK('Data Entry'!$Q$721), "", 'Data Entry'!$Q$721)</f>
      </c>
      <c r="R721">
        <f>IF(ISBLANK('Data Entry'!$R$721), "", 'Data Entry'!$R$721)</f>
      </c>
      <c r="S721">
        <f>IF(ISBLANK('Data Entry'!$S$721), "", 'Data Entry'!$S$721)</f>
      </c>
      <c r="T721">
        <f>IF(ISBLANK('Data Entry'!$T$721), "", 'Data Entry'!$T$721)</f>
      </c>
      <c r="U721">
        <f>IF(ISBLANK('Data Entry'!$U$721), "", 'Data Entry'!$U$721)</f>
      </c>
      <c r="V721">
        <f>IF(ISBLANK('Data Entry'!$V$721), "", 'Data Entry'!$V$721)</f>
      </c>
      <c r="W721">
        <f>IF(ISBLANK('Data Entry'!$W$721), "", 'Data Entry'!$W$721)</f>
      </c>
      <c r="X721">
        <f>IF(ISBLANK('Data Entry'!$X$721), "", 'Data Entry'!$X$721)</f>
      </c>
      <c r="Y721">
        <f>IF(ISBLANK('Data Entry'!$Y$721), "", 'Data Entry'!$Y$721)</f>
      </c>
      <c r="Z721">
        <f>IF(ISBLANK('Data Entry'!$Z$721), "", 'Data Entry'!$Z$721)</f>
      </c>
      <c r="AA721">
        <f>IF(ISBLANK('Data Entry'!$[$721), "", 'Data Entry'!$[$721)</f>
      </c>
      <c r="AB721">
        <f>IF(ISBLANK('Data Entry'!$\$721), "", 'Data Entry'!$\$721)</f>
      </c>
      <c r="AC721">
        <f>IF(ISBLANK('Data Entry'!$]$721), "", 'Data Entry'!$]$721)</f>
      </c>
      <c r="AD721">
        <f>IF(ISBLANK('Data Entry'!$^$721), "", 'Data Entry'!$^$721)</f>
      </c>
      <c r="AE721">
        <f>IF(ISBLANK('Data Entry'!$_$721), "", 'Data Entry'!$_$721)</f>
      </c>
      <c r="AF721">
        <f>IF(ISBLANK('Data Entry'!$`$721), "", 'Data Entry'!$`$721)</f>
      </c>
      <c r="AG721">
        <f>IF(ISBLANK('Data Entry'!$a$721), "", 'Data Entry'!$a$721)</f>
      </c>
      <c r="AH721">
        <f>IF(ISBLANK('Data Entry'!$b$721), "", 'Data Entry'!$b$721)</f>
      </c>
      <c r="AI721">
        <f>IF(ISBLANK('Data Entry'!$c$721), "", 'Data Entry'!$c$721)</f>
      </c>
      <c r="AJ721">
        <f>IF(ISBLANK('Data Entry'!$d$721), "", 'Data Entry'!$d$721)</f>
      </c>
      <c r="AK721">
        <f>IF(ISBLANK('Data Entry'!$e$721), "", 'Data Entry'!$e$721)</f>
      </c>
      <c r="AL721">
        <f>IF(ISBLANK('Data Entry'!$f$721), "", 'Data Entry'!$f$721)</f>
      </c>
      <c r="AM721">
        <f>IF(ISBLANK('Data Entry'!$g$721), "", 'Data Entry'!$g$721)</f>
      </c>
      <c r="AN721">
        <f>IF(ISBLANK('Data Entry'!$h$721), "", 'Data Entry'!$h$721)</f>
      </c>
      <c r="AO721">
        <f>IF(ISBLANK('Data Entry'!$i$721), "", 'Data Entry'!$i$721)</f>
      </c>
      <c r="AP721">
        <f>IF(ISBLANK('Data Entry'!$j$721), "", 'Data Entry'!$j$721)</f>
      </c>
      <c r="AQ721">
        <f>IF(ISBLANK('Data Entry'!$k$721), "", 'Data Entry'!$k$721)</f>
      </c>
      <c r="AR721">
        <f>IF(ISBLANK('Data Entry'!$l$721), "", 'Data Entry'!$l$721)</f>
      </c>
      <c r="AS721">
        <f>IF(ISBLANK('Data Entry'!$m$721), "", 'Data Entry'!$m$721)</f>
      </c>
      <c r="AT721">
        <f>IF(ISBLANK('Data Entry'!$n$721), "", 'Data Entry'!$n$721)</f>
      </c>
      <c r="AU721">
        <f>IF(ISBLANK('Data Entry'!$o$721), "", 'Data Entry'!$o$721)</f>
      </c>
      <c r="AV721">
        <f>IF(ISBLANK('Data Entry'!$p$721), "", 'Data Entry'!$p$721)</f>
      </c>
      <c r="AW721">
        <f>IF(ISBLANK('Data Entry'!$q$721), "", 'Data Entry'!$q$721)</f>
      </c>
      <c r="AX721">
        <f>IF(ISBLANK('Data Entry'!$r$721), "", 'Data Entry'!$r$721)</f>
      </c>
      <c r="AY721">
        <f>IF(ISBLANK('Data Entry'!$s$721), "", 'Data Entry'!$s$721)</f>
      </c>
      <c r="AZ721">
        <f>IF(ISBLANK('Data Entry'!$t$721), "", 'Data Entry'!$t$721)</f>
      </c>
      <c r="BA721">
        <f>IF(ISBLANK('Data Entry'!$u$721), "", 'Data Entry'!$u$721)</f>
      </c>
      <c r="BB721">
        <f>IF(ISBLANK('Data Entry'!$v$721), "", 'Data Entry'!$v$721)</f>
      </c>
      <c r="BC721">
        <f>IF(ISBLANK('Data Entry'!$w$721), "", 'Data Entry'!$w$721)</f>
      </c>
      <c r="BD721">
        <f>IF(ISBLANK('Data Entry'!$x$721), "", 'Data Entry'!$x$721)</f>
      </c>
      <c r="BE721">
        <f>IF(ISBLANK('Data Entry'!$y$721), "", 'Data Entry'!$y$721)</f>
      </c>
      <c r="BF721">
        <f>IF(ISBLANK('Data Entry'!$z$721), "", 'Data Entry'!$z$721)</f>
      </c>
      <c r="BG721">
        <f>IF(ISBLANK('Data Entry'!${$721), "", 'Data Entry'!${$721)</f>
      </c>
      <c r="BH721">
        <f>IF(ISBLANK('Data Entry'!$|$721), "", 'Data Entry'!$|$721)</f>
      </c>
      <c r="BI721">
        <f>IF(ISBLANK('Data Entry'!$}$721), "", 'Data Entry'!$}$721)</f>
      </c>
      <c r="BJ721">
        <f>IF(ISBLANK('Data Entry'!$~$721), "", 'Data Entry'!$~$721)</f>
      </c>
      <c r="BK721">
        <f>IF(ISBLANK('Data Entry'!$$721), "", 'Data Entry'!$$721)</f>
      </c>
      <c r="BL721">
        <f>IF(ISBLANK('Data Entry'!$$721), "", 'Data Entry'!$$721)</f>
      </c>
      <c r="BM721">
        <f>IF(ISBLANK('Data Entry'!$$721), "", 'Data Entry'!$$721)</f>
      </c>
      <c r="BN721">
        <f>IF(ISBLANK('Data Entry'!$$721), "", 'Data Entry'!$$721)</f>
      </c>
      <c r="BO721">
        <f>IF(ISBLANK('Data Entry'!$$721), "", 'Data Entry'!$$721)</f>
      </c>
      <c r="BP721">
        <f>IF(ISBLANK('Data Entry'!$$721), "", 'Data Entry'!$$721)</f>
      </c>
      <c r="BQ721">
        <f>IF(ISBLANK('Data Entry'!$$721), "", 'Data Entry'!$$721)</f>
      </c>
      <c r="BR721">
        <f>IF(ISBLANK('Data Entry'!$$721), "", 'Data Entry'!$$721)</f>
      </c>
      <c r="BS721">
        <f>IF(ISBLANK('Data Entry'!$$721), "", 'Data Entry'!$$721)</f>
      </c>
      <c r="BT721">
        <f>IF(ISBLANK('Data Entry'!$$721), "", 'Data Entry'!$$721)</f>
      </c>
      <c r="BU721">
        <f>IF(ISBLANK('Data Entry'!$$721), "", 'Data Entry'!$$721)</f>
      </c>
      <c r="BV721">
        <f>IF(ISBLANK('Data Entry'!$$721), "", 'Data Entry'!$$721)</f>
      </c>
      <c r="BW721">
        <f>IF(ISBLANK('Data Entry'!$$721), "", 'Data Entry'!$$721)</f>
      </c>
      <c r="BX721">
        <f>IF(ISBLANK('Data Entry'!$$721), "", 'Data Entry'!$$721)</f>
      </c>
      <c r="BY721">
        <f>IF(ISBLANK('Data Entry'!$$721), "", 'Data Entry'!$$721)</f>
      </c>
      <c r="BZ721">
        <f>IF(ISBLANK('Data Entry'!$$721), "", 'Data Entry'!$$721)</f>
      </c>
      <c r="CA721">
        <f>IF(ISBLANK('Data Entry'!$$721), "", 'Data Entry'!$$721)</f>
      </c>
      <c r="CB721">
        <f>IF(ISBLANK('Data Entry'!$$721), "", 'Data Entry'!$$721)</f>
      </c>
      <c r="CC721">
        <f>IF(ISBLANK('Data Entry'!$$721), "", 'Data Entry'!$$721)</f>
      </c>
      <c r="CD721">
        <f>IF(ISBLANK('Data Entry'!$$721), "", 'Data Entry'!$$721)</f>
      </c>
      <c r="CE721">
        <f>IF(ISBLANK('Data Entry'!$$721), "", 'Data Entry'!$$721)</f>
      </c>
      <c r="CF721">
        <f>IF(ISBLANK('Data Entry'!$$721), "", 'Data Entry'!$$721)</f>
      </c>
      <c r="CG721">
        <f>IF(ISBLANK('Data Entry'!$$721), "", 'Data Entry'!$$721)</f>
      </c>
      <c r="CH721">
        <f>IF(ISBLANK('Data Entry'!$$721), "", 'Data Entry'!$$721)</f>
      </c>
      <c r="CI721">
        <f>IF(ISBLANK('Data Entry'!$$721), "", 'Data Entry'!$$721)</f>
      </c>
      <c r="CJ721">
        <f>IF(ISBLANK('Data Entry'!$$721), "", 'Data Entry'!$$721)</f>
      </c>
      <c r="CK721">
        <f>IF(ISBLANK('Data Entry'!$$721), "", 'Data Entry'!$$721)</f>
      </c>
      <c r="CL721">
        <f>IF(ISBLANK('Data Entry'!$$721), "", 'Data Entry'!$$721)</f>
      </c>
      <c r="CM721">
        <f>IF(ISBLANK('Data Entry'!$$721), "", 'Data Entry'!$$721)</f>
      </c>
      <c r="CN721">
        <f>IF(ISBLANK('Data Entry'!$$721), "", 'Data Entry'!$$721)</f>
      </c>
      <c r="CO721">
        <f>IF(ISBLANK('Data Entry'!$$721), "", 'Data Entry'!$$721)</f>
      </c>
      <c r="CP721">
        <f>IF(ISBLANK('Data Entry'!$$721), "", 'Data Entry'!$$721)</f>
      </c>
      <c r="CQ721">
        <f>IF(ISBLANK('Data Entry'!$$721), "", 'Data Entry'!$$721)</f>
      </c>
      <c r="CR721">
        <f>IF(ISBLANK('Data Entry'!$ $721), "", 'Data Entry'!$ $721)</f>
      </c>
      <c r="CS721">
        <f>IF(ISBLANK('Data Entry'!$¡$721), "", 'Data Entry'!$¡$721)</f>
      </c>
      <c r="CT721">
        <f>IF(ISBLANK('Data Entry'!$¢$721), "", 'Data Entry'!$¢$721)</f>
      </c>
      <c r="CU721">
        <f>IF(ISBLANK('Data Entry'!$£$721), "", 'Data Entry'!$£$721)</f>
      </c>
      <c r="CV721">
        <f>IF(ISBLANK('Data Entry'!$¤$721), "", 'Data Entry'!$¤$721)</f>
      </c>
      <c r="CW721">
        <f>IF(ISBLANK('Data Entry'!$¥$721), "", 'Data Entry'!$¥$721)</f>
      </c>
      <c r="CX721">
        <f>IF(ISBLANK('Data Entry'!$¦$721), "", 'Data Entry'!$¦$721)</f>
      </c>
      <c r="CY721">
        <f>IF(ISBLANK('Data Entry'!$§$721), "", 'Data Entry'!$§$721)</f>
      </c>
      <c r="CZ721">
        <f>IF(ISBLANK('Data Entry'!$¨$721), "", 'Data Entry'!$¨$721)</f>
      </c>
      <c r="DA721">
        <f>IF(ISBLANK('Data Entry'!$©$721), "", 'Data Entry'!$©$721)</f>
      </c>
      <c r="DB721">
        <f>IF(ISBLANK('Data Entry'!$ª$721), "", 'Data Entry'!$ª$721)</f>
      </c>
      <c r="DC721">
        <f>IF(ISBLANK('Data Entry'!$«$721), "", 'Data Entry'!$«$721)</f>
      </c>
      <c r="DD721">
        <f>IF(ISBLANK('Data Entry'!$¬$721), "", 'Data Entry'!$¬$721)</f>
      </c>
      <c r="DE721">
        <f>IF(ISBLANK('Data Entry'!$­$721), "", 'Data Entry'!$­$721)</f>
      </c>
      <c r="DF721">
        <f>IF(ISBLANK('Data Entry'!$®$721), "", 'Data Entry'!$®$721)</f>
      </c>
      <c r="DG721">
        <f>IF(ISBLANK('Data Entry'!$¯$721), "", 'Data Entry'!$¯$721)</f>
      </c>
      <c r="DH721">
        <f>IF(ISBLANK('Data Entry'!$°$721), "", 'Data Entry'!$°$721)</f>
      </c>
      <c r="DI721">
        <f>IF(ISBLANK('Data Entry'!$±$721), "", 'Data Entry'!$±$721)</f>
      </c>
      <c r="DJ721">
        <f>IF(ISBLANK('Data Entry'!$²$721), "", 'Data Entry'!$²$721)</f>
      </c>
      <c r="DK721">
        <f>IF(ISBLANK('Data Entry'!$³$721), "", 'Data Entry'!$³$721)</f>
      </c>
      <c r="DL721">
        <f>IF(ISBLANK('Data Entry'!$´$721), "", 'Data Entry'!$´$721)</f>
      </c>
      <c r="DM721">
        <f>IF(ISBLANK('Data Entry'!$µ$721), "", 'Data Entry'!$µ$721)</f>
      </c>
      <c r="DN721">
        <f>IF(ISBLANK('Data Entry'!$¶$721), "", 'Data Entry'!$¶$721)</f>
      </c>
      <c r="DO721">
        <f>IF(ISBLANK('Data Entry'!$·$721), "", 'Data Entry'!$·$721)</f>
      </c>
      <c r="DP721">
        <f>IF(ISBLANK('Data Entry'!$¸$721), "", 'Data Entry'!$¸$721)</f>
      </c>
      <c r="DQ721">
        <f>IF(ISBLANK('Data Entry'!$¹$721), "", 'Data Entry'!$¹$721)</f>
      </c>
      <c r="DR721">
        <f>IF(ISBLANK('Data Entry'!$º$721), "", 'Data Entry'!$º$721)</f>
      </c>
      <c r="DS721">
        <f>IF(ISBLANK('Data Entry'!$»$721), "", 'Data Entry'!$»$721)</f>
      </c>
      <c r="DT721">
        <f>IF(ISBLANK('Data Entry'!$¼$721), "", 'Data Entry'!$¼$721)</f>
      </c>
      <c r="DU721">
        <f>IF(ISBLANK('Data Entry'!$½$721), "", 'Data Entry'!$½$721)</f>
      </c>
      <c r="DV721">
        <f>IF(ISBLANK('Data Entry'!$¾$721), "", 'Data Entry'!$¾$721)</f>
      </c>
      <c r="DW721">
        <f>IF(ISBLANK('Data Entry'!$¿$721), "", 'Data Entry'!$¿$721)</f>
      </c>
      <c r="DX721">
        <f>IF(ISBLANK('Data Entry'!$À$721), "", 'Data Entry'!$À$721)</f>
      </c>
      <c r="DY721">
        <f>IF(ISBLANK('Data Entry'!$Á$721), "", 'Data Entry'!$Á$721)</f>
      </c>
      <c r="DZ721">
        <f>IF(ISBLANK('Data Entry'!$Â$721), "", 'Data Entry'!$Â$721)</f>
      </c>
      <c r="EA721">
        <f>IF(ISBLANK('Data Entry'!$Ã$721), "", 'Data Entry'!$Ã$721)</f>
      </c>
      <c r="EB721">
        <f>IF(ISBLANK('Data Entry'!$Ä$721), "", 'Data Entry'!$Ä$721)</f>
      </c>
      <c r="EC721">
        <f>IF(ISBLANK('Data Entry'!$Å$721), "", 'Data Entry'!$Å$721)</f>
      </c>
      <c r="ED721">
        <f>IF(ISBLANK('Data Entry'!$Æ$721), "", 'Data Entry'!$Æ$721)</f>
      </c>
      <c r="EE721">
        <f>IF(ISBLANK('Data Entry'!$Ç$721), "", 'Data Entry'!$Ç$721)</f>
      </c>
      <c r="EF721">
        <f>IF(ISBLANK('Data Entry'!$È$721), "", 'Data Entry'!$È$721)</f>
      </c>
      <c r="EG721">
        <f>IF(ISBLANK('Data Entry'!$É$721), "", 'Data Entry'!$É$721)</f>
      </c>
      <c r="EH721">
        <f>IF(ISBLANK('Data Entry'!$Ê$721), "", 'Data Entry'!$Ê$721)</f>
      </c>
      <c r="EI721">
        <f>IF(ISBLANK('Data Entry'!$Ë$721), "", 'Data Entry'!$Ë$721)</f>
      </c>
      <c r="EJ721">
        <f>IF(ISBLANK('Data Entry'!$Ì$721), "", 'Data Entry'!$Ì$721)</f>
      </c>
      <c r="EK721">
        <f>IF(ISBLANK('Data Entry'!$Í$721), "", 'Data Entry'!$Í$721)</f>
      </c>
      <c r="EL721">
        <f>IF(ISBLANK('Data Entry'!$Î$721), "", 'Data Entry'!$Î$721)</f>
      </c>
      <c r="EM721">
        <f>IF(ISBLANK('Data Entry'!$Ï$721), "", 'Data Entry'!$Ï$721)</f>
      </c>
      <c r="EN721">
        <f>IF(ISBLANK('Data Entry'!$Ð$721), "", 'Data Entry'!$Ð$721)</f>
      </c>
      <c r="EO721">
        <f>IF(ISBLANK('Data Entry'!$Ñ$721), "", 'Data Entry'!$Ñ$721)</f>
      </c>
      <c r="EP721">
        <f>IF(ISBLANK('Data Entry'!$Ò$721), "", 'Data Entry'!$Ò$721)</f>
      </c>
      <c r="EQ721">
        <f>IF(ISBLANK('Data Entry'!$Ó$721), "", 'Data Entry'!$Ó$721)</f>
      </c>
      <c r="ER721">
        <f>IF(ISBLANK('Data Entry'!$Ô$721), "", 'Data Entry'!$Ô$721)</f>
      </c>
      <c r="ES721">
        <f>IF(ISBLANK('Data Entry'!$Õ$721), "", 'Data Entry'!$Õ$721)</f>
      </c>
      <c r="ET721">
        <f>IF(ISBLANK('Data Entry'!$Ö$721), "", 'Data Entry'!$Ö$721)</f>
      </c>
      <c r="EU721">
        <f>IF(ISBLANK('Data Entry'!$×$721), "", 'Data Entry'!$×$721)</f>
      </c>
      <c r="EV721">
        <f>IF(ISBLANK('Data Entry'!$Ø$721), "", 'Data Entry'!$Ø$721)</f>
      </c>
      <c r="EW721">
        <f>IF(ISBLANK('Data Entry'!$Ù$721), "", 'Data Entry'!$Ù$721)</f>
      </c>
      <c r="EX721">
        <f>IF(ISBLANK('Data Entry'!$Ú$721), "", 'Data Entry'!$Ú$721)</f>
      </c>
      <c r="EY721">
        <f>IF(ISBLANK('Data Entry'!$Û$721), "", 'Data Entry'!$Û$721)</f>
      </c>
      <c r="EZ721">
        <f>IF(ISBLANK('Data Entry'!$Ü$721), "", 'Data Entry'!$Ü$721)</f>
      </c>
      <c r="FA721">
        <f>IF(ISBLANK('Data Entry'!$Ý$721), "", 'Data Entry'!$Ý$721)</f>
      </c>
      <c r="FB721">
        <f>IF(ISBLANK('Data Entry'!$Þ$721), "", 'Data Entry'!$Þ$721)</f>
      </c>
      <c r="FC721">
        <f>IF(ISBLANK('Data Entry'!$ß$721), "", 'Data Entry'!$ß$721)</f>
      </c>
      <c r="FD721">
        <f>IF(ISBLANK('Data Entry'!$à$721), "", 'Data Entry'!$à$721)</f>
      </c>
      <c r="FE721">
        <f>IF(ISBLANK('Data Entry'!$á$721), "", 'Data Entry'!$á$721)</f>
      </c>
      <c r="FF721">
        <f>IF(ISBLANK('Data Entry'!$â$721), "", 'Data Entry'!$â$721)</f>
      </c>
      <c r="FG721">
        <f>IF(ISBLANK('Data Entry'!$ã$721), "", 'Data Entry'!$ã$721)</f>
      </c>
      <c r="FH721">
        <f>IF(ISBLANK('Data Entry'!$ä$721), "", 'Data Entry'!$ä$721)</f>
      </c>
      <c r="FI721">
        <f>IF(ISBLANK('Data Entry'!$å$721), "", 'Data Entry'!$å$721)</f>
      </c>
      <c r="FJ721">
        <f>IF(ISBLANK('Data Entry'!$æ$721), "", 'Data Entry'!$æ$721)</f>
      </c>
      <c r="FK721">
        <f>IF(ISBLANK('Data Entry'!$ç$721), "", 'Data Entry'!$ç$721)</f>
      </c>
      <c r="FL721">
        <f>IF(ISBLANK('Data Entry'!$è$721), "", 'Data Entry'!$è$721)</f>
      </c>
      <c r="FM721">
        <f>IF(ISBLANK('Data Entry'!$é$721), "", 'Data Entry'!$é$721)</f>
      </c>
      <c r="FN721">
        <f>IF(ISBLANK('Data Entry'!$ê$721), "", 'Data Entry'!$ê$721)</f>
      </c>
      <c r="FO721">
        <f>IF(ISBLANK('Data Entry'!$ë$721), "", 'Data Entry'!$ë$721)</f>
      </c>
      <c r="FP721">
        <f>IF(ISBLANK('Data Entry'!$ì$721), "", 'Data Entry'!$ì$721)</f>
      </c>
      <c r="FQ721">
        <f>IF(ISBLANK('Data Entry'!$í$721), "", 'Data Entry'!$í$721)</f>
      </c>
      <c r="FR721">
        <f>IF(ISBLANK('Data Entry'!$î$721), "", 'Data Entry'!$î$721)</f>
      </c>
      <c r="FS721">
        <f>IF(ISBLANK('Data Entry'!$ï$721), "", 'Data Entry'!$ï$721)</f>
      </c>
      <c r="FT721">
        <f>IF(ISBLANK('Data Entry'!$ð$721), "", 'Data Entry'!$ð$721)</f>
      </c>
      <c r="FU721">
        <f>IF(ISBLANK('Data Entry'!$ñ$721), "", 'Data Entry'!$ñ$721)</f>
      </c>
      <c r="FV721">
        <f>IF(ISBLANK('Data Entry'!$ò$721), "", 'Data Entry'!$ò$721)</f>
      </c>
      <c r="FW721">
        <f>IF(ISBLANK('Data Entry'!$ó$721), "", 'Data Entry'!$ó$721)</f>
      </c>
      <c r="FX721">
        <f>IF(ISBLANK('Data Entry'!$ô$721), "", 'Data Entry'!$ô$721)</f>
      </c>
      <c r="FY721">
        <f>IF(ISBLANK('Data Entry'!$õ$721), "", 'Data Entry'!$õ$721)</f>
      </c>
      <c r="FZ721">
        <f>IF(ISBLANK('Data Entry'!$ö$721), "", 'Data Entry'!$ö$721)</f>
      </c>
      <c r="GA721">
        <f>IF(ISBLANK('Data Entry'!$÷$721), "", 'Data Entry'!$÷$721)</f>
      </c>
      <c r="GB721">
        <f>IF(ISBLANK('Data Entry'!$ø$721), "", 'Data Entry'!$ø$721)</f>
      </c>
      <c r="GC721">
        <f>IF(ISBLANK('Data Entry'!$ù$721), "", 'Data Entry'!$ù$721)</f>
      </c>
      <c r="GD721">
        <f>IF(ISBLANK('Data Entry'!$ú$721), "", 'Data Entry'!$ú$721)</f>
      </c>
      <c r="GE721">
        <f>IF(ISBLANK('Data Entry'!$û$721), "", 'Data Entry'!$û$721)</f>
      </c>
      <c r="GF721">
        <f>IF(ISBLANK('Data Entry'!$ü$721), "", 'Data Entry'!$ü$721)</f>
      </c>
      <c r="GG721">
        <f>IF(ISBLANK('Data Entry'!$ý$721), "", 'Data Entry'!$ý$721)</f>
      </c>
      <c r="GH721">
        <f>IF(ISBLANK('Data Entry'!$þ$721), "", 'Data Entry'!$þ$721)</f>
      </c>
      <c r="GI721">
        <f>IF(ISBLANK('Data Entry'!$ÿ$721), "", 'Data Entry'!$ÿ$721)</f>
      </c>
      <c r="GJ721">
        <f>IF(ISBLANK('Data Entry'!$Ā$721), "", 'Data Entry'!$Ā$721)</f>
      </c>
      <c r="GK721">
        <f>IF(ISBLANK('Data Entry'!$ā$721), "", 'Data Entry'!$ā$721)</f>
      </c>
      <c r="GL721">
        <f>IF(ISBLANK('Data Entry'!$Ă$721), "", 'Data Entry'!$Ă$721)</f>
      </c>
      <c r="GM721">
        <f>IF(ISBLANK('Data Entry'!$ă$721), "", 'Data Entry'!$ă$721)</f>
      </c>
      <c r="GN721">
        <f>IF(ISBLANK('Data Entry'!$Ą$721), "", 'Data Entry'!$Ą$721)</f>
      </c>
      <c r="GO721">
        <f>IF(ISBLANK('Data Entry'!$ą$721), "", 'Data Entry'!$ą$721)</f>
      </c>
      <c r="GP721">
        <f>IF(ISBLANK('Data Entry'!$Ć$721), "", 'Data Entry'!$Ć$721)</f>
      </c>
      <c r="GQ721">
        <f>IF(ISBLANK('Data Entry'!$ć$721), "", 'Data Entry'!$ć$721)</f>
      </c>
      <c r="GR721">
        <f>IF(ISBLANK('Data Entry'!$Ĉ$721), "", 'Data Entry'!$Ĉ$721)</f>
      </c>
      <c r="GS721">
        <f>IF(ISBLANK('Data Entry'!$ĉ$721), "", 'Data Entry'!$ĉ$721)</f>
      </c>
      <c r="GT721">
        <f>IF(ISBLANK('Data Entry'!$Ċ$721), "", 'Data Entry'!$Ċ$721)</f>
      </c>
      <c r="GU721">
        <f>IF(ISBLANK('Data Entry'!$ċ$721), "", 'Data Entry'!$ċ$721)</f>
      </c>
      <c r="GV721">
        <f>IF(ISBLANK('Data Entry'!$Č$721), "", 'Data Entry'!$Č$721)</f>
      </c>
      <c r="GW721">
        <f>IF(ISBLANK('Data Entry'!$č$721), "", 'Data Entry'!$č$721)</f>
      </c>
      <c r="GX721">
        <f>IF(ISBLANK('Data Entry'!$Ď$721), "", 'Data Entry'!$Ď$721)</f>
      </c>
      <c r="GY721">
        <f>IF(ISBLANK('Data Entry'!$ď$721), "", 'Data Entry'!$ď$721)</f>
      </c>
      <c r="GZ721">
        <f>IF(ISBLANK('Data Entry'!$Đ$721), "", 'Data Entry'!$Đ$721)</f>
      </c>
      <c r="HA721">
        <f>IF(ISBLANK('Data Entry'!$đ$721), "", 'Data Entry'!$đ$721)</f>
      </c>
      <c r="HB721">
        <f>IF(ISBLANK('Data Entry'!$Ē$721), "", 'Data Entry'!$Ē$721)</f>
      </c>
      <c r="HC721">
        <f>IF(ISBLANK('Data Entry'!$ē$721), "", 'Data Entry'!$ē$721)</f>
      </c>
      <c r="HD721">
        <f>IF(ISBLANK('Data Entry'!$Ĕ$721), "", 'Data Entry'!$Ĕ$721)</f>
      </c>
      <c r="HE721">
        <f>IF(ISBLANK('Data Entry'!$ĕ$721), "", 'Data Entry'!$ĕ$721)</f>
      </c>
      <c r="HF721">
        <f>IF(ISBLANK('Data Entry'!$Ė$721), "", 'Data Entry'!$Ė$721)</f>
      </c>
      <c r="HG721">
        <f>IF(ISBLANK('Data Entry'!$ė$721), "", 'Data Entry'!$ė$721)</f>
      </c>
      <c r="HH721">
        <f>IF(ISBLANK('Data Entry'!$Ę$721), "", 'Data Entry'!$Ę$721)</f>
      </c>
      <c r="HI721">
        <f>IF(ISBLANK('Data Entry'!$ę$721), "", 'Data Entry'!$ę$721)</f>
      </c>
      <c r="HJ721">
        <f>IF(ISBLANK('Data Entry'!$Ě$721), "", 'Data Entry'!$Ě$721)</f>
      </c>
      <c r="HK721">
        <f>IF(ISBLANK('Data Entry'!$ě$721), "", 'Data Entry'!$ě$721)</f>
      </c>
      <c r="HL721">
        <f>IF(ISBLANK('Data Entry'!$Ĝ$721), "", 'Data Entry'!$Ĝ$721)</f>
      </c>
      <c r="HM721">
        <f>IF(ISBLANK('Data Entry'!$ĝ$721), "", 'Data Entry'!$ĝ$721)</f>
      </c>
      <c r="HN721">
        <f>IF(ISBLANK('Data Entry'!$Ğ$721), "", 'Data Entry'!$Ğ$721)</f>
      </c>
      <c r="HO721">
        <f>IF(ISBLANK('Data Entry'!$ğ$721), "", 'Data Entry'!$ğ$721)</f>
      </c>
      <c r="HP721">
        <f>IF(ISBLANK('Data Entry'!$Ġ$721), "", 'Data Entry'!$Ġ$721)</f>
      </c>
      <c r="HQ721">
        <f>IF(ISBLANK('Data Entry'!$ġ$721), "", 'Data Entry'!$ġ$721)</f>
      </c>
      <c r="HR721">
        <f>IF(ISBLANK('Data Entry'!$Ģ$721), "", 'Data Entry'!$Ģ$721)</f>
      </c>
      <c r="HS721">
        <f>IF(ISBLANK('Data Entry'!$ģ$721), "", 'Data Entry'!$ģ$721)</f>
      </c>
      <c r="HT721">
        <f>IF(ISBLANK('Data Entry'!$Ĥ$721), "", 'Data Entry'!$Ĥ$721)</f>
      </c>
      <c r="HU721">
        <f>IF(ISBLANK('Data Entry'!$ĥ$721), "", 'Data Entry'!$ĥ$721)</f>
      </c>
      <c r="HV721">
        <f>IF(ISBLANK('Data Entry'!$Ħ$721), "", 'Data Entry'!$Ħ$721)</f>
      </c>
      <c r="HW721">
        <f>IF(ISBLANK('Data Entry'!$ħ$721), "", 'Data Entry'!$ħ$721)</f>
      </c>
      <c r="HX721">
        <f>IF(ISBLANK('Data Entry'!$Ĩ$721), "", 'Data Entry'!$Ĩ$721)</f>
      </c>
      <c r="HY721">
        <f>IF(ISBLANK('Data Entry'!$ĩ$721), "", 'Data Entry'!$ĩ$721)</f>
      </c>
      <c r="HZ721">
        <f>IF(ISBLANK('Data Entry'!$Ī$721), "", 'Data Entry'!$Ī$721)</f>
      </c>
      <c r="IA721">
        <f>IF(ISBLANK('Data Entry'!$ī$721), "", 'Data Entry'!$ī$721)</f>
      </c>
      <c r="IB721">
        <f>IF(ISBLANK('Data Entry'!$Ĭ$721), "", 'Data Entry'!$Ĭ$721)</f>
      </c>
      <c r="IC721">
        <f>IF(ISBLANK('Data Entry'!$ĭ$721), "", 'Data Entry'!$ĭ$721)</f>
      </c>
      <c r="ID721">
        <f>IF(ISBLANK('Data Entry'!$Į$721), "", 'Data Entry'!$Į$721)</f>
      </c>
      <c r="IE721">
        <f>IF(ISBLANK('Data Entry'!$į$721), "", 'Data Entry'!$į$721)</f>
      </c>
      <c r="IF721">
        <f>IF(ISBLANK('Data Entry'!$İ$721), "", 'Data Entry'!$İ$721)</f>
      </c>
      <c r="IG721">
        <f>IF(ISBLANK('Data Entry'!$ı$721), "", 'Data Entry'!$ı$721)</f>
      </c>
      <c r="IH721">
        <f>IF(ISBLANK('Data Entry'!$Ĳ$721), "", 'Data Entry'!$Ĳ$721)</f>
      </c>
      <c r="II721">
        <f>IF(ISBLANK('Data Entry'!$ĳ$721), "", 'Data Entry'!$ĳ$721)</f>
      </c>
      <c r="IJ721">
        <f>IF(ISBLANK('Data Entry'!$Ĵ$721), "", 'Data Entry'!$Ĵ$721)</f>
      </c>
      <c r="IK721">
        <f>IF(ISBLANK('Data Entry'!$ĵ$721), "", 'Data Entry'!$ĵ$721)</f>
      </c>
      <c r="IL721">
        <f>IF(ISBLANK('Data Entry'!$Ķ$721), "", 'Data Entry'!$Ķ$721)</f>
      </c>
      <c r="IM721">
        <f>IF(ISBLANK('Data Entry'!$ķ$721), "", 'Data Entry'!$ķ$721)</f>
      </c>
      <c r="IN721">
        <f>IF(ISBLANK('Data Entry'!$ĸ$721), "", 'Data Entry'!$ĸ$721)</f>
      </c>
      <c r="IO721">
        <f>IF(ISBLANK('Data Entry'!$Ĺ$721), "", 'Data Entry'!$Ĺ$721)</f>
      </c>
      <c r="IP721">
        <f>IF(ISBLANK('Data Entry'!$ĺ$721), "", 'Data Entry'!$ĺ$721)</f>
      </c>
      <c r="IQ721">
        <f>IF(ISBLANK('Data Entry'!$Ļ$721), "", 'Data Entry'!$Ļ$721)</f>
      </c>
      <c r="IR721">
        <f>IF(ISBLANK('Data Entry'!$ļ$721), "", 'Data Entry'!$ļ$721)</f>
      </c>
      <c r="IS721">
        <f>IF(ISBLANK('Data Entry'!$Ľ$721), "", 'Data Entry'!$Ľ$721)</f>
      </c>
      <c r="IT721">
        <f>IF(ISBLANK('Data Entry'!$ľ$721), "", 'Data Entry'!$ľ$721)</f>
      </c>
    </row>
    <row r="722" spans="1:254" x14ac:dyDescent="0.25">
      <c r="A722">
        <f>IF(ISBLANK('Data Entry'!$A$722), "", 'Data Entry'!$A$722)</f>
      </c>
      <c r="B722">
        <f>IF(ISBLANK('Data Entry'!$B$722), "", 'Data Entry'!$B$722)</f>
      </c>
      <c r="C722">
        <f>IF(ISBLANK('Data Entry'!$C$722), "", 'Data Entry'!$C$722)</f>
      </c>
      <c r="D722">
        <f>IF(ISBLANK('Data Entry'!$D$722), "", 'Data Entry'!$D$722)</f>
      </c>
      <c r="E722">
        <f>IF(ISBLANK('Data Entry'!$E$722), "", 'Data Entry'!$E$722)</f>
      </c>
      <c r="F722">
        <f>IF(ISBLANK('Data Entry'!$F$722), "", 'Data Entry'!$F$722)</f>
      </c>
      <c r="G722">
        <f>IF(ISBLANK('Data Entry'!$G$722), "", 'Data Entry'!$G$722)</f>
      </c>
      <c r="H722">
        <f>IF(ISBLANK('Data Entry'!$H$722), "", 'Data Entry'!$H$722)</f>
      </c>
      <c r="I722">
        <f>IF(ISBLANK('Data Entry'!$I$722), "", 'Data Entry'!$I$722)</f>
      </c>
      <c r="J722">
        <f>IF(ISBLANK('Data Entry'!$J$722), "", 'Data Entry'!$J$722)</f>
      </c>
      <c r="K722">
        <f>IF(ISBLANK('Data Entry'!$K$722), "", 'Data Entry'!$K$722)</f>
      </c>
      <c r="L722">
        <f>IF(ISBLANK('Data Entry'!$L$722), "", 'Data Entry'!$L$722)</f>
      </c>
      <c r="M722">
        <f>IF(ISBLANK('Data Entry'!$M$722), "", 'Data Entry'!$M$722)</f>
      </c>
      <c r="N722">
        <f>IF(ISBLANK('Data Entry'!$N$722), "", 'Data Entry'!$N$722)</f>
      </c>
      <c r="O722">
        <f>IF(ISBLANK('Data Entry'!$O$722), "", 'Data Entry'!$O$722)</f>
      </c>
      <c r="P722">
        <f>IF(ISBLANK('Data Entry'!$P$722), "", 'Data Entry'!$P$722)</f>
      </c>
      <c r="Q722">
        <f>IF(ISBLANK('Data Entry'!$Q$722), "", 'Data Entry'!$Q$722)</f>
      </c>
      <c r="R722">
        <f>IF(ISBLANK('Data Entry'!$R$722), "", 'Data Entry'!$R$722)</f>
      </c>
      <c r="S722">
        <f>IF(ISBLANK('Data Entry'!$S$722), "", 'Data Entry'!$S$722)</f>
      </c>
      <c r="T722">
        <f>IF(ISBLANK('Data Entry'!$T$722), "", 'Data Entry'!$T$722)</f>
      </c>
      <c r="U722">
        <f>IF(ISBLANK('Data Entry'!$U$722), "", 'Data Entry'!$U$722)</f>
      </c>
      <c r="V722">
        <f>IF(ISBLANK('Data Entry'!$V$722), "", 'Data Entry'!$V$722)</f>
      </c>
      <c r="W722">
        <f>IF(ISBLANK('Data Entry'!$W$722), "", 'Data Entry'!$W$722)</f>
      </c>
      <c r="X722">
        <f>IF(ISBLANK('Data Entry'!$X$722), "", 'Data Entry'!$X$722)</f>
      </c>
      <c r="Y722">
        <f>IF(ISBLANK('Data Entry'!$Y$722), "", 'Data Entry'!$Y$722)</f>
      </c>
      <c r="Z722">
        <f>IF(ISBLANK('Data Entry'!$Z$722), "", 'Data Entry'!$Z$722)</f>
      </c>
      <c r="AA722">
        <f>IF(ISBLANK('Data Entry'!$[$722), "", 'Data Entry'!$[$722)</f>
      </c>
      <c r="AB722">
        <f>IF(ISBLANK('Data Entry'!$\$722), "", 'Data Entry'!$\$722)</f>
      </c>
      <c r="AC722">
        <f>IF(ISBLANK('Data Entry'!$]$722), "", 'Data Entry'!$]$722)</f>
      </c>
      <c r="AD722">
        <f>IF(ISBLANK('Data Entry'!$^$722), "", 'Data Entry'!$^$722)</f>
      </c>
      <c r="AE722">
        <f>IF(ISBLANK('Data Entry'!$_$722), "", 'Data Entry'!$_$722)</f>
      </c>
      <c r="AF722">
        <f>IF(ISBLANK('Data Entry'!$`$722), "", 'Data Entry'!$`$722)</f>
      </c>
      <c r="AG722">
        <f>IF(ISBLANK('Data Entry'!$a$722), "", 'Data Entry'!$a$722)</f>
      </c>
      <c r="AH722">
        <f>IF(ISBLANK('Data Entry'!$b$722), "", 'Data Entry'!$b$722)</f>
      </c>
      <c r="AI722">
        <f>IF(ISBLANK('Data Entry'!$c$722), "", 'Data Entry'!$c$722)</f>
      </c>
      <c r="AJ722">
        <f>IF(ISBLANK('Data Entry'!$d$722), "", 'Data Entry'!$d$722)</f>
      </c>
      <c r="AK722">
        <f>IF(ISBLANK('Data Entry'!$e$722), "", 'Data Entry'!$e$722)</f>
      </c>
      <c r="AL722">
        <f>IF(ISBLANK('Data Entry'!$f$722), "", 'Data Entry'!$f$722)</f>
      </c>
      <c r="AM722">
        <f>IF(ISBLANK('Data Entry'!$g$722), "", 'Data Entry'!$g$722)</f>
      </c>
      <c r="AN722">
        <f>IF(ISBLANK('Data Entry'!$h$722), "", 'Data Entry'!$h$722)</f>
      </c>
      <c r="AO722">
        <f>IF(ISBLANK('Data Entry'!$i$722), "", 'Data Entry'!$i$722)</f>
      </c>
      <c r="AP722">
        <f>IF(ISBLANK('Data Entry'!$j$722), "", 'Data Entry'!$j$722)</f>
      </c>
      <c r="AQ722">
        <f>IF(ISBLANK('Data Entry'!$k$722), "", 'Data Entry'!$k$722)</f>
      </c>
      <c r="AR722">
        <f>IF(ISBLANK('Data Entry'!$l$722), "", 'Data Entry'!$l$722)</f>
      </c>
      <c r="AS722">
        <f>IF(ISBLANK('Data Entry'!$m$722), "", 'Data Entry'!$m$722)</f>
      </c>
      <c r="AT722">
        <f>IF(ISBLANK('Data Entry'!$n$722), "", 'Data Entry'!$n$722)</f>
      </c>
      <c r="AU722">
        <f>IF(ISBLANK('Data Entry'!$o$722), "", 'Data Entry'!$o$722)</f>
      </c>
      <c r="AV722">
        <f>IF(ISBLANK('Data Entry'!$p$722), "", 'Data Entry'!$p$722)</f>
      </c>
      <c r="AW722">
        <f>IF(ISBLANK('Data Entry'!$q$722), "", 'Data Entry'!$q$722)</f>
      </c>
      <c r="AX722">
        <f>IF(ISBLANK('Data Entry'!$r$722), "", 'Data Entry'!$r$722)</f>
      </c>
      <c r="AY722">
        <f>IF(ISBLANK('Data Entry'!$s$722), "", 'Data Entry'!$s$722)</f>
      </c>
      <c r="AZ722">
        <f>IF(ISBLANK('Data Entry'!$t$722), "", 'Data Entry'!$t$722)</f>
      </c>
      <c r="BA722">
        <f>IF(ISBLANK('Data Entry'!$u$722), "", 'Data Entry'!$u$722)</f>
      </c>
      <c r="BB722">
        <f>IF(ISBLANK('Data Entry'!$v$722), "", 'Data Entry'!$v$722)</f>
      </c>
      <c r="BC722">
        <f>IF(ISBLANK('Data Entry'!$w$722), "", 'Data Entry'!$w$722)</f>
      </c>
      <c r="BD722">
        <f>IF(ISBLANK('Data Entry'!$x$722), "", 'Data Entry'!$x$722)</f>
      </c>
      <c r="BE722">
        <f>IF(ISBLANK('Data Entry'!$y$722), "", 'Data Entry'!$y$722)</f>
      </c>
      <c r="BF722">
        <f>IF(ISBLANK('Data Entry'!$z$722), "", 'Data Entry'!$z$722)</f>
      </c>
      <c r="BG722">
        <f>IF(ISBLANK('Data Entry'!${$722), "", 'Data Entry'!${$722)</f>
      </c>
      <c r="BH722">
        <f>IF(ISBLANK('Data Entry'!$|$722), "", 'Data Entry'!$|$722)</f>
      </c>
      <c r="BI722">
        <f>IF(ISBLANK('Data Entry'!$}$722), "", 'Data Entry'!$}$722)</f>
      </c>
      <c r="BJ722">
        <f>IF(ISBLANK('Data Entry'!$~$722), "", 'Data Entry'!$~$722)</f>
      </c>
      <c r="BK722">
        <f>IF(ISBLANK('Data Entry'!$$722), "", 'Data Entry'!$$722)</f>
      </c>
      <c r="BL722">
        <f>IF(ISBLANK('Data Entry'!$$722), "", 'Data Entry'!$$722)</f>
      </c>
      <c r="BM722">
        <f>IF(ISBLANK('Data Entry'!$$722), "", 'Data Entry'!$$722)</f>
      </c>
      <c r="BN722">
        <f>IF(ISBLANK('Data Entry'!$$722), "", 'Data Entry'!$$722)</f>
      </c>
      <c r="BO722">
        <f>IF(ISBLANK('Data Entry'!$$722), "", 'Data Entry'!$$722)</f>
      </c>
      <c r="BP722">
        <f>IF(ISBLANK('Data Entry'!$$722), "", 'Data Entry'!$$722)</f>
      </c>
      <c r="BQ722">
        <f>IF(ISBLANK('Data Entry'!$$722), "", 'Data Entry'!$$722)</f>
      </c>
      <c r="BR722">
        <f>IF(ISBLANK('Data Entry'!$$722), "", 'Data Entry'!$$722)</f>
      </c>
      <c r="BS722">
        <f>IF(ISBLANK('Data Entry'!$$722), "", 'Data Entry'!$$722)</f>
      </c>
      <c r="BT722">
        <f>IF(ISBLANK('Data Entry'!$$722), "", 'Data Entry'!$$722)</f>
      </c>
      <c r="BU722">
        <f>IF(ISBLANK('Data Entry'!$$722), "", 'Data Entry'!$$722)</f>
      </c>
      <c r="BV722">
        <f>IF(ISBLANK('Data Entry'!$$722), "", 'Data Entry'!$$722)</f>
      </c>
      <c r="BW722">
        <f>IF(ISBLANK('Data Entry'!$$722), "", 'Data Entry'!$$722)</f>
      </c>
      <c r="BX722">
        <f>IF(ISBLANK('Data Entry'!$$722), "", 'Data Entry'!$$722)</f>
      </c>
      <c r="BY722">
        <f>IF(ISBLANK('Data Entry'!$$722), "", 'Data Entry'!$$722)</f>
      </c>
      <c r="BZ722">
        <f>IF(ISBLANK('Data Entry'!$$722), "", 'Data Entry'!$$722)</f>
      </c>
      <c r="CA722">
        <f>IF(ISBLANK('Data Entry'!$$722), "", 'Data Entry'!$$722)</f>
      </c>
      <c r="CB722">
        <f>IF(ISBLANK('Data Entry'!$$722), "", 'Data Entry'!$$722)</f>
      </c>
      <c r="CC722">
        <f>IF(ISBLANK('Data Entry'!$$722), "", 'Data Entry'!$$722)</f>
      </c>
      <c r="CD722">
        <f>IF(ISBLANK('Data Entry'!$$722), "", 'Data Entry'!$$722)</f>
      </c>
      <c r="CE722">
        <f>IF(ISBLANK('Data Entry'!$$722), "", 'Data Entry'!$$722)</f>
      </c>
      <c r="CF722">
        <f>IF(ISBLANK('Data Entry'!$$722), "", 'Data Entry'!$$722)</f>
      </c>
      <c r="CG722">
        <f>IF(ISBLANK('Data Entry'!$$722), "", 'Data Entry'!$$722)</f>
      </c>
      <c r="CH722">
        <f>IF(ISBLANK('Data Entry'!$$722), "", 'Data Entry'!$$722)</f>
      </c>
      <c r="CI722">
        <f>IF(ISBLANK('Data Entry'!$$722), "", 'Data Entry'!$$722)</f>
      </c>
      <c r="CJ722">
        <f>IF(ISBLANK('Data Entry'!$$722), "", 'Data Entry'!$$722)</f>
      </c>
      <c r="CK722">
        <f>IF(ISBLANK('Data Entry'!$$722), "", 'Data Entry'!$$722)</f>
      </c>
      <c r="CL722">
        <f>IF(ISBLANK('Data Entry'!$$722), "", 'Data Entry'!$$722)</f>
      </c>
      <c r="CM722">
        <f>IF(ISBLANK('Data Entry'!$$722), "", 'Data Entry'!$$722)</f>
      </c>
      <c r="CN722">
        <f>IF(ISBLANK('Data Entry'!$$722), "", 'Data Entry'!$$722)</f>
      </c>
      <c r="CO722">
        <f>IF(ISBLANK('Data Entry'!$$722), "", 'Data Entry'!$$722)</f>
      </c>
      <c r="CP722">
        <f>IF(ISBLANK('Data Entry'!$$722), "", 'Data Entry'!$$722)</f>
      </c>
      <c r="CQ722">
        <f>IF(ISBLANK('Data Entry'!$$722), "", 'Data Entry'!$$722)</f>
      </c>
      <c r="CR722">
        <f>IF(ISBLANK('Data Entry'!$ $722), "", 'Data Entry'!$ $722)</f>
      </c>
      <c r="CS722">
        <f>IF(ISBLANK('Data Entry'!$¡$722), "", 'Data Entry'!$¡$722)</f>
      </c>
      <c r="CT722">
        <f>IF(ISBLANK('Data Entry'!$¢$722), "", 'Data Entry'!$¢$722)</f>
      </c>
      <c r="CU722">
        <f>IF(ISBLANK('Data Entry'!$£$722), "", 'Data Entry'!$£$722)</f>
      </c>
      <c r="CV722">
        <f>IF(ISBLANK('Data Entry'!$¤$722), "", 'Data Entry'!$¤$722)</f>
      </c>
      <c r="CW722">
        <f>IF(ISBLANK('Data Entry'!$¥$722), "", 'Data Entry'!$¥$722)</f>
      </c>
      <c r="CX722">
        <f>IF(ISBLANK('Data Entry'!$¦$722), "", 'Data Entry'!$¦$722)</f>
      </c>
      <c r="CY722">
        <f>IF(ISBLANK('Data Entry'!$§$722), "", 'Data Entry'!$§$722)</f>
      </c>
      <c r="CZ722">
        <f>IF(ISBLANK('Data Entry'!$¨$722), "", 'Data Entry'!$¨$722)</f>
      </c>
      <c r="DA722">
        <f>IF(ISBLANK('Data Entry'!$©$722), "", 'Data Entry'!$©$722)</f>
      </c>
      <c r="DB722">
        <f>IF(ISBLANK('Data Entry'!$ª$722), "", 'Data Entry'!$ª$722)</f>
      </c>
      <c r="DC722">
        <f>IF(ISBLANK('Data Entry'!$«$722), "", 'Data Entry'!$«$722)</f>
      </c>
      <c r="DD722">
        <f>IF(ISBLANK('Data Entry'!$¬$722), "", 'Data Entry'!$¬$722)</f>
      </c>
      <c r="DE722">
        <f>IF(ISBLANK('Data Entry'!$­$722), "", 'Data Entry'!$­$722)</f>
      </c>
      <c r="DF722">
        <f>IF(ISBLANK('Data Entry'!$®$722), "", 'Data Entry'!$®$722)</f>
      </c>
      <c r="DG722">
        <f>IF(ISBLANK('Data Entry'!$¯$722), "", 'Data Entry'!$¯$722)</f>
      </c>
      <c r="DH722">
        <f>IF(ISBLANK('Data Entry'!$°$722), "", 'Data Entry'!$°$722)</f>
      </c>
      <c r="DI722">
        <f>IF(ISBLANK('Data Entry'!$±$722), "", 'Data Entry'!$±$722)</f>
      </c>
      <c r="DJ722">
        <f>IF(ISBLANK('Data Entry'!$²$722), "", 'Data Entry'!$²$722)</f>
      </c>
      <c r="DK722">
        <f>IF(ISBLANK('Data Entry'!$³$722), "", 'Data Entry'!$³$722)</f>
      </c>
      <c r="DL722">
        <f>IF(ISBLANK('Data Entry'!$´$722), "", 'Data Entry'!$´$722)</f>
      </c>
      <c r="DM722">
        <f>IF(ISBLANK('Data Entry'!$µ$722), "", 'Data Entry'!$µ$722)</f>
      </c>
      <c r="DN722">
        <f>IF(ISBLANK('Data Entry'!$¶$722), "", 'Data Entry'!$¶$722)</f>
      </c>
      <c r="DO722">
        <f>IF(ISBLANK('Data Entry'!$·$722), "", 'Data Entry'!$·$722)</f>
      </c>
      <c r="DP722">
        <f>IF(ISBLANK('Data Entry'!$¸$722), "", 'Data Entry'!$¸$722)</f>
      </c>
      <c r="DQ722">
        <f>IF(ISBLANK('Data Entry'!$¹$722), "", 'Data Entry'!$¹$722)</f>
      </c>
      <c r="DR722">
        <f>IF(ISBLANK('Data Entry'!$º$722), "", 'Data Entry'!$º$722)</f>
      </c>
      <c r="DS722">
        <f>IF(ISBLANK('Data Entry'!$»$722), "", 'Data Entry'!$»$722)</f>
      </c>
      <c r="DT722">
        <f>IF(ISBLANK('Data Entry'!$¼$722), "", 'Data Entry'!$¼$722)</f>
      </c>
      <c r="DU722">
        <f>IF(ISBLANK('Data Entry'!$½$722), "", 'Data Entry'!$½$722)</f>
      </c>
      <c r="DV722">
        <f>IF(ISBLANK('Data Entry'!$¾$722), "", 'Data Entry'!$¾$722)</f>
      </c>
      <c r="DW722">
        <f>IF(ISBLANK('Data Entry'!$¿$722), "", 'Data Entry'!$¿$722)</f>
      </c>
      <c r="DX722">
        <f>IF(ISBLANK('Data Entry'!$À$722), "", 'Data Entry'!$À$722)</f>
      </c>
      <c r="DY722">
        <f>IF(ISBLANK('Data Entry'!$Á$722), "", 'Data Entry'!$Á$722)</f>
      </c>
      <c r="DZ722">
        <f>IF(ISBLANK('Data Entry'!$Â$722), "", 'Data Entry'!$Â$722)</f>
      </c>
      <c r="EA722">
        <f>IF(ISBLANK('Data Entry'!$Ã$722), "", 'Data Entry'!$Ã$722)</f>
      </c>
      <c r="EB722">
        <f>IF(ISBLANK('Data Entry'!$Ä$722), "", 'Data Entry'!$Ä$722)</f>
      </c>
      <c r="EC722">
        <f>IF(ISBLANK('Data Entry'!$Å$722), "", 'Data Entry'!$Å$722)</f>
      </c>
      <c r="ED722">
        <f>IF(ISBLANK('Data Entry'!$Æ$722), "", 'Data Entry'!$Æ$722)</f>
      </c>
      <c r="EE722">
        <f>IF(ISBLANK('Data Entry'!$Ç$722), "", 'Data Entry'!$Ç$722)</f>
      </c>
      <c r="EF722">
        <f>IF(ISBLANK('Data Entry'!$È$722), "", 'Data Entry'!$È$722)</f>
      </c>
      <c r="EG722">
        <f>IF(ISBLANK('Data Entry'!$É$722), "", 'Data Entry'!$É$722)</f>
      </c>
      <c r="EH722">
        <f>IF(ISBLANK('Data Entry'!$Ê$722), "", 'Data Entry'!$Ê$722)</f>
      </c>
      <c r="EI722">
        <f>IF(ISBLANK('Data Entry'!$Ë$722), "", 'Data Entry'!$Ë$722)</f>
      </c>
      <c r="EJ722">
        <f>IF(ISBLANK('Data Entry'!$Ì$722), "", 'Data Entry'!$Ì$722)</f>
      </c>
      <c r="EK722">
        <f>IF(ISBLANK('Data Entry'!$Í$722), "", 'Data Entry'!$Í$722)</f>
      </c>
      <c r="EL722">
        <f>IF(ISBLANK('Data Entry'!$Î$722), "", 'Data Entry'!$Î$722)</f>
      </c>
      <c r="EM722">
        <f>IF(ISBLANK('Data Entry'!$Ï$722), "", 'Data Entry'!$Ï$722)</f>
      </c>
      <c r="EN722">
        <f>IF(ISBLANK('Data Entry'!$Ð$722), "", 'Data Entry'!$Ð$722)</f>
      </c>
      <c r="EO722">
        <f>IF(ISBLANK('Data Entry'!$Ñ$722), "", 'Data Entry'!$Ñ$722)</f>
      </c>
      <c r="EP722">
        <f>IF(ISBLANK('Data Entry'!$Ò$722), "", 'Data Entry'!$Ò$722)</f>
      </c>
      <c r="EQ722">
        <f>IF(ISBLANK('Data Entry'!$Ó$722), "", 'Data Entry'!$Ó$722)</f>
      </c>
      <c r="ER722">
        <f>IF(ISBLANK('Data Entry'!$Ô$722), "", 'Data Entry'!$Ô$722)</f>
      </c>
      <c r="ES722">
        <f>IF(ISBLANK('Data Entry'!$Õ$722), "", 'Data Entry'!$Õ$722)</f>
      </c>
      <c r="ET722">
        <f>IF(ISBLANK('Data Entry'!$Ö$722), "", 'Data Entry'!$Ö$722)</f>
      </c>
      <c r="EU722">
        <f>IF(ISBLANK('Data Entry'!$×$722), "", 'Data Entry'!$×$722)</f>
      </c>
      <c r="EV722">
        <f>IF(ISBLANK('Data Entry'!$Ø$722), "", 'Data Entry'!$Ø$722)</f>
      </c>
      <c r="EW722">
        <f>IF(ISBLANK('Data Entry'!$Ù$722), "", 'Data Entry'!$Ù$722)</f>
      </c>
      <c r="EX722">
        <f>IF(ISBLANK('Data Entry'!$Ú$722), "", 'Data Entry'!$Ú$722)</f>
      </c>
      <c r="EY722">
        <f>IF(ISBLANK('Data Entry'!$Û$722), "", 'Data Entry'!$Û$722)</f>
      </c>
      <c r="EZ722">
        <f>IF(ISBLANK('Data Entry'!$Ü$722), "", 'Data Entry'!$Ü$722)</f>
      </c>
      <c r="FA722">
        <f>IF(ISBLANK('Data Entry'!$Ý$722), "", 'Data Entry'!$Ý$722)</f>
      </c>
      <c r="FB722">
        <f>IF(ISBLANK('Data Entry'!$Þ$722), "", 'Data Entry'!$Þ$722)</f>
      </c>
      <c r="FC722">
        <f>IF(ISBLANK('Data Entry'!$ß$722), "", 'Data Entry'!$ß$722)</f>
      </c>
      <c r="FD722">
        <f>IF(ISBLANK('Data Entry'!$à$722), "", 'Data Entry'!$à$722)</f>
      </c>
      <c r="FE722">
        <f>IF(ISBLANK('Data Entry'!$á$722), "", 'Data Entry'!$á$722)</f>
      </c>
      <c r="FF722">
        <f>IF(ISBLANK('Data Entry'!$â$722), "", 'Data Entry'!$â$722)</f>
      </c>
      <c r="FG722">
        <f>IF(ISBLANK('Data Entry'!$ã$722), "", 'Data Entry'!$ã$722)</f>
      </c>
      <c r="FH722">
        <f>IF(ISBLANK('Data Entry'!$ä$722), "", 'Data Entry'!$ä$722)</f>
      </c>
      <c r="FI722">
        <f>IF(ISBLANK('Data Entry'!$å$722), "", 'Data Entry'!$å$722)</f>
      </c>
      <c r="FJ722">
        <f>IF(ISBLANK('Data Entry'!$æ$722), "", 'Data Entry'!$æ$722)</f>
      </c>
      <c r="FK722">
        <f>IF(ISBLANK('Data Entry'!$ç$722), "", 'Data Entry'!$ç$722)</f>
      </c>
      <c r="FL722">
        <f>IF(ISBLANK('Data Entry'!$è$722), "", 'Data Entry'!$è$722)</f>
      </c>
      <c r="FM722">
        <f>IF(ISBLANK('Data Entry'!$é$722), "", 'Data Entry'!$é$722)</f>
      </c>
      <c r="FN722">
        <f>IF(ISBLANK('Data Entry'!$ê$722), "", 'Data Entry'!$ê$722)</f>
      </c>
      <c r="FO722">
        <f>IF(ISBLANK('Data Entry'!$ë$722), "", 'Data Entry'!$ë$722)</f>
      </c>
      <c r="FP722">
        <f>IF(ISBLANK('Data Entry'!$ì$722), "", 'Data Entry'!$ì$722)</f>
      </c>
      <c r="FQ722">
        <f>IF(ISBLANK('Data Entry'!$í$722), "", 'Data Entry'!$í$722)</f>
      </c>
      <c r="FR722">
        <f>IF(ISBLANK('Data Entry'!$î$722), "", 'Data Entry'!$î$722)</f>
      </c>
      <c r="FS722">
        <f>IF(ISBLANK('Data Entry'!$ï$722), "", 'Data Entry'!$ï$722)</f>
      </c>
      <c r="FT722">
        <f>IF(ISBLANK('Data Entry'!$ð$722), "", 'Data Entry'!$ð$722)</f>
      </c>
      <c r="FU722">
        <f>IF(ISBLANK('Data Entry'!$ñ$722), "", 'Data Entry'!$ñ$722)</f>
      </c>
      <c r="FV722">
        <f>IF(ISBLANK('Data Entry'!$ò$722), "", 'Data Entry'!$ò$722)</f>
      </c>
      <c r="FW722">
        <f>IF(ISBLANK('Data Entry'!$ó$722), "", 'Data Entry'!$ó$722)</f>
      </c>
      <c r="FX722">
        <f>IF(ISBLANK('Data Entry'!$ô$722), "", 'Data Entry'!$ô$722)</f>
      </c>
      <c r="FY722">
        <f>IF(ISBLANK('Data Entry'!$õ$722), "", 'Data Entry'!$õ$722)</f>
      </c>
      <c r="FZ722">
        <f>IF(ISBLANK('Data Entry'!$ö$722), "", 'Data Entry'!$ö$722)</f>
      </c>
      <c r="GA722">
        <f>IF(ISBLANK('Data Entry'!$÷$722), "", 'Data Entry'!$÷$722)</f>
      </c>
      <c r="GB722">
        <f>IF(ISBLANK('Data Entry'!$ø$722), "", 'Data Entry'!$ø$722)</f>
      </c>
      <c r="GC722">
        <f>IF(ISBLANK('Data Entry'!$ù$722), "", 'Data Entry'!$ù$722)</f>
      </c>
      <c r="GD722">
        <f>IF(ISBLANK('Data Entry'!$ú$722), "", 'Data Entry'!$ú$722)</f>
      </c>
      <c r="GE722">
        <f>IF(ISBLANK('Data Entry'!$û$722), "", 'Data Entry'!$û$722)</f>
      </c>
      <c r="GF722">
        <f>IF(ISBLANK('Data Entry'!$ü$722), "", 'Data Entry'!$ü$722)</f>
      </c>
      <c r="GG722">
        <f>IF(ISBLANK('Data Entry'!$ý$722), "", 'Data Entry'!$ý$722)</f>
      </c>
      <c r="GH722">
        <f>IF(ISBLANK('Data Entry'!$þ$722), "", 'Data Entry'!$þ$722)</f>
      </c>
      <c r="GI722">
        <f>IF(ISBLANK('Data Entry'!$ÿ$722), "", 'Data Entry'!$ÿ$722)</f>
      </c>
      <c r="GJ722">
        <f>IF(ISBLANK('Data Entry'!$Ā$722), "", 'Data Entry'!$Ā$722)</f>
      </c>
      <c r="GK722">
        <f>IF(ISBLANK('Data Entry'!$ā$722), "", 'Data Entry'!$ā$722)</f>
      </c>
      <c r="GL722">
        <f>IF(ISBLANK('Data Entry'!$Ă$722), "", 'Data Entry'!$Ă$722)</f>
      </c>
      <c r="GM722">
        <f>IF(ISBLANK('Data Entry'!$ă$722), "", 'Data Entry'!$ă$722)</f>
      </c>
      <c r="GN722">
        <f>IF(ISBLANK('Data Entry'!$Ą$722), "", 'Data Entry'!$Ą$722)</f>
      </c>
      <c r="GO722">
        <f>IF(ISBLANK('Data Entry'!$ą$722), "", 'Data Entry'!$ą$722)</f>
      </c>
      <c r="GP722">
        <f>IF(ISBLANK('Data Entry'!$Ć$722), "", 'Data Entry'!$Ć$722)</f>
      </c>
      <c r="GQ722">
        <f>IF(ISBLANK('Data Entry'!$ć$722), "", 'Data Entry'!$ć$722)</f>
      </c>
      <c r="GR722">
        <f>IF(ISBLANK('Data Entry'!$Ĉ$722), "", 'Data Entry'!$Ĉ$722)</f>
      </c>
      <c r="GS722">
        <f>IF(ISBLANK('Data Entry'!$ĉ$722), "", 'Data Entry'!$ĉ$722)</f>
      </c>
      <c r="GT722">
        <f>IF(ISBLANK('Data Entry'!$Ċ$722), "", 'Data Entry'!$Ċ$722)</f>
      </c>
      <c r="GU722">
        <f>IF(ISBLANK('Data Entry'!$ċ$722), "", 'Data Entry'!$ċ$722)</f>
      </c>
      <c r="GV722">
        <f>IF(ISBLANK('Data Entry'!$Č$722), "", 'Data Entry'!$Č$722)</f>
      </c>
      <c r="GW722">
        <f>IF(ISBLANK('Data Entry'!$č$722), "", 'Data Entry'!$č$722)</f>
      </c>
      <c r="GX722">
        <f>IF(ISBLANK('Data Entry'!$Ď$722), "", 'Data Entry'!$Ď$722)</f>
      </c>
      <c r="GY722">
        <f>IF(ISBLANK('Data Entry'!$ď$722), "", 'Data Entry'!$ď$722)</f>
      </c>
      <c r="GZ722">
        <f>IF(ISBLANK('Data Entry'!$Đ$722), "", 'Data Entry'!$Đ$722)</f>
      </c>
      <c r="HA722">
        <f>IF(ISBLANK('Data Entry'!$đ$722), "", 'Data Entry'!$đ$722)</f>
      </c>
      <c r="HB722">
        <f>IF(ISBLANK('Data Entry'!$Ē$722), "", 'Data Entry'!$Ē$722)</f>
      </c>
      <c r="HC722">
        <f>IF(ISBLANK('Data Entry'!$ē$722), "", 'Data Entry'!$ē$722)</f>
      </c>
      <c r="HD722">
        <f>IF(ISBLANK('Data Entry'!$Ĕ$722), "", 'Data Entry'!$Ĕ$722)</f>
      </c>
      <c r="HE722">
        <f>IF(ISBLANK('Data Entry'!$ĕ$722), "", 'Data Entry'!$ĕ$722)</f>
      </c>
      <c r="HF722">
        <f>IF(ISBLANK('Data Entry'!$Ė$722), "", 'Data Entry'!$Ė$722)</f>
      </c>
      <c r="HG722">
        <f>IF(ISBLANK('Data Entry'!$ė$722), "", 'Data Entry'!$ė$722)</f>
      </c>
      <c r="HH722">
        <f>IF(ISBLANK('Data Entry'!$Ę$722), "", 'Data Entry'!$Ę$722)</f>
      </c>
      <c r="HI722">
        <f>IF(ISBLANK('Data Entry'!$ę$722), "", 'Data Entry'!$ę$722)</f>
      </c>
      <c r="HJ722">
        <f>IF(ISBLANK('Data Entry'!$Ě$722), "", 'Data Entry'!$Ě$722)</f>
      </c>
      <c r="HK722">
        <f>IF(ISBLANK('Data Entry'!$ě$722), "", 'Data Entry'!$ě$722)</f>
      </c>
      <c r="HL722">
        <f>IF(ISBLANK('Data Entry'!$Ĝ$722), "", 'Data Entry'!$Ĝ$722)</f>
      </c>
      <c r="HM722">
        <f>IF(ISBLANK('Data Entry'!$ĝ$722), "", 'Data Entry'!$ĝ$722)</f>
      </c>
      <c r="HN722">
        <f>IF(ISBLANK('Data Entry'!$Ğ$722), "", 'Data Entry'!$Ğ$722)</f>
      </c>
      <c r="HO722">
        <f>IF(ISBLANK('Data Entry'!$ğ$722), "", 'Data Entry'!$ğ$722)</f>
      </c>
      <c r="HP722">
        <f>IF(ISBLANK('Data Entry'!$Ġ$722), "", 'Data Entry'!$Ġ$722)</f>
      </c>
      <c r="HQ722">
        <f>IF(ISBLANK('Data Entry'!$ġ$722), "", 'Data Entry'!$ġ$722)</f>
      </c>
      <c r="HR722">
        <f>IF(ISBLANK('Data Entry'!$Ģ$722), "", 'Data Entry'!$Ģ$722)</f>
      </c>
      <c r="HS722">
        <f>IF(ISBLANK('Data Entry'!$ģ$722), "", 'Data Entry'!$ģ$722)</f>
      </c>
      <c r="HT722">
        <f>IF(ISBLANK('Data Entry'!$Ĥ$722), "", 'Data Entry'!$Ĥ$722)</f>
      </c>
      <c r="HU722">
        <f>IF(ISBLANK('Data Entry'!$ĥ$722), "", 'Data Entry'!$ĥ$722)</f>
      </c>
      <c r="HV722">
        <f>IF(ISBLANK('Data Entry'!$Ħ$722), "", 'Data Entry'!$Ħ$722)</f>
      </c>
      <c r="HW722">
        <f>IF(ISBLANK('Data Entry'!$ħ$722), "", 'Data Entry'!$ħ$722)</f>
      </c>
      <c r="HX722">
        <f>IF(ISBLANK('Data Entry'!$Ĩ$722), "", 'Data Entry'!$Ĩ$722)</f>
      </c>
      <c r="HY722">
        <f>IF(ISBLANK('Data Entry'!$ĩ$722), "", 'Data Entry'!$ĩ$722)</f>
      </c>
      <c r="HZ722">
        <f>IF(ISBLANK('Data Entry'!$Ī$722), "", 'Data Entry'!$Ī$722)</f>
      </c>
      <c r="IA722">
        <f>IF(ISBLANK('Data Entry'!$ī$722), "", 'Data Entry'!$ī$722)</f>
      </c>
      <c r="IB722">
        <f>IF(ISBLANK('Data Entry'!$Ĭ$722), "", 'Data Entry'!$Ĭ$722)</f>
      </c>
      <c r="IC722">
        <f>IF(ISBLANK('Data Entry'!$ĭ$722), "", 'Data Entry'!$ĭ$722)</f>
      </c>
      <c r="ID722">
        <f>IF(ISBLANK('Data Entry'!$Į$722), "", 'Data Entry'!$Į$722)</f>
      </c>
      <c r="IE722">
        <f>IF(ISBLANK('Data Entry'!$į$722), "", 'Data Entry'!$į$722)</f>
      </c>
      <c r="IF722">
        <f>IF(ISBLANK('Data Entry'!$İ$722), "", 'Data Entry'!$İ$722)</f>
      </c>
      <c r="IG722">
        <f>IF(ISBLANK('Data Entry'!$ı$722), "", 'Data Entry'!$ı$722)</f>
      </c>
      <c r="IH722">
        <f>IF(ISBLANK('Data Entry'!$Ĳ$722), "", 'Data Entry'!$Ĳ$722)</f>
      </c>
      <c r="II722">
        <f>IF(ISBLANK('Data Entry'!$ĳ$722), "", 'Data Entry'!$ĳ$722)</f>
      </c>
      <c r="IJ722">
        <f>IF(ISBLANK('Data Entry'!$Ĵ$722), "", 'Data Entry'!$Ĵ$722)</f>
      </c>
      <c r="IK722">
        <f>IF(ISBLANK('Data Entry'!$ĵ$722), "", 'Data Entry'!$ĵ$722)</f>
      </c>
      <c r="IL722">
        <f>IF(ISBLANK('Data Entry'!$Ķ$722), "", 'Data Entry'!$Ķ$722)</f>
      </c>
      <c r="IM722">
        <f>IF(ISBLANK('Data Entry'!$ķ$722), "", 'Data Entry'!$ķ$722)</f>
      </c>
      <c r="IN722">
        <f>IF(ISBLANK('Data Entry'!$ĸ$722), "", 'Data Entry'!$ĸ$722)</f>
      </c>
      <c r="IO722">
        <f>IF(ISBLANK('Data Entry'!$Ĺ$722), "", 'Data Entry'!$Ĺ$722)</f>
      </c>
      <c r="IP722">
        <f>IF(ISBLANK('Data Entry'!$ĺ$722), "", 'Data Entry'!$ĺ$722)</f>
      </c>
      <c r="IQ722">
        <f>IF(ISBLANK('Data Entry'!$Ļ$722), "", 'Data Entry'!$Ļ$722)</f>
      </c>
      <c r="IR722">
        <f>IF(ISBLANK('Data Entry'!$ļ$722), "", 'Data Entry'!$ļ$722)</f>
      </c>
      <c r="IS722">
        <f>IF(ISBLANK('Data Entry'!$Ľ$722), "", 'Data Entry'!$Ľ$722)</f>
      </c>
      <c r="IT722">
        <f>IF(ISBLANK('Data Entry'!$ľ$722), "", 'Data Entry'!$ľ$722)</f>
      </c>
    </row>
    <row r="723" spans="1:254" x14ac:dyDescent="0.25">
      <c r="A723">
        <f>IF(ISBLANK('Data Entry'!$A$723), "", 'Data Entry'!$A$723)</f>
      </c>
      <c r="B723">
        <f>IF(ISBLANK('Data Entry'!$B$723), "", 'Data Entry'!$B$723)</f>
      </c>
      <c r="C723">
        <f>IF(ISBLANK('Data Entry'!$C$723), "", 'Data Entry'!$C$723)</f>
      </c>
      <c r="D723">
        <f>IF(ISBLANK('Data Entry'!$D$723), "", 'Data Entry'!$D$723)</f>
      </c>
      <c r="E723">
        <f>IF(ISBLANK('Data Entry'!$E$723), "", 'Data Entry'!$E$723)</f>
      </c>
      <c r="F723">
        <f>IF(ISBLANK('Data Entry'!$F$723), "", 'Data Entry'!$F$723)</f>
      </c>
      <c r="G723">
        <f>IF(ISBLANK('Data Entry'!$G$723), "", 'Data Entry'!$G$723)</f>
      </c>
      <c r="H723">
        <f>IF(ISBLANK('Data Entry'!$H$723), "", 'Data Entry'!$H$723)</f>
      </c>
      <c r="I723">
        <f>IF(ISBLANK('Data Entry'!$I$723), "", 'Data Entry'!$I$723)</f>
      </c>
      <c r="J723">
        <f>IF(ISBLANK('Data Entry'!$J$723), "", 'Data Entry'!$J$723)</f>
      </c>
      <c r="K723">
        <f>IF(ISBLANK('Data Entry'!$K$723), "", 'Data Entry'!$K$723)</f>
      </c>
      <c r="L723">
        <f>IF(ISBLANK('Data Entry'!$L$723), "", 'Data Entry'!$L$723)</f>
      </c>
      <c r="M723">
        <f>IF(ISBLANK('Data Entry'!$M$723), "", 'Data Entry'!$M$723)</f>
      </c>
      <c r="N723">
        <f>IF(ISBLANK('Data Entry'!$N$723), "", 'Data Entry'!$N$723)</f>
      </c>
      <c r="O723">
        <f>IF(ISBLANK('Data Entry'!$O$723), "", 'Data Entry'!$O$723)</f>
      </c>
      <c r="P723">
        <f>IF(ISBLANK('Data Entry'!$P$723), "", 'Data Entry'!$P$723)</f>
      </c>
      <c r="Q723">
        <f>IF(ISBLANK('Data Entry'!$Q$723), "", 'Data Entry'!$Q$723)</f>
      </c>
      <c r="R723">
        <f>IF(ISBLANK('Data Entry'!$R$723), "", 'Data Entry'!$R$723)</f>
      </c>
      <c r="S723">
        <f>IF(ISBLANK('Data Entry'!$S$723), "", 'Data Entry'!$S$723)</f>
      </c>
      <c r="T723">
        <f>IF(ISBLANK('Data Entry'!$T$723), "", 'Data Entry'!$T$723)</f>
      </c>
      <c r="U723">
        <f>IF(ISBLANK('Data Entry'!$U$723), "", 'Data Entry'!$U$723)</f>
      </c>
      <c r="V723">
        <f>IF(ISBLANK('Data Entry'!$V$723), "", 'Data Entry'!$V$723)</f>
      </c>
      <c r="W723">
        <f>IF(ISBLANK('Data Entry'!$W$723), "", 'Data Entry'!$W$723)</f>
      </c>
      <c r="X723">
        <f>IF(ISBLANK('Data Entry'!$X$723), "", 'Data Entry'!$X$723)</f>
      </c>
      <c r="Y723">
        <f>IF(ISBLANK('Data Entry'!$Y$723), "", 'Data Entry'!$Y$723)</f>
      </c>
      <c r="Z723">
        <f>IF(ISBLANK('Data Entry'!$Z$723), "", 'Data Entry'!$Z$723)</f>
      </c>
      <c r="AA723">
        <f>IF(ISBLANK('Data Entry'!$[$723), "", 'Data Entry'!$[$723)</f>
      </c>
      <c r="AB723">
        <f>IF(ISBLANK('Data Entry'!$\$723), "", 'Data Entry'!$\$723)</f>
      </c>
      <c r="AC723">
        <f>IF(ISBLANK('Data Entry'!$]$723), "", 'Data Entry'!$]$723)</f>
      </c>
      <c r="AD723">
        <f>IF(ISBLANK('Data Entry'!$^$723), "", 'Data Entry'!$^$723)</f>
      </c>
      <c r="AE723">
        <f>IF(ISBLANK('Data Entry'!$_$723), "", 'Data Entry'!$_$723)</f>
      </c>
      <c r="AF723">
        <f>IF(ISBLANK('Data Entry'!$`$723), "", 'Data Entry'!$`$723)</f>
      </c>
      <c r="AG723">
        <f>IF(ISBLANK('Data Entry'!$a$723), "", 'Data Entry'!$a$723)</f>
      </c>
      <c r="AH723">
        <f>IF(ISBLANK('Data Entry'!$b$723), "", 'Data Entry'!$b$723)</f>
      </c>
      <c r="AI723">
        <f>IF(ISBLANK('Data Entry'!$c$723), "", 'Data Entry'!$c$723)</f>
      </c>
      <c r="AJ723">
        <f>IF(ISBLANK('Data Entry'!$d$723), "", 'Data Entry'!$d$723)</f>
      </c>
      <c r="AK723">
        <f>IF(ISBLANK('Data Entry'!$e$723), "", 'Data Entry'!$e$723)</f>
      </c>
      <c r="AL723">
        <f>IF(ISBLANK('Data Entry'!$f$723), "", 'Data Entry'!$f$723)</f>
      </c>
      <c r="AM723">
        <f>IF(ISBLANK('Data Entry'!$g$723), "", 'Data Entry'!$g$723)</f>
      </c>
      <c r="AN723">
        <f>IF(ISBLANK('Data Entry'!$h$723), "", 'Data Entry'!$h$723)</f>
      </c>
      <c r="AO723">
        <f>IF(ISBLANK('Data Entry'!$i$723), "", 'Data Entry'!$i$723)</f>
      </c>
      <c r="AP723">
        <f>IF(ISBLANK('Data Entry'!$j$723), "", 'Data Entry'!$j$723)</f>
      </c>
      <c r="AQ723">
        <f>IF(ISBLANK('Data Entry'!$k$723), "", 'Data Entry'!$k$723)</f>
      </c>
      <c r="AR723">
        <f>IF(ISBLANK('Data Entry'!$l$723), "", 'Data Entry'!$l$723)</f>
      </c>
      <c r="AS723">
        <f>IF(ISBLANK('Data Entry'!$m$723), "", 'Data Entry'!$m$723)</f>
      </c>
      <c r="AT723">
        <f>IF(ISBLANK('Data Entry'!$n$723), "", 'Data Entry'!$n$723)</f>
      </c>
      <c r="AU723">
        <f>IF(ISBLANK('Data Entry'!$o$723), "", 'Data Entry'!$o$723)</f>
      </c>
      <c r="AV723">
        <f>IF(ISBLANK('Data Entry'!$p$723), "", 'Data Entry'!$p$723)</f>
      </c>
      <c r="AW723">
        <f>IF(ISBLANK('Data Entry'!$q$723), "", 'Data Entry'!$q$723)</f>
      </c>
      <c r="AX723">
        <f>IF(ISBLANK('Data Entry'!$r$723), "", 'Data Entry'!$r$723)</f>
      </c>
      <c r="AY723">
        <f>IF(ISBLANK('Data Entry'!$s$723), "", 'Data Entry'!$s$723)</f>
      </c>
      <c r="AZ723">
        <f>IF(ISBLANK('Data Entry'!$t$723), "", 'Data Entry'!$t$723)</f>
      </c>
      <c r="BA723">
        <f>IF(ISBLANK('Data Entry'!$u$723), "", 'Data Entry'!$u$723)</f>
      </c>
      <c r="BB723">
        <f>IF(ISBLANK('Data Entry'!$v$723), "", 'Data Entry'!$v$723)</f>
      </c>
      <c r="BC723">
        <f>IF(ISBLANK('Data Entry'!$w$723), "", 'Data Entry'!$w$723)</f>
      </c>
      <c r="BD723">
        <f>IF(ISBLANK('Data Entry'!$x$723), "", 'Data Entry'!$x$723)</f>
      </c>
      <c r="BE723">
        <f>IF(ISBLANK('Data Entry'!$y$723), "", 'Data Entry'!$y$723)</f>
      </c>
      <c r="BF723">
        <f>IF(ISBLANK('Data Entry'!$z$723), "", 'Data Entry'!$z$723)</f>
      </c>
      <c r="BG723">
        <f>IF(ISBLANK('Data Entry'!${$723), "", 'Data Entry'!${$723)</f>
      </c>
      <c r="BH723">
        <f>IF(ISBLANK('Data Entry'!$|$723), "", 'Data Entry'!$|$723)</f>
      </c>
      <c r="BI723">
        <f>IF(ISBLANK('Data Entry'!$}$723), "", 'Data Entry'!$}$723)</f>
      </c>
      <c r="BJ723">
        <f>IF(ISBLANK('Data Entry'!$~$723), "", 'Data Entry'!$~$723)</f>
      </c>
      <c r="BK723">
        <f>IF(ISBLANK('Data Entry'!$$723), "", 'Data Entry'!$$723)</f>
      </c>
      <c r="BL723">
        <f>IF(ISBLANK('Data Entry'!$$723), "", 'Data Entry'!$$723)</f>
      </c>
      <c r="BM723">
        <f>IF(ISBLANK('Data Entry'!$$723), "", 'Data Entry'!$$723)</f>
      </c>
      <c r="BN723">
        <f>IF(ISBLANK('Data Entry'!$$723), "", 'Data Entry'!$$723)</f>
      </c>
      <c r="BO723">
        <f>IF(ISBLANK('Data Entry'!$$723), "", 'Data Entry'!$$723)</f>
      </c>
      <c r="BP723">
        <f>IF(ISBLANK('Data Entry'!$$723), "", 'Data Entry'!$$723)</f>
      </c>
      <c r="BQ723">
        <f>IF(ISBLANK('Data Entry'!$$723), "", 'Data Entry'!$$723)</f>
      </c>
      <c r="BR723">
        <f>IF(ISBLANK('Data Entry'!$$723), "", 'Data Entry'!$$723)</f>
      </c>
      <c r="BS723">
        <f>IF(ISBLANK('Data Entry'!$$723), "", 'Data Entry'!$$723)</f>
      </c>
      <c r="BT723">
        <f>IF(ISBLANK('Data Entry'!$$723), "", 'Data Entry'!$$723)</f>
      </c>
      <c r="BU723">
        <f>IF(ISBLANK('Data Entry'!$$723), "", 'Data Entry'!$$723)</f>
      </c>
      <c r="BV723">
        <f>IF(ISBLANK('Data Entry'!$$723), "", 'Data Entry'!$$723)</f>
      </c>
      <c r="BW723">
        <f>IF(ISBLANK('Data Entry'!$$723), "", 'Data Entry'!$$723)</f>
      </c>
      <c r="BX723">
        <f>IF(ISBLANK('Data Entry'!$$723), "", 'Data Entry'!$$723)</f>
      </c>
      <c r="BY723">
        <f>IF(ISBLANK('Data Entry'!$$723), "", 'Data Entry'!$$723)</f>
      </c>
      <c r="BZ723">
        <f>IF(ISBLANK('Data Entry'!$$723), "", 'Data Entry'!$$723)</f>
      </c>
      <c r="CA723">
        <f>IF(ISBLANK('Data Entry'!$$723), "", 'Data Entry'!$$723)</f>
      </c>
      <c r="CB723">
        <f>IF(ISBLANK('Data Entry'!$$723), "", 'Data Entry'!$$723)</f>
      </c>
      <c r="CC723">
        <f>IF(ISBLANK('Data Entry'!$$723), "", 'Data Entry'!$$723)</f>
      </c>
      <c r="CD723">
        <f>IF(ISBLANK('Data Entry'!$$723), "", 'Data Entry'!$$723)</f>
      </c>
      <c r="CE723">
        <f>IF(ISBLANK('Data Entry'!$$723), "", 'Data Entry'!$$723)</f>
      </c>
      <c r="CF723">
        <f>IF(ISBLANK('Data Entry'!$$723), "", 'Data Entry'!$$723)</f>
      </c>
      <c r="CG723">
        <f>IF(ISBLANK('Data Entry'!$$723), "", 'Data Entry'!$$723)</f>
      </c>
      <c r="CH723">
        <f>IF(ISBLANK('Data Entry'!$$723), "", 'Data Entry'!$$723)</f>
      </c>
      <c r="CI723">
        <f>IF(ISBLANK('Data Entry'!$$723), "", 'Data Entry'!$$723)</f>
      </c>
      <c r="CJ723">
        <f>IF(ISBLANK('Data Entry'!$$723), "", 'Data Entry'!$$723)</f>
      </c>
      <c r="CK723">
        <f>IF(ISBLANK('Data Entry'!$$723), "", 'Data Entry'!$$723)</f>
      </c>
      <c r="CL723">
        <f>IF(ISBLANK('Data Entry'!$$723), "", 'Data Entry'!$$723)</f>
      </c>
      <c r="CM723">
        <f>IF(ISBLANK('Data Entry'!$$723), "", 'Data Entry'!$$723)</f>
      </c>
      <c r="CN723">
        <f>IF(ISBLANK('Data Entry'!$$723), "", 'Data Entry'!$$723)</f>
      </c>
      <c r="CO723">
        <f>IF(ISBLANK('Data Entry'!$$723), "", 'Data Entry'!$$723)</f>
      </c>
      <c r="CP723">
        <f>IF(ISBLANK('Data Entry'!$$723), "", 'Data Entry'!$$723)</f>
      </c>
      <c r="CQ723">
        <f>IF(ISBLANK('Data Entry'!$$723), "", 'Data Entry'!$$723)</f>
      </c>
      <c r="CR723">
        <f>IF(ISBLANK('Data Entry'!$ $723), "", 'Data Entry'!$ $723)</f>
      </c>
      <c r="CS723">
        <f>IF(ISBLANK('Data Entry'!$¡$723), "", 'Data Entry'!$¡$723)</f>
      </c>
      <c r="CT723">
        <f>IF(ISBLANK('Data Entry'!$¢$723), "", 'Data Entry'!$¢$723)</f>
      </c>
      <c r="CU723">
        <f>IF(ISBLANK('Data Entry'!$£$723), "", 'Data Entry'!$£$723)</f>
      </c>
      <c r="CV723">
        <f>IF(ISBLANK('Data Entry'!$¤$723), "", 'Data Entry'!$¤$723)</f>
      </c>
      <c r="CW723">
        <f>IF(ISBLANK('Data Entry'!$¥$723), "", 'Data Entry'!$¥$723)</f>
      </c>
      <c r="CX723">
        <f>IF(ISBLANK('Data Entry'!$¦$723), "", 'Data Entry'!$¦$723)</f>
      </c>
      <c r="CY723">
        <f>IF(ISBLANK('Data Entry'!$§$723), "", 'Data Entry'!$§$723)</f>
      </c>
      <c r="CZ723">
        <f>IF(ISBLANK('Data Entry'!$¨$723), "", 'Data Entry'!$¨$723)</f>
      </c>
      <c r="DA723">
        <f>IF(ISBLANK('Data Entry'!$©$723), "", 'Data Entry'!$©$723)</f>
      </c>
      <c r="DB723">
        <f>IF(ISBLANK('Data Entry'!$ª$723), "", 'Data Entry'!$ª$723)</f>
      </c>
      <c r="DC723">
        <f>IF(ISBLANK('Data Entry'!$«$723), "", 'Data Entry'!$«$723)</f>
      </c>
      <c r="DD723">
        <f>IF(ISBLANK('Data Entry'!$¬$723), "", 'Data Entry'!$¬$723)</f>
      </c>
      <c r="DE723">
        <f>IF(ISBLANK('Data Entry'!$­$723), "", 'Data Entry'!$­$723)</f>
      </c>
      <c r="DF723">
        <f>IF(ISBLANK('Data Entry'!$®$723), "", 'Data Entry'!$®$723)</f>
      </c>
      <c r="DG723">
        <f>IF(ISBLANK('Data Entry'!$¯$723), "", 'Data Entry'!$¯$723)</f>
      </c>
      <c r="DH723">
        <f>IF(ISBLANK('Data Entry'!$°$723), "", 'Data Entry'!$°$723)</f>
      </c>
      <c r="DI723">
        <f>IF(ISBLANK('Data Entry'!$±$723), "", 'Data Entry'!$±$723)</f>
      </c>
      <c r="DJ723">
        <f>IF(ISBLANK('Data Entry'!$²$723), "", 'Data Entry'!$²$723)</f>
      </c>
      <c r="DK723">
        <f>IF(ISBLANK('Data Entry'!$³$723), "", 'Data Entry'!$³$723)</f>
      </c>
      <c r="DL723">
        <f>IF(ISBLANK('Data Entry'!$´$723), "", 'Data Entry'!$´$723)</f>
      </c>
      <c r="DM723">
        <f>IF(ISBLANK('Data Entry'!$µ$723), "", 'Data Entry'!$µ$723)</f>
      </c>
      <c r="DN723">
        <f>IF(ISBLANK('Data Entry'!$¶$723), "", 'Data Entry'!$¶$723)</f>
      </c>
      <c r="DO723">
        <f>IF(ISBLANK('Data Entry'!$·$723), "", 'Data Entry'!$·$723)</f>
      </c>
      <c r="DP723">
        <f>IF(ISBLANK('Data Entry'!$¸$723), "", 'Data Entry'!$¸$723)</f>
      </c>
      <c r="DQ723">
        <f>IF(ISBLANK('Data Entry'!$¹$723), "", 'Data Entry'!$¹$723)</f>
      </c>
      <c r="DR723">
        <f>IF(ISBLANK('Data Entry'!$º$723), "", 'Data Entry'!$º$723)</f>
      </c>
      <c r="DS723">
        <f>IF(ISBLANK('Data Entry'!$»$723), "", 'Data Entry'!$»$723)</f>
      </c>
      <c r="DT723">
        <f>IF(ISBLANK('Data Entry'!$¼$723), "", 'Data Entry'!$¼$723)</f>
      </c>
      <c r="DU723">
        <f>IF(ISBLANK('Data Entry'!$½$723), "", 'Data Entry'!$½$723)</f>
      </c>
      <c r="DV723">
        <f>IF(ISBLANK('Data Entry'!$¾$723), "", 'Data Entry'!$¾$723)</f>
      </c>
      <c r="DW723">
        <f>IF(ISBLANK('Data Entry'!$¿$723), "", 'Data Entry'!$¿$723)</f>
      </c>
      <c r="DX723">
        <f>IF(ISBLANK('Data Entry'!$À$723), "", 'Data Entry'!$À$723)</f>
      </c>
      <c r="DY723">
        <f>IF(ISBLANK('Data Entry'!$Á$723), "", 'Data Entry'!$Á$723)</f>
      </c>
      <c r="DZ723">
        <f>IF(ISBLANK('Data Entry'!$Â$723), "", 'Data Entry'!$Â$723)</f>
      </c>
      <c r="EA723">
        <f>IF(ISBLANK('Data Entry'!$Ã$723), "", 'Data Entry'!$Ã$723)</f>
      </c>
      <c r="EB723">
        <f>IF(ISBLANK('Data Entry'!$Ä$723), "", 'Data Entry'!$Ä$723)</f>
      </c>
      <c r="EC723">
        <f>IF(ISBLANK('Data Entry'!$Å$723), "", 'Data Entry'!$Å$723)</f>
      </c>
      <c r="ED723">
        <f>IF(ISBLANK('Data Entry'!$Æ$723), "", 'Data Entry'!$Æ$723)</f>
      </c>
      <c r="EE723">
        <f>IF(ISBLANK('Data Entry'!$Ç$723), "", 'Data Entry'!$Ç$723)</f>
      </c>
      <c r="EF723">
        <f>IF(ISBLANK('Data Entry'!$È$723), "", 'Data Entry'!$È$723)</f>
      </c>
      <c r="EG723">
        <f>IF(ISBLANK('Data Entry'!$É$723), "", 'Data Entry'!$É$723)</f>
      </c>
      <c r="EH723">
        <f>IF(ISBLANK('Data Entry'!$Ê$723), "", 'Data Entry'!$Ê$723)</f>
      </c>
      <c r="EI723">
        <f>IF(ISBLANK('Data Entry'!$Ë$723), "", 'Data Entry'!$Ë$723)</f>
      </c>
      <c r="EJ723">
        <f>IF(ISBLANK('Data Entry'!$Ì$723), "", 'Data Entry'!$Ì$723)</f>
      </c>
      <c r="EK723">
        <f>IF(ISBLANK('Data Entry'!$Í$723), "", 'Data Entry'!$Í$723)</f>
      </c>
      <c r="EL723">
        <f>IF(ISBLANK('Data Entry'!$Î$723), "", 'Data Entry'!$Î$723)</f>
      </c>
      <c r="EM723">
        <f>IF(ISBLANK('Data Entry'!$Ï$723), "", 'Data Entry'!$Ï$723)</f>
      </c>
      <c r="EN723">
        <f>IF(ISBLANK('Data Entry'!$Ð$723), "", 'Data Entry'!$Ð$723)</f>
      </c>
      <c r="EO723">
        <f>IF(ISBLANK('Data Entry'!$Ñ$723), "", 'Data Entry'!$Ñ$723)</f>
      </c>
      <c r="EP723">
        <f>IF(ISBLANK('Data Entry'!$Ò$723), "", 'Data Entry'!$Ò$723)</f>
      </c>
      <c r="EQ723">
        <f>IF(ISBLANK('Data Entry'!$Ó$723), "", 'Data Entry'!$Ó$723)</f>
      </c>
      <c r="ER723">
        <f>IF(ISBLANK('Data Entry'!$Ô$723), "", 'Data Entry'!$Ô$723)</f>
      </c>
      <c r="ES723">
        <f>IF(ISBLANK('Data Entry'!$Õ$723), "", 'Data Entry'!$Õ$723)</f>
      </c>
      <c r="ET723">
        <f>IF(ISBLANK('Data Entry'!$Ö$723), "", 'Data Entry'!$Ö$723)</f>
      </c>
      <c r="EU723">
        <f>IF(ISBLANK('Data Entry'!$×$723), "", 'Data Entry'!$×$723)</f>
      </c>
      <c r="EV723">
        <f>IF(ISBLANK('Data Entry'!$Ø$723), "", 'Data Entry'!$Ø$723)</f>
      </c>
      <c r="EW723">
        <f>IF(ISBLANK('Data Entry'!$Ù$723), "", 'Data Entry'!$Ù$723)</f>
      </c>
      <c r="EX723">
        <f>IF(ISBLANK('Data Entry'!$Ú$723), "", 'Data Entry'!$Ú$723)</f>
      </c>
      <c r="EY723">
        <f>IF(ISBLANK('Data Entry'!$Û$723), "", 'Data Entry'!$Û$723)</f>
      </c>
      <c r="EZ723">
        <f>IF(ISBLANK('Data Entry'!$Ü$723), "", 'Data Entry'!$Ü$723)</f>
      </c>
      <c r="FA723">
        <f>IF(ISBLANK('Data Entry'!$Ý$723), "", 'Data Entry'!$Ý$723)</f>
      </c>
      <c r="FB723">
        <f>IF(ISBLANK('Data Entry'!$Þ$723), "", 'Data Entry'!$Þ$723)</f>
      </c>
      <c r="FC723">
        <f>IF(ISBLANK('Data Entry'!$ß$723), "", 'Data Entry'!$ß$723)</f>
      </c>
      <c r="FD723">
        <f>IF(ISBLANK('Data Entry'!$à$723), "", 'Data Entry'!$à$723)</f>
      </c>
      <c r="FE723">
        <f>IF(ISBLANK('Data Entry'!$á$723), "", 'Data Entry'!$á$723)</f>
      </c>
      <c r="FF723">
        <f>IF(ISBLANK('Data Entry'!$â$723), "", 'Data Entry'!$â$723)</f>
      </c>
      <c r="FG723">
        <f>IF(ISBLANK('Data Entry'!$ã$723), "", 'Data Entry'!$ã$723)</f>
      </c>
      <c r="FH723">
        <f>IF(ISBLANK('Data Entry'!$ä$723), "", 'Data Entry'!$ä$723)</f>
      </c>
      <c r="FI723">
        <f>IF(ISBLANK('Data Entry'!$å$723), "", 'Data Entry'!$å$723)</f>
      </c>
      <c r="FJ723">
        <f>IF(ISBLANK('Data Entry'!$æ$723), "", 'Data Entry'!$æ$723)</f>
      </c>
      <c r="FK723">
        <f>IF(ISBLANK('Data Entry'!$ç$723), "", 'Data Entry'!$ç$723)</f>
      </c>
      <c r="FL723">
        <f>IF(ISBLANK('Data Entry'!$è$723), "", 'Data Entry'!$è$723)</f>
      </c>
      <c r="FM723">
        <f>IF(ISBLANK('Data Entry'!$é$723), "", 'Data Entry'!$é$723)</f>
      </c>
      <c r="FN723">
        <f>IF(ISBLANK('Data Entry'!$ê$723), "", 'Data Entry'!$ê$723)</f>
      </c>
      <c r="FO723">
        <f>IF(ISBLANK('Data Entry'!$ë$723), "", 'Data Entry'!$ë$723)</f>
      </c>
      <c r="FP723">
        <f>IF(ISBLANK('Data Entry'!$ì$723), "", 'Data Entry'!$ì$723)</f>
      </c>
      <c r="FQ723">
        <f>IF(ISBLANK('Data Entry'!$í$723), "", 'Data Entry'!$í$723)</f>
      </c>
      <c r="FR723">
        <f>IF(ISBLANK('Data Entry'!$î$723), "", 'Data Entry'!$î$723)</f>
      </c>
      <c r="FS723">
        <f>IF(ISBLANK('Data Entry'!$ï$723), "", 'Data Entry'!$ï$723)</f>
      </c>
      <c r="FT723">
        <f>IF(ISBLANK('Data Entry'!$ð$723), "", 'Data Entry'!$ð$723)</f>
      </c>
      <c r="FU723">
        <f>IF(ISBLANK('Data Entry'!$ñ$723), "", 'Data Entry'!$ñ$723)</f>
      </c>
      <c r="FV723">
        <f>IF(ISBLANK('Data Entry'!$ò$723), "", 'Data Entry'!$ò$723)</f>
      </c>
      <c r="FW723">
        <f>IF(ISBLANK('Data Entry'!$ó$723), "", 'Data Entry'!$ó$723)</f>
      </c>
      <c r="FX723">
        <f>IF(ISBLANK('Data Entry'!$ô$723), "", 'Data Entry'!$ô$723)</f>
      </c>
      <c r="FY723">
        <f>IF(ISBLANK('Data Entry'!$õ$723), "", 'Data Entry'!$õ$723)</f>
      </c>
      <c r="FZ723">
        <f>IF(ISBLANK('Data Entry'!$ö$723), "", 'Data Entry'!$ö$723)</f>
      </c>
      <c r="GA723">
        <f>IF(ISBLANK('Data Entry'!$÷$723), "", 'Data Entry'!$÷$723)</f>
      </c>
      <c r="GB723">
        <f>IF(ISBLANK('Data Entry'!$ø$723), "", 'Data Entry'!$ø$723)</f>
      </c>
      <c r="GC723">
        <f>IF(ISBLANK('Data Entry'!$ù$723), "", 'Data Entry'!$ù$723)</f>
      </c>
      <c r="GD723">
        <f>IF(ISBLANK('Data Entry'!$ú$723), "", 'Data Entry'!$ú$723)</f>
      </c>
      <c r="GE723">
        <f>IF(ISBLANK('Data Entry'!$û$723), "", 'Data Entry'!$û$723)</f>
      </c>
      <c r="GF723">
        <f>IF(ISBLANK('Data Entry'!$ü$723), "", 'Data Entry'!$ü$723)</f>
      </c>
      <c r="GG723">
        <f>IF(ISBLANK('Data Entry'!$ý$723), "", 'Data Entry'!$ý$723)</f>
      </c>
      <c r="GH723">
        <f>IF(ISBLANK('Data Entry'!$þ$723), "", 'Data Entry'!$þ$723)</f>
      </c>
      <c r="GI723">
        <f>IF(ISBLANK('Data Entry'!$ÿ$723), "", 'Data Entry'!$ÿ$723)</f>
      </c>
      <c r="GJ723">
        <f>IF(ISBLANK('Data Entry'!$Ā$723), "", 'Data Entry'!$Ā$723)</f>
      </c>
      <c r="GK723">
        <f>IF(ISBLANK('Data Entry'!$ā$723), "", 'Data Entry'!$ā$723)</f>
      </c>
      <c r="GL723">
        <f>IF(ISBLANK('Data Entry'!$Ă$723), "", 'Data Entry'!$Ă$723)</f>
      </c>
      <c r="GM723">
        <f>IF(ISBLANK('Data Entry'!$ă$723), "", 'Data Entry'!$ă$723)</f>
      </c>
      <c r="GN723">
        <f>IF(ISBLANK('Data Entry'!$Ą$723), "", 'Data Entry'!$Ą$723)</f>
      </c>
      <c r="GO723">
        <f>IF(ISBLANK('Data Entry'!$ą$723), "", 'Data Entry'!$ą$723)</f>
      </c>
      <c r="GP723">
        <f>IF(ISBLANK('Data Entry'!$Ć$723), "", 'Data Entry'!$Ć$723)</f>
      </c>
      <c r="GQ723">
        <f>IF(ISBLANK('Data Entry'!$ć$723), "", 'Data Entry'!$ć$723)</f>
      </c>
      <c r="GR723">
        <f>IF(ISBLANK('Data Entry'!$Ĉ$723), "", 'Data Entry'!$Ĉ$723)</f>
      </c>
      <c r="GS723">
        <f>IF(ISBLANK('Data Entry'!$ĉ$723), "", 'Data Entry'!$ĉ$723)</f>
      </c>
      <c r="GT723">
        <f>IF(ISBLANK('Data Entry'!$Ċ$723), "", 'Data Entry'!$Ċ$723)</f>
      </c>
      <c r="GU723">
        <f>IF(ISBLANK('Data Entry'!$ċ$723), "", 'Data Entry'!$ċ$723)</f>
      </c>
      <c r="GV723">
        <f>IF(ISBLANK('Data Entry'!$Č$723), "", 'Data Entry'!$Č$723)</f>
      </c>
      <c r="GW723">
        <f>IF(ISBLANK('Data Entry'!$č$723), "", 'Data Entry'!$č$723)</f>
      </c>
      <c r="GX723">
        <f>IF(ISBLANK('Data Entry'!$Ď$723), "", 'Data Entry'!$Ď$723)</f>
      </c>
      <c r="GY723">
        <f>IF(ISBLANK('Data Entry'!$ď$723), "", 'Data Entry'!$ď$723)</f>
      </c>
      <c r="GZ723">
        <f>IF(ISBLANK('Data Entry'!$Đ$723), "", 'Data Entry'!$Đ$723)</f>
      </c>
      <c r="HA723">
        <f>IF(ISBLANK('Data Entry'!$đ$723), "", 'Data Entry'!$đ$723)</f>
      </c>
      <c r="HB723">
        <f>IF(ISBLANK('Data Entry'!$Ē$723), "", 'Data Entry'!$Ē$723)</f>
      </c>
      <c r="HC723">
        <f>IF(ISBLANK('Data Entry'!$ē$723), "", 'Data Entry'!$ē$723)</f>
      </c>
      <c r="HD723">
        <f>IF(ISBLANK('Data Entry'!$Ĕ$723), "", 'Data Entry'!$Ĕ$723)</f>
      </c>
      <c r="HE723">
        <f>IF(ISBLANK('Data Entry'!$ĕ$723), "", 'Data Entry'!$ĕ$723)</f>
      </c>
      <c r="HF723">
        <f>IF(ISBLANK('Data Entry'!$Ė$723), "", 'Data Entry'!$Ė$723)</f>
      </c>
      <c r="HG723">
        <f>IF(ISBLANK('Data Entry'!$ė$723), "", 'Data Entry'!$ė$723)</f>
      </c>
      <c r="HH723">
        <f>IF(ISBLANK('Data Entry'!$Ę$723), "", 'Data Entry'!$Ę$723)</f>
      </c>
      <c r="HI723">
        <f>IF(ISBLANK('Data Entry'!$ę$723), "", 'Data Entry'!$ę$723)</f>
      </c>
      <c r="HJ723">
        <f>IF(ISBLANK('Data Entry'!$Ě$723), "", 'Data Entry'!$Ě$723)</f>
      </c>
      <c r="HK723">
        <f>IF(ISBLANK('Data Entry'!$ě$723), "", 'Data Entry'!$ě$723)</f>
      </c>
      <c r="HL723">
        <f>IF(ISBLANK('Data Entry'!$Ĝ$723), "", 'Data Entry'!$Ĝ$723)</f>
      </c>
      <c r="HM723">
        <f>IF(ISBLANK('Data Entry'!$ĝ$723), "", 'Data Entry'!$ĝ$723)</f>
      </c>
      <c r="HN723">
        <f>IF(ISBLANK('Data Entry'!$Ğ$723), "", 'Data Entry'!$Ğ$723)</f>
      </c>
      <c r="HO723">
        <f>IF(ISBLANK('Data Entry'!$ğ$723), "", 'Data Entry'!$ğ$723)</f>
      </c>
      <c r="HP723">
        <f>IF(ISBLANK('Data Entry'!$Ġ$723), "", 'Data Entry'!$Ġ$723)</f>
      </c>
      <c r="HQ723">
        <f>IF(ISBLANK('Data Entry'!$ġ$723), "", 'Data Entry'!$ġ$723)</f>
      </c>
      <c r="HR723">
        <f>IF(ISBLANK('Data Entry'!$Ģ$723), "", 'Data Entry'!$Ģ$723)</f>
      </c>
      <c r="HS723">
        <f>IF(ISBLANK('Data Entry'!$ģ$723), "", 'Data Entry'!$ģ$723)</f>
      </c>
      <c r="HT723">
        <f>IF(ISBLANK('Data Entry'!$Ĥ$723), "", 'Data Entry'!$Ĥ$723)</f>
      </c>
      <c r="HU723">
        <f>IF(ISBLANK('Data Entry'!$ĥ$723), "", 'Data Entry'!$ĥ$723)</f>
      </c>
      <c r="HV723">
        <f>IF(ISBLANK('Data Entry'!$Ħ$723), "", 'Data Entry'!$Ħ$723)</f>
      </c>
      <c r="HW723">
        <f>IF(ISBLANK('Data Entry'!$ħ$723), "", 'Data Entry'!$ħ$723)</f>
      </c>
      <c r="HX723">
        <f>IF(ISBLANK('Data Entry'!$Ĩ$723), "", 'Data Entry'!$Ĩ$723)</f>
      </c>
      <c r="HY723">
        <f>IF(ISBLANK('Data Entry'!$ĩ$723), "", 'Data Entry'!$ĩ$723)</f>
      </c>
      <c r="HZ723">
        <f>IF(ISBLANK('Data Entry'!$Ī$723), "", 'Data Entry'!$Ī$723)</f>
      </c>
      <c r="IA723">
        <f>IF(ISBLANK('Data Entry'!$ī$723), "", 'Data Entry'!$ī$723)</f>
      </c>
      <c r="IB723">
        <f>IF(ISBLANK('Data Entry'!$Ĭ$723), "", 'Data Entry'!$Ĭ$723)</f>
      </c>
      <c r="IC723">
        <f>IF(ISBLANK('Data Entry'!$ĭ$723), "", 'Data Entry'!$ĭ$723)</f>
      </c>
      <c r="ID723">
        <f>IF(ISBLANK('Data Entry'!$Į$723), "", 'Data Entry'!$Į$723)</f>
      </c>
      <c r="IE723">
        <f>IF(ISBLANK('Data Entry'!$į$723), "", 'Data Entry'!$į$723)</f>
      </c>
      <c r="IF723">
        <f>IF(ISBLANK('Data Entry'!$İ$723), "", 'Data Entry'!$İ$723)</f>
      </c>
      <c r="IG723">
        <f>IF(ISBLANK('Data Entry'!$ı$723), "", 'Data Entry'!$ı$723)</f>
      </c>
      <c r="IH723">
        <f>IF(ISBLANK('Data Entry'!$Ĳ$723), "", 'Data Entry'!$Ĳ$723)</f>
      </c>
      <c r="II723">
        <f>IF(ISBLANK('Data Entry'!$ĳ$723), "", 'Data Entry'!$ĳ$723)</f>
      </c>
      <c r="IJ723">
        <f>IF(ISBLANK('Data Entry'!$Ĵ$723), "", 'Data Entry'!$Ĵ$723)</f>
      </c>
      <c r="IK723">
        <f>IF(ISBLANK('Data Entry'!$ĵ$723), "", 'Data Entry'!$ĵ$723)</f>
      </c>
      <c r="IL723">
        <f>IF(ISBLANK('Data Entry'!$Ķ$723), "", 'Data Entry'!$Ķ$723)</f>
      </c>
      <c r="IM723">
        <f>IF(ISBLANK('Data Entry'!$ķ$723), "", 'Data Entry'!$ķ$723)</f>
      </c>
      <c r="IN723">
        <f>IF(ISBLANK('Data Entry'!$ĸ$723), "", 'Data Entry'!$ĸ$723)</f>
      </c>
      <c r="IO723">
        <f>IF(ISBLANK('Data Entry'!$Ĺ$723), "", 'Data Entry'!$Ĺ$723)</f>
      </c>
      <c r="IP723">
        <f>IF(ISBLANK('Data Entry'!$ĺ$723), "", 'Data Entry'!$ĺ$723)</f>
      </c>
      <c r="IQ723">
        <f>IF(ISBLANK('Data Entry'!$Ļ$723), "", 'Data Entry'!$Ļ$723)</f>
      </c>
      <c r="IR723">
        <f>IF(ISBLANK('Data Entry'!$ļ$723), "", 'Data Entry'!$ļ$723)</f>
      </c>
      <c r="IS723">
        <f>IF(ISBLANK('Data Entry'!$Ľ$723), "", 'Data Entry'!$Ľ$723)</f>
      </c>
      <c r="IT723">
        <f>IF(ISBLANK('Data Entry'!$ľ$723), "", 'Data Entry'!$ľ$723)</f>
      </c>
    </row>
    <row r="724" spans="1:254" x14ac:dyDescent="0.25">
      <c r="A724">
        <f>IF(ISBLANK('Data Entry'!$A$724), "", 'Data Entry'!$A$724)</f>
      </c>
      <c r="B724">
        <f>IF(ISBLANK('Data Entry'!$B$724), "", 'Data Entry'!$B$724)</f>
      </c>
      <c r="C724">
        <f>IF(ISBLANK('Data Entry'!$C$724), "", 'Data Entry'!$C$724)</f>
      </c>
      <c r="D724">
        <f>IF(ISBLANK('Data Entry'!$D$724), "", 'Data Entry'!$D$724)</f>
      </c>
      <c r="E724">
        <f>IF(ISBLANK('Data Entry'!$E$724), "", 'Data Entry'!$E$724)</f>
      </c>
      <c r="F724">
        <f>IF(ISBLANK('Data Entry'!$F$724), "", 'Data Entry'!$F$724)</f>
      </c>
      <c r="G724">
        <f>IF(ISBLANK('Data Entry'!$G$724), "", 'Data Entry'!$G$724)</f>
      </c>
      <c r="H724">
        <f>IF(ISBLANK('Data Entry'!$H$724), "", 'Data Entry'!$H$724)</f>
      </c>
      <c r="I724">
        <f>IF(ISBLANK('Data Entry'!$I$724), "", 'Data Entry'!$I$724)</f>
      </c>
      <c r="J724">
        <f>IF(ISBLANK('Data Entry'!$J$724), "", 'Data Entry'!$J$724)</f>
      </c>
      <c r="K724">
        <f>IF(ISBLANK('Data Entry'!$K$724), "", 'Data Entry'!$K$724)</f>
      </c>
      <c r="L724">
        <f>IF(ISBLANK('Data Entry'!$L$724), "", 'Data Entry'!$L$724)</f>
      </c>
      <c r="M724">
        <f>IF(ISBLANK('Data Entry'!$M$724), "", 'Data Entry'!$M$724)</f>
      </c>
      <c r="N724">
        <f>IF(ISBLANK('Data Entry'!$N$724), "", 'Data Entry'!$N$724)</f>
      </c>
      <c r="O724">
        <f>IF(ISBLANK('Data Entry'!$O$724), "", 'Data Entry'!$O$724)</f>
      </c>
      <c r="P724">
        <f>IF(ISBLANK('Data Entry'!$P$724), "", 'Data Entry'!$P$724)</f>
      </c>
      <c r="Q724">
        <f>IF(ISBLANK('Data Entry'!$Q$724), "", 'Data Entry'!$Q$724)</f>
      </c>
      <c r="R724">
        <f>IF(ISBLANK('Data Entry'!$R$724), "", 'Data Entry'!$R$724)</f>
      </c>
      <c r="S724">
        <f>IF(ISBLANK('Data Entry'!$S$724), "", 'Data Entry'!$S$724)</f>
      </c>
      <c r="T724">
        <f>IF(ISBLANK('Data Entry'!$T$724), "", 'Data Entry'!$T$724)</f>
      </c>
      <c r="U724">
        <f>IF(ISBLANK('Data Entry'!$U$724), "", 'Data Entry'!$U$724)</f>
      </c>
      <c r="V724">
        <f>IF(ISBLANK('Data Entry'!$V$724), "", 'Data Entry'!$V$724)</f>
      </c>
      <c r="W724">
        <f>IF(ISBLANK('Data Entry'!$W$724), "", 'Data Entry'!$W$724)</f>
      </c>
      <c r="X724">
        <f>IF(ISBLANK('Data Entry'!$X$724), "", 'Data Entry'!$X$724)</f>
      </c>
      <c r="Y724">
        <f>IF(ISBLANK('Data Entry'!$Y$724), "", 'Data Entry'!$Y$724)</f>
      </c>
      <c r="Z724">
        <f>IF(ISBLANK('Data Entry'!$Z$724), "", 'Data Entry'!$Z$724)</f>
      </c>
      <c r="AA724">
        <f>IF(ISBLANK('Data Entry'!$[$724), "", 'Data Entry'!$[$724)</f>
      </c>
      <c r="AB724">
        <f>IF(ISBLANK('Data Entry'!$\$724), "", 'Data Entry'!$\$724)</f>
      </c>
      <c r="AC724">
        <f>IF(ISBLANK('Data Entry'!$]$724), "", 'Data Entry'!$]$724)</f>
      </c>
      <c r="AD724">
        <f>IF(ISBLANK('Data Entry'!$^$724), "", 'Data Entry'!$^$724)</f>
      </c>
      <c r="AE724">
        <f>IF(ISBLANK('Data Entry'!$_$724), "", 'Data Entry'!$_$724)</f>
      </c>
      <c r="AF724">
        <f>IF(ISBLANK('Data Entry'!$`$724), "", 'Data Entry'!$`$724)</f>
      </c>
      <c r="AG724">
        <f>IF(ISBLANK('Data Entry'!$a$724), "", 'Data Entry'!$a$724)</f>
      </c>
      <c r="AH724">
        <f>IF(ISBLANK('Data Entry'!$b$724), "", 'Data Entry'!$b$724)</f>
      </c>
      <c r="AI724">
        <f>IF(ISBLANK('Data Entry'!$c$724), "", 'Data Entry'!$c$724)</f>
      </c>
      <c r="AJ724">
        <f>IF(ISBLANK('Data Entry'!$d$724), "", 'Data Entry'!$d$724)</f>
      </c>
      <c r="AK724">
        <f>IF(ISBLANK('Data Entry'!$e$724), "", 'Data Entry'!$e$724)</f>
      </c>
      <c r="AL724">
        <f>IF(ISBLANK('Data Entry'!$f$724), "", 'Data Entry'!$f$724)</f>
      </c>
      <c r="AM724">
        <f>IF(ISBLANK('Data Entry'!$g$724), "", 'Data Entry'!$g$724)</f>
      </c>
      <c r="AN724">
        <f>IF(ISBLANK('Data Entry'!$h$724), "", 'Data Entry'!$h$724)</f>
      </c>
      <c r="AO724">
        <f>IF(ISBLANK('Data Entry'!$i$724), "", 'Data Entry'!$i$724)</f>
      </c>
      <c r="AP724">
        <f>IF(ISBLANK('Data Entry'!$j$724), "", 'Data Entry'!$j$724)</f>
      </c>
      <c r="AQ724">
        <f>IF(ISBLANK('Data Entry'!$k$724), "", 'Data Entry'!$k$724)</f>
      </c>
      <c r="AR724">
        <f>IF(ISBLANK('Data Entry'!$l$724), "", 'Data Entry'!$l$724)</f>
      </c>
      <c r="AS724">
        <f>IF(ISBLANK('Data Entry'!$m$724), "", 'Data Entry'!$m$724)</f>
      </c>
      <c r="AT724">
        <f>IF(ISBLANK('Data Entry'!$n$724), "", 'Data Entry'!$n$724)</f>
      </c>
      <c r="AU724">
        <f>IF(ISBLANK('Data Entry'!$o$724), "", 'Data Entry'!$o$724)</f>
      </c>
      <c r="AV724">
        <f>IF(ISBLANK('Data Entry'!$p$724), "", 'Data Entry'!$p$724)</f>
      </c>
      <c r="AW724">
        <f>IF(ISBLANK('Data Entry'!$q$724), "", 'Data Entry'!$q$724)</f>
      </c>
      <c r="AX724">
        <f>IF(ISBLANK('Data Entry'!$r$724), "", 'Data Entry'!$r$724)</f>
      </c>
      <c r="AY724">
        <f>IF(ISBLANK('Data Entry'!$s$724), "", 'Data Entry'!$s$724)</f>
      </c>
      <c r="AZ724">
        <f>IF(ISBLANK('Data Entry'!$t$724), "", 'Data Entry'!$t$724)</f>
      </c>
      <c r="BA724">
        <f>IF(ISBLANK('Data Entry'!$u$724), "", 'Data Entry'!$u$724)</f>
      </c>
      <c r="BB724">
        <f>IF(ISBLANK('Data Entry'!$v$724), "", 'Data Entry'!$v$724)</f>
      </c>
      <c r="BC724">
        <f>IF(ISBLANK('Data Entry'!$w$724), "", 'Data Entry'!$w$724)</f>
      </c>
      <c r="BD724">
        <f>IF(ISBLANK('Data Entry'!$x$724), "", 'Data Entry'!$x$724)</f>
      </c>
      <c r="BE724">
        <f>IF(ISBLANK('Data Entry'!$y$724), "", 'Data Entry'!$y$724)</f>
      </c>
      <c r="BF724">
        <f>IF(ISBLANK('Data Entry'!$z$724), "", 'Data Entry'!$z$724)</f>
      </c>
      <c r="BG724">
        <f>IF(ISBLANK('Data Entry'!${$724), "", 'Data Entry'!${$724)</f>
      </c>
      <c r="BH724">
        <f>IF(ISBLANK('Data Entry'!$|$724), "", 'Data Entry'!$|$724)</f>
      </c>
      <c r="BI724">
        <f>IF(ISBLANK('Data Entry'!$}$724), "", 'Data Entry'!$}$724)</f>
      </c>
      <c r="BJ724">
        <f>IF(ISBLANK('Data Entry'!$~$724), "", 'Data Entry'!$~$724)</f>
      </c>
      <c r="BK724">
        <f>IF(ISBLANK('Data Entry'!$$724), "", 'Data Entry'!$$724)</f>
      </c>
      <c r="BL724">
        <f>IF(ISBLANK('Data Entry'!$$724), "", 'Data Entry'!$$724)</f>
      </c>
      <c r="BM724">
        <f>IF(ISBLANK('Data Entry'!$$724), "", 'Data Entry'!$$724)</f>
      </c>
      <c r="BN724">
        <f>IF(ISBLANK('Data Entry'!$$724), "", 'Data Entry'!$$724)</f>
      </c>
      <c r="BO724">
        <f>IF(ISBLANK('Data Entry'!$$724), "", 'Data Entry'!$$724)</f>
      </c>
      <c r="BP724">
        <f>IF(ISBLANK('Data Entry'!$$724), "", 'Data Entry'!$$724)</f>
      </c>
      <c r="BQ724">
        <f>IF(ISBLANK('Data Entry'!$$724), "", 'Data Entry'!$$724)</f>
      </c>
      <c r="BR724">
        <f>IF(ISBLANK('Data Entry'!$$724), "", 'Data Entry'!$$724)</f>
      </c>
      <c r="BS724">
        <f>IF(ISBLANK('Data Entry'!$$724), "", 'Data Entry'!$$724)</f>
      </c>
      <c r="BT724">
        <f>IF(ISBLANK('Data Entry'!$$724), "", 'Data Entry'!$$724)</f>
      </c>
      <c r="BU724">
        <f>IF(ISBLANK('Data Entry'!$$724), "", 'Data Entry'!$$724)</f>
      </c>
      <c r="BV724">
        <f>IF(ISBLANK('Data Entry'!$$724), "", 'Data Entry'!$$724)</f>
      </c>
      <c r="BW724">
        <f>IF(ISBLANK('Data Entry'!$$724), "", 'Data Entry'!$$724)</f>
      </c>
      <c r="BX724">
        <f>IF(ISBLANK('Data Entry'!$$724), "", 'Data Entry'!$$724)</f>
      </c>
      <c r="BY724">
        <f>IF(ISBLANK('Data Entry'!$$724), "", 'Data Entry'!$$724)</f>
      </c>
      <c r="BZ724">
        <f>IF(ISBLANK('Data Entry'!$$724), "", 'Data Entry'!$$724)</f>
      </c>
      <c r="CA724">
        <f>IF(ISBLANK('Data Entry'!$$724), "", 'Data Entry'!$$724)</f>
      </c>
      <c r="CB724">
        <f>IF(ISBLANK('Data Entry'!$$724), "", 'Data Entry'!$$724)</f>
      </c>
      <c r="CC724">
        <f>IF(ISBLANK('Data Entry'!$$724), "", 'Data Entry'!$$724)</f>
      </c>
      <c r="CD724">
        <f>IF(ISBLANK('Data Entry'!$$724), "", 'Data Entry'!$$724)</f>
      </c>
      <c r="CE724">
        <f>IF(ISBLANK('Data Entry'!$$724), "", 'Data Entry'!$$724)</f>
      </c>
      <c r="CF724">
        <f>IF(ISBLANK('Data Entry'!$$724), "", 'Data Entry'!$$724)</f>
      </c>
      <c r="CG724">
        <f>IF(ISBLANK('Data Entry'!$$724), "", 'Data Entry'!$$724)</f>
      </c>
      <c r="CH724">
        <f>IF(ISBLANK('Data Entry'!$$724), "", 'Data Entry'!$$724)</f>
      </c>
      <c r="CI724">
        <f>IF(ISBLANK('Data Entry'!$$724), "", 'Data Entry'!$$724)</f>
      </c>
      <c r="CJ724">
        <f>IF(ISBLANK('Data Entry'!$$724), "", 'Data Entry'!$$724)</f>
      </c>
      <c r="CK724">
        <f>IF(ISBLANK('Data Entry'!$$724), "", 'Data Entry'!$$724)</f>
      </c>
      <c r="CL724">
        <f>IF(ISBLANK('Data Entry'!$$724), "", 'Data Entry'!$$724)</f>
      </c>
      <c r="CM724">
        <f>IF(ISBLANK('Data Entry'!$$724), "", 'Data Entry'!$$724)</f>
      </c>
      <c r="CN724">
        <f>IF(ISBLANK('Data Entry'!$$724), "", 'Data Entry'!$$724)</f>
      </c>
      <c r="CO724">
        <f>IF(ISBLANK('Data Entry'!$$724), "", 'Data Entry'!$$724)</f>
      </c>
      <c r="CP724">
        <f>IF(ISBLANK('Data Entry'!$$724), "", 'Data Entry'!$$724)</f>
      </c>
      <c r="CQ724">
        <f>IF(ISBLANK('Data Entry'!$$724), "", 'Data Entry'!$$724)</f>
      </c>
      <c r="CR724">
        <f>IF(ISBLANK('Data Entry'!$ $724), "", 'Data Entry'!$ $724)</f>
      </c>
      <c r="CS724">
        <f>IF(ISBLANK('Data Entry'!$¡$724), "", 'Data Entry'!$¡$724)</f>
      </c>
      <c r="CT724">
        <f>IF(ISBLANK('Data Entry'!$¢$724), "", 'Data Entry'!$¢$724)</f>
      </c>
      <c r="CU724">
        <f>IF(ISBLANK('Data Entry'!$£$724), "", 'Data Entry'!$£$724)</f>
      </c>
      <c r="CV724">
        <f>IF(ISBLANK('Data Entry'!$¤$724), "", 'Data Entry'!$¤$724)</f>
      </c>
      <c r="CW724">
        <f>IF(ISBLANK('Data Entry'!$¥$724), "", 'Data Entry'!$¥$724)</f>
      </c>
      <c r="CX724">
        <f>IF(ISBLANK('Data Entry'!$¦$724), "", 'Data Entry'!$¦$724)</f>
      </c>
      <c r="CY724">
        <f>IF(ISBLANK('Data Entry'!$§$724), "", 'Data Entry'!$§$724)</f>
      </c>
      <c r="CZ724">
        <f>IF(ISBLANK('Data Entry'!$¨$724), "", 'Data Entry'!$¨$724)</f>
      </c>
      <c r="DA724">
        <f>IF(ISBLANK('Data Entry'!$©$724), "", 'Data Entry'!$©$724)</f>
      </c>
      <c r="DB724">
        <f>IF(ISBLANK('Data Entry'!$ª$724), "", 'Data Entry'!$ª$724)</f>
      </c>
      <c r="DC724">
        <f>IF(ISBLANK('Data Entry'!$«$724), "", 'Data Entry'!$«$724)</f>
      </c>
      <c r="DD724">
        <f>IF(ISBLANK('Data Entry'!$¬$724), "", 'Data Entry'!$¬$724)</f>
      </c>
      <c r="DE724">
        <f>IF(ISBLANK('Data Entry'!$­$724), "", 'Data Entry'!$­$724)</f>
      </c>
      <c r="DF724">
        <f>IF(ISBLANK('Data Entry'!$®$724), "", 'Data Entry'!$®$724)</f>
      </c>
      <c r="DG724">
        <f>IF(ISBLANK('Data Entry'!$¯$724), "", 'Data Entry'!$¯$724)</f>
      </c>
      <c r="DH724">
        <f>IF(ISBLANK('Data Entry'!$°$724), "", 'Data Entry'!$°$724)</f>
      </c>
      <c r="DI724">
        <f>IF(ISBLANK('Data Entry'!$±$724), "", 'Data Entry'!$±$724)</f>
      </c>
      <c r="DJ724">
        <f>IF(ISBLANK('Data Entry'!$²$724), "", 'Data Entry'!$²$724)</f>
      </c>
      <c r="DK724">
        <f>IF(ISBLANK('Data Entry'!$³$724), "", 'Data Entry'!$³$724)</f>
      </c>
      <c r="DL724">
        <f>IF(ISBLANK('Data Entry'!$´$724), "", 'Data Entry'!$´$724)</f>
      </c>
      <c r="DM724">
        <f>IF(ISBLANK('Data Entry'!$µ$724), "", 'Data Entry'!$µ$724)</f>
      </c>
      <c r="DN724">
        <f>IF(ISBLANK('Data Entry'!$¶$724), "", 'Data Entry'!$¶$724)</f>
      </c>
      <c r="DO724">
        <f>IF(ISBLANK('Data Entry'!$·$724), "", 'Data Entry'!$·$724)</f>
      </c>
      <c r="DP724">
        <f>IF(ISBLANK('Data Entry'!$¸$724), "", 'Data Entry'!$¸$724)</f>
      </c>
      <c r="DQ724">
        <f>IF(ISBLANK('Data Entry'!$¹$724), "", 'Data Entry'!$¹$724)</f>
      </c>
      <c r="DR724">
        <f>IF(ISBLANK('Data Entry'!$º$724), "", 'Data Entry'!$º$724)</f>
      </c>
      <c r="DS724">
        <f>IF(ISBLANK('Data Entry'!$»$724), "", 'Data Entry'!$»$724)</f>
      </c>
      <c r="DT724">
        <f>IF(ISBLANK('Data Entry'!$¼$724), "", 'Data Entry'!$¼$724)</f>
      </c>
      <c r="DU724">
        <f>IF(ISBLANK('Data Entry'!$½$724), "", 'Data Entry'!$½$724)</f>
      </c>
      <c r="DV724">
        <f>IF(ISBLANK('Data Entry'!$¾$724), "", 'Data Entry'!$¾$724)</f>
      </c>
      <c r="DW724">
        <f>IF(ISBLANK('Data Entry'!$¿$724), "", 'Data Entry'!$¿$724)</f>
      </c>
      <c r="DX724">
        <f>IF(ISBLANK('Data Entry'!$À$724), "", 'Data Entry'!$À$724)</f>
      </c>
      <c r="DY724">
        <f>IF(ISBLANK('Data Entry'!$Á$724), "", 'Data Entry'!$Á$724)</f>
      </c>
      <c r="DZ724">
        <f>IF(ISBLANK('Data Entry'!$Â$724), "", 'Data Entry'!$Â$724)</f>
      </c>
      <c r="EA724">
        <f>IF(ISBLANK('Data Entry'!$Ã$724), "", 'Data Entry'!$Ã$724)</f>
      </c>
      <c r="EB724">
        <f>IF(ISBLANK('Data Entry'!$Ä$724), "", 'Data Entry'!$Ä$724)</f>
      </c>
      <c r="EC724">
        <f>IF(ISBLANK('Data Entry'!$Å$724), "", 'Data Entry'!$Å$724)</f>
      </c>
      <c r="ED724">
        <f>IF(ISBLANK('Data Entry'!$Æ$724), "", 'Data Entry'!$Æ$724)</f>
      </c>
      <c r="EE724">
        <f>IF(ISBLANK('Data Entry'!$Ç$724), "", 'Data Entry'!$Ç$724)</f>
      </c>
      <c r="EF724">
        <f>IF(ISBLANK('Data Entry'!$È$724), "", 'Data Entry'!$È$724)</f>
      </c>
      <c r="EG724">
        <f>IF(ISBLANK('Data Entry'!$É$724), "", 'Data Entry'!$É$724)</f>
      </c>
      <c r="EH724">
        <f>IF(ISBLANK('Data Entry'!$Ê$724), "", 'Data Entry'!$Ê$724)</f>
      </c>
      <c r="EI724">
        <f>IF(ISBLANK('Data Entry'!$Ë$724), "", 'Data Entry'!$Ë$724)</f>
      </c>
      <c r="EJ724">
        <f>IF(ISBLANK('Data Entry'!$Ì$724), "", 'Data Entry'!$Ì$724)</f>
      </c>
      <c r="EK724">
        <f>IF(ISBLANK('Data Entry'!$Í$724), "", 'Data Entry'!$Í$724)</f>
      </c>
      <c r="EL724">
        <f>IF(ISBLANK('Data Entry'!$Î$724), "", 'Data Entry'!$Î$724)</f>
      </c>
      <c r="EM724">
        <f>IF(ISBLANK('Data Entry'!$Ï$724), "", 'Data Entry'!$Ï$724)</f>
      </c>
      <c r="EN724">
        <f>IF(ISBLANK('Data Entry'!$Ð$724), "", 'Data Entry'!$Ð$724)</f>
      </c>
      <c r="EO724">
        <f>IF(ISBLANK('Data Entry'!$Ñ$724), "", 'Data Entry'!$Ñ$724)</f>
      </c>
      <c r="EP724">
        <f>IF(ISBLANK('Data Entry'!$Ò$724), "", 'Data Entry'!$Ò$724)</f>
      </c>
      <c r="EQ724">
        <f>IF(ISBLANK('Data Entry'!$Ó$724), "", 'Data Entry'!$Ó$724)</f>
      </c>
      <c r="ER724">
        <f>IF(ISBLANK('Data Entry'!$Ô$724), "", 'Data Entry'!$Ô$724)</f>
      </c>
      <c r="ES724">
        <f>IF(ISBLANK('Data Entry'!$Õ$724), "", 'Data Entry'!$Õ$724)</f>
      </c>
      <c r="ET724">
        <f>IF(ISBLANK('Data Entry'!$Ö$724), "", 'Data Entry'!$Ö$724)</f>
      </c>
      <c r="EU724">
        <f>IF(ISBLANK('Data Entry'!$×$724), "", 'Data Entry'!$×$724)</f>
      </c>
      <c r="EV724">
        <f>IF(ISBLANK('Data Entry'!$Ø$724), "", 'Data Entry'!$Ø$724)</f>
      </c>
      <c r="EW724">
        <f>IF(ISBLANK('Data Entry'!$Ù$724), "", 'Data Entry'!$Ù$724)</f>
      </c>
      <c r="EX724">
        <f>IF(ISBLANK('Data Entry'!$Ú$724), "", 'Data Entry'!$Ú$724)</f>
      </c>
      <c r="EY724">
        <f>IF(ISBLANK('Data Entry'!$Û$724), "", 'Data Entry'!$Û$724)</f>
      </c>
      <c r="EZ724">
        <f>IF(ISBLANK('Data Entry'!$Ü$724), "", 'Data Entry'!$Ü$724)</f>
      </c>
      <c r="FA724">
        <f>IF(ISBLANK('Data Entry'!$Ý$724), "", 'Data Entry'!$Ý$724)</f>
      </c>
      <c r="FB724">
        <f>IF(ISBLANK('Data Entry'!$Þ$724), "", 'Data Entry'!$Þ$724)</f>
      </c>
      <c r="FC724">
        <f>IF(ISBLANK('Data Entry'!$ß$724), "", 'Data Entry'!$ß$724)</f>
      </c>
      <c r="FD724">
        <f>IF(ISBLANK('Data Entry'!$à$724), "", 'Data Entry'!$à$724)</f>
      </c>
      <c r="FE724">
        <f>IF(ISBLANK('Data Entry'!$á$724), "", 'Data Entry'!$á$724)</f>
      </c>
      <c r="FF724">
        <f>IF(ISBLANK('Data Entry'!$â$724), "", 'Data Entry'!$â$724)</f>
      </c>
      <c r="FG724">
        <f>IF(ISBLANK('Data Entry'!$ã$724), "", 'Data Entry'!$ã$724)</f>
      </c>
      <c r="FH724">
        <f>IF(ISBLANK('Data Entry'!$ä$724), "", 'Data Entry'!$ä$724)</f>
      </c>
      <c r="FI724">
        <f>IF(ISBLANK('Data Entry'!$å$724), "", 'Data Entry'!$å$724)</f>
      </c>
      <c r="FJ724">
        <f>IF(ISBLANK('Data Entry'!$æ$724), "", 'Data Entry'!$æ$724)</f>
      </c>
      <c r="FK724">
        <f>IF(ISBLANK('Data Entry'!$ç$724), "", 'Data Entry'!$ç$724)</f>
      </c>
      <c r="FL724">
        <f>IF(ISBLANK('Data Entry'!$è$724), "", 'Data Entry'!$è$724)</f>
      </c>
      <c r="FM724">
        <f>IF(ISBLANK('Data Entry'!$é$724), "", 'Data Entry'!$é$724)</f>
      </c>
      <c r="FN724">
        <f>IF(ISBLANK('Data Entry'!$ê$724), "", 'Data Entry'!$ê$724)</f>
      </c>
      <c r="FO724">
        <f>IF(ISBLANK('Data Entry'!$ë$724), "", 'Data Entry'!$ë$724)</f>
      </c>
      <c r="FP724">
        <f>IF(ISBLANK('Data Entry'!$ì$724), "", 'Data Entry'!$ì$724)</f>
      </c>
      <c r="FQ724">
        <f>IF(ISBLANK('Data Entry'!$í$724), "", 'Data Entry'!$í$724)</f>
      </c>
      <c r="FR724">
        <f>IF(ISBLANK('Data Entry'!$î$724), "", 'Data Entry'!$î$724)</f>
      </c>
      <c r="FS724">
        <f>IF(ISBLANK('Data Entry'!$ï$724), "", 'Data Entry'!$ï$724)</f>
      </c>
      <c r="FT724">
        <f>IF(ISBLANK('Data Entry'!$ð$724), "", 'Data Entry'!$ð$724)</f>
      </c>
      <c r="FU724">
        <f>IF(ISBLANK('Data Entry'!$ñ$724), "", 'Data Entry'!$ñ$724)</f>
      </c>
      <c r="FV724">
        <f>IF(ISBLANK('Data Entry'!$ò$724), "", 'Data Entry'!$ò$724)</f>
      </c>
      <c r="FW724">
        <f>IF(ISBLANK('Data Entry'!$ó$724), "", 'Data Entry'!$ó$724)</f>
      </c>
      <c r="FX724">
        <f>IF(ISBLANK('Data Entry'!$ô$724), "", 'Data Entry'!$ô$724)</f>
      </c>
      <c r="FY724">
        <f>IF(ISBLANK('Data Entry'!$õ$724), "", 'Data Entry'!$õ$724)</f>
      </c>
      <c r="FZ724">
        <f>IF(ISBLANK('Data Entry'!$ö$724), "", 'Data Entry'!$ö$724)</f>
      </c>
      <c r="GA724">
        <f>IF(ISBLANK('Data Entry'!$÷$724), "", 'Data Entry'!$÷$724)</f>
      </c>
      <c r="GB724">
        <f>IF(ISBLANK('Data Entry'!$ø$724), "", 'Data Entry'!$ø$724)</f>
      </c>
      <c r="GC724">
        <f>IF(ISBLANK('Data Entry'!$ù$724), "", 'Data Entry'!$ù$724)</f>
      </c>
      <c r="GD724">
        <f>IF(ISBLANK('Data Entry'!$ú$724), "", 'Data Entry'!$ú$724)</f>
      </c>
      <c r="GE724">
        <f>IF(ISBLANK('Data Entry'!$û$724), "", 'Data Entry'!$û$724)</f>
      </c>
      <c r="GF724">
        <f>IF(ISBLANK('Data Entry'!$ü$724), "", 'Data Entry'!$ü$724)</f>
      </c>
      <c r="GG724">
        <f>IF(ISBLANK('Data Entry'!$ý$724), "", 'Data Entry'!$ý$724)</f>
      </c>
      <c r="GH724">
        <f>IF(ISBLANK('Data Entry'!$þ$724), "", 'Data Entry'!$þ$724)</f>
      </c>
      <c r="GI724">
        <f>IF(ISBLANK('Data Entry'!$ÿ$724), "", 'Data Entry'!$ÿ$724)</f>
      </c>
      <c r="GJ724">
        <f>IF(ISBLANK('Data Entry'!$Ā$724), "", 'Data Entry'!$Ā$724)</f>
      </c>
      <c r="GK724">
        <f>IF(ISBLANK('Data Entry'!$ā$724), "", 'Data Entry'!$ā$724)</f>
      </c>
      <c r="GL724">
        <f>IF(ISBLANK('Data Entry'!$Ă$724), "", 'Data Entry'!$Ă$724)</f>
      </c>
      <c r="GM724">
        <f>IF(ISBLANK('Data Entry'!$ă$724), "", 'Data Entry'!$ă$724)</f>
      </c>
      <c r="GN724">
        <f>IF(ISBLANK('Data Entry'!$Ą$724), "", 'Data Entry'!$Ą$724)</f>
      </c>
      <c r="GO724">
        <f>IF(ISBLANK('Data Entry'!$ą$724), "", 'Data Entry'!$ą$724)</f>
      </c>
      <c r="GP724">
        <f>IF(ISBLANK('Data Entry'!$Ć$724), "", 'Data Entry'!$Ć$724)</f>
      </c>
      <c r="GQ724">
        <f>IF(ISBLANK('Data Entry'!$ć$724), "", 'Data Entry'!$ć$724)</f>
      </c>
      <c r="GR724">
        <f>IF(ISBLANK('Data Entry'!$Ĉ$724), "", 'Data Entry'!$Ĉ$724)</f>
      </c>
      <c r="GS724">
        <f>IF(ISBLANK('Data Entry'!$ĉ$724), "", 'Data Entry'!$ĉ$724)</f>
      </c>
      <c r="GT724">
        <f>IF(ISBLANK('Data Entry'!$Ċ$724), "", 'Data Entry'!$Ċ$724)</f>
      </c>
      <c r="GU724">
        <f>IF(ISBLANK('Data Entry'!$ċ$724), "", 'Data Entry'!$ċ$724)</f>
      </c>
      <c r="GV724">
        <f>IF(ISBLANK('Data Entry'!$Č$724), "", 'Data Entry'!$Č$724)</f>
      </c>
      <c r="GW724">
        <f>IF(ISBLANK('Data Entry'!$č$724), "", 'Data Entry'!$č$724)</f>
      </c>
      <c r="GX724">
        <f>IF(ISBLANK('Data Entry'!$Ď$724), "", 'Data Entry'!$Ď$724)</f>
      </c>
      <c r="GY724">
        <f>IF(ISBLANK('Data Entry'!$ď$724), "", 'Data Entry'!$ď$724)</f>
      </c>
      <c r="GZ724">
        <f>IF(ISBLANK('Data Entry'!$Đ$724), "", 'Data Entry'!$Đ$724)</f>
      </c>
      <c r="HA724">
        <f>IF(ISBLANK('Data Entry'!$đ$724), "", 'Data Entry'!$đ$724)</f>
      </c>
      <c r="HB724">
        <f>IF(ISBLANK('Data Entry'!$Ē$724), "", 'Data Entry'!$Ē$724)</f>
      </c>
      <c r="HC724">
        <f>IF(ISBLANK('Data Entry'!$ē$724), "", 'Data Entry'!$ē$724)</f>
      </c>
      <c r="HD724">
        <f>IF(ISBLANK('Data Entry'!$Ĕ$724), "", 'Data Entry'!$Ĕ$724)</f>
      </c>
      <c r="HE724">
        <f>IF(ISBLANK('Data Entry'!$ĕ$724), "", 'Data Entry'!$ĕ$724)</f>
      </c>
      <c r="HF724">
        <f>IF(ISBLANK('Data Entry'!$Ė$724), "", 'Data Entry'!$Ė$724)</f>
      </c>
      <c r="HG724">
        <f>IF(ISBLANK('Data Entry'!$ė$724), "", 'Data Entry'!$ė$724)</f>
      </c>
      <c r="HH724">
        <f>IF(ISBLANK('Data Entry'!$Ę$724), "", 'Data Entry'!$Ę$724)</f>
      </c>
      <c r="HI724">
        <f>IF(ISBLANK('Data Entry'!$ę$724), "", 'Data Entry'!$ę$724)</f>
      </c>
      <c r="HJ724">
        <f>IF(ISBLANK('Data Entry'!$Ě$724), "", 'Data Entry'!$Ě$724)</f>
      </c>
      <c r="HK724">
        <f>IF(ISBLANK('Data Entry'!$ě$724), "", 'Data Entry'!$ě$724)</f>
      </c>
      <c r="HL724">
        <f>IF(ISBLANK('Data Entry'!$Ĝ$724), "", 'Data Entry'!$Ĝ$724)</f>
      </c>
      <c r="HM724">
        <f>IF(ISBLANK('Data Entry'!$ĝ$724), "", 'Data Entry'!$ĝ$724)</f>
      </c>
      <c r="HN724">
        <f>IF(ISBLANK('Data Entry'!$Ğ$724), "", 'Data Entry'!$Ğ$724)</f>
      </c>
      <c r="HO724">
        <f>IF(ISBLANK('Data Entry'!$ğ$724), "", 'Data Entry'!$ğ$724)</f>
      </c>
      <c r="HP724">
        <f>IF(ISBLANK('Data Entry'!$Ġ$724), "", 'Data Entry'!$Ġ$724)</f>
      </c>
      <c r="HQ724">
        <f>IF(ISBLANK('Data Entry'!$ġ$724), "", 'Data Entry'!$ġ$724)</f>
      </c>
      <c r="HR724">
        <f>IF(ISBLANK('Data Entry'!$Ģ$724), "", 'Data Entry'!$Ģ$724)</f>
      </c>
      <c r="HS724">
        <f>IF(ISBLANK('Data Entry'!$ģ$724), "", 'Data Entry'!$ģ$724)</f>
      </c>
      <c r="HT724">
        <f>IF(ISBLANK('Data Entry'!$Ĥ$724), "", 'Data Entry'!$Ĥ$724)</f>
      </c>
      <c r="HU724">
        <f>IF(ISBLANK('Data Entry'!$ĥ$724), "", 'Data Entry'!$ĥ$724)</f>
      </c>
      <c r="HV724">
        <f>IF(ISBLANK('Data Entry'!$Ħ$724), "", 'Data Entry'!$Ħ$724)</f>
      </c>
      <c r="HW724">
        <f>IF(ISBLANK('Data Entry'!$ħ$724), "", 'Data Entry'!$ħ$724)</f>
      </c>
      <c r="HX724">
        <f>IF(ISBLANK('Data Entry'!$Ĩ$724), "", 'Data Entry'!$Ĩ$724)</f>
      </c>
      <c r="HY724">
        <f>IF(ISBLANK('Data Entry'!$ĩ$724), "", 'Data Entry'!$ĩ$724)</f>
      </c>
      <c r="HZ724">
        <f>IF(ISBLANK('Data Entry'!$Ī$724), "", 'Data Entry'!$Ī$724)</f>
      </c>
      <c r="IA724">
        <f>IF(ISBLANK('Data Entry'!$ī$724), "", 'Data Entry'!$ī$724)</f>
      </c>
      <c r="IB724">
        <f>IF(ISBLANK('Data Entry'!$Ĭ$724), "", 'Data Entry'!$Ĭ$724)</f>
      </c>
      <c r="IC724">
        <f>IF(ISBLANK('Data Entry'!$ĭ$724), "", 'Data Entry'!$ĭ$724)</f>
      </c>
      <c r="ID724">
        <f>IF(ISBLANK('Data Entry'!$Į$724), "", 'Data Entry'!$Į$724)</f>
      </c>
      <c r="IE724">
        <f>IF(ISBLANK('Data Entry'!$į$724), "", 'Data Entry'!$į$724)</f>
      </c>
      <c r="IF724">
        <f>IF(ISBLANK('Data Entry'!$İ$724), "", 'Data Entry'!$İ$724)</f>
      </c>
      <c r="IG724">
        <f>IF(ISBLANK('Data Entry'!$ı$724), "", 'Data Entry'!$ı$724)</f>
      </c>
      <c r="IH724">
        <f>IF(ISBLANK('Data Entry'!$Ĳ$724), "", 'Data Entry'!$Ĳ$724)</f>
      </c>
      <c r="II724">
        <f>IF(ISBLANK('Data Entry'!$ĳ$724), "", 'Data Entry'!$ĳ$724)</f>
      </c>
      <c r="IJ724">
        <f>IF(ISBLANK('Data Entry'!$Ĵ$724), "", 'Data Entry'!$Ĵ$724)</f>
      </c>
      <c r="IK724">
        <f>IF(ISBLANK('Data Entry'!$ĵ$724), "", 'Data Entry'!$ĵ$724)</f>
      </c>
      <c r="IL724">
        <f>IF(ISBLANK('Data Entry'!$Ķ$724), "", 'Data Entry'!$Ķ$724)</f>
      </c>
      <c r="IM724">
        <f>IF(ISBLANK('Data Entry'!$ķ$724), "", 'Data Entry'!$ķ$724)</f>
      </c>
      <c r="IN724">
        <f>IF(ISBLANK('Data Entry'!$ĸ$724), "", 'Data Entry'!$ĸ$724)</f>
      </c>
      <c r="IO724">
        <f>IF(ISBLANK('Data Entry'!$Ĺ$724), "", 'Data Entry'!$Ĺ$724)</f>
      </c>
      <c r="IP724">
        <f>IF(ISBLANK('Data Entry'!$ĺ$724), "", 'Data Entry'!$ĺ$724)</f>
      </c>
      <c r="IQ724">
        <f>IF(ISBLANK('Data Entry'!$Ļ$724), "", 'Data Entry'!$Ļ$724)</f>
      </c>
      <c r="IR724">
        <f>IF(ISBLANK('Data Entry'!$ļ$724), "", 'Data Entry'!$ļ$724)</f>
      </c>
      <c r="IS724">
        <f>IF(ISBLANK('Data Entry'!$Ľ$724), "", 'Data Entry'!$Ľ$724)</f>
      </c>
      <c r="IT724">
        <f>IF(ISBLANK('Data Entry'!$ľ$724), "", 'Data Entry'!$ľ$724)</f>
      </c>
    </row>
    <row r="725" spans="1:254" x14ac:dyDescent="0.25">
      <c r="A725">
        <f>IF(ISBLANK('Data Entry'!$A$725), "", 'Data Entry'!$A$725)</f>
      </c>
      <c r="B725">
        <f>IF(ISBLANK('Data Entry'!$B$725), "", 'Data Entry'!$B$725)</f>
      </c>
      <c r="C725">
        <f>IF(ISBLANK('Data Entry'!$C$725), "", 'Data Entry'!$C$725)</f>
      </c>
      <c r="D725">
        <f>IF(ISBLANK('Data Entry'!$D$725), "", 'Data Entry'!$D$725)</f>
      </c>
      <c r="E725">
        <f>IF(ISBLANK('Data Entry'!$E$725), "", 'Data Entry'!$E$725)</f>
      </c>
      <c r="F725">
        <f>IF(ISBLANK('Data Entry'!$F$725), "", 'Data Entry'!$F$725)</f>
      </c>
      <c r="G725">
        <f>IF(ISBLANK('Data Entry'!$G$725), "", 'Data Entry'!$G$725)</f>
      </c>
      <c r="H725">
        <f>IF(ISBLANK('Data Entry'!$H$725), "", 'Data Entry'!$H$725)</f>
      </c>
      <c r="I725">
        <f>IF(ISBLANK('Data Entry'!$I$725), "", 'Data Entry'!$I$725)</f>
      </c>
      <c r="J725">
        <f>IF(ISBLANK('Data Entry'!$J$725), "", 'Data Entry'!$J$725)</f>
      </c>
      <c r="K725">
        <f>IF(ISBLANK('Data Entry'!$K$725), "", 'Data Entry'!$K$725)</f>
      </c>
      <c r="L725">
        <f>IF(ISBLANK('Data Entry'!$L$725), "", 'Data Entry'!$L$725)</f>
      </c>
      <c r="M725">
        <f>IF(ISBLANK('Data Entry'!$M$725), "", 'Data Entry'!$M$725)</f>
      </c>
      <c r="N725">
        <f>IF(ISBLANK('Data Entry'!$N$725), "", 'Data Entry'!$N$725)</f>
      </c>
      <c r="O725">
        <f>IF(ISBLANK('Data Entry'!$O$725), "", 'Data Entry'!$O$725)</f>
      </c>
      <c r="P725">
        <f>IF(ISBLANK('Data Entry'!$P$725), "", 'Data Entry'!$P$725)</f>
      </c>
      <c r="Q725">
        <f>IF(ISBLANK('Data Entry'!$Q$725), "", 'Data Entry'!$Q$725)</f>
      </c>
      <c r="R725">
        <f>IF(ISBLANK('Data Entry'!$R$725), "", 'Data Entry'!$R$725)</f>
      </c>
      <c r="S725">
        <f>IF(ISBLANK('Data Entry'!$S$725), "", 'Data Entry'!$S$725)</f>
      </c>
      <c r="T725">
        <f>IF(ISBLANK('Data Entry'!$T$725), "", 'Data Entry'!$T$725)</f>
      </c>
      <c r="U725">
        <f>IF(ISBLANK('Data Entry'!$U$725), "", 'Data Entry'!$U$725)</f>
      </c>
      <c r="V725">
        <f>IF(ISBLANK('Data Entry'!$V$725), "", 'Data Entry'!$V$725)</f>
      </c>
      <c r="W725">
        <f>IF(ISBLANK('Data Entry'!$W$725), "", 'Data Entry'!$W$725)</f>
      </c>
      <c r="X725">
        <f>IF(ISBLANK('Data Entry'!$X$725), "", 'Data Entry'!$X$725)</f>
      </c>
      <c r="Y725">
        <f>IF(ISBLANK('Data Entry'!$Y$725), "", 'Data Entry'!$Y$725)</f>
      </c>
      <c r="Z725">
        <f>IF(ISBLANK('Data Entry'!$Z$725), "", 'Data Entry'!$Z$725)</f>
      </c>
      <c r="AA725">
        <f>IF(ISBLANK('Data Entry'!$[$725), "", 'Data Entry'!$[$725)</f>
      </c>
      <c r="AB725">
        <f>IF(ISBLANK('Data Entry'!$\$725), "", 'Data Entry'!$\$725)</f>
      </c>
      <c r="AC725">
        <f>IF(ISBLANK('Data Entry'!$]$725), "", 'Data Entry'!$]$725)</f>
      </c>
      <c r="AD725">
        <f>IF(ISBLANK('Data Entry'!$^$725), "", 'Data Entry'!$^$725)</f>
      </c>
      <c r="AE725">
        <f>IF(ISBLANK('Data Entry'!$_$725), "", 'Data Entry'!$_$725)</f>
      </c>
      <c r="AF725">
        <f>IF(ISBLANK('Data Entry'!$`$725), "", 'Data Entry'!$`$725)</f>
      </c>
      <c r="AG725">
        <f>IF(ISBLANK('Data Entry'!$a$725), "", 'Data Entry'!$a$725)</f>
      </c>
      <c r="AH725">
        <f>IF(ISBLANK('Data Entry'!$b$725), "", 'Data Entry'!$b$725)</f>
      </c>
      <c r="AI725">
        <f>IF(ISBLANK('Data Entry'!$c$725), "", 'Data Entry'!$c$725)</f>
      </c>
      <c r="AJ725">
        <f>IF(ISBLANK('Data Entry'!$d$725), "", 'Data Entry'!$d$725)</f>
      </c>
      <c r="AK725">
        <f>IF(ISBLANK('Data Entry'!$e$725), "", 'Data Entry'!$e$725)</f>
      </c>
      <c r="AL725">
        <f>IF(ISBLANK('Data Entry'!$f$725), "", 'Data Entry'!$f$725)</f>
      </c>
      <c r="AM725">
        <f>IF(ISBLANK('Data Entry'!$g$725), "", 'Data Entry'!$g$725)</f>
      </c>
      <c r="AN725">
        <f>IF(ISBLANK('Data Entry'!$h$725), "", 'Data Entry'!$h$725)</f>
      </c>
      <c r="AO725">
        <f>IF(ISBLANK('Data Entry'!$i$725), "", 'Data Entry'!$i$725)</f>
      </c>
      <c r="AP725">
        <f>IF(ISBLANK('Data Entry'!$j$725), "", 'Data Entry'!$j$725)</f>
      </c>
      <c r="AQ725">
        <f>IF(ISBLANK('Data Entry'!$k$725), "", 'Data Entry'!$k$725)</f>
      </c>
      <c r="AR725">
        <f>IF(ISBLANK('Data Entry'!$l$725), "", 'Data Entry'!$l$725)</f>
      </c>
      <c r="AS725">
        <f>IF(ISBLANK('Data Entry'!$m$725), "", 'Data Entry'!$m$725)</f>
      </c>
      <c r="AT725">
        <f>IF(ISBLANK('Data Entry'!$n$725), "", 'Data Entry'!$n$725)</f>
      </c>
      <c r="AU725">
        <f>IF(ISBLANK('Data Entry'!$o$725), "", 'Data Entry'!$o$725)</f>
      </c>
      <c r="AV725">
        <f>IF(ISBLANK('Data Entry'!$p$725), "", 'Data Entry'!$p$725)</f>
      </c>
      <c r="AW725">
        <f>IF(ISBLANK('Data Entry'!$q$725), "", 'Data Entry'!$q$725)</f>
      </c>
      <c r="AX725">
        <f>IF(ISBLANK('Data Entry'!$r$725), "", 'Data Entry'!$r$725)</f>
      </c>
      <c r="AY725">
        <f>IF(ISBLANK('Data Entry'!$s$725), "", 'Data Entry'!$s$725)</f>
      </c>
      <c r="AZ725">
        <f>IF(ISBLANK('Data Entry'!$t$725), "", 'Data Entry'!$t$725)</f>
      </c>
      <c r="BA725">
        <f>IF(ISBLANK('Data Entry'!$u$725), "", 'Data Entry'!$u$725)</f>
      </c>
      <c r="BB725">
        <f>IF(ISBLANK('Data Entry'!$v$725), "", 'Data Entry'!$v$725)</f>
      </c>
      <c r="BC725">
        <f>IF(ISBLANK('Data Entry'!$w$725), "", 'Data Entry'!$w$725)</f>
      </c>
      <c r="BD725">
        <f>IF(ISBLANK('Data Entry'!$x$725), "", 'Data Entry'!$x$725)</f>
      </c>
      <c r="BE725">
        <f>IF(ISBLANK('Data Entry'!$y$725), "", 'Data Entry'!$y$725)</f>
      </c>
      <c r="BF725">
        <f>IF(ISBLANK('Data Entry'!$z$725), "", 'Data Entry'!$z$725)</f>
      </c>
      <c r="BG725">
        <f>IF(ISBLANK('Data Entry'!${$725), "", 'Data Entry'!${$725)</f>
      </c>
      <c r="BH725">
        <f>IF(ISBLANK('Data Entry'!$|$725), "", 'Data Entry'!$|$725)</f>
      </c>
      <c r="BI725">
        <f>IF(ISBLANK('Data Entry'!$}$725), "", 'Data Entry'!$}$725)</f>
      </c>
      <c r="BJ725">
        <f>IF(ISBLANK('Data Entry'!$~$725), "", 'Data Entry'!$~$725)</f>
      </c>
      <c r="BK725">
        <f>IF(ISBLANK('Data Entry'!$$725), "", 'Data Entry'!$$725)</f>
      </c>
      <c r="BL725">
        <f>IF(ISBLANK('Data Entry'!$$725), "", 'Data Entry'!$$725)</f>
      </c>
      <c r="BM725">
        <f>IF(ISBLANK('Data Entry'!$$725), "", 'Data Entry'!$$725)</f>
      </c>
      <c r="BN725">
        <f>IF(ISBLANK('Data Entry'!$$725), "", 'Data Entry'!$$725)</f>
      </c>
      <c r="BO725">
        <f>IF(ISBLANK('Data Entry'!$$725), "", 'Data Entry'!$$725)</f>
      </c>
      <c r="BP725">
        <f>IF(ISBLANK('Data Entry'!$$725), "", 'Data Entry'!$$725)</f>
      </c>
      <c r="BQ725">
        <f>IF(ISBLANK('Data Entry'!$$725), "", 'Data Entry'!$$725)</f>
      </c>
      <c r="BR725">
        <f>IF(ISBLANK('Data Entry'!$$725), "", 'Data Entry'!$$725)</f>
      </c>
      <c r="BS725">
        <f>IF(ISBLANK('Data Entry'!$$725), "", 'Data Entry'!$$725)</f>
      </c>
      <c r="BT725">
        <f>IF(ISBLANK('Data Entry'!$$725), "", 'Data Entry'!$$725)</f>
      </c>
      <c r="BU725">
        <f>IF(ISBLANK('Data Entry'!$$725), "", 'Data Entry'!$$725)</f>
      </c>
      <c r="BV725">
        <f>IF(ISBLANK('Data Entry'!$$725), "", 'Data Entry'!$$725)</f>
      </c>
      <c r="BW725">
        <f>IF(ISBLANK('Data Entry'!$$725), "", 'Data Entry'!$$725)</f>
      </c>
      <c r="BX725">
        <f>IF(ISBLANK('Data Entry'!$$725), "", 'Data Entry'!$$725)</f>
      </c>
      <c r="BY725">
        <f>IF(ISBLANK('Data Entry'!$$725), "", 'Data Entry'!$$725)</f>
      </c>
      <c r="BZ725">
        <f>IF(ISBLANK('Data Entry'!$$725), "", 'Data Entry'!$$725)</f>
      </c>
      <c r="CA725">
        <f>IF(ISBLANK('Data Entry'!$$725), "", 'Data Entry'!$$725)</f>
      </c>
      <c r="CB725">
        <f>IF(ISBLANK('Data Entry'!$$725), "", 'Data Entry'!$$725)</f>
      </c>
      <c r="CC725">
        <f>IF(ISBLANK('Data Entry'!$$725), "", 'Data Entry'!$$725)</f>
      </c>
      <c r="CD725">
        <f>IF(ISBLANK('Data Entry'!$$725), "", 'Data Entry'!$$725)</f>
      </c>
      <c r="CE725">
        <f>IF(ISBLANK('Data Entry'!$$725), "", 'Data Entry'!$$725)</f>
      </c>
      <c r="CF725">
        <f>IF(ISBLANK('Data Entry'!$$725), "", 'Data Entry'!$$725)</f>
      </c>
      <c r="CG725">
        <f>IF(ISBLANK('Data Entry'!$$725), "", 'Data Entry'!$$725)</f>
      </c>
      <c r="CH725">
        <f>IF(ISBLANK('Data Entry'!$$725), "", 'Data Entry'!$$725)</f>
      </c>
      <c r="CI725">
        <f>IF(ISBLANK('Data Entry'!$$725), "", 'Data Entry'!$$725)</f>
      </c>
      <c r="CJ725">
        <f>IF(ISBLANK('Data Entry'!$$725), "", 'Data Entry'!$$725)</f>
      </c>
      <c r="CK725">
        <f>IF(ISBLANK('Data Entry'!$$725), "", 'Data Entry'!$$725)</f>
      </c>
      <c r="CL725">
        <f>IF(ISBLANK('Data Entry'!$$725), "", 'Data Entry'!$$725)</f>
      </c>
      <c r="CM725">
        <f>IF(ISBLANK('Data Entry'!$$725), "", 'Data Entry'!$$725)</f>
      </c>
      <c r="CN725">
        <f>IF(ISBLANK('Data Entry'!$$725), "", 'Data Entry'!$$725)</f>
      </c>
      <c r="CO725">
        <f>IF(ISBLANK('Data Entry'!$$725), "", 'Data Entry'!$$725)</f>
      </c>
      <c r="CP725">
        <f>IF(ISBLANK('Data Entry'!$$725), "", 'Data Entry'!$$725)</f>
      </c>
      <c r="CQ725">
        <f>IF(ISBLANK('Data Entry'!$$725), "", 'Data Entry'!$$725)</f>
      </c>
      <c r="CR725">
        <f>IF(ISBLANK('Data Entry'!$ $725), "", 'Data Entry'!$ $725)</f>
      </c>
      <c r="CS725">
        <f>IF(ISBLANK('Data Entry'!$¡$725), "", 'Data Entry'!$¡$725)</f>
      </c>
      <c r="CT725">
        <f>IF(ISBLANK('Data Entry'!$¢$725), "", 'Data Entry'!$¢$725)</f>
      </c>
      <c r="CU725">
        <f>IF(ISBLANK('Data Entry'!$£$725), "", 'Data Entry'!$£$725)</f>
      </c>
      <c r="CV725">
        <f>IF(ISBLANK('Data Entry'!$¤$725), "", 'Data Entry'!$¤$725)</f>
      </c>
      <c r="CW725">
        <f>IF(ISBLANK('Data Entry'!$¥$725), "", 'Data Entry'!$¥$725)</f>
      </c>
      <c r="CX725">
        <f>IF(ISBLANK('Data Entry'!$¦$725), "", 'Data Entry'!$¦$725)</f>
      </c>
      <c r="CY725">
        <f>IF(ISBLANK('Data Entry'!$§$725), "", 'Data Entry'!$§$725)</f>
      </c>
      <c r="CZ725">
        <f>IF(ISBLANK('Data Entry'!$¨$725), "", 'Data Entry'!$¨$725)</f>
      </c>
      <c r="DA725">
        <f>IF(ISBLANK('Data Entry'!$©$725), "", 'Data Entry'!$©$725)</f>
      </c>
      <c r="DB725">
        <f>IF(ISBLANK('Data Entry'!$ª$725), "", 'Data Entry'!$ª$725)</f>
      </c>
      <c r="DC725">
        <f>IF(ISBLANK('Data Entry'!$«$725), "", 'Data Entry'!$«$725)</f>
      </c>
      <c r="DD725">
        <f>IF(ISBLANK('Data Entry'!$¬$725), "", 'Data Entry'!$¬$725)</f>
      </c>
      <c r="DE725">
        <f>IF(ISBLANK('Data Entry'!$­$725), "", 'Data Entry'!$­$725)</f>
      </c>
      <c r="DF725">
        <f>IF(ISBLANK('Data Entry'!$®$725), "", 'Data Entry'!$®$725)</f>
      </c>
      <c r="DG725">
        <f>IF(ISBLANK('Data Entry'!$¯$725), "", 'Data Entry'!$¯$725)</f>
      </c>
      <c r="DH725">
        <f>IF(ISBLANK('Data Entry'!$°$725), "", 'Data Entry'!$°$725)</f>
      </c>
      <c r="DI725">
        <f>IF(ISBLANK('Data Entry'!$±$725), "", 'Data Entry'!$±$725)</f>
      </c>
      <c r="DJ725">
        <f>IF(ISBLANK('Data Entry'!$²$725), "", 'Data Entry'!$²$725)</f>
      </c>
      <c r="DK725">
        <f>IF(ISBLANK('Data Entry'!$³$725), "", 'Data Entry'!$³$725)</f>
      </c>
      <c r="DL725">
        <f>IF(ISBLANK('Data Entry'!$´$725), "", 'Data Entry'!$´$725)</f>
      </c>
      <c r="DM725">
        <f>IF(ISBLANK('Data Entry'!$µ$725), "", 'Data Entry'!$µ$725)</f>
      </c>
      <c r="DN725">
        <f>IF(ISBLANK('Data Entry'!$¶$725), "", 'Data Entry'!$¶$725)</f>
      </c>
      <c r="DO725">
        <f>IF(ISBLANK('Data Entry'!$·$725), "", 'Data Entry'!$·$725)</f>
      </c>
      <c r="DP725">
        <f>IF(ISBLANK('Data Entry'!$¸$725), "", 'Data Entry'!$¸$725)</f>
      </c>
      <c r="DQ725">
        <f>IF(ISBLANK('Data Entry'!$¹$725), "", 'Data Entry'!$¹$725)</f>
      </c>
      <c r="DR725">
        <f>IF(ISBLANK('Data Entry'!$º$725), "", 'Data Entry'!$º$725)</f>
      </c>
      <c r="DS725">
        <f>IF(ISBLANK('Data Entry'!$»$725), "", 'Data Entry'!$»$725)</f>
      </c>
      <c r="DT725">
        <f>IF(ISBLANK('Data Entry'!$¼$725), "", 'Data Entry'!$¼$725)</f>
      </c>
      <c r="DU725">
        <f>IF(ISBLANK('Data Entry'!$½$725), "", 'Data Entry'!$½$725)</f>
      </c>
      <c r="DV725">
        <f>IF(ISBLANK('Data Entry'!$¾$725), "", 'Data Entry'!$¾$725)</f>
      </c>
      <c r="DW725">
        <f>IF(ISBLANK('Data Entry'!$¿$725), "", 'Data Entry'!$¿$725)</f>
      </c>
      <c r="DX725">
        <f>IF(ISBLANK('Data Entry'!$À$725), "", 'Data Entry'!$À$725)</f>
      </c>
      <c r="DY725">
        <f>IF(ISBLANK('Data Entry'!$Á$725), "", 'Data Entry'!$Á$725)</f>
      </c>
      <c r="DZ725">
        <f>IF(ISBLANK('Data Entry'!$Â$725), "", 'Data Entry'!$Â$725)</f>
      </c>
      <c r="EA725">
        <f>IF(ISBLANK('Data Entry'!$Ã$725), "", 'Data Entry'!$Ã$725)</f>
      </c>
      <c r="EB725">
        <f>IF(ISBLANK('Data Entry'!$Ä$725), "", 'Data Entry'!$Ä$725)</f>
      </c>
      <c r="EC725">
        <f>IF(ISBLANK('Data Entry'!$Å$725), "", 'Data Entry'!$Å$725)</f>
      </c>
      <c r="ED725">
        <f>IF(ISBLANK('Data Entry'!$Æ$725), "", 'Data Entry'!$Æ$725)</f>
      </c>
      <c r="EE725">
        <f>IF(ISBLANK('Data Entry'!$Ç$725), "", 'Data Entry'!$Ç$725)</f>
      </c>
      <c r="EF725">
        <f>IF(ISBLANK('Data Entry'!$È$725), "", 'Data Entry'!$È$725)</f>
      </c>
      <c r="EG725">
        <f>IF(ISBLANK('Data Entry'!$É$725), "", 'Data Entry'!$É$725)</f>
      </c>
      <c r="EH725">
        <f>IF(ISBLANK('Data Entry'!$Ê$725), "", 'Data Entry'!$Ê$725)</f>
      </c>
      <c r="EI725">
        <f>IF(ISBLANK('Data Entry'!$Ë$725), "", 'Data Entry'!$Ë$725)</f>
      </c>
      <c r="EJ725">
        <f>IF(ISBLANK('Data Entry'!$Ì$725), "", 'Data Entry'!$Ì$725)</f>
      </c>
      <c r="EK725">
        <f>IF(ISBLANK('Data Entry'!$Í$725), "", 'Data Entry'!$Í$725)</f>
      </c>
      <c r="EL725">
        <f>IF(ISBLANK('Data Entry'!$Î$725), "", 'Data Entry'!$Î$725)</f>
      </c>
      <c r="EM725">
        <f>IF(ISBLANK('Data Entry'!$Ï$725), "", 'Data Entry'!$Ï$725)</f>
      </c>
      <c r="EN725">
        <f>IF(ISBLANK('Data Entry'!$Ð$725), "", 'Data Entry'!$Ð$725)</f>
      </c>
      <c r="EO725">
        <f>IF(ISBLANK('Data Entry'!$Ñ$725), "", 'Data Entry'!$Ñ$725)</f>
      </c>
      <c r="EP725">
        <f>IF(ISBLANK('Data Entry'!$Ò$725), "", 'Data Entry'!$Ò$725)</f>
      </c>
      <c r="EQ725">
        <f>IF(ISBLANK('Data Entry'!$Ó$725), "", 'Data Entry'!$Ó$725)</f>
      </c>
      <c r="ER725">
        <f>IF(ISBLANK('Data Entry'!$Ô$725), "", 'Data Entry'!$Ô$725)</f>
      </c>
      <c r="ES725">
        <f>IF(ISBLANK('Data Entry'!$Õ$725), "", 'Data Entry'!$Õ$725)</f>
      </c>
      <c r="ET725">
        <f>IF(ISBLANK('Data Entry'!$Ö$725), "", 'Data Entry'!$Ö$725)</f>
      </c>
      <c r="EU725">
        <f>IF(ISBLANK('Data Entry'!$×$725), "", 'Data Entry'!$×$725)</f>
      </c>
      <c r="EV725">
        <f>IF(ISBLANK('Data Entry'!$Ø$725), "", 'Data Entry'!$Ø$725)</f>
      </c>
      <c r="EW725">
        <f>IF(ISBLANK('Data Entry'!$Ù$725), "", 'Data Entry'!$Ù$725)</f>
      </c>
      <c r="EX725">
        <f>IF(ISBLANK('Data Entry'!$Ú$725), "", 'Data Entry'!$Ú$725)</f>
      </c>
      <c r="EY725">
        <f>IF(ISBLANK('Data Entry'!$Û$725), "", 'Data Entry'!$Û$725)</f>
      </c>
      <c r="EZ725">
        <f>IF(ISBLANK('Data Entry'!$Ü$725), "", 'Data Entry'!$Ü$725)</f>
      </c>
      <c r="FA725">
        <f>IF(ISBLANK('Data Entry'!$Ý$725), "", 'Data Entry'!$Ý$725)</f>
      </c>
      <c r="FB725">
        <f>IF(ISBLANK('Data Entry'!$Þ$725), "", 'Data Entry'!$Þ$725)</f>
      </c>
      <c r="FC725">
        <f>IF(ISBLANK('Data Entry'!$ß$725), "", 'Data Entry'!$ß$725)</f>
      </c>
      <c r="FD725">
        <f>IF(ISBLANK('Data Entry'!$à$725), "", 'Data Entry'!$à$725)</f>
      </c>
      <c r="FE725">
        <f>IF(ISBLANK('Data Entry'!$á$725), "", 'Data Entry'!$á$725)</f>
      </c>
      <c r="FF725">
        <f>IF(ISBLANK('Data Entry'!$â$725), "", 'Data Entry'!$â$725)</f>
      </c>
      <c r="FG725">
        <f>IF(ISBLANK('Data Entry'!$ã$725), "", 'Data Entry'!$ã$725)</f>
      </c>
      <c r="FH725">
        <f>IF(ISBLANK('Data Entry'!$ä$725), "", 'Data Entry'!$ä$725)</f>
      </c>
      <c r="FI725">
        <f>IF(ISBLANK('Data Entry'!$å$725), "", 'Data Entry'!$å$725)</f>
      </c>
      <c r="FJ725">
        <f>IF(ISBLANK('Data Entry'!$æ$725), "", 'Data Entry'!$æ$725)</f>
      </c>
      <c r="FK725">
        <f>IF(ISBLANK('Data Entry'!$ç$725), "", 'Data Entry'!$ç$725)</f>
      </c>
      <c r="FL725">
        <f>IF(ISBLANK('Data Entry'!$è$725), "", 'Data Entry'!$è$725)</f>
      </c>
      <c r="FM725">
        <f>IF(ISBLANK('Data Entry'!$é$725), "", 'Data Entry'!$é$725)</f>
      </c>
      <c r="FN725">
        <f>IF(ISBLANK('Data Entry'!$ê$725), "", 'Data Entry'!$ê$725)</f>
      </c>
      <c r="FO725">
        <f>IF(ISBLANK('Data Entry'!$ë$725), "", 'Data Entry'!$ë$725)</f>
      </c>
      <c r="FP725">
        <f>IF(ISBLANK('Data Entry'!$ì$725), "", 'Data Entry'!$ì$725)</f>
      </c>
      <c r="FQ725">
        <f>IF(ISBLANK('Data Entry'!$í$725), "", 'Data Entry'!$í$725)</f>
      </c>
      <c r="FR725">
        <f>IF(ISBLANK('Data Entry'!$î$725), "", 'Data Entry'!$î$725)</f>
      </c>
      <c r="FS725">
        <f>IF(ISBLANK('Data Entry'!$ï$725), "", 'Data Entry'!$ï$725)</f>
      </c>
      <c r="FT725">
        <f>IF(ISBLANK('Data Entry'!$ð$725), "", 'Data Entry'!$ð$725)</f>
      </c>
      <c r="FU725">
        <f>IF(ISBLANK('Data Entry'!$ñ$725), "", 'Data Entry'!$ñ$725)</f>
      </c>
      <c r="FV725">
        <f>IF(ISBLANK('Data Entry'!$ò$725), "", 'Data Entry'!$ò$725)</f>
      </c>
      <c r="FW725">
        <f>IF(ISBLANK('Data Entry'!$ó$725), "", 'Data Entry'!$ó$725)</f>
      </c>
      <c r="FX725">
        <f>IF(ISBLANK('Data Entry'!$ô$725), "", 'Data Entry'!$ô$725)</f>
      </c>
      <c r="FY725">
        <f>IF(ISBLANK('Data Entry'!$õ$725), "", 'Data Entry'!$õ$725)</f>
      </c>
      <c r="FZ725">
        <f>IF(ISBLANK('Data Entry'!$ö$725), "", 'Data Entry'!$ö$725)</f>
      </c>
      <c r="GA725">
        <f>IF(ISBLANK('Data Entry'!$÷$725), "", 'Data Entry'!$÷$725)</f>
      </c>
      <c r="GB725">
        <f>IF(ISBLANK('Data Entry'!$ø$725), "", 'Data Entry'!$ø$725)</f>
      </c>
      <c r="GC725">
        <f>IF(ISBLANK('Data Entry'!$ù$725), "", 'Data Entry'!$ù$725)</f>
      </c>
      <c r="GD725">
        <f>IF(ISBLANK('Data Entry'!$ú$725), "", 'Data Entry'!$ú$725)</f>
      </c>
      <c r="GE725">
        <f>IF(ISBLANK('Data Entry'!$û$725), "", 'Data Entry'!$û$725)</f>
      </c>
      <c r="GF725">
        <f>IF(ISBLANK('Data Entry'!$ü$725), "", 'Data Entry'!$ü$725)</f>
      </c>
      <c r="GG725">
        <f>IF(ISBLANK('Data Entry'!$ý$725), "", 'Data Entry'!$ý$725)</f>
      </c>
      <c r="GH725">
        <f>IF(ISBLANK('Data Entry'!$þ$725), "", 'Data Entry'!$þ$725)</f>
      </c>
      <c r="GI725">
        <f>IF(ISBLANK('Data Entry'!$ÿ$725), "", 'Data Entry'!$ÿ$725)</f>
      </c>
      <c r="GJ725">
        <f>IF(ISBLANK('Data Entry'!$Ā$725), "", 'Data Entry'!$Ā$725)</f>
      </c>
      <c r="GK725">
        <f>IF(ISBLANK('Data Entry'!$ā$725), "", 'Data Entry'!$ā$725)</f>
      </c>
      <c r="GL725">
        <f>IF(ISBLANK('Data Entry'!$Ă$725), "", 'Data Entry'!$Ă$725)</f>
      </c>
      <c r="GM725">
        <f>IF(ISBLANK('Data Entry'!$ă$725), "", 'Data Entry'!$ă$725)</f>
      </c>
      <c r="GN725">
        <f>IF(ISBLANK('Data Entry'!$Ą$725), "", 'Data Entry'!$Ą$725)</f>
      </c>
      <c r="GO725">
        <f>IF(ISBLANK('Data Entry'!$ą$725), "", 'Data Entry'!$ą$725)</f>
      </c>
      <c r="GP725">
        <f>IF(ISBLANK('Data Entry'!$Ć$725), "", 'Data Entry'!$Ć$725)</f>
      </c>
      <c r="GQ725">
        <f>IF(ISBLANK('Data Entry'!$ć$725), "", 'Data Entry'!$ć$725)</f>
      </c>
      <c r="GR725">
        <f>IF(ISBLANK('Data Entry'!$Ĉ$725), "", 'Data Entry'!$Ĉ$725)</f>
      </c>
      <c r="GS725">
        <f>IF(ISBLANK('Data Entry'!$ĉ$725), "", 'Data Entry'!$ĉ$725)</f>
      </c>
      <c r="GT725">
        <f>IF(ISBLANK('Data Entry'!$Ċ$725), "", 'Data Entry'!$Ċ$725)</f>
      </c>
      <c r="GU725">
        <f>IF(ISBLANK('Data Entry'!$ċ$725), "", 'Data Entry'!$ċ$725)</f>
      </c>
      <c r="GV725">
        <f>IF(ISBLANK('Data Entry'!$Č$725), "", 'Data Entry'!$Č$725)</f>
      </c>
      <c r="GW725">
        <f>IF(ISBLANK('Data Entry'!$č$725), "", 'Data Entry'!$č$725)</f>
      </c>
      <c r="GX725">
        <f>IF(ISBLANK('Data Entry'!$Ď$725), "", 'Data Entry'!$Ď$725)</f>
      </c>
      <c r="GY725">
        <f>IF(ISBLANK('Data Entry'!$ď$725), "", 'Data Entry'!$ď$725)</f>
      </c>
      <c r="GZ725">
        <f>IF(ISBLANK('Data Entry'!$Đ$725), "", 'Data Entry'!$Đ$725)</f>
      </c>
      <c r="HA725">
        <f>IF(ISBLANK('Data Entry'!$đ$725), "", 'Data Entry'!$đ$725)</f>
      </c>
      <c r="HB725">
        <f>IF(ISBLANK('Data Entry'!$Ē$725), "", 'Data Entry'!$Ē$725)</f>
      </c>
      <c r="HC725">
        <f>IF(ISBLANK('Data Entry'!$ē$725), "", 'Data Entry'!$ē$725)</f>
      </c>
      <c r="HD725">
        <f>IF(ISBLANK('Data Entry'!$Ĕ$725), "", 'Data Entry'!$Ĕ$725)</f>
      </c>
      <c r="HE725">
        <f>IF(ISBLANK('Data Entry'!$ĕ$725), "", 'Data Entry'!$ĕ$725)</f>
      </c>
      <c r="HF725">
        <f>IF(ISBLANK('Data Entry'!$Ė$725), "", 'Data Entry'!$Ė$725)</f>
      </c>
      <c r="HG725">
        <f>IF(ISBLANK('Data Entry'!$ė$725), "", 'Data Entry'!$ė$725)</f>
      </c>
      <c r="HH725">
        <f>IF(ISBLANK('Data Entry'!$Ę$725), "", 'Data Entry'!$Ę$725)</f>
      </c>
      <c r="HI725">
        <f>IF(ISBLANK('Data Entry'!$ę$725), "", 'Data Entry'!$ę$725)</f>
      </c>
      <c r="HJ725">
        <f>IF(ISBLANK('Data Entry'!$Ě$725), "", 'Data Entry'!$Ě$725)</f>
      </c>
      <c r="HK725">
        <f>IF(ISBLANK('Data Entry'!$ě$725), "", 'Data Entry'!$ě$725)</f>
      </c>
      <c r="HL725">
        <f>IF(ISBLANK('Data Entry'!$Ĝ$725), "", 'Data Entry'!$Ĝ$725)</f>
      </c>
      <c r="HM725">
        <f>IF(ISBLANK('Data Entry'!$ĝ$725), "", 'Data Entry'!$ĝ$725)</f>
      </c>
      <c r="HN725">
        <f>IF(ISBLANK('Data Entry'!$Ğ$725), "", 'Data Entry'!$Ğ$725)</f>
      </c>
      <c r="HO725">
        <f>IF(ISBLANK('Data Entry'!$ğ$725), "", 'Data Entry'!$ğ$725)</f>
      </c>
      <c r="HP725">
        <f>IF(ISBLANK('Data Entry'!$Ġ$725), "", 'Data Entry'!$Ġ$725)</f>
      </c>
      <c r="HQ725">
        <f>IF(ISBLANK('Data Entry'!$ġ$725), "", 'Data Entry'!$ġ$725)</f>
      </c>
      <c r="HR725">
        <f>IF(ISBLANK('Data Entry'!$Ģ$725), "", 'Data Entry'!$Ģ$725)</f>
      </c>
      <c r="HS725">
        <f>IF(ISBLANK('Data Entry'!$ģ$725), "", 'Data Entry'!$ģ$725)</f>
      </c>
      <c r="HT725">
        <f>IF(ISBLANK('Data Entry'!$Ĥ$725), "", 'Data Entry'!$Ĥ$725)</f>
      </c>
      <c r="HU725">
        <f>IF(ISBLANK('Data Entry'!$ĥ$725), "", 'Data Entry'!$ĥ$725)</f>
      </c>
      <c r="HV725">
        <f>IF(ISBLANK('Data Entry'!$Ħ$725), "", 'Data Entry'!$Ħ$725)</f>
      </c>
      <c r="HW725">
        <f>IF(ISBLANK('Data Entry'!$ħ$725), "", 'Data Entry'!$ħ$725)</f>
      </c>
      <c r="HX725">
        <f>IF(ISBLANK('Data Entry'!$Ĩ$725), "", 'Data Entry'!$Ĩ$725)</f>
      </c>
      <c r="HY725">
        <f>IF(ISBLANK('Data Entry'!$ĩ$725), "", 'Data Entry'!$ĩ$725)</f>
      </c>
      <c r="HZ725">
        <f>IF(ISBLANK('Data Entry'!$Ī$725), "", 'Data Entry'!$Ī$725)</f>
      </c>
      <c r="IA725">
        <f>IF(ISBLANK('Data Entry'!$ī$725), "", 'Data Entry'!$ī$725)</f>
      </c>
      <c r="IB725">
        <f>IF(ISBLANK('Data Entry'!$Ĭ$725), "", 'Data Entry'!$Ĭ$725)</f>
      </c>
      <c r="IC725">
        <f>IF(ISBLANK('Data Entry'!$ĭ$725), "", 'Data Entry'!$ĭ$725)</f>
      </c>
      <c r="ID725">
        <f>IF(ISBLANK('Data Entry'!$Į$725), "", 'Data Entry'!$Į$725)</f>
      </c>
      <c r="IE725">
        <f>IF(ISBLANK('Data Entry'!$į$725), "", 'Data Entry'!$į$725)</f>
      </c>
      <c r="IF725">
        <f>IF(ISBLANK('Data Entry'!$İ$725), "", 'Data Entry'!$İ$725)</f>
      </c>
      <c r="IG725">
        <f>IF(ISBLANK('Data Entry'!$ı$725), "", 'Data Entry'!$ı$725)</f>
      </c>
      <c r="IH725">
        <f>IF(ISBLANK('Data Entry'!$Ĳ$725), "", 'Data Entry'!$Ĳ$725)</f>
      </c>
      <c r="II725">
        <f>IF(ISBLANK('Data Entry'!$ĳ$725), "", 'Data Entry'!$ĳ$725)</f>
      </c>
      <c r="IJ725">
        <f>IF(ISBLANK('Data Entry'!$Ĵ$725), "", 'Data Entry'!$Ĵ$725)</f>
      </c>
      <c r="IK725">
        <f>IF(ISBLANK('Data Entry'!$ĵ$725), "", 'Data Entry'!$ĵ$725)</f>
      </c>
      <c r="IL725">
        <f>IF(ISBLANK('Data Entry'!$Ķ$725), "", 'Data Entry'!$Ķ$725)</f>
      </c>
      <c r="IM725">
        <f>IF(ISBLANK('Data Entry'!$ķ$725), "", 'Data Entry'!$ķ$725)</f>
      </c>
      <c r="IN725">
        <f>IF(ISBLANK('Data Entry'!$ĸ$725), "", 'Data Entry'!$ĸ$725)</f>
      </c>
      <c r="IO725">
        <f>IF(ISBLANK('Data Entry'!$Ĺ$725), "", 'Data Entry'!$Ĺ$725)</f>
      </c>
      <c r="IP725">
        <f>IF(ISBLANK('Data Entry'!$ĺ$725), "", 'Data Entry'!$ĺ$725)</f>
      </c>
      <c r="IQ725">
        <f>IF(ISBLANK('Data Entry'!$Ļ$725), "", 'Data Entry'!$Ļ$725)</f>
      </c>
      <c r="IR725">
        <f>IF(ISBLANK('Data Entry'!$ļ$725), "", 'Data Entry'!$ļ$725)</f>
      </c>
      <c r="IS725">
        <f>IF(ISBLANK('Data Entry'!$Ľ$725), "", 'Data Entry'!$Ľ$725)</f>
      </c>
      <c r="IT725">
        <f>IF(ISBLANK('Data Entry'!$ľ$725), "", 'Data Entry'!$ľ$725)</f>
      </c>
    </row>
    <row r="726" spans="1:254" x14ac:dyDescent="0.25">
      <c r="A726">
        <f>IF(ISBLANK('Data Entry'!$A$726), "", 'Data Entry'!$A$726)</f>
      </c>
      <c r="B726">
        <f>IF(ISBLANK('Data Entry'!$B$726), "", 'Data Entry'!$B$726)</f>
      </c>
      <c r="C726">
        <f>IF(ISBLANK('Data Entry'!$C$726), "", 'Data Entry'!$C$726)</f>
      </c>
      <c r="D726">
        <f>IF(ISBLANK('Data Entry'!$D$726), "", 'Data Entry'!$D$726)</f>
      </c>
      <c r="E726">
        <f>IF(ISBLANK('Data Entry'!$E$726), "", 'Data Entry'!$E$726)</f>
      </c>
      <c r="F726">
        <f>IF(ISBLANK('Data Entry'!$F$726), "", 'Data Entry'!$F$726)</f>
      </c>
      <c r="G726">
        <f>IF(ISBLANK('Data Entry'!$G$726), "", 'Data Entry'!$G$726)</f>
      </c>
      <c r="H726">
        <f>IF(ISBLANK('Data Entry'!$H$726), "", 'Data Entry'!$H$726)</f>
      </c>
      <c r="I726">
        <f>IF(ISBLANK('Data Entry'!$I$726), "", 'Data Entry'!$I$726)</f>
      </c>
      <c r="J726">
        <f>IF(ISBLANK('Data Entry'!$J$726), "", 'Data Entry'!$J$726)</f>
      </c>
      <c r="K726">
        <f>IF(ISBLANK('Data Entry'!$K$726), "", 'Data Entry'!$K$726)</f>
      </c>
      <c r="L726">
        <f>IF(ISBLANK('Data Entry'!$L$726), "", 'Data Entry'!$L$726)</f>
      </c>
      <c r="M726">
        <f>IF(ISBLANK('Data Entry'!$M$726), "", 'Data Entry'!$M$726)</f>
      </c>
      <c r="N726">
        <f>IF(ISBLANK('Data Entry'!$N$726), "", 'Data Entry'!$N$726)</f>
      </c>
      <c r="O726">
        <f>IF(ISBLANK('Data Entry'!$O$726), "", 'Data Entry'!$O$726)</f>
      </c>
      <c r="P726">
        <f>IF(ISBLANK('Data Entry'!$P$726), "", 'Data Entry'!$P$726)</f>
      </c>
      <c r="Q726">
        <f>IF(ISBLANK('Data Entry'!$Q$726), "", 'Data Entry'!$Q$726)</f>
      </c>
      <c r="R726">
        <f>IF(ISBLANK('Data Entry'!$R$726), "", 'Data Entry'!$R$726)</f>
      </c>
      <c r="S726">
        <f>IF(ISBLANK('Data Entry'!$S$726), "", 'Data Entry'!$S$726)</f>
      </c>
      <c r="T726">
        <f>IF(ISBLANK('Data Entry'!$T$726), "", 'Data Entry'!$T$726)</f>
      </c>
      <c r="U726">
        <f>IF(ISBLANK('Data Entry'!$U$726), "", 'Data Entry'!$U$726)</f>
      </c>
      <c r="V726">
        <f>IF(ISBLANK('Data Entry'!$V$726), "", 'Data Entry'!$V$726)</f>
      </c>
      <c r="W726">
        <f>IF(ISBLANK('Data Entry'!$W$726), "", 'Data Entry'!$W$726)</f>
      </c>
      <c r="X726">
        <f>IF(ISBLANK('Data Entry'!$X$726), "", 'Data Entry'!$X$726)</f>
      </c>
      <c r="Y726">
        <f>IF(ISBLANK('Data Entry'!$Y$726), "", 'Data Entry'!$Y$726)</f>
      </c>
      <c r="Z726">
        <f>IF(ISBLANK('Data Entry'!$Z$726), "", 'Data Entry'!$Z$726)</f>
      </c>
      <c r="AA726">
        <f>IF(ISBLANK('Data Entry'!$[$726), "", 'Data Entry'!$[$726)</f>
      </c>
      <c r="AB726">
        <f>IF(ISBLANK('Data Entry'!$\$726), "", 'Data Entry'!$\$726)</f>
      </c>
      <c r="AC726">
        <f>IF(ISBLANK('Data Entry'!$]$726), "", 'Data Entry'!$]$726)</f>
      </c>
      <c r="AD726">
        <f>IF(ISBLANK('Data Entry'!$^$726), "", 'Data Entry'!$^$726)</f>
      </c>
      <c r="AE726">
        <f>IF(ISBLANK('Data Entry'!$_$726), "", 'Data Entry'!$_$726)</f>
      </c>
      <c r="AF726">
        <f>IF(ISBLANK('Data Entry'!$`$726), "", 'Data Entry'!$`$726)</f>
      </c>
      <c r="AG726">
        <f>IF(ISBLANK('Data Entry'!$a$726), "", 'Data Entry'!$a$726)</f>
      </c>
      <c r="AH726">
        <f>IF(ISBLANK('Data Entry'!$b$726), "", 'Data Entry'!$b$726)</f>
      </c>
      <c r="AI726">
        <f>IF(ISBLANK('Data Entry'!$c$726), "", 'Data Entry'!$c$726)</f>
      </c>
      <c r="AJ726">
        <f>IF(ISBLANK('Data Entry'!$d$726), "", 'Data Entry'!$d$726)</f>
      </c>
      <c r="AK726">
        <f>IF(ISBLANK('Data Entry'!$e$726), "", 'Data Entry'!$e$726)</f>
      </c>
      <c r="AL726">
        <f>IF(ISBLANK('Data Entry'!$f$726), "", 'Data Entry'!$f$726)</f>
      </c>
      <c r="AM726">
        <f>IF(ISBLANK('Data Entry'!$g$726), "", 'Data Entry'!$g$726)</f>
      </c>
      <c r="AN726">
        <f>IF(ISBLANK('Data Entry'!$h$726), "", 'Data Entry'!$h$726)</f>
      </c>
      <c r="AO726">
        <f>IF(ISBLANK('Data Entry'!$i$726), "", 'Data Entry'!$i$726)</f>
      </c>
      <c r="AP726">
        <f>IF(ISBLANK('Data Entry'!$j$726), "", 'Data Entry'!$j$726)</f>
      </c>
      <c r="AQ726">
        <f>IF(ISBLANK('Data Entry'!$k$726), "", 'Data Entry'!$k$726)</f>
      </c>
      <c r="AR726">
        <f>IF(ISBLANK('Data Entry'!$l$726), "", 'Data Entry'!$l$726)</f>
      </c>
      <c r="AS726">
        <f>IF(ISBLANK('Data Entry'!$m$726), "", 'Data Entry'!$m$726)</f>
      </c>
      <c r="AT726">
        <f>IF(ISBLANK('Data Entry'!$n$726), "", 'Data Entry'!$n$726)</f>
      </c>
      <c r="AU726">
        <f>IF(ISBLANK('Data Entry'!$o$726), "", 'Data Entry'!$o$726)</f>
      </c>
      <c r="AV726">
        <f>IF(ISBLANK('Data Entry'!$p$726), "", 'Data Entry'!$p$726)</f>
      </c>
      <c r="AW726">
        <f>IF(ISBLANK('Data Entry'!$q$726), "", 'Data Entry'!$q$726)</f>
      </c>
      <c r="AX726">
        <f>IF(ISBLANK('Data Entry'!$r$726), "", 'Data Entry'!$r$726)</f>
      </c>
      <c r="AY726">
        <f>IF(ISBLANK('Data Entry'!$s$726), "", 'Data Entry'!$s$726)</f>
      </c>
      <c r="AZ726">
        <f>IF(ISBLANK('Data Entry'!$t$726), "", 'Data Entry'!$t$726)</f>
      </c>
      <c r="BA726">
        <f>IF(ISBLANK('Data Entry'!$u$726), "", 'Data Entry'!$u$726)</f>
      </c>
      <c r="BB726">
        <f>IF(ISBLANK('Data Entry'!$v$726), "", 'Data Entry'!$v$726)</f>
      </c>
      <c r="BC726">
        <f>IF(ISBLANK('Data Entry'!$w$726), "", 'Data Entry'!$w$726)</f>
      </c>
      <c r="BD726">
        <f>IF(ISBLANK('Data Entry'!$x$726), "", 'Data Entry'!$x$726)</f>
      </c>
      <c r="BE726">
        <f>IF(ISBLANK('Data Entry'!$y$726), "", 'Data Entry'!$y$726)</f>
      </c>
      <c r="BF726">
        <f>IF(ISBLANK('Data Entry'!$z$726), "", 'Data Entry'!$z$726)</f>
      </c>
      <c r="BG726">
        <f>IF(ISBLANK('Data Entry'!${$726), "", 'Data Entry'!${$726)</f>
      </c>
      <c r="BH726">
        <f>IF(ISBLANK('Data Entry'!$|$726), "", 'Data Entry'!$|$726)</f>
      </c>
      <c r="BI726">
        <f>IF(ISBLANK('Data Entry'!$}$726), "", 'Data Entry'!$}$726)</f>
      </c>
      <c r="BJ726">
        <f>IF(ISBLANK('Data Entry'!$~$726), "", 'Data Entry'!$~$726)</f>
      </c>
      <c r="BK726">
        <f>IF(ISBLANK('Data Entry'!$$726), "", 'Data Entry'!$$726)</f>
      </c>
      <c r="BL726">
        <f>IF(ISBLANK('Data Entry'!$$726), "", 'Data Entry'!$$726)</f>
      </c>
      <c r="BM726">
        <f>IF(ISBLANK('Data Entry'!$$726), "", 'Data Entry'!$$726)</f>
      </c>
      <c r="BN726">
        <f>IF(ISBLANK('Data Entry'!$$726), "", 'Data Entry'!$$726)</f>
      </c>
      <c r="BO726">
        <f>IF(ISBLANK('Data Entry'!$$726), "", 'Data Entry'!$$726)</f>
      </c>
      <c r="BP726">
        <f>IF(ISBLANK('Data Entry'!$$726), "", 'Data Entry'!$$726)</f>
      </c>
      <c r="BQ726">
        <f>IF(ISBLANK('Data Entry'!$$726), "", 'Data Entry'!$$726)</f>
      </c>
      <c r="BR726">
        <f>IF(ISBLANK('Data Entry'!$$726), "", 'Data Entry'!$$726)</f>
      </c>
      <c r="BS726">
        <f>IF(ISBLANK('Data Entry'!$$726), "", 'Data Entry'!$$726)</f>
      </c>
      <c r="BT726">
        <f>IF(ISBLANK('Data Entry'!$$726), "", 'Data Entry'!$$726)</f>
      </c>
      <c r="BU726">
        <f>IF(ISBLANK('Data Entry'!$$726), "", 'Data Entry'!$$726)</f>
      </c>
      <c r="BV726">
        <f>IF(ISBLANK('Data Entry'!$$726), "", 'Data Entry'!$$726)</f>
      </c>
      <c r="BW726">
        <f>IF(ISBLANK('Data Entry'!$$726), "", 'Data Entry'!$$726)</f>
      </c>
      <c r="BX726">
        <f>IF(ISBLANK('Data Entry'!$$726), "", 'Data Entry'!$$726)</f>
      </c>
      <c r="BY726">
        <f>IF(ISBLANK('Data Entry'!$$726), "", 'Data Entry'!$$726)</f>
      </c>
      <c r="BZ726">
        <f>IF(ISBLANK('Data Entry'!$$726), "", 'Data Entry'!$$726)</f>
      </c>
      <c r="CA726">
        <f>IF(ISBLANK('Data Entry'!$$726), "", 'Data Entry'!$$726)</f>
      </c>
      <c r="CB726">
        <f>IF(ISBLANK('Data Entry'!$$726), "", 'Data Entry'!$$726)</f>
      </c>
      <c r="CC726">
        <f>IF(ISBLANK('Data Entry'!$$726), "", 'Data Entry'!$$726)</f>
      </c>
      <c r="CD726">
        <f>IF(ISBLANK('Data Entry'!$$726), "", 'Data Entry'!$$726)</f>
      </c>
      <c r="CE726">
        <f>IF(ISBLANK('Data Entry'!$$726), "", 'Data Entry'!$$726)</f>
      </c>
      <c r="CF726">
        <f>IF(ISBLANK('Data Entry'!$$726), "", 'Data Entry'!$$726)</f>
      </c>
      <c r="CG726">
        <f>IF(ISBLANK('Data Entry'!$$726), "", 'Data Entry'!$$726)</f>
      </c>
      <c r="CH726">
        <f>IF(ISBLANK('Data Entry'!$$726), "", 'Data Entry'!$$726)</f>
      </c>
      <c r="CI726">
        <f>IF(ISBLANK('Data Entry'!$$726), "", 'Data Entry'!$$726)</f>
      </c>
      <c r="CJ726">
        <f>IF(ISBLANK('Data Entry'!$$726), "", 'Data Entry'!$$726)</f>
      </c>
      <c r="CK726">
        <f>IF(ISBLANK('Data Entry'!$$726), "", 'Data Entry'!$$726)</f>
      </c>
      <c r="CL726">
        <f>IF(ISBLANK('Data Entry'!$$726), "", 'Data Entry'!$$726)</f>
      </c>
      <c r="CM726">
        <f>IF(ISBLANK('Data Entry'!$$726), "", 'Data Entry'!$$726)</f>
      </c>
      <c r="CN726">
        <f>IF(ISBLANK('Data Entry'!$$726), "", 'Data Entry'!$$726)</f>
      </c>
      <c r="CO726">
        <f>IF(ISBLANK('Data Entry'!$$726), "", 'Data Entry'!$$726)</f>
      </c>
      <c r="CP726">
        <f>IF(ISBLANK('Data Entry'!$$726), "", 'Data Entry'!$$726)</f>
      </c>
      <c r="CQ726">
        <f>IF(ISBLANK('Data Entry'!$$726), "", 'Data Entry'!$$726)</f>
      </c>
      <c r="CR726">
        <f>IF(ISBLANK('Data Entry'!$ $726), "", 'Data Entry'!$ $726)</f>
      </c>
      <c r="CS726">
        <f>IF(ISBLANK('Data Entry'!$¡$726), "", 'Data Entry'!$¡$726)</f>
      </c>
      <c r="CT726">
        <f>IF(ISBLANK('Data Entry'!$¢$726), "", 'Data Entry'!$¢$726)</f>
      </c>
      <c r="CU726">
        <f>IF(ISBLANK('Data Entry'!$£$726), "", 'Data Entry'!$£$726)</f>
      </c>
      <c r="CV726">
        <f>IF(ISBLANK('Data Entry'!$¤$726), "", 'Data Entry'!$¤$726)</f>
      </c>
      <c r="CW726">
        <f>IF(ISBLANK('Data Entry'!$¥$726), "", 'Data Entry'!$¥$726)</f>
      </c>
      <c r="CX726">
        <f>IF(ISBLANK('Data Entry'!$¦$726), "", 'Data Entry'!$¦$726)</f>
      </c>
      <c r="CY726">
        <f>IF(ISBLANK('Data Entry'!$§$726), "", 'Data Entry'!$§$726)</f>
      </c>
      <c r="CZ726">
        <f>IF(ISBLANK('Data Entry'!$¨$726), "", 'Data Entry'!$¨$726)</f>
      </c>
      <c r="DA726">
        <f>IF(ISBLANK('Data Entry'!$©$726), "", 'Data Entry'!$©$726)</f>
      </c>
      <c r="DB726">
        <f>IF(ISBLANK('Data Entry'!$ª$726), "", 'Data Entry'!$ª$726)</f>
      </c>
      <c r="DC726">
        <f>IF(ISBLANK('Data Entry'!$«$726), "", 'Data Entry'!$«$726)</f>
      </c>
      <c r="DD726">
        <f>IF(ISBLANK('Data Entry'!$¬$726), "", 'Data Entry'!$¬$726)</f>
      </c>
      <c r="DE726">
        <f>IF(ISBLANK('Data Entry'!$­$726), "", 'Data Entry'!$­$726)</f>
      </c>
      <c r="DF726">
        <f>IF(ISBLANK('Data Entry'!$®$726), "", 'Data Entry'!$®$726)</f>
      </c>
      <c r="DG726">
        <f>IF(ISBLANK('Data Entry'!$¯$726), "", 'Data Entry'!$¯$726)</f>
      </c>
      <c r="DH726">
        <f>IF(ISBLANK('Data Entry'!$°$726), "", 'Data Entry'!$°$726)</f>
      </c>
      <c r="DI726">
        <f>IF(ISBLANK('Data Entry'!$±$726), "", 'Data Entry'!$±$726)</f>
      </c>
      <c r="DJ726">
        <f>IF(ISBLANK('Data Entry'!$²$726), "", 'Data Entry'!$²$726)</f>
      </c>
      <c r="DK726">
        <f>IF(ISBLANK('Data Entry'!$³$726), "", 'Data Entry'!$³$726)</f>
      </c>
      <c r="DL726">
        <f>IF(ISBLANK('Data Entry'!$´$726), "", 'Data Entry'!$´$726)</f>
      </c>
      <c r="DM726">
        <f>IF(ISBLANK('Data Entry'!$µ$726), "", 'Data Entry'!$µ$726)</f>
      </c>
      <c r="DN726">
        <f>IF(ISBLANK('Data Entry'!$¶$726), "", 'Data Entry'!$¶$726)</f>
      </c>
      <c r="DO726">
        <f>IF(ISBLANK('Data Entry'!$·$726), "", 'Data Entry'!$·$726)</f>
      </c>
      <c r="DP726">
        <f>IF(ISBLANK('Data Entry'!$¸$726), "", 'Data Entry'!$¸$726)</f>
      </c>
      <c r="DQ726">
        <f>IF(ISBLANK('Data Entry'!$¹$726), "", 'Data Entry'!$¹$726)</f>
      </c>
      <c r="DR726">
        <f>IF(ISBLANK('Data Entry'!$º$726), "", 'Data Entry'!$º$726)</f>
      </c>
      <c r="DS726">
        <f>IF(ISBLANK('Data Entry'!$»$726), "", 'Data Entry'!$»$726)</f>
      </c>
      <c r="DT726">
        <f>IF(ISBLANK('Data Entry'!$¼$726), "", 'Data Entry'!$¼$726)</f>
      </c>
      <c r="DU726">
        <f>IF(ISBLANK('Data Entry'!$½$726), "", 'Data Entry'!$½$726)</f>
      </c>
      <c r="DV726">
        <f>IF(ISBLANK('Data Entry'!$¾$726), "", 'Data Entry'!$¾$726)</f>
      </c>
      <c r="DW726">
        <f>IF(ISBLANK('Data Entry'!$¿$726), "", 'Data Entry'!$¿$726)</f>
      </c>
      <c r="DX726">
        <f>IF(ISBLANK('Data Entry'!$À$726), "", 'Data Entry'!$À$726)</f>
      </c>
      <c r="DY726">
        <f>IF(ISBLANK('Data Entry'!$Á$726), "", 'Data Entry'!$Á$726)</f>
      </c>
      <c r="DZ726">
        <f>IF(ISBLANK('Data Entry'!$Â$726), "", 'Data Entry'!$Â$726)</f>
      </c>
      <c r="EA726">
        <f>IF(ISBLANK('Data Entry'!$Ã$726), "", 'Data Entry'!$Ã$726)</f>
      </c>
      <c r="EB726">
        <f>IF(ISBLANK('Data Entry'!$Ä$726), "", 'Data Entry'!$Ä$726)</f>
      </c>
      <c r="EC726">
        <f>IF(ISBLANK('Data Entry'!$Å$726), "", 'Data Entry'!$Å$726)</f>
      </c>
      <c r="ED726">
        <f>IF(ISBLANK('Data Entry'!$Æ$726), "", 'Data Entry'!$Æ$726)</f>
      </c>
      <c r="EE726">
        <f>IF(ISBLANK('Data Entry'!$Ç$726), "", 'Data Entry'!$Ç$726)</f>
      </c>
      <c r="EF726">
        <f>IF(ISBLANK('Data Entry'!$È$726), "", 'Data Entry'!$È$726)</f>
      </c>
      <c r="EG726">
        <f>IF(ISBLANK('Data Entry'!$É$726), "", 'Data Entry'!$É$726)</f>
      </c>
      <c r="EH726">
        <f>IF(ISBLANK('Data Entry'!$Ê$726), "", 'Data Entry'!$Ê$726)</f>
      </c>
      <c r="EI726">
        <f>IF(ISBLANK('Data Entry'!$Ë$726), "", 'Data Entry'!$Ë$726)</f>
      </c>
      <c r="EJ726">
        <f>IF(ISBLANK('Data Entry'!$Ì$726), "", 'Data Entry'!$Ì$726)</f>
      </c>
      <c r="EK726">
        <f>IF(ISBLANK('Data Entry'!$Í$726), "", 'Data Entry'!$Í$726)</f>
      </c>
      <c r="EL726">
        <f>IF(ISBLANK('Data Entry'!$Î$726), "", 'Data Entry'!$Î$726)</f>
      </c>
      <c r="EM726">
        <f>IF(ISBLANK('Data Entry'!$Ï$726), "", 'Data Entry'!$Ï$726)</f>
      </c>
      <c r="EN726">
        <f>IF(ISBLANK('Data Entry'!$Ð$726), "", 'Data Entry'!$Ð$726)</f>
      </c>
      <c r="EO726">
        <f>IF(ISBLANK('Data Entry'!$Ñ$726), "", 'Data Entry'!$Ñ$726)</f>
      </c>
      <c r="EP726">
        <f>IF(ISBLANK('Data Entry'!$Ò$726), "", 'Data Entry'!$Ò$726)</f>
      </c>
      <c r="EQ726">
        <f>IF(ISBLANK('Data Entry'!$Ó$726), "", 'Data Entry'!$Ó$726)</f>
      </c>
      <c r="ER726">
        <f>IF(ISBLANK('Data Entry'!$Ô$726), "", 'Data Entry'!$Ô$726)</f>
      </c>
      <c r="ES726">
        <f>IF(ISBLANK('Data Entry'!$Õ$726), "", 'Data Entry'!$Õ$726)</f>
      </c>
      <c r="ET726">
        <f>IF(ISBLANK('Data Entry'!$Ö$726), "", 'Data Entry'!$Ö$726)</f>
      </c>
      <c r="EU726">
        <f>IF(ISBLANK('Data Entry'!$×$726), "", 'Data Entry'!$×$726)</f>
      </c>
      <c r="EV726">
        <f>IF(ISBLANK('Data Entry'!$Ø$726), "", 'Data Entry'!$Ø$726)</f>
      </c>
      <c r="EW726">
        <f>IF(ISBLANK('Data Entry'!$Ù$726), "", 'Data Entry'!$Ù$726)</f>
      </c>
      <c r="EX726">
        <f>IF(ISBLANK('Data Entry'!$Ú$726), "", 'Data Entry'!$Ú$726)</f>
      </c>
      <c r="EY726">
        <f>IF(ISBLANK('Data Entry'!$Û$726), "", 'Data Entry'!$Û$726)</f>
      </c>
      <c r="EZ726">
        <f>IF(ISBLANK('Data Entry'!$Ü$726), "", 'Data Entry'!$Ü$726)</f>
      </c>
      <c r="FA726">
        <f>IF(ISBLANK('Data Entry'!$Ý$726), "", 'Data Entry'!$Ý$726)</f>
      </c>
      <c r="FB726">
        <f>IF(ISBLANK('Data Entry'!$Þ$726), "", 'Data Entry'!$Þ$726)</f>
      </c>
      <c r="FC726">
        <f>IF(ISBLANK('Data Entry'!$ß$726), "", 'Data Entry'!$ß$726)</f>
      </c>
      <c r="FD726">
        <f>IF(ISBLANK('Data Entry'!$à$726), "", 'Data Entry'!$à$726)</f>
      </c>
      <c r="FE726">
        <f>IF(ISBLANK('Data Entry'!$á$726), "", 'Data Entry'!$á$726)</f>
      </c>
      <c r="FF726">
        <f>IF(ISBLANK('Data Entry'!$â$726), "", 'Data Entry'!$â$726)</f>
      </c>
      <c r="FG726">
        <f>IF(ISBLANK('Data Entry'!$ã$726), "", 'Data Entry'!$ã$726)</f>
      </c>
      <c r="FH726">
        <f>IF(ISBLANK('Data Entry'!$ä$726), "", 'Data Entry'!$ä$726)</f>
      </c>
      <c r="FI726">
        <f>IF(ISBLANK('Data Entry'!$å$726), "", 'Data Entry'!$å$726)</f>
      </c>
      <c r="FJ726">
        <f>IF(ISBLANK('Data Entry'!$æ$726), "", 'Data Entry'!$æ$726)</f>
      </c>
      <c r="FK726">
        <f>IF(ISBLANK('Data Entry'!$ç$726), "", 'Data Entry'!$ç$726)</f>
      </c>
      <c r="FL726">
        <f>IF(ISBLANK('Data Entry'!$è$726), "", 'Data Entry'!$è$726)</f>
      </c>
      <c r="FM726">
        <f>IF(ISBLANK('Data Entry'!$é$726), "", 'Data Entry'!$é$726)</f>
      </c>
      <c r="FN726">
        <f>IF(ISBLANK('Data Entry'!$ê$726), "", 'Data Entry'!$ê$726)</f>
      </c>
      <c r="FO726">
        <f>IF(ISBLANK('Data Entry'!$ë$726), "", 'Data Entry'!$ë$726)</f>
      </c>
      <c r="FP726">
        <f>IF(ISBLANK('Data Entry'!$ì$726), "", 'Data Entry'!$ì$726)</f>
      </c>
      <c r="FQ726">
        <f>IF(ISBLANK('Data Entry'!$í$726), "", 'Data Entry'!$í$726)</f>
      </c>
      <c r="FR726">
        <f>IF(ISBLANK('Data Entry'!$î$726), "", 'Data Entry'!$î$726)</f>
      </c>
      <c r="FS726">
        <f>IF(ISBLANK('Data Entry'!$ï$726), "", 'Data Entry'!$ï$726)</f>
      </c>
      <c r="FT726">
        <f>IF(ISBLANK('Data Entry'!$ð$726), "", 'Data Entry'!$ð$726)</f>
      </c>
      <c r="FU726">
        <f>IF(ISBLANK('Data Entry'!$ñ$726), "", 'Data Entry'!$ñ$726)</f>
      </c>
      <c r="FV726">
        <f>IF(ISBLANK('Data Entry'!$ò$726), "", 'Data Entry'!$ò$726)</f>
      </c>
      <c r="FW726">
        <f>IF(ISBLANK('Data Entry'!$ó$726), "", 'Data Entry'!$ó$726)</f>
      </c>
      <c r="FX726">
        <f>IF(ISBLANK('Data Entry'!$ô$726), "", 'Data Entry'!$ô$726)</f>
      </c>
      <c r="FY726">
        <f>IF(ISBLANK('Data Entry'!$õ$726), "", 'Data Entry'!$õ$726)</f>
      </c>
      <c r="FZ726">
        <f>IF(ISBLANK('Data Entry'!$ö$726), "", 'Data Entry'!$ö$726)</f>
      </c>
      <c r="GA726">
        <f>IF(ISBLANK('Data Entry'!$÷$726), "", 'Data Entry'!$÷$726)</f>
      </c>
      <c r="GB726">
        <f>IF(ISBLANK('Data Entry'!$ø$726), "", 'Data Entry'!$ø$726)</f>
      </c>
      <c r="GC726">
        <f>IF(ISBLANK('Data Entry'!$ù$726), "", 'Data Entry'!$ù$726)</f>
      </c>
      <c r="GD726">
        <f>IF(ISBLANK('Data Entry'!$ú$726), "", 'Data Entry'!$ú$726)</f>
      </c>
      <c r="GE726">
        <f>IF(ISBLANK('Data Entry'!$û$726), "", 'Data Entry'!$û$726)</f>
      </c>
      <c r="GF726">
        <f>IF(ISBLANK('Data Entry'!$ü$726), "", 'Data Entry'!$ü$726)</f>
      </c>
      <c r="GG726">
        <f>IF(ISBLANK('Data Entry'!$ý$726), "", 'Data Entry'!$ý$726)</f>
      </c>
      <c r="GH726">
        <f>IF(ISBLANK('Data Entry'!$þ$726), "", 'Data Entry'!$þ$726)</f>
      </c>
      <c r="GI726">
        <f>IF(ISBLANK('Data Entry'!$ÿ$726), "", 'Data Entry'!$ÿ$726)</f>
      </c>
      <c r="GJ726">
        <f>IF(ISBLANK('Data Entry'!$Ā$726), "", 'Data Entry'!$Ā$726)</f>
      </c>
      <c r="GK726">
        <f>IF(ISBLANK('Data Entry'!$ā$726), "", 'Data Entry'!$ā$726)</f>
      </c>
      <c r="GL726">
        <f>IF(ISBLANK('Data Entry'!$Ă$726), "", 'Data Entry'!$Ă$726)</f>
      </c>
      <c r="GM726">
        <f>IF(ISBLANK('Data Entry'!$ă$726), "", 'Data Entry'!$ă$726)</f>
      </c>
      <c r="GN726">
        <f>IF(ISBLANK('Data Entry'!$Ą$726), "", 'Data Entry'!$Ą$726)</f>
      </c>
      <c r="GO726">
        <f>IF(ISBLANK('Data Entry'!$ą$726), "", 'Data Entry'!$ą$726)</f>
      </c>
      <c r="GP726">
        <f>IF(ISBLANK('Data Entry'!$Ć$726), "", 'Data Entry'!$Ć$726)</f>
      </c>
      <c r="GQ726">
        <f>IF(ISBLANK('Data Entry'!$ć$726), "", 'Data Entry'!$ć$726)</f>
      </c>
      <c r="GR726">
        <f>IF(ISBLANK('Data Entry'!$Ĉ$726), "", 'Data Entry'!$Ĉ$726)</f>
      </c>
      <c r="GS726">
        <f>IF(ISBLANK('Data Entry'!$ĉ$726), "", 'Data Entry'!$ĉ$726)</f>
      </c>
      <c r="GT726">
        <f>IF(ISBLANK('Data Entry'!$Ċ$726), "", 'Data Entry'!$Ċ$726)</f>
      </c>
      <c r="GU726">
        <f>IF(ISBLANK('Data Entry'!$ċ$726), "", 'Data Entry'!$ċ$726)</f>
      </c>
      <c r="GV726">
        <f>IF(ISBLANK('Data Entry'!$Č$726), "", 'Data Entry'!$Č$726)</f>
      </c>
      <c r="GW726">
        <f>IF(ISBLANK('Data Entry'!$č$726), "", 'Data Entry'!$č$726)</f>
      </c>
      <c r="GX726">
        <f>IF(ISBLANK('Data Entry'!$Ď$726), "", 'Data Entry'!$Ď$726)</f>
      </c>
      <c r="GY726">
        <f>IF(ISBLANK('Data Entry'!$ď$726), "", 'Data Entry'!$ď$726)</f>
      </c>
      <c r="GZ726">
        <f>IF(ISBLANK('Data Entry'!$Đ$726), "", 'Data Entry'!$Đ$726)</f>
      </c>
      <c r="HA726">
        <f>IF(ISBLANK('Data Entry'!$đ$726), "", 'Data Entry'!$đ$726)</f>
      </c>
      <c r="HB726">
        <f>IF(ISBLANK('Data Entry'!$Ē$726), "", 'Data Entry'!$Ē$726)</f>
      </c>
      <c r="HC726">
        <f>IF(ISBLANK('Data Entry'!$ē$726), "", 'Data Entry'!$ē$726)</f>
      </c>
      <c r="HD726">
        <f>IF(ISBLANK('Data Entry'!$Ĕ$726), "", 'Data Entry'!$Ĕ$726)</f>
      </c>
      <c r="HE726">
        <f>IF(ISBLANK('Data Entry'!$ĕ$726), "", 'Data Entry'!$ĕ$726)</f>
      </c>
      <c r="HF726">
        <f>IF(ISBLANK('Data Entry'!$Ė$726), "", 'Data Entry'!$Ė$726)</f>
      </c>
      <c r="HG726">
        <f>IF(ISBLANK('Data Entry'!$ė$726), "", 'Data Entry'!$ė$726)</f>
      </c>
      <c r="HH726">
        <f>IF(ISBLANK('Data Entry'!$Ę$726), "", 'Data Entry'!$Ę$726)</f>
      </c>
      <c r="HI726">
        <f>IF(ISBLANK('Data Entry'!$ę$726), "", 'Data Entry'!$ę$726)</f>
      </c>
      <c r="HJ726">
        <f>IF(ISBLANK('Data Entry'!$Ě$726), "", 'Data Entry'!$Ě$726)</f>
      </c>
      <c r="HK726">
        <f>IF(ISBLANK('Data Entry'!$ě$726), "", 'Data Entry'!$ě$726)</f>
      </c>
      <c r="HL726">
        <f>IF(ISBLANK('Data Entry'!$Ĝ$726), "", 'Data Entry'!$Ĝ$726)</f>
      </c>
      <c r="HM726">
        <f>IF(ISBLANK('Data Entry'!$ĝ$726), "", 'Data Entry'!$ĝ$726)</f>
      </c>
      <c r="HN726">
        <f>IF(ISBLANK('Data Entry'!$Ğ$726), "", 'Data Entry'!$Ğ$726)</f>
      </c>
      <c r="HO726">
        <f>IF(ISBLANK('Data Entry'!$ğ$726), "", 'Data Entry'!$ğ$726)</f>
      </c>
      <c r="HP726">
        <f>IF(ISBLANK('Data Entry'!$Ġ$726), "", 'Data Entry'!$Ġ$726)</f>
      </c>
      <c r="HQ726">
        <f>IF(ISBLANK('Data Entry'!$ġ$726), "", 'Data Entry'!$ġ$726)</f>
      </c>
      <c r="HR726">
        <f>IF(ISBLANK('Data Entry'!$Ģ$726), "", 'Data Entry'!$Ģ$726)</f>
      </c>
      <c r="HS726">
        <f>IF(ISBLANK('Data Entry'!$ģ$726), "", 'Data Entry'!$ģ$726)</f>
      </c>
      <c r="HT726">
        <f>IF(ISBLANK('Data Entry'!$Ĥ$726), "", 'Data Entry'!$Ĥ$726)</f>
      </c>
      <c r="HU726">
        <f>IF(ISBLANK('Data Entry'!$ĥ$726), "", 'Data Entry'!$ĥ$726)</f>
      </c>
      <c r="HV726">
        <f>IF(ISBLANK('Data Entry'!$Ħ$726), "", 'Data Entry'!$Ħ$726)</f>
      </c>
      <c r="HW726">
        <f>IF(ISBLANK('Data Entry'!$ħ$726), "", 'Data Entry'!$ħ$726)</f>
      </c>
      <c r="HX726">
        <f>IF(ISBLANK('Data Entry'!$Ĩ$726), "", 'Data Entry'!$Ĩ$726)</f>
      </c>
      <c r="HY726">
        <f>IF(ISBLANK('Data Entry'!$ĩ$726), "", 'Data Entry'!$ĩ$726)</f>
      </c>
      <c r="HZ726">
        <f>IF(ISBLANK('Data Entry'!$Ī$726), "", 'Data Entry'!$Ī$726)</f>
      </c>
      <c r="IA726">
        <f>IF(ISBLANK('Data Entry'!$ī$726), "", 'Data Entry'!$ī$726)</f>
      </c>
      <c r="IB726">
        <f>IF(ISBLANK('Data Entry'!$Ĭ$726), "", 'Data Entry'!$Ĭ$726)</f>
      </c>
      <c r="IC726">
        <f>IF(ISBLANK('Data Entry'!$ĭ$726), "", 'Data Entry'!$ĭ$726)</f>
      </c>
      <c r="ID726">
        <f>IF(ISBLANK('Data Entry'!$Į$726), "", 'Data Entry'!$Į$726)</f>
      </c>
      <c r="IE726">
        <f>IF(ISBLANK('Data Entry'!$į$726), "", 'Data Entry'!$į$726)</f>
      </c>
      <c r="IF726">
        <f>IF(ISBLANK('Data Entry'!$İ$726), "", 'Data Entry'!$İ$726)</f>
      </c>
      <c r="IG726">
        <f>IF(ISBLANK('Data Entry'!$ı$726), "", 'Data Entry'!$ı$726)</f>
      </c>
      <c r="IH726">
        <f>IF(ISBLANK('Data Entry'!$Ĳ$726), "", 'Data Entry'!$Ĳ$726)</f>
      </c>
      <c r="II726">
        <f>IF(ISBLANK('Data Entry'!$ĳ$726), "", 'Data Entry'!$ĳ$726)</f>
      </c>
      <c r="IJ726">
        <f>IF(ISBLANK('Data Entry'!$Ĵ$726), "", 'Data Entry'!$Ĵ$726)</f>
      </c>
      <c r="IK726">
        <f>IF(ISBLANK('Data Entry'!$ĵ$726), "", 'Data Entry'!$ĵ$726)</f>
      </c>
      <c r="IL726">
        <f>IF(ISBLANK('Data Entry'!$Ķ$726), "", 'Data Entry'!$Ķ$726)</f>
      </c>
      <c r="IM726">
        <f>IF(ISBLANK('Data Entry'!$ķ$726), "", 'Data Entry'!$ķ$726)</f>
      </c>
      <c r="IN726">
        <f>IF(ISBLANK('Data Entry'!$ĸ$726), "", 'Data Entry'!$ĸ$726)</f>
      </c>
      <c r="IO726">
        <f>IF(ISBLANK('Data Entry'!$Ĺ$726), "", 'Data Entry'!$Ĺ$726)</f>
      </c>
      <c r="IP726">
        <f>IF(ISBLANK('Data Entry'!$ĺ$726), "", 'Data Entry'!$ĺ$726)</f>
      </c>
      <c r="IQ726">
        <f>IF(ISBLANK('Data Entry'!$Ļ$726), "", 'Data Entry'!$Ļ$726)</f>
      </c>
      <c r="IR726">
        <f>IF(ISBLANK('Data Entry'!$ļ$726), "", 'Data Entry'!$ļ$726)</f>
      </c>
      <c r="IS726">
        <f>IF(ISBLANK('Data Entry'!$Ľ$726), "", 'Data Entry'!$Ľ$726)</f>
      </c>
      <c r="IT726">
        <f>IF(ISBLANK('Data Entry'!$ľ$726), "", 'Data Entry'!$ľ$726)</f>
      </c>
    </row>
    <row r="727" spans="1:254" x14ac:dyDescent="0.25">
      <c r="A727">
        <f>IF(ISBLANK('Data Entry'!$A$727), "", 'Data Entry'!$A$727)</f>
      </c>
      <c r="B727">
        <f>IF(ISBLANK('Data Entry'!$B$727), "", 'Data Entry'!$B$727)</f>
      </c>
      <c r="C727">
        <f>IF(ISBLANK('Data Entry'!$C$727), "", 'Data Entry'!$C$727)</f>
      </c>
      <c r="D727">
        <f>IF(ISBLANK('Data Entry'!$D$727), "", 'Data Entry'!$D$727)</f>
      </c>
      <c r="E727">
        <f>IF(ISBLANK('Data Entry'!$E$727), "", 'Data Entry'!$E$727)</f>
      </c>
      <c r="F727">
        <f>IF(ISBLANK('Data Entry'!$F$727), "", 'Data Entry'!$F$727)</f>
      </c>
      <c r="G727">
        <f>IF(ISBLANK('Data Entry'!$G$727), "", 'Data Entry'!$G$727)</f>
      </c>
      <c r="H727">
        <f>IF(ISBLANK('Data Entry'!$H$727), "", 'Data Entry'!$H$727)</f>
      </c>
      <c r="I727">
        <f>IF(ISBLANK('Data Entry'!$I$727), "", 'Data Entry'!$I$727)</f>
      </c>
      <c r="J727">
        <f>IF(ISBLANK('Data Entry'!$J$727), "", 'Data Entry'!$J$727)</f>
      </c>
      <c r="K727">
        <f>IF(ISBLANK('Data Entry'!$K$727), "", 'Data Entry'!$K$727)</f>
      </c>
      <c r="L727">
        <f>IF(ISBLANK('Data Entry'!$L$727), "", 'Data Entry'!$L$727)</f>
      </c>
      <c r="M727">
        <f>IF(ISBLANK('Data Entry'!$M$727), "", 'Data Entry'!$M$727)</f>
      </c>
      <c r="N727">
        <f>IF(ISBLANK('Data Entry'!$N$727), "", 'Data Entry'!$N$727)</f>
      </c>
      <c r="O727">
        <f>IF(ISBLANK('Data Entry'!$O$727), "", 'Data Entry'!$O$727)</f>
      </c>
      <c r="P727">
        <f>IF(ISBLANK('Data Entry'!$P$727), "", 'Data Entry'!$P$727)</f>
      </c>
      <c r="Q727">
        <f>IF(ISBLANK('Data Entry'!$Q$727), "", 'Data Entry'!$Q$727)</f>
      </c>
      <c r="R727">
        <f>IF(ISBLANK('Data Entry'!$R$727), "", 'Data Entry'!$R$727)</f>
      </c>
      <c r="S727">
        <f>IF(ISBLANK('Data Entry'!$S$727), "", 'Data Entry'!$S$727)</f>
      </c>
      <c r="T727">
        <f>IF(ISBLANK('Data Entry'!$T$727), "", 'Data Entry'!$T$727)</f>
      </c>
      <c r="U727">
        <f>IF(ISBLANK('Data Entry'!$U$727), "", 'Data Entry'!$U$727)</f>
      </c>
      <c r="V727">
        <f>IF(ISBLANK('Data Entry'!$V$727), "", 'Data Entry'!$V$727)</f>
      </c>
      <c r="W727">
        <f>IF(ISBLANK('Data Entry'!$W$727), "", 'Data Entry'!$W$727)</f>
      </c>
      <c r="X727">
        <f>IF(ISBLANK('Data Entry'!$X$727), "", 'Data Entry'!$X$727)</f>
      </c>
      <c r="Y727">
        <f>IF(ISBLANK('Data Entry'!$Y$727), "", 'Data Entry'!$Y$727)</f>
      </c>
      <c r="Z727">
        <f>IF(ISBLANK('Data Entry'!$Z$727), "", 'Data Entry'!$Z$727)</f>
      </c>
      <c r="AA727">
        <f>IF(ISBLANK('Data Entry'!$[$727), "", 'Data Entry'!$[$727)</f>
      </c>
      <c r="AB727">
        <f>IF(ISBLANK('Data Entry'!$\$727), "", 'Data Entry'!$\$727)</f>
      </c>
      <c r="AC727">
        <f>IF(ISBLANK('Data Entry'!$]$727), "", 'Data Entry'!$]$727)</f>
      </c>
      <c r="AD727">
        <f>IF(ISBLANK('Data Entry'!$^$727), "", 'Data Entry'!$^$727)</f>
      </c>
      <c r="AE727">
        <f>IF(ISBLANK('Data Entry'!$_$727), "", 'Data Entry'!$_$727)</f>
      </c>
      <c r="AF727">
        <f>IF(ISBLANK('Data Entry'!$`$727), "", 'Data Entry'!$`$727)</f>
      </c>
      <c r="AG727">
        <f>IF(ISBLANK('Data Entry'!$a$727), "", 'Data Entry'!$a$727)</f>
      </c>
      <c r="AH727">
        <f>IF(ISBLANK('Data Entry'!$b$727), "", 'Data Entry'!$b$727)</f>
      </c>
      <c r="AI727">
        <f>IF(ISBLANK('Data Entry'!$c$727), "", 'Data Entry'!$c$727)</f>
      </c>
      <c r="AJ727">
        <f>IF(ISBLANK('Data Entry'!$d$727), "", 'Data Entry'!$d$727)</f>
      </c>
      <c r="AK727">
        <f>IF(ISBLANK('Data Entry'!$e$727), "", 'Data Entry'!$e$727)</f>
      </c>
      <c r="AL727">
        <f>IF(ISBLANK('Data Entry'!$f$727), "", 'Data Entry'!$f$727)</f>
      </c>
      <c r="AM727">
        <f>IF(ISBLANK('Data Entry'!$g$727), "", 'Data Entry'!$g$727)</f>
      </c>
      <c r="AN727">
        <f>IF(ISBLANK('Data Entry'!$h$727), "", 'Data Entry'!$h$727)</f>
      </c>
      <c r="AO727">
        <f>IF(ISBLANK('Data Entry'!$i$727), "", 'Data Entry'!$i$727)</f>
      </c>
      <c r="AP727">
        <f>IF(ISBLANK('Data Entry'!$j$727), "", 'Data Entry'!$j$727)</f>
      </c>
      <c r="AQ727">
        <f>IF(ISBLANK('Data Entry'!$k$727), "", 'Data Entry'!$k$727)</f>
      </c>
      <c r="AR727">
        <f>IF(ISBLANK('Data Entry'!$l$727), "", 'Data Entry'!$l$727)</f>
      </c>
      <c r="AS727">
        <f>IF(ISBLANK('Data Entry'!$m$727), "", 'Data Entry'!$m$727)</f>
      </c>
      <c r="AT727">
        <f>IF(ISBLANK('Data Entry'!$n$727), "", 'Data Entry'!$n$727)</f>
      </c>
      <c r="AU727">
        <f>IF(ISBLANK('Data Entry'!$o$727), "", 'Data Entry'!$o$727)</f>
      </c>
      <c r="AV727">
        <f>IF(ISBLANK('Data Entry'!$p$727), "", 'Data Entry'!$p$727)</f>
      </c>
      <c r="AW727">
        <f>IF(ISBLANK('Data Entry'!$q$727), "", 'Data Entry'!$q$727)</f>
      </c>
      <c r="AX727">
        <f>IF(ISBLANK('Data Entry'!$r$727), "", 'Data Entry'!$r$727)</f>
      </c>
      <c r="AY727">
        <f>IF(ISBLANK('Data Entry'!$s$727), "", 'Data Entry'!$s$727)</f>
      </c>
      <c r="AZ727">
        <f>IF(ISBLANK('Data Entry'!$t$727), "", 'Data Entry'!$t$727)</f>
      </c>
      <c r="BA727">
        <f>IF(ISBLANK('Data Entry'!$u$727), "", 'Data Entry'!$u$727)</f>
      </c>
      <c r="BB727">
        <f>IF(ISBLANK('Data Entry'!$v$727), "", 'Data Entry'!$v$727)</f>
      </c>
      <c r="BC727">
        <f>IF(ISBLANK('Data Entry'!$w$727), "", 'Data Entry'!$w$727)</f>
      </c>
      <c r="BD727">
        <f>IF(ISBLANK('Data Entry'!$x$727), "", 'Data Entry'!$x$727)</f>
      </c>
      <c r="BE727">
        <f>IF(ISBLANK('Data Entry'!$y$727), "", 'Data Entry'!$y$727)</f>
      </c>
      <c r="BF727">
        <f>IF(ISBLANK('Data Entry'!$z$727), "", 'Data Entry'!$z$727)</f>
      </c>
      <c r="BG727">
        <f>IF(ISBLANK('Data Entry'!${$727), "", 'Data Entry'!${$727)</f>
      </c>
      <c r="BH727">
        <f>IF(ISBLANK('Data Entry'!$|$727), "", 'Data Entry'!$|$727)</f>
      </c>
      <c r="BI727">
        <f>IF(ISBLANK('Data Entry'!$}$727), "", 'Data Entry'!$}$727)</f>
      </c>
      <c r="BJ727">
        <f>IF(ISBLANK('Data Entry'!$~$727), "", 'Data Entry'!$~$727)</f>
      </c>
      <c r="BK727">
        <f>IF(ISBLANK('Data Entry'!$$727), "", 'Data Entry'!$$727)</f>
      </c>
      <c r="BL727">
        <f>IF(ISBLANK('Data Entry'!$$727), "", 'Data Entry'!$$727)</f>
      </c>
      <c r="BM727">
        <f>IF(ISBLANK('Data Entry'!$$727), "", 'Data Entry'!$$727)</f>
      </c>
      <c r="BN727">
        <f>IF(ISBLANK('Data Entry'!$$727), "", 'Data Entry'!$$727)</f>
      </c>
      <c r="BO727">
        <f>IF(ISBLANK('Data Entry'!$$727), "", 'Data Entry'!$$727)</f>
      </c>
      <c r="BP727">
        <f>IF(ISBLANK('Data Entry'!$$727), "", 'Data Entry'!$$727)</f>
      </c>
      <c r="BQ727">
        <f>IF(ISBLANK('Data Entry'!$$727), "", 'Data Entry'!$$727)</f>
      </c>
      <c r="BR727">
        <f>IF(ISBLANK('Data Entry'!$$727), "", 'Data Entry'!$$727)</f>
      </c>
      <c r="BS727">
        <f>IF(ISBLANK('Data Entry'!$$727), "", 'Data Entry'!$$727)</f>
      </c>
      <c r="BT727">
        <f>IF(ISBLANK('Data Entry'!$$727), "", 'Data Entry'!$$727)</f>
      </c>
      <c r="BU727">
        <f>IF(ISBLANK('Data Entry'!$$727), "", 'Data Entry'!$$727)</f>
      </c>
      <c r="BV727">
        <f>IF(ISBLANK('Data Entry'!$$727), "", 'Data Entry'!$$727)</f>
      </c>
      <c r="BW727">
        <f>IF(ISBLANK('Data Entry'!$$727), "", 'Data Entry'!$$727)</f>
      </c>
      <c r="BX727">
        <f>IF(ISBLANK('Data Entry'!$$727), "", 'Data Entry'!$$727)</f>
      </c>
      <c r="BY727">
        <f>IF(ISBLANK('Data Entry'!$$727), "", 'Data Entry'!$$727)</f>
      </c>
      <c r="BZ727">
        <f>IF(ISBLANK('Data Entry'!$$727), "", 'Data Entry'!$$727)</f>
      </c>
      <c r="CA727">
        <f>IF(ISBLANK('Data Entry'!$$727), "", 'Data Entry'!$$727)</f>
      </c>
      <c r="CB727">
        <f>IF(ISBLANK('Data Entry'!$$727), "", 'Data Entry'!$$727)</f>
      </c>
      <c r="CC727">
        <f>IF(ISBLANK('Data Entry'!$$727), "", 'Data Entry'!$$727)</f>
      </c>
      <c r="CD727">
        <f>IF(ISBLANK('Data Entry'!$$727), "", 'Data Entry'!$$727)</f>
      </c>
      <c r="CE727">
        <f>IF(ISBLANK('Data Entry'!$$727), "", 'Data Entry'!$$727)</f>
      </c>
      <c r="CF727">
        <f>IF(ISBLANK('Data Entry'!$$727), "", 'Data Entry'!$$727)</f>
      </c>
      <c r="CG727">
        <f>IF(ISBLANK('Data Entry'!$$727), "", 'Data Entry'!$$727)</f>
      </c>
      <c r="CH727">
        <f>IF(ISBLANK('Data Entry'!$$727), "", 'Data Entry'!$$727)</f>
      </c>
      <c r="CI727">
        <f>IF(ISBLANK('Data Entry'!$$727), "", 'Data Entry'!$$727)</f>
      </c>
      <c r="CJ727">
        <f>IF(ISBLANK('Data Entry'!$$727), "", 'Data Entry'!$$727)</f>
      </c>
      <c r="CK727">
        <f>IF(ISBLANK('Data Entry'!$$727), "", 'Data Entry'!$$727)</f>
      </c>
      <c r="CL727">
        <f>IF(ISBLANK('Data Entry'!$$727), "", 'Data Entry'!$$727)</f>
      </c>
      <c r="CM727">
        <f>IF(ISBLANK('Data Entry'!$$727), "", 'Data Entry'!$$727)</f>
      </c>
      <c r="CN727">
        <f>IF(ISBLANK('Data Entry'!$$727), "", 'Data Entry'!$$727)</f>
      </c>
      <c r="CO727">
        <f>IF(ISBLANK('Data Entry'!$$727), "", 'Data Entry'!$$727)</f>
      </c>
      <c r="CP727">
        <f>IF(ISBLANK('Data Entry'!$$727), "", 'Data Entry'!$$727)</f>
      </c>
      <c r="CQ727">
        <f>IF(ISBLANK('Data Entry'!$$727), "", 'Data Entry'!$$727)</f>
      </c>
      <c r="CR727">
        <f>IF(ISBLANK('Data Entry'!$ $727), "", 'Data Entry'!$ $727)</f>
      </c>
      <c r="CS727">
        <f>IF(ISBLANK('Data Entry'!$¡$727), "", 'Data Entry'!$¡$727)</f>
      </c>
      <c r="CT727">
        <f>IF(ISBLANK('Data Entry'!$¢$727), "", 'Data Entry'!$¢$727)</f>
      </c>
      <c r="CU727">
        <f>IF(ISBLANK('Data Entry'!$£$727), "", 'Data Entry'!$£$727)</f>
      </c>
      <c r="CV727">
        <f>IF(ISBLANK('Data Entry'!$¤$727), "", 'Data Entry'!$¤$727)</f>
      </c>
      <c r="CW727">
        <f>IF(ISBLANK('Data Entry'!$¥$727), "", 'Data Entry'!$¥$727)</f>
      </c>
      <c r="CX727">
        <f>IF(ISBLANK('Data Entry'!$¦$727), "", 'Data Entry'!$¦$727)</f>
      </c>
      <c r="CY727">
        <f>IF(ISBLANK('Data Entry'!$§$727), "", 'Data Entry'!$§$727)</f>
      </c>
      <c r="CZ727">
        <f>IF(ISBLANK('Data Entry'!$¨$727), "", 'Data Entry'!$¨$727)</f>
      </c>
      <c r="DA727">
        <f>IF(ISBLANK('Data Entry'!$©$727), "", 'Data Entry'!$©$727)</f>
      </c>
      <c r="DB727">
        <f>IF(ISBLANK('Data Entry'!$ª$727), "", 'Data Entry'!$ª$727)</f>
      </c>
      <c r="DC727">
        <f>IF(ISBLANK('Data Entry'!$«$727), "", 'Data Entry'!$«$727)</f>
      </c>
      <c r="DD727">
        <f>IF(ISBLANK('Data Entry'!$¬$727), "", 'Data Entry'!$¬$727)</f>
      </c>
      <c r="DE727">
        <f>IF(ISBLANK('Data Entry'!$­$727), "", 'Data Entry'!$­$727)</f>
      </c>
      <c r="DF727">
        <f>IF(ISBLANK('Data Entry'!$®$727), "", 'Data Entry'!$®$727)</f>
      </c>
      <c r="DG727">
        <f>IF(ISBLANK('Data Entry'!$¯$727), "", 'Data Entry'!$¯$727)</f>
      </c>
      <c r="DH727">
        <f>IF(ISBLANK('Data Entry'!$°$727), "", 'Data Entry'!$°$727)</f>
      </c>
      <c r="DI727">
        <f>IF(ISBLANK('Data Entry'!$±$727), "", 'Data Entry'!$±$727)</f>
      </c>
      <c r="DJ727">
        <f>IF(ISBLANK('Data Entry'!$²$727), "", 'Data Entry'!$²$727)</f>
      </c>
      <c r="DK727">
        <f>IF(ISBLANK('Data Entry'!$³$727), "", 'Data Entry'!$³$727)</f>
      </c>
      <c r="DL727">
        <f>IF(ISBLANK('Data Entry'!$´$727), "", 'Data Entry'!$´$727)</f>
      </c>
      <c r="DM727">
        <f>IF(ISBLANK('Data Entry'!$µ$727), "", 'Data Entry'!$µ$727)</f>
      </c>
      <c r="DN727">
        <f>IF(ISBLANK('Data Entry'!$¶$727), "", 'Data Entry'!$¶$727)</f>
      </c>
      <c r="DO727">
        <f>IF(ISBLANK('Data Entry'!$·$727), "", 'Data Entry'!$·$727)</f>
      </c>
      <c r="DP727">
        <f>IF(ISBLANK('Data Entry'!$¸$727), "", 'Data Entry'!$¸$727)</f>
      </c>
      <c r="DQ727">
        <f>IF(ISBLANK('Data Entry'!$¹$727), "", 'Data Entry'!$¹$727)</f>
      </c>
      <c r="DR727">
        <f>IF(ISBLANK('Data Entry'!$º$727), "", 'Data Entry'!$º$727)</f>
      </c>
      <c r="DS727">
        <f>IF(ISBLANK('Data Entry'!$»$727), "", 'Data Entry'!$»$727)</f>
      </c>
      <c r="DT727">
        <f>IF(ISBLANK('Data Entry'!$¼$727), "", 'Data Entry'!$¼$727)</f>
      </c>
      <c r="DU727">
        <f>IF(ISBLANK('Data Entry'!$½$727), "", 'Data Entry'!$½$727)</f>
      </c>
      <c r="DV727">
        <f>IF(ISBLANK('Data Entry'!$¾$727), "", 'Data Entry'!$¾$727)</f>
      </c>
      <c r="DW727">
        <f>IF(ISBLANK('Data Entry'!$¿$727), "", 'Data Entry'!$¿$727)</f>
      </c>
      <c r="DX727">
        <f>IF(ISBLANK('Data Entry'!$À$727), "", 'Data Entry'!$À$727)</f>
      </c>
      <c r="DY727">
        <f>IF(ISBLANK('Data Entry'!$Á$727), "", 'Data Entry'!$Á$727)</f>
      </c>
      <c r="DZ727">
        <f>IF(ISBLANK('Data Entry'!$Â$727), "", 'Data Entry'!$Â$727)</f>
      </c>
      <c r="EA727">
        <f>IF(ISBLANK('Data Entry'!$Ã$727), "", 'Data Entry'!$Ã$727)</f>
      </c>
      <c r="EB727">
        <f>IF(ISBLANK('Data Entry'!$Ä$727), "", 'Data Entry'!$Ä$727)</f>
      </c>
      <c r="EC727">
        <f>IF(ISBLANK('Data Entry'!$Å$727), "", 'Data Entry'!$Å$727)</f>
      </c>
      <c r="ED727">
        <f>IF(ISBLANK('Data Entry'!$Æ$727), "", 'Data Entry'!$Æ$727)</f>
      </c>
      <c r="EE727">
        <f>IF(ISBLANK('Data Entry'!$Ç$727), "", 'Data Entry'!$Ç$727)</f>
      </c>
      <c r="EF727">
        <f>IF(ISBLANK('Data Entry'!$È$727), "", 'Data Entry'!$È$727)</f>
      </c>
      <c r="EG727">
        <f>IF(ISBLANK('Data Entry'!$É$727), "", 'Data Entry'!$É$727)</f>
      </c>
      <c r="EH727">
        <f>IF(ISBLANK('Data Entry'!$Ê$727), "", 'Data Entry'!$Ê$727)</f>
      </c>
      <c r="EI727">
        <f>IF(ISBLANK('Data Entry'!$Ë$727), "", 'Data Entry'!$Ë$727)</f>
      </c>
      <c r="EJ727">
        <f>IF(ISBLANK('Data Entry'!$Ì$727), "", 'Data Entry'!$Ì$727)</f>
      </c>
      <c r="EK727">
        <f>IF(ISBLANK('Data Entry'!$Í$727), "", 'Data Entry'!$Í$727)</f>
      </c>
      <c r="EL727">
        <f>IF(ISBLANK('Data Entry'!$Î$727), "", 'Data Entry'!$Î$727)</f>
      </c>
      <c r="EM727">
        <f>IF(ISBLANK('Data Entry'!$Ï$727), "", 'Data Entry'!$Ï$727)</f>
      </c>
      <c r="EN727">
        <f>IF(ISBLANK('Data Entry'!$Ð$727), "", 'Data Entry'!$Ð$727)</f>
      </c>
      <c r="EO727">
        <f>IF(ISBLANK('Data Entry'!$Ñ$727), "", 'Data Entry'!$Ñ$727)</f>
      </c>
      <c r="EP727">
        <f>IF(ISBLANK('Data Entry'!$Ò$727), "", 'Data Entry'!$Ò$727)</f>
      </c>
      <c r="EQ727">
        <f>IF(ISBLANK('Data Entry'!$Ó$727), "", 'Data Entry'!$Ó$727)</f>
      </c>
      <c r="ER727">
        <f>IF(ISBLANK('Data Entry'!$Ô$727), "", 'Data Entry'!$Ô$727)</f>
      </c>
      <c r="ES727">
        <f>IF(ISBLANK('Data Entry'!$Õ$727), "", 'Data Entry'!$Õ$727)</f>
      </c>
      <c r="ET727">
        <f>IF(ISBLANK('Data Entry'!$Ö$727), "", 'Data Entry'!$Ö$727)</f>
      </c>
      <c r="EU727">
        <f>IF(ISBLANK('Data Entry'!$×$727), "", 'Data Entry'!$×$727)</f>
      </c>
      <c r="EV727">
        <f>IF(ISBLANK('Data Entry'!$Ø$727), "", 'Data Entry'!$Ø$727)</f>
      </c>
      <c r="EW727">
        <f>IF(ISBLANK('Data Entry'!$Ù$727), "", 'Data Entry'!$Ù$727)</f>
      </c>
      <c r="EX727">
        <f>IF(ISBLANK('Data Entry'!$Ú$727), "", 'Data Entry'!$Ú$727)</f>
      </c>
      <c r="EY727">
        <f>IF(ISBLANK('Data Entry'!$Û$727), "", 'Data Entry'!$Û$727)</f>
      </c>
      <c r="EZ727">
        <f>IF(ISBLANK('Data Entry'!$Ü$727), "", 'Data Entry'!$Ü$727)</f>
      </c>
      <c r="FA727">
        <f>IF(ISBLANK('Data Entry'!$Ý$727), "", 'Data Entry'!$Ý$727)</f>
      </c>
      <c r="FB727">
        <f>IF(ISBLANK('Data Entry'!$Þ$727), "", 'Data Entry'!$Þ$727)</f>
      </c>
      <c r="FC727">
        <f>IF(ISBLANK('Data Entry'!$ß$727), "", 'Data Entry'!$ß$727)</f>
      </c>
      <c r="FD727">
        <f>IF(ISBLANK('Data Entry'!$à$727), "", 'Data Entry'!$à$727)</f>
      </c>
      <c r="FE727">
        <f>IF(ISBLANK('Data Entry'!$á$727), "", 'Data Entry'!$á$727)</f>
      </c>
      <c r="FF727">
        <f>IF(ISBLANK('Data Entry'!$â$727), "", 'Data Entry'!$â$727)</f>
      </c>
      <c r="FG727">
        <f>IF(ISBLANK('Data Entry'!$ã$727), "", 'Data Entry'!$ã$727)</f>
      </c>
      <c r="FH727">
        <f>IF(ISBLANK('Data Entry'!$ä$727), "", 'Data Entry'!$ä$727)</f>
      </c>
      <c r="FI727">
        <f>IF(ISBLANK('Data Entry'!$å$727), "", 'Data Entry'!$å$727)</f>
      </c>
      <c r="FJ727">
        <f>IF(ISBLANK('Data Entry'!$æ$727), "", 'Data Entry'!$æ$727)</f>
      </c>
      <c r="FK727">
        <f>IF(ISBLANK('Data Entry'!$ç$727), "", 'Data Entry'!$ç$727)</f>
      </c>
      <c r="FL727">
        <f>IF(ISBLANK('Data Entry'!$è$727), "", 'Data Entry'!$è$727)</f>
      </c>
      <c r="FM727">
        <f>IF(ISBLANK('Data Entry'!$é$727), "", 'Data Entry'!$é$727)</f>
      </c>
      <c r="FN727">
        <f>IF(ISBLANK('Data Entry'!$ê$727), "", 'Data Entry'!$ê$727)</f>
      </c>
      <c r="FO727">
        <f>IF(ISBLANK('Data Entry'!$ë$727), "", 'Data Entry'!$ë$727)</f>
      </c>
      <c r="FP727">
        <f>IF(ISBLANK('Data Entry'!$ì$727), "", 'Data Entry'!$ì$727)</f>
      </c>
      <c r="FQ727">
        <f>IF(ISBLANK('Data Entry'!$í$727), "", 'Data Entry'!$í$727)</f>
      </c>
      <c r="FR727">
        <f>IF(ISBLANK('Data Entry'!$î$727), "", 'Data Entry'!$î$727)</f>
      </c>
      <c r="FS727">
        <f>IF(ISBLANK('Data Entry'!$ï$727), "", 'Data Entry'!$ï$727)</f>
      </c>
      <c r="FT727">
        <f>IF(ISBLANK('Data Entry'!$ð$727), "", 'Data Entry'!$ð$727)</f>
      </c>
      <c r="FU727">
        <f>IF(ISBLANK('Data Entry'!$ñ$727), "", 'Data Entry'!$ñ$727)</f>
      </c>
      <c r="FV727">
        <f>IF(ISBLANK('Data Entry'!$ò$727), "", 'Data Entry'!$ò$727)</f>
      </c>
      <c r="FW727">
        <f>IF(ISBLANK('Data Entry'!$ó$727), "", 'Data Entry'!$ó$727)</f>
      </c>
      <c r="FX727">
        <f>IF(ISBLANK('Data Entry'!$ô$727), "", 'Data Entry'!$ô$727)</f>
      </c>
      <c r="FY727">
        <f>IF(ISBLANK('Data Entry'!$õ$727), "", 'Data Entry'!$õ$727)</f>
      </c>
      <c r="FZ727">
        <f>IF(ISBLANK('Data Entry'!$ö$727), "", 'Data Entry'!$ö$727)</f>
      </c>
      <c r="GA727">
        <f>IF(ISBLANK('Data Entry'!$÷$727), "", 'Data Entry'!$÷$727)</f>
      </c>
      <c r="GB727">
        <f>IF(ISBLANK('Data Entry'!$ø$727), "", 'Data Entry'!$ø$727)</f>
      </c>
      <c r="GC727">
        <f>IF(ISBLANK('Data Entry'!$ù$727), "", 'Data Entry'!$ù$727)</f>
      </c>
      <c r="GD727">
        <f>IF(ISBLANK('Data Entry'!$ú$727), "", 'Data Entry'!$ú$727)</f>
      </c>
      <c r="GE727">
        <f>IF(ISBLANK('Data Entry'!$û$727), "", 'Data Entry'!$û$727)</f>
      </c>
      <c r="GF727">
        <f>IF(ISBLANK('Data Entry'!$ü$727), "", 'Data Entry'!$ü$727)</f>
      </c>
      <c r="GG727">
        <f>IF(ISBLANK('Data Entry'!$ý$727), "", 'Data Entry'!$ý$727)</f>
      </c>
      <c r="GH727">
        <f>IF(ISBLANK('Data Entry'!$þ$727), "", 'Data Entry'!$þ$727)</f>
      </c>
      <c r="GI727">
        <f>IF(ISBLANK('Data Entry'!$ÿ$727), "", 'Data Entry'!$ÿ$727)</f>
      </c>
      <c r="GJ727">
        <f>IF(ISBLANK('Data Entry'!$Ā$727), "", 'Data Entry'!$Ā$727)</f>
      </c>
      <c r="GK727">
        <f>IF(ISBLANK('Data Entry'!$ā$727), "", 'Data Entry'!$ā$727)</f>
      </c>
      <c r="GL727">
        <f>IF(ISBLANK('Data Entry'!$Ă$727), "", 'Data Entry'!$Ă$727)</f>
      </c>
      <c r="GM727">
        <f>IF(ISBLANK('Data Entry'!$ă$727), "", 'Data Entry'!$ă$727)</f>
      </c>
      <c r="GN727">
        <f>IF(ISBLANK('Data Entry'!$Ą$727), "", 'Data Entry'!$Ą$727)</f>
      </c>
      <c r="GO727">
        <f>IF(ISBLANK('Data Entry'!$ą$727), "", 'Data Entry'!$ą$727)</f>
      </c>
      <c r="GP727">
        <f>IF(ISBLANK('Data Entry'!$Ć$727), "", 'Data Entry'!$Ć$727)</f>
      </c>
      <c r="GQ727">
        <f>IF(ISBLANK('Data Entry'!$ć$727), "", 'Data Entry'!$ć$727)</f>
      </c>
      <c r="GR727">
        <f>IF(ISBLANK('Data Entry'!$Ĉ$727), "", 'Data Entry'!$Ĉ$727)</f>
      </c>
      <c r="GS727">
        <f>IF(ISBLANK('Data Entry'!$ĉ$727), "", 'Data Entry'!$ĉ$727)</f>
      </c>
      <c r="GT727">
        <f>IF(ISBLANK('Data Entry'!$Ċ$727), "", 'Data Entry'!$Ċ$727)</f>
      </c>
      <c r="GU727">
        <f>IF(ISBLANK('Data Entry'!$ċ$727), "", 'Data Entry'!$ċ$727)</f>
      </c>
      <c r="GV727">
        <f>IF(ISBLANK('Data Entry'!$Č$727), "", 'Data Entry'!$Č$727)</f>
      </c>
      <c r="GW727">
        <f>IF(ISBLANK('Data Entry'!$č$727), "", 'Data Entry'!$č$727)</f>
      </c>
      <c r="GX727">
        <f>IF(ISBLANK('Data Entry'!$Ď$727), "", 'Data Entry'!$Ď$727)</f>
      </c>
      <c r="GY727">
        <f>IF(ISBLANK('Data Entry'!$ď$727), "", 'Data Entry'!$ď$727)</f>
      </c>
      <c r="GZ727">
        <f>IF(ISBLANK('Data Entry'!$Đ$727), "", 'Data Entry'!$Đ$727)</f>
      </c>
      <c r="HA727">
        <f>IF(ISBLANK('Data Entry'!$đ$727), "", 'Data Entry'!$đ$727)</f>
      </c>
      <c r="HB727">
        <f>IF(ISBLANK('Data Entry'!$Ē$727), "", 'Data Entry'!$Ē$727)</f>
      </c>
      <c r="HC727">
        <f>IF(ISBLANK('Data Entry'!$ē$727), "", 'Data Entry'!$ē$727)</f>
      </c>
      <c r="HD727">
        <f>IF(ISBLANK('Data Entry'!$Ĕ$727), "", 'Data Entry'!$Ĕ$727)</f>
      </c>
      <c r="HE727">
        <f>IF(ISBLANK('Data Entry'!$ĕ$727), "", 'Data Entry'!$ĕ$727)</f>
      </c>
      <c r="HF727">
        <f>IF(ISBLANK('Data Entry'!$Ė$727), "", 'Data Entry'!$Ė$727)</f>
      </c>
      <c r="HG727">
        <f>IF(ISBLANK('Data Entry'!$ė$727), "", 'Data Entry'!$ė$727)</f>
      </c>
      <c r="HH727">
        <f>IF(ISBLANK('Data Entry'!$Ę$727), "", 'Data Entry'!$Ę$727)</f>
      </c>
      <c r="HI727">
        <f>IF(ISBLANK('Data Entry'!$ę$727), "", 'Data Entry'!$ę$727)</f>
      </c>
      <c r="HJ727">
        <f>IF(ISBLANK('Data Entry'!$Ě$727), "", 'Data Entry'!$Ě$727)</f>
      </c>
      <c r="HK727">
        <f>IF(ISBLANK('Data Entry'!$ě$727), "", 'Data Entry'!$ě$727)</f>
      </c>
      <c r="HL727">
        <f>IF(ISBLANK('Data Entry'!$Ĝ$727), "", 'Data Entry'!$Ĝ$727)</f>
      </c>
      <c r="HM727">
        <f>IF(ISBLANK('Data Entry'!$ĝ$727), "", 'Data Entry'!$ĝ$727)</f>
      </c>
      <c r="HN727">
        <f>IF(ISBLANK('Data Entry'!$Ğ$727), "", 'Data Entry'!$Ğ$727)</f>
      </c>
      <c r="HO727">
        <f>IF(ISBLANK('Data Entry'!$ğ$727), "", 'Data Entry'!$ğ$727)</f>
      </c>
      <c r="HP727">
        <f>IF(ISBLANK('Data Entry'!$Ġ$727), "", 'Data Entry'!$Ġ$727)</f>
      </c>
      <c r="HQ727">
        <f>IF(ISBLANK('Data Entry'!$ġ$727), "", 'Data Entry'!$ġ$727)</f>
      </c>
      <c r="HR727">
        <f>IF(ISBLANK('Data Entry'!$Ģ$727), "", 'Data Entry'!$Ģ$727)</f>
      </c>
      <c r="HS727">
        <f>IF(ISBLANK('Data Entry'!$ģ$727), "", 'Data Entry'!$ģ$727)</f>
      </c>
      <c r="HT727">
        <f>IF(ISBLANK('Data Entry'!$Ĥ$727), "", 'Data Entry'!$Ĥ$727)</f>
      </c>
      <c r="HU727">
        <f>IF(ISBLANK('Data Entry'!$ĥ$727), "", 'Data Entry'!$ĥ$727)</f>
      </c>
      <c r="HV727">
        <f>IF(ISBLANK('Data Entry'!$Ħ$727), "", 'Data Entry'!$Ħ$727)</f>
      </c>
      <c r="HW727">
        <f>IF(ISBLANK('Data Entry'!$ħ$727), "", 'Data Entry'!$ħ$727)</f>
      </c>
      <c r="HX727">
        <f>IF(ISBLANK('Data Entry'!$Ĩ$727), "", 'Data Entry'!$Ĩ$727)</f>
      </c>
      <c r="HY727">
        <f>IF(ISBLANK('Data Entry'!$ĩ$727), "", 'Data Entry'!$ĩ$727)</f>
      </c>
      <c r="HZ727">
        <f>IF(ISBLANK('Data Entry'!$Ī$727), "", 'Data Entry'!$Ī$727)</f>
      </c>
      <c r="IA727">
        <f>IF(ISBLANK('Data Entry'!$ī$727), "", 'Data Entry'!$ī$727)</f>
      </c>
      <c r="IB727">
        <f>IF(ISBLANK('Data Entry'!$Ĭ$727), "", 'Data Entry'!$Ĭ$727)</f>
      </c>
      <c r="IC727">
        <f>IF(ISBLANK('Data Entry'!$ĭ$727), "", 'Data Entry'!$ĭ$727)</f>
      </c>
      <c r="ID727">
        <f>IF(ISBLANK('Data Entry'!$Į$727), "", 'Data Entry'!$Į$727)</f>
      </c>
      <c r="IE727">
        <f>IF(ISBLANK('Data Entry'!$į$727), "", 'Data Entry'!$į$727)</f>
      </c>
      <c r="IF727">
        <f>IF(ISBLANK('Data Entry'!$İ$727), "", 'Data Entry'!$İ$727)</f>
      </c>
      <c r="IG727">
        <f>IF(ISBLANK('Data Entry'!$ı$727), "", 'Data Entry'!$ı$727)</f>
      </c>
      <c r="IH727">
        <f>IF(ISBLANK('Data Entry'!$Ĳ$727), "", 'Data Entry'!$Ĳ$727)</f>
      </c>
      <c r="II727">
        <f>IF(ISBLANK('Data Entry'!$ĳ$727), "", 'Data Entry'!$ĳ$727)</f>
      </c>
      <c r="IJ727">
        <f>IF(ISBLANK('Data Entry'!$Ĵ$727), "", 'Data Entry'!$Ĵ$727)</f>
      </c>
      <c r="IK727">
        <f>IF(ISBLANK('Data Entry'!$ĵ$727), "", 'Data Entry'!$ĵ$727)</f>
      </c>
      <c r="IL727">
        <f>IF(ISBLANK('Data Entry'!$Ķ$727), "", 'Data Entry'!$Ķ$727)</f>
      </c>
      <c r="IM727">
        <f>IF(ISBLANK('Data Entry'!$ķ$727), "", 'Data Entry'!$ķ$727)</f>
      </c>
      <c r="IN727">
        <f>IF(ISBLANK('Data Entry'!$ĸ$727), "", 'Data Entry'!$ĸ$727)</f>
      </c>
      <c r="IO727">
        <f>IF(ISBLANK('Data Entry'!$Ĺ$727), "", 'Data Entry'!$Ĺ$727)</f>
      </c>
      <c r="IP727">
        <f>IF(ISBLANK('Data Entry'!$ĺ$727), "", 'Data Entry'!$ĺ$727)</f>
      </c>
      <c r="IQ727">
        <f>IF(ISBLANK('Data Entry'!$Ļ$727), "", 'Data Entry'!$Ļ$727)</f>
      </c>
      <c r="IR727">
        <f>IF(ISBLANK('Data Entry'!$ļ$727), "", 'Data Entry'!$ļ$727)</f>
      </c>
      <c r="IS727">
        <f>IF(ISBLANK('Data Entry'!$Ľ$727), "", 'Data Entry'!$Ľ$727)</f>
      </c>
      <c r="IT727">
        <f>IF(ISBLANK('Data Entry'!$ľ$727), "", 'Data Entry'!$ľ$727)</f>
      </c>
    </row>
    <row r="728" spans="1:254" x14ac:dyDescent="0.25">
      <c r="A728">
        <f>IF(ISBLANK('Data Entry'!$A$728), "", 'Data Entry'!$A$728)</f>
      </c>
      <c r="B728">
        <f>IF(ISBLANK('Data Entry'!$B$728), "", 'Data Entry'!$B$728)</f>
      </c>
      <c r="C728">
        <f>IF(ISBLANK('Data Entry'!$C$728), "", 'Data Entry'!$C$728)</f>
      </c>
      <c r="D728">
        <f>IF(ISBLANK('Data Entry'!$D$728), "", 'Data Entry'!$D$728)</f>
      </c>
      <c r="E728">
        <f>IF(ISBLANK('Data Entry'!$E$728), "", 'Data Entry'!$E$728)</f>
      </c>
      <c r="F728">
        <f>IF(ISBLANK('Data Entry'!$F$728), "", 'Data Entry'!$F$728)</f>
      </c>
      <c r="G728">
        <f>IF(ISBLANK('Data Entry'!$G$728), "", 'Data Entry'!$G$728)</f>
      </c>
      <c r="H728">
        <f>IF(ISBLANK('Data Entry'!$H$728), "", 'Data Entry'!$H$728)</f>
      </c>
      <c r="I728">
        <f>IF(ISBLANK('Data Entry'!$I$728), "", 'Data Entry'!$I$728)</f>
      </c>
      <c r="J728">
        <f>IF(ISBLANK('Data Entry'!$J$728), "", 'Data Entry'!$J$728)</f>
      </c>
      <c r="K728">
        <f>IF(ISBLANK('Data Entry'!$K$728), "", 'Data Entry'!$K$728)</f>
      </c>
      <c r="L728">
        <f>IF(ISBLANK('Data Entry'!$L$728), "", 'Data Entry'!$L$728)</f>
      </c>
      <c r="M728">
        <f>IF(ISBLANK('Data Entry'!$M$728), "", 'Data Entry'!$M$728)</f>
      </c>
      <c r="N728">
        <f>IF(ISBLANK('Data Entry'!$N$728), "", 'Data Entry'!$N$728)</f>
      </c>
      <c r="O728">
        <f>IF(ISBLANK('Data Entry'!$O$728), "", 'Data Entry'!$O$728)</f>
      </c>
      <c r="P728">
        <f>IF(ISBLANK('Data Entry'!$P$728), "", 'Data Entry'!$P$728)</f>
      </c>
      <c r="Q728">
        <f>IF(ISBLANK('Data Entry'!$Q$728), "", 'Data Entry'!$Q$728)</f>
      </c>
      <c r="R728">
        <f>IF(ISBLANK('Data Entry'!$R$728), "", 'Data Entry'!$R$728)</f>
      </c>
      <c r="S728">
        <f>IF(ISBLANK('Data Entry'!$S$728), "", 'Data Entry'!$S$728)</f>
      </c>
      <c r="T728">
        <f>IF(ISBLANK('Data Entry'!$T$728), "", 'Data Entry'!$T$728)</f>
      </c>
      <c r="U728">
        <f>IF(ISBLANK('Data Entry'!$U$728), "", 'Data Entry'!$U$728)</f>
      </c>
      <c r="V728">
        <f>IF(ISBLANK('Data Entry'!$V$728), "", 'Data Entry'!$V$728)</f>
      </c>
      <c r="W728">
        <f>IF(ISBLANK('Data Entry'!$W$728), "", 'Data Entry'!$W$728)</f>
      </c>
      <c r="X728">
        <f>IF(ISBLANK('Data Entry'!$X$728), "", 'Data Entry'!$X$728)</f>
      </c>
      <c r="Y728">
        <f>IF(ISBLANK('Data Entry'!$Y$728), "", 'Data Entry'!$Y$728)</f>
      </c>
      <c r="Z728">
        <f>IF(ISBLANK('Data Entry'!$Z$728), "", 'Data Entry'!$Z$728)</f>
      </c>
      <c r="AA728">
        <f>IF(ISBLANK('Data Entry'!$[$728), "", 'Data Entry'!$[$728)</f>
      </c>
      <c r="AB728">
        <f>IF(ISBLANK('Data Entry'!$\$728), "", 'Data Entry'!$\$728)</f>
      </c>
      <c r="AC728">
        <f>IF(ISBLANK('Data Entry'!$]$728), "", 'Data Entry'!$]$728)</f>
      </c>
      <c r="AD728">
        <f>IF(ISBLANK('Data Entry'!$^$728), "", 'Data Entry'!$^$728)</f>
      </c>
      <c r="AE728">
        <f>IF(ISBLANK('Data Entry'!$_$728), "", 'Data Entry'!$_$728)</f>
      </c>
      <c r="AF728">
        <f>IF(ISBLANK('Data Entry'!$`$728), "", 'Data Entry'!$`$728)</f>
      </c>
      <c r="AG728">
        <f>IF(ISBLANK('Data Entry'!$a$728), "", 'Data Entry'!$a$728)</f>
      </c>
      <c r="AH728">
        <f>IF(ISBLANK('Data Entry'!$b$728), "", 'Data Entry'!$b$728)</f>
      </c>
      <c r="AI728">
        <f>IF(ISBLANK('Data Entry'!$c$728), "", 'Data Entry'!$c$728)</f>
      </c>
      <c r="AJ728">
        <f>IF(ISBLANK('Data Entry'!$d$728), "", 'Data Entry'!$d$728)</f>
      </c>
      <c r="AK728">
        <f>IF(ISBLANK('Data Entry'!$e$728), "", 'Data Entry'!$e$728)</f>
      </c>
      <c r="AL728">
        <f>IF(ISBLANK('Data Entry'!$f$728), "", 'Data Entry'!$f$728)</f>
      </c>
      <c r="AM728">
        <f>IF(ISBLANK('Data Entry'!$g$728), "", 'Data Entry'!$g$728)</f>
      </c>
      <c r="AN728">
        <f>IF(ISBLANK('Data Entry'!$h$728), "", 'Data Entry'!$h$728)</f>
      </c>
      <c r="AO728">
        <f>IF(ISBLANK('Data Entry'!$i$728), "", 'Data Entry'!$i$728)</f>
      </c>
      <c r="AP728">
        <f>IF(ISBLANK('Data Entry'!$j$728), "", 'Data Entry'!$j$728)</f>
      </c>
      <c r="AQ728">
        <f>IF(ISBLANK('Data Entry'!$k$728), "", 'Data Entry'!$k$728)</f>
      </c>
      <c r="AR728">
        <f>IF(ISBLANK('Data Entry'!$l$728), "", 'Data Entry'!$l$728)</f>
      </c>
      <c r="AS728">
        <f>IF(ISBLANK('Data Entry'!$m$728), "", 'Data Entry'!$m$728)</f>
      </c>
      <c r="AT728">
        <f>IF(ISBLANK('Data Entry'!$n$728), "", 'Data Entry'!$n$728)</f>
      </c>
      <c r="AU728">
        <f>IF(ISBLANK('Data Entry'!$o$728), "", 'Data Entry'!$o$728)</f>
      </c>
      <c r="AV728">
        <f>IF(ISBLANK('Data Entry'!$p$728), "", 'Data Entry'!$p$728)</f>
      </c>
      <c r="AW728">
        <f>IF(ISBLANK('Data Entry'!$q$728), "", 'Data Entry'!$q$728)</f>
      </c>
      <c r="AX728">
        <f>IF(ISBLANK('Data Entry'!$r$728), "", 'Data Entry'!$r$728)</f>
      </c>
      <c r="AY728">
        <f>IF(ISBLANK('Data Entry'!$s$728), "", 'Data Entry'!$s$728)</f>
      </c>
      <c r="AZ728">
        <f>IF(ISBLANK('Data Entry'!$t$728), "", 'Data Entry'!$t$728)</f>
      </c>
      <c r="BA728">
        <f>IF(ISBLANK('Data Entry'!$u$728), "", 'Data Entry'!$u$728)</f>
      </c>
      <c r="BB728">
        <f>IF(ISBLANK('Data Entry'!$v$728), "", 'Data Entry'!$v$728)</f>
      </c>
      <c r="BC728">
        <f>IF(ISBLANK('Data Entry'!$w$728), "", 'Data Entry'!$w$728)</f>
      </c>
      <c r="BD728">
        <f>IF(ISBLANK('Data Entry'!$x$728), "", 'Data Entry'!$x$728)</f>
      </c>
      <c r="BE728">
        <f>IF(ISBLANK('Data Entry'!$y$728), "", 'Data Entry'!$y$728)</f>
      </c>
      <c r="BF728">
        <f>IF(ISBLANK('Data Entry'!$z$728), "", 'Data Entry'!$z$728)</f>
      </c>
      <c r="BG728">
        <f>IF(ISBLANK('Data Entry'!${$728), "", 'Data Entry'!${$728)</f>
      </c>
      <c r="BH728">
        <f>IF(ISBLANK('Data Entry'!$|$728), "", 'Data Entry'!$|$728)</f>
      </c>
      <c r="BI728">
        <f>IF(ISBLANK('Data Entry'!$}$728), "", 'Data Entry'!$}$728)</f>
      </c>
      <c r="BJ728">
        <f>IF(ISBLANK('Data Entry'!$~$728), "", 'Data Entry'!$~$728)</f>
      </c>
      <c r="BK728">
        <f>IF(ISBLANK('Data Entry'!$$728), "", 'Data Entry'!$$728)</f>
      </c>
      <c r="BL728">
        <f>IF(ISBLANK('Data Entry'!$$728), "", 'Data Entry'!$$728)</f>
      </c>
      <c r="BM728">
        <f>IF(ISBLANK('Data Entry'!$$728), "", 'Data Entry'!$$728)</f>
      </c>
      <c r="BN728">
        <f>IF(ISBLANK('Data Entry'!$$728), "", 'Data Entry'!$$728)</f>
      </c>
      <c r="BO728">
        <f>IF(ISBLANK('Data Entry'!$$728), "", 'Data Entry'!$$728)</f>
      </c>
      <c r="BP728">
        <f>IF(ISBLANK('Data Entry'!$$728), "", 'Data Entry'!$$728)</f>
      </c>
      <c r="BQ728">
        <f>IF(ISBLANK('Data Entry'!$$728), "", 'Data Entry'!$$728)</f>
      </c>
      <c r="BR728">
        <f>IF(ISBLANK('Data Entry'!$$728), "", 'Data Entry'!$$728)</f>
      </c>
      <c r="BS728">
        <f>IF(ISBLANK('Data Entry'!$$728), "", 'Data Entry'!$$728)</f>
      </c>
      <c r="BT728">
        <f>IF(ISBLANK('Data Entry'!$$728), "", 'Data Entry'!$$728)</f>
      </c>
      <c r="BU728">
        <f>IF(ISBLANK('Data Entry'!$$728), "", 'Data Entry'!$$728)</f>
      </c>
      <c r="BV728">
        <f>IF(ISBLANK('Data Entry'!$$728), "", 'Data Entry'!$$728)</f>
      </c>
      <c r="BW728">
        <f>IF(ISBLANK('Data Entry'!$$728), "", 'Data Entry'!$$728)</f>
      </c>
      <c r="BX728">
        <f>IF(ISBLANK('Data Entry'!$$728), "", 'Data Entry'!$$728)</f>
      </c>
      <c r="BY728">
        <f>IF(ISBLANK('Data Entry'!$$728), "", 'Data Entry'!$$728)</f>
      </c>
      <c r="BZ728">
        <f>IF(ISBLANK('Data Entry'!$$728), "", 'Data Entry'!$$728)</f>
      </c>
      <c r="CA728">
        <f>IF(ISBLANK('Data Entry'!$$728), "", 'Data Entry'!$$728)</f>
      </c>
      <c r="CB728">
        <f>IF(ISBLANK('Data Entry'!$$728), "", 'Data Entry'!$$728)</f>
      </c>
      <c r="CC728">
        <f>IF(ISBLANK('Data Entry'!$$728), "", 'Data Entry'!$$728)</f>
      </c>
      <c r="CD728">
        <f>IF(ISBLANK('Data Entry'!$$728), "", 'Data Entry'!$$728)</f>
      </c>
      <c r="CE728">
        <f>IF(ISBLANK('Data Entry'!$$728), "", 'Data Entry'!$$728)</f>
      </c>
      <c r="CF728">
        <f>IF(ISBLANK('Data Entry'!$$728), "", 'Data Entry'!$$728)</f>
      </c>
      <c r="CG728">
        <f>IF(ISBLANK('Data Entry'!$$728), "", 'Data Entry'!$$728)</f>
      </c>
      <c r="CH728">
        <f>IF(ISBLANK('Data Entry'!$$728), "", 'Data Entry'!$$728)</f>
      </c>
      <c r="CI728">
        <f>IF(ISBLANK('Data Entry'!$$728), "", 'Data Entry'!$$728)</f>
      </c>
      <c r="CJ728">
        <f>IF(ISBLANK('Data Entry'!$$728), "", 'Data Entry'!$$728)</f>
      </c>
      <c r="CK728">
        <f>IF(ISBLANK('Data Entry'!$$728), "", 'Data Entry'!$$728)</f>
      </c>
      <c r="CL728">
        <f>IF(ISBLANK('Data Entry'!$$728), "", 'Data Entry'!$$728)</f>
      </c>
      <c r="CM728">
        <f>IF(ISBLANK('Data Entry'!$$728), "", 'Data Entry'!$$728)</f>
      </c>
      <c r="CN728">
        <f>IF(ISBLANK('Data Entry'!$$728), "", 'Data Entry'!$$728)</f>
      </c>
      <c r="CO728">
        <f>IF(ISBLANK('Data Entry'!$$728), "", 'Data Entry'!$$728)</f>
      </c>
      <c r="CP728">
        <f>IF(ISBLANK('Data Entry'!$$728), "", 'Data Entry'!$$728)</f>
      </c>
      <c r="CQ728">
        <f>IF(ISBLANK('Data Entry'!$$728), "", 'Data Entry'!$$728)</f>
      </c>
      <c r="CR728">
        <f>IF(ISBLANK('Data Entry'!$ $728), "", 'Data Entry'!$ $728)</f>
      </c>
      <c r="CS728">
        <f>IF(ISBLANK('Data Entry'!$¡$728), "", 'Data Entry'!$¡$728)</f>
      </c>
      <c r="CT728">
        <f>IF(ISBLANK('Data Entry'!$¢$728), "", 'Data Entry'!$¢$728)</f>
      </c>
      <c r="CU728">
        <f>IF(ISBLANK('Data Entry'!$£$728), "", 'Data Entry'!$£$728)</f>
      </c>
      <c r="CV728">
        <f>IF(ISBLANK('Data Entry'!$¤$728), "", 'Data Entry'!$¤$728)</f>
      </c>
      <c r="CW728">
        <f>IF(ISBLANK('Data Entry'!$¥$728), "", 'Data Entry'!$¥$728)</f>
      </c>
      <c r="CX728">
        <f>IF(ISBLANK('Data Entry'!$¦$728), "", 'Data Entry'!$¦$728)</f>
      </c>
      <c r="CY728">
        <f>IF(ISBLANK('Data Entry'!$§$728), "", 'Data Entry'!$§$728)</f>
      </c>
      <c r="CZ728">
        <f>IF(ISBLANK('Data Entry'!$¨$728), "", 'Data Entry'!$¨$728)</f>
      </c>
      <c r="DA728">
        <f>IF(ISBLANK('Data Entry'!$©$728), "", 'Data Entry'!$©$728)</f>
      </c>
      <c r="DB728">
        <f>IF(ISBLANK('Data Entry'!$ª$728), "", 'Data Entry'!$ª$728)</f>
      </c>
      <c r="DC728">
        <f>IF(ISBLANK('Data Entry'!$«$728), "", 'Data Entry'!$«$728)</f>
      </c>
      <c r="DD728">
        <f>IF(ISBLANK('Data Entry'!$¬$728), "", 'Data Entry'!$¬$728)</f>
      </c>
      <c r="DE728">
        <f>IF(ISBLANK('Data Entry'!$­$728), "", 'Data Entry'!$­$728)</f>
      </c>
      <c r="DF728">
        <f>IF(ISBLANK('Data Entry'!$®$728), "", 'Data Entry'!$®$728)</f>
      </c>
      <c r="DG728">
        <f>IF(ISBLANK('Data Entry'!$¯$728), "", 'Data Entry'!$¯$728)</f>
      </c>
      <c r="DH728">
        <f>IF(ISBLANK('Data Entry'!$°$728), "", 'Data Entry'!$°$728)</f>
      </c>
      <c r="DI728">
        <f>IF(ISBLANK('Data Entry'!$±$728), "", 'Data Entry'!$±$728)</f>
      </c>
      <c r="DJ728">
        <f>IF(ISBLANK('Data Entry'!$²$728), "", 'Data Entry'!$²$728)</f>
      </c>
      <c r="DK728">
        <f>IF(ISBLANK('Data Entry'!$³$728), "", 'Data Entry'!$³$728)</f>
      </c>
      <c r="DL728">
        <f>IF(ISBLANK('Data Entry'!$´$728), "", 'Data Entry'!$´$728)</f>
      </c>
      <c r="DM728">
        <f>IF(ISBLANK('Data Entry'!$µ$728), "", 'Data Entry'!$µ$728)</f>
      </c>
      <c r="DN728">
        <f>IF(ISBLANK('Data Entry'!$¶$728), "", 'Data Entry'!$¶$728)</f>
      </c>
      <c r="DO728">
        <f>IF(ISBLANK('Data Entry'!$·$728), "", 'Data Entry'!$·$728)</f>
      </c>
      <c r="DP728">
        <f>IF(ISBLANK('Data Entry'!$¸$728), "", 'Data Entry'!$¸$728)</f>
      </c>
      <c r="DQ728">
        <f>IF(ISBLANK('Data Entry'!$¹$728), "", 'Data Entry'!$¹$728)</f>
      </c>
      <c r="DR728">
        <f>IF(ISBLANK('Data Entry'!$º$728), "", 'Data Entry'!$º$728)</f>
      </c>
      <c r="DS728">
        <f>IF(ISBLANK('Data Entry'!$»$728), "", 'Data Entry'!$»$728)</f>
      </c>
      <c r="DT728">
        <f>IF(ISBLANK('Data Entry'!$¼$728), "", 'Data Entry'!$¼$728)</f>
      </c>
      <c r="DU728">
        <f>IF(ISBLANK('Data Entry'!$½$728), "", 'Data Entry'!$½$728)</f>
      </c>
      <c r="DV728">
        <f>IF(ISBLANK('Data Entry'!$¾$728), "", 'Data Entry'!$¾$728)</f>
      </c>
      <c r="DW728">
        <f>IF(ISBLANK('Data Entry'!$¿$728), "", 'Data Entry'!$¿$728)</f>
      </c>
      <c r="DX728">
        <f>IF(ISBLANK('Data Entry'!$À$728), "", 'Data Entry'!$À$728)</f>
      </c>
      <c r="DY728">
        <f>IF(ISBLANK('Data Entry'!$Á$728), "", 'Data Entry'!$Á$728)</f>
      </c>
      <c r="DZ728">
        <f>IF(ISBLANK('Data Entry'!$Â$728), "", 'Data Entry'!$Â$728)</f>
      </c>
      <c r="EA728">
        <f>IF(ISBLANK('Data Entry'!$Ã$728), "", 'Data Entry'!$Ã$728)</f>
      </c>
      <c r="EB728">
        <f>IF(ISBLANK('Data Entry'!$Ä$728), "", 'Data Entry'!$Ä$728)</f>
      </c>
      <c r="EC728">
        <f>IF(ISBLANK('Data Entry'!$Å$728), "", 'Data Entry'!$Å$728)</f>
      </c>
      <c r="ED728">
        <f>IF(ISBLANK('Data Entry'!$Æ$728), "", 'Data Entry'!$Æ$728)</f>
      </c>
      <c r="EE728">
        <f>IF(ISBLANK('Data Entry'!$Ç$728), "", 'Data Entry'!$Ç$728)</f>
      </c>
      <c r="EF728">
        <f>IF(ISBLANK('Data Entry'!$È$728), "", 'Data Entry'!$È$728)</f>
      </c>
      <c r="EG728">
        <f>IF(ISBLANK('Data Entry'!$É$728), "", 'Data Entry'!$É$728)</f>
      </c>
      <c r="EH728">
        <f>IF(ISBLANK('Data Entry'!$Ê$728), "", 'Data Entry'!$Ê$728)</f>
      </c>
      <c r="EI728">
        <f>IF(ISBLANK('Data Entry'!$Ë$728), "", 'Data Entry'!$Ë$728)</f>
      </c>
      <c r="EJ728">
        <f>IF(ISBLANK('Data Entry'!$Ì$728), "", 'Data Entry'!$Ì$728)</f>
      </c>
      <c r="EK728">
        <f>IF(ISBLANK('Data Entry'!$Í$728), "", 'Data Entry'!$Í$728)</f>
      </c>
      <c r="EL728">
        <f>IF(ISBLANK('Data Entry'!$Î$728), "", 'Data Entry'!$Î$728)</f>
      </c>
      <c r="EM728">
        <f>IF(ISBLANK('Data Entry'!$Ï$728), "", 'Data Entry'!$Ï$728)</f>
      </c>
      <c r="EN728">
        <f>IF(ISBLANK('Data Entry'!$Ð$728), "", 'Data Entry'!$Ð$728)</f>
      </c>
      <c r="EO728">
        <f>IF(ISBLANK('Data Entry'!$Ñ$728), "", 'Data Entry'!$Ñ$728)</f>
      </c>
      <c r="EP728">
        <f>IF(ISBLANK('Data Entry'!$Ò$728), "", 'Data Entry'!$Ò$728)</f>
      </c>
      <c r="EQ728">
        <f>IF(ISBLANK('Data Entry'!$Ó$728), "", 'Data Entry'!$Ó$728)</f>
      </c>
      <c r="ER728">
        <f>IF(ISBLANK('Data Entry'!$Ô$728), "", 'Data Entry'!$Ô$728)</f>
      </c>
      <c r="ES728">
        <f>IF(ISBLANK('Data Entry'!$Õ$728), "", 'Data Entry'!$Õ$728)</f>
      </c>
      <c r="ET728">
        <f>IF(ISBLANK('Data Entry'!$Ö$728), "", 'Data Entry'!$Ö$728)</f>
      </c>
      <c r="EU728">
        <f>IF(ISBLANK('Data Entry'!$×$728), "", 'Data Entry'!$×$728)</f>
      </c>
      <c r="EV728">
        <f>IF(ISBLANK('Data Entry'!$Ø$728), "", 'Data Entry'!$Ø$728)</f>
      </c>
      <c r="EW728">
        <f>IF(ISBLANK('Data Entry'!$Ù$728), "", 'Data Entry'!$Ù$728)</f>
      </c>
      <c r="EX728">
        <f>IF(ISBLANK('Data Entry'!$Ú$728), "", 'Data Entry'!$Ú$728)</f>
      </c>
      <c r="EY728">
        <f>IF(ISBLANK('Data Entry'!$Û$728), "", 'Data Entry'!$Û$728)</f>
      </c>
      <c r="EZ728">
        <f>IF(ISBLANK('Data Entry'!$Ü$728), "", 'Data Entry'!$Ü$728)</f>
      </c>
      <c r="FA728">
        <f>IF(ISBLANK('Data Entry'!$Ý$728), "", 'Data Entry'!$Ý$728)</f>
      </c>
      <c r="FB728">
        <f>IF(ISBLANK('Data Entry'!$Þ$728), "", 'Data Entry'!$Þ$728)</f>
      </c>
      <c r="FC728">
        <f>IF(ISBLANK('Data Entry'!$ß$728), "", 'Data Entry'!$ß$728)</f>
      </c>
      <c r="FD728">
        <f>IF(ISBLANK('Data Entry'!$à$728), "", 'Data Entry'!$à$728)</f>
      </c>
      <c r="FE728">
        <f>IF(ISBLANK('Data Entry'!$á$728), "", 'Data Entry'!$á$728)</f>
      </c>
      <c r="FF728">
        <f>IF(ISBLANK('Data Entry'!$â$728), "", 'Data Entry'!$â$728)</f>
      </c>
      <c r="FG728">
        <f>IF(ISBLANK('Data Entry'!$ã$728), "", 'Data Entry'!$ã$728)</f>
      </c>
      <c r="FH728">
        <f>IF(ISBLANK('Data Entry'!$ä$728), "", 'Data Entry'!$ä$728)</f>
      </c>
      <c r="FI728">
        <f>IF(ISBLANK('Data Entry'!$å$728), "", 'Data Entry'!$å$728)</f>
      </c>
      <c r="FJ728">
        <f>IF(ISBLANK('Data Entry'!$æ$728), "", 'Data Entry'!$æ$728)</f>
      </c>
      <c r="FK728">
        <f>IF(ISBLANK('Data Entry'!$ç$728), "", 'Data Entry'!$ç$728)</f>
      </c>
      <c r="FL728">
        <f>IF(ISBLANK('Data Entry'!$è$728), "", 'Data Entry'!$è$728)</f>
      </c>
      <c r="FM728">
        <f>IF(ISBLANK('Data Entry'!$é$728), "", 'Data Entry'!$é$728)</f>
      </c>
      <c r="FN728">
        <f>IF(ISBLANK('Data Entry'!$ê$728), "", 'Data Entry'!$ê$728)</f>
      </c>
      <c r="FO728">
        <f>IF(ISBLANK('Data Entry'!$ë$728), "", 'Data Entry'!$ë$728)</f>
      </c>
      <c r="FP728">
        <f>IF(ISBLANK('Data Entry'!$ì$728), "", 'Data Entry'!$ì$728)</f>
      </c>
      <c r="FQ728">
        <f>IF(ISBLANK('Data Entry'!$í$728), "", 'Data Entry'!$í$728)</f>
      </c>
      <c r="FR728">
        <f>IF(ISBLANK('Data Entry'!$î$728), "", 'Data Entry'!$î$728)</f>
      </c>
      <c r="FS728">
        <f>IF(ISBLANK('Data Entry'!$ï$728), "", 'Data Entry'!$ï$728)</f>
      </c>
      <c r="FT728">
        <f>IF(ISBLANK('Data Entry'!$ð$728), "", 'Data Entry'!$ð$728)</f>
      </c>
      <c r="FU728">
        <f>IF(ISBLANK('Data Entry'!$ñ$728), "", 'Data Entry'!$ñ$728)</f>
      </c>
      <c r="FV728">
        <f>IF(ISBLANK('Data Entry'!$ò$728), "", 'Data Entry'!$ò$728)</f>
      </c>
      <c r="FW728">
        <f>IF(ISBLANK('Data Entry'!$ó$728), "", 'Data Entry'!$ó$728)</f>
      </c>
      <c r="FX728">
        <f>IF(ISBLANK('Data Entry'!$ô$728), "", 'Data Entry'!$ô$728)</f>
      </c>
      <c r="FY728">
        <f>IF(ISBLANK('Data Entry'!$õ$728), "", 'Data Entry'!$õ$728)</f>
      </c>
      <c r="FZ728">
        <f>IF(ISBLANK('Data Entry'!$ö$728), "", 'Data Entry'!$ö$728)</f>
      </c>
      <c r="GA728">
        <f>IF(ISBLANK('Data Entry'!$÷$728), "", 'Data Entry'!$÷$728)</f>
      </c>
      <c r="GB728">
        <f>IF(ISBLANK('Data Entry'!$ø$728), "", 'Data Entry'!$ø$728)</f>
      </c>
      <c r="GC728">
        <f>IF(ISBLANK('Data Entry'!$ù$728), "", 'Data Entry'!$ù$728)</f>
      </c>
      <c r="GD728">
        <f>IF(ISBLANK('Data Entry'!$ú$728), "", 'Data Entry'!$ú$728)</f>
      </c>
      <c r="GE728">
        <f>IF(ISBLANK('Data Entry'!$û$728), "", 'Data Entry'!$û$728)</f>
      </c>
      <c r="GF728">
        <f>IF(ISBLANK('Data Entry'!$ü$728), "", 'Data Entry'!$ü$728)</f>
      </c>
      <c r="GG728">
        <f>IF(ISBLANK('Data Entry'!$ý$728), "", 'Data Entry'!$ý$728)</f>
      </c>
      <c r="GH728">
        <f>IF(ISBLANK('Data Entry'!$þ$728), "", 'Data Entry'!$þ$728)</f>
      </c>
      <c r="GI728">
        <f>IF(ISBLANK('Data Entry'!$ÿ$728), "", 'Data Entry'!$ÿ$728)</f>
      </c>
      <c r="GJ728">
        <f>IF(ISBLANK('Data Entry'!$Ā$728), "", 'Data Entry'!$Ā$728)</f>
      </c>
      <c r="GK728">
        <f>IF(ISBLANK('Data Entry'!$ā$728), "", 'Data Entry'!$ā$728)</f>
      </c>
      <c r="GL728">
        <f>IF(ISBLANK('Data Entry'!$Ă$728), "", 'Data Entry'!$Ă$728)</f>
      </c>
      <c r="GM728">
        <f>IF(ISBLANK('Data Entry'!$ă$728), "", 'Data Entry'!$ă$728)</f>
      </c>
      <c r="GN728">
        <f>IF(ISBLANK('Data Entry'!$Ą$728), "", 'Data Entry'!$Ą$728)</f>
      </c>
      <c r="GO728">
        <f>IF(ISBLANK('Data Entry'!$ą$728), "", 'Data Entry'!$ą$728)</f>
      </c>
      <c r="GP728">
        <f>IF(ISBLANK('Data Entry'!$Ć$728), "", 'Data Entry'!$Ć$728)</f>
      </c>
      <c r="GQ728">
        <f>IF(ISBLANK('Data Entry'!$ć$728), "", 'Data Entry'!$ć$728)</f>
      </c>
      <c r="GR728">
        <f>IF(ISBLANK('Data Entry'!$Ĉ$728), "", 'Data Entry'!$Ĉ$728)</f>
      </c>
      <c r="GS728">
        <f>IF(ISBLANK('Data Entry'!$ĉ$728), "", 'Data Entry'!$ĉ$728)</f>
      </c>
      <c r="GT728">
        <f>IF(ISBLANK('Data Entry'!$Ċ$728), "", 'Data Entry'!$Ċ$728)</f>
      </c>
      <c r="GU728">
        <f>IF(ISBLANK('Data Entry'!$ċ$728), "", 'Data Entry'!$ċ$728)</f>
      </c>
      <c r="GV728">
        <f>IF(ISBLANK('Data Entry'!$Č$728), "", 'Data Entry'!$Č$728)</f>
      </c>
      <c r="GW728">
        <f>IF(ISBLANK('Data Entry'!$č$728), "", 'Data Entry'!$č$728)</f>
      </c>
      <c r="GX728">
        <f>IF(ISBLANK('Data Entry'!$Ď$728), "", 'Data Entry'!$Ď$728)</f>
      </c>
      <c r="GY728">
        <f>IF(ISBLANK('Data Entry'!$ď$728), "", 'Data Entry'!$ď$728)</f>
      </c>
      <c r="GZ728">
        <f>IF(ISBLANK('Data Entry'!$Đ$728), "", 'Data Entry'!$Đ$728)</f>
      </c>
      <c r="HA728">
        <f>IF(ISBLANK('Data Entry'!$đ$728), "", 'Data Entry'!$đ$728)</f>
      </c>
      <c r="HB728">
        <f>IF(ISBLANK('Data Entry'!$Ē$728), "", 'Data Entry'!$Ē$728)</f>
      </c>
      <c r="HC728">
        <f>IF(ISBLANK('Data Entry'!$ē$728), "", 'Data Entry'!$ē$728)</f>
      </c>
      <c r="HD728">
        <f>IF(ISBLANK('Data Entry'!$Ĕ$728), "", 'Data Entry'!$Ĕ$728)</f>
      </c>
      <c r="HE728">
        <f>IF(ISBLANK('Data Entry'!$ĕ$728), "", 'Data Entry'!$ĕ$728)</f>
      </c>
      <c r="HF728">
        <f>IF(ISBLANK('Data Entry'!$Ė$728), "", 'Data Entry'!$Ė$728)</f>
      </c>
      <c r="HG728">
        <f>IF(ISBLANK('Data Entry'!$ė$728), "", 'Data Entry'!$ė$728)</f>
      </c>
      <c r="HH728">
        <f>IF(ISBLANK('Data Entry'!$Ę$728), "", 'Data Entry'!$Ę$728)</f>
      </c>
      <c r="HI728">
        <f>IF(ISBLANK('Data Entry'!$ę$728), "", 'Data Entry'!$ę$728)</f>
      </c>
      <c r="HJ728">
        <f>IF(ISBLANK('Data Entry'!$Ě$728), "", 'Data Entry'!$Ě$728)</f>
      </c>
      <c r="HK728">
        <f>IF(ISBLANK('Data Entry'!$ě$728), "", 'Data Entry'!$ě$728)</f>
      </c>
      <c r="HL728">
        <f>IF(ISBLANK('Data Entry'!$Ĝ$728), "", 'Data Entry'!$Ĝ$728)</f>
      </c>
      <c r="HM728">
        <f>IF(ISBLANK('Data Entry'!$ĝ$728), "", 'Data Entry'!$ĝ$728)</f>
      </c>
      <c r="HN728">
        <f>IF(ISBLANK('Data Entry'!$Ğ$728), "", 'Data Entry'!$Ğ$728)</f>
      </c>
      <c r="HO728">
        <f>IF(ISBLANK('Data Entry'!$ğ$728), "", 'Data Entry'!$ğ$728)</f>
      </c>
      <c r="HP728">
        <f>IF(ISBLANK('Data Entry'!$Ġ$728), "", 'Data Entry'!$Ġ$728)</f>
      </c>
      <c r="HQ728">
        <f>IF(ISBLANK('Data Entry'!$ġ$728), "", 'Data Entry'!$ġ$728)</f>
      </c>
      <c r="HR728">
        <f>IF(ISBLANK('Data Entry'!$Ģ$728), "", 'Data Entry'!$Ģ$728)</f>
      </c>
      <c r="HS728">
        <f>IF(ISBLANK('Data Entry'!$ģ$728), "", 'Data Entry'!$ģ$728)</f>
      </c>
      <c r="HT728">
        <f>IF(ISBLANK('Data Entry'!$Ĥ$728), "", 'Data Entry'!$Ĥ$728)</f>
      </c>
      <c r="HU728">
        <f>IF(ISBLANK('Data Entry'!$ĥ$728), "", 'Data Entry'!$ĥ$728)</f>
      </c>
      <c r="HV728">
        <f>IF(ISBLANK('Data Entry'!$Ħ$728), "", 'Data Entry'!$Ħ$728)</f>
      </c>
      <c r="HW728">
        <f>IF(ISBLANK('Data Entry'!$ħ$728), "", 'Data Entry'!$ħ$728)</f>
      </c>
      <c r="HX728">
        <f>IF(ISBLANK('Data Entry'!$Ĩ$728), "", 'Data Entry'!$Ĩ$728)</f>
      </c>
      <c r="HY728">
        <f>IF(ISBLANK('Data Entry'!$ĩ$728), "", 'Data Entry'!$ĩ$728)</f>
      </c>
      <c r="HZ728">
        <f>IF(ISBLANK('Data Entry'!$Ī$728), "", 'Data Entry'!$Ī$728)</f>
      </c>
      <c r="IA728">
        <f>IF(ISBLANK('Data Entry'!$ī$728), "", 'Data Entry'!$ī$728)</f>
      </c>
      <c r="IB728">
        <f>IF(ISBLANK('Data Entry'!$Ĭ$728), "", 'Data Entry'!$Ĭ$728)</f>
      </c>
      <c r="IC728">
        <f>IF(ISBLANK('Data Entry'!$ĭ$728), "", 'Data Entry'!$ĭ$728)</f>
      </c>
      <c r="ID728">
        <f>IF(ISBLANK('Data Entry'!$Į$728), "", 'Data Entry'!$Į$728)</f>
      </c>
      <c r="IE728">
        <f>IF(ISBLANK('Data Entry'!$į$728), "", 'Data Entry'!$į$728)</f>
      </c>
      <c r="IF728">
        <f>IF(ISBLANK('Data Entry'!$İ$728), "", 'Data Entry'!$İ$728)</f>
      </c>
      <c r="IG728">
        <f>IF(ISBLANK('Data Entry'!$ı$728), "", 'Data Entry'!$ı$728)</f>
      </c>
      <c r="IH728">
        <f>IF(ISBLANK('Data Entry'!$Ĳ$728), "", 'Data Entry'!$Ĳ$728)</f>
      </c>
      <c r="II728">
        <f>IF(ISBLANK('Data Entry'!$ĳ$728), "", 'Data Entry'!$ĳ$728)</f>
      </c>
      <c r="IJ728">
        <f>IF(ISBLANK('Data Entry'!$Ĵ$728), "", 'Data Entry'!$Ĵ$728)</f>
      </c>
      <c r="IK728">
        <f>IF(ISBLANK('Data Entry'!$ĵ$728), "", 'Data Entry'!$ĵ$728)</f>
      </c>
      <c r="IL728">
        <f>IF(ISBLANK('Data Entry'!$Ķ$728), "", 'Data Entry'!$Ķ$728)</f>
      </c>
      <c r="IM728">
        <f>IF(ISBLANK('Data Entry'!$ķ$728), "", 'Data Entry'!$ķ$728)</f>
      </c>
      <c r="IN728">
        <f>IF(ISBLANK('Data Entry'!$ĸ$728), "", 'Data Entry'!$ĸ$728)</f>
      </c>
      <c r="IO728">
        <f>IF(ISBLANK('Data Entry'!$Ĺ$728), "", 'Data Entry'!$Ĺ$728)</f>
      </c>
      <c r="IP728">
        <f>IF(ISBLANK('Data Entry'!$ĺ$728), "", 'Data Entry'!$ĺ$728)</f>
      </c>
      <c r="IQ728">
        <f>IF(ISBLANK('Data Entry'!$Ļ$728), "", 'Data Entry'!$Ļ$728)</f>
      </c>
      <c r="IR728">
        <f>IF(ISBLANK('Data Entry'!$ļ$728), "", 'Data Entry'!$ļ$728)</f>
      </c>
      <c r="IS728">
        <f>IF(ISBLANK('Data Entry'!$Ľ$728), "", 'Data Entry'!$Ľ$728)</f>
      </c>
      <c r="IT728">
        <f>IF(ISBLANK('Data Entry'!$ľ$728), "", 'Data Entry'!$ľ$728)</f>
      </c>
    </row>
    <row r="729" spans="1:254" x14ac:dyDescent="0.25">
      <c r="A729">
        <f>IF(ISBLANK('Data Entry'!$A$729), "", 'Data Entry'!$A$729)</f>
      </c>
      <c r="B729">
        <f>IF(ISBLANK('Data Entry'!$B$729), "", 'Data Entry'!$B$729)</f>
      </c>
      <c r="C729">
        <f>IF(ISBLANK('Data Entry'!$C$729), "", 'Data Entry'!$C$729)</f>
      </c>
      <c r="D729">
        <f>IF(ISBLANK('Data Entry'!$D$729), "", 'Data Entry'!$D$729)</f>
      </c>
      <c r="E729">
        <f>IF(ISBLANK('Data Entry'!$E$729), "", 'Data Entry'!$E$729)</f>
      </c>
      <c r="F729">
        <f>IF(ISBLANK('Data Entry'!$F$729), "", 'Data Entry'!$F$729)</f>
      </c>
      <c r="G729">
        <f>IF(ISBLANK('Data Entry'!$G$729), "", 'Data Entry'!$G$729)</f>
      </c>
      <c r="H729">
        <f>IF(ISBLANK('Data Entry'!$H$729), "", 'Data Entry'!$H$729)</f>
      </c>
      <c r="I729">
        <f>IF(ISBLANK('Data Entry'!$I$729), "", 'Data Entry'!$I$729)</f>
      </c>
      <c r="J729">
        <f>IF(ISBLANK('Data Entry'!$J$729), "", 'Data Entry'!$J$729)</f>
      </c>
      <c r="K729">
        <f>IF(ISBLANK('Data Entry'!$K$729), "", 'Data Entry'!$K$729)</f>
      </c>
      <c r="L729">
        <f>IF(ISBLANK('Data Entry'!$L$729), "", 'Data Entry'!$L$729)</f>
      </c>
      <c r="M729">
        <f>IF(ISBLANK('Data Entry'!$M$729), "", 'Data Entry'!$M$729)</f>
      </c>
      <c r="N729">
        <f>IF(ISBLANK('Data Entry'!$N$729), "", 'Data Entry'!$N$729)</f>
      </c>
      <c r="O729">
        <f>IF(ISBLANK('Data Entry'!$O$729), "", 'Data Entry'!$O$729)</f>
      </c>
      <c r="P729">
        <f>IF(ISBLANK('Data Entry'!$P$729), "", 'Data Entry'!$P$729)</f>
      </c>
      <c r="Q729">
        <f>IF(ISBLANK('Data Entry'!$Q$729), "", 'Data Entry'!$Q$729)</f>
      </c>
      <c r="R729">
        <f>IF(ISBLANK('Data Entry'!$R$729), "", 'Data Entry'!$R$729)</f>
      </c>
      <c r="S729">
        <f>IF(ISBLANK('Data Entry'!$S$729), "", 'Data Entry'!$S$729)</f>
      </c>
      <c r="T729">
        <f>IF(ISBLANK('Data Entry'!$T$729), "", 'Data Entry'!$T$729)</f>
      </c>
      <c r="U729">
        <f>IF(ISBLANK('Data Entry'!$U$729), "", 'Data Entry'!$U$729)</f>
      </c>
      <c r="V729">
        <f>IF(ISBLANK('Data Entry'!$V$729), "", 'Data Entry'!$V$729)</f>
      </c>
      <c r="W729">
        <f>IF(ISBLANK('Data Entry'!$W$729), "", 'Data Entry'!$W$729)</f>
      </c>
      <c r="X729">
        <f>IF(ISBLANK('Data Entry'!$X$729), "", 'Data Entry'!$X$729)</f>
      </c>
      <c r="Y729">
        <f>IF(ISBLANK('Data Entry'!$Y$729), "", 'Data Entry'!$Y$729)</f>
      </c>
      <c r="Z729">
        <f>IF(ISBLANK('Data Entry'!$Z$729), "", 'Data Entry'!$Z$729)</f>
      </c>
      <c r="AA729">
        <f>IF(ISBLANK('Data Entry'!$[$729), "", 'Data Entry'!$[$729)</f>
      </c>
      <c r="AB729">
        <f>IF(ISBLANK('Data Entry'!$\$729), "", 'Data Entry'!$\$729)</f>
      </c>
      <c r="AC729">
        <f>IF(ISBLANK('Data Entry'!$]$729), "", 'Data Entry'!$]$729)</f>
      </c>
      <c r="AD729">
        <f>IF(ISBLANK('Data Entry'!$^$729), "", 'Data Entry'!$^$729)</f>
      </c>
      <c r="AE729">
        <f>IF(ISBLANK('Data Entry'!$_$729), "", 'Data Entry'!$_$729)</f>
      </c>
      <c r="AF729">
        <f>IF(ISBLANK('Data Entry'!$`$729), "", 'Data Entry'!$`$729)</f>
      </c>
      <c r="AG729">
        <f>IF(ISBLANK('Data Entry'!$a$729), "", 'Data Entry'!$a$729)</f>
      </c>
      <c r="AH729">
        <f>IF(ISBLANK('Data Entry'!$b$729), "", 'Data Entry'!$b$729)</f>
      </c>
      <c r="AI729">
        <f>IF(ISBLANK('Data Entry'!$c$729), "", 'Data Entry'!$c$729)</f>
      </c>
      <c r="AJ729">
        <f>IF(ISBLANK('Data Entry'!$d$729), "", 'Data Entry'!$d$729)</f>
      </c>
      <c r="AK729">
        <f>IF(ISBLANK('Data Entry'!$e$729), "", 'Data Entry'!$e$729)</f>
      </c>
      <c r="AL729">
        <f>IF(ISBLANK('Data Entry'!$f$729), "", 'Data Entry'!$f$729)</f>
      </c>
      <c r="AM729">
        <f>IF(ISBLANK('Data Entry'!$g$729), "", 'Data Entry'!$g$729)</f>
      </c>
      <c r="AN729">
        <f>IF(ISBLANK('Data Entry'!$h$729), "", 'Data Entry'!$h$729)</f>
      </c>
      <c r="AO729">
        <f>IF(ISBLANK('Data Entry'!$i$729), "", 'Data Entry'!$i$729)</f>
      </c>
      <c r="AP729">
        <f>IF(ISBLANK('Data Entry'!$j$729), "", 'Data Entry'!$j$729)</f>
      </c>
      <c r="AQ729">
        <f>IF(ISBLANK('Data Entry'!$k$729), "", 'Data Entry'!$k$729)</f>
      </c>
      <c r="AR729">
        <f>IF(ISBLANK('Data Entry'!$l$729), "", 'Data Entry'!$l$729)</f>
      </c>
      <c r="AS729">
        <f>IF(ISBLANK('Data Entry'!$m$729), "", 'Data Entry'!$m$729)</f>
      </c>
      <c r="AT729">
        <f>IF(ISBLANK('Data Entry'!$n$729), "", 'Data Entry'!$n$729)</f>
      </c>
      <c r="AU729">
        <f>IF(ISBLANK('Data Entry'!$o$729), "", 'Data Entry'!$o$729)</f>
      </c>
      <c r="AV729">
        <f>IF(ISBLANK('Data Entry'!$p$729), "", 'Data Entry'!$p$729)</f>
      </c>
      <c r="AW729">
        <f>IF(ISBLANK('Data Entry'!$q$729), "", 'Data Entry'!$q$729)</f>
      </c>
      <c r="AX729">
        <f>IF(ISBLANK('Data Entry'!$r$729), "", 'Data Entry'!$r$729)</f>
      </c>
      <c r="AY729">
        <f>IF(ISBLANK('Data Entry'!$s$729), "", 'Data Entry'!$s$729)</f>
      </c>
      <c r="AZ729">
        <f>IF(ISBLANK('Data Entry'!$t$729), "", 'Data Entry'!$t$729)</f>
      </c>
      <c r="BA729">
        <f>IF(ISBLANK('Data Entry'!$u$729), "", 'Data Entry'!$u$729)</f>
      </c>
      <c r="BB729">
        <f>IF(ISBLANK('Data Entry'!$v$729), "", 'Data Entry'!$v$729)</f>
      </c>
      <c r="BC729">
        <f>IF(ISBLANK('Data Entry'!$w$729), "", 'Data Entry'!$w$729)</f>
      </c>
      <c r="BD729">
        <f>IF(ISBLANK('Data Entry'!$x$729), "", 'Data Entry'!$x$729)</f>
      </c>
      <c r="BE729">
        <f>IF(ISBLANK('Data Entry'!$y$729), "", 'Data Entry'!$y$729)</f>
      </c>
      <c r="BF729">
        <f>IF(ISBLANK('Data Entry'!$z$729), "", 'Data Entry'!$z$729)</f>
      </c>
      <c r="BG729">
        <f>IF(ISBLANK('Data Entry'!${$729), "", 'Data Entry'!${$729)</f>
      </c>
      <c r="BH729">
        <f>IF(ISBLANK('Data Entry'!$|$729), "", 'Data Entry'!$|$729)</f>
      </c>
      <c r="BI729">
        <f>IF(ISBLANK('Data Entry'!$}$729), "", 'Data Entry'!$}$729)</f>
      </c>
      <c r="BJ729">
        <f>IF(ISBLANK('Data Entry'!$~$729), "", 'Data Entry'!$~$729)</f>
      </c>
      <c r="BK729">
        <f>IF(ISBLANK('Data Entry'!$$729), "", 'Data Entry'!$$729)</f>
      </c>
      <c r="BL729">
        <f>IF(ISBLANK('Data Entry'!$$729), "", 'Data Entry'!$$729)</f>
      </c>
      <c r="BM729">
        <f>IF(ISBLANK('Data Entry'!$$729), "", 'Data Entry'!$$729)</f>
      </c>
      <c r="BN729">
        <f>IF(ISBLANK('Data Entry'!$$729), "", 'Data Entry'!$$729)</f>
      </c>
      <c r="BO729">
        <f>IF(ISBLANK('Data Entry'!$$729), "", 'Data Entry'!$$729)</f>
      </c>
      <c r="BP729">
        <f>IF(ISBLANK('Data Entry'!$$729), "", 'Data Entry'!$$729)</f>
      </c>
      <c r="BQ729">
        <f>IF(ISBLANK('Data Entry'!$$729), "", 'Data Entry'!$$729)</f>
      </c>
      <c r="BR729">
        <f>IF(ISBLANK('Data Entry'!$$729), "", 'Data Entry'!$$729)</f>
      </c>
      <c r="BS729">
        <f>IF(ISBLANK('Data Entry'!$$729), "", 'Data Entry'!$$729)</f>
      </c>
      <c r="BT729">
        <f>IF(ISBLANK('Data Entry'!$$729), "", 'Data Entry'!$$729)</f>
      </c>
      <c r="BU729">
        <f>IF(ISBLANK('Data Entry'!$$729), "", 'Data Entry'!$$729)</f>
      </c>
      <c r="BV729">
        <f>IF(ISBLANK('Data Entry'!$$729), "", 'Data Entry'!$$729)</f>
      </c>
      <c r="BW729">
        <f>IF(ISBLANK('Data Entry'!$$729), "", 'Data Entry'!$$729)</f>
      </c>
      <c r="BX729">
        <f>IF(ISBLANK('Data Entry'!$$729), "", 'Data Entry'!$$729)</f>
      </c>
      <c r="BY729">
        <f>IF(ISBLANK('Data Entry'!$$729), "", 'Data Entry'!$$729)</f>
      </c>
      <c r="BZ729">
        <f>IF(ISBLANK('Data Entry'!$$729), "", 'Data Entry'!$$729)</f>
      </c>
      <c r="CA729">
        <f>IF(ISBLANK('Data Entry'!$$729), "", 'Data Entry'!$$729)</f>
      </c>
      <c r="CB729">
        <f>IF(ISBLANK('Data Entry'!$$729), "", 'Data Entry'!$$729)</f>
      </c>
      <c r="CC729">
        <f>IF(ISBLANK('Data Entry'!$$729), "", 'Data Entry'!$$729)</f>
      </c>
      <c r="CD729">
        <f>IF(ISBLANK('Data Entry'!$$729), "", 'Data Entry'!$$729)</f>
      </c>
      <c r="CE729">
        <f>IF(ISBLANK('Data Entry'!$$729), "", 'Data Entry'!$$729)</f>
      </c>
      <c r="CF729">
        <f>IF(ISBLANK('Data Entry'!$$729), "", 'Data Entry'!$$729)</f>
      </c>
      <c r="CG729">
        <f>IF(ISBLANK('Data Entry'!$$729), "", 'Data Entry'!$$729)</f>
      </c>
      <c r="CH729">
        <f>IF(ISBLANK('Data Entry'!$$729), "", 'Data Entry'!$$729)</f>
      </c>
      <c r="CI729">
        <f>IF(ISBLANK('Data Entry'!$$729), "", 'Data Entry'!$$729)</f>
      </c>
      <c r="CJ729">
        <f>IF(ISBLANK('Data Entry'!$$729), "", 'Data Entry'!$$729)</f>
      </c>
      <c r="CK729">
        <f>IF(ISBLANK('Data Entry'!$$729), "", 'Data Entry'!$$729)</f>
      </c>
      <c r="CL729">
        <f>IF(ISBLANK('Data Entry'!$$729), "", 'Data Entry'!$$729)</f>
      </c>
      <c r="CM729">
        <f>IF(ISBLANK('Data Entry'!$$729), "", 'Data Entry'!$$729)</f>
      </c>
      <c r="CN729">
        <f>IF(ISBLANK('Data Entry'!$$729), "", 'Data Entry'!$$729)</f>
      </c>
      <c r="CO729">
        <f>IF(ISBLANK('Data Entry'!$$729), "", 'Data Entry'!$$729)</f>
      </c>
      <c r="CP729">
        <f>IF(ISBLANK('Data Entry'!$$729), "", 'Data Entry'!$$729)</f>
      </c>
      <c r="CQ729">
        <f>IF(ISBLANK('Data Entry'!$$729), "", 'Data Entry'!$$729)</f>
      </c>
      <c r="CR729">
        <f>IF(ISBLANK('Data Entry'!$ $729), "", 'Data Entry'!$ $729)</f>
      </c>
      <c r="CS729">
        <f>IF(ISBLANK('Data Entry'!$¡$729), "", 'Data Entry'!$¡$729)</f>
      </c>
      <c r="CT729">
        <f>IF(ISBLANK('Data Entry'!$¢$729), "", 'Data Entry'!$¢$729)</f>
      </c>
      <c r="CU729">
        <f>IF(ISBLANK('Data Entry'!$£$729), "", 'Data Entry'!$£$729)</f>
      </c>
      <c r="CV729">
        <f>IF(ISBLANK('Data Entry'!$¤$729), "", 'Data Entry'!$¤$729)</f>
      </c>
      <c r="CW729">
        <f>IF(ISBLANK('Data Entry'!$¥$729), "", 'Data Entry'!$¥$729)</f>
      </c>
      <c r="CX729">
        <f>IF(ISBLANK('Data Entry'!$¦$729), "", 'Data Entry'!$¦$729)</f>
      </c>
      <c r="CY729">
        <f>IF(ISBLANK('Data Entry'!$§$729), "", 'Data Entry'!$§$729)</f>
      </c>
      <c r="CZ729">
        <f>IF(ISBLANK('Data Entry'!$¨$729), "", 'Data Entry'!$¨$729)</f>
      </c>
      <c r="DA729">
        <f>IF(ISBLANK('Data Entry'!$©$729), "", 'Data Entry'!$©$729)</f>
      </c>
      <c r="DB729">
        <f>IF(ISBLANK('Data Entry'!$ª$729), "", 'Data Entry'!$ª$729)</f>
      </c>
      <c r="DC729">
        <f>IF(ISBLANK('Data Entry'!$«$729), "", 'Data Entry'!$«$729)</f>
      </c>
      <c r="DD729">
        <f>IF(ISBLANK('Data Entry'!$¬$729), "", 'Data Entry'!$¬$729)</f>
      </c>
      <c r="DE729">
        <f>IF(ISBLANK('Data Entry'!$­$729), "", 'Data Entry'!$­$729)</f>
      </c>
      <c r="DF729">
        <f>IF(ISBLANK('Data Entry'!$®$729), "", 'Data Entry'!$®$729)</f>
      </c>
      <c r="DG729">
        <f>IF(ISBLANK('Data Entry'!$¯$729), "", 'Data Entry'!$¯$729)</f>
      </c>
      <c r="DH729">
        <f>IF(ISBLANK('Data Entry'!$°$729), "", 'Data Entry'!$°$729)</f>
      </c>
      <c r="DI729">
        <f>IF(ISBLANK('Data Entry'!$±$729), "", 'Data Entry'!$±$729)</f>
      </c>
      <c r="DJ729">
        <f>IF(ISBLANK('Data Entry'!$²$729), "", 'Data Entry'!$²$729)</f>
      </c>
      <c r="DK729">
        <f>IF(ISBLANK('Data Entry'!$³$729), "", 'Data Entry'!$³$729)</f>
      </c>
      <c r="DL729">
        <f>IF(ISBLANK('Data Entry'!$´$729), "", 'Data Entry'!$´$729)</f>
      </c>
      <c r="DM729">
        <f>IF(ISBLANK('Data Entry'!$µ$729), "", 'Data Entry'!$µ$729)</f>
      </c>
      <c r="DN729">
        <f>IF(ISBLANK('Data Entry'!$¶$729), "", 'Data Entry'!$¶$729)</f>
      </c>
      <c r="DO729">
        <f>IF(ISBLANK('Data Entry'!$·$729), "", 'Data Entry'!$·$729)</f>
      </c>
      <c r="DP729">
        <f>IF(ISBLANK('Data Entry'!$¸$729), "", 'Data Entry'!$¸$729)</f>
      </c>
      <c r="DQ729">
        <f>IF(ISBLANK('Data Entry'!$¹$729), "", 'Data Entry'!$¹$729)</f>
      </c>
      <c r="DR729">
        <f>IF(ISBLANK('Data Entry'!$º$729), "", 'Data Entry'!$º$729)</f>
      </c>
      <c r="DS729">
        <f>IF(ISBLANK('Data Entry'!$»$729), "", 'Data Entry'!$»$729)</f>
      </c>
      <c r="DT729">
        <f>IF(ISBLANK('Data Entry'!$¼$729), "", 'Data Entry'!$¼$729)</f>
      </c>
      <c r="DU729">
        <f>IF(ISBLANK('Data Entry'!$½$729), "", 'Data Entry'!$½$729)</f>
      </c>
      <c r="DV729">
        <f>IF(ISBLANK('Data Entry'!$¾$729), "", 'Data Entry'!$¾$729)</f>
      </c>
      <c r="DW729">
        <f>IF(ISBLANK('Data Entry'!$¿$729), "", 'Data Entry'!$¿$729)</f>
      </c>
      <c r="DX729">
        <f>IF(ISBLANK('Data Entry'!$À$729), "", 'Data Entry'!$À$729)</f>
      </c>
      <c r="DY729">
        <f>IF(ISBLANK('Data Entry'!$Á$729), "", 'Data Entry'!$Á$729)</f>
      </c>
      <c r="DZ729">
        <f>IF(ISBLANK('Data Entry'!$Â$729), "", 'Data Entry'!$Â$729)</f>
      </c>
      <c r="EA729">
        <f>IF(ISBLANK('Data Entry'!$Ã$729), "", 'Data Entry'!$Ã$729)</f>
      </c>
      <c r="EB729">
        <f>IF(ISBLANK('Data Entry'!$Ä$729), "", 'Data Entry'!$Ä$729)</f>
      </c>
      <c r="EC729">
        <f>IF(ISBLANK('Data Entry'!$Å$729), "", 'Data Entry'!$Å$729)</f>
      </c>
      <c r="ED729">
        <f>IF(ISBLANK('Data Entry'!$Æ$729), "", 'Data Entry'!$Æ$729)</f>
      </c>
      <c r="EE729">
        <f>IF(ISBLANK('Data Entry'!$Ç$729), "", 'Data Entry'!$Ç$729)</f>
      </c>
      <c r="EF729">
        <f>IF(ISBLANK('Data Entry'!$È$729), "", 'Data Entry'!$È$729)</f>
      </c>
      <c r="EG729">
        <f>IF(ISBLANK('Data Entry'!$É$729), "", 'Data Entry'!$É$729)</f>
      </c>
      <c r="EH729">
        <f>IF(ISBLANK('Data Entry'!$Ê$729), "", 'Data Entry'!$Ê$729)</f>
      </c>
      <c r="EI729">
        <f>IF(ISBLANK('Data Entry'!$Ë$729), "", 'Data Entry'!$Ë$729)</f>
      </c>
      <c r="EJ729">
        <f>IF(ISBLANK('Data Entry'!$Ì$729), "", 'Data Entry'!$Ì$729)</f>
      </c>
      <c r="EK729">
        <f>IF(ISBLANK('Data Entry'!$Í$729), "", 'Data Entry'!$Í$729)</f>
      </c>
      <c r="EL729">
        <f>IF(ISBLANK('Data Entry'!$Î$729), "", 'Data Entry'!$Î$729)</f>
      </c>
      <c r="EM729">
        <f>IF(ISBLANK('Data Entry'!$Ï$729), "", 'Data Entry'!$Ï$729)</f>
      </c>
      <c r="EN729">
        <f>IF(ISBLANK('Data Entry'!$Ð$729), "", 'Data Entry'!$Ð$729)</f>
      </c>
      <c r="EO729">
        <f>IF(ISBLANK('Data Entry'!$Ñ$729), "", 'Data Entry'!$Ñ$729)</f>
      </c>
      <c r="EP729">
        <f>IF(ISBLANK('Data Entry'!$Ò$729), "", 'Data Entry'!$Ò$729)</f>
      </c>
      <c r="EQ729">
        <f>IF(ISBLANK('Data Entry'!$Ó$729), "", 'Data Entry'!$Ó$729)</f>
      </c>
      <c r="ER729">
        <f>IF(ISBLANK('Data Entry'!$Ô$729), "", 'Data Entry'!$Ô$729)</f>
      </c>
      <c r="ES729">
        <f>IF(ISBLANK('Data Entry'!$Õ$729), "", 'Data Entry'!$Õ$729)</f>
      </c>
      <c r="ET729">
        <f>IF(ISBLANK('Data Entry'!$Ö$729), "", 'Data Entry'!$Ö$729)</f>
      </c>
      <c r="EU729">
        <f>IF(ISBLANK('Data Entry'!$×$729), "", 'Data Entry'!$×$729)</f>
      </c>
      <c r="EV729">
        <f>IF(ISBLANK('Data Entry'!$Ø$729), "", 'Data Entry'!$Ø$729)</f>
      </c>
      <c r="EW729">
        <f>IF(ISBLANK('Data Entry'!$Ù$729), "", 'Data Entry'!$Ù$729)</f>
      </c>
      <c r="EX729">
        <f>IF(ISBLANK('Data Entry'!$Ú$729), "", 'Data Entry'!$Ú$729)</f>
      </c>
      <c r="EY729">
        <f>IF(ISBLANK('Data Entry'!$Û$729), "", 'Data Entry'!$Û$729)</f>
      </c>
      <c r="EZ729">
        <f>IF(ISBLANK('Data Entry'!$Ü$729), "", 'Data Entry'!$Ü$729)</f>
      </c>
      <c r="FA729">
        <f>IF(ISBLANK('Data Entry'!$Ý$729), "", 'Data Entry'!$Ý$729)</f>
      </c>
      <c r="FB729">
        <f>IF(ISBLANK('Data Entry'!$Þ$729), "", 'Data Entry'!$Þ$729)</f>
      </c>
      <c r="FC729">
        <f>IF(ISBLANK('Data Entry'!$ß$729), "", 'Data Entry'!$ß$729)</f>
      </c>
      <c r="FD729">
        <f>IF(ISBLANK('Data Entry'!$à$729), "", 'Data Entry'!$à$729)</f>
      </c>
      <c r="FE729">
        <f>IF(ISBLANK('Data Entry'!$á$729), "", 'Data Entry'!$á$729)</f>
      </c>
      <c r="FF729">
        <f>IF(ISBLANK('Data Entry'!$â$729), "", 'Data Entry'!$â$729)</f>
      </c>
      <c r="FG729">
        <f>IF(ISBLANK('Data Entry'!$ã$729), "", 'Data Entry'!$ã$729)</f>
      </c>
      <c r="FH729">
        <f>IF(ISBLANK('Data Entry'!$ä$729), "", 'Data Entry'!$ä$729)</f>
      </c>
      <c r="FI729">
        <f>IF(ISBLANK('Data Entry'!$å$729), "", 'Data Entry'!$å$729)</f>
      </c>
      <c r="FJ729">
        <f>IF(ISBLANK('Data Entry'!$æ$729), "", 'Data Entry'!$æ$729)</f>
      </c>
      <c r="FK729">
        <f>IF(ISBLANK('Data Entry'!$ç$729), "", 'Data Entry'!$ç$729)</f>
      </c>
      <c r="FL729">
        <f>IF(ISBLANK('Data Entry'!$è$729), "", 'Data Entry'!$è$729)</f>
      </c>
      <c r="FM729">
        <f>IF(ISBLANK('Data Entry'!$é$729), "", 'Data Entry'!$é$729)</f>
      </c>
      <c r="FN729">
        <f>IF(ISBLANK('Data Entry'!$ê$729), "", 'Data Entry'!$ê$729)</f>
      </c>
      <c r="FO729">
        <f>IF(ISBLANK('Data Entry'!$ë$729), "", 'Data Entry'!$ë$729)</f>
      </c>
      <c r="FP729">
        <f>IF(ISBLANK('Data Entry'!$ì$729), "", 'Data Entry'!$ì$729)</f>
      </c>
      <c r="FQ729">
        <f>IF(ISBLANK('Data Entry'!$í$729), "", 'Data Entry'!$í$729)</f>
      </c>
      <c r="FR729">
        <f>IF(ISBLANK('Data Entry'!$î$729), "", 'Data Entry'!$î$729)</f>
      </c>
      <c r="FS729">
        <f>IF(ISBLANK('Data Entry'!$ï$729), "", 'Data Entry'!$ï$729)</f>
      </c>
      <c r="FT729">
        <f>IF(ISBLANK('Data Entry'!$ð$729), "", 'Data Entry'!$ð$729)</f>
      </c>
      <c r="FU729">
        <f>IF(ISBLANK('Data Entry'!$ñ$729), "", 'Data Entry'!$ñ$729)</f>
      </c>
      <c r="FV729">
        <f>IF(ISBLANK('Data Entry'!$ò$729), "", 'Data Entry'!$ò$729)</f>
      </c>
      <c r="FW729">
        <f>IF(ISBLANK('Data Entry'!$ó$729), "", 'Data Entry'!$ó$729)</f>
      </c>
      <c r="FX729">
        <f>IF(ISBLANK('Data Entry'!$ô$729), "", 'Data Entry'!$ô$729)</f>
      </c>
      <c r="FY729">
        <f>IF(ISBLANK('Data Entry'!$õ$729), "", 'Data Entry'!$õ$729)</f>
      </c>
      <c r="FZ729">
        <f>IF(ISBLANK('Data Entry'!$ö$729), "", 'Data Entry'!$ö$729)</f>
      </c>
      <c r="GA729">
        <f>IF(ISBLANK('Data Entry'!$÷$729), "", 'Data Entry'!$÷$729)</f>
      </c>
      <c r="GB729">
        <f>IF(ISBLANK('Data Entry'!$ø$729), "", 'Data Entry'!$ø$729)</f>
      </c>
      <c r="GC729">
        <f>IF(ISBLANK('Data Entry'!$ù$729), "", 'Data Entry'!$ù$729)</f>
      </c>
      <c r="GD729">
        <f>IF(ISBLANK('Data Entry'!$ú$729), "", 'Data Entry'!$ú$729)</f>
      </c>
      <c r="GE729">
        <f>IF(ISBLANK('Data Entry'!$û$729), "", 'Data Entry'!$û$729)</f>
      </c>
      <c r="GF729">
        <f>IF(ISBLANK('Data Entry'!$ü$729), "", 'Data Entry'!$ü$729)</f>
      </c>
      <c r="GG729">
        <f>IF(ISBLANK('Data Entry'!$ý$729), "", 'Data Entry'!$ý$729)</f>
      </c>
      <c r="GH729">
        <f>IF(ISBLANK('Data Entry'!$þ$729), "", 'Data Entry'!$þ$729)</f>
      </c>
      <c r="GI729">
        <f>IF(ISBLANK('Data Entry'!$ÿ$729), "", 'Data Entry'!$ÿ$729)</f>
      </c>
      <c r="GJ729">
        <f>IF(ISBLANK('Data Entry'!$Ā$729), "", 'Data Entry'!$Ā$729)</f>
      </c>
      <c r="GK729">
        <f>IF(ISBLANK('Data Entry'!$ā$729), "", 'Data Entry'!$ā$729)</f>
      </c>
      <c r="GL729">
        <f>IF(ISBLANK('Data Entry'!$Ă$729), "", 'Data Entry'!$Ă$729)</f>
      </c>
      <c r="GM729">
        <f>IF(ISBLANK('Data Entry'!$ă$729), "", 'Data Entry'!$ă$729)</f>
      </c>
      <c r="GN729">
        <f>IF(ISBLANK('Data Entry'!$Ą$729), "", 'Data Entry'!$Ą$729)</f>
      </c>
      <c r="GO729">
        <f>IF(ISBLANK('Data Entry'!$ą$729), "", 'Data Entry'!$ą$729)</f>
      </c>
      <c r="GP729">
        <f>IF(ISBLANK('Data Entry'!$Ć$729), "", 'Data Entry'!$Ć$729)</f>
      </c>
      <c r="GQ729">
        <f>IF(ISBLANK('Data Entry'!$ć$729), "", 'Data Entry'!$ć$729)</f>
      </c>
      <c r="GR729">
        <f>IF(ISBLANK('Data Entry'!$Ĉ$729), "", 'Data Entry'!$Ĉ$729)</f>
      </c>
      <c r="GS729">
        <f>IF(ISBLANK('Data Entry'!$ĉ$729), "", 'Data Entry'!$ĉ$729)</f>
      </c>
      <c r="GT729">
        <f>IF(ISBLANK('Data Entry'!$Ċ$729), "", 'Data Entry'!$Ċ$729)</f>
      </c>
      <c r="GU729">
        <f>IF(ISBLANK('Data Entry'!$ċ$729), "", 'Data Entry'!$ċ$729)</f>
      </c>
      <c r="GV729">
        <f>IF(ISBLANK('Data Entry'!$Č$729), "", 'Data Entry'!$Č$729)</f>
      </c>
      <c r="GW729">
        <f>IF(ISBLANK('Data Entry'!$č$729), "", 'Data Entry'!$č$729)</f>
      </c>
      <c r="GX729">
        <f>IF(ISBLANK('Data Entry'!$Ď$729), "", 'Data Entry'!$Ď$729)</f>
      </c>
      <c r="GY729">
        <f>IF(ISBLANK('Data Entry'!$ď$729), "", 'Data Entry'!$ď$729)</f>
      </c>
      <c r="GZ729">
        <f>IF(ISBLANK('Data Entry'!$Đ$729), "", 'Data Entry'!$Đ$729)</f>
      </c>
      <c r="HA729">
        <f>IF(ISBLANK('Data Entry'!$đ$729), "", 'Data Entry'!$đ$729)</f>
      </c>
      <c r="HB729">
        <f>IF(ISBLANK('Data Entry'!$Ē$729), "", 'Data Entry'!$Ē$729)</f>
      </c>
      <c r="HC729">
        <f>IF(ISBLANK('Data Entry'!$ē$729), "", 'Data Entry'!$ē$729)</f>
      </c>
      <c r="HD729">
        <f>IF(ISBLANK('Data Entry'!$Ĕ$729), "", 'Data Entry'!$Ĕ$729)</f>
      </c>
      <c r="HE729">
        <f>IF(ISBLANK('Data Entry'!$ĕ$729), "", 'Data Entry'!$ĕ$729)</f>
      </c>
      <c r="HF729">
        <f>IF(ISBLANK('Data Entry'!$Ė$729), "", 'Data Entry'!$Ė$729)</f>
      </c>
      <c r="HG729">
        <f>IF(ISBLANK('Data Entry'!$ė$729), "", 'Data Entry'!$ė$729)</f>
      </c>
      <c r="HH729">
        <f>IF(ISBLANK('Data Entry'!$Ę$729), "", 'Data Entry'!$Ę$729)</f>
      </c>
      <c r="HI729">
        <f>IF(ISBLANK('Data Entry'!$ę$729), "", 'Data Entry'!$ę$729)</f>
      </c>
      <c r="HJ729">
        <f>IF(ISBLANK('Data Entry'!$Ě$729), "", 'Data Entry'!$Ě$729)</f>
      </c>
      <c r="HK729">
        <f>IF(ISBLANK('Data Entry'!$ě$729), "", 'Data Entry'!$ě$729)</f>
      </c>
      <c r="HL729">
        <f>IF(ISBLANK('Data Entry'!$Ĝ$729), "", 'Data Entry'!$Ĝ$729)</f>
      </c>
      <c r="HM729">
        <f>IF(ISBLANK('Data Entry'!$ĝ$729), "", 'Data Entry'!$ĝ$729)</f>
      </c>
      <c r="HN729">
        <f>IF(ISBLANK('Data Entry'!$Ğ$729), "", 'Data Entry'!$Ğ$729)</f>
      </c>
      <c r="HO729">
        <f>IF(ISBLANK('Data Entry'!$ğ$729), "", 'Data Entry'!$ğ$729)</f>
      </c>
      <c r="HP729">
        <f>IF(ISBLANK('Data Entry'!$Ġ$729), "", 'Data Entry'!$Ġ$729)</f>
      </c>
      <c r="HQ729">
        <f>IF(ISBLANK('Data Entry'!$ġ$729), "", 'Data Entry'!$ġ$729)</f>
      </c>
      <c r="HR729">
        <f>IF(ISBLANK('Data Entry'!$Ģ$729), "", 'Data Entry'!$Ģ$729)</f>
      </c>
      <c r="HS729">
        <f>IF(ISBLANK('Data Entry'!$ģ$729), "", 'Data Entry'!$ģ$729)</f>
      </c>
      <c r="HT729">
        <f>IF(ISBLANK('Data Entry'!$Ĥ$729), "", 'Data Entry'!$Ĥ$729)</f>
      </c>
      <c r="HU729">
        <f>IF(ISBLANK('Data Entry'!$ĥ$729), "", 'Data Entry'!$ĥ$729)</f>
      </c>
      <c r="HV729">
        <f>IF(ISBLANK('Data Entry'!$Ħ$729), "", 'Data Entry'!$Ħ$729)</f>
      </c>
      <c r="HW729">
        <f>IF(ISBLANK('Data Entry'!$ħ$729), "", 'Data Entry'!$ħ$729)</f>
      </c>
      <c r="HX729">
        <f>IF(ISBLANK('Data Entry'!$Ĩ$729), "", 'Data Entry'!$Ĩ$729)</f>
      </c>
      <c r="HY729">
        <f>IF(ISBLANK('Data Entry'!$ĩ$729), "", 'Data Entry'!$ĩ$729)</f>
      </c>
      <c r="HZ729">
        <f>IF(ISBLANK('Data Entry'!$Ī$729), "", 'Data Entry'!$Ī$729)</f>
      </c>
      <c r="IA729">
        <f>IF(ISBLANK('Data Entry'!$ī$729), "", 'Data Entry'!$ī$729)</f>
      </c>
      <c r="IB729">
        <f>IF(ISBLANK('Data Entry'!$Ĭ$729), "", 'Data Entry'!$Ĭ$729)</f>
      </c>
      <c r="IC729">
        <f>IF(ISBLANK('Data Entry'!$ĭ$729), "", 'Data Entry'!$ĭ$729)</f>
      </c>
      <c r="ID729">
        <f>IF(ISBLANK('Data Entry'!$Į$729), "", 'Data Entry'!$Į$729)</f>
      </c>
      <c r="IE729">
        <f>IF(ISBLANK('Data Entry'!$į$729), "", 'Data Entry'!$į$729)</f>
      </c>
      <c r="IF729">
        <f>IF(ISBLANK('Data Entry'!$İ$729), "", 'Data Entry'!$İ$729)</f>
      </c>
      <c r="IG729">
        <f>IF(ISBLANK('Data Entry'!$ı$729), "", 'Data Entry'!$ı$729)</f>
      </c>
      <c r="IH729">
        <f>IF(ISBLANK('Data Entry'!$Ĳ$729), "", 'Data Entry'!$Ĳ$729)</f>
      </c>
      <c r="II729">
        <f>IF(ISBLANK('Data Entry'!$ĳ$729), "", 'Data Entry'!$ĳ$729)</f>
      </c>
      <c r="IJ729">
        <f>IF(ISBLANK('Data Entry'!$Ĵ$729), "", 'Data Entry'!$Ĵ$729)</f>
      </c>
      <c r="IK729">
        <f>IF(ISBLANK('Data Entry'!$ĵ$729), "", 'Data Entry'!$ĵ$729)</f>
      </c>
      <c r="IL729">
        <f>IF(ISBLANK('Data Entry'!$Ķ$729), "", 'Data Entry'!$Ķ$729)</f>
      </c>
      <c r="IM729">
        <f>IF(ISBLANK('Data Entry'!$ķ$729), "", 'Data Entry'!$ķ$729)</f>
      </c>
      <c r="IN729">
        <f>IF(ISBLANK('Data Entry'!$ĸ$729), "", 'Data Entry'!$ĸ$729)</f>
      </c>
      <c r="IO729">
        <f>IF(ISBLANK('Data Entry'!$Ĺ$729), "", 'Data Entry'!$Ĺ$729)</f>
      </c>
      <c r="IP729">
        <f>IF(ISBLANK('Data Entry'!$ĺ$729), "", 'Data Entry'!$ĺ$729)</f>
      </c>
      <c r="IQ729">
        <f>IF(ISBLANK('Data Entry'!$Ļ$729), "", 'Data Entry'!$Ļ$729)</f>
      </c>
      <c r="IR729">
        <f>IF(ISBLANK('Data Entry'!$ļ$729), "", 'Data Entry'!$ļ$729)</f>
      </c>
      <c r="IS729">
        <f>IF(ISBLANK('Data Entry'!$Ľ$729), "", 'Data Entry'!$Ľ$729)</f>
      </c>
      <c r="IT729">
        <f>IF(ISBLANK('Data Entry'!$ľ$729), "", 'Data Entry'!$ľ$729)</f>
      </c>
    </row>
    <row r="730" spans="1:254" x14ac:dyDescent="0.25">
      <c r="A730">
        <f>IF(ISBLANK('Data Entry'!$A$730), "", 'Data Entry'!$A$730)</f>
      </c>
      <c r="B730">
        <f>IF(ISBLANK('Data Entry'!$B$730), "", 'Data Entry'!$B$730)</f>
      </c>
      <c r="C730">
        <f>IF(ISBLANK('Data Entry'!$C$730), "", 'Data Entry'!$C$730)</f>
      </c>
      <c r="D730">
        <f>IF(ISBLANK('Data Entry'!$D$730), "", 'Data Entry'!$D$730)</f>
      </c>
      <c r="E730">
        <f>IF(ISBLANK('Data Entry'!$E$730), "", 'Data Entry'!$E$730)</f>
      </c>
      <c r="F730">
        <f>IF(ISBLANK('Data Entry'!$F$730), "", 'Data Entry'!$F$730)</f>
      </c>
      <c r="G730">
        <f>IF(ISBLANK('Data Entry'!$G$730), "", 'Data Entry'!$G$730)</f>
      </c>
      <c r="H730">
        <f>IF(ISBLANK('Data Entry'!$H$730), "", 'Data Entry'!$H$730)</f>
      </c>
      <c r="I730">
        <f>IF(ISBLANK('Data Entry'!$I$730), "", 'Data Entry'!$I$730)</f>
      </c>
      <c r="J730">
        <f>IF(ISBLANK('Data Entry'!$J$730), "", 'Data Entry'!$J$730)</f>
      </c>
      <c r="K730">
        <f>IF(ISBLANK('Data Entry'!$K$730), "", 'Data Entry'!$K$730)</f>
      </c>
      <c r="L730">
        <f>IF(ISBLANK('Data Entry'!$L$730), "", 'Data Entry'!$L$730)</f>
      </c>
      <c r="M730">
        <f>IF(ISBLANK('Data Entry'!$M$730), "", 'Data Entry'!$M$730)</f>
      </c>
      <c r="N730">
        <f>IF(ISBLANK('Data Entry'!$N$730), "", 'Data Entry'!$N$730)</f>
      </c>
      <c r="O730">
        <f>IF(ISBLANK('Data Entry'!$O$730), "", 'Data Entry'!$O$730)</f>
      </c>
      <c r="P730">
        <f>IF(ISBLANK('Data Entry'!$P$730), "", 'Data Entry'!$P$730)</f>
      </c>
      <c r="Q730">
        <f>IF(ISBLANK('Data Entry'!$Q$730), "", 'Data Entry'!$Q$730)</f>
      </c>
      <c r="R730">
        <f>IF(ISBLANK('Data Entry'!$R$730), "", 'Data Entry'!$R$730)</f>
      </c>
      <c r="S730">
        <f>IF(ISBLANK('Data Entry'!$S$730), "", 'Data Entry'!$S$730)</f>
      </c>
      <c r="T730">
        <f>IF(ISBLANK('Data Entry'!$T$730), "", 'Data Entry'!$T$730)</f>
      </c>
      <c r="U730">
        <f>IF(ISBLANK('Data Entry'!$U$730), "", 'Data Entry'!$U$730)</f>
      </c>
      <c r="V730">
        <f>IF(ISBLANK('Data Entry'!$V$730), "", 'Data Entry'!$V$730)</f>
      </c>
      <c r="W730">
        <f>IF(ISBLANK('Data Entry'!$W$730), "", 'Data Entry'!$W$730)</f>
      </c>
      <c r="X730">
        <f>IF(ISBLANK('Data Entry'!$X$730), "", 'Data Entry'!$X$730)</f>
      </c>
      <c r="Y730">
        <f>IF(ISBLANK('Data Entry'!$Y$730), "", 'Data Entry'!$Y$730)</f>
      </c>
      <c r="Z730">
        <f>IF(ISBLANK('Data Entry'!$Z$730), "", 'Data Entry'!$Z$730)</f>
      </c>
      <c r="AA730">
        <f>IF(ISBLANK('Data Entry'!$[$730), "", 'Data Entry'!$[$730)</f>
      </c>
      <c r="AB730">
        <f>IF(ISBLANK('Data Entry'!$\$730), "", 'Data Entry'!$\$730)</f>
      </c>
      <c r="AC730">
        <f>IF(ISBLANK('Data Entry'!$]$730), "", 'Data Entry'!$]$730)</f>
      </c>
      <c r="AD730">
        <f>IF(ISBLANK('Data Entry'!$^$730), "", 'Data Entry'!$^$730)</f>
      </c>
      <c r="AE730">
        <f>IF(ISBLANK('Data Entry'!$_$730), "", 'Data Entry'!$_$730)</f>
      </c>
      <c r="AF730">
        <f>IF(ISBLANK('Data Entry'!$`$730), "", 'Data Entry'!$`$730)</f>
      </c>
      <c r="AG730">
        <f>IF(ISBLANK('Data Entry'!$a$730), "", 'Data Entry'!$a$730)</f>
      </c>
      <c r="AH730">
        <f>IF(ISBLANK('Data Entry'!$b$730), "", 'Data Entry'!$b$730)</f>
      </c>
      <c r="AI730">
        <f>IF(ISBLANK('Data Entry'!$c$730), "", 'Data Entry'!$c$730)</f>
      </c>
      <c r="AJ730">
        <f>IF(ISBLANK('Data Entry'!$d$730), "", 'Data Entry'!$d$730)</f>
      </c>
      <c r="AK730">
        <f>IF(ISBLANK('Data Entry'!$e$730), "", 'Data Entry'!$e$730)</f>
      </c>
      <c r="AL730">
        <f>IF(ISBLANK('Data Entry'!$f$730), "", 'Data Entry'!$f$730)</f>
      </c>
      <c r="AM730">
        <f>IF(ISBLANK('Data Entry'!$g$730), "", 'Data Entry'!$g$730)</f>
      </c>
      <c r="AN730">
        <f>IF(ISBLANK('Data Entry'!$h$730), "", 'Data Entry'!$h$730)</f>
      </c>
      <c r="AO730">
        <f>IF(ISBLANK('Data Entry'!$i$730), "", 'Data Entry'!$i$730)</f>
      </c>
      <c r="AP730">
        <f>IF(ISBLANK('Data Entry'!$j$730), "", 'Data Entry'!$j$730)</f>
      </c>
      <c r="AQ730">
        <f>IF(ISBLANK('Data Entry'!$k$730), "", 'Data Entry'!$k$730)</f>
      </c>
      <c r="AR730">
        <f>IF(ISBLANK('Data Entry'!$l$730), "", 'Data Entry'!$l$730)</f>
      </c>
      <c r="AS730">
        <f>IF(ISBLANK('Data Entry'!$m$730), "", 'Data Entry'!$m$730)</f>
      </c>
      <c r="AT730">
        <f>IF(ISBLANK('Data Entry'!$n$730), "", 'Data Entry'!$n$730)</f>
      </c>
      <c r="AU730">
        <f>IF(ISBLANK('Data Entry'!$o$730), "", 'Data Entry'!$o$730)</f>
      </c>
      <c r="AV730">
        <f>IF(ISBLANK('Data Entry'!$p$730), "", 'Data Entry'!$p$730)</f>
      </c>
      <c r="AW730">
        <f>IF(ISBLANK('Data Entry'!$q$730), "", 'Data Entry'!$q$730)</f>
      </c>
      <c r="AX730">
        <f>IF(ISBLANK('Data Entry'!$r$730), "", 'Data Entry'!$r$730)</f>
      </c>
      <c r="AY730">
        <f>IF(ISBLANK('Data Entry'!$s$730), "", 'Data Entry'!$s$730)</f>
      </c>
      <c r="AZ730">
        <f>IF(ISBLANK('Data Entry'!$t$730), "", 'Data Entry'!$t$730)</f>
      </c>
      <c r="BA730">
        <f>IF(ISBLANK('Data Entry'!$u$730), "", 'Data Entry'!$u$730)</f>
      </c>
      <c r="BB730">
        <f>IF(ISBLANK('Data Entry'!$v$730), "", 'Data Entry'!$v$730)</f>
      </c>
      <c r="BC730">
        <f>IF(ISBLANK('Data Entry'!$w$730), "", 'Data Entry'!$w$730)</f>
      </c>
      <c r="BD730">
        <f>IF(ISBLANK('Data Entry'!$x$730), "", 'Data Entry'!$x$730)</f>
      </c>
      <c r="BE730">
        <f>IF(ISBLANK('Data Entry'!$y$730), "", 'Data Entry'!$y$730)</f>
      </c>
      <c r="BF730">
        <f>IF(ISBLANK('Data Entry'!$z$730), "", 'Data Entry'!$z$730)</f>
      </c>
      <c r="BG730">
        <f>IF(ISBLANK('Data Entry'!${$730), "", 'Data Entry'!${$730)</f>
      </c>
      <c r="BH730">
        <f>IF(ISBLANK('Data Entry'!$|$730), "", 'Data Entry'!$|$730)</f>
      </c>
      <c r="BI730">
        <f>IF(ISBLANK('Data Entry'!$}$730), "", 'Data Entry'!$}$730)</f>
      </c>
      <c r="BJ730">
        <f>IF(ISBLANK('Data Entry'!$~$730), "", 'Data Entry'!$~$730)</f>
      </c>
      <c r="BK730">
        <f>IF(ISBLANK('Data Entry'!$$730), "", 'Data Entry'!$$730)</f>
      </c>
      <c r="BL730">
        <f>IF(ISBLANK('Data Entry'!$$730), "", 'Data Entry'!$$730)</f>
      </c>
      <c r="BM730">
        <f>IF(ISBLANK('Data Entry'!$$730), "", 'Data Entry'!$$730)</f>
      </c>
      <c r="BN730">
        <f>IF(ISBLANK('Data Entry'!$$730), "", 'Data Entry'!$$730)</f>
      </c>
      <c r="BO730">
        <f>IF(ISBLANK('Data Entry'!$$730), "", 'Data Entry'!$$730)</f>
      </c>
      <c r="BP730">
        <f>IF(ISBLANK('Data Entry'!$$730), "", 'Data Entry'!$$730)</f>
      </c>
      <c r="BQ730">
        <f>IF(ISBLANK('Data Entry'!$$730), "", 'Data Entry'!$$730)</f>
      </c>
      <c r="BR730">
        <f>IF(ISBLANK('Data Entry'!$$730), "", 'Data Entry'!$$730)</f>
      </c>
      <c r="BS730">
        <f>IF(ISBLANK('Data Entry'!$$730), "", 'Data Entry'!$$730)</f>
      </c>
      <c r="BT730">
        <f>IF(ISBLANK('Data Entry'!$$730), "", 'Data Entry'!$$730)</f>
      </c>
      <c r="BU730">
        <f>IF(ISBLANK('Data Entry'!$$730), "", 'Data Entry'!$$730)</f>
      </c>
      <c r="BV730">
        <f>IF(ISBLANK('Data Entry'!$$730), "", 'Data Entry'!$$730)</f>
      </c>
      <c r="BW730">
        <f>IF(ISBLANK('Data Entry'!$$730), "", 'Data Entry'!$$730)</f>
      </c>
      <c r="BX730">
        <f>IF(ISBLANK('Data Entry'!$$730), "", 'Data Entry'!$$730)</f>
      </c>
      <c r="BY730">
        <f>IF(ISBLANK('Data Entry'!$$730), "", 'Data Entry'!$$730)</f>
      </c>
      <c r="BZ730">
        <f>IF(ISBLANK('Data Entry'!$$730), "", 'Data Entry'!$$730)</f>
      </c>
      <c r="CA730">
        <f>IF(ISBLANK('Data Entry'!$$730), "", 'Data Entry'!$$730)</f>
      </c>
      <c r="CB730">
        <f>IF(ISBLANK('Data Entry'!$$730), "", 'Data Entry'!$$730)</f>
      </c>
      <c r="CC730">
        <f>IF(ISBLANK('Data Entry'!$$730), "", 'Data Entry'!$$730)</f>
      </c>
      <c r="CD730">
        <f>IF(ISBLANK('Data Entry'!$$730), "", 'Data Entry'!$$730)</f>
      </c>
      <c r="CE730">
        <f>IF(ISBLANK('Data Entry'!$$730), "", 'Data Entry'!$$730)</f>
      </c>
      <c r="CF730">
        <f>IF(ISBLANK('Data Entry'!$$730), "", 'Data Entry'!$$730)</f>
      </c>
      <c r="CG730">
        <f>IF(ISBLANK('Data Entry'!$$730), "", 'Data Entry'!$$730)</f>
      </c>
      <c r="CH730">
        <f>IF(ISBLANK('Data Entry'!$$730), "", 'Data Entry'!$$730)</f>
      </c>
      <c r="CI730">
        <f>IF(ISBLANK('Data Entry'!$$730), "", 'Data Entry'!$$730)</f>
      </c>
      <c r="CJ730">
        <f>IF(ISBLANK('Data Entry'!$$730), "", 'Data Entry'!$$730)</f>
      </c>
      <c r="CK730">
        <f>IF(ISBLANK('Data Entry'!$$730), "", 'Data Entry'!$$730)</f>
      </c>
      <c r="CL730">
        <f>IF(ISBLANK('Data Entry'!$$730), "", 'Data Entry'!$$730)</f>
      </c>
      <c r="CM730">
        <f>IF(ISBLANK('Data Entry'!$$730), "", 'Data Entry'!$$730)</f>
      </c>
      <c r="CN730">
        <f>IF(ISBLANK('Data Entry'!$$730), "", 'Data Entry'!$$730)</f>
      </c>
      <c r="CO730">
        <f>IF(ISBLANK('Data Entry'!$$730), "", 'Data Entry'!$$730)</f>
      </c>
      <c r="CP730">
        <f>IF(ISBLANK('Data Entry'!$$730), "", 'Data Entry'!$$730)</f>
      </c>
      <c r="CQ730">
        <f>IF(ISBLANK('Data Entry'!$$730), "", 'Data Entry'!$$730)</f>
      </c>
      <c r="CR730">
        <f>IF(ISBLANK('Data Entry'!$ $730), "", 'Data Entry'!$ $730)</f>
      </c>
      <c r="CS730">
        <f>IF(ISBLANK('Data Entry'!$¡$730), "", 'Data Entry'!$¡$730)</f>
      </c>
      <c r="CT730">
        <f>IF(ISBLANK('Data Entry'!$¢$730), "", 'Data Entry'!$¢$730)</f>
      </c>
      <c r="CU730">
        <f>IF(ISBLANK('Data Entry'!$£$730), "", 'Data Entry'!$£$730)</f>
      </c>
      <c r="CV730">
        <f>IF(ISBLANK('Data Entry'!$¤$730), "", 'Data Entry'!$¤$730)</f>
      </c>
      <c r="CW730">
        <f>IF(ISBLANK('Data Entry'!$¥$730), "", 'Data Entry'!$¥$730)</f>
      </c>
      <c r="CX730">
        <f>IF(ISBLANK('Data Entry'!$¦$730), "", 'Data Entry'!$¦$730)</f>
      </c>
      <c r="CY730">
        <f>IF(ISBLANK('Data Entry'!$§$730), "", 'Data Entry'!$§$730)</f>
      </c>
      <c r="CZ730">
        <f>IF(ISBLANK('Data Entry'!$¨$730), "", 'Data Entry'!$¨$730)</f>
      </c>
      <c r="DA730">
        <f>IF(ISBLANK('Data Entry'!$©$730), "", 'Data Entry'!$©$730)</f>
      </c>
      <c r="DB730">
        <f>IF(ISBLANK('Data Entry'!$ª$730), "", 'Data Entry'!$ª$730)</f>
      </c>
      <c r="DC730">
        <f>IF(ISBLANK('Data Entry'!$«$730), "", 'Data Entry'!$«$730)</f>
      </c>
      <c r="DD730">
        <f>IF(ISBLANK('Data Entry'!$¬$730), "", 'Data Entry'!$¬$730)</f>
      </c>
      <c r="DE730">
        <f>IF(ISBLANK('Data Entry'!$­$730), "", 'Data Entry'!$­$730)</f>
      </c>
      <c r="DF730">
        <f>IF(ISBLANK('Data Entry'!$®$730), "", 'Data Entry'!$®$730)</f>
      </c>
      <c r="DG730">
        <f>IF(ISBLANK('Data Entry'!$¯$730), "", 'Data Entry'!$¯$730)</f>
      </c>
      <c r="DH730">
        <f>IF(ISBLANK('Data Entry'!$°$730), "", 'Data Entry'!$°$730)</f>
      </c>
      <c r="DI730">
        <f>IF(ISBLANK('Data Entry'!$±$730), "", 'Data Entry'!$±$730)</f>
      </c>
      <c r="DJ730">
        <f>IF(ISBLANK('Data Entry'!$²$730), "", 'Data Entry'!$²$730)</f>
      </c>
      <c r="DK730">
        <f>IF(ISBLANK('Data Entry'!$³$730), "", 'Data Entry'!$³$730)</f>
      </c>
      <c r="DL730">
        <f>IF(ISBLANK('Data Entry'!$´$730), "", 'Data Entry'!$´$730)</f>
      </c>
      <c r="DM730">
        <f>IF(ISBLANK('Data Entry'!$µ$730), "", 'Data Entry'!$µ$730)</f>
      </c>
      <c r="DN730">
        <f>IF(ISBLANK('Data Entry'!$¶$730), "", 'Data Entry'!$¶$730)</f>
      </c>
      <c r="DO730">
        <f>IF(ISBLANK('Data Entry'!$·$730), "", 'Data Entry'!$·$730)</f>
      </c>
      <c r="DP730">
        <f>IF(ISBLANK('Data Entry'!$¸$730), "", 'Data Entry'!$¸$730)</f>
      </c>
      <c r="DQ730">
        <f>IF(ISBLANK('Data Entry'!$¹$730), "", 'Data Entry'!$¹$730)</f>
      </c>
      <c r="DR730">
        <f>IF(ISBLANK('Data Entry'!$º$730), "", 'Data Entry'!$º$730)</f>
      </c>
      <c r="DS730">
        <f>IF(ISBLANK('Data Entry'!$»$730), "", 'Data Entry'!$»$730)</f>
      </c>
      <c r="DT730">
        <f>IF(ISBLANK('Data Entry'!$¼$730), "", 'Data Entry'!$¼$730)</f>
      </c>
      <c r="DU730">
        <f>IF(ISBLANK('Data Entry'!$½$730), "", 'Data Entry'!$½$730)</f>
      </c>
      <c r="DV730">
        <f>IF(ISBLANK('Data Entry'!$¾$730), "", 'Data Entry'!$¾$730)</f>
      </c>
      <c r="DW730">
        <f>IF(ISBLANK('Data Entry'!$¿$730), "", 'Data Entry'!$¿$730)</f>
      </c>
      <c r="DX730">
        <f>IF(ISBLANK('Data Entry'!$À$730), "", 'Data Entry'!$À$730)</f>
      </c>
      <c r="DY730">
        <f>IF(ISBLANK('Data Entry'!$Á$730), "", 'Data Entry'!$Á$730)</f>
      </c>
      <c r="DZ730">
        <f>IF(ISBLANK('Data Entry'!$Â$730), "", 'Data Entry'!$Â$730)</f>
      </c>
      <c r="EA730">
        <f>IF(ISBLANK('Data Entry'!$Ã$730), "", 'Data Entry'!$Ã$730)</f>
      </c>
      <c r="EB730">
        <f>IF(ISBLANK('Data Entry'!$Ä$730), "", 'Data Entry'!$Ä$730)</f>
      </c>
      <c r="EC730">
        <f>IF(ISBLANK('Data Entry'!$Å$730), "", 'Data Entry'!$Å$730)</f>
      </c>
      <c r="ED730">
        <f>IF(ISBLANK('Data Entry'!$Æ$730), "", 'Data Entry'!$Æ$730)</f>
      </c>
      <c r="EE730">
        <f>IF(ISBLANK('Data Entry'!$Ç$730), "", 'Data Entry'!$Ç$730)</f>
      </c>
      <c r="EF730">
        <f>IF(ISBLANK('Data Entry'!$È$730), "", 'Data Entry'!$È$730)</f>
      </c>
      <c r="EG730">
        <f>IF(ISBLANK('Data Entry'!$É$730), "", 'Data Entry'!$É$730)</f>
      </c>
      <c r="EH730">
        <f>IF(ISBLANK('Data Entry'!$Ê$730), "", 'Data Entry'!$Ê$730)</f>
      </c>
      <c r="EI730">
        <f>IF(ISBLANK('Data Entry'!$Ë$730), "", 'Data Entry'!$Ë$730)</f>
      </c>
      <c r="EJ730">
        <f>IF(ISBLANK('Data Entry'!$Ì$730), "", 'Data Entry'!$Ì$730)</f>
      </c>
      <c r="EK730">
        <f>IF(ISBLANK('Data Entry'!$Í$730), "", 'Data Entry'!$Í$730)</f>
      </c>
      <c r="EL730">
        <f>IF(ISBLANK('Data Entry'!$Î$730), "", 'Data Entry'!$Î$730)</f>
      </c>
      <c r="EM730">
        <f>IF(ISBLANK('Data Entry'!$Ï$730), "", 'Data Entry'!$Ï$730)</f>
      </c>
      <c r="EN730">
        <f>IF(ISBLANK('Data Entry'!$Ð$730), "", 'Data Entry'!$Ð$730)</f>
      </c>
      <c r="EO730">
        <f>IF(ISBLANK('Data Entry'!$Ñ$730), "", 'Data Entry'!$Ñ$730)</f>
      </c>
      <c r="EP730">
        <f>IF(ISBLANK('Data Entry'!$Ò$730), "", 'Data Entry'!$Ò$730)</f>
      </c>
      <c r="EQ730">
        <f>IF(ISBLANK('Data Entry'!$Ó$730), "", 'Data Entry'!$Ó$730)</f>
      </c>
      <c r="ER730">
        <f>IF(ISBLANK('Data Entry'!$Ô$730), "", 'Data Entry'!$Ô$730)</f>
      </c>
      <c r="ES730">
        <f>IF(ISBLANK('Data Entry'!$Õ$730), "", 'Data Entry'!$Õ$730)</f>
      </c>
      <c r="ET730">
        <f>IF(ISBLANK('Data Entry'!$Ö$730), "", 'Data Entry'!$Ö$730)</f>
      </c>
      <c r="EU730">
        <f>IF(ISBLANK('Data Entry'!$×$730), "", 'Data Entry'!$×$730)</f>
      </c>
      <c r="EV730">
        <f>IF(ISBLANK('Data Entry'!$Ø$730), "", 'Data Entry'!$Ø$730)</f>
      </c>
      <c r="EW730">
        <f>IF(ISBLANK('Data Entry'!$Ù$730), "", 'Data Entry'!$Ù$730)</f>
      </c>
      <c r="EX730">
        <f>IF(ISBLANK('Data Entry'!$Ú$730), "", 'Data Entry'!$Ú$730)</f>
      </c>
      <c r="EY730">
        <f>IF(ISBLANK('Data Entry'!$Û$730), "", 'Data Entry'!$Û$730)</f>
      </c>
      <c r="EZ730">
        <f>IF(ISBLANK('Data Entry'!$Ü$730), "", 'Data Entry'!$Ü$730)</f>
      </c>
      <c r="FA730">
        <f>IF(ISBLANK('Data Entry'!$Ý$730), "", 'Data Entry'!$Ý$730)</f>
      </c>
      <c r="FB730">
        <f>IF(ISBLANK('Data Entry'!$Þ$730), "", 'Data Entry'!$Þ$730)</f>
      </c>
      <c r="FC730">
        <f>IF(ISBLANK('Data Entry'!$ß$730), "", 'Data Entry'!$ß$730)</f>
      </c>
      <c r="FD730">
        <f>IF(ISBLANK('Data Entry'!$à$730), "", 'Data Entry'!$à$730)</f>
      </c>
      <c r="FE730">
        <f>IF(ISBLANK('Data Entry'!$á$730), "", 'Data Entry'!$á$730)</f>
      </c>
      <c r="FF730">
        <f>IF(ISBLANK('Data Entry'!$â$730), "", 'Data Entry'!$â$730)</f>
      </c>
      <c r="FG730">
        <f>IF(ISBLANK('Data Entry'!$ã$730), "", 'Data Entry'!$ã$730)</f>
      </c>
      <c r="FH730">
        <f>IF(ISBLANK('Data Entry'!$ä$730), "", 'Data Entry'!$ä$730)</f>
      </c>
      <c r="FI730">
        <f>IF(ISBLANK('Data Entry'!$å$730), "", 'Data Entry'!$å$730)</f>
      </c>
      <c r="FJ730">
        <f>IF(ISBLANK('Data Entry'!$æ$730), "", 'Data Entry'!$æ$730)</f>
      </c>
      <c r="FK730">
        <f>IF(ISBLANK('Data Entry'!$ç$730), "", 'Data Entry'!$ç$730)</f>
      </c>
      <c r="FL730">
        <f>IF(ISBLANK('Data Entry'!$è$730), "", 'Data Entry'!$è$730)</f>
      </c>
      <c r="FM730">
        <f>IF(ISBLANK('Data Entry'!$é$730), "", 'Data Entry'!$é$730)</f>
      </c>
      <c r="FN730">
        <f>IF(ISBLANK('Data Entry'!$ê$730), "", 'Data Entry'!$ê$730)</f>
      </c>
      <c r="FO730">
        <f>IF(ISBLANK('Data Entry'!$ë$730), "", 'Data Entry'!$ë$730)</f>
      </c>
      <c r="FP730">
        <f>IF(ISBLANK('Data Entry'!$ì$730), "", 'Data Entry'!$ì$730)</f>
      </c>
      <c r="FQ730">
        <f>IF(ISBLANK('Data Entry'!$í$730), "", 'Data Entry'!$í$730)</f>
      </c>
      <c r="FR730">
        <f>IF(ISBLANK('Data Entry'!$î$730), "", 'Data Entry'!$î$730)</f>
      </c>
      <c r="FS730">
        <f>IF(ISBLANK('Data Entry'!$ï$730), "", 'Data Entry'!$ï$730)</f>
      </c>
      <c r="FT730">
        <f>IF(ISBLANK('Data Entry'!$ð$730), "", 'Data Entry'!$ð$730)</f>
      </c>
      <c r="FU730">
        <f>IF(ISBLANK('Data Entry'!$ñ$730), "", 'Data Entry'!$ñ$730)</f>
      </c>
      <c r="FV730">
        <f>IF(ISBLANK('Data Entry'!$ò$730), "", 'Data Entry'!$ò$730)</f>
      </c>
      <c r="FW730">
        <f>IF(ISBLANK('Data Entry'!$ó$730), "", 'Data Entry'!$ó$730)</f>
      </c>
      <c r="FX730">
        <f>IF(ISBLANK('Data Entry'!$ô$730), "", 'Data Entry'!$ô$730)</f>
      </c>
      <c r="FY730">
        <f>IF(ISBLANK('Data Entry'!$õ$730), "", 'Data Entry'!$õ$730)</f>
      </c>
      <c r="FZ730">
        <f>IF(ISBLANK('Data Entry'!$ö$730), "", 'Data Entry'!$ö$730)</f>
      </c>
      <c r="GA730">
        <f>IF(ISBLANK('Data Entry'!$÷$730), "", 'Data Entry'!$÷$730)</f>
      </c>
      <c r="GB730">
        <f>IF(ISBLANK('Data Entry'!$ø$730), "", 'Data Entry'!$ø$730)</f>
      </c>
      <c r="GC730">
        <f>IF(ISBLANK('Data Entry'!$ù$730), "", 'Data Entry'!$ù$730)</f>
      </c>
      <c r="GD730">
        <f>IF(ISBLANK('Data Entry'!$ú$730), "", 'Data Entry'!$ú$730)</f>
      </c>
      <c r="GE730">
        <f>IF(ISBLANK('Data Entry'!$û$730), "", 'Data Entry'!$û$730)</f>
      </c>
      <c r="GF730">
        <f>IF(ISBLANK('Data Entry'!$ü$730), "", 'Data Entry'!$ü$730)</f>
      </c>
      <c r="GG730">
        <f>IF(ISBLANK('Data Entry'!$ý$730), "", 'Data Entry'!$ý$730)</f>
      </c>
      <c r="GH730">
        <f>IF(ISBLANK('Data Entry'!$þ$730), "", 'Data Entry'!$þ$730)</f>
      </c>
      <c r="GI730">
        <f>IF(ISBLANK('Data Entry'!$ÿ$730), "", 'Data Entry'!$ÿ$730)</f>
      </c>
      <c r="GJ730">
        <f>IF(ISBLANK('Data Entry'!$Ā$730), "", 'Data Entry'!$Ā$730)</f>
      </c>
      <c r="GK730">
        <f>IF(ISBLANK('Data Entry'!$ā$730), "", 'Data Entry'!$ā$730)</f>
      </c>
      <c r="GL730">
        <f>IF(ISBLANK('Data Entry'!$Ă$730), "", 'Data Entry'!$Ă$730)</f>
      </c>
      <c r="GM730">
        <f>IF(ISBLANK('Data Entry'!$ă$730), "", 'Data Entry'!$ă$730)</f>
      </c>
      <c r="GN730">
        <f>IF(ISBLANK('Data Entry'!$Ą$730), "", 'Data Entry'!$Ą$730)</f>
      </c>
      <c r="GO730">
        <f>IF(ISBLANK('Data Entry'!$ą$730), "", 'Data Entry'!$ą$730)</f>
      </c>
      <c r="GP730">
        <f>IF(ISBLANK('Data Entry'!$Ć$730), "", 'Data Entry'!$Ć$730)</f>
      </c>
      <c r="GQ730">
        <f>IF(ISBLANK('Data Entry'!$ć$730), "", 'Data Entry'!$ć$730)</f>
      </c>
      <c r="GR730">
        <f>IF(ISBLANK('Data Entry'!$Ĉ$730), "", 'Data Entry'!$Ĉ$730)</f>
      </c>
      <c r="GS730">
        <f>IF(ISBLANK('Data Entry'!$ĉ$730), "", 'Data Entry'!$ĉ$730)</f>
      </c>
      <c r="GT730">
        <f>IF(ISBLANK('Data Entry'!$Ċ$730), "", 'Data Entry'!$Ċ$730)</f>
      </c>
      <c r="GU730">
        <f>IF(ISBLANK('Data Entry'!$ċ$730), "", 'Data Entry'!$ċ$730)</f>
      </c>
      <c r="GV730">
        <f>IF(ISBLANK('Data Entry'!$Č$730), "", 'Data Entry'!$Č$730)</f>
      </c>
      <c r="GW730">
        <f>IF(ISBLANK('Data Entry'!$č$730), "", 'Data Entry'!$č$730)</f>
      </c>
      <c r="GX730">
        <f>IF(ISBLANK('Data Entry'!$Ď$730), "", 'Data Entry'!$Ď$730)</f>
      </c>
      <c r="GY730">
        <f>IF(ISBLANK('Data Entry'!$ď$730), "", 'Data Entry'!$ď$730)</f>
      </c>
      <c r="GZ730">
        <f>IF(ISBLANK('Data Entry'!$Đ$730), "", 'Data Entry'!$Đ$730)</f>
      </c>
      <c r="HA730">
        <f>IF(ISBLANK('Data Entry'!$đ$730), "", 'Data Entry'!$đ$730)</f>
      </c>
      <c r="HB730">
        <f>IF(ISBLANK('Data Entry'!$Ē$730), "", 'Data Entry'!$Ē$730)</f>
      </c>
      <c r="HC730">
        <f>IF(ISBLANK('Data Entry'!$ē$730), "", 'Data Entry'!$ē$730)</f>
      </c>
      <c r="HD730">
        <f>IF(ISBLANK('Data Entry'!$Ĕ$730), "", 'Data Entry'!$Ĕ$730)</f>
      </c>
      <c r="HE730">
        <f>IF(ISBLANK('Data Entry'!$ĕ$730), "", 'Data Entry'!$ĕ$730)</f>
      </c>
      <c r="HF730">
        <f>IF(ISBLANK('Data Entry'!$Ė$730), "", 'Data Entry'!$Ė$730)</f>
      </c>
      <c r="HG730">
        <f>IF(ISBLANK('Data Entry'!$ė$730), "", 'Data Entry'!$ė$730)</f>
      </c>
      <c r="HH730">
        <f>IF(ISBLANK('Data Entry'!$Ę$730), "", 'Data Entry'!$Ę$730)</f>
      </c>
      <c r="HI730">
        <f>IF(ISBLANK('Data Entry'!$ę$730), "", 'Data Entry'!$ę$730)</f>
      </c>
      <c r="HJ730">
        <f>IF(ISBLANK('Data Entry'!$Ě$730), "", 'Data Entry'!$Ě$730)</f>
      </c>
      <c r="HK730">
        <f>IF(ISBLANK('Data Entry'!$ě$730), "", 'Data Entry'!$ě$730)</f>
      </c>
      <c r="HL730">
        <f>IF(ISBLANK('Data Entry'!$Ĝ$730), "", 'Data Entry'!$Ĝ$730)</f>
      </c>
      <c r="HM730">
        <f>IF(ISBLANK('Data Entry'!$ĝ$730), "", 'Data Entry'!$ĝ$730)</f>
      </c>
      <c r="HN730">
        <f>IF(ISBLANK('Data Entry'!$Ğ$730), "", 'Data Entry'!$Ğ$730)</f>
      </c>
      <c r="HO730">
        <f>IF(ISBLANK('Data Entry'!$ğ$730), "", 'Data Entry'!$ğ$730)</f>
      </c>
      <c r="HP730">
        <f>IF(ISBLANK('Data Entry'!$Ġ$730), "", 'Data Entry'!$Ġ$730)</f>
      </c>
      <c r="HQ730">
        <f>IF(ISBLANK('Data Entry'!$ġ$730), "", 'Data Entry'!$ġ$730)</f>
      </c>
      <c r="HR730">
        <f>IF(ISBLANK('Data Entry'!$Ģ$730), "", 'Data Entry'!$Ģ$730)</f>
      </c>
      <c r="HS730">
        <f>IF(ISBLANK('Data Entry'!$ģ$730), "", 'Data Entry'!$ģ$730)</f>
      </c>
      <c r="HT730">
        <f>IF(ISBLANK('Data Entry'!$Ĥ$730), "", 'Data Entry'!$Ĥ$730)</f>
      </c>
      <c r="HU730">
        <f>IF(ISBLANK('Data Entry'!$ĥ$730), "", 'Data Entry'!$ĥ$730)</f>
      </c>
      <c r="HV730">
        <f>IF(ISBLANK('Data Entry'!$Ħ$730), "", 'Data Entry'!$Ħ$730)</f>
      </c>
      <c r="HW730">
        <f>IF(ISBLANK('Data Entry'!$ħ$730), "", 'Data Entry'!$ħ$730)</f>
      </c>
      <c r="HX730">
        <f>IF(ISBLANK('Data Entry'!$Ĩ$730), "", 'Data Entry'!$Ĩ$730)</f>
      </c>
      <c r="HY730">
        <f>IF(ISBLANK('Data Entry'!$ĩ$730), "", 'Data Entry'!$ĩ$730)</f>
      </c>
      <c r="HZ730">
        <f>IF(ISBLANK('Data Entry'!$Ī$730), "", 'Data Entry'!$Ī$730)</f>
      </c>
      <c r="IA730">
        <f>IF(ISBLANK('Data Entry'!$ī$730), "", 'Data Entry'!$ī$730)</f>
      </c>
      <c r="IB730">
        <f>IF(ISBLANK('Data Entry'!$Ĭ$730), "", 'Data Entry'!$Ĭ$730)</f>
      </c>
      <c r="IC730">
        <f>IF(ISBLANK('Data Entry'!$ĭ$730), "", 'Data Entry'!$ĭ$730)</f>
      </c>
      <c r="ID730">
        <f>IF(ISBLANK('Data Entry'!$Į$730), "", 'Data Entry'!$Į$730)</f>
      </c>
      <c r="IE730">
        <f>IF(ISBLANK('Data Entry'!$į$730), "", 'Data Entry'!$į$730)</f>
      </c>
      <c r="IF730">
        <f>IF(ISBLANK('Data Entry'!$İ$730), "", 'Data Entry'!$İ$730)</f>
      </c>
      <c r="IG730">
        <f>IF(ISBLANK('Data Entry'!$ı$730), "", 'Data Entry'!$ı$730)</f>
      </c>
      <c r="IH730">
        <f>IF(ISBLANK('Data Entry'!$Ĳ$730), "", 'Data Entry'!$Ĳ$730)</f>
      </c>
      <c r="II730">
        <f>IF(ISBLANK('Data Entry'!$ĳ$730), "", 'Data Entry'!$ĳ$730)</f>
      </c>
      <c r="IJ730">
        <f>IF(ISBLANK('Data Entry'!$Ĵ$730), "", 'Data Entry'!$Ĵ$730)</f>
      </c>
      <c r="IK730">
        <f>IF(ISBLANK('Data Entry'!$ĵ$730), "", 'Data Entry'!$ĵ$730)</f>
      </c>
      <c r="IL730">
        <f>IF(ISBLANK('Data Entry'!$Ķ$730), "", 'Data Entry'!$Ķ$730)</f>
      </c>
      <c r="IM730">
        <f>IF(ISBLANK('Data Entry'!$ķ$730), "", 'Data Entry'!$ķ$730)</f>
      </c>
      <c r="IN730">
        <f>IF(ISBLANK('Data Entry'!$ĸ$730), "", 'Data Entry'!$ĸ$730)</f>
      </c>
      <c r="IO730">
        <f>IF(ISBLANK('Data Entry'!$Ĺ$730), "", 'Data Entry'!$Ĺ$730)</f>
      </c>
      <c r="IP730">
        <f>IF(ISBLANK('Data Entry'!$ĺ$730), "", 'Data Entry'!$ĺ$730)</f>
      </c>
      <c r="IQ730">
        <f>IF(ISBLANK('Data Entry'!$Ļ$730), "", 'Data Entry'!$Ļ$730)</f>
      </c>
      <c r="IR730">
        <f>IF(ISBLANK('Data Entry'!$ļ$730), "", 'Data Entry'!$ļ$730)</f>
      </c>
      <c r="IS730">
        <f>IF(ISBLANK('Data Entry'!$Ľ$730), "", 'Data Entry'!$Ľ$730)</f>
      </c>
      <c r="IT730">
        <f>IF(ISBLANK('Data Entry'!$ľ$730), "", 'Data Entry'!$ľ$730)</f>
      </c>
    </row>
    <row r="731" spans="1:254" x14ac:dyDescent="0.25">
      <c r="A731">
        <f>IF(ISBLANK('Data Entry'!$A$731), "", 'Data Entry'!$A$731)</f>
      </c>
      <c r="B731">
        <f>IF(ISBLANK('Data Entry'!$B$731), "", 'Data Entry'!$B$731)</f>
      </c>
      <c r="C731">
        <f>IF(ISBLANK('Data Entry'!$C$731), "", 'Data Entry'!$C$731)</f>
      </c>
      <c r="D731">
        <f>IF(ISBLANK('Data Entry'!$D$731), "", 'Data Entry'!$D$731)</f>
      </c>
      <c r="E731">
        <f>IF(ISBLANK('Data Entry'!$E$731), "", 'Data Entry'!$E$731)</f>
      </c>
      <c r="F731">
        <f>IF(ISBLANK('Data Entry'!$F$731), "", 'Data Entry'!$F$731)</f>
      </c>
      <c r="G731">
        <f>IF(ISBLANK('Data Entry'!$G$731), "", 'Data Entry'!$G$731)</f>
      </c>
      <c r="H731">
        <f>IF(ISBLANK('Data Entry'!$H$731), "", 'Data Entry'!$H$731)</f>
      </c>
      <c r="I731">
        <f>IF(ISBLANK('Data Entry'!$I$731), "", 'Data Entry'!$I$731)</f>
      </c>
      <c r="J731">
        <f>IF(ISBLANK('Data Entry'!$J$731), "", 'Data Entry'!$J$731)</f>
      </c>
      <c r="K731">
        <f>IF(ISBLANK('Data Entry'!$K$731), "", 'Data Entry'!$K$731)</f>
      </c>
      <c r="L731">
        <f>IF(ISBLANK('Data Entry'!$L$731), "", 'Data Entry'!$L$731)</f>
      </c>
      <c r="M731">
        <f>IF(ISBLANK('Data Entry'!$M$731), "", 'Data Entry'!$M$731)</f>
      </c>
      <c r="N731">
        <f>IF(ISBLANK('Data Entry'!$N$731), "", 'Data Entry'!$N$731)</f>
      </c>
      <c r="O731">
        <f>IF(ISBLANK('Data Entry'!$O$731), "", 'Data Entry'!$O$731)</f>
      </c>
      <c r="P731">
        <f>IF(ISBLANK('Data Entry'!$P$731), "", 'Data Entry'!$P$731)</f>
      </c>
      <c r="Q731">
        <f>IF(ISBLANK('Data Entry'!$Q$731), "", 'Data Entry'!$Q$731)</f>
      </c>
      <c r="R731">
        <f>IF(ISBLANK('Data Entry'!$R$731), "", 'Data Entry'!$R$731)</f>
      </c>
      <c r="S731">
        <f>IF(ISBLANK('Data Entry'!$S$731), "", 'Data Entry'!$S$731)</f>
      </c>
      <c r="T731">
        <f>IF(ISBLANK('Data Entry'!$T$731), "", 'Data Entry'!$T$731)</f>
      </c>
      <c r="U731">
        <f>IF(ISBLANK('Data Entry'!$U$731), "", 'Data Entry'!$U$731)</f>
      </c>
      <c r="V731">
        <f>IF(ISBLANK('Data Entry'!$V$731), "", 'Data Entry'!$V$731)</f>
      </c>
      <c r="W731">
        <f>IF(ISBLANK('Data Entry'!$W$731), "", 'Data Entry'!$W$731)</f>
      </c>
      <c r="X731">
        <f>IF(ISBLANK('Data Entry'!$X$731), "", 'Data Entry'!$X$731)</f>
      </c>
      <c r="Y731">
        <f>IF(ISBLANK('Data Entry'!$Y$731), "", 'Data Entry'!$Y$731)</f>
      </c>
      <c r="Z731">
        <f>IF(ISBLANK('Data Entry'!$Z$731), "", 'Data Entry'!$Z$731)</f>
      </c>
      <c r="AA731">
        <f>IF(ISBLANK('Data Entry'!$[$731), "", 'Data Entry'!$[$731)</f>
      </c>
      <c r="AB731">
        <f>IF(ISBLANK('Data Entry'!$\$731), "", 'Data Entry'!$\$731)</f>
      </c>
      <c r="AC731">
        <f>IF(ISBLANK('Data Entry'!$]$731), "", 'Data Entry'!$]$731)</f>
      </c>
      <c r="AD731">
        <f>IF(ISBLANK('Data Entry'!$^$731), "", 'Data Entry'!$^$731)</f>
      </c>
      <c r="AE731">
        <f>IF(ISBLANK('Data Entry'!$_$731), "", 'Data Entry'!$_$731)</f>
      </c>
      <c r="AF731">
        <f>IF(ISBLANK('Data Entry'!$`$731), "", 'Data Entry'!$`$731)</f>
      </c>
      <c r="AG731">
        <f>IF(ISBLANK('Data Entry'!$a$731), "", 'Data Entry'!$a$731)</f>
      </c>
      <c r="AH731">
        <f>IF(ISBLANK('Data Entry'!$b$731), "", 'Data Entry'!$b$731)</f>
      </c>
      <c r="AI731">
        <f>IF(ISBLANK('Data Entry'!$c$731), "", 'Data Entry'!$c$731)</f>
      </c>
      <c r="AJ731">
        <f>IF(ISBLANK('Data Entry'!$d$731), "", 'Data Entry'!$d$731)</f>
      </c>
      <c r="AK731">
        <f>IF(ISBLANK('Data Entry'!$e$731), "", 'Data Entry'!$e$731)</f>
      </c>
      <c r="AL731">
        <f>IF(ISBLANK('Data Entry'!$f$731), "", 'Data Entry'!$f$731)</f>
      </c>
      <c r="AM731">
        <f>IF(ISBLANK('Data Entry'!$g$731), "", 'Data Entry'!$g$731)</f>
      </c>
      <c r="AN731">
        <f>IF(ISBLANK('Data Entry'!$h$731), "", 'Data Entry'!$h$731)</f>
      </c>
      <c r="AO731">
        <f>IF(ISBLANK('Data Entry'!$i$731), "", 'Data Entry'!$i$731)</f>
      </c>
      <c r="AP731">
        <f>IF(ISBLANK('Data Entry'!$j$731), "", 'Data Entry'!$j$731)</f>
      </c>
      <c r="AQ731">
        <f>IF(ISBLANK('Data Entry'!$k$731), "", 'Data Entry'!$k$731)</f>
      </c>
      <c r="AR731">
        <f>IF(ISBLANK('Data Entry'!$l$731), "", 'Data Entry'!$l$731)</f>
      </c>
      <c r="AS731">
        <f>IF(ISBLANK('Data Entry'!$m$731), "", 'Data Entry'!$m$731)</f>
      </c>
      <c r="AT731">
        <f>IF(ISBLANK('Data Entry'!$n$731), "", 'Data Entry'!$n$731)</f>
      </c>
      <c r="AU731">
        <f>IF(ISBLANK('Data Entry'!$o$731), "", 'Data Entry'!$o$731)</f>
      </c>
      <c r="AV731">
        <f>IF(ISBLANK('Data Entry'!$p$731), "", 'Data Entry'!$p$731)</f>
      </c>
      <c r="AW731">
        <f>IF(ISBLANK('Data Entry'!$q$731), "", 'Data Entry'!$q$731)</f>
      </c>
      <c r="AX731">
        <f>IF(ISBLANK('Data Entry'!$r$731), "", 'Data Entry'!$r$731)</f>
      </c>
      <c r="AY731">
        <f>IF(ISBLANK('Data Entry'!$s$731), "", 'Data Entry'!$s$731)</f>
      </c>
      <c r="AZ731">
        <f>IF(ISBLANK('Data Entry'!$t$731), "", 'Data Entry'!$t$731)</f>
      </c>
      <c r="BA731">
        <f>IF(ISBLANK('Data Entry'!$u$731), "", 'Data Entry'!$u$731)</f>
      </c>
      <c r="BB731">
        <f>IF(ISBLANK('Data Entry'!$v$731), "", 'Data Entry'!$v$731)</f>
      </c>
      <c r="BC731">
        <f>IF(ISBLANK('Data Entry'!$w$731), "", 'Data Entry'!$w$731)</f>
      </c>
      <c r="BD731">
        <f>IF(ISBLANK('Data Entry'!$x$731), "", 'Data Entry'!$x$731)</f>
      </c>
      <c r="BE731">
        <f>IF(ISBLANK('Data Entry'!$y$731), "", 'Data Entry'!$y$731)</f>
      </c>
      <c r="BF731">
        <f>IF(ISBLANK('Data Entry'!$z$731), "", 'Data Entry'!$z$731)</f>
      </c>
      <c r="BG731">
        <f>IF(ISBLANK('Data Entry'!${$731), "", 'Data Entry'!${$731)</f>
      </c>
      <c r="BH731">
        <f>IF(ISBLANK('Data Entry'!$|$731), "", 'Data Entry'!$|$731)</f>
      </c>
      <c r="BI731">
        <f>IF(ISBLANK('Data Entry'!$}$731), "", 'Data Entry'!$}$731)</f>
      </c>
      <c r="BJ731">
        <f>IF(ISBLANK('Data Entry'!$~$731), "", 'Data Entry'!$~$731)</f>
      </c>
      <c r="BK731">
        <f>IF(ISBLANK('Data Entry'!$$731), "", 'Data Entry'!$$731)</f>
      </c>
      <c r="BL731">
        <f>IF(ISBLANK('Data Entry'!$$731), "", 'Data Entry'!$$731)</f>
      </c>
      <c r="BM731">
        <f>IF(ISBLANK('Data Entry'!$$731), "", 'Data Entry'!$$731)</f>
      </c>
      <c r="BN731">
        <f>IF(ISBLANK('Data Entry'!$$731), "", 'Data Entry'!$$731)</f>
      </c>
      <c r="BO731">
        <f>IF(ISBLANK('Data Entry'!$$731), "", 'Data Entry'!$$731)</f>
      </c>
      <c r="BP731">
        <f>IF(ISBLANK('Data Entry'!$$731), "", 'Data Entry'!$$731)</f>
      </c>
      <c r="BQ731">
        <f>IF(ISBLANK('Data Entry'!$$731), "", 'Data Entry'!$$731)</f>
      </c>
      <c r="BR731">
        <f>IF(ISBLANK('Data Entry'!$$731), "", 'Data Entry'!$$731)</f>
      </c>
      <c r="BS731">
        <f>IF(ISBLANK('Data Entry'!$$731), "", 'Data Entry'!$$731)</f>
      </c>
      <c r="BT731">
        <f>IF(ISBLANK('Data Entry'!$$731), "", 'Data Entry'!$$731)</f>
      </c>
      <c r="BU731">
        <f>IF(ISBLANK('Data Entry'!$$731), "", 'Data Entry'!$$731)</f>
      </c>
      <c r="BV731">
        <f>IF(ISBLANK('Data Entry'!$$731), "", 'Data Entry'!$$731)</f>
      </c>
      <c r="BW731">
        <f>IF(ISBLANK('Data Entry'!$$731), "", 'Data Entry'!$$731)</f>
      </c>
      <c r="BX731">
        <f>IF(ISBLANK('Data Entry'!$$731), "", 'Data Entry'!$$731)</f>
      </c>
      <c r="BY731">
        <f>IF(ISBLANK('Data Entry'!$$731), "", 'Data Entry'!$$731)</f>
      </c>
      <c r="BZ731">
        <f>IF(ISBLANK('Data Entry'!$$731), "", 'Data Entry'!$$731)</f>
      </c>
      <c r="CA731">
        <f>IF(ISBLANK('Data Entry'!$$731), "", 'Data Entry'!$$731)</f>
      </c>
      <c r="CB731">
        <f>IF(ISBLANK('Data Entry'!$$731), "", 'Data Entry'!$$731)</f>
      </c>
      <c r="CC731">
        <f>IF(ISBLANK('Data Entry'!$$731), "", 'Data Entry'!$$731)</f>
      </c>
      <c r="CD731">
        <f>IF(ISBLANK('Data Entry'!$$731), "", 'Data Entry'!$$731)</f>
      </c>
      <c r="CE731">
        <f>IF(ISBLANK('Data Entry'!$$731), "", 'Data Entry'!$$731)</f>
      </c>
      <c r="CF731">
        <f>IF(ISBLANK('Data Entry'!$$731), "", 'Data Entry'!$$731)</f>
      </c>
      <c r="CG731">
        <f>IF(ISBLANK('Data Entry'!$$731), "", 'Data Entry'!$$731)</f>
      </c>
      <c r="CH731">
        <f>IF(ISBLANK('Data Entry'!$$731), "", 'Data Entry'!$$731)</f>
      </c>
      <c r="CI731">
        <f>IF(ISBLANK('Data Entry'!$$731), "", 'Data Entry'!$$731)</f>
      </c>
      <c r="CJ731">
        <f>IF(ISBLANK('Data Entry'!$$731), "", 'Data Entry'!$$731)</f>
      </c>
      <c r="CK731">
        <f>IF(ISBLANK('Data Entry'!$$731), "", 'Data Entry'!$$731)</f>
      </c>
      <c r="CL731">
        <f>IF(ISBLANK('Data Entry'!$$731), "", 'Data Entry'!$$731)</f>
      </c>
      <c r="CM731">
        <f>IF(ISBLANK('Data Entry'!$$731), "", 'Data Entry'!$$731)</f>
      </c>
      <c r="CN731">
        <f>IF(ISBLANK('Data Entry'!$$731), "", 'Data Entry'!$$731)</f>
      </c>
      <c r="CO731">
        <f>IF(ISBLANK('Data Entry'!$$731), "", 'Data Entry'!$$731)</f>
      </c>
      <c r="CP731">
        <f>IF(ISBLANK('Data Entry'!$$731), "", 'Data Entry'!$$731)</f>
      </c>
      <c r="CQ731">
        <f>IF(ISBLANK('Data Entry'!$$731), "", 'Data Entry'!$$731)</f>
      </c>
      <c r="CR731">
        <f>IF(ISBLANK('Data Entry'!$ $731), "", 'Data Entry'!$ $731)</f>
      </c>
      <c r="CS731">
        <f>IF(ISBLANK('Data Entry'!$¡$731), "", 'Data Entry'!$¡$731)</f>
      </c>
      <c r="CT731">
        <f>IF(ISBLANK('Data Entry'!$¢$731), "", 'Data Entry'!$¢$731)</f>
      </c>
      <c r="CU731">
        <f>IF(ISBLANK('Data Entry'!$£$731), "", 'Data Entry'!$£$731)</f>
      </c>
      <c r="CV731">
        <f>IF(ISBLANK('Data Entry'!$¤$731), "", 'Data Entry'!$¤$731)</f>
      </c>
      <c r="CW731">
        <f>IF(ISBLANK('Data Entry'!$¥$731), "", 'Data Entry'!$¥$731)</f>
      </c>
      <c r="CX731">
        <f>IF(ISBLANK('Data Entry'!$¦$731), "", 'Data Entry'!$¦$731)</f>
      </c>
      <c r="CY731">
        <f>IF(ISBLANK('Data Entry'!$§$731), "", 'Data Entry'!$§$731)</f>
      </c>
      <c r="CZ731">
        <f>IF(ISBLANK('Data Entry'!$¨$731), "", 'Data Entry'!$¨$731)</f>
      </c>
      <c r="DA731">
        <f>IF(ISBLANK('Data Entry'!$©$731), "", 'Data Entry'!$©$731)</f>
      </c>
      <c r="DB731">
        <f>IF(ISBLANK('Data Entry'!$ª$731), "", 'Data Entry'!$ª$731)</f>
      </c>
      <c r="DC731">
        <f>IF(ISBLANK('Data Entry'!$«$731), "", 'Data Entry'!$«$731)</f>
      </c>
      <c r="DD731">
        <f>IF(ISBLANK('Data Entry'!$¬$731), "", 'Data Entry'!$¬$731)</f>
      </c>
      <c r="DE731">
        <f>IF(ISBLANK('Data Entry'!$­$731), "", 'Data Entry'!$­$731)</f>
      </c>
      <c r="DF731">
        <f>IF(ISBLANK('Data Entry'!$®$731), "", 'Data Entry'!$®$731)</f>
      </c>
      <c r="DG731">
        <f>IF(ISBLANK('Data Entry'!$¯$731), "", 'Data Entry'!$¯$731)</f>
      </c>
      <c r="DH731">
        <f>IF(ISBLANK('Data Entry'!$°$731), "", 'Data Entry'!$°$731)</f>
      </c>
      <c r="DI731">
        <f>IF(ISBLANK('Data Entry'!$±$731), "", 'Data Entry'!$±$731)</f>
      </c>
      <c r="DJ731">
        <f>IF(ISBLANK('Data Entry'!$²$731), "", 'Data Entry'!$²$731)</f>
      </c>
      <c r="DK731">
        <f>IF(ISBLANK('Data Entry'!$³$731), "", 'Data Entry'!$³$731)</f>
      </c>
      <c r="DL731">
        <f>IF(ISBLANK('Data Entry'!$´$731), "", 'Data Entry'!$´$731)</f>
      </c>
      <c r="DM731">
        <f>IF(ISBLANK('Data Entry'!$µ$731), "", 'Data Entry'!$µ$731)</f>
      </c>
      <c r="DN731">
        <f>IF(ISBLANK('Data Entry'!$¶$731), "", 'Data Entry'!$¶$731)</f>
      </c>
      <c r="DO731">
        <f>IF(ISBLANK('Data Entry'!$·$731), "", 'Data Entry'!$·$731)</f>
      </c>
      <c r="DP731">
        <f>IF(ISBLANK('Data Entry'!$¸$731), "", 'Data Entry'!$¸$731)</f>
      </c>
      <c r="DQ731">
        <f>IF(ISBLANK('Data Entry'!$¹$731), "", 'Data Entry'!$¹$731)</f>
      </c>
      <c r="DR731">
        <f>IF(ISBLANK('Data Entry'!$º$731), "", 'Data Entry'!$º$731)</f>
      </c>
      <c r="DS731">
        <f>IF(ISBLANK('Data Entry'!$»$731), "", 'Data Entry'!$»$731)</f>
      </c>
      <c r="DT731">
        <f>IF(ISBLANK('Data Entry'!$¼$731), "", 'Data Entry'!$¼$731)</f>
      </c>
      <c r="DU731">
        <f>IF(ISBLANK('Data Entry'!$½$731), "", 'Data Entry'!$½$731)</f>
      </c>
      <c r="DV731">
        <f>IF(ISBLANK('Data Entry'!$¾$731), "", 'Data Entry'!$¾$731)</f>
      </c>
      <c r="DW731">
        <f>IF(ISBLANK('Data Entry'!$¿$731), "", 'Data Entry'!$¿$731)</f>
      </c>
      <c r="DX731">
        <f>IF(ISBLANK('Data Entry'!$À$731), "", 'Data Entry'!$À$731)</f>
      </c>
      <c r="DY731">
        <f>IF(ISBLANK('Data Entry'!$Á$731), "", 'Data Entry'!$Á$731)</f>
      </c>
      <c r="DZ731">
        <f>IF(ISBLANK('Data Entry'!$Â$731), "", 'Data Entry'!$Â$731)</f>
      </c>
      <c r="EA731">
        <f>IF(ISBLANK('Data Entry'!$Ã$731), "", 'Data Entry'!$Ã$731)</f>
      </c>
      <c r="EB731">
        <f>IF(ISBLANK('Data Entry'!$Ä$731), "", 'Data Entry'!$Ä$731)</f>
      </c>
      <c r="EC731">
        <f>IF(ISBLANK('Data Entry'!$Å$731), "", 'Data Entry'!$Å$731)</f>
      </c>
      <c r="ED731">
        <f>IF(ISBLANK('Data Entry'!$Æ$731), "", 'Data Entry'!$Æ$731)</f>
      </c>
      <c r="EE731">
        <f>IF(ISBLANK('Data Entry'!$Ç$731), "", 'Data Entry'!$Ç$731)</f>
      </c>
      <c r="EF731">
        <f>IF(ISBLANK('Data Entry'!$È$731), "", 'Data Entry'!$È$731)</f>
      </c>
      <c r="EG731">
        <f>IF(ISBLANK('Data Entry'!$É$731), "", 'Data Entry'!$É$731)</f>
      </c>
      <c r="EH731">
        <f>IF(ISBLANK('Data Entry'!$Ê$731), "", 'Data Entry'!$Ê$731)</f>
      </c>
      <c r="EI731">
        <f>IF(ISBLANK('Data Entry'!$Ë$731), "", 'Data Entry'!$Ë$731)</f>
      </c>
      <c r="EJ731">
        <f>IF(ISBLANK('Data Entry'!$Ì$731), "", 'Data Entry'!$Ì$731)</f>
      </c>
      <c r="EK731">
        <f>IF(ISBLANK('Data Entry'!$Í$731), "", 'Data Entry'!$Í$731)</f>
      </c>
      <c r="EL731">
        <f>IF(ISBLANK('Data Entry'!$Î$731), "", 'Data Entry'!$Î$731)</f>
      </c>
      <c r="EM731">
        <f>IF(ISBLANK('Data Entry'!$Ï$731), "", 'Data Entry'!$Ï$731)</f>
      </c>
      <c r="EN731">
        <f>IF(ISBLANK('Data Entry'!$Ð$731), "", 'Data Entry'!$Ð$731)</f>
      </c>
      <c r="EO731">
        <f>IF(ISBLANK('Data Entry'!$Ñ$731), "", 'Data Entry'!$Ñ$731)</f>
      </c>
      <c r="EP731">
        <f>IF(ISBLANK('Data Entry'!$Ò$731), "", 'Data Entry'!$Ò$731)</f>
      </c>
      <c r="EQ731">
        <f>IF(ISBLANK('Data Entry'!$Ó$731), "", 'Data Entry'!$Ó$731)</f>
      </c>
      <c r="ER731">
        <f>IF(ISBLANK('Data Entry'!$Ô$731), "", 'Data Entry'!$Ô$731)</f>
      </c>
      <c r="ES731">
        <f>IF(ISBLANK('Data Entry'!$Õ$731), "", 'Data Entry'!$Õ$731)</f>
      </c>
      <c r="ET731">
        <f>IF(ISBLANK('Data Entry'!$Ö$731), "", 'Data Entry'!$Ö$731)</f>
      </c>
      <c r="EU731">
        <f>IF(ISBLANK('Data Entry'!$×$731), "", 'Data Entry'!$×$731)</f>
      </c>
      <c r="EV731">
        <f>IF(ISBLANK('Data Entry'!$Ø$731), "", 'Data Entry'!$Ø$731)</f>
      </c>
      <c r="EW731">
        <f>IF(ISBLANK('Data Entry'!$Ù$731), "", 'Data Entry'!$Ù$731)</f>
      </c>
      <c r="EX731">
        <f>IF(ISBLANK('Data Entry'!$Ú$731), "", 'Data Entry'!$Ú$731)</f>
      </c>
      <c r="EY731">
        <f>IF(ISBLANK('Data Entry'!$Û$731), "", 'Data Entry'!$Û$731)</f>
      </c>
      <c r="EZ731">
        <f>IF(ISBLANK('Data Entry'!$Ü$731), "", 'Data Entry'!$Ü$731)</f>
      </c>
      <c r="FA731">
        <f>IF(ISBLANK('Data Entry'!$Ý$731), "", 'Data Entry'!$Ý$731)</f>
      </c>
      <c r="FB731">
        <f>IF(ISBLANK('Data Entry'!$Þ$731), "", 'Data Entry'!$Þ$731)</f>
      </c>
      <c r="FC731">
        <f>IF(ISBLANK('Data Entry'!$ß$731), "", 'Data Entry'!$ß$731)</f>
      </c>
      <c r="FD731">
        <f>IF(ISBLANK('Data Entry'!$à$731), "", 'Data Entry'!$à$731)</f>
      </c>
      <c r="FE731">
        <f>IF(ISBLANK('Data Entry'!$á$731), "", 'Data Entry'!$á$731)</f>
      </c>
      <c r="FF731">
        <f>IF(ISBLANK('Data Entry'!$â$731), "", 'Data Entry'!$â$731)</f>
      </c>
      <c r="FG731">
        <f>IF(ISBLANK('Data Entry'!$ã$731), "", 'Data Entry'!$ã$731)</f>
      </c>
      <c r="FH731">
        <f>IF(ISBLANK('Data Entry'!$ä$731), "", 'Data Entry'!$ä$731)</f>
      </c>
      <c r="FI731">
        <f>IF(ISBLANK('Data Entry'!$å$731), "", 'Data Entry'!$å$731)</f>
      </c>
      <c r="FJ731">
        <f>IF(ISBLANK('Data Entry'!$æ$731), "", 'Data Entry'!$æ$731)</f>
      </c>
      <c r="FK731">
        <f>IF(ISBLANK('Data Entry'!$ç$731), "", 'Data Entry'!$ç$731)</f>
      </c>
      <c r="FL731">
        <f>IF(ISBLANK('Data Entry'!$è$731), "", 'Data Entry'!$è$731)</f>
      </c>
      <c r="FM731">
        <f>IF(ISBLANK('Data Entry'!$é$731), "", 'Data Entry'!$é$731)</f>
      </c>
      <c r="FN731">
        <f>IF(ISBLANK('Data Entry'!$ê$731), "", 'Data Entry'!$ê$731)</f>
      </c>
      <c r="FO731">
        <f>IF(ISBLANK('Data Entry'!$ë$731), "", 'Data Entry'!$ë$731)</f>
      </c>
      <c r="FP731">
        <f>IF(ISBLANK('Data Entry'!$ì$731), "", 'Data Entry'!$ì$731)</f>
      </c>
      <c r="FQ731">
        <f>IF(ISBLANK('Data Entry'!$í$731), "", 'Data Entry'!$í$731)</f>
      </c>
      <c r="FR731">
        <f>IF(ISBLANK('Data Entry'!$î$731), "", 'Data Entry'!$î$731)</f>
      </c>
      <c r="FS731">
        <f>IF(ISBLANK('Data Entry'!$ï$731), "", 'Data Entry'!$ï$731)</f>
      </c>
      <c r="FT731">
        <f>IF(ISBLANK('Data Entry'!$ð$731), "", 'Data Entry'!$ð$731)</f>
      </c>
      <c r="FU731">
        <f>IF(ISBLANK('Data Entry'!$ñ$731), "", 'Data Entry'!$ñ$731)</f>
      </c>
      <c r="FV731">
        <f>IF(ISBLANK('Data Entry'!$ò$731), "", 'Data Entry'!$ò$731)</f>
      </c>
      <c r="FW731">
        <f>IF(ISBLANK('Data Entry'!$ó$731), "", 'Data Entry'!$ó$731)</f>
      </c>
      <c r="FX731">
        <f>IF(ISBLANK('Data Entry'!$ô$731), "", 'Data Entry'!$ô$731)</f>
      </c>
      <c r="FY731">
        <f>IF(ISBLANK('Data Entry'!$õ$731), "", 'Data Entry'!$õ$731)</f>
      </c>
      <c r="FZ731">
        <f>IF(ISBLANK('Data Entry'!$ö$731), "", 'Data Entry'!$ö$731)</f>
      </c>
      <c r="GA731">
        <f>IF(ISBLANK('Data Entry'!$÷$731), "", 'Data Entry'!$÷$731)</f>
      </c>
      <c r="GB731">
        <f>IF(ISBLANK('Data Entry'!$ø$731), "", 'Data Entry'!$ø$731)</f>
      </c>
      <c r="GC731">
        <f>IF(ISBLANK('Data Entry'!$ù$731), "", 'Data Entry'!$ù$731)</f>
      </c>
      <c r="GD731">
        <f>IF(ISBLANK('Data Entry'!$ú$731), "", 'Data Entry'!$ú$731)</f>
      </c>
      <c r="GE731">
        <f>IF(ISBLANK('Data Entry'!$û$731), "", 'Data Entry'!$û$731)</f>
      </c>
      <c r="GF731">
        <f>IF(ISBLANK('Data Entry'!$ü$731), "", 'Data Entry'!$ü$731)</f>
      </c>
      <c r="GG731">
        <f>IF(ISBLANK('Data Entry'!$ý$731), "", 'Data Entry'!$ý$731)</f>
      </c>
      <c r="GH731">
        <f>IF(ISBLANK('Data Entry'!$þ$731), "", 'Data Entry'!$þ$731)</f>
      </c>
      <c r="GI731">
        <f>IF(ISBLANK('Data Entry'!$ÿ$731), "", 'Data Entry'!$ÿ$731)</f>
      </c>
      <c r="GJ731">
        <f>IF(ISBLANK('Data Entry'!$Ā$731), "", 'Data Entry'!$Ā$731)</f>
      </c>
      <c r="GK731">
        <f>IF(ISBLANK('Data Entry'!$ā$731), "", 'Data Entry'!$ā$731)</f>
      </c>
      <c r="GL731">
        <f>IF(ISBLANK('Data Entry'!$Ă$731), "", 'Data Entry'!$Ă$731)</f>
      </c>
      <c r="GM731">
        <f>IF(ISBLANK('Data Entry'!$ă$731), "", 'Data Entry'!$ă$731)</f>
      </c>
      <c r="GN731">
        <f>IF(ISBLANK('Data Entry'!$Ą$731), "", 'Data Entry'!$Ą$731)</f>
      </c>
      <c r="GO731">
        <f>IF(ISBLANK('Data Entry'!$ą$731), "", 'Data Entry'!$ą$731)</f>
      </c>
      <c r="GP731">
        <f>IF(ISBLANK('Data Entry'!$Ć$731), "", 'Data Entry'!$Ć$731)</f>
      </c>
      <c r="GQ731">
        <f>IF(ISBLANK('Data Entry'!$ć$731), "", 'Data Entry'!$ć$731)</f>
      </c>
      <c r="GR731">
        <f>IF(ISBLANK('Data Entry'!$Ĉ$731), "", 'Data Entry'!$Ĉ$731)</f>
      </c>
      <c r="GS731">
        <f>IF(ISBLANK('Data Entry'!$ĉ$731), "", 'Data Entry'!$ĉ$731)</f>
      </c>
      <c r="GT731">
        <f>IF(ISBLANK('Data Entry'!$Ċ$731), "", 'Data Entry'!$Ċ$731)</f>
      </c>
      <c r="GU731">
        <f>IF(ISBLANK('Data Entry'!$ċ$731), "", 'Data Entry'!$ċ$731)</f>
      </c>
      <c r="GV731">
        <f>IF(ISBLANK('Data Entry'!$Č$731), "", 'Data Entry'!$Č$731)</f>
      </c>
      <c r="GW731">
        <f>IF(ISBLANK('Data Entry'!$č$731), "", 'Data Entry'!$č$731)</f>
      </c>
      <c r="GX731">
        <f>IF(ISBLANK('Data Entry'!$Ď$731), "", 'Data Entry'!$Ď$731)</f>
      </c>
      <c r="GY731">
        <f>IF(ISBLANK('Data Entry'!$ď$731), "", 'Data Entry'!$ď$731)</f>
      </c>
      <c r="GZ731">
        <f>IF(ISBLANK('Data Entry'!$Đ$731), "", 'Data Entry'!$Đ$731)</f>
      </c>
      <c r="HA731">
        <f>IF(ISBLANK('Data Entry'!$đ$731), "", 'Data Entry'!$đ$731)</f>
      </c>
      <c r="HB731">
        <f>IF(ISBLANK('Data Entry'!$Ē$731), "", 'Data Entry'!$Ē$731)</f>
      </c>
      <c r="HC731">
        <f>IF(ISBLANK('Data Entry'!$ē$731), "", 'Data Entry'!$ē$731)</f>
      </c>
      <c r="HD731">
        <f>IF(ISBLANK('Data Entry'!$Ĕ$731), "", 'Data Entry'!$Ĕ$731)</f>
      </c>
      <c r="HE731">
        <f>IF(ISBLANK('Data Entry'!$ĕ$731), "", 'Data Entry'!$ĕ$731)</f>
      </c>
      <c r="HF731">
        <f>IF(ISBLANK('Data Entry'!$Ė$731), "", 'Data Entry'!$Ė$731)</f>
      </c>
      <c r="HG731">
        <f>IF(ISBLANK('Data Entry'!$ė$731), "", 'Data Entry'!$ė$731)</f>
      </c>
      <c r="HH731">
        <f>IF(ISBLANK('Data Entry'!$Ę$731), "", 'Data Entry'!$Ę$731)</f>
      </c>
      <c r="HI731">
        <f>IF(ISBLANK('Data Entry'!$ę$731), "", 'Data Entry'!$ę$731)</f>
      </c>
      <c r="HJ731">
        <f>IF(ISBLANK('Data Entry'!$Ě$731), "", 'Data Entry'!$Ě$731)</f>
      </c>
      <c r="HK731">
        <f>IF(ISBLANK('Data Entry'!$ě$731), "", 'Data Entry'!$ě$731)</f>
      </c>
      <c r="HL731">
        <f>IF(ISBLANK('Data Entry'!$Ĝ$731), "", 'Data Entry'!$Ĝ$731)</f>
      </c>
      <c r="HM731">
        <f>IF(ISBLANK('Data Entry'!$ĝ$731), "", 'Data Entry'!$ĝ$731)</f>
      </c>
      <c r="HN731">
        <f>IF(ISBLANK('Data Entry'!$Ğ$731), "", 'Data Entry'!$Ğ$731)</f>
      </c>
      <c r="HO731">
        <f>IF(ISBLANK('Data Entry'!$ğ$731), "", 'Data Entry'!$ğ$731)</f>
      </c>
      <c r="HP731">
        <f>IF(ISBLANK('Data Entry'!$Ġ$731), "", 'Data Entry'!$Ġ$731)</f>
      </c>
      <c r="HQ731">
        <f>IF(ISBLANK('Data Entry'!$ġ$731), "", 'Data Entry'!$ġ$731)</f>
      </c>
      <c r="HR731">
        <f>IF(ISBLANK('Data Entry'!$Ģ$731), "", 'Data Entry'!$Ģ$731)</f>
      </c>
      <c r="HS731">
        <f>IF(ISBLANK('Data Entry'!$ģ$731), "", 'Data Entry'!$ģ$731)</f>
      </c>
      <c r="HT731">
        <f>IF(ISBLANK('Data Entry'!$Ĥ$731), "", 'Data Entry'!$Ĥ$731)</f>
      </c>
      <c r="HU731">
        <f>IF(ISBLANK('Data Entry'!$ĥ$731), "", 'Data Entry'!$ĥ$731)</f>
      </c>
      <c r="HV731">
        <f>IF(ISBLANK('Data Entry'!$Ħ$731), "", 'Data Entry'!$Ħ$731)</f>
      </c>
      <c r="HW731">
        <f>IF(ISBLANK('Data Entry'!$ħ$731), "", 'Data Entry'!$ħ$731)</f>
      </c>
      <c r="HX731">
        <f>IF(ISBLANK('Data Entry'!$Ĩ$731), "", 'Data Entry'!$Ĩ$731)</f>
      </c>
      <c r="HY731">
        <f>IF(ISBLANK('Data Entry'!$ĩ$731), "", 'Data Entry'!$ĩ$731)</f>
      </c>
      <c r="HZ731">
        <f>IF(ISBLANK('Data Entry'!$Ī$731), "", 'Data Entry'!$Ī$731)</f>
      </c>
      <c r="IA731">
        <f>IF(ISBLANK('Data Entry'!$ī$731), "", 'Data Entry'!$ī$731)</f>
      </c>
      <c r="IB731">
        <f>IF(ISBLANK('Data Entry'!$Ĭ$731), "", 'Data Entry'!$Ĭ$731)</f>
      </c>
      <c r="IC731">
        <f>IF(ISBLANK('Data Entry'!$ĭ$731), "", 'Data Entry'!$ĭ$731)</f>
      </c>
      <c r="ID731">
        <f>IF(ISBLANK('Data Entry'!$Į$731), "", 'Data Entry'!$Į$731)</f>
      </c>
      <c r="IE731">
        <f>IF(ISBLANK('Data Entry'!$į$731), "", 'Data Entry'!$į$731)</f>
      </c>
      <c r="IF731">
        <f>IF(ISBLANK('Data Entry'!$İ$731), "", 'Data Entry'!$İ$731)</f>
      </c>
      <c r="IG731">
        <f>IF(ISBLANK('Data Entry'!$ı$731), "", 'Data Entry'!$ı$731)</f>
      </c>
      <c r="IH731">
        <f>IF(ISBLANK('Data Entry'!$Ĳ$731), "", 'Data Entry'!$Ĳ$731)</f>
      </c>
      <c r="II731">
        <f>IF(ISBLANK('Data Entry'!$ĳ$731), "", 'Data Entry'!$ĳ$731)</f>
      </c>
      <c r="IJ731">
        <f>IF(ISBLANK('Data Entry'!$Ĵ$731), "", 'Data Entry'!$Ĵ$731)</f>
      </c>
      <c r="IK731">
        <f>IF(ISBLANK('Data Entry'!$ĵ$731), "", 'Data Entry'!$ĵ$731)</f>
      </c>
      <c r="IL731">
        <f>IF(ISBLANK('Data Entry'!$Ķ$731), "", 'Data Entry'!$Ķ$731)</f>
      </c>
      <c r="IM731">
        <f>IF(ISBLANK('Data Entry'!$ķ$731), "", 'Data Entry'!$ķ$731)</f>
      </c>
      <c r="IN731">
        <f>IF(ISBLANK('Data Entry'!$ĸ$731), "", 'Data Entry'!$ĸ$731)</f>
      </c>
      <c r="IO731">
        <f>IF(ISBLANK('Data Entry'!$Ĺ$731), "", 'Data Entry'!$Ĺ$731)</f>
      </c>
      <c r="IP731">
        <f>IF(ISBLANK('Data Entry'!$ĺ$731), "", 'Data Entry'!$ĺ$731)</f>
      </c>
      <c r="IQ731">
        <f>IF(ISBLANK('Data Entry'!$Ļ$731), "", 'Data Entry'!$Ļ$731)</f>
      </c>
      <c r="IR731">
        <f>IF(ISBLANK('Data Entry'!$ļ$731), "", 'Data Entry'!$ļ$731)</f>
      </c>
      <c r="IS731">
        <f>IF(ISBLANK('Data Entry'!$Ľ$731), "", 'Data Entry'!$Ľ$731)</f>
      </c>
      <c r="IT731">
        <f>IF(ISBLANK('Data Entry'!$ľ$731), "", 'Data Entry'!$ľ$731)</f>
      </c>
    </row>
    <row r="732" spans="1:254" x14ac:dyDescent="0.25">
      <c r="A732">
        <f>IF(ISBLANK('Data Entry'!$A$732), "", 'Data Entry'!$A$732)</f>
      </c>
      <c r="B732">
        <f>IF(ISBLANK('Data Entry'!$B$732), "", 'Data Entry'!$B$732)</f>
      </c>
      <c r="C732">
        <f>IF(ISBLANK('Data Entry'!$C$732), "", 'Data Entry'!$C$732)</f>
      </c>
      <c r="D732">
        <f>IF(ISBLANK('Data Entry'!$D$732), "", 'Data Entry'!$D$732)</f>
      </c>
      <c r="E732">
        <f>IF(ISBLANK('Data Entry'!$E$732), "", 'Data Entry'!$E$732)</f>
      </c>
      <c r="F732">
        <f>IF(ISBLANK('Data Entry'!$F$732), "", 'Data Entry'!$F$732)</f>
      </c>
      <c r="G732">
        <f>IF(ISBLANK('Data Entry'!$G$732), "", 'Data Entry'!$G$732)</f>
      </c>
      <c r="H732">
        <f>IF(ISBLANK('Data Entry'!$H$732), "", 'Data Entry'!$H$732)</f>
      </c>
      <c r="I732">
        <f>IF(ISBLANK('Data Entry'!$I$732), "", 'Data Entry'!$I$732)</f>
      </c>
      <c r="J732">
        <f>IF(ISBLANK('Data Entry'!$J$732), "", 'Data Entry'!$J$732)</f>
      </c>
      <c r="K732">
        <f>IF(ISBLANK('Data Entry'!$K$732), "", 'Data Entry'!$K$732)</f>
      </c>
      <c r="L732">
        <f>IF(ISBLANK('Data Entry'!$L$732), "", 'Data Entry'!$L$732)</f>
      </c>
      <c r="M732">
        <f>IF(ISBLANK('Data Entry'!$M$732), "", 'Data Entry'!$M$732)</f>
      </c>
      <c r="N732">
        <f>IF(ISBLANK('Data Entry'!$N$732), "", 'Data Entry'!$N$732)</f>
      </c>
      <c r="O732">
        <f>IF(ISBLANK('Data Entry'!$O$732), "", 'Data Entry'!$O$732)</f>
      </c>
      <c r="P732">
        <f>IF(ISBLANK('Data Entry'!$P$732), "", 'Data Entry'!$P$732)</f>
      </c>
      <c r="Q732">
        <f>IF(ISBLANK('Data Entry'!$Q$732), "", 'Data Entry'!$Q$732)</f>
      </c>
      <c r="R732">
        <f>IF(ISBLANK('Data Entry'!$R$732), "", 'Data Entry'!$R$732)</f>
      </c>
      <c r="S732">
        <f>IF(ISBLANK('Data Entry'!$S$732), "", 'Data Entry'!$S$732)</f>
      </c>
      <c r="T732">
        <f>IF(ISBLANK('Data Entry'!$T$732), "", 'Data Entry'!$T$732)</f>
      </c>
      <c r="U732">
        <f>IF(ISBLANK('Data Entry'!$U$732), "", 'Data Entry'!$U$732)</f>
      </c>
      <c r="V732">
        <f>IF(ISBLANK('Data Entry'!$V$732), "", 'Data Entry'!$V$732)</f>
      </c>
      <c r="W732">
        <f>IF(ISBLANK('Data Entry'!$W$732), "", 'Data Entry'!$W$732)</f>
      </c>
      <c r="X732">
        <f>IF(ISBLANK('Data Entry'!$X$732), "", 'Data Entry'!$X$732)</f>
      </c>
      <c r="Y732">
        <f>IF(ISBLANK('Data Entry'!$Y$732), "", 'Data Entry'!$Y$732)</f>
      </c>
      <c r="Z732">
        <f>IF(ISBLANK('Data Entry'!$Z$732), "", 'Data Entry'!$Z$732)</f>
      </c>
      <c r="AA732">
        <f>IF(ISBLANK('Data Entry'!$[$732), "", 'Data Entry'!$[$732)</f>
      </c>
      <c r="AB732">
        <f>IF(ISBLANK('Data Entry'!$\$732), "", 'Data Entry'!$\$732)</f>
      </c>
      <c r="AC732">
        <f>IF(ISBLANK('Data Entry'!$]$732), "", 'Data Entry'!$]$732)</f>
      </c>
      <c r="AD732">
        <f>IF(ISBLANK('Data Entry'!$^$732), "", 'Data Entry'!$^$732)</f>
      </c>
      <c r="AE732">
        <f>IF(ISBLANK('Data Entry'!$_$732), "", 'Data Entry'!$_$732)</f>
      </c>
      <c r="AF732">
        <f>IF(ISBLANK('Data Entry'!$`$732), "", 'Data Entry'!$`$732)</f>
      </c>
      <c r="AG732">
        <f>IF(ISBLANK('Data Entry'!$a$732), "", 'Data Entry'!$a$732)</f>
      </c>
      <c r="AH732">
        <f>IF(ISBLANK('Data Entry'!$b$732), "", 'Data Entry'!$b$732)</f>
      </c>
      <c r="AI732">
        <f>IF(ISBLANK('Data Entry'!$c$732), "", 'Data Entry'!$c$732)</f>
      </c>
      <c r="AJ732">
        <f>IF(ISBLANK('Data Entry'!$d$732), "", 'Data Entry'!$d$732)</f>
      </c>
      <c r="AK732">
        <f>IF(ISBLANK('Data Entry'!$e$732), "", 'Data Entry'!$e$732)</f>
      </c>
      <c r="AL732">
        <f>IF(ISBLANK('Data Entry'!$f$732), "", 'Data Entry'!$f$732)</f>
      </c>
      <c r="AM732">
        <f>IF(ISBLANK('Data Entry'!$g$732), "", 'Data Entry'!$g$732)</f>
      </c>
      <c r="AN732">
        <f>IF(ISBLANK('Data Entry'!$h$732), "", 'Data Entry'!$h$732)</f>
      </c>
      <c r="AO732">
        <f>IF(ISBLANK('Data Entry'!$i$732), "", 'Data Entry'!$i$732)</f>
      </c>
      <c r="AP732">
        <f>IF(ISBLANK('Data Entry'!$j$732), "", 'Data Entry'!$j$732)</f>
      </c>
      <c r="AQ732">
        <f>IF(ISBLANK('Data Entry'!$k$732), "", 'Data Entry'!$k$732)</f>
      </c>
      <c r="AR732">
        <f>IF(ISBLANK('Data Entry'!$l$732), "", 'Data Entry'!$l$732)</f>
      </c>
      <c r="AS732">
        <f>IF(ISBLANK('Data Entry'!$m$732), "", 'Data Entry'!$m$732)</f>
      </c>
      <c r="AT732">
        <f>IF(ISBLANK('Data Entry'!$n$732), "", 'Data Entry'!$n$732)</f>
      </c>
      <c r="AU732">
        <f>IF(ISBLANK('Data Entry'!$o$732), "", 'Data Entry'!$o$732)</f>
      </c>
      <c r="AV732">
        <f>IF(ISBLANK('Data Entry'!$p$732), "", 'Data Entry'!$p$732)</f>
      </c>
      <c r="AW732">
        <f>IF(ISBLANK('Data Entry'!$q$732), "", 'Data Entry'!$q$732)</f>
      </c>
      <c r="AX732">
        <f>IF(ISBLANK('Data Entry'!$r$732), "", 'Data Entry'!$r$732)</f>
      </c>
      <c r="AY732">
        <f>IF(ISBLANK('Data Entry'!$s$732), "", 'Data Entry'!$s$732)</f>
      </c>
      <c r="AZ732">
        <f>IF(ISBLANK('Data Entry'!$t$732), "", 'Data Entry'!$t$732)</f>
      </c>
      <c r="BA732">
        <f>IF(ISBLANK('Data Entry'!$u$732), "", 'Data Entry'!$u$732)</f>
      </c>
      <c r="BB732">
        <f>IF(ISBLANK('Data Entry'!$v$732), "", 'Data Entry'!$v$732)</f>
      </c>
      <c r="BC732">
        <f>IF(ISBLANK('Data Entry'!$w$732), "", 'Data Entry'!$w$732)</f>
      </c>
      <c r="BD732">
        <f>IF(ISBLANK('Data Entry'!$x$732), "", 'Data Entry'!$x$732)</f>
      </c>
      <c r="BE732">
        <f>IF(ISBLANK('Data Entry'!$y$732), "", 'Data Entry'!$y$732)</f>
      </c>
      <c r="BF732">
        <f>IF(ISBLANK('Data Entry'!$z$732), "", 'Data Entry'!$z$732)</f>
      </c>
      <c r="BG732">
        <f>IF(ISBLANK('Data Entry'!${$732), "", 'Data Entry'!${$732)</f>
      </c>
      <c r="BH732">
        <f>IF(ISBLANK('Data Entry'!$|$732), "", 'Data Entry'!$|$732)</f>
      </c>
      <c r="BI732">
        <f>IF(ISBLANK('Data Entry'!$}$732), "", 'Data Entry'!$}$732)</f>
      </c>
      <c r="BJ732">
        <f>IF(ISBLANK('Data Entry'!$~$732), "", 'Data Entry'!$~$732)</f>
      </c>
      <c r="BK732">
        <f>IF(ISBLANK('Data Entry'!$$732), "", 'Data Entry'!$$732)</f>
      </c>
      <c r="BL732">
        <f>IF(ISBLANK('Data Entry'!$$732), "", 'Data Entry'!$$732)</f>
      </c>
      <c r="BM732">
        <f>IF(ISBLANK('Data Entry'!$$732), "", 'Data Entry'!$$732)</f>
      </c>
      <c r="BN732">
        <f>IF(ISBLANK('Data Entry'!$$732), "", 'Data Entry'!$$732)</f>
      </c>
      <c r="BO732">
        <f>IF(ISBLANK('Data Entry'!$$732), "", 'Data Entry'!$$732)</f>
      </c>
      <c r="BP732">
        <f>IF(ISBLANK('Data Entry'!$$732), "", 'Data Entry'!$$732)</f>
      </c>
      <c r="BQ732">
        <f>IF(ISBLANK('Data Entry'!$$732), "", 'Data Entry'!$$732)</f>
      </c>
      <c r="BR732">
        <f>IF(ISBLANK('Data Entry'!$$732), "", 'Data Entry'!$$732)</f>
      </c>
      <c r="BS732">
        <f>IF(ISBLANK('Data Entry'!$$732), "", 'Data Entry'!$$732)</f>
      </c>
      <c r="BT732">
        <f>IF(ISBLANK('Data Entry'!$$732), "", 'Data Entry'!$$732)</f>
      </c>
      <c r="BU732">
        <f>IF(ISBLANK('Data Entry'!$$732), "", 'Data Entry'!$$732)</f>
      </c>
      <c r="BV732">
        <f>IF(ISBLANK('Data Entry'!$$732), "", 'Data Entry'!$$732)</f>
      </c>
      <c r="BW732">
        <f>IF(ISBLANK('Data Entry'!$$732), "", 'Data Entry'!$$732)</f>
      </c>
      <c r="BX732">
        <f>IF(ISBLANK('Data Entry'!$$732), "", 'Data Entry'!$$732)</f>
      </c>
      <c r="BY732">
        <f>IF(ISBLANK('Data Entry'!$$732), "", 'Data Entry'!$$732)</f>
      </c>
      <c r="BZ732">
        <f>IF(ISBLANK('Data Entry'!$$732), "", 'Data Entry'!$$732)</f>
      </c>
      <c r="CA732">
        <f>IF(ISBLANK('Data Entry'!$$732), "", 'Data Entry'!$$732)</f>
      </c>
      <c r="CB732">
        <f>IF(ISBLANK('Data Entry'!$$732), "", 'Data Entry'!$$732)</f>
      </c>
      <c r="CC732">
        <f>IF(ISBLANK('Data Entry'!$$732), "", 'Data Entry'!$$732)</f>
      </c>
      <c r="CD732">
        <f>IF(ISBLANK('Data Entry'!$$732), "", 'Data Entry'!$$732)</f>
      </c>
      <c r="CE732">
        <f>IF(ISBLANK('Data Entry'!$$732), "", 'Data Entry'!$$732)</f>
      </c>
      <c r="CF732">
        <f>IF(ISBLANK('Data Entry'!$$732), "", 'Data Entry'!$$732)</f>
      </c>
      <c r="CG732">
        <f>IF(ISBLANK('Data Entry'!$$732), "", 'Data Entry'!$$732)</f>
      </c>
      <c r="CH732">
        <f>IF(ISBLANK('Data Entry'!$$732), "", 'Data Entry'!$$732)</f>
      </c>
      <c r="CI732">
        <f>IF(ISBLANK('Data Entry'!$$732), "", 'Data Entry'!$$732)</f>
      </c>
      <c r="CJ732">
        <f>IF(ISBLANK('Data Entry'!$$732), "", 'Data Entry'!$$732)</f>
      </c>
      <c r="CK732">
        <f>IF(ISBLANK('Data Entry'!$$732), "", 'Data Entry'!$$732)</f>
      </c>
      <c r="CL732">
        <f>IF(ISBLANK('Data Entry'!$$732), "", 'Data Entry'!$$732)</f>
      </c>
      <c r="CM732">
        <f>IF(ISBLANK('Data Entry'!$$732), "", 'Data Entry'!$$732)</f>
      </c>
      <c r="CN732">
        <f>IF(ISBLANK('Data Entry'!$$732), "", 'Data Entry'!$$732)</f>
      </c>
      <c r="CO732">
        <f>IF(ISBLANK('Data Entry'!$$732), "", 'Data Entry'!$$732)</f>
      </c>
      <c r="CP732">
        <f>IF(ISBLANK('Data Entry'!$$732), "", 'Data Entry'!$$732)</f>
      </c>
      <c r="CQ732">
        <f>IF(ISBLANK('Data Entry'!$$732), "", 'Data Entry'!$$732)</f>
      </c>
      <c r="CR732">
        <f>IF(ISBLANK('Data Entry'!$ $732), "", 'Data Entry'!$ $732)</f>
      </c>
      <c r="CS732">
        <f>IF(ISBLANK('Data Entry'!$¡$732), "", 'Data Entry'!$¡$732)</f>
      </c>
      <c r="CT732">
        <f>IF(ISBLANK('Data Entry'!$¢$732), "", 'Data Entry'!$¢$732)</f>
      </c>
      <c r="CU732">
        <f>IF(ISBLANK('Data Entry'!$£$732), "", 'Data Entry'!$£$732)</f>
      </c>
      <c r="CV732">
        <f>IF(ISBLANK('Data Entry'!$¤$732), "", 'Data Entry'!$¤$732)</f>
      </c>
      <c r="CW732">
        <f>IF(ISBLANK('Data Entry'!$¥$732), "", 'Data Entry'!$¥$732)</f>
      </c>
      <c r="CX732">
        <f>IF(ISBLANK('Data Entry'!$¦$732), "", 'Data Entry'!$¦$732)</f>
      </c>
      <c r="CY732">
        <f>IF(ISBLANK('Data Entry'!$§$732), "", 'Data Entry'!$§$732)</f>
      </c>
      <c r="CZ732">
        <f>IF(ISBLANK('Data Entry'!$¨$732), "", 'Data Entry'!$¨$732)</f>
      </c>
      <c r="DA732">
        <f>IF(ISBLANK('Data Entry'!$©$732), "", 'Data Entry'!$©$732)</f>
      </c>
      <c r="DB732">
        <f>IF(ISBLANK('Data Entry'!$ª$732), "", 'Data Entry'!$ª$732)</f>
      </c>
      <c r="DC732">
        <f>IF(ISBLANK('Data Entry'!$«$732), "", 'Data Entry'!$«$732)</f>
      </c>
      <c r="DD732">
        <f>IF(ISBLANK('Data Entry'!$¬$732), "", 'Data Entry'!$¬$732)</f>
      </c>
      <c r="DE732">
        <f>IF(ISBLANK('Data Entry'!$­$732), "", 'Data Entry'!$­$732)</f>
      </c>
      <c r="DF732">
        <f>IF(ISBLANK('Data Entry'!$®$732), "", 'Data Entry'!$®$732)</f>
      </c>
      <c r="DG732">
        <f>IF(ISBLANK('Data Entry'!$¯$732), "", 'Data Entry'!$¯$732)</f>
      </c>
      <c r="DH732">
        <f>IF(ISBLANK('Data Entry'!$°$732), "", 'Data Entry'!$°$732)</f>
      </c>
      <c r="DI732">
        <f>IF(ISBLANK('Data Entry'!$±$732), "", 'Data Entry'!$±$732)</f>
      </c>
      <c r="DJ732">
        <f>IF(ISBLANK('Data Entry'!$²$732), "", 'Data Entry'!$²$732)</f>
      </c>
      <c r="DK732">
        <f>IF(ISBLANK('Data Entry'!$³$732), "", 'Data Entry'!$³$732)</f>
      </c>
      <c r="DL732">
        <f>IF(ISBLANK('Data Entry'!$´$732), "", 'Data Entry'!$´$732)</f>
      </c>
      <c r="DM732">
        <f>IF(ISBLANK('Data Entry'!$µ$732), "", 'Data Entry'!$µ$732)</f>
      </c>
      <c r="DN732">
        <f>IF(ISBLANK('Data Entry'!$¶$732), "", 'Data Entry'!$¶$732)</f>
      </c>
      <c r="DO732">
        <f>IF(ISBLANK('Data Entry'!$·$732), "", 'Data Entry'!$·$732)</f>
      </c>
      <c r="DP732">
        <f>IF(ISBLANK('Data Entry'!$¸$732), "", 'Data Entry'!$¸$732)</f>
      </c>
      <c r="DQ732">
        <f>IF(ISBLANK('Data Entry'!$¹$732), "", 'Data Entry'!$¹$732)</f>
      </c>
      <c r="DR732">
        <f>IF(ISBLANK('Data Entry'!$º$732), "", 'Data Entry'!$º$732)</f>
      </c>
      <c r="DS732">
        <f>IF(ISBLANK('Data Entry'!$»$732), "", 'Data Entry'!$»$732)</f>
      </c>
      <c r="DT732">
        <f>IF(ISBLANK('Data Entry'!$¼$732), "", 'Data Entry'!$¼$732)</f>
      </c>
      <c r="DU732">
        <f>IF(ISBLANK('Data Entry'!$½$732), "", 'Data Entry'!$½$732)</f>
      </c>
      <c r="DV732">
        <f>IF(ISBLANK('Data Entry'!$¾$732), "", 'Data Entry'!$¾$732)</f>
      </c>
      <c r="DW732">
        <f>IF(ISBLANK('Data Entry'!$¿$732), "", 'Data Entry'!$¿$732)</f>
      </c>
      <c r="DX732">
        <f>IF(ISBLANK('Data Entry'!$À$732), "", 'Data Entry'!$À$732)</f>
      </c>
      <c r="DY732">
        <f>IF(ISBLANK('Data Entry'!$Á$732), "", 'Data Entry'!$Á$732)</f>
      </c>
      <c r="DZ732">
        <f>IF(ISBLANK('Data Entry'!$Â$732), "", 'Data Entry'!$Â$732)</f>
      </c>
      <c r="EA732">
        <f>IF(ISBLANK('Data Entry'!$Ã$732), "", 'Data Entry'!$Ã$732)</f>
      </c>
      <c r="EB732">
        <f>IF(ISBLANK('Data Entry'!$Ä$732), "", 'Data Entry'!$Ä$732)</f>
      </c>
      <c r="EC732">
        <f>IF(ISBLANK('Data Entry'!$Å$732), "", 'Data Entry'!$Å$732)</f>
      </c>
      <c r="ED732">
        <f>IF(ISBLANK('Data Entry'!$Æ$732), "", 'Data Entry'!$Æ$732)</f>
      </c>
      <c r="EE732">
        <f>IF(ISBLANK('Data Entry'!$Ç$732), "", 'Data Entry'!$Ç$732)</f>
      </c>
      <c r="EF732">
        <f>IF(ISBLANK('Data Entry'!$È$732), "", 'Data Entry'!$È$732)</f>
      </c>
      <c r="EG732">
        <f>IF(ISBLANK('Data Entry'!$É$732), "", 'Data Entry'!$É$732)</f>
      </c>
      <c r="EH732">
        <f>IF(ISBLANK('Data Entry'!$Ê$732), "", 'Data Entry'!$Ê$732)</f>
      </c>
      <c r="EI732">
        <f>IF(ISBLANK('Data Entry'!$Ë$732), "", 'Data Entry'!$Ë$732)</f>
      </c>
      <c r="EJ732">
        <f>IF(ISBLANK('Data Entry'!$Ì$732), "", 'Data Entry'!$Ì$732)</f>
      </c>
      <c r="EK732">
        <f>IF(ISBLANK('Data Entry'!$Í$732), "", 'Data Entry'!$Í$732)</f>
      </c>
      <c r="EL732">
        <f>IF(ISBLANK('Data Entry'!$Î$732), "", 'Data Entry'!$Î$732)</f>
      </c>
      <c r="EM732">
        <f>IF(ISBLANK('Data Entry'!$Ï$732), "", 'Data Entry'!$Ï$732)</f>
      </c>
      <c r="EN732">
        <f>IF(ISBLANK('Data Entry'!$Ð$732), "", 'Data Entry'!$Ð$732)</f>
      </c>
      <c r="EO732">
        <f>IF(ISBLANK('Data Entry'!$Ñ$732), "", 'Data Entry'!$Ñ$732)</f>
      </c>
      <c r="EP732">
        <f>IF(ISBLANK('Data Entry'!$Ò$732), "", 'Data Entry'!$Ò$732)</f>
      </c>
      <c r="EQ732">
        <f>IF(ISBLANK('Data Entry'!$Ó$732), "", 'Data Entry'!$Ó$732)</f>
      </c>
      <c r="ER732">
        <f>IF(ISBLANK('Data Entry'!$Ô$732), "", 'Data Entry'!$Ô$732)</f>
      </c>
      <c r="ES732">
        <f>IF(ISBLANK('Data Entry'!$Õ$732), "", 'Data Entry'!$Õ$732)</f>
      </c>
      <c r="ET732">
        <f>IF(ISBLANK('Data Entry'!$Ö$732), "", 'Data Entry'!$Ö$732)</f>
      </c>
      <c r="EU732">
        <f>IF(ISBLANK('Data Entry'!$×$732), "", 'Data Entry'!$×$732)</f>
      </c>
      <c r="EV732">
        <f>IF(ISBLANK('Data Entry'!$Ø$732), "", 'Data Entry'!$Ø$732)</f>
      </c>
      <c r="EW732">
        <f>IF(ISBLANK('Data Entry'!$Ù$732), "", 'Data Entry'!$Ù$732)</f>
      </c>
      <c r="EX732">
        <f>IF(ISBLANK('Data Entry'!$Ú$732), "", 'Data Entry'!$Ú$732)</f>
      </c>
      <c r="EY732">
        <f>IF(ISBLANK('Data Entry'!$Û$732), "", 'Data Entry'!$Û$732)</f>
      </c>
      <c r="EZ732">
        <f>IF(ISBLANK('Data Entry'!$Ü$732), "", 'Data Entry'!$Ü$732)</f>
      </c>
      <c r="FA732">
        <f>IF(ISBLANK('Data Entry'!$Ý$732), "", 'Data Entry'!$Ý$732)</f>
      </c>
      <c r="FB732">
        <f>IF(ISBLANK('Data Entry'!$Þ$732), "", 'Data Entry'!$Þ$732)</f>
      </c>
      <c r="FC732">
        <f>IF(ISBLANK('Data Entry'!$ß$732), "", 'Data Entry'!$ß$732)</f>
      </c>
      <c r="FD732">
        <f>IF(ISBLANK('Data Entry'!$à$732), "", 'Data Entry'!$à$732)</f>
      </c>
      <c r="FE732">
        <f>IF(ISBLANK('Data Entry'!$á$732), "", 'Data Entry'!$á$732)</f>
      </c>
      <c r="FF732">
        <f>IF(ISBLANK('Data Entry'!$â$732), "", 'Data Entry'!$â$732)</f>
      </c>
      <c r="FG732">
        <f>IF(ISBLANK('Data Entry'!$ã$732), "", 'Data Entry'!$ã$732)</f>
      </c>
      <c r="FH732">
        <f>IF(ISBLANK('Data Entry'!$ä$732), "", 'Data Entry'!$ä$732)</f>
      </c>
      <c r="FI732">
        <f>IF(ISBLANK('Data Entry'!$å$732), "", 'Data Entry'!$å$732)</f>
      </c>
      <c r="FJ732">
        <f>IF(ISBLANK('Data Entry'!$æ$732), "", 'Data Entry'!$æ$732)</f>
      </c>
      <c r="FK732">
        <f>IF(ISBLANK('Data Entry'!$ç$732), "", 'Data Entry'!$ç$732)</f>
      </c>
      <c r="FL732">
        <f>IF(ISBLANK('Data Entry'!$è$732), "", 'Data Entry'!$è$732)</f>
      </c>
      <c r="FM732">
        <f>IF(ISBLANK('Data Entry'!$é$732), "", 'Data Entry'!$é$732)</f>
      </c>
      <c r="FN732">
        <f>IF(ISBLANK('Data Entry'!$ê$732), "", 'Data Entry'!$ê$732)</f>
      </c>
      <c r="FO732">
        <f>IF(ISBLANK('Data Entry'!$ë$732), "", 'Data Entry'!$ë$732)</f>
      </c>
      <c r="FP732">
        <f>IF(ISBLANK('Data Entry'!$ì$732), "", 'Data Entry'!$ì$732)</f>
      </c>
      <c r="FQ732">
        <f>IF(ISBLANK('Data Entry'!$í$732), "", 'Data Entry'!$í$732)</f>
      </c>
      <c r="FR732">
        <f>IF(ISBLANK('Data Entry'!$î$732), "", 'Data Entry'!$î$732)</f>
      </c>
      <c r="FS732">
        <f>IF(ISBLANK('Data Entry'!$ï$732), "", 'Data Entry'!$ï$732)</f>
      </c>
      <c r="FT732">
        <f>IF(ISBLANK('Data Entry'!$ð$732), "", 'Data Entry'!$ð$732)</f>
      </c>
      <c r="FU732">
        <f>IF(ISBLANK('Data Entry'!$ñ$732), "", 'Data Entry'!$ñ$732)</f>
      </c>
      <c r="FV732">
        <f>IF(ISBLANK('Data Entry'!$ò$732), "", 'Data Entry'!$ò$732)</f>
      </c>
      <c r="FW732">
        <f>IF(ISBLANK('Data Entry'!$ó$732), "", 'Data Entry'!$ó$732)</f>
      </c>
      <c r="FX732">
        <f>IF(ISBLANK('Data Entry'!$ô$732), "", 'Data Entry'!$ô$732)</f>
      </c>
      <c r="FY732">
        <f>IF(ISBLANK('Data Entry'!$õ$732), "", 'Data Entry'!$õ$732)</f>
      </c>
      <c r="FZ732">
        <f>IF(ISBLANK('Data Entry'!$ö$732), "", 'Data Entry'!$ö$732)</f>
      </c>
      <c r="GA732">
        <f>IF(ISBLANK('Data Entry'!$÷$732), "", 'Data Entry'!$÷$732)</f>
      </c>
      <c r="GB732">
        <f>IF(ISBLANK('Data Entry'!$ø$732), "", 'Data Entry'!$ø$732)</f>
      </c>
      <c r="GC732">
        <f>IF(ISBLANK('Data Entry'!$ù$732), "", 'Data Entry'!$ù$732)</f>
      </c>
      <c r="GD732">
        <f>IF(ISBLANK('Data Entry'!$ú$732), "", 'Data Entry'!$ú$732)</f>
      </c>
      <c r="GE732">
        <f>IF(ISBLANK('Data Entry'!$û$732), "", 'Data Entry'!$û$732)</f>
      </c>
      <c r="GF732">
        <f>IF(ISBLANK('Data Entry'!$ü$732), "", 'Data Entry'!$ü$732)</f>
      </c>
      <c r="GG732">
        <f>IF(ISBLANK('Data Entry'!$ý$732), "", 'Data Entry'!$ý$732)</f>
      </c>
      <c r="GH732">
        <f>IF(ISBLANK('Data Entry'!$þ$732), "", 'Data Entry'!$þ$732)</f>
      </c>
      <c r="GI732">
        <f>IF(ISBLANK('Data Entry'!$ÿ$732), "", 'Data Entry'!$ÿ$732)</f>
      </c>
      <c r="GJ732">
        <f>IF(ISBLANK('Data Entry'!$Ā$732), "", 'Data Entry'!$Ā$732)</f>
      </c>
      <c r="GK732">
        <f>IF(ISBLANK('Data Entry'!$ā$732), "", 'Data Entry'!$ā$732)</f>
      </c>
      <c r="GL732">
        <f>IF(ISBLANK('Data Entry'!$Ă$732), "", 'Data Entry'!$Ă$732)</f>
      </c>
      <c r="GM732">
        <f>IF(ISBLANK('Data Entry'!$ă$732), "", 'Data Entry'!$ă$732)</f>
      </c>
      <c r="GN732">
        <f>IF(ISBLANK('Data Entry'!$Ą$732), "", 'Data Entry'!$Ą$732)</f>
      </c>
      <c r="GO732">
        <f>IF(ISBLANK('Data Entry'!$ą$732), "", 'Data Entry'!$ą$732)</f>
      </c>
      <c r="GP732">
        <f>IF(ISBLANK('Data Entry'!$Ć$732), "", 'Data Entry'!$Ć$732)</f>
      </c>
      <c r="GQ732">
        <f>IF(ISBLANK('Data Entry'!$ć$732), "", 'Data Entry'!$ć$732)</f>
      </c>
      <c r="GR732">
        <f>IF(ISBLANK('Data Entry'!$Ĉ$732), "", 'Data Entry'!$Ĉ$732)</f>
      </c>
      <c r="GS732">
        <f>IF(ISBLANK('Data Entry'!$ĉ$732), "", 'Data Entry'!$ĉ$732)</f>
      </c>
      <c r="GT732">
        <f>IF(ISBLANK('Data Entry'!$Ċ$732), "", 'Data Entry'!$Ċ$732)</f>
      </c>
      <c r="GU732">
        <f>IF(ISBLANK('Data Entry'!$ċ$732), "", 'Data Entry'!$ċ$732)</f>
      </c>
      <c r="GV732">
        <f>IF(ISBLANK('Data Entry'!$Č$732), "", 'Data Entry'!$Č$732)</f>
      </c>
      <c r="GW732">
        <f>IF(ISBLANK('Data Entry'!$č$732), "", 'Data Entry'!$č$732)</f>
      </c>
      <c r="GX732">
        <f>IF(ISBLANK('Data Entry'!$Ď$732), "", 'Data Entry'!$Ď$732)</f>
      </c>
      <c r="GY732">
        <f>IF(ISBLANK('Data Entry'!$ď$732), "", 'Data Entry'!$ď$732)</f>
      </c>
      <c r="GZ732">
        <f>IF(ISBLANK('Data Entry'!$Đ$732), "", 'Data Entry'!$Đ$732)</f>
      </c>
      <c r="HA732">
        <f>IF(ISBLANK('Data Entry'!$đ$732), "", 'Data Entry'!$đ$732)</f>
      </c>
      <c r="HB732">
        <f>IF(ISBLANK('Data Entry'!$Ē$732), "", 'Data Entry'!$Ē$732)</f>
      </c>
      <c r="HC732">
        <f>IF(ISBLANK('Data Entry'!$ē$732), "", 'Data Entry'!$ē$732)</f>
      </c>
      <c r="HD732">
        <f>IF(ISBLANK('Data Entry'!$Ĕ$732), "", 'Data Entry'!$Ĕ$732)</f>
      </c>
      <c r="HE732">
        <f>IF(ISBLANK('Data Entry'!$ĕ$732), "", 'Data Entry'!$ĕ$732)</f>
      </c>
      <c r="HF732">
        <f>IF(ISBLANK('Data Entry'!$Ė$732), "", 'Data Entry'!$Ė$732)</f>
      </c>
      <c r="HG732">
        <f>IF(ISBLANK('Data Entry'!$ė$732), "", 'Data Entry'!$ė$732)</f>
      </c>
      <c r="HH732">
        <f>IF(ISBLANK('Data Entry'!$Ę$732), "", 'Data Entry'!$Ę$732)</f>
      </c>
      <c r="HI732">
        <f>IF(ISBLANK('Data Entry'!$ę$732), "", 'Data Entry'!$ę$732)</f>
      </c>
      <c r="HJ732">
        <f>IF(ISBLANK('Data Entry'!$Ě$732), "", 'Data Entry'!$Ě$732)</f>
      </c>
      <c r="HK732">
        <f>IF(ISBLANK('Data Entry'!$ě$732), "", 'Data Entry'!$ě$732)</f>
      </c>
      <c r="HL732">
        <f>IF(ISBLANK('Data Entry'!$Ĝ$732), "", 'Data Entry'!$Ĝ$732)</f>
      </c>
      <c r="HM732">
        <f>IF(ISBLANK('Data Entry'!$ĝ$732), "", 'Data Entry'!$ĝ$732)</f>
      </c>
      <c r="HN732">
        <f>IF(ISBLANK('Data Entry'!$Ğ$732), "", 'Data Entry'!$Ğ$732)</f>
      </c>
      <c r="HO732">
        <f>IF(ISBLANK('Data Entry'!$ğ$732), "", 'Data Entry'!$ğ$732)</f>
      </c>
      <c r="HP732">
        <f>IF(ISBLANK('Data Entry'!$Ġ$732), "", 'Data Entry'!$Ġ$732)</f>
      </c>
      <c r="HQ732">
        <f>IF(ISBLANK('Data Entry'!$ġ$732), "", 'Data Entry'!$ġ$732)</f>
      </c>
      <c r="HR732">
        <f>IF(ISBLANK('Data Entry'!$Ģ$732), "", 'Data Entry'!$Ģ$732)</f>
      </c>
      <c r="HS732">
        <f>IF(ISBLANK('Data Entry'!$ģ$732), "", 'Data Entry'!$ģ$732)</f>
      </c>
      <c r="HT732">
        <f>IF(ISBLANK('Data Entry'!$Ĥ$732), "", 'Data Entry'!$Ĥ$732)</f>
      </c>
      <c r="HU732">
        <f>IF(ISBLANK('Data Entry'!$ĥ$732), "", 'Data Entry'!$ĥ$732)</f>
      </c>
      <c r="HV732">
        <f>IF(ISBLANK('Data Entry'!$Ħ$732), "", 'Data Entry'!$Ħ$732)</f>
      </c>
      <c r="HW732">
        <f>IF(ISBLANK('Data Entry'!$ħ$732), "", 'Data Entry'!$ħ$732)</f>
      </c>
      <c r="HX732">
        <f>IF(ISBLANK('Data Entry'!$Ĩ$732), "", 'Data Entry'!$Ĩ$732)</f>
      </c>
      <c r="HY732">
        <f>IF(ISBLANK('Data Entry'!$ĩ$732), "", 'Data Entry'!$ĩ$732)</f>
      </c>
      <c r="HZ732">
        <f>IF(ISBLANK('Data Entry'!$Ī$732), "", 'Data Entry'!$Ī$732)</f>
      </c>
      <c r="IA732">
        <f>IF(ISBLANK('Data Entry'!$ī$732), "", 'Data Entry'!$ī$732)</f>
      </c>
      <c r="IB732">
        <f>IF(ISBLANK('Data Entry'!$Ĭ$732), "", 'Data Entry'!$Ĭ$732)</f>
      </c>
      <c r="IC732">
        <f>IF(ISBLANK('Data Entry'!$ĭ$732), "", 'Data Entry'!$ĭ$732)</f>
      </c>
      <c r="ID732">
        <f>IF(ISBLANK('Data Entry'!$Į$732), "", 'Data Entry'!$Į$732)</f>
      </c>
      <c r="IE732">
        <f>IF(ISBLANK('Data Entry'!$į$732), "", 'Data Entry'!$į$732)</f>
      </c>
      <c r="IF732">
        <f>IF(ISBLANK('Data Entry'!$İ$732), "", 'Data Entry'!$İ$732)</f>
      </c>
      <c r="IG732">
        <f>IF(ISBLANK('Data Entry'!$ı$732), "", 'Data Entry'!$ı$732)</f>
      </c>
      <c r="IH732">
        <f>IF(ISBLANK('Data Entry'!$Ĳ$732), "", 'Data Entry'!$Ĳ$732)</f>
      </c>
      <c r="II732">
        <f>IF(ISBLANK('Data Entry'!$ĳ$732), "", 'Data Entry'!$ĳ$732)</f>
      </c>
      <c r="IJ732">
        <f>IF(ISBLANK('Data Entry'!$Ĵ$732), "", 'Data Entry'!$Ĵ$732)</f>
      </c>
      <c r="IK732">
        <f>IF(ISBLANK('Data Entry'!$ĵ$732), "", 'Data Entry'!$ĵ$732)</f>
      </c>
      <c r="IL732">
        <f>IF(ISBLANK('Data Entry'!$Ķ$732), "", 'Data Entry'!$Ķ$732)</f>
      </c>
      <c r="IM732">
        <f>IF(ISBLANK('Data Entry'!$ķ$732), "", 'Data Entry'!$ķ$732)</f>
      </c>
      <c r="IN732">
        <f>IF(ISBLANK('Data Entry'!$ĸ$732), "", 'Data Entry'!$ĸ$732)</f>
      </c>
      <c r="IO732">
        <f>IF(ISBLANK('Data Entry'!$Ĺ$732), "", 'Data Entry'!$Ĺ$732)</f>
      </c>
      <c r="IP732">
        <f>IF(ISBLANK('Data Entry'!$ĺ$732), "", 'Data Entry'!$ĺ$732)</f>
      </c>
      <c r="IQ732">
        <f>IF(ISBLANK('Data Entry'!$Ļ$732), "", 'Data Entry'!$Ļ$732)</f>
      </c>
      <c r="IR732">
        <f>IF(ISBLANK('Data Entry'!$ļ$732), "", 'Data Entry'!$ļ$732)</f>
      </c>
      <c r="IS732">
        <f>IF(ISBLANK('Data Entry'!$Ľ$732), "", 'Data Entry'!$Ľ$732)</f>
      </c>
      <c r="IT732">
        <f>IF(ISBLANK('Data Entry'!$ľ$732), "", 'Data Entry'!$ľ$732)</f>
      </c>
    </row>
    <row r="733" spans="1:254" x14ac:dyDescent="0.25">
      <c r="A733">
        <f>IF(ISBLANK('Data Entry'!$A$733), "", 'Data Entry'!$A$733)</f>
      </c>
      <c r="B733">
        <f>IF(ISBLANK('Data Entry'!$B$733), "", 'Data Entry'!$B$733)</f>
      </c>
      <c r="C733">
        <f>IF(ISBLANK('Data Entry'!$C$733), "", 'Data Entry'!$C$733)</f>
      </c>
      <c r="D733">
        <f>IF(ISBLANK('Data Entry'!$D$733), "", 'Data Entry'!$D$733)</f>
      </c>
      <c r="E733">
        <f>IF(ISBLANK('Data Entry'!$E$733), "", 'Data Entry'!$E$733)</f>
      </c>
      <c r="F733">
        <f>IF(ISBLANK('Data Entry'!$F$733), "", 'Data Entry'!$F$733)</f>
      </c>
      <c r="G733">
        <f>IF(ISBLANK('Data Entry'!$G$733), "", 'Data Entry'!$G$733)</f>
      </c>
      <c r="H733">
        <f>IF(ISBLANK('Data Entry'!$H$733), "", 'Data Entry'!$H$733)</f>
      </c>
      <c r="I733">
        <f>IF(ISBLANK('Data Entry'!$I$733), "", 'Data Entry'!$I$733)</f>
      </c>
      <c r="J733">
        <f>IF(ISBLANK('Data Entry'!$J$733), "", 'Data Entry'!$J$733)</f>
      </c>
      <c r="K733">
        <f>IF(ISBLANK('Data Entry'!$K$733), "", 'Data Entry'!$K$733)</f>
      </c>
      <c r="L733">
        <f>IF(ISBLANK('Data Entry'!$L$733), "", 'Data Entry'!$L$733)</f>
      </c>
      <c r="M733">
        <f>IF(ISBLANK('Data Entry'!$M$733), "", 'Data Entry'!$M$733)</f>
      </c>
      <c r="N733">
        <f>IF(ISBLANK('Data Entry'!$N$733), "", 'Data Entry'!$N$733)</f>
      </c>
      <c r="O733">
        <f>IF(ISBLANK('Data Entry'!$O$733), "", 'Data Entry'!$O$733)</f>
      </c>
      <c r="P733">
        <f>IF(ISBLANK('Data Entry'!$P$733), "", 'Data Entry'!$P$733)</f>
      </c>
      <c r="Q733">
        <f>IF(ISBLANK('Data Entry'!$Q$733), "", 'Data Entry'!$Q$733)</f>
      </c>
      <c r="R733">
        <f>IF(ISBLANK('Data Entry'!$R$733), "", 'Data Entry'!$R$733)</f>
      </c>
      <c r="S733">
        <f>IF(ISBLANK('Data Entry'!$S$733), "", 'Data Entry'!$S$733)</f>
      </c>
      <c r="T733">
        <f>IF(ISBLANK('Data Entry'!$T$733), "", 'Data Entry'!$T$733)</f>
      </c>
      <c r="U733">
        <f>IF(ISBLANK('Data Entry'!$U$733), "", 'Data Entry'!$U$733)</f>
      </c>
      <c r="V733">
        <f>IF(ISBLANK('Data Entry'!$V$733), "", 'Data Entry'!$V$733)</f>
      </c>
      <c r="W733">
        <f>IF(ISBLANK('Data Entry'!$W$733), "", 'Data Entry'!$W$733)</f>
      </c>
      <c r="X733">
        <f>IF(ISBLANK('Data Entry'!$X$733), "", 'Data Entry'!$X$733)</f>
      </c>
      <c r="Y733">
        <f>IF(ISBLANK('Data Entry'!$Y$733), "", 'Data Entry'!$Y$733)</f>
      </c>
      <c r="Z733">
        <f>IF(ISBLANK('Data Entry'!$Z$733), "", 'Data Entry'!$Z$733)</f>
      </c>
      <c r="AA733">
        <f>IF(ISBLANK('Data Entry'!$[$733), "", 'Data Entry'!$[$733)</f>
      </c>
      <c r="AB733">
        <f>IF(ISBLANK('Data Entry'!$\$733), "", 'Data Entry'!$\$733)</f>
      </c>
      <c r="AC733">
        <f>IF(ISBLANK('Data Entry'!$]$733), "", 'Data Entry'!$]$733)</f>
      </c>
      <c r="AD733">
        <f>IF(ISBLANK('Data Entry'!$^$733), "", 'Data Entry'!$^$733)</f>
      </c>
      <c r="AE733">
        <f>IF(ISBLANK('Data Entry'!$_$733), "", 'Data Entry'!$_$733)</f>
      </c>
      <c r="AF733">
        <f>IF(ISBLANK('Data Entry'!$`$733), "", 'Data Entry'!$`$733)</f>
      </c>
      <c r="AG733">
        <f>IF(ISBLANK('Data Entry'!$a$733), "", 'Data Entry'!$a$733)</f>
      </c>
      <c r="AH733">
        <f>IF(ISBLANK('Data Entry'!$b$733), "", 'Data Entry'!$b$733)</f>
      </c>
      <c r="AI733">
        <f>IF(ISBLANK('Data Entry'!$c$733), "", 'Data Entry'!$c$733)</f>
      </c>
      <c r="AJ733">
        <f>IF(ISBLANK('Data Entry'!$d$733), "", 'Data Entry'!$d$733)</f>
      </c>
      <c r="AK733">
        <f>IF(ISBLANK('Data Entry'!$e$733), "", 'Data Entry'!$e$733)</f>
      </c>
      <c r="AL733">
        <f>IF(ISBLANK('Data Entry'!$f$733), "", 'Data Entry'!$f$733)</f>
      </c>
      <c r="AM733">
        <f>IF(ISBLANK('Data Entry'!$g$733), "", 'Data Entry'!$g$733)</f>
      </c>
      <c r="AN733">
        <f>IF(ISBLANK('Data Entry'!$h$733), "", 'Data Entry'!$h$733)</f>
      </c>
      <c r="AO733">
        <f>IF(ISBLANK('Data Entry'!$i$733), "", 'Data Entry'!$i$733)</f>
      </c>
      <c r="AP733">
        <f>IF(ISBLANK('Data Entry'!$j$733), "", 'Data Entry'!$j$733)</f>
      </c>
      <c r="AQ733">
        <f>IF(ISBLANK('Data Entry'!$k$733), "", 'Data Entry'!$k$733)</f>
      </c>
      <c r="AR733">
        <f>IF(ISBLANK('Data Entry'!$l$733), "", 'Data Entry'!$l$733)</f>
      </c>
      <c r="AS733">
        <f>IF(ISBLANK('Data Entry'!$m$733), "", 'Data Entry'!$m$733)</f>
      </c>
      <c r="AT733">
        <f>IF(ISBLANK('Data Entry'!$n$733), "", 'Data Entry'!$n$733)</f>
      </c>
      <c r="AU733">
        <f>IF(ISBLANK('Data Entry'!$o$733), "", 'Data Entry'!$o$733)</f>
      </c>
      <c r="AV733">
        <f>IF(ISBLANK('Data Entry'!$p$733), "", 'Data Entry'!$p$733)</f>
      </c>
      <c r="AW733">
        <f>IF(ISBLANK('Data Entry'!$q$733), "", 'Data Entry'!$q$733)</f>
      </c>
      <c r="AX733">
        <f>IF(ISBLANK('Data Entry'!$r$733), "", 'Data Entry'!$r$733)</f>
      </c>
      <c r="AY733">
        <f>IF(ISBLANK('Data Entry'!$s$733), "", 'Data Entry'!$s$733)</f>
      </c>
      <c r="AZ733">
        <f>IF(ISBLANK('Data Entry'!$t$733), "", 'Data Entry'!$t$733)</f>
      </c>
      <c r="BA733">
        <f>IF(ISBLANK('Data Entry'!$u$733), "", 'Data Entry'!$u$733)</f>
      </c>
      <c r="BB733">
        <f>IF(ISBLANK('Data Entry'!$v$733), "", 'Data Entry'!$v$733)</f>
      </c>
      <c r="BC733">
        <f>IF(ISBLANK('Data Entry'!$w$733), "", 'Data Entry'!$w$733)</f>
      </c>
      <c r="BD733">
        <f>IF(ISBLANK('Data Entry'!$x$733), "", 'Data Entry'!$x$733)</f>
      </c>
      <c r="BE733">
        <f>IF(ISBLANK('Data Entry'!$y$733), "", 'Data Entry'!$y$733)</f>
      </c>
      <c r="BF733">
        <f>IF(ISBLANK('Data Entry'!$z$733), "", 'Data Entry'!$z$733)</f>
      </c>
      <c r="BG733">
        <f>IF(ISBLANK('Data Entry'!${$733), "", 'Data Entry'!${$733)</f>
      </c>
      <c r="BH733">
        <f>IF(ISBLANK('Data Entry'!$|$733), "", 'Data Entry'!$|$733)</f>
      </c>
      <c r="BI733">
        <f>IF(ISBLANK('Data Entry'!$}$733), "", 'Data Entry'!$}$733)</f>
      </c>
      <c r="BJ733">
        <f>IF(ISBLANK('Data Entry'!$~$733), "", 'Data Entry'!$~$733)</f>
      </c>
      <c r="BK733">
        <f>IF(ISBLANK('Data Entry'!$$733), "", 'Data Entry'!$$733)</f>
      </c>
      <c r="BL733">
        <f>IF(ISBLANK('Data Entry'!$$733), "", 'Data Entry'!$$733)</f>
      </c>
      <c r="BM733">
        <f>IF(ISBLANK('Data Entry'!$$733), "", 'Data Entry'!$$733)</f>
      </c>
      <c r="BN733">
        <f>IF(ISBLANK('Data Entry'!$$733), "", 'Data Entry'!$$733)</f>
      </c>
      <c r="BO733">
        <f>IF(ISBLANK('Data Entry'!$$733), "", 'Data Entry'!$$733)</f>
      </c>
      <c r="BP733">
        <f>IF(ISBLANK('Data Entry'!$$733), "", 'Data Entry'!$$733)</f>
      </c>
      <c r="BQ733">
        <f>IF(ISBLANK('Data Entry'!$$733), "", 'Data Entry'!$$733)</f>
      </c>
      <c r="BR733">
        <f>IF(ISBLANK('Data Entry'!$$733), "", 'Data Entry'!$$733)</f>
      </c>
      <c r="BS733">
        <f>IF(ISBLANK('Data Entry'!$$733), "", 'Data Entry'!$$733)</f>
      </c>
      <c r="BT733">
        <f>IF(ISBLANK('Data Entry'!$$733), "", 'Data Entry'!$$733)</f>
      </c>
      <c r="BU733">
        <f>IF(ISBLANK('Data Entry'!$$733), "", 'Data Entry'!$$733)</f>
      </c>
      <c r="BV733">
        <f>IF(ISBLANK('Data Entry'!$$733), "", 'Data Entry'!$$733)</f>
      </c>
      <c r="BW733">
        <f>IF(ISBLANK('Data Entry'!$$733), "", 'Data Entry'!$$733)</f>
      </c>
      <c r="BX733">
        <f>IF(ISBLANK('Data Entry'!$$733), "", 'Data Entry'!$$733)</f>
      </c>
      <c r="BY733">
        <f>IF(ISBLANK('Data Entry'!$$733), "", 'Data Entry'!$$733)</f>
      </c>
      <c r="BZ733">
        <f>IF(ISBLANK('Data Entry'!$$733), "", 'Data Entry'!$$733)</f>
      </c>
      <c r="CA733">
        <f>IF(ISBLANK('Data Entry'!$$733), "", 'Data Entry'!$$733)</f>
      </c>
      <c r="CB733">
        <f>IF(ISBLANK('Data Entry'!$$733), "", 'Data Entry'!$$733)</f>
      </c>
      <c r="CC733">
        <f>IF(ISBLANK('Data Entry'!$$733), "", 'Data Entry'!$$733)</f>
      </c>
      <c r="CD733">
        <f>IF(ISBLANK('Data Entry'!$$733), "", 'Data Entry'!$$733)</f>
      </c>
      <c r="CE733">
        <f>IF(ISBLANK('Data Entry'!$$733), "", 'Data Entry'!$$733)</f>
      </c>
      <c r="CF733">
        <f>IF(ISBLANK('Data Entry'!$$733), "", 'Data Entry'!$$733)</f>
      </c>
      <c r="CG733">
        <f>IF(ISBLANK('Data Entry'!$$733), "", 'Data Entry'!$$733)</f>
      </c>
      <c r="CH733">
        <f>IF(ISBLANK('Data Entry'!$$733), "", 'Data Entry'!$$733)</f>
      </c>
      <c r="CI733">
        <f>IF(ISBLANK('Data Entry'!$$733), "", 'Data Entry'!$$733)</f>
      </c>
      <c r="CJ733">
        <f>IF(ISBLANK('Data Entry'!$$733), "", 'Data Entry'!$$733)</f>
      </c>
      <c r="CK733">
        <f>IF(ISBLANK('Data Entry'!$$733), "", 'Data Entry'!$$733)</f>
      </c>
      <c r="CL733">
        <f>IF(ISBLANK('Data Entry'!$$733), "", 'Data Entry'!$$733)</f>
      </c>
      <c r="CM733">
        <f>IF(ISBLANK('Data Entry'!$$733), "", 'Data Entry'!$$733)</f>
      </c>
      <c r="CN733">
        <f>IF(ISBLANK('Data Entry'!$$733), "", 'Data Entry'!$$733)</f>
      </c>
      <c r="CO733">
        <f>IF(ISBLANK('Data Entry'!$$733), "", 'Data Entry'!$$733)</f>
      </c>
      <c r="CP733">
        <f>IF(ISBLANK('Data Entry'!$$733), "", 'Data Entry'!$$733)</f>
      </c>
      <c r="CQ733">
        <f>IF(ISBLANK('Data Entry'!$$733), "", 'Data Entry'!$$733)</f>
      </c>
      <c r="CR733">
        <f>IF(ISBLANK('Data Entry'!$ $733), "", 'Data Entry'!$ $733)</f>
      </c>
      <c r="CS733">
        <f>IF(ISBLANK('Data Entry'!$¡$733), "", 'Data Entry'!$¡$733)</f>
      </c>
      <c r="CT733">
        <f>IF(ISBLANK('Data Entry'!$¢$733), "", 'Data Entry'!$¢$733)</f>
      </c>
      <c r="CU733">
        <f>IF(ISBLANK('Data Entry'!$£$733), "", 'Data Entry'!$£$733)</f>
      </c>
      <c r="CV733">
        <f>IF(ISBLANK('Data Entry'!$¤$733), "", 'Data Entry'!$¤$733)</f>
      </c>
      <c r="CW733">
        <f>IF(ISBLANK('Data Entry'!$¥$733), "", 'Data Entry'!$¥$733)</f>
      </c>
      <c r="CX733">
        <f>IF(ISBLANK('Data Entry'!$¦$733), "", 'Data Entry'!$¦$733)</f>
      </c>
      <c r="CY733">
        <f>IF(ISBLANK('Data Entry'!$§$733), "", 'Data Entry'!$§$733)</f>
      </c>
      <c r="CZ733">
        <f>IF(ISBLANK('Data Entry'!$¨$733), "", 'Data Entry'!$¨$733)</f>
      </c>
      <c r="DA733">
        <f>IF(ISBLANK('Data Entry'!$©$733), "", 'Data Entry'!$©$733)</f>
      </c>
      <c r="DB733">
        <f>IF(ISBLANK('Data Entry'!$ª$733), "", 'Data Entry'!$ª$733)</f>
      </c>
      <c r="DC733">
        <f>IF(ISBLANK('Data Entry'!$«$733), "", 'Data Entry'!$«$733)</f>
      </c>
      <c r="DD733">
        <f>IF(ISBLANK('Data Entry'!$¬$733), "", 'Data Entry'!$¬$733)</f>
      </c>
      <c r="DE733">
        <f>IF(ISBLANK('Data Entry'!$­$733), "", 'Data Entry'!$­$733)</f>
      </c>
      <c r="DF733">
        <f>IF(ISBLANK('Data Entry'!$®$733), "", 'Data Entry'!$®$733)</f>
      </c>
      <c r="DG733">
        <f>IF(ISBLANK('Data Entry'!$¯$733), "", 'Data Entry'!$¯$733)</f>
      </c>
      <c r="DH733">
        <f>IF(ISBLANK('Data Entry'!$°$733), "", 'Data Entry'!$°$733)</f>
      </c>
      <c r="DI733">
        <f>IF(ISBLANK('Data Entry'!$±$733), "", 'Data Entry'!$±$733)</f>
      </c>
      <c r="DJ733">
        <f>IF(ISBLANK('Data Entry'!$²$733), "", 'Data Entry'!$²$733)</f>
      </c>
      <c r="DK733">
        <f>IF(ISBLANK('Data Entry'!$³$733), "", 'Data Entry'!$³$733)</f>
      </c>
      <c r="DL733">
        <f>IF(ISBLANK('Data Entry'!$´$733), "", 'Data Entry'!$´$733)</f>
      </c>
      <c r="DM733">
        <f>IF(ISBLANK('Data Entry'!$µ$733), "", 'Data Entry'!$µ$733)</f>
      </c>
      <c r="DN733">
        <f>IF(ISBLANK('Data Entry'!$¶$733), "", 'Data Entry'!$¶$733)</f>
      </c>
      <c r="DO733">
        <f>IF(ISBLANK('Data Entry'!$·$733), "", 'Data Entry'!$·$733)</f>
      </c>
      <c r="DP733">
        <f>IF(ISBLANK('Data Entry'!$¸$733), "", 'Data Entry'!$¸$733)</f>
      </c>
      <c r="DQ733">
        <f>IF(ISBLANK('Data Entry'!$¹$733), "", 'Data Entry'!$¹$733)</f>
      </c>
      <c r="DR733">
        <f>IF(ISBLANK('Data Entry'!$º$733), "", 'Data Entry'!$º$733)</f>
      </c>
      <c r="DS733">
        <f>IF(ISBLANK('Data Entry'!$»$733), "", 'Data Entry'!$»$733)</f>
      </c>
      <c r="DT733">
        <f>IF(ISBLANK('Data Entry'!$¼$733), "", 'Data Entry'!$¼$733)</f>
      </c>
      <c r="DU733">
        <f>IF(ISBLANK('Data Entry'!$½$733), "", 'Data Entry'!$½$733)</f>
      </c>
      <c r="DV733">
        <f>IF(ISBLANK('Data Entry'!$¾$733), "", 'Data Entry'!$¾$733)</f>
      </c>
      <c r="DW733">
        <f>IF(ISBLANK('Data Entry'!$¿$733), "", 'Data Entry'!$¿$733)</f>
      </c>
      <c r="DX733">
        <f>IF(ISBLANK('Data Entry'!$À$733), "", 'Data Entry'!$À$733)</f>
      </c>
      <c r="DY733">
        <f>IF(ISBLANK('Data Entry'!$Á$733), "", 'Data Entry'!$Á$733)</f>
      </c>
      <c r="DZ733">
        <f>IF(ISBLANK('Data Entry'!$Â$733), "", 'Data Entry'!$Â$733)</f>
      </c>
      <c r="EA733">
        <f>IF(ISBLANK('Data Entry'!$Ã$733), "", 'Data Entry'!$Ã$733)</f>
      </c>
      <c r="EB733">
        <f>IF(ISBLANK('Data Entry'!$Ä$733), "", 'Data Entry'!$Ä$733)</f>
      </c>
      <c r="EC733">
        <f>IF(ISBLANK('Data Entry'!$Å$733), "", 'Data Entry'!$Å$733)</f>
      </c>
      <c r="ED733">
        <f>IF(ISBLANK('Data Entry'!$Æ$733), "", 'Data Entry'!$Æ$733)</f>
      </c>
      <c r="EE733">
        <f>IF(ISBLANK('Data Entry'!$Ç$733), "", 'Data Entry'!$Ç$733)</f>
      </c>
      <c r="EF733">
        <f>IF(ISBLANK('Data Entry'!$È$733), "", 'Data Entry'!$È$733)</f>
      </c>
      <c r="EG733">
        <f>IF(ISBLANK('Data Entry'!$É$733), "", 'Data Entry'!$É$733)</f>
      </c>
      <c r="EH733">
        <f>IF(ISBLANK('Data Entry'!$Ê$733), "", 'Data Entry'!$Ê$733)</f>
      </c>
      <c r="EI733">
        <f>IF(ISBLANK('Data Entry'!$Ë$733), "", 'Data Entry'!$Ë$733)</f>
      </c>
      <c r="EJ733">
        <f>IF(ISBLANK('Data Entry'!$Ì$733), "", 'Data Entry'!$Ì$733)</f>
      </c>
      <c r="EK733">
        <f>IF(ISBLANK('Data Entry'!$Í$733), "", 'Data Entry'!$Í$733)</f>
      </c>
      <c r="EL733">
        <f>IF(ISBLANK('Data Entry'!$Î$733), "", 'Data Entry'!$Î$733)</f>
      </c>
      <c r="EM733">
        <f>IF(ISBLANK('Data Entry'!$Ï$733), "", 'Data Entry'!$Ï$733)</f>
      </c>
      <c r="EN733">
        <f>IF(ISBLANK('Data Entry'!$Ð$733), "", 'Data Entry'!$Ð$733)</f>
      </c>
      <c r="EO733">
        <f>IF(ISBLANK('Data Entry'!$Ñ$733), "", 'Data Entry'!$Ñ$733)</f>
      </c>
      <c r="EP733">
        <f>IF(ISBLANK('Data Entry'!$Ò$733), "", 'Data Entry'!$Ò$733)</f>
      </c>
      <c r="EQ733">
        <f>IF(ISBLANK('Data Entry'!$Ó$733), "", 'Data Entry'!$Ó$733)</f>
      </c>
      <c r="ER733">
        <f>IF(ISBLANK('Data Entry'!$Ô$733), "", 'Data Entry'!$Ô$733)</f>
      </c>
      <c r="ES733">
        <f>IF(ISBLANK('Data Entry'!$Õ$733), "", 'Data Entry'!$Õ$733)</f>
      </c>
      <c r="ET733">
        <f>IF(ISBLANK('Data Entry'!$Ö$733), "", 'Data Entry'!$Ö$733)</f>
      </c>
      <c r="EU733">
        <f>IF(ISBLANK('Data Entry'!$×$733), "", 'Data Entry'!$×$733)</f>
      </c>
      <c r="EV733">
        <f>IF(ISBLANK('Data Entry'!$Ø$733), "", 'Data Entry'!$Ø$733)</f>
      </c>
      <c r="EW733">
        <f>IF(ISBLANK('Data Entry'!$Ù$733), "", 'Data Entry'!$Ù$733)</f>
      </c>
      <c r="EX733">
        <f>IF(ISBLANK('Data Entry'!$Ú$733), "", 'Data Entry'!$Ú$733)</f>
      </c>
      <c r="EY733">
        <f>IF(ISBLANK('Data Entry'!$Û$733), "", 'Data Entry'!$Û$733)</f>
      </c>
      <c r="EZ733">
        <f>IF(ISBLANK('Data Entry'!$Ü$733), "", 'Data Entry'!$Ü$733)</f>
      </c>
      <c r="FA733">
        <f>IF(ISBLANK('Data Entry'!$Ý$733), "", 'Data Entry'!$Ý$733)</f>
      </c>
      <c r="FB733">
        <f>IF(ISBLANK('Data Entry'!$Þ$733), "", 'Data Entry'!$Þ$733)</f>
      </c>
      <c r="FC733">
        <f>IF(ISBLANK('Data Entry'!$ß$733), "", 'Data Entry'!$ß$733)</f>
      </c>
      <c r="FD733">
        <f>IF(ISBLANK('Data Entry'!$à$733), "", 'Data Entry'!$à$733)</f>
      </c>
      <c r="FE733">
        <f>IF(ISBLANK('Data Entry'!$á$733), "", 'Data Entry'!$á$733)</f>
      </c>
      <c r="FF733">
        <f>IF(ISBLANK('Data Entry'!$â$733), "", 'Data Entry'!$â$733)</f>
      </c>
      <c r="FG733">
        <f>IF(ISBLANK('Data Entry'!$ã$733), "", 'Data Entry'!$ã$733)</f>
      </c>
      <c r="FH733">
        <f>IF(ISBLANK('Data Entry'!$ä$733), "", 'Data Entry'!$ä$733)</f>
      </c>
      <c r="FI733">
        <f>IF(ISBLANK('Data Entry'!$å$733), "", 'Data Entry'!$å$733)</f>
      </c>
      <c r="FJ733">
        <f>IF(ISBLANK('Data Entry'!$æ$733), "", 'Data Entry'!$æ$733)</f>
      </c>
      <c r="FK733">
        <f>IF(ISBLANK('Data Entry'!$ç$733), "", 'Data Entry'!$ç$733)</f>
      </c>
      <c r="FL733">
        <f>IF(ISBLANK('Data Entry'!$è$733), "", 'Data Entry'!$è$733)</f>
      </c>
      <c r="FM733">
        <f>IF(ISBLANK('Data Entry'!$é$733), "", 'Data Entry'!$é$733)</f>
      </c>
      <c r="FN733">
        <f>IF(ISBLANK('Data Entry'!$ê$733), "", 'Data Entry'!$ê$733)</f>
      </c>
      <c r="FO733">
        <f>IF(ISBLANK('Data Entry'!$ë$733), "", 'Data Entry'!$ë$733)</f>
      </c>
      <c r="FP733">
        <f>IF(ISBLANK('Data Entry'!$ì$733), "", 'Data Entry'!$ì$733)</f>
      </c>
      <c r="FQ733">
        <f>IF(ISBLANK('Data Entry'!$í$733), "", 'Data Entry'!$í$733)</f>
      </c>
      <c r="FR733">
        <f>IF(ISBLANK('Data Entry'!$î$733), "", 'Data Entry'!$î$733)</f>
      </c>
      <c r="FS733">
        <f>IF(ISBLANK('Data Entry'!$ï$733), "", 'Data Entry'!$ï$733)</f>
      </c>
      <c r="FT733">
        <f>IF(ISBLANK('Data Entry'!$ð$733), "", 'Data Entry'!$ð$733)</f>
      </c>
      <c r="FU733">
        <f>IF(ISBLANK('Data Entry'!$ñ$733), "", 'Data Entry'!$ñ$733)</f>
      </c>
      <c r="FV733">
        <f>IF(ISBLANK('Data Entry'!$ò$733), "", 'Data Entry'!$ò$733)</f>
      </c>
      <c r="FW733">
        <f>IF(ISBLANK('Data Entry'!$ó$733), "", 'Data Entry'!$ó$733)</f>
      </c>
      <c r="FX733">
        <f>IF(ISBLANK('Data Entry'!$ô$733), "", 'Data Entry'!$ô$733)</f>
      </c>
      <c r="FY733">
        <f>IF(ISBLANK('Data Entry'!$õ$733), "", 'Data Entry'!$õ$733)</f>
      </c>
      <c r="FZ733">
        <f>IF(ISBLANK('Data Entry'!$ö$733), "", 'Data Entry'!$ö$733)</f>
      </c>
      <c r="GA733">
        <f>IF(ISBLANK('Data Entry'!$÷$733), "", 'Data Entry'!$÷$733)</f>
      </c>
      <c r="GB733">
        <f>IF(ISBLANK('Data Entry'!$ø$733), "", 'Data Entry'!$ø$733)</f>
      </c>
      <c r="GC733">
        <f>IF(ISBLANK('Data Entry'!$ù$733), "", 'Data Entry'!$ù$733)</f>
      </c>
      <c r="GD733">
        <f>IF(ISBLANK('Data Entry'!$ú$733), "", 'Data Entry'!$ú$733)</f>
      </c>
      <c r="GE733">
        <f>IF(ISBLANK('Data Entry'!$û$733), "", 'Data Entry'!$û$733)</f>
      </c>
      <c r="GF733">
        <f>IF(ISBLANK('Data Entry'!$ü$733), "", 'Data Entry'!$ü$733)</f>
      </c>
      <c r="GG733">
        <f>IF(ISBLANK('Data Entry'!$ý$733), "", 'Data Entry'!$ý$733)</f>
      </c>
      <c r="GH733">
        <f>IF(ISBLANK('Data Entry'!$þ$733), "", 'Data Entry'!$þ$733)</f>
      </c>
      <c r="GI733">
        <f>IF(ISBLANK('Data Entry'!$ÿ$733), "", 'Data Entry'!$ÿ$733)</f>
      </c>
      <c r="GJ733">
        <f>IF(ISBLANK('Data Entry'!$Ā$733), "", 'Data Entry'!$Ā$733)</f>
      </c>
      <c r="GK733">
        <f>IF(ISBLANK('Data Entry'!$ā$733), "", 'Data Entry'!$ā$733)</f>
      </c>
      <c r="GL733">
        <f>IF(ISBLANK('Data Entry'!$Ă$733), "", 'Data Entry'!$Ă$733)</f>
      </c>
      <c r="GM733">
        <f>IF(ISBLANK('Data Entry'!$ă$733), "", 'Data Entry'!$ă$733)</f>
      </c>
      <c r="GN733">
        <f>IF(ISBLANK('Data Entry'!$Ą$733), "", 'Data Entry'!$Ą$733)</f>
      </c>
      <c r="GO733">
        <f>IF(ISBLANK('Data Entry'!$ą$733), "", 'Data Entry'!$ą$733)</f>
      </c>
      <c r="GP733">
        <f>IF(ISBLANK('Data Entry'!$Ć$733), "", 'Data Entry'!$Ć$733)</f>
      </c>
      <c r="GQ733">
        <f>IF(ISBLANK('Data Entry'!$ć$733), "", 'Data Entry'!$ć$733)</f>
      </c>
      <c r="GR733">
        <f>IF(ISBLANK('Data Entry'!$Ĉ$733), "", 'Data Entry'!$Ĉ$733)</f>
      </c>
      <c r="GS733">
        <f>IF(ISBLANK('Data Entry'!$ĉ$733), "", 'Data Entry'!$ĉ$733)</f>
      </c>
      <c r="GT733">
        <f>IF(ISBLANK('Data Entry'!$Ċ$733), "", 'Data Entry'!$Ċ$733)</f>
      </c>
      <c r="GU733">
        <f>IF(ISBLANK('Data Entry'!$ċ$733), "", 'Data Entry'!$ċ$733)</f>
      </c>
      <c r="GV733">
        <f>IF(ISBLANK('Data Entry'!$Č$733), "", 'Data Entry'!$Č$733)</f>
      </c>
      <c r="GW733">
        <f>IF(ISBLANK('Data Entry'!$č$733), "", 'Data Entry'!$č$733)</f>
      </c>
      <c r="GX733">
        <f>IF(ISBLANK('Data Entry'!$Ď$733), "", 'Data Entry'!$Ď$733)</f>
      </c>
      <c r="GY733">
        <f>IF(ISBLANK('Data Entry'!$ď$733), "", 'Data Entry'!$ď$733)</f>
      </c>
      <c r="GZ733">
        <f>IF(ISBLANK('Data Entry'!$Đ$733), "", 'Data Entry'!$Đ$733)</f>
      </c>
      <c r="HA733">
        <f>IF(ISBLANK('Data Entry'!$đ$733), "", 'Data Entry'!$đ$733)</f>
      </c>
      <c r="HB733">
        <f>IF(ISBLANK('Data Entry'!$Ē$733), "", 'Data Entry'!$Ē$733)</f>
      </c>
      <c r="HC733">
        <f>IF(ISBLANK('Data Entry'!$ē$733), "", 'Data Entry'!$ē$733)</f>
      </c>
      <c r="HD733">
        <f>IF(ISBLANK('Data Entry'!$Ĕ$733), "", 'Data Entry'!$Ĕ$733)</f>
      </c>
      <c r="HE733">
        <f>IF(ISBLANK('Data Entry'!$ĕ$733), "", 'Data Entry'!$ĕ$733)</f>
      </c>
      <c r="HF733">
        <f>IF(ISBLANK('Data Entry'!$Ė$733), "", 'Data Entry'!$Ė$733)</f>
      </c>
      <c r="HG733">
        <f>IF(ISBLANK('Data Entry'!$ė$733), "", 'Data Entry'!$ė$733)</f>
      </c>
      <c r="HH733">
        <f>IF(ISBLANK('Data Entry'!$Ę$733), "", 'Data Entry'!$Ę$733)</f>
      </c>
      <c r="HI733">
        <f>IF(ISBLANK('Data Entry'!$ę$733), "", 'Data Entry'!$ę$733)</f>
      </c>
      <c r="HJ733">
        <f>IF(ISBLANK('Data Entry'!$Ě$733), "", 'Data Entry'!$Ě$733)</f>
      </c>
      <c r="HK733">
        <f>IF(ISBLANK('Data Entry'!$ě$733), "", 'Data Entry'!$ě$733)</f>
      </c>
      <c r="HL733">
        <f>IF(ISBLANK('Data Entry'!$Ĝ$733), "", 'Data Entry'!$Ĝ$733)</f>
      </c>
      <c r="HM733">
        <f>IF(ISBLANK('Data Entry'!$ĝ$733), "", 'Data Entry'!$ĝ$733)</f>
      </c>
      <c r="HN733">
        <f>IF(ISBLANK('Data Entry'!$Ğ$733), "", 'Data Entry'!$Ğ$733)</f>
      </c>
      <c r="HO733">
        <f>IF(ISBLANK('Data Entry'!$ğ$733), "", 'Data Entry'!$ğ$733)</f>
      </c>
      <c r="HP733">
        <f>IF(ISBLANK('Data Entry'!$Ġ$733), "", 'Data Entry'!$Ġ$733)</f>
      </c>
      <c r="HQ733">
        <f>IF(ISBLANK('Data Entry'!$ġ$733), "", 'Data Entry'!$ġ$733)</f>
      </c>
      <c r="HR733">
        <f>IF(ISBLANK('Data Entry'!$Ģ$733), "", 'Data Entry'!$Ģ$733)</f>
      </c>
      <c r="HS733">
        <f>IF(ISBLANK('Data Entry'!$ģ$733), "", 'Data Entry'!$ģ$733)</f>
      </c>
      <c r="HT733">
        <f>IF(ISBLANK('Data Entry'!$Ĥ$733), "", 'Data Entry'!$Ĥ$733)</f>
      </c>
      <c r="HU733">
        <f>IF(ISBLANK('Data Entry'!$ĥ$733), "", 'Data Entry'!$ĥ$733)</f>
      </c>
      <c r="HV733">
        <f>IF(ISBLANK('Data Entry'!$Ħ$733), "", 'Data Entry'!$Ħ$733)</f>
      </c>
      <c r="HW733">
        <f>IF(ISBLANK('Data Entry'!$ħ$733), "", 'Data Entry'!$ħ$733)</f>
      </c>
      <c r="HX733">
        <f>IF(ISBLANK('Data Entry'!$Ĩ$733), "", 'Data Entry'!$Ĩ$733)</f>
      </c>
      <c r="HY733">
        <f>IF(ISBLANK('Data Entry'!$ĩ$733), "", 'Data Entry'!$ĩ$733)</f>
      </c>
      <c r="HZ733">
        <f>IF(ISBLANK('Data Entry'!$Ī$733), "", 'Data Entry'!$Ī$733)</f>
      </c>
      <c r="IA733">
        <f>IF(ISBLANK('Data Entry'!$ī$733), "", 'Data Entry'!$ī$733)</f>
      </c>
      <c r="IB733">
        <f>IF(ISBLANK('Data Entry'!$Ĭ$733), "", 'Data Entry'!$Ĭ$733)</f>
      </c>
      <c r="IC733">
        <f>IF(ISBLANK('Data Entry'!$ĭ$733), "", 'Data Entry'!$ĭ$733)</f>
      </c>
      <c r="ID733">
        <f>IF(ISBLANK('Data Entry'!$Į$733), "", 'Data Entry'!$Į$733)</f>
      </c>
      <c r="IE733">
        <f>IF(ISBLANK('Data Entry'!$į$733), "", 'Data Entry'!$į$733)</f>
      </c>
      <c r="IF733">
        <f>IF(ISBLANK('Data Entry'!$İ$733), "", 'Data Entry'!$İ$733)</f>
      </c>
      <c r="IG733">
        <f>IF(ISBLANK('Data Entry'!$ı$733), "", 'Data Entry'!$ı$733)</f>
      </c>
      <c r="IH733">
        <f>IF(ISBLANK('Data Entry'!$Ĳ$733), "", 'Data Entry'!$Ĳ$733)</f>
      </c>
      <c r="II733">
        <f>IF(ISBLANK('Data Entry'!$ĳ$733), "", 'Data Entry'!$ĳ$733)</f>
      </c>
      <c r="IJ733">
        <f>IF(ISBLANK('Data Entry'!$Ĵ$733), "", 'Data Entry'!$Ĵ$733)</f>
      </c>
      <c r="IK733">
        <f>IF(ISBLANK('Data Entry'!$ĵ$733), "", 'Data Entry'!$ĵ$733)</f>
      </c>
      <c r="IL733">
        <f>IF(ISBLANK('Data Entry'!$Ķ$733), "", 'Data Entry'!$Ķ$733)</f>
      </c>
      <c r="IM733">
        <f>IF(ISBLANK('Data Entry'!$ķ$733), "", 'Data Entry'!$ķ$733)</f>
      </c>
      <c r="IN733">
        <f>IF(ISBLANK('Data Entry'!$ĸ$733), "", 'Data Entry'!$ĸ$733)</f>
      </c>
      <c r="IO733">
        <f>IF(ISBLANK('Data Entry'!$Ĺ$733), "", 'Data Entry'!$Ĺ$733)</f>
      </c>
      <c r="IP733">
        <f>IF(ISBLANK('Data Entry'!$ĺ$733), "", 'Data Entry'!$ĺ$733)</f>
      </c>
      <c r="IQ733">
        <f>IF(ISBLANK('Data Entry'!$Ļ$733), "", 'Data Entry'!$Ļ$733)</f>
      </c>
      <c r="IR733">
        <f>IF(ISBLANK('Data Entry'!$ļ$733), "", 'Data Entry'!$ļ$733)</f>
      </c>
      <c r="IS733">
        <f>IF(ISBLANK('Data Entry'!$Ľ$733), "", 'Data Entry'!$Ľ$733)</f>
      </c>
      <c r="IT733">
        <f>IF(ISBLANK('Data Entry'!$ľ$733), "", 'Data Entry'!$ľ$733)</f>
      </c>
    </row>
    <row r="734" spans="1:254" x14ac:dyDescent="0.25">
      <c r="A734">
        <f>IF(ISBLANK('Data Entry'!$A$734), "", 'Data Entry'!$A$734)</f>
      </c>
      <c r="B734">
        <f>IF(ISBLANK('Data Entry'!$B$734), "", 'Data Entry'!$B$734)</f>
      </c>
      <c r="C734">
        <f>IF(ISBLANK('Data Entry'!$C$734), "", 'Data Entry'!$C$734)</f>
      </c>
      <c r="D734">
        <f>IF(ISBLANK('Data Entry'!$D$734), "", 'Data Entry'!$D$734)</f>
      </c>
      <c r="E734">
        <f>IF(ISBLANK('Data Entry'!$E$734), "", 'Data Entry'!$E$734)</f>
      </c>
      <c r="F734">
        <f>IF(ISBLANK('Data Entry'!$F$734), "", 'Data Entry'!$F$734)</f>
      </c>
      <c r="G734">
        <f>IF(ISBLANK('Data Entry'!$G$734), "", 'Data Entry'!$G$734)</f>
      </c>
      <c r="H734">
        <f>IF(ISBLANK('Data Entry'!$H$734), "", 'Data Entry'!$H$734)</f>
      </c>
      <c r="I734">
        <f>IF(ISBLANK('Data Entry'!$I$734), "", 'Data Entry'!$I$734)</f>
      </c>
      <c r="J734">
        <f>IF(ISBLANK('Data Entry'!$J$734), "", 'Data Entry'!$J$734)</f>
      </c>
      <c r="K734">
        <f>IF(ISBLANK('Data Entry'!$K$734), "", 'Data Entry'!$K$734)</f>
      </c>
      <c r="L734">
        <f>IF(ISBLANK('Data Entry'!$L$734), "", 'Data Entry'!$L$734)</f>
      </c>
      <c r="M734">
        <f>IF(ISBLANK('Data Entry'!$M$734), "", 'Data Entry'!$M$734)</f>
      </c>
      <c r="N734">
        <f>IF(ISBLANK('Data Entry'!$N$734), "", 'Data Entry'!$N$734)</f>
      </c>
      <c r="O734">
        <f>IF(ISBLANK('Data Entry'!$O$734), "", 'Data Entry'!$O$734)</f>
      </c>
      <c r="P734">
        <f>IF(ISBLANK('Data Entry'!$P$734), "", 'Data Entry'!$P$734)</f>
      </c>
      <c r="Q734">
        <f>IF(ISBLANK('Data Entry'!$Q$734), "", 'Data Entry'!$Q$734)</f>
      </c>
      <c r="R734">
        <f>IF(ISBLANK('Data Entry'!$R$734), "", 'Data Entry'!$R$734)</f>
      </c>
      <c r="S734">
        <f>IF(ISBLANK('Data Entry'!$S$734), "", 'Data Entry'!$S$734)</f>
      </c>
      <c r="T734">
        <f>IF(ISBLANK('Data Entry'!$T$734), "", 'Data Entry'!$T$734)</f>
      </c>
      <c r="U734">
        <f>IF(ISBLANK('Data Entry'!$U$734), "", 'Data Entry'!$U$734)</f>
      </c>
      <c r="V734">
        <f>IF(ISBLANK('Data Entry'!$V$734), "", 'Data Entry'!$V$734)</f>
      </c>
      <c r="W734">
        <f>IF(ISBLANK('Data Entry'!$W$734), "", 'Data Entry'!$W$734)</f>
      </c>
      <c r="X734">
        <f>IF(ISBLANK('Data Entry'!$X$734), "", 'Data Entry'!$X$734)</f>
      </c>
      <c r="Y734">
        <f>IF(ISBLANK('Data Entry'!$Y$734), "", 'Data Entry'!$Y$734)</f>
      </c>
      <c r="Z734">
        <f>IF(ISBLANK('Data Entry'!$Z$734), "", 'Data Entry'!$Z$734)</f>
      </c>
      <c r="AA734">
        <f>IF(ISBLANK('Data Entry'!$[$734), "", 'Data Entry'!$[$734)</f>
      </c>
      <c r="AB734">
        <f>IF(ISBLANK('Data Entry'!$\$734), "", 'Data Entry'!$\$734)</f>
      </c>
      <c r="AC734">
        <f>IF(ISBLANK('Data Entry'!$]$734), "", 'Data Entry'!$]$734)</f>
      </c>
      <c r="AD734">
        <f>IF(ISBLANK('Data Entry'!$^$734), "", 'Data Entry'!$^$734)</f>
      </c>
      <c r="AE734">
        <f>IF(ISBLANK('Data Entry'!$_$734), "", 'Data Entry'!$_$734)</f>
      </c>
      <c r="AF734">
        <f>IF(ISBLANK('Data Entry'!$`$734), "", 'Data Entry'!$`$734)</f>
      </c>
      <c r="AG734">
        <f>IF(ISBLANK('Data Entry'!$a$734), "", 'Data Entry'!$a$734)</f>
      </c>
      <c r="AH734">
        <f>IF(ISBLANK('Data Entry'!$b$734), "", 'Data Entry'!$b$734)</f>
      </c>
      <c r="AI734">
        <f>IF(ISBLANK('Data Entry'!$c$734), "", 'Data Entry'!$c$734)</f>
      </c>
      <c r="AJ734">
        <f>IF(ISBLANK('Data Entry'!$d$734), "", 'Data Entry'!$d$734)</f>
      </c>
      <c r="AK734">
        <f>IF(ISBLANK('Data Entry'!$e$734), "", 'Data Entry'!$e$734)</f>
      </c>
      <c r="AL734">
        <f>IF(ISBLANK('Data Entry'!$f$734), "", 'Data Entry'!$f$734)</f>
      </c>
      <c r="AM734">
        <f>IF(ISBLANK('Data Entry'!$g$734), "", 'Data Entry'!$g$734)</f>
      </c>
      <c r="AN734">
        <f>IF(ISBLANK('Data Entry'!$h$734), "", 'Data Entry'!$h$734)</f>
      </c>
      <c r="AO734">
        <f>IF(ISBLANK('Data Entry'!$i$734), "", 'Data Entry'!$i$734)</f>
      </c>
      <c r="AP734">
        <f>IF(ISBLANK('Data Entry'!$j$734), "", 'Data Entry'!$j$734)</f>
      </c>
      <c r="AQ734">
        <f>IF(ISBLANK('Data Entry'!$k$734), "", 'Data Entry'!$k$734)</f>
      </c>
      <c r="AR734">
        <f>IF(ISBLANK('Data Entry'!$l$734), "", 'Data Entry'!$l$734)</f>
      </c>
      <c r="AS734">
        <f>IF(ISBLANK('Data Entry'!$m$734), "", 'Data Entry'!$m$734)</f>
      </c>
      <c r="AT734">
        <f>IF(ISBLANK('Data Entry'!$n$734), "", 'Data Entry'!$n$734)</f>
      </c>
      <c r="AU734">
        <f>IF(ISBLANK('Data Entry'!$o$734), "", 'Data Entry'!$o$734)</f>
      </c>
      <c r="AV734">
        <f>IF(ISBLANK('Data Entry'!$p$734), "", 'Data Entry'!$p$734)</f>
      </c>
      <c r="AW734">
        <f>IF(ISBLANK('Data Entry'!$q$734), "", 'Data Entry'!$q$734)</f>
      </c>
      <c r="AX734">
        <f>IF(ISBLANK('Data Entry'!$r$734), "", 'Data Entry'!$r$734)</f>
      </c>
      <c r="AY734">
        <f>IF(ISBLANK('Data Entry'!$s$734), "", 'Data Entry'!$s$734)</f>
      </c>
      <c r="AZ734">
        <f>IF(ISBLANK('Data Entry'!$t$734), "", 'Data Entry'!$t$734)</f>
      </c>
      <c r="BA734">
        <f>IF(ISBLANK('Data Entry'!$u$734), "", 'Data Entry'!$u$734)</f>
      </c>
      <c r="BB734">
        <f>IF(ISBLANK('Data Entry'!$v$734), "", 'Data Entry'!$v$734)</f>
      </c>
      <c r="BC734">
        <f>IF(ISBLANK('Data Entry'!$w$734), "", 'Data Entry'!$w$734)</f>
      </c>
      <c r="BD734">
        <f>IF(ISBLANK('Data Entry'!$x$734), "", 'Data Entry'!$x$734)</f>
      </c>
      <c r="BE734">
        <f>IF(ISBLANK('Data Entry'!$y$734), "", 'Data Entry'!$y$734)</f>
      </c>
      <c r="BF734">
        <f>IF(ISBLANK('Data Entry'!$z$734), "", 'Data Entry'!$z$734)</f>
      </c>
      <c r="BG734">
        <f>IF(ISBLANK('Data Entry'!${$734), "", 'Data Entry'!${$734)</f>
      </c>
      <c r="BH734">
        <f>IF(ISBLANK('Data Entry'!$|$734), "", 'Data Entry'!$|$734)</f>
      </c>
      <c r="BI734">
        <f>IF(ISBLANK('Data Entry'!$}$734), "", 'Data Entry'!$}$734)</f>
      </c>
      <c r="BJ734">
        <f>IF(ISBLANK('Data Entry'!$~$734), "", 'Data Entry'!$~$734)</f>
      </c>
      <c r="BK734">
        <f>IF(ISBLANK('Data Entry'!$$734), "", 'Data Entry'!$$734)</f>
      </c>
      <c r="BL734">
        <f>IF(ISBLANK('Data Entry'!$$734), "", 'Data Entry'!$$734)</f>
      </c>
      <c r="BM734">
        <f>IF(ISBLANK('Data Entry'!$$734), "", 'Data Entry'!$$734)</f>
      </c>
      <c r="BN734">
        <f>IF(ISBLANK('Data Entry'!$$734), "", 'Data Entry'!$$734)</f>
      </c>
      <c r="BO734">
        <f>IF(ISBLANK('Data Entry'!$$734), "", 'Data Entry'!$$734)</f>
      </c>
      <c r="BP734">
        <f>IF(ISBLANK('Data Entry'!$$734), "", 'Data Entry'!$$734)</f>
      </c>
      <c r="BQ734">
        <f>IF(ISBLANK('Data Entry'!$$734), "", 'Data Entry'!$$734)</f>
      </c>
      <c r="BR734">
        <f>IF(ISBLANK('Data Entry'!$$734), "", 'Data Entry'!$$734)</f>
      </c>
      <c r="BS734">
        <f>IF(ISBLANK('Data Entry'!$$734), "", 'Data Entry'!$$734)</f>
      </c>
      <c r="BT734">
        <f>IF(ISBLANK('Data Entry'!$$734), "", 'Data Entry'!$$734)</f>
      </c>
      <c r="BU734">
        <f>IF(ISBLANK('Data Entry'!$$734), "", 'Data Entry'!$$734)</f>
      </c>
      <c r="BV734">
        <f>IF(ISBLANK('Data Entry'!$$734), "", 'Data Entry'!$$734)</f>
      </c>
      <c r="BW734">
        <f>IF(ISBLANK('Data Entry'!$$734), "", 'Data Entry'!$$734)</f>
      </c>
      <c r="BX734">
        <f>IF(ISBLANK('Data Entry'!$$734), "", 'Data Entry'!$$734)</f>
      </c>
      <c r="BY734">
        <f>IF(ISBLANK('Data Entry'!$$734), "", 'Data Entry'!$$734)</f>
      </c>
      <c r="BZ734">
        <f>IF(ISBLANK('Data Entry'!$$734), "", 'Data Entry'!$$734)</f>
      </c>
      <c r="CA734">
        <f>IF(ISBLANK('Data Entry'!$$734), "", 'Data Entry'!$$734)</f>
      </c>
      <c r="CB734">
        <f>IF(ISBLANK('Data Entry'!$$734), "", 'Data Entry'!$$734)</f>
      </c>
      <c r="CC734">
        <f>IF(ISBLANK('Data Entry'!$$734), "", 'Data Entry'!$$734)</f>
      </c>
      <c r="CD734">
        <f>IF(ISBLANK('Data Entry'!$$734), "", 'Data Entry'!$$734)</f>
      </c>
      <c r="CE734">
        <f>IF(ISBLANK('Data Entry'!$$734), "", 'Data Entry'!$$734)</f>
      </c>
      <c r="CF734">
        <f>IF(ISBLANK('Data Entry'!$$734), "", 'Data Entry'!$$734)</f>
      </c>
      <c r="CG734">
        <f>IF(ISBLANK('Data Entry'!$$734), "", 'Data Entry'!$$734)</f>
      </c>
      <c r="CH734">
        <f>IF(ISBLANK('Data Entry'!$$734), "", 'Data Entry'!$$734)</f>
      </c>
      <c r="CI734">
        <f>IF(ISBLANK('Data Entry'!$$734), "", 'Data Entry'!$$734)</f>
      </c>
      <c r="CJ734">
        <f>IF(ISBLANK('Data Entry'!$$734), "", 'Data Entry'!$$734)</f>
      </c>
      <c r="CK734">
        <f>IF(ISBLANK('Data Entry'!$$734), "", 'Data Entry'!$$734)</f>
      </c>
      <c r="CL734">
        <f>IF(ISBLANK('Data Entry'!$$734), "", 'Data Entry'!$$734)</f>
      </c>
      <c r="CM734">
        <f>IF(ISBLANK('Data Entry'!$$734), "", 'Data Entry'!$$734)</f>
      </c>
      <c r="CN734">
        <f>IF(ISBLANK('Data Entry'!$$734), "", 'Data Entry'!$$734)</f>
      </c>
      <c r="CO734">
        <f>IF(ISBLANK('Data Entry'!$$734), "", 'Data Entry'!$$734)</f>
      </c>
      <c r="CP734">
        <f>IF(ISBLANK('Data Entry'!$$734), "", 'Data Entry'!$$734)</f>
      </c>
      <c r="CQ734">
        <f>IF(ISBLANK('Data Entry'!$$734), "", 'Data Entry'!$$734)</f>
      </c>
      <c r="CR734">
        <f>IF(ISBLANK('Data Entry'!$ $734), "", 'Data Entry'!$ $734)</f>
      </c>
      <c r="CS734">
        <f>IF(ISBLANK('Data Entry'!$¡$734), "", 'Data Entry'!$¡$734)</f>
      </c>
      <c r="CT734">
        <f>IF(ISBLANK('Data Entry'!$¢$734), "", 'Data Entry'!$¢$734)</f>
      </c>
      <c r="CU734">
        <f>IF(ISBLANK('Data Entry'!$£$734), "", 'Data Entry'!$£$734)</f>
      </c>
      <c r="CV734">
        <f>IF(ISBLANK('Data Entry'!$¤$734), "", 'Data Entry'!$¤$734)</f>
      </c>
      <c r="CW734">
        <f>IF(ISBLANK('Data Entry'!$¥$734), "", 'Data Entry'!$¥$734)</f>
      </c>
      <c r="CX734">
        <f>IF(ISBLANK('Data Entry'!$¦$734), "", 'Data Entry'!$¦$734)</f>
      </c>
      <c r="CY734">
        <f>IF(ISBLANK('Data Entry'!$§$734), "", 'Data Entry'!$§$734)</f>
      </c>
      <c r="CZ734">
        <f>IF(ISBLANK('Data Entry'!$¨$734), "", 'Data Entry'!$¨$734)</f>
      </c>
      <c r="DA734">
        <f>IF(ISBLANK('Data Entry'!$©$734), "", 'Data Entry'!$©$734)</f>
      </c>
      <c r="DB734">
        <f>IF(ISBLANK('Data Entry'!$ª$734), "", 'Data Entry'!$ª$734)</f>
      </c>
      <c r="DC734">
        <f>IF(ISBLANK('Data Entry'!$«$734), "", 'Data Entry'!$«$734)</f>
      </c>
      <c r="DD734">
        <f>IF(ISBLANK('Data Entry'!$¬$734), "", 'Data Entry'!$¬$734)</f>
      </c>
      <c r="DE734">
        <f>IF(ISBLANK('Data Entry'!$­$734), "", 'Data Entry'!$­$734)</f>
      </c>
      <c r="DF734">
        <f>IF(ISBLANK('Data Entry'!$®$734), "", 'Data Entry'!$®$734)</f>
      </c>
      <c r="DG734">
        <f>IF(ISBLANK('Data Entry'!$¯$734), "", 'Data Entry'!$¯$734)</f>
      </c>
      <c r="DH734">
        <f>IF(ISBLANK('Data Entry'!$°$734), "", 'Data Entry'!$°$734)</f>
      </c>
      <c r="DI734">
        <f>IF(ISBLANK('Data Entry'!$±$734), "", 'Data Entry'!$±$734)</f>
      </c>
      <c r="DJ734">
        <f>IF(ISBLANK('Data Entry'!$²$734), "", 'Data Entry'!$²$734)</f>
      </c>
      <c r="DK734">
        <f>IF(ISBLANK('Data Entry'!$³$734), "", 'Data Entry'!$³$734)</f>
      </c>
      <c r="DL734">
        <f>IF(ISBLANK('Data Entry'!$´$734), "", 'Data Entry'!$´$734)</f>
      </c>
      <c r="DM734">
        <f>IF(ISBLANK('Data Entry'!$µ$734), "", 'Data Entry'!$µ$734)</f>
      </c>
      <c r="DN734">
        <f>IF(ISBLANK('Data Entry'!$¶$734), "", 'Data Entry'!$¶$734)</f>
      </c>
      <c r="DO734">
        <f>IF(ISBLANK('Data Entry'!$·$734), "", 'Data Entry'!$·$734)</f>
      </c>
      <c r="DP734">
        <f>IF(ISBLANK('Data Entry'!$¸$734), "", 'Data Entry'!$¸$734)</f>
      </c>
      <c r="DQ734">
        <f>IF(ISBLANK('Data Entry'!$¹$734), "", 'Data Entry'!$¹$734)</f>
      </c>
      <c r="DR734">
        <f>IF(ISBLANK('Data Entry'!$º$734), "", 'Data Entry'!$º$734)</f>
      </c>
      <c r="DS734">
        <f>IF(ISBLANK('Data Entry'!$»$734), "", 'Data Entry'!$»$734)</f>
      </c>
      <c r="DT734">
        <f>IF(ISBLANK('Data Entry'!$¼$734), "", 'Data Entry'!$¼$734)</f>
      </c>
      <c r="DU734">
        <f>IF(ISBLANK('Data Entry'!$½$734), "", 'Data Entry'!$½$734)</f>
      </c>
      <c r="DV734">
        <f>IF(ISBLANK('Data Entry'!$¾$734), "", 'Data Entry'!$¾$734)</f>
      </c>
      <c r="DW734">
        <f>IF(ISBLANK('Data Entry'!$¿$734), "", 'Data Entry'!$¿$734)</f>
      </c>
      <c r="DX734">
        <f>IF(ISBLANK('Data Entry'!$À$734), "", 'Data Entry'!$À$734)</f>
      </c>
      <c r="DY734">
        <f>IF(ISBLANK('Data Entry'!$Á$734), "", 'Data Entry'!$Á$734)</f>
      </c>
      <c r="DZ734">
        <f>IF(ISBLANK('Data Entry'!$Â$734), "", 'Data Entry'!$Â$734)</f>
      </c>
      <c r="EA734">
        <f>IF(ISBLANK('Data Entry'!$Ã$734), "", 'Data Entry'!$Ã$734)</f>
      </c>
      <c r="EB734">
        <f>IF(ISBLANK('Data Entry'!$Ä$734), "", 'Data Entry'!$Ä$734)</f>
      </c>
      <c r="EC734">
        <f>IF(ISBLANK('Data Entry'!$Å$734), "", 'Data Entry'!$Å$734)</f>
      </c>
      <c r="ED734">
        <f>IF(ISBLANK('Data Entry'!$Æ$734), "", 'Data Entry'!$Æ$734)</f>
      </c>
      <c r="EE734">
        <f>IF(ISBLANK('Data Entry'!$Ç$734), "", 'Data Entry'!$Ç$734)</f>
      </c>
      <c r="EF734">
        <f>IF(ISBLANK('Data Entry'!$È$734), "", 'Data Entry'!$È$734)</f>
      </c>
      <c r="EG734">
        <f>IF(ISBLANK('Data Entry'!$É$734), "", 'Data Entry'!$É$734)</f>
      </c>
      <c r="EH734">
        <f>IF(ISBLANK('Data Entry'!$Ê$734), "", 'Data Entry'!$Ê$734)</f>
      </c>
      <c r="EI734">
        <f>IF(ISBLANK('Data Entry'!$Ë$734), "", 'Data Entry'!$Ë$734)</f>
      </c>
      <c r="EJ734">
        <f>IF(ISBLANK('Data Entry'!$Ì$734), "", 'Data Entry'!$Ì$734)</f>
      </c>
      <c r="EK734">
        <f>IF(ISBLANK('Data Entry'!$Í$734), "", 'Data Entry'!$Í$734)</f>
      </c>
      <c r="EL734">
        <f>IF(ISBLANK('Data Entry'!$Î$734), "", 'Data Entry'!$Î$734)</f>
      </c>
      <c r="EM734">
        <f>IF(ISBLANK('Data Entry'!$Ï$734), "", 'Data Entry'!$Ï$734)</f>
      </c>
      <c r="EN734">
        <f>IF(ISBLANK('Data Entry'!$Ð$734), "", 'Data Entry'!$Ð$734)</f>
      </c>
      <c r="EO734">
        <f>IF(ISBLANK('Data Entry'!$Ñ$734), "", 'Data Entry'!$Ñ$734)</f>
      </c>
      <c r="EP734">
        <f>IF(ISBLANK('Data Entry'!$Ò$734), "", 'Data Entry'!$Ò$734)</f>
      </c>
      <c r="EQ734">
        <f>IF(ISBLANK('Data Entry'!$Ó$734), "", 'Data Entry'!$Ó$734)</f>
      </c>
      <c r="ER734">
        <f>IF(ISBLANK('Data Entry'!$Ô$734), "", 'Data Entry'!$Ô$734)</f>
      </c>
      <c r="ES734">
        <f>IF(ISBLANK('Data Entry'!$Õ$734), "", 'Data Entry'!$Õ$734)</f>
      </c>
      <c r="ET734">
        <f>IF(ISBLANK('Data Entry'!$Ö$734), "", 'Data Entry'!$Ö$734)</f>
      </c>
      <c r="EU734">
        <f>IF(ISBLANK('Data Entry'!$×$734), "", 'Data Entry'!$×$734)</f>
      </c>
      <c r="EV734">
        <f>IF(ISBLANK('Data Entry'!$Ø$734), "", 'Data Entry'!$Ø$734)</f>
      </c>
      <c r="EW734">
        <f>IF(ISBLANK('Data Entry'!$Ù$734), "", 'Data Entry'!$Ù$734)</f>
      </c>
      <c r="EX734">
        <f>IF(ISBLANK('Data Entry'!$Ú$734), "", 'Data Entry'!$Ú$734)</f>
      </c>
      <c r="EY734">
        <f>IF(ISBLANK('Data Entry'!$Û$734), "", 'Data Entry'!$Û$734)</f>
      </c>
      <c r="EZ734">
        <f>IF(ISBLANK('Data Entry'!$Ü$734), "", 'Data Entry'!$Ü$734)</f>
      </c>
      <c r="FA734">
        <f>IF(ISBLANK('Data Entry'!$Ý$734), "", 'Data Entry'!$Ý$734)</f>
      </c>
      <c r="FB734">
        <f>IF(ISBLANK('Data Entry'!$Þ$734), "", 'Data Entry'!$Þ$734)</f>
      </c>
      <c r="FC734">
        <f>IF(ISBLANK('Data Entry'!$ß$734), "", 'Data Entry'!$ß$734)</f>
      </c>
      <c r="FD734">
        <f>IF(ISBLANK('Data Entry'!$à$734), "", 'Data Entry'!$à$734)</f>
      </c>
      <c r="FE734">
        <f>IF(ISBLANK('Data Entry'!$á$734), "", 'Data Entry'!$á$734)</f>
      </c>
      <c r="FF734">
        <f>IF(ISBLANK('Data Entry'!$â$734), "", 'Data Entry'!$â$734)</f>
      </c>
      <c r="FG734">
        <f>IF(ISBLANK('Data Entry'!$ã$734), "", 'Data Entry'!$ã$734)</f>
      </c>
      <c r="FH734">
        <f>IF(ISBLANK('Data Entry'!$ä$734), "", 'Data Entry'!$ä$734)</f>
      </c>
      <c r="FI734">
        <f>IF(ISBLANK('Data Entry'!$å$734), "", 'Data Entry'!$å$734)</f>
      </c>
      <c r="FJ734">
        <f>IF(ISBLANK('Data Entry'!$æ$734), "", 'Data Entry'!$æ$734)</f>
      </c>
      <c r="FK734">
        <f>IF(ISBLANK('Data Entry'!$ç$734), "", 'Data Entry'!$ç$734)</f>
      </c>
      <c r="FL734">
        <f>IF(ISBLANK('Data Entry'!$è$734), "", 'Data Entry'!$è$734)</f>
      </c>
      <c r="FM734">
        <f>IF(ISBLANK('Data Entry'!$é$734), "", 'Data Entry'!$é$734)</f>
      </c>
      <c r="FN734">
        <f>IF(ISBLANK('Data Entry'!$ê$734), "", 'Data Entry'!$ê$734)</f>
      </c>
      <c r="FO734">
        <f>IF(ISBLANK('Data Entry'!$ë$734), "", 'Data Entry'!$ë$734)</f>
      </c>
      <c r="FP734">
        <f>IF(ISBLANK('Data Entry'!$ì$734), "", 'Data Entry'!$ì$734)</f>
      </c>
      <c r="FQ734">
        <f>IF(ISBLANK('Data Entry'!$í$734), "", 'Data Entry'!$í$734)</f>
      </c>
      <c r="FR734">
        <f>IF(ISBLANK('Data Entry'!$î$734), "", 'Data Entry'!$î$734)</f>
      </c>
      <c r="FS734">
        <f>IF(ISBLANK('Data Entry'!$ï$734), "", 'Data Entry'!$ï$734)</f>
      </c>
      <c r="FT734">
        <f>IF(ISBLANK('Data Entry'!$ð$734), "", 'Data Entry'!$ð$734)</f>
      </c>
      <c r="FU734">
        <f>IF(ISBLANK('Data Entry'!$ñ$734), "", 'Data Entry'!$ñ$734)</f>
      </c>
      <c r="FV734">
        <f>IF(ISBLANK('Data Entry'!$ò$734), "", 'Data Entry'!$ò$734)</f>
      </c>
      <c r="FW734">
        <f>IF(ISBLANK('Data Entry'!$ó$734), "", 'Data Entry'!$ó$734)</f>
      </c>
      <c r="FX734">
        <f>IF(ISBLANK('Data Entry'!$ô$734), "", 'Data Entry'!$ô$734)</f>
      </c>
      <c r="FY734">
        <f>IF(ISBLANK('Data Entry'!$õ$734), "", 'Data Entry'!$õ$734)</f>
      </c>
      <c r="FZ734">
        <f>IF(ISBLANK('Data Entry'!$ö$734), "", 'Data Entry'!$ö$734)</f>
      </c>
      <c r="GA734">
        <f>IF(ISBLANK('Data Entry'!$÷$734), "", 'Data Entry'!$÷$734)</f>
      </c>
      <c r="GB734">
        <f>IF(ISBLANK('Data Entry'!$ø$734), "", 'Data Entry'!$ø$734)</f>
      </c>
      <c r="GC734">
        <f>IF(ISBLANK('Data Entry'!$ù$734), "", 'Data Entry'!$ù$734)</f>
      </c>
      <c r="GD734">
        <f>IF(ISBLANK('Data Entry'!$ú$734), "", 'Data Entry'!$ú$734)</f>
      </c>
      <c r="GE734">
        <f>IF(ISBLANK('Data Entry'!$û$734), "", 'Data Entry'!$û$734)</f>
      </c>
      <c r="GF734">
        <f>IF(ISBLANK('Data Entry'!$ü$734), "", 'Data Entry'!$ü$734)</f>
      </c>
      <c r="GG734">
        <f>IF(ISBLANK('Data Entry'!$ý$734), "", 'Data Entry'!$ý$734)</f>
      </c>
      <c r="GH734">
        <f>IF(ISBLANK('Data Entry'!$þ$734), "", 'Data Entry'!$þ$734)</f>
      </c>
      <c r="GI734">
        <f>IF(ISBLANK('Data Entry'!$ÿ$734), "", 'Data Entry'!$ÿ$734)</f>
      </c>
      <c r="GJ734">
        <f>IF(ISBLANK('Data Entry'!$Ā$734), "", 'Data Entry'!$Ā$734)</f>
      </c>
      <c r="GK734">
        <f>IF(ISBLANK('Data Entry'!$ā$734), "", 'Data Entry'!$ā$734)</f>
      </c>
      <c r="GL734">
        <f>IF(ISBLANK('Data Entry'!$Ă$734), "", 'Data Entry'!$Ă$734)</f>
      </c>
      <c r="GM734">
        <f>IF(ISBLANK('Data Entry'!$ă$734), "", 'Data Entry'!$ă$734)</f>
      </c>
      <c r="GN734">
        <f>IF(ISBLANK('Data Entry'!$Ą$734), "", 'Data Entry'!$Ą$734)</f>
      </c>
      <c r="GO734">
        <f>IF(ISBLANK('Data Entry'!$ą$734), "", 'Data Entry'!$ą$734)</f>
      </c>
      <c r="GP734">
        <f>IF(ISBLANK('Data Entry'!$Ć$734), "", 'Data Entry'!$Ć$734)</f>
      </c>
      <c r="GQ734">
        <f>IF(ISBLANK('Data Entry'!$ć$734), "", 'Data Entry'!$ć$734)</f>
      </c>
      <c r="GR734">
        <f>IF(ISBLANK('Data Entry'!$Ĉ$734), "", 'Data Entry'!$Ĉ$734)</f>
      </c>
      <c r="GS734">
        <f>IF(ISBLANK('Data Entry'!$ĉ$734), "", 'Data Entry'!$ĉ$734)</f>
      </c>
      <c r="GT734">
        <f>IF(ISBLANK('Data Entry'!$Ċ$734), "", 'Data Entry'!$Ċ$734)</f>
      </c>
      <c r="GU734">
        <f>IF(ISBLANK('Data Entry'!$ċ$734), "", 'Data Entry'!$ċ$734)</f>
      </c>
      <c r="GV734">
        <f>IF(ISBLANK('Data Entry'!$Č$734), "", 'Data Entry'!$Č$734)</f>
      </c>
      <c r="GW734">
        <f>IF(ISBLANK('Data Entry'!$č$734), "", 'Data Entry'!$č$734)</f>
      </c>
      <c r="GX734">
        <f>IF(ISBLANK('Data Entry'!$Ď$734), "", 'Data Entry'!$Ď$734)</f>
      </c>
      <c r="GY734">
        <f>IF(ISBLANK('Data Entry'!$ď$734), "", 'Data Entry'!$ď$734)</f>
      </c>
      <c r="GZ734">
        <f>IF(ISBLANK('Data Entry'!$Đ$734), "", 'Data Entry'!$Đ$734)</f>
      </c>
      <c r="HA734">
        <f>IF(ISBLANK('Data Entry'!$đ$734), "", 'Data Entry'!$đ$734)</f>
      </c>
      <c r="HB734">
        <f>IF(ISBLANK('Data Entry'!$Ē$734), "", 'Data Entry'!$Ē$734)</f>
      </c>
      <c r="HC734">
        <f>IF(ISBLANK('Data Entry'!$ē$734), "", 'Data Entry'!$ē$734)</f>
      </c>
      <c r="HD734">
        <f>IF(ISBLANK('Data Entry'!$Ĕ$734), "", 'Data Entry'!$Ĕ$734)</f>
      </c>
      <c r="HE734">
        <f>IF(ISBLANK('Data Entry'!$ĕ$734), "", 'Data Entry'!$ĕ$734)</f>
      </c>
      <c r="HF734">
        <f>IF(ISBLANK('Data Entry'!$Ė$734), "", 'Data Entry'!$Ė$734)</f>
      </c>
      <c r="HG734">
        <f>IF(ISBLANK('Data Entry'!$ė$734), "", 'Data Entry'!$ė$734)</f>
      </c>
      <c r="HH734">
        <f>IF(ISBLANK('Data Entry'!$Ę$734), "", 'Data Entry'!$Ę$734)</f>
      </c>
      <c r="HI734">
        <f>IF(ISBLANK('Data Entry'!$ę$734), "", 'Data Entry'!$ę$734)</f>
      </c>
      <c r="HJ734">
        <f>IF(ISBLANK('Data Entry'!$Ě$734), "", 'Data Entry'!$Ě$734)</f>
      </c>
      <c r="HK734">
        <f>IF(ISBLANK('Data Entry'!$ě$734), "", 'Data Entry'!$ě$734)</f>
      </c>
      <c r="HL734">
        <f>IF(ISBLANK('Data Entry'!$Ĝ$734), "", 'Data Entry'!$Ĝ$734)</f>
      </c>
      <c r="HM734">
        <f>IF(ISBLANK('Data Entry'!$ĝ$734), "", 'Data Entry'!$ĝ$734)</f>
      </c>
      <c r="HN734">
        <f>IF(ISBLANK('Data Entry'!$Ğ$734), "", 'Data Entry'!$Ğ$734)</f>
      </c>
      <c r="HO734">
        <f>IF(ISBLANK('Data Entry'!$ğ$734), "", 'Data Entry'!$ğ$734)</f>
      </c>
      <c r="HP734">
        <f>IF(ISBLANK('Data Entry'!$Ġ$734), "", 'Data Entry'!$Ġ$734)</f>
      </c>
      <c r="HQ734">
        <f>IF(ISBLANK('Data Entry'!$ġ$734), "", 'Data Entry'!$ġ$734)</f>
      </c>
      <c r="HR734">
        <f>IF(ISBLANK('Data Entry'!$Ģ$734), "", 'Data Entry'!$Ģ$734)</f>
      </c>
      <c r="HS734">
        <f>IF(ISBLANK('Data Entry'!$ģ$734), "", 'Data Entry'!$ģ$734)</f>
      </c>
      <c r="HT734">
        <f>IF(ISBLANK('Data Entry'!$Ĥ$734), "", 'Data Entry'!$Ĥ$734)</f>
      </c>
      <c r="HU734">
        <f>IF(ISBLANK('Data Entry'!$ĥ$734), "", 'Data Entry'!$ĥ$734)</f>
      </c>
      <c r="HV734">
        <f>IF(ISBLANK('Data Entry'!$Ħ$734), "", 'Data Entry'!$Ħ$734)</f>
      </c>
      <c r="HW734">
        <f>IF(ISBLANK('Data Entry'!$ħ$734), "", 'Data Entry'!$ħ$734)</f>
      </c>
      <c r="HX734">
        <f>IF(ISBLANK('Data Entry'!$Ĩ$734), "", 'Data Entry'!$Ĩ$734)</f>
      </c>
      <c r="HY734">
        <f>IF(ISBLANK('Data Entry'!$ĩ$734), "", 'Data Entry'!$ĩ$734)</f>
      </c>
      <c r="HZ734">
        <f>IF(ISBLANK('Data Entry'!$Ī$734), "", 'Data Entry'!$Ī$734)</f>
      </c>
      <c r="IA734">
        <f>IF(ISBLANK('Data Entry'!$ī$734), "", 'Data Entry'!$ī$734)</f>
      </c>
      <c r="IB734">
        <f>IF(ISBLANK('Data Entry'!$Ĭ$734), "", 'Data Entry'!$Ĭ$734)</f>
      </c>
      <c r="IC734">
        <f>IF(ISBLANK('Data Entry'!$ĭ$734), "", 'Data Entry'!$ĭ$734)</f>
      </c>
      <c r="ID734">
        <f>IF(ISBLANK('Data Entry'!$Į$734), "", 'Data Entry'!$Į$734)</f>
      </c>
      <c r="IE734">
        <f>IF(ISBLANK('Data Entry'!$į$734), "", 'Data Entry'!$į$734)</f>
      </c>
      <c r="IF734">
        <f>IF(ISBLANK('Data Entry'!$İ$734), "", 'Data Entry'!$İ$734)</f>
      </c>
      <c r="IG734">
        <f>IF(ISBLANK('Data Entry'!$ı$734), "", 'Data Entry'!$ı$734)</f>
      </c>
      <c r="IH734">
        <f>IF(ISBLANK('Data Entry'!$Ĳ$734), "", 'Data Entry'!$Ĳ$734)</f>
      </c>
      <c r="II734">
        <f>IF(ISBLANK('Data Entry'!$ĳ$734), "", 'Data Entry'!$ĳ$734)</f>
      </c>
      <c r="IJ734">
        <f>IF(ISBLANK('Data Entry'!$Ĵ$734), "", 'Data Entry'!$Ĵ$734)</f>
      </c>
      <c r="IK734">
        <f>IF(ISBLANK('Data Entry'!$ĵ$734), "", 'Data Entry'!$ĵ$734)</f>
      </c>
      <c r="IL734">
        <f>IF(ISBLANK('Data Entry'!$Ķ$734), "", 'Data Entry'!$Ķ$734)</f>
      </c>
      <c r="IM734">
        <f>IF(ISBLANK('Data Entry'!$ķ$734), "", 'Data Entry'!$ķ$734)</f>
      </c>
      <c r="IN734">
        <f>IF(ISBLANK('Data Entry'!$ĸ$734), "", 'Data Entry'!$ĸ$734)</f>
      </c>
      <c r="IO734">
        <f>IF(ISBLANK('Data Entry'!$Ĺ$734), "", 'Data Entry'!$Ĺ$734)</f>
      </c>
      <c r="IP734">
        <f>IF(ISBLANK('Data Entry'!$ĺ$734), "", 'Data Entry'!$ĺ$734)</f>
      </c>
      <c r="IQ734">
        <f>IF(ISBLANK('Data Entry'!$Ļ$734), "", 'Data Entry'!$Ļ$734)</f>
      </c>
      <c r="IR734">
        <f>IF(ISBLANK('Data Entry'!$ļ$734), "", 'Data Entry'!$ļ$734)</f>
      </c>
      <c r="IS734">
        <f>IF(ISBLANK('Data Entry'!$Ľ$734), "", 'Data Entry'!$Ľ$734)</f>
      </c>
      <c r="IT734">
        <f>IF(ISBLANK('Data Entry'!$ľ$734), "", 'Data Entry'!$ľ$734)</f>
      </c>
    </row>
    <row r="735" spans="1:254" x14ac:dyDescent="0.25">
      <c r="A735">
        <f>IF(ISBLANK('Data Entry'!$A$735), "", 'Data Entry'!$A$735)</f>
      </c>
      <c r="B735">
        <f>IF(ISBLANK('Data Entry'!$B$735), "", 'Data Entry'!$B$735)</f>
      </c>
      <c r="C735">
        <f>IF(ISBLANK('Data Entry'!$C$735), "", 'Data Entry'!$C$735)</f>
      </c>
      <c r="D735">
        <f>IF(ISBLANK('Data Entry'!$D$735), "", 'Data Entry'!$D$735)</f>
      </c>
      <c r="E735">
        <f>IF(ISBLANK('Data Entry'!$E$735), "", 'Data Entry'!$E$735)</f>
      </c>
      <c r="F735">
        <f>IF(ISBLANK('Data Entry'!$F$735), "", 'Data Entry'!$F$735)</f>
      </c>
      <c r="G735">
        <f>IF(ISBLANK('Data Entry'!$G$735), "", 'Data Entry'!$G$735)</f>
      </c>
      <c r="H735">
        <f>IF(ISBLANK('Data Entry'!$H$735), "", 'Data Entry'!$H$735)</f>
      </c>
      <c r="I735">
        <f>IF(ISBLANK('Data Entry'!$I$735), "", 'Data Entry'!$I$735)</f>
      </c>
      <c r="J735">
        <f>IF(ISBLANK('Data Entry'!$J$735), "", 'Data Entry'!$J$735)</f>
      </c>
      <c r="K735">
        <f>IF(ISBLANK('Data Entry'!$K$735), "", 'Data Entry'!$K$735)</f>
      </c>
      <c r="L735">
        <f>IF(ISBLANK('Data Entry'!$L$735), "", 'Data Entry'!$L$735)</f>
      </c>
      <c r="M735">
        <f>IF(ISBLANK('Data Entry'!$M$735), "", 'Data Entry'!$M$735)</f>
      </c>
      <c r="N735">
        <f>IF(ISBLANK('Data Entry'!$N$735), "", 'Data Entry'!$N$735)</f>
      </c>
      <c r="O735">
        <f>IF(ISBLANK('Data Entry'!$O$735), "", 'Data Entry'!$O$735)</f>
      </c>
      <c r="P735">
        <f>IF(ISBLANK('Data Entry'!$P$735), "", 'Data Entry'!$P$735)</f>
      </c>
      <c r="Q735">
        <f>IF(ISBLANK('Data Entry'!$Q$735), "", 'Data Entry'!$Q$735)</f>
      </c>
      <c r="R735">
        <f>IF(ISBLANK('Data Entry'!$R$735), "", 'Data Entry'!$R$735)</f>
      </c>
      <c r="S735">
        <f>IF(ISBLANK('Data Entry'!$S$735), "", 'Data Entry'!$S$735)</f>
      </c>
      <c r="T735">
        <f>IF(ISBLANK('Data Entry'!$T$735), "", 'Data Entry'!$T$735)</f>
      </c>
      <c r="U735">
        <f>IF(ISBLANK('Data Entry'!$U$735), "", 'Data Entry'!$U$735)</f>
      </c>
      <c r="V735">
        <f>IF(ISBLANK('Data Entry'!$V$735), "", 'Data Entry'!$V$735)</f>
      </c>
      <c r="W735">
        <f>IF(ISBLANK('Data Entry'!$W$735), "", 'Data Entry'!$W$735)</f>
      </c>
      <c r="X735">
        <f>IF(ISBLANK('Data Entry'!$X$735), "", 'Data Entry'!$X$735)</f>
      </c>
      <c r="Y735">
        <f>IF(ISBLANK('Data Entry'!$Y$735), "", 'Data Entry'!$Y$735)</f>
      </c>
      <c r="Z735">
        <f>IF(ISBLANK('Data Entry'!$Z$735), "", 'Data Entry'!$Z$735)</f>
      </c>
      <c r="AA735">
        <f>IF(ISBLANK('Data Entry'!$[$735), "", 'Data Entry'!$[$735)</f>
      </c>
      <c r="AB735">
        <f>IF(ISBLANK('Data Entry'!$\$735), "", 'Data Entry'!$\$735)</f>
      </c>
      <c r="AC735">
        <f>IF(ISBLANK('Data Entry'!$]$735), "", 'Data Entry'!$]$735)</f>
      </c>
      <c r="AD735">
        <f>IF(ISBLANK('Data Entry'!$^$735), "", 'Data Entry'!$^$735)</f>
      </c>
      <c r="AE735">
        <f>IF(ISBLANK('Data Entry'!$_$735), "", 'Data Entry'!$_$735)</f>
      </c>
      <c r="AF735">
        <f>IF(ISBLANK('Data Entry'!$`$735), "", 'Data Entry'!$`$735)</f>
      </c>
      <c r="AG735">
        <f>IF(ISBLANK('Data Entry'!$a$735), "", 'Data Entry'!$a$735)</f>
      </c>
      <c r="AH735">
        <f>IF(ISBLANK('Data Entry'!$b$735), "", 'Data Entry'!$b$735)</f>
      </c>
      <c r="AI735">
        <f>IF(ISBLANK('Data Entry'!$c$735), "", 'Data Entry'!$c$735)</f>
      </c>
      <c r="AJ735">
        <f>IF(ISBLANK('Data Entry'!$d$735), "", 'Data Entry'!$d$735)</f>
      </c>
      <c r="AK735">
        <f>IF(ISBLANK('Data Entry'!$e$735), "", 'Data Entry'!$e$735)</f>
      </c>
      <c r="AL735">
        <f>IF(ISBLANK('Data Entry'!$f$735), "", 'Data Entry'!$f$735)</f>
      </c>
      <c r="AM735">
        <f>IF(ISBLANK('Data Entry'!$g$735), "", 'Data Entry'!$g$735)</f>
      </c>
      <c r="AN735">
        <f>IF(ISBLANK('Data Entry'!$h$735), "", 'Data Entry'!$h$735)</f>
      </c>
      <c r="AO735">
        <f>IF(ISBLANK('Data Entry'!$i$735), "", 'Data Entry'!$i$735)</f>
      </c>
      <c r="AP735">
        <f>IF(ISBLANK('Data Entry'!$j$735), "", 'Data Entry'!$j$735)</f>
      </c>
      <c r="AQ735">
        <f>IF(ISBLANK('Data Entry'!$k$735), "", 'Data Entry'!$k$735)</f>
      </c>
      <c r="AR735">
        <f>IF(ISBLANK('Data Entry'!$l$735), "", 'Data Entry'!$l$735)</f>
      </c>
      <c r="AS735">
        <f>IF(ISBLANK('Data Entry'!$m$735), "", 'Data Entry'!$m$735)</f>
      </c>
      <c r="AT735">
        <f>IF(ISBLANK('Data Entry'!$n$735), "", 'Data Entry'!$n$735)</f>
      </c>
      <c r="AU735">
        <f>IF(ISBLANK('Data Entry'!$o$735), "", 'Data Entry'!$o$735)</f>
      </c>
      <c r="AV735">
        <f>IF(ISBLANK('Data Entry'!$p$735), "", 'Data Entry'!$p$735)</f>
      </c>
      <c r="AW735">
        <f>IF(ISBLANK('Data Entry'!$q$735), "", 'Data Entry'!$q$735)</f>
      </c>
      <c r="AX735">
        <f>IF(ISBLANK('Data Entry'!$r$735), "", 'Data Entry'!$r$735)</f>
      </c>
      <c r="AY735">
        <f>IF(ISBLANK('Data Entry'!$s$735), "", 'Data Entry'!$s$735)</f>
      </c>
      <c r="AZ735">
        <f>IF(ISBLANK('Data Entry'!$t$735), "", 'Data Entry'!$t$735)</f>
      </c>
      <c r="BA735">
        <f>IF(ISBLANK('Data Entry'!$u$735), "", 'Data Entry'!$u$735)</f>
      </c>
      <c r="BB735">
        <f>IF(ISBLANK('Data Entry'!$v$735), "", 'Data Entry'!$v$735)</f>
      </c>
      <c r="BC735">
        <f>IF(ISBLANK('Data Entry'!$w$735), "", 'Data Entry'!$w$735)</f>
      </c>
      <c r="BD735">
        <f>IF(ISBLANK('Data Entry'!$x$735), "", 'Data Entry'!$x$735)</f>
      </c>
      <c r="BE735">
        <f>IF(ISBLANK('Data Entry'!$y$735), "", 'Data Entry'!$y$735)</f>
      </c>
      <c r="BF735">
        <f>IF(ISBLANK('Data Entry'!$z$735), "", 'Data Entry'!$z$735)</f>
      </c>
      <c r="BG735">
        <f>IF(ISBLANK('Data Entry'!${$735), "", 'Data Entry'!${$735)</f>
      </c>
      <c r="BH735">
        <f>IF(ISBLANK('Data Entry'!$|$735), "", 'Data Entry'!$|$735)</f>
      </c>
      <c r="BI735">
        <f>IF(ISBLANK('Data Entry'!$}$735), "", 'Data Entry'!$}$735)</f>
      </c>
      <c r="BJ735">
        <f>IF(ISBLANK('Data Entry'!$~$735), "", 'Data Entry'!$~$735)</f>
      </c>
      <c r="BK735">
        <f>IF(ISBLANK('Data Entry'!$$735), "", 'Data Entry'!$$735)</f>
      </c>
      <c r="BL735">
        <f>IF(ISBLANK('Data Entry'!$$735), "", 'Data Entry'!$$735)</f>
      </c>
      <c r="BM735">
        <f>IF(ISBLANK('Data Entry'!$$735), "", 'Data Entry'!$$735)</f>
      </c>
      <c r="BN735">
        <f>IF(ISBLANK('Data Entry'!$$735), "", 'Data Entry'!$$735)</f>
      </c>
      <c r="BO735">
        <f>IF(ISBLANK('Data Entry'!$$735), "", 'Data Entry'!$$735)</f>
      </c>
      <c r="BP735">
        <f>IF(ISBLANK('Data Entry'!$$735), "", 'Data Entry'!$$735)</f>
      </c>
      <c r="BQ735">
        <f>IF(ISBLANK('Data Entry'!$$735), "", 'Data Entry'!$$735)</f>
      </c>
      <c r="BR735">
        <f>IF(ISBLANK('Data Entry'!$$735), "", 'Data Entry'!$$735)</f>
      </c>
      <c r="BS735">
        <f>IF(ISBLANK('Data Entry'!$$735), "", 'Data Entry'!$$735)</f>
      </c>
      <c r="BT735">
        <f>IF(ISBLANK('Data Entry'!$$735), "", 'Data Entry'!$$735)</f>
      </c>
      <c r="BU735">
        <f>IF(ISBLANK('Data Entry'!$$735), "", 'Data Entry'!$$735)</f>
      </c>
      <c r="BV735">
        <f>IF(ISBLANK('Data Entry'!$$735), "", 'Data Entry'!$$735)</f>
      </c>
      <c r="BW735">
        <f>IF(ISBLANK('Data Entry'!$$735), "", 'Data Entry'!$$735)</f>
      </c>
      <c r="BX735">
        <f>IF(ISBLANK('Data Entry'!$$735), "", 'Data Entry'!$$735)</f>
      </c>
      <c r="BY735">
        <f>IF(ISBLANK('Data Entry'!$$735), "", 'Data Entry'!$$735)</f>
      </c>
      <c r="BZ735">
        <f>IF(ISBLANK('Data Entry'!$$735), "", 'Data Entry'!$$735)</f>
      </c>
      <c r="CA735">
        <f>IF(ISBLANK('Data Entry'!$$735), "", 'Data Entry'!$$735)</f>
      </c>
      <c r="CB735">
        <f>IF(ISBLANK('Data Entry'!$$735), "", 'Data Entry'!$$735)</f>
      </c>
      <c r="CC735">
        <f>IF(ISBLANK('Data Entry'!$$735), "", 'Data Entry'!$$735)</f>
      </c>
      <c r="CD735">
        <f>IF(ISBLANK('Data Entry'!$$735), "", 'Data Entry'!$$735)</f>
      </c>
      <c r="CE735">
        <f>IF(ISBLANK('Data Entry'!$$735), "", 'Data Entry'!$$735)</f>
      </c>
      <c r="CF735">
        <f>IF(ISBLANK('Data Entry'!$$735), "", 'Data Entry'!$$735)</f>
      </c>
      <c r="CG735">
        <f>IF(ISBLANK('Data Entry'!$$735), "", 'Data Entry'!$$735)</f>
      </c>
      <c r="CH735">
        <f>IF(ISBLANK('Data Entry'!$$735), "", 'Data Entry'!$$735)</f>
      </c>
      <c r="CI735">
        <f>IF(ISBLANK('Data Entry'!$$735), "", 'Data Entry'!$$735)</f>
      </c>
      <c r="CJ735">
        <f>IF(ISBLANK('Data Entry'!$$735), "", 'Data Entry'!$$735)</f>
      </c>
      <c r="CK735">
        <f>IF(ISBLANK('Data Entry'!$$735), "", 'Data Entry'!$$735)</f>
      </c>
      <c r="CL735">
        <f>IF(ISBLANK('Data Entry'!$$735), "", 'Data Entry'!$$735)</f>
      </c>
      <c r="CM735">
        <f>IF(ISBLANK('Data Entry'!$$735), "", 'Data Entry'!$$735)</f>
      </c>
      <c r="CN735">
        <f>IF(ISBLANK('Data Entry'!$$735), "", 'Data Entry'!$$735)</f>
      </c>
      <c r="CO735">
        <f>IF(ISBLANK('Data Entry'!$$735), "", 'Data Entry'!$$735)</f>
      </c>
      <c r="CP735">
        <f>IF(ISBLANK('Data Entry'!$$735), "", 'Data Entry'!$$735)</f>
      </c>
      <c r="CQ735">
        <f>IF(ISBLANK('Data Entry'!$$735), "", 'Data Entry'!$$735)</f>
      </c>
      <c r="CR735">
        <f>IF(ISBLANK('Data Entry'!$ $735), "", 'Data Entry'!$ $735)</f>
      </c>
      <c r="CS735">
        <f>IF(ISBLANK('Data Entry'!$¡$735), "", 'Data Entry'!$¡$735)</f>
      </c>
      <c r="CT735">
        <f>IF(ISBLANK('Data Entry'!$¢$735), "", 'Data Entry'!$¢$735)</f>
      </c>
      <c r="CU735">
        <f>IF(ISBLANK('Data Entry'!$£$735), "", 'Data Entry'!$£$735)</f>
      </c>
      <c r="CV735">
        <f>IF(ISBLANK('Data Entry'!$¤$735), "", 'Data Entry'!$¤$735)</f>
      </c>
      <c r="CW735">
        <f>IF(ISBLANK('Data Entry'!$¥$735), "", 'Data Entry'!$¥$735)</f>
      </c>
      <c r="CX735">
        <f>IF(ISBLANK('Data Entry'!$¦$735), "", 'Data Entry'!$¦$735)</f>
      </c>
      <c r="CY735">
        <f>IF(ISBLANK('Data Entry'!$§$735), "", 'Data Entry'!$§$735)</f>
      </c>
      <c r="CZ735">
        <f>IF(ISBLANK('Data Entry'!$¨$735), "", 'Data Entry'!$¨$735)</f>
      </c>
      <c r="DA735">
        <f>IF(ISBLANK('Data Entry'!$©$735), "", 'Data Entry'!$©$735)</f>
      </c>
      <c r="DB735">
        <f>IF(ISBLANK('Data Entry'!$ª$735), "", 'Data Entry'!$ª$735)</f>
      </c>
      <c r="DC735">
        <f>IF(ISBLANK('Data Entry'!$«$735), "", 'Data Entry'!$«$735)</f>
      </c>
      <c r="DD735">
        <f>IF(ISBLANK('Data Entry'!$¬$735), "", 'Data Entry'!$¬$735)</f>
      </c>
      <c r="DE735">
        <f>IF(ISBLANK('Data Entry'!$­$735), "", 'Data Entry'!$­$735)</f>
      </c>
      <c r="DF735">
        <f>IF(ISBLANK('Data Entry'!$®$735), "", 'Data Entry'!$®$735)</f>
      </c>
      <c r="DG735">
        <f>IF(ISBLANK('Data Entry'!$¯$735), "", 'Data Entry'!$¯$735)</f>
      </c>
      <c r="DH735">
        <f>IF(ISBLANK('Data Entry'!$°$735), "", 'Data Entry'!$°$735)</f>
      </c>
      <c r="DI735">
        <f>IF(ISBLANK('Data Entry'!$±$735), "", 'Data Entry'!$±$735)</f>
      </c>
      <c r="DJ735">
        <f>IF(ISBLANK('Data Entry'!$²$735), "", 'Data Entry'!$²$735)</f>
      </c>
      <c r="DK735">
        <f>IF(ISBLANK('Data Entry'!$³$735), "", 'Data Entry'!$³$735)</f>
      </c>
      <c r="DL735">
        <f>IF(ISBLANK('Data Entry'!$´$735), "", 'Data Entry'!$´$735)</f>
      </c>
      <c r="DM735">
        <f>IF(ISBLANK('Data Entry'!$µ$735), "", 'Data Entry'!$µ$735)</f>
      </c>
      <c r="DN735">
        <f>IF(ISBLANK('Data Entry'!$¶$735), "", 'Data Entry'!$¶$735)</f>
      </c>
      <c r="DO735">
        <f>IF(ISBLANK('Data Entry'!$·$735), "", 'Data Entry'!$·$735)</f>
      </c>
      <c r="DP735">
        <f>IF(ISBLANK('Data Entry'!$¸$735), "", 'Data Entry'!$¸$735)</f>
      </c>
      <c r="DQ735">
        <f>IF(ISBLANK('Data Entry'!$¹$735), "", 'Data Entry'!$¹$735)</f>
      </c>
      <c r="DR735">
        <f>IF(ISBLANK('Data Entry'!$º$735), "", 'Data Entry'!$º$735)</f>
      </c>
      <c r="DS735">
        <f>IF(ISBLANK('Data Entry'!$»$735), "", 'Data Entry'!$»$735)</f>
      </c>
      <c r="DT735">
        <f>IF(ISBLANK('Data Entry'!$¼$735), "", 'Data Entry'!$¼$735)</f>
      </c>
      <c r="DU735">
        <f>IF(ISBLANK('Data Entry'!$½$735), "", 'Data Entry'!$½$735)</f>
      </c>
      <c r="DV735">
        <f>IF(ISBLANK('Data Entry'!$¾$735), "", 'Data Entry'!$¾$735)</f>
      </c>
      <c r="DW735">
        <f>IF(ISBLANK('Data Entry'!$¿$735), "", 'Data Entry'!$¿$735)</f>
      </c>
      <c r="DX735">
        <f>IF(ISBLANK('Data Entry'!$À$735), "", 'Data Entry'!$À$735)</f>
      </c>
      <c r="DY735">
        <f>IF(ISBLANK('Data Entry'!$Á$735), "", 'Data Entry'!$Á$735)</f>
      </c>
      <c r="DZ735">
        <f>IF(ISBLANK('Data Entry'!$Â$735), "", 'Data Entry'!$Â$735)</f>
      </c>
      <c r="EA735">
        <f>IF(ISBLANK('Data Entry'!$Ã$735), "", 'Data Entry'!$Ã$735)</f>
      </c>
      <c r="EB735">
        <f>IF(ISBLANK('Data Entry'!$Ä$735), "", 'Data Entry'!$Ä$735)</f>
      </c>
      <c r="EC735">
        <f>IF(ISBLANK('Data Entry'!$Å$735), "", 'Data Entry'!$Å$735)</f>
      </c>
      <c r="ED735">
        <f>IF(ISBLANK('Data Entry'!$Æ$735), "", 'Data Entry'!$Æ$735)</f>
      </c>
      <c r="EE735">
        <f>IF(ISBLANK('Data Entry'!$Ç$735), "", 'Data Entry'!$Ç$735)</f>
      </c>
      <c r="EF735">
        <f>IF(ISBLANK('Data Entry'!$È$735), "", 'Data Entry'!$È$735)</f>
      </c>
      <c r="EG735">
        <f>IF(ISBLANK('Data Entry'!$É$735), "", 'Data Entry'!$É$735)</f>
      </c>
      <c r="EH735">
        <f>IF(ISBLANK('Data Entry'!$Ê$735), "", 'Data Entry'!$Ê$735)</f>
      </c>
      <c r="EI735">
        <f>IF(ISBLANK('Data Entry'!$Ë$735), "", 'Data Entry'!$Ë$735)</f>
      </c>
      <c r="EJ735">
        <f>IF(ISBLANK('Data Entry'!$Ì$735), "", 'Data Entry'!$Ì$735)</f>
      </c>
      <c r="EK735">
        <f>IF(ISBLANK('Data Entry'!$Í$735), "", 'Data Entry'!$Í$735)</f>
      </c>
      <c r="EL735">
        <f>IF(ISBLANK('Data Entry'!$Î$735), "", 'Data Entry'!$Î$735)</f>
      </c>
      <c r="EM735">
        <f>IF(ISBLANK('Data Entry'!$Ï$735), "", 'Data Entry'!$Ï$735)</f>
      </c>
      <c r="EN735">
        <f>IF(ISBLANK('Data Entry'!$Ð$735), "", 'Data Entry'!$Ð$735)</f>
      </c>
      <c r="EO735">
        <f>IF(ISBLANK('Data Entry'!$Ñ$735), "", 'Data Entry'!$Ñ$735)</f>
      </c>
      <c r="EP735">
        <f>IF(ISBLANK('Data Entry'!$Ò$735), "", 'Data Entry'!$Ò$735)</f>
      </c>
      <c r="EQ735">
        <f>IF(ISBLANK('Data Entry'!$Ó$735), "", 'Data Entry'!$Ó$735)</f>
      </c>
      <c r="ER735">
        <f>IF(ISBLANK('Data Entry'!$Ô$735), "", 'Data Entry'!$Ô$735)</f>
      </c>
      <c r="ES735">
        <f>IF(ISBLANK('Data Entry'!$Õ$735), "", 'Data Entry'!$Õ$735)</f>
      </c>
      <c r="ET735">
        <f>IF(ISBLANK('Data Entry'!$Ö$735), "", 'Data Entry'!$Ö$735)</f>
      </c>
      <c r="EU735">
        <f>IF(ISBLANK('Data Entry'!$×$735), "", 'Data Entry'!$×$735)</f>
      </c>
      <c r="EV735">
        <f>IF(ISBLANK('Data Entry'!$Ø$735), "", 'Data Entry'!$Ø$735)</f>
      </c>
      <c r="EW735">
        <f>IF(ISBLANK('Data Entry'!$Ù$735), "", 'Data Entry'!$Ù$735)</f>
      </c>
      <c r="EX735">
        <f>IF(ISBLANK('Data Entry'!$Ú$735), "", 'Data Entry'!$Ú$735)</f>
      </c>
      <c r="EY735">
        <f>IF(ISBLANK('Data Entry'!$Û$735), "", 'Data Entry'!$Û$735)</f>
      </c>
      <c r="EZ735">
        <f>IF(ISBLANK('Data Entry'!$Ü$735), "", 'Data Entry'!$Ü$735)</f>
      </c>
      <c r="FA735">
        <f>IF(ISBLANK('Data Entry'!$Ý$735), "", 'Data Entry'!$Ý$735)</f>
      </c>
      <c r="FB735">
        <f>IF(ISBLANK('Data Entry'!$Þ$735), "", 'Data Entry'!$Þ$735)</f>
      </c>
      <c r="FC735">
        <f>IF(ISBLANK('Data Entry'!$ß$735), "", 'Data Entry'!$ß$735)</f>
      </c>
      <c r="FD735">
        <f>IF(ISBLANK('Data Entry'!$à$735), "", 'Data Entry'!$à$735)</f>
      </c>
      <c r="FE735">
        <f>IF(ISBLANK('Data Entry'!$á$735), "", 'Data Entry'!$á$735)</f>
      </c>
      <c r="FF735">
        <f>IF(ISBLANK('Data Entry'!$â$735), "", 'Data Entry'!$â$735)</f>
      </c>
      <c r="FG735">
        <f>IF(ISBLANK('Data Entry'!$ã$735), "", 'Data Entry'!$ã$735)</f>
      </c>
      <c r="FH735">
        <f>IF(ISBLANK('Data Entry'!$ä$735), "", 'Data Entry'!$ä$735)</f>
      </c>
      <c r="FI735">
        <f>IF(ISBLANK('Data Entry'!$å$735), "", 'Data Entry'!$å$735)</f>
      </c>
      <c r="FJ735">
        <f>IF(ISBLANK('Data Entry'!$æ$735), "", 'Data Entry'!$æ$735)</f>
      </c>
      <c r="FK735">
        <f>IF(ISBLANK('Data Entry'!$ç$735), "", 'Data Entry'!$ç$735)</f>
      </c>
      <c r="FL735">
        <f>IF(ISBLANK('Data Entry'!$è$735), "", 'Data Entry'!$è$735)</f>
      </c>
      <c r="FM735">
        <f>IF(ISBLANK('Data Entry'!$é$735), "", 'Data Entry'!$é$735)</f>
      </c>
      <c r="FN735">
        <f>IF(ISBLANK('Data Entry'!$ê$735), "", 'Data Entry'!$ê$735)</f>
      </c>
      <c r="FO735">
        <f>IF(ISBLANK('Data Entry'!$ë$735), "", 'Data Entry'!$ë$735)</f>
      </c>
      <c r="FP735">
        <f>IF(ISBLANK('Data Entry'!$ì$735), "", 'Data Entry'!$ì$735)</f>
      </c>
      <c r="FQ735">
        <f>IF(ISBLANK('Data Entry'!$í$735), "", 'Data Entry'!$í$735)</f>
      </c>
      <c r="FR735">
        <f>IF(ISBLANK('Data Entry'!$î$735), "", 'Data Entry'!$î$735)</f>
      </c>
      <c r="FS735">
        <f>IF(ISBLANK('Data Entry'!$ï$735), "", 'Data Entry'!$ï$735)</f>
      </c>
      <c r="FT735">
        <f>IF(ISBLANK('Data Entry'!$ð$735), "", 'Data Entry'!$ð$735)</f>
      </c>
      <c r="FU735">
        <f>IF(ISBLANK('Data Entry'!$ñ$735), "", 'Data Entry'!$ñ$735)</f>
      </c>
      <c r="FV735">
        <f>IF(ISBLANK('Data Entry'!$ò$735), "", 'Data Entry'!$ò$735)</f>
      </c>
      <c r="FW735">
        <f>IF(ISBLANK('Data Entry'!$ó$735), "", 'Data Entry'!$ó$735)</f>
      </c>
      <c r="FX735">
        <f>IF(ISBLANK('Data Entry'!$ô$735), "", 'Data Entry'!$ô$735)</f>
      </c>
      <c r="FY735">
        <f>IF(ISBLANK('Data Entry'!$õ$735), "", 'Data Entry'!$õ$735)</f>
      </c>
      <c r="FZ735">
        <f>IF(ISBLANK('Data Entry'!$ö$735), "", 'Data Entry'!$ö$735)</f>
      </c>
      <c r="GA735">
        <f>IF(ISBLANK('Data Entry'!$÷$735), "", 'Data Entry'!$÷$735)</f>
      </c>
      <c r="GB735">
        <f>IF(ISBLANK('Data Entry'!$ø$735), "", 'Data Entry'!$ø$735)</f>
      </c>
      <c r="GC735">
        <f>IF(ISBLANK('Data Entry'!$ù$735), "", 'Data Entry'!$ù$735)</f>
      </c>
      <c r="GD735">
        <f>IF(ISBLANK('Data Entry'!$ú$735), "", 'Data Entry'!$ú$735)</f>
      </c>
      <c r="GE735">
        <f>IF(ISBLANK('Data Entry'!$û$735), "", 'Data Entry'!$û$735)</f>
      </c>
      <c r="GF735">
        <f>IF(ISBLANK('Data Entry'!$ü$735), "", 'Data Entry'!$ü$735)</f>
      </c>
      <c r="GG735">
        <f>IF(ISBLANK('Data Entry'!$ý$735), "", 'Data Entry'!$ý$735)</f>
      </c>
      <c r="GH735">
        <f>IF(ISBLANK('Data Entry'!$þ$735), "", 'Data Entry'!$þ$735)</f>
      </c>
      <c r="GI735">
        <f>IF(ISBLANK('Data Entry'!$ÿ$735), "", 'Data Entry'!$ÿ$735)</f>
      </c>
      <c r="GJ735">
        <f>IF(ISBLANK('Data Entry'!$Ā$735), "", 'Data Entry'!$Ā$735)</f>
      </c>
      <c r="GK735">
        <f>IF(ISBLANK('Data Entry'!$ā$735), "", 'Data Entry'!$ā$735)</f>
      </c>
      <c r="GL735">
        <f>IF(ISBLANK('Data Entry'!$Ă$735), "", 'Data Entry'!$Ă$735)</f>
      </c>
      <c r="GM735">
        <f>IF(ISBLANK('Data Entry'!$ă$735), "", 'Data Entry'!$ă$735)</f>
      </c>
      <c r="GN735">
        <f>IF(ISBLANK('Data Entry'!$Ą$735), "", 'Data Entry'!$Ą$735)</f>
      </c>
      <c r="GO735">
        <f>IF(ISBLANK('Data Entry'!$ą$735), "", 'Data Entry'!$ą$735)</f>
      </c>
      <c r="GP735">
        <f>IF(ISBLANK('Data Entry'!$Ć$735), "", 'Data Entry'!$Ć$735)</f>
      </c>
      <c r="GQ735">
        <f>IF(ISBLANK('Data Entry'!$ć$735), "", 'Data Entry'!$ć$735)</f>
      </c>
      <c r="GR735">
        <f>IF(ISBLANK('Data Entry'!$Ĉ$735), "", 'Data Entry'!$Ĉ$735)</f>
      </c>
      <c r="GS735">
        <f>IF(ISBLANK('Data Entry'!$ĉ$735), "", 'Data Entry'!$ĉ$735)</f>
      </c>
      <c r="GT735">
        <f>IF(ISBLANK('Data Entry'!$Ċ$735), "", 'Data Entry'!$Ċ$735)</f>
      </c>
      <c r="GU735">
        <f>IF(ISBLANK('Data Entry'!$ċ$735), "", 'Data Entry'!$ċ$735)</f>
      </c>
      <c r="GV735">
        <f>IF(ISBLANK('Data Entry'!$Č$735), "", 'Data Entry'!$Č$735)</f>
      </c>
      <c r="GW735">
        <f>IF(ISBLANK('Data Entry'!$č$735), "", 'Data Entry'!$č$735)</f>
      </c>
      <c r="GX735">
        <f>IF(ISBLANK('Data Entry'!$Ď$735), "", 'Data Entry'!$Ď$735)</f>
      </c>
      <c r="GY735">
        <f>IF(ISBLANK('Data Entry'!$ď$735), "", 'Data Entry'!$ď$735)</f>
      </c>
      <c r="GZ735">
        <f>IF(ISBLANK('Data Entry'!$Đ$735), "", 'Data Entry'!$Đ$735)</f>
      </c>
      <c r="HA735">
        <f>IF(ISBLANK('Data Entry'!$đ$735), "", 'Data Entry'!$đ$735)</f>
      </c>
      <c r="HB735">
        <f>IF(ISBLANK('Data Entry'!$Ē$735), "", 'Data Entry'!$Ē$735)</f>
      </c>
      <c r="HC735">
        <f>IF(ISBLANK('Data Entry'!$ē$735), "", 'Data Entry'!$ē$735)</f>
      </c>
      <c r="HD735">
        <f>IF(ISBLANK('Data Entry'!$Ĕ$735), "", 'Data Entry'!$Ĕ$735)</f>
      </c>
      <c r="HE735">
        <f>IF(ISBLANK('Data Entry'!$ĕ$735), "", 'Data Entry'!$ĕ$735)</f>
      </c>
      <c r="HF735">
        <f>IF(ISBLANK('Data Entry'!$Ė$735), "", 'Data Entry'!$Ė$735)</f>
      </c>
      <c r="HG735">
        <f>IF(ISBLANK('Data Entry'!$ė$735), "", 'Data Entry'!$ė$735)</f>
      </c>
      <c r="HH735">
        <f>IF(ISBLANK('Data Entry'!$Ę$735), "", 'Data Entry'!$Ę$735)</f>
      </c>
      <c r="HI735">
        <f>IF(ISBLANK('Data Entry'!$ę$735), "", 'Data Entry'!$ę$735)</f>
      </c>
      <c r="HJ735">
        <f>IF(ISBLANK('Data Entry'!$Ě$735), "", 'Data Entry'!$Ě$735)</f>
      </c>
      <c r="HK735">
        <f>IF(ISBLANK('Data Entry'!$ě$735), "", 'Data Entry'!$ě$735)</f>
      </c>
      <c r="HL735">
        <f>IF(ISBLANK('Data Entry'!$Ĝ$735), "", 'Data Entry'!$Ĝ$735)</f>
      </c>
      <c r="HM735">
        <f>IF(ISBLANK('Data Entry'!$ĝ$735), "", 'Data Entry'!$ĝ$735)</f>
      </c>
      <c r="HN735">
        <f>IF(ISBLANK('Data Entry'!$Ğ$735), "", 'Data Entry'!$Ğ$735)</f>
      </c>
      <c r="HO735">
        <f>IF(ISBLANK('Data Entry'!$ğ$735), "", 'Data Entry'!$ğ$735)</f>
      </c>
      <c r="HP735">
        <f>IF(ISBLANK('Data Entry'!$Ġ$735), "", 'Data Entry'!$Ġ$735)</f>
      </c>
      <c r="HQ735">
        <f>IF(ISBLANK('Data Entry'!$ġ$735), "", 'Data Entry'!$ġ$735)</f>
      </c>
      <c r="HR735">
        <f>IF(ISBLANK('Data Entry'!$Ģ$735), "", 'Data Entry'!$Ģ$735)</f>
      </c>
      <c r="HS735">
        <f>IF(ISBLANK('Data Entry'!$ģ$735), "", 'Data Entry'!$ģ$735)</f>
      </c>
      <c r="HT735">
        <f>IF(ISBLANK('Data Entry'!$Ĥ$735), "", 'Data Entry'!$Ĥ$735)</f>
      </c>
      <c r="HU735">
        <f>IF(ISBLANK('Data Entry'!$ĥ$735), "", 'Data Entry'!$ĥ$735)</f>
      </c>
      <c r="HV735">
        <f>IF(ISBLANK('Data Entry'!$Ħ$735), "", 'Data Entry'!$Ħ$735)</f>
      </c>
      <c r="HW735">
        <f>IF(ISBLANK('Data Entry'!$ħ$735), "", 'Data Entry'!$ħ$735)</f>
      </c>
      <c r="HX735">
        <f>IF(ISBLANK('Data Entry'!$Ĩ$735), "", 'Data Entry'!$Ĩ$735)</f>
      </c>
      <c r="HY735">
        <f>IF(ISBLANK('Data Entry'!$ĩ$735), "", 'Data Entry'!$ĩ$735)</f>
      </c>
      <c r="HZ735">
        <f>IF(ISBLANK('Data Entry'!$Ī$735), "", 'Data Entry'!$Ī$735)</f>
      </c>
      <c r="IA735">
        <f>IF(ISBLANK('Data Entry'!$ī$735), "", 'Data Entry'!$ī$735)</f>
      </c>
      <c r="IB735">
        <f>IF(ISBLANK('Data Entry'!$Ĭ$735), "", 'Data Entry'!$Ĭ$735)</f>
      </c>
      <c r="IC735">
        <f>IF(ISBLANK('Data Entry'!$ĭ$735), "", 'Data Entry'!$ĭ$735)</f>
      </c>
      <c r="ID735">
        <f>IF(ISBLANK('Data Entry'!$Į$735), "", 'Data Entry'!$Į$735)</f>
      </c>
      <c r="IE735">
        <f>IF(ISBLANK('Data Entry'!$į$735), "", 'Data Entry'!$į$735)</f>
      </c>
      <c r="IF735">
        <f>IF(ISBLANK('Data Entry'!$İ$735), "", 'Data Entry'!$İ$735)</f>
      </c>
      <c r="IG735">
        <f>IF(ISBLANK('Data Entry'!$ı$735), "", 'Data Entry'!$ı$735)</f>
      </c>
      <c r="IH735">
        <f>IF(ISBLANK('Data Entry'!$Ĳ$735), "", 'Data Entry'!$Ĳ$735)</f>
      </c>
      <c r="II735">
        <f>IF(ISBLANK('Data Entry'!$ĳ$735), "", 'Data Entry'!$ĳ$735)</f>
      </c>
      <c r="IJ735">
        <f>IF(ISBLANK('Data Entry'!$Ĵ$735), "", 'Data Entry'!$Ĵ$735)</f>
      </c>
      <c r="IK735">
        <f>IF(ISBLANK('Data Entry'!$ĵ$735), "", 'Data Entry'!$ĵ$735)</f>
      </c>
      <c r="IL735">
        <f>IF(ISBLANK('Data Entry'!$Ķ$735), "", 'Data Entry'!$Ķ$735)</f>
      </c>
      <c r="IM735">
        <f>IF(ISBLANK('Data Entry'!$ķ$735), "", 'Data Entry'!$ķ$735)</f>
      </c>
      <c r="IN735">
        <f>IF(ISBLANK('Data Entry'!$ĸ$735), "", 'Data Entry'!$ĸ$735)</f>
      </c>
      <c r="IO735">
        <f>IF(ISBLANK('Data Entry'!$Ĺ$735), "", 'Data Entry'!$Ĺ$735)</f>
      </c>
      <c r="IP735">
        <f>IF(ISBLANK('Data Entry'!$ĺ$735), "", 'Data Entry'!$ĺ$735)</f>
      </c>
      <c r="IQ735">
        <f>IF(ISBLANK('Data Entry'!$Ļ$735), "", 'Data Entry'!$Ļ$735)</f>
      </c>
      <c r="IR735">
        <f>IF(ISBLANK('Data Entry'!$ļ$735), "", 'Data Entry'!$ļ$735)</f>
      </c>
      <c r="IS735">
        <f>IF(ISBLANK('Data Entry'!$Ľ$735), "", 'Data Entry'!$Ľ$735)</f>
      </c>
      <c r="IT735">
        <f>IF(ISBLANK('Data Entry'!$ľ$735), "", 'Data Entry'!$ľ$735)</f>
      </c>
    </row>
    <row r="736" spans="1:254" x14ac:dyDescent="0.25">
      <c r="A736">
        <f>IF(ISBLANK('Data Entry'!$A$736), "", 'Data Entry'!$A$736)</f>
      </c>
      <c r="B736">
        <f>IF(ISBLANK('Data Entry'!$B$736), "", 'Data Entry'!$B$736)</f>
      </c>
      <c r="C736">
        <f>IF(ISBLANK('Data Entry'!$C$736), "", 'Data Entry'!$C$736)</f>
      </c>
      <c r="D736">
        <f>IF(ISBLANK('Data Entry'!$D$736), "", 'Data Entry'!$D$736)</f>
      </c>
      <c r="E736">
        <f>IF(ISBLANK('Data Entry'!$E$736), "", 'Data Entry'!$E$736)</f>
      </c>
      <c r="F736">
        <f>IF(ISBLANK('Data Entry'!$F$736), "", 'Data Entry'!$F$736)</f>
      </c>
      <c r="G736">
        <f>IF(ISBLANK('Data Entry'!$G$736), "", 'Data Entry'!$G$736)</f>
      </c>
      <c r="H736">
        <f>IF(ISBLANK('Data Entry'!$H$736), "", 'Data Entry'!$H$736)</f>
      </c>
      <c r="I736">
        <f>IF(ISBLANK('Data Entry'!$I$736), "", 'Data Entry'!$I$736)</f>
      </c>
      <c r="J736">
        <f>IF(ISBLANK('Data Entry'!$J$736), "", 'Data Entry'!$J$736)</f>
      </c>
      <c r="K736">
        <f>IF(ISBLANK('Data Entry'!$K$736), "", 'Data Entry'!$K$736)</f>
      </c>
      <c r="L736">
        <f>IF(ISBLANK('Data Entry'!$L$736), "", 'Data Entry'!$L$736)</f>
      </c>
      <c r="M736">
        <f>IF(ISBLANK('Data Entry'!$M$736), "", 'Data Entry'!$M$736)</f>
      </c>
      <c r="N736">
        <f>IF(ISBLANK('Data Entry'!$N$736), "", 'Data Entry'!$N$736)</f>
      </c>
      <c r="O736">
        <f>IF(ISBLANK('Data Entry'!$O$736), "", 'Data Entry'!$O$736)</f>
      </c>
      <c r="P736">
        <f>IF(ISBLANK('Data Entry'!$P$736), "", 'Data Entry'!$P$736)</f>
      </c>
      <c r="Q736">
        <f>IF(ISBLANK('Data Entry'!$Q$736), "", 'Data Entry'!$Q$736)</f>
      </c>
      <c r="R736">
        <f>IF(ISBLANK('Data Entry'!$R$736), "", 'Data Entry'!$R$736)</f>
      </c>
      <c r="S736">
        <f>IF(ISBLANK('Data Entry'!$S$736), "", 'Data Entry'!$S$736)</f>
      </c>
      <c r="T736">
        <f>IF(ISBLANK('Data Entry'!$T$736), "", 'Data Entry'!$T$736)</f>
      </c>
      <c r="U736">
        <f>IF(ISBLANK('Data Entry'!$U$736), "", 'Data Entry'!$U$736)</f>
      </c>
      <c r="V736">
        <f>IF(ISBLANK('Data Entry'!$V$736), "", 'Data Entry'!$V$736)</f>
      </c>
      <c r="W736">
        <f>IF(ISBLANK('Data Entry'!$W$736), "", 'Data Entry'!$W$736)</f>
      </c>
      <c r="X736">
        <f>IF(ISBLANK('Data Entry'!$X$736), "", 'Data Entry'!$X$736)</f>
      </c>
      <c r="Y736">
        <f>IF(ISBLANK('Data Entry'!$Y$736), "", 'Data Entry'!$Y$736)</f>
      </c>
      <c r="Z736">
        <f>IF(ISBLANK('Data Entry'!$Z$736), "", 'Data Entry'!$Z$736)</f>
      </c>
      <c r="AA736">
        <f>IF(ISBLANK('Data Entry'!$[$736), "", 'Data Entry'!$[$736)</f>
      </c>
      <c r="AB736">
        <f>IF(ISBLANK('Data Entry'!$\$736), "", 'Data Entry'!$\$736)</f>
      </c>
      <c r="AC736">
        <f>IF(ISBLANK('Data Entry'!$]$736), "", 'Data Entry'!$]$736)</f>
      </c>
      <c r="AD736">
        <f>IF(ISBLANK('Data Entry'!$^$736), "", 'Data Entry'!$^$736)</f>
      </c>
      <c r="AE736">
        <f>IF(ISBLANK('Data Entry'!$_$736), "", 'Data Entry'!$_$736)</f>
      </c>
      <c r="AF736">
        <f>IF(ISBLANK('Data Entry'!$`$736), "", 'Data Entry'!$`$736)</f>
      </c>
      <c r="AG736">
        <f>IF(ISBLANK('Data Entry'!$a$736), "", 'Data Entry'!$a$736)</f>
      </c>
      <c r="AH736">
        <f>IF(ISBLANK('Data Entry'!$b$736), "", 'Data Entry'!$b$736)</f>
      </c>
      <c r="AI736">
        <f>IF(ISBLANK('Data Entry'!$c$736), "", 'Data Entry'!$c$736)</f>
      </c>
      <c r="AJ736">
        <f>IF(ISBLANK('Data Entry'!$d$736), "", 'Data Entry'!$d$736)</f>
      </c>
      <c r="AK736">
        <f>IF(ISBLANK('Data Entry'!$e$736), "", 'Data Entry'!$e$736)</f>
      </c>
      <c r="AL736">
        <f>IF(ISBLANK('Data Entry'!$f$736), "", 'Data Entry'!$f$736)</f>
      </c>
      <c r="AM736">
        <f>IF(ISBLANK('Data Entry'!$g$736), "", 'Data Entry'!$g$736)</f>
      </c>
      <c r="AN736">
        <f>IF(ISBLANK('Data Entry'!$h$736), "", 'Data Entry'!$h$736)</f>
      </c>
      <c r="AO736">
        <f>IF(ISBLANK('Data Entry'!$i$736), "", 'Data Entry'!$i$736)</f>
      </c>
      <c r="AP736">
        <f>IF(ISBLANK('Data Entry'!$j$736), "", 'Data Entry'!$j$736)</f>
      </c>
      <c r="AQ736">
        <f>IF(ISBLANK('Data Entry'!$k$736), "", 'Data Entry'!$k$736)</f>
      </c>
      <c r="AR736">
        <f>IF(ISBLANK('Data Entry'!$l$736), "", 'Data Entry'!$l$736)</f>
      </c>
      <c r="AS736">
        <f>IF(ISBLANK('Data Entry'!$m$736), "", 'Data Entry'!$m$736)</f>
      </c>
      <c r="AT736">
        <f>IF(ISBLANK('Data Entry'!$n$736), "", 'Data Entry'!$n$736)</f>
      </c>
      <c r="AU736">
        <f>IF(ISBLANK('Data Entry'!$o$736), "", 'Data Entry'!$o$736)</f>
      </c>
      <c r="AV736">
        <f>IF(ISBLANK('Data Entry'!$p$736), "", 'Data Entry'!$p$736)</f>
      </c>
      <c r="AW736">
        <f>IF(ISBLANK('Data Entry'!$q$736), "", 'Data Entry'!$q$736)</f>
      </c>
      <c r="AX736">
        <f>IF(ISBLANK('Data Entry'!$r$736), "", 'Data Entry'!$r$736)</f>
      </c>
      <c r="AY736">
        <f>IF(ISBLANK('Data Entry'!$s$736), "", 'Data Entry'!$s$736)</f>
      </c>
      <c r="AZ736">
        <f>IF(ISBLANK('Data Entry'!$t$736), "", 'Data Entry'!$t$736)</f>
      </c>
      <c r="BA736">
        <f>IF(ISBLANK('Data Entry'!$u$736), "", 'Data Entry'!$u$736)</f>
      </c>
      <c r="BB736">
        <f>IF(ISBLANK('Data Entry'!$v$736), "", 'Data Entry'!$v$736)</f>
      </c>
      <c r="BC736">
        <f>IF(ISBLANK('Data Entry'!$w$736), "", 'Data Entry'!$w$736)</f>
      </c>
      <c r="BD736">
        <f>IF(ISBLANK('Data Entry'!$x$736), "", 'Data Entry'!$x$736)</f>
      </c>
      <c r="BE736">
        <f>IF(ISBLANK('Data Entry'!$y$736), "", 'Data Entry'!$y$736)</f>
      </c>
      <c r="BF736">
        <f>IF(ISBLANK('Data Entry'!$z$736), "", 'Data Entry'!$z$736)</f>
      </c>
      <c r="BG736">
        <f>IF(ISBLANK('Data Entry'!${$736), "", 'Data Entry'!${$736)</f>
      </c>
      <c r="BH736">
        <f>IF(ISBLANK('Data Entry'!$|$736), "", 'Data Entry'!$|$736)</f>
      </c>
      <c r="BI736">
        <f>IF(ISBLANK('Data Entry'!$}$736), "", 'Data Entry'!$}$736)</f>
      </c>
      <c r="BJ736">
        <f>IF(ISBLANK('Data Entry'!$~$736), "", 'Data Entry'!$~$736)</f>
      </c>
      <c r="BK736">
        <f>IF(ISBLANK('Data Entry'!$$736), "", 'Data Entry'!$$736)</f>
      </c>
      <c r="BL736">
        <f>IF(ISBLANK('Data Entry'!$$736), "", 'Data Entry'!$$736)</f>
      </c>
      <c r="BM736">
        <f>IF(ISBLANK('Data Entry'!$$736), "", 'Data Entry'!$$736)</f>
      </c>
      <c r="BN736">
        <f>IF(ISBLANK('Data Entry'!$$736), "", 'Data Entry'!$$736)</f>
      </c>
      <c r="BO736">
        <f>IF(ISBLANK('Data Entry'!$$736), "", 'Data Entry'!$$736)</f>
      </c>
      <c r="BP736">
        <f>IF(ISBLANK('Data Entry'!$$736), "", 'Data Entry'!$$736)</f>
      </c>
      <c r="BQ736">
        <f>IF(ISBLANK('Data Entry'!$$736), "", 'Data Entry'!$$736)</f>
      </c>
      <c r="BR736">
        <f>IF(ISBLANK('Data Entry'!$$736), "", 'Data Entry'!$$736)</f>
      </c>
      <c r="BS736">
        <f>IF(ISBLANK('Data Entry'!$$736), "", 'Data Entry'!$$736)</f>
      </c>
      <c r="BT736">
        <f>IF(ISBLANK('Data Entry'!$$736), "", 'Data Entry'!$$736)</f>
      </c>
      <c r="BU736">
        <f>IF(ISBLANK('Data Entry'!$$736), "", 'Data Entry'!$$736)</f>
      </c>
      <c r="BV736">
        <f>IF(ISBLANK('Data Entry'!$$736), "", 'Data Entry'!$$736)</f>
      </c>
      <c r="BW736">
        <f>IF(ISBLANK('Data Entry'!$$736), "", 'Data Entry'!$$736)</f>
      </c>
      <c r="BX736">
        <f>IF(ISBLANK('Data Entry'!$$736), "", 'Data Entry'!$$736)</f>
      </c>
      <c r="BY736">
        <f>IF(ISBLANK('Data Entry'!$$736), "", 'Data Entry'!$$736)</f>
      </c>
      <c r="BZ736">
        <f>IF(ISBLANK('Data Entry'!$$736), "", 'Data Entry'!$$736)</f>
      </c>
      <c r="CA736">
        <f>IF(ISBLANK('Data Entry'!$$736), "", 'Data Entry'!$$736)</f>
      </c>
      <c r="CB736">
        <f>IF(ISBLANK('Data Entry'!$$736), "", 'Data Entry'!$$736)</f>
      </c>
      <c r="CC736">
        <f>IF(ISBLANK('Data Entry'!$$736), "", 'Data Entry'!$$736)</f>
      </c>
      <c r="CD736">
        <f>IF(ISBLANK('Data Entry'!$$736), "", 'Data Entry'!$$736)</f>
      </c>
      <c r="CE736">
        <f>IF(ISBLANK('Data Entry'!$$736), "", 'Data Entry'!$$736)</f>
      </c>
      <c r="CF736">
        <f>IF(ISBLANK('Data Entry'!$$736), "", 'Data Entry'!$$736)</f>
      </c>
      <c r="CG736">
        <f>IF(ISBLANK('Data Entry'!$$736), "", 'Data Entry'!$$736)</f>
      </c>
      <c r="CH736">
        <f>IF(ISBLANK('Data Entry'!$$736), "", 'Data Entry'!$$736)</f>
      </c>
      <c r="CI736">
        <f>IF(ISBLANK('Data Entry'!$$736), "", 'Data Entry'!$$736)</f>
      </c>
      <c r="CJ736">
        <f>IF(ISBLANK('Data Entry'!$$736), "", 'Data Entry'!$$736)</f>
      </c>
      <c r="CK736">
        <f>IF(ISBLANK('Data Entry'!$$736), "", 'Data Entry'!$$736)</f>
      </c>
      <c r="CL736">
        <f>IF(ISBLANK('Data Entry'!$$736), "", 'Data Entry'!$$736)</f>
      </c>
      <c r="CM736">
        <f>IF(ISBLANK('Data Entry'!$$736), "", 'Data Entry'!$$736)</f>
      </c>
      <c r="CN736">
        <f>IF(ISBLANK('Data Entry'!$$736), "", 'Data Entry'!$$736)</f>
      </c>
      <c r="CO736">
        <f>IF(ISBLANK('Data Entry'!$$736), "", 'Data Entry'!$$736)</f>
      </c>
      <c r="CP736">
        <f>IF(ISBLANK('Data Entry'!$$736), "", 'Data Entry'!$$736)</f>
      </c>
      <c r="CQ736">
        <f>IF(ISBLANK('Data Entry'!$$736), "", 'Data Entry'!$$736)</f>
      </c>
      <c r="CR736">
        <f>IF(ISBLANK('Data Entry'!$ $736), "", 'Data Entry'!$ $736)</f>
      </c>
      <c r="CS736">
        <f>IF(ISBLANK('Data Entry'!$¡$736), "", 'Data Entry'!$¡$736)</f>
      </c>
      <c r="CT736">
        <f>IF(ISBLANK('Data Entry'!$¢$736), "", 'Data Entry'!$¢$736)</f>
      </c>
      <c r="CU736">
        <f>IF(ISBLANK('Data Entry'!$£$736), "", 'Data Entry'!$£$736)</f>
      </c>
      <c r="CV736">
        <f>IF(ISBLANK('Data Entry'!$¤$736), "", 'Data Entry'!$¤$736)</f>
      </c>
      <c r="CW736">
        <f>IF(ISBLANK('Data Entry'!$¥$736), "", 'Data Entry'!$¥$736)</f>
      </c>
      <c r="CX736">
        <f>IF(ISBLANK('Data Entry'!$¦$736), "", 'Data Entry'!$¦$736)</f>
      </c>
      <c r="CY736">
        <f>IF(ISBLANK('Data Entry'!$§$736), "", 'Data Entry'!$§$736)</f>
      </c>
      <c r="CZ736">
        <f>IF(ISBLANK('Data Entry'!$¨$736), "", 'Data Entry'!$¨$736)</f>
      </c>
      <c r="DA736">
        <f>IF(ISBLANK('Data Entry'!$©$736), "", 'Data Entry'!$©$736)</f>
      </c>
      <c r="DB736">
        <f>IF(ISBLANK('Data Entry'!$ª$736), "", 'Data Entry'!$ª$736)</f>
      </c>
      <c r="DC736">
        <f>IF(ISBLANK('Data Entry'!$«$736), "", 'Data Entry'!$«$736)</f>
      </c>
      <c r="DD736">
        <f>IF(ISBLANK('Data Entry'!$¬$736), "", 'Data Entry'!$¬$736)</f>
      </c>
      <c r="DE736">
        <f>IF(ISBLANK('Data Entry'!$­$736), "", 'Data Entry'!$­$736)</f>
      </c>
      <c r="DF736">
        <f>IF(ISBLANK('Data Entry'!$®$736), "", 'Data Entry'!$®$736)</f>
      </c>
      <c r="DG736">
        <f>IF(ISBLANK('Data Entry'!$¯$736), "", 'Data Entry'!$¯$736)</f>
      </c>
      <c r="DH736">
        <f>IF(ISBLANK('Data Entry'!$°$736), "", 'Data Entry'!$°$736)</f>
      </c>
      <c r="DI736">
        <f>IF(ISBLANK('Data Entry'!$±$736), "", 'Data Entry'!$±$736)</f>
      </c>
      <c r="DJ736">
        <f>IF(ISBLANK('Data Entry'!$²$736), "", 'Data Entry'!$²$736)</f>
      </c>
      <c r="DK736">
        <f>IF(ISBLANK('Data Entry'!$³$736), "", 'Data Entry'!$³$736)</f>
      </c>
      <c r="DL736">
        <f>IF(ISBLANK('Data Entry'!$´$736), "", 'Data Entry'!$´$736)</f>
      </c>
      <c r="DM736">
        <f>IF(ISBLANK('Data Entry'!$µ$736), "", 'Data Entry'!$µ$736)</f>
      </c>
      <c r="DN736">
        <f>IF(ISBLANK('Data Entry'!$¶$736), "", 'Data Entry'!$¶$736)</f>
      </c>
      <c r="DO736">
        <f>IF(ISBLANK('Data Entry'!$·$736), "", 'Data Entry'!$·$736)</f>
      </c>
      <c r="DP736">
        <f>IF(ISBLANK('Data Entry'!$¸$736), "", 'Data Entry'!$¸$736)</f>
      </c>
      <c r="DQ736">
        <f>IF(ISBLANK('Data Entry'!$¹$736), "", 'Data Entry'!$¹$736)</f>
      </c>
      <c r="DR736">
        <f>IF(ISBLANK('Data Entry'!$º$736), "", 'Data Entry'!$º$736)</f>
      </c>
      <c r="DS736">
        <f>IF(ISBLANK('Data Entry'!$»$736), "", 'Data Entry'!$»$736)</f>
      </c>
      <c r="DT736">
        <f>IF(ISBLANK('Data Entry'!$¼$736), "", 'Data Entry'!$¼$736)</f>
      </c>
      <c r="DU736">
        <f>IF(ISBLANK('Data Entry'!$½$736), "", 'Data Entry'!$½$736)</f>
      </c>
      <c r="DV736">
        <f>IF(ISBLANK('Data Entry'!$¾$736), "", 'Data Entry'!$¾$736)</f>
      </c>
      <c r="DW736">
        <f>IF(ISBLANK('Data Entry'!$¿$736), "", 'Data Entry'!$¿$736)</f>
      </c>
      <c r="DX736">
        <f>IF(ISBLANK('Data Entry'!$À$736), "", 'Data Entry'!$À$736)</f>
      </c>
      <c r="DY736">
        <f>IF(ISBLANK('Data Entry'!$Á$736), "", 'Data Entry'!$Á$736)</f>
      </c>
      <c r="DZ736">
        <f>IF(ISBLANK('Data Entry'!$Â$736), "", 'Data Entry'!$Â$736)</f>
      </c>
      <c r="EA736">
        <f>IF(ISBLANK('Data Entry'!$Ã$736), "", 'Data Entry'!$Ã$736)</f>
      </c>
      <c r="EB736">
        <f>IF(ISBLANK('Data Entry'!$Ä$736), "", 'Data Entry'!$Ä$736)</f>
      </c>
      <c r="EC736">
        <f>IF(ISBLANK('Data Entry'!$Å$736), "", 'Data Entry'!$Å$736)</f>
      </c>
      <c r="ED736">
        <f>IF(ISBLANK('Data Entry'!$Æ$736), "", 'Data Entry'!$Æ$736)</f>
      </c>
      <c r="EE736">
        <f>IF(ISBLANK('Data Entry'!$Ç$736), "", 'Data Entry'!$Ç$736)</f>
      </c>
      <c r="EF736">
        <f>IF(ISBLANK('Data Entry'!$È$736), "", 'Data Entry'!$È$736)</f>
      </c>
      <c r="EG736">
        <f>IF(ISBLANK('Data Entry'!$É$736), "", 'Data Entry'!$É$736)</f>
      </c>
      <c r="EH736">
        <f>IF(ISBLANK('Data Entry'!$Ê$736), "", 'Data Entry'!$Ê$736)</f>
      </c>
      <c r="EI736">
        <f>IF(ISBLANK('Data Entry'!$Ë$736), "", 'Data Entry'!$Ë$736)</f>
      </c>
      <c r="EJ736">
        <f>IF(ISBLANK('Data Entry'!$Ì$736), "", 'Data Entry'!$Ì$736)</f>
      </c>
      <c r="EK736">
        <f>IF(ISBLANK('Data Entry'!$Í$736), "", 'Data Entry'!$Í$736)</f>
      </c>
      <c r="EL736">
        <f>IF(ISBLANK('Data Entry'!$Î$736), "", 'Data Entry'!$Î$736)</f>
      </c>
      <c r="EM736">
        <f>IF(ISBLANK('Data Entry'!$Ï$736), "", 'Data Entry'!$Ï$736)</f>
      </c>
      <c r="EN736">
        <f>IF(ISBLANK('Data Entry'!$Ð$736), "", 'Data Entry'!$Ð$736)</f>
      </c>
      <c r="EO736">
        <f>IF(ISBLANK('Data Entry'!$Ñ$736), "", 'Data Entry'!$Ñ$736)</f>
      </c>
      <c r="EP736">
        <f>IF(ISBLANK('Data Entry'!$Ò$736), "", 'Data Entry'!$Ò$736)</f>
      </c>
      <c r="EQ736">
        <f>IF(ISBLANK('Data Entry'!$Ó$736), "", 'Data Entry'!$Ó$736)</f>
      </c>
      <c r="ER736">
        <f>IF(ISBLANK('Data Entry'!$Ô$736), "", 'Data Entry'!$Ô$736)</f>
      </c>
      <c r="ES736">
        <f>IF(ISBLANK('Data Entry'!$Õ$736), "", 'Data Entry'!$Õ$736)</f>
      </c>
      <c r="ET736">
        <f>IF(ISBLANK('Data Entry'!$Ö$736), "", 'Data Entry'!$Ö$736)</f>
      </c>
      <c r="EU736">
        <f>IF(ISBLANK('Data Entry'!$×$736), "", 'Data Entry'!$×$736)</f>
      </c>
      <c r="EV736">
        <f>IF(ISBLANK('Data Entry'!$Ø$736), "", 'Data Entry'!$Ø$736)</f>
      </c>
      <c r="EW736">
        <f>IF(ISBLANK('Data Entry'!$Ù$736), "", 'Data Entry'!$Ù$736)</f>
      </c>
      <c r="EX736">
        <f>IF(ISBLANK('Data Entry'!$Ú$736), "", 'Data Entry'!$Ú$736)</f>
      </c>
      <c r="EY736">
        <f>IF(ISBLANK('Data Entry'!$Û$736), "", 'Data Entry'!$Û$736)</f>
      </c>
      <c r="EZ736">
        <f>IF(ISBLANK('Data Entry'!$Ü$736), "", 'Data Entry'!$Ü$736)</f>
      </c>
      <c r="FA736">
        <f>IF(ISBLANK('Data Entry'!$Ý$736), "", 'Data Entry'!$Ý$736)</f>
      </c>
      <c r="FB736">
        <f>IF(ISBLANK('Data Entry'!$Þ$736), "", 'Data Entry'!$Þ$736)</f>
      </c>
      <c r="FC736">
        <f>IF(ISBLANK('Data Entry'!$ß$736), "", 'Data Entry'!$ß$736)</f>
      </c>
      <c r="FD736">
        <f>IF(ISBLANK('Data Entry'!$à$736), "", 'Data Entry'!$à$736)</f>
      </c>
      <c r="FE736">
        <f>IF(ISBLANK('Data Entry'!$á$736), "", 'Data Entry'!$á$736)</f>
      </c>
      <c r="FF736">
        <f>IF(ISBLANK('Data Entry'!$â$736), "", 'Data Entry'!$â$736)</f>
      </c>
      <c r="FG736">
        <f>IF(ISBLANK('Data Entry'!$ã$736), "", 'Data Entry'!$ã$736)</f>
      </c>
      <c r="FH736">
        <f>IF(ISBLANK('Data Entry'!$ä$736), "", 'Data Entry'!$ä$736)</f>
      </c>
      <c r="FI736">
        <f>IF(ISBLANK('Data Entry'!$å$736), "", 'Data Entry'!$å$736)</f>
      </c>
      <c r="FJ736">
        <f>IF(ISBLANK('Data Entry'!$æ$736), "", 'Data Entry'!$æ$736)</f>
      </c>
      <c r="FK736">
        <f>IF(ISBLANK('Data Entry'!$ç$736), "", 'Data Entry'!$ç$736)</f>
      </c>
      <c r="FL736">
        <f>IF(ISBLANK('Data Entry'!$è$736), "", 'Data Entry'!$è$736)</f>
      </c>
      <c r="FM736">
        <f>IF(ISBLANK('Data Entry'!$é$736), "", 'Data Entry'!$é$736)</f>
      </c>
      <c r="FN736">
        <f>IF(ISBLANK('Data Entry'!$ê$736), "", 'Data Entry'!$ê$736)</f>
      </c>
      <c r="FO736">
        <f>IF(ISBLANK('Data Entry'!$ë$736), "", 'Data Entry'!$ë$736)</f>
      </c>
      <c r="FP736">
        <f>IF(ISBLANK('Data Entry'!$ì$736), "", 'Data Entry'!$ì$736)</f>
      </c>
      <c r="FQ736">
        <f>IF(ISBLANK('Data Entry'!$í$736), "", 'Data Entry'!$í$736)</f>
      </c>
      <c r="FR736">
        <f>IF(ISBLANK('Data Entry'!$î$736), "", 'Data Entry'!$î$736)</f>
      </c>
      <c r="FS736">
        <f>IF(ISBLANK('Data Entry'!$ï$736), "", 'Data Entry'!$ï$736)</f>
      </c>
      <c r="FT736">
        <f>IF(ISBLANK('Data Entry'!$ð$736), "", 'Data Entry'!$ð$736)</f>
      </c>
      <c r="FU736">
        <f>IF(ISBLANK('Data Entry'!$ñ$736), "", 'Data Entry'!$ñ$736)</f>
      </c>
      <c r="FV736">
        <f>IF(ISBLANK('Data Entry'!$ò$736), "", 'Data Entry'!$ò$736)</f>
      </c>
      <c r="FW736">
        <f>IF(ISBLANK('Data Entry'!$ó$736), "", 'Data Entry'!$ó$736)</f>
      </c>
      <c r="FX736">
        <f>IF(ISBLANK('Data Entry'!$ô$736), "", 'Data Entry'!$ô$736)</f>
      </c>
      <c r="FY736">
        <f>IF(ISBLANK('Data Entry'!$õ$736), "", 'Data Entry'!$õ$736)</f>
      </c>
      <c r="FZ736">
        <f>IF(ISBLANK('Data Entry'!$ö$736), "", 'Data Entry'!$ö$736)</f>
      </c>
      <c r="GA736">
        <f>IF(ISBLANK('Data Entry'!$÷$736), "", 'Data Entry'!$÷$736)</f>
      </c>
      <c r="GB736">
        <f>IF(ISBLANK('Data Entry'!$ø$736), "", 'Data Entry'!$ø$736)</f>
      </c>
      <c r="GC736">
        <f>IF(ISBLANK('Data Entry'!$ù$736), "", 'Data Entry'!$ù$736)</f>
      </c>
      <c r="GD736">
        <f>IF(ISBLANK('Data Entry'!$ú$736), "", 'Data Entry'!$ú$736)</f>
      </c>
      <c r="GE736">
        <f>IF(ISBLANK('Data Entry'!$û$736), "", 'Data Entry'!$û$736)</f>
      </c>
      <c r="GF736">
        <f>IF(ISBLANK('Data Entry'!$ü$736), "", 'Data Entry'!$ü$736)</f>
      </c>
      <c r="GG736">
        <f>IF(ISBLANK('Data Entry'!$ý$736), "", 'Data Entry'!$ý$736)</f>
      </c>
      <c r="GH736">
        <f>IF(ISBLANK('Data Entry'!$þ$736), "", 'Data Entry'!$þ$736)</f>
      </c>
      <c r="GI736">
        <f>IF(ISBLANK('Data Entry'!$ÿ$736), "", 'Data Entry'!$ÿ$736)</f>
      </c>
      <c r="GJ736">
        <f>IF(ISBLANK('Data Entry'!$Ā$736), "", 'Data Entry'!$Ā$736)</f>
      </c>
      <c r="GK736">
        <f>IF(ISBLANK('Data Entry'!$ā$736), "", 'Data Entry'!$ā$736)</f>
      </c>
      <c r="GL736">
        <f>IF(ISBLANK('Data Entry'!$Ă$736), "", 'Data Entry'!$Ă$736)</f>
      </c>
      <c r="GM736">
        <f>IF(ISBLANK('Data Entry'!$ă$736), "", 'Data Entry'!$ă$736)</f>
      </c>
      <c r="GN736">
        <f>IF(ISBLANK('Data Entry'!$Ą$736), "", 'Data Entry'!$Ą$736)</f>
      </c>
      <c r="GO736">
        <f>IF(ISBLANK('Data Entry'!$ą$736), "", 'Data Entry'!$ą$736)</f>
      </c>
      <c r="GP736">
        <f>IF(ISBLANK('Data Entry'!$Ć$736), "", 'Data Entry'!$Ć$736)</f>
      </c>
      <c r="GQ736">
        <f>IF(ISBLANK('Data Entry'!$ć$736), "", 'Data Entry'!$ć$736)</f>
      </c>
      <c r="GR736">
        <f>IF(ISBLANK('Data Entry'!$Ĉ$736), "", 'Data Entry'!$Ĉ$736)</f>
      </c>
      <c r="GS736">
        <f>IF(ISBLANK('Data Entry'!$ĉ$736), "", 'Data Entry'!$ĉ$736)</f>
      </c>
      <c r="GT736">
        <f>IF(ISBLANK('Data Entry'!$Ċ$736), "", 'Data Entry'!$Ċ$736)</f>
      </c>
      <c r="GU736">
        <f>IF(ISBLANK('Data Entry'!$ċ$736), "", 'Data Entry'!$ċ$736)</f>
      </c>
      <c r="GV736">
        <f>IF(ISBLANK('Data Entry'!$Č$736), "", 'Data Entry'!$Č$736)</f>
      </c>
      <c r="GW736">
        <f>IF(ISBLANK('Data Entry'!$č$736), "", 'Data Entry'!$č$736)</f>
      </c>
      <c r="GX736">
        <f>IF(ISBLANK('Data Entry'!$Ď$736), "", 'Data Entry'!$Ď$736)</f>
      </c>
      <c r="GY736">
        <f>IF(ISBLANK('Data Entry'!$ď$736), "", 'Data Entry'!$ď$736)</f>
      </c>
      <c r="GZ736">
        <f>IF(ISBLANK('Data Entry'!$Đ$736), "", 'Data Entry'!$Đ$736)</f>
      </c>
      <c r="HA736">
        <f>IF(ISBLANK('Data Entry'!$đ$736), "", 'Data Entry'!$đ$736)</f>
      </c>
      <c r="HB736">
        <f>IF(ISBLANK('Data Entry'!$Ē$736), "", 'Data Entry'!$Ē$736)</f>
      </c>
      <c r="HC736">
        <f>IF(ISBLANK('Data Entry'!$ē$736), "", 'Data Entry'!$ē$736)</f>
      </c>
      <c r="HD736">
        <f>IF(ISBLANK('Data Entry'!$Ĕ$736), "", 'Data Entry'!$Ĕ$736)</f>
      </c>
      <c r="HE736">
        <f>IF(ISBLANK('Data Entry'!$ĕ$736), "", 'Data Entry'!$ĕ$736)</f>
      </c>
      <c r="HF736">
        <f>IF(ISBLANK('Data Entry'!$Ė$736), "", 'Data Entry'!$Ė$736)</f>
      </c>
      <c r="HG736">
        <f>IF(ISBLANK('Data Entry'!$ė$736), "", 'Data Entry'!$ė$736)</f>
      </c>
      <c r="HH736">
        <f>IF(ISBLANK('Data Entry'!$Ę$736), "", 'Data Entry'!$Ę$736)</f>
      </c>
      <c r="HI736">
        <f>IF(ISBLANK('Data Entry'!$ę$736), "", 'Data Entry'!$ę$736)</f>
      </c>
      <c r="HJ736">
        <f>IF(ISBLANK('Data Entry'!$Ě$736), "", 'Data Entry'!$Ě$736)</f>
      </c>
      <c r="HK736">
        <f>IF(ISBLANK('Data Entry'!$ě$736), "", 'Data Entry'!$ě$736)</f>
      </c>
      <c r="HL736">
        <f>IF(ISBLANK('Data Entry'!$Ĝ$736), "", 'Data Entry'!$Ĝ$736)</f>
      </c>
      <c r="HM736">
        <f>IF(ISBLANK('Data Entry'!$ĝ$736), "", 'Data Entry'!$ĝ$736)</f>
      </c>
      <c r="HN736">
        <f>IF(ISBLANK('Data Entry'!$Ğ$736), "", 'Data Entry'!$Ğ$736)</f>
      </c>
      <c r="HO736">
        <f>IF(ISBLANK('Data Entry'!$ğ$736), "", 'Data Entry'!$ğ$736)</f>
      </c>
      <c r="HP736">
        <f>IF(ISBLANK('Data Entry'!$Ġ$736), "", 'Data Entry'!$Ġ$736)</f>
      </c>
      <c r="HQ736">
        <f>IF(ISBLANK('Data Entry'!$ġ$736), "", 'Data Entry'!$ġ$736)</f>
      </c>
      <c r="HR736">
        <f>IF(ISBLANK('Data Entry'!$Ģ$736), "", 'Data Entry'!$Ģ$736)</f>
      </c>
      <c r="HS736">
        <f>IF(ISBLANK('Data Entry'!$ģ$736), "", 'Data Entry'!$ģ$736)</f>
      </c>
      <c r="HT736">
        <f>IF(ISBLANK('Data Entry'!$Ĥ$736), "", 'Data Entry'!$Ĥ$736)</f>
      </c>
      <c r="HU736">
        <f>IF(ISBLANK('Data Entry'!$ĥ$736), "", 'Data Entry'!$ĥ$736)</f>
      </c>
      <c r="HV736">
        <f>IF(ISBLANK('Data Entry'!$Ħ$736), "", 'Data Entry'!$Ħ$736)</f>
      </c>
      <c r="HW736">
        <f>IF(ISBLANK('Data Entry'!$ħ$736), "", 'Data Entry'!$ħ$736)</f>
      </c>
      <c r="HX736">
        <f>IF(ISBLANK('Data Entry'!$Ĩ$736), "", 'Data Entry'!$Ĩ$736)</f>
      </c>
      <c r="HY736">
        <f>IF(ISBLANK('Data Entry'!$ĩ$736), "", 'Data Entry'!$ĩ$736)</f>
      </c>
      <c r="HZ736">
        <f>IF(ISBLANK('Data Entry'!$Ī$736), "", 'Data Entry'!$Ī$736)</f>
      </c>
      <c r="IA736">
        <f>IF(ISBLANK('Data Entry'!$ī$736), "", 'Data Entry'!$ī$736)</f>
      </c>
      <c r="IB736">
        <f>IF(ISBLANK('Data Entry'!$Ĭ$736), "", 'Data Entry'!$Ĭ$736)</f>
      </c>
      <c r="IC736">
        <f>IF(ISBLANK('Data Entry'!$ĭ$736), "", 'Data Entry'!$ĭ$736)</f>
      </c>
      <c r="ID736">
        <f>IF(ISBLANK('Data Entry'!$Į$736), "", 'Data Entry'!$Į$736)</f>
      </c>
      <c r="IE736">
        <f>IF(ISBLANK('Data Entry'!$į$736), "", 'Data Entry'!$į$736)</f>
      </c>
      <c r="IF736">
        <f>IF(ISBLANK('Data Entry'!$İ$736), "", 'Data Entry'!$İ$736)</f>
      </c>
      <c r="IG736">
        <f>IF(ISBLANK('Data Entry'!$ı$736), "", 'Data Entry'!$ı$736)</f>
      </c>
      <c r="IH736">
        <f>IF(ISBLANK('Data Entry'!$Ĳ$736), "", 'Data Entry'!$Ĳ$736)</f>
      </c>
      <c r="II736">
        <f>IF(ISBLANK('Data Entry'!$ĳ$736), "", 'Data Entry'!$ĳ$736)</f>
      </c>
      <c r="IJ736">
        <f>IF(ISBLANK('Data Entry'!$Ĵ$736), "", 'Data Entry'!$Ĵ$736)</f>
      </c>
      <c r="IK736">
        <f>IF(ISBLANK('Data Entry'!$ĵ$736), "", 'Data Entry'!$ĵ$736)</f>
      </c>
      <c r="IL736">
        <f>IF(ISBLANK('Data Entry'!$Ķ$736), "", 'Data Entry'!$Ķ$736)</f>
      </c>
      <c r="IM736">
        <f>IF(ISBLANK('Data Entry'!$ķ$736), "", 'Data Entry'!$ķ$736)</f>
      </c>
      <c r="IN736">
        <f>IF(ISBLANK('Data Entry'!$ĸ$736), "", 'Data Entry'!$ĸ$736)</f>
      </c>
      <c r="IO736">
        <f>IF(ISBLANK('Data Entry'!$Ĺ$736), "", 'Data Entry'!$Ĺ$736)</f>
      </c>
      <c r="IP736">
        <f>IF(ISBLANK('Data Entry'!$ĺ$736), "", 'Data Entry'!$ĺ$736)</f>
      </c>
      <c r="IQ736">
        <f>IF(ISBLANK('Data Entry'!$Ļ$736), "", 'Data Entry'!$Ļ$736)</f>
      </c>
      <c r="IR736">
        <f>IF(ISBLANK('Data Entry'!$ļ$736), "", 'Data Entry'!$ļ$736)</f>
      </c>
      <c r="IS736">
        <f>IF(ISBLANK('Data Entry'!$Ľ$736), "", 'Data Entry'!$Ľ$736)</f>
      </c>
      <c r="IT736">
        <f>IF(ISBLANK('Data Entry'!$ľ$736), "", 'Data Entry'!$ľ$736)</f>
      </c>
    </row>
    <row r="737" spans="1:254" x14ac:dyDescent="0.25">
      <c r="A737">
        <f>IF(ISBLANK('Data Entry'!$A$737), "", 'Data Entry'!$A$737)</f>
      </c>
      <c r="B737">
        <f>IF(ISBLANK('Data Entry'!$B$737), "", 'Data Entry'!$B$737)</f>
      </c>
      <c r="C737">
        <f>IF(ISBLANK('Data Entry'!$C$737), "", 'Data Entry'!$C$737)</f>
      </c>
      <c r="D737">
        <f>IF(ISBLANK('Data Entry'!$D$737), "", 'Data Entry'!$D$737)</f>
      </c>
      <c r="E737">
        <f>IF(ISBLANK('Data Entry'!$E$737), "", 'Data Entry'!$E$737)</f>
      </c>
      <c r="F737">
        <f>IF(ISBLANK('Data Entry'!$F$737), "", 'Data Entry'!$F$737)</f>
      </c>
      <c r="G737">
        <f>IF(ISBLANK('Data Entry'!$G$737), "", 'Data Entry'!$G$737)</f>
      </c>
      <c r="H737">
        <f>IF(ISBLANK('Data Entry'!$H$737), "", 'Data Entry'!$H$737)</f>
      </c>
      <c r="I737">
        <f>IF(ISBLANK('Data Entry'!$I$737), "", 'Data Entry'!$I$737)</f>
      </c>
      <c r="J737">
        <f>IF(ISBLANK('Data Entry'!$J$737), "", 'Data Entry'!$J$737)</f>
      </c>
      <c r="K737">
        <f>IF(ISBLANK('Data Entry'!$K$737), "", 'Data Entry'!$K$737)</f>
      </c>
      <c r="L737">
        <f>IF(ISBLANK('Data Entry'!$L$737), "", 'Data Entry'!$L$737)</f>
      </c>
      <c r="M737">
        <f>IF(ISBLANK('Data Entry'!$M$737), "", 'Data Entry'!$M$737)</f>
      </c>
      <c r="N737">
        <f>IF(ISBLANK('Data Entry'!$N$737), "", 'Data Entry'!$N$737)</f>
      </c>
      <c r="O737">
        <f>IF(ISBLANK('Data Entry'!$O$737), "", 'Data Entry'!$O$737)</f>
      </c>
      <c r="P737">
        <f>IF(ISBLANK('Data Entry'!$P$737), "", 'Data Entry'!$P$737)</f>
      </c>
      <c r="Q737">
        <f>IF(ISBLANK('Data Entry'!$Q$737), "", 'Data Entry'!$Q$737)</f>
      </c>
      <c r="R737">
        <f>IF(ISBLANK('Data Entry'!$R$737), "", 'Data Entry'!$R$737)</f>
      </c>
      <c r="S737">
        <f>IF(ISBLANK('Data Entry'!$S$737), "", 'Data Entry'!$S$737)</f>
      </c>
      <c r="T737">
        <f>IF(ISBLANK('Data Entry'!$T$737), "", 'Data Entry'!$T$737)</f>
      </c>
      <c r="U737">
        <f>IF(ISBLANK('Data Entry'!$U$737), "", 'Data Entry'!$U$737)</f>
      </c>
      <c r="V737">
        <f>IF(ISBLANK('Data Entry'!$V$737), "", 'Data Entry'!$V$737)</f>
      </c>
      <c r="W737">
        <f>IF(ISBLANK('Data Entry'!$W$737), "", 'Data Entry'!$W$737)</f>
      </c>
      <c r="X737">
        <f>IF(ISBLANK('Data Entry'!$X$737), "", 'Data Entry'!$X$737)</f>
      </c>
      <c r="Y737">
        <f>IF(ISBLANK('Data Entry'!$Y$737), "", 'Data Entry'!$Y$737)</f>
      </c>
      <c r="Z737">
        <f>IF(ISBLANK('Data Entry'!$Z$737), "", 'Data Entry'!$Z$737)</f>
      </c>
      <c r="AA737">
        <f>IF(ISBLANK('Data Entry'!$[$737), "", 'Data Entry'!$[$737)</f>
      </c>
      <c r="AB737">
        <f>IF(ISBLANK('Data Entry'!$\$737), "", 'Data Entry'!$\$737)</f>
      </c>
      <c r="AC737">
        <f>IF(ISBLANK('Data Entry'!$]$737), "", 'Data Entry'!$]$737)</f>
      </c>
      <c r="AD737">
        <f>IF(ISBLANK('Data Entry'!$^$737), "", 'Data Entry'!$^$737)</f>
      </c>
      <c r="AE737">
        <f>IF(ISBLANK('Data Entry'!$_$737), "", 'Data Entry'!$_$737)</f>
      </c>
      <c r="AF737">
        <f>IF(ISBLANK('Data Entry'!$`$737), "", 'Data Entry'!$`$737)</f>
      </c>
      <c r="AG737">
        <f>IF(ISBLANK('Data Entry'!$a$737), "", 'Data Entry'!$a$737)</f>
      </c>
      <c r="AH737">
        <f>IF(ISBLANK('Data Entry'!$b$737), "", 'Data Entry'!$b$737)</f>
      </c>
      <c r="AI737">
        <f>IF(ISBLANK('Data Entry'!$c$737), "", 'Data Entry'!$c$737)</f>
      </c>
      <c r="AJ737">
        <f>IF(ISBLANK('Data Entry'!$d$737), "", 'Data Entry'!$d$737)</f>
      </c>
      <c r="AK737">
        <f>IF(ISBLANK('Data Entry'!$e$737), "", 'Data Entry'!$e$737)</f>
      </c>
      <c r="AL737">
        <f>IF(ISBLANK('Data Entry'!$f$737), "", 'Data Entry'!$f$737)</f>
      </c>
      <c r="AM737">
        <f>IF(ISBLANK('Data Entry'!$g$737), "", 'Data Entry'!$g$737)</f>
      </c>
      <c r="AN737">
        <f>IF(ISBLANK('Data Entry'!$h$737), "", 'Data Entry'!$h$737)</f>
      </c>
      <c r="AO737">
        <f>IF(ISBLANK('Data Entry'!$i$737), "", 'Data Entry'!$i$737)</f>
      </c>
      <c r="AP737">
        <f>IF(ISBLANK('Data Entry'!$j$737), "", 'Data Entry'!$j$737)</f>
      </c>
      <c r="AQ737">
        <f>IF(ISBLANK('Data Entry'!$k$737), "", 'Data Entry'!$k$737)</f>
      </c>
      <c r="AR737">
        <f>IF(ISBLANK('Data Entry'!$l$737), "", 'Data Entry'!$l$737)</f>
      </c>
      <c r="AS737">
        <f>IF(ISBLANK('Data Entry'!$m$737), "", 'Data Entry'!$m$737)</f>
      </c>
      <c r="AT737">
        <f>IF(ISBLANK('Data Entry'!$n$737), "", 'Data Entry'!$n$737)</f>
      </c>
      <c r="AU737">
        <f>IF(ISBLANK('Data Entry'!$o$737), "", 'Data Entry'!$o$737)</f>
      </c>
      <c r="AV737">
        <f>IF(ISBLANK('Data Entry'!$p$737), "", 'Data Entry'!$p$737)</f>
      </c>
      <c r="AW737">
        <f>IF(ISBLANK('Data Entry'!$q$737), "", 'Data Entry'!$q$737)</f>
      </c>
      <c r="AX737">
        <f>IF(ISBLANK('Data Entry'!$r$737), "", 'Data Entry'!$r$737)</f>
      </c>
      <c r="AY737">
        <f>IF(ISBLANK('Data Entry'!$s$737), "", 'Data Entry'!$s$737)</f>
      </c>
      <c r="AZ737">
        <f>IF(ISBLANK('Data Entry'!$t$737), "", 'Data Entry'!$t$737)</f>
      </c>
      <c r="BA737">
        <f>IF(ISBLANK('Data Entry'!$u$737), "", 'Data Entry'!$u$737)</f>
      </c>
      <c r="BB737">
        <f>IF(ISBLANK('Data Entry'!$v$737), "", 'Data Entry'!$v$737)</f>
      </c>
      <c r="BC737">
        <f>IF(ISBLANK('Data Entry'!$w$737), "", 'Data Entry'!$w$737)</f>
      </c>
      <c r="BD737">
        <f>IF(ISBLANK('Data Entry'!$x$737), "", 'Data Entry'!$x$737)</f>
      </c>
      <c r="BE737">
        <f>IF(ISBLANK('Data Entry'!$y$737), "", 'Data Entry'!$y$737)</f>
      </c>
      <c r="BF737">
        <f>IF(ISBLANK('Data Entry'!$z$737), "", 'Data Entry'!$z$737)</f>
      </c>
      <c r="BG737">
        <f>IF(ISBLANK('Data Entry'!${$737), "", 'Data Entry'!${$737)</f>
      </c>
      <c r="BH737">
        <f>IF(ISBLANK('Data Entry'!$|$737), "", 'Data Entry'!$|$737)</f>
      </c>
      <c r="BI737">
        <f>IF(ISBLANK('Data Entry'!$}$737), "", 'Data Entry'!$}$737)</f>
      </c>
      <c r="BJ737">
        <f>IF(ISBLANK('Data Entry'!$~$737), "", 'Data Entry'!$~$737)</f>
      </c>
      <c r="BK737">
        <f>IF(ISBLANK('Data Entry'!$$737), "", 'Data Entry'!$$737)</f>
      </c>
      <c r="BL737">
        <f>IF(ISBLANK('Data Entry'!$$737), "", 'Data Entry'!$$737)</f>
      </c>
      <c r="BM737">
        <f>IF(ISBLANK('Data Entry'!$$737), "", 'Data Entry'!$$737)</f>
      </c>
      <c r="BN737">
        <f>IF(ISBLANK('Data Entry'!$$737), "", 'Data Entry'!$$737)</f>
      </c>
      <c r="BO737">
        <f>IF(ISBLANK('Data Entry'!$$737), "", 'Data Entry'!$$737)</f>
      </c>
      <c r="BP737">
        <f>IF(ISBLANK('Data Entry'!$$737), "", 'Data Entry'!$$737)</f>
      </c>
      <c r="BQ737">
        <f>IF(ISBLANK('Data Entry'!$$737), "", 'Data Entry'!$$737)</f>
      </c>
      <c r="BR737">
        <f>IF(ISBLANK('Data Entry'!$$737), "", 'Data Entry'!$$737)</f>
      </c>
      <c r="BS737">
        <f>IF(ISBLANK('Data Entry'!$$737), "", 'Data Entry'!$$737)</f>
      </c>
      <c r="BT737">
        <f>IF(ISBLANK('Data Entry'!$$737), "", 'Data Entry'!$$737)</f>
      </c>
      <c r="BU737">
        <f>IF(ISBLANK('Data Entry'!$$737), "", 'Data Entry'!$$737)</f>
      </c>
      <c r="BV737">
        <f>IF(ISBLANK('Data Entry'!$$737), "", 'Data Entry'!$$737)</f>
      </c>
      <c r="BW737">
        <f>IF(ISBLANK('Data Entry'!$$737), "", 'Data Entry'!$$737)</f>
      </c>
      <c r="BX737">
        <f>IF(ISBLANK('Data Entry'!$$737), "", 'Data Entry'!$$737)</f>
      </c>
      <c r="BY737">
        <f>IF(ISBLANK('Data Entry'!$$737), "", 'Data Entry'!$$737)</f>
      </c>
      <c r="BZ737">
        <f>IF(ISBLANK('Data Entry'!$$737), "", 'Data Entry'!$$737)</f>
      </c>
      <c r="CA737">
        <f>IF(ISBLANK('Data Entry'!$$737), "", 'Data Entry'!$$737)</f>
      </c>
      <c r="CB737">
        <f>IF(ISBLANK('Data Entry'!$$737), "", 'Data Entry'!$$737)</f>
      </c>
      <c r="CC737">
        <f>IF(ISBLANK('Data Entry'!$$737), "", 'Data Entry'!$$737)</f>
      </c>
      <c r="CD737">
        <f>IF(ISBLANK('Data Entry'!$$737), "", 'Data Entry'!$$737)</f>
      </c>
      <c r="CE737">
        <f>IF(ISBLANK('Data Entry'!$$737), "", 'Data Entry'!$$737)</f>
      </c>
      <c r="CF737">
        <f>IF(ISBLANK('Data Entry'!$$737), "", 'Data Entry'!$$737)</f>
      </c>
      <c r="CG737">
        <f>IF(ISBLANK('Data Entry'!$$737), "", 'Data Entry'!$$737)</f>
      </c>
      <c r="CH737">
        <f>IF(ISBLANK('Data Entry'!$$737), "", 'Data Entry'!$$737)</f>
      </c>
      <c r="CI737">
        <f>IF(ISBLANK('Data Entry'!$$737), "", 'Data Entry'!$$737)</f>
      </c>
      <c r="CJ737">
        <f>IF(ISBLANK('Data Entry'!$$737), "", 'Data Entry'!$$737)</f>
      </c>
      <c r="CK737">
        <f>IF(ISBLANK('Data Entry'!$$737), "", 'Data Entry'!$$737)</f>
      </c>
      <c r="CL737">
        <f>IF(ISBLANK('Data Entry'!$$737), "", 'Data Entry'!$$737)</f>
      </c>
      <c r="CM737">
        <f>IF(ISBLANK('Data Entry'!$$737), "", 'Data Entry'!$$737)</f>
      </c>
      <c r="CN737">
        <f>IF(ISBLANK('Data Entry'!$$737), "", 'Data Entry'!$$737)</f>
      </c>
      <c r="CO737">
        <f>IF(ISBLANK('Data Entry'!$$737), "", 'Data Entry'!$$737)</f>
      </c>
      <c r="CP737">
        <f>IF(ISBLANK('Data Entry'!$$737), "", 'Data Entry'!$$737)</f>
      </c>
      <c r="CQ737">
        <f>IF(ISBLANK('Data Entry'!$$737), "", 'Data Entry'!$$737)</f>
      </c>
      <c r="CR737">
        <f>IF(ISBLANK('Data Entry'!$ $737), "", 'Data Entry'!$ $737)</f>
      </c>
      <c r="CS737">
        <f>IF(ISBLANK('Data Entry'!$¡$737), "", 'Data Entry'!$¡$737)</f>
      </c>
      <c r="CT737">
        <f>IF(ISBLANK('Data Entry'!$¢$737), "", 'Data Entry'!$¢$737)</f>
      </c>
      <c r="CU737">
        <f>IF(ISBLANK('Data Entry'!$£$737), "", 'Data Entry'!$£$737)</f>
      </c>
      <c r="CV737">
        <f>IF(ISBLANK('Data Entry'!$¤$737), "", 'Data Entry'!$¤$737)</f>
      </c>
      <c r="CW737">
        <f>IF(ISBLANK('Data Entry'!$¥$737), "", 'Data Entry'!$¥$737)</f>
      </c>
      <c r="CX737">
        <f>IF(ISBLANK('Data Entry'!$¦$737), "", 'Data Entry'!$¦$737)</f>
      </c>
      <c r="CY737">
        <f>IF(ISBLANK('Data Entry'!$§$737), "", 'Data Entry'!$§$737)</f>
      </c>
      <c r="CZ737">
        <f>IF(ISBLANK('Data Entry'!$¨$737), "", 'Data Entry'!$¨$737)</f>
      </c>
      <c r="DA737">
        <f>IF(ISBLANK('Data Entry'!$©$737), "", 'Data Entry'!$©$737)</f>
      </c>
      <c r="DB737">
        <f>IF(ISBLANK('Data Entry'!$ª$737), "", 'Data Entry'!$ª$737)</f>
      </c>
      <c r="DC737">
        <f>IF(ISBLANK('Data Entry'!$«$737), "", 'Data Entry'!$«$737)</f>
      </c>
      <c r="DD737">
        <f>IF(ISBLANK('Data Entry'!$¬$737), "", 'Data Entry'!$¬$737)</f>
      </c>
      <c r="DE737">
        <f>IF(ISBLANK('Data Entry'!$­$737), "", 'Data Entry'!$­$737)</f>
      </c>
      <c r="DF737">
        <f>IF(ISBLANK('Data Entry'!$®$737), "", 'Data Entry'!$®$737)</f>
      </c>
      <c r="DG737">
        <f>IF(ISBLANK('Data Entry'!$¯$737), "", 'Data Entry'!$¯$737)</f>
      </c>
      <c r="DH737">
        <f>IF(ISBLANK('Data Entry'!$°$737), "", 'Data Entry'!$°$737)</f>
      </c>
      <c r="DI737">
        <f>IF(ISBLANK('Data Entry'!$±$737), "", 'Data Entry'!$±$737)</f>
      </c>
      <c r="DJ737">
        <f>IF(ISBLANK('Data Entry'!$²$737), "", 'Data Entry'!$²$737)</f>
      </c>
      <c r="DK737">
        <f>IF(ISBLANK('Data Entry'!$³$737), "", 'Data Entry'!$³$737)</f>
      </c>
      <c r="DL737">
        <f>IF(ISBLANK('Data Entry'!$´$737), "", 'Data Entry'!$´$737)</f>
      </c>
      <c r="DM737">
        <f>IF(ISBLANK('Data Entry'!$µ$737), "", 'Data Entry'!$µ$737)</f>
      </c>
      <c r="DN737">
        <f>IF(ISBLANK('Data Entry'!$¶$737), "", 'Data Entry'!$¶$737)</f>
      </c>
      <c r="DO737">
        <f>IF(ISBLANK('Data Entry'!$·$737), "", 'Data Entry'!$·$737)</f>
      </c>
      <c r="DP737">
        <f>IF(ISBLANK('Data Entry'!$¸$737), "", 'Data Entry'!$¸$737)</f>
      </c>
      <c r="DQ737">
        <f>IF(ISBLANK('Data Entry'!$¹$737), "", 'Data Entry'!$¹$737)</f>
      </c>
      <c r="DR737">
        <f>IF(ISBLANK('Data Entry'!$º$737), "", 'Data Entry'!$º$737)</f>
      </c>
      <c r="DS737">
        <f>IF(ISBLANK('Data Entry'!$»$737), "", 'Data Entry'!$»$737)</f>
      </c>
      <c r="DT737">
        <f>IF(ISBLANK('Data Entry'!$¼$737), "", 'Data Entry'!$¼$737)</f>
      </c>
      <c r="DU737">
        <f>IF(ISBLANK('Data Entry'!$½$737), "", 'Data Entry'!$½$737)</f>
      </c>
      <c r="DV737">
        <f>IF(ISBLANK('Data Entry'!$¾$737), "", 'Data Entry'!$¾$737)</f>
      </c>
      <c r="DW737">
        <f>IF(ISBLANK('Data Entry'!$¿$737), "", 'Data Entry'!$¿$737)</f>
      </c>
      <c r="DX737">
        <f>IF(ISBLANK('Data Entry'!$À$737), "", 'Data Entry'!$À$737)</f>
      </c>
      <c r="DY737">
        <f>IF(ISBLANK('Data Entry'!$Á$737), "", 'Data Entry'!$Á$737)</f>
      </c>
      <c r="DZ737">
        <f>IF(ISBLANK('Data Entry'!$Â$737), "", 'Data Entry'!$Â$737)</f>
      </c>
      <c r="EA737">
        <f>IF(ISBLANK('Data Entry'!$Ã$737), "", 'Data Entry'!$Ã$737)</f>
      </c>
      <c r="EB737">
        <f>IF(ISBLANK('Data Entry'!$Ä$737), "", 'Data Entry'!$Ä$737)</f>
      </c>
      <c r="EC737">
        <f>IF(ISBLANK('Data Entry'!$Å$737), "", 'Data Entry'!$Å$737)</f>
      </c>
      <c r="ED737">
        <f>IF(ISBLANK('Data Entry'!$Æ$737), "", 'Data Entry'!$Æ$737)</f>
      </c>
      <c r="EE737">
        <f>IF(ISBLANK('Data Entry'!$Ç$737), "", 'Data Entry'!$Ç$737)</f>
      </c>
      <c r="EF737">
        <f>IF(ISBLANK('Data Entry'!$È$737), "", 'Data Entry'!$È$737)</f>
      </c>
      <c r="EG737">
        <f>IF(ISBLANK('Data Entry'!$É$737), "", 'Data Entry'!$É$737)</f>
      </c>
      <c r="EH737">
        <f>IF(ISBLANK('Data Entry'!$Ê$737), "", 'Data Entry'!$Ê$737)</f>
      </c>
      <c r="EI737">
        <f>IF(ISBLANK('Data Entry'!$Ë$737), "", 'Data Entry'!$Ë$737)</f>
      </c>
      <c r="EJ737">
        <f>IF(ISBLANK('Data Entry'!$Ì$737), "", 'Data Entry'!$Ì$737)</f>
      </c>
      <c r="EK737">
        <f>IF(ISBLANK('Data Entry'!$Í$737), "", 'Data Entry'!$Í$737)</f>
      </c>
      <c r="EL737">
        <f>IF(ISBLANK('Data Entry'!$Î$737), "", 'Data Entry'!$Î$737)</f>
      </c>
      <c r="EM737">
        <f>IF(ISBLANK('Data Entry'!$Ï$737), "", 'Data Entry'!$Ï$737)</f>
      </c>
      <c r="EN737">
        <f>IF(ISBLANK('Data Entry'!$Ð$737), "", 'Data Entry'!$Ð$737)</f>
      </c>
      <c r="EO737">
        <f>IF(ISBLANK('Data Entry'!$Ñ$737), "", 'Data Entry'!$Ñ$737)</f>
      </c>
      <c r="EP737">
        <f>IF(ISBLANK('Data Entry'!$Ò$737), "", 'Data Entry'!$Ò$737)</f>
      </c>
      <c r="EQ737">
        <f>IF(ISBLANK('Data Entry'!$Ó$737), "", 'Data Entry'!$Ó$737)</f>
      </c>
      <c r="ER737">
        <f>IF(ISBLANK('Data Entry'!$Ô$737), "", 'Data Entry'!$Ô$737)</f>
      </c>
      <c r="ES737">
        <f>IF(ISBLANK('Data Entry'!$Õ$737), "", 'Data Entry'!$Õ$737)</f>
      </c>
      <c r="ET737">
        <f>IF(ISBLANK('Data Entry'!$Ö$737), "", 'Data Entry'!$Ö$737)</f>
      </c>
      <c r="EU737">
        <f>IF(ISBLANK('Data Entry'!$×$737), "", 'Data Entry'!$×$737)</f>
      </c>
      <c r="EV737">
        <f>IF(ISBLANK('Data Entry'!$Ø$737), "", 'Data Entry'!$Ø$737)</f>
      </c>
      <c r="EW737">
        <f>IF(ISBLANK('Data Entry'!$Ù$737), "", 'Data Entry'!$Ù$737)</f>
      </c>
      <c r="EX737">
        <f>IF(ISBLANK('Data Entry'!$Ú$737), "", 'Data Entry'!$Ú$737)</f>
      </c>
      <c r="EY737">
        <f>IF(ISBLANK('Data Entry'!$Û$737), "", 'Data Entry'!$Û$737)</f>
      </c>
      <c r="EZ737">
        <f>IF(ISBLANK('Data Entry'!$Ü$737), "", 'Data Entry'!$Ü$737)</f>
      </c>
      <c r="FA737">
        <f>IF(ISBLANK('Data Entry'!$Ý$737), "", 'Data Entry'!$Ý$737)</f>
      </c>
      <c r="FB737">
        <f>IF(ISBLANK('Data Entry'!$Þ$737), "", 'Data Entry'!$Þ$737)</f>
      </c>
      <c r="FC737">
        <f>IF(ISBLANK('Data Entry'!$ß$737), "", 'Data Entry'!$ß$737)</f>
      </c>
      <c r="FD737">
        <f>IF(ISBLANK('Data Entry'!$à$737), "", 'Data Entry'!$à$737)</f>
      </c>
      <c r="FE737">
        <f>IF(ISBLANK('Data Entry'!$á$737), "", 'Data Entry'!$á$737)</f>
      </c>
      <c r="FF737">
        <f>IF(ISBLANK('Data Entry'!$â$737), "", 'Data Entry'!$â$737)</f>
      </c>
      <c r="FG737">
        <f>IF(ISBLANK('Data Entry'!$ã$737), "", 'Data Entry'!$ã$737)</f>
      </c>
      <c r="FH737">
        <f>IF(ISBLANK('Data Entry'!$ä$737), "", 'Data Entry'!$ä$737)</f>
      </c>
      <c r="FI737">
        <f>IF(ISBLANK('Data Entry'!$å$737), "", 'Data Entry'!$å$737)</f>
      </c>
      <c r="FJ737">
        <f>IF(ISBLANK('Data Entry'!$æ$737), "", 'Data Entry'!$æ$737)</f>
      </c>
      <c r="FK737">
        <f>IF(ISBLANK('Data Entry'!$ç$737), "", 'Data Entry'!$ç$737)</f>
      </c>
      <c r="FL737">
        <f>IF(ISBLANK('Data Entry'!$è$737), "", 'Data Entry'!$è$737)</f>
      </c>
      <c r="FM737">
        <f>IF(ISBLANK('Data Entry'!$é$737), "", 'Data Entry'!$é$737)</f>
      </c>
      <c r="FN737">
        <f>IF(ISBLANK('Data Entry'!$ê$737), "", 'Data Entry'!$ê$737)</f>
      </c>
      <c r="FO737">
        <f>IF(ISBLANK('Data Entry'!$ë$737), "", 'Data Entry'!$ë$737)</f>
      </c>
      <c r="FP737">
        <f>IF(ISBLANK('Data Entry'!$ì$737), "", 'Data Entry'!$ì$737)</f>
      </c>
      <c r="FQ737">
        <f>IF(ISBLANK('Data Entry'!$í$737), "", 'Data Entry'!$í$737)</f>
      </c>
      <c r="FR737">
        <f>IF(ISBLANK('Data Entry'!$î$737), "", 'Data Entry'!$î$737)</f>
      </c>
      <c r="FS737">
        <f>IF(ISBLANK('Data Entry'!$ï$737), "", 'Data Entry'!$ï$737)</f>
      </c>
      <c r="FT737">
        <f>IF(ISBLANK('Data Entry'!$ð$737), "", 'Data Entry'!$ð$737)</f>
      </c>
      <c r="FU737">
        <f>IF(ISBLANK('Data Entry'!$ñ$737), "", 'Data Entry'!$ñ$737)</f>
      </c>
      <c r="FV737">
        <f>IF(ISBLANK('Data Entry'!$ò$737), "", 'Data Entry'!$ò$737)</f>
      </c>
      <c r="FW737">
        <f>IF(ISBLANK('Data Entry'!$ó$737), "", 'Data Entry'!$ó$737)</f>
      </c>
      <c r="FX737">
        <f>IF(ISBLANK('Data Entry'!$ô$737), "", 'Data Entry'!$ô$737)</f>
      </c>
      <c r="FY737">
        <f>IF(ISBLANK('Data Entry'!$õ$737), "", 'Data Entry'!$õ$737)</f>
      </c>
      <c r="FZ737">
        <f>IF(ISBLANK('Data Entry'!$ö$737), "", 'Data Entry'!$ö$737)</f>
      </c>
      <c r="GA737">
        <f>IF(ISBLANK('Data Entry'!$÷$737), "", 'Data Entry'!$÷$737)</f>
      </c>
      <c r="GB737">
        <f>IF(ISBLANK('Data Entry'!$ø$737), "", 'Data Entry'!$ø$737)</f>
      </c>
      <c r="GC737">
        <f>IF(ISBLANK('Data Entry'!$ù$737), "", 'Data Entry'!$ù$737)</f>
      </c>
      <c r="GD737">
        <f>IF(ISBLANK('Data Entry'!$ú$737), "", 'Data Entry'!$ú$737)</f>
      </c>
      <c r="GE737">
        <f>IF(ISBLANK('Data Entry'!$û$737), "", 'Data Entry'!$û$737)</f>
      </c>
      <c r="GF737">
        <f>IF(ISBLANK('Data Entry'!$ü$737), "", 'Data Entry'!$ü$737)</f>
      </c>
      <c r="GG737">
        <f>IF(ISBLANK('Data Entry'!$ý$737), "", 'Data Entry'!$ý$737)</f>
      </c>
      <c r="GH737">
        <f>IF(ISBLANK('Data Entry'!$þ$737), "", 'Data Entry'!$þ$737)</f>
      </c>
      <c r="GI737">
        <f>IF(ISBLANK('Data Entry'!$ÿ$737), "", 'Data Entry'!$ÿ$737)</f>
      </c>
      <c r="GJ737">
        <f>IF(ISBLANK('Data Entry'!$Ā$737), "", 'Data Entry'!$Ā$737)</f>
      </c>
      <c r="GK737">
        <f>IF(ISBLANK('Data Entry'!$ā$737), "", 'Data Entry'!$ā$737)</f>
      </c>
      <c r="GL737">
        <f>IF(ISBLANK('Data Entry'!$Ă$737), "", 'Data Entry'!$Ă$737)</f>
      </c>
      <c r="GM737">
        <f>IF(ISBLANK('Data Entry'!$ă$737), "", 'Data Entry'!$ă$737)</f>
      </c>
      <c r="GN737">
        <f>IF(ISBLANK('Data Entry'!$Ą$737), "", 'Data Entry'!$Ą$737)</f>
      </c>
      <c r="GO737">
        <f>IF(ISBLANK('Data Entry'!$ą$737), "", 'Data Entry'!$ą$737)</f>
      </c>
      <c r="GP737">
        <f>IF(ISBLANK('Data Entry'!$Ć$737), "", 'Data Entry'!$Ć$737)</f>
      </c>
      <c r="GQ737">
        <f>IF(ISBLANK('Data Entry'!$ć$737), "", 'Data Entry'!$ć$737)</f>
      </c>
      <c r="GR737">
        <f>IF(ISBLANK('Data Entry'!$Ĉ$737), "", 'Data Entry'!$Ĉ$737)</f>
      </c>
      <c r="GS737">
        <f>IF(ISBLANK('Data Entry'!$ĉ$737), "", 'Data Entry'!$ĉ$737)</f>
      </c>
      <c r="GT737">
        <f>IF(ISBLANK('Data Entry'!$Ċ$737), "", 'Data Entry'!$Ċ$737)</f>
      </c>
      <c r="GU737">
        <f>IF(ISBLANK('Data Entry'!$ċ$737), "", 'Data Entry'!$ċ$737)</f>
      </c>
      <c r="GV737">
        <f>IF(ISBLANK('Data Entry'!$Č$737), "", 'Data Entry'!$Č$737)</f>
      </c>
      <c r="GW737">
        <f>IF(ISBLANK('Data Entry'!$č$737), "", 'Data Entry'!$č$737)</f>
      </c>
      <c r="GX737">
        <f>IF(ISBLANK('Data Entry'!$Ď$737), "", 'Data Entry'!$Ď$737)</f>
      </c>
      <c r="GY737">
        <f>IF(ISBLANK('Data Entry'!$ď$737), "", 'Data Entry'!$ď$737)</f>
      </c>
      <c r="GZ737">
        <f>IF(ISBLANK('Data Entry'!$Đ$737), "", 'Data Entry'!$Đ$737)</f>
      </c>
      <c r="HA737">
        <f>IF(ISBLANK('Data Entry'!$đ$737), "", 'Data Entry'!$đ$737)</f>
      </c>
      <c r="HB737">
        <f>IF(ISBLANK('Data Entry'!$Ē$737), "", 'Data Entry'!$Ē$737)</f>
      </c>
      <c r="HC737">
        <f>IF(ISBLANK('Data Entry'!$ē$737), "", 'Data Entry'!$ē$737)</f>
      </c>
      <c r="HD737">
        <f>IF(ISBLANK('Data Entry'!$Ĕ$737), "", 'Data Entry'!$Ĕ$737)</f>
      </c>
      <c r="HE737">
        <f>IF(ISBLANK('Data Entry'!$ĕ$737), "", 'Data Entry'!$ĕ$737)</f>
      </c>
      <c r="HF737">
        <f>IF(ISBLANK('Data Entry'!$Ė$737), "", 'Data Entry'!$Ė$737)</f>
      </c>
      <c r="HG737">
        <f>IF(ISBLANK('Data Entry'!$ė$737), "", 'Data Entry'!$ė$737)</f>
      </c>
      <c r="HH737">
        <f>IF(ISBLANK('Data Entry'!$Ę$737), "", 'Data Entry'!$Ę$737)</f>
      </c>
      <c r="HI737">
        <f>IF(ISBLANK('Data Entry'!$ę$737), "", 'Data Entry'!$ę$737)</f>
      </c>
      <c r="HJ737">
        <f>IF(ISBLANK('Data Entry'!$Ě$737), "", 'Data Entry'!$Ě$737)</f>
      </c>
      <c r="HK737">
        <f>IF(ISBLANK('Data Entry'!$ě$737), "", 'Data Entry'!$ě$737)</f>
      </c>
      <c r="HL737">
        <f>IF(ISBLANK('Data Entry'!$Ĝ$737), "", 'Data Entry'!$Ĝ$737)</f>
      </c>
      <c r="HM737">
        <f>IF(ISBLANK('Data Entry'!$ĝ$737), "", 'Data Entry'!$ĝ$737)</f>
      </c>
      <c r="HN737">
        <f>IF(ISBLANK('Data Entry'!$Ğ$737), "", 'Data Entry'!$Ğ$737)</f>
      </c>
      <c r="HO737">
        <f>IF(ISBLANK('Data Entry'!$ğ$737), "", 'Data Entry'!$ğ$737)</f>
      </c>
      <c r="HP737">
        <f>IF(ISBLANK('Data Entry'!$Ġ$737), "", 'Data Entry'!$Ġ$737)</f>
      </c>
      <c r="HQ737">
        <f>IF(ISBLANK('Data Entry'!$ġ$737), "", 'Data Entry'!$ġ$737)</f>
      </c>
      <c r="HR737">
        <f>IF(ISBLANK('Data Entry'!$Ģ$737), "", 'Data Entry'!$Ģ$737)</f>
      </c>
      <c r="HS737">
        <f>IF(ISBLANK('Data Entry'!$ģ$737), "", 'Data Entry'!$ģ$737)</f>
      </c>
      <c r="HT737">
        <f>IF(ISBLANK('Data Entry'!$Ĥ$737), "", 'Data Entry'!$Ĥ$737)</f>
      </c>
      <c r="HU737">
        <f>IF(ISBLANK('Data Entry'!$ĥ$737), "", 'Data Entry'!$ĥ$737)</f>
      </c>
      <c r="HV737">
        <f>IF(ISBLANK('Data Entry'!$Ħ$737), "", 'Data Entry'!$Ħ$737)</f>
      </c>
      <c r="HW737">
        <f>IF(ISBLANK('Data Entry'!$ħ$737), "", 'Data Entry'!$ħ$737)</f>
      </c>
      <c r="HX737">
        <f>IF(ISBLANK('Data Entry'!$Ĩ$737), "", 'Data Entry'!$Ĩ$737)</f>
      </c>
      <c r="HY737">
        <f>IF(ISBLANK('Data Entry'!$ĩ$737), "", 'Data Entry'!$ĩ$737)</f>
      </c>
      <c r="HZ737">
        <f>IF(ISBLANK('Data Entry'!$Ī$737), "", 'Data Entry'!$Ī$737)</f>
      </c>
      <c r="IA737">
        <f>IF(ISBLANK('Data Entry'!$ī$737), "", 'Data Entry'!$ī$737)</f>
      </c>
      <c r="IB737">
        <f>IF(ISBLANK('Data Entry'!$Ĭ$737), "", 'Data Entry'!$Ĭ$737)</f>
      </c>
      <c r="IC737">
        <f>IF(ISBLANK('Data Entry'!$ĭ$737), "", 'Data Entry'!$ĭ$737)</f>
      </c>
      <c r="ID737">
        <f>IF(ISBLANK('Data Entry'!$Į$737), "", 'Data Entry'!$Į$737)</f>
      </c>
      <c r="IE737">
        <f>IF(ISBLANK('Data Entry'!$į$737), "", 'Data Entry'!$į$737)</f>
      </c>
      <c r="IF737">
        <f>IF(ISBLANK('Data Entry'!$İ$737), "", 'Data Entry'!$İ$737)</f>
      </c>
      <c r="IG737">
        <f>IF(ISBLANK('Data Entry'!$ı$737), "", 'Data Entry'!$ı$737)</f>
      </c>
      <c r="IH737">
        <f>IF(ISBLANK('Data Entry'!$Ĳ$737), "", 'Data Entry'!$Ĳ$737)</f>
      </c>
      <c r="II737">
        <f>IF(ISBLANK('Data Entry'!$ĳ$737), "", 'Data Entry'!$ĳ$737)</f>
      </c>
      <c r="IJ737">
        <f>IF(ISBLANK('Data Entry'!$Ĵ$737), "", 'Data Entry'!$Ĵ$737)</f>
      </c>
      <c r="IK737">
        <f>IF(ISBLANK('Data Entry'!$ĵ$737), "", 'Data Entry'!$ĵ$737)</f>
      </c>
      <c r="IL737">
        <f>IF(ISBLANK('Data Entry'!$Ķ$737), "", 'Data Entry'!$Ķ$737)</f>
      </c>
      <c r="IM737">
        <f>IF(ISBLANK('Data Entry'!$ķ$737), "", 'Data Entry'!$ķ$737)</f>
      </c>
      <c r="IN737">
        <f>IF(ISBLANK('Data Entry'!$ĸ$737), "", 'Data Entry'!$ĸ$737)</f>
      </c>
      <c r="IO737">
        <f>IF(ISBLANK('Data Entry'!$Ĺ$737), "", 'Data Entry'!$Ĺ$737)</f>
      </c>
      <c r="IP737">
        <f>IF(ISBLANK('Data Entry'!$ĺ$737), "", 'Data Entry'!$ĺ$737)</f>
      </c>
      <c r="IQ737">
        <f>IF(ISBLANK('Data Entry'!$Ļ$737), "", 'Data Entry'!$Ļ$737)</f>
      </c>
      <c r="IR737">
        <f>IF(ISBLANK('Data Entry'!$ļ$737), "", 'Data Entry'!$ļ$737)</f>
      </c>
      <c r="IS737">
        <f>IF(ISBLANK('Data Entry'!$Ľ$737), "", 'Data Entry'!$Ľ$737)</f>
      </c>
      <c r="IT737">
        <f>IF(ISBLANK('Data Entry'!$ľ$737), "", 'Data Entry'!$ľ$737)</f>
      </c>
    </row>
    <row r="738" spans="1:254" x14ac:dyDescent="0.25">
      <c r="A738">
        <f>IF(ISBLANK('Data Entry'!$A$738), "", 'Data Entry'!$A$738)</f>
      </c>
      <c r="B738">
        <f>IF(ISBLANK('Data Entry'!$B$738), "", 'Data Entry'!$B$738)</f>
      </c>
      <c r="C738">
        <f>IF(ISBLANK('Data Entry'!$C$738), "", 'Data Entry'!$C$738)</f>
      </c>
      <c r="D738">
        <f>IF(ISBLANK('Data Entry'!$D$738), "", 'Data Entry'!$D$738)</f>
      </c>
      <c r="E738">
        <f>IF(ISBLANK('Data Entry'!$E$738), "", 'Data Entry'!$E$738)</f>
      </c>
      <c r="F738">
        <f>IF(ISBLANK('Data Entry'!$F$738), "", 'Data Entry'!$F$738)</f>
      </c>
      <c r="G738">
        <f>IF(ISBLANK('Data Entry'!$G$738), "", 'Data Entry'!$G$738)</f>
      </c>
      <c r="H738">
        <f>IF(ISBLANK('Data Entry'!$H$738), "", 'Data Entry'!$H$738)</f>
      </c>
      <c r="I738">
        <f>IF(ISBLANK('Data Entry'!$I$738), "", 'Data Entry'!$I$738)</f>
      </c>
      <c r="J738">
        <f>IF(ISBLANK('Data Entry'!$J$738), "", 'Data Entry'!$J$738)</f>
      </c>
      <c r="K738">
        <f>IF(ISBLANK('Data Entry'!$K$738), "", 'Data Entry'!$K$738)</f>
      </c>
      <c r="L738">
        <f>IF(ISBLANK('Data Entry'!$L$738), "", 'Data Entry'!$L$738)</f>
      </c>
      <c r="M738">
        <f>IF(ISBLANK('Data Entry'!$M$738), "", 'Data Entry'!$M$738)</f>
      </c>
      <c r="N738">
        <f>IF(ISBLANK('Data Entry'!$N$738), "", 'Data Entry'!$N$738)</f>
      </c>
      <c r="O738">
        <f>IF(ISBLANK('Data Entry'!$O$738), "", 'Data Entry'!$O$738)</f>
      </c>
      <c r="P738">
        <f>IF(ISBLANK('Data Entry'!$P$738), "", 'Data Entry'!$P$738)</f>
      </c>
      <c r="Q738">
        <f>IF(ISBLANK('Data Entry'!$Q$738), "", 'Data Entry'!$Q$738)</f>
      </c>
      <c r="R738">
        <f>IF(ISBLANK('Data Entry'!$R$738), "", 'Data Entry'!$R$738)</f>
      </c>
      <c r="S738">
        <f>IF(ISBLANK('Data Entry'!$S$738), "", 'Data Entry'!$S$738)</f>
      </c>
      <c r="T738">
        <f>IF(ISBLANK('Data Entry'!$T$738), "", 'Data Entry'!$T$738)</f>
      </c>
      <c r="U738">
        <f>IF(ISBLANK('Data Entry'!$U$738), "", 'Data Entry'!$U$738)</f>
      </c>
      <c r="V738">
        <f>IF(ISBLANK('Data Entry'!$V$738), "", 'Data Entry'!$V$738)</f>
      </c>
      <c r="W738">
        <f>IF(ISBLANK('Data Entry'!$W$738), "", 'Data Entry'!$W$738)</f>
      </c>
      <c r="X738">
        <f>IF(ISBLANK('Data Entry'!$X$738), "", 'Data Entry'!$X$738)</f>
      </c>
      <c r="Y738">
        <f>IF(ISBLANK('Data Entry'!$Y$738), "", 'Data Entry'!$Y$738)</f>
      </c>
      <c r="Z738">
        <f>IF(ISBLANK('Data Entry'!$Z$738), "", 'Data Entry'!$Z$738)</f>
      </c>
      <c r="AA738">
        <f>IF(ISBLANK('Data Entry'!$[$738), "", 'Data Entry'!$[$738)</f>
      </c>
      <c r="AB738">
        <f>IF(ISBLANK('Data Entry'!$\$738), "", 'Data Entry'!$\$738)</f>
      </c>
      <c r="AC738">
        <f>IF(ISBLANK('Data Entry'!$]$738), "", 'Data Entry'!$]$738)</f>
      </c>
      <c r="AD738">
        <f>IF(ISBLANK('Data Entry'!$^$738), "", 'Data Entry'!$^$738)</f>
      </c>
      <c r="AE738">
        <f>IF(ISBLANK('Data Entry'!$_$738), "", 'Data Entry'!$_$738)</f>
      </c>
      <c r="AF738">
        <f>IF(ISBLANK('Data Entry'!$`$738), "", 'Data Entry'!$`$738)</f>
      </c>
      <c r="AG738">
        <f>IF(ISBLANK('Data Entry'!$a$738), "", 'Data Entry'!$a$738)</f>
      </c>
      <c r="AH738">
        <f>IF(ISBLANK('Data Entry'!$b$738), "", 'Data Entry'!$b$738)</f>
      </c>
      <c r="AI738">
        <f>IF(ISBLANK('Data Entry'!$c$738), "", 'Data Entry'!$c$738)</f>
      </c>
      <c r="AJ738">
        <f>IF(ISBLANK('Data Entry'!$d$738), "", 'Data Entry'!$d$738)</f>
      </c>
      <c r="AK738">
        <f>IF(ISBLANK('Data Entry'!$e$738), "", 'Data Entry'!$e$738)</f>
      </c>
      <c r="AL738">
        <f>IF(ISBLANK('Data Entry'!$f$738), "", 'Data Entry'!$f$738)</f>
      </c>
      <c r="AM738">
        <f>IF(ISBLANK('Data Entry'!$g$738), "", 'Data Entry'!$g$738)</f>
      </c>
      <c r="AN738">
        <f>IF(ISBLANK('Data Entry'!$h$738), "", 'Data Entry'!$h$738)</f>
      </c>
      <c r="AO738">
        <f>IF(ISBLANK('Data Entry'!$i$738), "", 'Data Entry'!$i$738)</f>
      </c>
      <c r="AP738">
        <f>IF(ISBLANK('Data Entry'!$j$738), "", 'Data Entry'!$j$738)</f>
      </c>
      <c r="AQ738">
        <f>IF(ISBLANK('Data Entry'!$k$738), "", 'Data Entry'!$k$738)</f>
      </c>
      <c r="AR738">
        <f>IF(ISBLANK('Data Entry'!$l$738), "", 'Data Entry'!$l$738)</f>
      </c>
      <c r="AS738">
        <f>IF(ISBLANK('Data Entry'!$m$738), "", 'Data Entry'!$m$738)</f>
      </c>
      <c r="AT738">
        <f>IF(ISBLANK('Data Entry'!$n$738), "", 'Data Entry'!$n$738)</f>
      </c>
      <c r="AU738">
        <f>IF(ISBLANK('Data Entry'!$o$738), "", 'Data Entry'!$o$738)</f>
      </c>
      <c r="AV738">
        <f>IF(ISBLANK('Data Entry'!$p$738), "", 'Data Entry'!$p$738)</f>
      </c>
      <c r="AW738">
        <f>IF(ISBLANK('Data Entry'!$q$738), "", 'Data Entry'!$q$738)</f>
      </c>
      <c r="AX738">
        <f>IF(ISBLANK('Data Entry'!$r$738), "", 'Data Entry'!$r$738)</f>
      </c>
      <c r="AY738">
        <f>IF(ISBLANK('Data Entry'!$s$738), "", 'Data Entry'!$s$738)</f>
      </c>
      <c r="AZ738">
        <f>IF(ISBLANK('Data Entry'!$t$738), "", 'Data Entry'!$t$738)</f>
      </c>
      <c r="BA738">
        <f>IF(ISBLANK('Data Entry'!$u$738), "", 'Data Entry'!$u$738)</f>
      </c>
      <c r="BB738">
        <f>IF(ISBLANK('Data Entry'!$v$738), "", 'Data Entry'!$v$738)</f>
      </c>
      <c r="BC738">
        <f>IF(ISBLANK('Data Entry'!$w$738), "", 'Data Entry'!$w$738)</f>
      </c>
      <c r="BD738">
        <f>IF(ISBLANK('Data Entry'!$x$738), "", 'Data Entry'!$x$738)</f>
      </c>
      <c r="BE738">
        <f>IF(ISBLANK('Data Entry'!$y$738), "", 'Data Entry'!$y$738)</f>
      </c>
      <c r="BF738">
        <f>IF(ISBLANK('Data Entry'!$z$738), "", 'Data Entry'!$z$738)</f>
      </c>
      <c r="BG738">
        <f>IF(ISBLANK('Data Entry'!${$738), "", 'Data Entry'!${$738)</f>
      </c>
      <c r="BH738">
        <f>IF(ISBLANK('Data Entry'!$|$738), "", 'Data Entry'!$|$738)</f>
      </c>
      <c r="BI738">
        <f>IF(ISBLANK('Data Entry'!$}$738), "", 'Data Entry'!$}$738)</f>
      </c>
      <c r="BJ738">
        <f>IF(ISBLANK('Data Entry'!$~$738), "", 'Data Entry'!$~$738)</f>
      </c>
      <c r="BK738">
        <f>IF(ISBLANK('Data Entry'!$$738), "", 'Data Entry'!$$738)</f>
      </c>
      <c r="BL738">
        <f>IF(ISBLANK('Data Entry'!$$738), "", 'Data Entry'!$$738)</f>
      </c>
      <c r="BM738">
        <f>IF(ISBLANK('Data Entry'!$$738), "", 'Data Entry'!$$738)</f>
      </c>
      <c r="BN738">
        <f>IF(ISBLANK('Data Entry'!$$738), "", 'Data Entry'!$$738)</f>
      </c>
      <c r="BO738">
        <f>IF(ISBLANK('Data Entry'!$$738), "", 'Data Entry'!$$738)</f>
      </c>
      <c r="BP738">
        <f>IF(ISBLANK('Data Entry'!$$738), "", 'Data Entry'!$$738)</f>
      </c>
      <c r="BQ738">
        <f>IF(ISBLANK('Data Entry'!$$738), "", 'Data Entry'!$$738)</f>
      </c>
      <c r="BR738">
        <f>IF(ISBLANK('Data Entry'!$$738), "", 'Data Entry'!$$738)</f>
      </c>
      <c r="BS738">
        <f>IF(ISBLANK('Data Entry'!$$738), "", 'Data Entry'!$$738)</f>
      </c>
      <c r="BT738">
        <f>IF(ISBLANK('Data Entry'!$$738), "", 'Data Entry'!$$738)</f>
      </c>
      <c r="BU738">
        <f>IF(ISBLANK('Data Entry'!$$738), "", 'Data Entry'!$$738)</f>
      </c>
      <c r="BV738">
        <f>IF(ISBLANK('Data Entry'!$$738), "", 'Data Entry'!$$738)</f>
      </c>
      <c r="BW738">
        <f>IF(ISBLANK('Data Entry'!$$738), "", 'Data Entry'!$$738)</f>
      </c>
      <c r="BX738">
        <f>IF(ISBLANK('Data Entry'!$$738), "", 'Data Entry'!$$738)</f>
      </c>
      <c r="BY738">
        <f>IF(ISBLANK('Data Entry'!$$738), "", 'Data Entry'!$$738)</f>
      </c>
      <c r="BZ738">
        <f>IF(ISBLANK('Data Entry'!$$738), "", 'Data Entry'!$$738)</f>
      </c>
      <c r="CA738">
        <f>IF(ISBLANK('Data Entry'!$$738), "", 'Data Entry'!$$738)</f>
      </c>
      <c r="CB738">
        <f>IF(ISBLANK('Data Entry'!$$738), "", 'Data Entry'!$$738)</f>
      </c>
      <c r="CC738">
        <f>IF(ISBLANK('Data Entry'!$$738), "", 'Data Entry'!$$738)</f>
      </c>
      <c r="CD738">
        <f>IF(ISBLANK('Data Entry'!$$738), "", 'Data Entry'!$$738)</f>
      </c>
      <c r="CE738">
        <f>IF(ISBLANK('Data Entry'!$$738), "", 'Data Entry'!$$738)</f>
      </c>
      <c r="CF738">
        <f>IF(ISBLANK('Data Entry'!$$738), "", 'Data Entry'!$$738)</f>
      </c>
      <c r="CG738">
        <f>IF(ISBLANK('Data Entry'!$$738), "", 'Data Entry'!$$738)</f>
      </c>
      <c r="CH738">
        <f>IF(ISBLANK('Data Entry'!$$738), "", 'Data Entry'!$$738)</f>
      </c>
      <c r="CI738">
        <f>IF(ISBLANK('Data Entry'!$$738), "", 'Data Entry'!$$738)</f>
      </c>
      <c r="CJ738">
        <f>IF(ISBLANK('Data Entry'!$$738), "", 'Data Entry'!$$738)</f>
      </c>
      <c r="CK738">
        <f>IF(ISBLANK('Data Entry'!$$738), "", 'Data Entry'!$$738)</f>
      </c>
      <c r="CL738">
        <f>IF(ISBLANK('Data Entry'!$$738), "", 'Data Entry'!$$738)</f>
      </c>
      <c r="CM738">
        <f>IF(ISBLANK('Data Entry'!$$738), "", 'Data Entry'!$$738)</f>
      </c>
      <c r="CN738">
        <f>IF(ISBLANK('Data Entry'!$$738), "", 'Data Entry'!$$738)</f>
      </c>
      <c r="CO738">
        <f>IF(ISBLANK('Data Entry'!$$738), "", 'Data Entry'!$$738)</f>
      </c>
      <c r="CP738">
        <f>IF(ISBLANK('Data Entry'!$$738), "", 'Data Entry'!$$738)</f>
      </c>
      <c r="CQ738">
        <f>IF(ISBLANK('Data Entry'!$$738), "", 'Data Entry'!$$738)</f>
      </c>
      <c r="CR738">
        <f>IF(ISBLANK('Data Entry'!$ $738), "", 'Data Entry'!$ $738)</f>
      </c>
      <c r="CS738">
        <f>IF(ISBLANK('Data Entry'!$¡$738), "", 'Data Entry'!$¡$738)</f>
      </c>
      <c r="CT738">
        <f>IF(ISBLANK('Data Entry'!$¢$738), "", 'Data Entry'!$¢$738)</f>
      </c>
      <c r="CU738">
        <f>IF(ISBLANK('Data Entry'!$£$738), "", 'Data Entry'!$£$738)</f>
      </c>
      <c r="CV738">
        <f>IF(ISBLANK('Data Entry'!$¤$738), "", 'Data Entry'!$¤$738)</f>
      </c>
      <c r="CW738">
        <f>IF(ISBLANK('Data Entry'!$¥$738), "", 'Data Entry'!$¥$738)</f>
      </c>
      <c r="CX738">
        <f>IF(ISBLANK('Data Entry'!$¦$738), "", 'Data Entry'!$¦$738)</f>
      </c>
      <c r="CY738">
        <f>IF(ISBLANK('Data Entry'!$§$738), "", 'Data Entry'!$§$738)</f>
      </c>
      <c r="CZ738">
        <f>IF(ISBLANK('Data Entry'!$¨$738), "", 'Data Entry'!$¨$738)</f>
      </c>
      <c r="DA738">
        <f>IF(ISBLANK('Data Entry'!$©$738), "", 'Data Entry'!$©$738)</f>
      </c>
      <c r="DB738">
        <f>IF(ISBLANK('Data Entry'!$ª$738), "", 'Data Entry'!$ª$738)</f>
      </c>
      <c r="DC738">
        <f>IF(ISBLANK('Data Entry'!$«$738), "", 'Data Entry'!$«$738)</f>
      </c>
      <c r="DD738">
        <f>IF(ISBLANK('Data Entry'!$¬$738), "", 'Data Entry'!$¬$738)</f>
      </c>
      <c r="DE738">
        <f>IF(ISBLANK('Data Entry'!$­$738), "", 'Data Entry'!$­$738)</f>
      </c>
      <c r="DF738">
        <f>IF(ISBLANK('Data Entry'!$®$738), "", 'Data Entry'!$®$738)</f>
      </c>
      <c r="DG738">
        <f>IF(ISBLANK('Data Entry'!$¯$738), "", 'Data Entry'!$¯$738)</f>
      </c>
      <c r="DH738">
        <f>IF(ISBLANK('Data Entry'!$°$738), "", 'Data Entry'!$°$738)</f>
      </c>
      <c r="DI738">
        <f>IF(ISBLANK('Data Entry'!$±$738), "", 'Data Entry'!$±$738)</f>
      </c>
      <c r="DJ738">
        <f>IF(ISBLANK('Data Entry'!$²$738), "", 'Data Entry'!$²$738)</f>
      </c>
      <c r="DK738">
        <f>IF(ISBLANK('Data Entry'!$³$738), "", 'Data Entry'!$³$738)</f>
      </c>
      <c r="DL738">
        <f>IF(ISBLANK('Data Entry'!$´$738), "", 'Data Entry'!$´$738)</f>
      </c>
      <c r="DM738">
        <f>IF(ISBLANK('Data Entry'!$µ$738), "", 'Data Entry'!$µ$738)</f>
      </c>
      <c r="DN738">
        <f>IF(ISBLANK('Data Entry'!$¶$738), "", 'Data Entry'!$¶$738)</f>
      </c>
      <c r="DO738">
        <f>IF(ISBLANK('Data Entry'!$·$738), "", 'Data Entry'!$·$738)</f>
      </c>
      <c r="DP738">
        <f>IF(ISBLANK('Data Entry'!$¸$738), "", 'Data Entry'!$¸$738)</f>
      </c>
      <c r="DQ738">
        <f>IF(ISBLANK('Data Entry'!$¹$738), "", 'Data Entry'!$¹$738)</f>
      </c>
      <c r="DR738">
        <f>IF(ISBLANK('Data Entry'!$º$738), "", 'Data Entry'!$º$738)</f>
      </c>
      <c r="DS738">
        <f>IF(ISBLANK('Data Entry'!$»$738), "", 'Data Entry'!$»$738)</f>
      </c>
      <c r="DT738">
        <f>IF(ISBLANK('Data Entry'!$¼$738), "", 'Data Entry'!$¼$738)</f>
      </c>
      <c r="DU738">
        <f>IF(ISBLANK('Data Entry'!$½$738), "", 'Data Entry'!$½$738)</f>
      </c>
      <c r="DV738">
        <f>IF(ISBLANK('Data Entry'!$¾$738), "", 'Data Entry'!$¾$738)</f>
      </c>
      <c r="DW738">
        <f>IF(ISBLANK('Data Entry'!$¿$738), "", 'Data Entry'!$¿$738)</f>
      </c>
      <c r="DX738">
        <f>IF(ISBLANK('Data Entry'!$À$738), "", 'Data Entry'!$À$738)</f>
      </c>
      <c r="DY738">
        <f>IF(ISBLANK('Data Entry'!$Á$738), "", 'Data Entry'!$Á$738)</f>
      </c>
      <c r="DZ738">
        <f>IF(ISBLANK('Data Entry'!$Â$738), "", 'Data Entry'!$Â$738)</f>
      </c>
      <c r="EA738">
        <f>IF(ISBLANK('Data Entry'!$Ã$738), "", 'Data Entry'!$Ã$738)</f>
      </c>
      <c r="EB738">
        <f>IF(ISBLANK('Data Entry'!$Ä$738), "", 'Data Entry'!$Ä$738)</f>
      </c>
      <c r="EC738">
        <f>IF(ISBLANK('Data Entry'!$Å$738), "", 'Data Entry'!$Å$738)</f>
      </c>
      <c r="ED738">
        <f>IF(ISBLANK('Data Entry'!$Æ$738), "", 'Data Entry'!$Æ$738)</f>
      </c>
      <c r="EE738">
        <f>IF(ISBLANK('Data Entry'!$Ç$738), "", 'Data Entry'!$Ç$738)</f>
      </c>
      <c r="EF738">
        <f>IF(ISBLANK('Data Entry'!$È$738), "", 'Data Entry'!$È$738)</f>
      </c>
      <c r="EG738">
        <f>IF(ISBLANK('Data Entry'!$É$738), "", 'Data Entry'!$É$738)</f>
      </c>
      <c r="EH738">
        <f>IF(ISBLANK('Data Entry'!$Ê$738), "", 'Data Entry'!$Ê$738)</f>
      </c>
      <c r="EI738">
        <f>IF(ISBLANK('Data Entry'!$Ë$738), "", 'Data Entry'!$Ë$738)</f>
      </c>
      <c r="EJ738">
        <f>IF(ISBLANK('Data Entry'!$Ì$738), "", 'Data Entry'!$Ì$738)</f>
      </c>
      <c r="EK738">
        <f>IF(ISBLANK('Data Entry'!$Í$738), "", 'Data Entry'!$Í$738)</f>
      </c>
      <c r="EL738">
        <f>IF(ISBLANK('Data Entry'!$Î$738), "", 'Data Entry'!$Î$738)</f>
      </c>
      <c r="EM738">
        <f>IF(ISBLANK('Data Entry'!$Ï$738), "", 'Data Entry'!$Ï$738)</f>
      </c>
      <c r="EN738">
        <f>IF(ISBLANK('Data Entry'!$Ð$738), "", 'Data Entry'!$Ð$738)</f>
      </c>
      <c r="EO738">
        <f>IF(ISBLANK('Data Entry'!$Ñ$738), "", 'Data Entry'!$Ñ$738)</f>
      </c>
      <c r="EP738">
        <f>IF(ISBLANK('Data Entry'!$Ò$738), "", 'Data Entry'!$Ò$738)</f>
      </c>
      <c r="EQ738">
        <f>IF(ISBLANK('Data Entry'!$Ó$738), "", 'Data Entry'!$Ó$738)</f>
      </c>
      <c r="ER738">
        <f>IF(ISBLANK('Data Entry'!$Ô$738), "", 'Data Entry'!$Ô$738)</f>
      </c>
      <c r="ES738">
        <f>IF(ISBLANK('Data Entry'!$Õ$738), "", 'Data Entry'!$Õ$738)</f>
      </c>
      <c r="ET738">
        <f>IF(ISBLANK('Data Entry'!$Ö$738), "", 'Data Entry'!$Ö$738)</f>
      </c>
      <c r="EU738">
        <f>IF(ISBLANK('Data Entry'!$×$738), "", 'Data Entry'!$×$738)</f>
      </c>
      <c r="EV738">
        <f>IF(ISBLANK('Data Entry'!$Ø$738), "", 'Data Entry'!$Ø$738)</f>
      </c>
      <c r="EW738">
        <f>IF(ISBLANK('Data Entry'!$Ù$738), "", 'Data Entry'!$Ù$738)</f>
      </c>
      <c r="EX738">
        <f>IF(ISBLANK('Data Entry'!$Ú$738), "", 'Data Entry'!$Ú$738)</f>
      </c>
      <c r="EY738">
        <f>IF(ISBLANK('Data Entry'!$Û$738), "", 'Data Entry'!$Û$738)</f>
      </c>
      <c r="EZ738">
        <f>IF(ISBLANK('Data Entry'!$Ü$738), "", 'Data Entry'!$Ü$738)</f>
      </c>
      <c r="FA738">
        <f>IF(ISBLANK('Data Entry'!$Ý$738), "", 'Data Entry'!$Ý$738)</f>
      </c>
      <c r="FB738">
        <f>IF(ISBLANK('Data Entry'!$Þ$738), "", 'Data Entry'!$Þ$738)</f>
      </c>
      <c r="FC738">
        <f>IF(ISBLANK('Data Entry'!$ß$738), "", 'Data Entry'!$ß$738)</f>
      </c>
      <c r="FD738">
        <f>IF(ISBLANK('Data Entry'!$à$738), "", 'Data Entry'!$à$738)</f>
      </c>
      <c r="FE738">
        <f>IF(ISBLANK('Data Entry'!$á$738), "", 'Data Entry'!$á$738)</f>
      </c>
      <c r="FF738">
        <f>IF(ISBLANK('Data Entry'!$â$738), "", 'Data Entry'!$â$738)</f>
      </c>
      <c r="FG738">
        <f>IF(ISBLANK('Data Entry'!$ã$738), "", 'Data Entry'!$ã$738)</f>
      </c>
      <c r="FH738">
        <f>IF(ISBLANK('Data Entry'!$ä$738), "", 'Data Entry'!$ä$738)</f>
      </c>
      <c r="FI738">
        <f>IF(ISBLANK('Data Entry'!$å$738), "", 'Data Entry'!$å$738)</f>
      </c>
      <c r="FJ738">
        <f>IF(ISBLANK('Data Entry'!$æ$738), "", 'Data Entry'!$æ$738)</f>
      </c>
      <c r="FK738">
        <f>IF(ISBLANK('Data Entry'!$ç$738), "", 'Data Entry'!$ç$738)</f>
      </c>
      <c r="FL738">
        <f>IF(ISBLANK('Data Entry'!$è$738), "", 'Data Entry'!$è$738)</f>
      </c>
      <c r="FM738">
        <f>IF(ISBLANK('Data Entry'!$é$738), "", 'Data Entry'!$é$738)</f>
      </c>
      <c r="FN738">
        <f>IF(ISBLANK('Data Entry'!$ê$738), "", 'Data Entry'!$ê$738)</f>
      </c>
      <c r="FO738">
        <f>IF(ISBLANK('Data Entry'!$ë$738), "", 'Data Entry'!$ë$738)</f>
      </c>
      <c r="FP738">
        <f>IF(ISBLANK('Data Entry'!$ì$738), "", 'Data Entry'!$ì$738)</f>
      </c>
      <c r="FQ738">
        <f>IF(ISBLANK('Data Entry'!$í$738), "", 'Data Entry'!$í$738)</f>
      </c>
      <c r="FR738">
        <f>IF(ISBLANK('Data Entry'!$î$738), "", 'Data Entry'!$î$738)</f>
      </c>
      <c r="FS738">
        <f>IF(ISBLANK('Data Entry'!$ï$738), "", 'Data Entry'!$ï$738)</f>
      </c>
      <c r="FT738">
        <f>IF(ISBLANK('Data Entry'!$ð$738), "", 'Data Entry'!$ð$738)</f>
      </c>
      <c r="FU738">
        <f>IF(ISBLANK('Data Entry'!$ñ$738), "", 'Data Entry'!$ñ$738)</f>
      </c>
      <c r="FV738">
        <f>IF(ISBLANK('Data Entry'!$ò$738), "", 'Data Entry'!$ò$738)</f>
      </c>
      <c r="FW738">
        <f>IF(ISBLANK('Data Entry'!$ó$738), "", 'Data Entry'!$ó$738)</f>
      </c>
      <c r="FX738">
        <f>IF(ISBLANK('Data Entry'!$ô$738), "", 'Data Entry'!$ô$738)</f>
      </c>
      <c r="FY738">
        <f>IF(ISBLANK('Data Entry'!$õ$738), "", 'Data Entry'!$õ$738)</f>
      </c>
      <c r="FZ738">
        <f>IF(ISBLANK('Data Entry'!$ö$738), "", 'Data Entry'!$ö$738)</f>
      </c>
      <c r="GA738">
        <f>IF(ISBLANK('Data Entry'!$÷$738), "", 'Data Entry'!$÷$738)</f>
      </c>
      <c r="GB738">
        <f>IF(ISBLANK('Data Entry'!$ø$738), "", 'Data Entry'!$ø$738)</f>
      </c>
      <c r="GC738">
        <f>IF(ISBLANK('Data Entry'!$ù$738), "", 'Data Entry'!$ù$738)</f>
      </c>
      <c r="GD738">
        <f>IF(ISBLANK('Data Entry'!$ú$738), "", 'Data Entry'!$ú$738)</f>
      </c>
      <c r="GE738">
        <f>IF(ISBLANK('Data Entry'!$û$738), "", 'Data Entry'!$û$738)</f>
      </c>
      <c r="GF738">
        <f>IF(ISBLANK('Data Entry'!$ü$738), "", 'Data Entry'!$ü$738)</f>
      </c>
      <c r="GG738">
        <f>IF(ISBLANK('Data Entry'!$ý$738), "", 'Data Entry'!$ý$738)</f>
      </c>
      <c r="GH738">
        <f>IF(ISBLANK('Data Entry'!$þ$738), "", 'Data Entry'!$þ$738)</f>
      </c>
      <c r="GI738">
        <f>IF(ISBLANK('Data Entry'!$ÿ$738), "", 'Data Entry'!$ÿ$738)</f>
      </c>
      <c r="GJ738">
        <f>IF(ISBLANK('Data Entry'!$Ā$738), "", 'Data Entry'!$Ā$738)</f>
      </c>
      <c r="GK738">
        <f>IF(ISBLANK('Data Entry'!$ā$738), "", 'Data Entry'!$ā$738)</f>
      </c>
      <c r="GL738">
        <f>IF(ISBLANK('Data Entry'!$Ă$738), "", 'Data Entry'!$Ă$738)</f>
      </c>
      <c r="GM738">
        <f>IF(ISBLANK('Data Entry'!$ă$738), "", 'Data Entry'!$ă$738)</f>
      </c>
      <c r="GN738">
        <f>IF(ISBLANK('Data Entry'!$Ą$738), "", 'Data Entry'!$Ą$738)</f>
      </c>
      <c r="GO738">
        <f>IF(ISBLANK('Data Entry'!$ą$738), "", 'Data Entry'!$ą$738)</f>
      </c>
      <c r="GP738">
        <f>IF(ISBLANK('Data Entry'!$Ć$738), "", 'Data Entry'!$Ć$738)</f>
      </c>
      <c r="GQ738">
        <f>IF(ISBLANK('Data Entry'!$ć$738), "", 'Data Entry'!$ć$738)</f>
      </c>
      <c r="GR738">
        <f>IF(ISBLANK('Data Entry'!$Ĉ$738), "", 'Data Entry'!$Ĉ$738)</f>
      </c>
      <c r="GS738">
        <f>IF(ISBLANK('Data Entry'!$ĉ$738), "", 'Data Entry'!$ĉ$738)</f>
      </c>
      <c r="GT738">
        <f>IF(ISBLANK('Data Entry'!$Ċ$738), "", 'Data Entry'!$Ċ$738)</f>
      </c>
      <c r="GU738">
        <f>IF(ISBLANK('Data Entry'!$ċ$738), "", 'Data Entry'!$ċ$738)</f>
      </c>
      <c r="GV738">
        <f>IF(ISBLANK('Data Entry'!$Č$738), "", 'Data Entry'!$Č$738)</f>
      </c>
      <c r="GW738">
        <f>IF(ISBLANK('Data Entry'!$č$738), "", 'Data Entry'!$č$738)</f>
      </c>
      <c r="GX738">
        <f>IF(ISBLANK('Data Entry'!$Ď$738), "", 'Data Entry'!$Ď$738)</f>
      </c>
      <c r="GY738">
        <f>IF(ISBLANK('Data Entry'!$ď$738), "", 'Data Entry'!$ď$738)</f>
      </c>
      <c r="GZ738">
        <f>IF(ISBLANK('Data Entry'!$Đ$738), "", 'Data Entry'!$Đ$738)</f>
      </c>
      <c r="HA738">
        <f>IF(ISBLANK('Data Entry'!$đ$738), "", 'Data Entry'!$đ$738)</f>
      </c>
      <c r="HB738">
        <f>IF(ISBLANK('Data Entry'!$Ē$738), "", 'Data Entry'!$Ē$738)</f>
      </c>
      <c r="HC738">
        <f>IF(ISBLANK('Data Entry'!$ē$738), "", 'Data Entry'!$ē$738)</f>
      </c>
      <c r="HD738">
        <f>IF(ISBLANK('Data Entry'!$Ĕ$738), "", 'Data Entry'!$Ĕ$738)</f>
      </c>
      <c r="HE738">
        <f>IF(ISBLANK('Data Entry'!$ĕ$738), "", 'Data Entry'!$ĕ$738)</f>
      </c>
      <c r="HF738">
        <f>IF(ISBLANK('Data Entry'!$Ė$738), "", 'Data Entry'!$Ė$738)</f>
      </c>
      <c r="HG738">
        <f>IF(ISBLANK('Data Entry'!$ė$738), "", 'Data Entry'!$ė$738)</f>
      </c>
      <c r="HH738">
        <f>IF(ISBLANK('Data Entry'!$Ę$738), "", 'Data Entry'!$Ę$738)</f>
      </c>
      <c r="HI738">
        <f>IF(ISBLANK('Data Entry'!$ę$738), "", 'Data Entry'!$ę$738)</f>
      </c>
      <c r="HJ738">
        <f>IF(ISBLANK('Data Entry'!$Ě$738), "", 'Data Entry'!$Ě$738)</f>
      </c>
      <c r="HK738">
        <f>IF(ISBLANK('Data Entry'!$ě$738), "", 'Data Entry'!$ě$738)</f>
      </c>
      <c r="HL738">
        <f>IF(ISBLANK('Data Entry'!$Ĝ$738), "", 'Data Entry'!$Ĝ$738)</f>
      </c>
      <c r="HM738">
        <f>IF(ISBLANK('Data Entry'!$ĝ$738), "", 'Data Entry'!$ĝ$738)</f>
      </c>
      <c r="HN738">
        <f>IF(ISBLANK('Data Entry'!$Ğ$738), "", 'Data Entry'!$Ğ$738)</f>
      </c>
      <c r="HO738">
        <f>IF(ISBLANK('Data Entry'!$ğ$738), "", 'Data Entry'!$ğ$738)</f>
      </c>
      <c r="HP738">
        <f>IF(ISBLANK('Data Entry'!$Ġ$738), "", 'Data Entry'!$Ġ$738)</f>
      </c>
      <c r="HQ738">
        <f>IF(ISBLANK('Data Entry'!$ġ$738), "", 'Data Entry'!$ġ$738)</f>
      </c>
      <c r="HR738">
        <f>IF(ISBLANK('Data Entry'!$Ģ$738), "", 'Data Entry'!$Ģ$738)</f>
      </c>
      <c r="HS738">
        <f>IF(ISBLANK('Data Entry'!$ģ$738), "", 'Data Entry'!$ģ$738)</f>
      </c>
      <c r="HT738">
        <f>IF(ISBLANK('Data Entry'!$Ĥ$738), "", 'Data Entry'!$Ĥ$738)</f>
      </c>
      <c r="HU738">
        <f>IF(ISBLANK('Data Entry'!$ĥ$738), "", 'Data Entry'!$ĥ$738)</f>
      </c>
      <c r="HV738">
        <f>IF(ISBLANK('Data Entry'!$Ħ$738), "", 'Data Entry'!$Ħ$738)</f>
      </c>
      <c r="HW738">
        <f>IF(ISBLANK('Data Entry'!$ħ$738), "", 'Data Entry'!$ħ$738)</f>
      </c>
      <c r="HX738">
        <f>IF(ISBLANK('Data Entry'!$Ĩ$738), "", 'Data Entry'!$Ĩ$738)</f>
      </c>
      <c r="HY738">
        <f>IF(ISBLANK('Data Entry'!$ĩ$738), "", 'Data Entry'!$ĩ$738)</f>
      </c>
      <c r="HZ738">
        <f>IF(ISBLANK('Data Entry'!$Ī$738), "", 'Data Entry'!$Ī$738)</f>
      </c>
      <c r="IA738">
        <f>IF(ISBLANK('Data Entry'!$ī$738), "", 'Data Entry'!$ī$738)</f>
      </c>
      <c r="IB738">
        <f>IF(ISBLANK('Data Entry'!$Ĭ$738), "", 'Data Entry'!$Ĭ$738)</f>
      </c>
      <c r="IC738">
        <f>IF(ISBLANK('Data Entry'!$ĭ$738), "", 'Data Entry'!$ĭ$738)</f>
      </c>
      <c r="ID738">
        <f>IF(ISBLANK('Data Entry'!$Į$738), "", 'Data Entry'!$Į$738)</f>
      </c>
      <c r="IE738">
        <f>IF(ISBLANK('Data Entry'!$į$738), "", 'Data Entry'!$į$738)</f>
      </c>
      <c r="IF738">
        <f>IF(ISBLANK('Data Entry'!$İ$738), "", 'Data Entry'!$İ$738)</f>
      </c>
      <c r="IG738">
        <f>IF(ISBLANK('Data Entry'!$ı$738), "", 'Data Entry'!$ı$738)</f>
      </c>
      <c r="IH738">
        <f>IF(ISBLANK('Data Entry'!$Ĳ$738), "", 'Data Entry'!$Ĳ$738)</f>
      </c>
      <c r="II738">
        <f>IF(ISBLANK('Data Entry'!$ĳ$738), "", 'Data Entry'!$ĳ$738)</f>
      </c>
      <c r="IJ738">
        <f>IF(ISBLANK('Data Entry'!$Ĵ$738), "", 'Data Entry'!$Ĵ$738)</f>
      </c>
      <c r="IK738">
        <f>IF(ISBLANK('Data Entry'!$ĵ$738), "", 'Data Entry'!$ĵ$738)</f>
      </c>
      <c r="IL738">
        <f>IF(ISBLANK('Data Entry'!$Ķ$738), "", 'Data Entry'!$Ķ$738)</f>
      </c>
      <c r="IM738">
        <f>IF(ISBLANK('Data Entry'!$ķ$738), "", 'Data Entry'!$ķ$738)</f>
      </c>
      <c r="IN738">
        <f>IF(ISBLANK('Data Entry'!$ĸ$738), "", 'Data Entry'!$ĸ$738)</f>
      </c>
      <c r="IO738">
        <f>IF(ISBLANK('Data Entry'!$Ĺ$738), "", 'Data Entry'!$Ĺ$738)</f>
      </c>
      <c r="IP738">
        <f>IF(ISBLANK('Data Entry'!$ĺ$738), "", 'Data Entry'!$ĺ$738)</f>
      </c>
      <c r="IQ738">
        <f>IF(ISBLANK('Data Entry'!$Ļ$738), "", 'Data Entry'!$Ļ$738)</f>
      </c>
      <c r="IR738">
        <f>IF(ISBLANK('Data Entry'!$ļ$738), "", 'Data Entry'!$ļ$738)</f>
      </c>
      <c r="IS738">
        <f>IF(ISBLANK('Data Entry'!$Ľ$738), "", 'Data Entry'!$Ľ$738)</f>
      </c>
      <c r="IT738">
        <f>IF(ISBLANK('Data Entry'!$ľ$738), "", 'Data Entry'!$ľ$738)</f>
      </c>
    </row>
    <row r="739" spans="1:254" x14ac:dyDescent="0.25">
      <c r="A739">
        <f>IF(ISBLANK('Data Entry'!$A$739), "", 'Data Entry'!$A$739)</f>
      </c>
      <c r="B739">
        <f>IF(ISBLANK('Data Entry'!$B$739), "", 'Data Entry'!$B$739)</f>
      </c>
      <c r="C739">
        <f>IF(ISBLANK('Data Entry'!$C$739), "", 'Data Entry'!$C$739)</f>
      </c>
      <c r="D739">
        <f>IF(ISBLANK('Data Entry'!$D$739), "", 'Data Entry'!$D$739)</f>
      </c>
      <c r="E739">
        <f>IF(ISBLANK('Data Entry'!$E$739), "", 'Data Entry'!$E$739)</f>
      </c>
      <c r="F739">
        <f>IF(ISBLANK('Data Entry'!$F$739), "", 'Data Entry'!$F$739)</f>
      </c>
      <c r="G739">
        <f>IF(ISBLANK('Data Entry'!$G$739), "", 'Data Entry'!$G$739)</f>
      </c>
      <c r="H739">
        <f>IF(ISBLANK('Data Entry'!$H$739), "", 'Data Entry'!$H$739)</f>
      </c>
      <c r="I739">
        <f>IF(ISBLANK('Data Entry'!$I$739), "", 'Data Entry'!$I$739)</f>
      </c>
      <c r="J739">
        <f>IF(ISBLANK('Data Entry'!$J$739), "", 'Data Entry'!$J$739)</f>
      </c>
      <c r="K739">
        <f>IF(ISBLANK('Data Entry'!$K$739), "", 'Data Entry'!$K$739)</f>
      </c>
      <c r="L739">
        <f>IF(ISBLANK('Data Entry'!$L$739), "", 'Data Entry'!$L$739)</f>
      </c>
      <c r="M739">
        <f>IF(ISBLANK('Data Entry'!$M$739), "", 'Data Entry'!$M$739)</f>
      </c>
      <c r="N739">
        <f>IF(ISBLANK('Data Entry'!$N$739), "", 'Data Entry'!$N$739)</f>
      </c>
      <c r="O739">
        <f>IF(ISBLANK('Data Entry'!$O$739), "", 'Data Entry'!$O$739)</f>
      </c>
      <c r="P739">
        <f>IF(ISBLANK('Data Entry'!$P$739), "", 'Data Entry'!$P$739)</f>
      </c>
      <c r="Q739">
        <f>IF(ISBLANK('Data Entry'!$Q$739), "", 'Data Entry'!$Q$739)</f>
      </c>
      <c r="R739">
        <f>IF(ISBLANK('Data Entry'!$R$739), "", 'Data Entry'!$R$739)</f>
      </c>
      <c r="S739">
        <f>IF(ISBLANK('Data Entry'!$S$739), "", 'Data Entry'!$S$739)</f>
      </c>
      <c r="T739">
        <f>IF(ISBLANK('Data Entry'!$T$739), "", 'Data Entry'!$T$739)</f>
      </c>
      <c r="U739">
        <f>IF(ISBLANK('Data Entry'!$U$739), "", 'Data Entry'!$U$739)</f>
      </c>
      <c r="V739">
        <f>IF(ISBLANK('Data Entry'!$V$739), "", 'Data Entry'!$V$739)</f>
      </c>
      <c r="W739">
        <f>IF(ISBLANK('Data Entry'!$W$739), "", 'Data Entry'!$W$739)</f>
      </c>
      <c r="X739">
        <f>IF(ISBLANK('Data Entry'!$X$739), "", 'Data Entry'!$X$739)</f>
      </c>
      <c r="Y739">
        <f>IF(ISBLANK('Data Entry'!$Y$739), "", 'Data Entry'!$Y$739)</f>
      </c>
      <c r="Z739">
        <f>IF(ISBLANK('Data Entry'!$Z$739), "", 'Data Entry'!$Z$739)</f>
      </c>
      <c r="AA739">
        <f>IF(ISBLANK('Data Entry'!$[$739), "", 'Data Entry'!$[$739)</f>
      </c>
      <c r="AB739">
        <f>IF(ISBLANK('Data Entry'!$\$739), "", 'Data Entry'!$\$739)</f>
      </c>
      <c r="AC739">
        <f>IF(ISBLANK('Data Entry'!$]$739), "", 'Data Entry'!$]$739)</f>
      </c>
      <c r="AD739">
        <f>IF(ISBLANK('Data Entry'!$^$739), "", 'Data Entry'!$^$739)</f>
      </c>
      <c r="AE739">
        <f>IF(ISBLANK('Data Entry'!$_$739), "", 'Data Entry'!$_$739)</f>
      </c>
      <c r="AF739">
        <f>IF(ISBLANK('Data Entry'!$`$739), "", 'Data Entry'!$`$739)</f>
      </c>
      <c r="AG739">
        <f>IF(ISBLANK('Data Entry'!$a$739), "", 'Data Entry'!$a$739)</f>
      </c>
      <c r="AH739">
        <f>IF(ISBLANK('Data Entry'!$b$739), "", 'Data Entry'!$b$739)</f>
      </c>
      <c r="AI739">
        <f>IF(ISBLANK('Data Entry'!$c$739), "", 'Data Entry'!$c$739)</f>
      </c>
      <c r="AJ739">
        <f>IF(ISBLANK('Data Entry'!$d$739), "", 'Data Entry'!$d$739)</f>
      </c>
      <c r="AK739">
        <f>IF(ISBLANK('Data Entry'!$e$739), "", 'Data Entry'!$e$739)</f>
      </c>
      <c r="AL739">
        <f>IF(ISBLANK('Data Entry'!$f$739), "", 'Data Entry'!$f$739)</f>
      </c>
      <c r="AM739">
        <f>IF(ISBLANK('Data Entry'!$g$739), "", 'Data Entry'!$g$739)</f>
      </c>
      <c r="AN739">
        <f>IF(ISBLANK('Data Entry'!$h$739), "", 'Data Entry'!$h$739)</f>
      </c>
      <c r="AO739">
        <f>IF(ISBLANK('Data Entry'!$i$739), "", 'Data Entry'!$i$739)</f>
      </c>
      <c r="AP739">
        <f>IF(ISBLANK('Data Entry'!$j$739), "", 'Data Entry'!$j$739)</f>
      </c>
      <c r="AQ739">
        <f>IF(ISBLANK('Data Entry'!$k$739), "", 'Data Entry'!$k$739)</f>
      </c>
      <c r="AR739">
        <f>IF(ISBLANK('Data Entry'!$l$739), "", 'Data Entry'!$l$739)</f>
      </c>
      <c r="AS739">
        <f>IF(ISBLANK('Data Entry'!$m$739), "", 'Data Entry'!$m$739)</f>
      </c>
      <c r="AT739">
        <f>IF(ISBLANK('Data Entry'!$n$739), "", 'Data Entry'!$n$739)</f>
      </c>
      <c r="AU739">
        <f>IF(ISBLANK('Data Entry'!$o$739), "", 'Data Entry'!$o$739)</f>
      </c>
      <c r="AV739">
        <f>IF(ISBLANK('Data Entry'!$p$739), "", 'Data Entry'!$p$739)</f>
      </c>
      <c r="AW739">
        <f>IF(ISBLANK('Data Entry'!$q$739), "", 'Data Entry'!$q$739)</f>
      </c>
      <c r="AX739">
        <f>IF(ISBLANK('Data Entry'!$r$739), "", 'Data Entry'!$r$739)</f>
      </c>
      <c r="AY739">
        <f>IF(ISBLANK('Data Entry'!$s$739), "", 'Data Entry'!$s$739)</f>
      </c>
      <c r="AZ739">
        <f>IF(ISBLANK('Data Entry'!$t$739), "", 'Data Entry'!$t$739)</f>
      </c>
      <c r="BA739">
        <f>IF(ISBLANK('Data Entry'!$u$739), "", 'Data Entry'!$u$739)</f>
      </c>
      <c r="BB739">
        <f>IF(ISBLANK('Data Entry'!$v$739), "", 'Data Entry'!$v$739)</f>
      </c>
      <c r="BC739">
        <f>IF(ISBLANK('Data Entry'!$w$739), "", 'Data Entry'!$w$739)</f>
      </c>
      <c r="BD739">
        <f>IF(ISBLANK('Data Entry'!$x$739), "", 'Data Entry'!$x$739)</f>
      </c>
      <c r="BE739">
        <f>IF(ISBLANK('Data Entry'!$y$739), "", 'Data Entry'!$y$739)</f>
      </c>
      <c r="BF739">
        <f>IF(ISBLANK('Data Entry'!$z$739), "", 'Data Entry'!$z$739)</f>
      </c>
      <c r="BG739">
        <f>IF(ISBLANK('Data Entry'!${$739), "", 'Data Entry'!${$739)</f>
      </c>
      <c r="BH739">
        <f>IF(ISBLANK('Data Entry'!$|$739), "", 'Data Entry'!$|$739)</f>
      </c>
      <c r="BI739">
        <f>IF(ISBLANK('Data Entry'!$}$739), "", 'Data Entry'!$}$739)</f>
      </c>
      <c r="BJ739">
        <f>IF(ISBLANK('Data Entry'!$~$739), "", 'Data Entry'!$~$739)</f>
      </c>
      <c r="BK739">
        <f>IF(ISBLANK('Data Entry'!$$739), "", 'Data Entry'!$$739)</f>
      </c>
      <c r="BL739">
        <f>IF(ISBLANK('Data Entry'!$$739), "", 'Data Entry'!$$739)</f>
      </c>
      <c r="BM739">
        <f>IF(ISBLANK('Data Entry'!$$739), "", 'Data Entry'!$$739)</f>
      </c>
      <c r="BN739">
        <f>IF(ISBLANK('Data Entry'!$$739), "", 'Data Entry'!$$739)</f>
      </c>
      <c r="BO739">
        <f>IF(ISBLANK('Data Entry'!$$739), "", 'Data Entry'!$$739)</f>
      </c>
      <c r="BP739">
        <f>IF(ISBLANK('Data Entry'!$$739), "", 'Data Entry'!$$739)</f>
      </c>
      <c r="BQ739">
        <f>IF(ISBLANK('Data Entry'!$$739), "", 'Data Entry'!$$739)</f>
      </c>
      <c r="BR739">
        <f>IF(ISBLANK('Data Entry'!$$739), "", 'Data Entry'!$$739)</f>
      </c>
      <c r="BS739">
        <f>IF(ISBLANK('Data Entry'!$$739), "", 'Data Entry'!$$739)</f>
      </c>
      <c r="BT739">
        <f>IF(ISBLANK('Data Entry'!$$739), "", 'Data Entry'!$$739)</f>
      </c>
      <c r="BU739">
        <f>IF(ISBLANK('Data Entry'!$$739), "", 'Data Entry'!$$739)</f>
      </c>
      <c r="BV739">
        <f>IF(ISBLANK('Data Entry'!$$739), "", 'Data Entry'!$$739)</f>
      </c>
      <c r="BW739">
        <f>IF(ISBLANK('Data Entry'!$$739), "", 'Data Entry'!$$739)</f>
      </c>
      <c r="BX739">
        <f>IF(ISBLANK('Data Entry'!$$739), "", 'Data Entry'!$$739)</f>
      </c>
      <c r="BY739">
        <f>IF(ISBLANK('Data Entry'!$$739), "", 'Data Entry'!$$739)</f>
      </c>
      <c r="BZ739">
        <f>IF(ISBLANK('Data Entry'!$$739), "", 'Data Entry'!$$739)</f>
      </c>
      <c r="CA739">
        <f>IF(ISBLANK('Data Entry'!$$739), "", 'Data Entry'!$$739)</f>
      </c>
      <c r="CB739">
        <f>IF(ISBLANK('Data Entry'!$$739), "", 'Data Entry'!$$739)</f>
      </c>
      <c r="CC739">
        <f>IF(ISBLANK('Data Entry'!$$739), "", 'Data Entry'!$$739)</f>
      </c>
      <c r="CD739">
        <f>IF(ISBLANK('Data Entry'!$$739), "", 'Data Entry'!$$739)</f>
      </c>
      <c r="CE739">
        <f>IF(ISBLANK('Data Entry'!$$739), "", 'Data Entry'!$$739)</f>
      </c>
      <c r="CF739">
        <f>IF(ISBLANK('Data Entry'!$$739), "", 'Data Entry'!$$739)</f>
      </c>
      <c r="CG739">
        <f>IF(ISBLANK('Data Entry'!$$739), "", 'Data Entry'!$$739)</f>
      </c>
      <c r="CH739">
        <f>IF(ISBLANK('Data Entry'!$$739), "", 'Data Entry'!$$739)</f>
      </c>
      <c r="CI739">
        <f>IF(ISBLANK('Data Entry'!$$739), "", 'Data Entry'!$$739)</f>
      </c>
      <c r="CJ739">
        <f>IF(ISBLANK('Data Entry'!$$739), "", 'Data Entry'!$$739)</f>
      </c>
      <c r="CK739">
        <f>IF(ISBLANK('Data Entry'!$$739), "", 'Data Entry'!$$739)</f>
      </c>
      <c r="CL739">
        <f>IF(ISBLANK('Data Entry'!$$739), "", 'Data Entry'!$$739)</f>
      </c>
      <c r="CM739">
        <f>IF(ISBLANK('Data Entry'!$$739), "", 'Data Entry'!$$739)</f>
      </c>
      <c r="CN739">
        <f>IF(ISBLANK('Data Entry'!$$739), "", 'Data Entry'!$$739)</f>
      </c>
      <c r="CO739">
        <f>IF(ISBLANK('Data Entry'!$$739), "", 'Data Entry'!$$739)</f>
      </c>
      <c r="CP739">
        <f>IF(ISBLANK('Data Entry'!$$739), "", 'Data Entry'!$$739)</f>
      </c>
      <c r="CQ739">
        <f>IF(ISBLANK('Data Entry'!$$739), "", 'Data Entry'!$$739)</f>
      </c>
      <c r="CR739">
        <f>IF(ISBLANK('Data Entry'!$ $739), "", 'Data Entry'!$ $739)</f>
      </c>
      <c r="CS739">
        <f>IF(ISBLANK('Data Entry'!$¡$739), "", 'Data Entry'!$¡$739)</f>
      </c>
      <c r="CT739">
        <f>IF(ISBLANK('Data Entry'!$¢$739), "", 'Data Entry'!$¢$739)</f>
      </c>
      <c r="CU739">
        <f>IF(ISBLANK('Data Entry'!$£$739), "", 'Data Entry'!$£$739)</f>
      </c>
      <c r="CV739">
        <f>IF(ISBLANK('Data Entry'!$¤$739), "", 'Data Entry'!$¤$739)</f>
      </c>
      <c r="CW739">
        <f>IF(ISBLANK('Data Entry'!$¥$739), "", 'Data Entry'!$¥$739)</f>
      </c>
      <c r="CX739">
        <f>IF(ISBLANK('Data Entry'!$¦$739), "", 'Data Entry'!$¦$739)</f>
      </c>
      <c r="CY739">
        <f>IF(ISBLANK('Data Entry'!$§$739), "", 'Data Entry'!$§$739)</f>
      </c>
      <c r="CZ739">
        <f>IF(ISBLANK('Data Entry'!$¨$739), "", 'Data Entry'!$¨$739)</f>
      </c>
      <c r="DA739">
        <f>IF(ISBLANK('Data Entry'!$©$739), "", 'Data Entry'!$©$739)</f>
      </c>
      <c r="DB739">
        <f>IF(ISBLANK('Data Entry'!$ª$739), "", 'Data Entry'!$ª$739)</f>
      </c>
      <c r="DC739">
        <f>IF(ISBLANK('Data Entry'!$«$739), "", 'Data Entry'!$«$739)</f>
      </c>
      <c r="DD739">
        <f>IF(ISBLANK('Data Entry'!$¬$739), "", 'Data Entry'!$¬$739)</f>
      </c>
      <c r="DE739">
        <f>IF(ISBLANK('Data Entry'!$­$739), "", 'Data Entry'!$­$739)</f>
      </c>
      <c r="DF739">
        <f>IF(ISBLANK('Data Entry'!$®$739), "", 'Data Entry'!$®$739)</f>
      </c>
      <c r="DG739">
        <f>IF(ISBLANK('Data Entry'!$¯$739), "", 'Data Entry'!$¯$739)</f>
      </c>
      <c r="DH739">
        <f>IF(ISBLANK('Data Entry'!$°$739), "", 'Data Entry'!$°$739)</f>
      </c>
      <c r="DI739">
        <f>IF(ISBLANK('Data Entry'!$±$739), "", 'Data Entry'!$±$739)</f>
      </c>
      <c r="DJ739">
        <f>IF(ISBLANK('Data Entry'!$²$739), "", 'Data Entry'!$²$739)</f>
      </c>
      <c r="DK739">
        <f>IF(ISBLANK('Data Entry'!$³$739), "", 'Data Entry'!$³$739)</f>
      </c>
      <c r="DL739">
        <f>IF(ISBLANK('Data Entry'!$´$739), "", 'Data Entry'!$´$739)</f>
      </c>
      <c r="DM739">
        <f>IF(ISBLANK('Data Entry'!$µ$739), "", 'Data Entry'!$µ$739)</f>
      </c>
      <c r="DN739">
        <f>IF(ISBLANK('Data Entry'!$¶$739), "", 'Data Entry'!$¶$739)</f>
      </c>
      <c r="DO739">
        <f>IF(ISBLANK('Data Entry'!$·$739), "", 'Data Entry'!$·$739)</f>
      </c>
      <c r="DP739">
        <f>IF(ISBLANK('Data Entry'!$¸$739), "", 'Data Entry'!$¸$739)</f>
      </c>
      <c r="DQ739">
        <f>IF(ISBLANK('Data Entry'!$¹$739), "", 'Data Entry'!$¹$739)</f>
      </c>
      <c r="DR739">
        <f>IF(ISBLANK('Data Entry'!$º$739), "", 'Data Entry'!$º$739)</f>
      </c>
      <c r="DS739">
        <f>IF(ISBLANK('Data Entry'!$»$739), "", 'Data Entry'!$»$739)</f>
      </c>
      <c r="DT739">
        <f>IF(ISBLANK('Data Entry'!$¼$739), "", 'Data Entry'!$¼$739)</f>
      </c>
      <c r="DU739">
        <f>IF(ISBLANK('Data Entry'!$½$739), "", 'Data Entry'!$½$739)</f>
      </c>
      <c r="DV739">
        <f>IF(ISBLANK('Data Entry'!$¾$739), "", 'Data Entry'!$¾$739)</f>
      </c>
      <c r="DW739">
        <f>IF(ISBLANK('Data Entry'!$¿$739), "", 'Data Entry'!$¿$739)</f>
      </c>
      <c r="DX739">
        <f>IF(ISBLANK('Data Entry'!$À$739), "", 'Data Entry'!$À$739)</f>
      </c>
      <c r="DY739">
        <f>IF(ISBLANK('Data Entry'!$Á$739), "", 'Data Entry'!$Á$739)</f>
      </c>
      <c r="DZ739">
        <f>IF(ISBLANK('Data Entry'!$Â$739), "", 'Data Entry'!$Â$739)</f>
      </c>
      <c r="EA739">
        <f>IF(ISBLANK('Data Entry'!$Ã$739), "", 'Data Entry'!$Ã$739)</f>
      </c>
      <c r="EB739">
        <f>IF(ISBLANK('Data Entry'!$Ä$739), "", 'Data Entry'!$Ä$739)</f>
      </c>
      <c r="EC739">
        <f>IF(ISBLANK('Data Entry'!$Å$739), "", 'Data Entry'!$Å$739)</f>
      </c>
      <c r="ED739">
        <f>IF(ISBLANK('Data Entry'!$Æ$739), "", 'Data Entry'!$Æ$739)</f>
      </c>
      <c r="EE739">
        <f>IF(ISBLANK('Data Entry'!$Ç$739), "", 'Data Entry'!$Ç$739)</f>
      </c>
      <c r="EF739">
        <f>IF(ISBLANK('Data Entry'!$È$739), "", 'Data Entry'!$È$739)</f>
      </c>
      <c r="EG739">
        <f>IF(ISBLANK('Data Entry'!$É$739), "", 'Data Entry'!$É$739)</f>
      </c>
      <c r="EH739">
        <f>IF(ISBLANK('Data Entry'!$Ê$739), "", 'Data Entry'!$Ê$739)</f>
      </c>
      <c r="EI739">
        <f>IF(ISBLANK('Data Entry'!$Ë$739), "", 'Data Entry'!$Ë$739)</f>
      </c>
      <c r="EJ739">
        <f>IF(ISBLANK('Data Entry'!$Ì$739), "", 'Data Entry'!$Ì$739)</f>
      </c>
      <c r="EK739">
        <f>IF(ISBLANK('Data Entry'!$Í$739), "", 'Data Entry'!$Í$739)</f>
      </c>
      <c r="EL739">
        <f>IF(ISBLANK('Data Entry'!$Î$739), "", 'Data Entry'!$Î$739)</f>
      </c>
      <c r="EM739">
        <f>IF(ISBLANK('Data Entry'!$Ï$739), "", 'Data Entry'!$Ï$739)</f>
      </c>
      <c r="EN739">
        <f>IF(ISBLANK('Data Entry'!$Ð$739), "", 'Data Entry'!$Ð$739)</f>
      </c>
      <c r="EO739">
        <f>IF(ISBLANK('Data Entry'!$Ñ$739), "", 'Data Entry'!$Ñ$739)</f>
      </c>
      <c r="EP739">
        <f>IF(ISBLANK('Data Entry'!$Ò$739), "", 'Data Entry'!$Ò$739)</f>
      </c>
      <c r="EQ739">
        <f>IF(ISBLANK('Data Entry'!$Ó$739), "", 'Data Entry'!$Ó$739)</f>
      </c>
      <c r="ER739">
        <f>IF(ISBLANK('Data Entry'!$Ô$739), "", 'Data Entry'!$Ô$739)</f>
      </c>
      <c r="ES739">
        <f>IF(ISBLANK('Data Entry'!$Õ$739), "", 'Data Entry'!$Õ$739)</f>
      </c>
      <c r="ET739">
        <f>IF(ISBLANK('Data Entry'!$Ö$739), "", 'Data Entry'!$Ö$739)</f>
      </c>
      <c r="EU739">
        <f>IF(ISBLANK('Data Entry'!$×$739), "", 'Data Entry'!$×$739)</f>
      </c>
      <c r="EV739">
        <f>IF(ISBLANK('Data Entry'!$Ø$739), "", 'Data Entry'!$Ø$739)</f>
      </c>
      <c r="EW739">
        <f>IF(ISBLANK('Data Entry'!$Ù$739), "", 'Data Entry'!$Ù$739)</f>
      </c>
      <c r="EX739">
        <f>IF(ISBLANK('Data Entry'!$Ú$739), "", 'Data Entry'!$Ú$739)</f>
      </c>
      <c r="EY739">
        <f>IF(ISBLANK('Data Entry'!$Û$739), "", 'Data Entry'!$Û$739)</f>
      </c>
      <c r="EZ739">
        <f>IF(ISBLANK('Data Entry'!$Ü$739), "", 'Data Entry'!$Ü$739)</f>
      </c>
      <c r="FA739">
        <f>IF(ISBLANK('Data Entry'!$Ý$739), "", 'Data Entry'!$Ý$739)</f>
      </c>
      <c r="FB739">
        <f>IF(ISBLANK('Data Entry'!$Þ$739), "", 'Data Entry'!$Þ$739)</f>
      </c>
      <c r="FC739">
        <f>IF(ISBLANK('Data Entry'!$ß$739), "", 'Data Entry'!$ß$739)</f>
      </c>
      <c r="FD739">
        <f>IF(ISBLANK('Data Entry'!$à$739), "", 'Data Entry'!$à$739)</f>
      </c>
      <c r="FE739">
        <f>IF(ISBLANK('Data Entry'!$á$739), "", 'Data Entry'!$á$739)</f>
      </c>
      <c r="FF739">
        <f>IF(ISBLANK('Data Entry'!$â$739), "", 'Data Entry'!$â$739)</f>
      </c>
      <c r="FG739">
        <f>IF(ISBLANK('Data Entry'!$ã$739), "", 'Data Entry'!$ã$739)</f>
      </c>
      <c r="FH739">
        <f>IF(ISBLANK('Data Entry'!$ä$739), "", 'Data Entry'!$ä$739)</f>
      </c>
      <c r="FI739">
        <f>IF(ISBLANK('Data Entry'!$å$739), "", 'Data Entry'!$å$739)</f>
      </c>
      <c r="FJ739">
        <f>IF(ISBLANK('Data Entry'!$æ$739), "", 'Data Entry'!$æ$739)</f>
      </c>
      <c r="FK739">
        <f>IF(ISBLANK('Data Entry'!$ç$739), "", 'Data Entry'!$ç$739)</f>
      </c>
      <c r="FL739">
        <f>IF(ISBLANK('Data Entry'!$è$739), "", 'Data Entry'!$è$739)</f>
      </c>
      <c r="FM739">
        <f>IF(ISBLANK('Data Entry'!$é$739), "", 'Data Entry'!$é$739)</f>
      </c>
      <c r="FN739">
        <f>IF(ISBLANK('Data Entry'!$ê$739), "", 'Data Entry'!$ê$739)</f>
      </c>
      <c r="FO739">
        <f>IF(ISBLANK('Data Entry'!$ë$739), "", 'Data Entry'!$ë$739)</f>
      </c>
      <c r="FP739">
        <f>IF(ISBLANK('Data Entry'!$ì$739), "", 'Data Entry'!$ì$739)</f>
      </c>
      <c r="FQ739">
        <f>IF(ISBLANK('Data Entry'!$í$739), "", 'Data Entry'!$í$739)</f>
      </c>
      <c r="FR739">
        <f>IF(ISBLANK('Data Entry'!$î$739), "", 'Data Entry'!$î$739)</f>
      </c>
      <c r="FS739">
        <f>IF(ISBLANK('Data Entry'!$ï$739), "", 'Data Entry'!$ï$739)</f>
      </c>
      <c r="FT739">
        <f>IF(ISBLANK('Data Entry'!$ð$739), "", 'Data Entry'!$ð$739)</f>
      </c>
      <c r="FU739">
        <f>IF(ISBLANK('Data Entry'!$ñ$739), "", 'Data Entry'!$ñ$739)</f>
      </c>
      <c r="FV739">
        <f>IF(ISBLANK('Data Entry'!$ò$739), "", 'Data Entry'!$ò$739)</f>
      </c>
      <c r="FW739">
        <f>IF(ISBLANK('Data Entry'!$ó$739), "", 'Data Entry'!$ó$739)</f>
      </c>
      <c r="FX739">
        <f>IF(ISBLANK('Data Entry'!$ô$739), "", 'Data Entry'!$ô$739)</f>
      </c>
      <c r="FY739">
        <f>IF(ISBLANK('Data Entry'!$õ$739), "", 'Data Entry'!$õ$739)</f>
      </c>
      <c r="FZ739">
        <f>IF(ISBLANK('Data Entry'!$ö$739), "", 'Data Entry'!$ö$739)</f>
      </c>
      <c r="GA739">
        <f>IF(ISBLANK('Data Entry'!$÷$739), "", 'Data Entry'!$÷$739)</f>
      </c>
      <c r="GB739">
        <f>IF(ISBLANK('Data Entry'!$ø$739), "", 'Data Entry'!$ø$739)</f>
      </c>
      <c r="GC739">
        <f>IF(ISBLANK('Data Entry'!$ù$739), "", 'Data Entry'!$ù$739)</f>
      </c>
      <c r="GD739">
        <f>IF(ISBLANK('Data Entry'!$ú$739), "", 'Data Entry'!$ú$739)</f>
      </c>
      <c r="GE739">
        <f>IF(ISBLANK('Data Entry'!$û$739), "", 'Data Entry'!$û$739)</f>
      </c>
      <c r="GF739">
        <f>IF(ISBLANK('Data Entry'!$ü$739), "", 'Data Entry'!$ü$739)</f>
      </c>
      <c r="GG739">
        <f>IF(ISBLANK('Data Entry'!$ý$739), "", 'Data Entry'!$ý$739)</f>
      </c>
      <c r="GH739">
        <f>IF(ISBLANK('Data Entry'!$þ$739), "", 'Data Entry'!$þ$739)</f>
      </c>
      <c r="GI739">
        <f>IF(ISBLANK('Data Entry'!$ÿ$739), "", 'Data Entry'!$ÿ$739)</f>
      </c>
      <c r="GJ739">
        <f>IF(ISBLANK('Data Entry'!$Ā$739), "", 'Data Entry'!$Ā$739)</f>
      </c>
      <c r="GK739">
        <f>IF(ISBLANK('Data Entry'!$ā$739), "", 'Data Entry'!$ā$739)</f>
      </c>
      <c r="GL739">
        <f>IF(ISBLANK('Data Entry'!$Ă$739), "", 'Data Entry'!$Ă$739)</f>
      </c>
      <c r="GM739">
        <f>IF(ISBLANK('Data Entry'!$ă$739), "", 'Data Entry'!$ă$739)</f>
      </c>
      <c r="GN739">
        <f>IF(ISBLANK('Data Entry'!$Ą$739), "", 'Data Entry'!$Ą$739)</f>
      </c>
      <c r="GO739">
        <f>IF(ISBLANK('Data Entry'!$ą$739), "", 'Data Entry'!$ą$739)</f>
      </c>
      <c r="GP739">
        <f>IF(ISBLANK('Data Entry'!$Ć$739), "", 'Data Entry'!$Ć$739)</f>
      </c>
      <c r="GQ739">
        <f>IF(ISBLANK('Data Entry'!$ć$739), "", 'Data Entry'!$ć$739)</f>
      </c>
      <c r="GR739">
        <f>IF(ISBLANK('Data Entry'!$Ĉ$739), "", 'Data Entry'!$Ĉ$739)</f>
      </c>
      <c r="GS739">
        <f>IF(ISBLANK('Data Entry'!$ĉ$739), "", 'Data Entry'!$ĉ$739)</f>
      </c>
      <c r="GT739">
        <f>IF(ISBLANK('Data Entry'!$Ċ$739), "", 'Data Entry'!$Ċ$739)</f>
      </c>
      <c r="GU739">
        <f>IF(ISBLANK('Data Entry'!$ċ$739), "", 'Data Entry'!$ċ$739)</f>
      </c>
      <c r="GV739">
        <f>IF(ISBLANK('Data Entry'!$Č$739), "", 'Data Entry'!$Č$739)</f>
      </c>
      <c r="GW739">
        <f>IF(ISBLANK('Data Entry'!$č$739), "", 'Data Entry'!$č$739)</f>
      </c>
      <c r="GX739">
        <f>IF(ISBLANK('Data Entry'!$Ď$739), "", 'Data Entry'!$Ď$739)</f>
      </c>
      <c r="GY739">
        <f>IF(ISBLANK('Data Entry'!$ď$739), "", 'Data Entry'!$ď$739)</f>
      </c>
      <c r="GZ739">
        <f>IF(ISBLANK('Data Entry'!$Đ$739), "", 'Data Entry'!$Đ$739)</f>
      </c>
      <c r="HA739">
        <f>IF(ISBLANK('Data Entry'!$đ$739), "", 'Data Entry'!$đ$739)</f>
      </c>
      <c r="HB739">
        <f>IF(ISBLANK('Data Entry'!$Ē$739), "", 'Data Entry'!$Ē$739)</f>
      </c>
      <c r="HC739">
        <f>IF(ISBLANK('Data Entry'!$ē$739), "", 'Data Entry'!$ē$739)</f>
      </c>
      <c r="HD739">
        <f>IF(ISBLANK('Data Entry'!$Ĕ$739), "", 'Data Entry'!$Ĕ$739)</f>
      </c>
      <c r="HE739">
        <f>IF(ISBLANK('Data Entry'!$ĕ$739), "", 'Data Entry'!$ĕ$739)</f>
      </c>
      <c r="HF739">
        <f>IF(ISBLANK('Data Entry'!$Ė$739), "", 'Data Entry'!$Ė$739)</f>
      </c>
      <c r="HG739">
        <f>IF(ISBLANK('Data Entry'!$ė$739), "", 'Data Entry'!$ė$739)</f>
      </c>
      <c r="HH739">
        <f>IF(ISBLANK('Data Entry'!$Ę$739), "", 'Data Entry'!$Ę$739)</f>
      </c>
      <c r="HI739">
        <f>IF(ISBLANK('Data Entry'!$ę$739), "", 'Data Entry'!$ę$739)</f>
      </c>
      <c r="HJ739">
        <f>IF(ISBLANK('Data Entry'!$Ě$739), "", 'Data Entry'!$Ě$739)</f>
      </c>
      <c r="HK739">
        <f>IF(ISBLANK('Data Entry'!$ě$739), "", 'Data Entry'!$ě$739)</f>
      </c>
      <c r="HL739">
        <f>IF(ISBLANK('Data Entry'!$Ĝ$739), "", 'Data Entry'!$Ĝ$739)</f>
      </c>
      <c r="HM739">
        <f>IF(ISBLANK('Data Entry'!$ĝ$739), "", 'Data Entry'!$ĝ$739)</f>
      </c>
      <c r="HN739">
        <f>IF(ISBLANK('Data Entry'!$Ğ$739), "", 'Data Entry'!$Ğ$739)</f>
      </c>
      <c r="HO739">
        <f>IF(ISBLANK('Data Entry'!$ğ$739), "", 'Data Entry'!$ğ$739)</f>
      </c>
      <c r="HP739">
        <f>IF(ISBLANK('Data Entry'!$Ġ$739), "", 'Data Entry'!$Ġ$739)</f>
      </c>
      <c r="HQ739">
        <f>IF(ISBLANK('Data Entry'!$ġ$739), "", 'Data Entry'!$ġ$739)</f>
      </c>
      <c r="HR739">
        <f>IF(ISBLANK('Data Entry'!$Ģ$739), "", 'Data Entry'!$Ģ$739)</f>
      </c>
      <c r="HS739">
        <f>IF(ISBLANK('Data Entry'!$ģ$739), "", 'Data Entry'!$ģ$739)</f>
      </c>
      <c r="HT739">
        <f>IF(ISBLANK('Data Entry'!$Ĥ$739), "", 'Data Entry'!$Ĥ$739)</f>
      </c>
      <c r="HU739">
        <f>IF(ISBLANK('Data Entry'!$ĥ$739), "", 'Data Entry'!$ĥ$739)</f>
      </c>
      <c r="HV739">
        <f>IF(ISBLANK('Data Entry'!$Ħ$739), "", 'Data Entry'!$Ħ$739)</f>
      </c>
      <c r="HW739">
        <f>IF(ISBLANK('Data Entry'!$ħ$739), "", 'Data Entry'!$ħ$739)</f>
      </c>
      <c r="HX739">
        <f>IF(ISBLANK('Data Entry'!$Ĩ$739), "", 'Data Entry'!$Ĩ$739)</f>
      </c>
      <c r="HY739">
        <f>IF(ISBLANK('Data Entry'!$ĩ$739), "", 'Data Entry'!$ĩ$739)</f>
      </c>
      <c r="HZ739">
        <f>IF(ISBLANK('Data Entry'!$Ī$739), "", 'Data Entry'!$Ī$739)</f>
      </c>
      <c r="IA739">
        <f>IF(ISBLANK('Data Entry'!$ī$739), "", 'Data Entry'!$ī$739)</f>
      </c>
      <c r="IB739">
        <f>IF(ISBLANK('Data Entry'!$Ĭ$739), "", 'Data Entry'!$Ĭ$739)</f>
      </c>
      <c r="IC739">
        <f>IF(ISBLANK('Data Entry'!$ĭ$739), "", 'Data Entry'!$ĭ$739)</f>
      </c>
      <c r="ID739">
        <f>IF(ISBLANK('Data Entry'!$Į$739), "", 'Data Entry'!$Į$739)</f>
      </c>
      <c r="IE739">
        <f>IF(ISBLANK('Data Entry'!$į$739), "", 'Data Entry'!$į$739)</f>
      </c>
      <c r="IF739">
        <f>IF(ISBLANK('Data Entry'!$İ$739), "", 'Data Entry'!$İ$739)</f>
      </c>
      <c r="IG739">
        <f>IF(ISBLANK('Data Entry'!$ı$739), "", 'Data Entry'!$ı$739)</f>
      </c>
      <c r="IH739">
        <f>IF(ISBLANK('Data Entry'!$Ĳ$739), "", 'Data Entry'!$Ĳ$739)</f>
      </c>
      <c r="II739">
        <f>IF(ISBLANK('Data Entry'!$ĳ$739), "", 'Data Entry'!$ĳ$739)</f>
      </c>
      <c r="IJ739">
        <f>IF(ISBLANK('Data Entry'!$Ĵ$739), "", 'Data Entry'!$Ĵ$739)</f>
      </c>
      <c r="IK739">
        <f>IF(ISBLANK('Data Entry'!$ĵ$739), "", 'Data Entry'!$ĵ$739)</f>
      </c>
      <c r="IL739">
        <f>IF(ISBLANK('Data Entry'!$Ķ$739), "", 'Data Entry'!$Ķ$739)</f>
      </c>
      <c r="IM739">
        <f>IF(ISBLANK('Data Entry'!$ķ$739), "", 'Data Entry'!$ķ$739)</f>
      </c>
      <c r="IN739">
        <f>IF(ISBLANK('Data Entry'!$ĸ$739), "", 'Data Entry'!$ĸ$739)</f>
      </c>
      <c r="IO739">
        <f>IF(ISBLANK('Data Entry'!$Ĺ$739), "", 'Data Entry'!$Ĺ$739)</f>
      </c>
      <c r="IP739">
        <f>IF(ISBLANK('Data Entry'!$ĺ$739), "", 'Data Entry'!$ĺ$739)</f>
      </c>
      <c r="IQ739">
        <f>IF(ISBLANK('Data Entry'!$Ļ$739), "", 'Data Entry'!$Ļ$739)</f>
      </c>
      <c r="IR739">
        <f>IF(ISBLANK('Data Entry'!$ļ$739), "", 'Data Entry'!$ļ$739)</f>
      </c>
      <c r="IS739">
        <f>IF(ISBLANK('Data Entry'!$Ľ$739), "", 'Data Entry'!$Ľ$739)</f>
      </c>
      <c r="IT739">
        <f>IF(ISBLANK('Data Entry'!$ľ$739), "", 'Data Entry'!$ľ$739)</f>
      </c>
    </row>
    <row r="740" spans="1:254" x14ac:dyDescent="0.25">
      <c r="A740">
        <f>IF(ISBLANK('Data Entry'!$A$740), "", 'Data Entry'!$A$740)</f>
      </c>
      <c r="B740">
        <f>IF(ISBLANK('Data Entry'!$B$740), "", 'Data Entry'!$B$740)</f>
      </c>
      <c r="C740">
        <f>IF(ISBLANK('Data Entry'!$C$740), "", 'Data Entry'!$C$740)</f>
      </c>
      <c r="D740">
        <f>IF(ISBLANK('Data Entry'!$D$740), "", 'Data Entry'!$D$740)</f>
      </c>
      <c r="E740">
        <f>IF(ISBLANK('Data Entry'!$E$740), "", 'Data Entry'!$E$740)</f>
      </c>
      <c r="F740">
        <f>IF(ISBLANK('Data Entry'!$F$740), "", 'Data Entry'!$F$740)</f>
      </c>
      <c r="G740">
        <f>IF(ISBLANK('Data Entry'!$G$740), "", 'Data Entry'!$G$740)</f>
      </c>
      <c r="H740">
        <f>IF(ISBLANK('Data Entry'!$H$740), "", 'Data Entry'!$H$740)</f>
      </c>
      <c r="I740">
        <f>IF(ISBLANK('Data Entry'!$I$740), "", 'Data Entry'!$I$740)</f>
      </c>
      <c r="J740">
        <f>IF(ISBLANK('Data Entry'!$J$740), "", 'Data Entry'!$J$740)</f>
      </c>
      <c r="K740">
        <f>IF(ISBLANK('Data Entry'!$K$740), "", 'Data Entry'!$K$740)</f>
      </c>
      <c r="L740">
        <f>IF(ISBLANK('Data Entry'!$L$740), "", 'Data Entry'!$L$740)</f>
      </c>
      <c r="M740">
        <f>IF(ISBLANK('Data Entry'!$M$740), "", 'Data Entry'!$M$740)</f>
      </c>
      <c r="N740">
        <f>IF(ISBLANK('Data Entry'!$N$740), "", 'Data Entry'!$N$740)</f>
      </c>
      <c r="O740">
        <f>IF(ISBLANK('Data Entry'!$O$740), "", 'Data Entry'!$O$740)</f>
      </c>
      <c r="P740">
        <f>IF(ISBLANK('Data Entry'!$P$740), "", 'Data Entry'!$P$740)</f>
      </c>
      <c r="Q740">
        <f>IF(ISBLANK('Data Entry'!$Q$740), "", 'Data Entry'!$Q$740)</f>
      </c>
      <c r="R740">
        <f>IF(ISBLANK('Data Entry'!$R$740), "", 'Data Entry'!$R$740)</f>
      </c>
      <c r="S740">
        <f>IF(ISBLANK('Data Entry'!$S$740), "", 'Data Entry'!$S$740)</f>
      </c>
      <c r="T740">
        <f>IF(ISBLANK('Data Entry'!$T$740), "", 'Data Entry'!$T$740)</f>
      </c>
      <c r="U740">
        <f>IF(ISBLANK('Data Entry'!$U$740), "", 'Data Entry'!$U$740)</f>
      </c>
      <c r="V740">
        <f>IF(ISBLANK('Data Entry'!$V$740), "", 'Data Entry'!$V$740)</f>
      </c>
      <c r="W740">
        <f>IF(ISBLANK('Data Entry'!$W$740), "", 'Data Entry'!$W$740)</f>
      </c>
      <c r="X740">
        <f>IF(ISBLANK('Data Entry'!$X$740), "", 'Data Entry'!$X$740)</f>
      </c>
      <c r="Y740">
        <f>IF(ISBLANK('Data Entry'!$Y$740), "", 'Data Entry'!$Y$740)</f>
      </c>
      <c r="Z740">
        <f>IF(ISBLANK('Data Entry'!$Z$740), "", 'Data Entry'!$Z$740)</f>
      </c>
      <c r="AA740">
        <f>IF(ISBLANK('Data Entry'!$[$740), "", 'Data Entry'!$[$740)</f>
      </c>
      <c r="AB740">
        <f>IF(ISBLANK('Data Entry'!$\$740), "", 'Data Entry'!$\$740)</f>
      </c>
      <c r="AC740">
        <f>IF(ISBLANK('Data Entry'!$]$740), "", 'Data Entry'!$]$740)</f>
      </c>
      <c r="AD740">
        <f>IF(ISBLANK('Data Entry'!$^$740), "", 'Data Entry'!$^$740)</f>
      </c>
      <c r="AE740">
        <f>IF(ISBLANK('Data Entry'!$_$740), "", 'Data Entry'!$_$740)</f>
      </c>
      <c r="AF740">
        <f>IF(ISBLANK('Data Entry'!$`$740), "", 'Data Entry'!$`$740)</f>
      </c>
      <c r="AG740">
        <f>IF(ISBLANK('Data Entry'!$a$740), "", 'Data Entry'!$a$740)</f>
      </c>
      <c r="AH740">
        <f>IF(ISBLANK('Data Entry'!$b$740), "", 'Data Entry'!$b$740)</f>
      </c>
      <c r="AI740">
        <f>IF(ISBLANK('Data Entry'!$c$740), "", 'Data Entry'!$c$740)</f>
      </c>
      <c r="AJ740">
        <f>IF(ISBLANK('Data Entry'!$d$740), "", 'Data Entry'!$d$740)</f>
      </c>
      <c r="AK740">
        <f>IF(ISBLANK('Data Entry'!$e$740), "", 'Data Entry'!$e$740)</f>
      </c>
      <c r="AL740">
        <f>IF(ISBLANK('Data Entry'!$f$740), "", 'Data Entry'!$f$740)</f>
      </c>
      <c r="AM740">
        <f>IF(ISBLANK('Data Entry'!$g$740), "", 'Data Entry'!$g$740)</f>
      </c>
      <c r="AN740">
        <f>IF(ISBLANK('Data Entry'!$h$740), "", 'Data Entry'!$h$740)</f>
      </c>
      <c r="AO740">
        <f>IF(ISBLANK('Data Entry'!$i$740), "", 'Data Entry'!$i$740)</f>
      </c>
      <c r="AP740">
        <f>IF(ISBLANK('Data Entry'!$j$740), "", 'Data Entry'!$j$740)</f>
      </c>
      <c r="AQ740">
        <f>IF(ISBLANK('Data Entry'!$k$740), "", 'Data Entry'!$k$740)</f>
      </c>
      <c r="AR740">
        <f>IF(ISBLANK('Data Entry'!$l$740), "", 'Data Entry'!$l$740)</f>
      </c>
      <c r="AS740">
        <f>IF(ISBLANK('Data Entry'!$m$740), "", 'Data Entry'!$m$740)</f>
      </c>
      <c r="AT740">
        <f>IF(ISBLANK('Data Entry'!$n$740), "", 'Data Entry'!$n$740)</f>
      </c>
      <c r="AU740">
        <f>IF(ISBLANK('Data Entry'!$o$740), "", 'Data Entry'!$o$740)</f>
      </c>
      <c r="AV740">
        <f>IF(ISBLANK('Data Entry'!$p$740), "", 'Data Entry'!$p$740)</f>
      </c>
      <c r="AW740">
        <f>IF(ISBLANK('Data Entry'!$q$740), "", 'Data Entry'!$q$740)</f>
      </c>
      <c r="AX740">
        <f>IF(ISBLANK('Data Entry'!$r$740), "", 'Data Entry'!$r$740)</f>
      </c>
      <c r="AY740">
        <f>IF(ISBLANK('Data Entry'!$s$740), "", 'Data Entry'!$s$740)</f>
      </c>
      <c r="AZ740">
        <f>IF(ISBLANK('Data Entry'!$t$740), "", 'Data Entry'!$t$740)</f>
      </c>
      <c r="BA740">
        <f>IF(ISBLANK('Data Entry'!$u$740), "", 'Data Entry'!$u$740)</f>
      </c>
      <c r="BB740">
        <f>IF(ISBLANK('Data Entry'!$v$740), "", 'Data Entry'!$v$740)</f>
      </c>
      <c r="BC740">
        <f>IF(ISBLANK('Data Entry'!$w$740), "", 'Data Entry'!$w$740)</f>
      </c>
      <c r="BD740">
        <f>IF(ISBLANK('Data Entry'!$x$740), "", 'Data Entry'!$x$740)</f>
      </c>
      <c r="BE740">
        <f>IF(ISBLANK('Data Entry'!$y$740), "", 'Data Entry'!$y$740)</f>
      </c>
      <c r="BF740">
        <f>IF(ISBLANK('Data Entry'!$z$740), "", 'Data Entry'!$z$740)</f>
      </c>
      <c r="BG740">
        <f>IF(ISBLANK('Data Entry'!${$740), "", 'Data Entry'!${$740)</f>
      </c>
      <c r="BH740">
        <f>IF(ISBLANK('Data Entry'!$|$740), "", 'Data Entry'!$|$740)</f>
      </c>
      <c r="BI740">
        <f>IF(ISBLANK('Data Entry'!$}$740), "", 'Data Entry'!$}$740)</f>
      </c>
      <c r="BJ740">
        <f>IF(ISBLANK('Data Entry'!$~$740), "", 'Data Entry'!$~$740)</f>
      </c>
      <c r="BK740">
        <f>IF(ISBLANK('Data Entry'!$$740), "", 'Data Entry'!$$740)</f>
      </c>
      <c r="BL740">
        <f>IF(ISBLANK('Data Entry'!$$740), "", 'Data Entry'!$$740)</f>
      </c>
      <c r="BM740">
        <f>IF(ISBLANK('Data Entry'!$$740), "", 'Data Entry'!$$740)</f>
      </c>
      <c r="BN740">
        <f>IF(ISBLANK('Data Entry'!$$740), "", 'Data Entry'!$$740)</f>
      </c>
      <c r="BO740">
        <f>IF(ISBLANK('Data Entry'!$$740), "", 'Data Entry'!$$740)</f>
      </c>
      <c r="BP740">
        <f>IF(ISBLANK('Data Entry'!$$740), "", 'Data Entry'!$$740)</f>
      </c>
      <c r="BQ740">
        <f>IF(ISBLANK('Data Entry'!$$740), "", 'Data Entry'!$$740)</f>
      </c>
      <c r="BR740">
        <f>IF(ISBLANK('Data Entry'!$$740), "", 'Data Entry'!$$740)</f>
      </c>
      <c r="BS740">
        <f>IF(ISBLANK('Data Entry'!$$740), "", 'Data Entry'!$$740)</f>
      </c>
      <c r="BT740">
        <f>IF(ISBLANK('Data Entry'!$$740), "", 'Data Entry'!$$740)</f>
      </c>
      <c r="BU740">
        <f>IF(ISBLANK('Data Entry'!$$740), "", 'Data Entry'!$$740)</f>
      </c>
      <c r="BV740">
        <f>IF(ISBLANK('Data Entry'!$$740), "", 'Data Entry'!$$740)</f>
      </c>
      <c r="BW740">
        <f>IF(ISBLANK('Data Entry'!$$740), "", 'Data Entry'!$$740)</f>
      </c>
      <c r="BX740">
        <f>IF(ISBLANK('Data Entry'!$$740), "", 'Data Entry'!$$740)</f>
      </c>
      <c r="BY740">
        <f>IF(ISBLANK('Data Entry'!$$740), "", 'Data Entry'!$$740)</f>
      </c>
      <c r="BZ740">
        <f>IF(ISBLANK('Data Entry'!$$740), "", 'Data Entry'!$$740)</f>
      </c>
      <c r="CA740">
        <f>IF(ISBLANK('Data Entry'!$$740), "", 'Data Entry'!$$740)</f>
      </c>
      <c r="CB740">
        <f>IF(ISBLANK('Data Entry'!$$740), "", 'Data Entry'!$$740)</f>
      </c>
      <c r="CC740">
        <f>IF(ISBLANK('Data Entry'!$$740), "", 'Data Entry'!$$740)</f>
      </c>
      <c r="CD740">
        <f>IF(ISBLANK('Data Entry'!$$740), "", 'Data Entry'!$$740)</f>
      </c>
      <c r="CE740">
        <f>IF(ISBLANK('Data Entry'!$$740), "", 'Data Entry'!$$740)</f>
      </c>
      <c r="CF740">
        <f>IF(ISBLANK('Data Entry'!$$740), "", 'Data Entry'!$$740)</f>
      </c>
      <c r="CG740">
        <f>IF(ISBLANK('Data Entry'!$$740), "", 'Data Entry'!$$740)</f>
      </c>
      <c r="CH740">
        <f>IF(ISBLANK('Data Entry'!$$740), "", 'Data Entry'!$$740)</f>
      </c>
      <c r="CI740">
        <f>IF(ISBLANK('Data Entry'!$$740), "", 'Data Entry'!$$740)</f>
      </c>
      <c r="CJ740">
        <f>IF(ISBLANK('Data Entry'!$$740), "", 'Data Entry'!$$740)</f>
      </c>
      <c r="CK740">
        <f>IF(ISBLANK('Data Entry'!$$740), "", 'Data Entry'!$$740)</f>
      </c>
      <c r="CL740">
        <f>IF(ISBLANK('Data Entry'!$$740), "", 'Data Entry'!$$740)</f>
      </c>
      <c r="CM740">
        <f>IF(ISBLANK('Data Entry'!$$740), "", 'Data Entry'!$$740)</f>
      </c>
      <c r="CN740">
        <f>IF(ISBLANK('Data Entry'!$$740), "", 'Data Entry'!$$740)</f>
      </c>
      <c r="CO740">
        <f>IF(ISBLANK('Data Entry'!$$740), "", 'Data Entry'!$$740)</f>
      </c>
      <c r="CP740">
        <f>IF(ISBLANK('Data Entry'!$$740), "", 'Data Entry'!$$740)</f>
      </c>
      <c r="CQ740">
        <f>IF(ISBLANK('Data Entry'!$$740), "", 'Data Entry'!$$740)</f>
      </c>
      <c r="CR740">
        <f>IF(ISBLANK('Data Entry'!$ $740), "", 'Data Entry'!$ $740)</f>
      </c>
      <c r="CS740">
        <f>IF(ISBLANK('Data Entry'!$¡$740), "", 'Data Entry'!$¡$740)</f>
      </c>
      <c r="CT740">
        <f>IF(ISBLANK('Data Entry'!$¢$740), "", 'Data Entry'!$¢$740)</f>
      </c>
      <c r="CU740">
        <f>IF(ISBLANK('Data Entry'!$£$740), "", 'Data Entry'!$£$740)</f>
      </c>
      <c r="CV740">
        <f>IF(ISBLANK('Data Entry'!$¤$740), "", 'Data Entry'!$¤$740)</f>
      </c>
      <c r="CW740">
        <f>IF(ISBLANK('Data Entry'!$¥$740), "", 'Data Entry'!$¥$740)</f>
      </c>
      <c r="CX740">
        <f>IF(ISBLANK('Data Entry'!$¦$740), "", 'Data Entry'!$¦$740)</f>
      </c>
      <c r="CY740">
        <f>IF(ISBLANK('Data Entry'!$§$740), "", 'Data Entry'!$§$740)</f>
      </c>
      <c r="CZ740">
        <f>IF(ISBLANK('Data Entry'!$¨$740), "", 'Data Entry'!$¨$740)</f>
      </c>
      <c r="DA740">
        <f>IF(ISBLANK('Data Entry'!$©$740), "", 'Data Entry'!$©$740)</f>
      </c>
      <c r="DB740">
        <f>IF(ISBLANK('Data Entry'!$ª$740), "", 'Data Entry'!$ª$740)</f>
      </c>
      <c r="DC740">
        <f>IF(ISBLANK('Data Entry'!$«$740), "", 'Data Entry'!$«$740)</f>
      </c>
      <c r="DD740">
        <f>IF(ISBLANK('Data Entry'!$¬$740), "", 'Data Entry'!$¬$740)</f>
      </c>
      <c r="DE740">
        <f>IF(ISBLANK('Data Entry'!$­$740), "", 'Data Entry'!$­$740)</f>
      </c>
      <c r="DF740">
        <f>IF(ISBLANK('Data Entry'!$®$740), "", 'Data Entry'!$®$740)</f>
      </c>
      <c r="DG740">
        <f>IF(ISBLANK('Data Entry'!$¯$740), "", 'Data Entry'!$¯$740)</f>
      </c>
      <c r="DH740">
        <f>IF(ISBLANK('Data Entry'!$°$740), "", 'Data Entry'!$°$740)</f>
      </c>
      <c r="DI740">
        <f>IF(ISBLANK('Data Entry'!$±$740), "", 'Data Entry'!$±$740)</f>
      </c>
      <c r="DJ740">
        <f>IF(ISBLANK('Data Entry'!$²$740), "", 'Data Entry'!$²$740)</f>
      </c>
      <c r="DK740">
        <f>IF(ISBLANK('Data Entry'!$³$740), "", 'Data Entry'!$³$740)</f>
      </c>
      <c r="DL740">
        <f>IF(ISBLANK('Data Entry'!$´$740), "", 'Data Entry'!$´$740)</f>
      </c>
      <c r="DM740">
        <f>IF(ISBLANK('Data Entry'!$µ$740), "", 'Data Entry'!$µ$740)</f>
      </c>
      <c r="DN740">
        <f>IF(ISBLANK('Data Entry'!$¶$740), "", 'Data Entry'!$¶$740)</f>
      </c>
      <c r="DO740">
        <f>IF(ISBLANK('Data Entry'!$·$740), "", 'Data Entry'!$·$740)</f>
      </c>
      <c r="DP740">
        <f>IF(ISBLANK('Data Entry'!$¸$740), "", 'Data Entry'!$¸$740)</f>
      </c>
      <c r="DQ740">
        <f>IF(ISBLANK('Data Entry'!$¹$740), "", 'Data Entry'!$¹$740)</f>
      </c>
      <c r="DR740">
        <f>IF(ISBLANK('Data Entry'!$º$740), "", 'Data Entry'!$º$740)</f>
      </c>
      <c r="DS740">
        <f>IF(ISBLANK('Data Entry'!$»$740), "", 'Data Entry'!$»$740)</f>
      </c>
      <c r="DT740">
        <f>IF(ISBLANK('Data Entry'!$¼$740), "", 'Data Entry'!$¼$740)</f>
      </c>
      <c r="DU740">
        <f>IF(ISBLANK('Data Entry'!$½$740), "", 'Data Entry'!$½$740)</f>
      </c>
      <c r="DV740">
        <f>IF(ISBLANK('Data Entry'!$¾$740), "", 'Data Entry'!$¾$740)</f>
      </c>
      <c r="DW740">
        <f>IF(ISBLANK('Data Entry'!$¿$740), "", 'Data Entry'!$¿$740)</f>
      </c>
      <c r="DX740">
        <f>IF(ISBLANK('Data Entry'!$À$740), "", 'Data Entry'!$À$740)</f>
      </c>
      <c r="DY740">
        <f>IF(ISBLANK('Data Entry'!$Á$740), "", 'Data Entry'!$Á$740)</f>
      </c>
      <c r="DZ740">
        <f>IF(ISBLANK('Data Entry'!$Â$740), "", 'Data Entry'!$Â$740)</f>
      </c>
      <c r="EA740">
        <f>IF(ISBLANK('Data Entry'!$Ã$740), "", 'Data Entry'!$Ã$740)</f>
      </c>
      <c r="EB740">
        <f>IF(ISBLANK('Data Entry'!$Ä$740), "", 'Data Entry'!$Ä$740)</f>
      </c>
      <c r="EC740">
        <f>IF(ISBLANK('Data Entry'!$Å$740), "", 'Data Entry'!$Å$740)</f>
      </c>
      <c r="ED740">
        <f>IF(ISBLANK('Data Entry'!$Æ$740), "", 'Data Entry'!$Æ$740)</f>
      </c>
      <c r="EE740">
        <f>IF(ISBLANK('Data Entry'!$Ç$740), "", 'Data Entry'!$Ç$740)</f>
      </c>
      <c r="EF740">
        <f>IF(ISBLANK('Data Entry'!$È$740), "", 'Data Entry'!$È$740)</f>
      </c>
      <c r="EG740">
        <f>IF(ISBLANK('Data Entry'!$É$740), "", 'Data Entry'!$É$740)</f>
      </c>
      <c r="EH740">
        <f>IF(ISBLANK('Data Entry'!$Ê$740), "", 'Data Entry'!$Ê$740)</f>
      </c>
      <c r="EI740">
        <f>IF(ISBLANK('Data Entry'!$Ë$740), "", 'Data Entry'!$Ë$740)</f>
      </c>
      <c r="EJ740">
        <f>IF(ISBLANK('Data Entry'!$Ì$740), "", 'Data Entry'!$Ì$740)</f>
      </c>
      <c r="EK740">
        <f>IF(ISBLANK('Data Entry'!$Í$740), "", 'Data Entry'!$Í$740)</f>
      </c>
      <c r="EL740">
        <f>IF(ISBLANK('Data Entry'!$Î$740), "", 'Data Entry'!$Î$740)</f>
      </c>
      <c r="EM740">
        <f>IF(ISBLANK('Data Entry'!$Ï$740), "", 'Data Entry'!$Ï$740)</f>
      </c>
      <c r="EN740">
        <f>IF(ISBLANK('Data Entry'!$Ð$740), "", 'Data Entry'!$Ð$740)</f>
      </c>
      <c r="EO740">
        <f>IF(ISBLANK('Data Entry'!$Ñ$740), "", 'Data Entry'!$Ñ$740)</f>
      </c>
      <c r="EP740">
        <f>IF(ISBLANK('Data Entry'!$Ò$740), "", 'Data Entry'!$Ò$740)</f>
      </c>
      <c r="EQ740">
        <f>IF(ISBLANK('Data Entry'!$Ó$740), "", 'Data Entry'!$Ó$740)</f>
      </c>
      <c r="ER740">
        <f>IF(ISBLANK('Data Entry'!$Ô$740), "", 'Data Entry'!$Ô$740)</f>
      </c>
      <c r="ES740">
        <f>IF(ISBLANK('Data Entry'!$Õ$740), "", 'Data Entry'!$Õ$740)</f>
      </c>
      <c r="ET740">
        <f>IF(ISBLANK('Data Entry'!$Ö$740), "", 'Data Entry'!$Ö$740)</f>
      </c>
      <c r="EU740">
        <f>IF(ISBLANK('Data Entry'!$×$740), "", 'Data Entry'!$×$740)</f>
      </c>
      <c r="EV740">
        <f>IF(ISBLANK('Data Entry'!$Ø$740), "", 'Data Entry'!$Ø$740)</f>
      </c>
      <c r="EW740">
        <f>IF(ISBLANK('Data Entry'!$Ù$740), "", 'Data Entry'!$Ù$740)</f>
      </c>
      <c r="EX740">
        <f>IF(ISBLANK('Data Entry'!$Ú$740), "", 'Data Entry'!$Ú$740)</f>
      </c>
      <c r="EY740">
        <f>IF(ISBLANK('Data Entry'!$Û$740), "", 'Data Entry'!$Û$740)</f>
      </c>
      <c r="EZ740">
        <f>IF(ISBLANK('Data Entry'!$Ü$740), "", 'Data Entry'!$Ü$740)</f>
      </c>
      <c r="FA740">
        <f>IF(ISBLANK('Data Entry'!$Ý$740), "", 'Data Entry'!$Ý$740)</f>
      </c>
      <c r="FB740">
        <f>IF(ISBLANK('Data Entry'!$Þ$740), "", 'Data Entry'!$Þ$740)</f>
      </c>
      <c r="FC740">
        <f>IF(ISBLANK('Data Entry'!$ß$740), "", 'Data Entry'!$ß$740)</f>
      </c>
      <c r="FD740">
        <f>IF(ISBLANK('Data Entry'!$à$740), "", 'Data Entry'!$à$740)</f>
      </c>
      <c r="FE740">
        <f>IF(ISBLANK('Data Entry'!$á$740), "", 'Data Entry'!$á$740)</f>
      </c>
      <c r="FF740">
        <f>IF(ISBLANK('Data Entry'!$â$740), "", 'Data Entry'!$â$740)</f>
      </c>
      <c r="FG740">
        <f>IF(ISBLANK('Data Entry'!$ã$740), "", 'Data Entry'!$ã$740)</f>
      </c>
      <c r="FH740">
        <f>IF(ISBLANK('Data Entry'!$ä$740), "", 'Data Entry'!$ä$740)</f>
      </c>
      <c r="FI740">
        <f>IF(ISBLANK('Data Entry'!$å$740), "", 'Data Entry'!$å$740)</f>
      </c>
      <c r="FJ740">
        <f>IF(ISBLANK('Data Entry'!$æ$740), "", 'Data Entry'!$æ$740)</f>
      </c>
      <c r="FK740">
        <f>IF(ISBLANK('Data Entry'!$ç$740), "", 'Data Entry'!$ç$740)</f>
      </c>
      <c r="FL740">
        <f>IF(ISBLANK('Data Entry'!$è$740), "", 'Data Entry'!$è$740)</f>
      </c>
      <c r="FM740">
        <f>IF(ISBLANK('Data Entry'!$é$740), "", 'Data Entry'!$é$740)</f>
      </c>
      <c r="FN740">
        <f>IF(ISBLANK('Data Entry'!$ê$740), "", 'Data Entry'!$ê$740)</f>
      </c>
      <c r="FO740">
        <f>IF(ISBLANK('Data Entry'!$ë$740), "", 'Data Entry'!$ë$740)</f>
      </c>
      <c r="FP740">
        <f>IF(ISBLANK('Data Entry'!$ì$740), "", 'Data Entry'!$ì$740)</f>
      </c>
      <c r="FQ740">
        <f>IF(ISBLANK('Data Entry'!$í$740), "", 'Data Entry'!$í$740)</f>
      </c>
      <c r="FR740">
        <f>IF(ISBLANK('Data Entry'!$î$740), "", 'Data Entry'!$î$740)</f>
      </c>
      <c r="FS740">
        <f>IF(ISBLANK('Data Entry'!$ï$740), "", 'Data Entry'!$ï$740)</f>
      </c>
      <c r="FT740">
        <f>IF(ISBLANK('Data Entry'!$ð$740), "", 'Data Entry'!$ð$740)</f>
      </c>
      <c r="FU740">
        <f>IF(ISBLANK('Data Entry'!$ñ$740), "", 'Data Entry'!$ñ$740)</f>
      </c>
      <c r="FV740">
        <f>IF(ISBLANK('Data Entry'!$ò$740), "", 'Data Entry'!$ò$740)</f>
      </c>
      <c r="FW740">
        <f>IF(ISBLANK('Data Entry'!$ó$740), "", 'Data Entry'!$ó$740)</f>
      </c>
      <c r="FX740">
        <f>IF(ISBLANK('Data Entry'!$ô$740), "", 'Data Entry'!$ô$740)</f>
      </c>
      <c r="FY740">
        <f>IF(ISBLANK('Data Entry'!$õ$740), "", 'Data Entry'!$õ$740)</f>
      </c>
      <c r="FZ740">
        <f>IF(ISBLANK('Data Entry'!$ö$740), "", 'Data Entry'!$ö$740)</f>
      </c>
      <c r="GA740">
        <f>IF(ISBLANK('Data Entry'!$÷$740), "", 'Data Entry'!$÷$740)</f>
      </c>
      <c r="GB740">
        <f>IF(ISBLANK('Data Entry'!$ø$740), "", 'Data Entry'!$ø$740)</f>
      </c>
      <c r="GC740">
        <f>IF(ISBLANK('Data Entry'!$ù$740), "", 'Data Entry'!$ù$740)</f>
      </c>
      <c r="GD740">
        <f>IF(ISBLANK('Data Entry'!$ú$740), "", 'Data Entry'!$ú$740)</f>
      </c>
      <c r="GE740">
        <f>IF(ISBLANK('Data Entry'!$û$740), "", 'Data Entry'!$û$740)</f>
      </c>
      <c r="GF740">
        <f>IF(ISBLANK('Data Entry'!$ü$740), "", 'Data Entry'!$ü$740)</f>
      </c>
      <c r="GG740">
        <f>IF(ISBLANK('Data Entry'!$ý$740), "", 'Data Entry'!$ý$740)</f>
      </c>
      <c r="GH740">
        <f>IF(ISBLANK('Data Entry'!$þ$740), "", 'Data Entry'!$þ$740)</f>
      </c>
      <c r="GI740">
        <f>IF(ISBLANK('Data Entry'!$ÿ$740), "", 'Data Entry'!$ÿ$740)</f>
      </c>
      <c r="GJ740">
        <f>IF(ISBLANK('Data Entry'!$Ā$740), "", 'Data Entry'!$Ā$740)</f>
      </c>
      <c r="GK740">
        <f>IF(ISBLANK('Data Entry'!$ā$740), "", 'Data Entry'!$ā$740)</f>
      </c>
      <c r="GL740">
        <f>IF(ISBLANK('Data Entry'!$Ă$740), "", 'Data Entry'!$Ă$740)</f>
      </c>
      <c r="GM740">
        <f>IF(ISBLANK('Data Entry'!$ă$740), "", 'Data Entry'!$ă$740)</f>
      </c>
      <c r="GN740">
        <f>IF(ISBLANK('Data Entry'!$Ą$740), "", 'Data Entry'!$Ą$740)</f>
      </c>
      <c r="GO740">
        <f>IF(ISBLANK('Data Entry'!$ą$740), "", 'Data Entry'!$ą$740)</f>
      </c>
      <c r="GP740">
        <f>IF(ISBLANK('Data Entry'!$Ć$740), "", 'Data Entry'!$Ć$740)</f>
      </c>
      <c r="GQ740">
        <f>IF(ISBLANK('Data Entry'!$ć$740), "", 'Data Entry'!$ć$740)</f>
      </c>
      <c r="GR740">
        <f>IF(ISBLANK('Data Entry'!$Ĉ$740), "", 'Data Entry'!$Ĉ$740)</f>
      </c>
      <c r="GS740">
        <f>IF(ISBLANK('Data Entry'!$ĉ$740), "", 'Data Entry'!$ĉ$740)</f>
      </c>
      <c r="GT740">
        <f>IF(ISBLANK('Data Entry'!$Ċ$740), "", 'Data Entry'!$Ċ$740)</f>
      </c>
      <c r="GU740">
        <f>IF(ISBLANK('Data Entry'!$ċ$740), "", 'Data Entry'!$ċ$740)</f>
      </c>
      <c r="GV740">
        <f>IF(ISBLANK('Data Entry'!$Č$740), "", 'Data Entry'!$Č$740)</f>
      </c>
      <c r="GW740">
        <f>IF(ISBLANK('Data Entry'!$č$740), "", 'Data Entry'!$č$740)</f>
      </c>
      <c r="GX740">
        <f>IF(ISBLANK('Data Entry'!$Ď$740), "", 'Data Entry'!$Ď$740)</f>
      </c>
      <c r="GY740">
        <f>IF(ISBLANK('Data Entry'!$ď$740), "", 'Data Entry'!$ď$740)</f>
      </c>
      <c r="GZ740">
        <f>IF(ISBLANK('Data Entry'!$Đ$740), "", 'Data Entry'!$Đ$740)</f>
      </c>
      <c r="HA740">
        <f>IF(ISBLANK('Data Entry'!$đ$740), "", 'Data Entry'!$đ$740)</f>
      </c>
      <c r="HB740">
        <f>IF(ISBLANK('Data Entry'!$Ē$740), "", 'Data Entry'!$Ē$740)</f>
      </c>
      <c r="HC740">
        <f>IF(ISBLANK('Data Entry'!$ē$740), "", 'Data Entry'!$ē$740)</f>
      </c>
      <c r="HD740">
        <f>IF(ISBLANK('Data Entry'!$Ĕ$740), "", 'Data Entry'!$Ĕ$740)</f>
      </c>
      <c r="HE740">
        <f>IF(ISBLANK('Data Entry'!$ĕ$740), "", 'Data Entry'!$ĕ$740)</f>
      </c>
      <c r="HF740">
        <f>IF(ISBLANK('Data Entry'!$Ė$740), "", 'Data Entry'!$Ė$740)</f>
      </c>
      <c r="HG740">
        <f>IF(ISBLANK('Data Entry'!$ė$740), "", 'Data Entry'!$ė$740)</f>
      </c>
      <c r="HH740">
        <f>IF(ISBLANK('Data Entry'!$Ę$740), "", 'Data Entry'!$Ę$740)</f>
      </c>
      <c r="HI740">
        <f>IF(ISBLANK('Data Entry'!$ę$740), "", 'Data Entry'!$ę$740)</f>
      </c>
      <c r="HJ740">
        <f>IF(ISBLANK('Data Entry'!$Ě$740), "", 'Data Entry'!$Ě$740)</f>
      </c>
      <c r="HK740">
        <f>IF(ISBLANK('Data Entry'!$ě$740), "", 'Data Entry'!$ě$740)</f>
      </c>
      <c r="HL740">
        <f>IF(ISBLANK('Data Entry'!$Ĝ$740), "", 'Data Entry'!$Ĝ$740)</f>
      </c>
      <c r="HM740">
        <f>IF(ISBLANK('Data Entry'!$ĝ$740), "", 'Data Entry'!$ĝ$740)</f>
      </c>
      <c r="HN740">
        <f>IF(ISBLANK('Data Entry'!$Ğ$740), "", 'Data Entry'!$Ğ$740)</f>
      </c>
      <c r="HO740">
        <f>IF(ISBLANK('Data Entry'!$ğ$740), "", 'Data Entry'!$ğ$740)</f>
      </c>
      <c r="HP740">
        <f>IF(ISBLANK('Data Entry'!$Ġ$740), "", 'Data Entry'!$Ġ$740)</f>
      </c>
      <c r="HQ740">
        <f>IF(ISBLANK('Data Entry'!$ġ$740), "", 'Data Entry'!$ġ$740)</f>
      </c>
      <c r="HR740">
        <f>IF(ISBLANK('Data Entry'!$Ģ$740), "", 'Data Entry'!$Ģ$740)</f>
      </c>
      <c r="HS740">
        <f>IF(ISBLANK('Data Entry'!$ģ$740), "", 'Data Entry'!$ģ$740)</f>
      </c>
      <c r="HT740">
        <f>IF(ISBLANK('Data Entry'!$Ĥ$740), "", 'Data Entry'!$Ĥ$740)</f>
      </c>
      <c r="HU740">
        <f>IF(ISBLANK('Data Entry'!$ĥ$740), "", 'Data Entry'!$ĥ$740)</f>
      </c>
      <c r="HV740">
        <f>IF(ISBLANK('Data Entry'!$Ħ$740), "", 'Data Entry'!$Ħ$740)</f>
      </c>
      <c r="HW740">
        <f>IF(ISBLANK('Data Entry'!$ħ$740), "", 'Data Entry'!$ħ$740)</f>
      </c>
      <c r="HX740">
        <f>IF(ISBLANK('Data Entry'!$Ĩ$740), "", 'Data Entry'!$Ĩ$740)</f>
      </c>
      <c r="HY740">
        <f>IF(ISBLANK('Data Entry'!$ĩ$740), "", 'Data Entry'!$ĩ$740)</f>
      </c>
      <c r="HZ740">
        <f>IF(ISBLANK('Data Entry'!$Ī$740), "", 'Data Entry'!$Ī$740)</f>
      </c>
      <c r="IA740">
        <f>IF(ISBLANK('Data Entry'!$ī$740), "", 'Data Entry'!$ī$740)</f>
      </c>
      <c r="IB740">
        <f>IF(ISBLANK('Data Entry'!$Ĭ$740), "", 'Data Entry'!$Ĭ$740)</f>
      </c>
      <c r="IC740">
        <f>IF(ISBLANK('Data Entry'!$ĭ$740), "", 'Data Entry'!$ĭ$740)</f>
      </c>
      <c r="ID740">
        <f>IF(ISBLANK('Data Entry'!$Į$740), "", 'Data Entry'!$Į$740)</f>
      </c>
      <c r="IE740">
        <f>IF(ISBLANK('Data Entry'!$į$740), "", 'Data Entry'!$į$740)</f>
      </c>
      <c r="IF740">
        <f>IF(ISBLANK('Data Entry'!$İ$740), "", 'Data Entry'!$İ$740)</f>
      </c>
      <c r="IG740">
        <f>IF(ISBLANK('Data Entry'!$ı$740), "", 'Data Entry'!$ı$740)</f>
      </c>
      <c r="IH740">
        <f>IF(ISBLANK('Data Entry'!$Ĳ$740), "", 'Data Entry'!$Ĳ$740)</f>
      </c>
      <c r="II740">
        <f>IF(ISBLANK('Data Entry'!$ĳ$740), "", 'Data Entry'!$ĳ$740)</f>
      </c>
      <c r="IJ740">
        <f>IF(ISBLANK('Data Entry'!$Ĵ$740), "", 'Data Entry'!$Ĵ$740)</f>
      </c>
      <c r="IK740">
        <f>IF(ISBLANK('Data Entry'!$ĵ$740), "", 'Data Entry'!$ĵ$740)</f>
      </c>
      <c r="IL740">
        <f>IF(ISBLANK('Data Entry'!$Ķ$740), "", 'Data Entry'!$Ķ$740)</f>
      </c>
      <c r="IM740">
        <f>IF(ISBLANK('Data Entry'!$ķ$740), "", 'Data Entry'!$ķ$740)</f>
      </c>
      <c r="IN740">
        <f>IF(ISBLANK('Data Entry'!$ĸ$740), "", 'Data Entry'!$ĸ$740)</f>
      </c>
      <c r="IO740">
        <f>IF(ISBLANK('Data Entry'!$Ĺ$740), "", 'Data Entry'!$Ĺ$740)</f>
      </c>
      <c r="IP740">
        <f>IF(ISBLANK('Data Entry'!$ĺ$740), "", 'Data Entry'!$ĺ$740)</f>
      </c>
      <c r="IQ740">
        <f>IF(ISBLANK('Data Entry'!$Ļ$740), "", 'Data Entry'!$Ļ$740)</f>
      </c>
      <c r="IR740">
        <f>IF(ISBLANK('Data Entry'!$ļ$740), "", 'Data Entry'!$ļ$740)</f>
      </c>
      <c r="IS740">
        <f>IF(ISBLANK('Data Entry'!$Ľ$740), "", 'Data Entry'!$Ľ$740)</f>
      </c>
      <c r="IT740">
        <f>IF(ISBLANK('Data Entry'!$ľ$740), "", 'Data Entry'!$ľ$740)</f>
      </c>
    </row>
    <row r="741" spans="1:254" x14ac:dyDescent="0.25">
      <c r="A741">
        <f>IF(ISBLANK('Data Entry'!$A$741), "", 'Data Entry'!$A$741)</f>
      </c>
      <c r="B741">
        <f>IF(ISBLANK('Data Entry'!$B$741), "", 'Data Entry'!$B$741)</f>
      </c>
      <c r="C741">
        <f>IF(ISBLANK('Data Entry'!$C$741), "", 'Data Entry'!$C$741)</f>
      </c>
      <c r="D741">
        <f>IF(ISBLANK('Data Entry'!$D$741), "", 'Data Entry'!$D$741)</f>
      </c>
      <c r="E741">
        <f>IF(ISBLANK('Data Entry'!$E$741), "", 'Data Entry'!$E$741)</f>
      </c>
      <c r="F741">
        <f>IF(ISBLANK('Data Entry'!$F$741), "", 'Data Entry'!$F$741)</f>
      </c>
      <c r="G741">
        <f>IF(ISBLANK('Data Entry'!$G$741), "", 'Data Entry'!$G$741)</f>
      </c>
      <c r="H741">
        <f>IF(ISBLANK('Data Entry'!$H$741), "", 'Data Entry'!$H$741)</f>
      </c>
      <c r="I741">
        <f>IF(ISBLANK('Data Entry'!$I$741), "", 'Data Entry'!$I$741)</f>
      </c>
      <c r="J741">
        <f>IF(ISBLANK('Data Entry'!$J$741), "", 'Data Entry'!$J$741)</f>
      </c>
      <c r="K741">
        <f>IF(ISBLANK('Data Entry'!$K$741), "", 'Data Entry'!$K$741)</f>
      </c>
      <c r="L741">
        <f>IF(ISBLANK('Data Entry'!$L$741), "", 'Data Entry'!$L$741)</f>
      </c>
      <c r="M741">
        <f>IF(ISBLANK('Data Entry'!$M$741), "", 'Data Entry'!$M$741)</f>
      </c>
      <c r="N741">
        <f>IF(ISBLANK('Data Entry'!$N$741), "", 'Data Entry'!$N$741)</f>
      </c>
      <c r="O741">
        <f>IF(ISBLANK('Data Entry'!$O$741), "", 'Data Entry'!$O$741)</f>
      </c>
      <c r="P741">
        <f>IF(ISBLANK('Data Entry'!$P$741), "", 'Data Entry'!$P$741)</f>
      </c>
      <c r="Q741">
        <f>IF(ISBLANK('Data Entry'!$Q$741), "", 'Data Entry'!$Q$741)</f>
      </c>
      <c r="R741">
        <f>IF(ISBLANK('Data Entry'!$R$741), "", 'Data Entry'!$R$741)</f>
      </c>
      <c r="S741">
        <f>IF(ISBLANK('Data Entry'!$S$741), "", 'Data Entry'!$S$741)</f>
      </c>
      <c r="T741">
        <f>IF(ISBLANK('Data Entry'!$T$741), "", 'Data Entry'!$T$741)</f>
      </c>
      <c r="U741">
        <f>IF(ISBLANK('Data Entry'!$U$741), "", 'Data Entry'!$U$741)</f>
      </c>
      <c r="V741">
        <f>IF(ISBLANK('Data Entry'!$V$741), "", 'Data Entry'!$V$741)</f>
      </c>
      <c r="W741">
        <f>IF(ISBLANK('Data Entry'!$W$741), "", 'Data Entry'!$W$741)</f>
      </c>
      <c r="X741">
        <f>IF(ISBLANK('Data Entry'!$X$741), "", 'Data Entry'!$X$741)</f>
      </c>
      <c r="Y741">
        <f>IF(ISBLANK('Data Entry'!$Y$741), "", 'Data Entry'!$Y$741)</f>
      </c>
      <c r="Z741">
        <f>IF(ISBLANK('Data Entry'!$Z$741), "", 'Data Entry'!$Z$741)</f>
      </c>
      <c r="AA741">
        <f>IF(ISBLANK('Data Entry'!$[$741), "", 'Data Entry'!$[$741)</f>
      </c>
      <c r="AB741">
        <f>IF(ISBLANK('Data Entry'!$\$741), "", 'Data Entry'!$\$741)</f>
      </c>
      <c r="AC741">
        <f>IF(ISBLANK('Data Entry'!$]$741), "", 'Data Entry'!$]$741)</f>
      </c>
      <c r="AD741">
        <f>IF(ISBLANK('Data Entry'!$^$741), "", 'Data Entry'!$^$741)</f>
      </c>
      <c r="AE741">
        <f>IF(ISBLANK('Data Entry'!$_$741), "", 'Data Entry'!$_$741)</f>
      </c>
      <c r="AF741">
        <f>IF(ISBLANK('Data Entry'!$`$741), "", 'Data Entry'!$`$741)</f>
      </c>
      <c r="AG741">
        <f>IF(ISBLANK('Data Entry'!$a$741), "", 'Data Entry'!$a$741)</f>
      </c>
      <c r="AH741">
        <f>IF(ISBLANK('Data Entry'!$b$741), "", 'Data Entry'!$b$741)</f>
      </c>
      <c r="AI741">
        <f>IF(ISBLANK('Data Entry'!$c$741), "", 'Data Entry'!$c$741)</f>
      </c>
      <c r="AJ741">
        <f>IF(ISBLANK('Data Entry'!$d$741), "", 'Data Entry'!$d$741)</f>
      </c>
      <c r="AK741">
        <f>IF(ISBLANK('Data Entry'!$e$741), "", 'Data Entry'!$e$741)</f>
      </c>
      <c r="AL741">
        <f>IF(ISBLANK('Data Entry'!$f$741), "", 'Data Entry'!$f$741)</f>
      </c>
      <c r="AM741">
        <f>IF(ISBLANK('Data Entry'!$g$741), "", 'Data Entry'!$g$741)</f>
      </c>
      <c r="AN741">
        <f>IF(ISBLANK('Data Entry'!$h$741), "", 'Data Entry'!$h$741)</f>
      </c>
      <c r="AO741">
        <f>IF(ISBLANK('Data Entry'!$i$741), "", 'Data Entry'!$i$741)</f>
      </c>
      <c r="AP741">
        <f>IF(ISBLANK('Data Entry'!$j$741), "", 'Data Entry'!$j$741)</f>
      </c>
      <c r="AQ741">
        <f>IF(ISBLANK('Data Entry'!$k$741), "", 'Data Entry'!$k$741)</f>
      </c>
      <c r="AR741">
        <f>IF(ISBLANK('Data Entry'!$l$741), "", 'Data Entry'!$l$741)</f>
      </c>
      <c r="AS741">
        <f>IF(ISBLANK('Data Entry'!$m$741), "", 'Data Entry'!$m$741)</f>
      </c>
      <c r="AT741">
        <f>IF(ISBLANK('Data Entry'!$n$741), "", 'Data Entry'!$n$741)</f>
      </c>
      <c r="AU741">
        <f>IF(ISBLANK('Data Entry'!$o$741), "", 'Data Entry'!$o$741)</f>
      </c>
      <c r="AV741">
        <f>IF(ISBLANK('Data Entry'!$p$741), "", 'Data Entry'!$p$741)</f>
      </c>
      <c r="AW741">
        <f>IF(ISBLANK('Data Entry'!$q$741), "", 'Data Entry'!$q$741)</f>
      </c>
      <c r="AX741">
        <f>IF(ISBLANK('Data Entry'!$r$741), "", 'Data Entry'!$r$741)</f>
      </c>
      <c r="AY741">
        <f>IF(ISBLANK('Data Entry'!$s$741), "", 'Data Entry'!$s$741)</f>
      </c>
      <c r="AZ741">
        <f>IF(ISBLANK('Data Entry'!$t$741), "", 'Data Entry'!$t$741)</f>
      </c>
      <c r="BA741">
        <f>IF(ISBLANK('Data Entry'!$u$741), "", 'Data Entry'!$u$741)</f>
      </c>
      <c r="BB741">
        <f>IF(ISBLANK('Data Entry'!$v$741), "", 'Data Entry'!$v$741)</f>
      </c>
      <c r="BC741">
        <f>IF(ISBLANK('Data Entry'!$w$741), "", 'Data Entry'!$w$741)</f>
      </c>
      <c r="BD741">
        <f>IF(ISBLANK('Data Entry'!$x$741), "", 'Data Entry'!$x$741)</f>
      </c>
      <c r="BE741">
        <f>IF(ISBLANK('Data Entry'!$y$741), "", 'Data Entry'!$y$741)</f>
      </c>
      <c r="BF741">
        <f>IF(ISBLANK('Data Entry'!$z$741), "", 'Data Entry'!$z$741)</f>
      </c>
      <c r="BG741">
        <f>IF(ISBLANK('Data Entry'!${$741), "", 'Data Entry'!${$741)</f>
      </c>
      <c r="BH741">
        <f>IF(ISBLANK('Data Entry'!$|$741), "", 'Data Entry'!$|$741)</f>
      </c>
      <c r="BI741">
        <f>IF(ISBLANK('Data Entry'!$}$741), "", 'Data Entry'!$}$741)</f>
      </c>
      <c r="BJ741">
        <f>IF(ISBLANK('Data Entry'!$~$741), "", 'Data Entry'!$~$741)</f>
      </c>
      <c r="BK741">
        <f>IF(ISBLANK('Data Entry'!$$741), "", 'Data Entry'!$$741)</f>
      </c>
      <c r="BL741">
        <f>IF(ISBLANK('Data Entry'!$$741), "", 'Data Entry'!$$741)</f>
      </c>
      <c r="BM741">
        <f>IF(ISBLANK('Data Entry'!$$741), "", 'Data Entry'!$$741)</f>
      </c>
      <c r="BN741">
        <f>IF(ISBLANK('Data Entry'!$$741), "", 'Data Entry'!$$741)</f>
      </c>
      <c r="BO741">
        <f>IF(ISBLANK('Data Entry'!$$741), "", 'Data Entry'!$$741)</f>
      </c>
      <c r="BP741">
        <f>IF(ISBLANK('Data Entry'!$$741), "", 'Data Entry'!$$741)</f>
      </c>
      <c r="BQ741">
        <f>IF(ISBLANK('Data Entry'!$$741), "", 'Data Entry'!$$741)</f>
      </c>
      <c r="BR741">
        <f>IF(ISBLANK('Data Entry'!$$741), "", 'Data Entry'!$$741)</f>
      </c>
      <c r="BS741">
        <f>IF(ISBLANK('Data Entry'!$$741), "", 'Data Entry'!$$741)</f>
      </c>
      <c r="BT741">
        <f>IF(ISBLANK('Data Entry'!$$741), "", 'Data Entry'!$$741)</f>
      </c>
      <c r="BU741">
        <f>IF(ISBLANK('Data Entry'!$$741), "", 'Data Entry'!$$741)</f>
      </c>
      <c r="BV741">
        <f>IF(ISBLANK('Data Entry'!$$741), "", 'Data Entry'!$$741)</f>
      </c>
      <c r="BW741">
        <f>IF(ISBLANK('Data Entry'!$$741), "", 'Data Entry'!$$741)</f>
      </c>
      <c r="BX741">
        <f>IF(ISBLANK('Data Entry'!$$741), "", 'Data Entry'!$$741)</f>
      </c>
      <c r="BY741">
        <f>IF(ISBLANK('Data Entry'!$$741), "", 'Data Entry'!$$741)</f>
      </c>
      <c r="BZ741">
        <f>IF(ISBLANK('Data Entry'!$$741), "", 'Data Entry'!$$741)</f>
      </c>
      <c r="CA741">
        <f>IF(ISBLANK('Data Entry'!$$741), "", 'Data Entry'!$$741)</f>
      </c>
      <c r="CB741">
        <f>IF(ISBLANK('Data Entry'!$$741), "", 'Data Entry'!$$741)</f>
      </c>
      <c r="CC741">
        <f>IF(ISBLANK('Data Entry'!$$741), "", 'Data Entry'!$$741)</f>
      </c>
      <c r="CD741">
        <f>IF(ISBLANK('Data Entry'!$$741), "", 'Data Entry'!$$741)</f>
      </c>
      <c r="CE741">
        <f>IF(ISBLANK('Data Entry'!$$741), "", 'Data Entry'!$$741)</f>
      </c>
      <c r="CF741">
        <f>IF(ISBLANK('Data Entry'!$$741), "", 'Data Entry'!$$741)</f>
      </c>
      <c r="CG741">
        <f>IF(ISBLANK('Data Entry'!$$741), "", 'Data Entry'!$$741)</f>
      </c>
      <c r="CH741">
        <f>IF(ISBLANK('Data Entry'!$$741), "", 'Data Entry'!$$741)</f>
      </c>
      <c r="CI741">
        <f>IF(ISBLANK('Data Entry'!$$741), "", 'Data Entry'!$$741)</f>
      </c>
      <c r="CJ741">
        <f>IF(ISBLANK('Data Entry'!$$741), "", 'Data Entry'!$$741)</f>
      </c>
      <c r="CK741">
        <f>IF(ISBLANK('Data Entry'!$$741), "", 'Data Entry'!$$741)</f>
      </c>
      <c r="CL741">
        <f>IF(ISBLANK('Data Entry'!$$741), "", 'Data Entry'!$$741)</f>
      </c>
      <c r="CM741">
        <f>IF(ISBLANK('Data Entry'!$$741), "", 'Data Entry'!$$741)</f>
      </c>
      <c r="CN741">
        <f>IF(ISBLANK('Data Entry'!$$741), "", 'Data Entry'!$$741)</f>
      </c>
      <c r="CO741">
        <f>IF(ISBLANK('Data Entry'!$$741), "", 'Data Entry'!$$741)</f>
      </c>
      <c r="CP741">
        <f>IF(ISBLANK('Data Entry'!$$741), "", 'Data Entry'!$$741)</f>
      </c>
      <c r="CQ741">
        <f>IF(ISBLANK('Data Entry'!$$741), "", 'Data Entry'!$$741)</f>
      </c>
      <c r="CR741">
        <f>IF(ISBLANK('Data Entry'!$ $741), "", 'Data Entry'!$ $741)</f>
      </c>
      <c r="CS741">
        <f>IF(ISBLANK('Data Entry'!$¡$741), "", 'Data Entry'!$¡$741)</f>
      </c>
      <c r="CT741">
        <f>IF(ISBLANK('Data Entry'!$¢$741), "", 'Data Entry'!$¢$741)</f>
      </c>
      <c r="CU741">
        <f>IF(ISBLANK('Data Entry'!$£$741), "", 'Data Entry'!$£$741)</f>
      </c>
      <c r="CV741">
        <f>IF(ISBLANK('Data Entry'!$¤$741), "", 'Data Entry'!$¤$741)</f>
      </c>
      <c r="CW741">
        <f>IF(ISBLANK('Data Entry'!$¥$741), "", 'Data Entry'!$¥$741)</f>
      </c>
      <c r="CX741">
        <f>IF(ISBLANK('Data Entry'!$¦$741), "", 'Data Entry'!$¦$741)</f>
      </c>
      <c r="CY741">
        <f>IF(ISBLANK('Data Entry'!$§$741), "", 'Data Entry'!$§$741)</f>
      </c>
      <c r="CZ741">
        <f>IF(ISBLANK('Data Entry'!$¨$741), "", 'Data Entry'!$¨$741)</f>
      </c>
      <c r="DA741">
        <f>IF(ISBLANK('Data Entry'!$©$741), "", 'Data Entry'!$©$741)</f>
      </c>
      <c r="DB741">
        <f>IF(ISBLANK('Data Entry'!$ª$741), "", 'Data Entry'!$ª$741)</f>
      </c>
      <c r="DC741">
        <f>IF(ISBLANK('Data Entry'!$«$741), "", 'Data Entry'!$«$741)</f>
      </c>
      <c r="DD741">
        <f>IF(ISBLANK('Data Entry'!$¬$741), "", 'Data Entry'!$¬$741)</f>
      </c>
      <c r="DE741">
        <f>IF(ISBLANK('Data Entry'!$­$741), "", 'Data Entry'!$­$741)</f>
      </c>
      <c r="DF741">
        <f>IF(ISBLANK('Data Entry'!$®$741), "", 'Data Entry'!$®$741)</f>
      </c>
      <c r="DG741">
        <f>IF(ISBLANK('Data Entry'!$¯$741), "", 'Data Entry'!$¯$741)</f>
      </c>
      <c r="DH741">
        <f>IF(ISBLANK('Data Entry'!$°$741), "", 'Data Entry'!$°$741)</f>
      </c>
      <c r="DI741">
        <f>IF(ISBLANK('Data Entry'!$±$741), "", 'Data Entry'!$±$741)</f>
      </c>
      <c r="DJ741">
        <f>IF(ISBLANK('Data Entry'!$²$741), "", 'Data Entry'!$²$741)</f>
      </c>
      <c r="DK741">
        <f>IF(ISBLANK('Data Entry'!$³$741), "", 'Data Entry'!$³$741)</f>
      </c>
      <c r="DL741">
        <f>IF(ISBLANK('Data Entry'!$´$741), "", 'Data Entry'!$´$741)</f>
      </c>
      <c r="DM741">
        <f>IF(ISBLANK('Data Entry'!$µ$741), "", 'Data Entry'!$µ$741)</f>
      </c>
      <c r="DN741">
        <f>IF(ISBLANK('Data Entry'!$¶$741), "", 'Data Entry'!$¶$741)</f>
      </c>
      <c r="DO741">
        <f>IF(ISBLANK('Data Entry'!$·$741), "", 'Data Entry'!$·$741)</f>
      </c>
      <c r="DP741">
        <f>IF(ISBLANK('Data Entry'!$¸$741), "", 'Data Entry'!$¸$741)</f>
      </c>
      <c r="DQ741">
        <f>IF(ISBLANK('Data Entry'!$¹$741), "", 'Data Entry'!$¹$741)</f>
      </c>
      <c r="DR741">
        <f>IF(ISBLANK('Data Entry'!$º$741), "", 'Data Entry'!$º$741)</f>
      </c>
      <c r="DS741">
        <f>IF(ISBLANK('Data Entry'!$»$741), "", 'Data Entry'!$»$741)</f>
      </c>
      <c r="DT741">
        <f>IF(ISBLANK('Data Entry'!$¼$741), "", 'Data Entry'!$¼$741)</f>
      </c>
      <c r="DU741">
        <f>IF(ISBLANK('Data Entry'!$½$741), "", 'Data Entry'!$½$741)</f>
      </c>
      <c r="DV741">
        <f>IF(ISBLANK('Data Entry'!$¾$741), "", 'Data Entry'!$¾$741)</f>
      </c>
      <c r="DW741">
        <f>IF(ISBLANK('Data Entry'!$¿$741), "", 'Data Entry'!$¿$741)</f>
      </c>
      <c r="DX741">
        <f>IF(ISBLANK('Data Entry'!$À$741), "", 'Data Entry'!$À$741)</f>
      </c>
      <c r="DY741">
        <f>IF(ISBLANK('Data Entry'!$Á$741), "", 'Data Entry'!$Á$741)</f>
      </c>
      <c r="DZ741">
        <f>IF(ISBLANK('Data Entry'!$Â$741), "", 'Data Entry'!$Â$741)</f>
      </c>
      <c r="EA741">
        <f>IF(ISBLANK('Data Entry'!$Ã$741), "", 'Data Entry'!$Ã$741)</f>
      </c>
      <c r="EB741">
        <f>IF(ISBLANK('Data Entry'!$Ä$741), "", 'Data Entry'!$Ä$741)</f>
      </c>
      <c r="EC741">
        <f>IF(ISBLANK('Data Entry'!$Å$741), "", 'Data Entry'!$Å$741)</f>
      </c>
      <c r="ED741">
        <f>IF(ISBLANK('Data Entry'!$Æ$741), "", 'Data Entry'!$Æ$741)</f>
      </c>
      <c r="EE741">
        <f>IF(ISBLANK('Data Entry'!$Ç$741), "", 'Data Entry'!$Ç$741)</f>
      </c>
      <c r="EF741">
        <f>IF(ISBLANK('Data Entry'!$È$741), "", 'Data Entry'!$È$741)</f>
      </c>
      <c r="EG741">
        <f>IF(ISBLANK('Data Entry'!$É$741), "", 'Data Entry'!$É$741)</f>
      </c>
      <c r="EH741">
        <f>IF(ISBLANK('Data Entry'!$Ê$741), "", 'Data Entry'!$Ê$741)</f>
      </c>
      <c r="EI741">
        <f>IF(ISBLANK('Data Entry'!$Ë$741), "", 'Data Entry'!$Ë$741)</f>
      </c>
      <c r="EJ741">
        <f>IF(ISBLANK('Data Entry'!$Ì$741), "", 'Data Entry'!$Ì$741)</f>
      </c>
      <c r="EK741">
        <f>IF(ISBLANK('Data Entry'!$Í$741), "", 'Data Entry'!$Í$741)</f>
      </c>
      <c r="EL741">
        <f>IF(ISBLANK('Data Entry'!$Î$741), "", 'Data Entry'!$Î$741)</f>
      </c>
      <c r="EM741">
        <f>IF(ISBLANK('Data Entry'!$Ï$741), "", 'Data Entry'!$Ï$741)</f>
      </c>
      <c r="EN741">
        <f>IF(ISBLANK('Data Entry'!$Ð$741), "", 'Data Entry'!$Ð$741)</f>
      </c>
      <c r="EO741">
        <f>IF(ISBLANK('Data Entry'!$Ñ$741), "", 'Data Entry'!$Ñ$741)</f>
      </c>
      <c r="EP741">
        <f>IF(ISBLANK('Data Entry'!$Ò$741), "", 'Data Entry'!$Ò$741)</f>
      </c>
      <c r="EQ741">
        <f>IF(ISBLANK('Data Entry'!$Ó$741), "", 'Data Entry'!$Ó$741)</f>
      </c>
      <c r="ER741">
        <f>IF(ISBLANK('Data Entry'!$Ô$741), "", 'Data Entry'!$Ô$741)</f>
      </c>
      <c r="ES741">
        <f>IF(ISBLANK('Data Entry'!$Õ$741), "", 'Data Entry'!$Õ$741)</f>
      </c>
      <c r="ET741">
        <f>IF(ISBLANK('Data Entry'!$Ö$741), "", 'Data Entry'!$Ö$741)</f>
      </c>
      <c r="EU741">
        <f>IF(ISBLANK('Data Entry'!$×$741), "", 'Data Entry'!$×$741)</f>
      </c>
      <c r="EV741">
        <f>IF(ISBLANK('Data Entry'!$Ø$741), "", 'Data Entry'!$Ø$741)</f>
      </c>
      <c r="EW741">
        <f>IF(ISBLANK('Data Entry'!$Ù$741), "", 'Data Entry'!$Ù$741)</f>
      </c>
      <c r="EX741">
        <f>IF(ISBLANK('Data Entry'!$Ú$741), "", 'Data Entry'!$Ú$741)</f>
      </c>
      <c r="EY741">
        <f>IF(ISBLANK('Data Entry'!$Û$741), "", 'Data Entry'!$Û$741)</f>
      </c>
      <c r="EZ741">
        <f>IF(ISBLANK('Data Entry'!$Ü$741), "", 'Data Entry'!$Ü$741)</f>
      </c>
      <c r="FA741">
        <f>IF(ISBLANK('Data Entry'!$Ý$741), "", 'Data Entry'!$Ý$741)</f>
      </c>
      <c r="FB741">
        <f>IF(ISBLANK('Data Entry'!$Þ$741), "", 'Data Entry'!$Þ$741)</f>
      </c>
      <c r="FC741">
        <f>IF(ISBLANK('Data Entry'!$ß$741), "", 'Data Entry'!$ß$741)</f>
      </c>
      <c r="FD741">
        <f>IF(ISBLANK('Data Entry'!$à$741), "", 'Data Entry'!$à$741)</f>
      </c>
      <c r="FE741">
        <f>IF(ISBLANK('Data Entry'!$á$741), "", 'Data Entry'!$á$741)</f>
      </c>
      <c r="FF741">
        <f>IF(ISBLANK('Data Entry'!$â$741), "", 'Data Entry'!$â$741)</f>
      </c>
      <c r="FG741">
        <f>IF(ISBLANK('Data Entry'!$ã$741), "", 'Data Entry'!$ã$741)</f>
      </c>
      <c r="FH741">
        <f>IF(ISBLANK('Data Entry'!$ä$741), "", 'Data Entry'!$ä$741)</f>
      </c>
      <c r="FI741">
        <f>IF(ISBLANK('Data Entry'!$å$741), "", 'Data Entry'!$å$741)</f>
      </c>
      <c r="FJ741">
        <f>IF(ISBLANK('Data Entry'!$æ$741), "", 'Data Entry'!$æ$741)</f>
      </c>
      <c r="FK741">
        <f>IF(ISBLANK('Data Entry'!$ç$741), "", 'Data Entry'!$ç$741)</f>
      </c>
      <c r="FL741">
        <f>IF(ISBLANK('Data Entry'!$è$741), "", 'Data Entry'!$è$741)</f>
      </c>
      <c r="FM741">
        <f>IF(ISBLANK('Data Entry'!$é$741), "", 'Data Entry'!$é$741)</f>
      </c>
      <c r="FN741">
        <f>IF(ISBLANK('Data Entry'!$ê$741), "", 'Data Entry'!$ê$741)</f>
      </c>
      <c r="FO741">
        <f>IF(ISBLANK('Data Entry'!$ë$741), "", 'Data Entry'!$ë$741)</f>
      </c>
      <c r="FP741">
        <f>IF(ISBLANK('Data Entry'!$ì$741), "", 'Data Entry'!$ì$741)</f>
      </c>
      <c r="FQ741">
        <f>IF(ISBLANK('Data Entry'!$í$741), "", 'Data Entry'!$í$741)</f>
      </c>
      <c r="FR741">
        <f>IF(ISBLANK('Data Entry'!$î$741), "", 'Data Entry'!$î$741)</f>
      </c>
      <c r="FS741">
        <f>IF(ISBLANK('Data Entry'!$ï$741), "", 'Data Entry'!$ï$741)</f>
      </c>
      <c r="FT741">
        <f>IF(ISBLANK('Data Entry'!$ð$741), "", 'Data Entry'!$ð$741)</f>
      </c>
      <c r="FU741">
        <f>IF(ISBLANK('Data Entry'!$ñ$741), "", 'Data Entry'!$ñ$741)</f>
      </c>
      <c r="FV741">
        <f>IF(ISBLANK('Data Entry'!$ò$741), "", 'Data Entry'!$ò$741)</f>
      </c>
      <c r="FW741">
        <f>IF(ISBLANK('Data Entry'!$ó$741), "", 'Data Entry'!$ó$741)</f>
      </c>
      <c r="FX741">
        <f>IF(ISBLANK('Data Entry'!$ô$741), "", 'Data Entry'!$ô$741)</f>
      </c>
      <c r="FY741">
        <f>IF(ISBLANK('Data Entry'!$õ$741), "", 'Data Entry'!$õ$741)</f>
      </c>
      <c r="FZ741">
        <f>IF(ISBLANK('Data Entry'!$ö$741), "", 'Data Entry'!$ö$741)</f>
      </c>
      <c r="GA741">
        <f>IF(ISBLANK('Data Entry'!$÷$741), "", 'Data Entry'!$÷$741)</f>
      </c>
      <c r="GB741">
        <f>IF(ISBLANK('Data Entry'!$ø$741), "", 'Data Entry'!$ø$741)</f>
      </c>
      <c r="GC741">
        <f>IF(ISBLANK('Data Entry'!$ù$741), "", 'Data Entry'!$ù$741)</f>
      </c>
      <c r="GD741">
        <f>IF(ISBLANK('Data Entry'!$ú$741), "", 'Data Entry'!$ú$741)</f>
      </c>
      <c r="GE741">
        <f>IF(ISBLANK('Data Entry'!$û$741), "", 'Data Entry'!$û$741)</f>
      </c>
      <c r="GF741">
        <f>IF(ISBLANK('Data Entry'!$ü$741), "", 'Data Entry'!$ü$741)</f>
      </c>
      <c r="GG741">
        <f>IF(ISBLANK('Data Entry'!$ý$741), "", 'Data Entry'!$ý$741)</f>
      </c>
      <c r="GH741">
        <f>IF(ISBLANK('Data Entry'!$þ$741), "", 'Data Entry'!$þ$741)</f>
      </c>
      <c r="GI741">
        <f>IF(ISBLANK('Data Entry'!$ÿ$741), "", 'Data Entry'!$ÿ$741)</f>
      </c>
      <c r="GJ741">
        <f>IF(ISBLANK('Data Entry'!$Ā$741), "", 'Data Entry'!$Ā$741)</f>
      </c>
      <c r="GK741">
        <f>IF(ISBLANK('Data Entry'!$ā$741), "", 'Data Entry'!$ā$741)</f>
      </c>
      <c r="GL741">
        <f>IF(ISBLANK('Data Entry'!$Ă$741), "", 'Data Entry'!$Ă$741)</f>
      </c>
      <c r="GM741">
        <f>IF(ISBLANK('Data Entry'!$ă$741), "", 'Data Entry'!$ă$741)</f>
      </c>
      <c r="GN741">
        <f>IF(ISBLANK('Data Entry'!$Ą$741), "", 'Data Entry'!$Ą$741)</f>
      </c>
      <c r="GO741">
        <f>IF(ISBLANK('Data Entry'!$ą$741), "", 'Data Entry'!$ą$741)</f>
      </c>
      <c r="GP741">
        <f>IF(ISBLANK('Data Entry'!$Ć$741), "", 'Data Entry'!$Ć$741)</f>
      </c>
      <c r="GQ741">
        <f>IF(ISBLANK('Data Entry'!$ć$741), "", 'Data Entry'!$ć$741)</f>
      </c>
      <c r="GR741">
        <f>IF(ISBLANK('Data Entry'!$Ĉ$741), "", 'Data Entry'!$Ĉ$741)</f>
      </c>
      <c r="GS741">
        <f>IF(ISBLANK('Data Entry'!$ĉ$741), "", 'Data Entry'!$ĉ$741)</f>
      </c>
      <c r="GT741">
        <f>IF(ISBLANK('Data Entry'!$Ċ$741), "", 'Data Entry'!$Ċ$741)</f>
      </c>
      <c r="GU741">
        <f>IF(ISBLANK('Data Entry'!$ċ$741), "", 'Data Entry'!$ċ$741)</f>
      </c>
      <c r="GV741">
        <f>IF(ISBLANK('Data Entry'!$Č$741), "", 'Data Entry'!$Č$741)</f>
      </c>
      <c r="GW741">
        <f>IF(ISBLANK('Data Entry'!$č$741), "", 'Data Entry'!$č$741)</f>
      </c>
      <c r="GX741">
        <f>IF(ISBLANK('Data Entry'!$Ď$741), "", 'Data Entry'!$Ď$741)</f>
      </c>
      <c r="GY741">
        <f>IF(ISBLANK('Data Entry'!$ď$741), "", 'Data Entry'!$ď$741)</f>
      </c>
      <c r="GZ741">
        <f>IF(ISBLANK('Data Entry'!$Đ$741), "", 'Data Entry'!$Đ$741)</f>
      </c>
      <c r="HA741">
        <f>IF(ISBLANK('Data Entry'!$đ$741), "", 'Data Entry'!$đ$741)</f>
      </c>
      <c r="HB741">
        <f>IF(ISBLANK('Data Entry'!$Ē$741), "", 'Data Entry'!$Ē$741)</f>
      </c>
      <c r="HC741">
        <f>IF(ISBLANK('Data Entry'!$ē$741), "", 'Data Entry'!$ē$741)</f>
      </c>
      <c r="HD741">
        <f>IF(ISBLANK('Data Entry'!$Ĕ$741), "", 'Data Entry'!$Ĕ$741)</f>
      </c>
      <c r="HE741">
        <f>IF(ISBLANK('Data Entry'!$ĕ$741), "", 'Data Entry'!$ĕ$741)</f>
      </c>
      <c r="HF741">
        <f>IF(ISBLANK('Data Entry'!$Ė$741), "", 'Data Entry'!$Ė$741)</f>
      </c>
      <c r="HG741">
        <f>IF(ISBLANK('Data Entry'!$ė$741), "", 'Data Entry'!$ė$741)</f>
      </c>
      <c r="HH741">
        <f>IF(ISBLANK('Data Entry'!$Ę$741), "", 'Data Entry'!$Ę$741)</f>
      </c>
      <c r="HI741">
        <f>IF(ISBLANK('Data Entry'!$ę$741), "", 'Data Entry'!$ę$741)</f>
      </c>
      <c r="HJ741">
        <f>IF(ISBLANK('Data Entry'!$Ě$741), "", 'Data Entry'!$Ě$741)</f>
      </c>
      <c r="HK741">
        <f>IF(ISBLANK('Data Entry'!$ě$741), "", 'Data Entry'!$ě$741)</f>
      </c>
      <c r="HL741">
        <f>IF(ISBLANK('Data Entry'!$Ĝ$741), "", 'Data Entry'!$Ĝ$741)</f>
      </c>
      <c r="HM741">
        <f>IF(ISBLANK('Data Entry'!$ĝ$741), "", 'Data Entry'!$ĝ$741)</f>
      </c>
      <c r="HN741">
        <f>IF(ISBLANK('Data Entry'!$Ğ$741), "", 'Data Entry'!$Ğ$741)</f>
      </c>
      <c r="HO741">
        <f>IF(ISBLANK('Data Entry'!$ğ$741), "", 'Data Entry'!$ğ$741)</f>
      </c>
      <c r="HP741">
        <f>IF(ISBLANK('Data Entry'!$Ġ$741), "", 'Data Entry'!$Ġ$741)</f>
      </c>
      <c r="HQ741">
        <f>IF(ISBLANK('Data Entry'!$ġ$741), "", 'Data Entry'!$ġ$741)</f>
      </c>
      <c r="HR741">
        <f>IF(ISBLANK('Data Entry'!$Ģ$741), "", 'Data Entry'!$Ģ$741)</f>
      </c>
      <c r="HS741">
        <f>IF(ISBLANK('Data Entry'!$ģ$741), "", 'Data Entry'!$ģ$741)</f>
      </c>
      <c r="HT741">
        <f>IF(ISBLANK('Data Entry'!$Ĥ$741), "", 'Data Entry'!$Ĥ$741)</f>
      </c>
      <c r="HU741">
        <f>IF(ISBLANK('Data Entry'!$ĥ$741), "", 'Data Entry'!$ĥ$741)</f>
      </c>
      <c r="HV741">
        <f>IF(ISBLANK('Data Entry'!$Ħ$741), "", 'Data Entry'!$Ħ$741)</f>
      </c>
      <c r="HW741">
        <f>IF(ISBLANK('Data Entry'!$ħ$741), "", 'Data Entry'!$ħ$741)</f>
      </c>
      <c r="HX741">
        <f>IF(ISBLANK('Data Entry'!$Ĩ$741), "", 'Data Entry'!$Ĩ$741)</f>
      </c>
      <c r="HY741">
        <f>IF(ISBLANK('Data Entry'!$ĩ$741), "", 'Data Entry'!$ĩ$741)</f>
      </c>
      <c r="HZ741">
        <f>IF(ISBLANK('Data Entry'!$Ī$741), "", 'Data Entry'!$Ī$741)</f>
      </c>
      <c r="IA741">
        <f>IF(ISBLANK('Data Entry'!$ī$741), "", 'Data Entry'!$ī$741)</f>
      </c>
      <c r="IB741">
        <f>IF(ISBLANK('Data Entry'!$Ĭ$741), "", 'Data Entry'!$Ĭ$741)</f>
      </c>
      <c r="IC741">
        <f>IF(ISBLANK('Data Entry'!$ĭ$741), "", 'Data Entry'!$ĭ$741)</f>
      </c>
      <c r="ID741">
        <f>IF(ISBLANK('Data Entry'!$Į$741), "", 'Data Entry'!$Į$741)</f>
      </c>
      <c r="IE741">
        <f>IF(ISBLANK('Data Entry'!$į$741), "", 'Data Entry'!$į$741)</f>
      </c>
      <c r="IF741">
        <f>IF(ISBLANK('Data Entry'!$İ$741), "", 'Data Entry'!$İ$741)</f>
      </c>
      <c r="IG741">
        <f>IF(ISBLANK('Data Entry'!$ı$741), "", 'Data Entry'!$ı$741)</f>
      </c>
      <c r="IH741">
        <f>IF(ISBLANK('Data Entry'!$Ĳ$741), "", 'Data Entry'!$Ĳ$741)</f>
      </c>
      <c r="II741">
        <f>IF(ISBLANK('Data Entry'!$ĳ$741), "", 'Data Entry'!$ĳ$741)</f>
      </c>
      <c r="IJ741">
        <f>IF(ISBLANK('Data Entry'!$Ĵ$741), "", 'Data Entry'!$Ĵ$741)</f>
      </c>
      <c r="IK741">
        <f>IF(ISBLANK('Data Entry'!$ĵ$741), "", 'Data Entry'!$ĵ$741)</f>
      </c>
      <c r="IL741">
        <f>IF(ISBLANK('Data Entry'!$Ķ$741), "", 'Data Entry'!$Ķ$741)</f>
      </c>
      <c r="IM741">
        <f>IF(ISBLANK('Data Entry'!$ķ$741), "", 'Data Entry'!$ķ$741)</f>
      </c>
      <c r="IN741">
        <f>IF(ISBLANK('Data Entry'!$ĸ$741), "", 'Data Entry'!$ĸ$741)</f>
      </c>
      <c r="IO741">
        <f>IF(ISBLANK('Data Entry'!$Ĺ$741), "", 'Data Entry'!$Ĺ$741)</f>
      </c>
      <c r="IP741">
        <f>IF(ISBLANK('Data Entry'!$ĺ$741), "", 'Data Entry'!$ĺ$741)</f>
      </c>
      <c r="IQ741">
        <f>IF(ISBLANK('Data Entry'!$Ļ$741), "", 'Data Entry'!$Ļ$741)</f>
      </c>
      <c r="IR741">
        <f>IF(ISBLANK('Data Entry'!$ļ$741), "", 'Data Entry'!$ļ$741)</f>
      </c>
      <c r="IS741">
        <f>IF(ISBLANK('Data Entry'!$Ľ$741), "", 'Data Entry'!$Ľ$741)</f>
      </c>
      <c r="IT741">
        <f>IF(ISBLANK('Data Entry'!$ľ$741), "", 'Data Entry'!$ľ$741)</f>
      </c>
    </row>
    <row r="742" spans="1:254" x14ac:dyDescent="0.25">
      <c r="A742">
        <f>IF(ISBLANK('Data Entry'!$A$742), "", 'Data Entry'!$A$742)</f>
      </c>
      <c r="B742">
        <f>IF(ISBLANK('Data Entry'!$B$742), "", 'Data Entry'!$B$742)</f>
      </c>
      <c r="C742">
        <f>IF(ISBLANK('Data Entry'!$C$742), "", 'Data Entry'!$C$742)</f>
      </c>
      <c r="D742">
        <f>IF(ISBLANK('Data Entry'!$D$742), "", 'Data Entry'!$D$742)</f>
      </c>
      <c r="E742">
        <f>IF(ISBLANK('Data Entry'!$E$742), "", 'Data Entry'!$E$742)</f>
      </c>
      <c r="F742">
        <f>IF(ISBLANK('Data Entry'!$F$742), "", 'Data Entry'!$F$742)</f>
      </c>
      <c r="G742">
        <f>IF(ISBLANK('Data Entry'!$G$742), "", 'Data Entry'!$G$742)</f>
      </c>
      <c r="H742">
        <f>IF(ISBLANK('Data Entry'!$H$742), "", 'Data Entry'!$H$742)</f>
      </c>
      <c r="I742">
        <f>IF(ISBLANK('Data Entry'!$I$742), "", 'Data Entry'!$I$742)</f>
      </c>
      <c r="J742">
        <f>IF(ISBLANK('Data Entry'!$J$742), "", 'Data Entry'!$J$742)</f>
      </c>
      <c r="K742">
        <f>IF(ISBLANK('Data Entry'!$K$742), "", 'Data Entry'!$K$742)</f>
      </c>
      <c r="L742">
        <f>IF(ISBLANK('Data Entry'!$L$742), "", 'Data Entry'!$L$742)</f>
      </c>
      <c r="M742">
        <f>IF(ISBLANK('Data Entry'!$M$742), "", 'Data Entry'!$M$742)</f>
      </c>
      <c r="N742">
        <f>IF(ISBLANK('Data Entry'!$N$742), "", 'Data Entry'!$N$742)</f>
      </c>
      <c r="O742">
        <f>IF(ISBLANK('Data Entry'!$O$742), "", 'Data Entry'!$O$742)</f>
      </c>
      <c r="P742">
        <f>IF(ISBLANK('Data Entry'!$P$742), "", 'Data Entry'!$P$742)</f>
      </c>
      <c r="Q742">
        <f>IF(ISBLANK('Data Entry'!$Q$742), "", 'Data Entry'!$Q$742)</f>
      </c>
      <c r="R742">
        <f>IF(ISBLANK('Data Entry'!$R$742), "", 'Data Entry'!$R$742)</f>
      </c>
      <c r="S742">
        <f>IF(ISBLANK('Data Entry'!$S$742), "", 'Data Entry'!$S$742)</f>
      </c>
      <c r="T742">
        <f>IF(ISBLANK('Data Entry'!$T$742), "", 'Data Entry'!$T$742)</f>
      </c>
      <c r="U742">
        <f>IF(ISBLANK('Data Entry'!$U$742), "", 'Data Entry'!$U$742)</f>
      </c>
      <c r="V742">
        <f>IF(ISBLANK('Data Entry'!$V$742), "", 'Data Entry'!$V$742)</f>
      </c>
      <c r="W742">
        <f>IF(ISBLANK('Data Entry'!$W$742), "", 'Data Entry'!$W$742)</f>
      </c>
      <c r="X742">
        <f>IF(ISBLANK('Data Entry'!$X$742), "", 'Data Entry'!$X$742)</f>
      </c>
      <c r="Y742">
        <f>IF(ISBLANK('Data Entry'!$Y$742), "", 'Data Entry'!$Y$742)</f>
      </c>
      <c r="Z742">
        <f>IF(ISBLANK('Data Entry'!$Z$742), "", 'Data Entry'!$Z$742)</f>
      </c>
      <c r="AA742">
        <f>IF(ISBLANK('Data Entry'!$[$742), "", 'Data Entry'!$[$742)</f>
      </c>
      <c r="AB742">
        <f>IF(ISBLANK('Data Entry'!$\$742), "", 'Data Entry'!$\$742)</f>
      </c>
      <c r="AC742">
        <f>IF(ISBLANK('Data Entry'!$]$742), "", 'Data Entry'!$]$742)</f>
      </c>
      <c r="AD742">
        <f>IF(ISBLANK('Data Entry'!$^$742), "", 'Data Entry'!$^$742)</f>
      </c>
      <c r="AE742">
        <f>IF(ISBLANK('Data Entry'!$_$742), "", 'Data Entry'!$_$742)</f>
      </c>
      <c r="AF742">
        <f>IF(ISBLANK('Data Entry'!$`$742), "", 'Data Entry'!$`$742)</f>
      </c>
      <c r="AG742">
        <f>IF(ISBLANK('Data Entry'!$a$742), "", 'Data Entry'!$a$742)</f>
      </c>
      <c r="AH742">
        <f>IF(ISBLANK('Data Entry'!$b$742), "", 'Data Entry'!$b$742)</f>
      </c>
      <c r="AI742">
        <f>IF(ISBLANK('Data Entry'!$c$742), "", 'Data Entry'!$c$742)</f>
      </c>
      <c r="AJ742">
        <f>IF(ISBLANK('Data Entry'!$d$742), "", 'Data Entry'!$d$742)</f>
      </c>
      <c r="AK742">
        <f>IF(ISBLANK('Data Entry'!$e$742), "", 'Data Entry'!$e$742)</f>
      </c>
      <c r="AL742">
        <f>IF(ISBLANK('Data Entry'!$f$742), "", 'Data Entry'!$f$742)</f>
      </c>
      <c r="AM742">
        <f>IF(ISBLANK('Data Entry'!$g$742), "", 'Data Entry'!$g$742)</f>
      </c>
      <c r="AN742">
        <f>IF(ISBLANK('Data Entry'!$h$742), "", 'Data Entry'!$h$742)</f>
      </c>
      <c r="AO742">
        <f>IF(ISBLANK('Data Entry'!$i$742), "", 'Data Entry'!$i$742)</f>
      </c>
      <c r="AP742">
        <f>IF(ISBLANK('Data Entry'!$j$742), "", 'Data Entry'!$j$742)</f>
      </c>
      <c r="AQ742">
        <f>IF(ISBLANK('Data Entry'!$k$742), "", 'Data Entry'!$k$742)</f>
      </c>
      <c r="AR742">
        <f>IF(ISBLANK('Data Entry'!$l$742), "", 'Data Entry'!$l$742)</f>
      </c>
      <c r="AS742">
        <f>IF(ISBLANK('Data Entry'!$m$742), "", 'Data Entry'!$m$742)</f>
      </c>
      <c r="AT742">
        <f>IF(ISBLANK('Data Entry'!$n$742), "", 'Data Entry'!$n$742)</f>
      </c>
      <c r="AU742">
        <f>IF(ISBLANK('Data Entry'!$o$742), "", 'Data Entry'!$o$742)</f>
      </c>
      <c r="AV742">
        <f>IF(ISBLANK('Data Entry'!$p$742), "", 'Data Entry'!$p$742)</f>
      </c>
      <c r="AW742">
        <f>IF(ISBLANK('Data Entry'!$q$742), "", 'Data Entry'!$q$742)</f>
      </c>
      <c r="AX742">
        <f>IF(ISBLANK('Data Entry'!$r$742), "", 'Data Entry'!$r$742)</f>
      </c>
      <c r="AY742">
        <f>IF(ISBLANK('Data Entry'!$s$742), "", 'Data Entry'!$s$742)</f>
      </c>
      <c r="AZ742">
        <f>IF(ISBLANK('Data Entry'!$t$742), "", 'Data Entry'!$t$742)</f>
      </c>
      <c r="BA742">
        <f>IF(ISBLANK('Data Entry'!$u$742), "", 'Data Entry'!$u$742)</f>
      </c>
      <c r="BB742">
        <f>IF(ISBLANK('Data Entry'!$v$742), "", 'Data Entry'!$v$742)</f>
      </c>
      <c r="BC742">
        <f>IF(ISBLANK('Data Entry'!$w$742), "", 'Data Entry'!$w$742)</f>
      </c>
      <c r="BD742">
        <f>IF(ISBLANK('Data Entry'!$x$742), "", 'Data Entry'!$x$742)</f>
      </c>
      <c r="BE742">
        <f>IF(ISBLANK('Data Entry'!$y$742), "", 'Data Entry'!$y$742)</f>
      </c>
      <c r="BF742">
        <f>IF(ISBLANK('Data Entry'!$z$742), "", 'Data Entry'!$z$742)</f>
      </c>
      <c r="BG742">
        <f>IF(ISBLANK('Data Entry'!${$742), "", 'Data Entry'!${$742)</f>
      </c>
      <c r="BH742">
        <f>IF(ISBLANK('Data Entry'!$|$742), "", 'Data Entry'!$|$742)</f>
      </c>
      <c r="BI742">
        <f>IF(ISBLANK('Data Entry'!$}$742), "", 'Data Entry'!$}$742)</f>
      </c>
      <c r="BJ742">
        <f>IF(ISBLANK('Data Entry'!$~$742), "", 'Data Entry'!$~$742)</f>
      </c>
      <c r="BK742">
        <f>IF(ISBLANK('Data Entry'!$$742), "", 'Data Entry'!$$742)</f>
      </c>
      <c r="BL742">
        <f>IF(ISBLANK('Data Entry'!$$742), "", 'Data Entry'!$$742)</f>
      </c>
      <c r="BM742">
        <f>IF(ISBLANK('Data Entry'!$$742), "", 'Data Entry'!$$742)</f>
      </c>
      <c r="BN742">
        <f>IF(ISBLANK('Data Entry'!$$742), "", 'Data Entry'!$$742)</f>
      </c>
      <c r="BO742">
        <f>IF(ISBLANK('Data Entry'!$$742), "", 'Data Entry'!$$742)</f>
      </c>
      <c r="BP742">
        <f>IF(ISBLANK('Data Entry'!$$742), "", 'Data Entry'!$$742)</f>
      </c>
      <c r="BQ742">
        <f>IF(ISBLANK('Data Entry'!$$742), "", 'Data Entry'!$$742)</f>
      </c>
      <c r="BR742">
        <f>IF(ISBLANK('Data Entry'!$$742), "", 'Data Entry'!$$742)</f>
      </c>
      <c r="BS742">
        <f>IF(ISBLANK('Data Entry'!$$742), "", 'Data Entry'!$$742)</f>
      </c>
      <c r="BT742">
        <f>IF(ISBLANK('Data Entry'!$$742), "", 'Data Entry'!$$742)</f>
      </c>
      <c r="BU742">
        <f>IF(ISBLANK('Data Entry'!$$742), "", 'Data Entry'!$$742)</f>
      </c>
      <c r="BV742">
        <f>IF(ISBLANK('Data Entry'!$$742), "", 'Data Entry'!$$742)</f>
      </c>
      <c r="BW742">
        <f>IF(ISBLANK('Data Entry'!$$742), "", 'Data Entry'!$$742)</f>
      </c>
      <c r="BX742">
        <f>IF(ISBLANK('Data Entry'!$$742), "", 'Data Entry'!$$742)</f>
      </c>
      <c r="BY742">
        <f>IF(ISBLANK('Data Entry'!$$742), "", 'Data Entry'!$$742)</f>
      </c>
      <c r="BZ742">
        <f>IF(ISBLANK('Data Entry'!$$742), "", 'Data Entry'!$$742)</f>
      </c>
      <c r="CA742">
        <f>IF(ISBLANK('Data Entry'!$$742), "", 'Data Entry'!$$742)</f>
      </c>
      <c r="CB742">
        <f>IF(ISBLANK('Data Entry'!$$742), "", 'Data Entry'!$$742)</f>
      </c>
      <c r="CC742">
        <f>IF(ISBLANK('Data Entry'!$$742), "", 'Data Entry'!$$742)</f>
      </c>
      <c r="CD742">
        <f>IF(ISBLANK('Data Entry'!$$742), "", 'Data Entry'!$$742)</f>
      </c>
      <c r="CE742">
        <f>IF(ISBLANK('Data Entry'!$$742), "", 'Data Entry'!$$742)</f>
      </c>
      <c r="CF742">
        <f>IF(ISBLANK('Data Entry'!$$742), "", 'Data Entry'!$$742)</f>
      </c>
      <c r="CG742">
        <f>IF(ISBLANK('Data Entry'!$$742), "", 'Data Entry'!$$742)</f>
      </c>
      <c r="CH742">
        <f>IF(ISBLANK('Data Entry'!$$742), "", 'Data Entry'!$$742)</f>
      </c>
      <c r="CI742">
        <f>IF(ISBLANK('Data Entry'!$$742), "", 'Data Entry'!$$742)</f>
      </c>
      <c r="CJ742">
        <f>IF(ISBLANK('Data Entry'!$$742), "", 'Data Entry'!$$742)</f>
      </c>
      <c r="CK742">
        <f>IF(ISBLANK('Data Entry'!$$742), "", 'Data Entry'!$$742)</f>
      </c>
      <c r="CL742">
        <f>IF(ISBLANK('Data Entry'!$$742), "", 'Data Entry'!$$742)</f>
      </c>
      <c r="CM742">
        <f>IF(ISBLANK('Data Entry'!$$742), "", 'Data Entry'!$$742)</f>
      </c>
      <c r="CN742">
        <f>IF(ISBLANK('Data Entry'!$$742), "", 'Data Entry'!$$742)</f>
      </c>
      <c r="CO742">
        <f>IF(ISBLANK('Data Entry'!$$742), "", 'Data Entry'!$$742)</f>
      </c>
      <c r="CP742">
        <f>IF(ISBLANK('Data Entry'!$$742), "", 'Data Entry'!$$742)</f>
      </c>
      <c r="CQ742">
        <f>IF(ISBLANK('Data Entry'!$$742), "", 'Data Entry'!$$742)</f>
      </c>
      <c r="CR742">
        <f>IF(ISBLANK('Data Entry'!$ $742), "", 'Data Entry'!$ $742)</f>
      </c>
      <c r="CS742">
        <f>IF(ISBLANK('Data Entry'!$¡$742), "", 'Data Entry'!$¡$742)</f>
      </c>
      <c r="CT742">
        <f>IF(ISBLANK('Data Entry'!$¢$742), "", 'Data Entry'!$¢$742)</f>
      </c>
      <c r="CU742">
        <f>IF(ISBLANK('Data Entry'!$£$742), "", 'Data Entry'!$£$742)</f>
      </c>
      <c r="CV742">
        <f>IF(ISBLANK('Data Entry'!$¤$742), "", 'Data Entry'!$¤$742)</f>
      </c>
      <c r="CW742">
        <f>IF(ISBLANK('Data Entry'!$¥$742), "", 'Data Entry'!$¥$742)</f>
      </c>
      <c r="CX742">
        <f>IF(ISBLANK('Data Entry'!$¦$742), "", 'Data Entry'!$¦$742)</f>
      </c>
      <c r="CY742">
        <f>IF(ISBLANK('Data Entry'!$§$742), "", 'Data Entry'!$§$742)</f>
      </c>
      <c r="CZ742">
        <f>IF(ISBLANK('Data Entry'!$¨$742), "", 'Data Entry'!$¨$742)</f>
      </c>
      <c r="DA742">
        <f>IF(ISBLANK('Data Entry'!$©$742), "", 'Data Entry'!$©$742)</f>
      </c>
      <c r="DB742">
        <f>IF(ISBLANK('Data Entry'!$ª$742), "", 'Data Entry'!$ª$742)</f>
      </c>
      <c r="DC742">
        <f>IF(ISBLANK('Data Entry'!$«$742), "", 'Data Entry'!$«$742)</f>
      </c>
      <c r="DD742">
        <f>IF(ISBLANK('Data Entry'!$¬$742), "", 'Data Entry'!$¬$742)</f>
      </c>
      <c r="DE742">
        <f>IF(ISBLANK('Data Entry'!$­$742), "", 'Data Entry'!$­$742)</f>
      </c>
      <c r="DF742">
        <f>IF(ISBLANK('Data Entry'!$®$742), "", 'Data Entry'!$®$742)</f>
      </c>
      <c r="DG742">
        <f>IF(ISBLANK('Data Entry'!$¯$742), "", 'Data Entry'!$¯$742)</f>
      </c>
      <c r="DH742">
        <f>IF(ISBLANK('Data Entry'!$°$742), "", 'Data Entry'!$°$742)</f>
      </c>
      <c r="DI742">
        <f>IF(ISBLANK('Data Entry'!$±$742), "", 'Data Entry'!$±$742)</f>
      </c>
      <c r="DJ742">
        <f>IF(ISBLANK('Data Entry'!$²$742), "", 'Data Entry'!$²$742)</f>
      </c>
      <c r="DK742">
        <f>IF(ISBLANK('Data Entry'!$³$742), "", 'Data Entry'!$³$742)</f>
      </c>
      <c r="DL742">
        <f>IF(ISBLANK('Data Entry'!$´$742), "", 'Data Entry'!$´$742)</f>
      </c>
      <c r="DM742">
        <f>IF(ISBLANK('Data Entry'!$µ$742), "", 'Data Entry'!$µ$742)</f>
      </c>
      <c r="DN742">
        <f>IF(ISBLANK('Data Entry'!$¶$742), "", 'Data Entry'!$¶$742)</f>
      </c>
      <c r="DO742">
        <f>IF(ISBLANK('Data Entry'!$·$742), "", 'Data Entry'!$·$742)</f>
      </c>
      <c r="DP742">
        <f>IF(ISBLANK('Data Entry'!$¸$742), "", 'Data Entry'!$¸$742)</f>
      </c>
      <c r="DQ742">
        <f>IF(ISBLANK('Data Entry'!$¹$742), "", 'Data Entry'!$¹$742)</f>
      </c>
      <c r="DR742">
        <f>IF(ISBLANK('Data Entry'!$º$742), "", 'Data Entry'!$º$742)</f>
      </c>
      <c r="DS742">
        <f>IF(ISBLANK('Data Entry'!$»$742), "", 'Data Entry'!$»$742)</f>
      </c>
      <c r="DT742">
        <f>IF(ISBLANK('Data Entry'!$¼$742), "", 'Data Entry'!$¼$742)</f>
      </c>
      <c r="DU742">
        <f>IF(ISBLANK('Data Entry'!$½$742), "", 'Data Entry'!$½$742)</f>
      </c>
      <c r="DV742">
        <f>IF(ISBLANK('Data Entry'!$¾$742), "", 'Data Entry'!$¾$742)</f>
      </c>
      <c r="DW742">
        <f>IF(ISBLANK('Data Entry'!$¿$742), "", 'Data Entry'!$¿$742)</f>
      </c>
      <c r="DX742">
        <f>IF(ISBLANK('Data Entry'!$À$742), "", 'Data Entry'!$À$742)</f>
      </c>
      <c r="DY742">
        <f>IF(ISBLANK('Data Entry'!$Á$742), "", 'Data Entry'!$Á$742)</f>
      </c>
      <c r="DZ742">
        <f>IF(ISBLANK('Data Entry'!$Â$742), "", 'Data Entry'!$Â$742)</f>
      </c>
      <c r="EA742">
        <f>IF(ISBLANK('Data Entry'!$Ã$742), "", 'Data Entry'!$Ã$742)</f>
      </c>
      <c r="EB742">
        <f>IF(ISBLANK('Data Entry'!$Ä$742), "", 'Data Entry'!$Ä$742)</f>
      </c>
      <c r="EC742">
        <f>IF(ISBLANK('Data Entry'!$Å$742), "", 'Data Entry'!$Å$742)</f>
      </c>
      <c r="ED742">
        <f>IF(ISBLANK('Data Entry'!$Æ$742), "", 'Data Entry'!$Æ$742)</f>
      </c>
      <c r="EE742">
        <f>IF(ISBLANK('Data Entry'!$Ç$742), "", 'Data Entry'!$Ç$742)</f>
      </c>
      <c r="EF742">
        <f>IF(ISBLANK('Data Entry'!$È$742), "", 'Data Entry'!$È$742)</f>
      </c>
      <c r="EG742">
        <f>IF(ISBLANK('Data Entry'!$É$742), "", 'Data Entry'!$É$742)</f>
      </c>
      <c r="EH742">
        <f>IF(ISBLANK('Data Entry'!$Ê$742), "", 'Data Entry'!$Ê$742)</f>
      </c>
      <c r="EI742">
        <f>IF(ISBLANK('Data Entry'!$Ë$742), "", 'Data Entry'!$Ë$742)</f>
      </c>
      <c r="EJ742">
        <f>IF(ISBLANK('Data Entry'!$Ì$742), "", 'Data Entry'!$Ì$742)</f>
      </c>
      <c r="EK742">
        <f>IF(ISBLANK('Data Entry'!$Í$742), "", 'Data Entry'!$Í$742)</f>
      </c>
      <c r="EL742">
        <f>IF(ISBLANK('Data Entry'!$Î$742), "", 'Data Entry'!$Î$742)</f>
      </c>
      <c r="EM742">
        <f>IF(ISBLANK('Data Entry'!$Ï$742), "", 'Data Entry'!$Ï$742)</f>
      </c>
      <c r="EN742">
        <f>IF(ISBLANK('Data Entry'!$Ð$742), "", 'Data Entry'!$Ð$742)</f>
      </c>
      <c r="EO742">
        <f>IF(ISBLANK('Data Entry'!$Ñ$742), "", 'Data Entry'!$Ñ$742)</f>
      </c>
      <c r="EP742">
        <f>IF(ISBLANK('Data Entry'!$Ò$742), "", 'Data Entry'!$Ò$742)</f>
      </c>
      <c r="EQ742">
        <f>IF(ISBLANK('Data Entry'!$Ó$742), "", 'Data Entry'!$Ó$742)</f>
      </c>
      <c r="ER742">
        <f>IF(ISBLANK('Data Entry'!$Ô$742), "", 'Data Entry'!$Ô$742)</f>
      </c>
      <c r="ES742">
        <f>IF(ISBLANK('Data Entry'!$Õ$742), "", 'Data Entry'!$Õ$742)</f>
      </c>
      <c r="ET742">
        <f>IF(ISBLANK('Data Entry'!$Ö$742), "", 'Data Entry'!$Ö$742)</f>
      </c>
      <c r="EU742">
        <f>IF(ISBLANK('Data Entry'!$×$742), "", 'Data Entry'!$×$742)</f>
      </c>
      <c r="EV742">
        <f>IF(ISBLANK('Data Entry'!$Ø$742), "", 'Data Entry'!$Ø$742)</f>
      </c>
      <c r="EW742">
        <f>IF(ISBLANK('Data Entry'!$Ù$742), "", 'Data Entry'!$Ù$742)</f>
      </c>
      <c r="EX742">
        <f>IF(ISBLANK('Data Entry'!$Ú$742), "", 'Data Entry'!$Ú$742)</f>
      </c>
      <c r="EY742">
        <f>IF(ISBLANK('Data Entry'!$Û$742), "", 'Data Entry'!$Û$742)</f>
      </c>
      <c r="EZ742">
        <f>IF(ISBLANK('Data Entry'!$Ü$742), "", 'Data Entry'!$Ü$742)</f>
      </c>
      <c r="FA742">
        <f>IF(ISBLANK('Data Entry'!$Ý$742), "", 'Data Entry'!$Ý$742)</f>
      </c>
      <c r="FB742">
        <f>IF(ISBLANK('Data Entry'!$Þ$742), "", 'Data Entry'!$Þ$742)</f>
      </c>
      <c r="FC742">
        <f>IF(ISBLANK('Data Entry'!$ß$742), "", 'Data Entry'!$ß$742)</f>
      </c>
      <c r="FD742">
        <f>IF(ISBLANK('Data Entry'!$à$742), "", 'Data Entry'!$à$742)</f>
      </c>
      <c r="FE742">
        <f>IF(ISBLANK('Data Entry'!$á$742), "", 'Data Entry'!$á$742)</f>
      </c>
      <c r="FF742">
        <f>IF(ISBLANK('Data Entry'!$â$742), "", 'Data Entry'!$â$742)</f>
      </c>
      <c r="FG742">
        <f>IF(ISBLANK('Data Entry'!$ã$742), "", 'Data Entry'!$ã$742)</f>
      </c>
      <c r="FH742">
        <f>IF(ISBLANK('Data Entry'!$ä$742), "", 'Data Entry'!$ä$742)</f>
      </c>
      <c r="FI742">
        <f>IF(ISBLANK('Data Entry'!$å$742), "", 'Data Entry'!$å$742)</f>
      </c>
      <c r="FJ742">
        <f>IF(ISBLANK('Data Entry'!$æ$742), "", 'Data Entry'!$æ$742)</f>
      </c>
      <c r="FK742">
        <f>IF(ISBLANK('Data Entry'!$ç$742), "", 'Data Entry'!$ç$742)</f>
      </c>
      <c r="FL742">
        <f>IF(ISBLANK('Data Entry'!$è$742), "", 'Data Entry'!$è$742)</f>
      </c>
      <c r="FM742">
        <f>IF(ISBLANK('Data Entry'!$é$742), "", 'Data Entry'!$é$742)</f>
      </c>
      <c r="FN742">
        <f>IF(ISBLANK('Data Entry'!$ê$742), "", 'Data Entry'!$ê$742)</f>
      </c>
      <c r="FO742">
        <f>IF(ISBLANK('Data Entry'!$ë$742), "", 'Data Entry'!$ë$742)</f>
      </c>
      <c r="FP742">
        <f>IF(ISBLANK('Data Entry'!$ì$742), "", 'Data Entry'!$ì$742)</f>
      </c>
      <c r="FQ742">
        <f>IF(ISBLANK('Data Entry'!$í$742), "", 'Data Entry'!$í$742)</f>
      </c>
      <c r="FR742">
        <f>IF(ISBLANK('Data Entry'!$î$742), "", 'Data Entry'!$î$742)</f>
      </c>
      <c r="FS742">
        <f>IF(ISBLANK('Data Entry'!$ï$742), "", 'Data Entry'!$ï$742)</f>
      </c>
      <c r="FT742">
        <f>IF(ISBLANK('Data Entry'!$ð$742), "", 'Data Entry'!$ð$742)</f>
      </c>
      <c r="FU742">
        <f>IF(ISBLANK('Data Entry'!$ñ$742), "", 'Data Entry'!$ñ$742)</f>
      </c>
      <c r="FV742">
        <f>IF(ISBLANK('Data Entry'!$ò$742), "", 'Data Entry'!$ò$742)</f>
      </c>
      <c r="FW742">
        <f>IF(ISBLANK('Data Entry'!$ó$742), "", 'Data Entry'!$ó$742)</f>
      </c>
      <c r="FX742">
        <f>IF(ISBLANK('Data Entry'!$ô$742), "", 'Data Entry'!$ô$742)</f>
      </c>
      <c r="FY742">
        <f>IF(ISBLANK('Data Entry'!$õ$742), "", 'Data Entry'!$õ$742)</f>
      </c>
      <c r="FZ742">
        <f>IF(ISBLANK('Data Entry'!$ö$742), "", 'Data Entry'!$ö$742)</f>
      </c>
      <c r="GA742">
        <f>IF(ISBLANK('Data Entry'!$÷$742), "", 'Data Entry'!$÷$742)</f>
      </c>
      <c r="GB742">
        <f>IF(ISBLANK('Data Entry'!$ø$742), "", 'Data Entry'!$ø$742)</f>
      </c>
      <c r="GC742">
        <f>IF(ISBLANK('Data Entry'!$ù$742), "", 'Data Entry'!$ù$742)</f>
      </c>
      <c r="GD742">
        <f>IF(ISBLANK('Data Entry'!$ú$742), "", 'Data Entry'!$ú$742)</f>
      </c>
      <c r="GE742">
        <f>IF(ISBLANK('Data Entry'!$û$742), "", 'Data Entry'!$û$742)</f>
      </c>
      <c r="GF742">
        <f>IF(ISBLANK('Data Entry'!$ü$742), "", 'Data Entry'!$ü$742)</f>
      </c>
      <c r="GG742">
        <f>IF(ISBLANK('Data Entry'!$ý$742), "", 'Data Entry'!$ý$742)</f>
      </c>
      <c r="GH742">
        <f>IF(ISBLANK('Data Entry'!$þ$742), "", 'Data Entry'!$þ$742)</f>
      </c>
      <c r="GI742">
        <f>IF(ISBLANK('Data Entry'!$ÿ$742), "", 'Data Entry'!$ÿ$742)</f>
      </c>
      <c r="GJ742">
        <f>IF(ISBLANK('Data Entry'!$Ā$742), "", 'Data Entry'!$Ā$742)</f>
      </c>
      <c r="GK742">
        <f>IF(ISBLANK('Data Entry'!$ā$742), "", 'Data Entry'!$ā$742)</f>
      </c>
      <c r="GL742">
        <f>IF(ISBLANK('Data Entry'!$Ă$742), "", 'Data Entry'!$Ă$742)</f>
      </c>
      <c r="GM742">
        <f>IF(ISBLANK('Data Entry'!$ă$742), "", 'Data Entry'!$ă$742)</f>
      </c>
      <c r="GN742">
        <f>IF(ISBLANK('Data Entry'!$Ą$742), "", 'Data Entry'!$Ą$742)</f>
      </c>
      <c r="GO742">
        <f>IF(ISBLANK('Data Entry'!$ą$742), "", 'Data Entry'!$ą$742)</f>
      </c>
      <c r="GP742">
        <f>IF(ISBLANK('Data Entry'!$Ć$742), "", 'Data Entry'!$Ć$742)</f>
      </c>
      <c r="GQ742">
        <f>IF(ISBLANK('Data Entry'!$ć$742), "", 'Data Entry'!$ć$742)</f>
      </c>
      <c r="GR742">
        <f>IF(ISBLANK('Data Entry'!$Ĉ$742), "", 'Data Entry'!$Ĉ$742)</f>
      </c>
      <c r="GS742">
        <f>IF(ISBLANK('Data Entry'!$ĉ$742), "", 'Data Entry'!$ĉ$742)</f>
      </c>
      <c r="GT742">
        <f>IF(ISBLANK('Data Entry'!$Ċ$742), "", 'Data Entry'!$Ċ$742)</f>
      </c>
      <c r="GU742">
        <f>IF(ISBLANK('Data Entry'!$ċ$742), "", 'Data Entry'!$ċ$742)</f>
      </c>
      <c r="GV742">
        <f>IF(ISBLANK('Data Entry'!$Č$742), "", 'Data Entry'!$Č$742)</f>
      </c>
      <c r="GW742">
        <f>IF(ISBLANK('Data Entry'!$č$742), "", 'Data Entry'!$č$742)</f>
      </c>
      <c r="GX742">
        <f>IF(ISBLANK('Data Entry'!$Ď$742), "", 'Data Entry'!$Ď$742)</f>
      </c>
      <c r="GY742">
        <f>IF(ISBLANK('Data Entry'!$ď$742), "", 'Data Entry'!$ď$742)</f>
      </c>
      <c r="GZ742">
        <f>IF(ISBLANK('Data Entry'!$Đ$742), "", 'Data Entry'!$Đ$742)</f>
      </c>
      <c r="HA742">
        <f>IF(ISBLANK('Data Entry'!$đ$742), "", 'Data Entry'!$đ$742)</f>
      </c>
      <c r="HB742">
        <f>IF(ISBLANK('Data Entry'!$Ē$742), "", 'Data Entry'!$Ē$742)</f>
      </c>
      <c r="HC742">
        <f>IF(ISBLANK('Data Entry'!$ē$742), "", 'Data Entry'!$ē$742)</f>
      </c>
      <c r="HD742">
        <f>IF(ISBLANK('Data Entry'!$Ĕ$742), "", 'Data Entry'!$Ĕ$742)</f>
      </c>
      <c r="HE742">
        <f>IF(ISBLANK('Data Entry'!$ĕ$742), "", 'Data Entry'!$ĕ$742)</f>
      </c>
      <c r="HF742">
        <f>IF(ISBLANK('Data Entry'!$Ė$742), "", 'Data Entry'!$Ė$742)</f>
      </c>
      <c r="HG742">
        <f>IF(ISBLANK('Data Entry'!$ė$742), "", 'Data Entry'!$ė$742)</f>
      </c>
      <c r="HH742">
        <f>IF(ISBLANK('Data Entry'!$Ę$742), "", 'Data Entry'!$Ę$742)</f>
      </c>
      <c r="HI742">
        <f>IF(ISBLANK('Data Entry'!$ę$742), "", 'Data Entry'!$ę$742)</f>
      </c>
      <c r="HJ742">
        <f>IF(ISBLANK('Data Entry'!$Ě$742), "", 'Data Entry'!$Ě$742)</f>
      </c>
      <c r="HK742">
        <f>IF(ISBLANK('Data Entry'!$ě$742), "", 'Data Entry'!$ě$742)</f>
      </c>
      <c r="HL742">
        <f>IF(ISBLANK('Data Entry'!$Ĝ$742), "", 'Data Entry'!$Ĝ$742)</f>
      </c>
      <c r="HM742">
        <f>IF(ISBLANK('Data Entry'!$ĝ$742), "", 'Data Entry'!$ĝ$742)</f>
      </c>
      <c r="HN742">
        <f>IF(ISBLANK('Data Entry'!$Ğ$742), "", 'Data Entry'!$Ğ$742)</f>
      </c>
      <c r="HO742">
        <f>IF(ISBLANK('Data Entry'!$ğ$742), "", 'Data Entry'!$ğ$742)</f>
      </c>
      <c r="HP742">
        <f>IF(ISBLANK('Data Entry'!$Ġ$742), "", 'Data Entry'!$Ġ$742)</f>
      </c>
      <c r="HQ742">
        <f>IF(ISBLANK('Data Entry'!$ġ$742), "", 'Data Entry'!$ġ$742)</f>
      </c>
      <c r="HR742">
        <f>IF(ISBLANK('Data Entry'!$Ģ$742), "", 'Data Entry'!$Ģ$742)</f>
      </c>
      <c r="HS742">
        <f>IF(ISBLANK('Data Entry'!$ģ$742), "", 'Data Entry'!$ģ$742)</f>
      </c>
      <c r="HT742">
        <f>IF(ISBLANK('Data Entry'!$Ĥ$742), "", 'Data Entry'!$Ĥ$742)</f>
      </c>
      <c r="HU742">
        <f>IF(ISBLANK('Data Entry'!$ĥ$742), "", 'Data Entry'!$ĥ$742)</f>
      </c>
      <c r="HV742">
        <f>IF(ISBLANK('Data Entry'!$Ħ$742), "", 'Data Entry'!$Ħ$742)</f>
      </c>
      <c r="HW742">
        <f>IF(ISBLANK('Data Entry'!$ħ$742), "", 'Data Entry'!$ħ$742)</f>
      </c>
      <c r="HX742">
        <f>IF(ISBLANK('Data Entry'!$Ĩ$742), "", 'Data Entry'!$Ĩ$742)</f>
      </c>
      <c r="HY742">
        <f>IF(ISBLANK('Data Entry'!$ĩ$742), "", 'Data Entry'!$ĩ$742)</f>
      </c>
      <c r="HZ742">
        <f>IF(ISBLANK('Data Entry'!$Ī$742), "", 'Data Entry'!$Ī$742)</f>
      </c>
      <c r="IA742">
        <f>IF(ISBLANK('Data Entry'!$ī$742), "", 'Data Entry'!$ī$742)</f>
      </c>
      <c r="IB742">
        <f>IF(ISBLANK('Data Entry'!$Ĭ$742), "", 'Data Entry'!$Ĭ$742)</f>
      </c>
      <c r="IC742">
        <f>IF(ISBLANK('Data Entry'!$ĭ$742), "", 'Data Entry'!$ĭ$742)</f>
      </c>
      <c r="ID742">
        <f>IF(ISBLANK('Data Entry'!$Į$742), "", 'Data Entry'!$Į$742)</f>
      </c>
      <c r="IE742">
        <f>IF(ISBLANK('Data Entry'!$į$742), "", 'Data Entry'!$į$742)</f>
      </c>
      <c r="IF742">
        <f>IF(ISBLANK('Data Entry'!$İ$742), "", 'Data Entry'!$İ$742)</f>
      </c>
      <c r="IG742">
        <f>IF(ISBLANK('Data Entry'!$ı$742), "", 'Data Entry'!$ı$742)</f>
      </c>
      <c r="IH742">
        <f>IF(ISBLANK('Data Entry'!$Ĳ$742), "", 'Data Entry'!$Ĳ$742)</f>
      </c>
      <c r="II742">
        <f>IF(ISBLANK('Data Entry'!$ĳ$742), "", 'Data Entry'!$ĳ$742)</f>
      </c>
      <c r="IJ742">
        <f>IF(ISBLANK('Data Entry'!$Ĵ$742), "", 'Data Entry'!$Ĵ$742)</f>
      </c>
      <c r="IK742">
        <f>IF(ISBLANK('Data Entry'!$ĵ$742), "", 'Data Entry'!$ĵ$742)</f>
      </c>
      <c r="IL742">
        <f>IF(ISBLANK('Data Entry'!$Ķ$742), "", 'Data Entry'!$Ķ$742)</f>
      </c>
      <c r="IM742">
        <f>IF(ISBLANK('Data Entry'!$ķ$742), "", 'Data Entry'!$ķ$742)</f>
      </c>
      <c r="IN742">
        <f>IF(ISBLANK('Data Entry'!$ĸ$742), "", 'Data Entry'!$ĸ$742)</f>
      </c>
      <c r="IO742">
        <f>IF(ISBLANK('Data Entry'!$Ĺ$742), "", 'Data Entry'!$Ĺ$742)</f>
      </c>
      <c r="IP742">
        <f>IF(ISBLANK('Data Entry'!$ĺ$742), "", 'Data Entry'!$ĺ$742)</f>
      </c>
      <c r="IQ742">
        <f>IF(ISBLANK('Data Entry'!$Ļ$742), "", 'Data Entry'!$Ļ$742)</f>
      </c>
      <c r="IR742">
        <f>IF(ISBLANK('Data Entry'!$ļ$742), "", 'Data Entry'!$ļ$742)</f>
      </c>
      <c r="IS742">
        <f>IF(ISBLANK('Data Entry'!$Ľ$742), "", 'Data Entry'!$Ľ$742)</f>
      </c>
      <c r="IT742">
        <f>IF(ISBLANK('Data Entry'!$ľ$742), "", 'Data Entry'!$ľ$742)</f>
      </c>
    </row>
    <row r="743" spans="1:254" x14ac:dyDescent="0.25">
      <c r="A743">
        <f>IF(ISBLANK('Data Entry'!$A$743), "", 'Data Entry'!$A$743)</f>
      </c>
      <c r="B743">
        <f>IF(ISBLANK('Data Entry'!$B$743), "", 'Data Entry'!$B$743)</f>
      </c>
      <c r="C743">
        <f>IF(ISBLANK('Data Entry'!$C$743), "", 'Data Entry'!$C$743)</f>
      </c>
      <c r="D743">
        <f>IF(ISBLANK('Data Entry'!$D$743), "", 'Data Entry'!$D$743)</f>
      </c>
      <c r="E743">
        <f>IF(ISBLANK('Data Entry'!$E$743), "", 'Data Entry'!$E$743)</f>
      </c>
      <c r="F743">
        <f>IF(ISBLANK('Data Entry'!$F$743), "", 'Data Entry'!$F$743)</f>
      </c>
      <c r="G743">
        <f>IF(ISBLANK('Data Entry'!$G$743), "", 'Data Entry'!$G$743)</f>
      </c>
      <c r="H743">
        <f>IF(ISBLANK('Data Entry'!$H$743), "", 'Data Entry'!$H$743)</f>
      </c>
      <c r="I743">
        <f>IF(ISBLANK('Data Entry'!$I$743), "", 'Data Entry'!$I$743)</f>
      </c>
      <c r="J743">
        <f>IF(ISBLANK('Data Entry'!$J$743), "", 'Data Entry'!$J$743)</f>
      </c>
      <c r="K743">
        <f>IF(ISBLANK('Data Entry'!$K$743), "", 'Data Entry'!$K$743)</f>
      </c>
      <c r="L743">
        <f>IF(ISBLANK('Data Entry'!$L$743), "", 'Data Entry'!$L$743)</f>
      </c>
      <c r="M743">
        <f>IF(ISBLANK('Data Entry'!$M$743), "", 'Data Entry'!$M$743)</f>
      </c>
      <c r="N743">
        <f>IF(ISBLANK('Data Entry'!$N$743), "", 'Data Entry'!$N$743)</f>
      </c>
      <c r="O743">
        <f>IF(ISBLANK('Data Entry'!$O$743), "", 'Data Entry'!$O$743)</f>
      </c>
      <c r="P743">
        <f>IF(ISBLANK('Data Entry'!$P$743), "", 'Data Entry'!$P$743)</f>
      </c>
      <c r="Q743">
        <f>IF(ISBLANK('Data Entry'!$Q$743), "", 'Data Entry'!$Q$743)</f>
      </c>
      <c r="R743">
        <f>IF(ISBLANK('Data Entry'!$R$743), "", 'Data Entry'!$R$743)</f>
      </c>
      <c r="S743">
        <f>IF(ISBLANK('Data Entry'!$S$743), "", 'Data Entry'!$S$743)</f>
      </c>
      <c r="T743">
        <f>IF(ISBLANK('Data Entry'!$T$743), "", 'Data Entry'!$T$743)</f>
      </c>
      <c r="U743">
        <f>IF(ISBLANK('Data Entry'!$U$743), "", 'Data Entry'!$U$743)</f>
      </c>
      <c r="V743">
        <f>IF(ISBLANK('Data Entry'!$V$743), "", 'Data Entry'!$V$743)</f>
      </c>
      <c r="W743">
        <f>IF(ISBLANK('Data Entry'!$W$743), "", 'Data Entry'!$W$743)</f>
      </c>
      <c r="X743">
        <f>IF(ISBLANK('Data Entry'!$X$743), "", 'Data Entry'!$X$743)</f>
      </c>
      <c r="Y743">
        <f>IF(ISBLANK('Data Entry'!$Y$743), "", 'Data Entry'!$Y$743)</f>
      </c>
      <c r="Z743">
        <f>IF(ISBLANK('Data Entry'!$Z$743), "", 'Data Entry'!$Z$743)</f>
      </c>
      <c r="AA743">
        <f>IF(ISBLANK('Data Entry'!$[$743), "", 'Data Entry'!$[$743)</f>
      </c>
      <c r="AB743">
        <f>IF(ISBLANK('Data Entry'!$\$743), "", 'Data Entry'!$\$743)</f>
      </c>
      <c r="AC743">
        <f>IF(ISBLANK('Data Entry'!$]$743), "", 'Data Entry'!$]$743)</f>
      </c>
      <c r="AD743">
        <f>IF(ISBLANK('Data Entry'!$^$743), "", 'Data Entry'!$^$743)</f>
      </c>
      <c r="AE743">
        <f>IF(ISBLANK('Data Entry'!$_$743), "", 'Data Entry'!$_$743)</f>
      </c>
      <c r="AF743">
        <f>IF(ISBLANK('Data Entry'!$`$743), "", 'Data Entry'!$`$743)</f>
      </c>
      <c r="AG743">
        <f>IF(ISBLANK('Data Entry'!$a$743), "", 'Data Entry'!$a$743)</f>
      </c>
      <c r="AH743">
        <f>IF(ISBLANK('Data Entry'!$b$743), "", 'Data Entry'!$b$743)</f>
      </c>
      <c r="AI743">
        <f>IF(ISBLANK('Data Entry'!$c$743), "", 'Data Entry'!$c$743)</f>
      </c>
      <c r="AJ743">
        <f>IF(ISBLANK('Data Entry'!$d$743), "", 'Data Entry'!$d$743)</f>
      </c>
      <c r="AK743">
        <f>IF(ISBLANK('Data Entry'!$e$743), "", 'Data Entry'!$e$743)</f>
      </c>
      <c r="AL743">
        <f>IF(ISBLANK('Data Entry'!$f$743), "", 'Data Entry'!$f$743)</f>
      </c>
      <c r="AM743">
        <f>IF(ISBLANK('Data Entry'!$g$743), "", 'Data Entry'!$g$743)</f>
      </c>
      <c r="AN743">
        <f>IF(ISBLANK('Data Entry'!$h$743), "", 'Data Entry'!$h$743)</f>
      </c>
      <c r="AO743">
        <f>IF(ISBLANK('Data Entry'!$i$743), "", 'Data Entry'!$i$743)</f>
      </c>
      <c r="AP743">
        <f>IF(ISBLANK('Data Entry'!$j$743), "", 'Data Entry'!$j$743)</f>
      </c>
      <c r="AQ743">
        <f>IF(ISBLANK('Data Entry'!$k$743), "", 'Data Entry'!$k$743)</f>
      </c>
      <c r="AR743">
        <f>IF(ISBLANK('Data Entry'!$l$743), "", 'Data Entry'!$l$743)</f>
      </c>
      <c r="AS743">
        <f>IF(ISBLANK('Data Entry'!$m$743), "", 'Data Entry'!$m$743)</f>
      </c>
      <c r="AT743">
        <f>IF(ISBLANK('Data Entry'!$n$743), "", 'Data Entry'!$n$743)</f>
      </c>
      <c r="AU743">
        <f>IF(ISBLANK('Data Entry'!$o$743), "", 'Data Entry'!$o$743)</f>
      </c>
      <c r="AV743">
        <f>IF(ISBLANK('Data Entry'!$p$743), "", 'Data Entry'!$p$743)</f>
      </c>
      <c r="AW743">
        <f>IF(ISBLANK('Data Entry'!$q$743), "", 'Data Entry'!$q$743)</f>
      </c>
      <c r="AX743">
        <f>IF(ISBLANK('Data Entry'!$r$743), "", 'Data Entry'!$r$743)</f>
      </c>
      <c r="AY743">
        <f>IF(ISBLANK('Data Entry'!$s$743), "", 'Data Entry'!$s$743)</f>
      </c>
      <c r="AZ743">
        <f>IF(ISBLANK('Data Entry'!$t$743), "", 'Data Entry'!$t$743)</f>
      </c>
      <c r="BA743">
        <f>IF(ISBLANK('Data Entry'!$u$743), "", 'Data Entry'!$u$743)</f>
      </c>
      <c r="BB743">
        <f>IF(ISBLANK('Data Entry'!$v$743), "", 'Data Entry'!$v$743)</f>
      </c>
      <c r="BC743">
        <f>IF(ISBLANK('Data Entry'!$w$743), "", 'Data Entry'!$w$743)</f>
      </c>
      <c r="BD743">
        <f>IF(ISBLANK('Data Entry'!$x$743), "", 'Data Entry'!$x$743)</f>
      </c>
      <c r="BE743">
        <f>IF(ISBLANK('Data Entry'!$y$743), "", 'Data Entry'!$y$743)</f>
      </c>
      <c r="BF743">
        <f>IF(ISBLANK('Data Entry'!$z$743), "", 'Data Entry'!$z$743)</f>
      </c>
      <c r="BG743">
        <f>IF(ISBLANK('Data Entry'!${$743), "", 'Data Entry'!${$743)</f>
      </c>
      <c r="BH743">
        <f>IF(ISBLANK('Data Entry'!$|$743), "", 'Data Entry'!$|$743)</f>
      </c>
      <c r="BI743">
        <f>IF(ISBLANK('Data Entry'!$}$743), "", 'Data Entry'!$}$743)</f>
      </c>
      <c r="BJ743">
        <f>IF(ISBLANK('Data Entry'!$~$743), "", 'Data Entry'!$~$743)</f>
      </c>
      <c r="BK743">
        <f>IF(ISBLANK('Data Entry'!$$743), "", 'Data Entry'!$$743)</f>
      </c>
      <c r="BL743">
        <f>IF(ISBLANK('Data Entry'!$$743), "", 'Data Entry'!$$743)</f>
      </c>
      <c r="BM743">
        <f>IF(ISBLANK('Data Entry'!$$743), "", 'Data Entry'!$$743)</f>
      </c>
      <c r="BN743">
        <f>IF(ISBLANK('Data Entry'!$$743), "", 'Data Entry'!$$743)</f>
      </c>
      <c r="BO743">
        <f>IF(ISBLANK('Data Entry'!$$743), "", 'Data Entry'!$$743)</f>
      </c>
      <c r="BP743">
        <f>IF(ISBLANK('Data Entry'!$$743), "", 'Data Entry'!$$743)</f>
      </c>
      <c r="BQ743">
        <f>IF(ISBLANK('Data Entry'!$$743), "", 'Data Entry'!$$743)</f>
      </c>
      <c r="BR743">
        <f>IF(ISBLANK('Data Entry'!$$743), "", 'Data Entry'!$$743)</f>
      </c>
      <c r="BS743">
        <f>IF(ISBLANK('Data Entry'!$$743), "", 'Data Entry'!$$743)</f>
      </c>
      <c r="BT743">
        <f>IF(ISBLANK('Data Entry'!$$743), "", 'Data Entry'!$$743)</f>
      </c>
      <c r="BU743">
        <f>IF(ISBLANK('Data Entry'!$$743), "", 'Data Entry'!$$743)</f>
      </c>
      <c r="BV743">
        <f>IF(ISBLANK('Data Entry'!$$743), "", 'Data Entry'!$$743)</f>
      </c>
      <c r="BW743">
        <f>IF(ISBLANK('Data Entry'!$$743), "", 'Data Entry'!$$743)</f>
      </c>
      <c r="BX743">
        <f>IF(ISBLANK('Data Entry'!$$743), "", 'Data Entry'!$$743)</f>
      </c>
      <c r="BY743">
        <f>IF(ISBLANK('Data Entry'!$$743), "", 'Data Entry'!$$743)</f>
      </c>
      <c r="BZ743">
        <f>IF(ISBLANK('Data Entry'!$$743), "", 'Data Entry'!$$743)</f>
      </c>
      <c r="CA743">
        <f>IF(ISBLANK('Data Entry'!$$743), "", 'Data Entry'!$$743)</f>
      </c>
      <c r="CB743">
        <f>IF(ISBLANK('Data Entry'!$$743), "", 'Data Entry'!$$743)</f>
      </c>
      <c r="CC743">
        <f>IF(ISBLANK('Data Entry'!$$743), "", 'Data Entry'!$$743)</f>
      </c>
      <c r="CD743">
        <f>IF(ISBLANK('Data Entry'!$$743), "", 'Data Entry'!$$743)</f>
      </c>
      <c r="CE743">
        <f>IF(ISBLANK('Data Entry'!$$743), "", 'Data Entry'!$$743)</f>
      </c>
      <c r="CF743">
        <f>IF(ISBLANK('Data Entry'!$$743), "", 'Data Entry'!$$743)</f>
      </c>
      <c r="CG743">
        <f>IF(ISBLANK('Data Entry'!$$743), "", 'Data Entry'!$$743)</f>
      </c>
      <c r="CH743">
        <f>IF(ISBLANK('Data Entry'!$$743), "", 'Data Entry'!$$743)</f>
      </c>
      <c r="CI743">
        <f>IF(ISBLANK('Data Entry'!$$743), "", 'Data Entry'!$$743)</f>
      </c>
      <c r="CJ743">
        <f>IF(ISBLANK('Data Entry'!$$743), "", 'Data Entry'!$$743)</f>
      </c>
      <c r="CK743">
        <f>IF(ISBLANK('Data Entry'!$$743), "", 'Data Entry'!$$743)</f>
      </c>
      <c r="CL743">
        <f>IF(ISBLANK('Data Entry'!$$743), "", 'Data Entry'!$$743)</f>
      </c>
      <c r="CM743">
        <f>IF(ISBLANK('Data Entry'!$$743), "", 'Data Entry'!$$743)</f>
      </c>
      <c r="CN743">
        <f>IF(ISBLANK('Data Entry'!$$743), "", 'Data Entry'!$$743)</f>
      </c>
      <c r="CO743">
        <f>IF(ISBLANK('Data Entry'!$$743), "", 'Data Entry'!$$743)</f>
      </c>
      <c r="CP743">
        <f>IF(ISBLANK('Data Entry'!$$743), "", 'Data Entry'!$$743)</f>
      </c>
      <c r="CQ743">
        <f>IF(ISBLANK('Data Entry'!$$743), "", 'Data Entry'!$$743)</f>
      </c>
      <c r="CR743">
        <f>IF(ISBLANK('Data Entry'!$ $743), "", 'Data Entry'!$ $743)</f>
      </c>
      <c r="CS743">
        <f>IF(ISBLANK('Data Entry'!$¡$743), "", 'Data Entry'!$¡$743)</f>
      </c>
      <c r="CT743">
        <f>IF(ISBLANK('Data Entry'!$¢$743), "", 'Data Entry'!$¢$743)</f>
      </c>
      <c r="CU743">
        <f>IF(ISBLANK('Data Entry'!$£$743), "", 'Data Entry'!$£$743)</f>
      </c>
      <c r="CV743">
        <f>IF(ISBLANK('Data Entry'!$¤$743), "", 'Data Entry'!$¤$743)</f>
      </c>
      <c r="CW743">
        <f>IF(ISBLANK('Data Entry'!$¥$743), "", 'Data Entry'!$¥$743)</f>
      </c>
      <c r="CX743">
        <f>IF(ISBLANK('Data Entry'!$¦$743), "", 'Data Entry'!$¦$743)</f>
      </c>
      <c r="CY743">
        <f>IF(ISBLANK('Data Entry'!$§$743), "", 'Data Entry'!$§$743)</f>
      </c>
      <c r="CZ743">
        <f>IF(ISBLANK('Data Entry'!$¨$743), "", 'Data Entry'!$¨$743)</f>
      </c>
      <c r="DA743">
        <f>IF(ISBLANK('Data Entry'!$©$743), "", 'Data Entry'!$©$743)</f>
      </c>
      <c r="DB743">
        <f>IF(ISBLANK('Data Entry'!$ª$743), "", 'Data Entry'!$ª$743)</f>
      </c>
      <c r="DC743">
        <f>IF(ISBLANK('Data Entry'!$«$743), "", 'Data Entry'!$«$743)</f>
      </c>
      <c r="DD743">
        <f>IF(ISBLANK('Data Entry'!$¬$743), "", 'Data Entry'!$¬$743)</f>
      </c>
      <c r="DE743">
        <f>IF(ISBLANK('Data Entry'!$­$743), "", 'Data Entry'!$­$743)</f>
      </c>
      <c r="DF743">
        <f>IF(ISBLANK('Data Entry'!$®$743), "", 'Data Entry'!$®$743)</f>
      </c>
      <c r="DG743">
        <f>IF(ISBLANK('Data Entry'!$¯$743), "", 'Data Entry'!$¯$743)</f>
      </c>
      <c r="DH743">
        <f>IF(ISBLANK('Data Entry'!$°$743), "", 'Data Entry'!$°$743)</f>
      </c>
      <c r="DI743">
        <f>IF(ISBLANK('Data Entry'!$±$743), "", 'Data Entry'!$±$743)</f>
      </c>
      <c r="DJ743">
        <f>IF(ISBLANK('Data Entry'!$²$743), "", 'Data Entry'!$²$743)</f>
      </c>
      <c r="DK743">
        <f>IF(ISBLANK('Data Entry'!$³$743), "", 'Data Entry'!$³$743)</f>
      </c>
      <c r="DL743">
        <f>IF(ISBLANK('Data Entry'!$´$743), "", 'Data Entry'!$´$743)</f>
      </c>
      <c r="DM743">
        <f>IF(ISBLANK('Data Entry'!$µ$743), "", 'Data Entry'!$µ$743)</f>
      </c>
      <c r="DN743">
        <f>IF(ISBLANK('Data Entry'!$¶$743), "", 'Data Entry'!$¶$743)</f>
      </c>
      <c r="DO743">
        <f>IF(ISBLANK('Data Entry'!$·$743), "", 'Data Entry'!$·$743)</f>
      </c>
      <c r="DP743">
        <f>IF(ISBLANK('Data Entry'!$¸$743), "", 'Data Entry'!$¸$743)</f>
      </c>
      <c r="DQ743">
        <f>IF(ISBLANK('Data Entry'!$¹$743), "", 'Data Entry'!$¹$743)</f>
      </c>
      <c r="DR743">
        <f>IF(ISBLANK('Data Entry'!$º$743), "", 'Data Entry'!$º$743)</f>
      </c>
      <c r="DS743">
        <f>IF(ISBLANK('Data Entry'!$»$743), "", 'Data Entry'!$»$743)</f>
      </c>
      <c r="DT743">
        <f>IF(ISBLANK('Data Entry'!$¼$743), "", 'Data Entry'!$¼$743)</f>
      </c>
      <c r="DU743">
        <f>IF(ISBLANK('Data Entry'!$½$743), "", 'Data Entry'!$½$743)</f>
      </c>
      <c r="DV743">
        <f>IF(ISBLANK('Data Entry'!$¾$743), "", 'Data Entry'!$¾$743)</f>
      </c>
      <c r="DW743">
        <f>IF(ISBLANK('Data Entry'!$¿$743), "", 'Data Entry'!$¿$743)</f>
      </c>
      <c r="DX743">
        <f>IF(ISBLANK('Data Entry'!$À$743), "", 'Data Entry'!$À$743)</f>
      </c>
      <c r="DY743">
        <f>IF(ISBLANK('Data Entry'!$Á$743), "", 'Data Entry'!$Á$743)</f>
      </c>
      <c r="DZ743">
        <f>IF(ISBLANK('Data Entry'!$Â$743), "", 'Data Entry'!$Â$743)</f>
      </c>
      <c r="EA743">
        <f>IF(ISBLANK('Data Entry'!$Ã$743), "", 'Data Entry'!$Ã$743)</f>
      </c>
      <c r="EB743">
        <f>IF(ISBLANK('Data Entry'!$Ä$743), "", 'Data Entry'!$Ä$743)</f>
      </c>
      <c r="EC743">
        <f>IF(ISBLANK('Data Entry'!$Å$743), "", 'Data Entry'!$Å$743)</f>
      </c>
      <c r="ED743">
        <f>IF(ISBLANK('Data Entry'!$Æ$743), "", 'Data Entry'!$Æ$743)</f>
      </c>
      <c r="EE743">
        <f>IF(ISBLANK('Data Entry'!$Ç$743), "", 'Data Entry'!$Ç$743)</f>
      </c>
      <c r="EF743">
        <f>IF(ISBLANK('Data Entry'!$È$743), "", 'Data Entry'!$È$743)</f>
      </c>
      <c r="EG743">
        <f>IF(ISBLANK('Data Entry'!$É$743), "", 'Data Entry'!$É$743)</f>
      </c>
      <c r="EH743">
        <f>IF(ISBLANK('Data Entry'!$Ê$743), "", 'Data Entry'!$Ê$743)</f>
      </c>
      <c r="EI743">
        <f>IF(ISBLANK('Data Entry'!$Ë$743), "", 'Data Entry'!$Ë$743)</f>
      </c>
      <c r="EJ743">
        <f>IF(ISBLANK('Data Entry'!$Ì$743), "", 'Data Entry'!$Ì$743)</f>
      </c>
      <c r="EK743">
        <f>IF(ISBLANK('Data Entry'!$Í$743), "", 'Data Entry'!$Í$743)</f>
      </c>
      <c r="EL743">
        <f>IF(ISBLANK('Data Entry'!$Î$743), "", 'Data Entry'!$Î$743)</f>
      </c>
      <c r="EM743">
        <f>IF(ISBLANK('Data Entry'!$Ï$743), "", 'Data Entry'!$Ï$743)</f>
      </c>
      <c r="EN743">
        <f>IF(ISBLANK('Data Entry'!$Ð$743), "", 'Data Entry'!$Ð$743)</f>
      </c>
      <c r="EO743">
        <f>IF(ISBLANK('Data Entry'!$Ñ$743), "", 'Data Entry'!$Ñ$743)</f>
      </c>
      <c r="EP743">
        <f>IF(ISBLANK('Data Entry'!$Ò$743), "", 'Data Entry'!$Ò$743)</f>
      </c>
      <c r="EQ743">
        <f>IF(ISBLANK('Data Entry'!$Ó$743), "", 'Data Entry'!$Ó$743)</f>
      </c>
      <c r="ER743">
        <f>IF(ISBLANK('Data Entry'!$Ô$743), "", 'Data Entry'!$Ô$743)</f>
      </c>
      <c r="ES743">
        <f>IF(ISBLANK('Data Entry'!$Õ$743), "", 'Data Entry'!$Õ$743)</f>
      </c>
      <c r="ET743">
        <f>IF(ISBLANK('Data Entry'!$Ö$743), "", 'Data Entry'!$Ö$743)</f>
      </c>
      <c r="EU743">
        <f>IF(ISBLANK('Data Entry'!$×$743), "", 'Data Entry'!$×$743)</f>
      </c>
      <c r="EV743">
        <f>IF(ISBLANK('Data Entry'!$Ø$743), "", 'Data Entry'!$Ø$743)</f>
      </c>
      <c r="EW743">
        <f>IF(ISBLANK('Data Entry'!$Ù$743), "", 'Data Entry'!$Ù$743)</f>
      </c>
      <c r="EX743">
        <f>IF(ISBLANK('Data Entry'!$Ú$743), "", 'Data Entry'!$Ú$743)</f>
      </c>
      <c r="EY743">
        <f>IF(ISBLANK('Data Entry'!$Û$743), "", 'Data Entry'!$Û$743)</f>
      </c>
      <c r="EZ743">
        <f>IF(ISBLANK('Data Entry'!$Ü$743), "", 'Data Entry'!$Ü$743)</f>
      </c>
      <c r="FA743">
        <f>IF(ISBLANK('Data Entry'!$Ý$743), "", 'Data Entry'!$Ý$743)</f>
      </c>
      <c r="FB743">
        <f>IF(ISBLANK('Data Entry'!$Þ$743), "", 'Data Entry'!$Þ$743)</f>
      </c>
      <c r="FC743">
        <f>IF(ISBLANK('Data Entry'!$ß$743), "", 'Data Entry'!$ß$743)</f>
      </c>
      <c r="FD743">
        <f>IF(ISBLANK('Data Entry'!$à$743), "", 'Data Entry'!$à$743)</f>
      </c>
      <c r="FE743">
        <f>IF(ISBLANK('Data Entry'!$á$743), "", 'Data Entry'!$á$743)</f>
      </c>
      <c r="FF743">
        <f>IF(ISBLANK('Data Entry'!$â$743), "", 'Data Entry'!$â$743)</f>
      </c>
      <c r="FG743">
        <f>IF(ISBLANK('Data Entry'!$ã$743), "", 'Data Entry'!$ã$743)</f>
      </c>
      <c r="FH743">
        <f>IF(ISBLANK('Data Entry'!$ä$743), "", 'Data Entry'!$ä$743)</f>
      </c>
      <c r="FI743">
        <f>IF(ISBLANK('Data Entry'!$å$743), "", 'Data Entry'!$å$743)</f>
      </c>
      <c r="FJ743">
        <f>IF(ISBLANK('Data Entry'!$æ$743), "", 'Data Entry'!$æ$743)</f>
      </c>
      <c r="FK743">
        <f>IF(ISBLANK('Data Entry'!$ç$743), "", 'Data Entry'!$ç$743)</f>
      </c>
      <c r="FL743">
        <f>IF(ISBLANK('Data Entry'!$è$743), "", 'Data Entry'!$è$743)</f>
      </c>
      <c r="FM743">
        <f>IF(ISBLANK('Data Entry'!$é$743), "", 'Data Entry'!$é$743)</f>
      </c>
      <c r="FN743">
        <f>IF(ISBLANK('Data Entry'!$ê$743), "", 'Data Entry'!$ê$743)</f>
      </c>
      <c r="FO743">
        <f>IF(ISBLANK('Data Entry'!$ë$743), "", 'Data Entry'!$ë$743)</f>
      </c>
      <c r="FP743">
        <f>IF(ISBLANK('Data Entry'!$ì$743), "", 'Data Entry'!$ì$743)</f>
      </c>
      <c r="FQ743">
        <f>IF(ISBLANK('Data Entry'!$í$743), "", 'Data Entry'!$í$743)</f>
      </c>
      <c r="FR743">
        <f>IF(ISBLANK('Data Entry'!$î$743), "", 'Data Entry'!$î$743)</f>
      </c>
      <c r="FS743">
        <f>IF(ISBLANK('Data Entry'!$ï$743), "", 'Data Entry'!$ï$743)</f>
      </c>
      <c r="FT743">
        <f>IF(ISBLANK('Data Entry'!$ð$743), "", 'Data Entry'!$ð$743)</f>
      </c>
      <c r="FU743">
        <f>IF(ISBLANK('Data Entry'!$ñ$743), "", 'Data Entry'!$ñ$743)</f>
      </c>
      <c r="FV743">
        <f>IF(ISBLANK('Data Entry'!$ò$743), "", 'Data Entry'!$ò$743)</f>
      </c>
      <c r="FW743">
        <f>IF(ISBLANK('Data Entry'!$ó$743), "", 'Data Entry'!$ó$743)</f>
      </c>
      <c r="FX743">
        <f>IF(ISBLANK('Data Entry'!$ô$743), "", 'Data Entry'!$ô$743)</f>
      </c>
      <c r="FY743">
        <f>IF(ISBLANK('Data Entry'!$õ$743), "", 'Data Entry'!$õ$743)</f>
      </c>
      <c r="FZ743">
        <f>IF(ISBLANK('Data Entry'!$ö$743), "", 'Data Entry'!$ö$743)</f>
      </c>
      <c r="GA743">
        <f>IF(ISBLANK('Data Entry'!$÷$743), "", 'Data Entry'!$÷$743)</f>
      </c>
      <c r="GB743">
        <f>IF(ISBLANK('Data Entry'!$ø$743), "", 'Data Entry'!$ø$743)</f>
      </c>
      <c r="GC743">
        <f>IF(ISBLANK('Data Entry'!$ù$743), "", 'Data Entry'!$ù$743)</f>
      </c>
      <c r="GD743">
        <f>IF(ISBLANK('Data Entry'!$ú$743), "", 'Data Entry'!$ú$743)</f>
      </c>
      <c r="GE743">
        <f>IF(ISBLANK('Data Entry'!$û$743), "", 'Data Entry'!$û$743)</f>
      </c>
      <c r="GF743">
        <f>IF(ISBLANK('Data Entry'!$ü$743), "", 'Data Entry'!$ü$743)</f>
      </c>
      <c r="GG743">
        <f>IF(ISBLANK('Data Entry'!$ý$743), "", 'Data Entry'!$ý$743)</f>
      </c>
      <c r="GH743">
        <f>IF(ISBLANK('Data Entry'!$þ$743), "", 'Data Entry'!$þ$743)</f>
      </c>
      <c r="GI743">
        <f>IF(ISBLANK('Data Entry'!$ÿ$743), "", 'Data Entry'!$ÿ$743)</f>
      </c>
      <c r="GJ743">
        <f>IF(ISBLANK('Data Entry'!$Ā$743), "", 'Data Entry'!$Ā$743)</f>
      </c>
      <c r="GK743">
        <f>IF(ISBLANK('Data Entry'!$ā$743), "", 'Data Entry'!$ā$743)</f>
      </c>
      <c r="GL743">
        <f>IF(ISBLANK('Data Entry'!$Ă$743), "", 'Data Entry'!$Ă$743)</f>
      </c>
      <c r="GM743">
        <f>IF(ISBLANK('Data Entry'!$ă$743), "", 'Data Entry'!$ă$743)</f>
      </c>
      <c r="GN743">
        <f>IF(ISBLANK('Data Entry'!$Ą$743), "", 'Data Entry'!$Ą$743)</f>
      </c>
      <c r="GO743">
        <f>IF(ISBLANK('Data Entry'!$ą$743), "", 'Data Entry'!$ą$743)</f>
      </c>
      <c r="GP743">
        <f>IF(ISBLANK('Data Entry'!$Ć$743), "", 'Data Entry'!$Ć$743)</f>
      </c>
      <c r="GQ743">
        <f>IF(ISBLANK('Data Entry'!$ć$743), "", 'Data Entry'!$ć$743)</f>
      </c>
      <c r="GR743">
        <f>IF(ISBLANK('Data Entry'!$Ĉ$743), "", 'Data Entry'!$Ĉ$743)</f>
      </c>
      <c r="GS743">
        <f>IF(ISBLANK('Data Entry'!$ĉ$743), "", 'Data Entry'!$ĉ$743)</f>
      </c>
      <c r="GT743">
        <f>IF(ISBLANK('Data Entry'!$Ċ$743), "", 'Data Entry'!$Ċ$743)</f>
      </c>
      <c r="GU743">
        <f>IF(ISBLANK('Data Entry'!$ċ$743), "", 'Data Entry'!$ċ$743)</f>
      </c>
      <c r="GV743">
        <f>IF(ISBLANK('Data Entry'!$Č$743), "", 'Data Entry'!$Č$743)</f>
      </c>
      <c r="GW743">
        <f>IF(ISBLANK('Data Entry'!$č$743), "", 'Data Entry'!$č$743)</f>
      </c>
      <c r="GX743">
        <f>IF(ISBLANK('Data Entry'!$Ď$743), "", 'Data Entry'!$Ď$743)</f>
      </c>
      <c r="GY743">
        <f>IF(ISBLANK('Data Entry'!$ď$743), "", 'Data Entry'!$ď$743)</f>
      </c>
      <c r="GZ743">
        <f>IF(ISBLANK('Data Entry'!$Đ$743), "", 'Data Entry'!$Đ$743)</f>
      </c>
      <c r="HA743">
        <f>IF(ISBLANK('Data Entry'!$đ$743), "", 'Data Entry'!$đ$743)</f>
      </c>
      <c r="HB743">
        <f>IF(ISBLANK('Data Entry'!$Ē$743), "", 'Data Entry'!$Ē$743)</f>
      </c>
      <c r="HC743">
        <f>IF(ISBLANK('Data Entry'!$ē$743), "", 'Data Entry'!$ē$743)</f>
      </c>
      <c r="HD743">
        <f>IF(ISBLANK('Data Entry'!$Ĕ$743), "", 'Data Entry'!$Ĕ$743)</f>
      </c>
      <c r="HE743">
        <f>IF(ISBLANK('Data Entry'!$ĕ$743), "", 'Data Entry'!$ĕ$743)</f>
      </c>
      <c r="HF743">
        <f>IF(ISBLANK('Data Entry'!$Ė$743), "", 'Data Entry'!$Ė$743)</f>
      </c>
      <c r="HG743">
        <f>IF(ISBLANK('Data Entry'!$ė$743), "", 'Data Entry'!$ė$743)</f>
      </c>
      <c r="HH743">
        <f>IF(ISBLANK('Data Entry'!$Ę$743), "", 'Data Entry'!$Ę$743)</f>
      </c>
      <c r="HI743">
        <f>IF(ISBLANK('Data Entry'!$ę$743), "", 'Data Entry'!$ę$743)</f>
      </c>
      <c r="HJ743">
        <f>IF(ISBLANK('Data Entry'!$Ě$743), "", 'Data Entry'!$Ě$743)</f>
      </c>
      <c r="HK743">
        <f>IF(ISBLANK('Data Entry'!$ě$743), "", 'Data Entry'!$ě$743)</f>
      </c>
      <c r="HL743">
        <f>IF(ISBLANK('Data Entry'!$Ĝ$743), "", 'Data Entry'!$Ĝ$743)</f>
      </c>
      <c r="HM743">
        <f>IF(ISBLANK('Data Entry'!$ĝ$743), "", 'Data Entry'!$ĝ$743)</f>
      </c>
      <c r="HN743">
        <f>IF(ISBLANK('Data Entry'!$Ğ$743), "", 'Data Entry'!$Ğ$743)</f>
      </c>
      <c r="HO743">
        <f>IF(ISBLANK('Data Entry'!$ğ$743), "", 'Data Entry'!$ğ$743)</f>
      </c>
      <c r="HP743">
        <f>IF(ISBLANK('Data Entry'!$Ġ$743), "", 'Data Entry'!$Ġ$743)</f>
      </c>
      <c r="HQ743">
        <f>IF(ISBLANK('Data Entry'!$ġ$743), "", 'Data Entry'!$ġ$743)</f>
      </c>
      <c r="HR743">
        <f>IF(ISBLANK('Data Entry'!$Ģ$743), "", 'Data Entry'!$Ģ$743)</f>
      </c>
      <c r="HS743">
        <f>IF(ISBLANK('Data Entry'!$ģ$743), "", 'Data Entry'!$ģ$743)</f>
      </c>
      <c r="HT743">
        <f>IF(ISBLANK('Data Entry'!$Ĥ$743), "", 'Data Entry'!$Ĥ$743)</f>
      </c>
      <c r="HU743">
        <f>IF(ISBLANK('Data Entry'!$ĥ$743), "", 'Data Entry'!$ĥ$743)</f>
      </c>
      <c r="HV743">
        <f>IF(ISBLANK('Data Entry'!$Ħ$743), "", 'Data Entry'!$Ħ$743)</f>
      </c>
      <c r="HW743">
        <f>IF(ISBLANK('Data Entry'!$ħ$743), "", 'Data Entry'!$ħ$743)</f>
      </c>
      <c r="HX743">
        <f>IF(ISBLANK('Data Entry'!$Ĩ$743), "", 'Data Entry'!$Ĩ$743)</f>
      </c>
      <c r="HY743">
        <f>IF(ISBLANK('Data Entry'!$ĩ$743), "", 'Data Entry'!$ĩ$743)</f>
      </c>
      <c r="HZ743">
        <f>IF(ISBLANK('Data Entry'!$Ī$743), "", 'Data Entry'!$Ī$743)</f>
      </c>
      <c r="IA743">
        <f>IF(ISBLANK('Data Entry'!$ī$743), "", 'Data Entry'!$ī$743)</f>
      </c>
      <c r="IB743">
        <f>IF(ISBLANK('Data Entry'!$Ĭ$743), "", 'Data Entry'!$Ĭ$743)</f>
      </c>
      <c r="IC743">
        <f>IF(ISBLANK('Data Entry'!$ĭ$743), "", 'Data Entry'!$ĭ$743)</f>
      </c>
      <c r="ID743">
        <f>IF(ISBLANK('Data Entry'!$Į$743), "", 'Data Entry'!$Į$743)</f>
      </c>
      <c r="IE743">
        <f>IF(ISBLANK('Data Entry'!$į$743), "", 'Data Entry'!$į$743)</f>
      </c>
      <c r="IF743">
        <f>IF(ISBLANK('Data Entry'!$İ$743), "", 'Data Entry'!$İ$743)</f>
      </c>
      <c r="IG743">
        <f>IF(ISBLANK('Data Entry'!$ı$743), "", 'Data Entry'!$ı$743)</f>
      </c>
      <c r="IH743">
        <f>IF(ISBLANK('Data Entry'!$Ĳ$743), "", 'Data Entry'!$Ĳ$743)</f>
      </c>
      <c r="II743">
        <f>IF(ISBLANK('Data Entry'!$ĳ$743), "", 'Data Entry'!$ĳ$743)</f>
      </c>
      <c r="IJ743">
        <f>IF(ISBLANK('Data Entry'!$Ĵ$743), "", 'Data Entry'!$Ĵ$743)</f>
      </c>
      <c r="IK743">
        <f>IF(ISBLANK('Data Entry'!$ĵ$743), "", 'Data Entry'!$ĵ$743)</f>
      </c>
      <c r="IL743">
        <f>IF(ISBLANK('Data Entry'!$Ķ$743), "", 'Data Entry'!$Ķ$743)</f>
      </c>
      <c r="IM743">
        <f>IF(ISBLANK('Data Entry'!$ķ$743), "", 'Data Entry'!$ķ$743)</f>
      </c>
      <c r="IN743">
        <f>IF(ISBLANK('Data Entry'!$ĸ$743), "", 'Data Entry'!$ĸ$743)</f>
      </c>
      <c r="IO743">
        <f>IF(ISBLANK('Data Entry'!$Ĺ$743), "", 'Data Entry'!$Ĺ$743)</f>
      </c>
      <c r="IP743">
        <f>IF(ISBLANK('Data Entry'!$ĺ$743), "", 'Data Entry'!$ĺ$743)</f>
      </c>
      <c r="IQ743">
        <f>IF(ISBLANK('Data Entry'!$Ļ$743), "", 'Data Entry'!$Ļ$743)</f>
      </c>
      <c r="IR743">
        <f>IF(ISBLANK('Data Entry'!$ļ$743), "", 'Data Entry'!$ļ$743)</f>
      </c>
      <c r="IS743">
        <f>IF(ISBLANK('Data Entry'!$Ľ$743), "", 'Data Entry'!$Ľ$743)</f>
      </c>
      <c r="IT743">
        <f>IF(ISBLANK('Data Entry'!$ľ$743), "", 'Data Entry'!$ľ$743)</f>
      </c>
    </row>
    <row r="744" spans="1:254" x14ac:dyDescent="0.25">
      <c r="A744">
        <f>IF(ISBLANK('Data Entry'!$A$744), "", 'Data Entry'!$A$744)</f>
      </c>
      <c r="B744">
        <f>IF(ISBLANK('Data Entry'!$B$744), "", 'Data Entry'!$B$744)</f>
      </c>
      <c r="C744">
        <f>IF(ISBLANK('Data Entry'!$C$744), "", 'Data Entry'!$C$744)</f>
      </c>
      <c r="D744">
        <f>IF(ISBLANK('Data Entry'!$D$744), "", 'Data Entry'!$D$744)</f>
      </c>
      <c r="E744">
        <f>IF(ISBLANK('Data Entry'!$E$744), "", 'Data Entry'!$E$744)</f>
      </c>
      <c r="F744">
        <f>IF(ISBLANK('Data Entry'!$F$744), "", 'Data Entry'!$F$744)</f>
      </c>
      <c r="G744">
        <f>IF(ISBLANK('Data Entry'!$G$744), "", 'Data Entry'!$G$744)</f>
      </c>
      <c r="H744">
        <f>IF(ISBLANK('Data Entry'!$H$744), "", 'Data Entry'!$H$744)</f>
      </c>
      <c r="I744">
        <f>IF(ISBLANK('Data Entry'!$I$744), "", 'Data Entry'!$I$744)</f>
      </c>
      <c r="J744">
        <f>IF(ISBLANK('Data Entry'!$J$744), "", 'Data Entry'!$J$744)</f>
      </c>
      <c r="K744">
        <f>IF(ISBLANK('Data Entry'!$K$744), "", 'Data Entry'!$K$744)</f>
      </c>
      <c r="L744">
        <f>IF(ISBLANK('Data Entry'!$L$744), "", 'Data Entry'!$L$744)</f>
      </c>
      <c r="M744">
        <f>IF(ISBLANK('Data Entry'!$M$744), "", 'Data Entry'!$M$744)</f>
      </c>
      <c r="N744">
        <f>IF(ISBLANK('Data Entry'!$N$744), "", 'Data Entry'!$N$744)</f>
      </c>
      <c r="O744">
        <f>IF(ISBLANK('Data Entry'!$O$744), "", 'Data Entry'!$O$744)</f>
      </c>
      <c r="P744">
        <f>IF(ISBLANK('Data Entry'!$P$744), "", 'Data Entry'!$P$744)</f>
      </c>
      <c r="Q744">
        <f>IF(ISBLANK('Data Entry'!$Q$744), "", 'Data Entry'!$Q$744)</f>
      </c>
      <c r="R744">
        <f>IF(ISBLANK('Data Entry'!$R$744), "", 'Data Entry'!$R$744)</f>
      </c>
      <c r="S744">
        <f>IF(ISBLANK('Data Entry'!$S$744), "", 'Data Entry'!$S$744)</f>
      </c>
      <c r="T744">
        <f>IF(ISBLANK('Data Entry'!$T$744), "", 'Data Entry'!$T$744)</f>
      </c>
      <c r="U744">
        <f>IF(ISBLANK('Data Entry'!$U$744), "", 'Data Entry'!$U$744)</f>
      </c>
      <c r="V744">
        <f>IF(ISBLANK('Data Entry'!$V$744), "", 'Data Entry'!$V$744)</f>
      </c>
      <c r="W744">
        <f>IF(ISBLANK('Data Entry'!$W$744), "", 'Data Entry'!$W$744)</f>
      </c>
      <c r="X744">
        <f>IF(ISBLANK('Data Entry'!$X$744), "", 'Data Entry'!$X$744)</f>
      </c>
      <c r="Y744">
        <f>IF(ISBLANK('Data Entry'!$Y$744), "", 'Data Entry'!$Y$744)</f>
      </c>
      <c r="Z744">
        <f>IF(ISBLANK('Data Entry'!$Z$744), "", 'Data Entry'!$Z$744)</f>
      </c>
      <c r="AA744">
        <f>IF(ISBLANK('Data Entry'!$[$744), "", 'Data Entry'!$[$744)</f>
      </c>
      <c r="AB744">
        <f>IF(ISBLANK('Data Entry'!$\$744), "", 'Data Entry'!$\$744)</f>
      </c>
      <c r="AC744">
        <f>IF(ISBLANK('Data Entry'!$]$744), "", 'Data Entry'!$]$744)</f>
      </c>
      <c r="AD744">
        <f>IF(ISBLANK('Data Entry'!$^$744), "", 'Data Entry'!$^$744)</f>
      </c>
      <c r="AE744">
        <f>IF(ISBLANK('Data Entry'!$_$744), "", 'Data Entry'!$_$744)</f>
      </c>
      <c r="AF744">
        <f>IF(ISBLANK('Data Entry'!$`$744), "", 'Data Entry'!$`$744)</f>
      </c>
      <c r="AG744">
        <f>IF(ISBLANK('Data Entry'!$a$744), "", 'Data Entry'!$a$744)</f>
      </c>
      <c r="AH744">
        <f>IF(ISBLANK('Data Entry'!$b$744), "", 'Data Entry'!$b$744)</f>
      </c>
      <c r="AI744">
        <f>IF(ISBLANK('Data Entry'!$c$744), "", 'Data Entry'!$c$744)</f>
      </c>
      <c r="AJ744">
        <f>IF(ISBLANK('Data Entry'!$d$744), "", 'Data Entry'!$d$744)</f>
      </c>
      <c r="AK744">
        <f>IF(ISBLANK('Data Entry'!$e$744), "", 'Data Entry'!$e$744)</f>
      </c>
      <c r="AL744">
        <f>IF(ISBLANK('Data Entry'!$f$744), "", 'Data Entry'!$f$744)</f>
      </c>
      <c r="AM744">
        <f>IF(ISBLANK('Data Entry'!$g$744), "", 'Data Entry'!$g$744)</f>
      </c>
      <c r="AN744">
        <f>IF(ISBLANK('Data Entry'!$h$744), "", 'Data Entry'!$h$744)</f>
      </c>
      <c r="AO744">
        <f>IF(ISBLANK('Data Entry'!$i$744), "", 'Data Entry'!$i$744)</f>
      </c>
      <c r="AP744">
        <f>IF(ISBLANK('Data Entry'!$j$744), "", 'Data Entry'!$j$744)</f>
      </c>
      <c r="AQ744">
        <f>IF(ISBLANK('Data Entry'!$k$744), "", 'Data Entry'!$k$744)</f>
      </c>
      <c r="AR744">
        <f>IF(ISBLANK('Data Entry'!$l$744), "", 'Data Entry'!$l$744)</f>
      </c>
      <c r="AS744">
        <f>IF(ISBLANK('Data Entry'!$m$744), "", 'Data Entry'!$m$744)</f>
      </c>
      <c r="AT744">
        <f>IF(ISBLANK('Data Entry'!$n$744), "", 'Data Entry'!$n$744)</f>
      </c>
      <c r="AU744">
        <f>IF(ISBLANK('Data Entry'!$o$744), "", 'Data Entry'!$o$744)</f>
      </c>
      <c r="AV744">
        <f>IF(ISBLANK('Data Entry'!$p$744), "", 'Data Entry'!$p$744)</f>
      </c>
      <c r="AW744">
        <f>IF(ISBLANK('Data Entry'!$q$744), "", 'Data Entry'!$q$744)</f>
      </c>
      <c r="AX744">
        <f>IF(ISBLANK('Data Entry'!$r$744), "", 'Data Entry'!$r$744)</f>
      </c>
      <c r="AY744">
        <f>IF(ISBLANK('Data Entry'!$s$744), "", 'Data Entry'!$s$744)</f>
      </c>
      <c r="AZ744">
        <f>IF(ISBLANK('Data Entry'!$t$744), "", 'Data Entry'!$t$744)</f>
      </c>
      <c r="BA744">
        <f>IF(ISBLANK('Data Entry'!$u$744), "", 'Data Entry'!$u$744)</f>
      </c>
      <c r="BB744">
        <f>IF(ISBLANK('Data Entry'!$v$744), "", 'Data Entry'!$v$744)</f>
      </c>
      <c r="BC744">
        <f>IF(ISBLANK('Data Entry'!$w$744), "", 'Data Entry'!$w$744)</f>
      </c>
      <c r="BD744">
        <f>IF(ISBLANK('Data Entry'!$x$744), "", 'Data Entry'!$x$744)</f>
      </c>
      <c r="BE744">
        <f>IF(ISBLANK('Data Entry'!$y$744), "", 'Data Entry'!$y$744)</f>
      </c>
      <c r="BF744">
        <f>IF(ISBLANK('Data Entry'!$z$744), "", 'Data Entry'!$z$744)</f>
      </c>
      <c r="BG744">
        <f>IF(ISBLANK('Data Entry'!${$744), "", 'Data Entry'!${$744)</f>
      </c>
      <c r="BH744">
        <f>IF(ISBLANK('Data Entry'!$|$744), "", 'Data Entry'!$|$744)</f>
      </c>
      <c r="BI744">
        <f>IF(ISBLANK('Data Entry'!$}$744), "", 'Data Entry'!$}$744)</f>
      </c>
      <c r="BJ744">
        <f>IF(ISBLANK('Data Entry'!$~$744), "", 'Data Entry'!$~$744)</f>
      </c>
      <c r="BK744">
        <f>IF(ISBLANK('Data Entry'!$$744), "", 'Data Entry'!$$744)</f>
      </c>
      <c r="BL744">
        <f>IF(ISBLANK('Data Entry'!$$744), "", 'Data Entry'!$$744)</f>
      </c>
      <c r="BM744">
        <f>IF(ISBLANK('Data Entry'!$$744), "", 'Data Entry'!$$744)</f>
      </c>
      <c r="BN744">
        <f>IF(ISBLANK('Data Entry'!$$744), "", 'Data Entry'!$$744)</f>
      </c>
      <c r="BO744">
        <f>IF(ISBLANK('Data Entry'!$$744), "", 'Data Entry'!$$744)</f>
      </c>
      <c r="BP744">
        <f>IF(ISBLANK('Data Entry'!$$744), "", 'Data Entry'!$$744)</f>
      </c>
      <c r="BQ744">
        <f>IF(ISBLANK('Data Entry'!$$744), "", 'Data Entry'!$$744)</f>
      </c>
      <c r="BR744">
        <f>IF(ISBLANK('Data Entry'!$$744), "", 'Data Entry'!$$744)</f>
      </c>
      <c r="BS744">
        <f>IF(ISBLANK('Data Entry'!$$744), "", 'Data Entry'!$$744)</f>
      </c>
      <c r="BT744">
        <f>IF(ISBLANK('Data Entry'!$$744), "", 'Data Entry'!$$744)</f>
      </c>
      <c r="BU744">
        <f>IF(ISBLANK('Data Entry'!$$744), "", 'Data Entry'!$$744)</f>
      </c>
      <c r="BV744">
        <f>IF(ISBLANK('Data Entry'!$$744), "", 'Data Entry'!$$744)</f>
      </c>
      <c r="BW744">
        <f>IF(ISBLANK('Data Entry'!$$744), "", 'Data Entry'!$$744)</f>
      </c>
      <c r="BX744">
        <f>IF(ISBLANK('Data Entry'!$$744), "", 'Data Entry'!$$744)</f>
      </c>
      <c r="BY744">
        <f>IF(ISBLANK('Data Entry'!$$744), "", 'Data Entry'!$$744)</f>
      </c>
      <c r="BZ744">
        <f>IF(ISBLANK('Data Entry'!$$744), "", 'Data Entry'!$$744)</f>
      </c>
      <c r="CA744">
        <f>IF(ISBLANK('Data Entry'!$$744), "", 'Data Entry'!$$744)</f>
      </c>
      <c r="CB744">
        <f>IF(ISBLANK('Data Entry'!$$744), "", 'Data Entry'!$$744)</f>
      </c>
      <c r="CC744">
        <f>IF(ISBLANK('Data Entry'!$$744), "", 'Data Entry'!$$744)</f>
      </c>
      <c r="CD744">
        <f>IF(ISBLANK('Data Entry'!$$744), "", 'Data Entry'!$$744)</f>
      </c>
      <c r="CE744">
        <f>IF(ISBLANK('Data Entry'!$$744), "", 'Data Entry'!$$744)</f>
      </c>
      <c r="CF744">
        <f>IF(ISBLANK('Data Entry'!$$744), "", 'Data Entry'!$$744)</f>
      </c>
      <c r="CG744">
        <f>IF(ISBLANK('Data Entry'!$$744), "", 'Data Entry'!$$744)</f>
      </c>
      <c r="CH744">
        <f>IF(ISBLANK('Data Entry'!$$744), "", 'Data Entry'!$$744)</f>
      </c>
      <c r="CI744">
        <f>IF(ISBLANK('Data Entry'!$$744), "", 'Data Entry'!$$744)</f>
      </c>
      <c r="CJ744">
        <f>IF(ISBLANK('Data Entry'!$$744), "", 'Data Entry'!$$744)</f>
      </c>
      <c r="CK744">
        <f>IF(ISBLANK('Data Entry'!$$744), "", 'Data Entry'!$$744)</f>
      </c>
      <c r="CL744">
        <f>IF(ISBLANK('Data Entry'!$$744), "", 'Data Entry'!$$744)</f>
      </c>
      <c r="CM744">
        <f>IF(ISBLANK('Data Entry'!$$744), "", 'Data Entry'!$$744)</f>
      </c>
      <c r="CN744">
        <f>IF(ISBLANK('Data Entry'!$$744), "", 'Data Entry'!$$744)</f>
      </c>
      <c r="CO744">
        <f>IF(ISBLANK('Data Entry'!$$744), "", 'Data Entry'!$$744)</f>
      </c>
      <c r="CP744">
        <f>IF(ISBLANK('Data Entry'!$$744), "", 'Data Entry'!$$744)</f>
      </c>
      <c r="CQ744">
        <f>IF(ISBLANK('Data Entry'!$$744), "", 'Data Entry'!$$744)</f>
      </c>
      <c r="CR744">
        <f>IF(ISBLANK('Data Entry'!$ $744), "", 'Data Entry'!$ $744)</f>
      </c>
      <c r="CS744">
        <f>IF(ISBLANK('Data Entry'!$¡$744), "", 'Data Entry'!$¡$744)</f>
      </c>
      <c r="CT744">
        <f>IF(ISBLANK('Data Entry'!$¢$744), "", 'Data Entry'!$¢$744)</f>
      </c>
      <c r="CU744">
        <f>IF(ISBLANK('Data Entry'!$£$744), "", 'Data Entry'!$£$744)</f>
      </c>
      <c r="CV744">
        <f>IF(ISBLANK('Data Entry'!$¤$744), "", 'Data Entry'!$¤$744)</f>
      </c>
      <c r="CW744">
        <f>IF(ISBLANK('Data Entry'!$¥$744), "", 'Data Entry'!$¥$744)</f>
      </c>
      <c r="CX744">
        <f>IF(ISBLANK('Data Entry'!$¦$744), "", 'Data Entry'!$¦$744)</f>
      </c>
      <c r="CY744">
        <f>IF(ISBLANK('Data Entry'!$§$744), "", 'Data Entry'!$§$744)</f>
      </c>
      <c r="CZ744">
        <f>IF(ISBLANK('Data Entry'!$¨$744), "", 'Data Entry'!$¨$744)</f>
      </c>
      <c r="DA744">
        <f>IF(ISBLANK('Data Entry'!$©$744), "", 'Data Entry'!$©$744)</f>
      </c>
      <c r="DB744">
        <f>IF(ISBLANK('Data Entry'!$ª$744), "", 'Data Entry'!$ª$744)</f>
      </c>
      <c r="DC744">
        <f>IF(ISBLANK('Data Entry'!$«$744), "", 'Data Entry'!$«$744)</f>
      </c>
      <c r="DD744">
        <f>IF(ISBLANK('Data Entry'!$¬$744), "", 'Data Entry'!$¬$744)</f>
      </c>
      <c r="DE744">
        <f>IF(ISBLANK('Data Entry'!$­$744), "", 'Data Entry'!$­$744)</f>
      </c>
      <c r="DF744">
        <f>IF(ISBLANK('Data Entry'!$®$744), "", 'Data Entry'!$®$744)</f>
      </c>
      <c r="DG744">
        <f>IF(ISBLANK('Data Entry'!$¯$744), "", 'Data Entry'!$¯$744)</f>
      </c>
      <c r="DH744">
        <f>IF(ISBLANK('Data Entry'!$°$744), "", 'Data Entry'!$°$744)</f>
      </c>
      <c r="DI744">
        <f>IF(ISBLANK('Data Entry'!$±$744), "", 'Data Entry'!$±$744)</f>
      </c>
      <c r="DJ744">
        <f>IF(ISBLANK('Data Entry'!$²$744), "", 'Data Entry'!$²$744)</f>
      </c>
      <c r="DK744">
        <f>IF(ISBLANK('Data Entry'!$³$744), "", 'Data Entry'!$³$744)</f>
      </c>
      <c r="DL744">
        <f>IF(ISBLANK('Data Entry'!$´$744), "", 'Data Entry'!$´$744)</f>
      </c>
      <c r="DM744">
        <f>IF(ISBLANK('Data Entry'!$µ$744), "", 'Data Entry'!$µ$744)</f>
      </c>
      <c r="DN744">
        <f>IF(ISBLANK('Data Entry'!$¶$744), "", 'Data Entry'!$¶$744)</f>
      </c>
      <c r="DO744">
        <f>IF(ISBLANK('Data Entry'!$·$744), "", 'Data Entry'!$·$744)</f>
      </c>
      <c r="DP744">
        <f>IF(ISBLANK('Data Entry'!$¸$744), "", 'Data Entry'!$¸$744)</f>
      </c>
      <c r="DQ744">
        <f>IF(ISBLANK('Data Entry'!$¹$744), "", 'Data Entry'!$¹$744)</f>
      </c>
      <c r="DR744">
        <f>IF(ISBLANK('Data Entry'!$º$744), "", 'Data Entry'!$º$744)</f>
      </c>
      <c r="DS744">
        <f>IF(ISBLANK('Data Entry'!$»$744), "", 'Data Entry'!$»$744)</f>
      </c>
      <c r="DT744">
        <f>IF(ISBLANK('Data Entry'!$¼$744), "", 'Data Entry'!$¼$744)</f>
      </c>
      <c r="DU744">
        <f>IF(ISBLANK('Data Entry'!$½$744), "", 'Data Entry'!$½$744)</f>
      </c>
      <c r="DV744">
        <f>IF(ISBLANK('Data Entry'!$¾$744), "", 'Data Entry'!$¾$744)</f>
      </c>
      <c r="DW744">
        <f>IF(ISBLANK('Data Entry'!$¿$744), "", 'Data Entry'!$¿$744)</f>
      </c>
      <c r="DX744">
        <f>IF(ISBLANK('Data Entry'!$À$744), "", 'Data Entry'!$À$744)</f>
      </c>
      <c r="DY744">
        <f>IF(ISBLANK('Data Entry'!$Á$744), "", 'Data Entry'!$Á$744)</f>
      </c>
      <c r="DZ744">
        <f>IF(ISBLANK('Data Entry'!$Â$744), "", 'Data Entry'!$Â$744)</f>
      </c>
      <c r="EA744">
        <f>IF(ISBLANK('Data Entry'!$Ã$744), "", 'Data Entry'!$Ã$744)</f>
      </c>
      <c r="EB744">
        <f>IF(ISBLANK('Data Entry'!$Ä$744), "", 'Data Entry'!$Ä$744)</f>
      </c>
      <c r="EC744">
        <f>IF(ISBLANK('Data Entry'!$Å$744), "", 'Data Entry'!$Å$744)</f>
      </c>
      <c r="ED744">
        <f>IF(ISBLANK('Data Entry'!$Æ$744), "", 'Data Entry'!$Æ$744)</f>
      </c>
      <c r="EE744">
        <f>IF(ISBLANK('Data Entry'!$Ç$744), "", 'Data Entry'!$Ç$744)</f>
      </c>
      <c r="EF744">
        <f>IF(ISBLANK('Data Entry'!$È$744), "", 'Data Entry'!$È$744)</f>
      </c>
      <c r="EG744">
        <f>IF(ISBLANK('Data Entry'!$É$744), "", 'Data Entry'!$É$744)</f>
      </c>
      <c r="EH744">
        <f>IF(ISBLANK('Data Entry'!$Ê$744), "", 'Data Entry'!$Ê$744)</f>
      </c>
      <c r="EI744">
        <f>IF(ISBLANK('Data Entry'!$Ë$744), "", 'Data Entry'!$Ë$744)</f>
      </c>
      <c r="EJ744">
        <f>IF(ISBLANK('Data Entry'!$Ì$744), "", 'Data Entry'!$Ì$744)</f>
      </c>
      <c r="EK744">
        <f>IF(ISBLANK('Data Entry'!$Í$744), "", 'Data Entry'!$Í$744)</f>
      </c>
      <c r="EL744">
        <f>IF(ISBLANK('Data Entry'!$Î$744), "", 'Data Entry'!$Î$744)</f>
      </c>
      <c r="EM744">
        <f>IF(ISBLANK('Data Entry'!$Ï$744), "", 'Data Entry'!$Ï$744)</f>
      </c>
      <c r="EN744">
        <f>IF(ISBLANK('Data Entry'!$Ð$744), "", 'Data Entry'!$Ð$744)</f>
      </c>
      <c r="EO744">
        <f>IF(ISBLANK('Data Entry'!$Ñ$744), "", 'Data Entry'!$Ñ$744)</f>
      </c>
      <c r="EP744">
        <f>IF(ISBLANK('Data Entry'!$Ò$744), "", 'Data Entry'!$Ò$744)</f>
      </c>
      <c r="EQ744">
        <f>IF(ISBLANK('Data Entry'!$Ó$744), "", 'Data Entry'!$Ó$744)</f>
      </c>
      <c r="ER744">
        <f>IF(ISBLANK('Data Entry'!$Ô$744), "", 'Data Entry'!$Ô$744)</f>
      </c>
      <c r="ES744">
        <f>IF(ISBLANK('Data Entry'!$Õ$744), "", 'Data Entry'!$Õ$744)</f>
      </c>
      <c r="ET744">
        <f>IF(ISBLANK('Data Entry'!$Ö$744), "", 'Data Entry'!$Ö$744)</f>
      </c>
      <c r="EU744">
        <f>IF(ISBLANK('Data Entry'!$×$744), "", 'Data Entry'!$×$744)</f>
      </c>
      <c r="EV744">
        <f>IF(ISBLANK('Data Entry'!$Ø$744), "", 'Data Entry'!$Ø$744)</f>
      </c>
      <c r="EW744">
        <f>IF(ISBLANK('Data Entry'!$Ù$744), "", 'Data Entry'!$Ù$744)</f>
      </c>
      <c r="EX744">
        <f>IF(ISBLANK('Data Entry'!$Ú$744), "", 'Data Entry'!$Ú$744)</f>
      </c>
      <c r="EY744">
        <f>IF(ISBLANK('Data Entry'!$Û$744), "", 'Data Entry'!$Û$744)</f>
      </c>
      <c r="EZ744">
        <f>IF(ISBLANK('Data Entry'!$Ü$744), "", 'Data Entry'!$Ü$744)</f>
      </c>
      <c r="FA744">
        <f>IF(ISBLANK('Data Entry'!$Ý$744), "", 'Data Entry'!$Ý$744)</f>
      </c>
      <c r="FB744">
        <f>IF(ISBLANK('Data Entry'!$Þ$744), "", 'Data Entry'!$Þ$744)</f>
      </c>
      <c r="FC744">
        <f>IF(ISBLANK('Data Entry'!$ß$744), "", 'Data Entry'!$ß$744)</f>
      </c>
      <c r="FD744">
        <f>IF(ISBLANK('Data Entry'!$à$744), "", 'Data Entry'!$à$744)</f>
      </c>
      <c r="FE744">
        <f>IF(ISBLANK('Data Entry'!$á$744), "", 'Data Entry'!$á$744)</f>
      </c>
      <c r="FF744">
        <f>IF(ISBLANK('Data Entry'!$â$744), "", 'Data Entry'!$â$744)</f>
      </c>
      <c r="FG744">
        <f>IF(ISBLANK('Data Entry'!$ã$744), "", 'Data Entry'!$ã$744)</f>
      </c>
      <c r="FH744">
        <f>IF(ISBLANK('Data Entry'!$ä$744), "", 'Data Entry'!$ä$744)</f>
      </c>
      <c r="FI744">
        <f>IF(ISBLANK('Data Entry'!$å$744), "", 'Data Entry'!$å$744)</f>
      </c>
      <c r="FJ744">
        <f>IF(ISBLANK('Data Entry'!$æ$744), "", 'Data Entry'!$æ$744)</f>
      </c>
      <c r="FK744">
        <f>IF(ISBLANK('Data Entry'!$ç$744), "", 'Data Entry'!$ç$744)</f>
      </c>
      <c r="FL744">
        <f>IF(ISBLANK('Data Entry'!$è$744), "", 'Data Entry'!$è$744)</f>
      </c>
      <c r="FM744">
        <f>IF(ISBLANK('Data Entry'!$é$744), "", 'Data Entry'!$é$744)</f>
      </c>
      <c r="FN744">
        <f>IF(ISBLANK('Data Entry'!$ê$744), "", 'Data Entry'!$ê$744)</f>
      </c>
      <c r="FO744">
        <f>IF(ISBLANK('Data Entry'!$ë$744), "", 'Data Entry'!$ë$744)</f>
      </c>
      <c r="FP744">
        <f>IF(ISBLANK('Data Entry'!$ì$744), "", 'Data Entry'!$ì$744)</f>
      </c>
      <c r="FQ744">
        <f>IF(ISBLANK('Data Entry'!$í$744), "", 'Data Entry'!$í$744)</f>
      </c>
      <c r="FR744">
        <f>IF(ISBLANK('Data Entry'!$î$744), "", 'Data Entry'!$î$744)</f>
      </c>
      <c r="FS744">
        <f>IF(ISBLANK('Data Entry'!$ï$744), "", 'Data Entry'!$ï$744)</f>
      </c>
      <c r="FT744">
        <f>IF(ISBLANK('Data Entry'!$ð$744), "", 'Data Entry'!$ð$744)</f>
      </c>
      <c r="FU744">
        <f>IF(ISBLANK('Data Entry'!$ñ$744), "", 'Data Entry'!$ñ$744)</f>
      </c>
      <c r="FV744">
        <f>IF(ISBLANK('Data Entry'!$ò$744), "", 'Data Entry'!$ò$744)</f>
      </c>
      <c r="FW744">
        <f>IF(ISBLANK('Data Entry'!$ó$744), "", 'Data Entry'!$ó$744)</f>
      </c>
      <c r="FX744">
        <f>IF(ISBLANK('Data Entry'!$ô$744), "", 'Data Entry'!$ô$744)</f>
      </c>
      <c r="FY744">
        <f>IF(ISBLANK('Data Entry'!$õ$744), "", 'Data Entry'!$õ$744)</f>
      </c>
      <c r="FZ744">
        <f>IF(ISBLANK('Data Entry'!$ö$744), "", 'Data Entry'!$ö$744)</f>
      </c>
      <c r="GA744">
        <f>IF(ISBLANK('Data Entry'!$÷$744), "", 'Data Entry'!$÷$744)</f>
      </c>
      <c r="GB744">
        <f>IF(ISBLANK('Data Entry'!$ø$744), "", 'Data Entry'!$ø$744)</f>
      </c>
      <c r="GC744">
        <f>IF(ISBLANK('Data Entry'!$ù$744), "", 'Data Entry'!$ù$744)</f>
      </c>
      <c r="GD744">
        <f>IF(ISBLANK('Data Entry'!$ú$744), "", 'Data Entry'!$ú$744)</f>
      </c>
      <c r="GE744">
        <f>IF(ISBLANK('Data Entry'!$û$744), "", 'Data Entry'!$û$744)</f>
      </c>
      <c r="GF744">
        <f>IF(ISBLANK('Data Entry'!$ü$744), "", 'Data Entry'!$ü$744)</f>
      </c>
      <c r="GG744">
        <f>IF(ISBLANK('Data Entry'!$ý$744), "", 'Data Entry'!$ý$744)</f>
      </c>
      <c r="GH744">
        <f>IF(ISBLANK('Data Entry'!$þ$744), "", 'Data Entry'!$þ$744)</f>
      </c>
      <c r="GI744">
        <f>IF(ISBLANK('Data Entry'!$ÿ$744), "", 'Data Entry'!$ÿ$744)</f>
      </c>
      <c r="GJ744">
        <f>IF(ISBLANK('Data Entry'!$Ā$744), "", 'Data Entry'!$Ā$744)</f>
      </c>
      <c r="GK744">
        <f>IF(ISBLANK('Data Entry'!$ā$744), "", 'Data Entry'!$ā$744)</f>
      </c>
      <c r="GL744">
        <f>IF(ISBLANK('Data Entry'!$Ă$744), "", 'Data Entry'!$Ă$744)</f>
      </c>
      <c r="GM744">
        <f>IF(ISBLANK('Data Entry'!$ă$744), "", 'Data Entry'!$ă$744)</f>
      </c>
      <c r="GN744">
        <f>IF(ISBLANK('Data Entry'!$Ą$744), "", 'Data Entry'!$Ą$744)</f>
      </c>
      <c r="GO744">
        <f>IF(ISBLANK('Data Entry'!$ą$744), "", 'Data Entry'!$ą$744)</f>
      </c>
      <c r="GP744">
        <f>IF(ISBLANK('Data Entry'!$Ć$744), "", 'Data Entry'!$Ć$744)</f>
      </c>
      <c r="GQ744">
        <f>IF(ISBLANK('Data Entry'!$ć$744), "", 'Data Entry'!$ć$744)</f>
      </c>
      <c r="GR744">
        <f>IF(ISBLANK('Data Entry'!$Ĉ$744), "", 'Data Entry'!$Ĉ$744)</f>
      </c>
      <c r="GS744">
        <f>IF(ISBLANK('Data Entry'!$ĉ$744), "", 'Data Entry'!$ĉ$744)</f>
      </c>
      <c r="GT744">
        <f>IF(ISBLANK('Data Entry'!$Ċ$744), "", 'Data Entry'!$Ċ$744)</f>
      </c>
      <c r="GU744">
        <f>IF(ISBLANK('Data Entry'!$ċ$744), "", 'Data Entry'!$ċ$744)</f>
      </c>
      <c r="GV744">
        <f>IF(ISBLANK('Data Entry'!$Č$744), "", 'Data Entry'!$Č$744)</f>
      </c>
      <c r="GW744">
        <f>IF(ISBLANK('Data Entry'!$č$744), "", 'Data Entry'!$č$744)</f>
      </c>
      <c r="GX744">
        <f>IF(ISBLANK('Data Entry'!$Ď$744), "", 'Data Entry'!$Ď$744)</f>
      </c>
      <c r="GY744">
        <f>IF(ISBLANK('Data Entry'!$ď$744), "", 'Data Entry'!$ď$744)</f>
      </c>
      <c r="GZ744">
        <f>IF(ISBLANK('Data Entry'!$Đ$744), "", 'Data Entry'!$Đ$744)</f>
      </c>
      <c r="HA744">
        <f>IF(ISBLANK('Data Entry'!$đ$744), "", 'Data Entry'!$đ$744)</f>
      </c>
      <c r="HB744">
        <f>IF(ISBLANK('Data Entry'!$Ē$744), "", 'Data Entry'!$Ē$744)</f>
      </c>
      <c r="HC744">
        <f>IF(ISBLANK('Data Entry'!$ē$744), "", 'Data Entry'!$ē$744)</f>
      </c>
      <c r="HD744">
        <f>IF(ISBLANK('Data Entry'!$Ĕ$744), "", 'Data Entry'!$Ĕ$744)</f>
      </c>
      <c r="HE744">
        <f>IF(ISBLANK('Data Entry'!$ĕ$744), "", 'Data Entry'!$ĕ$744)</f>
      </c>
      <c r="HF744">
        <f>IF(ISBLANK('Data Entry'!$Ė$744), "", 'Data Entry'!$Ė$744)</f>
      </c>
      <c r="HG744">
        <f>IF(ISBLANK('Data Entry'!$ė$744), "", 'Data Entry'!$ė$744)</f>
      </c>
      <c r="HH744">
        <f>IF(ISBLANK('Data Entry'!$Ę$744), "", 'Data Entry'!$Ę$744)</f>
      </c>
      <c r="HI744">
        <f>IF(ISBLANK('Data Entry'!$ę$744), "", 'Data Entry'!$ę$744)</f>
      </c>
      <c r="HJ744">
        <f>IF(ISBLANK('Data Entry'!$Ě$744), "", 'Data Entry'!$Ě$744)</f>
      </c>
      <c r="HK744">
        <f>IF(ISBLANK('Data Entry'!$ě$744), "", 'Data Entry'!$ě$744)</f>
      </c>
      <c r="HL744">
        <f>IF(ISBLANK('Data Entry'!$Ĝ$744), "", 'Data Entry'!$Ĝ$744)</f>
      </c>
      <c r="HM744">
        <f>IF(ISBLANK('Data Entry'!$ĝ$744), "", 'Data Entry'!$ĝ$744)</f>
      </c>
      <c r="HN744">
        <f>IF(ISBLANK('Data Entry'!$Ğ$744), "", 'Data Entry'!$Ğ$744)</f>
      </c>
      <c r="HO744">
        <f>IF(ISBLANK('Data Entry'!$ğ$744), "", 'Data Entry'!$ğ$744)</f>
      </c>
      <c r="HP744">
        <f>IF(ISBLANK('Data Entry'!$Ġ$744), "", 'Data Entry'!$Ġ$744)</f>
      </c>
      <c r="HQ744">
        <f>IF(ISBLANK('Data Entry'!$ġ$744), "", 'Data Entry'!$ġ$744)</f>
      </c>
      <c r="HR744">
        <f>IF(ISBLANK('Data Entry'!$Ģ$744), "", 'Data Entry'!$Ģ$744)</f>
      </c>
      <c r="HS744">
        <f>IF(ISBLANK('Data Entry'!$ģ$744), "", 'Data Entry'!$ģ$744)</f>
      </c>
      <c r="HT744">
        <f>IF(ISBLANK('Data Entry'!$Ĥ$744), "", 'Data Entry'!$Ĥ$744)</f>
      </c>
      <c r="HU744">
        <f>IF(ISBLANK('Data Entry'!$ĥ$744), "", 'Data Entry'!$ĥ$744)</f>
      </c>
      <c r="HV744">
        <f>IF(ISBLANK('Data Entry'!$Ħ$744), "", 'Data Entry'!$Ħ$744)</f>
      </c>
      <c r="HW744">
        <f>IF(ISBLANK('Data Entry'!$ħ$744), "", 'Data Entry'!$ħ$744)</f>
      </c>
      <c r="HX744">
        <f>IF(ISBLANK('Data Entry'!$Ĩ$744), "", 'Data Entry'!$Ĩ$744)</f>
      </c>
      <c r="HY744">
        <f>IF(ISBLANK('Data Entry'!$ĩ$744), "", 'Data Entry'!$ĩ$744)</f>
      </c>
      <c r="HZ744">
        <f>IF(ISBLANK('Data Entry'!$Ī$744), "", 'Data Entry'!$Ī$744)</f>
      </c>
      <c r="IA744">
        <f>IF(ISBLANK('Data Entry'!$ī$744), "", 'Data Entry'!$ī$744)</f>
      </c>
      <c r="IB744">
        <f>IF(ISBLANK('Data Entry'!$Ĭ$744), "", 'Data Entry'!$Ĭ$744)</f>
      </c>
      <c r="IC744">
        <f>IF(ISBLANK('Data Entry'!$ĭ$744), "", 'Data Entry'!$ĭ$744)</f>
      </c>
      <c r="ID744">
        <f>IF(ISBLANK('Data Entry'!$Į$744), "", 'Data Entry'!$Į$744)</f>
      </c>
      <c r="IE744">
        <f>IF(ISBLANK('Data Entry'!$į$744), "", 'Data Entry'!$į$744)</f>
      </c>
      <c r="IF744">
        <f>IF(ISBLANK('Data Entry'!$İ$744), "", 'Data Entry'!$İ$744)</f>
      </c>
      <c r="IG744">
        <f>IF(ISBLANK('Data Entry'!$ı$744), "", 'Data Entry'!$ı$744)</f>
      </c>
      <c r="IH744">
        <f>IF(ISBLANK('Data Entry'!$Ĳ$744), "", 'Data Entry'!$Ĳ$744)</f>
      </c>
      <c r="II744">
        <f>IF(ISBLANK('Data Entry'!$ĳ$744), "", 'Data Entry'!$ĳ$744)</f>
      </c>
      <c r="IJ744">
        <f>IF(ISBLANK('Data Entry'!$Ĵ$744), "", 'Data Entry'!$Ĵ$744)</f>
      </c>
      <c r="IK744">
        <f>IF(ISBLANK('Data Entry'!$ĵ$744), "", 'Data Entry'!$ĵ$744)</f>
      </c>
      <c r="IL744">
        <f>IF(ISBLANK('Data Entry'!$Ķ$744), "", 'Data Entry'!$Ķ$744)</f>
      </c>
      <c r="IM744">
        <f>IF(ISBLANK('Data Entry'!$ķ$744), "", 'Data Entry'!$ķ$744)</f>
      </c>
      <c r="IN744">
        <f>IF(ISBLANK('Data Entry'!$ĸ$744), "", 'Data Entry'!$ĸ$744)</f>
      </c>
      <c r="IO744">
        <f>IF(ISBLANK('Data Entry'!$Ĺ$744), "", 'Data Entry'!$Ĺ$744)</f>
      </c>
      <c r="IP744">
        <f>IF(ISBLANK('Data Entry'!$ĺ$744), "", 'Data Entry'!$ĺ$744)</f>
      </c>
      <c r="IQ744">
        <f>IF(ISBLANK('Data Entry'!$Ļ$744), "", 'Data Entry'!$Ļ$744)</f>
      </c>
      <c r="IR744">
        <f>IF(ISBLANK('Data Entry'!$ļ$744), "", 'Data Entry'!$ļ$744)</f>
      </c>
      <c r="IS744">
        <f>IF(ISBLANK('Data Entry'!$Ľ$744), "", 'Data Entry'!$Ľ$744)</f>
      </c>
      <c r="IT744">
        <f>IF(ISBLANK('Data Entry'!$ľ$744), "", 'Data Entry'!$ľ$744)</f>
      </c>
    </row>
    <row r="745" spans="1:254" x14ac:dyDescent="0.25">
      <c r="A745">
        <f>IF(ISBLANK('Data Entry'!$A$745), "", 'Data Entry'!$A$745)</f>
      </c>
      <c r="B745">
        <f>IF(ISBLANK('Data Entry'!$B$745), "", 'Data Entry'!$B$745)</f>
      </c>
      <c r="C745">
        <f>IF(ISBLANK('Data Entry'!$C$745), "", 'Data Entry'!$C$745)</f>
      </c>
      <c r="D745">
        <f>IF(ISBLANK('Data Entry'!$D$745), "", 'Data Entry'!$D$745)</f>
      </c>
      <c r="E745">
        <f>IF(ISBLANK('Data Entry'!$E$745), "", 'Data Entry'!$E$745)</f>
      </c>
      <c r="F745">
        <f>IF(ISBLANK('Data Entry'!$F$745), "", 'Data Entry'!$F$745)</f>
      </c>
      <c r="G745">
        <f>IF(ISBLANK('Data Entry'!$G$745), "", 'Data Entry'!$G$745)</f>
      </c>
      <c r="H745">
        <f>IF(ISBLANK('Data Entry'!$H$745), "", 'Data Entry'!$H$745)</f>
      </c>
      <c r="I745">
        <f>IF(ISBLANK('Data Entry'!$I$745), "", 'Data Entry'!$I$745)</f>
      </c>
      <c r="J745">
        <f>IF(ISBLANK('Data Entry'!$J$745), "", 'Data Entry'!$J$745)</f>
      </c>
      <c r="K745">
        <f>IF(ISBLANK('Data Entry'!$K$745), "", 'Data Entry'!$K$745)</f>
      </c>
      <c r="L745">
        <f>IF(ISBLANK('Data Entry'!$L$745), "", 'Data Entry'!$L$745)</f>
      </c>
      <c r="M745">
        <f>IF(ISBLANK('Data Entry'!$M$745), "", 'Data Entry'!$M$745)</f>
      </c>
      <c r="N745">
        <f>IF(ISBLANK('Data Entry'!$N$745), "", 'Data Entry'!$N$745)</f>
      </c>
      <c r="O745">
        <f>IF(ISBLANK('Data Entry'!$O$745), "", 'Data Entry'!$O$745)</f>
      </c>
      <c r="P745">
        <f>IF(ISBLANK('Data Entry'!$P$745), "", 'Data Entry'!$P$745)</f>
      </c>
      <c r="Q745">
        <f>IF(ISBLANK('Data Entry'!$Q$745), "", 'Data Entry'!$Q$745)</f>
      </c>
      <c r="R745">
        <f>IF(ISBLANK('Data Entry'!$R$745), "", 'Data Entry'!$R$745)</f>
      </c>
      <c r="S745">
        <f>IF(ISBLANK('Data Entry'!$S$745), "", 'Data Entry'!$S$745)</f>
      </c>
      <c r="T745">
        <f>IF(ISBLANK('Data Entry'!$T$745), "", 'Data Entry'!$T$745)</f>
      </c>
      <c r="U745">
        <f>IF(ISBLANK('Data Entry'!$U$745), "", 'Data Entry'!$U$745)</f>
      </c>
      <c r="V745">
        <f>IF(ISBLANK('Data Entry'!$V$745), "", 'Data Entry'!$V$745)</f>
      </c>
      <c r="W745">
        <f>IF(ISBLANK('Data Entry'!$W$745), "", 'Data Entry'!$W$745)</f>
      </c>
      <c r="X745">
        <f>IF(ISBLANK('Data Entry'!$X$745), "", 'Data Entry'!$X$745)</f>
      </c>
      <c r="Y745">
        <f>IF(ISBLANK('Data Entry'!$Y$745), "", 'Data Entry'!$Y$745)</f>
      </c>
      <c r="Z745">
        <f>IF(ISBLANK('Data Entry'!$Z$745), "", 'Data Entry'!$Z$745)</f>
      </c>
      <c r="AA745">
        <f>IF(ISBLANK('Data Entry'!$[$745), "", 'Data Entry'!$[$745)</f>
      </c>
      <c r="AB745">
        <f>IF(ISBLANK('Data Entry'!$\$745), "", 'Data Entry'!$\$745)</f>
      </c>
      <c r="AC745">
        <f>IF(ISBLANK('Data Entry'!$]$745), "", 'Data Entry'!$]$745)</f>
      </c>
      <c r="AD745">
        <f>IF(ISBLANK('Data Entry'!$^$745), "", 'Data Entry'!$^$745)</f>
      </c>
      <c r="AE745">
        <f>IF(ISBLANK('Data Entry'!$_$745), "", 'Data Entry'!$_$745)</f>
      </c>
      <c r="AF745">
        <f>IF(ISBLANK('Data Entry'!$`$745), "", 'Data Entry'!$`$745)</f>
      </c>
      <c r="AG745">
        <f>IF(ISBLANK('Data Entry'!$a$745), "", 'Data Entry'!$a$745)</f>
      </c>
      <c r="AH745">
        <f>IF(ISBLANK('Data Entry'!$b$745), "", 'Data Entry'!$b$745)</f>
      </c>
      <c r="AI745">
        <f>IF(ISBLANK('Data Entry'!$c$745), "", 'Data Entry'!$c$745)</f>
      </c>
      <c r="AJ745">
        <f>IF(ISBLANK('Data Entry'!$d$745), "", 'Data Entry'!$d$745)</f>
      </c>
      <c r="AK745">
        <f>IF(ISBLANK('Data Entry'!$e$745), "", 'Data Entry'!$e$745)</f>
      </c>
      <c r="AL745">
        <f>IF(ISBLANK('Data Entry'!$f$745), "", 'Data Entry'!$f$745)</f>
      </c>
      <c r="AM745">
        <f>IF(ISBLANK('Data Entry'!$g$745), "", 'Data Entry'!$g$745)</f>
      </c>
      <c r="AN745">
        <f>IF(ISBLANK('Data Entry'!$h$745), "", 'Data Entry'!$h$745)</f>
      </c>
      <c r="AO745">
        <f>IF(ISBLANK('Data Entry'!$i$745), "", 'Data Entry'!$i$745)</f>
      </c>
      <c r="AP745">
        <f>IF(ISBLANK('Data Entry'!$j$745), "", 'Data Entry'!$j$745)</f>
      </c>
      <c r="AQ745">
        <f>IF(ISBLANK('Data Entry'!$k$745), "", 'Data Entry'!$k$745)</f>
      </c>
      <c r="AR745">
        <f>IF(ISBLANK('Data Entry'!$l$745), "", 'Data Entry'!$l$745)</f>
      </c>
      <c r="AS745">
        <f>IF(ISBLANK('Data Entry'!$m$745), "", 'Data Entry'!$m$745)</f>
      </c>
      <c r="AT745">
        <f>IF(ISBLANK('Data Entry'!$n$745), "", 'Data Entry'!$n$745)</f>
      </c>
      <c r="AU745">
        <f>IF(ISBLANK('Data Entry'!$o$745), "", 'Data Entry'!$o$745)</f>
      </c>
      <c r="AV745">
        <f>IF(ISBLANK('Data Entry'!$p$745), "", 'Data Entry'!$p$745)</f>
      </c>
      <c r="AW745">
        <f>IF(ISBLANK('Data Entry'!$q$745), "", 'Data Entry'!$q$745)</f>
      </c>
      <c r="AX745">
        <f>IF(ISBLANK('Data Entry'!$r$745), "", 'Data Entry'!$r$745)</f>
      </c>
      <c r="AY745">
        <f>IF(ISBLANK('Data Entry'!$s$745), "", 'Data Entry'!$s$745)</f>
      </c>
      <c r="AZ745">
        <f>IF(ISBLANK('Data Entry'!$t$745), "", 'Data Entry'!$t$745)</f>
      </c>
      <c r="BA745">
        <f>IF(ISBLANK('Data Entry'!$u$745), "", 'Data Entry'!$u$745)</f>
      </c>
      <c r="BB745">
        <f>IF(ISBLANK('Data Entry'!$v$745), "", 'Data Entry'!$v$745)</f>
      </c>
      <c r="BC745">
        <f>IF(ISBLANK('Data Entry'!$w$745), "", 'Data Entry'!$w$745)</f>
      </c>
      <c r="BD745">
        <f>IF(ISBLANK('Data Entry'!$x$745), "", 'Data Entry'!$x$745)</f>
      </c>
      <c r="BE745">
        <f>IF(ISBLANK('Data Entry'!$y$745), "", 'Data Entry'!$y$745)</f>
      </c>
      <c r="BF745">
        <f>IF(ISBLANK('Data Entry'!$z$745), "", 'Data Entry'!$z$745)</f>
      </c>
      <c r="BG745">
        <f>IF(ISBLANK('Data Entry'!${$745), "", 'Data Entry'!${$745)</f>
      </c>
      <c r="BH745">
        <f>IF(ISBLANK('Data Entry'!$|$745), "", 'Data Entry'!$|$745)</f>
      </c>
      <c r="BI745">
        <f>IF(ISBLANK('Data Entry'!$}$745), "", 'Data Entry'!$}$745)</f>
      </c>
      <c r="BJ745">
        <f>IF(ISBLANK('Data Entry'!$~$745), "", 'Data Entry'!$~$745)</f>
      </c>
      <c r="BK745">
        <f>IF(ISBLANK('Data Entry'!$$745), "", 'Data Entry'!$$745)</f>
      </c>
      <c r="BL745">
        <f>IF(ISBLANK('Data Entry'!$$745), "", 'Data Entry'!$$745)</f>
      </c>
      <c r="BM745">
        <f>IF(ISBLANK('Data Entry'!$$745), "", 'Data Entry'!$$745)</f>
      </c>
      <c r="BN745">
        <f>IF(ISBLANK('Data Entry'!$$745), "", 'Data Entry'!$$745)</f>
      </c>
      <c r="BO745">
        <f>IF(ISBLANK('Data Entry'!$$745), "", 'Data Entry'!$$745)</f>
      </c>
      <c r="BP745">
        <f>IF(ISBLANK('Data Entry'!$$745), "", 'Data Entry'!$$745)</f>
      </c>
      <c r="BQ745">
        <f>IF(ISBLANK('Data Entry'!$$745), "", 'Data Entry'!$$745)</f>
      </c>
      <c r="BR745">
        <f>IF(ISBLANK('Data Entry'!$$745), "", 'Data Entry'!$$745)</f>
      </c>
      <c r="BS745">
        <f>IF(ISBLANK('Data Entry'!$$745), "", 'Data Entry'!$$745)</f>
      </c>
      <c r="BT745">
        <f>IF(ISBLANK('Data Entry'!$$745), "", 'Data Entry'!$$745)</f>
      </c>
      <c r="BU745">
        <f>IF(ISBLANK('Data Entry'!$$745), "", 'Data Entry'!$$745)</f>
      </c>
      <c r="BV745">
        <f>IF(ISBLANK('Data Entry'!$$745), "", 'Data Entry'!$$745)</f>
      </c>
      <c r="BW745">
        <f>IF(ISBLANK('Data Entry'!$$745), "", 'Data Entry'!$$745)</f>
      </c>
      <c r="BX745">
        <f>IF(ISBLANK('Data Entry'!$$745), "", 'Data Entry'!$$745)</f>
      </c>
      <c r="BY745">
        <f>IF(ISBLANK('Data Entry'!$$745), "", 'Data Entry'!$$745)</f>
      </c>
      <c r="BZ745">
        <f>IF(ISBLANK('Data Entry'!$$745), "", 'Data Entry'!$$745)</f>
      </c>
      <c r="CA745">
        <f>IF(ISBLANK('Data Entry'!$$745), "", 'Data Entry'!$$745)</f>
      </c>
      <c r="CB745">
        <f>IF(ISBLANK('Data Entry'!$$745), "", 'Data Entry'!$$745)</f>
      </c>
      <c r="CC745">
        <f>IF(ISBLANK('Data Entry'!$$745), "", 'Data Entry'!$$745)</f>
      </c>
      <c r="CD745">
        <f>IF(ISBLANK('Data Entry'!$$745), "", 'Data Entry'!$$745)</f>
      </c>
      <c r="CE745">
        <f>IF(ISBLANK('Data Entry'!$$745), "", 'Data Entry'!$$745)</f>
      </c>
      <c r="CF745">
        <f>IF(ISBLANK('Data Entry'!$$745), "", 'Data Entry'!$$745)</f>
      </c>
      <c r="CG745">
        <f>IF(ISBLANK('Data Entry'!$$745), "", 'Data Entry'!$$745)</f>
      </c>
      <c r="CH745">
        <f>IF(ISBLANK('Data Entry'!$$745), "", 'Data Entry'!$$745)</f>
      </c>
      <c r="CI745">
        <f>IF(ISBLANK('Data Entry'!$$745), "", 'Data Entry'!$$745)</f>
      </c>
      <c r="CJ745">
        <f>IF(ISBLANK('Data Entry'!$$745), "", 'Data Entry'!$$745)</f>
      </c>
      <c r="CK745">
        <f>IF(ISBLANK('Data Entry'!$$745), "", 'Data Entry'!$$745)</f>
      </c>
      <c r="CL745">
        <f>IF(ISBLANK('Data Entry'!$$745), "", 'Data Entry'!$$745)</f>
      </c>
      <c r="CM745">
        <f>IF(ISBLANK('Data Entry'!$$745), "", 'Data Entry'!$$745)</f>
      </c>
      <c r="CN745">
        <f>IF(ISBLANK('Data Entry'!$$745), "", 'Data Entry'!$$745)</f>
      </c>
      <c r="CO745">
        <f>IF(ISBLANK('Data Entry'!$$745), "", 'Data Entry'!$$745)</f>
      </c>
      <c r="CP745">
        <f>IF(ISBLANK('Data Entry'!$$745), "", 'Data Entry'!$$745)</f>
      </c>
      <c r="CQ745">
        <f>IF(ISBLANK('Data Entry'!$$745), "", 'Data Entry'!$$745)</f>
      </c>
      <c r="CR745">
        <f>IF(ISBLANK('Data Entry'!$ $745), "", 'Data Entry'!$ $745)</f>
      </c>
      <c r="CS745">
        <f>IF(ISBLANK('Data Entry'!$¡$745), "", 'Data Entry'!$¡$745)</f>
      </c>
      <c r="CT745">
        <f>IF(ISBLANK('Data Entry'!$¢$745), "", 'Data Entry'!$¢$745)</f>
      </c>
      <c r="CU745">
        <f>IF(ISBLANK('Data Entry'!$£$745), "", 'Data Entry'!$£$745)</f>
      </c>
      <c r="CV745">
        <f>IF(ISBLANK('Data Entry'!$¤$745), "", 'Data Entry'!$¤$745)</f>
      </c>
      <c r="CW745">
        <f>IF(ISBLANK('Data Entry'!$¥$745), "", 'Data Entry'!$¥$745)</f>
      </c>
      <c r="CX745">
        <f>IF(ISBLANK('Data Entry'!$¦$745), "", 'Data Entry'!$¦$745)</f>
      </c>
      <c r="CY745">
        <f>IF(ISBLANK('Data Entry'!$§$745), "", 'Data Entry'!$§$745)</f>
      </c>
      <c r="CZ745">
        <f>IF(ISBLANK('Data Entry'!$¨$745), "", 'Data Entry'!$¨$745)</f>
      </c>
      <c r="DA745">
        <f>IF(ISBLANK('Data Entry'!$©$745), "", 'Data Entry'!$©$745)</f>
      </c>
      <c r="DB745">
        <f>IF(ISBLANK('Data Entry'!$ª$745), "", 'Data Entry'!$ª$745)</f>
      </c>
      <c r="DC745">
        <f>IF(ISBLANK('Data Entry'!$«$745), "", 'Data Entry'!$«$745)</f>
      </c>
      <c r="DD745">
        <f>IF(ISBLANK('Data Entry'!$¬$745), "", 'Data Entry'!$¬$745)</f>
      </c>
      <c r="DE745">
        <f>IF(ISBLANK('Data Entry'!$­$745), "", 'Data Entry'!$­$745)</f>
      </c>
      <c r="DF745">
        <f>IF(ISBLANK('Data Entry'!$®$745), "", 'Data Entry'!$®$745)</f>
      </c>
      <c r="DG745">
        <f>IF(ISBLANK('Data Entry'!$¯$745), "", 'Data Entry'!$¯$745)</f>
      </c>
      <c r="DH745">
        <f>IF(ISBLANK('Data Entry'!$°$745), "", 'Data Entry'!$°$745)</f>
      </c>
      <c r="DI745">
        <f>IF(ISBLANK('Data Entry'!$±$745), "", 'Data Entry'!$±$745)</f>
      </c>
      <c r="DJ745">
        <f>IF(ISBLANK('Data Entry'!$²$745), "", 'Data Entry'!$²$745)</f>
      </c>
      <c r="DK745">
        <f>IF(ISBLANK('Data Entry'!$³$745), "", 'Data Entry'!$³$745)</f>
      </c>
      <c r="DL745">
        <f>IF(ISBLANK('Data Entry'!$´$745), "", 'Data Entry'!$´$745)</f>
      </c>
      <c r="DM745">
        <f>IF(ISBLANK('Data Entry'!$µ$745), "", 'Data Entry'!$µ$745)</f>
      </c>
      <c r="DN745">
        <f>IF(ISBLANK('Data Entry'!$¶$745), "", 'Data Entry'!$¶$745)</f>
      </c>
      <c r="DO745">
        <f>IF(ISBLANK('Data Entry'!$·$745), "", 'Data Entry'!$·$745)</f>
      </c>
      <c r="DP745">
        <f>IF(ISBLANK('Data Entry'!$¸$745), "", 'Data Entry'!$¸$745)</f>
      </c>
      <c r="DQ745">
        <f>IF(ISBLANK('Data Entry'!$¹$745), "", 'Data Entry'!$¹$745)</f>
      </c>
      <c r="DR745">
        <f>IF(ISBLANK('Data Entry'!$º$745), "", 'Data Entry'!$º$745)</f>
      </c>
      <c r="DS745">
        <f>IF(ISBLANK('Data Entry'!$»$745), "", 'Data Entry'!$»$745)</f>
      </c>
      <c r="DT745">
        <f>IF(ISBLANK('Data Entry'!$¼$745), "", 'Data Entry'!$¼$745)</f>
      </c>
      <c r="DU745">
        <f>IF(ISBLANK('Data Entry'!$½$745), "", 'Data Entry'!$½$745)</f>
      </c>
      <c r="DV745">
        <f>IF(ISBLANK('Data Entry'!$¾$745), "", 'Data Entry'!$¾$745)</f>
      </c>
      <c r="DW745">
        <f>IF(ISBLANK('Data Entry'!$¿$745), "", 'Data Entry'!$¿$745)</f>
      </c>
      <c r="DX745">
        <f>IF(ISBLANK('Data Entry'!$À$745), "", 'Data Entry'!$À$745)</f>
      </c>
      <c r="DY745">
        <f>IF(ISBLANK('Data Entry'!$Á$745), "", 'Data Entry'!$Á$745)</f>
      </c>
      <c r="DZ745">
        <f>IF(ISBLANK('Data Entry'!$Â$745), "", 'Data Entry'!$Â$745)</f>
      </c>
      <c r="EA745">
        <f>IF(ISBLANK('Data Entry'!$Ã$745), "", 'Data Entry'!$Ã$745)</f>
      </c>
      <c r="EB745">
        <f>IF(ISBLANK('Data Entry'!$Ä$745), "", 'Data Entry'!$Ä$745)</f>
      </c>
      <c r="EC745">
        <f>IF(ISBLANK('Data Entry'!$Å$745), "", 'Data Entry'!$Å$745)</f>
      </c>
      <c r="ED745">
        <f>IF(ISBLANK('Data Entry'!$Æ$745), "", 'Data Entry'!$Æ$745)</f>
      </c>
      <c r="EE745">
        <f>IF(ISBLANK('Data Entry'!$Ç$745), "", 'Data Entry'!$Ç$745)</f>
      </c>
      <c r="EF745">
        <f>IF(ISBLANK('Data Entry'!$È$745), "", 'Data Entry'!$È$745)</f>
      </c>
      <c r="EG745">
        <f>IF(ISBLANK('Data Entry'!$É$745), "", 'Data Entry'!$É$745)</f>
      </c>
      <c r="EH745">
        <f>IF(ISBLANK('Data Entry'!$Ê$745), "", 'Data Entry'!$Ê$745)</f>
      </c>
      <c r="EI745">
        <f>IF(ISBLANK('Data Entry'!$Ë$745), "", 'Data Entry'!$Ë$745)</f>
      </c>
      <c r="EJ745">
        <f>IF(ISBLANK('Data Entry'!$Ì$745), "", 'Data Entry'!$Ì$745)</f>
      </c>
      <c r="EK745">
        <f>IF(ISBLANK('Data Entry'!$Í$745), "", 'Data Entry'!$Í$745)</f>
      </c>
      <c r="EL745">
        <f>IF(ISBLANK('Data Entry'!$Î$745), "", 'Data Entry'!$Î$745)</f>
      </c>
      <c r="EM745">
        <f>IF(ISBLANK('Data Entry'!$Ï$745), "", 'Data Entry'!$Ï$745)</f>
      </c>
      <c r="EN745">
        <f>IF(ISBLANK('Data Entry'!$Ð$745), "", 'Data Entry'!$Ð$745)</f>
      </c>
      <c r="EO745">
        <f>IF(ISBLANK('Data Entry'!$Ñ$745), "", 'Data Entry'!$Ñ$745)</f>
      </c>
      <c r="EP745">
        <f>IF(ISBLANK('Data Entry'!$Ò$745), "", 'Data Entry'!$Ò$745)</f>
      </c>
      <c r="EQ745">
        <f>IF(ISBLANK('Data Entry'!$Ó$745), "", 'Data Entry'!$Ó$745)</f>
      </c>
      <c r="ER745">
        <f>IF(ISBLANK('Data Entry'!$Ô$745), "", 'Data Entry'!$Ô$745)</f>
      </c>
      <c r="ES745">
        <f>IF(ISBLANK('Data Entry'!$Õ$745), "", 'Data Entry'!$Õ$745)</f>
      </c>
      <c r="ET745">
        <f>IF(ISBLANK('Data Entry'!$Ö$745), "", 'Data Entry'!$Ö$745)</f>
      </c>
      <c r="EU745">
        <f>IF(ISBLANK('Data Entry'!$×$745), "", 'Data Entry'!$×$745)</f>
      </c>
      <c r="EV745">
        <f>IF(ISBLANK('Data Entry'!$Ø$745), "", 'Data Entry'!$Ø$745)</f>
      </c>
      <c r="EW745">
        <f>IF(ISBLANK('Data Entry'!$Ù$745), "", 'Data Entry'!$Ù$745)</f>
      </c>
      <c r="EX745">
        <f>IF(ISBLANK('Data Entry'!$Ú$745), "", 'Data Entry'!$Ú$745)</f>
      </c>
      <c r="EY745">
        <f>IF(ISBLANK('Data Entry'!$Û$745), "", 'Data Entry'!$Û$745)</f>
      </c>
      <c r="EZ745">
        <f>IF(ISBLANK('Data Entry'!$Ü$745), "", 'Data Entry'!$Ü$745)</f>
      </c>
      <c r="FA745">
        <f>IF(ISBLANK('Data Entry'!$Ý$745), "", 'Data Entry'!$Ý$745)</f>
      </c>
      <c r="FB745">
        <f>IF(ISBLANK('Data Entry'!$Þ$745), "", 'Data Entry'!$Þ$745)</f>
      </c>
      <c r="FC745">
        <f>IF(ISBLANK('Data Entry'!$ß$745), "", 'Data Entry'!$ß$745)</f>
      </c>
      <c r="FD745">
        <f>IF(ISBLANK('Data Entry'!$à$745), "", 'Data Entry'!$à$745)</f>
      </c>
      <c r="FE745">
        <f>IF(ISBLANK('Data Entry'!$á$745), "", 'Data Entry'!$á$745)</f>
      </c>
      <c r="FF745">
        <f>IF(ISBLANK('Data Entry'!$â$745), "", 'Data Entry'!$â$745)</f>
      </c>
      <c r="FG745">
        <f>IF(ISBLANK('Data Entry'!$ã$745), "", 'Data Entry'!$ã$745)</f>
      </c>
      <c r="FH745">
        <f>IF(ISBLANK('Data Entry'!$ä$745), "", 'Data Entry'!$ä$745)</f>
      </c>
      <c r="FI745">
        <f>IF(ISBLANK('Data Entry'!$å$745), "", 'Data Entry'!$å$745)</f>
      </c>
      <c r="FJ745">
        <f>IF(ISBLANK('Data Entry'!$æ$745), "", 'Data Entry'!$æ$745)</f>
      </c>
      <c r="FK745">
        <f>IF(ISBLANK('Data Entry'!$ç$745), "", 'Data Entry'!$ç$745)</f>
      </c>
      <c r="FL745">
        <f>IF(ISBLANK('Data Entry'!$è$745), "", 'Data Entry'!$è$745)</f>
      </c>
      <c r="FM745">
        <f>IF(ISBLANK('Data Entry'!$é$745), "", 'Data Entry'!$é$745)</f>
      </c>
      <c r="FN745">
        <f>IF(ISBLANK('Data Entry'!$ê$745), "", 'Data Entry'!$ê$745)</f>
      </c>
      <c r="FO745">
        <f>IF(ISBLANK('Data Entry'!$ë$745), "", 'Data Entry'!$ë$745)</f>
      </c>
      <c r="FP745">
        <f>IF(ISBLANK('Data Entry'!$ì$745), "", 'Data Entry'!$ì$745)</f>
      </c>
      <c r="FQ745">
        <f>IF(ISBLANK('Data Entry'!$í$745), "", 'Data Entry'!$í$745)</f>
      </c>
      <c r="FR745">
        <f>IF(ISBLANK('Data Entry'!$î$745), "", 'Data Entry'!$î$745)</f>
      </c>
      <c r="FS745">
        <f>IF(ISBLANK('Data Entry'!$ï$745), "", 'Data Entry'!$ï$745)</f>
      </c>
      <c r="FT745">
        <f>IF(ISBLANK('Data Entry'!$ð$745), "", 'Data Entry'!$ð$745)</f>
      </c>
      <c r="FU745">
        <f>IF(ISBLANK('Data Entry'!$ñ$745), "", 'Data Entry'!$ñ$745)</f>
      </c>
      <c r="FV745">
        <f>IF(ISBLANK('Data Entry'!$ò$745), "", 'Data Entry'!$ò$745)</f>
      </c>
      <c r="FW745">
        <f>IF(ISBLANK('Data Entry'!$ó$745), "", 'Data Entry'!$ó$745)</f>
      </c>
      <c r="FX745">
        <f>IF(ISBLANK('Data Entry'!$ô$745), "", 'Data Entry'!$ô$745)</f>
      </c>
      <c r="FY745">
        <f>IF(ISBLANK('Data Entry'!$õ$745), "", 'Data Entry'!$õ$745)</f>
      </c>
      <c r="FZ745">
        <f>IF(ISBLANK('Data Entry'!$ö$745), "", 'Data Entry'!$ö$745)</f>
      </c>
      <c r="GA745">
        <f>IF(ISBLANK('Data Entry'!$÷$745), "", 'Data Entry'!$÷$745)</f>
      </c>
      <c r="GB745">
        <f>IF(ISBLANK('Data Entry'!$ø$745), "", 'Data Entry'!$ø$745)</f>
      </c>
      <c r="GC745">
        <f>IF(ISBLANK('Data Entry'!$ù$745), "", 'Data Entry'!$ù$745)</f>
      </c>
      <c r="GD745">
        <f>IF(ISBLANK('Data Entry'!$ú$745), "", 'Data Entry'!$ú$745)</f>
      </c>
      <c r="GE745">
        <f>IF(ISBLANK('Data Entry'!$û$745), "", 'Data Entry'!$û$745)</f>
      </c>
      <c r="GF745">
        <f>IF(ISBLANK('Data Entry'!$ü$745), "", 'Data Entry'!$ü$745)</f>
      </c>
      <c r="GG745">
        <f>IF(ISBLANK('Data Entry'!$ý$745), "", 'Data Entry'!$ý$745)</f>
      </c>
      <c r="GH745">
        <f>IF(ISBLANK('Data Entry'!$þ$745), "", 'Data Entry'!$þ$745)</f>
      </c>
      <c r="GI745">
        <f>IF(ISBLANK('Data Entry'!$ÿ$745), "", 'Data Entry'!$ÿ$745)</f>
      </c>
      <c r="GJ745">
        <f>IF(ISBLANK('Data Entry'!$Ā$745), "", 'Data Entry'!$Ā$745)</f>
      </c>
      <c r="GK745">
        <f>IF(ISBLANK('Data Entry'!$ā$745), "", 'Data Entry'!$ā$745)</f>
      </c>
      <c r="GL745">
        <f>IF(ISBLANK('Data Entry'!$Ă$745), "", 'Data Entry'!$Ă$745)</f>
      </c>
      <c r="GM745">
        <f>IF(ISBLANK('Data Entry'!$ă$745), "", 'Data Entry'!$ă$745)</f>
      </c>
      <c r="GN745">
        <f>IF(ISBLANK('Data Entry'!$Ą$745), "", 'Data Entry'!$Ą$745)</f>
      </c>
      <c r="GO745">
        <f>IF(ISBLANK('Data Entry'!$ą$745), "", 'Data Entry'!$ą$745)</f>
      </c>
      <c r="GP745">
        <f>IF(ISBLANK('Data Entry'!$Ć$745), "", 'Data Entry'!$Ć$745)</f>
      </c>
      <c r="GQ745">
        <f>IF(ISBLANK('Data Entry'!$ć$745), "", 'Data Entry'!$ć$745)</f>
      </c>
      <c r="GR745">
        <f>IF(ISBLANK('Data Entry'!$Ĉ$745), "", 'Data Entry'!$Ĉ$745)</f>
      </c>
      <c r="GS745">
        <f>IF(ISBLANK('Data Entry'!$ĉ$745), "", 'Data Entry'!$ĉ$745)</f>
      </c>
      <c r="GT745">
        <f>IF(ISBLANK('Data Entry'!$Ċ$745), "", 'Data Entry'!$Ċ$745)</f>
      </c>
      <c r="GU745">
        <f>IF(ISBLANK('Data Entry'!$ċ$745), "", 'Data Entry'!$ċ$745)</f>
      </c>
      <c r="GV745">
        <f>IF(ISBLANK('Data Entry'!$Č$745), "", 'Data Entry'!$Č$745)</f>
      </c>
      <c r="GW745">
        <f>IF(ISBLANK('Data Entry'!$č$745), "", 'Data Entry'!$č$745)</f>
      </c>
      <c r="GX745">
        <f>IF(ISBLANK('Data Entry'!$Ď$745), "", 'Data Entry'!$Ď$745)</f>
      </c>
      <c r="GY745">
        <f>IF(ISBLANK('Data Entry'!$ď$745), "", 'Data Entry'!$ď$745)</f>
      </c>
      <c r="GZ745">
        <f>IF(ISBLANK('Data Entry'!$Đ$745), "", 'Data Entry'!$Đ$745)</f>
      </c>
      <c r="HA745">
        <f>IF(ISBLANK('Data Entry'!$đ$745), "", 'Data Entry'!$đ$745)</f>
      </c>
      <c r="HB745">
        <f>IF(ISBLANK('Data Entry'!$Ē$745), "", 'Data Entry'!$Ē$745)</f>
      </c>
      <c r="HC745">
        <f>IF(ISBLANK('Data Entry'!$ē$745), "", 'Data Entry'!$ē$745)</f>
      </c>
      <c r="HD745">
        <f>IF(ISBLANK('Data Entry'!$Ĕ$745), "", 'Data Entry'!$Ĕ$745)</f>
      </c>
      <c r="HE745">
        <f>IF(ISBLANK('Data Entry'!$ĕ$745), "", 'Data Entry'!$ĕ$745)</f>
      </c>
      <c r="HF745">
        <f>IF(ISBLANK('Data Entry'!$Ė$745), "", 'Data Entry'!$Ė$745)</f>
      </c>
      <c r="HG745">
        <f>IF(ISBLANK('Data Entry'!$ė$745), "", 'Data Entry'!$ė$745)</f>
      </c>
      <c r="HH745">
        <f>IF(ISBLANK('Data Entry'!$Ę$745), "", 'Data Entry'!$Ę$745)</f>
      </c>
      <c r="HI745">
        <f>IF(ISBLANK('Data Entry'!$ę$745), "", 'Data Entry'!$ę$745)</f>
      </c>
      <c r="HJ745">
        <f>IF(ISBLANK('Data Entry'!$Ě$745), "", 'Data Entry'!$Ě$745)</f>
      </c>
      <c r="HK745">
        <f>IF(ISBLANK('Data Entry'!$ě$745), "", 'Data Entry'!$ě$745)</f>
      </c>
      <c r="HL745">
        <f>IF(ISBLANK('Data Entry'!$Ĝ$745), "", 'Data Entry'!$Ĝ$745)</f>
      </c>
      <c r="HM745">
        <f>IF(ISBLANK('Data Entry'!$ĝ$745), "", 'Data Entry'!$ĝ$745)</f>
      </c>
      <c r="HN745">
        <f>IF(ISBLANK('Data Entry'!$Ğ$745), "", 'Data Entry'!$Ğ$745)</f>
      </c>
      <c r="HO745">
        <f>IF(ISBLANK('Data Entry'!$ğ$745), "", 'Data Entry'!$ğ$745)</f>
      </c>
      <c r="HP745">
        <f>IF(ISBLANK('Data Entry'!$Ġ$745), "", 'Data Entry'!$Ġ$745)</f>
      </c>
      <c r="HQ745">
        <f>IF(ISBLANK('Data Entry'!$ġ$745), "", 'Data Entry'!$ġ$745)</f>
      </c>
      <c r="HR745">
        <f>IF(ISBLANK('Data Entry'!$Ģ$745), "", 'Data Entry'!$Ģ$745)</f>
      </c>
      <c r="HS745">
        <f>IF(ISBLANK('Data Entry'!$ģ$745), "", 'Data Entry'!$ģ$745)</f>
      </c>
      <c r="HT745">
        <f>IF(ISBLANK('Data Entry'!$Ĥ$745), "", 'Data Entry'!$Ĥ$745)</f>
      </c>
      <c r="HU745">
        <f>IF(ISBLANK('Data Entry'!$ĥ$745), "", 'Data Entry'!$ĥ$745)</f>
      </c>
      <c r="HV745">
        <f>IF(ISBLANK('Data Entry'!$Ħ$745), "", 'Data Entry'!$Ħ$745)</f>
      </c>
      <c r="HW745">
        <f>IF(ISBLANK('Data Entry'!$ħ$745), "", 'Data Entry'!$ħ$745)</f>
      </c>
      <c r="HX745">
        <f>IF(ISBLANK('Data Entry'!$Ĩ$745), "", 'Data Entry'!$Ĩ$745)</f>
      </c>
      <c r="HY745">
        <f>IF(ISBLANK('Data Entry'!$ĩ$745), "", 'Data Entry'!$ĩ$745)</f>
      </c>
      <c r="HZ745">
        <f>IF(ISBLANK('Data Entry'!$Ī$745), "", 'Data Entry'!$Ī$745)</f>
      </c>
      <c r="IA745">
        <f>IF(ISBLANK('Data Entry'!$ī$745), "", 'Data Entry'!$ī$745)</f>
      </c>
      <c r="IB745">
        <f>IF(ISBLANK('Data Entry'!$Ĭ$745), "", 'Data Entry'!$Ĭ$745)</f>
      </c>
      <c r="IC745">
        <f>IF(ISBLANK('Data Entry'!$ĭ$745), "", 'Data Entry'!$ĭ$745)</f>
      </c>
      <c r="ID745">
        <f>IF(ISBLANK('Data Entry'!$Į$745), "", 'Data Entry'!$Į$745)</f>
      </c>
      <c r="IE745">
        <f>IF(ISBLANK('Data Entry'!$į$745), "", 'Data Entry'!$į$745)</f>
      </c>
      <c r="IF745">
        <f>IF(ISBLANK('Data Entry'!$İ$745), "", 'Data Entry'!$İ$745)</f>
      </c>
      <c r="IG745">
        <f>IF(ISBLANK('Data Entry'!$ı$745), "", 'Data Entry'!$ı$745)</f>
      </c>
      <c r="IH745">
        <f>IF(ISBLANK('Data Entry'!$Ĳ$745), "", 'Data Entry'!$Ĳ$745)</f>
      </c>
      <c r="II745">
        <f>IF(ISBLANK('Data Entry'!$ĳ$745), "", 'Data Entry'!$ĳ$745)</f>
      </c>
      <c r="IJ745">
        <f>IF(ISBLANK('Data Entry'!$Ĵ$745), "", 'Data Entry'!$Ĵ$745)</f>
      </c>
      <c r="IK745">
        <f>IF(ISBLANK('Data Entry'!$ĵ$745), "", 'Data Entry'!$ĵ$745)</f>
      </c>
      <c r="IL745">
        <f>IF(ISBLANK('Data Entry'!$Ķ$745), "", 'Data Entry'!$Ķ$745)</f>
      </c>
      <c r="IM745">
        <f>IF(ISBLANK('Data Entry'!$ķ$745), "", 'Data Entry'!$ķ$745)</f>
      </c>
      <c r="IN745">
        <f>IF(ISBLANK('Data Entry'!$ĸ$745), "", 'Data Entry'!$ĸ$745)</f>
      </c>
      <c r="IO745">
        <f>IF(ISBLANK('Data Entry'!$Ĺ$745), "", 'Data Entry'!$Ĺ$745)</f>
      </c>
      <c r="IP745">
        <f>IF(ISBLANK('Data Entry'!$ĺ$745), "", 'Data Entry'!$ĺ$745)</f>
      </c>
      <c r="IQ745">
        <f>IF(ISBLANK('Data Entry'!$Ļ$745), "", 'Data Entry'!$Ļ$745)</f>
      </c>
      <c r="IR745">
        <f>IF(ISBLANK('Data Entry'!$ļ$745), "", 'Data Entry'!$ļ$745)</f>
      </c>
      <c r="IS745">
        <f>IF(ISBLANK('Data Entry'!$Ľ$745), "", 'Data Entry'!$Ľ$745)</f>
      </c>
      <c r="IT745">
        <f>IF(ISBLANK('Data Entry'!$ľ$745), "", 'Data Entry'!$ľ$745)</f>
      </c>
    </row>
    <row r="746" spans="1:254" x14ac:dyDescent="0.25">
      <c r="A746">
        <f>IF(ISBLANK('Data Entry'!$A$746), "", 'Data Entry'!$A$746)</f>
      </c>
      <c r="B746">
        <f>IF(ISBLANK('Data Entry'!$B$746), "", 'Data Entry'!$B$746)</f>
      </c>
      <c r="C746">
        <f>IF(ISBLANK('Data Entry'!$C$746), "", 'Data Entry'!$C$746)</f>
      </c>
      <c r="D746">
        <f>IF(ISBLANK('Data Entry'!$D$746), "", 'Data Entry'!$D$746)</f>
      </c>
      <c r="E746">
        <f>IF(ISBLANK('Data Entry'!$E$746), "", 'Data Entry'!$E$746)</f>
      </c>
      <c r="F746">
        <f>IF(ISBLANK('Data Entry'!$F$746), "", 'Data Entry'!$F$746)</f>
      </c>
      <c r="G746">
        <f>IF(ISBLANK('Data Entry'!$G$746), "", 'Data Entry'!$G$746)</f>
      </c>
      <c r="H746">
        <f>IF(ISBLANK('Data Entry'!$H$746), "", 'Data Entry'!$H$746)</f>
      </c>
      <c r="I746">
        <f>IF(ISBLANK('Data Entry'!$I$746), "", 'Data Entry'!$I$746)</f>
      </c>
      <c r="J746">
        <f>IF(ISBLANK('Data Entry'!$J$746), "", 'Data Entry'!$J$746)</f>
      </c>
      <c r="K746">
        <f>IF(ISBLANK('Data Entry'!$K$746), "", 'Data Entry'!$K$746)</f>
      </c>
      <c r="L746">
        <f>IF(ISBLANK('Data Entry'!$L$746), "", 'Data Entry'!$L$746)</f>
      </c>
      <c r="M746">
        <f>IF(ISBLANK('Data Entry'!$M$746), "", 'Data Entry'!$M$746)</f>
      </c>
      <c r="N746">
        <f>IF(ISBLANK('Data Entry'!$N$746), "", 'Data Entry'!$N$746)</f>
      </c>
      <c r="O746">
        <f>IF(ISBLANK('Data Entry'!$O$746), "", 'Data Entry'!$O$746)</f>
      </c>
      <c r="P746">
        <f>IF(ISBLANK('Data Entry'!$P$746), "", 'Data Entry'!$P$746)</f>
      </c>
      <c r="Q746">
        <f>IF(ISBLANK('Data Entry'!$Q$746), "", 'Data Entry'!$Q$746)</f>
      </c>
      <c r="R746">
        <f>IF(ISBLANK('Data Entry'!$R$746), "", 'Data Entry'!$R$746)</f>
      </c>
      <c r="S746">
        <f>IF(ISBLANK('Data Entry'!$S$746), "", 'Data Entry'!$S$746)</f>
      </c>
      <c r="T746">
        <f>IF(ISBLANK('Data Entry'!$T$746), "", 'Data Entry'!$T$746)</f>
      </c>
      <c r="U746">
        <f>IF(ISBLANK('Data Entry'!$U$746), "", 'Data Entry'!$U$746)</f>
      </c>
      <c r="V746">
        <f>IF(ISBLANK('Data Entry'!$V$746), "", 'Data Entry'!$V$746)</f>
      </c>
      <c r="W746">
        <f>IF(ISBLANK('Data Entry'!$W$746), "", 'Data Entry'!$W$746)</f>
      </c>
      <c r="X746">
        <f>IF(ISBLANK('Data Entry'!$X$746), "", 'Data Entry'!$X$746)</f>
      </c>
      <c r="Y746">
        <f>IF(ISBLANK('Data Entry'!$Y$746), "", 'Data Entry'!$Y$746)</f>
      </c>
      <c r="Z746">
        <f>IF(ISBLANK('Data Entry'!$Z$746), "", 'Data Entry'!$Z$746)</f>
      </c>
      <c r="AA746">
        <f>IF(ISBLANK('Data Entry'!$[$746), "", 'Data Entry'!$[$746)</f>
      </c>
      <c r="AB746">
        <f>IF(ISBLANK('Data Entry'!$\$746), "", 'Data Entry'!$\$746)</f>
      </c>
      <c r="AC746">
        <f>IF(ISBLANK('Data Entry'!$]$746), "", 'Data Entry'!$]$746)</f>
      </c>
      <c r="AD746">
        <f>IF(ISBLANK('Data Entry'!$^$746), "", 'Data Entry'!$^$746)</f>
      </c>
      <c r="AE746">
        <f>IF(ISBLANK('Data Entry'!$_$746), "", 'Data Entry'!$_$746)</f>
      </c>
      <c r="AF746">
        <f>IF(ISBLANK('Data Entry'!$`$746), "", 'Data Entry'!$`$746)</f>
      </c>
      <c r="AG746">
        <f>IF(ISBLANK('Data Entry'!$a$746), "", 'Data Entry'!$a$746)</f>
      </c>
      <c r="AH746">
        <f>IF(ISBLANK('Data Entry'!$b$746), "", 'Data Entry'!$b$746)</f>
      </c>
      <c r="AI746">
        <f>IF(ISBLANK('Data Entry'!$c$746), "", 'Data Entry'!$c$746)</f>
      </c>
      <c r="AJ746">
        <f>IF(ISBLANK('Data Entry'!$d$746), "", 'Data Entry'!$d$746)</f>
      </c>
      <c r="AK746">
        <f>IF(ISBLANK('Data Entry'!$e$746), "", 'Data Entry'!$e$746)</f>
      </c>
      <c r="AL746">
        <f>IF(ISBLANK('Data Entry'!$f$746), "", 'Data Entry'!$f$746)</f>
      </c>
      <c r="AM746">
        <f>IF(ISBLANK('Data Entry'!$g$746), "", 'Data Entry'!$g$746)</f>
      </c>
      <c r="AN746">
        <f>IF(ISBLANK('Data Entry'!$h$746), "", 'Data Entry'!$h$746)</f>
      </c>
      <c r="AO746">
        <f>IF(ISBLANK('Data Entry'!$i$746), "", 'Data Entry'!$i$746)</f>
      </c>
      <c r="AP746">
        <f>IF(ISBLANK('Data Entry'!$j$746), "", 'Data Entry'!$j$746)</f>
      </c>
      <c r="AQ746">
        <f>IF(ISBLANK('Data Entry'!$k$746), "", 'Data Entry'!$k$746)</f>
      </c>
      <c r="AR746">
        <f>IF(ISBLANK('Data Entry'!$l$746), "", 'Data Entry'!$l$746)</f>
      </c>
      <c r="AS746">
        <f>IF(ISBLANK('Data Entry'!$m$746), "", 'Data Entry'!$m$746)</f>
      </c>
      <c r="AT746">
        <f>IF(ISBLANK('Data Entry'!$n$746), "", 'Data Entry'!$n$746)</f>
      </c>
      <c r="AU746">
        <f>IF(ISBLANK('Data Entry'!$o$746), "", 'Data Entry'!$o$746)</f>
      </c>
      <c r="AV746">
        <f>IF(ISBLANK('Data Entry'!$p$746), "", 'Data Entry'!$p$746)</f>
      </c>
      <c r="AW746">
        <f>IF(ISBLANK('Data Entry'!$q$746), "", 'Data Entry'!$q$746)</f>
      </c>
      <c r="AX746">
        <f>IF(ISBLANK('Data Entry'!$r$746), "", 'Data Entry'!$r$746)</f>
      </c>
      <c r="AY746">
        <f>IF(ISBLANK('Data Entry'!$s$746), "", 'Data Entry'!$s$746)</f>
      </c>
      <c r="AZ746">
        <f>IF(ISBLANK('Data Entry'!$t$746), "", 'Data Entry'!$t$746)</f>
      </c>
      <c r="BA746">
        <f>IF(ISBLANK('Data Entry'!$u$746), "", 'Data Entry'!$u$746)</f>
      </c>
      <c r="BB746">
        <f>IF(ISBLANK('Data Entry'!$v$746), "", 'Data Entry'!$v$746)</f>
      </c>
      <c r="BC746">
        <f>IF(ISBLANK('Data Entry'!$w$746), "", 'Data Entry'!$w$746)</f>
      </c>
      <c r="BD746">
        <f>IF(ISBLANK('Data Entry'!$x$746), "", 'Data Entry'!$x$746)</f>
      </c>
      <c r="BE746">
        <f>IF(ISBLANK('Data Entry'!$y$746), "", 'Data Entry'!$y$746)</f>
      </c>
      <c r="BF746">
        <f>IF(ISBLANK('Data Entry'!$z$746), "", 'Data Entry'!$z$746)</f>
      </c>
      <c r="BG746">
        <f>IF(ISBLANK('Data Entry'!${$746), "", 'Data Entry'!${$746)</f>
      </c>
      <c r="BH746">
        <f>IF(ISBLANK('Data Entry'!$|$746), "", 'Data Entry'!$|$746)</f>
      </c>
      <c r="BI746">
        <f>IF(ISBLANK('Data Entry'!$}$746), "", 'Data Entry'!$}$746)</f>
      </c>
      <c r="BJ746">
        <f>IF(ISBLANK('Data Entry'!$~$746), "", 'Data Entry'!$~$746)</f>
      </c>
      <c r="BK746">
        <f>IF(ISBLANK('Data Entry'!$$746), "", 'Data Entry'!$$746)</f>
      </c>
      <c r="BL746">
        <f>IF(ISBLANK('Data Entry'!$$746), "", 'Data Entry'!$$746)</f>
      </c>
      <c r="BM746">
        <f>IF(ISBLANK('Data Entry'!$$746), "", 'Data Entry'!$$746)</f>
      </c>
      <c r="BN746">
        <f>IF(ISBLANK('Data Entry'!$$746), "", 'Data Entry'!$$746)</f>
      </c>
      <c r="BO746">
        <f>IF(ISBLANK('Data Entry'!$$746), "", 'Data Entry'!$$746)</f>
      </c>
      <c r="BP746">
        <f>IF(ISBLANK('Data Entry'!$$746), "", 'Data Entry'!$$746)</f>
      </c>
      <c r="BQ746">
        <f>IF(ISBLANK('Data Entry'!$$746), "", 'Data Entry'!$$746)</f>
      </c>
      <c r="BR746">
        <f>IF(ISBLANK('Data Entry'!$$746), "", 'Data Entry'!$$746)</f>
      </c>
      <c r="BS746">
        <f>IF(ISBLANK('Data Entry'!$$746), "", 'Data Entry'!$$746)</f>
      </c>
      <c r="BT746">
        <f>IF(ISBLANK('Data Entry'!$$746), "", 'Data Entry'!$$746)</f>
      </c>
      <c r="BU746">
        <f>IF(ISBLANK('Data Entry'!$$746), "", 'Data Entry'!$$746)</f>
      </c>
      <c r="BV746">
        <f>IF(ISBLANK('Data Entry'!$$746), "", 'Data Entry'!$$746)</f>
      </c>
      <c r="BW746">
        <f>IF(ISBLANK('Data Entry'!$$746), "", 'Data Entry'!$$746)</f>
      </c>
      <c r="BX746">
        <f>IF(ISBLANK('Data Entry'!$$746), "", 'Data Entry'!$$746)</f>
      </c>
      <c r="BY746">
        <f>IF(ISBLANK('Data Entry'!$$746), "", 'Data Entry'!$$746)</f>
      </c>
      <c r="BZ746">
        <f>IF(ISBLANK('Data Entry'!$$746), "", 'Data Entry'!$$746)</f>
      </c>
      <c r="CA746">
        <f>IF(ISBLANK('Data Entry'!$$746), "", 'Data Entry'!$$746)</f>
      </c>
      <c r="CB746">
        <f>IF(ISBLANK('Data Entry'!$$746), "", 'Data Entry'!$$746)</f>
      </c>
      <c r="CC746">
        <f>IF(ISBLANK('Data Entry'!$$746), "", 'Data Entry'!$$746)</f>
      </c>
      <c r="CD746">
        <f>IF(ISBLANK('Data Entry'!$$746), "", 'Data Entry'!$$746)</f>
      </c>
      <c r="CE746">
        <f>IF(ISBLANK('Data Entry'!$$746), "", 'Data Entry'!$$746)</f>
      </c>
      <c r="CF746">
        <f>IF(ISBLANK('Data Entry'!$$746), "", 'Data Entry'!$$746)</f>
      </c>
      <c r="CG746">
        <f>IF(ISBLANK('Data Entry'!$$746), "", 'Data Entry'!$$746)</f>
      </c>
      <c r="CH746">
        <f>IF(ISBLANK('Data Entry'!$$746), "", 'Data Entry'!$$746)</f>
      </c>
      <c r="CI746">
        <f>IF(ISBLANK('Data Entry'!$$746), "", 'Data Entry'!$$746)</f>
      </c>
      <c r="CJ746">
        <f>IF(ISBLANK('Data Entry'!$$746), "", 'Data Entry'!$$746)</f>
      </c>
      <c r="CK746">
        <f>IF(ISBLANK('Data Entry'!$$746), "", 'Data Entry'!$$746)</f>
      </c>
      <c r="CL746">
        <f>IF(ISBLANK('Data Entry'!$$746), "", 'Data Entry'!$$746)</f>
      </c>
      <c r="CM746">
        <f>IF(ISBLANK('Data Entry'!$$746), "", 'Data Entry'!$$746)</f>
      </c>
      <c r="CN746">
        <f>IF(ISBLANK('Data Entry'!$$746), "", 'Data Entry'!$$746)</f>
      </c>
      <c r="CO746">
        <f>IF(ISBLANK('Data Entry'!$$746), "", 'Data Entry'!$$746)</f>
      </c>
      <c r="CP746">
        <f>IF(ISBLANK('Data Entry'!$$746), "", 'Data Entry'!$$746)</f>
      </c>
      <c r="CQ746">
        <f>IF(ISBLANK('Data Entry'!$$746), "", 'Data Entry'!$$746)</f>
      </c>
      <c r="CR746">
        <f>IF(ISBLANK('Data Entry'!$ $746), "", 'Data Entry'!$ $746)</f>
      </c>
      <c r="CS746">
        <f>IF(ISBLANK('Data Entry'!$¡$746), "", 'Data Entry'!$¡$746)</f>
      </c>
      <c r="CT746">
        <f>IF(ISBLANK('Data Entry'!$¢$746), "", 'Data Entry'!$¢$746)</f>
      </c>
      <c r="CU746">
        <f>IF(ISBLANK('Data Entry'!$£$746), "", 'Data Entry'!$£$746)</f>
      </c>
      <c r="CV746">
        <f>IF(ISBLANK('Data Entry'!$¤$746), "", 'Data Entry'!$¤$746)</f>
      </c>
      <c r="CW746">
        <f>IF(ISBLANK('Data Entry'!$¥$746), "", 'Data Entry'!$¥$746)</f>
      </c>
      <c r="CX746">
        <f>IF(ISBLANK('Data Entry'!$¦$746), "", 'Data Entry'!$¦$746)</f>
      </c>
      <c r="CY746">
        <f>IF(ISBLANK('Data Entry'!$§$746), "", 'Data Entry'!$§$746)</f>
      </c>
      <c r="CZ746">
        <f>IF(ISBLANK('Data Entry'!$¨$746), "", 'Data Entry'!$¨$746)</f>
      </c>
      <c r="DA746">
        <f>IF(ISBLANK('Data Entry'!$©$746), "", 'Data Entry'!$©$746)</f>
      </c>
      <c r="DB746">
        <f>IF(ISBLANK('Data Entry'!$ª$746), "", 'Data Entry'!$ª$746)</f>
      </c>
      <c r="DC746">
        <f>IF(ISBLANK('Data Entry'!$«$746), "", 'Data Entry'!$«$746)</f>
      </c>
      <c r="DD746">
        <f>IF(ISBLANK('Data Entry'!$¬$746), "", 'Data Entry'!$¬$746)</f>
      </c>
      <c r="DE746">
        <f>IF(ISBLANK('Data Entry'!$­$746), "", 'Data Entry'!$­$746)</f>
      </c>
      <c r="DF746">
        <f>IF(ISBLANK('Data Entry'!$®$746), "", 'Data Entry'!$®$746)</f>
      </c>
      <c r="DG746">
        <f>IF(ISBLANK('Data Entry'!$¯$746), "", 'Data Entry'!$¯$746)</f>
      </c>
      <c r="DH746">
        <f>IF(ISBLANK('Data Entry'!$°$746), "", 'Data Entry'!$°$746)</f>
      </c>
      <c r="DI746">
        <f>IF(ISBLANK('Data Entry'!$±$746), "", 'Data Entry'!$±$746)</f>
      </c>
      <c r="DJ746">
        <f>IF(ISBLANK('Data Entry'!$²$746), "", 'Data Entry'!$²$746)</f>
      </c>
      <c r="DK746">
        <f>IF(ISBLANK('Data Entry'!$³$746), "", 'Data Entry'!$³$746)</f>
      </c>
      <c r="DL746">
        <f>IF(ISBLANK('Data Entry'!$´$746), "", 'Data Entry'!$´$746)</f>
      </c>
      <c r="DM746">
        <f>IF(ISBLANK('Data Entry'!$µ$746), "", 'Data Entry'!$µ$746)</f>
      </c>
      <c r="DN746">
        <f>IF(ISBLANK('Data Entry'!$¶$746), "", 'Data Entry'!$¶$746)</f>
      </c>
      <c r="DO746">
        <f>IF(ISBLANK('Data Entry'!$·$746), "", 'Data Entry'!$·$746)</f>
      </c>
      <c r="DP746">
        <f>IF(ISBLANK('Data Entry'!$¸$746), "", 'Data Entry'!$¸$746)</f>
      </c>
      <c r="DQ746">
        <f>IF(ISBLANK('Data Entry'!$¹$746), "", 'Data Entry'!$¹$746)</f>
      </c>
      <c r="DR746">
        <f>IF(ISBLANK('Data Entry'!$º$746), "", 'Data Entry'!$º$746)</f>
      </c>
      <c r="DS746">
        <f>IF(ISBLANK('Data Entry'!$»$746), "", 'Data Entry'!$»$746)</f>
      </c>
      <c r="DT746">
        <f>IF(ISBLANK('Data Entry'!$¼$746), "", 'Data Entry'!$¼$746)</f>
      </c>
      <c r="DU746">
        <f>IF(ISBLANK('Data Entry'!$½$746), "", 'Data Entry'!$½$746)</f>
      </c>
      <c r="DV746">
        <f>IF(ISBLANK('Data Entry'!$¾$746), "", 'Data Entry'!$¾$746)</f>
      </c>
      <c r="DW746">
        <f>IF(ISBLANK('Data Entry'!$¿$746), "", 'Data Entry'!$¿$746)</f>
      </c>
      <c r="DX746">
        <f>IF(ISBLANK('Data Entry'!$À$746), "", 'Data Entry'!$À$746)</f>
      </c>
      <c r="DY746">
        <f>IF(ISBLANK('Data Entry'!$Á$746), "", 'Data Entry'!$Á$746)</f>
      </c>
      <c r="DZ746">
        <f>IF(ISBLANK('Data Entry'!$Â$746), "", 'Data Entry'!$Â$746)</f>
      </c>
      <c r="EA746">
        <f>IF(ISBLANK('Data Entry'!$Ã$746), "", 'Data Entry'!$Ã$746)</f>
      </c>
      <c r="EB746">
        <f>IF(ISBLANK('Data Entry'!$Ä$746), "", 'Data Entry'!$Ä$746)</f>
      </c>
      <c r="EC746">
        <f>IF(ISBLANK('Data Entry'!$Å$746), "", 'Data Entry'!$Å$746)</f>
      </c>
      <c r="ED746">
        <f>IF(ISBLANK('Data Entry'!$Æ$746), "", 'Data Entry'!$Æ$746)</f>
      </c>
      <c r="EE746">
        <f>IF(ISBLANK('Data Entry'!$Ç$746), "", 'Data Entry'!$Ç$746)</f>
      </c>
      <c r="EF746">
        <f>IF(ISBLANK('Data Entry'!$È$746), "", 'Data Entry'!$È$746)</f>
      </c>
      <c r="EG746">
        <f>IF(ISBLANK('Data Entry'!$É$746), "", 'Data Entry'!$É$746)</f>
      </c>
      <c r="EH746">
        <f>IF(ISBLANK('Data Entry'!$Ê$746), "", 'Data Entry'!$Ê$746)</f>
      </c>
      <c r="EI746">
        <f>IF(ISBLANK('Data Entry'!$Ë$746), "", 'Data Entry'!$Ë$746)</f>
      </c>
      <c r="EJ746">
        <f>IF(ISBLANK('Data Entry'!$Ì$746), "", 'Data Entry'!$Ì$746)</f>
      </c>
      <c r="EK746">
        <f>IF(ISBLANK('Data Entry'!$Í$746), "", 'Data Entry'!$Í$746)</f>
      </c>
      <c r="EL746">
        <f>IF(ISBLANK('Data Entry'!$Î$746), "", 'Data Entry'!$Î$746)</f>
      </c>
      <c r="EM746">
        <f>IF(ISBLANK('Data Entry'!$Ï$746), "", 'Data Entry'!$Ï$746)</f>
      </c>
      <c r="EN746">
        <f>IF(ISBLANK('Data Entry'!$Ð$746), "", 'Data Entry'!$Ð$746)</f>
      </c>
      <c r="EO746">
        <f>IF(ISBLANK('Data Entry'!$Ñ$746), "", 'Data Entry'!$Ñ$746)</f>
      </c>
      <c r="EP746">
        <f>IF(ISBLANK('Data Entry'!$Ò$746), "", 'Data Entry'!$Ò$746)</f>
      </c>
      <c r="EQ746">
        <f>IF(ISBLANK('Data Entry'!$Ó$746), "", 'Data Entry'!$Ó$746)</f>
      </c>
      <c r="ER746">
        <f>IF(ISBLANK('Data Entry'!$Ô$746), "", 'Data Entry'!$Ô$746)</f>
      </c>
      <c r="ES746">
        <f>IF(ISBLANK('Data Entry'!$Õ$746), "", 'Data Entry'!$Õ$746)</f>
      </c>
      <c r="ET746">
        <f>IF(ISBLANK('Data Entry'!$Ö$746), "", 'Data Entry'!$Ö$746)</f>
      </c>
      <c r="EU746">
        <f>IF(ISBLANK('Data Entry'!$×$746), "", 'Data Entry'!$×$746)</f>
      </c>
      <c r="EV746">
        <f>IF(ISBLANK('Data Entry'!$Ø$746), "", 'Data Entry'!$Ø$746)</f>
      </c>
      <c r="EW746">
        <f>IF(ISBLANK('Data Entry'!$Ù$746), "", 'Data Entry'!$Ù$746)</f>
      </c>
      <c r="EX746">
        <f>IF(ISBLANK('Data Entry'!$Ú$746), "", 'Data Entry'!$Ú$746)</f>
      </c>
      <c r="EY746">
        <f>IF(ISBLANK('Data Entry'!$Û$746), "", 'Data Entry'!$Û$746)</f>
      </c>
      <c r="EZ746">
        <f>IF(ISBLANK('Data Entry'!$Ü$746), "", 'Data Entry'!$Ü$746)</f>
      </c>
      <c r="FA746">
        <f>IF(ISBLANK('Data Entry'!$Ý$746), "", 'Data Entry'!$Ý$746)</f>
      </c>
      <c r="FB746">
        <f>IF(ISBLANK('Data Entry'!$Þ$746), "", 'Data Entry'!$Þ$746)</f>
      </c>
      <c r="FC746">
        <f>IF(ISBLANK('Data Entry'!$ß$746), "", 'Data Entry'!$ß$746)</f>
      </c>
      <c r="FD746">
        <f>IF(ISBLANK('Data Entry'!$à$746), "", 'Data Entry'!$à$746)</f>
      </c>
      <c r="FE746">
        <f>IF(ISBLANK('Data Entry'!$á$746), "", 'Data Entry'!$á$746)</f>
      </c>
      <c r="FF746">
        <f>IF(ISBLANK('Data Entry'!$â$746), "", 'Data Entry'!$â$746)</f>
      </c>
      <c r="FG746">
        <f>IF(ISBLANK('Data Entry'!$ã$746), "", 'Data Entry'!$ã$746)</f>
      </c>
      <c r="FH746">
        <f>IF(ISBLANK('Data Entry'!$ä$746), "", 'Data Entry'!$ä$746)</f>
      </c>
      <c r="FI746">
        <f>IF(ISBLANK('Data Entry'!$å$746), "", 'Data Entry'!$å$746)</f>
      </c>
      <c r="FJ746">
        <f>IF(ISBLANK('Data Entry'!$æ$746), "", 'Data Entry'!$æ$746)</f>
      </c>
      <c r="FK746">
        <f>IF(ISBLANK('Data Entry'!$ç$746), "", 'Data Entry'!$ç$746)</f>
      </c>
      <c r="FL746">
        <f>IF(ISBLANK('Data Entry'!$è$746), "", 'Data Entry'!$è$746)</f>
      </c>
      <c r="FM746">
        <f>IF(ISBLANK('Data Entry'!$é$746), "", 'Data Entry'!$é$746)</f>
      </c>
      <c r="FN746">
        <f>IF(ISBLANK('Data Entry'!$ê$746), "", 'Data Entry'!$ê$746)</f>
      </c>
      <c r="FO746">
        <f>IF(ISBLANK('Data Entry'!$ë$746), "", 'Data Entry'!$ë$746)</f>
      </c>
      <c r="FP746">
        <f>IF(ISBLANK('Data Entry'!$ì$746), "", 'Data Entry'!$ì$746)</f>
      </c>
      <c r="FQ746">
        <f>IF(ISBLANK('Data Entry'!$í$746), "", 'Data Entry'!$í$746)</f>
      </c>
      <c r="FR746">
        <f>IF(ISBLANK('Data Entry'!$î$746), "", 'Data Entry'!$î$746)</f>
      </c>
      <c r="FS746">
        <f>IF(ISBLANK('Data Entry'!$ï$746), "", 'Data Entry'!$ï$746)</f>
      </c>
      <c r="FT746">
        <f>IF(ISBLANK('Data Entry'!$ð$746), "", 'Data Entry'!$ð$746)</f>
      </c>
      <c r="FU746">
        <f>IF(ISBLANK('Data Entry'!$ñ$746), "", 'Data Entry'!$ñ$746)</f>
      </c>
      <c r="FV746">
        <f>IF(ISBLANK('Data Entry'!$ò$746), "", 'Data Entry'!$ò$746)</f>
      </c>
      <c r="FW746">
        <f>IF(ISBLANK('Data Entry'!$ó$746), "", 'Data Entry'!$ó$746)</f>
      </c>
      <c r="FX746">
        <f>IF(ISBLANK('Data Entry'!$ô$746), "", 'Data Entry'!$ô$746)</f>
      </c>
      <c r="FY746">
        <f>IF(ISBLANK('Data Entry'!$õ$746), "", 'Data Entry'!$õ$746)</f>
      </c>
      <c r="FZ746">
        <f>IF(ISBLANK('Data Entry'!$ö$746), "", 'Data Entry'!$ö$746)</f>
      </c>
      <c r="GA746">
        <f>IF(ISBLANK('Data Entry'!$÷$746), "", 'Data Entry'!$÷$746)</f>
      </c>
      <c r="GB746">
        <f>IF(ISBLANK('Data Entry'!$ø$746), "", 'Data Entry'!$ø$746)</f>
      </c>
      <c r="GC746">
        <f>IF(ISBLANK('Data Entry'!$ù$746), "", 'Data Entry'!$ù$746)</f>
      </c>
      <c r="GD746">
        <f>IF(ISBLANK('Data Entry'!$ú$746), "", 'Data Entry'!$ú$746)</f>
      </c>
      <c r="GE746">
        <f>IF(ISBLANK('Data Entry'!$û$746), "", 'Data Entry'!$û$746)</f>
      </c>
      <c r="GF746">
        <f>IF(ISBLANK('Data Entry'!$ü$746), "", 'Data Entry'!$ü$746)</f>
      </c>
      <c r="GG746">
        <f>IF(ISBLANK('Data Entry'!$ý$746), "", 'Data Entry'!$ý$746)</f>
      </c>
      <c r="GH746">
        <f>IF(ISBLANK('Data Entry'!$þ$746), "", 'Data Entry'!$þ$746)</f>
      </c>
      <c r="GI746">
        <f>IF(ISBLANK('Data Entry'!$ÿ$746), "", 'Data Entry'!$ÿ$746)</f>
      </c>
      <c r="GJ746">
        <f>IF(ISBLANK('Data Entry'!$Ā$746), "", 'Data Entry'!$Ā$746)</f>
      </c>
      <c r="GK746">
        <f>IF(ISBLANK('Data Entry'!$ā$746), "", 'Data Entry'!$ā$746)</f>
      </c>
      <c r="GL746">
        <f>IF(ISBLANK('Data Entry'!$Ă$746), "", 'Data Entry'!$Ă$746)</f>
      </c>
      <c r="GM746">
        <f>IF(ISBLANK('Data Entry'!$ă$746), "", 'Data Entry'!$ă$746)</f>
      </c>
      <c r="GN746">
        <f>IF(ISBLANK('Data Entry'!$Ą$746), "", 'Data Entry'!$Ą$746)</f>
      </c>
      <c r="GO746">
        <f>IF(ISBLANK('Data Entry'!$ą$746), "", 'Data Entry'!$ą$746)</f>
      </c>
      <c r="GP746">
        <f>IF(ISBLANK('Data Entry'!$Ć$746), "", 'Data Entry'!$Ć$746)</f>
      </c>
      <c r="GQ746">
        <f>IF(ISBLANK('Data Entry'!$ć$746), "", 'Data Entry'!$ć$746)</f>
      </c>
      <c r="GR746">
        <f>IF(ISBLANK('Data Entry'!$Ĉ$746), "", 'Data Entry'!$Ĉ$746)</f>
      </c>
      <c r="GS746">
        <f>IF(ISBLANK('Data Entry'!$ĉ$746), "", 'Data Entry'!$ĉ$746)</f>
      </c>
      <c r="GT746">
        <f>IF(ISBLANK('Data Entry'!$Ċ$746), "", 'Data Entry'!$Ċ$746)</f>
      </c>
      <c r="GU746">
        <f>IF(ISBLANK('Data Entry'!$ċ$746), "", 'Data Entry'!$ċ$746)</f>
      </c>
      <c r="GV746">
        <f>IF(ISBLANK('Data Entry'!$Č$746), "", 'Data Entry'!$Č$746)</f>
      </c>
      <c r="GW746">
        <f>IF(ISBLANK('Data Entry'!$č$746), "", 'Data Entry'!$č$746)</f>
      </c>
      <c r="GX746">
        <f>IF(ISBLANK('Data Entry'!$Ď$746), "", 'Data Entry'!$Ď$746)</f>
      </c>
      <c r="GY746">
        <f>IF(ISBLANK('Data Entry'!$ď$746), "", 'Data Entry'!$ď$746)</f>
      </c>
      <c r="GZ746">
        <f>IF(ISBLANK('Data Entry'!$Đ$746), "", 'Data Entry'!$Đ$746)</f>
      </c>
      <c r="HA746">
        <f>IF(ISBLANK('Data Entry'!$đ$746), "", 'Data Entry'!$đ$746)</f>
      </c>
      <c r="HB746">
        <f>IF(ISBLANK('Data Entry'!$Ē$746), "", 'Data Entry'!$Ē$746)</f>
      </c>
      <c r="HC746">
        <f>IF(ISBLANK('Data Entry'!$ē$746), "", 'Data Entry'!$ē$746)</f>
      </c>
      <c r="HD746">
        <f>IF(ISBLANK('Data Entry'!$Ĕ$746), "", 'Data Entry'!$Ĕ$746)</f>
      </c>
      <c r="HE746">
        <f>IF(ISBLANK('Data Entry'!$ĕ$746), "", 'Data Entry'!$ĕ$746)</f>
      </c>
      <c r="HF746">
        <f>IF(ISBLANK('Data Entry'!$Ė$746), "", 'Data Entry'!$Ė$746)</f>
      </c>
      <c r="HG746">
        <f>IF(ISBLANK('Data Entry'!$ė$746), "", 'Data Entry'!$ė$746)</f>
      </c>
      <c r="HH746">
        <f>IF(ISBLANK('Data Entry'!$Ę$746), "", 'Data Entry'!$Ę$746)</f>
      </c>
      <c r="HI746">
        <f>IF(ISBLANK('Data Entry'!$ę$746), "", 'Data Entry'!$ę$746)</f>
      </c>
      <c r="HJ746">
        <f>IF(ISBLANK('Data Entry'!$Ě$746), "", 'Data Entry'!$Ě$746)</f>
      </c>
      <c r="HK746">
        <f>IF(ISBLANK('Data Entry'!$ě$746), "", 'Data Entry'!$ě$746)</f>
      </c>
      <c r="HL746">
        <f>IF(ISBLANK('Data Entry'!$Ĝ$746), "", 'Data Entry'!$Ĝ$746)</f>
      </c>
      <c r="HM746">
        <f>IF(ISBLANK('Data Entry'!$ĝ$746), "", 'Data Entry'!$ĝ$746)</f>
      </c>
      <c r="HN746">
        <f>IF(ISBLANK('Data Entry'!$Ğ$746), "", 'Data Entry'!$Ğ$746)</f>
      </c>
      <c r="HO746">
        <f>IF(ISBLANK('Data Entry'!$ğ$746), "", 'Data Entry'!$ğ$746)</f>
      </c>
      <c r="HP746">
        <f>IF(ISBLANK('Data Entry'!$Ġ$746), "", 'Data Entry'!$Ġ$746)</f>
      </c>
      <c r="HQ746">
        <f>IF(ISBLANK('Data Entry'!$ġ$746), "", 'Data Entry'!$ġ$746)</f>
      </c>
      <c r="HR746">
        <f>IF(ISBLANK('Data Entry'!$Ģ$746), "", 'Data Entry'!$Ģ$746)</f>
      </c>
      <c r="HS746">
        <f>IF(ISBLANK('Data Entry'!$ģ$746), "", 'Data Entry'!$ģ$746)</f>
      </c>
      <c r="HT746">
        <f>IF(ISBLANK('Data Entry'!$Ĥ$746), "", 'Data Entry'!$Ĥ$746)</f>
      </c>
      <c r="HU746">
        <f>IF(ISBLANK('Data Entry'!$ĥ$746), "", 'Data Entry'!$ĥ$746)</f>
      </c>
      <c r="HV746">
        <f>IF(ISBLANK('Data Entry'!$Ħ$746), "", 'Data Entry'!$Ħ$746)</f>
      </c>
      <c r="HW746">
        <f>IF(ISBLANK('Data Entry'!$ħ$746), "", 'Data Entry'!$ħ$746)</f>
      </c>
      <c r="HX746">
        <f>IF(ISBLANK('Data Entry'!$Ĩ$746), "", 'Data Entry'!$Ĩ$746)</f>
      </c>
      <c r="HY746">
        <f>IF(ISBLANK('Data Entry'!$ĩ$746), "", 'Data Entry'!$ĩ$746)</f>
      </c>
      <c r="HZ746">
        <f>IF(ISBLANK('Data Entry'!$Ī$746), "", 'Data Entry'!$Ī$746)</f>
      </c>
      <c r="IA746">
        <f>IF(ISBLANK('Data Entry'!$ī$746), "", 'Data Entry'!$ī$746)</f>
      </c>
      <c r="IB746">
        <f>IF(ISBLANK('Data Entry'!$Ĭ$746), "", 'Data Entry'!$Ĭ$746)</f>
      </c>
      <c r="IC746">
        <f>IF(ISBLANK('Data Entry'!$ĭ$746), "", 'Data Entry'!$ĭ$746)</f>
      </c>
      <c r="ID746">
        <f>IF(ISBLANK('Data Entry'!$Į$746), "", 'Data Entry'!$Į$746)</f>
      </c>
      <c r="IE746">
        <f>IF(ISBLANK('Data Entry'!$į$746), "", 'Data Entry'!$į$746)</f>
      </c>
      <c r="IF746">
        <f>IF(ISBLANK('Data Entry'!$İ$746), "", 'Data Entry'!$İ$746)</f>
      </c>
      <c r="IG746">
        <f>IF(ISBLANK('Data Entry'!$ı$746), "", 'Data Entry'!$ı$746)</f>
      </c>
      <c r="IH746">
        <f>IF(ISBLANK('Data Entry'!$Ĳ$746), "", 'Data Entry'!$Ĳ$746)</f>
      </c>
      <c r="II746">
        <f>IF(ISBLANK('Data Entry'!$ĳ$746), "", 'Data Entry'!$ĳ$746)</f>
      </c>
      <c r="IJ746">
        <f>IF(ISBLANK('Data Entry'!$Ĵ$746), "", 'Data Entry'!$Ĵ$746)</f>
      </c>
      <c r="IK746">
        <f>IF(ISBLANK('Data Entry'!$ĵ$746), "", 'Data Entry'!$ĵ$746)</f>
      </c>
      <c r="IL746">
        <f>IF(ISBLANK('Data Entry'!$Ķ$746), "", 'Data Entry'!$Ķ$746)</f>
      </c>
      <c r="IM746">
        <f>IF(ISBLANK('Data Entry'!$ķ$746), "", 'Data Entry'!$ķ$746)</f>
      </c>
      <c r="IN746">
        <f>IF(ISBLANK('Data Entry'!$ĸ$746), "", 'Data Entry'!$ĸ$746)</f>
      </c>
      <c r="IO746">
        <f>IF(ISBLANK('Data Entry'!$Ĺ$746), "", 'Data Entry'!$Ĺ$746)</f>
      </c>
      <c r="IP746">
        <f>IF(ISBLANK('Data Entry'!$ĺ$746), "", 'Data Entry'!$ĺ$746)</f>
      </c>
      <c r="IQ746">
        <f>IF(ISBLANK('Data Entry'!$Ļ$746), "", 'Data Entry'!$Ļ$746)</f>
      </c>
      <c r="IR746">
        <f>IF(ISBLANK('Data Entry'!$ļ$746), "", 'Data Entry'!$ļ$746)</f>
      </c>
      <c r="IS746">
        <f>IF(ISBLANK('Data Entry'!$Ľ$746), "", 'Data Entry'!$Ľ$746)</f>
      </c>
      <c r="IT746">
        <f>IF(ISBLANK('Data Entry'!$ľ$746), "", 'Data Entry'!$ľ$746)</f>
      </c>
    </row>
    <row r="747" spans="1:254" x14ac:dyDescent="0.25">
      <c r="A747">
        <f>IF(ISBLANK('Data Entry'!$A$747), "", 'Data Entry'!$A$747)</f>
      </c>
      <c r="B747">
        <f>IF(ISBLANK('Data Entry'!$B$747), "", 'Data Entry'!$B$747)</f>
      </c>
      <c r="C747">
        <f>IF(ISBLANK('Data Entry'!$C$747), "", 'Data Entry'!$C$747)</f>
      </c>
      <c r="D747">
        <f>IF(ISBLANK('Data Entry'!$D$747), "", 'Data Entry'!$D$747)</f>
      </c>
      <c r="E747">
        <f>IF(ISBLANK('Data Entry'!$E$747), "", 'Data Entry'!$E$747)</f>
      </c>
      <c r="F747">
        <f>IF(ISBLANK('Data Entry'!$F$747), "", 'Data Entry'!$F$747)</f>
      </c>
      <c r="G747">
        <f>IF(ISBLANK('Data Entry'!$G$747), "", 'Data Entry'!$G$747)</f>
      </c>
      <c r="H747">
        <f>IF(ISBLANK('Data Entry'!$H$747), "", 'Data Entry'!$H$747)</f>
      </c>
      <c r="I747">
        <f>IF(ISBLANK('Data Entry'!$I$747), "", 'Data Entry'!$I$747)</f>
      </c>
      <c r="J747">
        <f>IF(ISBLANK('Data Entry'!$J$747), "", 'Data Entry'!$J$747)</f>
      </c>
      <c r="K747">
        <f>IF(ISBLANK('Data Entry'!$K$747), "", 'Data Entry'!$K$747)</f>
      </c>
      <c r="L747">
        <f>IF(ISBLANK('Data Entry'!$L$747), "", 'Data Entry'!$L$747)</f>
      </c>
      <c r="M747">
        <f>IF(ISBLANK('Data Entry'!$M$747), "", 'Data Entry'!$M$747)</f>
      </c>
      <c r="N747">
        <f>IF(ISBLANK('Data Entry'!$N$747), "", 'Data Entry'!$N$747)</f>
      </c>
      <c r="O747">
        <f>IF(ISBLANK('Data Entry'!$O$747), "", 'Data Entry'!$O$747)</f>
      </c>
      <c r="P747">
        <f>IF(ISBLANK('Data Entry'!$P$747), "", 'Data Entry'!$P$747)</f>
      </c>
      <c r="Q747">
        <f>IF(ISBLANK('Data Entry'!$Q$747), "", 'Data Entry'!$Q$747)</f>
      </c>
      <c r="R747">
        <f>IF(ISBLANK('Data Entry'!$R$747), "", 'Data Entry'!$R$747)</f>
      </c>
      <c r="S747">
        <f>IF(ISBLANK('Data Entry'!$S$747), "", 'Data Entry'!$S$747)</f>
      </c>
      <c r="T747">
        <f>IF(ISBLANK('Data Entry'!$T$747), "", 'Data Entry'!$T$747)</f>
      </c>
      <c r="U747">
        <f>IF(ISBLANK('Data Entry'!$U$747), "", 'Data Entry'!$U$747)</f>
      </c>
      <c r="V747">
        <f>IF(ISBLANK('Data Entry'!$V$747), "", 'Data Entry'!$V$747)</f>
      </c>
      <c r="W747">
        <f>IF(ISBLANK('Data Entry'!$W$747), "", 'Data Entry'!$W$747)</f>
      </c>
      <c r="X747">
        <f>IF(ISBLANK('Data Entry'!$X$747), "", 'Data Entry'!$X$747)</f>
      </c>
      <c r="Y747">
        <f>IF(ISBLANK('Data Entry'!$Y$747), "", 'Data Entry'!$Y$747)</f>
      </c>
      <c r="Z747">
        <f>IF(ISBLANK('Data Entry'!$Z$747), "", 'Data Entry'!$Z$747)</f>
      </c>
      <c r="AA747">
        <f>IF(ISBLANK('Data Entry'!$[$747), "", 'Data Entry'!$[$747)</f>
      </c>
      <c r="AB747">
        <f>IF(ISBLANK('Data Entry'!$\$747), "", 'Data Entry'!$\$747)</f>
      </c>
      <c r="AC747">
        <f>IF(ISBLANK('Data Entry'!$]$747), "", 'Data Entry'!$]$747)</f>
      </c>
      <c r="AD747">
        <f>IF(ISBLANK('Data Entry'!$^$747), "", 'Data Entry'!$^$747)</f>
      </c>
      <c r="AE747">
        <f>IF(ISBLANK('Data Entry'!$_$747), "", 'Data Entry'!$_$747)</f>
      </c>
      <c r="AF747">
        <f>IF(ISBLANK('Data Entry'!$`$747), "", 'Data Entry'!$`$747)</f>
      </c>
      <c r="AG747">
        <f>IF(ISBLANK('Data Entry'!$a$747), "", 'Data Entry'!$a$747)</f>
      </c>
      <c r="AH747">
        <f>IF(ISBLANK('Data Entry'!$b$747), "", 'Data Entry'!$b$747)</f>
      </c>
      <c r="AI747">
        <f>IF(ISBLANK('Data Entry'!$c$747), "", 'Data Entry'!$c$747)</f>
      </c>
      <c r="AJ747">
        <f>IF(ISBLANK('Data Entry'!$d$747), "", 'Data Entry'!$d$747)</f>
      </c>
      <c r="AK747">
        <f>IF(ISBLANK('Data Entry'!$e$747), "", 'Data Entry'!$e$747)</f>
      </c>
      <c r="AL747">
        <f>IF(ISBLANK('Data Entry'!$f$747), "", 'Data Entry'!$f$747)</f>
      </c>
      <c r="AM747">
        <f>IF(ISBLANK('Data Entry'!$g$747), "", 'Data Entry'!$g$747)</f>
      </c>
      <c r="AN747">
        <f>IF(ISBLANK('Data Entry'!$h$747), "", 'Data Entry'!$h$747)</f>
      </c>
      <c r="AO747">
        <f>IF(ISBLANK('Data Entry'!$i$747), "", 'Data Entry'!$i$747)</f>
      </c>
      <c r="AP747">
        <f>IF(ISBLANK('Data Entry'!$j$747), "", 'Data Entry'!$j$747)</f>
      </c>
      <c r="AQ747">
        <f>IF(ISBLANK('Data Entry'!$k$747), "", 'Data Entry'!$k$747)</f>
      </c>
      <c r="AR747">
        <f>IF(ISBLANK('Data Entry'!$l$747), "", 'Data Entry'!$l$747)</f>
      </c>
      <c r="AS747">
        <f>IF(ISBLANK('Data Entry'!$m$747), "", 'Data Entry'!$m$747)</f>
      </c>
      <c r="AT747">
        <f>IF(ISBLANK('Data Entry'!$n$747), "", 'Data Entry'!$n$747)</f>
      </c>
      <c r="AU747">
        <f>IF(ISBLANK('Data Entry'!$o$747), "", 'Data Entry'!$o$747)</f>
      </c>
      <c r="AV747">
        <f>IF(ISBLANK('Data Entry'!$p$747), "", 'Data Entry'!$p$747)</f>
      </c>
      <c r="AW747">
        <f>IF(ISBLANK('Data Entry'!$q$747), "", 'Data Entry'!$q$747)</f>
      </c>
      <c r="AX747">
        <f>IF(ISBLANK('Data Entry'!$r$747), "", 'Data Entry'!$r$747)</f>
      </c>
      <c r="AY747">
        <f>IF(ISBLANK('Data Entry'!$s$747), "", 'Data Entry'!$s$747)</f>
      </c>
      <c r="AZ747">
        <f>IF(ISBLANK('Data Entry'!$t$747), "", 'Data Entry'!$t$747)</f>
      </c>
      <c r="BA747">
        <f>IF(ISBLANK('Data Entry'!$u$747), "", 'Data Entry'!$u$747)</f>
      </c>
      <c r="BB747">
        <f>IF(ISBLANK('Data Entry'!$v$747), "", 'Data Entry'!$v$747)</f>
      </c>
      <c r="BC747">
        <f>IF(ISBLANK('Data Entry'!$w$747), "", 'Data Entry'!$w$747)</f>
      </c>
      <c r="BD747">
        <f>IF(ISBLANK('Data Entry'!$x$747), "", 'Data Entry'!$x$747)</f>
      </c>
      <c r="BE747">
        <f>IF(ISBLANK('Data Entry'!$y$747), "", 'Data Entry'!$y$747)</f>
      </c>
      <c r="BF747">
        <f>IF(ISBLANK('Data Entry'!$z$747), "", 'Data Entry'!$z$747)</f>
      </c>
      <c r="BG747">
        <f>IF(ISBLANK('Data Entry'!${$747), "", 'Data Entry'!${$747)</f>
      </c>
      <c r="BH747">
        <f>IF(ISBLANK('Data Entry'!$|$747), "", 'Data Entry'!$|$747)</f>
      </c>
      <c r="BI747">
        <f>IF(ISBLANK('Data Entry'!$}$747), "", 'Data Entry'!$}$747)</f>
      </c>
      <c r="BJ747">
        <f>IF(ISBLANK('Data Entry'!$~$747), "", 'Data Entry'!$~$747)</f>
      </c>
      <c r="BK747">
        <f>IF(ISBLANK('Data Entry'!$$747), "", 'Data Entry'!$$747)</f>
      </c>
      <c r="BL747">
        <f>IF(ISBLANK('Data Entry'!$$747), "", 'Data Entry'!$$747)</f>
      </c>
      <c r="BM747">
        <f>IF(ISBLANK('Data Entry'!$$747), "", 'Data Entry'!$$747)</f>
      </c>
      <c r="BN747">
        <f>IF(ISBLANK('Data Entry'!$$747), "", 'Data Entry'!$$747)</f>
      </c>
      <c r="BO747">
        <f>IF(ISBLANK('Data Entry'!$$747), "", 'Data Entry'!$$747)</f>
      </c>
      <c r="BP747">
        <f>IF(ISBLANK('Data Entry'!$$747), "", 'Data Entry'!$$747)</f>
      </c>
      <c r="BQ747">
        <f>IF(ISBLANK('Data Entry'!$$747), "", 'Data Entry'!$$747)</f>
      </c>
      <c r="BR747">
        <f>IF(ISBLANK('Data Entry'!$$747), "", 'Data Entry'!$$747)</f>
      </c>
      <c r="BS747">
        <f>IF(ISBLANK('Data Entry'!$$747), "", 'Data Entry'!$$747)</f>
      </c>
      <c r="BT747">
        <f>IF(ISBLANK('Data Entry'!$$747), "", 'Data Entry'!$$747)</f>
      </c>
      <c r="BU747">
        <f>IF(ISBLANK('Data Entry'!$$747), "", 'Data Entry'!$$747)</f>
      </c>
      <c r="BV747">
        <f>IF(ISBLANK('Data Entry'!$$747), "", 'Data Entry'!$$747)</f>
      </c>
      <c r="BW747">
        <f>IF(ISBLANK('Data Entry'!$$747), "", 'Data Entry'!$$747)</f>
      </c>
      <c r="BX747">
        <f>IF(ISBLANK('Data Entry'!$$747), "", 'Data Entry'!$$747)</f>
      </c>
      <c r="BY747">
        <f>IF(ISBLANK('Data Entry'!$$747), "", 'Data Entry'!$$747)</f>
      </c>
      <c r="BZ747">
        <f>IF(ISBLANK('Data Entry'!$$747), "", 'Data Entry'!$$747)</f>
      </c>
      <c r="CA747">
        <f>IF(ISBLANK('Data Entry'!$$747), "", 'Data Entry'!$$747)</f>
      </c>
      <c r="CB747">
        <f>IF(ISBLANK('Data Entry'!$$747), "", 'Data Entry'!$$747)</f>
      </c>
      <c r="CC747">
        <f>IF(ISBLANK('Data Entry'!$$747), "", 'Data Entry'!$$747)</f>
      </c>
      <c r="CD747">
        <f>IF(ISBLANK('Data Entry'!$$747), "", 'Data Entry'!$$747)</f>
      </c>
      <c r="CE747">
        <f>IF(ISBLANK('Data Entry'!$$747), "", 'Data Entry'!$$747)</f>
      </c>
      <c r="CF747">
        <f>IF(ISBLANK('Data Entry'!$$747), "", 'Data Entry'!$$747)</f>
      </c>
      <c r="CG747">
        <f>IF(ISBLANK('Data Entry'!$$747), "", 'Data Entry'!$$747)</f>
      </c>
      <c r="CH747">
        <f>IF(ISBLANK('Data Entry'!$$747), "", 'Data Entry'!$$747)</f>
      </c>
      <c r="CI747">
        <f>IF(ISBLANK('Data Entry'!$$747), "", 'Data Entry'!$$747)</f>
      </c>
      <c r="CJ747">
        <f>IF(ISBLANK('Data Entry'!$$747), "", 'Data Entry'!$$747)</f>
      </c>
      <c r="CK747">
        <f>IF(ISBLANK('Data Entry'!$$747), "", 'Data Entry'!$$747)</f>
      </c>
      <c r="CL747">
        <f>IF(ISBLANK('Data Entry'!$$747), "", 'Data Entry'!$$747)</f>
      </c>
      <c r="CM747">
        <f>IF(ISBLANK('Data Entry'!$$747), "", 'Data Entry'!$$747)</f>
      </c>
      <c r="CN747">
        <f>IF(ISBLANK('Data Entry'!$$747), "", 'Data Entry'!$$747)</f>
      </c>
      <c r="CO747">
        <f>IF(ISBLANK('Data Entry'!$$747), "", 'Data Entry'!$$747)</f>
      </c>
      <c r="CP747">
        <f>IF(ISBLANK('Data Entry'!$$747), "", 'Data Entry'!$$747)</f>
      </c>
      <c r="CQ747">
        <f>IF(ISBLANK('Data Entry'!$$747), "", 'Data Entry'!$$747)</f>
      </c>
      <c r="CR747">
        <f>IF(ISBLANK('Data Entry'!$ $747), "", 'Data Entry'!$ $747)</f>
      </c>
      <c r="CS747">
        <f>IF(ISBLANK('Data Entry'!$¡$747), "", 'Data Entry'!$¡$747)</f>
      </c>
      <c r="CT747">
        <f>IF(ISBLANK('Data Entry'!$¢$747), "", 'Data Entry'!$¢$747)</f>
      </c>
      <c r="CU747">
        <f>IF(ISBLANK('Data Entry'!$£$747), "", 'Data Entry'!$£$747)</f>
      </c>
      <c r="CV747">
        <f>IF(ISBLANK('Data Entry'!$¤$747), "", 'Data Entry'!$¤$747)</f>
      </c>
      <c r="CW747">
        <f>IF(ISBLANK('Data Entry'!$¥$747), "", 'Data Entry'!$¥$747)</f>
      </c>
      <c r="CX747">
        <f>IF(ISBLANK('Data Entry'!$¦$747), "", 'Data Entry'!$¦$747)</f>
      </c>
      <c r="CY747">
        <f>IF(ISBLANK('Data Entry'!$§$747), "", 'Data Entry'!$§$747)</f>
      </c>
      <c r="CZ747">
        <f>IF(ISBLANK('Data Entry'!$¨$747), "", 'Data Entry'!$¨$747)</f>
      </c>
      <c r="DA747">
        <f>IF(ISBLANK('Data Entry'!$©$747), "", 'Data Entry'!$©$747)</f>
      </c>
      <c r="DB747">
        <f>IF(ISBLANK('Data Entry'!$ª$747), "", 'Data Entry'!$ª$747)</f>
      </c>
      <c r="DC747">
        <f>IF(ISBLANK('Data Entry'!$«$747), "", 'Data Entry'!$«$747)</f>
      </c>
      <c r="DD747">
        <f>IF(ISBLANK('Data Entry'!$¬$747), "", 'Data Entry'!$¬$747)</f>
      </c>
      <c r="DE747">
        <f>IF(ISBLANK('Data Entry'!$­$747), "", 'Data Entry'!$­$747)</f>
      </c>
      <c r="DF747">
        <f>IF(ISBLANK('Data Entry'!$®$747), "", 'Data Entry'!$®$747)</f>
      </c>
      <c r="DG747">
        <f>IF(ISBLANK('Data Entry'!$¯$747), "", 'Data Entry'!$¯$747)</f>
      </c>
      <c r="DH747">
        <f>IF(ISBLANK('Data Entry'!$°$747), "", 'Data Entry'!$°$747)</f>
      </c>
      <c r="DI747">
        <f>IF(ISBLANK('Data Entry'!$±$747), "", 'Data Entry'!$±$747)</f>
      </c>
      <c r="DJ747">
        <f>IF(ISBLANK('Data Entry'!$²$747), "", 'Data Entry'!$²$747)</f>
      </c>
      <c r="DK747">
        <f>IF(ISBLANK('Data Entry'!$³$747), "", 'Data Entry'!$³$747)</f>
      </c>
      <c r="DL747">
        <f>IF(ISBLANK('Data Entry'!$´$747), "", 'Data Entry'!$´$747)</f>
      </c>
      <c r="DM747">
        <f>IF(ISBLANK('Data Entry'!$µ$747), "", 'Data Entry'!$µ$747)</f>
      </c>
      <c r="DN747">
        <f>IF(ISBLANK('Data Entry'!$¶$747), "", 'Data Entry'!$¶$747)</f>
      </c>
      <c r="DO747">
        <f>IF(ISBLANK('Data Entry'!$·$747), "", 'Data Entry'!$·$747)</f>
      </c>
      <c r="DP747">
        <f>IF(ISBLANK('Data Entry'!$¸$747), "", 'Data Entry'!$¸$747)</f>
      </c>
      <c r="DQ747">
        <f>IF(ISBLANK('Data Entry'!$¹$747), "", 'Data Entry'!$¹$747)</f>
      </c>
      <c r="DR747">
        <f>IF(ISBLANK('Data Entry'!$º$747), "", 'Data Entry'!$º$747)</f>
      </c>
      <c r="DS747">
        <f>IF(ISBLANK('Data Entry'!$»$747), "", 'Data Entry'!$»$747)</f>
      </c>
      <c r="DT747">
        <f>IF(ISBLANK('Data Entry'!$¼$747), "", 'Data Entry'!$¼$747)</f>
      </c>
      <c r="DU747">
        <f>IF(ISBLANK('Data Entry'!$½$747), "", 'Data Entry'!$½$747)</f>
      </c>
      <c r="DV747">
        <f>IF(ISBLANK('Data Entry'!$¾$747), "", 'Data Entry'!$¾$747)</f>
      </c>
      <c r="DW747">
        <f>IF(ISBLANK('Data Entry'!$¿$747), "", 'Data Entry'!$¿$747)</f>
      </c>
      <c r="DX747">
        <f>IF(ISBLANK('Data Entry'!$À$747), "", 'Data Entry'!$À$747)</f>
      </c>
      <c r="DY747">
        <f>IF(ISBLANK('Data Entry'!$Á$747), "", 'Data Entry'!$Á$747)</f>
      </c>
      <c r="DZ747">
        <f>IF(ISBLANK('Data Entry'!$Â$747), "", 'Data Entry'!$Â$747)</f>
      </c>
      <c r="EA747">
        <f>IF(ISBLANK('Data Entry'!$Ã$747), "", 'Data Entry'!$Ã$747)</f>
      </c>
      <c r="EB747">
        <f>IF(ISBLANK('Data Entry'!$Ä$747), "", 'Data Entry'!$Ä$747)</f>
      </c>
      <c r="EC747">
        <f>IF(ISBLANK('Data Entry'!$Å$747), "", 'Data Entry'!$Å$747)</f>
      </c>
      <c r="ED747">
        <f>IF(ISBLANK('Data Entry'!$Æ$747), "", 'Data Entry'!$Æ$747)</f>
      </c>
      <c r="EE747">
        <f>IF(ISBLANK('Data Entry'!$Ç$747), "", 'Data Entry'!$Ç$747)</f>
      </c>
      <c r="EF747">
        <f>IF(ISBLANK('Data Entry'!$È$747), "", 'Data Entry'!$È$747)</f>
      </c>
      <c r="EG747">
        <f>IF(ISBLANK('Data Entry'!$É$747), "", 'Data Entry'!$É$747)</f>
      </c>
      <c r="EH747">
        <f>IF(ISBLANK('Data Entry'!$Ê$747), "", 'Data Entry'!$Ê$747)</f>
      </c>
      <c r="EI747">
        <f>IF(ISBLANK('Data Entry'!$Ë$747), "", 'Data Entry'!$Ë$747)</f>
      </c>
      <c r="EJ747">
        <f>IF(ISBLANK('Data Entry'!$Ì$747), "", 'Data Entry'!$Ì$747)</f>
      </c>
      <c r="EK747">
        <f>IF(ISBLANK('Data Entry'!$Í$747), "", 'Data Entry'!$Í$747)</f>
      </c>
      <c r="EL747">
        <f>IF(ISBLANK('Data Entry'!$Î$747), "", 'Data Entry'!$Î$747)</f>
      </c>
      <c r="EM747">
        <f>IF(ISBLANK('Data Entry'!$Ï$747), "", 'Data Entry'!$Ï$747)</f>
      </c>
      <c r="EN747">
        <f>IF(ISBLANK('Data Entry'!$Ð$747), "", 'Data Entry'!$Ð$747)</f>
      </c>
      <c r="EO747">
        <f>IF(ISBLANK('Data Entry'!$Ñ$747), "", 'Data Entry'!$Ñ$747)</f>
      </c>
      <c r="EP747">
        <f>IF(ISBLANK('Data Entry'!$Ò$747), "", 'Data Entry'!$Ò$747)</f>
      </c>
      <c r="EQ747">
        <f>IF(ISBLANK('Data Entry'!$Ó$747), "", 'Data Entry'!$Ó$747)</f>
      </c>
      <c r="ER747">
        <f>IF(ISBLANK('Data Entry'!$Ô$747), "", 'Data Entry'!$Ô$747)</f>
      </c>
      <c r="ES747">
        <f>IF(ISBLANK('Data Entry'!$Õ$747), "", 'Data Entry'!$Õ$747)</f>
      </c>
      <c r="ET747">
        <f>IF(ISBLANK('Data Entry'!$Ö$747), "", 'Data Entry'!$Ö$747)</f>
      </c>
      <c r="EU747">
        <f>IF(ISBLANK('Data Entry'!$×$747), "", 'Data Entry'!$×$747)</f>
      </c>
      <c r="EV747">
        <f>IF(ISBLANK('Data Entry'!$Ø$747), "", 'Data Entry'!$Ø$747)</f>
      </c>
      <c r="EW747">
        <f>IF(ISBLANK('Data Entry'!$Ù$747), "", 'Data Entry'!$Ù$747)</f>
      </c>
      <c r="EX747">
        <f>IF(ISBLANK('Data Entry'!$Ú$747), "", 'Data Entry'!$Ú$747)</f>
      </c>
      <c r="EY747">
        <f>IF(ISBLANK('Data Entry'!$Û$747), "", 'Data Entry'!$Û$747)</f>
      </c>
      <c r="EZ747">
        <f>IF(ISBLANK('Data Entry'!$Ü$747), "", 'Data Entry'!$Ü$747)</f>
      </c>
      <c r="FA747">
        <f>IF(ISBLANK('Data Entry'!$Ý$747), "", 'Data Entry'!$Ý$747)</f>
      </c>
      <c r="FB747">
        <f>IF(ISBLANK('Data Entry'!$Þ$747), "", 'Data Entry'!$Þ$747)</f>
      </c>
      <c r="FC747">
        <f>IF(ISBLANK('Data Entry'!$ß$747), "", 'Data Entry'!$ß$747)</f>
      </c>
      <c r="FD747">
        <f>IF(ISBLANK('Data Entry'!$à$747), "", 'Data Entry'!$à$747)</f>
      </c>
      <c r="FE747">
        <f>IF(ISBLANK('Data Entry'!$á$747), "", 'Data Entry'!$á$747)</f>
      </c>
      <c r="FF747">
        <f>IF(ISBLANK('Data Entry'!$â$747), "", 'Data Entry'!$â$747)</f>
      </c>
      <c r="FG747">
        <f>IF(ISBLANK('Data Entry'!$ã$747), "", 'Data Entry'!$ã$747)</f>
      </c>
      <c r="FH747">
        <f>IF(ISBLANK('Data Entry'!$ä$747), "", 'Data Entry'!$ä$747)</f>
      </c>
      <c r="FI747">
        <f>IF(ISBLANK('Data Entry'!$å$747), "", 'Data Entry'!$å$747)</f>
      </c>
      <c r="FJ747">
        <f>IF(ISBLANK('Data Entry'!$æ$747), "", 'Data Entry'!$æ$747)</f>
      </c>
      <c r="FK747">
        <f>IF(ISBLANK('Data Entry'!$ç$747), "", 'Data Entry'!$ç$747)</f>
      </c>
      <c r="FL747">
        <f>IF(ISBLANK('Data Entry'!$è$747), "", 'Data Entry'!$è$747)</f>
      </c>
      <c r="FM747">
        <f>IF(ISBLANK('Data Entry'!$é$747), "", 'Data Entry'!$é$747)</f>
      </c>
      <c r="FN747">
        <f>IF(ISBLANK('Data Entry'!$ê$747), "", 'Data Entry'!$ê$747)</f>
      </c>
      <c r="FO747">
        <f>IF(ISBLANK('Data Entry'!$ë$747), "", 'Data Entry'!$ë$747)</f>
      </c>
      <c r="FP747">
        <f>IF(ISBLANK('Data Entry'!$ì$747), "", 'Data Entry'!$ì$747)</f>
      </c>
      <c r="FQ747">
        <f>IF(ISBLANK('Data Entry'!$í$747), "", 'Data Entry'!$í$747)</f>
      </c>
      <c r="FR747">
        <f>IF(ISBLANK('Data Entry'!$î$747), "", 'Data Entry'!$î$747)</f>
      </c>
      <c r="FS747">
        <f>IF(ISBLANK('Data Entry'!$ï$747), "", 'Data Entry'!$ï$747)</f>
      </c>
      <c r="FT747">
        <f>IF(ISBLANK('Data Entry'!$ð$747), "", 'Data Entry'!$ð$747)</f>
      </c>
      <c r="FU747">
        <f>IF(ISBLANK('Data Entry'!$ñ$747), "", 'Data Entry'!$ñ$747)</f>
      </c>
      <c r="FV747">
        <f>IF(ISBLANK('Data Entry'!$ò$747), "", 'Data Entry'!$ò$747)</f>
      </c>
      <c r="FW747">
        <f>IF(ISBLANK('Data Entry'!$ó$747), "", 'Data Entry'!$ó$747)</f>
      </c>
      <c r="FX747">
        <f>IF(ISBLANK('Data Entry'!$ô$747), "", 'Data Entry'!$ô$747)</f>
      </c>
      <c r="FY747">
        <f>IF(ISBLANK('Data Entry'!$õ$747), "", 'Data Entry'!$õ$747)</f>
      </c>
      <c r="FZ747">
        <f>IF(ISBLANK('Data Entry'!$ö$747), "", 'Data Entry'!$ö$747)</f>
      </c>
      <c r="GA747">
        <f>IF(ISBLANK('Data Entry'!$÷$747), "", 'Data Entry'!$÷$747)</f>
      </c>
      <c r="GB747">
        <f>IF(ISBLANK('Data Entry'!$ø$747), "", 'Data Entry'!$ø$747)</f>
      </c>
      <c r="GC747">
        <f>IF(ISBLANK('Data Entry'!$ù$747), "", 'Data Entry'!$ù$747)</f>
      </c>
      <c r="GD747">
        <f>IF(ISBLANK('Data Entry'!$ú$747), "", 'Data Entry'!$ú$747)</f>
      </c>
      <c r="GE747">
        <f>IF(ISBLANK('Data Entry'!$û$747), "", 'Data Entry'!$û$747)</f>
      </c>
      <c r="GF747">
        <f>IF(ISBLANK('Data Entry'!$ü$747), "", 'Data Entry'!$ü$747)</f>
      </c>
      <c r="GG747">
        <f>IF(ISBLANK('Data Entry'!$ý$747), "", 'Data Entry'!$ý$747)</f>
      </c>
      <c r="GH747">
        <f>IF(ISBLANK('Data Entry'!$þ$747), "", 'Data Entry'!$þ$747)</f>
      </c>
      <c r="GI747">
        <f>IF(ISBLANK('Data Entry'!$ÿ$747), "", 'Data Entry'!$ÿ$747)</f>
      </c>
      <c r="GJ747">
        <f>IF(ISBLANK('Data Entry'!$Ā$747), "", 'Data Entry'!$Ā$747)</f>
      </c>
      <c r="GK747">
        <f>IF(ISBLANK('Data Entry'!$ā$747), "", 'Data Entry'!$ā$747)</f>
      </c>
      <c r="GL747">
        <f>IF(ISBLANK('Data Entry'!$Ă$747), "", 'Data Entry'!$Ă$747)</f>
      </c>
      <c r="GM747">
        <f>IF(ISBLANK('Data Entry'!$ă$747), "", 'Data Entry'!$ă$747)</f>
      </c>
      <c r="GN747">
        <f>IF(ISBLANK('Data Entry'!$Ą$747), "", 'Data Entry'!$Ą$747)</f>
      </c>
      <c r="GO747">
        <f>IF(ISBLANK('Data Entry'!$ą$747), "", 'Data Entry'!$ą$747)</f>
      </c>
      <c r="GP747">
        <f>IF(ISBLANK('Data Entry'!$Ć$747), "", 'Data Entry'!$Ć$747)</f>
      </c>
      <c r="GQ747">
        <f>IF(ISBLANK('Data Entry'!$ć$747), "", 'Data Entry'!$ć$747)</f>
      </c>
      <c r="GR747">
        <f>IF(ISBLANK('Data Entry'!$Ĉ$747), "", 'Data Entry'!$Ĉ$747)</f>
      </c>
      <c r="GS747">
        <f>IF(ISBLANK('Data Entry'!$ĉ$747), "", 'Data Entry'!$ĉ$747)</f>
      </c>
      <c r="GT747">
        <f>IF(ISBLANK('Data Entry'!$Ċ$747), "", 'Data Entry'!$Ċ$747)</f>
      </c>
      <c r="GU747">
        <f>IF(ISBLANK('Data Entry'!$ċ$747), "", 'Data Entry'!$ċ$747)</f>
      </c>
      <c r="GV747">
        <f>IF(ISBLANK('Data Entry'!$Č$747), "", 'Data Entry'!$Č$747)</f>
      </c>
      <c r="GW747">
        <f>IF(ISBLANK('Data Entry'!$č$747), "", 'Data Entry'!$č$747)</f>
      </c>
      <c r="GX747">
        <f>IF(ISBLANK('Data Entry'!$Ď$747), "", 'Data Entry'!$Ď$747)</f>
      </c>
      <c r="GY747">
        <f>IF(ISBLANK('Data Entry'!$ď$747), "", 'Data Entry'!$ď$747)</f>
      </c>
      <c r="GZ747">
        <f>IF(ISBLANK('Data Entry'!$Đ$747), "", 'Data Entry'!$Đ$747)</f>
      </c>
      <c r="HA747">
        <f>IF(ISBLANK('Data Entry'!$đ$747), "", 'Data Entry'!$đ$747)</f>
      </c>
      <c r="HB747">
        <f>IF(ISBLANK('Data Entry'!$Ē$747), "", 'Data Entry'!$Ē$747)</f>
      </c>
      <c r="HC747">
        <f>IF(ISBLANK('Data Entry'!$ē$747), "", 'Data Entry'!$ē$747)</f>
      </c>
      <c r="HD747">
        <f>IF(ISBLANK('Data Entry'!$Ĕ$747), "", 'Data Entry'!$Ĕ$747)</f>
      </c>
      <c r="HE747">
        <f>IF(ISBLANK('Data Entry'!$ĕ$747), "", 'Data Entry'!$ĕ$747)</f>
      </c>
      <c r="HF747">
        <f>IF(ISBLANK('Data Entry'!$Ė$747), "", 'Data Entry'!$Ė$747)</f>
      </c>
      <c r="HG747">
        <f>IF(ISBLANK('Data Entry'!$ė$747), "", 'Data Entry'!$ė$747)</f>
      </c>
      <c r="HH747">
        <f>IF(ISBLANK('Data Entry'!$Ę$747), "", 'Data Entry'!$Ę$747)</f>
      </c>
      <c r="HI747">
        <f>IF(ISBLANK('Data Entry'!$ę$747), "", 'Data Entry'!$ę$747)</f>
      </c>
      <c r="HJ747">
        <f>IF(ISBLANK('Data Entry'!$Ě$747), "", 'Data Entry'!$Ě$747)</f>
      </c>
      <c r="HK747">
        <f>IF(ISBLANK('Data Entry'!$ě$747), "", 'Data Entry'!$ě$747)</f>
      </c>
      <c r="HL747">
        <f>IF(ISBLANK('Data Entry'!$Ĝ$747), "", 'Data Entry'!$Ĝ$747)</f>
      </c>
      <c r="HM747">
        <f>IF(ISBLANK('Data Entry'!$ĝ$747), "", 'Data Entry'!$ĝ$747)</f>
      </c>
      <c r="HN747">
        <f>IF(ISBLANK('Data Entry'!$Ğ$747), "", 'Data Entry'!$Ğ$747)</f>
      </c>
      <c r="HO747">
        <f>IF(ISBLANK('Data Entry'!$ğ$747), "", 'Data Entry'!$ğ$747)</f>
      </c>
      <c r="HP747">
        <f>IF(ISBLANK('Data Entry'!$Ġ$747), "", 'Data Entry'!$Ġ$747)</f>
      </c>
      <c r="HQ747">
        <f>IF(ISBLANK('Data Entry'!$ġ$747), "", 'Data Entry'!$ġ$747)</f>
      </c>
      <c r="HR747">
        <f>IF(ISBLANK('Data Entry'!$Ģ$747), "", 'Data Entry'!$Ģ$747)</f>
      </c>
      <c r="HS747">
        <f>IF(ISBLANK('Data Entry'!$ģ$747), "", 'Data Entry'!$ģ$747)</f>
      </c>
      <c r="HT747">
        <f>IF(ISBLANK('Data Entry'!$Ĥ$747), "", 'Data Entry'!$Ĥ$747)</f>
      </c>
      <c r="HU747">
        <f>IF(ISBLANK('Data Entry'!$ĥ$747), "", 'Data Entry'!$ĥ$747)</f>
      </c>
      <c r="HV747">
        <f>IF(ISBLANK('Data Entry'!$Ħ$747), "", 'Data Entry'!$Ħ$747)</f>
      </c>
      <c r="HW747">
        <f>IF(ISBLANK('Data Entry'!$ħ$747), "", 'Data Entry'!$ħ$747)</f>
      </c>
      <c r="HX747">
        <f>IF(ISBLANK('Data Entry'!$Ĩ$747), "", 'Data Entry'!$Ĩ$747)</f>
      </c>
      <c r="HY747">
        <f>IF(ISBLANK('Data Entry'!$ĩ$747), "", 'Data Entry'!$ĩ$747)</f>
      </c>
      <c r="HZ747">
        <f>IF(ISBLANK('Data Entry'!$Ī$747), "", 'Data Entry'!$Ī$747)</f>
      </c>
      <c r="IA747">
        <f>IF(ISBLANK('Data Entry'!$ī$747), "", 'Data Entry'!$ī$747)</f>
      </c>
      <c r="IB747">
        <f>IF(ISBLANK('Data Entry'!$Ĭ$747), "", 'Data Entry'!$Ĭ$747)</f>
      </c>
      <c r="IC747">
        <f>IF(ISBLANK('Data Entry'!$ĭ$747), "", 'Data Entry'!$ĭ$747)</f>
      </c>
      <c r="ID747">
        <f>IF(ISBLANK('Data Entry'!$Į$747), "", 'Data Entry'!$Į$747)</f>
      </c>
      <c r="IE747">
        <f>IF(ISBLANK('Data Entry'!$į$747), "", 'Data Entry'!$į$747)</f>
      </c>
      <c r="IF747">
        <f>IF(ISBLANK('Data Entry'!$İ$747), "", 'Data Entry'!$İ$747)</f>
      </c>
      <c r="IG747">
        <f>IF(ISBLANK('Data Entry'!$ı$747), "", 'Data Entry'!$ı$747)</f>
      </c>
      <c r="IH747">
        <f>IF(ISBLANK('Data Entry'!$Ĳ$747), "", 'Data Entry'!$Ĳ$747)</f>
      </c>
      <c r="II747">
        <f>IF(ISBLANK('Data Entry'!$ĳ$747), "", 'Data Entry'!$ĳ$747)</f>
      </c>
      <c r="IJ747">
        <f>IF(ISBLANK('Data Entry'!$Ĵ$747), "", 'Data Entry'!$Ĵ$747)</f>
      </c>
      <c r="IK747">
        <f>IF(ISBLANK('Data Entry'!$ĵ$747), "", 'Data Entry'!$ĵ$747)</f>
      </c>
      <c r="IL747">
        <f>IF(ISBLANK('Data Entry'!$Ķ$747), "", 'Data Entry'!$Ķ$747)</f>
      </c>
      <c r="IM747">
        <f>IF(ISBLANK('Data Entry'!$ķ$747), "", 'Data Entry'!$ķ$747)</f>
      </c>
      <c r="IN747">
        <f>IF(ISBLANK('Data Entry'!$ĸ$747), "", 'Data Entry'!$ĸ$747)</f>
      </c>
      <c r="IO747">
        <f>IF(ISBLANK('Data Entry'!$Ĺ$747), "", 'Data Entry'!$Ĺ$747)</f>
      </c>
      <c r="IP747">
        <f>IF(ISBLANK('Data Entry'!$ĺ$747), "", 'Data Entry'!$ĺ$747)</f>
      </c>
      <c r="IQ747">
        <f>IF(ISBLANK('Data Entry'!$Ļ$747), "", 'Data Entry'!$Ļ$747)</f>
      </c>
      <c r="IR747">
        <f>IF(ISBLANK('Data Entry'!$ļ$747), "", 'Data Entry'!$ļ$747)</f>
      </c>
      <c r="IS747">
        <f>IF(ISBLANK('Data Entry'!$Ľ$747), "", 'Data Entry'!$Ľ$747)</f>
      </c>
      <c r="IT747">
        <f>IF(ISBLANK('Data Entry'!$ľ$747), "", 'Data Entry'!$ľ$747)</f>
      </c>
    </row>
    <row r="748" spans="1:254" x14ac:dyDescent="0.25">
      <c r="A748">
        <f>IF(ISBLANK('Data Entry'!$A$748), "", 'Data Entry'!$A$748)</f>
      </c>
      <c r="B748">
        <f>IF(ISBLANK('Data Entry'!$B$748), "", 'Data Entry'!$B$748)</f>
      </c>
      <c r="C748">
        <f>IF(ISBLANK('Data Entry'!$C$748), "", 'Data Entry'!$C$748)</f>
      </c>
      <c r="D748">
        <f>IF(ISBLANK('Data Entry'!$D$748), "", 'Data Entry'!$D$748)</f>
      </c>
      <c r="E748">
        <f>IF(ISBLANK('Data Entry'!$E$748), "", 'Data Entry'!$E$748)</f>
      </c>
      <c r="F748">
        <f>IF(ISBLANK('Data Entry'!$F$748), "", 'Data Entry'!$F$748)</f>
      </c>
      <c r="G748">
        <f>IF(ISBLANK('Data Entry'!$G$748), "", 'Data Entry'!$G$748)</f>
      </c>
      <c r="H748">
        <f>IF(ISBLANK('Data Entry'!$H$748), "", 'Data Entry'!$H$748)</f>
      </c>
      <c r="I748">
        <f>IF(ISBLANK('Data Entry'!$I$748), "", 'Data Entry'!$I$748)</f>
      </c>
      <c r="J748">
        <f>IF(ISBLANK('Data Entry'!$J$748), "", 'Data Entry'!$J$748)</f>
      </c>
      <c r="K748">
        <f>IF(ISBLANK('Data Entry'!$K$748), "", 'Data Entry'!$K$748)</f>
      </c>
      <c r="L748">
        <f>IF(ISBLANK('Data Entry'!$L$748), "", 'Data Entry'!$L$748)</f>
      </c>
      <c r="M748">
        <f>IF(ISBLANK('Data Entry'!$M$748), "", 'Data Entry'!$M$748)</f>
      </c>
      <c r="N748">
        <f>IF(ISBLANK('Data Entry'!$N$748), "", 'Data Entry'!$N$748)</f>
      </c>
      <c r="O748">
        <f>IF(ISBLANK('Data Entry'!$O$748), "", 'Data Entry'!$O$748)</f>
      </c>
      <c r="P748">
        <f>IF(ISBLANK('Data Entry'!$P$748), "", 'Data Entry'!$P$748)</f>
      </c>
      <c r="Q748">
        <f>IF(ISBLANK('Data Entry'!$Q$748), "", 'Data Entry'!$Q$748)</f>
      </c>
      <c r="R748">
        <f>IF(ISBLANK('Data Entry'!$R$748), "", 'Data Entry'!$R$748)</f>
      </c>
      <c r="S748">
        <f>IF(ISBLANK('Data Entry'!$S$748), "", 'Data Entry'!$S$748)</f>
      </c>
      <c r="T748">
        <f>IF(ISBLANK('Data Entry'!$T$748), "", 'Data Entry'!$T$748)</f>
      </c>
      <c r="U748">
        <f>IF(ISBLANK('Data Entry'!$U$748), "", 'Data Entry'!$U$748)</f>
      </c>
      <c r="V748">
        <f>IF(ISBLANK('Data Entry'!$V$748), "", 'Data Entry'!$V$748)</f>
      </c>
      <c r="W748">
        <f>IF(ISBLANK('Data Entry'!$W$748), "", 'Data Entry'!$W$748)</f>
      </c>
      <c r="X748">
        <f>IF(ISBLANK('Data Entry'!$X$748), "", 'Data Entry'!$X$748)</f>
      </c>
      <c r="Y748">
        <f>IF(ISBLANK('Data Entry'!$Y$748), "", 'Data Entry'!$Y$748)</f>
      </c>
      <c r="Z748">
        <f>IF(ISBLANK('Data Entry'!$Z$748), "", 'Data Entry'!$Z$748)</f>
      </c>
      <c r="AA748">
        <f>IF(ISBLANK('Data Entry'!$[$748), "", 'Data Entry'!$[$748)</f>
      </c>
      <c r="AB748">
        <f>IF(ISBLANK('Data Entry'!$\$748), "", 'Data Entry'!$\$748)</f>
      </c>
      <c r="AC748">
        <f>IF(ISBLANK('Data Entry'!$]$748), "", 'Data Entry'!$]$748)</f>
      </c>
      <c r="AD748">
        <f>IF(ISBLANK('Data Entry'!$^$748), "", 'Data Entry'!$^$748)</f>
      </c>
      <c r="AE748">
        <f>IF(ISBLANK('Data Entry'!$_$748), "", 'Data Entry'!$_$748)</f>
      </c>
      <c r="AF748">
        <f>IF(ISBLANK('Data Entry'!$`$748), "", 'Data Entry'!$`$748)</f>
      </c>
      <c r="AG748">
        <f>IF(ISBLANK('Data Entry'!$a$748), "", 'Data Entry'!$a$748)</f>
      </c>
      <c r="AH748">
        <f>IF(ISBLANK('Data Entry'!$b$748), "", 'Data Entry'!$b$748)</f>
      </c>
      <c r="AI748">
        <f>IF(ISBLANK('Data Entry'!$c$748), "", 'Data Entry'!$c$748)</f>
      </c>
      <c r="AJ748">
        <f>IF(ISBLANK('Data Entry'!$d$748), "", 'Data Entry'!$d$748)</f>
      </c>
      <c r="AK748">
        <f>IF(ISBLANK('Data Entry'!$e$748), "", 'Data Entry'!$e$748)</f>
      </c>
      <c r="AL748">
        <f>IF(ISBLANK('Data Entry'!$f$748), "", 'Data Entry'!$f$748)</f>
      </c>
      <c r="AM748">
        <f>IF(ISBLANK('Data Entry'!$g$748), "", 'Data Entry'!$g$748)</f>
      </c>
      <c r="AN748">
        <f>IF(ISBLANK('Data Entry'!$h$748), "", 'Data Entry'!$h$748)</f>
      </c>
      <c r="AO748">
        <f>IF(ISBLANK('Data Entry'!$i$748), "", 'Data Entry'!$i$748)</f>
      </c>
      <c r="AP748">
        <f>IF(ISBLANK('Data Entry'!$j$748), "", 'Data Entry'!$j$748)</f>
      </c>
      <c r="AQ748">
        <f>IF(ISBLANK('Data Entry'!$k$748), "", 'Data Entry'!$k$748)</f>
      </c>
      <c r="AR748">
        <f>IF(ISBLANK('Data Entry'!$l$748), "", 'Data Entry'!$l$748)</f>
      </c>
      <c r="AS748">
        <f>IF(ISBLANK('Data Entry'!$m$748), "", 'Data Entry'!$m$748)</f>
      </c>
      <c r="AT748">
        <f>IF(ISBLANK('Data Entry'!$n$748), "", 'Data Entry'!$n$748)</f>
      </c>
      <c r="AU748">
        <f>IF(ISBLANK('Data Entry'!$o$748), "", 'Data Entry'!$o$748)</f>
      </c>
      <c r="AV748">
        <f>IF(ISBLANK('Data Entry'!$p$748), "", 'Data Entry'!$p$748)</f>
      </c>
      <c r="AW748">
        <f>IF(ISBLANK('Data Entry'!$q$748), "", 'Data Entry'!$q$748)</f>
      </c>
      <c r="AX748">
        <f>IF(ISBLANK('Data Entry'!$r$748), "", 'Data Entry'!$r$748)</f>
      </c>
      <c r="AY748">
        <f>IF(ISBLANK('Data Entry'!$s$748), "", 'Data Entry'!$s$748)</f>
      </c>
      <c r="AZ748">
        <f>IF(ISBLANK('Data Entry'!$t$748), "", 'Data Entry'!$t$748)</f>
      </c>
      <c r="BA748">
        <f>IF(ISBLANK('Data Entry'!$u$748), "", 'Data Entry'!$u$748)</f>
      </c>
      <c r="BB748">
        <f>IF(ISBLANK('Data Entry'!$v$748), "", 'Data Entry'!$v$748)</f>
      </c>
      <c r="BC748">
        <f>IF(ISBLANK('Data Entry'!$w$748), "", 'Data Entry'!$w$748)</f>
      </c>
      <c r="BD748">
        <f>IF(ISBLANK('Data Entry'!$x$748), "", 'Data Entry'!$x$748)</f>
      </c>
      <c r="BE748">
        <f>IF(ISBLANK('Data Entry'!$y$748), "", 'Data Entry'!$y$748)</f>
      </c>
      <c r="BF748">
        <f>IF(ISBLANK('Data Entry'!$z$748), "", 'Data Entry'!$z$748)</f>
      </c>
      <c r="BG748">
        <f>IF(ISBLANK('Data Entry'!${$748), "", 'Data Entry'!${$748)</f>
      </c>
      <c r="BH748">
        <f>IF(ISBLANK('Data Entry'!$|$748), "", 'Data Entry'!$|$748)</f>
      </c>
      <c r="BI748">
        <f>IF(ISBLANK('Data Entry'!$}$748), "", 'Data Entry'!$}$748)</f>
      </c>
      <c r="BJ748">
        <f>IF(ISBLANK('Data Entry'!$~$748), "", 'Data Entry'!$~$748)</f>
      </c>
      <c r="BK748">
        <f>IF(ISBLANK('Data Entry'!$$748), "", 'Data Entry'!$$748)</f>
      </c>
      <c r="BL748">
        <f>IF(ISBLANK('Data Entry'!$$748), "", 'Data Entry'!$$748)</f>
      </c>
      <c r="BM748">
        <f>IF(ISBLANK('Data Entry'!$$748), "", 'Data Entry'!$$748)</f>
      </c>
      <c r="BN748">
        <f>IF(ISBLANK('Data Entry'!$$748), "", 'Data Entry'!$$748)</f>
      </c>
      <c r="BO748">
        <f>IF(ISBLANK('Data Entry'!$$748), "", 'Data Entry'!$$748)</f>
      </c>
      <c r="BP748">
        <f>IF(ISBLANK('Data Entry'!$$748), "", 'Data Entry'!$$748)</f>
      </c>
      <c r="BQ748">
        <f>IF(ISBLANK('Data Entry'!$$748), "", 'Data Entry'!$$748)</f>
      </c>
      <c r="BR748">
        <f>IF(ISBLANK('Data Entry'!$$748), "", 'Data Entry'!$$748)</f>
      </c>
      <c r="BS748">
        <f>IF(ISBLANK('Data Entry'!$$748), "", 'Data Entry'!$$748)</f>
      </c>
      <c r="BT748">
        <f>IF(ISBLANK('Data Entry'!$$748), "", 'Data Entry'!$$748)</f>
      </c>
      <c r="BU748">
        <f>IF(ISBLANK('Data Entry'!$$748), "", 'Data Entry'!$$748)</f>
      </c>
      <c r="BV748">
        <f>IF(ISBLANK('Data Entry'!$$748), "", 'Data Entry'!$$748)</f>
      </c>
      <c r="BW748">
        <f>IF(ISBLANK('Data Entry'!$$748), "", 'Data Entry'!$$748)</f>
      </c>
      <c r="BX748">
        <f>IF(ISBLANK('Data Entry'!$$748), "", 'Data Entry'!$$748)</f>
      </c>
      <c r="BY748">
        <f>IF(ISBLANK('Data Entry'!$$748), "", 'Data Entry'!$$748)</f>
      </c>
      <c r="BZ748">
        <f>IF(ISBLANK('Data Entry'!$$748), "", 'Data Entry'!$$748)</f>
      </c>
      <c r="CA748">
        <f>IF(ISBLANK('Data Entry'!$$748), "", 'Data Entry'!$$748)</f>
      </c>
      <c r="CB748">
        <f>IF(ISBLANK('Data Entry'!$$748), "", 'Data Entry'!$$748)</f>
      </c>
      <c r="CC748">
        <f>IF(ISBLANK('Data Entry'!$$748), "", 'Data Entry'!$$748)</f>
      </c>
      <c r="CD748">
        <f>IF(ISBLANK('Data Entry'!$$748), "", 'Data Entry'!$$748)</f>
      </c>
      <c r="CE748">
        <f>IF(ISBLANK('Data Entry'!$$748), "", 'Data Entry'!$$748)</f>
      </c>
      <c r="CF748">
        <f>IF(ISBLANK('Data Entry'!$$748), "", 'Data Entry'!$$748)</f>
      </c>
      <c r="CG748">
        <f>IF(ISBLANK('Data Entry'!$$748), "", 'Data Entry'!$$748)</f>
      </c>
      <c r="CH748">
        <f>IF(ISBLANK('Data Entry'!$$748), "", 'Data Entry'!$$748)</f>
      </c>
      <c r="CI748">
        <f>IF(ISBLANK('Data Entry'!$$748), "", 'Data Entry'!$$748)</f>
      </c>
      <c r="CJ748">
        <f>IF(ISBLANK('Data Entry'!$$748), "", 'Data Entry'!$$748)</f>
      </c>
      <c r="CK748">
        <f>IF(ISBLANK('Data Entry'!$$748), "", 'Data Entry'!$$748)</f>
      </c>
      <c r="CL748">
        <f>IF(ISBLANK('Data Entry'!$$748), "", 'Data Entry'!$$748)</f>
      </c>
      <c r="CM748">
        <f>IF(ISBLANK('Data Entry'!$$748), "", 'Data Entry'!$$748)</f>
      </c>
      <c r="CN748">
        <f>IF(ISBLANK('Data Entry'!$$748), "", 'Data Entry'!$$748)</f>
      </c>
      <c r="CO748">
        <f>IF(ISBLANK('Data Entry'!$$748), "", 'Data Entry'!$$748)</f>
      </c>
      <c r="CP748">
        <f>IF(ISBLANK('Data Entry'!$$748), "", 'Data Entry'!$$748)</f>
      </c>
      <c r="CQ748">
        <f>IF(ISBLANK('Data Entry'!$$748), "", 'Data Entry'!$$748)</f>
      </c>
      <c r="CR748">
        <f>IF(ISBLANK('Data Entry'!$ $748), "", 'Data Entry'!$ $748)</f>
      </c>
      <c r="CS748">
        <f>IF(ISBLANK('Data Entry'!$¡$748), "", 'Data Entry'!$¡$748)</f>
      </c>
      <c r="CT748">
        <f>IF(ISBLANK('Data Entry'!$¢$748), "", 'Data Entry'!$¢$748)</f>
      </c>
      <c r="CU748">
        <f>IF(ISBLANK('Data Entry'!$£$748), "", 'Data Entry'!$£$748)</f>
      </c>
      <c r="CV748">
        <f>IF(ISBLANK('Data Entry'!$¤$748), "", 'Data Entry'!$¤$748)</f>
      </c>
      <c r="CW748">
        <f>IF(ISBLANK('Data Entry'!$¥$748), "", 'Data Entry'!$¥$748)</f>
      </c>
      <c r="CX748">
        <f>IF(ISBLANK('Data Entry'!$¦$748), "", 'Data Entry'!$¦$748)</f>
      </c>
      <c r="CY748">
        <f>IF(ISBLANK('Data Entry'!$§$748), "", 'Data Entry'!$§$748)</f>
      </c>
      <c r="CZ748">
        <f>IF(ISBLANK('Data Entry'!$¨$748), "", 'Data Entry'!$¨$748)</f>
      </c>
      <c r="DA748">
        <f>IF(ISBLANK('Data Entry'!$©$748), "", 'Data Entry'!$©$748)</f>
      </c>
      <c r="DB748">
        <f>IF(ISBLANK('Data Entry'!$ª$748), "", 'Data Entry'!$ª$748)</f>
      </c>
      <c r="DC748">
        <f>IF(ISBLANK('Data Entry'!$«$748), "", 'Data Entry'!$«$748)</f>
      </c>
      <c r="DD748">
        <f>IF(ISBLANK('Data Entry'!$¬$748), "", 'Data Entry'!$¬$748)</f>
      </c>
      <c r="DE748">
        <f>IF(ISBLANK('Data Entry'!$­$748), "", 'Data Entry'!$­$748)</f>
      </c>
      <c r="DF748">
        <f>IF(ISBLANK('Data Entry'!$®$748), "", 'Data Entry'!$®$748)</f>
      </c>
      <c r="DG748">
        <f>IF(ISBLANK('Data Entry'!$¯$748), "", 'Data Entry'!$¯$748)</f>
      </c>
      <c r="DH748">
        <f>IF(ISBLANK('Data Entry'!$°$748), "", 'Data Entry'!$°$748)</f>
      </c>
      <c r="DI748">
        <f>IF(ISBLANK('Data Entry'!$±$748), "", 'Data Entry'!$±$748)</f>
      </c>
      <c r="DJ748">
        <f>IF(ISBLANK('Data Entry'!$²$748), "", 'Data Entry'!$²$748)</f>
      </c>
      <c r="DK748">
        <f>IF(ISBLANK('Data Entry'!$³$748), "", 'Data Entry'!$³$748)</f>
      </c>
      <c r="DL748">
        <f>IF(ISBLANK('Data Entry'!$´$748), "", 'Data Entry'!$´$748)</f>
      </c>
      <c r="DM748">
        <f>IF(ISBLANK('Data Entry'!$µ$748), "", 'Data Entry'!$µ$748)</f>
      </c>
      <c r="DN748">
        <f>IF(ISBLANK('Data Entry'!$¶$748), "", 'Data Entry'!$¶$748)</f>
      </c>
      <c r="DO748">
        <f>IF(ISBLANK('Data Entry'!$·$748), "", 'Data Entry'!$·$748)</f>
      </c>
      <c r="DP748">
        <f>IF(ISBLANK('Data Entry'!$¸$748), "", 'Data Entry'!$¸$748)</f>
      </c>
      <c r="DQ748">
        <f>IF(ISBLANK('Data Entry'!$¹$748), "", 'Data Entry'!$¹$748)</f>
      </c>
      <c r="DR748">
        <f>IF(ISBLANK('Data Entry'!$º$748), "", 'Data Entry'!$º$748)</f>
      </c>
      <c r="DS748">
        <f>IF(ISBLANK('Data Entry'!$»$748), "", 'Data Entry'!$»$748)</f>
      </c>
      <c r="DT748">
        <f>IF(ISBLANK('Data Entry'!$¼$748), "", 'Data Entry'!$¼$748)</f>
      </c>
      <c r="DU748">
        <f>IF(ISBLANK('Data Entry'!$½$748), "", 'Data Entry'!$½$748)</f>
      </c>
      <c r="DV748">
        <f>IF(ISBLANK('Data Entry'!$¾$748), "", 'Data Entry'!$¾$748)</f>
      </c>
      <c r="DW748">
        <f>IF(ISBLANK('Data Entry'!$¿$748), "", 'Data Entry'!$¿$748)</f>
      </c>
      <c r="DX748">
        <f>IF(ISBLANK('Data Entry'!$À$748), "", 'Data Entry'!$À$748)</f>
      </c>
      <c r="DY748">
        <f>IF(ISBLANK('Data Entry'!$Á$748), "", 'Data Entry'!$Á$748)</f>
      </c>
      <c r="DZ748">
        <f>IF(ISBLANK('Data Entry'!$Â$748), "", 'Data Entry'!$Â$748)</f>
      </c>
      <c r="EA748">
        <f>IF(ISBLANK('Data Entry'!$Ã$748), "", 'Data Entry'!$Ã$748)</f>
      </c>
      <c r="EB748">
        <f>IF(ISBLANK('Data Entry'!$Ä$748), "", 'Data Entry'!$Ä$748)</f>
      </c>
      <c r="EC748">
        <f>IF(ISBLANK('Data Entry'!$Å$748), "", 'Data Entry'!$Å$748)</f>
      </c>
      <c r="ED748">
        <f>IF(ISBLANK('Data Entry'!$Æ$748), "", 'Data Entry'!$Æ$748)</f>
      </c>
      <c r="EE748">
        <f>IF(ISBLANK('Data Entry'!$Ç$748), "", 'Data Entry'!$Ç$748)</f>
      </c>
      <c r="EF748">
        <f>IF(ISBLANK('Data Entry'!$È$748), "", 'Data Entry'!$È$748)</f>
      </c>
      <c r="EG748">
        <f>IF(ISBLANK('Data Entry'!$É$748), "", 'Data Entry'!$É$748)</f>
      </c>
      <c r="EH748">
        <f>IF(ISBLANK('Data Entry'!$Ê$748), "", 'Data Entry'!$Ê$748)</f>
      </c>
      <c r="EI748">
        <f>IF(ISBLANK('Data Entry'!$Ë$748), "", 'Data Entry'!$Ë$748)</f>
      </c>
      <c r="EJ748">
        <f>IF(ISBLANK('Data Entry'!$Ì$748), "", 'Data Entry'!$Ì$748)</f>
      </c>
      <c r="EK748">
        <f>IF(ISBLANK('Data Entry'!$Í$748), "", 'Data Entry'!$Í$748)</f>
      </c>
      <c r="EL748">
        <f>IF(ISBLANK('Data Entry'!$Î$748), "", 'Data Entry'!$Î$748)</f>
      </c>
      <c r="EM748">
        <f>IF(ISBLANK('Data Entry'!$Ï$748), "", 'Data Entry'!$Ï$748)</f>
      </c>
      <c r="EN748">
        <f>IF(ISBLANK('Data Entry'!$Ð$748), "", 'Data Entry'!$Ð$748)</f>
      </c>
      <c r="EO748">
        <f>IF(ISBLANK('Data Entry'!$Ñ$748), "", 'Data Entry'!$Ñ$748)</f>
      </c>
      <c r="EP748">
        <f>IF(ISBLANK('Data Entry'!$Ò$748), "", 'Data Entry'!$Ò$748)</f>
      </c>
      <c r="EQ748">
        <f>IF(ISBLANK('Data Entry'!$Ó$748), "", 'Data Entry'!$Ó$748)</f>
      </c>
      <c r="ER748">
        <f>IF(ISBLANK('Data Entry'!$Ô$748), "", 'Data Entry'!$Ô$748)</f>
      </c>
      <c r="ES748">
        <f>IF(ISBLANK('Data Entry'!$Õ$748), "", 'Data Entry'!$Õ$748)</f>
      </c>
      <c r="ET748">
        <f>IF(ISBLANK('Data Entry'!$Ö$748), "", 'Data Entry'!$Ö$748)</f>
      </c>
      <c r="EU748">
        <f>IF(ISBLANK('Data Entry'!$×$748), "", 'Data Entry'!$×$748)</f>
      </c>
      <c r="EV748">
        <f>IF(ISBLANK('Data Entry'!$Ø$748), "", 'Data Entry'!$Ø$748)</f>
      </c>
      <c r="EW748">
        <f>IF(ISBLANK('Data Entry'!$Ù$748), "", 'Data Entry'!$Ù$748)</f>
      </c>
      <c r="EX748">
        <f>IF(ISBLANK('Data Entry'!$Ú$748), "", 'Data Entry'!$Ú$748)</f>
      </c>
      <c r="EY748">
        <f>IF(ISBLANK('Data Entry'!$Û$748), "", 'Data Entry'!$Û$748)</f>
      </c>
      <c r="EZ748">
        <f>IF(ISBLANK('Data Entry'!$Ü$748), "", 'Data Entry'!$Ü$748)</f>
      </c>
      <c r="FA748">
        <f>IF(ISBLANK('Data Entry'!$Ý$748), "", 'Data Entry'!$Ý$748)</f>
      </c>
      <c r="FB748">
        <f>IF(ISBLANK('Data Entry'!$Þ$748), "", 'Data Entry'!$Þ$748)</f>
      </c>
      <c r="FC748">
        <f>IF(ISBLANK('Data Entry'!$ß$748), "", 'Data Entry'!$ß$748)</f>
      </c>
      <c r="FD748">
        <f>IF(ISBLANK('Data Entry'!$à$748), "", 'Data Entry'!$à$748)</f>
      </c>
      <c r="FE748">
        <f>IF(ISBLANK('Data Entry'!$á$748), "", 'Data Entry'!$á$748)</f>
      </c>
      <c r="FF748">
        <f>IF(ISBLANK('Data Entry'!$â$748), "", 'Data Entry'!$â$748)</f>
      </c>
      <c r="FG748">
        <f>IF(ISBLANK('Data Entry'!$ã$748), "", 'Data Entry'!$ã$748)</f>
      </c>
      <c r="FH748">
        <f>IF(ISBLANK('Data Entry'!$ä$748), "", 'Data Entry'!$ä$748)</f>
      </c>
      <c r="FI748">
        <f>IF(ISBLANK('Data Entry'!$å$748), "", 'Data Entry'!$å$748)</f>
      </c>
      <c r="FJ748">
        <f>IF(ISBLANK('Data Entry'!$æ$748), "", 'Data Entry'!$æ$748)</f>
      </c>
      <c r="FK748">
        <f>IF(ISBLANK('Data Entry'!$ç$748), "", 'Data Entry'!$ç$748)</f>
      </c>
      <c r="FL748">
        <f>IF(ISBLANK('Data Entry'!$è$748), "", 'Data Entry'!$è$748)</f>
      </c>
      <c r="FM748">
        <f>IF(ISBLANK('Data Entry'!$é$748), "", 'Data Entry'!$é$748)</f>
      </c>
      <c r="FN748">
        <f>IF(ISBLANK('Data Entry'!$ê$748), "", 'Data Entry'!$ê$748)</f>
      </c>
      <c r="FO748">
        <f>IF(ISBLANK('Data Entry'!$ë$748), "", 'Data Entry'!$ë$748)</f>
      </c>
      <c r="FP748">
        <f>IF(ISBLANK('Data Entry'!$ì$748), "", 'Data Entry'!$ì$748)</f>
      </c>
      <c r="FQ748">
        <f>IF(ISBLANK('Data Entry'!$í$748), "", 'Data Entry'!$í$748)</f>
      </c>
      <c r="FR748">
        <f>IF(ISBLANK('Data Entry'!$î$748), "", 'Data Entry'!$î$748)</f>
      </c>
      <c r="FS748">
        <f>IF(ISBLANK('Data Entry'!$ï$748), "", 'Data Entry'!$ï$748)</f>
      </c>
      <c r="FT748">
        <f>IF(ISBLANK('Data Entry'!$ð$748), "", 'Data Entry'!$ð$748)</f>
      </c>
      <c r="FU748">
        <f>IF(ISBLANK('Data Entry'!$ñ$748), "", 'Data Entry'!$ñ$748)</f>
      </c>
      <c r="FV748">
        <f>IF(ISBLANK('Data Entry'!$ò$748), "", 'Data Entry'!$ò$748)</f>
      </c>
      <c r="FW748">
        <f>IF(ISBLANK('Data Entry'!$ó$748), "", 'Data Entry'!$ó$748)</f>
      </c>
      <c r="FX748">
        <f>IF(ISBLANK('Data Entry'!$ô$748), "", 'Data Entry'!$ô$748)</f>
      </c>
      <c r="FY748">
        <f>IF(ISBLANK('Data Entry'!$õ$748), "", 'Data Entry'!$õ$748)</f>
      </c>
      <c r="FZ748">
        <f>IF(ISBLANK('Data Entry'!$ö$748), "", 'Data Entry'!$ö$748)</f>
      </c>
      <c r="GA748">
        <f>IF(ISBLANK('Data Entry'!$÷$748), "", 'Data Entry'!$÷$748)</f>
      </c>
      <c r="GB748">
        <f>IF(ISBLANK('Data Entry'!$ø$748), "", 'Data Entry'!$ø$748)</f>
      </c>
      <c r="GC748">
        <f>IF(ISBLANK('Data Entry'!$ù$748), "", 'Data Entry'!$ù$748)</f>
      </c>
      <c r="GD748">
        <f>IF(ISBLANK('Data Entry'!$ú$748), "", 'Data Entry'!$ú$748)</f>
      </c>
      <c r="GE748">
        <f>IF(ISBLANK('Data Entry'!$û$748), "", 'Data Entry'!$û$748)</f>
      </c>
      <c r="GF748">
        <f>IF(ISBLANK('Data Entry'!$ü$748), "", 'Data Entry'!$ü$748)</f>
      </c>
      <c r="GG748">
        <f>IF(ISBLANK('Data Entry'!$ý$748), "", 'Data Entry'!$ý$748)</f>
      </c>
      <c r="GH748">
        <f>IF(ISBLANK('Data Entry'!$þ$748), "", 'Data Entry'!$þ$748)</f>
      </c>
      <c r="GI748">
        <f>IF(ISBLANK('Data Entry'!$ÿ$748), "", 'Data Entry'!$ÿ$748)</f>
      </c>
      <c r="GJ748">
        <f>IF(ISBLANK('Data Entry'!$Ā$748), "", 'Data Entry'!$Ā$748)</f>
      </c>
      <c r="GK748">
        <f>IF(ISBLANK('Data Entry'!$ā$748), "", 'Data Entry'!$ā$748)</f>
      </c>
      <c r="GL748">
        <f>IF(ISBLANK('Data Entry'!$Ă$748), "", 'Data Entry'!$Ă$748)</f>
      </c>
      <c r="GM748">
        <f>IF(ISBLANK('Data Entry'!$ă$748), "", 'Data Entry'!$ă$748)</f>
      </c>
      <c r="GN748">
        <f>IF(ISBLANK('Data Entry'!$Ą$748), "", 'Data Entry'!$Ą$748)</f>
      </c>
      <c r="GO748">
        <f>IF(ISBLANK('Data Entry'!$ą$748), "", 'Data Entry'!$ą$748)</f>
      </c>
      <c r="GP748">
        <f>IF(ISBLANK('Data Entry'!$Ć$748), "", 'Data Entry'!$Ć$748)</f>
      </c>
      <c r="GQ748">
        <f>IF(ISBLANK('Data Entry'!$ć$748), "", 'Data Entry'!$ć$748)</f>
      </c>
      <c r="GR748">
        <f>IF(ISBLANK('Data Entry'!$Ĉ$748), "", 'Data Entry'!$Ĉ$748)</f>
      </c>
      <c r="GS748">
        <f>IF(ISBLANK('Data Entry'!$ĉ$748), "", 'Data Entry'!$ĉ$748)</f>
      </c>
      <c r="GT748">
        <f>IF(ISBLANK('Data Entry'!$Ċ$748), "", 'Data Entry'!$Ċ$748)</f>
      </c>
      <c r="GU748">
        <f>IF(ISBLANK('Data Entry'!$ċ$748), "", 'Data Entry'!$ċ$748)</f>
      </c>
      <c r="GV748">
        <f>IF(ISBLANK('Data Entry'!$Č$748), "", 'Data Entry'!$Č$748)</f>
      </c>
      <c r="GW748">
        <f>IF(ISBLANK('Data Entry'!$č$748), "", 'Data Entry'!$č$748)</f>
      </c>
      <c r="GX748">
        <f>IF(ISBLANK('Data Entry'!$Ď$748), "", 'Data Entry'!$Ď$748)</f>
      </c>
      <c r="GY748">
        <f>IF(ISBLANK('Data Entry'!$ď$748), "", 'Data Entry'!$ď$748)</f>
      </c>
      <c r="GZ748">
        <f>IF(ISBLANK('Data Entry'!$Đ$748), "", 'Data Entry'!$Đ$748)</f>
      </c>
      <c r="HA748">
        <f>IF(ISBLANK('Data Entry'!$đ$748), "", 'Data Entry'!$đ$748)</f>
      </c>
      <c r="HB748">
        <f>IF(ISBLANK('Data Entry'!$Ē$748), "", 'Data Entry'!$Ē$748)</f>
      </c>
      <c r="HC748">
        <f>IF(ISBLANK('Data Entry'!$ē$748), "", 'Data Entry'!$ē$748)</f>
      </c>
      <c r="HD748">
        <f>IF(ISBLANK('Data Entry'!$Ĕ$748), "", 'Data Entry'!$Ĕ$748)</f>
      </c>
      <c r="HE748">
        <f>IF(ISBLANK('Data Entry'!$ĕ$748), "", 'Data Entry'!$ĕ$748)</f>
      </c>
      <c r="HF748">
        <f>IF(ISBLANK('Data Entry'!$Ė$748), "", 'Data Entry'!$Ė$748)</f>
      </c>
      <c r="HG748">
        <f>IF(ISBLANK('Data Entry'!$ė$748), "", 'Data Entry'!$ė$748)</f>
      </c>
      <c r="HH748">
        <f>IF(ISBLANK('Data Entry'!$Ę$748), "", 'Data Entry'!$Ę$748)</f>
      </c>
      <c r="HI748">
        <f>IF(ISBLANK('Data Entry'!$ę$748), "", 'Data Entry'!$ę$748)</f>
      </c>
      <c r="HJ748">
        <f>IF(ISBLANK('Data Entry'!$Ě$748), "", 'Data Entry'!$Ě$748)</f>
      </c>
      <c r="HK748">
        <f>IF(ISBLANK('Data Entry'!$ě$748), "", 'Data Entry'!$ě$748)</f>
      </c>
      <c r="HL748">
        <f>IF(ISBLANK('Data Entry'!$Ĝ$748), "", 'Data Entry'!$Ĝ$748)</f>
      </c>
      <c r="HM748">
        <f>IF(ISBLANK('Data Entry'!$ĝ$748), "", 'Data Entry'!$ĝ$748)</f>
      </c>
      <c r="HN748">
        <f>IF(ISBLANK('Data Entry'!$Ğ$748), "", 'Data Entry'!$Ğ$748)</f>
      </c>
      <c r="HO748">
        <f>IF(ISBLANK('Data Entry'!$ğ$748), "", 'Data Entry'!$ğ$748)</f>
      </c>
      <c r="HP748">
        <f>IF(ISBLANK('Data Entry'!$Ġ$748), "", 'Data Entry'!$Ġ$748)</f>
      </c>
      <c r="HQ748">
        <f>IF(ISBLANK('Data Entry'!$ġ$748), "", 'Data Entry'!$ġ$748)</f>
      </c>
      <c r="HR748">
        <f>IF(ISBLANK('Data Entry'!$Ģ$748), "", 'Data Entry'!$Ģ$748)</f>
      </c>
      <c r="HS748">
        <f>IF(ISBLANK('Data Entry'!$ģ$748), "", 'Data Entry'!$ģ$748)</f>
      </c>
      <c r="HT748">
        <f>IF(ISBLANK('Data Entry'!$Ĥ$748), "", 'Data Entry'!$Ĥ$748)</f>
      </c>
      <c r="HU748">
        <f>IF(ISBLANK('Data Entry'!$ĥ$748), "", 'Data Entry'!$ĥ$748)</f>
      </c>
      <c r="HV748">
        <f>IF(ISBLANK('Data Entry'!$Ħ$748), "", 'Data Entry'!$Ħ$748)</f>
      </c>
      <c r="HW748">
        <f>IF(ISBLANK('Data Entry'!$ħ$748), "", 'Data Entry'!$ħ$748)</f>
      </c>
      <c r="HX748">
        <f>IF(ISBLANK('Data Entry'!$Ĩ$748), "", 'Data Entry'!$Ĩ$748)</f>
      </c>
      <c r="HY748">
        <f>IF(ISBLANK('Data Entry'!$ĩ$748), "", 'Data Entry'!$ĩ$748)</f>
      </c>
      <c r="HZ748">
        <f>IF(ISBLANK('Data Entry'!$Ī$748), "", 'Data Entry'!$Ī$748)</f>
      </c>
      <c r="IA748">
        <f>IF(ISBLANK('Data Entry'!$ī$748), "", 'Data Entry'!$ī$748)</f>
      </c>
      <c r="IB748">
        <f>IF(ISBLANK('Data Entry'!$Ĭ$748), "", 'Data Entry'!$Ĭ$748)</f>
      </c>
      <c r="IC748">
        <f>IF(ISBLANK('Data Entry'!$ĭ$748), "", 'Data Entry'!$ĭ$748)</f>
      </c>
      <c r="ID748">
        <f>IF(ISBLANK('Data Entry'!$Į$748), "", 'Data Entry'!$Į$748)</f>
      </c>
      <c r="IE748">
        <f>IF(ISBLANK('Data Entry'!$į$748), "", 'Data Entry'!$į$748)</f>
      </c>
      <c r="IF748">
        <f>IF(ISBLANK('Data Entry'!$İ$748), "", 'Data Entry'!$İ$748)</f>
      </c>
      <c r="IG748">
        <f>IF(ISBLANK('Data Entry'!$ı$748), "", 'Data Entry'!$ı$748)</f>
      </c>
      <c r="IH748">
        <f>IF(ISBLANK('Data Entry'!$Ĳ$748), "", 'Data Entry'!$Ĳ$748)</f>
      </c>
      <c r="II748">
        <f>IF(ISBLANK('Data Entry'!$ĳ$748), "", 'Data Entry'!$ĳ$748)</f>
      </c>
      <c r="IJ748">
        <f>IF(ISBLANK('Data Entry'!$Ĵ$748), "", 'Data Entry'!$Ĵ$748)</f>
      </c>
      <c r="IK748">
        <f>IF(ISBLANK('Data Entry'!$ĵ$748), "", 'Data Entry'!$ĵ$748)</f>
      </c>
      <c r="IL748">
        <f>IF(ISBLANK('Data Entry'!$Ķ$748), "", 'Data Entry'!$Ķ$748)</f>
      </c>
      <c r="IM748">
        <f>IF(ISBLANK('Data Entry'!$ķ$748), "", 'Data Entry'!$ķ$748)</f>
      </c>
      <c r="IN748">
        <f>IF(ISBLANK('Data Entry'!$ĸ$748), "", 'Data Entry'!$ĸ$748)</f>
      </c>
      <c r="IO748">
        <f>IF(ISBLANK('Data Entry'!$Ĺ$748), "", 'Data Entry'!$Ĺ$748)</f>
      </c>
      <c r="IP748">
        <f>IF(ISBLANK('Data Entry'!$ĺ$748), "", 'Data Entry'!$ĺ$748)</f>
      </c>
      <c r="IQ748">
        <f>IF(ISBLANK('Data Entry'!$Ļ$748), "", 'Data Entry'!$Ļ$748)</f>
      </c>
      <c r="IR748">
        <f>IF(ISBLANK('Data Entry'!$ļ$748), "", 'Data Entry'!$ļ$748)</f>
      </c>
      <c r="IS748">
        <f>IF(ISBLANK('Data Entry'!$Ľ$748), "", 'Data Entry'!$Ľ$748)</f>
      </c>
      <c r="IT748">
        <f>IF(ISBLANK('Data Entry'!$ľ$748), "", 'Data Entry'!$ľ$748)</f>
      </c>
    </row>
    <row r="749" spans="1:254" x14ac:dyDescent="0.25">
      <c r="A749">
        <f>IF(ISBLANK('Data Entry'!$A$749), "", 'Data Entry'!$A$749)</f>
      </c>
      <c r="B749">
        <f>IF(ISBLANK('Data Entry'!$B$749), "", 'Data Entry'!$B$749)</f>
      </c>
      <c r="C749">
        <f>IF(ISBLANK('Data Entry'!$C$749), "", 'Data Entry'!$C$749)</f>
      </c>
      <c r="D749">
        <f>IF(ISBLANK('Data Entry'!$D$749), "", 'Data Entry'!$D$749)</f>
      </c>
      <c r="E749">
        <f>IF(ISBLANK('Data Entry'!$E$749), "", 'Data Entry'!$E$749)</f>
      </c>
      <c r="F749">
        <f>IF(ISBLANK('Data Entry'!$F$749), "", 'Data Entry'!$F$749)</f>
      </c>
      <c r="G749">
        <f>IF(ISBLANK('Data Entry'!$G$749), "", 'Data Entry'!$G$749)</f>
      </c>
      <c r="H749">
        <f>IF(ISBLANK('Data Entry'!$H$749), "", 'Data Entry'!$H$749)</f>
      </c>
      <c r="I749">
        <f>IF(ISBLANK('Data Entry'!$I$749), "", 'Data Entry'!$I$749)</f>
      </c>
      <c r="J749">
        <f>IF(ISBLANK('Data Entry'!$J$749), "", 'Data Entry'!$J$749)</f>
      </c>
      <c r="K749">
        <f>IF(ISBLANK('Data Entry'!$K$749), "", 'Data Entry'!$K$749)</f>
      </c>
      <c r="L749">
        <f>IF(ISBLANK('Data Entry'!$L$749), "", 'Data Entry'!$L$749)</f>
      </c>
      <c r="M749">
        <f>IF(ISBLANK('Data Entry'!$M$749), "", 'Data Entry'!$M$749)</f>
      </c>
      <c r="N749">
        <f>IF(ISBLANK('Data Entry'!$N$749), "", 'Data Entry'!$N$749)</f>
      </c>
      <c r="O749">
        <f>IF(ISBLANK('Data Entry'!$O$749), "", 'Data Entry'!$O$749)</f>
      </c>
      <c r="P749">
        <f>IF(ISBLANK('Data Entry'!$P$749), "", 'Data Entry'!$P$749)</f>
      </c>
      <c r="Q749">
        <f>IF(ISBLANK('Data Entry'!$Q$749), "", 'Data Entry'!$Q$749)</f>
      </c>
      <c r="R749">
        <f>IF(ISBLANK('Data Entry'!$R$749), "", 'Data Entry'!$R$749)</f>
      </c>
      <c r="S749">
        <f>IF(ISBLANK('Data Entry'!$S$749), "", 'Data Entry'!$S$749)</f>
      </c>
      <c r="T749">
        <f>IF(ISBLANK('Data Entry'!$T$749), "", 'Data Entry'!$T$749)</f>
      </c>
      <c r="U749">
        <f>IF(ISBLANK('Data Entry'!$U$749), "", 'Data Entry'!$U$749)</f>
      </c>
      <c r="V749">
        <f>IF(ISBLANK('Data Entry'!$V$749), "", 'Data Entry'!$V$749)</f>
      </c>
      <c r="W749">
        <f>IF(ISBLANK('Data Entry'!$W$749), "", 'Data Entry'!$W$749)</f>
      </c>
      <c r="X749">
        <f>IF(ISBLANK('Data Entry'!$X$749), "", 'Data Entry'!$X$749)</f>
      </c>
      <c r="Y749">
        <f>IF(ISBLANK('Data Entry'!$Y$749), "", 'Data Entry'!$Y$749)</f>
      </c>
      <c r="Z749">
        <f>IF(ISBLANK('Data Entry'!$Z$749), "", 'Data Entry'!$Z$749)</f>
      </c>
      <c r="AA749">
        <f>IF(ISBLANK('Data Entry'!$[$749), "", 'Data Entry'!$[$749)</f>
      </c>
      <c r="AB749">
        <f>IF(ISBLANK('Data Entry'!$\$749), "", 'Data Entry'!$\$749)</f>
      </c>
      <c r="AC749">
        <f>IF(ISBLANK('Data Entry'!$]$749), "", 'Data Entry'!$]$749)</f>
      </c>
      <c r="AD749">
        <f>IF(ISBLANK('Data Entry'!$^$749), "", 'Data Entry'!$^$749)</f>
      </c>
      <c r="AE749">
        <f>IF(ISBLANK('Data Entry'!$_$749), "", 'Data Entry'!$_$749)</f>
      </c>
      <c r="AF749">
        <f>IF(ISBLANK('Data Entry'!$`$749), "", 'Data Entry'!$`$749)</f>
      </c>
      <c r="AG749">
        <f>IF(ISBLANK('Data Entry'!$a$749), "", 'Data Entry'!$a$749)</f>
      </c>
      <c r="AH749">
        <f>IF(ISBLANK('Data Entry'!$b$749), "", 'Data Entry'!$b$749)</f>
      </c>
      <c r="AI749">
        <f>IF(ISBLANK('Data Entry'!$c$749), "", 'Data Entry'!$c$749)</f>
      </c>
      <c r="AJ749">
        <f>IF(ISBLANK('Data Entry'!$d$749), "", 'Data Entry'!$d$749)</f>
      </c>
      <c r="AK749">
        <f>IF(ISBLANK('Data Entry'!$e$749), "", 'Data Entry'!$e$749)</f>
      </c>
      <c r="AL749">
        <f>IF(ISBLANK('Data Entry'!$f$749), "", 'Data Entry'!$f$749)</f>
      </c>
      <c r="AM749">
        <f>IF(ISBLANK('Data Entry'!$g$749), "", 'Data Entry'!$g$749)</f>
      </c>
      <c r="AN749">
        <f>IF(ISBLANK('Data Entry'!$h$749), "", 'Data Entry'!$h$749)</f>
      </c>
      <c r="AO749">
        <f>IF(ISBLANK('Data Entry'!$i$749), "", 'Data Entry'!$i$749)</f>
      </c>
      <c r="AP749">
        <f>IF(ISBLANK('Data Entry'!$j$749), "", 'Data Entry'!$j$749)</f>
      </c>
      <c r="AQ749">
        <f>IF(ISBLANK('Data Entry'!$k$749), "", 'Data Entry'!$k$749)</f>
      </c>
      <c r="AR749">
        <f>IF(ISBLANK('Data Entry'!$l$749), "", 'Data Entry'!$l$749)</f>
      </c>
      <c r="AS749">
        <f>IF(ISBLANK('Data Entry'!$m$749), "", 'Data Entry'!$m$749)</f>
      </c>
      <c r="AT749">
        <f>IF(ISBLANK('Data Entry'!$n$749), "", 'Data Entry'!$n$749)</f>
      </c>
      <c r="AU749">
        <f>IF(ISBLANK('Data Entry'!$o$749), "", 'Data Entry'!$o$749)</f>
      </c>
      <c r="AV749">
        <f>IF(ISBLANK('Data Entry'!$p$749), "", 'Data Entry'!$p$749)</f>
      </c>
      <c r="AW749">
        <f>IF(ISBLANK('Data Entry'!$q$749), "", 'Data Entry'!$q$749)</f>
      </c>
      <c r="AX749">
        <f>IF(ISBLANK('Data Entry'!$r$749), "", 'Data Entry'!$r$749)</f>
      </c>
      <c r="AY749">
        <f>IF(ISBLANK('Data Entry'!$s$749), "", 'Data Entry'!$s$749)</f>
      </c>
      <c r="AZ749">
        <f>IF(ISBLANK('Data Entry'!$t$749), "", 'Data Entry'!$t$749)</f>
      </c>
      <c r="BA749">
        <f>IF(ISBLANK('Data Entry'!$u$749), "", 'Data Entry'!$u$749)</f>
      </c>
      <c r="BB749">
        <f>IF(ISBLANK('Data Entry'!$v$749), "", 'Data Entry'!$v$749)</f>
      </c>
      <c r="BC749">
        <f>IF(ISBLANK('Data Entry'!$w$749), "", 'Data Entry'!$w$749)</f>
      </c>
      <c r="BD749">
        <f>IF(ISBLANK('Data Entry'!$x$749), "", 'Data Entry'!$x$749)</f>
      </c>
      <c r="BE749">
        <f>IF(ISBLANK('Data Entry'!$y$749), "", 'Data Entry'!$y$749)</f>
      </c>
      <c r="BF749">
        <f>IF(ISBLANK('Data Entry'!$z$749), "", 'Data Entry'!$z$749)</f>
      </c>
      <c r="BG749">
        <f>IF(ISBLANK('Data Entry'!${$749), "", 'Data Entry'!${$749)</f>
      </c>
      <c r="BH749">
        <f>IF(ISBLANK('Data Entry'!$|$749), "", 'Data Entry'!$|$749)</f>
      </c>
      <c r="BI749">
        <f>IF(ISBLANK('Data Entry'!$}$749), "", 'Data Entry'!$}$749)</f>
      </c>
      <c r="BJ749">
        <f>IF(ISBLANK('Data Entry'!$~$749), "", 'Data Entry'!$~$749)</f>
      </c>
      <c r="BK749">
        <f>IF(ISBLANK('Data Entry'!$$749), "", 'Data Entry'!$$749)</f>
      </c>
      <c r="BL749">
        <f>IF(ISBLANK('Data Entry'!$$749), "", 'Data Entry'!$$749)</f>
      </c>
      <c r="BM749">
        <f>IF(ISBLANK('Data Entry'!$$749), "", 'Data Entry'!$$749)</f>
      </c>
      <c r="BN749">
        <f>IF(ISBLANK('Data Entry'!$$749), "", 'Data Entry'!$$749)</f>
      </c>
      <c r="BO749">
        <f>IF(ISBLANK('Data Entry'!$$749), "", 'Data Entry'!$$749)</f>
      </c>
      <c r="BP749">
        <f>IF(ISBLANK('Data Entry'!$$749), "", 'Data Entry'!$$749)</f>
      </c>
      <c r="BQ749">
        <f>IF(ISBLANK('Data Entry'!$$749), "", 'Data Entry'!$$749)</f>
      </c>
      <c r="BR749">
        <f>IF(ISBLANK('Data Entry'!$$749), "", 'Data Entry'!$$749)</f>
      </c>
      <c r="BS749">
        <f>IF(ISBLANK('Data Entry'!$$749), "", 'Data Entry'!$$749)</f>
      </c>
      <c r="BT749">
        <f>IF(ISBLANK('Data Entry'!$$749), "", 'Data Entry'!$$749)</f>
      </c>
      <c r="BU749">
        <f>IF(ISBLANK('Data Entry'!$$749), "", 'Data Entry'!$$749)</f>
      </c>
      <c r="BV749">
        <f>IF(ISBLANK('Data Entry'!$$749), "", 'Data Entry'!$$749)</f>
      </c>
      <c r="BW749">
        <f>IF(ISBLANK('Data Entry'!$$749), "", 'Data Entry'!$$749)</f>
      </c>
      <c r="BX749">
        <f>IF(ISBLANK('Data Entry'!$$749), "", 'Data Entry'!$$749)</f>
      </c>
      <c r="BY749">
        <f>IF(ISBLANK('Data Entry'!$$749), "", 'Data Entry'!$$749)</f>
      </c>
      <c r="BZ749">
        <f>IF(ISBLANK('Data Entry'!$$749), "", 'Data Entry'!$$749)</f>
      </c>
      <c r="CA749">
        <f>IF(ISBLANK('Data Entry'!$$749), "", 'Data Entry'!$$749)</f>
      </c>
      <c r="CB749">
        <f>IF(ISBLANK('Data Entry'!$$749), "", 'Data Entry'!$$749)</f>
      </c>
      <c r="CC749">
        <f>IF(ISBLANK('Data Entry'!$$749), "", 'Data Entry'!$$749)</f>
      </c>
      <c r="CD749">
        <f>IF(ISBLANK('Data Entry'!$$749), "", 'Data Entry'!$$749)</f>
      </c>
      <c r="CE749">
        <f>IF(ISBLANK('Data Entry'!$$749), "", 'Data Entry'!$$749)</f>
      </c>
      <c r="CF749">
        <f>IF(ISBLANK('Data Entry'!$$749), "", 'Data Entry'!$$749)</f>
      </c>
      <c r="CG749">
        <f>IF(ISBLANK('Data Entry'!$$749), "", 'Data Entry'!$$749)</f>
      </c>
      <c r="CH749">
        <f>IF(ISBLANK('Data Entry'!$$749), "", 'Data Entry'!$$749)</f>
      </c>
      <c r="CI749">
        <f>IF(ISBLANK('Data Entry'!$$749), "", 'Data Entry'!$$749)</f>
      </c>
      <c r="CJ749">
        <f>IF(ISBLANK('Data Entry'!$$749), "", 'Data Entry'!$$749)</f>
      </c>
      <c r="CK749">
        <f>IF(ISBLANK('Data Entry'!$$749), "", 'Data Entry'!$$749)</f>
      </c>
      <c r="CL749">
        <f>IF(ISBLANK('Data Entry'!$$749), "", 'Data Entry'!$$749)</f>
      </c>
      <c r="CM749">
        <f>IF(ISBLANK('Data Entry'!$$749), "", 'Data Entry'!$$749)</f>
      </c>
      <c r="CN749">
        <f>IF(ISBLANK('Data Entry'!$$749), "", 'Data Entry'!$$749)</f>
      </c>
      <c r="CO749">
        <f>IF(ISBLANK('Data Entry'!$$749), "", 'Data Entry'!$$749)</f>
      </c>
      <c r="CP749">
        <f>IF(ISBLANK('Data Entry'!$$749), "", 'Data Entry'!$$749)</f>
      </c>
      <c r="CQ749">
        <f>IF(ISBLANK('Data Entry'!$$749), "", 'Data Entry'!$$749)</f>
      </c>
      <c r="CR749">
        <f>IF(ISBLANK('Data Entry'!$ $749), "", 'Data Entry'!$ $749)</f>
      </c>
      <c r="CS749">
        <f>IF(ISBLANK('Data Entry'!$¡$749), "", 'Data Entry'!$¡$749)</f>
      </c>
      <c r="CT749">
        <f>IF(ISBLANK('Data Entry'!$¢$749), "", 'Data Entry'!$¢$749)</f>
      </c>
      <c r="CU749">
        <f>IF(ISBLANK('Data Entry'!$£$749), "", 'Data Entry'!$£$749)</f>
      </c>
      <c r="CV749">
        <f>IF(ISBLANK('Data Entry'!$¤$749), "", 'Data Entry'!$¤$749)</f>
      </c>
      <c r="CW749">
        <f>IF(ISBLANK('Data Entry'!$¥$749), "", 'Data Entry'!$¥$749)</f>
      </c>
      <c r="CX749">
        <f>IF(ISBLANK('Data Entry'!$¦$749), "", 'Data Entry'!$¦$749)</f>
      </c>
      <c r="CY749">
        <f>IF(ISBLANK('Data Entry'!$§$749), "", 'Data Entry'!$§$749)</f>
      </c>
      <c r="CZ749">
        <f>IF(ISBLANK('Data Entry'!$¨$749), "", 'Data Entry'!$¨$749)</f>
      </c>
      <c r="DA749">
        <f>IF(ISBLANK('Data Entry'!$©$749), "", 'Data Entry'!$©$749)</f>
      </c>
      <c r="DB749">
        <f>IF(ISBLANK('Data Entry'!$ª$749), "", 'Data Entry'!$ª$749)</f>
      </c>
      <c r="DC749">
        <f>IF(ISBLANK('Data Entry'!$«$749), "", 'Data Entry'!$«$749)</f>
      </c>
      <c r="DD749">
        <f>IF(ISBLANK('Data Entry'!$¬$749), "", 'Data Entry'!$¬$749)</f>
      </c>
      <c r="DE749">
        <f>IF(ISBLANK('Data Entry'!$­$749), "", 'Data Entry'!$­$749)</f>
      </c>
      <c r="DF749">
        <f>IF(ISBLANK('Data Entry'!$®$749), "", 'Data Entry'!$®$749)</f>
      </c>
      <c r="DG749">
        <f>IF(ISBLANK('Data Entry'!$¯$749), "", 'Data Entry'!$¯$749)</f>
      </c>
      <c r="DH749">
        <f>IF(ISBLANK('Data Entry'!$°$749), "", 'Data Entry'!$°$749)</f>
      </c>
      <c r="DI749">
        <f>IF(ISBLANK('Data Entry'!$±$749), "", 'Data Entry'!$±$749)</f>
      </c>
      <c r="DJ749">
        <f>IF(ISBLANK('Data Entry'!$²$749), "", 'Data Entry'!$²$749)</f>
      </c>
      <c r="DK749">
        <f>IF(ISBLANK('Data Entry'!$³$749), "", 'Data Entry'!$³$749)</f>
      </c>
      <c r="DL749">
        <f>IF(ISBLANK('Data Entry'!$´$749), "", 'Data Entry'!$´$749)</f>
      </c>
      <c r="DM749">
        <f>IF(ISBLANK('Data Entry'!$µ$749), "", 'Data Entry'!$µ$749)</f>
      </c>
      <c r="DN749">
        <f>IF(ISBLANK('Data Entry'!$¶$749), "", 'Data Entry'!$¶$749)</f>
      </c>
      <c r="DO749">
        <f>IF(ISBLANK('Data Entry'!$·$749), "", 'Data Entry'!$·$749)</f>
      </c>
      <c r="DP749">
        <f>IF(ISBLANK('Data Entry'!$¸$749), "", 'Data Entry'!$¸$749)</f>
      </c>
      <c r="DQ749">
        <f>IF(ISBLANK('Data Entry'!$¹$749), "", 'Data Entry'!$¹$749)</f>
      </c>
      <c r="DR749">
        <f>IF(ISBLANK('Data Entry'!$º$749), "", 'Data Entry'!$º$749)</f>
      </c>
      <c r="DS749">
        <f>IF(ISBLANK('Data Entry'!$»$749), "", 'Data Entry'!$»$749)</f>
      </c>
      <c r="DT749">
        <f>IF(ISBLANK('Data Entry'!$¼$749), "", 'Data Entry'!$¼$749)</f>
      </c>
      <c r="DU749">
        <f>IF(ISBLANK('Data Entry'!$½$749), "", 'Data Entry'!$½$749)</f>
      </c>
      <c r="DV749">
        <f>IF(ISBLANK('Data Entry'!$¾$749), "", 'Data Entry'!$¾$749)</f>
      </c>
      <c r="DW749">
        <f>IF(ISBLANK('Data Entry'!$¿$749), "", 'Data Entry'!$¿$749)</f>
      </c>
      <c r="DX749">
        <f>IF(ISBLANK('Data Entry'!$À$749), "", 'Data Entry'!$À$749)</f>
      </c>
      <c r="DY749">
        <f>IF(ISBLANK('Data Entry'!$Á$749), "", 'Data Entry'!$Á$749)</f>
      </c>
      <c r="DZ749">
        <f>IF(ISBLANK('Data Entry'!$Â$749), "", 'Data Entry'!$Â$749)</f>
      </c>
      <c r="EA749">
        <f>IF(ISBLANK('Data Entry'!$Ã$749), "", 'Data Entry'!$Ã$749)</f>
      </c>
      <c r="EB749">
        <f>IF(ISBLANK('Data Entry'!$Ä$749), "", 'Data Entry'!$Ä$749)</f>
      </c>
      <c r="EC749">
        <f>IF(ISBLANK('Data Entry'!$Å$749), "", 'Data Entry'!$Å$749)</f>
      </c>
      <c r="ED749">
        <f>IF(ISBLANK('Data Entry'!$Æ$749), "", 'Data Entry'!$Æ$749)</f>
      </c>
      <c r="EE749">
        <f>IF(ISBLANK('Data Entry'!$Ç$749), "", 'Data Entry'!$Ç$749)</f>
      </c>
      <c r="EF749">
        <f>IF(ISBLANK('Data Entry'!$È$749), "", 'Data Entry'!$È$749)</f>
      </c>
      <c r="EG749">
        <f>IF(ISBLANK('Data Entry'!$É$749), "", 'Data Entry'!$É$749)</f>
      </c>
      <c r="EH749">
        <f>IF(ISBLANK('Data Entry'!$Ê$749), "", 'Data Entry'!$Ê$749)</f>
      </c>
      <c r="EI749">
        <f>IF(ISBLANK('Data Entry'!$Ë$749), "", 'Data Entry'!$Ë$749)</f>
      </c>
      <c r="EJ749">
        <f>IF(ISBLANK('Data Entry'!$Ì$749), "", 'Data Entry'!$Ì$749)</f>
      </c>
      <c r="EK749">
        <f>IF(ISBLANK('Data Entry'!$Í$749), "", 'Data Entry'!$Í$749)</f>
      </c>
      <c r="EL749">
        <f>IF(ISBLANK('Data Entry'!$Î$749), "", 'Data Entry'!$Î$749)</f>
      </c>
      <c r="EM749">
        <f>IF(ISBLANK('Data Entry'!$Ï$749), "", 'Data Entry'!$Ï$749)</f>
      </c>
      <c r="EN749">
        <f>IF(ISBLANK('Data Entry'!$Ð$749), "", 'Data Entry'!$Ð$749)</f>
      </c>
      <c r="EO749">
        <f>IF(ISBLANK('Data Entry'!$Ñ$749), "", 'Data Entry'!$Ñ$749)</f>
      </c>
      <c r="EP749">
        <f>IF(ISBLANK('Data Entry'!$Ò$749), "", 'Data Entry'!$Ò$749)</f>
      </c>
      <c r="EQ749">
        <f>IF(ISBLANK('Data Entry'!$Ó$749), "", 'Data Entry'!$Ó$749)</f>
      </c>
      <c r="ER749">
        <f>IF(ISBLANK('Data Entry'!$Ô$749), "", 'Data Entry'!$Ô$749)</f>
      </c>
      <c r="ES749">
        <f>IF(ISBLANK('Data Entry'!$Õ$749), "", 'Data Entry'!$Õ$749)</f>
      </c>
      <c r="ET749">
        <f>IF(ISBLANK('Data Entry'!$Ö$749), "", 'Data Entry'!$Ö$749)</f>
      </c>
      <c r="EU749">
        <f>IF(ISBLANK('Data Entry'!$×$749), "", 'Data Entry'!$×$749)</f>
      </c>
      <c r="EV749">
        <f>IF(ISBLANK('Data Entry'!$Ø$749), "", 'Data Entry'!$Ø$749)</f>
      </c>
      <c r="EW749">
        <f>IF(ISBLANK('Data Entry'!$Ù$749), "", 'Data Entry'!$Ù$749)</f>
      </c>
      <c r="EX749">
        <f>IF(ISBLANK('Data Entry'!$Ú$749), "", 'Data Entry'!$Ú$749)</f>
      </c>
      <c r="EY749">
        <f>IF(ISBLANK('Data Entry'!$Û$749), "", 'Data Entry'!$Û$749)</f>
      </c>
      <c r="EZ749">
        <f>IF(ISBLANK('Data Entry'!$Ü$749), "", 'Data Entry'!$Ü$749)</f>
      </c>
      <c r="FA749">
        <f>IF(ISBLANK('Data Entry'!$Ý$749), "", 'Data Entry'!$Ý$749)</f>
      </c>
      <c r="FB749">
        <f>IF(ISBLANK('Data Entry'!$Þ$749), "", 'Data Entry'!$Þ$749)</f>
      </c>
      <c r="FC749">
        <f>IF(ISBLANK('Data Entry'!$ß$749), "", 'Data Entry'!$ß$749)</f>
      </c>
      <c r="FD749">
        <f>IF(ISBLANK('Data Entry'!$à$749), "", 'Data Entry'!$à$749)</f>
      </c>
      <c r="FE749">
        <f>IF(ISBLANK('Data Entry'!$á$749), "", 'Data Entry'!$á$749)</f>
      </c>
      <c r="FF749">
        <f>IF(ISBLANK('Data Entry'!$â$749), "", 'Data Entry'!$â$749)</f>
      </c>
      <c r="FG749">
        <f>IF(ISBLANK('Data Entry'!$ã$749), "", 'Data Entry'!$ã$749)</f>
      </c>
      <c r="FH749">
        <f>IF(ISBLANK('Data Entry'!$ä$749), "", 'Data Entry'!$ä$749)</f>
      </c>
      <c r="FI749">
        <f>IF(ISBLANK('Data Entry'!$å$749), "", 'Data Entry'!$å$749)</f>
      </c>
      <c r="FJ749">
        <f>IF(ISBLANK('Data Entry'!$æ$749), "", 'Data Entry'!$æ$749)</f>
      </c>
      <c r="FK749">
        <f>IF(ISBLANK('Data Entry'!$ç$749), "", 'Data Entry'!$ç$749)</f>
      </c>
      <c r="FL749">
        <f>IF(ISBLANK('Data Entry'!$è$749), "", 'Data Entry'!$è$749)</f>
      </c>
      <c r="FM749">
        <f>IF(ISBLANK('Data Entry'!$é$749), "", 'Data Entry'!$é$749)</f>
      </c>
      <c r="FN749">
        <f>IF(ISBLANK('Data Entry'!$ê$749), "", 'Data Entry'!$ê$749)</f>
      </c>
      <c r="FO749">
        <f>IF(ISBLANK('Data Entry'!$ë$749), "", 'Data Entry'!$ë$749)</f>
      </c>
      <c r="FP749">
        <f>IF(ISBLANK('Data Entry'!$ì$749), "", 'Data Entry'!$ì$749)</f>
      </c>
      <c r="FQ749">
        <f>IF(ISBLANK('Data Entry'!$í$749), "", 'Data Entry'!$í$749)</f>
      </c>
      <c r="FR749">
        <f>IF(ISBLANK('Data Entry'!$î$749), "", 'Data Entry'!$î$749)</f>
      </c>
      <c r="FS749">
        <f>IF(ISBLANK('Data Entry'!$ï$749), "", 'Data Entry'!$ï$749)</f>
      </c>
      <c r="FT749">
        <f>IF(ISBLANK('Data Entry'!$ð$749), "", 'Data Entry'!$ð$749)</f>
      </c>
      <c r="FU749">
        <f>IF(ISBLANK('Data Entry'!$ñ$749), "", 'Data Entry'!$ñ$749)</f>
      </c>
      <c r="FV749">
        <f>IF(ISBLANK('Data Entry'!$ò$749), "", 'Data Entry'!$ò$749)</f>
      </c>
      <c r="FW749">
        <f>IF(ISBLANK('Data Entry'!$ó$749), "", 'Data Entry'!$ó$749)</f>
      </c>
      <c r="FX749">
        <f>IF(ISBLANK('Data Entry'!$ô$749), "", 'Data Entry'!$ô$749)</f>
      </c>
      <c r="FY749">
        <f>IF(ISBLANK('Data Entry'!$õ$749), "", 'Data Entry'!$õ$749)</f>
      </c>
      <c r="FZ749">
        <f>IF(ISBLANK('Data Entry'!$ö$749), "", 'Data Entry'!$ö$749)</f>
      </c>
      <c r="GA749">
        <f>IF(ISBLANK('Data Entry'!$÷$749), "", 'Data Entry'!$÷$749)</f>
      </c>
      <c r="GB749">
        <f>IF(ISBLANK('Data Entry'!$ø$749), "", 'Data Entry'!$ø$749)</f>
      </c>
      <c r="GC749">
        <f>IF(ISBLANK('Data Entry'!$ù$749), "", 'Data Entry'!$ù$749)</f>
      </c>
      <c r="GD749">
        <f>IF(ISBLANK('Data Entry'!$ú$749), "", 'Data Entry'!$ú$749)</f>
      </c>
      <c r="GE749">
        <f>IF(ISBLANK('Data Entry'!$û$749), "", 'Data Entry'!$û$749)</f>
      </c>
      <c r="GF749">
        <f>IF(ISBLANK('Data Entry'!$ü$749), "", 'Data Entry'!$ü$749)</f>
      </c>
      <c r="GG749">
        <f>IF(ISBLANK('Data Entry'!$ý$749), "", 'Data Entry'!$ý$749)</f>
      </c>
      <c r="GH749">
        <f>IF(ISBLANK('Data Entry'!$þ$749), "", 'Data Entry'!$þ$749)</f>
      </c>
      <c r="GI749">
        <f>IF(ISBLANK('Data Entry'!$ÿ$749), "", 'Data Entry'!$ÿ$749)</f>
      </c>
      <c r="GJ749">
        <f>IF(ISBLANK('Data Entry'!$Ā$749), "", 'Data Entry'!$Ā$749)</f>
      </c>
      <c r="GK749">
        <f>IF(ISBLANK('Data Entry'!$ā$749), "", 'Data Entry'!$ā$749)</f>
      </c>
      <c r="GL749">
        <f>IF(ISBLANK('Data Entry'!$Ă$749), "", 'Data Entry'!$Ă$749)</f>
      </c>
      <c r="GM749">
        <f>IF(ISBLANK('Data Entry'!$ă$749), "", 'Data Entry'!$ă$749)</f>
      </c>
      <c r="GN749">
        <f>IF(ISBLANK('Data Entry'!$Ą$749), "", 'Data Entry'!$Ą$749)</f>
      </c>
      <c r="GO749">
        <f>IF(ISBLANK('Data Entry'!$ą$749), "", 'Data Entry'!$ą$749)</f>
      </c>
      <c r="GP749">
        <f>IF(ISBLANK('Data Entry'!$Ć$749), "", 'Data Entry'!$Ć$749)</f>
      </c>
      <c r="GQ749">
        <f>IF(ISBLANK('Data Entry'!$ć$749), "", 'Data Entry'!$ć$749)</f>
      </c>
      <c r="GR749">
        <f>IF(ISBLANK('Data Entry'!$Ĉ$749), "", 'Data Entry'!$Ĉ$749)</f>
      </c>
      <c r="GS749">
        <f>IF(ISBLANK('Data Entry'!$ĉ$749), "", 'Data Entry'!$ĉ$749)</f>
      </c>
      <c r="GT749">
        <f>IF(ISBLANK('Data Entry'!$Ċ$749), "", 'Data Entry'!$Ċ$749)</f>
      </c>
      <c r="GU749">
        <f>IF(ISBLANK('Data Entry'!$ċ$749), "", 'Data Entry'!$ċ$749)</f>
      </c>
      <c r="GV749">
        <f>IF(ISBLANK('Data Entry'!$Č$749), "", 'Data Entry'!$Č$749)</f>
      </c>
      <c r="GW749">
        <f>IF(ISBLANK('Data Entry'!$č$749), "", 'Data Entry'!$č$749)</f>
      </c>
      <c r="GX749">
        <f>IF(ISBLANK('Data Entry'!$Ď$749), "", 'Data Entry'!$Ď$749)</f>
      </c>
      <c r="GY749">
        <f>IF(ISBLANK('Data Entry'!$ď$749), "", 'Data Entry'!$ď$749)</f>
      </c>
      <c r="GZ749">
        <f>IF(ISBLANK('Data Entry'!$Đ$749), "", 'Data Entry'!$Đ$749)</f>
      </c>
      <c r="HA749">
        <f>IF(ISBLANK('Data Entry'!$đ$749), "", 'Data Entry'!$đ$749)</f>
      </c>
      <c r="HB749">
        <f>IF(ISBLANK('Data Entry'!$Ē$749), "", 'Data Entry'!$Ē$749)</f>
      </c>
      <c r="HC749">
        <f>IF(ISBLANK('Data Entry'!$ē$749), "", 'Data Entry'!$ē$749)</f>
      </c>
      <c r="HD749">
        <f>IF(ISBLANK('Data Entry'!$Ĕ$749), "", 'Data Entry'!$Ĕ$749)</f>
      </c>
      <c r="HE749">
        <f>IF(ISBLANK('Data Entry'!$ĕ$749), "", 'Data Entry'!$ĕ$749)</f>
      </c>
      <c r="HF749">
        <f>IF(ISBLANK('Data Entry'!$Ė$749), "", 'Data Entry'!$Ė$749)</f>
      </c>
      <c r="HG749">
        <f>IF(ISBLANK('Data Entry'!$ė$749), "", 'Data Entry'!$ė$749)</f>
      </c>
      <c r="HH749">
        <f>IF(ISBLANK('Data Entry'!$Ę$749), "", 'Data Entry'!$Ę$749)</f>
      </c>
      <c r="HI749">
        <f>IF(ISBLANK('Data Entry'!$ę$749), "", 'Data Entry'!$ę$749)</f>
      </c>
      <c r="HJ749">
        <f>IF(ISBLANK('Data Entry'!$Ě$749), "", 'Data Entry'!$Ě$749)</f>
      </c>
      <c r="HK749">
        <f>IF(ISBLANK('Data Entry'!$ě$749), "", 'Data Entry'!$ě$749)</f>
      </c>
      <c r="HL749">
        <f>IF(ISBLANK('Data Entry'!$Ĝ$749), "", 'Data Entry'!$Ĝ$749)</f>
      </c>
      <c r="HM749">
        <f>IF(ISBLANK('Data Entry'!$ĝ$749), "", 'Data Entry'!$ĝ$749)</f>
      </c>
      <c r="HN749">
        <f>IF(ISBLANK('Data Entry'!$Ğ$749), "", 'Data Entry'!$Ğ$749)</f>
      </c>
      <c r="HO749">
        <f>IF(ISBLANK('Data Entry'!$ğ$749), "", 'Data Entry'!$ğ$749)</f>
      </c>
      <c r="HP749">
        <f>IF(ISBLANK('Data Entry'!$Ġ$749), "", 'Data Entry'!$Ġ$749)</f>
      </c>
      <c r="HQ749">
        <f>IF(ISBLANK('Data Entry'!$ġ$749), "", 'Data Entry'!$ġ$749)</f>
      </c>
      <c r="HR749">
        <f>IF(ISBLANK('Data Entry'!$Ģ$749), "", 'Data Entry'!$Ģ$749)</f>
      </c>
      <c r="HS749">
        <f>IF(ISBLANK('Data Entry'!$ģ$749), "", 'Data Entry'!$ģ$749)</f>
      </c>
      <c r="HT749">
        <f>IF(ISBLANK('Data Entry'!$Ĥ$749), "", 'Data Entry'!$Ĥ$749)</f>
      </c>
      <c r="HU749">
        <f>IF(ISBLANK('Data Entry'!$ĥ$749), "", 'Data Entry'!$ĥ$749)</f>
      </c>
      <c r="HV749">
        <f>IF(ISBLANK('Data Entry'!$Ħ$749), "", 'Data Entry'!$Ħ$749)</f>
      </c>
      <c r="HW749">
        <f>IF(ISBLANK('Data Entry'!$ħ$749), "", 'Data Entry'!$ħ$749)</f>
      </c>
      <c r="HX749">
        <f>IF(ISBLANK('Data Entry'!$Ĩ$749), "", 'Data Entry'!$Ĩ$749)</f>
      </c>
      <c r="HY749">
        <f>IF(ISBLANK('Data Entry'!$ĩ$749), "", 'Data Entry'!$ĩ$749)</f>
      </c>
      <c r="HZ749">
        <f>IF(ISBLANK('Data Entry'!$Ī$749), "", 'Data Entry'!$Ī$749)</f>
      </c>
      <c r="IA749">
        <f>IF(ISBLANK('Data Entry'!$ī$749), "", 'Data Entry'!$ī$749)</f>
      </c>
      <c r="IB749">
        <f>IF(ISBLANK('Data Entry'!$Ĭ$749), "", 'Data Entry'!$Ĭ$749)</f>
      </c>
      <c r="IC749">
        <f>IF(ISBLANK('Data Entry'!$ĭ$749), "", 'Data Entry'!$ĭ$749)</f>
      </c>
      <c r="ID749">
        <f>IF(ISBLANK('Data Entry'!$Į$749), "", 'Data Entry'!$Į$749)</f>
      </c>
      <c r="IE749">
        <f>IF(ISBLANK('Data Entry'!$į$749), "", 'Data Entry'!$į$749)</f>
      </c>
      <c r="IF749">
        <f>IF(ISBLANK('Data Entry'!$İ$749), "", 'Data Entry'!$İ$749)</f>
      </c>
      <c r="IG749">
        <f>IF(ISBLANK('Data Entry'!$ı$749), "", 'Data Entry'!$ı$749)</f>
      </c>
      <c r="IH749">
        <f>IF(ISBLANK('Data Entry'!$Ĳ$749), "", 'Data Entry'!$Ĳ$749)</f>
      </c>
      <c r="II749">
        <f>IF(ISBLANK('Data Entry'!$ĳ$749), "", 'Data Entry'!$ĳ$749)</f>
      </c>
      <c r="IJ749">
        <f>IF(ISBLANK('Data Entry'!$Ĵ$749), "", 'Data Entry'!$Ĵ$749)</f>
      </c>
      <c r="IK749">
        <f>IF(ISBLANK('Data Entry'!$ĵ$749), "", 'Data Entry'!$ĵ$749)</f>
      </c>
      <c r="IL749">
        <f>IF(ISBLANK('Data Entry'!$Ķ$749), "", 'Data Entry'!$Ķ$749)</f>
      </c>
      <c r="IM749">
        <f>IF(ISBLANK('Data Entry'!$ķ$749), "", 'Data Entry'!$ķ$749)</f>
      </c>
      <c r="IN749">
        <f>IF(ISBLANK('Data Entry'!$ĸ$749), "", 'Data Entry'!$ĸ$749)</f>
      </c>
      <c r="IO749">
        <f>IF(ISBLANK('Data Entry'!$Ĺ$749), "", 'Data Entry'!$Ĺ$749)</f>
      </c>
      <c r="IP749">
        <f>IF(ISBLANK('Data Entry'!$ĺ$749), "", 'Data Entry'!$ĺ$749)</f>
      </c>
      <c r="IQ749">
        <f>IF(ISBLANK('Data Entry'!$Ļ$749), "", 'Data Entry'!$Ļ$749)</f>
      </c>
      <c r="IR749">
        <f>IF(ISBLANK('Data Entry'!$ļ$749), "", 'Data Entry'!$ļ$749)</f>
      </c>
      <c r="IS749">
        <f>IF(ISBLANK('Data Entry'!$Ľ$749), "", 'Data Entry'!$Ľ$749)</f>
      </c>
      <c r="IT749">
        <f>IF(ISBLANK('Data Entry'!$ľ$749), "", 'Data Entry'!$ľ$749)</f>
      </c>
    </row>
    <row r="750" spans="1:254" x14ac:dyDescent="0.25">
      <c r="A750">
        <f>IF(ISBLANK('Data Entry'!$A$750), "", 'Data Entry'!$A$750)</f>
      </c>
      <c r="B750">
        <f>IF(ISBLANK('Data Entry'!$B$750), "", 'Data Entry'!$B$750)</f>
      </c>
      <c r="C750">
        <f>IF(ISBLANK('Data Entry'!$C$750), "", 'Data Entry'!$C$750)</f>
      </c>
      <c r="D750">
        <f>IF(ISBLANK('Data Entry'!$D$750), "", 'Data Entry'!$D$750)</f>
      </c>
      <c r="E750">
        <f>IF(ISBLANK('Data Entry'!$E$750), "", 'Data Entry'!$E$750)</f>
      </c>
      <c r="F750">
        <f>IF(ISBLANK('Data Entry'!$F$750), "", 'Data Entry'!$F$750)</f>
      </c>
      <c r="G750">
        <f>IF(ISBLANK('Data Entry'!$G$750), "", 'Data Entry'!$G$750)</f>
      </c>
      <c r="H750">
        <f>IF(ISBLANK('Data Entry'!$H$750), "", 'Data Entry'!$H$750)</f>
      </c>
      <c r="I750">
        <f>IF(ISBLANK('Data Entry'!$I$750), "", 'Data Entry'!$I$750)</f>
      </c>
      <c r="J750">
        <f>IF(ISBLANK('Data Entry'!$J$750), "", 'Data Entry'!$J$750)</f>
      </c>
      <c r="K750">
        <f>IF(ISBLANK('Data Entry'!$K$750), "", 'Data Entry'!$K$750)</f>
      </c>
      <c r="L750">
        <f>IF(ISBLANK('Data Entry'!$L$750), "", 'Data Entry'!$L$750)</f>
      </c>
      <c r="M750">
        <f>IF(ISBLANK('Data Entry'!$M$750), "", 'Data Entry'!$M$750)</f>
      </c>
      <c r="N750">
        <f>IF(ISBLANK('Data Entry'!$N$750), "", 'Data Entry'!$N$750)</f>
      </c>
      <c r="O750">
        <f>IF(ISBLANK('Data Entry'!$O$750), "", 'Data Entry'!$O$750)</f>
      </c>
      <c r="P750">
        <f>IF(ISBLANK('Data Entry'!$P$750), "", 'Data Entry'!$P$750)</f>
      </c>
      <c r="Q750">
        <f>IF(ISBLANK('Data Entry'!$Q$750), "", 'Data Entry'!$Q$750)</f>
      </c>
      <c r="R750">
        <f>IF(ISBLANK('Data Entry'!$R$750), "", 'Data Entry'!$R$750)</f>
      </c>
      <c r="S750">
        <f>IF(ISBLANK('Data Entry'!$S$750), "", 'Data Entry'!$S$750)</f>
      </c>
      <c r="T750">
        <f>IF(ISBLANK('Data Entry'!$T$750), "", 'Data Entry'!$T$750)</f>
      </c>
      <c r="U750">
        <f>IF(ISBLANK('Data Entry'!$U$750), "", 'Data Entry'!$U$750)</f>
      </c>
      <c r="V750">
        <f>IF(ISBLANK('Data Entry'!$V$750), "", 'Data Entry'!$V$750)</f>
      </c>
      <c r="W750">
        <f>IF(ISBLANK('Data Entry'!$W$750), "", 'Data Entry'!$W$750)</f>
      </c>
      <c r="X750">
        <f>IF(ISBLANK('Data Entry'!$X$750), "", 'Data Entry'!$X$750)</f>
      </c>
      <c r="Y750">
        <f>IF(ISBLANK('Data Entry'!$Y$750), "", 'Data Entry'!$Y$750)</f>
      </c>
      <c r="Z750">
        <f>IF(ISBLANK('Data Entry'!$Z$750), "", 'Data Entry'!$Z$750)</f>
      </c>
      <c r="AA750">
        <f>IF(ISBLANK('Data Entry'!$[$750), "", 'Data Entry'!$[$750)</f>
      </c>
      <c r="AB750">
        <f>IF(ISBLANK('Data Entry'!$\$750), "", 'Data Entry'!$\$750)</f>
      </c>
      <c r="AC750">
        <f>IF(ISBLANK('Data Entry'!$]$750), "", 'Data Entry'!$]$750)</f>
      </c>
      <c r="AD750">
        <f>IF(ISBLANK('Data Entry'!$^$750), "", 'Data Entry'!$^$750)</f>
      </c>
      <c r="AE750">
        <f>IF(ISBLANK('Data Entry'!$_$750), "", 'Data Entry'!$_$750)</f>
      </c>
      <c r="AF750">
        <f>IF(ISBLANK('Data Entry'!$`$750), "", 'Data Entry'!$`$750)</f>
      </c>
      <c r="AG750">
        <f>IF(ISBLANK('Data Entry'!$a$750), "", 'Data Entry'!$a$750)</f>
      </c>
      <c r="AH750">
        <f>IF(ISBLANK('Data Entry'!$b$750), "", 'Data Entry'!$b$750)</f>
      </c>
      <c r="AI750">
        <f>IF(ISBLANK('Data Entry'!$c$750), "", 'Data Entry'!$c$750)</f>
      </c>
      <c r="AJ750">
        <f>IF(ISBLANK('Data Entry'!$d$750), "", 'Data Entry'!$d$750)</f>
      </c>
      <c r="AK750">
        <f>IF(ISBLANK('Data Entry'!$e$750), "", 'Data Entry'!$e$750)</f>
      </c>
      <c r="AL750">
        <f>IF(ISBLANK('Data Entry'!$f$750), "", 'Data Entry'!$f$750)</f>
      </c>
      <c r="AM750">
        <f>IF(ISBLANK('Data Entry'!$g$750), "", 'Data Entry'!$g$750)</f>
      </c>
      <c r="AN750">
        <f>IF(ISBLANK('Data Entry'!$h$750), "", 'Data Entry'!$h$750)</f>
      </c>
      <c r="AO750">
        <f>IF(ISBLANK('Data Entry'!$i$750), "", 'Data Entry'!$i$750)</f>
      </c>
      <c r="AP750">
        <f>IF(ISBLANK('Data Entry'!$j$750), "", 'Data Entry'!$j$750)</f>
      </c>
      <c r="AQ750">
        <f>IF(ISBLANK('Data Entry'!$k$750), "", 'Data Entry'!$k$750)</f>
      </c>
      <c r="AR750">
        <f>IF(ISBLANK('Data Entry'!$l$750), "", 'Data Entry'!$l$750)</f>
      </c>
      <c r="AS750">
        <f>IF(ISBLANK('Data Entry'!$m$750), "", 'Data Entry'!$m$750)</f>
      </c>
      <c r="AT750">
        <f>IF(ISBLANK('Data Entry'!$n$750), "", 'Data Entry'!$n$750)</f>
      </c>
      <c r="AU750">
        <f>IF(ISBLANK('Data Entry'!$o$750), "", 'Data Entry'!$o$750)</f>
      </c>
      <c r="AV750">
        <f>IF(ISBLANK('Data Entry'!$p$750), "", 'Data Entry'!$p$750)</f>
      </c>
      <c r="AW750">
        <f>IF(ISBLANK('Data Entry'!$q$750), "", 'Data Entry'!$q$750)</f>
      </c>
      <c r="AX750">
        <f>IF(ISBLANK('Data Entry'!$r$750), "", 'Data Entry'!$r$750)</f>
      </c>
      <c r="AY750">
        <f>IF(ISBLANK('Data Entry'!$s$750), "", 'Data Entry'!$s$750)</f>
      </c>
      <c r="AZ750">
        <f>IF(ISBLANK('Data Entry'!$t$750), "", 'Data Entry'!$t$750)</f>
      </c>
      <c r="BA750">
        <f>IF(ISBLANK('Data Entry'!$u$750), "", 'Data Entry'!$u$750)</f>
      </c>
      <c r="BB750">
        <f>IF(ISBLANK('Data Entry'!$v$750), "", 'Data Entry'!$v$750)</f>
      </c>
      <c r="BC750">
        <f>IF(ISBLANK('Data Entry'!$w$750), "", 'Data Entry'!$w$750)</f>
      </c>
      <c r="BD750">
        <f>IF(ISBLANK('Data Entry'!$x$750), "", 'Data Entry'!$x$750)</f>
      </c>
      <c r="BE750">
        <f>IF(ISBLANK('Data Entry'!$y$750), "", 'Data Entry'!$y$750)</f>
      </c>
      <c r="BF750">
        <f>IF(ISBLANK('Data Entry'!$z$750), "", 'Data Entry'!$z$750)</f>
      </c>
      <c r="BG750">
        <f>IF(ISBLANK('Data Entry'!${$750), "", 'Data Entry'!${$750)</f>
      </c>
      <c r="BH750">
        <f>IF(ISBLANK('Data Entry'!$|$750), "", 'Data Entry'!$|$750)</f>
      </c>
      <c r="BI750">
        <f>IF(ISBLANK('Data Entry'!$}$750), "", 'Data Entry'!$}$750)</f>
      </c>
      <c r="BJ750">
        <f>IF(ISBLANK('Data Entry'!$~$750), "", 'Data Entry'!$~$750)</f>
      </c>
      <c r="BK750">
        <f>IF(ISBLANK('Data Entry'!$$750), "", 'Data Entry'!$$750)</f>
      </c>
      <c r="BL750">
        <f>IF(ISBLANK('Data Entry'!$$750), "", 'Data Entry'!$$750)</f>
      </c>
      <c r="BM750">
        <f>IF(ISBLANK('Data Entry'!$$750), "", 'Data Entry'!$$750)</f>
      </c>
      <c r="BN750">
        <f>IF(ISBLANK('Data Entry'!$$750), "", 'Data Entry'!$$750)</f>
      </c>
      <c r="BO750">
        <f>IF(ISBLANK('Data Entry'!$$750), "", 'Data Entry'!$$750)</f>
      </c>
      <c r="BP750">
        <f>IF(ISBLANK('Data Entry'!$$750), "", 'Data Entry'!$$750)</f>
      </c>
      <c r="BQ750">
        <f>IF(ISBLANK('Data Entry'!$$750), "", 'Data Entry'!$$750)</f>
      </c>
      <c r="BR750">
        <f>IF(ISBLANK('Data Entry'!$$750), "", 'Data Entry'!$$750)</f>
      </c>
      <c r="BS750">
        <f>IF(ISBLANK('Data Entry'!$$750), "", 'Data Entry'!$$750)</f>
      </c>
      <c r="BT750">
        <f>IF(ISBLANK('Data Entry'!$$750), "", 'Data Entry'!$$750)</f>
      </c>
      <c r="BU750">
        <f>IF(ISBLANK('Data Entry'!$$750), "", 'Data Entry'!$$750)</f>
      </c>
      <c r="BV750">
        <f>IF(ISBLANK('Data Entry'!$$750), "", 'Data Entry'!$$750)</f>
      </c>
      <c r="BW750">
        <f>IF(ISBLANK('Data Entry'!$$750), "", 'Data Entry'!$$750)</f>
      </c>
      <c r="BX750">
        <f>IF(ISBLANK('Data Entry'!$$750), "", 'Data Entry'!$$750)</f>
      </c>
      <c r="BY750">
        <f>IF(ISBLANK('Data Entry'!$$750), "", 'Data Entry'!$$750)</f>
      </c>
      <c r="BZ750">
        <f>IF(ISBLANK('Data Entry'!$$750), "", 'Data Entry'!$$750)</f>
      </c>
      <c r="CA750">
        <f>IF(ISBLANK('Data Entry'!$$750), "", 'Data Entry'!$$750)</f>
      </c>
      <c r="CB750">
        <f>IF(ISBLANK('Data Entry'!$$750), "", 'Data Entry'!$$750)</f>
      </c>
      <c r="CC750">
        <f>IF(ISBLANK('Data Entry'!$$750), "", 'Data Entry'!$$750)</f>
      </c>
      <c r="CD750">
        <f>IF(ISBLANK('Data Entry'!$$750), "", 'Data Entry'!$$750)</f>
      </c>
      <c r="CE750">
        <f>IF(ISBLANK('Data Entry'!$$750), "", 'Data Entry'!$$750)</f>
      </c>
      <c r="CF750">
        <f>IF(ISBLANK('Data Entry'!$$750), "", 'Data Entry'!$$750)</f>
      </c>
      <c r="CG750">
        <f>IF(ISBLANK('Data Entry'!$$750), "", 'Data Entry'!$$750)</f>
      </c>
      <c r="CH750">
        <f>IF(ISBLANK('Data Entry'!$$750), "", 'Data Entry'!$$750)</f>
      </c>
      <c r="CI750">
        <f>IF(ISBLANK('Data Entry'!$$750), "", 'Data Entry'!$$750)</f>
      </c>
      <c r="CJ750">
        <f>IF(ISBLANK('Data Entry'!$$750), "", 'Data Entry'!$$750)</f>
      </c>
      <c r="CK750">
        <f>IF(ISBLANK('Data Entry'!$$750), "", 'Data Entry'!$$750)</f>
      </c>
      <c r="CL750">
        <f>IF(ISBLANK('Data Entry'!$$750), "", 'Data Entry'!$$750)</f>
      </c>
      <c r="CM750">
        <f>IF(ISBLANK('Data Entry'!$$750), "", 'Data Entry'!$$750)</f>
      </c>
      <c r="CN750">
        <f>IF(ISBLANK('Data Entry'!$$750), "", 'Data Entry'!$$750)</f>
      </c>
      <c r="CO750">
        <f>IF(ISBLANK('Data Entry'!$$750), "", 'Data Entry'!$$750)</f>
      </c>
      <c r="CP750">
        <f>IF(ISBLANK('Data Entry'!$$750), "", 'Data Entry'!$$750)</f>
      </c>
      <c r="CQ750">
        <f>IF(ISBLANK('Data Entry'!$$750), "", 'Data Entry'!$$750)</f>
      </c>
      <c r="CR750">
        <f>IF(ISBLANK('Data Entry'!$ $750), "", 'Data Entry'!$ $750)</f>
      </c>
      <c r="CS750">
        <f>IF(ISBLANK('Data Entry'!$¡$750), "", 'Data Entry'!$¡$750)</f>
      </c>
      <c r="CT750">
        <f>IF(ISBLANK('Data Entry'!$¢$750), "", 'Data Entry'!$¢$750)</f>
      </c>
      <c r="CU750">
        <f>IF(ISBLANK('Data Entry'!$£$750), "", 'Data Entry'!$£$750)</f>
      </c>
      <c r="CV750">
        <f>IF(ISBLANK('Data Entry'!$¤$750), "", 'Data Entry'!$¤$750)</f>
      </c>
      <c r="CW750">
        <f>IF(ISBLANK('Data Entry'!$¥$750), "", 'Data Entry'!$¥$750)</f>
      </c>
      <c r="CX750">
        <f>IF(ISBLANK('Data Entry'!$¦$750), "", 'Data Entry'!$¦$750)</f>
      </c>
      <c r="CY750">
        <f>IF(ISBLANK('Data Entry'!$§$750), "", 'Data Entry'!$§$750)</f>
      </c>
      <c r="CZ750">
        <f>IF(ISBLANK('Data Entry'!$¨$750), "", 'Data Entry'!$¨$750)</f>
      </c>
      <c r="DA750">
        <f>IF(ISBLANK('Data Entry'!$©$750), "", 'Data Entry'!$©$750)</f>
      </c>
      <c r="DB750">
        <f>IF(ISBLANK('Data Entry'!$ª$750), "", 'Data Entry'!$ª$750)</f>
      </c>
      <c r="DC750">
        <f>IF(ISBLANK('Data Entry'!$«$750), "", 'Data Entry'!$«$750)</f>
      </c>
      <c r="DD750">
        <f>IF(ISBLANK('Data Entry'!$¬$750), "", 'Data Entry'!$¬$750)</f>
      </c>
      <c r="DE750">
        <f>IF(ISBLANK('Data Entry'!$­$750), "", 'Data Entry'!$­$750)</f>
      </c>
      <c r="DF750">
        <f>IF(ISBLANK('Data Entry'!$®$750), "", 'Data Entry'!$®$750)</f>
      </c>
      <c r="DG750">
        <f>IF(ISBLANK('Data Entry'!$¯$750), "", 'Data Entry'!$¯$750)</f>
      </c>
      <c r="DH750">
        <f>IF(ISBLANK('Data Entry'!$°$750), "", 'Data Entry'!$°$750)</f>
      </c>
      <c r="DI750">
        <f>IF(ISBLANK('Data Entry'!$±$750), "", 'Data Entry'!$±$750)</f>
      </c>
      <c r="DJ750">
        <f>IF(ISBLANK('Data Entry'!$²$750), "", 'Data Entry'!$²$750)</f>
      </c>
      <c r="DK750">
        <f>IF(ISBLANK('Data Entry'!$³$750), "", 'Data Entry'!$³$750)</f>
      </c>
      <c r="DL750">
        <f>IF(ISBLANK('Data Entry'!$´$750), "", 'Data Entry'!$´$750)</f>
      </c>
      <c r="DM750">
        <f>IF(ISBLANK('Data Entry'!$µ$750), "", 'Data Entry'!$µ$750)</f>
      </c>
      <c r="DN750">
        <f>IF(ISBLANK('Data Entry'!$¶$750), "", 'Data Entry'!$¶$750)</f>
      </c>
      <c r="DO750">
        <f>IF(ISBLANK('Data Entry'!$·$750), "", 'Data Entry'!$·$750)</f>
      </c>
      <c r="DP750">
        <f>IF(ISBLANK('Data Entry'!$¸$750), "", 'Data Entry'!$¸$750)</f>
      </c>
      <c r="DQ750">
        <f>IF(ISBLANK('Data Entry'!$¹$750), "", 'Data Entry'!$¹$750)</f>
      </c>
      <c r="DR750">
        <f>IF(ISBLANK('Data Entry'!$º$750), "", 'Data Entry'!$º$750)</f>
      </c>
      <c r="DS750">
        <f>IF(ISBLANK('Data Entry'!$»$750), "", 'Data Entry'!$»$750)</f>
      </c>
      <c r="DT750">
        <f>IF(ISBLANK('Data Entry'!$¼$750), "", 'Data Entry'!$¼$750)</f>
      </c>
      <c r="DU750">
        <f>IF(ISBLANK('Data Entry'!$½$750), "", 'Data Entry'!$½$750)</f>
      </c>
      <c r="DV750">
        <f>IF(ISBLANK('Data Entry'!$¾$750), "", 'Data Entry'!$¾$750)</f>
      </c>
      <c r="DW750">
        <f>IF(ISBLANK('Data Entry'!$¿$750), "", 'Data Entry'!$¿$750)</f>
      </c>
      <c r="DX750">
        <f>IF(ISBLANK('Data Entry'!$À$750), "", 'Data Entry'!$À$750)</f>
      </c>
      <c r="DY750">
        <f>IF(ISBLANK('Data Entry'!$Á$750), "", 'Data Entry'!$Á$750)</f>
      </c>
      <c r="DZ750">
        <f>IF(ISBLANK('Data Entry'!$Â$750), "", 'Data Entry'!$Â$750)</f>
      </c>
      <c r="EA750">
        <f>IF(ISBLANK('Data Entry'!$Ã$750), "", 'Data Entry'!$Ã$750)</f>
      </c>
      <c r="EB750">
        <f>IF(ISBLANK('Data Entry'!$Ä$750), "", 'Data Entry'!$Ä$750)</f>
      </c>
      <c r="EC750">
        <f>IF(ISBLANK('Data Entry'!$Å$750), "", 'Data Entry'!$Å$750)</f>
      </c>
      <c r="ED750">
        <f>IF(ISBLANK('Data Entry'!$Æ$750), "", 'Data Entry'!$Æ$750)</f>
      </c>
      <c r="EE750">
        <f>IF(ISBLANK('Data Entry'!$Ç$750), "", 'Data Entry'!$Ç$750)</f>
      </c>
      <c r="EF750">
        <f>IF(ISBLANK('Data Entry'!$È$750), "", 'Data Entry'!$È$750)</f>
      </c>
      <c r="EG750">
        <f>IF(ISBLANK('Data Entry'!$É$750), "", 'Data Entry'!$É$750)</f>
      </c>
      <c r="EH750">
        <f>IF(ISBLANK('Data Entry'!$Ê$750), "", 'Data Entry'!$Ê$750)</f>
      </c>
      <c r="EI750">
        <f>IF(ISBLANK('Data Entry'!$Ë$750), "", 'Data Entry'!$Ë$750)</f>
      </c>
      <c r="EJ750">
        <f>IF(ISBLANK('Data Entry'!$Ì$750), "", 'Data Entry'!$Ì$750)</f>
      </c>
      <c r="EK750">
        <f>IF(ISBLANK('Data Entry'!$Í$750), "", 'Data Entry'!$Í$750)</f>
      </c>
      <c r="EL750">
        <f>IF(ISBLANK('Data Entry'!$Î$750), "", 'Data Entry'!$Î$750)</f>
      </c>
      <c r="EM750">
        <f>IF(ISBLANK('Data Entry'!$Ï$750), "", 'Data Entry'!$Ï$750)</f>
      </c>
      <c r="EN750">
        <f>IF(ISBLANK('Data Entry'!$Ð$750), "", 'Data Entry'!$Ð$750)</f>
      </c>
      <c r="EO750">
        <f>IF(ISBLANK('Data Entry'!$Ñ$750), "", 'Data Entry'!$Ñ$750)</f>
      </c>
      <c r="EP750">
        <f>IF(ISBLANK('Data Entry'!$Ò$750), "", 'Data Entry'!$Ò$750)</f>
      </c>
      <c r="EQ750">
        <f>IF(ISBLANK('Data Entry'!$Ó$750), "", 'Data Entry'!$Ó$750)</f>
      </c>
      <c r="ER750">
        <f>IF(ISBLANK('Data Entry'!$Ô$750), "", 'Data Entry'!$Ô$750)</f>
      </c>
      <c r="ES750">
        <f>IF(ISBLANK('Data Entry'!$Õ$750), "", 'Data Entry'!$Õ$750)</f>
      </c>
      <c r="ET750">
        <f>IF(ISBLANK('Data Entry'!$Ö$750), "", 'Data Entry'!$Ö$750)</f>
      </c>
      <c r="EU750">
        <f>IF(ISBLANK('Data Entry'!$×$750), "", 'Data Entry'!$×$750)</f>
      </c>
      <c r="EV750">
        <f>IF(ISBLANK('Data Entry'!$Ø$750), "", 'Data Entry'!$Ø$750)</f>
      </c>
      <c r="EW750">
        <f>IF(ISBLANK('Data Entry'!$Ù$750), "", 'Data Entry'!$Ù$750)</f>
      </c>
      <c r="EX750">
        <f>IF(ISBLANK('Data Entry'!$Ú$750), "", 'Data Entry'!$Ú$750)</f>
      </c>
      <c r="EY750">
        <f>IF(ISBLANK('Data Entry'!$Û$750), "", 'Data Entry'!$Û$750)</f>
      </c>
      <c r="EZ750">
        <f>IF(ISBLANK('Data Entry'!$Ü$750), "", 'Data Entry'!$Ü$750)</f>
      </c>
      <c r="FA750">
        <f>IF(ISBLANK('Data Entry'!$Ý$750), "", 'Data Entry'!$Ý$750)</f>
      </c>
      <c r="FB750">
        <f>IF(ISBLANK('Data Entry'!$Þ$750), "", 'Data Entry'!$Þ$750)</f>
      </c>
      <c r="FC750">
        <f>IF(ISBLANK('Data Entry'!$ß$750), "", 'Data Entry'!$ß$750)</f>
      </c>
      <c r="FD750">
        <f>IF(ISBLANK('Data Entry'!$à$750), "", 'Data Entry'!$à$750)</f>
      </c>
      <c r="FE750">
        <f>IF(ISBLANK('Data Entry'!$á$750), "", 'Data Entry'!$á$750)</f>
      </c>
      <c r="FF750">
        <f>IF(ISBLANK('Data Entry'!$â$750), "", 'Data Entry'!$â$750)</f>
      </c>
      <c r="FG750">
        <f>IF(ISBLANK('Data Entry'!$ã$750), "", 'Data Entry'!$ã$750)</f>
      </c>
      <c r="FH750">
        <f>IF(ISBLANK('Data Entry'!$ä$750), "", 'Data Entry'!$ä$750)</f>
      </c>
      <c r="FI750">
        <f>IF(ISBLANK('Data Entry'!$å$750), "", 'Data Entry'!$å$750)</f>
      </c>
      <c r="FJ750">
        <f>IF(ISBLANK('Data Entry'!$æ$750), "", 'Data Entry'!$æ$750)</f>
      </c>
      <c r="FK750">
        <f>IF(ISBLANK('Data Entry'!$ç$750), "", 'Data Entry'!$ç$750)</f>
      </c>
      <c r="FL750">
        <f>IF(ISBLANK('Data Entry'!$è$750), "", 'Data Entry'!$è$750)</f>
      </c>
      <c r="FM750">
        <f>IF(ISBLANK('Data Entry'!$é$750), "", 'Data Entry'!$é$750)</f>
      </c>
      <c r="FN750">
        <f>IF(ISBLANK('Data Entry'!$ê$750), "", 'Data Entry'!$ê$750)</f>
      </c>
      <c r="FO750">
        <f>IF(ISBLANK('Data Entry'!$ë$750), "", 'Data Entry'!$ë$750)</f>
      </c>
      <c r="FP750">
        <f>IF(ISBLANK('Data Entry'!$ì$750), "", 'Data Entry'!$ì$750)</f>
      </c>
      <c r="FQ750">
        <f>IF(ISBLANK('Data Entry'!$í$750), "", 'Data Entry'!$í$750)</f>
      </c>
      <c r="FR750">
        <f>IF(ISBLANK('Data Entry'!$î$750), "", 'Data Entry'!$î$750)</f>
      </c>
      <c r="FS750">
        <f>IF(ISBLANK('Data Entry'!$ï$750), "", 'Data Entry'!$ï$750)</f>
      </c>
      <c r="FT750">
        <f>IF(ISBLANK('Data Entry'!$ð$750), "", 'Data Entry'!$ð$750)</f>
      </c>
      <c r="FU750">
        <f>IF(ISBLANK('Data Entry'!$ñ$750), "", 'Data Entry'!$ñ$750)</f>
      </c>
      <c r="FV750">
        <f>IF(ISBLANK('Data Entry'!$ò$750), "", 'Data Entry'!$ò$750)</f>
      </c>
      <c r="FW750">
        <f>IF(ISBLANK('Data Entry'!$ó$750), "", 'Data Entry'!$ó$750)</f>
      </c>
      <c r="FX750">
        <f>IF(ISBLANK('Data Entry'!$ô$750), "", 'Data Entry'!$ô$750)</f>
      </c>
      <c r="FY750">
        <f>IF(ISBLANK('Data Entry'!$õ$750), "", 'Data Entry'!$õ$750)</f>
      </c>
      <c r="FZ750">
        <f>IF(ISBLANK('Data Entry'!$ö$750), "", 'Data Entry'!$ö$750)</f>
      </c>
      <c r="GA750">
        <f>IF(ISBLANK('Data Entry'!$÷$750), "", 'Data Entry'!$÷$750)</f>
      </c>
      <c r="GB750">
        <f>IF(ISBLANK('Data Entry'!$ø$750), "", 'Data Entry'!$ø$750)</f>
      </c>
      <c r="GC750">
        <f>IF(ISBLANK('Data Entry'!$ù$750), "", 'Data Entry'!$ù$750)</f>
      </c>
      <c r="GD750">
        <f>IF(ISBLANK('Data Entry'!$ú$750), "", 'Data Entry'!$ú$750)</f>
      </c>
      <c r="GE750">
        <f>IF(ISBLANK('Data Entry'!$û$750), "", 'Data Entry'!$û$750)</f>
      </c>
      <c r="GF750">
        <f>IF(ISBLANK('Data Entry'!$ü$750), "", 'Data Entry'!$ü$750)</f>
      </c>
      <c r="GG750">
        <f>IF(ISBLANK('Data Entry'!$ý$750), "", 'Data Entry'!$ý$750)</f>
      </c>
      <c r="GH750">
        <f>IF(ISBLANK('Data Entry'!$þ$750), "", 'Data Entry'!$þ$750)</f>
      </c>
      <c r="GI750">
        <f>IF(ISBLANK('Data Entry'!$ÿ$750), "", 'Data Entry'!$ÿ$750)</f>
      </c>
      <c r="GJ750">
        <f>IF(ISBLANK('Data Entry'!$Ā$750), "", 'Data Entry'!$Ā$750)</f>
      </c>
      <c r="GK750">
        <f>IF(ISBLANK('Data Entry'!$ā$750), "", 'Data Entry'!$ā$750)</f>
      </c>
      <c r="GL750">
        <f>IF(ISBLANK('Data Entry'!$Ă$750), "", 'Data Entry'!$Ă$750)</f>
      </c>
      <c r="GM750">
        <f>IF(ISBLANK('Data Entry'!$ă$750), "", 'Data Entry'!$ă$750)</f>
      </c>
      <c r="GN750">
        <f>IF(ISBLANK('Data Entry'!$Ą$750), "", 'Data Entry'!$Ą$750)</f>
      </c>
      <c r="GO750">
        <f>IF(ISBLANK('Data Entry'!$ą$750), "", 'Data Entry'!$ą$750)</f>
      </c>
      <c r="GP750">
        <f>IF(ISBLANK('Data Entry'!$Ć$750), "", 'Data Entry'!$Ć$750)</f>
      </c>
      <c r="GQ750">
        <f>IF(ISBLANK('Data Entry'!$ć$750), "", 'Data Entry'!$ć$750)</f>
      </c>
      <c r="GR750">
        <f>IF(ISBLANK('Data Entry'!$Ĉ$750), "", 'Data Entry'!$Ĉ$750)</f>
      </c>
      <c r="GS750">
        <f>IF(ISBLANK('Data Entry'!$ĉ$750), "", 'Data Entry'!$ĉ$750)</f>
      </c>
      <c r="GT750">
        <f>IF(ISBLANK('Data Entry'!$Ċ$750), "", 'Data Entry'!$Ċ$750)</f>
      </c>
      <c r="GU750">
        <f>IF(ISBLANK('Data Entry'!$ċ$750), "", 'Data Entry'!$ċ$750)</f>
      </c>
      <c r="GV750">
        <f>IF(ISBLANK('Data Entry'!$Č$750), "", 'Data Entry'!$Č$750)</f>
      </c>
      <c r="GW750">
        <f>IF(ISBLANK('Data Entry'!$č$750), "", 'Data Entry'!$č$750)</f>
      </c>
      <c r="GX750">
        <f>IF(ISBLANK('Data Entry'!$Ď$750), "", 'Data Entry'!$Ď$750)</f>
      </c>
      <c r="GY750">
        <f>IF(ISBLANK('Data Entry'!$ď$750), "", 'Data Entry'!$ď$750)</f>
      </c>
      <c r="GZ750">
        <f>IF(ISBLANK('Data Entry'!$Đ$750), "", 'Data Entry'!$Đ$750)</f>
      </c>
      <c r="HA750">
        <f>IF(ISBLANK('Data Entry'!$đ$750), "", 'Data Entry'!$đ$750)</f>
      </c>
      <c r="HB750">
        <f>IF(ISBLANK('Data Entry'!$Ē$750), "", 'Data Entry'!$Ē$750)</f>
      </c>
      <c r="HC750">
        <f>IF(ISBLANK('Data Entry'!$ē$750), "", 'Data Entry'!$ē$750)</f>
      </c>
      <c r="HD750">
        <f>IF(ISBLANK('Data Entry'!$Ĕ$750), "", 'Data Entry'!$Ĕ$750)</f>
      </c>
      <c r="HE750">
        <f>IF(ISBLANK('Data Entry'!$ĕ$750), "", 'Data Entry'!$ĕ$750)</f>
      </c>
      <c r="HF750">
        <f>IF(ISBLANK('Data Entry'!$Ė$750), "", 'Data Entry'!$Ė$750)</f>
      </c>
      <c r="HG750">
        <f>IF(ISBLANK('Data Entry'!$ė$750), "", 'Data Entry'!$ė$750)</f>
      </c>
      <c r="HH750">
        <f>IF(ISBLANK('Data Entry'!$Ę$750), "", 'Data Entry'!$Ę$750)</f>
      </c>
      <c r="HI750">
        <f>IF(ISBLANK('Data Entry'!$ę$750), "", 'Data Entry'!$ę$750)</f>
      </c>
      <c r="HJ750">
        <f>IF(ISBLANK('Data Entry'!$Ě$750), "", 'Data Entry'!$Ě$750)</f>
      </c>
      <c r="HK750">
        <f>IF(ISBLANK('Data Entry'!$ě$750), "", 'Data Entry'!$ě$750)</f>
      </c>
      <c r="HL750">
        <f>IF(ISBLANK('Data Entry'!$Ĝ$750), "", 'Data Entry'!$Ĝ$750)</f>
      </c>
      <c r="HM750">
        <f>IF(ISBLANK('Data Entry'!$ĝ$750), "", 'Data Entry'!$ĝ$750)</f>
      </c>
      <c r="HN750">
        <f>IF(ISBLANK('Data Entry'!$Ğ$750), "", 'Data Entry'!$Ğ$750)</f>
      </c>
      <c r="HO750">
        <f>IF(ISBLANK('Data Entry'!$ğ$750), "", 'Data Entry'!$ğ$750)</f>
      </c>
      <c r="HP750">
        <f>IF(ISBLANK('Data Entry'!$Ġ$750), "", 'Data Entry'!$Ġ$750)</f>
      </c>
      <c r="HQ750">
        <f>IF(ISBLANK('Data Entry'!$ġ$750), "", 'Data Entry'!$ġ$750)</f>
      </c>
      <c r="HR750">
        <f>IF(ISBLANK('Data Entry'!$Ģ$750), "", 'Data Entry'!$Ģ$750)</f>
      </c>
      <c r="HS750">
        <f>IF(ISBLANK('Data Entry'!$ģ$750), "", 'Data Entry'!$ģ$750)</f>
      </c>
      <c r="HT750">
        <f>IF(ISBLANK('Data Entry'!$Ĥ$750), "", 'Data Entry'!$Ĥ$750)</f>
      </c>
      <c r="HU750">
        <f>IF(ISBLANK('Data Entry'!$ĥ$750), "", 'Data Entry'!$ĥ$750)</f>
      </c>
      <c r="HV750">
        <f>IF(ISBLANK('Data Entry'!$Ħ$750), "", 'Data Entry'!$Ħ$750)</f>
      </c>
      <c r="HW750">
        <f>IF(ISBLANK('Data Entry'!$ħ$750), "", 'Data Entry'!$ħ$750)</f>
      </c>
      <c r="HX750">
        <f>IF(ISBLANK('Data Entry'!$Ĩ$750), "", 'Data Entry'!$Ĩ$750)</f>
      </c>
      <c r="HY750">
        <f>IF(ISBLANK('Data Entry'!$ĩ$750), "", 'Data Entry'!$ĩ$750)</f>
      </c>
      <c r="HZ750">
        <f>IF(ISBLANK('Data Entry'!$Ī$750), "", 'Data Entry'!$Ī$750)</f>
      </c>
      <c r="IA750">
        <f>IF(ISBLANK('Data Entry'!$ī$750), "", 'Data Entry'!$ī$750)</f>
      </c>
      <c r="IB750">
        <f>IF(ISBLANK('Data Entry'!$Ĭ$750), "", 'Data Entry'!$Ĭ$750)</f>
      </c>
      <c r="IC750">
        <f>IF(ISBLANK('Data Entry'!$ĭ$750), "", 'Data Entry'!$ĭ$750)</f>
      </c>
      <c r="ID750">
        <f>IF(ISBLANK('Data Entry'!$Į$750), "", 'Data Entry'!$Į$750)</f>
      </c>
      <c r="IE750">
        <f>IF(ISBLANK('Data Entry'!$į$750), "", 'Data Entry'!$į$750)</f>
      </c>
      <c r="IF750">
        <f>IF(ISBLANK('Data Entry'!$İ$750), "", 'Data Entry'!$İ$750)</f>
      </c>
      <c r="IG750">
        <f>IF(ISBLANK('Data Entry'!$ı$750), "", 'Data Entry'!$ı$750)</f>
      </c>
      <c r="IH750">
        <f>IF(ISBLANK('Data Entry'!$Ĳ$750), "", 'Data Entry'!$Ĳ$750)</f>
      </c>
      <c r="II750">
        <f>IF(ISBLANK('Data Entry'!$ĳ$750), "", 'Data Entry'!$ĳ$750)</f>
      </c>
      <c r="IJ750">
        <f>IF(ISBLANK('Data Entry'!$Ĵ$750), "", 'Data Entry'!$Ĵ$750)</f>
      </c>
      <c r="IK750">
        <f>IF(ISBLANK('Data Entry'!$ĵ$750), "", 'Data Entry'!$ĵ$750)</f>
      </c>
      <c r="IL750">
        <f>IF(ISBLANK('Data Entry'!$Ķ$750), "", 'Data Entry'!$Ķ$750)</f>
      </c>
      <c r="IM750">
        <f>IF(ISBLANK('Data Entry'!$ķ$750), "", 'Data Entry'!$ķ$750)</f>
      </c>
      <c r="IN750">
        <f>IF(ISBLANK('Data Entry'!$ĸ$750), "", 'Data Entry'!$ĸ$750)</f>
      </c>
      <c r="IO750">
        <f>IF(ISBLANK('Data Entry'!$Ĺ$750), "", 'Data Entry'!$Ĺ$750)</f>
      </c>
      <c r="IP750">
        <f>IF(ISBLANK('Data Entry'!$ĺ$750), "", 'Data Entry'!$ĺ$750)</f>
      </c>
      <c r="IQ750">
        <f>IF(ISBLANK('Data Entry'!$Ļ$750), "", 'Data Entry'!$Ļ$750)</f>
      </c>
      <c r="IR750">
        <f>IF(ISBLANK('Data Entry'!$ļ$750), "", 'Data Entry'!$ļ$750)</f>
      </c>
      <c r="IS750">
        <f>IF(ISBLANK('Data Entry'!$Ľ$750), "", 'Data Entry'!$Ľ$750)</f>
      </c>
      <c r="IT750">
        <f>IF(ISBLANK('Data Entry'!$ľ$750), "", 'Data Entry'!$ľ$750)</f>
      </c>
    </row>
    <row r="751" spans="1:254" x14ac:dyDescent="0.25">
      <c r="A751">
        <f>IF(ISBLANK('Data Entry'!$A$751), "", 'Data Entry'!$A$751)</f>
      </c>
      <c r="B751">
        <f>IF(ISBLANK('Data Entry'!$B$751), "", 'Data Entry'!$B$751)</f>
      </c>
      <c r="C751">
        <f>IF(ISBLANK('Data Entry'!$C$751), "", 'Data Entry'!$C$751)</f>
      </c>
      <c r="D751">
        <f>IF(ISBLANK('Data Entry'!$D$751), "", 'Data Entry'!$D$751)</f>
      </c>
      <c r="E751">
        <f>IF(ISBLANK('Data Entry'!$E$751), "", 'Data Entry'!$E$751)</f>
      </c>
      <c r="F751">
        <f>IF(ISBLANK('Data Entry'!$F$751), "", 'Data Entry'!$F$751)</f>
      </c>
      <c r="G751">
        <f>IF(ISBLANK('Data Entry'!$G$751), "", 'Data Entry'!$G$751)</f>
      </c>
      <c r="H751">
        <f>IF(ISBLANK('Data Entry'!$H$751), "", 'Data Entry'!$H$751)</f>
      </c>
      <c r="I751">
        <f>IF(ISBLANK('Data Entry'!$I$751), "", 'Data Entry'!$I$751)</f>
      </c>
      <c r="J751">
        <f>IF(ISBLANK('Data Entry'!$J$751), "", 'Data Entry'!$J$751)</f>
      </c>
      <c r="K751">
        <f>IF(ISBLANK('Data Entry'!$K$751), "", 'Data Entry'!$K$751)</f>
      </c>
      <c r="L751">
        <f>IF(ISBLANK('Data Entry'!$L$751), "", 'Data Entry'!$L$751)</f>
      </c>
      <c r="M751">
        <f>IF(ISBLANK('Data Entry'!$M$751), "", 'Data Entry'!$M$751)</f>
      </c>
      <c r="N751">
        <f>IF(ISBLANK('Data Entry'!$N$751), "", 'Data Entry'!$N$751)</f>
      </c>
      <c r="O751">
        <f>IF(ISBLANK('Data Entry'!$O$751), "", 'Data Entry'!$O$751)</f>
      </c>
      <c r="P751">
        <f>IF(ISBLANK('Data Entry'!$P$751), "", 'Data Entry'!$P$751)</f>
      </c>
      <c r="Q751">
        <f>IF(ISBLANK('Data Entry'!$Q$751), "", 'Data Entry'!$Q$751)</f>
      </c>
      <c r="R751">
        <f>IF(ISBLANK('Data Entry'!$R$751), "", 'Data Entry'!$R$751)</f>
      </c>
      <c r="S751">
        <f>IF(ISBLANK('Data Entry'!$S$751), "", 'Data Entry'!$S$751)</f>
      </c>
      <c r="T751">
        <f>IF(ISBLANK('Data Entry'!$T$751), "", 'Data Entry'!$T$751)</f>
      </c>
      <c r="U751">
        <f>IF(ISBLANK('Data Entry'!$U$751), "", 'Data Entry'!$U$751)</f>
      </c>
      <c r="V751">
        <f>IF(ISBLANK('Data Entry'!$V$751), "", 'Data Entry'!$V$751)</f>
      </c>
      <c r="W751">
        <f>IF(ISBLANK('Data Entry'!$W$751), "", 'Data Entry'!$W$751)</f>
      </c>
      <c r="X751">
        <f>IF(ISBLANK('Data Entry'!$X$751), "", 'Data Entry'!$X$751)</f>
      </c>
      <c r="Y751">
        <f>IF(ISBLANK('Data Entry'!$Y$751), "", 'Data Entry'!$Y$751)</f>
      </c>
      <c r="Z751">
        <f>IF(ISBLANK('Data Entry'!$Z$751), "", 'Data Entry'!$Z$751)</f>
      </c>
      <c r="AA751">
        <f>IF(ISBLANK('Data Entry'!$[$751), "", 'Data Entry'!$[$751)</f>
      </c>
      <c r="AB751">
        <f>IF(ISBLANK('Data Entry'!$\$751), "", 'Data Entry'!$\$751)</f>
      </c>
      <c r="AC751">
        <f>IF(ISBLANK('Data Entry'!$]$751), "", 'Data Entry'!$]$751)</f>
      </c>
      <c r="AD751">
        <f>IF(ISBLANK('Data Entry'!$^$751), "", 'Data Entry'!$^$751)</f>
      </c>
      <c r="AE751">
        <f>IF(ISBLANK('Data Entry'!$_$751), "", 'Data Entry'!$_$751)</f>
      </c>
      <c r="AF751">
        <f>IF(ISBLANK('Data Entry'!$`$751), "", 'Data Entry'!$`$751)</f>
      </c>
      <c r="AG751">
        <f>IF(ISBLANK('Data Entry'!$a$751), "", 'Data Entry'!$a$751)</f>
      </c>
      <c r="AH751">
        <f>IF(ISBLANK('Data Entry'!$b$751), "", 'Data Entry'!$b$751)</f>
      </c>
      <c r="AI751">
        <f>IF(ISBLANK('Data Entry'!$c$751), "", 'Data Entry'!$c$751)</f>
      </c>
      <c r="AJ751">
        <f>IF(ISBLANK('Data Entry'!$d$751), "", 'Data Entry'!$d$751)</f>
      </c>
      <c r="AK751">
        <f>IF(ISBLANK('Data Entry'!$e$751), "", 'Data Entry'!$e$751)</f>
      </c>
      <c r="AL751">
        <f>IF(ISBLANK('Data Entry'!$f$751), "", 'Data Entry'!$f$751)</f>
      </c>
      <c r="AM751">
        <f>IF(ISBLANK('Data Entry'!$g$751), "", 'Data Entry'!$g$751)</f>
      </c>
      <c r="AN751">
        <f>IF(ISBLANK('Data Entry'!$h$751), "", 'Data Entry'!$h$751)</f>
      </c>
      <c r="AO751">
        <f>IF(ISBLANK('Data Entry'!$i$751), "", 'Data Entry'!$i$751)</f>
      </c>
      <c r="AP751">
        <f>IF(ISBLANK('Data Entry'!$j$751), "", 'Data Entry'!$j$751)</f>
      </c>
      <c r="AQ751">
        <f>IF(ISBLANK('Data Entry'!$k$751), "", 'Data Entry'!$k$751)</f>
      </c>
      <c r="AR751">
        <f>IF(ISBLANK('Data Entry'!$l$751), "", 'Data Entry'!$l$751)</f>
      </c>
      <c r="AS751">
        <f>IF(ISBLANK('Data Entry'!$m$751), "", 'Data Entry'!$m$751)</f>
      </c>
      <c r="AT751">
        <f>IF(ISBLANK('Data Entry'!$n$751), "", 'Data Entry'!$n$751)</f>
      </c>
      <c r="AU751">
        <f>IF(ISBLANK('Data Entry'!$o$751), "", 'Data Entry'!$o$751)</f>
      </c>
      <c r="AV751">
        <f>IF(ISBLANK('Data Entry'!$p$751), "", 'Data Entry'!$p$751)</f>
      </c>
      <c r="AW751">
        <f>IF(ISBLANK('Data Entry'!$q$751), "", 'Data Entry'!$q$751)</f>
      </c>
      <c r="AX751">
        <f>IF(ISBLANK('Data Entry'!$r$751), "", 'Data Entry'!$r$751)</f>
      </c>
      <c r="AY751">
        <f>IF(ISBLANK('Data Entry'!$s$751), "", 'Data Entry'!$s$751)</f>
      </c>
      <c r="AZ751">
        <f>IF(ISBLANK('Data Entry'!$t$751), "", 'Data Entry'!$t$751)</f>
      </c>
      <c r="BA751">
        <f>IF(ISBLANK('Data Entry'!$u$751), "", 'Data Entry'!$u$751)</f>
      </c>
      <c r="BB751">
        <f>IF(ISBLANK('Data Entry'!$v$751), "", 'Data Entry'!$v$751)</f>
      </c>
      <c r="BC751">
        <f>IF(ISBLANK('Data Entry'!$w$751), "", 'Data Entry'!$w$751)</f>
      </c>
      <c r="BD751">
        <f>IF(ISBLANK('Data Entry'!$x$751), "", 'Data Entry'!$x$751)</f>
      </c>
      <c r="BE751">
        <f>IF(ISBLANK('Data Entry'!$y$751), "", 'Data Entry'!$y$751)</f>
      </c>
      <c r="BF751">
        <f>IF(ISBLANK('Data Entry'!$z$751), "", 'Data Entry'!$z$751)</f>
      </c>
      <c r="BG751">
        <f>IF(ISBLANK('Data Entry'!${$751), "", 'Data Entry'!${$751)</f>
      </c>
      <c r="BH751">
        <f>IF(ISBLANK('Data Entry'!$|$751), "", 'Data Entry'!$|$751)</f>
      </c>
      <c r="BI751">
        <f>IF(ISBLANK('Data Entry'!$}$751), "", 'Data Entry'!$}$751)</f>
      </c>
      <c r="BJ751">
        <f>IF(ISBLANK('Data Entry'!$~$751), "", 'Data Entry'!$~$751)</f>
      </c>
      <c r="BK751">
        <f>IF(ISBLANK('Data Entry'!$$751), "", 'Data Entry'!$$751)</f>
      </c>
      <c r="BL751">
        <f>IF(ISBLANK('Data Entry'!$$751), "", 'Data Entry'!$$751)</f>
      </c>
      <c r="BM751">
        <f>IF(ISBLANK('Data Entry'!$$751), "", 'Data Entry'!$$751)</f>
      </c>
      <c r="BN751">
        <f>IF(ISBLANK('Data Entry'!$$751), "", 'Data Entry'!$$751)</f>
      </c>
      <c r="BO751">
        <f>IF(ISBLANK('Data Entry'!$$751), "", 'Data Entry'!$$751)</f>
      </c>
      <c r="BP751">
        <f>IF(ISBLANK('Data Entry'!$$751), "", 'Data Entry'!$$751)</f>
      </c>
      <c r="BQ751">
        <f>IF(ISBLANK('Data Entry'!$$751), "", 'Data Entry'!$$751)</f>
      </c>
      <c r="BR751">
        <f>IF(ISBLANK('Data Entry'!$$751), "", 'Data Entry'!$$751)</f>
      </c>
      <c r="BS751">
        <f>IF(ISBLANK('Data Entry'!$$751), "", 'Data Entry'!$$751)</f>
      </c>
      <c r="BT751">
        <f>IF(ISBLANK('Data Entry'!$$751), "", 'Data Entry'!$$751)</f>
      </c>
      <c r="BU751">
        <f>IF(ISBLANK('Data Entry'!$$751), "", 'Data Entry'!$$751)</f>
      </c>
      <c r="BV751">
        <f>IF(ISBLANK('Data Entry'!$$751), "", 'Data Entry'!$$751)</f>
      </c>
      <c r="BW751">
        <f>IF(ISBLANK('Data Entry'!$$751), "", 'Data Entry'!$$751)</f>
      </c>
      <c r="BX751">
        <f>IF(ISBLANK('Data Entry'!$$751), "", 'Data Entry'!$$751)</f>
      </c>
      <c r="BY751">
        <f>IF(ISBLANK('Data Entry'!$$751), "", 'Data Entry'!$$751)</f>
      </c>
      <c r="BZ751">
        <f>IF(ISBLANK('Data Entry'!$$751), "", 'Data Entry'!$$751)</f>
      </c>
      <c r="CA751">
        <f>IF(ISBLANK('Data Entry'!$$751), "", 'Data Entry'!$$751)</f>
      </c>
      <c r="CB751">
        <f>IF(ISBLANK('Data Entry'!$$751), "", 'Data Entry'!$$751)</f>
      </c>
      <c r="CC751">
        <f>IF(ISBLANK('Data Entry'!$$751), "", 'Data Entry'!$$751)</f>
      </c>
      <c r="CD751">
        <f>IF(ISBLANK('Data Entry'!$$751), "", 'Data Entry'!$$751)</f>
      </c>
      <c r="CE751">
        <f>IF(ISBLANK('Data Entry'!$$751), "", 'Data Entry'!$$751)</f>
      </c>
      <c r="CF751">
        <f>IF(ISBLANK('Data Entry'!$$751), "", 'Data Entry'!$$751)</f>
      </c>
      <c r="CG751">
        <f>IF(ISBLANK('Data Entry'!$$751), "", 'Data Entry'!$$751)</f>
      </c>
      <c r="CH751">
        <f>IF(ISBLANK('Data Entry'!$$751), "", 'Data Entry'!$$751)</f>
      </c>
      <c r="CI751">
        <f>IF(ISBLANK('Data Entry'!$$751), "", 'Data Entry'!$$751)</f>
      </c>
      <c r="CJ751">
        <f>IF(ISBLANK('Data Entry'!$$751), "", 'Data Entry'!$$751)</f>
      </c>
      <c r="CK751">
        <f>IF(ISBLANK('Data Entry'!$$751), "", 'Data Entry'!$$751)</f>
      </c>
      <c r="CL751">
        <f>IF(ISBLANK('Data Entry'!$$751), "", 'Data Entry'!$$751)</f>
      </c>
      <c r="CM751">
        <f>IF(ISBLANK('Data Entry'!$$751), "", 'Data Entry'!$$751)</f>
      </c>
      <c r="CN751">
        <f>IF(ISBLANK('Data Entry'!$$751), "", 'Data Entry'!$$751)</f>
      </c>
      <c r="CO751">
        <f>IF(ISBLANK('Data Entry'!$$751), "", 'Data Entry'!$$751)</f>
      </c>
      <c r="CP751">
        <f>IF(ISBLANK('Data Entry'!$$751), "", 'Data Entry'!$$751)</f>
      </c>
      <c r="CQ751">
        <f>IF(ISBLANK('Data Entry'!$$751), "", 'Data Entry'!$$751)</f>
      </c>
      <c r="CR751">
        <f>IF(ISBLANK('Data Entry'!$ $751), "", 'Data Entry'!$ $751)</f>
      </c>
      <c r="CS751">
        <f>IF(ISBLANK('Data Entry'!$¡$751), "", 'Data Entry'!$¡$751)</f>
      </c>
      <c r="CT751">
        <f>IF(ISBLANK('Data Entry'!$¢$751), "", 'Data Entry'!$¢$751)</f>
      </c>
      <c r="CU751">
        <f>IF(ISBLANK('Data Entry'!$£$751), "", 'Data Entry'!$£$751)</f>
      </c>
      <c r="CV751">
        <f>IF(ISBLANK('Data Entry'!$¤$751), "", 'Data Entry'!$¤$751)</f>
      </c>
      <c r="CW751">
        <f>IF(ISBLANK('Data Entry'!$¥$751), "", 'Data Entry'!$¥$751)</f>
      </c>
      <c r="CX751">
        <f>IF(ISBLANK('Data Entry'!$¦$751), "", 'Data Entry'!$¦$751)</f>
      </c>
      <c r="CY751">
        <f>IF(ISBLANK('Data Entry'!$§$751), "", 'Data Entry'!$§$751)</f>
      </c>
      <c r="CZ751">
        <f>IF(ISBLANK('Data Entry'!$¨$751), "", 'Data Entry'!$¨$751)</f>
      </c>
      <c r="DA751">
        <f>IF(ISBLANK('Data Entry'!$©$751), "", 'Data Entry'!$©$751)</f>
      </c>
      <c r="DB751">
        <f>IF(ISBLANK('Data Entry'!$ª$751), "", 'Data Entry'!$ª$751)</f>
      </c>
      <c r="DC751">
        <f>IF(ISBLANK('Data Entry'!$«$751), "", 'Data Entry'!$«$751)</f>
      </c>
      <c r="DD751">
        <f>IF(ISBLANK('Data Entry'!$¬$751), "", 'Data Entry'!$¬$751)</f>
      </c>
      <c r="DE751">
        <f>IF(ISBLANK('Data Entry'!$­$751), "", 'Data Entry'!$­$751)</f>
      </c>
      <c r="DF751">
        <f>IF(ISBLANK('Data Entry'!$®$751), "", 'Data Entry'!$®$751)</f>
      </c>
      <c r="DG751">
        <f>IF(ISBLANK('Data Entry'!$¯$751), "", 'Data Entry'!$¯$751)</f>
      </c>
      <c r="DH751">
        <f>IF(ISBLANK('Data Entry'!$°$751), "", 'Data Entry'!$°$751)</f>
      </c>
      <c r="DI751">
        <f>IF(ISBLANK('Data Entry'!$±$751), "", 'Data Entry'!$±$751)</f>
      </c>
      <c r="DJ751">
        <f>IF(ISBLANK('Data Entry'!$²$751), "", 'Data Entry'!$²$751)</f>
      </c>
      <c r="DK751">
        <f>IF(ISBLANK('Data Entry'!$³$751), "", 'Data Entry'!$³$751)</f>
      </c>
      <c r="DL751">
        <f>IF(ISBLANK('Data Entry'!$´$751), "", 'Data Entry'!$´$751)</f>
      </c>
      <c r="DM751">
        <f>IF(ISBLANK('Data Entry'!$µ$751), "", 'Data Entry'!$µ$751)</f>
      </c>
      <c r="DN751">
        <f>IF(ISBLANK('Data Entry'!$¶$751), "", 'Data Entry'!$¶$751)</f>
      </c>
      <c r="DO751">
        <f>IF(ISBLANK('Data Entry'!$·$751), "", 'Data Entry'!$·$751)</f>
      </c>
      <c r="DP751">
        <f>IF(ISBLANK('Data Entry'!$¸$751), "", 'Data Entry'!$¸$751)</f>
      </c>
      <c r="DQ751">
        <f>IF(ISBLANK('Data Entry'!$¹$751), "", 'Data Entry'!$¹$751)</f>
      </c>
      <c r="DR751">
        <f>IF(ISBLANK('Data Entry'!$º$751), "", 'Data Entry'!$º$751)</f>
      </c>
      <c r="DS751">
        <f>IF(ISBLANK('Data Entry'!$»$751), "", 'Data Entry'!$»$751)</f>
      </c>
      <c r="DT751">
        <f>IF(ISBLANK('Data Entry'!$¼$751), "", 'Data Entry'!$¼$751)</f>
      </c>
      <c r="DU751">
        <f>IF(ISBLANK('Data Entry'!$½$751), "", 'Data Entry'!$½$751)</f>
      </c>
      <c r="DV751">
        <f>IF(ISBLANK('Data Entry'!$¾$751), "", 'Data Entry'!$¾$751)</f>
      </c>
      <c r="DW751">
        <f>IF(ISBLANK('Data Entry'!$¿$751), "", 'Data Entry'!$¿$751)</f>
      </c>
      <c r="DX751">
        <f>IF(ISBLANK('Data Entry'!$À$751), "", 'Data Entry'!$À$751)</f>
      </c>
      <c r="DY751">
        <f>IF(ISBLANK('Data Entry'!$Á$751), "", 'Data Entry'!$Á$751)</f>
      </c>
      <c r="DZ751">
        <f>IF(ISBLANK('Data Entry'!$Â$751), "", 'Data Entry'!$Â$751)</f>
      </c>
      <c r="EA751">
        <f>IF(ISBLANK('Data Entry'!$Ã$751), "", 'Data Entry'!$Ã$751)</f>
      </c>
      <c r="EB751">
        <f>IF(ISBLANK('Data Entry'!$Ä$751), "", 'Data Entry'!$Ä$751)</f>
      </c>
      <c r="EC751">
        <f>IF(ISBLANK('Data Entry'!$Å$751), "", 'Data Entry'!$Å$751)</f>
      </c>
      <c r="ED751">
        <f>IF(ISBLANK('Data Entry'!$Æ$751), "", 'Data Entry'!$Æ$751)</f>
      </c>
      <c r="EE751">
        <f>IF(ISBLANK('Data Entry'!$Ç$751), "", 'Data Entry'!$Ç$751)</f>
      </c>
      <c r="EF751">
        <f>IF(ISBLANK('Data Entry'!$È$751), "", 'Data Entry'!$È$751)</f>
      </c>
      <c r="EG751">
        <f>IF(ISBLANK('Data Entry'!$É$751), "", 'Data Entry'!$É$751)</f>
      </c>
      <c r="EH751">
        <f>IF(ISBLANK('Data Entry'!$Ê$751), "", 'Data Entry'!$Ê$751)</f>
      </c>
      <c r="EI751">
        <f>IF(ISBLANK('Data Entry'!$Ë$751), "", 'Data Entry'!$Ë$751)</f>
      </c>
      <c r="EJ751">
        <f>IF(ISBLANK('Data Entry'!$Ì$751), "", 'Data Entry'!$Ì$751)</f>
      </c>
      <c r="EK751">
        <f>IF(ISBLANK('Data Entry'!$Í$751), "", 'Data Entry'!$Í$751)</f>
      </c>
      <c r="EL751">
        <f>IF(ISBLANK('Data Entry'!$Î$751), "", 'Data Entry'!$Î$751)</f>
      </c>
      <c r="EM751">
        <f>IF(ISBLANK('Data Entry'!$Ï$751), "", 'Data Entry'!$Ï$751)</f>
      </c>
      <c r="EN751">
        <f>IF(ISBLANK('Data Entry'!$Ð$751), "", 'Data Entry'!$Ð$751)</f>
      </c>
      <c r="EO751">
        <f>IF(ISBLANK('Data Entry'!$Ñ$751), "", 'Data Entry'!$Ñ$751)</f>
      </c>
      <c r="EP751">
        <f>IF(ISBLANK('Data Entry'!$Ò$751), "", 'Data Entry'!$Ò$751)</f>
      </c>
      <c r="EQ751">
        <f>IF(ISBLANK('Data Entry'!$Ó$751), "", 'Data Entry'!$Ó$751)</f>
      </c>
      <c r="ER751">
        <f>IF(ISBLANK('Data Entry'!$Ô$751), "", 'Data Entry'!$Ô$751)</f>
      </c>
      <c r="ES751">
        <f>IF(ISBLANK('Data Entry'!$Õ$751), "", 'Data Entry'!$Õ$751)</f>
      </c>
      <c r="ET751">
        <f>IF(ISBLANK('Data Entry'!$Ö$751), "", 'Data Entry'!$Ö$751)</f>
      </c>
      <c r="EU751">
        <f>IF(ISBLANK('Data Entry'!$×$751), "", 'Data Entry'!$×$751)</f>
      </c>
      <c r="EV751">
        <f>IF(ISBLANK('Data Entry'!$Ø$751), "", 'Data Entry'!$Ø$751)</f>
      </c>
      <c r="EW751">
        <f>IF(ISBLANK('Data Entry'!$Ù$751), "", 'Data Entry'!$Ù$751)</f>
      </c>
      <c r="EX751">
        <f>IF(ISBLANK('Data Entry'!$Ú$751), "", 'Data Entry'!$Ú$751)</f>
      </c>
      <c r="EY751">
        <f>IF(ISBLANK('Data Entry'!$Û$751), "", 'Data Entry'!$Û$751)</f>
      </c>
      <c r="EZ751">
        <f>IF(ISBLANK('Data Entry'!$Ü$751), "", 'Data Entry'!$Ü$751)</f>
      </c>
      <c r="FA751">
        <f>IF(ISBLANK('Data Entry'!$Ý$751), "", 'Data Entry'!$Ý$751)</f>
      </c>
      <c r="FB751">
        <f>IF(ISBLANK('Data Entry'!$Þ$751), "", 'Data Entry'!$Þ$751)</f>
      </c>
      <c r="FC751">
        <f>IF(ISBLANK('Data Entry'!$ß$751), "", 'Data Entry'!$ß$751)</f>
      </c>
      <c r="FD751">
        <f>IF(ISBLANK('Data Entry'!$à$751), "", 'Data Entry'!$à$751)</f>
      </c>
      <c r="FE751">
        <f>IF(ISBLANK('Data Entry'!$á$751), "", 'Data Entry'!$á$751)</f>
      </c>
      <c r="FF751">
        <f>IF(ISBLANK('Data Entry'!$â$751), "", 'Data Entry'!$â$751)</f>
      </c>
      <c r="FG751">
        <f>IF(ISBLANK('Data Entry'!$ã$751), "", 'Data Entry'!$ã$751)</f>
      </c>
      <c r="FH751">
        <f>IF(ISBLANK('Data Entry'!$ä$751), "", 'Data Entry'!$ä$751)</f>
      </c>
      <c r="FI751">
        <f>IF(ISBLANK('Data Entry'!$å$751), "", 'Data Entry'!$å$751)</f>
      </c>
      <c r="FJ751">
        <f>IF(ISBLANK('Data Entry'!$æ$751), "", 'Data Entry'!$æ$751)</f>
      </c>
      <c r="FK751">
        <f>IF(ISBLANK('Data Entry'!$ç$751), "", 'Data Entry'!$ç$751)</f>
      </c>
      <c r="FL751">
        <f>IF(ISBLANK('Data Entry'!$è$751), "", 'Data Entry'!$è$751)</f>
      </c>
      <c r="FM751">
        <f>IF(ISBLANK('Data Entry'!$é$751), "", 'Data Entry'!$é$751)</f>
      </c>
      <c r="FN751">
        <f>IF(ISBLANK('Data Entry'!$ê$751), "", 'Data Entry'!$ê$751)</f>
      </c>
      <c r="FO751">
        <f>IF(ISBLANK('Data Entry'!$ë$751), "", 'Data Entry'!$ë$751)</f>
      </c>
      <c r="FP751">
        <f>IF(ISBLANK('Data Entry'!$ì$751), "", 'Data Entry'!$ì$751)</f>
      </c>
      <c r="FQ751">
        <f>IF(ISBLANK('Data Entry'!$í$751), "", 'Data Entry'!$í$751)</f>
      </c>
      <c r="FR751">
        <f>IF(ISBLANK('Data Entry'!$î$751), "", 'Data Entry'!$î$751)</f>
      </c>
      <c r="FS751">
        <f>IF(ISBLANK('Data Entry'!$ï$751), "", 'Data Entry'!$ï$751)</f>
      </c>
      <c r="FT751">
        <f>IF(ISBLANK('Data Entry'!$ð$751), "", 'Data Entry'!$ð$751)</f>
      </c>
      <c r="FU751">
        <f>IF(ISBLANK('Data Entry'!$ñ$751), "", 'Data Entry'!$ñ$751)</f>
      </c>
      <c r="FV751">
        <f>IF(ISBLANK('Data Entry'!$ò$751), "", 'Data Entry'!$ò$751)</f>
      </c>
      <c r="FW751">
        <f>IF(ISBLANK('Data Entry'!$ó$751), "", 'Data Entry'!$ó$751)</f>
      </c>
      <c r="FX751">
        <f>IF(ISBLANK('Data Entry'!$ô$751), "", 'Data Entry'!$ô$751)</f>
      </c>
      <c r="FY751">
        <f>IF(ISBLANK('Data Entry'!$õ$751), "", 'Data Entry'!$õ$751)</f>
      </c>
      <c r="FZ751">
        <f>IF(ISBLANK('Data Entry'!$ö$751), "", 'Data Entry'!$ö$751)</f>
      </c>
      <c r="GA751">
        <f>IF(ISBLANK('Data Entry'!$÷$751), "", 'Data Entry'!$÷$751)</f>
      </c>
      <c r="GB751">
        <f>IF(ISBLANK('Data Entry'!$ø$751), "", 'Data Entry'!$ø$751)</f>
      </c>
      <c r="GC751">
        <f>IF(ISBLANK('Data Entry'!$ù$751), "", 'Data Entry'!$ù$751)</f>
      </c>
      <c r="GD751">
        <f>IF(ISBLANK('Data Entry'!$ú$751), "", 'Data Entry'!$ú$751)</f>
      </c>
      <c r="GE751">
        <f>IF(ISBLANK('Data Entry'!$û$751), "", 'Data Entry'!$û$751)</f>
      </c>
      <c r="GF751">
        <f>IF(ISBLANK('Data Entry'!$ü$751), "", 'Data Entry'!$ü$751)</f>
      </c>
      <c r="GG751">
        <f>IF(ISBLANK('Data Entry'!$ý$751), "", 'Data Entry'!$ý$751)</f>
      </c>
      <c r="GH751">
        <f>IF(ISBLANK('Data Entry'!$þ$751), "", 'Data Entry'!$þ$751)</f>
      </c>
      <c r="GI751">
        <f>IF(ISBLANK('Data Entry'!$ÿ$751), "", 'Data Entry'!$ÿ$751)</f>
      </c>
      <c r="GJ751">
        <f>IF(ISBLANK('Data Entry'!$Ā$751), "", 'Data Entry'!$Ā$751)</f>
      </c>
      <c r="GK751">
        <f>IF(ISBLANK('Data Entry'!$ā$751), "", 'Data Entry'!$ā$751)</f>
      </c>
      <c r="GL751">
        <f>IF(ISBLANK('Data Entry'!$Ă$751), "", 'Data Entry'!$Ă$751)</f>
      </c>
      <c r="GM751">
        <f>IF(ISBLANK('Data Entry'!$ă$751), "", 'Data Entry'!$ă$751)</f>
      </c>
      <c r="GN751">
        <f>IF(ISBLANK('Data Entry'!$Ą$751), "", 'Data Entry'!$Ą$751)</f>
      </c>
      <c r="GO751">
        <f>IF(ISBLANK('Data Entry'!$ą$751), "", 'Data Entry'!$ą$751)</f>
      </c>
      <c r="GP751">
        <f>IF(ISBLANK('Data Entry'!$Ć$751), "", 'Data Entry'!$Ć$751)</f>
      </c>
      <c r="GQ751">
        <f>IF(ISBLANK('Data Entry'!$ć$751), "", 'Data Entry'!$ć$751)</f>
      </c>
      <c r="GR751">
        <f>IF(ISBLANK('Data Entry'!$Ĉ$751), "", 'Data Entry'!$Ĉ$751)</f>
      </c>
      <c r="GS751">
        <f>IF(ISBLANK('Data Entry'!$ĉ$751), "", 'Data Entry'!$ĉ$751)</f>
      </c>
      <c r="GT751">
        <f>IF(ISBLANK('Data Entry'!$Ċ$751), "", 'Data Entry'!$Ċ$751)</f>
      </c>
      <c r="GU751">
        <f>IF(ISBLANK('Data Entry'!$ċ$751), "", 'Data Entry'!$ċ$751)</f>
      </c>
      <c r="GV751">
        <f>IF(ISBLANK('Data Entry'!$Č$751), "", 'Data Entry'!$Č$751)</f>
      </c>
      <c r="GW751">
        <f>IF(ISBLANK('Data Entry'!$č$751), "", 'Data Entry'!$č$751)</f>
      </c>
      <c r="GX751">
        <f>IF(ISBLANK('Data Entry'!$Ď$751), "", 'Data Entry'!$Ď$751)</f>
      </c>
      <c r="GY751">
        <f>IF(ISBLANK('Data Entry'!$ď$751), "", 'Data Entry'!$ď$751)</f>
      </c>
      <c r="GZ751">
        <f>IF(ISBLANK('Data Entry'!$Đ$751), "", 'Data Entry'!$Đ$751)</f>
      </c>
      <c r="HA751">
        <f>IF(ISBLANK('Data Entry'!$đ$751), "", 'Data Entry'!$đ$751)</f>
      </c>
      <c r="HB751">
        <f>IF(ISBLANK('Data Entry'!$Ē$751), "", 'Data Entry'!$Ē$751)</f>
      </c>
      <c r="HC751">
        <f>IF(ISBLANK('Data Entry'!$ē$751), "", 'Data Entry'!$ē$751)</f>
      </c>
      <c r="HD751">
        <f>IF(ISBLANK('Data Entry'!$Ĕ$751), "", 'Data Entry'!$Ĕ$751)</f>
      </c>
      <c r="HE751">
        <f>IF(ISBLANK('Data Entry'!$ĕ$751), "", 'Data Entry'!$ĕ$751)</f>
      </c>
      <c r="HF751">
        <f>IF(ISBLANK('Data Entry'!$Ė$751), "", 'Data Entry'!$Ė$751)</f>
      </c>
      <c r="HG751">
        <f>IF(ISBLANK('Data Entry'!$ė$751), "", 'Data Entry'!$ė$751)</f>
      </c>
      <c r="HH751">
        <f>IF(ISBLANK('Data Entry'!$Ę$751), "", 'Data Entry'!$Ę$751)</f>
      </c>
      <c r="HI751">
        <f>IF(ISBLANK('Data Entry'!$ę$751), "", 'Data Entry'!$ę$751)</f>
      </c>
      <c r="HJ751">
        <f>IF(ISBLANK('Data Entry'!$Ě$751), "", 'Data Entry'!$Ě$751)</f>
      </c>
      <c r="HK751">
        <f>IF(ISBLANK('Data Entry'!$ě$751), "", 'Data Entry'!$ě$751)</f>
      </c>
      <c r="HL751">
        <f>IF(ISBLANK('Data Entry'!$Ĝ$751), "", 'Data Entry'!$Ĝ$751)</f>
      </c>
      <c r="HM751">
        <f>IF(ISBLANK('Data Entry'!$ĝ$751), "", 'Data Entry'!$ĝ$751)</f>
      </c>
      <c r="HN751">
        <f>IF(ISBLANK('Data Entry'!$Ğ$751), "", 'Data Entry'!$Ğ$751)</f>
      </c>
      <c r="HO751">
        <f>IF(ISBLANK('Data Entry'!$ğ$751), "", 'Data Entry'!$ğ$751)</f>
      </c>
      <c r="HP751">
        <f>IF(ISBLANK('Data Entry'!$Ġ$751), "", 'Data Entry'!$Ġ$751)</f>
      </c>
      <c r="HQ751">
        <f>IF(ISBLANK('Data Entry'!$ġ$751), "", 'Data Entry'!$ġ$751)</f>
      </c>
      <c r="HR751">
        <f>IF(ISBLANK('Data Entry'!$Ģ$751), "", 'Data Entry'!$Ģ$751)</f>
      </c>
      <c r="HS751">
        <f>IF(ISBLANK('Data Entry'!$ģ$751), "", 'Data Entry'!$ģ$751)</f>
      </c>
      <c r="HT751">
        <f>IF(ISBLANK('Data Entry'!$Ĥ$751), "", 'Data Entry'!$Ĥ$751)</f>
      </c>
      <c r="HU751">
        <f>IF(ISBLANK('Data Entry'!$ĥ$751), "", 'Data Entry'!$ĥ$751)</f>
      </c>
      <c r="HV751">
        <f>IF(ISBLANK('Data Entry'!$Ħ$751), "", 'Data Entry'!$Ħ$751)</f>
      </c>
      <c r="HW751">
        <f>IF(ISBLANK('Data Entry'!$ħ$751), "", 'Data Entry'!$ħ$751)</f>
      </c>
      <c r="HX751">
        <f>IF(ISBLANK('Data Entry'!$Ĩ$751), "", 'Data Entry'!$Ĩ$751)</f>
      </c>
      <c r="HY751">
        <f>IF(ISBLANK('Data Entry'!$ĩ$751), "", 'Data Entry'!$ĩ$751)</f>
      </c>
      <c r="HZ751">
        <f>IF(ISBLANK('Data Entry'!$Ī$751), "", 'Data Entry'!$Ī$751)</f>
      </c>
      <c r="IA751">
        <f>IF(ISBLANK('Data Entry'!$ī$751), "", 'Data Entry'!$ī$751)</f>
      </c>
      <c r="IB751">
        <f>IF(ISBLANK('Data Entry'!$Ĭ$751), "", 'Data Entry'!$Ĭ$751)</f>
      </c>
      <c r="IC751">
        <f>IF(ISBLANK('Data Entry'!$ĭ$751), "", 'Data Entry'!$ĭ$751)</f>
      </c>
      <c r="ID751">
        <f>IF(ISBLANK('Data Entry'!$Į$751), "", 'Data Entry'!$Į$751)</f>
      </c>
      <c r="IE751">
        <f>IF(ISBLANK('Data Entry'!$į$751), "", 'Data Entry'!$į$751)</f>
      </c>
      <c r="IF751">
        <f>IF(ISBLANK('Data Entry'!$İ$751), "", 'Data Entry'!$İ$751)</f>
      </c>
      <c r="IG751">
        <f>IF(ISBLANK('Data Entry'!$ı$751), "", 'Data Entry'!$ı$751)</f>
      </c>
      <c r="IH751">
        <f>IF(ISBLANK('Data Entry'!$Ĳ$751), "", 'Data Entry'!$Ĳ$751)</f>
      </c>
      <c r="II751">
        <f>IF(ISBLANK('Data Entry'!$ĳ$751), "", 'Data Entry'!$ĳ$751)</f>
      </c>
      <c r="IJ751">
        <f>IF(ISBLANK('Data Entry'!$Ĵ$751), "", 'Data Entry'!$Ĵ$751)</f>
      </c>
      <c r="IK751">
        <f>IF(ISBLANK('Data Entry'!$ĵ$751), "", 'Data Entry'!$ĵ$751)</f>
      </c>
      <c r="IL751">
        <f>IF(ISBLANK('Data Entry'!$Ķ$751), "", 'Data Entry'!$Ķ$751)</f>
      </c>
      <c r="IM751">
        <f>IF(ISBLANK('Data Entry'!$ķ$751), "", 'Data Entry'!$ķ$751)</f>
      </c>
      <c r="IN751">
        <f>IF(ISBLANK('Data Entry'!$ĸ$751), "", 'Data Entry'!$ĸ$751)</f>
      </c>
      <c r="IO751">
        <f>IF(ISBLANK('Data Entry'!$Ĺ$751), "", 'Data Entry'!$Ĺ$751)</f>
      </c>
      <c r="IP751">
        <f>IF(ISBLANK('Data Entry'!$ĺ$751), "", 'Data Entry'!$ĺ$751)</f>
      </c>
      <c r="IQ751">
        <f>IF(ISBLANK('Data Entry'!$Ļ$751), "", 'Data Entry'!$Ļ$751)</f>
      </c>
      <c r="IR751">
        <f>IF(ISBLANK('Data Entry'!$ļ$751), "", 'Data Entry'!$ļ$751)</f>
      </c>
      <c r="IS751">
        <f>IF(ISBLANK('Data Entry'!$Ľ$751), "", 'Data Entry'!$Ľ$751)</f>
      </c>
      <c r="IT751">
        <f>IF(ISBLANK('Data Entry'!$ľ$751), "", 'Data Entry'!$ľ$751)</f>
      </c>
    </row>
    <row r="752" spans="1:254" x14ac:dyDescent="0.25">
      <c r="A752">
        <f>IF(ISBLANK('Data Entry'!$A$752), "", 'Data Entry'!$A$752)</f>
      </c>
      <c r="B752">
        <f>IF(ISBLANK('Data Entry'!$B$752), "", 'Data Entry'!$B$752)</f>
      </c>
      <c r="C752">
        <f>IF(ISBLANK('Data Entry'!$C$752), "", 'Data Entry'!$C$752)</f>
      </c>
      <c r="D752">
        <f>IF(ISBLANK('Data Entry'!$D$752), "", 'Data Entry'!$D$752)</f>
      </c>
      <c r="E752">
        <f>IF(ISBLANK('Data Entry'!$E$752), "", 'Data Entry'!$E$752)</f>
      </c>
      <c r="F752">
        <f>IF(ISBLANK('Data Entry'!$F$752), "", 'Data Entry'!$F$752)</f>
      </c>
      <c r="G752">
        <f>IF(ISBLANK('Data Entry'!$G$752), "", 'Data Entry'!$G$752)</f>
      </c>
      <c r="H752">
        <f>IF(ISBLANK('Data Entry'!$H$752), "", 'Data Entry'!$H$752)</f>
      </c>
      <c r="I752">
        <f>IF(ISBLANK('Data Entry'!$I$752), "", 'Data Entry'!$I$752)</f>
      </c>
      <c r="J752">
        <f>IF(ISBLANK('Data Entry'!$J$752), "", 'Data Entry'!$J$752)</f>
      </c>
      <c r="K752">
        <f>IF(ISBLANK('Data Entry'!$K$752), "", 'Data Entry'!$K$752)</f>
      </c>
      <c r="L752">
        <f>IF(ISBLANK('Data Entry'!$L$752), "", 'Data Entry'!$L$752)</f>
      </c>
      <c r="M752">
        <f>IF(ISBLANK('Data Entry'!$M$752), "", 'Data Entry'!$M$752)</f>
      </c>
      <c r="N752">
        <f>IF(ISBLANK('Data Entry'!$N$752), "", 'Data Entry'!$N$752)</f>
      </c>
      <c r="O752">
        <f>IF(ISBLANK('Data Entry'!$O$752), "", 'Data Entry'!$O$752)</f>
      </c>
      <c r="P752">
        <f>IF(ISBLANK('Data Entry'!$P$752), "", 'Data Entry'!$P$752)</f>
      </c>
      <c r="Q752">
        <f>IF(ISBLANK('Data Entry'!$Q$752), "", 'Data Entry'!$Q$752)</f>
      </c>
      <c r="R752">
        <f>IF(ISBLANK('Data Entry'!$R$752), "", 'Data Entry'!$R$752)</f>
      </c>
      <c r="S752">
        <f>IF(ISBLANK('Data Entry'!$S$752), "", 'Data Entry'!$S$752)</f>
      </c>
      <c r="T752">
        <f>IF(ISBLANK('Data Entry'!$T$752), "", 'Data Entry'!$T$752)</f>
      </c>
      <c r="U752">
        <f>IF(ISBLANK('Data Entry'!$U$752), "", 'Data Entry'!$U$752)</f>
      </c>
      <c r="V752">
        <f>IF(ISBLANK('Data Entry'!$V$752), "", 'Data Entry'!$V$752)</f>
      </c>
      <c r="W752">
        <f>IF(ISBLANK('Data Entry'!$W$752), "", 'Data Entry'!$W$752)</f>
      </c>
      <c r="X752">
        <f>IF(ISBLANK('Data Entry'!$X$752), "", 'Data Entry'!$X$752)</f>
      </c>
      <c r="Y752">
        <f>IF(ISBLANK('Data Entry'!$Y$752), "", 'Data Entry'!$Y$752)</f>
      </c>
      <c r="Z752">
        <f>IF(ISBLANK('Data Entry'!$Z$752), "", 'Data Entry'!$Z$752)</f>
      </c>
      <c r="AA752">
        <f>IF(ISBLANK('Data Entry'!$[$752), "", 'Data Entry'!$[$752)</f>
      </c>
      <c r="AB752">
        <f>IF(ISBLANK('Data Entry'!$\$752), "", 'Data Entry'!$\$752)</f>
      </c>
      <c r="AC752">
        <f>IF(ISBLANK('Data Entry'!$]$752), "", 'Data Entry'!$]$752)</f>
      </c>
      <c r="AD752">
        <f>IF(ISBLANK('Data Entry'!$^$752), "", 'Data Entry'!$^$752)</f>
      </c>
      <c r="AE752">
        <f>IF(ISBLANK('Data Entry'!$_$752), "", 'Data Entry'!$_$752)</f>
      </c>
      <c r="AF752">
        <f>IF(ISBLANK('Data Entry'!$`$752), "", 'Data Entry'!$`$752)</f>
      </c>
      <c r="AG752">
        <f>IF(ISBLANK('Data Entry'!$a$752), "", 'Data Entry'!$a$752)</f>
      </c>
      <c r="AH752">
        <f>IF(ISBLANK('Data Entry'!$b$752), "", 'Data Entry'!$b$752)</f>
      </c>
      <c r="AI752">
        <f>IF(ISBLANK('Data Entry'!$c$752), "", 'Data Entry'!$c$752)</f>
      </c>
      <c r="AJ752">
        <f>IF(ISBLANK('Data Entry'!$d$752), "", 'Data Entry'!$d$752)</f>
      </c>
      <c r="AK752">
        <f>IF(ISBLANK('Data Entry'!$e$752), "", 'Data Entry'!$e$752)</f>
      </c>
      <c r="AL752">
        <f>IF(ISBLANK('Data Entry'!$f$752), "", 'Data Entry'!$f$752)</f>
      </c>
      <c r="AM752">
        <f>IF(ISBLANK('Data Entry'!$g$752), "", 'Data Entry'!$g$752)</f>
      </c>
      <c r="AN752">
        <f>IF(ISBLANK('Data Entry'!$h$752), "", 'Data Entry'!$h$752)</f>
      </c>
      <c r="AO752">
        <f>IF(ISBLANK('Data Entry'!$i$752), "", 'Data Entry'!$i$752)</f>
      </c>
      <c r="AP752">
        <f>IF(ISBLANK('Data Entry'!$j$752), "", 'Data Entry'!$j$752)</f>
      </c>
      <c r="AQ752">
        <f>IF(ISBLANK('Data Entry'!$k$752), "", 'Data Entry'!$k$752)</f>
      </c>
      <c r="AR752">
        <f>IF(ISBLANK('Data Entry'!$l$752), "", 'Data Entry'!$l$752)</f>
      </c>
      <c r="AS752">
        <f>IF(ISBLANK('Data Entry'!$m$752), "", 'Data Entry'!$m$752)</f>
      </c>
      <c r="AT752">
        <f>IF(ISBLANK('Data Entry'!$n$752), "", 'Data Entry'!$n$752)</f>
      </c>
      <c r="AU752">
        <f>IF(ISBLANK('Data Entry'!$o$752), "", 'Data Entry'!$o$752)</f>
      </c>
      <c r="AV752">
        <f>IF(ISBLANK('Data Entry'!$p$752), "", 'Data Entry'!$p$752)</f>
      </c>
      <c r="AW752">
        <f>IF(ISBLANK('Data Entry'!$q$752), "", 'Data Entry'!$q$752)</f>
      </c>
      <c r="AX752">
        <f>IF(ISBLANK('Data Entry'!$r$752), "", 'Data Entry'!$r$752)</f>
      </c>
      <c r="AY752">
        <f>IF(ISBLANK('Data Entry'!$s$752), "", 'Data Entry'!$s$752)</f>
      </c>
      <c r="AZ752">
        <f>IF(ISBLANK('Data Entry'!$t$752), "", 'Data Entry'!$t$752)</f>
      </c>
      <c r="BA752">
        <f>IF(ISBLANK('Data Entry'!$u$752), "", 'Data Entry'!$u$752)</f>
      </c>
      <c r="BB752">
        <f>IF(ISBLANK('Data Entry'!$v$752), "", 'Data Entry'!$v$752)</f>
      </c>
      <c r="BC752">
        <f>IF(ISBLANK('Data Entry'!$w$752), "", 'Data Entry'!$w$752)</f>
      </c>
      <c r="BD752">
        <f>IF(ISBLANK('Data Entry'!$x$752), "", 'Data Entry'!$x$752)</f>
      </c>
      <c r="BE752">
        <f>IF(ISBLANK('Data Entry'!$y$752), "", 'Data Entry'!$y$752)</f>
      </c>
      <c r="BF752">
        <f>IF(ISBLANK('Data Entry'!$z$752), "", 'Data Entry'!$z$752)</f>
      </c>
      <c r="BG752">
        <f>IF(ISBLANK('Data Entry'!${$752), "", 'Data Entry'!${$752)</f>
      </c>
      <c r="BH752">
        <f>IF(ISBLANK('Data Entry'!$|$752), "", 'Data Entry'!$|$752)</f>
      </c>
      <c r="BI752">
        <f>IF(ISBLANK('Data Entry'!$}$752), "", 'Data Entry'!$}$752)</f>
      </c>
      <c r="BJ752">
        <f>IF(ISBLANK('Data Entry'!$~$752), "", 'Data Entry'!$~$752)</f>
      </c>
      <c r="BK752">
        <f>IF(ISBLANK('Data Entry'!$$752), "", 'Data Entry'!$$752)</f>
      </c>
      <c r="BL752">
        <f>IF(ISBLANK('Data Entry'!$$752), "", 'Data Entry'!$$752)</f>
      </c>
      <c r="BM752">
        <f>IF(ISBLANK('Data Entry'!$$752), "", 'Data Entry'!$$752)</f>
      </c>
      <c r="BN752">
        <f>IF(ISBLANK('Data Entry'!$$752), "", 'Data Entry'!$$752)</f>
      </c>
      <c r="BO752">
        <f>IF(ISBLANK('Data Entry'!$$752), "", 'Data Entry'!$$752)</f>
      </c>
      <c r="BP752">
        <f>IF(ISBLANK('Data Entry'!$$752), "", 'Data Entry'!$$752)</f>
      </c>
      <c r="BQ752">
        <f>IF(ISBLANK('Data Entry'!$$752), "", 'Data Entry'!$$752)</f>
      </c>
      <c r="BR752">
        <f>IF(ISBLANK('Data Entry'!$$752), "", 'Data Entry'!$$752)</f>
      </c>
      <c r="BS752">
        <f>IF(ISBLANK('Data Entry'!$$752), "", 'Data Entry'!$$752)</f>
      </c>
      <c r="BT752">
        <f>IF(ISBLANK('Data Entry'!$$752), "", 'Data Entry'!$$752)</f>
      </c>
      <c r="BU752">
        <f>IF(ISBLANK('Data Entry'!$$752), "", 'Data Entry'!$$752)</f>
      </c>
      <c r="BV752">
        <f>IF(ISBLANK('Data Entry'!$$752), "", 'Data Entry'!$$752)</f>
      </c>
      <c r="BW752">
        <f>IF(ISBLANK('Data Entry'!$$752), "", 'Data Entry'!$$752)</f>
      </c>
      <c r="BX752">
        <f>IF(ISBLANK('Data Entry'!$$752), "", 'Data Entry'!$$752)</f>
      </c>
      <c r="BY752">
        <f>IF(ISBLANK('Data Entry'!$$752), "", 'Data Entry'!$$752)</f>
      </c>
      <c r="BZ752">
        <f>IF(ISBLANK('Data Entry'!$$752), "", 'Data Entry'!$$752)</f>
      </c>
      <c r="CA752">
        <f>IF(ISBLANK('Data Entry'!$$752), "", 'Data Entry'!$$752)</f>
      </c>
      <c r="CB752">
        <f>IF(ISBLANK('Data Entry'!$$752), "", 'Data Entry'!$$752)</f>
      </c>
      <c r="CC752">
        <f>IF(ISBLANK('Data Entry'!$$752), "", 'Data Entry'!$$752)</f>
      </c>
      <c r="CD752">
        <f>IF(ISBLANK('Data Entry'!$$752), "", 'Data Entry'!$$752)</f>
      </c>
      <c r="CE752">
        <f>IF(ISBLANK('Data Entry'!$$752), "", 'Data Entry'!$$752)</f>
      </c>
      <c r="CF752">
        <f>IF(ISBLANK('Data Entry'!$$752), "", 'Data Entry'!$$752)</f>
      </c>
      <c r="CG752">
        <f>IF(ISBLANK('Data Entry'!$$752), "", 'Data Entry'!$$752)</f>
      </c>
      <c r="CH752">
        <f>IF(ISBLANK('Data Entry'!$$752), "", 'Data Entry'!$$752)</f>
      </c>
      <c r="CI752">
        <f>IF(ISBLANK('Data Entry'!$$752), "", 'Data Entry'!$$752)</f>
      </c>
      <c r="CJ752">
        <f>IF(ISBLANK('Data Entry'!$$752), "", 'Data Entry'!$$752)</f>
      </c>
      <c r="CK752">
        <f>IF(ISBLANK('Data Entry'!$$752), "", 'Data Entry'!$$752)</f>
      </c>
      <c r="CL752">
        <f>IF(ISBLANK('Data Entry'!$$752), "", 'Data Entry'!$$752)</f>
      </c>
      <c r="CM752">
        <f>IF(ISBLANK('Data Entry'!$$752), "", 'Data Entry'!$$752)</f>
      </c>
      <c r="CN752">
        <f>IF(ISBLANK('Data Entry'!$$752), "", 'Data Entry'!$$752)</f>
      </c>
      <c r="CO752">
        <f>IF(ISBLANK('Data Entry'!$$752), "", 'Data Entry'!$$752)</f>
      </c>
      <c r="CP752">
        <f>IF(ISBLANK('Data Entry'!$$752), "", 'Data Entry'!$$752)</f>
      </c>
      <c r="CQ752">
        <f>IF(ISBLANK('Data Entry'!$$752), "", 'Data Entry'!$$752)</f>
      </c>
      <c r="CR752">
        <f>IF(ISBLANK('Data Entry'!$ $752), "", 'Data Entry'!$ $752)</f>
      </c>
      <c r="CS752">
        <f>IF(ISBLANK('Data Entry'!$¡$752), "", 'Data Entry'!$¡$752)</f>
      </c>
      <c r="CT752">
        <f>IF(ISBLANK('Data Entry'!$¢$752), "", 'Data Entry'!$¢$752)</f>
      </c>
      <c r="CU752">
        <f>IF(ISBLANK('Data Entry'!$£$752), "", 'Data Entry'!$£$752)</f>
      </c>
      <c r="CV752">
        <f>IF(ISBLANK('Data Entry'!$¤$752), "", 'Data Entry'!$¤$752)</f>
      </c>
      <c r="CW752">
        <f>IF(ISBLANK('Data Entry'!$¥$752), "", 'Data Entry'!$¥$752)</f>
      </c>
      <c r="CX752">
        <f>IF(ISBLANK('Data Entry'!$¦$752), "", 'Data Entry'!$¦$752)</f>
      </c>
      <c r="CY752">
        <f>IF(ISBLANK('Data Entry'!$§$752), "", 'Data Entry'!$§$752)</f>
      </c>
      <c r="CZ752">
        <f>IF(ISBLANK('Data Entry'!$¨$752), "", 'Data Entry'!$¨$752)</f>
      </c>
      <c r="DA752">
        <f>IF(ISBLANK('Data Entry'!$©$752), "", 'Data Entry'!$©$752)</f>
      </c>
      <c r="DB752">
        <f>IF(ISBLANK('Data Entry'!$ª$752), "", 'Data Entry'!$ª$752)</f>
      </c>
      <c r="DC752">
        <f>IF(ISBLANK('Data Entry'!$«$752), "", 'Data Entry'!$«$752)</f>
      </c>
      <c r="DD752">
        <f>IF(ISBLANK('Data Entry'!$¬$752), "", 'Data Entry'!$¬$752)</f>
      </c>
      <c r="DE752">
        <f>IF(ISBLANK('Data Entry'!$­$752), "", 'Data Entry'!$­$752)</f>
      </c>
      <c r="DF752">
        <f>IF(ISBLANK('Data Entry'!$®$752), "", 'Data Entry'!$®$752)</f>
      </c>
      <c r="DG752">
        <f>IF(ISBLANK('Data Entry'!$¯$752), "", 'Data Entry'!$¯$752)</f>
      </c>
      <c r="DH752">
        <f>IF(ISBLANK('Data Entry'!$°$752), "", 'Data Entry'!$°$752)</f>
      </c>
      <c r="DI752">
        <f>IF(ISBLANK('Data Entry'!$±$752), "", 'Data Entry'!$±$752)</f>
      </c>
      <c r="DJ752">
        <f>IF(ISBLANK('Data Entry'!$²$752), "", 'Data Entry'!$²$752)</f>
      </c>
      <c r="DK752">
        <f>IF(ISBLANK('Data Entry'!$³$752), "", 'Data Entry'!$³$752)</f>
      </c>
      <c r="DL752">
        <f>IF(ISBLANK('Data Entry'!$´$752), "", 'Data Entry'!$´$752)</f>
      </c>
      <c r="DM752">
        <f>IF(ISBLANK('Data Entry'!$µ$752), "", 'Data Entry'!$µ$752)</f>
      </c>
      <c r="DN752">
        <f>IF(ISBLANK('Data Entry'!$¶$752), "", 'Data Entry'!$¶$752)</f>
      </c>
      <c r="DO752">
        <f>IF(ISBLANK('Data Entry'!$·$752), "", 'Data Entry'!$·$752)</f>
      </c>
      <c r="DP752">
        <f>IF(ISBLANK('Data Entry'!$¸$752), "", 'Data Entry'!$¸$752)</f>
      </c>
      <c r="DQ752">
        <f>IF(ISBLANK('Data Entry'!$¹$752), "", 'Data Entry'!$¹$752)</f>
      </c>
      <c r="DR752">
        <f>IF(ISBLANK('Data Entry'!$º$752), "", 'Data Entry'!$º$752)</f>
      </c>
      <c r="DS752">
        <f>IF(ISBLANK('Data Entry'!$»$752), "", 'Data Entry'!$»$752)</f>
      </c>
      <c r="DT752">
        <f>IF(ISBLANK('Data Entry'!$¼$752), "", 'Data Entry'!$¼$752)</f>
      </c>
      <c r="DU752">
        <f>IF(ISBLANK('Data Entry'!$½$752), "", 'Data Entry'!$½$752)</f>
      </c>
      <c r="DV752">
        <f>IF(ISBLANK('Data Entry'!$¾$752), "", 'Data Entry'!$¾$752)</f>
      </c>
      <c r="DW752">
        <f>IF(ISBLANK('Data Entry'!$¿$752), "", 'Data Entry'!$¿$752)</f>
      </c>
      <c r="DX752">
        <f>IF(ISBLANK('Data Entry'!$À$752), "", 'Data Entry'!$À$752)</f>
      </c>
      <c r="DY752">
        <f>IF(ISBLANK('Data Entry'!$Á$752), "", 'Data Entry'!$Á$752)</f>
      </c>
      <c r="DZ752">
        <f>IF(ISBLANK('Data Entry'!$Â$752), "", 'Data Entry'!$Â$752)</f>
      </c>
      <c r="EA752">
        <f>IF(ISBLANK('Data Entry'!$Ã$752), "", 'Data Entry'!$Ã$752)</f>
      </c>
      <c r="EB752">
        <f>IF(ISBLANK('Data Entry'!$Ä$752), "", 'Data Entry'!$Ä$752)</f>
      </c>
      <c r="EC752">
        <f>IF(ISBLANK('Data Entry'!$Å$752), "", 'Data Entry'!$Å$752)</f>
      </c>
      <c r="ED752">
        <f>IF(ISBLANK('Data Entry'!$Æ$752), "", 'Data Entry'!$Æ$752)</f>
      </c>
      <c r="EE752">
        <f>IF(ISBLANK('Data Entry'!$Ç$752), "", 'Data Entry'!$Ç$752)</f>
      </c>
      <c r="EF752">
        <f>IF(ISBLANK('Data Entry'!$È$752), "", 'Data Entry'!$È$752)</f>
      </c>
      <c r="EG752">
        <f>IF(ISBLANK('Data Entry'!$É$752), "", 'Data Entry'!$É$752)</f>
      </c>
      <c r="EH752">
        <f>IF(ISBLANK('Data Entry'!$Ê$752), "", 'Data Entry'!$Ê$752)</f>
      </c>
      <c r="EI752">
        <f>IF(ISBLANK('Data Entry'!$Ë$752), "", 'Data Entry'!$Ë$752)</f>
      </c>
      <c r="EJ752">
        <f>IF(ISBLANK('Data Entry'!$Ì$752), "", 'Data Entry'!$Ì$752)</f>
      </c>
      <c r="EK752">
        <f>IF(ISBLANK('Data Entry'!$Í$752), "", 'Data Entry'!$Í$752)</f>
      </c>
      <c r="EL752">
        <f>IF(ISBLANK('Data Entry'!$Î$752), "", 'Data Entry'!$Î$752)</f>
      </c>
      <c r="EM752">
        <f>IF(ISBLANK('Data Entry'!$Ï$752), "", 'Data Entry'!$Ï$752)</f>
      </c>
      <c r="EN752">
        <f>IF(ISBLANK('Data Entry'!$Ð$752), "", 'Data Entry'!$Ð$752)</f>
      </c>
      <c r="EO752">
        <f>IF(ISBLANK('Data Entry'!$Ñ$752), "", 'Data Entry'!$Ñ$752)</f>
      </c>
      <c r="EP752">
        <f>IF(ISBLANK('Data Entry'!$Ò$752), "", 'Data Entry'!$Ò$752)</f>
      </c>
      <c r="EQ752">
        <f>IF(ISBLANK('Data Entry'!$Ó$752), "", 'Data Entry'!$Ó$752)</f>
      </c>
      <c r="ER752">
        <f>IF(ISBLANK('Data Entry'!$Ô$752), "", 'Data Entry'!$Ô$752)</f>
      </c>
      <c r="ES752">
        <f>IF(ISBLANK('Data Entry'!$Õ$752), "", 'Data Entry'!$Õ$752)</f>
      </c>
      <c r="ET752">
        <f>IF(ISBLANK('Data Entry'!$Ö$752), "", 'Data Entry'!$Ö$752)</f>
      </c>
      <c r="EU752">
        <f>IF(ISBLANK('Data Entry'!$×$752), "", 'Data Entry'!$×$752)</f>
      </c>
      <c r="EV752">
        <f>IF(ISBLANK('Data Entry'!$Ø$752), "", 'Data Entry'!$Ø$752)</f>
      </c>
      <c r="EW752">
        <f>IF(ISBLANK('Data Entry'!$Ù$752), "", 'Data Entry'!$Ù$752)</f>
      </c>
      <c r="EX752">
        <f>IF(ISBLANK('Data Entry'!$Ú$752), "", 'Data Entry'!$Ú$752)</f>
      </c>
      <c r="EY752">
        <f>IF(ISBLANK('Data Entry'!$Û$752), "", 'Data Entry'!$Û$752)</f>
      </c>
      <c r="EZ752">
        <f>IF(ISBLANK('Data Entry'!$Ü$752), "", 'Data Entry'!$Ü$752)</f>
      </c>
      <c r="FA752">
        <f>IF(ISBLANK('Data Entry'!$Ý$752), "", 'Data Entry'!$Ý$752)</f>
      </c>
      <c r="FB752">
        <f>IF(ISBLANK('Data Entry'!$Þ$752), "", 'Data Entry'!$Þ$752)</f>
      </c>
      <c r="FC752">
        <f>IF(ISBLANK('Data Entry'!$ß$752), "", 'Data Entry'!$ß$752)</f>
      </c>
      <c r="FD752">
        <f>IF(ISBLANK('Data Entry'!$à$752), "", 'Data Entry'!$à$752)</f>
      </c>
      <c r="FE752">
        <f>IF(ISBLANK('Data Entry'!$á$752), "", 'Data Entry'!$á$752)</f>
      </c>
      <c r="FF752">
        <f>IF(ISBLANK('Data Entry'!$â$752), "", 'Data Entry'!$â$752)</f>
      </c>
      <c r="FG752">
        <f>IF(ISBLANK('Data Entry'!$ã$752), "", 'Data Entry'!$ã$752)</f>
      </c>
      <c r="FH752">
        <f>IF(ISBLANK('Data Entry'!$ä$752), "", 'Data Entry'!$ä$752)</f>
      </c>
      <c r="FI752">
        <f>IF(ISBLANK('Data Entry'!$å$752), "", 'Data Entry'!$å$752)</f>
      </c>
      <c r="FJ752">
        <f>IF(ISBLANK('Data Entry'!$æ$752), "", 'Data Entry'!$æ$752)</f>
      </c>
      <c r="FK752">
        <f>IF(ISBLANK('Data Entry'!$ç$752), "", 'Data Entry'!$ç$752)</f>
      </c>
      <c r="FL752">
        <f>IF(ISBLANK('Data Entry'!$è$752), "", 'Data Entry'!$è$752)</f>
      </c>
      <c r="FM752">
        <f>IF(ISBLANK('Data Entry'!$é$752), "", 'Data Entry'!$é$752)</f>
      </c>
      <c r="FN752">
        <f>IF(ISBLANK('Data Entry'!$ê$752), "", 'Data Entry'!$ê$752)</f>
      </c>
      <c r="FO752">
        <f>IF(ISBLANK('Data Entry'!$ë$752), "", 'Data Entry'!$ë$752)</f>
      </c>
      <c r="FP752">
        <f>IF(ISBLANK('Data Entry'!$ì$752), "", 'Data Entry'!$ì$752)</f>
      </c>
      <c r="FQ752">
        <f>IF(ISBLANK('Data Entry'!$í$752), "", 'Data Entry'!$í$752)</f>
      </c>
      <c r="FR752">
        <f>IF(ISBLANK('Data Entry'!$î$752), "", 'Data Entry'!$î$752)</f>
      </c>
      <c r="FS752">
        <f>IF(ISBLANK('Data Entry'!$ï$752), "", 'Data Entry'!$ï$752)</f>
      </c>
      <c r="FT752">
        <f>IF(ISBLANK('Data Entry'!$ð$752), "", 'Data Entry'!$ð$752)</f>
      </c>
      <c r="FU752">
        <f>IF(ISBLANK('Data Entry'!$ñ$752), "", 'Data Entry'!$ñ$752)</f>
      </c>
      <c r="FV752">
        <f>IF(ISBLANK('Data Entry'!$ò$752), "", 'Data Entry'!$ò$752)</f>
      </c>
      <c r="FW752">
        <f>IF(ISBLANK('Data Entry'!$ó$752), "", 'Data Entry'!$ó$752)</f>
      </c>
      <c r="FX752">
        <f>IF(ISBLANK('Data Entry'!$ô$752), "", 'Data Entry'!$ô$752)</f>
      </c>
      <c r="FY752">
        <f>IF(ISBLANK('Data Entry'!$õ$752), "", 'Data Entry'!$õ$752)</f>
      </c>
      <c r="FZ752">
        <f>IF(ISBLANK('Data Entry'!$ö$752), "", 'Data Entry'!$ö$752)</f>
      </c>
      <c r="GA752">
        <f>IF(ISBLANK('Data Entry'!$÷$752), "", 'Data Entry'!$÷$752)</f>
      </c>
      <c r="GB752">
        <f>IF(ISBLANK('Data Entry'!$ø$752), "", 'Data Entry'!$ø$752)</f>
      </c>
      <c r="GC752">
        <f>IF(ISBLANK('Data Entry'!$ù$752), "", 'Data Entry'!$ù$752)</f>
      </c>
      <c r="GD752">
        <f>IF(ISBLANK('Data Entry'!$ú$752), "", 'Data Entry'!$ú$752)</f>
      </c>
      <c r="GE752">
        <f>IF(ISBLANK('Data Entry'!$û$752), "", 'Data Entry'!$û$752)</f>
      </c>
      <c r="GF752">
        <f>IF(ISBLANK('Data Entry'!$ü$752), "", 'Data Entry'!$ü$752)</f>
      </c>
      <c r="GG752">
        <f>IF(ISBLANK('Data Entry'!$ý$752), "", 'Data Entry'!$ý$752)</f>
      </c>
      <c r="GH752">
        <f>IF(ISBLANK('Data Entry'!$þ$752), "", 'Data Entry'!$þ$752)</f>
      </c>
      <c r="GI752">
        <f>IF(ISBLANK('Data Entry'!$ÿ$752), "", 'Data Entry'!$ÿ$752)</f>
      </c>
      <c r="GJ752">
        <f>IF(ISBLANK('Data Entry'!$Ā$752), "", 'Data Entry'!$Ā$752)</f>
      </c>
      <c r="GK752">
        <f>IF(ISBLANK('Data Entry'!$ā$752), "", 'Data Entry'!$ā$752)</f>
      </c>
      <c r="GL752">
        <f>IF(ISBLANK('Data Entry'!$Ă$752), "", 'Data Entry'!$Ă$752)</f>
      </c>
      <c r="GM752">
        <f>IF(ISBLANK('Data Entry'!$ă$752), "", 'Data Entry'!$ă$752)</f>
      </c>
      <c r="GN752">
        <f>IF(ISBLANK('Data Entry'!$Ą$752), "", 'Data Entry'!$Ą$752)</f>
      </c>
      <c r="GO752">
        <f>IF(ISBLANK('Data Entry'!$ą$752), "", 'Data Entry'!$ą$752)</f>
      </c>
      <c r="GP752">
        <f>IF(ISBLANK('Data Entry'!$Ć$752), "", 'Data Entry'!$Ć$752)</f>
      </c>
      <c r="GQ752">
        <f>IF(ISBLANK('Data Entry'!$ć$752), "", 'Data Entry'!$ć$752)</f>
      </c>
      <c r="GR752">
        <f>IF(ISBLANK('Data Entry'!$Ĉ$752), "", 'Data Entry'!$Ĉ$752)</f>
      </c>
      <c r="GS752">
        <f>IF(ISBLANK('Data Entry'!$ĉ$752), "", 'Data Entry'!$ĉ$752)</f>
      </c>
      <c r="GT752">
        <f>IF(ISBLANK('Data Entry'!$Ċ$752), "", 'Data Entry'!$Ċ$752)</f>
      </c>
      <c r="GU752">
        <f>IF(ISBLANK('Data Entry'!$ċ$752), "", 'Data Entry'!$ċ$752)</f>
      </c>
      <c r="GV752">
        <f>IF(ISBLANK('Data Entry'!$Č$752), "", 'Data Entry'!$Č$752)</f>
      </c>
      <c r="GW752">
        <f>IF(ISBLANK('Data Entry'!$č$752), "", 'Data Entry'!$č$752)</f>
      </c>
      <c r="GX752">
        <f>IF(ISBLANK('Data Entry'!$Ď$752), "", 'Data Entry'!$Ď$752)</f>
      </c>
      <c r="GY752">
        <f>IF(ISBLANK('Data Entry'!$ď$752), "", 'Data Entry'!$ď$752)</f>
      </c>
      <c r="GZ752">
        <f>IF(ISBLANK('Data Entry'!$Đ$752), "", 'Data Entry'!$Đ$752)</f>
      </c>
      <c r="HA752">
        <f>IF(ISBLANK('Data Entry'!$đ$752), "", 'Data Entry'!$đ$752)</f>
      </c>
      <c r="HB752">
        <f>IF(ISBLANK('Data Entry'!$Ē$752), "", 'Data Entry'!$Ē$752)</f>
      </c>
      <c r="HC752">
        <f>IF(ISBLANK('Data Entry'!$ē$752), "", 'Data Entry'!$ē$752)</f>
      </c>
      <c r="HD752">
        <f>IF(ISBLANK('Data Entry'!$Ĕ$752), "", 'Data Entry'!$Ĕ$752)</f>
      </c>
      <c r="HE752">
        <f>IF(ISBLANK('Data Entry'!$ĕ$752), "", 'Data Entry'!$ĕ$752)</f>
      </c>
      <c r="HF752">
        <f>IF(ISBLANK('Data Entry'!$Ė$752), "", 'Data Entry'!$Ė$752)</f>
      </c>
      <c r="HG752">
        <f>IF(ISBLANK('Data Entry'!$ė$752), "", 'Data Entry'!$ė$752)</f>
      </c>
      <c r="HH752">
        <f>IF(ISBLANK('Data Entry'!$Ę$752), "", 'Data Entry'!$Ę$752)</f>
      </c>
      <c r="HI752">
        <f>IF(ISBLANK('Data Entry'!$ę$752), "", 'Data Entry'!$ę$752)</f>
      </c>
      <c r="HJ752">
        <f>IF(ISBLANK('Data Entry'!$Ě$752), "", 'Data Entry'!$Ě$752)</f>
      </c>
      <c r="HK752">
        <f>IF(ISBLANK('Data Entry'!$ě$752), "", 'Data Entry'!$ě$752)</f>
      </c>
      <c r="HL752">
        <f>IF(ISBLANK('Data Entry'!$Ĝ$752), "", 'Data Entry'!$Ĝ$752)</f>
      </c>
      <c r="HM752">
        <f>IF(ISBLANK('Data Entry'!$ĝ$752), "", 'Data Entry'!$ĝ$752)</f>
      </c>
      <c r="HN752">
        <f>IF(ISBLANK('Data Entry'!$Ğ$752), "", 'Data Entry'!$Ğ$752)</f>
      </c>
      <c r="HO752">
        <f>IF(ISBLANK('Data Entry'!$ğ$752), "", 'Data Entry'!$ğ$752)</f>
      </c>
      <c r="HP752">
        <f>IF(ISBLANK('Data Entry'!$Ġ$752), "", 'Data Entry'!$Ġ$752)</f>
      </c>
      <c r="HQ752">
        <f>IF(ISBLANK('Data Entry'!$ġ$752), "", 'Data Entry'!$ġ$752)</f>
      </c>
      <c r="HR752">
        <f>IF(ISBLANK('Data Entry'!$Ģ$752), "", 'Data Entry'!$Ģ$752)</f>
      </c>
      <c r="HS752">
        <f>IF(ISBLANK('Data Entry'!$ģ$752), "", 'Data Entry'!$ģ$752)</f>
      </c>
      <c r="HT752">
        <f>IF(ISBLANK('Data Entry'!$Ĥ$752), "", 'Data Entry'!$Ĥ$752)</f>
      </c>
      <c r="HU752">
        <f>IF(ISBLANK('Data Entry'!$ĥ$752), "", 'Data Entry'!$ĥ$752)</f>
      </c>
      <c r="HV752">
        <f>IF(ISBLANK('Data Entry'!$Ħ$752), "", 'Data Entry'!$Ħ$752)</f>
      </c>
      <c r="HW752">
        <f>IF(ISBLANK('Data Entry'!$ħ$752), "", 'Data Entry'!$ħ$752)</f>
      </c>
      <c r="HX752">
        <f>IF(ISBLANK('Data Entry'!$Ĩ$752), "", 'Data Entry'!$Ĩ$752)</f>
      </c>
      <c r="HY752">
        <f>IF(ISBLANK('Data Entry'!$ĩ$752), "", 'Data Entry'!$ĩ$752)</f>
      </c>
      <c r="HZ752">
        <f>IF(ISBLANK('Data Entry'!$Ī$752), "", 'Data Entry'!$Ī$752)</f>
      </c>
      <c r="IA752">
        <f>IF(ISBLANK('Data Entry'!$ī$752), "", 'Data Entry'!$ī$752)</f>
      </c>
      <c r="IB752">
        <f>IF(ISBLANK('Data Entry'!$Ĭ$752), "", 'Data Entry'!$Ĭ$752)</f>
      </c>
      <c r="IC752">
        <f>IF(ISBLANK('Data Entry'!$ĭ$752), "", 'Data Entry'!$ĭ$752)</f>
      </c>
      <c r="ID752">
        <f>IF(ISBLANK('Data Entry'!$Į$752), "", 'Data Entry'!$Į$752)</f>
      </c>
      <c r="IE752">
        <f>IF(ISBLANK('Data Entry'!$į$752), "", 'Data Entry'!$į$752)</f>
      </c>
      <c r="IF752">
        <f>IF(ISBLANK('Data Entry'!$İ$752), "", 'Data Entry'!$İ$752)</f>
      </c>
      <c r="IG752">
        <f>IF(ISBLANK('Data Entry'!$ı$752), "", 'Data Entry'!$ı$752)</f>
      </c>
      <c r="IH752">
        <f>IF(ISBLANK('Data Entry'!$Ĳ$752), "", 'Data Entry'!$Ĳ$752)</f>
      </c>
      <c r="II752">
        <f>IF(ISBLANK('Data Entry'!$ĳ$752), "", 'Data Entry'!$ĳ$752)</f>
      </c>
      <c r="IJ752">
        <f>IF(ISBLANK('Data Entry'!$Ĵ$752), "", 'Data Entry'!$Ĵ$752)</f>
      </c>
      <c r="IK752">
        <f>IF(ISBLANK('Data Entry'!$ĵ$752), "", 'Data Entry'!$ĵ$752)</f>
      </c>
      <c r="IL752">
        <f>IF(ISBLANK('Data Entry'!$Ķ$752), "", 'Data Entry'!$Ķ$752)</f>
      </c>
      <c r="IM752">
        <f>IF(ISBLANK('Data Entry'!$ķ$752), "", 'Data Entry'!$ķ$752)</f>
      </c>
      <c r="IN752">
        <f>IF(ISBLANK('Data Entry'!$ĸ$752), "", 'Data Entry'!$ĸ$752)</f>
      </c>
      <c r="IO752">
        <f>IF(ISBLANK('Data Entry'!$Ĺ$752), "", 'Data Entry'!$Ĺ$752)</f>
      </c>
      <c r="IP752">
        <f>IF(ISBLANK('Data Entry'!$ĺ$752), "", 'Data Entry'!$ĺ$752)</f>
      </c>
      <c r="IQ752">
        <f>IF(ISBLANK('Data Entry'!$Ļ$752), "", 'Data Entry'!$Ļ$752)</f>
      </c>
      <c r="IR752">
        <f>IF(ISBLANK('Data Entry'!$ļ$752), "", 'Data Entry'!$ļ$752)</f>
      </c>
      <c r="IS752">
        <f>IF(ISBLANK('Data Entry'!$Ľ$752), "", 'Data Entry'!$Ľ$752)</f>
      </c>
      <c r="IT752">
        <f>IF(ISBLANK('Data Entry'!$ľ$752), "", 'Data Entry'!$ľ$752)</f>
      </c>
    </row>
    <row r="753" spans="1:254" x14ac:dyDescent="0.25">
      <c r="A753">
        <f>IF(ISBLANK('Data Entry'!$A$753), "", 'Data Entry'!$A$753)</f>
      </c>
      <c r="B753">
        <f>IF(ISBLANK('Data Entry'!$B$753), "", 'Data Entry'!$B$753)</f>
      </c>
      <c r="C753">
        <f>IF(ISBLANK('Data Entry'!$C$753), "", 'Data Entry'!$C$753)</f>
      </c>
      <c r="D753">
        <f>IF(ISBLANK('Data Entry'!$D$753), "", 'Data Entry'!$D$753)</f>
      </c>
      <c r="E753">
        <f>IF(ISBLANK('Data Entry'!$E$753), "", 'Data Entry'!$E$753)</f>
      </c>
      <c r="F753">
        <f>IF(ISBLANK('Data Entry'!$F$753), "", 'Data Entry'!$F$753)</f>
      </c>
      <c r="G753">
        <f>IF(ISBLANK('Data Entry'!$G$753), "", 'Data Entry'!$G$753)</f>
      </c>
      <c r="H753">
        <f>IF(ISBLANK('Data Entry'!$H$753), "", 'Data Entry'!$H$753)</f>
      </c>
      <c r="I753">
        <f>IF(ISBLANK('Data Entry'!$I$753), "", 'Data Entry'!$I$753)</f>
      </c>
      <c r="J753">
        <f>IF(ISBLANK('Data Entry'!$J$753), "", 'Data Entry'!$J$753)</f>
      </c>
      <c r="K753">
        <f>IF(ISBLANK('Data Entry'!$K$753), "", 'Data Entry'!$K$753)</f>
      </c>
      <c r="L753">
        <f>IF(ISBLANK('Data Entry'!$L$753), "", 'Data Entry'!$L$753)</f>
      </c>
      <c r="M753">
        <f>IF(ISBLANK('Data Entry'!$M$753), "", 'Data Entry'!$M$753)</f>
      </c>
      <c r="N753">
        <f>IF(ISBLANK('Data Entry'!$N$753), "", 'Data Entry'!$N$753)</f>
      </c>
      <c r="O753">
        <f>IF(ISBLANK('Data Entry'!$O$753), "", 'Data Entry'!$O$753)</f>
      </c>
      <c r="P753">
        <f>IF(ISBLANK('Data Entry'!$P$753), "", 'Data Entry'!$P$753)</f>
      </c>
      <c r="Q753">
        <f>IF(ISBLANK('Data Entry'!$Q$753), "", 'Data Entry'!$Q$753)</f>
      </c>
      <c r="R753">
        <f>IF(ISBLANK('Data Entry'!$R$753), "", 'Data Entry'!$R$753)</f>
      </c>
      <c r="S753">
        <f>IF(ISBLANK('Data Entry'!$S$753), "", 'Data Entry'!$S$753)</f>
      </c>
      <c r="T753">
        <f>IF(ISBLANK('Data Entry'!$T$753), "", 'Data Entry'!$T$753)</f>
      </c>
      <c r="U753">
        <f>IF(ISBLANK('Data Entry'!$U$753), "", 'Data Entry'!$U$753)</f>
      </c>
      <c r="V753">
        <f>IF(ISBLANK('Data Entry'!$V$753), "", 'Data Entry'!$V$753)</f>
      </c>
      <c r="W753">
        <f>IF(ISBLANK('Data Entry'!$W$753), "", 'Data Entry'!$W$753)</f>
      </c>
      <c r="X753">
        <f>IF(ISBLANK('Data Entry'!$X$753), "", 'Data Entry'!$X$753)</f>
      </c>
      <c r="Y753">
        <f>IF(ISBLANK('Data Entry'!$Y$753), "", 'Data Entry'!$Y$753)</f>
      </c>
      <c r="Z753">
        <f>IF(ISBLANK('Data Entry'!$Z$753), "", 'Data Entry'!$Z$753)</f>
      </c>
      <c r="AA753">
        <f>IF(ISBLANK('Data Entry'!$[$753), "", 'Data Entry'!$[$753)</f>
      </c>
      <c r="AB753">
        <f>IF(ISBLANK('Data Entry'!$\$753), "", 'Data Entry'!$\$753)</f>
      </c>
      <c r="AC753">
        <f>IF(ISBLANK('Data Entry'!$]$753), "", 'Data Entry'!$]$753)</f>
      </c>
      <c r="AD753">
        <f>IF(ISBLANK('Data Entry'!$^$753), "", 'Data Entry'!$^$753)</f>
      </c>
      <c r="AE753">
        <f>IF(ISBLANK('Data Entry'!$_$753), "", 'Data Entry'!$_$753)</f>
      </c>
      <c r="AF753">
        <f>IF(ISBLANK('Data Entry'!$`$753), "", 'Data Entry'!$`$753)</f>
      </c>
      <c r="AG753">
        <f>IF(ISBLANK('Data Entry'!$a$753), "", 'Data Entry'!$a$753)</f>
      </c>
      <c r="AH753">
        <f>IF(ISBLANK('Data Entry'!$b$753), "", 'Data Entry'!$b$753)</f>
      </c>
      <c r="AI753">
        <f>IF(ISBLANK('Data Entry'!$c$753), "", 'Data Entry'!$c$753)</f>
      </c>
      <c r="AJ753">
        <f>IF(ISBLANK('Data Entry'!$d$753), "", 'Data Entry'!$d$753)</f>
      </c>
      <c r="AK753">
        <f>IF(ISBLANK('Data Entry'!$e$753), "", 'Data Entry'!$e$753)</f>
      </c>
      <c r="AL753">
        <f>IF(ISBLANK('Data Entry'!$f$753), "", 'Data Entry'!$f$753)</f>
      </c>
      <c r="AM753">
        <f>IF(ISBLANK('Data Entry'!$g$753), "", 'Data Entry'!$g$753)</f>
      </c>
      <c r="AN753">
        <f>IF(ISBLANK('Data Entry'!$h$753), "", 'Data Entry'!$h$753)</f>
      </c>
      <c r="AO753">
        <f>IF(ISBLANK('Data Entry'!$i$753), "", 'Data Entry'!$i$753)</f>
      </c>
      <c r="AP753">
        <f>IF(ISBLANK('Data Entry'!$j$753), "", 'Data Entry'!$j$753)</f>
      </c>
      <c r="AQ753">
        <f>IF(ISBLANK('Data Entry'!$k$753), "", 'Data Entry'!$k$753)</f>
      </c>
      <c r="AR753">
        <f>IF(ISBLANK('Data Entry'!$l$753), "", 'Data Entry'!$l$753)</f>
      </c>
      <c r="AS753">
        <f>IF(ISBLANK('Data Entry'!$m$753), "", 'Data Entry'!$m$753)</f>
      </c>
      <c r="AT753">
        <f>IF(ISBLANK('Data Entry'!$n$753), "", 'Data Entry'!$n$753)</f>
      </c>
      <c r="AU753">
        <f>IF(ISBLANK('Data Entry'!$o$753), "", 'Data Entry'!$o$753)</f>
      </c>
      <c r="AV753">
        <f>IF(ISBLANK('Data Entry'!$p$753), "", 'Data Entry'!$p$753)</f>
      </c>
      <c r="AW753">
        <f>IF(ISBLANK('Data Entry'!$q$753), "", 'Data Entry'!$q$753)</f>
      </c>
      <c r="AX753">
        <f>IF(ISBLANK('Data Entry'!$r$753), "", 'Data Entry'!$r$753)</f>
      </c>
      <c r="AY753">
        <f>IF(ISBLANK('Data Entry'!$s$753), "", 'Data Entry'!$s$753)</f>
      </c>
      <c r="AZ753">
        <f>IF(ISBLANK('Data Entry'!$t$753), "", 'Data Entry'!$t$753)</f>
      </c>
      <c r="BA753">
        <f>IF(ISBLANK('Data Entry'!$u$753), "", 'Data Entry'!$u$753)</f>
      </c>
      <c r="BB753">
        <f>IF(ISBLANK('Data Entry'!$v$753), "", 'Data Entry'!$v$753)</f>
      </c>
      <c r="BC753">
        <f>IF(ISBLANK('Data Entry'!$w$753), "", 'Data Entry'!$w$753)</f>
      </c>
      <c r="BD753">
        <f>IF(ISBLANK('Data Entry'!$x$753), "", 'Data Entry'!$x$753)</f>
      </c>
      <c r="BE753">
        <f>IF(ISBLANK('Data Entry'!$y$753), "", 'Data Entry'!$y$753)</f>
      </c>
      <c r="BF753">
        <f>IF(ISBLANK('Data Entry'!$z$753), "", 'Data Entry'!$z$753)</f>
      </c>
      <c r="BG753">
        <f>IF(ISBLANK('Data Entry'!${$753), "", 'Data Entry'!${$753)</f>
      </c>
      <c r="BH753">
        <f>IF(ISBLANK('Data Entry'!$|$753), "", 'Data Entry'!$|$753)</f>
      </c>
      <c r="BI753">
        <f>IF(ISBLANK('Data Entry'!$}$753), "", 'Data Entry'!$}$753)</f>
      </c>
      <c r="BJ753">
        <f>IF(ISBLANK('Data Entry'!$~$753), "", 'Data Entry'!$~$753)</f>
      </c>
      <c r="BK753">
        <f>IF(ISBLANK('Data Entry'!$$753), "", 'Data Entry'!$$753)</f>
      </c>
      <c r="BL753">
        <f>IF(ISBLANK('Data Entry'!$$753), "", 'Data Entry'!$$753)</f>
      </c>
      <c r="BM753">
        <f>IF(ISBLANK('Data Entry'!$$753), "", 'Data Entry'!$$753)</f>
      </c>
      <c r="BN753">
        <f>IF(ISBLANK('Data Entry'!$$753), "", 'Data Entry'!$$753)</f>
      </c>
      <c r="BO753">
        <f>IF(ISBLANK('Data Entry'!$$753), "", 'Data Entry'!$$753)</f>
      </c>
      <c r="BP753">
        <f>IF(ISBLANK('Data Entry'!$$753), "", 'Data Entry'!$$753)</f>
      </c>
      <c r="BQ753">
        <f>IF(ISBLANK('Data Entry'!$$753), "", 'Data Entry'!$$753)</f>
      </c>
      <c r="BR753">
        <f>IF(ISBLANK('Data Entry'!$$753), "", 'Data Entry'!$$753)</f>
      </c>
      <c r="BS753">
        <f>IF(ISBLANK('Data Entry'!$$753), "", 'Data Entry'!$$753)</f>
      </c>
      <c r="BT753">
        <f>IF(ISBLANK('Data Entry'!$$753), "", 'Data Entry'!$$753)</f>
      </c>
      <c r="BU753">
        <f>IF(ISBLANK('Data Entry'!$$753), "", 'Data Entry'!$$753)</f>
      </c>
      <c r="BV753">
        <f>IF(ISBLANK('Data Entry'!$$753), "", 'Data Entry'!$$753)</f>
      </c>
      <c r="BW753">
        <f>IF(ISBLANK('Data Entry'!$$753), "", 'Data Entry'!$$753)</f>
      </c>
      <c r="BX753">
        <f>IF(ISBLANK('Data Entry'!$$753), "", 'Data Entry'!$$753)</f>
      </c>
      <c r="BY753">
        <f>IF(ISBLANK('Data Entry'!$$753), "", 'Data Entry'!$$753)</f>
      </c>
      <c r="BZ753">
        <f>IF(ISBLANK('Data Entry'!$$753), "", 'Data Entry'!$$753)</f>
      </c>
      <c r="CA753">
        <f>IF(ISBLANK('Data Entry'!$$753), "", 'Data Entry'!$$753)</f>
      </c>
      <c r="CB753">
        <f>IF(ISBLANK('Data Entry'!$$753), "", 'Data Entry'!$$753)</f>
      </c>
      <c r="CC753">
        <f>IF(ISBLANK('Data Entry'!$$753), "", 'Data Entry'!$$753)</f>
      </c>
      <c r="CD753">
        <f>IF(ISBLANK('Data Entry'!$$753), "", 'Data Entry'!$$753)</f>
      </c>
      <c r="CE753">
        <f>IF(ISBLANK('Data Entry'!$$753), "", 'Data Entry'!$$753)</f>
      </c>
      <c r="CF753">
        <f>IF(ISBLANK('Data Entry'!$$753), "", 'Data Entry'!$$753)</f>
      </c>
      <c r="CG753">
        <f>IF(ISBLANK('Data Entry'!$$753), "", 'Data Entry'!$$753)</f>
      </c>
      <c r="CH753">
        <f>IF(ISBLANK('Data Entry'!$$753), "", 'Data Entry'!$$753)</f>
      </c>
      <c r="CI753">
        <f>IF(ISBLANK('Data Entry'!$$753), "", 'Data Entry'!$$753)</f>
      </c>
      <c r="CJ753">
        <f>IF(ISBLANK('Data Entry'!$$753), "", 'Data Entry'!$$753)</f>
      </c>
      <c r="CK753">
        <f>IF(ISBLANK('Data Entry'!$$753), "", 'Data Entry'!$$753)</f>
      </c>
      <c r="CL753">
        <f>IF(ISBLANK('Data Entry'!$$753), "", 'Data Entry'!$$753)</f>
      </c>
      <c r="CM753">
        <f>IF(ISBLANK('Data Entry'!$$753), "", 'Data Entry'!$$753)</f>
      </c>
      <c r="CN753">
        <f>IF(ISBLANK('Data Entry'!$$753), "", 'Data Entry'!$$753)</f>
      </c>
      <c r="CO753">
        <f>IF(ISBLANK('Data Entry'!$$753), "", 'Data Entry'!$$753)</f>
      </c>
      <c r="CP753">
        <f>IF(ISBLANK('Data Entry'!$$753), "", 'Data Entry'!$$753)</f>
      </c>
      <c r="CQ753">
        <f>IF(ISBLANK('Data Entry'!$$753), "", 'Data Entry'!$$753)</f>
      </c>
      <c r="CR753">
        <f>IF(ISBLANK('Data Entry'!$ $753), "", 'Data Entry'!$ $753)</f>
      </c>
      <c r="CS753">
        <f>IF(ISBLANK('Data Entry'!$¡$753), "", 'Data Entry'!$¡$753)</f>
      </c>
      <c r="CT753">
        <f>IF(ISBLANK('Data Entry'!$¢$753), "", 'Data Entry'!$¢$753)</f>
      </c>
      <c r="CU753">
        <f>IF(ISBLANK('Data Entry'!$£$753), "", 'Data Entry'!$£$753)</f>
      </c>
      <c r="CV753">
        <f>IF(ISBLANK('Data Entry'!$¤$753), "", 'Data Entry'!$¤$753)</f>
      </c>
      <c r="CW753">
        <f>IF(ISBLANK('Data Entry'!$¥$753), "", 'Data Entry'!$¥$753)</f>
      </c>
      <c r="CX753">
        <f>IF(ISBLANK('Data Entry'!$¦$753), "", 'Data Entry'!$¦$753)</f>
      </c>
      <c r="CY753">
        <f>IF(ISBLANK('Data Entry'!$§$753), "", 'Data Entry'!$§$753)</f>
      </c>
      <c r="CZ753">
        <f>IF(ISBLANK('Data Entry'!$¨$753), "", 'Data Entry'!$¨$753)</f>
      </c>
      <c r="DA753">
        <f>IF(ISBLANK('Data Entry'!$©$753), "", 'Data Entry'!$©$753)</f>
      </c>
      <c r="DB753">
        <f>IF(ISBLANK('Data Entry'!$ª$753), "", 'Data Entry'!$ª$753)</f>
      </c>
      <c r="DC753">
        <f>IF(ISBLANK('Data Entry'!$«$753), "", 'Data Entry'!$«$753)</f>
      </c>
      <c r="DD753">
        <f>IF(ISBLANK('Data Entry'!$¬$753), "", 'Data Entry'!$¬$753)</f>
      </c>
      <c r="DE753">
        <f>IF(ISBLANK('Data Entry'!$­$753), "", 'Data Entry'!$­$753)</f>
      </c>
      <c r="DF753">
        <f>IF(ISBLANK('Data Entry'!$®$753), "", 'Data Entry'!$®$753)</f>
      </c>
      <c r="DG753">
        <f>IF(ISBLANK('Data Entry'!$¯$753), "", 'Data Entry'!$¯$753)</f>
      </c>
      <c r="DH753">
        <f>IF(ISBLANK('Data Entry'!$°$753), "", 'Data Entry'!$°$753)</f>
      </c>
      <c r="DI753">
        <f>IF(ISBLANK('Data Entry'!$±$753), "", 'Data Entry'!$±$753)</f>
      </c>
      <c r="DJ753">
        <f>IF(ISBLANK('Data Entry'!$²$753), "", 'Data Entry'!$²$753)</f>
      </c>
      <c r="DK753">
        <f>IF(ISBLANK('Data Entry'!$³$753), "", 'Data Entry'!$³$753)</f>
      </c>
      <c r="DL753">
        <f>IF(ISBLANK('Data Entry'!$´$753), "", 'Data Entry'!$´$753)</f>
      </c>
      <c r="DM753">
        <f>IF(ISBLANK('Data Entry'!$µ$753), "", 'Data Entry'!$µ$753)</f>
      </c>
      <c r="DN753">
        <f>IF(ISBLANK('Data Entry'!$¶$753), "", 'Data Entry'!$¶$753)</f>
      </c>
      <c r="DO753">
        <f>IF(ISBLANK('Data Entry'!$·$753), "", 'Data Entry'!$·$753)</f>
      </c>
      <c r="DP753">
        <f>IF(ISBLANK('Data Entry'!$¸$753), "", 'Data Entry'!$¸$753)</f>
      </c>
      <c r="DQ753">
        <f>IF(ISBLANK('Data Entry'!$¹$753), "", 'Data Entry'!$¹$753)</f>
      </c>
      <c r="DR753">
        <f>IF(ISBLANK('Data Entry'!$º$753), "", 'Data Entry'!$º$753)</f>
      </c>
      <c r="DS753">
        <f>IF(ISBLANK('Data Entry'!$»$753), "", 'Data Entry'!$»$753)</f>
      </c>
      <c r="DT753">
        <f>IF(ISBLANK('Data Entry'!$¼$753), "", 'Data Entry'!$¼$753)</f>
      </c>
      <c r="DU753">
        <f>IF(ISBLANK('Data Entry'!$½$753), "", 'Data Entry'!$½$753)</f>
      </c>
      <c r="DV753">
        <f>IF(ISBLANK('Data Entry'!$¾$753), "", 'Data Entry'!$¾$753)</f>
      </c>
      <c r="DW753">
        <f>IF(ISBLANK('Data Entry'!$¿$753), "", 'Data Entry'!$¿$753)</f>
      </c>
      <c r="DX753">
        <f>IF(ISBLANK('Data Entry'!$À$753), "", 'Data Entry'!$À$753)</f>
      </c>
      <c r="DY753">
        <f>IF(ISBLANK('Data Entry'!$Á$753), "", 'Data Entry'!$Á$753)</f>
      </c>
      <c r="DZ753">
        <f>IF(ISBLANK('Data Entry'!$Â$753), "", 'Data Entry'!$Â$753)</f>
      </c>
      <c r="EA753">
        <f>IF(ISBLANK('Data Entry'!$Ã$753), "", 'Data Entry'!$Ã$753)</f>
      </c>
      <c r="EB753">
        <f>IF(ISBLANK('Data Entry'!$Ä$753), "", 'Data Entry'!$Ä$753)</f>
      </c>
      <c r="EC753">
        <f>IF(ISBLANK('Data Entry'!$Å$753), "", 'Data Entry'!$Å$753)</f>
      </c>
      <c r="ED753">
        <f>IF(ISBLANK('Data Entry'!$Æ$753), "", 'Data Entry'!$Æ$753)</f>
      </c>
      <c r="EE753">
        <f>IF(ISBLANK('Data Entry'!$Ç$753), "", 'Data Entry'!$Ç$753)</f>
      </c>
      <c r="EF753">
        <f>IF(ISBLANK('Data Entry'!$È$753), "", 'Data Entry'!$È$753)</f>
      </c>
      <c r="EG753">
        <f>IF(ISBLANK('Data Entry'!$É$753), "", 'Data Entry'!$É$753)</f>
      </c>
      <c r="EH753">
        <f>IF(ISBLANK('Data Entry'!$Ê$753), "", 'Data Entry'!$Ê$753)</f>
      </c>
      <c r="EI753">
        <f>IF(ISBLANK('Data Entry'!$Ë$753), "", 'Data Entry'!$Ë$753)</f>
      </c>
      <c r="EJ753">
        <f>IF(ISBLANK('Data Entry'!$Ì$753), "", 'Data Entry'!$Ì$753)</f>
      </c>
      <c r="EK753">
        <f>IF(ISBLANK('Data Entry'!$Í$753), "", 'Data Entry'!$Í$753)</f>
      </c>
      <c r="EL753">
        <f>IF(ISBLANK('Data Entry'!$Î$753), "", 'Data Entry'!$Î$753)</f>
      </c>
      <c r="EM753">
        <f>IF(ISBLANK('Data Entry'!$Ï$753), "", 'Data Entry'!$Ï$753)</f>
      </c>
      <c r="EN753">
        <f>IF(ISBLANK('Data Entry'!$Ð$753), "", 'Data Entry'!$Ð$753)</f>
      </c>
      <c r="EO753">
        <f>IF(ISBLANK('Data Entry'!$Ñ$753), "", 'Data Entry'!$Ñ$753)</f>
      </c>
      <c r="EP753">
        <f>IF(ISBLANK('Data Entry'!$Ò$753), "", 'Data Entry'!$Ò$753)</f>
      </c>
      <c r="EQ753">
        <f>IF(ISBLANK('Data Entry'!$Ó$753), "", 'Data Entry'!$Ó$753)</f>
      </c>
      <c r="ER753">
        <f>IF(ISBLANK('Data Entry'!$Ô$753), "", 'Data Entry'!$Ô$753)</f>
      </c>
      <c r="ES753">
        <f>IF(ISBLANK('Data Entry'!$Õ$753), "", 'Data Entry'!$Õ$753)</f>
      </c>
      <c r="ET753">
        <f>IF(ISBLANK('Data Entry'!$Ö$753), "", 'Data Entry'!$Ö$753)</f>
      </c>
      <c r="EU753">
        <f>IF(ISBLANK('Data Entry'!$×$753), "", 'Data Entry'!$×$753)</f>
      </c>
      <c r="EV753">
        <f>IF(ISBLANK('Data Entry'!$Ø$753), "", 'Data Entry'!$Ø$753)</f>
      </c>
      <c r="EW753">
        <f>IF(ISBLANK('Data Entry'!$Ù$753), "", 'Data Entry'!$Ù$753)</f>
      </c>
      <c r="EX753">
        <f>IF(ISBLANK('Data Entry'!$Ú$753), "", 'Data Entry'!$Ú$753)</f>
      </c>
      <c r="EY753">
        <f>IF(ISBLANK('Data Entry'!$Û$753), "", 'Data Entry'!$Û$753)</f>
      </c>
      <c r="EZ753">
        <f>IF(ISBLANK('Data Entry'!$Ü$753), "", 'Data Entry'!$Ü$753)</f>
      </c>
      <c r="FA753">
        <f>IF(ISBLANK('Data Entry'!$Ý$753), "", 'Data Entry'!$Ý$753)</f>
      </c>
      <c r="FB753">
        <f>IF(ISBLANK('Data Entry'!$Þ$753), "", 'Data Entry'!$Þ$753)</f>
      </c>
      <c r="FC753">
        <f>IF(ISBLANK('Data Entry'!$ß$753), "", 'Data Entry'!$ß$753)</f>
      </c>
      <c r="FD753">
        <f>IF(ISBLANK('Data Entry'!$à$753), "", 'Data Entry'!$à$753)</f>
      </c>
      <c r="FE753">
        <f>IF(ISBLANK('Data Entry'!$á$753), "", 'Data Entry'!$á$753)</f>
      </c>
      <c r="FF753">
        <f>IF(ISBLANK('Data Entry'!$â$753), "", 'Data Entry'!$â$753)</f>
      </c>
      <c r="FG753">
        <f>IF(ISBLANK('Data Entry'!$ã$753), "", 'Data Entry'!$ã$753)</f>
      </c>
      <c r="FH753">
        <f>IF(ISBLANK('Data Entry'!$ä$753), "", 'Data Entry'!$ä$753)</f>
      </c>
      <c r="FI753">
        <f>IF(ISBLANK('Data Entry'!$å$753), "", 'Data Entry'!$å$753)</f>
      </c>
      <c r="FJ753">
        <f>IF(ISBLANK('Data Entry'!$æ$753), "", 'Data Entry'!$æ$753)</f>
      </c>
      <c r="FK753">
        <f>IF(ISBLANK('Data Entry'!$ç$753), "", 'Data Entry'!$ç$753)</f>
      </c>
      <c r="FL753">
        <f>IF(ISBLANK('Data Entry'!$è$753), "", 'Data Entry'!$è$753)</f>
      </c>
      <c r="FM753">
        <f>IF(ISBLANK('Data Entry'!$é$753), "", 'Data Entry'!$é$753)</f>
      </c>
      <c r="FN753">
        <f>IF(ISBLANK('Data Entry'!$ê$753), "", 'Data Entry'!$ê$753)</f>
      </c>
      <c r="FO753">
        <f>IF(ISBLANK('Data Entry'!$ë$753), "", 'Data Entry'!$ë$753)</f>
      </c>
      <c r="FP753">
        <f>IF(ISBLANK('Data Entry'!$ì$753), "", 'Data Entry'!$ì$753)</f>
      </c>
      <c r="FQ753">
        <f>IF(ISBLANK('Data Entry'!$í$753), "", 'Data Entry'!$í$753)</f>
      </c>
      <c r="FR753">
        <f>IF(ISBLANK('Data Entry'!$î$753), "", 'Data Entry'!$î$753)</f>
      </c>
      <c r="FS753">
        <f>IF(ISBLANK('Data Entry'!$ï$753), "", 'Data Entry'!$ï$753)</f>
      </c>
      <c r="FT753">
        <f>IF(ISBLANK('Data Entry'!$ð$753), "", 'Data Entry'!$ð$753)</f>
      </c>
      <c r="FU753">
        <f>IF(ISBLANK('Data Entry'!$ñ$753), "", 'Data Entry'!$ñ$753)</f>
      </c>
      <c r="FV753">
        <f>IF(ISBLANK('Data Entry'!$ò$753), "", 'Data Entry'!$ò$753)</f>
      </c>
      <c r="FW753">
        <f>IF(ISBLANK('Data Entry'!$ó$753), "", 'Data Entry'!$ó$753)</f>
      </c>
      <c r="FX753">
        <f>IF(ISBLANK('Data Entry'!$ô$753), "", 'Data Entry'!$ô$753)</f>
      </c>
      <c r="FY753">
        <f>IF(ISBLANK('Data Entry'!$õ$753), "", 'Data Entry'!$õ$753)</f>
      </c>
      <c r="FZ753">
        <f>IF(ISBLANK('Data Entry'!$ö$753), "", 'Data Entry'!$ö$753)</f>
      </c>
      <c r="GA753">
        <f>IF(ISBLANK('Data Entry'!$÷$753), "", 'Data Entry'!$÷$753)</f>
      </c>
      <c r="GB753">
        <f>IF(ISBLANK('Data Entry'!$ø$753), "", 'Data Entry'!$ø$753)</f>
      </c>
      <c r="GC753">
        <f>IF(ISBLANK('Data Entry'!$ù$753), "", 'Data Entry'!$ù$753)</f>
      </c>
      <c r="GD753">
        <f>IF(ISBLANK('Data Entry'!$ú$753), "", 'Data Entry'!$ú$753)</f>
      </c>
      <c r="GE753">
        <f>IF(ISBLANK('Data Entry'!$û$753), "", 'Data Entry'!$û$753)</f>
      </c>
      <c r="GF753">
        <f>IF(ISBLANK('Data Entry'!$ü$753), "", 'Data Entry'!$ü$753)</f>
      </c>
      <c r="GG753">
        <f>IF(ISBLANK('Data Entry'!$ý$753), "", 'Data Entry'!$ý$753)</f>
      </c>
      <c r="GH753">
        <f>IF(ISBLANK('Data Entry'!$þ$753), "", 'Data Entry'!$þ$753)</f>
      </c>
      <c r="GI753">
        <f>IF(ISBLANK('Data Entry'!$ÿ$753), "", 'Data Entry'!$ÿ$753)</f>
      </c>
      <c r="GJ753">
        <f>IF(ISBLANK('Data Entry'!$Ā$753), "", 'Data Entry'!$Ā$753)</f>
      </c>
      <c r="GK753">
        <f>IF(ISBLANK('Data Entry'!$ā$753), "", 'Data Entry'!$ā$753)</f>
      </c>
      <c r="GL753">
        <f>IF(ISBLANK('Data Entry'!$Ă$753), "", 'Data Entry'!$Ă$753)</f>
      </c>
      <c r="GM753">
        <f>IF(ISBLANK('Data Entry'!$ă$753), "", 'Data Entry'!$ă$753)</f>
      </c>
      <c r="GN753">
        <f>IF(ISBLANK('Data Entry'!$Ą$753), "", 'Data Entry'!$Ą$753)</f>
      </c>
      <c r="GO753">
        <f>IF(ISBLANK('Data Entry'!$ą$753), "", 'Data Entry'!$ą$753)</f>
      </c>
      <c r="GP753">
        <f>IF(ISBLANK('Data Entry'!$Ć$753), "", 'Data Entry'!$Ć$753)</f>
      </c>
      <c r="GQ753">
        <f>IF(ISBLANK('Data Entry'!$ć$753), "", 'Data Entry'!$ć$753)</f>
      </c>
      <c r="GR753">
        <f>IF(ISBLANK('Data Entry'!$Ĉ$753), "", 'Data Entry'!$Ĉ$753)</f>
      </c>
      <c r="GS753">
        <f>IF(ISBLANK('Data Entry'!$ĉ$753), "", 'Data Entry'!$ĉ$753)</f>
      </c>
      <c r="GT753">
        <f>IF(ISBLANK('Data Entry'!$Ċ$753), "", 'Data Entry'!$Ċ$753)</f>
      </c>
      <c r="GU753">
        <f>IF(ISBLANK('Data Entry'!$ċ$753), "", 'Data Entry'!$ċ$753)</f>
      </c>
      <c r="GV753">
        <f>IF(ISBLANK('Data Entry'!$Č$753), "", 'Data Entry'!$Č$753)</f>
      </c>
      <c r="GW753">
        <f>IF(ISBLANK('Data Entry'!$č$753), "", 'Data Entry'!$č$753)</f>
      </c>
      <c r="GX753">
        <f>IF(ISBLANK('Data Entry'!$Ď$753), "", 'Data Entry'!$Ď$753)</f>
      </c>
      <c r="GY753">
        <f>IF(ISBLANK('Data Entry'!$ď$753), "", 'Data Entry'!$ď$753)</f>
      </c>
      <c r="GZ753">
        <f>IF(ISBLANK('Data Entry'!$Đ$753), "", 'Data Entry'!$Đ$753)</f>
      </c>
      <c r="HA753">
        <f>IF(ISBLANK('Data Entry'!$đ$753), "", 'Data Entry'!$đ$753)</f>
      </c>
      <c r="HB753">
        <f>IF(ISBLANK('Data Entry'!$Ē$753), "", 'Data Entry'!$Ē$753)</f>
      </c>
      <c r="HC753">
        <f>IF(ISBLANK('Data Entry'!$ē$753), "", 'Data Entry'!$ē$753)</f>
      </c>
      <c r="HD753">
        <f>IF(ISBLANK('Data Entry'!$Ĕ$753), "", 'Data Entry'!$Ĕ$753)</f>
      </c>
      <c r="HE753">
        <f>IF(ISBLANK('Data Entry'!$ĕ$753), "", 'Data Entry'!$ĕ$753)</f>
      </c>
      <c r="HF753">
        <f>IF(ISBLANK('Data Entry'!$Ė$753), "", 'Data Entry'!$Ė$753)</f>
      </c>
      <c r="HG753">
        <f>IF(ISBLANK('Data Entry'!$ė$753), "", 'Data Entry'!$ė$753)</f>
      </c>
      <c r="HH753">
        <f>IF(ISBLANK('Data Entry'!$Ę$753), "", 'Data Entry'!$Ę$753)</f>
      </c>
      <c r="HI753">
        <f>IF(ISBLANK('Data Entry'!$ę$753), "", 'Data Entry'!$ę$753)</f>
      </c>
      <c r="HJ753">
        <f>IF(ISBLANK('Data Entry'!$Ě$753), "", 'Data Entry'!$Ě$753)</f>
      </c>
      <c r="HK753">
        <f>IF(ISBLANK('Data Entry'!$ě$753), "", 'Data Entry'!$ě$753)</f>
      </c>
      <c r="HL753">
        <f>IF(ISBLANK('Data Entry'!$Ĝ$753), "", 'Data Entry'!$Ĝ$753)</f>
      </c>
      <c r="HM753">
        <f>IF(ISBLANK('Data Entry'!$ĝ$753), "", 'Data Entry'!$ĝ$753)</f>
      </c>
      <c r="HN753">
        <f>IF(ISBLANK('Data Entry'!$Ğ$753), "", 'Data Entry'!$Ğ$753)</f>
      </c>
      <c r="HO753">
        <f>IF(ISBLANK('Data Entry'!$ğ$753), "", 'Data Entry'!$ğ$753)</f>
      </c>
      <c r="HP753">
        <f>IF(ISBLANK('Data Entry'!$Ġ$753), "", 'Data Entry'!$Ġ$753)</f>
      </c>
      <c r="HQ753">
        <f>IF(ISBLANK('Data Entry'!$ġ$753), "", 'Data Entry'!$ġ$753)</f>
      </c>
      <c r="HR753">
        <f>IF(ISBLANK('Data Entry'!$Ģ$753), "", 'Data Entry'!$Ģ$753)</f>
      </c>
      <c r="HS753">
        <f>IF(ISBLANK('Data Entry'!$ģ$753), "", 'Data Entry'!$ģ$753)</f>
      </c>
      <c r="HT753">
        <f>IF(ISBLANK('Data Entry'!$Ĥ$753), "", 'Data Entry'!$Ĥ$753)</f>
      </c>
      <c r="HU753">
        <f>IF(ISBLANK('Data Entry'!$ĥ$753), "", 'Data Entry'!$ĥ$753)</f>
      </c>
      <c r="HV753">
        <f>IF(ISBLANK('Data Entry'!$Ħ$753), "", 'Data Entry'!$Ħ$753)</f>
      </c>
      <c r="HW753">
        <f>IF(ISBLANK('Data Entry'!$ħ$753), "", 'Data Entry'!$ħ$753)</f>
      </c>
      <c r="HX753">
        <f>IF(ISBLANK('Data Entry'!$Ĩ$753), "", 'Data Entry'!$Ĩ$753)</f>
      </c>
      <c r="HY753">
        <f>IF(ISBLANK('Data Entry'!$ĩ$753), "", 'Data Entry'!$ĩ$753)</f>
      </c>
      <c r="HZ753">
        <f>IF(ISBLANK('Data Entry'!$Ī$753), "", 'Data Entry'!$Ī$753)</f>
      </c>
      <c r="IA753">
        <f>IF(ISBLANK('Data Entry'!$ī$753), "", 'Data Entry'!$ī$753)</f>
      </c>
      <c r="IB753">
        <f>IF(ISBLANK('Data Entry'!$Ĭ$753), "", 'Data Entry'!$Ĭ$753)</f>
      </c>
      <c r="IC753">
        <f>IF(ISBLANK('Data Entry'!$ĭ$753), "", 'Data Entry'!$ĭ$753)</f>
      </c>
      <c r="ID753">
        <f>IF(ISBLANK('Data Entry'!$Į$753), "", 'Data Entry'!$Į$753)</f>
      </c>
      <c r="IE753">
        <f>IF(ISBLANK('Data Entry'!$į$753), "", 'Data Entry'!$į$753)</f>
      </c>
      <c r="IF753">
        <f>IF(ISBLANK('Data Entry'!$İ$753), "", 'Data Entry'!$İ$753)</f>
      </c>
      <c r="IG753">
        <f>IF(ISBLANK('Data Entry'!$ı$753), "", 'Data Entry'!$ı$753)</f>
      </c>
      <c r="IH753">
        <f>IF(ISBLANK('Data Entry'!$Ĳ$753), "", 'Data Entry'!$Ĳ$753)</f>
      </c>
      <c r="II753">
        <f>IF(ISBLANK('Data Entry'!$ĳ$753), "", 'Data Entry'!$ĳ$753)</f>
      </c>
      <c r="IJ753">
        <f>IF(ISBLANK('Data Entry'!$Ĵ$753), "", 'Data Entry'!$Ĵ$753)</f>
      </c>
      <c r="IK753">
        <f>IF(ISBLANK('Data Entry'!$ĵ$753), "", 'Data Entry'!$ĵ$753)</f>
      </c>
      <c r="IL753">
        <f>IF(ISBLANK('Data Entry'!$Ķ$753), "", 'Data Entry'!$Ķ$753)</f>
      </c>
      <c r="IM753">
        <f>IF(ISBLANK('Data Entry'!$ķ$753), "", 'Data Entry'!$ķ$753)</f>
      </c>
      <c r="IN753">
        <f>IF(ISBLANK('Data Entry'!$ĸ$753), "", 'Data Entry'!$ĸ$753)</f>
      </c>
      <c r="IO753">
        <f>IF(ISBLANK('Data Entry'!$Ĺ$753), "", 'Data Entry'!$Ĺ$753)</f>
      </c>
      <c r="IP753">
        <f>IF(ISBLANK('Data Entry'!$ĺ$753), "", 'Data Entry'!$ĺ$753)</f>
      </c>
      <c r="IQ753">
        <f>IF(ISBLANK('Data Entry'!$Ļ$753), "", 'Data Entry'!$Ļ$753)</f>
      </c>
      <c r="IR753">
        <f>IF(ISBLANK('Data Entry'!$ļ$753), "", 'Data Entry'!$ļ$753)</f>
      </c>
      <c r="IS753">
        <f>IF(ISBLANK('Data Entry'!$Ľ$753), "", 'Data Entry'!$Ľ$753)</f>
      </c>
      <c r="IT753">
        <f>IF(ISBLANK('Data Entry'!$ľ$753), "", 'Data Entry'!$ľ$753)</f>
      </c>
    </row>
    <row r="754" spans="1:254" x14ac:dyDescent="0.25">
      <c r="A754">
        <f>IF(ISBLANK('Data Entry'!$A$754), "", 'Data Entry'!$A$754)</f>
      </c>
      <c r="B754">
        <f>IF(ISBLANK('Data Entry'!$B$754), "", 'Data Entry'!$B$754)</f>
      </c>
      <c r="C754">
        <f>IF(ISBLANK('Data Entry'!$C$754), "", 'Data Entry'!$C$754)</f>
      </c>
      <c r="D754">
        <f>IF(ISBLANK('Data Entry'!$D$754), "", 'Data Entry'!$D$754)</f>
      </c>
      <c r="E754">
        <f>IF(ISBLANK('Data Entry'!$E$754), "", 'Data Entry'!$E$754)</f>
      </c>
      <c r="F754">
        <f>IF(ISBLANK('Data Entry'!$F$754), "", 'Data Entry'!$F$754)</f>
      </c>
      <c r="G754">
        <f>IF(ISBLANK('Data Entry'!$G$754), "", 'Data Entry'!$G$754)</f>
      </c>
      <c r="H754">
        <f>IF(ISBLANK('Data Entry'!$H$754), "", 'Data Entry'!$H$754)</f>
      </c>
      <c r="I754">
        <f>IF(ISBLANK('Data Entry'!$I$754), "", 'Data Entry'!$I$754)</f>
      </c>
      <c r="J754">
        <f>IF(ISBLANK('Data Entry'!$J$754), "", 'Data Entry'!$J$754)</f>
      </c>
      <c r="K754">
        <f>IF(ISBLANK('Data Entry'!$K$754), "", 'Data Entry'!$K$754)</f>
      </c>
      <c r="L754">
        <f>IF(ISBLANK('Data Entry'!$L$754), "", 'Data Entry'!$L$754)</f>
      </c>
      <c r="M754">
        <f>IF(ISBLANK('Data Entry'!$M$754), "", 'Data Entry'!$M$754)</f>
      </c>
      <c r="N754">
        <f>IF(ISBLANK('Data Entry'!$N$754), "", 'Data Entry'!$N$754)</f>
      </c>
      <c r="O754">
        <f>IF(ISBLANK('Data Entry'!$O$754), "", 'Data Entry'!$O$754)</f>
      </c>
      <c r="P754">
        <f>IF(ISBLANK('Data Entry'!$P$754), "", 'Data Entry'!$P$754)</f>
      </c>
      <c r="Q754">
        <f>IF(ISBLANK('Data Entry'!$Q$754), "", 'Data Entry'!$Q$754)</f>
      </c>
      <c r="R754">
        <f>IF(ISBLANK('Data Entry'!$R$754), "", 'Data Entry'!$R$754)</f>
      </c>
      <c r="S754">
        <f>IF(ISBLANK('Data Entry'!$S$754), "", 'Data Entry'!$S$754)</f>
      </c>
      <c r="T754">
        <f>IF(ISBLANK('Data Entry'!$T$754), "", 'Data Entry'!$T$754)</f>
      </c>
      <c r="U754">
        <f>IF(ISBLANK('Data Entry'!$U$754), "", 'Data Entry'!$U$754)</f>
      </c>
      <c r="V754">
        <f>IF(ISBLANK('Data Entry'!$V$754), "", 'Data Entry'!$V$754)</f>
      </c>
      <c r="W754">
        <f>IF(ISBLANK('Data Entry'!$W$754), "", 'Data Entry'!$W$754)</f>
      </c>
      <c r="X754">
        <f>IF(ISBLANK('Data Entry'!$X$754), "", 'Data Entry'!$X$754)</f>
      </c>
      <c r="Y754">
        <f>IF(ISBLANK('Data Entry'!$Y$754), "", 'Data Entry'!$Y$754)</f>
      </c>
      <c r="Z754">
        <f>IF(ISBLANK('Data Entry'!$Z$754), "", 'Data Entry'!$Z$754)</f>
      </c>
      <c r="AA754">
        <f>IF(ISBLANK('Data Entry'!$[$754), "", 'Data Entry'!$[$754)</f>
      </c>
      <c r="AB754">
        <f>IF(ISBLANK('Data Entry'!$\$754), "", 'Data Entry'!$\$754)</f>
      </c>
      <c r="AC754">
        <f>IF(ISBLANK('Data Entry'!$]$754), "", 'Data Entry'!$]$754)</f>
      </c>
      <c r="AD754">
        <f>IF(ISBLANK('Data Entry'!$^$754), "", 'Data Entry'!$^$754)</f>
      </c>
      <c r="AE754">
        <f>IF(ISBLANK('Data Entry'!$_$754), "", 'Data Entry'!$_$754)</f>
      </c>
      <c r="AF754">
        <f>IF(ISBLANK('Data Entry'!$`$754), "", 'Data Entry'!$`$754)</f>
      </c>
      <c r="AG754">
        <f>IF(ISBLANK('Data Entry'!$a$754), "", 'Data Entry'!$a$754)</f>
      </c>
      <c r="AH754">
        <f>IF(ISBLANK('Data Entry'!$b$754), "", 'Data Entry'!$b$754)</f>
      </c>
      <c r="AI754">
        <f>IF(ISBLANK('Data Entry'!$c$754), "", 'Data Entry'!$c$754)</f>
      </c>
      <c r="AJ754">
        <f>IF(ISBLANK('Data Entry'!$d$754), "", 'Data Entry'!$d$754)</f>
      </c>
      <c r="AK754">
        <f>IF(ISBLANK('Data Entry'!$e$754), "", 'Data Entry'!$e$754)</f>
      </c>
      <c r="AL754">
        <f>IF(ISBLANK('Data Entry'!$f$754), "", 'Data Entry'!$f$754)</f>
      </c>
      <c r="AM754">
        <f>IF(ISBLANK('Data Entry'!$g$754), "", 'Data Entry'!$g$754)</f>
      </c>
      <c r="AN754">
        <f>IF(ISBLANK('Data Entry'!$h$754), "", 'Data Entry'!$h$754)</f>
      </c>
      <c r="AO754">
        <f>IF(ISBLANK('Data Entry'!$i$754), "", 'Data Entry'!$i$754)</f>
      </c>
      <c r="AP754">
        <f>IF(ISBLANK('Data Entry'!$j$754), "", 'Data Entry'!$j$754)</f>
      </c>
      <c r="AQ754">
        <f>IF(ISBLANK('Data Entry'!$k$754), "", 'Data Entry'!$k$754)</f>
      </c>
      <c r="AR754">
        <f>IF(ISBLANK('Data Entry'!$l$754), "", 'Data Entry'!$l$754)</f>
      </c>
      <c r="AS754">
        <f>IF(ISBLANK('Data Entry'!$m$754), "", 'Data Entry'!$m$754)</f>
      </c>
      <c r="AT754">
        <f>IF(ISBLANK('Data Entry'!$n$754), "", 'Data Entry'!$n$754)</f>
      </c>
      <c r="AU754">
        <f>IF(ISBLANK('Data Entry'!$o$754), "", 'Data Entry'!$o$754)</f>
      </c>
      <c r="AV754">
        <f>IF(ISBLANK('Data Entry'!$p$754), "", 'Data Entry'!$p$754)</f>
      </c>
      <c r="AW754">
        <f>IF(ISBLANK('Data Entry'!$q$754), "", 'Data Entry'!$q$754)</f>
      </c>
      <c r="AX754">
        <f>IF(ISBLANK('Data Entry'!$r$754), "", 'Data Entry'!$r$754)</f>
      </c>
      <c r="AY754">
        <f>IF(ISBLANK('Data Entry'!$s$754), "", 'Data Entry'!$s$754)</f>
      </c>
      <c r="AZ754">
        <f>IF(ISBLANK('Data Entry'!$t$754), "", 'Data Entry'!$t$754)</f>
      </c>
      <c r="BA754">
        <f>IF(ISBLANK('Data Entry'!$u$754), "", 'Data Entry'!$u$754)</f>
      </c>
      <c r="BB754">
        <f>IF(ISBLANK('Data Entry'!$v$754), "", 'Data Entry'!$v$754)</f>
      </c>
      <c r="BC754">
        <f>IF(ISBLANK('Data Entry'!$w$754), "", 'Data Entry'!$w$754)</f>
      </c>
      <c r="BD754">
        <f>IF(ISBLANK('Data Entry'!$x$754), "", 'Data Entry'!$x$754)</f>
      </c>
      <c r="BE754">
        <f>IF(ISBLANK('Data Entry'!$y$754), "", 'Data Entry'!$y$754)</f>
      </c>
      <c r="BF754">
        <f>IF(ISBLANK('Data Entry'!$z$754), "", 'Data Entry'!$z$754)</f>
      </c>
      <c r="BG754">
        <f>IF(ISBLANK('Data Entry'!${$754), "", 'Data Entry'!${$754)</f>
      </c>
      <c r="BH754">
        <f>IF(ISBLANK('Data Entry'!$|$754), "", 'Data Entry'!$|$754)</f>
      </c>
      <c r="BI754">
        <f>IF(ISBLANK('Data Entry'!$}$754), "", 'Data Entry'!$}$754)</f>
      </c>
      <c r="BJ754">
        <f>IF(ISBLANK('Data Entry'!$~$754), "", 'Data Entry'!$~$754)</f>
      </c>
      <c r="BK754">
        <f>IF(ISBLANK('Data Entry'!$$754), "", 'Data Entry'!$$754)</f>
      </c>
      <c r="BL754">
        <f>IF(ISBLANK('Data Entry'!$$754), "", 'Data Entry'!$$754)</f>
      </c>
      <c r="BM754">
        <f>IF(ISBLANK('Data Entry'!$$754), "", 'Data Entry'!$$754)</f>
      </c>
      <c r="BN754">
        <f>IF(ISBLANK('Data Entry'!$$754), "", 'Data Entry'!$$754)</f>
      </c>
      <c r="BO754">
        <f>IF(ISBLANK('Data Entry'!$$754), "", 'Data Entry'!$$754)</f>
      </c>
      <c r="BP754">
        <f>IF(ISBLANK('Data Entry'!$$754), "", 'Data Entry'!$$754)</f>
      </c>
      <c r="BQ754">
        <f>IF(ISBLANK('Data Entry'!$$754), "", 'Data Entry'!$$754)</f>
      </c>
      <c r="BR754">
        <f>IF(ISBLANK('Data Entry'!$$754), "", 'Data Entry'!$$754)</f>
      </c>
      <c r="BS754">
        <f>IF(ISBLANK('Data Entry'!$$754), "", 'Data Entry'!$$754)</f>
      </c>
      <c r="BT754">
        <f>IF(ISBLANK('Data Entry'!$$754), "", 'Data Entry'!$$754)</f>
      </c>
      <c r="BU754">
        <f>IF(ISBLANK('Data Entry'!$$754), "", 'Data Entry'!$$754)</f>
      </c>
      <c r="BV754">
        <f>IF(ISBLANK('Data Entry'!$$754), "", 'Data Entry'!$$754)</f>
      </c>
      <c r="BW754">
        <f>IF(ISBLANK('Data Entry'!$$754), "", 'Data Entry'!$$754)</f>
      </c>
      <c r="BX754">
        <f>IF(ISBLANK('Data Entry'!$$754), "", 'Data Entry'!$$754)</f>
      </c>
      <c r="BY754">
        <f>IF(ISBLANK('Data Entry'!$$754), "", 'Data Entry'!$$754)</f>
      </c>
      <c r="BZ754">
        <f>IF(ISBLANK('Data Entry'!$$754), "", 'Data Entry'!$$754)</f>
      </c>
      <c r="CA754">
        <f>IF(ISBLANK('Data Entry'!$$754), "", 'Data Entry'!$$754)</f>
      </c>
      <c r="CB754">
        <f>IF(ISBLANK('Data Entry'!$$754), "", 'Data Entry'!$$754)</f>
      </c>
      <c r="CC754">
        <f>IF(ISBLANK('Data Entry'!$$754), "", 'Data Entry'!$$754)</f>
      </c>
      <c r="CD754">
        <f>IF(ISBLANK('Data Entry'!$$754), "", 'Data Entry'!$$754)</f>
      </c>
      <c r="CE754">
        <f>IF(ISBLANK('Data Entry'!$$754), "", 'Data Entry'!$$754)</f>
      </c>
      <c r="CF754">
        <f>IF(ISBLANK('Data Entry'!$$754), "", 'Data Entry'!$$754)</f>
      </c>
      <c r="CG754">
        <f>IF(ISBLANK('Data Entry'!$$754), "", 'Data Entry'!$$754)</f>
      </c>
      <c r="CH754">
        <f>IF(ISBLANK('Data Entry'!$$754), "", 'Data Entry'!$$754)</f>
      </c>
      <c r="CI754">
        <f>IF(ISBLANK('Data Entry'!$$754), "", 'Data Entry'!$$754)</f>
      </c>
      <c r="CJ754">
        <f>IF(ISBLANK('Data Entry'!$$754), "", 'Data Entry'!$$754)</f>
      </c>
      <c r="CK754">
        <f>IF(ISBLANK('Data Entry'!$$754), "", 'Data Entry'!$$754)</f>
      </c>
      <c r="CL754">
        <f>IF(ISBLANK('Data Entry'!$$754), "", 'Data Entry'!$$754)</f>
      </c>
      <c r="CM754">
        <f>IF(ISBLANK('Data Entry'!$$754), "", 'Data Entry'!$$754)</f>
      </c>
      <c r="CN754">
        <f>IF(ISBLANK('Data Entry'!$$754), "", 'Data Entry'!$$754)</f>
      </c>
      <c r="CO754">
        <f>IF(ISBLANK('Data Entry'!$$754), "", 'Data Entry'!$$754)</f>
      </c>
      <c r="CP754">
        <f>IF(ISBLANK('Data Entry'!$$754), "", 'Data Entry'!$$754)</f>
      </c>
      <c r="CQ754">
        <f>IF(ISBLANK('Data Entry'!$$754), "", 'Data Entry'!$$754)</f>
      </c>
      <c r="CR754">
        <f>IF(ISBLANK('Data Entry'!$ $754), "", 'Data Entry'!$ $754)</f>
      </c>
      <c r="CS754">
        <f>IF(ISBLANK('Data Entry'!$¡$754), "", 'Data Entry'!$¡$754)</f>
      </c>
      <c r="CT754">
        <f>IF(ISBLANK('Data Entry'!$¢$754), "", 'Data Entry'!$¢$754)</f>
      </c>
      <c r="CU754">
        <f>IF(ISBLANK('Data Entry'!$£$754), "", 'Data Entry'!$£$754)</f>
      </c>
      <c r="CV754">
        <f>IF(ISBLANK('Data Entry'!$¤$754), "", 'Data Entry'!$¤$754)</f>
      </c>
      <c r="CW754">
        <f>IF(ISBLANK('Data Entry'!$¥$754), "", 'Data Entry'!$¥$754)</f>
      </c>
      <c r="CX754">
        <f>IF(ISBLANK('Data Entry'!$¦$754), "", 'Data Entry'!$¦$754)</f>
      </c>
      <c r="CY754">
        <f>IF(ISBLANK('Data Entry'!$§$754), "", 'Data Entry'!$§$754)</f>
      </c>
      <c r="CZ754">
        <f>IF(ISBLANK('Data Entry'!$¨$754), "", 'Data Entry'!$¨$754)</f>
      </c>
      <c r="DA754">
        <f>IF(ISBLANK('Data Entry'!$©$754), "", 'Data Entry'!$©$754)</f>
      </c>
      <c r="DB754">
        <f>IF(ISBLANK('Data Entry'!$ª$754), "", 'Data Entry'!$ª$754)</f>
      </c>
      <c r="DC754">
        <f>IF(ISBLANK('Data Entry'!$«$754), "", 'Data Entry'!$«$754)</f>
      </c>
      <c r="DD754">
        <f>IF(ISBLANK('Data Entry'!$¬$754), "", 'Data Entry'!$¬$754)</f>
      </c>
      <c r="DE754">
        <f>IF(ISBLANK('Data Entry'!$­$754), "", 'Data Entry'!$­$754)</f>
      </c>
      <c r="DF754">
        <f>IF(ISBLANK('Data Entry'!$®$754), "", 'Data Entry'!$®$754)</f>
      </c>
      <c r="DG754">
        <f>IF(ISBLANK('Data Entry'!$¯$754), "", 'Data Entry'!$¯$754)</f>
      </c>
      <c r="DH754">
        <f>IF(ISBLANK('Data Entry'!$°$754), "", 'Data Entry'!$°$754)</f>
      </c>
      <c r="DI754">
        <f>IF(ISBLANK('Data Entry'!$±$754), "", 'Data Entry'!$±$754)</f>
      </c>
      <c r="DJ754">
        <f>IF(ISBLANK('Data Entry'!$²$754), "", 'Data Entry'!$²$754)</f>
      </c>
      <c r="DK754">
        <f>IF(ISBLANK('Data Entry'!$³$754), "", 'Data Entry'!$³$754)</f>
      </c>
      <c r="DL754">
        <f>IF(ISBLANK('Data Entry'!$´$754), "", 'Data Entry'!$´$754)</f>
      </c>
      <c r="DM754">
        <f>IF(ISBLANK('Data Entry'!$µ$754), "", 'Data Entry'!$µ$754)</f>
      </c>
      <c r="DN754">
        <f>IF(ISBLANK('Data Entry'!$¶$754), "", 'Data Entry'!$¶$754)</f>
      </c>
      <c r="DO754">
        <f>IF(ISBLANK('Data Entry'!$·$754), "", 'Data Entry'!$·$754)</f>
      </c>
      <c r="DP754">
        <f>IF(ISBLANK('Data Entry'!$¸$754), "", 'Data Entry'!$¸$754)</f>
      </c>
      <c r="DQ754">
        <f>IF(ISBLANK('Data Entry'!$¹$754), "", 'Data Entry'!$¹$754)</f>
      </c>
      <c r="DR754">
        <f>IF(ISBLANK('Data Entry'!$º$754), "", 'Data Entry'!$º$754)</f>
      </c>
      <c r="DS754">
        <f>IF(ISBLANK('Data Entry'!$»$754), "", 'Data Entry'!$»$754)</f>
      </c>
      <c r="DT754">
        <f>IF(ISBLANK('Data Entry'!$¼$754), "", 'Data Entry'!$¼$754)</f>
      </c>
      <c r="DU754">
        <f>IF(ISBLANK('Data Entry'!$½$754), "", 'Data Entry'!$½$754)</f>
      </c>
      <c r="DV754">
        <f>IF(ISBLANK('Data Entry'!$¾$754), "", 'Data Entry'!$¾$754)</f>
      </c>
      <c r="DW754">
        <f>IF(ISBLANK('Data Entry'!$¿$754), "", 'Data Entry'!$¿$754)</f>
      </c>
      <c r="DX754">
        <f>IF(ISBLANK('Data Entry'!$À$754), "", 'Data Entry'!$À$754)</f>
      </c>
      <c r="DY754">
        <f>IF(ISBLANK('Data Entry'!$Á$754), "", 'Data Entry'!$Á$754)</f>
      </c>
      <c r="DZ754">
        <f>IF(ISBLANK('Data Entry'!$Â$754), "", 'Data Entry'!$Â$754)</f>
      </c>
      <c r="EA754">
        <f>IF(ISBLANK('Data Entry'!$Ã$754), "", 'Data Entry'!$Ã$754)</f>
      </c>
      <c r="EB754">
        <f>IF(ISBLANK('Data Entry'!$Ä$754), "", 'Data Entry'!$Ä$754)</f>
      </c>
      <c r="EC754">
        <f>IF(ISBLANK('Data Entry'!$Å$754), "", 'Data Entry'!$Å$754)</f>
      </c>
      <c r="ED754">
        <f>IF(ISBLANK('Data Entry'!$Æ$754), "", 'Data Entry'!$Æ$754)</f>
      </c>
      <c r="EE754">
        <f>IF(ISBLANK('Data Entry'!$Ç$754), "", 'Data Entry'!$Ç$754)</f>
      </c>
      <c r="EF754">
        <f>IF(ISBLANK('Data Entry'!$È$754), "", 'Data Entry'!$È$754)</f>
      </c>
      <c r="EG754">
        <f>IF(ISBLANK('Data Entry'!$É$754), "", 'Data Entry'!$É$754)</f>
      </c>
      <c r="EH754">
        <f>IF(ISBLANK('Data Entry'!$Ê$754), "", 'Data Entry'!$Ê$754)</f>
      </c>
      <c r="EI754">
        <f>IF(ISBLANK('Data Entry'!$Ë$754), "", 'Data Entry'!$Ë$754)</f>
      </c>
      <c r="EJ754">
        <f>IF(ISBLANK('Data Entry'!$Ì$754), "", 'Data Entry'!$Ì$754)</f>
      </c>
      <c r="EK754">
        <f>IF(ISBLANK('Data Entry'!$Í$754), "", 'Data Entry'!$Í$754)</f>
      </c>
      <c r="EL754">
        <f>IF(ISBLANK('Data Entry'!$Î$754), "", 'Data Entry'!$Î$754)</f>
      </c>
      <c r="EM754">
        <f>IF(ISBLANK('Data Entry'!$Ï$754), "", 'Data Entry'!$Ï$754)</f>
      </c>
      <c r="EN754">
        <f>IF(ISBLANK('Data Entry'!$Ð$754), "", 'Data Entry'!$Ð$754)</f>
      </c>
      <c r="EO754">
        <f>IF(ISBLANK('Data Entry'!$Ñ$754), "", 'Data Entry'!$Ñ$754)</f>
      </c>
      <c r="EP754">
        <f>IF(ISBLANK('Data Entry'!$Ò$754), "", 'Data Entry'!$Ò$754)</f>
      </c>
      <c r="EQ754">
        <f>IF(ISBLANK('Data Entry'!$Ó$754), "", 'Data Entry'!$Ó$754)</f>
      </c>
      <c r="ER754">
        <f>IF(ISBLANK('Data Entry'!$Ô$754), "", 'Data Entry'!$Ô$754)</f>
      </c>
      <c r="ES754">
        <f>IF(ISBLANK('Data Entry'!$Õ$754), "", 'Data Entry'!$Õ$754)</f>
      </c>
      <c r="ET754">
        <f>IF(ISBLANK('Data Entry'!$Ö$754), "", 'Data Entry'!$Ö$754)</f>
      </c>
      <c r="EU754">
        <f>IF(ISBLANK('Data Entry'!$×$754), "", 'Data Entry'!$×$754)</f>
      </c>
      <c r="EV754">
        <f>IF(ISBLANK('Data Entry'!$Ø$754), "", 'Data Entry'!$Ø$754)</f>
      </c>
      <c r="EW754">
        <f>IF(ISBLANK('Data Entry'!$Ù$754), "", 'Data Entry'!$Ù$754)</f>
      </c>
      <c r="EX754">
        <f>IF(ISBLANK('Data Entry'!$Ú$754), "", 'Data Entry'!$Ú$754)</f>
      </c>
      <c r="EY754">
        <f>IF(ISBLANK('Data Entry'!$Û$754), "", 'Data Entry'!$Û$754)</f>
      </c>
      <c r="EZ754">
        <f>IF(ISBLANK('Data Entry'!$Ü$754), "", 'Data Entry'!$Ü$754)</f>
      </c>
      <c r="FA754">
        <f>IF(ISBLANK('Data Entry'!$Ý$754), "", 'Data Entry'!$Ý$754)</f>
      </c>
      <c r="FB754">
        <f>IF(ISBLANK('Data Entry'!$Þ$754), "", 'Data Entry'!$Þ$754)</f>
      </c>
      <c r="FC754">
        <f>IF(ISBLANK('Data Entry'!$ß$754), "", 'Data Entry'!$ß$754)</f>
      </c>
      <c r="FD754">
        <f>IF(ISBLANK('Data Entry'!$à$754), "", 'Data Entry'!$à$754)</f>
      </c>
      <c r="FE754">
        <f>IF(ISBLANK('Data Entry'!$á$754), "", 'Data Entry'!$á$754)</f>
      </c>
      <c r="FF754">
        <f>IF(ISBLANK('Data Entry'!$â$754), "", 'Data Entry'!$â$754)</f>
      </c>
      <c r="FG754">
        <f>IF(ISBLANK('Data Entry'!$ã$754), "", 'Data Entry'!$ã$754)</f>
      </c>
      <c r="FH754">
        <f>IF(ISBLANK('Data Entry'!$ä$754), "", 'Data Entry'!$ä$754)</f>
      </c>
      <c r="FI754">
        <f>IF(ISBLANK('Data Entry'!$å$754), "", 'Data Entry'!$å$754)</f>
      </c>
      <c r="FJ754">
        <f>IF(ISBLANK('Data Entry'!$æ$754), "", 'Data Entry'!$æ$754)</f>
      </c>
      <c r="FK754">
        <f>IF(ISBLANK('Data Entry'!$ç$754), "", 'Data Entry'!$ç$754)</f>
      </c>
      <c r="FL754">
        <f>IF(ISBLANK('Data Entry'!$è$754), "", 'Data Entry'!$è$754)</f>
      </c>
      <c r="FM754">
        <f>IF(ISBLANK('Data Entry'!$é$754), "", 'Data Entry'!$é$754)</f>
      </c>
      <c r="FN754">
        <f>IF(ISBLANK('Data Entry'!$ê$754), "", 'Data Entry'!$ê$754)</f>
      </c>
      <c r="FO754">
        <f>IF(ISBLANK('Data Entry'!$ë$754), "", 'Data Entry'!$ë$754)</f>
      </c>
      <c r="FP754">
        <f>IF(ISBLANK('Data Entry'!$ì$754), "", 'Data Entry'!$ì$754)</f>
      </c>
      <c r="FQ754">
        <f>IF(ISBLANK('Data Entry'!$í$754), "", 'Data Entry'!$í$754)</f>
      </c>
      <c r="FR754">
        <f>IF(ISBLANK('Data Entry'!$î$754), "", 'Data Entry'!$î$754)</f>
      </c>
      <c r="FS754">
        <f>IF(ISBLANK('Data Entry'!$ï$754), "", 'Data Entry'!$ï$754)</f>
      </c>
      <c r="FT754">
        <f>IF(ISBLANK('Data Entry'!$ð$754), "", 'Data Entry'!$ð$754)</f>
      </c>
      <c r="FU754">
        <f>IF(ISBLANK('Data Entry'!$ñ$754), "", 'Data Entry'!$ñ$754)</f>
      </c>
      <c r="FV754">
        <f>IF(ISBLANK('Data Entry'!$ò$754), "", 'Data Entry'!$ò$754)</f>
      </c>
      <c r="FW754">
        <f>IF(ISBLANK('Data Entry'!$ó$754), "", 'Data Entry'!$ó$754)</f>
      </c>
      <c r="FX754">
        <f>IF(ISBLANK('Data Entry'!$ô$754), "", 'Data Entry'!$ô$754)</f>
      </c>
      <c r="FY754">
        <f>IF(ISBLANK('Data Entry'!$õ$754), "", 'Data Entry'!$õ$754)</f>
      </c>
      <c r="FZ754">
        <f>IF(ISBLANK('Data Entry'!$ö$754), "", 'Data Entry'!$ö$754)</f>
      </c>
      <c r="GA754">
        <f>IF(ISBLANK('Data Entry'!$÷$754), "", 'Data Entry'!$÷$754)</f>
      </c>
      <c r="GB754">
        <f>IF(ISBLANK('Data Entry'!$ø$754), "", 'Data Entry'!$ø$754)</f>
      </c>
      <c r="GC754">
        <f>IF(ISBLANK('Data Entry'!$ù$754), "", 'Data Entry'!$ù$754)</f>
      </c>
      <c r="GD754">
        <f>IF(ISBLANK('Data Entry'!$ú$754), "", 'Data Entry'!$ú$754)</f>
      </c>
      <c r="GE754">
        <f>IF(ISBLANK('Data Entry'!$û$754), "", 'Data Entry'!$û$754)</f>
      </c>
      <c r="GF754">
        <f>IF(ISBLANK('Data Entry'!$ü$754), "", 'Data Entry'!$ü$754)</f>
      </c>
      <c r="GG754">
        <f>IF(ISBLANK('Data Entry'!$ý$754), "", 'Data Entry'!$ý$754)</f>
      </c>
      <c r="GH754">
        <f>IF(ISBLANK('Data Entry'!$þ$754), "", 'Data Entry'!$þ$754)</f>
      </c>
      <c r="GI754">
        <f>IF(ISBLANK('Data Entry'!$ÿ$754), "", 'Data Entry'!$ÿ$754)</f>
      </c>
      <c r="GJ754">
        <f>IF(ISBLANK('Data Entry'!$Ā$754), "", 'Data Entry'!$Ā$754)</f>
      </c>
      <c r="GK754">
        <f>IF(ISBLANK('Data Entry'!$ā$754), "", 'Data Entry'!$ā$754)</f>
      </c>
      <c r="GL754">
        <f>IF(ISBLANK('Data Entry'!$Ă$754), "", 'Data Entry'!$Ă$754)</f>
      </c>
      <c r="GM754">
        <f>IF(ISBLANK('Data Entry'!$ă$754), "", 'Data Entry'!$ă$754)</f>
      </c>
      <c r="GN754">
        <f>IF(ISBLANK('Data Entry'!$Ą$754), "", 'Data Entry'!$Ą$754)</f>
      </c>
      <c r="GO754">
        <f>IF(ISBLANK('Data Entry'!$ą$754), "", 'Data Entry'!$ą$754)</f>
      </c>
      <c r="GP754">
        <f>IF(ISBLANK('Data Entry'!$Ć$754), "", 'Data Entry'!$Ć$754)</f>
      </c>
      <c r="GQ754">
        <f>IF(ISBLANK('Data Entry'!$ć$754), "", 'Data Entry'!$ć$754)</f>
      </c>
      <c r="GR754">
        <f>IF(ISBLANK('Data Entry'!$Ĉ$754), "", 'Data Entry'!$Ĉ$754)</f>
      </c>
      <c r="GS754">
        <f>IF(ISBLANK('Data Entry'!$ĉ$754), "", 'Data Entry'!$ĉ$754)</f>
      </c>
      <c r="GT754">
        <f>IF(ISBLANK('Data Entry'!$Ċ$754), "", 'Data Entry'!$Ċ$754)</f>
      </c>
      <c r="GU754">
        <f>IF(ISBLANK('Data Entry'!$ċ$754), "", 'Data Entry'!$ċ$754)</f>
      </c>
      <c r="GV754">
        <f>IF(ISBLANK('Data Entry'!$Č$754), "", 'Data Entry'!$Č$754)</f>
      </c>
      <c r="GW754">
        <f>IF(ISBLANK('Data Entry'!$č$754), "", 'Data Entry'!$č$754)</f>
      </c>
      <c r="GX754">
        <f>IF(ISBLANK('Data Entry'!$Ď$754), "", 'Data Entry'!$Ď$754)</f>
      </c>
      <c r="GY754">
        <f>IF(ISBLANK('Data Entry'!$ď$754), "", 'Data Entry'!$ď$754)</f>
      </c>
      <c r="GZ754">
        <f>IF(ISBLANK('Data Entry'!$Đ$754), "", 'Data Entry'!$Đ$754)</f>
      </c>
      <c r="HA754">
        <f>IF(ISBLANK('Data Entry'!$đ$754), "", 'Data Entry'!$đ$754)</f>
      </c>
      <c r="HB754">
        <f>IF(ISBLANK('Data Entry'!$Ē$754), "", 'Data Entry'!$Ē$754)</f>
      </c>
      <c r="HC754">
        <f>IF(ISBLANK('Data Entry'!$ē$754), "", 'Data Entry'!$ē$754)</f>
      </c>
      <c r="HD754">
        <f>IF(ISBLANK('Data Entry'!$Ĕ$754), "", 'Data Entry'!$Ĕ$754)</f>
      </c>
      <c r="HE754">
        <f>IF(ISBLANK('Data Entry'!$ĕ$754), "", 'Data Entry'!$ĕ$754)</f>
      </c>
      <c r="HF754">
        <f>IF(ISBLANK('Data Entry'!$Ė$754), "", 'Data Entry'!$Ė$754)</f>
      </c>
      <c r="HG754">
        <f>IF(ISBLANK('Data Entry'!$ė$754), "", 'Data Entry'!$ė$754)</f>
      </c>
      <c r="HH754">
        <f>IF(ISBLANK('Data Entry'!$Ę$754), "", 'Data Entry'!$Ę$754)</f>
      </c>
      <c r="HI754">
        <f>IF(ISBLANK('Data Entry'!$ę$754), "", 'Data Entry'!$ę$754)</f>
      </c>
      <c r="HJ754">
        <f>IF(ISBLANK('Data Entry'!$Ě$754), "", 'Data Entry'!$Ě$754)</f>
      </c>
      <c r="HK754">
        <f>IF(ISBLANK('Data Entry'!$ě$754), "", 'Data Entry'!$ě$754)</f>
      </c>
      <c r="HL754">
        <f>IF(ISBLANK('Data Entry'!$Ĝ$754), "", 'Data Entry'!$Ĝ$754)</f>
      </c>
      <c r="HM754">
        <f>IF(ISBLANK('Data Entry'!$ĝ$754), "", 'Data Entry'!$ĝ$754)</f>
      </c>
      <c r="HN754">
        <f>IF(ISBLANK('Data Entry'!$Ğ$754), "", 'Data Entry'!$Ğ$754)</f>
      </c>
      <c r="HO754">
        <f>IF(ISBLANK('Data Entry'!$ğ$754), "", 'Data Entry'!$ğ$754)</f>
      </c>
      <c r="HP754">
        <f>IF(ISBLANK('Data Entry'!$Ġ$754), "", 'Data Entry'!$Ġ$754)</f>
      </c>
      <c r="HQ754">
        <f>IF(ISBLANK('Data Entry'!$ġ$754), "", 'Data Entry'!$ġ$754)</f>
      </c>
      <c r="HR754">
        <f>IF(ISBLANK('Data Entry'!$Ģ$754), "", 'Data Entry'!$Ģ$754)</f>
      </c>
      <c r="HS754">
        <f>IF(ISBLANK('Data Entry'!$ģ$754), "", 'Data Entry'!$ģ$754)</f>
      </c>
      <c r="HT754">
        <f>IF(ISBLANK('Data Entry'!$Ĥ$754), "", 'Data Entry'!$Ĥ$754)</f>
      </c>
      <c r="HU754">
        <f>IF(ISBLANK('Data Entry'!$ĥ$754), "", 'Data Entry'!$ĥ$754)</f>
      </c>
      <c r="HV754">
        <f>IF(ISBLANK('Data Entry'!$Ħ$754), "", 'Data Entry'!$Ħ$754)</f>
      </c>
      <c r="HW754">
        <f>IF(ISBLANK('Data Entry'!$ħ$754), "", 'Data Entry'!$ħ$754)</f>
      </c>
      <c r="HX754">
        <f>IF(ISBLANK('Data Entry'!$Ĩ$754), "", 'Data Entry'!$Ĩ$754)</f>
      </c>
      <c r="HY754">
        <f>IF(ISBLANK('Data Entry'!$ĩ$754), "", 'Data Entry'!$ĩ$754)</f>
      </c>
      <c r="HZ754">
        <f>IF(ISBLANK('Data Entry'!$Ī$754), "", 'Data Entry'!$Ī$754)</f>
      </c>
      <c r="IA754">
        <f>IF(ISBLANK('Data Entry'!$ī$754), "", 'Data Entry'!$ī$754)</f>
      </c>
      <c r="IB754">
        <f>IF(ISBLANK('Data Entry'!$Ĭ$754), "", 'Data Entry'!$Ĭ$754)</f>
      </c>
      <c r="IC754">
        <f>IF(ISBLANK('Data Entry'!$ĭ$754), "", 'Data Entry'!$ĭ$754)</f>
      </c>
      <c r="ID754">
        <f>IF(ISBLANK('Data Entry'!$Į$754), "", 'Data Entry'!$Į$754)</f>
      </c>
      <c r="IE754">
        <f>IF(ISBLANK('Data Entry'!$į$754), "", 'Data Entry'!$į$754)</f>
      </c>
      <c r="IF754">
        <f>IF(ISBLANK('Data Entry'!$İ$754), "", 'Data Entry'!$İ$754)</f>
      </c>
      <c r="IG754">
        <f>IF(ISBLANK('Data Entry'!$ı$754), "", 'Data Entry'!$ı$754)</f>
      </c>
      <c r="IH754">
        <f>IF(ISBLANK('Data Entry'!$Ĳ$754), "", 'Data Entry'!$Ĳ$754)</f>
      </c>
      <c r="II754">
        <f>IF(ISBLANK('Data Entry'!$ĳ$754), "", 'Data Entry'!$ĳ$754)</f>
      </c>
      <c r="IJ754">
        <f>IF(ISBLANK('Data Entry'!$Ĵ$754), "", 'Data Entry'!$Ĵ$754)</f>
      </c>
      <c r="IK754">
        <f>IF(ISBLANK('Data Entry'!$ĵ$754), "", 'Data Entry'!$ĵ$754)</f>
      </c>
      <c r="IL754">
        <f>IF(ISBLANK('Data Entry'!$Ķ$754), "", 'Data Entry'!$Ķ$754)</f>
      </c>
      <c r="IM754">
        <f>IF(ISBLANK('Data Entry'!$ķ$754), "", 'Data Entry'!$ķ$754)</f>
      </c>
      <c r="IN754">
        <f>IF(ISBLANK('Data Entry'!$ĸ$754), "", 'Data Entry'!$ĸ$754)</f>
      </c>
      <c r="IO754">
        <f>IF(ISBLANK('Data Entry'!$Ĺ$754), "", 'Data Entry'!$Ĺ$754)</f>
      </c>
      <c r="IP754">
        <f>IF(ISBLANK('Data Entry'!$ĺ$754), "", 'Data Entry'!$ĺ$754)</f>
      </c>
      <c r="IQ754">
        <f>IF(ISBLANK('Data Entry'!$Ļ$754), "", 'Data Entry'!$Ļ$754)</f>
      </c>
      <c r="IR754">
        <f>IF(ISBLANK('Data Entry'!$ļ$754), "", 'Data Entry'!$ļ$754)</f>
      </c>
      <c r="IS754">
        <f>IF(ISBLANK('Data Entry'!$Ľ$754), "", 'Data Entry'!$Ľ$754)</f>
      </c>
      <c r="IT754">
        <f>IF(ISBLANK('Data Entry'!$ľ$754), "", 'Data Entry'!$ľ$754)</f>
      </c>
    </row>
    <row r="755" spans="1:254" x14ac:dyDescent="0.25">
      <c r="A755">
        <f>IF(ISBLANK('Data Entry'!$A$755), "", 'Data Entry'!$A$755)</f>
      </c>
      <c r="B755">
        <f>IF(ISBLANK('Data Entry'!$B$755), "", 'Data Entry'!$B$755)</f>
      </c>
      <c r="C755">
        <f>IF(ISBLANK('Data Entry'!$C$755), "", 'Data Entry'!$C$755)</f>
      </c>
      <c r="D755">
        <f>IF(ISBLANK('Data Entry'!$D$755), "", 'Data Entry'!$D$755)</f>
      </c>
      <c r="E755">
        <f>IF(ISBLANK('Data Entry'!$E$755), "", 'Data Entry'!$E$755)</f>
      </c>
      <c r="F755">
        <f>IF(ISBLANK('Data Entry'!$F$755), "", 'Data Entry'!$F$755)</f>
      </c>
      <c r="G755">
        <f>IF(ISBLANK('Data Entry'!$G$755), "", 'Data Entry'!$G$755)</f>
      </c>
      <c r="H755">
        <f>IF(ISBLANK('Data Entry'!$H$755), "", 'Data Entry'!$H$755)</f>
      </c>
      <c r="I755">
        <f>IF(ISBLANK('Data Entry'!$I$755), "", 'Data Entry'!$I$755)</f>
      </c>
      <c r="J755">
        <f>IF(ISBLANK('Data Entry'!$J$755), "", 'Data Entry'!$J$755)</f>
      </c>
      <c r="K755">
        <f>IF(ISBLANK('Data Entry'!$K$755), "", 'Data Entry'!$K$755)</f>
      </c>
      <c r="L755">
        <f>IF(ISBLANK('Data Entry'!$L$755), "", 'Data Entry'!$L$755)</f>
      </c>
      <c r="M755">
        <f>IF(ISBLANK('Data Entry'!$M$755), "", 'Data Entry'!$M$755)</f>
      </c>
      <c r="N755">
        <f>IF(ISBLANK('Data Entry'!$N$755), "", 'Data Entry'!$N$755)</f>
      </c>
      <c r="O755">
        <f>IF(ISBLANK('Data Entry'!$O$755), "", 'Data Entry'!$O$755)</f>
      </c>
      <c r="P755">
        <f>IF(ISBLANK('Data Entry'!$P$755), "", 'Data Entry'!$P$755)</f>
      </c>
      <c r="Q755">
        <f>IF(ISBLANK('Data Entry'!$Q$755), "", 'Data Entry'!$Q$755)</f>
      </c>
      <c r="R755">
        <f>IF(ISBLANK('Data Entry'!$R$755), "", 'Data Entry'!$R$755)</f>
      </c>
      <c r="S755">
        <f>IF(ISBLANK('Data Entry'!$S$755), "", 'Data Entry'!$S$755)</f>
      </c>
      <c r="T755">
        <f>IF(ISBLANK('Data Entry'!$T$755), "", 'Data Entry'!$T$755)</f>
      </c>
      <c r="U755">
        <f>IF(ISBLANK('Data Entry'!$U$755), "", 'Data Entry'!$U$755)</f>
      </c>
      <c r="V755">
        <f>IF(ISBLANK('Data Entry'!$V$755), "", 'Data Entry'!$V$755)</f>
      </c>
      <c r="W755">
        <f>IF(ISBLANK('Data Entry'!$W$755), "", 'Data Entry'!$W$755)</f>
      </c>
      <c r="X755">
        <f>IF(ISBLANK('Data Entry'!$X$755), "", 'Data Entry'!$X$755)</f>
      </c>
      <c r="Y755">
        <f>IF(ISBLANK('Data Entry'!$Y$755), "", 'Data Entry'!$Y$755)</f>
      </c>
      <c r="Z755">
        <f>IF(ISBLANK('Data Entry'!$Z$755), "", 'Data Entry'!$Z$755)</f>
      </c>
      <c r="AA755">
        <f>IF(ISBLANK('Data Entry'!$[$755), "", 'Data Entry'!$[$755)</f>
      </c>
      <c r="AB755">
        <f>IF(ISBLANK('Data Entry'!$\$755), "", 'Data Entry'!$\$755)</f>
      </c>
      <c r="AC755">
        <f>IF(ISBLANK('Data Entry'!$]$755), "", 'Data Entry'!$]$755)</f>
      </c>
      <c r="AD755">
        <f>IF(ISBLANK('Data Entry'!$^$755), "", 'Data Entry'!$^$755)</f>
      </c>
      <c r="AE755">
        <f>IF(ISBLANK('Data Entry'!$_$755), "", 'Data Entry'!$_$755)</f>
      </c>
      <c r="AF755">
        <f>IF(ISBLANK('Data Entry'!$`$755), "", 'Data Entry'!$`$755)</f>
      </c>
      <c r="AG755">
        <f>IF(ISBLANK('Data Entry'!$a$755), "", 'Data Entry'!$a$755)</f>
      </c>
      <c r="AH755">
        <f>IF(ISBLANK('Data Entry'!$b$755), "", 'Data Entry'!$b$755)</f>
      </c>
      <c r="AI755">
        <f>IF(ISBLANK('Data Entry'!$c$755), "", 'Data Entry'!$c$755)</f>
      </c>
      <c r="AJ755">
        <f>IF(ISBLANK('Data Entry'!$d$755), "", 'Data Entry'!$d$755)</f>
      </c>
      <c r="AK755">
        <f>IF(ISBLANK('Data Entry'!$e$755), "", 'Data Entry'!$e$755)</f>
      </c>
      <c r="AL755">
        <f>IF(ISBLANK('Data Entry'!$f$755), "", 'Data Entry'!$f$755)</f>
      </c>
      <c r="AM755">
        <f>IF(ISBLANK('Data Entry'!$g$755), "", 'Data Entry'!$g$755)</f>
      </c>
      <c r="AN755">
        <f>IF(ISBLANK('Data Entry'!$h$755), "", 'Data Entry'!$h$755)</f>
      </c>
      <c r="AO755">
        <f>IF(ISBLANK('Data Entry'!$i$755), "", 'Data Entry'!$i$755)</f>
      </c>
      <c r="AP755">
        <f>IF(ISBLANK('Data Entry'!$j$755), "", 'Data Entry'!$j$755)</f>
      </c>
      <c r="AQ755">
        <f>IF(ISBLANK('Data Entry'!$k$755), "", 'Data Entry'!$k$755)</f>
      </c>
      <c r="AR755">
        <f>IF(ISBLANK('Data Entry'!$l$755), "", 'Data Entry'!$l$755)</f>
      </c>
      <c r="AS755">
        <f>IF(ISBLANK('Data Entry'!$m$755), "", 'Data Entry'!$m$755)</f>
      </c>
      <c r="AT755">
        <f>IF(ISBLANK('Data Entry'!$n$755), "", 'Data Entry'!$n$755)</f>
      </c>
      <c r="AU755">
        <f>IF(ISBLANK('Data Entry'!$o$755), "", 'Data Entry'!$o$755)</f>
      </c>
      <c r="AV755">
        <f>IF(ISBLANK('Data Entry'!$p$755), "", 'Data Entry'!$p$755)</f>
      </c>
      <c r="AW755">
        <f>IF(ISBLANK('Data Entry'!$q$755), "", 'Data Entry'!$q$755)</f>
      </c>
      <c r="AX755">
        <f>IF(ISBLANK('Data Entry'!$r$755), "", 'Data Entry'!$r$755)</f>
      </c>
      <c r="AY755">
        <f>IF(ISBLANK('Data Entry'!$s$755), "", 'Data Entry'!$s$755)</f>
      </c>
      <c r="AZ755">
        <f>IF(ISBLANK('Data Entry'!$t$755), "", 'Data Entry'!$t$755)</f>
      </c>
      <c r="BA755">
        <f>IF(ISBLANK('Data Entry'!$u$755), "", 'Data Entry'!$u$755)</f>
      </c>
      <c r="BB755">
        <f>IF(ISBLANK('Data Entry'!$v$755), "", 'Data Entry'!$v$755)</f>
      </c>
      <c r="BC755">
        <f>IF(ISBLANK('Data Entry'!$w$755), "", 'Data Entry'!$w$755)</f>
      </c>
      <c r="BD755">
        <f>IF(ISBLANK('Data Entry'!$x$755), "", 'Data Entry'!$x$755)</f>
      </c>
      <c r="BE755">
        <f>IF(ISBLANK('Data Entry'!$y$755), "", 'Data Entry'!$y$755)</f>
      </c>
      <c r="BF755">
        <f>IF(ISBLANK('Data Entry'!$z$755), "", 'Data Entry'!$z$755)</f>
      </c>
      <c r="BG755">
        <f>IF(ISBLANK('Data Entry'!${$755), "", 'Data Entry'!${$755)</f>
      </c>
      <c r="BH755">
        <f>IF(ISBLANK('Data Entry'!$|$755), "", 'Data Entry'!$|$755)</f>
      </c>
      <c r="BI755">
        <f>IF(ISBLANK('Data Entry'!$}$755), "", 'Data Entry'!$}$755)</f>
      </c>
      <c r="BJ755">
        <f>IF(ISBLANK('Data Entry'!$~$755), "", 'Data Entry'!$~$755)</f>
      </c>
      <c r="BK755">
        <f>IF(ISBLANK('Data Entry'!$$755), "", 'Data Entry'!$$755)</f>
      </c>
      <c r="BL755">
        <f>IF(ISBLANK('Data Entry'!$$755), "", 'Data Entry'!$$755)</f>
      </c>
      <c r="BM755">
        <f>IF(ISBLANK('Data Entry'!$$755), "", 'Data Entry'!$$755)</f>
      </c>
      <c r="BN755">
        <f>IF(ISBLANK('Data Entry'!$$755), "", 'Data Entry'!$$755)</f>
      </c>
      <c r="BO755">
        <f>IF(ISBLANK('Data Entry'!$$755), "", 'Data Entry'!$$755)</f>
      </c>
      <c r="BP755">
        <f>IF(ISBLANK('Data Entry'!$$755), "", 'Data Entry'!$$755)</f>
      </c>
      <c r="BQ755">
        <f>IF(ISBLANK('Data Entry'!$$755), "", 'Data Entry'!$$755)</f>
      </c>
      <c r="BR755">
        <f>IF(ISBLANK('Data Entry'!$$755), "", 'Data Entry'!$$755)</f>
      </c>
      <c r="BS755">
        <f>IF(ISBLANK('Data Entry'!$$755), "", 'Data Entry'!$$755)</f>
      </c>
      <c r="BT755">
        <f>IF(ISBLANK('Data Entry'!$$755), "", 'Data Entry'!$$755)</f>
      </c>
      <c r="BU755">
        <f>IF(ISBLANK('Data Entry'!$$755), "", 'Data Entry'!$$755)</f>
      </c>
      <c r="BV755">
        <f>IF(ISBLANK('Data Entry'!$$755), "", 'Data Entry'!$$755)</f>
      </c>
      <c r="BW755">
        <f>IF(ISBLANK('Data Entry'!$$755), "", 'Data Entry'!$$755)</f>
      </c>
      <c r="BX755">
        <f>IF(ISBLANK('Data Entry'!$$755), "", 'Data Entry'!$$755)</f>
      </c>
      <c r="BY755">
        <f>IF(ISBLANK('Data Entry'!$$755), "", 'Data Entry'!$$755)</f>
      </c>
      <c r="BZ755">
        <f>IF(ISBLANK('Data Entry'!$$755), "", 'Data Entry'!$$755)</f>
      </c>
      <c r="CA755">
        <f>IF(ISBLANK('Data Entry'!$$755), "", 'Data Entry'!$$755)</f>
      </c>
      <c r="CB755">
        <f>IF(ISBLANK('Data Entry'!$$755), "", 'Data Entry'!$$755)</f>
      </c>
      <c r="CC755">
        <f>IF(ISBLANK('Data Entry'!$$755), "", 'Data Entry'!$$755)</f>
      </c>
      <c r="CD755">
        <f>IF(ISBLANK('Data Entry'!$$755), "", 'Data Entry'!$$755)</f>
      </c>
      <c r="CE755">
        <f>IF(ISBLANK('Data Entry'!$$755), "", 'Data Entry'!$$755)</f>
      </c>
      <c r="CF755">
        <f>IF(ISBLANK('Data Entry'!$$755), "", 'Data Entry'!$$755)</f>
      </c>
      <c r="CG755">
        <f>IF(ISBLANK('Data Entry'!$$755), "", 'Data Entry'!$$755)</f>
      </c>
      <c r="CH755">
        <f>IF(ISBLANK('Data Entry'!$$755), "", 'Data Entry'!$$755)</f>
      </c>
      <c r="CI755">
        <f>IF(ISBLANK('Data Entry'!$$755), "", 'Data Entry'!$$755)</f>
      </c>
      <c r="CJ755">
        <f>IF(ISBLANK('Data Entry'!$$755), "", 'Data Entry'!$$755)</f>
      </c>
      <c r="CK755">
        <f>IF(ISBLANK('Data Entry'!$$755), "", 'Data Entry'!$$755)</f>
      </c>
      <c r="CL755">
        <f>IF(ISBLANK('Data Entry'!$$755), "", 'Data Entry'!$$755)</f>
      </c>
      <c r="CM755">
        <f>IF(ISBLANK('Data Entry'!$$755), "", 'Data Entry'!$$755)</f>
      </c>
      <c r="CN755">
        <f>IF(ISBLANK('Data Entry'!$$755), "", 'Data Entry'!$$755)</f>
      </c>
      <c r="CO755">
        <f>IF(ISBLANK('Data Entry'!$$755), "", 'Data Entry'!$$755)</f>
      </c>
      <c r="CP755">
        <f>IF(ISBLANK('Data Entry'!$$755), "", 'Data Entry'!$$755)</f>
      </c>
      <c r="CQ755">
        <f>IF(ISBLANK('Data Entry'!$$755), "", 'Data Entry'!$$755)</f>
      </c>
      <c r="CR755">
        <f>IF(ISBLANK('Data Entry'!$ $755), "", 'Data Entry'!$ $755)</f>
      </c>
      <c r="CS755">
        <f>IF(ISBLANK('Data Entry'!$¡$755), "", 'Data Entry'!$¡$755)</f>
      </c>
      <c r="CT755">
        <f>IF(ISBLANK('Data Entry'!$¢$755), "", 'Data Entry'!$¢$755)</f>
      </c>
      <c r="CU755">
        <f>IF(ISBLANK('Data Entry'!$£$755), "", 'Data Entry'!$£$755)</f>
      </c>
      <c r="CV755">
        <f>IF(ISBLANK('Data Entry'!$¤$755), "", 'Data Entry'!$¤$755)</f>
      </c>
      <c r="CW755">
        <f>IF(ISBLANK('Data Entry'!$¥$755), "", 'Data Entry'!$¥$755)</f>
      </c>
      <c r="CX755">
        <f>IF(ISBLANK('Data Entry'!$¦$755), "", 'Data Entry'!$¦$755)</f>
      </c>
      <c r="CY755">
        <f>IF(ISBLANK('Data Entry'!$§$755), "", 'Data Entry'!$§$755)</f>
      </c>
      <c r="CZ755">
        <f>IF(ISBLANK('Data Entry'!$¨$755), "", 'Data Entry'!$¨$755)</f>
      </c>
      <c r="DA755">
        <f>IF(ISBLANK('Data Entry'!$©$755), "", 'Data Entry'!$©$755)</f>
      </c>
      <c r="DB755">
        <f>IF(ISBLANK('Data Entry'!$ª$755), "", 'Data Entry'!$ª$755)</f>
      </c>
      <c r="DC755">
        <f>IF(ISBLANK('Data Entry'!$«$755), "", 'Data Entry'!$«$755)</f>
      </c>
      <c r="DD755">
        <f>IF(ISBLANK('Data Entry'!$¬$755), "", 'Data Entry'!$¬$755)</f>
      </c>
      <c r="DE755">
        <f>IF(ISBLANK('Data Entry'!$­$755), "", 'Data Entry'!$­$755)</f>
      </c>
      <c r="DF755">
        <f>IF(ISBLANK('Data Entry'!$®$755), "", 'Data Entry'!$®$755)</f>
      </c>
      <c r="DG755">
        <f>IF(ISBLANK('Data Entry'!$¯$755), "", 'Data Entry'!$¯$755)</f>
      </c>
      <c r="DH755">
        <f>IF(ISBLANK('Data Entry'!$°$755), "", 'Data Entry'!$°$755)</f>
      </c>
      <c r="DI755">
        <f>IF(ISBLANK('Data Entry'!$±$755), "", 'Data Entry'!$±$755)</f>
      </c>
      <c r="DJ755">
        <f>IF(ISBLANK('Data Entry'!$²$755), "", 'Data Entry'!$²$755)</f>
      </c>
      <c r="DK755">
        <f>IF(ISBLANK('Data Entry'!$³$755), "", 'Data Entry'!$³$755)</f>
      </c>
      <c r="DL755">
        <f>IF(ISBLANK('Data Entry'!$´$755), "", 'Data Entry'!$´$755)</f>
      </c>
      <c r="DM755">
        <f>IF(ISBLANK('Data Entry'!$µ$755), "", 'Data Entry'!$µ$755)</f>
      </c>
      <c r="DN755">
        <f>IF(ISBLANK('Data Entry'!$¶$755), "", 'Data Entry'!$¶$755)</f>
      </c>
      <c r="DO755">
        <f>IF(ISBLANK('Data Entry'!$·$755), "", 'Data Entry'!$·$755)</f>
      </c>
      <c r="DP755">
        <f>IF(ISBLANK('Data Entry'!$¸$755), "", 'Data Entry'!$¸$755)</f>
      </c>
      <c r="DQ755">
        <f>IF(ISBLANK('Data Entry'!$¹$755), "", 'Data Entry'!$¹$755)</f>
      </c>
      <c r="DR755">
        <f>IF(ISBLANK('Data Entry'!$º$755), "", 'Data Entry'!$º$755)</f>
      </c>
      <c r="DS755">
        <f>IF(ISBLANK('Data Entry'!$»$755), "", 'Data Entry'!$»$755)</f>
      </c>
      <c r="DT755">
        <f>IF(ISBLANK('Data Entry'!$¼$755), "", 'Data Entry'!$¼$755)</f>
      </c>
      <c r="DU755">
        <f>IF(ISBLANK('Data Entry'!$½$755), "", 'Data Entry'!$½$755)</f>
      </c>
      <c r="DV755">
        <f>IF(ISBLANK('Data Entry'!$¾$755), "", 'Data Entry'!$¾$755)</f>
      </c>
      <c r="DW755">
        <f>IF(ISBLANK('Data Entry'!$¿$755), "", 'Data Entry'!$¿$755)</f>
      </c>
      <c r="DX755">
        <f>IF(ISBLANK('Data Entry'!$À$755), "", 'Data Entry'!$À$755)</f>
      </c>
      <c r="DY755">
        <f>IF(ISBLANK('Data Entry'!$Á$755), "", 'Data Entry'!$Á$755)</f>
      </c>
      <c r="DZ755">
        <f>IF(ISBLANK('Data Entry'!$Â$755), "", 'Data Entry'!$Â$755)</f>
      </c>
      <c r="EA755">
        <f>IF(ISBLANK('Data Entry'!$Ã$755), "", 'Data Entry'!$Ã$755)</f>
      </c>
      <c r="EB755">
        <f>IF(ISBLANK('Data Entry'!$Ä$755), "", 'Data Entry'!$Ä$755)</f>
      </c>
      <c r="EC755">
        <f>IF(ISBLANK('Data Entry'!$Å$755), "", 'Data Entry'!$Å$755)</f>
      </c>
      <c r="ED755">
        <f>IF(ISBLANK('Data Entry'!$Æ$755), "", 'Data Entry'!$Æ$755)</f>
      </c>
      <c r="EE755">
        <f>IF(ISBLANK('Data Entry'!$Ç$755), "", 'Data Entry'!$Ç$755)</f>
      </c>
      <c r="EF755">
        <f>IF(ISBLANK('Data Entry'!$È$755), "", 'Data Entry'!$È$755)</f>
      </c>
      <c r="EG755">
        <f>IF(ISBLANK('Data Entry'!$É$755), "", 'Data Entry'!$É$755)</f>
      </c>
      <c r="EH755">
        <f>IF(ISBLANK('Data Entry'!$Ê$755), "", 'Data Entry'!$Ê$755)</f>
      </c>
      <c r="EI755">
        <f>IF(ISBLANK('Data Entry'!$Ë$755), "", 'Data Entry'!$Ë$755)</f>
      </c>
      <c r="EJ755">
        <f>IF(ISBLANK('Data Entry'!$Ì$755), "", 'Data Entry'!$Ì$755)</f>
      </c>
      <c r="EK755">
        <f>IF(ISBLANK('Data Entry'!$Í$755), "", 'Data Entry'!$Í$755)</f>
      </c>
      <c r="EL755">
        <f>IF(ISBLANK('Data Entry'!$Î$755), "", 'Data Entry'!$Î$755)</f>
      </c>
      <c r="EM755">
        <f>IF(ISBLANK('Data Entry'!$Ï$755), "", 'Data Entry'!$Ï$755)</f>
      </c>
      <c r="EN755">
        <f>IF(ISBLANK('Data Entry'!$Ð$755), "", 'Data Entry'!$Ð$755)</f>
      </c>
      <c r="EO755">
        <f>IF(ISBLANK('Data Entry'!$Ñ$755), "", 'Data Entry'!$Ñ$755)</f>
      </c>
      <c r="EP755">
        <f>IF(ISBLANK('Data Entry'!$Ò$755), "", 'Data Entry'!$Ò$755)</f>
      </c>
      <c r="EQ755">
        <f>IF(ISBLANK('Data Entry'!$Ó$755), "", 'Data Entry'!$Ó$755)</f>
      </c>
      <c r="ER755">
        <f>IF(ISBLANK('Data Entry'!$Ô$755), "", 'Data Entry'!$Ô$755)</f>
      </c>
      <c r="ES755">
        <f>IF(ISBLANK('Data Entry'!$Õ$755), "", 'Data Entry'!$Õ$755)</f>
      </c>
      <c r="ET755">
        <f>IF(ISBLANK('Data Entry'!$Ö$755), "", 'Data Entry'!$Ö$755)</f>
      </c>
      <c r="EU755">
        <f>IF(ISBLANK('Data Entry'!$×$755), "", 'Data Entry'!$×$755)</f>
      </c>
      <c r="EV755">
        <f>IF(ISBLANK('Data Entry'!$Ø$755), "", 'Data Entry'!$Ø$755)</f>
      </c>
      <c r="EW755">
        <f>IF(ISBLANK('Data Entry'!$Ù$755), "", 'Data Entry'!$Ù$755)</f>
      </c>
      <c r="EX755">
        <f>IF(ISBLANK('Data Entry'!$Ú$755), "", 'Data Entry'!$Ú$755)</f>
      </c>
      <c r="EY755">
        <f>IF(ISBLANK('Data Entry'!$Û$755), "", 'Data Entry'!$Û$755)</f>
      </c>
      <c r="EZ755">
        <f>IF(ISBLANK('Data Entry'!$Ü$755), "", 'Data Entry'!$Ü$755)</f>
      </c>
      <c r="FA755">
        <f>IF(ISBLANK('Data Entry'!$Ý$755), "", 'Data Entry'!$Ý$755)</f>
      </c>
      <c r="FB755">
        <f>IF(ISBLANK('Data Entry'!$Þ$755), "", 'Data Entry'!$Þ$755)</f>
      </c>
      <c r="FC755">
        <f>IF(ISBLANK('Data Entry'!$ß$755), "", 'Data Entry'!$ß$755)</f>
      </c>
      <c r="FD755">
        <f>IF(ISBLANK('Data Entry'!$à$755), "", 'Data Entry'!$à$755)</f>
      </c>
      <c r="FE755">
        <f>IF(ISBLANK('Data Entry'!$á$755), "", 'Data Entry'!$á$755)</f>
      </c>
      <c r="FF755">
        <f>IF(ISBLANK('Data Entry'!$â$755), "", 'Data Entry'!$â$755)</f>
      </c>
      <c r="FG755">
        <f>IF(ISBLANK('Data Entry'!$ã$755), "", 'Data Entry'!$ã$755)</f>
      </c>
      <c r="FH755">
        <f>IF(ISBLANK('Data Entry'!$ä$755), "", 'Data Entry'!$ä$755)</f>
      </c>
      <c r="FI755">
        <f>IF(ISBLANK('Data Entry'!$å$755), "", 'Data Entry'!$å$755)</f>
      </c>
      <c r="FJ755">
        <f>IF(ISBLANK('Data Entry'!$æ$755), "", 'Data Entry'!$æ$755)</f>
      </c>
      <c r="FK755">
        <f>IF(ISBLANK('Data Entry'!$ç$755), "", 'Data Entry'!$ç$755)</f>
      </c>
      <c r="FL755">
        <f>IF(ISBLANK('Data Entry'!$è$755), "", 'Data Entry'!$è$755)</f>
      </c>
      <c r="FM755">
        <f>IF(ISBLANK('Data Entry'!$é$755), "", 'Data Entry'!$é$755)</f>
      </c>
      <c r="FN755">
        <f>IF(ISBLANK('Data Entry'!$ê$755), "", 'Data Entry'!$ê$755)</f>
      </c>
      <c r="FO755">
        <f>IF(ISBLANK('Data Entry'!$ë$755), "", 'Data Entry'!$ë$755)</f>
      </c>
      <c r="FP755">
        <f>IF(ISBLANK('Data Entry'!$ì$755), "", 'Data Entry'!$ì$755)</f>
      </c>
      <c r="FQ755">
        <f>IF(ISBLANK('Data Entry'!$í$755), "", 'Data Entry'!$í$755)</f>
      </c>
      <c r="FR755">
        <f>IF(ISBLANK('Data Entry'!$î$755), "", 'Data Entry'!$î$755)</f>
      </c>
      <c r="FS755">
        <f>IF(ISBLANK('Data Entry'!$ï$755), "", 'Data Entry'!$ï$755)</f>
      </c>
      <c r="FT755">
        <f>IF(ISBLANK('Data Entry'!$ð$755), "", 'Data Entry'!$ð$755)</f>
      </c>
      <c r="FU755">
        <f>IF(ISBLANK('Data Entry'!$ñ$755), "", 'Data Entry'!$ñ$755)</f>
      </c>
      <c r="FV755">
        <f>IF(ISBLANK('Data Entry'!$ò$755), "", 'Data Entry'!$ò$755)</f>
      </c>
      <c r="FW755">
        <f>IF(ISBLANK('Data Entry'!$ó$755), "", 'Data Entry'!$ó$755)</f>
      </c>
      <c r="FX755">
        <f>IF(ISBLANK('Data Entry'!$ô$755), "", 'Data Entry'!$ô$755)</f>
      </c>
      <c r="FY755">
        <f>IF(ISBLANK('Data Entry'!$õ$755), "", 'Data Entry'!$õ$755)</f>
      </c>
      <c r="FZ755">
        <f>IF(ISBLANK('Data Entry'!$ö$755), "", 'Data Entry'!$ö$755)</f>
      </c>
      <c r="GA755">
        <f>IF(ISBLANK('Data Entry'!$÷$755), "", 'Data Entry'!$÷$755)</f>
      </c>
      <c r="GB755">
        <f>IF(ISBLANK('Data Entry'!$ø$755), "", 'Data Entry'!$ø$755)</f>
      </c>
      <c r="GC755">
        <f>IF(ISBLANK('Data Entry'!$ù$755), "", 'Data Entry'!$ù$755)</f>
      </c>
      <c r="GD755">
        <f>IF(ISBLANK('Data Entry'!$ú$755), "", 'Data Entry'!$ú$755)</f>
      </c>
      <c r="GE755">
        <f>IF(ISBLANK('Data Entry'!$û$755), "", 'Data Entry'!$û$755)</f>
      </c>
      <c r="GF755">
        <f>IF(ISBLANK('Data Entry'!$ü$755), "", 'Data Entry'!$ü$755)</f>
      </c>
      <c r="GG755">
        <f>IF(ISBLANK('Data Entry'!$ý$755), "", 'Data Entry'!$ý$755)</f>
      </c>
      <c r="GH755">
        <f>IF(ISBLANK('Data Entry'!$þ$755), "", 'Data Entry'!$þ$755)</f>
      </c>
      <c r="GI755">
        <f>IF(ISBLANK('Data Entry'!$ÿ$755), "", 'Data Entry'!$ÿ$755)</f>
      </c>
      <c r="GJ755">
        <f>IF(ISBLANK('Data Entry'!$Ā$755), "", 'Data Entry'!$Ā$755)</f>
      </c>
      <c r="GK755">
        <f>IF(ISBLANK('Data Entry'!$ā$755), "", 'Data Entry'!$ā$755)</f>
      </c>
      <c r="GL755">
        <f>IF(ISBLANK('Data Entry'!$Ă$755), "", 'Data Entry'!$Ă$755)</f>
      </c>
      <c r="GM755">
        <f>IF(ISBLANK('Data Entry'!$ă$755), "", 'Data Entry'!$ă$755)</f>
      </c>
      <c r="GN755">
        <f>IF(ISBLANK('Data Entry'!$Ą$755), "", 'Data Entry'!$Ą$755)</f>
      </c>
      <c r="GO755">
        <f>IF(ISBLANK('Data Entry'!$ą$755), "", 'Data Entry'!$ą$755)</f>
      </c>
      <c r="GP755">
        <f>IF(ISBLANK('Data Entry'!$Ć$755), "", 'Data Entry'!$Ć$755)</f>
      </c>
      <c r="GQ755">
        <f>IF(ISBLANK('Data Entry'!$ć$755), "", 'Data Entry'!$ć$755)</f>
      </c>
      <c r="GR755">
        <f>IF(ISBLANK('Data Entry'!$Ĉ$755), "", 'Data Entry'!$Ĉ$755)</f>
      </c>
      <c r="GS755">
        <f>IF(ISBLANK('Data Entry'!$ĉ$755), "", 'Data Entry'!$ĉ$755)</f>
      </c>
      <c r="GT755">
        <f>IF(ISBLANK('Data Entry'!$Ċ$755), "", 'Data Entry'!$Ċ$755)</f>
      </c>
      <c r="GU755">
        <f>IF(ISBLANK('Data Entry'!$ċ$755), "", 'Data Entry'!$ċ$755)</f>
      </c>
      <c r="GV755">
        <f>IF(ISBLANK('Data Entry'!$Č$755), "", 'Data Entry'!$Č$755)</f>
      </c>
      <c r="GW755">
        <f>IF(ISBLANK('Data Entry'!$č$755), "", 'Data Entry'!$č$755)</f>
      </c>
      <c r="GX755">
        <f>IF(ISBLANK('Data Entry'!$Ď$755), "", 'Data Entry'!$Ď$755)</f>
      </c>
      <c r="GY755">
        <f>IF(ISBLANK('Data Entry'!$ď$755), "", 'Data Entry'!$ď$755)</f>
      </c>
      <c r="GZ755">
        <f>IF(ISBLANK('Data Entry'!$Đ$755), "", 'Data Entry'!$Đ$755)</f>
      </c>
      <c r="HA755">
        <f>IF(ISBLANK('Data Entry'!$đ$755), "", 'Data Entry'!$đ$755)</f>
      </c>
      <c r="HB755">
        <f>IF(ISBLANK('Data Entry'!$Ē$755), "", 'Data Entry'!$Ē$755)</f>
      </c>
      <c r="HC755">
        <f>IF(ISBLANK('Data Entry'!$ē$755), "", 'Data Entry'!$ē$755)</f>
      </c>
      <c r="HD755">
        <f>IF(ISBLANK('Data Entry'!$Ĕ$755), "", 'Data Entry'!$Ĕ$755)</f>
      </c>
      <c r="HE755">
        <f>IF(ISBLANK('Data Entry'!$ĕ$755), "", 'Data Entry'!$ĕ$755)</f>
      </c>
      <c r="HF755">
        <f>IF(ISBLANK('Data Entry'!$Ė$755), "", 'Data Entry'!$Ė$755)</f>
      </c>
      <c r="HG755">
        <f>IF(ISBLANK('Data Entry'!$ė$755), "", 'Data Entry'!$ė$755)</f>
      </c>
      <c r="HH755">
        <f>IF(ISBLANK('Data Entry'!$Ę$755), "", 'Data Entry'!$Ę$755)</f>
      </c>
      <c r="HI755">
        <f>IF(ISBLANK('Data Entry'!$ę$755), "", 'Data Entry'!$ę$755)</f>
      </c>
      <c r="HJ755">
        <f>IF(ISBLANK('Data Entry'!$Ě$755), "", 'Data Entry'!$Ě$755)</f>
      </c>
      <c r="HK755">
        <f>IF(ISBLANK('Data Entry'!$ě$755), "", 'Data Entry'!$ě$755)</f>
      </c>
      <c r="HL755">
        <f>IF(ISBLANK('Data Entry'!$Ĝ$755), "", 'Data Entry'!$Ĝ$755)</f>
      </c>
      <c r="HM755">
        <f>IF(ISBLANK('Data Entry'!$ĝ$755), "", 'Data Entry'!$ĝ$755)</f>
      </c>
      <c r="HN755">
        <f>IF(ISBLANK('Data Entry'!$Ğ$755), "", 'Data Entry'!$Ğ$755)</f>
      </c>
      <c r="HO755">
        <f>IF(ISBLANK('Data Entry'!$ğ$755), "", 'Data Entry'!$ğ$755)</f>
      </c>
      <c r="HP755">
        <f>IF(ISBLANK('Data Entry'!$Ġ$755), "", 'Data Entry'!$Ġ$755)</f>
      </c>
      <c r="HQ755">
        <f>IF(ISBLANK('Data Entry'!$ġ$755), "", 'Data Entry'!$ġ$755)</f>
      </c>
      <c r="HR755">
        <f>IF(ISBLANK('Data Entry'!$Ģ$755), "", 'Data Entry'!$Ģ$755)</f>
      </c>
      <c r="HS755">
        <f>IF(ISBLANK('Data Entry'!$ģ$755), "", 'Data Entry'!$ģ$755)</f>
      </c>
      <c r="HT755">
        <f>IF(ISBLANK('Data Entry'!$Ĥ$755), "", 'Data Entry'!$Ĥ$755)</f>
      </c>
      <c r="HU755">
        <f>IF(ISBLANK('Data Entry'!$ĥ$755), "", 'Data Entry'!$ĥ$755)</f>
      </c>
      <c r="HV755">
        <f>IF(ISBLANK('Data Entry'!$Ħ$755), "", 'Data Entry'!$Ħ$755)</f>
      </c>
      <c r="HW755">
        <f>IF(ISBLANK('Data Entry'!$ħ$755), "", 'Data Entry'!$ħ$755)</f>
      </c>
      <c r="HX755">
        <f>IF(ISBLANK('Data Entry'!$Ĩ$755), "", 'Data Entry'!$Ĩ$755)</f>
      </c>
      <c r="HY755">
        <f>IF(ISBLANK('Data Entry'!$ĩ$755), "", 'Data Entry'!$ĩ$755)</f>
      </c>
      <c r="HZ755">
        <f>IF(ISBLANK('Data Entry'!$Ī$755), "", 'Data Entry'!$Ī$755)</f>
      </c>
      <c r="IA755">
        <f>IF(ISBLANK('Data Entry'!$ī$755), "", 'Data Entry'!$ī$755)</f>
      </c>
      <c r="IB755">
        <f>IF(ISBLANK('Data Entry'!$Ĭ$755), "", 'Data Entry'!$Ĭ$755)</f>
      </c>
      <c r="IC755">
        <f>IF(ISBLANK('Data Entry'!$ĭ$755), "", 'Data Entry'!$ĭ$755)</f>
      </c>
      <c r="ID755">
        <f>IF(ISBLANK('Data Entry'!$Į$755), "", 'Data Entry'!$Į$755)</f>
      </c>
      <c r="IE755">
        <f>IF(ISBLANK('Data Entry'!$į$755), "", 'Data Entry'!$į$755)</f>
      </c>
      <c r="IF755">
        <f>IF(ISBLANK('Data Entry'!$İ$755), "", 'Data Entry'!$İ$755)</f>
      </c>
      <c r="IG755">
        <f>IF(ISBLANK('Data Entry'!$ı$755), "", 'Data Entry'!$ı$755)</f>
      </c>
      <c r="IH755">
        <f>IF(ISBLANK('Data Entry'!$Ĳ$755), "", 'Data Entry'!$Ĳ$755)</f>
      </c>
      <c r="II755">
        <f>IF(ISBLANK('Data Entry'!$ĳ$755), "", 'Data Entry'!$ĳ$755)</f>
      </c>
      <c r="IJ755">
        <f>IF(ISBLANK('Data Entry'!$Ĵ$755), "", 'Data Entry'!$Ĵ$755)</f>
      </c>
      <c r="IK755">
        <f>IF(ISBLANK('Data Entry'!$ĵ$755), "", 'Data Entry'!$ĵ$755)</f>
      </c>
      <c r="IL755">
        <f>IF(ISBLANK('Data Entry'!$Ķ$755), "", 'Data Entry'!$Ķ$755)</f>
      </c>
      <c r="IM755">
        <f>IF(ISBLANK('Data Entry'!$ķ$755), "", 'Data Entry'!$ķ$755)</f>
      </c>
      <c r="IN755">
        <f>IF(ISBLANK('Data Entry'!$ĸ$755), "", 'Data Entry'!$ĸ$755)</f>
      </c>
      <c r="IO755">
        <f>IF(ISBLANK('Data Entry'!$Ĺ$755), "", 'Data Entry'!$Ĺ$755)</f>
      </c>
      <c r="IP755">
        <f>IF(ISBLANK('Data Entry'!$ĺ$755), "", 'Data Entry'!$ĺ$755)</f>
      </c>
      <c r="IQ755">
        <f>IF(ISBLANK('Data Entry'!$Ļ$755), "", 'Data Entry'!$Ļ$755)</f>
      </c>
      <c r="IR755">
        <f>IF(ISBLANK('Data Entry'!$ļ$755), "", 'Data Entry'!$ļ$755)</f>
      </c>
      <c r="IS755">
        <f>IF(ISBLANK('Data Entry'!$Ľ$755), "", 'Data Entry'!$Ľ$755)</f>
      </c>
      <c r="IT755">
        <f>IF(ISBLANK('Data Entry'!$ľ$755), "", 'Data Entry'!$ľ$755)</f>
      </c>
    </row>
    <row r="756" spans="1:254" x14ac:dyDescent="0.25">
      <c r="A756">
        <f>IF(ISBLANK('Data Entry'!$A$756), "", 'Data Entry'!$A$756)</f>
      </c>
      <c r="B756">
        <f>IF(ISBLANK('Data Entry'!$B$756), "", 'Data Entry'!$B$756)</f>
      </c>
      <c r="C756">
        <f>IF(ISBLANK('Data Entry'!$C$756), "", 'Data Entry'!$C$756)</f>
      </c>
      <c r="D756">
        <f>IF(ISBLANK('Data Entry'!$D$756), "", 'Data Entry'!$D$756)</f>
      </c>
      <c r="E756">
        <f>IF(ISBLANK('Data Entry'!$E$756), "", 'Data Entry'!$E$756)</f>
      </c>
      <c r="F756">
        <f>IF(ISBLANK('Data Entry'!$F$756), "", 'Data Entry'!$F$756)</f>
      </c>
      <c r="G756">
        <f>IF(ISBLANK('Data Entry'!$G$756), "", 'Data Entry'!$G$756)</f>
      </c>
      <c r="H756">
        <f>IF(ISBLANK('Data Entry'!$H$756), "", 'Data Entry'!$H$756)</f>
      </c>
      <c r="I756">
        <f>IF(ISBLANK('Data Entry'!$I$756), "", 'Data Entry'!$I$756)</f>
      </c>
      <c r="J756">
        <f>IF(ISBLANK('Data Entry'!$J$756), "", 'Data Entry'!$J$756)</f>
      </c>
      <c r="K756">
        <f>IF(ISBLANK('Data Entry'!$K$756), "", 'Data Entry'!$K$756)</f>
      </c>
      <c r="L756">
        <f>IF(ISBLANK('Data Entry'!$L$756), "", 'Data Entry'!$L$756)</f>
      </c>
      <c r="M756">
        <f>IF(ISBLANK('Data Entry'!$M$756), "", 'Data Entry'!$M$756)</f>
      </c>
      <c r="N756">
        <f>IF(ISBLANK('Data Entry'!$N$756), "", 'Data Entry'!$N$756)</f>
      </c>
      <c r="O756">
        <f>IF(ISBLANK('Data Entry'!$O$756), "", 'Data Entry'!$O$756)</f>
      </c>
      <c r="P756">
        <f>IF(ISBLANK('Data Entry'!$P$756), "", 'Data Entry'!$P$756)</f>
      </c>
      <c r="Q756">
        <f>IF(ISBLANK('Data Entry'!$Q$756), "", 'Data Entry'!$Q$756)</f>
      </c>
      <c r="R756">
        <f>IF(ISBLANK('Data Entry'!$R$756), "", 'Data Entry'!$R$756)</f>
      </c>
      <c r="S756">
        <f>IF(ISBLANK('Data Entry'!$S$756), "", 'Data Entry'!$S$756)</f>
      </c>
      <c r="T756">
        <f>IF(ISBLANK('Data Entry'!$T$756), "", 'Data Entry'!$T$756)</f>
      </c>
      <c r="U756">
        <f>IF(ISBLANK('Data Entry'!$U$756), "", 'Data Entry'!$U$756)</f>
      </c>
      <c r="V756">
        <f>IF(ISBLANK('Data Entry'!$V$756), "", 'Data Entry'!$V$756)</f>
      </c>
      <c r="W756">
        <f>IF(ISBLANK('Data Entry'!$W$756), "", 'Data Entry'!$W$756)</f>
      </c>
      <c r="X756">
        <f>IF(ISBLANK('Data Entry'!$X$756), "", 'Data Entry'!$X$756)</f>
      </c>
      <c r="Y756">
        <f>IF(ISBLANK('Data Entry'!$Y$756), "", 'Data Entry'!$Y$756)</f>
      </c>
      <c r="Z756">
        <f>IF(ISBLANK('Data Entry'!$Z$756), "", 'Data Entry'!$Z$756)</f>
      </c>
      <c r="AA756">
        <f>IF(ISBLANK('Data Entry'!$[$756), "", 'Data Entry'!$[$756)</f>
      </c>
      <c r="AB756">
        <f>IF(ISBLANK('Data Entry'!$\$756), "", 'Data Entry'!$\$756)</f>
      </c>
      <c r="AC756">
        <f>IF(ISBLANK('Data Entry'!$]$756), "", 'Data Entry'!$]$756)</f>
      </c>
      <c r="AD756">
        <f>IF(ISBLANK('Data Entry'!$^$756), "", 'Data Entry'!$^$756)</f>
      </c>
      <c r="AE756">
        <f>IF(ISBLANK('Data Entry'!$_$756), "", 'Data Entry'!$_$756)</f>
      </c>
      <c r="AF756">
        <f>IF(ISBLANK('Data Entry'!$`$756), "", 'Data Entry'!$`$756)</f>
      </c>
      <c r="AG756">
        <f>IF(ISBLANK('Data Entry'!$a$756), "", 'Data Entry'!$a$756)</f>
      </c>
      <c r="AH756">
        <f>IF(ISBLANK('Data Entry'!$b$756), "", 'Data Entry'!$b$756)</f>
      </c>
      <c r="AI756">
        <f>IF(ISBLANK('Data Entry'!$c$756), "", 'Data Entry'!$c$756)</f>
      </c>
      <c r="AJ756">
        <f>IF(ISBLANK('Data Entry'!$d$756), "", 'Data Entry'!$d$756)</f>
      </c>
      <c r="AK756">
        <f>IF(ISBLANK('Data Entry'!$e$756), "", 'Data Entry'!$e$756)</f>
      </c>
      <c r="AL756">
        <f>IF(ISBLANK('Data Entry'!$f$756), "", 'Data Entry'!$f$756)</f>
      </c>
      <c r="AM756">
        <f>IF(ISBLANK('Data Entry'!$g$756), "", 'Data Entry'!$g$756)</f>
      </c>
      <c r="AN756">
        <f>IF(ISBLANK('Data Entry'!$h$756), "", 'Data Entry'!$h$756)</f>
      </c>
      <c r="AO756">
        <f>IF(ISBLANK('Data Entry'!$i$756), "", 'Data Entry'!$i$756)</f>
      </c>
      <c r="AP756">
        <f>IF(ISBLANK('Data Entry'!$j$756), "", 'Data Entry'!$j$756)</f>
      </c>
      <c r="AQ756">
        <f>IF(ISBLANK('Data Entry'!$k$756), "", 'Data Entry'!$k$756)</f>
      </c>
      <c r="AR756">
        <f>IF(ISBLANK('Data Entry'!$l$756), "", 'Data Entry'!$l$756)</f>
      </c>
      <c r="AS756">
        <f>IF(ISBLANK('Data Entry'!$m$756), "", 'Data Entry'!$m$756)</f>
      </c>
      <c r="AT756">
        <f>IF(ISBLANK('Data Entry'!$n$756), "", 'Data Entry'!$n$756)</f>
      </c>
      <c r="AU756">
        <f>IF(ISBLANK('Data Entry'!$o$756), "", 'Data Entry'!$o$756)</f>
      </c>
      <c r="AV756">
        <f>IF(ISBLANK('Data Entry'!$p$756), "", 'Data Entry'!$p$756)</f>
      </c>
      <c r="AW756">
        <f>IF(ISBLANK('Data Entry'!$q$756), "", 'Data Entry'!$q$756)</f>
      </c>
      <c r="AX756">
        <f>IF(ISBLANK('Data Entry'!$r$756), "", 'Data Entry'!$r$756)</f>
      </c>
      <c r="AY756">
        <f>IF(ISBLANK('Data Entry'!$s$756), "", 'Data Entry'!$s$756)</f>
      </c>
      <c r="AZ756">
        <f>IF(ISBLANK('Data Entry'!$t$756), "", 'Data Entry'!$t$756)</f>
      </c>
      <c r="BA756">
        <f>IF(ISBLANK('Data Entry'!$u$756), "", 'Data Entry'!$u$756)</f>
      </c>
      <c r="BB756">
        <f>IF(ISBLANK('Data Entry'!$v$756), "", 'Data Entry'!$v$756)</f>
      </c>
      <c r="BC756">
        <f>IF(ISBLANK('Data Entry'!$w$756), "", 'Data Entry'!$w$756)</f>
      </c>
      <c r="BD756">
        <f>IF(ISBLANK('Data Entry'!$x$756), "", 'Data Entry'!$x$756)</f>
      </c>
      <c r="BE756">
        <f>IF(ISBLANK('Data Entry'!$y$756), "", 'Data Entry'!$y$756)</f>
      </c>
      <c r="BF756">
        <f>IF(ISBLANK('Data Entry'!$z$756), "", 'Data Entry'!$z$756)</f>
      </c>
      <c r="BG756">
        <f>IF(ISBLANK('Data Entry'!${$756), "", 'Data Entry'!${$756)</f>
      </c>
      <c r="BH756">
        <f>IF(ISBLANK('Data Entry'!$|$756), "", 'Data Entry'!$|$756)</f>
      </c>
      <c r="BI756">
        <f>IF(ISBLANK('Data Entry'!$}$756), "", 'Data Entry'!$}$756)</f>
      </c>
      <c r="BJ756">
        <f>IF(ISBLANK('Data Entry'!$~$756), "", 'Data Entry'!$~$756)</f>
      </c>
      <c r="BK756">
        <f>IF(ISBLANK('Data Entry'!$$756), "", 'Data Entry'!$$756)</f>
      </c>
      <c r="BL756">
        <f>IF(ISBLANK('Data Entry'!$$756), "", 'Data Entry'!$$756)</f>
      </c>
      <c r="BM756">
        <f>IF(ISBLANK('Data Entry'!$$756), "", 'Data Entry'!$$756)</f>
      </c>
      <c r="BN756">
        <f>IF(ISBLANK('Data Entry'!$$756), "", 'Data Entry'!$$756)</f>
      </c>
      <c r="BO756">
        <f>IF(ISBLANK('Data Entry'!$$756), "", 'Data Entry'!$$756)</f>
      </c>
      <c r="BP756">
        <f>IF(ISBLANK('Data Entry'!$$756), "", 'Data Entry'!$$756)</f>
      </c>
      <c r="BQ756">
        <f>IF(ISBLANK('Data Entry'!$$756), "", 'Data Entry'!$$756)</f>
      </c>
      <c r="BR756">
        <f>IF(ISBLANK('Data Entry'!$$756), "", 'Data Entry'!$$756)</f>
      </c>
      <c r="BS756">
        <f>IF(ISBLANK('Data Entry'!$$756), "", 'Data Entry'!$$756)</f>
      </c>
      <c r="BT756">
        <f>IF(ISBLANK('Data Entry'!$$756), "", 'Data Entry'!$$756)</f>
      </c>
      <c r="BU756">
        <f>IF(ISBLANK('Data Entry'!$$756), "", 'Data Entry'!$$756)</f>
      </c>
      <c r="BV756">
        <f>IF(ISBLANK('Data Entry'!$$756), "", 'Data Entry'!$$756)</f>
      </c>
      <c r="BW756">
        <f>IF(ISBLANK('Data Entry'!$$756), "", 'Data Entry'!$$756)</f>
      </c>
      <c r="BX756">
        <f>IF(ISBLANK('Data Entry'!$$756), "", 'Data Entry'!$$756)</f>
      </c>
      <c r="BY756">
        <f>IF(ISBLANK('Data Entry'!$$756), "", 'Data Entry'!$$756)</f>
      </c>
      <c r="BZ756">
        <f>IF(ISBLANK('Data Entry'!$$756), "", 'Data Entry'!$$756)</f>
      </c>
      <c r="CA756">
        <f>IF(ISBLANK('Data Entry'!$$756), "", 'Data Entry'!$$756)</f>
      </c>
      <c r="CB756">
        <f>IF(ISBLANK('Data Entry'!$$756), "", 'Data Entry'!$$756)</f>
      </c>
      <c r="CC756">
        <f>IF(ISBLANK('Data Entry'!$$756), "", 'Data Entry'!$$756)</f>
      </c>
      <c r="CD756">
        <f>IF(ISBLANK('Data Entry'!$$756), "", 'Data Entry'!$$756)</f>
      </c>
      <c r="CE756">
        <f>IF(ISBLANK('Data Entry'!$$756), "", 'Data Entry'!$$756)</f>
      </c>
      <c r="CF756">
        <f>IF(ISBLANK('Data Entry'!$$756), "", 'Data Entry'!$$756)</f>
      </c>
      <c r="CG756">
        <f>IF(ISBLANK('Data Entry'!$$756), "", 'Data Entry'!$$756)</f>
      </c>
      <c r="CH756">
        <f>IF(ISBLANK('Data Entry'!$$756), "", 'Data Entry'!$$756)</f>
      </c>
      <c r="CI756">
        <f>IF(ISBLANK('Data Entry'!$$756), "", 'Data Entry'!$$756)</f>
      </c>
      <c r="CJ756">
        <f>IF(ISBLANK('Data Entry'!$$756), "", 'Data Entry'!$$756)</f>
      </c>
      <c r="CK756">
        <f>IF(ISBLANK('Data Entry'!$$756), "", 'Data Entry'!$$756)</f>
      </c>
      <c r="CL756">
        <f>IF(ISBLANK('Data Entry'!$$756), "", 'Data Entry'!$$756)</f>
      </c>
      <c r="CM756">
        <f>IF(ISBLANK('Data Entry'!$$756), "", 'Data Entry'!$$756)</f>
      </c>
      <c r="CN756">
        <f>IF(ISBLANK('Data Entry'!$$756), "", 'Data Entry'!$$756)</f>
      </c>
      <c r="CO756">
        <f>IF(ISBLANK('Data Entry'!$$756), "", 'Data Entry'!$$756)</f>
      </c>
      <c r="CP756">
        <f>IF(ISBLANK('Data Entry'!$$756), "", 'Data Entry'!$$756)</f>
      </c>
      <c r="CQ756">
        <f>IF(ISBLANK('Data Entry'!$$756), "", 'Data Entry'!$$756)</f>
      </c>
      <c r="CR756">
        <f>IF(ISBLANK('Data Entry'!$ $756), "", 'Data Entry'!$ $756)</f>
      </c>
      <c r="CS756">
        <f>IF(ISBLANK('Data Entry'!$¡$756), "", 'Data Entry'!$¡$756)</f>
      </c>
      <c r="CT756">
        <f>IF(ISBLANK('Data Entry'!$¢$756), "", 'Data Entry'!$¢$756)</f>
      </c>
      <c r="CU756">
        <f>IF(ISBLANK('Data Entry'!$£$756), "", 'Data Entry'!$£$756)</f>
      </c>
      <c r="CV756">
        <f>IF(ISBLANK('Data Entry'!$¤$756), "", 'Data Entry'!$¤$756)</f>
      </c>
      <c r="CW756">
        <f>IF(ISBLANK('Data Entry'!$¥$756), "", 'Data Entry'!$¥$756)</f>
      </c>
      <c r="CX756">
        <f>IF(ISBLANK('Data Entry'!$¦$756), "", 'Data Entry'!$¦$756)</f>
      </c>
      <c r="CY756">
        <f>IF(ISBLANK('Data Entry'!$§$756), "", 'Data Entry'!$§$756)</f>
      </c>
      <c r="CZ756">
        <f>IF(ISBLANK('Data Entry'!$¨$756), "", 'Data Entry'!$¨$756)</f>
      </c>
      <c r="DA756">
        <f>IF(ISBLANK('Data Entry'!$©$756), "", 'Data Entry'!$©$756)</f>
      </c>
      <c r="DB756">
        <f>IF(ISBLANK('Data Entry'!$ª$756), "", 'Data Entry'!$ª$756)</f>
      </c>
      <c r="DC756">
        <f>IF(ISBLANK('Data Entry'!$«$756), "", 'Data Entry'!$«$756)</f>
      </c>
      <c r="DD756">
        <f>IF(ISBLANK('Data Entry'!$¬$756), "", 'Data Entry'!$¬$756)</f>
      </c>
      <c r="DE756">
        <f>IF(ISBLANK('Data Entry'!$­$756), "", 'Data Entry'!$­$756)</f>
      </c>
      <c r="DF756">
        <f>IF(ISBLANK('Data Entry'!$®$756), "", 'Data Entry'!$®$756)</f>
      </c>
      <c r="DG756">
        <f>IF(ISBLANK('Data Entry'!$¯$756), "", 'Data Entry'!$¯$756)</f>
      </c>
      <c r="DH756">
        <f>IF(ISBLANK('Data Entry'!$°$756), "", 'Data Entry'!$°$756)</f>
      </c>
      <c r="DI756">
        <f>IF(ISBLANK('Data Entry'!$±$756), "", 'Data Entry'!$±$756)</f>
      </c>
      <c r="DJ756">
        <f>IF(ISBLANK('Data Entry'!$²$756), "", 'Data Entry'!$²$756)</f>
      </c>
      <c r="DK756">
        <f>IF(ISBLANK('Data Entry'!$³$756), "", 'Data Entry'!$³$756)</f>
      </c>
      <c r="DL756">
        <f>IF(ISBLANK('Data Entry'!$´$756), "", 'Data Entry'!$´$756)</f>
      </c>
      <c r="DM756">
        <f>IF(ISBLANK('Data Entry'!$µ$756), "", 'Data Entry'!$µ$756)</f>
      </c>
      <c r="DN756">
        <f>IF(ISBLANK('Data Entry'!$¶$756), "", 'Data Entry'!$¶$756)</f>
      </c>
      <c r="DO756">
        <f>IF(ISBLANK('Data Entry'!$·$756), "", 'Data Entry'!$·$756)</f>
      </c>
      <c r="DP756">
        <f>IF(ISBLANK('Data Entry'!$¸$756), "", 'Data Entry'!$¸$756)</f>
      </c>
      <c r="DQ756">
        <f>IF(ISBLANK('Data Entry'!$¹$756), "", 'Data Entry'!$¹$756)</f>
      </c>
      <c r="DR756">
        <f>IF(ISBLANK('Data Entry'!$º$756), "", 'Data Entry'!$º$756)</f>
      </c>
      <c r="DS756">
        <f>IF(ISBLANK('Data Entry'!$»$756), "", 'Data Entry'!$»$756)</f>
      </c>
      <c r="DT756">
        <f>IF(ISBLANK('Data Entry'!$¼$756), "", 'Data Entry'!$¼$756)</f>
      </c>
      <c r="DU756">
        <f>IF(ISBLANK('Data Entry'!$½$756), "", 'Data Entry'!$½$756)</f>
      </c>
      <c r="DV756">
        <f>IF(ISBLANK('Data Entry'!$¾$756), "", 'Data Entry'!$¾$756)</f>
      </c>
      <c r="DW756">
        <f>IF(ISBLANK('Data Entry'!$¿$756), "", 'Data Entry'!$¿$756)</f>
      </c>
      <c r="DX756">
        <f>IF(ISBLANK('Data Entry'!$À$756), "", 'Data Entry'!$À$756)</f>
      </c>
      <c r="DY756">
        <f>IF(ISBLANK('Data Entry'!$Á$756), "", 'Data Entry'!$Á$756)</f>
      </c>
      <c r="DZ756">
        <f>IF(ISBLANK('Data Entry'!$Â$756), "", 'Data Entry'!$Â$756)</f>
      </c>
      <c r="EA756">
        <f>IF(ISBLANK('Data Entry'!$Ã$756), "", 'Data Entry'!$Ã$756)</f>
      </c>
      <c r="EB756">
        <f>IF(ISBLANK('Data Entry'!$Ä$756), "", 'Data Entry'!$Ä$756)</f>
      </c>
      <c r="EC756">
        <f>IF(ISBLANK('Data Entry'!$Å$756), "", 'Data Entry'!$Å$756)</f>
      </c>
      <c r="ED756">
        <f>IF(ISBLANK('Data Entry'!$Æ$756), "", 'Data Entry'!$Æ$756)</f>
      </c>
      <c r="EE756">
        <f>IF(ISBLANK('Data Entry'!$Ç$756), "", 'Data Entry'!$Ç$756)</f>
      </c>
      <c r="EF756">
        <f>IF(ISBLANK('Data Entry'!$È$756), "", 'Data Entry'!$È$756)</f>
      </c>
      <c r="EG756">
        <f>IF(ISBLANK('Data Entry'!$É$756), "", 'Data Entry'!$É$756)</f>
      </c>
      <c r="EH756">
        <f>IF(ISBLANK('Data Entry'!$Ê$756), "", 'Data Entry'!$Ê$756)</f>
      </c>
      <c r="EI756">
        <f>IF(ISBLANK('Data Entry'!$Ë$756), "", 'Data Entry'!$Ë$756)</f>
      </c>
      <c r="EJ756">
        <f>IF(ISBLANK('Data Entry'!$Ì$756), "", 'Data Entry'!$Ì$756)</f>
      </c>
      <c r="EK756">
        <f>IF(ISBLANK('Data Entry'!$Í$756), "", 'Data Entry'!$Í$756)</f>
      </c>
      <c r="EL756">
        <f>IF(ISBLANK('Data Entry'!$Î$756), "", 'Data Entry'!$Î$756)</f>
      </c>
      <c r="EM756">
        <f>IF(ISBLANK('Data Entry'!$Ï$756), "", 'Data Entry'!$Ï$756)</f>
      </c>
      <c r="EN756">
        <f>IF(ISBLANK('Data Entry'!$Ð$756), "", 'Data Entry'!$Ð$756)</f>
      </c>
      <c r="EO756">
        <f>IF(ISBLANK('Data Entry'!$Ñ$756), "", 'Data Entry'!$Ñ$756)</f>
      </c>
      <c r="EP756">
        <f>IF(ISBLANK('Data Entry'!$Ò$756), "", 'Data Entry'!$Ò$756)</f>
      </c>
      <c r="EQ756">
        <f>IF(ISBLANK('Data Entry'!$Ó$756), "", 'Data Entry'!$Ó$756)</f>
      </c>
      <c r="ER756">
        <f>IF(ISBLANK('Data Entry'!$Ô$756), "", 'Data Entry'!$Ô$756)</f>
      </c>
      <c r="ES756">
        <f>IF(ISBLANK('Data Entry'!$Õ$756), "", 'Data Entry'!$Õ$756)</f>
      </c>
      <c r="ET756">
        <f>IF(ISBLANK('Data Entry'!$Ö$756), "", 'Data Entry'!$Ö$756)</f>
      </c>
      <c r="EU756">
        <f>IF(ISBLANK('Data Entry'!$×$756), "", 'Data Entry'!$×$756)</f>
      </c>
      <c r="EV756">
        <f>IF(ISBLANK('Data Entry'!$Ø$756), "", 'Data Entry'!$Ø$756)</f>
      </c>
      <c r="EW756">
        <f>IF(ISBLANK('Data Entry'!$Ù$756), "", 'Data Entry'!$Ù$756)</f>
      </c>
      <c r="EX756">
        <f>IF(ISBLANK('Data Entry'!$Ú$756), "", 'Data Entry'!$Ú$756)</f>
      </c>
      <c r="EY756">
        <f>IF(ISBLANK('Data Entry'!$Û$756), "", 'Data Entry'!$Û$756)</f>
      </c>
      <c r="EZ756">
        <f>IF(ISBLANK('Data Entry'!$Ü$756), "", 'Data Entry'!$Ü$756)</f>
      </c>
      <c r="FA756">
        <f>IF(ISBLANK('Data Entry'!$Ý$756), "", 'Data Entry'!$Ý$756)</f>
      </c>
      <c r="FB756">
        <f>IF(ISBLANK('Data Entry'!$Þ$756), "", 'Data Entry'!$Þ$756)</f>
      </c>
      <c r="FC756">
        <f>IF(ISBLANK('Data Entry'!$ß$756), "", 'Data Entry'!$ß$756)</f>
      </c>
      <c r="FD756">
        <f>IF(ISBLANK('Data Entry'!$à$756), "", 'Data Entry'!$à$756)</f>
      </c>
      <c r="FE756">
        <f>IF(ISBLANK('Data Entry'!$á$756), "", 'Data Entry'!$á$756)</f>
      </c>
      <c r="FF756">
        <f>IF(ISBLANK('Data Entry'!$â$756), "", 'Data Entry'!$â$756)</f>
      </c>
      <c r="FG756">
        <f>IF(ISBLANK('Data Entry'!$ã$756), "", 'Data Entry'!$ã$756)</f>
      </c>
      <c r="FH756">
        <f>IF(ISBLANK('Data Entry'!$ä$756), "", 'Data Entry'!$ä$756)</f>
      </c>
      <c r="FI756">
        <f>IF(ISBLANK('Data Entry'!$å$756), "", 'Data Entry'!$å$756)</f>
      </c>
      <c r="FJ756">
        <f>IF(ISBLANK('Data Entry'!$æ$756), "", 'Data Entry'!$æ$756)</f>
      </c>
      <c r="FK756">
        <f>IF(ISBLANK('Data Entry'!$ç$756), "", 'Data Entry'!$ç$756)</f>
      </c>
      <c r="FL756">
        <f>IF(ISBLANK('Data Entry'!$è$756), "", 'Data Entry'!$è$756)</f>
      </c>
      <c r="FM756">
        <f>IF(ISBLANK('Data Entry'!$é$756), "", 'Data Entry'!$é$756)</f>
      </c>
      <c r="FN756">
        <f>IF(ISBLANK('Data Entry'!$ê$756), "", 'Data Entry'!$ê$756)</f>
      </c>
      <c r="FO756">
        <f>IF(ISBLANK('Data Entry'!$ë$756), "", 'Data Entry'!$ë$756)</f>
      </c>
      <c r="FP756">
        <f>IF(ISBLANK('Data Entry'!$ì$756), "", 'Data Entry'!$ì$756)</f>
      </c>
      <c r="FQ756">
        <f>IF(ISBLANK('Data Entry'!$í$756), "", 'Data Entry'!$í$756)</f>
      </c>
      <c r="FR756">
        <f>IF(ISBLANK('Data Entry'!$î$756), "", 'Data Entry'!$î$756)</f>
      </c>
      <c r="FS756">
        <f>IF(ISBLANK('Data Entry'!$ï$756), "", 'Data Entry'!$ï$756)</f>
      </c>
      <c r="FT756">
        <f>IF(ISBLANK('Data Entry'!$ð$756), "", 'Data Entry'!$ð$756)</f>
      </c>
      <c r="FU756">
        <f>IF(ISBLANK('Data Entry'!$ñ$756), "", 'Data Entry'!$ñ$756)</f>
      </c>
      <c r="FV756">
        <f>IF(ISBLANK('Data Entry'!$ò$756), "", 'Data Entry'!$ò$756)</f>
      </c>
      <c r="FW756">
        <f>IF(ISBLANK('Data Entry'!$ó$756), "", 'Data Entry'!$ó$756)</f>
      </c>
      <c r="FX756">
        <f>IF(ISBLANK('Data Entry'!$ô$756), "", 'Data Entry'!$ô$756)</f>
      </c>
      <c r="FY756">
        <f>IF(ISBLANK('Data Entry'!$õ$756), "", 'Data Entry'!$õ$756)</f>
      </c>
      <c r="FZ756">
        <f>IF(ISBLANK('Data Entry'!$ö$756), "", 'Data Entry'!$ö$756)</f>
      </c>
      <c r="GA756">
        <f>IF(ISBLANK('Data Entry'!$÷$756), "", 'Data Entry'!$÷$756)</f>
      </c>
      <c r="GB756">
        <f>IF(ISBLANK('Data Entry'!$ø$756), "", 'Data Entry'!$ø$756)</f>
      </c>
      <c r="GC756">
        <f>IF(ISBLANK('Data Entry'!$ù$756), "", 'Data Entry'!$ù$756)</f>
      </c>
      <c r="GD756">
        <f>IF(ISBLANK('Data Entry'!$ú$756), "", 'Data Entry'!$ú$756)</f>
      </c>
      <c r="GE756">
        <f>IF(ISBLANK('Data Entry'!$û$756), "", 'Data Entry'!$û$756)</f>
      </c>
      <c r="GF756">
        <f>IF(ISBLANK('Data Entry'!$ü$756), "", 'Data Entry'!$ü$756)</f>
      </c>
      <c r="GG756">
        <f>IF(ISBLANK('Data Entry'!$ý$756), "", 'Data Entry'!$ý$756)</f>
      </c>
      <c r="GH756">
        <f>IF(ISBLANK('Data Entry'!$þ$756), "", 'Data Entry'!$þ$756)</f>
      </c>
      <c r="GI756">
        <f>IF(ISBLANK('Data Entry'!$ÿ$756), "", 'Data Entry'!$ÿ$756)</f>
      </c>
      <c r="GJ756">
        <f>IF(ISBLANK('Data Entry'!$Ā$756), "", 'Data Entry'!$Ā$756)</f>
      </c>
      <c r="GK756">
        <f>IF(ISBLANK('Data Entry'!$ā$756), "", 'Data Entry'!$ā$756)</f>
      </c>
      <c r="GL756">
        <f>IF(ISBLANK('Data Entry'!$Ă$756), "", 'Data Entry'!$Ă$756)</f>
      </c>
      <c r="GM756">
        <f>IF(ISBLANK('Data Entry'!$ă$756), "", 'Data Entry'!$ă$756)</f>
      </c>
      <c r="GN756">
        <f>IF(ISBLANK('Data Entry'!$Ą$756), "", 'Data Entry'!$Ą$756)</f>
      </c>
      <c r="GO756">
        <f>IF(ISBLANK('Data Entry'!$ą$756), "", 'Data Entry'!$ą$756)</f>
      </c>
      <c r="GP756">
        <f>IF(ISBLANK('Data Entry'!$Ć$756), "", 'Data Entry'!$Ć$756)</f>
      </c>
      <c r="GQ756">
        <f>IF(ISBLANK('Data Entry'!$ć$756), "", 'Data Entry'!$ć$756)</f>
      </c>
      <c r="GR756">
        <f>IF(ISBLANK('Data Entry'!$Ĉ$756), "", 'Data Entry'!$Ĉ$756)</f>
      </c>
      <c r="GS756">
        <f>IF(ISBLANK('Data Entry'!$ĉ$756), "", 'Data Entry'!$ĉ$756)</f>
      </c>
      <c r="GT756">
        <f>IF(ISBLANK('Data Entry'!$Ċ$756), "", 'Data Entry'!$Ċ$756)</f>
      </c>
      <c r="GU756">
        <f>IF(ISBLANK('Data Entry'!$ċ$756), "", 'Data Entry'!$ċ$756)</f>
      </c>
      <c r="GV756">
        <f>IF(ISBLANK('Data Entry'!$Č$756), "", 'Data Entry'!$Č$756)</f>
      </c>
      <c r="GW756">
        <f>IF(ISBLANK('Data Entry'!$č$756), "", 'Data Entry'!$č$756)</f>
      </c>
      <c r="GX756">
        <f>IF(ISBLANK('Data Entry'!$Ď$756), "", 'Data Entry'!$Ď$756)</f>
      </c>
      <c r="GY756">
        <f>IF(ISBLANK('Data Entry'!$ď$756), "", 'Data Entry'!$ď$756)</f>
      </c>
      <c r="GZ756">
        <f>IF(ISBLANK('Data Entry'!$Đ$756), "", 'Data Entry'!$Đ$756)</f>
      </c>
      <c r="HA756">
        <f>IF(ISBLANK('Data Entry'!$đ$756), "", 'Data Entry'!$đ$756)</f>
      </c>
      <c r="HB756">
        <f>IF(ISBLANK('Data Entry'!$Ē$756), "", 'Data Entry'!$Ē$756)</f>
      </c>
      <c r="HC756">
        <f>IF(ISBLANK('Data Entry'!$ē$756), "", 'Data Entry'!$ē$756)</f>
      </c>
      <c r="HD756">
        <f>IF(ISBLANK('Data Entry'!$Ĕ$756), "", 'Data Entry'!$Ĕ$756)</f>
      </c>
      <c r="HE756">
        <f>IF(ISBLANK('Data Entry'!$ĕ$756), "", 'Data Entry'!$ĕ$756)</f>
      </c>
      <c r="HF756">
        <f>IF(ISBLANK('Data Entry'!$Ė$756), "", 'Data Entry'!$Ė$756)</f>
      </c>
      <c r="HG756">
        <f>IF(ISBLANK('Data Entry'!$ė$756), "", 'Data Entry'!$ė$756)</f>
      </c>
      <c r="HH756">
        <f>IF(ISBLANK('Data Entry'!$Ę$756), "", 'Data Entry'!$Ę$756)</f>
      </c>
      <c r="HI756">
        <f>IF(ISBLANK('Data Entry'!$ę$756), "", 'Data Entry'!$ę$756)</f>
      </c>
      <c r="HJ756">
        <f>IF(ISBLANK('Data Entry'!$Ě$756), "", 'Data Entry'!$Ě$756)</f>
      </c>
      <c r="HK756">
        <f>IF(ISBLANK('Data Entry'!$ě$756), "", 'Data Entry'!$ě$756)</f>
      </c>
      <c r="HL756">
        <f>IF(ISBLANK('Data Entry'!$Ĝ$756), "", 'Data Entry'!$Ĝ$756)</f>
      </c>
      <c r="HM756">
        <f>IF(ISBLANK('Data Entry'!$ĝ$756), "", 'Data Entry'!$ĝ$756)</f>
      </c>
      <c r="HN756">
        <f>IF(ISBLANK('Data Entry'!$Ğ$756), "", 'Data Entry'!$Ğ$756)</f>
      </c>
      <c r="HO756">
        <f>IF(ISBLANK('Data Entry'!$ğ$756), "", 'Data Entry'!$ğ$756)</f>
      </c>
      <c r="HP756">
        <f>IF(ISBLANK('Data Entry'!$Ġ$756), "", 'Data Entry'!$Ġ$756)</f>
      </c>
      <c r="HQ756">
        <f>IF(ISBLANK('Data Entry'!$ġ$756), "", 'Data Entry'!$ġ$756)</f>
      </c>
      <c r="HR756">
        <f>IF(ISBLANK('Data Entry'!$Ģ$756), "", 'Data Entry'!$Ģ$756)</f>
      </c>
      <c r="HS756">
        <f>IF(ISBLANK('Data Entry'!$ģ$756), "", 'Data Entry'!$ģ$756)</f>
      </c>
      <c r="HT756">
        <f>IF(ISBLANK('Data Entry'!$Ĥ$756), "", 'Data Entry'!$Ĥ$756)</f>
      </c>
      <c r="HU756">
        <f>IF(ISBLANK('Data Entry'!$ĥ$756), "", 'Data Entry'!$ĥ$756)</f>
      </c>
      <c r="HV756">
        <f>IF(ISBLANK('Data Entry'!$Ħ$756), "", 'Data Entry'!$Ħ$756)</f>
      </c>
      <c r="HW756">
        <f>IF(ISBLANK('Data Entry'!$ħ$756), "", 'Data Entry'!$ħ$756)</f>
      </c>
      <c r="HX756">
        <f>IF(ISBLANK('Data Entry'!$Ĩ$756), "", 'Data Entry'!$Ĩ$756)</f>
      </c>
      <c r="HY756">
        <f>IF(ISBLANK('Data Entry'!$ĩ$756), "", 'Data Entry'!$ĩ$756)</f>
      </c>
      <c r="HZ756">
        <f>IF(ISBLANK('Data Entry'!$Ī$756), "", 'Data Entry'!$Ī$756)</f>
      </c>
      <c r="IA756">
        <f>IF(ISBLANK('Data Entry'!$ī$756), "", 'Data Entry'!$ī$756)</f>
      </c>
      <c r="IB756">
        <f>IF(ISBLANK('Data Entry'!$Ĭ$756), "", 'Data Entry'!$Ĭ$756)</f>
      </c>
      <c r="IC756">
        <f>IF(ISBLANK('Data Entry'!$ĭ$756), "", 'Data Entry'!$ĭ$756)</f>
      </c>
      <c r="ID756">
        <f>IF(ISBLANK('Data Entry'!$Į$756), "", 'Data Entry'!$Į$756)</f>
      </c>
      <c r="IE756">
        <f>IF(ISBLANK('Data Entry'!$į$756), "", 'Data Entry'!$į$756)</f>
      </c>
      <c r="IF756">
        <f>IF(ISBLANK('Data Entry'!$İ$756), "", 'Data Entry'!$İ$756)</f>
      </c>
      <c r="IG756">
        <f>IF(ISBLANK('Data Entry'!$ı$756), "", 'Data Entry'!$ı$756)</f>
      </c>
      <c r="IH756">
        <f>IF(ISBLANK('Data Entry'!$Ĳ$756), "", 'Data Entry'!$Ĳ$756)</f>
      </c>
      <c r="II756">
        <f>IF(ISBLANK('Data Entry'!$ĳ$756), "", 'Data Entry'!$ĳ$756)</f>
      </c>
      <c r="IJ756">
        <f>IF(ISBLANK('Data Entry'!$Ĵ$756), "", 'Data Entry'!$Ĵ$756)</f>
      </c>
      <c r="IK756">
        <f>IF(ISBLANK('Data Entry'!$ĵ$756), "", 'Data Entry'!$ĵ$756)</f>
      </c>
      <c r="IL756">
        <f>IF(ISBLANK('Data Entry'!$Ķ$756), "", 'Data Entry'!$Ķ$756)</f>
      </c>
      <c r="IM756">
        <f>IF(ISBLANK('Data Entry'!$ķ$756), "", 'Data Entry'!$ķ$756)</f>
      </c>
      <c r="IN756">
        <f>IF(ISBLANK('Data Entry'!$ĸ$756), "", 'Data Entry'!$ĸ$756)</f>
      </c>
      <c r="IO756">
        <f>IF(ISBLANK('Data Entry'!$Ĺ$756), "", 'Data Entry'!$Ĺ$756)</f>
      </c>
      <c r="IP756">
        <f>IF(ISBLANK('Data Entry'!$ĺ$756), "", 'Data Entry'!$ĺ$756)</f>
      </c>
      <c r="IQ756">
        <f>IF(ISBLANK('Data Entry'!$Ļ$756), "", 'Data Entry'!$Ļ$756)</f>
      </c>
      <c r="IR756">
        <f>IF(ISBLANK('Data Entry'!$ļ$756), "", 'Data Entry'!$ļ$756)</f>
      </c>
      <c r="IS756">
        <f>IF(ISBLANK('Data Entry'!$Ľ$756), "", 'Data Entry'!$Ľ$756)</f>
      </c>
      <c r="IT756">
        <f>IF(ISBLANK('Data Entry'!$ľ$756), "", 'Data Entry'!$ľ$756)</f>
      </c>
    </row>
    <row r="757" spans="1:254" x14ac:dyDescent="0.25">
      <c r="A757">
        <f>IF(ISBLANK('Data Entry'!$A$757), "", 'Data Entry'!$A$757)</f>
      </c>
      <c r="B757">
        <f>IF(ISBLANK('Data Entry'!$B$757), "", 'Data Entry'!$B$757)</f>
      </c>
      <c r="C757">
        <f>IF(ISBLANK('Data Entry'!$C$757), "", 'Data Entry'!$C$757)</f>
      </c>
      <c r="D757">
        <f>IF(ISBLANK('Data Entry'!$D$757), "", 'Data Entry'!$D$757)</f>
      </c>
      <c r="E757">
        <f>IF(ISBLANK('Data Entry'!$E$757), "", 'Data Entry'!$E$757)</f>
      </c>
      <c r="F757">
        <f>IF(ISBLANK('Data Entry'!$F$757), "", 'Data Entry'!$F$757)</f>
      </c>
      <c r="G757">
        <f>IF(ISBLANK('Data Entry'!$G$757), "", 'Data Entry'!$G$757)</f>
      </c>
      <c r="H757">
        <f>IF(ISBLANK('Data Entry'!$H$757), "", 'Data Entry'!$H$757)</f>
      </c>
      <c r="I757">
        <f>IF(ISBLANK('Data Entry'!$I$757), "", 'Data Entry'!$I$757)</f>
      </c>
      <c r="J757">
        <f>IF(ISBLANK('Data Entry'!$J$757), "", 'Data Entry'!$J$757)</f>
      </c>
      <c r="K757">
        <f>IF(ISBLANK('Data Entry'!$K$757), "", 'Data Entry'!$K$757)</f>
      </c>
      <c r="L757">
        <f>IF(ISBLANK('Data Entry'!$L$757), "", 'Data Entry'!$L$757)</f>
      </c>
      <c r="M757">
        <f>IF(ISBLANK('Data Entry'!$M$757), "", 'Data Entry'!$M$757)</f>
      </c>
      <c r="N757">
        <f>IF(ISBLANK('Data Entry'!$N$757), "", 'Data Entry'!$N$757)</f>
      </c>
      <c r="O757">
        <f>IF(ISBLANK('Data Entry'!$O$757), "", 'Data Entry'!$O$757)</f>
      </c>
      <c r="P757">
        <f>IF(ISBLANK('Data Entry'!$P$757), "", 'Data Entry'!$P$757)</f>
      </c>
      <c r="Q757">
        <f>IF(ISBLANK('Data Entry'!$Q$757), "", 'Data Entry'!$Q$757)</f>
      </c>
      <c r="R757">
        <f>IF(ISBLANK('Data Entry'!$R$757), "", 'Data Entry'!$R$757)</f>
      </c>
      <c r="S757">
        <f>IF(ISBLANK('Data Entry'!$S$757), "", 'Data Entry'!$S$757)</f>
      </c>
      <c r="T757">
        <f>IF(ISBLANK('Data Entry'!$T$757), "", 'Data Entry'!$T$757)</f>
      </c>
      <c r="U757">
        <f>IF(ISBLANK('Data Entry'!$U$757), "", 'Data Entry'!$U$757)</f>
      </c>
      <c r="V757">
        <f>IF(ISBLANK('Data Entry'!$V$757), "", 'Data Entry'!$V$757)</f>
      </c>
      <c r="W757">
        <f>IF(ISBLANK('Data Entry'!$W$757), "", 'Data Entry'!$W$757)</f>
      </c>
      <c r="X757">
        <f>IF(ISBLANK('Data Entry'!$X$757), "", 'Data Entry'!$X$757)</f>
      </c>
      <c r="Y757">
        <f>IF(ISBLANK('Data Entry'!$Y$757), "", 'Data Entry'!$Y$757)</f>
      </c>
      <c r="Z757">
        <f>IF(ISBLANK('Data Entry'!$Z$757), "", 'Data Entry'!$Z$757)</f>
      </c>
      <c r="AA757">
        <f>IF(ISBLANK('Data Entry'!$[$757), "", 'Data Entry'!$[$757)</f>
      </c>
      <c r="AB757">
        <f>IF(ISBLANK('Data Entry'!$\$757), "", 'Data Entry'!$\$757)</f>
      </c>
      <c r="AC757">
        <f>IF(ISBLANK('Data Entry'!$]$757), "", 'Data Entry'!$]$757)</f>
      </c>
      <c r="AD757">
        <f>IF(ISBLANK('Data Entry'!$^$757), "", 'Data Entry'!$^$757)</f>
      </c>
      <c r="AE757">
        <f>IF(ISBLANK('Data Entry'!$_$757), "", 'Data Entry'!$_$757)</f>
      </c>
      <c r="AF757">
        <f>IF(ISBLANK('Data Entry'!$`$757), "", 'Data Entry'!$`$757)</f>
      </c>
      <c r="AG757">
        <f>IF(ISBLANK('Data Entry'!$a$757), "", 'Data Entry'!$a$757)</f>
      </c>
      <c r="AH757">
        <f>IF(ISBLANK('Data Entry'!$b$757), "", 'Data Entry'!$b$757)</f>
      </c>
      <c r="AI757">
        <f>IF(ISBLANK('Data Entry'!$c$757), "", 'Data Entry'!$c$757)</f>
      </c>
      <c r="AJ757">
        <f>IF(ISBLANK('Data Entry'!$d$757), "", 'Data Entry'!$d$757)</f>
      </c>
      <c r="AK757">
        <f>IF(ISBLANK('Data Entry'!$e$757), "", 'Data Entry'!$e$757)</f>
      </c>
      <c r="AL757">
        <f>IF(ISBLANK('Data Entry'!$f$757), "", 'Data Entry'!$f$757)</f>
      </c>
      <c r="AM757">
        <f>IF(ISBLANK('Data Entry'!$g$757), "", 'Data Entry'!$g$757)</f>
      </c>
      <c r="AN757">
        <f>IF(ISBLANK('Data Entry'!$h$757), "", 'Data Entry'!$h$757)</f>
      </c>
      <c r="AO757">
        <f>IF(ISBLANK('Data Entry'!$i$757), "", 'Data Entry'!$i$757)</f>
      </c>
      <c r="AP757">
        <f>IF(ISBLANK('Data Entry'!$j$757), "", 'Data Entry'!$j$757)</f>
      </c>
      <c r="AQ757">
        <f>IF(ISBLANK('Data Entry'!$k$757), "", 'Data Entry'!$k$757)</f>
      </c>
      <c r="AR757">
        <f>IF(ISBLANK('Data Entry'!$l$757), "", 'Data Entry'!$l$757)</f>
      </c>
      <c r="AS757">
        <f>IF(ISBLANK('Data Entry'!$m$757), "", 'Data Entry'!$m$757)</f>
      </c>
      <c r="AT757">
        <f>IF(ISBLANK('Data Entry'!$n$757), "", 'Data Entry'!$n$757)</f>
      </c>
      <c r="AU757">
        <f>IF(ISBLANK('Data Entry'!$o$757), "", 'Data Entry'!$o$757)</f>
      </c>
      <c r="AV757">
        <f>IF(ISBLANK('Data Entry'!$p$757), "", 'Data Entry'!$p$757)</f>
      </c>
      <c r="AW757">
        <f>IF(ISBLANK('Data Entry'!$q$757), "", 'Data Entry'!$q$757)</f>
      </c>
      <c r="AX757">
        <f>IF(ISBLANK('Data Entry'!$r$757), "", 'Data Entry'!$r$757)</f>
      </c>
      <c r="AY757">
        <f>IF(ISBLANK('Data Entry'!$s$757), "", 'Data Entry'!$s$757)</f>
      </c>
      <c r="AZ757">
        <f>IF(ISBLANK('Data Entry'!$t$757), "", 'Data Entry'!$t$757)</f>
      </c>
      <c r="BA757">
        <f>IF(ISBLANK('Data Entry'!$u$757), "", 'Data Entry'!$u$757)</f>
      </c>
      <c r="BB757">
        <f>IF(ISBLANK('Data Entry'!$v$757), "", 'Data Entry'!$v$757)</f>
      </c>
      <c r="BC757">
        <f>IF(ISBLANK('Data Entry'!$w$757), "", 'Data Entry'!$w$757)</f>
      </c>
      <c r="BD757">
        <f>IF(ISBLANK('Data Entry'!$x$757), "", 'Data Entry'!$x$757)</f>
      </c>
      <c r="BE757">
        <f>IF(ISBLANK('Data Entry'!$y$757), "", 'Data Entry'!$y$757)</f>
      </c>
      <c r="BF757">
        <f>IF(ISBLANK('Data Entry'!$z$757), "", 'Data Entry'!$z$757)</f>
      </c>
      <c r="BG757">
        <f>IF(ISBLANK('Data Entry'!${$757), "", 'Data Entry'!${$757)</f>
      </c>
      <c r="BH757">
        <f>IF(ISBLANK('Data Entry'!$|$757), "", 'Data Entry'!$|$757)</f>
      </c>
      <c r="BI757">
        <f>IF(ISBLANK('Data Entry'!$}$757), "", 'Data Entry'!$}$757)</f>
      </c>
      <c r="BJ757">
        <f>IF(ISBLANK('Data Entry'!$~$757), "", 'Data Entry'!$~$757)</f>
      </c>
      <c r="BK757">
        <f>IF(ISBLANK('Data Entry'!$$757), "", 'Data Entry'!$$757)</f>
      </c>
      <c r="BL757">
        <f>IF(ISBLANK('Data Entry'!$$757), "", 'Data Entry'!$$757)</f>
      </c>
      <c r="BM757">
        <f>IF(ISBLANK('Data Entry'!$$757), "", 'Data Entry'!$$757)</f>
      </c>
      <c r="BN757">
        <f>IF(ISBLANK('Data Entry'!$$757), "", 'Data Entry'!$$757)</f>
      </c>
      <c r="BO757">
        <f>IF(ISBLANK('Data Entry'!$$757), "", 'Data Entry'!$$757)</f>
      </c>
      <c r="BP757">
        <f>IF(ISBLANK('Data Entry'!$$757), "", 'Data Entry'!$$757)</f>
      </c>
      <c r="BQ757">
        <f>IF(ISBLANK('Data Entry'!$$757), "", 'Data Entry'!$$757)</f>
      </c>
      <c r="BR757">
        <f>IF(ISBLANK('Data Entry'!$$757), "", 'Data Entry'!$$757)</f>
      </c>
      <c r="BS757">
        <f>IF(ISBLANK('Data Entry'!$$757), "", 'Data Entry'!$$757)</f>
      </c>
      <c r="BT757">
        <f>IF(ISBLANK('Data Entry'!$$757), "", 'Data Entry'!$$757)</f>
      </c>
      <c r="BU757">
        <f>IF(ISBLANK('Data Entry'!$$757), "", 'Data Entry'!$$757)</f>
      </c>
      <c r="BV757">
        <f>IF(ISBLANK('Data Entry'!$$757), "", 'Data Entry'!$$757)</f>
      </c>
      <c r="BW757">
        <f>IF(ISBLANK('Data Entry'!$$757), "", 'Data Entry'!$$757)</f>
      </c>
      <c r="BX757">
        <f>IF(ISBLANK('Data Entry'!$$757), "", 'Data Entry'!$$757)</f>
      </c>
      <c r="BY757">
        <f>IF(ISBLANK('Data Entry'!$$757), "", 'Data Entry'!$$757)</f>
      </c>
      <c r="BZ757">
        <f>IF(ISBLANK('Data Entry'!$$757), "", 'Data Entry'!$$757)</f>
      </c>
      <c r="CA757">
        <f>IF(ISBLANK('Data Entry'!$$757), "", 'Data Entry'!$$757)</f>
      </c>
      <c r="CB757">
        <f>IF(ISBLANK('Data Entry'!$$757), "", 'Data Entry'!$$757)</f>
      </c>
      <c r="CC757">
        <f>IF(ISBLANK('Data Entry'!$$757), "", 'Data Entry'!$$757)</f>
      </c>
      <c r="CD757">
        <f>IF(ISBLANK('Data Entry'!$$757), "", 'Data Entry'!$$757)</f>
      </c>
      <c r="CE757">
        <f>IF(ISBLANK('Data Entry'!$$757), "", 'Data Entry'!$$757)</f>
      </c>
      <c r="CF757">
        <f>IF(ISBLANK('Data Entry'!$$757), "", 'Data Entry'!$$757)</f>
      </c>
      <c r="CG757">
        <f>IF(ISBLANK('Data Entry'!$$757), "", 'Data Entry'!$$757)</f>
      </c>
      <c r="CH757">
        <f>IF(ISBLANK('Data Entry'!$$757), "", 'Data Entry'!$$757)</f>
      </c>
      <c r="CI757">
        <f>IF(ISBLANK('Data Entry'!$$757), "", 'Data Entry'!$$757)</f>
      </c>
      <c r="CJ757">
        <f>IF(ISBLANK('Data Entry'!$$757), "", 'Data Entry'!$$757)</f>
      </c>
      <c r="CK757">
        <f>IF(ISBLANK('Data Entry'!$$757), "", 'Data Entry'!$$757)</f>
      </c>
      <c r="CL757">
        <f>IF(ISBLANK('Data Entry'!$$757), "", 'Data Entry'!$$757)</f>
      </c>
      <c r="CM757">
        <f>IF(ISBLANK('Data Entry'!$$757), "", 'Data Entry'!$$757)</f>
      </c>
      <c r="CN757">
        <f>IF(ISBLANK('Data Entry'!$$757), "", 'Data Entry'!$$757)</f>
      </c>
      <c r="CO757">
        <f>IF(ISBLANK('Data Entry'!$$757), "", 'Data Entry'!$$757)</f>
      </c>
      <c r="CP757">
        <f>IF(ISBLANK('Data Entry'!$$757), "", 'Data Entry'!$$757)</f>
      </c>
      <c r="CQ757">
        <f>IF(ISBLANK('Data Entry'!$$757), "", 'Data Entry'!$$757)</f>
      </c>
      <c r="CR757">
        <f>IF(ISBLANK('Data Entry'!$ $757), "", 'Data Entry'!$ $757)</f>
      </c>
      <c r="CS757">
        <f>IF(ISBLANK('Data Entry'!$¡$757), "", 'Data Entry'!$¡$757)</f>
      </c>
      <c r="CT757">
        <f>IF(ISBLANK('Data Entry'!$¢$757), "", 'Data Entry'!$¢$757)</f>
      </c>
      <c r="CU757">
        <f>IF(ISBLANK('Data Entry'!$£$757), "", 'Data Entry'!$£$757)</f>
      </c>
      <c r="CV757">
        <f>IF(ISBLANK('Data Entry'!$¤$757), "", 'Data Entry'!$¤$757)</f>
      </c>
      <c r="CW757">
        <f>IF(ISBLANK('Data Entry'!$¥$757), "", 'Data Entry'!$¥$757)</f>
      </c>
      <c r="CX757">
        <f>IF(ISBLANK('Data Entry'!$¦$757), "", 'Data Entry'!$¦$757)</f>
      </c>
      <c r="CY757">
        <f>IF(ISBLANK('Data Entry'!$§$757), "", 'Data Entry'!$§$757)</f>
      </c>
      <c r="CZ757">
        <f>IF(ISBLANK('Data Entry'!$¨$757), "", 'Data Entry'!$¨$757)</f>
      </c>
      <c r="DA757">
        <f>IF(ISBLANK('Data Entry'!$©$757), "", 'Data Entry'!$©$757)</f>
      </c>
      <c r="DB757">
        <f>IF(ISBLANK('Data Entry'!$ª$757), "", 'Data Entry'!$ª$757)</f>
      </c>
      <c r="DC757">
        <f>IF(ISBLANK('Data Entry'!$«$757), "", 'Data Entry'!$«$757)</f>
      </c>
      <c r="DD757">
        <f>IF(ISBLANK('Data Entry'!$¬$757), "", 'Data Entry'!$¬$757)</f>
      </c>
      <c r="DE757">
        <f>IF(ISBLANK('Data Entry'!$­$757), "", 'Data Entry'!$­$757)</f>
      </c>
      <c r="DF757">
        <f>IF(ISBLANK('Data Entry'!$®$757), "", 'Data Entry'!$®$757)</f>
      </c>
      <c r="DG757">
        <f>IF(ISBLANK('Data Entry'!$¯$757), "", 'Data Entry'!$¯$757)</f>
      </c>
      <c r="DH757">
        <f>IF(ISBLANK('Data Entry'!$°$757), "", 'Data Entry'!$°$757)</f>
      </c>
      <c r="DI757">
        <f>IF(ISBLANK('Data Entry'!$±$757), "", 'Data Entry'!$±$757)</f>
      </c>
      <c r="DJ757">
        <f>IF(ISBLANK('Data Entry'!$²$757), "", 'Data Entry'!$²$757)</f>
      </c>
      <c r="DK757">
        <f>IF(ISBLANK('Data Entry'!$³$757), "", 'Data Entry'!$³$757)</f>
      </c>
      <c r="DL757">
        <f>IF(ISBLANK('Data Entry'!$´$757), "", 'Data Entry'!$´$757)</f>
      </c>
      <c r="DM757">
        <f>IF(ISBLANK('Data Entry'!$µ$757), "", 'Data Entry'!$µ$757)</f>
      </c>
      <c r="DN757">
        <f>IF(ISBLANK('Data Entry'!$¶$757), "", 'Data Entry'!$¶$757)</f>
      </c>
      <c r="DO757">
        <f>IF(ISBLANK('Data Entry'!$·$757), "", 'Data Entry'!$·$757)</f>
      </c>
      <c r="DP757">
        <f>IF(ISBLANK('Data Entry'!$¸$757), "", 'Data Entry'!$¸$757)</f>
      </c>
      <c r="DQ757">
        <f>IF(ISBLANK('Data Entry'!$¹$757), "", 'Data Entry'!$¹$757)</f>
      </c>
      <c r="DR757">
        <f>IF(ISBLANK('Data Entry'!$º$757), "", 'Data Entry'!$º$757)</f>
      </c>
      <c r="DS757">
        <f>IF(ISBLANK('Data Entry'!$»$757), "", 'Data Entry'!$»$757)</f>
      </c>
      <c r="DT757">
        <f>IF(ISBLANK('Data Entry'!$¼$757), "", 'Data Entry'!$¼$757)</f>
      </c>
      <c r="DU757">
        <f>IF(ISBLANK('Data Entry'!$½$757), "", 'Data Entry'!$½$757)</f>
      </c>
      <c r="DV757">
        <f>IF(ISBLANK('Data Entry'!$¾$757), "", 'Data Entry'!$¾$757)</f>
      </c>
      <c r="DW757">
        <f>IF(ISBLANK('Data Entry'!$¿$757), "", 'Data Entry'!$¿$757)</f>
      </c>
      <c r="DX757">
        <f>IF(ISBLANK('Data Entry'!$À$757), "", 'Data Entry'!$À$757)</f>
      </c>
      <c r="DY757">
        <f>IF(ISBLANK('Data Entry'!$Á$757), "", 'Data Entry'!$Á$757)</f>
      </c>
      <c r="DZ757">
        <f>IF(ISBLANK('Data Entry'!$Â$757), "", 'Data Entry'!$Â$757)</f>
      </c>
      <c r="EA757">
        <f>IF(ISBLANK('Data Entry'!$Ã$757), "", 'Data Entry'!$Ã$757)</f>
      </c>
      <c r="EB757">
        <f>IF(ISBLANK('Data Entry'!$Ä$757), "", 'Data Entry'!$Ä$757)</f>
      </c>
      <c r="EC757">
        <f>IF(ISBLANK('Data Entry'!$Å$757), "", 'Data Entry'!$Å$757)</f>
      </c>
      <c r="ED757">
        <f>IF(ISBLANK('Data Entry'!$Æ$757), "", 'Data Entry'!$Æ$757)</f>
      </c>
      <c r="EE757">
        <f>IF(ISBLANK('Data Entry'!$Ç$757), "", 'Data Entry'!$Ç$757)</f>
      </c>
      <c r="EF757">
        <f>IF(ISBLANK('Data Entry'!$È$757), "", 'Data Entry'!$È$757)</f>
      </c>
      <c r="EG757">
        <f>IF(ISBLANK('Data Entry'!$É$757), "", 'Data Entry'!$É$757)</f>
      </c>
      <c r="EH757">
        <f>IF(ISBLANK('Data Entry'!$Ê$757), "", 'Data Entry'!$Ê$757)</f>
      </c>
      <c r="EI757">
        <f>IF(ISBLANK('Data Entry'!$Ë$757), "", 'Data Entry'!$Ë$757)</f>
      </c>
      <c r="EJ757">
        <f>IF(ISBLANK('Data Entry'!$Ì$757), "", 'Data Entry'!$Ì$757)</f>
      </c>
      <c r="EK757">
        <f>IF(ISBLANK('Data Entry'!$Í$757), "", 'Data Entry'!$Í$757)</f>
      </c>
      <c r="EL757">
        <f>IF(ISBLANK('Data Entry'!$Î$757), "", 'Data Entry'!$Î$757)</f>
      </c>
      <c r="EM757">
        <f>IF(ISBLANK('Data Entry'!$Ï$757), "", 'Data Entry'!$Ï$757)</f>
      </c>
      <c r="EN757">
        <f>IF(ISBLANK('Data Entry'!$Ð$757), "", 'Data Entry'!$Ð$757)</f>
      </c>
      <c r="EO757">
        <f>IF(ISBLANK('Data Entry'!$Ñ$757), "", 'Data Entry'!$Ñ$757)</f>
      </c>
      <c r="EP757">
        <f>IF(ISBLANK('Data Entry'!$Ò$757), "", 'Data Entry'!$Ò$757)</f>
      </c>
      <c r="EQ757">
        <f>IF(ISBLANK('Data Entry'!$Ó$757), "", 'Data Entry'!$Ó$757)</f>
      </c>
      <c r="ER757">
        <f>IF(ISBLANK('Data Entry'!$Ô$757), "", 'Data Entry'!$Ô$757)</f>
      </c>
      <c r="ES757">
        <f>IF(ISBLANK('Data Entry'!$Õ$757), "", 'Data Entry'!$Õ$757)</f>
      </c>
      <c r="ET757">
        <f>IF(ISBLANK('Data Entry'!$Ö$757), "", 'Data Entry'!$Ö$757)</f>
      </c>
      <c r="EU757">
        <f>IF(ISBLANK('Data Entry'!$×$757), "", 'Data Entry'!$×$757)</f>
      </c>
      <c r="EV757">
        <f>IF(ISBLANK('Data Entry'!$Ø$757), "", 'Data Entry'!$Ø$757)</f>
      </c>
      <c r="EW757">
        <f>IF(ISBLANK('Data Entry'!$Ù$757), "", 'Data Entry'!$Ù$757)</f>
      </c>
      <c r="EX757">
        <f>IF(ISBLANK('Data Entry'!$Ú$757), "", 'Data Entry'!$Ú$757)</f>
      </c>
      <c r="EY757">
        <f>IF(ISBLANK('Data Entry'!$Û$757), "", 'Data Entry'!$Û$757)</f>
      </c>
      <c r="EZ757">
        <f>IF(ISBLANK('Data Entry'!$Ü$757), "", 'Data Entry'!$Ü$757)</f>
      </c>
      <c r="FA757">
        <f>IF(ISBLANK('Data Entry'!$Ý$757), "", 'Data Entry'!$Ý$757)</f>
      </c>
      <c r="FB757">
        <f>IF(ISBLANK('Data Entry'!$Þ$757), "", 'Data Entry'!$Þ$757)</f>
      </c>
      <c r="FC757">
        <f>IF(ISBLANK('Data Entry'!$ß$757), "", 'Data Entry'!$ß$757)</f>
      </c>
      <c r="FD757">
        <f>IF(ISBLANK('Data Entry'!$à$757), "", 'Data Entry'!$à$757)</f>
      </c>
      <c r="FE757">
        <f>IF(ISBLANK('Data Entry'!$á$757), "", 'Data Entry'!$á$757)</f>
      </c>
      <c r="FF757">
        <f>IF(ISBLANK('Data Entry'!$â$757), "", 'Data Entry'!$â$757)</f>
      </c>
      <c r="FG757">
        <f>IF(ISBLANK('Data Entry'!$ã$757), "", 'Data Entry'!$ã$757)</f>
      </c>
      <c r="FH757">
        <f>IF(ISBLANK('Data Entry'!$ä$757), "", 'Data Entry'!$ä$757)</f>
      </c>
      <c r="FI757">
        <f>IF(ISBLANK('Data Entry'!$å$757), "", 'Data Entry'!$å$757)</f>
      </c>
      <c r="FJ757">
        <f>IF(ISBLANK('Data Entry'!$æ$757), "", 'Data Entry'!$æ$757)</f>
      </c>
      <c r="FK757">
        <f>IF(ISBLANK('Data Entry'!$ç$757), "", 'Data Entry'!$ç$757)</f>
      </c>
      <c r="FL757">
        <f>IF(ISBLANK('Data Entry'!$è$757), "", 'Data Entry'!$è$757)</f>
      </c>
      <c r="FM757">
        <f>IF(ISBLANK('Data Entry'!$é$757), "", 'Data Entry'!$é$757)</f>
      </c>
      <c r="FN757">
        <f>IF(ISBLANK('Data Entry'!$ê$757), "", 'Data Entry'!$ê$757)</f>
      </c>
      <c r="FO757">
        <f>IF(ISBLANK('Data Entry'!$ë$757), "", 'Data Entry'!$ë$757)</f>
      </c>
      <c r="FP757">
        <f>IF(ISBLANK('Data Entry'!$ì$757), "", 'Data Entry'!$ì$757)</f>
      </c>
      <c r="FQ757">
        <f>IF(ISBLANK('Data Entry'!$í$757), "", 'Data Entry'!$í$757)</f>
      </c>
      <c r="FR757">
        <f>IF(ISBLANK('Data Entry'!$î$757), "", 'Data Entry'!$î$757)</f>
      </c>
      <c r="FS757">
        <f>IF(ISBLANK('Data Entry'!$ï$757), "", 'Data Entry'!$ï$757)</f>
      </c>
      <c r="FT757">
        <f>IF(ISBLANK('Data Entry'!$ð$757), "", 'Data Entry'!$ð$757)</f>
      </c>
      <c r="FU757">
        <f>IF(ISBLANK('Data Entry'!$ñ$757), "", 'Data Entry'!$ñ$757)</f>
      </c>
      <c r="FV757">
        <f>IF(ISBLANK('Data Entry'!$ò$757), "", 'Data Entry'!$ò$757)</f>
      </c>
      <c r="FW757">
        <f>IF(ISBLANK('Data Entry'!$ó$757), "", 'Data Entry'!$ó$757)</f>
      </c>
      <c r="FX757">
        <f>IF(ISBLANK('Data Entry'!$ô$757), "", 'Data Entry'!$ô$757)</f>
      </c>
      <c r="FY757">
        <f>IF(ISBLANK('Data Entry'!$õ$757), "", 'Data Entry'!$õ$757)</f>
      </c>
      <c r="FZ757">
        <f>IF(ISBLANK('Data Entry'!$ö$757), "", 'Data Entry'!$ö$757)</f>
      </c>
      <c r="GA757">
        <f>IF(ISBLANK('Data Entry'!$÷$757), "", 'Data Entry'!$÷$757)</f>
      </c>
      <c r="GB757">
        <f>IF(ISBLANK('Data Entry'!$ø$757), "", 'Data Entry'!$ø$757)</f>
      </c>
      <c r="GC757">
        <f>IF(ISBLANK('Data Entry'!$ù$757), "", 'Data Entry'!$ù$757)</f>
      </c>
      <c r="GD757">
        <f>IF(ISBLANK('Data Entry'!$ú$757), "", 'Data Entry'!$ú$757)</f>
      </c>
      <c r="GE757">
        <f>IF(ISBLANK('Data Entry'!$û$757), "", 'Data Entry'!$û$757)</f>
      </c>
      <c r="GF757">
        <f>IF(ISBLANK('Data Entry'!$ü$757), "", 'Data Entry'!$ü$757)</f>
      </c>
      <c r="GG757">
        <f>IF(ISBLANK('Data Entry'!$ý$757), "", 'Data Entry'!$ý$757)</f>
      </c>
      <c r="GH757">
        <f>IF(ISBLANK('Data Entry'!$þ$757), "", 'Data Entry'!$þ$757)</f>
      </c>
      <c r="GI757">
        <f>IF(ISBLANK('Data Entry'!$ÿ$757), "", 'Data Entry'!$ÿ$757)</f>
      </c>
      <c r="GJ757">
        <f>IF(ISBLANK('Data Entry'!$Ā$757), "", 'Data Entry'!$Ā$757)</f>
      </c>
      <c r="GK757">
        <f>IF(ISBLANK('Data Entry'!$ā$757), "", 'Data Entry'!$ā$757)</f>
      </c>
      <c r="GL757">
        <f>IF(ISBLANK('Data Entry'!$Ă$757), "", 'Data Entry'!$Ă$757)</f>
      </c>
      <c r="GM757">
        <f>IF(ISBLANK('Data Entry'!$ă$757), "", 'Data Entry'!$ă$757)</f>
      </c>
      <c r="GN757">
        <f>IF(ISBLANK('Data Entry'!$Ą$757), "", 'Data Entry'!$Ą$757)</f>
      </c>
      <c r="GO757">
        <f>IF(ISBLANK('Data Entry'!$ą$757), "", 'Data Entry'!$ą$757)</f>
      </c>
      <c r="GP757">
        <f>IF(ISBLANK('Data Entry'!$Ć$757), "", 'Data Entry'!$Ć$757)</f>
      </c>
      <c r="GQ757">
        <f>IF(ISBLANK('Data Entry'!$ć$757), "", 'Data Entry'!$ć$757)</f>
      </c>
      <c r="GR757">
        <f>IF(ISBLANK('Data Entry'!$Ĉ$757), "", 'Data Entry'!$Ĉ$757)</f>
      </c>
      <c r="GS757">
        <f>IF(ISBLANK('Data Entry'!$ĉ$757), "", 'Data Entry'!$ĉ$757)</f>
      </c>
      <c r="GT757">
        <f>IF(ISBLANK('Data Entry'!$Ċ$757), "", 'Data Entry'!$Ċ$757)</f>
      </c>
      <c r="GU757">
        <f>IF(ISBLANK('Data Entry'!$ċ$757), "", 'Data Entry'!$ċ$757)</f>
      </c>
      <c r="GV757">
        <f>IF(ISBLANK('Data Entry'!$Č$757), "", 'Data Entry'!$Č$757)</f>
      </c>
      <c r="GW757">
        <f>IF(ISBLANK('Data Entry'!$č$757), "", 'Data Entry'!$č$757)</f>
      </c>
      <c r="GX757">
        <f>IF(ISBLANK('Data Entry'!$Ď$757), "", 'Data Entry'!$Ď$757)</f>
      </c>
      <c r="GY757">
        <f>IF(ISBLANK('Data Entry'!$ď$757), "", 'Data Entry'!$ď$757)</f>
      </c>
      <c r="GZ757">
        <f>IF(ISBLANK('Data Entry'!$Đ$757), "", 'Data Entry'!$Đ$757)</f>
      </c>
      <c r="HA757">
        <f>IF(ISBLANK('Data Entry'!$đ$757), "", 'Data Entry'!$đ$757)</f>
      </c>
      <c r="HB757">
        <f>IF(ISBLANK('Data Entry'!$Ē$757), "", 'Data Entry'!$Ē$757)</f>
      </c>
      <c r="HC757">
        <f>IF(ISBLANK('Data Entry'!$ē$757), "", 'Data Entry'!$ē$757)</f>
      </c>
      <c r="HD757">
        <f>IF(ISBLANK('Data Entry'!$Ĕ$757), "", 'Data Entry'!$Ĕ$757)</f>
      </c>
      <c r="HE757">
        <f>IF(ISBLANK('Data Entry'!$ĕ$757), "", 'Data Entry'!$ĕ$757)</f>
      </c>
      <c r="HF757">
        <f>IF(ISBLANK('Data Entry'!$Ė$757), "", 'Data Entry'!$Ė$757)</f>
      </c>
      <c r="HG757">
        <f>IF(ISBLANK('Data Entry'!$ė$757), "", 'Data Entry'!$ė$757)</f>
      </c>
      <c r="HH757">
        <f>IF(ISBLANK('Data Entry'!$Ę$757), "", 'Data Entry'!$Ę$757)</f>
      </c>
      <c r="HI757">
        <f>IF(ISBLANK('Data Entry'!$ę$757), "", 'Data Entry'!$ę$757)</f>
      </c>
      <c r="HJ757">
        <f>IF(ISBLANK('Data Entry'!$Ě$757), "", 'Data Entry'!$Ě$757)</f>
      </c>
      <c r="HK757">
        <f>IF(ISBLANK('Data Entry'!$ě$757), "", 'Data Entry'!$ě$757)</f>
      </c>
      <c r="HL757">
        <f>IF(ISBLANK('Data Entry'!$Ĝ$757), "", 'Data Entry'!$Ĝ$757)</f>
      </c>
      <c r="HM757">
        <f>IF(ISBLANK('Data Entry'!$ĝ$757), "", 'Data Entry'!$ĝ$757)</f>
      </c>
      <c r="HN757">
        <f>IF(ISBLANK('Data Entry'!$Ğ$757), "", 'Data Entry'!$Ğ$757)</f>
      </c>
      <c r="HO757">
        <f>IF(ISBLANK('Data Entry'!$ğ$757), "", 'Data Entry'!$ğ$757)</f>
      </c>
      <c r="HP757">
        <f>IF(ISBLANK('Data Entry'!$Ġ$757), "", 'Data Entry'!$Ġ$757)</f>
      </c>
      <c r="HQ757">
        <f>IF(ISBLANK('Data Entry'!$ġ$757), "", 'Data Entry'!$ġ$757)</f>
      </c>
      <c r="HR757">
        <f>IF(ISBLANK('Data Entry'!$Ģ$757), "", 'Data Entry'!$Ģ$757)</f>
      </c>
      <c r="HS757">
        <f>IF(ISBLANK('Data Entry'!$ģ$757), "", 'Data Entry'!$ģ$757)</f>
      </c>
      <c r="HT757">
        <f>IF(ISBLANK('Data Entry'!$Ĥ$757), "", 'Data Entry'!$Ĥ$757)</f>
      </c>
      <c r="HU757">
        <f>IF(ISBLANK('Data Entry'!$ĥ$757), "", 'Data Entry'!$ĥ$757)</f>
      </c>
      <c r="HV757">
        <f>IF(ISBLANK('Data Entry'!$Ħ$757), "", 'Data Entry'!$Ħ$757)</f>
      </c>
      <c r="HW757">
        <f>IF(ISBLANK('Data Entry'!$ħ$757), "", 'Data Entry'!$ħ$757)</f>
      </c>
      <c r="HX757">
        <f>IF(ISBLANK('Data Entry'!$Ĩ$757), "", 'Data Entry'!$Ĩ$757)</f>
      </c>
      <c r="HY757">
        <f>IF(ISBLANK('Data Entry'!$ĩ$757), "", 'Data Entry'!$ĩ$757)</f>
      </c>
      <c r="HZ757">
        <f>IF(ISBLANK('Data Entry'!$Ī$757), "", 'Data Entry'!$Ī$757)</f>
      </c>
      <c r="IA757">
        <f>IF(ISBLANK('Data Entry'!$ī$757), "", 'Data Entry'!$ī$757)</f>
      </c>
      <c r="IB757">
        <f>IF(ISBLANK('Data Entry'!$Ĭ$757), "", 'Data Entry'!$Ĭ$757)</f>
      </c>
      <c r="IC757">
        <f>IF(ISBLANK('Data Entry'!$ĭ$757), "", 'Data Entry'!$ĭ$757)</f>
      </c>
      <c r="ID757">
        <f>IF(ISBLANK('Data Entry'!$Į$757), "", 'Data Entry'!$Į$757)</f>
      </c>
      <c r="IE757">
        <f>IF(ISBLANK('Data Entry'!$į$757), "", 'Data Entry'!$į$757)</f>
      </c>
      <c r="IF757">
        <f>IF(ISBLANK('Data Entry'!$İ$757), "", 'Data Entry'!$İ$757)</f>
      </c>
      <c r="IG757">
        <f>IF(ISBLANK('Data Entry'!$ı$757), "", 'Data Entry'!$ı$757)</f>
      </c>
      <c r="IH757">
        <f>IF(ISBLANK('Data Entry'!$Ĳ$757), "", 'Data Entry'!$Ĳ$757)</f>
      </c>
      <c r="II757">
        <f>IF(ISBLANK('Data Entry'!$ĳ$757), "", 'Data Entry'!$ĳ$757)</f>
      </c>
      <c r="IJ757">
        <f>IF(ISBLANK('Data Entry'!$Ĵ$757), "", 'Data Entry'!$Ĵ$757)</f>
      </c>
      <c r="IK757">
        <f>IF(ISBLANK('Data Entry'!$ĵ$757), "", 'Data Entry'!$ĵ$757)</f>
      </c>
      <c r="IL757">
        <f>IF(ISBLANK('Data Entry'!$Ķ$757), "", 'Data Entry'!$Ķ$757)</f>
      </c>
      <c r="IM757">
        <f>IF(ISBLANK('Data Entry'!$ķ$757), "", 'Data Entry'!$ķ$757)</f>
      </c>
      <c r="IN757">
        <f>IF(ISBLANK('Data Entry'!$ĸ$757), "", 'Data Entry'!$ĸ$757)</f>
      </c>
      <c r="IO757">
        <f>IF(ISBLANK('Data Entry'!$Ĺ$757), "", 'Data Entry'!$Ĺ$757)</f>
      </c>
      <c r="IP757">
        <f>IF(ISBLANK('Data Entry'!$ĺ$757), "", 'Data Entry'!$ĺ$757)</f>
      </c>
      <c r="IQ757">
        <f>IF(ISBLANK('Data Entry'!$Ļ$757), "", 'Data Entry'!$Ļ$757)</f>
      </c>
      <c r="IR757">
        <f>IF(ISBLANK('Data Entry'!$ļ$757), "", 'Data Entry'!$ļ$757)</f>
      </c>
      <c r="IS757">
        <f>IF(ISBLANK('Data Entry'!$Ľ$757), "", 'Data Entry'!$Ľ$757)</f>
      </c>
      <c r="IT757">
        <f>IF(ISBLANK('Data Entry'!$ľ$757), "", 'Data Entry'!$ľ$757)</f>
      </c>
    </row>
    <row r="758" spans="1:254" x14ac:dyDescent="0.25">
      <c r="A758">
        <f>IF(ISBLANK('Data Entry'!$A$758), "", 'Data Entry'!$A$758)</f>
      </c>
      <c r="B758">
        <f>IF(ISBLANK('Data Entry'!$B$758), "", 'Data Entry'!$B$758)</f>
      </c>
      <c r="C758">
        <f>IF(ISBLANK('Data Entry'!$C$758), "", 'Data Entry'!$C$758)</f>
      </c>
      <c r="D758">
        <f>IF(ISBLANK('Data Entry'!$D$758), "", 'Data Entry'!$D$758)</f>
      </c>
      <c r="E758">
        <f>IF(ISBLANK('Data Entry'!$E$758), "", 'Data Entry'!$E$758)</f>
      </c>
      <c r="F758">
        <f>IF(ISBLANK('Data Entry'!$F$758), "", 'Data Entry'!$F$758)</f>
      </c>
      <c r="G758">
        <f>IF(ISBLANK('Data Entry'!$G$758), "", 'Data Entry'!$G$758)</f>
      </c>
      <c r="H758">
        <f>IF(ISBLANK('Data Entry'!$H$758), "", 'Data Entry'!$H$758)</f>
      </c>
      <c r="I758">
        <f>IF(ISBLANK('Data Entry'!$I$758), "", 'Data Entry'!$I$758)</f>
      </c>
      <c r="J758">
        <f>IF(ISBLANK('Data Entry'!$J$758), "", 'Data Entry'!$J$758)</f>
      </c>
      <c r="K758">
        <f>IF(ISBLANK('Data Entry'!$K$758), "", 'Data Entry'!$K$758)</f>
      </c>
      <c r="L758">
        <f>IF(ISBLANK('Data Entry'!$L$758), "", 'Data Entry'!$L$758)</f>
      </c>
      <c r="M758">
        <f>IF(ISBLANK('Data Entry'!$M$758), "", 'Data Entry'!$M$758)</f>
      </c>
      <c r="N758">
        <f>IF(ISBLANK('Data Entry'!$N$758), "", 'Data Entry'!$N$758)</f>
      </c>
      <c r="O758">
        <f>IF(ISBLANK('Data Entry'!$O$758), "", 'Data Entry'!$O$758)</f>
      </c>
      <c r="P758">
        <f>IF(ISBLANK('Data Entry'!$P$758), "", 'Data Entry'!$P$758)</f>
      </c>
      <c r="Q758">
        <f>IF(ISBLANK('Data Entry'!$Q$758), "", 'Data Entry'!$Q$758)</f>
      </c>
      <c r="R758">
        <f>IF(ISBLANK('Data Entry'!$R$758), "", 'Data Entry'!$R$758)</f>
      </c>
      <c r="S758">
        <f>IF(ISBLANK('Data Entry'!$S$758), "", 'Data Entry'!$S$758)</f>
      </c>
      <c r="T758">
        <f>IF(ISBLANK('Data Entry'!$T$758), "", 'Data Entry'!$T$758)</f>
      </c>
      <c r="U758">
        <f>IF(ISBLANK('Data Entry'!$U$758), "", 'Data Entry'!$U$758)</f>
      </c>
      <c r="V758">
        <f>IF(ISBLANK('Data Entry'!$V$758), "", 'Data Entry'!$V$758)</f>
      </c>
      <c r="W758">
        <f>IF(ISBLANK('Data Entry'!$W$758), "", 'Data Entry'!$W$758)</f>
      </c>
      <c r="X758">
        <f>IF(ISBLANK('Data Entry'!$X$758), "", 'Data Entry'!$X$758)</f>
      </c>
      <c r="Y758">
        <f>IF(ISBLANK('Data Entry'!$Y$758), "", 'Data Entry'!$Y$758)</f>
      </c>
      <c r="Z758">
        <f>IF(ISBLANK('Data Entry'!$Z$758), "", 'Data Entry'!$Z$758)</f>
      </c>
      <c r="AA758">
        <f>IF(ISBLANK('Data Entry'!$[$758), "", 'Data Entry'!$[$758)</f>
      </c>
      <c r="AB758">
        <f>IF(ISBLANK('Data Entry'!$\$758), "", 'Data Entry'!$\$758)</f>
      </c>
      <c r="AC758">
        <f>IF(ISBLANK('Data Entry'!$]$758), "", 'Data Entry'!$]$758)</f>
      </c>
      <c r="AD758">
        <f>IF(ISBLANK('Data Entry'!$^$758), "", 'Data Entry'!$^$758)</f>
      </c>
      <c r="AE758">
        <f>IF(ISBLANK('Data Entry'!$_$758), "", 'Data Entry'!$_$758)</f>
      </c>
      <c r="AF758">
        <f>IF(ISBLANK('Data Entry'!$`$758), "", 'Data Entry'!$`$758)</f>
      </c>
      <c r="AG758">
        <f>IF(ISBLANK('Data Entry'!$a$758), "", 'Data Entry'!$a$758)</f>
      </c>
      <c r="AH758">
        <f>IF(ISBLANK('Data Entry'!$b$758), "", 'Data Entry'!$b$758)</f>
      </c>
      <c r="AI758">
        <f>IF(ISBLANK('Data Entry'!$c$758), "", 'Data Entry'!$c$758)</f>
      </c>
      <c r="AJ758">
        <f>IF(ISBLANK('Data Entry'!$d$758), "", 'Data Entry'!$d$758)</f>
      </c>
      <c r="AK758">
        <f>IF(ISBLANK('Data Entry'!$e$758), "", 'Data Entry'!$e$758)</f>
      </c>
      <c r="AL758">
        <f>IF(ISBLANK('Data Entry'!$f$758), "", 'Data Entry'!$f$758)</f>
      </c>
      <c r="AM758">
        <f>IF(ISBLANK('Data Entry'!$g$758), "", 'Data Entry'!$g$758)</f>
      </c>
      <c r="AN758">
        <f>IF(ISBLANK('Data Entry'!$h$758), "", 'Data Entry'!$h$758)</f>
      </c>
      <c r="AO758">
        <f>IF(ISBLANK('Data Entry'!$i$758), "", 'Data Entry'!$i$758)</f>
      </c>
      <c r="AP758">
        <f>IF(ISBLANK('Data Entry'!$j$758), "", 'Data Entry'!$j$758)</f>
      </c>
      <c r="AQ758">
        <f>IF(ISBLANK('Data Entry'!$k$758), "", 'Data Entry'!$k$758)</f>
      </c>
      <c r="AR758">
        <f>IF(ISBLANK('Data Entry'!$l$758), "", 'Data Entry'!$l$758)</f>
      </c>
      <c r="AS758">
        <f>IF(ISBLANK('Data Entry'!$m$758), "", 'Data Entry'!$m$758)</f>
      </c>
      <c r="AT758">
        <f>IF(ISBLANK('Data Entry'!$n$758), "", 'Data Entry'!$n$758)</f>
      </c>
      <c r="AU758">
        <f>IF(ISBLANK('Data Entry'!$o$758), "", 'Data Entry'!$o$758)</f>
      </c>
      <c r="AV758">
        <f>IF(ISBLANK('Data Entry'!$p$758), "", 'Data Entry'!$p$758)</f>
      </c>
      <c r="AW758">
        <f>IF(ISBLANK('Data Entry'!$q$758), "", 'Data Entry'!$q$758)</f>
      </c>
      <c r="AX758">
        <f>IF(ISBLANK('Data Entry'!$r$758), "", 'Data Entry'!$r$758)</f>
      </c>
      <c r="AY758">
        <f>IF(ISBLANK('Data Entry'!$s$758), "", 'Data Entry'!$s$758)</f>
      </c>
      <c r="AZ758">
        <f>IF(ISBLANK('Data Entry'!$t$758), "", 'Data Entry'!$t$758)</f>
      </c>
      <c r="BA758">
        <f>IF(ISBLANK('Data Entry'!$u$758), "", 'Data Entry'!$u$758)</f>
      </c>
      <c r="BB758">
        <f>IF(ISBLANK('Data Entry'!$v$758), "", 'Data Entry'!$v$758)</f>
      </c>
      <c r="BC758">
        <f>IF(ISBLANK('Data Entry'!$w$758), "", 'Data Entry'!$w$758)</f>
      </c>
      <c r="BD758">
        <f>IF(ISBLANK('Data Entry'!$x$758), "", 'Data Entry'!$x$758)</f>
      </c>
      <c r="BE758">
        <f>IF(ISBLANK('Data Entry'!$y$758), "", 'Data Entry'!$y$758)</f>
      </c>
      <c r="BF758">
        <f>IF(ISBLANK('Data Entry'!$z$758), "", 'Data Entry'!$z$758)</f>
      </c>
      <c r="BG758">
        <f>IF(ISBLANK('Data Entry'!${$758), "", 'Data Entry'!${$758)</f>
      </c>
      <c r="BH758">
        <f>IF(ISBLANK('Data Entry'!$|$758), "", 'Data Entry'!$|$758)</f>
      </c>
      <c r="BI758">
        <f>IF(ISBLANK('Data Entry'!$}$758), "", 'Data Entry'!$}$758)</f>
      </c>
      <c r="BJ758">
        <f>IF(ISBLANK('Data Entry'!$~$758), "", 'Data Entry'!$~$758)</f>
      </c>
      <c r="BK758">
        <f>IF(ISBLANK('Data Entry'!$$758), "", 'Data Entry'!$$758)</f>
      </c>
      <c r="BL758">
        <f>IF(ISBLANK('Data Entry'!$$758), "", 'Data Entry'!$$758)</f>
      </c>
      <c r="BM758">
        <f>IF(ISBLANK('Data Entry'!$$758), "", 'Data Entry'!$$758)</f>
      </c>
      <c r="BN758">
        <f>IF(ISBLANK('Data Entry'!$$758), "", 'Data Entry'!$$758)</f>
      </c>
      <c r="BO758">
        <f>IF(ISBLANK('Data Entry'!$$758), "", 'Data Entry'!$$758)</f>
      </c>
      <c r="BP758">
        <f>IF(ISBLANK('Data Entry'!$$758), "", 'Data Entry'!$$758)</f>
      </c>
      <c r="BQ758">
        <f>IF(ISBLANK('Data Entry'!$$758), "", 'Data Entry'!$$758)</f>
      </c>
      <c r="BR758">
        <f>IF(ISBLANK('Data Entry'!$$758), "", 'Data Entry'!$$758)</f>
      </c>
      <c r="BS758">
        <f>IF(ISBLANK('Data Entry'!$$758), "", 'Data Entry'!$$758)</f>
      </c>
      <c r="BT758">
        <f>IF(ISBLANK('Data Entry'!$$758), "", 'Data Entry'!$$758)</f>
      </c>
      <c r="BU758">
        <f>IF(ISBLANK('Data Entry'!$$758), "", 'Data Entry'!$$758)</f>
      </c>
      <c r="BV758">
        <f>IF(ISBLANK('Data Entry'!$$758), "", 'Data Entry'!$$758)</f>
      </c>
      <c r="BW758">
        <f>IF(ISBLANK('Data Entry'!$$758), "", 'Data Entry'!$$758)</f>
      </c>
      <c r="BX758">
        <f>IF(ISBLANK('Data Entry'!$$758), "", 'Data Entry'!$$758)</f>
      </c>
      <c r="BY758">
        <f>IF(ISBLANK('Data Entry'!$$758), "", 'Data Entry'!$$758)</f>
      </c>
      <c r="BZ758">
        <f>IF(ISBLANK('Data Entry'!$$758), "", 'Data Entry'!$$758)</f>
      </c>
      <c r="CA758">
        <f>IF(ISBLANK('Data Entry'!$$758), "", 'Data Entry'!$$758)</f>
      </c>
      <c r="CB758">
        <f>IF(ISBLANK('Data Entry'!$$758), "", 'Data Entry'!$$758)</f>
      </c>
      <c r="CC758">
        <f>IF(ISBLANK('Data Entry'!$$758), "", 'Data Entry'!$$758)</f>
      </c>
      <c r="CD758">
        <f>IF(ISBLANK('Data Entry'!$$758), "", 'Data Entry'!$$758)</f>
      </c>
      <c r="CE758">
        <f>IF(ISBLANK('Data Entry'!$$758), "", 'Data Entry'!$$758)</f>
      </c>
      <c r="CF758">
        <f>IF(ISBLANK('Data Entry'!$$758), "", 'Data Entry'!$$758)</f>
      </c>
      <c r="CG758">
        <f>IF(ISBLANK('Data Entry'!$$758), "", 'Data Entry'!$$758)</f>
      </c>
      <c r="CH758">
        <f>IF(ISBLANK('Data Entry'!$$758), "", 'Data Entry'!$$758)</f>
      </c>
      <c r="CI758">
        <f>IF(ISBLANK('Data Entry'!$$758), "", 'Data Entry'!$$758)</f>
      </c>
      <c r="CJ758">
        <f>IF(ISBLANK('Data Entry'!$$758), "", 'Data Entry'!$$758)</f>
      </c>
      <c r="CK758">
        <f>IF(ISBLANK('Data Entry'!$$758), "", 'Data Entry'!$$758)</f>
      </c>
      <c r="CL758">
        <f>IF(ISBLANK('Data Entry'!$$758), "", 'Data Entry'!$$758)</f>
      </c>
      <c r="CM758">
        <f>IF(ISBLANK('Data Entry'!$$758), "", 'Data Entry'!$$758)</f>
      </c>
      <c r="CN758">
        <f>IF(ISBLANK('Data Entry'!$$758), "", 'Data Entry'!$$758)</f>
      </c>
      <c r="CO758">
        <f>IF(ISBLANK('Data Entry'!$$758), "", 'Data Entry'!$$758)</f>
      </c>
      <c r="CP758">
        <f>IF(ISBLANK('Data Entry'!$$758), "", 'Data Entry'!$$758)</f>
      </c>
      <c r="CQ758">
        <f>IF(ISBLANK('Data Entry'!$$758), "", 'Data Entry'!$$758)</f>
      </c>
      <c r="CR758">
        <f>IF(ISBLANK('Data Entry'!$ $758), "", 'Data Entry'!$ $758)</f>
      </c>
      <c r="CS758">
        <f>IF(ISBLANK('Data Entry'!$¡$758), "", 'Data Entry'!$¡$758)</f>
      </c>
      <c r="CT758">
        <f>IF(ISBLANK('Data Entry'!$¢$758), "", 'Data Entry'!$¢$758)</f>
      </c>
      <c r="CU758">
        <f>IF(ISBLANK('Data Entry'!$£$758), "", 'Data Entry'!$£$758)</f>
      </c>
      <c r="CV758">
        <f>IF(ISBLANK('Data Entry'!$¤$758), "", 'Data Entry'!$¤$758)</f>
      </c>
      <c r="CW758">
        <f>IF(ISBLANK('Data Entry'!$¥$758), "", 'Data Entry'!$¥$758)</f>
      </c>
      <c r="CX758">
        <f>IF(ISBLANK('Data Entry'!$¦$758), "", 'Data Entry'!$¦$758)</f>
      </c>
      <c r="CY758">
        <f>IF(ISBLANK('Data Entry'!$§$758), "", 'Data Entry'!$§$758)</f>
      </c>
      <c r="CZ758">
        <f>IF(ISBLANK('Data Entry'!$¨$758), "", 'Data Entry'!$¨$758)</f>
      </c>
      <c r="DA758">
        <f>IF(ISBLANK('Data Entry'!$©$758), "", 'Data Entry'!$©$758)</f>
      </c>
      <c r="DB758">
        <f>IF(ISBLANK('Data Entry'!$ª$758), "", 'Data Entry'!$ª$758)</f>
      </c>
      <c r="DC758">
        <f>IF(ISBLANK('Data Entry'!$«$758), "", 'Data Entry'!$«$758)</f>
      </c>
      <c r="DD758">
        <f>IF(ISBLANK('Data Entry'!$¬$758), "", 'Data Entry'!$¬$758)</f>
      </c>
      <c r="DE758">
        <f>IF(ISBLANK('Data Entry'!$­$758), "", 'Data Entry'!$­$758)</f>
      </c>
      <c r="DF758">
        <f>IF(ISBLANK('Data Entry'!$®$758), "", 'Data Entry'!$®$758)</f>
      </c>
      <c r="DG758">
        <f>IF(ISBLANK('Data Entry'!$¯$758), "", 'Data Entry'!$¯$758)</f>
      </c>
      <c r="DH758">
        <f>IF(ISBLANK('Data Entry'!$°$758), "", 'Data Entry'!$°$758)</f>
      </c>
      <c r="DI758">
        <f>IF(ISBLANK('Data Entry'!$±$758), "", 'Data Entry'!$±$758)</f>
      </c>
      <c r="DJ758">
        <f>IF(ISBLANK('Data Entry'!$²$758), "", 'Data Entry'!$²$758)</f>
      </c>
      <c r="DK758">
        <f>IF(ISBLANK('Data Entry'!$³$758), "", 'Data Entry'!$³$758)</f>
      </c>
      <c r="DL758">
        <f>IF(ISBLANK('Data Entry'!$´$758), "", 'Data Entry'!$´$758)</f>
      </c>
      <c r="DM758">
        <f>IF(ISBLANK('Data Entry'!$µ$758), "", 'Data Entry'!$µ$758)</f>
      </c>
      <c r="DN758">
        <f>IF(ISBLANK('Data Entry'!$¶$758), "", 'Data Entry'!$¶$758)</f>
      </c>
      <c r="DO758">
        <f>IF(ISBLANK('Data Entry'!$·$758), "", 'Data Entry'!$·$758)</f>
      </c>
      <c r="DP758">
        <f>IF(ISBLANK('Data Entry'!$¸$758), "", 'Data Entry'!$¸$758)</f>
      </c>
      <c r="DQ758">
        <f>IF(ISBLANK('Data Entry'!$¹$758), "", 'Data Entry'!$¹$758)</f>
      </c>
      <c r="DR758">
        <f>IF(ISBLANK('Data Entry'!$º$758), "", 'Data Entry'!$º$758)</f>
      </c>
      <c r="DS758">
        <f>IF(ISBLANK('Data Entry'!$»$758), "", 'Data Entry'!$»$758)</f>
      </c>
      <c r="DT758">
        <f>IF(ISBLANK('Data Entry'!$¼$758), "", 'Data Entry'!$¼$758)</f>
      </c>
      <c r="DU758">
        <f>IF(ISBLANK('Data Entry'!$½$758), "", 'Data Entry'!$½$758)</f>
      </c>
      <c r="DV758">
        <f>IF(ISBLANK('Data Entry'!$¾$758), "", 'Data Entry'!$¾$758)</f>
      </c>
      <c r="DW758">
        <f>IF(ISBLANK('Data Entry'!$¿$758), "", 'Data Entry'!$¿$758)</f>
      </c>
      <c r="DX758">
        <f>IF(ISBLANK('Data Entry'!$À$758), "", 'Data Entry'!$À$758)</f>
      </c>
      <c r="DY758">
        <f>IF(ISBLANK('Data Entry'!$Á$758), "", 'Data Entry'!$Á$758)</f>
      </c>
      <c r="DZ758">
        <f>IF(ISBLANK('Data Entry'!$Â$758), "", 'Data Entry'!$Â$758)</f>
      </c>
      <c r="EA758">
        <f>IF(ISBLANK('Data Entry'!$Ã$758), "", 'Data Entry'!$Ã$758)</f>
      </c>
      <c r="EB758">
        <f>IF(ISBLANK('Data Entry'!$Ä$758), "", 'Data Entry'!$Ä$758)</f>
      </c>
      <c r="EC758">
        <f>IF(ISBLANK('Data Entry'!$Å$758), "", 'Data Entry'!$Å$758)</f>
      </c>
      <c r="ED758">
        <f>IF(ISBLANK('Data Entry'!$Æ$758), "", 'Data Entry'!$Æ$758)</f>
      </c>
      <c r="EE758">
        <f>IF(ISBLANK('Data Entry'!$Ç$758), "", 'Data Entry'!$Ç$758)</f>
      </c>
      <c r="EF758">
        <f>IF(ISBLANK('Data Entry'!$È$758), "", 'Data Entry'!$È$758)</f>
      </c>
      <c r="EG758">
        <f>IF(ISBLANK('Data Entry'!$É$758), "", 'Data Entry'!$É$758)</f>
      </c>
      <c r="EH758">
        <f>IF(ISBLANK('Data Entry'!$Ê$758), "", 'Data Entry'!$Ê$758)</f>
      </c>
      <c r="EI758">
        <f>IF(ISBLANK('Data Entry'!$Ë$758), "", 'Data Entry'!$Ë$758)</f>
      </c>
      <c r="EJ758">
        <f>IF(ISBLANK('Data Entry'!$Ì$758), "", 'Data Entry'!$Ì$758)</f>
      </c>
      <c r="EK758">
        <f>IF(ISBLANK('Data Entry'!$Í$758), "", 'Data Entry'!$Í$758)</f>
      </c>
      <c r="EL758">
        <f>IF(ISBLANK('Data Entry'!$Î$758), "", 'Data Entry'!$Î$758)</f>
      </c>
      <c r="EM758">
        <f>IF(ISBLANK('Data Entry'!$Ï$758), "", 'Data Entry'!$Ï$758)</f>
      </c>
      <c r="EN758">
        <f>IF(ISBLANK('Data Entry'!$Ð$758), "", 'Data Entry'!$Ð$758)</f>
      </c>
      <c r="EO758">
        <f>IF(ISBLANK('Data Entry'!$Ñ$758), "", 'Data Entry'!$Ñ$758)</f>
      </c>
      <c r="EP758">
        <f>IF(ISBLANK('Data Entry'!$Ò$758), "", 'Data Entry'!$Ò$758)</f>
      </c>
      <c r="EQ758">
        <f>IF(ISBLANK('Data Entry'!$Ó$758), "", 'Data Entry'!$Ó$758)</f>
      </c>
      <c r="ER758">
        <f>IF(ISBLANK('Data Entry'!$Ô$758), "", 'Data Entry'!$Ô$758)</f>
      </c>
      <c r="ES758">
        <f>IF(ISBLANK('Data Entry'!$Õ$758), "", 'Data Entry'!$Õ$758)</f>
      </c>
      <c r="ET758">
        <f>IF(ISBLANK('Data Entry'!$Ö$758), "", 'Data Entry'!$Ö$758)</f>
      </c>
      <c r="EU758">
        <f>IF(ISBLANK('Data Entry'!$×$758), "", 'Data Entry'!$×$758)</f>
      </c>
      <c r="EV758">
        <f>IF(ISBLANK('Data Entry'!$Ø$758), "", 'Data Entry'!$Ø$758)</f>
      </c>
      <c r="EW758">
        <f>IF(ISBLANK('Data Entry'!$Ù$758), "", 'Data Entry'!$Ù$758)</f>
      </c>
      <c r="EX758">
        <f>IF(ISBLANK('Data Entry'!$Ú$758), "", 'Data Entry'!$Ú$758)</f>
      </c>
      <c r="EY758">
        <f>IF(ISBLANK('Data Entry'!$Û$758), "", 'Data Entry'!$Û$758)</f>
      </c>
      <c r="EZ758">
        <f>IF(ISBLANK('Data Entry'!$Ü$758), "", 'Data Entry'!$Ü$758)</f>
      </c>
      <c r="FA758">
        <f>IF(ISBLANK('Data Entry'!$Ý$758), "", 'Data Entry'!$Ý$758)</f>
      </c>
      <c r="FB758">
        <f>IF(ISBLANK('Data Entry'!$Þ$758), "", 'Data Entry'!$Þ$758)</f>
      </c>
      <c r="FC758">
        <f>IF(ISBLANK('Data Entry'!$ß$758), "", 'Data Entry'!$ß$758)</f>
      </c>
      <c r="FD758">
        <f>IF(ISBLANK('Data Entry'!$à$758), "", 'Data Entry'!$à$758)</f>
      </c>
      <c r="FE758">
        <f>IF(ISBLANK('Data Entry'!$á$758), "", 'Data Entry'!$á$758)</f>
      </c>
      <c r="FF758">
        <f>IF(ISBLANK('Data Entry'!$â$758), "", 'Data Entry'!$â$758)</f>
      </c>
      <c r="FG758">
        <f>IF(ISBLANK('Data Entry'!$ã$758), "", 'Data Entry'!$ã$758)</f>
      </c>
      <c r="FH758">
        <f>IF(ISBLANK('Data Entry'!$ä$758), "", 'Data Entry'!$ä$758)</f>
      </c>
      <c r="FI758">
        <f>IF(ISBLANK('Data Entry'!$å$758), "", 'Data Entry'!$å$758)</f>
      </c>
      <c r="FJ758">
        <f>IF(ISBLANK('Data Entry'!$æ$758), "", 'Data Entry'!$æ$758)</f>
      </c>
      <c r="FK758">
        <f>IF(ISBLANK('Data Entry'!$ç$758), "", 'Data Entry'!$ç$758)</f>
      </c>
      <c r="FL758">
        <f>IF(ISBLANK('Data Entry'!$è$758), "", 'Data Entry'!$è$758)</f>
      </c>
      <c r="FM758">
        <f>IF(ISBLANK('Data Entry'!$é$758), "", 'Data Entry'!$é$758)</f>
      </c>
      <c r="FN758">
        <f>IF(ISBLANK('Data Entry'!$ê$758), "", 'Data Entry'!$ê$758)</f>
      </c>
      <c r="FO758">
        <f>IF(ISBLANK('Data Entry'!$ë$758), "", 'Data Entry'!$ë$758)</f>
      </c>
      <c r="FP758">
        <f>IF(ISBLANK('Data Entry'!$ì$758), "", 'Data Entry'!$ì$758)</f>
      </c>
      <c r="FQ758">
        <f>IF(ISBLANK('Data Entry'!$í$758), "", 'Data Entry'!$í$758)</f>
      </c>
      <c r="FR758">
        <f>IF(ISBLANK('Data Entry'!$î$758), "", 'Data Entry'!$î$758)</f>
      </c>
      <c r="FS758">
        <f>IF(ISBLANK('Data Entry'!$ï$758), "", 'Data Entry'!$ï$758)</f>
      </c>
      <c r="FT758">
        <f>IF(ISBLANK('Data Entry'!$ð$758), "", 'Data Entry'!$ð$758)</f>
      </c>
      <c r="FU758">
        <f>IF(ISBLANK('Data Entry'!$ñ$758), "", 'Data Entry'!$ñ$758)</f>
      </c>
      <c r="FV758">
        <f>IF(ISBLANK('Data Entry'!$ò$758), "", 'Data Entry'!$ò$758)</f>
      </c>
      <c r="FW758">
        <f>IF(ISBLANK('Data Entry'!$ó$758), "", 'Data Entry'!$ó$758)</f>
      </c>
      <c r="FX758">
        <f>IF(ISBLANK('Data Entry'!$ô$758), "", 'Data Entry'!$ô$758)</f>
      </c>
      <c r="FY758">
        <f>IF(ISBLANK('Data Entry'!$õ$758), "", 'Data Entry'!$õ$758)</f>
      </c>
      <c r="FZ758">
        <f>IF(ISBLANK('Data Entry'!$ö$758), "", 'Data Entry'!$ö$758)</f>
      </c>
      <c r="GA758">
        <f>IF(ISBLANK('Data Entry'!$÷$758), "", 'Data Entry'!$÷$758)</f>
      </c>
      <c r="GB758">
        <f>IF(ISBLANK('Data Entry'!$ø$758), "", 'Data Entry'!$ø$758)</f>
      </c>
      <c r="GC758">
        <f>IF(ISBLANK('Data Entry'!$ù$758), "", 'Data Entry'!$ù$758)</f>
      </c>
      <c r="GD758">
        <f>IF(ISBLANK('Data Entry'!$ú$758), "", 'Data Entry'!$ú$758)</f>
      </c>
      <c r="GE758">
        <f>IF(ISBLANK('Data Entry'!$û$758), "", 'Data Entry'!$û$758)</f>
      </c>
      <c r="GF758">
        <f>IF(ISBLANK('Data Entry'!$ü$758), "", 'Data Entry'!$ü$758)</f>
      </c>
      <c r="GG758">
        <f>IF(ISBLANK('Data Entry'!$ý$758), "", 'Data Entry'!$ý$758)</f>
      </c>
      <c r="GH758">
        <f>IF(ISBLANK('Data Entry'!$þ$758), "", 'Data Entry'!$þ$758)</f>
      </c>
      <c r="GI758">
        <f>IF(ISBLANK('Data Entry'!$ÿ$758), "", 'Data Entry'!$ÿ$758)</f>
      </c>
      <c r="GJ758">
        <f>IF(ISBLANK('Data Entry'!$Ā$758), "", 'Data Entry'!$Ā$758)</f>
      </c>
      <c r="GK758">
        <f>IF(ISBLANK('Data Entry'!$ā$758), "", 'Data Entry'!$ā$758)</f>
      </c>
      <c r="GL758">
        <f>IF(ISBLANK('Data Entry'!$Ă$758), "", 'Data Entry'!$Ă$758)</f>
      </c>
      <c r="GM758">
        <f>IF(ISBLANK('Data Entry'!$ă$758), "", 'Data Entry'!$ă$758)</f>
      </c>
      <c r="GN758">
        <f>IF(ISBLANK('Data Entry'!$Ą$758), "", 'Data Entry'!$Ą$758)</f>
      </c>
      <c r="GO758">
        <f>IF(ISBLANK('Data Entry'!$ą$758), "", 'Data Entry'!$ą$758)</f>
      </c>
      <c r="GP758">
        <f>IF(ISBLANK('Data Entry'!$Ć$758), "", 'Data Entry'!$Ć$758)</f>
      </c>
      <c r="GQ758">
        <f>IF(ISBLANK('Data Entry'!$ć$758), "", 'Data Entry'!$ć$758)</f>
      </c>
      <c r="GR758">
        <f>IF(ISBLANK('Data Entry'!$Ĉ$758), "", 'Data Entry'!$Ĉ$758)</f>
      </c>
      <c r="GS758">
        <f>IF(ISBLANK('Data Entry'!$ĉ$758), "", 'Data Entry'!$ĉ$758)</f>
      </c>
      <c r="GT758">
        <f>IF(ISBLANK('Data Entry'!$Ċ$758), "", 'Data Entry'!$Ċ$758)</f>
      </c>
      <c r="GU758">
        <f>IF(ISBLANK('Data Entry'!$ċ$758), "", 'Data Entry'!$ċ$758)</f>
      </c>
      <c r="GV758">
        <f>IF(ISBLANK('Data Entry'!$Č$758), "", 'Data Entry'!$Č$758)</f>
      </c>
      <c r="GW758">
        <f>IF(ISBLANK('Data Entry'!$č$758), "", 'Data Entry'!$č$758)</f>
      </c>
      <c r="GX758">
        <f>IF(ISBLANK('Data Entry'!$Ď$758), "", 'Data Entry'!$Ď$758)</f>
      </c>
      <c r="GY758">
        <f>IF(ISBLANK('Data Entry'!$ď$758), "", 'Data Entry'!$ď$758)</f>
      </c>
      <c r="GZ758">
        <f>IF(ISBLANK('Data Entry'!$Đ$758), "", 'Data Entry'!$Đ$758)</f>
      </c>
      <c r="HA758">
        <f>IF(ISBLANK('Data Entry'!$đ$758), "", 'Data Entry'!$đ$758)</f>
      </c>
      <c r="HB758">
        <f>IF(ISBLANK('Data Entry'!$Ē$758), "", 'Data Entry'!$Ē$758)</f>
      </c>
      <c r="HC758">
        <f>IF(ISBLANK('Data Entry'!$ē$758), "", 'Data Entry'!$ē$758)</f>
      </c>
      <c r="HD758">
        <f>IF(ISBLANK('Data Entry'!$Ĕ$758), "", 'Data Entry'!$Ĕ$758)</f>
      </c>
      <c r="HE758">
        <f>IF(ISBLANK('Data Entry'!$ĕ$758), "", 'Data Entry'!$ĕ$758)</f>
      </c>
      <c r="HF758">
        <f>IF(ISBLANK('Data Entry'!$Ė$758), "", 'Data Entry'!$Ė$758)</f>
      </c>
      <c r="HG758">
        <f>IF(ISBLANK('Data Entry'!$ė$758), "", 'Data Entry'!$ė$758)</f>
      </c>
      <c r="HH758">
        <f>IF(ISBLANK('Data Entry'!$Ę$758), "", 'Data Entry'!$Ę$758)</f>
      </c>
      <c r="HI758">
        <f>IF(ISBLANK('Data Entry'!$ę$758), "", 'Data Entry'!$ę$758)</f>
      </c>
      <c r="HJ758">
        <f>IF(ISBLANK('Data Entry'!$Ě$758), "", 'Data Entry'!$Ě$758)</f>
      </c>
      <c r="HK758">
        <f>IF(ISBLANK('Data Entry'!$ě$758), "", 'Data Entry'!$ě$758)</f>
      </c>
      <c r="HL758">
        <f>IF(ISBLANK('Data Entry'!$Ĝ$758), "", 'Data Entry'!$Ĝ$758)</f>
      </c>
      <c r="HM758">
        <f>IF(ISBLANK('Data Entry'!$ĝ$758), "", 'Data Entry'!$ĝ$758)</f>
      </c>
      <c r="HN758">
        <f>IF(ISBLANK('Data Entry'!$Ğ$758), "", 'Data Entry'!$Ğ$758)</f>
      </c>
      <c r="HO758">
        <f>IF(ISBLANK('Data Entry'!$ğ$758), "", 'Data Entry'!$ğ$758)</f>
      </c>
      <c r="HP758">
        <f>IF(ISBLANK('Data Entry'!$Ġ$758), "", 'Data Entry'!$Ġ$758)</f>
      </c>
      <c r="HQ758">
        <f>IF(ISBLANK('Data Entry'!$ġ$758), "", 'Data Entry'!$ġ$758)</f>
      </c>
      <c r="HR758">
        <f>IF(ISBLANK('Data Entry'!$Ģ$758), "", 'Data Entry'!$Ģ$758)</f>
      </c>
      <c r="HS758">
        <f>IF(ISBLANK('Data Entry'!$ģ$758), "", 'Data Entry'!$ģ$758)</f>
      </c>
      <c r="HT758">
        <f>IF(ISBLANK('Data Entry'!$Ĥ$758), "", 'Data Entry'!$Ĥ$758)</f>
      </c>
      <c r="HU758">
        <f>IF(ISBLANK('Data Entry'!$ĥ$758), "", 'Data Entry'!$ĥ$758)</f>
      </c>
      <c r="HV758">
        <f>IF(ISBLANK('Data Entry'!$Ħ$758), "", 'Data Entry'!$Ħ$758)</f>
      </c>
      <c r="HW758">
        <f>IF(ISBLANK('Data Entry'!$ħ$758), "", 'Data Entry'!$ħ$758)</f>
      </c>
      <c r="HX758">
        <f>IF(ISBLANK('Data Entry'!$Ĩ$758), "", 'Data Entry'!$Ĩ$758)</f>
      </c>
      <c r="HY758">
        <f>IF(ISBLANK('Data Entry'!$ĩ$758), "", 'Data Entry'!$ĩ$758)</f>
      </c>
      <c r="HZ758">
        <f>IF(ISBLANK('Data Entry'!$Ī$758), "", 'Data Entry'!$Ī$758)</f>
      </c>
      <c r="IA758">
        <f>IF(ISBLANK('Data Entry'!$ī$758), "", 'Data Entry'!$ī$758)</f>
      </c>
      <c r="IB758">
        <f>IF(ISBLANK('Data Entry'!$Ĭ$758), "", 'Data Entry'!$Ĭ$758)</f>
      </c>
      <c r="IC758">
        <f>IF(ISBLANK('Data Entry'!$ĭ$758), "", 'Data Entry'!$ĭ$758)</f>
      </c>
      <c r="ID758">
        <f>IF(ISBLANK('Data Entry'!$Į$758), "", 'Data Entry'!$Į$758)</f>
      </c>
      <c r="IE758">
        <f>IF(ISBLANK('Data Entry'!$į$758), "", 'Data Entry'!$į$758)</f>
      </c>
      <c r="IF758">
        <f>IF(ISBLANK('Data Entry'!$İ$758), "", 'Data Entry'!$İ$758)</f>
      </c>
      <c r="IG758">
        <f>IF(ISBLANK('Data Entry'!$ı$758), "", 'Data Entry'!$ı$758)</f>
      </c>
      <c r="IH758">
        <f>IF(ISBLANK('Data Entry'!$Ĳ$758), "", 'Data Entry'!$Ĳ$758)</f>
      </c>
      <c r="II758">
        <f>IF(ISBLANK('Data Entry'!$ĳ$758), "", 'Data Entry'!$ĳ$758)</f>
      </c>
      <c r="IJ758">
        <f>IF(ISBLANK('Data Entry'!$Ĵ$758), "", 'Data Entry'!$Ĵ$758)</f>
      </c>
      <c r="IK758">
        <f>IF(ISBLANK('Data Entry'!$ĵ$758), "", 'Data Entry'!$ĵ$758)</f>
      </c>
      <c r="IL758">
        <f>IF(ISBLANK('Data Entry'!$Ķ$758), "", 'Data Entry'!$Ķ$758)</f>
      </c>
      <c r="IM758">
        <f>IF(ISBLANK('Data Entry'!$ķ$758), "", 'Data Entry'!$ķ$758)</f>
      </c>
      <c r="IN758">
        <f>IF(ISBLANK('Data Entry'!$ĸ$758), "", 'Data Entry'!$ĸ$758)</f>
      </c>
      <c r="IO758">
        <f>IF(ISBLANK('Data Entry'!$Ĺ$758), "", 'Data Entry'!$Ĺ$758)</f>
      </c>
      <c r="IP758">
        <f>IF(ISBLANK('Data Entry'!$ĺ$758), "", 'Data Entry'!$ĺ$758)</f>
      </c>
      <c r="IQ758">
        <f>IF(ISBLANK('Data Entry'!$Ļ$758), "", 'Data Entry'!$Ļ$758)</f>
      </c>
      <c r="IR758">
        <f>IF(ISBLANK('Data Entry'!$ļ$758), "", 'Data Entry'!$ļ$758)</f>
      </c>
      <c r="IS758">
        <f>IF(ISBLANK('Data Entry'!$Ľ$758), "", 'Data Entry'!$Ľ$758)</f>
      </c>
      <c r="IT758">
        <f>IF(ISBLANK('Data Entry'!$ľ$758), "", 'Data Entry'!$ľ$758)</f>
      </c>
    </row>
    <row r="759" spans="1:254" x14ac:dyDescent="0.25">
      <c r="A759">
        <f>IF(ISBLANK('Data Entry'!$A$759), "", 'Data Entry'!$A$759)</f>
      </c>
      <c r="B759">
        <f>IF(ISBLANK('Data Entry'!$B$759), "", 'Data Entry'!$B$759)</f>
      </c>
      <c r="C759">
        <f>IF(ISBLANK('Data Entry'!$C$759), "", 'Data Entry'!$C$759)</f>
      </c>
      <c r="D759">
        <f>IF(ISBLANK('Data Entry'!$D$759), "", 'Data Entry'!$D$759)</f>
      </c>
      <c r="E759">
        <f>IF(ISBLANK('Data Entry'!$E$759), "", 'Data Entry'!$E$759)</f>
      </c>
      <c r="F759">
        <f>IF(ISBLANK('Data Entry'!$F$759), "", 'Data Entry'!$F$759)</f>
      </c>
      <c r="G759">
        <f>IF(ISBLANK('Data Entry'!$G$759), "", 'Data Entry'!$G$759)</f>
      </c>
      <c r="H759">
        <f>IF(ISBLANK('Data Entry'!$H$759), "", 'Data Entry'!$H$759)</f>
      </c>
      <c r="I759">
        <f>IF(ISBLANK('Data Entry'!$I$759), "", 'Data Entry'!$I$759)</f>
      </c>
      <c r="J759">
        <f>IF(ISBLANK('Data Entry'!$J$759), "", 'Data Entry'!$J$759)</f>
      </c>
      <c r="K759">
        <f>IF(ISBLANK('Data Entry'!$K$759), "", 'Data Entry'!$K$759)</f>
      </c>
      <c r="L759">
        <f>IF(ISBLANK('Data Entry'!$L$759), "", 'Data Entry'!$L$759)</f>
      </c>
      <c r="M759">
        <f>IF(ISBLANK('Data Entry'!$M$759), "", 'Data Entry'!$M$759)</f>
      </c>
      <c r="N759">
        <f>IF(ISBLANK('Data Entry'!$N$759), "", 'Data Entry'!$N$759)</f>
      </c>
      <c r="O759">
        <f>IF(ISBLANK('Data Entry'!$O$759), "", 'Data Entry'!$O$759)</f>
      </c>
      <c r="P759">
        <f>IF(ISBLANK('Data Entry'!$P$759), "", 'Data Entry'!$P$759)</f>
      </c>
      <c r="Q759">
        <f>IF(ISBLANK('Data Entry'!$Q$759), "", 'Data Entry'!$Q$759)</f>
      </c>
      <c r="R759">
        <f>IF(ISBLANK('Data Entry'!$R$759), "", 'Data Entry'!$R$759)</f>
      </c>
      <c r="S759">
        <f>IF(ISBLANK('Data Entry'!$S$759), "", 'Data Entry'!$S$759)</f>
      </c>
      <c r="T759">
        <f>IF(ISBLANK('Data Entry'!$T$759), "", 'Data Entry'!$T$759)</f>
      </c>
      <c r="U759">
        <f>IF(ISBLANK('Data Entry'!$U$759), "", 'Data Entry'!$U$759)</f>
      </c>
      <c r="V759">
        <f>IF(ISBLANK('Data Entry'!$V$759), "", 'Data Entry'!$V$759)</f>
      </c>
      <c r="W759">
        <f>IF(ISBLANK('Data Entry'!$W$759), "", 'Data Entry'!$W$759)</f>
      </c>
      <c r="X759">
        <f>IF(ISBLANK('Data Entry'!$X$759), "", 'Data Entry'!$X$759)</f>
      </c>
      <c r="Y759">
        <f>IF(ISBLANK('Data Entry'!$Y$759), "", 'Data Entry'!$Y$759)</f>
      </c>
      <c r="Z759">
        <f>IF(ISBLANK('Data Entry'!$Z$759), "", 'Data Entry'!$Z$759)</f>
      </c>
      <c r="AA759">
        <f>IF(ISBLANK('Data Entry'!$[$759), "", 'Data Entry'!$[$759)</f>
      </c>
      <c r="AB759">
        <f>IF(ISBLANK('Data Entry'!$\$759), "", 'Data Entry'!$\$759)</f>
      </c>
      <c r="AC759">
        <f>IF(ISBLANK('Data Entry'!$]$759), "", 'Data Entry'!$]$759)</f>
      </c>
      <c r="AD759">
        <f>IF(ISBLANK('Data Entry'!$^$759), "", 'Data Entry'!$^$759)</f>
      </c>
      <c r="AE759">
        <f>IF(ISBLANK('Data Entry'!$_$759), "", 'Data Entry'!$_$759)</f>
      </c>
      <c r="AF759">
        <f>IF(ISBLANK('Data Entry'!$`$759), "", 'Data Entry'!$`$759)</f>
      </c>
      <c r="AG759">
        <f>IF(ISBLANK('Data Entry'!$a$759), "", 'Data Entry'!$a$759)</f>
      </c>
      <c r="AH759">
        <f>IF(ISBLANK('Data Entry'!$b$759), "", 'Data Entry'!$b$759)</f>
      </c>
      <c r="AI759">
        <f>IF(ISBLANK('Data Entry'!$c$759), "", 'Data Entry'!$c$759)</f>
      </c>
      <c r="AJ759">
        <f>IF(ISBLANK('Data Entry'!$d$759), "", 'Data Entry'!$d$759)</f>
      </c>
      <c r="AK759">
        <f>IF(ISBLANK('Data Entry'!$e$759), "", 'Data Entry'!$e$759)</f>
      </c>
      <c r="AL759">
        <f>IF(ISBLANK('Data Entry'!$f$759), "", 'Data Entry'!$f$759)</f>
      </c>
      <c r="AM759">
        <f>IF(ISBLANK('Data Entry'!$g$759), "", 'Data Entry'!$g$759)</f>
      </c>
      <c r="AN759">
        <f>IF(ISBLANK('Data Entry'!$h$759), "", 'Data Entry'!$h$759)</f>
      </c>
      <c r="AO759">
        <f>IF(ISBLANK('Data Entry'!$i$759), "", 'Data Entry'!$i$759)</f>
      </c>
      <c r="AP759">
        <f>IF(ISBLANK('Data Entry'!$j$759), "", 'Data Entry'!$j$759)</f>
      </c>
      <c r="AQ759">
        <f>IF(ISBLANK('Data Entry'!$k$759), "", 'Data Entry'!$k$759)</f>
      </c>
      <c r="AR759">
        <f>IF(ISBLANK('Data Entry'!$l$759), "", 'Data Entry'!$l$759)</f>
      </c>
      <c r="AS759">
        <f>IF(ISBLANK('Data Entry'!$m$759), "", 'Data Entry'!$m$759)</f>
      </c>
      <c r="AT759">
        <f>IF(ISBLANK('Data Entry'!$n$759), "", 'Data Entry'!$n$759)</f>
      </c>
      <c r="AU759">
        <f>IF(ISBLANK('Data Entry'!$o$759), "", 'Data Entry'!$o$759)</f>
      </c>
      <c r="AV759">
        <f>IF(ISBLANK('Data Entry'!$p$759), "", 'Data Entry'!$p$759)</f>
      </c>
      <c r="AW759">
        <f>IF(ISBLANK('Data Entry'!$q$759), "", 'Data Entry'!$q$759)</f>
      </c>
      <c r="AX759">
        <f>IF(ISBLANK('Data Entry'!$r$759), "", 'Data Entry'!$r$759)</f>
      </c>
      <c r="AY759">
        <f>IF(ISBLANK('Data Entry'!$s$759), "", 'Data Entry'!$s$759)</f>
      </c>
      <c r="AZ759">
        <f>IF(ISBLANK('Data Entry'!$t$759), "", 'Data Entry'!$t$759)</f>
      </c>
      <c r="BA759">
        <f>IF(ISBLANK('Data Entry'!$u$759), "", 'Data Entry'!$u$759)</f>
      </c>
      <c r="BB759">
        <f>IF(ISBLANK('Data Entry'!$v$759), "", 'Data Entry'!$v$759)</f>
      </c>
      <c r="BC759">
        <f>IF(ISBLANK('Data Entry'!$w$759), "", 'Data Entry'!$w$759)</f>
      </c>
      <c r="BD759">
        <f>IF(ISBLANK('Data Entry'!$x$759), "", 'Data Entry'!$x$759)</f>
      </c>
      <c r="BE759">
        <f>IF(ISBLANK('Data Entry'!$y$759), "", 'Data Entry'!$y$759)</f>
      </c>
      <c r="BF759">
        <f>IF(ISBLANK('Data Entry'!$z$759), "", 'Data Entry'!$z$759)</f>
      </c>
      <c r="BG759">
        <f>IF(ISBLANK('Data Entry'!${$759), "", 'Data Entry'!${$759)</f>
      </c>
      <c r="BH759">
        <f>IF(ISBLANK('Data Entry'!$|$759), "", 'Data Entry'!$|$759)</f>
      </c>
      <c r="BI759">
        <f>IF(ISBLANK('Data Entry'!$}$759), "", 'Data Entry'!$}$759)</f>
      </c>
      <c r="BJ759">
        <f>IF(ISBLANK('Data Entry'!$~$759), "", 'Data Entry'!$~$759)</f>
      </c>
      <c r="BK759">
        <f>IF(ISBLANK('Data Entry'!$$759), "", 'Data Entry'!$$759)</f>
      </c>
      <c r="BL759">
        <f>IF(ISBLANK('Data Entry'!$$759), "", 'Data Entry'!$$759)</f>
      </c>
      <c r="BM759">
        <f>IF(ISBLANK('Data Entry'!$$759), "", 'Data Entry'!$$759)</f>
      </c>
      <c r="BN759">
        <f>IF(ISBLANK('Data Entry'!$$759), "", 'Data Entry'!$$759)</f>
      </c>
      <c r="BO759">
        <f>IF(ISBLANK('Data Entry'!$$759), "", 'Data Entry'!$$759)</f>
      </c>
      <c r="BP759">
        <f>IF(ISBLANK('Data Entry'!$$759), "", 'Data Entry'!$$759)</f>
      </c>
      <c r="BQ759">
        <f>IF(ISBLANK('Data Entry'!$$759), "", 'Data Entry'!$$759)</f>
      </c>
      <c r="BR759">
        <f>IF(ISBLANK('Data Entry'!$$759), "", 'Data Entry'!$$759)</f>
      </c>
      <c r="BS759">
        <f>IF(ISBLANK('Data Entry'!$$759), "", 'Data Entry'!$$759)</f>
      </c>
      <c r="BT759">
        <f>IF(ISBLANK('Data Entry'!$$759), "", 'Data Entry'!$$759)</f>
      </c>
      <c r="BU759">
        <f>IF(ISBLANK('Data Entry'!$$759), "", 'Data Entry'!$$759)</f>
      </c>
      <c r="BV759">
        <f>IF(ISBLANK('Data Entry'!$$759), "", 'Data Entry'!$$759)</f>
      </c>
      <c r="BW759">
        <f>IF(ISBLANK('Data Entry'!$$759), "", 'Data Entry'!$$759)</f>
      </c>
      <c r="BX759">
        <f>IF(ISBLANK('Data Entry'!$$759), "", 'Data Entry'!$$759)</f>
      </c>
      <c r="BY759">
        <f>IF(ISBLANK('Data Entry'!$$759), "", 'Data Entry'!$$759)</f>
      </c>
      <c r="BZ759">
        <f>IF(ISBLANK('Data Entry'!$$759), "", 'Data Entry'!$$759)</f>
      </c>
      <c r="CA759">
        <f>IF(ISBLANK('Data Entry'!$$759), "", 'Data Entry'!$$759)</f>
      </c>
      <c r="CB759">
        <f>IF(ISBLANK('Data Entry'!$$759), "", 'Data Entry'!$$759)</f>
      </c>
      <c r="CC759">
        <f>IF(ISBLANK('Data Entry'!$$759), "", 'Data Entry'!$$759)</f>
      </c>
      <c r="CD759">
        <f>IF(ISBLANK('Data Entry'!$$759), "", 'Data Entry'!$$759)</f>
      </c>
      <c r="CE759">
        <f>IF(ISBLANK('Data Entry'!$$759), "", 'Data Entry'!$$759)</f>
      </c>
      <c r="CF759">
        <f>IF(ISBLANK('Data Entry'!$$759), "", 'Data Entry'!$$759)</f>
      </c>
      <c r="CG759">
        <f>IF(ISBLANK('Data Entry'!$$759), "", 'Data Entry'!$$759)</f>
      </c>
      <c r="CH759">
        <f>IF(ISBLANK('Data Entry'!$$759), "", 'Data Entry'!$$759)</f>
      </c>
      <c r="CI759">
        <f>IF(ISBLANK('Data Entry'!$$759), "", 'Data Entry'!$$759)</f>
      </c>
      <c r="CJ759">
        <f>IF(ISBLANK('Data Entry'!$$759), "", 'Data Entry'!$$759)</f>
      </c>
      <c r="CK759">
        <f>IF(ISBLANK('Data Entry'!$$759), "", 'Data Entry'!$$759)</f>
      </c>
      <c r="CL759">
        <f>IF(ISBLANK('Data Entry'!$$759), "", 'Data Entry'!$$759)</f>
      </c>
      <c r="CM759">
        <f>IF(ISBLANK('Data Entry'!$$759), "", 'Data Entry'!$$759)</f>
      </c>
      <c r="CN759">
        <f>IF(ISBLANK('Data Entry'!$$759), "", 'Data Entry'!$$759)</f>
      </c>
      <c r="CO759">
        <f>IF(ISBLANK('Data Entry'!$$759), "", 'Data Entry'!$$759)</f>
      </c>
      <c r="CP759">
        <f>IF(ISBLANK('Data Entry'!$$759), "", 'Data Entry'!$$759)</f>
      </c>
      <c r="CQ759">
        <f>IF(ISBLANK('Data Entry'!$$759), "", 'Data Entry'!$$759)</f>
      </c>
      <c r="CR759">
        <f>IF(ISBLANK('Data Entry'!$ $759), "", 'Data Entry'!$ $759)</f>
      </c>
      <c r="CS759">
        <f>IF(ISBLANK('Data Entry'!$¡$759), "", 'Data Entry'!$¡$759)</f>
      </c>
      <c r="CT759">
        <f>IF(ISBLANK('Data Entry'!$¢$759), "", 'Data Entry'!$¢$759)</f>
      </c>
      <c r="CU759">
        <f>IF(ISBLANK('Data Entry'!$£$759), "", 'Data Entry'!$£$759)</f>
      </c>
      <c r="CV759">
        <f>IF(ISBLANK('Data Entry'!$¤$759), "", 'Data Entry'!$¤$759)</f>
      </c>
      <c r="CW759">
        <f>IF(ISBLANK('Data Entry'!$¥$759), "", 'Data Entry'!$¥$759)</f>
      </c>
      <c r="CX759">
        <f>IF(ISBLANK('Data Entry'!$¦$759), "", 'Data Entry'!$¦$759)</f>
      </c>
      <c r="CY759">
        <f>IF(ISBLANK('Data Entry'!$§$759), "", 'Data Entry'!$§$759)</f>
      </c>
      <c r="CZ759">
        <f>IF(ISBLANK('Data Entry'!$¨$759), "", 'Data Entry'!$¨$759)</f>
      </c>
      <c r="DA759">
        <f>IF(ISBLANK('Data Entry'!$©$759), "", 'Data Entry'!$©$759)</f>
      </c>
      <c r="DB759">
        <f>IF(ISBLANK('Data Entry'!$ª$759), "", 'Data Entry'!$ª$759)</f>
      </c>
      <c r="DC759">
        <f>IF(ISBLANK('Data Entry'!$«$759), "", 'Data Entry'!$«$759)</f>
      </c>
      <c r="DD759">
        <f>IF(ISBLANK('Data Entry'!$¬$759), "", 'Data Entry'!$¬$759)</f>
      </c>
      <c r="DE759">
        <f>IF(ISBLANK('Data Entry'!$­$759), "", 'Data Entry'!$­$759)</f>
      </c>
      <c r="DF759">
        <f>IF(ISBLANK('Data Entry'!$®$759), "", 'Data Entry'!$®$759)</f>
      </c>
      <c r="DG759">
        <f>IF(ISBLANK('Data Entry'!$¯$759), "", 'Data Entry'!$¯$759)</f>
      </c>
      <c r="DH759">
        <f>IF(ISBLANK('Data Entry'!$°$759), "", 'Data Entry'!$°$759)</f>
      </c>
      <c r="DI759">
        <f>IF(ISBLANK('Data Entry'!$±$759), "", 'Data Entry'!$±$759)</f>
      </c>
      <c r="DJ759">
        <f>IF(ISBLANK('Data Entry'!$²$759), "", 'Data Entry'!$²$759)</f>
      </c>
      <c r="DK759">
        <f>IF(ISBLANK('Data Entry'!$³$759), "", 'Data Entry'!$³$759)</f>
      </c>
      <c r="DL759">
        <f>IF(ISBLANK('Data Entry'!$´$759), "", 'Data Entry'!$´$759)</f>
      </c>
      <c r="DM759">
        <f>IF(ISBLANK('Data Entry'!$µ$759), "", 'Data Entry'!$µ$759)</f>
      </c>
      <c r="DN759">
        <f>IF(ISBLANK('Data Entry'!$¶$759), "", 'Data Entry'!$¶$759)</f>
      </c>
      <c r="DO759">
        <f>IF(ISBLANK('Data Entry'!$·$759), "", 'Data Entry'!$·$759)</f>
      </c>
      <c r="DP759">
        <f>IF(ISBLANK('Data Entry'!$¸$759), "", 'Data Entry'!$¸$759)</f>
      </c>
      <c r="DQ759">
        <f>IF(ISBLANK('Data Entry'!$¹$759), "", 'Data Entry'!$¹$759)</f>
      </c>
      <c r="DR759">
        <f>IF(ISBLANK('Data Entry'!$º$759), "", 'Data Entry'!$º$759)</f>
      </c>
      <c r="DS759">
        <f>IF(ISBLANK('Data Entry'!$»$759), "", 'Data Entry'!$»$759)</f>
      </c>
      <c r="DT759">
        <f>IF(ISBLANK('Data Entry'!$¼$759), "", 'Data Entry'!$¼$759)</f>
      </c>
      <c r="DU759">
        <f>IF(ISBLANK('Data Entry'!$½$759), "", 'Data Entry'!$½$759)</f>
      </c>
      <c r="DV759">
        <f>IF(ISBLANK('Data Entry'!$¾$759), "", 'Data Entry'!$¾$759)</f>
      </c>
      <c r="DW759">
        <f>IF(ISBLANK('Data Entry'!$¿$759), "", 'Data Entry'!$¿$759)</f>
      </c>
      <c r="DX759">
        <f>IF(ISBLANK('Data Entry'!$À$759), "", 'Data Entry'!$À$759)</f>
      </c>
      <c r="DY759">
        <f>IF(ISBLANK('Data Entry'!$Á$759), "", 'Data Entry'!$Á$759)</f>
      </c>
      <c r="DZ759">
        <f>IF(ISBLANK('Data Entry'!$Â$759), "", 'Data Entry'!$Â$759)</f>
      </c>
      <c r="EA759">
        <f>IF(ISBLANK('Data Entry'!$Ã$759), "", 'Data Entry'!$Ã$759)</f>
      </c>
      <c r="EB759">
        <f>IF(ISBLANK('Data Entry'!$Ä$759), "", 'Data Entry'!$Ä$759)</f>
      </c>
      <c r="EC759">
        <f>IF(ISBLANK('Data Entry'!$Å$759), "", 'Data Entry'!$Å$759)</f>
      </c>
      <c r="ED759">
        <f>IF(ISBLANK('Data Entry'!$Æ$759), "", 'Data Entry'!$Æ$759)</f>
      </c>
      <c r="EE759">
        <f>IF(ISBLANK('Data Entry'!$Ç$759), "", 'Data Entry'!$Ç$759)</f>
      </c>
      <c r="EF759">
        <f>IF(ISBLANK('Data Entry'!$È$759), "", 'Data Entry'!$È$759)</f>
      </c>
      <c r="EG759">
        <f>IF(ISBLANK('Data Entry'!$É$759), "", 'Data Entry'!$É$759)</f>
      </c>
      <c r="EH759">
        <f>IF(ISBLANK('Data Entry'!$Ê$759), "", 'Data Entry'!$Ê$759)</f>
      </c>
      <c r="EI759">
        <f>IF(ISBLANK('Data Entry'!$Ë$759), "", 'Data Entry'!$Ë$759)</f>
      </c>
      <c r="EJ759">
        <f>IF(ISBLANK('Data Entry'!$Ì$759), "", 'Data Entry'!$Ì$759)</f>
      </c>
      <c r="EK759">
        <f>IF(ISBLANK('Data Entry'!$Í$759), "", 'Data Entry'!$Í$759)</f>
      </c>
      <c r="EL759">
        <f>IF(ISBLANK('Data Entry'!$Î$759), "", 'Data Entry'!$Î$759)</f>
      </c>
      <c r="EM759">
        <f>IF(ISBLANK('Data Entry'!$Ï$759), "", 'Data Entry'!$Ï$759)</f>
      </c>
      <c r="EN759">
        <f>IF(ISBLANK('Data Entry'!$Ð$759), "", 'Data Entry'!$Ð$759)</f>
      </c>
      <c r="EO759">
        <f>IF(ISBLANK('Data Entry'!$Ñ$759), "", 'Data Entry'!$Ñ$759)</f>
      </c>
      <c r="EP759">
        <f>IF(ISBLANK('Data Entry'!$Ò$759), "", 'Data Entry'!$Ò$759)</f>
      </c>
      <c r="EQ759">
        <f>IF(ISBLANK('Data Entry'!$Ó$759), "", 'Data Entry'!$Ó$759)</f>
      </c>
      <c r="ER759">
        <f>IF(ISBLANK('Data Entry'!$Ô$759), "", 'Data Entry'!$Ô$759)</f>
      </c>
      <c r="ES759">
        <f>IF(ISBLANK('Data Entry'!$Õ$759), "", 'Data Entry'!$Õ$759)</f>
      </c>
      <c r="ET759">
        <f>IF(ISBLANK('Data Entry'!$Ö$759), "", 'Data Entry'!$Ö$759)</f>
      </c>
      <c r="EU759">
        <f>IF(ISBLANK('Data Entry'!$×$759), "", 'Data Entry'!$×$759)</f>
      </c>
      <c r="EV759">
        <f>IF(ISBLANK('Data Entry'!$Ø$759), "", 'Data Entry'!$Ø$759)</f>
      </c>
      <c r="EW759">
        <f>IF(ISBLANK('Data Entry'!$Ù$759), "", 'Data Entry'!$Ù$759)</f>
      </c>
      <c r="EX759">
        <f>IF(ISBLANK('Data Entry'!$Ú$759), "", 'Data Entry'!$Ú$759)</f>
      </c>
      <c r="EY759">
        <f>IF(ISBLANK('Data Entry'!$Û$759), "", 'Data Entry'!$Û$759)</f>
      </c>
      <c r="EZ759">
        <f>IF(ISBLANK('Data Entry'!$Ü$759), "", 'Data Entry'!$Ü$759)</f>
      </c>
      <c r="FA759">
        <f>IF(ISBLANK('Data Entry'!$Ý$759), "", 'Data Entry'!$Ý$759)</f>
      </c>
      <c r="FB759">
        <f>IF(ISBLANK('Data Entry'!$Þ$759), "", 'Data Entry'!$Þ$759)</f>
      </c>
      <c r="FC759">
        <f>IF(ISBLANK('Data Entry'!$ß$759), "", 'Data Entry'!$ß$759)</f>
      </c>
      <c r="FD759">
        <f>IF(ISBLANK('Data Entry'!$à$759), "", 'Data Entry'!$à$759)</f>
      </c>
      <c r="FE759">
        <f>IF(ISBLANK('Data Entry'!$á$759), "", 'Data Entry'!$á$759)</f>
      </c>
      <c r="FF759">
        <f>IF(ISBLANK('Data Entry'!$â$759), "", 'Data Entry'!$â$759)</f>
      </c>
      <c r="FG759">
        <f>IF(ISBLANK('Data Entry'!$ã$759), "", 'Data Entry'!$ã$759)</f>
      </c>
      <c r="FH759">
        <f>IF(ISBLANK('Data Entry'!$ä$759), "", 'Data Entry'!$ä$759)</f>
      </c>
      <c r="FI759">
        <f>IF(ISBLANK('Data Entry'!$å$759), "", 'Data Entry'!$å$759)</f>
      </c>
      <c r="FJ759">
        <f>IF(ISBLANK('Data Entry'!$æ$759), "", 'Data Entry'!$æ$759)</f>
      </c>
      <c r="FK759">
        <f>IF(ISBLANK('Data Entry'!$ç$759), "", 'Data Entry'!$ç$759)</f>
      </c>
      <c r="FL759">
        <f>IF(ISBLANK('Data Entry'!$è$759), "", 'Data Entry'!$è$759)</f>
      </c>
      <c r="FM759">
        <f>IF(ISBLANK('Data Entry'!$é$759), "", 'Data Entry'!$é$759)</f>
      </c>
      <c r="FN759">
        <f>IF(ISBLANK('Data Entry'!$ê$759), "", 'Data Entry'!$ê$759)</f>
      </c>
      <c r="FO759">
        <f>IF(ISBLANK('Data Entry'!$ë$759), "", 'Data Entry'!$ë$759)</f>
      </c>
      <c r="FP759">
        <f>IF(ISBLANK('Data Entry'!$ì$759), "", 'Data Entry'!$ì$759)</f>
      </c>
      <c r="FQ759">
        <f>IF(ISBLANK('Data Entry'!$í$759), "", 'Data Entry'!$í$759)</f>
      </c>
      <c r="FR759">
        <f>IF(ISBLANK('Data Entry'!$î$759), "", 'Data Entry'!$î$759)</f>
      </c>
      <c r="FS759">
        <f>IF(ISBLANK('Data Entry'!$ï$759), "", 'Data Entry'!$ï$759)</f>
      </c>
      <c r="FT759">
        <f>IF(ISBLANK('Data Entry'!$ð$759), "", 'Data Entry'!$ð$759)</f>
      </c>
      <c r="FU759">
        <f>IF(ISBLANK('Data Entry'!$ñ$759), "", 'Data Entry'!$ñ$759)</f>
      </c>
      <c r="FV759">
        <f>IF(ISBLANK('Data Entry'!$ò$759), "", 'Data Entry'!$ò$759)</f>
      </c>
      <c r="FW759">
        <f>IF(ISBLANK('Data Entry'!$ó$759), "", 'Data Entry'!$ó$759)</f>
      </c>
      <c r="FX759">
        <f>IF(ISBLANK('Data Entry'!$ô$759), "", 'Data Entry'!$ô$759)</f>
      </c>
      <c r="FY759">
        <f>IF(ISBLANK('Data Entry'!$õ$759), "", 'Data Entry'!$õ$759)</f>
      </c>
      <c r="FZ759">
        <f>IF(ISBLANK('Data Entry'!$ö$759), "", 'Data Entry'!$ö$759)</f>
      </c>
      <c r="GA759">
        <f>IF(ISBLANK('Data Entry'!$÷$759), "", 'Data Entry'!$÷$759)</f>
      </c>
      <c r="GB759">
        <f>IF(ISBLANK('Data Entry'!$ø$759), "", 'Data Entry'!$ø$759)</f>
      </c>
      <c r="GC759">
        <f>IF(ISBLANK('Data Entry'!$ù$759), "", 'Data Entry'!$ù$759)</f>
      </c>
      <c r="GD759">
        <f>IF(ISBLANK('Data Entry'!$ú$759), "", 'Data Entry'!$ú$759)</f>
      </c>
      <c r="GE759">
        <f>IF(ISBLANK('Data Entry'!$û$759), "", 'Data Entry'!$û$759)</f>
      </c>
      <c r="GF759">
        <f>IF(ISBLANK('Data Entry'!$ü$759), "", 'Data Entry'!$ü$759)</f>
      </c>
      <c r="GG759">
        <f>IF(ISBLANK('Data Entry'!$ý$759), "", 'Data Entry'!$ý$759)</f>
      </c>
      <c r="GH759">
        <f>IF(ISBLANK('Data Entry'!$þ$759), "", 'Data Entry'!$þ$759)</f>
      </c>
      <c r="GI759">
        <f>IF(ISBLANK('Data Entry'!$ÿ$759), "", 'Data Entry'!$ÿ$759)</f>
      </c>
      <c r="GJ759">
        <f>IF(ISBLANK('Data Entry'!$Ā$759), "", 'Data Entry'!$Ā$759)</f>
      </c>
      <c r="GK759">
        <f>IF(ISBLANK('Data Entry'!$ā$759), "", 'Data Entry'!$ā$759)</f>
      </c>
      <c r="GL759">
        <f>IF(ISBLANK('Data Entry'!$Ă$759), "", 'Data Entry'!$Ă$759)</f>
      </c>
      <c r="GM759">
        <f>IF(ISBLANK('Data Entry'!$ă$759), "", 'Data Entry'!$ă$759)</f>
      </c>
      <c r="GN759">
        <f>IF(ISBLANK('Data Entry'!$Ą$759), "", 'Data Entry'!$Ą$759)</f>
      </c>
      <c r="GO759">
        <f>IF(ISBLANK('Data Entry'!$ą$759), "", 'Data Entry'!$ą$759)</f>
      </c>
      <c r="GP759">
        <f>IF(ISBLANK('Data Entry'!$Ć$759), "", 'Data Entry'!$Ć$759)</f>
      </c>
      <c r="GQ759">
        <f>IF(ISBLANK('Data Entry'!$ć$759), "", 'Data Entry'!$ć$759)</f>
      </c>
      <c r="GR759">
        <f>IF(ISBLANK('Data Entry'!$Ĉ$759), "", 'Data Entry'!$Ĉ$759)</f>
      </c>
      <c r="GS759">
        <f>IF(ISBLANK('Data Entry'!$ĉ$759), "", 'Data Entry'!$ĉ$759)</f>
      </c>
      <c r="GT759">
        <f>IF(ISBLANK('Data Entry'!$Ċ$759), "", 'Data Entry'!$Ċ$759)</f>
      </c>
      <c r="GU759">
        <f>IF(ISBLANK('Data Entry'!$ċ$759), "", 'Data Entry'!$ċ$759)</f>
      </c>
      <c r="GV759">
        <f>IF(ISBLANK('Data Entry'!$Č$759), "", 'Data Entry'!$Č$759)</f>
      </c>
      <c r="GW759">
        <f>IF(ISBLANK('Data Entry'!$č$759), "", 'Data Entry'!$č$759)</f>
      </c>
      <c r="GX759">
        <f>IF(ISBLANK('Data Entry'!$Ď$759), "", 'Data Entry'!$Ď$759)</f>
      </c>
      <c r="GY759">
        <f>IF(ISBLANK('Data Entry'!$ď$759), "", 'Data Entry'!$ď$759)</f>
      </c>
      <c r="GZ759">
        <f>IF(ISBLANK('Data Entry'!$Đ$759), "", 'Data Entry'!$Đ$759)</f>
      </c>
      <c r="HA759">
        <f>IF(ISBLANK('Data Entry'!$đ$759), "", 'Data Entry'!$đ$759)</f>
      </c>
      <c r="HB759">
        <f>IF(ISBLANK('Data Entry'!$Ē$759), "", 'Data Entry'!$Ē$759)</f>
      </c>
      <c r="HC759">
        <f>IF(ISBLANK('Data Entry'!$ē$759), "", 'Data Entry'!$ē$759)</f>
      </c>
      <c r="HD759">
        <f>IF(ISBLANK('Data Entry'!$Ĕ$759), "", 'Data Entry'!$Ĕ$759)</f>
      </c>
      <c r="HE759">
        <f>IF(ISBLANK('Data Entry'!$ĕ$759), "", 'Data Entry'!$ĕ$759)</f>
      </c>
      <c r="HF759">
        <f>IF(ISBLANK('Data Entry'!$Ė$759), "", 'Data Entry'!$Ė$759)</f>
      </c>
      <c r="HG759">
        <f>IF(ISBLANK('Data Entry'!$ė$759), "", 'Data Entry'!$ė$759)</f>
      </c>
      <c r="HH759">
        <f>IF(ISBLANK('Data Entry'!$Ę$759), "", 'Data Entry'!$Ę$759)</f>
      </c>
      <c r="HI759">
        <f>IF(ISBLANK('Data Entry'!$ę$759), "", 'Data Entry'!$ę$759)</f>
      </c>
      <c r="HJ759">
        <f>IF(ISBLANK('Data Entry'!$Ě$759), "", 'Data Entry'!$Ě$759)</f>
      </c>
      <c r="HK759">
        <f>IF(ISBLANK('Data Entry'!$ě$759), "", 'Data Entry'!$ě$759)</f>
      </c>
      <c r="HL759">
        <f>IF(ISBLANK('Data Entry'!$Ĝ$759), "", 'Data Entry'!$Ĝ$759)</f>
      </c>
      <c r="HM759">
        <f>IF(ISBLANK('Data Entry'!$ĝ$759), "", 'Data Entry'!$ĝ$759)</f>
      </c>
      <c r="HN759">
        <f>IF(ISBLANK('Data Entry'!$Ğ$759), "", 'Data Entry'!$Ğ$759)</f>
      </c>
      <c r="HO759">
        <f>IF(ISBLANK('Data Entry'!$ğ$759), "", 'Data Entry'!$ğ$759)</f>
      </c>
      <c r="HP759">
        <f>IF(ISBLANK('Data Entry'!$Ġ$759), "", 'Data Entry'!$Ġ$759)</f>
      </c>
      <c r="HQ759">
        <f>IF(ISBLANK('Data Entry'!$ġ$759), "", 'Data Entry'!$ġ$759)</f>
      </c>
      <c r="HR759">
        <f>IF(ISBLANK('Data Entry'!$Ģ$759), "", 'Data Entry'!$Ģ$759)</f>
      </c>
      <c r="HS759">
        <f>IF(ISBLANK('Data Entry'!$ģ$759), "", 'Data Entry'!$ģ$759)</f>
      </c>
      <c r="HT759">
        <f>IF(ISBLANK('Data Entry'!$Ĥ$759), "", 'Data Entry'!$Ĥ$759)</f>
      </c>
      <c r="HU759">
        <f>IF(ISBLANK('Data Entry'!$ĥ$759), "", 'Data Entry'!$ĥ$759)</f>
      </c>
      <c r="HV759">
        <f>IF(ISBLANK('Data Entry'!$Ħ$759), "", 'Data Entry'!$Ħ$759)</f>
      </c>
      <c r="HW759">
        <f>IF(ISBLANK('Data Entry'!$ħ$759), "", 'Data Entry'!$ħ$759)</f>
      </c>
      <c r="HX759">
        <f>IF(ISBLANK('Data Entry'!$Ĩ$759), "", 'Data Entry'!$Ĩ$759)</f>
      </c>
      <c r="HY759">
        <f>IF(ISBLANK('Data Entry'!$ĩ$759), "", 'Data Entry'!$ĩ$759)</f>
      </c>
      <c r="HZ759">
        <f>IF(ISBLANK('Data Entry'!$Ī$759), "", 'Data Entry'!$Ī$759)</f>
      </c>
      <c r="IA759">
        <f>IF(ISBLANK('Data Entry'!$ī$759), "", 'Data Entry'!$ī$759)</f>
      </c>
      <c r="IB759">
        <f>IF(ISBLANK('Data Entry'!$Ĭ$759), "", 'Data Entry'!$Ĭ$759)</f>
      </c>
      <c r="IC759">
        <f>IF(ISBLANK('Data Entry'!$ĭ$759), "", 'Data Entry'!$ĭ$759)</f>
      </c>
      <c r="ID759">
        <f>IF(ISBLANK('Data Entry'!$Į$759), "", 'Data Entry'!$Į$759)</f>
      </c>
      <c r="IE759">
        <f>IF(ISBLANK('Data Entry'!$į$759), "", 'Data Entry'!$į$759)</f>
      </c>
      <c r="IF759">
        <f>IF(ISBLANK('Data Entry'!$İ$759), "", 'Data Entry'!$İ$759)</f>
      </c>
      <c r="IG759">
        <f>IF(ISBLANK('Data Entry'!$ı$759), "", 'Data Entry'!$ı$759)</f>
      </c>
      <c r="IH759">
        <f>IF(ISBLANK('Data Entry'!$Ĳ$759), "", 'Data Entry'!$Ĳ$759)</f>
      </c>
      <c r="II759">
        <f>IF(ISBLANK('Data Entry'!$ĳ$759), "", 'Data Entry'!$ĳ$759)</f>
      </c>
      <c r="IJ759">
        <f>IF(ISBLANK('Data Entry'!$Ĵ$759), "", 'Data Entry'!$Ĵ$759)</f>
      </c>
      <c r="IK759">
        <f>IF(ISBLANK('Data Entry'!$ĵ$759), "", 'Data Entry'!$ĵ$759)</f>
      </c>
      <c r="IL759">
        <f>IF(ISBLANK('Data Entry'!$Ķ$759), "", 'Data Entry'!$Ķ$759)</f>
      </c>
      <c r="IM759">
        <f>IF(ISBLANK('Data Entry'!$ķ$759), "", 'Data Entry'!$ķ$759)</f>
      </c>
      <c r="IN759">
        <f>IF(ISBLANK('Data Entry'!$ĸ$759), "", 'Data Entry'!$ĸ$759)</f>
      </c>
      <c r="IO759">
        <f>IF(ISBLANK('Data Entry'!$Ĺ$759), "", 'Data Entry'!$Ĺ$759)</f>
      </c>
      <c r="IP759">
        <f>IF(ISBLANK('Data Entry'!$ĺ$759), "", 'Data Entry'!$ĺ$759)</f>
      </c>
      <c r="IQ759">
        <f>IF(ISBLANK('Data Entry'!$Ļ$759), "", 'Data Entry'!$Ļ$759)</f>
      </c>
      <c r="IR759">
        <f>IF(ISBLANK('Data Entry'!$ļ$759), "", 'Data Entry'!$ļ$759)</f>
      </c>
      <c r="IS759">
        <f>IF(ISBLANK('Data Entry'!$Ľ$759), "", 'Data Entry'!$Ľ$759)</f>
      </c>
      <c r="IT759">
        <f>IF(ISBLANK('Data Entry'!$ľ$759), "", 'Data Entry'!$ľ$759)</f>
      </c>
    </row>
    <row r="760" spans="1:254" x14ac:dyDescent="0.25">
      <c r="A760">
        <f>IF(ISBLANK('Data Entry'!$A$760), "", 'Data Entry'!$A$760)</f>
      </c>
      <c r="B760">
        <f>IF(ISBLANK('Data Entry'!$B$760), "", 'Data Entry'!$B$760)</f>
      </c>
      <c r="C760">
        <f>IF(ISBLANK('Data Entry'!$C$760), "", 'Data Entry'!$C$760)</f>
      </c>
      <c r="D760">
        <f>IF(ISBLANK('Data Entry'!$D$760), "", 'Data Entry'!$D$760)</f>
      </c>
      <c r="E760">
        <f>IF(ISBLANK('Data Entry'!$E$760), "", 'Data Entry'!$E$760)</f>
      </c>
      <c r="F760">
        <f>IF(ISBLANK('Data Entry'!$F$760), "", 'Data Entry'!$F$760)</f>
      </c>
      <c r="G760">
        <f>IF(ISBLANK('Data Entry'!$G$760), "", 'Data Entry'!$G$760)</f>
      </c>
      <c r="H760">
        <f>IF(ISBLANK('Data Entry'!$H$760), "", 'Data Entry'!$H$760)</f>
      </c>
      <c r="I760">
        <f>IF(ISBLANK('Data Entry'!$I$760), "", 'Data Entry'!$I$760)</f>
      </c>
      <c r="J760">
        <f>IF(ISBLANK('Data Entry'!$J$760), "", 'Data Entry'!$J$760)</f>
      </c>
      <c r="K760">
        <f>IF(ISBLANK('Data Entry'!$K$760), "", 'Data Entry'!$K$760)</f>
      </c>
      <c r="L760">
        <f>IF(ISBLANK('Data Entry'!$L$760), "", 'Data Entry'!$L$760)</f>
      </c>
      <c r="M760">
        <f>IF(ISBLANK('Data Entry'!$M$760), "", 'Data Entry'!$M$760)</f>
      </c>
      <c r="N760">
        <f>IF(ISBLANK('Data Entry'!$N$760), "", 'Data Entry'!$N$760)</f>
      </c>
      <c r="O760">
        <f>IF(ISBLANK('Data Entry'!$O$760), "", 'Data Entry'!$O$760)</f>
      </c>
      <c r="P760">
        <f>IF(ISBLANK('Data Entry'!$P$760), "", 'Data Entry'!$P$760)</f>
      </c>
      <c r="Q760">
        <f>IF(ISBLANK('Data Entry'!$Q$760), "", 'Data Entry'!$Q$760)</f>
      </c>
      <c r="R760">
        <f>IF(ISBLANK('Data Entry'!$R$760), "", 'Data Entry'!$R$760)</f>
      </c>
      <c r="S760">
        <f>IF(ISBLANK('Data Entry'!$S$760), "", 'Data Entry'!$S$760)</f>
      </c>
      <c r="T760">
        <f>IF(ISBLANK('Data Entry'!$T$760), "", 'Data Entry'!$T$760)</f>
      </c>
      <c r="U760">
        <f>IF(ISBLANK('Data Entry'!$U$760), "", 'Data Entry'!$U$760)</f>
      </c>
      <c r="V760">
        <f>IF(ISBLANK('Data Entry'!$V$760), "", 'Data Entry'!$V$760)</f>
      </c>
      <c r="W760">
        <f>IF(ISBLANK('Data Entry'!$W$760), "", 'Data Entry'!$W$760)</f>
      </c>
      <c r="X760">
        <f>IF(ISBLANK('Data Entry'!$X$760), "", 'Data Entry'!$X$760)</f>
      </c>
      <c r="Y760">
        <f>IF(ISBLANK('Data Entry'!$Y$760), "", 'Data Entry'!$Y$760)</f>
      </c>
      <c r="Z760">
        <f>IF(ISBLANK('Data Entry'!$Z$760), "", 'Data Entry'!$Z$760)</f>
      </c>
      <c r="AA760">
        <f>IF(ISBLANK('Data Entry'!$[$760), "", 'Data Entry'!$[$760)</f>
      </c>
      <c r="AB760">
        <f>IF(ISBLANK('Data Entry'!$\$760), "", 'Data Entry'!$\$760)</f>
      </c>
      <c r="AC760">
        <f>IF(ISBLANK('Data Entry'!$]$760), "", 'Data Entry'!$]$760)</f>
      </c>
      <c r="AD760">
        <f>IF(ISBLANK('Data Entry'!$^$760), "", 'Data Entry'!$^$760)</f>
      </c>
      <c r="AE760">
        <f>IF(ISBLANK('Data Entry'!$_$760), "", 'Data Entry'!$_$760)</f>
      </c>
      <c r="AF760">
        <f>IF(ISBLANK('Data Entry'!$`$760), "", 'Data Entry'!$`$760)</f>
      </c>
      <c r="AG760">
        <f>IF(ISBLANK('Data Entry'!$a$760), "", 'Data Entry'!$a$760)</f>
      </c>
      <c r="AH760">
        <f>IF(ISBLANK('Data Entry'!$b$760), "", 'Data Entry'!$b$760)</f>
      </c>
      <c r="AI760">
        <f>IF(ISBLANK('Data Entry'!$c$760), "", 'Data Entry'!$c$760)</f>
      </c>
      <c r="AJ760">
        <f>IF(ISBLANK('Data Entry'!$d$760), "", 'Data Entry'!$d$760)</f>
      </c>
      <c r="AK760">
        <f>IF(ISBLANK('Data Entry'!$e$760), "", 'Data Entry'!$e$760)</f>
      </c>
      <c r="AL760">
        <f>IF(ISBLANK('Data Entry'!$f$760), "", 'Data Entry'!$f$760)</f>
      </c>
      <c r="AM760">
        <f>IF(ISBLANK('Data Entry'!$g$760), "", 'Data Entry'!$g$760)</f>
      </c>
      <c r="AN760">
        <f>IF(ISBLANK('Data Entry'!$h$760), "", 'Data Entry'!$h$760)</f>
      </c>
      <c r="AO760">
        <f>IF(ISBLANK('Data Entry'!$i$760), "", 'Data Entry'!$i$760)</f>
      </c>
      <c r="AP760">
        <f>IF(ISBLANK('Data Entry'!$j$760), "", 'Data Entry'!$j$760)</f>
      </c>
      <c r="AQ760">
        <f>IF(ISBLANK('Data Entry'!$k$760), "", 'Data Entry'!$k$760)</f>
      </c>
      <c r="AR760">
        <f>IF(ISBLANK('Data Entry'!$l$760), "", 'Data Entry'!$l$760)</f>
      </c>
      <c r="AS760">
        <f>IF(ISBLANK('Data Entry'!$m$760), "", 'Data Entry'!$m$760)</f>
      </c>
      <c r="AT760">
        <f>IF(ISBLANK('Data Entry'!$n$760), "", 'Data Entry'!$n$760)</f>
      </c>
      <c r="AU760">
        <f>IF(ISBLANK('Data Entry'!$o$760), "", 'Data Entry'!$o$760)</f>
      </c>
      <c r="AV760">
        <f>IF(ISBLANK('Data Entry'!$p$760), "", 'Data Entry'!$p$760)</f>
      </c>
      <c r="AW760">
        <f>IF(ISBLANK('Data Entry'!$q$760), "", 'Data Entry'!$q$760)</f>
      </c>
      <c r="AX760">
        <f>IF(ISBLANK('Data Entry'!$r$760), "", 'Data Entry'!$r$760)</f>
      </c>
      <c r="AY760">
        <f>IF(ISBLANK('Data Entry'!$s$760), "", 'Data Entry'!$s$760)</f>
      </c>
      <c r="AZ760">
        <f>IF(ISBLANK('Data Entry'!$t$760), "", 'Data Entry'!$t$760)</f>
      </c>
      <c r="BA760">
        <f>IF(ISBLANK('Data Entry'!$u$760), "", 'Data Entry'!$u$760)</f>
      </c>
      <c r="BB760">
        <f>IF(ISBLANK('Data Entry'!$v$760), "", 'Data Entry'!$v$760)</f>
      </c>
      <c r="BC760">
        <f>IF(ISBLANK('Data Entry'!$w$760), "", 'Data Entry'!$w$760)</f>
      </c>
      <c r="BD760">
        <f>IF(ISBLANK('Data Entry'!$x$760), "", 'Data Entry'!$x$760)</f>
      </c>
      <c r="BE760">
        <f>IF(ISBLANK('Data Entry'!$y$760), "", 'Data Entry'!$y$760)</f>
      </c>
      <c r="BF760">
        <f>IF(ISBLANK('Data Entry'!$z$760), "", 'Data Entry'!$z$760)</f>
      </c>
      <c r="BG760">
        <f>IF(ISBLANK('Data Entry'!${$760), "", 'Data Entry'!${$760)</f>
      </c>
      <c r="BH760">
        <f>IF(ISBLANK('Data Entry'!$|$760), "", 'Data Entry'!$|$760)</f>
      </c>
      <c r="BI760">
        <f>IF(ISBLANK('Data Entry'!$}$760), "", 'Data Entry'!$}$760)</f>
      </c>
      <c r="BJ760">
        <f>IF(ISBLANK('Data Entry'!$~$760), "", 'Data Entry'!$~$760)</f>
      </c>
      <c r="BK760">
        <f>IF(ISBLANK('Data Entry'!$$760), "", 'Data Entry'!$$760)</f>
      </c>
      <c r="BL760">
        <f>IF(ISBLANK('Data Entry'!$$760), "", 'Data Entry'!$$760)</f>
      </c>
      <c r="BM760">
        <f>IF(ISBLANK('Data Entry'!$$760), "", 'Data Entry'!$$760)</f>
      </c>
      <c r="BN760">
        <f>IF(ISBLANK('Data Entry'!$$760), "", 'Data Entry'!$$760)</f>
      </c>
      <c r="BO760">
        <f>IF(ISBLANK('Data Entry'!$$760), "", 'Data Entry'!$$760)</f>
      </c>
      <c r="BP760">
        <f>IF(ISBLANK('Data Entry'!$$760), "", 'Data Entry'!$$760)</f>
      </c>
      <c r="BQ760">
        <f>IF(ISBLANK('Data Entry'!$$760), "", 'Data Entry'!$$760)</f>
      </c>
      <c r="BR760">
        <f>IF(ISBLANK('Data Entry'!$$760), "", 'Data Entry'!$$760)</f>
      </c>
      <c r="BS760">
        <f>IF(ISBLANK('Data Entry'!$$760), "", 'Data Entry'!$$760)</f>
      </c>
      <c r="BT760">
        <f>IF(ISBLANK('Data Entry'!$$760), "", 'Data Entry'!$$760)</f>
      </c>
      <c r="BU760">
        <f>IF(ISBLANK('Data Entry'!$$760), "", 'Data Entry'!$$760)</f>
      </c>
      <c r="BV760">
        <f>IF(ISBLANK('Data Entry'!$$760), "", 'Data Entry'!$$760)</f>
      </c>
      <c r="BW760">
        <f>IF(ISBLANK('Data Entry'!$$760), "", 'Data Entry'!$$760)</f>
      </c>
      <c r="BX760">
        <f>IF(ISBLANK('Data Entry'!$$760), "", 'Data Entry'!$$760)</f>
      </c>
      <c r="BY760">
        <f>IF(ISBLANK('Data Entry'!$$760), "", 'Data Entry'!$$760)</f>
      </c>
      <c r="BZ760">
        <f>IF(ISBLANK('Data Entry'!$$760), "", 'Data Entry'!$$760)</f>
      </c>
      <c r="CA760">
        <f>IF(ISBLANK('Data Entry'!$$760), "", 'Data Entry'!$$760)</f>
      </c>
      <c r="CB760">
        <f>IF(ISBLANK('Data Entry'!$$760), "", 'Data Entry'!$$760)</f>
      </c>
      <c r="CC760">
        <f>IF(ISBLANK('Data Entry'!$$760), "", 'Data Entry'!$$760)</f>
      </c>
      <c r="CD760">
        <f>IF(ISBLANK('Data Entry'!$$760), "", 'Data Entry'!$$760)</f>
      </c>
      <c r="CE760">
        <f>IF(ISBLANK('Data Entry'!$$760), "", 'Data Entry'!$$760)</f>
      </c>
      <c r="CF760">
        <f>IF(ISBLANK('Data Entry'!$$760), "", 'Data Entry'!$$760)</f>
      </c>
      <c r="CG760">
        <f>IF(ISBLANK('Data Entry'!$$760), "", 'Data Entry'!$$760)</f>
      </c>
      <c r="CH760">
        <f>IF(ISBLANK('Data Entry'!$$760), "", 'Data Entry'!$$760)</f>
      </c>
      <c r="CI760">
        <f>IF(ISBLANK('Data Entry'!$$760), "", 'Data Entry'!$$760)</f>
      </c>
      <c r="CJ760">
        <f>IF(ISBLANK('Data Entry'!$$760), "", 'Data Entry'!$$760)</f>
      </c>
      <c r="CK760">
        <f>IF(ISBLANK('Data Entry'!$$760), "", 'Data Entry'!$$760)</f>
      </c>
      <c r="CL760">
        <f>IF(ISBLANK('Data Entry'!$$760), "", 'Data Entry'!$$760)</f>
      </c>
      <c r="CM760">
        <f>IF(ISBLANK('Data Entry'!$$760), "", 'Data Entry'!$$760)</f>
      </c>
      <c r="CN760">
        <f>IF(ISBLANK('Data Entry'!$$760), "", 'Data Entry'!$$760)</f>
      </c>
      <c r="CO760">
        <f>IF(ISBLANK('Data Entry'!$$760), "", 'Data Entry'!$$760)</f>
      </c>
      <c r="CP760">
        <f>IF(ISBLANK('Data Entry'!$$760), "", 'Data Entry'!$$760)</f>
      </c>
      <c r="CQ760">
        <f>IF(ISBLANK('Data Entry'!$$760), "", 'Data Entry'!$$760)</f>
      </c>
      <c r="CR760">
        <f>IF(ISBLANK('Data Entry'!$ $760), "", 'Data Entry'!$ $760)</f>
      </c>
      <c r="CS760">
        <f>IF(ISBLANK('Data Entry'!$¡$760), "", 'Data Entry'!$¡$760)</f>
      </c>
      <c r="CT760">
        <f>IF(ISBLANK('Data Entry'!$¢$760), "", 'Data Entry'!$¢$760)</f>
      </c>
      <c r="CU760">
        <f>IF(ISBLANK('Data Entry'!$£$760), "", 'Data Entry'!$£$760)</f>
      </c>
      <c r="CV760">
        <f>IF(ISBLANK('Data Entry'!$¤$760), "", 'Data Entry'!$¤$760)</f>
      </c>
      <c r="CW760">
        <f>IF(ISBLANK('Data Entry'!$¥$760), "", 'Data Entry'!$¥$760)</f>
      </c>
      <c r="CX760">
        <f>IF(ISBLANK('Data Entry'!$¦$760), "", 'Data Entry'!$¦$760)</f>
      </c>
      <c r="CY760">
        <f>IF(ISBLANK('Data Entry'!$§$760), "", 'Data Entry'!$§$760)</f>
      </c>
      <c r="CZ760">
        <f>IF(ISBLANK('Data Entry'!$¨$760), "", 'Data Entry'!$¨$760)</f>
      </c>
      <c r="DA760">
        <f>IF(ISBLANK('Data Entry'!$©$760), "", 'Data Entry'!$©$760)</f>
      </c>
      <c r="DB760">
        <f>IF(ISBLANK('Data Entry'!$ª$760), "", 'Data Entry'!$ª$760)</f>
      </c>
      <c r="DC760">
        <f>IF(ISBLANK('Data Entry'!$«$760), "", 'Data Entry'!$«$760)</f>
      </c>
      <c r="DD760">
        <f>IF(ISBLANK('Data Entry'!$¬$760), "", 'Data Entry'!$¬$760)</f>
      </c>
      <c r="DE760">
        <f>IF(ISBLANK('Data Entry'!$­$760), "", 'Data Entry'!$­$760)</f>
      </c>
      <c r="DF760">
        <f>IF(ISBLANK('Data Entry'!$®$760), "", 'Data Entry'!$®$760)</f>
      </c>
      <c r="DG760">
        <f>IF(ISBLANK('Data Entry'!$¯$760), "", 'Data Entry'!$¯$760)</f>
      </c>
      <c r="DH760">
        <f>IF(ISBLANK('Data Entry'!$°$760), "", 'Data Entry'!$°$760)</f>
      </c>
      <c r="DI760">
        <f>IF(ISBLANK('Data Entry'!$±$760), "", 'Data Entry'!$±$760)</f>
      </c>
      <c r="DJ760">
        <f>IF(ISBLANK('Data Entry'!$²$760), "", 'Data Entry'!$²$760)</f>
      </c>
      <c r="DK760">
        <f>IF(ISBLANK('Data Entry'!$³$760), "", 'Data Entry'!$³$760)</f>
      </c>
      <c r="DL760">
        <f>IF(ISBLANK('Data Entry'!$´$760), "", 'Data Entry'!$´$760)</f>
      </c>
      <c r="DM760">
        <f>IF(ISBLANK('Data Entry'!$µ$760), "", 'Data Entry'!$µ$760)</f>
      </c>
      <c r="DN760">
        <f>IF(ISBLANK('Data Entry'!$¶$760), "", 'Data Entry'!$¶$760)</f>
      </c>
      <c r="DO760">
        <f>IF(ISBLANK('Data Entry'!$·$760), "", 'Data Entry'!$·$760)</f>
      </c>
      <c r="DP760">
        <f>IF(ISBLANK('Data Entry'!$¸$760), "", 'Data Entry'!$¸$760)</f>
      </c>
      <c r="DQ760">
        <f>IF(ISBLANK('Data Entry'!$¹$760), "", 'Data Entry'!$¹$760)</f>
      </c>
      <c r="DR760">
        <f>IF(ISBLANK('Data Entry'!$º$760), "", 'Data Entry'!$º$760)</f>
      </c>
      <c r="DS760">
        <f>IF(ISBLANK('Data Entry'!$»$760), "", 'Data Entry'!$»$760)</f>
      </c>
      <c r="DT760">
        <f>IF(ISBLANK('Data Entry'!$¼$760), "", 'Data Entry'!$¼$760)</f>
      </c>
      <c r="DU760">
        <f>IF(ISBLANK('Data Entry'!$½$760), "", 'Data Entry'!$½$760)</f>
      </c>
      <c r="DV760">
        <f>IF(ISBLANK('Data Entry'!$¾$760), "", 'Data Entry'!$¾$760)</f>
      </c>
      <c r="DW760">
        <f>IF(ISBLANK('Data Entry'!$¿$760), "", 'Data Entry'!$¿$760)</f>
      </c>
      <c r="DX760">
        <f>IF(ISBLANK('Data Entry'!$À$760), "", 'Data Entry'!$À$760)</f>
      </c>
      <c r="DY760">
        <f>IF(ISBLANK('Data Entry'!$Á$760), "", 'Data Entry'!$Á$760)</f>
      </c>
      <c r="DZ760">
        <f>IF(ISBLANK('Data Entry'!$Â$760), "", 'Data Entry'!$Â$760)</f>
      </c>
      <c r="EA760">
        <f>IF(ISBLANK('Data Entry'!$Ã$760), "", 'Data Entry'!$Ã$760)</f>
      </c>
      <c r="EB760">
        <f>IF(ISBLANK('Data Entry'!$Ä$760), "", 'Data Entry'!$Ä$760)</f>
      </c>
      <c r="EC760">
        <f>IF(ISBLANK('Data Entry'!$Å$760), "", 'Data Entry'!$Å$760)</f>
      </c>
      <c r="ED760">
        <f>IF(ISBLANK('Data Entry'!$Æ$760), "", 'Data Entry'!$Æ$760)</f>
      </c>
      <c r="EE760">
        <f>IF(ISBLANK('Data Entry'!$Ç$760), "", 'Data Entry'!$Ç$760)</f>
      </c>
      <c r="EF760">
        <f>IF(ISBLANK('Data Entry'!$È$760), "", 'Data Entry'!$È$760)</f>
      </c>
      <c r="EG760">
        <f>IF(ISBLANK('Data Entry'!$É$760), "", 'Data Entry'!$É$760)</f>
      </c>
      <c r="EH760">
        <f>IF(ISBLANK('Data Entry'!$Ê$760), "", 'Data Entry'!$Ê$760)</f>
      </c>
      <c r="EI760">
        <f>IF(ISBLANK('Data Entry'!$Ë$760), "", 'Data Entry'!$Ë$760)</f>
      </c>
      <c r="EJ760">
        <f>IF(ISBLANK('Data Entry'!$Ì$760), "", 'Data Entry'!$Ì$760)</f>
      </c>
      <c r="EK760">
        <f>IF(ISBLANK('Data Entry'!$Í$760), "", 'Data Entry'!$Í$760)</f>
      </c>
      <c r="EL760">
        <f>IF(ISBLANK('Data Entry'!$Î$760), "", 'Data Entry'!$Î$760)</f>
      </c>
      <c r="EM760">
        <f>IF(ISBLANK('Data Entry'!$Ï$760), "", 'Data Entry'!$Ï$760)</f>
      </c>
      <c r="EN760">
        <f>IF(ISBLANK('Data Entry'!$Ð$760), "", 'Data Entry'!$Ð$760)</f>
      </c>
      <c r="EO760">
        <f>IF(ISBLANK('Data Entry'!$Ñ$760), "", 'Data Entry'!$Ñ$760)</f>
      </c>
      <c r="EP760">
        <f>IF(ISBLANK('Data Entry'!$Ò$760), "", 'Data Entry'!$Ò$760)</f>
      </c>
      <c r="EQ760">
        <f>IF(ISBLANK('Data Entry'!$Ó$760), "", 'Data Entry'!$Ó$760)</f>
      </c>
      <c r="ER760">
        <f>IF(ISBLANK('Data Entry'!$Ô$760), "", 'Data Entry'!$Ô$760)</f>
      </c>
      <c r="ES760">
        <f>IF(ISBLANK('Data Entry'!$Õ$760), "", 'Data Entry'!$Õ$760)</f>
      </c>
      <c r="ET760">
        <f>IF(ISBLANK('Data Entry'!$Ö$760), "", 'Data Entry'!$Ö$760)</f>
      </c>
      <c r="EU760">
        <f>IF(ISBLANK('Data Entry'!$×$760), "", 'Data Entry'!$×$760)</f>
      </c>
      <c r="EV760">
        <f>IF(ISBLANK('Data Entry'!$Ø$760), "", 'Data Entry'!$Ø$760)</f>
      </c>
      <c r="EW760">
        <f>IF(ISBLANK('Data Entry'!$Ù$760), "", 'Data Entry'!$Ù$760)</f>
      </c>
      <c r="EX760">
        <f>IF(ISBLANK('Data Entry'!$Ú$760), "", 'Data Entry'!$Ú$760)</f>
      </c>
      <c r="EY760">
        <f>IF(ISBLANK('Data Entry'!$Û$760), "", 'Data Entry'!$Û$760)</f>
      </c>
      <c r="EZ760">
        <f>IF(ISBLANK('Data Entry'!$Ü$760), "", 'Data Entry'!$Ü$760)</f>
      </c>
      <c r="FA760">
        <f>IF(ISBLANK('Data Entry'!$Ý$760), "", 'Data Entry'!$Ý$760)</f>
      </c>
      <c r="FB760">
        <f>IF(ISBLANK('Data Entry'!$Þ$760), "", 'Data Entry'!$Þ$760)</f>
      </c>
      <c r="FC760">
        <f>IF(ISBLANK('Data Entry'!$ß$760), "", 'Data Entry'!$ß$760)</f>
      </c>
      <c r="FD760">
        <f>IF(ISBLANK('Data Entry'!$à$760), "", 'Data Entry'!$à$760)</f>
      </c>
      <c r="FE760">
        <f>IF(ISBLANK('Data Entry'!$á$760), "", 'Data Entry'!$á$760)</f>
      </c>
      <c r="FF760">
        <f>IF(ISBLANK('Data Entry'!$â$760), "", 'Data Entry'!$â$760)</f>
      </c>
      <c r="FG760">
        <f>IF(ISBLANK('Data Entry'!$ã$760), "", 'Data Entry'!$ã$760)</f>
      </c>
      <c r="FH760">
        <f>IF(ISBLANK('Data Entry'!$ä$760), "", 'Data Entry'!$ä$760)</f>
      </c>
      <c r="FI760">
        <f>IF(ISBLANK('Data Entry'!$å$760), "", 'Data Entry'!$å$760)</f>
      </c>
      <c r="FJ760">
        <f>IF(ISBLANK('Data Entry'!$æ$760), "", 'Data Entry'!$æ$760)</f>
      </c>
      <c r="FK760">
        <f>IF(ISBLANK('Data Entry'!$ç$760), "", 'Data Entry'!$ç$760)</f>
      </c>
      <c r="FL760">
        <f>IF(ISBLANK('Data Entry'!$è$760), "", 'Data Entry'!$è$760)</f>
      </c>
      <c r="FM760">
        <f>IF(ISBLANK('Data Entry'!$é$760), "", 'Data Entry'!$é$760)</f>
      </c>
      <c r="FN760">
        <f>IF(ISBLANK('Data Entry'!$ê$760), "", 'Data Entry'!$ê$760)</f>
      </c>
      <c r="FO760">
        <f>IF(ISBLANK('Data Entry'!$ë$760), "", 'Data Entry'!$ë$760)</f>
      </c>
      <c r="FP760">
        <f>IF(ISBLANK('Data Entry'!$ì$760), "", 'Data Entry'!$ì$760)</f>
      </c>
      <c r="FQ760">
        <f>IF(ISBLANK('Data Entry'!$í$760), "", 'Data Entry'!$í$760)</f>
      </c>
      <c r="FR760">
        <f>IF(ISBLANK('Data Entry'!$î$760), "", 'Data Entry'!$î$760)</f>
      </c>
      <c r="FS760">
        <f>IF(ISBLANK('Data Entry'!$ï$760), "", 'Data Entry'!$ï$760)</f>
      </c>
      <c r="FT760">
        <f>IF(ISBLANK('Data Entry'!$ð$760), "", 'Data Entry'!$ð$760)</f>
      </c>
      <c r="FU760">
        <f>IF(ISBLANK('Data Entry'!$ñ$760), "", 'Data Entry'!$ñ$760)</f>
      </c>
      <c r="FV760">
        <f>IF(ISBLANK('Data Entry'!$ò$760), "", 'Data Entry'!$ò$760)</f>
      </c>
      <c r="FW760">
        <f>IF(ISBLANK('Data Entry'!$ó$760), "", 'Data Entry'!$ó$760)</f>
      </c>
      <c r="FX760">
        <f>IF(ISBLANK('Data Entry'!$ô$760), "", 'Data Entry'!$ô$760)</f>
      </c>
      <c r="FY760">
        <f>IF(ISBLANK('Data Entry'!$õ$760), "", 'Data Entry'!$õ$760)</f>
      </c>
      <c r="FZ760">
        <f>IF(ISBLANK('Data Entry'!$ö$760), "", 'Data Entry'!$ö$760)</f>
      </c>
      <c r="GA760">
        <f>IF(ISBLANK('Data Entry'!$÷$760), "", 'Data Entry'!$÷$760)</f>
      </c>
      <c r="GB760">
        <f>IF(ISBLANK('Data Entry'!$ø$760), "", 'Data Entry'!$ø$760)</f>
      </c>
      <c r="GC760">
        <f>IF(ISBLANK('Data Entry'!$ù$760), "", 'Data Entry'!$ù$760)</f>
      </c>
      <c r="GD760">
        <f>IF(ISBLANK('Data Entry'!$ú$760), "", 'Data Entry'!$ú$760)</f>
      </c>
      <c r="GE760">
        <f>IF(ISBLANK('Data Entry'!$û$760), "", 'Data Entry'!$û$760)</f>
      </c>
      <c r="GF760">
        <f>IF(ISBLANK('Data Entry'!$ü$760), "", 'Data Entry'!$ü$760)</f>
      </c>
      <c r="GG760">
        <f>IF(ISBLANK('Data Entry'!$ý$760), "", 'Data Entry'!$ý$760)</f>
      </c>
      <c r="GH760">
        <f>IF(ISBLANK('Data Entry'!$þ$760), "", 'Data Entry'!$þ$760)</f>
      </c>
      <c r="GI760">
        <f>IF(ISBLANK('Data Entry'!$ÿ$760), "", 'Data Entry'!$ÿ$760)</f>
      </c>
      <c r="GJ760">
        <f>IF(ISBLANK('Data Entry'!$Ā$760), "", 'Data Entry'!$Ā$760)</f>
      </c>
      <c r="GK760">
        <f>IF(ISBLANK('Data Entry'!$ā$760), "", 'Data Entry'!$ā$760)</f>
      </c>
      <c r="GL760">
        <f>IF(ISBLANK('Data Entry'!$Ă$760), "", 'Data Entry'!$Ă$760)</f>
      </c>
      <c r="GM760">
        <f>IF(ISBLANK('Data Entry'!$ă$760), "", 'Data Entry'!$ă$760)</f>
      </c>
      <c r="GN760">
        <f>IF(ISBLANK('Data Entry'!$Ą$760), "", 'Data Entry'!$Ą$760)</f>
      </c>
      <c r="GO760">
        <f>IF(ISBLANK('Data Entry'!$ą$760), "", 'Data Entry'!$ą$760)</f>
      </c>
      <c r="GP760">
        <f>IF(ISBLANK('Data Entry'!$Ć$760), "", 'Data Entry'!$Ć$760)</f>
      </c>
      <c r="GQ760">
        <f>IF(ISBLANK('Data Entry'!$ć$760), "", 'Data Entry'!$ć$760)</f>
      </c>
      <c r="GR760">
        <f>IF(ISBLANK('Data Entry'!$Ĉ$760), "", 'Data Entry'!$Ĉ$760)</f>
      </c>
      <c r="GS760">
        <f>IF(ISBLANK('Data Entry'!$ĉ$760), "", 'Data Entry'!$ĉ$760)</f>
      </c>
      <c r="GT760">
        <f>IF(ISBLANK('Data Entry'!$Ċ$760), "", 'Data Entry'!$Ċ$760)</f>
      </c>
      <c r="GU760">
        <f>IF(ISBLANK('Data Entry'!$ċ$760), "", 'Data Entry'!$ċ$760)</f>
      </c>
      <c r="GV760">
        <f>IF(ISBLANK('Data Entry'!$Č$760), "", 'Data Entry'!$Č$760)</f>
      </c>
      <c r="GW760">
        <f>IF(ISBLANK('Data Entry'!$č$760), "", 'Data Entry'!$č$760)</f>
      </c>
      <c r="GX760">
        <f>IF(ISBLANK('Data Entry'!$Ď$760), "", 'Data Entry'!$Ď$760)</f>
      </c>
      <c r="GY760">
        <f>IF(ISBLANK('Data Entry'!$ď$760), "", 'Data Entry'!$ď$760)</f>
      </c>
      <c r="GZ760">
        <f>IF(ISBLANK('Data Entry'!$Đ$760), "", 'Data Entry'!$Đ$760)</f>
      </c>
      <c r="HA760">
        <f>IF(ISBLANK('Data Entry'!$đ$760), "", 'Data Entry'!$đ$760)</f>
      </c>
      <c r="HB760">
        <f>IF(ISBLANK('Data Entry'!$Ē$760), "", 'Data Entry'!$Ē$760)</f>
      </c>
      <c r="HC760">
        <f>IF(ISBLANK('Data Entry'!$ē$760), "", 'Data Entry'!$ē$760)</f>
      </c>
      <c r="HD760">
        <f>IF(ISBLANK('Data Entry'!$Ĕ$760), "", 'Data Entry'!$Ĕ$760)</f>
      </c>
      <c r="HE760">
        <f>IF(ISBLANK('Data Entry'!$ĕ$760), "", 'Data Entry'!$ĕ$760)</f>
      </c>
      <c r="HF760">
        <f>IF(ISBLANK('Data Entry'!$Ė$760), "", 'Data Entry'!$Ė$760)</f>
      </c>
      <c r="HG760">
        <f>IF(ISBLANK('Data Entry'!$ė$760), "", 'Data Entry'!$ė$760)</f>
      </c>
      <c r="HH760">
        <f>IF(ISBLANK('Data Entry'!$Ę$760), "", 'Data Entry'!$Ę$760)</f>
      </c>
      <c r="HI760">
        <f>IF(ISBLANK('Data Entry'!$ę$760), "", 'Data Entry'!$ę$760)</f>
      </c>
      <c r="HJ760">
        <f>IF(ISBLANK('Data Entry'!$Ě$760), "", 'Data Entry'!$Ě$760)</f>
      </c>
      <c r="HK760">
        <f>IF(ISBLANK('Data Entry'!$ě$760), "", 'Data Entry'!$ě$760)</f>
      </c>
      <c r="HL760">
        <f>IF(ISBLANK('Data Entry'!$Ĝ$760), "", 'Data Entry'!$Ĝ$760)</f>
      </c>
      <c r="HM760">
        <f>IF(ISBLANK('Data Entry'!$ĝ$760), "", 'Data Entry'!$ĝ$760)</f>
      </c>
      <c r="HN760">
        <f>IF(ISBLANK('Data Entry'!$Ğ$760), "", 'Data Entry'!$Ğ$760)</f>
      </c>
      <c r="HO760">
        <f>IF(ISBLANK('Data Entry'!$ğ$760), "", 'Data Entry'!$ğ$760)</f>
      </c>
      <c r="HP760">
        <f>IF(ISBLANK('Data Entry'!$Ġ$760), "", 'Data Entry'!$Ġ$760)</f>
      </c>
      <c r="HQ760">
        <f>IF(ISBLANK('Data Entry'!$ġ$760), "", 'Data Entry'!$ġ$760)</f>
      </c>
      <c r="HR760">
        <f>IF(ISBLANK('Data Entry'!$Ģ$760), "", 'Data Entry'!$Ģ$760)</f>
      </c>
      <c r="HS760">
        <f>IF(ISBLANK('Data Entry'!$ģ$760), "", 'Data Entry'!$ģ$760)</f>
      </c>
      <c r="HT760">
        <f>IF(ISBLANK('Data Entry'!$Ĥ$760), "", 'Data Entry'!$Ĥ$760)</f>
      </c>
      <c r="HU760">
        <f>IF(ISBLANK('Data Entry'!$ĥ$760), "", 'Data Entry'!$ĥ$760)</f>
      </c>
      <c r="HV760">
        <f>IF(ISBLANK('Data Entry'!$Ħ$760), "", 'Data Entry'!$Ħ$760)</f>
      </c>
      <c r="HW760">
        <f>IF(ISBLANK('Data Entry'!$ħ$760), "", 'Data Entry'!$ħ$760)</f>
      </c>
      <c r="HX760">
        <f>IF(ISBLANK('Data Entry'!$Ĩ$760), "", 'Data Entry'!$Ĩ$760)</f>
      </c>
      <c r="HY760">
        <f>IF(ISBLANK('Data Entry'!$ĩ$760), "", 'Data Entry'!$ĩ$760)</f>
      </c>
      <c r="HZ760">
        <f>IF(ISBLANK('Data Entry'!$Ī$760), "", 'Data Entry'!$Ī$760)</f>
      </c>
      <c r="IA760">
        <f>IF(ISBLANK('Data Entry'!$ī$760), "", 'Data Entry'!$ī$760)</f>
      </c>
      <c r="IB760">
        <f>IF(ISBLANK('Data Entry'!$Ĭ$760), "", 'Data Entry'!$Ĭ$760)</f>
      </c>
      <c r="IC760">
        <f>IF(ISBLANK('Data Entry'!$ĭ$760), "", 'Data Entry'!$ĭ$760)</f>
      </c>
      <c r="ID760">
        <f>IF(ISBLANK('Data Entry'!$Į$760), "", 'Data Entry'!$Į$760)</f>
      </c>
      <c r="IE760">
        <f>IF(ISBLANK('Data Entry'!$į$760), "", 'Data Entry'!$į$760)</f>
      </c>
      <c r="IF760">
        <f>IF(ISBLANK('Data Entry'!$İ$760), "", 'Data Entry'!$İ$760)</f>
      </c>
      <c r="IG760">
        <f>IF(ISBLANK('Data Entry'!$ı$760), "", 'Data Entry'!$ı$760)</f>
      </c>
      <c r="IH760">
        <f>IF(ISBLANK('Data Entry'!$Ĳ$760), "", 'Data Entry'!$Ĳ$760)</f>
      </c>
      <c r="II760">
        <f>IF(ISBLANK('Data Entry'!$ĳ$760), "", 'Data Entry'!$ĳ$760)</f>
      </c>
      <c r="IJ760">
        <f>IF(ISBLANK('Data Entry'!$Ĵ$760), "", 'Data Entry'!$Ĵ$760)</f>
      </c>
      <c r="IK760">
        <f>IF(ISBLANK('Data Entry'!$ĵ$760), "", 'Data Entry'!$ĵ$760)</f>
      </c>
      <c r="IL760">
        <f>IF(ISBLANK('Data Entry'!$Ķ$760), "", 'Data Entry'!$Ķ$760)</f>
      </c>
      <c r="IM760">
        <f>IF(ISBLANK('Data Entry'!$ķ$760), "", 'Data Entry'!$ķ$760)</f>
      </c>
      <c r="IN760">
        <f>IF(ISBLANK('Data Entry'!$ĸ$760), "", 'Data Entry'!$ĸ$760)</f>
      </c>
      <c r="IO760">
        <f>IF(ISBLANK('Data Entry'!$Ĺ$760), "", 'Data Entry'!$Ĺ$760)</f>
      </c>
      <c r="IP760">
        <f>IF(ISBLANK('Data Entry'!$ĺ$760), "", 'Data Entry'!$ĺ$760)</f>
      </c>
      <c r="IQ760">
        <f>IF(ISBLANK('Data Entry'!$Ļ$760), "", 'Data Entry'!$Ļ$760)</f>
      </c>
      <c r="IR760">
        <f>IF(ISBLANK('Data Entry'!$ļ$760), "", 'Data Entry'!$ļ$760)</f>
      </c>
      <c r="IS760">
        <f>IF(ISBLANK('Data Entry'!$Ľ$760), "", 'Data Entry'!$Ľ$760)</f>
      </c>
      <c r="IT760">
        <f>IF(ISBLANK('Data Entry'!$ľ$760), "", 'Data Entry'!$ľ$760)</f>
      </c>
    </row>
    <row r="761" spans="1:254" x14ac:dyDescent="0.25">
      <c r="A761">
        <f>IF(ISBLANK('Data Entry'!$A$761), "", 'Data Entry'!$A$761)</f>
      </c>
      <c r="B761">
        <f>IF(ISBLANK('Data Entry'!$B$761), "", 'Data Entry'!$B$761)</f>
      </c>
      <c r="C761">
        <f>IF(ISBLANK('Data Entry'!$C$761), "", 'Data Entry'!$C$761)</f>
      </c>
      <c r="D761">
        <f>IF(ISBLANK('Data Entry'!$D$761), "", 'Data Entry'!$D$761)</f>
      </c>
      <c r="E761">
        <f>IF(ISBLANK('Data Entry'!$E$761), "", 'Data Entry'!$E$761)</f>
      </c>
      <c r="F761">
        <f>IF(ISBLANK('Data Entry'!$F$761), "", 'Data Entry'!$F$761)</f>
      </c>
      <c r="G761">
        <f>IF(ISBLANK('Data Entry'!$G$761), "", 'Data Entry'!$G$761)</f>
      </c>
      <c r="H761">
        <f>IF(ISBLANK('Data Entry'!$H$761), "", 'Data Entry'!$H$761)</f>
      </c>
      <c r="I761">
        <f>IF(ISBLANK('Data Entry'!$I$761), "", 'Data Entry'!$I$761)</f>
      </c>
      <c r="J761">
        <f>IF(ISBLANK('Data Entry'!$J$761), "", 'Data Entry'!$J$761)</f>
      </c>
      <c r="K761">
        <f>IF(ISBLANK('Data Entry'!$K$761), "", 'Data Entry'!$K$761)</f>
      </c>
      <c r="L761">
        <f>IF(ISBLANK('Data Entry'!$L$761), "", 'Data Entry'!$L$761)</f>
      </c>
      <c r="M761">
        <f>IF(ISBLANK('Data Entry'!$M$761), "", 'Data Entry'!$M$761)</f>
      </c>
      <c r="N761">
        <f>IF(ISBLANK('Data Entry'!$N$761), "", 'Data Entry'!$N$761)</f>
      </c>
      <c r="O761">
        <f>IF(ISBLANK('Data Entry'!$O$761), "", 'Data Entry'!$O$761)</f>
      </c>
      <c r="P761">
        <f>IF(ISBLANK('Data Entry'!$P$761), "", 'Data Entry'!$P$761)</f>
      </c>
      <c r="Q761">
        <f>IF(ISBLANK('Data Entry'!$Q$761), "", 'Data Entry'!$Q$761)</f>
      </c>
      <c r="R761">
        <f>IF(ISBLANK('Data Entry'!$R$761), "", 'Data Entry'!$R$761)</f>
      </c>
      <c r="S761">
        <f>IF(ISBLANK('Data Entry'!$S$761), "", 'Data Entry'!$S$761)</f>
      </c>
      <c r="T761">
        <f>IF(ISBLANK('Data Entry'!$T$761), "", 'Data Entry'!$T$761)</f>
      </c>
      <c r="U761">
        <f>IF(ISBLANK('Data Entry'!$U$761), "", 'Data Entry'!$U$761)</f>
      </c>
      <c r="V761">
        <f>IF(ISBLANK('Data Entry'!$V$761), "", 'Data Entry'!$V$761)</f>
      </c>
      <c r="W761">
        <f>IF(ISBLANK('Data Entry'!$W$761), "", 'Data Entry'!$W$761)</f>
      </c>
      <c r="X761">
        <f>IF(ISBLANK('Data Entry'!$X$761), "", 'Data Entry'!$X$761)</f>
      </c>
      <c r="Y761">
        <f>IF(ISBLANK('Data Entry'!$Y$761), "", 'Data Entry'!$Y$761)</f>
      </c>
      <c r="Z761">
        <f>IF(ISBLANK('Data Entry'!$Z$761), "", 'Data Entry'!$Z$761)</f>
      </c>
      <c r="AA761">
        <f>IF(ISBLANK('Data Entry'!$[$761), "", 'Data Entry'!$[$761)</f>
      </c>
      <c r="AB761">
        <f>IF(ISBLANK('Data Entry'!$\$761), "", 'Data Entry'!$\$761)</f>
      </c>
      <c r="AC761">
        <f>IF(ISBLANK('Data Entry'!$]$761), "", 'Data Entry'!$]$761)</f>
      </c>
      <c r="AD761">
        <f>IF(ISBLANK('Data Entry'!$^$761), "", 'Data Entry'!$^$761)</f>
      </c>
      <c r="AE761">
        <f>IF(ISBLANK('Data Entry'!$_$761), "", 'Data Entry'!$_$761)</f>
      </c>
      <c r="AF761">
        <f>IF(ISBLANK('Data Entry'!$`$761), "", 'Data Entry'!$`$761)</f>
      </c>
      <c r="AG761">
        <f>IF(ISBLANK('Data Entry'!$a$761), "", 'Data Entry'!$a$761)</f>
      </c>
      <c r="AH761">
        <f>IF(ISBLANK('Data Entry'!$b$761), "", 'Data Entry'!$b$761)</f>
      </c>
      <c r="AI761">
        <f>IF(ISBLANK('Data Entry'!$c$761), "", 'Data Entry'!$c$761)</f>
      </c>
      <c r="AJ761">
        <f>IF(ISBLANK('Data Entry'!$d$761), "", 'Data Entry'!$d$761)</f>
      </c>
      <c r="AK761">
        <f>IF(ISBLANK('Data Entry'!$e$761), "", 'Data Entry'!$e$761)</f>
      </c>
      <c r="AL761">
        <f>IF(ISBLANK('Data Entry'!$f$761), "", 'Data Entry'!$f$761)</f>
      </c>
      <c r="AM761">
        <f>IF(ISBLANK('Data Entry'!$g$761), "", 'Data Entry'!$g$761)</f>
      </c>
      <c r="AN761">
        <f>IF(ISBLANK('Data Entry'!$h$761), "", 'Data Entry'!$h$761)</f>
      </c>
      <c r="AO761">
        <f>IF(ISBLANK('Data Entry'!$i$761), "", 'Data Entry'!$i$761)</f>
      </c>
      <c r="AP761">
        <f>IF(ISBLANK('Data Entry'!$j$761), "", 'Data Entry'!$j$761)</f>
      </c>
      <c r="AQ761">
        <f>IF(ISBLANK('Data Entry'!$k$761), "", 'Data Entry'!$k$761)</f>
      </c>
      <c r="AR761">
        <f>IF(ISBLANK('Data Entry'!$l$761), "", 'Data Entry'!$l$761)</f>
      </c>
      <c r="AS761">
        <f>IF(ISBLANK('Data Entry'!$m$761), "", 'Data Entry'!$m$761)</f>
      </c>
      <c r="AT761">
        <f>IF(ISBLANK('Data Entry'!$n$761), "", 'Data Entry'!$n$761)</f>
      </c>
      <c r="AU761">
        <f>IF(ISBLANK('Data Entry'!$o$761), "", 'Data Entry'!$o$761)</f>
      </c>
      <c r="AV761">
        <f>IF(ISBLANK('Data Entry'!$p$761), "", 'Data Entry'!$p$761)</f>
      </c>
      <c r="AW761">
        <f>IF(ISBLANK('Data Entry'!$q$761), "", 'Data Entry'!$q$761)</f>
      </c>
      <c r="AX761">
        <f>IF(ISBLANK('Data Entry'!$r$761), "", 'Data Entry'!$r$761)</f>
      </c>
      <c r="AY761">
        <f>IF(ISBLANK('Data Entry'!$s$761), "", 'Data Entry'!$s$761)</f>
      </c>
      <c r="AZ761">
        <f>IF(ISBLANK('Data Entry'!$t$761), "", 'Data Entry'!$t$761)</f>
      </c>
      <c r="BA761">
        <f>IF(ISBLANK('Data Entry'!$u$761), "", 'Data Entry'!$u$761)</f>
      </c>
      <c r="BB761">
        <f>IF(ISBLANK('Data Entry'!$v$761), "", 'Data Entry'!$v$761)</f>
      </c>
      <c r="BC761">
        <f>IF(ISBLANK('Data Entry'!$w$761), "", 'Data Entry'!$w$761)</f>
      </c>
      <c r="BD761">
        <f>IF(ISBLANK('Data Entry'!$x$761), "", 'Data Entry'!$x$761)</f>
      </c>
      <c r="BE761">
        <f>IF(ISBLANK('Data Entry'!$y$761), "", 'Data Entry'!$y$761)</f>
      </c>
      <c r="BF761">
        <f>IF(ISBLANK('Data Entry'!$z$761), "", 'Data Entry'!$z$761)</f>
      </c>
      <c r="BG761">
        <f>IF(ISBLANK('Data Entry'!${$761), "", 'Data Entry'!${$761)</f>
      </c>
      <c r="BH761">
        <f>IF(ISBLANK('Data Entry'!$|$761), "", 'Data Entry'!$|$761)</f>
      </c>
      <c r="BI761">
        <f>IF(ISBLANK('Data Entry'!$}$761), "", 'Data Entry'!$}$761)</f>
      </c>
      <c r="BJ761">
        <f>IF(ISBLANK('Data Entry'!$~$761), "", 'Data Entry'!$~$761)</f>
      </c>
      <c r="BK761">
        <f>IF(ISBLANK('Data Entry'!$$761), "", 'Data Entry'!$$761)</f>
      </c>
      <c r="BL761">
        <f>IF(ISBLANK('Data Entry'!$$761), "", 'Data Entry'!$$761)</f>
      </c>
      <c r="BM761">
        <f>IF(ISBLANK('Data Entry'!$$761), "", 'Data Entry'!$$761)</f>
      </c>
      <c r="BN761">
        <f>IF(ISBLANK('Data Entry'!$$761), "", 'Data Entry'!$$761)</f>
      </c>
      <c r="BO761">
        <f>IF(ISBLANK('Data Entry'!$$761), "", 'Data Entry'!$$761)</f>
      </c>
      <c r="BP761">
        <f>IF(ISBLANK('Data Entry'!$$761), "", 'Data Entry'!$$761)</f>
      </c>
      <c r="BQ761">
        <f>IF(ISBLANK('Data Entry'!$$761), "", 'Data Entry'!$$761)</f>
      </c>
      <c r="BR761">
        <f>IF(ISBLANK('Data Entry'!$$761), "", 'Data Entry'!$$761)</f>
      </c>
      <c r="BS761">
        <f>IF(ISBLANK('Data Entry'!$$761), "", 'Data Entry'!$$761)</f>
      </c>
      <c r="BT761">
        <f>IF(ISBLANK('Data Entry'!$$761), "", 'Data Entry'!$$761)</f>
      </c>
      <c r="BU761">
        <f>IF(ISBLANK('Data Entry'!$$761), "", 'Data Entry'!$$761)</f>
      </c>
      <c r="BV761">
        <f>IF(ISBLANK('Data Entry'!$$761), "", 'Data Entry'!$$761)</f>
      </c>
      <c r="BW761">
        <f>IF(ISBLANK('Data Entry'!$$761), "", 'Data Entry'!$$761)</f>
      </c>
      <c r="BX761">
        <f>IF(ISBLANK('Data Entry'!$$761), "", 'Data Entry'!$$761)</f>
      </c>
      <c r="BY761">
        <f>IF(ISBLANK('Data Entry'!$$761), "", 'Data Entry'!$$761)</f>
      </c>
      <c r="BZ761">
        <f>IF(ISBLANK('Data Entry'!$$761), "", 'Data Entry'!$$761)</f>
      </c>
      <c r="CA761">
        <f>IF(ISBLANK('Data Entry'!$$761), "", 'Data Entry'!$$761)</f>
      </c>
      <c r="CB761">
        <f>IF(ISBLANK('Data Entry'!$$761), "", 'Data Entry'!$$761)</f>
      </c>
      <c r="CC761">
        <f>IF(ISBLANK('Data Entry'!$$761), "", 'Data Entry'!$$761)</f>
      </c>
      <c r="CD761">
        <f>IF(ISBLANK('Data Entry'!$$761), "", 'Data Entry'!$$761)</f>
      </c>
      <c r="CE761">
        <f>IF(ISBLANK('Data Entry'!$$761), "", 'Data Entry'!$$761)</f>
      </c>
      <c r="CF761">
        <f>IF(ISBLANK('Data Entry'!$$761), "", 'Data Entry'!$$761)</f>
      </c>
      <c r="CG761">
        <f>IF(ISBLANK('Data Entry'!$$761), "", 'Data Entry'!$$761)</f>
      </c>
      <c r="CH761">
        <f>IF(ISBLANK('Data Entry'!$$761), "", 'Data Entry'!$$761)</f>
      </c>
      <c r="CI761">
        <f>IF(ISBLANK('Data Entry'!$$761), "", 'Data Entry'!$$761)</f>
      </c>
      <c r="CJ761">
        <f>IF(ISBLANK('Data Entry'!$$761), "", 'Data Entry'!$$761)</f>
      </c>
      <c r="CK761">
        <f>IF(ISBLANK('Data Entry'!$$761), "", 'Data Entry'!$$761)</f>
      </c>
      <c r="CL761">
        <f>IF(ISBLANK('Data Entry'!$$761), "", 'Data Entry'!$$761)</f>
      </c>
      <c r="CM761">
        <f>IF(ISBLANK('Data Entry'!$$761), "", 'Data Entry'!$$761)</f>
      </c>
      <c r="CN761">
        <f>IF(ISBLANK('Data Entry'!$$761), "", 'Data Entry'!$$761)</f>
      </c>
      <c r="CO761">
        <f>IF(ISBLANK('Data Entry'!$$761), "", 'Data Entry'!$$761)</f>
      </c>
      <c r="CP761">
        <f>IF(ISBLANK('Data Entry'!$$761), "", 'Data Entry'!$$761)</f>
      </c>
      <c r="CQ761">
        <f>IF(ISBLANK('Data Entry'!$$761), "", 'Data Entry'!$$761)</f>
      </c>
      <c r="CR761">
        <f>IF(ISBLANK('Data Entry'!$ $761), "", 'Data Entry'!$ $761)</f>
      </c>
      <c r="CS761">
        <f>IF(ISBLANK('Data Entry'!$¡$761), "", 'Data Entry'!$¡$761)</f>
      </c>
      <c r="CT761">
        <f>IF(ISBLANK('Data Entry'!$¢$761), "", 'Data Entry'!$¢$761)</f>
      </c>
      <c r="CU761">
        <f>IF(ISBLANK('Data Entry'!$£$761), "", 'Data Entry'!$£$761)</f>
      </c>
      <c r="CV761">
        <f>IF(ISBLANK('Data Entry'!$¤$761), "", 'Data Entry'!$¤$761)</f>
      </c>
      <c r="CW761">
        <f>IF(ISBLANK('Data Entry'!$¥$761), "", 'Data Entry'!$¥$761)</f>
      </c>
      <c r="CX761">
        <f>IF(ISBLANK('Data Entry'!$¦$761), "", 'Data Entry'!$¦$761)</f>
      </c>
      <c r="CY761">
        <f>IF(ISBLANK('Data Entry'!$§$761), "", 'Data Entry'!$§$761)</f>
      </c>
      <c r="CZ761">
        <f>IF(ISBLANK('Data Entry'!$¨$761), "", 'Data Entry'!$¨$761)</f>
      </c>
      <c r="DA761">
        <f>IF(ISBLANK('Data Entry'!$©$761), "", 'Data Entry'!$©$761)</f>
      </c>
      <c r="DB761">
        <f>IF(ISBLANK('Data Entry'!$ª$761), "", 'Data Entry'!$ª$761)</f>
      </c>
      <c r="DC761">
        <f>IF(ISBLANK('Data Entry'!$«$761), "", 'Data Entry'!$«$761)</f>
      </c>
      <c r="DD761">
        <f>IF(ISBLANK('Data Entry'!$¬$761), "", 'Data Entry'!$¬$761)</f>
      </c>
      <c r="DE761">
        <f>IF(ISBLANK('Data Entry'!$­$761), "", 'Data Entry'!$­$761)</f>
      </c>
      <c r="DF761">
        <f>IF(ISBLANK('Data Entry'!$®$761), "", 'Data Entry'!$®$761)</f>
      </c>
      <c r="DG761">
        <f>IF(ISBLANK('Data Entry'!$¯$761), "", 'Data Entry'!$¯$761)</f>
      </c>
      <c r="DH761">
        <f>IF(ISBLANK('Data Entry'!$°$761), "", 'Data Entry'!$°$761)</f>
      </c>
      <c r="DI761">
        <f>IF(ISBLANK('Data Entry'!$±$761), "", 'Data Entry'!$±$761)</f>
      </c>
      <c r="DJ761">
        <f>IF(ISBLANK('Data Entry'!$²$761), "", 'Data Entry'!$²$761)</f>
      </c>
      <c r="DK761">
        <f>IF(ISBLANK('Data Entry'!$³$761), "", 'Data Entry'!$³$761)</f>
      </c>
      <c r="DL761">
        <f>IF(ISBLANK('Data Entry'!$´$761), "", 'Data Entry'!$´$761)</f>
      </c>
      <c r="DM761">
        <f>IF(ISBLANK('Data Entry'!$µ$761), "", 'Data Entry'!$µ$761)</f>
      </c>
      <c r="DN761">
        <f>IF(ISBLANK('Data Entry'!$¶$761), "", 'Data Entry'!$¶$761)</f>
      </c>
      <c r="DO761">
        <f>IF(ISBLANK('Data Entry'!$·$761), "", 'Data Entry'!$·$761)</f>
      </c>
      <c r="DP761">
        <f>IF(ISBLANK('Data Entry'!$¸$761), "", 'Data Entry'!$¸$761)</f>
      </c>
      <c r="DQ761">
        <f>IF(ISBLANK('Data Entry'!$¹$761), "", 'Data Entry'!$¹$761)</f>
      </c>
      <c r="DR761">
        <f>IF(ISBLANK('Data Entry'!$º$761), "", 'Data Entry'!$º$761)</f>
      </c>
      <c r="DS761">
        <f>IF(ISBLANK('Data Entry'!$»$761), "", 'Data Entry'!$»$761)</f>
      </c>
      <c r="DT761">
        <f>IF(ISBLANK('Data Entry'!$¼$761), "", 'Data Entry'!$¼$761)</f>
      </c>
      <c r="DU761">
        <f>IF(ISBLANK('Data Entry'!$½$761), "", 'Data Entry'!$½$761)</f>
      </c>
      <c r="DV761">
        <f>IF(ISBLANK('Data Entry'!$¾$761), "", 'Data Entry'!$¾$761)</f>
      </c>
      <c r="DW761">
        <f>IF(ISBLANK('Data Entry'!$¿$761), "", 'Data Entry'!$¿$761)</f>
      </c>
      <c r="DX761">
        <f>IF(ISBLANK('Data Entry'!$À$761), "", 'Data Entry'!$À$761)</f>
      </c>
      <c r="DY761">
        <f>IF(ISBLANK('Data Entry'!$Á$761), "", 'Data Entry'!$Á$761)</f>
      </c>
      <c r="DZ761">
        <f>IF(ISBLANK('Data Entry'!$Â$761), "", 'Data Entry'!$Â$761)</f>
      </c>
      <c r="EA761">
        <f>IF(ISBLANK('Data Entry'!$Ã$761), "", 'Data Entry'!$Ã$761)</f>
      </c>
      <c r="EB761">
        <f>IF(ISBLANK('Data Entry'!$Ä$761), "", 'Data Entry'!$Ä$761)</f>
      </c>
      <c r="EC761">
        <f>IF(ISBLANK('Data Entry'!$Å$761), "", 'Data Entry'!$Å$761)</f>
      </c>
      <c r="ED761">
        <f>IF(ISBLANK('Data Entry'!$Æ$761), "", 'Data Entry'!$Æ$761)</f>
      </c>
      <c r="EE761">
        <f>IF(ISBLANK('Data Entry'!$Ç$761), "", 'Data Entry'!$Ç$761)</f>
      </c>
      <c r="EF761">
        <f>IF(ISBLANK('Data Entry'!$È$761), "", 'Data Entry'!$È$761)</f>
      </c>
      <c r="EG761">
        <f>IF(ISBLANK('Data Entry'!$É$761), "", 'Data Entry'!$É$761)</f>
      </c>
      <c r="EH761">
        <f>IF(ISBLANK('Data Entry'!$Ê$761), "", 'Data Entry'!$Ê$761)</f>
      </c>
      <c r="EI761">
        <f>IF(ISBLANK('Data Entry'!$Ë$761), "", 'Data Entry'!$Ë$761)</f>
      </c>
      <c r="EJ761">
        <f>IF(ISBLANK('Data Entry'!$Ì$761), "", 'Data Entry'!$Ì$761)</f>
      </c>
      <c r="EK761">
        <f>IF(ISBLANK('Data Entry'!$Í$761), "", 'Data Entry'!$Í$761)</f>
      </c>
      <c r="EL761">
        <f>IF(ISBLANK('Data Entry'!$Î$761), "", 'Data Entry'!$Î$761)</f>
      </c>
      <c r="EM761">
        <f>IF(ISBLANK('Data Entry'!$Ï$761), "", 'Data Entry'!$Ï$761)</f>
      </c>
      <c r="EN761">
        <f>IF(ISBLANK('Data Entry'!$Ð$761), "", 'Data Entry'!$Ð$761)</f>
      </c>
      <c r="EO761">
        <f>IF(ISBLANK('Data Entry'!$Ñ$761), "", 'Data Entry'!$Ñ$761)</f>
      </c>
      <c r="EP761">
        <f>IF(ISBLANK('Data Entry'!$Ò$761), "", 'Data Entry'!$Ò$761)</f>
      </c>
      <c r="EQ761">
        <f>IF(ISBLANK('Data Entry'!$Ó$761), "", 'Data Entry'!$Ó$761)</f>
      </c>
      <c r="ER761">
        <f>IF(ISBLANK('Data Entry'!$Ô$761), "", 'Data Entry'!$Ô$761)</f>
      </c>
      <c r="ES761">
        <f>IF(ISBLANK('Data Entry'!$Õ$761), "", 'Data Entry'!$Õ$761)</f>
      </c>
      <c r="ET761">
        <f>IF(ISBLANK('Data Entry'!$Ö$761), "", 'Data Entry'!$Ö$761)</f>
      </c>
      <c r="EU761">
        <f>IF(ISBLANK('Data Entry'!$×$761), "", 'Data Entry'!$×$761)</f>
      </c>
      <c r="EV761">
        <f>IF(ISBLANK('Data Entry'!$Ø$761), "", 'Data Entry'!$Ø$761)</f>
      </c>
      <c r="EW761">
        <f>IF(ISBLANK('Data Entry'!$Ù$761), "", 'Data Entry'!$Ù$761)</f>
      </c>
      <c r="EX761">
        <f>IF(ISBLANK('Data Entry'!$Ú$761), "", 'Data Entry'!$Ú$761)</f>
      </c>
      <c r="EY761">
        <f>IF(ISBLANK('Data Entry'!$Û$761), "", 'Data Entry'!$Û$761)</f>
      </c>
      <c r="EZ761">
        <f>IF(ISBLANK('Data Entry'!$Ü$761), "", 'Data Entry'!$Ü$761)</f>
      </c>
      <c r="FA761">
        <f>IF(ISBLANK('Data Entry'!$Ý$761), "", 'Data Entry'!$Ý$761)</f>
      </c>
      <c r="FB761">
        <f>IF(ISBLANK('Data Entry'!$Þ$761), "", 'Data Entry'!$Þ$761)</f>
      </c>
      <c r="FC761">
        <f>IF(ISBLANK('Data Entry'!$ß$761), "", 'Data Entry'!$ß$761)</f>
      </c>
      <c r="FD761">
        <f>IF(ISBLANK('Data Entry'!$à$761), "", 'Data Entry'!$à$761)</f>
      </c>
      <c r="FE761">
        <f>IF(ISBLANK('Data Entry'!$á$761), "", 'Data Entry'!$á$761)</f>
      </c>
      <c r="FF761">
        <f>IF(ISBLANK('Data Entry'!$â$761), "", 'Data Entry'!$â$761)</f>
      </c>
      <c r="FG761">
        <f>IF(ISBLANK('Data Entry'!$ã$761), "", 'Data Entry'!$ã$761)</f>
      </c>
      <c r="FH761">
        <f>IF(ISBLANK('Data Entry'!$ä$761), "", 'Data Entry'!$ä$761)</f>
      </c>
      <c r="FI761">
        <f>IF(ISBLANK('Data Entry'!$å$761), "", 'Data Entry'!$å$761)</f>
      </c>
      <c r="FJ761">
        <f>IF(ISBLANK('Data Entry'!$æ$761), "", 'Data Entry'!$æ$761)</f>
      </c>
      <c r="FK761">
        <f>IF(ISBLANK('Data Entry'!$ç$761), "", 'Data Entry'!$ç$761)</f>
      </c>
      <c r="FL761">
        <f>IF(ISBLANK('Data Entry'!$è$761), "", 'Data Entry'!$è$761)</f>
      </c>
      <c r="FM761">
        <f>IF(ISBLANK('Data Entry'!$é$761), "", 'Data Entry'!$é$761)</f>
      </c>
      <c r="FN761">
        <f>IF(ISBLANK('Data Entry'!$ê$761), "", 'Data Entry'!$ê$761)</f>
      </c>
      <c r="FO761">
        <f>IF(ISBLANK('Data Entry'!$ë$761), "", 'Data Entry'!$ë$761)</f>
      </c>
      <c r="FP761">
        <f>IF(ISBLANK('Data Entry'!$ì$761), "", 'Data Entry'!$ì$761)</f>
      </c>
      <c r="FQ761">
        <f>IF(ISBLANK('Data Entry'!$í$761), "", 'Data Entry'!$í$761)</f>
      </c>
      <c r="FR761">
        <f>IF(ISBLANK('Data Entry'!$î$761), "", 'Data Entry'!$î$761)</f>
      </c>
      <c r="FS761">
        <f>IF(ISBLANK('Data Entry'!$ï$761), "", 'Data Entry'!$ï$761)</f>
      </c>
      <c r="FT761">
        <f>IF(ISBLANK('Data Entry'!$ð$761), "", 'Data Entry'!$ð$761)</f>
      </c>
      <c r="FU761">
        <f>IF(ISBLANK('Data Entry'!$ñ$761), "", 'Data Entry'!$ñ$761)</f>
      </c>
      <c r="FV761">
        <f>IF(ISBLANK('Data Entry'!$ò$761), "", 'Data Entry'!$ò$761)</f>
      </c>
      <c r="FW761">
        <f>IF(ISBLANK('Data Entry'!$ó$761), "", 'Data Entry'!$ó$761)</f>
      </c>
      <c r="FX761">
        <f>IF(ISBLANK('Data Entry'!$ô$761), "", 'Data Entry'!$ô$761)</f>
      </c>
      <c r="FY761">
        <f>IF(ISBLANK('Data Entry'!$õ$761), "", 'Data Entry'!$õ$761)</f>
      </c>
      <c r="FZ761">
        <f>IF(ISBLANK('Data Entry'!$ö$761), "", 'Data Entry'!$ö$761)</f>
      </c>
      <c r="GA761">
        <f>IF(ISBLANK('Data Entry'!$÷$761), "", 'Data Entry'!$÷$761)</f>
      </c>
      <c r="GB761">
        <f>IF(ISBLANK('Data Entry'!$ø$761), "", 'Data Entry'!$ø$761)</f>
      </c>
      <c r="GC761">
        <f>IF(ISBLANK('Data Entry'!$ù$761), "", 'Data Entry'!$ù$761)</f>
      </c>
      <c r="GD761">
        <f>IF(ISBLANK('Data Entry'!$ú$761), "", 'Data Entry'!$ú$761)</f>
      </c>
      <c r="GE761">
        <f>IF(ISBLANK('Data Entry'!$û$761), "", 'Data Entry'!$û$761)</f>
      </c>
      <c r="GF761">
        <f>IF(ISBLANK('Data Entry'!$ü$761), "", 'Data Entry'!$ü$761)</f>
      </c>
      <c r="GG761">
        <f>IF(ISBLANK('Data Entry'!$ý$761), "", 'Data Entry'!$ý$761)</f>
      </c>
      <c r="GH761">
        <f>IF(ISBLANK('Data Entry'!$þ$761), "", 'Data Entry'!$þ$761)</f>
      </c>
      <c r="GI761">
        <f>IF(ISBLANK('Data Entry'!$ÿ$761), "", 'Data Entry'!$ÿ$761)</f>
      </c>
      <c r="GJ761">
        <f>IF(ISBLANK('Data Entry'!$Ā$761), "", 'Data Entry'!$Ā$761)</f>
      </c>
      <c r="GK761">
        <f>IF(ISBLANK('Data Entry'!$ā$761), "", 'Data Entry'!$ā$761)</f>
      </c>
      <c r="GL761">
        <f>IF(ISBLANK('Data Entry'!$Ă$761), "", 'Data Entry'!$Ă$761)</f>
      </c>
      <c r="GM761">
        <f>IF(ISBLANK('Data Entry'!$ă$761), "", 'Data Entry'!$ă$761)</f>
      </c>
      <c r="GN761">
        <f>IF(ISBLANK('Data Entry'!$Ą$761), "", 'Data Entry'!$Ą$761)</f>
      </c>
      <c r="GO761">
        <f>IF(ISBLANK('Data Entry'!$ą$761), "", 'Data Entry'!$ą$761)</f>
      </c>
      <c r="GP761">
        <f>IF(ISBLANK('Data Entry'!$Ć$761), "", 'Data Entry'!$Ć$761)</f>
      </c>
      <c r="GQ761">
        <f>IF(ISBLANK('Data Entry'!$ć$761), "", 'Data Entry'!$ć$761)</f>
      </c>
      <c r="GR761">
        <f>IF(ISBLANK('Data Entry'!$Ĉ$761), "", 'Data Entry'!$Ĉ$761)</f>
      </c>
      <c r="GS761">
        <f>IF(ISBLANK('Data Entry'!$ĉ$761), "", 'Data Entry'!$ĉ$761)</f>
      </c>
      <c r="GT761">
        <f>IF(ISBLANK('Data Entry'!$Ċ$761), "", 'Data Entry'!$Ċ$761)</f>
      </c>
      <c r="GU761">
        <f>IF(ISBLANK('Data Entry'!$ċ$761), "", 'Data Entry'!$ċ$761)</f>
      </c>
      <c r="GV761">
        <f>IF(ISBLANK('Data Entry'!$Č$761), "", 'Data Entry'!$Č$761)</f>
      </c>
      <c r="GW761">
        <f>IF(ISBLANK('Data Entry'!$č$761), "", 'Data Entry'!$č$761)</f>
      </c>
      <c r="GX761">
        <f>IF(ISBLANK('Data Entry'!$Ď$761), "", 'Data Entry'!$Ď$761)</f>
      </c>
      <c r="GY761">
        <f>IF(ISBLANK('Data Entry'!$ď$761), "", 'Data Entry'!$ď$761)</f>
      </c>
      <c r="GZ761">
        <f>IF(ISBLANK('Data Entry'!$Đ$761), "", 'Data Entry'!$Đ$761)</f>
      </c>
      <c r="HA761">
        <f>IF(ISBLANK('Data Entry'!$đ$761), "", 'Data Entry'!$đ$761)</f>
      </c>
      <c r="HB761">
        <f>IF(ISBLANK('Data Entry'!$Ē$761), "", 'Data Entry'!$Ē$761)</f>
      </c>
      <c r="HC761">
        <f>IF(ISBLANK('Data Entry'!$ē$761), "", 'Data Entry'!$ē$761)</f>
      </c>
      <c r="HD761">
        <f>IF(ISBLANK('Data Entry'!$Ĕ$761), "", 'Data Entry'!$Ĕ$761)</f>
      </c>
      <c r="HE761">
        <f>IF(ISBLANK('Data Entry'!$ĕ$761), "", 'Data Entry'!$ĕ$761)</f>
      </c>
      <c r="HF761">
        <f>IF(ISBLANK('Data Entry'!$Ė$761), "", 'Data Entry'!$Ė$761)</f>
      </c>
      <c r="HG761">
        <f>IF(ISBLANK('Data Entry'!$ė$761), "", 'Data Entry'!$ė$761)</f>
      </c>
      <c r="HH761">
        <f>IF(ISBLANK('Data Entry'!$Ę$761), "", 'Data Entry'!$Ę$761)</f>
      </c>
      <c r="HI761">
        <f>IF(ISBLANK('Data Entry'!$ę$761), "", 'Data Entry'!$ę$761)</f>
      </c>
      <c r="HJ761">
        <f>IF(ISBLANK('Data Entry'!$Ě$761), "", 'Data Entry'!$Ě$761)</f>
      </c>
      <c r="HK761">
        <f>IF(ISBLANK('Data Entry'!$ě$761), "", 'Data Entry'!$ě$761)</f>
      </c>
      <c r="HL761">
        <f>IF(ISBLANK('Data Entry'!$Ĝ$761), "", 'Data Entry'!$Ĝ$761)</f>
      </c>
      <c r="HM761">
        <f>IF(ISBLANK('Data Entry'!$ĝ$761), "", 'Data Entry'!$ĝ$761)</f>
      </c>
      <c r="HN761">
        <f>IF(ISBLANK('Data Entry'!$Ğ$761), "", 'Data Entry'!$Ğ$761)</f>
      </c>
      <c r="HO761">
        <f>IF(ISBLANK('Data Entry'!$ğ$761), "", 'Data Entry'!$ğ$761)</f>
      </c>
      <c r="HP761">
        <f>IF(ISBLANK('Data Entry'!$Ġ$761), "", 'Data Entry'!$Ġ$761)</f>
      </c>
      <c r="HQ761">
        <f>IF(ISBLANK('Data Entry'!$ġ$761), "", 'Data Entry'!$ġ$761)</f>
      </c>
      <c r="HR761">
        <f>IF(ISBLANK('Data Entry'!$Ģ$761), "", 'Data Entry'!$Ģ$761)</f>
      </c>
      <c r="HS761">
        <f>IF(ISBLANK('Data Entry'!$ģ$761), "", 'Data Entry'!$ģ$761)</f>
      </c>
      <c r="HT761">
        <f>IF(ISBLANK('Data Entry'!$Ĥ$761), "", 'Data Entry'!$Ĥ$761)</f>
      </c>
      <c r="HU761">
        <f>IF(ISBLANK('Data Entry'!$ĥ$761), "", 'Data Entry'!$ĥ$761)</f>
      </c>
      <c r="HV761">
        <f>IF(ISBLANK('Data Entry'!$Ħ$761), "", 'Data Entry'!$Ħ$761)</f>
      </c>
      <c r="HW761">
        <f>IF(ISBLANK('Data Entry'!$ħ$761), "", 'Data Entry'!$ħ$761)</f>
      </c>
      <c r="HX761">
        <f>IF(ISBLANK('Data Entry'!$Ĩ$761), "", 'Data Entry'!$Ĩ$761)</f>
      </c>
      <c r="HY761">
        <f>IF(ISBLANK('Data Entry'!$ĩ$761), "", 'Data Entry'!$ĩ$761)</f>
      </c>
      <c r="HZ761">
        <f>IF(ISBLANK('Data Entry'!$Ī$761), "", 'Data Entry'!$Ī$761)</f>
      </c>
      <c r="IA761">
        <f>IF(ISBLANK('Data Entry'!$ī$761), "", 'Data Entry'!$ī$761)</f>
      </c>
      <c r="IB761">
        <f>IF(ISBLANK('Data Entry'!$Ĭ$761), "", 'Data Entry'!$Ĭ$761)</f>
      </c>
      <c r="IC761">
        <f>IF(ISBLANK('Data Entry'!$ĭ$761), "", 'Data Entry'!$ĭ$761)</f>
      </c>
      <c r="ID761">
        <f>IF(ISBLANK('Data Entry'!$Į$761), "", 'Data Entry'!$Į$761)</f>
      </c>
      <c r="IE761">
        <f>IF(ISBLANK('Data Entry'!$į$761), "", 'Data Entry'!$į$761)</f>
      </c>
      <c r="IF761">
        <f>IF(ISBLANK('Data Entry'!$İ$761), "", 'Data Entry'!$İ$761)</f>
      </c>
      <c r="IG761">
        <f>IF(ISBLANK('Data Entry'!$ı$761), "", 'Data Entry'!$ı$761)</f>
      </c>
      <c r="IH761">
        <f>IF(ISBLANK('Data Entry'!$Ĳ$761), "", 'Data Entry'!$Ĳ$761)</f>
      </c>
      <c r="II761">
        <f>IF(ISBLANK('Data Entry'!$ĳ$761), "", 'Data Entry'!$ĳ$761)</f>
      </c>
      <c r="IJ761">
        <f>IF(ISBLANK('Data Entry'!$Ĵ$761), "", 'Data Entry'!$Ĵ$761)</f>
      </c>
      <c r="IK761">
        <f>IF(ISBLANK('Data Entry'!$ĵ$761), "", 'Data Entry'!$ĵ$761)</f>
      </c>
      <c r="IL761">
        <f>IF(ISBLANK('Data Entry'!$Ķ$761), "", 'Data Entry'!$Ķ$761)</f>
      </c>
      <c r="IM761">
        <f>IF(ISBLANK('Data Entry'!$ķ$761), "", 'Data Entry'!$ķ$761)</f>
      </c>
      <c r="IN761">
        <f>IF(ISBLANK('Data Entry'!$ĸ$761), "", 'Data Entry'!$ĸ$761)</f>
      </c>
      <c r="IO761">
        <f>IF(ISBLANK('Data Entry'!$Ĺ$761), "", 'Data Entry'!$Ĺ$761)</f>
      </c>
      <c r="IP761">
        <f>IF(ISBLANK('Data Entry'!$ĺ$761), "", 'Data Entry'!$ĺ$761)</f>
      </c>
      <c r="IQ761">
        <f>IF(ISBLANK('Data Entry'!$Ļ$761), "", 'Data Entry'!$Ļ$761)</f>
      </c>
      <c r="IR761">
        <f>IF(ISBLANK('Data Entry'!$ļ$761), "", 'Data Entry'!$ļ$761)</f>
      </c>
      <c r="IS761">
        <f>IF(ISBLANK('Data Entry'!$Ľ$761), "", 'Data Entry'!$Ľ$761)</f>
      </c>
      <c r="IT761">
        <f>IF(ISBLANK('Data Entry'!$ľ$761), "", 'Data Entry'!$ľ$761)</f>
      </c>
    </row>
    <row r="762" spans="1:254" x14ac:dyDescent="0.25">
      <c r="A762">
        <f>IF(ISBLANK('Data Entry'!$A$762), "", 'Data Entry'!$A$762)</f>
      </c>
      <c r="B762">
        <f>IF(ISBLANK('Data Entry'!$B$762), "", 'Data Entry'!$B$762)</f>
      </c>
      <c r="C762">
        <f>IF(ISBLANK('Data Entry'!$C$762), "", 'Data Entry'!$C$762)</f>
      </c>
      <c r="D762">
        <f>IF(ISBLANK('Data Entry'!$D$762), "", 'Data Entry'!$D$762)</f>
      </c>
      <c r="E762">
        <f>IF(ISBLANK('Data Entry'!$E$762), "", 'Data Entry'!$E$762)</f>
      </c>
      <c r="F762">
        <f>IF(ISBLANK('Data Entry'!$F$762), "", 'Data Entry'!$F$762)</f>
      </c>
      <c r="G762">
        <f>IF(ISBLANK('Data Entry'!$G$762), "", 'Data Entry'!$G$762)</f>
      </c>
      <c r="H762">
        <f>IF(ISBLANK('Data Entry'!$H$762), "", 'Data Entry'!$H$762)</f>
      </c>
      <c r="I762">
        <f>IF(ISBLANK('Data Entry'!$I$762), "", 'Data Entry'!$I$762)</f>
      </c>
      <c r="J762">
        <f>IF(ISBLANK('Data Entry'!$J$762), "", 'Data Entry'!$J$762)</f>
      </c>
      <c r="K762">
        <f>IF(ISBLANK('Data Entry'!$K$762), "", 'Data Entry'!$K$762)</f>
      </c>
      <c r="L762">
        <f>IF(ISBLANK('Data Entry'!$L$762), "", 'Data Entry'!$L$762)</f>
      </c>
      <c r="M762">
        <f>IF(ISBLANK('Data Entry'!$M$762), "", 'Data Entry'!$M$762)</f>
      </c>
      <c r="N762">
        <f>IF(ISBLANK('Data Entry'!$N$762), "", 'Data Entry'!$N$762)</f>
      </c>
      <c r="O762">
        <f>IF(ISBLANK('Data Entry'!$O$762), "", 'Data Entry'!$O$762)</f>
      </c>
      <c r="P762">
        <f>IF(ISBLANK('Data Entry'!$P$762), "", 'Data Entry'!$P$762)</f>
      </c>
      <c r="Q762">
        <f>IF(ISBLANK('Data Entry'!$Q$762), "", 'Data Entry'!$Q$762)</f>
      </c>
      <c r="R762">
        <f>IF(ISBLANK('Data Entry'!$R$762), "", 'Data Entry'!$R$762)</f>
      </c>
      <c r="S762">
        <f>IF(ISBLANK('Data Entry'!$S$762), "", 'Data Entry'!$S$762)</f>
      </c>
      <c r="T762">
        <f>IF(ISBLANK('Data Entry'!$T$762), "", 'Data Entry'!$T$762)</f>
      </c>
      <c r="U762">
        <f>IF(ISBLANK('Data Entry'!$U$762), "", 'Data Entry'!$U$762)</f>
      </c>
      <c r="V762">
        <f>IF(ISBLANK('Data Entry'!$V$762), "", 'Data Entry'!$V$762)</f>
      </c>
      <c r="W762">
        <f>IF(ISBLANK('Data Entry'!$W$762), "", 'Data Entry'!$W$762)</f>
      </c>
      <c r="X762">
        <f>IF(ISBLANK('Data Entry'!$X$762), "", 'Data Entry'!$X$762)</f>
      </c>
      <c r="Y762">
        <f>IF(ISBLANK('Data Entry'!$Y$762), "", 'Data Entry'!$Y$762)</f>
      </c>
      <c r="Z762">
        <f>IF(ISBLANK('Data Entry'!$Z$762), "", 'Data Entry'!$Z$762)</f>
      </c>
      <c r="AA762">
        <f>IF(ISBLANK('Data Entry'!$[$762), "", 'Data Entry'!$[$762)</f>
      </c>
      <c r="AB762">
        <f>IF(ISBLANK('Data Entry'!$\$762), "", 'Data Entry'!$\$762)</f>
      </c>
      <c r="AC762">
        <f>IF(ISBLANK('Data Entry'!$]$762), "", 'Data Entry'!$]$762)</f>
      </c>
      <c r="AD762">
        <f>IF(ISBLANK('Data Entry'!$^$762), "", 'Data Entry'!$^$762)</f>
      </c>
      <c r="AE762">
        <f>IF(ISBLANK('Data Entry'!$_$762), "", 'Data Entry'!$_$762)</f>
      </c>
      <c r="AF762">
        <f>IF(ISBLANK('Data Entry'!$`$762), "", 'Data Entry'!$`$762)</f>
      </c>
      <c r="AG762">
        <f>IF(ISBLANK('Data Entry'!$a$762), "", 'Data Entry'!$a$762)</f>
      </c>
      <c r="AH762">
        <f>IF(ISBLANK('Data Entry'!$b$762), "", 'Data Entry'!$b$762)</f>
      </c>
      <c r="AI762">
        <f>IF(ISBLANK('Data Entry'!$c$762), "", 'Data Entry'!$c$762)</f>
      </c>
      <c r="AJ762">
        <f>IF(ISBLANK('Data Entry'!$d$762), "", 'Data Entry'!$d$762)</f>
      </c>
      <c r="AK762">
        <f>IF(ISBLANK('Data Entry'!$e$762), "", 'Data Entry'!$e$762)</f>
      </c>
      <c r="AL762">
        <f>IF(ISBLANK('Data Entry'!$f$762), "", 'Data Entry'!$f$762)</f>
      </c>
      <c r="AM762">
        <f>IF(ISBLANK('Data Entry'!$g$762), "", 'Data Entry'!$g$762)</f>
      </c>
      <c r="AN762">
        <f>IF(ISBLANK('Data Entry'!$h$762), "", 'Data Entry'!$h$762)</f>
      </c>
      <c r="AO762">
        <f>IF(ISBLANK('Data Entry'!$i$762), "", 'Data Entry'!$i$762)</f>
      </c>
      <c r="AP762">
        <f>IF(ISBLANK('Data Entry'!$j$762), "", 'Data Entry'!$j$762)</f>
      </c>
      <c r="AQ762">
        <f>IF(ISBLANK('Data Entry'!$k$762), "", 'Data Entry'!$k$762)</f>
      </c>
      <c r="AR762">
        <f>IF(ISBLANK('Data Entry'!$l$762), "", 'Data Entry'!$l$762)</f>
      </c>
      <c r="AS762">
        <f>IF(ISBLANK('Data Entry'!$m$762), "", 'Data Entry'!$m$762)</f>
      </c>
      <c r="AT762">
        <f>IF(ISBLANK('Data Entry'!$n$762), "", 'Data Entry'!$n$762)</f>
      </c>
      <c r="AU762">
        <f>IF(ISBLANK('Data Entry'!$o$762), "", 'Data Entry'!$o$762)</f>
      </c>
      <c r="AV762">
        <f>IF(ISBLANK('Data Entry'!$p$762), "", 'Data Entry'!$p$762)</f>
      </c>
      <c r="AW762">
        <f>IF(ISBLANK('Data Entry'!$q$762), "", 'Data Entry'!$q$762)</f>
      </c>
      <c r="AX762">
        <f>IF(ISBLANK('Data Entry'!$r$762), "", 'Data Entry'!$r$762)</f>
      </c>
      <c r="AY762">
        <f>IF(ISBLANK('Data Entry'!$s$762), "", 'Data Entry'!$s$762)</f>
      </c>
      <c r="AZ762">
        <f>IF(ISBLANK('Data Entry'!$t$762), "", 'Data Entry'!$t$762)</f>
      </c>
      <c r="BA762">
        <f>IF(ISBLANK('Data Entry'!$u$762), "", 'Data Entry'!$u$762)</f>
      </c>
      <c r="BB762">
        <f>IF(ISBLANK('Data Entry'!$v$762), "", 'Data Entry'!$v$762)</f>
      </c>
      <c r="BC762">
        <f>IF(ISBLANK('Data Entry'!$w$762), "", 'Data Entry'!$w$762)</f>
      </c>
      <c r="BD762">
        <f>IF(ISBLANK('Data Entry'!$x$762), "", 'Data Entry'!$x$762)</f>
      </c>
      <c r="BE762">
        <f>IF(ISBLANK('Data Entry'!$y$762), "", 'Data Entry'!$y$762)</f>
      </c>
      <c r="BF762">
        <f>IF(ISBLANK('Data Entry'!$z$762), "", 'Data Entry'!$z$762)</f>
      </c>
      <c r="BG762">
        <f>IF(ISBLANK('Data Entry'!${$762), "", 'Data Entry'!${$762)</f>
      </c>
      <c r="BH762">
        <f>IF(ISBLANK('Data Entry'!$|$762), "", 'Data Entry'!$|$762)</f>
      </c>
      <c r="BI762">
        <f>IF(ISBLANK('Data Entry'!$}$762), "", 'Data Entry'!$}$762)</f>
      </c>
      <c r="BJ762">
        <f>IF(ISBLANK('Data Entry'!$~$762), "", 'Data Entry'!$~$762)</f>
      </c>
      <c r="BK762">
        <f>IF(ISBLANK('Data Entry'!$$762), "", 'Data Entry'!$$762)</f>
      </c>
      <c r="BL762">
        <f>IF(ISBLANK('Data Entry'!$$762), "", 'Data Entry'!$$762)</f>
      </c>
      <c r="BM762">
        <f>IF(ISBLANK('Data Entry'!$$762), "", 'Data Entry'!$$762)</f>
      </c>
      <c r="BN762">
        <f>IF(ISBLANK('Data Entry'!$$762), "", 'Data Entry'!$$762)</f>
      </c>
      <c r="BO762">
        <f>IF(ISBLANK('Data Entry'!$$762), "", 'Data Entry'!$$762)</f>
      </c>
      <c r="BP762">
        <f>IF(ISBLANK('Data Entry'!$$762), "", 'Data Entry'!$$762)</f>
      </c>
      <c r="BQ762">
        <f>IF(ISBLANK('Data Entry'!$$762), "", 'Data Entry'!$$762)</f>
      </c>
      <c r="BR762">
        <f>IF(ISBLANK('Data Entry'!$$762), "", 'Data Entry'!$$762)</f>
      </c>
      <c r="BS762">
        <f>IF(ISBLANK('Data Entry'!$$762), "", 'Data Entry'!$$762)</f>
      </c>
      <c r="BT762">
        <f>IF(ISBLANK('Data Entry'!$$762), "", 'Data Entry'!$$762)</f>
      </c>
      <c r="BU762">
        <f>IF(ISBLANK('Data Entry'!$$762), "", 'Data Entry'!$$762)</f>
      </c>
      <c r="BV762">
        <f>IF(ISBLANK('Data Entry'!$$762), "", 'Data Entry'!$$762)</f>
      </c>
      <c r="BW762">
        <f>IF(ISBLANK('Data Entry'!$$762), "", 'Data Entry'!$$762)</f>
      </c>
      <c r="BX762">
        <f>IF(ISBLANK('Data Entry'!$$762), "", 'Data Entry'!$$762)</f>
      </c>
      <c r="BY762">
        <f>IF(ISBLANK('Data Entry'!$$762), "", 'Data Entry'!$$762)</f>
      </c>
      <c r="BZ762">
        <f>IF(ISBLANK('Data Entry'!$$762), "", 'Data Entry'!$$762)</f>
      </c>
      <c r="CA762">
        <f>IF(ISBLANK('Data Entry'!$$762), "", 'Data Entry'!$$762)</f>
      </c>
      <c r="CB762">
        <f>IF(ISBLANK('Data Entry'!$$762), "", 'Data Entry'!$$762)</f>
      </c>
      <c r="CC762">
        <f>IF(ISBLANK('Data Entry'!$$762), "", 'Data Entry'!$$762)</f>
      </c>
      <c r="CD762">
        <f>IF(ISBLANK('Data Entry'!$$762), "", 'Data Entry'!$$762)</f>
      </c>
      <c r="CE762">
        <f>IF(ISBLANK('Data Entry'!$$762), "", 'Data Entry'!$$762)</f>
      </c>
      <c r="CF762">
        <f>IF(ISBLANK('Data Entry'!$$762), "", 'Data Entry'!$$762)</f>
      </c>
      <c r="CG762">
        <f>IF(ISBLANK('Data Entry'!$$762), "", 'Data Entry'!$$762)</f>
      </c>
      <c r="CH762">
        <f>IF(ISBLANK('Data Entry'!$$762), "", 'Data Entry'!$$762)</f>
      </c>
      <c r="CI762">
        <f>IF(ISBLANK('Data Entry'!$$762), "", 'Data Entry'!$$762)</f>
      </c>
      <c r="CJ762">
        <f>IF(ISBLANK('Data Entry'!$$762), "", 'Data Entry'!$$762)</f>
      </c>
      <c r="CK762">
        <f>IF(ISBLANK('Data Entry'!$$762), "", 'Data Entry'!$$762)</f>
      </c>
      <c r="CL762">
        <f>IF(ISBLANK('Data Entry'!$$762), "", 'Data Entry'!$$762)</f>
      </c>
      <c r="CM762">
        <f>IF(ISBLANK('Data Entry'!$$762), "", 'Data Entry'!$$762)</f>
      </c>
      <c r="CN762">
        <f>IF(ISBLANK('Data Entry'!$$762), "", 'Data Entry'!$$762)</f>
      </c>
      <c r="CO762">
        <f>IF(ISBLANK('Data Entry'!$$762), "", 'Data Entry'!$$762)</f>
      </c>
      <c r="CP762">
        <f>IF(ISBLANK('Data Entry'!$$762), "", 'Data Entry'!$$762)</f>
      </c>
      <c r="CQ762">
        <f>IF(ISBLANK('Data Entry'!$$762), "", 'Data Entry'!$$762)</f>
      </c>
      <c r="CR762">
        <f>IF(ISBLANK('Data Entry'!$ $762), "", 'Data Entry'!$ $762)</f>
      </c>
      <c r="CS762">
        <f>IF(ISBLANK('Data Entry'!$¡$762), "", 'Data Entry'!$¡$762)</f>
      </c>
      <c r="CT762">
        <f>IF(ISBLANK('Data Entry'!$¢$762), "", 'Data Entry'!$¢$762)</f>
      </c>
      <c r="CU762">
        <f>IF(ISBLANK('Data Entry'!$£$762), "", 'Data Entry'!$£$762)</f>
      </c>
      <c r="CV762">
        <f>IF(ISBLANK('Data Entry'!$¤$762), "", 'Data Entry'!$¤$762)</f>
      </c>
      <c r="CW762">
        <f>IF(ISBLANK('Data Entry'!$¥$762), "", 'Data Entry'!$¥$762)</f>
      </c>
      <c r="CX762">
        <f>IF(ISBLANK('Data Entry'!$¦$762), "", 'Data Entry'!$¦$762)</f>
      </c>
      <c r="CY762">
        <f>IF(ISBLANK('Data Entry'!$§$762), "", 'Data Entry'!$§$762)</f>
      </c>
      <c r="CZ762">
        <f>IF(ISBLANK('Data Entry'!$¨$762), "", 'Data Entry'!$¨$762)</f>
      </c>
      <c r="DA762">
        <f>IF(ISBLANK('Data Entry'!$©$762), "", 'Data Entry'!$©$762)</f>
      </c>
      <c r="DB762">
        <f>IF(ISBLANK('Data Entry'!$ª$762), "", 'Data Entry'!$ª$762)</f>
      </c>
      <c r="DC762">
        <f>IF(ISBLANK('Data Entry'!$«$762), "", 'Data Entry'!$«$762)</f>
      </c>
      <c r="DD762">
        <f>IF(ISBLANK('Data Entry'!$¬$762), "", 'Data Entry'!$¬$762)</f>
      </c>
      <c r="DE762">
        <f>IF(ISBLANK('Data Entry'!$­$762), "", 'Data Entry'!$­$762)</f>
      </c>
      <c r="DF762">
        <f>IF(ISBLANK('Data Entry'!$®$762), "", 'Data Entry'!$®$762)</f>
      </c>
      <c r="DG762">
        <f>IF(ISBLANK('Data Entry'!$¯$762), "", 'Data Entry'!$¯$762)</f>
      </c>
      <c r="DH762">
        <f>IF(ISBLANK('Data Entry'!$°$762), "", 'Data Entry'!$°$762)</f>
      </c>
      <c r="DI762">
        <f>IF(ISBLANK('Data Entry'!$±$762), "", 'Data Entry'!$±$762)</f>
      </c>
      <c r="DJ762">
        <f>IF(ISBLANK('Data Entry'!$²$762), "", 'Data Entry'!$²$762)</f>
      </c>
      <c r="DK762">
        <f>IF(ISBLANK('Data Entry'!$³$762), "", 'Data Entry'!$³$762)</f>
      </c>
      <c r="DL762">
        <f>IF(ISBLANK('Data Entry'!$´$762), "", 'Data Entry'!$´$762)</f>
      </c>
      <c r="DM762">
        <f>IF(ISBLANK('Data Entry'!$µ$762), "", 'Data Entry'!$µ$762)</f>
      </c>
      <c r="DN762">
        <f>IF(ISBLANK('Data Entry'!$¶$762), "", 'Data Entry'!$¶$762)</f>
      </c>
      <c r="DO762">
        <f>IF(ISBLANK('Data Entry'!$·$762), "", 'Data Entry'!$·$762)</f>
      </c>
      <c r="DP762">
        <f>IF(ISBLANK('Data Entry'!$¸$762), "", 'Data Entry'!$¸$762)</f>
      </c>
      <c r="DQ762">
        <f>IF(ISBLANK('Data Entry'!$¹$762), "", 'Data Entry'!$¹$762)</f>
      </c>
      <c r="DR762">
        <f>IF(ISBLANK('Data Entry'!$º$762), "", 'Data Entry'!$º$762)</f>
      </c>
      <c r="DS762">
        <f>IF(ISBLANK('Data Entry'!$»$762), "", 'Data Entry'!$»$762)</f>
      </c>
      <c r="DT762">
        <f>IF(ISBLANK('Data Entry'!$¼$762), "", 'Data Entry'!$¼$762)</f>
      </c>
      <c r="DU762">
        <f>IF(ISBLANK('Data Entry'!$½$762), "", 'Data Entry'!$½$762)</f>
      </c>
      <c r="DV762">
        <f>IF(ISBLANK('Data Entry'!$¾$762), "", 'Data Entry'!$¾$762)</f>
      </c>
      <c r="DW762">
        <f>IF(ISBLANK('Data Entry'!$¿$762), "", 'Data Entry'!$¿$762)</f>
      </c>
      <c r="DX762">
        <f>IF(ISBLANK('Data Entry'!$À$762), "", 'Data Entry'!$À$762)</f>
      </c>
      <c r="DY762">
        <f>IF(ISBLANK('Data Entry'!$Á$762), "", 'Data Entry'!$Á$762)</f>
      </c>
      <c r="DZ762">
        <f>IF(ISBLANK('Data Entry'!$Â$762), "", 'Data Entry'!$Â$762)</f>
      </c>
      <c r="EA762">
        <f>IF(ISBLANK('Data Entry'!$Ã$762), "", 'Data Entry'!$Ã$762)</f>
      </c>
      <c r="EB762">
        <f>IF(ISBLANK('Data Entry'!$Ä$762), "", 'Data Entry'!$Ä$762)</f>
      </c>
      <c r="EC762">
        <f>IF(ISBLANK('Data Entry'!$Å$762), "", 'Data Entry'!$Å$762)</f>
      </c>
      <c r="ED762">
        <f>IF(ISBLANK('Data Entry'!$Æ$762), "", 'Data Entry'!$Æ$762)</f>
      </c>
      <c r="EE762">
        <f>IF(ISBLANK('Data Entry'!$Ç$762), "", 'Data Entry'!$Ç$762)</f>
      </c>
      <c r="EF762">
        <f>IF(ISBLANK('Data Entry'!$È$762), "", 'Data Entry'!$È$762)</f>
      </c>
      <c r="EG762">
        <f>IF(ISBLANK('Data Entry'!$É$762), "", 'Data Entry'!$É$762)</f>
      </c>
      <c r="EH762">
        <f>IF(ISBLANK('Data Entry'!$Ê$762), "", 'Data Entry'!$Ê$762)</f>
      </c>
      <c r="EI762">
        <f>IF(ISBLANK('Data Entry'!$Ë$762), "", 'Data Entry'!$Ë$762)</f>
      </c>
      <c r="EJ762">
        <f>IF(ISBLANK('Data Entry'!$Ì$762), "", 'Data Entry'!$Ì$762)</f>
      </c>
      <c r="EK762">
        <f>IF(ISBLANK('Data Entry'!$Í$762), "", 'Data Entry'!$Í$762)</f>
      </c>
      <c r="EL762">
        <f>IF(ISBLANK('Data Entry'!$Î$762), "", 'Data Entry'!$Î$762)</f>
      </c>
      <c r="EM762">
        <f>IF(ISBLANK('Data Entry'!$Ï$762), "", 'Data Entry'!$Ï$762)</f>
      </c>
      <c r="EN762">
        <f>IF(ISBLANK('Data Entry'!$Ð$762), "", 'Data Entry'!$Ð$762)</f>
      </c>
      <c r="EO762">
        <f>IF(ISBLANK('Data Entry'!$Ñ$762), "", 'Data Entry'!$Ñ$762)</f>
      </c>
      <c r="EP762">
        <f>IF(ISBLANK('Data Entry'!$Ò$762), "", 'Data Entry'!$Ò$762)</f>
      </c>
      <c r="EQ762">
        <f>IF(ISBLANK('Data Entry'!$Ó$762), "", 'Data Entry'!$Ó$762)</f>
      </c>
      <c r="ER762">
        <f>IF(ISBLANK('Data Entry'!$Ô$762), "", 'Data Entry'!$Ô$762)</f>
      </c>
      <c r="ES762">
        <f>IF(ISBLANK('Data Entry'!$Õ$762), "", 'Data Entry'!$Õ$762)</f>
      </c>
      <c r="ET762">
        <f>IF(ISBLANK('Data Entry'!$Ö$762), "", 'Data Entry'!$Ö$762)</f>
      </c>
      <c r="EU762">
        <f>IF(ISBLANK('Data Entry'!$×$762), "", 'Data Entry'!$×$762)</f>
      </c>
      <c r="EV762">
        <f>IF(ISBLANK('Data Entry'!$Ø$762), "", 'Data Entry'!$Ø$762)</f>
      </c>
      <c r="EW762">
        <f>IF(ISBLANK('Data Entry'!$Ù$762), "", 'Data Entry'!$Ù$762)</f>
      </c>
      <c r="EX762">
        <f>IF(ISBLANK('Data Entry'!$Ú$762), "", 'Data Entry'!$Ú$762)</f>
      </c>
      <c r="EY762">
        <f>IF(ISBLANK('Data Entry'!$Û$762), "", 'Data Entry'!$Û$762)</f>
      </c>
      <c r="EZ762">
        <f>IF(ISBLANK('Data Entry'!$Ü$762), "", 'Data Entry'!$Ü$762)</f>
      </c>
      <c r="FA762">
        <f>IF(ISBLANK('Data Entry'!$Ý$762), "", 'Data Entry'!$Ý$762)</f>
      </c>
      <c r="FB762">
        <f>IF(ISBLANK('Data Entry'!$Þ$762), "", 'Data Entry'!$Þ$762)</f>
      </c>
      <c r="FC762">
        <f>IF(ISBLANK('Data Entry'!$ß$762), "", 'Data Entry'!$ß$762)</f>
      </c>
      <c r="FD762">
        <f>IF(ISBLANK('Data Entry'!$à$762), "", 'Data Entry'!$à$762)</f>
      </c>
      <c r="FE762">
        <f>IF(ISBLANK('Data Entry'!$á$762), "", 'Data Entry'!$á$762)</f>
      </c>
      <c r="FF762">
        <f>IF(ISBLANK('Data Entry'!$â$762), "", 'Data Entry'!$â$762)</f>
      </c>
      <c r="FG762">
        <f>IF(ISBLANK('Data Entry'!$ã$762), "", 'Data Entry'!$ã$762)</f>
      </c>
      <c r="FH762">
        <f>IF(ISBLANK('Data Entry'!$ä$762), "", 'Data Entry'!$ä$762)</f>
      </c>
      <c r="FI762">
        <f>IF(ISBLANK('Data Entry'!$å$762), "", 'Data Entry'!$å$762)</f>
      </c>
      <c r="FJ762">
        <f>IF(ISBLANK('Data Entry'!$æ$762), "", 'Data Entry'!$æ$762)</f>
      </c>
      <c r="FK762">
        <f>IF(ISBLANK('Data Entry'!$ç$762), "", 'Data Entry'!$ç$762)</f>
      </c>
      <c r="FL762">
        <f>IF(ISBLANK('Data Entry'!$è$762), "", 'Data Entry'!$è$762)</f>
      </c>
      <c r="FM762">
        <f>IF(ISBLANK('Data Entry'!$é$762), "", 'Data Entry'!$é$762)</f>
      </c>
      <c r="FN762">
        <f>IF(ISBLANK('Data Entry'!$ê$762), "", 'Data Entry'!$ê$762)</f>
      </c>
      <c r="FO762">
        <f>IF(ISBLANK('Data Entry'!$ë$762), "", 'Data Entry'!$ë$762)</f>
      </c>
      <c r="FP762">
        <f>IF(ISBLANK('Data Entry'!$ì$762), "", 'Data Entry'!$ì$762)</f>
      </c>
      <c r="FQ762">
        <f>IF(ISBLANK('Data Entry'!$í$762), "", 'Data Entry'!$í$762)</f>
      </c>
      <c r="FR762">
        <f>IF(ISBLANK('Data Entry'!$î$762), "", 'Data Entry'!$î$762)</f>
      </c>
      <c r="FS762">
        <f>IF(ISBLANK('Data Entry'!$ï$762), "", 'Data Entry'!$ï$762)</f>
      </c>
      <c r="FT762">
        <f>IF(ISBLANK('Data Entry'!$ð$762), "", 'Data Entry'!$ð$762)</f>
      </c>
      <c r="FU762">
        <f>IF(ISBLANK('Data Entry'!$ñ$762), "", 'Data Entry'!$ñ$762)</f>
      </c>
      <c r="FV762">
        <f>IF(ISBLANK('Data Entry'!$ò$762), "", 'Data Entry'!$ò$762)</f>
      </c>
      <c r="FW762">
        <f>IF(ISBLANK('Data Entry'!$ó$762), "", 'Data Entry'!$ó$762)</f>
      </c>
      <c r="FX762">
        <f>IF(ISBLANK('Data Entry'!$ô$762), "", 'Data Entry'!$ô$762)</f>
      </c>
      <c r="FY762">
        <f>IF(ISBLANK('Data Entry'!$õ$762), "", 'Data Entry'!$õ$762)</f>
      </c>
      <c r="FZ762">
        <f>IF(ISBLANK('Data Entry'!$ö$762), "", 'Data Entry'!$ö$762)</f>
      </c>
      <c r="GA762">
        <f>IF(ISBLANK('Data Entry'!$÷$762), "", 'Data Entry'!$÷$762)</f>
      </c>
      <c r="GB762">
        <f>IF(ISBLANK('Data Entry'!$ø$762), "", 'Data Entry'!$ø$762)</f>
      </c>
      <c r="GC762">
        <f>IF(ISBLANK('Data Entry'!$ù$762), "", 'Data Entry'!$ù$762)</f>
      </c>
      <c r="GD762">
        <f>IF(ISBLANK('Data Entry'!$ú$762), "", 'Data Entry'!$ú$762)</f>
      </c>
      <c r="GE762">
        <f>IF(ISBLANK('Data Entry'!$û$762), "", 'Data Entry'!$û$762)</f>
      </c>
      <c r="GF762">
        <f>IF(ISBLANK('Data Entry'!$ü$762), "", 'Data Entry'!$ü$762)</f>
      </c>
      <c r="GG762">
        <f>IF(ISBLANK('Data Entry'!$ý$762), "", 'Data Entry'!$ý$762)</f>
      </c>
      <c r="GH762">
        <f>IF(ISBLANK('Data Entry'!$þ$762), "", 'Data Entry'!$þ$762)</f>
      </c>
      <c r="GI762">
        <f>IF(ISBLANK('Data Entry'!$ÿ$762), "", 'Data Entry'!$ÿ$762)</f>
      </c>
      <c r="GJ762">
        <f>IF(ISBLANK('Data Entry'!$Ā$762), "", 'Data Entry'!$Ā$762)</f>
      </c>
      <c r="GK762">
        <f>IF(ISBLANK('Data Entry'!$ā$762), "", 'Data Entry'!$ā$762)</f>
      </c>
      <c r="GL762">
        <f>IF(ISBLANK('Data Entry'!$Ă$762), "", 'Data Entry'!$Ă$762)</f>
      </c>
      <c r="GM762">
        <f>IF(ISBLANK('Data Entry'!$ă$762), "", 'Data Entry'!$ă$762)</f>
      </c>
      <c r="GN762">
        <f>IF(ISBLANK('Data Entry'!$Ą$762), "", 'Data Entry'!$Ą$762)</f>
      </c>
      <c r="GO762">
        <f>IF(ISBLANK('Data Entry'!$ą$762), "", 'Data Entry'!$ą$762)</f>
      </c>
      <c r="GP762">
        <f>IF(ISBLANK('Data Entry'!$Ć$762), "", 'Data Entry'!$Ć$762)</f>
      </c>
      <c r="GQ762">
        <f>IF(ISBLANK('Data Entry'!$ć$762), "", 'Data Entry'!$ć$762)</f>
      </c>
      <c r="GR762">
        <f>IF(ISBLANK('Data Entry'!$Ĉ$762), "", 'Data Entry'!$Ĉ$762)</f>
      </c>
      <c r="GS762">
        <f>IF(ISBLANK('Data Entry'!$ĉ$762), "", 'Data Entry'!$ĉ$762)</f>
      </c>
      <c r="GT762">
        <f>IF(ISBLANK('Data Entry'!$Ċ$762), "", 'Data Entry'!$Ċ$762)</f>
      </c>
      <c r="GU762">
        <f>IF(ISBLANK('Data Entry'!$ċ$762), "", 'Data Entry'!$ċ$762)</f>
      </c>
      <c r="GV762">
        <f>IF(ISBLANK('Data Entry'!$Č$762), "", 'Data Entry'!$Č$762)</f>
      </c>
      <c r="GW762">
        <f>IF(ISBLANK('Data Entry'!$č$762), "", 'Data Entry'!$č$762)</f>
      </c>
      <c r="GX762">
        <f>IF(ISBLANK('Data Entry'!$Ď$762), "", 'Data Entry'!$Ď$762)</f>
      </c>
      <c r="GY762">
        <f>IF(ISBLANK('Data Entry'!$ď$762), "", 'Data Entry'!$ď$762)</f>
      </c>
      <c r="GZ762">
        <f>IF(ISBLANK('Data Entry'!$Đ$762), "", 'Data Entry'!$Đ$762)</f>
      </c>
      <c r="HA762">
        <f>IF(ISBLANK('Data Entry'!$đ$762), "", 'Data Entry'!$đ$762)</f>
      </c>
      <c r="HB762">
        <f>IF(ISBLANK('Data Entry'!$Ē$762), "", 'Data Entry'!$Ē$762)</f>
      </c>
      <c r="HC762">
        <f>IF(ISBLANK('Data Entry'!$ē$762), "", 'Data Entry'!$ē$762)</f>
      </c>
      <c r="HD762">
        <f>IF(ISBLANK('Data Entry'!$Ĕ$762), "", 'Data Entry'!$Ĕ$762)</f>
      </c>
      <c r="HE762">
        <f>IF(ISBLANK('Data Entry'!$ĕ$762), "", 'Data Entry'!$ĕ$762)</f>
      </c>
      <c r="HF762">
        <f>IF(ISBLANK('Data Entry'!$Ė$762), "", 'Data Entry'!$Ė$762)</f>
      </c>
      <c r="HG762">
        <f>IF(ISBLANK('Data Entry'!$ė$762), "", 'Data Entry'!$ė$762)</f>
      </c>
      <c r="HH762">
        <f>IF(ISBLANK('Data Entry'!$Ę$762), "", 'Data Entry'!$Ę$762)</f>
      </c>
      <c r="HI762">
        <f>IF(ISBLANK('Data Entry'!$ę$762), "", 'Data Entry'!$ę$762)</f>
      </c>
      <c r="HJ762">
        <f>IF(ISBLANK('Data Entry'!$Ě$762), "", 'Data Entry'!$Ě$762)</f>
      </c>
      <c r="HK762">
        <f>IF(ISBLANK('Data Entry'!$ě$762), "", 'Data Entry'!$ě$762)</f>
      </c>
      <c r="HL762">
        <f>IF(ISBLANK('Data Entry'!$Ĝ$762), "", 'Data Entry'!$Ĝ$762)</f>
      </c>
      <c r="HM762">
        <f>IF(ISBLANK('Data Entry'!$ĝ$762), "", 'Data Entry'!$ĝ$762)</f>
      </c>
      <c r="HN762">
        <f>IF(ISBLANK('Data Entry'!$Ğ$762), "", 'Data Entry'!$Ğ$762)</f>
      </c>
      <c r="HO762">
        <f>IF(ISBLANK('Data Entry'!$ğ$762), "", 'Data Entry'!$ğ$762)</f>
      </c>
      <c r="HP762">
        <f>IF(ISBLANK('Data Entry'!$Ġ$762), "", 'Data Entry'!$Ġ$762)</f>
      </c>
      <c r="HQ762">
        <f>IF(ISBLANK('Data Entry'!$ġ$762), "", 'Data Entry'!$ġ$762)</f>
      </c>
      <c r="HR762">
        <f>IF(ISBLANK('Data Entry'!$Ģ$762), "", 'Data Entry'!$Ģ$762)</f>
      </c>
      <c r="HS762">
        <f>IF(ISBLANK('Data Entry'!$ģ$762), "", 'Data Entry'!$ģ$762)</f>
      </c>
      <c r="HT762">
        <f>IF(ISBLANK('Data Entry'!$Ĥ$762), "", 'Data Entry'!$Ĥ$762)</f>
      </c>
      <c r="HU762">
        <f>IF(ISBLANK('Data Entry'!$ĥ$762), "", 'Data Entry'!$ĥ$762)</f>
      </c>
      <c r="HV762">
        <f>IF(ISBLANK('Data Entry'!$Ħ$762), "", 'Data Entry'!$Ħ$762)</f>
      </c>
      <c r="HW762">
        <f>IF(ISBLANK('Data Entry'!$ħ$762), "", 'Data Entry'!$ħ$762)</f>
      </c>
      <c r="HX762">
        <f>IF(ISBLANK('Data Entry'!$Ĩ$762), "", 'Data Entry'!$Ĩ$762)</f>
      </c>
      <c r="HY762">
        <f>IF(ISBLANK('Data Entry'!$ĩ$762), "", 'Data Entry'!$ĩ$762)</f>
      </c>
      <c r="HZ762">
        <f>IF(ISBLANK('Data Entry'!$Ī$762), "", 'Data Entry'!$Ī$762)</f>
      </c>
      <c r="IA762">
        <f>IF(ISBLANK('Data Entry'!$ī$762), "", 'Data Entry'!$ī$762)</f>
      </c>
      <c r="IB762">
        <f>IF(ISBLANK('Data Entry'!$Ĭ$762), "", 'Data Entry'!$Ĭ$762)</f>
      </c>
      <c r="IC762">
        <f>IF(ISBLANK('Data Entry'!$ĭ$762), "", 'Data Entry'!$ĭ$762)</f>
      </c>
      <c r="ID762">
        <f>IF(ISBLANK('Data Entry'!$Į$762), "", 'Data Entry'!$Į$762)</f>
      </c>
      <c r="IE762">
        <f>IF(ISBLANK('Data Entry'!$į$762), "", 'Data Entry'!$į$762)</f>
      </c>
      <c r="IF762">
        <f>IF(ISBLANK('Data Entry'!$İ$762), "", 'Data Entry'!$İ$762)</f>
      </c>
      <c r="IG762">
        <f>IF(ISBLANK('Data Entry'!$ı$762), "", 'Data Entry'!$ı$762)</f>
      </c>
      <c r="IH762">
        <f>IF(ISBLANK('Data Entry'!$Ĳ$762), "", 'Data Entry'!$Ĳ$762)</f>
      </c>
      <c r="II762">
        <f>IF(ISBLANK('Data Entry'!$ĳ$762), "", 'Data Entry'!$ĳ$762)</f>
      </c>
      <c r="IJ762">
        <f>IF(ISBLANK('Data Entry'!$Ĵ$762), "", 'Data Entry'!$Ĵ$762)</f>
      </c>
      <c r="IK762">
        <f>IF(ISBLANK('Data Entry'!$ĵ$762), "", 'Data Entry'!$ĵ$762)</f>
      </c>
      <c r="IL762">
        <f>IF(ISBLANK('Data Entry'!$Ķ$762), "", 'Data Entry'!$Ķ$762)</f>
      </c>
      <c r="IM762">
        <f>IF(ISBLANK('Data Entry'!$ķ$762), "", 'Data Entry'!$ķ$762)</f>
      </c>
      <c r="IN762">
        <f>IF(ISBLANK('Data Entry'!$ĸ$762), "", 'Data Entry'!$ĸ$762)</f>
      </c>
      <c r="IO762">
        <f>IF(ISBLANK('Data Entry'!$Ĺ$762), "", 'Data Entry'!$Ĺ$762)</f>
      </c>
      <c r="IP762">
        <f>IF(ISBLANK('Data Entry'!$ĺ$762), "", 'Data Entry'!$ĺ$762)</f>
      </c>
      <c r="IQ762">
        <f>IF(ISBLANK('Data Entry'!$Ļ$762), "", 'Data Entry'!$Ļ$762)</f>
      </c>
      <c r="IR762">
        <f>IF(ISBLANK('Data Entry'!$ļ$762), "", 'Data Entry'!$ļ$762)</f>
      </c>
      <c r="IS762">
        <f>IF(ISBLANK('Data Entry'!$Ľ$762), "", 'Data Entry'!$Ľ$762)</f>
      </c>
      <c r="IT762">
        <f>IF(ISBLANK('Data Entry'!$ľ$762), "", 'Data Entry'!$ľ$762)</f>
      </c>
    </row>
    <row r="763" spans="1:254" x14ac:dyDescent="0.25">
      <c r="A763">
        <f>IF(ISBLANK('Data Entry'!$A$763), "", 'Data Entry'!$A$763)</f>
      </c>
      <c r="B763">
        <f>IF(ISBLANK('Data Entry'!$B$763), "", 'Data Entry'!$B$763)</f>
      </c>
      <c r="C763">
        <f>IF(ISBLANK('Data Entry'!$C$763), "", 'Data Entry'!$C$763)</f>
      </c>
      <c r="D763">
        <f>IF(ISBLANK('Data Entry'!$D$763), "", 'Data Entry'!$D$763)</f>
      </c>
      <c r="E763">
        <f>IF(ISBLANK('Data Entry'!$E$763), "", 'Data Entry'!$E$763)</f>
      </c>
      <c r="F763">
        <f>IF(ISBLANK('Data Entry'!$F$763), "", 'Data Entry'!$F$763)</f>
      </c>
      <c r="G763">
        <f>IF(ISBLANK('Data Entry'!$G$763), "", 'Data Entry'!$G$763)</f>
      </c>
      <c r="H763">
        <f>IF(ISBLANK('Data Entry'!$H$763), "", 'Data Entry'!$H$763)</f>
      </c>
      <c r="I763">
        <f>IF(ISBLANK('Data Entry'!$I$763), "", 'Data Entry'!$I$763)</f>
      </c>
      <c r="J763">
        <f>IF(ISBLANK('Data Entry'!$J$763), "", 'Data Entry'!$J$763)</f>
      </c>
      <c r="K763">
        <f>IF(ISBLANK('Data Entry'!$K$763), "", 'Data Entry'!$K$763)</f>
      </c>
      <c r="L763">
        <f>IF(ISBLANK('Data Entry'!$L$763), "", 'Data Entry'!$L$763)</f>
      </c>
      <c r="M763">
        <f>IF(ISBLANK('Data Entry'!$M$763), "", 'Data Entry'!$M$763)</f>
      </c>
      <c r="N763">
        <f>IF(ISBLANK('Data Entry'!$N$763), "", 'Data Entry'!$N$763)</f>
      </c>
      <c r="O763">
        <f>IF(ISBLANK('Data Entry'!$O$763), "", 'Data Entry'!$O$763)</f>
      </c>
      <c r="P763">
        <f>IF(ISBLANK('Data Entry'!$P$763), "", 'Data Entry'!$P$763)</f>
      </c>
      <c r="Q763">
        <f>IF(ISBLANK('Data Entry'!$Q$763), "", 'Data Entry'!$Q$763)</f>
      </c>
      <c r="R763">
        <f>IF(ISBLANK('Data Entry'!$R$763), "", 'Data Entry'!$R$763)</f>
      </c>
      <c r="S763">
        <f>IF(ISBLANK('Data Entry'!$S$763), "", 'Data Entry'!$S$763)</f>
      </c>
      <c r="T763">
        <f>IF(ISBLANK('Data Entry'!$T$763), "", 'Data Entry'!$T$763)</f>
      </c>
      <c r="U763">
        <f>IF(ISBLANK('Data Entry'!$U$763), "", 'Data Entry'!$U$763)</f>
      </c>
      <c r="V763">
        <f>IF(ISBLANK('Data Entry'!$V$763), "", 'Data Entry'!$V$763)</f>
      </c>
      <c r="W763">
        <f>IF(ISBLANK('Data Entry'!$W$763), "", 'Data Entry'!$W$763)</f>
      </c>
      <c r="X763">
        <f>IF(ISBLANK('Data Entry'!$X$763), "", 'Data Entry'!$X$763)</f>
      </c>
      <c r="Y763">
        <f>IF(ISBLANK('Data Entry'!$Y$763), "", 'Data Entry'!$Y$763)</f>
      </c>
      <c r="Z763">
        <f>IF(ISBLANK('Data Entry'!$Z$763), "", 'Data Entry'!$Z$763)</f>
      </c>
      <c r="AA763">
        <f>IF(ISBLANK('Data Entry'!$[$763), "", 'Data Entry'!$[$763)</f>
      </c>
      <c r="AB763">
        <f>IF(ISBLANK('Data Entry'!$\$763), "", 'Data Entry'!$\$763)</f>
      </c>
      <c r="AC763">
        <f>IF(ISBLANK('Data Entry'!$]$763), "", 'Data Entry'!$]$763)</f>
      </c>
      <c r="AD763">
        <f>IF(ISBLANK('Data Entry'!$^$763), "", 'Data Entry'!$^$763)</f>
      </c>
      <c r="AE763">
        <f>IF(ISBLANK('Data Entry'!$_$763), "", 'Data Entry'!$_$763)</f>
      </c>
      <c r="AF763">
        <f>IF(ISBLANK('Data Entry'!$`$763), "", 'Data Entry'!$`$763)</f>
      </c>
      <c r="AG763">
        <f>IF(ISBLANK('Data Entry'!$a$763), "", 'Data Entry'!$a$763)</f>
      </c>
      <c r="AH763">
        <f>IF(ISBLANK('Data Entry'!$b$763), "", 'Data Entry'!$b$763)</f>
      </c>
      <c r="AI763">
        <f>IF(ISBLANK('Data Entry'!$c$763), "", 'Data Entry'!$c$763)</f>
      </c>
      <c r="AJ763">
        <f>IF(ISBLANK('Data Entry'!$d$763), "", 'Data Entry'!$d$763)</f>
      </c>
      <c r="AK763">
        <f>IF(ISBLANK('Data Entry'!$e$763), "", 'Data Entry'!$e$763)</f>
      </c>
      <c r="AL763">
        <f>IF(ISBLANK('Data Entry'!$f$763), "", 'Data Entry'!$f$763)</f>
      </c>
      <c r="AM763">
        <f>IF(ISBLANK('Data Entry'!$g$763), "", 'Data Entry'!$g$763)</f>
      </c>
      <c r="AN763">
        <f>IF(ISBLANK('Data Entry'!$h$763), "", 'Data Entry'!$h$763)</f>
      </c>
      <c r="AO763">
        <f>IF(ISBLANK('Data Entry'!$i$763), "", 'Data Entry'!$i$763)</f>
      </c>
      <c r="AP763">
        <f>IF(ISBLANK('Data Entry'!$j$763), "", 'Data Entry'!$j$763)</f>
      </c>
      <c r="AQ763">
        <f>IF(ISBLANK('Data Entry'!$k$763), "", 'Data Entry'!$k$763)</f>
      </c>
      <c r="AR763">
        <f>IF(ISBLANK('Data Entry'!$l$763), "", 'Data Entry'!$l$763)</f>
      </c>
      <c r="AS763">
        <f>IF(ISBLANK('Data Entry'!$m$763), "", 'Data Entry'!$m$763)</f>
      </c>
      <c r="AT763">
        <f>IF(ISBLANK('Data Entry'!$n$763), "", 'Data Entry'!$n$763)</f>
      </c>
      <c r="AU763">
        <f>IF(ISBLANK('Data Entry'!$o$763), "", 'Data Entry'!$o$763)</f>
      </c>
      <c r="AV763">
        <f>IF(ISBLANK('Data Entry'!$p$763), "", 'Data Entry'!$p$763)</f>
      </c>
      <c r="AW763">
        <f>IF(ISBLANK('Data Entry'!$q$763), "", 'Data Entry'!$q$763)</f>
      </c>
      <c r="AX763">
        <f>IF(ISBLANK('Data Entry'!$r$763), "", 'Data Entry'!$r$763)</f>
      </c>
      <c r="AY763">
        <f>IF(ISBLANK('Data Entry'!$s$763), "", 'Data Entry'!$s$763)</f>
      </c>
      <c r="AZ763">
        <f>IF(ISBLANK('Data Entry'!$t$763), "", 'Data Entry'!$t$763)</f>
      </c>
      <c r="BA763">
        <f>IF(ISBLANK('Data Entry'!$u$763), "", 'Data Entry'!$u$763)</f>
      </c>
      <c r="BB763">
        <f>IF(ISBLANK('Data Entry'!$v$763), "", 'Data Entry'!$v$763)</f>
      </c>
      <c r="BC763">
        <f>IF(ISBLANK('Data Entry'!$w$763), "", 'Data Entry'!$w$763)</f>
      </c>
      <c r="BD763">
        <f>IF(ISBLANK('Data Entry'!$x$763), "", 'Data Entry'!$x$763)</f>
      </c>
      <c r="BE763">
        <f>IF(ISBLANK('Data Entry'!$y$763), "", 'Data Entry'!$y$763)</f>
      </c>
      <c r="BF763">
        <f>IF(ISBLANK('Data Entry'!$z$763), "", 'Data Entry'!$z$763)</f>
      </c>
      <c r="BG763">
        <f>IF(ISBLANK('Data Entry'!${$763), "", 'Data Entry'!${$763)</f>
      </c>
      <c r="BH763">
        <f>IF(ISBLANK('Data Entry'!$|$763), "", 'Data Entry'!$|$763)</f>
      </c>
      <c r="BI763">
        <f>IF(ISBLANK('Data Entry'!$}$763), "", 'Data Entry'!$}$763)</f>
      </c>
      <c r="BJ763">
        <f>IF(ISBLANK('Data Entry'!$~$763), "", 'Data Entry'!$~$763)</f>
      </c>
      <c r="BK763">
        <f>IF(ISBLANK('Data Entry'!$$763), "", 'Data Entry'!$$763)</f>
      </c>
      <c r="BL763">
        <f>IF(ISBLANK('Data Entry'!$$763), "", 'Data Entry'!$$763)</f>
      </c>
      <c r="BM763">
        <f>IF(ISBLANK('Data Entry'!$$763), "", 'Data Entry'!$$763)</f>
      </c>
      <c r="BN763">
        <f>IF(ISBLANK('Data Entry'!$$763), "", 'Data Entry'!$$763)</f>
      </c>
      <c r="BO763">
        <f>IF(ISBLANK('Data Entry'!$$763), "", 'Data Entry'!$$763)</f>
      </c>
      <c r="BP763">
        <f>IF(ISBLANK('Data Entry'!$$763), "", 'Data Entry'!$$763)</f>
      </c>
      <c r="BQ763">
        <f>IF(ISBLANK('Data Entry'!$$763), "", 'Data Entry'!$$763)</f>
      </c>
      <c r="BR763">
        <f>IF(ISBLANK('Data Entry'!$$763), "", 'Data Entry'!$$763)</f>
      </c>
      <c r="BS763">
        <f>IF(ISBLANK('Data Entry'!$$763), "", 'Data Entry'!$$763)</f>
      </c>
      <c r="BT763">
        <f>IF(ISBLANK('Data Entry'!$$763), "", 'Data Entry'!$$763)</f>
      </c>
      <c r="BU763">
        <f>IF(ISBLANK('Data Entry'!$$763), "", 'Data Entry'!$$763)</f>
      </c>
      <c r="BV763">
        <f>IF(ISBLANK('Data Entry'!$$763), "", 'Data Entry'!$$763)</f>
      </c>
      <c r="BW763">
        <f>IF(ISBLANK('Data Entry'!$$763), "", 'Data Entry'!$$763)</f>
      </c>
      <c r="BX763">
        <f>IF(ISBLANK('Data Entry'!$$763), "", 'Data Entry'!$$763)</f>
      </c>
      <c r="BY763">
        <f>IF(ISBLANK('Data Entry'!$$763), "", 'Data Entry'!$$763)</f>
      </c>
      <c r="BZ763">
        <f>IF(ISBLANK('Data Entry'!$$763), "", 'Data Entry'!$$763)</f>
      </c>
      <c r="CA763">
        <f>IF(ISBLANK('Data Entry'!$$763), "", 'Data Entry'!$$763)</f>
      </c>
      <c r="CB763">
        <f>IF(ISBLANK('Data Entry'!$$763), "", 'Data Entry'!$$763)</f>
      </c>
      <c r="CC763">
        <f>IF(ISBLANK('Data Entry'!$$763), "", 'Data Entry'!$$763)</f>
      </c>
      <c r="CD763">
        <f>IF(ISBLANK('Data Entry'!$$763), "", 'Data Entry'!$$763)</f>
      </c>
      <c r="CE763">
        <f>IF(ISBLANK('Data Entry'!$$763), "", 'Data Entry'!$$763)</f>
      </c>
      <c r="CF763">
        <f>IF(ISBLANK('Data Entry'!$$763), "", 'Data Entry'!$$763)</f>
      </c>
      <c r="CG763">
        <f>IF(ISBLANK('Data Entry'!$$763), "", 'Data Entry'!$$763)</f>
      </c>
      <c r="CH763">
        <f>IF(ISBLANK('Data Entry'!$$763), "", 'Data Entry'!$$763)</f>
      </c>
      <c r="CI763">
        <f>IF(ISBLANK('Data Entry'!$$763), "", 'Data Entry'!$$763)</f>
      </c>
      <c r="CJ763">
        <f>IF(ISBLANK('Data Entry'!$$763), "", 'Data Entry'!$$763)</f>
      </c>
      <c r="CK763">
        <f>IF(ISBLANK('Data Entry'!$$763), "", 'Data Entry'!$$763)</f>
      </c>
      <c r="CL763">
        <f>IF(ISBLANK('Data Entry'!$$763), "", 'Data Entry'!$$763)</f>
      </c>
      <c r="CM763">
        <f>IF(ISBLANK('Data Entry'!$$763), "", 'Data Entry'!$$763)</f>
      </c>
      <c r="CN763">
        <f>IF(ISBLANK('Data Entry'!$$763), "", 'Data Entry'!$$763)</f>
      </c>
      <c r="CO763">
        <f>IF(ISBLANK('Data Entry'!$$763), "", 'Data Entry'!$$763)</f>
      </c>
      <c r="CP763">
        <f>IF(ISBLANK('Data Entry'!$$763), "", 'Data Entry'!$$763)</f>
      </c>
      <c r="CQ763">
        <f>IF(ISBLANK('Data Entry'!$$763), "", 'Data Entry'!$$763)</f>
      </c>
      <c r="CR763">
        <f>IF(ISBLANK('Data Entry'!$ $763), "", 'Data Entry'!$ $763)</f>
      </c>
      <c r="CS763">
        <f>IF(ISBLANK('Data Entry'!$¡$763), "", 'Data Entry'!$¡$763)</f>
      </c>
      <c r="CT763">
        <f>IF(ISBLANK('Data Entry'!$¢$763), "", 'Data Entry'!$¢$763)</f>
      </c>
      <c r="CU763">
        <f>IF(ISBLANK('Data Entry'!$£$763), "", 'Data Entry'!$£$763)</f>
      </c>
      <c r="CV763">
        <f>IF(ISBLANK('Data Entry'!$¤$763), "", 'Data Entry'!$¤$763)</f>
      </c>
      <c r="CW763">
        <f>IF(ISBLANK('Data Entry'!$¥$763), "", 'Data Entry'!$¥$763)</f>
      </c>
      <c r="CX763">
        <f>IF(ISBLANK('Data Entry'!$¦$763), "", 'Data Entry'!$¦$763)</f>
      </c>
      <c r="CY763">
        <f>IF(ISBLANK('Data Entry'!$§$763), "", 'Data Entry'!$§$763)</f>
      </c>
      <c r="CZ763">
        <f>IF(ISBLANK('Data Entry'!$¨$763), "", 'Data Entry'!$¨$763)</f>
      </c>
      <c r="DA763">
        <f>IF(ISBLANK('Data Entry'!$©$763), "", 'Data Entry'!$©$763)</f>
      </c>
      <c r="DB763">
        <f>IF(ISBLANK('Data Entry'!$ª$763), "", 'Data Entry'!$ª$763)</f>
      </c>
      <c r="DC763">
        <f>IF(ISBLANK('Data Entry'!$«$763), "", 'Data Entry'!$«$763)</f>
      </c>
      <c r="DD763">
        <f>IF(ISBLANK('Data Entry'!$¬$763), "", 'Data Entry'!$¬$763)</f>
      </c>
      <c r="DE763">
        <f>IF(ISBLANK('Data Entry'!$­$763), "", 'Data Entry'!$­$763)</f>
      </c>
      <c r="DF763">
        <f>IF(ISBLANK('Data Entry'!$®$763), "", 'Data Entry'!$®$763)</f>
      </c>
      <c r="DG763">
        <f>IF(ISBLANK('Data Entry'!$¯$763), "", 'Data Entry'!$¯$763)</f>
      </c>
      <c r="DH763">
        <f>IF(ISBLANK('Data Entry'!$°$763), "", 'Data Entry'!$°$763)</f>
      </c>
      <c r="DI763">
        <f>IF(ISBLANK('Data Entry'!$±$763), "", 'Data Entry'!$±$763)</f>
      </c>
      <c r="DJ763">
        <f>IF(ISBLANK('Data Entry'!$²$763), "", 'Data Entry'!$²$763)</f>
      </c>
      <c r="DK763">
        <f>IF(ISBLANK('Data Entry'!$³$763), "", 'Data Entry'!$³$763)</f>
      </c>
      <c r="DL763">
        <f>IF(ISBLANK('Data Entry'!$´$763), "", 'Data Entry'!$´$763)</f>
      </c>
      <c r="DM763">
        <f>IF(ISBLANK('Data Entry'!$µ$763), "", 'Data Entry'!$µ$763)</f>
      </c>
      <c r="DN763">
        <f>IF(ISBLANK('Data Entry'!$¶$763), "", 'Data Entry'!$¶$763)</f>
      </c>
      <c r="DO763">
        <f>IF(ISBLANK('Data Entry'!$·$763), "", 'Data Entry'!$·$763)</f>
      </c>
      <c r="DP763">
        <f>IF(ISBLANK('Data Entry'!$¸$763), "", 'Data Entry'!$¸$763)</f>
      </c>
      <c r="DQ763">
        <f>IF(ISBLANK('Data Entry'!$¹$763), "", 'Data Entry'!$¹$763)</f>
      </c>
      <c r="DR763">
        <f>IF(ISBLANK('Data Entry'!$º$763), "", 'Data Entry'!$º$763)</f>
      </c>
      <c r="DS763">
        <f>IF(ISBLANK('Data Entry'!$»$763), "", 'Data Entry'!$»$763)</f>
      </c>
      <c r="DT763">
        <f>IF(ISBLANK('Data Entry'!$¼$763), "", 'Data Entry'!$¼$763)</f>
      </c>
      <c r="DU763">
        <f>IF(ISBLANK('Data Entry'!$½$763), "", 'Data Entry'!$½$763)</f>
      </c>
      <c r="DV763">
        <f>IF(ISBLANK('Data Entry'!$¾$763), "", 'Data Entry'!$¾$763)</f>
      </c>
      <c r="DW763">
        <f>IF(ISBLANK('Data Entry'!$¿$763), "", 'Data Entry'!$¿$763)</f>
      </c>
      <c r="DX763">
        <f>IF(ISBLANK('Data Entry'!$À$763), "", 'Data Entry'!$À$763)</f>
      </c>
      <c r="DY763">
        <f>IF(ISBLANK('Data Entry'!$Á$763), "", 'Data Entry'!$Á$763)</f>
      </c>
      <c r="DZ763">
        <f>IF(ISBLANK('Data Entry'!$Â$763), "", 'Data Entry'!$Â$763)</f>
      </c>
      <c r="EA763">
        <f>IF(ISBLANK('Data Entry'!$Ã$763), "", 'Data Entry'!$Ã$763)</f>
      </c>
      <c r="EB763">
        <f>IF(ISBLANK('Data Entry'!$Ä$763), "", 'Data Entry'!$Ä$763)</f>
      </c>
      <c r="EC763">
        <f>IF(ISBLANK('Data Entry'!$Å$763), "", 'Data Entry'!$Å$763)</f>
      </c>
      <c r="ED763">
        <f>IF(ISBLANK('Data Entry'!$Æ$763), "", 'Data Entry'!$Æ$763)</f>
      </c>
      <c r="EE763">
        <f>IF(ISBLANK('Data Entry'!$Ç$763), "", 'Data Entry'!$Ç$763)</f>
      </c>
      <c r="EF763">
        <f>IF(ISBLANK('Data Entry'!$È$763), "", 'Data Entry'!$È$763)</f>
      </c>
      <c r="EG763">
        <f>IF(ISBLANK('Data Entry'!$É$763), "", 'Data Entry'!$É$763)</f>
      </c>
      <c r="EH763">
        <f>IF(ISBLANK('Data Entry'!$Ê$763), "", 'Data Entry'!$Ê$763)</f>
      </c>
      <c r="EI763">
        <f>IF(ISBLANK('Data Entry'!$Ë$763), "", 'Data Entry'!$Ë$763)</f>
      </c>
      <c r="EJ763">
        <f>IF(ISBLANK('Data Entry'!$Ì$763), "", 'Data Entry'!$Ì$763)</f>
      </c>
      <c r="EK763">
        <f>IF(ISBLANK('Data Entry'!$Í$763), "", 'Data Entry'!$Í$763)</f>
      </c>
      <c r="EL763">
        <f>IF(ISBLANK('Data Entry'!$Î$763), "", 'Data Entry'!$Î$763)</f>
      </c>
      <c r="EM763">
        <f>IF(ISBLANK('Data Entry'!$Ï$763), "", 'Data Entry'!$Ï$763)</f>
      </c>
      <c r="EN763">
        <f>IF(ISBLANK('Data Entry'!$Ð$763), "", 'Data Entry'!$Ð$763)</f>
      </c>
      <c r="EO763">
        <f>IF(ISBLANK('Data Entry'!$Ñ$763), "", 'Data Entry'!$Ñ$763)</f>
      </c>
      <c r="EP763">
        <f>IF(ISBLANK('Data Entry'!$Ò$763), "", 'Data Entry'!$Ò$763)</f>
      </c>
      <c r="EQ763">
        <f>IF(ISBLANK('Data Entry'!$Ó$763), "", 'Data Entry'!$Ó$763)</f>
      </c>
      <c r="ER763">
        <f>IF(ISBLANK('Data Entry'!$Ô$763), "", 'Data Entry'!$Ô$763)</f>
      </c>
      <c r="ES763">
        <f>IF(ISBLANK('Data Entry'!$Õ$763), "", 'Data Entry'!$Õ$763)</f>
      </c>
      <c r="ET763">
        <f>IF(ISBLANK('Data Entry'!$Ö$763), "", 'Data Entry'!$Ö$763)</f>
      </c>
      <c r="EU763">
        <f>IF(ISBLANK('Data Entry'!$×$763), "", 'Data Entry'!$×$763)</f>
      </c>
      <c r="EV763">
        <f>IF(ISBLANK('Data Entry'!$Ø$763), "", 'Data Entry'!$Ø$763)</f>
      </c>
      <c r="EW763">
        <f>IF(ISBLANK('Data Entry'!$Ù$763), "", 'Data Entry'!$Ù$763)</f>
      </c>
      <c r="EX763">
        <f>IF(ISBLANK('Data Entry'!$Ú$763), "", 'Data Entry'!$Ú$763)</f>
      </c>
      <c r="EY763">
        <f>IF(ISBLANK('Data Entry'!$Û$763), "", 'Data Entry'!$Û$763)</f>
      </c>
      <c r="EZ763">
        <f>IF(ISBLANK('Data Entry'!$Ü$763), "", 'Data Entry'!$Ü$763)</f>
      </c>
      <c r="FA763">
        <f>IF(ISBLANK('Data Entry'!$Ý$763), "", 'Data Entry'!$Ý$763)</f>
      </c>
      <c r="FB763">
        <f>IF(ISBLANK('Data Entry'!$Þ$763), "", 'Data Entry'!$Þ$763)</f>
      </c>
      <c r="FC763">
        <f>IF(ISBLANK('Data Entry'!$ß$763), "", 'Data Entry'!$ß$763)</f>
      </c>
      <c r="FD763">
        <f>IF(ISBLANK('Data Entry'!$à$763), "", 'Data Entry'!$à$763)</f>
      </c>
      <c r="FE763">
        <f>IF(ISBLANK('Data Entry'!$á$763), "", 'Data Entry'!$á$763)</f>
      </c>
      <c r="FF763">
        <f>IF(ISBLANK('Data Entry'!$â$763), "", 'Data Entry'!$â$763)</f>
      </c>
      <c r="FG763">
        <f>IF(ISBLANK('Data Entry'!$ã$763), "", 'Data Entry'!$ã$763)</f>
      </c>
      <c r="FH763">
        <f>IF(ISBLANK('Data Entry'!$ä$763), "", 'Data Entry'!$ä$763)</f>
      </c>
      <c r="FI763">
        <f>IF(ISBLANK('Data Entry'!$å$763), "", 'Data Entry'!$å$763)</f>
      </c>
      <c r="FJ763">
        <f>IF(ISBLANK('Data Entry'!$æ$763), "", 'Data Entry'!$æ$763)</f>
      </c>
      <c r="FK763">
        <f>IF(ISBLANK('Data Entry'!$ç$763), "", 'Data Entry'!$ç$763)</f>
      </c>
      <c r="FL763">
        <f>IF(ISBLANK('Data Entry'!$è$763), "", 'Data Entry'!$è$763)</f>
      </c>
      <c r="FM763">
        <f>IF(ISBLANK('Data Entry'!$é$763), "", 'Data Entry'!$é$763)</f>
      </c>
      <c r="FN763">
        <f>IF(ISBLANK('Data Entry'!$ê$763), "", 'Data Entry'!$ê$763)</f>
      </c>
      <c r="FO763">
        <f>IF(ISBLANK('Data Entry'!$ë$763), "", 'Data Entry'!$ë$763)</f>
      </c>
      <c r="FP763">
        <f>IF(ISBLANK('Data Entry'!$ì$763), "", 'Data Entry'!$ì$763)</f>
      </c>
      <c r="FQ763">
        <f>IF(ISBLANK('Data Entry'!$í$763), "", 'Data Entry'!$í$763)</f>
      </c>
      <c r="FR763">
        <f>IF(ISBLANK('Data Entry'!$î$763), "", 'Data Entry'!$î$763)</f>
      </c>
      <c r="FS763">
        <f>IF(ISBLANK('Data Entry'!$ï$763), "", 'Data Entry'!$ï$763)</f>
      </c>
      <c r="FT763">
        <f>IF(ISBLANK('Data Entry'!$ð$763), "", 'Data Entry'!$ð$763)</f>
      </c>
      <c r="FU763">
        <f>IF(ISBLANK('Data Entry'!$ñ$763), "", 'Data Entry'!$ñ$763)</f>
      </c>
      <c r="FV763">
        <f>IF(ISBLANK('Data Entry'!$ò$763), "", 'Data Entry'!$ò$763)</f>
      </c>
      <c r="FW763">
        <f>IF(ISBLANK('Data Entry'!$ó$763), "", 'Data Entry'!$ó$763)</f>
      </c>
      <c r="FX763">
        <f>IF(ISBLANK('Data Entry'!$ô$763), "", 'Data Entry'!$ô$763)</f>
      </c>
      <c r="FY763">
        <f>IF(ISBLANK('Data Entry'!$õ$763), "", 'Data Entry'!$õ$763)</f>
      </c>
      <c r="FZ763">
        <f>IF(ISBLANK('Data Entry'!$ö$763), "", 'Data Entry'!$ö$763)</f>
      </c>
      <c r="GA763">
        <f>IF(ISBLANK('Data Entry'!$÷$763), "", 'Data Entry'!$÷$763)</f>
      </c>
      <c r="GB763">
        <f>IF(ISBLANK('Data Entry'!$ø$763), "", 'Data Entry'!$ø$763)</f>
      </c>
      <c r="GC763">
        <f>IF(ISBLANK('Data Entry'!$ù$763), "", 'Data Entry'!$ù$763)</f>
      </c>
      <c r="GD763">
        <f>IF(ISBLANK('Data Entry'!$ú$763), "", 'Data Entry'!$ú$763)</f>
      </c>
      <c r="GE763">
        <f>IF(ISBLANK('Data Entry'!$û$763), "", 'Data Entry'!$û$763)</f>
      </c>
      <c r="GF763">
        <f>IF(ISBLANK('Data Entry'!$ü$763), "", 'Data Entry'!$ü$763)</f>
      </c>
      <c r="GG763">
        <f>IF(ISBLANK('Data Entry'!$ý$763), "", 'Data Entry'!$ý$763)</f>
      </c>
      <c r="GH763">
        <f>IF(ISBLANK('Data Entry'!$þ$763), "", 'Data Entry'!$þ$763)</f>
      </c>
      <c r="GI763">
        <f>IF(ISBLANK('Data Entry'!$ÿ$763), "", 'Data Entry'!$ÿ$763)</f>
      </c>
      <c r="GJ763">
        <f>IF(ISBLANK('Data Entry'!$Ā$763), "", 'Data Entry'!$Ā$763)</f>
      </c>
      <c r="GK763">
        <f>IF(ISBLANK('Data Entry'!$ā$763), "", 'Data Entry'!$ā$763)</f>
      </c>
      <c r="GL763">
        <f>IF(ISBLANK('Data Entry'!$Ă$763), "", 'Data Entry'!$Ă$763)</f>
      </c>
      <c r="GM763">
        <f>IF(ISBLANK('Data Entry'!$ă$763), "", 'Data Entry'!$ă$763)</f>
      </c>
      <c r="GN763">
        <f>IF(ISBLANK('Data Entry'!$Ą$763), "", 'Data Entry'!$Ą$763)</f>
      </c>
      <c r="GO763">
        <f>IF(ISBLANK('Data Entry'!$ą$763), "", 'Data Entry'!$ą$763)</f>
      </c>
      <c r="GP763">
        <f>IF(ISBLANK('Data Entry'!$Ć$763), "", 'Data Entry'!$Ć$763)</f>
      </c>
      <c r="GQ763">
        <f>IF(ISBLANK('Data Entry'!$ć$763), "", 'Data Entry'!$ć$763)</f>
      </c>
      <c r="GR763">
        <f>IF(ISBLANK('Data Entry'!$Ĉ$763), "", 'Data Entry'!$Ĉ$763)</f>
      </c>
      <c r="GS763">
        <f>IF(ISBLANK('Data Entry'!$ĉ$763), "", 'Data Entry'!$ĉ$763)</f>
      </c>
      <c r="GT763">
        <f>IF(ISBLANK('Data Entry'!$Ċ$763), "", 'Data Entry'!$Ċ$763)</f>
      </c>
      <c r="GU763">
        <f>IF(ISBLANK('Data Entry'!$ċ$763), "", 'Data Entry'!$ċ$763)</f>
      </c>
      <c r="GV763">
        <f>IF(ISBLANK('Data Entry'!$Č$763), "", 'Data Entry'!$Č$763)</f>
      </c>
      <c r="GW763">
        <f>IF(ISBLANK('Data Entry'!$č$763), "", 'Data Entry'!$č$763)</f>
      </c>
      <c r="GX763">
        <f>IF(ISBLANK('Data Entry'!$Ď$763), "", 'Data Entry'!$Ď$763)</f>
      </c>
      <c r="GY763">
        <f>IF(ISBLANK('Data Entry'!$ď$763), "", 'Data Entry'!$ď$763)</f>
      </c>
      <c r="GZ763">
        <f>IF(ISBLANK('Data Entry'!$Đ$763), "", 'Data Entry'!$Đ$763)</f>
      </c>
      <c r="HA763">
        <f>IF(ISBLANK('Data Entry'!$đ$763), "", 'Data Entry'!$đ$763)</f>
      </c>
      <c r="HB763">
        <f>IF(ISBLANK('Data Entry'!$Ē$763), "", 'Data Entry'!$Ē$763)</f>
      </c>
      <c r="HC763">
        <f>IF(ISBLANK('Data Entry'!$ē$763), "", 'Data Entry'!$ē$763)</f>
      </c>
      <c r="HD763">
        <f>IF(ISBLANK('Data Entry'!$Ĕ$763), "", 'Data Entry'!$Ĕ$763)</f>
      </c>
      <c r="HE763">
        <f>IF(ISBLANK('Data Entry'!$ĕ$763), "", 'Data Entry'!$ĕ$763)</f>
      </c>
      <c r="HF763">
        <f>IF(ISBLANK('Data Entry'!$Ė$763), "", 'Data Entry'!$Ė$763)</f>
      </c>
      <c r="HG763">
        <f>IF(ISBLANK('Data Entry'!$ė$763), "", 'Data Entry'!$ė$763)</f>
      </c>
      <c r="HH763">
        <f>IF(ISBLANK('Data Entry'!$Ę$763), "", 'Data Entry'!$Ę$763)</f>
      </c>
      <c r="HI763">
        <f>IF(ISBLANK('Data Entry'!$ę$763), "", 'Data Entry'!$ę$763)</f>
      </c>
      <c r="HJ763">
        <f>IF(ISBLANK('Data Entry'!$Ě$763), "", 'Data Entry'!$Ě$763)</f>
      </c>
      <c r="HK763">
        <f>IF(ISBLANK('Data Entry'!$ě$763), "", 'Data Entry'!$ě$763)</f>
      </c>
      <c r="HL763">
        <f>IF(ISBLANK('Data Entry'!$Ĝ$763), "", 'Data Entry'!$Ĝ$763)</f>
      </c>
      <c r="HM763">
        <f>IF(ISBLANK('Data Entry'!$ĝ$763), "", 'Data Entry'!$ĝ$763)</f>
      </c>
      <c r="HN763">
        <f>IF(ISBLANK('Data Entry'!$Ğ$763), "", 'Data Entry'!$Ğ$763)</f>
      </c>
      <c r="HO763">
        <f>IF(ISBLANK('Data Entry'!$ğ$763), "", 'Data Entry'!$ğ$763)</f>
      </c>
      <c r="HP763">
        <f>IF(ISBLANK('Data Entry'!$Ġ$763), "", 'Data Entry'!$Ġ$763)</f>
      </c>
      <c r="HQ763">
        <f>IF(ISBLANK('Data Entry'!$ġ$763), "", 'Data Entry'!$ġ$763)</f>
      </c>
      <c r="HR763">
        <f>IF(ISBLANK('Data Entry'!$Ģ$763), "", 'Data Entry'!$Ģ$763)</f>
      </c>
      <c r="HS763">
        <f>IF(ISBLANK('Data Entry'!$ģ$763), "", 'Data Entry'!$ģ$763)</f>
      </c>
      <c r="HT763">
        <f>IF(ISBLANK('Data Entry'!$Ĥ$763), "", 'Data Entry'!$Ĥ$763)</f>
      </c>
      <c r="HU763">
        <f>IF(ISBLANK('Data Entry'!$ĥ$763), "", 'Data Entry'!$ĥ$763)</f>
      </c>
      <c r="HV763">
        <f>IF(ISBLANK('Data Entry'!$Ħ$763), "", 'Data Entry'!$Ħ$763)</f>
      </c>
      <c r="HW763">
        <f>IF(ISBLANK('Data Entry'!$ħ$763), "", 'Data Entry'!$ħ$763)</f>
      </c>
      <c r="HX763">
        <f>IF(ISBLANK('Data Entry'!$Ĩ$763), "", 'Data Entry'!$Ĩ$763)</f>
      </c>
      <c r="HY763">
        <f>IF(ISBLANK('Data Entry'!$ĩ$763), "", 'Data Entry'!$ĩ$763)</f>
      </c>
      <c r="HZ763">
        <f>IF(ISBLANK('Data Entry'!$Ī$763), "", 'Data Entry'!$Ī$763)</f>
      </c>
      <c r="IA763">
        <f>IF(ISBLANK('Data Entry'!$ī$763), "", 'Data Entry'!$ī$763)</f>
      </c>
      <c r="IB763">
        <f>IF(ISBLANK('Data Entry'!$Ĭ$763), "", 'Data Entry'!$Ĭ$763)</f>
      </c>
      <c r="IC763">
        <f>IF(ISBLANK('Data Entry'!$ĭ$763), "", 'Data Entry'!$ĭ$763)</f>
      </c>
      <c r="ID763">
        <f>IF(ISBLANK('Data Entry'!$Į$763), "", 'Data Entry'!$Į$763)</f>
      </c>
      <c r="IE763">
        <f>IF(ISBLANK('Data Entry'!$į$763), "", 'Data Entry'!$į$763)</f>
      </c>
      <c r="IF763">
        <f>IF(ISBLANK('Data Entry'!$İ$763), "", 'Data Entry'!$İ$763)</f>
      </c>
      <c r="IG763">
        <f>IF(ISBLANK('Data Entry'!$ı$763), "", 'Data Entry'!$ı$763)</f>
      </c>
      <c r="IH763">
        <f>IF(ISBLANK('Data Entry'!$Ĳ$763), "", 'Data Entry'!$Ĳ$763)</f>
      </c>
      <c r="II763">
        <f>IF(ISBLANK('Data Entry'!$ĳ$763), "", 'Data Entry'!$ĳ$763)</f>
      </c>
      <c r="IJ763">
        <f>IF(ISBLANK('Data Entry'!$Ĵ$763), "", 'Data Entry'!$Ĵ$763)</f>
      </c>
      <c r="IK763">
        <f>IF(ISBLANK('Data Entry'!$ĵ$763), "", 'Data Entry'!$ĵ$763)</f>
      </c>
      <c r="IL763">
        <f>IF(ISBLANK('Data Entry'!$Ķ$763), "", 'Data Entry'!$Ķ$763)</f>
      </c>
      <c r="IM763">
        <f>IF(ISBLANK('Data Entry'!$ķ$763), "", 'Data Entry'!$ķ$763)</f>
      </c>
      <c r="IN763">
        <f>IF(ISBLANK('Data Entry'!$ĸ$763), "", 'Data Entry'!$ĸ$763)</f>
      </c>
      <c r="IO763">
        <f>IF(ISBLANK('Data Entry'!$Ĺ$763), "", 'Data Entry'!$Ĺ$763)</f>
      </c>
      <c r="IP763">
        <f>IF(ISBLANK('Data Entry'!$ĺ$763), "", 'Data Entry'!$ĺ$763)</f>
      </c>
      <c r="IQ763">
        <f>IF(ISBLANK('Data Entry'!$Ļ$763), "", 'Data Entry'!$Ļ$763)</f>
      </c>
      <c r="IR763">
        <f>IF(ISBLANK('Data Entry'!$ļ$763), "", 'Data Entry'!$ļ$763)</f>
      </c>
      <c r="IS763">
        <f>IF(ISBLANK('Data Entry'!$Ľ$763), "", 'Data Entry'!$Ľ$763)</f>
      </c>
      <c r="IT763">
        <f>IF(ISBLANK('Data Entry'!$ľ$763), "", 'Data Entry'!$ľ$763)</f>
      </c>
    </row>
    <row r="764" spans="1:254" x14ac:dyDescent="0.25">
      <c r="A764">
        <f>IF(ISBLANK('Data Entry'!$A$764), "", 'Data Entry'!$A$764)</f>
      </c>
      <c r="B764">
        <f>IF(ISBLANK('Data Entry'!$B$764), "", 'Data Entry'!$B$764)</f>
      </c>
      <c r="C764">
        <f>IF(ISBLANK('Data Entry'!$C$764), "", 'Data Entry'!$C$764)</f>
      </c>
      <c r="D764">
        <f>IF(ISBLANK('Data Entry'!$D$764), "", 'Data Entry'!$D$764)</f>
      </c>
      <c r="E764">
        <f>IF(ISBLANK('Data Entry'!$E$764), "", 'Data Entry'!$E$764)</f>
      </c>
      <c r="F764">
        <f>IF(ISBLANK('Data Entry'!$F$764), "", 'Data Entry'!$F$764)</f>
      </c>
      <c r="G764">
        <f>IF(ISBLANK('Data Entry'!$G$764), "", 'Data Entry'!$G$764)</f>
      </c>
      <c r="H764">
        <f>IF(ISBLANK('Data Entry'!$H$764), "", 'Data Entry'!$H$764)</f>
      </c>
      <c r="I764">
        <f>IF(ISBLANK('Data Entry'!$I$764), "", 'Data Entry'!$I$764)</f>
      </c>
      <c r="J764">
        <f>IF(ISBLANK('Data Entry'!$J$764), "", 'Data Entry'!$J$764)</f>
      </c>
      <c r="K764">
        <f>IF(ISBLANK('Data Entry'!$K$764), "", 'Data Entry'!$K$764)</f>
      </c>
      <c r="L764">
        <f>IF(ISBLANK('Data Entry'!$L$764), "", 'Data Entry'!$L$764)</f>
      </c>
      <c r="M764">
        <f>IF(ISBLANK('Data Entry'!$M$764), "", 'Data Entry'!$M$764)</f>
      </c>
      <c r="N764">
        <f>IF(ISBLANK('Data Entry'!$N$764), "", 'Data Entry'!$N$764)</f>
      </c>
      <c r="O764">
        <f>IF(ISBLANK('Data Entry'!$O$764), "", 'Data Entry'!$O$764)</f>
      </c>
      <c r="P764">
        <f>IF(ISBLANK('Data Entry'!$P$764), "", 'Data Entry'!$P$764)</f>
      </c>
      <c r="Q764">
        <f>IF(ISBLANK('Data Entry'!$Q$764), "", 'Data Entry'!$Q$764)</f>
      </c>
      <c r="R764">
        <f>IF(ISBLANK('Data Entry'!$R$764), "", 'Data Entry'!$R$764)</f>
      </c>
      <c r="S764">
        <f>IF(ISBLANK('Data Entry'!$S$764), "", 'Data Entry'!$S$764)</f>
      </c>
      <c r="T764">
        <f>IF(ISBLANK('Data Entry'!$T$764), "", 'Data Entry'!$T$764)</f>
      </c>
      <c r="U764">
        <f>IF(ISBLANK('Data Entry'!$U$764), "", 'Data Entry'!$U$764)</f>
      </c>
      <c r="V764">
        <f>IF(ISBLANK('Data Entry'!$V$764), "", 'Data Entry'!$V$764)</f>
      </c>
      <c r="W764">
        <f>IF(ISBLANK('Data Entry'!$W$764), "", 'Data Entry'!$W$764)</f>
      </c>
      <c r="X764">
        <f>IF(ISBLANK('Data Entry'!$X$764), "", 'Data Entry'!$X$764)</f>
      </c>
      <c r="Y764">
        <f>IF(ISBLANK('Data Entry'!$Y$764), "", 'Data Entry'!$Y$764)</f>
      </c>
      <c r="Z764">
        <f>IF(ISBLANK('Data Entry'!$Z$764), "", 'Data Entry'!$Z$764)</f>
      </c>
      <c r="AA764">
        <f>IF(ISBLANK('Data Entry'!$[$764), "", 'Data Entry'!$[$764)</f>
      </c>
      <c r="AB764">
        <f>IF(ISBLANK('Data Entry'!$\$764), "", 'Data Entry'!$\$764)</f>
      </c>
      <c r="AC764">
        <f>IF(ISBLANK('Data Entry'!$]$764), "", 'Data Entry'!$]$764)</f>
      </c>
      <c r="AD764">
        <f>IF(ISBLANK('Data Entry'!$^$764), "", 'Data Entry'!$^$764)</f>
      </c>
      <c r="AE764">
        <f>IF(ISBLANK('Data Entry'!$_$764), "", 'Data Entry'!$_$764)</f>
      </c>
      <c r="AF764">
        <f>IF(ISBLANK('Data Entry'!$`$764), "", 'Data Entry'!$`$764)</f>
      </c>
      <c r="AG764">
        <f>IF(ISBLANK('Data Entry'!$a$764), "", 'Data Entry'!$a$764)</f>
      </c>
      <c r="AH764">
        <f>IF(ISBLANK('Data Entry'!$b$764), "", 'Data Entry'!$b$764)</f>
      </c>
      <c r="AI764">
        <f>IF(ISBLANK('Data Entry'!$c$764), "", 'Data Entry'!$c$764)</f>
      </c>
      <c r="AJ764">
        <f>IF(ISBLANK('Data Entry'!$d$764), "", 'Data Entry'!$d$764)</f>
      </c>
      <c r="AK764">
        <f>IF(ISBLANK('Data Entry'!$e$764), "", 'Data Entry'!$e$764)</f>
      </c>
      <c r="AL764">
        <f>IF(ISBLANK('Data Entry'!$f$764), "", 'Data Entry'!$f$764)</f>
      </c>
      <c r="AM764">
        <f>IF(ISBLANK('Data Entry'!$g$764), "", 'Data Entry'!$g$764)</f>
      </c>
      <c r="AN764">
        <f>IF(ISBLANK('Data Entry'!$h$764), "", 'Data Entry'!$h$764)</f>
      </c>
      <c r="AO764">
        <f>IF(ISBLANK('Data Entry'!$i$764), "", 'Data Entry'!$i$764)</f>
      </c>
      <c r="AP764">
        <f>IF(ISBLANK('Data Entry'!$j$764), "", 'Data Entry'!$j$764)</f>
      </c>
      <c r="AQ764">
        <f>IF(ISBLANK('Data Entry'!$k$764), "", 'Data Entry'!$k$764)</f>
      </c>
      <c r="AR764">
        <f>IF(ISBLANK('Data Entry'!$l$764), "", 'Data Entry'!$l$764)</f>
      </c>
      <c r="AS764">
        <f>IF(ISBLANK('Data Entry'!$m$764), "", 'Data Entry'!$m$764)</f>
      </c>
      <c r="AT764">
        <f>IF(ISBLANK('Data Entry'!$n$764), "", 'Data Entry'!$n$764)</f>
      </c>
      <c r="AU764">
        <f>IF(ISBLANK('Data Entry'!$o$764), "", 'Data Entry'!$o$764)</f>
      </c>
      <c r="AV764">
        <f>IF(ISBLANK('Data Entry'!$p$764), "", 'Data Entry'!$p$764)</f>
      </c>
      <c r="AW764">
        <f>IF(ISBLANK('Data Entry'!$q$764), "", 'Data Entry'!$q$764)</f>
      </c>
      <c r="AX764">
        <f>IF(ISBLANK('Data Entry'!$r$764), "", 'Data Entry'!$r$764)</f>
      </c>
      <c r="AY764">
        <f>IF(ISBLANK('Data Entry'!$s$764), "", 'Data Entry'!$s$764)</f>
      </c>
      <c r="AZ764">
        <f>IF(ISBLANK('Data Entry'!$t$764), "", 'Data Entry'!$t$764)</f>
      </c>
      <c r="BA764">
        <f>IF(ISBLANK('Data Entry'!$u$764), "", 'Data Entry'!$u$764)</f>
      </c>
      <c r="BB764">
        <f>IF(ISBLANK('Data Entry'!$v$764), "", 'Data Entry'!$v$764)</f>
      </c>
      <c r="BC764">
        <f>IF(ISBLANK('Data Entry'!$w$764), "", 'Data Entry'!$w$764)</f>
      </c>
      <c r="BD764">
        <f>IF(ISBLANK('Data Entry'!$x$764), "", 'Data Entry'!$x$764)</f>
      </c>
      <c r="BE764">
        <f>IF(ISBLANK('Data Entry'!$y$764), "", 'Data Entry'!$y$764)</f>
      </c>
      <c r="BF764">
        <f>IF(ISBLANK('Data Entry'!$z$764), "", 'Data Entry'!$z$764)</f>
      </c>
      <c r="BG764">
        <f>IF(ISBLANK('Data Entry'!${$764), "", 'Data Entry'!${$764)</f>
      </c>
      <c r="BH764">
        <f>IF(ISBLANK('Data Entry'!$|$764), "", 'Data Entry'!$|$764)</f>
      </c>
      <c r="BI764">
        <f>IF(ISBLANK('Data Entry'!$}$764), "", 'Data Entry'!$}$764)</f>
      </c>
      <c r="BJ764">
        <f>IF(ISBLANK('Data Entry'!$~$764), "", 'Data Entry'!$~$764)</f>
      </c>
      <c r="BK764">
        <f>IF(ISBLANK('Data Entry'!$$764), "", 'Data Entry'!$$764)</f>
      </c>
      <c r="BL764">
        <f>IF(ISBLANK('Data Entry'!$$764), "", 'Data Entry'!$$764)</f>
      </c>
      <c r="BM764">
        <f>IF(ISBLANK('Data Entry'!$$764), "", 'Data Entry'!$$764)</f>
      </c>
      <c r="BN764">
        <f>IF(ISBLANK('Data Entry'!$$764), "", 'Data Entry'!$$764)</f>
      </c>
      <c r="BO764">
        <f>IF(ISBLANK('Data Entry'!$$764), "", 'Data Entry'!$$764)</f>
      </c>
      <c r="BP764">
        <f>IF(ISBLANK('Data Entry'!$$764), "", 'Data Entry'!$$764)</f>
      </c>
      <c r="BQ764">
        <f>IF(ISBLANK('Data Entry'!$$764), "", 'Data Entry'!$$764)</f>
      </c>
      <c r="BR764">
        <f>IF(ISBLANK('Data Entry'!$$764), "", 'Data Entry'!$$764)</f>
      </c>
      <c r="BS764">
        <f>IF(ISBLANK('Data Entry'!$$764), "", 'Data Entry'!$$764)</f>
      </c>
      <c r="BT764">
        <f>IF(ISBLANK('Data Entry'!$$764), "", 'Data Entry'!$$764)</f>
      </c>
      <c r="BU764">
        <f>IF(ISBLANK('Data Entry'!$$764), "", 'Data Entry'!$$764)</f>
      </c>
      <c r="BV764">
        <f>IF(ISBLANK('Data Entry'!$$764), "", 'Data Entry'!$$764)</f>
      </c>
      <c r="BW764">
        <f>IF(ISBLANK('Data Entry'!$$764), "", 'Data Entry'!$$764)</f>
      </c>
      <c r="BX764">
        <f>IF(ISBLANK('Data Entry'!$$764), "", 'Data Entry'!$$764)</f>
      </c>
      <c r="BY764">
        <f>IF(ISBLANK('Data Entry'!$$764), "", 'Data Entry'!$$764)</f>
      </c>
      <c r="BZ764">
        <f>IF(ISBLANK('Data Entry'!$$764), "", 'Data Entry'!$$764)</f>
      </c>
      <c r="CA764">
        <f>IF(ISBLANK('Data Entry'!$$764), "", 'Data Entry'!$$764)</f>
      </c>
      <c r="CB764">
        <f>IF(ISBLANK('Data Entry'!$$764), "", 'Data Entry'!$$764)</f>
      </c>
      <c r="CC764">
        <f>IF(ISBLANK('Data Entry'!$$764), "", 'Data Entry'!$$764)</f>
      </c>
      <c r="CD764">
        <f>IF(ISBLANK('Data Entry'!$$764), "", 'Data Entry'!$$764)</f>
      </c>
      <c r="CE764">
        <f>IF(ISBLANK('Data Entry'!$$764), "", 'Data Entry'!$$764)</f>
      </c>
      <c r="CF764">
        <f>IF(ISBLANK('Data Entry'!$$764), "", 'Data Entry'!$$764)</f>
      </c>
      <c r="CG764">
        <f>IF(ISBLANK('Data Entry'!$$764), "", 'Data Entry'!$$764)</f>
      </c>
      <c r="CH764">
        <f>IF(ISBLANK('Data Entry'!$$764), "", 'Data Entry'!$$764)</f>
      </c>
      <c r="CI764">
        <f>IF(ISBLANK('Data Entry'!$$764), "", 'Data Entry'!$$764)</f>
      </c>
      <c r="CJ764">
        <f>IF(ISBLANK('Data Entry'!$$764), "", 'Data Entry'!$$764)</f>
      </c>
      <c r="CK764">
        <f>IF(ISBLANK('Data Entry'!$$764), "", 'Data Entry'!$$764)</f>
      </c>
      <c r="CL764">
        <f>IF(ISBLANK('Data Entry'!$$764), "", 'Data Entry'!$$764)</f>
      </c>
      <c r="CM764">
        <f>IF(ISBLANK('Data Entry'!$$764), "", 'Data Entry'!$$764)</f>
      </c>
      <c r="CN764">
        <f>IF(ISBLANK('Data Entry'!$$764), "", 'Data Entry'!$$764)</f>
      </c>
      <c r="CO764">
        <f>IF(ISBLANK('Data Entry'!$$764), "", 'Data Entry'!$$764)</f>
      </c>
      <c r="CP764">
        <f>IF(ISBLANK('Data Entry'!$$764), "", 'Data Entry'!$$764)</f>
      </c>
      <c r="CQ764">
        <f>IF(ISBLANK('Data Entry'!$$764), "", 'Data Entry'!$$764)</f>
      </c>
      <c r="CR764">
        <f>IF(ISBLANK('Data Entry'!$ $764), "", 'Data Entry'!$ $764)</f>
      </c>
      <c r="CS764">
        <f>IF(ISBLANK('Data Entry'!$¡$764), "", 'Data Entry'!$¡$764)</f>
      </c>
      <c r="CT764">
        <f>IF(ISBLANK('Data Entry'!$¢$764), "", 'Data Entry'!$¢$764)</f>
      </c>
      <c r="CU764">
        <f>IF(ISBLANK('Data Entry'!$£$764), "", 'Data Entry'!$£$764)</f>
      </c>
      <c r="CV764">
        <f>IF(ISBLANK('Data Entry'!$¤$764), "", 'Data Entry'!$¤$764)</f>
      </c>
      <c r="CW764">
        <f>IF(ISBLANK('Data Entry'!$¥$764), "", 'Data Entry'!$¥$764)</f>
      </c>
      <c r="CX764">
        <f>IF(ISBLANK('Data Entry'!$¦$764), "", 'Data Entry'!$¦$764)</f>
      </c>
      <c r="CY764">
        <f>IF(ISBLANK('Data Entry'!$§$764), "", 'Data Entry'!$§$764)</f>
      </c>
      <c r="CZ764">
        <f>IF(ISBLANK('Data Entry'!$¨$764), "", 'Data Entry'!$¨$764)</f>
      </c>
      <c r="DA764">
        <f>IF(ISBLANK('Data Entry'!$©$764), "", 'Data Entry'!$©$764)</f>
      </c>
      <c r="DB764">
        <f>IF(ISBLANK('Data Entry'!$ª$764), "", 'Data Entry'!$ª$764)</f>
      </c>
      <c r="DC764">
        <f>IF(ISBLANK('Data Entry'!$«$764), "", 'Data Entry'!$«$764)</f>
      </c>
      <c r="DD764">
        <f>IF(ISBLANK('Data Entry'!$¬$764), "", 'Data Entry'!$¬$764)</f>
      </c>
      <c r="DE764">
        <f>IF(ISBLANK('Data Entry'!$­$764), "", 'Data Entry'!$­$764)</f>
      </c>
      <c r="DF764">
        <f>IF(ISBLANK('Data Entry'!$®$764), "", 'Data Entry'!$®$764)</f>
      </c>
      <c r="DG764">
        <f>IF(ISBLANK('Data Entry'!$¯$764), "", 'Data Entry'!$¯$764)</f>
      </c>
      <c r="DH764">
        <f>IF(ISBLANK('Data Entry'!$°$764), "", 'Data Entry'!$°$764)</f>
      </c>
      <c r="DI764">
        <f>IF(ISBLANK('Data Entry'!$±$764), "", 'Data Entry'!$±$764)</f>
      </c>
      <c r="DJ764">
        <f>IF(ISBLANK('Data Entry'!$²$764), "", 'Data Entry'!$²$764)</f>
      </c>
      <c r="DK764">
        <f>IF(ISBLANK('Data Entry'!$³$764), "", 'Data Entry'!$³$764)</f>
      </c>
      <c r="DL764">
        <f>IF(ISBLANK('Data Entry'!$´$764), "", 'Data Entry'!$´$764)</f>
      </c>
      <c r="DM764">
        <f>IF(ISBLANK('Data Entry'!$µ$764), "", 'Data Entry'!$µ$764)</f>
      </c>
      <c r="DN764">
        <f>IF(ISBLANK('Data Entry'!$¶$764), "", 'Data Entry'!$¶$764)</f>
      </c>
      <c r="DO764">
        <f>IF(ISBLANK('Data Entry'!$·$764), "", 'Data Entry'!$·$764)</f>
      </c>
      <c r="DP764">
        <f>IF(ISBLANK('Data Entry'!$¸$764), "", 'Data Entry'!$¸$764)</f>
      </c>
      <c r="DQ764">
        <f>IF(ISBLANK('Data Entry'!$¹$764), "", 'Data Entry'!$¹$764)</f>
      </c>
      <c r="DR764">
        <f>IF(ISBLANK('Data Entry'!$º$764), "", 'Data Entry'!$º$764)</f>
      </c>
      <c r="DS764">
        <f>IF(ISBLANK('Data Entry'!$»$764), "", 'Data Entry'!$»$764)</f>
      </c>
      <c r="DT764">
        <f>IF(ISBLANK('Data Entry'!$¼$764), "", 'Data Entry'!$¼$764)</f>
      </c>
      <c r="DU764">
        <f>IF(ISBLANK('Data Entry'!$½$764), "", 'Data Entry'!$½$764)</f>
      </c>
      <c r="DV764">
        <f>IF(ISBLANK('Data Entry'!$¾$764), "", 'Data Entry'!$¾$764)</f>
      </c>
      <c r="DW764">
        <f>IF(ISBLANK('Data Entry'!$¿$764), "", 'Data Entry'!$¿$764)</f>
      </c>
      <c r="DX764">
        <f>IF(ISBLANK('Data Entry'!$À$764), "", 'Data Entry'!$À$764)</f>
      </c>
      <c r="DY764">
        <f>IF(ISBLANK('Data Entry'!$Á$764), "", 'Data Entry'!$Á$764)</f>
      </c>
      <c r="DZ764">
        <f>IF(ISBLANK('Data Entry'!$Â$764), "", 'Data Entry'!$Â$764)</f>
      </c>
      <c r="EA764">
        <f>IF(ISBLANK('Data Entry'!$Ã$764), "", 'Data Entry'!$Ã$764)</f>
      </c>
      <c r="EB764">
        <f>IF(ISBLANK('Data Entry'!$Ä$764), "", 'Data Entry'!$Ä$764)</f>
      </c>
      <c r="EC764">
        <f>IF(ISBLANK('Data Entry'!$Å$764), "", 'Data Entry'!$Å$764)</f>
      </c>
      <c r="ED764">
        <f>IF(ISBLANK('Data Entry'!$Æ$764), "", 'Data Entry'!$Æ$764)</f>
      </c>
      <c r="EE764">
        <f>IF(ISBLANK('Data Entry'!$Ç$764), "", 'Data Entry'!$Ç$764)</f>
      </c>
      <c r="EF764">
        <f>IF(ISBLANK('Data Entry'!$È$764), "", 'Data Entry'!$È$764)</f>
      </c>
      <c r="EG764">
        <f>IF(ISBLANK('Data Entry'!$É$764), "", 'Data Entry'!$É$764)</f>
      </c>
      <c r="EH764">
        <f>IF(ISBLANK('Data Entry'!$Ê$764), "", 'Data Entry'!$Ê$764)</f>
      </c>
      <c r="EI764">
        <f>IF(ISBLANK('Data Entry'!$Ë$764), "", 'Data Entry'!$Ë$764)</f>
      </c>
      <c r="EJ764">
        <f>IF(ISBLANK('Data Entry'!$Ì$764), "", 'Data Entry'!$Ì$764)</f>
      </c>
      <c r="EK764">
        <f>IF(ISBLANK('Data Entry'!$Í$764), "", 'Data Entry'!$Í$764)</f>
      </c>
      <c r="EL764">
        <f>IF(ISBLANK('Data Entry'!$Î$764), "", 'Data Entry'!$Î$764)</f>
      </c>
      <c r="EM764">
        <f>IF(ISBLANK('Data Entry'!$Ï$764), "", 'Data Entry'!$Ï$764)</f>
      </c>
      <c r="EN764">
        <f>IF(ISBLANK('Data Entry'!$Ð$764), "", 'Data Entry'!$Ð$764)</f>
      </c>
      <c r="EO764">
        <f>IF(ISBLANK('Data Entry'!$Ñ$764), "", 'Data Entry'!$Ñ$764)</f>
      </c>
      <c r="EP764">
        <f>IF(ISBLANK('Data Entry'!$Ò$764), "", 'Data Entry'!$Ò$764)</f>
      </c>
      <c r="EQ764">
        <f>IF(ISBLANK('Data Entry'!$Ó$764), "", 'Data Entry'!$Ó$764)</f>
      </c>
      <c r="ER764">
        <f>IF(ISBLANK('Data Entry'!$Ô$764), "", 'Data Entry'!$Ô$764)</f>
      </c>
      <c r="ES764">
        <f>IF(ISBLANK('Data Entry'!$Õ$764), "", 'Data Entry'!$Õ$764)</f>
      </c>
      <c r="ET764">
        <f>IF(ISBLANK('Data Entry'!$Ö$764), "", 'Data Entry'!$Ö$764)</f>
      </c>
      <c r="EU764">
        <f>IF(ISBLANK('Data Entry'!$×$764), "", 'Data Entry'!$×$764)</f>
      </c>
      <c r="EV764">
        <f>IF(ISBLANK('Data Entry'!$Ø$764), "", 'Data Entry'!$Ø$764)</f>
      </c>
      <c r="EW764">
        <f>IF(ISBLANK('Data Entry'!$Ù$764), "", 'Data Entry'!$Ù$764)</f>
      </c>
      <c r="EX764">
        <f>IF(ISBLANK('Data Entry'!$Ú$764), "", 'Data Entry'!$Ú$764)</f>
      </c>
      <c r="EY764">
        <f>IF(ISBLANK('Data Entry'!$Û$764), "", 'Data Entry'!$Û$764)</f>
      </c>
      <c r="EZ764">
        <f>IF(ISBLANK('Data Entry'!$Ü$764), "", 'Data Entry'!$Ü$764)</f>
      </c>
      <c r="FA764">
        <f>IF(ISBLANK('Data Entry'!$Ý$764), "", 'Data Entry'!$Ý$764)</f>
      </c>
      <c r="FB764">
        <f>IF(ISBLANK('Data Entry'!$Þ$764), "", 'Data Entry'!$Þ$764)</f>
      </c>
      <c r="FC764">
        <f>IF(ISBLANK('Data Entry'!$ß$764), "", 'Data Entry'!$ß$764)</f>
      </c>
      <c r="FD764">
        <f>IF(ISBLANK('Data Entry'!$à$764), "", 'Data Entry'!$à$764)</f>
      </c>
      <c r="FE764">
        <f>IF(ISBLANK('Data Entry'!$á$764), "", 'Data Entry'!$á$764)</f>
      </c>
      <c r="FF764">
        <f>IF(ISBLANK('Data Entry'!$â$764), "", 'Data Entry'!$â$764)</f>
      </c>
      <c r="FG764">
        <f>IF(ISBLANK('Data Entry'!$ã$764), "", 'Data Entry'!$ã$764)</f>
      </c>
      <c r="FH764">
        <f>IF(ISBLANK('Data Entry'!$ä$764), "", 'Data Entry'!$ä$764)</f>
      </c>
      <c r="FI764">
        <f>IF(ISBLANK('Data Entry'!$å$764), "", 'Data Entry'!$å$764)</f>
      </c>
      <c r="FJ764">
        <f>IF(ISBLANK('Data Entry'!$æ$764), "", 'Data Entry'!$æ$764)</f>
      </c>
      <c r="FK764">
        <f>IF(ISBLANK('Data Entry'!$ç$764), "", 'Data Entry'!$ç$764)</f>
      </c>
      <c r="FL764">
        <f>IF(ISBLANK('Data Entry'!$è$764), "", 'Data Entry'!$è$764)</f>
      </c>
      <c r="FM764">
        <f>IF(ISBLANK('Data Entry'!$é$764), "", 'Data Entry'!$é$764)</f>
      </c>
      <c r="FN764">
        <f>IF(ISBLANK('Data Entry'!$ê$764), "", 'Data Entry'!$ê$764)</f>
      </c>
      <c r="FO764">
        <f>IF(ISBLANK('Data Entry'!$ë$764), "", 'Data Entry'!$ë$764)</f>
      </c>
      <c r="FP764">
        <f>IF(ISBLANK('Data Entry'!$ì$764), "", 'Data Entry'!$ì$764)</f>
      </c>
      <c r="FQ764">
        <f>IF(ISBLANK('Data Entry'!$í$764), "", 'Data Entry'!$í$764)</f>
      </c>
      <c r="FR764">
        <f>IF(ISBLANK('Data Entry'!$î$764), "", 'Data Entry'!$î$764)</f>
      </c>
      <c r="FS764">
        <f>IF(ISBLANK('Data Entry'!$ï$764), "", 'Data Entry'!$ï$764)</f>
      </c>
      <c r="FT764">
        <f>IF(ISBLANK('Data Entry'!$ð$764), "", 'Data Entry'!$ð$764)</f>
      </c>
      <c r="FU764">
        <f>IF(ISBLANK('Data Entry'!$ñ$764), "", 'Data Entry'!$ñ$764)</f>
      </c>
      <c r="FV764">
        <f>IF(ISBLANK('Data Entry'!$ò$764), "", 'Data Entry'!$ò$764)</f>
      </c>
      <c r="FW764">
        <f>IF(ISBLANK('Data Entry'!$ó$764), "", 'Data Entry'!$ó$764)</f>
      </c>
      <c r="FX764">
        <f>IF(ISBLANK('Data Entry'!$ô$764), "", 'Data Entry'!$ô$764)</f>
      </c>
      <c r="FY764">
        <f>IF(ISBLANK('Data Entry'!$õ$764), "", 'Data Entry'!$õ$764)</f>
      </c>
      <c r="FZ764">
        <f>IF(ISBLANK('Data Entry'!$ö$764), "", 'Data Entry'!$ö$764)</f>
      </c>
      <c r="GA764">
        <f>IF(ISBLANK('Data Entry'!$÷$764), "", 'Data Entry'!$÷$764)</f>
      </c>
      <c r="GB764">
        <f>IF(ISBLANK('Data Entry'!$ø$764), "", 'Data Entry'!$ø$764)</f>
      </c>
      <c r="GC764">
        <f>IF(ISBLANK('Data Entry'!$ù$764), "", 'Data Entry'!$ù$764)</f>
      </c>
      <c r="GD764">
        <f>IF(ISBLANK('Data Entry'!$ú$764), "", 'Data Entry'!$ú$764)</f>
      </c>
      <c r="GE764">
        <f>IF(ISBLANK('Data Entry'!$û$764), "", 'Data Entry'!$û$764)</f>
      </c>
      <c r="GF764">
        <f>IF(ISBLANK('Data Entry'!$ü$764), "", 'Data Entry'!$ü$764)</f>
      </c>
      <c r="GG764">
        <f>IF(ISBLANK('Data Entry'!$ý$764), "", 'Data Entry'!$ý$764)</f>
      </c>
      <c r="GH764">
        <f>IF(ISBLANK('Data Entry'!$þ$764), "", 'Data Entry'!$þ$764)</f>
      </c>
      <c r="GI764">
        <f>IF(ISBLANK('Data Entry'!$ÿ$764), "", 'Data Entry'!$ÿ$764)</f>
      </c>
      <c r="GJ764">
        <f>IF(ISBLANK('Data Entry'!$Ā$764), "", 'Data Entry'!$Ā$764)</f>
      </c>
      <c r="GK764">
        <f>IF(ISBLANK('Data Entry'!$ā$764), "", 'Data Entry'!$ā$764)</f>
      </c>
      <c r="GL764">
        <f>IF(ISBLANK('Data Entry'!$Ă$764), "", 'Data Entry'!$Ă$764)</f>
      </c>
      <c r="GM764">
        <f>IF(ISBLANK('Data Entry'!$ă$764), "", 'Data Entry'!$ă$764)</f>
      </c>
      <c r="GN764">
        <f>IF(ISBLANK('Data Entry'!$Ą$764), "", 'Data Entry'!$Ą$764)</f>
      </c>
      <c r="GO764">
        <f>IF(ISBLANK('Data Entry'!$ą$764), "", 'Data Entry'!$ą$764)</f>
      </c>
      <c r="GP764">
        <f>IF(ISBLANK('Data Entry'!$Ć$764), "", 'Data Entry'!$Ć$764)</f>
      </c>
      <c r="GQ764">
        <f>IF(ISBLANK('Data Entry'!$ć$764), "", 'Data Entry'!$ć$764)</f>
      </c>
      <c r="GR764">
        <f>IF(ISBLANK('Data Entry'!$Ĉ$764), "", 'Data Entry'!$Ĉ$764)</f>
      </c>
      <c r="GS764">
        <f>IF(ISBLANK('Data Entry'!$ĉ$764), "", 'Data Entry'!$ĉ$764)</f>
      </c>
      <c r="GT764">
        <f>IF(ISBLANK('Data Entry'!$Ċ$764), "", 'Data Entry'!$Ċ$764)</f>
      </c>
      <c r="GU764">
        <f>IF(ISBLANK('Data Entry'!$ċ$764), "", 'Data Entry'!$ċ$764)</f>
      </c>
      <c r="GV764">
        <f>IF(ISBLANK('Data Entry'!$Č$764), "", 'Data Entry'!$Č$764)</f>
      </c>
      <c r="GW764">
        <f>IF(ISBLANK('Data Entry'!$č$764), "", 'Data Entry'!$č$764)</f>
      </c>
      <c r="GX764">
        <f>IF(ISBLANK('Data Entry'!$Ď$764), "", 'Data Entry'!$Ď$764)</f>
      </c>
      <c r="GY764">
        <f>IF(ISBLANK('Data Entry'!$ď$764), "", 'Data Entry'!$ď$764)</f>
      </c>
      <c r="GZ764">
        <f>IF(ISBLANK('Data Entry'!$Đ$764), "", 'Data Entry'!$Đ$764)</f>
      </c>
      <c r="HA764">
        <f>IF(ISBLANK('Data Entry'!$đ$764), "", 'Data Entry'!$đ$764)</f>
      </c>
      <c r="HB764">
        <f>IF(ISBLANK('Data Entry'!$Ē$764), "", 'Data Entry'!$Ē$764)</f>
      </c>
      <c r="HC764">
        <f>IF(ISBLANK('Data Entry'!$ē$764), "", 'Data Entry'!$ē$764)</f>
      </c>
      <c r="HD764">
        <f>IF(ISBLANK('Data Entry'!$Ĕ$764), "", 'Data Entry'!$Ĕ$764)</f>
      </c>
      <c r="HE764">
        <f>IF(ISBLANK('Data Entry'!$ĕ$764), "", 'Data Entry'!$ĕ$764)</f>
      </c>
      <c r="HF764">
        <f>IF(ISBLANK('Data Entry'!$Ė$764), "", 'Data Entry'!$Ė$764)</f>
      </c>
      <c r="HG764">
        <f>IF(ISBLANK('Data Entry'!$ė$764), "", 'Data Entry'!$ė$764)</f>
      </c>
      <c r="HH764">
        <f>IF(ISBLANK('Data Entry'!$Ę$764), "", 'Data Entry'!$Ę$764)</f>
      </c>
      <c r="HI764">
        <f>IF(ISBLANK('Data Entry'!$ę$764), "", 'Data Entry'!$ę$764)</f>
      </c>
      <c r="HJ764">
        <f>IF(ISBLANK('Data Entry'!$Ě$764), "", 'Data Entry'!$Ě$764)</f>
      </c>
      <c r="HK764">
        <f>IF(ISBLANK('Data Entry'!$ě$764), "", 'Data Entry'!$ě$764)</f>
      </c>
      <c r="HL764">
        <f>IF(ISBLANK('Data Entry'!$Ĝ$764), "", 'Data Entry'!$Ĝ$764)</f>
      </c>
      <c r="HM764">
        <f>IF(ISBLANK('Data Entry'!$ĝ$764), "", 'Data Entry'!$ĝ$764)</f>
      </c>
      <c r="HN764">
        <f>IF(ISBLANK('Data Entry'!$Ğ$764), "", 'Data Entry'!$Ğ$764)</f>
      </c>
      <c r="HO764">
        <f>IF(ISBLANK('Data Entry'!$ğ$764), "", 'Data Entry'!$ğ$764)</f>
      </c>
      <c r="HP764">
        <f>IF(ISBLANK('Data Entry'!$Ġ$764), "", 'Data Entry'!$Ġ$764)</f>
      </c>
      <c r="HQ764">
        <f>IF(ISBLANK('Data Entry'!$ġ$764), "", 'Data Entry'!$ġ$764)</f>
      </c>
      <c r="HR764">
        <f>IF(ISBLANK('Data Entry'!$Ģ$764), "", 'Data Entry'!$Ģ$764)</f>
      </c>
      <c r="HS764">
        <f>IF(ISBLANK('Data Entry'!$ģ$764), "", 'Data Entry'!$ģ$764)</f>
      </c>
      <c r="HT764">
        <f>IF(ISBLANK('Data Entry'!$Ĥ$764), "", 'Data Entry'!$Ĥ$764)</f>
      </c>
      <c r="HU764">
        <f>IF(ISBLANK('Data Entry'!$ĥ$764), "", 'Data Entry'!$ĥ$764)</f>
      </c>
      <c r="HV764">
        <f>IF(ISBLANK('Data Entry'!$Ħ$764), "", 'Data Entry'!$Ħ$764)</f>
      </c>
      <c r="HW764">
        <f>IF(ISBLANK('Data Entry'!$ħ$764), "", 'Data Entry'!$ħ$764)</f>
      </c>
      <c r="HX764">
        <f>IF(ISBLANK('Data Entry'!$Ĩ$764), "", 'Data Entry'!$Ĩ$764)</f>
      </c>
      <c r="HY764">
        <f>IF(ISBLANK('Data Entry'!$ĩ$764), "", 'Data Entry'!$ĩ$764)</f>
      </c>
      <c r="HZ764">
        <f>IF(ISBLANK('Data Entry'!$Ī$764), "", 'Data Entry'!$Ī$764)</f>
      </c>
      <c r="IA764">
        <f>IF(ISBLANK('Data Entry'!$ī$764), "", 'Data Entry'!$ī$764)</f>
      </c>
      <c r="IB764">
        <f>IF(ISBLANK('Data Entry'!$Ĭ$764), "", 'Data Entry'!$Ĭ$764)</f>
      </c>
      <c r="IC764">
        <f>IF(ISBLANK('Data Entry'!$ĭ$764), "", 'Data Entry'!$ĭ$764)</f>
      </c>
      <c r="ID764">
        <f>IF(ISBLANK('Data Entry'!$Į$764), "", 'Data Entry'!$Į$764)</f>
      </c>
      <c r="IE764">
        <f>IF(ISBLANK('Data Entry'!$į$764), "", 'Data Entry'!$į$764)</f>
      </c>
      <c r="IF764">
        <f>IF(ISBLANK('Data Entry'!$İ$764), "", 'Data Entry'!$İ$764)</f>
      </c>
      <c r="IG764">
        <f>IF(ISBLANK('Data Entry'!$ı$764), "", 'Data Entry'!$ı$764)</f>
      </c>
      <c r="IH764">
        <f>IF(ISBLANK('Data Entry'!$Ĳ$764), "", 'Data Entry'!$Ĳ$764)</f>
      </c>
      <c r="II764">
        <f>IF(ISBLANK('Data Entry'!$ĳ$764), "", 'Data Entry'!$ĳ$764)</f>
      </c>
      <c r="IJ764">
        <f>IF(ISBLANK('Data Entry'!$Ĵ$764), "", 'Data Entry'!$Ĵ$764)</f>
      </c>
      <c r="IK764">
        <f>IF(ISBLANK('Data Entry'!$ĵ$764), "", 'Data Entry'!$ĵ$764)</f>
      </c>
      <c r="IL764">
        <f>IF(ISBLANK('Data Entry'!$Ķ$764), "", 'Data Entry'!$Ķ$764)</f>
      </c>
      <c r="IM764">
        <f>IF(ISBLANK('Data Entry'!$ķ$764), "", 'Data Entry'!$ķ$764)</f>
      </c>
      <c r="IN764">
        <f>IF(ISBLANK('Data Entry'!$ĸ$764), "", 'Data Entry'!$ĸ$764)</f>
      </c>
      <c r="IO764">
        <f>IF(ISBLANK('Data Entry'!$Ĺ$764), "", 'Data Entry'!$Ĺ$764)</f>
      </c>
      <c r="IP764">
        <f>IF(ISBLANK('Data Entry'!$ĺ$764), "", 'Data Entry'!$ĺ$764)</f>
      </c>
      <c r="IQ764">
        <f>IF(ISBLANK('Data Entry'!$Ļ$764), "", 'Data Entry'!$Ļ$764)</f>
      </c>
      <c r="IR764">
        <f>IF(ISBLANK('Data Entry'!$ļ$764), "", 'Data Entry'!$ļ$764)</f>
      </c>
      <c r="IS764">
        <f>IF(ISBLANK('Data Entry'!$Ľ$764), "", 'Data Entry'!$Ľ$764)</f>
      </c>
      <c r="IT764">
        <f>IF(ISBLANK('Data Entry'!$ľ$764), "", 'Data Entry'!$ľ$764)</f>
      </c>
    </row>
    <row r="765" spans="1:254" x14ac:dyDescent="0.25">
      <c r="A765">
        <f>IF(ISBLANK('Data Entry'!$A$765), "", 'Data Entry'!$A$765)</f>
      </c>
      <c r="B765">
        <f>IF(ISBLANK('Data Entry'!$B$765), "", 'Data Entry'!$B$765)</f>
      </c>
      <c r="C765">
        <f>IF(ISBLANK('Data Entry'!$C$765), "", 'Data Entry'!$C$765)</f>
      </c>
      <c r="D765">
        <f>IF(ISBLANK('Data Entry'!$D$765), "", 'Data Entry'!$D$765)</f>
      </c>
      <c r="E765">
        <f>IF(ISBLANK('Data Entry'!$E$765), "", 'Data Entry'!$E$765)</f>
      </c>
      <c r="F765">
        <f>IF(ISBLANK('Data Entry'!$F$765), "", 'Data Entry'!$F$765)</f>
      </c>
      <c r="G765">
        <f>IF(ISBLANK('Data Entry'!$G$765), "", 'Data Entry'!$G$765)</f>
      </c>
      <c r="H765">
        <f>IF(ISBLANK('Data Entry'!$H$765), "", 'Data Entry'!$H$765)</f>
      </c>
      <c r="I765">
        <f>IF(ISBLANK('Data Entry'!$I$765), "", 'Data Entry'!$I$765)</f>
      </c>
      <c r="J765">
        <f>IF(ISBLANK('Data Entry'!$J$765), "", 'Data Entry'!$J$765)</f>
      </c>
      <c r="K765">
        <f>IF(ISBLANK('Data Entry'!$K$765), "", 'Data Entry'!$K$765)</f>
      </c>
      <c r="L765">
        <f>IF(ISBLANK('Data Entry'!$L$765), "", 'Data Entry'!$L$765)</f>
      </c>
      <c r="M765">
        <f>IF(ISBLANK('Data Entry'!$M$765), "", 'Data Entry'!$M$765)</f>
      </c>
      <c r="N765">
        <f>IF(ISBLANK('Data Entry'!$N$765), "", 'Data Entry'!$N$765)</f>
      </c>
      <c r="O765">
        <f>IF(ISBLANK('Data Entry'!$O$765), "", 'Data Entry'!$O$765)</f>
      </c>
      <c r="P765">
        <f>IF(ISBLANK('Data Entry'!$P$765), "", 'Data Entry'!$P$765)</f>
      </c>
      <c r="Q765">
        <f>IF(ISBLANK('Data Entry'!$Q$765), "", 'Data Entry'!$Q$765)</f>
      </c>
      <c r="R765">
        <f>IF(ISBLANK('Data Entry'!$R$765), "", 'Data Entry'!$R$765)</f>
      </c>
      <c r="S765">
        <f>IF(ISBLANK('Data Entry'!$S$765), "", 'Data Entry'!$S$765)</f>
      </c>
      <c r="T765">
        <f>IF(ISBLANK('Data Entry'!$T$765), "", 'Data Entry'!$T$765)</f>
      </c>
      <c r="U765">
        <f>IF(ISBLANK('Data Entry'!$U$765), "", 'Data Entry'!$U$765)</f>
      </c>
      <c r="V765">
        <f>IF(ISBLANK('Data Entry'!$V$765), "", 'Data Entry'!$V$765)</f>
      </c>
      <c r="W765">
        <f>IF(ISBLANK('Data Entry'!$W$765), "", 'Data Entry'!$W$765)</f>
      </c>
      <c r="X765">
        <f>IF(ISBLANK('Data Entry'!$X$765), "", 'Data Entry'!$X$765)</f>
      </c>
      <c r="Y765">
        <f>IF(ISBLANK('Data Entry'!$Y$765), "", 'Data Entry'!$Y$765)</f>
      </c>
      <c r="Z765">
        <f>IF(ISBLANK('Data Entry'!$Z$765), "", 'Data Entry'!$Z$765)</f>
      </c>
      <c r="AA765">
        <f>IF(ISBLANK('Data Entry'!$[$765), "", 'Data Entry'!$[$765)</f>
      </c>
      <c r="AB765">
        <f>IF(ISBLANK('Data Entry'!$\$765), "", 'Data Entry'!$\$765)</f>
      </c>
      <c r="AC765">
        <f>IF(ISBLANK('Data Entry'!$]$765), "", 'Data Entry'!$]$765)</f>
      </c>
      <c r="AD765">
        <f>IF(ISBLANK('Data Entry'!$^$765), "", 'Data Entry'!$^$765)</f>
      </c>
      <c r="AE765">
        <f>IF(ISBLANK('Data Entry'!$_$765), "", 'Data Entry'!$_$765)</f>
      </c>
      <c r="AF765">
        <f>IF(ISBLANK('Data Entry'!$`$765), "", 'Data Entry'!$`$765)</f>
      </c>
      <c r="AG765">
        <f>IF(ISBLANK('Data Entry'!$a$765), "", 'Data Entry'!$a$765)</f>
      </c>
      <c r="AH765">
        <f>IF(ISBLANK('Data Entry'!$b$765), "", 'Data Entry'!$b$765)</f>
      </c>
      <c r="AI765">
        <f>IF(ISBLANK('Data Entry'!$c$765), "", 'Data Entry'!$c$765)</f>
      </c>
      <c r="AJ765">
        <f>IF(ISBLANK('Data Entry'!$d$765), "", 'Data Entry'!$d$765)</f>
      </c>
      <c r="AK765">
        <f>IF(ISBLANK('Data Entry'!$e$765), "", 'Data Entry'!$e$765)</f>
      </c>
      <c r="AL765">
        <f>IF(ISBLANK('Data Entry'!$f$765), "", 'Data Entry'!$f$765)</f>
      </c>
      <c r="AM765">
        <f>IF(ISBLANK('Data Entry'!$g$765), "", 'Data Entry'!$g$765)</f>
      </c>
      <c r="AN765">
        <f>IF(ISBLANK('Data Entry'!$h$765), "", 'Data Entry'!$h$765)</f>
      </c>
      <c r="AO765">
        <f>IF(ISBLANK('Data Entry'!$i$765), "", 'Data Entry'!$i$765)</f>
      </c>
      <c r="AP765">
        <f>IF(ISBLANK('Data Entry'!$j$765), "", 'Data Entry'!$j$765)</f>
      </c>
      <c r="AQ765">
        <f>IF(ISBLANK('Data Entry'!$k$765), "", 'Data Entry'!$k$765)</f>
      </c>
      <c r="AR765">
        <f>IF(ISBLANK('Data Entry'!$l$765), "", 'Data Entry'!$l$765)</f>
      </c>
      <c r="AS765">
        <f>IF(ISBLANK('Data Entry'!$m$765), "", 'Data Entry'!$m$765)</f>
      </c>
      <c r="AT765">
        <f>IF(ISBLANK('Data Entry'!$n$765), "", 'Data Entry'!$n$765)</f>
      </c>
      <c r="AU765">
        <f>IF(ISBLANK('Data Entry'!$o$765), "", 'Data Entry'!$o$765)</f>
      </c>
      <c r="AV765">
        <f>IF(ISBLANK('Data Entry'!$p$765), "", 'Data Entry'!$p$765)</f>
      </c>
      <c r="AW765">
        <f>IF(ISBLANK('Data Entry'!$q$765), "", 'Data Entry'!$q$765)</f>
      </c>
      <c r="AX765">
        <f>IF(ISBLANK('Data Entry'!$r$765), "", 'Data Entry'!$r$765)</f>
      </c>
      <c r="AY765">
        <f>IF(ISBLANK('Data Entry'!$s$765), "", 'Data Entry'!$s$765)</f>
      </c>
      <c r="AZ765">
        <f>IF(ISBLANK('Data Entry'!$t$765), "", 'Data Entry'!$t$765)</f>
      </c>
      <c r="BA765">
        <f>IF(ISBLANK('Data Entry'!$u$765), "", 'Data Entry'!$u$765)</f>
      </c>
      <c r="BB765">
        <f>IF(ISBLANK('Data Entry'!$v$765), "", 'Data Entry'!$v$765)</f>
      </c>
      <c r="BC765">
        <f>IF(ISBLANK('Data Entry'!$w$765), "", 'Data Entry'!$w$765)</f>
      </c>
      <c r="BD765">
        <f>IF(ISBLANK('Data Entry'!$x$765), "", 'Data Entry'!$x$765)</f>
      </c>
      <c r="BE765">
        <f>IF(ISBLANK('Data Entry'!$y$765), "", 'Data Entry'!$y$765)</f>
      </c>
      <c r="BF765">
        <f>IF(ISBLANK('Data Entry'!$z$765), "", 'Data Entry'!$z$765)</f>
      </c>
      <c r="BG765">
        <f>IF(ISBLANK('Data Entry'!${$765), "", 'Data Entry'!${$765)</f>
      </c>
      <c r="BH765">
        <f>IF(ISBLANK('Data Entry'!$|$765), "", 'Data Entry'!$|$765)</f>
      </c>
      <c r="BI765">
        <f>IF(ISBLANK('Data Entry'!$}$765), "", 'Data Entry'!$}$765)</f>
      </c>
      <c r="BJ765">
        <f>IF(ISBLANK('Data Entry'!$~$765), "", 'Data Entry'!$~$765)</f>
      </c>
      <c r="BK765">
        <f>IF(ISBLANK('Data Entry'!$$765), "", 'Data Entry'!$$765)</f>
      </c>
      <c r="BL765">
        <f>IF(ISBLANK('Data Entry'!$$765), "", 'Data Entry'!$$765)</f>
      </c>
      <c r="BM765">
        <f>IF(ISBLANK('Data Entry'!$$765), "", 'Data Entry'!$$765)</f>
      </c>
      <c r="BN765">
        <f>IF(ISBLANK('Data Entry'!$$765), "", 'Data Entry'!$$765)</f>
      </c>
      <c r="BO765">
        <f>IF(ISBLANK('Data Entry'!$$765), "", 'Data Entry'!$$765)</f>
      </c>
      <c r="BP765">
        <f>IF(ISBLANK('Data Entry'!$$765), "", 'Data Entry'!$$765)</f>
      </c>
      <c r="BQ765">
        <f>IF(ISBLANK('Data Entry'!$$765), "", 'Data Entry'!$$765)</f>
      </c>
      <c r="BR765">
        <f>IF(ISBLANK('Data Entry'!$$765), "", 'Data Entry'!$$765)</f>
      </c>
      <c r="BS765">
        <f>IF(ISBLANK('Data Entry'!$$765), "", 'Data Entry'!$$765)</f>
      </c>
      <c r="BT765">
        <f>IF(ISBLANK('Data Entry'!$$765), "", 'Data Entry'!$$765)</f>
      </c>
      <c r="BU765">
        <f>IF(ISBLANK('Data Entry'!$$765), "", 'Data Entry'!$$765)</f>
      </c>
      <c r="BV765">
        <f>IF(ISBLANK('Data Entry'!$$765), "", 'Data Entry'!$$765)</f>
      </c>
      <c r="BW765">
        <f>IF(ISBLANK('Data Entry'!$$765), "", 'Data Entry'!$$765)</f>
      </c>
      <c r="BX765">
        <f>IF(ISBLANK('Data Entry'!$$765), "", 'Data Entry'!$$765)</f>
      </c>
      <c r="BY765">
        <f>IF(ISBLANK('Data Entry'!$$765), "", 'Data Entry'!$$765)</f>
      </c>
      <c r="BZ765">
        <f>IF(ISBLANK('Data Entry'!$$765), "", 'Data Entry'!$$765)</f>
      </c>
      <c r="CA765">
        <f>IF(ISBLANK('Data Entry'!$$765), "", 'Data Entry'!$$765)</f>
      </c>
      <c r="CB765">
        <f>IF(ISBLANK('Data Entry'!$$765), "", 'Data Entry'!$$765)</f>
      </c>
      <c r="CC765">
        <f>IF(ISBLANK('Data Entry'!$$765), "", 'Data Entry'!$$765)</f>
      </c>
      <c r="CD765">
        <f>IF(ISBLANK('Data Entry'!$$765), "", 'Data Entry'!$$765)</f>
      </c>
      <c r="CE765">
        <f>IF(ISBLANK('Data Entry'!$$765), "", 'Data Entry'!$$765)</f>
      </c>
      <c r="CF765">
        <f>IF(ISBLANK('Data Entry'!$$765), "", 'Data Entry'!$$765)</f>
      </c>
      <c r="CG765">
        <f>IF(ISBLANK('Data Entry'!$$765), "", 'Data Entry'!$$765)</f>
      </c>
      <c r="CH765">
        <f>IF(ISBLANK('Data Entry'!$$765), "", 'Data Entry'!$$765)</f>
      </c>
      <c r="CI765">
        <f>IF(ISBLANK('Data Entry'!$$765), "", 'Data Entry'!$$765)</f>
      </c>
      <c r="CJ765">
        <f>IF(ISBLANK('Data Entry'!$$765), "", 'Data Entry'!$$765)</f>
      </c>
      <c r="CK765">
        <f>IF(ISBLANK('Data Entry'!$$765), "", 'Data Entry'!$$765)</f>
      </c>
      <c r="CL765">
        <f>IF(ISBLANK('Data Entry'!$$765), "", 'Data Entry'!$$765)</f>
      </c>
      <c r="CM765">
        <f>IF(ISBLANK('Data Entry'!$$765), "", 'Data Entry'!$$765)</f>
      </c>
      <c r="CN765">
        <f>IF(ISBLANK('Data Entry'!$$765), "", 'Data Entry'!$$765)</f>
      </c>
      <c r="CO765">
        <f>IF(ISBLANK('Data Entry'!$$765), "", 'Data Entry'!$$765)</f>
      </c>
      <c r="CP765">
        <f>IF(ISBLANK('Data Entry'!$$765), "", 'Data Entry'!$$765)</f>
      </c>
      <c r="CQ765">
        <f>IF(ISBLANK('Data Entry'!$$765), "", 'Data Entry'!$$765)</f>
      </c>
      <c r="CR765">
        <f>IF(ISBLANK('Data Entry'!$ $765), "", 'Data Entry'!$ $765)</f>
      </c>
      <c r="CS765">
        <f>IF(ISBLANK('Data Entry'!$¡$765), "", 'Data Entry'!$¡$765)</f>
      </c>
      <c r="CT765">
        <f>IF(ISBLANK('Data Entry'!$¢$765), "", 'Data Entry'!$¢$765)</f>
      </c>
      <c r="CU765">
        <f>IF(ISBLANK('Data Entry'!$£$765), "", 'Data Entry'!$£$765)</f>
      </c>
      <c r="CV765">
        <f>IF(ISBLANK('Data Entry'!$¤$765), "", 'Data Entry'!$¤$765)</f>
      </c>
      <c r="CW765">
        <f>IF(ISBLANK('Data Entry'!$¥$765), "", 'Data Entry'!$¥$765)</f>
      </c>
      <c r="CX765">
        <f>IF(ISBLANK('Data Entry'!$¦$765), "", 'Data Entry'!$¦$765)</f>
      </c>
      <c r="CY765">
        <f>IF(ISBLANK('Data Entry'!$§$765), "", 'Data Entry'!$§$765)</f>
      </c>
      <c r="CZ765">
        <f>IF(ISBLANK('Data Entry'!$¨$765), "", 'Data Entry'!$¨$765)</f>
      </c>
      <c r="DA765">
        <f>IF(ISBLANK('Data Entry'!$©$765), "", 'Data Entry'!$©$765)</f>
      </c>
      <c r="DB765">
        <f>IF(ISBLANK('Data Entry'!$ª$765), "", 'Data Entry'!$ª$765)</f>
      </c>
      <c r="DC765">
        <f>IF(ISBLANK('Data Entry'!$«$765), "", 'Data Entry'!$«$765)</f>
      </c>
      <c r="DD765">
        <f>IF(ISBLANK('Data Entry'!$¬$765), "", 'Data Entry'!$¬$765)</f>
      </c>
      <c r="DE765">
        <f>IF(ISBLANK('Data Entry'!$­$765), "", 'Data Entry'!$­$765)</f>
      </c>
      <c r="DF765">
        <f>IF(ISBLANK('Data Entry'!$®$765), "", 'Data Entry'!$®$765)</f>
      </c>
      <c r="DG765">
        <f>IF(ISBLANK('Data Entry'!$¯$765), "", 'Data Entry'!$¯$765)</f>
      </c>
      <c r="DH765">
        <f>IF(ISBLANK('Data Entry'!$°$765), "", 'Data Entry'!$°$765)</f>
      </c>
      <c r="DI765">
        <f>IF(ISBLANK('Data Entry'!$±$765), "", 'Data Entry'!$±$765)</f>
      </c>
      <c r="DJ765">
        <f>IF(ISBLANK('Data Entry'!$²$765), "", 'Data Entry'!$²$765)</f>
      </c>
      <c r="DK765">
        <f>IF(ISBLANK('Data Entry'!$³$765), "", 'Data Entry'!$³$765)</f>
      </c>
      <c r="DL765">
        <f>IF(ISBLANK('Data Entry'!$´$765), "", 'Data Entry'!$´$765)</f>
      </c>
      <c r="DM765">
        <f>IF(ISBLANK('Data Entry'!$µ$765), "", 'Data Entry'!$µ$765)</f>
      </c>
      <c r="DN765">
        <f>IF(ISBLANK('Data Entry'!$¶$765), "", 'Data Entry'!$¶$765)</f>
      </c>
      <c r="DO765">
        <f>IF(ISBLANK('Data Entry'!$·$765), "", 'Data Entry'!$·$765)</f>
      </c>
      <c r="DP765">
        <f>IF(ISBLANK('Data Entry'!$¸$765), "", 'Data Entry'!$¸$765)</f>
      </c>
      <c r="DQ765">
        <f>IF(ISBLANK('Data Entry'!$¹$765), "", 'Data Entry'!$¹$765)</f>
      </c>
      <c r="DR765">
        <f>IF(ISBLANK('Data Entry'!$º$765), "", 'Data Entry'!$º$765)</f>
      </c>
      <c r="DS765">
        <f>IF(ISBLANK('Data Entry'!$»$765), "", 'Data Entry'!$»$765)</f>
      </c>
      <c r="DT765">
        <f>IF(ISBLANK('Data Entry'!$¼$765), "", 'Data Entry'!$¼$765)</f>
      </c>
      <c r="DU765">
        <f>IF(ISBLANK('Data Entry'!$½$765), "", 'Data Entry'!$½$765)</f>
      </c>
      <c r="DV765">
        <f>IF(ISBLANK('Data Entry'!$¾$765), "", 'Data Entry'!$¾$765)</f>
      </c>
      <c r="DW765">
        <f>IF(ISBLANK('Data Entry'!$¿$765), "", 'Data Entry'!$¿$765)</f>
      </c>
      <c r="DX765">
        <f>IF(ISBLANK('Data Entry'!$À$765), "", 'Data Entry'!$À$765)</f>
      </c>
      <c r="DY765">
        <f>IF(ISBLANK('Data Entry'!$Á$765), "", 'Data Entry'!$Á$765)</f>
      </c>
      <c r="DZ765">
        <f>IF(ISBLANK('Data Entry'!$Â$765), "", 'Data Entry'!$Â$765)</f>
      </c>
      <c r="EA765">
        <f>IF(ISBLANK('Data Entry'!$Ã$765), "", 'Data Entry'!$Ã$765)</f>
      </c>
      <c r="EB765">
        <f>IF(ISBLANK('Data Entry'!$Ä$765), "", 'Data Entry'!$Ä$765)</f>
      </c>
      <c r="EC765">
        <f>IF(ISBLANK('Data Entry'!$Å$765), "", 'Data Entry'!$Å$765)</f>
      </c>
      <c r="ED765">
        <f>IF(ISBLANK('Data Entry'!$Æ$765), "", 'Data Entry'!$Æ$765)</f>
      </c>
      <c r="EE765">
        <f>IF(ISBLANK('Data Entry'!$Ç$765), "", 'Data Entry'!$Ç$765)</f>
      </c>
      <c r="EF765">
        <f>IF(ISBLANK('Data Entry'!$È$765), "", 'Data Entry'!$È$765)</f>
      </c>
      <c r="EG765">
        <f>IF(ISBLANK('Data Entry'!$É$765), "", 'Data Entry'!$É$765)</f>
      </c>
      <c r="EH765">
        <f>IF(ISBLANK('Data Entry'!$Ê$765), "", 'Data Entry'!$Ê$765)</f>
      </c>
      <c r="EI765">
        <f>IF(ISBLANK('Data Entry'!$Ë$765), "", 'Data Entry'!$Ë$765)</f>
      </c>
      <c r="EJ765">
        <f>IF(ISBLANK('Data Entry'!$Ì$765), "", 'Data Entry'!$Ì$765)</f>
      </c>
      <c r="EK765">
        <f>IF(ISBLANK('Data Entry'!$Í$765), "", 'Data Entry'!$Í$765)</f>
      </c>
      <c r="EL765">
        <f>IF(ISBLANK('Data Entry'!$Î$765), "", 'Data Entry'!$Î$765)</f>
      </c>
      <c r="EM765">
        <f>IF(ISBLANK('Data Entry'!$Ï$765), "", 'Data Entry'!$Ï$765)</f>
      </c>
      <c r="EN765">
        <f>IF(ISBLANK('Data Entry'!$Ð$765), "", 'Data Entry'!$Ð$765)</f>
      </c>
      <c r="EO765">
        <f>IF(ISBLANK('Data Entry'!$Ñ$765), "", 'Data Entry'!$Ñ$765)</f>
      </c>
      <c r="EP765">
        <f>IF(ISBLANK('Data Entry'!$Ò$765), "", 'Data Entry'!$Ò$765)</f>
      </c>
      <c r="EQ765">
        <f>IF(ISBLANK('Data Entry'!$Ó$765), "", 'Data Entry'!$Ó$765)</f>
      </c>
      <c r="ER765">
        <f>IF(ISBLANK('Data Entry'!$Ô$765), "", 'Data Entry'!$Ô$765)</f>
      </c>
      <c r="ES765">
        <f>IF(ISBLANK('Data Entry'!$Õ$765), "", 'Data Entry'!$Õ$765)</f>
      </c>
      <c r="ET765">
        <f>IF(ISBLANK('Data Entry'!$Ö$765), "", 'Data Entry'!$Ö$765)</f>
      </c>
      <c r="EU765">
        <f>IF(ISBLANK('Data Entry'!$×$765), "", 'Data Entry'!$×$765)</f>
      </c>
      <c r="EV765">
        <f>IF(ISBLANK('Data Entry'!$Ø$765), "", 'Data Entry'!$Ø$765)</f>
      </c>
      <c r="EW765">
        <f>IF(ISBLANK('Data Entry'!$Ù$765), "", 'Data Entry'!$Ù$765)</f>
      </c>
      <c r="EX765">
        <f>IF(ISBLANK('Data Entry'!$Ú$765), "", 'Data Entry'!$Ú$765)</f>
      </c>
      <c r="EY765">
        <f>IF(ISBLANK('Data Entry'!$Û$765), "", 'Data Entry'!$Û$765)</f>
      </c>
      <c r="EZ765">
        <f>IF(ISBLANK('Data Entry'!$Ü$765), "", 'Data Entry'!$Ü$765)</f>
      </c>
      <c r="FA765">
        <f>IF(ISBLANK('Data Entry'!$Ý$765), "", 'Data Entry'!$Ý$765)</f>
      </c>
      <c r="FB765">
        <f>IF(ISBLANK('Data Entry'!$Þ$765), "", 'Data Entry'!$Þ$765)</f>
      </c>
      <c r="FC765">
        <f>IF(ISBLANK('Data Entry'!$ß$765), "", 'Data Entry'!$ß$765)</f>
      </c>
      <c r="FD765">
        <f>IF(ISBLANK('Data Entry'!$à$765), "", 'Data Entry'!$à$765)</f>
      </c>
      <c r="FE765">
        <f>IF(ISBLANK('Data Entry'!$á$765), "", 'Data Entry'!$á$765)</f>
      </c>
      <c r="FF765">
        <f>IF(ISBLANK('Data Entry'!$â$765), "", 'Data Entry'!$â$765)</f>
      </c>
      <c r="FG765">
        <f>IF(ISBLANK('Data Entry'!$ã$765), "", 'Data Entry'!$ã$765)</f>
      </c>
      <c r="FH765">
        <f>IF(ISBLANK('Data Entry'!$ä$765), "", 'Data Entry'!$ä$765)</f>
      </c>
      <c r="FI765">
        <f>IF(ISBLANK('Data Entry'!$å$765), "", 'Data Entry'!$å$765)</f>
      </c>
      <c r="FJ765">
        <f>IF(ISBLANK('Data Entry'!$æ$765), "", 'Data Entry'!$æ$765)</f>
      </c>
      <c r="FK765">
        <f>IF(ISBLANK('Data Entry'!$ç$765), "", 'Data Entry'!$ç$765)</f>
      </c>
      <c r="FL765">
        <f>IF(ISBLANK('Data Entry'!$è$765), "", 'Data Entry'!$è$765)</f>
      </c>
      <c r="FM765">
        <f>IF(ISBLANK('Data Entry'!$é$765), "", 'Data Entry'!$é$765)</f>
      </c>
      <c r="FN765">
        <f>IF(ISBLANK('Data Entry'!$ê$765), "", 'Data Entry'!$ê$765)</f>
      </c>
      <c r="FO765">
        <f>IF(ISBLANK('Data Entry'!$ë$765), "", 'Data Entry'!$ë$765)</f>
      </c>
      <c r="FP765">
        <f>IF(ISBLANK('Data Entry'!$ì$765), "", 'Data Entry'!$ì$765)</f>
      </c>
      <c r="FQ765">
        <f>IF(ISBLANK('Data Entry'!$í$765), "", 'Data Entry'!$í$765)</f>
      </c>
      <c r="FR765">
        <f>IF(ISBLANK('Data Entry'!$î$765), "", 'Data Entry'!$î$765)</f>
      </c>
      <c r="FS765">
        <f>IF(ISBLANK('Data Entry'!$ï$765), "", 'Data Entry'!$ï$765)</f>
      </c>
      <c r="FT765">
        <f>IF(ISBLANK('Data Entry'!$ð$765), "", 'Data Entry'!$ð$765)</f>
      </c>
      <c r="FU765">
        <f>IF(ISBLANK('Data Entry'!$ñ$765), "", 'Data Entry'!$ñ$765)</f>
      </c>
      <c r="FV765">
        <f>IF(ISBLANK('Data Entry'!$ò$765), "", 'Data Entry'!$ò$765)</f>
      </c>
      <c r="FW765">
        <f>IF(ISBLANK('Data Entry'!$ó$765), "", 'Data Entry'!$ó$765)</f>
      </c>
      <c r="FX765">
        <f>IF(ISBLANK('Data Entry'!$ô$765), "", 'Data Entry'!$ô$765)</f>
      </c>
      <c r="FY765">
        <f>IF(ISBLANK('Data Entry'!$õ$765), "", 'Data Entry'!$õ$765)</f>
      </c>
      <c r="FZ765">
        <f>IF(ISBLANK('Data Entry'!$ö$765), "", 'Data Entry'!$ö$765)</f>
      </c>
      <c r="GA765">
        <f>IF(ISBLANK('Data Entry'!$÷$765), "", 'Data Entry'!$÷$765)</f>
      </c>
      <c r="GB765">
        <f>IF(ISBLANK('Data Entry'!$ø$765), "", 'Data Entry'!$ø$765)</f>
      </c>
      <c r="GC765">
        <f>IF(ISBLANK('Data Entry'!$ù$765), "", 'Data Entry'!$ù$765)</f>
      </c>
      <c r="GD765">
        <f>IF(ISBLANK('Data Entry'!$ú$765), "", 'Data Entry'!$ú$765)</f>
      </c>
      <c r="GE765">
        <f>IF(ISBLANK('Data Entry'!$û$765), "", 'Data Entry'!$û$765)</f>
      </c>
      <c r="GF765">
        <f>IF(ISBLANK('Data Entry'!$ü$765), "", 'Data Entry'!$ü$765)</f>
      </c>
      <c r="GG765">
        <f>IF(ISBLANK('Data Entry'!$ý$765), "", 'Data Entry'!$ý$765)</f>
      </c>
      <c r="GH765">
        <f>IF(ISBLANK('Data Entry'!$þ$765), "", 'Data Entry'!$þ$765)</f>
      </c>
      <c r="GI765">
        <f>IF(ISBLANK('Data Entry'!$ÿ$765), "", 'Data Entry'!$ÿ$765)</f>
      </c>
      <c r="GJ765">
        <f>IF(ISBLANK('Data Entry'!$Ā$765), "", 'Data Entry'!$Ā$765)</f>
      </c>
      <c r="GK765">
        <f>IF(ISBLANK('Data Entry'!$ā$765), "", 'Data Entry'!$ā$765)</f>
      </c>
      <c r="GL765">
        <f>IF(ISBLANK('Data Entry'!$Ă$765), "", 'Data Entry'!$Ă$765)</f>
      </c>
      <c r="GM765">
        <f>IF(ISBLANK('Data Entry'!$ă$765), "", 'Data Entry'!$ă$765)</f>
      </c>
      <c r="GN765">
        <f>IF(ISBLANK('Data Entry'!$Ą$765), "", 'Data Entry'!$Ą$765)</f>
      </c>
      <c r="GO765">
        <f>IF(ISBLANK('Data Entry'!$ą$765), "", 'Data Entry'!$ą$765)</f>
      </c>
      <c r="GP765">
        <f>IF(ISBLANK('Data Entry'!$Ć$765), "", 'Data Entry'!$Ć$765)</f>
      </c>
      <c r="GQ765">
        <f>IF(ISBLANK('Data Entry'!$ć$765), "", 'Data Entry'!$ć$765)</f>
      </c>
      <c r="GR765">
        <f>IF(ISBLANK('Data Entry'!$Ĉ$765), "", 'Data Entry'!$Ĉ$765)</f>
      </c>
      <c r="GS765">
        <f>IF(ISBLANK('Data Entry'!$ĉ$765), "", 'Data Entry'!$ĉ$765)</f>
      </c>
      <c r="GT765">
        <f>IF(ISBLANK('Data Entry'!$Ċ$765), "", 'Data Entry'!$Ċ$765)</f>
      </c>
      <c r="GU765">
        <f>IF(ISBLANK('Data Entry'!$ċ$765), "", 'Data Entry'!$ċ$765)</f>
      </c>
      <c r="GV765">
        <f>IF(ISBLANK('Data Entry'!$Č$765), "", 'Data Entry'!$Č$765)</f>
      </c>
      <c r="GW765">
        <f>IF(ISBLANK('Data Entry'!$č$765), "", 'Data Entry'!$č$765)</f>
      </c>
      <c r="GX765">
        <f>IF(ISBLANK('Data Entry'!$Ď$765), "", 'Data Entry'!$Ď$765)</f>
      </c>
      <c r="GY765">
        <f>IF(ISBLANK('Data Entry'!$ď$765), "", 'Data Entry'!$ď$765)</f>
      </c>
      <c r="GZ765">
        <f>IF(ISBLANK('Data Entry'!$Đ$765), "", 'Data Entry'!$Đ$765)</f>
      </c>
      <c r="HA765">
        <f>IF(ISBLANK('Data Entry'!$đ$765), "", 'Data Entry'!$đ$765)</f>
      </c>
      <c r="HB765">
        <f>IF(ISBLANK('Data Entry'!$Ē$765), "", 'Data Entry'!$Ē$765)</f>
      </c>
      <c r="HC765">
        <f>IF(ISBLANK('Data Entry'!$ē$765), "", 'Data Entry'!$ē$765)</f>
      </c>
      <c r="HD765">
        <f>IF(ISBLANK('Data Entry'!$Ĕ$765), "", 'Data Entry'!$Ĕ$765)</f>
      </c>
      <c r="HE765">
        <f>IF(ISBLANK('Data Entry'!$ĕ$765), "", 'Data Entry'!$ĕ$765)</f>
      </c>
      <c r="HF765">
        <f>IF(ISBLANK('Data Entry'!$Ė$765), "", 'Data Entry'!$Ė$765)</f>
      </c>
      <c r="HG765">
        <f>IF(ISBLANK('Data Entry'!$ė$765), "", 'Data Entry'!$ė$765)</f>
      </c>
      <c r="HH765">
        <f>IF(ISBLANK('Data Entry'!$Ę$765), "", 'Data Entry'!$Ę$765)</f>
      </c>
      <c r="HI765">
        <f>IF(ISBLANK('Data Entry'!$ę$765), "", 'Data Entry'!$ę$765)</f>
      </c>
      <c r="HJ765">
        <f>IF(ISBLANK('Data Entry'!$Ě$765), "", 'Data Entry'!$Ě$765)</f>
      </c>
      <c r="HK765">
        <f>IF(ISBLANK('Data Entry'!$ě$765), "", 'Data Entry'!$ě$765)</f>
      </c>
      <c r="HL765">
        <f>IF(ISBLANK('Data Entry'!$Ĝ$765), "", 'Data Entry'!$Ĝ$765)</f>
      </c>
      <c r="HM765">
        <f>IF(ISBLANK('Data Entry'!$ĝ$765), "", 'Data Entry'!$ĝ$765)</f>
      </c>
      <c r="HN765">
        <f>IF(ISBLANK('Data Entry'!$Ğ$765), "", 'Data Entry'!$Ğ$765)</f>
      </c>
      <c r="HO765">
        <f>IF(ISBLANK('Data Entry'!$ğ$765), "", 'Data Entry'!$ğ$765)</f>
      </c>
      <c r="HP765">
        <f>IF(ISBLANK('Data Entry'!$Ġ$765), "", 'Data Entry'!$Ġ$765)</f>
      </c>
      <c r="HQ765">
        <f>IF(ISBLANK('Data Entry'!$ġ$765), "", 'Data Entry'!$ġ$765)</f>
      </c>
      <c r="HR765">
        <f>IF(ISBLANK('Data Entry'!$Ģ$765), "", 'Data Entry'!$Ģ$765)</f>
      </c>
      <c r="HS765">
        <f>IF(ISBLANK('Data Entry'!$ģ$765), "", 'Data Entry'!$ģ$765)</f>
      </c>
      <c r="HT765">
        <f>IF(ISBLANK('Data Entry'!$Ĥ$765), "", 'Data Entry'!$Ĥ$765)</f>
      </c>
      <c r="HU765">
        <f>IF(ISBLANK('Data Entry'!$ĥ$765), "", 'Data Entry'!$ĥ$765)</f>
      </c>
      <c r="HV765">
        <f>IF(ISBLANK('Data Entry'!$Ħ$765), "", 'Data Entry'!$Ħ$765)</f>
      </c>
      <c r="HW765">
        <f>IF(ISBLANK('Data Entry'!$ħ$765), "", 'Data Entry'!$ħ$765)</f>
      </c>
      <c r="HX765">
        <f>IF(ISBLANK('Data Entry'!$Ĩ$765), "", 'Data Entry'!$Ĩ$765)</f>
      </c>
      <c r="HY765">
        <f>IF(ISBLANK('Data Entry'!$ĩ$765), "", 'Data Entry'!$ĩ$765)</f>
      </c>
      <c r="HZ765">
        <f>IF(ISBLANK('Data Entry'!$Ī$765), "", 'Data Entry'!$Ī$765)</f>
      </c>
      <c r="IA765">
        <f>IF(ISBLANK('Data Entry'!$ī$765), "", 'Data Entry'!$ī$765)</f>
      </c>
      <c r="IB765">
        <f>IF(ISBLANK('Data Entry'!$Ĭ$765), "", 'Data Entry'!$Ĭ$765)</f>
      </c>
      <c r="IC765">
        <f>IF(ISBLANK('Data Entry'!$ĭ$765), "", 'Data Entry'!$ĭ$765)</f>
      </c>
      <c r="ID765">
        <f>IF(ISBLANK('Data Entry'!$Į$765), "", 'Data Entry'!$Į$765)</f>
      </c>
      <c r="IE765">
        <f>IF(ISBLANK('Data Entry'!$į$765), "", 'Data Entry'!$į$765)</f>
      </c>
      <c r="IF765">
        <f>IF(ISBLANK('Data Entry'!$İ$765), "", 'Data Entry'!$İ$765)</f>
      </c>
      <c r="IG765">
        <f>IF(ISBLANK('Data Entry'!$ı$765), "", 'Data Entry'!$ı$765)</f>
      </c>
      <c r="IH765">
        <f>IF(ISBLANK('Data Entry'!$Ĳ$765), "", 'Data Entry'!$Ĳ$765)</f>
      </c>
      <c r="II765">
        <f>IF(ISBLANK('Data Entry'!$ĳ$765), "", 'Data Entry'!$ĳ$765)</f>
      </c>
      <c r="IJ765">
        <f>IF(ISBLANK('Data Entry'!$Ĵ$765), "", 'Data Entry'!$Ĵ$765)</f>
      </c>
      <c r="IK765">
        <f>IF(ISBLANK('Data Entry'!$ĵ$765), "", 'Data Entry'!$ĵ$765)</f>
      </c>
      <c r="IL765">
        <f>IF(ISBLANK('Data Entry'!$Ķ$765), "", 'Data Entry'!$Ķ$765)</f>
      </c>
      <c r="IM765">
        <f>IF(ISBLANK('Data Entry'!$ķ$765), "", 'Data Entry'!$ķ$765)</f>
      </c>
      <c r="IN765">
        <f>IF(ISBLANK('Data Entry'!$ĸ$765), "", 'Data Entry'!$ĸ$765)</f>
      </c>
      <c r="IO765">
        <f>IF(ISBLANK('Data Entry'!$Ĺ$765), "", 'Data Entry'!$Ĺ$765)</f>
      </c>
      <c r="IP765">
        <f>IF(ISBLANK('Data Entry'!$ĺ$765), "", 'Data Entry'!$ĺ$765)</f>
      </c>
      <c r="IQ765">
        <f>IF(ISBLANK('Data Entry'!$Ļ$765), "", 'Data Entry'!$Ļ$765)</f>
      </c>
      <c r="IR765">
        <f>IF(ISBLANK('Data Entry'!$ļ$765), "", 'Data Entry'!$ļ$765)</f>
      </c>
      <c r="IS765">
        <f>IF(ISBLANK('Data Entry'!$Ľ$765), "", 'Data Entry'!$Ľ$765)</f>
      </c>
      <c r="IT765">
        <f>IF(ISBLANK('Data Entry'!$ľ$765), "", 'Data Entry'!$ľ$765)</f>
      </c>
    </row>
    <row r="766" spans="1:254" x14ac:dyDescent="0.25">
      <c r="A766">
        <f>IF(ISBLANK('Data Entry'!$A$766), "", 'Data Entry'!$A$766)</f>
      </c>
      <c r="B766">
        <f>IF(ISBLANK('Data Entry'!$B$766), "", 'Data Entry'!$B$766)</f>
      </c>
      <c r="C766">
        <f>IF(ISBLANK('Data Entry'!$C$766), "", 'Data Entry'!$C$766)</f>
      </c>
      <c r="D766">
        <f>IF(ISBLANK('Data Entry'!$D$766), "", 'Data Entry'!$D$766)</f>
      </c>
      <c r="E766">
        <f>IF(ISBLANK('Data Entry'!$E$766), "", 'Data Entry'!$E$766)</f>
      </c>
      <c r="F766">
        <f>IF(ISBLANK('Data Entry'!$F$766), "", 'Data Entry'!$F$766)</f>
      </c>
      <c r="G766">
        <f>IF(ISBLANK('Data Entry'!$G$766), "", 'Data Entry'!$G$766)</f>
      </c>
      <c r="H766">
        <f>IF(ISBLANK('Data Entry'!$H$766), "", 'Data Entry'!$H$766)</f>
      </c>
      <c r="I766">
        <f>IF(ISBLANK('Data Entry'!$I$766), "", 'Data Entry'!$I$766)</f>
      </c>
      <c r="J766">
        <f>IF(ISBLANK('Data Entry'!$J$766), "", 'Data Entry'!$J$766)</f>
      </c>
      <c r="K766">
        <f>IF(ISBLANK('Data Entry'!$K$766), "", 'Data Entry'!$K$766)</f>
      </c>
      <c r="L766">
        <f>IF(ISBLANK('Data Entry'!$L$766), "", 'Data Entry'!$L$766)</f>
      </c>
      <c r="M766">
        <f>IF(ISBLANK('Data Entry'!$M$766), "", 'Data Entry'!$M$766)</f>
      </c>
      <c r="N766">
        <f>IF(ISBLANK('Data Entry'!$N$766), "", 'Data Entry'!$N$766)</f>
      </c>
      <c r="O766">
        <f>IF(ISBLANK('Data Entry'!$O$766), "", 'Data Entry'!$O$766)</f>
      </c>
      <c r="P766">
        <f>IF(ISBLANK('Data Entry'!$P$766), "", 'Data Entry'!$P$766)</f>
      </c>
      <c r="Q766">
        <f>IF(ISBLANK('Data Entry'!$Q$766), "", 'Data Entry'!$Q$766)</f>
      </c>
      <c r="R766">
        <f>IF(ISBLANK('Data Entry'!$R$766), "", 'Data Entry'!$R$766)</f>
      </c>
      <c r="S766">
        <f>IF(ISBLANK('Data Entry'!$S$766), "", 'Data Entry'!$S$766)</f>
      </c>
      <c r="T766">
        <f>IF(ISBLANK('Data Entry'!$T$766), "", 'Data Entry'!$T$766)</f>
      </c>
      <c r="U766">
        <f>IF(ISBLANK('Data Entry'!$U$766), "", 'Data Entry'!$U$766)</f>
      </c>
      <c r="V766">
        <f>IF(ISBLANK('Data Entry'!$V$766), "", 'Data Entry'!$V$766)</f>
      </c>
      <c r="W766">
        <f>IF(ISBLANK('Data Entry'!$W$766), "", 'Data Entry'!$W$766)</f>
      </c>
      <c r="X766">
        <f>IF(ISBLANK('Data Entry'!$X$766), "", 'Data Entry'!$X$766)</f>
      </c>
      <c r="Y766">
        <f>IF(ISBLANK('Data Entry'!$Y$766), "", 'Data Entry'!$Y$766)</f>
      </c>
      <c r="Z766">
        <f>IF(ISBLANK('Data Entry'!$Z$766), "", 'Data Entry'!$Z$766)</f>
      </c>
      <c r="AA766">
        <f>IF(ISBLANK('Data Entry'!$[$766), "", 'Data Entry'!$[$766)</f>
      </c>
      <c r="AB766">
        <f>IF(ISBLANK('Data Entry'!$\$766), "", 'Data Entry'!$\$766)</f>
      </c>
      <c r="AC766">
        <f>IF(ISBLANK('Data Entry'!$]$766), "", 'Data Entry'!$]$766)</f>
      </c>
      <c r="AD766">
        <f>IF(ISBLANK('Data Entry'!$^$766), "", 'Data Entry'!$^$766)</f>
      </c>
      <c r="AE766">
        <f>IF(ISBLANK('Data Entry'!$_$766), "", 'Data Entry'!$_$766)</f>
      </c>
      <c r="AF766">
        <f>IF(ISBLANK('Data Entry'!$`$766), "", 'Data Entry'!$`$766)</f>
      </c>
      <c r="AG766">
        <f>IF(ISBLANK('Data Entry'!$a$766), "", 'Data Entry'!$a$766)</f>
      </c>
      <c r="AH766">
        <f>IF(ISBLANK('Data Entry'!$b$766), "", 'Data Entry'!$b$766)</f>
      </c>
      <c r="AI766">
        <f>IF(ISBLANK('Data Entry'!$c$766), "", 'Data Entry'!$c$766)</f>
      </c>
      <c r="AJ766">
        <f>IF(ISBLANK('Data Entry'!$d$766), "", 'Data Entry'!$d$766)</f>
      </c>
      <c r="AK766">
        <f>IF(ISBLANK('Data Entry'!$e$766), "", 'Data Entry'!$e$766)</f>
      </c>
      <c r="AL766">
        <f>IF(ISBLANK('Data Entry'!$f$766), "", 'Data Entry'!$f$766)</f>
      </c>
      <c r="AM766">
        <f>IF(ISBLANK('Data Entry'!$g$766), "", 'Data Entry'!$g$766)</f>
      </c>
      <c r="AN766">
        <f>IF(ISBLANK('Data Entry'!$h$766), "", 'Data Entry'!$h$766)</f>
      </c>
      <c r="AO766">
        <f>IF(ISBLANK('Data Entry'!$i$766), "", 'Data Entry'!$i$766)</f>
      </c>
      <c r="AP766">
        <f>IF(ISBLANK('Data Entry'!$j$766), "", 'Data Entry'!$j$766)</f>
      </c>
      <c r="AQ766">
        <f>IF(ISBLANK('Data Entry'!$k$766), "", 'Data Entry'!$k$766)</f>
      </c>
      <c r="AR766">
        <f>IF(ISBLANK('Data Entry'!$l$766), "", 'Data Entry'!$l$766)</f>
      </c>
      <c r="AS766">
        <f>IF(ISBLANK('Data Entry'!$m$766), "", 'Data Entry'!$m$766)</f>
      </c>
      <c r="AT766">
        <f>IF(ISBLANK('Data Entry'!$n$766), "", 'Data Entry'!$n$766)</f>
      </c>
      <c r="AU766">
        <f>IF(ISBLANK('Data Entry'!$o$766), "", 'Data Entry'!$o$766)</f>
      </c>
      <c r="AV766">
        <f>IF(ISBLANK('Data Entry'!$p$766), "", 'Data Entry'!$p$766)</f>
      </c>
      <c r="AW766">
        <f>IF(ISBLANK('Data Entry'!$q$766), "", 'Data Entry'!$q$766)</f>
      </c>
      <c r="AX766">
        <f>IF(ISBLANK('Data Entry'!$r$766), "", 'Data Entry'!$r$766)</f>
      </c>
      <c r="AY766">
        <f>IF(ISBLANK('Data Entry'!$s$766), "", 'Data Entry'!$s$766)</f>
      </c>
      <c r="AZ766">
        <f>IF(ISBLANK('Data Entry'!$t$766), "", 'Data Entry'!$t$766)</f>
      </c>
      <c r="BA766">
        <f>IF(ISBLANK('Data Entry'!$u$766), "", 'Data Entry'!$u$766)</f>
      </c>
      <c r="BB766">
        <f>IF(ISBLANK('Data Entry'!$v$766), "", 'Data Entry'!$v$766)</f>
      </c>
      <c r="BC766">
        <f>IF(ISBLANK('Data Entry'!$w$766), "", 'Data Entry'!$w$766)</f>
      </c>
      <c r="BD766">
        <f>IF(ISBLANK('Data Entry'!$x$766), "", 'Data Entry'!$x$766)</f>
      </c>
      <c r="BE766">
        <f>IF(ISBLANK('Data Entry'!$y$766), "", 'Data Entry'!$y$766)</f>
      </c>
      <c r="BF766">
        <f>IF(ISBLANK('Data Entry'!$z$766), "", 'Data Entry'!$z$766)</f>
      </c>
      <c r="BG766">
        <f>IF(ISBLANK('Data Entry'!${$766), "", 'Data Entry'!${$766)</f>
      </c>
      <c r="BH766">
        <f>IF(ISBLANK('Data Entry'!$|$766), "", 'Data Entry'!$|$766)</f>
      </c>
      <c r="BI766">
        <f>IF(ISBLANK('Data Entry'!$}$766), "", 'Data Entry'!$}$766)</f>
      </c>
      <c r="BJ766">
        <f>IF(ISBLANK('Data Entry'!$~$766), "", 'Data Entry'!$~$766)</f>
      </c>
      <c r="BK766">
        <f>IF(ISBLANK('Data Entry'!$$766), "", 'Data Entry'!$$766)</f>
      </c>
      <c r="BL766">
        <f>IF(ISBLANK('Data Entry'!$$766), "", 'Data Entry'!$$766)</f>
      </c>
      <c r="BM766">
        <f>IF(ISBLANK('Data Entry'!$$766), "", 'Data Entry'!$$766)</f>
      </c>
      <c r="BN766">
        <f>IF(ISBLANK('Data Entry'!$$766), "", 'Data Entry'!$$766)</f>
      </c>
      <c r="BO766">
        <f>IF(ISBLANK('Data Entry'!$$766), "", 'Data Entry'!$$766)</f>
      </c>
      <c r="BP766">
        <f>IF(ISBLANK('Data Entry'!$$766), "", 'Data Entry'!$$766)</f>
      </c>
      <c r="BQ766">
        <f>IF(ISBLANK('Data Entry'!$$766), "", 'Data Entry'!$$766)</f>
      </c>
      <c r="BR766">
        <f>IF(ISBLANK('Data Entry'!$$766), "", 'Data Entry'!$$766)</f>
      </c>
      <c r="BS766">
        <f>IF(ISBLANK('Data Entry'!$$766), "", 'Data Entry'!$$766)</f>
      </c>
      <c r="BT766">
        <f>IF(ISBLANK('Data Entry'!$$766), "", 'Data Entry'!$$766)</f>
      </c>
      <c r="BU766">
        <f>IF(ISBLANK('Data Entry'!$$766), "", 'Data Entry'!$$766)</f>
      </c>
      <c r="BV766">
        <f>IF(ISBLANK('Data Entry'!$$766), "", 'Data Entry'!$$766)</f>
      </c>
      <c r="BW766">
        <f>IF(ISBLANK('Data Entry'!$$766), "", 'Data Entry'!$$766)</f>
      </c>
      <c r="BX766">
        <f>IF(ISBLANK('Data Entry'!$$766), "", 'Data Entry'!$$766)</f>
      </c>
      <c r="BY766">
        <f>IF(ISBLANK('Data Entry'!$$766), "", 'Data Entry'!$$766)</f>
      </c>
      <c r="BZ766">
        <f>IF(ISBLANK('Data Entry'!$$766), "", 'Data Entry'!$$766)</f>
      </c>
      <c r="CA766">
        <f>IF(ISBLANK('Data Entry'!$$766), "", 'Data Entry'!$$766)</f>
      </c>
      <c r="CB766">
        <f>IF(ISBLANK('Data Entry'!$$766), "", 'Data Entry'!$$766)</f>
      </c>
      <c r="CC766">
        <f>IF(ISBLANK('Data Entry'!$$766), "", 'Data Entry'!$$766)</f>
      </c>
      <c r="CD766">
        <f>IF(ISBLANK('Data Entry'!$$766), "", 'Data Entry'!$$766)</f>
      </c>
      <c r="CE766">
        <f>IF(ISBLANK('Data Entry'!$$766), "", 'Data Entry'!$$766)</f>
      </c>
      <c r="CF766">
        <f>IF(ISBLANK('Data Entry'!$$766), "", 'Data Entry'!$$766)</f>
      </c>
      <c r="CG766">
        <f>IF(ISBLANK('Data Entry'!$$766), "", 'Data Entry'!$$766)</f>
      </c>
      <c r="CH766">
        <f>IF(ISBLANK('Data Entry'!$$766), "", 'Data Entry'!$$766)</f>
      </c>
      <c r="CI766">
        <f>IF(ISBLANK('Data Entry'!$$766), "", 'Data Entry'!$$766)</f>
      </c>
      <c r="CJ766">
        <f>IF(ISBLANK('Data Entry'!$$766), "", 'Data Entry'!$$766)</f>
      </c>
      <c r="CK766">
        <f>IF(ISBLANK('Data Entry'!$$766), "", 'Data Entry'!$$766)</f>
      </c>
      <c r="CL766">
        <f>IF(ISBLANK('Data Entry'!$$766), "", 'Data Entry'!$$766)</f>
      </c>
      <c r="CM766">
        <f>IF(ISBLANK('Data Entry'!$$766), "", 'Data Entry'!$$766)</f>
      </c>
      <c r="CN766">
        <f>IF(ISBLANK('Data Entry'!$$766), "", 'Data Entry'!$$766)</f>
      </c>
      <c r="CO766">
        <f>IF(ISBLANK('Data Entry'!$$766), "", 'Data Entry'!$$766)</f>
      </c>
      <c r="CP766">
        <f>IF(ISBLANK('Data Entry'!$$766), "", 'Data Entry'!$$766)</f>
      </c>
      <c r="CQ766">
        <f>IF(ISBLANK('Data Entry'!$$766), "", 'Data Entry'!$$766)</f>
      </c>
      <c r="CR766">
        <f>IF(ISBLANK('Data Entry'!$ $766), "", 'Data Entry'!$ $766)</f>
      </c>
      <c r="CS766">
        <f>IF(ISBLANK('Data Entry'!$¡$766), "", 'Data Entry'!$¡$766)</f>
      </c>
      <c r="CT766">
        <f>IF(ISBLANK('Data Entry'!$¢$766), "", 'Data Entry'!$¢$766)</f>
      </c>
      <c r="CU766">
        <f>IF(ISBLANK('Data Entry'!$£$766), "", 'Data Entry'!$£$766)</f>
      </c>
      <c r="CV766">
        <f>IF(ISBLANK('Data Entry'!$¤$766), "", 'Data Entry'!$¤$766)</f>
      </c>
      <c r="CW766">
        <f>IF(ISBLANK('Data Entry'!$¥$766), "", 'Data Entry'!$¥$766)</f>
      </c>
      <c r="CX766">
        <f>IF(ISBLANK('Data Entry'!$¦$766), "", 'Data Entry'!$¦$766)</f>
      </c>
      <c r="CY766">
        <f>IF(ISBLANK('Data Entry'!$§$766), "", 'Data Entry'!$§$766)</f>
      </c>
      <c r="CZ766">
        <f>IF(ISBLANK('Data Entry'!$¨$766), "", 'Data Entry'!$¨$766)</f>
      </c>
      <c r="DA766">
        <f>IF(ISBLANK('Data Entry'!$©$766), "", 'Data Entry'!$©$766)</f>
      </c>
      <c r="DB766">
        <f>IF(ISBLANK('Data Entry'!$ª$766), "", 'Data Entry'!$ª$766)</f>
      </c>
      <c r="DC766">
        <f>IF(ISBLANK('Data Entry'!$«$766), "", 'Data Entry'!$«$766)</f>
      </c>
      <c r="DD766">
        <f>IF(ISBLANK('Data Entry'!$¬$766), "", 'Data Entry'!$¬$766)</f>
      </c>
      <c r="DE766">
        <f>IF(ISBLANK('Data Entry'!$­$766), "", 'Data Entry'!$­$766)</f>
      </c>
      <c r="DF766">
        <f>IF(ISBLANK('Data Entry'!$®$766), "", 'Data Entry'!$®$766)</f>
      </c>
      <c r="DG766">
        <f>IF(ISBLANK('Data Entry'!$¯$766), "", 'Data Entry'!$¯$766)</f>
      </c>
      <c r="DH766">
        <f>IF(ISBLANK('Data Entry'!$°$766), "", 'Data Entry'!$°$766)</f>
      </c>
      <c r="DI766">
        <f>IF(ISBLANK('Data Entry'!$±$766), "", 'Data Entry'!$±$766)</f>
      </c>
      <c r="DJ766">
        <f>IF(ISBLANK('Data Entry'!$²$766), "", 'Data Entry'!$²$766)</f>
      </c>
      <c r="DK766">
        <f>IF(ISBLANK('Data Entry'!$³$766), "", 'Data Entry'!$³$766)</f>
      </c>
      <c r="DL766">
        <f>IF(ISBLANK('Data Entry'!$´$766), "", 'Data Entry'!$´$766)</f>
      </c>
      <c r="DM766">
        <f>IF(ISBLANK('Data Entry'!$µ$766), "", 'Data Entry'!$µ$766)</f>
      </c>
      <c r="DN766">
        <f>IF(ISBLANK('Data Entry'!$¶$766), "", 'Data Entry'!$¶$766)</f>
      </c>
      <c r="DO766">
        <f>IF(ISBLANK('Data Entry'!$·$766), "", 'Data Entry'!$·$766)</f>
      </c>
      <c r="DP766">
        <f>IF(ISBLANK('Data Entry'!$¸$766), "", 'Data Entry'!$¸$766)</f>
      </c>
      <c r="DQ766">
        <f>IF(ISBLANK('Data Entry'!$¹$766), "", 'Data Entry'!$¹$766)</f>
      </c>
      <c r="DR766">
        <f>IF(ISBLANK('Data Entry'!$º$766), "", 'Data Entry'!$º$766)</f>
      </c>
      <c r="DS766">
        <f>IF(ISBLANK('Data Entry'!$»$766), "", 'Data Entry'!$»$766)</f>
      </c>
      <c r="DT766">
        <f>IF(ISBLANK('Data Entry'!$¼$766), "", 'Data Entry'!$¼$766)</f>
      </c>
      <c r="DU766">
        <f>IF(ISBLANK('Data Entry'!$½$766), "", 'Data Entry'!$½$766)</f>
      </c>
      <c r="DV766">
        <f>IF(ISBLANK('Data Entry'!$¾$766), "", 'Data Entry'!$¾$766)</f>
      </c>
      <c r="DW766">
        <f>IF(ISBLANK('Data Entry'!$¿$766), "", 'Data Entry'!$¿$766)</f>
      </c>
      <c r="DX766">
        <f>IF(ISBLANK('Data Entry'!$À$766), "", 'Data Entry'!$À$766)</f>
      </c>
      <c r="DY766">
        <f>IF(ISBLANK('Data Entry'!$Á$766), "", 'Data Entry'!$Á$766)</f>
      </c>
      <c r="DZ766">
        <f>IF(ISBLANK('Data Entry'!$Â$766), "", 'Data Entry'!$Â$766)</f>
      </c>
      <c r="EA766">
        <f>IF(ISBLANK('Data Entry'!$Ã$766), "", 'Data Entry'!$Ã$766)</f>
      </c>
      <c r="EB766">
        <f>IF(ISBLANK('Data Entry'!$Ä$766), "", 'Data Entry'!$Ä$766)</f>
      </c>
      <c r="EC766">
        <f>IF(ISBLANK('Data Entry'!$Å$766), "", 'Data Entry'!$Å$766)</f>
      </c>
      <c r="ED766">
        <f>IF(ISBLANK('Data Entry'!$Æ$766), "", 'Data Entry'!$Æ$766)</f>
      </c>
      <c r="EE766">
        <f>IF(ISBLANK('Data Entry'!$Ç$766), "", 'Data Entry'!$Ç$766)</f>
      </c>
      <c r="EF766">
        <f>IF(ISBLANK('Data Entry'!$È$766), "", 'Data Entry'!$È$766)</f>
      </c>
      <c r="EG766">
        <f>IF(ISBLANK('Data Entry'!$É$766), "", 'Data Entry'!$É$766)</f>
      </c>
      <c r="EH766">
        <f>IF(ISBLANK('Data Entry'!$Ê$766), "", 'Data Entry'!$Ê$766)</f>
      </c>
      <c r="EI766">
        <f>IF(ISBLANK('Data Entry'!$Ë$766), "", 'Data Entry'!$Ë$766)</f>
      </c>
      <c r="EJ766">
        <f>IF(ISBLANK('Data Entry'!$Ì$766), "", 'Data Entry'!$Ì$766)</f>
      </c>
      <c r="EK766">
        <f>IF(ISBLANK('Data Entry'!$Í$766), "", 'Data Entry'!$Í$766)</f>
      </c>
      <c r="EL766">
        <f>IF(ISBLANK('Data Entry'!$Î$766), "", 'Data Entry'!$Î$766)</f>
      </c>
      <c r="EM766">
        <f>IF(ISBLANK('Data Entry'!$Ï$766), "", 'Data Entry'!$Ï$766)</f>
      </c>
      <c r="EN766">
        <f>IF(ISBLANK('Data Entry'!$Ð$766), "", 'Data Entry'!$Ð$766)</f>
      </c>
      <c r="EO766">
        <f>IF(ISBLANK('Data Entry'!$Ñ$766), "", 'Data Entry'!$Ñ$766)</f>
      </c>
      <c r="EP766">
        <f>IF(ISBLANK('Data Entry'!$Ò$766), "", 'Data Entry'!$Ò$766)</f>
      </c>
      <c r="EQ766">
        <f>IF(ISBLANK('Data Entry'!$Ó$766), "", 'Data Entry'!$Ó$766)</f>
      </c>
      <c r="ER766">
        <f>IF(ISBLANK('Data Entry'!$Ô$766), "", 'Data Entry'!$Ô$766)</f>
      </c>
      <c r="ES766">
        <f>IF(ISBLANK('Data Entry'!$Õ$766), "", 'Data Entry'!$Õ$766)</f>
      </c>
      <c r="ET766">
        <f>IF(ISBLANK('Data Entry'!$Ö$766), "", 'Data Entry'!$Ö$766)</f>
      </c>
      <c r="EU766">
        <f>IF(ISBLANK('Data Entry'!$×$766), "", 'Data Entry'!$×$766)</f>
      </c>
      <c r="EV766">
        <f>IF(ISBLANK('Data Entry'!$Ø$766), "", 'Data Entry'!$Ø$766)</f>
      </c>
      <c r="EW766">
        <f>IF(ISBLANK('Data Entry'!$Ù$766), "", 'Data Entry'!$Ù$766)</f>
      </c>
      <c r="EX766">
        <f>IF(ISBLANK('Data Entry'!$Ú$766), "", 'Data Entry'!$Ú$766)</f>
      </c>
      <c r="EY766">
        <f>IF(ISBLANK('Data Entry'!$Û$766), "", 'Data Entry'!$Û$766)</f>
      </c>
      <c r="EZ766">
        <f>IF(ISBLANK('Data Entry'!$Ü$766), "", 'Data Entry'!$Ü$766)</f>
      </c>
      <c r="FA766">
        <f>IF(ISBLANK('Data Entry'!$Ý$766), "", 'Data Entry'!$Ý$766)</f>
      </c>
      <c r="FB766">
        <f>IF(ISBLANK('Data Entry'!$Þ$766), "", 'Data Entry'!$Þ$766)</f>
      </c>
      <c r="FC766">
        <f>IF(ISBLANK('Data Entry'!$ß$766), "", 'Data Entry'!$ß$766)</f>
      </c>
      <c r="FD766">
        <f>IF(ISBLANK('Data Entry'!$à$766), "", 'Data Entry'!$à$766)</f>
      </c>
      <c r="FE766">
        <f>IF(ISBLANK('Data Entry'!$á$766), "", 'Data Entry'!$á$766)</f>
      </c>
      <c r="FF766">
        <f>IF(ISBLANK('Data Entry'!$â$766), "", 'Data Entry'!$â$766)</f>
      </c>
      <c r="FG766">
        <f>IF(ISBLANK('Data Entry'!$ã$766), "", 'Data Entry'!$ã$766)</f>
      </c>
      <c r="FH766">
        <f>IF(ISBLANK('Data Entry'!$ä$766), "", 'Data Entry'!$ä$766)</f>
      </c>
      <c r="FI766">
        <f>IF(ISBLANK('Data Entry'!$å$766), "", 'Data Entry'!$å$766)</f>
      </c>
      <c r="FJ766">
        <f>IF(ISBLANK('Data Entry'!$æ$766), "", 'Data Entry'!$æ$766)</f>
      </c>
      <c r="FK766">
        <f>IF(ISBLANK('Data Entry'!$ç$766), "", 'Data Entry'!$ç$766)</f>
      </c>
      <c r="FL766">
        <f>IF(ISBLANK('Data Entry'!$è$766), "", 'Data Entry'!$è$766)</f>
      </c>
      <c r="FM766">
        <f>IF(ISBLANK('Data Entry'!$é$766), "", 'Data Entry'!$é$766)</f>
      </c>
      <c r="FN766">
        <f>IF(ISBLANK('Data Entry'!$ê$766), "", 'Data Entry'!$ê$766)</f>
      </c>
      <c r="FO766">
        <f>IF(ISBLANK('Data Entry'!$ë$766), "", 'Data Entry'!$ë$766)</f>
      </c>
      <c r="FP766">
        <f>IF(ISBLANK('Data Entry'!$ì$766), "", 'Data Entry'!$ì$766)</f>
      </c>
      <c r="FQ766">
        <f>IF(ISBLANK('Data Entry'!$í$766), "", 'Data Entry'!$í$766)</f>
      </c>
      <c r="FR766">
        <f>IF(ISBLANK('Data Entry'!$î$766), "", 'Data Entry'!$î$766)</f>
      </c>
      <c r="FS766">
        <f>IF(ISBLANK('Data Entry'!$ï$766), "", 'Data Entry'!$ï$766)</f>
      </c>
      <c r="FT766">
        <f>IF(ISBLANK('Data Entry'!$ð$766), "", 'Data Entry'!$ð$766)</f>
      </c>
      <c r="FU766">
        <f>IF(ISBLANK('Data Entry'!$ñ$766), "", 'Data Entry'!$ñ$766)</f>
      </c>
      <c r="FV766">
        <f>IF(ISBLANK('Data Entry'!$ò$766), "", 'Data Entry'!$ò$766)</f>
      </c>
      <c r="FW766">
        <f>IF(ISBLANK('Data Entry'!$ó$766), "", 'Data Entry'!$ó$766)</f>
      </c>
      <c r="FX766">
        <f>IF(ISBLANK('Data Entry'!$ô$766), "", 'Data Entry'!$ô$766)</f>
      </c>
      <c r="FY766">
        <f>IF(ISBLANK('Data Entry'!$õ$766), "", 'Data Entry'!$õ$766)</f>
      </c>
      <c r="FZ766">
        <f>IF(ISBLANK('Data Entry'!$ö$766), "", 'Data Entry'!$ö$766)</f>
      </c>
      <c r="GA766">
        <f>IF(ISBLANK('Data Entry'!$÷$766), "", 'Data Entry'!$÷$766)</f>
      </c>
      <c r="GB766">
        <f>IF(ISBLANK('Data Entry'!$ø$766), "", 'Data Entry'!$ø$766)</f>
      </c>
      <c r="GC766">
        <f>IF(ISBLANK('Data Entry'!$ù$766), "", 'Data Entry'!$ù$766)</f>
      </c>
      <c r="GD766">
        <f>IF(ISBLANK('Data Entry'!$ú$766), "", 'Data Entry'!$ú$766)</f>
      </c>
      <c r="GE766">
        <f>IF(ISBLANK('Data Entry'!$û$766), "", 'Data Entry'!$û$766)</f>
      </c>
      <c r="GF766">
        <f>IF(ISBLANK('Data Entry'!$ü$766), "", 'Data Entry'!$ü$766)</f>
      </c>
      <c r="GG766">
        <f>IF(ISBLANK('Data Entry'!$ý$766), "", 'Data Entry'!$ý$766)</f>
      </c>
      <c r="GH766">
        <f>IF(ISBLANK('Data Entry'!$þ$766), "", 'Data Entry'!$þ$766)</f>
      </c>
      <c r="GI766">
        <f>IF(ISBLANK('Data Entry'!$ÿ$766), "", 'Data Entry'!$ÿ$766)</f>
      </c>
      <c r="GJ766">
        <f>IF(ISBLANK('Data Entry'!$Ā$766), "", 'Data Entry'!$Ā$766)</f>
      </c>
      <c r="GK766">
        <f>IF(ISBLANK('Data Entry'!$ā$766), "", 'Data Entry'!$ā$766)</f>
      </c>
      <c r="GL766">
        <f>IF(ISBLANK('Data Entry'!$Ă$766), "", 'Data Entry'!$Ă$766)</f>
      </c>
      <c r="GM766">
        <f>IF(ISBLANK('Data Entry'!$ă$766), "", 'Data Entry'!$ă$766)</f>
      </c>
      <c r="GN766">
        <f>IF(ISBLANK('Data Entry'!$Ą$766), "", 'Data Entry'!$Ą$766)</f>
      </c>
      <c r="GO766">
        <f>IF(ISBLANK('Data Entry'!$ą$766), "", 'Data Entry'!$ą$766)</f>
      </c>
      <c r="GP766">
        <f>IF(ISBLANK('Data Entry'!$Ć$766), "", 'Data Entry'!$Ć$766)</f>
      </c>
      <c r="GQ766">
        <f>IF(ISBLANK('Data Entry'!$ć$766), "", 'Data Entry'!$ć$766)</f>
      </c>
      <c r="GR766">
        <f>IF(ISBLANK('Data Entry'!$Ĉ$766), "", 'Data Entry'!$Ĉ$766)</f>
      </c>
      <c r="GS766">
        <f>IF(ISBLANK('Data Entry'!$ĉ$766), "", 'Data Entry'!$ĉ$766)</f>
      </c>
      <c r="GT766">
        <f>IF(ISBLANK('Data Entry'!$Ċ$766), "", 'Data Entry'!$Ċ$766)</f>
      </c>
      <c r="GU766">
        <f>IF(ISBLANK('Data Entry'!$ċ$766), "", 'Data Entry'!$ċ$766)</f>
      </c>
      <c r="GV766">
        <f>IF(ISBLANK('Data Entry'!$Č$766), "", 'Data Entry'!$Č$766)</f>
      </c>
      <c r="GW766">
        <f>IF(ISBLANK('Data Entry'!$č$766), "", 'Data Entry'!$č$766)</f>
      </c>
      <c r="GX766">
        <f>IF(ISBLANK('Data Entry'!$Ď$766), "", 'Data Entry'!$Ď$766)</f>
      </c>
      <c r="GY766">
        <f>IF(ISBLANK('Data Entry'!$ď$766), "", 'Data Entry'!$ď$766)</f>
      </c>
      <c r="GZ766">
        <f>IF(ISBLANK('Data Entry'!$Đ$766), "", 'Data Entry'!$Đ$766)</f>
      </c>
      <c r="HA766">
        <f>IF(ISBLANK('Data Entry'!$đ$766), "", 'Data Entry'!$đ$766)</f>
      </c>
      <c r="HB766">
        <f>IF(ISBLANK('Data Entry'!$Ē$766), "", 'Data Entry'!$Ē$766)</f>
      </c>
      <c r="HC766">
        <f>IF(ISBLANK('Data Entry'!$ē$766), "", 'Data Entry'!$ē$766)</f>
      </c>
      <c r="HD766">
        <f>IF(ISBLANK('Data Entry'!$Ĕ$766), "", 'Data Entry'!$Ĕ$766)</f>
      </c>
      <c r="HE766">
        <f>IF(ISBLANK('Data Entry'!$ĕ$766), "", 'Data Entry'!$ĕ$766)</f>
      </c>
      <c r="HF766">
        <f>IF(ISBLANK('Data Entry'!$Ė$766), "", 'Data Entry'!$Ė$766)</f>
      </c>
      <c r="HG766">
        <f>IF(ISBLANK('Data Entry'!$ė$766), "", 'Data Entry'!$ė$766)</f>
      </c>
      <c r="HH766">
        <f>IF(ISBLANK('Data Entry'!$Ę$766), "", 'Data Entry'!$Ę$766)</f>
      </c>
      <c r="HI766">
        <f>IF(ISBLANK('Data Entry'!$ę$766), "", 'Data Entry'!$ę$766)</f>
      </c>
      <c r="HJ766">
        <f>IF(ISBLANK('Data Entry'!$Ě$766), "", 'Data Entry'!$Ě$766)</f>
      </c>
      <c r="HK766">
        <f>IF(ISBLANK('Data Entry'!$ě$766), "", 'Data Entry'!$ě$766)</f>
      </c>
      <c r="HL766">
        <f>IF(ISBLANK('Data Entry'!$Ĝ$766), "", 'Data Entry'!$Ĝ$766)</f>
      </c>
      <c r="HM766">
        <f>IF(ISBLANK('Data Entry'!$ĝ$766), "", 'Data Entry'!$ĝ$766)</f>
      </c>
      <c r="HN766">
        <f>IF(ISBLANK('Data Entry'!$Ğ$766), "", 'Data Entry'!$Ğ$766)</f>
      </c>
      <c r="HO766">
        <f>IF(ISBLANK('Data Entry'!$ğ$766), "", 'Data Entry'!$ğ$766)</f>
      </c>
      <c r="HP766">
        <f>IF(ISBLANK('Data Entry'!$Ġ$766), "", 'Data Entry'!$Ġ$766)</f>
      </c>
      <c r="HQ766">
        <f>IF(ISBLANK('Data Entry'!$ġ$766), "", 'Data Entry'!$ġ$766)</f>
      </c>
      <c r="HR766">
        <f>IF(ISBLANK('Data Entry'!$Ģ$766), "", 'Data Entry'!$Ģ$766)</f>
      </c>
      <c r="HS766">
        <f>IF(ISBLANK('Data Entry'!$ģ$766), "", 'Data Entry'!$ģ$766)</f>
      </c>
      <c r="HT766">
        <f>IF(ISBLANK('Data Entry'!$Ĥ$766), "", 'Data Entry'!$Ĥ$766)</f>
      </c>
      <c r="HU766">
        <f>IF(ISBLANK('Data Entry'!$ĥ$766), "", 'Data Entry'!$ĥ$766)</f>
      </c>
      <c r="HV766">
        <f>IF(ISBLANK('Data Entry'!$Ħ$766), "", 'Data Entry'!$Ħ$766)</f>
      </c>
      <c r="HW766">
        <f>IF(ISBLANK('Data Entry'!$ħ$766), "", 'Data Entry'!$ħ$766)</f>
      </c>
      <c r="HX766">
        <f>IF(ISBLANK('Data Entry'!$Ĩ$766), "", 'Data Entry'!$Ĩ$766)</f>
      </c>
      <c r="HY766">
        <f>IF(ISBLANK('Data Entry'!$ĩ$766), "", 'Data Entry'!$ĩ$766)</f>
      </c>
      <c r="HZ766">
        <f>IF(ISBLANK('Data Entry'!$Ī$766), "", 'Data Entry'!$Ī$766)</f>
      </c>
      <c r="IA766">
        <f>IF(ISBLANK('Data Entry'!$ī$766), "", 'Data Entry'!$ī$766)</f>
      </c>
      <c r="IB766">
        <f>IF(ISBLANK('Data Entry'!$Ĭ$766), "", 'Data Entry'!$Ĭ$766)</f>
      </c>
      <c r="IC766">
        <f>IF(ISBLANK('Data Entry'!$ĭ$766), "", 'Data Entry'!$ĭ$766)</f>
      </c>
      <c r="ID766">
        <f>IF(ISBLANK('Data Entry'!$Į$766), "", 'Data Entry'!$Į$766)</f>
      </c>
      <c r="IE766">
        <f>IF(ISBLANK('Data Entry'!$į$766), "", 'Data Entry'!$į$766)</f>
      </c>
      <c r="IF766">
        <f>IF(ISBLANK('Data Entry'!$İ$766), "", 'Data Entry'!$İ$766)</f>
      </c>
      <c r="IG766">
        <f>IF(ISBLANK('Data Entry'!$ı$766), "", 'Data Entry'!$ı$766)</f>
      </c>
      <c r="IH766">
        <f>IF(ISBLANK('Data Entry'!$Ĳ$766), "", 'Data Entry'!$Ĳ$766)</f>
      </c>
      <c r="II766">
        <f>IF(ISBLANK('Data Entry'!$ĳ$766), "", 'Data Entry'!$ĳ$766)</f>
      </c>
      <c r="IJ766">
        <f>IF(ISBLANK('Data Entry'!$Ĵ$766), "", 'Data Entry'!$Ĵ$766)</f>
      </c>
      <c r="IK766">
        <f>IF(ISBLANK('Data Entry'!$ĵ$766), "", 'Data Entry'!$ĵ$766)</f>
      </c>
      <c r="IL766">
        <f>IF(ISBLANK('Data Entry'!$Ķ$766), "", 'Data Entry'!$Ķ$766)</f>
      </c>
      <c r="IM766">
        <f>IF(ISBLANK('Data Entry'!$ķ$766), "", 'Data Entry'!$ķ$766)</f>
      </c>
      <c r="IN766">
        <f>IF(ISBLANK('Data Entry'!$ĸ$766), "", 'Data Entry'!$ĸ$766)</f>
      </c>
      <c r="IO766">
        <f>IF(ISBLANK('Data Entry'!$Ĺ$766), "", 'Data Entry'!$Ĺ$766)</f>
      </c>
      <c r="IP766">
        <f>IF(ISBLANK('Data Entry'!$ĺ$766), "", 'Data Entry'!$ĺ$766)</f>
      </c>
      <c r="IQ766">
        <f>IF(ISBLANK('Data Entry'!$Ļ$766), "", 'Data Entry'!$Ļ$766)</f>
      </c>
      <c r="IR766">
        <f>IF(ISBLANK('Data Entry'!$ļ$766), "", 'Data Entry'!$ļ$766)</f>
      </c>
      <c r="IS766">
        <f>IF(ISBLANK('Data Entry'!$Ľ$766), "", 'Data Entry'!$Ľ$766)</f>
      </c>
      <c r="IT766">
        <f>IF(ISBLANK('Data Entry'!$ľ$766), "", 'Data Entry'!$ľ$766)</f>
      </c>
    </row>
    <row r="767" spans="1:254" x14ac:dyDescent="0.25">
      <c r="A767">
        <f>IF(ISBLANK('Data Entry'!$A$767), "", 'Data Entry'!$A$767)</f>
      </c>
      <c r="B767">
        <f>IF(ISBLANK('Data Entry'!$B$767), "", 'Data Entry'!$B$767)</f>
      </c>
      <c r="C767">
        <f>IF(ISBLANK('Data Entry'!$C$767), "", 'Data Entry'!$C$767)</f>
      </c>
      <c r="D767">
        <f>IF(ISBLANK('Data Entry'!$D$767), "", 'Data Entry'!$D$767)</f>
      </c>
      <c r="E767">
        <f>IF(ISBLANK('Data Entry'!$E$767), "", 'Data Entry'!$E$767)</f>
      </c>
      <c r="F767">
        <f>IF(ISBLANK('Data Entry'!$F$767), "", 'Data Entry'!$F$767)</f>
      </c>
      <c r="G767">
        <f>IF(ISBLANK('Data Entry'!$G$767), "", 'Data Entry'!$G$767)</f>
      </c>
      <c r="H767">
        <f>IF(ISBLANK('Data Entry'!$H$767), "", 'Data Entry'!$H$767)</f>
      </c>
      <c r="I767">
        <f>IF(ISBLANK('Data Entry'!$I$767), "", 'Data Entry'!$I$767)</f>
      </c>
      <c r="J767">
        <f>IF(ISBLANK('Data Entry'!$J$767), "", 'Data Entry'!$J$767)</f>
      </c>
      <c r="K767">
        <f>IF(ISBLANK('Data Entry'!$K$767), "", 'Data Entry'!$K$767)</f>
      </c>
      <c r="L767">
        <f>IF(ISBLANK('Data Entry'!$L$767), "", 'Data Entry'!$L$767)</f>
      </c>
      <c r="M767">
        <f>IF(ISBLANK('Data Entry'!$M$767), "", 'Data Entry'!$M$767)</f>
      </c>
      <c r="N767">
        <f>IF(ISBLANK('Data Entry'!$N$767), "", 'Data Entry'!$N$767)</f>
      </c>
      <c r="O767">
        <f>IF(ISBLANK('Data Entry'!$O$767), "", 'Data Entry'!$O$767)</f>
      </c>
      <c r="P767">
        <f>IF(ISBLANK('Data Entry'!$P$767), "", 'Data Entry'!$P$767)</f>
      </c>
      <c r="Q767">
        <f>IF(ISBLANK('Data Entry'!$Q$767), "", 'Data Entry'!$Q$767)</f>
      </c>
      <c r="R767">
        <f>IF(ISBLANK('Data Entry'!$R$767), "", 'Data Entry'!$R$767)</f>
      </c>
      <c r="S767">
        <f>IF(ISBLANK('Data Entry'!$S$767), "", 'Data Entry'!$S$767)</f>
      </c>
      <c r="T767">
        <f>IF(ISBLANK('Data Entry'!$T$767), "", 'Data Entry'!$T$767)</f>
      </c>
      <c r="U767">
        <f>IF(ISBLANK('Data Entry'!$U$767), "", 'Data Entry'!$U$767)</f>
      </c>
      <c r="V767">
        <f>IF(ISBLANK('Data Entry'!$V$767), "", 'Data Entry'!$V$767)</f>
      </c>
      <c r="W767">
        <f>IF(ISBLANK('Data Entry'!$W$767), "", 'Data Entry'!$W$767)</f>
      </c>
      <c r="X767">
        <f>IF(ISBLANK('Data Entry'!$X$767), "", 'Data Entry'!$X$767)</f>
      </c>
      <c r="Y767">
        <f>IF(ISBLANK('Data Entry'!$Y$767), "", 'Data Entry'!$Y$767)</f>
      </c>
      <c r="Z767">
        <f>IF(ISBLANK('Data Entry'!$Z$767), "", 'Data Entry'!$Z$767)</f>
      </c>
      <c r="AA767">
        <f>IF(ISBLANK('Data Entry'!$[$767), "", 'Data Entry'!$[$767)</f>
      </c>
      <c r="AB767">
        <f>IF(ISBLANK('Data Entry'!$\$767), "", 'Data Entry'!$\$767)</f>
      </c>
      <c r="AC767">
        <f>IF(ISBLANK('Data Entry'!$]$767), "", 'Data Entry'!$]$767)</f>
      </c>
      <c r="AD767">
        <f>IF(ISBLANK('Data Entry'!$^$767), "", 'Data Entry'!$^$767)</f>
      </c>
      <c r="AE767">
        <f>IF(ISBLANK('Data Entry'!$_$767), "", 'Data Entry'!$_$767)</f>
      </c>
      <c r="AF767">
        <f>IF(ISBLANK('Data Entry'!$`$767), "", 'Data Entry'!$`$767)</f>
      </c>
      <c r="AG767">
        <f>IF(ISBLANK('Data Entry'!$a$767), "", 'Data Entry'!$a$767)</f>
      </c>
      <c r="AH767">
        <f>IF(ISBLANK('Data Entry'!$b$767), "", 'Data Entry'!$b$767)</f>
      </c>
      <c r="AI767">
        <f>IF(ISBLANK('Data Entry'!$c$767), "", 'Data Entry'!$c$767)</f>
      </c>
      <c r="AJ767">
        <f>IF(ISBLANK('Data Entry'!$d$767), "", 'Data Entry'!$d$767)</f>
      </c>
      <c r="AK767">
        <f>IF(ISBLANK('Data Entry'!$e$767), "", 'Data Entry'!$e$767)</f>
      </c>
      <c r="AL767">
        <f>IF(ISBLANK('Data Entry'!$f$767), "", 'Data Entry'!$f$767)</f>
      </c>
      <c r="AM767">
        <f>IF(ISBLANK('Data Entry'!$g$767), "", 'Data Entry'!$g$767)</f>
      </c>
      <c r="AN767">
        <f>IF(ISBLANK('Data Entry'!$h$767), "", 'Data Entry'!$h$767)</f>
      </c>
      <c r="AO767">
        <f>IF(ISBLANK('Data Entry'!$i$767), "", 'Data Entry'!$i$767)</f>
      </c>
      <c r="AP767">
        <f>IF(ISBLANK('Data Entry'!$j$767), "", 'Data Entry'!$j$767)</f>
      </c>
      <c r="AQ767">
        <f>IF(ISBLANK('Data Entry'!$k$767), "", 'Data Entry'!$k$767)</f>
      </c>
      <c r="AR767">
        <f>IF(ISBLANK('Data Entry'!$l$767), "", 'Data Entry'!$l$767)</f>
      </c>
      <c r="AS767">
        <f>IF(ISBLANK('Data Entry'!$m$767), "", 'Data Entry'!$m$767)</f>
      </c>
      <c r="AT767">
        <f>IF(ISBLANK('Data Entry'!$n$767), "", 'Data Entry'!$n$767)</f>
      </c>
      <c r="AU767">
        <f>IF(ISBLANK('Data Entry'!$o$767), "", 'Data Entry'!$o$767)</f>
      </c>
      <c r="AV767">
        <f>IF(ISBLANK('Data Entry'!$p$767), "", 'Data Entry'!$p$767)</f>
      </c>
      <c r="AW767">
        <f>IF(ISBLANK('Data Entry'!$q$767), "", 'Data Entry'!$q$767)</f>
      </c>
      <c r="AX767">
        <f>IF(ISBLANK('Data Entry'!$r$767), "", 'Data Entry'!$r$767)</f>
      </c>
      <c r="AY767">
        <f>IF(ISBLANK('Data Entry'!$s$767), "", 'Data Entry'!$s$767)</f>
      </c>
      <c r="AZ767">
        <f>IF(ISBLANK('Data Entry'!$t$767), "", 'Data Entry'!$t$767)</f>
      </c>
      <c r="BA767">
        <f>IF(ISBLANK('Data Entry'!$u$767), "", 'Data Entry'!$u$767)</f>
      </c>
      <c r="BB767">
        <f>IF(ISBLANK('Data Entry'!$v$767), "", 'Data Entry'!$v$767)</f>
      </c>
      <c r="BC767">
        <f>IF(ISBLANK('Data Entry'!$w$767), "", 'Data Entry'!$w$767)</f>
      </c>
      <c r="BD767">
        <f>IF(ISBLANK('Data Entry'!$x$767), "", 'Data Entry'!$x$767)</f>
      </c>
      <c r="BE767">
        <f>IF(ISBLANK('Data Entry'!$y$767), "", 'Data Entry'!$y$767)</f>
      </c>
      <c r="BF767">
        <f>IF(ISBLANK('Data Entry'!$z$767), "", 'Data Entry'!$z$767)</f>
      </c>
      <c r="BG767">
        <f>IF(ISBLANK('Data Entry'!${$767), "", 'Data Entry'!${$767)</f>
      </c>
      <c r="BH767">
        <f>IF(ISBLANK('Data Entry'!$|$767), "", 'Data Entry'!$|$767)</f>
      </c>
      <c r="BI767">
        <f>IF(ISBLANK('Data Entry'!$}$767), "", 'Data Entry'!$}$767)</f>
      </c>
      <c r="BJ767">
        <f>IF(ISBLANK('Data Entry'!$~$767), "", 'Data Entry'!$~$767)</f>
      </c>
      <c r="BK767">
        <f>IF(ISBLANK('Data Entry'!$$767), "", 'Data Entry'!$$767)</f>
      </c>
      <c r="BL767">
        <f>IF(ISBLANK('Data Entry'!$$767), "", 'Data Entry'!$$767)</f>
      </c>
      <c r="BM767">
        <f>IF(ISBLANK('Data Entry'!$$767), "", 'Data Entry'!$$767)</f>
      </c>
      <c r="BN767">
        <f>IF(ISBLANK('Data Entry'!$$767), "", 'Data Entry'!$$767)</f>
      </c>
      <c r="BO767">
        <f>IF(ISBLANK('Data Entry'!$$767), "", 'Data Entry'!$$767)</f>
      </c>
      <c r="BP767">
        <f>IF(ISBLANK('Data Entry'!$$767), "", 'Data Entry'!$$767)</f>
      </c>
      <c r="BQ767">
        <f>IF(ISBLANK('Data Entry'!$$767), "", 'Data Entry'!$$767)</f>
      </c>
      <c r="BR767">
        <f>IF(ISBLANK('Data Entry'!$$767), "", 'Data Entry'!$$767)</f>
      </c>
      <c r="BS767">
        <f>IF(ISBLANK('Data Entry'!$$767), "", 'Data Entry'!$$767)</f>
      </c>
      <c r="BT767">
        <f>IF(ISBLANK('Data Entry'!$$767), "", 'Data Entry'!$$767)</f>
      </c>
      <c r="BU767">
        <f>IF(ISBLANK('Data Entry'!$$767), "", 'Data Entry'!$$767)</f>
      </c>
      <c r="BV767">
        <f>IF(ISBLANK('Data Entry'!$$767), "", 'Data Entry'!$$767)</f>
      </c>
      <c r="BW767">
        <f>IF(ISBLANK('Data Entry'!$$767), "", 'Data Entry'!$$767)</f>
      </c>
      <c r="BX767">
        <f>IF(ISBLANK('Data Entry'!$$767), "", 'Data Entry'!$$767)</f>
      </c>
      <c r="BY767">
        <f>IF(ISBLANK('Data Entry'!$$767), "", 'Data Entry'!$$767)</f>
      </c>
      <c r="BZ767">
        <f>IF(ISBLANK('Data Entry'!$$767), "", 'Data Entry'!$$767)</f>
      </c>
      <c r="CA767">
        <f>IF(ISBLANK('Data Entry'!$$767), "", 'Data Entry'!$$767)</f>
      </c>
      <c r="CB767">
        <f>IF(ISBLANK('Data Entry'!$$767), "", 'Data Entry'!$$767)</f>
      </c>
      <c r="CC767">
        <f>IF(ISBLANK('Data Entry'!$$767), "", 'Data Entry'!$$767)</f>
      </c>
      <c r="CD767">
        <f>IF(ISBLANK('Data Entry'!$$767), "", 'Data Entry'!$$767)</f>
      </c>
      <c r="CE767">
        <f>IF(ISBLANK('Data Entry'!$$767), "", 'Data Entry'!$$767)</f>
      </c>
      <c r="CF767">
        <f>IF(ISBLANK('Data Entry'!$$767), "", 'Data Entry'!$$767)</f>
      </c>
      <c r="CG767">
        <f>IF(ISBLANK('Data Entry'!$$767), "", 'Data Entry'!$$767)</f>
      </c>
      <c r="CH767">
        <f>IF(ISBLANK('Data Entry'!$$767), "", 'Data Entry'!$$767)</f>
      </c>
      <c r="CI767">
        <f>IF(ISBLANK('Data Entry'!$$767), "", 'Data Entry'!$$767)</f>
      </c>
      <c r="CJ767">
        <f>IF(ISBLANK('Data Entry'!$$767), "", 'Data Entry'!$$767)</f>
      </c>
      <c r="CK767">
        <f>IF(ISBLANK('Data Entry'!$$767), "", 'Data Entry'!$$767)</f>
      </c>
      <c r="CL767">
        <f>IF(ISBLANK('Data Entry'!$$767), "", 'Data Entry'!$$767)</f>
      </c>
      <c r="CM767">
        <f>IF(ISBLANK('Data Entry'!$$767), "", 'Data Entry'!$$767)</f>
      </c>
      <c r="CN767">
        <f>IF(ISBLANK('Data Entry'!$$767), "", 'Data Entry'!$$767)</f>
      </c>
      <c r="CO767">
        <f>IF(ISBLANK('Data Entry'!$$767), "", 'Data Entry'!$$767)</f>
      </c>
      <c r="CP767">
        <f>IF(ISBLANK('Data Entry'!$$767), "", 'Data Entry'!$$767)</f>
      </c>
      <c r="CQ767">
        <f>IF(ISBLANK('Data Entry'!$$767), "", 'Data Entry'!$$767)</f>
      </c>
      <c r="CR767">
        <f>IF(ISBLANK('Data Entry'!$ $767), "", 'Data Entry'!$ $767)</f>
      </c>
      <c r="CS767">
        <f>IF(ISBLANK('Data Entry'!$¡$767), "", 'Data Entry'!$¡$767)</f>
      </c>
      <c r="CT767">
        <f>IF(ISBLANK('Data Entry'!$¢$767), "", 'Data Entry'!$¢$767)</f>
      </c>
      <c r="CU767">
        <f>IF(ISBLANK('Data Entry'!$£$767), "", 'Data Entry'!$£$767)</f>
      </c>
      <c r="CV767">
        <f>IF(ISBLANK('Data Entry'!$¤$767), "", 'Data Entry'!$¤$767)</f>
      </c>
      <c r="CW767">
        <f>IF(ISBLANK('Data Entry'!$¥$767), "", 'Data Entry'!$¥$767)</f>
      </c>
      <c r="CX767">
        <f>IF(ISBLANK('Data Entry'!$¦$767), "", 'Data Entry'!$¦$767)</f>
      </c>
      <c r="CY767">
        <f>IF(ISBLANK('Data Entry'!$§$767), "", 'Data Entry'!$§$767)</f>
      </c>
      <c r="CZ767">
        <f>IF(ISBLANK('Data Entry'!$¨$767), "", 'Data Entry'!$¨$767)</f>
      </c>
      <c r="DA767">
        <f>IF(ISBLANK('Data Entry'!$©$767), "", 'Data Entry'!$©$767)</f>
      </c>
      <c r="DB767">
        <f>IF(ISBLANK('Data Entry'!$ª$767), "", 'Data Entry'!$ª$767)</f>
      </c>
      <c r="DC767">
        <f>IF(ISBLANK('Data Entry'!$«$767), "", 'Data Entry'!$«$767)</f>
      </c>
      <c r="DD767">
        <f>IF(ISBLANK('Data Entry'!$¬$767), "", 'Data Entry'!$¬$767)</f>
      </c>
      <c r="DE767">
        <f>IF(ISBLANK('Data Entry'!$­$767), "", 'Data Entry'!$­$767)</f>
      </c>
      <c r="DF767">
        <f>IF(ISBLANK('Data Entry'!$®$767), "", 'Data Entry'!$®$767)</f>
      </c>
      <c r="DG767">
        <f>IF(ISBLANK('Data Entry'!$¯$767), "", 'Data Entry'!$¯$767)</f>
      </c>
      <c r="DH767">
        <f>IF(ISBLANK('Data Entry'!$°$767), "", 'Data Entry'!$°$767)</f>
      </c>
      <c r="DI767">
        <f>IF(ISBLANK('Data Entry'!$±$767), "", 'Data Entry'!$±$767)</f>
      </c>
      <c r="DJ767">
        <f>IF(ISBLANK('Data Entry'!$²$767), "", 'Data Entry'!$²$767)</f>
      </c>
      <c r="DK767">
        <f>IF(ISBLANK('Data Entry'!$³$767), "", 'Data Entry'!$³$767)</f>
      </c>
      <c r="DL767">
        <f>IF(ISBLANK('Data Entry'!$´$767), "", 'Data Entry'!$´$767)</f>
      </c>
      <c r="DM767">
        <f>IF(ISBLANK('Data Entry'!$µ$767), "", 'Data Entry'!$µ$767)</f>
      </c>
      <c r="DN767">
        <f>IF(ISBLANK('Data Entry'!$¶$767), "", 'Data Entry'!$¶$767)</f>
      </c>
      <c r="DO767">
        <f>IF(ISBLANK('Data Entry'!$·$767), "", 'Data Entry'!$·$767)</f>
      </c>
      <c r="DP767">
        <f>IF(ISBLANK('Data Entry'!$¸$767), "", 'Data Entry'!$¸$767)</f>
      </c>
      <c r="DQ767">
        <f>IF(ISBLANK('Data Entry'!$¹$767), "", 'Data Entry'!$¹$767)</f>
      </c>
      <c r="DR767">
        <f>IF(ISBLANK('Data Entry'!$º$767), "", 'Data Entry'!$º$767)</f>
      </c>
      <c r="DS767">
        <f>IF(ISBLANK('Data Entry'!$»$767), "", 'Data Entry'!$»$767)</f>
      </c>
      <c r="DT767">
        <f>IF(ISBLANK('Data Entry'!$¼$767), "", 'Data Entry'!$¼$767)</f>
      </c>
      <c r="DU767">
        <f>IF(ISBLANK('Data Entry'!$½$767), "", 'Data Entry'!$½$767)</f>
      </c>
      <c r="DV767">
        <f>IF(ISBLANK('Data Entry'!$¾$767), "", 'Data Entry'!$¾$767)</f>
      </c>
      <c r="DW767">
        <f>IF(ISBLANK('Data Entry'!$¿$767), "", 'Data Entry'!$¿$767)</f>
      </c>
      <c r="DX767">
        <f>IF(ISBLANK('Data Entry'!$À$767), "", 'Data Entry'!$À$767)</f>
      </c>
      <c r="DY767">
        <f>IF(ISBLANK('Data Entry'!$Á$767), "", 'Data Entry'!$Á$767)</f>
      </c>
      <c r="DZ767">
        <f>IF(ISBLANK('Data Entry'!$Â$767), "", 'Data Entry'!$Â$767)</f>
      </c>
      <c r="EA767">
        <f>IF(ISBLANK('Data Entry'!$Ã$767), "", 'Data Entry'!$Ã$767)</f>
      </c>
      <c r="EB767">
        <f>IF(ISBLANK('Data Entry'!$Ä$767), "", 'Data Entry'!$Ä$767)</f>
      </c>
      <c r="EC767">
        <f>IF(ISBLANK('Data Entry'!$Å$767), "", 'Data Entry'!$Å$767)</f>
      </c>
      <c r="ED767">
        <f>IF(ISBLANK('Data Entry'!$Æ$767), "", 'Data Entry'!$Æ$767)</f>
      </c>
      <c r="EE767">
        <f>IF(ISBLANK('Data Entry'!$Ç$767), "", 'Data Entry'!$Ç$767)</f>
      </c>
      <c r="EF767">
        <f>IF(ISBLANK('Data Entry'!$È$767), "", 'Data Entry'!$È$767)</f>
      </c>
      <c r="EG767">
        <f>IF(ISBLANK('Data Entry'!$É$767), "", 'Data Entry'!$É$767)</f>
      </c>
      <c r="EH767">
        <f>IF(ISBLANK('Data Entry'!$Ê$767), "", 'Data Entry'!$Ê$767)</f>
      </c>
      <c r="EI767">
        <f>IF(ISBLANK('Data Entry'!$Ë$767), "", 'Data Entry'!$Ë$767)</f>
      </c>
      <c r="EJ767">
        <f>IF(ISBLANK('Data Entry'!$Ì$767), "", 'Data Entry'!$Ì$767)</f>
      </c>
      <c r="EK767">
        <f>IF(ISBLANK('Data Entry'!$Í$767), "", 'Data Entry'!$Í$767)</f>
      </c>
      <c r="EL767">
        <f>IF(ISBLANK('Data Entry'!$Î$767), "", 'Data Entry'!$Î$767)</f>
      </c>
      <c r="EM767">
        <f>IF(ISBLANK('Data Entry'!$Ï$767), "", 'Data Entry'!$Ï$767)</f>
      </c>
      <c r="EN767">
        <f>IF(ISBLANK('Data Entry'!$Ð$767), "", 'Data Entry'!$Ð$767)</f>
      </c>
      <c r="EO767">
        <f>IF(ISBLANK('Data Entry'!$Ñ$767), "", 'Data Entry'!$Ñ$767)</f>
      </c>
      <c r="EP767">
        <f>IF(ISBLANK('Data Entry'!$Ò$767), "", 'Data Entry'!$Ò$767)</f>
      </c>
      <c r="EQ767">
        <f>IF(ISBLANK('Data Entry'!$Ó$767), "", 'Data Entry'!$Ó$767)</f>
      </c>
      <c r="ER767">
        <f>IF(ISBLANK('Data Entry'!$Ô$767), "", 'Data Entry'!$Ô$767)</f>
      </c>
      <c r="ES767">
        <f>IF(ISBLANK('Data Entry'!$Õ$767), "", 'Data Entry'!$Õ$767)</f>
      </c>
      <c r="ET767">
        <f>IF(ISBLANK('Data Entry'!$Ö$767), "", 'Data Entry'!$Ö$767)</f>
      </c>
      <c r="EU767">
        <f>IF(ISBLANK('Data Entry'!$×$767), "", 'Data Entry'!$×$767)</f>
      </c>
      <c r="EV767">
        <f>IF(ISBLANK('Data Entry'!$Ø$767), "", 'Data Entry'!$Ø$767)</f>
      </c>
      <c r="EW767">
        <f>IF(ISBLANK('Data Entry'!$Ù$767), "", 'Data Entry'!$Ù$767)</f>
      </c>
      <c r="EX767">
        <f>IF(ISBLANK('Data Entry'!$Ú$767), "", 'Data Entry'!$Ú$767)</f>
      </c>
      <c r="EY767">
        <f>IF(ISBLANK('Data Entry'!$Û$767), "", 'Data Entry'!$Û$767)</f>
      </c>
      <c r="EZ767">
        <f>IF(ISBLANK('Data Entry'!$Ü$767), "", 'Data Entry'!$Ü$767)</f>
      </c>
      <c r="FA767">
        <f>IF(ISBLANK('Data Entry'!$Ý$767), "", 'Data Entry'!$Ý$767)</f>
      </c>
      <c r="FB767">
        <f>IF(ISBLANK('Data Entry'!$Þ$767), "", 'Data Entry'!$Þ$767)</f>
      </c>
      <c r="FC767">
        <f>IF(ISBLANK('Data Entry'!$ß$767), "", 'Data Entry'!$ß$767)</f>
      </c>
      <c r="FD767">
        <f>IF(ISBLANK('Data Entry'!$à$767), "", 'Data Entry'!$à$767)</f>
      </c>
      <c r="FE767">
        <f>IF(ISBLANK('Data Entry'!$á$767), "", 'Data Entry'!$á$767)</f>
      </c>
      <c r="FF767">
        <f>IF(ISBLANK('Data Entry'!$â$767), "", 'Data Entry'!$â$767)</f>
      </c>
      <c r="FG767">
        <f>IF(ISBLANK('Data Entry'!$ã$767), "", 'Data Entry'!$ã$767)</f>
      </c>
      <c r="FH767">
        <f>IF(ISBLANK('Data Entry'!$ä$767), "", 'Data Entry'!$ä$767)</f>
      </c>
      <c r="FI767">
        <f>IF(ISBLANK('Data Entry'!$å$767), "", 'Data Entry'!$å$767)</f>
      </c>
      <c r="FJ767">
        <f>IF(ISBLANK('Data Entry'!$æ$767), "", 'Data Entry'!$æ$767)</f>
      </c>
      <c r="FK767">
        <f>IF(ISBLANK('Data Entry'!$ç$767), "", 'Data Entry'!$ç$767)</f>
      </c>
      <c r="FL767">
        <f>IF(ISBLANK('Data Entry'!$è$767), "", 'Data Entry'!$è$767)</f>
      </c>
      <c r="FM767">
        <f>IF(ISBLANK('Data Entry'!$é$767), "", 'Data Entry'!$é$767)</f>
      </c>
      <c r="FN767">
        <f>IF(ISBLANK('Data Entry'!$ê$767), "", 'Data Entry'!$ê$767)</f>
      </c>
      <c r="FO767">
        <f>IF(ISBLANK('Data Entry'!$ë$767), "", 'Data Entry'!$ë$767)</f>
      </c>
      <c r="FP767">
        <f>IF(ISBLANK('Data Entry'!$ì$767), "", 'Data Entry'!$ì$767)</f>
      </c>
      <c r="FQ767">
        <f>IF(ISBLANK('Data Entry'!$í$767), "", 'Data Entry'!$í$767)</f>
      </c>
      <c r="FR767">
        <f>IF(ISBLANK('Data Entry'!$î$767), "", 'Data Entry'!$î$767)</f>
      </c>
      <c r="FS767">
        <f>IF(ISBLANK('Data Entry'!$ï$767), "", 'Data Entry'!$ï$767)</f>
      </c>
      <c r="FT767">
        <f>IF(ISBLANK('Data Entry'!$ð$767), "", 'Data Entry'!$ð$767)</f>
      </c>
      <c r="FU767">
        <f>IF(ISBLANK('Data Entry'!$ñ$767), "", 'Data Entry'!$ñ$767)</f>
      </c>
      <c r="FV767">
        <f>IF(ISBLANK('Data Entry'!$ò$767), "", 'Data Entry'!$ò$767)</f>
      </c>
      <c r="FW767">
        <f>IF(ISBLANK('Data Entry'!$ó$767), "", 'Data Entry'!$ó$767)</f>
      </c>
      <c r="FX767">
        <f>IF(ISBLANK('Data Entry'!$ô$767), "", 'Data Entry'!$ô$767)</f>
      </c>
      <c r="FY767">
        <f>IF(ISBLANK('Data Entry'!$õ$767), "", 'Data Entry'!$õ$767)</f>
      </c>
      <c r="FZ767">
        <f>IF(ISBLANK('Data Entry'!$ö$767), "", 'Data Entry'!$ö$767)</f>
      </c>
      <c r="GA767">
        <f>IF(ISBLANK('Data Entry'!$÷$767), "", 'Data Entry'!$÷$767)</f>
      </c>
      <c r="GB767">
        <f>IF(ISBLANK('Data Entry'!$ø$767), "", 'Data Entry'!$ø$767)</f>
      </c>
      <c r="GC767">
        <f>IF(ISBLANK('Data Entry'!$ù$767), "", 'Data Entry'!$ù$767)</f>
      </c>
      <c r="GD767">
        <f>IF(ISBLANK('Data Entry'!$ú$767), "", 'Data Entry'!$ú$767)</f>
      </c>
      <c r="GE767">
        <f>IF(ISBLANK('Data Entry'!$û$767), "", 'Data Entry'!$û$767)</f>
      </c>
      <c r="GF767">
        <f>IF(ISBLANK('Data Entry'!$ü$767), "", 'Data Entry'!$ü$767)</f>
      </c>
      <c r="GG767">
        <f>IF(ISBLANK('Data Entry'!$ý$767), "", 'Data Entry'!$ý$767)</f>
      </c>
      <c r="GH767">
        <f>IF(ISBLANK('Data Entry'!$þ$767), "", 'Data Entry'!$þ$767)</f>
      </c>
      <c r="GI767">
        <f>IF(ISBLANK('Data Entry'!$ÿ$767), "", 'Data Entry'!$ÿ$767)</f>
      </c>
      <c r="GJ767">
        <f>IF(ISBLANK('Data Entry'!$Ā$767), "", 'Data Entry'!$Ā$767)</f>
      </c>
      <c r="GK767">
        <f>IF(ISBLANK('Data Entry'!$ā$767), "", 'Data Entry'!$ā$767)</f>
      </c>
      <c r="GL767">
        <f>IF(ISBLANK('Data Entry'!$Ă$767), "", 'Data Entry'!$Ă$767)</f>
      </c>
      <c r="GM767">
        <f>IF(ISBLANK('Data Entry'!$ă$767), "", 'Data Entry'!$ă$767)</f>
      </c>
      <c r="GN767">
        <f>IF(ISBLANK('Data Entry'!$Ą$767), "", 'Data Entry'!$Ą$767)</f>
      </c>
      <c r="GO767">
        <f>IF(ISBLANK('Data Entry'!$ą$767), "", 'Data Entry'!$ą$767)</f>
      </c>
      <c r="GP767">
        <f>IF(ISBLANK('Data Entry'!$Ć$767), "", 'Data Entry'!$Ć$767)</f>
      </c>
      <c r="GQ767">
        <f>IF(ISBLANK('Data Entry'!$ć$767), "", 'Data Entry'!$ć$767)</f>
      </c>
      <c r="GR767">
        <f>IF(ISBLANK('Data Entry'!$Ĉ$767), "", 'Data Entry'!$Ĉ$767)</f>
      </c>
      <c r="GS767">
        <f>IF(ISBLANK('Data Entry'!$ĉ$767), "", 'Data Entry'!$ĉ$767)</f>
      </c>
      <c r="GT767">
        <f>IF(ISBLANK('Data Entry'!$Ċ$767), "", 'Data Entry'!$Ċ$767)</f>
      </c>
      <c r="GU767">
        <f>IF(ISBLANK('Data Entry'!$ċ$767), "", 'Data Entry'!$ċ$767)</f>
      </c>
      <c r="GV767">
        <f>IF(ISBLANK('Data Entry'!$Č$767), "", 'Data Entry'!$Č$767)</f>
      </c>
      <c r="GW767">
        <f>IF(ISBLANK('Data Entry'!$č$767), "", 'Data Entry'!$č$767)</f>
      </c>
      <c r="GX767">
        <f>IF(ISBLANK('Data Entry'!$Ď$767), "", 'Data Entry'!$Ď$767)</f>
      </c>
      <c r="GY767">
        <f>IF(ISBLANK('Data Entry'!$ď$767), "", 'Data Entry'!$ď$767)</f>
      </c>
      <c r="GZ767">
        <f>IF(ISBLANK('Data Entry'!$Đ$767), "", 'Data Entry'!$Đ$767)</f>
      </c>
      <c r="HA767">
        <f>IF(ISBLANK('Data Entry'!$đ$767), "", 'Data Entry'!$đ$767)</f>
      </c>
      <c r="HB767">
        <f>IF(ISBLANK('Data Entry'!$Ē$767), "", 'Data Entry'!$Ē$767)</f>
      </c>
      <c r="HC767">
        <f>IF(ISBLANK('Data Entry'!$ē$767), "", 'Data Entry'!$ē$767)</f>
      </c>
      <c r="HD767">
        <f>IF(ISBLANK('Data Entry'!$Ĕ$767), "", 'Data Entry'!$Ĕ$767)</f>
      </c>
      <c r="HE767">
        <f>IF(ISBLANK('Data Entry'!$ĕ$767), "", 'Data Entry'!$ĕ$767)</f>
      </c>
      <c r="HF767">
        <f>IF(ISBLANK('Data Entry'!$Ė$767), "", 'Data Entry'!$Ė$767)</f>
      </c>
      <c r="HG767">
        <f>IF(ISBLANK('Data Entry'!$ė$767), "", 'Data Entry'!$ė$767)</f>
      </c>
      <c r="HH767">
        <f>IF(ISBLANK('Data Entry'!$Ę$767), "", 'Data Entry'!$Ę$767)</f>
      </c>
      <c r="HI767">
        <f>IF(ISBLANK('Data Entry'!$ę$767), "", 'Data Entry'!$ę$767)</f>
      </c>
      <c r="HJ767">
        <f>IF(ISBLANK('Data Entry'!$Ě$767), "", 'Data Entry'!$Ě$767)</f>
      </c>
      <c r="HK767">
        <f>IF(ISBLANK('Data Entry'!$ě$767), "", 'Data Entry'!$ě$767)</f>
      </c>
      <c r="HL767">
        <f>IF(ISBLANK('Data Entry'!$Ĝ$767), "", 'Data Entry'!$Ĝ$767)</f>
      </c>
      <c r="HM767">
        <f>IF(ISBLANK('Data Entry'!$ĝ$767), "", 'Data Entry'!$ĝ$767)</f>
      </c>
      <c r="HN767">
        <f>IF(ISBLANK('Data Entry'!$Ğ$767), "", 'Data Entry'!$Ğ$767)</f>
      </c>
      <c r="HO767">
        <f>IF(ISBLANK('Data Entry'!$ğ$767), "", 'Data Entry'!$ğ$767)</f>
      </c>
      <c r="HP767">
        <f>IF(ISBLANK('Data Entry'!$Ġ$767), "", 'Data Entry'!$Ġ$767)</f>
      </c>
      <c r="HQ767">
        <f>IF(ISBLANK('Data Entry'!$ġ$767), "", 'Data Entry'!$ġ$767)</f>
      </c>
      <c r="HR767">
        <f>IF(ISBLANK('Data Entry'!$Ģ$767), "", 'Data Entry'!$Ģ$767)</f>
      </c>
      <c r="HS767">
        <f>IF(ISBLANK('Data Entry'!$ģ$767), "", 'Data Entry'!$ģ$767)</f>
      </c>
      <c r="HT767">
        <f>IF(ISBLANK('Data Entry'!$Ĥ$767), "", 'Data Entry'!$Ĥ$767)</f>
      </c>
      <c r="HU767">
        <f>IF(ISBLANK('Data Entry'!$ĥ$767), "", 'Data Entry'!$ĥ$767)</f>
      </c>
      <c r="HV767">
        <f>IF(ISBLANK('Data Entry'!$Ħ$767), "", 'Data Entry'!$Ħ$767)</f>
      </c>
      <c r="HW767">
        <f>IF(ISBLANK('Data Entry'!$ħ$767), "", 'Data Entry'!$ħ$767)</f>
      </c>
      <c r="HX767">
        <f>IF(ISBLANK('Data Entry'!$Ĩ$767), "", 'Data Entry'!$Ĩ$767)</f>
      </c>
      <c r="HY767">
        <f>IF(ISBLANK('Data Entry'!$ĩ$767), "", 'Data Entry'!$ĩ$767)</f>
      </c>
      <c r="HZ767">
        <f>IF(ISBLANK('Data Entry'!$Ī$767), "", 'Data Entry'!$Ī$767)</f>
      </c>
      <c r="IA767">
        <f>IF(ISBLANK('Data Entry'!$ī$767), "", 'Data Entry'!$ī$767)</f>
      </c>
      <c r="IB767">
        <f>IF(ISBLANK('Data Entry'!$Ĭ$767), "", 'Data Entry'!$Ĭ$767)</f>
      </c>
      <c r="IC767">
        <f>IF(ISBLANK('Data Entry'!$ĭ$767), "", 'Data Entry'!$ĭ$767)</f>
      </c>
      <c r="ID767">
        <f>IF(ISBLANK('Data Entry'!$Į$767), "", 'Data Entry'!$Į$767)</f>
      </c>
      <c r="IE767">
        <f>IF(ISBLANK('Data Entry'!$į$767), "", 'Data Entry'!$į$767)</f>
      </c>
      <c r="IF767">
        <f>IF(ISBLANK('Data Entry'!$İ$767), "", 'Data Entry'!$İ$767)</f>
      </c>
      <c r="IG767">
        <f>IF(ISBLANK('Data Entry'!$ı$767), "", 'Data Entry'!$ı$767)</f>
      </c>
      <c r="IH767">
        <f>IF(ISBLANK('Data Entry'!$Ĳ$767), "", 'Data Entry'!$Ĳ$767)</f>
      </c>
      <c r="II767">
        <f>IF(ISBLANK('Data Entry'!$ĳ$767), "", 'Data Entry'!$ĳ$767)</f>
      </c>
      <c r="IJ767">
        <f>IF(ISBLANK('Data Entry'!$Ĵ$767), "", 'Data Entry'!$Ĵ$767)</f>
      </c>
      <c r="IK767">
        <f>IF(ISBLANK('Data Entry'!$ĵ$767), "", 'Data Entry'!$ĵ$767)</f>
      </c>
      <c r="IL767">
        <f>IF(ISBLANK('Data Entry'!$Ķ$767), "", 'Data Entry'!$Ķ$767)</f>
      </c>
      <c r="IM767">
        <f>IF(ISBLANK('Data Entry'!$ķ$767), "", 'Data Entry'!$ķ$767)</f>
      </c>
      <c r="IN767">
        <f>IF(ISBLANK('Data Entry'!$ĸ$767), "", 'Data Entry'!$ĸ$767)</f>
      </c>
      <c r="IO767">
        <f>IF(ISBLANK('Data Entry'!$Ĺ$767), "", 'Data Entry'!$Ĺ$767)</f>
      </c>
      <c r="IP767">
        <f>IF(ISBLANK('Data Entry'!$ĺ$767), "", 'Data Entry'!$ĺ$767)</f>
      </c>
      <c r="IQ767">
        <f>IF(ISBLANK('Data Entry'!$Ļ$767), "", 'Data Entry'!$Ļ$767)</f>
      </c>
      <c r="IR767">
        <f>IF(ISBLANK('Data Entry'!$ļ$767), "", 'Data Entry'!$ļ$767)</f>
      </c>
      <c r="IS767">
        <f>IF(ISBLANK('Data Entry'!$Ľ$767), "", 'Data Entry'!$Ľ$767)</f>
      </c>
      <c r="IT767">
        <f>IF(ISBLANK('Data Entry'!$ľ$767), "", 'Data Entry'!$ľ$767)</f>
      </c>
    </row>
    <row r="768" spans="1:254" x14ac:dyDescent="0.25">
      <c r="A768">
        <f>IF(ISBLANK('Data Entry'!$A$768), "", 'Data Entry'!$A$768)</f>
      </c>
      <c r="B768">
        <f>IF(ISBLANK('Data Entry'!$B$768), "", 'Data Entry'!$B$768)</f>
      </c>
      <c r="C768">
        <f>IF(ISBLANK('Data Entry'!$C$768), "", 'Data Entry'!$C$768)</f>
      </c>
      <c r="D768">
        <f>IF(ISBLANK('Data Entry'!$D$768), "", 'Data Entry'!$D$768)</f>
      </c>
      <c r="E768">
        <f>IF(ISBLANK('Data Entry'!$E$768), "", 'Data Entry'!$E$768)</f>
      </c>
      <c r="F768">
        <f>IF(ISBLANK('Data Entry'!$F$768), "", 'Data Entry'!$F$768)</f>
      </c>
      <c r="G768">
        <f>IF(ISBLANK('Data Entry'!$G$768), "", 'Data Entry'!$G$768)</f>
      </c>
      <c r="H768">
        <f>IF(ISBLANK('Data Entry'!$H$768), "", 'Data Entry'!$H$768)</f>
      </c>
      <c r="I768">
        <f>IF(ISBLANK('Data Entry'!$I$768), "", 'Data Entry'!$I$768)</f>
      </c>
      <c r="J768">
        <f>IF(ISBLANK('Data Entry'!$J$768), "", 'Data Entry'!$J$768)</f>
      </c>
      <c r="K768">
        <f>IF(ISBLANK('Data Entry'!$K$768), "", 'Data Entry'!$K$768)</f>
      </c>
      <c r="L768">
        <f>IF(ISBLANK('Data Entry'!$L$768), "", 'Data Entry'!$L$768)</f>
      </c>
      <c r="M768">
        <f>IF(ISBLANK('Data Entry'!$M$768), "", 'Data Entry'!$M$768)</f>
      </c>
      <c r="N768">
        <f>IF(ISBLANK('Data Entry'!$N$768), "", 'Data Entry'!$N$768)</f>
      </c>
      <c r="O768">
        <f>IF(ISBLANK('Data Entry'!$O$768), "", 'Data Entry'!$O$768)</f>
      </c>
      <c r="P768">
        <f>IF(ISBLANK('Data Entry'!$P$768), "", 'Data Entry'!$P$768)</f>
      </c>
      <c r="Q768">
        <f>IF(ISBLANK('Data Entry'!$Q$768), "", 'Data Entry'!$Q$768)</f>
      </c>
      <c r="R768">
        <f>IF(ISBLANK('Data Entry'!$R$768), "", 'Data Entry'!$R$768)</f>
      </c>
      <c r="S768">
        <f>IF(ISBLANK('Data Entry'!$S$768), "", 'Data Entry'!$S$768)</f>
      </c>
      <c r="T768">
        <f>IF(ISBLANK('Data Entry'!$T$768), "", 'Data Entry'!$T$768)</f>
      </c>
      <c r="U768">
        <f>IF(ISBLANK('Data Entry'!$U$768), "", 'Data Entry'!$U$768)</f>
      </c>
      <c r="V768">
        <f>IF(ISBLANK('Data Entry'!$V$768), "", 'Data Entry'!$V$768)</f>
      </c>
      <c r="W768">
        <f>IF(ISBLANK('Data Entry'!$W$768), "", 'Data Entry'!$W$768)</f>
      </c>
      <c r="X768">
        <f>IF(ISBLANK('Data Entry'!$X$768), "", 'Data Entry'!$X$768)</f>
      </c>
      <c r="Y768">
        <f>IF(ISBLANK('Data Entry'!$Y$768), "", 'Data Entry'!$Y$768)</f>
      </c>
      <c r="Z768">
        <f>IF(ISBLANK('Data Entry'!$Z$768), "", 'Data Entry'!$Z$768)</f>
      </c>
      <c r="AA768">
        <f>IF(ISBLANK('Data Entry'!$[$768), "", 'Data Entry'!$[$768)</f>
      </c>
      <c r="AB768">
        <f>IF(ISBLANK('Data Entry'!$\$768), "", 'Data Entry'!$\$768)</f>
      </c>
      <c r="AC768">
        <f>IF(ISBLANK('Data Entry'!$]$768), "", 'Data Entry'!$]$768)</f>
      </c>
      <c r="AD768">
        <f>IF(ISBLANK('Data Entry'!$^$768), "", 'Data Entry'!$^$768)</f>
      </c>
      <c r="AE768">
        <f>IF(ISBLANK('Data Entry'!$_$768), "", 'Data Entry'!$_$768)</f>
      </c>
      <c r="AF768">
        <f>IF(ISBLANK('Data Entry'!$`$768), "", 'Data Entry'!$`$768)</f>
      </c>
      <c r="AG768">
        <f>IF(ISBLANK('Data Entry'!$a$768), "", 'Data Entry'!$a$768)</f>
      </c>
      <c r="AH768">
        <f>IF(ISBLANK('Data Entry'!$b$768), "", 'Data Entry'!$b$768)</f>
      </c>
      <c r="AI768">
        <f>IF(ISBLANK('Data Entry'!$c$768), "", 'Data Entry'!$c$768)</f>
      </c>
      <c r="AJ768">
        <f>IF(ISBLANK('Data Entry'!$d$768), "", 'Data Entry'!$d$768)</f>
      </c>
      <c r="AK768">
        <f>IF(ISBLANK('Data Entry'!$e$768), "", 'Data Entry'!$e$768)</f>
      </c>
      <c r="AL768">
        <f>IF(ISBLANK('Data Entry'!$f$768), "", 'Data Entry'!$f$768)</f>
      </c>
      <c r="AM768">
        <f>IF(ISBLANK('Data Entry'!$g$768), "", 'Data Entry'!$g$768)</f>
      </c>
      <c r="AN768">
        <f>IF(ISBLANK('Data Entry'!$h$768), "", 'Data Entry'!$h$768)</f>
      </c>
      <c r="AO768">
        <f>IF(ISBLANK('Data Entry'!$i$768), "", 'Data Entry'!$i$768)</f>
      </c>
      <c r="AP768">
        <f>IF(ISBLANK('Data Entry'!$j$768), "", 'Data Entry'!$j$768)</f>
      </c>
      <c r="AQ768">
        <f>IF(ISBLANK('Data Entry'!$k$768), "", 'Data Entry'!$k$768)</f>
      </c>
      <c r="AR768">
        <f>IF(ISBLANK('Data Entry'!$l$768), "", 'Data Entry'!$l$768)</f>
      </c>
      <c r="AS768">
        <f>IF(ISBLANK('Data Entry'!$m$768), "", 'Data Entry'!$m$768)</f>
      </c>
      <c r="AT768">
        <f>IF(ISBLANK('Data Entry'!$n$768), "", 'Data Entry'!$n$768)</f>
      </c>
      <c r="AU768">
        <f>IF(ISBLANK('Data Entry'!$o$768), "", 'Data Entry'!$o$768)</f>
      </c>
      <c r="AV768">
        <f>IF(ISBLANK('Data Entry'!$p$768), "", 'Data Entry'!$p$768)</f>
      </c>
      <c r="AW768">
        <f>IF(ISBLANK('Data Entry'!$q$768), "", 'Data Entry'!$q$768)</f>
      </c>
      <c r="AX768">
        <f>IF(ISBLANK('Data Entry'!$r$768), "", 'Data Entry'!$r$768)</f>
      </c>
      <c r="AY768">
        <f>IF(ISBLANK('Data Entry'!$s$768), "", 'Data Entry'!$s$768)</f>
      </c>
      <c r="AZ768">
        <f>IF(ISBLANK('Data Entry'!$t$768), "", 'Data Entry'!$t$768)</f>
      </c>
      <c r="BA768">
        <f>IF(ISBLANK('Data Entry'!$u$768), "", 'Data Entry'!$u$768)</f>
      </c>
      <c r="BB768">
        <f>IF(ISBLANK('Data Entry'!$v$768), "", 'Data Entry'!$v$768)</f>
      </c>
      <c r="BC768">
        <f>IF(ISBLANK('Data Entry'!$w$768), "", 'Data Entry'!$w$768)</f>
      </c>
      <c r="BD768">
        <f>IF(ISBLANK('Data Entry'!$x$768), "", 'Data Entry'!$x$768)</f>
      </c>
      <c r="BE768">
        <f>IF(ISBLANK('Data Entry'!$y$768), "", 'Data Entry'!$y$768)</f>
      </c>
      <c r="BF768">
        <f>IF(ISBLANK('Data Entry'!$z$768), "", 'Data Entry'!$z$768)</f>
      </c>
      <c r="BG768">
        <f>IF(ISBLANK('Data Entry'!${$768), "", 'Data Entry'!${$768)</f>
      </c>
      <c r="BH768">
        <f>IF(ISBLANK('Data Entry'!$|$768), "", 'Data Entry'!$|$768)</f>
      </c>
      <c r="BI768">
        <f>IF(ISBLANK('Data Entry'!$}$768), "", 'Data Entry'!$}$768)</f>
      </c>
      <c r="BJ768">
        <f>IF(ISBLANK('Data Entry'!$~$768), "", 'Data Entry'!$~$768)</f>
      </c>
      <c r="BK768">
        <f>IF(ISBLANK('Data Entry'!$$768), "", 'Data Entry'!$$768)</f>
      </c>
      <c r="BL768">
        <f>IF(ISBLANK('Data Entry'!$$768), "", 'Data Entry'!$$768)</f>
      </c>
      <c r="BM768">
        <f>IF(ISBLANK('Data Entry'!$$768), "", 'Data Entry'!$$768)</f>
      </c>
      <c r="BN768">
        <f>IF(ISBLANK('Data Entry'!$$768), "", 'Data Entry'!$$768)</f>
      </c>
      <c r="BO768">
        <f>IF(ISBLANK('Data Entry'!$$768), "", 'Data Entry'!$$768)</f>
      </c>
      <c r="BP768">
        <f>IF(ISBLANK('Data Entry'!$$768), "", 'Data Entry'!$$768)</f>
      </c>
      <c r="BQ768">
        <f>IF(ISBLANK('Data Entry'!$$768), "", 'Data Entry'!$$768)</f>
      </c>
      <c r="BR768">
        <f>IF(ISBLANK('Data Entry'!$$768), "", 'Data Entry'!$$768)</f>
      </c>
      <c r="BS768">
        <f>IF(ISBLANK('Data Entry'!$$768), "", 'Data Entry'!$$768)</f>
      </c>
      <c r="BT768">
        <f>IF(ISBLANK('Data Entry'!$$768), "", 'Data Entry'!$$768)</f>
      </c>
      <c r="BU768">
        <f>IF(ISBLANK('Data Entry'!$$768), "", 'Data Entry'!$$768)</f>
      </c>
      <c r="BV768">
        <f>IF(ISBLANK('Data Entry'!$$768), "", 'Data Entry'!$$768)</f>
      </c>
      <c r="BW768">
        <f>IF(ISBLANK('Data Entry'!$$768), "", 'Data Entry'!$$768)</f>
      </c>
      <c r="BX768">
        <f>IF(ISBLANK('Data Entry'!$$768), "", 'Data Entry'!$$768)</f>
      </c>
      <c r="BY768">
        <f>IF(ISBLANK('Data Entry'!$$768), "", 'Data Entry'!$$768)</f>
      </c>
      <c r="BZ768">
        <f>IF(ISBLANK('Data Entry'!$$768), "", 'Data Entry'!$$768)</f>
      </c>
      <c r="CA768">
        <f>IF(ISBLANK('Data Entry'!$$768), "", 'Data Entry'!$$768)</f>
      </c>
      <c r="CB768">
        <f>IF(ISBLANK('Data Entry'!$$768), "", 'Data Entry'!$$768)</f>
      </c>
      <c r="CC768">
        <f>IF(ISBLANK('Data Entry'!$$768), "", 'Data Entry'!$$768)</f>
      </c>
      <c r="CD768">
        <f>IF(ISBLANK('Data Entry'!$$768), "", 'Data Entry'!$$768)</f>
      </c>
      <c r="CE768">
        <f>IF(ISBLANK('Data Entry'!$$768), "", 'Data Entry'!$$768)</f>
      </c>
      <c r="CF768">
        <f>IF(ISBLANK('Data Entry'!$$768), "", 'Data Entry'!$$768)</f>
      </c>
      <c r="CG768">
        <f>IF(ISBLANK('Data Entry'!$$768), "", 'Data Entry'!$$768)</f>
      </c>
      <c r="CH768">
        <f>IF(ISBLANK('Data Entry'!$$768), "", 'Data Entry'!$$768)</f>
      </c>
      <c r="CI768">
        <f>IF(ISBLANK('Data Entry'!$$768), "", 'Data Entry'!$$768)</f>
      </c>
      <c r="CJ768">
        <f>IF(ISBLANK('Data Entry'!$$768), "", 'Data Entry'!$$768)</f>
      </c>
      <c r="CK768">
        <f>IF(ISBLANK('Data Entry'!$$768), "", 'Data Entry'!$$768)</f>
      </c>
      <c r="CL768">
        <f>IF(ISBLANK('Data Entry'!$$768), "", 'Data Entry'!$$768)</f>
      </c>
      <c r="CM768">
        <f>IF(ISBLANK('Data Entry'!$$768), "", 'Data Entry'!$$768)</f>
      </c>
      <c r="CN768">
        <f>IF(ISBLANK('Data Entry'!$$768), "", 'Data Entry'!$$768)</f>
      </c>
      <c r="CO768">
        <f>IF(ISBLANK('Data Entry'!$$768), "", 'Data Entry'!$$768)</f>
      </c>
      <c r="CP768">
        <f>IF(ISBLANK('Data Entry'!$$768), "", 'Data Entry'!$$768)</f>
      </c>
      <c r="CQ768">
        <f>IF(ISBLANK('Data Entry'!$$768), "", 'Data Entry'!$$768)</f>
      </c>
      <c r="CR768">
        <f>IF(ISBLANK('Data Entry'!$ $768), "", 'Data Entry'!$ $768)</f>
      </c>
      <c r="CS768">
        <f>IF(ISBLANK('Data Entry'!$¡$768), "", 'Data Entry'!$¡$768)</f>
      </c>
      <c r="CT768">
        <f>IF(ISBLANK('Data Entry'!$¢$768), "", 'Data Entry'!$¢$768)</f>
      </c>
      <c r="CU768">
        <f>IF(ISBLANK('Data Entry'!$£$768), "", 'Data Entry'!$£$768)</f>
      </c>
      <c r="CV768">
        <f>IF(ISBLANK('Data Entry'!$¤$768), "", 'Data Entry'!$¤$768)</f>
      </c>
      <c r="CW768">
        <f>IF(ISBLANK('Data Entry'!$¥$768), "", 'Data Entry'!$¥$768)</f>
      </c>
      <c r="CX768">
        <f>IF(ISBLANK('Data Entry'!$¦$768), "", 'Data Entry'!$¦$768)</f>
      </c>
      <c r="CY768">
        <f>IF(ISBLANK('Data Entry'!$§$768), "", 'Data Entry'!$§$768)</f>
      </c>
      <c r="CZ768">
        <f>IF(ISBLANK('Data Entry'!$¨$768), "", 'Data Entry'!$¨$768)</f>
      </c>
      <c r="DA768">
        <f>IF(ISBLANK('Data Entry'!$©$768), "", 'Data Entry'!$©$768)</f>
      </c>
      <c r="DB768">
        <f>IF(ISBLANK('Data Entry'!$ª$768), "", 'Data Entry'!$ª$768)</f>
      </c>
      <c r="DC768">
        <f>IF(ISBLANK('Data Entry'!$«$768), "", 'Data Entry'!$«$768)</f>
      </c>
      <c r="DD768">
        <f>IF(ISBLANK('Data Entry'!$¬$768), "", 'Data Entry'!$¬$768)</f>
      </c>
      <c r="DE768">
        <f>IF(ISBLANK('Data Entry'!$­$768), "", 'Data Entry'!$­$768)</f>
      </c>
      <c r="DF768">
        <f>IF(ISBLANK('Data Entry'!$®$768), "", 'Data Entry'!$®$768)</f>
      </c>
      <c r="DG768">
        <f>IF(ISBLANK('Data Entry'!$¯$768), "", 'Data Entry'!$¯$768)</f>
      </c>
      <c r="DH768">
        <f>IF(ISBLANK('Data Entry'!$°$768), "", 'Data Entry'!$°$768)</f>
      </c>
      <c r="DI768">
        <f>IF(ISBLANK('Data Entry'!$±$768), "", 'Data Entry'!$±$768)</f>
      </c>
      <c r="DJ768">
        <f>IF(ISBLANK('Data Entry'!$²$768), "", 'Data Entry'!$²$768)</f>
      </c>
      <c r="DK768">
        <f>IF(ISBLANK('Data Entry'!$³$768), "", 'Data Entry'!$³$768)</f>
      </c>
      <c r="DL768">
        <f>IF(ISBLANK('Data Entry'!$´$768), "", 'Data Entry'!$´$768)</f>
      </c>
      <c r="DM768">
        <f>IF(ISBLANK('Data Entry'!$µ$768), "", 'Data Entry'!$µ$768)</f>
      </c>
      <c r="DN768">
        <f>IF(ISBLANK('Data Entry'!$¶$768), "", 'Data Entry'!$¶$768)</f>
      </c>
      <c r="DO768">
        <f>IF(ISBLANK('Data Entry'!$·$768), "", 'Data Entry'!$·$768)</f>
      </c>
      <c r="DP768">
        <f>IF(ISBLANK('Data Entry'!$¸$768), "", 'Data Entry'!$¸$768)</f>
      </c>
      <c r="DQ768">
        <f>IF(ISBLANK('Data Entry'!$¹$768), "", 'Data Entry'!$¹$768)</f>
      </c>
      <c r="DR768">
        <f>IF(ISBLANK('Data Entry'!$º$768), "", 'Data Entry'!$º$768)</f>
      </c>
      <c r="DS768">
        <f>IF(ISBLANK('Data Entry'!$»$768), "", 'Data Entry'!$»$768)</f>
      </c>
      <c r="DT768">
        <f>IF(ISBLANK('Data Entry'!$¼$768), "", 'Data Entry'!$¼$768)</f>
      </c>
      <c r="DU768">
        <f>IF(ISBLANK('Data Entry'!$½$768), "", 'Data Entry'!$½$768)</f>
      </c>
      <c r="DV768">
        <f>IF(ISBLANK('Data Entry'!$¾$768), "", 'Data Entry'!$¾$768)</f>
      </c>
      <c r="DW768">
        <f>IF(ISBLANK('Data Entry'!$¿$768), "", 'Data Entry'!$¿$768)</f>
      </c>
      <c r="DX768">
        <f>IF(ISBLANK('Data Entry'!$À$768), "", 'Data Entry'!$À$768)</f>
      </c>
      <c r="DY768">
        <f>IF(ISBLANK('Data Entry'!$Á$768), "", 'Data Entry'!$Á$768)</f>
      </c>
      <c r="DZ768">
        <f>IF(ISBLANK('Data Entry'!$Â$768), "", 'Data Entry'!$Â$768)</f>
      </c>
      <c r="EA768">
        <f>IF(ISBLANK('Data Entry'!$Ã$768), "", 'Data Entry'!$Ã$768)</f>
      </c>
      <c r="EB768">
        <f>IF(ISBLANK('Data Entry'!$Ä$768), "", 'Data Entry'!$Ä$768)</f>
      </c>
      <c r="EC768">
        <f>IF(ISBLANK('Data Entry'!$Å$768), "", 'Data Entry'!$Å$768)</f>
      </c>
      <c r="ED768">
        <f>IF(ISBLANK('Data Entry'!$Æ$768), "", 'Data Entry'!$Æ$768)</f>
      </c>
      <c r="EE768">
        <f>IF(ISBLANK('Data Entry'!$Ç$768), "", 'Data Entry'!$Ç$768)</f>
      </c>
      <c r="EF768">
        <f>IF(ISBLANK('Data Entry'!$È$768), "", 'Data Entry'!$È$768)</f>
      </c>
      <c r="EG768">
        <f>IF(ISBLANK('Data Entry'!$É$768), "", 'Data Entry'!$É$768)</f>
      </c>
      <c r="EH768">
        <f>IF(ISBLANK('Data Entry'!$Ê$768), "", 'Data Entry'!$Ê$768)</f>
      </c>
      <c r="EI768">
        <f>IF(ISBLANK('Data Entry'!$Ë$768), "", 'Data Entry'!$Ë$768)</f>
      </c>
      <c r="EJ768">
        <f>IF(ISBLANK('Data Entry'!$Ì$768), "", 'Data Entry'!$Ì$768)</f>
      </c>
      <c r="EK768">
        <f>IF(ISBLANK('Data Entry'!$Í$768), "", 'Data Entry'!$Í$768)</f>
      </c>
      <c r="EL768">
        <f>IF(ISBLANK('Data Entry'!$Î$768), "", 'Data Entry'!$Î$768)</f>
      </c>
      <c r="EM768">
        <f>IF(ISBLANK('Data Entry'!$Ï$768), "", 'Data Entry'!$Ï$768)</f>
      </c>
      <c r="EN768">
        <f>IF(ISBLANK('Data Entry'!$Ð$768), "", 'Data Entry'!$Ð$768)</f>
      </c>
      <c r="EO768">
        <f>IF(ISBLANK('Data Entry'!$Ñ$768), "", 'Data Entry'!$Ñ$768)</f>
      </c>
      <c r="EP768">
        <f>IF(ISBLANK('Data Entry'!$Ò$768), "", 'Data Entry'!$Ò$768)</f>
      </c>
      <c r="EQ768">
        <f>IF(ISBLANK('Data Entry'!$Ó$768), "", 'Data Entry'!$Ó$768)</f>
      </c>
      <c r="ER768">
        <f>IF(ISBLANK('Data Entry'!$Ô$768), "", 'Data Entry'!$Ô$768)</f>
      </c>
      <c r="ES768">
        <f>IF(ISBLANK('Data Entry'!$Õ$768), "", 'Data Entry'!$Õ$768)</f>
      </c>
      <c r="ET768">
        <f>IF(ISBLANK('Data Entry'!$Ö$768), "", 'Data Entry'!$Ö$768)</f>
      </c>
      <c r="EU768">
        <f>IF(ISBLANK('Data Entry'!$×$768), "", 'Data Entry'!$×$768)</f>
      </c>
      <c r="EV768">
        <f>IF(ISBLANK('Data Entry'!$Ø$768), "", 'Data Entry'!$Ø$768)</f>
      </c>
      <c r="EW768">
        <f>IF(ISBLANK('Data Entry'!$Ù$768), "", 'Data Entry'!$Ù$768)</f>
      </c>
      <c r="EX768">
        <f>IF(ISBLANK('Data Entry'!$Ú$768), "", 'Data Entry'!$Ú$768)</f>
      </c>
      <c r="EY768">
        <f>IF(ISBLANK('Data Entry'!$Û$768), "", 'Data Entry'!$Û$768)</f>
      </c>
      <c r="EZ768">
        <f>IF(ISBLANK('Data Entry'!$Ü$768), "", 'Data Entry'!$Ü$768)</f>
      </c>
      <c r="FA768">
        <f>IF(ISBLANK('Data Entry'!$Ý$768), "", 'Data Entry'!$Ý$768)</f>
      </c>
      <c r="FB768">
        <f>IF(ISBLANK('Data Entry'!$Þ$768), "", 'Data Entry'!$Þ$768)</f>
      </c>
      <c r="FC768">
        <f>IF(ISBLANK('Data Entry'!$ß$768), "", 'Data Entry'!$ß$768)</f>
      </c>
      <c r="FD768">
        <f>IF(ISBLANK('Data Entry'!$à$768), "", 'Data Entry'!$à$768)</f>
      </c>
      <c r="FE768">
        <f>IF(ISBLANK('Data Entry'!$á$768), "", 'Data Entry'!$á$768)</f>
      </c>
      <c r="FF768">
        <f>IF(ISBLANK('Data Entry'!$â$768), "", 'Data Entry'!$â$768)</f>
      </c>
      <c r="FG768">
        <f>IF(ISBLANK('Data Entry'!$ã$768), "", 'Data Entry'!$ã$768)</f>
      </c>
      <c r="FH768">
        <f>IF(ISBLANK('Data Entry'!$ä$768), "", 'Data Entry'!$ä$768)</f>
      </c>
      <c r="FI768">
        <f>IF(ISBLANK('Data Entry'!$å$768), "", 'Data Entry'!$å$768)</f>
      </c>
      <c r="FJ768">
        <f>IF(ISBLANK('Data Entry'!$æ$768), "", 'Data Entry'!$æ$768)</f>
      </c>
      <c r="FK768">
        <f>IF(ISBLANK('Data Entry'!$ç$768), "", 'Data Entry'!$ç$768)</f>
      </c>
      <c r="FL768">
        <f>IF(ISBLANK('Data Entry'!$è$768), "", 'Data Entry'!$è$768)</f>
      </c>
      <c r="FM768">
        <f>IF(ISBLANK('Data Entry'!$é$768), "", 'Data Entry'!$é$768)</f>
      </c>
      <c r="FN768">
        <f>IF(ISBLANK('Data Entry'!$ê$768), "", 'Data Entry'!$ê$768)</f>
      </c>
      <c r="FO768">
        <f>IF(ISBLANK('Data Entry'!$ë$768), "", 'Data Entry'!$ë$768)</f>
      </c>
      <c r="FP768">
        <f>IF(ISBLANK('Data Entry'!$ì$768), "", 'Data Entry'!$ì$768)</f>
      </c>
      <c r="FQ768">
        <f>IF(ISBLANK('Data Entry'!$í$768), "", 'Data Entry'!$í$768)</f>
      </c>
      <c r="FR768">
        <f>IF(ISBLANK('Data Entry'!$î$768), "", 'Data Entry'!$î$768)</f>
      </c>
      <c r="FS768">
        <f>IF(ISBLANK('Data Entry'!$ï$768), "", 'Data Entry'!$ï$768)</f>
      </c>
      <c r="FT768">
        <f>IF(ISBLANK('Data Entry'!$ð$768), "", 'Data Entry'!$ð$768)</f>
      </c>
      <c r="FU768">
        <f>IF(ISBLANK('Data Entry'!$ñ$768), "", 'Data Entry'!$ñ$768)</f>
      </c>
      <c r="FV768">
        <f>IF(ISBLANK('Data Entry'!$ò$768), "", 'Data Entry'!$ò$768)</f>
      </c>
      <c r="FW768">
        <f>IF(ISBLANK('Data Entry'!$ó$768), "", 'Data Entry'!$ó$768)</f>
      </c>
      <c r="FX768">
        <f>IF(ISBLANK('Data Entry'!$ô$768), "", 'Data Entry'!$ô$768)</f>
      </c>
      <c r="FY768">
        <f>IF(ISBLANK('Data Entry'!$õ$768), "", 'Data Entry'!$õ$768)</f>
      </c>
      <c r="FZ768">
        <f>IF(ISBLANK('Data Entry'!$ö$768), "", 'Data Entry'!$ö$768)</f>
      </c>
      <c r="GA768">
        <f>IF(ISBLANK('Data Entry'!$÷$768), "", 'Data Entry'!$÷$768)</f>
      </c>
      <c r="GB768">
        <f>IF(ISBLANK('Data Entry'!$ø$768), "", 'Data Entry'!$ø$768)</f>
      </c>
      <c r="GC768">
        <f>IF(ISBLANK('Data Entry'!$ù$768), "", 'Data Entry'!$ù$768)</f>
      </c>
      <c r="GD768">
        <f>IF(ISBLANK('Data Entry'!$ú$768), "", 'Data Entry'!$ú$768)</f>
      </c>
      <c r="GE768">
        <f>IF(ISBLANK('Data Entry'!$û$768), "", 'Data Entry'!$û$768)</f>
      </c>
      <c r="GF768">
        <f>IF(ISBLANK('Data Entry'!$ü$768), "", 'Data Entry'!$ü$768)</f>
      </c>
      <c r="GG768">
        <f>IF(ISBLANK('Data Entry'!$ý$768), "", 'Data Entry'!$ý$768)</f>
      </c>
      <c r="GH768">
        <f>IF(ISBLANK('Data Entry'!$þ$768), "", 'Data Entry'!$þ$768)</f>
      </c>
      <c r="GI768">
        <f>IF(ISBLANK('Data Entry'!$ÿ$768), "", 'Data Entry'!$ÿ$768)</f>
      </c>
      <c r="GJ768">
        <f>IF(ISBLANK('Data Entry'!$Ā$768), "", 'Data Entry'!$Ā$768)</f>
      </c>
      <c r="GK768">
        <f>IF(ISBLANK('Data Entry'!$ā$768), "", 'Data Entry'!$ā$768)</f>
      </c>
      <c r="GL768">
        <f>IF(ISBLANK('Data Entry'!$Ă$768), "", 'Data Entry'!$Ă$768)</f>
      </c>
      <c r="GM768">
        <f>IF(ISBLANK('Data Entry'!$ă$768), "", 'Data Entry'!$ă$768)</f>
      </c>
      <c r="GN768">
        <f>IF(ISBLANK('Data Entry'!$Ą$768), "", 'Data Entry'!$Ą$768)</f>
      </c>
      <c r="GO768">
        <f>IF(ISBLANK('Data Entry'!$ą$768), "", 'Data Entry'!$ą$768)</f>
      </c>
      <c r="GP768">
        <f>IF(ISBLANK('Data Entry'!$Ć$768), "", 'Data Entry'!$Ć$768)</f>
      </c>
      <c r="GQ768">
        <f>IF(ISBLANK('Data Entry'!$ć$768), "", 'Data Entry'!$ć$768)</f>
      </c>
      <c r="GR768">
        <f>IF(ISBLANK('Data Entry'!$Ĉ$768), "", 'Data Entry'!$Ĉ$768)</f>
      </c>
      <c r="GS768">
        <f>IF(ISBLANK('Data Entry'!$ĉ$768), "", 'Data Entry'!$ĉ$768)</f>
      </c>
      <c r="GT768">
        <f>IF(ISBLANK('Data Entry'!$Ċ$768), "", 'Data Entry'!$Ċ$768)</f>
      </c>
      <c r="GU768">
        <f>IF(ISBLANK('Data Entry'!$ċ$768), "", 'Data Entry'!$ċ$768)</f>
      </c>
      <c r="GV768">
        <f>IF(ISBLANK('Data Entry'!$Č$768), "", 'Data Entry'!$Č$768)</f>
      </c>
      <c r="GW768">
        <f>IF(ISBLANK('Data Entry'!$č$768), "", 'Data Entry'!$č$768)</f>
      </c>
      <c r="GX768">
        <f>IF(ISBLANK('Data Entry'!$Ď$768), "", 'Data Entry'!$Ď$768)</f>
      </c>
      <c r="GY768">
        <f>IF(ISBLANK('Data Entry'!$ď$768), "", 'Data Entry'!$ď$768)</f>
      </c>
      <c r="GZ768">
        <f>IF(ISBLANK('Data Entry'!$Đ$768), "", 'Data Entry'!$Đ$768)</f>
      </c>
      <c r="HA768">
        <f>IF(ISBLANK('Data Entry'!$đ$768), "", 'Data Entry'!$đ$768)</f>
      </c>
      <c r="HB768">
        <f>IF(ISBLANK('Data Entry'!$Ē$768), "", 'Data Entry'!$Ē$768)</f>
      </c>
      <c r="HC768">
        <f>IF(ISBLANK('Data Entry'!$ē$768), "", 'Data Entry'!$ē$768)</f>
      </c>
      <c r="HD768">
        <f>IF(ISBLANK('Data Entry'!$Ĕ$768), "", 'Data Entry'!$Ĕ$768)</f>
      </c>
      <c r="HE768">
        <f>IF(ISBLANK('Data Entry'!$ĕ$768), "", 'Data Entry'!$ĕ$768)</f>
      </c>
      <c r="HF768">
        <f>IF(ISBLANK('Data Entry'!$Ė$768), "", 'Data Entry'!$Ė$768)</f>
      </c>
      <c r="HG768">
        <f>IF(ISBLANK('Data Entry'!$ė$768), "", 'Data Entry'!$ė$768)</f>
      </c>
      <c r="HH768">
        <f>IF(ISBLANK('Data Entry'!$Ę$768), "", 'Data Entry'!$Ę$768)</f>
      </c>
      <c r="HI768">
        <f>IF(ISBLANK('Data Entry'!$ę$768), "", 'Data Entry'!$ę$768)</f>
      </c>
      <c r="HJ768">
        <f>IF(ISBLANK('Data Entry'!$Ě$768), "", 'Data Entry'!$Ě$768)</f>
      </c>
      <c r="HK768">
        <f>IF(ISBLANK('Data Entry'!$ě$768), "", 'Data Entry'!$ě$768)</f>
      </c>
      <c r="HL768">
        <f>IF(ISBLANK('Data Entry'!$Ĝ$768), "", 'Data Entry'!$Ĝ$768)</f>
      </c>
      <c r="HM768">
        <f>IF(ISBLANK('Data Entry'!$ĝ$768), "", 'Data Entry'!$ĝ$768)</f>
      </c>
      <c r="HN768">
        <f>IF(ISBLANK('Data Entry'!$Ğ$768), "", 'Data Entry'!$Ğ$768)</f>
      </c>
      <c r="HO768">
        <f>IF(ISBLANK('Data Entry'!$ğ$768), "", 'Data Entry'!$ğ$768)</f>
      </c>
      <c r="HP768">
        <f>IF(ISBLANK('Data Entry'!$Ġ$768), "", 'Data Entry'!$Ġ$768)</f>
      </c>
      <c r="HQ768">
        <f>IF(ISBLANK('Data Entry'!$ġ$768), "", 'Data Entry'!$ġ$768)</f>
      </c>
      <c r="HR768">
        <f>IF(ISBLANK('Data Entry'!$Ģ$768), "", 'Data Entry'!$Ģ$768)</f>
      </c>
      <c r="HS768">
        <f>IF(ISBLANK('Data Entry'!$ģ$768), "", 'Data Entry'!$ģ$768)</f>
      </c>
      <c r="HT768">
        <f>IF(ISBLANK('Data Entry'!$Ĥ$768), "", 'Data Entry'!$Ĥ$768)</f>
      </c>
      <c r="HU768">
        <f>IF(ISBLANK('Data Entry'!$ĥ$768), "", 'Data Entry'!$ĥ$768)</f>
      </c>
      <c r="HV768">
        <f>IF(ISBLANK('Data Entry'!$Ħ$768), "", 'Data Entry'!$Ħ$768)</f>
      </c>
      <c r="HW768">
        <f>IF(ISBLANK('Data Entry'!$ħ$768), "", 'Data Entry'!$ħ$768)</f>
      </c>
      <c r="HX768">
        <f>IF(ISBLANK('Data Entry'!$Ĩ$768), "", 'Data Entry'!$Ĩ$768)</f>
      </c>
      <c r="HY768">
        <f>IF(ISBLANK('Data Entry'!$ĩ$768), "", 'Data Entry'!$ĩ$768)</f>
      </c>
      <c r="HZ768">
        <f>IF(ISBLANK('Data Entry'!$Ī$768), "", 'Data Entry'!$Ī$768)</f>
      </c>
      <c r="IA768">
        <f>IF(ISBLANK('Data Entry'!$ī$768), "", 'Data Entry'!$ī$768)</f>
      </c>
      <c r="IB768">
        <f>IF(ISBLANK('Data Entry'!$Ĭ$768), "", 'Data Entry'!$Ĭ$768)</f>
      </c>
      <c r="IC768">
        <f>IF(ISBLANK('Data Entry'!$ĭ$768), "", 'Data Entry'!$ĭ$768)</f>
      </c>
      <c r="ID768">
        <f>IF(ISBLANK('Data Entry'!$Į$768), "", 'Data Entry'!$Į$768)</f>
      </c>
      <c r="IE768">
        <f>IF(ISBLANK('Data Entry'!$į$768), "", 'Data Entry'!$į$768)</f>
      </c>
      <c r="IF768">
        <f>IF(ISBLANK('Data Entry'!$İ$768), "", 'Data Entry'!$İ$768)</f>
      </c>
      <c r="IG768">
        <f>IF(ISBLANK('Data Entry'!$ı$768), "", 'Data Entry'!$ı$768)</f>
      </c>
      <c r="IH768">
        <f>IF(ISBLANK('Data Entry'!$Ĳ$768), "", 'Data Entry'!$Ĳ$768)</f>
      </c>
      <c r="II768">
        <f>IF(ISBLANK('Data Entry'!$ĳ$768), "", 'Data Entry'!$ĳ$768)</f>
      </c>
      <c r="IJ768">
        <f>IF(ISBLANK('Data Entry'!$Ĵ$768), "", 'Data Entry'!$Ĵ$768)</f>
      </c>
      <c r="IK768">
        <f>IF(ISBLANK('Data Entry'!$ĵ$768), "", 'Data Entry'!$ĵ$768)</f>
      </c>
      <c r="IL768">
        <f>IF(ISBLANK('Data Entry'!$Ķ$768), "", 'Data Entry'!$Ķ$768)</f>
      </c>
      <c r="IM768">
        <f>IF(ISBLANK('Data Entry'!$ķ$768), "", 'Data Entry'!$ķ$768)</f>
      </c>
      <c r="IN768">
        <f>IF(ISBLANK('Data Entry'!$ĸ$768), "", 'Data Entry'!$ĸ$768)</f>
      </c>
      <c r="IO768">
        <f>IF(ISBLANK('Data Entry'!$Ĺ$768), "", 'Data Entry'!$Ĺ$768)</f>
      </c>
      <c r="IP768">
        <f>IF(ISBLANK('Data Entry'!$ĺ$768), "", 'Data Entry'!$ĺ$768)</f>
      </c>
      <c r="IQ768">
        <f>IF(ISBLANK('Data Entry'!$Ļ$768), "", 'Data Entry'!$Ļ$768)</f>
      </c>
      <c r="IR768">
        <f>IF(ISBLANK('Data Entry'!$ļ$768), "", 'Data Entry'!$ļ$768)</f>
      </c>
      <c r="IS768">
        <f>IF(ISBLANK('Data Entry'!$Ľ$768), "", 'Data Entry'!$Ľ$768)</f>
      </c>
      <c r="IT768">
        <f>IF(ISBLANK('Data Entry'!$ľ$768), "", 'Data Entry'!$ľ$768)</f>
      </c>
    </row>
    <row r="769" spans="1:254" x14ac:dyDescent="0.25">
      <c r="A769">
        <f>IF(ISBLANK('Data Entry'!$A$769), "", 'Data Entry'!$A$769)</f>
      </c>
      <c r="B769">
        <f>IF(ISBLANK('Data Entry'!$B$769), "", 'Data Entry'!$B$769)</f>
      </c>
      <c r="C769">
        <f>IF(ISBLANK('Data Entry'!$C$769), "", 'Data Entry'!$C$769)</f>
      </c>
      <c r="D769">
        <f>IF(ISBLANK('Data Entry'!$D$769), "", 'Data Entry'!$D$769)</f>
      </c>
      <c r="E769">
        <f>IF(ISBLANK('Data Entry'!$E$769), "", 'Data Entry'!$E$769)</f>
      </c>
      <c r="F769">
        <f>IF(ISBLANK('Data Entry'!$F$769), "", 'Data Entry'!$F$769)</f>
      </c>
      <c r="G769">
        <f>IF(ISBLANK('Data Entry'!$G$769), "", 'Data Entry'!$G$769)</f>
      </c>
      <c r="H769">
        <f>IF(ISBLANK('Data Entry'!$H$769), "", 'Data Entry'!$H$769)</f>
      </c>
      <c r="I769">
        <f>IF(ISBLANK('Data Entry'!$I$769), "", 'Data Entry'!$I$769)</f>
      </c>
      <c r="J769">
        <f>IF(ISBLANK('Data Entry'!$J$769), "", 'Data Entry'!$J$769)</f>
      </c>
      <c r="K769">
        <f>IF(ISBLANK('Data Entry'!$K$769), "", 'Data Entry'!$K$769)</f>
      </c>
      <c r="L769">
        <f>IF(ISBLANK('Data Entry'!$L$769), "", 'Data Entry'!$L$769)</f>
      </c>
      <c r="M769">
        <f>IF(ISBLANK('Data Entry'!$M$769), "", 'Data Entry'!$M$769)</f>
      </c>
      <c r="N769">
        <f>IF(ISBLANK('Data Entry'!$N$769), "", 'Data Entry'!$N$769)</f>
      </c>
      <c r="O769">
        <f>IF(ISBLANK('Data Entry'!$O$769), "", 'Data Entry'!$O$769)</f>
      </c>
      <c r="P769">
        <f>IF(ISBLANK('Data Entry'!$P$769), "", 'Data Entry'!$P$769)</f>
      </c>
      <c r="Q769">
        <f>IF(ISBLANK('Data Entry'!$Q$769), "", 'Data Entry'!$Q$769)</f>
      </c>
      <c r="R769">
        <f>IF(ISBLANK('Data Entry'!$R$769), "", 'Data Entry'!$R$769)</f>
      </c>
      <c r="S769">
        <f>IF(ISBLANK('Data Entry'!$S$769), "", 'Data Entry'!$S$769)</f>
      </c>
      <c r="T769">
        <f>IF(ISBLANK('Data Entry'!$T$769), "", 'Data Entry'!$T$769)</f>
      </c>
      <c r="U769">
        <f>IF(ISBLANK('Data Entry'!$U$769), "", 'Data Entry'!$U$769)</f>
      </c>
      <c r="V769">
        <f>IF(ISBLANK('Data Entry'!$V$769), "", 'Data Entry'!$V$769)</f>
      </c>
      <c r="W769">
        <f>IF(ISBLANK('Data Entry'!$W$769), "", 'Data Entry'!$W$769)</f>
      </c>
      <c r="X769">
        <f>IF(ISBLANK('Data Entry'!$X$769), "", 'Data Entry'!$X$769)</f>
      </c>
      <c r="Y769">
        <f>IF(ISBLANK('Data Entry'!$Y$769), "", 'Data Entry'!$Y$769)</f>
      </c>
      <c r="Z769">
        <f>IF(ISBLANK('Data Entry'!$Z$769), "", 'Data Entry'!$Z$769)</f>
      </c>
      <c r="AA769">
        <f>IF(ISBLANK('Data Entry'!$[$769), "", 'Data Entry'!$[$769)</f>
      </c>
      <c r="AB769">
        <f>IF(ISBLANK('Data Entry'!$\$769), "", 'Data Entry'!$\$769)</f>
      </c>
      <c r="AC769">
        <f>IF(ISBLANK('Data Entry'!$]$769), "", 'Data Entry'!$]$769)</f>
      </c>
      <c r="AD769">
        <f>IF(ISBLANK('Data Entry'!$^$769), "", 'Data Entry'!$^$769)</f>
      </c>
      <c r="AE769">
        <f>IF(ISBLANK('Data Entry'!$_$769), "", 'Data Entry'!$_$769)</f>
      </c>
      <c r="AF769">
        <f>IF(ISBLANK('Data Entry'!$`$769), "", 'Data Entry'!$`$769)</f>
      </c>
      <c r="AG769">
        <f>IF(ISBLANK('Data Entry'!$a$769), "", 'Data Entry'!$a$769)</f>
      </c>
      <c r="AH769">
        <f>IF(ISBLANK('Data Entry'!$b$769), "", 'Data Entry'!$b$769)</f>
      </c>
      <c r="AI769">
        <f>IF(ISBLANK('Data Entry'!$c$769), "", 'Data Entry'!$c$769)</f>
      </c>
      <c r="AJ769">
        <f>IF(ISBLANK('Data Entry'!$d$769), "", 'Data Entry'!$d$769)</f>
      </c>
      <c r="AK769">
        <f>IF(ISBLANK('Data Entry'!$e$769), "", 'Data Entry'!$e$769)</f>
      </c>
      <c r="AL769">
        <f>IF(ISBLANK('Data Entry'!$f$769), "", 'Data Entry'!$f$769)</f>
      </c>
      <c r="AM769">
        <f>IF(ISBLANK('Data Entry'!$g$769), "", 'Data Entry'!$g$769)</f>
      </c>
      <c r="AN769">
        <f>IF(ISBLANK('Data Entry'!$h$769), "", 'Data Entry'!$h$769)</f>
      </c>
      <c r="AO769">
        <f>IF(ISBLANK('Data Entry'!$i$769), "", 'Data Entry'!$i$769)</f>
      </c>
      <c r="AP769">
        <f>IF(ISBLANK('Data Entry'!$j$769), "", 'Data Entry'!$j$769)</f>
      </c>
      <c r="AQ769">
        <f>IF(ISBLANK('Data Entry'!$k$769), "", 'Data Entry'!$k$769)</f>
      </c>
      <c r="AR769">
        <f>IF(ISBLANK('Data Entry'!$l$769), "", 'Data Entry'!$l$769)</f>
      </c>
      <c r="AS769">
        <f>IF(ISBLANK('Data Entry'!$m$769), "", 'Data Entry'!$m$769)</f>
      </c>
      <c r="AT769">
        <f>IF(ISBLANK('Data Entry'!$n$769), "", 'Data Entry'!$n$769)</f>
      </c>
      <c r="AU769">
        <f>IF(ISBLANK('Data Entry'!$o$769), "", 'Data Entry'!$o$769)</f>
      </c>
      <c r="AV769">
        <f>IF(ISBLANK('Data Entry'!$p$769), "", 'Data Entry'!$p$769)</f>
      </c>
      <c r="AW769">
        <f>IF(ISBLANK('Data Entry'!$q$769), "", 'Data Entry'!$q$769)</f>
      </c>
      <c r="AX769">
        <f>IF(ISBLANK('Data Entry'!$r$769), "", 'Data Entry'!$r$769)</f>
      </c>
      <c r="AY769">
        <f>IF(ISBLANK('Data Entry'!$s$769), "", 'Data Entry'!$s$769)</f>
      </c>
      <c r="AZ769">
        <f>IF(ISBLANK('Data Entry'!$t$769), "", 'Data Entry'!$t$769)</f>
      </c>
      <c r="BA769">
        <f>IF(ISBLANK('Data Entry'!$u$769), "", 'Data Entry'!$u$769)</f>
      </c>
      <c r="BB769">
        <f>IF(ISBLANK('Data Entry'!$v$769), "", 'Data Entry'!$v$769)</f>
      </c>
      <c r="BC769">
        <f>IF(ISBLANK('Data Entry'!$w$769), "", 'Data Entry'!$w$769)</f>
      </c>
      <c r="BD769">
        <f>IF(ISBLANK('Data Entry'!$x$769), "", 'Data Entry'!$x$769)</f>
      </c>
      <c r="BE769">
        <f>IF(ISBLANK('Data Entry'!$y$769), "", 'Data Entry'!$y$769)</f>
      </c>
      <c r="BF769">
        <f>IF(ISBLANK('Data Entry'!$z$769), "", 'Data Entry'!$z$769)</f>
      </c>
      <c r="BG769">
        <f>IF(ISBLANK('Data Entry'!${$769), "", 'Data Entry'!${$769)</f>
      </c>
      <c r="BH769">
        <f>IF(ISBLANK('Data Entry'!$|$769), "", 'Data Entry'!$|$769)</f>
      </c>
      <c r="BI769">
        <f>IF(ISBLANK('Data Entry'!$}$769), "", 'Data Entry'!$}$769)</f>
      </c>
      <c r="BJ769">
        <f>IF(ISBLANK('Data Entry'!$~$769), "", 'Data Entry'!$~$769)</f>
      </c>
      <c r="BK769">
        <f>IF(ISBLANK('Data Entry'!$$769), "", 'Data Entry'!$$769)</f>
      </c>
      <c r="BL769">
        <f>IF(ISBLANK('Data Entry'!$$769), "", 'Data Entry'!$$769)</f>
      </c>
      <c r="BM769">
        <f>IF(ISBLANK('Data Entry'!$$769), "", 'Data Entry'!$$769)</f>
      </c>
      <c r="BN769">
        <f>IF(ISBLANK('Data Entry'!$$769), "", 'Data Entry'!$$769)</f>
      </c>
      <c r="BO769">
        <f>IF(ISBLANK('Data Entry'!$$769), "", 'Data Entry'!$$769)</f>
      </c>
      <c r="BP769">
        <f>IF(ISBLANK('Data Entry'!$$769), "", 'Data Entry'!$$769)</f>
      </c>
      <c r="BQ769">
        <f>IF(ISBLANK('Data Entry'!$$769), "", 'Data Entry'!$$769)</f>
      </c>
      <c r="BR769">
        <f>IF(ISBLANK('Data Entry'!$$769), "", 'Data Entry'!$$769)</f>
      </c>
      <c r="BS769">
        <f>IF(ISBLANK('Data Entry'!$$769), "", 'Data Entry'!$$769)</f>
      </c>
      <c r="BT769">
        <f>IF(ISBLANK('Data Entry'!$$769), "", 'Data Entry'!$$769)</f>
      </c>
      <c r="BU769">
        <f>IF(ISBLANK('Data Entry'!$$769), "", 'Data Entry'!$$769)</f>
      </c>
      <c r="BV769">
        <f>IF(ISBLANK('Data Entry'!$$769), "", 'Data Entry'!$$769)</f>
      </c>
      <c r="BW769">
        <f>IF(ISBLANK('Data Entry'!$$769), "", 'Data Entry'!$$769)</f>
      </c>
      <c r="BX769">
        <f>IF(ISBLANK('Data Entry'!$$769), "", 'Data Entry'!$$769)</f>
      </c>
      <c r="BY769">
        <f>IF(ISBLANK('Data Entry'!$$769), "", 'Data Entry'!$$769)</f>
      </c>
      <c r="BZ769">
        <f>IF(ISBLANK('Data Entry'!$$769), "", 'Data Entry'!$$769)</f>
      </c>
      <c r="CA769">
        <f>IF(ISBLANK('Data Entry'!$$769), "", 'Data Entry'!$$769)</f>
      </c>
      <c r="CB769">
        <f>IF(ISBLANK('Data Entry'!$$769), "", 'Data Entry'!$$769)</f>
      </c>
      <c r="CC769">
        <f>IF(ISBLANK('Data Entry'!$$769), "", 'Data Entry'!$$769)</f>
      </c>
      <c r="CD769">
        <f>IF(ISBLANK('Data Entry'!$$769), "", 'Data Entry'!$$769)</f>
      </c>
      <c r="CE769">
        <f>IF(ISBLANK('Data Entry'!$$769), "", 'Data Entry'!$$769)</f>
      </c>
      <c r="CF769">
        <f>IF(ISBLANK('Data Entry'!$$769), "", 'Data Entry'!$$769)</f>
      </c>
      <c r="CG769">
        <f>IF(ISBLANK('Data Entry'!$$769), "", 'Data Entry'!$$769)</f>
      </c>
      <c r="CH769">
        <f>IF(ISBLANK('Data Entry'!$$769), "", 'Data Entry'!$$769)</f>
      </c>
      <c r="CI769">
        <f>IF(ISBLANK('Data Entry'!$$769), "", 'Data Entry'!$$769)</f>
      </c>
      <c r="CJ769">
        <f>IF(ISBLANK('Data Entry'!$$769), "", 'Data Entry'!$$769)</f>
      </c>
      <c r="CK769">
        <f>IF(ISBLANK('Data Entry'!$$769), "", 'Data Entry'!$$769)</f>
      </c>
      <c r="CL769">
        <f>IF(ISBLANK('Data Entry'!$$769), "", 'Data Entry'!$$769)</f>
      </c>
      <c r="CM769">
        <f>IF(ISBLANK('Data Entry'!$$769), "", 'Data Entry'!$$769)</f>
      </c>
      <c r="CN769">
        <f>IF(ISBLANK('Data Entry'!$$769), "", 'Data Entry'!$$769)</f>
      </c>
      <c r="CO769">
        <f>IF(ISBLANK('Data Entry'!$$769), "", 'Data Entry'!$$769)</f>
      </c>
      <c r="CP769">
        <f>IF(ISBLANK('Data Entry'!$$769), "", 'Data Entry'!$$769)</f>
      </c>
      <c r="CQ769">
        <f>IF(ISBLANK('Data Entry'!$$769), "", 'Data Entry'!$$769)</f>
      </c>
      <c r="CR769">
        <f>IF(ISBLANK('Data Entry'!$ $769), "", 'Data Entry'!$ $769)</f>
      </c>
      <c r="CS769">
        <f>IF(ISBLANK('Data Entry'!$¡$769), "", 'Data Entry'!$¡$769)</f>
      </c>
      <c r="CT769">
        <f>IF(ISBLANK('Data Entry'!$¢$769), "", 'Data Entry'!$¢$769)</f>
      </c>
      <c r="CU769">
        <f>IF(ISBLANK('Data Entry'!$£$769), "", 'Data Entry'!$£$769)</f>
      </c>
      <c r="CV769">
        <f>IF(ISBLANK('Data Entry'!$¤$769), "", 'Data Entry'!$¤$769)</f>
      </c>
      <c r="CW769">
        <f>IF(ISBLANK('Data Entry'!$¥$769), "", 'Data Entry'!$¥$769)</f>
      </c>
      <c r="CX769">
        <f>IF(ISBLANK('Data Entry'!$¦$769), "", 'Data Entry'!$¦$769)</f>
      </c>
      <c r="CY769">
        <f>IF(ISBLANK('Data Entry'!$§$769), "", 'Data Entry'!$§$769)</f>
      </c>
      <c r="CZ769">
        <f>IF(ISBLANK('Data Entry'!$¨$769), "", 'Data Entry'!$¨$769)</f>
      </c>
      <c r="DA769">
        <f>IF(ISBLANK('Data Entry'!$©$769), "", 'Data Entry'!$©$769)</f>
      </c>
      <c r="DB769">
        <f>IF(ISBLANK('Data Entry'!$ª$769), "", 'Data Entry'!$ª$769)</f>
      </c>
      <c r="DC769">
        <f>IF(ISBLANK('Data Entry'!$«$769), "", 'Data Entry'!$«$769)</f>
      </c>
      <c r="DD769">
        <f>IF(ISBLANK('Data Entry'!$¬$769), "", 'Data Entry'!$¬$769)</f>
      </c>
      <c r="DE769">
        <f>IF(ISBLANK('Data Entry'!$­$769), "", 'Data Entry'!$­$769)</f>
      </c>
      <c r="DF769">
        <f>IF(ISBLANK('Data Entry'!$®$769), "", 'Data Entry'!$®$769)</f>
      </c>
      <c r="DG769">
        <f>IF(ISBLANK('Data Entry'!$¯$769), "", 'Data Entry'!$¯$769)</f>
      </c>
      <c r="DH769">
        <f>IF(ISBLANK('Data Entry'!$°$769), "", 'Data Entry'!$°$769)</f>
      </c>
      <c r="DI769">
        <f>IF(ISBLANK('Data Entry'!$±$769), "", 'Data Entry'!$±$769)</f>
      </c>
      <c r="DJ769">
        <f>IF(ISBLANK('Data Entry'!$²$769), "", 'Data Entry'!$²$769)</f>
      </c>
      <c r="DK769">
        <f>IF(ISBLANK('Data Entry'!$³$769), "", 'Data Entry'!$³$769)</f>
      </c>
      <c r="DL769">
        <f>IF(ISBLANK('Data Entry'!$´$769), "", 'Data Entry'!$´$769)</f>
      </c>
      <c r="DM769">
        <f>IF(ISBLANK('Data Entry'!$µ$769), "", 'Data Entry'!$µ$769)</f>
      </c>
      <c r="DN769">
        <f>IF(ISBLANK('Data Entry'!$¶$769), "", 'Data Entry'!$¶$769)</f>
      </c>
      <c r="DO769">
        <f>IF(ISBLANK('Data Entry'!$·$769), "", 'Data Entry'!$·$769)</f>
      </c>
      <c r="DP769">
        <f>IF(ISBLANK('Data Entry'!$¸$769), "", 'Data Entry'!$¸$769)</f>
      </c>
      <c r="DQ769">
        <f>IF(ISBLANK('Data Entry'!$¹$769), "", 'Data Entry'!$¹$769)</f>
      </c>
      <c r="DR769">
        <f>IF(ISBLANK('Data Entry'!$º$769), "", 'Data Entry'!$º$769)</f>
      </c>
      <c r="DS769">
        <f>IF(ISBLANK('Data Entry'!$»$769), "", 'Data Entry'!$»$769)</f>
      </c>
      <c r="DT769">
        <f>IF(ISBLANK('Data Entry'!$¼$769), "", 'Data Entry'!$¼$769)</f>
      </c>
      <c r="DU769">
        <f>IF(ISBLANK('Data Entry'!$½$769), "", 'Data Entry'!$½$769)</f>
      </c>
      <c r="DV769">
        <f>IF(ISBLANK('Data Entry'!$¾$769), "", 'Data Entry'!$¾$769)</f>
      </c>
      <c r="DW769">
        <f>IF(ISBLANK('Data Entry'!$¿$769), "", 'Data Entry'!$¿$769)</f>
      </c>
      <c r="DX769">
        <f>IF(ISBLANK('Data Entry'!$À$769), "", 'Data Entry'!$À$769)</f>
      </c>
      <c r="DY769">
        <f>IF(ISBLANK('Data Entry'!$Á$769), "", 'Data Entry'!$Á$769)</f>
      </c>
      <c r="DZ769">
        <f>IF(ISBLANK('Data Entry'!$Â$769), "", 'Data Entry'!$Â$769)</f>
      </c>
      <c r="EA769">
        <f>IF(ISBLANK('Data Entry'!$Ã$769), "", 'Data Entry'!$Ã$769)</f>
      </c>
      <c r="EB769">
        <f>IF(ISBLANK('Data Entry'!$Ä$769), "", 'Data Entry'!$Ä$769)</f>
      </c>
      <c r="EC769">
        <f>IF(ISBLANK('Data Entry'!$Å$769), "", 'Data Entry'!$Å$769)</f>
      </c>
      <c r="ED769">
        <f>IF(ISBLANK('Data Entry'!$Æ$769), "", 'Data Entry'!$Æ$769)</f>
      </c>
      <c r="EE769">
        <f>IF(ISBLANK('Data Entry'!$Ç$769), "", 'Data Entry'!$Ç$769)</f>
      </c>
      <c r="EF769">
        <f>IF(ISBLANK('Data Entry'!$È$769), "", 'Data Entry'!$È$769)</f>
      </c>
      <c r="EG769">
        <f>IF(ISBLANK('Data Entry'!$É$769), "", 'Data Entry'!$É$769)</f>
      </c>
      <c r="EH769">
        <f>IF(ISBLANK('Data Entry'!$Ê$769), "", 'Data Entry'!$Ê$769)</f>
      </c>
      <c r="EI769">
        <f>IF(ISBLANK('Data Entry'!$Ë$769), "", 'Data Entry'!$Ë$769)</f>
      </c>
      <c r="EJ769">
        <f>IF(ISBLANK('Data Entry'!$Ì$769), "", 'Data Entry'!$Ì$769)</f>
      </c>
      <c r="EK769">
        <f>IF(ISBLANK('Data Entry'!$Í$769), "", 'Data Entry'!$Í$769)</f>
      </c>
      <c r="EL769">
        <f>IF(ISBLANK('Data Entry'!$Î$769), "", 'Data Entry'!$Î$769)</f>
      </c>
      <c r="EM769">
        <f>IF(ISBLANK('Data Entry'!$Ï$769), "", 'Data Entry'!$Ï$769)</f>
      </c>
      <c r="EN769">
        <f>IF(ISBLANK('Data Entry'!$Ð$769), "", 'Data Entry'!$Ð$769)</f>
      </c>
      <c r="EO769">
        <f>IF(ISBLANK('Data Entry'!$Ñ$769), "", 'Data Entry'!$Ñ$769)</f>
      </c>
      <c r="EP769">
        <f>IF(ISBLANK('Data Entry'!$Ò$769), "", 'Data Entry'!$Ò$769)</f>
      </c>
      <c r="EQ769">
        <f>IF(ISBLANK('Data Entry'!$Ó$769), "", 'Data Entry'!$Ó$769)</f>
      </c>
      <c r="ER769">
        <f>IF(ISBLANK('Data Entry'!$Ô$769), "", 'Data Entry'!$Ô$769)</f>
      </c>
      <c r="ES769">
        <f>IF(ISBLANK('Data Entry'!$Õ$769), "", 'Data Entry'!$Õ$769)</f>
      </c>
      <c r="ET769">
        <f>IF(ISBLANK('Data Entry'!$Ö$769), "", 'Data Entry'!$Ö$769)</f>
      </c>
      <c r="EU769">
        <f>IF(ISBLANK('Data Entry'!$×$769), "", 'Data Entry'!$×$769)</f>
      </c>
      <c r="EV769">
        <f>IF(ISBLANK('Data Entry'!$Ø$769), "", 'Data Entry'!$Ø$769)</f>
      </c>
      <c r="EW769">
        <f>IF(ISBLANK('Data Entry'!$Ù$769), "", 'Data Entry'!$Ù$769)</f>
      </c>
      <c r="EX769">
        <f>IF(ISBLANK('Data Entry'!$Ú$769), "", 'Data Entry'!$Ú$769)</f>
      </c>
      <c r="EY769">
        <f>IF(ISBLANK('Data Entry'!$Û$769), "", 'Data Entry'!$Û$769)</f>
      </c>
      <c r="EZ769">
        <f>IF(ISBLANK('Data Entry'!$Ü$769), "", 'Data Entry'!$Ü$769)</f>
      </c>
      <c r="FA769">
        <f>IF(ISBLANK('Data Entry'!$Ý$769), "", 'Data Entry'!$Ý$769)</f>
      </c>
      <c r="FB769">
        <f>IF(ISBLANK('Data Entry'!$Þ$769), "", 'Data Entry'!$Þ$769)</f>
      </c>
      <c r="FC769">
        <f>IF(ISBLANK('Data Entry'!$ß$769), "", 'Data Entry'!$ß$769)</f>
      </c>
      <c r="FD769">
        <f>IF(ISBLANK('Data Entry'!$à$769), "", 'Data Entry'!$à$769)</f>
      </c>
      <c r="FE769">
        <f>IF(ISBLANK('Data Entry'!$á$769), "", 'Data Entry'!$á$769)</f>
      </c>
      <c r="FF769">
        <f>IF(ISBLANK('Data Entry'!$â$769), "", 'Data Entry'!$â$769)</f>
      </c>
      <c r="FG769">
        <f>IF(ISBLANK('Data Entry'!$ã$769), "", 'Data Entry'!$ã$769)</f>
      </c>
      <c r="FH769">
        <f>IF(ISBLANK('Data Entry'!$ä$769), "", 'Data Entry'!$ä$769)</f>
      </c>
      <c r="FI769">
        <f>IF(ISBLANK('Data Entry'!$å$769), "", 'Data Entry'!$å$769)</f>
      </c>
      <c r="FJ769">
        <f>IF(ISBLANK('Data Entry'!$æ$769), "", 'Data Entry'!$æ$769)</f>
      </c>
      <c r="FK769">
        <f>IF(ISBLANK('Data Entry'!$ç$769), "", 'Data Entry'!$ç$769)</f>
      </c>
      <c r="FL769">
        <f>IF(ISBLANK('Data Entry'!$è$769), "", 'Data Entry'!$è$769)</f>
      </c>
      <c r="FM769">
        <f>IF(ISBLANK('Data Entry'!$é$769), "", 'Data Entry'!$é$769)</f>
      </c>
      <c r="FN769">
        <f>IF(ISBLANK('Data Entry'!$ê$769), "", 'Data Entry'!$ê$769)</f>
      </c>
      <c r="FO769">
        <f>IF(ISBLANK('Data Entry'!$ë$769), "", 'Data Entry'!$ë$769)</f>
      </c>
      <c r="FP769">
        <f>IF(ISBLANK('Data Entry'!$ì$769), "", 'Data Entry'!$ì$769)</f>
      </c>
      <c r="FQ769">
        <f>IF(ISBLANK('Data Entry'!$í$769), "", 'Data Entry'!$í$769)</f>
      </c>
      <c r="FR769">
        <f>IF(ISBLANK('Data Entry'!$î$769), "", 'Data Entry'!$î$769)</f>
      </c>
      <c r="FS769">
        <f>IF(ISBLANK('Data Entry'!$ï$769), "", 'Data Entry'!$ï$769)</f>
      </c>
      <c r="FT769">
        <f>IF(ISBLANK('Data Entry'!$ð$769), "", 'Data Entry'!$ð$769)</f>
      </c>
      <c r="FU769">
        <f>IF(ISBLANK('Data Entry'!$ñ$769), "", 'Data Entry'!$ñ$769)</f>
      </c>
      <c r="FV769">
        <f>IF(ISBLANK('Data Entry'!$ò$769), "", 'Data Entry'!$ò$769)</f>
      </c>
      <c r="FW769">
        <f>IF(ISBLANK('Data Entry'!$ó$769), "", 'Data Entry'!$ó$769)</f>
      </c>
      <c r="FX769">
        <f>IF(ISBLANK('Data Entry'!$ô$769), "", 'Data Entry'!$ô$769)</f>
      </c>
      <c r="FY769">
        <f>IF(ISBLANK('Data Entry'!$õ$769), "", 'Data Entry'!$õ$769)</f>
      </c>
      <c r="FZ769">
        <f>IF(ISBLANK('Data Entry'!$ö$769), "", 'Data Entry'!$ö$769)</f>
      </c>
      <c r="GA769">
        <f>IF(ISBLANK('Data Entry'!$÷$769), "", 'Data Entry'!$÷$769)</f>
      </c>
      <c r="GB769">
        <f>IF(ISBLANK('Data Entry'!$ø$769), "", 'Data Entry'!$ø$769)</f>
      </c>
      <c r="GC769">
        <f>IF(ISBLANK('Data Entry'!$ù$769), "", 'Data Entry'!$ù$769)</f>
      </c>
      <c r="GD769">
        <f>IF(ISBLANK('Data Entry'!$ú$769), "", 'Data Entry'!$ú$769)</f>
      </c>
      <c r="GE769">
        <f>IF(ISBLANK('Data Entry'!$û$769), "", 'Data Entry'!$û$769)</f>
      </c>
      <c r="GF769">
        <f>IF(ISBLANK('Data Entry'!$ü$769), "", 'Data Entry'!$ü$769)</f>
      </c>
      <c r="GG769">
        <f>IF(ISBLANK('Data Entry'!$ý$769), "", 'Data Entry'!$ý$769)</f>
      </c>
      <c r="GH769">
        <f>IF(ISBLANK('Data Entry'!$þ$769), "", 'Data Entry'!$þ$769)</f>
      </c>
      <c r="GI769">
        <f>IF(ISBLANK('Data Entry'!$ÿ$769), "", 'Data Entry'!$ÿ$769)</f>
      </c>
      <c r="GJ769">
        <f>IF(ISBLANK('Data Entry'!$Ā$769), "", 'Data Entry'!$Ā$769)</f>
      </c>
      <c r="GK769">
        <f>IF(ISBLANK('Data Entry'!$ā$769), "", 'Data Entry'!$ā$769)</f>
      </c>
      <c r="GL769">
        <f>IF(ISBLANK('Data Entry'!$Ă$769), "", 'Data Entry'!$Ă$769)</f>
      </c>
      <c r="GM769">
        <f>IF(ISBLANK('Data Entry'!$ă$769), "", 'Data Entry'!$ă$769)</f>
      </c>
      <c r="GN769">
        <f>IF(ISBLANK('Data Entry'!$Ą$769), "", 'Data Entry'!$Ą$769)</f>
      </c>
      <c r="GO769">
        <f>IF(ISBLANK('Data Entry'!$ą$769), "", 'Data Entry'!$ą$769)</f>
      </c>
      <c r="GP769">
        <f>IF(ISBLANK('Data Entry'!$Ć$769), "", 'Data Entry'!$Ć$769)</f>
      </c>
      <c r="GQ769">
        <f>IF(ISBLANK('Data Entry'!$ć$769), "", 'Data Entry'!$ć$769)</f>
      </c>
      <c r="GR769">
        <f>IF(ISBLANK('Data Entry'!$Ĉ$769), "", 'Data Entry'!$Ĉ$769)</f>
      </c>
      <c r="GS769">
        <f>IF(ISBLANK('Data Entry'!$ĉ$769), "", 'Data Entry'!$ĉ$769)</f>
      </c>
      <c r="GT769">
        <f>IF(ISBLANK('Data Entry'!$Ċ$769), "", 'Data Entry'!$Ċ$769)</f>
      </c>
      <c r="GU769">
        <f>IF(ISBLANK('Data Entry'!$ċ$769), "", 'Data Entry'!$ċ$769)</f>
      </c>
      <c r="GV769">
        <f>IF(ISBLANK('Data Entry'!$Č$769), "", 'Data Entry'!$Č$769)</f>
      </c>
      <c r="GW769">
        <f>IF(ISBLANK('Data Entry'!$č$769), "", 'Data Entry'!$č$769)</f>
      </c>
      <c r="GX769">
        <f>IF(ISBLANK('Data Entry'!$Ď$769), "", 'Data Entry'!$Ď$769)</f>
      </c>
      <c r="GY769">
        <f>IF(ISBLANK('Data Entry'!$ď$769), "", 'Data Entry'!$ď$769)</f>
      </c>
      <c r="GZ769">
        <f>IF(ISBLANK('Data Entry'!$Đ$769), "", 'Data Entry'!$Đ$769)</f>
      </c>
      <c r="HA769">
        <f>IF(ISBLANK('Data Entry'!$đ$769), "", 'Data Entry'!$đ$769)</f>
      </c>
      <c r="HB769">
        <f>IF(ISBLANK('Data Entry'!$Ē$769), "", 'Data Entry'!$Ē$769)</f>
      </c>
      <c r="HC769">
        <f>IF(ISBLANK('Data Entry'!$ē$769), "", 'Data Entry'!$ē$769)</f>
      </c>
      <c r="HD769">
        <f>IF(ISBLANK('Data Entry'!$Ĕ$769), "", 'Data Entry'!$Ĕ$769)</f>
      </c>
      <c r="HE769">
        <f>IF(ISBLANK('Data Entry'!$ĕ$769), "", 'Data Entry'!$ĕ$769)</f>
      </c>
      <c r="HF769">
        <f>IF(ISBLANK('Data Entry'!$Ė$769), "", 'Data Entry'!$Ė$769)</f>
      </c>
      <c r="HG769">
        <f>IF(ISBLANK('Data Entry'!$ė$769), "", 'Data Entry'!$ė$769)</f>
      </c>
      <c r="HH769">
        <f>IF(ISBLANK('Data Entry'!$Ę$769), "", 'Data Entry'!$Ę$769)</f>
      </c>
      <c r="HI769">
        <f>IF(ISBLANK('Data Entry'!$ę$769), "", 'Data Entry'!$ę$769)</f>
      </c>
      <c r="HJ769">
        <f>IF(ISBLANK('Data Entry'!$Ě$769), "", 'Data Entry'!$Ě$769)</f>
      </c>
      <c r="HK769">
        <f>IF(ISBLANK('Data Entry'!$ě$769), "", 'Data Entry'!$ě$769)</f>
      </c>
      <c r="HL769">
        <f>IF(ISBLANK('Data Entry'!$Ĝ$769), "", 'Data Entry'!$Ĝ$769)</f>
      </c>
      <c r="HM769">
        <f>IF(ISBLANK('Data Entry'!$ĝ$769), "", 'Data Entry'!$ĝ$769)</f>
      </c>
      <c r="HN769">
        <f>IF(ISBLANK('Data Entry'!$Ğ$769), "", 'Data Entry'!$Ğ$769)</f>
      </c>
      <c r="HO769">
        <f>IF(ISBLANK('Data Entry'!$ğ$769), "", 'Data Entry'!$ğ$769)</f>
      </c>
      <c r="HP769">
        <f>IF(ISBLANK('Data Entry'!$Ġ$769), "", 'Data Entry'!$Ġ$769)</f>
      </c>
      <c r="HQ769">
        <f>IF(ISBLANK('Data Entry'!$ġ$769), "", 'Data Entry'!$ġ$769)</f>
      </c>
      <c r="HR769">
        <f>IF(ISBLANK('Data Entry'!$Ģ$769), "", 'Data Entry'!$Ģ$769)</f>
      </c>
      <c r="HS769">
        <f>IF(ISBLANK('Data Entry'!$ģ$769), "", 'Data Entry'!$ģ$769)</f>
      </c>
      <c r="HT769">
        <f>IF(ISBLANK('Data Entry'!$Ĥ$769), "", 'Data Entry'!$Ĥ$769)</f>
      </c>
      <c r="HU769">
        <f>IF(ISBLANK('Data Entry'!$ĥ$769), "", 'Data Entry'!$ĥ$769)</f>
      </c>
      <c r="HV769">
        <f>IF(ISBLANK('Data Entry'!$Ħ$769), "", 'Data Entry'!$Ħ$769)</f>
      </c>
      <c r="HW769">
        <f>IF(ISBLANK('Data Entry'!$ħ$769), "", 'Data Entry'!$ħ$769)</f>
      </c>
      <c r="HX769">
        <f>IF(ISBLANK('Data Entry'!$Ĩ$769), "", 'Data Entry'!$Ĩ$769)</f>
      </c>
      <c r="HY769">
        <f>IF(ISBLANK('Data Entry'!$ĩ$769), "", 'Data Entry'!$ĩ$769)</f>
      </c>
      <c r="HZ769">
        <f>IF(ISBLANK('Data Entry'!$Ī$769), "", 'Data Entry'!$Ī$769)</f>
      </c>
      <c r="IA769">
        <f>IF(ISBLANK('Data Entry'!$ī$769), "", 'Data Entry'!$ī$769)</f>
      </c>
      <c r="IB769">
        <f>IF(ISBLANK('Data Entry'!$Ĭ$769), "", 'Data Entry'!$Ĭ$769)</f>
      </c>
      <c r="IC769">
        <f>IF(ISBLANK('Data Entry'!$ĭ$769), "", 'Data Entry'!$ĭ$769)</f>
      </c>
      <c r="ID769">
        <f>IF(ISBLANK('Data Entry'!$Į$769), "", 'Data Entry'!$Į$769)</f>
      </c>
      <c r="IE769">
        <f>IF(ISBLANK('Data Entry'!$į$769), "", 'Data Entry'!$į$769)</f>
      </c>
      <c r="IF769">
        <f>IF(ISBLANK('Data Entry'!$İ$769), "", 'Data Entry'!$İ$769)</f>
      </c>
      <c r="IG769">
        <f>IF(ISBLANK('Data Entry'!$ı$769), "", 'Data Entry'!$ı$769)</f>
      </c>
      <c r="IH769">
        <f>IF(ISBLANK('Data Entry'!$Ĳ$769), "", 'Data Entry'!$Ĳ$769)</f>
      </c>
      <c r="II769">
        <f>IF(ISBLANK('Data Entry'!$ĳ$769), "", 'Data Entry'!$ĳ$769)</f>
      </c>
      <c r="IJ769">
        <f>IF(ISBLANK('Data Entry'!$Ĵ$769), "", 'Data Entry'!$Ĵ$769)</f>
      </c>
      <c r="IK769">
        <f>IF(ISBLANK('Data Entry'!$ĵ$769), "", 'Data Entry'!$ĵ$769)</f>
      </c>
      <c r="IL769">
        <f>IF(ISBLANK('Data Entry'!$Ķ$769), "", 'Data Entry'!$Ķ$769)</f>
      </c>
      <c r="IM769">
        <f>IF(ISBLANK('Data Entry'!$ķ$769), "", 'Data Entry'!$ķ$769)</f>
      </c>
      <c r="IN769">
        <f>IF(ISBLANK('Data Entry'!$ĸ$769), "", 'Data Entry'!$ĸ$769)</f>
      </c>
      <c r="IO769">
        <f>IF(ISBLANK('Data Entry'!$Ĺ$769), "", 'Data Entry'!$Ĺ$769)</f>
      </c>
      <c r="IP769">
        <f>IF(ISBLANK('Data Entry'!$ĺ$769), "", 'Data Entry'!$ĺ$769)</f>
      </c>
      <c r="IQ769">
        <f>IF(ISBLANK('Data Entry'!$Ļ$769), "", 'Data Entry'!$Ļ$769)</f>
      </c>
      <c r="IR769">
        <f>IF(ISBLANK('Data Entry'!$ļ$769), "", 'Data Entry'!$ļ$769)</f>
      </c>
      <c r="IS769">
        <f>IF(ISBLANK('Data Entry'!$Ľ$769), "", 'Data Entry'!$Ľ$769)</f>
      </c>
      <c r="IT769">
        <f>IF(ISBLANK('Data Entry'!$ľ$769), "", 'Data Entry'!$ľ$769)</f>
      </c>
    </row>
    <row r="770" spans="1:254" x14ac:dyDescent="0.25">
      <c r="A770">
        <f>IF(ISBLANK('Data Entry'!$A$770), "", 'Data Entry'!$A$770)</f>
      </c>
      <c r="B770">
        <f>IF(ISBLANK('Data Entry'!$B$770), "", 'Data Entry'!$B$770)</f>
      </c>
      <c r="C770">
        <f>IF(ISBLANK('Data Entry'!$C$770), "", 'Data Entry'!$C$770)</f>
      </c>
      <c r="D770">
        <f>IF(ISBLANK('Data Entry'!$D$770), "", 'Data Entry'!$D$770)</f>
      </c>
      <c r="E770">
        <f>IF(ISBLANK('Data Entry'!$E$770), "", 'Data Entry'!$E$770)</f>
      </c>
      <c r="F770">
        <f>IF(ISBLANK('Data Entry'!$F$770), "", 'Data Entry'!$F$770)</f>
      </c>
      <c r="G770">
        <f>IF(ISBLANK('Data Entry'!$G$770), "", 'Data Entry'!$G$770)</f>
      </c>
      <c r="H770">
        <f>IF(ISBLANK('Data Entry'!$H$770), "", 'Data Entry'!$H$770)</f>
      </c>
      <c r="I770">
        <f>IF(ISBLANK('Data Entry'!$I$770), "", 'Data Entry'!$I$770)</f>
      </c>
      <c r="J770">
        <f>IF(ISBLANK('Data Entry'!$J$770), "", 'Data Entry'!$J$770)</f>
      </c>
      <c r="K770">
        <f>IF(ISBLANK('Data Entry'!$K$770), "", 'Data Entry'!$K$770)</f>
      </c>
      <c r="L770">
        <f>IF(ISBLANK('Data Entry'!$L$770), "", 'Data Entry'!$L$770)</f>
      </c>
      <c r="M770">
        <f>IF(ISBLANK('Data Entry'!$M$770), "", 'Data Entry'!$M$770)</f>
      </c>
      <c r="N770">
        <f>IF(ISBLANK('Data Entry'!$N$770), "", 'Data Entry'!$N$770)</f>
      </c>
      <c r="O770">
        <f>IF(ISBLANK('Data Entry'!$O$770), "", 'Data Entry'!$O$770)</f>
      </c>
      <c r="P770">
        <f>IF(ISBLANK('Data Entry'!$P$770), "", 'Data Entry'!$P$770)</f>
      </c>
      <c r="Q770">
        <f>IF(ISBLANK('Data Entry'!$Q$770), "", 'Data Entry'!$Q$770)</f>
      </c>
      <c r="R770">
        <f>IF(ISBLANK('Data Entry'!$R$770), "", 'Data Entry'!$R$770)</f>
      </c>
      <c r="S770">
        <f>IF(ISBLANK('Data Entry'!$S$770), "", 'Data Entry'!$S$770)</f>
      </c>
      <c r="T770">
        <f>IF(ISBLANK('Data Entry'!$T$770), "", 'Data Entry'!$T$770)</f>
      </c>
      <c r="U770">
        <f>IF(ISBLANK('Data Entry'!$U$770), "", 'Data Entry'!$U$770)</f>
      </c>
      <c r="V770">
        <f>IF(ISBLANK('Data Entry'!$V$770), "", 'Data Entry'!$V$770)</f>
      </c>
      <c r="W770">
        <f>IF(ISBLANK('Data Entry'!$W$770), "", 'Data Entry'!$W$770)</f>
      </c>
      <c r="X770">
        <f>IF(ISBLANK('Data Entry'!$X$770), "", 'Data Entry'!$X$770)</f>
      </c>
      <c r="Y770">
        <f>IF(ISBLANK('Data Entry'!$Y$770), "", 'Data Entry'!$Y$770)</f>
      </c>
      <c r="Z770">
        <f>IF(ISBLANK('Data Entry'!$Z$770), "", 'Data Entry'!$Z$770)</f>
      </c>
      <c r="AA770">
        <f>IF(ISBLANK('Data Entry'!$[$770), "", 'Data Entry'!$[$770)</f>
      </c>
      <c r="AB770">
        <f>IF(ISBLANK('Data Entry'!$\$770), "", 'Data Entry'!$\$770)</f>
      </c>
      <c r="AC770">
        <f>IF(ISBLANK('Data Entry'!$]$770), "", 'Data Entry'!$]$770)</f>
      </c>
      <c r="AD770">
        <f>IF(ISBLANK('Data Entry'!$^$770), "", 'Data Entry'!$^$770)</f>
      </c>
      <c r="AE770">
        <f>IF(ISBLANK('Data Entry'!$_$770), "", 'Data Entry'!$_$770)</f>
      </c>
      <c r="AF770">
        <f>IF(ISBLANK('Data Entry'!$`$770), "", 'Data Entry'!$`$770)</f>
      </c>
      <c r="AG770">
        <f>IF(ISBLANK('Data Entry'!$a$770), "", 'Data Entry'!$a$770)</f>
      </c>
      <c r="AH770">
        <f>IF(ISBLANK('Data Entry'!$b$770), "", 'Data Entry'!$b$770)</f>
      </c>
      <c r="AI770">
        <f>IF(ISBLANK('Data Entry'!$c$770), "", 'Data Entry'!$c$770)</f>
      </c>
      <c r="AJ770">
        <f>IF(ISBLANK('Data Entry'!$d$770), "", 'Data Entry'!$d$770)</f>
      </c>
      <c r="AK770">
        <f>IF(ISBLANK('Data Entry'!$e$770), "", 'Data Entry'!$e$770)</f>
      </c>
      <c r="AL770">
        <f>IF(ISBLANK('Data Entry'!$f$770), "", 'Data Entry'!$f$770)</f>
      </c>
      <c r="AM770">
        <f>IF(ISBLANK('Data Entry'!$g$770), "", 'Data Entry'!$g$770)</f>
      </c>
      <c r="AN770">
        <f>IF(ISBLANK('Data Entry'!$h$770), "", 'Data Entry'!$h$770)</f>
      </c>
      <c r="AO770">
        <f>IF(ISBLANK('Data Entry'!$i$770), "", 'Data Entry'!$i$770)</f>
      </c>
      <c r="AP770">
        <f>IF(ISBLANK('Data Entry'!$j$770), "", 'Data Entry'!$j$770)</f>
      </c>
      <c r="AQ770">
        <f>IF(ISBLANK('Data Entry'!$k$770), "", 'Data Entry'!$k$770)</f>
      </c>
      <c r="AR770">
        <f>IF(ISBLANK('Data Entry'!$l$770), "", 'Data Entry'!$l$770)</f>
      </c>
      <c r="AS770">
        <f>IF(ISBLANK('Data Entry'!$m$770), "", 'Data Entry'!$m$770)</f>
      </c>
      <c r="AT770">
        <f>IF(ISBLANK('Data Entry'!$n$770), "", 'Data Entry'!$n$770)</f>
      </c>
      <c r="AU770">
        <f>IF(ISBLANK('Data Entry'!$o$770), "", 'Data Entry'!$o$770)</f>
      </c>
      <c r="AV770">
        <f>IF(ISBLANK('Data Entry'!$p$770), "", 'Data Entry'!$p$770)</f>
      </c>
      <c r="AW770">
        <f>IF(ISBLANK('Data Entry'!$q$770), "", 'Data Entry'!$q$770)</f>
      </c>
      <c r="AX770">
        <f>IF(ISBLANK('Data Entry'!$r$770), "", 'Data Entry'!$r$770)</f>
      </c>
      <c r="AY770">
        <f>IF(ISBLANK('Data Entry'!$s$770), "", 'Data Entry'!$s$770)</f>
      </c>
      <c r="AZ770">
        <f>IF(ISBLANK('Data Entry'!$t$770), "", 'Data Entry'!$t$770)</f>
      </c>
      <c r="BA770">
        <f>IF(ISBLANK('Data Entry'!$u$770), "", 'Data Entry'!$u$770)</f>
      </c>
      <c r="BB770">
        <f>IF(ISBLANK('Data Entry'!$v$770), "", 'Data Entry'!$v$770)</f>
      </c>
      <c r="BC770">
        <f>IF(ISBLANK('Data Entry'!$w$770), "", 'Data Entry'!$w$770)</f>
      </c>
      <c r="BD770">
        <f>IF(ISBLANK('Data Entry'!$x$770), "", 'Data Entry'!$x$770)</f>
      </c>
      <c r="BE770">
        <f>IF(ISBLANK('Data Entry'!$y$770), "", 'Data Entry'!$y$770)</f>
      </c>
      <c r="BF770">
        <f>IF(ISBLANK('Data Entry'!$z$770), "", 'Data Entry'!$z$770)</f>
      </c>
      <c r="BG770">
        <f>IF(ISBLANK('Data Entry'!${$770), "", 'Data Entry'!${$770)</f>
      </c>
      <c r="BH770">
        <f>IF(ISBLANK('Data Entry'!$|$770), "", 'Data Entry'!$|$770)</f>
      </c>
      <c r="BI770">
        <f>IF(ISBLANK('Data Entry'!$}$770), "", 'Data Entry'!$}$770)</f>
      </c>
      <c r="BJ770">
        <f>IF(ISBLANK('Data Entry'!$~$770), "", 'Data Entry'!$~$770)</f>
      </c>
      <c r="BK770">
        <f>IF(ISBLANK('Data Entry'!$$770), "", 'Data Entry'!$$770)</f>
      </c>
      <c r="BL770">
        <f>IF(ISBLANK('Data Entry'!$$770), "", 'Data Entry'!$$770)</f>
      </c>
      <c r="BM770">
        <f>IF(ISBLANK('Data Entry'!$$770), "", 'Data Entry'!$$770)</f>
      </c>
      <c r="BN770">
        <f>IF(ISBLANK('Data Entry'!$$770), "", 'Data Entry'!$$770)</f>
      </c>
      <c r="BO770">
        <f>IF(ISBLANK('Data Entry'!$$770), "", 'Data Entry'!$$770)</f>
      </c>
      <c r="BP770">
        <f>IF(ISBLANK('Data Entry'!$$770), "", 'Data Entry'!$$770)</f>
      </c>
      <c r="BQ770">
        <f>IF(ISBLANK('Data Entry'!$$770), "", 'Data Entry'!$$770)</f>
      </c>
      <c r="BR770">
        <f>IF(ISBLANK('Data Entry'!$$770), "", 'Data Entry'!$$770)</f>
      </c>
      <c r="BS770">
        <f>IF(ISBLANK('Data Entry'!$$770), "", 'Data Entry'!$$770)</f>
      </c>
      <c r="BT770">
        <f>IF(ISBLANK('Data Entry'!$$770), "", 'Data Entry'!$$770)</f>
      </c>
      <c r="BU770">
        <f>IF(ISBLANK('Data Entry'!$$770), "", 'Data Entry'!$$770)</f>
      </c>
      <c r="BV770">
        <f>IF(ISBLANK('Data Entry'!$$770), "", 'Data Entry'!$$770)</f>
      </c>
      <c r="BW770">
        <f>IF(ISBLANK('Data Entry'!$$770), "", 'Data Entry'!$$770)</f>
      </c>
      <c r="BX770">
        <f>IF(ISBLANK('Data Entry'!$$770), "", 'Data Entry'!$$770)</f>
      </c>
      <c r="BY770">
        <f>IF(ISBLANK('Data Entry'!$$770), "", 'Data Entry'!$$770)</f>
      </c>
      <c r="BZ770">
        <f>IF(ISBLANK('Data Entry'!$$770), "", 'Data Entry'!$$770)</f>
      </c>
      <c r="CA770">
        <f>IF(ISBLANK('Data Entry'!$$770), "", 'Data Entry'!$$770)</f>
      </c>
      <c r="CB770">
        <f>IF(ISBLANK('Data Entry'!$$770), "", 'Data Entry'!$$770)</f>
      </c>
      <c r="CC770">
        <f>IF(ISBLANK('Data Entry'!$$770), "", 'Data Entry'!$$770)</f>
      </c>
      <c r="CD770">
        <f>IF(ISBLANK('Data Entry'!$$770), "", 'Data Entry'!$$770)</f>
      </c>
      <c r="CE770">
        <f>IF(ISBLANK('Data Entry'!$$770), "", 'Data Entry'!$$770)</f>
      </c>
      <c r="CF770">
        <f>IF(ISBLANK('Data Entry'!$$770), "", 'Data Entry'!$$770)</f>
      </c>
      <c r="CG770">
        <f>IF(ISBLANK('Data Entry'!$$770), "", 'Data Entry'!$$770)</f>
      </c>
      <c r="CH770">
        <f>IF(ISBLANK('Data Entry'!$$770), "", 'Data Entry'!$$770)</f>
      </c>
      <c r="CI770">
        <f>IF(ISBLANK('Data Entry'!$$770), "", 'Data Entry'!$$770)</f>
      </c>
      <c r="CJ770">
        <f>IF(ISBLANK('Data Entry'!$$770), "", 'Data Entry'!$$770)</f>
      </c>
      <c r="CK770">
        <f>IF(ISBLANK('Data Entry'!$$770), "", 'Data Entry'!$$770)</f>
      </c>
      <c r="CL770">
        <f>IF(ISBLANK('Data Entry'!$$770), "", 'Data Entry'!$$770)</f>
      </c>
      <c r="CM770">
        <f>IF(ISBLANK('Data Entry'!$$770), "", 'Data Entry'!$$770)</f>
      </c>
      <c r="CN770">
        <f>IF(ISBLANK('Data Entry'!$$770), "", 'Data Entry'!$$770)</f>
      </c>
      <c r="CO770">
        <f>IF(ISBLANK('Data Entry'!$$770), "", 'Data Entry'!$$770)</f>
      </c>
      <c r="CP770">
        <f>IF(ISBLANK('Data Entry'!$$770), "", 'Data Entry'!$$770)</f>
      </c>
      <c r="CQ770">
        <f>IF(ISBLANK('Data Entry'!$$770), "", 'Data Entry'!$$770)</f>
      </c>
      <c r="CR770">
        <f>IF(ISBLANK('Data Entry'!$ $770), "", 'Data Entry'!$ $770)</f>
      </c>
      <c r="CS770">
        <f>IF(ISBLANK('Data Entry'!$¡$770), "", 'Data Entry'!$¡$770)</f>
      </c>
      <c r="CT770">
        <f>IF(ISBLANK('Data Entry'!$¢$770), "", 'Data Entry'!$¢$770)</f>
      </c>
      <c r="CU770">
        <f>IF(ISBLANK('Data Entry'!$£$770), "", 'Data Entry'!$£$770)</f>
      </c>
      <c r="CV770">
        <f>IF(ISBLANK('Data Entry'!$¤$770), "", 'Data Entry'!$¤$770)</f>
      </c>
      <c r="CW770">
        <f>IF(ISBLANK('Data Entry'!$¥$770), "", 'Data Entry'!$¥$770)</f>
      </c>
      <c r="CX770">
        <f>IF(ISBLANK('Data Entry'!$¦$770), "", 'Data Entry'!$¦$770)</f>
      </c>
      <c r="CY770">
        <f>IF(ISBLANK('Data Entry'!$§$770), "", 'Data Entry'!$§$770)</f>
      </c>
      <c r="CZ770">
        <f>IF(ISBLANK('Data Entry'!$¨$770), "", 'Data Entry'!$¨$770)</f>
      </c>
      <c r="DA770">
        <f>IF(ISBLANK('Data Entry'!$©$770), "", 'Data Entry'!$©$770)</f>
      </c>
      <c r="DB770">
        <f>IF(ISBLANK('Data Entry'!$ª$770), "", 'Data Entry'!$ª$770)</f>
      </c>
      <c r="DC770">
        <f>IF(ISBLANK('Data Entry'!$«$770), "", 'Data Entry'!$«$770)</f>
      </c>
      <c r="DD770">
        <f>IF(ISBLANK('Data Entry'!$¬$770), "", 'Data Entry'!$¬$770)</f>
      </c>
      <c r="DE770">
        <f>IF(ISBLANK('Data Entry'!$­$770), "", 'Data Entry'!$­$770)</f>
      </c>
      <c r="DF770">
        <f>IF(ISBLANK('Data Entry'!$®$770), "", 'Data Entry'!$®$770)</f>
      </c>
      <c r="DG770">
        <f>IF(ISBLANK('Data Entry'!$¯$770), "", 'Data Entry'!$¯$770)</f>
      </c>
      <c r="DH770">
        <f>IF(ISBLANK('Data Entry'!$°$770), "", 'Data Entry'!$°$770)</f>
      </c>
      <c r="DI770">
        <f>IF(ISBLANK('Data Entry'!$±$770), "", 'Data Entry'!$±$770)</f>
      </c>
      <c r="DJ770">
        <f>IF(ISBLANK('Data Entry'!$²$770), "", 'Data Entry'!$²$770)</f>
      </c>
      <c r="DK770">
        <f>IF(ISBLANK('Data Entry'!$³$770), "", 'Data Entry'!$³$770)</f>
      </c>
      <c r="DL770">
        <f>IF(ISBLANK('Data Entry'!$´$770), "", 'Data Entry'!$´$770)</f>
      </c>
      <c r="DM770">
        <f>IF(ISBLANK('Data Entry'!$µ$770), "", 'Data Entry'!$µ$770)</f>
      </c>
      <c r="DN770">
        <f>IF(ISBLANK('Data Entry'!$¶$770), "", 'Data Entry'!$¶$770)</f>
      </c>
      <c r="DO770">
        <f>IF(ISBLANK('Data Entry'!$·$770), "", 'Data Entry'!$·$770)</f>
      </c>
      <c r="DP770">
        <f>IF(ISBLANK('Data Entry'!$¸$770), "", 'Data Entry'!$¸$770)</f>
      </c>
      <c r="DQ770">
        <f>IF(ISBLANK('Data Entry'!$¹$770), "", 'Data Entry'!$¹$770)</f>
      </c>
      <c r="DR770">
        <f>IF(ISBLANK('Data Entry'!$º$770), "", 'Data Entry'!$º$770)</f>
      </c>
      <c r="DS770">
        <f>IF(ISBLANK('Data Entry'!$»$770), "", 'Data Entry'!$»$770)</f>
      </c>
      <c r="DT770">
        <f>IF(ISBLANK('Data Entry'!$¼$770), "", 'Data Entry'!$¼$770)</f>
      </c>
      <c r="DU770">
        <f>IF(ISBLANK('Data Entry'!$½$770), "", 'Data Entry'!$½$770)</f>
      </c>
      <c r="DV770">
        <f>IF(ISBLANK('Data Entry'!$¾$770), "", 'Data Entry'!$¾$770)</f>
      </c>
      <c r="DW770">
        <f>IF(ISBLANK('Data Entry'!$¿$770), "", 'Data Entry'!$¿$770)</f>
      </c>
      <c r="DX770">
        <f>IF(ISBLANK('Data Entry'!$À$770), "", 'Data Entry'!$À$770)</f>
      </c>
      <c r="DY770">
        <f>IF(ISBLANK('Data Entry'!$Á$770), "", 'Data Entry'!$Á$770)</f>
      </c>
      <c r="DZ770">
        <f>IF(ISBLANK('Data Entry'!$Â$770), "", 'Data Entry'!$Â$770)</f>
      </c>
      <c r="EA770">
        <f>IF(ISBLANK('Data Entry'!$Ã$770), "", 'Data Entry'!$Ã$770)</f>
      </c>
      <c r="EB770">
        <f>IF(ISBLANK('Data Entry'!$Ä$770), "", 'Data Entry'!$Ä$770)</f>
      </c>
      <c r="EC770">
        <f>IF(ISBLANK('Data Entry'!$Å$770), "", 'Data Entry'!$Å$770)</f>
      </c>
      <c r="ED770">
        <f>IF(ISBLANK('Data Entry'!$Æ$770), "", 'Data Entry'!$Æ$770)</f>
      </c>
      <c r="EE770">
        <f>IF(ISBLANK('Data Entry'!$Ç$770), "", 'Data Entry'!$Ç$770)</f>
      </c>
      <c r="EF770">
        <f>IF(ISBLANK('Data Entry'!$È$770), "", 'Data Entry'!$È$770)</f>
      </c>
      <c r="EG770">
        <f>IF(ISBLANK('Data Entry'!$É$770), "", 'Data Entry'!$É$770)</f>
      </c>
      <c r="EH770">
        <f>IF(ISBLANK('Data Entry'!$Ê$770), "", 'Data Entry'!$Ê$770)</f>
      </c>
      <c r="EI770">
        <f>IF(ISBLANK('Data Entry'!$Ë$770), "", 'Data Entry'!$Ë$770)</f>
      </c>
      <c r="EJ770">
        <f>IF(ISBLANK('Data Entry'!$Ì$770), "", 'Data Entry'!$Ì$770)</f>
      </c>
      <c r="EK770">
        <f>IF(ISBLANK('Data Entry'!$Í$770), "", 'Data Entry'!$Í$770)</f>
      </c>
      <c r="EL770">
        <f>IF(ISBLANK('Data Entry'!$Î$770), "", 'Data Entry'!$Î$770)</f>
      </c>
      <c r="EM770">
        <f>IF(ISBLANK('Data Entry'!$Ï$770), "", 'Data Entry'!$Ï$770)</f>
      </c>
      <c r="EN770">
        <f>IF(ISBLANK('Data Entry'!$Ð$770), "", 'Data Entry'!$Ð$770)</f>
      </c>
      <c r="EO770">
        <f>IF(ISBLANK('Data Entry'!$Ñ$770), "", 'Data Entry'!$Ñ$770)</f>
      </c>
      <c r="EP770">
        <f>IF(ISBLANK('Data Entry'!$Ò$770), "", 'Data Entry'!$Ò$770)</f>
      </c>
      <c r="EQ770">
        <f>IF(ISBLANK('Data Entry'!$Ó$770), "", 'Data Entry'!$Ó$770)</f>
      </c>
      <c r="ER770">
        <f>IF(ISBLANK('Data Entry'!$Ô$770), "", 'Data Entry'!$Ô$770)</f>
      </c>
      <c r="ES770">
        <f>IF(ISBLANK('Data Entry'!$Õ$770), "", 'Data Entry'!$Õ$770)</f>
      </c>
      <c r="ET770">
        <f>IF(ISBLANK('Data Entry'!$Ö$770), "", 'Data Entry'!$Ö$770)</f>
      </c>
      <c r="EU770">
        <f>IF(ISBLANK('Data Entry'!$×$770), "", 'Data Entry'!$×$770)</f>
      </c>
      <c r="EV770">
        <f>IF(ISBLANK('Data Entry'!$Ø$770), "", 'Data Entry'!$Ø$770)</f>
      </c>
      <c r="EW770">
        <f>IF(ISBLANK('Data Entry'!$Ù$770), "", 'Data Entry'!$Ù$770)</f>
      </c>
      <c r="EX770">
        <f>IF(ISBLANK('Data Entry'!$Ú$770), "", 'Data Entry'!$Ú$770)</f>
      </c>
      <c r="EY770">
        <f>IF(ISBLANK('Data Entry'!$Û$770), "", 'Data Entry'!$Û$770)</f>
      </c>
      <c r="EZ770">
        <f>IF(ISBLANK('Data Entry'!$Ü$770), "", 'Data Entry'!$Ü$770)</f>
      </c>
      <c r="FA770">
        <f>IF(ISBLANK('Data Entry'!$Ý$770), "", 'Data Entry'!$Ý$770)</f>
      </c>
      <c r="FB770">
        <f>IF(ISBLANK('Data Entry'!$Þ$770), "", 'Data Entry'!$Þ$770)</f>
      </c>
      <c r="FC770">
        <f>IF(ISBLANK('Data Entry'!$ß$770), "", 'Data Entry'!$ß$770)</f>
      </c>
      <c r="FD770">
        <f>IF(ISBLANK('Data Entry'!$à$770), "", 'Data Entry'!$à$770)</f>
      </c>
      <c r="FE770">
        <f>IF(ISBLANK('Data Entry'!$á$770), "", 'Data Entry'!$á$770)</f>
      </c>
      <c r="FF770">
        <f>IF(ISBLANK('Data Entry'!$â$770), "", 'Data Entry'!$â$770)</f>
      </c>
      <c r="FG770">
        <f>IF(ISBLANK('Data Entry'!$ã$770), "", 'Data Entry'!$ã$770)</f>
      </c>
      <c r="FH770">
        <f>IF(ISBLANK('Data Entry'!$ä$770), "", 'Data Entry'!$ä$770)</f>
      </c>
      <c r="FI770">
        <f>IF(ISBLANK('Data Entry'!$å$770), "", 'Data Entry'!$å$770)</f>
      </c>
      <c r="FJ770">
        <f>IF(ISBLANK('Data Entry'!$æ$770), "", 'Data Entry'!$æ$770)</f>
      </c>
      <c r="FK770">
        <f>IF(ISBLANK('Data Entry'!$ç$770), "", 'Data Entry'!$ç$770)</f>
      </c>
      <c r="FL770">
        <f>IF(ISBLANK('Data Entry'!$è$770), "", 'Data Entry'!$è$770)</f>
      </c>
      <c r="FM770">
        <f>IF(ISBLANK('Data Entry'!$é$770), "", 'Data Entry'!$é$770)</f>
      </c>
      <c r="FN770">
        <f>IF(ISBLANK('Data Entry'!$ê$770), "", 'Data Entry'!$ê$770)</f>
      </c>
      <c r="FO770">
        <f>IF(ISBLANK('Data Entry'!$ë$770), "", 'Data Entry'!$ë$770)</f>
      </c>
      <c r="FP770">
        <f>IF(ISBLANK('Data Entry'!$ì$770), "", 'Data Entry'!$ì$770)</f>
      </c>
      <c r="FQ770">
        <f>IF(ISBLANK('Data Entry'!$í$770), "", 'Data Entry'!$í$770)</f>
      </c>
      <c r="FR770">
        <f>IF(ISBLANK('Data Entry'!$î$770), "", 'Data Entry'!$î$770)</f>
      </c>
      <c r="FS770">
        <f>IF(ISBLANK('Data Entry'!$ï$770), "", 'Data Entry'!$ï$770)</f>
      </c>
      <c r="FT770">
        <f>IF(ISBLANK('Data Entry'!$ð$770), "", 'Data Entry'!$ð$770)</f>
      </c>
      <c r="FU770">
        <f>IF(ISBLANK('Data Entry'!$ñ$770), "", 'Data Entry'!$ñ$770)</f>
      </c>
      <c r="FV770">
        <f>IF(ISBLANK('Data Entry'!$ò$770), "", 'Data Entry'!$ò$770)</f>
      </c>
      <c r="FW770">
        <f>IF(ISBLANK('Data Entry'!$ó$770), "", 'Data Entry'!$ó$770)</f>
      </c>
      <c r="FX770">
        <f>IF(ISBLANK('Data Entry'!$ô$770), "", 'Data Entry'!$ô$770)</f>
      </c>
      <c r="FY770">
        <f>IF(ISBLANK('Data Entry'!$õ$770), "", 'Data Entry'!$õ$770)</f>
      </c>
      <c r="FZ770">
        <f>IF(ISBLANK('Data Entry'!$ö$770), "", 'Data Entry'!$ö$770)</f>
      </c>
      <c r="GA770">
        <f>IF(ISBLANK('Data Entry'!$÷$770), "", 'Data Entry'!$÷$770)</f>
      </c>
      <c r="GB770">
        <f>IF(ISBLANK('Data Entry'!$ø$770), "", 'Data Entry'!$ø$770)</f>
      </c>
      <c r="GC770">
        <f>IF(ISBLANK('Data Entry'!$ù$770), "", 'Data Entry'!$ù$770)</f>
      </c>
      <c r="GD770">
        <f>IF(ISBLANK('Data Entry'!$ú$770), "", 'Data Entry'!$ú$770)</f>
      </c>
      <c r="GE770">
        <f>IF(ISBLANK('Data Entry'!$û$770), "", 'Data Entry'!$û$770)</f>
      </c>
      <c r="GF770">
        <f>IF(ISBLANK('Data Entry'!$ü$770), "", 'Data Entry'!$ü$770)</f>
      </c>
      <c r="GG770">
        <f>IF(ISBLANK('Data Entry'!$ý$770), "", 'Data Entry'!$ý$770)</f>
      </c>
      <c r="GH770">
        <f>IF(ISBLANK('Data Entry'!$þ$770), "", 'Data Entry'!$þ$770)</f>
      </c>
      <c r="GI770">
        <f>IF(ISBLANK('Data Entry'!$ÿ$770), "", 'Data Entry'!$ÿ$770)</f>
      </c>
      <c r="GJ770">
        <f>IF(ISBLANK('Data Entry'!$Ā$770), "", 'Data Entry'!$Ā$770)</f>
      </c>
      <c r="GK770">
        <f>IF(ISBLANK('Data Entry'!$ā$770), "", 'Data Entry'!$ā$770)</f>
      </c>
      <c r="GL770">
        <f>IF(ISBLANK('Data Entry'!$Ă$770), "", 'Data Entry'!$Ă$770)</f>
      </c>
      <c r="GM770">
        <f>IF(ISBLANK('Data Entry'!$ă$770), "", 'Data Entry'!$ă$770)</f>
      </c>
      <c r="GN770">
        <f>IF(ISBLANK('Data Entry'!$Ą$770), "", 'Data Entry'!$Ą$770)</f>
      </c>
      <c r="GO770">
        <f>IF(ISBLANK('Data Entry'!$ą$770), "", 'Data Entry'!$ą$770)</f>
      </c>
      <c r="GP770">
        <f>IF(ISBLANK('Data Entry'!$Ć$770), "", 'Data Entry'!$Ć$770)</f>
      </c>
      <c r="GQ770">
        <f>IF(ISBLANK('Data Entry'!$ć$770), "", 'Data Entry'!$ć$770)</f>
      </c>
      <c r="GR770">
        <f>IF(ISBLANK('Data Entry'!$Ĉ$770), "", 'Data Entry'!$Ĉ$770)</f>
      </c>
      <c r="GS770">
        <f>IF(ISBLANK('Data Entry'!$ĉ$770), "", 'Data Entry'!$ĉ$770)</f>
      </c>
      <c r="GT770">
        <f>IF(ISBLANK('Data Entry'!$Ċ$770), "", 'Data Entry'!$Ċ$770)</f>
      </c>
      <c r="GU770">
        <f>IF(ISBLANK('Data Entry'!$ċ$770), "", 'Data Entry'!$ċ$770)</f>
      </c>
      <c r="GV770">
        <f>IF(ISBLANK('Data Entry'!$Č$770), "", 'Data Entry'!$Č$770)</f>
      </c>
      <c r="GW770">
        <f>IF(ISBLANK('Data Entry'!$č$770), "", 'Data Entry'!$č$770)</f>
      </c>
      <c r="GX770">
        <f>IF(ISBLANK('Data Entry'!$Ď$770), "", 'Data Entry'!$Ď$770)</f>
      </c>
      <c r="GY770">
        <f>IF(ISBLANK('Data Entry'!$ď$770), "", 'Data Entry'!$ď$770)</f>
      </c>
      <c r="GZ770">
        <f>IF(ISBLANK('Data Entry'!$Đ$770), "", 'Data Entry'!$Đ$770)</f>
      </c>
      <c r="HA770">
        <f>IF(ISBLANK('Data Entry'!$đ$770), "", 'Data Entry'!$đ$770)</f>
      </c>
      <c r="HB770">
        <f>IF(ISBLANK('Data Entry'!$Ē$770), "", 'Data Entry'!$Ē$770)</f>
      </c>
      <c r="HC770">
        <f>IF(ISBLANK('Data Entry'!$ē$770), "", 'Data Entry'!$ē$770)</f>
      </c>
      <c r="HD770">
        <f>IF(ISBLANK('Data Entry'!$Ĕ$770), "", 'Data Entry'!$Ĕ$770)</f>
      </c>
      <c r="HE770">
        <f>IF(ISBLANK('Data Entry'!$ĕ$770), "", 'Data Entry'!$ĕ$770)</f>
      </c>
      <c r="HF770">
        <f>IF(ISBLANK('Data Entry'!$Ė$770), "", 'Data Entry'!$Ė$770)</f>
      </c>
      <c r="HG770">
        <f>IF(ISBLANK('Data Entry'!$ė$770), "", 'Data Entry'!$ė$770)</f>
      </c>
      <c r="HH770">
        <f>IF(ISBLANK('Data Entry'!$Ę$770), "", 'Data Entry'!$Ę$770)</f>
      </c>
      <c r="HI770">
        <f>IF(ISBLANK('Data Entry'!$ę$770), "", 'Data Entry'!$ę$770)</f>
      </c>
      <c r="HJ770">
        <f>IF(ISBLANK('Data Entry'!$Ě$770), "", 'Data Entry'!$Ě$770)</f>
      </c>
      <c r="HK770">
        <f>IF(ISBLANK('Data Entry'!$ě$770), "", 'Data Entry'!$ě$770)</f>
      </c>
      <c r="HL770">
        <f>IF(ISBLANK('Data Entry'!$Ĝ$770), "", 'Data Entry'!$Ĝ$770)</f>
      </c>
      <c r="HM770">
        <f>IF(ISBLANK('Data Entry'!$ĝ$770), "", 'Data Entry'!$ĝ$770)</f>
      </c>
      <c r="HN770">
        <f>IF(ISBLANK('Data Entry'!$Ğ$770), "", 'Data Entry'!$Ğ$770)</f>
      </c>
      <c r="HO770">
        <f>IF(ISBLANK('Data Entry'!$ğ$770), "", 'Data Entry'!$ğ$770)</f>
      </c>
      <c r="HP770">
        <f>IF(ISBLANK('Data Entry'!$Ġ$770), "", 'Data Entry'!$Ġ$770)</f>
      </c>
      <c r="HQ770">
        <f>IF(ISBLANK('Data Entry'!$ġ$770), "", 'Data Entry'!$ġ$770)</f>
      </c>
      <c r="HR770">
        <f>IF(ISBLANK('Data Entry'!$Ģ$770), "", 'Data Entry'!$Ģ$770)</f>
      </c>
      <c r="HS770">
        <f>IF(ISBLANK('Data Entry'!$ģ$770), "", 'Data Entry'!$ģ$770)</f>
      </c>
      <c r="HT770">
        <f>IF(ISBLANK('Data Entry'!$Ĥ$770), "", 'Data Entry'!$Ĥ$770)</f>
      </c>
      <c r="HU770">
        <f>IF(ISBLANK('Data Entry'!$ĥ$770), "", 'Data Entry'!$ĥ$770)</f>
      </c>
      <c r="HV770">
        <f>IF(ISBLANK('Data Entry'!$Ħ$770), "", 'Data Entry'!$Ħ$770)</f>
      </c>
      <c r="HW770">
        <f>IF(ISBLANK('Data Entry'!$ħ$770), "", 'Data Entry'!$ħ$770)</f>
      </c>
      <c r="HX770">
        <f>IF(ISBLANK('Data Entry'!$Ĩ$770), "", 'Data Entry'!$Ĩ$770)</f>
      </c>
      <c r="HY770">
        <f>IF(ISBLANK('Data Entry'!$ĩ$770), "", 'Data Entry'!$ĩ$770)</f>
      </c>
      <c r="HZ770">
        <f>IF(ISBLANK('Data Entry'!$Ī$770), "", 'Data Entry'!$Ī$770)</f>
      </c>
      <c r="IA770">
        <f>IF(ISBLANK('Data Entry'!$ī$770), "", 'Data Entry'!$ī$770)</f>
      </c>
      <c r="IB770">
        <f>IF(ISBLANK('Data Entry'!$Ĭ$770), "", 'Data Entry'!$Ĭ$770)</f>
      </c>
      <c r="IC770">
        <f>IF(ISBLANK('Data Entry'!$ĭ$770), "", 'Data Entry'!$ĭ$770)</f>
      </c>
      <c r="ID770">
        <f>IF(ISBLANK('Data Entry'!$Į$770), "", 'Data Entry'!$Į$770)</f>
      </c>
      <c r="IE770">
        <f>IF(ISBLANK('Data Entry'!$į$770), "", 'Data Entry'!$į$770)</f>
      </c>
      <c r="IF770">
        <f>IF(ISBLANK('Data Entry'!$İ$770), "", 'Data Entry'!$İ$770)</f>
      </c>
      <c r="IG770">
        <f>IF(ISBLANK('Data Entry'!$ı$770), "", 'Data Entry'!$ı$770)</f>
      </c>
      <c r="IH770">
        <f>IF(ISBLANK('Data Entry'!$Ĳ$770), "", 'Data Entry'!$Ĳ$770)</f>
      </c>
      <c r="II770">
        <f>IF(ISBLANK('Data Entry'!$ĳ$770), "", 'Data Entry'!$ĳ$770)</f>
      </c>
      <c r="IJ770">
        <f>IF(ISBLANK('Data Entry'!$Ĵ$770), "", 'Data Entry'!$Ĵ$770)</f>
      </c>
      <c r="IK770">
        <f>IF(ISBLANK('Data Entry'!$ĵ$770), "", 'Data Entry'!$ĵ$770)</f>
      </c>
      <c r="IL770">
        <f>IF(ISBLANK('Data Entry'!$Ķ$770), "", 'Data Entry'!$Ķ$770)</f>
      </c>
      <c r="IM770">
        <f>IF(ISBLANK('Data Entry'!$ķ$770), "", 'Data Entry'!$ķ$770)</f>
      </c>
      <c r="IN770">
        <f>IF(ISBLANK('Data Entry'!$ĸ$770), "", 'Data Entry'!$ĸ$770)</f>
      </c>
      <c r="IO770">
        <f>IF(ISBLANK('Data Entry'!$Ĺ$770), "", 'Data Entry'!$Ĺ$770)</f>
      </c>
      <c r="IP770">
        <f>IF(ISBLANK('Data Entry'!$ĺ$770), "", 'Data Entry'!$ĺ$770)</f>
      </c>
      <c r="IQ770">
        <f>IF(ISBLANK('Data Entry'!$Ļ$770), "", 'Data Entry'!$Ļ$770)</f>
      </c>
      <c r="IR770">
        <f>IF(ISBLANK('Data Entry'!$ļ$770), "", 'Data Entry'!$ļ$770)</f>
      </c>
      <c r="IS770">
        <f>IF(ISBLANK('Data Entry'!$Ľ$770), "", 'Data Entry'!$Ľ$770)</f>
      </c>
      <c r="IT770">
        <f>IF(ISBLANK('Data Entry'!$ľ$770), "", 'Data Entry'!$ľ$770)</f>
      </c>
    </row>
    <row r="771" spans="1:254" x14ac:dyDescent="0.25">
      <c r="A771">
        <f>IF(ISBLANK('Data Entry'!$A$771), "", 'Data Entry'!$A$771)</f>
      </c>
      <c r="B771">
        <f>IF(ISBLANK('Data Entry'!$B$771), "", 'Data Entry'!$B$771)</f>
      </c>
      <c r="C771">
        <f>IF(ISBLANK('Data Entry'!$C$771), "", 'Data Entry'!$C$771)</f>
      </c>
      <c r="D771">
        <f>IF(ISBLANK('Data Entry'!$D$771), "", 'Data Entry'!$D$771)</f>
      </c>
      <c r="E771">
        <f>IF(ISBLANK('Data Entry'!$E$771), "", 'Data Entry'!$E$771)</f>
      </c>
      <c r="F771">
        <f>IF(ISBLANK('Data Entry'!$F$771), "", 'Data Entry'!$F$771)</f>
      </c>
      <c r="G771">
        <f>IF(ISBLANK('Data Entry'!$G$771), "", 'Data Entry'!$G$771)</f>
      </c>
      <c r="H771">
        <f>IF(ISBLANK('Data Entry'!$H$771), "", 'Data Entry'!$H$771)</f>
      </c>
      <c r="I771">
        <f>IF(ISBLANK('Data Entry'!$I$771), "", 'Data Entry'!$I$771)</f>
      </c>
      <c r="J771">
        <f>IF(ISBLANK('Data Entry'!$J$771), "", 'Data Entry'!$J$771)</f>
      </c>
      <c r="K771">
        <f>IF(ISBLANK('Data Entry'!$K$771), "", 'Data Entry'!$K$771)</f>
      </c>
      <c r="L771">
        <f>IF(ISBLANK('Data Entry'!$L$771), "", 'Data Entry'!$L$771)</f>
      </c>
      <c r="M771">
        <f>IF(ISBLANK('Data Entry'!$M$771), "", 'Data Entry'!$M$771)</f>
      </c>
      <c r="N771">
        <f>IF(ISBLANK('Data Entry'!$N$771), "", 'Data Entry'!$N$771)</f>
      </c>
      <c r="O771">
        <f>IF(ISBLANK('Data Entry'!$O$771), "", 'Data Entry'!$O$771)</f>
      </c>
      <c r="P771">
        <f>IF(ISBLANK('Data Entry'!$P$771), "", 'Data Entry'!$P$771)</f>
      </c>
      <c r="Q771">
        <f>IF(ISBLANK('Data Entry'!$Q$771), "", 'Data Entry'!$Q$771)</f>
      </c>
      <c r="R771">
        <f>IF(ISBLANK('Data Entry'!$R$771), "", 'Data Entry'!$R$771)</f>
      </c>
      <c r="S771">
        <f>IF(ISBLANK('Data Entry'!$S$771), "", 'Data Entry'!$S$771)</f>
      </c>
      <c r="T771">
        <f>IF(ISBLANK('Data Entry'!$T$771), "", 'Data Entry'!$T$771)</f>
      </c>
      <c r="U771">
        <f>IF(ISBLANK('Data Entry'!$U$771), "", 'Data Entry'!$U$771)</f>
      </c>
      <c r="V771">
        <f>IF(ISBLANK('Data Entry'!$V$771), "", 'Data Entry'!$V$771)</f>
      </c>
      <c r="W771">
        <f>IF(ISBLANK('Data Entry'!$W$771), "", 'Data Entry'!$W$771)</f>
      </c>
      <c r="X771">
        <f>IF(ISBLANK('Data Entry'!$X$771), "", 'Data Entry'!$X$771)</f>
      </c>
      <c r="Y771">
        <f>IF(ISBLANK('Data Entry'!$Y$771), "", 'Data Entry'!$Y$771)</f>
      </c>
      <c r="Z771">
        <f>IF(ISBLANK('Data Entry'!$Z$771), "", 'Data Entry'!$Z$771)</f>
      </c>
      <c r="AA771">
        <f>IF(ISBLANK('Data Entry'!$[$771), "", 'Data Entry'!$[$771)</f>
      </c>
      <c r="AB771">
        <f>IF(ISBLANK('Data Entry'!$\$771), "", 'Data Entry'!$\$771)</f>
      </c>
      <c r="AC771">
        <f>IF(ISBLANK('Data Entry'!$]$771), "", 'Data Entry'!$]$771)</f>
      </c>
      <c r="AD771">
        <f>IF(ISBLANK('Data Entry'!$^$771), "", 'Data Entry'!$^$771)</f>
      </c>
      <c r="AE771">
        <f>IF(ISBLANK('Data Entry'!$_$771), "", 'Data Entry'!$_$771)</f>
      </c>
      <c r="AF771">
        <f>IF(ISBLANK('Data Entry'!$`$771), "", 'Data Entry'!$`$771)</f>
      </c>
      <c r="AG771">
        <f>IF(ISBLANK('Data Entry'!$a$771), "", 'Data Entry'!$a$771)</f>
      </c>
      <c r="AH771">
        <f>IF(ISBLANK('Data Entry'!$b$771), "", 'Data Entry'!$b$771)</f>
      </c>
      <c r="AI771">
        <f>IF(ISBLANK('Data Entry'!$c$771), "", 'Data Entry'!$c$771)</f>
      </c>
      <c r="AJ771">
        <f>IF(ISBLANK('Data Entry'!$d$771), "", 'Data Entry'!$d$771)</f>
      </c>
      <c r="AK771">
        <f>IF(ISBLANK('Data Entry'!$e$771), "", 'Data Entry'!$e$771)</f>
      </c>
      <c r="AL771">
        <f>IF(ISBLANK('Data Entry'!$f$771), "", 'Data Entry'!$f$771)</f>
      </c>
      <c r="AM771">
        <f>IF(ISBLANK('Data Entry'!$g$771), "", 'Data Entry'!$g$771)</f>
      </c>
      <c r="AN771">
        <f>IF(ISBLANK('Data Entry'!$h$771), "", 'Data Entry'!$h$771)</f>
      </c>
      <c r="AO771">
        <f>IF(ISBLANK('Data Entry'!$i$771), "", 'Data Entry'!$i$771)</f>
      </c>
      <c r="AP771">
        <f>IF(ISBLANK('Data Entry'!$j$771), "", 'Data Entry'!$j$771)</f>
      </c>
      <c r="AQ771">
        <f>IF(ISBLANK('Data Entry'!$k$771), "", 'Data Entry'!$k$771)</f>
      </c>
      <c r="AR771">
        <f>IF(ISBLANK('Data Entry'!$l$771), "", 'Data Entry'!$l$771)</f>
      </c>
      <c r="AS771">
        <f>IF(ISBLANK('Data Entry'!$m$771), "", 'Data Entry'!$m$771)</f>
      </c>
      <c r="AT771">
        <f>IF(ISBLANK('Data Entry'!$n$771), "", 'Data Entry'!$n$771)</f>
      </c>
      <c r="AU771">
        <f>IF(ISBLANK('Data Entry'!$o$771), "", 'Data Entry'!$o$771)</f>
      </c>
      <c r="AV771">
        <f>IF(ISBLANK('Data Entry'!$p$771), "", 'Data Entry'!$p$771)</f>
      </c>
      <c r="AW771">
        <f>IF(ISBLANK('Data Entry'!$q$771), "", 'Data Entry'!$q$771)</f>
      </c>
      <c r="AX771">
        <f>IF(ISBLANK('Data Entry'!$r$771), "", 'Data Entry'!$r$771)</f>
      </c>
      <c r="AY771">
        <f>IF(ISBLANK('Data Entry'!$s$771), "", 'Data Entry'!$s$771)</f>
      </c>
      <c r="AZ771">
        <f>IF(ISBLANK('Data Entry'!$t$771), "", 'Data Entry'!$t$771)</f>
      </c>
      <c r="BA771">
        <f>IF(ISBLANK('Data Entry'!$u$771), "", 'Data Entry'!$u$771)</f>
      </c>
      <c r="BB771">
        <f>IF(ISBLANK('Data Entry'!$v$771), "", 'Data Entry'!$v$771)</f>
      </c>
      <c r="BC771">
        <f>IF(ISBLANK('Data Entry'!$w$771), "", 'Data Entry'!$w$771)</f>
      </c>
      <c r="BD771">
        <f>IF(ISBLANK('Data Entry'!$x$771), "", 'Data Entry'!$x$771)</f>
      </c>
      <c r="BE771">
        <f>IF(ISBLANK('Data Entry'!$y$771), "", 'Data Entry'!$y$771)</f>
      </c>
      <c r="BF771">
        <f>IF(ISBLANK('Data Entry'!$z$771), "", 'Data Entry'!$z$771)</f>
      </c>
      <c r="BG771">
        <f>IF(ISBLANK('Data Entry'!${$771), "", 'Data Entry'!${$771)</f>
      </c>
      <c r="BH771">
        <f>IF(ISBLANK('Data Entry'!$|$771), "", 'Data Entry'!$|$771)</f>
      </c>
      <c r="BI771">
        <f>IF(ISBLANK('Data Entry'!$}$771), "", 'Data Entry'!$}$771)</f>
      </c>
      <c r="BJ771">
        <f>IF(ISBLANK('Data Entry'!$~$771), "", 'Data Entry'!$~$771)</f>
      </c>
      <c r="BK771">
        <f>IF(ISBLANK('Data Entry'!$$771), "", 'Data Entry'!$$771)</f>
      </c>
      <c r="BL771">
        <f>IF(ISBLANK('Data Entry'!$$771), "", 'Data Entry'!$$771)</f>
      </c>
      <c r="BM771">
        <f>IF(ISBLANK('Data Entry'!$$771), "", 'Data Entry'!$$771)</f>
      </c>
      <c r="BN771">
        <f>IF(ISBLANK('Data Entry'!$$771), "", 'Data Entry'!$$771)</f>
      </c>
      <c r="BO771">
        <f>IF(ISBLANK('Data Entry'!$$771), "", 'Data Entry'!$$771)</f>
      </c>
      <c r="BP771">
        <f>IF(ISBLANK('Data Entry'!$$771), "", 'Data Entry'!$$771)</f>
      </c>
      <c r="BQ771">
        <f>IF(ISBLANK('Data Entry'!$$771), "", 'Data Entry'!$$771)</f>
      </c>
      <c r="BR771">
        <f>IF(ISBLANK('Data Entry'!$$771), "", 'Data Entry'!$$771)</f>
      </c>
      <c r="BS771">
        <f>IF(ISBLANK('Data Entry'!$$771), "", 'Data Entry'!$$771)</f>
      </c>
      <c r="BT771">
        <f>IF(ISBLANK('Data Entry'!$$771), "", 'Data Entry'!$$771)</f>
      </c>
      <c r="BU771">
        <f>IF(ISBLANK('Data Entry'!$$771), "", 'Data Entry'!$$771)</f>
      </c>
      <c r="BV771">
        <f>IF(ISBLANK('Data Entry'!$$771), "", 'Data Entry'!$$771)</f>
      </c>
      <c r="BW771">
        <f>IF(ISBLANK('Data Entry'!$$771), "", 'Data Entry'!$$771)</f>
      </c>
      <c r="BX771">
        <f>IF(ISBLANK('Data Entry'!$$771), "", 'Data Entry'!$$771)</f>
      </c>
      <c r="BY771">
        <f>IF(ISBLANK('Data Entry'!$$771), "", 'Data Entry'!$$771)</f>
      </c>
      <c r="BZ771">
        <f>IF(ISBLANK('Data Entry'!$$771), "", 'Data Entry'!$$771)</f>
      </c>
      <c r="CA771">
        <f>IF(ISBLANK('Data Entry'!$$771), "", 'Data Entry'!$$771)</f>
      </c>
      <c r="CB771">
        <f>IF(ISBLANK('Data Entry'!$$771), "", 'Data Entry'!$$771)</f>
      </c>
      <c r="CC771">
        <f>IF(ISBLANK('Data Entry'!$$771), "", 'Data Entry'!$$771)</f>
      </c>
      <c r="CD771">
        <f>IF(ISBLANK('Data Entry'!$$771), "", 'Data Entry'!$$771)</f>
      </c>
      <c r="CE771">
        <f>IF(ISBLANK('Data Entry'!$$771), "", 'Data Entry'!$$771)</f>
      </c>
      <c r="CF771">
        <f>IF(ISBLANK('Data Entry'!$$771), "", 'Data Entry'!$$771)</f>
      </c>
      <c r="CG771">
        <f>IF(ISBLANK('Data Entry'!$$771), "", 'Data Entry'!$$771)</f>
      </c>
      <c r="CH771">
        <f>IF(ISBLANK('Data Entry'!$$771), "", 'Data Entry'!$$771)</f>
      </c>
      <c r="CI771">
        <f>IF(ISBLANK('Data Entry'!$$771), "", 'Data Entry'!$$771)</f>
      </c>
      <c r="CJ771">
        <f>IF(ISBLANK('Data Entry'!$$771), "", 'Data Entry'!$$771)</f>
      </c>
      <c r="CK771">
        <f>IF(ISBLANK('Data Entry'!$$771), "", 'Data Entry'!$$771)</f>
      </c>
      <c r="CL771">
        <f>IF(ISBLANK('Data Entry'!$$771), "", 'Data Entry'!$$771)</f>
      </c>
      <c r="CM771">
        <f>IF(ISBLANK('Data Entry'!$$771), "", 'Data Entry'!$$771)</f>
      </c>
      <c r="CN771">
        <f>IF(ISBLANK('Data Entry'!$$771), "", 'Data Entry'!$$771)</f>
      </c>
      <c r="CO771">
        <f>IF(ISBLANK('Data Entry'!$$771), "", 'Data Entry'!$$771)</f>
      </c>
      <c r="CP771">
        <f>IF(ISBLANK('Data Entry'!$$771), "", 'Data Entry'!$$771)</f>
      </c>
      <c r="CQ771">
        <f>IF(ISBLANK('Data Entry'!$$771), "", 'Data Entry'!$$771)</f>
      </c>
      <c r="CR771">
        <f>IF(ISBLANK('Data Entry'!$ $771), "", 'Data Entry'!$ $771)</f>
      </c>
      <c r="CS771">
        <f>IF(ISBLANK('Data Entry'!$¡$771), "", 'Data Entry'!$¡$771)</f>
      </c>
      <c r="CT771">
        <f>IF(ISBLANK('Data Entry'!$¢$771), "", 'Data Entry'!$¢$771)</f>
      </c>
      <c r="CU771">
        <f>IF(ISBLANK('Data Entry'!$£$771), "", 'Data Entry'!$£$771)</f>
      </c>
      <c r="CV771">
        <f>IF(ISBLANK('Data Entry'!$¤$771), "", 'Data Entry'!$¤$771)</f>
      </c>
      <c r="CW771">
        <f>IF(ISBLANK('Data Entry'!$¥$771), "", 'Data Entry'!$¥$771)</f>
      </c>
      <c r="CX771">
        <f>IF(ISBLANK('Data Entry'!$¦$771), "", 'Data Entry'!$¦$771)</f>
      </c>
      <c r="CY771">
        <f>IF(ISBLANK('Data Entry'!$§$771), "", 'Data Entry'!$§$771)</f>
      </c>
      <c r="CZ771">
        <f>IF(ISBLANK('Data Entry'!$¨$771), "", 'Data Entry'!$¨$771)</f>
      </c>
      <c r="DA771">
        <f>IF(ISBLANK('Data Entry'!$©$771), "", 'Data Entry'!$©$771)</f>
      </c>
      <c r="DB771">
        <f>IF(ISBLANK('Data Entry'!$ª$771), "", 'Data Entry'!$ª$771)</f>
      </c>
      <c r="DC771">
        <f>IF(ISBLANK('Data Entry'!$«$771), "", 'Data Entry'!$«$771)</f>
      </c>
      <c r="DD771">
        <f>IF(ISBLANK('Data Entry'!$¬$771), "", 'Data Entry'!$¬$771)</f>
      </c>
      <c r="DE771">
        <f>IF(ISBLANK('Data Entry'!$­$771), "", 'Data Entry'!$­$771)</f>
      </c>
      <c r="DF771">
        <f>IF(ISBLANK('Data Entry'!$®$771), "", 'Data Entry'!$®$771)</f>
      </c>
      <c r="DG771">
        <f>IF(ISBLANK('Data Entry'!$¯$771), "", 'Data Entry'!$¯$771)</f>
      </c>
      <c r="DH771">
        <f>IF(ISBLANK('Data Entry'!$°$771), "", 'Data Entry'!$°$771)</f>
      </c>
      <c r="DI771">
        <f>IF(ISBLANK('Data Entry'!$±$771), "", 'Data Entry'!$±$771)</f>
      </c>
      <c r="DJ771">
        <f>IF(ISBLANK('Data Entry'!$²$771), "", 'Data Entry'!$²$771)</f>
      </c>
      <c r="DK771">
        <f>IF(ISBLANK('Data Entry'!$³$771), "", 'Data Entry'!$³$771)</f>
      </c>
      <c r="DL771">
        <f>IF(ISBLANK('Data Entry'!$´$771), "", 'Data Entry'!$´$771)</f>
      </c>
      <c r="DM771">
        <f>IF(ISBLANK('Data Entry'!$µ$771), "", 'Data Entry'!$µ$771)</f>
      </c>
      <c r="DN771">
        <f>IF(ISBLANK('Data Entry'!$¶$771), "", 'Data Entry'!$¶$771)</f>
      </c>
      <c r="DO771">
        <f>IF(ISBLANK('Data Entry'!$·$771), "", 'Data Entry'!$·$771)</f>
      </c>
      <c r="DP771">
        <f>IF(ISBLANK('Data Entry'!$¸$771), "", 'Data Entry'!$¸$771)</f>
      </c>
      <c r="DQ771">
        <f>IF(ISBLANK('Data Entry'!$¹$771), "", 'Data Entry'!$¹$771)</f>
      </c>
      <c r="DR771">
        <f>IF(ISBLANK('Data Entry'!$º$771), "", 'Data Entry'!$º$771)</f>
      </c>
      <c r="DS771">
        <f>IF(ISBLANK('Data Entry'!$»$771), "", 'Data Entry'!$»$771)</f>
      </c>
      <c r="DT771">
        <f>IF(ISBLANK('Data Entry'!$¼$771), "", 'Data Entry'!$¼$771)</f>
      </c>
      <c r="DU771">
        <f>IF(ISBLANK('Data Entry'!$½$771), "", 'Data Entry'!$½$771)</f>
      </c>
      <c r="DV771">
        <f>IF(ISBLANK('Data Entry'!$¾$771), "", 'Data Entry'!$¾$771)</f>
      </c>
      <c r="DW771">
        <f>IF(ISBLANK('Data Entry'!$¿$771), "", 'Data Entry'!$¿$771)</f>
      </c>
      <c r="DX771">
        <f>IF(ISBLANK('Data Entry'!$À$771), "", 'Data Entry'!$À$771)</f>
      </c>
      <c r="DY771">
        <f>IF(ISBLANK('Data Entry'!$Á$771), "", 'Data Entry'!$Á$771)</f>
      </c>
      <c r="DZ771">
        <f>IF(ISBLANK('Data Entry'!$Â$771), "", 'Data Entry'!$Â$771)</f>
      </c>
      <c r="EA771">
        <f>IF(ISBLANK('Data Entry'!$Ã$771), "", 'Data Entry'!$Ã$771)</f>
      </c>
      <c r="EB771">
        <f>IF(ISBLANK('Data Entry'!$Ä$771), "", 'Data Entry'!$Ä$771)</f>
      </c>
      <c r="EC771">
        <f>IF(ISBLANK('Data Entry'!$Å$771), "", 'Data Entry'!$Å$771)</f>
      </c>
      <c r="ED771">
        <f>IF(ISBLANK('Data Entry'!$Æ$771), "", 'Data Entry'!$Æ$771)</f>
      </c>
      <c r="EE771">
        <f>IF(ISBLANK('Data Entry'!$Ç$771), "", 'Data Entry'!$Ç$771)</f>
      </c>
      <c r="EF771">
        <f>IF(ISBLANK('Data Entry'!$È$771), "", 'Data Entry'!$È$771)</f>
      </c>
      <c r="EG771">
        <f>IF(ISBLANK('Data Entry'!$É$771), "", 'Data Entry'!$É$771)</f>
      </c>
      <c r="EH771">
        <f>IF(ISBLANK('Data Entry'!$Ê$771), "", 'Data Entry'!$Ê$771)</f>
      </c>
      <c r="EI771">
        <f>IF(ISBLANK('Data Entry'!$Ë$771), "", 'Data Entry'!$Ë$771)</f>
      </c>
      <c r="EJ771">
        <f>IF(ISBLANK('Data Entry'!$Ì$771), "", 'Data Entry'!$Ì$771)</f>
      </c>
      <c r="EK771">
        <f>IF(ISBLANK('Data Entry'!$Í$771), "", 'Data Entry'!$Í$771)</f>
      </c>
      <c r="EL771">
        <f>IF(ISBLANK('Data Entry'!$Î$771), "", 'Data Entry'!$Î$771)</f>
      </c>
      <c r="EM771">
        <f>IF(ISBLANK('Data Entry'!$Ï$771), "", 'Data Entry'!$Ï$771)</f>
      </c>
      <c r="EN771">
        <f>IF(ISBLANK('Data Entry'!$Ð$771), "", 'Data Entry'!$Ð$771)</f>
      </c>
      <c r="EO771">
        <f>IF(ISBLANK('Data Entry'!$Ñ$771), "", 'Data Entry'!$Ñ$771)</f>
      </c>
      <c r="EP771">
        <f>IF(ISBLANK('Data Entry'!$Ò$771), "", 'Data Entry'!$Ò$771)</f>
      </c>
      <c r="EQ771">
        <f>IF(ISBLANK('Data Entry'!$Ó$771), "", 'Data Entry'!$Ó$771)</f>
      </c>
      <c r="ER771">
        <f>IF(ISBLANK('Data Entry'!$Ô$771), "", 'Data Entry'!$Ô$771)</f>
      </c>
      <c r="ES771">
        <f>IF(ISBLANK('Data Entry'!$Õ$771), "", 'Data Entry'!$Õ$771)</f>
      </c>
      <c r="ET771">
        <f>IF(ISBLANK('Data Entry'!$Ö$771), "", 'Data Entry'!$Ö$771)</f>
      </c>
      <c r="EU771">
        <f>IF(ISBLANK('Data Entry'!$×$771), "", 'Data Entry'!$×$771)</f>
      </c>
      <c r="EV771">
        <f>IF(ISBLANK('Data Entry'!$Ø$771), "", 'Data Entry'!$Ø$771)</f>
      </c>
      <c r="EW771">
        <f>IF(ISBLANK('Data Entry'!$Ù$771), "", 'Data Entry'!$Ù$771)</f>
      </c>
      <c r="EX771">
        <f>IF(ISBLANK('Data Entry'!$Ú$771), "", 'Data Entry'!$Ú$771)</f>
      </c>
      <c r="EY771">
        <f>IF(ISBLANK('Data Entry'!$Û$771), "", 'Data Entry'!$Û$771)</f>
      </c>
      <c r="EZ771">
        <f>IF(ISBLANK('Data Entry'!$Ü$771), "", 'Data Entry'!$Ü$771)</f>
      </c>
      <c r="FA771">
        <f>IF(ISBLANK('Data Entry'!$Ý$771), "", 'Data Entry'!$Ý$771)</f>
      </c>
      <c r="FB771">
        <f>IF(ISBLANK('Data Entry'!$Þ$771), "", 'Data Entry'!$Þ$771)</f>
      </c>
      <c r="FC771">
        <f>IF(ISBLANK('Data Entry'!$ß$771), "", 'Data Entry'!$ß$771)</f>
      </c>
      <c r="FD771">
        <f>IF(ISBLANK('Data Entry'!$à$771), "", 'Data Entry'!$à$771)</f>
      </c>
      <c r="FE771">
        <f>IF(ISBLANK('Data Entry'!$á$771), "", 'Data Entry'!$á$771)</f>
      </c>
      <c r="FF771">
        <f>IF(ISBLANK('Data Entry'!$â$771), "", 'Data Entry'!$â$771)</f>
      </c>
      <c r="FG771">
        <f>IF(ISBLANK('Data Entry'!$ã$771), "", 'Data Entry'!$ã$771)</f>
      </c>
      <c r="FH771">
        <f>IF(ISBLANK('Data Entry'!$ä$771), "", 'Data Entry'!$ä$771)</f>
      </c>
      <c r="FI771">
        <f>IF(ISBLANK('Data Entry'!$å$771), "", 'Data Entry'!$å$771)</f>
      </c>
      <c r="FJ771">
        <f>IF(ISBLANK('Data Entry'!$æ$771), "", 'Data Entry'!$æ$771)</f>
      </c>
      <c r="FK771">
        <f>IF(ISBLANK('Data Entry'!$ç$771), "", 'Data Entry'!$ç$771)</f>
      </c>
      <c r="FL771">
        <f>IF(ISBLANK('Data Entry'!$è$771), "", 'Data Entry'!$è$771)</f>
      </c>
      <c r="FM771">
        <f>IF(ISBLANK('Data Entry'!$é$771), "", 'Data Entry'!$é$771)</f>
      </c>
      <c r="FN771">
        <f>IF(ISBLANK('Data Entry'!$ê$771), "", 'Data Entry'!$ê$771)</f>
      </c>
      <c r="FO771">
        <f>IF(ISBLANK('Data Entry'!$ë$771), "", 'Data Entry'!$ë$771)</f>
      </c>
      <c r="FP771">
        <f>IF(ISBLANK('Data Entry'!$ì$771), "", 'Data Entry'!$ì$771)</f>
      </c>
      <c r="FQ771">
        <f>IF(ISBLANK('Data Entry'!$í$771), "", 'Data Entry'!$í$771)</f>
      </c>
      <c r="FR771">
        <f>IF(ISBLANK('Data Entry'!$î$771), "", 'Data Entry'!$î$771)</f>
      </c>
      <c r="FS771">
        <f>IF(ISBLANK('Data Entry'!$ï$771), "", 'Data Entry'!$ï$771)</f>
      </c>
      <c r="FT771">
        <f>IF(ISBLANK('Data Entry'!$ð$771), "", 'Data Entry'!$ð$771)</f>
      </c>
      <c r="FU771">
        <f>IF(ISBLANK('Data Entry'!$ñ$771), "", 'Data Entry'!$ñ$771)</f>
      </c>
      <c r="FV771">
        <f>IF(ISBLANK('Data Entry'!$ò$771), "", 'Data Entry'!$ò$771)</f>
      </c>
      <c r="FW771">
        <f>IF(ISBLANK('Data Entry'!$ó$771), "", 'Data Entry'!$ó$771)</f>
      </c>
      <c r="FX771">
        <f>IF(ISBLANK('Data Entry'!$ô$771), "", 'Data Entry'!$ô$771)</f>
      </c>
      <c r="FY771">
        <f>IF(ISBLANK('Data Entry'!$õ$771), "", 'Data Entry'!$õ$771)</f>
      </c>
      <c r="FZ771">
        <f>IF(ISBLANK('Data Entry'!$ö$771), "", 'Data Entry'!$ö$771)</f>
      </c>
      <c r="GA771">
        <f>IF(ISBLANK('Data Entry'!$÷$771), "", 'Data Entry'!$÷$771)</f>
      </c>
      <c r="GB771">
        <f>IF(ISBLANK('Data Entry'!$ø$771), "", 'Data Entry'!$ø$771)</f>
      </c>
      <c r="GC771">
        <f>IF(ISBLANK('Data Entry'!$ù$771), "", 'Data Entry'!$ù$771)</f>
      </c>
      <c r="GD771">
        <f>IF(ISBLANK('Data Entry'!$ú$771), "", 'Data Entry'!$ú$771)</f>
      </c>
      <c r="GE771">
        <f>IF(ISBLANK('Data Entry'!$û$771), "", 'Data Entry'!$û$771)</f>
      </c>
      <c r="GF771">
        <f>IF(ISBLANK('Data Entry'!$ü$771), "", 'Data Entry'!$ü$771)</f>
      </c>
      <c r="GG771">
        <f>IF(ISBLANK('Data Entry'!$ý$771), "", 'Data Entry'!$ý$771)</f>
      </c>
      <c r="GH771">
        <f>IF(ISBLANK('Data Entry'!$þ$771), "", 'Data Entry'!$þ$771)</f>
      </c>
      <c r="GI771">
        <f>IF(ISBLANK('Data Entry'!$ÿ$771), "", 'Data Entry'!$ÿ$771)</f>
      </c>
      <c r="GJ771">
        <f>IF(ISBLANK('Data Entry'!$Ā$771), "", 'Data Entry'!$Ā$771)</f>
      </c>
      <c r="GK771">
        <f>IF(ISBLANK('Data Entry'!$ā$771), "", 'Data Entry'!$ā$771)</f>
      </c>
      <c r="GL771">
        <f>IF(ISBLANK('Data Entry'!$Ă$771), "", 'Data Entry'!$Ă$771)</f>
      </c>
      <c r="GM771">
        <f>IF(ISBLANK('Data Entry'!$ă$771), "", 'Data Entry'!$ă$771)</f>
      </c>
      <c r="GN771">
        <f>IF(ISBLANK('Data Entry'!$Ą$771), "", 'Data Entry'!$Ą$771)</f>
      </c>
      <c r="GO771">
        <f>IF(ISBLANK('Data Entry'!$ą$771), "", 'Data Entry'!$ą$771)</f>
      </c>
      <c r="GP771">
        <f>IF(ISBLANK('Data Entry'!$Ć$771), "", 'Data Entry'!$Ć$771)</f>
      </c>
      <c r="GQ771">
        <f>IF(ISBLANK('Data Entry'!$ć$771), "", 'Data Entry'!$ć$771)</f>
      </c>
      <c r="GR771">
        <f>IF(ISBLANK('Data Entry'!$Ĉ$771), "", 'Data Entry'!$Ĉ$771)</f>
      </c>
      <c r="GS771">
        <f>IF(ISBLANK('Data Entry'!$ĉ$771), "", 'Data Entry'!$ĉ$771)</f>
      </c>
      <c r="GT771">
        <f>IF(ISBLANK('Data Entry'!$Ċ$771), "", 'Data Entry'!$Ċ$771)</f>
      </c>
      <c r="GU771">
        <f>IF(ISBLANK('Data Entry'!$ċ$771), "", 'Data Entry'!$ċ$771)</f>
      </c>
      <c r="GV771">
        <f>IF(ISBLANK('Data Entry'!$Č$771), "", 'Data Entry'!$Č$771)</f>
      </c>
      <c r="GW771">
        <f>IF(ISBLANK('Data Entry'!$č$771), "", 'Data Entry'!$č$771)</f>
      </c>
      <c r="GX771">
        <f>IF(ISBLANK('Data Entry'!$Ď$771), "", 'Data Entry'!$Ď$771)</f>
      </c>
      <c r="GY771">
        <f>IF(ISBLANK('Data Entry'!$ď$771), "", 'Data Entry'!$ď$771)</f>
      </c>
      <c r="GZ771">
        <f>IF(ISBLANK('Data Entry'!$Đ$771), "", 'Data Entry'!$Đ$771)</f>
      </c>
      <c r="HA771">
        <f>IF(ISBLANK('Data Entry'!$đ$771), "", 'Data Entry'!$đ$771)</f>
      </c>
      <c r="HB771">
        <f>IF(ISBLANK('Data Entry'!$Ē$771), "", 'Data Entry'!$Ē$771)</f>
      </c>
      <c r="HC771">
        <f>IF(ISBLANK('Data Entry'!$ē$771), "", 'Data Entry'!$ē$771)</f>
      </c>
      <c r="HD771">
        <f>IF(ISBLANK('Data Entry'!$Ĕ$771), "", 'Data Entry'!$Ĕ$771)</f>
      </c>
      <c r="HE771">
        <f>IF(ISBLANK('Data Entry'!$ĕ$771), "", 'Data Entry'!$ĕ$771)</f>
      </c>
      <c r="HF771">
        <f>IF(ISBLANK('Data Entry'!$Ė$771), "", 'Data Entry'!$Ė$771)</f>
      </c>
      <c r="HG771">
        <f>IF(ISBLANK('Data Entry'!$ė$771), "", 'Data Entry'!$ė$771)</f>
      </c>
      <c r="HH771">
        <f>IF(ISBLANK('Data Entry'!$Ę$771), "", 'Data Entry'!$Ę$771)</f>
      </c>
      <c r="HI771">
        <f>IF(ISBLANK('Data Entry'!$ę$771), "", 'Data Entry'!$ę$771)</f>
      </c>
      <c r="HJ771">
        <f>IF(ISBLANK('Data Entry'!$Ě$771), "", 'Data Entry'!$Ě$771)</f>
      </c>
      <c r="HK771">
        <f>IF(ISBLANK('Data Entry'!$ě$771), "", 'Data Entry'!$ě$771)</f>
      </c>
      <c r="HL771">
        <f>IF(ISBLANK('Data Entry'!$Ĝ$771), "", 'Data Entry'!$Ĝ$771)</f>
      </c>
      <c r="HM771">
        <f>IF(ISBLANK('Data Entry'!$ĝ$771), "", 'Data Entry'!$ĝ$771)</f>
      </c>
      <c r="HN771">
        <f>IF(ISBLANK('Data Entry'!$Ğ$771), "", 'Data Entry'!$Ğ$771)</f>
      </c>
      <c r="HO771">
        <f>IF(ISBLANK('Data Entry'!$ğ$771), "", 'Data Entry'!$ğ$771)</f>
      </c>
      <c r="HP771">
        <f>IF(ISBLANK('Data Entry'!$Ġ$771), "", 'Data Entry'!$Ġ$771)</f>
      </c>
      <c r="HQ771">
        <f>IF(ISBLANK('Data Entry'!$ġ$771), "", 'Data Entry'!$ġ$771)</f>
      </c>
      <c r="HR771">
        <f>IF(ISBLANK('Data Entry'!$Ģ$771), "", 'Data Entry'!$Ģ$771)</f>
      </c>
      <c r="HS771">
        <f>IF(ISBLANK('Data Entry'!$ģ$771), "", 'Data Entry'!$ģ$771)</f>
      </c>
      <c r="HT771">
        <f>IF(ISBLANK('Data Entry'!$Ĥ$771), "", 'Data Entry'!$Ĥ$771)</f>
      </c>
      <c r="HU771">
        <f>IF(ISBLANK('Data Entry'!$ĥ$771), "", 'Data Entry'!$ĥ$771)</f>
      </c>
      <c r="HV771">
        <f>IF(ISBLANK('Data Entry'!$Ħ$771), "", 'Data Entry'!$Ħ$771)</f>
      </c>
      <c r="HW771">
        <f>IF(ISBLANK('Data Entry'!$ħ$771), "", 'Data Entry'!$ħ$771)</f>
      </c>
      <c r="HX771">
        <f>IF(ISBLANK('Data Entry'!$Ĩ$771), "", 'Data Entry'!$Ĩ$771)</f>
      </c>
      <c r="HY771">
        <f>IF(ISBLANK('Data Entry'!$ĩ$771), "", 'Data Entry'!$ĩ$771)</f>
      </c>
      <c r="HZ771">
        <f>IF(ISBLANK('Data Entry'!$Ī$771), "", 'Data Entry'!$Ī$771)</f>
      </c>
      <c r="IA771">
        <f>IF(ISBLANK('Data Entry'!$ī$771), "", 'Data Entry'!$ī$771)</f>
      </c>
      <c r="IB771">
        <f>IF(ISBLANK('Data Entry'!$Ĭ$771), "", 'Data Entry'!$Ĭ$771)</f>
      </c>
      <c r="IC771">
        <f>IF(ISBLANK('Data Entry'!$ĭ$771), "", 'Data Entry'!$ĭ$771)</f>
      </c>
      <c r="ID771">
        <f>IF(ISBLANK('Data Entry'!$Į$771), "", 'Data Entry'!$Į$771)</f>
      </c>
      <c r="IE771">
        <f>IF(ISBLANK('Data Entry'!$į$771), "", 'Data Entry'!$į$771)</f>
      </c>
      <c r="IF771">
        <f>IF(ISBLANK('Data Entry'!$İ$771), "", 'Data Entry'!$İ$771)</f>
      </c>
      <c r="IG771">
        <f>IF(ISBLANK('Data Entry'!$ı$771), "", 'Data Entry'!$ı$771)</f>
      </c>
      <c r="IH771">
        <f>IF(ISBLANK('Data Entry'!$Ĳ$771), "", 'Data Entry'!$Ĳ$771)</f>
      </c>
      <c r="II771">
        <f>IF(ISBLANK('Data Entry'!$ĳ$771), "", 'Data Entry'!$ĳ$771)</f>
      </c>
      <c r="IJ771">
        <f>IF(ISBLANK('Data Entry'!$Ĵ$771), "", 'Data Entry'!$Ĵ$771)</f>
      </c>
      <c r="IK771">
        <f>IF(ISBLANK('Data Entry'!$ĵ$771), "", 'Data Entry'!$ĵ$771)</f>
      </c>
      <c r="IL771">
        <f>IF(ISBLANK('Data Entry'!$Ķ$771), "", 'Data Entry'!$Ķ$771)</f>
      </c>
      <c r="IM771">
        <f>IF(ISBLANK('Data Entry'!$ķ$771), "", 'Data Entry'!$ķ$771)</f>
      </c>
      <c r="IN771">
        <f>IF(ISBLANK('Data Entry'!$ĸ$771), "", 'Data Entry'!$ĸ$771)</f>
      </c>
      <c r="IO771">
        <f>IF(ISBLANK('Data Entry'!$Ĺ$771), "", 'Data Entry'!$Ĺ$771)</f>
      </c>
      <c r="IP771">
        <f>IF(ISBLANK('Data Entry'!$ĺ$771), "", 'Data Entry'!$ĺ$771)</f>
      </c>
      <c r="IQ771">
        <f>IF(ISBLANK('Data Entry'!$Ļ$771), "", 'Data Entry'!$Ļ$771)</f>
      </c>
      <c r="IR771">
        <f>IF(ISBLANK('Data Entry'!$ļ$771), "", 'Data Entry'!$ļ$771)</f>
      </c>
      <c r="IS771">
        <f>IF(ISBLANK('Data Entry'!$Ľ$771), "", 'Data Entry'!$Ľ$771)</f>
      </c>
      <c r="IT771">
        <f>IF(ISBLANK('Data Entry'!$ľ$771), "", 'Data Entry'!$ľ$771)</f>
      </c>
    </row>
    <row r="772" spans="1:254" x14ac:dyDescent="0.25">
      <c r="A772">
        <f>IF(ISBLANK('Data Entry'!$A$772), "", 'Data Entry'!$A$772)</f>
      </c>
      <c r="B772">
        <f>IF(ISBLANK('Data Entry'!$B$772), "", 'Data Entry'!$B$772)</f>
      </c>
      <c r="C772">
        <f>IF(ISBLANK('Data Entry'!$C$772), "", 'Data Entry'!$C$772)</f>
      </c>
      <c r="D772">
        <f>IF(ISBLANK('Data Entry'!$D$772), "", 'Data Entry'!$D$772)</f>
      </c>
      <c r="E772">
        <f>IF(ISBLANK('Data Entry'!$E$772), "", 'Data Entry'!$E$772)</f>
      </c>
      <c r="F772">
        <f>IF(ISBLANK('Data Entry'!$F$772), "", 'Data Entry'!$F$772)</f>
      </c>
      <c r="G772">
        <f>IF(ISBLANK('Data Entry'!$G$772), "", 'Data Entry'!$G$772)</f>
      </c>
      <c r="H772">
        <f>IF(ISBLANK('Data Entry'!$H$772), "", 'Data Entry'!$H$772)</f>
      </c>
      <c r="I772">
        <f>IF(ISBLANK('Data Entry'!$I$772), "", 'Data Entry'!$I$772)</f>
      </c>
      <c r="J772">
        <f>IF(ISBLANK('Data Entry'!$J$772), "", 'Data Entry'!$J$772)</f>
      </c>
      <c r="K772">
        <f>IF(ISBLANK('Data Entry'!$K$772), "", 'Data Entry'!$K$772)</f>
      </c>
      <c r="L772">
        <f>IF(ISBLANK('Data Entry'!$L$772), "", 'Data Entry'!$L$772)</f>
      </c>
      <c r="M772">
        <f>IF(ISBLANK('Data Entry'!$M$772), "", 'Data Entry'!$M$772)</f>
      </c>
      <c r="N772">
        <f>IF(ISBLANK('Data Entry'!$N$772), "", 'Data Entry'!$N$772)</f>
      </c>
      <c r="O772">
        <f>IF(ISBLANK('Data Entry'!$O$772), "", 'Data Entry'!$O$772)</f>
      </c>
      <c r="P772">
        <f>IF(ISBLANK('Data Entry'!$P$772), "", 'Data Entry'!$P$772)</f>
      </c>
      <c r="Q772">
        <f>IF(ISBLANK('Data Entry'!$Q$772), "", 'Data Entry'!$Q$772)</f>
      </c>
      <c r="R772">
        <f>IF(ISBLANK('Data Entry'!$R$772), "", 'Data Entry'!$R$772)</f>
      </c>
      <c r="S772">
        <f>IF(ISBLANK('Data Entry'!$S$772), "", 'Data Entry'!$S$772)</f>
      </c>
      <c r="T772">
        <f>IF(ISBLANK('Data Entry'!$T$772), "", 'Data Entry'!$T$772)</f>
      </c>
      <c r="U772">
        <f>IF(ISBLANK('Data Entry'!$U$772), "", 'Data Entry'!$U$772)</f>
      </c>
      <c r="V772">
        <f>IF(ISBLANK('Data Entry'!$V$772), "", 'Data Entry'!$V$772)</f>
      </c>
      <c r="W772">
        <f>IF(ISBLANK('Data Entry'!$W$772), "", 'Data Entry'!$W$772)</f>
      </c>
      <c r="X772">
        <f>IF(ISBLANK('Data Entry'!$X$772), "", 'Data Entry'!$X$772)</f>
      </c>
      <c r="Y772">
        <f>IF(ISBLANK('Data Entry'!$Y$772), "", 'Data Entry'!$Y$772)</f>
      </c>
      <c r="Z772">
        <f>IF(ISBLANK('Data Entry'!$Z$772), "", 'Data Entry'!$Z$772)</f>
      </c>
      <c r="AA772">
        <f>IF(ISBLANK('Data Entry'!$[$772), "", 'Data Entry'!$[$772)</f>
      </c>
      <c r="AB772">
        <f>IF(ISBLANK('Data Entry'!$\$772), "", 'Data Entry'!$\$772)</f>
      </c>
      <c r="AC772">
        <f>IF(ISBLANK('Data Entry'!$]$772), "", 'Data Entry'!$]$772)</f>
      </c>
      <c r="AD772">
        <f>IF(ISBLANK('Data Entry'!$^$772), "", 'Data Entry'!$^$772)</f>
      </c>
      <c r="AE772">
        <f>IF(ISBLANK('Data Entry'!$_$772), "", 'Data Entry'!$_$772)</f>
      </c>
      <c r="AF772">
        <f>IF(ISBLANK('Data Entry'!$`$772), "", 'Data Entry'!$`$772)</f>
      </c>
      <c r="AG772">
        <f>IF(ISBLANK('Data Entry'!$a$772), "", 'Data Entry'!$a$772)</f>
      </c>
      <c r="AH772">
        <f>IF(ISBLANK('Data Entry'!$b$772), "", 'Data Entry'!$b$772)</f>
      </c>
      <c r="AI772">
        <f>IF(ISBLANK('Data Entry'!$c$772), "", 'Data Entry'!$c$772)</f>
      </c>
      <c r="AJ772">
        <f>IF(ISBLANK('Data Entry'!$d$772), "", 'Data Entry'!$d$772)</f>
      </c>
      <c r="AK772">
        <f>IF(ISBLANK('Data Entry'!$e$772), "", 'Data Entry'!$e$772)</f>
      </c>
      <c r="AL772">
        <f>IF(ISBLANK('Data Entry'!$f$772), "", 'Data Entry'!$f$772)</f>
      </c>
      <c r="AM772">
        <f>IF(ISBLANK('Data Entry'!$g$772), "", 'Data Entry'!$g$772)</f>
      </c>
      <c r="AN772">
        <f>IF(ISBLANK('Data Entry'!$h$772), "", 'Data Entry'!$h$772)</f>
      </c>
      <c r="AO772">
        <f>IF(ISBLANK('Data Entry'!$i$772), "", 'Data Entry'!$i$772)</f>
      </c>
      <c r="AP772">
        <f>IF(ISBLANK('Data Entry'!$j$772), "", 'Data Entry'!$j$772)</f>
      </c>
      <c r="AQ772">
        <f>IF(ISBLANK('Data Entry'!$k$772), "", 'Data Entry'!$k$772)</f>
      </c>
      <c r="AR772">
        <f>IF(ISBLANK('Data Entry'!$l$772), "", 'Data Entry'!$l$772)</f>
      </c>
      <c r="AS772">
        <f>IF(ISBLANK('Data Entry'!$m$772), "", 'Data Entry'!$m$772)</f>
      </c>
      <c r="AT772">
        <f>IF(ISBLANK('Data Entry'!$n$772), "", 'Data Entry'!$n$772)</f>
      </c>
      <c r="AU772">
        <f>IF(ISBLANK('Data Entry'!$o$772), "", 'Data Entry'!$o$772)</f>
      </c>
      <c r="AV772">
        <f>IF(ISBLANK('Data Entry'!$p$772), "", 'Data Entry'!$p$772)</f>
      </c>
      <c r="AW772">
        <f>IF(ISBLANK('Data Entry'!$q$772), "", 'Data Entry'!$q$772)</f>
      </c>
      <c r="AX772">
        <f>IF(ISBLANK('Data Entry'!$r$772), "", 'Data Entry'!$r$772)</f>
      </c>
      <c r="AY772">
        <f>IF(ISBLANK('Data Entry'!$s$772), "", 'Data Entry'!$s$772)</f>
      </c>
      <c r="AZ772">
        <f>IF(ISBLANK('Data Entry'!$t$772), "", 'Data Entry'!$t$772)</f>
      </c>
      <c r="BA772">
        <f>IF(ISBLANK('Data Entry'!$u$772), "", 'Data Entry'!$u$772)</f>
      </c>
      <c r="BB772">
        <f>IF(ISBLANK('Data Entry'!$v$772), "", 'Data Entry'!$v$772)</f>
      </c>
      <c r="BC772">
        <f>IF(ISBLANK('Data Entry'!$w$772), "", 'Data Entry'!$w$772)</f>
      </c>
      <c r="BD772">
        <f>IF(ISBLANK('Data Entry'!$x$772), "", 'Data Entry'!$x$772)</f>
      </c>
      <c r="BE772">
        <f>IF(ISBLANK('Data Entry'!$y$772), "", 'Data Entry'!$y$772)</f>
      </c>
      <c r="BF772">
        <f>IF(ISBLANK('Data Entry'!$z$772), "", 'Data Entry'!$z$772)</f>
      </c>
      <c r="BG772">
        <f>IF(ISBLANK('Data Entry'!${$772), "", 'Data Entry'!${$772)</f>
      </c>
      <c r="BH772">
        <f>IF(ISBLANK('Data Entry'!$|$772), "", 'Data Entry'!$|$772)</f>
      </c>
      <c r="BI772">
        <f>IF(ISBLANK('Data Entry'!$}$772), "", 'Data Entry'!$}$772)</f>
      </c>
      <c r="BJ772">
        <f>IF(ISBLANK('Data Entry'!$~$772), "", 'Data Entry'!$~$772)</f>
      </c>
      <c r="BK772">
        <f>IF(ISBLANK('Data Entry'!$$772), "", 'Data Entry'!$$772)</f>
      </c>
      <c r="BL772">
        <f>IF(ISBLANK('Data Entry'!$$772), "", 'Data Entry'!$$772)</f>
      </c>
      <c r="BM772">
        <f>IF(ISBLANK('Data Entry'!$$772), "", 'Data Entry'!$$772)</f>
      </c>
      <c r="BN772">
        <f>IF(ISBLANK('Data Entry'!$$772), "", 'Data Entry'!$$772)</f>
      </c>
      <c r="BO772">
        <f>IF(ISBLANK('Data Entry'!$$772), "", 'Data Entry'!$$772)</f>
      </c>
      <c r="BP772">
        <f>IF(ISBLANK('Data Entry'!$$772), "", 'Data Entry'!$$772)</f>
      </c>
      <c r="BQ772">
        <f>IF(ISBLANK('Data Entry'!$$772), "", 'Data Entry'!$$772)</f>
      </c>
      <c r="BR772">
        <f>IF(ISBLANK('Data Entry'!$$772), "", 'Data Entry'!$$772)</f>
      </c>
      <c r="BS772">
        <f>IF(ISBLANK('Data Entry'!$$772), "", 'Data Entry'!$$772)</f>
      </c>
      <c r="BT772">
        <f>IF(ISBLANK('Data Entry'!$$772), "", 'Data Entry'!$$772)</f>
      </c>
      <c r="BU772">
        <f>IF(ISBLANK('Data Entry'!$$772), "", 'Data Entry'!$$772)</f>
      </c>
      <c r="BV772">
        <f>IF(ISBLANK('Data Entry'!$$772), "", 'Data Entry'!$$772)</f>
      </c>
      <c r="BW772">
        <f>IF(ISBLANK('Data Entry'!$$772), "", 'Data Entry'!$$772)</f>
      </c>
      <c r="BX772">
        <f>IF(ISBLANK('Data Entry'!$$772), "", 'Data Entry'!$$772)</f>
      </c>
      <c r="BY772">
        <f>IF(ISBLANK('Data Entry'!$$772), "", 'Data Entry'!$$772)</f>
      </c>
      <c r="BZ772">
        <f>IF(ISBLANK('Data Entry'!$$772), "", 'Data Entry'!$$772)</f>
      </c>
      <c r="CA772">
        <f>IF(ISBLANK('Data Entry'!$$772), "", 'Data Entry'!$$772)</f>
      </c>
      <c r="CB772">
        <f>IF(ISBLANK('Data Entry'!$$772), "", 'Data Entry'!$$772)</f>
      </c>
      <c r="CC772">
        <f>IF(ISBLANK('Data Entry'!$$772), "", 'Data Entry'!$$772)</f>
      </c>
      <c r="CD772">
        <f>IF(ISBLANK('Data Entry'!$$772), "", 'Data Entry'!$$772)</f>
      </c>
      <c r="CE772">
        <f>IF(ISBLANK('Data Entry'!$$772), "", 'Data Entry'!$$772)</f>
      </c>
      <c r="CF772">
        <f>IF(ISBLANK('Data Entry'!$$772), "", 'Data Entry'!$$772)</f>
      </c>
      <c r="CG772">
        <f>IF(ISBLANK('Data Entry'!$$772), "", 'Data Entry'!$$772)</f>
      </c>
      <c r="CH772">
        <f>IF(ISBLANK('Data Entry'!$$772), "", 'Data Entry'!$$772)</f>
      </c>
      <c r="CI772">
        <f>IF(ISBLANK('Data Entry'!$$772), "", 'Data Entry'!$$772)</f>
      </c>
      <c r="CJ772">
        <f>IF(ISBLANK('Data Entry'!$$772), "", 'Data Entry'!$$772)</f>
      </c>
      <c r="CK772">
        <f>IF(ISBLANK('Data Entry'!$$772), "", 'Data Entry'!$$772)</f>
      </c>
      <c r="CL772">
        <f>IF(ISBLANK('Data Entry'!$$772), "", 'Data Entry'!$$772)</f>
      </c>
      <c r="CM772">
        <f>IF(ISBLANK('Data Entry'!$$772), "", 'Data Entry'!$$772)</f>
      </c>
      <c r="CN772">
        <f>IF(ISBLANK('Data Entry'!$$772), "", 'Data Entry'!$$772)</f>
      </c>
      <c r="CO772">
        <f>IF(ISBLANK('Data Entry'!$$772), "", 'Data Entry'!$$772)</f>
      </c>
      <c r="CP772">
        <f>IF(ISBLANK('Data Entry'!$$772), "", 'Data Entry'!$$772)</f>
      </c>
      <c r="CQ772">
        <f>IF(ISBLANK('Data Entry'!$$772), "", 'Data Entry'!$$772)</f>
      </c>
      <c r="CR772">
        <f>IF(ISBLANK('Data Entry'!$ $772), "", 'Data Entry'!$ $772)</f>
      </c>
      <c r="CS772">
        <f>IF(ISBLANK('Data Entry'!$¡$772), "", 'Data Entry'!$¡$772)</f>
      </c>
      <c r="CT772">
        <f>IF(ISBLANK('Data Entry'!$¢$772), "", 'Data Entry'!$¢$772)</f>
      </c>
      <c r="CU772">
        <f>IF(ISBLANK('Data Entry'!$£$772), "", 'Data Entry'!$£$772)</f>
      </c>
      <c r="CV772">
        <f>IF(ISBLANK('Data Entry'!$¤$772), "", 'Data Entry'!$¤$772)</f>
      </c>
      <c r="CW772">
        <f>IF(ISBLANK('Data Entry'!$¥$772), "", 'Data Entry'!$¥$772)</f>
      </c>
      <c r="CX772">
        <f>IF(ISBLANK('Data Entry'!$¦$772), "", 'Data Entry'!$¦$772)</f>
      </c>
      <c r="CY772">
        <f>IF(ISBLANK('Data Entry'!$§$772), "", 'Data Entry'!$§$772)</f>
      </c>
      <c r="CZ772">
        <f>IF(ISBLANK('Data Entry'!$¨$772), "", 'Data Entry'!$¨$772)</f>
      </c>
      <c r="DA772">
        <f>IF(ISBLANK('Data Entry'!$©$772), "", 'Data Entry'!$©$772)</f>
      </c>
      <c r="DB772">
        <f>IF(ISBLANK('Data Entry'!$ª$772), "", 'Data Entry'!$ª$772)</f>
      </c>
      <c r="DC772">
        <f>IF(ISBLANK('Data Entry'!$«$772), "", 'Data Entry'!$«$772)</f>
      </c>
      <c r="DD772">
        <f>IF(ISBLANK('Data Entry'!$¬$772), "", 'Data Entry'!$¬$772)</f>
      </c>
      <c r="DE772">
        <f>IF(ISBLANK('Data Entry'!$­$772), "", 'Data Entry'!$­$772)</f>
      </c>
      <c r="DF772">
        <f>IF(ISBLANK('Data Entry'!$®$772), "", 'Data Entry'!$®$772)</f>
      </c>
      <c r="DG772">
        <f>IF(ISBLANK('Data Entry'!$¯$772), "", 'Data Entry'!$¯$772)</f>
      </c>
      <c r="DH772">
        <f>IF(ISBLANK('Data Entry'!$°$772), "", 'Data Entry'!$°$772)</f>
      </c>
      <c r="DI772">
        <f>IF(ISBLANK('Data Entry'!$±$772), "", 'Data Entry'!$±$772)</f>
      </c>
      <c r="DJ772">
        <f>IF(ISBLANK('Data Entry'!$²$772), "", 'Data Entry'!$²$772)</f>
      </c>
      <c r="DK772">
        <f>IF(ISBLANK('Data Entry'!$³$772), "", 'Data Entry'!$³$772)</f>
      </c>
      <c r="DL772">
        <f>IF(ISBLANK('Data Entry'!$´$772), "", 'Data Entry'!$´$772)</f>
      </c>
      <c r="DM772">
        <f>IF(ISBLANK('Data Entry'!$µ$772), "", 'Data Entry'!$µ$772)</f>
      </c>
      <c r="DN772">
        <f>IF(ISBLANK('Data Entry'!$¶$772), "", 'Data Entry'!$¶$772)</f>
      </c>
      <c r="DO772">
        <f>IF(ISBLANK('Data Entry'!$·$772), "", 'Data Entry'!$·$772)</f>
      </c>
      <c r="DP772">
        <f>IF(ISBLANK('Data Entry'!$¸$772), "", 'Data Entry'!$¸$772)</f>
      </c>
      <c r="DQ772">
        <f>IF(ISBLANK('Data Entry'!$¹$772), "", 'Data Entry'!$¹$772)</f>
      </c>
      <c r="DR772">
        <f>IF(ISBLANK('Data Entry'!$º$772), "", 'Data Entry'!$º$772)</f>
      </c>
      <c r="DS772">
        <f>IF(ISBLANK('Data Entry'!$»$772), "", 'Data Entry'!$»$772)</f>
      </c>
      <c r="DT772">
        <f>IF(ISBLANK('Data Entry'!$¼$772), "", 'Data Entry'!$¼$772)</f>
      </c>
      <c r="DU772">
        <f>IF(ISBLANK('Data Entry'!$½$772), "", 'Data Entry'!$½$772)</f>
      </c>
      <c r="DV772">
        <f>IF(ISBLANK('Data Entry'!$¾$772), "", 'Data Entry'!$¾$772)</f>
      </c>
      <c r="DW772">
        <f>IF(ISBLANK('Data Entry'!$¿$772), "", 'Data Entry'!$¿$772)</f>
      </c>
      <c r="DX772">
        <f>IF(ISBLANK('Data Entry'!$À$772), "", 'Data Entry'!$À$772)</f>
      </c>
      <c r="DY772">
        <f>IF(ISBLANK('Data Entry'!$Á$772), "", 'Data Entry'!$Á$772)</f>
      </c>
      <c r="DZ772">
        <f>IF(ISBLANK('Data Entry'!$Â$772), "", 'Data Entry'!$Â$772)</f>
      </c>
      <c r="EA772">
        <f>IF(ISBLANK('Data Entry'!$Ã$772), "", 'Data Entry'!$Ã$772)</f>
      </c>
      <c r="EB772">
        <f>IF(ISBLANK('Data Entry'!$Ä$772), "", 'Data Entry'!$Ä$772)</f>
      </c>
      <c r="EC772">
        <f>IF(ISBLANK('Data Entry'!$Å$772), "", 'Data Entry'!$Å$772)</f>
      </c>
      <c r="ED772">
        <f>IF(ISBLANK('Data Entry'!$Æ$772), "", 'Data Entry'!$Æ$772)</f>
      </c>
      <c r="EE772">
        <f>IF(ISBLANK('Data Entry'!$Ç$772), "", 'Data Entry'!$Ç$772)</f>
      </c>
      <c r="EF772">
        <f>IF(ISBLANK('Data Entry'!$È$772), "", 'Data Entry'!$È$772)</f>
      </c>
      <c r="EG772">
        <f>IF(ISBLANK('Data Entry'!$É$772), "", 'Data Entry'!$É$772)</f>
      </c>
      <c r="EH772">
        <f>IF(ISBLANK('Data Entry'!$Ê$772), "", 'Data Entry'!$Ê$772)</f>
      </c>
      <c r="EI772">
        <f>IF(ISBLANK('Data Entry'!$Ë$772), "", 'Data Entry'!$Ë$772)</f>
      </c>
      <c r="EJ772">
        <f>IF(ISBLANK('Data Entry'!$Ì$772), "", 'Data Entry'!$Ì$772)</f>
      </c>
      <c r="EK772">
        <f>IF(ISBLANK('Data Entry'!$Í$772), "", 'Data Entry'!$Í$772)</f>
      </c>
      <c r="EL772">
        <f>IF(ISBLANK('Data Entry'!$Î$772), "", 'Data Entry'!$Î$772)</f>
      </c>
      <c r="EM772">
        <f>IF(ISBLANK('Data Entry'!$Ï$772), "", 'Data Entry'!$Ï$772)</f>
      </c>
      <c r="EN772">
        <f>IF(ISBLANK('Data Entry'!$Ð$772), "", 'Data Entry'!$Ð$772)</f>
      </c>
      <c r="EO772">
        <f>IF(ISBLANK('Data Entry'!$Ñ$772), "", 'Data Entry'!$Ñ$772)</f>
      </c>
      <c r="EP772">
        <f>IF(ISBLANK('Data Entry'!$Ò$772), "", 'Data Entry'!$Ò$772)</f>
      </c>
      <c r="EQ772">
        <f>IF(ISBLANK('Data Entry'!$Ó$772), "", 'Data Entry'!$Ó$772)</f>
      </c>
      <c r="ER772">
        <f>IF(ISBLANK('Data Entry'!$Ô$772), "", 'Data Entry'!$Ô$772)</f>
      </c>
      <c r="ES772">
        <f>IF(ISBLANK('Data Entry'!$Õ$772), "", 'Data Entry'!$Õ$772)</f>
      </c>
      <c r="ET772">
        <f>IF(ISBLANK('Data Entry'!$Ö$772), "", 'Data Entry'!$Ö$772)</f>
      </c>
      <c r="EU772">
        <f>IF(ISBLANK('Data Entry'!$×$772), "", 'Data Entry'!$×$772)</f>
      </c>
      <c r="EV772">
        <f>IF(ISBLANK('Data Entry'!$Ø$772), "", 'Data Entry'!$Ø$772)</f>
      </c>
      <c r="EW772">
        <f>IF(ISBLANK('Data Entry'!$Ù$772), "", 'Data Entry'!$Ù$772)</f>
      </c>
      <c r="EX772">
        <f>IF(ISBLANK('Data Entry'!$Ú$772), "", 'Data Entry'!$Ú$772)</f>
      </c>
      <c r="EY772">
        <f>IF(ISBLANK('Data Entry'!$Û$772), "", 'Data Entry'!$Û$772)</f>
      </c>
      <c r="EZ772">
        <f>IF(ISBLANK('Data Entry'!$Ü$772), "", 'Data Entry'!$Ü$772)</f>
      </c>
      <c r="FA772">
        <f>IF(ISBLANK('Data Entry'!$Ý$772), "", 'Data Entry'!$Ý$772)</f>
      </c>
      <c r="FB772">
        <f>IF(ISBLANK('Data Entry'!$Þ$772), "", 'Data Entry'!$Þ$772)</f>
      </c>
      <c r="FC772">
        <f>IF(ISBLANK('Data Entry'!$ß$772), "", 'Data Entry'!$ß$772)</f>
      </c>
      <c r="FD772">
        <f>IF(ISBLANK('Data Entry'!$à$772), "", 'Data Entry'!$à$772)</f>
      </c>
      <c r="FE772">
        <f>IF(ISBLANK('Data Entry'!$á$772), "", 'Data Entry'!$á$772)</f>
      </c>
      <c r="FF772">
        <f>IF(ISBLANK('Data Entry'!$â$772), "", 'Data Entry'!$â$772)</f>
      </c>
      <c r="FG772">
        <f>IF(ISBLANK('Data Entry'!$ã$772), "", 'Data Entry'!$ã$772)</f>
      </c>
      <c r="FH772">
        <f>IF(ISBLANK('Data Entry'!$ä$772), "", 'Data Entry'!$ä$772)</f>
      </c>
      <c r="FI772">
        <f>IF(ISBLANK('Data Entry'!$å$772), "", 'Data Entry'!$å$772)</f>
      </c>
      <c r="FJ772">
        <f>IF(ISBLANK('Data Entry'!$æ$772), "", 'Data Entry'!$æ$772)</f>
      </c>
      <c r="FK772">
        <f>IF(ISBLANK('Data Entry'!$ç$772), "", 'Data Entry'!$ç$772)</f>
      </c>
      <c r="FL772">
        <f>IF(ISBLANK('Data Entry'!$è$772), "", 'Data Entry'!$è$772)</f>
      </c>
      <c r="FM772">
        <f>IF(ISBLANK('Data Entry'!$é$772), "", 'Data Entry'!$é$772)</f>
      </c>
      <c r="FN772">
        <f>IF(ISBLANK('Data Entry'!$ê$772), "", 'Data Entry'!$ê$772)</f>
      </c>
      <c r="FO772">
        <f>IF(ISBLANK('Data Entry'!$ë$772), "", 'Data Entry'!$ë$772)</f>
      </c>
      <c r="FP772">
        <f>IF(ISBLANK('Data Entry'!$ì$772), "", 'Data Entry'!$ì$772)</f>
      </c>
      <c r="FQ772">
        <f>IF(ISBLANK('Data Entry'!$í$772), "", 'Data Entry'!$í$772)</f>
      </c>
      <c r="FR772">
        <f>IF(ISBLANK('Data Entry'!$î$772), "", 'Data Entry'!$î$772)</f>
      </c>
      <c r="FS772">
        <f>IF(ISBLANK('Data Entry'!$ï$772), "", 'Data Entry'!$ï$772)</f>
      </c>
      <c r="FT772">
        <f>IF(ISBLANK('Data Entry'!$ð$772), "", 'Data Entry'!$ð$772)</f>
      </c>
      <c r="FU772">
        <f>IF(ISBLANK('Data Entry'!$ñ$772), "", 'Data Entry'!$ñ$772)</f>
      </c>
      <c r="FV772">
        <f>IF(ISBLANK('Data Entry'!$ò$772), "", 'Data Entry'!$ò$772)</f>
      </c>
      <c r="FW772">
        <f>IF(ISBLANK('Data Entry'!$ó$772), "", 'Data Entry'!$ó$772)</f>
      </c>
      <c r="FX772">
        <f>IF(ISBLANK('Data Entry'!$ô$772), "", 'Data Entry'!$ô$772)</f>
      </c>
      <c r="FY772">
        <f>IF(ISBLANK('Data Entry'!$õ$772), "", 'Data Entry'!$õ$772)</f>
      </c>
      <c r="FZ772">
        <f>IF(ISBLANK('Data Entry'!$ö$772), "", 'Data Entry'!$ö$772)</f>
      </c>
      <c r="GA772">
        <f>IF(ISBLANK('Data Entry'!$÷$772), "", 'Data Entry'!$÷$772)</f>
      </c>
      <c r="GB772">
        <f>IF(ISBLANK('Data Entry'!$ø$772), "", 'Data Entry'!$ø$772)</f>
      </c>
      <c r="GC772">
        <f>IF(ISBLANK('Data Entry'!$ù$772), "", 'Data Entry'!$ù$772)</f>
      </c>
      <c r="GD772">
        <f>IF(ISBLANK('Data Entry'!$ú$772), "", 'Data Entry'!$ú$772)</f>
      </c>
      <c r="GE772">
        <f>IF(ISBLANK('Data Entry'!$û$772), "", 'Data Entry'!$û$772)</f>
      </c>
      <c r="GF772">
        <f>IF(ISBLANK('Data Entry'!$ü$772), "", 'Data Entry'!$ü$772)</f>
      </c>
      <c r="GG772">
        <f>IF(ISBLANK('Data Entry'!$ý$772), "", 'Data Entry'!$ý$772)</f>
      </c>
      <c r="GH772">
        <f>IF(ISBLANK('Data Entry'!$þ$772), "", 'Data Entry'!$þ$772)</f>
      </c>
      <c r="GI772">
        <f>IF(ISBLANK('Data Entry'!$ÿ$772), "", 'Data Entry'!$ÿ$772)</f>
      </c>
      <c r="GJ772">
        <f>IF(ISBLANK('Data Entry'!$Ā$772), "", 'Data Entry'!$Ā$772)</f>
      </c>
      <c r="GK772">
        <f>IF(ISBLANK('Data Entry'!$ā$772), "", 'Data Entry'!$ā$772)</f>
      </c>
      <c r="GL772">
        <f>IF(ISBLANK('Data Entry'!$Ă$772), "", 'Data Entry'!$Ă$772)</f>
      </c>
      <c r="GM772">
        <f>IF(ISBLANK('Data Entry'!$ă$772), "", 'Data Entry'!$ă$772)</f>
      </c>
      <c r="GN772">
        <f>IF(ISBLANK('Data Entry'!$Ą$772), "", 'Data Entry'!$Ą$772)</f>
      </c>
      <c r="GO772">
        <f>IF(ISBLANK('Data Entry'!$ą$772), "", 'Data Entry'!$ą$772)</f>
      </c>
      <c r="GP772">
        <f>IF(ISBLANK('Data Entry'!$Ć$772), "", 'Data Entry'!$Ć$772)</f>
      </c>
      <c r="GQ772">
        <f>IF(ISBLANK('Data Entry'!$ć$772), "", 'Data Entry'!$ć$772)</f>
      </c>
      <c r="GR772">
        <f>IF(ISBLANK('Data Entry'!$Ĉ$772), "", 'Data Entry'!$Ĉ$772)</f>
      </c>
      <c r="GS772">
        <f>IF(ISBLANK('Data Entry'!$ĉ$772), "", 'Data Entry'!$ĉ$772)</f>
      </c>
      <c r="GT772">
        <f>IF(ISBLANK('Data Entry'!$Ċ$772), "", 'Data Entry'!$Ċ$772)</f>
      </c>
      <c r="GU772">
        <f>IF(ISBLANK('Data Entry'!$ċ$772), "", 'Data Entry'!$ċ$772)</f>
      </c>
      <c r="GV772">
        <f>IF(ISBLANK('Data Entry'!$Č$772), "", 'Data Entry'!$Č$772)</f>
      </c>
      <c r="GW772">
        <f>IF(ISBLANK('Data Entry'!$č$772), "", 'Data Entry'!$č$772)</f>
      </c>
      <c r="GX772">
        <f>IF(ISBLANK('Data Entry'!$Ď$772), "", 'Data Entry'!$Ď$772)</f>
      </c>
      <c r="GY772">
        <f>IF(ISBLANK('Data Entry'!$ď$772), "", 'Data Entry'!$ď$772)</f>
      </c>
      <c r="GZ772">
        <f>IF(ISBLANK('Data Entry'!$Đ$772), "", 'Data Entry'!$Đ$772)</f>
      </c>
      <c r="HA772">
        <f>IF(ISBLANK('Data Entry'!$đ$772), "", 'Data Entry'!$đ$772)</f>
      </c>
      <c r="HB772">
        <f>IF(ISBLANK('Data Entry'!$Ē$772), "", 'Data Entry'!$Ē$772)</f>
      </c>
      <c r="HC772">
        <f>IF(ISBLANK('Data Entry'!$ē$772), "", 'Data Entry'!$ē$772)</f>
      </c>
      <c r="HD772">
        <f>IF(ISBLANK('Data Entry'!$Ĕ$772), "", 'Data Entry'!$Ĕ$772)</f>
      </c>
      <c r="HE772">
        <f>IF(ISBLANK('Data Entry'!$ĕ$772), "", 'Data Entry'!$ĕ$772)</f>
      </c>
      <c r="HF772">
        <f>IF(ISBLANK('Data Entry'!$Ė$772), "", 'Data Entry'!$Ė$772)</f>
      </c>
      <c r="HG772">
        <f>IF(ISBLANK('Data Entry'!$ė$772), "", 'Data Entry'!$ė$772)</f>
      </c>
      <c r="HH772">
        <f>IF(ISBLANK('Data Entry'!$Ę$772), "", 'Data Entry'!$Ę$772)</f>
      </c>
      <c r="HI772">
        <f>IF(ISBLANK('Data Entry'!$ę$772), "", 'Data Entry'!$ę$772)</f>
      </c>
      <c r="HJ772">
        <f>IF(ISBLANK('Data Entry'!$Ě$772), "", 'Data Entry'!$Ě$772)</f>
      </c>
      <c r="HK772">
        <f>IF(ISBLANK('Data Entry'!$ě$772), "", 'Data Entry'!$ě$772)</f>
      </c>
      <c r="HL772">
        <f>IF(ISBLANK('Data Entry'!$Ĝ$772), "", 'Data Entry'!$Ĝ$772)</f>
      </c>
      <c r="HM772">
        <f>IF(ISBLANK('Data Entry'!$ĝ$772), "", 'Data Entry'!$ĝ$772)</f>
      </c>
      <c r="HN772">
        <f>IF(ISBLANK('Data Entry'!$Ğ$772), "", 'Data Entry'!$Ğ$772)</f>
      </c>
      <c r="HO772">
        <f>IF(ISBLANK('Data Entry'!$ğ$772), "", 'Data Entry'!$ğ$772)</f>
      </c>
      <c r="HP772">
        <f>IF(ISBLANK('Data Entry'!$Ġ$772), "", 'Data Entry'!$Ġ$772)</f>
      </c>
      <c r="HQ772">
        <f>IF(ISBLANK('Data Entry'!$ġ$772), "", 'Data Entry'!$ġ$772)</f>
      </c>
      <c r="HR772">
        <f>IF(ISBLANK('Data Entry'!$Ģ$772), "", 'Data Entry'!$Ģ$772)</f>
      </c>
      <c r="HS772">
        <f>IF(ISBLANK('Data Entry'!$ģ$772), "", 'Data Entry'!$ģ$772)</f>
      </c>
      <c r="HT772">
        <f>IF(ISBLANK('Data Entry'!$Ĥ$772), "", 'Data Entry'!$Ĥ$772)</f>
      </c>
      <c r="HU772">
        <f>IF(ISBLANK('Data Entry'!$ĥ$772), "", 'Data Entry'!$ĥ$772)</f>
      </c>
      <c r="HV772">
        <f>IF(ISBLANK('Data Entry'!$Ħ$772), "", 'Data Entry'!$Ħ$772)</f>
      </c>
      <c r="HW772">
        <f>IF(ISBLANK('Data Entry'!$ħ$772), "", 'Data Entry'!$ħ$772)</f>
      </c>
      <c r="HX772">
        <f>IF(ISBLANK('Data Entry'!$Ĩ$772), "", 'Data Entry'!$Ĩ$772)</f>
      </c>
      <c r="HY772">
        <f>IF(ISBLANK('Data Entry'!$ĩ$772), "", 'Data Entry'!$ĩ$772)</f>
      </c>
      <c r="HZ772">
        <f>IF(ISBLANK('Data Entry'!$Ī$772), "", 'Data Entry'!$Ī$772)</f>
      </c>
      <c r="IA772">
        <f>IF(ISBLANK('Data Entry'!$ī$772), "", 'Data Entry'!$ī$772)</f>
      </c>
      <c r="IB772">
        <f>IF(ISBLANK('Data Entry'!$Ĭ$772), "", 'Data Entry'!$Ĭ$772)</f>
      </c>
      <c r="IC772">
        <f>IF(ISBLANK('Data Entry'!$ĭ$772), "", 'Data Entry'!$ĭ$772)</f>
      </c>
      <c r="ID772">
        <f>IF(ISBLANK('Data Entry'!$Į$772), "", 'Data Entry'!$Į$772)</f>
      </c>
      <c r="IE772">
        <f>IF(ISBLANK('Data Entry'!$į$772), "", 'Data Entry'!$į$772)</f>
      </c>
      <c r="IF772">
        <f>IF(ISBLANK('Data Entry'!$İ$772), "", 'Data Entry'!$İ$772)</f>
      </c>
      <c r="IG772">
        <f>IF(ISBLANK('Data Entry'!$ı$772), "", 'Data Entry'!$ı$772)</f>
      </c>
      <c r="IH772">
        <f>IF(ISBLANK('Data Entry'!$Ĳ$772), "", 'Data Entry'!$Ĳ$772)</f>
      </c>
      <c r="II772">
        <f>IF(ISBLANK('Data Entry'!$ĳ$772), "", 'Data Entry'!$ĳ$772)</f>
      </c>
      <c r="IJ772">
        <f>IF(ISBLANK('Data Entry'!$Ĵ$772), "", 'Data Entry'!$Ĵ$772)</f>
      </c>
      <c r="IK772">
        <f>IF(ISBLANK('Data Entry'!$ĵ$772), "", 'Data Entry'!$ĵ$772)</f>
      </c>
      <c r="IL772">
        <f>IF(ISBLANK('Data Entry'!$Ķ$772), "", 'Data Entry'!$Ķ$772)</f>
      </c>
      <c r="IM772">
        <f>IF(ISBLANK('Data Entry'!$ķ$772), "", 'Data Entry'!$ķ$772)</f>
      </c>
      <c r="IN772">
        <f>IF(ISBLANK('Data Entry'!$ĸ$772), "", 'Data Entry'!$ĸ$772)</f>
      </c>
      <c r="IO772">
        <f>IF(ISBLANK('Data Entry'!$Ĺ$772), "", 'Data Entry'!$Ĺ$772)</f>
      </c>
      <c r="IP772">
        <f>IF(ISBLANK('Data Entry'!$ĺ$772), "", 'Data Entry'!$ĺ$772)</f>
      </c>
      <c r="IQ772">
        <f>IF(ISBLANK('Data Entry'!$Ļ$772), "", 'Data Entry'!$Ļ$772)</f>
      </c>
      <c r="IR772">
        <f>IF(ISBLANK('Data Entry'!$ļ$772), "", 'Data Entry'!$ļ$772)</f>
      </c>
      <c r="IS772">
        <f>IF(ISBLANK('Data Entry'!$Ľ$772), "", 'Data Entry'!$Ľ$772)</f>
      </c>
      <c r="IT772">
        <f>IF(ISBLANK('Data Entry'!$ľ$772), "", 'Data Entry'!$ľ$772)</f>
      </c>
    </row>
    <row r="773" spans="1:254" x14ac:dyDescent="0.25">
      <c r="A773">
        <f>IF(ISBLANK('Data Entry'!$A$773), "", 'Data Entry'!$A$773)</f>
      </c>
      <c r="B773">
        <f>IF(ISBLANK('Data Entry'!$B$773), "", 'Data Entry'!$B$773)</f>
      </c>
      <c r="C773">
        <f>IF(ISBLANK('Data Entry'!$C$773), "", 'Data Entry'!$C$773)</f>
      </c>
      <c r="D773">
        <f>IF(ISBLANK('Data Entry'!$D$773), "", 'Data Entry'!$D$773)</f>
      </c>
      <c r="E773">
        <f>IF(ISBLANK('Data Entry'!$E$773), "", 'Data Entry'!$E$773)</f>
      </c>
      <c r="F773">
        <f>IF(ISBLANK('Data Entry'!$F$773), "", 'Data Entry'!$F$773)</f>
      </c>
      <c r="G773">
        <f>IF(ISBLANK('Data Entry'!$G$773), "", 'Data Entry'!$G$773)</f>
      </c>
      <c r="H773">
        <f>IF(ISBLANK('Data Entry'!$H$773), "", 'Data Entry'!$H$773)</f>
      </c>
      <c r="I773">
        <f>IF(ISBLANK('Data Entry'!$I$773), "", 'Data Entry'!$I$773)</f>
      </c>
      <c r="J773">
        <f>IF(ISBLANK('Data Entry'!$J$773), "", 'Data Entry'!$J$773)</f>
      </c>
      <c r="K773">
        <f>IF(ISBLANK('Data Entry'!$K$773), "", 'Data Entry'!$K$773)</f>
      </c>
      <c r="L773">
        <f>IF(ISBLANK('Data Entry'!$L$773), "", 'Data Entry'!$L$773)</f>
      </c>
      <c r="M773">
        <f>IF(ISBLANK('Data Entry'!$M$773), "", 'Data Entry'!$M$773)</f>
      </c>
      <c r="N773">
        <f>IF(ISBLANK('Data Entry'!$N$773), "", 'Data Entry'!$N$773)</f>
      </c>
      <c r="O773">
        <f>IF(ISBLANK('Data Entry'!$O$773), "", 'Data Entry'!$O$773)</f>
      </c>
      <c r="P773">
        <f>IF(ISBLANK('Data Entry'!$P$773), "", 'Data Entry'!$P$773)</f>
      </c>
      <c r="Q773">
        <f>IF(ISBLANK('Data Entry'!$Q$773), "", 'Data Entry'!$Q$773)</f>
      </c>
      <c r="R773">
        <f>IF(ISBLANK('Data Entry'!$R$773), "", 'Data Entry'!$R$773)</f>
      </c>
      <c r="S773">
        <f>IF(ISBLANK('Data Entry'!$S$773), "", 'Data Entry'!$S$773)</f>
      </c>
      <c r="T773">
        <f>IF(ISBLANK('Data Entry'!$T$773), "", 'Data Entry'!$T$773)</f>
      </c>
      <c r="U773">
        <f>IF(ISBLANK('Data Entry'!$U$773), "", 'Data Entry'!$U$773)</f>
      </c>
      <c r="V773">
        <f>IF(ISBLANK('Data Entry'!$V$773), "", 'Data Entry'!$V$773)</f>
      </c>
      <c r="W773">
        <f>IF(ISBLANK('Data Entry'!$W$773), "", 'Data Entry'!$W$773)</f>
      </c>
      <c r="X773">
        <f>IF(ISBLANK('Data Entry'!$X$773), "", 'Data Entry'!$X$773)</f>
      </c>
      <c r="Y773">
        <f>IF(ISBLANK('Data Entry'!$Y$773), "", 'Data Entry'!$Y$773)</f>
      </c>
      <c r="Z773">
        <f>IF(ISBLANK('Data Entry'!$Z$773), "", 'Data Entry'!$Z$773)</f>
      </c>
      <c r="AA773">
        <f>IF(ISBLANK('Data Entry'!$[$773), "", 'Data Entry'!$[$773)</f>
      </c>
      <c r="AB773">
        <f>IF(ISBLANK('Data Entry'!$\$773), "", 'Data Entry'!$\$773)</f>
      </c>
      <c r="AC773">
        <f>IF(ISBLANK('Data Entry'!$]$773), "", 'Data Entry'!$]$773)</f>
      </c>
      <c r="AD773">
        <f>IF(ISBLANK('Data Entry'!$^$773), "", 'Data Entry'!$^$773)</f>
      </c>
      <c r="AE773">
        <f>IF(ISBLANK('Data Entry'!$_$773), "", 'Data Entry'!$_$773)</f>
      </c>
      <c r="AF773">
        <f>IF(ISBLANK('Data Entry'!$`$773), "", 'Data Entry'!$`$773)</f>
      </c>
      <c r="AG773">
        <f>IF(ISBLANK('Data Entry'!$a$773), "", 'Data Entry'!$a$773)</f>
      </c>
      <c r="AH773">
        <f>IF(ISBLANK('Data Entry'!$b$773), "", 'Data Entry'!$b$773)</f>
      </c>
      <c r="AI773">
        <f>IF(ISBLANK('Data Entry'!$c$773), "", 'Data Entry'!$c$773)</f>
      </c>
      <c r="AJ773">
        <f>IF(ISBLANK('Data Entry'!$d$773), "", 'Data Entry'!$d$773)</f>
      </c>
      <c r="AK773">
        <f>IF(ISBLANK('Data Entry'!$e$773), "", 'Data Entry'!$e$773)</f>
      </c>
      <c r="AL773">
        <f>IF(ISBLANK('Data Entry'!$f$773), "", 'Data Entry'!$f$773)</f>
      </c>
      <c r="AM773">
        <f>IF(ISBLANK('Data Entry'!$g$773), "", 'Data Entry'!$g$773)</f>
      </c>
      <c r="AN773">
        <f>IF(ISBLANK('Data Entry'!$h$773), "", 'Data Entry'!$h$773)</f>
      </c>
      <c r="AO773">
        <f>IF(ISBLANK('Data Entry'!$i$773), "", 'Data Entry'!$i$773)</f>
      </c>
      <c r="AP773">
        <f>IF(ISBLANK('Data Entry'!$j$773), "", 'Data Entry'!$j$773)</f>
      </c>
      <c r="AQ773">
        <f>IF(ISBLANK('Data Entry'!$k$773), "", 'Data Entry'!$k$773)</f>
      </c>
      <c r="AR773">
        <f>IF(ISBLANK('Data Entry'!$l$773), "", 'Data Entry'!$l$773)</f>
      </c>
      <c r="AS773">
        <f>IF(ISBLANK('Data Entry'!$m$773), "", 'Data Entry'!$m$773)</f>
      </c>
      <c r="AT773">
        <f>IF(ISBLANK('Data Entry'!$n$773), "", 'Data Entry'!$n$773)</f>
      </c>
      <c r="AU773">
        <f>IF(ISBLANK('Data Entry'!$o$773), "", 'Data Entry'!$o$773)</f>
      </c>
      <c r="AV773">
        <f>IF(ISBLANK('Data Entry'!$p$773), "", 'Data Entry'!$p$773)</f>
      </c>
      <c r="AW773">
        <f>IF(ISBLANK('Data Entry'!$q$773), "", 'Data Entry'!$q$773)</f>
      </c>
      <c r="AX773">
        <f>IF(ISBLANK('Data Entry'!$r$773), "", 'Data Entry'!$r$773)</f>
      </c>
      <c r="AY773">
        <f>IF(ISBLANK('Data Entry'!$s$773), "", 'Data Entry'!$s$773)</f>
      </c>
      <c r="AZ773">
        <f>IF(ISBLANK('Data Entry'!$t$773), "", 'Data Entry'!$t$773)</f>
      </c>
      <c r="BA773">
        <f>IF(ISBLANK('Data Entry'!$u$773), "", 'Data Entry'!$u$773)</f>
      </c>
      <c r="BB773">
        <f>IF(ISBLANK('Data Entry'!$v$773), "", 'Data Entry'!$v$773)</f>
      </c>
      <c r="BC773">
        <f>IF(ISBLANK('Data Entry'!$w$773), "", 'Data Entry'!$w$773)</f>
      </c>
      <c r="BD773">
        <f>IF(ISBLANK('Data Entry'!$x$773), "", 'Data Entry'!$x$773)</f>
      </c>
      <c r="BE773">
        <f>IF(ISBLANK('Data Entry'!$y$773), "", 'Data Entry'!$y$773)</f>
      </c>
      <c r="BF773">
        <f>IF(ISBLANK('Data Entry'!$z$773), "", 'Data Entry'!$z$773)</f>
      </c>
      <c r="BG773">
        <f>IF(ISBLANK('Data Entry'!${$773), "", 'Data Entry'!${$773)</f>
      </c>
      <c r="BH773">
        <f>IF(ISBLANK('Data Entry'!$|$773), "", 'Data Entry'!$|$773)</f>
      </c>
      <c r="BI773">
        <f>IF(ISBLANK('Data Entry'!$}$773), "", 'Data Entry'!$}$773)</f>
      </c>
      <c r="BJ773">
        <f>IF(ISBLANK('Data Entry'!$~$773), "", 'Data Entry'!$~$773)</f>
      </c>
      <c r="BK773">
        <f>IF(ISBLANK('Data Entry'!$$773), "", 'Data Entry'!$$773)</f>
      </c>
      <c r="BL773">
        <f>IF(ISBLANK('Data Entry'!$$773), "", 'Data Entry'!$$773)</f>
      </c>
      <c r="BM773">
        <f>IF(ISBLANK('Data Entry'!$$773), "", 'Data Entry'!$$773)</f>
      </c>
      <c r="BN773">
        <f>IF(ISBLANK('Data Entry'!$$773), "", 'Data Entry'!$$773)</f>
      </c>
      <c r="BO773">
        <f>IF(ISBLANK('Data Entry'!$$773), "", 'Data Entry'!$$773)</f>
      </c>
      <c r="BP773">
        <f>IF(ISBLANK('Data Entry'!$$773), "", 'Data Entry'!$$773)</f>
      </c>
      <c r="BQ773">
        <f>IF(ISBLANK('Data Entry'!$$773), "", 'Data Entry'!$$773)</f>
      </c>
      <c r="BR773">
        <f>IF(ISBLANK('Data Entry'!$$773), "", 'Data Entry'!$$773)</f>
      </c>
      <c r="BS773">
        <f>IF(ISBLANK('Data Entry'!$$773), "", 'Data Entry'!$$773)</f>
      </c>
      <c r="BT773">
        <f>IF(ISBLANK('Data Entry'!$$773), "", 'Data Entry'!$$773)</f>
      </c>
      <c r="BU773">
        <f>IF(ISBLANK('Data Entry'!$$773), "", 'Data Entry'!$$773)</f>
      </c>
      <c r="BV773">
        <f>IF(ISBLANK('Data Entry'!$$773), "", 'Data Entry'!$$773)</f>
      </c>
      <c r="BW773">
        <f>IF(ISBLANK('Data Entry'!$$773), "", 'Data Entry'!$$773)</f>
      </c>
      <c r="BX773">
        <f>IF(ISBLANK('Data Entry'!$$773), "", 'Data Entry'!$$773)</f>
      </c>
      <c r="BY773">
        <f>IF(ISBLANK('Data Entry'!$$773), "", 'Data Entry'!$$773)</f>
      </c>
      <c r="BZ773">
        <f>IF(ISBLANK('Data Entry'!$$773), "", 'Data Entry'!$$773)</f>
      </c>
      <c r="CA773">
        <f>IF(ISBLANK('Data Entry'!$$773), "", 'Data Entry'!$$773)</f>
      </c>
      <c r="CB773">
        <f>IF(ISBLANK('Data Entry'!$$773), "", 'Data Entry'!$$773)</f>
      </c>
      <c r="CC773">
        <f>IF(ISBLANK('Data Entry'!$$773), "", 'Data Entry'!$$773)</f>
      </c>
      <c r="CD773">
        <f>IF(ISBLANK('Data Entry'!$$773), "", 'Data Entry'!$$773)</f>
      </c>
      <c r="CE773">
        <f>IF(ISBLANK('Data Entry'!$$773), "", 'Data Entry'!$$773)</f>
      </c>
      <c r="CF773">
        <f>IF(ISBLANK('Data Entry'!$$773), "", 'Data Entry'!$$773)</f>
      </c>
      <c r="CG773">
        <f>IF(ISBLANK('Data Entry'!$$773), "", 'Data Entry'!$$773)</f>
      </c>
      <c r="CH773">
        <f>IF(ISBLANK('Data Entry'!$$773), "", 'Data Entry'!$$773)</f>
      </c>
      <c r="CI773">
        <f>IF(ISBLANK('Data Entry'!$$773), "", 'Data Entry'!$$773)</f>
      </c>
      <c r="CJ773">
        <f>IF(ISBLANK('Data Entry'!$$773), "", 'Data Entry'!$$773)</f>
      </c>
      <c r="CK773">
        <f>IF(ISBLANK('Data Entry'!$$773), "", 'Data Entry'!$$773)</f>
      </c>
      <c r="CL773">
        <f>IF(ISBLANK('Data Entry'!$$773), "", 'Data Entry'!$$773)</f>
      </c>
      <c r="CM773">
        <f>IF(ISBLANK('Data Entry'!$$773), "", 'Data Entry'!$$773)</f>
      </c>
      <c r="CN773">
        <f>IF(ISBLANK('Data Entry'!$$773), "", 'Data Entry'!$$773)</f>
      </c>
      <c r="CO773">
        <f>IF(ISBLANK('Data Entry'!$$773), "", 'Data Entry'!$$773)</f>
      </c>
      <c r="CP773">
        <f>IF(ISBLANK('Data Entry'!$$773), "", 'Data Entry'!$$773)</f>
      </c>
      <c r="CQ773">
        <f>IF(ISBLANK('Data Entry'!$$773), "", 'Data Entry'!$$773)</f>
      </c>
      <c r="CR773">
        <f>IF(ISBLANK('Data Entry'!$ $773), "", 'Data Entry'!$ $773)</f>
      </c>
      <c r="CS773">
        <f>IF(ISBLANK('Data Entry'!$¡$773), "", 'Data Entry'!$¡$773)</f>
      </c>
      <c r="CT773">
        <f>IF(ISBLANK('Data Entry'!$¢$773), "", 'Data Entry'!$¢$773)</f>
      </c>
      <c r="CU773">
        <f>IF(ISBLANK('Data Entry'!$£$773), "", 'Data Entry'!$£$773)</f>
      </c>
      <c r="CV773">
        <f>IF(ISBLANK('Data Entry'!$¤$773), "", 'Data Entry'!$¤$773)</f>
      </c>
      <c r="CW773">
        <f>IF(ISBLANK('Data Entry'!$¥$773), "", 'Data Entry'!$¥$773)</f>
      </c>
      <c r="CX773">
        <f>IF(ISBLANK('Data Entry'!$¦$773), "", 'Data Entry'!$¦$773)</f>
      </c>
      <c r="CY773">
        <f>IF(ISBLANK('Data Entry'!$§$773), "", 'Data Entry'!$§$773)</f>
      </c>
      <c r="CZ773">
        <f>IF(ISBLANK('Data Entry'!$¨$773), "", 'Data Entry'!$¨$773)</f>
      </c>
      <c r="DA773">
        <f>IF(ISBLANK('Data Entry'!$©$773), "", 'Data Entry'!$©$773)</f>
      </c>
      <c r="DB773">
        <f>IF(ISBLANK('Data Entry'!$ª$773), "", 'Data Entry'!$ª$773)</f>
      </c>
      <c r="DC773">
        <f>IF(ISBLANK('Data Entry'!$«$773), "", 'Data Entry'!$«$773)</f>
      </c>
      <c r="DD773">
        <f>IF(ISBLANK('Data Entry'!$¬$773), "", 'Data Entry'!$¬$773)</f>
      </c>
      <c r="DE773">
        <f>IF(ISBLANK('Data Entry'!$­$773), "", 'Data Entry'!$­$773)</f>
      </c>
      <c r="DF773">
        <f>IF(ISBLANK('Data Entry'!$®$773), "", 'Data Entry'!$®$773)</f>
      </c>
      <c r="DG773">
        <f>IF(ISBLANK('Data Entry'!$¯$773), "", 'Data Entry'!$¯$773)</f>
      </c>
      <c r="DH773">
        <f>IF(ISBLANK('Data Entry'!$°$773), "", 'Data Entry'!$°$773)</f>
      </c>
      <c r="DI773">
        <f>IF(ISBLANK('Data Entry'!$±$773), "", 'Data Entry'!$±$773)</f>
      </c>
      <c r="DJ773">
        <f>IF(ISBLANK('Data Entry'!$²$773), "", 'Data Entry'!$²$773)</f>
      </c>
      <c r="DK773">
        <f>IF(ISBLANK('Data Entry'!$³$773), "", 'Data Entry'!$³$773)</f>
      </c>
      <c r="DL773">
        <f>IF(ISBLANK('Data Entry'!$´$773), "", 'Data Entry'!$´$773)</f>
      </c>
      <c r="DM773">
        <f>IF(ISBLANK('Data Entry'!$µ$773), "", 'Data Entry'!$µ$773)</f>
      </c>
      <c r="DN773">
        <f>IF(ISBLANK('Data Entry'!$¶$773), "", 'Data Entry'!$¶$773)</f>
      </c>
      <c r="DO773">
        <f>IF(ISBLANK('Data Entry'!$·$773), "", 'Data Entry'!$·$773)</f>
      </c>
      <c r="DP773">
        <f>IF(ISBLANK('Data Entry'!$¸$773), "", 'Data Entry'!$¸$773)</f>
      </c>
      <c r="DQ773">
        <f>IF(ISBLANK('Data Entry'!$¹$773), "", 'Data Entry'!$¹$773)</f>
      </c>
      <c r="DR773">
        <f>IF(ISBLANK('Data Entry'!$º$773), "", 'Data Entry'!$º$773)</f>
      </c>
      <c r="DS773">
        <f>IF(ISBLANK('Data Entry'!$»$773), "", 'Data Entry'!$»$773)</f>
      </c>
      <c r="DT773">
        <f>IF(ISBLANK('Data Entry'!$¼$773), "", 'Data Entry'!$¼$773)</f>
      </c>
      <c r="DU773">
        <f>IF(ISBLANK('Data Entry'!$½$773), "", 'Data Entry'!$½$773)</f>
      </c>
      <c r="DV773">
        <f>IF(ISBLANK('Data Entry'!$¾$773), "", 'Data Entry'!$¾$773)</f>
      </c>
      <c r="DW773">
        <f>IF(ISBLANK('Data Entry'!$¿$773), "", 'Data Entry'!$¿$773)</f>
      </c>
      <c r="DX773">
        <f>IF(ISBLANK('Data Entry'!$À$773), "", 'Data Entry'!$À$773)</f>
      </c>
      <c r="DY773">
        <f>IF(ISBLANK('Data Entry'!$Á$773), "", 'Data Entry'!$Á$773)</f>
      </c>
      <c r="DZ773">
        <f>IF(ISBLANK('Data Entry'!$Â$773), "", 'Data Entry'!$Â$773)</f>
      </c>
      <c r="EA773">
        <f>IF(ISBLANK('Data Entry'!$Ã$773), "", 'Data Entry'!$Ã$773)</f>
      </c>
      <c r="EB773">
        <f>IF(ISBLANK('Data Entry'!$Ä$773), "", 'Data Entry'!$Ä$773)</f>
      </c>
      <c r="EC773">
        <f>IF(ISBLANK('Data Entry'!$Å$773), "", 'Data Entry'!$Å$773)</f>
      </c>
      <c r="ED773">
        <f>IF(ISBLANK('Data Entry'!$Æ$773), "", 'Data Entry'!$Æ$773)</f>
      </c>
      <c r="EE773">
        <f>IF(ISBLANK('Data Entry'!$Ç$773), "", 'Data Entry'!$Ç$773)</f>
      </c>
      <c r="EF773">
        <f>IF(ISBLANK('Data Entry'!$È$773), "", 'Data Entry'!$È$773)</f>
      </c>
      <c r="EG773">
        <f>IF(ISBLANK('Data Entry'!$É$773), "", 'Data Entry'!$É$773)</f>
      </c>
      <c r="EH773">
        <f>IF(ISBLANK('Data Entry'!$Ê$773), "", 'Data Entry'!$Ê$773)</f>
      </c>
      <c r="EI773">
        <f>IF(ISBLANK('Data Entry'!$Ë$773), "", 'Data Entry'!$Ë$773)</f>
      </c>
      <c r="EJ773">
        <f>IF(ISBLANK('Data Entry'!$Ì$773), "", 'Data Entry'!$Ì$773)</f>
      </c>
      <c r="EK773">
        <f>IF(ISBLANK('Data Entry'!$Í$773), "", 'Data Entry'!$Í$773)</f>
      </c>
      <c r="EL773">
        <f>IF(ISBLANK('Data Entry'!$Î$773), "", 'Data Entry'!$Î$773)</f>
      </c>
      <c r="EM773">
        <f>IF(ISBLANK('Data Entry'!$Ï$773), "", 'Data Entry'!$Ï$773)</f>
      </c>
      <c r="EN773">
        <f>IF(ISBLANK('Data Entry'!$Ð$773), "", 'Data Entry'!$Ð$773)</f>
      </c>
      <c r="EO773">
        <f>IF(ISBLANK('Data Entry'!$Ñ$773), "", 'Data Entry'!$Ñ$773)</f>
      </c>
      <c r="EP773">
        <f>IF(ISBLANK('Data Entry'!$Ò$773), "", 'Data Entry'!$Ò$773)</f>
      </c>
      <c r="EQ773">
        <f>IF(ISBLANK('Data Entry'!$Ó$773), "", 'Data Entry'!$Ó$773)</f>
      </c>
      <c r="ER773">
        <f>IF(ISBLANK('Data Entry'!$Ô$773), "", 'Data Entry'!$Ô$773)</f>
      </c>
      <c r="ES773">
        <f>IF(ISBLANK('Data Entry'!$Õ$773), "", 'Data Entry'!$Õ$773)</f>
      </c>
      <c r="ET773">
        <f>IF(ISBLANK('Data Entry'!$Ö$773), "", 'Data Entry'!$Ö$773)</f>
      </c>
      <c r="EU773">
        <f>IF(ISBLANK('Data Entry'!$×$773), "", 'Data Entry'!$×$773)</f>
      </c>
      <c r="EV773">
        <f>IF(ISBLANK('Data Entry'!$Ø$773), "", 'Data Entry'!$Ø$773)</f>
      </c>
      <c r="EW773">
        <f>IF(ISBLANK('Data Entry'!$Ù$773), "", 'Data Entry'!$Ù$773)</f>
      </c>
      <c r="EX773">
        <f>IF(ISBLANK('Data Entry'!$Ú$773), "", 'Data Entry'!$Ú$773)</f>
      </c>
      <c r="EY773">
        <f>IF(ISBLANK('Data Entry'!$Û$773), "", 'Data Entry'!$Û$773)</f>
      </c>
      <c r="EZ773">
        <f>IF(ISBLANK('Data Entry'!$Ü$773), "", 'Data Entry'!$Ü$773)</f>
      </c>
      <c r="FA773">
        <f>IF(ISBLANK('Data Entry'!$Ý$773), "", 'Data Entry'!$Ý$773)</f>
      </c>
      <c r="FB773">
        <f>IF(ISBLANK('Data Entry'!$Þ$773), "", 'Data Entry'!$Þ$773)</f>
      </c>
      <c r="FC773">
        <f>IF(ISBLANK('Data Entry'!$ß$773), "", 'Data Entry'!$ß$773)</f>
      </c>
      <c r="FD773">
        <f>IF(ISBLANK('Data Entry'!$à$773), "", 'Data Entry'!$à$773)</f>
      </c>
      <c r="FE773">
        <f>IF(ISBLANK('Data Entry'!$á$773), "", 'Data Entry'!$á$773)</f>
      </c>
      <c r="FF773">
        <f>IF(ISBLANK('Data Entry'!$â$773), "", 'Data Entry'!$â$773)</f>
      </c>
      <c r="FG773">
        <f>IF(ISBLANK('Data Entry'!$ã$773), "", 'Data Entry'!$ã$773)</f>
      </c>
      <c r="FH773">
        <f>IF(ISBLANK('Data Entry'!$ä$773), "", 'Data Entry'!$ä$773)</f>
      </c>
      <c r="FI773">
        <f>IF(ISBLANK('Data Entry'!$å$773), "", 'Data Entry'!$å$773)</f>
      </c>
      <c r="FJ773">
        <f>IF(ISBLANK('Data Entry'!$æ$773), "", 'Data Entry'!$æ$773)</f>
      </c>
      <c r="FK773">
        <f>IF(ISBLANK('Data Entry'!$ç$773), "", 'Data Entry'!$ç$773)</f>
      </c>
      <c r="FL773">
        <f>IF(ISBLANK('Data Entry'!$è$773), "", 'Data Entry'!$è$773)</f>
      </c>
      <c r="FM773">
        <f>IF(ISBLANK('Data Entry'!$é$773), "", 'Data Entry'!$é$773)</f>
      </c>
      <c r="FN773">
        <f>IF(ISBLANK('Data Entry'!$ê$773), "", 'Data Entry'!$ê$773)</f>
      </c>
      <c r="FO773">
        <f>IF(ISBLANK('Data Entry'!$ë$773), "", 'Data Entry'!$ë$773)</f>
      </c>
      <c r="FP773">
        <f>IF(ISBLANK('Data Entry'!$ì$773), "", 'Data Entry'!$ì$773)</f>
      </c>
      <c r="FQ773">
        <f>IF(ISBLANK('Data Entry'!$í$773), "", 'Data Entry'!$í$773)</f>
      </c>
      <c r="FR773">
        <f>IF(ISBLANK('Data Entry'!$î$773), "", 'Data Entry'!$î$773)</f>
      </c>
      <c r="FS773">
        <f>IF(ISBLANK('Data Entry'!$ï$773), "", 'Data Entry'!$ï$773)</f>
      </c>
      <c r="FT773">
        <f>IF(ISBLANK('Data Entry'!$ð$773), "", 'Data Entry'!$ð$773)</f>
      </c>
      <c r="FU773">
        <f>IF(ISBLANK('Data Entry'!$ñ$773), "", 'Data Entry'!$ñ$773)</f>
      </c>
      <c r="FV773">
        <f>IF(ISBLANK('Data Entry'!$ò$773), "", 'Data Entry'!$ò$773)</f>
      </c>
      <c r="FW773">
        <f>IF(ISBLANK('Data Entry'!$ó$773), "", 'Data Entry'!$ó$773)</f>
      </c>
      <c r="FX773">
        <f>IF(ISBLANK('Data Entry'!$ô$773), "", 'Data Entry'!$ô$773)</f>
      </c>
      <c r="FY773">
        <f>IF(ISBLANK('Data Entry'!$õ$773), "", 'Data Entry'!$õ$773)</f>
      </c>
      <c r="FZ773">
        <f>IF(ISBLANK('Data Entry'!$ö$773), "", 'Data Entry'!$ö$773)</f>
      </c>
      <c r="GA773">
        <f>IF(ISBLANK('Data Entry'!$÷$773), "", 'Data Entry'!$÷$773)</f>
      </c>
      <c r="GB773">
        <f>IF(ISBLANK('Data Entry'!$ø$773), "", 'Data Entry'!$ø$773)</f>
      </c>
      <c r="GC773">
        <f>IF(ISBLANK('Data Entry'!$ù$773), "", 'Data Entry'!$ù$773)</f>
      </c>
      <c r="GD773">
        <f>IF(ISBLANK('Data Entry'!$ú$773), "", 'Data Entry'!$ú$773)</f>
      </c>
      <c r="GE773">
        <f>IF(ISBLANK('Data Entry'!$û$773), "", 'Data Entry'!$û$773)</f>
      </c>
      <c r="GF773">
        <f>IF(ISBLANK('Data Entry'!$ü$773), "", 'Data Entry'!$ü$773)</f>
      </c>
      <c r="GG773">
        <f>IF(ISBLANK('Data Entry'!$ý$773), "", 'Data Entry'!$ý$773)</f>
      </c>
      <c r="GH773">
        <f>IF(ISBLANK('Data Entry'!$þ$773), "", 'Data Entry'!$þ$773)</f>
      </c>
      <c r="GI773">
        <f>IF(ISBLANK('Data Entry'!$ÿ$773), "", 'Data Entry'!$ÿ$773)</f>
      </c>
      <c r="GJ773">
        <f>IF(ISBLANK('Data Entry'!$Ā$773), "", 'Data Entry'!$Ā$773)</f>
      </c>
      <c r="GK773">
        <f>IF(ISBLANK('Data Entry'!$ā$773), "", 'Data Entry'!$ā$773)</f>
      </c>
      <c r="GL773">
        <f>IF(ISBLANK('Data Entry'!$Ă$773), "", 'Data Entry'!$Ă$773)</f>
      </c>
      <c r="GM773">
        <f>IF(ISBLANK('Data Entry'!$ă$773), "", 'Data Entry'!$ă$773)</f>
      </c>
      <c r="GN773">
        <f>IF(ISBLANK('Data Entry'!$Ą$773), "", 'Data Entry'!$Ą$773)</f>
      </c>
      <c r="GO773">
        <f>IF(ISBLANK('Data Entry'!$ą$773), "", 'Data Entry'!$ą$773)</f>
      </c>
      <c r="GP773">
        <f>IF(ISBLANK('Data Entry'!$Ć$773), "", 'Data Entry'!$Ć$773)</f>
      </c>
      <c r="GQ773">
        <f>IF(ISBLANK('Data Entry'!$ć$773), "", 'Data Entry'!$ć$773)</f>
      </c>
      <c r="GR773">
        <f>IF(ISBLANK('Data Entry'!$Ĉ$773), "", 'Data Entry'!$Ĉ$773)</f>
      </c>
      <c r="GS773">
        <f>IF(ISBLANK('Data Entry'!$ĉ$773), "", 'Data Entry'!$ĉ$773)</f>
      </c>
      <c r="GT773">
        <f>IF(ISBLANK('Data Entry'!$Ċ$773), "", 'Data Entry'!$Ċ$773)</f>
      </c>
      <c r="GU773">
        <f>IF(ISBLANK('Data Entry'!$ċ$773), "", 'Data Entry'!$ċ$773)</f>
      </c>
      <c r="GV773">
        <f>IF(ISBLANK('Data Entry'!$Č$773), "", 'Data Entry'!$Č$773)</f>
      </c>
      <c r="GW773">
        <f>IF(ISBLANK('Data Entry'!$č$773), "", 'Data Entry'!$č$773)</f>
      </c>
      <c r="GX773">
        <f>IF(ISBLANK('Data Entry'!$Ď$773), "", 'Data Entry'!$Ď$773)</f>
      </c>
      <c r="GY773">
        <f>IF(ISBLANK('Data Entry'!$ď$773), "", 'Data Entry'!$ď$773)</f>
      </c>
      <c r="GZ773">
        <f>IF(ISBLANK('Data Entry'!$Đ$773), "", 'Data Entry'!$Đ$773)</f>
      </c>
      <c r="HA773">
        <f>IF(ISBLANK('Data Entry'!$đ$773), "", 'Data Entry'!$đ$773)</f>
      </c>
      <c r="HB773">
        <f>IF(ISBLANK('Data Entry'!$Ē$773), "", 'Data Entry'!$Ē$773)</f>
      </c>
      <c r="HC773">
        <f>IF(ISBLANK('Data Entry'!$ē$773), "", 'Data Entry'!$ē$773)</f>
      </c>
      <c r="HD773">
        <f>IF(ISBLANK('Data Entry'!$Ĕ$773), "", 'Data Entry'!$Ĕ$773)</f>
      </c>
      <c r="HE773">
        <f>IF(ISBLANK('Data Entry'!$ĕ$773), "", 'Data Entry'!$ĕ$773)</f>
      </c>
      <c r="HF773">
        <f>IF(ISBLANK('Data Entry'!$Ė$773), "", 'Data Entry'!$Ė$773)</f>
      </c>
      <c r="HG773">
        <f>IF(ISBLANK('Data Entry'!$ė$773), "", 'Data Entry'!$ė$773)</f>
      </c>
      <c r="HH773">
        <f>IF(ISBLANK('Data Entry'!$Ę$773), "", 'Data Entry'!$Ę$773)</f>
      </c>
      <c r="HI773">
        <f>IF(ISBLANK('Data Entry'!$ę$773), "", 'Data Entry'!$ę$773)</f>
      </c>
      <c r="HJ773">
        <f>IF(ISBLANK('Data Entry'!$Ě$773), "", 'Data Entry'!$Ě$773)</f>
      </c>
      <c r="HK773">
        <f>IF(ISBLANK('Data Entry'!$ě$773), "", 'Data Entry'!$ě$773)</f>
      </c>
      <c r="HL773">
        <f>IF(ISBLANK('Data Entry'!$Ĝ$773), "", 'Data Entry'!$Ĝ$773)</f>
      </c>
      <c r="HM773">
        <f>IF(ISBLANK('Data Entry'!$ĝ$773), "", 'Data Entry'!$ĝ$773)</f>
      </c>
      <c r="HN773">
        <f>IF(ISBLANK('Data Entry'!$Ğ$773), "", 'Data Entry'!$Ğ$773)</f>
      </c>
      <c r="HO773">
        <f>IF(ISBLANK('Data Entry'!$ğ$773), "", 'Data Entry'!$ğ$773)</f>
      </c>
      <c r="HP773">
        <f>IF(ISBLANK('Data Entry'!$Ġ$773), "", 'Data Entry'!$Ġ$773)</f>
      </c>
      <c r="HQ773">
        <f>IF(ISBLANK('Data Entry'!$ġ$773), "", 'Data Entry'!$ġ$773)</f>
      </c>
      <c r="HR773">
        <f>IF(ISBLANK('Data Entry'!$Ģ$773), "", 'Data Entry'!$Ģ$773)</f>
      </c>
      <c r="HS773">
        <f>IF(ISBLANK('Data Entry'!$ģ$773), "", 'Data Entry'!$ģ$773)</f>
      </c>
      <c r="HT773">
        <f>IF(ISBLANK('Data Entry'!$Ĥ$773), "", 'Data Entry'!$Ĥ$773)</f>
      </c>
      <c r="HU773">
        <f>IF(ISBLANK('Data Entry'!$ĥ$773), "", 'Data Entry'!$ĥ$773)</f>
      </c>
      <c r="HV773">
        <f>IF(ISBLANK('Data Entry'!$Ħ$773), "", 'Data Entry'!$Ħ$773)</f>
      </c>
      <c r="HW773">
        <f>IF(ISBLANK('Data Entry'!$ħ$773), "", 'Data Entry'!$ħ$773)</f>
      </c>
      <c r="HX773">
        <f>IF(ISBLANK('Data Entry'!$Ĩ$773), "", 'Data Entry'!$Ĩ$773)</f>
      </c>
      <c r="HY773">
        <f>IF(ISBLANK('Data Entry'!$ĩ$773), "", 'Data Entry'!$ĩ$773)</f>
      </c>
      <c r="HZ773">
        <f>IF(ISBLANK('Data Entry'!$Ī$773), "", 'Data Entry'!$Ī$773)</f>
      </c>
      <c r="IA773">
        <f>IF(ISBLANK('Data Entry'!$ī$773), "", 'Data Entry'!$ī$773)</f>
      </c>
      <c r="IB773">
        <f>IF(ISBLANK('Data Entry'!$Ĭ$773), "", 'Data Entry'!$Ĭ$773)</f>
      </c>
      <c r="IC773">
        <f>IF(ISBLANK('Data Entry'!$ĭ$773), "", 'Data Entry'!$ĭ$773)</f>
      </c>
      <c r="ID773">
        <f>IF(ISBLANK('Data Entry'!$Į$773), "", 'Data Entry'!$Į$773)</f>
      </c>
      <c r="IE773">
        <f>IF(ISBLANK('Data Entry'!$į$773), "", 'Data Entry'!$į$773)</f>
      </c>
      <c r="IF773">
        <f>IF(ISBLANK('Data Entry'!$İ$773), "", 'Data Entry'!$İ$773)</f>
      </c>
      <c r="IG773">
        <f>IF(ISBLANK('Data Entry'!$ı$773), "", 'Data Entry'!$ı$773)</f>
      </c>
      <c r="IH773">
        <f>IF(ISBLANK('Data Entry'!$Ĳ$773), "", 'Data Entry'!$Ĳ$773)</f>
      </c>
      <c r="II773">
        <f>IF(ISBLANK('Data Entry'!$ĳ$773), "", 'Data Entry'!$ĳ$773)</f>
      </c>
      <c r="IJ773">
        <f>IF(ISBLANK('Data Entry'!$Ĵ$773), "", 'Data Entry'!$Ĵ$773)</f>
      </c>
      <c r="IK773">
        <f>IF(ISBLANK('Data Entry'!$ĵ$773), "", 'Data Entry'!$ĵ$773)</f>
      </c>
      <c r="IL773">
        <f>IF(ISBLANK('Data Entry'!$Ķ$773), "", 'Data Entry'!$Ķ$773)</f>
      </c>
      <c r="IM773">
        <f>IF(ISBLANK('Data Entry'!$ķ$773), "", 'Data Entry'!$ķ$773)</f>
      </c>
      <c r="IN773">
        <f>IF(ISBLANK('Data Entry'!$ĸ$773), "", 'Data Entry'!$ĸ$773)</f>
      </c>
      <c r="IO773">
        <f>IF(ISBLANK('Data Entry'!$Ĺ$773), "", 'Data Entry'!$Ĺ$773)</f>
      </c>
      <c r="IP773">
        <f>IF(ISBLANK('Data Entry'!$ĺ$773), "", 'Data Entry'!$ĺ$773)</f>
      </c>
      <c r="IQ773">
        <f>IF(ISBLANK('Data Entry'!$Ļ$773), "", 'Data Entry'!$Ļ$773)</f>
      </c>
      <c r="IR773">
        <f>IF(ISBLANK('Data Entry'!$ļ$773), "", 'Data Entry'!$ļ$773)</f>
      </c>
      <c r="IS773">
        <f>IF(ISBLANK('Data Entry'!$Ľ$773), "", 'Data Entry'!$Ľ$773)</f>
      </c>
      <c r="IT773">
        <f>IF(ISBLANK('Data Entry'!$ľ$773), "", 'Data Entry'!$ľ$773)</f>
      </c>
    </row>
    <row r="774" spans="1:254" x14ac:dyDescent="0.25">
      <c r="A774">
        <f>IF(ISBLANK('Data Entry'!$A$774), "", 'Data Entry'!$A$774)</f>
      </c>
      <c r="B774">
        <f>IF(ISBLANK('Data Entry'!$B$774), "", 'Data Entry'!$B$774)</f>
      </c>
      <c r="C774">
        <f>IF(ISBLANK('Data Entry'!$C$774), "", 'Data Entry'!$C$774)</f>
      </c>
      <c r="D774">
        <f>IF(ISBLANK('Data Entry'!$D$774), "", 'Data Entry'!$D$774)</f>
      </c>
      <c r="E774">
        <f>IF(ISBLANK('Data Entry'!$E$774), "", 'Data Entry'!$E$774)</f>
      </c>
      <c r="F774">
        <f>IF(ISBLANK('Data Entry'!$F$774), "", 'Data Entry'!$F$774)</f>
      </c>
      <c r="G774">
        <f>IF(ISBLANK('Data Entry'!$G$774), "", 'Data Entry'!$G$774)</f>
      </c>
      <c r="H774">
        <f>IF(ISBLANK('Data Entry'!$H$774), "", 'Data Entry'!$H$774)</f>
      </c>
      <c r="I774">
        <f>IF(ISBLANK('Data Entry'!$I$774), "", 'Data Entry'!$I$774)</f>
      </c>
      <c r="J774">
        <f>IF(ISBLANK('Data Entry'!$J$774), "", 'Data Entry'!$J$774)</f>
      </c>
      <c r="K774">
        <f>IF(ISBLANK('Data Entry'!$K$774), "", 'Data Entry'!$K$774)</f>
      </c>
      <c r="L774">
        <f>IF(ISBLANK('Data Entry'!$L$774), "", 'Data Entry'!$L$774)</f>
      </c>
      <c r="M774">
        <f>IF(ISBLANK('Data Entry'!$M$774), "", 'Data Entry'!$M$774)</f>
      </c>
      <c r="N774">
        <f>IF(ISBLANK('Data Entry'!$N$774), "", 'Data Entry'!$N$774)</f>
      </c>
      <c r="O774">
        <f>IF(ISBLANK('Data Entry'!$O$774), "", 'Data Entry'!$O$774)</f>
      </c>
      <c r="P774">
        <f>IF(ISBLANK('Data Entry'!$P$774), "", 'Data Entry'!$P$774)</f>
      </c>
      <c r="Q774">
        <f>IF(ISBLANK('Data Entry'!$Q$774), "", 'Data Entry'!$Q$774)</f>
      </c>
      <c r="R774">
        <f>IF(ISBLANK('Data Entry'!$R$774), "", 'Data Entry'!$R$774)</f>
      </c>
      <c r="S774">
        <f>IF(ISBLANK('Data Entry'!$S$774), "", 'Data Entry'!$S$774)</f>
      </c>
      <c r="T774">
        <f>IF(ISBLANK('Data Entry'!$T$774), "", 'Data Entry'!$T$774)</f>
      </c>
      <c r="U774">
        <f>IF(ISBLANK('Data Entry'!$U$774), "", 'Data Entry'!$U$774)</f>
      </c>
      <c r="V774">
        <f>IF(ISBLANK('Data Entry'!$V$774), "", 'Data Entry'!$V$774)</f>
      </c>
      <c r="W774">
        <f>IF(ISBLANK('Data Entry'!$W$774), "", 'Data Entry'!$W$774)</f>
      </c>
      <c r="X774">
        <f>IF(ISBLANK('Data Entry'!$X$774), "", 'Data Entry'!$X$774)</f>
      </c>
      <c r="Y774">
        <f>IF(ISBLANK('Data Entry'!$Y$774), "", 'Data Entry'!$Y$774)</f>
      </c>
      <c r="Z774">
        <f>IF(ISBLANK('Data Entry'!$Z$774), "", 'Data Entry'!$Z$774)</f>
      </c>
      <c r="AA774">
        <f>IF(ISBLANK('Data Entry'!$[$774), "", 'Data Entry'!$[$774)</f>
      </c>
      <c r="AB774">
        <f>IF(ISBLANK('Data Entry'!$\$774), "", 'Data Entry'!$\$774)</f>
      </c>
      <c r="AC774">
        <f>IF(ISBLANK('Data Entry'!$]$774), "", 'Data Entry'!$]$774)</f>
      </c>
      <c r="AD774">
        <f>IF(ISBLANK('Data Entry'!$^$774), "", 'Data Entry'!$^$774)</f>
      </c>
      <c r="AE774">
        <f>IF(ISBLANK('Data Entry'!$_$774), "", 'Data Entry'!$_$774)</f>
      </c>
      <c r="AF774">
        <f>IF(ISBLANK('Data Entry'!$`$774), "", 'Data Entry'!$`$774)</f>
      </c>
      <c r="AG774">
        <f>IF(ISBLANK('Data Entry'!$a$774), "", 'Data Entry'!$a$774)</f>
      </c>
      <c r="AH774">
        <f>IF(ISBLANK('Data Entry'!$b$774), "", 'Data Entry'!$b$774)</f>
      </c>
      <c r="AI774">
        <f>IF(ISBLANK('Data Entry'!$c$774), "", 'Data Entry'!$c$774)</f>
      </c>
      <c r="AJ774">
        <f>IF(ISBLANK('Data Entry'!$d$774), "", 'Data Entry'!$d$774)</f>
      </c>
      <c r="AK774">
        <f>IF(ISBLANK('Data Entry'!$e$774), "", 'Data Entry'!$e$774)</f>
      </c>
      <c r="AL774">
        <f>IF(ISBLANK('Data Entry'!$f$774), "", 'Data Entry'!$f$774)</f>
      </c>
      <c r="AM774">
        <f>IF(ISBLANK('Data Entry'!$g$774), "", 'Data Entry'!$g$774)</f>
      </c>
      <c r="AN774">
        <f>IF(ISBLANK('Data Entry'!$h$774), "", 'Data Entry'!$h$774)</f>
      </c>
      <c r="AO774">
        <f>IF(ISBLANK('Data Entry'!$i$774), "", 'Data Entry'!$i$774)</f>
      </c>
      <c r="AP774">
        <f>IF(ISBLANK('Data Entry'!$j$774), "", 'Data Entry'!$j$774)</f>
      </c>
      <c r="AQ774">
        <f>IF(ISBLANK('Data Entry'!$k$774), "", 'Data Entry'!$k$774)</f>
      </c>
      <c r="AR774">
        <f>IF(ISBLANK('Data Entry'!$l$774), "", 'Data Entry'!$l$774)</f>
      </c>
      <c r="AS774">
        <f>IF(ISBLANK('Data Entry'!$m$774), "", 'Data Entry'!$m$774)</f>
      </c>
      <c r="AT774">
        <f>IF(ISBLANK('Data Entry'!$n$774), "", 'Data Entry'!$n$774)</f>
      </c>
      <c r="AU774">
        <f>IF(ISBLANK('Data Entry'!$o$774), "", 'Data Entry'!$o$774)</f>
      </c>
      <c r="AV774">
        <f>IF(ISBLANK('Data Entry'!$p$774), "", 'Data Entry'!$p$774)</f>
      </c>
      <c r="AW774">
        <f>IF(ISBLANK('Data Entry'!$q$774), "", 'Data Entry'!$q$774)</f>
      </c>
      <c r="AX774">
        <f>IF(ISBLANK('Data Entry'!$r$774), "", 'Data Entry'!$r$774)</f>
      </c>
      <c r="AY774">
        <f>IF(ISBLANK('Data Entry'!$s$774), "", 'Data Entry'!$s$774)</f>
      </c>
      <c r="AZ774">
        <f>IF(ISBLANK('Data Entry'!$t$774), "", 'Data Entry'!$t$774)</f>
      </c>
      <c r="BA774">
        <f>IF(ISBLANK('Data Entry'!$u$774), "", 'Data Entry'!$u$774)</f>
      </c>
      <c r="BB774">
        <f>IF(ISBLANK('Data Entry'!$v$774), "", 'Data Entry'!$v$774)</f>
      </c>
      <c r="BC774">
        <f>IF(ISBLANK('Data Entry'!$w$774), "", 'Data Entry'!$w$774)</f>
      </c>
      <c r="BD774">
        <f>IF(ISBLANK('Data Entry'!$x$774), "", 'Data Entry'!$x$774)</f>
      </c>
      <c r="BE774">
        <f>IF(ISBLANK('Data Entry'!$y$774), "", 'Data Entry'!$y$774)</f>
      </c>
      <c r="BF774">
        <f>IF(ISBLANK('Data Entry'!$z$774), "", 'Data Entry'!$z$774)</f>
      </c>
      <c r="BG774">
        <f>IF(ISBLANK('Data Entry'!${$774), "", 'Data Entry'!${$774)</f>
      </c>
      <c r="BH774">
        <f>IF(ISBLANK('Data Entry'!$|$774), "", 'Data Entry'!$|$774)</f>
      </c>
      <c r="BI774">
        <f>IF(ISBLANK('Data Entry'!$}$774), "", 'Data Entry'!$}$774)</f>
      </c>
      <c r="BJ774">
        <f>IF(ISBLANK('Data Entry'!$~$774), "", 'Data Entry'!$~$774)</f>
      </c>
      <c r="BK774">
        <f>IF(ISBLANK('Data Entry'!$$774), "", 'Data Entry'!$$774)</f>
      </c>
      <c r="BL774">
        <f>IF(ISBLANK('Data Entry'!$$774), "", 'Data Entry'!$$774)</f>
      </c>
      <c r="BM774">
        <f>IF(ISBLANK('Data Entry'!$$774), "", 'Data Entry'!$$774)</f>
      </c>
      <c r="BN774">
        <f>IF(ISBLANK('Data Entry'!$$774), "", 'Data Entry'!$$774)</f>
      </c>
      <c r="BO774">
        <f>IF(ISBLANK('Data Entry'!$$774), "", 'Data Entry'!$$774)</f>
      </c>
      <c r="BP774">
        <f>IF(ISBLANK('Data Entry'!$$774), "", 'Data Entry'!$$774)</f>
      </c>
      <c r="BQ774">
        <f>IF(ISBLANK('Data Entry'!$$774), "", 'Data Entry'!$$774)</f>
      </c>
      <c r="BR774">
        <f>IF(ISBLANK('Data Entry'!$$774), "", 'Data Entry'!$$774)</f>
      </c>
      <c r="BS774">
        <f>IF(ISBLANK('Data Entry'!$$774), "", 'Data Entry'!$$774)</f>
      </c>
      <c r="BT774">
        <f>IF(ISBLANK('Data Entry'!$$774), "", 'Data Entry'!$$774)</f>
      </c>
      <c r="BU774">
        <f>IF(ISBLANK('Data Entry'!$$774), "", 'Data Entry'!$$774)</f>
      </c>
      <c r="BV774">
        <f>IF(ISBLANK('Data Entry'!$$774), "", 'Data Entry'!$$774)</f>
      </c>
      <c r="BW774">
        <f>IF(ISBLANK('Data Entry'!$$774), "", 'Data Entry'!$$774)</f>
      </c>
      <c r="BX774">
        <f>IF(ISBLANK('Data Entry'!$$774), "", 'Data Entry'!$$774)</f>
      </c>
      <c r="BY774">
        <f>IF(ISBLANK('Data Entry'!$$774), "", 'Data Entry'!$$774)</f>
      </c>
      <c r="BZ774">
        <f>IF(ISBLANK('Data Entry'!$$774), "", 'Data Entry'!$$774)</f>
      </c>
      <c r="CA774">
        <f>IF(ISBLANK('Data Entry'!$$774), "", 'Data Entry'!$$774)</f>
      </c>
      <c r="CB774">
        <f>IF(ISBLANK('Data Entry'!$$774), "", 'Data Entry'!$$774)</f>
      </c>
      <c r="CC774">
        <f>IF(ISBLANK('Data Entry'!$$774), "", 'Data Entry'!$$774)</f>
      </c>
      <c r="CD774">
        <f>IF(ISBLANK('Data Entry'!$$774), "", 'Data Entry'!$$774)</f>
      </c>
      <c r="CE774">
        <f>IF(ISBLANK('Data Entry'!$$774), "", 'Data Entry'!$$774)</f>
      </c>
      <c r="CF774">
        <f>IF(ISBLANK('Data Entry'!$$774), "", 'Data Entry'!$$774)</f>
      </c>
      <c r="CG774">
        <f>IF(ISBLANK('Data Entry'!$$774), "", 'Data Entry'!$$774)</f>
      </c>
      <c r="CH774">
        <f>IF(ISBLANK('Data Entry'!$$774), "", 'Data Entry'!$$774)</f>
      </c>
      <c r="CI774">
        <f>IF(ISBLANK('Data Entry'!$$774), "", 'Data Entry'!$$774)</f>
      </c>
      <c r="CJ774">
        <f>IF(ISBLANK('Data Entry'!$$774), "", 'Data Entry'!$$774)</f>
      </c>
      <c r="CK774">
        <f>IF(ISBLANK('Data Entry'!$$774), "", 'Data Entry'!$$774)</f>
      </c>
      <c r="CL774">
        <f>IF(ISBLANK('Data Entry'!$$774), "", 'Data Entry'!$$774)</f>
      </c>
      <c r="CM774">
        <f>IF(ISBLANK('Data Entry'!$$774), "", 'Data Entry'!$$774)</f>
      </c>
      <c r="CN774">
        <f>IF(ISBLANK('Data Entry'!$$774), "", 'Data Entry'!$$774)</f>
      </c>
      <c r="CO774">
        <f>IF(ISBLANK('Data Entry'!$$774), "", 'Data Entry'!$$774)</f>
      </c>
      <c r="CP774">
        <f>IF(ISBLANK('Data Entry'!$$774), "", 'Data Entry'!$$774)</f>
      </c>
      <c r="CQ774">
        <f>IF(ISBLANK('Data Entry'!$$774), "", 'Data Entry'!$$774)</f>
      </c>
      <c r="CR774">
        <f>IF(ISBLANK('Data Entry'!$ $774), "", 'Data Entry'!$ $774)</f>
      </c>
      <c r="CS774">
        <f>IF(ISBLANK('Data Entry'!$¡$774), "", 'Data Entry'!$¡$774)</f>
      </c>
      <c r="CT774">
        <f>IF(ISBLANK('Data Entry'!$¢$774), "", 'Data Entry'!$¢$774)</f>
      </c>
      <c r="CU774">
        <f>IF(ISBLANK('Data Entry'!$£$774), "", 'Data Entry'!$£$774)</f>
      </c>
      <c r="CV774">
        <f>IF(ISBLANK('Data Entry'!$¤$774), "", 'Data Entry'!$¤$774)</f>
      </c>
      <c r="CW774">
        <f>IF(ISBLANK('Data Entry'!$¥$774), "", 'Data Entry'!$¥$774)</f>
      </c>
      <c r="CX774">
        <f>IF(ISBLANK('Data Entry'!$¦$774), "", 'Data Entry'!$¦$774)</f>
      </c>
      <c r="CY774">
        <f>IF(ISBLANK('Data Entry'!$§$774), "", 'Data Entry'!$§$774)</f>
      </c>
      <c r="CZ774">
        <f>IF(ISBLANK('Data Entry'!$¨$774), "", 'Data Entry'!$¨$774)</f>
      </c>
      <c r="DA774">
        <f>IF(ISBLANK('Data Entry'!$©$774), "", 'Data Entry'!$©$774)</f>
      </c>
      <c r="DB774">
        <f>IF(ISBLANK('Data Entry'!$ª$774), "", 'Data Entry'!$ª$774)</f>
      </c>
      <c r="DC774">
        <f>IF(ISBLANK('Data Entry'!$«$774), "", 'Data Entry'!$«$774)</f>
      </c>
      <c r="DD774">
        <f>IF(ISBLANK('Data Entry'!$¬$774), "", 'Data Entry'!$¬$774)</f>
      </c>
      <c r="DE774">
        <f>IF(ISBLANK('Data Entry'!$­$774), "", 'Data Entry'!$­$774)</f>
      </c>
      <c r="DF774">
        <f>IF(ISBLANK('Data Entry'!$®$774), "", 'Data Entry'!$®$774)</f>
      </c>
      <c r="DG774">
        <f>IF(ISBLANK('Data Entry'!$¯$774), "", 'Data Entry'!$¯$774)</f>
      </c>
      <c r="DH774">
        <f>IF(ISBLANK('Data Entry'!$°$774), "", 'Data Entry'!$°$774)</f>
      </c>
      <c r="DI774">
        <f>IF(ISBLANK('Data Entry'!$±$774), "", 'Data Entry'!$±$774)</f>
      </c>
      <c r="DJ774">
        <f>IF(ISBLANK('Data Entry'!$²$774), "", 'Data Entry'!$²$774)</f>
      </c>
      <c r="DK774">
        <f>IF(ISBLANK('Data Entry'!$³$774), "", 'Data Entry'!$³$774)</f>
      </c>
      <c r="DL774">
        <f>IF(ISBLANK('Data Entry'!$´$774), "", 'Data Entry'!$´$774)</f>
      </c>
      <c r="DM774">
        <f>IF(ISBLANK('Data Entry'!$µ$774), "", 'Data Entry'!$µ$774)</f>
      </c>
      <c r="DN774">
        <f>IF(ISBLANK('Data Entry'!$¶$774), "", 'Data Entry'!$¶$774)</f>
      </c>
      <c r="DO774">
        <f>IF(ISBLANK('Data Entry'!$·$774), "", 'Data Entry'!$·$774)</f>
      </c>
      <c r="DP774">
        <f>IF(ISBLANK('Data Entry'!$¸$774), "", 'Data Entry'!$¸$774)</f>
      </c>
      <c r="DQ774">
        <f>IF(ISBLANK('Data Entry'!$¹$774), "", 'Data Entry'!$¹$774)</f>
      </c>
      <c r="DR774">
        <f>IF(ISBLANK('Data Entry'!$º$774), "", 'Data Entry'!$º$774)</f>
      </c>
      <c r="DS774">
        <f>IF(ISBLANK('Data Entry'!$»$774), "", 'Data Entry'!$»$774)</f>
      </c>
      <c r="DT774">
        <f>IF(ISBLANK('Data Entry'!$¼$774), "", 'Data Entry'!$¼$774)</f>
      </c>
      <c r="DU774">
        <f>IF(ISBLANK('Data Entry'!$½$774), "", 'Data Entry'!$½$774)</f>
      </c>
      <c r="DV774">
        <f>IF(ISBLANK('Data Entry'!$¾$774), "", 'Data Entry'!$¾$774)</f>
      </c>
      <c r="DW774">
        <f>IF(ISBLANK('Data Entry'!$¿$774), "", 'Data Entry'!$¿$774)</f>
      </c>
      <c r="DX774">
        <f>IF(ISBLANK('Data Entry'!$À$774), "", 'Data Entry'!$À$774)</f>
      </c>
      <c r="DY774">
        <f>IF(ISBLANK('Data Entry'!$Á$774), "", 'Data Entry'!$Á$774)</f>
      </c>
      <c r="DZ774">
        <f>IF(ISBLANK('Data Entry'!$Â$774), "", 'Data Entry'!$Â$774)</f>
      </c>
      <c r="EA774">
        <f>IF(ISBLANK('Data Entry'!$Ã$774), "", 'Data Entry'!$Ã$774)</f>
      </c>
      <c r="EB774">
        <f>IF(ISBLANK('Data Entry'!$Ä$774), "", 'Data Entry'!$Ä$774)</f>
      </c>
      <c r="EC774">
        <f>IF(ISBLANK('Data Entry'!$Å$774), "", 'Data Entry'!$Å$774)</f>
      </c>
      <c r="ED774">
        <f>IF(ISBLANK('Data Entry'!$Æ$774), "", 'Data Entry'!$Æ$774)</f>
      </c>
      <c r="EE774">
        <f>IF(ISBLANK('Data Entry'!$Ç$774), "", 'Data Entry'!$Ç$774)</f>
      </c>
      <c r="EF774">
        <f>IF(ISBLANK('Data Entry'!$È$774), "", 'Data Entry'!$È$774)</f>
      </c>
      <c r="EG774">
        <f>IF(ISBLANK('Data Entry'!$É$774), "", 'Data Entry'!$É$774)</f>
      </c>
      <c r="EH774">
        <f>IF(ISBLANK('Data Entry'!$Ê$774), "", 'Data Entry'!$Ê$774)</f>
      </c>
      <c r="EI774">
        <f>IF(ISBLANK('Data Entry'!$Ë$774), "", 'Data Entry'!$Ë$774)</f>
      </c>
      <c r="EJ774">
        <f>IF(ISBLANK('Data Entry'!$Ì$774), "", 'Data Entry'!$Ì$774)</f>
      </c>
      <c r="EK774">
        <f>IF(ISBLANK('Data Entry'!$Í$774), "", 'Data Entry'!$Í$774)</f>
      </c>
      <c r="EL774">
        <f>IF(ISBLANK('Data Entry'!$Î$774), "", 'Data Entry'!$Î$774)</f>
      </c>
      <c r="EM774">
        <f>IF(ISBLANK('Data Entry'!$Ï$774), "", 'Data Entry'!$Ï$774)</f>
      </c>
      <c r="EN774">
        <f>IF(ISBLANK('Data Entry'!$Ð$774), "", 'Data Entry'!$Ð$774)</f>
      </c>
      <c r="EO774">
        <f>IF(ISBLANK('Data Entry'!$Ñ$774), "", 'Data Entry'!$Ñ$774)</f>
      </c>
      <c r="EP774">
        <f>IF(ISBLANK('Data Entry'!$Ò$774), "", 'Data Entry'!$Ò$774)</f>
      </c>
      <c r="EQ774">
        <f>IF(ISBLANK('Data Entry'!$Ó$774), "", 'Data Entry'!$Ó$774)</f>
      </c>
      <c r="ER774">
        <f>IF(ISBLANK('Data Entry'!$Ô$774), "", 'Data Entry'!$Ô$774)</f>
      </c>
      <c r="ES774">
        <f>IF(ISBLANK('Data Entry'!$Õ$774), "", 'Data Entry'!$Õ$774)</f>
      </c>
      <c r="ET774">
        <f>IF(ISBLANK('Data Entry'!$Ö$774), "", 'Data Entry'!$Ö$774)</f>
      </c>
      <c r="EU774">
        <f>IF(ISBLANK('Data Entry'!$×$774), "", 'Data Entry'!$×$774)</f>
      </c>
      <c r="EV774">
        <f>IF(ISBLANK('Data Entry'!$Ø$774), "", 'Data Entry'!$Ø$774)</f>
      </c>
      <c r="EW774">
        <f>IF(ISBLANK('Data Entry'!$Ù$774), "", 'Data Entry'!$Ù$774)</f>
      </c>
      <c r="EX774">
        <f>IF(ISBLANK('Data Entry'!$Ú$774), "", 'Data Entry'!$Ú$774)</f>
      </c>
      <c r="EY774">
        <f>IF(ISBLANK('Data Entry'!$Û$774), "", 'Data Entry'!$Û$774)</f>
      </c>
      <c r="EZ774">
        <f>IF(ISBLANK('Data Entry'!$Ü$774), "", 'Data Entry'!$Ü$774)</f>
      </c>
      <c r="FA774">
        <f>IF(ISBLANK('Data Entry'!$Ý$774), "", 'Data Entry'!$Ý$774)</f>
      </c>
      <c r="FB774">
        <f>IF(ISBLANK('Data Entry'!$Þ$774), "", 'Data Entry'!$Þ$774)</f>
      </c>
      <c r="FC774">
        <f>IF(ISBLANK('Data Entry'!$ß$774), "", 'Data Entry'!$ß$774)</f>
      </c>
      <c r="FD774">
        <f>IF(ISBLANK('Data Entry'!$à$774), "", 'Data Entry'!$à$774)</f>
      </c>
      <c r="FE774">
        <f>IF(ISBLANK('Data Entry'!$á$774), "", 'Data Entry'!$á$774)</f>
      </c>
      <c r="FF774">
        <f>IF(ISBLANK('Data Entry'!$â$774), "", 'Data Entry'!$â$774)</f>
      </c>
      <c r="FG774">
        <f>IF(ISBLANK('Data Entry'!$ã$774), "", 'Data Entry'!$ã$774)</f>
      </c>
      <c r="FH774">
        <f>IF(ISBLANK('Data Entry'!$ä$774), "", 'Data Entry'!$ä$774)</f>
      </c>
      <c r="FI774">
        <f>IF(ISBLANK('Data Entry'!$å$774), "", 'Data Entry'!$å$774)</f>
      </c>
      <c r="FJ774">
        <f>IF(ISBLANK('Data Entry'!$æ$774), "", 'Data Entry'!$æ$774)</f>
      </c>
      <c r="FK774">
        <f>IF(ISBLANK('Data Entry'!$ç$774), "", 'Data Entry'!$ç$774)</f>
      </c>
      <c r="FL774">
        <f>IF(ISBLANK('Data Entry'!$è$774), "", 'Data Entry'!$è$774)</f>
      </c>
      <c r="FM774">
        <f>IF(ISBLANK('Data Entry'!$é$774), "", 'Data Entry'!$é$774)</f>
      </c>
      <c r="FN774">
        <f>IF(ISBLANK('Data Entry'!$ê$774), "", 'Data Entry'!$ê$774)</f>
      </c>
      <c r="FO774">
        <f>IF(ISBLANK('Data Entry'!$ë$774), "", 'Data Entry'!$ë$774)</f>
      </c>
      <c r="FP774">
        <f>IF(ISBLANK('Data Entry'!$ì$774), "", 'Data Entry'!$ì$774)</f>
      </c>
      <c r="FQ774">
        <f>IF(ISBLANK('Data Entry'!$í$774), "", 'Data Entry'!$í$774)</f>
      </c>
      <c r="FR774">
        <f>IF(ISBLANK('Data Entry'!$î$774), "", 'Data Entry'!$î$774)</f>
      </c>
      <c r="FS774">
        <f>IF(ISBLANK('Data Entry'!$ï$774), "", 'Data Entry'!$ï$774)</f>
      </c>
      <c r="FT774">
        <f>IF(ISBLANK('Data Entry'!$ð$774), "", 'Data Entry'!$ð$774)</f>
      </c>
      <c r="FU774">
        <f>IF(ISBLANK('Data Entry'!$ñ$774), "", 'Data Entry'!$ñ$774)</f>
      </c>
      <c r="FV774">
        <f>IF(ISBLANK('Data Entry'!$ò$774), "", 'Data Entry'!$ò$774)</f>
      </c>
      <c r="FW774">
        <f>IF(ISBLANK('Data Entry'!$ó$774), "", 'Data Entry'!$ó$774)</f>
      </c>
      <c r="FX774">
        <f>IF(ISBLANK('Data Entry'!$ô$774), "", 'Data Entry'!$ô$774)</f>
      </c>
      <c r="FY774">
        <f>IF(ISBLANK('Data Entry'!$õ$774), "", 'Data Entry'!$õ$774)</f>
      </c>
      <c r="FZ774">
        <f>IF(ISBLANK('Data Entry'!$ö$774), "", 'Data Entry'!$ö$774)</f>
      </c>
      <c r="GA774">
        <f>IF(ISBLANK('Data Entry'!$÷$774), "", 'Data Entry'!$÷$774)</f>
      </c>
      <c r="GB774">
        <f>IF(ISBLANK('Data Entry'!$ø$774), "", 'Data Entry'!$ø$774)</f>
      </c>
      <c r="GC774">
        <f>IF(ISBLANK('Data Entry'!$ù$774), "", 'Data Entry'!$ù$774)</f>
      </c>
      <c r="GD774">
        <f>IF(ISBLANK('Data Entry'!$ú$774), "", 'Data Entry'!$ú$774)</f>
      </c>
      <c r="GE774">
        <f>IF(ISBLANK('Data Entry'!$û$774), "", 'Data Entry'!$û$774)</f>
      </c>
      <c r="GF774">
        <f>IF(ISBLANK('Data Entry'!$ü$774), "", 'Data Entry'!$ü$774)</f>
      </c>
      <c r="GG774">
        <f>IF(ISBLANK('Data Entry'!$ý$774), "", 'Data Entry'!$ý$774)</f>
      </c>
      <c r="GH774">
        <f>IF(ISBLANK('Data Entry'!$þ$774), "", 'Data Entry'!$þ$774)</f>
      </c>
      <c r="GI774">
        <f>IF(ISBLANK('Data Entry'!$ÿ$774), "", 'Data Entry'!$ÿ$774)</f>
      </c>
      <c r="GJ774">
        <f>IF(ISBLANK('Data Entry'!$Ā$774), "", 'Data Entry'!$Ā$774)</f>
      </c>
      <c r="GK774">
        <f>IF(ISBLANK('Data Entry'!$ā$774), "", 'Data Entry'!$ā$774)</f>
      </c>
      <c r="GL774">
        <f>IF(ISBLANK('Data Entry'!$Ă$774), "", 'Data Entry'!$Ă$774)</f>
      </c>
      <c r="GM774">
        <f>IF(ISBLANK('Data Entry'!$ă$774), "", 'Data Entry'!$ă$774)</f>
      </c>
      <c r="GN774">
        <f>IF(ISBLANK('Data Entry'!$Ą$774), "", 'Data Entry'!$Ą$774)</f>
      </c>
      <c r="GO774">
        <f>IF(ISBLANK('Data Entry'!$ą$774), "", 'Data Entry'!$ą$774)</f>
      </c>
      <c r="GP774">
        <f>IF(ISBLANK('Data Entry'!$Ć$774), "", 'Data Entry'!$Ć$774)</f>
      </c>
      <c r="GQ774">
        <f>IF(ISBLANK('Data Entry'!$ć$774), "", 'Data Entry'!$ć$774)</f>
      </c>
      <c r="GR774">
        <f>IF(ISBLANK('Data Entry'!$Ĉ$774), "", 'Data Entry'!$Ĉ$774)</f>
      </c>
      <c r="GS774">
        <f>IF(ISBLANK('Data Entry'!$ĉ$774), "", 'Data Entry'!$ĉ$774)</f>
      </c>
      <c r="GT774">
        <f>IF(ISBLANK('Data Entry'!$Ċ$774), "", 'Data Entry'!$Ċ$774)</f>
      </c>
      <c r="GU774">
        <f>IF(ISBLANK('Data Entry'!$ċ$774), "", 'Data Entry'!$ċ$774)</f>
      </c>
      <c r="GV774">
        <f>IF(ISBLANK('Data Entry'!$Č$774), "", 'Data Entry'!$Č$774)</f>
      </c>
      <c r="GW774">
        <f>IF(ISBLANK('Data Entry'!$č$774), "", 'Data Entry'!$č$774)</f>
      </c>
      <c r="GX774">
        <f>IF(ISBLANK('Data Entry'!$Ď$774), "", 'Data Entry'!$Ď$774)</f>
      </c>
      <c r="GY774">
        <f>IF(ISBLANK('Data Entry'!$ď$774), "", 'Data Entry'!$ď$774)</f>
      </c>
      <c r="GZ774">
        <f>IF(ISBLANK('Data Entry'!$Đ$774), "", 'Data Entry'!$Đ$774)</f>
      </c>
      <c r="HA774">
        <f>IF(ISBLANK('Data Entry'!$đ$774), "", 'Data Entry'!$đ$774)</f>
      </c>
      <c r="HB774">
        <f>IF(ISBLANK('Data Entry'!$Ē$774), "", 'Data Entry'!$Ē$774)</f>
      </c>
      <c r="HC774">
        <f>IF(ISBLANK('Data Entry'!$ē$774), "", 'Data Entry'!$ē$774)</f>
      </c>
      <c r="HD774">
        <f>IF(ISBLANK('Data Entry'!$Ĕ$774), "", 'Data Entry'!$Ĕ$774)</f>
      </c>
      <c r="HE774">
        <f>IF(ISBLANK('Data Entry'!$ĕ$774), "", 'Data Entry'!$ĕ$774)</f>
      </c>
      <c r="HF774">
        <f>IF(ISBLANK('Data Entry'!$Ė$774), "", 'Data Entry'!$Ė$774)</f>
      </c>
      <c r="HG774">
        <f>IF(ISBLANK('Data Entry'!$ė$774), "", 'Data Entry'!$ė$774)</f>
      </c>
      <c r="HH774">
        <f>IF(ISBLANK('Data Entry'!$Ę$774), "", 'Data Entry'!$Ę$774)</f>
      </c>
      <c r="HI774">
        <f>IF(ISBLANK('Data Entry'!$ę$774), "", 'Data Entry'!$ę$774)</f>
      </c>
      <c r="HJ774">
        <f>IF(ISBLANK('Data Entry'!$Ě$774), "", 'Data Entry'!$Ě$774)</f>
      </c>
      <c r="HK774">
        <f>IF(ISBLANK('Data Entry'!$ě$774), "", 'Data Entry'!$ě$774)</f>
      </c>
      <c r="HL774">
        <f>IF(ISBLANK('Data Entry'!$Ĝ$774), "", 'Data Entry'!$Ĝ$774)</f>
      </c>
      <c r="HM774">
        <f>IF(ISBLANK('Data Entry'!$ĝ$774), "", 'Data Entry'!$ĝ$774)</f>
      </c>
      <c r="HN774">
        <f>IF(ISBLANK('Data Entry'!$Ğ$774), "", 'Data Entry'!$Ğ$774)</f>
      </c>
      <c r="HO774">
        <f>IF(ISBLANK('Data Entry'!$ğ$774), "", 'Data Entry'!$ğ$774)</f>
      </c>
      <c r="HP774">
        <f>IF(ISBLANK('Data Entry'!$Ġ$774), "", 'Data Entry'!$Ġ$774)</f>
      </c>
      <c r="HQ774">
        <f>IF(ISBLANK('Data Entry'!$ġ$774), "", 'Data Entry'!$ġ$774)</f>
      </c>
      <c r="HR774">
        <f>IF(ISBLANK('Data Entry'!$Ģ$774), "", 'Data Entry'!$Ģ$774)</f>
      </c>
      <c r="HS774">
        <f>IF(ISBLANK('Data Entry'!$ģ$774), "", 'Data Entry'!$ģ$774)</f>
      </c>
      <c r="HT774">
        <f>IF(ISBLANK('Data Entry'!$Ĥ$774), "", 'Data Entry'!$Ĥ$774)</f>
      </c>
      <c r="HU774">
        <f>IF(ISBLANK('Data Entry'!$ĥ$774), "", 'Data Entry'!$ĥ$774)</f>
      </c>
      <c r="HV774">
        <f>IF(ISBLANK('Data Entry'!$Ħ$774), "", 'Data Entry'!$Ħ$774)</f>
      </c>
      <c r="HW774">
        <f>IF(ISBLANK('Data Entry'!$ħ$774), "", 'Data Entry'!$ħ$774)</f>
      </c>
      <c r="HX774">
        <f>IF(ISBLANK('Data Entry'!$Ĩ$774), "", 'Data Entry'!$Ĩ$774)</f>
      </c>
      <c r="HY774">
        <f>IF(ISBLANK('Data Entry'!$ĩ$774), "", 'Data Entry'!$ĩ$774)</f>
      </c>
      <c r="HZ774">
        <f>IF(ISBLANK('Data Entry'!$Ī$774), "", 'Data Entry'!$Ī$774)</f>
      </c>
      <c r="IA774">
        <f>IF(ISBLANK('Data Entry'!$ī$774), "", 'Data Entry'!$ī$774)</f>
      </c>
      <c r="IB774">
        <f>IF(ISBLANK('Data Entry'!$Ĭ$774), "", 'Data Entry'!$Ĭ$774)</f>
      </c>
      <c r="IC774">
        <f>IF(ISBLANK('Data Entry'!$ĭ$774), "", 'Data Entry'!$ĭ$774)</f>
      </c>
      <c r="ID774">
        <f>IF(ISBLANK('Data Entry'!$Į$774), "", 'Data Entry'!$Į$774)</f>
      </c>
      <c r="IE774">
        <f>IF(ISBLANK('Data Entry'!$į$774), "", 'Data Entry'!$į$774)</f>
      </c>
      <c r="IF774">
        <f>IF(ISBLANK('Data Entry'!$İ$774), "", 'Data Entry'!$İ$774)</f>
      </c>
      <c r="IG774">
        <f>IF(ISBLANK('Data Entry'!$ı$774), "", 'Data Entry'!$ı$774)</f>
      </c>
      <c r="IH774">
        <f>IF(ISBLANK('Data Entry'!$Ĳ$774), "", 'Data Entry'!$Ĳ$774)</f>
      </c>
      <c r="II774">
        <f>IF(ISBLANK('Data Entry'!$ĳ$774), "", 'Data Entry'!$ĳ$774)</f>
      </c>
      <c r="IJ774">
        <f>IF(ISBLANK('Data Entry'!$Ĵ$774), "", 'Data Entry'!$Ĵ$774)</f>
      </c>
      <c r="IK774">
        <f>IF(ISBLANK('Data Entry'!$ĵ$774), "", 'Data Entry'!$ĵ$774)</f>
      </c>
      <c r="IL774">
        <f>IF(ISBLANK('Data Entry'!$Ķ$774), "", 'Data Entry'!$Ķ$774)</f>
      </c>
      <c r="IM774">
        <f>IF(ISBLANK('Data Entry'!$ķ$774), "", 'Data Entry'!$ķ$774)</f>
      </c>
      <c r="IN774">
        <f>IF(ISBLANK('Data Entry'!$ĸ$774), "", 'Data Entry'!$ĸ$774)</f>
      </c>
      <c r="IO774">
        <f>IF(ISBLANK('Data Entry'!$Ĺ$774), "", 'Data Entry'!$Ĺ$774)</f>
      </c>
      <c r="IP774">
        <f>IF(ISBLANK('Data Entry'!$ĺ$774), "", 'Data Entry'!$ĺ$774)</f>
      </c>
      <c r="IQ774">
        <f>IF(ISBLANK('Data Entry'!$Ļ$774), "", 'Data Entry'!$Ļ$774)</f>
      </c>
      <c r="IR774">
        <f>IF(ISBLANK('Data Entry'!$ļ$774), "", 'Data Entry'!$ļ$774)</f>
      </c>
      <c r="IS774">
        <f>IF(ISBLANK('Data Entry'!$Ľ$774), "", 'Data Entry'!$Ľ$774)</f>
      </c>
      <c r="IT774">
        <f>IF(ISBLANK('Data Entry'!$ľ$774), "", 'Data Entry'!$ľ$774)</f>
      </c>
    </row>
    <row r="775" spans="1:254" x14ac:dyDescent="0.25">
      <c r="A775">
        <f>IF(ISBLANK('Data Entry'!$A$775), "", 'Data Entry'!$A$775)</f>
      </c>
      <c r="B775">
        <f>IF(ISBLANK('Data Entry'!$B$775), "", 'Data Entry'!$B$775)</f>
      </c>
      <c r="C775">
        <f>IF(ISBLANK('Data Entry'!$C$775), "", 'Data Entry'!$C$775)</f>
      </c>
      <c r="D775">
        <f>IF(ISBLANK('Data Entry'!$D$775), "", 'Data Entry'!$D$775)</f>
      </c>
      <c r="E775">
        <f>IF(ISBLANK('Data Entry'!$E$775), "", 'Data Entry'!$E$775)</f>
      </c>
      <c r="F775">
        <f>IF(ISBLANK('Data Entry'!$F$775), "", 'Data Entry'!$F$775)</f>
      </c>
      <c r="G775">
        <f>IF(ISBLANK('Data Entry'!$G$775), "", 'Data Entry'!$G$775)</f>
      </c>
      <c r="H775">
        <f>IF(ISBLANK('Data Entry'!$H$775), "", 'Data Entry'!$H$775)</f>
      </c>
      <c r="I775">
        <f>IF(ISBLANK('Data Entry'!$I$775), "", 'Data Entry'!$I$775)</f>
      </c>
      <c r="J775">
        <f>IF(ISBLANK('Data Entry'!$J$775), "", 'Data Entry'!$J$775)</f>
      </c>
      <c r="K775">
        <f>IF(ISBLANK('Data Entry'!$K$775), "", 'Data Entry'!$K$775)</f>
      </c>
      <c r="L775">
        <f>IF(ISBLANK('Data Entry'!$L$775), "", 'Data Entry'!$L$775)</f>
      </c>
      <c r="M775">
        <f>IF(ISBLANK('Data Entry'!$M$775), "", 'Data Entry'!$M$775)</f>
      </c>
      <c r="N775">
        <f>IF(ISBLANK('Data Entry'!$N$775), "", 'Data Entry'!$N$775)</f>
      </c>
      <c r="O775">
        <f>IF(ISBLANK('Data Entry'!$O$775), "", 'Data Entry'!$O$775)</f>
      </c>
      <c r="P775">
        <f>IF(ISBLANK('Data Entry'!$P$775), "", 'Data Entry'!$P$775)</f>
      </c>
      <c r="Q775">
        <f>IF(ISBLANK('Data Entry'!$Q$775), "", 'Data Entry'!$Q$775)</f>
      </c>
      <c r="R775">
        <f>IF(ISBLANK('Data Entry'!$R$775), "", 'Data Entry'!$R$775)</f>
      </c>
      <c r="S775">
        <f>IF(ISBLANK('Data Entry'!$S$775), "", 'Data Entry'!$S$775)</f>
      </c>
      <c r="T775">
        <f>IF(ISBLANK('Data Entry'!$T$775), "", 'Data Entry'!$T$775)</f>
      </c>
      <c r="U775">
        <f>IF(ISBLANK('Data Entry'!$U$775), "", 'Data Entry'!$U$775)</f>
      </c>
      <c r="V775">
        <f>IF(ISBLANK('Data Entry'!$V$775), "", 'Data Entry'!$V$775)</f>
      </c>
      <c r="W775">
        <f>IF(ISBLANK('Data Entry'!$W$775), "", 'Data Entry'!$W$775)</f>
      </c>
      <c r="X775">
        <f>IF(ISBLANK('Data Entry'!$X$775), "", 'Data Entry'!$X$775)</f>
      </c>
      <c r="Y775">
        <f>IF(ISBLANK('Data Entry'!$Y$775), "", 'Data Entry'!$Y$775)</f>
      </c>
      <c r="Z775">
        <f>IF(ISBLANK('Data Entry'!$Z$775), "", 'Data Entry'!$Z$775)</f>
      </c>
      <c r="AA775">
        <f>IF(ISBLANK('Data Entry'!$[$775), "", 'Data Entry'!$[$775)</f>
      </c>
      <c r="AB775">
        <f>IF(ISBLANK('Data Entry'!$\$775), "", 'Data Entry'!$\$775)</f>
      </c>
      <c r="AC775">
        <f>IF(ISBLANK('Data Entry'!$]$775), "", 'Data Entry'!$]$775)</f>
      </c>
      <c r="AD775">
        <f>IF(ISBLANK('Data Entry'!$^$775), "", 'Data Entry'!$^$775)</f>
      </c>
      <c r="AE775">
        <f>IF(ISBLANK('Data Entry'!$_$775), "", 'Data Entry'!$_$775)</f>
      </c>
      <c r="AF775">
        <f>IF(ISBLANK('Data Entry'!$`$775), "", 'Data Entry'!$`$775)</f>
      </c>
      <c r="AG775">
        <f>IF(ISBLANK('Data Entry'!$a$775), "", 'Data Entry'!$a$775)</f>
      </c>
      <c r="AH775">
        <f>IF(ISBLANK('Data Entry'!$b$775), "", 'Data Entry'!$b$775)</f>
      </c>
      <c r="AI775">
        <f>IF(ISBLANK('Data Entry'!$c$775), "", 'Data Entry'!$c$775)</f>
      </c>
      <c r="AJ775">
        <f>IF(ISBLANK('Data Entry'!$d$775), "", 'Data Entry'!$d$775)</f>
      </c>
      <c r="AK775">
        <f>IF(ISBLANK('Data Entry'!$e$775), "", 'Data Entry'!$e$775)</f>
      </c>
      <c r="AL775">
        <f>IF(ISBLANK('Data Entry'!$f$775), "", 'Data Entry'!$f$775)</f>
      </c>
      <c r="AM775">
        <f>IF(ISBLANK('Data Entry'!$g$775), "", 'Data Entry'!$g$775)</f>
      </c>
      <c r="AN775">
        <f>IF(ISBLANK('Data Entry'!$h$775), "", 'Data Entry'!$h$775)</f>
      </c>
      <c r="AO775">
        <f>IF(ISBLANK('Data Entry'!$i$775), "", 'Data Entry'!$i$775)</f>
      </c>
      <c r="AP775">
        <f>IF(ISBLANK('Data Entry'!$j$775), "", 'Data Entry'!$j$775)</f>
      </c>
      <c r="AQ775">
        <f>IF(ISBLANK('Data Entry'!$k$775), "", 'Data Entry'!$k$775)</f>
      </c>
      <c r="AR775">
        <f>IF(ISBLANK('Data Entry'!$l$775), "", 'Data Entry'!$l$775)</f>
      </c>
      <c r="AS775">
        <f>IF(ISBLANK('Data Entry'!$m$775), "", 'Data Entry'!$m$775)</f>
      </c>
      <c r="AT775">
        <f>IF(ISBLANK('Data Entry'!$n$775), "", 'Data Entry'!$n$775)</f>
      </c>
      <c r="AU775">
        <f>IF(ISBLANK('Data Entry'!$o$775), "", 'Data Entry'!$o$775)</f>
      </c>
      <c r="AV775">
        <f>IF(ISBLANK('Data Entry'!$p$775), "", 'Data Entry'!$p$775)</f>
      </c>
      <c r="AW775">
        <f>IF(ISBLANK('Data Entry'!$q$775), "", 'Data Entry'!$q$775)</f>
      </c>
      <c r="AX775">
        <f>IF(ISBLANK('Data Entry'!$r$775), "", 'Data Entry'!$r$775)</f>
      </c>
      <c r="AY775">
        <f>IF(ISBLANK('Data Entry'!$s$775), "", 'Data Entry'!$s$775)</f>
      </c>
      <c r="AZ775">
        <f>IF(ISBLANK('Data Entry'!$t$775), "", 'Data Entry'!$t$775)</f>
      </c>
      <c r="BA775">
        <f>IF(ISBLANK('Data Entry'!$u$775), "", 'Data Entry'!$u$775)</f>
      </c>
      <c r="BB775">
        <f>IF(ISBLANK('Data Entry'!$v$775), "", 'Data Entry'!$v$775)</f>
      </c>
      <c r="BC775">
        <f>IF(ISBLANK('Data Entry'!$w$775), "", 'Data Entry'!$w$775)</f>
      </c>
      <c r="BD775">
        <f>IF(ISBLANK('Data Entry'!$x$775), "", 'Data Entry'!$x$775)</f>
      </c>
      <c r="BE775">
        <f>IF(ISBLANK('Data Entry'!$y$775), "", 'Data Entry'!$y$775)</f>
      </c>
      <c r="BF775">
        <f>IF(ISBLANK('Data Entry'!$z$775), "", 'Data Entry'!$z$775)</f>
      </c>
      <c r="BG775">
        <f>IF(ISBLANK('Data Entry'!${$775), "", 'Data Entry'!${$775)</f>
      </c>
      <c r="BH775">
        <f>IF(ISBLANK('Data Entry'!$|$775), "", 'Data Entry'!$|$775)</f>
      </c>
      <c r="BI775">
        <f>IF(ISBLANK('Data Entry'!$}$775), "", 'Data Entry'!$}$775)</f>
      </c>
      <c r="BJ775">
        <f>IF(ISBLANK('Data Entry'!$~$775), "", 'Data Entry'!$~$775)</f>
      </c>
      <c r="BK775">
        <f>IF(ISBLANK('Data Entry'!$$775), "", 'Data Entry'!$$775)</f>
      </c>
      <c r="BL775">
        <f>IF(ISBLANK('Data Entry'!$$775), "", 'Data Entry'!$$775)</f>
      </c>
      <c r="BM775">
        <f>IF(ISBLANK('Data Entry'!$$775), "", 'Data Entry'!$$775)</f>
      </c>
      <c r="BN775">
        <f>IF(ISBLANK('Data Entry'!$$775), "", 'Data Entry'!$$775)</f>
      </c>
      <c r="BO775">
        <f>IF(ISBLANK('Data Entry'!$$775), "", 'Data Entry'!$$775)</f>
      </c>
      <c r="BP775">
        <f>IF(ISBLANK('Data Entry'!$$775), "", 'Data Entry'!$$775)</f>
      </c>
      <c r="BQ775">
        <f>IF(ISBLANK('Data Entry'!$$775), "", 'Data Entry'!$$775)</f>
      </c>
      <c r="BR775">
        <f>IF(ISBLANK('Data Entry'!$$775), "", 'Data Entry'!$$775)</f>
      </c>
      <c r="BS775">
        <f>IF(ISBLANK('Data Entry'!$$775), "", 'Data Entry'!$$775)</f>
      </c>
      <c r="BT775">
        <f>IF(ISBLANK('Data Entry'!$$775), "", 'Data Entry'!$$775)</f>
      </c>
      <c r="BU775">
        <f>IF(ISBLANK('Data Entry'!$$775), "", 'Data Entry'!$$775)</f>
      </c>
      <c r="BV775">
        <f>IF(ISBLANK('Data Entry'!$$775), "", 'Data Entry'!$$775)</f>
      </c>
      <c r="BW775">
        <f>IF(ISBLANK('Data Entry'!$$775), "", 'Data Entry'!$$775)</f>
      </c>
      <c r="BX775">
        <f>IF(ISBLANK('Data Entry'!$$775), "", 'Data Entry'!$$775)</f>
      </c>
      <c r="BY775">
        <f>IF(ISBLANK('Data Entry'!$$775), "", 'Data Entry'!$$775)</f>
      </c>
      <c r="BZ775">
        <f>IF(ISBLANK('Data Entry'!$$775), "", 'Data Entry'!$$775)</f>
      </c>
      <c r="CA775">
        <f>IF(ISBLANK('Data Entry'!$$775), "", 'Data Entry'!$$775)</f>
      </c>
      <c r="CB775">
        <f>IF(ISBLANK('Data Entry'!$$775), "", 'Data Entry'!$$775)</f>
      </c>
      <c r="CC775">
        <f>IF(ISBLANK('Data Entry'!$$775), "", 'Data Entry'!$$775)</f>
      </c>
      <c r="CD775">
        <f>IF(ISBLANK('Data Entry'!$$775), "", 'Data Entry'!$$775)</f>
      </c>
      <c r="CE775">
        <f>IF(ISBLANK('Data Entry'!$$775), "", 'Data Entry'!$$775)</f>
      </c>
      <c r="CF775">
        <f>IF(ISBLANK('Data Entry'!$$775), "", 'Data Entry'!$$775)</f>
      </c>
      <c r="CG775">
        <f>IF(ISBLANK('Data Entry'!$$775), "", 'Data Entry'!$$775)</f>
      </c>
      <c r="CH775">
        <f>IF(ISBLANK('Data Entry'!$$775), "", 'Data Entry'!$$775)</f>
      </c>
      <c r="CI775">
        <f>IF(ISBLANK('Data Entry'!$$775), "", 'Data Entry'!$$775)</f>
      </c>
      <c r="CJ775">
        <f>IF(ISBLANK('Data Entry'!$$775), "", 'Data Entry'!$$775)</f>
      </c>
      <c r="CK775">
        <f>IF(ISBLANK('Data Entry'!$$775), "", 'Data Entry'!$$775)</f>
      </c>
      <c r="CL775">
        <f>IF(ISBLANK('Data Entry'!$$775), "", 'Data Entry'!$$775)</f>
      </c>
      <c r="CM775">
        <f>IF(ISBLANK('Data Entry'!$$775), "", 'Data Entry'!$$775)</f>
      </c>
      <c r="CN775">
        <f>IF(ISBLANK('Data Entry'!$$775), "", 'Data Entry'!$$775)</f>
      </c>
      <c r="CO775">
        <f>IF(ISBLANK('Data Entry'!$$775), "", 'Data Entry'!$$775)</f>
      </c>
      <c r="CP775">
        <f>IF(ISBLANK('Data Entry'!$$775), "", 'Data Entry'!$$775)</f>
      </c>
      <c r="CQ775">
        <f>IF(ISBLANK('Data Entry'!$$775), "", 'Data Entry'!$$775)</f>
      </c>
      <c r="CR775">
        <f>IF(ISBLANK('Data Entry'!$ $775), "", 'Data Entry'!$ $775)</f>
      </c>
      <c r="CS775">
        <f>IF(ISBLANK('Data Entry'!$¡$775), "", 'Data Entry'!$¡$775)</f>
      </c>
      <c r="CT775">
        <f>IF(ISBLANK('Data Entry'!$¢$775), "", 'Data Entry'!$¢$775)</f>
      </c>
      <c r="CU775">
        <f>IF(ISBLANK('Data Entry'!$£$775), "", 'Data Entry'!$£$775)</f>
      </c>
      <c r="CV775">
        <f>IF(ISBLANK('Data Entry'!$¤$775), "", 'Data Entry'!$¤$775)</f>
      </c>
      <c r="CW775">
        <f>IF(ISBLANK('Data Entry'!$¥$775), "", 'Data Entry'!$¥$775)</f>
      </c>
      <c r="CX775">
        <f>IF(ISBLANK('Data Entry'!$¦$775), "", 'Data Entry'!$¦$775)</f>
      </c>
      <c r="CY775">
        <f>IF(ISBLANK('Data Entry'!$§$775), "", 'Data Entry'!$§$775)</f>
      </c>
      <c r="CZ775">
        <f>IF(ISBLANK('Data Entry'!$¨$775), "", 'Data Entry'!$¨$775)</f>
      </c>
      <c r="DA775">
        <f>IF(ISBLANK('Data Entry'!$©$775), "", 'Data Entry'!$©$775)</f>
      </c>
      <c r="DB775">
        <f>IF(ISBLANK('Data Entry'!$ª$775), "", 'Data Entry'!$ª$775)</f>
      </c>
      <c r="DC775">
        <f>IF(ISBLANK('Data Entry'!$«$775), "", 'Data Entry'!$«$775)</f>
      </c>
      <c r="DD775">
        <f>IF(ISBLANK('Data Entry'!$¬$775), "", 'Data Entry'!$¬$775)</f>
      </c>
      <c r="DE775">
        <f>IF(ISBLANK('Data Entry'!$­$775), "", 'Data Entry'!$­$775)</f>
      </c>
      <c r="DF775">
        <f>IF(ISBLANK('Data Entry'!$®$775), "", 'Data Entry'!$®$775)</f>
      </c>
      <c r="DG775">
        <f>IF(ISBLANK('Data Entry'!$¯$775), "", 'Data Entry'!$¯$775)</f>
      </c>
      <c r="DH775">
        <f>IF(ISBLANK('Data Entry'!$°$775), "", 'Data Entry'!$°$775)</f>
      </c>
      <c r="DI775">
        <f>IF(ISBLANK('Data Entry'!$±$775), "", 'Data Entry'!$±$775)</f>
      </c>
      <c r="DJ775">
        <f>IF(ISBLANK('Data Entry'!$²$775), "", 'Data Entry'!$²$775)</f>
      </c>
      <c r="DK775">
        <f>IF(ISBLANK('Data Entry'!$³$775), "", 'Data Entry'!$³$775)</f>
      </c>
      <c r="DL775">
        <f>IF(ISBLANK('Data Entry'!$´$775), "", 'Data Entry'!$´$775)</f>
      </c>
      <c r="DM775">
        <f>IF(ISBLANK('Data Entry'!$µ$775), "", 'Data Entry'!$µ$775)</f>
      </c>
      <c r="DN775">
        <f>IF(ISBLANK('Data Entry'!$¶$775), "", 'Data Entry'!$¶$775)</f>
      </c>
      <c r="DO775">
        <f>IF(ISBLANK('Data Entry'!$·$775), "", 'Data Entry'!$·$775)</f>
      </c>
      <c r="DP775">
        <f>IF(ISBLANK('Data Entry'!$¸$775), "", 'Data Entry'!$¸$775)</f>
      </c>
      <c r="DQ775">
        <f>IF(ISBLANK('Data Entry'!$¹$775), "", 'Data Entry'!$¹$775)</f>
      </c>
      <c r="DR775">
        <f>IF(ISBLANK('Data Entry'!$º$775), "", 'Data Entry'!$º$775)</f>
      </c>
      <c r="DS775">
        <f>IF(ISBLANK('Data Entry'!$»$775), "", 'Data Entry'!$»$775)</f>
      </c>
      <c r="DT775">
        <f>IF(ISBLANK('Data Entry'!$¼$775), "", 'Data Entry'!$¼$775)</f>
      </c>
      <c r="DU775">
        <f>IF(ISBLANK('Data Entry'!$½$775), "", 'Data Entry'!$½$775)</f>
      </c>
      <c r="DV775">
        <f>IF(ISBLANK('Data Entry'!$¾$775), "", 'Data Entry'!$¾$775)</f>
      </c>
      <c r="DW775">
        <f>IF(ISBLANK('Data Entry'!$¿$775), "", 'Data Entry'!$¿$775)</f>
      </c>
      <c r="DX775">
        <f>IF(ISBLANK('Data Entry'!$À$775), "", 'Data Entry'!$À$775)</f>
      </c>
      <c r="DY775">
        <f>IF(ISBLANK('Data Entry'!$Á$775), "", 'Data Entry'!$Á$775)</f>
      </c>
      <c r="DZ775">
        <f>IF(ISBLANK('Data Entry'!$Â$775), "", 'Data Entry'!$Â$775)</f>
      </c>
      <c r="EA775">
        <f>IF(ISBLANK('Data Entry'!$Ã$775), "", 'Data Entry'!$Ã$775)</f>
      </c>
      <c r="EB775">
        <f>IF(ISBLANK('Data Entry'!$Ä$775), "", 'Data Entry'!$Ä$775)</f>
      </c>
      <c r="EC775">
        <f>IF(ISBLANK('Data Entry'!$Å$775), "", 'Data Entry'!$Å$775)</f>
      </c>
      <c r="ED775">
        <f>IF(ISBLANK('Data Entry'!$Æ$775), "", 'Data Entry'!$Æ$775)</f>
      </c>
      <c r="EE775">
        <f>IF(ISBLANK('Data Entry'!$Ç$775), "", 'Data Entry'!$Ç$775)</f>
      </c>
      <c r="EF775">
        <f>IF(ISBLANK('Data Entry'!$È$775), "", 'Data Entry'!$È$775)</f>
      </c>
      <c r="EG775">
        <f>IF(ISBLANK('Data Entry'!$É$775), "", 'Data Entry'!$É$775)</f>
      </c>
      <c r="EH775">
        <f>IF(ISBLANK('Data Entry'!$Ê$775), "", 'Data Entry'!$Ê$775)</f>
      </c>
      <c r="EI775">
        <f>IF(ISBLANK('Data Entry'!$Ë$775), "", 'Data Entry'!$Ë$775)</f>
      </c>
      <c r="EJ775">
        <f>IF(ISBLANK('Data Entry'!$Ì$775), "", 'Data Entry'!$Ì$775)</f>
      </c>
      <c r="EK775">
        <f>IF(ISBLANK('Data Entry'!$Í$775), "", 'Data Entry'!$Í$775)</f>
      </c>
      <c r="EL775">
        <f>IF(ISBLANK('Data Entry'!$Î$775), "", 'Data Entry'!$Î$775)</f>
      </c>
      <c r="EM775">
        <f>IF(ISBLANK('Data Entry'!$Ï$775), "", 'Data Entry'!$Ï$775)</f>
      </c>
      <c r="EN775">
        <f>IF(ISBLANK('Data Entry'!$Ð$775), "", 'Data Entry'!$Ð$775)</f>
      </c>
      <c r="EO775">
        <f>IF(ISBLANK('Data Entry'!$Ñ$775), "", 'Data Entry'!$Ñ$775)</f>
      </c>
      <c r="EP775">
        <f>IF(ISBLANK('Data Entry'!$Ò$775), "", 'Data Entry'!$Ò$775)</f>
      </c>
      <c r="EQ775">
        <f>IF(ISBLANK('Data Entry'!$Ó$775), "", 'Data Entry'!$Ó$775)</f>
      </c>
      <c r="ER775">
        <f>IF(ISBLANK('Data Entry'!$Ô$775), "", 'Data Entry'!$Ô$775)</f>
      </c>
      <c r="ES775">
        <f>IF(ISBLANK('Data Entry'!$Õ$775), "", 'Data Entry'!$Õ$775)</f>
      </c>
      <c r="ET775">
        <f>IF(ISBLANK('Data Entry'!$Ö$775), "", 'Data Entry'!$Ö$775)</f>
      </c>
      <c r="EU775">
        <f>IF(ISBLANK('Data Entry'!$×$775), "", 'Data Entry'!$×$775)</f>
      </c>
      <c r="EV775">
        <f>IF(ISBLANK('Data Entry'!$Ø$775), "", 'Data Entry'!$Ø$775)</f>
      </c>
      <c r="EW775">
        <f>IF(ISBLANK('Data Entry'!$Ù$775), "", 'Data Entry'!$Ù$775)</f>
      </c>
      <c r="EX775">
        <f>IF(ISBLANK('Data Entry'!$Ú$775), "", 'Data Entry'!$Ú$775)</f>
      </c>
      <c r="EY775">
        <f>IF(ISBLANK('Data Entry'!$Û$775), "", 'Data Entry'!$Û$775)</f>
      </c>
      <c r="EZ775">
        <f>IF(ISBLANK('Data Entry'!$Ü$775), "", 'Data Entry'!$Ü$775)</f>
      </c>
      <c r="FA775">
        <f>IF(ISBLANK('Data Entry'!$Ý$775), "", 'Data Entry'!$Ý$775)</f>
      </c>
      <c r="FB775">
        <f>IF(ISBLANK('Data Entry'!$Þ$775), "", 'Data Entry'!$Þ$775)</f>
      </c>
      <c r="FC775">
        <f>IF(ISBLANK('Data Entry'!$ß$775), "", 'Data Entry'!$ß$775)</f>
      </c>
      <c r="FD775">
        <f>IF(ISBLANK('Data Entry'!$à$775), "", 'Data Entry'!$à$775)</f>
      </c>
      <c r="FE775">
        <f>IF(ISBLANK('Data Entry'!$á$775), "", 'Data Entry'!$á$775)</f>
      </c>
      <c r="FF775">
        <f>IF(ISBLANK('Data Entry'!$â$775), "", 'Data Entry'!$â$775)</f>
      </c>
      <c r="FG775">
        <f>IF(ISBLANK('Data Entry'!$ã$775), "", 'Data Entry'!$ã$775)</f>
      </c>
      <c r="FH775">
        <f>IF(ISBLANK('Data Entry'!$ä$775), "", 'Data Entry'!$ä$775)</f>
      </c>
      <c r="FI775">
        <f>IF(ISBLANK('Data Entry'!$å$775), "", 'Data Entry'!$å$775)</f>
      </c>
      <c r="FJ775">
        <f>IF(ISBLANK('Data Entry'!$æ$775), "", 'Data Entry'!$æ$775)</f>
      </c>
      <c r="FK775">
        <f>IF(ISBLANK('Data Entry'!$ç$775), "", 'Data Entry'!$ç$775)</f>
      </c>
      <c r="FL775">
        <f>IF(ISBLANK('Data Entry'!$è$775), "", 'Data Entry'!$è$775)</f>
      </c>
      <c r="FM775">
        <f>IF(ISBLANK('Data Entry'!$é$775), "", 'Data Entry'!$é$775)</f>
      </c>
      <c r="FN775">
        <f>IF(ISBLANK('Data Entry'!$ê$775), "", 'Data Entry'!$ê$775)</f>
      </c>
      <c r="FO775">
        <f>IF(ISBLANK('Data Entry'!$ë$775), "", 'Data Entry'!$ë$775)</f>
      </c>
      <c r="FP775">
        <f>IF(ISBLANK('Data Entry'!$ì$775), "", 'Data Entry'!$ì$775)</f>
      </c>
      <c r="FQ775">
        <f>IF(ISBLANK('Data Entry'!$í$775), "", 'Data Entry'!$í$775)</f>
      </c>
      <c r="FR775">
        <f>IF(ISBLANK('Data Entry'!$î$775), "", 'Data Entry'!$î$775)</f>
      </c>
      <c r="FS775">
        <f>IF(ISBLANK('Data Entry'!$ï$775), "", 'Data Entry'!$ï$775)</f>
      </c>
      <c r="FT775">
        <f>IF(ISBLANK('Data Entry'!$ð$775), "", 'Data Entry'!$ð$775)</f>
      </c>
      <c r="FU775">
        <f>IF(ISBLANK('Data Entry'!$ñ$775), "", 'Data Entry'!$ñ$775)</f>
      </c>
      <c r="FV775">
        <f>IF(ISBLANK('Data Entry'!$ò$775), "", 'Data Entry'!$ò$775)</f>
      </c>
      <c r="FW775">
        <f>IF(ISBLANK('Data Entry'!$ó$775), "", 'Data Entry'!$ó$775)</f>
      </c>
      <c r="FX775">
        <f>IF(ISBLANK('Data Entry'!$ô$775), "", 'Data Entry'!$ô$775)</f>
      </c>
      <c r="FY775">
        <f>IF(ISBLANK('Data Entry'!$õ$775), "", 'Data Entry'!$õ$775)</f>
      </c>
      <c r="FZ775">
        <f>IF(ISBLANK('Data Entry'!$ö$775), "", 'Data Entry'!$ö$775)</f>
      </c>
      <c r="GA775">
        <f>IF(ISBLANK('Data Entry'!$÷$775), "", 'Data Entry'!$÷$775)</f>
      </c>
      <c r="GB775">
        <f>IF(ISBLANK('Data Entry'!$ø$775), "", 'Data Entry'!$ø$775)</f>
      </c>
      <c r="GC775">
        <f>IF(ISBLANK('Data Entry'!$ù$775), "", 'Data Entry'!$ù$775)</f>
      </c>
      <c r="GD775">
        <f>IF(ISBLANK('Data Entry'!$ú$775), "", 'Data Entry'!$ú$775)</f>
      </c>
      <c r="GE775">
        <f>IF(ISBLANK('Data Entry'!$û$775), "", 'Data Entry'!$û$775)</f>
      </c>
      <c r="GF775">
        <f>IF(ISBLANK('Data Entry'!$ü$775), "", 'Data Entry'!$ü$775)</f>
      </c>
      <c r="GG775">
        <f>IF(ISBLANK('Data Entry'!$ý$775), "", 'Data Entry'!$ý$775)</f>
      </c>
      <c r="GH775">
        <f>IF(ISBLANK('Data Entry'!$þ$775), "", 'Data Entry'!$þ$775)</f>
      </c>
      <c r="GI775">
        <f>IF(ISBLANK('Data Entry'!$ÿ$775), "", 'Data Entry'!$ÿ$775)</f>
      </c>
      <c r="GJ775">
        <f>IF(ISBLANK('Data Entry'!$Ā$775), "", 'Data Entry'!$Ā$775)</f>
      </c>
      <c r="GK775">
        <f>IF(ISBLANK('Data Entry'!$ā$775), "", 'Data Entry'!$ā$775)</f>
      </c>
      <c r="GL775">
        <f>IF(ISBLANK('Data Entry'!$Ă$775), "", 'Data Entry'!$Ă$775)</f>
      </c>
      <c r="GM775">
        <f>IF(ISBLANK('Data Entry'!$ă$775), "", 'Data Entry'!$ă$775)</f>
      </c>
      <c r="GN775">
        <f>IF(ISBLANK('Data Entry'!$Ą$775), "", 'Data Entry'!$Ą$775)</f>
      </c>
      <c r="GO775">
        <f>IF(ISBLANK('Data Entry'!$ą$775), "", 'Data Entry'!$ą$775)</f>
      </c>
      <c r="GP775">
        <f>IF(ISBLANK('Data Entry'!$Ć$775), "", 'Data Entry'!$Ć$775)</f>
      </c>
      <c r="GQ775">
        <f>IF(ISBLANK('Data Entry'!$ć$775), "", 'Data Entry'!$ć$775)</f>
      </c>
      <c r="GR775">
        <f>IF(ISBLANK('Data Entry'!$Ĉ$775), "", 'Data Entry'!$Ĉ$775)</f>
      </c>
      <c r="GS775">
        <f>IF(ISBLANK('Data Entry'!$ĉ$775), "", 'Data Entry'!$ĉ$775)</f>
      </c>
      <c r="GT775">
        <f>IF(ISBLANK('Data Entry'!$Ċ$775), "", 'Data Entry'!$Ċ$775)</f>
      </c>
      <c r="GU775">
        <f>IF(ISBLANK('Data Entry'!$ċ$775), "", 'Data Entry'!$ċ$775)</f>
      </c>
      <c r="GV775">
        <f>IF(ISBLANK('Data Entry'!$Č$775), "", 'Data Entry'!$Č$775)</f>
      </c>
      <c r="GW775">
        <f>IF(ISBLANK('Data Entry'!$č$775), "", 'Data Entry'!$č$775)</f>
      </c>
      <c r="GX775">
        <f>IF(ISBLANK('Data Entry'!$Ď$775), "", 'Data Entry'!$Ď$775)</f>
      </c>
      <c r="GY775">
        <f>IF(ISBLANK('Data Entry'!$ď$775), "", 'Data Entry'!$ď$775)</f>
      </c>
      <c r="GZ775">
        <f>IF(ISBLANK('Data Entry'!$Đ$775), "", 'Data Entry'!$Đ$775)</f>
      </c>
      <c r="HA775">
        <f>IF(ISBLANK('Data Entry'!$đ$775), "", 'Data Entry'!$đ$775)</f>
      </c>
      <c r="HB775">
        <f>IF(ISBLANK('Data Entry'!$Ē$775), "", 'Data Entry'!$Ē$775)</f>
      </c>
      <c r="HC775">
        <f>IF(ISBLANK('Data Entry'!$ē$775), "", 'Data Entry'!$ē$775)</f>
      </c>
      <c r="HD775">
        <f>IF(ISBLANK('Data Entry'!$Ĕ$775), "", 'Data Entry'!$Ĕ$775)</f>
      </c>
      <c r="HE775">
        <f>IF(ISBLANK('Data Entry'!$ĕ$775), "", 'Data Entry'!$ĕ$775)</f>
      </c>
      <c r="HF775">
        <f>IF(ISBLANK('Data Entry'!$Ė$775), "", 'Data Entry'!$Ė$775)</f>
      </c>
      <c r="HG775">
        <f>IF(ISBLANK('Data Entry'!$ė$775), "", 'Data Entry'!$ė$775)</f>
      </c>
      <c r="HH775">
        <f>IF(ISBLANK('Data Entry'!$Ę$775), "", 'Data Entry'!$Ę$775)</f>
      </c>
      <c r="HI775">
        <f>IF(ISBLANK('Data Entry'!$ę$775), "", 'Data Entry'!$ę$775)</f>
      </c>
      <c r="HJ775">
        <f>IF(ISBLANK('Data Entry'!$Ě$775), "", 'Data Entry'!$Ě$775)</f>
      </c>
      <c r="HK775">
        <f>IF(ISBLANK('Data Entry'!$ě$775), "", 'Data Entry'!$ě$775)</f>
      </c>
      <c r="HL775">
        <f>IF(ISBLANK('Data Entry'!$Ĝ$775), "", 'Data Entry'!$Ĝ$775)</f>
      </c>
      <c r="HM775">
        <f>IF(ISBLANK('Data Entry'!$ĝ$775), "", 'Data Entry'!$ĝ$775)</f>
      </c>
      <c r="HN775">
        <f>IF(ISBLANK('Data Entry'!$Ğ$775), "", 'Data Entry'!$Ğ$775)</f>
      </c>
      <c r="HO775">
        <f>IF(ISBLANK('Data Entry'!$ğ$775), "", 'Data Entry'!$ğ$775)</f>
      </c>
      <c r="HP775">
        <f>IF(ISBLANK('Data Entry'!$Ġ$775), "", 'Data Entry'!$Ġ$775)</f>
      </c>
      <c r="HQ775">
        <f>IF(ISBLANK('Data Entry'!$ġ$775), "", 'Data Entry'!$ġ$775)</f>
      </c>
      <c r="HR775">
        <f>IF(ISBLANK('Data Entry'!$Ģ$775), "", 'Data Entry'!$Ģ$775)</f>
      </c>
      <c r="HS775">
        <f>IF(ISBLANK('Data Entry'!$ģ$775), "", 'Data Entry'!$ģ$775)</f>
      </c>
      <c r="HT775">
        <f>IF(ISBLANK('Data Entry'!$Ĥ$775), "", 'Data Entry'!$Ĥ$775)</f>
      </c>
      <c r="HU775">
        <f>IF(ISBLANK('Data Entry'!$ĥ$775), "", 'Data Entry'!$ĥ$775)</f>
      </c>
      <c r="HV775">
        <f>IF(ISBLANK('Data Entry'!$Ħ$775), "", 'Data Entry'!$Ħ$775)</f>
      </c>
      <c r="HW775">
        <f>IF(ISBLANK('Data Entry'!$ħ$775), "", 'Data Entry'!$ħ$775)</f>
      </c>
      <c r="HX775">
        <f>IF(ISBLANK('Data Entry'!$Ĩ$775), "", 'Data Entry'!$Ĩ$775)</f>
      </c>
      <c r="HY775">
        <f>IF(ISBLANK('Data Entry'!$ĩ$775), "", 'Data Entry'!$ĩ$775)</f>
      </c>
      <c r="HZ775">
        <f>IF(ISBLANK('Data Entry'!$Ī$775), "", 'Data Entry'!$Ī$775)</f>
      </c>
      <c r="IA775">
        <f>IF(ISBLANK('Data Entry'!$ī$775), "", 'Data Entry'!$ī$775)</f>
      </c>
      <c r="IB775">
        <f>IF(ISBLANK('Data Entry'!$Ĭ$775), "", 'Data Entry'!$Ĭ$775)</f>
      </c>
      <c r="IC775">
        <f>IF(ISBLANK('Data Entry'!$ĭ$775), "", 'Data Entry'!$ĭ$775)</f>
      </c>
      <c r="ID775">
        <f>IF(ISBLANK('Data Entry'!$Į$775), "", 'Data Entry'!$Į$775)</f>
      </c>
      <c r="IE775">
        <f>IF(ISBLANK('Data Entry'!$į$775), "", 'Data Entry'!$į$775)</f>
      </c>
      <c r="IF775">
        <f>IF(ISBLANK('Data Entry'!$İ$775), "", 'Data Entry'!$İ$775)</f>
      </c>
      <c r="IG775">
        <f>IF(ISBLANK('Data Entry'!$ı$775), "", 'Data Entry'!$ı$775)</f>
      </c>
      <c r="IH775">
        <f>IF(ISBLANK('Data Entry'!$Ĳ$775), "", 'Data Entry'!$Ĳ$775)</f>
      </c>
      <c r="II775">
        <f>IF(ISBLANK('Data Entry'!$ĳ$775), "", 'Data Entry'!$ĳ$775)</f>
      </c>
      <c r="IJ775">
        <f>IF(ISBLANK('Data Entry'!$Ĵ$775), "", 'Data Entry'!$Ĵ$775)</f>
      </c>
      <c r="IK775">
        <f>IF(ISBLANK('Data Entry'!$ĵ$775), "", 'Data Entry'!$ĵ$775)</f>
      </c>
      <c r="IL775">
        <f>IF(ISBLANK('Data Entry'!$Ķ$775), "", 'Data Entry'!$Ķ$775)</f>
      </c>
      <c r="IM775">
        <f>IF(ISBLANK('Data Entry'!$ķ$775), "", 'Data Entry'!$ķ$775)</f>
      </c>
      <c r="IN775">
        <f>IF(ISBLANK('Data Entry'!$ĸ$775), "", 'Data Entry'!$ĸ$775)</f>
      </c>
      <c r="IO775">
        <f>IF(ISBLANK('Data Entry'!$Ĺ$775), "", 'Data Entry'!$Ĺ$775)</f>
      </c>
      <c r="IP775">
        <f>IF(ISBLANK('Data Entry'!$ĺ$775), "", 'Data Entry'!$ĺ$775)</f>
      </c>
      <c r="IQ775">
        <f>IF(ISBLANK('Data Entry'!$Ļ$775), "", 'Data Entry'!$Ļ$775)</f>
      </c>
      <c r="IR775">
        <f>IF(ISBLANK('Data Entry'!$ļ$775), "", 'Data Entry'!$ļ$775)</f>
      </c>
      <c r="IS775">
        <f>IF(ISBLANK('Data Entry'!$Ľ$775), "", 'Data Entry'!$Ľ$775)</f>
      </c>
      <c r="IT775">
        <f>IF(ISBLANK('Data Entry'!$ľ$775), "", 'Data Entry'!$ľ$775)</f>
      </c>
    </row>
    <row r="776" spans="1:254" x14ac:dyDescent="0.25">
      <c r="A776">
        <f>IF(ISBLANK('Data Entry'!$A$776), "", 'Data Entry'!$A$776)</f>
      </c>
      <c r="B776">
        <f>IF(ISBLANK('Data Entry'!$B$776), "", 'Data Entry'!$B$776)</f>
      </c>
      <c r="C776">
        <f>IF(ISBLANK('Data Entry'!$C$776), "", 'Data Entry'!$C$776)</f>
      </c>
      <c r="D776">
        <f>IF(ISBLANK('Data Entry'!$D$776), "", 'Data Entry'!$D$776)</f>
      </c>
      <c r="E776">
        <f>IF(ISBLANK('Data Entry'!$E$776), "", 'Data Entry'!$E$776)</f>
      </c>
      <c r="F776">
        <f>IF(ISBLANK('Data Entry'!$F$776), "", 'Data Entry'!$F$776)</f>
      </c>
      <c r="G776">
        <f>IF(ISBLANK('Data Entry'!$G$776), "", 'Data Entry'!$G$776)</f>
      </c>
      <c r="H776">
        <f>IF(ISBLANK('Data Entry'!$H$776), "", 'Data Entry'!$H$776)</f>
      </c>
      <c r="I776">
        <f>IF(ISBLANK('Data Entry'!$I$776), "", 'Data Entry'!$I$776)</f>
      </c>
      <c r="J776">
        <f>IF(ISBLANK('Data Entry'!$J$776), "", 'Data Entry'!$J$776)</f>
      </c>
      <c r="K776">
        <f>IF(ISBLANK('Data Entry'!$K$776), "", 'Data Entry'!$K$776)</f>
      </c>
      <c r="L776">
        <f>IF(ISBLANK('Data Entry'!$L$776), "", 'Data Entry'!$L$776)</f>
      </c>
      <c r="M776">
        <f>IF(ISBLANK('Data Entry'!$M$776), "", 'Data Entry'!$M$776)</f>
      </c>
      <c r="N776">
        <f>IF(ISBLANK('Data Entry'!$N$776), "", 'Data Entry'!$N$776)</f>
      </c>
      <c r="O776">
        <f>IF(ISBLANK('Data Entry'!$O$776), "", 'Data Entry'!$O$776)</f>
      </c>
      <c r="P776">
        <f>IF(ISBLANK('Data Entry'!$P$776), "", 'Data Entry'!$P$776)</f>
      </c>
      <c r="Q776">
        <f>IF(ISBLANK('Data Entry'!$Q$776), "", 'Data Entry'!$Q$776)</f>
      </c>
      <c r="R776">
        <f>IF(ISBLANK('Data Entry'!$R$776), "", 'Data Entry'!$R$776)</f>
      </c>
      <c r="S776">
        <f>IF(ISBLANK('Data Entry'!$S$776), "", 'Data Entry'!$S$776)</f>
      </c>
      <c r="T776">
        <f>IF(ISBLANK('Data Entry'!$T$776), "", 'Data Entry'!$T$776)</f>
      </c>
      <c r="U776">
        <f>IF(ISBLANK('Data Entry'!$U$776), "", 'Data Entry'!$U$776)</f>
      </c>
      <c r="V776">
        <f>IF(ISBLANK('Data Entry'!$V$776), "", 'Data Entry'!$V$776)</f>
      </c>
      <c r="W776">
        <f>IF(ISBLANK('Data Entry'!$W$776), "", 'Data Entry'!$W$776)</f>
      </c>
      <c r="X776">
        <f>IF(ISBLANK('Data Entry'!$X$776), "", 'Data Entry'!$X$776)</f>
      </c>
      <c r="Y776">
        <f>IF(ISBLANK('Data Entry'!$Y$776), "", 'Data Entry'!$Y$776)</f>
      </c>
      <c r="Z776">
        <f>IF(ISBLANK('Data Entry'!$Z$776), "", 'Data Entry'!$Z$776)</f>
      </c>
      <c r="AA776">
        <f>IF(ISBLANK('Data Entry'!$[$776), "", 'Data Entry'!$[$776)</f>
      </c>
      <c r="AB776">
        <f>IF(ISBLANK('Data Entry'!$\$776), "", 'Data Entry'!$\$776)</f>
      </c>
      <c r="AC776">
        <f>IF(ISBLANK('Data Entry'!$]$776), "", 'Data Entry'!$]$776)</f>
      </c>
      <c r="AD776">
        <f>IF(ISBLANK('Data Entry'!$^$776), "", 'Data Entry'!$^$776)</f>
      </c>
      <c r="AE776">
        <f>IF(ISBLANK('Data Entry'!$_$776), "", 'Data Entry'!$_$776)</f>
      </c>
      <c r="AF776">
        <f>IF(ISBLANK('Data Entry'!$`$776), "", 'Data Entry'!$`$776)</f>
      </c>
      <c r="AG776">
        <f>IF(ISBLANK('Data Entry'!$a$776), "", 'Data Entry'!$a$776)</f>
      </c>
      <c r="AH776">
        <f>IF(ISBLANK('Data Entry'!$b$776), "", 'Data Entry'!$b$776)</f>
      </c>
      <c r="AI776">
        <f>IF(ISBLANK('Data Entry'!$c$776), "", 'Data Entry'!$c$776)</f>
      </c>
      <c r="AJ776">
        <f>IF(ISBLANK('Data Entry'!$d$776), "", 'Data Entry'!$d$776)</f>
      </c>
      <c r="AK776">
        <f>IF(ISBLANK('Data Entry'!$e$776), "", 'Data Entry'!$e$776)</f>
      </c>
      <c r="AL776">
        <f>IF(ISBLANK('Data Entry'!$f$776), "", 'Data Entry'!$f$776)</f>
      </c>
      <c r="AM776">
        <f>IF(ISBLANK('Data Entry'!$g$776), "", 'Data Entry'!$g$776)</f>
      </c>
      <c r="AN776">
        <f>IF(ISBLANK('Data Entry'!$h$776), "", 'Data Entry'!$h$776)</f>
      </c>
      <c r="AO776">
        <f>IF(ISBLANK('Data Entry'!$i$776), "", 'Data Entry'!$i$776)</f>
      </c>
      <c r="AP776">
        <f>IF(ISBLANK('Data Entry'!$j$776), "", 'Data Entry'!$j$776)</f>
      </c>
      <c r="AQ776">
        <f>IF(ISBLANK('Data Entry'!$k$776), "", 'Data Entry'!$k$776)</f>
      </c>
      <c r="AR776">
        <f>IF(ISBLANK('Data Entry'!$l$776), "", 'Data Entry'!$l$776)</f>
      </c>
      <c r="AS776">
        <f>IF(ISBLANK('Data Entry'!$m$776), "", 'Data Entry'!$m$776)</f>
      </c>
      <c r="AT776">
        <f>IF(ISBLANK('Data Entry'!$n$776), "", 'Data Entry'!$n$776)</f>
      </c>
      <c r="AU776">
        <f>IF(ISBLANK('Data Entry'!$o$776), "", 'Data Entry'!$o$776)</f>
      </c>
      <c r="AV776">
        <f>IF(ISBLANK('Data Entry'!$p$776), "", 'Data Entry'!$p$776)</f>
      </c>
      <c r="AW776">
        <f>IF(ISBLANK('Data Entry'!$q$776), "", 'Data Entry'!$q$776)</f>
      </c>
      <c r="AX776">
        <f>IF(ISBLANK('Data Entry'!$r$776), "", 'Data Entry'!$r$776)</f>
      </c>
      <c r="AY776">
        <f>IF(ISBLANK('Data Entry'!$s$776), "", 'Data Entry'!$s$776)</f>
      </c>
      <c r="AZ776">
        <f>IF(ISBLANK('Data Entry'!$t$776), "", 'Data Entry'!$t$776)</f>
      </c>
      <c r="BA776">
        <f>IF(ISBLANK('Data Entry'!$u$776), "", 'Data Entry'!$u$776)</f>
      </c>
      <c r="BB776">
        <f>IF(ISBLANK('Data Entry'!$v$776), "", 'Data Entry'!$v$776)</f>
      </c>
      <c r="BC776">
        <f>IF(ISBLANK('Data Entry'!$w$776), "", 'Data Entry'!$w$776)</f>
      </c>
      <c r="BD776">
        <f>IF(ISBLANK('Data Entry'!$x$776), "", 'Data Entry'!$x$776)</f>
      </c>
      <c r="BE776">
        <f>IF(ISBLANK('Data Entry'!$y$776), "", 'Data Entry'!$y$776)</f>
      </c>
      <c r="BF776">
        <f>IF(ISBLANK('Data Entry'!$z$776), "", 'Data Entry'!$z$776)</f>
      </c>
      <c r="BG776">
        <f>IF(ISBLANK('Data Entry'!${$776), "", 'Data Entry'!${$776)</f>
      </c>
      <c r="BH776">
        <f>IF(ISBLANK('Data Entry'!$|$776), "", 'Data Entry'!$|$776)</f>
      </c>
      <c r="BI776">
        <f>IF(ISBLANK('Data Entry'!$}$776), "", 'Data Entry'!$}$776)</f>
      </c>
      <c r="BJ776">
        <f>IF(ISBLANK('Data Entry'!$~$776), "", 'Data Entry'!$~$776)</f>
      </c>
      <c r="BK776">
        <f>IF(ISBLANK('Data Entry'!$$776), "", 'Data Entry'!$$776)</f>
      </c>
      <c r="BL776">
        <f>IF(ISBLANK('Data Entry'!$$776), "", 'Data Entry'!$$776)</f>
      </c>
      <c r="BM776">
        <f>IF(ISBLANK('Data Entry'!$$776), "", 'Data Entry'!$$776)</f>
      </c>
      <c r="BN776">
        <f>IF(ISBLANK('Data Entry'!$$776), "", 'Data Entry'!$$776)</f>
      </c>
      <c r="BO776">
        <f>IF(ISBLANK('Data Entry'!$$776), "", 'Data Entry'!$$776)</f>
      </c>
      <c r="BP776">
        <f>IF(ISBLANK('Data Entry'!$$776), "", 'Data Entry'!$$776)</f>
      </c>
      <c r="BQ776">
        <f>IF(ISBLANK('Data Entry'!$$776), "", 'Data Entry'!$$776)</f>
      </c>
      <c r="BR776">
        <f>IF(ISBLANK('Data Entry'!$$776), "", 'Data Entry'!$$776)</f>
      </c>
      <c r="BS776">
        <f>IF(ISBLANK('Data Entry'!$$776), "", 'Data Entry'!$$776)</f>
      </c>
      <c r="BT776">
        <f>IF(ISBLANK('Data Entry'!$$776), "", 'Data Entry'!$$776)</f>
      </c>
      <c r="BU776">
        <f>IF(ISBLANK('Data Entry'!$$776), "", 'Data Entry'!$$776)</f>
      </c>
      <c r="BV776">
        <f>IF(ISBLANK('Data Entry'!$$776), "", 'Data Entry'!$$776)</f>
      </c>
      <c r="BW776">
        <f>IF(ISBLANK('Data Entry'!$$776), "", 'Data Entry'!$$776)</f>
      </c>
      <c r="BX776">
        <f>IF(ISBLANK('Data Entry'!$$776), "", 'Data Entry'!$$776)</f>
      </c>
      <c r="BY776">
        <f>IF(ISBLANK('Data Entry'!$$776), "", 'Data Entry'!$$776)</f>
      </c>
      <c r="BZ776">
        <f>IF(ISBLANK('Data Entry'!$$776), "", 'Data Entry'!$$776)</f>
      </c>
      <c r="CA776">
        <f>IF(ISBLANK('Data Entry'!$$776), "", 'Data Entry'!$$776)</f>
      </c>
      <c r="CB776">
        <f>IF(ISBLANK('Data Entry'!$$776), "", 'Data Entry'!$$776)</f>
      </c>
      <c r="CC776">
        <f>IF(ISBLANK('Data Entry'!$$776), "", 'Data Entry'!$$776)</f>
      </c>
      <c r="CD776">
        <f>IF(ISBLANK('Data Entry'!$$776), "", 'Data Entry'!$$776)</f>
      </c>
      <c r="CE776">
        <f>IF(ISBLANK('Data Entry'!$$776), "", 'Data Entry'!$$776)</f>
      </c>
      <c r="CF776">
        <f>IF(ISBLANK('Data Entry'!$$776), "", 'Data Entry'!$$776)</f>
      </c>
      <c r="CG776">
        <f>IF(ISBLANK('Data Entry'!$$776), "", 'Data Entry'!$$776)</f>
      </c>
      <c r="CH776">
        <f>IF(ISBLANK('Data Entry'!$$776), "", 'Data Entry'!$$776)</f>
      </c>
      <c r="CI776">
        <f>IF(ISBLANK('Data Entry'!$$776), "", 'Data Entry'!$$776)</f>
      </c>
      <c r="CJ776">
        <f>IF(ISBLANK('Data Entry'!$$776), "", 'Data Entry'!$$776)</f>
      </c>
      <c r="CK776">
        <f>IF(ISBLANK('Data Entry'!$$776), "", 'Data Entry'!$$776)</f>
      </c>
      <c r="CL776">
        <f>IF(ISBLANK('Data Entry'!$$776), "", 'Data Entry'!$$776)</f>
      </c>
      <c r="CM776">
        <f>IF(ISBLANK('Data Entry'!$$776), "", 'Data Entry'!$$776)</f>
      </c>
      <c r="CN776">
        <f>IF(ISBLANK('Data Entry'!$$776), "", 'Data Entry'!$$776)</f>
      </c>
      <c r="CO776">
        <f>IF(ISBLANK('Data Entry'!$$776), "", 'Data Entry'!$$776)</f>
      </c>
      <c r="CP776">
        <f>IF(ISBLANK('Data Entry'!$$776), "", 'Data Entry'!$$776)</f>
      </c>
      <c r="CQ776">
        <f>IF(ISBLANK('Data Entry'!$$776), "", 'Data Entry'!$$776)</f>
      </c>
      <c r="CR776">
        <f>IF(ISBLANK('Data Entry'!$ $776), "", 'Data Entry'!$ $776)</f>
      </c>
      <c r="CS776">
        <f>IF(ISBLANK('Data Entry'!$¡$776), "", 'Data Entry'!$¡$776)</f>
      </c>
      <c r="CT776">
        <f>IF(ISBLANK('Data Entry'!$¢$776), "", 'Data Entry'!$¢$776)</f>
      </c>
      <c r="CU776">
        <f>IF(ISBLANK('Data Entry'!$£$776), "", 'Data Entry'!$£$776)</f>
      </c>
      <c r="CV776">
        <f>IF(ISBLANK('Data Entry'!$¤$776), "", 'Data Entry'!$¤$776)</f>
      </c>
      <c r="CW776">
        <f>IF(ISBLANK('Data Entry'!$¥$776), "", 'Data Entry'!$¥$776)</f>
      </c>
      <c r="CX776">
        <f>IF(ISBLANK('Data Entry'!$¦$776), "", 'Data Entry'!$¦$776)</f>
      </c>
      <c r="CY776">
        <f>IF(ISBLANK('Data Entry'!$§$776), "", 'Data Entry'!$§$776)</f>
      </c>
      <c r="CZ776">
        <f>IF(ISBLANK('Data Entry'!$¨$776), "", 'Data Entry'!$¨$776)</f>
      </c>
      <c r="DA776">
        <f>IF(ISBLANK('Data Entry'!$©$776), "", 'Data Entry'!$©$776)</f>
      </c>
      <c r="DB776">
        <f>IF(ISBLANK('Data Entry'!$ª$776), "", 'Data Entry'!$ª$776)</f>
      </c>
      <c r="DC776">
        <f>IF(ISBLANK('Data Entry'!$«$776), "", 'Data Entry'!$«$776)</f>
      </c>
      <c r="DD776">
        <f>IF(ISBLANK('Data Entry'!$¬$776), "", 'Data Entry'!$¬$776)</f>
      </c>
      <c r="DE776">
        <f>IF(ISBLANK('Data Entry'!$­$776), "", 'Data Entry'!$­$776)</f>
      </c>
      <c r="DF776">
        <f>IF(ISBLANK('Data Entry'!$®$776), "", 'Data Entry'!$®$776)</f>
      </c>
      <c r="DG776">
        <f>IF(ISBLANK('Data Entry'!$¯$776), "", 'Data Entry'!$¯$776)</f>
      </c>
      <c r="DH776">
        <f>IF(ISBLANK('Data Entry'!$°$776), "", 'Data Entry'!$°$776)</f>
      </c>
      <c r="DI776">
        <f>IF(ISBLANK('Data Entry'!$±$776), "", 'Data Entry'!$±$776)</f>
      </c>
      <c r="DJ776">
        <f>IF(ISBLANK('Data Entry'!$²$776), "", 'Data Entry'!$²$776)</f>
      </c>
      <c r="DK776">
        <f>IF(ISBLANK('Data Entry'!$³$776), "", 'Data Entry'!$³$776)</f>
      </c>
      <c r="DL776">
        <f>IF(ISBLANK('Data Entry'!$´$776), "", 'Data Entry'!$´$776)</f>
      </c>
      <c r="DM776">
        <f>IF(ISBLANK('Data Entry'!$µ$776), "", 'Data Entry'!$µ$776)</f>
      </c>
      <c r="DN776">
        <f>IF(ISBLANK('Data Entry'!$¶$776), "", 'Data Entry'!$¶$776)</f>
      </c>
      <c r="DO776">
        <f>IF(ISBLANK('Data Entry'!$·$776), "", 'Data Entry'!$·$776)</f>
      </c>
      <c r="DP776">
        <f>IF(ISBLANK('Data Entry'!$¸$776), "", 'Data Entry'!$¸$776)</f>
      </c>
      <c r="DQ776">
        <f>IF(ISBLANK('Data Entry'!$¹$776), "", 'Data Entry'!$¹$776)</f>
      </c>
      <c r="DR776">
        <f>IF(ISBLANK('Data Entry'!$º$776), "", 'Data Entry'!$º$776)</f>
      </c>
      <c r="DS776">
        <f>IF(ISBLANK('Data Entry'!$»$776), "", 'Data Entry'!$»$776)</f>
      </c>
      <c r="DT776">
        <f>IF(ISBLANK('Data Entry'!$¼$776), "", 'Data Entry'!$¼$776)</f>
      </c>
      <c r="DU776">
        <f>IF(ISBLANK('Data Entry'!$½$776), "", 'Data Entry'!$½$776)</f>
      </c>
      <c r="DV776">
        <f>IF(ISBLANK('Data Entry'!$¾$776), "", 'Data Entry'!$¾$776)</f>
      </c>
      <c r="DW776">
        <f>IF(ISBLANK('Data Entry'!$¿$776), "", 'Data Entry'!$¿$776)</f>
      </c>
      <c r="DX776">
        <f>IF(ISBLANK('Data Entry'!$À$776), "", 'Data Entry'!$À$776)</f>
      </c>
      <c r="DY776">
        <f>IF(ISBLANK('Data Entry'!$Á$776), "", 'Data Entry'!$Á$776)</f>
      </c>
      <c r="DZ776">
        <f>IF(ISBLANK('Data Entry'!$Â$776), "", 'Data Entry'!$Â$776)</f>
      </c>
      <c r="EA776">
        <f>IF(ISBLANK('Data Entry'!$Ã$776), "", 'Data Entry'!$Ã$776)</f>
      </c>
      <c r="EB776">
        <f>IF(ISBLANK('Data Entry'!$Ä$776), "", 'Data Entry'!$Ä$776)</f>
      </c>
      <c r="EC776">
        <f>IF(ISBLANK('Data Entry'!$Å$776), "", 'Data Entry'!$Å$776)</f>
      </c>
      <c r="ED776">
        <f>IF(ISBLANK('Data Entry'!$Æ$776), "", 'Data Entry'!$Æ$776)</f>
      </c>
      <c r="EE776">
        <f>IF(ISBLANK('Data Entry'!$Ç$776), "", 'Data Entry'!$Ç$776)</f>
      </c>
      <c r="EF776">
        <f>IF(ISBLANK('Data Entry'!$È$776), "", 'Data Entry'!$È$776)</f>
      </c>
      <c r="EG776">
        <f>IF(ISBLANK('Data Entry'!$É$776), "", 'Data Entry'!$É$776)</f>
      </c>
      <c r="EH776">
        <f>IF(ISBLANK('Data Entry'!$Ê$776), "", 'Data Entry'!$Ê$776)</f>
      </c>
      <c r="EI776">
        <f>IF(ISBLANK('Data Entry'!$Ë$776), "", 'Data Entry'!$Ë$776)</f>
      </c>
      <c r="EJ776">
        <f>IF(ISBLANK('Data Entry'!$Ì$776), "", 'Data Entry'!$Ì$776)</f>
      </c>
      <c r="EK776">
        <f>IF(ISBLANK('Data Entry'!$Í$776), "", 'Data Entry'!$Í$776)</f>
      </c>
      <c r="EL776">
        <f>IF(ISBLANK('Data Entry'!$Î$776), "", 'Data Entry'!$Î$776)</f>
      </c>
      <c r="EM776">
        <f>IF(ISBLANK('Data Entry'!$Ï$776), "", 'Data Entry'!$Ï$776)</f>
      </c>
      <c r="EN776">
        <f>IF(ISBLANK('Data Entry'!$Ð$776), "", 'Data Entry'!$Ð$776)</f>
      </c>
      <c r="EO776">
        <f>IF(ISBLANK('Data Entry'!$Ñ$776), "", 'Data Entry'!$Ñ$776)</f>
      </c>
      <c r="EP776">
        <f>IF(ISBLANK('Data Entry'!$Ò$776), "", 'Data Entry'!$Ò$776)</f>
      </c>
      <c r="EQ776">
        <f>IF(ISBLANK('Data Entry'!$Ó$776), "", 'Data Entry'!$Ó$776)</f>
      </c>
      <c r="ER776">
        <f>IF(ISBLANK('Data Entry'!$Ô$776), "", 'Data Entry'!$Ô$776)</f>
      </c>
      <c r="ES776">
        <f>IF(ISBLANK('Data Entry'!$Õ$776), "", 'Data Entry'!$Õ$776)</f>
      </c>
      <c r="ET776">
        <f>IF(ISBLANK('Data Entry'!$Ö$776), "", 'Data Entry'!$Ö$776)</f>
      </c>
      <c r="EU776">
        <f>IF(ISBLANK('Data Entry'!$×$776), "", 'Data Entry'!$×$776)</f>
      </c>
      <c r="EV776">
        <f>IF(ISBLANK('Data Entry'!$Ø$776), "", 'Data Entry'!$Ø$776)</f>
      </c>
      <c r="EW776">
        <f>IF(ISBLANK('Data Entry'!$Ù$776), "", 'Data Entry'!$Ù$776)</f>
      </c>
      <c r="EX776">
        <f>IF(ISBLANK('Data Entry'!$Ú$776), "", 'Data Entry'!$Ú$776)</f>
      </c>
      <c r="EY776">
        <f>IF(ISBLANK('Data Entry'!$Û$776), "", 'Data Entry'!$Û$776)</f>
      </c>
      <c r="EZ776">
        <f>IF(ISBLANK('Data Entry'!$Ü$776), "", 'Data Entry'!$Ü$776)</f>
      </c>
      <c r="FA776">
        <f>IF(ISBLANK('Data Entry'!$Ý$776), "", 'Data Entry'!$Ý$776)</f>
      </c>
      <c r="FB776">
        <f>IF(ISBLANK('Data Entry'!$Þ$776), "", 'Data Entry'!$Þ$776)</f>
      </c>
      <c r="FC776">
        <f>IF(ISBLANK('Data Entry'!$ß$776), "", 'Data Entry'!$ß$776)</f>
      </c>
      <c r="FD776">
        <f>IF(ISBLANK('Data Entry'!$à$776), "", 'Data Entry'!$à$776)</f>
      </c>
      <c r="FE776">
        <f>IF(ISBLANK('Data Entry'!$á$776), "", 'Data Entry'!$á$776)</f>
      </c>
      <c r="FF776">
        <f>IF(ISBLANK('Data Entry'!$â$776), "", 'Data Entry'!$â$776)</f>
      </c>
      <c r="FG776">
        <f>IF(ISBLANK('Data Entry'!$ã$776), "", 'Data Entry'!$ã$776)</f>
      </c>
      <c r="FH776">
        <f>IF(ISBLANK('Data Entry'!$ä$776), "", 'Data Entry'!$ä$776)</f>
      </c>
      <c r="FI776">
        <f>IF(ISBLANK('Data Entry'!$å$776), "", 'Data Entry'!$å$776)</f>
      </c>
      <c r="FJ776">
        <f>IF(ISBLANK('Data Entry'!$æ$776), "", 'Data Entry'!$æ$776)</f>
      </c>
      <c r="FK776">
        <f>IF(ISBLANK('Data Entry'!$ç$776), "", 'Data Entry'!$ç$776)</f>
      </c>
      <c r="FL776">
        <f>IF(ISBLANK('Data Entry'!$è$776), "", 'Data Entry'!$è$776)</f>
      </c>
      <c r="FM776">
        <f>IF(ISBLANK('Data Entry'!$é$776), "", 'Data Entry'!$é$776)</f>
      </c>
      <c r="FN776">
        <f>IF(ISBLANK('Data Entry'!$ê$776), "", 'Data Entry'!$ê$776)</f>
      </c>
      <c r="FO776">
        <f>IF(ISBLANK('Data Entry'!$ë$776), "", 'Data Entry'!$ë$776)</f>
      </c>
      <c r="FP776">
        <f>IF(ISBLANK('Data Entry'!$ì$776), "", 'Data Entry'!$ì$776)</f>
      </c>
      <c r="FQ776">
        <f>IF(ISBLANK('Data Entry'!$í$776), "", 'Data Entry'!$í$776)</f>
      </c>
      <c r="FR776">
        <f>IF(ISBLANK('Data Entry'!$î$776), "", 'Data Entry'!$î$776)</f>
      </c>
      <c r="FS776">
        <f>IF(ISBLANK('Data Entry'!$ï$776), "", 'Data Entry'!$ï$776)</f>
      </c>
      <c r="FT776">
        <f>IF(ISBLANK('Data Entry'!$ð$776), "", 'Data Entry'!$ð$776)</f>
      </c>
      <c r="FU776">
        <f>IF(ISBLANK('Data Entry'!$ñ$776), "", 'Data Entry'!$ñ$776)</f>
      </c>
      <c r="FV776">
        <f>IF(ISBLANK('Data Entry'!$ò$776), "", 'Data Entry'!$ò$776)</f>
      </c>
      <c r="FW776">
        <f>IF(ISBLANK('Data Entry'!$ó$776), "", 'Data Entry'!$ó$776)</f>
      </c>
      <c r="FX776">
        <f>IF(ISBLANK('Data Entry'!$ô$776), "", 'Data Entry'!$ô$776)</f>
      </c>
      <c r="FY776">
        <f>IF(ISBLANK('Data Entry'!$õ$776), "", 'Data Entry'!$õ$776)</f>
      </c>
      <c r="FZ776">
        <f>IF(ISBLANK('Data Entry'!$ö$776), "", 'Data Entry'!$ö$776)</f>
      </c>
      <c r="GA776">
        <f>IF(ISBLANK('Data Entry'!$÷$776), "", 'Data Entry'!$÷$776)</f>
      </c>
      <c r="GB776">
        <f>IF(ISBLANK('Data Entry'!$ø$776), "", 'Data Entry'!$ø$776)</f>
      </c>
      <c r="GC776">
        <f>IF(ISBLANK('Data Entry'!$ù$776), "", 'Data Entry'!$ù$776)</f>
      </c>
      <c r="GD776">
        <f>IF(ISBLANK('Data Entry'!$ú$776), "", 'Data Entry'!$ú$776)</f>
      </c>
      <c r="GE776">
        <f>IF(ISBLANK('Data Entry'!$û$776), "", 'Data Entry'!$û$776)</f>
      </c>
      <c r="GF776">
        <f>IF(ISBLANK('Data Entry'!$ü$776), "", 'Data Entry'!$ü$776)</f>
      </c>
      <c r="GG776">
        <f>IF(ISBLANK('Data Entry'!$ý$776), "", 'Data Entry'!$ý$776)</f>
      </c>
      <c r="GH776">
        <f>IF(ISBLANK('Data Entry'!$þ$776), "", 'Data Entry'!$þ$776)</f>
      </c>
      <c r="GI776">
        <f>IF(ISBLANK('Data Entry'!$ÿ$776), "", 'Data Entry'!$ÿ$776)</f>
      </c>
      <c r="GJ776">
        <f>IF(ISBLANK('Data Entry'!$Ā$776), "", 'Data Entry'!$Ā$776)</f>
      </c>
      <c r="GK776">
        <f>IF(ISBLANK('Data Entry'!$ā$776), "", 'Data Entry'!$ā$776)</f>
      </c>
      <c r="GL776">
        <f>IF(ISBLANK('Data Entry'!$Ă$776), "", 'Data Entry'!$Ă$776)</f>
      </c>
      <c r="GM776">
        <f>IF(ISBLANK('Data Entry'!$ă$776), "", 'Data Entry'!$ă$776)</f>
      </c>
      <c r="GN776">
        <f>IF(ISBLANK('Data Entry'!$Ą$776), "", 'Data Entry'!$Ą$776)</f>
      </c>
      <c r="GO776">
        <f>IF(ISBLANK('Data Entry'!$ą$776), "", 'Data Entry'!$ą$776)</f>
      </c>
      <c r="GP776">
        <f>IF(ISBLANK('Data Entry'!$Ć$776), "", 'Data Entry'!$Ć$776)</f>
      </c>
      <c r="GQ776">
        <f>IF(ISBLANK('Data Entry'!$ć$776), "", 'Data Entry'!$ć$776)</f>
      </c>
      <c r="GR776">
        <f>IF(ISBLANK('Data Entry'!$Ĉ$776), "", 'Data Entry'!$Ĉ$776)</f>
      </c>
      <c r="GS776">
        <f>IF(ISBLANK('Data Entry'!$ĉ$776), "", 'Data Entry'!$ĉ$776)</f>
      </c>
      <c r="GT776">
        <f>IF(ISBLANK('Data Entry'!$Ċ$776), "", 'Data Entry'!$Ċ$776)</f>
      </c>
      <c r="GU776">
        <f>IF(ISBLANK('Data Entry'!$ċ$776), "", 'Data Entry'!$ċ$776)</f>
      </c>
      <c r="GV776">
        <f>IF(ISBLANK('Data Entry'!$Č$776), "", 'Data Entry'!$Č$776)</f>
      </c>
      <c r="GW776">
        <f>IF(ISBLANK('Data Entry'!$č$776), "", 'Data Entry'!$č$776)</f>
      </c>
      <c r="GX776">
        <f>IF(ISBLANK('Data Entry'!$Ď$776), "", 'Data Entry'!$Ď$776)</f>
      </c>
      <c r="GY776">
        <f>IF(ISBLANK('Data Entry'!$ď$776), "", 'Data Entry'!$ď$776)</f>
      </c>
      <c r="GZ776">
        <f>IF(ISBLANK('Data Entry'!$Đ$776), "", 'Data Entry'!$Đ$776)</f>
      </c>
      <c r="HA776">
        <f>IF(ISBLANK('Data Entry'!$đ$776), "", 'Data Entry'!$đ$776)</f>
      </c>
      <c r="HB776">
        <f>IF(ISBLANK('Data Entry'!$Ē$776), "", 'Data Entry'!$Ē$776)</f>
      </c>
      <c r="HC776">
        <f>IF(ISBLANK('Data Entry'!$ē$776), "", 'Data Entry'!$ē$776)</f>
      </c>
      <c r="HD776">
        <f>IF(ISBLANK('Data Entry'!$Ĕ$776), "", 'Data Entry'!$Ĕ$776)</f>
      </c>
      <c r="HE776">
        <f>IF(ISBLANK('Data Entry'!$ĕ$776), "", 'Data Entry'!$ĕ$776)</f>
      </c>
      <c r="HF776">
        <f>IF(ISBLANK('Data Entry'!$Ė$776), "", 'Data Entry'!$Ė$776)</f>
      </c>
      <c r="HG776">
        <f>IF(ISBLANK('Data Entry'!$ė$776), "", 'Data Entry'!$ė$776)</f>
      </c>
      <c r="HH776">
        <f>IF(ISBLANK('Data Entry'!$Ę$776), "", 'Data Entry'!$Ę$776)</f>
      </c>
      <c r="HI776">
        <f>IF(ISBLANK('Data Entry'!$ę$776), "", 'Data Entry'!$ę$776)</f>
      </c>
      <c r="HJ776">
        <f>IF(ISBLANK('Data Entry'!$Ě$776), "", 'Data Entry'!$Ě$776)</f>
      </c>
      <c r="HK776">
        <f>IF(ISBLANK('Data Entry'!$ě$776), "", 'Data Entry'!$ě$776)</f>
      </c>
      <c r="HL776">
        <f>IF(ISBLANK('Data Entry'!$Ĝ$776), "", 'Data Entry'!$Ĝ$776)</f>
      </c>
      <c r="HM776">
        <f>IF(ISBLANK('Data Entry'!$ĝ$776), "", 'Data Entry'!$ĝ$776)</f>
      </c>
      <c r="HN776">
        <f>IF(ISBLANK('Data Entry'!$Ğ$776), "", 'Data Entry'!$Ğ$776)</f>
      </c>
      <c r="HO776">
        <f>IF(ISBLANK('Data Entry'!$ğ$776), "", 'Data Entry'!$ğ$776)</f>
      </c>
      <c r="HP776">
        <f>IF(ISBLANK('Data Entry'!$Ġ$776), "", 'Data Entry'!$Ġ$776)</f>
      </c>
      <c r="HQ776">
        <f>IF(ISBLANK('Data Entry'!$ġ$776), "", 'Data Entry'!$ġ$776)</f>
      </c>
      <c r="HR776">
        <f>IF(ISBLANK('Data Entry'!$Ģ$776), "", 'Data Entry'!$Ģ$776)</f>
      </c>
      <c r="HS776">
        <f>IF(ISBLANK('Data Entry'!$ģ$776), "", 'Data Entry'!$ģ$776)</f>
      </c>
      <c r="HT776">
        <f>IF(ISBLANK('Data Entry'!$Ĥ$776), "", 'Data Entry'!$Ĥ$776)</f>
      </c>
      <c r="HU776">
        <f>IF(ISBLANK('Data Entry'!$ĥ$776), "", 'Data Entry'!$ĥ$776)</f>
      </c>
      <c r="HV776">
        <f>IF(ISBLANK('Data Entry'!$Ħ$776), "", 'Data Entry'!$Ħ$776)</f>
      </c>
      <c r="HW776">
        <f>IF(ISBLANK('Data Entry'!$ħ$776), "", 'Data Entry'!$ħ$776)</f>
      </c>
      <c r="HX776">
        <f>IF(ISBLANK('Data Entry'!$Ĩ$776), "", 'Data Entry'!$Ĩ$776)</f>
      </c>
      <c r="HY776">
        <f>IF(ISBLANK('Data Entry'!$ĩ$776), "", 'Data Entry'!$ĩ$776)</f>
      </c>
      <c r="HZ776">
        <f>IF(ISBLANK('Data Entry'!$Ī$776), "", 'Data Entry'!$Ī$776)</f>
      </c>
      <c r="IA776">
        <f>IF(ISBLANK('Data Entry'!$ī$776), "", 'Data Entry'!$ī$776)</f>
      </c>
      <c r="IB776">
        <f>IF(ISBLANK('Data Entry'!$Ĭ$776), "", 'Data Entry'!$Ĭ$776)</f>
      </c>
      <c r="IC776">
        <f>IF(ISBLANK('Data Entry'!$ĭ$776), "", 'Data Entry'!$ĭ$776)</f>
      </c>
      <c r="ID776">
        <f>IF(ISBLANK('Data Entry'!$Į$776), "", 'Data Entry'!$Į$776)</f>
      </c>
      <c r="IE776">
        <f>IF(ISBLANK('Data Entry'!$į$776), "", 'Data Entry'!$į$776)</f>
      </c>
      <c r="IF776">
        <f>IF(ISBLANK('Data Entry'!$İ$776), "", 'Data Entry'!$İ$776)</f>
      </c>
      <c r="IG776">
        <f>IF(ISBLANK('Data Entry'!$ı$776), "", 'Data Entry'!$ı$776)</f>
      </c>
      <c r="IH776">
        <f>IF(ISBLANK('Data Entry'!$Ĳ$776), "", 'Data Entry'!$Ĳ$776)</f>
      </c>
      <c r="II776">
        <f>IF(ISBLANK('Data Entry'!$ĳ$776), "", 'Data Entry'!$ĳ$776)</f>
      </c>
      <c r="IJ776">
        <f>IF(ISBLANK('Data Entry'!$Ĵ$776), "", 'Data Entry'!$Ĵ$776)</f>
      </c>
      <c r="IK776">
        <f>IF(ISBLANK('Data Entry'!$ĵ$776), "", 'Data Entry'!$ĵ$776)</f>
      </c>
      <c r="IL776">
        <f>IF(ISBLANK('Data Entry'!$Ķ$776), "", 'Data Entry'!$Ķ$776)</f>
      </c>
      <c r="IM776">
        <f>IF(ISBLANK('Data Entry'!$ķ$776), "", 'Data Entry'!$ķ$776)</f>
      </c>
      <c r="IN776">
        <f>IF(ISBLANK('Data Entry'!$ĸ$776), "", 'Data Entry'!$ĸ$776)</f>
      </c>
      <c r="IO776">
        <f>IF(ISBLANK('Data Entry'!$Ĺ$776), "", 'Data Entry'!$Ĺ$776)</f>
      </c>
      <c r="IP776">
        <f>IF(ISBLANK('Data Entry'!$ĺ$776), "", 'Data Entry'!$ĺ$776)</f>
      </c>
      <c r="IQ776">
        <f>IF(ISBLANK('Data Entry'!$Ļ$776), "", 'Data Entry'!$Ļ$776)</f>
      </c>
      <c r="IR776">
        <f>IF(ISBLANK('Data Entry'!$ļ$776), "", 'Data Entry'!$ļ$776)</f>
      </c>
      <c r="IS776">
        <f>IF(ISBLANK('Data Entry'!$Ľ$776), "", 'Data Entry'!$Ľ$776)</f>
      </c>
      <c r="IT776">
        <f>IF(ISBLANK('Data Entry'!$ľ$776), "", 'Data Entry'!$ľ$776)</f>
      </c>
    </row>
    <row r="777" spans="1:254" x14ac:dyDescent="0.25">
      <c r="A777">
        <f>IF(ISBLANK('Data Entry'!$A$777), "", 'Data Entry'!$A$777)</f>
      </c>
      <c r="B777">
        <f>IF(ISBLANK('Data Entry'!$B$777), "", 'Data Entry'!$B$777)</f>
      </c>
      <c r="C777">
        <f>IF(ISBLANK('Data Entry'!$C$777), "", 'Data Entry'!$C$777)</f>
      </c>
      <c r="D777">
        <f>IF(ISBLANK('Data Entry'!$D$777), "", 'Data Entry'!$D$777)</f>
      </c>
      <c r="E777">
        <f>IF(ISBLANK('Data Entry'!$E$777), "", 'Data Entry'!$E$777)</f>
      </c>
      <c r="F777">
        <f>IF(ISBLANK('Data Entry'!$F$777), "", 'Data Entry'!$F$777)</f>
      </c>
      <c r="G777">
        <f>IF(ISBLANK('Data Entry'!$G$777), "", 'Data Entry'!$G$777)</f>
      </c>
      <c r="H777">
        <f>IF(ISBLANK('Data Entry'!$H$777), "", 'Data Entry'!$H$777)</f>
      </c>
      <c r="I777">
        <f>IF(ISBLANK('Data Entry'!$I$777), "", 'Data Entry'!$I$777)</f>
      </c>
      <c r="J777">
        <f>IF(ISBLANK('Data Entry'!$J$777), "", 'Data Entry'!$J$777)</f>
      </c>
      <c r="K777">
        <f>IF(ISBLANK('Data Entry'!$K$777), "", 'Data Entry'!$K$777)</f>
      </c>
      <c r="L777">
        <f>IF(ISBLANK('Data Entry'!$L$777), "", 'Data Entry'!$L$777)</f>
      </c>
      <c r="M777">
        <f>IF(ISBLANK('Data Entry'!$M$777), "", 'Data Entry'!$M$777)</f>
      </c>
      <c r="N777">
        <f>IF(ISBLANK('Data Entry'!$N$777), "", 'Data Entry'!$N$777)</f>
      </c>
      <c r="O777">
        <f>IF(ISBLANK('Data Entry'!$O$777), "", 'Data Entry'!$O$777)</f>
      </c>
      <c r="P777">
        <f>IF(ISBLANK('Data Entry'!$P$777), "", 'Data Entry'!$P$777)</f>
      </c>
      <c r="Q777">
        <f>IF(ISBLANK('Data Entry'!$Q$777), "", 'Data Entry'!$Q$777)</f>
      </c>
      <c r="R777">
        <f>IF(ISBLANK('Data Entry'!$R$777), "", 'Data Entry'!$R$777)</f>
      </c>
      <c r="S777">
        <f>IF(ISBLANK('Data Entry'!$S$777), "", 'Data Entry'!$S$777)</f>
      </c>
      <c r="T777">
        <f>IF(ISBLANK('Data Entry'!$T$777), "", 'Data Entry'!$T$777)</f>
      </c>
      <c r="U777">
        <f>IF(ISBLANK('Data Entry'!$U$777), "", 'Data Entry'!$U$777)</f>
      </c>
      <c r="V777">
        <f>IF(ISBLANK('Data Entry'!$V$777), "", 'Data Entry'!$V$777)</f>
      </c>
      <c r="W777">
        <f>IF(ISBLANK('Data Entry'!$W$777), "", 'Data Entry'!$W$777)</f>
      </c>
      <c r="X777">
        <f>IF(ISBLANK('Data Entry'!$X$777), "", 'Data Entry'!$X$777)</f>
      </c>
      <c r="Y777">
        <f>IF(ISBLANK('Data Entry'!$Y$777), "", 'Data Entry'!$Y$777)</f>
      </c>
      <c r="Z777">
        <f>IF(ISBLANK('Data Entry'!$Z$777), "", 'Data Entry'!$Z$777)</f>
      </c>
      <c r="AA777">
        <f>IF(ISBLANK('Data Entry'!$[$777), "", 'Data Entry'!$[$777)</f>
      </c>
      <c r="AB777">
        <f>IF(ISBLANK('Data Entry'!$\$777), "", 'Data Entry'!$\$777)</f>
      </c>
      <c r="AC777">
        <f>IF(ISBLANK('Data Entry'!$]$777), "", 'Data Entry'!$]$777)</f>
      </c>
      <c r="AD777">
        <f>IF(ISBLANK('Data Entry'!$^$777), "", 'Data Entry'!$^$777)</f>
      </c>
      <c r="AE777">
        <f>IF(ISBLANK('Data Entry'!$_$777), "", 'Data Entry'!$_$777)</f>
      </c>
      <c r="AF777">
        <f>IF(ISBLANK('Data Entry'!$`$777), "", 'Data Entry'!$`$777)</f>
      </c>
      <c r="AG777">
        <f>IF(ISBLANK('Data Entry'!$a$777), "", 'Data Entry'!$a$777)</f>
      </c>
      <c r="AH777">
        <f>IF(ISBLANK('Data Entry'!$b$777), "", 'Data Entry'!$b$777)</f>
      </c>
      <c r="AI777">
        <f>IF(ISBLANK('Data Entry'!$c$777), "", 'Data Entry'!$c$777)</f>
      </c>
      <c r="AJ777">
        <f>IF(ISBLANK('Data Entry'!$d$777), "", 'Data Entry'!$d$777)</f>
      </c>
      <c r="AK777">
        <f>IF(ISBLANK('Data Entry'!$e$777), "", 'Data Entry'!$e$777)</f>
      </c>
      <c r="AL777">
        <f>IF(ISBLANK('Data Entry'!$f$777), "", 'Data Entry'!$f$777)</f>
      </c>
      <c r="AM777">
        <f>IF(ISBLANK('Data Entry'!$g$777), "", 'Data Entry'!$g$777)</f>
      </c>
      <c r="AN777">
        <f>IF(ISBLANK('Data Entry'!$h$777), "", 'Data Entry'!$h$777)</f>
      </c>
      <c r="AO777">
        <f>IF(ISBLANK('Data Entry'!$i$777), "", 'Data Entry'!$i$777)</f>
      </c>
      <c r="AP777">
        <f>IF(ISBLANK('Data Entry'!$j$777), "", 'Data Entry'!$j$777)</f>
      </c>
      <c r="AQ777">
        <f>IF(ISBLANK('Data Entry'!$k$777), "", 'Data Entry'!$k$777)</f>
      </c>
      <c r="AR777">
        <f>IF(ISBLANK('Data Entry'!$l$777), "", 'Data Entry'!$l$777)</f>
      </c>
      <c r="AS777">
        <f>IF(ISBLANK('Data Entry'!$m$777), "", 'Data Entry'!$m$777)</f>
      </c>
      <c r="AT777">
        <f>IF(ISBLANK('Data Entry'!$n$777), "", 'Data Entry'!$n$777)</f>
      </c>
      <c r="AU777">
        <f>IF(ISBLANK('Data Entry'!$o$777), "", 'Data Entry'!$o$777)</f>
      </c>
      <c r="AV777">
        <f>IF(ISBLANK('Data Entry'!$p$777), "", 'Data Entry'!$p$777)</f>
      </c>
      <c r="AW777">
        <f>IF(ISBLANK('Data Entry'!$q$777), "", 'Data Entry'!$q$777)</f>
      </c>
      <c r="AX777">
        <f>IF(ISBLANK('Data Entry'!$r$777), "", 'Data Entry'!$r$777)</f>
      </c>
      <c r="AY777">
        <f>IF(ISBLANK('Data Entry'!$s$777), "", 'Data Entry'!$s$777)</f>
      </c>
      <c r="AZ777">
        <f>IF(ISBLANK('Data Entry'!$t$777), "", 'Data Entry'!$t$777)</f>
      </c>
      <c r="BA777">
        <f>IF(ISBLANK('Data Entry'!$u$777), "", 'Data Entry'!$u$777)</f>
      </c>
      <c r="BB777">
        <f>IF(ISBLANK('Data Entry'!$v$777), "", 'Data Entry'!$v$777)</f>
      </c>
      <c r="BC777">
        <f>IF(ISBLANK('Data Entry'!$w$777), "", 'Data Entry'!$w$777)</f>
      </c>
      <c r="BD777">
        <f>IF(ISBLANK('Data Entry'!$x$777), "", 'Data Entry'!$x$777)</f>
      </c>
      <c r="BE777">
        <f>IF(ISBLANK('Data Entry'!$y$777), "", 'Data Entry'!$y$777)</f>
      </c>
      <c r="BF777">
        <f>IF(ISBLANK('Data Entry'!$z$777), "", 'Data Entry'!$z$777)</f>
      </c>
      <c r="BG777">
        <f>IF(ISBLANK('Data Entry'!${$777), "", 'Data Entry'!${$777)</f>
      </c>
      <c r="BH777">
        <f>IF(ISBLANK('Data Entry'!$|$777), "", 'Data Entry'!$|$777)</f>
      </c>
      <c r="BI777">
        <f>IF(ISBLANK('Data Entry'!$}$777), "", 'Data Entry'!$}$777)</f>
      </c>
      <c r="BJ777">
        <f>IF(ISBLANK('Data Entry'!$~$777), "", 'Data Entry'!$~$777)</f>
      </c>
      <c r="BK777">
        <f>IF(ISBLANK('Data Entry'!$$777), "", 'Data Entry'!$$777)</f>
      </c>
      <c r="BL777">
        <f>IF(ISBLANK('Data Entry'!$$777), "", 'Data Entry'!$$777)</f>
      </c>
      <c r="BM777">
        <f>IF(ISBLANK('Data Entry'!$$777), "", 'Data Entry'!$$777)</f>
      </c>
      <c r="BN777">
        <f>IF(ISBLANK('Data Entry'!$$777), "", 'Data Entry'!$$777)</f>
      </c>
      <c r="BO777">
        <f>IF(ISBLANK('Data Entry'!$$777), "", 'Data Entry'!$$777)</f>
      </c>
      <c r="BP777">
        <f>IF(ISBLANK('Data Entry'!$$777), "", 'Data Entry'!$$777)</f>
      </c>
      <c r="BQ777">
        <f>IF(ISBLANK('Data Entry'!$$777), "", 'Data Entry'!$$777)</f>
      </c>
      <c r="BR777">
        <f>IF(ISBLANK('Data Entry'!$$777), "", 'Data Entry'!$$777)</f>
      </c>
      <c r="BS777">
        <f>IF(ISBLANK('Data Entry'!$$777), "", 'Data Entry'!$$777)</f>
      </c>
      <c r="BT777">
        <f>IF(ISBLANK('Data Entry'!$$777), "", 'Data Entry'!$$777)</f>
      </c>
      <c r="BU777">
        <f>IF(ISBLANK('Data Entry'!$$777), "", 'Data Entry'!$$777)</f>
      </c>
      <c r="BV777">
        <f>IF(ISBLANK('Data Entry'!$$777), "", 'Data Entry'!$$777)</f>
      </c>
      <c r="BW777">
        <f>IF(ISBLANK('Data Entry'!$$777), "", 'Data Entry'!$$777)</f>
      </c>
      <c r="BX777">
        <f>IF(ISBLANK('Data Entry'!$$777), "", 'Data Entry'!$$777)</f>
      </c>
      <c r="BY777">
        <f>IF(ISBLANK('Data Entry'!$$777), "", 'Data Entry'!$$777)</f>
      </c>
      <c r="BZ777">
        <f>IF(ISBLANK('Data Entry'!$$777), "", 'Data Entry'!$$777)</f>
      </c>
      <c r="CA777">
        <f>IF(ISBLANK('Data Entry'!$$777), "", 'Data Entry'!$$777)</f>
      </c>
      <c r="CB777">
        <f>IF(ISBLANK('Data Entry'!$$777), "", 'Data Entry'!$$777)</f>
      </c>
      <c r="CC777">
        <f>IF(ISBLANK('Data Entry'!$$777), "", 'Data Entry'!$$777)</f>
      </c>
      <c r="CD777">
        <f>IF(ISBLANK('Data Entry'!$$777), "", 'Data Entry'!$$777)</f>
      </c>
      <c r="CE777">
        <f>IF(ISBLANK('Data Entry'!$$777), "", 'Data Entry'!$$777)</f>
      </c>
      <c r="CF777">
        <f>IF(ISBLANK('Data Entry'!$$777), "", 'Data Entry'!$$777)</f>
      </c>
      <c r="CG777">
        <f>IF(ISBLANK('Data Entry'!$$777), "", 'Data Entry'!$$777)</f>
      </c>
      <c r="CH777">
        <f>IF(ISBLANK('Data Entry'!$$777), "", 'Data Entry'!$$777)</f>
      </c>
      <c r="CI777">
        <f>IF(ISBLANK('Data Entry'!$$777), "", 'Data Entry'!$$777)</f>
      </c>
      <c r="CJ777">
        <f>IF(ISBLANK('Data Entry'!$$777), "", 'Data Entry'!$$777)</f>
      </c>
      <c r="CK777">
        <f>IF(ISBLANK('Data Entry'!$$777), "", 'Data Entry'!$$777)</f>
      </c>
      <c r="CL777">
        <f>IF(ISBLANK('Data Entry'!$$777), "", 'Data Entry'!$$777)</f>
      </c>
      <c r="CM777">
        <f>IF(ISBLANK('Data Entry'!$$777), "", 'Data Entry'!$$777)</f>
      </c>
      <c r="CN777">
        <f>IF(ISBLANK('Data Entry'!$$777), "", 'Data Entry'!$$777)</f>
      </c>
      <c r="CO777">
        <f>IF(ISBLANK('Data Entry'!$$777), "", 'Data Entry'!$$777)</f>
      </c>
      <c r="CP777">
        <f>IF(ISBLANK('Data Entry'!$$777), "", 'Data Entry'!$$777)</f>
      </c>
      <c r="CQ777">
        <f>IF(ISBLANK('Data Entry'!$$777), "", 'Data Entry'!$$777)</f>
      </c>
      <c r="CR777">
        <f>IF(ISBLANK('Data Entry'!$ $777), "", 'Data Entry'!$ $777)</f>
      </c>
      <c r="CS777">
        <f>IF(ISBLANK('Data Entry'!$¡$777), "", 'Data Entry'!$¡$777)</f>
      </c>
      <c r="CT777">
        <f>IF(ISBLANK('Data Entry'!$¢$777), "", 'Data Entry'!$¢$777)</f>
      </c>
      <c r="CU777">
        <f>IF(ISBLANK('Data Entry'!$£$777), "", 'Data Entry'!$£$777)</f>
      </c>
      <c r="CV777">
        <f>IF(ISBLANK('Data Entry'!$¤$777), "", 'Data Entry'!$¤$777)</f>
      </c>
      <c r="CW777">
        <f>IF(ISBLANK('Data Entry'!$¥$777), "", 'Data Entry'!$¥$777)</f>
      </c>
      <c r="CX777">
        <f>IF(ISBLANK('Data Entry'!$¦$777), "", 'Data Entry'!$¦$777)</f>
      </c>
      <c r="CY777">
        <f>IF(ISBLANK('Data Entry'!$§$777), "", 'Data Entry'!$§$777)</f>
      </c>
      <c r="CZ777">
        <f>IF(ISBLANK('Data Entry'!$¨$777), "", 'Data Entry'!$¨$777)</f>
      </c>
      <c r="DA777">
        <f>IF(ISBLANK('Data Entry'!$©$777), "", 'Data Entry'!$©$777)</f>
      </c>
      <c r="DB777">
        <f>IF(ISBLANK('Data Entry'!$ª$777), "", 'Data Entry'!$ª$777)</f>
      </c>
      <c r="DC777">
        <f>IF(ISBLANK('Data Entry'!$«$777), "", 'Data Entry'!$«$777)</f>
      </c>
      <c r="DD777">
        <f>IF(ISBLANK('Data Entry'!$¬$777), "", 'Data Entry'!$¬$777)</f>
      </c>
      <c r="DE777">
        <f>IF(ISBLANK('Data Entry'!$­$777), "", 'Data Entry'!$­$777)</f>
      </c>
      <c r="DF777">
        <f>IF(ISBLANK('Data Entry'!$®$777), "", 'Data Entry'!$®$777)</f>
      </c>
      <c r="DG777">
        <f>IF(ISBLANK('Data Entry'!$¯$777), "", 'Data Entry'!$¯$777)</f>
      </c>
      <c r="DH777">
        <f>IF(ISBLANK('Data Entry'!$°$777), "", 'Data Entry'!$°$777)</f>
      </c>
      <c r="DI777">
        <f>IF(ISBLANK('Data Entry'!$±$777), "", 'Data Entry'!$±$777)</f>
      </c>
      <c r="DJ777">
        <f>IF(ISBLANK('Data Entry'!$²$777), "", 'Data Entry'!$²$777)</f>
      </c>
      <c r="DK777">
        <f>IF(ISBLANK('Data Entry'!$³$777), "", 'Data Entry'!$³$777)</f>
      </c>
      <c r="DL777">
        <f>IF(ISBLANK('Data Entry'!$´$777), "", 'Data Entry'!$´$777)</f>
      </c>
      <c r="DM777">
        <f>IF(ISBLANK('Data Entry'!$µ$777), "", 'Data Entry'!$µ$777)</f>
      </c>
      <c r="DN777">
        <f>IF(ISBLANK('Data Entry'!$¶$777), "", 'Data Entry'!$¶$777)</f>
      </c>
      <c r="DO777">
        <f>IF(ISBLANK('Data Entry'!$·$777), "", 'Data Entry'!$·$777)</f>
      </c>
      <c r="DP777">
        <f>IF(ISBLANK('Data Entry'!$¸$777), "", 'Data Entry'!$¸$777)</f>
      </c>
      <c r="DQ777">
        <f>IF(ISBLANK('Data Entry'!$¹$777), "", 'Data Entry'!$¹$777)</f>
      </c>
      <c r="DR777">
        <f>IF(ISBLANK('Data Entry'!$º$777), "", 'Data Entry'!$º$777)</f>
      </c>
      <c r="DS777">
        <f>IF(ISBLANK('Data Entry'!$»$777), "", 'Data Entry'!$»$777)</f>
      </c>
      <c r="DT777">
        <f>IF(ISBLANK('Data Entry'!$¼$777), "", 'Data Entry'!$¼$777)</f>
      </c>
      <c r="DU777">
        <f>IF(ISBLANK('Data Entry'!$½$777), "", 'Data Entry'!$½$777)</f>
      </c>
      <c r="DV777">
        <f>IF(ISBLANK('Data Entry'!$¾$777), "", 'Data Entry'!$¾$777)</f>
      </c>
      <c r="DW777">
        <f>IF(ISBLANK('Data Entry'!$¿$777), "", 'Data Entry'!$¿$777)</f>
      </c>
      <c r="DX777">
        <f>IF(ISBLANK('Data Entry'!$À$777), "", 'Data Entry'!$À$777)</f>
      </c>
      <c r="DY777">
        <f>IF(ISBLANK('Data Entry'!$Á$777), "", 'Data Entry'!$Á$777)</f>
      </c>
      <c r="DZ777">
        <f>IF(ISBLANK('Data Entry'!$Â$777), "", 'Data Entry'!$Â$777)</f>
      </c>
      <c r="EA777">
        <f>IF(ISBLANK('Data Entry'!$Ã$777), "", 'Data Entry'!$Ã$777)</f>
      </c>
      <c r="EB777">
        <f>IF(ISBLANK('Data Entry'!$Ä$777), "", 'Data Entry'!$Ä$777)</f>
      </c>
      <c r="EC777">
        <f>IF(ISBLANK('Data Entry'!$Å$777), "", 'Data Entry'!$Å$777)</f>
      </c>
      <c r="ED777">
        <f>IF(ISBLANK('Data Entry'!$Æ$777), "", 'Data Entry'!$Æ$777)</f>
      </c>
      <c r="EE777">
        <f>IF(ISBLANK('Data Entry'!$Ç$777), "", 'Data Entry'!$Ç$777)</f>
      </c>
      <c r="EF777">
        <f>IF(ISBLANK('Data Entry'!$È$777), "", 'Data Entry'!$È$777)</f>
      </c>
      <c r="EG777">
        <f>IF(ISBLANK('Data Entry'!$É$777), "", 'Data Entry'!$É$777)</f>
      </c>
      <c r="EH777">
        <f>IF(ISBLANK('Data Entry'!$Ê$777), "", 'Data Entry'!$Ê$777)</f>
      </c>
      <c r="EI777">
        <f>IF(ISBLANK('Data Entry'!$Ë$777), "", 'Data Entry'!$Ë$777)</f>
      </c>
      <c r="EJ777">
        <f>IF(ISBLANK('Data Entry'!$Ì$777), "", 'Data Entry'!$Ì$777)</f>
      </c>
      <c r="EK777">
        <f>IF(ISBLANK('Data Entry'!$Í$777), "", 'Data Entry'!$Í$777)</f>
      </c>
      <c r="EL777">
        <f>IF(ISBLANK('Data Entry'!$Î$777), "", 'Data Entry'!$Î$777)</f>
      </c>
      <c r="EM777">
        <f>IF(ISBLANK('Data Entry'!$Ï$777), "", 'Data Entry'!$Ï$777)</f>
      </c>
      <c r="EN777">
        <f>IF(ISBLANK('Data Entry'!$Ð$777), "", 'Data Entry'!$Ð$777)</f>
      </c>
      <c r="EO777">
        <f>IF(ISBLANK('Data Entry'!$Ñ$777), "", 'Data Entry'!$Ñ$777)</f>
      </c>
      <c r="EP777">
        <f>IF(ISBLANK('Data Entry'!$Ò$777), "", 'Data Entry'!$Ò$777)</f>
      </c>
      <c r="EQ777">
        <f>IF(ISBLANK('Data Entry'!$Ó$777), "", 'Data Entry'!$Ó$777)</f>
      </c>
      <c r="ER777">
        <f>IF(ISBLANK('Data Entry'!$Ô$777), "", 'Data Entry'!$Ô$777)</f>
      </c>
      <c r="ES777">
        <f>IF(ISBLANK('Data Entry'!$Õ$777), "", 'Data Entry'!$Õ$777)</f>
      </c>
      <c r="ET777">
        <f>IF(ISBLANK('Data Entry'!$Ö$777), "", 'Data Entry'!$Ö$777)</f>
      </c>
      <c r="EU777">
        <f>IF(ISBLANK('Data Entry'!$×$777), "", 'Data Entry'!$×$777)</f>
      </c>
      <c r="EV777">
        <f>IF(ISBLANK('Data Entry'!$Ø$777), "", 'Data Entry'!$Ø$777)</f>
      </c>
      <c r="EW777">
        <f>IF(ISBLANK('Data Entry'!$Ù$777), "", 'Data Entry'!$Ù$777)</f>
      </c>
      <c r="EX777">
        <f>IF(ISBLANK('Data Entry'!$Ú$777), "", 'Data Entry'!$Ú$777)</f>
      </c>
      <c r="EY777">
        <f>IF(ISBLANK('Data Entry'!$Û$777), "", 'Data Entry'!$Û$777)</f>
      </c>
      <c r="EZ777">
        <f>IF(ISBLANK('Data Entry'!$Ü$777), "", 'Data Entry'!$Ü$777)</f>
      </c>
      <c r="FA777">
        <f>IF(ISBLANK('Data Entry'!$Ý$777), "", 'Data Entry'!$Ý$777)</f>
      </c>
      <c r="FB777">
        <f>IF(ISBLANK('Data Entry'!$Þ$777), "", 'Data Entry'!$Þ$777)</f>
      </c>
      <c r="FC777">
        <f>IF(ISBLANK('Data Entry'!$ß$777), "", 'Data Entry'!$ß$777)</f>
      </c>
      <c r="FD777">
        <f>IF(ISBLANK('Data Entry'!$à$777), "", 'Data Entry'!$à$777)</f>
      </c>
      <c r="FE777">
        <f>IF(ISBLANK('Data Entry'!$á$777), "", 'Data Entry'!$á$777)</f>
      </c>
      <c r="FF777">
        <f>IF(ISBLANK('Data Entry'!$â$777), "", 'Data Entry'!$â$777)</f>
      </c>
      <c r="FG777">
        <f>IF(ISBLANK('Data Entry'!$ã$777), "", 'Data Entry'!$ã$777)</f>
      </c>
      <c r="FH777">
        <f>IF(ISBLANK('Data Entry'!$ä$777), "", 'Data Entry'!$ä$777)</f>
      </c>
      <c r="FI777">
        <f>IF(ISBLANK('Data Entry'!$å$777), "", 'Data Entry'!$å$777)</f>
      </c>
      <c r="FJ777">
        <f>IF(ISBLANK('Data Entry'!$æ$777), "", 'Data Entry'!$æ$777)</f>
      </c>
      <c r="FK777">
        <f>IF(ISBLANK('Data Entry'!$ç$777), "", 'Data Entry'!$ç$777)</f>
      </c>
      <c r="FL777">
        <f>IF(ISBLANK('Data Entry'!$è$777), "", 'Data Entry'!$è$777)</f>
      </c>
      <c r="FM777">
        <f>IF(ISBLANK('Data Entry'!$é$777), "", 'Data Entry'!$é$777)</f>
      </c>
      <c r="FN777">
        <f>IF(ISBLANK('Data Entry'!$ê$777), "", 'Data Entry'!$ê$777)</f>
      </c>
      <c r="FO777">
        <f>IF(ISBLANK('Data Entry'!$ë$777), "", 'Data Entry'!$ë$777)</f>
      </c>
      <c r="FP777">
        <f>IF(ISBLANK('Data Entry'!$ì$777), "", 'Data Entry'!$ì$777)</f>
      </c>
      <c r="FQ777">
        <f>IF(ISBLANK('Data Entry'!$í$777), "", 'Data Entry'!$í$777)</f>
      </c>
      <c r="FR777">
        <f>IF(ISBLANK('Data Entry'!$î$777), "", 'Data Entry'!$î$777)</f>
      </c>
      <c r="FS777">
        <f>IF(ISBLANK('Data Entry'!$ï$777), "", 'Data Entry'!$ï$777)</f>
      </c>
      <c r="FT777">
        <f>IF(ISBLANK('Data Entry'!$ð$777), "", 'Data Entry'!$ð$777)</f>
      </c>
      <c r="FU777">
        <f>IF(ISBLANK('Data Entry'!$ñ$777), "", 'Data Entry'!$ñ$777)</f>
      </c>
      <c r="FV777">
        <f>IF(ISBLANK('Data Entry'!$ò$777), "", 'Data Entry'!$ò$777)</f>
      </c>
      <c r="FW777">
        <f>IF(ISBLANK('Data Entry'!$ó$777), "", 'Data Entry'!$ó$777)</f>
      </c>
      <c r="FX777">
        <f>IF(ISBLANK('Data Entry'!$ô$777), "", 'Data Entry'!$ô$777)</f>
      </c>
      <c r="FY777">
        <f>IF(ISBLANK('Data Entry'!$õ$777), "", 'Data Entry'!$õ$777)</f>
      </c>
      <c r="FZ777">
        <f>IF(ISBLANK('Data Entry'!$ö$777), "", 'Data Entry'!$ö$777)</f>
      </c>
      <c r="GA777">
        <f>IF(ISBLANK('Data Entry'!$÷$777), "", 'Data Entry'!$÷$777)</f>
      </c>
      <c r="GB777">
        <f>IF(ISBLANK('Data Entry'!$ø$777), "", 'Data Entry'!$ø$777)</f>
      </c>
      <c r="GC777">
        <f>IF(ISBLANK('Data Entry'!$ù$777), "", 'Data Entry'!$ù$777)</f>
      </c>
      <c r="GD777">
        <f>IF(ISBLANK('Data Entry'!$ú$777), "", 'Data Entry'!$ú$777)</f>
      </c>
      <c r="GE777">
        <f>IF(ISBLANK('Data Entry'!$û$777), "", 'Data Entry'!$û$777)</f>
      </c>
      <c r="GF777">
        <f>IF(ISBLANK('Data Entry'!$ü$777), "", 'Data Entry'!$ü$777)</f>
      </c>
      <c r="GG777">
        <f>IF(ISBLANK('Data Entry'!$ý$777), "", 'Data Entry'!$ý$777)</f>
      </c>
      <c r="GH777">
        <f>IF(ISBLANK('Data Entry'!$þ$777), "", 'Data Entry'!$þ$777)</f>
      </c>
      <c r="GI777">
        <f>IF(ISBLANK('Data Entry'!$ÿ$777), "", 'Data Entry'!$ÿ$777)</f>
      </c>
      <c r="GJ777">
        <f>IF(ISBLANK('Data Entry'!$Ā$777), "", 'Data Entry'!$Ā$777)</f>
      </c>
      <c r="GK777">
        <f>IF(ISBLANK('Data Entry'!$ā$777), "", 'Data Entry'!$ā$777)</f>
      </c>
      <c r="GL777">
        <f>IF(ISBLANK('Data Entry'!$Ă$777), "", 'Data Entry'!$Ă$777)</f>
      </c>
      <c r="GM777">
        <f>IF(ISBLANK('Data Entry'!$ă$777), "", 'Data Entry'!$ă$777)</f>
      </c>
      <c r="GN777">
        <f>IF(ISBLANK('Data Entry'!$Ą$777), "", 'Data Entry'!$Ą$777)</f>
      </c>
      <c r="GO777">
        <f>IF(ISBLANK('Data Entry'!$ą$777), "", 'Data Entry'!$ą$777)</f>
      </c>
      <c r="GP777">
        <f>IF(ISBLANK('Data Entry'!$Ć$777), "", 'Data Entry'!$Ć$777)</f>
      </c>
      <c r="GQ777">
        <f>IF(ISBLANK('Data Entry'!$ć$777), "", 'Data Entry'!$ć$777)</f>
      </c>
      <c r="GR777">
        <f>IF(ISBLANK('Data Entry'!$Ĉ$777), "", 'Data Entry'!$Ĉ$777)</f>
      </c>
      <c r="GS777">
        <f>IF(ISBLANK('Data Entry'!$ĉ$777), "", 'Data Entry'!$ĉ$777)</f>
      </c>
      <c r="GT777">
        <f>IF(ISBLANK('Data Entry'!$Ċ$777), "", 'Data Entry'!$Ċ$777)</f>
      </c>
      <c r="GU777">
        <f>IF(ISBLANK('Data Entry'!$ċ$777), "", 'Data Entry'!$ċ$777)</f>
      </c>
      <c r="GV777">
        <f>IF(ISBLANK('Data Entry'!$Č$777), "", 'Data Entry'!$Č$777)</f>
      </c>
      <c r="GW777">
        <f>IF(ISBLANK('Data Entry'!$č$777), "", 'Data Entry'!$č$777)</f>
      </c>
      <c r="GX777">
        <f>IF(ISBLANK('Data Entry'!$Ď$777), "", 'Data Entry'!$Ď$777)</f>
      </c>
      <c r="GY777">
        <f>IF(ISBLANK('Data Entry'!$ď$777), "", 'Data Entry'!$ď$777)</f>
      </c>
      <c r="GZ777">
        <f>IF(ISBLANK('Data Entry'!$Đ$777), "", 'Data Entry'!$Đ$777)</f>
      </c>
      <c r="HA777">
        <f>IF(ISBLANK('Data Entry'!$đ$777), "", 'Data Entry'!$đ$777)</f>
      </c>
      <c r="HB777">
        <f>IF(ISBLANK('Data Entry'!$Ē$777), "", 'Data Entry'!$Ē$777)</f>
      </c>
      <c r="HC777">
        <f>IF(ISBLANK('Data Entry'!$ē$777), "", 'Data Entry'!$ē$777)</f>
      </c>
      <c r="HD777">
        <f>IF(ISBLANK('Data Entry'!$Ĕ$777), "", 'Data Entry'!$Ĕ$777)</f>
      </c>
      <c r="HE777">
        <f>IF(ISBLANK('Data Entry'!$ĕ$777), "", 'Data Entry'!$ĕ$777)</f>
      </c>
      <c r="HF777">
        <f>IF(ISBLANK('Data Entry'!$Ė$777), "", 'Data Entry'!$Ė$777)</f>
      </c>
      <c r="HG777">
        <f>IF(ISBLANK('Data Entry'!$ė$777), "", 'Data Entry'!$ė$777)</f>
      </c>
      <c r="HH777">
        <f>IF(ISBLANK('Data Entry'!$Ę$777), "", 'Data Entry'!$Ę$777)</f>
      </c>
      <c r="HI777">
        <f>IF(ISBLANK('Data Entry'!$ę$777), "", 'Data Entry'!$ę$777)</f>
      </c>
      <c r="HJ777">
        <f>IF(ISBLANK('Data Entry'!$Ě$777), "", 'Data Entry'!$Ě$777)</f>
      </c>
      <c r="HK777">
        <f>IF(ISBLANK('Data Entry'!$ě$777), "", 'Data Entry'!$ě$777)</f>
      </c>
      <c r="HL777">
        <f>IF(ISBLANK('Data Entry'!$Ĝ$777), "", 'Data Entry'!$Ĝ$777)</f>
      </c>
      <c r="HM777">
        <f>IF(ISBLANK('Data Entry'!$ĝ$777), "", 'Data Entry'!$ĝ$777)</f>
      </c>
      <c r="HN777">
        <f>IF(ISBLANK('Data Entry'!$Ğ$777), "", 'Data Entry'!$Ğ$777)</f>
      </c>
      <c r="HO777">
        <f>IF(ISBLANK('Data Entry'!$ğ$777), "", 'Data Entry'!$ğ$777)</f>
      </c>
      <c r="HP777">
        <f>IF(ISBLANK('Data Entry'!$Ġ$777), "", 'Data Entry'!$Ġ$777)</f>
      </c>
      <c r="HQ777">
        <f>IF(ISBLANK('Data Entry'!$ġ$777), "", 'Data Entry'!$ġ$777)</f>
      </c>
      <c r="HR777">
        <f>IF(ISBLANK('Data Entry'!$Ģ$777), "", 'Data Entry'!$Ģ$777)</f>
      </c>
      <c r="HS777">
        <f>IF(ISBLANK('Data Entry'!$ģ$777), "", 'Data Entry'!$ģ$777)</f>
      </c>
      <c r="HT777">
        <f>IF(ISBLANK('Data Entry'!$Ĥ$777), "", 'Data Entry'!$Ĥ$777)</f>
      </c>
      <c r="HU777">
        <f>IF(ISBLANK('Data Entry'!$ĥ$777), "", 'Data Entry'!$ĥ$777)</f>
      </c>
      <c r="HV777">
        <f>IF(ISBLANK('Data Entry'!$Ħ$777), "", 'Data Entry'!$Ħ$777)</f>
      </c>
      <c r="HW777">
        <f>IF(ISBLANK('Data Entry'!$ħ$777), "", 'Data Entry'!$ħ$777)</f>
      </c>
      <c r="HX777">
        <f>IF(ISBLANK('Data Entry'!$Ĩ$777), "", 'Data Entry'!$Ĩ$777)</f>
      </c>
      <c r="HY777">
        <f>IF(ISBLANK('Data Entry'!$ĩ$777), "", 'Data Entry'!$ĩ$777)</f>
      </c>
      <c r="HZ777">
        <f>IF(ISBLANK('Data Entry'!$Ī$777), "", 'Data Entry'!$Ī$777)</f>
      </c>
      <c r="IA777">
        <f>IF(ISBLANK('Data Entry'!$ī$777), "", 'Data Entry'!$ī$777)</f>
      </c>
      <c r="IB777">
        <f>IF(ISBLANK('Data Entry'!$Ĭ$777), "", 'Data Entry'!$Ĭ$777)</f>
      </c>
      <c r="IC777">
        <f>IF(ISBLANK('Data Entry'!$ĭ$777), "", 'Data Entry'!$ĭ$777)</f>
      </c>
      <c r="ID777">
        <f>IF(ISBLANK('Data Entry'!$Į$777), "", 'Data Entry'!$Į$777)</f>
      </c>
      <c r="IE777">
        <f>IF(ISBLANK('Data Entry'!$į$777), "", 'Data Entry'!$į$777)</f>
      </c>
      <c r="IF777">
        <f>IF(ISBLANK('Data Entry'!$İ$777), "", 'Data Entry'!$İ$777)</f>
      </c>
      <c r="IG777">
        <f>IF(ISBLANK('Data Entry'!$ı$777), "", 'Data Entry'!$ı$777)</f>
      </c>
      <c r="IH777">
        <f>IF(ISBLANK('Data Entry'!$Ĳ$777), "", 'Data Entry'!$Ĳ$777)</f>
      </c>
      <c r="II777">
        <f>IF(ISBLANK('Data Entry'!$ĳ$777), "", 'Data Entry'!$ĳ$777)</f>
      </c>
      <c r="IJ777">
        <f>IF(ISBLANK('Data Entry'!$Ĵ$777), "", 'Data Entry'!$Ĵ$777)</f>
      </c>
      <c r="IK777">
        <f>IF(ISBLANK('Data Entry'!$ĵ$777), "", 'Data Entry'!$ĵ$777)</f>
      </c>
      <c r="IL777">
        <f>IF(ISBLANK('Data Entry'!$Ķ$777), "", 'Data Entry'!$Ķ$777)</f>
      </c>
      <c r="IM777">
        <f>IF(ISBLANK('Data Entry'!$ķ$777), "", 'Data Entry'!$ķ$777)</f>
      </c>
      <c r="IN777">
        <f>IF(ISBLANK('Data Entry'!$ĸ$777), "", 'Data Entry'!$ĸ$777)</f>
      </c>
      <c r="IO777">
        <f>IF(ISBLANK('Data Entry'!$Ĺ$777), "", 'Data Entry'!$Ĺ$777)</f>
      </c>
      <c r="IP777">
        <f>IF(ISBLANK('Data Entry'!$ĺ$777), "", 'Data Entry'!$ĺ$777)</f>
      </c>
      <c r="IQ777">
        <f>IF(ISBLANK('Data Entry'!$Ļ$777), "", 'Data Entry'!$Ļ$777)</f>
      </c>
      <c r="IR777">
        <f>IF(ISBLANK('Data Entry'!$ļ$777), "", 'Data Entry'!$ļ$777)</f>
      </c>
      <c r="IS777">
        <f>IF(ISBLANK('Data Entry'!$Ľ$777), "", 'Data Entry'!$Ľ$777)</f>
      </c>
      <c r="IT777">
        <f>IF(ISBLANK('Data Entry'!$ľ$777), "", 'Data Entry'!$ľ$777)</f>
      </c>
    </row>
    <row r="778" spans="1:254" x14ac:dyDescent="0.25">
      <c r="A778">
        <f>IF(ISBLANK('Data Entry'!$A$778), "", 'Data Entry'!$A$778)</f>
      </c>
      <c r="B778">
        <f>IF(ISBLANK('Data Entry'!$B$778), "", 'Data Entry'!$B$778)</f>
      </c>
      <c r="C778">
        <f>IF(ISBLANK('Data Entry'!$C$778), "", 'Data Entry'!$C$778)</f>
      </c>
      <c r="D778">
        <f>IF(ISBLANK('Data Entry'!$D$778), "", 'Data Entry'!$D$778)</f>
      </c>
      <c r="E778">
        <f>IF(ISBLANK('Data Entry'!$E$778), "", 'Data Entry'!$E$778)</f>
      </c>
      <c r="F778">
        <f>IF(ISBLANK('Data Entry'!$F$778), "", 'Data Entry'!$F$778)</f>
      </c>
      <c r="G778">
        <f>IF(ISBLANK('Data Entry'!$G$778), "", 'Data Entry'!$G$778)</f>
      </c>
      <c r="H778">
        <f>IF(ISBLANK('Data Entry'!$H$778), "", 'Data Entry'!$H$778)</f>
      </c>
      <c r="I778">
        <f>IF(ISBLANK('Data Entry'!$I$778), "", 'Data Entry'!$I$778)</f>
      </c>
      <c r="J778">
        <f>IF(ISBLANK('Data Entry'!$J$778), "", 'Data Entry'!$J$778)</f>
      </c>
      <c r="K778">
        <f>IF(ISBLANK('Data Entry'!$K$778), "", 'Data Entry'!$K$778)</f>
      </c>
      <c r="L778">
        <f>IF(ISBLANK('Data Entry'!$L$778), "", 'Data Entry'!$L$778)</f>
      </c>
      <c r="M778">
        <f>IF(ISBLANK('Data Entry'!$M$778), "", 'Data Entry'!$M$778)</f>
      </c>
      <c r="N778">
        <f>IF(ISBLANK('Data Entry'!$N$778), "", 'Data Entry'!$N$778)</f>
      </c>
      <c r="O778">
        <f>IF(ISBLANK('Data Entry'!$O$778), "", 'Data Entry'!$O$778)</f>
      </c>
      <c r="P778">
        <f>IF(ISBLANK('Data Entry'!$P$778), "", 'Data Entry'!$P$778)</f>
      </c>
      <c r="Q778">
        <f>IF(ISBLANK('Data Entry'!$Q$778), "", 'Data Entry'!$Q$778)</f>
      </c>
      <c r="R778">
        <f>IF(ISBLANK('Data Entry'!$R$778), "", 'Data Entry'!$R$778)</f>
      </c>
      <c r="S778">
        <f>IF(ISBLANK('Data Entry'!$S$778), "", 'Data Entry'!$S$778)</f>
      </c>
      <c r="T778">
        <f>IF(ISBLANK('Data Entry'!$T$778), "", 'Data Entry'!$T$778)</f>
      </c>
      <c r="U778">
        <f>IF(ISBLANK('Data Entry'!$U$778), "", 'Data Entry'!$U$778)</f>
      </c>
      <c r="V778">
        <f>IF(ISBLANK('Data Entry'!$V$778), "", 'Data Entry'!$V$778)</f>
      </c>
      <c r="W778">
        <f>IF(ISBLANK('Data Entry'!$W$778), "", 'Data Entry'!$W$778)</f>
      </c>
      <c r="X778">
        <f>IF(ISBLANK('Data Entry'!$X$778), "", 'Data Entry'!$X$778)</f>
      </c>
      <c r="Y778">
        <f>IF(ISBLANK('Data Entry'!$Y$778), "", 'Data Entry'!$Y$778)</f>
      </c>
      <c r="Z778">
        <f>IF(ISBLANK('Data Entry'!$Z$778), "", 'Data Entry'!$Z$778)</f>
      </c>
      <c r="AA778">
        <f>IF(ISBLANK('Data Entry'!$[$778), "", 'Data Entry'!$[$778)</f>
      </c>
      <c r="AB778">
        <f>IF(ISBLANK('Data Entry'!$\$778), "", 'Data Entry'!$\$778)</f>
      </c>
      <c r="AC778">
        <f>IF(ISBLANK('Data Entry'!$]$778), "", 'Data Entry'!$]$778)</f>
      </c>
      <c r="AD778">
        <f>IF(ISBLANK('Data Entry'!$^$778), "", 'Data Entry'!$^$778)</f>
      </c>
      <c r="AE778">
        <f>IF(ISBLANK('Data Entry'!$_$778), "", 'Data Entry'!$_$778)</f>
      </c>
      <c r="AF778">
        <f>IF(ISBLANK('Data Entry'!$`$778), "", 'Data Entry'!$`$778)</f>
      </c>
      <c r="AG778">
        <f>IF(ISBLANK('Data Entry'!$a$778), "", 'Data Entry'!$a$778)</f>
      </c>
      <c r="AH778">
        <f>IF(ISBLANK('Data Entry'!$b$778), "", 'Data Entry'!$b$778)</f>
      </c>
      <c r="AI778">
        <f>IF(ISBLANK('Data Entry'!$c$778), "", 'Data Entry'!$c$778)</f>
      </c>
      <c r="AJ778">
        <f>IF(ISBLANK('Data Entry'!$d$778), "", 'Data Entry'!$d$778)</f>
      </c>
      <c r="AK778">
        <f>IF(ISBLANK('Data Entry'!$e$778), "", 'Data Entry'!$e$778)</f>
      </c>
      <c r="AL778">
        <f>IF(ISBLANK('Data Entry'!$f$778), "", 'Data Entry'!$f$778)</f>
      </c>
      <c r="AM778">
        <f>IF(ISBLANK('Data Entry'!$g$778), "", 'Data Entry'!$g$778)</f>
      </c>
      <c r="AN778">
        <f>IF(ISBLANK('Data Entry'!$h$778), "", 'Data Entry'!$h$778)</f>
      </c>
      <c r="AO778">
        <f>IF(ISBLANK('Data Entry'!$i$778), "", 'Data Entry'!$i$778)</f>
      </c>
      <c r="AP778">
        <f>IF(ISBLANK('Data Entry'!$j$778), "", 'Data Entry'!$j$778)</f>
      </c>
      <c r="AQ778">
        <f>IF(ISBLANK('Data Entry'!$k$778), "", 'Data Entry'!$k$778)</f>
      </c>
      <c r="AR778">
        <f>IF(ISBLANK('Data Entry'!$l$778), "", 'Data Entry'!$l$778)</f>
      </c>
      <c r="AS778">
        <f>IF(ISBLANK('Data Entry'!$m$778), "", 'Data Entry'!$m$778)</f>
      </c>
      <c r="AT778">
        <f>IF(ISBLANK('Data Entry'!$n$778), "", 'Data Entry'!$n$778)</f>
      </c>
      <c r="AU778">
        <f>IF(ISBLANK('Data Entry'!$o$778), "", 'Data Entry'!$o$778)</f>
      </c>
      <c r="AV778">
        <f>IF(ISBLANK('Data Entry'!$p$778), "", 'Data Entry'!$p$778)</f>
      </c>
      <c r="AW778">
        <f>IF(ISBLANK('Data Entry'!$q$778), "", 'Data Entry'!$q$778)</f>
      </c>
      <c r="AX778">
        <f>IF(ISBLANK('Data Entry'!$r$778), "", 'Data Entry'!$r$778)</f>
      </c>
      <c r="AY778">
        <f>IF(ISBLANK('Data Entry'!$s$778), "", 'Data Entry'!$s$778)</f>
      </c>
      <c r="AZ778">
        <f>IF(ISBLANK('Data Entry'!$t$778), "", 'Data Entry'!$t$778)</f>
      </c>
      <c r="BA778">
        <f>IF(ISBLANK('Data Entry'!$u$778), "", 'Data Entry'!$u$778)</f>
      </c>
      <c r="BB778">
        <f>IF(ISBLANK('Data Entry'!$v$778), "", 'Data Entry'!$v$778)</f>
      </c>
      <c r="BC778">
        <f>IF(ISBLANK('Data Entry'!$w$778), "", 'Data Entry'!$w$778)</f>
      </c>
      <c r="BD778">
        <f>IF(ISBLANK('Data Entry'!$x$778), "", 'Data Entry'!$x$778)</f>
      </c>
      <c r="BE778">
        <f>IF(ISBLANK('Data Entry'!$y$778), "", 'Data Entry'!$y$778)</f>
      </c>
      <c r="BF778">
        <f>IF(ISBLANK('Data Entry'!$z$778), "", 'Data Entry'!$z$778)</f>
      </c>
      <c r="BG778">
        <f>IF(ISBLANK('Data Entry'!${$778), "", 'Data Entry'!${$778)</f>
      </c>
      <c r="BH778">
        <f>IF(ISBLANK('Data Entry'!$|$778), "", 'Data Entry'!$|$778)</f>
      </c>
      <c r="BI778">
        <f>IF(ISBLANK('Data Entry'!$}$778), "", 'Data Entry'!$}$778)</f>
      </c>
      <c r="BJ778">
        <f>IF(ISBLANK('Data Entry'!$~$778), "", 'Data Entry'!$~$778)</f>
      </c>
      <c r="BK778">
        <f>IF(ISBLANK('Data Entry'!$$778), "", 'Data Entry'!$$778)</f>
      </c>
      <c r="BL778">
        <f>IF(ISBLANK('Data Entry'!$$778), "", 'Data Entry'!$$778)</f>
      </c>
      <c r="BM778">
        <f>IF(ISBLANK('Data Entry'!$$778), "", 'Data Entry'!$$778)</f>
      </c>
      <c r="BN778">
        <f>IF(ISBLANK('Data Entry'!$$778), "", 'Data Entry'!$$778)</f>
      </c>
      <c r="BO778">
        <f>IF(ISBLANK('Data Entry'!$$778), "", 'Data Entry'!$$778)</f>
      </c>
      <c r="BP778">
        <f>IF(ISBLANK('Data Entry'!$$778), "", 'Data Entry'!$$778)</f>
      </c>
      <c r="BQ778">
        <f>IF(ISBLANK('Data Entry'!$$778), "", 'Data Entry'!$$778)</f>
      </c>
      <c r="BR778">
        <f>IF(ISBLANK('Data Entry'!$$778), "", 'Data Entry'!$$778)</f>
      </c>
      <c r="BS778">
        <f>IF(ISBLANK('Data Entry'!$$778), "", 'Data Entry'!$$778)</f>
      </c>
      <c r="BT778">
        <f>IF(ISBLANK('Data Entry'!$$778), "", 'Data Entry'!$$778)</f>
      </c>
      <c r="BU778">
        <f>IF(ISBLANK('Data Entry'!$$778), "", 'Data Entry'!$$778)</f>
      </c>
      <c r="BV778">
        <f>IF(ISBLANK('Data Entry'!$$778), "", 'Data Entry'!$$778)</f>
      </c>
      <c r="BW778">
        <f>IF(ISBLANK('Data Entry'!$$778), "", 'Data Entry'!$$778)</f>
      </c>
      <c r="BX778">
        <f>IF(ISBLANK('Data Entry'!$$778), "", 'Data Entry'!$$778)</f>
      </c>
      <c r="BY778">
        <f>IF(ISBLANK('Data Entry'!$$778), "", 'Data Entry'!$$778)</f>
      </c>
      <c r="BZ778">
        <f>IF(ISBLANK('Data Entry'!$$778), "", 'Data Entry'!$$778)</f>
      </c>
      <c r="CA778">
        <f>IF(ISBLANK('Data Entry'!$$778), "", 'Data Entry'!$$778)</f>
      </c>
      <c r="CB778">
        <f>IF(ISBLANK('Data Entry'!$$778), "", 'Data Entry'!$$778)</f>
      </c>
      <c r="CC778">
        <f>IF(ISBLANK('Data Entry'!$$778), "", 'Data Entry'!$$778)</f>
      </c>
      <c r="CD778">
        <f>IF(ISBLANK('Data Entry'!$$778), "", 'Data Entry'!$$778)</f>
      </c>
      <c r="CE778">
        <f>IF(ISBLANK('Data Entry'!$$778), "", 'Data Entry'!$$778)</f>
      </c>
      <c r="CF778">
        <f>IF(ISBLANK('Data Entry'!$$778), "", 'Data Entry'!$$778)</f>
      </c>
      <c r="CG778">
        <f>IF(ISBLANK('Data Entry'!$$778), "", 'Data Entry'!$$778)</f>
      </c>
      <c r="CH778">
        <f>IF(ISBLANK('Data Entry'!$$778), "", 'Data Entry'!$$778)</f>
      </c>
      <c r="CI778">
        <f>IF(ISBLANK('Data Entry'!$$778), "", 'Data Entry'!$$778)</f>
      </c>
      <c r="CJ778">
        <f>IF(ISBLANK('Data Entry'!$$778), "", 'Data Entry'!$$778)</f>
      </c>
      <c r="CK778">
        <f>IF(ISBLANK('Data Entry'!$$778), "", 'Data Entry'!$$778)</f>
      </c>
      <c r="CL778">
        <f>IF(ISBLANK('Data Entry'!$$778), "", 'Data Entry'!$$778)</f>
      </c>
      <c r="CM778">
        <f>IF(ISBLANK('Data Entry'!$$778), "", 'Data Entry'!$$778)</f>
      </c>
      <c r="CN778">
        <f>IF(ISBLANK('Data Entry'!$$778), "", 'Data Entry'!$$778)</f>
      </c>
      <c r="CO778">
        <f>IF(ISBLANK('Data Entry'!$$778), "", 'Data Entry'!$$778)</f>
      </c>
      <c r="CP778">
        <f>IF(ISBLANK('Data Entry'!$$778), "", 'Data Entry'!$$778)</f>
      </c>
      <c r="CQ778">
        <f>IF(ISBLANK('Data Entry'!$$778), "", 'Data Entry'!$$778)</f>
      </c>
      <c r="CR778">
        <f>IF(ISBLANK('Data Entry'!$ $778), "", 'Data Entry'!$ $778)</f>
      </c>
      <c r="CS778">
        <f>IF(ISBLANK('Data Entry'!$¡$778), "", 'Data Entry'!$¡$778)</f>
      </c>
      <c r="CT778">
        <f>IF(ISBLANK('Data Entry'!$¢$778), "", 'Data Entry'!$¢$778)</f>
      </c>
      <c r="CU778">
        <f>IF(ISBLANK('Data Entry'!$£$778), "", 'Data Entry'!$£$778)</f>
      </c>
      <c r="CV778">
        <f>IF(ISBLANK('Data Entry'!$¤$778), "", 'Data Entry'!$¤$778)</f>
      </c>
      <c r="CW778">
        <f>IF(ISBLANK('Data Entry'!$¥$778), "", 'Data Entry'!$¥$778)</f>
      </c>
      <c r="CX778">
        <f>IF(ISBLANK('Data Entry'!$¦$778), "", 'Data Entry'!$¦$778)</f>
      </c>
      <c r="CY778">
        <f>IF(ISBLANK('Data Entry'!$§$778), "", 'Data Entry'!$§$778)</f>
      </c>
      <c r="CZ778">
        <f>IF(ISBLANK('Data Entry'!$¨$778), "", 'Data Entry'!$¨$778)</f>
      </c>
      <c r="DA778">
        <f>IF(ISBLANK('Data Entry'!$©$778), "", 'Data Entry'!$©$778)</f>
      </c>
      <c r="DB778">
        <f>IF(ISBLANK('Data Entry'!$ª$778), "", 'Data Entry'!$ª$778)</f>
      </c>
      <c r="DC778">
        <f>IF(ISBLANK('Data Entry'!$«$778), "", 'Data Entry'!$«$778)</f>
      </c>
      <c r="DD778">
        <f>IF(ISBLANK('Data Entry'!$¬$778), "", 'Data Entry'!$¬$778)</f>
      </c>
      <c r="DE778">
        <f>IF(ISBLANK('Data Entry'!$­$778), "", 'Data Entry'!$­$778)</f>
      </c>
      <c r="DF778">
        <f>IF(ISBLANK('Data Entry'!$®$778), "", 'Data Entry'!$®$778)</f>
      </c>
      <c r="DG778">
        <f>IF(ISBLANK('Data Entry'!$¯$778), "", 'Data Entry'!$¯$778)</f>
      </c>
      <c r="DH778">
        <f>IF(ISBLANK('Data Entry'!$°$778), "", 'Data Entry'!$°$778)</f>
      </c>
      <c r="DI778">
        <f>IF(ISBLANK('Data Entry'!$±$778), "", 'Data Entry'!$±$778)</f>
      </c>
      <c r="DJ778">
        <f>IF(ISBLANK('Data Entry'!$²$778), "", 'Data Entry'!$²$778)</f>
      </c>
      <c r="DK778">
        <f>IF(ISBLANK('Data Entry'!$³$778), "", 'Data Entry'!$³$778)</f>
      </c>
      <c r="DL778">
        <f>IF(ISBLANK('Data Entry'!$´$778), "", 'Data Entry'!$´$778)</f>
      </c>
      <c r="DM778">
        <f>IF(ISBLANK('Data Entry'!$µ$778), "", 'Data Entry'!$µ$778)</f>
      </c>
      <c r="DN778">
        <f>IF(ISBLANK('Data Entry'!$¶$778), "", 'Data Entry'!$¶$778)</f>
      </c>
      <c r="DO778">
        <f>IF(ISBLANK('Data Entry'!$·$778), "", 'Data Entry'!$·$778)</f>
      </c>
      <c r="DP778">
        <f>IF(ISBLANK('Data Entry'!$¸$778), "", 'Data Entry'!$¸$778)</f>
      </c>
      <c r="DQ778">
        <f>IF(ISBLANK('Data Entry'!$¹$778), "", 'Data Entry'!$¹$778)</f>
      </c>
      <c r="DR778">
        <f>IF(ISBLANK('Data Entry'!$º$778), "", 'Data Entry'!$º$778)</f>
      </c>
      <c r="DS778">
        <f>IF(ISBLANK('Data Entry'!$»$778), "", 'Data Entry'!$»$778)</f>
      </c>
      <c r="DT778">
        <f>IF(ISBLANK('Data Entry'!$¼$778), "", 'Data Entry'!$¼$778)</f>
      </c>
      <c r="DU778">
        <f>IF(ISBLANK('Data Entry'!$½$778), "", 'Data Entry'!$½$778)</f>
      </c>
      <c r="DV778">
        <f>IF(ISBLANK('Data Entry'!$¾$778), "", 'Data Entry'!$¾$778)</f>
      </c>
      <c r="DW778">
        <f>IF(ISBLANK('Data Entry'!$¿$778), "", 'Data Entry'!$¿$778)</f>
      </c>
      <c r="DX778">
        <f>IF(ISBLANK('Data Entry'!$À$778), "", 'Data Entry'!$À$778)</f>
      </c>
      <c r="DY778">
        <f>IF(ISBLANK('Data Entry'!$Á$778), "", 'Data Entry'!$Á$778)</f>
      </c>
      <c r="DZ778">
        <f>IF(ISBLANK('Data Entry'!$Â$778), "", 'Data Entry'!$Â$778)</f>
      </c>
      <c r="EA778">
        <f>IF(ISBLANK('Data Entry'!$Ã$778), "", 'Data Entry'!$Ã$778)</f>
      </c>
      <c r="EB778">
        <f>IF(ISBLANK('Data Entry'!$Ä$778), "", 'Data Entry'!$Ä$778)</f>
      </c>
      <c r="EC778">
        <f>IF(ISBLANK('Data Entry'!$Å$778), "", 'Data Entry'!$Å$778)</f>
      </c>
      <c r="ED778">
        <f>IF(ISBLANK('Data Entry'!$Æ$778), "", 'Data Entry'!$Æ$778)</f>
      </c>
      <c r="EE778">
        <f>IF(ISBLANK('Data Entry'!$Ç$778), "", 'Data Entry'!$Ç$778)</f>
      </c>
      <c r="EF778">
        <f>IF(ISBLANK('Data Entry'!$È$778), "", 'Data Entry'!$È$778)</f>
      </c>
      <c r="EG778">
        <f>IF(ISBLANK('Data Entry'!$É$778), "", 'Data Entry'!$É$778)</f>
      </c>
      <c r="EH778">
        <f>IF(ISBLANK('Data Entry'!$Ê$778), "", 'Data Entry'!$Ê$778)</f>
      </c>
      <c r="EI778">
        <f>IF(ISBLANK('Data Entry'!$Ë$778), "", 'Data Entry'!$Ë$778)</f>
      </c>
      <c r="EJ778">
        <f>IF(ISBLANK('Data Entry'!$Ì$778), "", 'Data Entry'!$Ì$778)</f>
      </c>
      <c r="EK778">
        <f>IF(ISBLANK('Data Entry'!$Í$778), "", 'Data Entry'!$Í$778)</f>
      </c>
      <c r="EL778">
        <f>IF(ISBLANK('Data Entry'!$Î$778), "", 'Data Entry'!$Î$778)</f>
      </c>
      <c r="EM778">
        <f>IF(ISBLANK('Data Entry'!$Ï$778), "", 'Data Entry'!$Ï$778)</f>
      </c>
      <c r="EN778">
        <f>IF(ISBLANK('Data Entry'!$Ð$778), "", 'Data Entry'!$Ð$778)</f>
      </c>
      <c r="EO778">
        <f>IF(ISBLANK('Data Entry'!$Ñ$778), "", 'Data Entry'!$Ñ$778)</f>
      </c>
      <c r="EP778">
        <f>IF(ISBLANK('Data Entry'!$Ò$778), "", 'Data Entry'!$Ò$778)</f>
      </c>
      <c r="EQ778">
        <f>IF(ISBLANK('Data Entry'!$Ó$778), "", 'Data Entry'!$Ó$778)</f>
      </c>
      <c r="ER778">
        <f>IF(ISBLANK('Data Entry'!$Ô$778), "", 'Data Entry'!$Ô$778)</f>
      </c>
      <c r="ES778">
        <f>IF(ISBLANK('Data Entry'!$Õ$778), "", 'Data Entry'!$Õ$778)</f>
      </c>
      <c r="ET778">
        <f>IF(ISBLANK('Data Entry'!$Ö$778), "", 'Data Entry'!$Ö$778)</f>
      </c>
      <c r="EU778">
        <f>IF(ISBLANK('Data Entry'!$×$778), "", 'Data Entry'!$×$778)</f>
      </c>
      <c r="EV778">
        <f>IF(ISBLANK('Data Entry'!$Ø$778), "", 'Data Entry'!$Ø$778)</f>
      </c>
      <c r="EW778">
        <f>IF(ISBLANK('Data Entry'!$Ù$778), "", 'Data Entry'!$Ù$778)</f>
      </c>
      <c r="EX778">
        <f>IF(ISBLANK('Data Entry'!$Ú$778), "", 'Data Entry'!$Ú$778)</f>
      </c>
      <c r="EY778">
        <f>IF(ISBLANK('Data Entry'!$Û$778), "", 'Data Entry'!$Û$778)</f>
      </c>
      <c r="EZ778">
        <f>IF(ISBLANK('Data Entry'!$Ü$778), "", 'Data Entry'!$Ü$778)</f>
      </c>
      <c r="FA778">
        <f>IF(ISBLANK('Data Entry'!$Ý$778), "", 'Data Entry'!$Ý$778)</f>
      </c>
      <c r="FB778">
        <f>IF(ISBLANK('Data Entry'!$Þ$778), "", 'Data Entry'!$Þ$778)</f>
      </c>
      <c r="FC778">
        <f>IF(ISBLANK('Data Entry'!$ß$778), "", 'Data Entry'!$ß$778)</f>
      </c>
      <c r="FD778">
        <f>IF(ISBLANK('Data Entry'!$à$778), "", 'Data Entry'!$à$778)</f>
      </c>
      <c r="FE778">
        <f>IF(ISBLANK('Data Entry'!$á$778), "", 'Data Entry'!$á$778)</f>
      </c>
      <c r="FF778">
        <f>IF(ISBLANK('Data Entry'!$â$778), "", 'Data Entry'!$â$778)</f>
      </c>
      <c r="FG778">
        <f>IF(ISBLANK('Data Entry'!$ã$778), "", 'Data Entry'!$ã$778)</f>
      </c>
      <c r="FH778">
        <f>IF(ISBLANK('Data Entry'!$ä$778), "", 'Data Entry'!$ä$778)</f>
      </c>
      <c r="FI778">
        <f>IF(ISBLANK('Data Entry'!$å$778), "", 'Data Entry'!$å$778)</f>
      </c>
      <c r="FJ778">
        <f>IF(ISBLANK('Data Entry'!$æ$778), "", 'Data Entry'!$æ$778)</f>
      </c>
      <c r="FK778">
        <f>IF(ISBLANK('Data Entry'!$ç$778), "", 'Data Entry'!$ç$778)</f>
      </c>
      <c r="FL778">
        <f>IF(ISBLANK('Data Entry'!$è$778), "", 'Data Entry'!$è$778)</f>
      </c>
      <c r="FM778">
        <f>IF(ISBLANK('Data Entry'!$é$778), "", 'Data Entry'!$é$778)</f>
      </c>
      <c r="FN778">
        <f>IF(ISBLANK('Data Entry'!$ê$778), "", 'Data Entry'!$ê$778)</f>
      </c>
      <c r="FO778">
        <f>IF(ISBLANK('Data Entry'!$ë$778), "", 'Data Entry'!$ë$778)</f>
      </c>
      <c r="FP778">
        <f>IF(ISBLANK('Data Entry'!$ì$778), "", 'Data Entry'!$ì$778)</f>
      </c>
      <c r="FQ778">
        <f>IF(ISBLANK('Data Entry'!$í$778), "", 'Data Entry'!$í$778)</f>
      </c>
      <c r="FR778">
        <f>IF(ISBLANK('Data Entry'!$î$778), "", 'Data Entry'!$î$778)</f>
      </c>
      <c r="FS778">
        <f>IF(ISBLANK('Data Entry'!$ï$778), "", 'Data Entry'!$ï$778)</f>
      </c>
      <c r="FT778">
        <f>IF(ISBLANK('Data Entry'!$ð$778), "", 'Data Entry'!$ð$778)</f>
      </c>
      <c r="FU778">
        <f>IF(ISBLANK('Data Entry'!$ñ$778), "", 'Data Entry'!$ñ$778)</f>
      </c>
      <c r="FV778">
        <f>IF(ISBLANK('Data Entry'!$ò$778), "", 'Data Entry'!$ò$778)</f>
      </c>
      <c r="FW778">
        <f>IF(ISBLANK('Data Entry'!$ó$778), "", 'Data Entry'!$ó$778)</f>
      </c>
      <c r="FX778">
        <f>IF(ISBLANK('Data Entry'!$ô$778), "", 'Data Entry'!$ô$778)</f>
      </c>
      <c r="FY778">
        <f>IF(ISBLANK('Data Entry'!$õ$778), "", 'Data Entry'!$õ$778)</f>
      </c>
      <c r="FZ778">
        <f>IF(ISBLANK('Data Entry'!$ö$778), "", 'Data Entry'!$ö$778)</f>
      </c>
      <c r="GA778">
        <f>IF(ISBLANK('Data Entry'!$÷$778), "", 'Data Entry'!$÷$778)</f>
      </c>
      <c r="GB778">
        <f>IF(ISBLANK('Data Entry'!$ø$778), "", 'Data Entry'!$ø$778)</f>
      </c>
      <c r="GC778">
        <f>IF(ISBLANK('Data Entry'!$ù$778), "", 'Data Entry'!$ù$778)</f>
      </c>
      <c r="GD778">
        <f>IF(ISBLANK('Data Entry'!$ú$778), "", 'Data Entry'!$ú$778)</f>
      </c>
      <c r="GE778">
        <f>IF(ISBLANK('Data Entry'!$û$778), "", 'Data Entry'!$û$778)</f>
      </c>
      <c r="GF778">
        <f>IF(ISBLANK('Data Entry'!$ü$778), "", 'Data Entry'!$ü$778)</f>
      </c>
      <c r="GG778">
        <f>IF(ISBLANK('Data Entry'!$ý$778), "", 'Data Entry'!$ý$778)</f>
      </c>
      <c r="GH778">
        <f>IF(ISBLANK('Data Entry'!$þ$778), "", 'Data Entry'!$þ$778)</f>
      </c>
      <c r="GI778">
        <f>IF(ISBLANK('Data Entry'!$ÿ$778), "", 'Data Entry'!$ÿ$778)</f>
      </c>
      <c r="GJ778">
        <f>IF(ISBLANK('Data Entry'!$Ā$778), "", 'Data Entry'!$Ā$778)</f>
      </c>
      <c r="GK778">
        <f>IF(ISBLANK('Data Entry'!$ā$778), "", 'Data Entry'!$ā$778)</f>
      </c>
      <c r="GL778">
        <f>IF(ISBLANK('Data Entry'!$Ă$778), "", 'Data Entry'!$Ă$778)</f>
      </c>
      <c r="GM778">
        <f>IF(ISBLANK('Data Entry'!$ă$778), "", 'Data Entry'!$ă$778)</f>
      </c>
      <c r="GN778">
        <f>IF(ISBLANK('Data Entry'!$Ą$778), "", 'Data Entry'!$Ą$778)</f>
      </c>
      <c r="GO778">
        <f>IF(ISBLANK('Data Entry'!$ą$778), "", 'Data Entry'!$ą$778)</f>
      </c>
      <c r="GP778">
        <f>IF(ISBLANK('Data Entry'!$Ć$778), "", 'Data Entry'!$Ć$778)</f>
      </c>
      <c r="GQ778">
        <f>IF(ISBLANK('Data Entry'!$ć$778), "", 'Data Entry'!$ć$778)</f>
      </c>
      <c r="GR778">
        <f>IF(ISBLANK('Data Entry'!$Ĉ$778), "", 'Data Entry'!$Ĉ$778)</f>
      </c>
      <c r="GS778">
        <f>IF(ISBLANK('Data Entry'!$ĉ$778), "", 'Data Entry'!$ĉ$778)</f>
      </c>
      <c r="GT778">
        <f>IF(ISBLANK('Data Entry'!$Ċ$778), "", 'Data Entry'!$Ċ$778)</f>
      </c>
      <c r="GU778">
        <f>IF(ISBLANK('Data Entry'!$ċ$778), "", 'Data Entry'!$ċ$778)</f>
      </c>
      <c r="GV778">
        <f>IF(ISBLANK('Data Entry'!$Č$778), "", 'Data Entry'!$Č$778)</f>
      </c>
      <c r="GW778">
        <f>IF(ISBLANK('Data Entry'!$č$778), "", 'Data Entry'!$č$778)</f>
      </c>
      <c r="GX778">
        <f>IF(ISBLANK('Data Entry'!$Ď$778), "", 'Data Entry'!$Ď$778)</f>
      </c>
      <c r="GY778">
        <f>IF(ISBLANK('Data Entry'!$ď$778), "", 'Data Entry'!$ď$778)</f>
      </c>
      <c r="GZ778">
        <f>IF(ISBLANK('Data Entry'!$Đ$778), "", 'Data Entry'!$Đ$778)</f>
      </c>
      <c r="HA778">
        <f>IF(ISBLANK('Data Entry'!$đ$778), "", 'Data Entry'!$đ$778)</f>
      </c>
      <c r="HB778">
        <f>IF(ISBLANK('Data Entry'!$Ē$778), "", 'Data Entry'!$Ē$778)</f>
      </c>
      <c r="HC778">
        <f>IF(ISBLANK('Data Entry'!$ē$778), "", 'Data Entry'!$ē$778)</f>
      </c>
      <c r="HD778">
        <f>IF(ISBLANK('Data Entry'!$Ĕ$778), "", 'Data Entry'!$Ĕ$778)</f>
      </c>
      <c r="HE778">
        <f>IF(ISBLANK('Data Entry'!$ĕ$778), "", 'Data Entry'!$ĕ$778)</f>
      </c>
      <c r="HF778">
        <f>IF(ISBLANK('Data Entry'!$Ė$778), "", 'Data Entry'!$Ė$778)</f>
      </c>
      <c r="HG778">
        <f>IF(ISBLANK('Data Entry'!$ė$778), "", 'Data Entry'!$ė$778)</f>
      </c>
      <c r="HH778">
        <f>IF(ISBLANK('Data Entry'!$Ę$778), "", 'Data Entry'!$Ę$778)</f>
      </c>
      <c r="HI778">
        <f>IF(ISBLANK('Data Entry'!$ę$778), "", 'Data Entry'!$ę$778)</f>
      </c>
      <c r="HJ778">
        <f>IF(ISBLANK('Data Entry'!$Ě$778), "", 'Data Entry'!$Ě$778)</f>
      </c>
      <c r="HK778">
        <f>IF(ISBLANK('Data Entry'!$ě$778), "", 'Data Entry'!$ě$778)</f>
      </c>
      <c r="HL778">
        <f>IF(ISBLANK('Data Entry'!$Ĝ$778), "", 'Data Entry'!$Ĝ$778)</f>
      </c>
      <c r="HM778">
        <f>IF(ISBLANK('Data Entry'!$ĝ$778), "", 'Data Entry'!$ĝ$778)</f>
      </c>
      <c r="HN778">
        <f>IF(ISBLANK('Data Entry'!$Ğ$778), "", 'Data Entry'!$Ğ$778)</f>
      </c>
      <c r="HO778">
        <f>IF(ISBLANK('Data Entry'!$ğ$778), "", 'Data Entry'!$ğ$778)</f>
      </c>
      <c r="HP778">
        <f>IF(ISBLANK('Data Entry'!$Ġ$778), "", 'Data Entry'!$Ġ$778)</f>
      </c>
      <c r="HQ778">
        <f>IF(ISBLANK('Data Entry'!$ġ$778), "", 'Data Entry'!$ġ$778)</f>
      </c>
      <c r="HR778">
        <f>IF(ISBLANK('Data Entry'!$Ģ$778), "", 'Data Entry'!$Ģ$778)</f>
      </c>
      <c r="HS778">
        <f>IF(ISBLANK('Data Entry'!$ģ$778), "", 'Data Entry'!$ģ$778)</f>
      </c>
      <c r="HT778">
        <f>IF(ISBLANK('Data Entry'!$Ĥ$778), "", 'Data Entry'!$Ĥ$778)</f>
      </c>
      <c r="HU778">
        <f>IF(ISBLANK('Data Entry'!$ĥ$778), "", 'Data Entry'!$ĥ$778)</f>
      </c>
      <c r="HV778">
        <f>IF(ISBLANK('Data Entry'!$Ħ$778), "", 'Data Entry'!$Ħ$778)</f>
      </c>
      <c r="HW778">
        <f>IF(ISBLANK('Data Entry'!$ħ$778), "", 'Data Entry'!$ħ$778)</f>
      </c>
      <c r="HX778">
        <f>IF(ISBLANK('Data Entry'!$Ĩ$778), "", 'Data Entry'!$Ĩ$778)</f>
      </c>
      <c r="HY778">
        <f>IF(ISBLANK('Data Entry'!$ĩ$778), "", 'Data Entry'!$ĩ$778)</f>
      </c>
      <c r="HZ778">
        <f>IF(ISBLANK('Data Entry'!$Ī$778), "", 'Data Entry'!$Ī$778)</f>
      </c>
      <c r="IA778">
        <f>IF(ISBLANK('Data Entry'!$ī$778), "", 'Data Entry'!$ī$778)</f>
      </c>
      <c r="IB778">
        <f>IF(ISBLANK('Data Entry'!$Ĭ$778), "", 'Data Entry'!$Ĭ$778)</f>
      </c>
      <c r="IC778">
        <f>IF(ISBLANK('Data Entry'!$ĭ$778), "", 'Data Entry'!$ĭ$778)</f>
      </c>
      <c r="ID778">
        <f>IF(ISBLANK('Data Entry'!$Į$778), "", 'Data Entry'!$Į$778)</f>
      </c>
      <c r="IE778">
        <f>IF(ISBLANK('Data Entry'!$į$778), "", 'Data Entry'!$į$778)</f>
      </c>
      <c r="IF778">
        <f>IF(ISBLANK('Data Entry'!$İ$778), "", 'Data Entry'!$İ$778)</f>
      </c>
      <c r="IG778">
        <f>IF(ISBLANK('Data Entry'!$ı$778), "", 'Data Entry'!$ı$778)</f>
      </c>
      <c r="IH778">
        <f>IF(ISBLANK('Data Entry'!$Ĳ$778), "", 'Data Entry'!$Ĳ$778)</f>
      </c>
      <c r="II778">
        <f>IF(ISBLANK('Data Entry'!$ĳ$778), "", 'Data Entry'!$ĳ$778)</f>
      </c>
      <c r="IJ778">
        <f>IF(ISBLANK('Data Entry'!$Ĵ$778), "", 'Data Entry'!$Ĵ$778)</f>
      </c>
      <c r="IK778">
        <f>IF(ISBLANK('Data Entry'!$ĵ$778), "", 'Data Entry'!$ĵ$778)</f>
      </c>
      <c r="IL778">
        <f>IF(ISBLANK('Data Entry'!$Ķ$778), "", 'Data Entry'!$Ķ$778)</f>
      </c>
      <c r="IM778">
        <f>IF(ISBLANK('Data Entry'!$ķ$778), "", 'Data Entry'!$ķ$778)</f>
      </c>
      <c r="IN778">
        <f>IF(ISBLANK('Data Entry'!$ĸ$778), "", 'Data Entry'!$ĸ$778)</f>
      </c>
      <c r="IO778">
        <f>IF(ISBLANK('Data Entry'!$Ĺ$778), "", 'Data Entry'!$Ĺ$778)</f>
      </c>
      <c r="IP778">
        <f>IF(ISBLANK('Data Entry'!$ĺ$778), "", 'Data Entry'!$ĺ$778)</f>
      </c>
      <c r="IQ778">
        <f>IF(ISBLANK('Data Entry'!$Ļ$778), "", 'Data Entry'!$Ļ$778)</f>
      </c>
      <c r="IR778">
        <f>IF(ISBLANK('Data Entry'!$ļ$778), "", 'Data Entry'!$ļ$778)</f>
      </c>
      <c r="IS778">
        <f>IF(ISBLANK('Data Entry'!$Ľ$778), "", 'Data Entry'!$Ľ$778)</f>
      </c>
      <c r="IT778">
        <f>IF(ISBLANK('Data Entry'!$ľ$778), "", 'Data Entry'!$ľ$778)</f>
      </c>
    </row>
    <row r="779" spans="1:254" x14ac:dyDescent="0.25">
      <c r="A779">
        <f>IF(ISBLANK('Data Entry'!$A$779), "", 'Data Entry'!$A$779)</f>
      </c>
      <c r="B779">
        <f>IF(ISBLANK('Data Entry'!$B$779), "", 'Data Entry'!$B$779)</f>
      </c>
      <c r="C779">
        <f>IF(ISBLANK('Data Entry'!$C$779), "", 'Data Entry'!$C$779)</f>
      </c>
      <c r="D779">
        <f>IF(ISBLANK('Data Entry'!$D$779), "", 'Data Entry'!$D$779)</f>
      </c>
      <c r="E779">
        <f>IF(ISBLANK('Data Entry'!$E$779), "", 'Data Entry'!$E$779)</f>
      </c>
      <c r="F779">
        <f>IF(ISBLANK('Data Entry'!$F$779), "", 'Data Entry'!$F$779)</f>
      </c>
      <c r="G779">
        <f>IF(ISBLANK('Data Entry'!$G$779), "", 'Data Entry'!$G$779)</f>
      </c>
      <c r="H779">
        <f>IF(ISBLANK('Data Entry'!$H$779), "", 'Data Entry'!$H$779)</f>
      </c>
      <c r="I779">
        <f>IF(ISBLANK('Data Entry'!$I$779), "", 'Data Entry'!$I$779)</f>
      </c>
      <c r="J779">
        <f>IF(ISBLANK('Data Entry'!$J$779), "", 'Data Entry'!$J$779)</f>
      </c>
      <c r="K779">
        <f>IF(ISBLANK('Data Entry'!$K$779), "", 'Data Entry'!$K$779)</f>
      </c>
      <c r="L779">
        <f>IF(ISBLANK('Data Entry'!$L$779), "", 'Data Entry'!$L$779)</f>
      </c>
      <c r="M779">
        <f>IF(ISBLANK('Data Entry'!$M$779), "", 'Data Entry'!$M$779)</f>
      </c>
      <c r="N779">
        <f>IF(ISBLANK('Data Entry'!$N$779), "", 'Data Entry'!$N$779)</f>
      </c>
      <c r="O779">
        <f>IF(ISBLANK('Data Entry'!$O$779), "", 'Data Entry'!$O$779)</f>
      </c>
      <c r="P779">
        <f>IF(ISBLANK('Data Entry'!$P$779), "", 'Data Entry'!$P$779)</f>
      </c>
      <c r="Q779">
        <f>IF(ISBLANK('Data Entry'!$Q$779), "", 'Data Entry'!$Q$779)</f>
      </c>
      <c r="R779">
        <f>IF(ISBLANK('Data Entry'!$R$779), "", 'Data Entry'!$R$779)</f>
      </c>
      <c r="S779">
        <f>IF(ISBLANK('Data Entry'!$S$779), "", 'Data Entry'!$S$779)</f>
      </c>
      <c r="T779">
        <f>IF(ISBLANK('Data Entry'!$T$779), "", 'Data Entry'!$T$779)</f>
      </c>
      <c r="U779">
        <f>IF(ISBLANK('Data Entry'!$U$779), "", 'Data Entry'!$U$779)</f>
      </c>
      <c r="V779">
        <f>IF(ISBLANK('Data Entry'!$V$779), "", 'Data Entry'!$V$779)</f>
      </c>
      <c r="W779">
        <f>IF(ISBLANK('Data Entry'!$W$779), "", 'Data Entry'!$W$779)</f>
      </c>
      <c r="X779">
        <f>IF(ISBLANK('Data Entry'!$X$779), "", 'Data Entry'!$X$779)</f>
      </c>
      <c r="Y779">
        <f>IF(ISBLANK('Data Entry'!$Y$779), "", 'Data Entry'!$Y$779)</f>
      </c>
      <c r="Z779">
        <f>IF(ISBLANK('Data Entry'!$Z$779), "", 'Data Entry'!$Z$779)</f>
      </c>
      <c r="AA779">
        <f>IF(ISBLANK('Data Entry'!$[$779), "", 'Data Entry'!$[$779)</f>
      </c>
      <c r="AB779">
        <f>IF(ISBLANK('Data Entry'!$\$779), "", 'Data Entry'!$\$779)</f>
      </c>
      <c r="AC779">
        <f>IF(ISBLANK('Data Entry'!$]$779), "", 'Data Entry'!$]$779)</f>
      </c>
      <c r="AD779">
        <f>IF(ISBLANK('Data Entry'!$^$779), "", 'Data Entry'!$^$779)</f>
      </c>
      <c r="AE779">
        <f>IF(ISBLANK('Data Entry'!$_$779), "", 'Data Entry'!$_$779)</f>
      </c>
      <c r="AF779">
        <f>IF(ISBLANK('Data Entry'!$`$779), "", 'Data Entry'!$`$779)</f>
      </c>
      <c r="AG779">
        <f>IF(ISBLANK('Data Entry'!$a$779), "", 'Data Entry'!$a$779)</f>
      </c>
      <c r="AH779">
        <f>IF(ISBLANK('Data Entry'!$b$779), "", 'Data Entry'!$b$779)</f>
      </c>
      <c r="AI779">
        <f>IF(ISBLANK('Data Entry'!$c$779), "", 'Data Entry'!$c$779)</f>
      </c>
      <c r="AJ779">
        <f>IF(ISBLANK('Data Entry'!$d$779), "", 'Data Entry'!$d$779)</f>
      </c>
      <c r="AK779">
        <f>IF(ISBLANK('Data Entry'!$e$779), "", 'Data Entry'!$e$779)</f>
      </c>
      <c r="AL779">
        <f>IF(ISBLANK('Data Entry'!$f$779), "", 'Data Entry'!$f$779)</f>
      </c>
      <c r="AM779">
        <f>IF(ISBLANK('Data Entry'!$g$779), "", 'Data Entry'!$g$779)</f>
      </c>
      <c r="AN779">
        <f>IF(ISBLANK('Data Entry'!$h$779), "", 'Data Entry'!$h$779)</f>
      </c>
      <c r="AO779">
        <f>IF(ISBLANK('Data Entry'!$i$779), "", 'Data Entry'!$i$779)</f>
      </c>
      <c r="AP779">
        <f>IF(ISBLANK('Data Entry'!$j$779), "", 'Data Entry'!$j$779)</f>
      </c>
      <c r="AQ779">
        <f>IF(ISBLANK('Data Entry'!$k$779), "", 'Data Entry'!$k$779)</f>
      </c>
      <c r="AR779">
        <f>IF(ISBLANK('Data Entry'!$l$779), "", 'Data Entry'!$l$779)</f>
      </c>
      <c r="AS779">
        <f>IF(ISBLANK('Data Entry'!$m$779), "", 'Data Entry'!$m$779)</f>
      </c>
      <c r="AT779">
        <f>IF(ISBLANK('Data Entry'!$n$779), "", 'Data Entry'!$n$779)</f>
      </c>
      <c r="AU779">
        <f>IF(ISBLANK('Data Entry'!$o$779), "", 'Data Entry'!$o$779)</f>
      </c>
      <c r="AV779">
        <f>IF(ISBLANK('Data Entry'!$p$779), "", 'Data Entry'!$p$779)</f>
      </c>
      <c r="AW779">
        <f>IF(ISBLANK('Data Entry'!$q$779), "", 'Data Entry'!$q$779)</f>
      </c>
      <c r="AX779">
        <f>IF(ISBLANK('Data Entry'!$r$779), "", 'Data Entry'!$r$779)</f>
      </c>
      <c r="AY779">
        <f>IF(ISBLANK('Data Entry'!$s$779), "", 'Data Entry'!$s$779)</f>
      </c>
      <c r="AZ779">
        <f>IF(ISBLANK('Data Entry'!$t$779), "", 'Data Entry'!$t$779)</f>
      </c>
      <c r="BA779">
        <f>IF(ISBLANK('Data Entry'!$u$779), "", 'Data Entry'!$u$779)</f>
      </c>
      <c r="BB779">
        <f>IF(ISBLANK('Data Entry'!$v$779), "", 'Data Entry'!$v$779)</f>
      </c>
      <c r="BC779">
        <f>IF(ISBLANK('Data Entry'!$w$779), "", 'Data Entry'!$w$779)</f>
      </c>
      <c r="BD779">
        <f>IF(ISBLANK('Data Entry'!$x$779), "", 'Data Entry'!$x$779)</f>
      </c>
      <c r="BE779">
        <f>IF(ISBLANK('Data Entry'!$y$779), "", 'Data Entry'!$y$779)</f>
      </c>
      <c r="BF779">
        <f>IF(ISBLANK('Data Entry'!$z$779), "", 'Data Entry'!$z$779)</f>
      </c>
      <c r="BG779">
        <f>IF(ISBLANK('Data Entry'!${$779), "", 'Data Entry'!${$779)</f>
      </c>
      <c r="BH779">
        <f>IF(ISBLANK('Data Entry'!$|$779), "", 'Data Entry'!$|$779)</f>
      </c>
      <c r="BI779">
        <f>IF(ISBLANK('Data Entry'!$}$779), "", 'Data Entry'!$}$779)</f>
      </c>
      <c r="BJ779">
        <f>IF(ISBLANK('Data Entry'!$~$779), "", 'Data Entry'!$~$779)</f>
      </c>
      <c r="BK779">
        <f>IF(ISBLANK('Data Entry'!$$779), "", 'Data Entry'!$$779)</f>
      </c>
      <c r="BL779">
        <f>IF(ISBLANK('Data Entry'!$$779), "", 'Data Entry'!$$779)</f>
      </c>
      <c r="BM779">
        <f>IF(ISBLANK('Data Entry'!$$779), "", 'Data Entry'!$$779)</f>
      </c>
      <c r="BN779">
        <f>IF(ISBLANK('Data Entry'!$$779), "", 'Data Entry'!$$779)</f>
      </c>
      <c r="BO779">
        <f>IF(ISBLANK('Data Entry'!$$779), "", 'Data Entry'!$$779)</f>
      </c>
      <c r="BP779">
        <f>IF(ISBLANK('Data Entry'!$$779), "", 'Data Entry'!$$779)</f>
      </c>
      <c r="BQ779">
        <f>IF(ISBLANK('Data Entry'!$$779), "", 'Data Entry'!$$779)</f>
      </c>
      <c r="BR779">
        <f>IF(ISBLANK('Data Entry'!$$779), "", 'Data Entry'!$$779)</f>
      </c>
      <c r="BS779">
        <f>IF(ISBLANK('Data Entry'!$$779), "", 'Data Entry'!$$779)</f>
      </c>
      <c r="BT779">
        <f>IF(ISBLANK('Data Entry'!$$779), "", 'Data Entry'!$$779)</f>
      </c>
      <c r="BU779">
        <f>IF(ISBLANK('Data Entry'!$$779), "", 'Data Entry'!$$779)</f>
      </c>
      <c r="BV779">
        <f>IF(ISBLANK('Data Entry'!$$779), "", 'Data Entry'!$$779)</f>
      </c>
      <c r="BW779">
        <f>IF(ISBLANK('Data Entry'!$$779), "", 'Data Entry'!$$779)</f>
      </c>
      <c r="BX779">
        <f>IF(ISBLANK('Data Entry'!$$779), "", 'Data Entry'!$$779)</f>
      </c>
      <c r="BY779">
        <f>IF(ISBLANK('Data Entry'!$$779), "", 'Data Entry'!$$779)</f>
      </c>
      <c r="BZ779">
        <f>IF(ISBLANK('Data Entry'!$$779), "", 'Data Entry'!$$779)</f>
      </c>
      <c r="CA779">
        <f>IF(ISBLANK('Data Entry'!$$779), "", 'Data Entry'!$$779)</f>
      </c>
      <c r="CB779">
        <f>IF(ISBLANK('Data Entry'!$$779), "", 'Data Entry'!$$779)</f>
      </c>
      <c r="CC779">
        <f>IF(ISBLANK('Data Entry'!$$779), "", 'Data Entry'!$$779)</f>
      </c>
      <c r="CD779">
        <f>IF(ISBLANK('Data Entry'!$$779), "", 'Data Entry'!$$779)</f>
      </c>
      <c r="CE779">
        <f>IF(ISBLANK('Data Entry'!$$779), "", 'Data Entry'!$$779)</f>
      </c>
      <c r="CF779">
        <f>IF(ISBLANK('Data Entry'!$$779), "", 'Data Entry'!$$779)</f>
      </c>
      <c r="CG779">
        <f>IF(ISBLANK('Data Entry'!$$779), "", 'Data Entry'!$$779)</f>
      </c>
      <c r="CH779">
        <f>IF(ISBLANK('Data Entry'!$$779), "", 'Data Entry'!$$779)</f>
      </c>
      <c r="CI779">
        <f>IF(ISBLANK('Data Entry'!$$779), "", 'Data Entry'!$$779)</f>
      </c>
      <c r="CJ779">
        <f>IF(ISBLANK('Data Entry'!$$779), "", 'Data Entry'!$$779)</f>
      </c>
      <c r="CK779">
        <f>IF(ISBLANK('Data Entry'!$$779), "", 'Data Entry'!$$779)</f>
      </c>
      <c r="CL779">
        <f>IF(ISBLANK('Data Entry'!$$779), "", 'Data Entry'!$$779)</f>
      </c>
      <c r="CM779">
        <f>IF(ISBLANK('Data Entry'!$$779), "", 'Data Entry'!$$779)</f>
      </c>
      <c r="CN779">
        <f>IF(ISBLANK('Data Entry'!$$779), "", 'Data Entry'!$$779)</f>
      </c>
      <c r="CO779">
        <f>IF(ISBLANK('Data Entry'!$$779), "", 'Data Entry'!$$779)</f>
      </c>
      <c r="CP779">
        <f>IF(ISBLANK('Data Entry'!$$779), "", 'Data Entry'!$$779)</f>
      </c>
      <c r="CQ779">
        <f>IF(ISBLANK('Data Entry'!$$779), "", 'Data Entry'!$$779)</f>
      </c>
      <c r="CR779">
        <f>IF(ISBLANK('Data Entry'!$ $779), "", 'Data Entry'!$ $779)</f>
      </c>
      <c r="CS779">
        <f>IF(ISBLANK('Data Entry'!$¡$779), "", 'Data Entry'!$¡$779)</f>
      </c>
      <c r="CT779">
        <f>IF(ISBLANK('Data Entry'!$¢$779), "", 'Data Entry'!$¢$779)</f>
      </c>
      <c r="CU779">
        <f>IF(ISBLANK('Data Entry'!$£$779), "", 'Data Entry'!$£$779)</f>
      </c>
      <c r="CV779">
        <f>IF(ISBLANK('Data Entry'!$¤$779), "", 'Data Entry'!$¤$779)</f>
      </c>
      <c r="CW779">
        <f>IF(ISBLANK('Data Entry'!$¥$779), "", 'Data Entry'!$¥$779)</f>
      </c>
      <c r="CX779">
        <f>IF(ISBLANK('Data Entry'!$¦$779), "", 'Data Entry'!$¦$779)</f>
      </c>
      <c r="CY779">
        <f>IF(ISBLANK('Data Entry'!$§$779), "", 'Data Entry'!$§$779)</f>
      </c>
      <c r="CZ779">
        <f>IF(ISBLANK('Data Entry'!$¨$779), "", 'Data Entry'!$¨$779)</f>
      </c>
      <c r="DA779">
        <f>IF(ISBLANK('Data Entry'!$©$779), "", 'Data Entry'!$©$779)</f>
      </c>
      <c r="DB779">
        <f>IF(ISBLANK('Data Entry'!$ª$779), "", 'Data Entry'!$ª$779)</f>
      </c>
      <c r="DC779">
        <f>IF(ISBLANK('Data Entry'!$«$779), "", 'Data Entry'!$«$779)</f>
      </c>
      <c r="DD779">
        <f>IF(ISBLANK('Data Entry'!$¬$779), "", 'Data Entry'!$¬$779)</f>
      </c>
      <c r="DE779">
        <f>IF(ISBLANK('Data Entry'!$­$779), "", 'Data Entry'!$­$779)</f>
      </c>
      <c r="DF779">
        <f>IF(ISBLANK('Data Entry'!$®$779), "", 'Data Entry'!$®$779)</f>
      </c>
      <c r="DG779">
        <f>IF(ISBLANK('Data Entry'!$¯$779), "", 'Data Entry'!$¯$779)</f>
      </c>
      <c r="DH779">
        <f>IF(ISBLANK('Data Entry'!$°$779), "", 'Data Entry'!$°$779)</f>
      </c>
      <c r="DI779">
        <f>IF(ISBLANK('Data Entry'!$±$779), "", 'Data Entry'!$±$779)</f>
      </c>
      <c r="DJ779">
        <f>IF(ISBLANK('Data Entry'!$²$779), "", 'Data Entry'!$²$779)</f>
      </c>
      <c r="DK779">
        <f>IF(ISBLANK('Data Entry'!$³$779), "", 'Data Entry'!$³$779)</f>
      </c>
      <c r="DL779">
        <f>IF(ISBLANK('Data Entry'!$´$779), "", 'Data Entry'!$´$779)</f>
      </c>
      <c r="DM779">
        <f>IF(ISBLANK('Data Entry'!$µ$779), "", 'Data Entry'!$µ$779)</f>
      </c>
      <c r="DN779">
        <f>IF(ISBLANK('Data Entry'!$¶$779), "", 'Data Entry'!$¶$779)</f>
      </c>
      <c r="DO779">
        <f>IF(ISBLANK('Data Entry'!$·$779), "", 'Data Entry'!$·$779)</f>
      </c>
      <c r="DP779">
        <f>IF(ISBLANK('Data Entry'!$¸$779), "", 'Data Entry'!$¸$779)</f>
      </c>
      <c r="DQ779">
        <f>IF(ISBLANK('Data Entry'!$¹$779), "", 'Data Entry'!$¹$779)</f>
      </c>
      <c r="DR779">
        <f>IF(ISBLANK('Data Entry'!$º$779), "", 'Data Entry'!$º$779)</f>
      </c>
      <c r="DS779">
        <f>IF(ISBLANK('Data Entry'!$»$779), "", 'Data Entry'!$»$779)</f>
      </c>
      <c r="DT779">
        <f>IF(ISBLANK('Data Entry'!$¼$779), "", 'Data Entry'!$¼$779)</f>
      </c>
      <c r="DU779">
        <f>IF(ISBLANK('Data Entry'!$½$779), "", 'Data Entry'!$½$779)</f>
      </c>
      <c r="DV779">
        <f>IF(ISBLANK('Data Entry'!$¾$779), "", 'Data Entry'!$¾$779)</f>
      </c>
      <c r="DW779">
        <f>IF(ISBLANK('Data Entry'!$¿$779), "", 'Data Entry'!$¿$779)</f>
      </c>
      <c r="DX779">
        <f>IF(ISBLANK('Data Entry'!$À$779), "", 'Data Entry'!$À$779)</f>
      </c>
      <c r="DY779">
        <f>IF(ISBLANK('Data Entry'!$Á$779), "", 'Data Entry'!$Á$779)</f>
      </c>
      <c r="DZ779">
        <f>IF(ISBLANK('Data Entry'!$Â$779), "", 'Data Entry'!$Â$779)</f>
      </c>
      <c r="EA779">
        <f>IF(ISBLANK('Data Entry'!$Ã$779), "", 'Data Entry'!$Ã$779)</f>
      </c>
      <c r="EB779">
        <f>IF(ISBLANK('Data Entry'!$Ä$779), "", 'Data Entry'!$Ä$779)</f>
      </c>
      <c r="EC779">
        <f>IF(ISBLANK('Data Entry'!$Å$779), "", 'Data Entry'!$Å$779)</f>
      </c>
      <c r="ED779">
        <f>IF(ISBLANK('Data Entry'!$Æ$779), "", 'Data Entry'!$Æ$779)</f>
      </c>
      <c r="EE779">
        <f>IF(ISBLANK('Data Entry'!$Ç$779), "", 'Data Entry'!$Ç$779)</f>
      </c>
      <c r="EF779">
        <f>IF(ISBLANK('Data Entry'!$È$779), "", 'Data Entry'!$È$779)</f>
      </c>
      <c r="EG779">
        <f>IF(ISBLANK('Data Entry'!$É$779), "", 'Data Entry'!$É$779)</f>
      </c>
      <c r="EH779">
        <f>IF(ISBLANK('Data Entry'!$Ê$779), "", 'Data Entry'!$Ê$779)</f>
      </c>
      <c r="EI779">
        <f>IF(ISBLANK('Data Entry'!$Ë$779), "", 'Data Entry'!$Ë$779)</f>
      </c>
      <c r="EJ779">
        <f>IF(ISBLANK('Data Entry'!$Ì$779), "", 'Data Entry'!$Ì$779)</f>
      </c>
      <c r="EK779">
        <f>IF(ISBLANK('Data Entry'!$Í$779), "", 'Data Entry'!$Í$779)</f>
      </c>
      <c r="EL779">
        <f>IF(ISBLANK('Data Entry'!$Î$779), "", 'Data Entry'!$Î$779)</f>
      </c>
      <c r="EM779">
        <f>IF(ISBLANK('Data Entry'!$Ï$779), "", 'Data Entry'!$Ï$779)</f>
      </c>
      <c r="EN779">
        <f>IF(ISBLANK('Data Entry'!$Ð$779), "", 'Data Entry'!$Ð$779)</f>
      </c>
      <c r="EO779">
        <f>IF(ISBLANK('Data Entry'!$Ñ$779), "", 'Data Entry'!$Ñ$779)</f>
      </c>
      <c r="EP779">
        <f>IF(ISBLANK('Data Entry'!$Ò$779), "", 'Data Entry'!$Ò$779)</f>
      </c>
      <c r="EQ779">
        <f>IF(ISBLANK('Data Entry'!$Ó$779), "", 'Data Entry'!$Ó$779)</f>
      </c>
      <c r="ER779">
        <f>IF(ISBLANK('Data Entry'!$Ô$779), "", 'Data Entry'!$Ô$779)</f>
      </c>
      <c r="ES779">
        <f>IF(ISBLANK('Data Entry'!$Õ$779), "", 'Data Entry'!$Õ$779)</f>
      </c>
      <c r="ET779">
        <f>IF(ISBLANK('Data Entry'!$Ö$779), "", 'Data Entry'!$Ö$779)</f>
      </c>
      <c r="EU779">
        <f>IF(ISBLANK('Data Entry'!$×$779), "", 'Data Entry'!$×$779)</f>
      </c>
      <c r="EV779">
        <f>IF(ISBLANK('Data Entry'!$Ø$779), "", 'Data Entry'!$Ø$779)</f>
      </c>
      <c r="EW779">
        <f>IF(ISBLANK('Data Entry'!$Ù$779), "", 'Data Entry'!$Ù$779)</f>
      </c>
      <c r="EX779">
        <f>IF(ISBLANK('Data Entry'!$Ú$779), "", 'Data Entry'!$Ú$779)</f>
      </c>
      <c r="EY779">
        <f>IF(ISBLANK('Data Entry'!$Û$779), "", 'Data Entry'!$Û$779)</f>
      </c>
      <c r="EZ779">
        <f>IF(ISBLANK('Data Entry'!$Ü$779), "", 'Data Entry'!$Ü$779)</f>
      </c>
      <c r="FA779">
        <f>IF(ISBLANK('Data Entry'!$Ý$779), "", 'Data Entry'!$Ý$779)</f>
      </c>
      <c r="FB779">
        <f>IF(ISBLANK('Data Entry'!$Þ$779), "", 'Data Entry'!$Þ$779)</f>
      </c>
      <c r="FC779">
        <f>IF(ISBLANK('Data Entry'!$ß$779), "", 'Data Entry'!$ß$779)</f>
      </c>
      <c r="FD779">
        <f>IF(ISBLANK('Data Entry'!$à$779), "", 'Data Entry'!$à$779)</f>
      </c>
      <c r="FE779">
        <f>IF(ISBLANK('Data Entry'!$á$779), "", 'Data Entry'!$á$779)</f>
      </c>
      <c r="FF779">
        <f>IF(ISBLANK('Data Entry'!$â$779), "", 'Data Entry'!$â$779)</f>
      </c>
      <c r="FG779">
        <f>IF(ISBLANK('Data Entry'!$ã$779), "", 'Data Entry'!$ã$779)</f>
      </c>
      <c r="FH779">
        <f>IF(ISBLANK('Data Entry'!$ä$779), "", 'Data Entry'!$ä$779)</f>
      </c>
      <c r="FI779">
        <f>IF(ISBLANK('Data Entry'!$å$779), "", 'Data Entry'!$å$779)</f>
      </c>
      <c r="FJ779">
        <f>IF(ISBLANK('Data Entry'!$æ$779), "", 'Data Entry'!$æ$779)</f>
      </c>
      <c r="FK779">
        <f>IF(ISBLANK('Data Entry'!$ç$779), "", 'Data Entry'!$ç$779)</f>
      </c>
      <c r="FL779">
        <f>IF(ISBLANK('Data Entry'!$è$779), "", 'Data Entry'!$è$779)</f>
      </c>
      <c r="FM779">
        <f>IF(ISBLANK('Data Entry'!$é$779), "", 'Data Entry'!$é$779)</f>
      </c>
      <c r="FN779">
        <f>IF(ISBLANK('Data Entry'!$ê$779), "", 'Data Entry'!$ê$779)</f>
      </c>
      <c r="FO779">
        <f>IF(ISBLANK('Data Entry'!$ë$779), "", 'Data Entry'!$ë$779)</f>
      </c>
      <c r="FP779">
        <f>IF(ISBLANK('Data Entry'!$ì$779), "", 'Data Entry'!$ì$779)</f>
      </c>
      <c r="FQ779">
        <f>IF(ISBLANK('Data Entry'!$í$779), "", 'Data Entry'!$í$779)</f>
      </c>
      <c r="FR779">
        <f>IF(ISBLANK('Data Entry'!$î$779), "", 'Data Entry'!$î$779)</f>
      </c>
      <c r="FS779">
        <f>IF(ISBLANK('Data Entry'!$ï$779), "", 'Data Entry'!$ï$779)</f>
      </c>
      <c r="FT779">
        <f>IF(ISBLANK('Data Entry'!$ð$779), "", 'Data Entry'!$ð$779)</f>
      </c>
      <c r="FU779">
        <f>IF(ISBLANK('Data Entry'!$ñ$779), "", 'Data Entry'!$ñ$779)</f>
      </c>
      <c r="FV779">
        <f>IF(ISBLANK('Data Entry'!$ò$779), "", 'Data Entry'!$ò$779)</f>
      </c>
      <c r="FW779">
        <f>IF(ISBLANK('Data Entry'!$ó$779), "", 'Data Entry'!$ó$779)</f>
      </c>
      <c r="FX779">
        <f>IF(ISBLANK('Data Entry'!$ô$779), "", 'Data Entry'!$ô$779)</f>
      </c>
      <c r="FY779">
        <f>IF(ISBLANK('Data Entry'!$õ$779), "", 'Data Entry'!$õ$779)</f>
      </c>
      <c r="FZ779">
        <f>IF(ISBLANK('Data Entry'!$ö$779), "", 'Data Entry'!$ö$779)</f>
      </c>
      <c r="GA779">
        <f>IF(ISBLANK('Data Entry'!$÷$779), "", 'Data Entry'!$÷$779)</f>
      </c>
      <c r="GB779">
        <f>IF(ISBLANK('Data Entry'!$ø$779), "", 'Data Entry'!$ø$779)</f>
      </c>
      <c r="GC779">
        <f>IF(ISBLANK('Data Entry'!$ù$779), "", 'Data Entry'!$ù$779)</f>
      </c>
      <c r="GD779">
        <f>IF(ISBLANK('Data Entry'!$ú$779), "", 'Data Entry'!$ú$779)</f>
      </c>
      <c r="GE779">
        <f>IF(ISBLANK('Data Entry'!$û$779), "", 'Data Entry'!$û$779)</f>
      </c>
      <c r="GF779">
        <f>IF(ISBLANK('Data Entry'!$ü$779), "", 'Data Entry'!$ü$779)</f>
      </c>
      <c r="GG779">
        <f>IF(ISBLANK('Data Entry'!$ý$779), "", 'Data Entry'!$ý$779)</f>
      </c>
      <c r="GH779">
        <f>IF(ISBLANK('Data Entry'!$þ$779), "", 'Data Entry'!$þ$779)</f>
      </c>
      <c r="GI779">
        <f>IF(ISBLANK('Data Entry'!$ÿ$779), "", 'Data Entry'!$ÿ$779)</f>
      </c>
      <c r="GJ779">
        <f>IF(ISBLANK('Data Entry'!$Ā$779), "", 'Data Entry'!$Ā$779)</f>
      </c>
      <c r="GK779">
        <f>IF(ISBLANK('Data Entry'!$ā$779), "", 'Data Entry'!$ā$779)</f>
      </c>
      <c r="GL779">
        <f>IF(ISBLANK('Data Entry'!$Ă$779), "", 'Data Entry'!$Ă$779)</f>
      </c>
      <c r="GM779">
        <f>IF(ISBLANK('Data Entry'!$ă$779), "", 'Data Entry'!$ă$779)</f>
      </c>
      <c r="GN779">
        <f>IF(ISBLANK('Data Entry'!$Ą$779), "", 'Data Entry'!$Ą$779)</f>
      </c>
      <c r="GO779">
        <f>IF(ISBLANK('Data Entry'!$ą$779), "", 'Data Entry'!$ą$779)</f>
      </c>
      <c r="GP779">
        <f>IF(ISBLANK('Data Entry'!$Ć$779), "", 'Data Entry'!$Ć$779)</f>
      </c>
      <c r="GQ779">
        <f>IF(ISBLANK('Data Entry'!$ć$779), "", 'Data Entry'!$ć$779)</f>
      </c>
      <c r="GR779">
        <f>IF(ISBLANK('Data Entry'!$Ĉ$779), "", 'Data Entry'!$Ĉ$779)</f>
      </c>
      <c r="GS779">
        <f>IF(ISBLANK('Data Entry'!$ĉ$779), "", 'Data Entry'!$ĉ$779)</f>
      </c>
      <c r="GT779">
        <f>IF(ISBLANK('Data Entry'!$Ċ$779), "", 'Data Entry'!$Ċ$779)</f>
      </c>
      <c r="GU779">
        <f>IF(ISBLANK('Data Entry'!$ċ$779), "", 'Data Entry'!$ċ$779)</f>
      </c>
      <c r="GV779">
        <f>IF(ISBLANK('Data Entry'!$Č$779), "", 'Data Entry'!$Č$779)</f>
      </c>
      <c r="GW779">
        <f>IF(ISBLANK('Data Entry'!$č$779), "", 'Data Entry'!$č$779)</f>
      </c>
      <c r="GX779">
        <f>IF(ISBLANK('Data Entry'!$Ď$779), "", 'Data Entry'!$Ď$779)</f>
      </c>
      <c r="GY779">
        <f>IF(ISBLANK('Data Entry'!$ď$779), "", 'Data Entry'!$ď$779)</f>
      </c>
      <c r="GZ779">
        <f>IF(ISBLANK('Data Entry'!$Đ$779), "", 'Data Entry'!$Đ$779)</f>
      </c>
      <c r="HA779">
        <f>IF(ISBLANK('Data Entry'!$đ$779), "", 'Data Entry'!$đ$779)</f>
      </c>
      <c r="HB779">
        <f>IF(ISBLANK('Data Entry'!$Ē$779), "", 'Data Entry'!$Ē$779)</f>
      </c>
      <c r="HC779">
        <f>IF(ISBLANK('Data Entry'!$ē$779), "", 'Data Entry'!$ē$779)</f>
      </c>
      <c r="HD779">
        <f>IF(ISBLANK('Data Entry'!$Ĕ$779), "", 'Data Entry'!$Ĕ$779)</f>
      </c>
      <c r="HE779">
        <f>IF(ISBLANK('Data Entry'!$ĕ$779), "", 'Data Entry'!$ĕ$779)</f>
      </c>
      <c r="HF779">
        <f>IF(ISBLANK('Data Entry'!$Ė$779), "", 'Data Entry'!$Ė$779)</f>
      </c>
      <c r="HG779">
        <f>IF(ISBLANK('Data Entry'!$ė$779), "", 'Data Entry'!$ė$779)</f>
      </c>
      <c r="HH779">
        <f>IF(ISBLANK('Data Entry'!$Ę$779), "", 'Data Entry'!$Ę$779)</f>
      </c>
      <c r="HI779">
        <f>IF(ISBLANK('Data Entry'!$ę$779), "", 'Data Entry'!$ę$779)</f>
      </c>
      <c r="HJ779">
        <f>IF(ISBLANK('Data Entry'!$Ě$779), "", 'Data Entry'!$Ě$779)</f>
      </c>
      <c r="HK779">
        <f>IF(ISBLANK('Data Entry'!$ě$779), "", 'Data Entry'!$ě$779)</f>
      </c>
      <c r="HL779">
        <f>IF(ISBLANK('Data Entry'!$Ĝ$779), "", 'Data Entry'!$Ĝ$779)</f>
      </c>
      <c r="HM779">
        <f>IF(ISBLANK('Data Entry'!$ĝ$779), "", 'Data Entry'!$ĝ$779)</f>
      </c>
      <c r="HN779">
        <f>IF(ISBLANK('Data Entry'!$Ğ$779), "", 'Data Entry'!$Ğ$779)</f>
      </c>
      <c r="HO779">
        <f>IF(ISBLANK('Data Entry'!$ğ$779), "", 'Data Entry'!$ğ$779)</f>
      </c>
      <c r="HP779">
        <f>IF(ISBLANK('Data Entry'!$Ġ$779), "", 'Data Entry'!$Ġ$779)</f>
      </c>
      <c r="HQ779">
        <f>IF(ISBLANK('Data Entry'!$ġ$779), "", 'Data Entry'!$ġ$779)</f>
      </c>
      <c r="HR779">
        <f>IF(ISBLANK('Data Entry'!$Ģ$779), "", 'Data Entry'!$Ģ$779)</f>
      </c>
      <c r="HS779">
        <f>IF(ISBLANK('Data Entry'!$ģ$779), "", 'Data Entry'!$ģ$779)</f>
      </c>
      <c r="HT779">
        <f>IF(ISBLANK('Data Entry'!$Ĥ$779), "", 'Data Entry'!$Ĥ$779)</f>
      </c>
      <c r="HU779">
        <f>IF(ISBLANK('Data Entry'!$ĥ$779), "", 'Data Entry'!$ĥ$779)</f>
      </c>
      <c r="HV779">
        <f>IF(ISBLANK('Data Entry'!$Ħ$779), "", 'Data Entry'!$Ħ$779)</f>
      </c>
      <c r="HW779">
        <f>IF(ISBLANK('Data Entry'!$ħ$779), "", 'Data Entry'!$ħ$779)</f>
      </c>
      <c r="HX779">
        <f>IF(ISBLANK('Data Entry'!$Ĩ$779), "", 'Data Entry'!$Ĩ$779)</f>
      </c>
      <c r="HY779">
        <f>IF(ISBLANK('Data Entry'!$ĩ$779), "", 'Data Entry'!$ĩ$779)</f>
      </c>
      <c r="HZ779">
        <f>IF(ISBLANK('Data Entry'!$Ī$779), "", 'Data Entry'!$Ī$779)</f>
      </c>
      <c r="IA779">
        <f>IF(ISBLANK('Data Entry'!$ī$779), "", 'Data Entry'!$ī$779)</f>
      </c>
      <c r="IB779">
        <f>IF(ISBLANK('Data Entry'!$Ĭ$779), "", 'Data Entry'!$Ĭ$779)</f>
      </c>
      <c r="IC779">
        <f>IF(ISBLANK('Data Entry'!$ĭ$779), "", 'Data Entry'!$ĭ$779)</f>
      </c>
      <c r="ID779">
        <f>IF(ISBLANK('Data Entry'!$Į$779), "", 'Data Entry'!$Į$779)</f>
      </c>
      <c r="IE779">
        <f>IF(ISBLANK('Data Entry'!$į$779), "", 'Data Entry'!$į$779)</f>
      </c>
      <c r="IF779">
        <f>IF(ISBLANK('Data Entry'!$İ$779), "", 'Data Entry'!$İ$779)</f>
      </c>
      <c r="IG779">
        <f>IF(ISBLANK('Data Entry'!$ı$779), "", 'Data Entry'!$ı$779)</f>
      </c>
      <c r="IH779">
        <f>IF(ISBLANK('Data Entry'!$Ĳ$779), "", 'Data Entry'!$Ĳ$779)</f>
      </c>
      <c r="II779">
        <f>IF(ISBLANK('Data Entry'!$ĳ$779), "", 'Data Entry'!$ĳ$779)</f>
      </c>
      <c r="IJ779">
        <f>IF(ISBLANK('Data Entry'!$Ĵ$779), "", 'Data Entry'!$Ĵ$779)</f>
      </c>
      <c r="IK779">
        <f>IF(ISBLANK('Data Entry'!$ĵ$779), "", 'Data Entry'!$ĵ$779)</f>
      </c>
      <c r="IL779">
        <f>IF(ISBLANK('Data Entry'!$Ķ$779), "", 'Data Entry'!$Ķ$779)</f>
      </c>
      <c r="IM779">
        <f>IF(ISBLANK('Data Entry'!$ķ$779), "", 'Data Entry'!$ķ$779)</f>
      </c>
      <c r="IN779">
        <f>IF(ISBLANK('Data Entry'!$ĸ$779), "", 'Data Entry'!$ĸ$779)</f>
      </c>
      <c r="IO779">
        <f>IF(ISBLANK('Data Entry'!$Ĺ$779), "", 'Data Entry'!$Ĺ$779)</f>
      </c>
      <c r="IP779">
        <f>IF(ISBLANK('Data Entry'!$ĺ$779), "", 'Data Entry'!$ĺ$779)</f>
      </c>
      <c r="IQ779">
        <f>IF(ISBLANK('Data Entry'!$Ļ$779), "", 'Data Entry'!$Ļ$779)</f>
      </c>
      <c r="IR779">
        <f>IF(ISBLANK('Data Entry'!$ļ$779), "", 'Data Entry'!$ļ$779)</f>
      </c>
      <c r="IS779">
        <f>IF(ISBLANK('Data Entry'!$Ľ$779), "", 'Data Entry'!$Ľ$779)</f>
      </c>
      <c r="IT779">
        <f>IF(ISBLANK('Data Entry'!$ľ$779), "", 'Data Entry'!$ľ$779)</f>
      </c>
    </row>
    <row r="780" spans="1:254" x14ac:dyDescent="0.25">
      <c r="A780">
        <f>IF(ISBLANK('Data Entry'!$A$780), "", 'Data Entry'!$A$780)</f>
      </c>
      <c r="B780">
        <f>IF(ISBLANK('Data Entry'!$B$780), "", 'Data Entry'!$B$780)</f>
      </c>
      <c r="C780">
        <f>IF(ISBLANK('Data Entry'!$C$780), "", 'Data Entry'!$C$780)</f>
      </c>
      <c r="D780">
        <f>IF(ISBLANK('Data Entry'!$D$780), "", 'Data Entry'!$D$780)</f>
      </c>
      <c r="E780">
        <f>IF(ISBLANK('Data Entry'!$E$780), "", 'Data Entry'!$E$780)</f>
      </c>
      <c r="F780">
        <f>IF(ISBLANK('Data Entry'!$F$780), "", 'Data Entry'!$F$780)</f>
      </c>
      <c r="G780">
        <f>IF(ISBLANK('Data Entry'!$G$780), "", 'Data Entry'!$G$780)</f>
      </c>
      <c r="H780">
        <f>IF(ISBLANK('Data Entry'!$H$780), "", 'Data Entry'!$H$780)</f>
      </c>
      <c r="I780">
        <f>IF(ISBLANK('Data Entry'!$I$780), "", 'Data Entry'!$I$780)</f>
      </c>
      <c r="J780">
        <f>IF(ISBLANK('Data Entry'!$J$780), "", 'Data Entry'!$J$780)</f>
      </c>
      <c r="K780">
        <f>IF(ISBLANK('Data Entry'!$K$780), "", 'Data Entry'!$K$780)</f>
      </c>
      <c r="L780">
        <f>IF(ISBLANK('Data Entry'!$L$780), "", 'Data Entry'!$L$780)</f>
      </c>
      <c r="M780">
        <f>IF(ISBLANK('Data Entry'!$M$780), "", 'Data Entry'!$M$780)</f>
      </c>
      <c r="N780">
        <f>IF(ISBLANK('Data Entry'!$N$780), "", 'Data Entry'!$N$780)</f>
      </c>
      <c r="O780">
        <f>IF(ISBLANK('Data Entry'!$O$780), "", 'Data Entry'!$O$780)</f>
      </c>
      <c r="P780">
        <f>IF(ISBLANK('Data Entry'!$P$780), "", 'Data Entry'!$P$780)</f>
      </c>
      <c r="Q780">
        <f>IF(ISBLANK('Data Entry'!$Q$780), "", 'Data Entry'!$Q$780)</f>
      </c>
      <c r="R780">
        <f>IF(ISBLANK('Data Entry'!$R$780), "", 'Data Entry'!$R$780)</f>
      </c>
      <c r="S780">
        <f>IF(ISBLANK('Data Entry'!$S$780), "", 'Data Entry'!$S$780)</f>
      </c>
      <c r="T780">
        <f>IF(ISBLANK('Data Entry'!$T$780), "", 'Data Entry'!$T$780)</f>
      </c>
      <c r="U780">
        <f>IF(ISBLANK('Data Entry'!$U$780), "", 'Data Entry'!$U$780)</f>
      </c>
      <c r="V780">
        <f>IF(ISBLANK('Data Entry'!$V$780), "", 'Data Entry'!$V$780)</f>
      </c>
      <c r="W780">
        <f>IF(ISBLANK('Data Entry'!$W$780), "", 'Data Entry'!$W$780)</f>
      </c>
      <c r="X780">
        <f>IF(ISBLANK('Data Entry'!$X$780), "", 'Data Entry'!$X$780)</f>
      </c>
      <c r="Y780">
        <f>IF(ISBLANK('Data Entry'!$Y$780), "", 'Data Entry'!$Y$780)</f>
      </c>
      <c r="Z780">
        <f>IF(ISBLANK('Data Entry'!$Z$780), "", 'Data Entry'!$Z$780)</f>
      </c>
      <c r="AA780">
        <f>IF(ISBLANK('Data Entry'!$[$780), "", 'Data Entry'!$[$780)</f>
      </c>
      <c r="AB780">
        <f>IF(ISBLANK('Data Entry'!$\$780), "", 'Data Entry'!$\$780)</f>
      </c>
      <c r="AC780">
        <f>IF(ISBLANK('Data Entry'!$]$780), "", 'Data Entry'!$]$780)</f>
      </c>
      <c r="AD780">
        <f>IF(ISBLANK('Data Entry'!$^$780), "", 'Data Entry'!$^$780)</f>
      </c>
      <c r="AE780">
        <f>IF(ISBLANK('Data Entry'!$_$780), "", 'Data Entry'!$_$780)</f>
      </c>
      <c r="AF780">
        <f>IF(ISBLANK('Data Entry'!$`$780), "", 'Data Entry'!$`$780)</f>
      </c>
      <c r="AG780">
        <f>IF(ISBLANK('Data Entry'!$a$780), "", 'Data Entry'!$a$780)</f>
      </c>
      <c r="AH780">
        <f>IF(ISBLANK('Data Entry'!$b$780), "", 'Data Entry'!$b$780)</f>
      </c>
      <c r="AI780">
        <f>IF(ISBLANK('Data Entry'!$c$780), "", 'Data Entry'!$c$780)</f>
      </c>
      <c r="AJ780">
        <f>IF(ISBLANK('Data Entry'!$d$780), "", 'Data Entry'!$d$780)</f>
      </c>
      <c r="AK780">
        <f>IF(ISBLANK('Data Entry'!$e$780), "", 'Data Entry'!$e$780)</f>
      </c>
      <c r="AL780">
        <f>IF(ISBLANK('Data Entry'!$f$780), "", 'Data Entry'!$f$780)</f>
      </c>
      <c r="AM780">
        <f>IF(ISBLANK('Data Entry'!$g$780), "", 'Data Entry'!$g$780)</f>
      </c>
      <c r="AN780">
        <f>IF(ISBLANK('Data Entry'!$h$780), "", 'Data Entry'!$h$780)</f>
      </c>
      <c r="AO780">
        <f>IF(ISBLANK('Data Entry'!$i$780), "", 'Data Entry'!$i$780)</f>
      </c>
      <c r="AP780">
        <f>IF(ISBLANK('Data Entry'!$j$780), "", 'Data Entry'!$j$780)</f>
      </c>
      <c r="AQ780">
        <f>IF(ISBLANK('Data Entry'!$k$780), "", 'Data Entry'!$k$780)</f>
      </c>
      <c r="AR780">
        <f>IF(ISBLANK('Data Entry'!$l$780), "", 'Data Entry'!$l$780)</f>
      </c>
      <c r="AS780">
        <f>IF(ISBLANK('Data Entry'!$m$780), "", 'Data Entry'!$m$780)</f>
      </c>
      <c r="AT780">
        <f>IF(ISBLANK('Data Entry'!$n$780), "", 'Data Entry'!$n$780)</f>
      </c>
      <c r="AU780">
        <f>IF(ISBLANK('Data Entry'!$o$780), "", 'Data Entry'!$o$780)</f>
      </c>
      <c r="AV780">
        <f>IF(ISBLANK('Data Entry'!$p$780), "", 'Data Entry'!$p$780)</f>
      </c>
      <c r="AW780">
        <f>IF(ISBLANK('Data Entry'!$q$780), "", 'Data Entry'!$q$780)</f>
      </c>
      <c r="AX780">
        <f>IF(ISBLANK('Data Entry'!$r$780), "", 'Data Entry'!$r$780)</f>
      </c>
      <c r="AY780">
        <f>IF(ISBLANK('Data Entry'!$s$780), "", 'Data Entry'!$s$780)</f>
      </c>
      <c r="AZ780">
        <f>IF(ISBLANK('Data Entry'!$t$780), "", 'Data Entry'!$t$780)</f>
      </c>
      <c r="BA780">
        <f>IF(ISBLANK('Data Entry'!$u$780), "", 'Data Entry'!$u$780)</f>
      </c>
      <c r="BB780">
        <f>IF(ISBLANK('Data Entry'!$v$780), "", 'Data Entry'!$v$780)</f>
      </c>
      <c r="BC780">
        <f>IF(ISBLANK('Data Entry'!$w$780), "", 'Data Entry'!$w$780)</f>
      </c>
      <c r="BD780">
        <f>IF(ISBLANK('Data Entry'!$x$780), "", 'Data Entry'!$x$780)</f>
      </c>
      <c r="BE780">
        <f>IF(ISBLANK('Data Entry'!$y$780), "", 'Data Entry'!$y$780)</f>
      </c>
      <c r="BF780">
        <f>IF(ISBLANK('Data Entry'!$z$780), "", 'Data Entry'!$z$780)</f>
      </c>
      <c r="BG780">
        <f>IF(ISBLANK('Data Entry'!${$780), "", 'Data Entry'!${$780)</f>
      </c>
      <c r="BH780">
        <f>IF(ISBLANK('Data Entry'!$|$780), "", 'Data Entry'!$|$780)</f>
      </c>
      <c r="BI780">
        <f>IF(ISBLANK('Data Entry'!$}$780), "", 'Data Entry'!$}$780)</f>
      </c>
      <c r="BJ780">
        <f>IF(ISBLANK('Data Entry'!$~$780), "", 'Data Entry'!$~$780)</f>
      </c>
      <c r="BK780">
        <f>IF(ISBLANK('Data Entry'!$$780), "", 'Data Entry'!$$780)</f>
      </c>
      <c r="BL780">
        <f>IF(ISBLANK('Data Entry'!$$780), "", 'Data Entry'!$$780)</f>
      </c>
      <c r="BM780">
        <f>IF(ISBLANK('Data Entry'!$$780), "", 'Data Entry'!$$780)</f>
      </c>
      <c r="BN780">
        <f>IF(ISBLANK('Data Entry'!$$780), "", 'Data Entry'!$$780)</f>
      </c>
      <c r="BO780">
        <f>IF(ISBLANK('Data Entry'!$$780), "", 'Data Entry'!$$780)</f>
      </c>
      <c r="BP780">
        <f>IF(ISBLANK('Data Entry'!$$780), "", 'Data Entry'!$$780)</f>
      </c>
      <c r="BQ780">
        <f>IF(ISBLANK('Data Entry'!$$780), "", 'Data Entry'!$$780)</f>
      </c>
      <c r="BR780">
        <f>IF(ISBLANK('Data Entry'!$$780), "", 'Data Entry'!$$780)</f>
      </c>
      <c r="BS780">
        <f>IF(ISBLANK('Data Entry'!$$780), "", 'Data Entry'!$$780)</f>
      </c>
      <c r="BT780">
        <f>IF(ISBLANK('Data Entry'!$$780), "", 'Data Entry'!$$780)</f>
      </c>
      <c r="BU780">
        <f>IF(ISBLANK('Data Entry'!$$780), "", 'Data Entry'!$$780)</f>
      </c>
      <c r="BV780">
        <f>IF(ISBLANK('Data Entry'!$$780), "", 'Data Entry'!$$780)</f>
      </c>
      <c r="BW780">
        <f>IF(ISBLANK('Data Entry'!$$780), "", 'Data Entry'!$$780)</f>
      </c>
      <c r="BX780">
        <f>IF(ISBLANK('Data Entry'!$$780), "", 'Data Entry'!$$780)</f>
      </c>
      <c r="BY780">
        <f>IF(ISBLANK('Data Entry'!$$780), "", 'Data Entry'!$$780)</f>
      </c>
      <c r="BZ780">
        <f>IF(ISBLANK('Data Entry'!$$780), "", 'Data Entry'!$$780)</f>
      </c>
      <c r="CA780">
        <f>IF(ISBLANK('Data Entry'!$$780), "", 'Data Entry'!$$780)</f>
      </c>
      <c r="CB780">
        <f>IF(ISBLANK('Data Entry'!$$780), "", 'Data Entry'!$$780)</f>
      </c>
      <c r="CC780">
        <f>IF(ISBLANK('Data Entry'!$$780), "", 'Data Entry'!$$780)</f>
      </c>
      <c r="CD780">
        <f>IF(ISBLANK('Data Entry'!$$780), "", 'Data Entry'!$$780)</f>
      </c>
      <c r="CE780">
        <f>IF(ISBLANK('Data Entry'!$$780), "", 'Data Entry'!$$780)</f>
      </c>
      <c r="CF780">
        <f>IF(ISBLANK('Data Entry'!$$780), "", 'Data Entry'!$$780)</f>
      </c>
      <c r="CG780">
        <f>IF(ISBLANK('Data Entry'!$$780), "", 'Data Entry'!$$780)</f>
      </c>
      <c r="CH780">
        <f>IF(ISBLANK('Data Entry'!$$780), "", 'Data Entry'!$$780)</f>
      </c>
      <c r="CI780">
        <f>IF(ISBLANK('Data Entry'!$$780), "", 'Data Entry'!$$780)</f>
      </c>
      <c r="CJ780">
        <f>IF(ISBLANK('Data Entry'!$$780), "", 'Data Entry'!$$780)</f>
      </c>
      <c r="CK780">
        <f>IF(ISBLANK('Data Entry'!$$780), "", 'Data Entry'!$$780)</f>
      </c>
      <c r="CL780">
        <f>IF(ISBLANK('Data Entry'!$$780), "", 'Data Entry'!$$780)</f>
      </c>
      <c r="CM780">
        <f>IF(ISBLANK('Data Entry'!$$780), "", 'Data Entry'!$$780)</f>
      </c>
      <c r="CN780">
        <f>IF(ISBLANK('Data Entry'!$$780), "", 'Data Entry'!$$780)</f>
      </c>
      <c r="CO780">
        <f>IF(ISBLANK('Data Entry'!$$780), "", 'Data Entry'!$$780)</f>
      </c>
      <c r="CP780">
        <f>IF(ISBLANK('Data Entry'!$$780), "", 'Data Entry'!$$780)</f>
      </c>
      <c r="CQ780">
        <f>IF(ISBLANK('Data Entry'!$$780), "", 'Data Entry'!$$780)</f>
      </c>
      <c r="CR780">
        <f>IF(ISBLANK('Data Entry'!$ $780), "", 'Data Entry'!$ $780)</f>
      </c>
      <c r="CS780">
        <f>IF(ISBLANK('Data Entry'!$¡$780), "", 'Data Entry'!$¡$780)</f>
      </c>
      <c r="CT780">
        <f>IF(ISBLANK('Data Entry'!$¢$780), "", 'Data Entry'!$¢$780)</f>
      </c>
      <c r="CU780">
        <f>IF(ISBLANK('Data Entry'!$£$780), "", 'Data Entry'!$£$780)</f>
      </c>
      <c r="CV780">
        <f>IF(ISBLANK('Data Entry'!$¤$780), "", 'Data Entry'!$¤$780)</f>
      </c>
      <c r="CW780">
        <f>IF(ISBLANK('Data Entry'!$¥$780), "", 'Data Entry'!$¥$780)</f>
      </c>
      <c r="CX780">
        <f>IF(ISBLANK('Data Entry'!$¦$780), "", 'Data Entry'!$¦$780)</f>
      </c>
      <c r="CY780">
        <f>IF(ISBLANK('Data Entry'!$§$780), "", 'Data Entry'!$§$780)</f>
      </c>
      <c r="CZ780">
        <f>IF(ISBLANK('Data Entry'!$¨$780), "", 'Data Entry'!$¨$780)</f>
      </c>
      <c r="DA780">
        <f>IF(ISBLANK('Data Entry'!$©$780), "", 'Data Entry'!$©$780)</f>
      </c>
      <c r="DB780">
        <f>IF(ISBLANK('Data Entry'!$ª$780), "", 'Data Entry'!$ª$780)</f>
      </c>
      <c r="DC780">
        <f>IF(ISBLANK('Data Entry'!$«$780), "", 'Data Entry'!$«$780)</f>
      </c>
      <c r="DD780">
        <f>IF(ISBLANK('Data Entry'!$¬$780), "", 'Data Entry'!$¬$780)</f>
      </c>
      <c r="DE780">
        <f>IF(ISBLANK('Data Entry'!$­$780), "", 'Data Entry'!$­$780)</f>
      </c>
      <c r="DF780">
        <f>IF(ISBLANK('Data Entry'!$®$780), "", 'Data Entry'!$®$780)</f>
      </c>
      <c r="DG780">
        <f>IF(ISBLANK('Data Entry'!$¯$780), "", 'Data Entry'!$¯$780)</f>
      </c>
      <c r="DH780">
        <f>IF(ISBLANK('Data Entry'!$°$780), "", 'Data Entry'!$°$780)</f>
      </c>
      <c r="DI780">
        <f>IF(ISBLANK('Data Entry'!$±$780), "", 'Data Entry'!$±$780)</f>
      </c>
      <c r="DJ780">
        <f>IF(ISBLANK('Data Entry'!$²$780), "", 'Data Entry'!$²$780)</f>
      </c>
      <c r="DK780">
        <f>IF(ISBLANK('Data Entry'!$³$780), "", 'Data Entry'!$³$780)</f>
      </c>
      <c r="DL780">
        <f>IF(ISBLANK('Data Entry'!$´$780), "", 'Data Entry'!$´$780)</f>
      </c>
      <c r="DM780">
        <f>IF(ISBLANK('Data Entry'!$µ$780), "", 'Data Entry'!$µ$780)</f>
      </c>
      <c r="DN780">
        <f>IF(ISBLANK('Data Entry'!$¶$780), "", 'Data Entry'!$¶$780)</f>
      </c>
      <c r="DO780">
        <f>IF(ISBLANK('Data Entry'!$·$780), "", 'Data Entry'!$·$780)</f>
      </c>
      <c r="DP780">
        <f>IF(ISBLANK('Data Entry'!$¸$780), "", 'Data Entry'!$¸$780)</f>
      </c>
      <c r="DQ780">
        <f>IF(ISBLANK('Data Entry'!$¹$780), "", 'Data Entry'!$¹$780)</f>
      </c>
      <c r="DR780">
        <f>IF(ISBLANK('Data Entry'!$º$780), "", 'Data Entry'!$º$780)</f>
      </c>
      <c r="DS780">
        <f>IF(ISBLANK('Data Entry'!$»$780), "", 'Data Entry'!$»$780)</f>
      </c>
      <c r="DT780">
        <f>IF(ISBLANK('Data Entry'!$¼$780), "", 'Data Entry'!$¼$780)</f>
      </c>
      <c r="DU780">
        <f>IF(ISBLANK('Data Entry'!$½$780), "", 'Data Entry'!$½$780)</f>
      </c>
      <c r="DV780">
        <f>IF(ISBLANK('Data Entry'!$¾$780), "", 'Data Entry'!$¾$780)</f>
      </c>
      <c r="DW780">
        <f>IF(ISBLANK('Data Entry'!$¿$780), "", 'Data Entry'!$¿$780)</f>
      </c>
      <c r="DX780">
        <f>IF(ISBLANK('Data Entry'!$À$780), "", 'Data Entry'!$À$780)</f>
      </c>
      <c r="DY780">
        <f>IF(ISBLANK('Data Entry'!$Á$780), "", 'Data Entry'!$Á$780)</f>
      </c>
      <c r="DZ780">
        <f>IF(ISBLANK('Data Entry'!$Â$780), "", 'Data Entry'!$Â$780)</f>
      </c>
      <c r="EA780">
        <f>IF(ISBLANK('Data Entry'!$Ã$780), "", 'Data Entry'!$Ã$780)</f>
      </c>
      <c r="EB780">
        <f>IF(ISBLANK('Data Entry'!$Ä$780), "", 'Data Entry'!$Ä$780)</f>
      </c>
      <c r="EC780">
        <f>IF(ISBLANK('Data Entry'!$Å$780), "", 'Data Entry'!$Å$780)</f>
      </c>
      <c r="ED780">
        <f>IF(ISBLANK('Data Entry'!$Æ$780), "", 'Data Entry'!$Æ$780)</f>
      </c>
      <c r="EE780">
        <f>IF(ISBLANK('Data Entry'!$Ç$780), "", 'Data Entry'!$Ç$780)</f>
      </c>
      <c r="EF780">
        <f>IF(ISBLANK('Data Entry'!$È$780), "", 'Data Entry'!$È$780)</f>
      </c>
      <c r="EG780">
        <f>IF(ISBLANK('Data Entry'!$É$780), "", 'Data Entry'!$É$780)</f>
      </c>
      <c r="EH780">
        <f>IF(ISBLANK('Data Entry'!$Ê$780), "", 'Data Entry'!$Ê$780)</f>
      </c>
      <c r="EI780">
        <f>IF(ISBLANK('Data Entry'!$Ë$780), "", 'Data Entry'!$Ë$780)</f>
      </c>
      <c r="EJ780">
        <f>IF(ISBLANK('Data Entry'!$Ì$780), "", 'Data Entry'!$Ì$780)</f>
      </c>
      <c r="EK780">
        <f>IF(ISBLANK('Data Entry'!$Í$780), "", 'Data Entry'!$Í$780)</f>
      </c>
      <c r="EL780">
        <f>IF(ISBLANK('Data Entry'!$Î$780), "", 'Data Entry'!$Î$780)</f>
      </c>
      <c r="EM780">
        <f>IF(ISBLANK('Data Entry'!$Ï$780), "", 'Data Entry'!$Ï$780)</f>
      </c>
      <c r="EN780">
        <f>IF(ISBLANK('Data Entry'!$Ð$780), "", 'Data Entry'!$Ð$780)</f>
      </c>
      <c r="EO780">
        <f>IF(ISBLANK('Data Entry'!$Ñ$780), "", 'Data Entry'!$Ñ$780)</f>
      </c>
      <c r="EP780">
        <f>IF(ISBLANK('Data Entry'!$Ò$780), "", 'Data Entry'!$Ò$780)</f>
      </c>
      <c r="EQ780">
        <f>IF(ISBLANK('Data Entry'!$Ó$780), "", 'Data Entry'!$Ó$780)</f>
      </c>
      <c r="ER780">
        <f>IF(ISBLANK('Data Entry'!$Ô$780), "", 'Data Entry'!$Ô$780)</f>
      </c>
      <c r="ES780">
        <f>IF(ISBLANK('Data Entry'!$Õ$780), "", 'Data Entry'!$Õ$780)</f>
      </c>
      <c r="ET780">
        <f>IF(ISBLANK('Data Entry'!$Ö$780), "", 'Data Entry'!$Ö$780)</f>
      </c>
      <c r="EU780">
        <f>IF(ISBLANK('Data Entry'!$×$780), "", 'Data Entry'!$×$780)</f>
      </c>
      <c r="EV780">
        <f>IF(ISBLANK('Data Entry'!$Ø$780), "", 'Data Entry'!$Ø$780)</f>
      </c>
      <c r="EW780">
        <f>IF(ISBLANK('Data Entry'!$Ù$780), "", 'Data Entry'!$Ù$780)</f>
      </c>
      <c r="EX780">
        <f>IF(ISBLANK('Data Entry'!$Ú$780), "", 'Data Entry'!$Ú$780)</f>
      </c>
      <c r="EY780">
        <f>IF(ISBLANK('Data Entry'!$Û$780), "", 'Data Entry'!$Û$780)</f>
      </c>
      <c r="EZ780">
        <f>IF(ISBLANK('Data Entry'!$Ü$780), "", 'Data Entry'!$Ü$780)</f>
      </c>
      <c r="FA780">
        <f>IF(ISBLANK('Data Entry'!$Ý$780), "", 'Data Entry'!$Ý$780)</f>
      </c>
      <c r="FB780">
        <f>IF(ISBLANK('Data Entry'!$Þ$780), "", 'Data Entry'!$Þ$780)</f>
      </c>
      <c r="FC780">
        <f>IF(ISBLANK('Data Entry'!$ß$780), "", 'Data Entry'!$ß$780)</f>
      </c>
      <c r="FD780">
        <f>IF(ISBLANK('Data Entry'!$à$780), "", 'Data Entry'!$à$780)</f>
      </c>
      <c r="FE780">
        <f>IF(ISBLANK('Data Entry'!$á$780), "", 'Data Entry'!$á$780)</f>
      </c>
      <c r="FF780">
        <f>IF(ISBLANK('Data Entry'!$â$780), "", 'Data Entry'!$â$780)</f>
      </c>
      <c r="FG780">
        <f>IF(ISBLANK('Data Entry'!$ã$780), "", 'Data Entry'!$ã$780)</f>
      </c>
      <c r="FH780">
        <f>IF(ISBLANK('Data Entry'!$ä$780), "", 'Data Entry'!$ä$780)</f>
      </c>
      <c r="FI780">
        <f>IF(ISBLANK('Data Entry'!$å$780), "", 'Data Entry'!$å$780)</f>
      </c>
      <c r="FJ780">
        <f>IF(ISBLANK('Data Entry'!$æ$780), "", 'Data Entry'!$æ$780)</f>
      </c>
      <c r="FK780">
        <f>IF(ISBLANK('Data Entry'!$ç$780), "", 'Data Entry'!$ç$780)</f>
      </c>
      <c r="FL780">
        <f>IF(ISBLANK('Data Entry'!$è$780), "", 'Data Entry'!$è$780)</f>
      </c>
      <c r="FM780">
        <f>IF(ISBLANK('Data Entry'!$é$780), "", 'Data Entry'!$é$780)</f>
      </c>
      <c r="FN780">
        <f>IF(ISBLANK('Data Entry'!$ê$780), "", 'Data Entry'!$ê$780)</f>
      </c>
      <c r="FO780">
        <f>IF(ISBLANK('Data Entry'!$ë$780), "", 'Data Entry'!$ë$780)</f>
      </c>
      <c r="FP780">
        <f>IF(ISBLANK('Data Entry'!$ì$780), "", 'Data Entry'!$ì$780)</f>
      </c>
      <c r="FQ780">
        <f>IF(ISBLANK('Data Entry'!$í$780), "", 'Data Entry'!$í$780)</f>
      </c>
      <c r="FR780">
        <f>IF(ISBLANK('Data Entry'!$î$780), "", 'Data Entry'!$î$780)</f>
      </c>
      <c r="FS780">
        <f>IF(ISBLANK('Data Entry'!$ï$780), "", 'Data Entry'!$ï$780)</f>
      </c>
      <c r="FT780">
        <f>IF(ISBLANK('Data Entry'!$ð$780), "", 'Data Entry'!$ð$780)</f>
      </c>
      <c r="FU780">
        <f>IF(ISBLANK('Data Entry'!$ñ$780), "", 'Data Entry'!$ñ$780)</f>
      </c>
      <c r="FV780">
        <f>IF(ISBLANK('Data Entry'!$ò$780), "", 'Data Entry'!$ò$780)</f>
      </c>
      <c r="FW780">
        <f>IF(ISBLANK('Data Entry'!$ó$780), "", 'Data Entry'!$ó$780)</f>
      </c>
      <c r="FX780">
        <f>IF(ISBLANK('Data Entry'!$ô$780), "", 'Data Entry'!$ô$780)</f>
      </c>
      <c r="FY780">
        <f>IF(ISBLANK('Data Entry'!$õ$780), "", 'Data Entry'!$õ$780)</f>
      </c>
      <c r="FZ780">
        <f>IF(ISBLANK('Data Entry'!$ö$780), "", 'Data Entry'!$ö$780)</f>
      </c>
      <c r="GA780">
        <f>IF(ISBLANK('Data Entry'!$÷$780), "", 'Data Entry'!$÷$780)</f>
      </c>
      <c r="GB780">
        <f>IF(ISBLANK('Data Entry'!$ø$780), "", 'Data Entry'!$ø$780)</f>
      </c>
      <c r="GC780">
        <f>IF(ISBLANK('Data Entry'!$ù$780), "", 'Data Entry'!$ù$780)</f>
      </c>
      <c r="GD780">
        <f>IF(ISBLANK('Data Entry'!$ú$780), "", 'Data Entry'!$ú$780)</f>
      </c>
      <c r="GE780">
        <f>IF(ISBLANK('Data Entry'!$û$780), "", 'Data Entry'!$û$780)</f>
      </c>
      <c r="GF780">
        <f>IF(ISBLANK('Data Entry'!$ü$780), "", 'Data Entry'!$ü$780)</f>
      </c>
      <c r="GG780">
        <f>IF(ISBLANK('Data Entry'!$ý$780), "", 'Data Entry'!$ý$780)</f>
      </c>
      <c r="GH780">
        <f>IF(ISBLANK('Data Entry'!$þ$780), "", 'Data Entry'!$þ$780)</f>
      </c>
      <c r="GI780">
        <f>IF(ISBLANK('Data Entry'!$ÿ$780), "", 'Data Entry'!$ÿ$780)</f>
      </c>
      <c r="GJ780">
        <f>IF(ISBLANK('Data Entry'!$Ā$780), "", 'Data Entry'!$Ā$780)</f>
      </c>
      <c r="GK780">
        <f>IF(ISBLANK('Data Entry'!$ā$780), "", 'Data Entry'!$ā$780)</f>
      </c>
      <c r="GL780">
        <f>IF(ISBLANK('Data Entry'!$Ă$780), "", 'Data Entry'!$Ă$780)</f>
      </c>
      <c r="GM780">
        <f>IF(ISBLANK('Data Entry'!$ă$780), "", 'Data Entry'!$ă$780)</f>
      </c>
      <c r="GN780">
        <f>IF(ISBLANK('Data Entry'!$Ą$780), "", 'Data Entry'!$Ą$780)</f>
      </c>
      <c r="GO780">
        <f>IF(ISBLANK('Data Entry'!$ą$780), "", 'Data Entry'!$ą$780)</f>
      </c>
      <c r="GP780">
        <f>IF(ISBLANK('Data Entry'!$Ć$780), "", 'Data Entry'!$Ć$780)</f>
      </c>
      <c r="GQ780">
        <f>IF(ISBLANK('Data Entry'!$ć$780), "", 'Data Entry'!$ć$780)</f>
      </c>
      <c r="GR780">
        <f>IF(ISBLANK('Data Entry'!$Ĉ$780), "", 'Data Entry'!$Ĉ$780)</f>
      </c>
      <c r="GS780">
        <f>IF(ISBLANK('Data Entry'!$ĉ$780), "", 'Data Entry'!$ĉ$780)</f>
      </c>
      <c r="GT780">
        <f>IF(ISBLANK('Data Entry'!$Ċ$780), "", 'Data Entry'!$Ċ$780)</f>
      </c>
      <c r="GU780">
        <f>IF(ISBLANK('Data Entry'!$ċ$780), "", 'Data Entry'!$ċ$780)</f>
      </c>
      <c r="GV780">
        <f>IF(ISBLANK('Data Entry'!$Č$780), "", 'Data Entry'!$Č$780)</f>
      </c>
      <c r="GW780">
        <f>IF(ISBLANK('Data Entry'!$č$780), "", 'Data Entry'!$č$780)</f>
      </c>
      <c r="GX780">
        <f>IF(ISBLANK('Data Entry'!$Ď$780), "", 'Data Entry'!$Ď$780)</f>
      </c>
      <c r="GY780">
        <f>IF(ISBLANK('Data Entry'!$ď$780), "", 'Data Entry'!$ď$780)</f>
      </c>
      <c r="GZ780">
        <f>IF(ISBLANK('Data Entry'!$Đ$780), "", 'Data Entry'!$Đ$780)</f>
      </c>
      <c r="HA780">
        <f>IF(ISBLANK('Data Entry'!$đ$780), "", 'Data Entry'!$đ$780)</f>
      </c>
      <c r="HB780">
        <f>IF(ISBLANK('Data Entry'!$Ē$780), "", 'Data Entry'!$Ē$780)</f>
      </c>
      <c r="HC780">
        <f>IF(ISBLANK('Data Entry'!$ē$780), "", 'Data Entry'!$ē$780)</f>
      </c>
      <c r="HD780">
        <f>IF(ISBLANK('Data Entry'!$Ĕ$780), "", 'Data Entry'!$Ĕ$780)</f>
      </c>
      <c r="HE780">
        <f>IF(ISBLANK('Data Entry'!$ĕ$780), "", 'Data Entry'!$ĕ$780)</f>
      </c>
      <c r="HF780">
        <f>IF(ISBLANK('Data Entry'!$Ė$780), "", 'Data Entry'!$Ė$780)</f>
      </c>
      <c r="HG780">
        <f>IF(ISBLANK('Data Entry'!$ė$780), "", 'Data Entry'!$ė$780)</f>
      </c>
      <c r="HH780">
        <f>IF(ISBLANK('Data Entry'!$Ę$780), "", 'Data Entry'!$Ę$780)</f>
      </c>
      <c r="HI780">
        <f>IF(ISBLANK('Data Entry'!$ę$780), "", 'Data Entry'!$ę$780)</f>
      </c>
      <c r="HJ780">
        <f>IF(ISBLANK('Data Entry'!$Ě$780), "", 'Data Entry'!$Ě$780)</f>
      </c>
      <c r="HK780">
        <f>IF(ISBLANK('Data Entry'!$ě$780), "", 'Data Entry'!$ě$780)</f>
      </c>
      <c r="HL780">
        <f>IF(ISBLANK('Data Entry'!$Ĝ$780), "", 'Data Entry'!$Ĝ$780)</f>
      </c>
      <c r="HM780">
        <f>IF(ISBLANK('Data Entry'!$ĝ$780), "", 'Data Entry'!$ĝ$780)</f>
      </c>
      <c r="HN780">
        <f>IF(ISBLANK('Data Entry'!$Ğ$780), "", 'Data Entry'!$Ğ$780)</f>
      </c>
      <c r="HO780">
        <f>IF(ISBLANK('Data Entry'!$ğ$780), "", 'Data Entry'!$ğ$780)</f>
      </c>
      <c r="HP780">
        <f>IF(ISBLANK('Data Entry'!$Ġ$780), "", 'Data Entry'!$Ġ$780)</f>
      </c>
      <c r="HQ780">
        <f>IF(ISBLANK('Data Entry'!$ġ$780), "", 'Data Entry'!$ġ$780)</f>
      </c>
      <c r="HR780">
        <f>IF(ISBLANK('Data Entry'!$Ģ$780), "", 'Data Entry'!$Ģ$780)</f>
      </c>
      <c r="HS780">
        <f>IF(ISBLANK('Data Entry'!$ģ$780), "", 'Data Entry'!$ģ$780)</f>
      </c>
      <c r="HT780">
        <f>IF(ISBLANK('Data Entry'!$Ĥ$780), "", 'Data Entry'!$Ĥ$780)</f>
      </c>
      <c r="HU780">
        <f>IF(ISBLANK('Data Entry'!$ĥ$780), "", 'Data Entry'!$ĥ$780)</f>
      </c>
      <c r="HV780">
        <f>IF(ISBLANK('Data Entry'!$Ħ$780), "", 'Data Entry'!$Ħ$780)</f>
      </c>
      <c r="HW780">
        <f>IF(ISBLANK('Data Entry'!$ħ$780), "", 'Data Entry'!$ħ$780)</f>
      </c>
      <c r="HX780">
        <f>IF(ISBLANK('Data Entry'!$Ĩ$780), "", 'Data Entry'!$Ĩ$780)</f>
      </c>
      <c r="HY780">
        <f>IF(ISBLANK('Data Entry'!$ĩ$780), "", 'Data Entry'!$ĩ$780)</f>
      </c>
      <c r="HZ780">
        <f>IF(ISBLANK('Data Entry'!$Ī$780), "", 'Data Entry'!$Ī$780)</f>
      </c>
      <c r="IA780">
        <f>IF(ISBLANK('Data Entry'!$ī$780), "", 'Data Entry'!$ī$780)</f>
      </c>
      <c r="IB780">
        <f>IF(ISBLANK('Data Entry'!$Ĭ$780), "", 'Data Entry'!$Ĭ$780)</f>
      </c>
      <c r="IC780">
        <f>IF(ISBLANK('Data Entry'!$ĭ$780), "", 'Data Entry'!$ĭ$780)</f>
      </c>
      <c r="ID780">
        <f>IF(ISBLANK('Data Entry'!$Į$780), "", 'Data Entry'!$Į$780)</f>
      </c>
      <c r="IE780">
        <f>IF(ISBLANK('Data Entry'!$į$780), "", 'Data Entry'!$į$780)</f>
      </c>
      <c r="IF780">
        <f>IF(ISBLANK('Data Entry'!$İ$780), "", 'Data Entry'!$İ$780)</f>
      </c>
      <c r="IG780">
        <f>IF(ISBLANK('Data Entry'!$ı$780), "", 'Data Entry'!$ı$780)</f>
      </c>
      <c r="IH780">
        <f>IF(ISBLANK('Data Entry'!$Ĳ$780), "", 'Data Entry'!$Ĳ$780)</f>
      </c>
      <c r="II780">
        <f>IF(ISBLANK('Data Entry'!$ĳ$780), "", 'Data Entry'!$ĳ$780)</f>
      </c>
      <c r="IJ780">
        <f>IF(ISBLANK('Data Entry'!$Ĵ$780), "", 'Data Entry'!$Ĵ$780)</f>
      </c>
      <c r="IK780">
        <f>IF(ISBLANK('Data Entry'!$ĵ$780), "", 'Data Entry'!$ĵ$780)</f>
      </c>
      <c r="IL780">
        <f>IF(ISBLANK('Data Entry'!$Ķ$780), "", 'Data Entry'!$Ķ$780)</f>
      </c>
      <c r="IM780">
        <f>IF(ISBLANK('Data Entry'!$ķ$780), "", 'Data Entry'!$ķ$780)</f>
      </c>
      <c r="IN780">
        <f>IF(ISBLANK('Data Entry'!$ĸ$780), "", 'Data Entry'!$ĸ$780)</f>
      </c>
      <c r="IO780">
        <f>IF(ISBLANK('Data Entry'!$Ĺ$780), "", 'Data Entry'!$Ĺ$780)</f>
      </c>
      <c r="IP780">
        <f>IF(ISBLANK('Data Entry'!$ĺ$780), "", 'Data Entry'!$ĺ$780)</f>
      </c>
      <c r="IQ780">
        <f>IF(ISBLANK('Data Entry'!$Ļ$780), "", 'Data Entry'!$Ļ$780)</f>
      </c>
      <c r="IR780">
        <f>IF(ISBLANK('Data Entry'!$ļ$780), "", 'Data Entry'!$ļ$780)</f>
      </c>
      <c r="IS780">
        <f>IF(ISBLANK('Data Entry'!$Ľ$780), "", 'Data Entry'!$Ľ$780)</f>
      </c>
      <c r="IT780">
        <f>IF(ISBLANK('Data Entry'!$ľ$780), "", 'Data Entry'!$ľ$780)</f>
      </c>
    </row>
    <row r="781" spans="1:254" x14ac:dyDescent="0.25">
      <c r="A781">
        <f>IF(ISBLANK('Data Entry'!$A$781), "", 'Data Entry'!$A$781)</f>
      </c>
      <c r="B781">
        <f>IF(ISBLANK('Data Entry'!$B$781), "", 'Data Entry'!$B$781)</f>
      </c>
      <c r="C781">
        <f>IF(ISBLANK('Data Entry'!$C$781), "", 'Data Entry'!$C$781)</f>
      </c>
      <c r="D781">
        <f>IF(ISBLANK('Data Entry'!$D$781), "", 'Data Entry'!$D$781)</f>
      </c>
      <c r="E781">
        <f>IF(ISBLANK('Data Entry'!$E$781), "", 'Data Entry'!$E$781)</f>
      </c>
      <c r="F781">
        <f>IF(ISBLANK('Data Entry'!$F$781), "", 'Data Entry'!$F$781)</f>
      </c>
      <c r="G781">
        <f>IF(ISBLANK('Data Entry'!$G$781), "", 'Data Entry'!$G$781)</f>
      </c>
      <c r="H781">
        <f>IF(ISBLANK('Data Entry'!$H$781), "", 'Data Entry'!$H$781)</f>
      </c>
      <c r="I781">
        <f>IF(ISBLANK('Data Entry'!$I$781), "", 'Data Entry'!$I$781)</f>
      </c>
      <c r="J781">
        <f>IF(ISBLANK('Data Entry'!$J$781), "", 'Data Entry'!$J$781)</f>
      </c>
      <c r="K781">
        <f>IF(ISBLANK('Data Entry'!$K$781), "", 'Data Entry'!$K$781)</f>
      </c>
      <c r="L781">
        <f>IF(ISBLANK('Data Entry'!$L$781), "", 'Data Entry'!$L$781)</f>
      </c>
      <c r="M781">
        <f>IF(ISBLANK('Data Entry'!$M$781), "", 'Data Entry'!$M$781)</f>
      </c>
      <c r="N781">
        <f>IF(ISBLANK('Data Entry'!$N$781), "", 'Data Entry'!$N$781)</f>
      </c>
      <c r="O781">
        <f>IF(ISBLANK('Data Entry'!$O$781), "", 'Data Entry'!$O$781)</f>
      </c>
      <c r="P781">
        <f>IF(ISBLANK('Data Entry'!$P$781), "", 'Data Entry'!$P$781)</f>
      </c>
      <c r="Q781">
        <f>IF(ISBLANK('Data Entry'!$Q$781), "", 'Data Entry'!$Q$781)</f>
      </c>
      <c r="R781">
        <f>IF(ISBLANK('Data Entry'!$R$781), "", 'Data Entry'!$R$781)</f>
      </c>
      <c r="S781">
        <f>IF(ISBLANK('Data Entry'!$S$781), "", 'Data Entry'!$S$781)</f>
      </c>
      <c r="T781">
        <f>IF(ISBLANK('Data Entry'!$T$781), "", 'Data Entry'!$T$781)</f>
      </c>
      <c r="U781">
        <f>IF(ISBLANK('Data Entry'!$U$781), "", 'Data Entry'!$U$781)</f>
      </c>
      <c r="V781">
        <f>IF(ISBLANK('Data Entry'!$V$781), "", 'Data Entry'!$V$781)</f>
      </c>
      <c r="W781">
        <f>IF(ISBLANK('Data Entry'!$W$781), "", 'Data Entry'!$W$781)</f>
      </c>
      <c r="X781">
        <f>IF(ISBLANK('Data Entry'!$X$781), "", 'Data Entry'!$X$781)</f>
      </c>
      <c r="Y781">
        <f>IF(ISBLANK('Data Entry'!$Y$781), "", 'Data Entry'!$Y$781)</f>
      </c>
      <c r="Z781">
        <f>IF(ISBLANK('Data Entry'!$Z$781), "", 'Data Entry'!$Z$781)</f>
      </c>
      <c r="AA781">
        <f>IF(ISBLANK('Data Entry'!$[$781), "", 'Data Entry'!$[$781)</f>
      </c>
      <c r="AB781">
        <f>IF(ISBLANK('Data Entry'!$\$781), "", 'Data Entry'!$\$781)</f>
      </c>
      <c r="AC781">
        <f>IF(ISBLANK('Data Entry'!$]$781), "", 'Data Entry'!$]$781)</f>
      </c>
      <c r="AD781">
        <f>IF(ISBLANK('Data Entry'!$^$781), "", 'Data Entry'!$^$781)</f>
      </c>
      <c r="AE781">
        <f>IF(ISBLANK('Data Entry'!$_$781), "", 'Data Entry'!$_$781)</f>
      </c>
      <c r="AF781">
        <f>IF(ISBLANK('Data Entry'!$`$781), "", 'Data Entry'!$`$781)</f>
      </c>
      <c r="AG781">
        <f>IF(ISBLANK('Data Entry'!$a$781), "", 'Data Entry'!$a$781)</f>
      </c>
      <c r="AH781">
        <f>IF(ISBLANK('Data Entry'!$b$781), "", 'Data Entry'!$b$781)</f>
      </c>
      <c r="AI781">
        <f>IF(ISBLANK('Data Entry'!$c$781), "", 'Data Entry'!$c$781)</f>
      </c>
      <c r="AJ781">
        <f>IF(ISBLANK('Data Entry'!$d$781), "", 'Data Entry'!$d$781)</f>
      </c>
      <c r="AK781">
        <f>IF(ISBLANK('Data Entry'!$e$781), "", 'Data Entry'!$e$781)</f>
      </c>
      <c r="AL781">
        <f>IF(ISBLANK('Data Entry'!$f$781), "", 'Data Entry'!$f$781)</f>
      </c>
      <c r="AM781">
        <f>IF(ISBLANK('Data Entry'!$g$781), "", 'Data Entry'!$g$781)</f>
      </c>
      <c r="AN781">
        <f>IF(ISBLANK('Data Entry'!$h$781), "", 'Data Entry'!$h$781)</f>
      </c>
      <c r="AO781">
        <f>IF(ISBLANK('Data Entry'!$i$781), "", 'Data Entry'!$i$781)</f>
      </c>
      <c r="AP781">
        <f>IF(ISBLANK('Data Entry'!$j$781), "", 'Data Entry'!$j$781)</f>
      </c>
      <c r="AQ781">
        <f>IF(ISBLANK('Data Entry'!$k$781), "", 'Data Entry'!$k$781)</f>
      </c>
      <c r="AR781">
        <f>IF(ISBLANK('Data Entry'!$l$781), "", 'Data Entry'!$l$781)</f>
      </c>
      <c r="AS781">
        <f>IF(ISBLANK('Data Entry'!$m$781), "", 'Data Entry'!$m$781)</f>
      </c>
      <c r="AT781">
        <f>IF(ISBLANK('Data Entry'!$n$781), "", 'Data Entry'!$n$781)</f>
      </c>
      <c r="AU781">
        <f>IF(ISBLANK('Data Entry'!$o$781), "", 'Data Entry'!$o$781)</f>
      </c>
      <c r="AV781">
        <f>IF(ISBLANK('Data Entry'!$p$781), "", 'Data Entry'!$p$781)</f>
      </c>
      <c r="AW781">
        <f>IF(ISBLANK('Data Entry'!$q$781), "", 'Data Entry'!$q$781)</f>
      </c>
      <c r="AX781">
        <f>IF(ISBLANK('Data Entry'!$r$781), "", 'Data Entry'!$r$781)</f>
      </c>
      <c r="AY781">
        <f>IF(ISBLANK('Data Entry'!$s$781), "", 'Data Entry'!$s$781)</f>
      </c>
      <c r="AZ781">
        <f>IF(ISBLANK('Data Entry'!$t$781), "", 'Data Entry'!$t$781)</f>
      </c>
      <c r="BA781">
        <f>IF(ISBLANK('Data Entry'!$u$781), "", 'Data Entry'!$u$781)</f>
      </c>
      <c r="BB781">
        <f>IF(ISBLANK('Data Entry'!$v$781), "", 'Data Entry'!$v$781)</f>
      </c>
      <c r="BC781">
        <f>IF(ISBLANK('Data Entry'!$w$781), "", 'Data Entry'!$w$781)</f>
      </c>
      <c r="BD781">
        <f>IF(ISBLANK('Data Entry'!$x$781), "", 'Data Entry'!$x$781)</f>
      </c>
      <c r="BE781">
        <f>IF(ISBLANK('Data Entry'!$y$781), "", 'Data Entry'!$y$781)</f>
      </c>
      <c r="BF781">
        <f>IF(ISBLANK('Data Entry'!$z$781), "", 'Data Entry'!$z$781)</f>
      </c>
      <c r="BG781">
        <f>IF(ISBLANK('Data Entry'!${$781), "", 'Data Entry'!${$781)</f>
      </c>
      <c r="BH781">
        <f>IF(ISBLANK('Data Entry'!$|$781), "", 'Data Entry'!$|$781)</f>
      </c>
      <c r="BI781">
        <f>IF(ISBLANK('Data Entry'!$}$781), "", 'Data Entry'!$}$781)</f>
      </c>
      <c r="BJ781">
        <f>IF(ISBLANK('Data Entry'!$~$781), "", 'Data Entry'!$~$781)</f>
      </c>
      <c r="BK781">
        <f>IF(ISBLANK('Data Entry'!$$781), "", 'Data Entry'!$$781)</f>
      </c>
      <c r="BL781">
        <f>IF(ISBLANK('Data Entry'!$$781), "", 'Data Entry'!$$781)</f>
      </c>
      <c r="BM781">
        <f>IF(ISBLANK('Data Entry'!$$781), "", 'Data Entry'!$$781)</f>
      </c>
      <c r="BN781">
        <f>IF(ISBLANK('Data Entry'!$$781), "", 'Data Entry'!$$781)</f>
      </c>
      <c r="BO781">
        <f>IF(ISBLANK('Data Entry'!$$781), "", 'Data Entry'!$$781)</f>
      </c>
      <c r="BP781">
        <f>IF(ISBLANK('Data Entry'!$$781), "", 'Data Entry'!$$781)</f>
      </c>
      <c r="BQ781">
        <f>IF(ISBLANK('Data Entry'!$$781), "", 'Data Entry'!$$781)</f>
      </c>
      <c r="BR781">
        <f>IF(ISBLANK('Data Entry'!$$781), "", 'Data Entry'!$$781)</f>
      </c>
      <c r="BS781">
        <f>IF(ISBLANK('Data Entry'!$$781), "", 'Data Entry'!$$781)</f>
      </c>
      <c r="BT781">
        <f>IF(ISBLANK('Data Entry'!$$781), "", 'Data Entry'!$$781)</f>
      </c>
      <c r="BU781">
        <f>IF(ISBLANK('Data Entry'!$$781), "", 'Data Entry'!$$781)</f>
      </c>
      <c r="BV781">
        <f>IF(ISBLANK('Data Entry'!$$781), "", 'Data Entry'!$$781)</f>
      </c>
      <c r="BW781">
        <f>IF(ISBLANK('Data Entry'!$$781), "", 'Data Entry'!$$781)</f>
      </c>
      <c r="BX781">
        <f>IF(ISBLANK('Data Entry'!$$781), "", 'Data Entry'!$$781)</f>
      </c>
      <c r="BY781">
        <f>IF(ISBLANK('Data Entry'!$$781), "", 'Data Entry'!$$781)</f>
      </c>
      <c r="BZ781">
        <f>IF(ISBLANK('Data Entry'!$$781), "", 'Data Entry'!$$781)</f>
      </c>
      <c r="CA781">
        <f>IF(ISBLANK('Data Entry'!$$781), "", 'Data Entry'!$$781)</f>
      </c>
      <c r="CB781">
        <f>IF(ISBLANK('Data Entry'!$$781), "", 'Data Entry'!$$781)</f>
      </c>
      <c r="CC781">
        <f>IF(ISBLANK('Data Entry'!$$781), "", 'Data Entry'!$$781)</f>
      </c>
      <c r="CD781">
        <f>IF(ISBLANK('Data Entry'!$$781), "", 'Data Entry'!$$781)</f>
      </c>
      <c r="CE781">
        <f>IF(ISBLANK('Data Entry'!$$781), "", 'Data Entry'!$$781)</f>
      </c>
      <c r="CF781">
        <f>IF(ISBLANK('Data Entry'!$$781), "", 'Data Entry'!$$781)</f>
      </c>
      <c r="CG781">
        <f>IF(ISBLANK('Data Entry'!$$781), "", 'Data Entry'!$$781)</f>
      </c>
      <c r="CH781">
        <f>IF(ISBLANK('Data Entry'!$$781), "", 'Data Entry'!$$781)</f>
      </c>
      <c r="CI781">
        <f>IF(ISBLANK('Data Entry'!$$781), "", 'Data Entry'!$$781)</f>
      </c>
      <c r="CJ781">
        <f>IF(ISBLANK('Data Entry'!$$781), "", 'Data Entry'!$$781)</f>
      </c>
      <c r="CK781">
        <f>IF(ISBLANK('Data Entry'!$$781), "", 'Data Entry'!$$781)</f>
      </c>
      <c r="CL781">
        <f>IF(ISBLANK('Data Entry'!$$781), "", 'Data Entry'!$$781)</f>
      </c>
      <c r="CM781">
        <f>IF(ISBLANK('Data Entry'!$$781), "", 'Data Entry'!$$781)</f>
      </c>
      <c r="CN781">
        <f>IF(ISBLANK('Data Entry'!$$781), "", 'Data Entry'!$$781)</f>
      </c>
      <c r="CO781">
        <f>IF(ISBLANK('Data Entry'!$$781), "", 'Data Entry'!$$781)</f>
      </c>
      <c r="CP781">
        <f>IF(ISBLANK('Data Entry'!$$781), "", 'Data Entry'!$$781)</f>
      </c>
      <c r="CQ781">
        <f>IF(ISBLANK('Data Entry'!$$781), "", 'Data Entry'!$$781)</f>
      </c>
      <c r="CR781">
        <f>IF(ISBLANK('Data Entry'!$ $781), "", 'Data Entry'!$ $781)</f>
      </c>
      <c r="CS781">
        <f>IF(ISBLANK('Data Entry'!$¡$781), "", 'Data Entry'!$¡$781)</f>
      </c>
      <c r="CT781">
        <f>IF(ISBLANK('Data Entry'!$¢$781), "", 'Data Entry'!$¢$781)</f>
      </c>
      <c r="CU781">
        <f>IF(ISBLANK('Data Entry'!$£$781), "", 'Data Entry'!$£$781)</f>
      </c>
      <c r="CV781">
        <f>IF(ISBLANK('Data Entry'!$¤$781), "", 'Data Entry'!$¤$781)</f>
      </c>
      <c r="CW781">
        <f>IF(ISBLANK('Data Entry'!$¥$781), "", 'Data Entry'!$¥$781)</f>
      </c>
      <c r="CX781">
        <f>IF(ISBLANK('Data Entry'!$¦$781), "", 'Data Entry'!$¦$781)</f>
      </c>
      <c r="CY781">
        <f>IF(ISBLANK('Data Entry'!$§$781), "", 'Data Entry'!$§$781)</f>
      </c>
      <c r="CZ781">
        <f>IF(ISBLANK('Data Entry'!$¨$781), "", 'Data Entry'!$¨$781)</f>
      </c>
      <c r="DA781">
        <f>IF(ISBLANK('Data Entry'!$©$781), "", 'Data Entry'!$©$781)</f>
      </c>
      <c r="DB781">
        <f>IF(ISBLANK('Data Entry'!$ª$781), "", 'Data Entry'!$ª$781)</f>
      </c>
      <c r="DC781">
        <f>IF(ISBLANK('Data Entry'!$«$781), "", 'Data Entry'!$«$781)</f>
      </c>
      <c r="DD781">
        <f>IF(ISBLANK('Data Entry'!$¬$781), "", 'Data Entry'!$¬$781)</f>
      </c>
      <c r="DE781">
        <f>IF(ISBLANK('Data Entry'!$­$781), "", 'Data Entry'!$­$781)</f>
      </c>
      <c r="DF781">
        <f>IF(ISBLANK('Data Entry'!$®$781), "", 'Data Entry'!$®$781)</f>
      </c>
      <c r="DG781">
        <f>IF(ISBLANK('Data Entry'!$¯$781), "", 'Data Entry'!$¯$781)</f>
      </c>
      <c r="DH781">
        <f>IF(ISBLANK('Data Entry'!$°$781), "", 'Data Entry'!$°$781)</f>
      </c>
      <c r="DI781">
        <f>IF(ISBLANK('Data Entry'!$±$781), "", 'Data Entry'!$±$781)</f>
      </c>
      <c r="DJ781">
        <f>IF(ISBLANK('Data Entry'!$²$781), "", 'Data Entry'!$²$781)</f>
      </c>
      <c r="DK781">
        <f>IF(ISBLANK('Data Entry'!$³$781), "", 'Data Entry'!$³$781)</f>
      </c>
      <c r="DL781">
        <f>IF(ISBLANK('Data Entry'!$´$781), "", 'Data Entry'!$´$781)</f>
      </c>
      <c r="DM781">
        <f>IF(ISBLANK('Data Entry'!$µ$781), "", 'Data Entry'!$µ$781)</f>
      </c>
      <c r="DN781">
        <f>IF(ISBLANK('Data Entry'!$¶$781), "", 'Data Entry'!$¶$781)</f>
      </c>
      <c r="DO781">
        <f>IF(ISBLANK('Data Entry'!$·$781), "", 'Data Entry'!$·$781)</f>
      </c>
      <c r="DP781">
        <f>IF(ISBLANK('Data Entry'!$¸$781), "", 'Data Entry'!$¸$781)</f>
      </c>
      <c r="DQ781">
        <f>IF(ISBLANK('Data Entry'!$¹$781), "", 'Data Entry'!$¹$781)</f>
      </c>
      <c r="DR781">
        <f>IF(ISBLANK('Data Entry'!$º$781), "", 'Data Entry'!$º$781)</f>
      </c>
      <c r="DS781">
        <f>IF(ISBLANK('Data Entry'!$»$781), "", 'Data Entry'!$»$781)</f>
      </c>
      <c r="DT781">
        <f>IF(ISBLANK('Data Entry'!$¼$781), "", 'Data Entry'!$¼$781)</f>
      </c>
      <c r="DU781">
        <f>IF(ISBLANK('Data Entry'!$½$781), "", 'Data Entry'!$½$781)</f>
      </c>
      <c r="DV781">
        <f>IF(ISBLANK('Data Entry'!$¾$781), "", 'Data Entry'!$¾$781)</f>
      </c>
      <c r="DW781">
        <f>IF(ISBLANK('Data Entry'!$¿$781), "", 'Data Entry'!$¿$781)</f>
      </c>
      <c r="DX781">
        <f>IF(ISBLANK('Data Entry'!$À$781), "", 'Data Entry'!$À$781)</f>
      </c>
      <c r="DY781">
        <f>IF(ISBLANK('Data Entry'!$Á$781), "", 'Data Entry'!$Á$781)</f>
      </c>
      <c r="DZ781">
        <f>IF(ISBLANK('Data Entry'!$Â$781), "", 'Data Entry'!$Â$781)</f>
      </c>
      <c r="EA781">
        <f>IF(ISBLANK('Data Entry'!$Ã$781), "", 'Data Entry'!$Ã$781)</f>
      </c>
      <c r="EB781">
        <f>IF(ISBLANK('Data Entry'!$Ä$781), "", 'Data Entry'!$Ä$781)</f>
      </c>
      <c r="EC781">
        <f>IF(ISBLANK('Data Entry'!$Å$781), "", 'Data Entry'!$Å$781)</f>
      </c>
      <c r="ED781">
        <f>IF(ISBLANK('Data Entry'!$Æ$781), "", 'Data Entry'!$Æ$781)</f>
      </c>
      <c r="EE781">
        <f>IF(ISBLANK('Data Entry'!$Ç$781), "", 'Data Entry'!$Ç$781)</f>
      </c>
      <c r="EF781">
        <f>IF(ISBLANK('Data Entry'!$È$781), "", 'Data Entry'!$È$781)</f>
      </c>
      <c r="EG781">
        <f>IF(ISBLANK('Data Entry'!$É$781), "", 'Data Entry'!$É$781)</f>
      </c>
      <c r="EH781">
        <f>IF(ISBLANK('Data Entry'!$Ê$781), "", 'Data Entry'!$Ê$781)</f>
      </c>
      <c r="EI781">
        <f>IF(ISBLANK('Data Entry'!$Ë$781), "", 'Data Entry'!$Ë$781)</f>
      </c>
      <c r="EJ781">
        <f>IF(ISBLANK('Data Entry'!$Ì$781), "", 'Data Entry'!$Ì$781)</f>
      </c>
      <c r="EK781">
        <f>IF(ISBLANK('Data Entry'!$Í$781), "", 'Data Entry'!$Í$781)</f>
      </c>
      <c r="EL781">
        <f>IF(ISBLANK('Data Entry'!$Î$781), "", 'Data Entry'!$Î$781)</f>
      </c>
      <c r="EM781">
        <f>IF(ISBLANK('Data Entry'!$Ï$781), "", 'Data Entry'!$Ï$781)</f>
      </c>
      <c r="EN781">
        <f>IF(ISBLANK('Data Entry'!$Ð$781), "", 'Data Entry'!$Ð$781)</f>
      </c>
      <c r="EO781">
        <f>IF(ISBLANK('Data Entry'!$Ñ$781), "", 'Data Entry'!$Ñ$781)</f>
      </c>
      <c r="EP781">
        <f>IF(ISBLANK('Data Entry'!$Ò$781), "", 'Data Entry'!$Ò$781)</f>
      </c>
      <c r="EQ781">
        <f>IF(ISBLANK('Data Entry'!$Ó$781), "", 'Data Entry'!$Ó$781)</f>
      </c>
      <c r="ER781">
        <f>IF(ISBLANK('Data Entry'!$Ô$781), "", 'Data Entry'!$Ô$781)</f>
      </c>
      <c r="ES781">
        <f>IF(ISBLANK('Data Entry'!$Õ$781), "", 'Data Entry'!$Õ$781)</f>
      </c>
      <c r="ET781">
        <f>IF(ISBLANK('Data Entry'!$Ö$781), "", 'Data Entry'!$Ö$781)</f>
      </c>
      <c r="EU781">
        <f>IF(ISBLANK('Data Entry'!$×$781), "", 'Data Entry'!$×$781)</f>
      </c>
      <c r="EV781">
        <f>IF(ISBLANK('Data Entry'!$Ø$781), "", 'Data Entry'!$Ø$781)</f>
      </c>
      <c r="EW781">
        <f>IF(ISBLANK('Data Entry'!$Ù$781), "", 'Data Entry'!$Ù$781)</f>
      </c>
      <c r="EX781">
        <f>IF(ISBLANK('Data Entry'!$Ú$781), "", 'Data Entry'!$Ú$781)</f>
      </c>
      <c r="EY781">
        <f>IF(ISBLANK('Data Entry'!$Û$781), "", 'Data Entry'!$Û$781)</f>
      </c>
      <c r="EZ781">
        <f>IF(ISBLANK('Data Entry'!$Ü$781), "", 'Data Entry'!$Ü$781)</f>
      </c>
      <c r="FA781">
        <f>IF(ISBLANK('Data Entry'!$Ý$781), "", 'Data Entry'!$Ý$781)</f>
      </c>
      <c r="FB781">
        <f>IF(ISBLANK('Data Entry'!$Þ$781), "", 'Data Entry'!$Þ$781)</f>
      </c>
      <c r="FC781">
        <f>IF(ISBLANK('Data Entry'!$ß$781), "", 'Data Entry'!$ß$781)</f>
      </c>
      <c r="FD781">
        <f>IF(ISBLANK('Data Entry'!$à$781), "", 'Data Entry'!$à$781)</f>
      </c>
      <c r="FE781">
        <f>IF(ISBLANK('Data Entry'!$á$781), "", 'Data Entry'!$á$781)</f>
      </c>
      <c r="FF781">
        <f>IF(ISBLANK('Data Entry'!$â$781), "", 'Data Entry'!$â$781)</f>
      </c>
      <c r="FG781">
        <f>IF(ISBLANK('Data Entry'!$ã$781), "", 'Data Entry'!$ã$781)</f>
      </c>
      <c r="FH781">
        <f>IF(ISBLANK('Data Entry'!$ä$781), "", 'Data Entry'!$ä$781)</f>
      </c>
      <c r="FI781">
        <f>IF(ISBLANK('Data Entry'!$å$781), "", 'Data Entry'!$å$781)</f>
      </c>
      <c r="FJ781">
        <f>IF(ISBLANK('Data Entry'!$æ$781), "", 'Data Entry'!$æ$781)</f>
      </c>
      <c r="FK781">
        <f>IF(ISBLANK('Data Entry'!$ç$781), "", 'Data Entry'!$ç$781)</f>
      </c>
      <c r="FL781">
        <f>IF(ISBLANK('Data Entry'!$è$781), "", 'Data Entry'!$è$781)</f>
      </c>
      <c r="FM781">
        <f>IF(ISBLANK('Data Entry'!$é$781), "", 'Data Entry'!$é$781)</f>
      </c>
      <c r="FN781">
        <f>IF(ISBLANK('Data Entry'!$ê$781), "", 'Data Entry'!$ê$781)</f>
      </c>
      <c r="FO781">
        <f>IF(ISBLANK('Data Entry'!$ë$781), "", 'Data Entry'!$ë$781)</f>
      </c>
      <c r="FP781">
        <f>IF(ISBLANK('Data Entry'!$ì$781), "", 'Data Entry'!$ì$781)</f>
      </c>
      <c r="FQ781">
        <f>IF(ISBLANK('Data Entry'!$í$781), "", 'Data Entry'!$í$781)</f>
      </c>
      <c r="FR781">
        <f>IF(ISBLANK('Data Entry'!$î$781), "", 'Data Entry'!$î$781)</f>
      </c>
      <c r="FS781">
        <f>IF(ISBLANK('Data Entry'!$ï$781), "", 'Data Entry'!$ï$781)</f>
      </c>
      <c r="FT781">
        <f>IF(ISBLANK('Data Entry'!$ð$781), "", 'Data Entry'!$ð$781)</f>
      </c>
      <c r="FU781">
        <f>IF(ISBLANK('Data Entry'!$ñ$781), "", 'Data Entry'!$ñ$781)</f>
      </c>
      <c r="FV781">
        <f>IF(ISBLANK('Data Entry'!$ò$781), "", 'Data Entry'!$ò$781)</f>
      </c>
      <c r="FW781">
        <f>IF(ISBLANK('Data Entry'!$ó$781), "", 'Data Entry'!$ó$781)</f>
      </c>
      <c r="FX781">
        <f>IF(ISBLANK('Data Entry'!$ô$781), "", 'Data Entry'!$ô$781)</f>
      </c>
      <c r="FY781">
        <f>IF(ISBLANK('Data Entry'!$õ$781), "", 'Data Entry'!$õ$781)</f>
      </c>
      <c r="FZ781">
        <f>IF(ISBLANK('Data Entry'!$ö$781), "", 'Data Entry'!$ö$781)</f>
      </c>
      <c r="GA781">
        <f>IF(ISBLANK('Data Entry'!$÷$781), "", 'Data Entry'!$÷$781)</f>
      </c>
      <c r="GB781">
        <f>IF(ISBLANK('Data Entry'!$ø$781), "", 'Data Entry'!$ø$781)</f>
      </c>
      <c r="GC781">
        <f>IF(ISBLANK('Data Entry'!$ù$781), "", 'Data Entry'!$ù$781)</f>
      </c>
      <c r="GD781">
        <f>IF(ISBLANK('Data Entry'!$ú$781), "", 'Data Entry'!$ú$781)</f>
      </c>
      <c r="GE781">
        <f>IF(ISBLANK('Data Entry'!$û$781), "", 'Data Entry'!$û$781)</f>
      </c>
      <c r="GF781">
        <f>IF(ISBLANK('Data Entry'!$ü$781), "", 'Data Entry'!$ü$781)</f>
      </c>
      <c r="GG781">
        <f>IF(ISBLANK('Data Entry'!$ý$781), "", 'Data Entry'!$ý$781)</f>
      </c>
      <c r="GH781">
        <f>IF(ISBLANK('Data Entry'!$þ$781), "", 'Data Entry'!$þ$781)</f>
      </c>
      <c r="GI781">
        <f>IF(ISBLANK('Data Entry'!$ÿ$781), "", 'Data Entry'!$ÿ$781)</f>
      </c>
      <c r="GJ781">
        <f>IF(ISBLANK('Data Entry'!$Ā$781), "", 'Data Entry'!$Ā$781)</f>
      </c>
      <c r="GK781">
        <f>IF(ISBLANK('Data Entry'!$ā$781), "", 'Data Entry'!$ā$781)</f>
      </c>
      <c r="GL781">
        <f>IF(ISBLANK('Data Entry'!$Ă$781), "", 'Data Entry'!$Ă$781)</f>
      </c>
      <c r="GM781">
        <f>IF(ISBLANK('Data Entry'!$ă$781), "", 'Data Entry'!$ă$781)</f>
      </c>
      <c r="GN781">
        <f>IF(ISBLANK('Data Entry'!$Ą$781), "", 'Data Entry'!$Ą$781)</f>
      </c>
      <c r="GO781">
        <f>IF(ISBLANK('Data Entry'!$ą$781), "", 'Data Entry'!$ą$781)</f>
      </c>
      <c r="GP781">
        <f>IF(ISBLANK('Data Entry'!$Ć$781), "", 'Data Entry'!$Ć$781)</f>
      </c>
      <c r="GQ781">
        <f>IF(ISBLANK('Data Entry'!$ć$781), "", 'Data Entry'!$ć$781)</f>
      </c>
      <c r="GR781">
        <f>IF(ISBLANK('Data Entry'!$Ĉ$781), "", 'Data Entry'!$Ĉ$781)</f>
      </c>
      <c r="GS781">
        <f>IF(ISBLANK('Data Entry'!$ĉ$781), "", 'Data Entry'!$ĉ$781)</f>
      </c>
      <c r="GT781">
        <f>IF(ISBLANK('Data Entry'!$Ċ$781), "", 'Data Entry'!$Ċ$781)</f>
      </c>
      <c r="GU781">
        <f>IF(ISBLANK('Data Entry'!$ċ$781), "", 'Data Entry'!$ċ$781)</f>
      </c>
      <c r="GV781">
        <f>IF(ISBLANK('Data Entry'!$Č$781), "", 'Data Entry'!$Č$781)</f>
      </c>
      <c r="GW781">
        <f>IF(ISBLANK('Data Entry'!$č$781), "", 'Data Entry'!$č$781)</f>
      </c>
      <c r="GX781">
        <f>IF(ISBLANK('Data Entry'!$Ď$781), "", 'Data Entry'!$Ď$781)</f>
      </c>
      <c r="GY781">
        <f>IF(ISBLANK('Data Entry'!$ď$781), "", 'Data Entry'!$ď$781)</f>
      </c>
      <c r="GZ781">
        <f>IF(ISBLANK('Data Entry'!$Đ$781), "", 'Data Entry'!$Đ$781)</f>
      </c>
      <c r="HA781">
        <f>IF(ISBLANK('Data Entry'!$đ$781), "", 'Data Entry'!$đ$781)</f>
      </c>
      <c r="HB781">
        <f>IF(ISBLANK('Data Entry'!$Ē$781), "", 'Data Entry'!$Ē$781)</f>
      </c>
      <c r="HC781">
        <f>IF(ISBLANK('Data Entry'!$ē$781), "", 'Data Entry'!$ē$781)</f>
      </c>
      <c r="HD781">
        <f>IF(ISBLANK('Data Entry'!$Ĕ$781), "", 'Data Entry'!$Ĕ$781)</f>
      </c>
      <c r="HE781">
        <f>IF(ISBLANK('Data Entry'!$ĕ$781), "", 'Data Entry'!$ĕ$781)</f>
      </c>
      <c r="HF781">
        <f>IF(ISBLANK('Data Entry'!$Ė$781), "", 'Data Entry'!$Ė$781)</f>
      </c>
      <c r="HG781">
        <f>IF(ISBLANK('Data Entry'!$ė$781), "", 'Data Entry'!$ė$781)</f>
      </c>
      <c r="HH781">
        <f>IF(ISBLANK('Data Entry'!$Ę$781), "", 'Data Entry'!$Ę$781)</f>
      </c>
      <c r="HI781">
        <f>IF(ISBLANK('Data Entry'!$ę$781), "", 'Data Entry'!$ę$781)</f>
      </c>
      <c r="HJ781">
        <f>IF(ISBLANK('Data Entry'!$Ě$781), "", 'Data Entry'!$Ě$781)</f>
      </c>
      <c r="HK781">
        <f>IF(ISBLANK('Data Entry'!$ě$781), "", 'Data Entry'!$ě$781)</f>
      </c>
      <c r="HL781">
        <f>IF(ISBLANK('Data Entry'!$Ĝ$781), "", 'Data Entry'!$Ĝ$781)</f>
      </c>
      <c r="HM781">
        <f>IF(ISBLANK('Data Entry'!$ĝ$781), "", 'Data Entry'!$ĝ$781)</f>
      </c>
      <c r="HN781">
        <f>IF(ISBLANK('Data Entry'!$Ğ$781), "", 'Data Entry'!$Ğ$781)</f>
      </c>
      <c r="HO781">
        <f>IF(ISBLANK('Data Entry'!$ğ$781), "", 'Data Entry'!$ğ$781)</f>
      </c>
      <c r="HP781">
        <f>IF(ISBLANK('Data Entry'!$Ġ$781), "", 'Data Entry'!$Ġ$781)</f>
      </c>
      <c r="HQ781">
        <f>IF(ISBLANK('Data Entry'!$ġ$781), "", 'Data Entry'!$ġ$781)</f>
      </c>
      <c r="HR781">
        <f>IF(ISBLANK('Data Entry'!$Ģ$781), "", 'Data Entry'!$Ģ$781)</f>
      </c>
      <c r="HS781">
        <f>IF(ISBLANK('Data Entry'!$ģ$781), "", 'Data Entry'!$ģ$781)</f>
      </c>
      <c r="HT781">
        <f>IF(ISBLANK('Data Entry'!$Ĥ$781), "", 'Data Entry'!$Ĥ$781)</f>
      </c>
      <c r="HU781">
        <f>IF(ISBLANK('Data Entry'!$ĥ$781), "", 'Data Entry'!$ĥ$781)</f>
      </c>
      <c r="HV781">
        <f>IF(ISBLANK('Data Entry'!$Ħ$781), "", 'Data Entry'!$Ħ$781)</f>
      </c>
      <c r="HW781">
        <f>IF(ISBLANK('Data Entry'!$ħ$781), "", 'Data Entry'!$ħ$781)</f>
      </c>
      <c r="HX781">
        <f>IF(ISBLANK('Data Entry'!$Ĩ$781), "", 'Data Entry'!$Ĩ$781)</f>
      </c>
      <c r="HY781">
        <f>IF(ISBLANK('Data Entry'!$ĩ$781), "", 'Data Entry'!$ĩ$781)</f>
      </c>
      <c r="HZ781">
        <f>IF(ISBLANK('Data Entry'!$Ī$781), "", 'Data Entry'!$Ī$781)</f>
      </c>
      <c r="IA781">
        <f>IF(ISBLANK('Data Entry'!$ī$781), "", 'Data Entry'!$ī$781)</f>
      </c>
      <c r="IB781">
        <f>IF(ISBLANK('Data Entry'!$Ĭ$781), "", 'Data Entry'!$Ĭ$781)</f>
      </c>
      <c r="IC781">
        <f>IF(ISBLANK('Data Entry'!$ĭ$781), "", 'Data Entry'!$ĭ$781)</f>
      </c>
      <c r="ID781">
        <f>IF(ISBLANK('Data Entry'!$Į$781), "", 'Data Entry'!$Į$781)</f>
      </c>
      <c r="IE781">
        <f>IF(ISBLANK('Data Entry'!$į$781), "", 'Data Entry'!$į$781)</f>
      </c>
      <c r="IF781">
        <f>IF(ISBLANK('Data Entry'!$İ$781), "", 'Data Entry'!$İ$781)</f>
      </c>
      <c r="IG781">
        <f>IF(ISBLANK('Data Entry'!$ı$781), "", 'Data Entry'!$ı$781)</f>
      </c>
      <c r="IH781">
        <f>IF(ISBLANK('Data Entry'!$Ĳ$781), "", 'Data Entry'!$Ĳ$781)</f>
      </c>
      <c r="II781">
        <f>IF(ISBLANK('Data Entry'!$ĳ$781), "", 'Data Entry'!$ĳ$781)</f>
      </c>
      <c r="IJ781">
        <f>IF(ISBLANK('Data Entry'!$Ĵ$781), "", 'Data Entry'!$Ĵ$781)</f>
      </c>
      <c r="IK781">
        <f>IF(ISBLANK('Data Entry'!$ĵ$781), "", 'Data Entry'!$ĵ$781)</f>
      </c>
      <c r="IL781">
        <f>IF(ISBLANK('Data Entry'!$Ķ$781), "", 'Data Entry'!$Ķ$781)</f>
      </c>
      <c r="IM781">
        <f>IF(ISBLANK('Data Entry'!$ķ$781), "", 'Data Entry'!$ķ$781)</f>
      </c>
      <c r="IN781">
        <f>IF(ISBLANK('Data Entry'!$ĸ$781), "", 'Data Entry'!$ĸ$781)</f>
      </c>
      <c r="IO781">
        <f>IF(ISBLANK('Data Entry'!$Ĺ$781), "", 'Data Entry'!$Ĺ$781)</f>
      </c>
      <c r="IP781">
        <f>IF(ISBLANK('Data Entry'!$ĺ$781), "", 'Data Entry'!$ĺ$781)</f>
      </c>
      <c r="IQ781">
        <f>IF(ISBLANK('Data Entry'!$Ļ$781), "", 'Data Entry'!$Ļ$781)</f>
      </c>
      <c r="IR781">
        <f>IF(ISBLANK('Data Entry'!$ļ$781), "", 'Data Entry'!$ļ$781)</f>
      </c>
      <c r="IS781">
        <f>IF(ISBLANK('Data Entry'!$Ľ$781), "", 'Data Entry'!$Ľ$781)</f>
      </c>
      <c r="IT781">
        <f>IF(ISBLANK('Data Entry'!$ľ$781), "", 'Data Entry'!$ľ$781)</f>
      </c>
    </row>
    <row r="782" spans="1:254" x14ac:dyDescent="0.25">
      <c r="A782">
        <f>IF(ISBLANK('Data Entry'!$A$782), "", 'Data Entry'!$A$782)</f>
      </c>
      <c r="B782">
        <f>IF(ISBLANK('Data Entry'!$B$782), "", 'Data Entry'!$B$782)</f>
      </c>
      <c r="C782">
        <f>IF(ISBLANK('Data Entry'!$C$782), "", 'Data Entry'!$C$782)</f>
      </c>
      <c r="D782">
        <f>IF(ISBLANK('Data Entry'!$D$782), "", 'Data Entry'!$D$782)</f>
      </c>
      <c r="E782">
        <f>IF(ISBLANK('Data Entry'!$E$782), "", 'Data Entry'!$E$782)</f>
      </c>
      <c r="F782">
        <f>IF(ISBLANK('Data Entry'!$F$782), "", 'Data Entry'!$F$782)</f>
      </c>
      <c r="G782">
        <f>IF(ISBLANK('Data Entry'!$G$782), "", 'Data Entry'!$G$782)</f>
      </c>
      <c r="H782">
        <f>IF(ISBLANK('Data Entry'!$H$782), "", 'Data Entry'!$H$782)</f>
      </c>
      <c r="I782">
        <f>IF(ISBLANK('Data Entry'!$I$782), "", 'Data Entry'!$I$782)</f>
      </c>
      <c r="J782">
        <f>IF(ISBLANK('Data Entry'!$J$782), "", 'Data Entry'!$J$782)</f>
      </c>
      <c r="K782">
        <f>IF(ISBLANK('Data Entry'!$K$782), "", 'Data Entry'!$K$782)</f>
      </c>
      <c r="L782">
        <f>IF(ISBLANK('Data Entry'!$L$782), "", 'Data Entry'!$L$782)</f>
      </c>
      <c r="M782">
        <f>IF(ISBLANK('Data Entry'!$M$782), "", 'Data Entry'!$M$782)</f>
      </c>
      <c r="N782">
        <f>IF(ISBLANK('Data Entry'!$N$782), "", 'Data Entry'!$N$782)</f>
      </c>
      <c r="O782">
        <f>IF(ISBLANK('Data Entry'!$O$782), "", 'Data Entry'!$O$782)</f>
      </c>
      <c r="P782">
        <f>IF(ISBLANK('Data Entry'!$P$782), "", 'Data Entry'!$P$782)</f>
      </c>
      <c r="Q782">
        <f>IF(ISBLANK('Data Entry'!$Q$782), "", 'Data Entry'!$Q$782)</f>
      </c>
      <c r="R782">
        <f>IF(ISBLANK('Data Entry'!$R$782), "", 'Data Entry'!$R$782)</f>
      </c>
      <c r="S782">
        <f>IF(ISBLANK('Data Entry'!$S$782), "", 'Data Entry'!$S$782)</f>
      </c>
      <c r="T782">
        <f>IF(ISBLANK('Data Entry'!$T$782), "", 'Data Entry'!$T$782)</f>
      </c>
      <c r="U782">
        <f>IF(ISBLANK('Data Entry'!$U$782), "", 'Data Entry'!$U$782)</f>
      </c>
      <c r="V782">
        <f>IF(ISBLANK('Data Entry'!$V$782), "", 'Data Entry'!$V$782)</f>
      </c>
      <c r="W782">
        <f>IF(ISBLANK('Data Entry'!$W$782), "", 'Data Entry'!$W$782)</f>
      </c>
      <c r="X782">
        <f>IF(ISBLANK('Data Entry'!$X$782), "", 'Data Entry'!$X$782)</f>
      </c>
      <c r="Y782">
        <f>IF(ISBLANK('Data Entry'!$Y$782), "", 'Data Entry'!$Y$782)</f>
      </c>
      <c r="Z782">
        <f>IF(ISBLANK('Data Entry'!$Z$782), "", 'Data Entry'!$Z$782)</f>
      </c>
      <c r="AA782">
        <f>IF(ISBLANK('Data Entry'!$[$782), "", 'Data Entry'!$[$782)</f>
      </c>
      <c r="AB782">
        <f>IF(ISBLANK('Data Entry'!$\$782), "", 'Data Entry'!$\$782)</f>
      </c>
      <c r="AC782">
        <f>IF(ISBLANK('Data Entry'!$]$782), "", 'Data Entry'!$]$782)</f>
      </c>
      <c r="AD782">
        <f>IF(ISBLANK('Data Entry'!$^$782), "", 'Data Entry'!$^$782)</f>
      </c>
      <c r="AE782">
        <f>IF(ISBLANK('Data Entry'!$_$782), "", 'Data Entry'!$_$782)</f>
      </c>
      <c r="AF782">
        <f>IF(ISBLANK('Data Entry'!$`$782), "", 'Data Entry'!$`$782)</f>
      </c>
      <c r="AG782">
        <f>IF(ISBLANK('Data Entry'!$a$782), "", 'Data Entry'!$a$782)</f>
      </c>
      <c r="AH782">
        <f>IF(ISBLANK('Data Entry'!$b$782), "", 'Data Entry'!$b$782)</f>
      </c>
      <c r="AI782">
        <f>IF(ISBLANK('Data Entry'!$c$782), "", 'Data Entry'!$c$782)</f>
      </c>
      <c r="AJ782">
        <f>IF(ISBLANK('Data Entry'!$d$782), "", 'Data Entry'!$d$782)</f>
      </c>
      <c r="AK782">
        <f>IF(ISBLANK('Data Entry'!$e$782), "", 'Data Entry'!$e$782)</f>
      </c>
      <c r="AL782">
        <f>IF(ISBLANK('Data Entry'!$f$782), "", 'Data Entry'!$f$782)</f>
      </c>
      <c r="AM782">
        <f>IF(ISBLANK('Data Entry'!$g$782), "", 'Data Entry'!$g$782)</f>
      </c>
      <c r="AN782">
        <f>IF(ISBLANK('Data Entry'!$h$782), "", 'Data Entry'!$h$782)</f>
      </c>
      <c r="AO782">
        <f>IF(ISBLANK('Data Entry'!$i$782), "", 'Data Entry'!$i$782)</f>
      </c>
      <c r="AP782">
        <f>IF(ISBLANK('Data Entry'!$j$782), "", 'Data Entry'!$j$782)</f>
      </c>
      <c r="AQ782">
        <f>IF(ISBLANK('Data Entry'!$k$782), "", 'Data Entry'!$k$782)</f>
      </c>
      <c r="AR782">
        <f>IF(ISBLANK('Data Entry'!$l$782), "", 'Data Entry'!$l$782)</f>
      </c>
      <c r="AS782">
        <f>IF(ISBLANK('Data Entry'!$m$782), "", 'Data Entry'!$m$782)</f>
      </c>
      <c r="AT782">
        <f>IF(ISBLANK('Data Entry'!$n$782), "", 'Data Entry'!$n$782)</f>
      </c>
      <c r="AU782">
        <f>IF(ISBLANK('Data Entry'!$o$782), "", 'Data Entry'!$o$782)</f>
      </c>
      <c r="AV782">
        <f>IF(ISBLANK('Data Entry'!$p$782), "", 'Data Entry'!$p$782)</f>
      </c>
      <c r="AW782">
        <f>IF(ISBLANK('Data Entry'!$q$782), "", 'Data Entry'!$q$782)</f>
      </c>
      <c r="AX782">
        <f>IF(ISBLANK('Data Entry'!$r$782), "", 'Data Entry'!$r$782)</f>
      </c>
      <c r="AY782">
        <f>IF(ISBLANK('Data Entry'!$s$782), "", 'Data Entry'!$s$782)</f>
      </c>
      <c r="AZ782">
        <f>IF(ISBLANK('Data Entry'!$t$782), "", 'Data Entry'!$t$782)</f>
      </c>
      <c r="BA782">
        <f>IF(ISBLANK('Data Entry'!$u$782), "", 'Data Entry'!$u$782)</f>
      </c>
      <c r="BB782">
        <f>IF(ISBLANK('Data Entry'!$v$782), "", 'Data Entry'!$v$782)</f>
      </c>
      <c r="BC782">
        <f>IF(ISBLANK('Data Entry'!$w$782), "", 'Data Entry'!$w$782)</f>
      </c>
      <c r="BD782">
        <f>IF(ISBLANK('Data Entry'!$x$782), "", 'Data Entry'!$x$782)</f>
      </c>
      <c r="BE782">
        <f>IF(ISBLANK('Data Entry'!$y$782), "", 'Data Entry'!$y$782)</f>
      </c>
      <c r="BF782">
        <f>IF(ISBLANK('Data Entry'!$z$782), "", 'Data Entry'!$z$782)</f>
      </c>
      <c r="BG782">
        <f>IF(ISBLANK('Data Entry'!${$782), "", 'Data Entry'!${$782)</f>
      </c>
      <c r="BH782">
        <f>IF(ISBLANK('Data Entry'!$|$782), "", 'Data Entry'!$|$782)</f>
      </c>
      <c r="BI782">
        <f>IF(ISBLANK('Data Entry'!$}$782), "", 'Data Entry'!$}$782)</f>
      </c>
      <c r="BJ782">
        <f>IF(ISBLANK('Data Entry'!$~$782), "", 'Data Entry'!$~$782)</f>
      </c>
      <c r="BK782">
        <f>IF(ISBLANK('Data Entry'!$$782), "", 'Data Entry'!$$782)</f>
      </c>
      <c r="BL782">
        <f>IF(ISBLANK('Data Entry'!$$782), "", 'Data Entry'!$$782)</f>
      </c>
      <c r="BM782">
        <f>IF(ISBLANK('Data Entry'!$$782), "", 'Data Entry'!$$782)</f>
      </c>
      <c r="BN782">
        <f>IF(ISBLANK('Data Entry'!$$782), "", 'Data Entry'!$$782)</f>
      </c>
      <c r="BO782">
        <f>IF(ISBLANK('Data Entry'!$$782), "", 'Data Entry'!$$782)</f>
      </c>
      <c r="BP782">
        <f>IF(ISBLANK('Data Entry'!$$782), "", 'Data Entry'!$$782)</f>
      </c>
      <c r="BQ782">
        <f>IF(ISBLANK('Data Entry'!$$782), "", 'Data Entry'!$$782)</f>
      </c>
      <c r="BR782">
        <f>IF(ISBLANK('Data Entry'!$$782), "", 'Data Entry'!$$782)</f>
      </c>
      <c r="BS782">
        <f>IF(ISBLANK('Data Entry'!$$782), "", 'Data Entry'!$$782)</f>
      </c>
      <c r="BT782">
        <f>IF(ISBLANK('Data Entry'!$$782), "", 'Data Entry'!$$782)</f>
      </c>
      <c r="BU782">
        <f>IF(ISBLANK('Data Entry'!$$782), "", 'Data Entry'!$$782)</f>
      </c>
      <c r="BV782">
        <f>IF(ISBLANK('Data Entry'!$$782), "", 'Data Entry'!$$782)</f>
      </c>
      <c r="BW782">
        <f>IF(ISBLANK('Data Entry'!$$782), "", 'Data Entry'!$$782)</f>
      </c>
      <c r="BX782">
        <f>IF(ISBLANK('Data Entry'!$$782), "", 'Data Entry'!$$782)</f>
      </c>
      <c r="BY782">
        <f>IF(ISBLANK('Data Entry'!$$782), "", 'Data Entry'!$$782)</f>
      </c>
      <c r="BZ782">
        <f>IF(ISBLANK('Data Entry'!$$782), "", 'Data Entry'!$$782)</f>
      </c>
      <c r="CA782">
        <f>IF(ISBLANK('Data Entry'!$$782), "", 'Data Entry'!$$782)</f>
      </c>
      <c r="CB782">
        <f>IF(ISBLANK('Data Entry'!$$782), "", 'Data Entry'!$$782)</f>
      </c>
      <c r="CC782">
        <f>IF(ISBLANK('Data Entry'!$$782), "", 'Data Entry'!$$782)</f>
      </c>
      <c r="CD782">
        <f>IF(ISBLANK('Data Entry'!$$782), "", 'Data Entry'!$$782)</f>
      </c>
      <c r="CE782">
        <f>IF(ISBLANK('Data Entry'!$$782), "", 'Data Entry'!$$782)</f>
      </c>
      <c r="CF782">
        <f>IF(ISBLANK('Data Entry'!$$782), "", 'Data Entry'!$$782)</f>
      </c>
      <c r="CG782">
        <f>IF(ISBLANK('Data Entry'!$$782), "", 'Data Entry'!$$782)</f>
      </c>
      <c r="CH782">
        <f>IF(ISBLANK('Data Entry'!$$782), "", 'Data Entry'!$$782)</f>
      </c>
      <c r="CI782">
        <f>IF(ISBLANK('Data Entry'!$$782), "", 'Data Entry'!$$782)</f>
      </c>
      <c r="CJ782">
        <f>IF(ISBLANK('Data Entry'!$$782), "", 'Data Entry'!$$782)</f>
      </c>
      <c r="CK782">
        <f>IF(ISBLANK('Data Entry'!$$782), "", 'Data Entry'!$$782)</f>
      </c>
      <c r="CL782">
        <f>IF(ISBLANK('Data Entry'!$$782), "", 'Data Entry'!$$782)</f>
      </c>
      <c r="CM782">
        <f>IF(ISBLANK('Data Entry'!$$782), "", 'Data Entry'!$$782)</f>
      </c>
      <c r="CN782">
        <f>IF(ISBLANK('Data Entry'!$$782), "", 'Data Entry'!$$782)</f>
      </c>
      <c r="CO782">
        <f>IF(ISBLANK('Data Entry'!$$782), "", 'Data Entry'!$$782)</f>
      </c>
      <c r="CP782">
        <f>IF(ISBLANK('Data Entry'!$$782), "", 'Data Entry'!$$782)</f>
      </c>
      <c r="CQ782">
        <f>IF(ISBLANK('Data Entry'!$$782), "", 'Data Entry'!$$782)</f>
      </c>
      <c r="CR782">
        <f>IF(ISBLANK('Data Entry'!$ $782), "", 'Data Entry'!$ $782)</f>
      </c>
      <c r="CS782">
        <f>IF(ISBLANK('Data Entry'!$¡$782), "", 'Data Entry'!$¡$782)</f>
      </c>
      <c r="CT782">
        <f>IF(ISBLANK('Data Entry'!$¢$782), "", 'Data Entry'!$¢$782)</f>
      </c>
      <c r="CU782">
        <f>IF(ISBLANK('Data Entry'!$£$782), "", 'Data Entry'!$£$782)</f>
      </c>
      <c r="CV782">
        <f>IF(ISBLANK('Data Entry'!$¤$782), "", 'Data Entry'!$¤$782)</f>
      </c>
      <c r="CW782">
        <f>IF(ISBLANK('Data Entry'!$¥$782), "", 'Data Entry'!$¥$782)</f>
      </c>
      <c r="CX782">
        <f>IF(ISBLANK('Data Entry'!$¦$782), "", 'Data Entry'!$¦$782)</f>
      </c>
      <c r="CY782">
        <f>IF(ISBLANK('Data Entry'!$§$782), "", 'Data Entry'!$§$782)</f>
      </c>
      <c r="CZ782">
        <f>IF(ISBLANK('Data Entry'!$¨$782), "", 'Data Entry'!$¨$782)</f>
      </c>
      <c r="DA782">
        <f>IF(ISBLANK('Data Entry'!$©$782), "", 'Data Entry'!$©$782)</f>
      </c>
      <c r="DB782">
        <f>IF(ISBLANK('Data Entry'!$ª$782), "", 'Data Entry'!$ª$782)</f>
      </c>
      <c r="DC782">
        <f>IF(ISBLANK('Data Entry'!$«$782), "", 'Data Entry'!$«$782)</f>
      </c>
      <c r="DD782">
        <f>IF(ISBLANK('Data Entry'!$¬$782), "", 'Data Entry'!$¬$782)</f>
      </c>
      <c r="DE782">
        <f>IF(ISBLANK('Data Entry'!$­$782), "", 'Data Entry'!$­$782)</f>
      </c>
      <c r="DF782">
        <f>IF(ISBLANK('Data Entry'!$®$782), "", 'Data Entry'!$®$782)</f>
      </c>
      <c r="DG782">
        <f>IF(ISBLANK('Data Entry'!$¯$782), "", 'Data Entry'!$¯$782)</f>
      </c>
      <c r="DH782">
        <f>IF(ISBLANK('Data Entry'!$°$782), "", 'Data Entry'!$°$782)</f>
      </c>
      <c r="DI782">
        <f>IF(ISBLANK('Data Entry'!$±$782), "", 'Data Entry'!$±$782)</f>
      </c>
      <c r="DJ782">
        <f>IF(ISBLANK('Data Entry'!$²$782), "", 'Data Entry'!$²$782)</f>
      </c>
      <c r="DK782">
        <f>IF(ISBLANK('Data Entry'!$³$782), "", 'Data Entry'!$³$782)</f>
      </c>
      <c r="DL782">
        <f>IF(ISBLANK('Data Entry'!$´$782), "", 'Data Entry'!$´$782)</f>
      </c>
      <c r="DM782">
        <f>IF(ISBLANK('Data Entry'!$µ$782), "", 'Data Entry'!$µ$782)</f>
      </c>
      <c r="DN782">
        <f>IF(ISBLANK('Data Entry'!$¶$782), "", 'Data Entry'!$¶$782)</f>
      </c>
      <c r="DO782">
        <f>IF(ISBLANK('Data Entry'!$·$782), "", 'Data Entry'!$·$782)</f>
      </c>
      <c r="DP782">
        <f>IF(ISBLANK('Data Entry'!$¸$782), "", 'Data Entry'!$¸$782)</f>
      </c>
      <c r="DQ782">
        <f>IF(ISBLANK('Data Entry'!$¹$782), "", 'Data Entry'!$¹$782)</f>
      </c>
      <c r="DR782">
        <f>IF(ISBLANK('Data Entry'!$º$782), "", 'Data Entry'!$º$782)</f>
      </c>
      <c r="DS782">
        <f>IF(ISBLANK('Data Entry'!$»$782), "", 'Data Entry'!$»$782)</f>
      </c>
      <c r="DT782">
        <f>IF(ISBLANK('Data Entry'!$¼$782), "", 'Data Entry'!$¼$782)</f>
      </c>
      <c r="DU782">
        <f>IF(ISBLANK('Data Entry'!$½$782), "", 'Data Entry'!$½$782)</f>
      </c>
      <c r="DV782">
        <f>IF(ISBLANK('Data Entry'!$¾$782), "", 'Data Entry'!$¾$782)</f>
      </c>
      <c r="DW782">
        <f>IF(ISBLANK('Data Entry'!$¿$782), "", 'Data Entry'!$¿$782)</f>
      </c>
      <c r="DX782">
        <f>IF(ISBLANK('Data Entry'!$À$782), "", 'Data Entry'!$À$782)</f>
      </c>
      <c r="DY782">
        <f>IF(ISBLANK('Data Entry'!$Á$782), "", 'Data Entry'!$Á$782)</f>
      </c>
      <c r="DZ782">
        <f>IF(ISBLANK('Data Entry'!$Â$782), "", 'Data Entry'!$Â$782)</f>
      </c>
      <c r="EA782">
        <f>IF(ISBLANK('Data Entry'!$Ã$782), "", 'Data Entry'!$Ã$782)</f>
      </c>
      <c r="EB782">
        <f>IF(ISBLANK('Data Entry'!$Ä$782), "", 'Data Entry'!$Ä$782)</f>
      </c>
      <c r="EC782">
        <f>IF(ISBLANK('Data Entry'!$Å$782), "", 'Data Entry'!$Å$782)</f>
      </c>
      <c r="ED782">
        <f>IF(ISBLANK('Data Entry'!$Æ$782), "", 'Data Entry'!$Æ$782)</f>
      </c>
      <c r="EE782">
        <f>IF(ISBLANK('Data Entry'!$Ç$782), "", 'Data Entry'!$Ç$782)</f>
      </c>
      <c r="EF782">
        <f>IF(ISBLANK('Data Entry'!$È$782), "", 'Data Entry'!$È$782)</f>
      </c>
      <c r="EG782">
        <f>IF(ISBLANK('Data Entry'!$É$782), "", 'Data Entry'!$É$782)</f>
      </c>
      <c r="EH782">
        <f>IF(ISBLANK('Data Entry'!$Ê$782), "", 'Data Entry'!$Ê$782)</f>
      </c>
      <c r="EI782">
        <f>IF(ISBLANK('Data Entry'!$Ë$782), "", 'Data Entry'!$Ë$782)</f>
      </c>
      <c r="EJ782">
        <f>IF(ISBLANK('Data Entry'!$Ì$782), "", 'Data Entry'!$Ì$782)</f>
      </c>
      <c r="EK782">
        <f>IF(ISBLANK('Data Entry'!$Í$782), "", 'Data Entry'!$Í$782)</f>
      </c>
      <c r="EL782">
        <f>IF(ISBLANK('Data Entry'!$Î$782), "", 'Data Entry'!$Î$782)</f>
      </c>
      <c r="EM782">
        <f>IF(ISBLANK('Data Entry'!$Ï$782), "", 'Data Entry'!$Ï$782)</f>
      </c>
      <c r="EN782">
        <f>IF(ISBLANK('Data Entry'!$Ð$782), "", 'Data Entry'!$Ð$782)</f>
      </c>
      <c r="EO782">
        <f>IF(ISBLANK('Data Entry'!$Ñ$782), "", 'Data Entry'!$Ñ$782)</f>
      </c>
      <c r="EP782">
        <f>IF(ISBLANK('Data Entry'!$Ò$782), "", 'Data Entry'!$Ò$782)</f>
      </c>
      <c r="EQ782">
        <f>IF(ISBLANK('Data Entry'!$Ó$782), "", 'Data Entry'!$Ó$782)</f>
      </c>
      <c r="ER782">
        <f>IF(ISBLANK('Data Entry'!$Ô$782), "", 'Data Entry'!$Ô$782)</f>
      </c>
      <c r="ES782">
        <f>IF(ISBLANK('Data Entry'!$Õ$782), "", 'Data Entry'!$Õ$782)</f>
      </c>
      <c r="ET782">
        <f>IF(ISBLANK('Data Entry'!$Ö$782), "", 'Data Entry'!$Ö$782)</f>
      </c>
      <c r="EU782">
        <f>IF(ISBLANK('Data Entry'!$×$782), "", 'Data Entry'!$×$782)</f>
      </c>
      <c r="EV782">
        <f>IF(ISBLANK('Data Entry'!$Ø$782), "", 'Data Entry'!$Ø$782)</f>
      </c>
      <c r="EW782">
        <f>IF(ISBLANK('Data Entry'!$Ù$782), "", 'Data Entry'!$Ù$782)</f>
      </c>
      <c r="EX782">
        <f>IF(ISBLANK('Data Entry'!$Ú$782), "", 'Data Entry'!$Ú$782)</f>
      </c>
      <c r="EY782">
        <f>IF(ISBLANK('Data Entry'!$Û$782), "", 'Data Entry'!$Û$782)</f>
      </c>
      <c r="EZ782">
        <f>IF(ISBLANK('Data Entry'!$Ü$782), "", 'Data Entry'!$Ü$782)</f>
      </c>
      <c r="FA782">
        <f>IF(ISBLANK('Data Entry'!$Ý$782), "", 'Data Entry'!$Ý$782)</f>
      </c>
      <c r="FB782">
        <f>IF(ISBLANK('Data Entry'!$Þ$782), "", 'Data Entry'!$Þ$782)</f>
      </c>
      <c r="FC782">
        <f>IF(ISBLANK('Data Entry'!$ß$782), "", 'Data Entry'!$ß$782)</f>
      </c>
      <c r="FD782">
        <f>IF(ISBLANK('Data Entry'!$à$782), "", 'Data Entry'!$à$782)</f>
      </c>
      <c r="FE782">
        <f>IF(ISBLANK('Data Entry'!$á$782), "", 'Data Entry'!$á$782)</f>
      </c>
      <c r="FF782">
        <f>IF(ISBLANK('Data Entry'!$â$782), "", 'Data Entry'!$â$782)</f>
      </c>
      <c r="FG782">
        <f>IF(ISBLANK('Data Entry'!$ã$782), "", 'Data Entry'!$ã$782)</f>
      </c>
      <c r="FH782">
        <f>IF(ISBLANK('Data Entry'!$ä$782), "", 'Data Entry'!$ä$782)</f>
      </c>
      <c r="FI782">
        <f>IF(ISBLANK('Data Entry'!$å$782), "", 'Data Entry'!$å$782)</f>
      </c>
      <c r="FJ782">
        <f>IF(ISBLANK('Data Entry'!$æ$782), "", 'Data Entry'!$æ$782)</f>
      </c>
      <c r="FK782">
        <f>IF(ISBLANK('Data Entry'!$ç$782), "", 'Data Entry'!$ç$782)</f>
      </c>
      <c r="FL782">
        <f>IF(ISBLANK('Data Entry'!$è$782), "", 'Data Entry'!$è$782)</f>
      </c>
      <c r="FM782">
        <f>IF(ISBLANK('Data Entry'!$é$782), "", 'Data Entry'!$é$782)</f>
      </c>
      <c r="FN782">
        <f>IF(ISBLANK('Data Entry'!$ê$782), "", 'Data Entry'!$ê$782)</f>
      </c>
      <c r="FO782">
        <f>IF(ISBLANK('Data Entry'!$ë$782), "", 'Data Entry'!$ë$782)</f>
      </c>
      <c r="FP782">
        <f>IF(ISBLANK('Data Entry'!$ì$782), "", 'Data Entry'!$ì$782)</f>
      </c>
      <c r="FQ782">
        <f>IF(ISBLANK('Data Entry'!$í$782), "", 'Data Entry'!$í$782)</f>
      </c>
      <c r="FR782">
        <f>IF(ISBLANK('Data Entry'!$î$782), "", 'Data Entry'!$î$782)</f>
      </c>
      <c r="FS782">
        <f>IF(ISBLANK('Data Entry'!$ï$782), "", 'Data Entry'!$ï$782)</f>
      </c>
      <c r="FT782">
        <f>IF(ISBLANK('Data Entry'!$ð$782), "", 'Data Entry'!$ð$782)</f>
      </c>
      <c r="FU782">
        <f>IF(ISBLANK('Data Entry'!$ñ$782), "", 'Data Entry'!$ñ$782)</f>
      </c>
      <c r="FV782">
        <f>IF(ISBLANK('Data Entry'!$ò$782), "", 'Data Entry'!$ò$782)</f>
      </c>
      <c r="FW782">
        <f>IF(ISBLANK('Data Entry'!$ó$782), "", 'Data Entry'!$ó$782)</f>
      </c>
      <c r="FX782">
        <f>IF(ISBLANK('Data Entry'!$ô$782), "", 'Data Entry'!$ô$782)</f>
      </c>
      <c r="FY782">
        <f>IF(ISBLANK('Data Entry'!$õ$782), "", 'Data Entry'!$õ$782)</f>
      </c>
      <c r="FZ782">
        <f>IF(ISBLANK('Data Entry'!$ö$782), "", 'Data Entry'!$ö$782)</f>
      </c>
      <c r="GA782">
        <f>IF(ISBLANK('Data Entry'!$÷$782), "", 'Data Entry'!$÷$782)</f>
      </c>
      <c r="GB782">
        <f>IF(ISBLANK('Data Entry'!$ø$782), "", 'Data Entry'!$ø$782)</f>
      </c>
      <c r="GC782">
        <f>IF(ISBLANK('Data Entry'!$ù$782), "", 'Data Entry'!$ù$782)</f>
      </c>
      <c r="GD782">
        <f>IF(ISBLANK('Data Entry'!$ú$782), "", 'Data Entry'!$ú$782)</f>
      </c>
      <c r="GE782">
        <f>IF(ISBLANK('Data Entry'!$û$782), "", 'Data Entry'!$û$782)</f>
      </c>
      <c r="GF782">
        <f>IF(ISBLANK('Data Entry'!$ü$782), "", 'Data Entry'!$ü$782)</f>
      </c>
      <c r="GG782">
        <f>IF(ISBLANK('Data Entry'!$ý$782), "", 'Data Entry'!$ý$782)</f>
      </c>
      <c r="GH782">
        <f>IF(ISBLANK('Data Entry'!$þ$782), "", 'Data Entry'!$þ$782)</f>
      </c>
      <c r="GI782">
        <f>IF(ISBLANK('Data Entry'!$ÿ$782), "", 'Data Entry'!$ÿ$782)</f>
      </c>
      <c r="GJ782">
        <f>IF(ISBLANK('Data Entry'!$Ā$782), "", 'Data Entry'!$Ā$782)</f>
      </c>
      <c r="GK782">
        <f>IF(ISBLANK('Data Entry'!$ā$782), "", 'Data Entry'!$ā$782)</f>
      </c>
      <c r="GL782">
        <f>IF(ISBLANK('Data Entry'!$Ă$782), "", 'Data Entry'!$Ă$782)</f>
      </c>
      <c r="GM782">
        <f>IF(ISBLANK('Data Entry'!$ă$782), "", 'Data Entry'!$ă$782)</f>
      </c>
      <c r="GN782">
        <f>IF(ISBLANK('Data Entry'!$Ą$782), "", 'Data Entry'!$Ą$782)</f>
      </c>
      <c r="GO782">
        <f>IF(ISBLANK('Data Entry'!$ą$782), "", 'Data Entry'!$ą$782)</f>
      </c>
      <c r="GP782">
        <f>IF(ISBLANK('Data Entry'!$Ć$782), "", 'Data Entry'!$Ć$782)</f>
      </c>
      <c r="GQ782">
        <f>IF(ISBLANK('Data Entry'!$ć$782), "", 'Data Entry'!$ć$782)</f>
      </c>
      <c r="GR782">
        <f>IF(ISBLANK('Data Entry'!$Ĉ$782), "", 'Data Entry'!$Ĉ$782)</f>
      </c>
      <c r="GS782">
        <f>IF(ISBLANK('Data Entry'!$ĉ$782), "", 'Data Entry'!$ĉ$782)</f>
      </c>
      <c r="GT782">
        <f>IF(ISBLANK('Data Entry'!$Ċ$782), "", 'Data Entry'!$Ċ$782)</f>
      </c>
      <c r="GU782">
        <f>IF(ISBLANK('Data Entry'!$ċ$782), "", 'Data Entry'!$ċ$782)</f>
      </c>
      <c r="GV782">
        <f>IF(ISBLANK('Data Entry'!$Č$782), "", 'Data Entry'!$Č$782)</f>
      </c>
      <c r="GW782">
        <f>IF(ISBLANK('Data Entry'!$č$782), "", 'Data Entry'!$č$782)</f>
      </c>
      <c r="GX782">
        <f>IF(ISBLANK('Data Entry'!$Ď$782), "", 'Data Entry'!$Ď$782)</f>
      </c>
      <c r="GY782">
        <f>IF(ISBLANK('Data Entry'!$ď$782), "", 'Data Entry'!$ď$782)</f>
      </c>
      <c r="GZ782">
        <f>IF(ISBLANK('Data Entry'!$Đ$782), "", 'Data Entry'!$Đ$782)</f>
      </c>
      <c r="HA782">
        <f>IF(ISBLANK('Data Entry'!$đ$782), "", 'Data Entry'!$đ$782)</f>
      </c>
      <c r="HB782">
        <f>IF(ISBLANK('Data Entry'!$Ē$782), "", 'Data Entry'!$Ē$782)</f>
      </c>
      <c r="HC782">
        <f>IF(ISBLANK('Data Entry'!$ē$782), "", 'Data Entry'!$ē$782)</f>
      </c>
      <c r="HD782">
        <f>IF(ISBLANK('Data Entry'!$Ĕ$782), "", 'Data Entry'!$Ĕ$782)</f>
      </c>
      <c r="HE782">
        <f>IF(ISBLANK('Data Entry'!$ĕ$782), "", 'Data Entry'!$ĕ$782)</f>
      </c>
      <c r="HF782">
        <f>IF(ISBLANK('Data Entry'!$Ė$782), "", 'Data Entry'!$Ė$782)</f>
      </c>
      <c r="HG782">
        <f>IF(ISBLANK('Data Entry'!$ė$782), "", 'Data Entry'!$ė$782)</f>
      </c>
      <c r="HH782">
        <f>IF(ISBLANK('Data Entry'!$Ę$782), "", 'Data Entry'!$Ę$782)</f>
      </c>
      <c r="HI782">
        <f>IF(ISBLANK('Data Entry'!$ę$782), "", 'Data Entry'!$ę$782)</f>
      </c>
      <c r="HJ782">
        <f>IF(ISBLANK('Data Entry'!$Ě$782), "", 'Data Entry'!$Ě$782)</f>
      </c>
      <c r="HK782">
        <f>IF(ISBLANK('Data Entry'!$ě$782), "", 'Data Entry'!$ě$782)</f>
      </c>
      <c r="HL782">
        <f>IF(ISBLANK('Data Entry'!$Ĝ$782), "", 'Data Entry'!$Ĝ$782)</f>
      </c>
      <c r="HM782">
        <f>IF(ISBLANK('Data Entry'!$ĝ$782), "", 'Data Entry'!$ĝ$782)</f>
      </c>
      <c r="HN782">
        <f>IF(ISBLANK('Data Entry'!$Ğ$782), "", 'Data Entry'!$Ğ$782)</f>
      </c>
      <c r="HO782">
        <f>IF(ISBLANK('Data Entry'!$ğ$782), "", 'Data Entry'!$ğ$782)</f>
      </c>
      <c r="HP782">
        <f>IF(ISBLANK('Data Entry'!$Ġ$782), "", 'Data Entry'!$Ġ$782)</f>
      </c>
      <c r="HQ782">
        <f>IF(ISBLANK('Data Entry'!$ġ$782), "", 'Data Entry'!$ġ$782)</f>
      </c>
      <c r="HR782">
        <f>IF(ISBLANK('Data Entry'!$Ģ$782), "", 'Data Entry'!$Ģ$782)</f>
      </c>
      <c r="HS782">
        <f>IF(ISBLANK('Data Entry'!$ģ$782), "", 'Data Entry'!$ģ$782)</f>
      </c>
      <c r="HT782">
        <f>IF(ISBLANK('Data Entry'!$Ĥ$782), "", 'Data Entry'!$Ĥ$782)</f>
      </c>
      <c r="HU782">
        <f>IF(ISBLANK('Data Entry'!$ĥ$782), "", 'Data Entry'!$ĥ$782)</f>
      </c>
      <c r="HV782">
        <f>IF(ISBLANK('Data Entry'!$Ħ$782), "", 'Data Entry'!$Ħ$782)</f>
      </c>
      <c r="HW782">
        <f>IF(ISBLANK('Data Entry'!$ħ$782), "", 'Data Entry'!$ħ$782)</f>
      </c>
      <c r="HX782">
        <f>IF(ISBLANK('Data Entry'!$Ĩ$782), "", 'Data Entry'!$Ĩ$782)</f>
      </c>
      <c r="HY782">
        <f>IF(ISBLANK('Data Entry'!$ĩ$782), "", 'Data Entry'!$ĩ$782)</f>
      </c>
      <c r="HZ782">
        <f>IF(ISBLANK('Data Entry'!$Ī$782), "", 'Data Entry'!$Ī$782)</f>
      </c>
      <c r="IA782">
        <f>IF(ISBLANK('Data Entry'!$ī$782), "", 'Data Entry'!$ī$782)</f>
      </c>
      <c r="IB782">
        <f>IF(ISBLANK('Data Entry'!$Ĭ$782), "", 'Data Entry'!$Ĭ$782)</f>
      </c>
      <c r="IC782">
        <f>IF(ISBLANK('Data Entry'!$ĭ$782), "", 'Data Entry'!$ĭ$782)</f>
      </c>
      <c r="ID782">
        <f>IF(ISBLANK('Data Entry'!$Į$782), "", 'Data Entry'!$Į$782)</f>
      </c>
      <c r="IE782">
        <f>IF(ISBLANK('Data Entry'!$į$782), "", 'Data Entry'!$į$782)</f>
      </c>
      <c r="IF782">
        <f>IF(ISBLANK('Data Entry'!$İ$782), "", 'Data Entry'!$İ$782)</f>
      </c>
      <c r="IG782">
        <f>IF(ISBLANK('Data Entry'!$ı$782), "", 'Data Entry'!$ı$782)</f>
      </c>
      <c r="IH782">
        <f>IF(ISBLANK('Data Entry'!$Ĳ$782), "", 'Data Entry'!$Ĳ$782)</f>
      </c>
      <c r="II782">
        <f>IF(ISBLANK('Data Entry'!$ĳ$782), "", 'Data Entry'!$ĳ$782)</f>
      </c>
      <c r="IJ782">
        <f>IF(ISBLANK('Data Entry'!$Ĵ$782), "", 'Data Entry'!$Ĵ$782)</f>
      </c>
      <c r="IK782">
        <f>IF(ISBLANK('Data Entry'!$ĵ$782), "", 'Data Entry'!$ĵ$782)</f>
      </c>
      <c r="IL782">
        <f>IF(ISBLANK('Data Entry'!$Ķ$782), "", 'Data Entry'!$Ķ$782)</f>
      </c>
      <c r="IM782">
        <f>IF(ISBLANK('Data Entry'!$ķ$782), "", 'Data Entry'!$ķ$782)</f>
      </c>
      <c r="IN782">
        <f>IF(ISBLANK('Data Entry'!$ĸ$782), "", 'Data Entry'!$ĸ$782)</f>
      </c>
      <c r="IO782">
        <f>IF(ISBLANK('Data Entry'!$Ĺ$782), "", 'Data Entry'!$Ĺ$782)</f>
      </c>
      <c r="IP782">
        <f>IF(ISBLANK('Data Entry'!$ĺ$782), "", 'Data Entry'!$ĺ$782)</f>
      </c>
      <c r="IQ782">
        <f>IF(ISBLANK('Data Entry'!$Ļ$782), "", 'Data Entry'!$Ļ$782)</f>
      </c>
      <c r="IR782">
        <f>IF(ISBLANK('Data Entry'!$ļ$782), "", 'Data Entry'!$ļ$782)</f>
      </c>
      <c r="IS782">
        <f>IF(ISBLANK('Data Entry'!$Ľ$782), "", 'Data Entry'!$Ľ$782)</f>
      </c>
      <c r="IT782">
        <f>IF(ISBLANK('Data Entry'!$ľ$782), "", 'Data Entry'!$ľ$782)</f>
      </c>
    </row>
    <row r="783" spans="1:254" x14ac:dyDescent="0.25">
      <c r="A783">
        <f>IF(ISBLANK('Data Entry'!$A$783), "", 'Data Entry'!$A$783)</f>
      </c>
      <c r="B783">
        <f>IF(ISBLANK('Data Entry'!$B$783), "", 'Data Entry'!$B$783)</f>
      </c>
      <c r="C783">
        <f>IF(ISBLANK('Data Entry'!$C$783), "", 'Data Entry'!$C$783)</f>
      </c>
      <c r="D783">
        <f>IF(ISBLANK('Data Entry'!$D$783), "", 'Data Entry'!$D$783)</f>
      </c>
      <c r="E783">
        <f>IF(ISBLANK('Data Entry'!$E$783), "", 'Data Entry'!$E$783)</f>
      </c>
      <c r="F783">
        <f>IF(ISBLANK('Data Entry'!$F$783), "", 'Data Entry'!$F$783)</f>
      </c>
      <c r="G783">
        <f>IF(ISBLANK('Data Entry'!$G$783), "", 'Data Entry'!$G$783)</f>
      </c>
      <c r="H783">
        <f>IF(ISBLANK('Data Entry'!$H$783), "", 'Data Entry'!$H$783)</f>
      </c>
      <c r="I783">
        <f>IF(ISBLANK('Data Entry'!$I$783), "", 'Data Entry'!$I$783)</f>
      </c>
      <c r="J783">
        <f>IF(ISBLANK('Data Entry'!$J$783), "", 'Data Entry'!$J$783)</f>
      </c>
      <c r="K783">
        <f>IF(ISBLANK('Data Entry'!$K$783), "", 'Data Entry'!$K$783)</f>
      </c>
      <c r="L783">
        <f>IF(ISBLANK('Data Entry'!$L$783), "", 'Data Entry'!$L$783)</f>
      </c>
      <c r="M783">
        <f>IF(ISBLANK('Data Entry'!$M$783), "", 'Data Entry'!$M$783)</f>
      </c>
      <c r="N783">
        <f>IF(ISBLANK('Data Entry'!$N$783), "", 'Data Entry'!$N$783)</f>
      </c>
      <c r="O783">
        <f>IF(ISBLANK('Data Entry'!$O$783), "", 'Data Entry'!$O$783)</f>
      </c>
      <c r="P783">
        <f>IF(ISBLANK('Data Entry'!$P$783), "", 'Data Entry'!$P$783)</f>
      </c>
      <c r="Q783">
        <f>IF(ISBLANK('Data Entry'!$Q$783), "", 'Data Entry'!$Q$783)</f>
      </c>
      <c r="R783">
        <f>IF(ISBLANK('Data Entry'!$R$783), "", 'Data Entry'!$R$783)</f>
      </c>
      <c r="S783">
        <f>IF(ISBLANK('Data Entry'!$S$783), "", 'Data Entry'!$S$783)</f>
      </c>
      <c r="T783">
        <f>IF(ISBLANK('Data Entry'!$T$783), "", 'Data Entry'!$T$783)</f>
      </c>
      <c r="U783">
        <f>IF(ISBLANK('Data Entry'!$U$783), "", 'Data Entry'!$U$783)</f>
      </c>
      <c r="V783">
        <f>IF(ISBLANK('Data Entry'!$V$783), "", 'Data Entry'!$V$783)</f>
      </c>
      <c r="W783">
        <f>IF(ISBLANK('Data Entry'!$W$783), "", 'Data Entry'!$W$783)</f>
      </c>
      <c r="X783">
        <f>IF(ISBLANK('Data Entry'!$X$783), "", 'Data Entry'!$X$783)</f>
      </c>
      <c r="Y783">
        <f>IF(ISBLANK('Data Entry'!$Y$783), "", 'Data Entry'!$Y$783)</f>
      </c>
      <c r="Z783">
        <f>IF(ISBLANK('Data Entry'!$Z$783), "", 'Data Entry'!$Z$783)</f>
      </c>
      <c r="AA783">
        <f>IF(ISBLANK('Data Entry'!$[$783), "", 'Data Entry'!$[$783)</f>
      </c>
      <c r="AB783">
        <f>IF(ISBLANK('Data Entry'!$\$783), "", 'Data Entry'!$\$783)</f>
      </c>
      <c r="AC783">
        <f>IF(ISBLANK('Data Entry'!$]$783), "", 'Data Entry'!$]$783)</f>
      </c>
      <c r="AD783">
        <f>IF(ISBLANK('Data Entry'!$^$783), "", 'Data Entry'!$^$783)</f>
      </c>
      <c r="AE783">
        <f>IF(ISBLANK('Data Entry'!$_$783), "", 'Data Entry'!$_$783)</f>
      </c>
      <c r="AF783">
        <f>IF(ISBLANK('Data Entry'!$`$783), "", 'Data Entry'!$`$783)</f>
      </c>
      <c r="AG783">
        <f>IF(ISBLANK('Data Entry'!$a$783), "", 'Data Entry'!$a$783)</f>
      </c>
      <c r="AH783">
        <f>IF(ISBLANK('Data Entry'!$b$783), "", 'Data Entry'!$b$783)</f>
      </c>
      <c r="AI783">
        <f>IF(ISBLANK('Data Entry'!$c$783), "", 'Data Entry'!$c$783)</f>
      </c>
      <c r="AJ783">
        <f>IF(ISBLANK('Data Entry'!$d$783), "", 'Data Entry'!$d$783)</f>
      </c>
      <c r="AK783">
        <f>IF(ISBLANK('Data Entry'!$e$783), "", 'Data Entry'!$e$783)</f>
      </c>
      <c r="AL783">
        <f>IF(ISBLANK('Data Entry'!$f$783), "", 'Data Entry'!$f$783)</f>
      </c>
      <c r="AM783">
        <f>IF(ISBLANK('Data Entry'!$g$783), "", 'Data Entry'!$g$783)</f>
      </c>
      <c r="AN783">
        <f>IF(ISBLANK('Data Entry'!$h$783), "", 'Data Entry'!$h$783)</f>
      </c>
      <c r="AO783">
        <f>IF(ISBLANK('Data Entry'!$i$783), "", 'Data Entry'!$i$783)</f>
      </c>
      <c r="AP783">
        <f>IF(ISBLANK('Data Entry'!$j$783), "", 'Data Entry'!$j$783)</f>
      </c>
      <c r="AQ783">
        <f>IF(ISBLANK('Data Entry'!$k$783), "", 'Data Entry'!$k$783)</f>
      </c>
      <c r="AR783">
        <f>IF(ISBLANK('Data Entry'!$l$783), "", 'Data Entry'!$l$783)</f>
      </c>
      <c r="AS783">
        <f>IF(ISBLANK('Data Entry'!$m$783), "", 'Data Entry'!$m$783)</f>
      </c>
      <c r="AT783">
        <f>IF(ISBLANK('Data Entry'!$n$783), "", 'Data Entry'!$n$783)</f>
      </c>
      <c r="AU783">
        <f>IF(ISBLANK('Data Entry'!$o$783), "", 'Data Entry'!$o$783)</f>
      </c>
      <c r="AV783">
        <f>IF(ISBLANK('Data Entry'!$p$783), "", 'Data Entry'!$p$783)</f>
      </c>
      <c r="AW783">
        <f>IF(ISBLANK('Data Entry'!$q$783), "", 'Data Entry'!$q$783)</f>
      </c>
      <c r="AX783">
        <f>IF(ISBLANK('Data Entry'!$r$783), "", 'Data Entry'!$r$783)</f>
      </c>
      <c r="AY783">
        <f>IF(ISBLANK('Data Entry'!$s$783), "", 'Data Entry'!$s$783)</f>
      </c>
      <c r="AZ783">
        <f>IF(ISBLANK('Data Entry'!$t$783), "", 'Data Entry'!$t$783)</f>
      </c>
      <c r="BA783">
        <f>IF(ISBLANK('Data Entry'!$u$783), "", 'Data Entry'!$u$783)</f>
      </c>
      <c r="BB783">
        <f>IF(ISBLANK('Data Entry'!$v$783), "", 'Data Entry'!$v$783)</f>
      </c>
      <c r="BC783">
        <f>IF(ISBLANK('Data Entry'!$w$783), "", 'Data Entry'!$w$783)</f>
      </c>
      <c r="BD783">
        <f>IF(ISBLANK('Data Entry'!$x$783), "", 'Data Entry'!$x$783)</f>
      </c>
      <c r="BE783">
        <f>IF(ISBLANK('Data Entry'!$y$783), "", 'Data Entry'!$y$783)</f>
      </c>
      <c r="BF783">
        <f>IF(ISBLANK('Data Entry'!$z$783), "", 'Data Entry'!$z$783)</f>
      </c>
      <c r="BG783">
        <f>IF(ISBLANK('Data Entry'!${$783), "", 'Data Entry'!${$783)</f>
      </c>
      <c r="BH783">
        <f>IF(ISBLANK('Data Entry'!$|$783), "", 'Data Entry'!$|$783)</f>
      </c>
      <c r="BI783">
        <f>IF(ISBLANK('Data Entry'!$}$783), "", 'Data Entry'!$}$783)</f>
      </c>
      <c r="BJ783">
        <f>IF(ISBLANK('Data Entry'!$~$783), "", 'Data Entry'!$~$783)</f>
      </c>
      <c r="BK783">
        <f>IF(ISBLANK('Data Entry'!$$783), "", 'Data Entry'!$$783)</f>
      </c>
      <c r="BL783">
        <f>IF(ISBLANK('Data Entry'!$$783), "", 'Data Entry'!$$783)</f>
      </c>
      <c r="BM783">
        <f>IF(ISBLANK('Data Entry'!$$783), "", 'Data Entry'!$$783)</f>
      </c>
      <c r="BN783">
        <f>IF(ISBLANK('Data Entry'!$$783), "", 'Data Entry'!$$783)</f>
      </c>
      <c r="BO783">
        <f>IF(ISBLANK('Data Entry'!$$783), "", 'Data Entry'!$$783)</f>
      </c>
      <c r="BP783">
        <f>IF(ISBLANK('Data Entry'!$$783), "", 'Data Entry'!$$783)</f>
      </c>
      <c r="BQ783">
        <f>IF(ISBLANK('Data Entry'!$$783), "", 'Data Entry'!$$783)</f>
      </c>
      <c r="BR783">
        <f>IF(ISBLANK('Data Entry'!$$783), "", 'Data Entry'!$$783)</f>
      </c>
      <c r="BS783">
        <f>IF(ISBLANK('Data Entry'!$$783), "", 'Data Entry'!$$783)</f>
      </c>
      <c r="BT783">
        <f>IF(ISBLANK('Data Entry'!$$783), "", 'Data Entry'!$$783)</f>
      </c>
      <c r="BU783">
        <f>IF(ISBLANK('Data Entry'!$$783), "", 'Data Entry'!$$783)</f>
      </c>
      <c r="BV783">
        <f>IF(ISBLANK('Data Entry'!$$783), "", 'Data Entry'!$$783)</f>
      </c>
      <c r="BW783">
        <f>IF(ISBLANK('Data Entry'!$$783), "", 'Data Entry'!$$783)</f>
      </c>
      <c r="BX783">
        <f>IF(ISBLANK('Data Entry'!$$783), "", 'Data Entry'!$$783)</f>
      </c>
      <c r="BY783">
        <f>IF(ISBLANK('Data Entry'!$$783), "", 'Data Entry'!$$783)</f>
      </c>
      <c r="BZ783">
        <f>IF(ISBLANK('Data Entry'!$$783), "", 'Data Entry'!$$783)</f>
      </c>
      <c r="CA783">
        <f>IF(ISBLANK('Data Entry'!$$783), "", 'Data Entry'!$$783)</f>
      </c>
      <c r="CB783">
        <f>IF(ISBLANK('Data Entry'!$$783), "", 'Data Entry'!$$783)</f>
      </c>
      <c r="CC783">
        <f>IF(ISBLANK('Data Entry'!$$783), "", 'Data Entry'!$$783)</f>
      </c>
      <c r="CD783">
        <f>IF(ISBLANK('Data Entry'!$$783), "", 'Data Entry'!$$783)</f>
      </c>
      <c r="CE783">
        <f>IF(ISBLANK('Data Entry'!$$783), "", 'Data Entry'!$$783)</f>
      </c>
      <c r="CF783">
        <f>IF(ISBLANK('Data Entry'!$$783), "", 'Data Entry'!$$783)</f>
      </c>
      <c r="CG783">
        <f>IF(ISBLANK('Data Entry'!$$783), "", 'Data Entry'!$$783)</f>
      </c>
      <c r="CH783">
        <f>IF(ISBLANK('Data Entry'!$$783), "", 'Data Entry'!$$783)</f>
      </c>
      <c r="CI783">
        <f>IF(ISBLANK('Data Entry'!$$783), "", 'Data Entry'!$$783)</f>
      </c>
      <c r="CJ783">
        <f>IF(ISBLANK('Data Entry'!$$783), "", 'Data Entry'!$$783)</f>
      </c>
      <c r="CK783">
        <f>IF(ISBLANK('Data Entry'!$$783), "", 'Data Entry'!$$783)</f>
      </c>
      <c r="CL783">
        <f>IF(ISBLANK('Data Entry'!$$783), "", 'Data Entry'!$$783)</f>
      </c>
      <c r="CM783">
        <f>IF(ISBLANK('Data Entry'!$$783), "", 'Data Entry'!$$783)</f>
      </c>
      <c r="CN783">
        <f>IF(ISBLANK('Data Entry'!$$783), "", 'Data Entry'!$$783)</f>
      </c>
      <c r="CO783">
        <f>IF(ISBLANK('Data Entry'!$$783), "", 'Data Entry'!$$783)</f>
      </c>
      <c r="CP783">
        <f>IF(ISBLANK('Data Entry'!$$783), "", 'Data Entry'!$$783)</f>
      </c>
      <c r="CQ783">
        <f>IF(ISBLANK('Data Entry'!$$783), "", 'Data Entry'!$$783)</f>
      </c>
      <c r="CR783">
        <f>IF(ISBLANK('Data Entry'!$ $783), "", 'Data Entry'!$ $783)</f>
      </c>
      <c r="CS783">
        <f>IF(ISBLANK('Data Entry'!$¡$783), "", 'Data Entry'!$¡$783)</f>
      </c>
      <c r="CT783">
        <f>IF(ISBLANK('Data Entry'!$¢$783), "", 'Data Entry'!$¢$783)</f>
      </c>
      <c r="CU783">
        <f>IF(ISBLANK('Data Entry'!$£$783), "", 'Data Entry'!$£$783)</f>
      </c>
      <c r="CV783">
        <f>IF(ISBLANK('Data Entry'!$¤$783), "", 'Data Entry'!$¤$783)</f>
      </c>
      <c r="CW783">
        <f>IF(ISBLANK('Data Entry'!$¥$783), "", 'Data Entry'!$¥$783)</f>
      </c>
      <c r="CX783">
        <f>IF(ISBLANK('Data Entry'!$¦$783), "", 'Data Entry'!$¦$783)</f>
      </c>
      <c r="CY783">
        <f>IF(ISBLANK('Data Entry'!$§$783), "", 'Data Entry'!$§$783)</f>
      </c>
      <c r="CZ783">
        <f>IF(ISBLANK('Data Entry'!$¨$783), "", 'Data Entry'!$¨$783)</f>
      </c>
      <c r="DA783">
        <f>IF(ISBLANK('Data Entry'!$©$783), "", 'Data Entry'!$©$783)</f>
      </c>
      <c r="DB783">
        <f>IF(ISBLANK('Data Entry'!$ª$783), "", 'Data Entry'!$ª$783)</f>
      </c>
      <c r="DC783">
        <f>IF(ISBLANK('Data Entry'!$«$783), "", 'Data Entry'!$«$783)</f>
      </c>
      <c r="DD783">
        <f>IF(ISBLANK('Data Entry'!$¬$783), "", 'Data Entry'!$¬$783)</f>
      </c>
      <c r="DE783">
        <f>IF(ISBLANK('Data Entry'!$­$783), "", 'Data Entry'!$­$783)</f>
      </c>
      <c r="DF783">
        <f>IF(ISBLANK('Data Entry'!$®$783), "", 'Data Entry'!$®$783)</f>
      </c>
      <c r="DG783">
        <f>IF(ISBLANK('Data Entry'!$¯$783), "", 'Data Entry'!$¯$783)</f>
      </c>
      <c r="DH783">
        <f>IF(ISBLANK('Data Entry'!$°$783), "", 'Data Entry'!$°$783)</f>
      </c>
      <c r="DI783">
        <f>IF(ISBLANK('Data Entry'!$±$783), "", 'Data Entry'!$±$783)</f>
      </c>
      <c r="DJ783">
        <f>IF(ISBLANK('Data Entry'!$²$783), "", 'Data Entry'!$²$783)</f>
      </c>
      <c r="DK783">
        <f>IF(ISBLANK('Data Entry'!$³$783), "", 'Data Entry'!$³$783)</f>
      </c>
      <c r="DL783">
        <f>IF(ISBLANK('Data Entry'!$´$783), "", 'Data Entry'!$´$783)</f>
      </c>
      <c r="DM783">
        <f>IF(ISBLANK('Data Entry'!$µ$783), "", 'Data Entry'!$µ$783)</f>
      </c>
      <c r="DN783">
        <f>IF(ISBLANK('Data Entry'!$¶$783), "", 'Data Entry'!$¶$783)</f>
      </c>
      <c r="DO783">
        <f>IF(ISBLANK('Data Entry'!$·$783), "", 'Data Entry'!$·$783)</f>
      </c>
      <c r="DP783">
        <f>IF(ISBLANK('Data Entry'!$¸$783), "", 'Data Entry'!$¸$783)</f>
      </c>
      <c r="DQ783">
        <f>IF(ISBLANK('Data Entry'!$¹$783), "", 'Data Entry'!$¹$783)</f>
      </c>
      <c r="DR783">
        <f>IF(ISBLANK('Data Entry'!$º$783), "", 'Data Entry'!$º$783)</f>
      </c>
      <c r="DS783">
        <f>IF(ISBLANK('Data Entry'!$»$783), "", 'Data Entry'!$»$783)</f>
      </c>
      <c r="DT783">
        <f>IF(ISBLANK('Data Entry'!$¼$783), "", 'Data Entry'!$¼$783)</f>
      </c>
      <c r="DU783">
        <f>IF(ISBLANK('Data Entry'!$½$783), "", 'Data Entry'!$½$783)</f>
      </c>
      <c r="DV783">
        <f>IF(ISBLANK('Data Entry'!$¾$783), "", 'Data Entry'!$¾$783)</f>
      </c>
      <c r="DW783">
        <f>IF(ISBLANK('Data Entry'!$¿$783), "", 'Data Entry'!$¿$783)</f>
      </c>
      <c r="DX783">
        <f>IF(ISBLANK('Data Entry'!$À$783), "", 'Data Entry'!$À$783)</f>
      </c>
      <c r="DY783">
        <f>IF(ISBLANK('Data Entry'!$Á$783), "", 'Data Entry'!$Á$783)</f>
      </c>
      <c r="DZ783">
        <f>IF(ISBLANK('Data Entry'!$Â$783), "", 'Data Entry'!$Â$783)</f>
      </c>
      <c r="EA783">
        <f>IF(ISBLANK('Data Entry'!$Ã$783), "", 'Data Entry'!$Ã$783)</f>
      </c>
      <c r="EB783">
        <f>IF(ISBLANK('Data Entry'!$Ä$783), "", 'Data Entry'!$Ä$783)</f>
      </c>
      <c r="EC783">
        <f>IF(ISBLANK('Data Entry'!$Å$783), "", 'Data Entry'!$Å$783)</f>
      </c>
      <c r="ED783">
        <f>IF(ISBLANK('Data Entry'!$Æ$783), "", 'Data Entry'!$Æ$783)</f>
      </c>
      <c r="EE783">
        <f>IF(ISBLANK('Data Entry'!$Ç$783), "", 'Data Entry'!$Ç$783)</f>
      </c>
      <c r="EF783">
        <f>IF(ISBLANK('Data Entry'!$È$783), "", 'Data Entry'!$È$783)</f>
      </c>
      <c r="EG783">
        <f>IF(ISBLANK('Data Entry'!$É$783), "", 'Data Entry'!$É$783)</f>
      </c>
      <c r="EH783">
        <f>IF(ISBLANK('Data Entry'!$Ê$783), "", 'Data Entry'!$Ê$783)</f>
      </c>
      <c r="EI783">
        <f>IF(ISBLANK('Data Entry'!$Ë$783), "", 'Data Entry'!$Ë$783)</f>
      </c>
      <c r="EJ783">
        <f>IF(ISBLANK('Data Entry'!$Ì$783), "", 'Data Entry'!$Ì$783)</f>
      </c>
      <c r="EK783">
        <f>IF(ISBLANK('Data Entry'!$Í$783), "", 'Data Entry'!$Í$783)</f>
      </c>
      <c r="EL783">
        <f>IF(ISBLANK('Data Entry'!$Î$783), "", 'Data Entry'!$Î$783)</f>
      </c>
      <c r="EM783">
        <f>IF(ISBLANK('Data Entry'!$Ï$783), "", 'Data Entry'!$Ï$783)</f>
      </c>
      <c r="EN783">
        <f>IF(ISBLANK('Data Entry'!$Ð$783), "", 'Data Entry'!$Ð$783)</f>
      </c>
      <c r="EO783">
        <f>IF(ISBLANK('Data Entry'!$Ñ$783), "", 'Data Entry'!$Ñ$783)</f>
      </c>
      <c r="EP783">
        <f>IF(ISBLANK('Data Entry'!$Ò$783), "", 'Data Entry'!$Ò$783)</f>
      </c>
      <c r="EQ783">
        <f>IF(ISBLANK('Data Entry'!$Ó$783), "", 'Data Entry'!$Ó$783)</f>
      </c>
      <c r="ER783">
        <f>IF(ISBLANK('Data Entry'!$Ô$783), "", 'Data Entry'!$Ô$783)</f>
      </c>
      <c r="ES783">
        <f>IF(ISBLANK('Data Entry'!$Õ$783), "", 'Data Entry'!$Õ$783)</f>
      </c>
      <c r="ET783">
        <f>IF(ISBLANK('Data Entry'!$Ö$783), "", 'Data Entry'!$Ö$783)</f>
      </c>
      <c r="EU783">
        <f>IF(ISBLANK('Data Entry'!$×$783), "", 'Data Entry'!$×$783)</f>
      </c>
      <c r="EV783">
        <f>IF(ISBLANK('Data Entry'!$Ø$783), "", 'Data Entry'!$Ø$783)</f>
      </c>
      <c r="EW783">
        <f>IF(ISBLANK('Data Entry'!$Ù$783), "", 'Data Entry'!$Ù$783)</f>
      </c>
      <c r="EX783">
        <f>IF(ISBLANK('Data Entry'!$Ú$783), "", 'Data Entry'!$Ú$783)</f>
      </c>
      <c r="EY783">
        <f>IF(ISBLANK('Data Entry'!$Û$783), "", 'Data Entry'!$Û$783)</f>
      </c>
      <c r="EZ783">
        <f>IF(ISBLANK('Data Entry'!$Ü$783), "", 'Data Entry'!$Ü$783)</f>
      </c>
      <c r="FA783">
        <f>IF(ISBLANK('Data Entry'!$Ý$783), "", 'Data Entry'!$Ý$783)</f>
      </c>
      <c r="FB783">
        <f>IF(ISBLANK('Data Entry'!$Þ$783), "", 'Data Entry'!$Þ$783)</f>
      </c>
      <c r="FC783">
        <f>IF(ISBLANK('Data Entry'!$ß$783), "", 'Data Entry'!$ß$783)</f>
      </c>
      <c r="FD783">
        <f>IF(ISBLANK('Data Entry'!$à$783), "", 'Data Entry'!$à$783)</f>
      </c>
      <c r="FE783">
        <f>IF(ISBLANK('Data Entry'!$á$783), "", 'Data Entry'!$á$783)</f>
      </c>
      <c r="FF783">
        <f>IF(ISBLANK('Data Entry'!$â$783), "", 'Data Entry'!$â$783)</f>
      </c>
      <c r="FG783">
        <f>IF(ISBLANK('Data Entry'!$ã$783), "", 'Data Entry'!$ã$783)</f>
      </c>
      <c r="FH783">
        <f>IF(ISBLANK('Data Entry'!$ä$783), "", 'Data Entry'!$ä$783)</f>
      </c>
      <c r="FI783">
        <f>IF(ISBLANK('Data Entry'!$å$783), "", 'Data Entry'!$å$783)</f>
      </c>
      <c r="FJ783">
        <f>IF(ISBLANK('Data Entry'!$æ$783), "", 'Data Entry'!$æ$783)</f>
      </c>
      <c r="FK783">
        <f>IF(ISBLANK('Data Entry'!$ç$783), "", 'Data Entry'!$ç$783)</f>
      </c>
      <c r="FL783">
        <f>IF(ISBLANK('Data Entry'!$è$783), "", 'Data Entry'!$è$783)</f>
      </c>
      <c r="FM783">
        <f>IF(ISBLANK('Data Entry'!$é$783), "", 'Data Entry'!$é$783)</f>
      </c>
      <c r="FN783">
        <f>IF(ISBLANK('Data Entry'!$ê$783), "", 'Data Entry'!$ê$783)</f>
      </c>
      <c r="FO783">
        <f>IF(ISBLANK('Data Entry'!$ë$783), "", 'Data Entry'!$ë$783)</f>
      </c>
      <c r="FP783">
        <f>IF(ISBLANK('Data Entry'!$ì$783), "", 'Data Entry'!$ì$783)</f>
      </c>
      <c r="FQ783">
        <f>IF(ISBLANK('Data Entry'!$í$783), "", 'Data Entry'!$í$783)</f>
      </c>
      <c r="FR783">
        <f>IF(ISBLANK('Data Entry'!$î$783), "", 'Data Entry'!$î$783)</f>
      </c>
      <c r="FS783">
        <f>IF(ISBLANK('Data Entry'!$ï$783), "", 'Data Entry'!$ï$783)</f>
      </c>
      <c r="FT783">
        <f>IF(ISBLANK('Data Entry'!$ð$783), "", 'Data Entry'!$ð$783)</f>
      </c>
      <c r="FU783">
        <f>IF(ISBLANK('Data Entry'!$ñ$783), "", 'Data Entry'!$ñ$783)</f>
      </c>
      <c r="FV783">
        <f>IF(ISBLANK('Data Entry'!$ò$783), "", 'Data Entry'!$ò$783)</f>
      </c>
      <c r="FW783">
        <f>IF(ISBLANK('Data Entry'!$ó$783), "", 'Data Entry'!$ó$783)</f>
      </c>
      <c r="FX783">
        <f>IF(ISBLANK('Data Entry'!$ô$783), "", 'Data Entry'!$ô$783)</f>
      </c>
      <c r="FY783">
        <f>IF(ISBLANK('Data Entry'!$õ$783), "", 'Data Entry'!$õ$783)</f>
      </c>
      <c r="FZ783">
        <f>IF(ISBLANK('Data Entry'!$ö$783), "", 'Data Entry'!$ö$783)</f>
      </c>
      <c r="GA783">
        <f>IF(ISBLANK('Data Entry'!$÷$783), "", 'Data Entry'!$÷$783)</f>
      </c>
      <c r="GB783">
        <f>IF(ISBLANK('Data Entry'!$ø$783), "", 'Data Entry'!$ø$783)</f>
      </c>
      <c r="GC783">
        <f>IF(ISBLANK('Data Entry'!$ù$783), "", 'Data Entry'!$ù$783)</f>
      </c>
      <c r="GD783">
        <f>IF(ISBLANK('Data Entry'!$ú$783), "", 'Data Entry'!$ú$783)</f>
      </c>
      <c r="GE783">
        <f>IF(ISBLANK('Data Entry'!$û$783), "", 'Data Entry'!$û$783)</f>
      </c>
      <c r="GF783">
        <f>IF(ISBLANK('Data Entry'!$ü$783), "", 'Data Entry'!$ü$783)</f>
      </c>
      <c r="GG783">
        <f>IF(ISBLANK('Data Entry'!$ý$783), "", 'Data Entry'!$ý$783)</f>
      </c>
      <c r="GH783">
        <f>IF(ISBLANK('Data Entry'!$þ$783), "", 'Data Entry'!$þ$783)</f>
      </c>
      <c r="GI783">
        <f>IF(ISBLANK('Data Entry'!$ÿ$783), "", 'Data Entry'!$ÿ$783)</f>
      </c>
      <c r="GJ783">
        <f>IF(ISBLANK('Data Entry'!$Ā$783), "", 'Data Entry'!$Ā$783)</f>
      </c>
      <c r="GK783">
        <f>IF(ISBLANK('Data Entry'!$ā$783), "", 'Data Entry'!$ā$783)</f>
      </c>
      <c r="GL783">
        <f>IF(ISBLANK('Data Entry'!$Ă$783), "", 'Data Entry'!$Ă$783)</f>
      </c>
      <c r="GM783">
        <f>IF(ISBLANK('Data Entry'!$ă$783), "", 'Data Entry'!$ă$783)</f>
      </c>
      <c r="GN783">
        <f>IF(ISBLANK('Data Entry'!$Ą$783), "", 'Data Entry'!$Ą$783)</f>
      </c>
      <c r="GO783">
        <f>IF(ISBLANK('Data Entry'!$ą$783), "", 'Data Entry'!$ą$783)</f>
      </c>
      <c r="GP783">
        <f>IF(ISBLANK('Data Entry'!$Ć$783), "", 'Data Entry'!$Ć$783)</f>
      </c>
      <c r="GQ783">
        <f>IF(ISBLANK('Data Entry'!$ć$783), "", 'Data Entry'!$ć$783)</f>
      </c>
      <c r="GR783">
        <f>IF(ISBLANK('Data Entry'!$Ĉ$783), "", 'Data Entry'!$Ĉ$783)</f>
      </c>
      <c r="GS783">
        <f>IF(ISBLANK('Data Entry'!$ĉ$783), "", 'Data Entry'!$ĉ$783)</f>
      </c>
      <c r="GT783">
        <f>IF(ISBLANK('Data Entry'!$Ċ$783), "", 'Data Entry'!$Ċ$783)</f>
      </c>
      <c r="GU783">
        <f>IF(ISBLANK('Data Entry'!$ċ$783), "", 'Data Entry'!$ċ$783)</f>
      </c>
      <c r="GV783">
        <f>IF(ISBLANK('Data Entry'!$Č$783), "", 'Data Entry'!$Č$783)</f>
      </c>
      <c r="GW783">
        <f>IF(ISBLANK('Data Entry'!$č$783), "", 'Data Entry'!$č$783)</f>
      </c>
      <c r="GX783">
        <f>IF(ISBLANK('Data Entry'!$Ď$783), "", 'Data Entry'!$Ď$783)</f>
      </c>
      <c r="GY783">
        <f>IF(ISBLANK('Data Entry'!$ď$783), "", 'Data Entry'!$ď$783)</f>
      </c>
      <c r="GZ783">
        <f>IF(ISBLANK('Data Entry'!$Đ$783), "", 'Data Entry'!$Đ$783)</f>
      </c>
      <c r="HA783">
        <f>IF(ISBLANK('Data Entry'!$đ$783), "", 'Data Entry'!$đ$783)</f>
      </c>
      <c r="HB783">
        <f>IF(ISBLANK('Data Entry'!$Ē$783), "", 'Data Entry'!$Ē$783)</f>
      </c>
      <c r="HC783">
        <f>IF(ISBLANK('Data Entry'!$ē$783), "", 'Data Entry'!$ē$783)</f>
      </c>
      <c r="HD783">
        <f>IF(ISBLANK('Data Entry'!$Ĕ$783), "", 'Data Entry'!$Ĕ$783)</f>
      </c>
      <c r="HE783">
        <f>IF(ISBLANK('Data Entry'!$ĕ$783), "", 'Data Entry'!$ĕ$783)</f>
      </c>
      <c r="HF783">
        <f>IF(ISBLANK('Data Entry'!$Ė$783), "", 'Data Entry'!$Ė$783)</f>
      </c>
      <c r="HG783">
        <f>IF(ISBLANK('Data Entry'!$ė$783), "", 'Data Entry'!$ė$783)</f>
      </c>
      <c r="HH783">
        <f>IF(ISBLANK('Data Entry'!$Ę$783), "", 'Data Entry'!$Ę$783)</f>
      </c>
      <c r="HI783">
        <f>IF(ISBLANK('Data Entry'!$ę$783), "", 'Data Entry'!$ę$783)</f>
      </c>
      <c r="HJ783">
        <f>IF(ISBLANK('Data Entry'!$Ě$783), "", 'Data Entry'!$Ě$783)</f>
      </c>
      <c r="HK783">
        <f>IF(ISBLANK('Data Entry'!$ě$783), "", 'Data Entry'!$ě$783)</f>
      </c>
      <c r="HL783">
        <f>IF(ISBLANK('Data Entry'!$Ĝ$783), "", 'Data Entry'!$Ĝ$783)</f>
      </c>
      <c r="HM783">
        <f>IF(ISBLANK('Data Entry'!$ĝ$783), "", 'Data Entry'!$ĝ$783)</f>
      </c>
      <c r="HN783">
        <f>IF(ISBLANK('Data Entry'!$Ğ$783), "", 'Data Entry'!$Ğ$783)</f>
      </c>
      <c r="HO783">
        <f>IF(ISBLANK('Data Entry'!$ğ$783), "", 'Data Entry'!$ğ$783)</f>
      </c>
      <c r="HP783">
        <f>IF(ISBLANK('Data Entry'!$Ġ$783), "", 'Data Entry'!$Ġ$783)</f>
      </c>
      <c r="HQ783">
        <f>IF(ISBLANK('Data Entry'!$ġ$783), "", 'Data Entry'!$ġ$783)</f>
      </c>
      <c r="HR783">
        <f>IF(ISBLANK('Data Entry'!$Ģ$783), "", 'Data Entry'!$Ģ$783)</f>
      </c>
      <c r="HS783">
        <f>IF(ISBLANK('Data Entry'!$ģ$783), "", 'Data Entry'!$ģ$783)</f>
      </c>
      <c r="HT783">
        <f>IF(ISBLANK('Data Entry'!$Ĥ$783), "", 'Data Entry'!$Ĥ$783)</f>
      </c>
      <c r="HU783">
        <f>IF(ISBLANK('Data Entry'!$ĥ$783), "", 'Data Entry'!$ĥ$783)</f>
      </c>
      <c r="HV783">
        <f>IF(ISBLANK('Data Entry'!$Ħ$783), "", 'Data Entry'!$Ħ$783)</f>
      </c>
      <c r="HW783">
        <f>IF(ISBLANK('Data Entry'!$ħ$783), "", 'Data Entry'!$ħ$783)</f>
      </c>
      <c r="HX783">
        <f>IF(ISBLANK('Data Entry'!$Ĩ$783), "", 'Data Entry'!$Ĩ$783)</f>
      </c>
      <c r="HY783">
        <f>IF(ISBLANK('Data Entry'!$ĩ$783), "", 'Data Entry'!$ĩ$783)</f>
      </c>
      <c r="HZ783">
        <f>IF(ISBLANK('Data Entry'!$Ī$783), "", 'Data Entry'!$Ī$783)</f>
      </c>
      <c r="IA783">
        <f>IF(ISBLANK('Data Entry'!$ī$783), "", 'Data Entry'!$ī$783)</f>
      </c>
      <c r="IB783">
        <f>IF(ISBLANK('Data Entry'!$Ĭ$783), "", 'Data Entry'!$Ĭ$783)</f>
      </c>
      <c r="IC783">
        <f>IF(ISBLANK('Data Entry'!$ĭ$783), "", 'Data Entry'!$ĭ$783)</f>
      </c>
      <c r="ID783">
        <f>IF(ISBLANK('Data Entry'!$Į$783), "", 'Data Entry'!$Į$783)</f>
      </c>
      <c r="IE783">
        <f>IF(ISBLANK('Data Entry'!$į$783), "", 'Data Entry'!$į$783)</f>
      </c>
      <c r="IF783">
        <f>IF(ISBLANK('Data Entry'!$İ$783), "", 'Data Entry'!$İ$783)</f>
      </c>
      <c r="IG783">
        <f>IF(ISBLANK('Data Entry'!$ı$783), "", 'Data Entry'!$ı$783)</f>
      </c>
      <c r="IH783">
        <f>IF(ISBLANK('Data Entry'!$Ĳ$783), "", 'Data Entry'!$Ĳ$783)</f>
      </c>
      <c r="II783">
        <f>IF(ISBLANK('Data Entry'!$ĳ$783), "", 'Data Entry'!$ĳ$783)</f>
      </c>
      <c r="IJ783">
        <f>IF(ISBLANK('Data Entry'!$Ĵ$783), "", 'Data Entry'!$Ĵ$783)</f>
      </c>
      <c r="IK783">
        <f>IF(ISBLANK('Data Entry'!$ĵ$783), "", 'Data Entry'!$ĵ$783)</f>
      </c>
      <c r="IL783">
        <f>IF(ISBLANK('Data Entry'!$Ķ$783), "", 'Data Entry'!$Ķ$783)</f>
      </c>
      <c r="IM783">
        <f>IF(ISBLANK('Data Entry'!$ķ$783), "", 'Data Entry'!$ķ$783)</f>
      </c>
      <c r="IN783">
        <f>IF(ISBLANK('Data Entry'!$ĸ$783), "", 'Data Entry'!$ĸ$783)</f>
      </c>
      <c r="IO783">
        <f>IF(ISBLANK('Data Entry'!$Ĺ$783), "", 'Data Entry'!$Ĺ$783)</f>
      </c>
      <c r="IP783">
        <f>IF(ISBLANK('Data Entry'!$ĺ$783), "", 'Data Entry'!$ĺ$783)</f>
      </c>
      <c r="IQ783">
        <f>IF(ISBLANK('Data Entry'!$Ļ$783), "", 'Data Entry'!$Ļ$783)</f>
      </c>
      <c r="IR783">
        <f>IF(ISBLANK('Data Entry'!$ļ$783), "", 'Data Entry'!$ļ$783)</f>
      </c>
      <c r="IS783">
        <f>IF(ISBLANK('Data Entry'!$Ľ$783), "", 'Data Entry'!$Ľ$783)</f>
      </c>
      <c r="IT783">
        <f>IF(ISBLANK('Data Entry'!$ľ$783), "", 'Data Entry'!$ľ$783)</f>
      </c>
    </row>
    <row r="784" spans="1:254" x14ac:dyDescent="0.25">
      <c r="A784">
        <f>IF(ISBLANK('Data Entry'!$A$784), "", 'Data Entry'!$A$784)</f>
      </c>
      <c r="B784">
        <f>IF(ISBLANK('Data Entry'!$B$784), "", 'Data Entry'!$B$784)</f>
      </c>
      <c r="C784">
        <f>IF(ISBLANK('Data Entry'!$C$784), "", 'Data Entry'!$C$784)</f>
      </c>
      <c r="D784">
        <f>IF(ISBLANK('Data Entry'!$D$784), "", 'Data Entry'!$D$784)</f>
      </c>
      <c r="E784">
        <f>IF(ISBLANK('Data Entry'!$E$784), "", 'Data Entry'!$E$784)</f>
      </c>
      <c r="F784">
        <f>IF(ISBLANK('Data Entry'!$F$784), "", 'Data Entry'!$F$784)</f>
      </c>
      <c r="G784">
        <f>IF(ISBLANK('Data Entry'!$G$784), "", 'Data Entry'!$G$784)</f>
      </c>
      <c r="H784">
        <f>IF(ISBLANK('Data Entry'!$H$784), "", 'Data Entry'!$H$784)</f>
      </c>
      <c r="I784">
        <f>IF(ISBLANK('Data Entry'!$I$784), "", 'Data Entry'!$I$784)</f>
      </c>
      <c r="J784">
        <f>IF(ISBLANK('Data Entry'!$J$784), "", 'Data Entry'!$J$784)</f>
      </c>
      <c r="K784">
        <f>IF(ISBLANK('Data Entry'!$K$784), "", 'Data Entry'!$K$784)</f>
      </c>
      <c r="L784">
        <f>IF(ISBLANK('Data Entry'!$L$784), "", 'Data Entry'!$L$784)</f>
      </c>
      <c r="M784">
        <f>IF(ISBLANK('Data Entry'!$M$784), "", 'Data Entry'!$M$784)</f>
      </c>
      <c r="N784">
        <f>IF(ISBLANK('Data Entry'!$N$784), "", 'Data Entry'!$N$784)</f>
      </c>
      <c r="O784">
        <f>IF(ISBLANK('Data Entry'!$O$784), "", 'Data Entry'!$O$784)</f>
      </c>
      <c r="P784">
        <f>IF(ISBLANK('Data Entry'!$P$784), "", 'Data Entry'!$P$784)</f>
      </c>
      <c r="Q784">
        <f>IF(ISBLANK('Data Entry'!$Q$784), "", 'Data Entry'!$Q$784)</f>
      </c>
      <c r="R784">
        <f>IF(ISBLANK('Data Entry'!$R$784), "", 'Data Entry'!$R$784)</f>
      </c>
      <c r="S784">
        <f>IF(ISBLANK('Data Entry'!$S$784), "", 'Data Entry'!$S$784)</f>
      </c>
      <c r="T784">
        <f>IF(ISBLANK('Data Entry'!$T$784), "", 'Data Entry'!$T$784)</f>
      </c>
      <c r="U784">
        <f>IF(ISBLANK('Data Entry'!$U$784), "", 'Data Entry'!$U$784)</f>
      </c>
      <c r="V784">
        <f>IF(ISBLANK('Data Entry'!$V$784), "", 'Data Entry'!$V$784)</f>
      </c>
      <c r="W784">
        <f>IF(ISBLANK('Data Entry'!$W$784), "", 'Data Entry'!$W$784)</f>
      </c>
      <c r="X784">
        <f>IF(ISBLANK('Data Entry'!$X$784), "", 'Data Entry'!$X$784)</f>
      </c>
      <c r="Y784">
        <f>IF(ISBLANK('Data Entry'!$Y$784), "", 'Data Entry'!$Y$784)</f>
      </c>
      <c r="Z784">
        <f>IF(ISBLANK('Data Entry'!$Z$784), "", 'Data Entry'!$Z$784)</f>
      </c>
      <c r="AA784">
        <f>IF(ISBLANK('Data Entry'!$[$784), "", 'Data Entry'!$[$784)</f>
      </c>
      <c r="AB784">
        <f>IF(ISBLANK('Data Entry'!$\$784), "", 'Data Entry'!$\$784)</f>
      </c>
      <c r="AC784">
        <f>IF(ISBLANK('Data Entry'!$]$784), "", 'Data Entry'!$]$784)</f>
      </c>
      <c r="AD784">
        <f>IF(ISBLANK('Data Entry'!$^$784), "", 'Data Entry'!$^$784)</f>
      </c>
      <c r="AE784">
        <f>IF(ISBLANK('Data Entry'!$_$784), "", 'Data Entry'!$_$784)</f>
      </c>
      <c r="AF784">
        <f>IF(ISBLANK('Data Entry'!$`$784), "", 'Data Entry'!$`$784)</f>
      </c>
      <c r="AG784">
        <f>IF(ISBLANK('Data Entry'!$a$784), "", 'Data Entry'!$a$784)</f>
      </c>
      <c r="AH784">
        <f>IF(ISBLANK('Data Entry'!$b$784), "", 'Data Entry'!$b$784)</f>
      </c>
      <c r="AI784">
        <f>IF(ISBLANK('Data Entry'!$c$784), "", 'Data Entry'!$c$784)</f>
      </c>
      <c r="AJ784">
        <f>IF(ISBLANK('Data Entry'!$d$784), "", 'Data Entry'!$d$784)</f>
      </c>
      <c r="AK784">
        <f>IF(ISBLANK('Data Entry'!$e$784), "", 'Data Entry'!$e$784)</f>
      </c>
      <c r="AL784">
        <f>IF(ISBLANK('Data Entry'!$f$784), "", 'Data Entry'!$f$784)</f>
      </c>
      <c r="AM784">
        <f>IF(ISBLANK('Data Entry'!$g$784), "", 'Data Entry'!$g$784)</f>
      </c>
      <c r="AN784">
        <f>IF(ISBLANK('Data Entry'!$h$784), "", 'Data Entry'!$h$784)</f>
      </c>
      <c r="AO784">
        <f>IF(ISBLANK('Data Entry'!$i$784), "", 'Data Entry'!$i$784)</f>
      </c>
      <c r="AP784">
        <f>IF(ISBLANK('Data Entry'!$j$784), "", 'Data Entry'!$j$784)</f>
      </c>
      <c r="AQ784">
        <f>IF(ISBLANK('Data Entry'!$k$784), "", 'Data Entry'!$k$784)</f>
      </c>
      <c r="AR784">
        <f>IF(ISBLANK('Data Entry'!$l$784), "", 'Data Entry'!$l$784)</f>
      </c>
      <c r="AS784">
        <f>IF(ISBLANK('Data Entry'!$m$784), "", 'Data Entry'!$m$784)</f>
      </c>
      <c r="AT784">
        <f>IF(ISBLANK('Data Entry'!$n$784), "", 'Data Entry'!$n$784)</f>
      </c>
      <c r="AU784">
        <f>IF(ISBLANK('Data Entry'!$o$784), "", 'Data Entry'!$o$784)</f>
      </c>
      <c r="AV784">
        <f>IF(ISBLANK('Data Entry'!$p$784), "", 'Data Entry'!$p$784)</f>
      </c>
      <c r="AW784">
        <f>IF(ISBLANK('Data Entry'!$q$784), "", 'Data Entry'!$q$784)</f>
      </c>
      <c r="AX784">
        <f>IF(ISBLANK('Data Entry'!$r$784), "", 'Data Entry'!$r$784)</f>
      </c>
      <c r="AY784">
        <f>IF(ISBLANK('Data Entry'!$s$784), "", 'Data Entry'!$s$784)</f>
      </c>
      <c r="AZ784">
        <f>IF(ISBLANK('Data Entry'!$t$784), "", 'Data Entry'!$t$784)</f>
      </c>
      <c r="BA784">
        <f>IF(ISBLANK('Data Entry'!$u$784), "", 'Data Entry'!$u$784)</f>
      </c>
      <c r="BB784">
        <f>IF(ISBLANK('Data Entry'!$v$784), "", 'Data Entry'!$v$784)</f>
      </c>
      <c r="BC784">
        <f>IF(ISBLANK('Data Entry'!$w$784), "", 'Data Entry'!$w$784)</f>
      </c>
      <c r="BD784">
        <f>IF(ISBLANK('Data Entry'!$x$784), "", 'Data Entry'!$x$784)</f>
      </c>
      <c r="BE784">
        <f>IF(ISBLANK('Data Entry'!$y$784), "", 'Data Entry'!$y$784)</f>
      </c>
      <c r="BF784">
        <f>IF(ISBLANK('Data Entry'!$z$784), "", 'Data Entry'!$z$784)</f>
      </c>
      <c r="BG784">
        <f>IF(ISBLANK('Data Entry'!${$784), "", 'Data Entry'!${$784)</f>
      </c>
      <c r="BH784">
        <f>IF(ISBLANK('Data Entry'!$|$784), "", 'Data Entry'!$|$784)</f>
      </c>
      <c r="BI784">
        <f>IF(ISBLANK('Data Entry'!$}$784), "", 'Data Entry'!$}$784)</f>
      </c>
      <c r="BJ784">
        <f>IF(ISBLANK('Data Entry'!$~$784), "", 'Data Entry'!$~$784)</f>
      </c>
      <c r="BK784">
        <f>IF(ISBLANK('Data Entry'!$$784), "", 'Data Entry'!$$784)</f>
      </c>
      <c r="BL784">
        <f>IF(ISBLANK('Data Entry'!$$784), "", 'Data Entry'!$$784)</f>
      </c>
      <c r="BM784">
        <f>IF(ISBLANK('Data Entry'!$$784), "", 'Data Entry'!$$784)</f>
      </c>
      <c r="BN784">
        <f>IF(ISBLANK('Data Entry'!$$784), "", 'Data Entry'!$$784)</f>
      </c>
      <c r="BO784">
        <f>IF(ISBLANK('Data Entry'!$$784), "", 'Data Entry'!$$784)</f>
      </c>
      <c r="BP784">
        <f>IF(ISBLANK('Data Entry'!$$784), "", 'Data Entry'!$$784)</f>
      </c>
      <c r="BQ784">
        <f>IF(ISBLANK('Data Entry'!$$784), "", 'Data Entry'!$$784)</f>
      </c>
      <c r="BR784">
        <f>IF(ISBLANK('Data Entry'!$$784), "", 'Data Entry'!$$784)</f>
      </c>
      <c r="BS784">
        <f>IF(ISBLANK('Data Entry'!$$784), "", 'Data Entry'!$$784)</f>
      </c>
      <c r="BT784">
        <f>IF(ISBLANK('Data Entry'!$$784), "", 'Data Entry'!$$784)</f>
      </c>
      <c r="BU784">
        <f>IF(ISBLANK('Data Entry'!$$784), "", 'Data Entry'!$$784)</f>
      </c>
      <c r="BV784">
        <f>IF(ISBLANK('Data Entry'!$$784), "", 'Data Entry'!$$784)</f>
      </c>
      <c r="BW784">
        <f>IF(ISBLANK('Data Entry'!$$784), "", 'Data Entry'!$$784)</f>
      </c>
      <c r="BX784">
        <f>IF(ISBLANK('Data Entry'!$$784), "", 'Data Entry'!$$784)</f>
      </c>
      <c r="BY784">
        <f>IF(ISBLANK('Data Entry'!$$784), "", 'Data Entry'!$$784)</f>
      </c>
      <c r="BZ784">
        <f>IF(ISBLANK('Data Entry'!$$784), "", 'Data Entry'!$$784)</f>
      </c>
      <c r="CA784">
        <f>IF(ISBLANK('Data Entry'!$$784), "", 'Data Entry'!$$784)</f>
      </c>
      <c r="CB784">
        <f>IF(ISBLANK('Data Entry'!$$784), "", 'Data Entry'!$$784)</f>
      </c>
      <c r="CC784">
        <f>IF(ISBLANK('Data Entry'!$$784), "", 'Data Entry'!$$784)</f>
      </c>
      <c r="CD784">
        <f>IF(ISBLANK('Data Entry'!$$784), "", 'Data Entry'!$$784)</f>
      </c>
      <c r="CE784">
        <f>IF(ISBLANK('Data Entry'!$$784), "", 'Data Entry'!$$784)</f>
      </c>
      <c r="CF784">
        <f>IF(ISBLANK('Data Entry'!$$784), "", 'Data Entry'!$$784)</f>
      </c>
      <c r="CG784">
        <f>IF(ISBLANK('Data Entry'!$$784), "", 'Data Entry'!$$784)</f>
      </c>
      <c r="CH784">
        <f>IF(ISBLANK('Data Entry'!$$784), "", 'Data Entry'!$$784)</f>
      </c>
      <c r="CI784">
        <f>IF(ISBLANK('Data Entry'!$$784), "", 'Data Entry'!$$784)</f>
      </c>
      <c r="CJ784">
        <f>IF(ISBLANK('Data Entry'!$$784), "", 'Data Entry'!$$784)</f>
      </c>
      <c r="CK784">
        <f>IF(ISBLANK('Data Entry'!$$784), "", 'Data Entry'!$$784)</f>
      </c>
      <c r="CL784">
        <f>IF(ISBLANK('Data Entry'!$$784), "", 'Data Entry'!$$784)</f>
      </c>
      <c r="CM784">
        <f>IF(ISBLANK('Data Entry'!$$784), "", 'Data Entry'!$$784)</f>
      </c>
      <c r="CN784">
        <f>IF(ISBLANK('Data Entry'!$$784), "", 'Data Entry'!$$784)</f>
      </c>
      <c r="CO784">
        <f>IF(ISBLANK('Data Entry'!$$784), "", 'Data Entry'!$$784)</f>
      </c>
      <c r="CP784">
        <f>IF(ISBLANK('Data Entry'!$$784), "", 'Data Entry'!$$784)</f>
      </c>
      <c r="CQ784">
        <f>IF(ISBLANK('Data Entry'!$$784), "", 'Data Entry'!$$784)</f>
      </c>
      <c r="CR784">
        <f>IF(ISBLANK('Data Entry'!$ $784), "", 'Data Entry'!$ $784)</f>
      </c>
      <c r="CS784">
        <f>IF(ISBLANK('Data Entry'!$¡$784), "", 'Data Entry'!$¡$784)</f>
      </c>
      <c r="CT784">
        <f>IF(ISBLANK('Data Entry'!$¢$784), "", 'Data Entry'!$¢$784)</f>
      </c>
      <c r="CU784">
        <f>IF(ISBLANK('Data Entry'!$£$784), "", 'Data Entry'!$£$784)</f>
      </c>
      <c r="CV784">
        <f>IF(ISBLANK('Data Entry'!$¤$784), "", 'Data Entry'!$¤$784)</f>
      </c>
      <c r="CW784">
        <f>IF(ISBLANK('Data Entry'!$¥$784), "", 'Data Entry'!$¥$784)</f>
      </c>
      <c r="CX784">
        <f>IF(ISBLANK('Data Entry'!$¦$784), "", 'Data Entry'!$¦$784)</f>
      </c>
      <c r="CY784">
        <f>IF(ISBLANK('Data Entry'!$§$784), "", 'Data Entry'!$§$784)</f>
      </c>
      <c r="CZ784">
        <f>IF(ISBLANK('Data Entry'!$¨$784), "", 'Data Entry'!$¨$784)</f>
      </c>
      <c r="DA784">
        <f>IF(ISBLANK('Data Entry'!$©$784), "", 'Data Entry'!$©$784)</f>
      </c>
      <c r="DB784">
        <f>IF(ISBLANK('Data Entry'!$ª$784), "", 'Data Entry'!$ª$784)</f>
      </c>
      <c r="DC784">
        <f>IF(ISBLANK('Data Entry'!$«$784), "", 'Data Entry'!$«$784)</f>
      </c>
      <c r="DD784">
        <f>IF(ISBLANK('Data Entry'!$¬$784), "", 'Data Entry'!$¬$784)</f>
      </c>
      <c r="DE784">
        <f>IF(ISBLANK('Data Entry'!$­$784), "", 'Data Entry'!$­$784)</f>
      </c>
      <c r="DF784">
        <f>IF(ISBLANK('Data Entry'!$®$784), "", 'Data Entry'!$®$784)</f>
      </c>
      <c r="DG784">
        <f>IF(ISBLANK('Data Entry'!$¯$784), "", 'Data Entry'!$¯$784)</f>
      </c>
      <c r="DH784">
        <f>IF(ISBLANK('Data Entry'!$°$784), "", 'Data Entry'!$°$784)</f>
      </c>
      <c r="DI784">
        <f>IF(ISBLANK('Data Entry'!$±$784), "", 'Data Entry'!$±$784)</f>
      </c>
      <c r="DJ784">
        <f>IF(ISBLANK('Data Entry'!$²$784), "", 'Data Entry'!$²$784)</f>
      </c>
      <c r="DK784">
        <f>IF(ISBLANK('Data Entry'!$³$784), "", 'Data Entry'!$³$784)</f>
      </c>
      <c r="DL784">
        <f>IF(ISBLANK('Data Entry'!$´$784), "", 'Data Entry'!$´$784)</f>
      </c>
      <c r="DM784">
        <f>IF(ISBLANK('Data Entry'!$µ$784), "", 'Data Entry'!$µ$784)</f>
      </c>
      <c r="DN784">
        <f>IF(ISBLANK('Data Entry'!$¶$784), "", 'Data Entry'!$¶$784)</f>
      </c>
      <c r="DO784">
        <f>IF(ISBLANK('Data Entry'!$·$784), "", 'Data Entry'!$·$784)</f>
      </c>
      <c r="DP784">
        <f>IF(ISBLANK('Data Entry'!$¸$784), "", 'Data Entry'!$¸$784)</f>
      </c>
      <c r="DQ784">
        <f>IF(ISBLANK('Data Entry'!$¹$784), "", 'Data Entry'!$¹$784)</f>
      </c>
      <c r="DR784">
        <f>IF(ISBLANK('Data Entry'!$º$784), "", 'Data Entry'!$º$784)</f>
      </c>
      <c r="DS784">
        <f>IF(ISBLANK('Data Entry'!$»$784), "", 'Data Entry'!$»$784)</f>
      </c>
      <c r="DT784">
        <f>IF(ISBLANK('Data Entry'!$¼$784), "", 'Data Entry'!$¼$784)</f>
      </c>
      <c r="DU784">
        <f>IF(ISBLANK('Data Entry'!$½$784), "", 'Data Entry'!$½$784)</f>
      </c>
      <c r="DV784">
        <f>IF(ISBLANK('Data Entry'!$¾$784), "", 'Data Entry'!$¾$784)</f>
      </c>
      <c r="DW784">
        <f>IF(ISBLANK('Data Entry'!$¿$784), "", 'Data Entry'!$¿$784)</f>
      </c>
      <c r="DX784">
        <f>IF(ISBLANK('Data Entry'!$À$784), "", 'Data Entry'!$À$784)</f>
      </c>
      <c r="DY784">
        <f>IF(ISBLANK('Data Entry'!$Á$784), "", 'Data Entry'!$Á$784)</f>
      </c>
      <c r="DZ784">
        <f>IF(ISBLANK('Data Entry'!$Â$784), "", 'Data Entry'!$Â$784)</f>
      </c>
      <c r="EA784">
        <f>IF(ISBLANK('Data Entry'!$Ã$784), "", 'Data Entry'!$Ã$784)</f>
      </c>
      <c r="EB784">
        <f>IF(ISBLANK('Data Entry'!$Ä$784), "", 'Data Entry'!$Ä$784)</f>
      </c>
      <c r="EC784">
        <f>IF(ISBLANK('Data Entry'!$Å$784), "", 'Data Entry'!$Å$784)</f>
      </c>
      <c r="ED784">
        <f>IF(ISBLANK('Data Entry'!$Æ$784), "", 'Data Entry'!$Æ$784)</f>
      </c>
      <c r="EE784">
        <f>IF(ISBLANK('Data Entry'!$Ç$784), "", 'Data Entry'!$Ç$784)</f>
      </c>
      <c r="EF784">
        <f>IF(ISBLANK('Data Entry'!$È$784), "", 'Data Entry'!$È$784)</f>
      </c>
      <c r="EG784">
        <f>IF(ISBLANK('Data Entry'!$É$784), "", 'Data Entry'!$É$784)</f>
      </c>
      <c r="EH784">
        <f>IF(ISBLANK('Data Entry'!$Ê$784), "", 'Data Entry'!$Ê$784)</f>
      </c>
      <c r="EI784">
        <f>IF(ISBLANK('Data Entry'!$Ë$784), "", 'Data Entry'!$Ë$784)</f>
      </c>
      <c r="EJ784">
        <f>IF(ISBLANK('Data Entry'!$Ì$784), "", 'Data Entry'!$Ì$784)</f>
      </c>
      <c r="EK784">
        <f>IF(ISBLANK('Data Entry'!$Í$784), "", 'Data Entry'!$Í$784)</f>
      </c>
      <c r="EL784">
        <f>IF(ISBLANK('Data Entry'!$Î$784), "", 'Data Entry'!$Î$784)</f>
      </c>
      <c r="EM784">
        <f>IF(ISBLANK('Data Entry'!$Ï$784), "", 'Data Entry'!$Ï$784)</f>
      </c>
      <c r="EN784">
        <f>IF(ISBLANK('Data Entry'!$Ð$784), "", 'Data Entry'!$Ð$784)</f>
      </c>
      <c r="EO784">
        <f>IF(ISBLANK('Data Entry'!$Ñ$784), "", 'Data Entry'!$Ñ$784)</f>
      </c>
      <c r="EP784">
        <f>IF(ISBLANK('Data Entry'!$Ò$784), "", 'Data Entry'!$Ò$784)</f>
      </c>
      <c r="EQ784">
        <f>IF(ISBLANK('Data Entry'!$Ó$784), "", 'Data Entry'!$Ó$784)</f>
      </c>
      <c r="ER784">
        <f>IF(ISBLANK('Data Entry'!$Ô$784), "", 'Data Entry'!$Ô$784)</f>
      </c>
      <c r="ES784">
        <f>IF(ISBLANK('Data Entry'!$Õ$784), "", 'Data Entry'!$Õ$784)</f>
      </c>
      <c r="ET784">
        <f>IF(ISBLANK('Data Entry'!$Ö$784), "", 'Data Entry'!$Ö$784)</f>
      </c>
      <c r="EU784">
        <f>IF(ISBLANK('Data Entry'!$×$784), "", 'Data Entry'!$×$784)</f>
      </c>
      <c r="EV784">
        <f>IF(ISBLANK('Data Entry'!$Ø$784), "", 'Data Entry'!$Ø$784)</f>
      </c>
      <c r="EW784">
        <f>IF(ISBLANK('Data Entry'!$Ù$784), "", 'Data Entry'!$Ù$784)</f>
      </c>
      <c r="EX784">
        <f>IF(ISBLANK('Data Entry'!$Ú$784), "", 'Data Entry'!$Ú$784)</f>
      </c>
      <c r="EY784">
        <f>IF(ISBLANK('Data Entry'!$Û$784), "", 'Data Entry'!$Û$784)</f>
      </c>
      <c r="EZ784">
        <f>IF(ISBLANK('Data Entry'!$Ü$784), "", 'Data Entry'!$Ü$784)</f>
      </c>
      <c r="FA784">
        <f>IF(ISBLANK('Data Entry'!$Ý$784), "", 'Data Entry'!$Ý$784)</f>
      </c>
      <c r="FB784">
        <f>IF(ISBLANK('Data Entry'!$Þ$784), "", 'Data Entry'!$Þ$784)</f>
      </c>
      <c r="FC784">
        <f>IF(ISBLANK('Data Entry'!$ß$784), "", 'Data Entry'!$ß$784)</f>
      </c>
      <c r="FD784">
        <f>IF(ISBLANK('Data Entry'!$à$784), "", 'Data Entry'!$à$784)</f>
      </c>
      <c r="FE784">
        <f>IF(ISBLANK('Data Entry'!$á$784), "", 'Data Entry'!$á$784)</f>
      </c>
      <c r="FF784">
        <f>IF(ISBLANK('Data Entry'!$â$784), "", 'Data Entry'!$â$784)</f>
      </c>
      <c r="FG784">
        <f>IF(ISBLANK('Data Entry'!$ã$784), "", 'Data Entry'!$ã$784)</f>
      </c>
      <c r="FH784">
        <f>IF(ISBLANK('Data Entry'!$ä$784), "", 'Data Entry'!$ä$784)</f>
      </c>
      <c r="FI784">
        <f>IF(ISBLANK('Data Entry'!$å$784), "", 'Data Entry'!$å$784)</f>
      </c>
      <c r="FJ784">
        <f>IF(ISBLANK('Data Entry'!$æ$784), "", 'Data Entry'!$æ$784)</f>
      </c>
      <c r="FK784">
        <f>IF(ISBLANK('Data Entry'!$ç$784), "", 'Data Entry'!$ç$784)</f>
      </c>
      <c r="FL784">
        <f>IF(ISBLANK('Data Entry'!$è$784), "", 'Data Entry'!$è$784)</f>
      </c>
      <c r="FM784">
        <f>IF(ISBLANK('Data Entry'!$é$784), "", 'Data Entry'!$é$784)</f>
      </c>
      <c r="FN784">
        <f>IF(ISBLANK('Data Entry'!$ê$784), "", 'Data Entry'!$ê$784)</f>
      </c>
      <c r="FO784">
        <f>IF(ISBLANK('Data Entry'!$ë$784), "", 'Data Entry'!$ë$784)</f>
      </c>
      <c r="FP784">
        <f>IF(ISBLANK('Data Entry'!$ì$784), "", 'Data Entry'!$ì$784)</f>
      </c>
      <c r="FQ784">
        <f>IF(ISBLANK('Data Entry'!$í$784), "", 'Data Entry'!$í$784)</f>
      </c>
      <c r="FR784">
        <f>IF(ISBLANK('Data Entry'!$î$784), "", 'Data Entry'!$î$784)</f>
      </c>
      <c r="FS784">
        <f>IF(ISBLANK('Data Entry'!$ï$784), "", 'Data Entry'!$ï$784)</f>
      </c>
      <c r="FT784">
        <f>IF(ISBLANK('Data Entry'!$ð$784), "", 'Data Entry'!$ð$784)</f>
      </c>
      <c r="FU784">
        <f>IF(ISBLANK('Data Entry'!$ñ$784), "", 'Data Entry'!$ñ$784)</f>
      </c>
      <c r="FV784">
        <f>IF(ISBLANK('Data Entry'!$ò$784), "", 'Data Entry'!$ò$784)</f>
      </c>
      <c r="FW784">
        <f>IF(ISBLANK('Data Entry'!$ó$784), "", 'Data Entry'!$ó$784)</f>
      </c>
      <c r="FX784">
        <f>IF(ISBLANK('Data Entry'!$ô$784), "", 'Data Entry'!$ô$784)</f>
      </c>
      <c r="FY784">
        <f>IF(ISBLANK('Data Entry'!$õ$784), "", 'Data Entry'!$õ$784)</f>
      </c>
      <c r="FZ784">
        <f>IF(ISBLANK('Data Entry'!$ö$784), "", 'Data Entry'!$ö$784)</f>
      </c>
      <c r="GA784">
        <f>IF(ISBLANK('Data Entry'!$÷$784), "", 'Data Entry'!$÷$784)</f>
      </c>
      <c r="GB784">
        <f>IF(ISBLANK('Data Entry'!$ø$784), "", 'Data Entry'!$ø$784)</f>
      </c>
      <c r="GC784">
        <f>IF(ISBLANK('Data Entry'!$ù$784), "", 'Data Entry'!$ù$784)</f>
      </c>
      <c r="GD784">
        <f>IF(ISBLANK('Data Entry'!$ú$784), "", 'Data Entry'!$ú$784)</f>
      </c>
      <c r="GE784">
        <f>IF(ISBLANK('Data Entry'!$û$784), "", 'Data Entry'!$û$784)</f>
      </c>
      <c r="GF784">
        <f>IF(ISBLANK('Data Entry'!$ü$784), "", 'Data Entry'!$ü$784)</f>
      </c>
      <c r="GG784">
        <f>IF(ISBLANK('Data Entry'!$ý$784), "", 'Data Entry'!$ý$784)</f>
      </c>
      <c r="GH784">
        <f>IF(ISBLANK('Data Entry'!$þ$784), "", 'Data Entry'!$þ$784)</f>
      </c>
      <c r="GI784">
        <f>IF(ISBLANK('Data Entry'!$ÿ$784), "", 'Data Entry'!$ÿ$784)</f>
      </c>
      <c r="GJ784">
        <f>IF(ISBLANK('Data Entry'!$Ā$784), "", 'Data Entry'!$Ā$784)</f>
      </c>
      <c r="GK784">
        <f>IF(ISBLANK('Data Entry'!$ā$784), "", 'Data Entry'!$ā$784)</f>
      </c>
      <c r="GL784">
        <f>IF(ISBLANK('Data Entry'!$Ă$784), "", 'Data Entry'!$Ă$784)</f>
      </c>
      <c r="GM784">
        <f>IF(ISBLANK('Data Entry'!$ă$784), "", 'Data Entry'!$ă$784)</f>
      </c>
      <c r="GN784">
        <f>IF(ISBLANK('Data Entry'!$Ą$784), "", 'Data Entry'!$Ą$784)</f>
      </c>
      <c r="GO784">
        <f>IF(ISBLANK('Data Entry'!$ą$784), "", 'Data Entry'!$ą$784)</f>
      </c>
      <c r="GP784">
        <f>IF(ISBLANK('Data Entry'!$Ć$784), "", 'Data Entry'!$Ć$784)</f>
      </c>
      <c r="GQ784">
        <f>IF(ISBLANK('Data Entry'!$ć$784), "", 'Data Entry'!$ć$784)</f>
      </c>
      <c r="GR784">
        <f>IF(ISBLANK('Data Entry'!$Ĉ$784), "", 'Data Entry'!$Ĉ$784)</f>
      </c>
      <c r="GS784">
        <f>IF(ISBLANK('Data Entry'!$ĉ$784), "", 'Data Entry'!$ĉ$784)</f>
      </c>
      <c r="GT784">
        <f>IF(ISBLANK('Data Entry'!$Ċ$784), "", 'Data Entry'!$Ċ$784)</f>
      </c>
      <c r="GU784">
        <f>IF(ISBLANK('Data Entry'!$ċ$784), "", 'Data Entry'!$ċ$784)</f>
      </c>
      <c r="GV784">
        <f>IF(ISBLANK('Data Entry'!$Č$784), "", 'Data Entry'!$Č$784)</f>
      </c>
      <c r="GW784">
        <f>IF(ISBLANK('Data Entry'!$č$784), "", 'Data Entry'!$č$784)</f>
      </c>
      <c r="GX784">
        <f>IF(ISBLANK('Data Entry'!$Ď$784), "", 'Data Entry'!$Ď$784)</f>
      </c>
      <c r="GY784">
        <f>IF(ISBLANK('Data Entry'!$ď$784), "", 'Data Entry'!$ď$784)</f>
      </c>
      <c r="GZ784">
        <f>IF(ISBLANK('Data Entry'!$Đ$784), "", 'Data Entry'!$Đ$784)</f>
      </c>
      <c r="HA784">
        <f>IF(ISBLANK('Data Entry'!$đ$784), "", 'Data Entry'!$đ$784)</f>
      </c>
      <c r="HB784">
        <f>IF(ISBLANK('Data Entry'!$Ē$784), "", 'Data Entry'!$Ē$784)</f>
      </c>
      <c r="HC784">
        <f>IF(ISBLANK('Data Entry'!$ē$784), "", 'Data Entry'!$ē$784)</f>
      </c>
      <c r="HD784">
        <f>IF(ISBLANK('Data Entry'!$Ĕ$784), "", 'Data Entry'!$Ĕ$784)</f>
      </c>
      <c r="HE784">
        <f>IF(ISBLANK('Data Entry'!$ĕ$784), "", 'Data Entry'!$ĕ$784)</f>
      </c>
      <c r="HF784">
        <f>IF(ISBLANK('Data Entry'!$Ė$784), "", 'Data Entry'!$Ė$784)</f>
      </c>
      <c r="HG784">
        <f>IF(ISBLANK('Data Entry'!$ė$784), "", 'Data Entry'!$ė$784)</f>
      </c>
      <c r="HH784">
        <f>IF(ISBLANK('Data Entry'!$Ę$784), "", 'Data Entry'!$Ę$784)</f>
      </c>
      <c r="HI784">
        <f>IF(ISBLANK('Data Entry'!$ę$784), "", 'Data Entry'!$ę$784)</f>
      </c>
      <c r="HJ784">
        <f>IF(ISBLANK('Data Entry'!$Ě$784), "", 'Data Entry'!$Ě$784)</f>
      </c>
      <c r="HK784">
        <f>IF(ISBLANK('Data Entry'!$ě$784), "", 'Data Entry'!$ě$784)</f>
      </c>
      <c r="HL784">
        <f>IF(ISBLANK('Data Entry'!$Ĝ$784), "", 'Data Entry'!$Ĝ$784)</f>
      </c>
      <c r="HM784">
        <f>IF(ISBLANK('Data Entry'!$ĝ$784), "", 'Data Entry'!$ĝ$784)</f>
      </c>
      <c r="HN784">
        <f>IF(ISBLANK('Data Entry'!$Ğ$784), "", 'Data Entry'!$Ğ$784)</f>
      </c>
      <c r="HO784">
        <f>IF(ISBLANK('Data Entry'!$ğ$784), "", 'Data Entry'!$ğ$784)</f>
      </c>
      <c r="HP784">
        <f>IF(ISBLANK('Data Entry'!$Ġ$784), "", 'Data Entry'!$Ġ$784)</f>
      </c>
      <c r="HQ784">
        <f>IF(ISBLANK('Data Entry'!$ġ$784), "", 'Data Entry'!$ġ$784)</f>
      </c>
      <c r="HR784">
        <f>IF(ISBLANK('Data Entry'!$Ģ$784), "", 'Data Entry'!$Ģ$784)</f>
      </c>
      <c r="HS784">
        <f>IF(ISBLANK('Data Entry'!$ģ$784), "", 'Data Entry'!$ģ$784)</f>
      </c>
      <c r="HT784">
        <f>IF(ISBLANK('Data Entry'!$Ĥ$784), "", 'Data Entry'!$Ĥ$784)</f>
      </c>
      <c r="HU784">
        <f>IF(ISBLANK('Data Entry'!$ĥ$784), "", 'Data Entry'!$ĥ$784)</f>
      </c>
      <c r="HV784">
        <f>IF(ISBLANK('Data Entry'!$Ħ$784), "", 'Data Entry'!$Ħ$784)</f>
      </c>
      <c r="HW784">
        <f>IF(ISBLANK('Data Entry'!$ħ$784), "", 'Data Entry'!$ħ$784)</f>
      </c>
      <c r="HX784">
        <f>IF(ISBLANK('Data Entry'!$Ĩ$784), "", 'Data Entry'!$Ĩ$784)</f>
      </c>
      <c r="HY784">
        <f>IF(ISBLANK('Data Entry'!$ĩ$784), "", 'Data Entry'!$ĩ$784)</f>
      </c>
      <c r="HZ784">
        <f>IF(ISBLANK('Data Entry'!$Ī$784), "", 'Data Entry'!$Ī$784)</f>
      </c>
      <c r="IA784">
        <f>IF(ISBLANK('Data Entry'!$ī$784), "", 'Data Entry'!$ī$784)</f>
      </c>
      <c r="IB784">
        <f>IF(ISBLANK('Data Entry'!$Ĭ$784), "", 'Data Entry'!$Ĭ$784)</f>
      </c>
      <c r="IC784">
        <f>IF(ISBLANK('Data Entry'!$ĭ$784), "", 'Data Entry'!$ĭ$784)</f>
      </c>
      <c r="ID784">
        <f>IF(ISBLANK('Data Entry'!$Į$784), "", 'Data Entry'!$Į$784)</f>
      </c>
      <c r="IE784">
        <f>IF(ISBLANK('Data Entry'!$į$784), "", 'Data Entry'!$į$784)</f>
      </c>
      <c r="IF784">
        <f>IF(ISBLANK('Data Entry'!$İ$784), "", 'Data Entry'!$İ$784)</f>
      </c>
      <c r="IG784">
        <f>IF(ISBLANK('Data Entry'!$ı$784), "", 'Data Entry'!$ı$784)</f>
      </c>
      <c r="IH784">
        <f>IF(ISBLANK('Data Entry'!$Ĳ$784), "", 'Data Entry'!$Ĳ$784)</f>
      </c>
      <c r="II784">
        <f>IF(ISBLANK('Data Entry'!$ĳ$784), "", 'Data Entry'!$ĳ$784)</f>
      </c>
      <c r="IJ784">
        <f>IF(ISBLANK('Data Entry'!$Ĵ$784), "", 'Data Entry'!$Ĵ$784)</f>
      </c>
      <c r="IK784">
        <f>IF(ISBLANK('Data Entry'!$ĵ$784), "", 'Data Entry'!$ĵ$784)</f>
      </c>
      <c r="IL784">
        <f>IF(ISBLANK('Data Entry'!$Ķ$784), "", 'Data Entry'!$Ķ$784)</f>
      </c>
      <c r="IM784">
        <f>IF(ISBLANK('Data Entry'!$ķ$784), "", 'Data Entry'!$ķ$784)</f>
      </c>
      <c r="IN784">
        <f>IF(ISBLANK('Data Entry'!$ĸ$784), "", 'Data Entry'!$ĸ$784)</f>
      </c>
      <c r="IO784">
        <f>IF(ISBLANK('Data Entry'!$Ĺ$784), "", 'Data Entry'!$Ĺ$784)</f>
      </c>
      <c r="IP784">
        <f>IF(ISBLANK('Data Entry'!$ĺ$784), "", 'Data Entry'!$ĺ$784)</f>
      </c>
      <c r="IQ784">
        <f>IF(ISBLANK('Data Entry'!$Ļ$784), "", 'Data Entry'!$Ļ$784)</f>
      </c>
      <c r="IR784">
        <f>IF(ISBLANK('Data Entry'!$ļ$784), "", 'Data Entry'!$ļ$784)</f>
      </c>
      <c r="IS784">
        <f>IF(ISBLANK('Data Entry'!$Ľ$784), "", 'Data Entry'!$Ľ$784)</f>
      </c>
      <c r="IT784">
        <f>IF(ISBLANK('Data Entry'!$ľ$784), "", 'Data Entry'!$ľ$784)</f>
      </c>
    </row>
    <row r="785" spans="1:254" x14ac:dyDescent="0.25">
      <c r="A785">
        <f>IF(ISBLANK('Data Entry'!$A$785), "", 'Data Entry'!$A$785)</f>
      </c>
      <c r="B785">
        <f>IF(ISBLANK('Data Entry'!$B$785), "", 'Data Entry'!$B$785)</f>
      </c>
      <c r="C785">
        <f>IF(ISBLANK('Data Entry'!$C$785), "", 'Data Entry'!$C$785)</f>
      </c>
      <c r="D785">
        <f>IF(ISBLANK('Data Entry'!$D$785), "", 'Data Entry'!$D$785)</f>
      </c>
      <c r="E785">
        <f>IF(ISBLANK('Data Entry'!$E$785), "", 'Data Entry'!$E$785)</f>
      </c>
      <c r="F785">
        <f>IF(ISBLANK('Data Entry'!$F$785), "", 'Data Entry'!$F$785)</f>
      </c>
      <c r="G785">
        <f>IF(ISBLANK('Data Entry'!$G$785), "", 'Data Entry'!$G$785)</f>
      </c>
      <c r="H785">
        <f>IF(ISBLANK('Data Entry'!$H$785), "", 'Data Entry'!$H$785)</f>
      </c>
      <c r="I785">
        <f>IF(ISBLANK('Data Entry'!$I$785), "", 'Data Entry'!$I$785)</f>
      </c>
      <c r="J785">
        <f>IF(ISBLANK('Data Entry'!$J$785), "", 'Data Entry'!$J$785)</f>
      </c>
      <c r="K785">
        <f>IF(ISBLANK('Data Entry'!$K$785), "", 'Data Entry'!$K$785)</f>
      </c>
      <c r="L785">
        <f>IF(ISBLANK('Data Entry'!$L$785), "", 'Data Entry'!$L$785)</f>
      </c>
      <c r="M785">
        <f>IF(ISBLANK('Data Entry'!$M$785), "", 'Data Entry'!$M$785)</f>
      </c>
      <c r="N785">
        <f>IF(ISBLANK('Data Entry'!$N$785), "", 'Data Entry'!$N$785)</f>
      </c>
      <c r="O785">
        <f>IF(ISBLANK('Data Entry'!$O$785), "", 'Data Entry'!$O$785)</f>
      </c>
      <c r="P785">
        <f>IF(ISBLANK('Data Entry'!$P$785), "", 'Data Entry'!$P$785)</f>
      </c>
      <c r="Q785">
        <f>IF(ISBLANK('Data Entry'!$Q$785), "", 'Data Entry'!$Q$785)</f>
      </c>
      <c r="R785">
        <f>IF(ISBLANK('Data Entry'!$R$785), "", 'Data Entry'!$R$785)</f>
      </c>
      <c r="S785">
        <f>IF(ISBLANK('Data Entry'!$S$785), "", 'Data Entry'!$S$785)</f>
      </c>
      <c r="T785">
        <f>IF(ISBLANK('Data Entry'!$T$785), "", 'Data Entry'!$T$785)</f>
      </c>
      <c r="U785">
        <f>IF(ISBLANK('Data Entry'!$U$785), "", 'Data Entry'!$U$785)</f>
      </c>
      <c r="V785">
        <f>IF(ISBLANK('Data Entry'!$V$785), "", 'Data Entry'!$V$785)</f>
      </c>
      <c r="W785">
        <f>IF(ISBLANK('Data Entry'!$W$785), "", 'Data Entry'!$W$785)</f>
      </c>
      <c r="X785">
        <f>IF(ISBLANK('Data Entry'!$X$785), "", 'Data Entry'!$X$785)</f>
      </c>
      <c r="Y785">
        <f>IF(ISBLANK('Data Entry'!$Y$785), "", 'Data Entry'!$Y$785)</f>
      </c>
      <c r="Z785">
        <f>IF(ISBLANK('Data Entry'!$Z$785), "", 'Data Entry'!$Z$785)</f>
      </c>
      <c r="AA785">
        <f>IF(ISBLANK('Data Entry'!$[$785), "", 'Data Entry'!$[$785)</f>
      </c>
      <c r="AB785">
        <f>IF(ISBLANK('Data Entry'!$\$785), "", 'Data Entry'!$\$785)</f>
      </c>
      <c r="AC785">
        <f>IF(ISBLANK('Data Entry'!$]$785), "", 'Data Entry'!$]$785)</f>
      </c>
      <c r="AD785">
        <f>IF(ISBLANK('Data Entry'!$^$785), "", 'Data Entry'!$^$785)</f>
      </c>
      <c r="AE785">
        <f>IF(ISBLANK('Data Entry'!$_$785), "", 'Data Entry'!$_$785)</f>
      </c>
      <c r="AF785">
        <f>IF(ISBLANK('Data Entry'!$`$785), "", 'Data Entry'!$`$785)</f>
      </c>
      <c r="AG785">
        <f>IF(ISBLANK('Data Entry'!$a$785), "", 'Data Entry'!$a$785)</f>
      </c>
      <c r="AH785">
        <f>IF(ISBLANK('Data Entry'!$b$785), "", 'Data Entry'!$b$785)</f>
      </c>
      <c r="AI785">
        <f>IF(ISBLANK('Data Entry'!$c$785), "", 'Data Entry'!$c$785)</f>
      </c>
      <c r="AJ785">
        <f>IF(ISBLANK('Data Entry'!$d$785), "", 'Data Entry'!$d$785)</f>
      </c>
      <c r="AK785">
        <f>IF(ISBLANK('Data Entry'!$e$785), "", 'Data Entry'!$e$785)</f>
      </c>
      <c r="AL785">
        <f>IF(ISBLANK('Data Entry'!$f$785), "", 'Data Entry'!$f$785)</f>
      </c>
      <c r="AM785">
        <f>IF(ISBLANK('Data Entry'!$g$785), "", 'Data Entry'!$g$785)</f>
      </c>
      <c r="AN785">
        <f>IF(ISBLANK('Data Entry'!$h$785), "", 'Data Entry'!$h$785)</f>
      </c>
      <c r="AO785">
        <f>IF(ISBLANK('Data Entry'!$i$785), "", 'Data Entry'!$i$785)</f>
      </c>
      <c r="AP785">
        <f>IF(ISBLANK('Data Entry'!$j$785), "", 'Data Entry'!$j$785)</f>
      </c>
      <c r="AQ785">
        <f>IF(ISBLANK('Data Entry'!$k$785), "", 'Data Entry'!$k$785)</f>
      </c>
      <c r="AR785">
        <f>IF(ISBLANK('Data Entry'!$l$785), "", 'Data Entry'!$l$785)</f>
      </c>
      <c r="AS785">
        <f>IF(ISBLANK('Data Entry'!$m$785), "", 'Data Entry'!$m$785)</f>
      </c>
      <c r="AT785">
        <f>IF(ISBLANK('Data Entry'!$n$785), "", 'Data Entry'!$n$785)</f>
      </c>
      <c r="AU785">
        <f>IF(ISBLANK('Data Entry'!$o$785), "", 'Data Entry'!$o$785)</f>
      </c>
      <c r="AV785">
        <f>IF(ISBLANK('Data Entry'!$p$785), "", 'Data Entry'!$p$785)</f>
      </c>
      <c r="AW785">
        <f>IF(ISBLANK('Data Entry'!$q$785), "", 'Data Entry'!$q$785)</f>
      </c>
      <c r="AX785">
        <f>IF(ISBLANK('Data Entry'!$r$785), "", 'Data Entry'!$r$785)</f>
      </c>
      <c r="AY785">
        <f>IF(ISBLANK('Data Entry'!$s$785), "", 'Data Entry'!$s$785)</f>
      </c>
      <c r="AZ785">
        <f>IF(ISBLANK('Data Entry'!$t$785), "", 'Data Entry'!$t$785)</f>
      </c>
      <c r="BA785">
        <f>IF(ISBLANK('Data Entry'!$u$785), "", 'Data Entry'!$u$785)</f>
      </c>
      <c r="BB785">
        <f>IF(ISBLANK('Data Entry'!$v$785), "", 'Data Entry'!$v$785)</f>
      </c>
      <c r="BC785">
        <f>IF(ISBLANK('Data Entry'!$w$785), "", 'Data Entry'!$w$785)</f>
      </c>
      <c r="BD785">
        <f>IF(ISBLANK('Data Entry'!$x$785), "", 'Data Entry'!$x$785)</f>
      </c>
      <c r="BE785">
        <f>IF(ISBLANK('Data Entry'!$y$785), "", 'Data Entry'!$y$785)</f>
      </c>
      <c r="BF785">
        <f>IF(ISBLANK('Data Entry'!$z$785), "", 'Data Entry'!$z$785)</f>
      </c>
      <c r="BG785">
        <f>IF(ISBLANK('Data Entry'!${$785), "", 'Data Entry'!${$785)</f>
      </c>
      <c r="BH785">
        <f>IF(ISBLANK('Data Entry'!$|$785), "", 'Data Entry'!$|$785)</f>
      </c>
      <c r="BI785">
        <f>IF(ISBLANK('Data Entry'!$}$785), "", 'Data Entry'!$}$785)</f>
      </c>
      <c r="BJ785">
        <f>IF(ISBLANK('Data Entry'!$~$785), "", 'Data Entry'!$~$785)</f>
      </c>
      <c r="BK785">
        <f>IF(ISBLANK('Data Entry'!$$785), "", 'Data Entry'!$$785)</f>
      </c>
      <c r="BL785">
        <f>IF(ISBLANK('Data Entry'!$$785), "", 'Data Entry'!$$785)</f>
      </c>
      <c r="BM785">
        <f>IF(ISBLANK('Data Entry'!$$785), "", 'Data Entry'!$$785)</f>
      </c>
      <c r="BN785">
        <f>IF(ISBLANK('Data Entry'!$$785), "", 'Data Entry'!$$785)</f>
      </c>
      <c r="BO785">
        <f>IF(ISBLANK('Data Entry'!$$785), "", 'Data Entry'!$$785)</f>
      </c>
      <c r="BP785">
        <f>IF(ISBLANK('Data Entry'!$$785), "", 'Data Entry'!$$785)</f>
      </c>
      <c r="BQ785">
        <f>IF(ISBLANK('Data Entry'!$$785), "", 'Data Entry'!$$785)</f>
      </c>
      <c r="BR785">
        <f>IF(ISBLANK('Data Entry'!$$785), "", 'Data Entry'!$$785)</f>
      </c>
      <c r="BS785">
        <f>IF(ISBLANK('Data Entry'!$$785), "", 'Data Entry'!$$785)</f>
      </c>
      <c r="BT785">
        <f>IF(ISBLANK('Data Entry'!$$785), "", 'Data Entry'!$$785)</f>
      </c>
      <c r="BU785">
        <f>IF(ISBLANK('Data Entry'!$$785), "", 'Data Entry'!$$785)</f>
      </c>
      <c r="BV785">
        <f>IF(ISBLANK('Data Entry'!$$785), "", 'Data Entry'!$$785)</f>
      </c>
      <c r="BW785">
        <f>IF(ISBLANK('Data Entry'!$$785), "", 'Data Entry'!$$785)</f>
      </c>
      <c r="BX785">
        <f>IF(ISBLANK('Data Entry'!$$785), "", 'Data Entry'!$$785)</f>
      </c>
      <c r="BY785">
        <f>IF(ISBLANK('Data Entry'!$$785), "", 'Data Entry'!$$785)</f>
      </c>
      <c r="BZ785">
        <f>IF(ISBLANK('Data Entry'!$$785), "", 'Data Entry'!$$785)</f>
      </c>
      <c r="CA785">
        <f>IF(ISBLANK('Data Entry'!$$785), "", 'Data Entry'!$$785)</f>
      </c>
      <c r="CB785">
        <f>IF(ISBLANK('Data Entry'!$$785), "", 'Data Entry'!$$785)</f>
      </c>
      <c r="CC785">
        <f>IF(ISBLANK('Data Entry'!$$785), "", 'Data Entry'!$$785)</f>
      </c>
      <c r="CD785">
        <f>IF(ISBLANK('Data Entry'!$$785), "", 'Data Entry'!$$785)</f>
      </c>
      <c r="CE785">
        <f>IF(ISBLANK('Data Entry'!$$785), "", 'Data Entry'!$$785)</f>
      </c>
      <c r="CF785">
        <f>IF(ISBLANK('Data Entry'!$$785), "", 'Data Entry'!$$785)</f>
      </c>
      <c r="CG785">
        <f>IF(ISBLANK('Data Entry'!$$785), "", 'Data Entry'!$$785)</f>
      </c>
      <c r="CH785">
        <f>IF(ISBLANK('Data Entry'!$$785), "", 'Data Entry'!$$785)</f>
      </c>
      <c r="CI785">
        <f>IF(ISBLANK('Data Entry'!$$785), "", 'Data Entry'!$$785)</f>
      </c>
      <c r="CJ785">
        <f>IF(ISBLANK('Data Entry'!$$785), "", 'Data Entry'!$$785)</f>
      </c>
      <c r="CK785">
        <f>IF(ISBLANK('Data Entry'!$$785), "", 'Data Entry'!$$785)</f>
      </c>
      <c r="CL785">
        <f>IF(ISBLANK('Data Entry'!$$785), "", 'Data Entry'!$$785)</f>
      </c>
      <c r="CM785">
        <f>IF(ISBLANK('Data Entry'!$$785), "", 'Data Entry'!$$785)</f>
      </c>
      <c r="CN785">
        <f>IF(ISBLANK('Data Entry'!$$785), "", 'Data Entry'!$$785)</f>
      </c>
      <c r="CO785">
        <f>IF(ISBLANK('Data Entry'!$$785), "", 'Data Entry'!$$785)</f>
      </c>
      <c r="CP785">
        <f>IF(ISBLANK('Data Entry'!$$785), "", 'Data Entry'!$$785)</f>
      </c>
      <c r="CQ785">
        <f>IF(ISBLANK('Data Entry'!$$785), "", 'Data Entry'!$$785)</f>
      </c>
      <c r="CR785">
        <f>IF(ISBLANK('Data Entry'!$ $785), "", 'Data Entry'!$ $785)</f>
      </c>
      <c r="CS785">
        <f>IF(ISBLANK('Data Entry'!$¡$785), "", 'Data Entry'!$¡$785)</f>
      </c>
      <c r="CT785">
        <f>IF(ISBLANK('Data Entry'!$¢$785), "", 'Data Entry'!$¢$785)</f>
      </c>
      <c r="CU785">
        <f>IF(ISBLANK('Data Entry'!$£$785), "", 'Data Entry'!$£$785)</f>
      </c>
      <c r="CV785">
        <f>IF(ISBLANK('Data Entry'!$¤$785), "", 'Data Entry'!$¤$785)</f>
      </c>
      <c r="CW785">
        <f>IF(ISBLANK('Data Entry'!$¥$785), "", 'Data Entry'!$¥$785)</f>
      </c>
      <c r="CX785">
        <f>IF(ISBLANK('Data Entry'!$¦$785), "", 'Data Entry'!$¦$785)</f>
      </c>
      <c r="CY785">
        <f>IF(ISBLANK('Data Entry'!$§$785), "", 'Data Entry'!$§$785)</f>
      </c>
      <c r="CZ785">
        <f>IF(ISBLANK('Data Entry'!$¨$785), "", 'Data Entry'!$¨$785)</f>
      </c>
      <c r="DA785">
        <f>IF(ISBLANK('Data Entry'!$©$785), "", 'Data Entry'!$©$785)</f>
      </c>
      <c r="DB785">
        <f>IF(ISBLANK('Data Entry'!$ª$785), "", 'Data Entry'!$ª$785)</f>
      </c>
      <c r="DC785">
        <f>IF(ISBLANK('Data Entry'!$«$785), "", 'Data Entry'!$«$785)</f>
      </c>
      <c r="DD785">
        <f>IF(ISBLANK('Data Entry'!$¬$785), "", 'Data Entry'!$¬$785)</f>
      </c>
      <c r="DE785">
        <f>IF(ISBLANK('Data Entry'!$­$785), "", 'Data Entry'!$­$785)</f>
      </c>
      <c r="DF785">
        <f>IF(ISBLANK('Data Entry'!$®$785), "", 'Data Entry'!$®$785)</f>
      </c>
      <c r="DG785">
        <f>IF(ISBLANK('Data Entry'!$¯$785), "", 'Data Entry'!$¯$785)</f>
      </c>
      <c r="DH785">
        <f>IF(ISBLANK('Data Entry'!$°$785), "", 'Data Entry'!$°$785)</f>
      </c>
      <c r="DI785">
        <f>IF(ISBLANK('Data Entry'!$±$785), "", 'Data Entry'!$±$785)</f>
      </c>
      <c r="DJ785">
        <f>IF(ISBLANK('Data Entry'!$²$785), "", 'Data Entry'!$²$785)</f>
      </c>
      <c r="DK785">
        <f>IF(ISBLANK('Data Entry'!$³$785), "", 'Data Entry'!$³$785)</f>
      </c>
      <c r="DL785">
        <f>IF(ISBLANK('Data Entry'!$´$785), "", 'Data Entry'!$´$785)</f>
      </c>
      <c r="DM785">
        <f>IF(ISBLANK('Data Entry'!$µ$785), "", 'Data Entry'!$µ$785)</f>
      </c>
      <c r="DN785">
        <f>IF(ISBLANK('Data Entry'!$¶$785), "", 'Data Entry'!$¶$785)</f>
      </c>
      <c r="DO785">
        <f>IF(ISBLANK('Data Entry'!$·$785), "", 'Data Entry'!$·$785)</f>
      </c>
      <c r="DP785">
        <f>IF(ISBLANK('Data Entry'!$¸$785), "", 'Data Entry'!$¸$785)</f>
      </c>
      <c r="DQ785">
        <f>IF(ISBLANK('Data Entry'!$¹$785), "", 'Data Entry'!$¹$785)</f>
      </c>
      <c r="DR785">
        <f>IF(ISBLANK('Data Entry'!$º$785), "", 'Data Entry'!$º$785)</f>
      </c>
      <c r="DS785">
        <f>IF(ISBLANK('Data Entry'!$»$785), "", 'Data Entry'!$»$785)</f>
      </c>
      <c r="DT785">
        <f>IF(ISBLANK('Data Entry'!$¼$785), "", 'Data Entry'!$¼$785)</f>
      </c>
      <c r="DU785">
        <f>IF(ISBLANK('Data Entry'!$½$785), "", 'Data Entry'!$½$785)</f>
      </c>
      <c r="DV785">
        <f>IF(ISBLANK('Data Entry'!$¾$785), "", 'Data Entry'!$¾$785)</f>
      </c>
      <c r="DW785">
        <f>IF(ISBLANK('Data Entry'!$¿$785), "", 'Data Entry'!$¿$785)</f>
      </c>
      <c r="DX785">
        <f>IF(ISBLANK('Data Entry'!$À$785), "", 'Data Entry'!$À$785)</f>
      </c>
      <c r="DY785">
        <f>IF(ISBLANK('Data Entry'!$Á$785), "", 'Data Entry'!$Á$785)</f>
      </c>
      <c r="DZ785">
        <f>IF(ISBLANK('Data Entry'!$Â$785), "", 'Data Entry'!$Â$785)</f>
      </c>
      <c r="EA785">
        <f>IF(ISBLANK('Data Entry'!$Ã$785), "", 'Data Entry'!$Ã$785)</f>
      </c>
      <c r="EB785">
        <f>IF(ISBLANK('Data Entry'!$Ä$785), "", 'Data Entry'!$Ä$785)</f>
      </c>
      <c r="EC785">
        <f>IF(ISBLANK('Data Entry'!$Å$785), "", 'Data Entry'!$Å$785)</f>
      </c>
      <c r="ED785">
        <f>IF(ISBLANK('Data Entry'!$Æ$785), "", 'Data Entry'!$Æ$785)</f>
      </c>
      <c r="EE785">
        <f>IF(ISBLANK('Data Entry'!$Ç$785), "", 'Data Entry'!$Ç$785)</f>
      </c>
      <c r="EF785">
        <f>IF(ISBLANK('Data Entry'!$È$785), "", 'Data Entry'!$È$785)</f>
      </c>
      <c r="EG785">
        <f>IF(ISBLANK('Data Entry'!$É$785), "", 'Data Entry'!$É$785)</f>
      </c>
      <c r="EH785">
        <f>IF(ISBLANK('Data Entry'!$Ê$785), "", 'Data Entry'!$Ê$785)</f>
      </c>
      <c r="EI785">
        <f>IF(ISBLANK('Data Entry'!$Ë$785), "", 'Data Entry'!$Ë$785)</f>
      </c>
      <c r="EJ785">
        <f>IF(ISBLANK('Data Entry'!$Ì$785), "", 'Data Entry'!$Ì$785)</f>
      </c>
      <c r="EK785">
        <f>IF(ISBLANK('Data Entry'!$Í$785), "", 'Data Entry'!$Í$785)</f>
      </c>
      <c r="EL785">
        <f>IF(ISBLANK('Data Entry'!$Î$785), "", 'Data Entry'!$Î$785)</f>
      </c>
      <c r="EM785">
        <f>IF(ISBLANK('Data Entry'!$Ï$785), "", 'Data Entry'!$Ï$785)</f>
      </c>
      <c r="EN785">
        <f>IF(ISBLANK('Data Entry'!$Ð$785), "", 'Data Entry'!$Ð$785)</f>
      </c>
      <c r="EO785">
        <f>IF(ISBLANK('Data Entry'!$Ñ$785), "", 'Data Entry'!$Ñ$785)</f>
      </c>
      <c r="EP785">
        <f>IF(ISBLANK('Data Entry'!$Ò$785), "", 'Data Entry'!$Ò$785)</f>
      </c>
      <c r="EQ785">
        <f>IF(ISBLANK('Data Entry'!$Ó$785), "", 'Data Entry'!$Ó$785)</f>
      </c>
      <c r="ER785">
        <f>IF(ISBLANK('Data Entry'!$Ô$785), "", 'Data Entry'!$Ô$785)</f>
      </c>
      <c r="ES785">
        <f>IF(ISBLANK('Data Entry'!$Õ$785), "", 'Data Entry'!$Õ$785)</f>
      </c>
      <c r="ET785">
        <f>IF(ISBLANK('Data Entry'!$Ö$785), "", 'Data Entry'!$Ö$785)</f>
      </c>
      <c r="EU785">
        <f>IF(ISBLANK('Data Entry'!$×$785), "", 'Data Entry'!$×$785)</f>
      </c>
      <c r="EV785">
        <f>IF(ISBLANK('Data Entry'!$Ø$785), "", 'Data Entry'!$Ø$785)</f>
      </c>
      <c r="EW785">
        <f>IF(ISBLANK('Data Entry'!$Ù$785), "", 'Data Entry'!$Ù$785)</f>
      </c>
      <c r="EX785">
        <f>IF(ISBLANK('Data Entry'!$Ú$785), "", 'Data Entry'!$Ú$785)</f>
      </c>
      <c r="EY785">
        <f>IF(ISBLANK('Data Entry'!$Û$785), "", 'Data Entry'!$Û$785)</f>
      </c>
      <c r="EZ785">
        <f>IF(ISBLANK('Data Entry'!$Ü$785), "", 'Data Entry'!$Ü$785)</f>
      </c>
      <c r="FA785">
        <f>IF(ISBLANK('Data Entry'!$Ý$785), "", 'Data Entry'!$Ý$785)</f>
      </c>
      <c r="FB785">
        <f>IF(ISBLANK('Data Entry'!$Þ$785), "", 'Data Entry'!$Þ$785)</f>
      </c>
      <c r="FC785">
        <f>IF(ISBLANK('Data Entry'!$ß$785), "", 'Data Entry'!$ß$785)</f>
      </c>
      <c r="FD785">
        <f>IF(ISBLANK('Data Entry'!$à$785), "", 'Data Entry'!$à$785)</f>
      </c>
      <c r="FE785">
        <f>IF(ISBLANK('Data Entry'!$á$785), "", 'Data Entry'!$á$785)</f>
      </c>
      <c r="FF785">
        <f>IF(ISBLANK('Data Entry'!$â$785), "", 'Data Entry'!$â$785)</f>
      </c>
      <c r="FG785">
        <f>IF(ISBLANK('Data Entry'!$ã$785), "", 'Data Entry'!$ã$785)</f>
      </c>
      <c r="FH785">
        <f>IF(ISBLANK('Data Entry'!$ä$785), "", 'Data Entry'!$ä$785)</f>
      </c>
      <c r="FI785">
        <f>IF(ISBLANK('Data Entry'!$å$785), "", 'Data Entry'!$å$785)</f>
      </c>
      <c r="FJ785">
        <f>IF(ISBLANK('Data Entry'!$æ$785), "", 'Data Entry'!$æ$785)</f>
      </c>
      <c r="FK785">
        <f>IF(ISBLANK('Data Entry'!$ç$785), "", 'Data Entry'!$ç$785)</f>
      </c>
      <c r="FL785">
        <f>IF(ISBLANK('Data Entry'!$è$785), "", 'Data Entry'!$è$785)</f>
      </c>
      <c r="FM785">
        <f>IF(ISBLANK('Data Entry'!$é$785), "", 'Data Entry'!$é$785)</f>
      </c>
      <c r="FN785">
        <f>IF(ISBLANK('Data Entry'!$ê$785), "", 'Data Entry'!$ê$785)</f>
      </c>
      <c r="FO785">
        <f>IF(ISBLANK('Data Entry'!$ë$785), "", 'Data Entry'!$ë$785)</f>
      </c>
      <c r="FP785">
        <f>IF(ISBLANK('Data Entry'!$ì$785), "", 'Data Entry'!$ì$785)</f>
      </c>
      <c r="FQ785">
        <f>IF(ISBLANK('Data Entry'!$í$785), "", 'Data Entry'!$í$785)</f>
      </c>
      <c r="FR785">
        <f>IF(ISBLANK('Data Entry'!$î$785), "", 'Data Entry'!$î$785)</f>
      </c>
      <c r="FS785">
        <f>IF(ISBLANK('Data Entry'!$ï$785), "", 'Data Entry'!$ï$785)</f>
      </c>
      <c r="FT785">
        <f>IF(ISBLANK('Data Entry'!$ð$785), "", 'Data Entry'!$ð$785)</f>
      </c>
      <c r="FU785">
        <f>IF(ISBLANK('Data Entry'!$ñ$785), "", 'Data Entry'!$ñ$785)</f>
      </c>
      <c r="FV785">
        <f>IF(ISBLANK('Data Entry'!$ò$785), "", 'Data Entry'!$ò$785)</f>
      </c>
      <c r="FW785">
        <f>IF(ISBLANK('Data Entry'!$ó$785), "", 'Data Entry'!$ó$785)</f>
      </c>
      <c r="FX785">
        <f>IF(ISBLANK('Data Entry'!$ô$785), "", 'Data Entry'!$ô$785)</f>
      </c>
      <c r="FY785">
        <f>IF(ISBLANK('Data Entry'!$õ$785), "", 'Data Entry'!$õ$785)</f>
      </c>
      <c r="FZ785">
        <f>IF(ISBLANK('Data Entry'!$ö$785), "", 'Data Entry'!$ö$785)</f>
      </c>
      <c r="GA785">
        <f>IF(ISBLANK('Data Entry'!$÷$785), "", 'Data Entry'!$÷$785)</f>
      </c>
      <c r="GB785">
        <f>IF(ISBLANK('Data Entry'!$ø$785), "", 'Data Entry'!$ø$785)</f>
      </c>
      <c r="GC785">
        <f>IF(ISBLANK('Data Entry'!$ù$785), "", 'Data Entry'!$ù$785)</f>
      </c>
      <c r="GD785">
        <f>IF(ISBLANK('Data Entry'!$ú$785), "", 'Data Entry'!$ú$785)</f>
      </c>
      <c r="GE785">
        <f>IF(ISBLANK('Data Entry'!$û$785), "", 'Data Entry'!$û$785)</f>
      </c>
      <c r="GF785">
        <f>IF(ISBLANK('Data Entry'!$ü$785), "", 'Data Entry'!$ü$785)</f>
      </c>
      <c r="GG785">
        <f>IF(ISBLANK('Data Entry'!$ý$785), "", 'Data Entry'!$ý$785)</f>
      </c>
      <c r="GH785">
        <f>IF(ISBLANK('Data Entry'!$þ$785), "", 'Data Entry'!$þ$785)</f>
      </c>
      <c r="GI785">
        <f>IF(ISBLANK('Data Entry'!$ÿ$785), "", 'Data Entry'!$ÿ$785)</f>
      </c>
      <c r="GJ785">
        <f>IF(ISBLANK('Data Entry'!$Ā$785), "", 'Data Entry'!$Ā$785)</f>
      </c>
      <c r="GK785">
        <f>IF(ISBLANK('Data Entry'!$ā$785), "", 'Data Entry'!$ā$785)</f>
      </c>
      <c r="GL785">
        <f>IF(ISBLANK('Data Entry'!$Ă$785), "", 'Data Entry'!$Ă$785)</f>
      </c>
      <c r="GM785">
        <f>IF(ISBLANK('Data Entry'!$ă$785), "", 'Data Entry'!$ă$785)</f>
      </c>
      <c r="GN785">
        <f>IF(ISBLANK('Data Entry'!$Ą$785), "", 'Data Entry'!$Ą$785)</f>
      </c>
      <c r="GO785">
        <f>IF(ISBLANK('Data Entry'!$ą$785), "", 'Data Entry'!$ą$785)</f>
      </c>
      <c r="GP785">
        <f>IF(ISBLANK('Data Entry'!$Ć$785), "", 'Data Entry'!$Ć$785)</f>
      </c>
      <c r="GQ785">
        <f>IF(ISBLANK('Data Entry'!$ć$785), "", 'Data Entry'!$ć$785)</f>
      </c>
      <c r="GR785">
        <f>IF(ISBLANK('Data Entry'!$Ĉ$785), "", 'Data Entry'!$Ĉ$785)</f>
      </c>
      <c r="GS785">
        <f>IF(ISBLANK('Data Entry'!$ĉ$785), "", 'Data Entry'!$ĉ$785)</f>
      </c>
      <c r="GT785">
        <f>IF(ISBLANK('Data Entry'!$Ċ$785), "", 'Data Entry'!$Ċ$785)</f>
      </c>
      <c r="GU785">
        <f>IF(ISBLANK('Data Entry'!$ċ$785), "", 'Data Entry'!$ċ$785)</f>
      </c>
      <c r="GV785">
        <f>IF(ISBLANK('Data Entry'!$Č$785), "", 'Data Entry'!$Č$785)</f>
      </c>
      <c r="GW785">
        <f>IF(ISBLANK('Data Entry'!$č$785), "", 'Data Entry'!$č$785)</f>
      </c>
      <c r="GX785">
        <f>IF(ISBLANK('Data Entry'!$Ď$785), "", 'Data Entry'!$Ď$785)</f>
      </c>
      <c r="GY785">
        <f>IF(ISBLANK('Data Entry'!$ď$785), "", 'Data Entry'!$ď$785)</f>
      </c>
      <c r="GZ785">
        <f>IF(ISBLANK('Data Entry'!$Đ$785), "", 'Data Entry'!$Đ$785)</f>
      </c>
      <c r="HA785">
        <f>IF(ISBLANK('Data Entry'!$đ$785), "", 'Data Entry'!$đ$785)</f>
      </c>
      <c r="HB785">
        <f>IF(ISBLANK('Data Entry'!$Ē$785), "", 'Data Entry'!$Ē$785)</f>
      </c>
      <c r="HC785">
        <f>IF(ISBLANK('Data Entry'!$ē$785), "", 'Data Entry'!$ē$785)</f>
      </c>
      <c r="HD785">
        <f>IF(ISBLANK('Data Entry'!$Ĕ$785), "", 'Data Entry'!$Ĕ$785)</f>
      </c>
      <c r="HE785">
        <f>IF(ISBLANK('Data Entry'!$ĕ$785), "", 'Data Entry'!$ĕ$785)</f>
      </c>
      <c r="HF785">
        <f>IF(ISBLANK('Data Entry'!$Ė$785), "", 'Data Entry'!$Ė$785)</f>
      </c>
      <c r="HG785">
        <f>IF(ISBLANK('Data Entry'!$ė$785), "", 'Data Entry'!$ė$785)</f>
      </c>
      <c r="HH785">
        <f>IF(ISBLANK('Data Entry'!$Ę$785), "", 'Data Entry'!$Ę$785)</f>
      </c>
      <c r="HI785">
        <f>IF(ISBLANK('Data Entry'!$ę$785), "", 'Data Entry'!$ę$785)</f>
      </c>
      <c r="HJ785">
        <f>IF(ISBLANK('Data Entry'!$Ě$785), "", 'Data Entry'!$Ě$785)</f>
      </c>
      <c r="HK785">
        <f>IF(ISBLANK('Data Entry'!$ě$785), "", 'Data Entry'!$ě$785)</f>
      </c>
      <c r="HL785">
        <f>IF(ISBLANK('Data Entry'!$Ĝ$785), "", 'Data Entry'!$Ĝ$785)</f>
      </c>
      <c r="HM785">
        <f>IF(ISBLANK('Data Entry'!$ĝ$785), "", 'Data Entry'!$ĝ$785)</f>
      </c>
      <c r="HN785">
        <f>IF(ISBLANK('Data Entry'!$Ğ$785), "", 'Data Entry'!$Ğ$785)</f>
      </c>
      <c r="HO785">
        <f>IF(ISBLANK('Data Entry'!$ğ$785), "", 'Data Entry'!$ğ$785)</f>
      </c>
      <c r="HP785">
        <f>IF(ISBLANK('Data Entry'!$Ġ$785), "", 'Data Entry'!$Ġ$785)</f>
      </c>
      <c r="HQ785">
        <f>IF(ISBLANK('Data Entry'!$ġ$785), "", 'Data Entry'!$ġ$785)</f>
      </c>
      <c r="HR785">
        <f>IF(ISBLANK('Data Entry'!$Ģ$785), "", 'Data Entry'!$Ģ$785)</f>
      </c>
      <c r="HS785">
        <f>IF(ISBLANK('Data Entry'!$ģ$785), "", 'Data Entry'!$ģ$785)</f>
      </c>
      <c r="HT785">
        <f>IF(ISBLANK('Data Entry'!$Ĥ$785), "", 'Data Entry'!$Ĥ$785)</f>
      </c>
      <c r="HU785">
        <f>IF(ISBLANK('Data Entry'!$ĥ$785), "", 'Data Entry'!$ĥ$785)</f>
      </c>
      <c r="HV785">
        <f>IF(ISBLANK('Data Entry'!$Ħ$785), "", 'Data Entry'!$Ħ$785)</f>
      </c>
      <c r="HW785">
        <f>IF(ISBLANK('Data Entry'!$ħ$785), "", 'Data Entry'!$ħ$785)</f>
      </c>
      <c r="HX785">
        <f>IF(ISBLANK('Data Entry'!$Ĩ$785), "", 'Data Entry'!$Ĩ$785)</f>
      </c>
      <c r="HY785">
        <f>IF(ISBLANK('Data Entry'!$ĩ$785), "", 'Data Entry'!$ĩ$785)</f>
      </c>
      <c r="HZ785">
        <f>IF(ISBLANK('Data Entry'!$Ī$785), "", 'Data Entry'!$Ī$785)</f>
      </c>
      <c r="IA785">
        <f>IF(ISBLANK('Data Entry'!$ī$785), "", 'Data Entry'!$ī$785)</f>
      </c>
      <c r="IB785">
        <f>IF(ISBLANK('Data Entry'!$Ĭ$785), "", 'Data Entry'!$Ĭ$785)</f>
      </c>
      <c r="IC785">
        <f>IF(ISBLANK('Data Entry'!$ĭ$785), "", 'Data Entry'!$ĭ$785)</f>
      </c>
      <c r="ID785">
        <f>IF(ISBLANK('Data Entry'!$Į$785), "", 'Data Entry'!$Į$785)</f>
      </c>
      <c r="IE785">
        <f>IF(ISBLANK('Data Entry'!$į$785), "", 'Data Entry'!$į$785)</f>
      </c>
      <c r="IF785">
        <f>IF(ISBLANK('Data Entry'!$İ$785), "", 'Data Entry'!$İ$785)</f>
      </c>
      <c r="IG785">
        <f>IF(ISBLANK('Data Entry'!$ı$785), "", 'Data Entry'!$ı$785)</f>
      </c>
      <c r="IH785">
        <f>IF(ISBLANK('Data Entry'!$Ĳ$785), "", 'Data Entry'!$Ĳ$785)</f>
      </c>
      <c r="II785">
        <f>IF(ISBLANK('Data Entry'!$ĳ$785), "", 'Data Entry'!$ĳ$785)</f>
      </c>
      <c r="IJ785">
        <f>IF(ISBLANK('Data Entry'!$Ĵ$785), "", 'Data Entry'!$Ĵ$785)</f>
      </c>
      <c r="IK785">
        <f>IF(ISBLANK('Data Entry'!$ĵ$785), "", 'Data Entry'!$ĵ$785)</f>
      </c>
      <c r="IL785">
        <f>IF(ISBLANK('Data Entry'!$Ķ$785), "", 'Data Entry'!$Ķ$785)</f>
      </c>
      <c r="IM785">
        <f>IF(ISBLANK('Data Entry'!$ķ$785), "", 'Data Entry'!$ķ$785)</f>
      </c>
      <c r="IN785">
        <f>IF(ISBLANK('Data Entry'!$ĸ$785), "", 'Data Entry'!$ĸ$785)</f>
      </c>
      <c r="IO785">
        <f>IF(ISBLANK('Data Entry'!$Ĺ$785), "", 'Data Entry'!$Ĺ$785)</f>
      </c>
      <c r="IP785">
        <f>IF(ISBLANK('Data Entry'!$ĺ$785), "", 'Data Entry'!$ĺ$785)</f>
      </c>
      <c r="IQ785">
        <f>IF(ISBLANK('Data Entry'!$Ļ$785), "", 'Data Entry'!$Ļ$785)</f>
      </c>
      <c r="IR785">
        <f>IF(ISBLANK('Data Entry'!$ļ$785), "", 'Data Entry'!$ļ$785)</f>
      </c>
      <c r="IS785">
        <f>IF(ISBLANK('Data Entry'!$Ľ$785), "", 'Data Entry'!$Ľ$785)</f>
      </c>
      <c r="IT785">
        <f>IF(ISBLANK('Data Entry'!$ľ$785), "", 'Data Entry'!$ľ$785)</f>
      </c>
    </row>
    <row r="786" spans="1:254" x14ac:dyDescent="0.25">
      <c r="A786">
        <f>IF(ISBLANK('Data Entry'!$A$786), "", 'Data Entry'!$A$786)</f>
      </c>
      <c r="B786">
        <f>IF(ISBLANK('Data Entry'!$B$786), "", 'Data Entry'!$B$786)</f>
      </c>
      <c r="C786">
        <f>IF(ISBLANK('Data Entry'!$C$786), "", 'Data Entry'!$C$786)</f>
      </c>
      <c r="D786">
        <f>IF(ISBLANK('Data Entry'!$D$786), "", 'Data Entry'!$D$786)</f>
      </c>
      <c r="E786">
        <f>IF(ISBLANK('Data Entry'!$E$786), "", 'Data Entry'!$E$786)</f>
      </c>
      <c r="F786">
        <f>IF(ISBLANK('Data Entry'!$F$786), "", 'Data Entry'!$F$786)</f>
      </c>
      <c r="G786">
        <f>IF(ISBLANK('Data Entry'!$G$786), "", 'Data Entry'!$G$786)</f>
      </c>
      <c r="H786">
        <f>IF(ISBLANK('Data Entry'!$H$786), "", 'Data Entry'!$H$786)</f>
      </c>
      <c r="I786">
        <f>IF(ISBLANK('Data Entry'!$I$786), "", 'Data Entry'!$I$786)</f>
      </c>
      <c r="J786">
        <f>IF(ISBLANK('Data Entry'!$J$786), "", 'Data Entry'!$J$786)</f>
      </c>
      <c r="K786">
        <f>IF(ISBLANK('Data Entry'!$K$786), "", 'Data Entry'!$K$786)</f>
      </c>
      <c r="L786">
        <f>IF(ISBLANK('Data Entry'!$L$786), "", 'Data Entry'!$L$786)</f>
      </c>
      <c r="M786">
        <f>IF(ISBLANK('Data Entry'!$M$786), "", 'Data Entry'!$M$786)</f>
      </c>
      <c r="N786">
        <f>IF(ISBLANK('Data Entry'!$N$786), "", 'Data Entry'!$N$786)</f>
      </c>
      <c r="O786">
        <f>IF(ISBLANK('Data Entry'!$O$786), "", 'Data Entry'!$O$786)</f>
      </c>
      <c r="P786">
        <f>IF(ISBLANK('Data Entry'!$P$786), "", 'Data Entry'!$P$786)</f>
      </c>
      <c r="Q786">
        <f>IF(ISBLANK('Data Entry'!$Q$786), "", 'Data Entry'!$Q$786)</f>
      </c>
      <c r="R786">
        <f>IF(ISBLANK('Data Entry'!$R$786), "", 'Data Entry'!$R$786)</f>
      </c>
      <c r="S786">
        <f>IF(ISBLANK('Data Entry'!$S$786), "", 'Data Entry'!$S$786)</f>
      </c>
      <c r="T786">
        <f>IF(ISBLANK('Data Entry'!$T$786), "", 'Data Entry'!$T$786)</f>
      </c>
      <c r="U786">
        <f>IF(ISBLANK('Data Entry'!$U$786), "", 'Data Entry'!$U$786)</f>
      </c>
      <c r="V786">
        <f>IF(ISBLANK('Data Entry'!$V$786), "", 'Data Entry'!$V$786)</f>
      </c>
      <c r="W786">
        <f>IF(ISBLANK('Data Entry'!$W$786), "", 'Data Entry'!$W$786)</f>
      </c>
      <c r="X786">
        <f>IF(ISBLANK('Data Entry'!$X$786), "", 'Data Entry'!$X$786)</f>
      </c>
      <c r="Y786">
        <f>IF(ISBLANK('Data Entry'!$Y$786), "", 'Data Entry'!$Y$786)</f>
      </c>
      <c r="Z786">
        <f>IF(ISBLANK('Data Entry'!$Z$786), "", 'Data Entry'!$Z$786)</f>
      </c>
      <c r="AA786">
        <f>IF(ISBLANK('Data Entry'!$[$786), "", 'Data Entry'!$[$786)</f>
      </c>
      <c r="AB786">
        <f>IF(ISBLANK('Data Entry'!$\$786), "", 'Data Entry'!$\$786)</f>
      </c>
      <c r="AC786">
        <f>IF(ISBLANK('Data Entry'!$]$786), "", 'Data Entry'!$]$786)</f>
      </c>
      <c r="AD786">
        <f>IF(ISBLANK('Data Entry'!$^$786), "", 'Data Entry'!$^$786)</f>
      </c>
      <c r="AE786">
        <f>IF(ISBLANK('Data Entry'!$_$786), "", 'Data Entry'!$_$786)</f>
      </c>
      <c r="AF786">
        <f>IF(ISBLANK('Data Entry'!$`$786), "", 'Data Entry'!$`$786)</f>
      </c>
      <c r="AG786">
        <f>IF(ISBLANK('Data Entry'!$a$786), "", 'Data Entry'!$a$786)</f>
      </c>
      <c r="AH786">
        <f>IF(ISBLANK('Data Entry'!$b$786), "", 'Data Entry'!$b$786)</f>
      </c>
      <c r="AI786">
        <f>IF(ISBLANK('Data Entry'!$c$786), "", 'Data Entry'!$c$786)</f>
      </c>
      <c r="AJ786">
        <f>IF(ISBLANK('Data Entry'!$d$786), "", 'Data Entry'!$d$786)</f>
      </c>
      <c r="AK786">
        <f>IF(ISBLANK('Data Entry'!$e$786), "", 'Data Entry'!$e$786)</f>
      </c>
      <c r="AL786">
        <f>IF(ISBLANK('Data Entry'!$f$786), "", 'Data Entry'!$f$786)</f>
      </c>
      <c r="AM786">
        <f>IF(ISBLANK('Data Entry'!$g$786), "", 'Data Entry'!$g$786)</f>
      </c>
      <c r="AN786">
        <f>IF(ISBLANK('Data Entry'!$h$786), "", 'Data Entry'!$h$786)</f>
      </c>
      <c r="AO786">
        <f>IF(ISBLANK('Data Entry'!$i$786), "", 'Data Entry'!$i$786)</f>
      </c>
      <c r="AP786">
        <f>IF(ISBLANK('Data Entry'!$j$786), "", 'Data Entry'!$j$786)</f>
      </c>
      <c r="AQ786">
        <f>IF(ISBLANK('Data Entry'!$k$786), "", 'Data Entry'!$k$786)</f>
      </c>
      <c r="AR786">
        <f>IF(ISBLANK('Data Entry'!$l$786), "", 'Data Entry'!$l$786)</f>
      </c>
      <c r="AS786">
        <f>IF(ISBLANK('Data Entry'!$m$786), "", 'Data Entry'!$m$786)</f>
      </c>
      <c r="AT786">
        <f>IF(ISBLANK('Data Entry'!$n$786), "", 'Data Entry'!$n$786)</f>
      </c>
      <c r="AU786">
        <f>IF(ISBLANK('Data Entry'!$o$786), "", 'Data Entry'!$o$786)</f>
      </c>
      <c r="AV786">
        <f>IF(ISBLANK('Data Entry'!$p$786), "", 'Data Entry'!$p$786)</f>
      </c>
      <c r="AW786">
        <f>IF(ISBLANK('Data Entry'!$q$786), "", 'Data Entry'!$q$786)</f>
      </c>
      <c r="AX786">
        <f>IF(ISBLANK('Data Entry'!$r$786), "", 'Data Entry'!$r$786)</f>
      </c>
      <c r="AY786">
        <f>IF(ISBLANK('Data Entry'!$s$786), "", 'Data Entry'!$s$786)</f>
      </c>
      <c r="AZ786">
        <f>IF(ISBLANK('Data Entry'!$t$786), "", 'Data Entry'!$t$786)</f>
      </c>
      <c r="BA786">
        <f>IF(ISBLANK('Data Entry'!$u$786), "", 'Data Entry'!$u$786)</f>
      </c>
      <c r="BB786">
        <f>IF(ISBLANK('Data Entry'!$v$786), "", 'Data Entry'!$v$786)</f>
      </c>
      <c r="BC786">
        <f>IF(ISBLANK('Data Entry'!$w$786), "", 'Data Entry'!$w$786)</f>
      </c>
      <c r="BD786">
        <f>IF(ISBLANK('Data Entry'!$x$786), "", 'Data Entry'!$x$786)</f>
      </c>
      <c r="BE786">
        <f>IF(ISBLANK('Data Entry'!$y$786), "", 'Data Entry'!$y$786)</f>
      </c>
      <c r="BF786">
        <f>IF(ISBLANK('Data Entry'!$z$786), "", 'Data Entry'!$z$786)</f>
      </c>
      <c r="BG786">
        <f>IF(ISBLANK('Data Entry'!${$786), "", 'Data Entry'!${$786)</f>
      </c>
      <c r="BH786">
        <f>IF(ISBLANK('Data Entry'!$|$786), "", 'Data Entry'!$|$786)</f>
      </c>
      <c r="BI786">
        <f>IF(ISBLANK('Data Entry'!$}$786), "", 'Data Entry'!$}$786)</f>
      </c>
      <c r="BJ786">
        <f>IF(ISBLANK('Data Entry'!$~$786), "", 'Data Entry'!$~$786)</f>
      </c>
      <c r="BK786">
        <f>IF(ISBLANK('Data Entry'!$$786), "", 'Data Entry'!$$786)</f>
      </c>
      <c r="BL786">
        <f>IF(ISBLANK('Data Entry'!$$786), "", 'Data Entry'!$$786)</f>
      </c>
      <c r="BM786">
        <f>IF(ISBLANK('Data Entry'!$$786), "", 'Data Entry'!$$786)</f>
      </c>
      <c r="BN786">
        <f>IF(ISBLANK('Data Entry'!$$786), "", 'Data Entry'!$$786)</f>
      </c>
      <c r="BO786">
        <f>IF(ISBLANK('Data Entry'!$$786), "", 'Data Entry'!$$786)</f>
      </c>
      <c r="BP786">
        <f>IF(ISBLANK('Data Entry'!$$786), "", 'Data Entry'!$$786)</f>
      </c>
      <c r="BQ786">
        <f>IF(ISBLANK('Data Entry'!$$786), "", 'Data Entry'!$$786)</f>
      </c>
      <c r="BR786">
        <f>IF(ISBLANK('Data Entry'!$$786), "", 'Data Entry'!$$786)</f>
      </c>
      <c r="BS786">
        <f>IF(ISBLANK('Data Entry'!$$786), "", 'Data Entry'!$$786)</f>
      </c>
      <c r="BT786">
        <f>IF(ISBLANK('Data Entry'!$$786), "", 'Data Entry'!$$786)</f>
      </c>
      <c r="BU786">
        <f>IF(ISBLANK('Data Entry'!$$786), "", 'Data Entry'!$$786)</f>
      </c>
      <c r="BV786">
        <f>IF(ISBLANK('Data Entry'!$$786), "", 'Data Entry'!$$786)</f>
      </c>
      <c r="BW786">
        <f>IF(ISBLANK('Data Entry'!$$786), "", 'Data Entry'!$$786)</f>
      </c>
      <c r="BX786">
        <f>IF(ISBLANK('Data Entry'!$$786), "", 'Data Entry'!$$786)</f>
      </c>
      <c r="BY786">
        <f>IF(ISBLANK('Data Entry'!$$786), "", 'Data Entry'!$$786)</f>
      </c>
      <c r="BZ786">
        <f>IF(ISBLANK('Data Entry'!$$786), "", 'Data Entry'!$$786)</f>
      </c>
      <c r="CA786">
        <f>IF(ISBLANK('Data Entry'!$$786), "", 'Data Entry'!$$786)</f>
      </c>
      <c r="CB786">
        <f>IF(ISBLANK('Data Entry'!$$786), "", 'Data Entry'!$$786)</f>
      </c>
      <c r="CC786">
        <f>IF(ISBLANK('Data Entry'!$$786), "", 'Data Entry'!$$786)</f>
      </c>
      <c r="CD786">
        <f>IF(ISBLANK('Data Entry'!$$786), "", 'Data Entry'!$$786)</f>
      </c>
      <c r="CE786">
        <f>IF(ISBLANK('Data Entry'!$$786), "", 'Data Entry'!$$786)</f>
      </c>
      <c r="CF786">
        <f>IF(ISBLANK('Data Entry'!$$786), "", 'Data Entry'!$$786)</f>
      </c>
      <c r="CG786">
        <f>IF(ISBLANK('Data Entry'!$$786), "", 'Data Entry'!$$786)</f>
      </c>
      <c r="CH786">
        <f>IF(ISBLANK('Data Entry'!$$786), "", 'Data Entry'!$$786)</f>
      </c>
      <c r="CI786">
        <f>IF(ISBLANK('Data Entry'!$$786), "", 'Data Entry'!$$786)</f>
      </c>
      <c r="CJ786">
        <f>IF(ISBLANK('Data Entry'!$$786), "", 'Data Entry'!$$786)</f>
      </c>
      <c r="CK786">
        <f>IF(ISBLANK('Data Entry'!$$786), "", 'Data Entry'!$$786)</f>
      </c>
      <c r="CL786">
        <f>IF(ISBLANK('Data Entry'!$$786), "", 'Data Entry'!$$786)</f>
      </c>
      <c r="CM786">
        <f>IF(ISBLANK('Data Entry'!$$786), "", 'Data Entry'!$$786)</f>
      </c>
      <c r="CN786">
        <f>IF(ISBLANK('Data Entry'!$$786), "", 'Data Entry'!$$786)</f>
      </c>
      <c r="CO786">
        <f>IF(ISBLANK('Data Entry'!$$786), "", 'Data Entry'!$$786)</f>
      </c>
      <c r="CP786">
        <f>IF(ISBLANK('Data Entry'!$$786), "", 'Data Entry'!$$786)</f>
      </c>
      <c r="CQ786">
        <f>IF(ISBLANK('Data Entry'!$$786), "", 'Data Entry'!$$786)</f>
      </c>
      <c r="CR786">
        <f>IF(ISBLANK('Data Entry'!$ $786), "", 'Data Entry'!$ $786)</f>
      </c>
      <c r="CS786">
        <f>IF(ISBLANK('Data Entry'!$¡$786), "", 'Data Entry'!$¡$786)</f>
      </c>
      <c r="CT786">
        <f>IF(ISBLANK('Data Entry'!$¢$786), "", 'Data Entry'!$¢$786)</f>
      </c>
      <c r="CU786">
        <f>IF(ISBLANK('Data Entry'!$£$786), "", 'Data Entry'!$£$786)</f>
      </c>
      <c r="CV786">
        <f>IF(ISBLANK('Data Entry'!$¤$786), "", 'Data Entry'!$¤$786)</f>
      </c>
      <c r="CW786">
        <f>IF(ISBLANK('Data Entry'!$¥$786), "", 'Data Entry'!$¥$786)</f>
      </c>
      <c r="CX786">
        <f>IF(ISBLANK('Data Entry'!$¦$786), "", 'Data Entry'!$¦$786)</f>
      </c>
      <c r="CY786">
        <f>IF(ISBLANK('Data Entry'!$§$786), "", 'Data Entry'!$§$786)</f>
      </c>
      <c r="CZ786">
        <f>IF(ISBLANK('Data Entry'!$¨$786), "", 'Data Entry'!$¨$786)</f>
      </c>
      <c r="DA786">
        <f>IF(ISBLANK('Data Entry'!$©$786), "", 'Data Entry'!$©$786)</f>
      </c>
      <c r="DB786">
        <f>IF(ISBLANK('Data Entry'!$ª$786), "", 'Data Entry'!$ª$786)</f>
      </c>
      <c r="DC786">
        <f>IF(ISBLANK('Data Entry'!$«$786), "", 'Data Entry'!$«$786)</f>
      </c>
      <c r="DD786">
        <f>IF(ISBLANK('Data Entry'!$¬$786), "", 'Data Entry'!$¬$786)</f>
      </c>
      <c r="DE786">
        <f>IF(ISBLANK('Data Entry'!$­$786), "", 'Data Entry'!$­$786)</f>
      </c>
      <c r="DF786">
        <f>IF(ISBLANK('Data Entry'!$®$786), "", 'Data Entry'!$®$786)</f>
      </c>
      <c r="DG786">
        <f>IF(ISBLANK('Data Entry'!$¯$786), "", 'Data Entry'!$¯$786)</f>
      </c>
      <c r="DH786">
        <f>IF(ISBLANK('Data Entry'!$°$786), "", 'Data Entry'!$°$786)</f>
      </c>
      <c r="DI786">
        <f>IF(ISBLANK('Data Entry'!$±$786), "", 'Data Entry'!$±$786)</f>
      </c>
      <c r="DJ786">
        <f>IF(ISBLANK('Data Entry'!$²$786), "", 'Data Entry'!$²$786)</f>
      </c>
      <c r="DK786">
        <f>IF(ISBLANK('Data Entry'!$³$786), "", 'Data Entry'!$³$786)</f>
      </c>
      <c r="DL786">
        <f>IF(ISBLANK('Data Entry'!$´$786), "", 'Data Entry'!$´$786)</f>
      </c>
      <c r="DM786">
        <f>IF(ISBLANK('Data Entry'!$µ$786), "", 'Data Entry'!$µ$786)</f>
      </c>
      <c r="DN786">
        <f>IF(ISBLANK('Data Entry'!$¶$786), "", 'Data Entry'!$¶$786)</f>
      </c>
      <c r="DO786">
        <f>IF(ISBLANK('Data Entry'!$·$786), "", 'Data Entry'!$·$786)</f>
      </c>
      <c r="DP786">
        <f>IF(ISBLANK('Data Entry'!$¸$786), "", 'Data Entry'!$¸$786)</f>
      </c>
      <c r="DQ786">
        <f>IF(ISBLANK('Data Entry'!$¹$786), "", 'Data Entry'!$¹$786)</f>
      </c>
      <c r="DR786">
        <f>IF(ISBLANK('Data Entry'!$º$786), "", 'Data Entry'!$º$786)</f>
      </c>
      <c r="DS786">
        <f>IF(ISBLANK('Data Entry'!$»$786), "", 'Data Entry'!$»$786)</f>
      </c>
      <c r="DT786">
        <f>IF(ISBLANK('Data Entry'!$¼$786), "", 'Data Entry'!$¼$786)</f>
      </c>
      <c r="DU786">
        <f>IF(ISBLANK('Data Entry'!$½$786), "", 'Data Entry'!$½$786)</f>
      </c>
      <c r="DV786">
        <f>IF(ISBLANK('Data Entry'!$¾$786), "", 'Data Entry'!$¾$786)</f>
      </c>
      <c r="DW786">
        <f>IF(ISBLANK('Data Entry'!$¿$786), "", 'Data Entry'!$¿$786)</f>
      </c>
      <c r="DX786">
        <f>IF(ISBLANK('Data Entry'!$À$786), "", 'Data Entry'!$À$786)</f>
      </c>
      <c r="DY786">
        <f>IF(ISBLANK('Data Entry'!$Á$786), "", 'Data Entry'!$Á$786)</f>
      </c>
      <c r="DZ786">
        <f>IF(ISBLANK('Data Entry'!$Â$786), "", 'Data Entry'!$Â$786)</f>
      </c>
      <c r="EA786">
        <f>IF(ISBLANK('Data Entry'!$Ã$786), "", 'Data Entry'!$Ã$786)</f>
      </c>
      <c r="EB786">
        <f>IF(ISBLANK('Data Entry'!$Ä$786), "", 'Data Entry'!$Ä$786)</f>
      </c>
      <c r="EC786">
        <f>IF(ISBLANK('Data Entry'!$Å$786), "", 'Data Entry'!$Å$786)</f>
      </c>
      <c r="ED786">
        <f>IF(ISBLANK('Data Entry'!$Æ$786), "", 'Data Entry'!$Æ$786)</f>
      </c>
      <c r="EE786">
        <f>IF(ISBLANK('Data Entry'!$Ç$786), "", 'Data Entry'!$Ç$786)</f>
      </c>
      <c r="EF786">
        <f>IF(ISBLANK('Data Entry'!$È$786), "", 'Data Entry'!$È$786)</f>
      </c>
      <c r="EG786">
        <f>IF(ISBLANK('Data Entry'!$É$786), "", 'Data Entry'!$É$786)</f>
      </c>
      <c r="EH786">
        <f>IF(ISBLANK('Data Entry'!$Ê$786), "", 'Data Entry'!$Ê$786)</f>
      </c>
      <c r="EI786">
        <f>IF(ISBLANK('Data Entry'!$Ë$786), "", 'Data Entry'!$Ë$786)</f>
      </c>
      <c r="EJ786">
        <f>IF(ISBLANK('Data Entry'!$Ì$786), "", 'Data Entry'!$Ì$786)</f>
      </c>
      <c r="EK786">
        <f>IF(ISBLANK('Data Entry'!$Í$786), "", 'Data Entry'!$Í$786)</f>
      </c>
      <c r="EL786">
        <f>IF(ISBLANK('Data Entry'!$Î$786), "", 'Data Entry'!$Î$786)</f>
      </c>
      <c r="EM786">
        <f>IF(ISBLANK('Data Entry'!$Ï$786), "", 'Data Entry'!$Ï$786)</f>
      </c>
      <c r="EN786">
        <f>IF(ISBLANK('Data Entry'!$Ð$786), "", 'Data Entry'!$Ð$786)</f>
      </c>
      <c r="EO786">
        <f>IF(ISBLANK('Data Entry'!$Ñ$786), "", 'Data Entry'!$Ñ$786)</f>
      </c>
      <c r="EP786">
        <f>IF(ISBLANK('Data Entry'!$Ò$786), "", 'Data Entry'!$Ò$786)</f>
      </c>
      <c r="EQ786">
        <f>IF(ISBLANK('Data Entry'!$Ó$786), "", 'Data Entry'!$Ó$786)</f>
      </c>
      <c r="ER786">
        <f>IF(ISBLANK('Data Entry'!$Ô$786), "", 'Data Entry'!$Ô$786)</f>
      </c>
      <c r="ES786">
        <f>IF(ISBLANK('Data Entry'!$Õ$786), "", 'Data Entry'!$Õ$786)</f>
      </c>
      <c r="ET786">
        <f>IF(ISBLANK('Data Entry'!$Ö$786), "", 'Data Entry'!$Ö$786)</f>
      </c>
      <c r="EU786">
        <f>IF(ISBLANK('Data Entry'!$×$786), "", 'Data Entry'!$×$786)</f>
      </c>
      <c r="EV786">
        <f>IF(ISBLANK('Data Entry'!$Ø$786), "", 'Data Entry'!$Ø$786)</f>
      </c>
      <c r="EW786">
        <f>IF(ISBLANK('Data Entry'!$Ù$786), "", 'Data Entry'!$Ù$786)</f>
      </c>
      <c r="EX786">
        <f>IF(ISBLANK('Data Entry'!$Ú$786), "", 'Data Entry'!$Ú$786)</f>
      </c>
      <c r="EY786">
        <f>IF(ISBLANK('Data Entry'!$Û$786), "", 'Data Entry'!$Û$786)</f>
      </c>
      <c r="EZ786">
        <f>IF(ISBLANK('Data Entry'!$Ü$786), "", 'Data Entry'!$Ü$786)</f>
      </c>
      <c r="FA786">
        <f>IF(ISBLANK('Data Entry'!$Ý$786), "", 'Data Entry'!$Ý$786)</f>
      </c>
      <c r="FB786">
        <f>IF(ISBLANK('Data Entry'!$Þ$786), "", 'Data Entry'!$Þ$786)</f>
      </c>
      <c r="FC786">
        <f>IF(ISBLANK('Data Entry'!$ß$786), "", 'Data Entry'!$ß$786)</f>
      </c>
      <c r="FD786">
        <f>IF(ISBLANK('Data Entry'!$à$786), "", 'Data Entry'!$à$786)</f>
      </c>
      <c r="FE786">
        <f>IF(ISBLANK('Data Entry'!$á$786), "", 'Data Entry'!$á$786)</f>
      </c>
      <c r="FF786">
        <f>IF(ISBLANK('Data Entry'!$â$786), "", 'Data Entry'!$â$786)</f>
      </c>
      <c r="FG786">
        <f>IF(ISBLANK('Data Entry'!$ã$786), "", 'Data Entry'!$ã$786)</f>
      </c>
      <c r="FH786">
        <f>IF(ISBLANK('Data Entry'!$ä$786), "", 'Data Entry'!$ä$786)</f>
      </c>
      <c r="FI786">
        <f>IF(ISBLANK('Data Entry'!$å$786), "", 'Data Entry'!$å$786)</f>
      </c>
      <c r="FJ786">
        <f>IF(ISBLANK('Data Entry'!$æ$786), "", 'Data Entry'!$æ$786)</f>
      </c>
      <c r="FK786">
        <f>IF(ISBLANK('Data Entry'!$ç$786), "", 'Data Entry'!$ç$786)</f>
      </c>
      <c r="FL786">
        <f>IF(ISBLANK('Data Entry'!$è$786), "", 'Data Entry'!$è$786)</f>
      </c>
      <c r="FM786">
        <f>IF(ISBLANK('Data Entry'!$é$786), "", 'Data Entry'!$é$786)</f>
      </c>
      <c r="FN786">
        <f>IF(ISBLANK('Data Entry'!$ê$786), "", 'Data Entry'!$ê$786)</f>
      </c>
      <c r="FO786">
        <f>IF(ISBLANK('Data Entry'!$ë$786), "", 'Data Entry'!$ë$786)</f>
      </c>
      <c r="FP786">
        <f>IF(ISBLANK('Data Entry'!$ì$786), "", 'Data Entry'!$ì$786)</f>
      </c>
      <c r="FQ786">
        <f>IF(ISBLANK('Data Entry'!$í$786), "", 'Data Entry'!$í$786)</f>
      </c>
      <c r="FR786">
        <f>IF(ISBLANK('Data Entry'!$î$786), "", 'Data Entry'!$î$786)</f>
      </c>
      <c r="FS786">
        <f>IF(ISBLANK('Data Entry'!$ï$786), "", 'Data Entry'!$ï$786)</f>
      </c>
      <c r="FT786">
        <f>IF(ISBLANK('Data Entry'!$ð$786), "", 'Data Entry'!$ð$786)</f>
      </c>
      <c r="FU786">
        <f>IF(ISBLANK('Data Entry'!$ñ$786), "", 'Data Entry'!$ñ$786)</f>
      </c>
      <c r="FV786">
        <f>IF(ISBLANK('Data Entry'!$ò$786), "", 'Data Entry'!$ò$786)</f>
      </c>
      <c r="FW786">
        <f>IF(ISBLANK('Data Entry'!$ó$786), "", 'Data Entry'!$ó$786)</f>
      </c>
      <c r="FX786">
        <f>IF(ISBLANK('Data Entry'!$ô$786), "", 'Data Entry'!$ô$786)</f>
      </c>
      <c r="FY786">
        <f>IF(ISBLANK('Data Entry'!$õ$786), "", 'Data Entry'!$õ$786)</f>
      </c>
      <c r="FZ786">
        <f>IF(ISBLANK('Data Entry'!$ö$786), "", 'Data Entry'!$ö$786)</f>
      </c>
      <c r="GA786">
        <f>IF(ISBLANK('Data Entry'!$÷$786), "", 'Data Entry'!$÷$786)</f>
      </c>
      <c r="GB786">
        <f>IF(ISBLANK('Data Entry'!$ø$786), "", 'Data Entry'!$ø$786)</f>
      </c>
      <c r="GC786">
        <f>IF(ISBLANK('Data Entry'!$ù$786), "", 'Data Entry'!$ù$786)</f>
      </c>
      <c r="GD786">
        <f>IF(ISBLANK('Data Entry'!$ú$786), "", 'Data Entry'!$ú$786)</f>
      </c>
      <c r="GE786">
        <f>IF(ISBLANK('Data Entry'!$û$786), "", 'Data Entry'!$û$786)</f>
      </c>
      <c r="GF786">
        <f>IF(ISBLANK('Data Entry'!$ü$786), "", 'Data Entry'!$ü$786)</f>
      </c>
      <c r="GG786">
        <f>IF(ISBLANK('Data Entry'!$ý$786), "", 'Data Entry'!$ý$786)</f>
      </c>
      <c r="GH786">
        <f>IF(ISBLANK('Data Entry'!$þ$786), "", 'Data Entry'!$þ$786)</f>
      </c>
      <c r="GI786">
        <f>IF(ISBLANK('Data Entry'!$ÿ$786), "", 'Data Entry'!$ÿ$786)</f>
      </c>
      <c r="GJ786">
        <f>IF(ISBLANK('Data Entry'!$Ā$786), "", 'Data Entry'!$Ā$786)</f>
      </c>
      <c r="GK786">
        <f>IF(ISBLANK('Data Entry'!$ā$786), "", 'Data Entry'!$ā$786)</f>
      </c>
      <c r="GL786">
        <f>IF(ISBLANK('Data Entry'!$Ă$786), "", 'Data Entry'!$Ă$786)</f>
      </c>
      <c r="GM786">
        <f>IF(ISBLANK('Data Entry'!$ă$786), "", 'Data Entry'!$ă$786)</f>
      </c>
      <c r="GN786">
        <f>IF(ISBLANK('Data Entry'!$Ą$786), "", 'Data Entry'!$Ą$786)</f>
      </c>
      <c r="GO786">
        <f>IF(ISBLANK('Data Entry'!$ą$786), "", 'Data Entry'!$ą$786)</f>
      </c>
      <c r="GP786">
        <f>IF(ISBLANK('Data Entry'!$Ć$786), "", 'Data Entry'!$Ć$786)</f>
      </c>
      <c r="GQ786">
        <f>IF(ISBLANK('Data Entry'!$ć$786), "", 'Data Entry'!$ć$786)</f>
      </c>
      <c r="GR786">
        <f>IF(ISBLANK('Data Entry'!$Ĉ$786), "", 'Data Entry'!$Ĉ$786)</f>
      </c>
      <c r="GS786">
        <f>IF(ISBLANK('Data Entry'!$ĉ$786), "", 'Data Entry'!$ĉ$786)</f>
      </c>
      <c r="GT786">
        <f>IF(ISBLANK('Data Entry'!$Ċ$786), "", 'Data Entry'!$Ċ$786)</f>
      </c>
      <c r="GU786">
        <f>IF(ISBLANK('Data Entry'!$ċ$786), "", 'Data Entry'!$ċ$786)</f>
      </c>
      <c r="GV786">
        <f>IF(ISBLANK('Data Entry'!$Č$786), "", 'Data Entry'!$Č$786)</f>
      </c>
      <c r="GW786">
        <f>IF(ISBLANK('Data Entry'!$č$786), "", 'Data Entry'!$č$786)</f>
      </c>
      <c r="GX786">
        <f>IF(ISBLANK('Data Entry'!$Ď$786), "", 'Data Entry'!$Ď$786)</f>
      </c>
      <c r="GY786">
        <f>IF(ISBLANK('Data Entry'!$ď$786), "", 'Data Entry'!$ď$786)</f>
      </c>
      <c r="GZ786">
        <f>IF(ISBLANK('Data Entry'!$Đ$786), "", 'Data Entry'!$Đ$786)</f>
      </c>
      <c r="HA786">
        <f>IF(ISBLANK('Data Entry'!$đ$786), "", 'Data Entry'!$đ$786)</f>
      </c>
      <c r="HB786">
        <f>IF(ISBLANK('Data Entry'!$Ē$786), "", 'Data Entry'!$Ē$786)</f>
      </c>
      <c r="HC786">
        <f>IF(ISBLANK('Data Entry'!$ē$786), "", 'Data Entry'!$ē$786)</f>
      </c>
      <c r="HD786">
        <f>IF(ISBLANK('Data Entry'!$Ĕ$786), "", 'Data Entry'!$Ĕ$786)</f>
      </c>
      <c r="HE786">
        <f>IF(ISBLANK('Data Entry'!$ĕ$786), "", 'Data Entry'!$ĕ$786)</f>
      </c>
      <c r="HF786">
        <f>IF(ISBLANK('Data Entry'!$Ė$786), "", 'Data Entry'!$Ė$786)</f>
      </c>
      <c r="HG786">
        <f>IF(ISBLANK('Data Entry'!$ė$786), "", 'Data Entry'!$ė$786)</f>
      </c>
      <c r="HH786">
        <f>IF(ISBLANK('Data Entry'!$Ę$786), "", 'Data Entry'!$Ę$786)</f>
      </c>
      <c r="HI786">
        <f>IF(ISBLANK('Data Entry'!$ę$786), "", 'Data Entry'!$ę$786)</f>
      </c>
      <c r="HJ786">
        <f>IF(ISBLANK('Data Entry'!$Ě$786), "", 'Data Entry'!$Ě$786)</f>
      </c>
      <c r="HK786">
        <f>IF(ISBLANK('Data Entry'!$ě$786), "", 'Data Entry'!$ě$786)</f>
      </c>
      <c r="HL786">
        <f>IF(ISBLANK('Data Entry'!$Ĝ$786), "", 'Data Entry'!$Ĝ$786)</f>
      </c>
      <c r="HM786">
        <f>IF(ISBLANK('Data Entry'!$ĝ$786), "", 'Data Entry'!$ĝ$786)</f>
      </c>
      <c r="HN786">
        <f>IF(ISBLANK('Data Entry'!$Ğ$786), "", 'Data Entry'!$Ğ$786)</f>
      </c>
      <c r="HO786">
        <f>IF(ISBLANK('Data Entry'!$ğ$786), "", 'Data Entry'!$ğ$786)</f>
      </c>
      <c r="HP786">
        <f>IF(ISBLANK('Data Entry'!$Ġ$786), "", 'Data Entry'!$Ġ$786)</f>
      </c>
      <c r="HQ786">
        <f>IF(ISBLANK('Data Entry'!$ġ$786), "", 'Data Entry'!$ġ$786)</f>
      </c>
      <c r="HR786">
        <f>IF(ISBLANK('Data Entry'!$Ģ$786), "", 'Data Entry'!$Ģ$786)</f>
      </c>
      <c r="HS786">
        <f>IF(ISBLANK('Data Entry'!$ģ$786), "", 'Data Entry'!$ģ$786)</f>
      </c>
      <c r="HT786">
        <f>IF(ISBLANK('Data Entry'!$Ĥ$786), "", 'Data Entry'!$Ĥ$786)</f>
      </c>
      <c r="HU786">
        <f>IF(ISBLANK('Data Entry'!$ĥ$786), "", 'Data Entry'!$ĥ$786)</f>
      </c>
      <c r="HV786">
        <f>IF(ISBLANK('Data Entry'!$Ħ$786), "", 'Data Entry'!$Ħ$786)</f>
      </c>
      <c r="HW786">
        <f>IF(ISBLANK('Data Entry'!$ħ$786), "", 'Data Entry'!$ħ$786)</f>
      </c>
      <c r="HX786">
        <f>IF(ISBLANK('Data Entry'!$Ĩ$786), "", 'Data Entry'!$Ĩ$786)</f>
      </c>
      <c r="HY786">
        <f>IF(ISBLANK('Data Entry'!$ĩ$786), "", 'Data Entry'!$ĩ$786)</f>
      </c>
      <c r="HZ786">
        <f>IF(ISBLANK('Data Entry'!$Ī$786), "", 'Data Entry'!$Ī$786)</f>
      </c>
      <c r="IA786">
        <f>IF(ISBLANK('Data Entry'!$ī$786), "", 'Data Entry'!$ī$786)</f>
      </c>
      <c r="IB786">
        <f>IF(ISBLANK('Data Entry'!$Ĭ$786), "", 'Data Entry'!$Ĭ$786)</f>
      </c>
      <c r="IC786">
        <f>IF(ISBLANK('Data Entry'!$ĭ$786), "", 'Data Entry'!$ĭ$786)</f>
      </c>
      <c r="ID786">
        <f>IF(ISBLANK('Data Entry'!$Į$786), "", 'Data Entry'!$Į$786)</f>
      </c>
      <c r="IE786">
        <f>IF(ISBLANK('Data Entry'!$į$786), "", 'Data Entry'!$į$786)</f>
      </c>
      <c r="IF786">
        <f>IF(ISBLANK('Data Entry'!$İ$786), "", 'Data Entry'!$İ$786)</f>
      </c>
      <c r="IG786">
        <f>IF(ISBLANK('Data Entry'!$ı$786), "", 'Data Entry'!$ı$786)</f>
      </c>
      <c r="IH786">
        <f>IF(ISBLANK('Data Entry'!$Ĳ$786), "", 'Data Entry'!$Ĳ$786)</f>
      </c>
      <c r="II786">
        <f>IF(ISBLANK('Data Entry'!$ĳ$786), "", 'Data Entry'!$ĳ$786)</f>
      </c>
      <c r="IJ786">
        <f>IF(ISBLANK('Data Entry'!$Ĵ$786), "", 'Data Entry'!$Ĵ$786)</f>
      </c>
      <c r="IK786">
        <f>IF(ISBLANK('Data Entry'!$ĵ$786), "", 'Data Entry'!$ĵ$786)</f>
      </c>
      <c r="IL786">
        <f>IF(ISBLANK('Data Entry'!$Ķ$786), "", 'Data Entry'!$Ķ$786)</f>
      </c>
      <c r="IM786">
        <f>IF(ISBLANK('Data Entry'!$ķ$786), "", 'Data Entry'!$ķ$786)</f>
      </c>
      <c r="IN786">
        <f>IF(ISBLANK('Data Entry'!$ĸ$786), "", 'Data Entry'!$ĸ$786)</f>
      </c>
      <c r="IO786">
        <f>IF(ISBLANK('Data Entry'!$Ĺ$786), "", 'Data Entry'!$Ĺ$786)</f>
      </c>
      <c r="IP786">
        <f>IF(ISBLANK('Data Entry'!$ĺ$786), "", 'Data Entry'!$ĺ$786)</f>
      </c>
      <c r="IQ786">
        <f>IF(ISBLANK('Data Entry'!$Ļ$786), "", 'Data Entry'!$Ļ$786)</f>
      </c>
      <c r="IR786">
        <f>IF(ISBLANK('Data Entry'!$ļ$786), "", 'Data Entry'!$ļ$786)</f>
      </c>
      <c r="IS786">
        <f>IF(ISBLANK('Data Entry'!$Ľ$786), "", 'Data Entry'!$Ľ$786)</f>
      </c>
      <c r="IT786">
        <f>IF(ISBLANK('Data Entry'!$ľ$786), "", 'Data Entry'!$ľ$786)</f>
      </c>
    </row>
    <row r="787" spans="1:254" x14ac:dyDescent="0.25">
      <c r="A787">
        <f>IF(ISBLANK('Data Entry'!$A$787), "", 'Data Entry'!$A$787)</f>
      </c>
      <c r="B787">
        <f>IF(ISBLANK('Data Entry'!$B$787), "", 'Data Entry'!$B$787)</f>
      </c>
      <c r="C787">
        <f>IF(ISBLANK('Data Entry'!$C$787), "", 'Data Entry'!$C$787)</f>
      </c>
      <c r="D787">
        <f>IF(ISBLANK('Data Entry'!$D$787), "", 'Data Entry'!$D$787)</f>
      </c>
      <c r="E787">
        <f>IF(ISBLANK('Data Entry'!$E$787), "", 'Data Entry'!$E$787)</f>
      </c>
      <c r="F787">
        <f>IF(ISBLANK('Data Entry'!$F$787), "", 'Data Entry'!$F$787)</f>
      </c>
      <c r="G787">
        <f>IF(ISBLANK('Data Entry'!$G$787), "", 'Data Entry'!$G$787)</f>
      </c>
      <c r="H787">
        <f>IF(ISBLANK('Data Entry'!$H$787), "", 'Data Entry'!$H$787)</f>
      </c>
      <c r="I787">
        <f>IF(ISBLANK('Data Entry'!$I$787), "", 'Data Entry'!$I$787)</f>
      </c>
      <c r="J787">
        <f>IF(ISBLANK('Data Entry'!$J$787), "", 'Data Entry'!$J$787)</f>
      </c>
      <c r="K787">
        <f>IF(ISBLANK('Data Entry'!$K$787), "", 'Data Entry'!$K$787)</f>
      </c>
      <c r="L787">
        <f>IF(ISBLANK('Data Entry'!$L$787), "", 'Data Entry'!$L$787)</f>
      </c>
      <c r="M787">
        <f>IF(ISBLANK('Data Entry'!$M$787), "", 'Data Entry'!$M$787)</f>
      </c>
      <c r="N787">
        <f>IF(ISBLANK('Data Entry'!$N$787), "", 'Data Entry'!$N$787)</f>
      </c>
      <c r="O787">
        <f>IF(ISBLANK('Data Entry'!$O$787), "", 'Data Entry'!$O$787)</f>
      </c>
      <c r="P787">
        <f>IF(ISBLANK('Data Entry'!$P$787), "", 'Data Entry'!$P$787)</f>
      </c>
      <c r="Q787">
        <f>IF(ISBLANK('Data Entry'!$Q$787), "", 'Data Entry'!$Q$787)</f>
      </c>
      <c r="R787">
        <f>IF(ISBLANK('Data Entry'!$R$787), "", 'Data Entry'!$R$787)</f>
      </c>
      <c r="S787">
        <f>IF(ISBLANK('Data Entry'!$S$787), "", 'Data Entry'!$S$787)</f>
      </c>
      <c r="T787">
        <f>IF(ISBLANK('Data Entry'!$T$787), "", 'Data Entry'!$T$787)</f>
      </c>
      <c r="U787">
        <f>IF(ISBLANK('Data Entry'!$U$787), "", 'Data Entry'!$U$787)</f>
      </c>
      <c r="V787">
        <f>IF(ISBLANK('Data Entry'!$V$787), "", 'Data Entry'!$V$787)</f>
      </c>
      <c r="W787">
        <f>IF(ISBLANK('Data Entry'!$W$787), "", 'Data Entry'!$W$787)</f>
      </c>
      <c r="X787">
        <f>IF(ISBLANK('Data Entry'!$X$787), "", 'Data Entry'!$X$787)</f>
      </c>
      <c r="Y787">
        <f>IF(ISBLANK('Data Entry'!$Y$787), "", 'Data Entry'!$Y$787)</f>
      </c>
      <c r="Z787">
        <f>IF(ISBLANK('Data Entry'!$Z$787), "", 'Data Entry'!$Z$787)</f>
      </c>
      <c r="AA787">
        <f>IF(ISBLANK('Data Entry'!$[$787), "", 'Data Entry'!$[$787)</f>
      </c>
      <c r="AB787">
        <f>IF(ISBLANK('Data Entry'!$\$787), "", 'Data Entry'!$\$787)</f>
      </c>
      <c r="AC787">
        <f>IF(ISBLANK('Data Entry'!$]$787), "", 'Data Entry'!$]$787)</f>
      </c>
      <c r="AD787">
        <f>IF(ISBLANK('Data Entry'!$^$787), "", 'Data Entry'!$^$787)</f>
      </c>
      <c r="AE787">
        <f>IF(ISBLANK('Data Entry'!$_$787), "", 'Data Entry'!$_$787)</f>
      </c>
      <c r="AF787">
        <f>IF(ISBLANK('Data Entry'!$`$787), "", 'Data Entry'!$`$787)</f>
      </c>
      <c r="AG787">
        <f>IF(ISBLANK('Data Entry'!$a$787), "", 'Data Entry'!$a$787)</f>
      </c>
      <c r="AH787">
        <f>IF(ISBLANK('Data Entry'!$b$787), "", 'Data Entry'!$b$787)</f>
      </c>
      <c r="AI787">
        <f>IF(ISBLANK('Data Entry'!$c$787), "", 'Data Entry'!$c$787)</f>
      </c>
      <c r="AJ787">
        <f>IF(ISBLANK('Data Entry'!$d$787), "", 'Data Entry'!$d$787)</f>
      </c>
      <c r="AK787">
        <f>IF(ISBLANK('Data Entry'!$e$787), "", 'Data Entry'!$e$787)</f>
      </c>
      <c r="AL787">
        <f>IF(ISBLANK('Data Entry'!$f$787), "", 'Data Entry'!$f$787)</f>
      </c>
      <c r="AM787">
        <f>IF(ISBLANK('Data Entry'!$g$787), "", 'Data Entry'!$g$787)</f>
      </c>
      <c r="AN787">
        <f>IF(ISBLANK('Data Entry'!$h$787), "", 'Data Entry'!$h$787)</f>
      </c>
      <c r="AO787">
        <f>IF(ISBLANK('Data Entry'!$i$787), "", 'Data Entry'!$i$787)</f>
      </c>
      <c r="AP787">
        <f>IF(ISBLANK('Data Entry'!$j$787), "", 'Data Entry'!$j$787)</f>
      </c>
      <c r="AQ787">
        <f>IF(ISBLANK('Data Entry'!$k$787), "", 'Data Entry'!$k$787)</f>
      </c>
      <c r="AR787">
        <f>IF(ISBLANK('Data Entry'!$l$787), "", 'Data Entry'!$l$787)</f>
      </c>
      <c r="AS787">
        <f>IF(ISBLANK('Data Entry'!$m$787), "", 'Data Entry'!$m$787)</f>
      </c>
      <c r="AT787">
        <f>IF(ISBLANK('Data Entry'!$n$787), "", 'Data Entry'!$n$787)</f>
      </c>
      <c r="AU787">
        <f>IF(ISBLANK('Data Entry'!$o$787), "", 'Data Entry'!$o$787)</f>
      </c>
      <c r="AV787">
        <f>IF(ISBLANK('Data Entry'!$p$787), "", 'Data Entry'!$p$787)</f>
      </c>
      <c r="AW787">
        <f>IF(ISBLANK('Data Entry'!$q$787), "", 'Data Entry'!$q$787)</f>
      </c>
      <c r="AX787">
        <f>IF(ISBLANK('Data Entry'!$r$787), "", 'Data Entry'!$r$787)</f>
      </c>
      <c r="AY787">
        <f>IF(ISBLANK('Data Entry'!$s$787), "", 'Data Entry'!$s$787)</f>
      </c>
      <c r="AZ787">
        <f>IF(ISBLANK('Data Entry'!$t$787), "", 'Data Entry'!$t$787)</f>
      </c>
      <c r="BA787">
        <f>IF(ISBLANK('Data Entry'!$u$787), "", 'Data Entry'!$u$787)</f>
      </c>
      <c r="BB787">
        <f>IF(ISBLANK('Data Entry'!$v$787), "", 'Data Entry'!$v$787)</f>
      </c>
      <c r="BC787">
        <f>IF(ISBLANK('Data Entry'!$w$787), "", 'Data Entry'!$w$787)</f>
      </c>
      <c r="BD787">
        <f>IF(ISBLANK('Data Entry'!$x$787), "", 'Data Entry'!$x$787)</f>
      </c>
      <c r="BE787">
        <f>IF(ISBLANK('Data Entry'!$y$787), "", 'Data Entry'!$y$787)</f>
      </c>
      <c r="BF787">
        <f>IF(ISBLANK('Data Entry'!$z$787), "", 'Data Entry'!$z$787)</f>
      </c>
      <c r="BG787">
        <f>IF(ISBLANK('Data Entry'!${$787), "", 'Data Entry'!${$787)</f>
      </c>
      <c r="BH787">
        <f>IF(ISBLANK('Data Entry'!$|$787), "", 'Data Entry'!$|$787)</f>
      </c>
      <c r="BI787">
        <f>IF(ISBLANK('Data Entry'!$}$787), "", 'Data Entry'!$}$787)</f>
      </c>
      <c r="BJ787">
        <f>IF(ISBLANK('Data Entry'!$~$787), "", 'Data Entry'!$~$787)</f>
      </c>
      <c r="BK787">
        <f>IF(ISBLANK('Data Entry'!$$787), "", 'Data Entry'!$$787)</f>
      </c>
      <c r="BL787">
        <f>IF(ISBLANK('Data Entry'!$$787), "", 'Data Entry'!$$787)</f>
      </c>
      <c r="BM787">
        <f>IF(ISBLANK('Data Entry'!$$787), "", 'Data Entry'!$$787)</f>
      </c>
      <c r="BN787">
        <f>IF(ISBLANK('Data Entry'!$$787), "", 'Data Entry'!$$787)</f>
      </c>
      <c r="BO787">
        <f>IF(ISBLANK('Data Entry'!$$787), "", 'Data Entry'!$$787)</f>
      </c>
      <c r="BP787">
        <f>IF(ISBLANK('Data Entry'!$$787), "", 'Data Entry'!$$787)</f>
      </c>
      <c r="BQ787">
        <f>IF(ISBLANK('Data Entry'!$$787), "", 'Data Entry'!$$787)</f>
      </c>
      <c r="BR787">
        <f>IF(ISBLANK('Data Entry'!$$787), "", 'Data Entry'!$$787)</f>
      </c>
      <c r="BS787">
        <f>IF(ISBLANK('Data Entry'!$$787), "", 'Data Entry'!$$787)</f>
      </c>
      <c r="BT787">
        <f>IF(ISBLANK('Data Entry'!$$787), "", 'Data Entry'!$$787)</f>
      </c>
      <c r="BU787">
        <f>IF(ISBLANK('Data Entry'!$$787), "", 'Data Entry'!$$787)</f>
      </c>
      <c r="BV787">
        <f>IF(ISBLANK('Data Entry'!$$787), "", 'Data Entry'!$$787)</f>
      </c>
      <c r="BW787">
        <f>IF(ISBLANK('Data Entry'!$$787), "", 'Data Entry'!$$787)</f>
      </c>
      <c r="BX787">
        <f>IF(ISBLANK('Data Entry'!$$787), "", 'Data Entry'!$$787)</f>
      </c>
      <c r="BY787">
        <f>IF(ISBLANK('Data Entry'!$$787), "", 'Data Entry'!$$787)</f>
      </c>
      <c r="BZ787">
        <f>IF(ISBLANK('Data Entry'!$$787), "", 'Data Entry'!$$787)</f>
      </c>
      <c r="CA787">
        <f>IF(ISBLANK('Data Entry'!$$787), "", 'Data Entry'!$$787)</f>
      </c>
      <c r="CB787">
        <f>IF(ISBLANK('Data Entry'!$$787), "", 'Data Entry'!$$787)</f>
      </c>
      <c r="CC787">
        <f>IF(ISBLANK('Data Entry'!$$787), "", 'Data Entry'!$$787)</f>
      </c>
      <c r="CD787">
        <f>IF(ISBLANK('Data Entry'!$$787), "", 'Data Entry'!$$787)</f>
      </c>
      <c r="CE787">
        <f>IF(ISBLANK('Data Entry'!$$787), "", 'Data Entry'!$$787)</f>
      </c>
      <c r="CF787">
        <f>IF(ISBLANK('Data Entry'!$$787), "", 'Data Entry'!$$787)</f>
      </c>
      <c r="CG787">
        <f>IF(ISBLANK('Data Entry'!$$787), "", 'Data Entry'!$$787)</f>
      </c>
      <c r="CH787">
        <f>IF(ISBLANK('Data Entry'!$$787), "", 'Data Entry'!$$787)</f>
      </c>
      <c r="CI787">
        <f>IF(ISBLANK('Data Entry'!$$787), "", 'Data Entry'!$$787)</f>
      </c>
      <c r="CJ787">
        <f>IF(ISBLANK('Data Entry'!$$787), "", 'Data Entry'!$$787)</f>
      </c>
      <c r="CK787">
        <f>IF(ISBLANK('Data Entry'!$$787), "", 'Data Entry'!$$787)</f>
      </c>
      <c r="CL787">
        <f>IF(ISBLANK('Data Entry'!$$787), "", 'Data Entry'!$$787)</f>
      </c>
      <c r="CM787">
        <f>IF(ISBLANK('Data Entry'!$$787), "", 'Data Entry'!$$787)</f>
      </c>
      <c r="CN787">
        <f>IF(ISBLANK('Data Entry'!$$787), "", 'Data Entry'!$$787)</f>
      </c>
      <c r="CO787">
        <f>IF(ISBLANK('Data Entry'!$$787), "", 'Data Entry'!$$787)</f>
      </c>
      <c r="CP787">
        <f>IF(ISBLANK('Data Entry'!$$787), "", 'Data Entry'!$$787)</f>
      </c>
      <c r="CQ787">
        <f>IF(ISBLANK('Data Entry'!$$787), "", 'Data Entry'!$$787)</f>
      </c>
      <c r="CR787">
        <f>IF(ISBLANK('Data Entry'!$ $787), "", 'Data Entry'!$ $787)</f>
      </c>
      <c r="CS787">
        <f>IF(ISBLANK('Data Entry'!$¡$787), "", 'Data Entry'!$¡$787)</f>
      </c>
      <c r="CT787">
        <f>IF(ISBLANK('Data Entry'!$¢$787), "", 'Data Entry'!$¢$787)</f>
      </c>
      <c r="CU787">
        <f>IF(ISBLANK('Data Entry'!$£$787), "", 'Data Entry'!$£$787)</f>
      </c>
      <c r="CV787">
        <f>IF(ISBLANK('Data Entry'!$¤$787), "", 'Data Entry'!$¤$787)</f>
      </c>
      <c r="CW787">
        <f>IF(ISBLANK('Data Entry'!$¥$787), "", 'Data Entry'!$¥$787)</f>
      </c>
      <c r="CX787">
        <f>IF(ISBLANK('Data Entry'!$¦$787), "", 'Data Entry'!$¦$787)</f>
      </c>
      <c r="CY787">
        <f>IF(ISBLANK('Data Entry'!$§$787), "", 'Data Entry'!$§$787)</f>
      </c>
      <c r="CZ787">
        <f>IF(ISBLANK('Data Entry'!$¨$787), "", 'Data Entry'!$¨$787)</f>
      </c>
      <c r="DA787">
        <f>IF(ISBLANK('Data Entry'!$©$787), "", 'Data Entry'!$©$787)</f>
      </c>
      <c r="DB787">
        <f>IF(ISBLANK('Data Entry'!$ª$787), "", 'Data Entry'!$ª$787)</f>
      </c>
      <c r="DC787">
        <f>IF(ISBLANK('Data Entry'!$«$787), "", 'Data Entry'!$«$787)</f>
      </c>
      <c r="DD787">
        <f>IF(ISBLANK('Data Entry'!$¬$787), "", 'Data Entry'!$¬$787)</f>
      </c>
      <c r="DE787">
        <f>IF(ISBLANK('Data Entry'!$­$787), "", 'Data Entry'!$­$787)</f>
      </c>
      <c r="DF787">
        <f>IF(ISBLANK('Data Entry'!$®$787), "", 'Data Entry'!$®$787)</f>
      </c>
      <c r="DG787">
        <f>IF(ISBLANK('Data Entry'!$¯$787), "", 'Data Entry'!$¯$787)</f>
      </c>
      <c r="DH787">
        <f>IF(ISBLANK('Data Entry'!$°$787), "", 'Data Entry'!$°$787)</f>
      </c>
      <c r="DI787">
        <f>IF(ISBLANK('Data Entry'!$±$787), "", 'Data Entry'!$±$787)</f>
      </c>
      <c r="DJ787">
        <f>IF(ISBLANK('Data Entry'!$²$787), "", 'Data Entry'!$²$787)</f>
      </c>
      <c r="DK787">
        <f>IF(ISBLANK('Data Entry'!$³$787), "", 'Data Entry'!$³$787)</f>
      </c>
      <c r="DL787">
        <f>IF(ISBLANK('Data Entry'!$´$787), "", 'Data Entry'!$´$787)</f>
      </c>
      <c r="DM787">
        <f>IF(ISBLANK('Data Entry'!$µ$787), "", 'Data Entry'!$µ$787)</f>
      </c>
      <c r="DN787">
        <f>IF(ISBLANK('Data Entry'!$¶$787), "", 'Data Entry'!$¶$787)</f>
      </c>
      <c r="DO787">
        <f>IF(ISBLANK('Data Entry'!$·$787), "", 'Data Entry'!$·$787)</f>
      </c>
      <c r="DP787">
        <f>IF(ISBLANK('Data Entry'!$¸$787), "", 'Data Entry'!$¸$787)</f>
      </c>
      <c r="DQ787">
        <f>IF(ISBLANK('Data Entry'!$¹$787), "", 'Data Entry'!$¹$787)</f>
      </c>
      <c r="DR787">
        <f>IF(ISBLANK('Data Entry'!$º$787), "", 'Data Entry'!$º$787)</f>
      </c>
      <c r="DS787">
        <f>IF(ISBLANK('Data Entry'!$»$787), "", 'Data Entry'!$»$787)</f>
      </c>
      <c r="DT787">
        <f>IF(ISBLANK('Data Entry'!$¼$787), "", 'Data Entry'!$¼$787)</f>
      </c>
      <c r="DU787">
        <f>IF(ISBLANK('Data Entry'!$½$787), "", 'Data Entry'!$½$787)</f>
      </c>
      <c r="DV787">
        <f>IF(ISBLANK('Data Entry'!$¾$787), "", 'Data Entry'!$¾$787)</f>
      </c>
      <c r="DW787">
        <f>IF(ISBLANK('Data Entry'!$¿$787), "", 'Data Entry'!$¿$787)</f>
      </c>
      <c r="DX787">
        <f>IF(ISBLANK('Data Entry'!$À$787), "", 'Data Entry'!$À$787)</f>
      </c>
      <c r="DY787">
        <f>IF(ISBLANK('Data Entry'!$Á$787), "", 'Data Entry'!$Á$787)</f>
      </c>
      <c r="DZ787">
        <f>IF(ISBLANK('Data Entry'!$Â$787), "", 'Data Entry'!$Â$787)</f>
      </c>
      <c r="EA787">
        <f>IF(ISBLANK('Data Entry'!$Ã$787), "", 'Data Entry'!$Ã$787)</f>
      </c>
      <c r="EB787">
        <f>IF(ISBLANK('Data Entry'!$Ä$787), "", 'Data Entry'!$Ä$787)</f>
      </c>
      <c r="EC787">
        <f>IF(ISBLANK('Data Entry'!$Å$787), "", 'Data Entry'!$Å$787)</f>
      </c>
      <c r="ED787">
        <f>IF(ISBLANK('Data Entry'!$Æ$787), "", 'Data Entry'!$Æ$787)</f>
      </c>
      <c r="EE787">
        <f>IF(ISBLANK('Data Entry'!$Ç$787), "", 'Data Entry'!$Ç$787)</f>
      </c>
      <c r="EF787">
        <f>IF(ISBLANK('Data Entry'!$È$787), "", 'Data Entry'!$È$787)</f>
      </c>
      <c r="EG787">
        <f>IF(ISBLANK('Data Entry'!$É$787), "", 'Data Entry'!$É$787)</f>
      </c>
      <c r="EH787">
        <f>IF(ISBLANK('Data Entry'!$Ê$787), "", 'Data Entry'!$Ê$787)</f>
      </c>
      <c r="EI787">
        <f>IF(ISBLANK('Data Entry'!$Ë$787), "", 'Data Entry'!$Ë$787)</f>
      </c>
      <c r="EJ787">
        <f>IF(ISBLANK('Data Entry'!$Ì$787), "", 'Data Entry'!$Ì$787)</f>
      </c>
      <c r="EK787">
        <f>IF(ISBLANK('Data Entry'!$Í$787), "", 'Data Entry'!$Í$787)</f>
      </c>
      <c r="EL787">
        <f>IF(ISBLANK('Data Entry'!$Î$787), "", 'Data Entry'!$Î$787)</f>
      </c>
      <c r="EM787">
        <f>IF(ISBLANK('Data Entry'!$Ï$787), "", 'Data Entry'!$Ï$787)</f>
      </c>
      <c r="EN787">
        <f>IF(ISBLANK('Data Entry'!$Ð$787), "", 'Data Entry'!$Ð$787)</f>
      </c>
      <c r="EO787">
        <f>IF(ISBLANK('Data Entry'!$Ñ$787), "", 'Data Entry'!$Ñ$787)</f>
      </c>
      <c r="EP787">
        <f>IF(ISBLANK('Data Entry'!$Ò$787), "", 'Data Entry'!$Ò$787)</f>
      </c>
      <c r="EQ787">
        <f>IF(ISBLANK('Data Entry'!$Ó$787), "", 'Data Entry'!$Ó$787)</f>
      </c>
      <c r="ER787">
        <f>IF(ISBLANK('Data Entry'!$Ô$787), "", 'Data Entry'!$Ô$787)</f>
      </c>
      <c r="ES787">
        <f>IF(ISBLANK('Data Entry'!$Õ$787), "", 'Data Entry'!$Õ$787)</f>
      </c>
      <c r="ET787">
        <f>IF(ISBLANK('Data Entry'!$Ö$787), "", 'Data Entry'!$Ö$787)</f>
      </c>
      <c r="EU787">
        <f>IF(ISBLANK('Data Entry'!$×$787), "", 'Data Entry'!$×$787)</f>
      </c>
      <c r="EV787">
        <f>IF(ISBLANK('Data Entry'!$Ø$787), "", 'Data Entry'!$Ø$787)</f>
      </c>
      <c r="EW787">
        <f>IF(ISBLANK('Data Entry'!$Ù$787), "", 'Data Entry'!$Ù$787)</f>
      </c>
      <c r="EX787">
        <f>IF(ISBLANK('Data Entry'!$Ú$787), "", 'Data Entry'!$Ú$787)</f>
      </c>
      <c r="EY787">
        <f>IF(ISBLANK('Data Entry'!$Û$787), "", 'Data Entry'!$Û$787)</f>
      </c>
      <c r="EZ787">
        <f>IF(ISBLANK('Data Entry'!$Ü$787), "", 'Data Entry'!$Ü$787)</f>
      </c>
      <c r="FA787">
        <f>IF(ISBLANK('Data Entry'!$Ý$787), "", 'Data Entry'!$Ý$787)</f>
      </c>
      <c r="FB787">
        <f>IF(ISBLANK('Data Entry'!$Þ$787), "", 'Data Entry'!$Þ$787)</f>
      </c>
      <c r="FC787">
        <f>IF(ISBLANK('Data Entry'!$ß$787), "", 'Data Entry'!$ß$787)</f>
      </c>
      <c r="FD787">
        <f>IF(ISBLANK('Data Entry'!$à$787), "", 'Data Entry'!$à$787)</f>
      </c>
      <c r="FE787">
        <f>IF(ISBLANK('Data Entry'!$á$787), "", 'Data Entry'!$á$787)</f>
      </c>
      <c r="FF787">
        <f>IF(ISBLANK('Data Entry'!$â$787), "", 'Data Entry'!$â$787)</f>
      </c>
      <c r="FG787">
        <f>IF(ISBLANK('Data Entry'!$ã$787), "", 'Data Entry'!$ã$787)</f>
      </c>
      <c r="FH787">
        <f>IF(ISBLANK('Data Entry'!$ä$787), "", 'Data Entry'!$ä$787)</f>
      </c>
      <c r="FI787">
        <f>IF(ISBLANK('Data Entry'!$å$787), "", 'Data Entry'!$å$787)</f>
      </c>
      <c r="FJ787">
        <f>IF(ISBLANK('Data Entry'!$æ$787), "", 'Data Entry'!$æ$787)</f>
      </c>
      <c r="FK787">
        <f>IF(ISBLANK('Data Entry'!$ç$787), "", 'Data Entry'!$ç$787)</f>
      </c>
      <c r="FL787">
        <f>IF(ISBLANK('Data Entry'!$è$787), "", 'Data Entry'!$è$787)</f>
      </c>
      <c r="FM787">
        <f>IF(ISBLANK('Data Entry'!$é$787), "", 'Data Entry'!$é$787)</f>
      </c>
      <c r="FN787">
        <f>IF(ISBLANK('Data Entry'!$ê$787), "", 'Data Entry'!$ê$787)</f>
      </c>
      <c r="FO787">
        <f>IF(ISBLANK('Data Entry'!$ë$787), "", 'Data Entry'!$ë$787)</f>
      </c>
      <c r="FP787">
        <f>IF(ISBLANK('Data Entry'!$ì$787), "", 'Data Entry'!$ì$787)</f>
      </c>
      <c r="FQ787">
        <f>IF(ISBLANK('Data Entry'!$í$787), "", 'Data Entry'!$í$787)</f>
      </c>
      <c r="FR787">
        <f>IF(ISBLANK('Data Entry'!$î$787), "", 'Data Entry'!$î$787)</f>
      </c>
      <c r="FS787">
        <f>IF(ISBLANK('Data Entry'!$ï$787), "", 'Data Entry'!$ï$787)</f>
      </c>
      <c r="FT787">
        <f>IF(ISBLANK('Data Entry'!$ð$787), "", 'Data Entry'!$ð$787)</f>
      </c>
      <c r="FU787">
        <f>IF(ISBLANK('Data Entry'!$ñ$787), "", 'Data Entry'!$ñ$787)</f>
      </c>
      <c r="FV787">
        <f>IF(ISBLANK('Data Entry'!$ò$787), "", 'Data Entry'!$ò$787)</f>
      </c>
      <c r="FW787">
        <f>IF(ISBLANK('Data Entry'!$ó$787), "", 'Data Entry'!$ó$787)</f>
      </c>
      <c r="FX787">
        <f>IF(ISBLANK('Data Entry'!$ô$787), "", 'Data Entry'!$ô$787)</f>
      </c>
      <c r="FY787">
        <f>IF(ISBLANK('Data Entry'!$õ$787), "", 'Data Entry'!$õ$787)</f>
      </c>
      <c r="FZ787">
        <f>IF(ISBLANK('Data Entry'!$ö$787), "", 'Data Entry'!$ö$787)</f>
      </c>
      <c r="GA787">
        <f>IF(ISBLANK('Data Entry'!$÷$787), "", 'Data Entry'!$÷$787)</f>
      </c>
      <c r="GB787">
        <f>IF(ISBLANK('Data Entry'!$ø$787), "", 'Data Entry'!$ø$787)</f>
      </c>
      <c r="GC787">
        <f>IF(ISBLANK('Data Entry'!$ù$787), "", 'Data Entry'!$ù$787)</f>
      </c>
      <c r="GD787">
        <f>IF(ISBLANK('Data Entry'!$ú$787), "", 'Data Entry'!$ú$787)</f>
      </c>
      <c r="GE787">
        <f>IF(ISBLANK('Data Entry'!$û$787), "", 'Data Entry'!$û$787)</f>
      </c>
      <c r="GF787">
        <f>IF(ISBLANK('Data Entry'!$ü$787), "", 'Data Entry'!$ü$787)</f>
      </c>
      <c r="GG787">
        <f>IF(ISBLANK('Data Entry'!$ý$787), "", 'Data Entry'!$ý$787)</f>
      </c>
      <c r="GH787">
        <f>IF(ISBLANK('Data Entry'!$þ$787), "", 'Data Entry'!$þ$787)</f>
      </c>
      <c r="GI787">
        <f>IF(ISBLANK('Data Entry'!$ÿ$787), "", 'Data Entry'!$ÿ$787)</f>
      </c>
      <c r="GJ787">
        <f>IF(ISBLANK('Data Entry'!$Ā$787), "", 'Data Entry'!$Ā$787)</f>
      </c>
      <c r="GK787">
        <f>IF(ISBLANK('Data Entry'!$ā$787), "", 'Data Entry'!$ā$787)</f>
      </c>
      <c r="GL787">
        <f>IF(ISBLANK('Data Entry'!$Ă$787), "", 'Data Entry'!$Ă$787)</f>
      </c>
      <c r="GM787">
        <f>IF(ISBLANK('Data Entry'!$ă$787), "", 'Data Entry'!$ă$787)</f>
      </c>
      <c r="GN787">
        <f>IF(ISBLANK('Data Entry'!$Ą$787), "", 'Data Entry'!$Ą$787)</f>
      </c>
      <c r="GO787">
        <f>IF(ISBLANK('Data Entry'!$ą$787), "", 'Data Entry'!$ą$787)</f>
      </c>
      <c r="GP787">
        <f>IF(ISBLANK('Data Entry'!$Ć$787), "", 'Data Entry'!$Ć$787)</f>
      </c>
      <c r="GQ787">
        <f>IF(ISBLANK('Data Entry'!$ć$787), "", 'Data Entry'!$ć$787)</f>
      </c>
      <c r="GR787">
        <f>IF(ISBLANK('Data Entry'!$Ĉ$787), "", 'Data Entry'!$Ĉ$787)</f>
      </c>
      <c r="GS787">
        <f>IF(ISBLANK('Data Entry'!$ĉ$787), "", 'Data Entry'!$ĉ$787)</f>
      </c>
      <c r="GT787">
        <f>IF(ISBLANK('Data Entry'!$Ċ$787), "", 'Data Entry'!$Ċ$787)</f>
      </c>
      <c r="GU787">
        <f>IF(ISBLANK('Data Entry'!$ċ$787), "", 'Data Entry'!$ċ$787)</f>
      </c>
      <c r="GV787">
        <f>IF(ISBLANK('Data Entry'!$Č$787), "", 'Data Entry'!$Č$787)</f>
      </c>
      <c r="GW787">
        <f>IF(ISBLANK('Data Entry'!$č$787), "", 'Data Entry'!$č$787)</f>
      </c>
      <c r="GX787">
        <f>IF(ISBLANK('Data Entry'!$Ď$787), "", 'Data Entry'!$Ď$787)</f>
      </c>
      <c r="GY787">
        <f>IF(ISBLANK('Data Entry'!$ď$787), "", 'Data Entry'!$ď$787)</f>
      </c>
      <c r="GZ787">
        <f>IF(ISBLANK('Data Entry'!$Đ$787), "", 'Data Entry'!$Đ$787)</f>
      </c>
      <c r="HA787">
        <f>IF(ISBLANK('Data Entry'!$đ$787), "", 'Data Entry'!$đ$787)</f>
      </c>
      <c r="HB787">
        <f>IF(ISBLANK('Data Entry'!$Ē$787), "", 'Data Entry'!$Ē$787)</f>
      </c>
      <c r="HC787">
        <f>IF(ISBLANK('Data Entry'!$ē$787), "", 'Data Entry'!$ē$787)</f>
      </c>
      <c r="HD787">
        <f>IF(ISBLANK('Data Entry'!$Ĕ$787), "", 'Data Entry'!$Ĕ$787)</f>
      </c>
      <c r="HE787">
        <f>IF(ISBLANK('Data Entry'!$ĕ$787), "", 'Data Entry'!$ĕ$787)</f>
      </c>
      <c r="HF787">
        <f>IF(ISBLANK('Data Entry'!$Ė$787), "", 'Data Entry'!$Ė$787)</f>
      </c>
      <c r="HG787">
        <f>IF(ISBLANK('Data Entry'!$ė$787), "", 'Data Entry'!$ė$787)</f>
      </c>
      <c r="HH787">
        <f>IF(ISBLANK('Data Entry'!$Ę$787), "", 'Data Entry'!$Ę$787)</f>
      </c>
      <c r="HI787">
        <f>IF(ISBLANK('Data Entry'!$ę$787), "", 'Data Entry'!$ę$787)</f>
      </c>
      <c r="HJ787">
        <f>IF(ISBLANK('Data Entry'!$Ě$787), "", 'Data Entry'!$Ě$787)</f>
      </c>
      <c r="HK787">
        <f>IF(ISBLANK('Data Entry'!$ě$787), "", 'Data Entry'!$ě$787)</f>
      </c>
      <c r="HL787">
        <f>IF(ISBLANK('Data Entry'!$Ĝ$787), "", 'Data Entry'!$Ĝ$787)</f>
      </c>
      <c r="HM787">
        <f>IF(ISBLANK('Data Entry'!$ĝ$787), "", 'Data Entry'!$ĝ$787)</f>
      </c>
      <c r="HN787">
        <f>IF(ISBLANK('Data Entry'!$Ğ$787), "", 'Data Entry'!$Ğ$787)</f>
      </c>
      <c r="HO787">
        <f>IF(ISBLANK('Data Entry'!$ğ$787), "", 'Data Entry'!$ğ$787)</f>
      </c>
      <c r="HP787">
        <f>IF(ISBLANK('Data Entry'!$Ġ$787), "", 'Data Entry'!$Ġ$787)</f>
      </c>
      <c r="HQ787">
        <f>IF(ISBLANK('Data Entry'!$ġ$787), "", 'Data Entry'!$ġ$787)</f>
      </c>
      <c r="HR787">
        <f>IF(ISBLANK('Data Entry'!$Ģ$787), "", 'Data Entry'!$Ģ$787)</f>
      </c>
      <c r="HS787">
        <f>IF(ISBLANK('Data Entry'!$ģ$787), "", 'Data Entry'!$ģ$787)</f>
      </c>
      <c r="HT787">
        <f>IF(ISBLANK('Data Entry'!$Ĥ$787), "", 'Data Entry'!$Ĥ$787)</f>
      </c>
      <c r="HU787">
        <f>IF(ISBLANK('Data Entry'!$ĥ$787), "", 'Data Entry'!$ĥ$787)</f>
      </c>
      <c r="HV787">
        <f>IF(ISBLANK('Data Entry'!$Ħ$787), "", 'Data Entry'!$Ħ$787)</f>
      </c>
      <c r="HW787">
        <f>IF(ISBLANK('Data Entry'!$ħ$787), "", 'Data Entry'!$ħ$787)</f>
      </c>
      <c r="HX787">
        <f>IF(ISBLANK('Data Entry'!$Ĩ$787), "", 'Data Entry'!$Ĩ$787)</f>
      </c>
      <c r="HY787">
        <f>IF(ISBLANK('Data Entry'!$ĩ$787), "", 'Data Entry'!$ĩ$787)</f>
      </c>
      <c r="HZ787">
        <f>IF(ISBLANK('Data Entry'!$Ī$787), "", 'Data Entry'!$Ī$787)</f>
      </c>
      <c r="IA787">
        <f>IF(ISBLANK('Data Entry'!$ī$787), "", 'Data Entry'!$ī$787)</f>
      </c>
      <c r="IB787">
        <f>IF(ISBLANK('Data Entry'!$Ĭ$787), "", 'Data Entry'!$Ĭ$787)</f>
      </c>
      <c r="IC787">
        <f>IF(ISBLANK('Data Entry'!$ĭ$787), "", 'Data Entry'!$ĭ$787)</f>
      </c>
      <c r="ID787">
        <f>IF(ISBLANK('Data Entry'!$Į$787), "", 'Data Entry'!$Į$787)</f>
      </c>
      <c r="IE787">
        <f>IF(ISBLANK('Data Entry'!$į$787), "", 'Data Entry'!$į$787)</f>
      </c>
      <c r="IF787">
        <f>IF(ISBLANK('Data Entry'!$İ$787), "", 'Data Entry'!$İ$787)</f>
      </c>
      <c r="IG787">
        <f>IF(ISBLANK('Data Entry'!$ı$787), "", 'Data Entry'!$ı$787)</f>
      </c>
      <c r="IH787">
        <f>IF(ISBLANK('Data Entry'!$Ĳ$787), "", 'Data Entry'!$Ĳ$787)</f>
      </c>
      <c r="II787">
        <f>IF(ISBLANK('Data Entry'!$ĳ$787), "", 'Data Entry'!$ĳ$787)</f>
      </c>
      <c r="IJ787">
        <f>IF(ISBLANK('Data Entry'!$Ĵ$787), "", 'Data Entry'!$Ĵ$787)</f>
      </c>
      <c r="IK787">
        <f>IF(ISBLANK('Data Entry'!$ĵ$787), "", 'Data Entry'!$ĵ$787)</f>
      </c>
      <c r="IL787">
        <f>IF(ISBLANK('Data Entry'!$Ķ$787), "", 'Data Entry'!$Ķ$787)</f>
      </c>
      <c r="IM787">
        <f>IF(ISBLANK('Data Entry'!$ķ$787), "", 'Data Entry'!$ķ$787)</f>
      </c>
      <c r="IN787">
        <f>IF(ISBLANK('Data Entry'!$ĸ$787), "", 'Data Entry'!$ĸ$787)</f>
      </c>
      <c r="IO787">
        <f>IF(ISBLANK('Data Entry'!$Ĺ$787), "", 'Data Entry'!$Ĺ$787)</f>
      </c>
      <c r="IP787">
        <f>IF(ISBLANK('Data Entry'!$ĺ$787), "", 'Data Entry'!$ĺ$787)</f>
      </c>
      <c r="IQ787">
        <f>IF(ISBLANK('Data Entry'!$Ļ$787), "", 'Data Entry'!$Ļ$787)</f>
      </c>
      <c r="IR787">
        <f>IF(ISBLANK('Data Entry'!$ļ$787), "", 'Data Entry'!$ļ$787)</f>
      </c>
      <c r="IS787">
        <f>IF(ISBLANK('Data Entry'!$Ľ$787), "", 'Data Entry'!$Ľ$787)</f>
      </c>
      <c r="IT787">
        <f>IF(ISBLANK('Data Entry'!$ľ$787), "", 'Data Entry'!$ľ$787)</f>
      </c>
    </row>
    <row r="788" spans="1:254" x14ac:dyDescent="0.25">
      <c r="A788">
        <f>IF(ISBLANK('Data Entry'!$A$788), "", 'Data Entry'!$A$788)</f>
      </c>
      <c r="B788">
        <f>IF(ISBLANK('Data Entry'!$B$788), "", 'Data Entry'!$B$788)</f>
      </c>
      <c r="C788">
        <f>IF(ISBLANK('Data Entry'!$C$788), "", 'Data Entry'!$C$788)</f>
      </c>
      <c r="D788">
        <f>IF(ISBLANK('Data Entry'!$D$788), "", 'Data Entry'!$D$788)</f>
      </c>
      <c r="E788">
        <f>IF(ISBLANK('Data Entry'!$E$788), "", 'Data Entry'!$E$788)</f>
      </c>
      <c r="F788">
        <f>IF(ISBLANK('Data Entry'!$F$788), "", 'Data Entry'!$F$788)</f>
      </c>
      <c r="G788">
        <f>IF(ISBLANK('Data Entry'!$G$788), "", 'Data Entry'!$G$788)</f>
      </c>
      <c r="H788">
        <f>IF(ISBLANK('Data Entry'!$H$788), "", 'Data Entry'!$H$788)</f>
      </c>
      <c r="I788">
        <f>IF(ISBLANK('Data Entry'!$I$788), "", 'Data Entry'!$I$788)</f>
      </c>
      <c r="J788">
        <f>IF(ISBLANK('Data Entry'!$J$788), "", 'Data Entry'!$J$788)</f>
      </c>
      <c r="K788">
        <f>IF(ISBLANK('Data Entry'!$K$788), "", 'Data Entry'!$K$788)</f>
      </c>
      <c r="L788">
        <f>IF(ISBLANK('Data Entry'!$L$788), "", 'Data Entry'!$L$788)</f>
      </c>
      <c r="M788">
        <f>IF(ISBLANK('Data Entry'!$M$788), "", 'Data Entry'!$M$788)</f>
      </c>
      <c r="N788">
        <f>IF(ISBLANK('Data Entry'!$N$788), "", 'Data Entry'!$N$788)</f>
      </c>
      <c r="O788">
        <f>IF(ISBLANK('Data Entry'!$O$788), "", 'Data Entry'!$O$788)</f>
      </c>
      <c r="P788">
        <f>IF(ISBLANK('Data Entry'!$P$788), "", 'Data Entry'!$P$788)</f>
      </c>
      <c r="Q788">
        <f>IF(ISBLANK('Data Entry'!$Q$788), "", 'Data Entry'!$Q$788)</f>
      </c>
      <c r="R788">
        <f>IF(ISBLANK('Data Entry'!$R$788), "", 'Data Entry'!$R$788)</f>
      </c>
      <c r="S788">
        <f>IF(ISBLANK('Data Entry'!$S$788), "", 'Data Entry'!$S$788)</f>
      </c>
      <c r="T788">
        <f>IF(ISBLANK('Data Entry'!$T$788), "", 'Data Entry'!$T$788)</f>
      </c>
      <c r="U788">
        <f>IF(ISBLANK('Data Entry'!$U$788), "", 'Data Entry'!$U$788)</f>
      </c>
      <c r="V788">
        <f>IF(ISBLANK('Data Entry'!$V$788), "", 'Data Entry'!$V$788)</f>
      </c>
      <c r="W788">
        <f>IF(ISBLANK('Data Entry'!$W$788), "", 'Data Entry'!$W$788)</f>
      </c>
      <c r="X788">
        <f>IF(ISBLANK('Data Entry'!$X$788), "", 'Data Entry'!$X$788)</f>
      </c>
      <c r="Y788">
        <f>IF(ISBLANK('Data Entry'!$Y$788), "", 'Data Entry'!$Y$788)</f>
      </c>
      <c r="Z788">
        <f>IF(ISBLANK('Data Entry'!$Z$788), "", 'Data Entry'!$Z$788)</f>
      </c>
      <c r="AA788">
        <f>IF(ISBLANK('Data Entry'!$[$788), "", 'Data Entry'!$[$788)</f>
      </c>
      <c r="AB788">
        <f>IF(ISBLANK('Data Entry'!$\$788), "", 'Data Entry'!$\$788)</f>
      </c>
      <c r="AC788">
        <f>IF(ISBLANK('Data Entry'!$]$788), "", 'Data Entry'!$]$788)</f>
      </c>
      <c r="AD788">
        <f>IF(ISBLANK('Data Entry'!$^$788), "", 'Data Entry'!$^$788)</f>
      </c>
      <c r="AE788">
        <f>IF(ISBLANK('Data Entry'!$_$788), "", 'Data Entry'!$_$788)</f>
      </c>
      <c r="AF788">
        <f>IF(ISBLANK('Data Entry'!$`$788), "", 'Data Entry'!$`$788)</f>
      </c>
      <c r="AG788">
        <f>IF(ISBLANK('Data Entry'!$a$788), "", 'Data Entry'!$a$788)</f>
      </c>
      <c r="AH788">
        <f>IF(ISBLANK('Data Entry'!$b$788), "", 'Data Entry'!$b$788)</f>
      </c>
      <c r="AI788">
        <f>IF(ISBLANK('Data Entry'!$c$788), "", 'Data Entry'!$c$788)</f>
      </c>
      <c r="AJ788">
        <f>IF(ISBLANK('Data Entry'!$d$788), "", 'Data Entry'!$d$788)</f>
      </c>
      <c r="AK788">
        <f>IF(ISBLANK('Data Entry'!$e$788), "", 'Data Entry'!$e$788)</f>
      </c>
      <c r="AL788">
        <f>IF(ISBLANK('Data Entry'!$f$788), "", 'Data Entry'!$f$788)</f>
      </c>
      <c r="AM788">
        <f>IF(ISBLANK('Data Entry'!$g$788), "", 'Data Entry'!$g$788)</f>
      </c>
      <c r="AN788">
        <f>IF(ISBLANK('Data Entry'!$h$788), "", 'Data Entry'!$h$788)</f>
      </c>
      <c r="AO788">
        <f>IF(ISBLANK('Data Entry'!$i$788), "", 'Data Entry'!$i$788)</f>
      </c>
      <c r="AP788">
        <f>IF(ISBLANK('Data Entry'!$j$788), "", 'Data Entry'!$j$788)</f>
      </c>
      <c r="AQ788">
        <f>IF(ISBLANK('Data Entry'!$k$788), "", 'Data Entry'!$k$788)</f>
      </c>
      <c r="AR788">
        <f>IF(ISBLANK('Data Entry'!$l$788), "", 'Data Entry'!$l$788)</f>
      </c>
      <c r="AS788">
        <f>IF(ISBLANK('Data Entry'!$m$788), "", 'Data Entry'!$m$788)</f>
      </c>
      <c r="AT788">
        <f>IF(ISBLANK('Data Entry'!$n$788), "", 'Data Entry'!$n$788)</f>
      </c>
      <c r="AU788">
        <f>IF(ISBLANK('Data Entry'!$o$788), "", 'Data Entry'!$o$788)</f>
      </c>
      <c r="AV788">
        <f>IF(ISBLANK('Data Entry'!$p$788), "", 'Data Entry'!$p$788)</f>
      </c>
      <c r="AW788">
        <f>IF(ISBLANK('Data Entry'!$q$788), "", 'Data Entry'!$q$788)</f>
      </c>
      <c r="AX788">
        <f>IF(ISBLANK('Data Entry'!$r$788), "", 'Data Entry'!$r$788)</f>
      </c>
      <c r="AY788">
        <f>IF(ISBLANK('Data Entry'!$s$788), "", 'Data Entry'!$s$788)</f>
      </c>
      <c r="AZ788">
        <f>IF(ISBLANK('Data Entry'!$t$788), "", 'Data Entry'!$t$788)</f>
      </c>
      <c r="BA788">
        <f>IF(ISBLANK('Data Entry'!$u$788), "", 'Data Entry'!$u$788)</f>
      </c>
      <c r="BB788">
        <f>IF(ISBLANK('Data Entry'!$v$788), "", 'Data Entry'!$v$788)</f>
      </c>
      <c r="BC788">
        <f>IF(ISBLANK('Data Entry'!$w$788), "", 'Data Entry'!$w$788)</f>
      </c>
      <c r="BD788">
        <f>IF(ISBLANK('Data Entry'!$x$788), "", 'Data Entry'!$x$788)</f>
      </c>
      <c r="BE788">
        <f>IF(ISBLANK('Data Entry'!$y$788), "", 'Data Entry'!$y$788)</f>
      </c>
      <c r="BF788">
        <f>IF(ISBLANK('Data Entry'!$z$788), "", 'Data Entry'!$z$788)</f>
      </c>
      <c r="BG788">
        <f>IF(ISBLANK('Data Entry'!${$788), "", 'Data Entry'!${$788)</f>
      </c>
      <c r="BH788">
        <f>IF(ISBLANK('Data Entry'!$|$788), "", 'Data Entry'!$|$788)</f>
      </c>
      <c r="BI788">
        <f>IF(ISBLANK('Data Entry'!$}$788), "", 'Data Entry'!$}$788)</f>
      </c>
      <c r="BJ788">
        <f>IF(ISBLANK('Data Entry'!$~$788), "", 'Data Entry'!$~$788)</f>
      </c>
      <c r="BK788">
        <f>IF(ISBLANK('Data Entry'!$$788), "", 'Data Entry'!$$788)</f>
      </c>
      <c r="BL788">
        <f>IF(ISBLANK('Data Entry'!$$788), "", 'Data Entry'!$$788)</f>
      </c>
      <c r="BM788">
        <f>IF(ISBLANK('Data Entry'!$$788), "", 'Data Entry'!$$788)</f>
      </c>
      <c r="BN788">
        <f>IF(ISBLANK('Data Entry'!$$788), "", 'Data Entry'!$$788)</f>
      </c>
      <c r="BO788">
        <f>IF(ISBLANK('Data Entry'!$$788), "", 'Data Entry'!$$788)</f>
      </c>
      <c r="BP788">
        <f>IF(ISBLANK('Data Entry'!$$788), "", 'Data Entry'!$$788)</f>
      </c>
      <c r="BQ788">
        <f>IF(ISBLANK('Data Entry'!$$788), "", 'Data Entry'!$$788)</f>
      </c>
      <c r="BR788">
        <f>IF(ISBLANK('Data Entry'!$$788), "", 'Data Entry'!$$788)</f>
      </c>
      <c r="BS788">
        <f>IF(ISBLANK('Data Entry'!$$788), "", 'Data Entry'!$$788)</f>
      </c>
      <c r="BT788">
        <f>IF(ISBLANK('Data Entry'!$$788), "", 'Data Entry'!$$788)</f>
      </c>
      <c r="BU788">
        <f>IF(ISBLANK('Data Entry'!$$788), "", 'Data Entry'!$$788)</f>
      </c>
      <c r="BV788">
        <f>IF(ISBLANK('Data Entry'!$$788), "", 'Data Entry'!$$788)</f>
      </c>
      <c r="BW788">
        <f>IF(ISBLANK('Data Entry'!$$788), "", 'Data Entry'!$$788)</f>
      </c>
      <c r="BX788">
        <f>IF(ISBLANK('Data Entry'!$$788), "", 'Data Entry'!$$788)</f>
      </c>
      <c r="BY788">
        <f>IF(ISBLANK('Data Entry'!$$788), "", 'Data Entry'!$$788)</f>
      </c>
      <c r="BZ788">
        <f>IF(ISBLANK('Data Entry'!$$788), "", 'Data Entry'!$$788)</f>
      </c>
      <c r="CA788">
        <f>IF(ISBLANK('Data Entry'!$$788), "", 'Data Entry'!$$788)</f>
      </c>
      <c r="CB788">
        <f>IF(ISBLANK('Data Entry'!$$788), "", 'Data Entry'!$$788)</f>
      </c>
      <c r="CC788">
        <f>IF(ISBLANK('Data Entry'!$$788), "", 'Data Entry'!$$788)</f>
      </c>
      <c r="CD788">
        <f>IF(ISBLANK('Data Entry'!$$788), "", 'Data Entry'!$$788)</f>
      </c>
      <c r="CE788">
        <f>IF(ISBLANK('Data Entry'!$$788), "", 'Data Entry'!$$788)</f>
      </c>
      <c r="CF788">
        <f>IF(ISBLANK('Data Entry'!$$788), "", 'Data Entry'!$$788)</f>
      </c>
      <c r="CG788">
        <f>IF(ISBLANK('Data Entry'!$$788), "", 'Data Entry'!$$788)</f>
      </c>
      <c r="CH788">
        <f>IF(ISBLANK('Data Entry'!$$788), "", 'Data Entry'!$$788)</f>
      </c>
      <c r="CI788">
        <f>IF(ISBLANK('Data Entry'!$$788), "", 'Data Entry'!$$788)</f>
      </c>
      <c r="CJ788">
        <f>IF(ISBLANK('Data Entry'!$$788), "", 'Data Entry'!$$788)</f>
      </c>
      <c r="CK788">
        <f>IF(ISBLANK('Data Entry'!$$788), "", 'Data Entry'!$$788)</f>
      </c>
      <c r="CL788">
        <f>IF(ISBLANK('Data Entry'!$$788), "", 'Data Entry'!$$788)</f>
      </c>
      <c r="CM788">
        <f>IF(ISBLANK('Data Entry'!$$788), "", 'Data Entry'!$$788)</f>
      </c>
      <c r="CN788">
        <f>IF(ISBLANK('Data Entry'!$$788), "", 'Data Entry'!$$788)</f>
      </c>
      <c r="CO788">
        <f>IF(ISBLANK('Data Entry'!$$788), "", 'Data Entry'!$$788)</f>
      </c>
      <c r="CP788">
        <f>IF(ISBLANK('Data Entry'!$$788), "", 'Data Entry'!$$788)</f>
      </c>
      <c r="CQ788">
        <f>IF(ISBLANK('Data Entry'!$$788), "", 'Data Entry'!$$788)</f>
      </c>
      <c r="CR788">
        <f>IF(ISBLANK('Data Entry'!$ $788), "", 'Data Entry'!$ $788)</f>
      </c>
      <c r="CS788">
        <f>IF(ISBLANK('Data Entry'!$¡$788), "", 'Data Entry'!$¡$788)</f>
      </c>
      <c r="CT788">
        <f>IF(ISBLANK('Data Entry'!$¢$788), "", 'Data Entry'!$¢$788)</f>
      </c>
      <c r="CU788">
        <f>IF(ISBLANK('Data Entry'!$£$788), "", 'Data Entry'!$£$788)</f>
      </c>
      <c r="CV788">
        <f>IF(ISBLANK('Data Entry'!$¤$788), "", 'Data Entry'!$¤$788)</f>
      </c>
      <c r="CW788">
        <f>IF(ISBLANK('Data Entry'!$¥$788), "", 'Data Entry'!$¥$788)</f>
      </c>
      <c r="CX788">
        <f>IF(ISBLANK('Data Entry'!$¦$788), "", 'Data Entry'!$¦$788)</f>
      </c>
      <c r="CY788">
        <f>IF(ISBLANK('Data Entry'!$§$788), "", 'Data Entry'!$§$788)</f>
      </c>
      <c r="CZ788">
        <f>IF(ISBLANK('Data Entry'!$¨$788), "", 'Data Entry'!$¨$788)</f>
      </c>
      <c r="DA788">
        <f>IF(ISBLANK('Data Entry'!$©$788), "", 'Data Entry'!$©$788)</f>
      </c>
      <c r="DB788">
        <f>IF(ISBLANK('Data Entry'!$ª$788), "", 'Data Entry'!$ª$788)</f>
      </c>
      <c r="DC788">
        <f>IF(ISBLANK('Data Entry'!$«$788), "", 'Data Entry'!$«$788)</f>
      </c>
      <c r="DD788">
        <f>IF(ISBLANK('Data Entry'!$¬$788), "", 'Data Entry'!$¬$788)</f>
      </c>
      <c r="DE788">
        <f>IF(ISBLANK('Data Entry'!$­$788), "", 'Data Entry'!$­$788)</f>
      </c>
      <c r="DF788">
        <f>IF(ISBLANK('Data Entry'!$®$788), "", 'Data Entry'!$®$788)</f>
      </c>
      <c r="DG788">
        <f>IF(ISBLANK('Data Entry'!$¯$788), "", 'Data Entry'!$¯$788)</f>
      </c>
      <c r="DH788">
        <f>IF(ISBLANK('Data Entry'!$°$788), "", 'Data Entry'!$°$788)</f>
      </c>
      <c r="DI788">
        <f>IF(ISBLANK('Data Entry'!$±$788), "", 'Data Entry'!$±$788)</f>
      </c>
      <c r="DJ788">
        <f>IF(ISBLANK('Data Entry'!$²$788), "", 'Data Entry'!$²$788)</f>
      </c>
      <c r="DK788">
        <f>IF(ISBLANK('Data Entry'!$³$788), "", 'Data Entry'!$³$788)</f>
      </c>
      <c r="DL788">
        <f>IF(ISBLANK('Data Entry'!$´$788), "", 'Data Entry'!$´$788)</f>
      </c>
      <c r="DM788">
        <f>IF(ISBLANK('Data Entry'!$µ$788), "", 'Data Entry'!$µ$788)</f>
      </c>
      <c r="DN788">
        <f>IF(ISBLANK('Data Entry'!$¶$788), "", 'Data Entry'!$¶$788)</f>
      </c>
      <c r="DO788">
        <f>IF(ISBLANK('Data Entry'!$·$788), "", 'Data Entry'!$·$788)</f>
      </c>
      <c r="DP788">
        <f>IF(ISBLANK('Data Entry'!$¸$788), "", 'Data Entry'!$¸$788)</f>
      </c>
      <c r="DQ788">
        <f>IF(ISBLANK('Data Entry'!$¹$788), "", 'Data Entry'!$¹$788)</f>
      </c>
      <c r="DR788">
        <f>IF(ISBLANK('Data Entry'!$º$788), "", 'Data Entry'!$º$788)</f>
      </c>
      <c r="DS788">
        <f>IF(ISBLANK('Data Entry'!$»$788), "", 'Data Entry'!$»$788)</f>
      </c>
      <c r="DT788">
        <f>IF(ISBLANK('Data Entry'!$¼$788), "", 'Data Entry'!$¼$788)</f>
      </c>
      <c r="DU788">
        <f>IF(ISBLANK('Data Entry'!$½$788), "", 'Data Entry'!$½$788)</f>
      </c>
      <c r="DV788">
        <f>IF(ISBLANK('Data Entry'!$¾$788), "", 'Data Entry'!$¾$788)</f>
      </c>
      <c r="DW788">
        <f>IF(ISBLANK('Data Entry'!$¿$788), "", 'Data Entry'!$¿$788)</f>
      </c>
      <c r="DX788">
        <f>IF(ISBLANK('Data Entry'!$À$788), "", 'Data Entry'!$À$788)</f>
      </c>
      <c r="DY788">
        <f>IF(ISBLANK('Data Entry'!$Á$788), "", 'Data Entry'!$Á$788)</f>
      </c>
      <c r="DZ788">
        <f>IF(ISBLANK('Data Entry'!$Â$788), "", 'Data Entry'!$Â$788)</f>
      </c>
      <c r="EA788">
        <f>IF(ISBLANK('Data Entry'!$Ã$788), "", 'Data Entry'!$Ã$788)</f>
      </c>
      <c r="EB788">
        <f>IF(ISBLANK('Data Entry'!$Ä$788), "", 'Data Entry'!$Ä$788)</f>
      </c>
      <c r="EC788">
        <f>IF(ISBLANK('Data Entry'!$Å$788), "", 'Data Entry'!$Å$788)</f>
      </c>
      <c r="ED788">
        <f>IF(ISBLANK('Data Entry'!$Æ$788), "", 'Data Entry'!$Æ$788)</f>
      </c>
      <c r="EE788">
        <f>IF(ISBLANK('Data Entry'!$Ç$788), "", 'Data Entry'!$Ç$788)</f>
      </c>
      <c r="EF788">
        <f>IF(ISBLANK('Data Entry'!$È$788), "", 'Data Entry'!$È$788)</f>
      </c>
      <c r="EG788">
        <f>IF(ISBLANK('Data Entry'!$É$788), "", 'Data Entry'!$É$788)</f>
      </c>
      <c r="EH788">
        <f>IF(ISBLANK('Data Entry'!$Ê$788), "", 'Data Entry'!$Ê$788)</f>
      </c>
      <c r="EI788">
        <f>IF(ISBLANK('Data Entry'!$Ë$788), "", 'Data Entry'!$Ë$788)</f>
      </c>
      <c r="EJ788">
        <f>IF(ISBLANK('Data Entry'!$Ì$788), "", 'Data Entry'!$Ì$788)</f>
      </c>
      <c r="EK788">
        <f>IF(ISBLANK('Data Entry'!$Í$788), "", 'Data Entry'!$Í$788)</f>
      </c>
      <c r="EL788">
        <f>IF(ISBLANK('Data Entry'!$Î$788), "", 'Data Entry'!$Î$788)</f>
      </c>
      <c r="EM788">
        <f>IF(ISBLANK('Data Entry'!$Ï$788), "", 'Data Entry'!$Ï$788)</f>
      </c>
      <c r="EN788">
        <f>IF(ISBLANK('Data Entry'!$Ð$788), "", 'Data Entry'!$Ð$788)</f>
      </c>
      <c r="EO788">
        <f>IF(ISBLANK('Data Entry'!$Ñ$788), "", 'Data Entry'!$Ñ$788)</f>
      </c>
      <c r="EP788">
        <f>IF(ISBLANK('Data Entry'!$Ò$788), "", 'Data Entry'!$Ò$788)</f>
      </c>
      <c r="EQ788">
        <f>IF(ISBLANK('Data Entry'!$Ó$788), "", 'Data Entry'!$Ó$788)</f>
      </c>
      <c r="ER788">
        <f>IF(ISBLANK('Data Entry'!$Ô$788), "", 'Data Entry'!$Ô$788)</f>
      </c>
      <c r="ES788">
        <f>IF(ISBLANK('Data Entry'!$Õ$788), "", 'Data Entry'!$Õ$788)</f>
      </c>
      <c r="ET788">
        <f>IF(ISBLANK('Data Entry'!$Ö$788), "", 'Data Entry'!$Ö$788)</f>
      </c>
      <c r="EU788">
        <f>IF(ISBLANK('Data Entry'!$×$788), "", 'Data Entry'!$×$788)</f>
      </c>
      <c r="EV788">
        <f>IF(ISBLANK('Data Entry'!$Ø$788), "", 'Data Entry'!$Ø$788)</f>
      </c>
      <c r="EW788">
        <f>IF(ISBLANK('Data Entry'!$Ù$788), "", 'Data Entry'!$Ù$788)</f>
      </c>
      <c r="EX788">
        <f>IF(ISBLANK('Data Entry'!$Ú$788), "", 'Data Entry'!$Ú$788)</f>
      </c>
      <c r="EY788">
        <f>IF(ISBLANK('Data Entry'!$Û$788), "", 'Data Entry'!$Û$788)</f>
      </c>
      <c r="EZ788">
        <f>IF(ISBLANK('Data Entry'!$Ü$788), "", 'Data Entry'!$Ü$788)</f>
      </c>
      <c r="FA788">
        <f>IF(ISBLANK('Data Entry'!$Ý$788), "", 'Data Entry'!$Ý$788)</f>
      </c>
      <c r="FB788">
        <f>IF(ISBLANK('Data Entry'!$Þ$788), "", 'Data Entry'!$Þ$788)</f>
      </c>
      <c r="FC788">
        <f>IF(ISBLANK('Data Entry'!$ß$788), "", 'Data Entry'!$ß$788)</f>
      </c>
      <c r="FD788">
        <f>IF(ISBLANK('Data Entry'!$à$788), "", 'Data Entry'!$à$788)</f>
      </c>
      <c r="FE788">
        <f>IF(ISBLANK('Data Entry'!$á$788), "", 'Data Entry'!$á$788)</f>
      </c>
      <c r="FF788">
        <f>IF(ISBLANK('Data Entry'!$â$788), "", 'Data Entry'!$â$788)</f>
      </c>
      <c r="FG788">
        <f>IF(ISBLANK('Data Entry'!$ã$788), "", 'Data Entry'!$ã$788)</f>
      </c>
      <c r="FH788">
        <f>IF(ISBLANK('Data Entry'!$ä$788), "", 'Data Entry'!$ä$788)</f>
      </c>
      <c r="FI788">
        <f>IF(ISBLANK('Data Entry'!$å$788), "", 'Data Entry'!$å$788)</f>
      </c>
      <c r="FJ788">
        <f>IF(ISBLANK('Data Entry'!$æ$788), "", 'Data Entry'!$æ$788)</f>
      </c>
      <c r="FK788">
        <f>IF(ISBLANK('Data Entry'!$ç$788), "", 'Data Entry'!$ç$788)</f>
      </c>
      <c r="FL788">
        <f>IF(ISBLANK('Data Entry'!$è$788), "", 'Data Entry'!$è$788)</f>
      </c>
      <c r="FM788">
        <f>IF(ISBLANK('Data Entry'!$é$788), "", 'Data Entry'!$é$788)</f>
      </c>
      <c r="FN788">
        <f>IF(ISBLANK('Data Entry'!$ê$788), "", 'Data Entry'!$ê$788)</f>
      </c>
      <c r="FO788">
        <f>IF(ISBLANK('Data Entry'!$ë$788), "", 'Data Entry'!$ë$788)</f>
      </c>
      <c r="FP788">
        <f>IF(ISBLANK('Data Entry'!$ì$788), "", 'Data Entry'!$ì$788)</f>
      </c>
      <c r="FQ788">
        <f>IF(ISBLANK('Data Entry'!$í$788), "", 'Data Entry'!$í$788)</f>
      </c>
      <c r="FR788">
        <f>IF(ISBLANK('Data Entry'!$î$788), "", 'Data Entry'!$î$788)</f>
      </c>
      <c r="FS788">
        <f>IF(ISBLANK('Data Entry'!$ï$788), "", 'Data Entry'!$ï$788)</f>
      </c>
      <c r="FT788">
        <f>IF(ISBLANK('Data Entry'!$ð$788), "", 'Data Entry'!$ð$788)</f>
      </c>
      <c r="FU788">
        <f>IF(ISBLANK('Data Entry'!$ñ$788), "", 'Data Entry'!$ñ$788)</f>
      </c>
      <c r="FV788">
        <f>IF(ISBLANK('Data Entry'!$ò$788), "", 'Data Entry'!$ò$788)</f>
      </c>
      <c r="FW788">
        <f>IF(ISBLANK('Data Entry'!$ó$788), "", 'Data Entry'!$ó$788)</f>
      </c>
      <c r="FX788">
        <f>IF(ISBLANK('Data Entry'!$ô$788), "", 'Data Entry'!$ô$788)</f>
      </c>
      <c r="FY788">
        <f>IF(ISBLANK('Data Entry'!$õ$788), "", 'Data Entry'!$õ$788)</f>
      </c>
      <c r="FZ788">
        <f>IF(ISBLANK('Data Entry'!$ö$788), "", 'Data Entry'!$ö$788)</f>
      </c>
      <c r="GA788">
        <f>IF(ISBLANK('Data Entry'!$÷$788), "", 'Data Entry'!$÷$788)</f>
      </c>
      <c r="GB788">
        <f>IF(ISBLANK('Data Entry'!$ø$788), "", 'Data Entry'!$ø$788)</f>
      </c>
      <c r="GC788">
        <f>IF(ISBLANK('Data Entry'!$ù$788), "", 'Data Entry'!$ù$788)</f>
      </c>
      <c r="GD788">
        <f>IF(ISBLANK('Data Entry'!$ú$788), "", 'Data Entry'!$ú$788)</f>
      </c>
      <c r="GE788">
        <f>IF(ISBLANK('Data Entry'!$û$788), "", 'Data Entry'!$û$788)</f>
      </c>
      <c r="GF788">
        <f>IF(ISBLANK('Data Entry'!$ü$788), "", 'Data Entry'!$ü$788)</f>
      </c>
      <c r="GG788">
        <f>IF(ISBLANK('Data Entry'!$ý$788), "", 'Data Entry'!$ý$788)</f>
      </c>
      <c r="GH788">
        <f>IF(ISBLANK('Data Entry'!$þ$788), "", 'Data Entry'!$þ$788)</f>
      </c>
      <c r="GI788">
        <f>IF(ISBLANK('Data Entry'!$ÿ$788), "", 'Data Entry'!$ÿ$788)</f>
      </c>
      <c r="GJ788">
        <f>IF(ISBLANK('Data Entry'!$Ā$788), "", 'Data Entry'!$Ā$788)</f>
      </c>
      <c r="GK788">
        <f>IF(ISBLANK('Data Entry'!$ā$788), "", 'Data Entry'!$ā$788)</f>
      </c>
      <c r="GL788">
        <f>IF(ISBLANK('Data Entry'!$Ă$788), "", 'Data Entry'!$Ă$788)</f>
      </c>
      <c r="GM788">
        <f>IF(ISBLANK('Data Entry'!$ă$788), "", 'Data Entry'!$ă$788)</f>
      </c>
      <c r="GN788">
        <f>IF(ISBLANK('Data Entry'!$Ą$788), "", 'Data Entry'!$Ą$788)</f>
      </c>
      <c r="GO788">
        <f>IF(ISBLANK('Data Entry'!$ą$788), "", 'Data Entry'!$ą$788)</f>
      </c>
      <c r="GP788">
        <f>IF(ISBLANK('Data Entry'!$Ć$788), "", 'Data Entry'!$Ć$788)</f>
      </c>
      <c r="GQ788">
        <f>IF(ISBLANK('Data Entry'!$ć$788), "", 'Data Entry'!$ć$788)</f>
      </c>
      <c r="GR788">
        <f>IF(ISBLANK('Data Entry'!$Ĉ$788), "", 'Data Entry'!$Ĉ$788)</f>
      </c>
      <c r="GS788">
        <f>IF(ISBLANK('Data Entry'!$ĉ$788), "", 'Data Entry'!$ĉ$788)</f>
      </c>
      <c r="GT788">
        <f>IF(ISBLANK('Data Entry'!$Ċ$788), "", 'Data Entry'!$Ċ$788)</f>
      </c>
      <c r="GU788">
        <f>IF(ISBLANK('Data Entry'!$ċ$788), "", 'Data Entry'!$ċ$788)</f>
      </c>
      <c r="GV788">
        <f>IF(ISBLANK('Data Entry'!$Č$788), "", 'Data Entry'!$Č$788)</f>
      </c>
      <c r="GW788">
        <f>IF(ISBLANK('Data Entry'!$č$788), "", 'Data Entry'!$č$788)</f>
      </c>
      <c r="GX788">
        <f>IF(ISBLANK('Data Entry'!$Ď$788), "", 'Data Entry'!$Ď$788)</f>
      </c>
      <c r="GY788">
        <f>IF(ISBLANK('Data Entry'!$ď$788), "", 'Data Entry'!$ď$788)</f>
      </c>
      <c r="GZ788">
        <f>IF(ISBLANK('Data Entry'!$Đ$788), "", 'Data Entry'!$Đ$788)</f>
      </c>
      <c r="HA788">
        <f>IF(ISBLANK('Data Entry'!$đ$788), "", 'Data Entry'!$đ$788)</f>
      </c>
      <c r="HB788">
        <f>IF(ISBLANK('Data Entry'!$Ē$788), "", 'Data Entry'!$Ē$788)</f>
      </c>
      <c r="HC788">
        <f>IF(ISBLANK('Data Entry'!$ē$788), "", 'Data Entry'!$ē$788)</f>
      </c>
      <c r="HD788">
        <f>IF(ISBLANK('Data Entry'!$Ĕ$788), "", 'Data Entry'!$Ĕ$788)</f>
      </c>
      <c r="HE788">
        <f>IF(ISBLANK('Data Entry'!$ĕ$788), "", 'Data Entry'!$ĕ$788)</f>
      </c>
      <c r="HF788">
        <f>IF(ISBLANK('Data Entry'!$Ė$788), "", 'Data Entry'!$Ė$788)</f>
      </c>
      <c r="HG788">
        <f>IF(ISBLANK('Data Entry'!$ė$788), "", 'Data Entry'!$ė$788)</f>
      </c>
      <c r="HH788">
        <f>IF(ISBLANK('Data Entry'!$Ę$788), "", 'Data Entry'!$Ę$788)</f>
      </c>
      <c r="HI788">
        <f>IF(ISBLANK('Data Entry'!$ę$788), "", 'Data Entry'!$ę$788)</f>
      </c>
      <c r="HJ788">
        <f>IF(ISBLANK('Data Entry'!$Ě$788), "", 'Data Entry'!$Ě$788)</f>
      </c>
      <c r="HK788">
        <f>IF(ISBLANK('Data Entry'!$ě$788), "", 'Data Entry'!$ě$788)</f>
      </c>
      <c r="HL788">
        <f>IF(ISBLANK('Data Entry'!$Ĝ$788), "", 'Data Entry'!$Ĝ$788)</f>
      </c>
      <c r="HM788">
        <f>IF(ISBLANK('Data Entry'!$ĝ$788), "", 'Data Entry'!$ĝ$788)</f>
      </c>
      <c r="HN788">
        <f>IF(ISBLANK('Data Entry'!$Ğ$788), "", 'Data Entry'!$Ğ$788)</f>
      </c>
      <c r="HO788">
        <f>IF(ISBLANK('Data Entry'!$ğ$788), "", 'Data Entry'!$ğ$788)</f>
      </c>
      <c r="HP788">
        <f>IF(ISBLANK('Data Entry'!$Ġ$788), "", 'Data Entry'!$Ġ$788)</f>
      </c>
      <c r="HQ788">
        <f>IF(ISBLANK('Data Entry'!$ġ$788), "", 'Data Entry'!$ġ$788)</f>
      </c>
      <c r="HR788">
        <f>IF(ISBLANK('Data Entry'!$Ģ$788), "", 'Data Entry'!$Ģ$788)</f>
      </c>
      <c r="HS788">
        <f>IF(ISBLANK('Data Entry'!$ģ$788), "", 'Data Entry'!$ģ$788)</f>
      </c>
      <c r="HT788">
        <f>IF(ISBLANK('Data Entry'!$Ĥ$788), "", 'Data Entry'!$Ĥ$788)</f>
      </c>
      <c r="HU788">
        <f>IF(ISBLANK('Data Entry'!$ĥ$788), "", 'Data Entry'!$ĥ$788)</f>
      </c>
      <c r="HV788">
        <f>IF(ISBLANK('Data Entry'!$Ħ$788), "", 'Data Entry'!$Ħ$788)</f>
      </c>
      <c r="HW788">
        <f>IF(ISBLANK('Data Entry'!$ħ$788), "", 'Data Entry'!$ħ$788)</f>
      </c>
      <c r="HX788">
        <f>IF(ISBLANK('Data Entry'!$Ĩ$788), "", 'Data Entry'!$Ĩ$788)</f>
      </c>
      <c r="HY788">
        <f>IF(ISBLANK('Data Entry'!$ĩ$788), "", 'Data Entry'!$ĩ$788)</f>
      </c>
      <c r="HZ788">
        <f>IF(ISBLANK('Data Entry'!$Ī$788), "", 'Data Entry'!$Ī$788)</f>
      </c>
      <c r="IA788">
        <f>IF(ISBLANK('Data Entry'!$ī$788), "", 'Data Entry'!$ī$788)</f>
      </c>
      <c r="IB788">
        <f>IF(ISBLANK('Data Entry'!$Ĭ$788), "", 'Data Entry'!$Ĭ$788)</f>
      </c>
      <c r="IC788">
        <f>IF(ISBLANK('Data Entry'!$ĭ$788), "", 'Data Entry'!$ĭ$788)</f>
      </c>
      <c r="ID788">
        <f>IF(ISBLANK('Data Entry'!$Į$788), "", 'Data Entry'!$Į$788)</f>
      </c>
      <c r="IE788">
        <f>IF(ISBLANK('Data Entry'!$į$788), "", 'Data Entry'!$į$788)</f>
      </c>
      <c r="IF788">
        <f>IF(ISBLANK('Data Entry'!$İ$788), "", 'Data Entry'!$İ$788)</f>
      </c>
      <c r="IG788">
        <f>IF(ISBLANK('Data Entry'!$ı$788), "", 'Data Entry'!$ı$788)</f>
      </c>
      <c r="IH788">
        <f>IF(ISBLANK('Data Entry'!$Ĳ$788), "", 'Data Entry'!$Ĳ$788)</f>
      </c>
      <c r="II788">
        <f>IF(ISBLANK('Data Entry'!$ĳ$788), "", 'Data Entry'!$ĳ$788)</f>
      </c>
      <c r="IJ788">
        <f>IF(ISBLANK('Data Entry'!$Ĵ$788), "", 'Data Entry'!$Ĵ$788)</f>
      </c>
      <c r="IK788">
        <f>IF(ISBLANK('Data Entry'!$ĵ$788), "", 'Data Entry'!$ĵ$788)</f>
      </c>
      <c r="IL788">
        <f>IF(ISBLANK('Data Entry'!$Ķ$788), "", 'Data Entry'!$Ķ$788)</f>
      </c>
      <c r="IM788">
        <f>IF(ISBLANK('Data Entry'!$ķ$788), "", 'Data Entry'!$ķ$788)</f>
      </c>
      <c r="IN788">
        <f>IF(ISBLANK('Data Entry'!$ĸ$788), "", 'Data Entry'!$ĸ$788)</f>
      </c>
      <c r="IO788">
        <f>IF(ISBLANK('Data Entry'!$Ĺ$788), "", 'Data Entry'!$Ĺ$788)</f>
      </c>
      <c r="IP788">
        <f>IF(ISBLANK('Data Entry'!$ĺ$788), "", 'Data Entry'!$ĺ$788)</f>
      </c>
      <c r="IQ788">
        <f>IF(ISBLANK('Data Entry'!$Ļ$788), "", 'Data Entry'!$Ļ$788)</f>
      </c>
      <c r="IR788">
        <f>IF(ISBLANK('Data Entry'!$ļ$788), "", 'Data Entry'!$ļ$788)</f>
      </c>
      <c r="IS788">
        <f>IF(ISBLANK('Data Entry'!$Ľ$788), "", 'Data Entry'!$Ľ$788)</f>
      </c>
      <c r="IT788">
        <f>IF(ISBLANK('Data Entry'!$ľ$788), "", 'Data Entry'!$ľ$788)</f>
      </c>
    </row>
    <row r="789" spans="1:254" x14ac:dyDescent="0.25">
      <c r="A789">
        <f>IF(ISBLANK('Data Entry'!$A$789), "", 'Data Entry'!$A$789)</f>
      </c>
      <c r="B789">
        <f>IF(ISBLANK('Data Entry'!$B$789), "", 'Data Entry'!$B$789)</f>
      </c>
      <c r="C789">
        <f>IF(ISBLANK('Data Entry'!$C$789), "", 'Data Entry'!$C$789)</f>
      </c>
      <c r="D789">
        <f>IF(ISBLANK('Data Entry'!$D$789), "", 'Data Entry'!$D$789)</f>
      </c>
      <c r="E789">
        <f>IF(ISBLANK('Data Entry'!$E$789), "", 'Data Entry'!$E$789)</f>
      </c>
      <c r="F789">
        <f>IF(ISBLANK('Data Entry'!$F$789), "", 'Data Entry'!$F$789)</f>
      </c>
      <c r="G789">
        <f>IF(ISBLANK('Data Entry'!$G$789), "", 'Data Entry'!$G$789)</f>
      </c>
      <c r="H789">
        <f>IF(ISBLANK('Data Entry'!$H$789), "", 'Data Entry'!$H$789)</f>
      </c>
      <c r="I789">
        <f>IF(ISBLANK('Data Entry'!$I$789), "", 'Data Entry'!$I$789)</f>
      </c>
      <c r="J789">
        <f>IF(ISBLANK('Data Entry'!$J$789), "", 'Data Entry'!$J$789)</f>
      </c>
      <c r="K789">
        <f>IF(ISBLANK('Data Entry'!$K$789), "", 'Data Entry'!$K$789)</f>
      </c>
      <c r="L789">
        <f>IF(ISBLANK('Data Entry'!$L$789), "", 'Data Entry'!$L$789)</f>
      </c>
      <c r="M789">
        <f>IF(ISBLANK('Data Entry'!$M$789), "", 'Data Entry'!$M$789)</f>
      </c>
      <c r="N789">
        <f>IF(ISBLANK('Data Entry'!$N$789), "", 'Data Entry'!$N$789)</f>
      </c>
      <c r="O789">
        <f>IF(ISBLANK('Data Entry'!$O$789), "", 'Data Entry'!$O$789)</f>
      </c>
      <c r="P789">
        <f>IF(ISBLANK('Data Entry'!$P$789), "", 'Data Entry'!$P$789)</f>
      </c>
      <c r="Q789">
        <f>IF(ISBLANK('Data Entry'!$Q$789), "", 'Data Entry'!$Q$789)</f>
      </c>
      <c r="R789">
        <f>IF(ISBLANK('Data Entry'!$R$789), "", 'Data Entry'!$R$789)</f>
      </c>
      <c r="S789">
        <f>IF(ISBLANK('Data Entry'!$S$789), "", 'Data Entry'!$S$789)</f>
      </c>
      <c r="T789">
        <f>IF(ISBLANK('Data Entry'!$T$789), "", 'Data Entry'!$T$789)</f>
      </c>
      <c r="U789">
        <f>IF(ISBLANK('Data Entry'!$U$789), "", 'Data Entry'!$U$789)</f>
      </c>
      <c r="V789">
        <f>IF(ISBLANK('Data Entry'!$V$789), "", 'Data Entry'!$V$789)</f>
      </c>
      <c r="W789">
        <f>IF(ISBLANK('Data Entry'!$W$789), "", 'Data Entry'!$W$789)</f>
      </c>
      <c r="X789">
        <f>IF(ISBLANK('Data Entry'!$X$789), "", 'Data Entry'!$X$789)</f>
      </c>
      <c r="Y789">
        <f>IF(ISBLANK('Data Entry'!$Y$789), "", 'Data Entry'!$Y$789)</f>
      </c>
      <c r="Z789">
        <f>IF(ISBLANK('Data Entry'!$Z$789), "", 'Data Entry'!$Z$789)</f>
      </c>
      <c r="AA789">
        <f>IF(ISBLANK('Data Entry'!$[$789), "", 'Data Entry'!$[$789)</f>
      </c>
      <c r="AB789">
        <f>IF(ISBLANK('Data Entry'!$\$789), "", 'Data Entry'!$\$789)</f>
      </c>
      <c r="AC789">
        <f>IF(ISBLANK('Data Entry'!$]$789), "", 'Data Entry'!$]$789)</f>
      </c>
      <c r="AD789">
        <f>IF(ISBLANK('Data Entry'!$^$789), "", 'Data Entry'!$^$789)</f>
      </c>
      <c r="AE789">
        <f>IF(ISBLANK('Data Entry'!$_$789), "", 'Data Entry'!$_$789)</f>
      </c>
      <c r="AF789">
        <f>IF(ISBLANK('Data Entry'!$`$789), "", 'Data Entry'!$`$789)</f>
      </c>
      <c r="AG789">
        <f>IF(ISBLANK('Data Entry'!$a$789), "", 'Data Entry'!$a$789)</f>
      </c>
      <c r="AH789">
        <f>IF(ISBLANK('Data Entry'!$b$789), "", 'Data Entry'!$b$789)</f>
      </c>
      <c r="AI789">
        <f>IF(ISBLANK('Data Entry'!$c$789), "", 'Data Entry'!$c$789)</f>
      </c>
      <c r="AJ789">
        <f>IF(ISBLANK('Data Entry'!$d$789), "", 'Data Entry'!$d$789)</f>
      </c>
      <c r="AK789">
        <f>IF(ISBLANK('Data Entry'!$e$789), "", 'Data Entry'!$e$789)</f>
      </c>
      <c r="AL789">
        <f>IF(ISBLANK('Data Entry'!$f$789), "", 'Data Entry'!$f$789)</f>
      </c>
      <c r="AM789">
        <f>IF(ISBLANK('Data Entry'!$g$789), "", 'Data Entry'!$g$789)</f>
      </c>
      <c r="AN789">
        <f>IF(ISBLANK('Data Entry'!$h$789), "", 'Data Entry'!$h$789)</f>
      </c>
      <c r="AO789">
        <f>IF(ISBLANK('Data Entry'!$i$789), "", 'Data Entry'!$i$789)</f>
      </c>
      <c r="AP789">
        <f>IF(ISBLANK('Data Entry'!$j$789), "", 'Data Entry'!$j$789)</f>
      </c>
      <c r="AQ789">
        <f>IF(ISBLANK('Data Entry'!$k$789), "", 'Data Entry'!$k$789)</f>
      </c>
      <c r="AR789">
        <f>IF(ISBLANK('Data Entry'!$l$789), "", 'Data Entry'!$l$789)</f>
      </c>
      <c r="AS789">
        <f>IF(ISBLANK('Data Entry'!$m$789), "", 'Data Entry'!$m$789)</f>
      </c>
      <c r="AT789">
        <f>IF(ISBLANK('Data Entry'!$n$789), "", 'Data Entry'!$n$789)</f>
      </c>
      <c r="AU789">
        <f>IF(ISBLANK('Data Entry'!$o$789), "", 'Data Entry'!$o$789)</f>
      </c>
      <c r="AV789">
        <f>IF(ISBLANK('Data Entry'!$p$789), "", 'Data Entry'!$p$789)</f>
      </c>
      <c r="AW789">
        <f>IF(ISBLANK('Data Entry'!$q$789), "", 'Data Entry'!$q$789)</f>
      </c>
      <c r="AX789">
        <f>IF(ISBLANK('Data Entry'!$r$789), "", 'Data Entry'!$r$789)</f>
      </c>
      <c r="AY789">
        <f>IF(ISBLANK('Data Entry'!$s$789), "", 'Data Entry'!$s$789)</f>
      </c>
      <c r="AZ789">
        <f>IF(ISBLANK('Data Entry'!$t$789), "", 'Data Entry'!$t$789)</f>
      </c>
      <c r="BA789">
        <f>IF(ISBLANK('Data Entry'!$u$789), "", 'Data Entry'!$u$789)</f>
      </c>
      <c r="BB789">
        <f>IF(ISBLANK('Data Entry'!$v$789), "", 'Data Entry'!$v$789)</f>
      </c>
      <c r="BC789">
        <f>IF(ISBLANK('Data Entry'!$w$789), "", 'Data Entry'!$w$789)</f>
      </c>
      <c r="BD789">
        <f>IF(ISBLANK('Data Entry'!$x$789), "", 'Data Entry'!$x$789)</f>
      </c>
      <c r="BE789">
        <f>IF(ISBLANK('Data Entry'!$y$789), "", 'Data Entry'!$y$789)</f>
      </c>
      <c r="BF789">
        <f>IF(ISBLANK('Data Entry'!$z$789), "", 'Data Entry'!$z$789)</f>
      </c>
      <c r="BG789">
        <f>IF(ISBLANK('Data Entry'!${$789), "", 'Data Entry'!${$789)</f>
      </c>
      <c r="BH789">
        <f>IF(ISBLANK('Data Entry'!$|$789), "", 'Data Entry'!$|$789)</f>
      </c>
      <c r="BI789">
        <f>IF(ISBLANK('Data Entry'!$}$789), "", 'Data Entry'!$}$789)</f>
      </c>
      <c r="BJ789">
        <f>IF(ISBLANK('Data Entry'!$~$789), "", 'Data Entry'!$~$789)</f>
      </c>
      <c r="BK789">
        <f>IF(ISBLANK('Data Entry'!$$789), "", 'Data Entry'!$$789)</f>
      </c>
      <c r="BL789">
        <f>IF(ISBLANK('Data Entry'!$$789), "", 'Data Entry'!$$789)</f>
      </c>
      <c r="BM789">
        <f>IF(ISBLANK('Data Entry'!$$789), "", 'Data Entry'!$$789)</f>
      </c>
      <c r="BN789">
        <f>IF(ISBLANK('Data Entry'!$$789), "", 'Data Entry'!$$789)</f>
      </c>
      <c r="BO789">
        <f>IF(ISBLANK('Data Entry'!$$789), "", 'Data Entry'!$$789)</f>
      </c>
      <c r="BP789">
        <f>IF(ISBLANK('Data Entry'!$$789), "", 'Data Entry'!$$789)</f>
      </c>
      <c r="BQ789">
        <f>IF(ISBLANK('Data Entry'!$$789), "", 'Data Entry'!$$789)</f>
      </c>
      <c r="BR789">
        <f>IF(ISBLANK('Data Entry'!$$789), "", 'Data Entry'!$$789)</f>
      </c>
      <c r="BS789">
        <f>IF(ISBLANK('Data Entry'!$$789), "", 'Data Entry'!$$789)</f>
      </c>
      <c r="BT789">
        <f>IF(ISBLANK('Data Entry'!$$789), "", 'Data Entry'!$$789)</f>
      </c>
      <c r="BU789">
        <f>IF(ISBLANK('Data Entry'!$$789), "", 'Data Entry'!$$789)</f>
      </c>
      <c r="BV789">
        <f>IF(ISBLANK('Data Entry'!$$789), "", 'Data Entry'!$$789)</f>
      </c>
      <c r="BW789">
        <f>IF(ISBLANK('Data Entry'!$$789), "", 'Data Entry'!$$789)</f>
      </c>
      <c r="BX789">
        <f>IF(ISBLANK('Data Entry'!$$789), "", 'Data Entry'!$$789)</f>
      </c>
      <c r="BY789">
        <f>IF(ISBLANK('Data Entry'!$$789), "", 'Data Entry'!$$789)</f>
      </c>
      <c r="BZ789">
        <f>IF(ISBLANK('Data Entry'!$$789), "", 'Data Entry'!$$789)</f>
      </c>
      <c r="CA789">
        <f>IF(ISBLANK('Data Entry'!$$789), "", 'Data Entry'!$$789)</f>
      </c>
      <c r="CB789">
        <f>IF(ISBLANK('Data Entry'!$$789), "", 'Data Entry'!$$789)</f>
      </c>
      <c r="CC789">
        <f>IF(ISBLANK('Data Entry'!$$789), "", 'Data Entry'!$$789)</f>
      </c>
      <c r="CD789">
        <f>IF(ISBLANK('Data Entry'!$$789), "", 'Data Entry'!$$789)</f>
      </c>
      <c r="CE789">
        <f>IF(ISBLANK('Data Entry'!$$789), "", 'Data Entry'!$$789)</f>
      </c>
      <c r="CF789">
        <f>IF(ISBLANK('Data Entry'!$$789), "", 'Data Entry'!$$789)</f>
      </c>
      <c r="CG789">
        <f>IF(ISBLANK('Data Entry'!$$789), "", 'Data Entry'!$$789)</f>
      </c>
      <c r="CH789">
        <f>IF(ISBLANK('Data Entry'!$$789), "", 'Data Entry'!$$789)</f>
      </c>
      <c r="CI789">
        <f>IF(ISBLANK('Data Entry'!$$789), "", 'Data Entry'!$$789)</f>
      </c>
      <c r="CJ789">
        <f>IF(ISBLANK('Data Entry'!$$789), "", 'Data Entry'!$$789)</f>
      </c>
      <c r="CK789">
        <f>IF(ISBLANK('Data Entry'!$$789), "", 'Data Entry'!$$789)</f>
      </c>
      <c r="CL789">
        <f>IF(ISBLANK('Data Entry'!$$789), "", 'Data Entry'!$$789)</f>
      </c>
      <c r="CM789">
        <f>IF(ISBLANK('Data Entry'!$$789), "", 'Data Entry'!$$789)</f>
      </c>
      <c r="CN789">
        <f>IF(ISBLANK('Data Entry'!$$789), "", 'Data Entry'!$$789)</f>
      </c>
      <c r="CO789">
        <f>IF(ISBLANK('Data Entry'!$$789), "", 'Data Entry'!$$789)</f>
      </c>
      <c r="CP789">
        <f>IF(ISBLANK('Data Entry'!$$789), "", 'Data Entry'!$$789)</f>
      </c>
      <c r="CQ789">
        <f>IF(ISBLANK('Data Entry'!$$789), "", 'Data Entry'!$$789)</f>
      </c>
      <c r="CR789">
        <f>IF(ISBLANK('Data Entry'!$ $789), "", 'Data Entry'!$ $789)</f>
      </c>
      <c r="CS789">
        <f>IF(ISBLANK('Data Entry'!$¡$789), "", 'Data Entry'!$¡$789)</f>
      </c>
      <c r="CT789">
        <f>IF(ISBLANK('Data Entry'!$¢$789), "", 'Data Entry'!$¢$789)</f>
      </c>
      <c r="CU789">
        <f>IF(ISBLANK('Data Entry'!$£$789), "", 'Data Entry'!$£$789)</f>
      </c>
      <c r="CV789">
        <f>IF(ISBLANK('Data Entry'!$¤$789), "", 'Data Entry'!$¤$789)</f>
      </c>
      <c r="CW789">
        <f>IF(ISBLANK('Data Entry'!$¥$789), "", 'Data Entry'!$¥$789)</f>
      </c>
      <c r="CX789">
        <f>IF(ISBLANK('Data Entry'!$¦$789), "", 'Data Entry'!$¦$789)</f>
      </c>
      <c r="CY789">
        <f>IF(ISBLANK('Data Entry'!$§$789), "", 'Data Entry'!$§$789)</f>
      </c>
      <c r="CZ789">
        <f>IF(ISBLANK('Data Entry'!$¨$789), "", 'Data Entry'!$¨$789)</f>
      </c>
      <c r="DA789">
        <f>IF(ISBLANK('Data Entry'!$©$789), "", 'Data Entry'!$©$789)</f>
      </c>
      <c r="DB789">
        <f>IF(ISBLANK('Data Entry'!$ª$789), "", 'Data Entry'!$ª$789)</f>
      </c>
      <c r="DC789">
        <f>IF(ISBLANK('Data Entry'!$«$789), "", 'Data Entry'!$«$789)</f>
      </c>
      <c r="DD789">
        <f>IF(ISBLANK('Data Entry'!$¬$789), "", 'Data Entry'!$¬$789)</f>
      </c>
      <c r="DE789">
        <f>IF(ISBLANK('Data Entry'!$­$789), "", 'Data Entry'!$­$789)</f>
      </c>
      <c r="DF789">
        <f>IF(ISBLANK('Data Entry'!$®$789), "", 'Data Entry'!$®$789)</f>
      </c>
      <c r="DG789">
        <f>IF(ISBLANK('Data Entry'!$¯$789), "", 'Data Entry'!$¯$789)</f>
      </c>
      <c r="DH789">
        <f>IF(ISBLANK('Data Entry'!$°$789), "", 'Data Entry'!$°$789)</f>
      </c>
      <c r="DI789">
        <f>IF(ISBLANK('Data Entry'!$±$789), "", 'Data Entry'!$±$789)</f>
      </c>
      <c r="DJ789">
        <f>IF(ISBLANK('Data Entry'!$²$789), "", 'Data Entry'!$²$789)</f>
      </c>
      <c r="DK789">
        <f>IF(ISBLANK('Data Entry'!$³$789), "", 'Data Entry'!$³$789)</f>
      </c>
      <c r="DL789">
        <f>IF(ISBLANK('Data Entry'!$´$789), "", 'Data Entry'!$´$789)</f>
      </c>
      <c r="DM789">
        <f>IF(ISBLANK('Data Entry'!$µ$789), "", 'Data Entry'!$µ$789)</f>
      </c>
      <c r="DN789">
        <f>IF(ISBLANK('Data Entry'!$¶$789), "", 'Data Entry'!$¶$789)</f>
      </c>
      <c r="DO789">
        <f>IF(ISBLANK('Data Entry'!$·$789), "", 'Data Entry'!$·$789)</f>
      </c>
      <c r="DP789">
        <f>IF(ISBLANK('Data Entry'!$¸$789), "", 'Data Entry'!$¸$789)</f>
      </c>
      <c r="DQ789">
        <f>IF(ISBLANK('Data Entry'!$¹$789), "", 'Data Entry'!$¹$789)</f>
      </c>
      <c r="DR789">
        <f>IF(ISBLANK('Data Entry'!$º$789), "", 'Data Entry'!$º$789)</f>
      </c>
      <c r="DS789">
        <f>IF(ISBLANK('Data Entry'!$»$789), "", 'Data Entry'!$»$789)</f>
      </c>
      <c r="DT789">
        <f>IF(ISBLANK('Data Entry'!$¼$789), "", 'Data Entry'!$¼$789)</f>
      </c>
      <c r="DU789">
        <f>IF(ISBLANK('Data Entry'!$½$789), "", 'Data Entry'!$½$789)</f>
      </c>
      <c r="DV789">
        <f>IF(ISBLANK('Data Entry'!$¾$789), "", 'Data Entry'!$¾$789)</f>
      </c>
      <c r="DW789">
        <f>IF(ISBLANK('Data Entry'!$¿$789), "", 'Data Entry'!$¿$789)</f>
      </c>
      <c r="DX789">
        <f>IF(ISBLANK('Data Entry'!$À$789), "", 'Data Entry'!$À$789)</f>
      </c>
      <c r="DY789">
        <f>IF(ISBLANK('Data Entry'!$Á$789), "", 'Data Entry'!$Á$789)</f>
      </c>
      <c r="DZ789">
        <f>IF(ISBLANK('Data Entry'!$Â$789), "", 'Data Entry'!$Â$789)</f>
      </c>
      <c r="EA789">
        <f>IF(ISBLANK('Data Entry'!$Ã$789), "", 'Data Entry'!$Ã$789)</f>
      </c>
      <c r="EB789">
        <f>IF(ISBLANK('Data Entry'!$Ä$789), "", 'Data Entry'!$Ä$789)</f>
      </c>
      <c r="EC789">
        <f>IF(ISBLANK('Data Entry'!$Å$789), "", 'Data Entry'!$Å$789)</f>
      </c>
      <c r="ED789">
        <f>IF(ISBLANK('Data Entry'!$Æ$789), "", 'Data Entry'!$Æ$789)</f>
      </c>
      <c r="EE789">
        <f>IF(ISBLANK('Data Entry'!$Ç$789), "", 'Data Entry'!$Ç$789)</f>
      </c>
      <c r="EF789">
        <f>IF(ISBLANK('Data Entry'!$È$789), "", 'Data Entry'!$È$789)</f>
      </c>
      <c r="EG789">
        <f>IF(ISBLANK('Data Entry'!$É$789), "", 'Data Entry'!$É$789)</f>
      </c>
      <c r="EH789">
        <f>IF(ISBLANK('Data Entry'!$Ê$789), "", 'Data Entry'!$Ê$789)</f>
      </c>
      <c r="EI789">
        <f>IF(ISBLANK('Data Entry'!$Ë$789), "", 'Data Entry'!$Ë$789)</f>
      </c>
      <c r="EJ789">
        <f>IF(ISBLANK('Data Entry'!$Ì$789), "", 'Data Entry'!$Ì$789)</f>
      </c>
      <c r="EK789">
        <f>IF(ISBLANK('Data Entry'!$Í$789), "", 'Data Entry'!$Í$789)</f>
      </c>
      <c r="EL789">
        <f>IF(ISBLANK('Data Entry'!$Î$789), "", 'Data Entry'!$Î$789)</f>
      </c>
      <c r="EM789">
        <f>IF(ISBLANK('Data Entry'!$Ï$789), "", 'Data Entry'!$Ï$789)</f>
      </c>
      <c r="EN789">
        <f>IF(ISBLANK('Data Entry'!$Ð$789), "", 'Data Entry'!$Ð$789)</f>
      </c>
      <c r="EO789">
        <f>IF(ISBLANK('Data Entry'!$Ñ$789), "", 'Data Entry'!$Ñ$789)</f>
      </c>
      <c r="EP789">
        <f>IF(ISBLANK('Data Entry'!$Ò$789), "", 'Data Entry'!$Ò$789)</f>
      </c>
      <c r="EQ789">
        <f>IF(ISBLANK('Data Entry'!$Ó$789), "", 'Data Entry'!$Ó$789)</f>
      </c>
      <c r="ER789">
        <f>IF(ISBLANK('Data Entry'!$Ô$789), "", 'Data Entry'!$Ô$789)</f>
      </c>
      <c r="ES789">
        <f>IF(ISBLANK('Data Entry'!$Õ$789), "", 'Data Entry'!$Õ$789)</f>
      </c>
      <c r="ET789">
        <f>IF(ISBLANK('Data Entry'!$Ö$789), "", 'Data Entry'!$Ö$789)</f>
      </c>
      <c r="EU789">
        <f>IF(ISBLANK('Data Entry'!$×$789), "", 'Data Entry'!$×$789)</f>
      </c>
      <c r="EV789">
        <f>IF(ISBLANK('Data Entry'!$Ø$789), "", 'Data Entry'!$Ø$789)</f>
      </c>
      <c r="EW789">
        <f>IF(ISBLANK('Data Entry'!$Ù$789), "", 'Data Entry'!$Ù$789)</f>
      </c>
      <c r="EX789">
        <f>IF(ISBLANK('Data Entry'!$Ú$789), "", 'Data Entry'!$Ú$789)</f>
      </c>
      <c r="EY789">
        <f>IF(ISBLANK('Data Entry'!$Û$789), "", 'Data Entry'!$Û$789)</f>
      </c>
      <c r="EZ789">
        <f>IF(ISBLANK('Data Entry'!$Ü$789), "", 'Data Entry'!$Ü$789)</f>
      </c>
      <c r="FA789">
        <f>IF(ISBLANK('Data Entry'!$Ý$789), "", 'Data Entry'!$Ý$789)</f>
      </c>
      <c r="FB789">
        <f>IF(ISBLANK('Data Entry'!$Þ$789), "", 'Data Entry'!$Þ$789)</f>
      </c>
      <c r="FC789">
        <f>IF(ISBLANK('Data Entry'!$ß$789), "", 'Data Entry'!$ß$789)</f>
      </c>
      <c r="FD789">
        <f>IF(ISBLANK('Data Entry'!$à$789), "", 'Data Entry'!$à$789)</f>
      </c>
      <c r="FE789">
        <f>IF(ISBLANK('Data Entry'!$á$789), "", 'Data Entry'!$á$789)</f>
      </c>
      <c r="FF789">
        <f>IF(ISBLANK('Data Entry'!$â$789), "", 'Data Entry'!$â$789)</f>
      </c>
      <c r="FG789">
        <f>IF(ISBLANK('Data Entry'!$ã$789), "", 'Data Entry'!$ã$789)</f>
      </c>
      <c r="FH789">
        <f>IF(ISBLANK('Data Entry'!$ä$789), "", 'Data Entry'!$ä$789)</f>
      </c>
      <c r="FI789">
        <f>IF(ISBLANK('Data Entry'!$å$789), "", 'Data Entry'!$å$789)</f>
      </c>
      <c r="FJ789">
        <f>IF(ISBLANK('Data Entry'!$æ$789), "", 'Data Entry'!$æ$789)</f>
      </c>
      <c r="FK789">
        <f>IF(ISBLANK('Data Entry'!$ç$789), "", 'Data Entry'!$ç$789)</f>
      </c>
      <c r="FL789">
        <f>IF(ISBLANK('Data Entry'!$è$789), "", 'Data Entry'!$è$789)</f>
      </c>
      <c r="FM789">
        <f>IF(ISBLANK('Data Entry'!$é$789), "", 'Data Entry'!$é$789)</f>
      </c>
      <c r="FN789">
        <f>IF(ISBLANK('Data Entry'!$ê$789), "", 'Data Entry'!$ê$789)</f>
      </c>
      <c r="FO789">
        <f>IF(ISBLANK('Data Entry'!$ë$789), "", 'Data Entry'!$ë$789)</f>
      </c>
      <c r="FP789">
        <f>IF(ISBLANK('Data Entry'!$ì$789), "", 'Data Entry'!$ì$789)</f>
      </c>
      <c r="FQ789">
        <f>IF(ISBLANK('Data Entry'!$í$789), "", 'Data Entry'!$í$789)</f>
      </c>
      <c r="FR789">
        <f>IF(ISBLANK('Data Entry'!$î$789), "", 'Data Entry'!$î$789)</f>
      </c>
      <c r="FS789">
        <f>IF(ISBLANK('Data Entry'!$ï$789), "", 'Data Entry'!$ï$789)</f>
      </c>
      <c r="FT789">
        <f>IF(ISBLANK('Data Entry'!$ð$789), "", 'Data Entry'!$ð$789)</f>
      </c>
      <c r="FU789">
        <f>IF(ISBLANK('Data Entry'!$ñ$789), "", 'Data Entry'!$ñ$789)</f>
      </c>
      <c r="FV789">
        <f>IF(ISBLANK('Data Entry'!$ò$789), "", 'Data Entry'!$ò$789)</f>
      </c>
      <c r="FW789">
        <f>IF(ISBLANK('Data Entry'!$ó$789), "", 'Data Entry'!$ó$789)</f>
      </c>
      <c r="FX789">
        <f>IF(ISBLANK('Data Entry'!$ô$789), "", 'Data Entry'!$ô$789)</f>
      </c>
      <c r="FY789">
        <f>IF(ISBLANK('Data Entry'!$õ$789), "", 'Data Entry'!$õ$789)</f>
      </c>
      <c r="FZ789">
        <f>IF(ISBLANK('Data Entry'!$ö$789), "", 'Data Entry'!$ö$789)</f>
      </c>
      <c r="GA789">
        <f>IF(ISBLANK('Data Entry'!$÷$789), "", 'Data Entry'!$÷$789)</f>
      </c>
      <c r="GB789">
        <f>IF(ISBLANK('Data Entry'!$ø$789), "", 'Data Entry'!$ø$789)</f>
      </c>
      <c r="GC789">
        <f>IF(ISBLANK('Data Entry'!$ù$789), "", 'Data Entry'!$ù$789)</f>
      </c>
      <c r="GD789">
        <f>IF(ISBLANK('Data Entry'!$ú$789), "", 'Data Entry'!$ú$789)</f>
      </c>
      <c r="GE789">
        <f>IF(ISBLANK('Data Entry'!$û$789), "", 'Data Entry'!$û$789)</f>
      </c>
      <c r="GF789">
        <f>IF(ISBLANK('Data Entry'!$ü$789), "", 'Data Entry'!$ü$789)</f>
      </c>
      <c r="GG789">
        <f>IF(ISBLANK('Data Entry'!$ý$789), "", 'Data Entry'!$ý$789)</f>
      </c>
      <c r="GH789">
        <f>IF(ISBLANK('Data Entry'!$þ$789), "", 'Data Entry'!$þ$789)</f>
      </c>
      <c r="GI789">
        <f>IF(ISBLANK('Data Entry'!$ÿ$789), "", 'Data Entry'!$ÿ$789)</f>
      </c>
      <c r="GJ789">
        <f>IF(ISBLANK('Data Entry'!$Ā$789), "", 'Data Entry'!$Ā$789)</f>
      </c>
      <c r="GK789">
        <f>IF(ISBLANK('Data Entry'!$ā$789), "", 'Data Entry'!$ā$789)</f>
      </c>
      <c r="GL789">
        <f>IF(ISBLANK('Data Entry'!$Ă$789), "", 'Data Entry'!$Ă$789)</f>
      </c>
      <c r="GM789">
        <f>IF(ISBLANK('Data Entry'!$ă$789), "", 'Data Entry'!$ă$789)</f>
      </c>
      <c r="GN789">
        <f>IF(ISBLANK('Data Entry'!$Ą$789), "", 'Data Entry'!$Ą$789)</f>
      </c>
      <c r="GO789">
        <f>IF(ISBLANK('Data Entry'!$ą$789), "", 'Data Entry'!$ą$789)</f>
      </c>
      <c r="GP789">
        <f>IF(ISBLANK('Data Entry'!$Ć$789), "", 'Data Entry'!$Ć$789)</f>
      </c>
      <c r="GQ789">
        <f>IF(ISBLANK('Data Entry'!$ć$789), "", 'Data Entry'!$ć$789)</f>
      </c>
      <c r="GR789">
        <f>IF(ISBLANK('Data Entry'!$Ĉ$789), "", 'Data Entry'!$Ĉ$789)</f>
      </c>
      <c r="GS789">
        <f>IF(ISBLANK('Data Entry'!$ĉ$789), "", 'Data Entry'!$ĉ$789)</f>
      </c>
      <c r="GT789">
        <f>IF(ISBLANK('Data Entry'!$Ċ$789), "", 'Data Entry'!$Ċ$789)</f>
      </c>
      <c r="GU789">
        <f>IF(ISBLANK('Data Entry'!$ċ$789), "", 'Data Entry'!$ċ$789)</f>
      </c>
      <c r="GV789">
        <f>IF(ISBLANK('Data Entry'!$Č$789), "", 'Data Entry'!$Č$789)</f>
      </c>
      <c r="GW789">
        <f>IF(ISBLANK('Data Entry'!$č$789), "", 'Data Entry'!$č$789)</f>
      </c>
      <c r="GX789">
        <f>IF(ISBLANK('Data Entry'!$Ď$789), "", 'Data Entry'!$Ď$789)</f>
      </c>
      <c r="GY789">
        <f>IF(ISBLANK('Data Entry'!$ď$789), "", 'Data Entry'!$ď$789)</f>
      </c>
      <c r="GZ789">
        <f>IF(ISBLANK('Data Entry'!$Đ$789), "", 'Data Entry'!$Đ$789)</f>
      </c>
      <c r="HA789">
        <f>IF(ISBLANK('Data Entry'!$đ$789), "", 'Data Entry'!$đ$789)</f>
      </c>
      <c r="HB789">
        <f>IF(ISBLANK('Data Entry'!$Ē$789), "", 'Data Entry'!$Ē$789)</f>
      </c>
      <c r="HC789">
        <f>IF(ISBLANK('Data Entry'!$ē$789), "", 'Data Entry'!$ē$789)</f>
      </c>
      <c r="HD789">
        <f>IF(ISBLANK('Data Entry'!$Ĕ$789), "", 'Data Entry'!$Ĕ$789)</f>
      </c>
      <c r="HE789">
        <f>IF(ISBLANK('Data Entry'!$ĕ$789), "", 'Data Entry'!$ĕ$789)</f>
      </c>
      <c r="HF789">
        <f>IF(ISBLANK('Data Entry'!$Ė$789), "", 'Data Entry'!$Ė$789)</f>
      </c>
      <c r="HG789">
        <f>IF(ISBLANK('Data Entry'!$ė$789), "", 'Data Entry'!$ė$789)</f>
      </c>
      <c r="HH789">
        <f>IF(ISBLANK('Data Entry'!$Ę$789), "", 'Data Entry'!$Ę$789)</f>
      </c>
      <c r="HI789">
        <f>IF(ISBLANK('Data Entry'!$ę$789), "", 'Data Entry'!$ę$789)</f>
      </c>
      <c r="HJ789">
        <f>IF(ISBLANK('Data Entry'!$Ě$789), "", 'Data Entry'!$Ě$789)</f>
      </c>
      <c r="HK789">
        <f>IF(ISBLANK('Data Entry'!$ě$789), "", 'Data Entry'!$ě$789)</f>
      </c>
      <c r="HL789">
        <f>IF(ISBLANK('Data Entry'!$Ĝ$789), "", 'Data Entry'!$Ĝ$789)</f>
      </c>
      <c r="HM789">
        <f>IF(ISBLANK('Data Entry'!$ĝ$789), "", 'Data Entry'!$ĝ$789)</f>
      </c>
      <c r="HN789">
        <f>IF(ISBLANK('Data Entry'!$Ğ$789), "", 'Data Entry'!$Ğ$789)</f>
      </c>
      <c r="HO789">
        <f>IF(ISBLANK('Data Entry'!$ğ$789), "", 'Data Entry'!$ğ$789)</f>
      </c>
      <c r="HP789">
        <f>IF(ISBLANK('Data Entry'!$Ġ$789), "", 'Data Entry'!$Ġ$789)</f>
      </c>
      <c r="HQ789">
        <f>IF(ISBLANK('Data Entry'!$ġ$789), "", 'Data Entry'!$ġ$789)</f>
      </c>
      <c r="HR789">
        <f>IF(ISBLANK('Data Entry'!$Ģ$789), "", 'Data Entry'!$Ģ$789)</f>
      </c>
      <c r="HS789">
        <f>IF(ISBLANK('Data Entry'!$ģ$789), "", 'Data Entry'!$ģ$789)</f>
      </c>
      <c r="HT789">
        <f>IF(ISBLANK('Data Entry'!$Ĥ$789), "", 'Data Entry'!$Ĥ$789)</f>
      </c>
      <c r="HU789">
        <f>IF(ISBLANK('Data Entry'!$ĥ$789), "", 'Data Entry'!$ĥ$789)</f>
      </c>
      <c r="HV789">
        <f>IF(ISBLANK('Data Entry'!$Ħ$789), "", 'Data Entry'!$Ħ$789)</f>
      </c>
      <c r="HW789">
        <f>IF(ISBLANK('Data Entry'!$ħ$789), "", 'Data Entry'!$ħ$789)</f>
      </c>
      <c r="HX789">
        <f>IF(ISBLANK('Data Entry'!$Ĩ$789), "", 'Data Entry'!$Ĩ$789)</f>
      </c>
      <c r="HY789">
        <f>IF(ISBLANK('Data Entry'!$ĩ$789), "", 'Data Entry'!$ĩ$789)</f>
      </c>
      <c r="HZ789">
        <f>IF(ISBLANK('Data Entry'!$Ī$789), "", 'Data Entry'!$Ī$789)</f>
      </c>
      <c r="IA789">
        <f>IF(ISBLANK('Data Entry'!$ī$789), "", 'Data Entry'!$ī$789)</f>
      </c>
      <c r="IB789">
        <f>IF(ISBLANK('Data Entry'!$Ĭ$789), "", 'Data Entry'!$Ĭ$789)</f>
      </c>
      <c r="IC789">
        <f>IF(ISBLANK('Data Entry'!$ĭ$789), "", 'Data Entry'!$ĭ$789)</f>
      </c>
      <c r="ID789">
        <f>IF(ISBLANK('Data Entry'!$Į$789), "", 'Data Entry'!$Į$789)</f>
      </c>
      <c r="IE789">
        <f>IF(ISBLANK('Data Entry'!$į$789), "", 'Data Entry'!$į$789)</f>
      </c>
      <c r="IF789">
        <f>IF(ISBLANK('Data Entry'!$İ$789), "", 'Data Entry'!$İ$789)</f>
      </c>
      <c r="IG789">
        <f>IF(ISBLANK('Data Entry'!$ı$789), "", 'Data Entry'!$ı$789)</f>
      </c>
      <c r="IH789">
        <f>IF(ISBLANK('Data Entry'!$Ĳ$789), "", 'Data Entry'!$Ĳ$789)</f>
      </c>
      <c r="II789">
        <f>IF(ISBLANK('Data Entry'!$ĳ$789), "", 'Data Entry'!$ĳ$789)</f>
      </c>
      <c r="IJ789">
        <f>IF(ISBLANK('Data Entry'!$Ĵ$789), "", 'Data Entry'!$Ĵ$789)</f>
      </c>
      <c r="IK789">
        <f>IF(ISBLANK('Data Entry'!$ĵ$789), "", 'Data Entry'!$ĵ$789)</f>
      </c>
      <c r="IL789">
        <f>IF(ISBLANK('Data Entry'!$Ķ$789), "", 'Data Entry'!$Ķ$789)</f>
      </c>
      <c r="IM789">
        <f>IF(ISBLANK('Data Entry'!$ķ$789), "", 'Data Entry'!$ķ$789)</f>
      </c>
      <c r="IN789">
        <f>IF(ISBLANK('Data Entry'!$ĸ$789), "", 'Data Entry'!$ĸ$789)</f>
      </c>
      <c r="IO789">
        <f>IF(ISBLANK('Data Entry'!$Ĺ$789), "", 'Data Entry'!$Ĺ$789)</f>
      </c>
      <c r="IP789">
        <f>IF(ISBLANK('Data Entry'!$ĺ$789), "", 'Data Entry'!$ĺ$789)</f>
      </c>
      <c r="IQ789">
        <f>IF(ISBLANK('Data Entry'!$Ļ$789), "", 'Data Entry'!$Ļ$789)</f>
      </c>
      <c r="IR789">
        <f>IF(ISBLANK('Data Entry'!$ļ$789), "", 'Data Entry'!$ļ$789)</f>
      </c>
      <c r="IS789">
        <f>IF(ISBLANK('Data Entry'!$Ľ$789), "", 'Data Entry'!$Ľ$789)</f>
      </c>
      <c r="IT789">
        <f>IF(ISBLANK('Data Entry'!$ľ$789), "", 'Data Entry'!$ľ$789)</f>
      </c>
    </row>
    <row r="790" spans="1:254" x14ac:dyDescent="0.25">
      <c r="A790">
        <f>IF(ISBLANK('Data Entry'!$A$790), "", 'Data Entry'!$A$790)</f>
      </c>
      <c r="B790">
        <f>IF(ISBLANK('Data Entry'!$B$790), "", 'Data Entry'!$B$790)</f>
      </c>
      <c r="C790">
        <f>IF(ISBLANK('Data Entry'!$C$790), "", 'Data Entry'!$C$790)</f>
      </c>
      <c r="D790">
        <f>IF(ISBLANK('Data Entry'!$D$790), "", 'Data Entry'!$D$790)</f>
      </c>
      <c r="E790">
        <f>IF(ISBLANK('Data Entry'!$E$790), "", 'Data Entry'!$E$790)</f>
      </c>
      <c r="F790">
        <f>IF(ISBLANK('Data Entry'!$F$790), "", 'Data Entry'!$F$790)</f>
      </c>
      <c r="G790">
        <f>IF(ISBLANK('Data Entry'!$G$790), "", 'Data Entry'!$G$790)</f>
      </c>
      <c r="H790">
        <f>IF(ISBLANK('Data Entry'!$H$790), "", 'Data Entry'!$H$790)</f>
      </c>
      <c r="I790">
        <f>IF(ISBLANK('Data Entry'!$I$790), "", 'Data Entry'!$I$790)</f>
      </c>
      <c r="J790">
        <f>IF(ISBLANK('Data Entry'!$J$790), "", 'Data Entry'!$J$790)</f>
      </c>
      <c r="K790">
        <f>IF(ISBLANK('Data Entry'!$K$790), "", 'Data Entry'!$K$790)</f>
      </c>
      <c r="L790">
        <f>IF(ISBLANK('Data Entry'!$L$790), "", 'Data Entry'!$L$790)</f>
      </c>
      <c r="M790">
        <f>IF(ISBLANK('Data Entry'!$M$790), "", 'Data Entry'!$M$790)</f>
      </c>
      <c r="N790">
        <f>IF(ISBLANK('Data Entry'!$N$790), "", 'Data Entry'!$N$790)</f>
      </c>
      <c r="O790">
        <f>IF(ISBLANK('Data Entry'!$O$790), "", 'Data Entry'!$O$790)</f>
      </c>
      <c r="P790">
        <f>IF(ISBLANK('Data Entry'!$P$790), "", 'Data Entry'!$P$790)</f>
      </c>
      <c r="Q790">
        <f>IF(ISBLANK('Data Entry'!$Q$790), "", 'Data Entry'!$Q$790)</f>
      </c>
      <c r="R790">
        <f>IF(ISBLANK('Data Entry'!$R$790), "", 'Data Entry'!$R$790)</f>
      </c>
      <c r="S790">
        <f>IF(ISBLANK('Data Entry'!$S$790), "", 'Data Entry'!$S$790)</f>
      </c>
      <c r="T790">
        <f>IF(ISBLANK('Data Entry'!$T$790), "", 'Data Entry'!$T$790)</f>
      </c>
      <c r="U790">
        <f>IF(ISBLANK('Data Entry'!$U$790), "", 'Data Entry'!$U$790)</f>
      </c>
      <c r="V790">
        <f>IF(ISBLANK('Data Entry'!$V$790), "", 'Data Entry'!$V$790)</f>
      </c>
      <c r="W790">
        <f>IF(ISBLANK('Data Entry'!$W$790), "", 'Data Entry'!$W$790)</f>
      </c>
      <c r="X790">
        <f>IF(ISBLANK('Data Entry'!$X$790), "", 'Data Entry'!$X$790)</f>
      </c>
      <c r="Y790">
        <f>IF(ISBLANK('Data Entry'!$Y$790), "", 'Data Entry'!$Y$790)</f>
      </c>
      <c r="Z790">
        <f>IF(ISBLANK('Data Entry'!$Z$790), "", 'Data Entry'!$Z$790)</f>
      </c>
      <c r="AA790">
        <f>IF(ISBLANK('Data Entry'!$[$790), "", 'Data Entry'!$[$790)</f>
      </c>
      <c r="AB790">
        <f>IF(ISBLANK('Data Entry'!$\$790), "", 'Data Entry'!$\$790)</f>
      </c>
      <c r="AC790">
        <f>IF(ISBLANK('Data Entry'!$]$790), "", 'Data Entry'!$]$790)</f>
      </c>
      <c r="AD790">
        <f>IF(ISBLANK('Data Entry'!$^$790), "", 'Data Entry'!$^$790)</f>
      </c>
      <c r="AE790">
        <f>IF(ISBLANK('Data Entry'!$_$790), "", 'Data Entry'!$_$790)</f>
      </c>
      <c r="AF790">
        <f>IF(ISBLANK('Data Entry'!$`$790), "", 'Data Entry'!$`$790)</f>
      </c>
      <c r="AG790">
        <f>IF(ISBLANK('Data Entry'!$a$790), "", 'Data Entry'!$a$790)</f>
      </c>
      <c r="AH790">
        <f>IF(ISBLANK('Data Entry'!$b$790), "", 'Data Entry'!$b$790)</f>
      </c>
      <c r="AI790">
        <f>IF(ISBLANK('Data Entry'!$c$790), "", 'Data Entry'!$c$790)</f>
      </c>
      <c r="AJ790">
        <f>IF(ISBLANK('Data Entry'!$d$790), "", 'Data Entry'!$d$790)</f>
      </c>
      <c r="AK790">
        <f>IF(ISBLANK('Data Entry'!$e$790), "", 'Data Entry'!$e$790)</f>
      </c>
      <c r="AL790">
        <f>IF(ISBLANK('Data Entry'!$f$790), "", 'Data Entry'!$f$790)</f>
      </c>
      <c r="AM790">
        <f>IF(ISBLANK('Data Entry'!$g$790), "", 'Data Entry'!$g$790)</f>
      </c>
      <c r="AN790">
        <f>IF(ISBLANK('Data Entry'!$h$790), "", 'Data Entry'!$h$790)</f>
      </c>
      <c r="AO790">
        <f>IF(ISBLANK('Data Entry'!$i$790), "", 'Data Entry'!$i$790)</f>
      </c>
      <c r="AP790">
        <f>IF(ISBLANK('Data Entry'!$j$790), "", 'Data Entry'!$j$790)</f>
      </c>
      <c r="AQ790">
        <f>IF(ISBLANK('Data Entry'!$k$790), "", 'Data Entry'!$k$790)</f>
      </c>
      <c r="AR790">
        <f>IF(ISBLANK('Data Entry'!$l$790), "", 'Data Entry'!$l$790)</f>
      </c>
      <c r="AS790">
        <f>IF(ISBLANK('Data Entry'!$m$790), "", 'Data Entry'!$m$790)</f>
      </c>
      <c r="AT790">
        <f>IF(ISBLANK('Data Entry'!$n$790), "", 'Data Entry'!$n$790)</f>
      </c>
      <c r="AU790">
        <f>IF(ISBLANK('Data Entry'!$o$790), "", 'Data Entry'!$o$790)</f>
      </c>
      <c r="AV790">
        <f>IF(ISBLANK('Data Entry'!$p$790), "", 'Data Entry'!$p$790)</f>
      </c>
      <c r="AW790">
        <f>IF(ISBLANK('Data Entry'!$q$790), "", 'Data Entry'!$q$790)</f>
      </c>
      <c r="AX790">
        <f>IF(ISBLANK('Data Entry'!$r$790), "", 'Data Entry'!$r$790)</f>
      </c>
      <c r="AY790">
        <f>IF(ISBLANK('Data Entry'!$s$790), "", 'Data Entry'!$s$790)</f>
      </c>
      <c r="AZ790">
        <f>IF(ISBLANK('Data Entry'!$t$790), "", 'Data Entry'!$t$790)</f>
      </c>
      <c r="BA790">
        <f>IF(ISBLANK('Data Entry'!$u$790), "", 'Data Entry'!$u$790)</f>
      </c>
      <c r="BB790">
        <f>IF(ISBLANK('Data Entry'!$v$790), "", 'Data Entry'!$v$790)</f>
      </c>
      <c r="BC790">
        <f>IF(ISBLANK('Data Entry'!$w$790), "", 'Data Entry'!$w$790)</f>
      </c>
      <c r="BD790">
        <f>IF(ISBLANK('Data Entry'!$x$790), "", 'Data Entry'!$x$790)</f>
      </c>
      <c r="BE790">
        <f>IF(ISBLANK('Data Entry'!$y$790), "", 'Data Entry'!$y$790)</f>
      </c>
      <c r="BF790">
        <f>IF(ISBLANK('Data Entry'!$z$790), "", 'Data Entry'!$z$790)</f>
      </c>
      <c r="BG790">
        <f>IF(ISBLANK('Data Entry'!${$790), "", 'Data Entry'!${$790)</f>
      </c>
      <c r="BH790">
        <f>IF(ISBLANK('Data Entry'!$|$790), "", 'Data Entry'!$|$790)</f>
      </c>
      <c r="BI790">
        <f>IF(ISBLANK('Data Entry'!$}$790), "", 'Data Entry'!$}$790)</f>
      </c>
      <c r="BJ790">
        <f>IF(ISBLANK('Data Entry'!$~$790), "", 'Data Entry'!$~$790)</f>
      </c>
      <c r="BK790">
        <f>IF(ISBLANK('Data Entry'!$$790), "", 'Data Entry'!$$790)</f>
      </c>
      <c r="BL790">
        <f>IF(ISBLANK('Data Entry'!$$790), "", 'Data Entry'!$$790)</f>
      </c>
      <c r="BM790">
        <f>IF(ISBLANK('Data Entry'!$$790), "", 'Data Entry'!$$790)</f>
      </c>
      <c r="BN790">
        <f>IF(ISBLANK('Data Entry'!$$790), "", 'Data Entry'!$$790)</f>
      </c>
      <c r="BO790">
        <f>IF(ISBLANK('Data Entry'!$$790), "", 'Data Entry'!$$790)</f>
      </c>
      <c r="BP790">
        <f>IF(ISBLANK('Data Entry'!$$790), "", 'Data Entry'!$$790)</f>
      </c>
      <c r="BQ790">
        <f>IF(ISBLANK('Data Entry'!$$790), "", 'Data Entry'!$$790)</f>
      </c>
      <c r="BR790">
        <f>IF(ISBLANK('Data Entry'!$$790), "", 'Data Entry'!$$790)</f>
      </c>
      <c r="BS790">
        <f>IF(ISBLANK('Data Entry'!$$790), "", 'Data Entry'!$$790)</f>
      </c>
      <c r="BT790">
        <f>IF(ISBLANK('Data Entry'!$$790), "", 'Data Entry'!$$790)</f>
      </c>
      <c r="BU790">
        <f>IF(ISBLANK('Data Entry'!$$790), "", 'Data Entry'!$$790)</f>
      </c>
      <c r="BV790">
        <f>IF(ISBLANK('Data Entry'!$$790), "", 'Data Entry'!$$790)</f>
      </c>
      <c r="BW790">
        <f>IF(ISBLANK('Data Entry'!$$790), "", 'Data Entry'!$$790)</f>
      </c>
      <c r="BX790">
        <f>IF(ISBLANK('Data Entry'!$$790), "", 'Data Entry'!$$790)</f>
      </c>
      <c r="BY790">
        <f>IF(ISBLANK('Data Entry'!$$790), "", 'Data Entry'!$$790)</f>
      </c>
      <c r="BZ790">
        <f>IF(ISBLANK('Data Entry'!$$790), "", 'Data Entry'!$$790)</f>
      </c>
      <c r="CA790">
        <f>IF(ISBLANK('Data Entry'!$$790), "", 'Data Entry'!$$790)</f>
      </c>
      <c r="CB790">
        <f>IF(ISBLANK('Data Entry'!$$790), "", 'Data Entry'!$$790)</f>
      </c>
      <c r="CC790">
        <f>IF(ISBLANK('Data Entry'!$$790), "", 'Data Entry'!$$790)</f>
      </c>
      <c r="CD790">
        <f>IF(ISBLANK('Data Entry'!$$790), "", 'Data Entry'!$$790)</f>
      </c>
      <c r="CE790">
        <f>IF(ISBLANK('Data Entry'!$$790), "", 'Data Entry'!$$790)</f>
      </c>
      <c r="CF790">
        <f>IF(ISBLANK('Data Entry'!$$790), "", 'Data Entry'!$$790)</f>
      </c>
      <c r="CG790">
        <f>IF(ISBLANK('Data Entry'!$$790), "", 'Data Entry'!$$790)</f>
      </c>
      <c r="CH790">
        <f>IF(ISBLANK('Data Entry'!$$790), "", 'Data Entry'!$$790)</f>
      </c>
      <c r="CI790">
        <f>IF(ISBLANK('Data Entry'!$$790), "", 'Data Entry'!$$790)</f>
      </c>
      <c r="CJ790">
        <f>IF(ISBLANK('Data Entry'!$$790), "", 'Data Entry'!$$790)</f>
      </c>
      <c r="CK790">
        <f>IF(ISBLANK('Data Entry'!$$790), "", 'Data Entry'!$$790)</f>
      </c>
      <c r="CL790">
        <f>IF(ISBLANK('Data Entry'!$$790), "", 'Data Entry'!$$790)</f>
      </c>
      <c r="CM790">
        <f>IF(ISBLANK('Data Entry'!$$790), "", 'Data Entry'!$$790)</f>
      </c>
      <c r="CN790">
        <f>IF(ISBLANK('Data Entry'!$$790), "", 'Data Entry'!$$790)</f>
      </c>
      <c r="CO790">
        <f>IF(ISBLANK('Data Entry'!$$790), "", 'Data Entry'!$$790)</f>
      </c>
      <c r="CP790">
        <f>IF(ISBLANK('Data Entry'!$$790), "", 'Data Entry'!$$790)</f>
      </c>
      <c r="CQ790">
        <f>IF(ISBLANK('Data Entry'!$$790), "", 'Data Entry'!$$790)</f>
      </c>
      <c r="CR790">
        <f>IF(ISBLANK('Data Entry'!$ $790), "", 'Data Entry'!$ $790)</f>
      </c>
      <c r="CS790">
        <f>IF(ISBLANK('Data Entry'!$¡$790), "", 'Data Entry'!$¡$790)</f>
      </c>
      <c r="CT790">
        <f>IF(ISBLANK('Data Entry'!$¢$790), "", 'Data Entry'!$¢$790)</f>
      </c>
      <c r="CU790">
        <f>IF(ISBLANK('Data Entry'!$£$790), "", 'Data Entry'!$£$790)</f>
      </c>
      <c r="CV790">
        <f>IF(ISBLANK('Data Entry'!$¤$790), "", 'Data Entry'!$¤$790)</f>
      </c>
      <c r="CW790">
        <f>IF(ISBLANK('Data Entry'!$¥$790), "", 'Data Entry'!$¥$790)</f>
      </c>
      <c r="CX790">
        <f>IF(ISBLANK('Data Entry'!$¦$790), "", 'Data Entry'!$¦$790)</f>
      </c>
      <c r="CY790">
        <f>IF(ISBLANK('Data Entry'!$§$790), "", 'Data Entry'!$§$790)</f>
      </c>
      <c r="CZ790">
        <f>IF(ISBLANK('Data Entry'!$¨$790), "", 'Data Entry'!$¨$790)</f>
      </c>
      <c r="DA790">
        <f>IF(ISBLANK('Data Entry'!$©$790), "", 'Data Entry'!$©$790)</f>
      </c>
      <c r="DB790">
        <f>IF(ISBLANK('Data Entry'!$ª$790), "", 'Data Entry'!$ª$790)</f>
      </c>
      <c r="DC790">
        <f>IF(ISBLANK('Data Entry'!$«$790), "", 'Data Entry'!$«$790)</f>
      </c>
      <c r="DD790">
        <f>IF(ISBLANK('Data Entry'!$¬$790), "", 'Data Entry'!$¬$790)</f>
      </c>
      <c r="DE790">
        <f>IF(ISBLANK('Data Entry'!$­$790), "", 'Data Entry'!$­$790)</f>
      </c>
      <c r="DF790">
        <f>IF(ISBLANK('Data Entry'!$®$790), "", 'Data Entry'!$®$790)</f>
      </c>
      <c r="DG790">
        <f>IF(ISBLANK('Data Entry'!$¯$790), "", 'Data Entry'!$¯$790)</f>
      </c>
      <c r="DH790">
        <f>IF(ISBLANK('Data Entry'!$°$790), "", 'Data Entry'!$°$790)</f>
      </c>
      <c r="DI790">
        <f>IF(ISBLANK('Data Entry'!$±$790), "", 'Data Entry'!$±$790)</f>
      </c>
      <c r="DJ790">
        <f>IF(ISBLANK('Data Entry'!$²$790), "", 'Data Entry'!$²$790)</f>
      </c>
      <c r="DK790">
        <f>IF(ISBLANK('Data Entry'!$³$790), "", 'Data Entry'!$³$790)</f>
      </c>
      <c r="DL790">
        <f>IF(ISBLANK('Data Entry'!$´$790), "", 'Data Entry'!$´$790)</f>
      </c>
      <c r="DM790">
        <f>IF(ISBLANK('Data Entry'!$µ$790), "", 'Data Entry'!$µ$790)</f>
      </c>
      <c r="DN790">
        <f>IF(ISBLANK('Data Entry'!$¶$790), "", 'Data Entry'!$¶$790)</f>
      </c>
      <c r="DO790">
        <f>IF(ISBLANK('Data Entry'!$·$790), "", 'Data Entry'!$·$790)</f>
      </c>
      <c r="DP790">
        <f>IF(ISBLANK('Data Entry'!$¸$790), "", 'Data Entry'!$¸$790)</f>
      </c>
      <c r="DQ790">
        <f>IF(ISBLANK('Data Entry'!$¹$790), "", 'Data Entry'!$¹$790)</f>
      </c>
      <c r="DR790">
        <f>IF(ISBLANK('Data Entry'!$º$790), "", 'Data Entry'!$º$790)</f>
      </c>
      <c r="DS790">
        <f>IF(ISBLANK('Data Entry'!$»$790), "", 'Data Entry'!$»$790)</f>
      </c>
      <c r="DT790">
        <f>IF(ISBLANK('Data Entry'!$¼$790), "", 'Data Entry'!$¼$790)</f>
      </c>
      <c r="DU790">
        <f>IF(ISBLANK('Data Entry'!$½$790), "", 'Data Entry'!$½$790)</f>
      </c>
      <c r="DV790">
        <f>IF(ISBLANK('Data Entry'!$¾$790), "", 'Data Entry'!$¾$790)</f>
      </c>
      <c r="DW790">
        <f>IF(ISBLANK('Data Entry'!$¿$790), "", 'Data Entry'!$¿$790)</f>
      </c>
      <c r="DX790">
        <f>IF(ISBLANK('Data Entry'!$À$790), "", 'Data Entry'!$À$790)</f>
      </c>
      <c r="DY790">
        <f>IF(ISBLANK('Data Entry'!$Á$790), "", 'Data Entry'!$Á$790)</f>
      </c>
      <c r="DZ790">
        <f>IF(ISBLANK('Data Entry'!$Â$790), "", 'Data Entry'!$Â$790)</f>
      </c>
      <c r="EA790">
        <f>IF(ISBLANK('Data Entry'!$Ã$790), "", 'Data Entry'!$Ã$790)</f>
      </c>
      <c r="EB790">
        <f>IF(ISBLANK('Data Entry'!$Ä$790), "", 'Data Entry'!$Ä$790)</f>
      </c>
      <c r="EC790">
        <f>IF(ISBLANK('Data Entry'!$Å$790), "", 'Data Entry'!$Å$790)</f>
      </c>
      <c r="ED790">
        <f>IF(ISBLANK('Data Entry'!$Æ$790), "", 'Data Entry'!$Æ$790)</f>
      </c>
      <c r="EE790">
        <f>IF(ISBLANK('Data Entry'!$Ç$790), "", 'Data Entry'!$Ç$790)</f>
      </c>
      <c r="EF790">
        <f>IF(ISBLANK('Data Entry'!$È$790), "", 'Data Entry'!$È$790)</f>
      </c>
      <c r="EG790">
        <f>IF(ISBLANK('Data Entry'!$É$790), "", 'Data Entry'!$É$790)</f>
      </c>
      <c r="EH790">
        <f>IF(ISBLANK('Data Entry'!$Ê$790), "", 'Data Entry'!$Ê$790)</f>
      </c>
      <c r="EI790">
        <f>IF(ISBLANK('Data Entry'!$Ë$790), "", 'Data Entry'!$Ë$790)</f>
      </c>
      <c r="EJ790">
        <f>IF(ISBLANK('Data Entry'!$Ì$790), "", 'Data Entry'!$Ì$790)</f>
      </c>
      <c r="EK790">
        <f>IF(ISBLANK('Data Entry'!$Í$790), "", 'Data Entry'!$Í$790)</f>
      </c>
      <c r="EL790">
        <f>IF(ISBLANK('Data Entry'!$Î$790), "", 'Data Entry'!$Î$790)</f>
      </c>
      <c r="EM790">
        <f>IF(ISBLANK('Data Entry'!$Ï$790), "", 'Data Entry'!$Ï$790)</f>
      </c>
      <c r="EN790">
        <f>IF(ISBLANK('Data Entry'!$Ð$790), "", 'Data Entry'!$Ð$790)</f>
      </c>
      <c r="EO790">
        <f>IF(ISBLANK('Data Entry'!$Ñ$790), "", 'Data Entry'!$Ñ$790)</f>
      </c>
      <c r="EP790">
        <f>IF(ISBLANK('Data Entry'!$Ò$790), "", 'Data Entry'!$Ò$790)</f>
      </c>
      <c r="EQ790">
        <f>IF(ISBLANK('Data Entry'!$Ó$790), "", 'Data Entry'!$Ó$790)</f>
      </c>
      <c r="ER790">
        <f>IF(ISBLANK('Data Entry'!$Ô$790), "", 'Data Entry'!$Ô$790)</f>
      </c>
      <c r="ES790">
        <f>IF(ISBLANK('Data Entry'!$Õ$790), "", 'Data Entry'!$Õ$790)</f>
      </c>
      <c r="ET790">
        <f>IF(ISBLANK('Data Entry'!$Ö$790), "", 'Data Entry'!$Ö$790)</f>
      </c>
      <c r="EU790">
        <f>IF(ISBLANK('Data Entry'!$×$790), "", 'Data Entry'!$×$790)</f>
      </c>
      <c r="EV790">
        <f>IF(ISBLANK('Data Entry'!$Ø$790), "", 'Data Entry'!$Ø$790)</f>
      </c>
      <c r="EW790">
        <f>IF(ISBLANK('Data Entry'!$Ù$790), "", 'Data Entry'!$Ù$790)</f>
      </c>
      <c r="EX790">
        <f>IF(ISBLANK('Data Entry'!$Ú$790), "", 'Data Entry'!$Ú$790)</f>
      </c>
      <c r="EY790">
        <f>IF(ISBLANK('Data Entry'!$Û$790), "", 'Data Entry'!$Û$790)</f>
      </c>
      <c r="EZ790">
        <f>IF(ISBLANK('Data Entry'!$Ü$790), "", 'Data Entry'!$Ü$790)</f>
      </c>
      <c r="FA790">
        <f>IF(ISBLANK('Data Entry'!$Ý$790), "", 'Data Entry'!$Ý$790)</f>
      </c>
      <c r="FB790">
        <f>IF(ISBLANK('Data Entry'!$Þ$790), "", 'Data Entry'!$Þ$790)</f>
      </c>
      <c r="FC790">
        <f>IF(ISBLANK('Data Entry'!$ß$790), "", 'Data Entry'!$ß$790)</f>
      </c>
      <c r="FD790">
        <f>IF(ISBLANK('Data Entry'!$à$790), "", 'Data Entry'!$à$790)</f>
      </c>
      <c r="FE790">
        <f>IF(ISBLANK('Data Entry'!$á$790), "", 'Data Entry'!$á$790)</f>
      </c>
      <c r="FF790">
        <f>IF(ISBLANK('Data Entry'!$â$790), "", 'Data Entry'!$â$790)</f>
      </c>
      <c r="FG790">
        <f>IF(ISBLANK('Data Entry'!$ã$790), "", 'Data Entry'!$ã$790)</f>
      </c>
      <c r="FH790">
        <f>IF(ISBLANK('Data Entry'!$ä$790), "", 'Data Entry'!$ä$790)</f>
      </c>
      <c r="FI790">
        <f>IF(ISBLANK('Data Entry'!$å$790), "", 'Data Entry'!$å$790)</f>
      </c>
      <c r="FJ790">
        <f>IF(ISBLANK('Data Entry'!$æ$790), "", 'Data Entry'!$æ$790)</f>
      </c>
      <c r="FK790">
        <f>IF(ISBLANK('Data Entry'!$ç$790), "", 'Data Entry'!$ç$790)</f>
      </c>
      <c r="FL790">
        <f>IF(ISBLANK('Data Entry'!$è$790), "", 'Data Entry'!$è$790)</f>
      </c>
      <c r="FM790">
        <f>IF(ISBLANK('Data Entry'!$é$790), "", 'Data Entry'!$é$790)</f>
      </c>
      <c r="FN790">
        <f>IF(ISBLANK('Data Entry'!$ê$790), "", 'Data Entry'!$ê$790)</f>
      </c>
      <c r="FO790">
        <f>IF(ISBLANK('Data Entry'!$ë$790), "", 'Data Entry'!$ë$790)</f>
      </c>
      <c r="FP790">
        <f>IF(ISBLANK('Data Entry'!$ì$790), "", 'Data Entry'!$ì$790)</f>
      </c>
      <c r="FQ790">
        <f>IF(ISBLANK('Data Entry'!$í$790), "", 'Data Entry'!$í$790)</f>
      </c>
      <c r="FR790">
        <f>IF(ISBLANK('Data Entry'!$î$790), "", 'Data Entry'!$î$790)</f>
      </c>
      <c r="FS790">
        <f>IF(ISBLANK('Data Entry'!$ï$790), "", 'Data Entry'!$ï$790)</f>
      </c>
      <c r="FT790">
        <f>IF(ISBLANK('Data Entry'!$ð$790), "", 'Data Entry'!$ð$790)</f>
      </c>
      <c r="FU790">
        <f>IF(ISBLANK('Data Entry'!$ñ$790), "", 'Data Entry'!$ñ$790)</f>
      </c>
      <c r="FV790">
        <f>IF(ISBLANK('Data Entry'!$ò$790), "", 'Data Entry'!$ò$790)</f>
      </c>
      <c r="FW790">
        <f>IF(ISBLANK('Data Entry'!$ó$790), "", 'Data Entry'!$ó$790)</f>
      </c>
      <c r="FX790">
        <f>IF(ISBLANK('Data Entry'!$ô$790), "", 'Data Entry'!$ô$790)</f>
      </c>
      <c r="FY790">
        <f>IF(ISBLANK('Data Entry'!$õ$790), "", 'Data Entry'!$õ$790)</f>
      </c>
      <c r="FZ790">
        <f>IF(ISBLANK('Data Entry'!$ö$790), "", 'Data Entry'!$ö$790)</f>
      </c>
      <c r="GA790">
        <f>IF(ISBLANK('Data Entry'!$÷$790), "", 'Data Entry'!$÷$790)</f>
      </c>
      <c r="GB790">
        <f>IF(ISBLANK('Data Entry'!$ø$790), "", 'Data Entry'!$ø$790)</f>
      </c>
      <c r="GC790">
        <f>IF(ISBLANK('Data Entry'!$ù$790), "", 'Data Entry'!$ù$790)</f>
      </c>
      <c r="GD790">
        <f>IF(ISBLANK('Data Entry'!$ú$790), "", 'Data Entry'!$ú$790)</f>
      </c>
      <c r="GE790">
        <f>IF(ISBLANK('Data Entry'!$û$790), "", 'Data Entry'!$û$790)</f>
      </c>
      <c r="GF790">
        <f>IF(ISBLANK('Data Entry'!$ü$790), "", 'Data Entry'!$ü$790)</f>
      </c>
      <c r="GG790">
        <f>IF(ISBLANK('Data Entry'!$ý$790), "", 'Data Entry'!$ý$790)</f>
      </c>
      <c r="GH790">
        <f>IF(ISBLANK('Data Entry'!$þ$790), "", 'Data Entry'!$þ$790)</f>
      </c>
      <c r="GI790">
        <f>IF(ISBLANK('Data Entry'!$ÿ$790), "", 'Data Entry'!$ÿ$790)</f>
      </c>
      <c r="GJ790">
        <f>IF(ISBLANK('Data Entry'!$Ā$790), "", 'Data Entry'!$Ā$790)</f>
      </c>
      <c r="GK790">
        <f>IF(ISBLANK('Data Entry'!$ā$790), "", 'Data Entry'!$ā$790)</f>
      </c>
      <c r="GL790">
        <f>IF(ISBLANK('Data Entry'!$Ă$790), "", 'Data Entry'!$Ă$790)</f>
      </c>
      <c r="GM790">
        <f>IF(ISBLANK('Data Entry'!$ă$790), "", 'Data Entry'!$ă$790)</f>
      </c>
      <c r="GN790">
        <f>IF(ISBLANK('Data Entry'!$Ą$790), "", 'Data Entry'!$Ą$790)</f>
      </c>
      <c r="GO790">
        <f>IF(ISBLANK('Data Entry'!$ą$790), "", 'Data Entry'!$ą$790)</f>
      </c>
      <c r="GP790">
        <f>IF(ISBLANK('Data Entry'!$Ć$790), "", 'Data Entry'!$Ć$790)</f>
      </c>
      <c r="GQ790">
        <f>IF(ISBLANK('Data Entry'!$ć$790), "", 'Data Entry'!$ć$790)</f>
      </c>
      <c r="GR790">
        <f>IF(ISBLANK('Data Entry'!$Ĉ$790), "", 'Data Entry'!$Ĉ$790)</f>
      </c>
      <c r="GS790">
        <f>IF(ISBLANK('Data Entry'!$ĉ$790), "", 'Data Entry'!$ĉ$790)</f>
      </c>
      <c r="GT790">
        <f>IF(ISBLANK('Data Entry'!$Ċ$790), "", 'Data Entry'!$Ċ$790)</f>
      </c>
      <c r="GU790">
        <f>IF(ISBLANK('Data Entry'!$ċ$790), "", 'Data Entry'!$ċ$790)</f>
      </c>
      <c r="GV790">
        <f>IF(ISBLANK('Data Entry'!$Č$790), "", 'Data Entry'!$Č$790)</f>
      </c>
      <c r="GW790">
        <f>IF(ISBLANK('Data Entry'!$č$790), "", 'Data Entry'!$č$790)</f>
      </c>
      <c r="GX790">
        <f>IF(ISBLANK('Data Entry'!$Ď$790), "", 'Data Entry'!$Ď$790)</f>
      </c>
      <c r="GY790">
        <f>IF(ISBLANK('Data Entry'!$ď$790), "", 'Data Entry'!$ď$790)</f>
      </c>
      <c r="GZ790">
        <f>IF(ISBLANK('Data Entry'!$Đ$790), "", 'Data Entry'!$Đ$790)</f>
      </c>
      <c r="HA790">
        <f>IF(ISBLANK('Data Entry'!$đ$790), "", 'Data Entry'!$đ$790)</f>
      </c>
      <c r="HB790">
        <f>IF(ISBLANK('Data Entry'!$Ē$790), "", 'Data Entry'!$Ē$790)</f>
      </c>
      <c r="HC790">
        <f>IF(ISBLANK('Data Entry'!$ē$790), "", 'Data Entry'!$ē$790)</f>
      </c>
      <c r="HD790">
        <f>IF(ISBLANK('Data Entry'!$Ĕ$790), "", 'Data Entry'!$Ĕ$790)</f>
      </c>
      <c r="HE790">
        <f>IF(ISBLANK('Data Entry'!$ĕ$790), "", 'Data Entry'!$ĕ$790)</f>
      </c>
      <c r="HF790">
        <f>IF(ISBLANK('Data Entry'!$Ė$790), "", 'Data Entry'!$Ė$790)</f>
      </c>
      <c r="HG790">
        <f>IF(ISBLANK('Data Entry'!$ė$790), "", 'Data Entry'!$ė$790)</f>
      </c>
      <c r="HH790">
        <f>IF(ISBLANK('Data Entry'!$Ę$790), "", 'Data Entry'!$Ę$790)</f>
      </c>
      <c r="HI790">
        <f>IF(ISBLANK('Data Entry'!$ę$790), "", 'Data Entry'!$ę$790)</f>
      </c>
      <c r="HJ790">
        <f>IF(ISBLANK('Data Entry'!$Ě$790), "", 'Data Entry'!$Ě$790)</f>
      </c>
      <c r="HK790">
        <f>IF(ISBLANK('Data Entry'!$ě$790), "", 'Data Entry'!$ě$790)</f>
      </c>
      <c r="HL790">
        <f>IF(ISBLANK('Data Entry'!$Ĝ$790), "", 'Data Entry'!$Ĝ$790)</f>
      </c>
      <c r="HM790">
        <f>IF(ISBLANK('Data Entry'!$ĝ$790), "", 'Data Entry'!$ĝ$790)</f>
      </c>
      <c r="HN790">
        <f>IF(ISBLANK('Data Entry'!$Ğ$790), "", 'Data Entry'!$Ğ$790)</f>
      </c>
      <c r="HO790">
        <f>IF(ISBLANK('Data Entry'!$ğ$790), "", 'Data Entry'!$ğ$790)</f>
      </c>
      <c r="HP790">
        <f>IF(ISBLANK('Data Entry'!$Ġ$790), "", 'Data Entry'!$Ġ$790)</f>
      </c>
      <c r="HQ790">
        <f>IF(ISBLANK('Data Entry'!$ġ$790), "", 'Data Entry'!$ġ$790)</f>
      </c>
      <c r="HR790">
        <f>IF(ISBLANK('Data Entry'!$Ģ$790), "", 'Data Entry'!$Ģ$790)</f>
      </c>
      <c r="HS790">
        <f>IF(ISBLANK('Data Entry'!$ģ$790), "", 'Data Entry'!$ģ$790)</f>
      </c>
      <c r="HT790">
        <f>IF(ISBLANK('Data Entry'!$Ĥ$790), "", 'Data Entry'!$Ĥ$790)</f>
      </c>
      <c r="HU790">
        <f>IF(ISBLANK('Data Entry'!$ĥ$790), "", 'Data Entry'!$ĥ$790)</f>
      </c>
      <c r="HV790">
        <f>IF(ISBLANK('Data Entry'!$Ħ$790), "", 'Data Entry'!$Ħ$790)</f>
      </c>
      <c r="HW790">
        <f>IF(ISBLANK('Data Entry'!$ħ$790), "", 'Data Entry'!$ħ$790)</f>
      </c>
      <c r="HX790">
        <f>IF(ISBLANK('Data Entry'!$Ĩ$790), "", 'Data Entry'!$Ĩ$790)</f>
      </c>
      <c r="HY790">
        <f>IF(ISBLANK('Data Entry'!$ĩ$790), "", 'Data Entry'!$ĩ$790)</f>
      </c>
      <c r="HZ790">
        <f>IF(ISBLANK('Data Entry'!$Ī$790), "", 'Data Entry'!$Ī$790)</f>
      </c>
      <c r="IA790">
        <f>IF(ISBLANK('Data Entry'!$ī$790), "", 'Data Entry'!$ī$790)</f>
      </c>
      <c r="IB790">
        <f>IF(ISBLANK('Data Entry'!$Ĭ$790), "", 'Data Entry'!$Ĭ$790)</f>
      </c>
      <c r="IC790">
        <f>IF(ISBLANK('Data Entry'!$ĭ$790), "", 'Data Entry'!$ĭ$790)</f>
      </c>
      <c r="ID790">
        <f>IF(ISBLANK('Data Entry'!$Į$790), "", 'Data Entry'!$Į$790)</f>
      </c>
      <c r="IE790">
        <f>IF(ISBLANK('Data Entry'!$į$790), "", 'Data Entry'!$į$790)</f>
      </c>
      <c r="IF790">
        <f>IF(ISBLANK('Data Entry'!$İ$790), "", 'Data Entry'!$İ$790)</f>
      </c>
      <c r="IG790">
        <f>IF(ISBLANK('Data Entry'!$ı$790), "", 'Data Entry'!$ı$790)</f>
      </c>
      <c r="IH790">
        <f>IF(ISBLANK('Data Entry'!$Ĳ$790), "", 'Data Entry'!$Ĳ$790)</f>
      </c>
      <c r="II790">
        <f>IF(ISBLANK('Data Entry'!$ĳ$790), "", 'Data Entry'!$ĳ$790)</f>
      </c>
      <c r="IJ790">
        <f>IF(ISBLANK('Data Entry'!$Ĵ$790), "", 'Data Entry'!$Ĵ$790)</f>
      </c>
      <c r="IK790">
        <f>IF(ISBLANK('Data Entry'!$ĵ$790), "", 'Data Entry'!$ĵ$790)</f>
      </c>
      <c r="IL790">
        <f>IF(ISBLANK('Data Entry'!$Ķ$790), "", 'Data Entry'!$Ķ$790)</f>
      </c>
      <c r="IM790">
        <f>IF(ISBLANK('Data Entry'!$ķ$790), "", 'Data Entry'!$ķ$790)</f>
      </c>
      <c r="IN790">
        <f>IF(ISBLANK('Data Entry'!$ĸ$790), "", 'Data Entry'!$ĸ$790)</f>
      </c>
      <c r="IO790">
        <f>IF(ISBLANK('Data Entry'!$Ĺ$790), "", 'Data Entry'!$Ĺ$790)</f>
      </c>
      <c r="IP790">
        <f>IF(ISBLANK('Data Entry'!$ĺ$790), "", 'Data Entry'!$ĺ$790)</f>
      </c>
      <c r="IQ790">
        <f>IF(ISBLANK('Data Entry'!$Ļ$790), "", 'Data Entry'!$Ļ$790)</f>
      </c>
      <c r="IR790">
        <f>IF(ISBLANK('Data Entry'!$ļ$790), "", 'Data Entry'!$ļ$790)</f>
      </c>
      <c r="IS790">
        <f>IF(ISBLANK('Data Entry'!$Ľ$790), "", 'Data Entry'!$Ľ$790)</f>
      </c>
      <c r="IT790">
        <f>IF(ISBLANK('Data Entry'!$ľ$790), "", 'Data Entry'!$ľ$790)</f>
      </c>
    </row>
    <row r="791" spans="1:254" x14ac:dyDescent="0.25">
      <c r="A791">
        <f>IF(ISBLANK('Data Entry'!$A$791), "", 'Data Entry'!$A$791)</f>
      </c>
      <c r="B791">
        <f>IF(ISBLANK('Data Entry'!$B$791), "", 'Data Entry'!$B$791)</f>
      </c>
      <c r="C791">
        <f>IF(ISBLANK('Data Entry'!$C$791), "", 'Data Entry'!$C$791)</f>
      </c>
      <c r="D791">
        <f>IF(ISBLANK('Data Entry'!$D$791), "", 'Data Entry'!$D$791)</f>
      </c>
      <c r="E791">
        <f>IF(ISBLANK('Data Entry'!$E$791), "", 'Data Entry'!$E$791)</f>
      </c>
      <c r="F791">
        <f>IF(ISBLANK('Data Entry'!$F$791), "", 'Data Entry'!$F$791)</f>
      </c>
      <c r="G791">
        <f>IF(ISBLANK('Data Entry'!$G$791), "", 'Data Entry'!$G$791)</f>
      </c>
      <c r="H791">
        <f>IF(ISBLANK('Data Entry'!$H$791), "", 'Data Entry'!$H$791)</f>
      </c>
      <c r="I791">
        <f>IF(ISBLANK('Data Entry'!$I$791), "", 'Data Entry'!$I$791)</f>
      </c>
      <c r="J791">
        <f>IF(ISBLANK('Data Entry'!$J$791), "", 'Data Entry'!$J$791)</f>
      </c>
      <c r="K791">
        <f>IF(ISBLANK('Data Entry'!$K$791), "", 'Data Entry'!$K$791)</f>
      </c>
      <c r="L791">
        <f>IF(ISBLANK('Data Entry'!$L$791), "", 'Data Entry'!$L$791)</f>
      </c>
      <c r="M791">
        <f>IF(ISBLANK('Data Entry'!$M$791), "", 'Data Entry'!$M$791)</f>
      </c>
      <c r="N791">
        <f>IF(ISBLANK('Data Entry'!$N$791), "", 'Data Entry'!$N$791)</f>
      </c>
      <c r="O791">
        <f>IF(ISBLANK('Data Entry'!$O$791), "", 'Data Entry'!$O$791)</f>
      </c>
      <c r="P791">
        <f>IF(ISBLANK('Data Entry'!$P$791), "", 'Data Entry'!$P$791)</f>
      </c>
      <c r="Q791">
        <f>IF(ISBLANK('Data Entry'!$Q$791), "", 'Data Entry'!$Q$791)</f>
      </c>
      <c r="R791">
        <f>IF(ISBLANK('Data Entry'!$R$791), "", 'Data Entry'!$R$791)</f>
      </c>
      <c r="S791">
        <f>IF(ISBLANK('Data Entry'!$S$791), "", 'Data Entry'!$S$791)</f>
      </c>
      <c r="T791">
        <f>IF(ISBLANK('Data Entry'!$T$791), "", 'Data Entry'!$T$791)</f>
      </c>
      <c r="U791">
        <f>IF(ISBLANK('Data Entry'!$U$791), "", 'Data Entry'!$U$791)</f>
      </c>
      <c r="V791">
        <f>IF(ISBLANK('Data Entry'!$V$791), "", 'Data Entry'!$V$791)</f>
      </c>
      <c r="W791">
        <f>IF(ISBLANK('Data Entry'!$W$791), "", 'Data Entry'!$W$791)</f>
      </c>
      <c r="X791">
        <f>IF(ISBLANK('Data Entry'!$X$791), "", 'Data Entry'!$X$791)</f>
      </c>
      <c r="Y791">
        <f>IF(ISBLANK('Data Entry'!$Y$791), "", 'Data Entry'!$Y$791)</f>
      </c>
      <c r="Z791">
        <f>IF(ISBLANK('Data Entry'!$Z$791), "", 'Data Entry'!$Z$791)</f>
      </c>
      <c r="AA791">
        <f>IF(ISBLANK('Data Entry'!$[$791), "", 'Data Entry'!$[$791)</f>
      </c>
      <c r="AB791">
        <f>IF(ISBLANK('Data Entry'!$\$791), "", 'Data Entry'!$\$791)</f>
      </c>
      <c r="AC791">
        <f>IF(ISBLANK('Data Entry'!$]$791), "", 'Data Entry'!$]$791)</f>
      </c>
      <c r="AD791">
        <f>IF(ISBLANK('Data Entry'!$^$791), "", 'Data Entry'!$^$791)</f>
      </c>
      <c r="AE791">
        <f>IF(ISBLANK('Data Entry'!$_$791), "", 'Data Entry'!$_$791)</f>
      </c>
      <c r="AF791">
        <f>IF(ISBLANK('Data Entry'!$`$791), "", 'Data Entry'!$`$791)</f>
      </c>
      <c r="AG791">
        <f>IF(ISBLANK('Data Entry'!$a$791), "", 'Data Entry'!$a$791)</f>
      </c>
      <c r="AH791">
        <f>IF(ISBLANK('Data Entry'!$b$791), "", 'Data Entry'!$b$791)</f>
      </c>
      <c r="AI791">
        <f>IF(ISBLANK('Data Entry'!$c$791), "", 'Data Entry'!$c$791)</f>
      </c>
      <c r="AJ791">
        <f>IF(ISBLANK('Data Entry'!$d$791), "", 'Data Entry'!$d$791)</f>
      </c>
      <c r="AK791">
        <f>IF(ISBLANK('Data Entry'!$e$791), "", 'Data Entry'!$e$791)</f>
      </c>
      <c r="AL791">
        <f>IF(ISBLANK('Data Entry'!$f$791), "", 'Data Entry'!$f$791)</f>
      </c>
      <c r="AM791">
        <f>IF(ISBLANK('Data Entry'!$g$791), "", 'Data Entry'!$g$791)</f>
      </c>
      <c r="AN791">
        <f>IF(ISBLANK('Data Entry'!$h$791), "", 'Data Entry'!$h$791)</f>
      </c>
      <c r="AO791">
        <f>IF(ISBLANK('Data Entry'!$i$791), "", 'Data Entry'!$i$791)</f>
      </c>
      <c r="AP791">
        <f>IF(ISBLANK('Data Entry'!$j$791), "", 'Data Entry'!$j$791)</f>
      </c>
      <c r="AQ791">
        <f>IF(ISBLANK('Data Entry'!$k$791), "", 'Data Entry'!$k$791)</f>
      </c>
      <c r="AR791">
        <f>IF(ISBLANK('Data Entry'!$l$791), "", 'Data Entry'!$l$791)</f>
      </c>
      <c r="AS791">
        <f>IF(ISBLANK('Data Entry'!$m$791), "", 'Data Entry'!$m$791)</f>
      </c>
      <c r="AT791">
        <f>IF(ISBLANK('Data Entry'!$n$791), "", 'Data Entry'!$n$791)</f>
      </c>
      <c r="AU791">
        <f>IF(ISBLANK('Data Entry'!$o$791), "", 'Data Entry'!$o$791)</f>
      </c>
      <c r="AV791">
        <f>IF(ISBLANK('Data Entry'!$p$791), "", 'Data Entry'!$p$791)</f>
      </c>
      <c r="AW791">
        <f>IF(ISBLANK('Data Entry'!$q$791), "", 'Data Entry'!$q$791)</f>
      </c>
      <c r="AX791">
        <f>IF(ISBLANK('Data Entry'!$r$791), "", 'Data Entry'!$r$791)</f>
      </c>
      <c r="AY791">
        <f>IF(ISBLANK('Data Entry'!$s$791), "", 'Data Entry'!$s$791)</f>
      </c>
      <c r="AZ791">
        <f>IF(ISBLANK('Data Entry'!$t$791), "", 'Data Entry'!$t$791)</f>
      </c>
      <c r="BA791">
        <f>IF(ISBLANK('Data Entry'!$u$791), "", 'Data Entry'!$u$791)</f>
      </c>
      <c r="BB791">
        <f>IF(ISBLANK('Data Entry'!$v$791), "", 'Data Entry'!$v$791)</f>
      </c>
      <c r="BC791">
        <f>IF(ISBLANK('Data Entry'!$w$791), "", 'Data Entry'!$w$791)</f>
      </c>
      <c r="BD791">
        <f>IF(ISBLANK('Data Entry'!$x$791), "", 'Data Entry'!$x$791)</f>
      </c>
      <c r="BE791">
        <f>IF(ISBLANK('Data Entry'!$y$791), "", 'Data Entry'!$y$791)</f>
      </c>
      <c r="BF791">
        <f>IF(ISBLANK('Data Entry'!$z$791), "", 'Data Entry'!$z$791)</f>
      </c>
      <c r="BG791">
        <f>IF(ISBLANK('Data Entry'!${$791), "", 'Data Entry'!${$791)</f>
      </c>
      <c r="BH791">
        <f>IF(ISBLANK('Data Entry'!$|$791), "", 'Data Entry'!$|$791)</f>
      </c>
      <c r="BI791">
        <f>IF(ISBLANK('Data Entry'!$}$791), "", 'Data Entry'!$}$791)</f>
      </c>
      <c r="BJ791">
        <f>IF(ISBLANK('Data Entry'!$~$791), "", 'Data Entry'!$~$791)</f>
      </c>
      <c r="BK791">
        <f>IF(ISBLANK('Data Entry'!$$791), "", 'Data Entry'!$$791)</f>
      </c>
      <c r="BL791">
        <f>IF(ISBLANK('Data Entry'!$$791), "", 'Data Entry'!$$791)</f>
      </c>
      <c r="BM791">
        <f>IF(ISBLANK('Data Entry'!$$791), "", 'Data Entry'!$$791)</f>
      </c>
      <c r="BN791">
        <f>IF(ISBLANK('Data Entry'!$$791), "", 'Data Entry'!$$791)</f>
      </c>
      <c r="BO791">
        <f>IF(ISBLANK('Data Entry'!$$791), "", 'Data Entry'!$$791)</f>
      </c>
      <c r="BP791">
        <f>IF(ISBLANK('Data Entry'!$$791), "", 'Data Entry'!$$791)</f>
      </c>
      <c r="BQ791">
        <f>IF(ISBLANK('Data Entry'!$$791), "", 'Data Entry'!$$791)</f>
      </c>
      <c r="BR791">
        <f>IF(ISBLANK('Data Entry'!$$791), "", 'Data Entry'!$$791)</f>
      </c>
      <c r="BS791">
        <f>IF(ISBLANK('Data Entry'!$$791), "", 'Data Entry'!$$791)</f>
      </c>
      <c r="BT791">
        <f>IF(ISBLANK('Data Entry'!$$791), "", 'Data Entry'!$$791)</f>
      </c>
      <c r="BU791">
        <f>IF(ISBLANK('Data Entry'!$$791), "", 'Data Entry'!$$791)</f>
      </c>
      <c r="BV791">
        <f>IF(ISBLANK('Data Entry'!$$791), "", 'Data Entry'!$$791)</f>
      </c>
      <c r="BW791">
        <f>IF(ISBLANK('Data Entry'!$$791), "", 'Data Entry'!$$791)</f>
      </c>
      <c r="BX791">
        <f>IF(ISBLANK('Data Entry'!$$791), "", 'Data Entry'!$$791)</f>
      </c>
      <c r="BY791">
        <f>IF(ISBLANK('Data Entry'!$$791), "", 'Data Entry'!$$791)</f>
      </c>
      <c r="BZ791">
        <f>IF(ISBLANK('Data Entry'!$$791), "", 'Data Entry'!$$791)</f>
      </c>
      <c r="CA791">
        <f>IF(ISBLANK('Data Entry'!$$791), "", 'Data Entry'!$$791)</f>
      </c>
      <c r="CB791">
        <f>IF(ISBLANK('Data Entry'!$$791), "", 'Data Entry'!$$791)</f>
      </c>
      <c r="CC791">
        <f>IF(ISBLANK('Data Entry'!$$791), "", 'Data Entry'!$$791)</f>
      </c>
      <c r="CD791">
        <f>IF(ISBLANK('Data Entry'!$$791), "", 'Data Entry'!$$791)</f>
      </c>
      <c r="CE791">
        <f>IF(ISBLANK('Data Entry'!$$791), "", 'Data Entry'!$$791)</f>
      </c>
      <c r="CF791">
        <f>IF(ISBLANK('Data Entry'!$$791), "", 'Data Entry'!$$791)</f>
      </c>
      <c r="CG791">
        <f>IF(ISBLANK('Data Entry'!$$791), "", 'Data Entry'!$$791)</f>
      </c>
      <c r="CH791">
        <f>IF(ISBLANK('Data Entry'!$$791), "", 'Data Entry'!$$791)</f>
      </c>
      <c r="CI791">
        <f>IF(ISBLANK('Data Entry'!$$791), "", 'Data Entry'!$$791)</f>
      </c>
      <c r="CJ791">
        <f>IF(ISBLANK('Data Entry'!$$791), "", 'Data Entry'!$$791)</f>
      </c>
      <c r="CK791">
        <f>IF(ISBLANK('Data Entry'!$$791), "", 'Data Entry'!$$791)</f>
      </c>
      <c r="CL791">
        <f>IF(ISBLANK('Data Entry'!$$791), "", 'Data Entry'!$$791)</f>
      </c>
      <c r="CM791">
        <f>IF(ISBLANK('Data Entry'!$$791), "", 'Data Entry'!$$791)</f>
      </c>
      <c r="CN791">
        <f>IF(ISBLANK('Data Entry'!$$791), "", 'Data Entry'!$$791)</f>
      </c>
      <c r="CO791">
        <f>IF(ISBLANK('Data Entry'!$$791), "", 'Data Entry'!$$791)</f>
      </c>
      <c r="CP791">
        <f>IF(ISBLANK('Data Entry'!$$791), "", 'Data Entry'!$$791)</f>
      </c>
      <c r="CQ791">
        <f>IF(ISBLANK('Data Entry'!$$791), "", 'Data Entry'!$$791)</f>
      </c>
      <c r="CR791">
        <f>IF(ISBLANK('Data Entry'!$ $791), "", 'Data Entry'!$ $791)</f>
      </c>
      <c r="CS791">
        <f>IF(ISBLANK('Data Entry'!$¡$791), "", 'Data Entry'!$¡$791)</f>
      </c>
      <c r="CT791">
        <f>IF(ISBLANK('Data Entry'!$¢$791), "", 'Data Entry'!$¢$791)</f>
      </c>
      <c r="CU791">
        <f>IF(ISBLANK('Data Entry'!$£$791), "", 'Data Entry'!$£$791)</f>
      </c>
      <c r="CV791">
        <f>IF(ISBLANK('Data Entry'!$¤$791), "", 'Data Entry'!$¤$791)</f>
      </c>
      <c r="CW791">
        <f>IF(ISBLANK('Data Entry'!$¥$791), "", 'Data Entry'!$¥$791)</f>
      </c>
      <c r="CX791">
        <f>IF(ISBLANK('Data Entry'!$¦$791), "", 'Data Entry'!$¦$791)</f>
      </c>
      <c r="CY791">
        <f>IF(ISBLANK('Data Entry'!$§$791), "", 'Data Entry'!$§$791)</f>
      </c>
      <c r="CZ791">
        <f>IF(ISBLANK('Data Entry'!$¨$791), "", 'Data Entry'!$¨$791)</f>
      </c>
      <c r="DA791">
        <f>IF(ISBLANK('Data Entry'!$©$791), "", 'Data Entry'!$©$791)</f>
      </c>
      <c r="DB791">
        <f>IF(ISBLANK('Data Entry'!$ª$791), "", 'Data Entry'!$ª$791)</f>
      </c>
      <c r="DC791">
        <f>IF(ISBLANK('Data Entry'!$«$791), "", 'Data Entry'!$«$791)</f>
      </c>
      <c r="DD791">
        <f>IF(ISBLANK('Data Entry'!$¬$791), "", 'Data Entry'!$¬$791)</f>
      </c>
      <c r="DE791">
        <f>IF(ISBLANK('Data Entry'!$­$791), "", 'Data Entry'!$­$791)</f>
      </c>
      <c r="DF791">
        <f>IF(ISBLANK('Data Entry'!$®$791), "", 'Data Entry'!$®$791)</f>
      </c>
      <c r="DG791">
        <f>IF(ISBLANK('Data Entry'!$¯$791), "", 'Data Entry'!$¯$791)</f>
      </c>
      <c r="DH791">
        <f>IF(ISBLANK('Data Entry'!$°$791), "", 'Data Entry'!$°$791)</f>
      </c>
      <c r="DI791">
        <f>IF(ISBLANK('Data Entry'!$±$791), "", 'Data Entry'!$±$791)</f>
      </c>
      <c r="DJ791">
        <f>IF(ISBLANK('Data Entry'!$²$791), "", 'Data Entry'!$²$791)</f>
      </c>
      <c r="DK791">
        <f>IF(ISBLANK('Data Entry'!$³$791), "", 'Data Entry'!$³$791)</f>
      </c>
      <c r="DL791">
        <f>IF(ISBLANK('Data Entry'!$´$791), "", 'Data Entry'!$´$791)</f>
      </c>
      <c r="DM791">
        <f>IF(ISBLANK('Data Entry'!$µ$791), "", 'Data Entry'!$µ$791)</f>
      </c>
      <c r="DN791">
        <f>IF(ISBLANK('Data Entry'!$¶$791), "", 'Data Entry'!$¶$791)</f>
      </c>
      <c r="DO791">
        <f>IF(ISBLANK('Data Entry'!$·$791), "", 'Data Entry'!$·$791)</f>
      </c>
      <c r="DP791">
        <f>IF(ISBLANK('Data Entry'!$¸$791), "", 'Data Entry'!$¸$791)</f>
      </c>
      <c r="DQ791">
        <f>IF(ISBLANK('Data Entry'!$¹$791), "", 'Data Entry'!$¹$791)</f>
      </c>
      <c r="DR791">
        <f>IF(ISBLANK('Data Entry'!$º$791), "", 'Data Entry'!$º$791)</f>
      </c>
      <c r="DS791">
        <f>IF(ISBLANK('Data Entry'!$»$791), "", 'Data Entry'!$»$791)</f>
      </c>
      <c r="DT791">
        <f>IF(ISBLANK('Data Entry'!$¼$791), "", 'Data Entry'!$¼$791)</f>
      </c>
      <c r="DU791">
        <f>IF(ISBLANK('Data Entry'!$½$791), "", 'Data Entry'!$½$791)</f>
      </c>
      <c r="DV791">
        <f>IF(ISBLANK('Data Entry'!$¾$791), "", 'Data Entry'!$¾$791)</f>
      </c>
      <c r="DW791">
        <f>IF(ISBLANK('Data Entry'!$¿$791), "", 'Data Entry'!$¿$791)</f>
      </c>
      <c r="DX791">
        <f>IF(ISBLANK('Data Entry'!$À$791), "", 'Data Entry'!$À$791)</f>
      </c>
      <c r="DY791">
        <f>IF(ISBLANK('Data Entry'!$Á$791), "", 'Data Entry'!$Á$791)</f>
      </c>
      <c r="DZ791">
        <f>IF(ISBLANK('Data Entry'!$Â$791), "", 'Data Entry'!$Â$791)</f>
      </c>
      <c r="EA791">
        <f>IF(ISBLANK('Data Entry'!$Ã$791), "", 'Data Entry'!$Ã$791)</f>
      </c>
      <c r="EB791">
        <f>IF(ISBLANK('Data Entry'!$Ä$791), "", 'Data Entry'!$Ä$791)</f>
      </c>
      <c r="EC791">
        <f>IF(ISBLANK('Data Entry'!$Å$791), "", 'Data Entry'!$Å$791)</f>
      </c>
      <c r="ED791">
        <f>IF(ISBLANK('Data Entry'!$Æ$791), "", 'Data Entry'!$Æ$791)</f>
      </c>
      <c r="EE791">
        <f>IF(ISBLANK('Data Entry'!$Ç$791), "", 'Data Entry'!$Ç$791)</f>
      </c>
      <c r="EF791">
        <f>IF(ISBLANK('Data Entry'!$È$791), "", 'Data Entry'!$È$791)</f>
      </c>
      <c r="EG791">
        <f>IF(ISBLANK('Data Entry'!$É$791), "", 'Data Entry'!$É$791)</f>
      </c>
      <c r="EH791">
        <f>IF(ISBLANK('Data Entry'!$Ê$791), "", 'Data Entry'!$Ê$791)</f>
      </c>
      <c r="EI791">
        <f>IF(ISBLANK('Data Entry'!$Ë$791), "", 'Data Entry'!$Ë$791)</f>
      </c>
      <c r="EJ791">
        <f>IF(ISBLANK('Data Entry'!$Ì$791), "", 'Data Entry'!$Ì$791)</f>
      </c>
      <c r="EK791">
        <f>IF(ISBLANK('Data Entry'!$Í$791), "", 'Data Entry'!$Í$791)</f>
      </c>
      <c r="EL791">
        <f>IF(ISBLANK('Data Entry'!$Î$791), "", 'Data Entry'!$Î$791)</f>
      </c>
      <c r="EM791">
        <f>IF(ISBLANK('Data Entry'!$Ï$791), "", 'Data Entry'!$Ï$791)</f>
      </c>
      <c r="EN791">
        <f>IF(ISBLANK('Data Entry'!$Ð$791), "", 'Data Entry'!$Ð$791)</f>
      </c>
      <c r="EO791">
        <f>IF(ISBLANK('Data Entry'!$Ñ$791), "", 'Data Entry'!$Ñ$791)</f>
      </c>
      <c r="EP791">
        <f>IF(ISBLANK('Data Entry'!$Ò$791), "", 'Data Entry'!$Ò$791)</f>
      </c>
      <c r="EQ791">
        <f>IF(ISBLANK('Data Entry'!$Ó$791), "", 'Data Entry'!$Ó$791)</f>
      </c>
      <c r="ER791">
        <f>IF(ISBLANK('Data Entry'!$Ô$791), "", 'Data Entry'!$Ô$791)</f>
      </c>
      <c r="ES791">
        <f>IF(ISBLANK('Data Entry'!$Õ$791), "", 'Data Entry'!$Õ$791)</f>
      </c>
      <c r="ET791">
        <f>IF(ISBLANK('Data Entry'!$Ö$791), "", 'Data Entry'!$Ö$791)</f>
      </c>
      <c r="EU791">
        <f>IF(ISBLANK('Data Entry'!$×$791), "", 'Data Entry'!$×$791)</f>
      </c>
      <c r="EV791">
        <f>IF(ISBLANK('Data Entry'!$Ø$791), "", 'Data Entry'!$Ø$791)</f>
      </c>
      <c r="EW791">
        <f>IF(ISBLANK('Data Entry'!$Ù$791), "", 'Data Entry'!$Ù$791)</f>
      </c>
      <c r="EX791">
        <f>IF(ISBLANK('Data Entry'!$Ú$791), "", 'Data Entry'!$Ú$791)</f>
      </c>
      <c r="EY791">
        <f>IF(ISBLANK('Data Entry'!$Û$791), "", 'Data Entry'!$Û$791)</f>
      </c>
      <c r="EZ791">
        <f>IF(ISBLANK('Data Entry'!$Ü$791), "", 'Data Entry'!$Ü$791)</f>
      </c>
      <c r="FA791">
        <f>IF(ISBLANK('Data Entry'!$Ý$791), "", 'Data Entry'!$Ý$791)</f>
      </c>
      <c r="FB791">
        <f>IF(ISBLANK('Data Entry'!$Þ$791), "", 'Data Entry'!$Þ$791)</f>
      </c>
      <c r="FC791">
        <f>IF(ISBLANK('Data Entry'!$ß$791), "", 'Data Entry'!$ß$791)</f>
      </c>
      <c r="FD791">
        <f>IF(ISBLANK('Data Entry'!$à$791), "", 'Data Entry'!$à$791)</f>
      </c>
      <c r="FE791">
        <f>IF(ISBLANK('Data Entry'!$á$791), "", 'Data Entry'!$á$791)</f>
      </c>
      <c r="FF791">
        <f>IF(ISBLANK('Data Entry'!$â$791), "", 'Data Entry'!$â$791)</f>
      </c>
      <c r="FG791">
        <f>IF(ISBLANK('Data Entry'!$ã$791), "", 'Data Entry'!$ã$791)</f>
      </c>
      <c r="FH791">
        <f>IF(ISBLANK('Data Entry'!$ä$791), "", 'Data Entry'!$ä$791)</f>
      </c>
      <c r="FI791">
        <f>IF(ISBLANK('Data Entry'!$å$791), "", 'Data Entry'!$å$791)</f>
      </c>
      <c r="FJ791">
        <f>IF(ISBLANK('Data Entry'!$æ$791), "", 'Data Entry'!$æ$791)</f>
      </c>
      <c r="FK791">
        <f>IF(ISBLANK('Data Entry'!$ç$791), "", 'Data Entry'!$ç$791)</f>
      </c>
      <c r="FL791">
        <f>IF(ISBLANK('Data Entry'!$è$791), "", 'Data Entry'!$è$791)</f>
      </c>
      <c r="FM791">
        <f>IF(ISBLANK('Data Entry'!$é$791), "", 'Data Entry'!$é$791)</f>
      </c>
      <c r="FN791">
        <f>IF(ISBLANK('Data Entry'!$ê$791), "", 'Data Entry'!$ê$791)</f>
      </c>
      <c r="FO791">
        <f>IF(ISBLANK('Data Entry'!$ë$791), "", 'Data Entry'!$ë$791)</f>
      </c>
      <c r="FP791">
        <f>IF(ISBLANK('Data Entry'!$ì$791), "", 'Data Entry'!$ì$791)</f>
      </c>
      <c r="FQ791">
        <f>IF(ISBLANK('Data Entry'!$í$791), "", 'Data Entry'!$í$791)</f>
      </c>
      <c r="FR791">
        <f>IF(ISBLANK('Data Entry'!$î$791), "", 'Data Entry'!$î$791)</f>
      </c>
      <c r="FS791">
        <f>IF(ISBLANK('Data Entry'!$ï$791), "", 'Data Entry'!$ï$791)</f>
      </c>
      <c r="FT791">
        <f>IF(ISBLANK('Data Entry'!$ð$791), "", 'Data Entry'!$ð$791)</f>
      </c>
      <c r="FU791">
        <f>IF(ISBLANK('Data Entry'!$ñ$791), "", 'Data Entry'!$ñ$791)</f>
      </c>
      <c r="FV791">
        <f>IF(ISBLANK('Data Entry'!$ò$791), "", 'Data Entry'!$ò$791)</f>
      </c>
      <c r="FW791">
        <f>IF(ISBLANK('Data Entry'!$ó$791), "", 'Data Entry'!$ó$791)</f>
      </c>
      <c r="FX791">
        <f>IF(ISBLANK('Data Entry'!$ô$791), "", 'Data Entry'!$ô$791)</f>
      </c>
      <c r="FY791">
        <f>IF(ISBLANK('Data Entry'!$õ$791), "", 'Data Entry'!$õ$791)</f>
      </c>
      <c r="FZ791">
        <f>IF(ISBLANK('Data Entry'!$ö$791), "", 'Data Entry'!$ö$791)</f>
      </c>
      <c r="GA791">
        <f>IF(ISBLANK('Data Entry'!$÷$791), "", 'Data Entry'!$÷$791)</f>
      </c>
      <c r="GB791">
        <f>IF(ISBLANK('Data Entry'!$ø$791), "", 'Data Entry'!$ø$791)</f>
      </c>
      <c r="GC791">
        <f>IF(ISBLANK('Data Entry'!$ù$791), "", 'Data Entry'!$ù$791)</f>
      </c>
      <c r="GD791">
        <f>IF(ISBLANK('Data Entry'!$ú$791), "", 'Data Entry'!$ú$791)</f>
      </c>
      <c r="GE791">
        <f>IF(ISBLANK('Data Entry'!$û$791), "", 'Data Entry'!$û$791)</f>
      </c>
      <c r="GF791">
        <f>IF(ISBLANK('Data Entry'!$ü$791), "", 'Data Entry'!$ü$791)</f>
      </c>
      <c r="GG791">
        <f>IF(ISBLANK('Data Entry'!$ý$791), "", 'Data Entry'!$ý$791)</f>
      </c>
      <c r="GH791">
        <f>IF(ISBLANK('Data Entry'!$þ$791), "", 'Data Entry'!$þ$791)</f>
      </c>
      <c r="GI791">
        <f>IF(ISBLANK('Data Entry'!$ÿ$791), "", 'Data Entry'!$ÿ$791)</f>
      </c>
      <c r="GJ791">
        <f>IF(ISBLANK('Data Entry'!$Ā$791), "", 'Data Entry'!$Ā$791)</f>
      </c>
      <c r="GK791">
        <f>IF(ISBLANK('Data Entry'!$ā$791), "", 'Data Entry'!$ā$791)</f>
      </c>
      <c r="GL791">
        <f>IF(ISBLANK('Data Entry'!$Ă$791), "", 'Data Entry'!$Ă$791)</f>
      </c>
      <c r="GM791">
        <f>IF(ISBLANK('Data Entry'!$ă$791), "", 'Data Entry'!$ă$791)</f>
      </c>
      <c r="GN791">
        <f>IF(ISBLANK('Data Entry'!$Ą$791), "", 'Data Entry'!$Ą$791)</f>
      </c>
      <c r="GO791">
        <f>IF(ISBLANK('Data Entry'!$ą$791), "", 'Data Entry'!$ą$791)</f>
      </c>
      <c r="GP791">
        <f>IF(ISBLANK('Data Entry'!$Ć$791), "", 'Data Entry'!$Ć$791)</f>
      </c>
      <c r="GQ791">
        <f>IF(ISBLANK('Data Entry'!$ć$791), "", 'Data Entry'!$ć$791)</f>
      </c>
      <c r="GR791">
        <f>IF(ISBLANK('Data Entry'!$Ĉ$791), "", 'Data Entry'!$Ĉ$791)</f>
      </c>
      <c r="GS791">
        <f>IF(ISBLANK('Data Entry'!$ĉ$791), "", 'Data Entry'!$ĉ$791)</f>
      </c>
      <c r="GT791">
        <f>IF(ISBLANK('Data Entry'!$Ċ$791), "", 'Data Entry'!$Ċ$791)</f>
      </c>
      <c r="GU791">
        <f>IF(ISBLANK('Data Entry'!$ċ$791), "", 'Data Entry'!$ċ$791)</f>
      </c>
      <c r="GV791">
        <f>IF(ISBLANK('Data Entry'!$Č$791), "", 'Data Entry'!$Č$791)</f>
      </c>
      <c r="GW791">
        <f>IF(ISBLANK('Data Entry'!$č$791), "", 'Data Entry'!$č$791)</f>
      </c>
      <c r="GX791">
        <f>IF(ISBLANK('Data Entry'!$Ď$791), "", 'Data Entry'!$Ď$791)</f>
      </c>
      <c r="GY791">
        <f>IF(ISBLANK('Data Entry'!$ď$791), "", 'Data Entry'!$ď$791)</f>
      </c>
      <c r="GZ791">
        <f>IF(ISBLANK('Data Entry'!$Đ$791), "", 'Data Entry'!$Đ$791)</f>
      </c>
      <c r="HA791">
        <f>IF(ISBLANK('Data Entry'!$đ$791), "", 'Data Entry'!$đ$791)</f>
      </c>
      <c r="HB791">
        <f>IF(ISBLANK('Data Entry'!$Ē$791), "", 'Data Entry'!$Ē$791)</f>
      </c>
      <c r="HC791">
        <f>IF(ISBLANK('Data Entry'!$ē$791), "", 'Data Entry'!$ē$791)</f>
      </c>
      <c r="HD791">
        <f>IF(ISBLANK('Data Entry'!$Ĕ$791), "", 'Data Entry'!$Ĕ$791)</f>
      </c>
      <c r="HE791">
        <f>IF(ISBLANK('Data Entry'!$ĕ$791), "", 'Data Entry'!$ĕ$791)</f>
      </c>
      <c r="HF791">
        <f>IF(ISBLANK('Data Entry'!$Ė$791), "", 'Data Entry'!$Ė$791)</f>
      </c>
      <c r="HG791">
        <f>IF(ISBLANK('Data Entry'!$ė$791), "", 'Data Entry'!$ė$791)</f>
      </c>
      <c r="HH791">
        <f>IF(ISBLANK('Data Entry'!$Ę$791), "", 'Data Entry'!$Ę$791)</f>
      </c>
      <c r="HI791">
        <f>IF(ISBLANK('Data Entry'!$ę$791), "", 'Data Entry'!$ę$791)</f>
      </c>
      <c r="HJ791">
        <f>IF(ISBLANK('Data Entry'!$Ě$791), "", 'Data Entry'!$Ě$791)</f>
      </c>
      <c r="HK791">
        <f>IF(ISBLANK('Data Entry'!$ě$791), "", 'Data Entry'!$ě$791)</f>
      </c>
      <c r="HL791">
        <f>IF(ISBLANK('Data Entry'!$Ĝ$791), "", 'Data Entry'!$Ĝ$791)</f>
      </c>
      <c r="HM791">
        <f>IF(ISBLANK('Data Entry'!$ĝ$791), "", 'Data Entry'!$ĝ$791)</f>
      </c>
      <c r="HN791">
        <f>IF(ISBLANK('Data Entry'!$Ğ$791), "", 'Data Entry'!$Ğ$791)</f>
      </c>
      <c r="HO791">
        <f>IF(ISBLANK('Data Entry'!$ğ$791), "", 'Data Entry'!$ğ$791)</f>
      </c>
      <c r="HP791">
        <f>IF(ISBLANK('Data Entry'!$Ġ$791), "", 'Data Entry'!$Ġ$791)</f>
      </c>
      <c r="HQ791">
        <f>IF(ISBLANK('Data Entry'!$ġ$791), "", 'Data Entry'!$ġ$791)</f>
      </c>
      <c r="HR791">
        <f>IF(ISBLANK('Data Entry'!$Ģ$791), "", 'Data Entry'!$Ģ$791)</f>
      </c>
      <c r="HS791">
        <f>IF(ISBLANK('Data Entry'!$ģ$791), "", 'Data Entry'!$ģ$791)</f>
      </c>
      <c r="HT791">
        <f>IF(ISBLANK('Data Entry'!$Ĥ$791), "", 'Data Entry'!$Ĥ$791)</f>
      </c>
      <c r="HU791">
        <f>IF(ISBLANK('Data Entry'!$ĥ$791), "", 'Data Entry'!$ĥ$791)</f>
      </c>
      <c r="HV791">
        <f>IF(ISBLANK('Data Entry'!$Ħ$791), "", 'Data Entry'!$Ħ$791)</f>
      </c>
      <c r="HW791">
        <f>IF(ISBLANK('Data Entry'!$ħ$791), "", 'Data Entry'!$ħ$791)</f>
      </c>
      <c r="HX791">
        <f>IF(ISBLANK('Data Entry'!$Ĩ$791), "", 'Data Entry'!$Ĩ$791)</f>
      </c>
      <c r="HY791">
        <f>IF(ISBLANK('Data Entry'!$ĩ$791), "", 'Data Entry'!$ĩ$791)</f>
      </c>
      <c r="HZ791">
        <f>IF(ISBLANK('Data Entry'!$Ī$791), "", 'Data Entry'!$Ī$791)</f>
      </c>
      <c r="IA791">
        <f>IF(ISBLANK('Data Entry'!$ī$791), "", 'Data Entry'!$ī$791)</f>
      </c>
      <c r="IB791">
        <f>IF(ISBLANK('Data Entry'!$Ĭ$791), "", 'Data Entry'!$Ĭ$791)</f>
      </c>
      <c r="IC791">
        <f>IF(ISBLANK('Data Entry'!$ĭ$791), "", 'Data Entry'!$ĭ$791)</f>
      </c>
      <c r="ID791">
        <f>IF(ISBLANK('Data Entry'!$Į$791), "", 'Data Entry'!$Į$791)</f>
      </c>
      <c r="IE791">
        <f>IF(ISBLANK('Data Entry'!$į$791), "", 'Data Entry'!$į$791)</f>
      </c>
      <c r="IF791">
        <f>IF(ISBLANK('Data Entry'!$İ$791), "", 'Data Entry'!$İ$791)</f>
      </c>
      <c r="IG791">
        <f>IF(ISBLANK('Data Entry'!$ı$791), "", 'Data Entry'!$ı$791)</f>
      </c>
      <c r="IH791">
        <f>IF(ISBLANK('Data Entry'!$Ĳ$791), "", 'Data Entry'!$Ĳ$791)</f>
      </c>
      <c r="II791">
        <f>IF(ISBLANK('Data Entry'!$ĳ$791), "", 'Data Entry'!$ĳ$791)</f>
      </c>
      <c r="IJ791">
        <f>IF(ISBLANK('Data Entry'!$Ĵ$791), "", 'Data Entry'!$Ĵ$791)</f>
      </c>
      <c r="IK791">
        <f>IF(ISBLANK('Data Entry'!$ĵ$791), "", 'Data Entry'!$ĵ$791)</f>
      </c>
      <c r="IL791">
        <f>IF(ISBLANK('Data Entry'!$Ķ$791), "", 'Data Entry'!$Ķ$791)</f>
      </c>
      <c r="IM791">
        <f>IF(ISBLANK('Data Entry'!$ķ$791), "", 'Data Entry'!$ķ$791)</f>
      </c>
      <c r="IN791">
        <f>IF(ISBLANK('Data Entry'!$ĸ$791), "", 'Data Entry'!$ĸ$791)</f>
      </c>
      <c r="IO791">
        <f>IF(ISBLANK('Data Entry'!$Ĺ$791), "", 'Data Entry'!$Ĺ$791)</f>
      </c>
      <c r="IP791">
        <f>IF(ISBLANK('Data Entry'!$ĺ$791), "", 'Data Entry'!$ĺ$791)</f>
      </c>
      <c r="IQ791">
        <f>IF(ISBLANK('Data Entry'!$Ļ$791), "", 'Data Entry'!$Ļ$791)</f>
      </c>
      <c r="IR791">
        <f>IF(ISBLANK('Data Entry'!$ļ$791), "", 'Data Entry'!$ļ$791)</f>
      </c>
      <c r="IS791">
        <f>IF(ISBLANK('Data Entry'!$Ľ$791), "", 'Data Entry'!$Ľ$791)</f>
      </c>
      <c r="IT791">
        <f>IF(ISBLANK('Data Entry'!$ľ$791), "", 'Data Entry'!$ľ$791)</f>
      </c>
    </row>
    <row r="792" spans="1:254" x14ac:dyDescent="0.25">
      <c r="A792">
        <f>IF(ISBLANK('Data Entry'!$A$792), "", 'Data Entry'!$A$792)</f>
      </c>
      <c r="B792">
        <f>IF(ISBLANK('Data Entry'!$B$792), "", 'Data Entry'!$B$792)</f>
      </c>
      <c r="C792">
        <f>IF(ISBLANK('Data Entry'!$C$792), "", 'Data Entry'!$C$792)</f>
      </c>
      <c r="D792">
        <f>IF(ISBLANK('Data Entry'!$D$792), "", 'Data Entry'!$D$792)</f>
      </c>
      <c r="E792">
        <f>IF(ISBLANK('Data Entry'!$E$792), "", 'Data Entry'!$E$792)</f>
      </c>
      <c r="F792">
        <f>IF(ISBLANK('Data Entry'!$F$792), "", 'Data Entry'!$F$792)</f>
      </c>
      <c r="G792">
        <f>IF(ISBLANK('Data Entry'!$G$792), "", 'Data Entry'!$G$792)</f>
      </c>
      <c r="H792">
        <f>IF(ISBLANK('Data Entry'!$H$792), "", 'Data Entry'!$H$792)</f>
      </c>
      <c r="I792">
        <f>IF(ISBLANK('Data Entry'!$I$792), "", 'Data Entry'!$I$792)</f>
      </c>
      <c r="J792">
        <f>IF(ISBLANK('Data Entry'!$J$792), "", 'Data Entry'!$J$792)</f>
      </c>
      <c r="K792">
        <f>IF(ISBLANK('Data Entry'!$K$792), "", 'Data Entry'!$K$792)</f>
      </c>
      <c r="L792">
        <f>IF(ISBLANK('Data Entry'!$L$792), "", 'Data Entry'!$L$792)</f>
      </c>
      <c r="M792">
        <f>IF(ISBLANK('Data Entry'!$M$792), "", 'Data Entry'!$M$792)</f>
      </c>
      <c r="N792">
        <f>IF(ISBLANK('Data Entry'!$N$792), "", 'Data Entry'!$N$792)</f>
      </c>
      <c r="O792">
        <f>IF(ISBLANK('Data Entry'!$O$792), "", 'Data Entry'!$O$792)</f>
      </c>
      <c r="P792">
        <f>IF(ISBLANK('Data Entry'!$P$792), "", 'Data Entry'!$P$792)</f>
      </c>
      <c r="Q792">
        <f>IF(ISBLANK('Data Entry'!$Q$792), "", 'Data Entry'!$Q$792)</f>
      </c>
      <c r="R792">
        <f>IF(ISBLANK('Data Entry'!$R$792), "", 'Data Entry'!$R$792)</f>
      </c>
      <c r="S792">
        <f>IF(ISBLANK('Data Entry'!$S$792), "", 'Data Entry'!$S$792)</f>
      </c>
      <c r="T792">
        <f>IF(ISBLANK('Data Entry'!$T$792), "", 'Data Entry'!$T$792)</f>
      </c>
      <c r="U792">
        <f>IF(ISBLANK('Data Entry'!$U$792), "", 'Data Entry'!$U$792)</f>
      </c>
      <c r="V792">
        <f>IF(ISBLANK('Data Entry'!$V$792), "", 'Data Entry'!$V$792)</f>
      </c>
      <c r="W792">
        <f>IF(ISBLANK('Data Entry'!$W$792), "", 'Data Entry'!$W$792)</f>
      </c>
      <c r="X792">
        <f>IF(ISBLANK('Data Entry'!$X$792), "", 'Data Entry'!$X$792)</f>
      </c>
      <c r="Y792">
        <f>IF(ISBLANK('Data Entry'!$Y$792), "", 'Data Entry'!$Y$792)</f>
      </c>
      <c r="Z792">
        <f>IF(ISBLANK('Data Entry'!$Z$792), "", 'Data Entry'!$Z$792)</f>
      </c>
      <c r="AA792">
        <f>IF(ISBLANK('Data Entry'!$[$792), "", 'Data Entry'!$[$792)</f>
      </c>
      <c r="AB792">
        <f>IF(ISBLANK('Data Entry'!$\$792), "", 'Data Entry'!$\$792)</f>
      </c>
      <c r="AC792">
        <f>IF(ISBLANK('Data Entry'!$]$792), "", 'Data Entry'!$]$792)</f>
      </c>
      <c r="AD792">
        <f>IF(ISBLANK('Data Entry'!$^$792), "", 'Data Entry'!$^$792)</f>
      </c>
      <c r="AE792">
        <f>IF(ISBLANK('Data Entry'!$_$792), "", 'Data Entry'!$_$792)</f>
      </c>
      <c r="AF792">
        <f>IF(ISBLANK('Data Entry'!$`$792), "", 'Data Entry'!$`$792)</f>
      </c>
      <c r="AG792">
        <f>IF(ISBLANK('Data Entry'!$a$792), "", 'Data Entry'!$a$792)</f>
      </c>
      <c r="AH792">
        <f>IF(ISBLANK('Data Entry'!$b$792), "", 'Data Entry'!$b$792)</f>
      </c>
      <c r="AI792">
        <f>IF(ISBLANK('Data Entry'!$c$792), "", 'Data Entry'!$c$792)</f>
      </c>
      <c r="AJ792">
        <f>IF(ISBLANK('Data Entry'!$d$792), "", 'Data Entry'!$d$792)</f>
      </c>
      <c r="AK792">
        <f>IF(ISBLANK('Data Entry'!$e$792), "", 'Data Entry'!$e$792)</f>
      </c>
      <c r="AL792">
        <f>IF(ISBLANK('Data Entry'!$f$792), "", 'Data Entry'!$f$792)</f>
      </c>
      <c r="AM792">
        <f>IF(ISBLANK('Data Entry'!$g$792), "", 'Data Entry'!$g$792)</f>
      </c>
      <c r="AN792">
        <f>IF(ISBLANK('Data Entry'!$h$792), "", 'Data Entry'!$h$792)</f>
      </c>
      <c r="AO792">
        <f>IF(ISBLANK('Data Entry'!$i$792), "", 'Data Entry'!$i$792)</f>
      </c>
      <c r="AP792">
        <f>IF(ISBLANK('Data Entry'!$j$792), "", 'Data Entry'!$j$792)</f>
      </c>
      <c r="AQ792">
        <f>IF(ISBLANK('Data Entry'!$k$792), "", 'Data Entry'!$k$792)</f>
      </c>
      <c r="AR792">
        <f>IF(ISBLANK('Data Entry'!$l$792), "", 'Data Entry'!$l$792)</f>
      </c>
      <c r="AS792">
        <f>IF(ISBLANK('Data Entry'!$m$792), "", 'Data Entry'!$m$792)</f>
      </c>
      <c r="AT792">
        <f>IF(ISBLANK('Data Entry'!$n$792), "", 'Data Entry'!$n$792)</f>
      </c>
      <c r="AU792">
        <f>IF(ISBLANK('Data Entry'!$o$792), "", 'Data Entry'!$o$792)</f>
      </c>
      <c r="AV792">
        <f>IF(ISBLANK('Data Entry'!$p$792), "", 'Data Entry'!$p$792)</f>
      </c>
      <c r="AW792">
        <f>IF(ISBLANK('Data Entry'!$q$792), "", 'Data Entry'!$q$792)</f>
      </c>
      <c r="AX792">
        <f>IF(ISBLANK('Data Entry'!$r$792), "", 'Data Entry'!$r$792)</f>
      </c>
      <c r="AY792">
        <f>IF(ISBLANK('Data Entry'!$s$792), "", 'Data Entry'!$s$792)</f>
      </c>
      <c r="AZ792">
        <f>IF(ISBLANK('Data Entry'!$t$792), "", 'Data Entry'!$t$792)</f>
      </c>
      <c r="BA792">
        <f>IF(ISBLANK('Data Entry'!$u$792), "", 'Data Entry'!$u$792)</f>
      </c>
      <c r="BB792">
        <f>IF(ISBLANK('Data Entry'!$v$792), "", 'Data Entry'!$v$792)</f>
      </c>
      <c r="BC792">
        <f>IF(ISBLANK('Data Entry'!$w$792), "", 'Data Entry'!$w$792)</f>
      </c>
      <c r="BD792">
        <f>IF(ISBLANK('Data Entry'!$x$792), "", 'Data Entry'!$x$792)</f>
      </c>
      <c r="BE792">
        <f>IF(ISBLANK('Data Entry'!$y$792), "", 'Data Entry'!$y$792)</f>
      </c>
      <c r="BF792">
        <f>IF(ISBLANK('Data Entry'!$z$792), "", 'Data Entry'!$z$792)</f>
      </c>
      <c r="BG792">
        <f>IF(ISBLANK('Data Entry'!${$792), "", 'Data Entry'!${$792)</f>
      </c>
      <c r="BH792">
        <f>IF(ISBLANK('Data Entry'!$|$792), "", 'Data Entry'!$|$792)</f>
      </c>
      <c r="BI792">
        <f>IF(ISBLANK('Data Entry'!$}$792), "", 'Data Entry'!$}$792)</f>
      </c>
      <c r="BJ792">
        <f>IF(ISBLANK('Data Entry'!$~$792), "", 'Data Entry'!$~$792)</f>
      </c>
      <c r="BK792">
        <f>IF(ISBLANK('Data Entry'!$$792), "", 'Data Entry'!$$792)</f>
      </c>
      <c r="BL792">
        <f>IF(ISBLANK('Data Entry'!$$792), "", 'Data Entry'!$$792)</f>
      </c>
      <c r="BM792">
        <f>IF(ISBLANK('Data Entry'!$$792), "", 'Data Entry'!$$792)</f>
      </c>
      <c r="BN792">
        <f>IF(ISBLANK('Data Entry'!$$792), "", 'Data Entry'!$$792)</f>
      </c>
      <c r="BO792">
        <f>IF(ISBLANK('Data Entry'!$$792), "", 'Data Entry'!$$792)</f>
      </c>
      <c r="BP792">
        <f>IF(ISBLANK('Data Entry'!$$792), "", 'Data Entry'!$$792)</f>
      </c>
      <c r="BQ792">
        <f>IF(ISBLANK('Data Entry'!$$792), "", 'Data Entry'!$$792)</f>
      </c>
      <c r="BR792">
        <f>IF(ISBLANK('Data Entry'!$$792), "", 'Data Entry'!$$792)</f>
      </c>
      <c r="BS792">
        <f>IF(ISBLANK('Data Entry'!$$792), "", 'Data Entry'!$$792)</f>
      </c>
      <c r="BT792">
        <f>IF(ISBLANK('Data Entry'!$$792), "", 'Data Entry'!$$792)</f>
      </c>
      <c r="BU792">
        <f>IF(ISBLANK('Data Entry'!$$792), "", 'Data Entry'!$$792)</f>
      </c>
      <c r="BV792">
        <f>IF(ISBLANK('Data Entry'!$$792), "", 'Data Entry'!$$792)</f>
      </c>
      <c r="BW792">
        <f>IF(ISBLANK('Data Entry'!$$792), "", 'Data Entry'!$$792)</f>
      </c>
      <c r="BX792">
        <f>IF(ISBLANK('Data Entry'!$$792), "", 'Data Entry'!$$792)</f>
      </c>
      <c r="BY792">
        <f>IF(ISBLANK('Data Entry'!$$792), "", 'Data Entry'!$$792)</f>
      </c>
      <c r="BZ792">
        <f>IF(ISBLANK('Data Entry'!$$792), "", 'Data Entry'!$$792)</f>
      </c>
      <c r="CA792">
        <f>IF(ISBLANK('Data Entry'!$$792), "", 'Data Entry'!$$792)</f>
      </c>
      <c r="CB792">
        <f>IF(ISBLANK('Data Entry'!$$792), "", 'Data Entry'!$$792)</f>
      </c>
      <c r="CC792">
        <f>IF(ISBLANK('Data Entry'!$$792), "", 'Data Entry'!$$792)</f>
      </c>
      <c r="CD792">
        <f>IF(ISBLANK('Data Entry'!$$792), "", 'Data Entry'!$$792)</f>
      </c>
      <c r="CE792">
        <f>IF(ISBLANK('Data Entry'!$$792), "", 'Data Entry'!$$792)</f>
      </c>
      <c r="CF792">
        <f>IF(ISBLANK('Data Entry'!$$792), "", 'Data Entry'!$$792)</f>
      </c>
      <c r="CG792">
        <f>IF(ISBLANK('Data Entry'!$$792), "", 'Data Entry'!$$792)</f>
      </c>
      <c r="CH792">
        <f>IF(ISBLANK('Data Entry'!$$792), "", 'Data Entry'!$$792)</f>
      </c>
      <c r="CI792">
        <f>IF(ISBLANK('Data Entry'!$$792), "", 'Data Entry'!$$792)</f>
      </c>
      <c r="CJ792">
        <f>IF(ISBLANK('Data Entry'!$$792), "", 'Data Entry'!$$792)</f>
      </c>
      <c r="CK792">
        <f>IF(ISBLANK('Data Entry'!$$792), "", 'Data Entry'!$$792)</f>
      </c>
      <c r="CL792">
        <f>IF(ISBLANK('Data Entry'!$$792), "", 'Data Entry'!$$792)</f>
      </c>
      <c r="CM792">
        <f>IF(ISBLANK('Data Entry'!$$792), "", 'Data Entry'!$$792)</f>
      </c>
      <c r="CN792">
        <f>IF(ISBLANK('Data Entry'!$$792), "", 'Data Entry'!$$792)</f>
      </c>
      <c r="CO792">
        <f>IF(ISBLANK('Data Entry'!$$792), "", 'Data Entry'!$$792)</f>
      </c>
      <c r="CP792">
        <f>IF(ISBLANK('Data Entry'!$$792), "", 'Data Entry'!$$792)</f>
      </c>
      <c r="CQ792">
        <f>IF(ISBLANK('Data Entry'!$$792), "", 'Data Entry'!$$792)</f>
      </c>
      <c r="CR792">
        <f>IF(ISBLANK('Data Entry'!$ $792), "", 'Data Entry'!$ $792)</f>
      </c>
      <c r="CS792">
        <f>IF(ISBLANK('Data Entry'!$¡$792), "", 'Data Entry'!$¡$792)</f>
      </c>
      <c r="CT792">
        <f>IF(ISBLANK('Data Entry'!$¢$792), "", 'Data Entry'!$¢$792)</f>
      </c>
      <c r="CU792">
        <f>IF(ISBLANK('Data Entry'!$£$792), "", 'Data Entry'!$£$792)</f>
      </c>
      <c r="CV792">
        <f>IF(ISBLANK('Data Entry'!$¤$792), "", 'Data Entry'!$¤$792)</f>
      </c>
      <c r="CW792">
        <f>IF(ISBLANK('Data Entry'!$¥$792), "", 'Data Entry'!$¥$792)</f>
      </c>
      <c r="CX792">
        <f>IF(ISBLANK('Data Entry'!$¦$792), "", 'Data Entry'!$¦$792)</f>
      </c>
      <c r="CY792">
        <f>IF(ISBLANK('Data Entry'!$§$792), "", 'Data Entry'!$§$792)</f>
      </c>
      <c r="CZ792">
        <f>IF(ISBLANK('Data Entry'!$¨$792), "", 'Data Entry'!$¨$792)</f>
      </c>
      <c r="DA792">
        <f>IF(ISBLANK('Data Entry'!$©$792), "", 'Data Entry'!$©$792)</f>
      </c>
      <c r="DB792">
        <f>IF(ISBLANK('Data Entry'!$ª$792), "", 'Data Entry'!$ª$792)</f>
      </c>
      <c r="DC792">
        <f>IF(ISBLANK('Data Entry'!$«$792), "", 'Data Entry'!$«$792)</f>
      </c>
      <c r="DD792">
        <f>IF(ISBLANK('Data Entry'!$¬$792), "", 'Data Entry'!$¬$792)</f>
      </c>
      <c r="DE792">
        <f>IF(ISBLANK('Data Entry'!$­$792), "", 'Data Entry'!$­$792)</f>
      </c>
      <c r="DF792">
        <f>IF(ISBLANK('Data Entry'!$®$792), "", 'Data Entry'!$®$792)</f>
      </c>
      <c r="DG792">
        <f>IF(ISBLANK('Data Entry'!$¯$792), "", 'Data Entry'!$¯$792)</f>
      </c>
      <c r="DH792">
        <f>IF(ISBLANK('Data Entry'!$°$792), "", 'Data Entry'!$°$792)</f>
      </c>
      <c r="DI792">
        <f>IF(ISBLANK('Data Entry'!$±$792), "", 'Data Entry'!$±$792)</f>
      </c>
      <c r="DJ792">
        <f>IF(ISBLANK('Data Entry'!$²$792), "", 'Data Entry'!$²$792)</f>
      </c>
      <c r="DK792">
        <f>IF(ISBLANK('Data Entry'!$³$792), "", 'Data Entry'!$³$792)</f>
      </c>
      <c r="DL792">
        <f>IF(ISBLANK('Data Entry'!$´$792), "", 'Data Entry'!$´$792)</f>
      </c>
      <c r="DM792">
        <f>IF(ISBLANK('Data Entry'!$µ$792), "", 'Data Entry'!$µ$792)</f>
      </c>
      <c r="DN792">
        <f>IF(ISBLANK('Data Entry'!$¶$792), "", 'Data Entry'!$¶$792)</f>
      </c>
      <c r="DO792">
        <f>IF(ISBLANK('Data Entry'!$·$792), "", 'Data Entry'!$·$792)</f>
      </c>
      <c r="DP792">
        <f>IF(ISBLANK('Data Entry'!$¸$792), "", 'Data Entry'!$¸$792)</f>
      </c>
      <c r="DQ792">
        <f>IF(ISBLANK('Data Entry'!$¹$792), "", 'Data Entry'!$¹$792)</f>
      </c>
      <c r="DR792">
        <f>IF(ISBLANK('Data Entry'!$º$792), "", 'Data Entry'!$º$792)</f>
      </c>
      <c r="DS792">
        <f>IF(ISBLANK('Data Entry'!$»$792), "", 'Data Entry'!$»$792)</f>
      </c>
      <c r="DT792">
        <f>IF(ISBLANK('Data Entry'!$¼$792), "", 'Data Entry'!$¼$792)</f>
      </c>
      <c r="DU792">
        <f>IF(ISBLANK('Data Entry'!$½$792), "", 'Data Entry'!$½$792)</f>
      </c>
      <c r="DV792">
        <f>IF(ISBLANK('Data Entry'!$¾$792), "", 'Data Entry'!$¾$792)</f>
      </c>
      <c r="DW792">
        <f>IF(ISBLANK('Data Entry'!$¿$792), "", 'Data Entry'!$¿$792)</f>
      </c>
      <c r="DX792">
        <f>IF(ISBLANK('Data Entry'!$À$792), "", 'Data Entry'!$À$792)</f>
      </c>
      <c r="DY792">
        <f>IF(ISBLANK('Data Entry'!$Á$792), "", 'Data Entry'!$Á$792)</f>
      </c>
      <c r="DZ792">
        <f>IF(ISBLANK('Data Entry'!$Â$792), "", 'Data Entry'!$Â$792)</f>
      </c>
      <c r="EA792">
        <f>IF(ISBLANK('Data Entry'!$Ã$792), "", 'Data Entry'!$Ã$792)</f>
      </c>
      <c r="EB792">
        <f>IF(ISBLANK('Data Entry'!$Ä$792), "", 'Data Entry'!$Ä$792)</f>
      </c>
      <c r="EC792">
        <f>IF(ISBLANK('Data Entry'!$Å$792), "", 'Data Entry'!$Å$792)</f>
      </c>
      <c r="ED792">
        <f>IF(ISBLANK('Data Entry'!$Æ$792), "", 'Data Entry'!$Æ$792)</f>
      </c>
      <c r="EE792">
        <f>IF(ISBLANK('Data Entry'!$Ç$792), "", 'Data Entry'!$Ç$792)</f>
      </c>
      <c r="EF792">
        <f>IF(ISBLANK('Data Entry'!$È$792), "", 'Data Entry'!$È$792)</f>
      </c>
      <c r="EG792">
        <f>IF(ISBLANK('Data Entry'!$É$792), "", 'Data Entry'!$É$792)</f>
      </c>
      <c r="EH792">
        <f>IF(ISBLANK('Data Entry'!$Ê$792), "", 'Data Entry'!$Ê$792)</f>
      </c>
      <c r="EI792">
        <f>IF(ISBLANK('Data Entry'!$Ë$792), "", 'Data Entry'!$Ë$792)</f>
      </c>
      <c r="EJ792">
        <f>IF(ISBLANK('Data Entry'!$Ì$792), "", 'Data Entry'!$Ì$792)</f>
      </c>
      <c r="EK792">
        <f>IF(ISBLANK('Data Entry'!$Í$792), "", 'Data Entry'!$Í$792)</f>
      </c>
      <c r="EL792">
        <f>IF(ISBLANK('Data Entry'!$Î$792), "", 'Data Entry'!$Î$792)</f>
      </c>
      <c r="EM792">
        <f>IF(ISBLANK('Data Entry'!$Ï$792), "", 'Data Entry'!$Ï$792)</f>
      </c>
      <c r="EN792">
        <f>IF(ISBLANK('Data Entry'!$Ð$792), "", 'Data Entry'!$Ð$792)</f>
      </c>
      <c r="EO792">
        <f>IF(ISBLANK('Data Entry'!$Ñ$792), "", 'Data Entry'!$Ñ$792)</f>
      </c>
      <c r="EP792">
        <f>IF(ISBLANK('Data Entry'!$Ò$792), "", 'Data Entry'!$Ò$792)</f>
      </c>
      <c r="EQ792">
        <f>IF(ISBLANK('Data Entry'!$Ó$792), "", 'Data Entry'!$Ó$792)</f>
      </c>
      <c r="ER792">
        <f>IF(ISBLANK('Data Entry'!$Ô$792), "", 'Data Entry'!$Ô$792)</f>
      </c>
      <c r="ES792">
        <f>IF(ISBLANK('Data Entry'!$Õ$792), "", 'Data Entry'!$Õ$792)</f>
      </c>
      <c r="ET792">
        <f>IF(ISBLANK('Data Entry'!$Ö$792), "", 'Data Entry'!$Ö$792)</f>
      </c>
      <c r="EU792">
        <f>IF(ISBLANK('Data Entry'!$×$792), "", 'Data Entry'!$×$792)</f>
      </c>
      <c r="EV792">
        <f>IF(ISBLANK('Data Entry'!$Ø$792), "", 'Data Entry'!$Ø$792)</f>
      </c>
      <c r="EW792">
        <f>IF(ISBLANK('Data Entry'!$Ù$792), "", 'Data Entry'!$Ù$792)</f>
      </c>
      <c r="EX792">
        <f>IF(ISBLANK('Data Entry'!$Ú$792), "", 'Data Entry'!$Ú$792)</f>
      </c>
      <c r="EY792">
        <f>IF(ISBLANK('Data Entry'!$Û$792), "", 'Data Entry'!$Û$792)</f>
      </c>
      <c r="EZ792">
        <f>IF(ISBLANK('Data Entry'!$Ü$792), "", 'Data Entry'!$Ü$792)</f>
      </c>
      <c r="FA792">
        <f>IF(ISBLANK('Data Entry'!$Ý$792), "", 'Data Entry'!$Ý$792)</f>
      </c>
      <c r="FB792">
        <f>IF(ISBLANK('Data Entry'!$Þ$792), "", 'Data Entry'!$Þ$792)</f>
      </c>
      <c r="FC792">
        <f>IF(ISBLANK('Data Entry'!$ß$792), "", 'Data Entry'!$ß$792)</f>
      </c>
      <c r="FD792">
        <f>IF(ISBLANK('Data Entry'!$à$792), "", 'Data Entry'!$à$792)</f>
      </c>
      <c r="FE792">
        <f>IF(ISBLANK('Data Entry'!$á$792), "", 'Data Entry'!$á$792)</f>
      </c>
      <c r="FF792">
        <f>IF(ISBLANK('Data Entry'!$â$792), "", 'Data Entry'!$â$792)</f>
      </c>
      <c r="FG792">
        <f>IF(ISBLANK('Data Entry'!$ã$792), "", 'Data Entry'!$ã$792)</f>
      </c>
      <c r="FH792">
        <f>IF(ISBLANK('Data Entry'!$ä$792), "", 'Data Entry'!$ä$792)</f>
      </c>
      <c r="FI792">
        <f>IF(ISBLANK('Data Entry'!$å$792), "", 'Data Entry'!$å$792)</f>
      </c>
      <c r="FJ792">
        <f>IF(ISBLANK('Data Entry'!$æ$792), "", 'Data Entry'!$æ$792)</f>
      </c>
      <c r="FK792">
        <f>IF(ISBLANK('Data Entry'!$ç$792), "", 'Data Entry'!$ç$792)</f>
      </c>
      <c r="FL792">
        <f>IF(ISBLANK('Data Entry'!$è$792), "", 'Data Entry'!$è$792)</f>
      </c>
      <c r="FM792">
        <f>IF(ISBLANK('Data Entry'!$é$792), "", 'Data Entry'!$é$792)</f>
      </c>
      <c r="FN792">
        <f>IF(ISBLANK('Data Entry'!$ê$792), "", 'Data Entry'!$ê$792)</f>
      </c>
      <c r="FO792">
        <f>IF(ISBLANK('Data Entry'!$ë$792), "", 'Data Entry'!$ë$792)</f>
      </c>
      <c r="FP792">
        <f>IF(ISBLANK('Data Entry'!$ì$792), "", 'Data Entry'!$ì$792)</f>
      </c>
      <c r="FQ792">
        <f>IF(ISBLANK('Data Entry'!$í$792), "", 'Data Entry'!$í$792)</f>
      </c>
      <c r="FR792">
        <f>IF(ISBLANK('Data Entry'!$î$792), "", 'Data Entry'!$î$792)</f>
      </c>
      <c r="FS792">
        <f>IF(ISBLANK('Data Entry'!$ï$792), "", 'Data Entry'!$ï$792)</f>
      </c>
      <c r="FT792">
        <f>IF(ISBLANK('Data Entry'!$ð$792), "", 'Data Entry'!$ð$792)</f>
      </c>
      <c r="FU792">
        <f>IF(ISBLANK('Data Entry'!$ñ$792), "", 'Data Entry'!$ñ$792)</f>
      </c>
      <c r="FV792">
        <f>IF(ISBLANK('Data Entry'!$ò$792), "", 'Data Entry'!$ò$792)</f>
      </c>
      <c r="FW792">
        <f>IF(ISBLANK('Data Entry'!$ó$792), "", 'Data Entry'!$ó$792)</f>
      </c>
      <c r="FX792">
        <f>IF(ISBLANK('Data Entry'!$ô$792), "", 'Data Entry'!$ô$792)</f>
      </c>
      <c r="FY792">
        <f>IF(ISBLANK('Data Entry'!$õ$792), "", 'Data Entry'!$õ$792)</f>
      </c>
      <c r="FZ792">
        <f>IF(ISBLANK('Data Entry'!$ö$792), "", 'Data Entry'!$ö$792)</f>
      </c>
      <c r="GA792">
        <f>IF(ISBLANK('Data Entry'!$÷$792), "", 'Data Entry'!$÷$792)</f>
      </c>
      <c r="GB792">
        <f>IF(ISBLANK('Data Entry'!$ø$792), "", 'Data Entry'!$ø$792)</f>
      </c>
      <c r="GC792">
        <f>IF(ISBLANK('Data Entry'!$ù$792), "", 'Data Entry'!$ù$792)</f>
      </c>
      <c r="GD792">
        <f>IF(ISBLANK('Data Entry'!$ú$792), "", 'Data Entry'!$ú$792)</f>
      </c>
      <c r="GE792">
        <f>IF(ISBLANK('Data Entry'!$û$792), "", 'Data Entry'!$û$792)</f>
      </c>
      <c r="GF792">
        <f>IF(ISBLANK('Data Entry'!$ü$792), "", 'Data Entry'!$ü$792)</f>
      </c>
      <c r="GG792">
        <f>IF(ISBLANK('Data Entry'!$ý$792), "", 'Data Entry'!$ý$792)</f>
      </c>
      <c r="GH792">
        <f>IF(ISBLANK('Data Entry'!$þ$792), "", 'Data Entry'!$þ$792)</f>
      </c>
      <c r="GI792">
        <f>IF(ISBLANK('Data Entry'!$ÿ$792), "", 'Data Entry'!$ÿ$792)</f>
      </c>
      <c r="GJ792">
        <f>IF(ISBLANK('Data Entry'!$Ā$792), "", 'Data Entry'!$Ā$792)</f>
      </c>
      <c r="GK792">
        <f>IF(ISBLANK('Data Entry'!$ā$792), "", 'Data Entry'!$ā$792)</f>
      </c>
      <c r="GL792">
        <f>IF(ISBLANK('Data Entry'!$Ă$792), "", 'Data Entry'!$Ă$792)</f>
      </c>
      <c r="GM792">
        <f>IF(ISBLANK('Data Entry'!$ă$792), "", 'Data Entry'!$ă$792)</f>
      </c>
      <c r="GN792">
        <f>IF(ISBLANK('Data Entry'!$Ą$792), "", 'Data Entry'!$Ą$792)</f>
      </c>
      <c r="GO792">
        <f>IF(ISBLANK('Data Entry'!$ą$792), "", 'Data Entry'!$ą$792)</f>
      </c>
      <c r="GP792">
        <f>IF(ISBLANK('Data Entry'!$Ć$792), "", 'Data Entry'!$Ć$792)</f>
      </c>
      <c r="GQ792">
        <f>IF(ISBLANK('Data Entry'!$ć$792), "", 'Data Entry'!$ć$792)</f>
      </c>
      <c r="GR792">
        <f>IF(ISBLANK('Data Entry'!$Ĉ$792), "", 'Data Entry'!$Ĉ$792)</f>
      </c>
      <c r="GS792">
        <f>IF(ISBLANK('Data Entry'!$ĉ$792), "", 'Data Entry'!$ĉ$792)</f>
      </c>
      <c r="GT792">
        <f>IF(ISBLANK('Data Entry'!$Ċ$792), "", 'Data Entry'!$Ċ$792)</f>
      </c>
      <c r="GU792">
        <f>IF(ISBLANK('Data Entry'!$ċ$792), "", 'Data Entry'!$ċ$792)</f>
      </c>
      <c r="GV792">
        <f>IF(ISBLANK('Data Entry'!$Č$792), "", 'Data Entry'!$Č$792)</f>
      </c>
      <c r="GW792">
        <f>IF(ISBLANK('Data Entry'!$č$792), "", 'Data Entry'!$č$792)</f>
      </c>
      <c r="GX792">
        <f>IF(ISBLANK('Data Entry'!$Ď$792), "", 'Data Entry'!$Ď$792)</f>
      </c>
      <c r="GY792">
        <f>IF(ISBLANK('Data Entry'!$ď$792), "", 'Data Entry'!$ď$792)</f>
      </c>
      <c r="GZ792">
        <f>IF(ISBLANK('Data Entry'!$Đ$792), "", 'Data Entry'!$Đ$792)</f>
      </c>
      <c r="HA792">
        <f>IF(ISBLANK('Data Entry'!$đ$792), "", 'Data Entry'!$đ$792)</f>
      </c>
      <c r="HB792">
        <f>IF(ISBLANK('Data Entry'!$Ē$792), "", 'Data Entry'!$Ē$792)</f>
      </c>
      <c r="HC792">
        <f>IF(ISBLANK('Data Entry'!$ē$792), "", 'Data Entry'!$ē$792)</f>
      </c>
      <c r="HD792">
        <f>IF(ISBLANK('Data Entry'!$Ĕ$792), "", 'Data Entry'!$Ĕ$792)</f>
      </c>
      <c r="HE792">
        <f>IF(ISBLANK('Data Entry'!$ĕ$792), "", 'Data Entry'!$ĕ$792)</f>
      </c>
      <c r="HF792">
        <f>IF(ISBLANK('Data Entry'!$Ė$792), "", 'Data Entry'!$Ė$792)</f>
      </c>
      <c r="HG792">
        <f>IF(ISBLANK('Data Entry'!$ė$792), "", 'Data Entry'!$ė$792)</f>
      </c>
      <c r="HH792">
        <f>IF(ISBLANK('Data Entry'!$Ę$792), "", 'Data Entry'!$Ę$792)</f>
      </c>
      <c r="HI792">
        <f>IF(ISBLANK('Data Entry'!$ę$792), "", 'Data Entry'!$ę$792)</f>
      </c>
      <c r="HJ792">
        <f>IF(ISBLANK('Data Entry'!$Ě$792), "", 'Data Entry'!$Ě$792)</f>
      </c>
      <c r="HK792">
        <f>IF(ISBLANK('Data Entry'!$ě$792), "", 'Data Entry'!$ě$792)</f>
      </c>
      <c r="HL792">
        <f>IF(ISBLANK('Data Entry'!$Ĝ$792), "", 'Data Entry'!$Ĝ$792)</f>
      </c>
      <c r="HM792">
        <f>IF(ISBLANK('Data Entry'!$ĝ$792), "", 'Data Entry'!$ĝ$792)</f>
      </c>
      <c r="HN792">
        <f>IF(ISBLANK('Data Entry'!$Ğ$792), "", 'Data Entry'!$Ğ$792)</f>
      </c>
      <c r="HO792">
        <f>IF(ISBLANK('Data Entry'!$ğ$792), "", 'Data Entry'!$ğ$792)</f>
      </c>
      <c r="HP792">
        <f>IF(ISBLANK('Data Entry'!$Ġ$792), "", 'Data Entry'!$Ġ$792)</f>
      </c>
      <c r="HQ792">
        <f>IF(ISBLANK('Data Entry'!$ġ$792), "", 'Data Entry'!$ġ$792)</f>
      </c>
      <c r="HR792">
        <f>IF(ISBLANK('Data Entry'!$Ģ$792), "", 'Data Entry'!$Ģ$792)</f>
      </c>
      <c r="HS792">
        <f>IF(ISBLANK('Data Entry'!$ģ$792), "", 'Data Entry'!$ģ$792)</f>
      </c>
      <c r="HT792">
        <f>IF(ISBLANK('Data Entry'!$Ĥ$792), "", 'Data Entry'!$Ĥ$792)</f>
      </c>
      <c r="HU792">
        <f>IF(ISBLANK('Data Entry'!$ĥ$792), "", 'Data Entry'!$ĥ$792)</f>
      </c>
      <c r="HV792">
        <f>IF(ISBLANK('Data Entry'!$Ħ$792), "", 'Data Entry'!$Ħ$792)</f>
      </c>
      <c r="HW792">
        <f>IF(ISBLANK('Data Entry'!$ħ$792), "", 'Data Entry'!$ħ$792)</f>
      </c>
      <c r="HX792">
        <f>IF(ISBLANK('Data Entry'!$Ĩ$792), "", 'Data Entry'!$Ĩ$792)</f>
      </c>
      <c r="HY792">
        <f>IF(ISBLANK('Data Entry'!$ĩ$792), "", 'Data Entry'!$ĩ$792)</f>
      </c>
      <c r="HZ792">
        <f>IF(ISBLANK('Data Entry'!$Ī$792), "", 'Data Entry'!$Ī$792)</f>
      </c>
      <c r="IA792">
        <f>IF(ISBLANK('Data Entry'!$ī$792), "", 'Data Entry'!$ī$792)</f>
      </c>
      <c r="IB792">
        <f>IF(ISBLANK('Data Entry'!$Ĭ$792), "", 'Data Entry'!$Ĭ$792)</f>
      </c>
      <c r="IC792">
        <f>IF(ISBLANK('Data Entry'!$ĭ$792), "", 'Data Entry'!$ĭ$792)</f>
      </c>
      <c r="ID792">
        <f>IF(ISBLANK('Data Entry'!$Į$792), "", 'Data Entry'!$Į$792)</f>
      </c>
      <c r="IE792">
        <f>IF(ISBLANK('Data Entry'!$į$792), "", 'Data Entry'!$į$792)</f>
      </c>
      <c r="IF792">
        <f>IF(ISBLANK('Data Entry'!$İ$792), "", 'Data Entry'!$İ$792)</f>
      </c>
      <c r="IG792">
        <f>IF(ISBLANK('Data Entry'!$ı$792), "", 'Data Entry'!$ı$792)</f>
      </c>
      <c r="IH792">
        <f>IF(ISBLANK('Data Entry'!$Ĳ$792), "", 'Data Entry'!$Ĳ$792)</f>
      </c>
      <c r="II792">
        <f>IF(ISBLANK('Data Entry'!$ĳ$792), "", 'Data Entry'!$ĳ$792)</f>
      </c>
      <c r="IJ792">
        <f>IF(ISBLANK('Data Entry'!$Ĵ$792), "", 'Data Entry'!$Ĵ$792)</f>
      </c>
      <c r="IK792">
        <f>IF(ISBLANK('Data Entry'!$ĵ$792), "", 'Data Entry'!$ĵ$792)</f>
      </c>
      <c r="IL792">
        <f>IF(ISBLANK('Data Entry'!$Ķ$792), "", 'Data Entry'!$Ķ$792)</f>
      </c>
      <c r="IM792">
        <f>IF(ISBLANK('Data Entry'!$ķ$792), "", 'Data Entry'!$ķ$792)</f>
      </c>
      <c r="IN792">
        <f>IF(ISBLANK('Data Entry'!$ĸ$792), "", 'Data Entry'!$ĸ$792)</f>
      </c>
      <c r="IO792">
        <f>IF(ISBLANK('Data Entry'!$Ĺ$792), "", 'Data Entry'!$Ĺ$792)</f>
      </c>
      <c r="IP792">
        <f>IF(ISBLANK('Data Entry'!$ĺ$792), "", 'Data Entry'!$ĺ$792)</f>
      </c>
      <c r="IQ792">
        <f>IF(ISBLANK('Data Entry'!$Ļ$792), "", 'Data Entry'!$Ļ$792)</f>
      </c>
      <c r="IR792">
        <f>IF(ISBLANK('Data Entry'!$ļ$792), "", 'Data Entry'!$ļ$792)</f>
      </c>
      <c r="IS792">
        <f>IF(ISBLANK('Data Entry'!$Ľ$792), "", 'Data Entry'!$Ľ$792)</f>
      </c>
      <c r="IT792">
        <f>IF(ISBLANK('Data Entry'!$ľ$792), "", 'Data Entry'!$ľ$792)</f>
      </c>
    </row>
    <row r="793" spans="1:254" x14ac:dyDescent="0.25">
      <c r="A793">
        <f>IF(ISBLANK('Data Entry'!$A$793), "", 'Data Entry'!$A$793)</f>
      </c>
      <c r="B793">
        <f>IF(ISBLANK('Data Entry'!$B$793), "", 'Data Entry'!$B$793)</f>
      </c>
      <c r="C793">
        <f>IF(ISBLANK('Data Entry'!$C$793), "", 'Data Entry'!$C$793)</f>
      </c>
      <c r="D793">
        <f>IF(ISBLANK('Data Entry'!$D$793), "", 'Data Entry'!$D$793)</f>
      </c>
      <c r="E793">
        <f>IF(ISBLANK('Data Entry'!$E$793), "", 'Data Entry'!$E$793)</f>
      </c>
      <c r="F793">
        <f>IF(ISBLANK('Data Entry'!$F$793), "", 'Data Entry'!$F$793)</f>
      </c>
      <c r="G793">
        <f>IF(ISBLANK('Data Entry'!$G$793), "", 'Data Entry'!$G$793)</f>
      </c>
      <c r="H793">
        <f>IF(ISBLANK('Data Entry'!$H$793), "", 'Data Entry'!$H$793)</f>
      </c>
      <c r="I793">
        <f>IF(ISBLANK('Data Entry'!$I$793), "", 'Data Entry'!$I$793)</f>
      </c>
      <c r="J793">
        <f>IF(ISBLANK('Data Entry'!$J$793), "", 'Data Entry'!$J$793)</f>
      </c>
      <c r="K793">
        <f>IF(ISBLANK('Data Entry'!$K$793), "", 'Data Entry'!$K$793)</f>
      </c>
      <c r="L793">
        <f>IF(ISBLANK('Data Entry'!$L$793), "", 'Data Entry'!$L$793)</f>
      </c>
      <c r="M793">
        <f>IF(ISBLANK('Data Entry'!$M$793), "", 'Data Entry'!$M$793)</f>
      </c>
      <c r="N793">
        <f>IF(ISBLANK('Data Entry'!$N$793), "", 'Data Entry'!$N$793)</f>
      </c>
      <c r="O793">
        <f>IF(ISBLANK('Data Entry'!$O$793), "", 'Data Entry'!$O$793)</f>
      </c>
      <c r="P793">
        <f>IF(ISBLANK('Data Entry'!$P$793), "", 'Data Entry'!$P$793)</f>
      </c>
      <c r="Q793">
        <f>IF(ISBLANK('Data Entry'!$Q$793), "", 'Data Entry'!$Q$793)</f>
      </c>
      <c r="R793">
        <f>IF(ISBLANK('Data Entry'!$R$793), "", 'Data Entry'!$R$793)</f>
      </c>
      <c r="S793">
        <f>IF(ISBLANK('Data Entry'!$S$793), "", 'Data Entry'!$S$793)</f>
      </c>
      <c r="T793">
        <f>IF(ISBLANK('Data Entry'!$T$793), "", 'Data Entry'!$T$793)</f>
      </c>
      <c r="U793">
        <f>IF(ISBLANK('Data Entry'!$U$793), "", 'Data Entry'!$U$793)</f>
      </c>
      <c r="V793">
        <f>IF(ISBLANK('Data Entry'!$V$793), "", 'Data Entry'!$V$793)</f>
      </c>
      <c r="W793">
        <f>IF(ISBLANK('Data Entry'!$W$793), "", 'Data Entry'!$W$793)</f>
      </c>
      <c r="X793">
        <f>IF(ISBLANK('Data Entry'!$X$793), "", 'Data Entry'!$X$793)</f>
      </c>
      <c r="Y793">
        <f>IF(ISBLANK('Data Entry'!$Y$793), "", 'Data Entry'!$Y$793)</f>
      </c>
      <c r="Z793">
        <f>IF(ISBLANK('Data Entry'!$Z$793), "", 'Data Entry'!$Z$793)</f>
      </c>
      <c r="AA793">
        <f>IF(ISBLANK('Data Entry'!$[$793), "", 'Data Entry'!$[$793)</f>
      </c>
      <c r="AB793">
        <f>IF(ISBLANK('Data Entry'!$\$793), "", 'Data Entry'!$\$793)</f>
      </c>
      <c r="AC793">
        <f>IF(ISBLANK('Data Entry'!$]$793), "", 'Data Entry'!$]$793)</f>
      </c>
      <c r="AD793">
        <f>IF(ISBLANK('Data Entry'!$^$793), "", 'Data Entry'!$^$793)</f>
      </c>
      <c r="AE793">
        <f>IF(ISBLANK('Data Entry'!$_$793), "", 'Data Entry'!$_$793)</f>
      </c>
      <c r="AF793">
        <f>IF(ISBLANK('Data Entry'!$`$793), "", 'Data Entry'!$`$793)</f>
      </c>
      <c r="AG793">
        <f>IF(ISBLANK('Data Entry'!$a$793), "", 'Data Entry'!$a$793)</f>
      </c>
      <c r="AH793">
        <f>IF(ISBLANK('Data Entry'!$b$793), "", 'Data Entry'!$b$793)</f>
      </c>
      <c r="AI793">
        <f>IF(ISBLANK('Data Entry'!$c$793), "", 'Data Entry'!$c$793)</f>
      </c>
      <c r="AJ793">
        <f>IF(ISBLANK('Data Entry'!$d$793), "", 'Data Entry'!$d$793)</f>
      </c>
      <c r="AK793">
        <f>IF(ISBLANK('Data Entry'!$e$793), "", 'Data Entry'!$e$793)</f>
      </c>
      <c r="AL793">
        <f>IF(ISBLANK('Data Entry'!$f$793), "", 'Data Entry'!$f$793)</f>
      </c>
      <c r="AM793">
        <f>IF(ISBLANK('Data Entry'!$g$793), "", 'Data Entry'!$g$793)</f>
      </c>
      <c r="AN793">
        <f>IF(ISBLANK('Data Entry'!$h$793), "", 'Data Entry'!$h$793)</f>
      </c>
      <c r="AO793">
        <f>IF(ISBLANK('Data Entry'!$i$793), "", 'Data Entry'!$i$793)</f>
      </c>
      <c r="AP793">
        <f>IF(ISBLANK('Data Entry'!$j$793), "", 'Data Entry'!$j$793)</f>
      </c>
      <c r="AQ793">
        <f>IF(ISBLANK('Data Entry'!$k$793), "", 'Data Entry'!$k$793)</f>
      </c>
      <c r="AR793">
        <f>IF(ISBLANK('Data Entry'!$l$793), "", 'Data Entry'!$l$793)</f>
      </c>
      <c r="AS793">
        <f>IF(ISBLANK('Data Entry'!$m$793), "", 'Data Entry'!$m$793)</f>
      </c>
      <c r="AT793">
        <f>IF(ISBLANK('Data Entry'!$n$793), "", 'Data Entry'!$n$793)</f>
      </c>
      <c r="AU793">
        <f>IF(ISBLANK('Data Entry'!$o$793), "", 'Data Entry'!$o$793)</f>
      </c>
      <c r="AV793">
        <f>IF(ISBLANK('Data Entry'!$p$793), "", 'Data Entry'!$p$793)</f>
      </c>
      <c r="AW793">
        <f>IF(ISBLANK('Data Entry'!$q$793), "", 'Data Entry'!$q$793)</f>
      </c>
      <c r="AX793">
        <f>IF(ISBLANK('Data Entry'!$r$793), "", 'Data Entry'!$r$793)</f>
      </c>
      <c r="AY793">
        <f>IF(ISBLANK('Data Entry'!$s$793), "", 'Data Entry'!$s$793)</f>
      </c>
      <c r="AZ793">
        <f>IF(ISBLANK('Data Entry'!$t$793), "", 'Data Entry'!$t$793)</f>
      </c>
      <c r="BA793">
        <f>IF(ISBLANK('Data Entry'!$u$793), "", 'Data Entry'!$u$793)</f>
      </c>
      <c r="BB793">
        <f>IF(ISBLANK('Data Entry'!$v$793), "", 'Data Entry'!$v$793)</f>
      </c>
      <c r="BC793">
        <f>IF(ISBLANK('Data Entry'!$w$793), "", 'Data Entry'!$w$793)</f>
      </c>
      <c r="BD793">
        <f>IF(ISBLANK('Data Entry'!$x$793), "", 'Data Entry'!$x$793)</f>
      </c>
      <c r="BE793">
        <f>IF(ISBLANK('Data Entry'!$y$793), "", 'Data Entry'!$y$793)</f>
      </c>
      <c r="BF793">
        <f>IF(ISBLANK('Data Entry'!$z$793), "", 'Data Entry'!$z$793)</f>
      </c>
      <c r="BG793">
        <f>IF(ISBLANK('Data Entry'!${$793), "", 'Data Entry'!${$793)</f>
      </c>
      <c r="BH793">
        <f>IF(ISBLANK('Data Entry'!$|$793), "", 'Data Entry'!$|$793)</f>
      </c>
      <c r="BI793">
        <f>IF(ISBLANK('Data Entry'!$}$793), "", 'Data Entry'!$}$793)</f>
      </c>
      <c r="BJ793">
        <f>IF(ISBLANK('Data Entry'!$~$793), "", 'Data Entry'!$~$793)</f>
      </c>
      <c r="BK793">
        <f>IF(ISBLANK('Data Entry'!$$793), "", 'Data Entry'!$$793)</f>
      </c>
      <c r="BL793">
        <f>IF(ISBLANK('Data Entry'!$$793), "", 'Data Entry'!$$793)</f>
      </c>
      <c r="BM793">
        <f>IF(ISBLANK('Data Entry'!$$793), "", 'Data Entry'!$$793)</f>
      </c>
      <c r="BN793">
        <f>IF(ISBLANK('Data Entry'!$$793), "", 'Data Entry'!$$793)</f>
      </c>
      <c r="BO793">
        <f>IF(ISBLANK('Data Entry'!$$793), "", 'Data Entry'!$$793)</f>
      </c>
      <c r="BP793">
        <f>IF(ISBLANK('Data Entry'!$$793), "", 'Data Entry'!$$793)</f>
      </c>
      <c r="BQ793">
        <f>IF(ISBLANK('Data Entry'!$$793), "", 'Data Entry'!$$793)</f>
      </c>
      <c r="BR793">
        <f>IF(ISBLANK('Data Entry'!$$793), "", 'Data Entry'!$$793)</f>
      </c>
      <c r="BS793">
        <f>IF(ISBLANK('Data Entry'!$$793), "", 'Data Entry'!$$793)</f>
      </c>
      <c r="BT793">
        <f>IF(ISBLANK('Data Entry'!$$793), "", 'Data Entry'!$$793)</f>
      </c>
      <c r="BU793">
        <f>IF(ISBLANK('Data Entry'!$$793), "", 'Data Entry'!$$793)</f>
      </c>
      <c r="BV793">
        <f>IF(ISBLANK('Data Entry'!$$793), "", 'Data Entry'!$$793)</f>
      </c>
      <c r="BW793">
        <f>IF(ISBLANK('Data Entry'!$$793), "", 'Data Entry'!$$793)</f>
      </c>
      <c r="BX793">
        <f>IF(ISBLANK('Data Entry'!$$793), "", 'Data Entry'!$$793)</f>
      </c>
      <c r="BY793">
        <f>IF(ISBLANK('Data Entry'!$$793), "", 'Data Entry'!$$793)</f>
      </c>
      <c r="BZ793">
        <f>IF(ISBLANK('Data Entry'!$$793), "", 'Data Entry'!$$793)</f>
      </c>
      <c r="CA793">
        <f>IF(ISBLANK('Data Entry'!$$793), "", 'Data Entry'!$$793)</f>
      </c>
      <c r="CB793">
        <f>IF(ISBLANK('Data Entry'!$$793), "", 'Data Entry'!$$793)</f>
      </c>
      <c r="CC793">
        <f>IF(ISBLANK('Data Entry'!$$793), "", 'Data Entry'!$$793)</f>
      </c>
      <c r="CD793">
        <f>IF(ISBLANK('Data Entry'!$$793), "", 'Data Entry'!$$793)</f>
      </c>
      <c r="CE793">
        <f>IF(ISBLANK('Data Entry'!$$793), "", 'Data Entry'!$$793)</f>
      </c>
      <c r="CF793">
        <f>IF(ISBLANK('Data Entry'!$$793), "", 'Data Entry'!$$793)</f>
      </c>
      <c r="CG793">
        <f>IF(ISBLANK('Data Entry'!$$793), "", 'Data Entry'!$$793)</f>
      </c>
      <c r="CH793">
        <f>IF(ISBLANK('Data Entry'!$$793), "", 'Data Entry'!$$793)</f>
      </c>
      <c r="CI793">
        <f>IF(ISBLANK('Data Entry'!$$793), "", 'Data Entry'!$$793)</f>
      </c>
      <c r="CJ793">
        <f>IF(ISBLANK('Data Entry'!$$793), "", 'Data Entry'!$$793)</f>
      </c>
      <c r="CK793">
        <f>IF(ISBLANK('Data Entry'!$$793), "", 'Data Entry'!$$793)</f>
      </c>
      <c r="CL793">
        <f>IF(ISBLANK('Data Entry'!$$793), "", 'Data Entry'!$$793)</f>
      </c>
      <c r="CM793">
        <f>IF(ISBLANK('Data Entry'!$$793), "", 'Data Entry'!$$793)</f>
      </c>
      <c r="CN793">
        <f>IF(ISBLANK('Data Entry'!$$793), "", 'Data Entry'!$$793)</f>
      </c>
      <c r="CO793">
        <f>IF(ISBLANK('Data Entry'!$$793), "", 'Data Entry'!$$793)</f>
      </c>
      <c r="CP793">
        <f>IF(ISBLANK('Data Entry'!$$793), "", 'Data Entry'!$$793)</f>
      </c>
      <c r="CQ793">
        <f>IF(ISBLANK('Data Entry'!$$793), "", 'Data Entry'!$$793)</f>
      </c>
      <c r="CR793">
        <f>IF(ISBLANK('Data Entry'!$ $793), "", 'Data Entry'!$ $793)</f>
      </c>
      <c r="CS793">
        <f>IF(ISBLANK('Data Entry'!$¡$793), "", 'Data Entry'!$¡$793)</f>
      </c>
      <c r="CT793">
        <f>IF(ISBLANK('Data Entry'!$¢$793), "", 'Data Entry'!$¢$793)</f>
      </c>
      <c r="CU793">
        <f>IF(ISBLANK('Data Entry'!$£$793), "", 'Data Entry'!$£$793)</f>
      </c>
      <c r="CV793">
        <f>IF(ISBLANK('Data Entry'!$¤$793), "", 'Data Entry'!$¤$793)</f>
      </c>
      <c r="CW793">
        <f>IF(ISBLANK('Data Entry'!$¥$793), "", 'Data Entry'!$¥$793)</f>
      </c>
      <c r="CX793">
        <f>IF(ISBLANK('Data Entry'!$¦$793), "", 'Data Entry'!$¦$793)</f>
      </c>
      <c r="CY793">
        <f>IF(ISBLANK('Data Entry'!$§$793), "", 'Data Entry'!$§$793)</f>
      </c>
      <c r="CZ793">
        <f>IF(ISBLANK('Data Entry'!$¨$793), "", 'Data Entry'!$¨$793)</f>
      </c>
      <c r="DA793">
        <f>IF(ISBLANK('Data Entry'!$©$793), "", 'Data Entry'!$©$793)</f>
      </c>
      <c r="DB793">
        <f>IF(ISBLANK('Data Entry'!$ª$793), "", 'Data Entry'!$ª$793)</f>
      </c>
      <c r="DC793">
        <f>IF(ISBLANK('Data Entry'!$«$793), "", 'Data Entry'!$«$793)</f>
      </c>
      <c r="DD793">
        <f>IF(ISBLANK('Data Entry'!$¬$793), "", 'Data Entry'!$¬$793)</f>
      </c>
      <c r="DE793">
        <f>IF(ISBLANK('Data Entry'!$­$793), "", 'Data Entry'!$­$793)</f>
      </c>
      <c r="DF793">
        <f>IF(ISBLANK('Data Entry'!$®$793), "", 'Data Entry'!$®$793)</f>
      </c>
      <c r="DG793">
        <f>IF(ISBLANK('Data Entry'!$¯$793), "", 'Data Entry'!$¯$793)</f>
      </c>
      <c r="DH793">
        <f>IF(ISBLANK('Data Entry'!$°$793), "", 'Data Entry'!$°$793)</f>
      </c>
      <c r="DI793">
        <f>IF(ISBLANK('Data Entry'!$±$793), "", 'Data Entry'!$±$793)</f>
      </c>
      <c r="DJ793">
        <f>IF(ISBLANK('Data Entry'!$²$793), "", 'Data Entry'!$²$793)</f>
      </c>
      <c r="DK793">
        <f>IF(ISBLANK('Data Entry'!$³$793), "", 'Data Entry'!$³$793)</f>
      </c>
      <c r="DL793">
        <f>IF(ISBLANK('Data Entry'!$´$793), "", 'Data Entry'!$´$793)</f>
      </c>
      <c r="DM793">
        <f>IF(ISBLANK('Data Entry'!$µ$793), "", 'Data Entry'!$µ$793)</f>
      </c>
      <c r="DN793">
        <f>IF(ISBLANK('Data Entry'!$¶$793), "", 'Data Entry'!$¶$793)</f>
      </c>
      <c r="DO793">
        <f>IF(ISBLANK('Data Entry'!$·$793), "", 'Data Entry'!$·$793)</f>
      </c>
      <c r="DP793">
        <f>IF(ISBLANK('Data Entry'!$¸$793), "", 'Data Entry'!$¸$793)</f>
      </c>
      <c r="DQ793">
        <f>IF(ISBLANK('Data Entry'!$¹$793), "", 'Data Entry'!$¹$793)</f>
      </c>
      <c r="DR793">
        <f>IF(ISBLANK('Data Entry'!$º$793), "", 'Data Entry'!$º$793)</f>
      </c>
      <c r="DS793">
        <f>IF(ISBLANK('Data Entry'!$»$793), "", 'Data Entry'!$»$793)</f>
      </c>
      <c r="DT793">
        <f>IF(ISBLANK('Data Entry'!$¼$793), "", 'Data Entry'!$¼$793)</f>
      </c>
      <c r="DU793">
        <f>IF(ISBLANK('Data Entry'!$½$793), "", 'Data Entry'!$½$793)</f>
      </c>
      <c r="DV793">
        <f>IF(ISBLANK('Data Entry'!$¾$793), "", 'Data Entry'!$¾$793)</f>
      </c>
      <c r="DW793">
        <f>IF(ISBLANK('Data Entry'!$¿$793), "", 'Data Entry'!$¿$793)</f>
      </c>
      <c r="DX793">
        <f>IF(ISBLANK('Data Entry'!$À$793), "", 'Data Entry'!$À$793)</f>
      </c>
      <c r="DY793">
        <f>IF(ISBLANK('Data Entry'!$Á$793), "", 'Data Entry'!$Á$793)</f>
      </c>
      <c r="DZ793">
        <f>IF(ISBLANK('Data Entry'!$Â$793), "", 'Data Entry'!$Â$793)</f>
      </c>
      <c r="EA793">
        <f>IF(ISBLANK('Data Entry'!$Ã$793), "", 'Data Entry'!$Ã$793)</f>
      </c>
      <c r="EB793">
        <f>IF(ISBLANK('Data Entry'!$Ä$793), "", 'Data Entry'!$Ä$793)</f>
      </c>
      <c r="EC793">
        <f>IF(ISBLANK('Data Entry'!$Å$793), "", 'Data Entry'!$Å$793)</f>
      </c>
      <c r="ED793">
        <f>IF(ISBLANK('Data Entry'!$Æ$793), "", 'Data Entry'!$Æ$793)</f>
      </c>
      <c r="EE793">
        <f>IF(ISBLANK('Data Entry'!$Ç$793), "", 'Data Entry'!$Ç$793)</f>
      </c>
      <c r="EF793">
        <f>IF(ISBLANK('Data Entry'!$È$793), "", 'Data Entry'!$È$793)</f>
      </c>
      <c r="EG793">
        <f>IF(ISBLANK('Data Entry'!$É$793), "", 'Data Entry'!$É$793)</f>
      </c>
      <c r="EH793">
        <f>IF(ISBLANK('Data Entry'!$Ê$793), "", 'Data Entry'!$Ê$793)</f>
      </c>
      <c r="EI793">
        <f>IF(ISBLANK('Data Entry'!$Ë$793), "", 'Data Entry'!$Ë$793)</f>
      </c>
      <c r="EJ793">
        <f>IF(ISBLANK('Data Entry'!$Ì$793), "", 'Data Entry'!$Ì$793)</f>
      </c>
      <c r="EK793">
        <f>IF(ISBLANK('Data Entry'!$Í$793), "", 'Data Entry'!$Í$793)</f>
      </c>
      <c r="EL793">
        <f>IF(ISBLANK('Data Entry'!$Î$793), "", 'Data Entry'!$Î$793)</f>
      </c>
      <c r="EM793">
        <f>IF(ISBLANK('Data Entry'!$Ï$793), "", 'Data Entry'!$Ï$793)</f>
      </c>
      <c r="EN793">
        <f>IF(ISBLANK('Data Entry'!$Ð$793), "", 'Data Entry'!$Ð$793)</f>
      </c>
      <c r="EO793">
        <f>IF(ISBLANK('Data Entry'!$Ñ$793), "", 'Data Entry'!$Ñ$793)</f>
      </c>
      <c r="EP793">
        <f>IF(ISBLANK('Data Entry'!$Ò$793), "", 'Data Entry'!$Ò$793)</f>
      </c>
      <c r="EQ793">
        <f>IF(ISBLANK('Data Entry'!$Ó$793), "", 'Data Entry'!$Ó$793)</f>
      </c>
      <c r="ER793">
        <f>IF(ISBLANK('Data Entry'!$Ô$793), "", 'Data Entry'!$Ô$793)</f>
      </c>
      <c r="ES793">
        <f>IF(ISBLANK('Data Entry'!$Õ$793), "", 'Data Entry'!$Õ$793)</f>
      </c>
      <c r="ET793">
        <f>IF(ISBLANK('Data Entry'!$Ö$793), "", 'Data Entry'!$Ö$793)</f>
      </c>
      <c r="EU793">
        <f>IF(ISBLANK('Data Entry'!$×$793), "", 'Data Entry'!$×$793)</f>
      </c>
      <c r="EV793">
        <f>IF(ISBLANK('Data Entry'!$Ø$793), "", 'Data Entry'!$Ø$793)</f>
      </c>
      <c r="EW793">
        <f>IF(ISBLANK('Data Entry'!$Ù$793), "", 'Data Entry'!$Ù$793)</f>
      </c>
      <c r="EX793">
        <f>IF(ISBLANK('Data Entry'!$Ú$793), "", 'Data Entry'!$Ú$793)</f>
      </c>
      <c r="EY793">
        <f>IF(ISBLANK('Data Entry'!$Û$793), "", 'Data Entry'!$Û$793)</f>
      </c>
      <c r="EZ793">
        <f>IF(ISBLANK('Data Entry'!$Ü$793), "", 'Data Entry'!$Ü$793)</f>
      </c>
      <c r="FA793">
        <f>IF(ISBLANK('Data Entry'!$Ý$793), "", 'Data Entry'!$Ý$793)</f>
      </c>
      <c r="FB793">
        <f>IF(ISBLANK('Data Entry'!$Þ$793), "", 'Data Entry'!$Þ$793)</f>
      </c>
      <c r="FC793">
        <f>IF(ISBLANK('Data Entry'!$ß$793), "", 'Data Entry'!$ß$793)</f>
      </c>
      <c r="FD793">
        <f>IF(ISBLANK('Data Entry'!$à$793), "", 'Data Entry'!$à$793)</f>
      </c>
      <c r="FE793">
        <f>IF(ISBLANK('Data Entry'!$á$793), "", 'Data Entry'!$á$793)</f>
      </c>
      <c r="FF793">
        <f>IF(ISBLANK('Data Entry'!$â$793), "", 'Data Entry'!$â$793)</f>
      </c>
      <c r="FG793">
        <f>IF(ISBLANK('Data Entry'!$ã$793), "", 'Data Entry'!$ã$793)</f>
      </c>
      <c r="FH793">
        <f>IF(ISBLANK('Data Entry'!$ä$793), "", 'Data Entry'!$ä$793)</f>
      </c>
      <c r="FI793">
        <f>IF(ISBLANK('Data Entry'!$å$793), "", 'Data Entry'!$å$793)</f>
      </c>
      <c r="FJ793">
        <f>IF(ISBLANK('Data Entry'!$æ$793), "", 'Data Entry'!$æ$793)</f>
      </c>
      <c r="FK793">
        <f>IF(ISBLANK('Data Entry'!$ç$793), "", 'Data Entry'!$ç$793)</f>
      </c>
      <c r="FL793">
        <f>IF(ISBLANK('Data Entry'!$è$793), "", 'Data Entry'!$è$793)</f>
      </c>
      <c r="FM793">
        <f>IF(ISBLANK('Data Entry'!$é$793), "", 'Data Entry'!$é$793)</f>
      </c>
      <c r="FN793">
        <f>IF(ISBLANK('Data Entry'!$ê$793), "", 'Data Entry'!$ê$793)</f>
      </c>
      <c r="FO793">
        <f>IF(ISBLANK('Data Entry'!$ë$793), "", 'Data Entry'!$ë$793)</f>
      </c>
      <c r="FP793">
        <f>IF(ISBLANK('Data Entry'!$ì$793), "", 'Data Entry'!$ì$793)</f>
      </c>
      <c r="FQ793">
        <f>IF(ISBLANK('Data Entry'!$í$793), "", 'Data Entry'!$í$793)</f>
      </c>
      <c r="FR793">
        <f>IF(ISBLANK('Data Entry'!$î$793), "", 'Data Entry'!$î$793)</f>
      </c>
      <c r="FS793">
        <f>IF(ISBLANK('Data Entry'!$ï$793), "", 'Data Entry'!$ï$793)</f>
      </c>
      <c r="FT793">
        <f>IF(ISBLANK('Data Entry'!$ð$793), "", 'Data Entry'!$ð$793)</f>
      </c>
      <c r="FU793">
        <f>IF(ISBLANK('Data Entry'!$ñ$793), "", 'Data Entry'!$ñ$793)</f>
      </c>
      <c r="FV793">
        <f>IF(ISBLANK('Data Entry'!$ò$793), "", 'Data Entry'!$ò$793)</f>
      </c>
      <c r="FW793">
        <f>IF(ISBLANK('Data Entry'!$ó$793), "", 'Data Entry'!$ó$793)</f>
      </c>
      <c r="FX793">
        <f>IF(ISBLANK('Data Entry'!$ô$793), "", 'Data Entry'!$ô$793)</f>
      </c>
      <c r="FY793">
        <f>IF(ISBLANK('Data Entry'!$õ$793), "", 'Data Entry'!$õ$793)</f>
      </c>
      <c r="FZ793">
        <f>IF(ISBLANK('Data Entry'!$ö$793), "", 'Data Entry'!$ö$793)</f>
      </c>
      <c r="GA793">
        <f>IF(ISBLANK('Data Entry'!$÷$793), "", 'Data Entry'!$÷$793)</f>
      </c>
      <c r="GB793">
        <f>IF(ISBLANK('Data Entry'!$ø$793), "", 'Data Entry'!$ø$793)</f>
      </c>
      <c r="GC793">
        <f>IF(ISBLANK('Data Entry'!$ù$793), "", 'Data Entry'!$ù$793)</f>
      </c>
      <c r="GD793">
        <f>IF(ISBLANK('Data Entry'!$ú$793), "", 'Data Entry'!$ú$793)</f>
      </c>
      <c r="GE793">
        <f>IF(ISBLANK('Data Entry'!$û$793), "", 'Data Entry'!$û$793)</f>
      </c>
      <c r="GF793">
        <f>IF(ISBLANK('Data Entry'!$ü$793), "", 'Data Entry'!$ü$793)</f>
      </c>
      <c r="GG793">
        <f>IF(ISBLANK('Data Entry'!$ý$793), "", 'Data Entry'!$ý$793)</f>
      </c>
      <c r="GH793">
        <f>IF(ISBLANK('Data Entry'!$þ$793), "", 'Data Entry'!$þ$793)</f>
      </c>
      <c r="GI793">
        <f>IF(ISBLANK('Data Entry'!$ÿ$793), "", 'Data Entry'!$ÿ$793)</f>
      </c>
      <c r="GJ793">
        <f>IF(ISBLANK('Data Entry'!$Ā$793), "", 'Data Entry'!$Ā$793)</f>
      </c>
      <c r="GK793">
        <f>IF(ISBLANK('Data Entry'!$ā$793), "", 'Data Entry'!$ā$793)</f>
      </c>
      <c r="GL793">
        <f>IF(ISBLANK('Data Entry'!$Ă$793), "", 'Data Entry'!$Ă$793)</f>
      </c>
      <c r="GM793">
        <f>IF(ISBLANK('Data Entry'!$ă$793), "", 'Data Entry'!$ă$793)</f>
      </c>
      <c r="GN793">
        <f>IF(ISBLANK('Data Entry'!$Ą$793), "", 'Data Entry'!$Ą$793)</f>
      </c>
      <c r="GO793">
        <f>IF(ISBLANK('Data Entry'!$ą$793), "", 'Data Entry'!$ą$793)</f>
      </c>
      <c r="GP793">
        <f>IF(ISBLANK('Data Entry'!$Ć$793), "", 'Data Entry'!$Ć$793)</f>
      </c>
      <c r="GQ793">
        <f>IF(ISBLANK('Data Entry'!$ć$793), "", 'Data Entry'!$ć$793)</f>
      </c>
      <c r="GR793">
        <f>IF(ISBLANK('Data Entry'!$Ĉ$793), "", 'Data Entry'!$Ĉ$793)</f>
      </c>
      <c r="GS793">
        <f>IF(ISBLANK('Data Entry'!$ĉ$793), "", 'Data Entry'!$ĉ$793)</f>
      </c>
      <c r="GT793">
        <f>IF(ISBLANK('Data Entry'!$Ċ$793), "", 'Data Entry'!$Ċ$793)</f>
      </c>
      <c r="GU793">
        <f>IF(ISBLANK('Data Entry'!$ċ$793), "", 'Data Entry'!$ċ$793)</f>
      </c>
      <c r="GV793">
        <f>IF(ISBLANK('Data Entry'!$Č$793), "", 'Data Entry'!$Č$793)</f>
      </c>
      <c r="GW793">
        <f>IF(ISBLANK('Data Entry'!$č$793), "", 'Data Entry'!$č$793)</f>
      </c>
      <c r="GX793">
        <f>IF(ISBLANK('Data Entry'!$Ď$793), "", 'Data Entry'!$Ď$793)</f>
      </c>
      <c r="GY793">
        <f>IF(ISBLANK('Data Entry'!$ď$793), "", 'Data Entry'!$ď$793)</f>
      </c>
      <c r="GZ793">
        <f>IF(ISBLANK('Data Entry'!$Đ$793), "", 'Data Entry'!$Đ$793)</f>
      </c>
      <c r="HA793">
        <f>IF(ISBLANK('Data Entry'!$đ$793), "", 'Data Entry'!$đ$793)</f>
      </c>
      <c r="HB793">
        <f>IF(ISBLANK('Data Entry'!$Ē$793), "", 'Data Entry'!$Ē$793)</f>
      </c>
      <c r="HC793">
        <f>IF(ISBLANK('Data Entry'!$ē$793), "", 'Data Entry'!$ē$793)</f>
      </c>
      <c r="HD793">
        <f>IF(ISBLANK('Data Entry'!$Ĕ$793), "", 'Data Entry'!$Ĕ$793)</f>
      </c>
      <c r="HE793">
        <f>IF(ISBLANK('Data Entry'!$ĕ$793), "", 'Data Entry'!$ĕ$793)</f>
      </c>
      <c r="HF793">
        <f>IF(ISBLANK('Data Entry'!$Ė$793), "", 'Data Entry'!$Ė$793)</f>
      </c>
      <c r="HG793">
        <f>IF(ISBLANK('Data Entry'!$ė$793), "", 'Data Entry'!$ė$793)</f>
      </c>
      <c r="HH793">
        <f>IF(ISBLANK('Data Entry'!$Ę$793), "", 'Data Entry'!$Ę$793)</f>
      </c>
      <c r="HI793">
        <f>IF(ISBLANK('Data Entry'!$ę$793), "", 'Data Entry'!$ę$793)</f>
      </c>
      <c r="HJ793">
        <f>IF(ISBLANK('Data Entry'!$Ě$793), "", 'Data Entry'!$Ě$793)</f>
      </c>
      <c r="HK793">
        <f>IF(ISBLANK('Data Entry'!$ě$793), "", 'Data Entry'!$ě$793)</f>
      </c>
      <c r="HL793">
        <f>IF(ISBLANK('Data Entry'!$Ĝ$793), "", 'Data Entry'!$Ĝ$793)</f>
      </c>
      <c r="HM793">
        <f>IF(ISBLANK('Data Entry'!$ĝ$793), "", 'Data Entry'!$ĝ$793)</f>
      </c>
      <c r="HN793">
        <f>IF(ISBLANK('Data Entry'!$Ğ$793), "", 'Data Entry'!$Ğ$793)</f>
      </c>
      <c r="HO793">
        <f>IF(ISBLANK('Data Entry'!$ğ$793), "", 'Data Entry'!$ğ$793)</f>
      </c>
      <c r="HP793">
        <f>IF(ISBLANK('Data Entry'!$Ġ$793), "", 'Data Entry'!$Ġ$793)</f>
      </c>
      <c r="HQ793">
        <f>IF(ISBLANK('Data Entry'!$ġ$793), "", 'Data Entry'!$ġ$793)</f>
      </c>
      <c r="HR793">
        <f>IF(ISBLANK('Data Entry'!$Ģ$793), "", 'Data Entry'!$Ģ$793)</f>
      </c>
      <c r="HS793">
        <f>IF(ISBLANK('Data Entry'!$ģ$793), "", 'Data Entry'!$ģ$793)</f>
      </c>
      <c r="HT793">
        <f>IF(ISBLANK('Data Entry'!$Ĥ$793), "", 'Data Entry'!$Ĥ$793)</f>
      </c>
      <c r="HU793">
        <f>IF(ISBLANK('Data Entry'!$ĥ$793), "", 'Data Entry'!$ĥ$793)</f>
      </c>
      <c r="HV793">
        <f>IF(ISBLANK('Data Entry'!$Ħ$793), "", 'Data Entry'!$Ħ$793)</f>
      </c>
      <c r="HW793">
        <f>IF(ISBLANK('Data Entry'!$ħ$793), "", 'Data Entry'!$ħ$793)</f>
      </c>
      <c r="HX793">
        <f>IF(ISBLANK('Data Entry'!$Ĩ$793), "", 'Data Entry'!$Ĩ$793)</f>
      </c>
      <c r="HY793">
        <f>IF(ISBLANK('Data Entry'!$ĩ$793), "", 'Data Entry'!$ĩ$793)</f>
      </c>
      <c r="HZ793">
        <f>IF(ISBLANK('Data Entry'!$Ī$793), "", 'Data Entry'!$Ī$793)</f>
      </c>
      <c r="IA793">
        <f>IF(ISBLANK('Data Entry'!$ī$793), "", 'Data Entry'!$ī$793)</f>
      </c>
      <c r="IB793">
        <f>IF(ISBLANK('Data Entry'!$Ĭ$793), "", 'Data Entry'!$Ĭ$793)</f>
      </c>
      <c r="IC793">
        <f>IF(ISBLANK('Data Entry'!$ĭ$793), "", 'Data Entry'!$ĭ$793)</f>
      </c>
      <c r="ID793">
        <f>IF(ISBLANK('Data Entry'!$Į$793), "", 'Data Entry'!$Į$793)</f>
      </c>
      <c r="IE793">
        <f>IF(ISBLANK('Data Entry'!$į$793), "", 'Data Entry'!$į$793)</f>
      </c>
      <c r="IF793">
        <f>IF(ISBLANK('Data Entry'!$İ$793), "", 'Data Entry'!$İ$793)</f>
      </c>
      <c r="IG793">
        <f>IF(ISBLANK('Data Entry'!$ı$793), "", 'Data Entry'!$ı$793)</f>
      </c>
      <c r="IH793">
        <f>IF(ISBLANK('Data Entry'!$Ĳ$793), "", 'Data Entry'!$Ĳ$793)</f>
      </c>
      <c r="II793">
        <f>IF(ISBLANK('Data Entry'!$ĳ$793), "", 'Data Entry'!$ĳ$793)</f>
      </c>
      <c r="IJ793">
        <f>IF(ISBLANK('Data Entry'!$Ĵ$793), "", 'Data Entry'!$Ĵ$793)</f>
      </c>
      <c r="IK793">
        <f>IF(ISBLANK('Data Entry'!$ĵ$793), "", 'Data Entry'!$ĵ$793)</f>
      </c>
      <c r="IL793">
        <f>IF(ISBLANK('Data Entry'!$Ķ$793), "", 'Data Entry'!$Ķ$793)</f>
      </c>
      <c r="IM793">
        <f>IF(ISBLANK('Data Entry'!$ķ$793), "", 'Data Entry'!$ķ$793)</f>
      </c>
      <c r="IN793">
        <f>IF(ISBLANK('Data Entry'!$ĸ$793), "", 'Data Entry'!$ĸ$793)</f>
      </c>
      <c r="IO793">
        <f>IF(ISBLANK('Data Entry'!$Ĺ$793), "", 'Data Entry'!$Ĺ$793)</f>
      </c>
      <c r="IP793">
        <f>IF(ISBLANK('Data Entry'!$ĺ$793), "", 'Data Entry'!$ĺ$793)</f>
      </c>
      <c r="IQ793">
        <f>IF(ISBLANK('Data Entry'!$Ļ$793), "", 'Data Entry'!$Ļ$793)</f>
      </c>
      <c r="IR793">
        <f>IF(ISBLANK('Data Entry'!$ļ$793), "", 'Data Entry'!$ļ$793)</f>
      </c>
      <c r="IS793">
        <f>IF(ISBLANK('Data Entry'!$Ľ$793), "", 'Data Entry'!$Ľ$793)</f>
      </c>
      <c r="IT793">
        <f>IF(ISBLANK('Data Entry'!$ľ$793), "", 'Data Entry'!$ľ$793)</f>
      </c>
    </row>
    <row r="794" spans="1:254" x14ac:dyDescent="0.25">
      <c r="A794">
        <f>IF(ISBLANK('Data Entry'!$A$794), "", 'Data Entry'!$A$794)</f>
      </c>
      <c r="B794">
        <f>IF(ISBLANK('Data Entry'!$B$794), "", 'Data Entry'!$B$794)</f>
      </c>
      <c r="C794">
        <f>IF(ISBLANK('Data Entry'!$C$794), "", 'Data Entry'!$C$794)</f>
      </c>
      <c r="D794">
        <f>IF(ISBLANK('Data Entry'!$D$794), "", 'Data Entry'!$D$794)</f>
      </c>
      <c r="E794">
        <f>IF(ISBLANK('Data Entry'!$E$794), "", 'Data Entry'!$E$794)</f>
      </c>
      <c r="F794">
        <f>IF(ISBLANK('Data Entry'!$F$794), "", 'Data Entry'!$F$794)</f>
      </c>
      <c r="G794">
        <f>IF(ISBLANK('Data Entry'!$G$794), "", 'Data Entry'!$G$794)</f>
      </c>
      <c r="H794">
        <f>IF(ISBLANK('Data Entry'!$H$794), "", 'Data Entry'!$H$794)</f>
      </c>
      <c r="I794">
        <f>IF(ISBLANK('Data Entry'!$I$794), "", 'Data Entry'!$I$794)</f>
      </c>
      <c r="J794">
        <f>IF(ISBLANK('Data Entry'!$J$794), "", 'Data Entry'!$J$794)</f>
      </c>
      <c r="K794">
        <f>IF(ISBLANK('Data Entry'!$K$794), "", 'Data Entry'!$K$794)</f>
      </c>
      <c r="L794">
        <f>IF(ISBLANK('Data Entry'!$L$794), "", 'Data Entry'!$L$794)</f>
      </c>
      <c r="M794">
        <f>IF(ISBLANK('Data Entry'!$M$794), "", 'Data Entry'!$M$794)</f>
      </c>
      <c r="N794">
        <f>IF(ISBLANK('Data Entry'!$N$794), "", 'Data Entry'!$N$794)</f>
      </c>
      <c r="O794">
        <f>IF(ISBLANK('Data Entry'!$O$794), "", 'Data Entry'!$O$794)</f>
      </c>
      <c r="P794">
        <f>IF(ISBLANK('Data Entry'!$P$794), "", 'Data Entry'!$P$794)</f>
      </c>
      <c r="Q794">
        <f>IF(ISBLANK('Data Entry'!$Q$794), "", 'Data Entry'!$Q$794)</f>
      </c>
      <c r="R794">
        <f>IF(ISBLANK('Data Entry'!$R$794), "", 'Data Entry'!$R$794)</f>
      </c>
      <c r="S794">
        <f>IF(ISBLANK('Data Entry'!$S$794), "", 'Data Entry'!$S$794)</f>
      </c>
      <c r="T794">
        <f>IF(ISBLANK('Data Entry'!$T$794), "", 'Data Entry'!$T$794)</f>
      </c>
      <c r="U794">
        <f>IF(ISBLANK('Data Entry'!$U$794), "", 'Data Entry'!$U$794)</f>
      </c>
      <c r="V794">
        <f>IF(ISBLANK('Data Entry'!$V$794), "", 'Data Entry'!$V$794)</f>
      </c>
      <c r="W794">
        <f>IF(ISBLANK('Data Entry'!$W$794), "", 'Data Entry'!$W$794)</f>
      </c>
      <c r="X794">
        <f>IF(ISBLANK('Data Entry'!$X$794), "", 'Data Entry'!$X$794)</f>
      </c>
      <c r="Y794">
        <f>IF(ISBLANK('Data Entry'!$Y$794), "", 'Data Entry'!$Y$794)</f>
      </c>
      <c r="Z794">
        <f>IF(ISBLANK('Data Entry'!$Z$794), "", 'Data Entry'!$Z$794)</f>
      </c>
      <c r="AA794">
        <f>IF(ISBLANK('Data Entry'!$[$794), "", 'Data Entry'!$[$794)</f>
      </c>
      <c r="AB794">
        <f>IF(ISBLANK('Data Entry'!$\$794), "", 'Data Entry'!$\$794)</f>
      </c>
      <c r="AC794">
        <f>IF(ISBLANK('Data Entry'!$]$794), "", 'Data Entry'!$]$794)</f>
      </c>
      <c r="AD794">
        <f>IF(ISBLANK('Data Entry'!$^$794), "", 'Data Entry'!$^$794)</f>
      </c>
      <c r="AE794">
        <f>IF(ISBLANK('Data Entry'!$_$794), "", 'Data Entry'!$_$794)</f>
      </c>
      <c r="AF794">
        <f>IF(ISBLANK('Data Entry'!$`$794), "", 'Data Entry'!$`$794)</f>
      </c>
      <c r="AG794">
        <f>IF(ISBLANK('Data Entry'!$a$794), "", 'Data Entry'!$a$794)</f>
      </c>
      <c r="AH794">
        <f>IF(ISBLANK('Data Entry'!$b$794), "", 'Data Entry'!$b$794)</f>
      </c>
      <c r="AI794">
        <f>IF(ISBLANK('Data Entry'!$c$794), "", 'Data Entry'!$c$794)</f>
      </c>
      <c r="AJ794">
        <f>IF(ISBLANK('Data Entry'!$d$794), "", 'Data Entry'!$d$794)</f>
      </c>
      <c r="AK794">
        <f>IF(ISBLANK('Data Entry'!$e$794), "", 'Data Entry'!$e$794)</f>
      </c>
      <c r="AL794">
        <f>IF(ISBLANK('Data Entry'!$f$794), "", 'Data Entry'!$f$794)</f>
      </c>
      <c r="AM794">
        <f>IF(ISBLANK('Data Entry'!$g$794), "", 'Data Entry'!$g$794)</f>
      </c>
      <c r="AN794">
        <f>IF(ISBLANK('Data Entry'!$h$794), "", 'Data Entry'!$h$794)</f>
      </c>
      <c r="AO794">
        <f>IF(ISBLANK('Data Entry'!$i$794), "", 'Data Entry'!$i$794)</f>
      </c>
      <c r="AP794">
        <f>IF(ISBLANK('Data Entry'!$j$794), "", 'Data Entry'!$j$794)</f>
      </c>
      <c r="AQ794">
        <f>IF(ISBLANK('Data Entry'!$k$794), "", 'Data Entry'!$k$794)</f>
      </c>
      <c r="AR794">
        <f>IF(ISBLANK('Data Entry'!$l$794), "", 'Data Entry'!$l$794)</f>
      </c>
      <c r="AS794">
        <f>IF(ISBLANK('Data Entry'!$m$794), "", 'Data Entry'!$m$794)</f>
      </c>
      <c r="AT794">
        <f>IF(ISBLANK('Data Entry'!$n$794), "", 'Data Entry'!$n$794)</f>
      </c>
      <c r="AU794">
        <f>IF(ISBLANK('Data Entry'!$o$794), "", 'Data Entry'!$o$794)</f>
      </c>
      <c r="AV794">
        <f>IF(ISBLANK('Data Entry'!$p$794), "", 'Data Entry'!$p$794)</f>
      </c>
      <c r="AW794">
        <f>IF(ISBLANK('Data Entry'!$q$794), "", 'Data Entry'!$q$794)</f>
      </c>
      <c r="AX794">
        <f>IF(ISBLANK('Data Entry'!$r$794), "", 'Data Entry'!$r$794)</f>
      </c>
      <c r="AY794">
        <f>IF(ISBLANK('Data Entry'!$s$794), "", 'Data Entry'!$s$794)</f>
      </c>
      <c r="AZ794">
        <f>IF(ISBLANK('Data Entry'!$t$794), "", 'Data Entry'!$t$794)</f>
      </c>
      <c r="BA794">
        <f>IF(ISBLANK('Data Entry'!$u$794), "", 'Data Entry'!$u$794)</f>
      </c>
      <c r="BB794">
        <f>IF(ISBLANK('Data Entry'!$v$794), "", 'Data Entry'!$v$794)</f>
      </c>
      <c r="BC794">
        <f>IF(ISBLANK('Data Entry'!$w$794), "", 'Data Entry'!$w$794)</f>
      </c>
      <c r="BD794">
        <f>IF(ISBLANK('Data Entry'!$x$794), "", 'Data Entry'!$x$794)</f>
      </c>
      <c r="BE794">
        <f>IF(ISBLANK('Data Entry'!$y$794), "", 'Data Entry'!$y$794)</f>
      </c>
      <c r="BF794">
        <f>IF(ISBLANK('Data Entry'!$z$794), "", 'Data Entry'!$z$794)</f>
      </c>
      <c r="BG794">
        <f>IF(ISBLANK('Data Entry'!${$794), "", 'Data Entry'!${$794)</f>
      </c>
      <c r="BH794">
        <f>IF(ISBLANK('Data Entry'!$|$794), "", 'Data Entry'!$|$794)</f>
      </c>
      <c r="BI794">
        <f>IF(ISBLANK('Data Entry'!$}$794), "", 'Data Entry'!$}$794)</f>
      </c>
      <c r="BJ794">
        <f>IF(ISBLANK('Data Entry'!$~$794), "", 'Data Entry'!$~$794)</f>
      </c>
      <c r="BK794">
        <f>IF(ISBLANK('Data Entry'!$$794), "", 'Data Entry'!$$794)</f>
      </c>
      <c r="BL794">
        <f>IF(ISBLANK('Data Entry'!$$794), "", 'Data Entry'!$$794)</f>
      </c>
      <c r="BM794">
        <f>IF(ISBLANK('Data Entry'!$$794), "", 'Data Entry'!$$794)</f>
      </c>
      <c r="BN794">
        <f>IF(ISBLANK('Data Entry'!$$794), "", 'Data Entry'!$$794)</f>
      </c>
      <c r="BO794">
        <f>IF(ISBLANK('Data Entry'!$$794), "", 'Data Entry'!$$794)</f>
      </c>
      <c r="BP794">
        <f>IF(ISBLANK('Data Entry'!$$794), "", 'Data Entry'!$$794)</f>
      </c>
      <c r="BQ794">
        <f>IF(ISBLANK('Data Entry'!$$794), "", 'Data Entry'!$$794)</f>
      </c>
      <c r="BR794">
        <f>IF(ISBLANK('Data Entry'!$$794), "", 'Data Entry'!$$794)</f>
      </c>
      <c r="BS794">
        <f>IF(ISBLANK('Data Entry'!$$794), "", 'Data Entry'!$$794)</f>
      </c>
      <c r="BT794">
        <f>IF(ISBLANK('Data Entry'!$$794), "", 'Data Entry'!$$794)</f>
      </c>
      <c r="BU794">
        <f>IF(ISBLANK('Data Entry'!$$794), "", 'Data Entry'!$$794)</f>
      </c>
      <c r="BV794">
        <f>IF(ISBLANK('Data Entry'!$$794), "", 'Data Entry'!$$794)</f>
      </c>
      <c r="BW794">
        <f>IF(ISBLANK('Data Entry'!$$794), "", 'Data Entry'!$$794)</f>
      </c>
      <c r="BX794">
        <f>IF(ISBLANK('Data Entry'!$$794), "", 'Data Entry'!$$794)</f>
      </c>
      <c r="BY794">
        <f>IF(ISBLANK('Data Entry'!$$794), "", 'Data Entry'!$$794)</f>
      </c>
      <c r="BZ794">
        <f>IF(ISBLANK('Data Entry'!$$794), "", 'Data Entry'!$$794)</f>
      </c>
      <c r="CA794">
        <f>IF(ISBLANK('Data Entry'!$$794), "", 'Data Entry'!$$794)</f>
      </c>
      <c r="CB794">
        <f>IF(ISBLANK('Data Entry'!$$794), "", 'Data Entry'!$$794)</f>
      </c>
      <c r="CC794">
        <f>IF(ISBLANK('Data Entry'!$$794), "", 'Data Entry'!$$794)</f>
      </c>
      <c r="CD794">
        <f>IF(ISBLANK('Data Entry'!$$794), "", 'Data Entry'!$$794)</f>
      </c>
      <c r="CE794">
        <f>IF(ISBLANK('Data Entry'!$$794), "", 'Data Entry'!$$794)</f>
      </c>
      <c r="CF794">
        <f>IF(ISBLANK('Data Entry'!$$794), "", 'Data Entry'!$$794)</f>
      </c>
      <c r="CG794">
        <f>IF(ISBLANK('Data Entry'!$$794), "", 'Data Entry'!$$794)</f>
      </c>
      <c r="CH794">
        <f>IF(ISBLANK('Data Entry'!$$794), "", 'Data Entry'!$$794)</f>
      </c>
      <c r="CI794">
        <f>IF(ISBLANK('Data Entry'!$$794), "", 'Data Entry'!$$794)</f>
      </c>
      <c r="CJ794">
        <f>IF(ISBLANK('Data Entry'!$$794), "", 'Data Entry'!$$794)</f>
      </c>
      <c r="CK794">
        <f>IF(ISBLANK('Data Entry'!$$794), "", 'Data Entry'!$$794)</f>
      </c>
      <c r="CL794">
        <f>IF(ISBLANK('Data Entry'!$$794), "", 'Data Entry'!$$794)</f>
      </c>
      <c r="CM794">
        <f>IF(ISBLANK('Data Entry'!$$794), "", 'Data Entry'!$$794)</f>
      </c>
      <c r="CN794">
        <f>IF(ISBLANK('Data Entry'!$$794), "", 'Data Entry'!$$794)</f>
      </c>
      <c r="CO794">
        <f>IF(ISBLANK('Data Entry'!$$794), "", 'Data Entry'!$$794)</f>
      </c>
      <c r="CP794">
        <f>IF(ISBLANK('Data Entry'!$$794), "", 'Data Entry'!$$794)</f>
      </c>
      <c r="CQ794">
        <f>IF(ISBLANK('Data Entry'!$$794), "", 'Data Entry'!$$794)</f>
      </c>
      <c r="CR794">
        <f>IF(ISBLANK('Data Entry'!$ $794), "", 'Data Entry'!$ $794)</f>
      </c>
      <c r="CS794">
        <f>IF(ISBLANK('Data Entry'!$¡$794), "", 'Data Entry'!$¡$794)</f>
      </c>
      <c r="CT794">
        <f>IF(ISBLANK('Data Entry'!$¢$794), "", 'Data Entry'!$¢$794)</f>
      </c>
      <c r="CU794">
        <f>IF(ISBLANK('Data Entry'!$£$794), "", 'Data Entry'!$£$794)</f>
      </c>
      <c r="CV794">
        <f>IF(ISBLANK('Data Entry'!$¤$794), "", 'Data Entry'!$¤$794)</f>
      </c>
      <c r="CW794">
        <f>IF(ISBLANK('Data Entry'!$¥$794), "", 'Data Entry'!$¥$794)</f>
      </c>
      <c r="CX794">
        <f>IF(ISBLANK('Data Entry'!$¦$794), "", 'Data Entry'!$¦$794)</f>
      </c>
      <c r="CY794">
        <f>IF(ISBLANK('Data Entry'!$§$794), "", 'Data Entry'!$§$794)</f>
      </c>
      <c r="CZ794">
        <f>IF(ISBLANK('Data Entry'!$¨$794), "", 'Data Entry'!$¨$794)</f>
      </c>
      <c r="DA794">
        <f>IF(ISBLANK('Data Entry'!$©$794), "", 'Data Entry'!$©$794)</f>
      </c>
      <c r="DB794">
        <f>IF(ISBLANK('Data Entry'!$ª$794), "", 'Data Entry'!$ª$794)</f>
      </c>
      <c r="DC794">
        <f>IF(ISBLANK('Data Entry'!$«$794), "", 'Data Entry'!$«$794)</f>
      </c>
      <c r="DD794">
        <f>IF(ISBLANK('Data Entry'!$¬$794), "", 'Data Entry'!$¬$794)</f>
      </c>
      <c r="DE794">
        <f>IF(ISBLANK('Data Entry'!$­$794), "", 'Data Entry'!$­$794)</f>
      </c>
      <c r="DF794">
        <f>IF(ISBLANK('Data Entry'!$®$794), "", 'Data Entry'!$®$794)</f>
      </c>
      <c r="DG794">
        <f>IF(ISBLANK('Data Entry'!$¯$794), "", 'Data Entry'!$¯$794)</f>
      </c>
      <c r="DH794">
        <f>IF(ISBLANK('Data Entry'!$°$794), "", 'Data Entry'!$°$794)</f>
      </c>
      <c r="DI794">
        <f>IF(ISBLANK('Data Entry'!$±$794), "", 'Data Entry'!$±$794)</f>
      </c>
      <c r="DJ794">
        <f>IF(ISBLANK('Data Entry'!$²$794), "", 'Data Entry'!$²$794)</f>
      </c>
      <c r="DK794">
        <f>IF(ISBLANK('Data Entry'!$³$794), "", 'Data Entry'!$³$794)</f>
      </c>
      <c r="DL794">
        <f>IF(ISBLANK('Data Entry'!$´$794), "", 'Data Entry'!$´$794)</f>
      </c>
      <c r="DM794">
        <f>IF(ISBLANK('Data Entry'!$µ$794), "", 'Data Entry'!$µ$794)</f>
      </c>
      <c r="DN794">
        <f>IF(ISBLANK('Data Entry'!$¶$794), "", 'Data Entry'!$¶$794)</f>
      </c>
      <c r="DO794">
        <f>IF(ISBLANK('Data Entry'!$·$794), "", 'Data Entry'!$·$794)</f>
      </c>
      <c r="DP794">
        <f>IF(ISBLANK('Data Entry'!$¸$794), "", 'Data Entry'!$¸$794)</f>
      </c>
      <c r="DQ794">
        <f>IF(ISBLANK('Data Entry'!$¹$794), "", 'Data Entry'!$¹$794)</f>
      </c>
      <c r="DR794">
        <f>IF(ISBLANK('Data Entry'!$º$794), "", 'Data Entry'!$º$794)</f>
      </c>
      <c r="DS794">
        <f>IF(ISBLANK('Data Entry'!$»$794), "", 'Data Entry'!$»$794)</f>
      </c>
      <c r="DT794">
        <f>IF(ISBLANK('Data Entry'!$¼$794), "", 'Data Entry'!$¼$794)</f>
      </c>
      <c r="DU794">
        <f>IF(ISBLANK('Data Entry'!$½$794), "", 'Data Entry'!$½$794)</f>
      </c>
      <c r="DV794">
        <f>IF(ISBLANK('Data Entry'!$¾$794), "", 'Data Entry'!$¾$794)</f>
      </c>
      <c r="DW794">
        <f>IF(ISBLANK('Data Entry'!$¿$794), "", 'Data Entry'!$¿$794)</f>
      </c>
      <c r="DX794">
        <f>IF(ISBLANK('Data Entry'!$À$794), "", 'Data Entry'!$À$794)</f>
      </c>
      <c r="DY794">
        <f>IF(ISBLANK('Data Entry'!$Á$794), "", 'Data Entry'!$Á$794)</f>
      </c>
      <c r="DZ794">
        <f>IF(ISBLANK('Data Entry'!$Â$794), "", 'Data Entry'!$Â$794)</f>
      </c>
      <c r="EA794">
        <f>IF(ISBLANK('Data Entry'!$Ã$794), "", 'Data Entry'!$Ã$794)</f>
      </c>
      <c r="EB794">
        <f>IF(ISBLANK('Data Entry'!$Ä$794), "", 'Data Entry'!$Ä$794)</f>
      </c>
      <c r="EC794">
        <f>IF(ISBLANK('Data Entry'!$Å$794), "", 'Data Entry'!$Å$794)</f>
      </c>
      <c r="ED794">
        <f>IF(ISBLANK('Data Entry'!$Æ$794), "", 'Data Entry'!$Æ$794)</f>
      </c>
      <c r="EE794">
        <f>IF(ISBLANK('Data Entry'!$Ç$794), "", 'Data Entry'!$Ç$794)</f>
      </c>
      <c r="EF794">
        <f>IF(ISBLANK('Data Entry'!$È$794), "", 'Data Entry'!$È$794)</f>
      </c>
      <c r="EG794">
        <f>IF(ISBLANK('Data Entry'!$É$794), "", 'Data Entry'!$É$794)</f>
      </c>
      <c r="EH794">
        <f>IF(ISBLANK('Data Entry'!$Ê$794), "", 'Data Entry'!$Ê$794)</f>
      </c>
      <c r="EI794">
        <f>IF(ISBLANK('Data Entry'!$Ë$794), "", 'Data Entry'!$Ë$794)</f>
      </c>
      <c r="EJ794">
        <f>IF(ISBLANK('Data Entry'!$Ì$794), "", 'Data Entry'!$Ì$794)</f>
      </c>
      <c r="EK794">
        <f>IF(ISBLANK('Data Entry'!$Í$794), "", 'Data Entry'!$Í$794)</f>
      </c>
      <c r="EL794">
        <f>IF(ISBLANK('Data Entry'!$Î$794), "", 'Data Entry'!$Î$794)</f>
      </c>
      <c r="EM794">
        <f>IF(ISBLANK('Data Entry'!$Ï$794), "", 'Data Entry'!$Ï$794)</f>
      </c>
      <c r="EN794">
        <f>IF(ISBLANK('Data Entry'!$Ð$794), "", 'Data Entry'!$Ð$794)</f>
      </c>
      <c r="EO794">
        <f>IF(ISBLANK('Data Entry'!$Ñ$794), "", 'Data Entry'!$Ñ$794)</f>
      </c>
      <c r="EP794">
        <f>IF(ISBLANK('Data Entry'!$Ò$794), "", 'Data Entry'!$Ò$794)</f>
      </c>
      <c r="EQ794">
        <f>IF(ISBLANK('Data Entry'!$Ó$794), "", 'Data Entry'!$Ó$794)</f>
      </c>
      <c r="ER794">
        <f>IF(ISBLANK('Data Entry'!$Ô$794), "", 'Data Entry'!$Ô$794)</f>
      </c>
      <c r="ES794">
        <f>IF(ISBLANK('Data Entry'!$Õ$794), "", 'Data Entry'!$Õ$794)</f>
      </c>
      <c r="ET794">
        <f>IF(ISBLANK('Data Entry'!$Ö$794), "", 'Data Entry'!$Ö$794)</f>
      </c>
      <c r="EU794">
        <f>IF(ISBLANK('Data Entry'!$×$794), "", 'Data Entry'!$×$794)</f>
      </c>
      <c r="EV794">
        <f>IF(ISBLANK('Data Entry'!$Ø$794), "", 'Data Entry'!$Ø$794)</f>
      </c>
      <c r="EW794">
        <f>IF(ISBLANK('Data Entry'!$Ù$794), "", 'Data Entry'!$Ù$794)</f>
      </c>
      <c r="EX794">
        <f>IF(ISBLANK('Data Entry'!$Ú$794), "", 'Data Entry'!$Ú$794)</f>
      </c>
      <c r="EY794">
        <f>IF(ISBLANK('Data Entry'!$Û$794), "", 'Data Entry'!$Û$794)</f>
      </c>
      <c r="EZ794">
        <f>IF(ISBLANK('Data Entry'!$Ü$794), "", 'Data Entry'!$Ü$794)</f>
      </c>
      <c r="FA794">
        <f>IF(ISBLANK('Data Entry'!$Ý$794), "", 'Data Entry'!$Ý$794)</f>
      </c>
      <c r="FB794">
        <f>IF(ISBLANK('Data Entry'!$Þ$794), "", 'Data Entry'!$Þ$794)</f>
      </c>
      <c r="FC794">
        <f>IF(ISBLANK('Data Entry'!$ß$794), "", 'Data Entry'!$ß$794)</f>
      </c>
      <c r="FD794">
        <f>IF(ISBLANK('Data Entry'!$à$794), "", 'Data Entry'!$à$794)</f>
      </c>
      <c r="FE794">
        <f>IF(ISBLANK('Data Entry'!$á$794), "", 'Data Entry'!$á$794)</f>
      </c>
      <c r="FF794">
        <f>IF(ISBLANK('Data Entry'!$â$794), "", 'Data Entry'!$â$794)</f>
      </c>
      <c r="FG794">
        <f>IF(ISBLANK('Data Entry'!$ã$794), "", 'Data Entry'!$ã$794)</f>
      </c>
      <c r="FH794">
        <f>IF(ISBLANK('Data Entry'!$ä$794), "", 'Data Entry'!$ä$794)</f>
      </c>
      <c r="FI794">
        <f>IF(ISBLANK('Data Entry'!$å$794), "", 'Data Entry'!$å$794)</f>
      </c>
      <c r="FJ794">
        <f>IF(ISBLANK('Data Entry'!$æ$794), "", 'Data Entry'!$æ$794)</f>
      </c>
      <c r="FK794">
        <f>IF(ISBLANK('Data Entry'!$ç$794), "", 'Data Entry'!$ç$794)</f>
      </c>
      <c r="FL794">
        <f>IF(ISBLANK('Data Entry'!$è$794), "", 'Data Entry'!$è$794)</f>
      </c>
      <c r="FM794">
        <f>IF(ISBLANK('Data Entry'!$é$794), "", 'Data Entry'!$é$794)</f>
      </c>
      <c r="FN794">
        <f>IF(ISBLANK('Data Entry'!$ê$794), "", 'Data Entry'!$ê$794)</f>
      </c>
      <c r="FO794">
        <f>IF(ISBLANK('Data Entry'!$ë$794), "", 'Data Entry'!$ë$794)</f>
      </c>
      <c r="FP794">
        <f>IF(ISBLANK('Data Entry'!$ì$794), "", 'Data Entry'!$ì$794)</f>
      </c>
      <c r="FQ794">
        <f>IF(ISBLANK('Data Entry'!$í$794), "", 'Data Entry'!$í$794)</f>
      </c>
      <c r="FR794">
        <f>IF(ISBLANK('Data Entry'!$î$794), "", 'Data Entry'!$î$794)</f>
      </c>
      <c r="FS794">
        <f>IF(ISBLANK('Data Entry'!$ï$794), "", 'Data Entry'!$ï$794)</f>
      </c>
      <c r="FT794">
        <f>IF(ISBLANK('Data Entry'!$ð$794), "", 'Data Entry'!$ð$794)</f>
      </c>
      <c r="FU794">
        <f>IF(ISBLANK('Data Entry'!$ñ$794), "", 'Data Entry'!$ñ$794)</f>
      </c>
      <c r="FV794">
        <f>IF(ISBLANK('Data Entry'!$ò$794), "", 'Data Entry'!$ò$794)</f>
      </c>
      <c r="FW794">
        <f>IF(ISBLANK('Data Entry'!$ó$794), "", 'Data Entry'!$ó$794)</f>
      </c>
      <c r="FX794">
        <f>IF(ISBLANK('Data Entry'!$ô$794), "", 'Data Entry'!$ô$794)</f>
      </c>
      <c r="FY794">
        <f>IF(ISBLANK('Data Entry'!$õ$794), "", 'Data Entry'!$õ$794)</f>
      </c>
      <c r="FZ794">
        <f>IF(ISBLANK('Data Entry'!$ö$794), "", 'Data Entry'!$ö$794)</f>
      </c>
      <c r="GA794">
        <f>IF(ISBLANK('Data Entry'!$÷$794), "", 'Data Entry'!$÷$794)</f>
      </c>
      <c r="GB794">
        <f>IF(ISBLANK('Data Entry'!$ø$794), "", 'Data Entry'!$ø$794)</f>
      </c>
      <c r="GC794">
        <f>IF(ISBLANK('Data Entry'!$ù$794), "", 'Data Entry'!$ù$794)</f>
      </c>
      <c r="GD794">
        <f>IF(ISBLANK('Data Entry'!$ú$794), "", 'Data Entry'!$ú$794)</f>
      </c>
      <c r="GE794">
        <f>IF(ISBLANK('Data Entry'!$û$794), "", 'Data Entry'!$û$794)</f>
      </c>
      <c r="GF794">
        <f>IF(ISBLANK('Data Entry'!$ü$794), "", 'Data Entry'!$ü$794)</f>
      </c>
      <c r="GG794">
        <f>IF(ISBLANK('Data Entry'!$ý$794), "", 'Data Entry'!$ý$794)</f>
      </c>
      <c r="GH794">
        <f>IF(ISBLANK('Data Entry'!$þ$794), "", 'Data Entry'!$þ$794)</f>
      </c>
      <c r="GI794">
        <f>IF(ISBLANK('Data Entry'!$ÿ$794), "", 'Data Entry'!$ÿ$794)</f>
      </c>
      <c r="GJ794">
        <f>IF(ISBLANK('Data Entry'!$Ā$794), "", 'Data Entry'!$Ā$794)</f>
      </c>
      <c r="GK794">
        <f>IF(ISBLANK('Data Entry'!$ā$794), "", 'Data Entry'!$ā$794)</f>
      </c>
      <c r="GL794">
        <f>IF(ISBLANK('Data Entry'!$Ă$794), "", 'Data Entry'!$Ă$794)</f>
      </c>
      <c r="GM794">
        <f>IF(ISBLANK('Data Entry'!$ă$794), "", 'Data Entry'!$ă$794)</f>
      </c>
      <c r="GN794">
        <f>IF(ISBLANK('Data Entry'!$Ą$794), "", 'Data Entry'!$Ą$794)</f>
      </c>
      <c r="GO794">
        <f>IF(ISBLANK('Data Entry'!$ą$794), "", 'Data Entry'!$ą$794)</f>
      </c>
      <c r="GP794">
        <f>IF(ISBLANK('Data Entry'!$Ć$794), "", 'Data Entry'!$Ć$794)</f>
      </c>
      <c r="GQ794">
        <f>IF(ISBLANK('Data Entry'!$ć$794), "", 'Data Entry'!$ć$794)</f>
      </c>
      <c r="GR794">
        <f>IF(ISBLANK('Data Entry'!$Ĉ$794), "", 'Data Entry'!$Ĉ$794)</f>
      </c>
      <c r="GS794">
        <f>IF(ISBLANK('Data Entry'!$ĉ$794), "", 'Data Entry'!$ĉ$794)</f>
      </c>
      <c r="GT794">
        <f>IF(ISBLANK('Data Entry'!$Ċ$794), "", 'Data Entry'!$Ċ$794)</f>
      </c>
      <c r="GU794">
        <f>IF(ISBLANK('Data Entry'!$ċ$794), "", 'Data Entry'!$ċ$794)</f>
      </c>
      <c r="GV794">
        <f>IF(ISBLANK('Data Entry'!$Č$794), "", 'Data Entry'!$Č$794)</f>
      </c>
      <c r="GW794">
        <f>IF(ISBLANK('Data Entry'!$č$794), "", 'Data Entry'!$č$794)</f>
      </c>
      <c r="GX794">
        <f>IF(ISBLANK('Data Entry'!$Ď$794), "", 'Data Entry'!$Ď$794)</f>
      </c>
      <c r="GY794">
        <f>IF(ISBLANK('Data Entry'!$ď$794), "", 'Data Entry'!$ď$794)</f>
      </c>
      <c r="GZ794">
        <f>IF(ISBLANK('Data Entry'!$Đ$794), "", 'Data Entry'!$Đ$794)</f>
      </c>
      <c r="HA794">
        <f>IF(ISBLANK('Data Entry'!$đ$794), "", 'Data Entry'!$đ$794)</f>
      </c>
      <c r="HB794">
        <f>IF(ISBLANK('Data Entry'!$Ē$794), "", 'Data Entry'!$Ē$794)</f>
      </c>
      <c r="HC794">
        <f>IF(ISBLANK('Data Entry'!$ē$794), "", 'Data Entry'!$ē$794)</f>
      </c>
      <c r="HD794">
        <f>IF(ISBLANK('Data Entry'!$Ĕ$794), "", 'Data Entry'!$Ĕ$794)</f>
      </c>
      <c r="HE794">
        <f>IF(ISBLANK('Data Entry'!$ĕ$794), "", 'Data Entry'!$ĕ$794)</f>
      </c>
      <c r="HF794">
        <f>IF(ISBLANK('Data Entry'!$Ė$794), "", 'Data Entry'!$Ė$794)</f>
      </c>
      <c r="HG794">
        <f>IF(ISBLANK('Data Entry'!$ė$794), "", 'Data Entry'!$ė$794)</f>
      </c>
      <c r="HH794">
        <f>IF(ISBLANK('Data Entry'!$Ę$794), "", 'Data Entry'!$Ę$794)</f>
      </c>
      <c r="HI794">
        <f>IF(ISBLANK('Data Entry'!$ę$794), "", 'Data Entry'!$ę$794)</f>
      </c>
      <c r="HJ794">
        <f>IF(ISBLANK('Data Entry'!$Ě$794), "", 'Data Entry'!$Ě$794)</f>
      </c>
      <c r="HK794">
        <f>IF(ISBLANK('Data Entry'!$ě$794), "", 'Data Entry'!$ě$794)</f>
      </c>
      <c r="HL794">
        <f>IF(ISBLANK('Data Entry'!$Ĝ$794), "", 'Data Entry'!$Ĝ$794)</f>
      </c>
      <c r="HM794">
        <f>IF(ISBLANK('Data Entry'!$ĝ$794), "", 'Data Entry'!$ĝ$794)</f>
      </c>
      <c r="HN794">
        <f>IF(ISBLANK('Data Entry'!$Ğ$794), "", 'Data Entry'!$Ğ$794)</f>
      </c>
      <c r="HO794">
        <f>IF(ISBLANK('Data Entry'!$ğ$794), "", 'Data Entry'!$ğ$794)</f>
      </c>
      <c r="HP794">
        <f>IF(ISBLANK('Data Entry'!$Ġ$794), "", 'Data Entry'!$Ġ$794)</f>
      </c>
      <c r="HQ794">
        <f>IF(ISBLANK('Data Entry'!$ġ$794), "", 'Data Entry'!$ġ$794)</f>
      </c>
      <c r="HR794">
        <f>IF(ISBLANK('Data Entry'!$Ģ$794), "", 'Data Entry'!$Ģ$794)</f>
      </c>
      <c r="HS794">
        <f>IF(ISBLANK('Data Entry'!$ģ$794), "", 'Data Entry'!$ģ$794)</f>
      </c>
      <c r="HT794">
        <f>IF(ISBLANK('Data Entry'!$Ĥ$794), "", 'Data Entry'!$Ĥ$794)</f>
      </c>
      <c r="HU794">
        <f>IF(ISBLANK('Data Entry'!$ĥ$794), "", 'Data Entry'!$ĥ$794)</f>
      </c>
      <c r="HV794">
        <f>IF(ISBLANK('Data Entry'!$Ħ$794), "", 'Data Entry'!$Ħ$794)</f>
      </c>
      <c r="HW794">
        <f>IF(ISBLANK('Data Entry'!$ħ$794), "", 'Data Entry'!$ħ$794)</f>
      </c>
      <c r="HX794">
        <f>IF(ISBLANK('Data Entry'!$Ĩ$794), "", 'Data Entry'!$Ĩ$794)</f>
      </c>
      <c r="HY794">
        <f>IF(ISBLANK('Data Entry'!$ĩ$794), "", 'Data Entry'!$ĩ$794)</f>
      </c>
      <c r="HZ794">
        <f>IF(ISBLANK('Data Entry'!$Ī$794), "", 'Data Entry'!$Ī$794)</f>
      </c>
      <c r="IA794">
        <f>IF(ISBLANK('Data Entry'!$ī$794), "", 'Data Entry'!$ī$794)</f>
      </c>
      <c r="IB794">
        <f>IF(ISBLANK('Data Entry'!$Ĭ$794), "", 'Data Entry'!$Ĭ$794)</f>
      </c>
      <c r="IC794">
        <f>IF(ISBLANK('Data Entry'!$ĭ$794), "", 'Data Entry'!$ĭ$794)</f>
      </c>
      <c r="ID794">
        <f>IF(ISBLANK('Data Entry'!$Į$794), "", 'Data Entry'!$Į$794)</f>
      </c>
      <c r="IE794">
        <f>IF(ISBLANK('Data Entry'!$į$794), "", 'Data Entry'!$į$794)</f>
      </c>
      <c r="IF794">
        <f>IF(ISBLANK('Data Entry'!$İ$794), "", 'Data Entry'!$İ$794)</f>
      </c>
      <c r="IG794">
        <f>IF(ISBLANK('Data Entry'!$ı$794), "", 'Data Entry'!$ı$794)</f>
      </c>
      <c r="IH794">
        <f>IF(ISBLANK('Data Entry'!$Ĳ$794), "", 'Data Entry'!$Ĳ$794)</f>
      </c>
      <c r="II794">
        <f>IF(ISBLANK('Data Entry'!$ĳ$794), "", 'Data Entry'!$ĳ$794)</f>
      </c>
      <c r="IJ794">
        <f>IF(ISBLANK('Data Entry'!$Ĵ$794), "", 'Data Entry'!$Ĵ$794)</f>
      </c>
      <c r="IK794">
        <f>IF(ISBLANK('Data Entry'!$ĵ$794), "", 'Data Entry'!$ĵ$794)</f>
      </c>
      <c r="IL794">
        <f>IF(ISBLANK('Data Entry'!$Ķ$794), "", 'Data Entry'!$Ķ$794)</f>
      </c>
      <c r="IM794">
        <f>IF(ISBLANK('Data Entry'!$ķ$794), "", 'Data Entry'!$ķ$794)</f>
      </c>
      <c r="IN794">
        <f>IF(ISBLANK('Data Entry'!$ĸ$794), "", 'Data Entry'!$ĸ$794)</f>
      </c>
      <c r="IO794">
        <f>IF(ISBLANK('Data Entry'!$Ĺ$794), "", 'Data Entry'!$Ĺ$794)</f>
      </c>
      <c r="IP794">
        <f>IF(ISBLANK('Data Entry'!$ĺ$794), "", 'Data Entry'!$ĺ$794)</f>
      </c>
      <c r="IQ794">
        <f>IF(ISBLANK('Data Entry'!$Ļ$794), "", 'Data Entry'!$Ļ$794)</f>
      </c>
      <c r="IR794">
        <f>IF(ISBLANK('Data Entry'!$ļ$794), "", 'Data Entry'!$ļ$794)</f>
      </c>
      <c r="IS794">
        <f>IF(ISBLANK('Data Entry'!$Ľ$794), "", 'Data Entry'!$Ľ$794)</f>
      </c>
      <c r="IT794">
        <f>IF(ISBLANK('Data Entry'!$ľ$794), "", 'Data Entry'!$ľ$794)</f>
      </c>
    </row>
    <row r="795" spans="1:254" x14ac:dyDescent="0.25">
      <c r="A795">
        <f>IF(ISBLANK('Data Entry'!$A$795), "", 'Data Entry'!$A$795)</f>
      </c>
      <c r="B795">
        <f>IF(ISBLANK('Data Entry'!$B$795), "", 'Data Entry'!$B$795)</f>
      </c>
      <c r="C795">
        <f>IF(ISBLANK('Data Entry'!$C$795), "", 'Data Entry'!$C$795)</f>
      </c>
      <c r="D795">
        <f>IF(ISBLANK('Data Entry'!$D$795), "", 'Data Entry'!$D$795)</f>
      </c>
      <c r="E795">
        <f>IF(ISBLANK('Data Entry'!$E$795), "", 'Data Entry'!$E$795)</f>
      </c>
      <c r="F795">
        <f>IF(ISBLANK('Data Entry'!$F$795), "", 'Data Entry'!$F$795)</f>
      </c>
      <c r="G795">
        <f>IF(ISBLANK('Data Entry'!$G$795), "", 'Data Entry'!$G$795)</f>
      </c>
      <c r="H795">
        <f>IF(ISBLANK('Data Entry'!$H$795), "", 'Data Entry'!$H$795)</f>
      </c>
      <c r="I795">
        <f>IF(ISBLANK('Data Entry'!$I$795), "", 'Data Entry'!$I$795)</f>
      </c>
      <c r="J795">
        <f>IF(ISBLANK('Data Entry'!$J$795), "", 'Data Entry'!$J$795)</f>
      </c>
      <c r="K795">
        <f>IF(ISBLANK('Data Entry'!$K$795), "", 'Data Entry'!$K$795)</f>
      </c>
      <c r="L795">
        <f>IF(ISBLANK('Data Entry'!$L$795), "", 'Data Entry'!$L$795)</f>
      </c>
      <c r="M795">
        <f>IF(ISBLANK('Data Entry'!$M$795), "", 'Data Entry'!$M$795)</f>
      </c>
      <c r="N795">
        <f>IF(ISBLANK('Data Entry'!$N$795), "", 'Data Entry'!$N$795)</f>
      </c>
      <c r="O795">
        <f>IF(ISBLANK('Data Entry'!$O$795), "", 'Data Entry'!$O$795)</f>
      </c>
      <c r="P795">
        <f>IF(ISBLANK('Data Entry'!$P$795), "", 'Data Entry'!$P$795)</f>
      </c>
      <c r="Q795">
        <f>IF(ISBLANK('Data Entry'!$Q$795), "", 'Data Entry'!$Q$795)</f>
      </c>
      <c r="R795">
        <f>IF(ISBLANK('Data Entry'!$R$795), "", 'Data Entry'!$R$795)</f>
      </c>
      <c r="S795">
        <f>IF(ISBLANK('Data Entry'!$S$795), "", 'Data Entry'!$S$795)</f>
      </c>
      <c r="T795">
        <f>IF(ISBLANK('Data Entry'!$T$795), "", 'Data Entry'!$T$795)</f>
      </c>
      <c r="U795">
        <f>IF(ISBLANK('Data Entry'!$U$795), "", 'Data Entry'!$U$795)</f>
      </c>
      <c r="V795">
        <f>IF(ISBLANK('Data Entry'!$V$795), "", 'Data Entry'!$V$795)</f>
      </c>
      <c r="W795">
        <f>IF(ISBLANK('Data Entry'!$W$795), "", 'Data Entry'!$W$795)</f>
      </c>
      <c r="X795">
        <f>IF(ISBLANK('Data Entry'!$X$795), "", 'Data Entry'!$X$795)</f>
      </c>
      <c r="Y795">
        <f>IF(ISBLANK('Data Entry'!$Y$795), "", 'Data Entry'!$Y$795)</f>
      </c>
      <c r="Z795">
        <f>IF(ISBLANK('Data Entry'!$Z$795), "", 'Data Entry'!$Z$795)</f>
      </c>
      <c r="AA795">
        <f>IF(ISBLANK('Data Entry'!$[$795), "", 'Data Entry'!$[$795)</f>
      </c>
      <c r="AB795">
        <f>IF(ISBLANK('Data Entry'!$\$795), "", 'Data Entry'!$\$795)</f>
      </c>
      <c r="AC795">
        <f>IF(ISBLANK('Data Entry'!$]$795), "", 'Data Entry'!$]$795)</f>
      </c>
      <c r="AD795">
        <f>IF(ISBLANK('Data Entry'!$^$795), "", 'Data Entry'!$^$795)</f>
      </c>
      <c r="AE795">
        <f>IF(ISBLANK('Data Entry'!$_$795), "", 'Data Entry'!$_$795)</f>
      </c>
      <c r="AF795">
        <f>IF(ISBLANK('Data Entry'!$`$795), "", 'Data Entry'!$`$795)</f>
      </c>
      <c r="AG795">
        <f>IF(ISBLANK('Data Entry'!$a$795), "", 'Data Entry'!$a$795)</f>
      </c>
      <c r="AH795">
        <f>IF(ISBLANK('Data Entry'!$b$795), "", 'Data Entry'!$b$795)</f>
      </c>
      <c r="AI795">
        <f>IF(ISBLANK('Data Entry'!$c$795), "", 'Data Entry'!$c$795)</f>
      </c>
      <c r="AJ795">
        <f>IF(ISBLANK('Data Entry'!$d$795), "", 'Data Entry'!$d$795)</f>
      </c>
      <c r="AK795">
        <f>IF(ISBLANK('Data Entry'!$e$795), "", 'Data Entry'!$e$795)</f>
      </c>
      <c r="AL795">
        <f>IF(ISBLANK('Data Entry'!$f$795), "", 'Data Entry'!$f$795)</f>
      </c>
      <c r="AM795">
        <f>IF(ISBLANK('Data Entry'!$g$795), "", 'Data Entry'!$g$795)</f>
      </c>
      <c r="AN795">
        <f>IF(ISBLANK('Data Entry'!$h$795), "", 'Data Entry'!$h$795)</f>
      </c>
      <c r="AO795">
        <f>IF(ISBLANK('Data Entry'!$i$795), "", 'Data Entry'!$i$795)</f>
      </c>
      <c r="AP795">
        <f>IF(ISBLANK('Data Entry'!$j$795), "", 'Data Entry'!$j$795)</f>
      </c>
      <c r="AQ795">
        <f>IF(ISBLANK('Data Entry'!$k$795), "", 'Data Entry'!$k$795)</f>
      </c>
      <c r="AR795">
        <f>IF(ISBLANK('Data Entry'!$l$795), "", 'Data Entry'!$l$795)</f>
      </c>
      <c r="AS795">
        <f>IF(ISBLANK('Data Entry'!$m$795), "", 'Data Entry'!$m$795)</f>
      </c>
      <c r="AT795">
        <f>IF(ISBLANK('Data Entry'!$n$795), "", 'Data Entry'!$n$795)</f>
      </c>
      <c r="AU795">
        <f>IF(ISBLANK('Data Entry'!$o$795), "", 'Data Entry'!$o$795)</f>
      </c>
      <c r="AV795">
        <f>IF(ISBLANK('Data Entry'!$p$795), "", 'Data Entry'!$p$795)</f>
      </c>
      <c r="AW795">
        <f>IF(ISBLANK('Data Entry'!$q$795), "", 'Data Entry'!$q$795)</f>
      </c>
      <c r="AX795">
        <f>IF(ISBLANK('Data Entry'!$r$795), "", 'Data Entry'!$r$795)</f>
      </c>
      <c r="AY795">
        <f>IF(ISBLANK('Data Entry'!$s$795), "", 'Data Entry'!$s$795)</f>
      </c>
      <c r="AZ795">
        <f>IF(ISBLANK('Data Entry'!$t$795), "", 'Data Entry'!$t$795)</f>
      </c>
      <c r="BA795">
        <f>IF(ISBLANK('Data Entry'!$u$795), "", 'Data Entry'!$u$795)</f>
      </c>
      <c r="BB795">
        <f>IF(ISBLANK('Data Entry'!$v$795), "", 'Data Entry'!$v$795)</f>
      </c>
      <c r="BC795">
        <f>IF(ISBLANK('Data Entry'!$w$795), "", 'Data Entry'!$w$795)</f>
      </c>
      <c r="BD795">
        <f>IF(ISBLANK('Data Entry'!$x$795), "", 'Data Entry'!$x$795)</f>
      </c>
      <c r="BE795">
        <f>IF(ISBLANK('Data Entry'!$y$795), "", 'Data Entry'!$y$795)</f>
      </c>
      <c r="BF795">
        <f>IF(ISBLANK('Data Entry'!$z$795), "", 'Data Entry'!$z$795)</f>
      </c>
      <c r="BG795">
        <f>IF(ISBLANK('Data Entry'!${$795), "", 'Data Entry'!${$795)</f>
      </c>
      <c r="BH795">
        <f>IF(ISBLANK('Data Entry'!$|$795), "", 'Data Entry'!$|$795)</f>
      </c>
      <c r="BI795">
        <f>IF(ISBLANK('Data Entry'!$}$795), "", 'Data Entry'!$}$795)</f>
      </c>
      <c r="BJ795">
        <f>IF(ISBLANK('Data Entry'!$~$795), "", 'Data Entry'!$~$795)</f>
      </c>
      <c r="BK795">
        <f>IF(ISBLANK('Data Entry'!$$795), "", 'Data Entry'!$$795)</f>
      </c>
      <c r="BL795">
        <f>IF(ISBLANK('Data Entry'!$$795), "", 'Data Entry'!$$795)</f>
      </c>
      <c r="BM795">
        <f>IF(ISBLANK('Data Entry'!$$795), "", 'Data Entry'!$$795)</f>
      </c>
      <c r="BN795">
        <f>IF(ISBLANK('Data Entry'!$$795), "", 'Data Entry'!$$795)</f>
      </c>
      <c r="BO795">
        <f>IF(ISBLANK('Data Entry'!$$795), "", 'Data Entry'!$$795)</f>
      </c>
      <c r="BP795">
        <f>IF(ISBLANK('Data Entry'!$$795), "", 'Data Entry'!$$795)</f>
      </c>
      <c r="BQ795">
        <f>IF(ISBLANK('Data Entry'!$$795), "", 'Data Entry'!$$795)</f>
      </c>
      <c r="BR795">
        <f>IF(ISBLANK('Data Entry'!$$795), "", 'Data Entry'!$$795)</f>
      </c>
      <c r="BS795">
        <f>IF(ISBLANK('Data Entry'!$$795), "", 'Data Entry'!$$795)</f>
      </c>
      <c r="BT795">
        <f>IF(ISBLANK('Data Entry'!$$795), "", 'Data Entry'!$$795)</f>
      </c>
      <c r="BU795">
        <f>IF(ISBLANK('Data Entry'!$$795), "", 'Data Entry'!$$795)</f>
      </c>
      <c r="BV795">
        <f>IF(ISBLANK('Data Entry'!$$795), "", 'Data Entry'!$$795)</f>
      </c>
      <c r="BW795">
        <f>IF(ISBLANK('Data Entry'!$$795), "", 'Data Entry'!$$795)</f>
      </c>
      <c r="BX795">
        <f>IF(ISBLANK('Data Entry'!$$795), "", 'Data Entry'!$$795)</f>
      </c>
      <c r="BY795">
        <f>IF(ISBLANK('Data Entry'!$$795), "", 'Data Entry'!$$795)</f>
      </c>
      <c r="BZ795">
        <f>IF(ISBLANK('Data Entry'!$$795), "", 'Data Entry'!$$795)</f>
      </c>
      <c r="CA795">
        <f>IF(ISBLANK('Data Entry'!$$795), "", 'Data Entry'!$$795)</f>
      </c>
      <c r="CB795">
        <f>IF(ISBLANK('Data Entry'!$$795), "", 'Data Entry'!$$795)</f>
      </c>
      <c r="CC795">
        <f>IF(ISBLANK('Data Entry'!$$795), "", 'Data Entry'!$$795)</f>
      </c>
      <c r="CD795">
        <f>IF(ISBLANK('Data Entry'!$$795), "", 'Data Entry'!$$795)</f>
      </c>
      <c r="CE795">
        <f>IF(ISBLANK('Data Entry'!$$795), "", 'Data Entry'!$$795)</f>
      </c>
      <c r="CF795">
        <f>IF(ISBLANK('Data Entry'!$$795), "", 'Data Entry'!$$795)</f>
      </c>
      <c r="CG795">
        <f>IF(ISBLANK('Data Entry'!$$795), "", 'Data Entry'!$$795)</f>
      </c>
      <c r="CH795">
        <f>IF(ISBLANK('Data Entry'!$$795), "", 'Data Entry'!$$795)</f>
      </c>
      <c r="CI795">
        <f>IF(ISBLANK('Data Entry'!$$795), "", 'Data Entry'!$$795)</f>
      </c>
      <c r="CJ795">
        <f>IF(ISBLANK('Data Entry'!$$795), "", 'Data Entry'!$$795)</f>
      </c>
      <c r="CK795">
        <f>IF(ISBLANK('Data Entry'!$$795), "", 'Data Entry'!$$795)</f>
      </c>
      <c r="CL795">
        <f>IF(ISBLANK('Data Entry'!$$795), "", 'Data Entry'!$$795)</f>
      </c>
      <c r="CM795">
        <f>IF(ISBLANK('Data Entry'!$$795), "", 'Data Entry'!$$795)</f>
      </c>
      <c r="CN795">
        <f>IF(ISBLANK('Data Entry'!$$795), "", 'Data Entry'!$$795)</f>
      </c>
      <c r="CO795">
        <f>IF(ISBLANK('Data Entry'!$$795), "", 'Data Entry'!$$795)</f>
      </c>
      <c r="CP795">
        <f>IF(ISBLANK('Data Entry'!$$795), "", 'Data Entry'!$$795)</f>
      </c>
      <c r="CQ795">
        <f>IF(ISBLANK('Data Entry'!$$795), "", 'Data Entry'!$$795)</f>
      </c>
      <c r="CR795">
        <f>IF(ISBLANK('Data Entry'!$ $795), "", 'Data Entry'!$ $795)</f>
      </c>
      <c r="CS795">
        <f>IF(ISBLANK('Data Entry'!$¡$795), "", 'Data Entry'!$¡$795)</f>
      </c>
      <c r="CT795">
        <f>IF(ISBLANK('Data Entry'!$¢$795), "", 'Data Entry'!$¢$795)</f>
      </c>
      <c r="CU795">
        <f>IF(ISBLANK('Data Entry'!$£$795), "", 'Data Entry'!$£$795)</f>
      </c>
      <c r="CV795">
        <f>IF(ISBLANK('Data Entry'!$¤$795), "", 'Data Entry'!$¤$795)</f>
      </c>
      <c r="CW795">
        <f>IF(ISBLANK('Data Entry'!$¥$795), "", 'Data Entry'!$¥$795)</f>
      </c>
      <c r="CX795">
        <f>IF(ISBLANK('Data Entry'!$¦$795), "", 'Data Entry'!$¦$795)</f>
      </c>
      <c r="CY795">
        <f>IF(ISBLANK('Data Entry'!$§$795), "", 'Data Entry'!$§$795)</f>
      </c>
      <c r="CZ795">
        <f>IF(ISBLANK('Data Entry'!$¨$795), "", 'Data Entry'!$¨$795)</f>
      </c>
      <c r="DA795">
        <f>IF(ISBLANK('Data Entry'!$©$795), "", 'Data Entry'!$©$795)</f>
      </c>
      <c r="DB795">
        <f>IF(ISBLANK('Data Entry'!$ª$795), "", 'Data Entry'!$ª$795)</f>
      </c>
      <c r="DC795">
        <f>IF(ISBLANK('Data Entry'!$«$795), "", 'Data Entry'!$«$795)</f>
      </c>
      <c r="DD795">
        <f>IF(ISBLANK('Data Entry'!$¬$795), "", 'Data Entry'!$¬$795)</f>
      </c>
      <c r="DE795">
        <f>IF(ISBLANK('Data Entry'!$­$795), "", 'Data Entry'!$­$795)</f>
      </c>
      <c r="DF795">
        <f>IF(ISBLANK('Data Entry'!$®$795), "", 'Data Entry'!$®$795)</f>
      </c>
      <c r="DG795">
        <f>IF(ISBLANK('Data Entry'!$¯$795), "", 'Data Entry'!$¯$795)</f>
      </c>
      <c r="DH795">
        <f>IF(ISBLANK('Data Entry'!$°$795), "", 'Data Entry'!$°$795)</f>
      </c>
      <c r="DI795">
        <f>IF(ISBLANK('Data Entry'!$±$795), "", 'Data Entry'!$±$795)</f>
      </c>
      <c r="DJ795">
        <f>IF(ISBLANK('Data Entry'!$²$795), "", 'Data Entry'!$²$795)</f>
      </c>
      <c r="DK795">
        <f>IF(ISBLANK('Data Entry'!$³$795), "", 'Data Entry'!$³$795)</f>
      </c>
      <c r="DL795">
        <f>IF(ISBLANK('Data Entry'!$´$795), "", 'Data Entry'!$´$795)</f>
      </c>
      <c r="DM795">
        <f>IF(ISBLANK('Data Entry'!$µ$795), "", 'Data Entry'!$µ$795)</f>
      </c>
      <c r="DN795">
        <f>IF(ISBLANK('Data Entry'!$¶$795), "", 'Data Entry'!$¶$795)</f>
      </c>
      <c r="DO795">
        <f>IF(ISBLANK('Data Entry'!$·$795), "", 'Data Entry'!$·$795)</f>
      </c>
      <c r="DP795">
        <f>IF(ISBLANK('Data Entry'!$¸$795), "", 'Data Entry'!$¸$795)</f>
      </c>
      <c r="DQ795">
        <f>IF(ISBLANK('Data Entry'!$¹$795), "", 'Data Entry'!$¹$795)</f>
      </c>
      <c r="DR795">
        <f>IF(ISBLANK('Data Entry'!$º$795), "", 'Data Entry'!$º$795)</f>
      </c>
      <c r="DS795">
        <f>IF(ISBLANK('Data Entry'!$»$795), "", 'Data Entry'!$»$795)</f>
      </c>
      <c r="DT795">
        <f>IF(ISBLANK('Data Entry'!$¼$795), "", 'Data Entry'!$¼$795)</f>
      </c>
      <c r="DU795">
        <f>IF(ISBLANK('Data Entry'!$½$795), "", 'Data Entry'!$½$795)</f>
      </c>
      <c r="DV795">
        <f>IF(ISBLANK('Data Entry'!$¾$795), "", 'Data Entry'!$¾$795)</f>
      </c>
      <c r="DW795">
        <f>IF(ISBLANK('Data Entry'!$¿$795), "", 'Data Entry'!$¿$795)</f>
      </c>
      <c r="DX795">
        <f>IF(ISBLANK('Data Entry'!$À$795), "", 'Data Entry'!$À$795)</f>
      </c>
      <c r="DY795">
        <f>IF(ISBLANK('Data Entry'!$Á$795), "", 'Data Entry'!$Á$795)</f>
      </c>
      <c r="DZ795">
        <f>IF(ISBLANK('Data Entry'!$Â$795), "", 'Data Entry'!$Â$795)</f>
      </c>
      <c r="EA795">
        <f>IF(ISBLANK('Data Entry'!$Ã$795), "", 'Data Entry'!$Ã$795)</f>
      </c>
      <c r="EB795">
        <f>IF(ISBLANK('Data Entry'!$Ä$795), "", 'Data Entry'!$Ä$795)</f>
      </c>
      <c r="EC795">
        <f>IF(ISBLANK('Data Entry'!$Å$795), "", 'Data Entry'!$Å$795)</f>
      </c>
      <c r="ED795">
        <f>IF(ISBLANK('Data Entry'!$Æ$795), "", 'Data Entry'!$Æ$795)</f>
      </c>
      <c r="EE795">
        <f>IF(ISBLANK('Data Entry'!$Ç$795), "", 'Data Entry'!$Ç$795)</f>
      </c>
      <c r="EF795">
        <f>IF(ISBLANK('Data Entry'!$È$795), "", 'Data Entry'!$È$795)</f>
      </c>
      <c r="EG795">
        <f>IF(ISBLANK('Data Entry'!$É$795), "", 'Data Entry'!$É$795)</f>
      </c>
      <c r="EH795">
        <f>IF(ISBLANK('Data Entry'!$Ê$795), "", 'Data Entry'!$Ê$795)</f>
      </c>
      <c r="EI795">
        <f>IF(ISBLANK('Data Entry'!$Ë$795), "", 'Data Entry'!$Ë$795)</f>
      </c>
      <c r="EJ795">
        <f>IF(ISBLANK('Data Entry'!$Ì$795), "", 'Data Entry'!$Ì$795)</f>
      </c>
      <c r="EK795">
        <f>IF(ISBLANK('Data Entry'!$Í$795), "", 'Data Entry'!$Í$795)</f>
      </c>
      <c r="EL795">
        <f>IF(ISBLANK('Data Entry'!$Î$795), "", 'Data Entry'!$Î$795)</f>
      </c>
      <c r="EM795">
        <f>IF(ISBLANK('Data Entry'!$Ï$795), "", 'Data Entry'!$Ï$795)</f>
      </c>
      <c r="EN795">
        <f>IF(ISBLANK('Data Entry'!$Ð$795), "", 'Data Entry'!$Ð$795)</f>
      </c>
      <c r="EO795">
        <f>IF(ISBLANK('Data Entry'!$Ñ$795), "", 'Data Entry'!$Ñ$795)</f>
      </c>
      <c r="EP795">
        <f>IF(ISBLANK('Data Entry'!$Ò$795), "", 'Data Entry'!$Ò$795)</f>
      </c>
      <c r="EQ795">
        <f>IF(ISBLANK('Data Entry'!$Ó$795), "", 'Data Entry'!$Ó$795)</f>
      </c>
      <c r="ER795">
        <f>IF(ISBLANK('Data Entry'!$Ô$795), "", 'Data Entry'!$Ô$795)</f>
      </c>
      <c r="ES795">
        <f>IF(ISBLANK('Data Entry'!$Õ$795), "", 'Data Entry'!$Õ$795)</f>
      </c>
      <c r="ET795">
        <f>IF(ISBLANK('Data Entry'!$Ö$795), "", 'Data Entry'!$Ö$795)</f>
      </c>
      <c r="EU795">
        <f>IF(ISBLANK('Data Entry'!$×$795), "", 'Data Entry'!$×$795)</f>
      </c>
      <c r="EV795">
        <f>IF(ISBLANK('Data Entry'!$Ø$795), "", 'Data Entry'!$Ø$795)</f>
      </c>
      <c r="EW795">
        <f>IF(ISBLANK('Data Entry'!$Ù$795), "", 'Data Entry'!$Ù$795)</f>
      </c>
      <c r="EX795">
        <f>IF(ISBLANK('Data Entry'!$Ú$795), "", 'Data Entry'!$Ú$795)</f>
      </c>
      <c r="EY795">
        <f>IF(ISBLANK('Data Entry'!$Û$795), "", 'Data Entry'!$Û$795)</f>
      </c>
      <c r="EZ795">
        <f>IF(ISBLANK('Data Entry'!$Ü$795), "", 'Data Entry'!$Ü$795)</f>
      </c>
      <c r="FA795">
        <f>IF(ISBLANK('Data Entry'!$Ý$795), "", 'Data Entry'!$Ý$795)</f>
      </c>
      <c r="FB795">
        <f>IF(ISBLANK('Data Entry'!$Þ$795), "", 'Data Entry'!$Þ$795)</f>
      </c>
      <c r="FC795">
        <f>IF(ISBLANK('Data Entry'!$ß$795), "", 'Data Entry'!$ß$795)</f>
      </c>
      <c r="FD795">
        <f>IF(ISBLANK('Data Entry'!$à$795), "", 'Data Entry'!$à$795)</f>
      </c>
      <c r="FE795">
        <f>IF(ISBLANK('Data Entry'!$á$795), "", 'Data Entry'!$á$795)</f>
      </c>
      <c r="FF795">
        <f>IF(ISBLANK('Data Entry'!$â$795), "", 'Data Entry'!$â$795)</f>
      </c>
      <c r="FG795">
        <f>IF(ISBLANK('Data Entry'!$ã$795), "", 'Data Entry'!$ã$795)</f>
      </c>
      <c r="FH795">
        <f>IF(ISBLANK('Data Entry'!$ä$795), "", 'Data Entry'!$ä$795)</f>
      </c>
      <c r="FI795">
        <f>IF(ISBLANK('Data Entry'!$å$795), "", 'Data Entry'!$å$795)</f>
      </c>
      <c r="FJ795">
        <f>IF(ISBLANK('Data Entry'!$æ$795), "", 'Data Entry'!$æ$795)</f>
      </c>
      <c r="FK795">
        <f>IF(ISBLANK('Data Entry'!$ç$795), "", 'Data Entry'!$ç$795)</f>
      </c>
      <c r="FL795">
        <f>IF(ISBLANK('Data Entry'!$è$795), "", 'Data Entry'!$è$795)</f>
      </c>
      <c r="FM795">
        <f>IF(ISBLANK('Data Entry'!$é$795), "", 'Data Entry'!$é$795)</f>
      </c>
      <c r="FN795">
        <f>IF(ISBLANK('Data Entry'!$ê$795), "", 'Data Entry'!$ê$795)</f>
      </c>
      <c r="FO795">
        <f>IF(ISBLANK('Data Entry'!$ë$795), "", 'Data Entry'!$ë$795)</f>
      </c>
      <c r="FP795">
        <f>IF(ISBLANK('Data Entry'!$ì$795), "", 'Data Entry'!$ì$795)</f>
      </c>
      <c r="FQ795">
        <f>IF(ISBLANK('Data Entry'!$í$795), "", 'Data Entry'!$í$795)</f>
      </c>
      <c r="FR795">
        <f>IF(ISBLANK('Data Entry'!$î$795), "", 'Data Entry'!$î$795)</f>
      </c>
      <c r="FS795">
        <f>IF(ISBLANK('Data Entry'!$ï$795), "", 'Data Entry'!$ï$795)</f>
      </c>
      <c r="FT795">
        <f>IF(ISBLANK('Data Entry'!$ð$795), "", 'Data Entry'!$ð$795)</f>
      </c>
      <c r="FU795">
        <f>IF(ISBLANK('Data Entry'!$ñ$795), "", 'Data Entry'!$ñ$795)</f>
      </c>
      <c r="FV795">
        <f>IF(ISBLANK('Data Entry'!$ò$795), "", 'Data Entry'!$ò$795)</f>
      </c>
      <c r="FW795">
        <f>IF(ISBLANK('Data Entry'!$ó$795), "", 'Data Entry'!$ó$795)</f>
      </c>
      <c r="FX795">
        <f>IF(ISBLANK('Data Entry'!$ô$795), "", 'Data Entry'!$ô$795)</f>
      </c>
      <c r="FY795">
        <f>IF(ISBLANK('Data Entry'!$õ$795), "", 'Data Entry'!$õ$795)</f>
      </c>
      <c r="FZ795">
        <f>IF(ISBLANK('Data Entry'!$ö$795), "", 'Data Entry'!$ö$795)</f>
      </c>
      <c r="GA795">
        <f>IF(ISBLANK('Data Entry'!$÷$795), "", 'Data Entry'!$÷$795)</f>
      </c>
      <c r="GB795">
        <f>IF(ISBLANK('Data Entry'!$ø$795), "", 'Data Entry'!$ø$795)</f>
      </c>
      <c r="GC795">
        <f>IF(ISBLANK('Data Entry'!$ù$795), "", 'Data Entry'!$ù$795)</f>
      </c>
      <c r="GD795">
        <f>IF(ISBLANK('Data Entry'!$ú$795), "", 'Data Entry'!$ú$795)</f>
      </c>
      <c r="GE795">
        <f>IF(ISBLANK('Data Entry'!$û$795), "", 'Data Entry'!$û$795)</f>
      </c>
      <c r="GF795">
        <f>IF(ISBLANK('Data Entry'!$ü$795), "", 'Data Entry'!$ü$795)</f>
      </c>
      <c r="GG795">
        <f>IF(ISBLANK('Data Entry'!$ý$795), "", 'Data Entry'!$ý$795)</f>
      </c>
      <c r="GH795">
        <f>IF(ISBLANK('Data Entry'!$þ$795), "", 'Data Entry'!$þ$795)</f>
      </c>
      <c r="GI795">
        <f>IF(ISBLANK('Data Entry'!$ÿ$795), "", 'Data Entry'!$ÿ$795)</f>
      </c>
      <c r="GJ795">
        <f>IF(ISBLANK('Data Entry'!$Ā$795), "", 'Data Entry'!$Ā$795)</f>
      </c>
      <c r="GK795">
        <f>IF(ISBLANK('Data Entry'!$ā$795), "", 'Data Entry'!$ā$795)</f>
      </c>
      <c r="GL795">
        <f>IF(ISBLANK('Data Entry'!$Ă$795), "", 'Data Entry'!$Ă$795)</f>
      </c>
      <c r="GM795">
        <f>IF(ISBLANK('Data Entry'!$ă$795), "", 'Data Entry'!$ă$795)</f>
      </c>
      <c r="GN795">
        <f>IF(ISBLANK('Data Entry'!$Ą$795), "", 'Data Entry'!$Ą$795)</f>
      </c>
      <c r="GO795">
        <f>IF(ISBLANK('Data Entry'!$ą$795), "", 'Data Entry'!$ą$795)</f>
      </c>
      <c r="GP795">
        <f>IF(ISBLANK('Data Entry'!$Ć$795), "", 'Data Entry'!$Ć$795)</f>
      </c>
      <c r="GQ795">
        <f>IF(ISBLANK('Data Entry'!$ć$795), "", 'Data Entry'!$ć$795)</f>
      </c>
      <c r="GR795">
        <f>IF(ISBLANK('Data Entry'!$Ĉ$795), "", 'Data Entry'!$Ĉ$795)</f>
      </c>
      <c r="GS795">
        <f>IF(ISBLANK('Data Entry'!$ĉ$795), "", 'Data Entry'!$ĉ$795)</f>
      </c>
      <c r="GT795">
        <f>IF(ISBLANK('Data Entry'!$Ċ$795), "", 'Data Entry'!$Ċ$795)</f>
      </c>
      <c r="GU795">
        <f>IF(ISBLANK('Data Entry'!$ċ$795), "", 'Data Entry'!$ċ$795)</f>
      </c>
      <c r="GV795">
        <f>IF(ISBLANK('Data Entry'!$Č$795), "", 'Data Entry'!$Č$795)</f>
      </c>
      <c r="GW795">
        <f>IF(ISBLANK('Data Entry'!$č$795), "", 'Data Entry'!$č$795)</f>
      </c>
      <c r="GX795">
        <f>IF(ISBLANK('Data Entry'!$Ď$795), "", 'Data Entry'!$Ď$795)</f>
      </c>
      <c r="GY795">
        <f>IF(ISBLANK('Data Entry'!$ď$795), "", 'Data Entry'!$ď$795)</f>
      </c>
      <c r="GZ795">
        <f>IF(ISBLANK('Data Entry'!$Đ$795), "", 'Data Entry'!$Đ$795)</f>
      </c>
      <c r="HA795">
        <f>IF(ISBLANK('Data Entry'!$đ$795), "", 'Data Entry'!$đ$795)</f>
      </c>
      <c r="HB795">
        <f>IF(ISBLANK('Data Entry'!$Ē$795), "", 'Data Entry'!$Ē$795)</f>
      </c>
      <c r="HC795">
        <f>IF(ISBLANK('Data Entry'!$ē$795), "", 'Data Entry'!$ē$795)</f>
      </c>
      <c r="HD795">
        <f>IF(ISBLANK('Data Entry'!$Ĕ$795), "", 'Data Entry'!$Ĕ$795)</f>
      </c>
      <c r="HE795">
        <f>IF(ISBLANK('Data Entry'!$ĕ$795), "", 'Data Entry'!$ĕ$795)</f>
      </c>
      <c r="HF795">
        <f>IF(ISBLANK('Data Entry'!$Ė$795), "", 'Data Entry'!$Ė$795)</f>
      </c>
      <c r="HG795">
        <f>IF(ISBLANK('Data Entry'!$ė$795), "", 'Data Entry'!$ė$795)</f>
      </c>
      <c r="HH795">
        <f>IF(ISBLANK('Data Entry'!$Ę$795), "", 'Data Entry'!$Ę$795)</f>
      </c>
      <c r="HI795">
        <f>IF(ISBLANK('Data Entry'!$ę$795), "", 'Data Entry'!$ę$795)</f>
      </c>
      <c r="HJ795">
        <f>IF(ISBLANK('Data Entry'!$Ě$795), "", 'Data Entry'!$Ě$795)</f>
      </c>
      <c r="HK795">
        <f>IF(ISBLANK('Data Entry'!$ě$795), "", 'Data Entry'!$ě$795)</f>
      </c>
      <c r="HL795">
        <f>IF(ISBLANK('Data Entry'!$Ĝ$795), "", 'Data Entry'!$Ĝ$795)</f>
      </c>
      <c r="HM795">
        <f>IF(ISBLANK('Data Entry'!$ĝ$795), "", 'Data Entry'!$ĝ$795)</f>
      </c>
      <c r="HN795">
        <f>IF(ISBLANK('Data Entry'!$Ğ$795), "", 'Data Entry'!$Ğ$795)</f>
      </c>
      <c r="HO795">
        <f>IF(ISBLANK('Data Entry'!$ğ$795), "", 'Data Entry'!$ğ$795)</f>
      </c>
      <c r="HP795">
        <f>IF(ISBLANK('Data Entry'!$Ġ$795), "", 'Data Entry'!$Ġ$795)</f>
      </c>
      <c r="HQ795">
        <f>IF(ISBLANK('Data Entry'!$ġ$795), "", 'Data Entry'!$ġ$795)</f>
      </c>
      <c r="HR795">
        <f>IF(ISBLANK('Data Entry'!$Ģ$795), "", 'Data Entry'!$Ģ$795)</f>
      </c>
      <c r="HS795">
        <f>IF(ISBLANK('Data Entry'!$ģ$795), "", 'Data Entry'!$ģ$795)</f>
      </c>
      <c r="HT795">
        <f>IF(ISBLANK('Data Entry'!$Ĥ$795), "", 'Data Entry'!$Ĥ$795)</f>
      </c>
      <c r="HU795">
        <f>IF(ISBLANK('Data Entry'!$ĥ$795), "", 'Data Entry'!$ĥ$795)</f>
      </c>
      <c r="HV795">
        <f>IF(ISBLANK('Data Entry'!$Ħ$795), "", 'Data Entry'!$Ħ$795)</f>
      </c>
      <c r="HW795">
        <f>IF(ISBLANK('Data Entry'!$ħ$795), "", 'Data Entry'!$ħ$795)</f>
      </c>
      <c r="HX795">
        <f>IF(ISBLANK('Data Entry'!$Ĩ$795), "", 'Data Entry'!$Ĩ$795)</f>
      </c>
      <c r="HY795">
        <f>IF(ISBLANK('Data Entry'!$ĩ$795), "", 'Data Entry'!$ĩ$795)</f>
      </c>
      <c r="HZ795">
        <f>IF(ISBLANK('Data Entry'!$Ī$795), "", 'Data Entry'!$Ī$795)</f>
      </c>
      <c r="IA795">
        <f>IF(ISBLANK('Data Entry'!$ī$795), "", 'Data Entry'!$ī$795)</f>
      </c>
      <c r="IB795">
        <f>IF(ISBLANK('Data Entry'!$Ĭ$795), "", 'Data Entry'!$Ĭ$795)</f>
      </c>
      <c r="IC795">
        <f>IF(ISBLANK('Data Entry'!$ĭ$795), "", 'Data Entry'!$ĭ$795)</f>
      </c>
      <c r="ID795">
        <f>IF(ISBLANK('Data Entry'!$Į$795), "", 'Data Entry'!$Į$795)</f>
      </c>
      <c r="IE795">
        <f>IF(ISBLANK('Data Entry'!$į$795), "", 'Data Entry'!$į$795)</f>
      </c>
      <c r="IF795">
        <f>IF(ISBLANK('Data Entry'!$İ$795), "", 'Data Entry'!$İ$795)</f>
      </c>
      <c r="IG795">
        <f>IF(ISBLANK('Data Entry'!$ı$795), "", 'Data Entry'!$ı$795)</f>
      </c>
      <c r="IH795">
        <f>IF(ISBLANK('Data Entry'!$Ĳ$795), "", 'Data Entry'!$Ĳ$795)</f>
      </c>
      <c r="II795">
        <f>IF(ISBLANK('Data Entry'!$ĳ$795), "", 'Data Entry'!$ĳ$795)</f>
      </c>
      <c r="IJ795">
        <f>IF(ISBLANK('Data Entry'!$Ĵ$795), "", 'Data Entry'!$Ĵ$795)</f>
      </c>
      <c r="IK795">
        <f>IF(ISBLANK('Data Entry'!$ĵ$795), "", 'Data Entry'!$ĵ$795)</f>
      </c>
      <c r="IL795">
        <f>IF(ISBLANK('Data Entry'!$Ķ$795), "", 'Data Entry'!$Ķ$795)</f>
      </c>
      <c r="IM795">
        <f>IF(ISBLANK('Data Entry'!$ķ$795), "", 'Data Entry'!$ķ$795)</f>
      </c>
      <c r="IN795">
        <f>IF(ISBLANK('Data Entry'!$ĸ$795), "", 'Data Entry'!$ĸ$795)</f>
      </c>
      <c r="IO795">
        <f>IF(ISBLANK('Data Entry'!$Ĺ$795), "", 'Data Entry'!$Ĺ$795)</f>
      </c>
      <c r="IP795">
        <f>IF(ISBLANK('Data Entry'!$ĺ$795), "", 'Data Entry'!$ĺ$795)</f>
      </c>
      <c r="IQ795">
        <f>IF(ISBLANK('Data Entry'!$Ļ$795), "", 'Data Entry'!$Ļ$795)</f>
      </c>
      <c r="IR795">
        <f>IF(ISBLANK('Data Entry'!$ļ$795), "", 'Data Entry'!$ļ$795)</f>
      </c>
      <c r="IS795">
        <f>IF(ISBLANK('Data Entry'!$Ľ$795), "", 'Data Entry'!$Ľ$795)</f>
      </c>
      <c r="IT795">
        <f>IF(ISBLANK('Data Entry'!$ľ$795), "", 'Data Entry'!$ľ$795)</f>
      </c>
    </row>
    <row r="796" spans="1:254" x14ac:dyDescent="0.25">
      <c r="A796">
        <f>IF(ISBLANK('Data Entry'!$A$796), "", 'Data Entry'!$A$796)</f>
      </c>
      <c r="B796">
        <f>IF(ISBLANK('Data Entry'!$B$796), "", 'Data Entry'!$B$796)</f>
      </c>
      <c r="C796">
        <f>IF(ISBLANK('Data Entry'!$C$796), "", 'Data Entry'!$C$796)</f>
      </c>
      <c r="D796">
        <f>IF(ISBLANK('Data Entry'!$D$796), "", 'Data Entry'!$D$796)</f>
      </c>
      <c r="E796">
        <f>IF(ISBLANK('Data Entry'!$E$796), "", 'Data Entry'!$E$796)</f>
      </c>
      <c r="F796">
        <f>IF(ISBLANK('Data Entry'!$F$796), "", 'Data Entry'!$F$796)</f>
      </c>
      <c r="G796">
        <f>IF(ISBLANK('Data Entry'!$G$796), "", 'Data Entry'!$G$796)</f>
      </c>
      <c r="H796">
        <f>IF(ISBLANK('Data Entry'!$H$796), "", 'Data Entry'!$H$796)</f>
      </c>
      <c r="I796">
        <f>IF(ISBLANK('Data Entry'!$I$796), "", 'Data Entry'!$I$796)</f>
      </c>
      <c r="J796">
        <f>IF(ISBLANK('Data Entry'!$J$796), "", 'Data Entry'!$J$796)</f>
      </c>
      <c r="K796">
        <f>IF(ISBLANK('Data Entry'!$K$796), "", 'Data Entry'!$K$796)</f>
      </c>
      <c r="L796">
        <f>IF(ISBLANK('Data Entry'!$L$796), "", 'Data Entry'!$L$796)</f>
      </c>
      <c r="M796">
        <f>IF(ISBLANK('Data Entry'!$M$796), "", 'Data Entry'!$M$796)</f>
      </c>
      <c r="N796">
        <f>IF(ISBLANK('Data Entry'!$N$796), "", 'Data Entry'!$N$796)</f>
      </c>
      <c r="O796">
        <f>IF(ISBLANK('Data Entry'!$O$796), "", 'Data Entry'!$O$796)</f>
      </c>
      <c r="P796">
        <f>IF(ISBLANK('Data Entry'!$P$796), "", 'Data Entry'!$P$796)</f>
      </c>
      <c r="Q796">
        <f>IF(ISBLANK('Data Entry'!$Q$796), "", 'Data Entry'!$Q$796)</f>
      </c>
      <c r="R796">
        <f>IF(ISBLANK('Data Entry'!$R$796), "", 'Data Entry'!$R$796)</f>
      </c>
      <c r="S796">
        <f>IF(ISBLANK('Data Entry'!$S$796), "", 'Data Entry'!$S$796)</f>
      </c>
      <c r="T796">
        <f>IF(ISBLANK('Data Entry'!$T$796), "", 'Data Entry'!$T$796)</f>
      </c>
      <c r="U796">
        <f>IF(ISBLANK('Data Entry'!$U$796), "", 'Data Entry'!$U$796)</f>
      </c>
      <c r="V796">
        <f>IF(ISBLANK('Data Entry'!$V$796), "", 'Data Entry'!$V$796)</f>
      </c>
      <c r="W796">
        <f>IF(ISBLANK('Data Entry'!$W$796), "", 'Data Entry'!$W$796)</f>
      </c>
      <c r="X796">
        <f>IF(ISBLANK('Data Entry'!$X$796), "", 'Data Entry'!$X$796)</f>
      </c>
      <c r="Y796">
        <f>IF(ISBLANK('Data Entry'!$Y$796), "", 'Data Entry'!$Y$796)</f>
      </c>
      <c r="Z796">
        <f>IF(ISBLANK('Data Entry'!$Z$796), "", 'Data Entry'!$Z$796)</f>
      </c>
      <c r="AA796">
        <f>IF(ISBLANK('Data Entry'!$[$796), "", 'Data Entry'!$[$796)</f>
      </c>
      <c r="AB796">
        <f>IF(ISBLANK('Data Entry'!$\$796), "", 'Data Entry'!$\$796)</f>
      </c>
      <c r="AC796">
        <f>IF(ISBLANK('Data Entry'!$]$796), "", 'Data Entry'!$]$796)</f>
      </c>
      <c r="AD796">
        <f>IF(ISBLANK('Data Entry'!$^$796), "", 'Data Entry'!$^$796)</f>
      </c>
      <c r="AE796">
        <f>IF(ISBLANK('Data Entry'!$_$796), "", 'Data Entry'!$_$796)</f>
      </c>
      <c r="AF796">
        <f>IF(ISBLANK('Data Entry'!$`$796), "", 'Data Entry'!$`$796)</f>
      </c>
      <c r="AG796">
        <f>IF(ISBLANK('Data Entry'!$a$796), "", 'Data Entry'!$a$796)</f>
      </c>
      <c r="AH796">
        <f>IF(ISBLANK('Data Entry'!$b$796), "", 'Data Entry'!$b$796)</f>
      </c>
      <c r="AI796">
        <f>IF(ISBLANK('Data Entry'!$c$796), "", 'Data Entry'!$c$796)</f>
      </c>
      <c r="AJ796">
        <f>IF(ISBLANK('Data Entry'!$d$796), "", 'Data Entry'!$d$796)</f>
      </c>
      <c r="AK796">
        <f>IF(ISBLANK('Data Entry'!$e$796), "", 'Data Entry'!$e$796)</f>
      </c>
      <c r="AL796">
        <f>IF(ISBLANK('Data Entry'!$f$796), "", 'Data Entry'!$f$796)</f>
      </c>
      <c r="AM796">
        <f>IF(ISBLANK('Data Entry'!$g$796), "", 'Data Entry'!$g$796)</f>
      </c>
      <c r="AN796">
        <f>IF(ISBLANK('Data Entry'!$h$796), "", 'Data Entry'!$h$796)</f>
      </c>
      <c r="AO796">
        <f>IF(ISBLANK('Data Entry'!$i$796), "", 'Data Entry'!$i$796)</f>
      </c>
      <c r="AP796">
        <f>IF(ISBLANK('Data Entry'!$j$796), "", 'Data Entry'!$j$796)</f>
      </c>
      <c r="AQ796">
        <f>IF(ISBLANK('Data Entry'!$k$796), "", 'Data Entry'!$k$796)</f>
      </c>
      <c r="AR796">
        <f>IF(ISBLANK('Data Entry'!$l$796), "", 'Data Entry'!$l$796)</f>
      </c>
      <c r="AS796">
        <f>IF(ISBLANK('Data Entry'!$m$796), "", 'Data Entry'!$m$796)</f>
      </c>
      <c r="AT796">
        <f>IF(ISBLANK('Data Entry'!$n$796), "", 'Data Entry'!$n$796)</f>
      </c>
      <c r="AU796">
        <f>IF(ISBLANK('Data Entry'!$o$796), "", 'Data Entry'!$o$796)</f>
      </c>
      <c r="AV796">
        <f>IF(ISBLANK('Data Entry'!$p$796), "", 'Data Entry'!$p$796)</f>
      </c>
      <c r="AW796">
        <f>IF(ISBLANK('Data Entry'!$q$796), "", 'Data Entry'!$q$796)</f>
      </c>
      <c r="AX796">
        <f>IF(ISBLANK('Data Entry'!$r$796), "", 'Data Entry'!$r$796)</f>
      </c>
      <c r="AY796">
        <f>IF(ISBLANK('Data Entry'!$s$796), "", 'Data Entry'!$s$796)</f>
      </c>
      <c r="AZ796">
        <f>IF(ISBLANK('Data Entry'!$t$796), "", 'Data Entry'!$t$796)</f>
      </c>
      <c r="BA796">
        <f>IF(ISBLANK('Data Entry'!$u$796), "", 'Data Entry'!$u$796)</f>
      </c>
      <c r="BB796">
        <f>IF(ISBLANK('Data Entry'!$v$796), "", 'Data Entry'!$v$796)</f>
      </c>
      <c r="BC796">
        <f>IF(ISBLANK('Data Entry'!$w$796), "", 'Data Entry'!$w$796)</f>
      </c>
      <c r="BD796">
        <f>IF(ISBLANK('Data Entry'!$x$796), "", 'Data Entry'!$x$796)</f>
      </c>
      <c r="BE796">
        <f>IF(ISBLANK('Data Entry'!$y$796), "", 'Data Entry'!$y$796)</f>
      </c>
      <c r="BF796">
        <f>IF(ISBLANK('Data Entry'!$z$796), "", 'Data Entry'!$z$796)</f>
      </c>
      <c r="BG796">
        <f>IF(ISBLANK('Data Entry'!${$796), "", 'Data Entry'!${$796)</f>
      </c>
      <c r="BH796">
        <f>IF(ISBLANK('Data Entry'!$|$796), "", 'Data Entry'!$|$796)</f>
      </c>
      <c r="BI796">
        <f>IF(ISBLANK('Data Entry'!$}$796), "", 'Data Entry'!$}$796)</f>
      </c>
      <c r="BJ796">
        <f>IF(ISBLANK('Data Entry'!$~$796), "", 'Data Entry'!$~$796)</f>
      </c>
      <c r="BK796">
        <f>IF(ISBLANK('Data Entry'!$$796), "", 'Data Entry'!$$796)</f>
      </c>
      <c r="BL796">
        <f>IF(ISBLANK('Data Entry'!$$796), "", 'Data Entry'!$$796)</f>
      </c>
      <c r="BM796">
        <f>IF(ISBLANK('Data Entry'!$$796), "", 'Data Entry'!$$796)</f>
      </c>
      <c r="BN796">
        <f>IF(ISBLANK('Data Entry'!$$796), "", 'Data Entry'!$$796)</f>
      </c>
      <c r="BO796">
        <f>IF(ISBLANK('Data Entry'!$$796), "", 'Data Entry'!$$796)</f>
      </c>
      <c r="BP796">
        <f>IF(ISBLANK('Data Entry'!$$796), "", 'Data Entry'!$$796)</f>
      </c>
      <c r="BQ796">
        <f>IF(ISBLANK('Data Entry'!$$796), "", 'Data Entry'!$$796)</f>
      </c>
      <c r="BR796">
        <f>IF(ISBLANK('Data Entry'!$$796), "", 'Data Entry'!$$796)</f>
      </c>
      <c r="BS796">
        <f>IF(ISBLANK('Data Entry'!$$796), "", 'Data Entry'!$$796)</f>
      </c>
      <c r="BT796">
        <f>IF(ISBLANK('Data Entry'!$$796), "", 'Data Entry'!$$796)</f>
      </c>
      <c r="BU796">
        <f>IF(ISBLANK('Data Entry'!$$796), "", 'Data Entry'!$$796)</f>
      </c>
      <c r="BV796">
        <f>IF(ISBLANK('Data Entry'!$$796), "", 'Data Entry'!$$796)</f>
      </c>
      <c r="BW796">
        <f>IF(ISBLANK('Data Entry'!$$796), "", 'Data Entry'!$$796)</f>
      </c>
      <c r="BX796">
        <f>IF(ISBLANK('Data Entry'!$$796), "", 'Data Entry'!$$796)</f>
      </c>
      <c r="BY796">
        <f>IF(ISBLANK('Data Entry'!$$796), "", 'Data Entry'!$$796)</f>
      </c>
      <c r="BZ796">
        <f>IF(ISBLANK('Data Entry'!$$796), "", 'Data Entry'!$$796)</f>
      </c>
      <c r="CA796">
        <f>IF(ISBLANK('Data Entry'!$$796), "", 'Data Entry'!$$796)</f>
      </c>
      <c r="CB796">
        <f>IF(ISBLANK('Data Entry'!$$796), "", 'Data Entry'!$$796)</f>
      </c>
      <c r="CC796">
        <f>IF(ISBLANK('Data Entry'!$$796), "", 'Data Entry'!$$796)</f>
      </c>
      <c r="CD796">
        <f>IF(ISBLANK('Data Entry'!$$796), "", 'Data Entry'!$$796)</f>
      </c>
      <c r="CE796">
        <f>IF(ISBLANK('Data Entry'!$$796), "", 'Data Entry'!$$796)</f>
      </c>
      <c r="CF796">
        <f>IF(ISBLANK('Data Entry'!$$796), "", 'Data Entry'!$$796)</f>
      </c>
      <c r="CG796">
        <f>IF(ISBLANK('Data Entry'!$$796), "", 'Data Entry'!$$796)</f>
      </c>
      <c r="CH796">
        <f>IF(ISBLANK('Data Entry'!$$796), "", 'Data Entry'!$$796)</f>
      </c>
      <c r="CI796">
        <f>IF(ISBLANK('Data Entry'!$$796), "", 'Data Entry'!$$796)</f>
      </c>
      <c r="CJ796">
        <f>IF(ISBLANK('Data Entry'!$$796), "", 'Data Entry'!$$796)</f>
      </c>
      <c r="CK796">
        <f>IF(ISBLANK('Data Entry'!$$796), "", 'Data Entry'!$$796)</f>
      </c>
      <c r="CL796">
        <f>IF(ISBLANK('Data Entry'!$$796), "", 'Data Entry'!$$796)</f>
      </c>
      <c r="CM796">
        <f>IF(ISBLANK('Data Entry'!$$796), "", 'Data Entry'!$$796)</f>
      </c>
      <c r="CN796">
        <f>IF(ISBLANK('Data Entry'!$$796), "", 'Data Entry'!$$796)</f>
      </c>
      <c r="CO796">
        <f>IF(ISBLANK('Data Entry'!$$796), "", 'Data Entry'!$$796)</f>
      </c>
      <c r="CP796">
        <f>IF(ISBLANK('Data Entry'!$$796), "", 'Data Entry'!$$796)</f>
      </c>
      <c r="CQ796">
        <f>IF(ISBLANK('Data Entry'!$$796), "", 'Data Entry'!$$796)</f>
      </c>
      <c r="CR796">
        <f>IF(ISBLANK('Data Entry'!$ $796), "", 'Data Entry'!$ $796)</f>
      </c>
      <c r="CS796">
        <f>IF(ISBLANK('Data Entry'!$¡$796), "", 'Data Entry'!$¡$796)</f>
      </c>
      <c r="CT796">
        <f>IF(ISBLANK('Data Entry'!$¢$796), "", 'Data Entry'!$¢$796)</f>
      </c>
      <c r="CU796">
        <f>IF(ISBLANK('Data Entry'!$£$796), "", 'Data Entry'!$£$796)</f>
      </c>
      <c r="CV796">
        <f>IF(ISBLANK('Data Entry'!$¤$796), "", 'Data Entry'!$¤$796)</f>
      </c>
      <c r="CW796">
        <f>IF(ISBLANK('Data Entry'!$¥$796), "", 'Data Entry'!$¥$796)</f>
      </c>
      <c r="CX796">
        <f>IF(ISBLANK('Data Entry'!$¦$796), "", 'Data Entry'!$¦$796)</f>
      </c>
      <c r="CY796">
        <f>IF(ISBLANK('Data Entry'!$§$796), "", 'Data Entry'!$§$796)</f>
      </c>
      <c r="CZ796">
        <f>IF(ISBLANK('Data Entry'!$¨$796), "", 'Data Entry'!$¨$796)</f>
      </c>
      <c r="DA796">
        <f>IF(ISBLANK('Data Entry'!$©$796), "", 'Data Entry'!$©$796)</f>
      </c>
      <c r="DB796">
        <f>IF(ISBLANK('Data Entry'!$ª$796), "", 'Data Entry'!$ª$796)</f>
      </c>
      <c r="DC796">
        <f>IF(ISBLANK('Data Entry'!$«$796), "", 'Data Entry'!$«$796)</f>
      </c>
      <c r="DD796">
        <f>IF(ISBLANK('Data Entry'!$¬$796), "", 'Data Entry'!$¬$796)</f>
      </c>
      <c r="DE796">
        <f>IF(ISBLANK('Data Entry'!$­$796), "", 'Data Entry'!$­$796)</f>
      </c>
      <c r="DF796">
        <f>IF(ISBLANK('Data Entry'!$®$796), "", 'Data Entry'!$®$796)</f>
      </c>
      <c r="DG796">
        <f>IF(ISBLANK('Data Entry'!$¯$796), "", 'Data Entry'!$¯$796)</f>
      </c>
      <c r="DH796">
        <f>IF(ISBLANK('Data Entry'!$°$796), "", 'Data Entry'!$°$796)</f>
      </c>
      <c r="DI796">
        <f>IF(ISBLANK('Data Entry'!$±$796), "", 'Data Entry'!$±$796)</f>
      </c>
      <c r="DJ796">
        <f>IF(ISBLANK('Data Entry'!$²$796), "", 'Data Entry'!$²$796)</f>
      </c>
      <c r="DK796">
        <f>IF(ISBLANK('Data Entry'!$³$796), "", 'Data Entry'!$³$796)</f>
      </c>
      <c r="DL796">
        <f>IF(ISBLANK('Data Entry'!$´$796), "", 'Data Entry'!$´$796)</f>
      </c>
      <c r="DM796">
        <f>IF(ISBLANK('Data Entry'!$µ$796), "", 'Data Entry'!$µ$796)</f>
      </c>
      <c r="DN796">
        <f>IF(ISBLANK('Data Entry'!$¶$796), "", 'Data Entry'!$¶$796)</f>
      </c>
      <c r="DO796">
        <f>IF(ISBLANK('Data Entry'!$·$796), "", 'Data Entry'!$·$796)</f>
      </c>
      <c r="DP796">
        <f>IF(ISBLANK('Data Entry'!$¸$796), "", 'Data Entry'!$¸$796)</f>
      </c>
      <c r="DQ796">
        <f>IF(ISBLANK('Data Entry'!$¹$796), "", 'Data Entry'!$¹$796)</f>
      </c>
      <c r="DR796">
        <f>IF(ISBLANK('Data Entry'!$º$796), "", 'Data Entry'!$º$796)</f>
      </c>
      <c r="DS796">
        <f>IF(ISBLANK('Data Entry'!$»$796), "", 'Data Entry'!$»$796)</f>
      </c>
      <c r="DT796">
        <f>IF(ISBLANK('Data Entry'!$¼$796), "", 'Data Entry'!$¼$796)</f>
      </c>
      <c r="DU796">
        <f>IF(ISBLANK('Data Entry'!$½$796), "", 'Data Entry'!$½$796)</f>
      </c>
      <c r="DV796">
        <f>IF(ISBLANK('Data Entry'!$¾$796), "", 'Data Entry'!$¾$796)</f>
      </c>
      <c r="DW796">
        <f>IF(ISBLANK('Data Entry'!$¿$796), "", 'Data Entry'!$¿$796)</f>
      </c>
      <c r="DX796">
        <f>IF(ISBLANK('Data Entry'!$À$796), "", 'Data Entry'!$À$796)</f>
      </c>
      <c r="DY796">
        <f>IF(ISBLANK('Data Entry'!$Á$796), "", 'Data Entry'!$Á$796)</f>
      </c>
      <c r="DZ796">
        <f>IF(ISBLANK('Data Entry'!$Â$796), "", 'Data Entry'!$Â$796)</f>
      </c>
      <c r="EA796">
        <f>IF(ISBLANK('Data Entry'!$Ã$796), "", 'Data Entry'!$Ã$796)</f>
      </c>
      <c r="EB796">
        <f>IF(ISBLANK('Data Entry'!$Ä$796), "", 'Data Entry'!$Ä$796)</f>
      </c>
      <c r="EC796">
        <f>IF(ISBLANK('Data Entry'!$Å$796), "", 'Data Entry'!$Å$796)</f>
      </c>
      <c r="ED796">
        <f>IF(ISBLANK('Data Entry'!$Æ$796), "", 'Data Entry'!$Æ$796)</f>
      </c>
      <c r="EE796">
        <f>IF(ISBLANK('Data Entry'!$Ç$796), "", 'Data Entry'!$Ç$796)</f>
      </c>
      <c r="EF796">
        <f>IF(ISBLANK('Data Entry'!$È$796), "", 'Data Entry'!$È$796)</f>
      </c>
      <c r="EG796">
        <f>IF(ISBLANK('Data Entry'!$É$796), "", 'Data Entry'!$É$796)</f>
      </c>
      <c r="EH796">
        <f>IF(ISBLANK('Data Entry'!$Ê$796), "", 'Data Entry'!$Ê$796)</f>
      </c>
      <c r="EI796">
        <f>IF(ISBLANK('Data Entry'!$Ë$796), "", 'Data Entry'!$Ë$796)</f>
      </c>
      <c r="EJ796">
        <f>IF(ISBLANK('Data Entry'!$Ì$796), "", 'Data Entry'!$Ì$796)</f>
      </c>
      <c r="EK796">
        <f>IF(ISBLANK('Data Entry'!$Í$796), "", 'Data Entry'!$Í$796)</f>
      </c>
      <c r="EL796">
        <f>IF(ISBLANK('Data Entry'!$Î$796), "", 'Data Entry'!$Î$796)</f>
      </c>
      <c r="EM796">
        <f>IF(ISBLANK('Data Entry'!$Ï$796), "", 'Data Entry'!$Ï$796)</f>
      </c>
      <c r="EN796">
        <f>IF(ISBLANK('Data Entry'!$Ð$796), "", 'Data Entry'!$Ð$796)</f>
      </c>
      <c r="EO796">
        <f>IF(ISBLANK('Data Entry'!$Ñ$796), "", 'Data Entry'!$Ñ$796)</f>
      </c>
      <c r="EP796">
        <f>IF(ISBLANK('Data Entry'!$Ò$796), "", 'Data Entry'!$Ò$796)</f>
      </c>
      <c r="EQ796">
        <f>IF(ISBLANK('Data Entry'!$Ó$796), "", 'Data Entry'!$Ó$796)</f>
      </c>
      <c r="ER796">
        <f>IF(ISBLANK('Data Entry'!$Ô$796), "", 'Data Entry'!$Ô$796)</f>
      </c>
      <c r="ES796">
        <f>IF(ISBLANK('Data Entry'!$Õ$796), "", 'Data Entry'!$Õ$796)</f>
      </c>
      <c r="ET796">
        <f>IF(ISBLANK('Data Entry'!$Ö$796), "", 'Data Entry'!$Ö$796)</f>
      </c>
      <c r="EU796">
        <f>IF(ISBLANK('Data Entry'!$×$796), "", 'Data Entry'!$×$796)</f>
      </c>
      <c r="EV796">
        <f>IF(ISBLANK('Data Entry'!$Ø$796), "", 'Data Entry'!$Ø$796)</f>
      </c>
      <c r="EW796">
        <f>IF(ISBLANK('Data Entry'!$Ù$796), "", 'Data Entry'!$Ù$796)</f>
      </c>
      <c r="EX796">
        <f>IF(ISBLANK('Data Entry'!$Ú$796), "", 'Data Entry'!$Ú$796)</f>
      </c>
      <c r="EY796">
        <f>IF(ISBLANK('Data Entry'!$Û$796), "", 'Data Entry'!$Û$796)</f>
      </c>
      <c r="EZ796">
        <f>IF(ISBLANK('Data Entry'!$Ü$796), "", 'Data Entry'!$Ü$796)</f>
      </c>
      <c r="FA796">
        <f>IF(ISBLANK('Data Entry'!$Ý$796), "", 'Data Entry'!$Ý$796)</f>
      </c>
      <c r="FB796">
        <f>IF(ISBLANK('Data Entry'!$Þ$796), "", 'Data Entry'!$Þ$796)</f>
      </c>
      <c r="FC796">
        <f>IF(ISBLANK('Data Entry'!$ß$796), "", 'Data Entry'!$ß$796)</f>
      </c>
      <c r="FD796">
        <f>IF(ISBLANK('Data Entry'!$à$796), "", 'Data Entry'!$à$796)</f>
      </c>
      <c r="FE796">
        <f>IF(ISBLANK('Data Entry'!$á$796), "", 'Data Entry'!$á$796)</f>
      </c>
      <c r="FF796">
        <f>IF(ISBLANK('Data Entry'!$â$796), "", 'Data Entry'!$â$796)</f>
      </c>
      <c r="FG796">
        <f>IF(ISBLANK('Data Entry'!$ã$796), "", 'Data Entry'!$ã$796)</f>
      </c>
      <c r="FH796">
        <f>IF(ISBLANK('Data Entry'!$ä$796), "", 'Data Entry'!$ä$796)</f>
      </c>
      <c r="FI796">
        <f>IF(ISBLANK('Data Entry'!$å$796), "", 'Data Entry'!$å$796)</f>
      </c>
      <c r="FJ796">
        <f>IF(ISBLANK('Data Entry'!$æ$796), "", 'Data Entry'!$æ$796)</f>
      </c>
      <c r="FK796">
        <f>IF(ISBLANK('Data Entry'!$ç$796), "", 'Data Entry'!$ç$796)</f>
      </c>
      <c r="FL796">
        <f>IF(ISBLANK('Data Entry'!$è$796), "", 'Data Entry'!$è$796)</f>
      </c>
      <c r="FM796">
        <f>IF(ISBLANK('Data Entry'!$é$796), "", 'Data Entry'!$é$796)</f>
      </c>
      <c r="FN796">
        <f>IF(ISBLANK('Data Entry'!$ê$796), "", 'Data Entry'!$ê$796)</f>
      </c>
      <c r="FO796">
        <f>IF(ISBLANK('Data Entry'!$ë$796), "", 'Data Entry'!$ë$796)</f>
      </c>
      <c r="FP796">
        <f>IF(ISBLANK('Data Entry'!$ì$796), "", 'Data Entry'!$ì$796)</f>
      </c>
      <c r="FQ796">
        <f>IF(ISBLANK('Data Entry'!$í$796), "", 'Data Entry'!$í$796)</f>
      </c>
      <c r="FR796">
        <f>IF(ISBLANK('Data Entry'!$î$796), "", 'Data Entry'!$î$796)</f>
      </c>
      <c r="FS796">
        <f>IF(ISBLANK('Data Entry'!$ï$796), "", 'Data Entry'!$ï$796)</f>
      </c>
      <c r="FT796">
        <f>IF(ISBLANK('Data Entry'!$ð$796), "", 'Data Entry'!$ð$796)</f>
      </c>
      <c r="FU796">
        <f>IF(ISBLANK('Data Entry'!$ñ$796), "", 'Data Entry'!$ñ$796)</f>
      </c>
      <c r="FV796">
        <f>IF(ISBLANK('Data Entry'!$ò$796), "", 'Data Entry'!$ò$796)</f>
      </c>
      <c r="FW796">
        <f>IF(ISBLANK('Data Entry'!$ó$796), "", 'Data Entry'!$ó$796)</f>
      </c>
      <c r="FX796">
        <f>IF(ISBLANK('Data Entry'!$ô$796), "", 'Data Entry'!$ô$796)</f>
      </c>
      <c r="FY796">
        <f>IF(ISBLANK('Data Entry'!$õ$796), "", 'Data Entry'!$õ$796)</f>
      </c>
      <c r="FZ796">
        <f>IF(ISBLANK('Data Entry'!$ö$796), "", 'Data Entry'!$ö$796)</f>
      </c>
      <c r="GA796">
        <f>IF(ISBLANK('Data Entry'!$÷$796), "", 'Data Entry'!$÷$796)</f>
      </c>
      <c r="GB796">
        <f>IF(ISBLANK('Data Entry'!$ø$796), "", 'Data Entry'!$ø$796)</f>
      </c>
      <c r="GC796">
        <f>IF(ISBLANK('Data Entry'!$ù$796), "", 'Data Entry'!$ù$796)</f>
      </c>
      <c r="GD796">
        <f>IF(ISBLANK('Data Entry'!$ú$796), "", 'Data Entry'!$ú$796)</f>
      </c>
      <c r="GE796">
        <f>IF(ISBLANK('Data Entry'!$û$796), "", 'Data Entry'!$û$796)</f>
      </c>
      <c r="GF796">
        <f>IF(ISBLANK('Data Entry'!$ü$796), "", 'Data Entry'!$ü$796)</f>
      </c>
      <c r="GG796">
        <f>IF(ISBLANK('Data Entry'!$ý$796), "", 'Data Entry'!$ý$796)</f>
      </c>
      <c r="GH796">
        <f>IF(ISBLANK('Data Entry'!$þ$796), "", 'Data Entry'!$þ$796)</f>
      </c>
      <c r="GI796">
        <f>IF(ISBLANK('Data Entry'!$ÿ$796), "", 'Data Entry'!$ÿ$796)</f>
      </c>
      <c r="GJ796">
        <f>IF(ISBLANK('Data Entry'!$Ā$796), "", 'Data Entry'!$Ā$796)</f>
      </c>
      <c r="GK796">
        <f>IF(ISBLANK('Data Entry'!$ā$796), "", 'Data Entry'!$ā$796)</f>
      </c>
      <c r="GL796">
        <f>IF(ISBLANK('Data Entry'!$Ă$796), "", 'Data Entry'!$Ă$796)</f>
      </c>
      <c r="GM796">
        <f>IF(ISBLANK('Data Entry'!$ă$796), "", 'Data Entry'!$ă$796)</f>
      </c>
      <c r="GN796">
        <f>IF(ISBLANK('Data Entry'!$Ą$796), "", 'Data Entry'!$Ą$796)</f>
      </c>
      <c r="GO796">
        <f>IF(ISBLANK('Data Entry'!$ą$796), "", 'Data Entry'!$ą$796)</f>
      </c>
      <c r="GP796">
        <f>IF(ISBLANK('Data Entry'!$Ć$796), "", 'Data Entry'!$Ć$796)</f>
      </c>
      <c r="GQ796">
        <f>IF(ISBLANK('Data Entry'!$ć$796), "", 'Data Entry'!$ć$796)</f>
      </c>
      <c r="GR796">
        <f>IF(ISBLANK('Data Entry'!$Ĉ$796), "", 'Data Entry'!$Ĉ$796)</f>
      </c>
      <c r="GS796">
        <f>IF(ISBLANK('Data Entry'!$ĉ$796), "", 'Data Entry'!$ĉ$796)</f>
      </c>
      <c r="GT796">
        <f>IF(ISBLANK('Data Entry'!$Ċ$796), "", 'Data Entry'!$Ċ$796)</f>
      </c>
      <c r="GU796">
        <f>IF(ISBLANK('Data Entry'!$ċ$796), "", 'Data Entry'!$ċ$796)</f>
      </c>
      <c r="GV796">
        <f>IF(ISBLANK('Data Entry'!$Č$796), "", 'Data Entry'!$Č$796)</f>
      </c>
      <c r="GW796">
        <f>IF(ISBLANK('Data Entry'!$č$796), "", 'Data Entry'!$č$796)</f>
      </c>
      <c r="GX796">
        <f>IF(ISBLANK('Data Entry'!$Ď$796), "", 'Data Entry'!$Ď$796)</f>
      </c>
      <c r="GY796">
        <f>IF(ISBLANK('Data Entry'!$ď$796), "", 'Data Entry'!$ď$796)</f>
      </c>
      <c r="GZ796">
        <f>IF(ISBLANK('Data Entry'!$Đ$796), "", 'Data Entry'!$Đ$796)</f>
      </c>
      <c r="HA796">
        <f>IF(ISBLANK('Data Entry'!$đ$796), "", 'Data Entry'!$đ$796)</f>
      </c>
      <c r="HB796">
        <f>IF(ISBLANK('Data Entry'!$Ē$796), "", 'Data Entry'!$Ē$796)</f>
      </c>
      <c r="HC796">
        <f>IF(ISBLANK('Data Entry'!$ē$796), "", 'Data Entry'!$ē$796)</f>
      </c>
      <c r="HD796">
        <f>IF(ISBLANK('Data Entry'!$Ĕ$796), "", 'Data Entry'!$Ĕ$796)</f>
      </c>
      <c r="HE796">
        <f>IF(ISBLANK('Data Entry'!$ĕ$796), "", 'Data Entry'!$ĕ$796)</f>
      </c>
      <c r="HF796">
        <f>IF(ISBLANK('Data Entry'!$Ė$796), "", 'Data Entry'!$Ė$796)</f>
      </c>
      <c r="HG796">
        <f>IF(ISBLANK('Data Entry'!$ė$796), "", 'Data Entry'!$ė$796)</f>
      </c>
      <c r="HH796">
        <f>IF(ISBLANK('Data Entry'!$Ę$796), "", 'Data Entry'!$Ę$796)</f>
      </c>
      <c r="HI796">
        <f>IF(ISBLANK('Data Entry'!$ę$796), "", 'Data Entry'!$ę$796)</f>
      </c>
      <c r="HJ796">
        <f>IF(ISBLANK('Data Entry'!$Ě$796), "", 'Data Entry'!$Ě$796)</f>
      </c>
      <c r="HK796">
        <f>IF(ISBLANK('Data Entry'!$ě$796), "", 'Data Entry'!$ě$796)</f>
      </c>
      <c r="HL796">
        <f>IF(ISBLANK('Data Entry'!$Ĝ$796), "", 'Data Entry'!$Ĝ$796)</f>
      </c>
      <c r="HM796">
        <f>IF(ISBLANK('Data Entry'!$ĝ$796), "", 'Data Entry'!$ĝ$796)</f>
      </c>
      <c r="HN796">
        <f>IF(ISBLANK('Data Entry'!$Ğ$796), "", 'Data Entry'!$Ğ$796)</f>
      </c>
      <c r="HO796">
        <f>IF(ISBLANK('Data Entry'!$ğ$796), "", 'Data Entry'!$ğ$796)</f>
      </c>
      <c r="HP796">
        <f>IF(ISBLANK('Data Entry'!$Ġ$796), "", 'Data Entry'!$Ġ$796)</f>
      </c>
      <c r="HQ796">
        <f>IF(ISBLANK('Data Entry'!$ġ$796), "", 'Data Entry'!$ġ$796)</f>
      </c>
      <c r="HR796">
        <f>IF(ISBLANK('Data Entry'!$Ģ$796), "", 'Data Entry'!$Ģ$796)</f>
      </c>
      <c r="HS796">
        <f>IF(ISBLANK('Data Entry'!$ģ$796), "", 'Data Entry'!$ģ$796)</f>
      </c>
      <c r="HT796">
        <f>IF(ISBLANK('Data Entry'!$Ĥ$796), "", 'Data Entry'!$Ĥ$796)</f>
      </c>
      <c r="HU796">
        <f>IF(ISBLANK('Data Entry'!$ĥ$796), "", 'Data Entry'!$ĥ$796)</f>
      </c>
      <c r="HV796">
        <f>IF(ISBLANK('Data Entry'!$Ħ$796), "", 'Data Entry'!$Ħ$796)</f>
      </c>
      <c r="HW796">
        <f>IF(ISBLANK('Data Entry'!$ħ$796), "", 'Data Entry'!$ħ$796)</f>
      </c>
      <c r="HX796">
        <f>IF(ISBLANK('Data Entry'!$Ĩ$796), "", 'Data Entry'!$Ĩ$796)</f>
      </c>
      <c r="HY796">
        <f>IF(ISBLANK('Data Entry'!$ĩ$796), "", 'Data Entry'!$ĩ$796)</f>
      </c>
      <c r="HZ796">
        <f>IF(ISBLANK('Data Entry'!$Ī$796), "", 'Data Entry'!$Ī$796)</f>
      </c>
      <c r="IA796">
        <f>IF(ISBLANK('Data Entry'!$ī$796), "", 'Data Entry'!$ī$796)</f>
      </c>
      <c r="IB796">
        <f>IF(ISBLANK('Data Entry'!$Ĭ$796), "", 'Data Entry'!$Ĭ$796)</f>
      </c>
      <c r="IC796">
        <f>IF(ISBLANK('Data Entry'!$ĭ$796), "", 'Data Entry'!$ĭ$796)</f>
      </c>
      <c r="ID796">
        <f>IF(ISBLANK('Data Entry'!$Į$796), "", 'Data Entry'!$Į$796)</f>
      </c>
      <c r="IE796">
        <f>IF(ISBLANK('Data Entry'!$į$796), "", 'Data Entry'!$į$796)</f>
      </c>
      <c r="IF796">
        <f>IF(ISBLANK('Data Entry'!$İ$796), "", 'Data Entry'!$İ$796)</f>
      </c>
      <c r="IG796">
        <f>IF(ISBLANK('Data Entry'!$ı$796), "", 'Data Entry'!$ı$796)</f>
      </c>
      <c r="IH796">
        <f>IF(ISBLANK('Data Entry'!$Ĳ$796), "", 'Data Entry'!$Ĳ$796)</f>
      </c>
      <c r="II796">
        <f>IF(ISBLANK('Data Entry'!$ĳ$796), "", 'Data Entry'!$ĳ$796)</f>
      </c>
      <c r="IJ796">
        <f>IF(ISBLANK('Data Entry'!$Ĵ$796), "", 'Data Entry'!$Ĵ$796)</f>
      </c>
      <c r="IK796">
        <f>IF(ISBLANK('Data Entry'!$ĵ$796), "", 'Data Entry'!$ĵ$796)</f>
      </c>
      <c r="IL796">
        <f>IF(ISBLANK('Data Entry'!$Ķ$796), "", 'Data Entry'!$Ķ$796)</f>
      </c>
      <c r="IM796">
        <f>IF(ISBLANK('Data Entry'!$ķ$796), "", 'Data Entry'!$ķ$796)</f>
      </c>
      <c r="IN796">
        <f>IF(ISBLANK('Data Entry'!$ĸ$796), "", 'Data Entry'!$ĸ$796)</f>
      </c>
      <c r="IO796">
        <f>IF(ISBLANK('Data Entry'!$Ĺ$796), "", 'Data Entry'!$Ĺ$796)</f>
      </c>
      <c r="IP796">
        <f>IF(ISBLANK('Data Entry'!$ĺ$796), "", 'Data Entry'!$ĺ$796)</f>
      </c>
      <c r="IQ796">
        <f>IF(ISBLANK('Data Entry'!$Ļ$796), "", 'Data Entry'!$Ļ$796)</f>
      </c>
      <c r="IR796">
        <f>IF(ISBLANK('Data Entry'!$ļ$796), "", 'Data Entry'!$ļ$796)</f>
      </c>
      <c r="IS796">
        <f>IF(ISBLANK('Data Entry'!$Ľ$796), "", 'Data Entry'!$Ľ$796)</f>
      </c>
      <c r="IT796">
        <f>IF(ISBLANK('Data Entry'!$ľ$796), "", 'Data Entry'!$ľ$796)</f>
      </c>
    </row>
    <row r="797" spans="1:254" x14ac:dyDescent="0.25">
      <c r="A797">
        <f>IF(ISBLANK('Data Entry'!$A$797), "", 'Data Entry'!$A$797)</f>
      </c>
      <c r="B797">
        <f>IF(ISBLANK('Data Entry'!$B$797), "", 'Data Entry'!$B$797)</f>
      </c>
      <c r="C797">
        <f>IF(ISBLANK('Data Entry'!$C$797), "", 'Data Entry'!$C$797)</f>
      </c>
      <c r="D797">
        <f>IF(ISBLANK('Data Entry'!$D$797), "", 'Data Entry'!$D$797)</f>
      </c>
      <c r="E797">
        <f>IF(ISBLANK('Data Entry'!$E$797), "", 'Data Entry'!$E$797)</f>
      </c>
      <c r="F797">
        <f>IF(ISBLANK('Data Entry'!$F$797), "", 'Data Entry'!$F$797)</f>
      </c>
      <c r="G797">
        <f>IF(ISBLANK('Data Entry'!$G$797), "", 'Data Entry'!$G$797)</f>
      </c>
      <c r="H797">
        <f>IF(ISBLANK('Data Entry'!$H$797), "", 'Data Entry'!$H$797)</f>
      </c>
      <c r="I797">
        <f>IF(ISBLANK('Data Entry'!$I$797), "", 'Data Entry'!$I$797)</f>
      </c>
      <c r="J797">
        <f>IF(ISBLANK('Data Entry'!$J$797), "", 'Data Entry'!$J$797)</f>
      </c>
      <c r="K797">
        <f>IF(ISBLANK('Data Entry'!$K$797), "", 'Data Entry'!$K$797)</f>
      </c>
      <c r="L797">
        <f>IF(ISBLANK('Data Entry'!$L$797), "", 'Data Entry'!$L$797)</f>
      </c>
      <c r="M797">
        <f>IF(ISBLANK('Data Entry'!$M$797), "", 'Data Entry'!$M$797)</f>
      </c>
      <c r="N797">
        <f>IF(ISBLANK('Data Entry'!$N$797), "", 'Data Entry'!$N$797)</f>
      </c>
      <c r="O797">
        <f>IF(ISBLANK('Data Entry'!$O$797), "", 'Data Entry'!$O$797)</f>
      </c>
      <c r="P797">
        <f>IF(ISBLANK('Data Entry'!$P$797), "", 'Data Entry'!$P$797)</f>
      </c>
      <c r="Q797">
        <f>IF(ISBLANK('Data Entry'!$Q$797), "", 'Data Entry'!$Q$797)</f>
      </c>
      <c r="R797">
        <f>IF(ISBLANK('Data Entry'!$R$797), "", 'Data Entry'!$R$797)</f>
      </c>
      <c r="S797">
        <f>IF(ISBLANK('Data Entry'!$S$797), "", 'Data Entry'!$S$797)</f>
      </c>
      <c r="T797">
        <f>IF(ISBLANK('Data Entry'!$T$797), "", 'Data Entry'!$T$797)</f>
      </c>
      <c r="U797">
        <f>IF(ISBLANK('Data Entry'!$U$797), "", 'Data Entry'!$U$797)</f>
      </c>
      <c r="V797">
        <f>IF(ISBLANK('Data Entry'!$V$797), "", 'Data Entry'!$V$797)</f>
      </c>
      <c r="W797">
        <f>IF(ISBLANK('Data Entry'!$W$797), "", 'Data Entry'!$W$797)</f>
      </c>
      <c r="X797">
        <f>IF(ISBLANK('Data Entry'!$X$797), "", 'Data Entry'!$X$797)</f>
      </c>
      <c r="Y797">
        <f>IF(ISBLANK('Data Entry'!$Y$797), "", 'Data Entry'!$Y$797)</f>
      </c>
      <c r="Z797">
        <f>IF(ISBLANK('Data Entry'!$Z$797), "", 'Data Entry'!$Z$797)</f>
      </c>
      <c r="AA797">
        <f>IF(ISBLANK('Data Entry'!$[$797), "", 'Data Entry'!$[$797)</f>
      </c>
      <c r="AB797">
        <f>IF(ISBLANK('Data Entry'!$\$797), "", 'Data Entry'!$\$797)</f>
      </c>
      <c r="AC797">
        <f>IF(ISBLANK('Data Entry'!$]$797), "", 'Data Entry'!$]$797)</f>
      </c>
      <c r="AD797">
        <f>IF(ISBLANK('Data Entry'!$^$797), "", 'Data Entry'!$^$797)</f>
      </c>
      <c r="AE797">
        <f>IF(ISBLANK('Data Entry'!$_$797), "", 'Data Entry'!$_$797)</f>
      </c>
      <c r="AF797">
        <f>IF(ISBLANK('Data Entry'!$`$797), "", 'Data Entry'!$`$797)</f>
      </c>
      <c r="AG797">
        <f>IF(ISBLANK('Data Entry'!$a$797), "", 'Data Entry'!$a$797)</f>
      </c>
      <c r="AH797">
        <f>IF(ISBLANK('Data Entry'!$b$797), "", 'Data Entry'!$b$797)</f>
      </c>
      <c r="AI797">
        <f>IF(ISBLANK('Data Entry'!$c$797), "", 'Data Entry'!$c$797)</f>
      </c>
      <c r="AJ797">
        <f>IF(ISBLANK('Data Entry'!$d$797), "", 'Data Entry'!$d$797)</f>
      </c>
      <c r="AK797">
        <f>IF(ISBLANK('Data Entry'!$e$797), "", 'Data Entry'!$e$797)</f>
      </c>
      <c r="AL797">
        <f>IF(ISBLANK('Data Entry'!$f$797), "", 'Data Entry'!$f$797)</f>
      </c>
      <c r="AM797">
        <f>IF(ISBLANK('Data Entry'!$g$797), "", 'Data Entry'!$g$797)</f>
      </c>
      <c r="AN797">
        <f>IF(ISBLANK('Data Entry'!$h$797), "", 'Data Entry'!$h$797)</f>
      </c>
      <c r="AO797">
        <f>IF(ISBLANK('Data Entry'!$i$797), "", 'Data Entry'!$i$797)</f>
      </c>
      <c r="AP797">
        <f>IF(ISBLANK('Data Entry'!$j$797), "", 'Data Entry'!$j$797)</f>
      </c>
      <c r="AQ797">
        <f>IF(ISBLANK('Data Entry'!$k$797), "", 'Data Entry'!$k$797)</f>
      </c>
      <c r="AR797">
        <f>IF(ISBLANK('Data Entry'!$l$797), "", 'Data Entry'!$l$797)</f>
      </c>
      <c r="AS797">
        <f>IF(ISBLANK('Data Entry'!$m$797), "", 'Data Entry'!$m$797)</f>
      </c>
      <c r="AT797">
        <f>IF(ISBLANK('Data Entry'!$n$797), "", 'Data Entry'!$n$797)</f>
      </c>
      <c r="AU797">
        <f>IF(ISBLANK('Data Entry'!$o$797), "", 'Data Entry'!$o$797)</f>
      </c>
      <c r="AV797">
        <f>IF(ISBLANK('Data Entry'!$p$797), "", 'Data Entry'!$p$797)</f>
      </c>
      <c r="AW797">
        <f>IF(ISBLANK('Data Entry'!$q$797), "", 'Data Entry'!$q$797)</f>
      </c>
      <c r="AX797">
        <f>IF(ISBLANK('Data Entry'!$r$797), "", 'Data Entry'!$r$797)</f>
      </c>
      <c r="AY797">
        <f>IF(ISBLANK('Data Entry'!$s$797), "", 'Data Entry'!$s$797)</f>
      </c>
      <c r="AZ797">
        <f>IF(ISBLANK('Data Entry'!$t$797), "", 'Data Entry'!$t$797)</f>
      </c>
      <c r="BA797">
        <f>IF(ISBLANK('Data Entry'!$u$797), "", 'Data Entry'!$u$797)</f>
      </c>
      <c r="BB797">
        <f>IF(ISBLANK('Data Entry'!$v$797), "", 'Data Entry'!$v$797)</f>
      </c>
      <c r="BC797">
        <f>IF(ISBLANK('Data Entry'!$w$797), "", 'Data Entry'!$w$797)</f>
      </c>
      <c r="BD797">
        <f>IF(ISBLANK('Data Entry'!$x$797), "", 'Data Entry'!$x$797)</f>
      </c>
      <c r="BE797">
        <f>IF(ISBLANK('Data Entry'!$y$797), "", 'Data Entry'!$y$797)</f>
      </c>
      <c r="BF797">
        <f>IF(ISBLANK('Data Entry'!$z$797), "", 'Data Entry'!$z$797)</f>
      </c>
      <c r="BG797">
        <f>IF(ISBLANK('Data Entry'!${$797), "", 'Data Entry'!${$797)</f>
      </c>
      <c r="BH797">
        <f>IF(ISBLANK('Data Entry'!$|$797), "", 'Data Entry'!$|$797)</f>
      </c>
      <c r="BI797">
        <f>IF(ISBLANK('Data Entry'!$}$797), "", 'Data Entry'!$}$797)</f>
      </c>
      <c r="BJ797">
        <f>IF(ISBLANK('Data Entry'!$~$797), "", 'Data Entry'!$~$797)</f>
      </c>
      <c r="BK797">
        <f>IF(ISBLANK('Data Entry'!$$797), "", 'Data Entry'!$$797)</f>
      </c>
      <c r="BL797">
        <f>IF(ISBLANK('Data Entry'!$$797), "", 'Data Entry'!$$797)</f>
      </c>
      <c r="BM797">
        <f>IF(ISBLANK('Data Entry'!$$797), "", 'Data Entry'!$$797)</f>
      </c>
      <c r="BN797">
        <f>IF(ISBLANK('Data Entry'!$$797), "", 'Data Entry'!$$797)</f>
      </c>
      <c r="BO797">
        <f>IF(ISBLANK('Data Entry'!$$797), "", 'Data Entry'!$$797)</f>
      </c>
      <c r="BP797">
        <f>IF(ISBLANK('Data Entry'!$$797), "", 'Data Entry'!$$797)</f>
      </c>
      <c r="BQ797">
        <f>IF(ISBLANK('Data Entry'!$$797), "", 'Data Entry'!$$797)</f>
      </c>
      <c r="BR797">
        <f>IF(ISBLANK('Data Entry'!$$797), "", 'Data Entry'!$$797)</f>
      </c>
      <c r="BS797">
        <f>IF(ISBLANK('Data Entry'!$$797), "", 'Data Entry'!$$797)</f>
      </c>
      <c r="BT797">
        <f>IF(ISBLANK('Data Entry'!$$797), "", 'Data Entry'!$$797)</f>
      </c>
      <c r="BU797">
        <f>IF(ISBLANK('Data Entry'!$$797), "", 'Data Entry'!$$797)</f>
      </c>
      <c r="BV797">
        <f>IF(ISBLANK('Data Entry'!$$797), "", 'Data Entry'!$$797)</f>
      </c>
      <c r="BW797">
        <f>IF(ISBLANK('Data Entry'!$$797), "", 'Data Entry'!$$797)</f>
      </c>
      <c r="BX797">
        <f>IF(ISBLANK('Data Entry'!$$797), "", 'Data Entry'!$$797)</f>
      </c>
      <c r="BY797">
        <f>IF(ISBLANK('Data Entry'!$$797), "", 'Data Entry'!$$797)</f>
      </c>
      <c r="BZ797">
        <f>IF(ISBLANK('Data Entry'!$$797), "", 'Data Entry'!$$797)</f>
      </c>
      <c r="CA797">
        <f>IF(ISBLANK('Data Entry'!$$797), "", 'Data Entry'!$$797)</f>
      </c>
      <c r="CB797">
        <f>IF(ISBLANK('Data Entry'!$$797), "", 'Data Entry'!$$797)</f>
      </c>
      <c r="CC797">
        <f>IF(ISBLANK('Data Entry'!$$797), "", 'Data Entry'!$$797)</f>
      </c>
      <c r="CD797">
        <f>IF(ISBLANK('Data Entry'!$$797), "", 'Data Entry'!$$797)</f>
      </c>
      <c r="CE797">
        <f>IF(ISBLANK('Data Entry'!$$797), "", 'Data Entry'!$$797)</f>
      </c>
      <c r="CF797">
        <f>IF(ISBLANK('Data Entry'!$$797), "", 'Data Entry'!$$797)</f>
      </c>
      <c r="CG797">
        <f>IF(ISBLANK('Data Entry'!$$797), "", 'Data Entry'!$$797)</f>
      </c>
      <c r="CH797">
        <f>IF(ISBLANK('Data Entry'!$$797), "", 'Data Entry'!$$797)</f>
      </c>
      <c r="CI797">
        <f>IF(ISBLANK('Data Entry'!$$797), "", 'Data Entry'!$$797)</f>
      </c>
      <c r="CJ797">
        <f>IF(ISBLANK('Data Entry'!$$797), "", 'Data Entry'!$$797)</f>
      </c>
      <c r="CK797">
        <f>IF(ISBLANK('Data Entry'!$$797), "", 'Data Entry'!$$797)</f>
      </c>
      <c r="CL797">
        <f>IF(ISBLANK('Data Entry'!$$797), "", 'Data Entry'!$$797)</f>
      </c>
      <c r="CM797">
        <f>IF(ISBLANK('Data Entry'!$$797), "", 'Data Entry'!$$797)</f>
      </c>
      <c r="CN797">
        <f>IF(ISBLANK('Data Entry'!$$797), "", 'Data Entry'!$$797)</f>
      </c>
      <c r="CO797">
        <f>IF(ISBLANK('Data Entry'!$$797), "", 'Data Entry'!$$797)</f>
      </c>
      <c r="CP797">
        <f>IF(ISBLANK('Data Entry'!$$797), "", 'Data Entry'!$$797)</f>
      </c>
      <c r="CQ797">
        <f>IF(ISBLANK('Data Entry'!$$797), "", 'Data Entry'!$$797)</f>
      </c>
      <c r="CR797">
        <f>IF(ISBLANK('Data Entry'!$ $797), "", 'Data Entry'!$ $797)</f>
      </c>
      <c r="CS797">
        <f>IF(ISBLANK('Data Entry'!$¡$797), "", 'Data Entry'!$¡$797)</f>
      </c>
      <c r="CT797">
        <f>IF(ISBLANK('Data Entry'!$¢$797), "", 'Data Entry'!$¢$797)</f>
      </c>
      <c r="CU797">
        <f>IF(ISBLANK('Data Entry'!$£$797), "", 'Data Entry'!$£$797)</f>
      </c>
      <c r="CV797">
        <f>IF(ISBLANK('Data Entry'!$¤$797), "", 'Data Entry'!$¤$797)</f>
      </c>
      <c r="CW797">
        <f>IF(ISBLANK('Data Entry'!$¥$797), "", 'Data Entry'!$¥$797)</f>
      </c>
      <c r="CX797">
        <f>IF(ISBLANK('Data Entry'!$¦$797), "", 'Data Entry'!$¦$797)</f>
      </c>
      <c r="CY797">
        <f>IF(ISBLANK('Data Entry'!$§$797), "", 'Data Entry'!$§$797)</f>
      </c>
      <c r="CZ797">
        <f>IF(ISBLANK('Data Entry'!$¨$797), "", 'Data Entry'!$¨$797)</f>
      </c>
      <c r="DA797">
        <f>IF(ISBLANK('Data Entry'!$©$797), "", 'Data Entry'!$©$797)</f>
      </c>
      <c r="DB797">
        <f>IF(ISBLANK('Data Entry'!$ª$797), "", 'Data Entry'!$ª$797)</f>
      </c>
      <c r="DC797">
        <f>IF(ISBLANK('Data Entry'!$«$797), "", 'Data Entry'!$«$797)</f>
      </c>
      <c r="DD797">
        <f>IF(ISBLANK('Data Entry'!$¬$797), "", 'Data Entry'!$¬$797)</f>
      </c>
      <c r="DE797">
        <f>IF(ISBLANK('Data Entry'!$­$797), "", 'Data Entry'!$­$797)</f>
      </c>
      <c r="DF797">
        <f>IF(ISBLANK('Data Entry'!$®$797), "", 'Data Entry'!$®$797)</f>
      </c>
      <c r="DG797">
        <f>IF(ISBLANK('Data Entry'!$¯$797), "", 'Data Entry'!$¯$797)</f>
      </c>
      <c r="DH797">
        <f>IF(ISBLANK('Data Entry'!$°$797), "", 'Data Entry'!$°$797)</f>
      </c>
      <c r="DI797">
        <f>IF(ISBLANK('Data Entry'!$±$797), "", 'Data Entry'!$±$797)</f>
      </c>
      <c r="DJ797">
        <f>IF(ISBLANK('Data Entry'!$²$797), "", 'Data Entry'!$²$797)</f>
      </c>
      <c r="DK797">
        <f>IF(ISBLANK('Data Entry'!$³$797), "", 'Data Entry'!$³$797)</f>
      </c>
      <c r="DL797">
        <f>IF(ISBLANK('Data Entry'!$´$797), "", 'Data Entry'!$´$797)</f>
      </c>
      <c r="DM797">
        <f>IF(ISBLANK('Data Entry'!$µ$797), "", 'Data Entry'!$µ$797)</f>
      </c>
      <c r="DN797">
        <f>IF(ISBLANK('Data Entry'!$¶$797), "", 'Data Entry'!$¶$797)</f>
      </c>
      <c r="DO797">
        <f>IF(ISBLANK('Data Entry'!$·$797), "", 'Data Entry'!$·$797)</f>
      </c>
      <c r="DP797">
        <f>IF(ISBLANK('Data Entry'!$¸$797), "", 'Data Entry'!$¸$797)</f>
      </c>
      <c r="DQ797">
        <f>IF(ISBLANK('Data Entry'!$¹$797), "", 'Data Entry'!$¹$797)</f>
      </c>
      <c r="DR797">
        <f>IF(ISBLANK('Data Entry'!$º$797), "", 'Data Entry'!$º$797)</f>
      </c>
      <c r="DS797">
        <f>IF(ISBLANK('Data Entry'!$»$797), "", 'Data Entry'!$»$797)</f>
      </c>
      <c r="DT797">
        <f>IF(ISBLANK('Data Entry'!$¼$797), "", 'Data Entry'!$¼$797)</f>
      </c>
      <c r="DU797">
        <f>IF(ISBLANK('Data Entry'!$½$797), "", 'Data Entry'!$½$797)</f>
      </c>
      <c r="DV797">
        <f>IF(ISBLANK('Data Entry'!$¾$797), "", 'Data Entry'!$¾$797)</f>
      </c>
      <c r="DW797">
        <f>IF(ISBLANK('Data Entry'!$¿$797), "", 'Data Entry'!$¿$797)</f>
      </c>
      <c r="DX797">
        <f>IF(ISBLANK('Data Entry'!$À$797), "", 'Data Entry'!$À$797)</f>
      </c>
      <c r="DY797">
        <f>IF(ISBLANK('Data Entry'!$Á$797), "", 'Data Entry'!$Á$797)</f>
      </c>
      <c r="DZ797">
        <f>IF(ISBLANK('Data Entry'!$Â$797), "", 'Data Entry'!$Â$797)</f>
      </c>
      <c r="EA797">
        <f>IF(ISBLANK('Data Entry'!$Ã$797), "", 'Data Entry'!$Ã$797)</f>
      </c>
      <c r="EB797">
        <f>IF(ISBLANK('Data Entry'!$Ä$797), "", 'Data Entry'!$Ä$797)</f>
      </c>
      <c r="EC797">
        <f>IF(ISBLANK('Data Entry'!$Å$797), "", 'Data Entry'!$Å$797)</f>
      </c>
      <c r="ED797">
        <f>IF(ISBLANK('Data Entry'!$Æ$797), "", 'Data Entry'!$Æ$797)</f>
      </c>
      <c r="EE797">
        <f>IF(ISBLANK('Data Entry'!$Ç$797), "", 'Data Entry'!$Ç$797)</f>
      </c>
      <c r="EF797">
        <f>IF(ISBLANK('Data Entry'!$È$797), "", 'Data Entry'!$È$797)</f>
      </c>
      <c r="EG797">
        <f>IF(ISBLANK('Data Entry'!$É$797), "", 'Data Entry'!$É$797)</f>
      </c>
      <c r="EH797">
        <f>IF(ISBLANK('Data Entry'!$Ê$797), "", 'Data Entry'!$Ê$797)</f>
      </c>
      <c r="EI797">
        <f>IF(ISBLANK('Data Entry'!$Ë$797), "", 'Data Entry'!$Ë$797)</f>
      </c>
      <c r="EJ797">
        <f>IF(ISBLANK('Data Entry'!$Ì$797), "", 'Data Entry'!$Ì$797)</f>
      </c>
      <c r="EK797">
        <f>IF(ISBLANK('Data Entry'!$Í$797), "", 'Data Entry'!$Í$797)</f>
      </c>
      <c r="EL797">
        <f>IF(ISBLANK('Data Entry'!$Î$797), "", 'Data Entry'!$Î$797)</f>
      </c>
      <c r="EM797">
        <f>IF(ISBLANK('Data Entry'!$Ï$797), "", 'Data Entry'!$Ï$797)</f>
      </c>
      <c r="EN797">
        <f>IF(ISBLANK('Data Entry'!$Ð$797), "", 'Data Entry'!$Ð$797)</f>
      </c>
      <c r="EO797">
        <f>IF(ISBLANK('Data Entry'!$Ñ$797), "", 'Data Entry'!$Ñ$797)</f>
      </c>
      <c r="EP797">
        <f>IF(ISBLANK('Data Entry'!$Ò$797), "", 'Data Entry'!$Ò$797)</f>
      </c>
      <c r="EQ797">
        <f>IF(ISBLANK('Data Entry'!$Ó$797), "", 'Data Entry'!$Ó$797)</f>
      </c>
      <c r="ER797">
        <f>IF(ISBLANK('Data Entry'!$Ô$797), "", 'Data Entry'!$Ô$797)</f>
      </c>
      <c r="ES797">
        <f>IF(ISBLANK('Data Entry'!$Õ$797), "", 'Data Entry'!$Õ$797)</f>
      </c>
      <c r="ET797">
        <f>IF(ISBLANK('Data Entry'!$Ö$797), "", 'Data Entry'!$Ö$797)</f>
      </c>
      <c r="EU797">
        <f>IF(ISBLANK('Data Entry'!$×$797), "", 'Data Entry'!$×$797)</f>
      </c>
      <c r="EV797">
        <f>IF(ISBLANK('Data Entry'!$Ø$797), "", 'Data Entry'!$Ø$797)</f>
      </c>
      <c r="EW797">
        <f>IF(ISBLANK('Data Entry'!$Ù$797), "", 'Data Entry'!$Ù$797)</f>
      </c>
      <c r="EX797">
        <f>IF(ISBLANK('Data Entry'!$Ú$797), "", 'Data Entry'!$Ú$797)</f>
      </c>
      <c r="EY797">
        <f>IF(ISBLANK('Data Entry'!$Û$797), "", 'Data Entry'!$Û$797)</f>
      </c>
      <c r="EZ797">
        <f>IF(ISBLANK('Data Entry'!$Ü$797), "", 'Data Entry'!$Ü$797)</f>
      </c>
      <c r="FA797">
        <f>IF(ISBLANK('Data Entry'!$Ý$797), "", 'Data Entry'!$Ý$797)</f>
      </c>
      <c r="FB797">
        <f>IF(ISBLANK('Data Entry'!$Þ$797), "", 'Data Entry'!$Þ$797)</f>
      </c>
      <c r="FC797">
        <f>IF(ISBLANK('Data Entry'!$ß$797), "", 'Data Entry'!$ß$797)</f>
      </c>
      <c r="FD797">
        <f>IF(ISBLANK('Data Entry'!$à$797), "", 'Data Entry'!$à$797)</f>
      </c>
      <c r="FE797">
        <f>IF(ISBLANK('Data Entry'!$á$797), "", 'Data Entry'!$á$797)</f>
      </c>
      <c r="FF797">
        <f>IF(ISBLANK('Data Entry'!$â$797), "", 'Data Entry'!$â$797)</f>
      </c>
      <c r="FG797">
        <f>IF(ISBLANK('Data Entry'!$ã$797), "", 'Data Entry'!$ã$797)</f>
      </c>
      <c r="FH797">
        <f>IF(ISBLANK('Data Entry'!$ä$797), "", 'Data Entry'!$ä$797)</f>
      </c>
      <c r="FI797">
        <f>IF(ISBLANK('Data Entry'!$å$797), "", 'Data Entry'!$å$797)</f>
      </c>
      <c r="FJ797">
        <f>IF(ISBLANK('Data Entry'!$æ$797), "", 'Data Entry'!$æ$797)</f>
      </c>
      <c r="FK797">
        <f>IF(ISBLANK('Data Entry'!$ç$797), "", 'Data Entry'!$ç$797)</f>
      </c>
      <c r="FL797">
        <f>IF(ISBLANK('Data Entry'!$è$797), "", 'Data Entry'!$è$797)</f>
      </c>
      <c r="FM797">
        <f>IF(ISBLANK('Data Entry'!$é$797), "", 'Data Entry'!$é$797)</f>
      </c>
      <c r="FN797">
        <f>IF(ISBLANK('Data Entry'!$ê$797), "", 'Data Entry'!$ê$797)</f>
      </c>
      <c r="FO797">
        <f>IF(ISBLANK('Data Entry'!$ë$797), "", 'Data Entry'!$ë$797)</f>
      </c>
      <c r="FP797">
        <f>IF(ISBLANK('Data Entry'!$ì$797), "", 'Data Entry'!$ì$797)</f>
      </c>
      <c r="FQ797">
        <f>IF(ISBLANK('Data Entry'!$í$797), "", 'Data Entry'!$í$797)</f>
      </c>
      <c r="FR797">
        <f>IF(ISBLANK('Data Entry'!$î$797), "", 'Data Entry'!$î$797)</f>
      </c>
      <c r="FS797">
        <f>IF(ISBLANK('Data Entry'!$ï$797), "", 'Data Entry'!$ï$797)</f>
      </c>
      <c r="FT797">
        <f>IF(ISBLANK('Data Entry'!$ð$797), "", 'Data Entry'!$ð$797)</f>
      </c>
      <c r="FU797">
        <f>IF(ISBLANK('Data Entry'!$ñ$797), "", 'Data Entry'!$ñ$797)</f>
      </c>
      <c r="FV797">
        <f>IF(ISBLANK('Data Entry'!$ò$797), "", 'Data Entry'!$ò$797)</f>
      </c>
      <c r="FW797">
        <f>IF(ISBLANK('Data Entry'!$ó$797), "", 'Data Entry'!$ó$797)</f>
      </c>
      <c r="FX797">
        <f>IF(ISBLANK('Data Entry'!$ô$797), "", 'Data Entry'!$ô$797)</f>
      </c>
      <c r="FY797">
        <f>IF(ISBLANK('Data Entry'!$õ$797), "", 'Data Entry'!$õ$797)</f>
      </c>
      <c r="FZ797">
        <f>IF(ISBLANK('Data Entry'!$ö$797), "", 'Data Entry'!$ö$797)</f>
      </c>
      <c r="GA797">
        <f>IF(ISBLANK('Data Entry'!$÷$797), "", 'Data Entry'!$÷$797)</f>
      </c>
      <c r="GB797">
        <f>IF(ISBLANK('Data Entry'!$ø$797), "", 'Data Entry'!$ø$797)</f>
      </c>
      <c r="GC797">
        <f>IF(ISBLANK('Data Entry'!$ù$797), "", 'Data Entry'!$ù$797)</f>
      </c>
      <c r="GD797">
        <f>IF(ISBLANK('Data Entry'!$ú$797), "", 'Data Entry'!$ú$797)</f>
      </c>
      <c r="GE797">
        <f>IF(ISBLANK('Data Entry'!$û$797), "", 'Data Entry'!$û$797)</f>
      </c>
      <c r="GF797">
        <f>IF(ISBLANK('Data Entry'!$ü$797), "", 'Data Entry'!$ü$797)</f>
      </c>
      <c r="GG797">
        <f>IF(ISBLANK('Data Entry'!$ý$797), "", 'Data Entry'!$ý$797)</f>
      </c>
      <c r="GH797">
        <f>IF(ISBLANK('Data Entry'!$þ$797), "", 'Data Entry'!$þ$797)</f>
      </c>
      <c r="GI797">
        <f>IF(ISBLANK('Data Entry'!$ÿ$797), "", 'Data Entry'!$ÿ$797)</f>
      </c>
      <c r="GJ797">
        <f>IF(ISBLANK('Data Entry'!$Ā$797), "", 'Data Entry'!$Ā$797)</f>
      </c>
      <c r="GK797">
        <f>IF(ISBLANK('Data Entry'!$ā$797), "", 'Data Entry'!$ā$797)</f>
      </c>
      <c r="GL797">
        <f>IF(ISBLANK('Data Entry'!$Ă$797), "", 'Data Entry'!$Ă$797)</f>
      </c>
      <c r="GM797">
        <f>IF(ISBLANK('Data Entry'!$ă$797), "", 'Data Entry'!$ă$797)</f>
      </c>
      <c r="GN797">
        <f>IF(ISBLANK('Data Entry'!$Ą$797), "", 'Data Entry'!$Ą$797)</f>
      </c>
      <c r="GO797">
        <f>IF(ISBLANK('Data Entry'!$ą$797), "", 'Data Entry'!$ą$797)</f>
      </c>
      <c r="GP797">
        <f>IF(ISBLANK('Data Entry'!$Ć$797), "", 'Data Entry'!$Ć$797)</f>
      </c>
      <c r="GQ797">
        <f>IF(ISBLANK('Data Entry'!$ć$797), "", 'Data Entry'!$ć$797)</f>
      </c>
      <c r="GR797">
        <f>IF(ISBLANK('Data Entry'!$Ĉ$797), "", 'Data Entry'!$Ĉ$797)</f>
      </c>
      <c r="GS797">
        <f>IF(ISBLANK('Data Entry'!$ĉ$797), "", 'Data Entry'!$ĉ$797)</f>
      </c>
      <c r="GT797">
        <f>IF(ISBLANK('Data Entry'!$Ċ$797), "", 'Data Entry'!$Ċ$797)</f>
      </c>
      <c r="GU797">
        <f>IF(ISBLANK('Data Entry'!$ċ$797), "", 'Data Entry'!$ċ$797)</f>
      </c>
      <c r="GV797">
        <f>IF(ISBLANK('Data Entry'!$Č$797), "", 'Data Entry'!$Č$797)</f>
      </c>
      <c r="GW797">
        <f>IF(ISBLANK('Data Entry'!$č$797), "", 'Data Entry'!$č$797)</f>
      </c>
      <c r="GX797">
        <f>IF(ISBLANK('Data Entry'!$Ď$797), "", 'Data Entry'!$Ď$797)</f>
      </c>
      <c r="GY797">
        <f>IF(ISBLANK('Data Entry'!$ď$797), "", 'Data Entry'!$ď$797)</f>
      </c>
      <c r="GZ797">
        <f>IF(ISBLANK('Data Entry'!$Đ$797), "", 'Data Entry'!$Đ$797)</f>
      </c>
      <c r="HA797">
        <f>IF(ISBLANK('Data Entry'!$đ$797), "", 'Data Entry'!$đ$797)</f>
      </c>
      <c r="HB797">
        <f>IF(ISBLANK('Data Entry'!$Ē$797), "", 'Data Entry'!$Ē$797)</f>
      </c>
      <c r="HC797">
        <f>IF(ISBLANK('Data Entry'!$ē$797), "", 'Data Entry'!$ē$797)</f>
      </c>
      <c r="HD797">
        <f>IF(ISBLANK('Data Entry'!$Ĕ$797), "", 'Data Entry'!$Ĕ$797)</f>
      </c>
      <c r="HE797">
        <f>IF(ISBLANK('Data Entry'!$ĕ$797), "", 'Data Entry'!$ĕ$797)</f>
      </c>
      <c r="HF797">
        <f>IF(ISBLANK('Data Entry'!$Ė$797), "", 'Data Entry'!$Ė$797)</f>
      </c>
      <c r="HG797">
        <f>IF(ISBLANK('Data Entry'!$ė$797), "", 'Data Entry'!$ė$797)</f>
      </c>
      <c r="HH797">
        <f>IF(ISBLANK('Data Entry'!$Ę$797), "", 'Data Entry'!$Ę$797)</f>
      </c>
      <c r="HI797">
        <f>IF(ISBLANK('Data Entry'!$ę$797), "", 'Data Entry'!$ę$797)</f>
      </c>
      <c r="HJ797">
        <f>IF(ISBLANK('Data Entry'!$Ě$797), "", 'Data Entry'!$Ě$797)</f>
      </c>
      <c r="HK797">
        <f>IF(ISBLANK('Data Entry'!$ě$797), "", 'Data Entry'!$ě$797)</f>
      </c>
      <c r="HL797">
        <f>IF(ISBLANK('Data Entry'!$Ĝ$797), "", 'Data Entry'!$Ĝ$797)</f>
      </c>
      <c r="HM797">
        <f>IF(ISBLANK('Data Entry'!$ĝ$797), "", 'Data Entry'!$ĝ$797)</f>
      </c>
      <c r="HN797">
        <f>IF(ISBLANK('Data Entry'!$Ğ$797), "", 'Data Entry'!$Ğ$797)</f>
      </c>
      <c r="HO797">
        <f>IF(ISBLANK('Data Entry'!$ğ$797), "", 'Data Entry'!$ğ$797)</f>
      </c>
      <c r="HP797">
        <f>IF(ISBLANK('Data Entry'!$Ġ$797), "", 'Data Entry'!$Ġ$797)</f>
      </c>
      <c r="HQ797">
        <f>IF(ISBLANK('Data Entry'!$ġ$797), "", 'Data Entry'!$ġ$797)</f>
      </c>
      <c r="HR797">
        <f>IF(ISBLANK('Data Entry'!$Ģ$797), "", 'Data Entry'!$Ģ$797)</f>
      </c>
      <c r="HS797">
        <f>IF(ISBLANK('Data Entry'!$ģ$797), "", 'Data Entry'!$ģ$797)</f>
      </c>
      <c r="HT797">
        <f>IF(ISBLANK('Data Entry'!$Ĥ$797), "", 'Data Entry'!$Ĥ$797)</f>
      </c>
      <c r="HU797">
        <f>IF(ISBLANK('Data Entry'!$ĥ$797), "", 'Data Entry'!$ĥ$797)</f>
      </c>
      <c r="HV797">
        <f>IF(ISBLANK('Data Entry'!$Ħ$797), "", 'Data Entry'!$Ħ$797)</f>
      </c>
      <c r="HW797">
        <f>IF(ISBLANK('Data Entry'!$ħ$797), "", 'Data Entry'!$ħ$797)</f>
      </c>
      <c r="HX797">
        <f>IF(ISBLANK('Data Entry'!$Ĩ$797), "", 'Data Entry'!$Ĩ$797)</f>
      </c>
      <c r="HY797">
        <f>IF(ISBLANK('Data Entry'!$ĩ$797), "", 'Data Entry'!$ĩ$797)</f>
      </c>
      <c r="HZ797">
        <f>IF(ISBLANK('Data Entry'!$Ī$797), "", 'Data Entry'!$Ī$797)</f>
      </c>
      <c r="IA797">
        <f>IF(ISBLANK('Data Entry'!$ī$797), "", 'Data Entry'!$ī$797)</f>
      </c>
      <c r="IB797">
        <f>IF(ISBLANK('Data Entry'!$Ĭ$797), "", 'Data Entry'!$Ĭ$797)</f>
      </c>
      <c r="IC797">
        <f>IF(ISBLANK('Data Entry'!$ĭ$797), "", 'Data Entry'!$ĭ$797)</f>
      </c>
      <c r="ID797">
        <f>IF(ISBLANK('Data Entry'!$Į$797), "", 'Data Entry'!$Į$797)</f>
      </c>
      <c r="IE797">
        <f>IF(ISBLANK('Data Entry'!$į$797), "", 'Data Entry'!$į$797)</f>
      </c>
      <c r="IF797">
        <f>IF(ISBLANK('Data Entry'!$İ$797), "", 'Data Entry'!$İ$797)</f>
      </c>
      <c r="IG797">
        <f>IF(ISBLANK('Data Entry'!$ı$797), "", 'Data Entry'!$ı$797)</f>
      </c>
      <c r="IH797">
        <f>IF(ISBLANK('Data Entry'!$Ĳ$797), "", 'Data Entry'!$Ĳ$797)</f>
      </c>
      <c r="II797">
        <f>IF(ISBLANK('Data Entry'!$ĳ$797), "", 'Data Entry'!$ĳ$797)</f>
      </c>
      <c r="IJ797">
        <f>IF(ISBLANK('Data Entry'!$Ĵ$797), "", 'Data Entry'!$Ĵ$797)</f>
      </c>
      <c r="IK797">
        <f>IF(ISBLANK('Data Entry'!$ĵ$797), "", 'Data Entry'!$ĵ$797)</f>
      </c>
      <c r="IL797">
        <f>IF(ISBLANK('Data Entry'!$Ķ$797), "", 'Data Entry'!$Ķ$797)</f>
      </c>
      <c r="IM797">
        <f>IF(ISBLANK('Data Entry'!$ķ$797), "", 'Data Entry'!$ķ$797)</f>
      </c>
      <c r="IN797">
        <f>IF(ISBLANK('Data Entry'!$ĸ$797), "", 'Data Entry'!$ĸ$797)</f>
      </c>
      <c r="IO797">
        <f>IF(ISBLANK('Data Entry'!$Ĺ$797), "", 'Data Entry'!$Ĺ$797)</f>
      </c>
      <c r="IP797">
        <f>IF(ISBLANK('Data Entry'!$ĺ$797), "", 'Data Entry'!$ĺ$797)</f>
      </c>
      <c r="IQ797">
        <f>IF(ISBLANK('Data Entry'!$Ļ$797), "", 'Data Entry'!$Ļ$797)</f>
      </c>
      <c r="IR797">
        <f>IF(ISBLANK('Data Entry'!$ļ$797), "", 'Data Entry'!$ļ$797)</f>
      </c>
      <c r="IS797">
        <f>IF(ISBLANK('Data Entry'!$Ľ$797), "", 'Data Entry'!$Ľ$797)</f>
      </c>
      <c r="IT797">
        <f>IF(ISBLANK('Data Entry'!$ľ$797), "", 'Data Entry'!$ľ$797)</f>
      </c>
    </row>
    <row r="798" spans="1:254" x14ac:dyDescent="0.25">
      <c r="A798">
        <f>IF(ISBLANK('Data Entry'!$A$798), "", 'Data Entry'!$A$798)</f>
      </c>
      <c r="B798">
        <f>IF(ISBLANK('Data Entry'!$B$798), "", 'Data Entry'!$B$798)</f>
      </c>
      <c r="C798">
        <f>IF(ISBLANK('Data Entry'!$C$798), "", 'Data Entry'!$C$798)</f>
      </c>
      <c r="D798">
        <f>IF(ISBLANK('Data Entry'!$D$798), "", 'Data Entry'!$D$798)</f>
      </c>
      <c r="E798">
        <f>IF(ISBLANK('Data Entry'!$E$798), "", 'Data Entry'!$E$798)</f>
      </c>
      <c r="F798">
        <f>IF(ISBLANK('Data Entry'!$F$798), "", 'Data Entry'!$F$798)</f>
      </c>
      <c r="G798">
        <f>IF(ISBLANK('Data Entry'!$G$798), "", 'Data Entry'!$G$798)</f>
      </c>
      <c r="H798">
        <f>IF(ISBLANK('Data Entry'!$H$798), "", 'Data Entry'!$H$798)</f>
      </c>
      <c r="I798">
        <f>IF(ISBLANK('Data Entry'!$I$798), "", 'Data Entry'!$I$798)</f>
      </c>
      <c r="J798">
        <f>IF(ISBLANK('Data Entry'!$J$798), "", 'Data Entry'!$J$798)</f>
      </c>
      <c r="K798">
        <f>IF(ISBLANK('Data Entry'!$K$798), "", 'Data Entry'!$K$798)</f>
      </c>
      <c r="L798">
        <f>IF(ISBLANK('Data Entry'!$L$798), "", 'Data Entry'!$L$798)</f>
      </c>
      <c r="M798">
        <f>IF(ISBLANK('Data Entry'!$M$798), "", 'Data Entry'!$M$798)</f>
      </c>
      <c r="N798">
        <f>IF(ISBLANK('Data Entry'!$N$798), "", 'Data Entry'!$N$798)</f>
      </c>
      <c r="O798">
        <f>IF(ISBLANK('Data Entry'!$O$798), "", 'Data Entry'!$O$798)</f>
      </c>
      <c r="P798">
        <f>IF(ISBLANK('Data Entry'!$P$798), "", 'Data Entry'!$P$798)</f>
      </c>
      <c r="Q798">
        <f>IF(ISBLANK('Data Entry'!$Q$798), "", 'Data Entry'!$Q$798)</f>
      </c>
      <c r="R798">
        <f>IF(ISBLANK('Data Entry'!$R$798), "", 'Data Entry'!$R$798)</f>
      </c>
      <c r="S798">
        <f>IF(ISBLANK('Data Entry'!$S$798), "", 'Data Entry'!$S$798)</f>
      </c>
      <c r="T798">
        <f>IF(ISBLANK('Data Entry'!$T$798), "", 'Data Entry'!$T$798)</f>
      </c>
      <c r="U798">
        <f>IF(ISBLANK('Data Entry'!$U$798), "", 'Data Entry'!$U$798)</f>
      </c>
      <c r="V798">
        <f>IF(ISBLANK('Data Entry'!$V$798), "", 'Data Entry'!$V$798)</f>
      </c>
      <c r="W798">
        <f>IF(ISBLANK('Data Entry'!$W$798), "", 'Data Entry'!$W$798)</f>
      </c>
      <c r="X798">
        <f>IF(ISBLANK('Data Entry'!$X$798), "", 'Data Entry'!$X$798)</f>
      </c>
      <c r="Y798">
        <f>IF(ISBLANK('Data Entry'!$Y$798), "", 'Data Entry'!$Y$798)</f>
      </c>
      <c r="Z798">
        <f>IF(ISBLANK('Data Entry'!$Z$798), "", 'Data Entry'!$Z$798)</f>
      </c>
      <c r="AA798">
        <f>IF(ISBLANK('Data Entry'!$[$798), "", 'Data Entry'!$[$798)</f>
      </c>
      <c r="AB798">
        <f>IF(ISBLANK('Data Entry'!$\$798), "", 'Data Entry'!$\$798)</f>
      </c>
      <c r="AC798">
        <f>IF(ISBLANK('Data Entry'!$]$798), "", 'Data Entry'!$]$798)</f>
      </c>
      <c r="AD798">
        <f>IF(ISBLANK('Data Entry'!$^$798), "", 'Data Entry'!$^$798)</f>
      </c>
      <c r="AE798">
        <f>IF(ISBLANK('Data Entry'!$_$798), "", 'Data Entry'!$_$798)</f>
      </c>
      <c r="AF798">
        <f>IF(ISBLANK('Data Entry'!$`$798), "", 'Data Entry'!$`$798)</f>
      </c>
      <c r="AG798">
        <f>IF(ISBLANK('Data Entry'!$a$798), "", 'Data Entry'!$a$798)</f>
      </c>
      <c r="AH798">
        <f>IF(ISBLANK('Data Entry'!$b$798), "", 'Data Entry'!$b$798)</f>
      </c>
      <c r="AI798">
        <f>IF(ISBLANK('Data Entry'!$c$798), "", 'Data Entry'!$c$798)</f>
      </c>
      <c r="AJ798">
        <f>IF(ISBLANK('Data Entry'!$d$798), "", 'Data Entry'!$d$798)</f>
      </c>
      <c r="AK798">
        <f>IF(ISBLANK('Data Entry'!$e$798), "", 'Data Entry'!$e$798)</f>
      </c>
      <c r="AL798">
        <f>IF(ISBLANK('Data Entry'!$f$798), "", 'Data Entry'!$f$798)</f>
      </c>
      <c r="AM798">
        <f>IF(ISBLANK('Data Entry'!$g$798), "", 'Data Entry'!$g$798)</f>
      </c>
      <c r="AN798">
        <f>IF(ISBLANK('Data Entry'!$h$798), "", 'Data Entry'!$h$798)</f>
      </c>
      <c r="AO798">
        <f>IF(ISBLANK('Data Entry'!$i$798), "", 'Data Entry'!$i$798)</f>
      </c>
      <c r="AP798">
        <f>IF(ISBLANK('Data Entry'!$j$798), "", 'Data Entry'!$j$798)</f>
      </c>
      <c r="AQ798">
        <f>IF(ISBLANK('Data Entry'!$k$798), "", 'Data Entry'!$k$798)</f>
      </c>
      <c r="AR798">
        <f>IF(ISBLANK('Data Entry'!$l$798), "", 'Data Entry'!$l$798)</f>
      </c>
      <c r="AS798">
        <f>IF(ISBLANK('Data Entry'!$m$798), "", 'Data Entry'!$m$798)</f>
      </c>
      <c r="AT798">
        <f>IF(ISBLANK('Data Entry'!$n$798), "", 'Data Entry'!$n$798)</f>
      </c>
      <c r="AU798">
        <f>IF(ISBLANK('Data Entry'!$o$798), "", 'Data Entry'!$o$798)</f>
      </c>
      <c r="AV798">
        <f>IF(ISBLANK('Data Entry'!$p$798), "", 'Data Entry'!$p$798)</f>
      </c>
      <c r="AW798">
        <f>IF(ISBLANK('Data Entry'!$q$798), "", 'Data Entry'!$q$798)</f>
      </c>
      <c r="AX798">
        <f>IF(ISBLANK('Data Entry'!$r$798), "", 'Data Entry'!$r$798)</f>
      </c>
      <c r="AY798">
        <f>IF(ISBLANK('Data Entry'!$s$798), "", 'Data Entry'!$s$798)</f>
      </c>
      <c r="AZ798">
        <f>IF(ISBLANK('Data Entry'!$t$798), "", 'Data Entry'!$t$798)</f>
      </c>
      <c r="BA798">
        <f>IF(ISBLANK('Data Entry'!$u$798), "", 'Data Entry'!$u$798)</f>
      </c>
      <c r="BB798">
        <f>IF(ISBLANK('Data Entry'!$v$798), "", 'Data Entry'!$v$798)</f>
      </c>
      <c r="BC798">
        <f>IF(ISBLANK('Data Entry'!$w$798), "", 'Data Entry'!$w$798)</f>
      </c>
      <c r="BD798">
        <f>IF(ISBLANK('Data Entry'!$x$798), "", 'Data Entry'!$x$798)</f>
      </c>
      <c r="BE798">
        <f>IF(ISBLANK('Data Entry'!$y$798), "", 'Data Entry'!$y$798)</f>
      </c>
      <c r="BF798">
        <f>IF(ISBLANK('Data Entry'!$z$798), "", 'Data Entry'!$z$798)</f>
      </c>
      <c r="BG798">
        <f>IF(ISBLANK('Data Entry'!${$798), "", 'Data Entry'!${$798)</f>
      </c>
      <c r="BH798">
        <f>IF(ISBLANK('Data Entry'!$|$798), "", 'Data Entry'!$|$798)</f>
      </c>
      <c r="BI798">
        <f>IF(ISBLANK('Data Entry'!$}$798), "", 'Data Entry'!$}$798)</f>
      </c>
      <c r="BJ798">
        <f>IF(ISBLANK('Data Entry'!$~$798), "", 'Data Entry'!$~$798)</f>
      </c>
      <c r="BK798">
        <f>IF(ISBLANK('Data Entry'!$$798), "", 'Data Entry'!$$798)</f>
      </c>
      <c r="BL798">
        <f>IF(ISBLANK('Data Entry'!$$798), "", 'Data Entry'!$$798)</f>
      </c>
      <c r="BM798">
        <f>IF(ISBLANK('Data Entry'!$$798), "", 'Data Entry'!$$798)</f>
      </c>
      <c r="BN798">
        <f>IF(ISBLANK('Data Entry'!$$798), "", 'Data Entry'!$$798)</f>
      </c>
      <c r="BO798">
        <f>IF(ISBLANK('Data Entry'!$$798), "", 'Data Entry'!$$798)</f>
      </c>
      <c r="BP798">
        <f>IF(ISBLANK('Data Entry'!$$798), "", 'Data Entry'!$$798)</f>
      </c>
      <c r="BQ798">
        <f>IF(ISBLANK('Data Entry'!$$798), "", 'Data Entry'!$$798)</f>
      </c>
      <c r="BR798">
        <f>IF(ISBLANK('Data Entry'!$$798), "", 'Data Entry'!$$798)</f>
      </c>
      <c r="BS798">
        <f>IF(ISBLANK('Data Entry'!$$798), "", 'Data Entry'!$$798)</f>
      </c>
      <c r="BT798">
        <f>IF(ISBLANK('Data Entry'!$$798), "", 'Data Entry'!$$798)</f>
      </c>
      <c r="BU798">
        <f>IF(ISBLANK('Data Entry'!$$798), "", 'Data Entry'!$$798)</f>
      </c>
      <c r="BV798">
        <f>IF(ISBLANK('Data Entry'!$$798), "", 'Data Entry'!$$798)</f>
      </c>
      <c r="BW798">
        <f>IF(ISBLANK('Data Entry'!$$798), "", 'Data Entry'!$$798)</f>
      </c>
      <c r="BX798">
        <f>IF(ISBLANK('Data Entry'!$$798), "", 'Data Entry'!$$798)</f>
      </c>
      <c r="BY798">
        <f>IF(ISBLANK('Data Entry'!$$798), "", 'Data Entry'!$$798)</f>
      </c>
      <c r="BZ798">
        <f>IF(ISBLANK('Data Entry'!$$798), "", 'Data Entry'!$$798)</f>
      </c>
      <c r="CA798">
        <f>IF(ISBLANK('Data Entry'!$$798), "", 'Data Entry'!$$798)</f>
      </c>
      <c r="CB798">
        <f>IF(ISBLANK('Data Entry'!$$798), "", 'Data Entry'!$$798)</f>
      </c>
      <c r="CC798">
        <f>IF(ISBLANK('Data Entry'!$$798), "", 'Data Entry'!$$798)</f>
      </c>
      <c r="CD798">
        <f>IF(ISBLANK('Data Entry'!$$798), "", 'Data Entry'!$$798)</f>
      </c>
      <c r="CE798">
        <f>IF(ISBLANK('Data Entry'!$$798), "", 'Data Entry'!$$798)</f>
      </c>
      <c r="CF798">
        <f>IF(ISBLANK('Data Entry'!$$798), "", 'Data Entry'!$$798)</f>
      </c>
      <c r="CG798">
        <f>IF(ISBLANK('Data Entry'!$$798), "", 'Data Entry'!$$798)</f>
      </c>
      <c r="CH798">
        <f>IF(ISBLANK('Data Entry'!$$798), "", 'Data Entry'!$$798)</f>
      </c>
      <c r="CI798">
        <f>IF(ISBLANK('Data Entry'!$$798), "", 'Data Entry'!$$798)</f>
      </c>
      <c r="CJ798">
        <f>IF(ISBLANK('Data Entry'!$$798), "", 'Data Entry'!$$798)</f>
      </c>
      <c r="CK798">
        <f>IF(ISBLANK('Data Entry'!$$798), "", 'Data Entry'!$$798)</f>
      </c>
      <c r="CL798">
        <f>IF(ISBLANK('Data Entry'!$$798), "", 'Data Entry'!$$798)</f>
      </c>
      <c r="CM798">
        <f>IF(ISBLANK('Data Entry'!$$798), "", 'Data Entry'!$$798)</f>
      </c>
      <c r="CN798">
        <f>IF(ISBLANK('Data Entry'!$$798), "", 'Data Entry'!$$798)</f>
      </c>
      <c r="CO798">
        <f>IF(ISBLANK('Data Entry'!$$798), "", 'Data Entry'!$$798)</f>
      </c>
      <c r="CP798">
        <f>IF(ISBLANK('Data Entry'!$$798), "", 'Data Entry'!$$798)</f>
      </c>
      <c r="CQ798">
        <f>IF(ISBLANK('Data Entry'!$$798), "", 'Data Entry'!$$798)</f>
      </c>
      <c r="CR798">
        <f>IF(ISBLANK('Data Entry'!$ $798), "", 'Data Entry'!$ $798)</f>
      </c>
      <c r="CS798">
        <f>IF(ISBLANK('Data Entry'!$¡$798), "", 'Data Entry'!$¡$798)</f>
      </c>
      <c r="CT798">
        <f>IF(ISBLANK('Data Entry'!$¢$798), "", 'Data Entry'!$¢$798)</f>
      </c>
      <c r="CU798">
        <f>IF(ISBLANK('Data Entry'!$£$798), "", 'Data Entry'!$£$798)</f>
      </c>
      <c r="CV798">
        <f>IF(ISBLANK('Data Entry'!$¤$798), "", 'Data Entry'!$¤$798)</f>
      </c>
      <c r="CW798">
        <f>IF(ISBLANK('Data Entry'!$¥$798), "", 'Data Entry'!$¥$798)</f>
      </c>
      <c r="CX798">
        <f>IF(ISBLANK('Data Entry'!$¦$798), "", 'Data Entry'!$¦$798)</f>
      </c>
      <c r="CY798">
        <f>IF(ISBLANK('Data Entry'!$§$798), "", 'Data Entry'!$§$798)</f>
      </c>
      <c r="CZ798">
        <f>IF(ISBLANK('Data Entry'!$¨$798), "", 'Data Entry'!$¨$798)</f>
      </c>
      <c r="DA798">
        <f>IF(ISBLANK('Data Entry'!$©$798), "", 'Data Entry'!$©$798)</f>
      </c>
      <c r="DB798">
        <f>IF(ISBLANK('Data Entry'!$ª$798), "", 'Data Entry'!$ª$798)</f>
      </c>
      <c r="DC798">
        <f>IF(ISBLANK('Data Entry'!$«$798), "", 'Data Entry'!$«$798)</f>
      </c>
      <c r="DD798">
        <f>IF(ISBLANK('Data Entry'!$¬$798), "", 'Data Entry'!$¬$798)</f>
      </c>
      <c r="DE798">
        <f>IF(ISBLANK('Data Entry'!$­$798), "", 'Data Entry'!$­$798)</f>
      </c>
      <c r="DF798">
        <f>IF(ISBLANK('Data Entry'!$®$798), "", 'Data Entry'!$®$798)</f>
      </c>
      <c r="DG798">
        <f>IF(ISBLANK('Data Entry'!$¯$798), "", 'Data Entry'!$¯$798)</f>
      </c>
      <c r="DH798">
        <f>IF(ISBLANK('Data Entry'!$°$798), "", 'Data Entry'!$°$798)</f>
      </c>
      <c r="DI798">
        <f>IF(ISBLANK('Data Entry'!$±$798), "", 'Data Entry'!$±$798)</f>
      </c>
      <c r="DJ798">
        <f>IF(ISBLANK('Data Entry'!$²$798), "", 'Data Entry'!$²$798)</f>
      </c>
      <c r="DK798">
        <f>IF(ISBLANK('Data Entry'!$³$798), "", 'Data Entry'!$³$798)</f>
      </c>
      <c r="DL798">
        <f>IF(ISBLANK('Data Entry'!$´$798), "", 'Data Entry'!$´$798)</f>
      </c>
      <c r="DM798">
        <f>IF(ISBLANK('Data Entry'!$µ$798), "", 'Data Entry'!$µ$798)</f>
      </c>
      <c r="DN798">
        <f>IF(ISBLANK('Data Entry'!$¶$798), "", 'Data Entry'!$¶$798)</f>
      </c>
      <c r="DO798">
        <f>IF(ISBLANK('Data Entry'!$·$798), "", 'Data Entry'!$·$798)</f>
      </c>
      <c r="DP798">
        <f>IF(ISBLANK('Data Entry'!$¸$798), "", 'Data Entry'!$¸$798)</f>
      </c>
      <c r="DQ798">
        <f>IF(ISBLANK('Data Entry'!$¹$798), "", 'Data Entry'!$¹$798)</f>
      </c>
      <c r="DR798">
        <f>IF(ISBLANK('Data Entry'!$º$798), "", 'Data Entry'!$º$798)</f>
      </c>
      <c r="DS798">
        <f>IF(ISBLANK('Data Entry'!$»$798), "", 'Data Entry'!$»$798)</f>
      </c>
      <c r="DT798">
        <f>IF(ISBLANK('Data Entry'!$¼$798), "", 'Data Entry'!$¼$798)</f>
      </c>
      <c r="DU798">
        <f>IF(ISBLANK('Data Entry'!$½$798), "", 'Data Entry'!$½$798)</f>
      </c>
      <c r="DV798">
        <f>IF(ISBLANK('Data Entry'!$¾$798), "", 'Data Entry'!$¾$798)</f>
      </c>
      <c r="DW798">
        <f>IF(ISBLANK('Data Entry'!$¿$798), "", 'Data Entry'!$¿$798)</f>
      </c>
      <c r="DX798">
        <f>IF(ISBLANK('Data Entry'!$À$798), "", 'Data Entry'!$À$798)</f>
      </c>
      <c r="DY798">
        <f>IF(ISBLANK('Data Entry'!$Á$798), "", 'Data Entry'!$Á$798)</f>
      </c>
      <c r="DZ798">
        <f>IF(ISBLANK('Data Entry'!$Â$798), "", 'Data Entry'!$Â$798)</f>
      </c>
      <c r="EA798">
        <f>IF(ISBLANK('Data Entry'!$Ã$798), "", 'Data Entry'!$Ã$798)</f>
      </c>
      <c r="EB798">
        <f>IF(ISBLANK('Data Entry'!$Ä$798), "", 'Data Entry'!$Ä$798)</f>
      </c>
      <c r="EC798">
        <f>IF(ISBLANK('Data Entry'!$Å$798), "", 'Data Entry'!$Å$798)</f>
      </c>
      <c r="ED798">
        <f>IF(ISBLANK('Data Entry'!$Æ$798), "", 'Data Entry'!$Æ$798)</f>
      </c>
      <c r="EE798">
        <f>IF(ISBLANK('Data Entry'!$Ç$798), "", 'Data Entry'!$Ç$798)</f>
      </c>
      <c r="EF798">
        <f>IF(ISBLANK('Data Entry'!$È$798), "", 'Data Entry'!$È$798)</f>
      </c>
      <c r="EG798">
        <f>IF(ISBLANK('Data Entry'!$É$798), "", 'Data Entry'!$É$798)</f>
      </c>
      <c r="EH798">
        <f>IF(ISBLANK('Data Entry'!$Ê$798), "", 'Data Entry'!$Ê$798)</f>
      </c>
      <c r="EI798">
        <f>IF(ISBLANK('Data Entry'!$Ë$798), "", 'Data Entry'!$Ë$798)</f>
      </c>
      <c r="EJ798">
        <f>IF(ISBLANK('Data Entry'!$Ì$798), "", 'Data Entry'!$Ì$798)</f>
      </c>
      <c r="EK798">
        <f>IF(ISBLANK('Data Entry'!$Í$798), "", 'Data Entry'!$Í$798)</f>
      </c>
      <c r="EL798">
        <f>IF(ISBLANK('Data Entry'!$Î$798), "", 'Data Entry'!$Î$798)</f>
      </c>
      <c r="EM798">
        <f>IF(ISBLANK('Data Entry'!$Ï$798), "", 'Data Entry'!$Ï$798)</f>
      </c>
      <c r="EN798">
        <f>IF(ISBLANK('Data Entry'!$Ð$798), "", 'Data Entry'!$Ð$798)</f>
      </c>
      <c r="EO798">
        <f>IF(ISBLANK('Data Entry'!$Ñ$798), "", 'Data Entry'!$Ñ$798)</f>
      </c>
      <c r="EP798">
        <f>IF(ISBLANK('Data Entry'!$Ò$798), "", 'Data Entry'!$Ò$798)</f>
      </c>
      <c r="EQ798">
        <f>IF(ISBLANK('Data Entry'!$Ó$798), "", 'Data Entry'!$Ó$798)</f>
      </c>
      <c r="ER798">
        <f>IF(ISBLANK('Data Entry'!$Ô$798), "", 'Data Entry'!$Ô$798)</f>
      </c>
      <c r="ES798">
        <f>IF(ISBLANK('Data Entry'!$Õ$798), "", 'Data Entry'!$Õ$798)</f>
      </c>
      <c r="ET798">
        <f>IF(ISBLANK('Data Entry'!$Ö$798), "", 'Data Entry'!$Ö$798)</f>
      </c>
      <c r="EU798">
        <f>IF(ISBLANK('Data Entry'!$×$798), "", 'Data Entry'!$×$798)</f>
      </c>
      <c r="EV798">
        <f>IF(ISBLANK('Data Entry'!$Ø$798), "", 'Data Entry'!$Ø$798)</f>
      </c>
      <c r="EW798">
        <f>IF(ISBLANK('Data Entry'!$Ù$798), "", 'Data Entry'!$Ù$798)</f>
      </c>
      <c r="EX798">
        <f>IF(ISBLANK('Data Entry'!$Ú$798), "", 'Data Entry'!$Ú$798)</f>
      </c>
      <c r="EY798">
        <f>IF(ISBLANK('Data Entry'!$Û$798), "", 'Data Entry'!$Û$798)</f>
      </c>
      <c r="EZ798">
        <f>IF(ISBLANK('Data Entry'!$Ü$798), "", 'Data Entry'!$Ü$798)</f>
      </c>
      <c r="FA798">
        <f>IF(ISBLANK('Data Entry'!$Ý$798), "", 'Data Entry'!$Ý$798)</f>
      </c>
      <c r="FB798">
        <f>IF(ISBLANK('Data Entry'!$Þ$798), "", 'Data Entry'!$Þ$798)</f>
      </c>
      <c r="FC798">
        <f>IF(ISBLANK('Data Entry'!$ß$798), "", 'Data Entry'!$ß$798)</f>
      </c>
      <c r="FD798">
        <f>IF(ISBLANK('Data Entry'!$à$798), "", 'Data Entry'!$à$798)</f>
      </c>
      <c r="FE798">
        <f>IF(ISBLANK('Data Entry'!$á$798), "", 'Data Entry'!$á$798)</f>
      </c>
      <c r="FF798">
        <f>IF(ISBLANK('Data Entry'!$â$798), "", 'Data Entry'!$â$798)</f>
      </c>
      <c r="FG798">
        <f>IF(ISBLANK('Data Entry'!$ã$798), "", 'Data Entry'!$ã$798)</f>
      </c>
      <c r="FH798">
        <f>IF(ISBLANK('Data Entry'!$ä$798), "", 'Data Entry'!$ä$798)</f>
      </c>
      <c r="FI798">
        <f>IF(ISBLANK('Data Entry'!$å$798), "", 'Data Entry'!$å$798)</f>
      </c>
      <c r="FJ798">
        <f>IF(ISBLANK('Data Entry'!$æ$798), "", 'Data Entry'!$æ$798)</f>
      </c>
      <c r="FK798">
        <f>IF(ISBLANK('Data Entry'!$ç$798), "", 'Data Entry'!$ç$798)</f>
      </c>
      <c r="FL798">
        <f>IF(ISBLANK('Data Entry'!$è$798), "", 'Data Entry'!$è$798)</f>
      </c>
      <c r="FM798">
        <f>IF(ISBLANK('Data Entry'!$é$798), "", 'Data Entry'!$é$798)</f>
      </c>
      <c r="FN798">
        <f>IF(ISBLANK('Data Entry'!$ê$798), "", 'Data Entry'!$ê$798)</f>
      </c>
      <c r="FO798">
        <f>IF(ISBLANK('Data Entry'!$ë$798), "", 'Data Entry'!$ë$798)</f>
      </c>
      <c r="FP798">
        <f>IF(ISBLANK('Data Entry'!$ì$798), "", 'Data Entry'!$ì$798)</f>
      </c>
      <c r="FQ798">
        <f>IF(ISBLANK('Data Entry'!$í$798), "", 'Data Entry'!$í$798)</f>
      </c>
      <c r="FR798">
        <f>IF(ISBLANK('Data Entry'!$î$798), "", 'Data Entry'!$î$798)</f>
      </c>
      <c r="FS798">
        <f>IF(ISBLANK('Data Entry'!$ï$798), "", 'Data Entry'!$ï$798)</f>
      </c>
      <c r="FT798">
        <f>IF(ISBLANK('Data Entry'!$ð$798), "", 'Data Entry'!$ð$798)</f>
      </c>
      <c r="FU798">
        <f>IF(ISBLANK('Data Entry'!$ñ$798), "", 'Data Entry'!$ñ$798)</f>
      </c>
      <c r="FV798">
        <f>IF(ISBLANK('Data Entry'!$ò$798), "", 'Data Entry'!$ò$798)</f>
      </c>
      <c r="FW798">
        <f>IF(ISBLANK('Data Entry'!$ó$798), "", 'Data Entry'!$ó$798)</f>
      </c>
      <c r="FX798">
        <f>IF(ISBLANK('Data Entry'!$ô$798), "", 'Data Entry'!$ô$798)</f>
      </c>
      <c r="FY798">
        <f>IF(ISBLANK('Data Entry'!$õ$798), "", 'Data Entry'!$õ$798)</f>
      </c>
      <c r="FZ798">
        <f>IF(ISBLANK('Data Entry'!$ö$798), "", 'Data Entry'!$ö$798)</f>
      </c>
      <c r="GA798">
        <f>IF(ISBLANK('Data Entry'!$÷$798), "", 'Data Entry'!$÷$798)</f>
      </c>
      <c r="GB798">
        <f>IF(ISBLANK('Data Entry'!$ø$798), "", 'Data Entry'!$ø$798)</f>
      </c>
      <c r="GC798">
        <f>IF(ISBLANK('Data Entry'!$ù$798), "", 'Data Entry'!$ù$798)</f>
      </c>
      <c r="GD798">
        <f>IF(ISBLANK('Data Entry'!$ú$798), "", 'Data Entry'!$ú$798)</f>
      </c>
      <c r="GE798">
        <f>IF(ISBLANK('Data Entry'!$û$798), "", 'Data Entry'!$û$798)</f>
      </c>
      <c r="GF798">
        <f>IF(ISBLANK('Data Entry'!$ü$798), "", 'Data Entry'!$ü$798)</f>
      </c>
      <c r="GG798">
        <f>IF(ISBLANK('Data Entry'!$ý$798), "", 'Data Entry'!$ý$798)</f>
      </c>
      <c r="GH798">
        <f>IF(ISBLANK('Data Entry'!$þ$798), "", 'Data Entry'!$þ$798)</f>
      </c>
      <c r="GI798">
        <f>IF(ISBLANK('Data Entry'!$ÿ$798), "", 'Data Entry'!$ÿ$798)</f>
      </c>
      <c r="GJ798">
        <f>IF(ISBLANK('Data Entry'!$Ā$798), "", 'Data Entry'!$Ā$798)</f>
      </c>
      <c r="GK798">
        <f>IF(ISBLANK('Data Entry'!$ā$798), "", 'Data Entry'!$ā$798)</f>
      </c>
      <c r="GL798">
        <f>IF(ISBLANK('Data Entry'!$Ă$798), "", 'Data Entry'!$Ă$798)</f>
      </c>
      <c r="GM798">
        <f>IF(ISBLANK('Data Entry'!$ă$798), "", 'Data Entry'!$ă$798)</f>
      </c>
      <c r="GN798">
        <f>IF(ISBLANK('Data Entry'!$Ą$798), "", 'Data Entry'!$Ą$798)</f>
      </c>
      <c r="GO798">
        <f>IF(ISBLANK('Data Entry'!$ą$798), "", 'Data Entry'!$ą$798)</f>
      </c>
      <c r="GP798">
        <f>IF(ISBLANK('Data Entry'!$Ć$798), "", 'Data Entry'!$Ć$798)</f>
      </c>
      <c r="GQ798">
        <f>IF(ISBLANK('Data Entry'!$ć$798), "", 'Data Entry'!$ć$798)</f>
      </c>
      <c r="GR798">
        <f>IF(ISBLANK('Data Entry'!$Ĉ$798), "", 'Data Entry'!$Ĉ$798)</f>
      </c>
      <c r="GS798">
        <f>IF(ISBLANK('Data Entry'!$ĉ$798), "", 'Data Entry'!$ĉ$798)</f>
      </c>
      <c r="GT798">
        <f>IF(ISBLANK('Data Entry'!$Ċ$798), "", 'Data Entry'!$Ċ$798)</f>
      </c>
      <c r="GU798">
        <f>IF(ISBLANK('Data Entry'!$ċ$798), "", 'Data Entry'!$ċ$798)</f>
      </c>
      <c r="GV798">
        <f>IF(ISBLANK('Data Entry'!$Č$798), "", 'Data Entry'!$Č$798)</f>
      </c>
      <c r="GW798">
        <f>IF(ISBLANK('Data Entry'!$č$798), "", 'Data Entry'!$č$798)</f>
      </c>
      <c r="GX798">
        <f>IF(ISBLANK('Data Entry'!$Ď$798), "", 'Data Entry'!$Ď$798)</f>
      </c>
      <c r="GY798">
        <f>IF(ISBLANK('Data Entry'!$ď$798), "", 'Data Entry'!$ď$798)</f>
      </c>
      <c r="GZ798">
        <f>IF(ISBLANK('Data Entry'!$Đ$798), "", 'Data Entry'!$Đ$798)</f>
      </c>
      <c r="HA798">
        <f>IF(ISBLANK('Data Entry'!$đ$798), "", 'Data Entry'!$đ$798)</f>
      </c>
      <c r="HB798">
        <f>IF(ISBLANK('Data Entry'!$Ē$798), "", 'Data Entry'!$Ē$798)</f>
      </c>
      <c r="HC798">
        <f>IF(ISBLANK('Data Entry'!$ē$798), "", 'Data Entry'!$ē$798)</f>
      </c>
      <c r="HD798">
        <f>IF(ISBLANK('Data Entry'!$Ĕ$798), "", 'Data Entry'!$Ĕ$798)</f>
      </c>
      <c r="HE798">
        <f>IF(ISBLANK('Data Entry'!$ĕ$798), "", 'Data Entry'!$ĕ$798)</f>
      </c>
      <c r="HF798">
        <f>IF(ISBLANK('Data Entry'!$Ė$798), "", 'Data Entry'!$Ė$798)</f>
      </c>
      <c r="HG798">
        <f>IF(ISBLANK('Data Entry'!$ė$798), "", 'Data Entry'!$ė$798)</f>
      </c>
      <c r="HH798">
        <f>IF(ISBLANK('Data Entry'!$Ę$798), "", 'Data Entry'!$Ę$798)</f>
      </c>
      <c r="HI798">
        <f>IF(ISBLANK('Data Entry'!$ę$798), "", 'Data Entry'!$ę$798)</f>
      </c>
      <c r="HJ798">
        <f>IF(ISBLANK('Data Entry'!$Ě$798), "", 'Data Entry'!$Ě$798)</f>
      </c>
      <c r="HK798">
        <f>IF(ISBLANK('Data Entry'!$ě$798), "", 'Data Entry'!$ě$798)</f>
      </c>
      <c r="HL798">
        <f>IF(ISBLANK('Data Entry'!$Ĝ$798), "", 'Data Entry'!$Ĝ$798)</f>
      </c>
      <c r="HM798">
        <f>IF(ISBLANK('Data Entry'!$ĝ$798), "", 'Data Entry'!$ĝ$798)</f>
      </c>
      <c r="HN798">
        <f>IF(ISBLANK('Data Entry'!$Ğ$798), "", 'Data Entry'!$Ğ$798)</f>
      </c>
      <c r="HO798">
        <f>IF(ISBLANK('Data Entry'!$ğ$798), "", 'Data Entry'!$ğ$798)</f>
      </c>
      <c r="HP798">
        <f>IF(ISBLANK('Data Entry'!$Ġ$798), "", 'Data Entry'!$Ġ$798)</f>
      </c>
      <c r="HQ798">
        <f>IF(ISBLANK('Data Entry'!$ġ$798), "", 'Data Entry'!$ġ$798)</f>
      </c>
      <c r="HR798">
        <f>IF(ISBLANK('Data Entry'!$Ģ$798), "", 'Data Entry'!$Ģ$798)</f>
      </c>
      <c r="HS798">
        <f>IF(ISBLANK('Data Entry'!$ģ$798), "", 'Data Entry'!$ģ$798)</f>
      </c>
      <c r="HT798">
        <f>IF(ISBLANK('Data Entry'!$Ĥ$798), "", 'Data Entry'!$Ĥ$798)</f>
      </c>
      <c r="HU798">
        <f>IF(ISBLANK('Data Entry'!$ĥ$798), "", 'Data Entry'!$ĥ$798)</f>
      </c>
      <c r="HV798">
        <f>IF(ISBLANK('Data Entry'!$Ħ$798), "", 'Data Entry'!$Ħ$798)</f>
      </c>
      <c r="HW798">
        <f>IF(ISBLANK('Data Entry'!$ħ$798), "", 'Data Entry'!$ħ$798)</f>
      </c>
      <c r="HX798">
        <f>IF(ISBLANK('Data Entry'!$Ĩ$798), "", 'Data Entry'!$Ĩ$798)</f>
      </c>
      <c r="HY798">
        <f>IF(ISBLANK('Data Entry'!$ĩ$798), "", 'Data Entry'!$ĩ$798)</f>
      </c>
      <c r="HZ798">
        <f>IF(ISBLANK('Data Entry'!$Ī$798), "", 'Data Entry'!$Ī$798)</f>
      </c>
      <c r="IA798">
        <f>IF(ISBLANK('Data Entry'!$ī$798), "", 'Data Entry'!$ī$798)</f>
      </c>
      <c r="IB798">
        <f>IF(ISBLANK('Data Entry'!$Ĭ$798), "", 'Data Entry'!$Ĭ$798)</f>
      </c>
      <c r="IC798">
        <f>IF(ISBLANK('Data Entry'!$ĭ$798), "", 'Data Entry'!$ĭ$798)</f>
      </c>
      <c r="ID798">
        <f>IF(ISBLANK('Data Entry'!$Į$798), "", 'Data Entry'!$Į$798)</f>
      </c>
      <c r="IE798">
        <f>IF(ISBLANK('Data Entry'!$į$798), "", 'Data Entry'!$į$798)</f>
      </c>
      <c r="IF798">
        <f>IF(ISBLANK('Data Entry'!$İ$798), "", 'Data Entry'!$İ$798)</f>
      </c>
      <c r="IG798">
        <f>IF(ISBLANK('Data Entry'!$ı$798), "", 'Data Entry'!$ı$798)</f>
      </c>
      <c r="IH798">
        <f>IF(ISBLANK('Data Entry'!$Ĳ$798), "", 'Data Entry'!$Ĳ$798)</f>
      </c>
      <c r="II798">
        <f>IF(ISBLANK('Data Entry'!$ĳ$798), "", 'Data Entry'!$ĳ$798)</f>
      </c>
      <c r="IJ798">
        <f>IF(ISBLANK('Data Entry'!$Ĵ$798), "", 'Data Entry'!$Ĵ$798)</f>
      </c>
      <c r="IK798">
        <f>IF(ISBLANK('Data Entry'!$ĵ$798), "", 'Data Entry'!$ĵ$798)</f>
      </c>
      <c r="IL798">
        <f>IF(ISBLANK('Data Entry'!$Ķ$798), "", 'Data Entry'!$Ķ$798)</f>
      </c>
      <c r="IM798">
        <f>IF(ISBLANK('Data Entry'!$ķ$798), "", 'Data Entry'!$ķ$798)</f>
      </c>
      <c r="IN798">
        <f>IF(ISBLANK('Data Entry'!$ĸ$798), "", 'Data Entry'!$ĸ$798)</f>
      </c>
      <c r="IO798">
        <f>IF(ISBLANK('Data Entry'!$Ĺ$798), "", 'Data Entry'!$Ĺ$798)</f>
      </c>
      <c r="IP798">
        <f>IF(ISBLANK('Data Entry'!$ĺ$798), "", 'Data Entry'!$ĺ$798)</f>
      </c>
      <c r="IQ798">
        <f>IF(ISBLANK('Data Entry'!$Ļ$798), "", 'Data Entry'!$Ļ$798)</f>
      </c>
      <c r="IR798">
        <f>IF(ISBLANK('Data Entry'!$ļ$798), "", 'Data Entry'!$ļ$798)</f>
      </c>
      <c r="IS798">
        <f>IF(ISBLANK('Data Entry'!$Ľ$798), "", 'Data Entry'!$Ľ$798)</f>
      </c>
      <c r="IT798">
        <f>IF(ISBLANK('Data Entry'!$ľ$798), "", 'Data Entry'!$ľ$798)</f>
      </c>
    </row>
    <row r="799" spans="1:254" x14ac:dyDescent="0.25">
      <c r="A799">
        <f>IF(ISBLANK('Data Entry'!$A$799), "", 'Data Entry'!$A$799)</f>
      </c>
      <c r="B799">
        <f>IF(ISBLANK('Data Entry'!$B$799), "", 'Data Entry'!$B$799)</f>
      </c>
      <c r="C799">
        <f>IF(ISBLANK('Data Entry'!$C$799), "", 'Data Entry'!$C$799)</f>
      </c>
      <c r="D799">
        <f>IF(ISBLANK('Data Entry'!$D$799), "", 'Data Entry'!$D$799)</f>
      </c>
      <c r="E799">
        <f>IF(ISBLANK('Data Entry'!$E$799), "", 'Data Entry'!$E$799)</f>
      </c>
      <c r="F799">
        <f>IF(ISBLANK('Data Entry'!$F$799), "", 'Data Entry'!$F$799)</f>
      </c>
      <c r="G799">
        <f>IF(ISBLANK('Data Entry'!$G$799), "", 'Data Entry'!$G$799)</f>
      </c>
      <c r="H799">
        <f>IF(ISBLANK('Data Entry'!$H$799), "", 'Data Entry'!$H$799)</f>
      </c>
      <c r="I799">
        <f>IF(ISBLANK('Data Entry'!$I$799), "", 'Data Entry'!$I$799)</f>
      </c>
      <c r="J799">
        <f>IF(ISBLANK('Data Entry'!$J$799), "", 'Data Entry'!$J$799)</f>
      </c>
      <c r="K799">
        <f>IF(ISBLANK('Data Entry'!$K$799), "", 'Data Entry'!$K$799)</f>
      </c>
      <c r="L799">
        <f>IF(ISBLANK('Data Entry'!$L$799), "", 'Data Entry'!$L$799)</f>
      </c>
      <c r="M799">
        <f>IF(ISBLANK('Data Entry'!$M$799), "", 'Data Entry'!$M$799)</f>
      </c>
      <c r="N799">
        <f>IF(ISBLANK('Data Entry'!$N$799), "", 'Data Entry'!$N$799)</f>
      </c>
      <c r="O799">
        <f>IF(ISBLANK('Data Entry'!$O$799), "", 'Data Entry'!$O$799)</f>
      </c>
      <c r="P799">
        <f>IF(ISBLANK('Data Entry'!$P$799), "", 'Data Entry'!$P$799)</f>
      </c>
      <c r="Q799">
        <f>IF(ISBLANK('Data Entry'!$Q$799), "", 'Data Entry'!$Q$799)</f>
      </c>
      <c r="R799">
        <f>IF(ISBLANK('Data Entry'!$R$799), "", 'Data Entry'!$R$799)</f>
      </c>
      <c r="S799">
        <f>IF(ISBLANK('Data Entry'!$S$799), "", 'Data Entry'!$S$799)</f>
      </c>
      <c r="T799">
        <f>IF(ISBLANK('Data Entry'!$T$799), "", 'Data Entry'!$T$799)</f>
      </c>
      <c r="U799">
        <f>IF(ISBLANK('Data Entry'!$U$799), "", 'Data Entry'!$U$799)</f>
      </c>
      <c r="V799">
        <f>IF(ISBLANK('Data Entry'!$V$799), "", 'Data Entry'!$V$799)</f>
      </c>
      <c r="W799">
        <f>IF(ISBLANK('Data Entry'!$W$799), "", 'Data Entry'!$W$799)</f>
      </c>
      <c r="X799">
        <f>IF(ISBLANK('Data Entry'!$X$799), "", 'Data Entry'!$X$799)</f>
      </c>
      <c r="Y799">
        <f>IF(ISBLANK('Data Entry'!$Y$799), "", 'Data Entry'!$Y$799)</f>
      </c>
      <c r="Z799">
        <f>IF(ISBLANK('Data Entry'!$Z$799), "", 'Data Entry'!$Z$799)</f>
      </c>
      <c r="AA799">
        <f>IF(ISBLANK('Data Entry'!$[$799), "", 'Data Entry'!$[$799)</f>
      </c>
      <c r="AB799">
        <f>IF(ISBLANK('Data Entry'!$\$799), "", 'Data Entry'!$\$799)</f>
      </c>
      <c r="AC799">
        <f>IF(ISBLANK('Data Entry'!$]$799), "", 'Data Entry'!$]$799)</f>
      </c>
      <c r="AD799">
        <f>IF(ISBLANK('Data Entry'!$^$799), "", 'Data Entry'!$^$799)</f>
      </c>
      <c r="AE799">
        <f>IF(ISBLANK('Data Entry'!$_$799), "", 'Data Entry'!$_$799)</f>
      </c>
      <c r="AF799">
        <f>IF(ISBLANK('Data Entry'!$`$799), "", 'Data Entry'!$`$799)</f>
      </c>
      <c r="AG799">
        <f>IF(ISBLANK('Data Entry'!$a$799), "", 'Data Entry'!$a$799)</f>
      </c>
      <c r="AH799">
        <f>IF(ISBLANK('Data Entry'!$b$799), "", 'Data Entry'!$b$799)</f>
      </c>
      <c r="AI799">
        <f>IF(ISBLANK('Data Entry'!$c$799), "", 'Data Entry'!$c$799)</f>
      </c>
      <c r="AJ799">
        <f>IF(ISBLANK('Data Entry'!$d$799), "", 'Data Entry'!$d$799)</f>
      </c>
      <c r="AK799">
        <f>IF(ISBLANK('Data Entry'!$e$799), "", 'Data Entry'!$e$799)</f>
      </c>
      <c r="AL799">
        <f>IF(ISBLANK('Data Entry'!$f$799), "", 'Data Entry'!$f$799)</f>
      </c>
      <c r="AM799">
        <f>IF(ISBLANK('Data Entry'!$g$799), "", 'Data Entry'!$g$799)</f>
      </c>
      <c r="AN799">
        <f>IF(ISBLANK('Data Entry'!$h$799), "", 'Data Entry'!$h$799)</f>
      </c>
      <c r="AO799">
        <f>IF(ISBLANK('Data Entry'!$i$799), "", 'Data Entry'!$i$799)</f>
      </c>
      <c r="AP799">
        <f>IF(ISBLANK('Data Entry'!$j$799), "", 'Data Entry'!$j$799)</f>
      </c>
      <c r="AQ799">
        <f>IF(ISBLANK('Data Entry'!$k$799), "", 'Data Entry'!$k$799)</f>
      </c>
      <c r="AR799">
        <f>IF(ISBLANK('Data Entry'!$l$799), "", 'Data Entry'!$l$799)</f>
      </c>
      <c r="AS799">
        <f>IF(ISBLANK('Data Entry'!$m$799), "", 'Data Entry'!$m$799)</f>
      </c>
      <c r="AT799">
        <f>IF(ISBLANK('Data Entry'!$n$799), "", 'Data Entry'!$n$799)</f>
      </c>
      <c r="AU799">
        <f>IF(ISBLANK('Data Entry'!$o$799), "", 'Data Entry'!$o$799)</f>
      </c>
      <c r="AV799">
        <f>IF(ISBLANK('Data Entry'!$p$799), "", 'Data Entry'!$p$799)</f>
      </c>
      <c r="AW799">
        <f>IF(ISBLANK('Data Entry'!$q$799), "", 'Data Entry'!$q$799)</f>
      </c>
      <c r="AX799">
        <f>IF(ISBLANK('Data Entry'!$r$799), "", 'Data Entry'!$r$799)</f>
      </c>
      <c r="AY799">
        <f>IF(ISBLANK('Data Entry'!$s$799), "", 'Data Entry'!$s$799)</f>
      </c>
      <c r="AZ799">
        <f>IF(ISBLANK('Data Entry'!$t$799), "", 'Data Entry'!$t$799)</f>
      </c>
      <c r="BA799">
        <f>IF(ISBLANK('Data Entry'!$u$799), "", 'Data Entry'!$u$799)</f>
      </c>
      <c r="BB799">
        <f>IF(ISBLANK('Data Entry'!$v$799), "", 'Data Entry'!$v$799)</f>
      </c>
      <c r="BC799">
        <f>IF(ISBLANK('Data Entry'!$w$799), "", 'Data Entry'!$w$799)</f>
      </c>
      <c r="BD799">
        <f>IF(ISBLANK('Data Entry'!$x$799), "", 'Data Entry'!$x$799)</f>
      </c>
      <c r="BE799">
        <f>IF(ISBLANK('Data Entry'!$y$799), "", 'Data Entry'!$y$799)</f>
      </c>
      <c r="BF799">
        <f>IF(ISBLANK('Data Entry'!$z$799), "", 'Data Entry'!$z$799)</f>
      </c>
      <c r="BG799">
        <f>IF(ISBLANK('Data Entry'!${$799), "", 'Data Entry'!${$799)</f>
      </c>
      <c r="BH799">
        <f>IF(ISBLANK('Data Entry'!$|$799), "", 'Data Entry'!$|$799)</f>
      </c>
      <c r="BI799">
        <f>IF(ISBLANK('Data Entry'!$}$799), "", 'Data Entry'!$}$799)</f>
      </c>
      <c r="BJ799">
        <f>IF(ISBLANK('Data Entry'!$~$799), "", 'Data Entry'!$~$799)</f>
      </c>
      <c r="BK799">
        <f>IF(ISBLANK('Data Entry'!$$799), "", 'Data Entry'!$$799)</f>
      </c>
      <c r="BL799">
        <f>IF(ISBLANK('Data Entry'!$$799), "", 'Data Entry'!$$799)</f>
      </c>
      <c r="BM799">
        <f>IF(ISBLANK('Data Entry'!$$799), "", 'Data Entry'!$$799)</f>
      </c>
      <c r="BN799">
        <f>IF(ISBLANK('Data Entry'!$$799), "", 'Data Entry'!$$799)</f>
      </c>
      <c r="BO799">
        <f>IF(ISBLANK('Data Entry'!$$799), "", 'Data Entry'!$$799)</f>
      </c>
      <c r="BP799">
        <f>IF(ISBLANK('Data Entry'!$$799), "", 'Data Entry'!$$799)</f>
      </c>
      <c r="BQ799">
        <f>IF(ISBLANK('Data Entry'!$$799), "", 'Data Entry'!$$799)</f>
      </c>
      <c r="BR799">
        <f>IF(ISBLANK('Data Entry'!$$799), "", 'Data Entry'!$$799)</f>
      </c>
      <c r="BS799">
        <f>IF(ISBLANK('Data Entry'!$$799), "", 'Data Entry'!$$799)</f>
      </c>
      <c r="BT799">
        <f>IF(ISBLANK('Data Entry'!$$799), "", 'Data Entry'!$$799)</f>
      </c>
      <c r="BU799">
        <f>IF(ISBLANK('Data Entry'!$$799), "", 'Data Entry'!$$799)</f>
      </c>
      <c r="BV799">
        <f>IF(ISBLANK('Data Entry'!$$799), "", 'Data Entry'!$$799)</f>
      </c>
      <c r="BW799">
        <f>IF(ISBLANK('Data Entry'!$$799), "", 'Data Entry'!$$799)</f>
      </c>
      <c r="BX799">
        <f>IF(ISBLANK('Data Entry'!$$799), "", 'Data Entry'!$$799)</f>
      </c>
      <c r="BY799">
        <f>IF(ISBLANK('Data Entry'!$$799), "", 'Data Entry'!$$799)</f>
      </c>
      <c r="BZ799">
        <f>IF(ISBLANK('Data Entry'!$$799), "", 'Data Entry'!$$799)</f>
      </c>
      <c r="CA799">
        <f>IF(ISBLANK('Data Entry'!$$799), "", 'Data Entry'!$$799)</f>
      </c>
      <c r="CB799">
        <f>IF(ISBLANK('Data Entry'!$$799), "", 'Data Entry'!$$799)</f>
      </c>
      <c r="CC799">
        <f>IF(ISBLANK('Data Entry'!$$799), "", 'Data Entry'!$$799)</f>
      </c>
      <c r="CD799">
        <f>IF(ISBLANK('Data Entry'!$$799), "", 'Data Entry'!$$799)</f>
      </c>
      <c r="CE799">
        <f>IF(ISBLANK('Data Entry'!$$799), "", 'Data Entry'!$$799)</f>
      </c>
      <c r="CF799">
        <f>IF(ISBLANK('Data Entry'!$$799), "", 'Data Entry'!$$799)</f>
      </c>
      <c r="CG799">
        <f>IF(ISBLANK('Data Entry'!$$799), "", 'Data Entry'!$$799)</f>
      </c>
      <c r="CH799">
        <f>IF(ISBLANK('Data Entry'!$$799), "", 'Data Entry'!$$799)</f>
      </c>
      <c r="CI799">
        <f>IF(ISBLANK('Data Entry'!$$799), "", 'Data Entry'!$$799)</f>
      </c>
      <c r="CJ799">
        <f>IF(ISBLANK('Data Entry'!$$799), "", 'Data Entry'!$$799)</f>
      </c>
      <c r="CK799">
        <f>IF(ISBLANK('Data Entry'!$$799), "", 'Data Entry'!$$799)</f>
      </c>
      <c r="CL799">
        <f>IF(ISBLANK('Data Entry'!$$799), "", 'Data Entry'!$$799)</f>
      </c>
      <c r="CM799">
        <f>IF(ISBLANK('Data Entry'!$$799), "", 'Data Entry'!$$799)</f>
      </c>
      <c r="CN799">
        <f>IF(ISBLANK('Data Entry'!$$799), "", 'Data Entry'!$$799)</f>
      </c>
      <c r="CO799">
        <f>IF(ISBLANK('Data Entry'!$$799), "", 'Data Entry'!$$799)</f>
      </c>
      <c r="CP799">
        <f>IF(ISBLANK('Data Entry'!$$799), "", 'Data Entry'!$$799)</f>
      </c>
      <c r="CQ799">
        <f>IF(ISBLANK('Data Entry'!$$799), "", 'Data Entry'!$$799)</f>
      </c>
      <c r="CR799">
        <f>IF(ISBLANK('Data Entry'!$ $799), "", 'Data Entry'!$ $799)</f>
      </c>
      <c r="CS799">
        <f>IF(ISBLANK('Data Entry'!$¡$799), "", 'Data Entry'!$¡$799)</f>
      </c>
      <c r="CT799">
        <f>IF(ISBLANK('Data Entry'!$¢$799), "", 'Data Entry'!$¢$799)</f>
      </c>
      <c r="CU799">
        <f>IF(ISBLANK('Data Entry'!$£$799), "", 'Data Entry'!$£$799)</f>
      </c>
      <c r="CV799">
        <f>IF(ISBLANK('Data Entry'!$¤$799), "", 'Data Entry'!$¤$799)</f>
      </c>
      <c r="CW799">
        <f>IF(ISBLANK('Data Entry'!$¥$799), "", 'Data Entry'!$¥$799)</f>
      </c>
      <c r="CX799">
        <f>IF(ISBLANK('Data Entry'!$¦$799), "", 'Data Entry'!$¦$799)</f>
      </c>
      <c r="CY799">
        <f>IF(ISBLANK('Data Entry'!$§$799), "", 'Data Entry'!$§$799)</f>
      </c>
      <c r="CZ799">
        <f>IF(ISBLANK('Data Entry'!$¨$799), "", 'Data Entry'!$¨$799)</f>
      </c>
      <c r="DA799">
        <f>IF(ISBLANK('Data Entry'!$©$799), "", 'Data Entry'!$©$799)</f>
      </c>
      <c r="DB799">
        <f>IF(ISBLANK('Data Entry'!$ª$799), "", 'Data Entry'!$ª$799)</f>
      </c>
      <c r="DC799">
        <f>IF(ISBLANK('Data Entry'!$«$799), "", 'Data Entry'!$«$799)</f>
      </c>
      <c r="DD799">
        <f>IF(ISBLANK('Data Entry'!$¬$799), "", 'Data Entry'!$¬$799)</f>
      </c>
      <c r="DE799">
        <f>IF(ISBLANK('Data Entry'!$­$799), "", 'Data Entry'!$­$799)</f>
      </c>
      <c r="DF799">
        <f>IF(ISBLANK('Data Entry'!$®$799), "", 'Data Entry'!$®$799)</f>
      </c>
      <c r="DG799">
        <f>IF(ISBLANK('Data Entry'!$¯$799), "", 'Data Entry'!$¯$799)</f>
      </c>
      <c r="DH799">
        <f>IF(ISBLANK('Data Entry'!$°$799), "", 'Data Entry'!$°$799)</f>
      </c>
      <c r="DI799">
        <f>IF(ISBLANK('Data Entry'!$±$799), "", 'Data Entry'!$±$799)</f>
      </c>
      <c r="DJ799">
        <f>IF(ISBLANK('Data Entry'!$²$799), "", 'Data Entry'!$²$799)</f>
      </c>
      <c r="DK799">
        <f>IF(ISBLANK('Data Entry'!$³$799), "", 'Data Entry'!$³$799)</f>
      </c>
      <c r="DL799">
        <f>IF(ISBLANK('Data Entry'!$´$799), "", 'Data Entry'!$´$799)</f>
      </c>
      <c r="DM799">
        <f>IF(ISBLANK('Data Entry'!$µ$799), "", 'Data Entry'!$µ$799)</f>
      </c>
      <c r="DN799">
        <f>IF(ISBLANK('Data Entry'!$¶$799), "", 'Data Entry'!$¶$799)</f>
      </c>
      <c r="DO799">
        <f>IF(ISBLANK('Data Entry'!$·$799), "", 'Data Entry'!$·$799)</f>
      </c>
      <c r="DP799">
        <f>IF(ISBLANK('Data Entry'!$¸$799), "", 'Data Entry'!$¸$799)</f>
      </c>
      <c r="DQ799">
        <f>IF(ISBLANK('Data Entry'!$¹$799), "", 'Data Entry'!$¹$799)</f>
      </c>
      <c r="DR799">
        <f>IF(ISBLANK('Data Entry'!$º$799), "", 'Data Entry'!$º$799)</f>
      </c>
      <c r="DS799">
        <f>IF(ISBLANK('Data Entry'!$»$799), "", 'Data Entry'!$»$799)</f>
      </c>
      <c r="DT799">
        <f>IF(ISBLANK('Data Entry'!$¼$799), "", 'Data Entry'!$¼$799)</f>
      </c>
      <c r="DU799">
        <f>IF(ISBLANK('Data Entry'!$½$799), "", 'Data Entry'!$½$799)</f>
      </c>
      <c r="DV799">
        <f>IF(ISBLANK('Data Entry'!$¾$799), "", 'Data Entry'!$¾$799)</f>
      </c>
      <c r="DW799">
        <f>IF(ISBLANK('Data Entry'!$¿$799), "", 'Data Entry'!$¿$799)</f>
      </c>
      <c r="DX799">
        <f>IF(ISBLANK('Data Entry'!$À$799), "", 'Data Entry'!$À$799)</f>
      </c>
      <c r="DY799">
        <f>IF(ISBLANK('Data Entry'!$Á$799), "", 'Data Entry'!$Á$799)</f>
      </c>
      <c r="DZ799">
        <f>IF(ISBLANK('Data Entry'!$Â$799), "", 'Data Entry'!$Â$799)</f>
      </c>
      <c r="EA799">
        <f>IF(ISBLANK('Data Entry'!$Ã$799), "", 'Data Entry'!$Ã$799)</f>
      </c>
      <c r="EB799">
        <f>IF(ISBLANK('Data Entry'!$Ä$799), "", 'Data Entry'!$Ä$799)</f>
      </c>
      <c r="EC799">
        <f>IF(ISBLANK('Data Entry'!$Å$799), "", 'Data Entry'!$Å$799)</f>
      </c>
      <c r="ED799">
        <f>IF(ISBLANK('Data Entry'!$Æ$799), "", 'Data Entry'!$Æ$799)</f>
      </c>
      <c r="EE799">
        <f>IF(ISBLANK('Data Entry'!$Ç$799), "", 'Data Entry'!$Ç$799)</f>
      </c>
      <c r="EF799">
        <f>IF(ISBLANK('Data Entry'!$È$799), "", 'Data Entry'!$È$799)</f>
      </c>
      <c r="EG799">
        <f>IF(ISBLANK('Data Entry'!$É$799), "", 'Data Entry'!$É$799)</f>
      </c>
      <c r="EH799">
        <f>IF(ISBLANK('Data Entry'!$Ê$799), "", 'Data Entry'!$Ê$799)</f>
      </c>
      <c r="EI799">
        <f>IF(ISBLANK('Data Entry'!$Ë$799), "", 'Data Entry'!$Ë$799)</f>
      </c>
      <c r="EJ799">
        <f>IF(ISBLANK('Data Entry'!$Ì$799), "", 'Data Entry'!$Ì$799)</f>
      </c>
      <c r="EK799">
        <f>IF(ISBLANK('Data Entry'!$Í$799), "", 'Data Entry'!$Í$799)</f>
      </c>
      <c r="EL799">
        <f>IF(ISBLANK('Data Entry'!$Î$799), "", 'Data Entry'!$Î$799)</f>
      </c>
      <c r="EM799">
        <f>IF(ISBLANK('Data Entry'!$Ï$799), "", 'Data Entry'!$Ï$799)</f>
      </c>
      <c r="EN799">
        <f>IF(ISBLANK('Data Entry'!$Ð$799), "", 'Data Entry'!$Ð$799)</f>
      </c>
      <c r="EO799">
        <f>IF(ISBLANK('Data Entry'!$Ñ$799), "", 'Data Entry'!$Ñ$799)</f>
      </c>
      <c r="EP799">
        <f>IF(ISBLANK('Data Entry'!$Ò$799), "", 'Data Entry'!$Ò$799)</f>
      </c>
      <c r="EQ799">
        <f>IF(ISBLANK('Data Entry'!$Ó$799), "", 'Data Entry'!$Ó$799)</f>
      </c>
      <c r="ER799">
        <f>IF(ISBLANK('Data Entry'!$Ô$799), "", 'Data Entry'!$Ô$799)</f>
      </c>
      <c r="ES799">
        <f>IF(ISBLANK('Data Entry'!$Õ$799), "", 'Data Entry'!$Õ$799)</f>
      </c>
      <c r="ET799">
        <f>IF(ISBLANK('Data Entry'!$Ö$799), "", 'Data Entry'!$Ö$799)</f>
      </c>
      <c r="EU799">
        <f>IF(ISBLANK('Data Entry'!$×$799), "", 'Data Entry'!$×$799)</f>
      </c>
      <c r="EV799">
        <f>IF(ISBLANK('Data Entry'!$Ø$799), "", 'Data Entry'!$Ø$799)</f>
      </c>
      <c r="EW799">
        <f>IF(ISBLANK('Data Entry'!$Ù$799), "", 'Data Entry'!$Ù$799)</f>
      </c>
      <c r="EX799">
        <f>IF(ISBLANK('Data Entry'!$Ú$799), "", 'Data Entry'!$Ú$799)</f>
      </c>
      <c r="EY799">
        <f>IF(ISBLANK('Data Entry'!$Û$799), "", 'Data Entry'!$Û$799)</f>
      </c>
      <c r="EZ799">
        <f>IF(ISBLANK('Data Entry'!$Ü$799), "", 'Data Entry'!$Ü$799)</f>
      </c>
      <c r="FA799">
        <f>IF(ISBLANK('Data Entry'!$Ý$799), "", 'Data Entry'!$Ý$799)</f>
      </c>
      <c r="FB799">
        <f>IF(ISBLANK('Data Entry'!$Þ$799), "", 'Data Entry'!$Þ$799)</f>
      </c>
      <c r="FC799">
        <f>IF(ISBLANK('Data Entry'!$ß$799), "", 'Data Entry'!$ß$799)</f>
      </c>
      <c r="FD799">
        <f>IF(ISBLANK('Data Entry'!$à$799), "", 'Data Entry'!$à$799)</f>
      </c>
      <c r="FE799">
        <f>IF(ISBLANK('Data Entry'!$á$799), "", 'Data Entry'!$á$799)</f>
      </c>
      <c r="FF799">
        <f>IF(ISBLANK('Data Entry'!$â$799), "", 'Data Entry'!$â$799)</f>
      </c>
      <c r="FG799">
        <f>IF(ISBLANK('Data Entry'!$ã$799), "", 'Data Entry'!$ã$799)</f>
      </c>
      <c r="FH799">
        <f>IF(ISBLANK('Data Entry'!$ä$799), "", 'Data Entry'!$ä$799)</f>
      </c>
      <c r="FI799">
        <f>IF(ISBLANK('Data Entry'!$å$799), "", 'Data Entry'!$å$799)</f>
      </c>
      <c r="FJ799">
        <f>IF(ISBLANK('Data Entry'!$æ$799), "", 'Data Entry'!$æ$799)</f>
      </c>
      <c r="FK799">
        <f>IF(ISBLANK('Data Entry'!$ç$799), "", 'Data Entry'!$ç$799)</f>
      </c>
      <c r="FL799">
        <f>IF(ISBLANK('Data Entry'!$è$799), "", 'Data Entry'!$è$799)</f>
      </c>
      <c r="FM799">
        <f>IF(ISBLANK('Data Entry'!$é$799), "", 'Data Entry'!$é$799)</f>
      </c>
      <c r="FN799">
        <f>IF(ISBLANK('Data Entry'!$ê$799), "", 'Data Entry'!$ê$799)</f>
      </c>
      <c r="FO799">
        <f>IF(ISBLANK('Data Entry'!$ë$799), "", 'Data Entry'!$ë$799)</f>
      </c>
      <c r="FP799">
        <f>IF(ISBLANK('Data Entry'!$ì$799), "", 'Data Entry'!$ì$799)</f>
      </c>
      <c r="FQ799">
        <f>IF(ISBLANK('Data Entry'!$í$799), "", 'Data Entry'!$í$799)</f>
      </c>
      <c r="FR799">
        <f>IF(ISBLANK('Data Entry'!$î$799), "", 'Data Entry'!$î$799)</f>
      </c>
      <c r="FS799">
        <f>IF(ISBLANK('Data Entry'!$ï$799), "", 'Data Entry'!$ï$799)</f>
      </c>
      <c r="FT799">
        <f>IF(ISBLANK('Data Entry'!$ð$799), "", 'Data Entry'!$ð$799)</f>
      </c>
      <c r="FU799">
        <f>IF(ISBLANK('Data Entry'!$ñ$799), "", 'Data Entry'!$ñ$799)</f>
      </c>
      <c r="FV799">
        <f>IF(ISBLANK('Data Entry'!$ò$799), "", 'Data Entry'!$ò$799)</f>
      </c>
      <c r="FW799">
        <f>IF(ISBLANK('Data Entry'!$ó$799), "", 'Data Entry'!$ó$799)</f>
      </c>
      <c r="FX799">
        <f>IF(ISBLANK('Data Entry'!$ô$799), "", 'Data Entry'!$ô$799)</f>
      </c>
      <c r="FY799">
        <f>IF(ISBLANK('Data Entry'!$õ$799), "", 'Data Entry'!$õ$799)</f>
      </c>
      <c r="FZ799">
        <f>IF(ISBLANK('Data Entry'!$ö$799), "", 'Data Entry'!$ö$799)</f>
      </c>
      <c r="GA799">
        <f>IF(ISBLANK('Data Entry'!$÷$799), "", 'Data Entry'!$÷$799)</f>
      </c>
      <c r="GB799">
        <f>IF(ISBLANK('Data Entry'!$ø$799), "", 'Data Entry'!$ø$799)</f>
      </c>
      <c r="GC799">
        <f>IF(ISBLANK('Data Entry'!$ù$799), "", 'Data Entry'!$ù$799)</f>
      </c>
      <c r="GD799">
        <f>IF(ISBLANK('Data Entry'!$ú$799), "", 'Data Entry'!$ú$799)</f>
      </c>
      <c r="GE799">
        <f>IF(ISBLANK('Data Entry'!$û$799), "", 'Data Entry'!$û$799)</f>
      </c>
      <c r="GF799">
        <f>IF(ISBLANK('Data Entry'!$ü$799), "", 'Data Entry'!$ü$799)</f>
      </c>
      <c r="GG799">
        <f>IF(ISBLANK('Data Entry'!$ý$799), "", 'Data Entry'!$ý$799)</f>
      </c>
      <c r="GH799">
        <f>IF(ISBLANK('Data Entry'!$þ$799), "", 'Data Entry'!$þ$799)</f>
      </c>
      <c r="GI799">
        <f>IF(ISBLANK('Data Entry'!$ÿ$799), "", 'Data Entry'!$ÿ$799)</f>
      </c>
      <c r="GJ799">
        <f>IF(ISBLANK('Data Entry'!$Ā$799), "", 'Data Entry'!$Ā$799)</f>
      </c>
      <c r="GK799">
        <f>IF(ISBLANK('Data Entry'!$ā$799), "", 'Data Entry'!$ā$799)</f>
      </c>
      <c r="GL799">
        <f>IF(ISBLANK('Data Entry'!$Ă$799), "", 'Data Entry'!$Ă$799)</f>
      </c>
      <c r="GM799">
        <f>IF(ISBLANK('Data Entry'!$ă$799), "", 'Data Entry'!$ă$799)</f>
      </c>
      <c r="GN799">
        <f>IF(ISBLANK('Data Entry'!$Ą$799), "", 'Data Entry'!$Ą$799)</f>
      </c>
      <c r="GO799">
        <f>IF(ISBLANK('Data Entry'!$ą$799), "", 'Data Entry'!$ą$799)</f>
      </c>
      <c r="GP799">
        <f>IF(ISBLANK('Data Entry'!$Ć$799), "", 'Data Entry'!$Ć$799)</f>
      </c>
      <c r="GQ799">
        <f>IF(ISBLANK('Data Entry'!$ć$799), "", 'Data Entry'!$ć$799)</f>
      </c>
      <c r="GR799">
        <f>IF(ISBLANK('Data Entry'!$Ĉ$799), "", 'Data Entry'!$Ĉ$799)</f>
      </c>
      <c r="GS799">
        <f>IF(ISBLANK('Data Entry'!$ĉ$799), "", 'Data Entry'!$ĉ$799)</f>
      </c>
      <c r="GT799">
        <f>IF(ISBLANK('Data Entry'!$Ċ$799), "", 'Data Entry'!$Ċ$799)</f>
      </c>
      <c r="GU799">
        <f>IF(ISBLANK('Data Entry'!$ċ$799), "", 'Data Entry'!$ċ$799)</f>
      </c>
      <c r="GV799">
        <f>IF(ISBLANK('Data Entry'!$Č$799), "", 'Data Entry'!$Č$799)</f>
      </c>
      <c r="GW799">
        <f>IF(ISBLANK('Data Entry'!$č$799), "", 'Data Entry'!$č$799)</f>
      </c>
      <c r="GX799">
        <f>IF(ISBLANK('Data Entry'!$Ď$799), "", 'Data Entry'!$Ď$799)</f>
      </c>
      <c r="GY799">
        <f>IF(ISBLANK('Data Entry'!$ď$799), "", 'Data Entry'!$ď$799)</f>
      </c>
      <c r="GZ799">
        <f>IF(ISBLANK('Data Entry'!$Đ$799), "", 'Data Entry'!$Đ$799)</f>
      </c>
      <c r="HA799">
        <f>IF(ISBLANK('Data Entry'!$đ$799), "", 'Data Entry'!$đ$799)</f>
      </c>
      <c r="HB799">
        <f>IF(ISBLANK('Data Entry'!$Ē$799), "", 'Data Entry'!$Ē$799)</f>
      </c>
      <c r="HC799">
        <f>IF(ISBLANK('Data Entry'!$ē$799), "", 'Data Entry'!$ē$799)</f>
      </c>
      <c r="HD799">
        <f>IF(ISBLANK('Data Entry'!$Ĕ$799), "", 'Data Entry'!$Ĕ$799)</f>
      </c>
      <c r="HE799">
        <f>IF(ISBLANK('Data Entry'!$ĕ$799), "", 'Data Entry'!$ĕ$799)</f>
      </c>
      <c r="HF799">
        <f>IF(ISBLANK('Data Entry'!$Ė$799), "", 'Data Entry'!$Ė$799)</f>
      </c>
      <c r="HG799">
        <f>IF(ISBLANK('Data Entry'!$ė$799), "", 'Data Entry'!$ė$799)</f>
      </c>
      <c r="HH799">
        <f>IF(ISBLANK('Data Entry'!$Ę$799), "", 'Data Entry'!$Ę$799)</f>
      </c>
      <c r="HI799">
        <f>IF(ISBLANK('Data Entry'!$ę$799), "", 'Data Entry'!$ę$799)</f>
      </c>
      <c r="HJ799">
        <f>IF(ISBLANK('Data Entry'!$Ě$799), "", 'Data Entry'!$Ě$799)</f>
      </c>
      <c r="HK799">
        <f>IF(ISBLANK('Data Entry'!$ě$799), "", 'Data Entry'!$ě$799)</f>
      </c>
      <c r="HL799">
        <f>IF(ISBLANK('Data Entry'!$Ĝ$799), "", 'Data Entry'!$Ĝ$799)</f>
      </c>
      <c r="HM799">
        <f>IF(ISBLANK('Data Entry'!$ĝ$799), "", 'Data Entry'!$ĝ$799)</f>
      </c>
      <c r="HN799">
        <f>IF(ISBLANK('Data Entry'!$Ğ$799), "", 'Data Entry'!$Ğ$799)</f>
      </c>
      <c r="HO799">
        <f>IF(ISBLANK('Data Entry'!$ğ$799), "", 'Data Entry'!$ğ$799)</f>
      </c>
      <c r="HP799">
        <f>IF(ISBLANK('Data Entry'!$Ġ$799), "", 'Data Entry'!$Ġ$799)</f>
      </c>
      <c r="HQ799">
        <f>IF(ISBLANK('Data Entry'!$ġ$799), "", 'Data Entry'!$ġ$799)</f>
      </c>
      <c r="HR799">
        <f>IF(ISBLANK('Data Entry'!$Ģ$799), "", 'Data Entry'!$Ģ$799)</f>
      </c>
      <c r="HS799">
        <f>IF(ISBLANK('Data Entry'!$ģ$799), "", 'Data Entry'!$ģ$799)</f>
      </c>
      <c r="HT799">
        <f>IF(ISBLANK('Data Entry'!$Ĥ$799), "", 'Data Entry'!$Ĥ$799)</f>
      </c>
      <c r="HU799">
        <f>IF(ISBLANK('Data Entry'!$ĥ$799), "", 'Data Entry'!$ĥ$799)</f>
      </c>
      <c r="HV799">
        <f>IF(ISBLANK('Data Entry'!$Ħ$799), "", 'Data Entry'!$Ħ$799)</f>
      </c>
      <c r="HW799">
        <f>IF(ISBLANK('Data Entry'!$ħ$799), "", 'Data Entry'!$ħ$799)</f>
      </c>
      <c r="HX799">
        <f>IF(ISBLANK('Data Entry'!$Ĩ$799), "", 'Data Entry'!$Ĩ$799)</f>
      </c>
      <c r="HY799">
        <f>IF(ISBLANK('Data Entry'!$ĩ$799), "", 'Data Entry'!$ĩ$799)</f>
      </c>
      <c r="HZ799">
        <f>IF(ISBLANK('Data Entry'!$Ī$799), "", 'Data Entry'!$Ī$799)</f>
      </c>
      <c r="IA799">
        <f>IF(ISBLANK('Data Entry'!$ī$799), "", 'Data Entry'!$ī$799)</f>
      </c>
      <c r="IB799">
        <f>IF(ISBLANK('Data Entry'!$Ĭ$799), "", 'Data Entry'!$Ĭ$799)</f>
      </c>
      <c r="IC799">
        <f>IF(ISBLANK('Data Entry'!$ĭ$799), "", 'Data Entry'!$ĭ$799)</f>
      </c>
      <c r="ID799">
        <f>IF(ISBLANK('Data Entry'!$Į$799), "", 'Data Entry'!$Į$799)</f>
      </c>
      <c r="IE799">
        <f>IF(ISBLANK('Data Entry'!$į$799), "", 'Data Entry'!$į$799)</f>
      </c>
      <c r="IF799">
        <f>IF(ISBLANK('Data Entry'!$İ$799), "", 'Data Entry'!$İ$799)</f>
      </c>
      <c r="IG799">
        <f>IF(ISBLANK('Data Entry'!$ı$799), "", 'Data Entry'!$ı$799)</f>
      </c>
      <c r="IH799">
        <f>IF(ISBLANK('Data Entry'!$Ĳ$799), "", 'Data Entry'!$Ĳ$799)</f>
      </c>
      <c r="II799">
        <f>IF(ISBLANK('Data Entry'!$ĳ$799), "", 'Data Entry'!$ĳ$799)</f>
      </c>
      <c r="IJ799">
        <f>IF(ISBLANK('Data Entry'!$Ĵ$799), "", 'Data Entry'!$Ĵ$799)</f>
      </c>
      <c r="IK799">
        <f>IF(ISBLANK('Data Entry'!$ĵ$799), "", 'Data Entry'!$ĵ$799)</f>
      </c>
      <c r="IL799">
        <f>IF(ISBLANK('Data Entry'!$Ķ$799), "", 'Data Entry'!$Ķ$799)</f>
      </c>
      <c r="IM799">
        <f>IF(ISBLANK('Data Entry'!$ķ$799), "", 'Data Entry'!$ķ$799)</f>
      </c>
      <c r="IN799">
        <f>IF(ISBLANK('Data Entry'!$ĸ$799), "", 'Data Entry'!$ĸ$799)</f>
      </c>
      <c r="IO799">
        <f>IF(ISBLANK('Data Entry'!$Ĺ$799), "", 'Data Entry'!$Ĺ$799)</f>
      </c>
      <c r="IP799">
        <f>IF(ISBLANK('Data Entry'!$ĺ$799), "", 'Data Entry'!$ĺ$799)</f>
      </c>
      <c r="IQ799">
        <f>IF(ISBLANK('Data Entry'!$Ļ$799), "", 'Data Entry'!$Ļ$799)</f>
      </c>
      <c r="IR799">
        <f>IF(ISBLANK('Data Entry'!$ļ$799), "", 'Data Entry'!$ļ$799)</f>
      </c>
      <c r="IS799">
        <f>IF(ISBLANK('Data Entry'!$Ľ$799), "", 'Data Entry'!$Ľ$799)</f>
      </c>
      <c r="IT799">
        <f>IF(ISBLANK('Data Entry'!$ľ$799), "", 'Data Entry'!$ľ$799)</f>
      </c>
    </row>
    <row r="800" spans="1:254" x14ac:dyDescent="0.25">
      <c r="A800">
        <f>IF(ISBLANK('Data Entry'!$A$800), "", 'Data Entry'!$A$800)</f>
      </c>
      <c r="B800">
        <f>IF(ISBLANK('Data Entry'!$B$800), "", 'Data Entry'!$B$800)</f>
      </c>
      <c r="C800">
        <f>IF(ISBLANK('Data Entry'!$C$800), "", 'Data Entry'!$C$800)</f>
      </c>
      <c r="D800">
        <f>IF(ISBLANK('Data Entry'!$D$800), "", 'Data Entry'!$D$800)</f>
      </c>
      <c r="E800">
        <f>IF(ISBLANK('Data Entry'!$E$800), "", 'Data Entry'!$E$800)</f>
      </c>
      <c r="F800">
        <f>IF(ISBLANK('Data Entry'!$F$800), "", 'Data Entry'!$F$800)</f>
      </c>
      <c r="G800">
        <f>IF(ISBLANK('Data Entry'!$G$800), "", 'Data Entry'!$G$800)</f>
      </c>
      <c r="H800">
        <f>IF(ISBLANK('Data Entry'!$H$800), "", 'Data Entry'!$H$800)</f>
      </c>
      <c r="I800">
        <f>IF(ISBLANK('Data Entry'!$I$800), "", 'Data Entry'!$I$800)</f>
      </c>
      <c r="J800">
        <f>IF(ISBLANK('Data Entry'!$J$800), "", 'Data Entry'!$J$800)</f>
      </c>
      <c r="K800">
        <f>IF(ISBLANK('Data Entry'!$K$800), "", 'Data Entry'!$K$800)</f>
      </c>
      <c r="L800">
        <f>IF(ISBLANK('Data Entry'!$L$800), "", 'Data Entry'!$L$800)</f>
      </c>
      <c r="M800">
        <f>IF(ISBLANK('Data Entry'!$M$800), "", 'Data Entry'!$M$800)</f>
      </c>
      <c r="N800">
        <f>IF(ISBLANK('Data Entry'!$N$800), "", 'Data Entry'!$N$800)</f>
      </c>
      <c r="O800">
        <f>IF(ISBLANK('Data Entry'!$O$800), "", 'Data Entry'!$O$800)</f>
      </c>
      <c r="P800">
        <f>IF(ISBLANK('Data Entry'!$P$800), "", 'Data Entry'!$P$800)</f>
      </c>
      <c r="Q800">
        <f>IF(ISBLANK('Data Entry'!$Q$800), "", 'Data Entry'!$Q$800)</f>
      </c>
      <c r="R800">
        <f>IF(ISBLANK('Data Entry'!$R$800), "", 'Data Entry'!$R$800)</f>
      </c>
      <c r="S800">
        <f>IF(ISBLANK('Data Entry'!$S$800), "", 'Data Entry'!$S$800)</f>
      </c>
      <c r="T800">
        <f>IF(ISBLANK('Data Entry'!$T$800), "", 'Data Entry'!$T$800)</f>
      </c>
      <c r="U800">
        <f>IF(ISBLANK('Data Entry'!$U$800), "", 'Data Entry'!$U$800)</f>
      </c>
      <c r="V800">
        <f>IF(ISBLANK('Data Entry'!$V$800), "", 'Data Entry'!$V$800)</f>
      </c>
      <c r="W800">
        <f>IF(ISBLANK('Data Entry'!$W$800), "", 'Data Entry'!$W$800)</f>
      </c>
      <c r="X800">
        <f>IF(ISBLANK('Data Entry'!$X$800), "", 'Data Entry'!$X$800)</f>
      </c>
      <c r="Y800">
        <f>IF(ISBLANK('Data Entry'!$Y$800), "", 'Data Entry'!$Y$800)</f>
      </c>
      <c r="Z800">
        <f>IF(ISBLANK('Data Entry'!$Z$800), "", 'Data Entry'!$Z$800)</f>
      </c>
      <c r="AA800">
        <f>IF(ISBLANK('Data Entry'!$[$800), "", 'Data Entry'!$[$800)</f>
      </c>
      <c r="AB800">
        <f>IF(ISBLANK('Data Entry'!$\$800), "", 'Data Entry'!$\$800)</f>
      </c>
      <c r="AC800">
        <f>IF(ISBLANK('Data Entry'!$]$800), "", 'Data Entry'!$]$800)</f>
      </c>
      <c r="AD800">
        <f>IF(ISBLANK('Data Entry'!$^$800), "", 'Data Entry'!$^$800)</f>
      </c>
      <c r="AE800">
        <f>IF(ISBLANK('Data Entry'!$_$800), "", 'Data Entry'!$_$800)</f>
      </c>
      <c r="AF800">
        <f>IF(ISBLANK('Data Entry'!$`$800), "", 'Data Entry'!$`$800)</f>
      </c>
      <c r="AG800">
        <f>IF(ISBLANK('Data Entry'!$a$800), "", 'Data Entry'!$a$800)</f>
      </c>
      <c r="AH800">
        <f>IF(ISBLANK('Data Entry'!$b$800), "", 'Data Entry'!$b$800)</f>
      </c>
      <c r="AI800">
        <f>IF(ISBLANK('Data Entry'!$c$800), "", 'Data Entry'!$c$800)</f>
      </c>
      <c r="AJ800">
        <f>IF(ISBLANK('Data Entry'!$d$800), "", 'Data Entry'!$d$800)</f>
      </c>
      <c r="AK800">
        <f>IF(ISBLANK('Data Entry'!$e$800), "", 'Data Entry'!$e$800)</f>
      </c>
      <c r="AL800">
        <f>IF(ISBLANK('Data Entry'!$f$800), "", 'Data Entry'!$f$800)</f>
      </c>
      <c r="AM800">
        <f>IF(ISBLANK('Data Entry'!$g$800), "", 'Data Entry'!$g$800)</f>
      </c>
      <c r="AN800">
        <f>IF(ISBLANK('Data Entry'!$h$800), "", 'Data Entry'!$h$800)</f>
      </c>
      <c r="AO800">
        <f>IF(ISBLANK('Data Entry'!$i$800), "", 'Data Entry'!$i$800)</f>
      </c>
      <c r="AP800">
        <f>IF(ISBLANK('Data Entry'!$j$800), "", 'Data Entry'!$j$800)</f>
      </c>
      <c r="AQ800">
        <f>IF(ISBLANK('Data Entry'!$k$800), "", 'Data Entry'!$k$800)</f>
      </c>
      <c r="AR800">
        <f>IF(ISBLANK('Data Entry'!$l$800), "", 'Data Entry'!$l$800)</f>
      </c>
      <c r="AS800">
        <f>IF(ISBLANK('Data Entry'!$m$800), "", 'Data Entry'!$m$800)</f>
      </c>
      <c r="AT800">
        <f>IF(ISBLANK('Data Entry'!$n$800), "", 'Data Entry'!$n$800)</f>
      </c>
      <c r="AU800">
        <f>IF(ISBLANK('Data Entry'!$o$800), "", 'Data Entry'!$o$800)</f>
      </c>
      <c r="AV800">
        <f>IF(ISBLANK('Data Entry'!$p$800), "", 'Data Entry'!$p$800)</f>
      </c>
      <c r="AW800">
        <f>IF(ISBLANK('Data Entry'!$q$800), "", 'Data Entry'!$q$800)</f>
      </c>
      <c r="AX800">
        <f>IF(ISBLANK('Data Entry'!$r$800), "", 'Data Entry'!$r$800)</f>
      </c>
      <c r="AY800">
        <f>IF(ISBLANK('Data Entry'!$s$800), "", 'Data Entry'!$s$800)</f>
      </c>
      <c r="AZ800">
        <f>IF(ISBLANK('Data Entry'!$t$800), "", 'Data Entry'!$t$800)</f>
      </c>
      <c r="BA800">
        <f>IF(ISBLANK('Data Entry'!$u$800), "", 'Data Entry'!$u$800)</f>
      </c>
      <c r="BB800">
        <f>IF(ISBLANK('Data Entry'!$v$800), "", 'Data Entry'!$v$800)</f>
      </c>
      <c r="BC800">
        <f>IF(ISBLANK('Data Entry'!$w$800), "", 'Data Entry'!$w$800)</f>
      </c>
      <c r="BD800">
        <f>IF(ISBLANK('Data Entry'!$x$800), "", 'Data Entry'!$x$800)</f>
      </c>
      <c r="BE800">
        <f>IF(ISBLANK('Data Entry'!$y$800), "", 'Data Entry'!$y$800)</f>
      </c>
      <c r="BF800">
        <f>IF(ISBLANK('Data Entry'!$z$800), "", 'Data Entry'!$z$800)</f>
      </c>
      <c r="BG800">
        <f>IF(ISBLANK('Data Entry'!${$800), "", 'Data Entry'!${$800)</f>
      </c>
      <c r="BH800">
        <f>IF(ISBLANK('Data Entry'!$|$800), "", 'Data Entry'!$|$800)</f>
      </c>
      <c r="BI800">
        <f>IF(ISBLANK('Data Entry'!$}$800), "", 'Data Entry'!$}$800)</f>
      </c>
      <c r="BJ800">
        <f>IF(ISBLANK('Data Entry'!$~$800), "", 'Data Entry'!$~$800)</f>
      </c>
      <c r="BK800">
        <f>IF(ISBLANK('Data Entry'!$$800), "", 'Data Entry'!$$800)</f>
      </c>
      <c r="BL800">
        <f>IF(ISBLANK('Data Entry'!$$800), "", 'Data Entry'!$$800)</f>
      </c>
      <c r="BM800">
        <f>IF(ISBLANK('Data Entry'!$$800), "", 'Data Entry'!$$800)</f>
      </c>
      <c r="BN800">
        <f>IF(ISBLANK('Data Entry'!$$800), "", 'Data Entry'!$$800)</f>
      </c>
      <c r="BO800">
        <f>IF(ISBLANK('Data Entry'!$$800), "", 'Data Entry'!$$800)</f>
      </c>
      <c r="BP800">
        <f>IF(ISBLANK('Data Entry'!$$800), "", 'Data Entry'!$$800)</f>
      </c>
      <c r="BQ800">
        <f>IF(ISBLANK('Data Entry'!$$800), "", 'Data Entry'!$$800)</f>
      </c>
      <c r="BR800">
        <f>IF(ISBLANK('Data Entry'!$$800), "", 'Data Entry'!$$800)</f>
      </c>
      <c r="BS800">
        <f>IF(ISBLANK('Data Entry'!$$800), "", 'Data Entry'!$$800)</f>
      </c>
      <c r="BT800">
        <f>IF(ISBLANK('Data Entry'!$$800), "", 'Data Entry'!$$800)</f>
      </c>
      <c r="BU800">
        <f>IF(ISBLANK('Data Entry'!$$800), "", 'Data Entry'!$$800)</f>
      </c>
      <c r="BV800">
        <f>IF(ISBLANK('Data Entry'!$$800), "", 'Data Entry'!$$800)</f>
      </c>
      <c r="BW800">
        <f>IF(ISBLANK('Data Entry'!$$800), "", 'Data Entry'!$$800)</f>
      </c>
      <c r="BX800">
        <f>IF(ISBLANK('Data Entry'!$$800), "", 'Data Entry'!$$800)</f>
      </c>
      <c r="BY800">
        <f>IF(ISBLANK('Data Entry'!$$800), "", 'Data Entry'!$$800)</f>
      </c>
      <c r="BZ800">
        <f>IF(ISBLANK('Data Entry'!$$800), "", 'Data Entry'!$$800)</f>
      </c>
      <c r="CA800">
        <f>IF(ISBLANK('Data Entry'!$$800), "", 'Data Entry'!$$800)</f>
      </c>
      <c r="CB800">
        <f>IF(ISBLANK('Data Entry'!$$800), "", 'Data Entry'!$$800)</f>
      </c>
      <c r="CC800">
        <f>IF(ISBLANK('Data Entry'!$$800), "", 'Data Entry'!$$800)</f>
      </c>
      <c r="CD800">
        <f>IF(ISBLANK('Data Entry'!$$800), "", 'Data Entry'!$$800)</f>
      </c>
      <c r="CE800">
        <f>IF(ISBLANK('Data Entry'!$$800), "", 'Data Entry'!$$800)</f>
      </c>
      <c r="CF800">
        <f>IF(ISBLANK('Data Entry'!$$800), "", 'Data Entry'!$$800)</f>
      </c>
      <c r="CG800">
        <f>IF(ISBLANK('Data Entry'!$$800), "", 'Data Entry'!$$800)</f>
      </c>
      <c r="CH800">
        <f>IF(ISBLANK('Data Entry'!$$800), "", 'Data Entry'!$$800)</f>
      </c>
      <c r="CI800">
        <f>IF(ISBLANK('Data Entry'!$$800), "", 'Data Entry'!$$800)</f>
      </c>
      <c r="CJ800">
        <f>IF(ISBLANK('Data Entry'!$$800), "", 'Data Entry'!$$800)</f>
      </c>
      <c r="CK800">
        <f>IF(ISBLANK('Data Entry'!$$800), "", 'Data Entry'!$$800)</f>
      </c>
      <c r="CL800">
        <f>IF(ISBLANK('Data Entry'!$$800), "", 'Data Entry'!$$800)</f>
      </c>
      <c r="CM800">
        <f>IF(ISBLANK('Data Entry'!$$800), "", 'Data Entry'!$$800)</f>
      </c>
      <c r="CN800">
        <f>IF(ISBLANK('Data Entry'!$$800), "", 'Data Entry'!$$800)</f>
      </c>
      <c r="CO800">
        <f>IF(ISBLANK('Data Entry'!$$800), "", 'Data Entry'!$$800)</f>
      </c>
      <c r="CP800">
        <f>IF(ISBLANK('Data Entry'!$$800), "", 'Data Entry'!$$800)</f>
      </c>
      <c r="CQ800">
        <f>IF(ISBLANK('Data Entry'!$$800), "", 'Data Entry'!$$800)</f>
      </c>
      <c r="CR800">
        <f>IF(ISBLANK('Data Entry'!$ $800), "", 'Data Entry'!$ $800)</f>
      </c>
      <c r="CS800">
        <f>IF(ISBLANK('Data Entry'!$¡$800), "", 'Data Entry'!$¡$800)</f>
      </c>
      <c r="CT800">
        <f>IF(ISBLANK('Data Entry'!$¢$800), "", 'Data Entry'!$¢$800)</f>
      </c>
      <c r="CU800">
        <f>IF(ISBLANK('Data Entry'!$£$800), "", 'Data Entry'!$£$800)</f>
      </c>
      <c r="CV800">
        <f>IF(ISBLANK('Data Entry'!$¤$800), "", 'Data Entry'!$¤$800)</f>
      </c>
      <c r="CW800">
        <f>IF(ISBLANK('Data Entry'!$¥$800), "", 'Data Entry'!$¥$800)</f>
      </c>
      <c r="CX800">
        <f>IF(ISBLANK('Data Entry'!$¦$800), "", 'Data Entry'!$¦$800)</f>
      </c>
      <c r="CY800">
        <f>IF(ISBLANK('Data Entry'!$§$800), "", 'Data Entry'!$§$800)</f>
      </c>
      <c r="CZ800">
        <f>IF(ISBLANK('Data Entry'!$¨$800), "", 'Data Entry'!$¨$800)</f>
      </c>
      <c r="DA800">
        <f>IF(ISBLANK('Data Entry'!$©$800), "", 'Data Entry'!$©$800)</f>
      </c>
      <c r="DB800">
        <f>IF(ISBLANK('Data Entry'!$ª$800), "", 'Data Entry'!$ª$800)</f>
      </c>
      <c r="DC800">
        <f>IF(ISBLANK('Data Entry'!$«$800), "", 'Data Entry'!$«$800)</f>
      </c>
      <c r="DD800">
        <f>IF(ISBLANK('Data Entry'!$¬$800), "", 'Data Entry'!$¬$800)</f>
      </c>
      <c r="DE800">
        <f>IF(ISBLANK('Data Entry'!$­$800), "", 'Data Entry'!$­$800)</f>
      </c>
      <c r="DF800">
        <f>IF(ISBLANK('Data Entry'!$®$800), "", 'Data Entry'!$®$800)</f>
      </c>
      <c r="DG800">
        <f>IF(ISBLANK('Data Entry'!$¯$800), "", 'Data Entry'!$¯$800)</f>
      </c>
      <c r="DH800">
        <f>IF(ISBLANK('Data Entry'!$°$800), "", 'Data Entry'!$°$800)</f>
      </c>
      <c r="DI800">
        <f>IF(ISBLANK('Data Entry'!$±$800), "", 'Data Entry'!$±$800)</f>
      </c>
      <c r="DJ800">
        <f>IF(ISBLANK('Data Entry'!$²$800), "", 'Data Entry'!$²$800)</f>
      </c>
      <c r="DK800">
        <f>IF(ISBLANK('Data Entry'!$³$800), "", 'Data Entry'!$³$800)</f>
      </c>
      <c r="DL800">
        <f>IF(ISBLANK('Data Entry'!$´$800), "", 'Data Entry'!$´$800)</f>
      </c>
      <c r="DM800">
        <f>IF(ISBLANK('Data Entry'!$µ$800), "", 'Data Entry'!$µ$800)</f>
      </c>
      <c r="DN800">
        <f>IF(ISBLANK('Data Entry'!$¶$800), "", 'Data Entry'!$¶$800)</f>
      </c>
      <c r="DO800">
        <f>IF(ISBLANK('Data Entry'!$·$800), "", 'Data Entry'!$·$800)</f>
      </c>
      <c r="DP800">
        <f>IF(ISBLANK('Data Entry'!$¸$800), "", 'Data Entry'!$¸$800)</f>
      </c>
      <c r="DQ800">
        <f>IF(ISBLANK('Data Entry'!$¹$800), "", 'Data Entry'!$¹$800)</f>
      </c>
      <c r="DR800">
        <f>IF(ISBLANK('Data Entry'!$º$800), "", 'Data Entry'!$º$800)</f>
      </c>
      <c r="DS800">
        <f>IF(ISBLANK('Data Entry'!$»$800), "", 'Data Entry'!$»$800)</f>
      </c>
      <c r="DT800">
        <f>IF(ISBLANK('Data Entry'!$¼$800), "", 'Data Entry'!$¼$800)</f>
      </c>
      <c r="DU800">
        <f>IF(ISBLANK('Data Entry'!$½$800), "", 'Data Entry'!$½$800)</f>
      </c>
      <c r="DV800">
        <f>IF(ISBLANK('Data Entry'!$¾$800), "", 'Data Entry'!$¾$800)</f>
      </c>
      <c r="DW800">
        <f>IF(ISBLANK('Data Entry'!$¿$800), "", 'Data Entry'!$¿$800)</f>
      </c>
      <c r="DX800">
        <f>IF(ISBLANK('Data Entry'!$À$800), "", 'Data Entry'!$À$800)</f>
      </c>
      <c r="DY800">
        <f>IF(ISBLANK('Data Entry'!$Á$800), "", 'Data Entry'!$Á$800)</f>
      </c>
      <c r="DZ800">
        <f>IF(ISBLANK('Data Entry'!$Â$800), "", 'Data Entry'!$Â$800)</f>
      </c>
      <c r="EA800">
        <f>IF(ISBLANK('Data Entry'!$Ã$800), "", 'Data Entry'!$Ã$800)</f>
      </c>
      <c r="EB800">
        <f>IF(ISBLANK('Data Entry'!$Ä$800), "", 'Data Entry'!$Ä$800)</f>
      </c>
      <c r="EC800">
        <f>IF(ISBLANK('Data Entry'!$Å$800), "", 'Data Entry'!$Å$800)</f>
      </c>
      <c r="ED800">
        <f>IF(ISBLANK('Data Entry'!$Æ$800), "", 'Data Entry'!$Æ$800)</f>
      </c>
      <c r="EE800">
        <f>IF(ISBLANK('Data Entry'!$Ç$800), "", 'Data Entry'!$Ç$800)</f>
      </c>
      <c r="EF800">
        <f>IF(ISBLANK('Data Entry'!$È$800), "", 'Data Entry'!$È$800)</f>
      </c>
      <c r="EG800">
        <f>IF(ISBLANK('Data Entry'!$É$800), "", 'Data Entry'!$É$800)</f>
      </c>
      <c r="EH800">
        <f>IF(ISBLANK('Data Entry'!$Ê$800), "", 'Data Entry'!$Ê$800)</f>
      </c>
      <c r="EI800">
        <f>IF(ISBLANK('Data Entry'!$Ë$800), "", 'Data Entry'!$Ë$800)</f>
      </c>
      <c r="EJ800">
        <f>IF(ISBLANK('Data Entry'!$Ì$800), "", 'Data Entry'!$Ì$800)</f>
      </c>
      <c r="EK800">
        <f>IF(ISBLANK('Data Entry'!$Í$800), "", 'Data Entry'!$Í$800)</f>
      </c>
      <c r="EL800">
        <f>IF(ISBLANK('Data Entry'!$Î$800), "", 'Data Entry'!$Î$800)</f>
      </c>
      <c r="EM800">
        <f>IF(ISBLANK('Data Entry'!$Ï$800), "", 'Data Entry'!$Ï$800)</f>
      </c>
      <c r="EN800">
        <f>IF(ISBLANK('Data Entry'!$Ð$800), "", 'Data Entry'!$Ð$800)</f>
      </c>
      <c r="EO800">
        <f>IF(ISBLANK('Data Entry'!$Ñ$800), "", 'Data Entry'!$Ñ$800)</f>
      </c>
      <c r="EP800">
        <f>IF(ISBLANK('Data Entry'!$Ò$800), "", 'Data Entry'!$Ò$800)</f>
      </c>
      <c r="EQ800">
        <f>IF(ISBLANK('Data Entry'!$Ó$800), "", 'Data Entry'!$Ó$800)</f>
      </c>
      <c r="ER800">
        <f>IF(ISBLANK('Data Entry'!$Ô$800), "", 'Data Entry'!$Ô$800)</f>
      </c>
      <c r="ES800">
        <f>IF(ISBLANK('Data Entry'!$Õ$800), "", 'Data Entry'!$Õ$800)</f>
      </c>
      <c r="ET800">
        <f>IF(ISBLANK('Data Entry'!$Ö$800), "", 'Data Entry'!$Ö$800)</f>
      </c>
      <c r="EU800">
        <f>IF(ISBLANK('Data Entry'!$×$800), "", 'Data Entry'!$×$800)</f>
      </c>
      <c r="EV800">
        <f>IF(ISBLANK('Data Entry'!$Ø$800), "", 'Data Entry'!$Ø$800)</f>
      </c>
      <c r="EW800">
        <f>IF(ISBLANK('Data Entry'!$Ù$800), "", 'Data Entry'!$Ù$800)</f>
      </c>
      <c r="EX800">
        <f>IF(ISBLANK('Data Entry'!$Ú$800), "", 'Data Entry'!$Ú$800)</f>
      </c>
      <c r="EY800">
        <f>IF(ISBLANK('Data Entry'!$Û$800), "", 'Data Entry'!$Û$800)</f>
      </c>
      <c r="EZ800">
        <f>IF(ISBLANK('Data Entry'!$Ü$800), "", 'Data Entry'!$Ü$800)</f>
      </c>
      <c r="FA800">
        <f>IF(ISBLANK('Data Entry'!$Ý$800), "", 'Data Entry'!$Ý$800)</f>
      </c>
      <c r="FB800">
        <f>IF(ISBLANK('Data Entry'!$Þ$800), "", 'Data Entry'!$Þ$800)</f>
      </c>
      <c r="FC800">
        <f>IF(ISBLANK('Data Entry'!$ß$800), "", 'Data Entry'!$ß$800)</f>
      </c>
      <c r="FD800">
        <f>IF(ISBLANK('Data Entry'!$à$800), "", 'Data Entry'!$à$800)</f>
      </c>
      <c r="FE800">
        <f>IF(ISBLANK('Data Entry'!$á$800), "", 'Data Entry'!$á$800)</f>
      </c>
      <c r="FF800">
        <f>IF(ISBLANK('Data Entry'!$â$800), "", 'Data Entry'!$â$800)</f>
      </c>
      <c r="FG800">
        <f>IF(ISBLANK('Data Entry'!$ã$800), "", 'Data Entry'!$ã$800)</f>
      </c>
      <c r="FH800">
        <f>IF(ISBLANK('Data Entry'!$ä$800), "", 'Data Entry'!$ä$800)</f>
      </c>
      <c r="FI800">
        <f>IF(ISBLANK('Data Entry'!$å$800), "", 'Data Entry'!$å$800)</f>
      </c>
      <c r="FJ800">
        <f>IF(ISBLANK('Data Entry'!$æ$800), "", 'Data Entry'!$æ$800)</f>
      </c>
      <c r="FK800">
        <f>IF(ISBLANK('Data Entry'!$ç$800), "", 'Data Entry'!$ç$800)</f>
      </c>
      <c r="FL800">
        <f>IF(ISBLANK('Data Entry'!$è$800), "", 'Data Entry'!$è$800)</f>
      </c>
      <c r="FM800">
        <f>IF(ISBLANK('Data Entry'!$é$800), "", 'Data Entry'!$é$800)</f>
      </c>
      <c r="FN800">
        <f>IF(ISBLANK('Data Entry'!$ê$800), "", 'Data Entry'!$ê$800)</f>
      </c>
      <c r="FO800">
        <f>IF(ISBLANK('Data Entry'!$ë$800), "", 'Data Entry'!$ë$800)</f>
      </c>
      <c r="FP800">
        <f>IF(ISBLANK('Data Entry'!$ì$800), "", 'Data Entry'!$ì$800)</f>
      </c>
      <c r="FQ800">
        <f>IF(ISBLANK('Data Entry'!$í$800), "", 'Data Entry'!$í$800)</f>
      </c>
      <c r="FR800">
        <f>IF(ISBLANK('Data Entry'!$î$800), "", 'Data Entry'!$î$800)</f>
      </c>
      <c r="FS800">
        <f>IF(ISBLANK('Data Entry'!$ï$800), "", 'Data Entry'!$ï$800)</f>
      </c>
      <c r="FT800">
        <f>IF(ISBLANK('Data Entry'!$ð$800), "", 'Data Entry'!$ð$800)</f>
      </c>
      <c r="FU800">
        <f>IF(ISBLANK('Data Entry'!$ñ$800), "", 'Data Entry'!$ñ$800)</f>
      </c>
      <c r="FV800">
        <f>IF(ISBLANK('Data Entry'!$ò$800), "", 'Data Entry'!$ò$800)</f>
      </c>
      <c r="FW800">
        <f>IF(ISBLANK('Data Entry'!$ó$800), "", 'Data Entry'!$ó$800)</f>
      </c>
      <c r="FX800">
        <f>IF(ISBLANK('Data Entry'!$ô$800), "", 'Data Entry'!$ô$800)</f>
      </c>
      <c r="FY800">
        <f>IF(ISBLANK('Data Entry'!$õ$800), "", 'Data Entry'!$õ$800)</f>
      </c>
      <c r="FZ800">
        <f>IF(ISBLANK('Data Entry'!$ö$800), "", 'Data Entry'!$ö$800)</f>
      </c>
      <c r="GA800">
        <f>IF(ISBLANK('Data Entry'!$÷$800), "", 'Data Entry'!$÷$800)</f>
      </c>
      <c r="GB800">
        <f>IF(ISBLANK('Data Entry'!$ø$800), "", 'Data Entry'!$ø$800)</f>
      </c>
      <c r="GC800">
        <f>IF(ISBLANK('Data Entry'!$ù$800), "", 'Data Entry'!$ù$800)</f>
      </c>
      <c r="GD800">
        <f>IF(ISBLANK('Data Entry'!$ú$800), "", 'Data Entry'!$ú$800)</f>
      </c>
      <c r="GE800">
        <f>IF(ISBLANK('Data Entry'!$û$800), "", 'Data Entry'!$û$800)</f>
      </c>
      <c r="GF800">
        <f>IF(ISBLANK('Data Entry'!$ü$800), "", 'Data Entry'!$ü$800)</f>
      </c>
      <c r="GG800">
        <f>IF(ISBLANK('Data Entry'!$ý$800), "", 'Data Entry'!$ý$800)</f>
      </c>
      <c r="GH800">
        <f>IF(ISBLANK('Data Entry'!$þ$800), "", 'Data Entry'!$þ$800)</f>
      </c>
      <c r="GI800">
        <f>IF(ISBLANK('Data Entry'!$ÿ$800), "", 'Data Entry'!$ÿ$800)</f>
      </c>
      <c r="GJ800">
        <f>IF(ISBLANK('Data Entry'!$Ā$800), "", 'Data Entry'!$Ā$800)</f>
      </c>
      <c r="GK800">
        <f>IF(ISBLANK('Data Entry'!$ā$800), "", 'Data Entry'!$ā$800)</f>
      </c>
      <c r="GL800">
        <f>IF(ISBLANK('Data Entry'!$Ă$800), "", 'Data Entry'!$Ă$800)</f>
      </c>
      <c r="GM800">
        <f>IF(ISBLANK('Data Entry'!$ă$800), "", 'Data Entry'!$ă$800)</f>
      </c>
      <c r="GN800">
        <f>IF(ISBLANK('Data Entry'!$Ą$800), "", 'Data Entry'!$Ą$800)</f>
      </c>
      <c r="GO800">
        <f>IF(ISBLANK('Data Entry'!$ą$800), "", 'Data Entry'!$ą$800)</f>
      </c>
      <c r="GP800">
        <f>IF(ISBLANK('Data Entry'!$Ć$800), "", 'Data Entry'!$Ć$800)</f>
      </c>
      <c r="GQ800">
        <f>IF(ISBLANK('Data Entry'!$ć$800), "", 'Data Entry'!$ć$800)</f>
      </c>
      <c r="GR800">
        <f>IF(ISBLANK('Data Entry'!$Ĉ$800), "", 'Data Entry'!$Ĉ$800)</f>
      </c>
      <c r="GS800">
        <f>IF(ISBLANK('Data Entry'!$ĉ$800), "", 'Data Entry'!$ĉ$800)</f>
      </c>
      <c r="GT800">
        <f>IF(ISBLANK('Data Entry'!$Ċ$800), "", 'Data Entry'!$Ċ$800)</f>
      </c>
      <c r="GU800">
        <f>IF(ISBLANK('Data Entry'!$ċ$800), "", 'Data Entry'!$ċ$800)</f>
      </c>
      <c r="GV800">
        <f>IF(ISBLANK('Data Entry'!$Č$800), "", 'Data Entry'!$Č$800)</f>
      </c>
      <c r="GW800">
        <f>IF(ISBLANK('Data Entry'!$č$800), "", 'Data Entry'!$č$800)</f>
      </c>
      <c r="GX800">
        <f>IF(ISBLANK('Data Entry'!$Ď$800), "", 'Data Entry'!$Ď$800)</f>
      </c>
      <c r="GY800">
        <f>IF(ISBLANK('Data Entry'!$ď$800), "", 'Data Entry'!$ď$800)</f>
      </c>
      <c r="GZ800">
        <f>IF(ISBLANK('Data Entry'!$Đ$800), "", 'Data Entry'!$Đ$800)</f>
      </c>
      <c r="HA800">
        <f>IF(ISBLANK('Data Entry'!$đ$800), "", 'Data Entry'!$đ$800)</f>
      </c>
      <c r="HB800">
        <f>IF(ISBLANK('Data Entry'!$Ē$800), "", 'Data Entry'!$Ē$800)</f>
      </c>
      <c r="HC800">
        <f>IF(ISBLANK('Data Entry'!$ē$800), "", 'Data Entry'!$ē$800)</f>
      </c>
      <c r="HD800">
        <f>IF(ISBLANK('Data Entry'!$Ĕ$800), "", 'Data Entry'!$Ĕ$800)</f>
      </c>
      <c r="HE800">
        <f>IF(ISBLANK('Data Entry'!$ĕ$800), "", 'Data Entry'!$ĕ$800)</f>
      </c>
      <c r="HF800">
        <f>IF(ISBLANK('Data Entry'!$Ė$800), "", 'Data Entry'!$Ė$800)</f>
      </c>
      <c r="HG800">
        <f>IF(ISBLANK('Data Entry'!$ė$800), "", 'Data Entry'!$ė$800)</f>
      </c>
      <c r="HH800">
        <f>IF(ISBLANK('Data Entry'!$Ę$800), "", 'Data Entry'!$Ę$800)</f>
      </c>
      <c r="HI800">
        <f>IF(ISBLANK('Data Entry'!$ę$800), "", 'Data Entry'!$ę$800)</f>
      </c>
      <c r="HJ800">
        <f>IF(ISBLANK('Data Entry'!$Ě$800), "", 'Data Entry'!$Ě$800)</f>
      </c>
      <c r="HK800">
        <f>IF(ISBLANK('Data Entry'!$ě$800), "", 'Data Entry'!$ě$800)</f>
      </c>
      <c r="HL800">
        <f>IF(ISBLANK('Data Entry'!$Ĝ$800), "", 'Data Entry'!$Ĝ$800)</f>
      </c>
      <c r="HM800">
        <f>IF(ISBLANK('Data Entry'!$ĝ$800), "", 'Data Entry'!$ĝ$800)</f>
      </c>
      <c r="HN800">
        <f>IF(ISBLANK('Data Entry'!$Ğ$800), "", 'Data Entry'!$Ğ$800)</f>
      </c>
      <c r="HO800">
        <f>IF(ISBLANK('Data Entry'!$ğ$800), "", 'Data Entry'!$ğ$800)</f>
      </c>
      <c r="HP800">
        <f>IF(ISBLANK('Data Entry'!$Ġ$800), "", 'Data Entry'!$Ġ$800)</f>
      </c>
      <c r="HQ800">
        <f>IF(ISBLANK('Data Entry'!$ġ$800), "", 'Data Entry'!$ġ$800)</f>
      </c>
      <c r="HR800">
        <f>IF(ISBLANK('Data Entry'!$Ģ$800), "", 'Data Entry'!$Ģ$800)</f>
      </c>
      <c r="HS800">
        <f>IF(ISBLANK('Data Entry'!$ģ$800), "", 'Data Entry'!$ģ$800)</f>
      </c>
      <c r="HT800">
        <f>IF(ISBLANK('Data Entry'!$Ĥ$800), "", 'Data Entry'!$Ĥ$800)</f>
      </c>
      <c r="HU800">
        <f>IF(ISBLANK('Data Entry'!$ĥ$800), "", 'Data Entry'!$ĥ$800)</f>
      </c>
      <c r="HV800">
        <f>IF(ISBLANK('Data Entry'!$Ħ$800), "", 'Data Entry'!$Ħ$800)</f>
      </c>
      <c r="HW800">
        <f>IF(ISBLANK('Data Entry'!$ħ$800), "", 'Data Entry'!$ħ$800)</f>
      </c>
      <c r="HX800">
        <f>IF(ISBLANK('Data Entry'!$Ĩ$800), "", 'Data Entry'!$Ĩ$800)</f>
      </c>
      <c r="HY800">
        <f>IF(ISBLANK('Data Entry'!$ĩ$800), "", 'Data Entry'!$ĩ$800)</f>
      </c>
      <c r="HZ800">
        <f>IF(ISBLANK('Data Entry'!$Ī$800), "", 'Data Entry'!$Ī$800)</f>
      </c>
      <c r="IA800">
        <f>IF(ISBLANK('Data Entry'!$ī$800), "", 'Data Entry'!$ī$800)</f>
      </c>
      <c r="IB800">
        <f>IF(ISBLANK('Data Entry'!$Ĭ$800), "", 'Data Entry'!$Ĭ$800)</f>
      </c>
      <c r="IC800">
        <f>IF(ISBLANK('Data Entry'!$ĭ$800), "", 'Data Entry'!$ĭ$800)</f>
      </c>
      <c r="ID800">
        <f>IF(ISBLANK('Data Entry'!$Į$800), "", 'Data Entry'!$Į$800)</f>
      </c>
      <c r="IE800">
        <f>IF(ISBLANK('Data Entry'!$į$800), "", 'Data Entry'!$į$800)</f>
      </c>
      <c r="IF800">
        <f>IF(ISBLANK('Data Entry'!$İ$800), "", 'Data Entry'!$İ$800)</f>
      </c>
      <c r="IG800">
        <f>IF(ISBLANK('Data Entry'!$ı$800), "", 'Data Entry'!$ı$800)</f>
      </c>
      <c r="IH800">
        <f>IF(ISBLANK('Data Entry'!$Ĳ$800), "", 'Data Entry'!$Ĳ$800)</f>
      </c>
      <c r="II800">
        <f>IF(ISBLANK('Data Entry'!$ĳ$800), "", 'Data Entry'!$ĳ$800)</f>
      </c>
      <c r="IJ800">
        <f>IF(ISBLANK('Data Entry'!$Ĵ$800), "", 'Data Entry'!$Ĵ$800)</f>
      </c>
      <c r="IK800">
        <f>IF(ISBLANK('Data Entry'!$ĵ$800), "", 'Data Entry'!$ĵ$800)</f>
      </c>
      <c r="IL800">
        <f>IF(ISBLANK('Data Entry'!$Ķ$800), "", 'Data Entry'!$Ķ$800)</f>
      </c>
      <c r="IM800">
        <f>IF(ISBLANK('Data Entry'!$ķ$800), "", 'Data Entry'!$ķ$800)</f>
      </c>
      <c r="IN800">
        <f>IF(ISBLANK('Data Entry'!$ĸ$800), "", 'Data Entry'!$ĸ$800)</f>
      </c>
      <c r="IO800">
        <f>IF(ISBLANK('Data Entry'!$Ĺ$800), "", 'Data Entry'!$Ĺ$800)</f>
      </c>
      <c r="IP800">
        <f>IF(ISBLANK('Data Entry'!$ĺ$800), "", 'Data Entry'!$ĺ$800)</f>
      </c>
      <c r="IQ800">
        <f>IF(ISBLANK('Data Entry'!$Ļ$800), "", 'Data Entry'!$Ļ$800)</f>
      </c>
      <c r="IR800">
        <f>IF(ISBLANK('Data Entry'!$ļ$800), "", 'Data Entry'!$ļ$800)</f>
      </c>
      <c r="IS800">
        <f>IF(ISBLANK('Data Entry'!$Ľ$800), "", 'Data Entry'!$Ľ$800)</f>
      </c>
      <c r="IT800">
        <f>IF(ISBLANK('Data Entry'!$ľ$800), "", 'Data Entry'!$ľ$800)</f>
      </c>
    </row>
    <row r="801" spans="1:254" x14ac:dyDescent="0.25">
      <c r="A801">
        <f>IF(ISBLANK('Data Entry'!$A$801), "", 'Data Entry'!$A$801)</f>
      </c>
      <c r="B801">
        <f>IF(ISBLANK('Data Entry'!$B$801), "", 'Data Entry'!$B$801)</f>
      </c>
      <c r="C801">
        <f>IF(ISBLANK('Data Entry'!$C$801), "", 'Data Entry'!$C$801)</f>
      </c>
      <c r="D801">
        <f>IF(ISBLANK('Data Entry'!$D$801), "", 'Data Entry'!$D$801)</f>
      </c>
      <c r="E801">
        <f>IF(ISBLANK('Data Entry'!$E$801), "", 'Data Entry'!$E$801)</f>
      </c>
      <c r="F801">
        <f>IF(ISBLANK('Data Entry'!$F$801), "", 'Data Entry'!$F$801)</f>
      </c>
      <c r="G801">
        <f>IF(ISBLANK('Data Entry'!$G$801), "", 'Data Entry'!$G$801)</f>
      </c>
      <c r="H801">
        <f>IF(ISBLANK('Data Entry'!$H$801), "", 'Data Entry'!$H$801)</f>
      </c>
      <c r="I801">
        <f>IF(ISBLANK('Data Entry'!$I$801), "", 'Data Entry'!$I$801)</f>
      </c>
      <c r="J801">
        <f>IF(ISBLANK('Data Entry'!$J$801), "", 'Data Entry'!$J$801)</f>
      </c>
      <c r="K801">
        <f>IF(ISBLANK('Data Entry'!$K$801), "", 'Data Entry'!$K$801)</f>
      </c>
      <c r="L801">
        <f>IF(ISBLANK('Data Entry'!$L$801), "", 'Data Entry'!$L$801)</f>
      </c>
      <c r="M801">
        <f>IF(ISBLANK('Data Entry'!$M$801), "", 'Data Entry'!$M$801)</f>
      </c>
      <c r="N801">
        <f>IF(ISBLANK('Data Entry'!$N$801), "", 'Data Entry'!$N$801)</f>
      </c>
      <c r="O801">
        <f>IF(ISBLANK('Data Entry'!$O$801), "", 'Data Entry'!$O$801)</f>
      </c>
      <c r="P801">
        <f>IF(ISBLANK('Data Entry'!$P$801), "", 'Data Entry'!$P$801)</f>
      </c>
      <c r="Q801">
        <f>IF(ISBLANK('Data Entry'!$Q$801), "", 'Data Entry'!$Q$801)</f>
      </c>
      <c r="R801">
        <f>IF(ISBLANK('Data Entry'!$R$801), "", 'Data Entry'!$R$801)</f>
      </c>
      <c r="S801">
        <f>IF(ISBLANK('Data Entry'!$S$801), "", 'Data Entry'!$S$801)</f>
      </c>
      <c r="T801">
        <f>IF(ISBLANK('Data Entry'!$T$801), "", 'Data Entry'!$T$801)</f>
      </c>
      <c r="U801">
        <f>IF(ISBLANK('Data Entry'!$U$801), "", 'Data Entry'!$U$801)</f>
      </c>
      <c r="V801">
        <f>IF(ISBLANK('Data Entry'!$V$801), "", 'Data Entry'!$V$801)</f>
      </c>
      <c r="W801">
        <f>IF(ISBLANK('Data Entry'!$W$801), "", 'Data Entry'!$W$801)</f>
      </c>
      <c r="X801">
        <f>IF(ISBLANK('Data Entry'!$X$801), "", 'Data Entry'!$X$801)</f>
      </c>
      <c r="Y801">
        <f>IF(ISBLANK('Data Entry'!$Y$801), "", 'Data Entry'!$Y$801)</f>
      </c>
      <c r="Z801">
        <f>IF(ISBLANK('Data Entry'!$Z$801), "", 'Data Entry'!$Z$801)</f>
      </c>
      <c r="AA801">
        <f>IF(ISBLANK('Data Entry'!$[$801), "", 'Data Entry'!$[$801)</f>
      </c>
      <c r="AB801">
        <f>IF(ISBLANK('Data Entry'!$\$801), "", 'Data Entry'!$\$801)</f>
      </c>
      <c r="AC801">
        <f>IF(ISBLANK('Data Entry'!$]$801), "", 'Data Entry'!$]$801)</f>
      </c>
      <c r="AD801">
        <f>IF(ISBLANK('Data Entry'!$^$801), "", 'Data Entry'!$^$801)</f>
      </c>
      <c r="AE801">
        <f>IF(ISBLANK('Data Entry'!$_$801), "", 'Data Entry'!$_$801)</f>
      </c>
      <c r="AF801">
        <f>IF(ISBLANK('Data Entry'!$`$801), "", 'Data Entry'!$`$801)</f>
      </c>
      <c r="AG801">
        <f>IF(ISBLANK('Data Entry'!$a$801), "", 'Data Entry'!$a$801)</f>
      </c>
      <c r="AH801">
        <f>IF(ISBLANK('Data Entry'!$b$801), "", 'Data Entry'!$b$801)</f>
      </c>
      <c r="AI801">
        <f>IF(ISBLANK('Data Entry'!$c$801), "", 'Data Entry'!$c$801)</f>
      </c>
      <c r="AJ801">
        <f>IF(ISBLANK('Data Entry'!$d$801), "", 'Data Entry'!$d$801)</f>
      </c>
      <c r="AK801">
        <f>IF(ISBLANK('Data Entry'!$e$801), "", 'Data Entry'!$e$801)</f>
      </c>
      <c r="AL801">
        <f>IF(ISBLANK('Data Entry'!$f$801), "", 'Data Entry'!$f$801)</f>
      </c>
      <c r="AM801">
        <f>IF(ISBLANK('Data Entry'!$g$801), "", 'Data Entry'!$g$801)</f>
      </c>
      <c r="AN801">
        <f>IF(ISBLANK('Data Entry'!$h$801), "", 'Data Entry'!$h$801)</f>
      </c>
      <c r="AO801">
        <f>IF(ISBLANK('Data Entry'!$i$801), "", 'Data Entry'!$i$801)</f>
      </c>
      <c r="AP801">
        <f>IF(ISBLANK('Data Entry'!$j$801), "", 'Data Entry'!$j$801)</f>
      </c>
      <c r="AQ801">
        <f>IF(ISBLANK('Data Entry'!$k$801), "", 'Data Entry'!$k$801)</f>
      </c>
      <c r="AR801">
        <f>IF(ISBLANK('Data Entry'!$l$801), "", 'Data Entry'!$l$801)</f>
      </c>
      <c r="AS801">
        <f>IF(ISBLANK('Data Entry'!$m$801), "", 'Data Entry'!$m$801)</f>
      </c>
      <c r="AT801">
        <f>IF(ISBLANK('Data Entry'!$n$801), "", 'Data Entry'!$n$801)</f>
      </c>
      <c r="AU801">
        <f>IF(ISBLANK('Data Entry'!$o$801), "", 'Data Entry'!$o$801)</f>
      </c>
      <c r="AV801">
        <f>IF(ISBLANK('Data Entry'!$p$801), "", 'Data Entry'!$p$801)</f>
      </c>
      <c r="AW801">
        <f>IF(ISBLANK('Data Entry'!$q$801), "", 'Data Entry'!$q$801)</f>
      </c>
      <c r="AX801">
        <f>IF(ISBLANK('Data Entry'!$r$801), "", 'Data Entry'!$r$801)</f>
      </c>
      <c r="AY801">
        <f>IF(ISBLANK('Data Entry'!$s$801), "", 'Data Entry'!$s$801)</f>
      </c>
      <c r="AZ801">
        <f>IF(ISBLANK('Data Entry'!$t$801), "", 'Data Entry'!$t$801)</f>
      </c>
      <c r="BA801">
        <f>IF(ISBLANK('Data Entry'!$u$801), "", 'Data Entry'!$u$801)</f>
      </c>
      <c r="BB801">
        <f>IF(ISBLANK('Data Entry'!$v$801), "", 'Data Entry'!$v$801)</f>
      </c>
      <c r="BC801">
        <f>IF(ISBLANK('Data Entry'!$w$801), "", 'Data Entry'!$w$801)</f>
      </c>
      <c r="BD801">
        <f>IF(ISBLANK('Data Entry'!$x$801), "", 'Data Entry'!$x$801)</f>
      </c>
      <c r="BE801">
        <f>IF(ISBLANK('Data Entry'!$y$801), "", 'Data Entry'!$y$801)</f>
      </c>
      <c r="BF801">
        <f>IF(ISBLANK('Data Entry'!$z$801), "", 'Data Entry'!$z$801)</f>
      </c>
      <c r="BG801">
        <f>IF(ISBLANK('Data Entry'!${$801), "", 'Data Entry'!${$801)</f>
      </c>
      <c r="BH801">
        <f>IF(ISBLANK('Data Entry'!$|$801), "", 'Data Entry'!$|$801)</f>
      </c>
      <c r="BI801">
        <f>IF(ISBLANK('Data Entry'!$}$801), "", 'Data Entry'!$}$801)</f>
      </c>
      <c r="BJ801">
        <f>IF(ISBLANK('Data Entry'!$~$801), "", 'Data Entry'!$~$801)</f>
      </c>
      <c r="BK801">
        <f>IF(ISBLANK('Data Entry'!$$801), "", 'Data Entry'!$$801)</f>
      </c>
      <c r="BL801">
        <f>IF(ISBLANK('Data Entry'!$$801), "", 'Data Entry'!$$801)</f>
      </c>
      <c r="BM801">
        <f>IF(ISBLANK('Data Entry'!$$801), "", 'Data Entry'!$$801)</f>
      </c>
      <c r="BN801">
        <f>IF(ISBLANK('Data Entry'!$$801), "", 'Data Entry'!$$801)</f>
      </c>
      <c r="BO801">
        <f>IF(ISBLANK('Data Entry'!$$801), "", 'Data Entry'!$$801)</f>
      </c>
      <c r="BP801">
        <f>IF(ISBLANK('Data Entry'!$$801), "", 'Data Entry'!$$801)</f>
      </c>
      <c r="BQ801">
        <f>IF(ISBLANK('Data Entry'!$$801), "", 'Data Entry'!$$801)</f>
      </c>
      <c r="BR801">
        <f>IF(ISBLANK('Data Entry'!$$801), "", 'Data Entry'!$$801)</f>
      </c>
      <c r="BS801">
        <f>IF(ISBLANK('Data Entry'!$$801), "", 'Data Entry'!$$801)</f>
      </c>
      <c r="BT801">
        <f>IF(ISBLANK('Data Entry'!$$801), "", 'Data Entry'!$$801)</f>
      </c>
      <c r="BU801">
        <f>IF(ISBLANK('Data Entry'!$$801), "", 'Data Entry'!$$801)</f>
      </c>
      <c r="BV801">
        <f>IF(ISBLANK('Data Entry'!$$801), "", 'Data Entry'!$$801)</f>
      </c>
      <c r="BW801">
        <f>IF(ISBLANK('Data Entry'!$$801), "", 'Data Entry'!$$801)</f>
      </c>
      <c r="BX801">
        <f>IF(ISBLANK('Data Entry'!$$801), "", 'Data Entry'!$$801)</f>
      </c>
      <c r="BY801">
        <f>IF(ISBLANK('Data Entry'!$$801), "", 'Data Entry'!$$801)</f>
      </c>
      <c r="BZ801">
        <f>IF(ISBLANK('Data Entry'!$$801), "", 'Data Entry'!$$801)</f>
      </c>
      <c r="CA801">
        <f>IF(ISBLANK('Data Entry'!$$801), "", 'Data Entry'!$$801)</f>
      </c>
      <c r="CB801">
        <f>IF(ISBLANK('Data Entry'!$$801), "", 'Data Entry'!$$801)</f>
      </c>
      <c r="CC801">
        <f>IF(ISBLANK('Data Entry'!$$801), "", 'Data Entry'!$$801)</f>
      </c>
      <c r="CD801">
        <f>IF(ISBLANK('Data Entry'!$$801), "", 'Data Entry'!$$801)</f>
      </c>
      <c r="CE801">
        <f>IF(ISBLANK('Data Entry'!$$801), "", 'Data Entry'!$$801)</f>
      </c>
      <c r="CF801">
        <f>IF(ISBLANK('Data Entry'!$$801), "", 'Data Entry'!$$801)</f>
      </c>
      <c r="CG801">
        <f>IF(ISBLANK('Data Entry'!$$801), "", 'Data Entry'!$$801)</f>
      </c>
      <c r="CH801">
        <f>IF(ISBLANK('Data Entry'!$$801), "", 'Data Entry'!$$801)</f>
      </c>
      <c r="CI801">
        <f>IF(ISBLANK('Data Entry'!$$801), "", 'Data Entry'!$$801)</f>
      </c>
      <c r="CJ801">
        <f>IF(ISBLANK('Data Entry'!$$801), "", 'Data Entry'!$$801)</f>
      </c>
      <c r="CK801">
        <f>IF(ISBLANK('Data Entry'!$$801), "", 'Data Entry'!$$801)</f>
      </c>
      <c r="CL801">
        <f>IF(ISBLANK('Data Entry'!$$801), "", 'Data Entry'!$$801)</f>
      </c>
      <c r="CM801">
        <f>IF(ISBLANK('Data Entry'!$$801), "", 'Data Entry'!$$801)</f>
      </c>
      <c r="CN801">
        <f>IF(ISBLANK('Data Entry'!$$801), "", 'Data Entry'!$$801)</f>
      </c>
      <c r="CO801">
        <f>IF(ISBLANK('Data Entry'!$$801), "", 'Data Entry'!$$801)</f>
      </c>
      <c r="CP801">
        <f>IF(ISBLANK('Data Entry'!$$801), "", 'Data Entry'!$$801)</f>
      </c>
      <c r="CQ801">
        <f>IF(ISBLANK('Data Entry'!$$801), "", 'Data Entry'!$$801)</f>
      </c>
      <c r="CR801">
        <f>IF(ISBLANK('Data Entry'!$ $801), "", 'Data Entry'!$ $801)</f>
      </c>
      <c r="CS801">
        <f>IF(ISBLANK('Data Entry'!$¡$801), "", 'Data Entry'!$¡$801)</f>
      </c>
      <c r="CT801">
        <f>IF(ISBLANK('Data Entry'!$¢$801), "", 'Data Entry'!$¢$801)</f>
      </c>
      <c r="CU801">
        <f>IF(ISBLANK('Data Entry'!$£$801), "", 'Data Entry'!$£$801)</f>
      </c>
      <c r="CV801">
        <f>IF(ISBLANK('Data Entry'!$¤$801), "", 'Data Entry'!$¤$801)</f>
      </c>
      <c r="CW801">
        <f>IF(ISBLANK('Data Entry'!$¥$801), "", 'Data Entry'!$¥$801)</f>
      </c>
      <c r="CX801">
        <f>IF(ISBLANK('Data Entry'!$¦$801), "", 'Data Entry'!$¦$801)</f>
      </c>
      <c r="CY801">
        <f>IF(ISBLANK('Data Entry'!$§$801), "", 'Data Entry'!$§$801)</f>
      </c>
      <c r="CZ801">
        <f>IF(ISBLANK('Data Entry'!$¨$801), "", 'Data Entry'!$¨$801)</f>
      </c>
      <c r="DA801">
        <f>IF(ISBLANK('Data Entry'!$©$801), "", 'Data Entry'!$©$801)</f>
      </c>
      <c r="DB801">
        <f>IF(ISBLANK('Data Entry'!$ª$801), "", 'Data Entry'!$ª$801)</f>
      </c>
      <c r="DC801">
        <f>IF(ISBLANK('Data Entry'!$«$801), "", 'Data Entry'!$«$801)</f>
      </c>
      <c r="DD801">
        <f>IF(ISBLANK('Data Entry'!$¬$801), "", 'Data Entry'!$¬$801)</f>
      </c>
      <c r="DE801">
        <f>IF(ISBLANK('Data Entry'!$­$801), "", 'Data Entry'!$­$801)</f>
      </c>
      <c r="DF801">
        <f>IF(ISBLANK('Data Entry'!$®$801), "", 'Data Entry'!$®$801)</f>
      </c>
      <c r="DG801">
        <f>IF(ISBLANK('Data Entry'!$¯$801), "", 'Data Entry'!$¯$801)</f>
      </c>
      <c r="DH801">
        <f>IF(ISBLANK('Data Entry'!$°$801), "", 'Data Entry'!$°$801)</f>
      </c>
      <c r="DI801">
        <f>IF(ISBLANK('Data Entry'!$±$801), "", 'Data Entry'!$±$801)</f>
      </c>
      <c r="DJ801">
        <f>IF(ISBLANK('Data Entry'!$²$801), "", 'Data Entry'!$²$801)</f>
      </c>
      <c r="DK801">
        <f>IF(ISBLANK('Data Entry'!$³$801), "", 'Data Entry'!$³$801)</f>
      </c>
      <c r="DL801">
        <f>IF(ISBLANK('Data Entry'!$´$801), "", 'Data Entry'!$´$801)</f>
      </c>
      <c r="DM801">
        <f>IF(ISBLANK('Data Entry'!$µ$801), "", 'Data Entry'!$µ$801)</f>
      </c>
      <c r="DN801">
        <f>IF(ISBLANK('Data Entry'!$¶$801), "", 'Data Entry'!$¶$801)</f>
      </c>
      <c r="DO801">
        <f>IF(ISBLANK('Data Entry'!$·$801), "", 'Data Entry'!$·$801)</f>
      </c>
      <c r="DP801">
        <f>IF(ISBLANK('Data Entry'!$¸$801), "", 'Data Entry'!$¸$801)</f>
      </c>
      <c r="DQ801">
        <f>IF(ISBLANK('Data Entry'!$¹$801), "", 'Data Entry'!$¹$801)</f>
      </c>
      <c r="DR801">
        <f>IF(ISBLANK('Data Entry'!$º$801), "", 'Data Entry'!$º$801)</f>
      </c>
      <c r="DS801">
        <f>IF(ISBLANK('Data Entry'!$»$801), "", 'Data Entry'!$»$801)</f>
      </c>
      <c r="DT801">
        <f>IF(ISBLANK('Data Entry'!$¼$801), "", 'Data Entry'!$¼$801)</f>
      </c>
      <c r="DU801">
        <f>IF(ISBLANK('Data Entry'!$½$801), "", 'Data Entry'!$½$801)</f>
      </c>
      <c r="DV801">
        <f>IF(ISBLANK('Data Entry'!$¾$801), "", 'Data Entry'!$¾$801)</f>
      </c>
      <c r="DW801">
        <f>IF(ISBLANK('Data Entry'!$¿$801), "", 'Data Entry'!$¿$801)</f>
      </c>
      <c r="DX801">
        <f>IF(ISBLANK('Data Entry'!$À$801), "", 'Data Entry'!$À$801)</f>
      </c>
      <c r="DY801">
        <f>IF(ISBLANK('Data Entry'!$Á$801), "", 'Data Entry'!$Á$801)</f>
      </c>
      <c r="DZ801">
        <f>IF(ISBLANK('Data Entry'!$Â$801), "", 'Data Entry'!$Â$801)</f>
      </c>
      <c r="EA801">
        <f>IF(ISBLANK('Data Entry'!$Ã$801), "", 'Data Entry'!$Ã$801)</f>
      </c>
      <c r="EB801">
        <f>IF(ISBLANK('Data Entry'!$Ä$801), "", 'Data Entry'!$Ä$801)</f>
      </c>
      <c r="EC801">
        <f>IF(ISBLANK('Data Entry'!$Å$801), "", 'Data Entry'!$Å$801)</f>
      </c>
      <c r="ED801">
        <f>IF(ISBLANK('Data Entry'!$Æ$801), "", 'Data Entry'!$Æ$801)</f>
      </c>
      <c r="EE801">
        <f>IF(ISBLANK('Data Entry'!$Ç$801), "", 'Data Entry'!$Ç$801)</f>
      </c>
      <c r="EF801">
        <f>IF(ISBLANK('Data Entry'!$È$801), "", 'Data Entry'!$È$801)</f>
      </c>
      <c r="EG801">
        <f>IF(ISBLANK('Data Entry'!$É$801), "", 'Data Entry'!$É$801)</f>
      </c>
      <c r="EH801">
        <f>IF(ISBLANK('Data Entry'!$Ê$801), "", 'Data Entry'!$Ê$801)</f>
      </c>
      <c r="EI801">
        <f>IF(ISBLANK('Data Entry'!$Ë$801), "", 'Data Entry'!$Ë$801)</f>
      </c>
      <c r="EJ801">
        <f>IF(ISBLANK('Data Entry'!$Ì$801), "", 'Data Entry'!$Ì$801)</f>
      </c>
      <c r="EK801">
        <f>IF(ISBLANK('Data Entry'!$Í$801), "", 'Data Entry'!$Í$801)</f>
      </c>
      <c r="EL801">
        <f>IF(ISBLANK('Data Entry'!$Î$801), "", 'Data Entry'!$Î$801)</f>
      </c>
      <c r="EM801">
        <f>IF(ISBLANK('Data Entry'!$Ï$801), "", 'Data Entry'!$Ï$801)</f>
      </c>
      <c r="EN801">
        <f>IF(ISBLANK('Data Entry'!$Ð$801), "", 'Data Entry'!$Ð$801)</f>
      </c>
      <c r="EO801">
        <f>IF(ISBLANK('Data Entry'!$Ñ$801), "", 'Data Entry'!$Ñ$801)</f>
      </c>
      <c r="EP801">
        <f>IF(ISBLANK('Data Entry'!$Ò$801), "", 'Data Entry'!$Ò$801)</f>
      </c>
      <c r="EQ801">
        <f>IF(ISBLANK('Data Entry'!$Ó$801), "", 'Data Entry'!$Ó$801)</f>
      </c>
      <c r="ER801">
        <f>IF(ISBLANK('Data Entry'!$Ô$801), "", 'Data Entry'!$Ô$801)</f>
      </c>
      <c r="ES801">
        <f>IF(ISBLANK('Data Entry'!$Õ$801), "", 'Data Entry'!$Õ$801)</f>
      </c>
      <c r="ET801">
        <f>IF(ISBLANK('Data Entry'!$Ö$801), "", 'Data Entry'!$Ö$801)</f>
      </c>
      <c r="EU801">
        <f>IF(ISBLANK('Data Entry'!$×$801), "", 'Data Entry'!$×$801)</f>
      </c>
      <c r="EV801">
        <f>IF(ISBLANK('Data Entry'!$Ø$801), "", 'Data Entry'!$Ø$801)</f>
      </c>
      <c r="EW801">
        <f>IF(ISBLANK('Data Entry'!$Ù$801), "", 'Data Entry'!$Ù$801)</f>
      </c>
      <c r="EX801">
        <f>IF(ISBLANK('Data Entry'!$Ú$801), "", 'Data Entry'!$Ú$801)</f>
      </c>
      <c r="EY801">
        <f>IF(ISBLANK('Data Entry'!$Û$801), "", 'Data Entry'!$Û$801)</f>
      </c>
      <c r="EZ801">
        <f>IF(ISBLANK('Data Entry'!$Ü$801), "", 'Data Entry'!$Ü$801)</f>
      </c>
      <c r="FA801">
        <f>IF(ISBLANK('Data Entry'!$Ý$801), "", 'Data Entry'!$Ý$801)</f>
      </c>
      <c r="FB801">
        <f>IF(ISBLANK('Data Entry'!$Þ$801), "", 'Data Entry'!$Þ$801)</f>
      </c>
      <c r="FC801">
        <f>IF(ISBLANK('Data Entry'!$ß$801), "", 'Data Entry'!$ß$801)</f>
      </c>
      <c r="FD801">
        <f>IF(ISBLANK('Data Entry'!$à$801), "", 'Data Entry'!$à$801)</f>
      </c>
      <c r="FE801">
        <f>IF(ISBLANK('Data Entry'!$á$801), "", 'Data Entry'!$á$801)</f>
      </c>
      <c r="FF801">
        <f>IF(ISBLANK('Data Entry'!$â$801), "", 'Data Entry'!$â$801)</f>
      </c>
      <c r="FG801">
        <f>IF(ISBLANK('Data Entry'!$ã$801), "", 'Data Entry'!$ã$801)</f>
      </c>
      <c r="FH801">
        <f>IF(ISBLANK('Data Entry'!$ä$801), "", 'Data Entry'!$ä$801)</f>
      </c>
      <c r="FI801">
        <f>IF(ISBLANK('Data Entry'!$å$801), "", 'Data Entry'!$å$801)</f>
      </c>
      <c r="FJ801">
        <f>IF(ISBLANK('Data Entry'!$æ$801), "", 'Data Entry'!$æ$801)</f>
      </c>
      <c r="FK801">
        <f>IF(ISBLANK('Data Entry'!$ç$801), "", 'Data Entry'!$ç$801)</f>
      </c>
      <c r="FL801">
        <f>IF(ISBLANK('Data Entry'!$è$801), "", 'Data Entry'!$è$801)</f>
      </c>
      <c r="FM801">
        <f>IF(ISBLANK('Data Entry'!$é$801), "", 'Data Entry'!$é$801)</f>
      </c>
      <c r="FN801">
        <f>IF(ISBLANK('Data Entry'!$ê$801), "", 'Data Entry'!$ê$801)</f>
      </c>
      <c r="FO801">
        <f>IF(ISBLANK('Data Entry'!$ë$801), "", 'Data Entry'!$ë$801)</f>
      </c>
      <c r="FP801">
        <f>IF(ISBLANK('Data Entry'!$ì$801), "", 'Data Entry'!$ì$801)</f>
      </c>
      <c r="FQ801">
        <f>IF(ISBLANK('Data Entry'!$í$801), "", 'Data Entry'!$í$801)</f>
      </c>
      <c r="FR801">
        <f>IF(ISBLANK('Data Entry'!$î$801), "", 'Data Entry'!$î$801)</f>
      </c>
      <c r="FS801">
        <f>IF(ISBLANK('Data Entry'!$ï$801), "", 'Data Entry'!$ï$801)</f>
      </c>
      <c r="FT801">
        <f>IF(ISBLANK('Data Entry'!$ð$801), "", 'Data Entry'!$ð$801)</f>
      </c>
      <c r="FU801">
        <f>IF(ISBLANK('Data Entry'!$ñ$801), "", 'Data Entry'!$ñ$801)</f>
      </c>
      <c r="FV801">
        <f>IF(ISBLANK('Data Entry'!$ò$801), "", 'Data Entry'!$ò$801)</f>
      </c>
      <c r="FW801">
        <f>IF(ISBLANK('Data Entry'!$ó$801), "", 'Data Entry'!$ó$801)</f>
      </c>
      <c r="FX801">
        <f>IF(ISBLANK('Data Entry'!$ô$801), "", 'Data Entry'!$ô$801)</f>
      </c>
      <c r="FY801">
        <f>IF(ISBLANK('Data Entry'!$õ$801), "", 'Data Entry'!$õ$801)</f>
      </c>
      <c r="FZ801">
        <f>IF(ISBLANK('Data Entry'!$ö$801), "", 'Data Entry'!$ö$801)</f>
      </c>
      <c r="GA801">
        <f>IF(ISBLANK('Data Entry'!$÷$801), "", 'Data Entry'!$÷$801)</f>
      </c>
      <c r="GB801">
        <f>IF(ISBLANK('Data Entry'!$ø$801), "", 'Data Entry'!$ø$801)</f>
      </c>
      <c r="GC801">
        <f>IF(ISBLANK('Data Entry'!$ù$801), "", 'Data Entry'!$ù$801)</f>
      </c>
      <c r="GD801">
        <f>IF(ISBLANK('Data Entry'!$ú$801), "", 'Data Entry'!$ú$801)</f>
      </c>
      <c r="GE801">
        <f>IF(ISBLANK('Data Entry'!$û$801), "", 'Data Entry'!$û$801)</f>
      </c>
      <c r="GF801">
        <f>IF(ISBLANK('Data Entry'!$ü$801), "", 'Data Entry'!$ü$801)</f>
      </c>
      <c r="GG801">
        <f>IF(ISBLANK('Data Entry'!$ý$801), "", 'Data Entry'!$ý$801)</f>
      </c>
      <c r="GH801">
        <f>IF(ISBLANK('Data Entry'!$þ$801), "", 'Data Entry'!$þ$801)</f>
      </c>
      <c r="GI801">
        <f>IF(ISBLANK('Data Entry'!$ÿ$801), "", 'Data Entry'!$ÿ$801)</f>
      </c>
      <c r="GJ801">
        <f>IF(ISBLANK('Data Entry'!$Ā$801), "", 'Data Entry'!$Ā$801)</f>
      </c>
      <c r="GK801">
        <f>IF(ISBLANK('Data Entry'!$ā$801), "", 'Data Entry'!$ā$801)</f>
      </c>
      <c r="GL801">
        <f>IF(ISBLANK('Data Entry'!$Ă$801), "", 'Data Entry'!$Ă$801)</f>
      </c>
      <c r="GM801">
        <f>IF(ISBLANK('Data Entry'!$ă$801), "", 'Data Entry'!$ă$801)</f>
      </c>
      <c r="GN801">
        <f>IF(ISBLANK('Data Entry'!$Ą$801), "", 'Data Entry'!$Ą$801)</f>
      </c>
      <c r="GO801">
        <f>IF(ISBLANK('Data Entry'!$ą$801), "", 'Data Entry'!$ą$801)</f>
      </c>
      <c r="GP801">
        <f>IF(ISBLANK('Data Entry'!$Ć$801), "", 'Data Entry'!$Ć$801)</f>
      </c>
      <c r="GQ801">
        <f>IF(ISBLANK('Data Entry'!$ć$801), "", 'Data Entry'!$ć$801)</f>
      </c>
      <c r="GR801">
        <f>IF(ISBLANK('Data Entry'!$Ĉ$801), "", 'Data Entry'!$Ĉ$801)</f>
      </c>
      <c r="GS801">
        <f>IF(ISBLANK('Data Entry'!$ĉ$801), "", 'Data Entry'!$ĉ$801)</f>
      </c>
      <c r="GT801">
        <f>IF(ISBLANK('Data Entry'!$Ċ$801), "", 'Data Entry'!$Ċ$801)</f>
      </c>
      <c r="GU801">
        <f>IF(ISBLANK('Data Entry'!$ċ$801), "", 'Data Entry'!$ċ$801)</f>
      </c>
      <c r="GV801">
        <f>IF(ISBLANK('Data Entry'!$Č$801), "", 'Data Entry'!$Č$801)</f>
      </c>
      <c r="GW801">
        <f>IF(ISBLANK('Data Entry'!$č$801), "", 'Data Entry'!$č$801)</f>
      </c>
      <c r="GX801">
        <f>IF(ISBLANK('Data Entry'!$Ď$801), "", 'Data Entry'!$Ď$801)</f>
      </c>
      <c r="GY801">
        <f>IF(ISBLANK('Data Entry'!$ď$801), "", 'Data Entry'!$ď$801)</f>
      </c>
      <c r="GZ801">
        <f>IF(ISBLANK('Data Entry'!$Đ$801), "", 'Data Entry'!$Đ$801)</f>
      </c>
      <c r="HA801">
        <f>IF(ISBLANK('Data Entry'!$đ$801), "", 'Data Entry'!$đ$801)</f>
      </c>
      <c r="HB801">
        <f>IF(ISBLANK('Data Entry'!$Ē$801), "", 'Data Entry'!$Ē$801)</f>
      </c>
      <c r="HC801">
        <f>IF(ISBLANK('Data Entry'!$ē$801), "", 'Data Entry'!$ē$801)</f>
      </c>
      <c r="HD801">
        <f>IF(ISBLANK('Data Entry'!$Ĕ$801), "", 'Data Entry'!$Ĕ$801)</f>
      </c>
      <c r="HE801">
        <f>IF(ISBLANK('Data Entry'!$ĕ$801), "", 'Data Entry'!$ĕ$801)</f>
      </c>
      <c r="HF801">
        <f>IF(ISBLANK('Data Entry'!$Ė$801), "", 'Data Entry'!$Ė$801)</f>
      </c>
      <c r="HG801">
        <f>IF(ISBLANK('Data Entry'!$ė$801), "", 'Data Entry'!$ė$801)</f>
      </c>
      <c r="HH801">
        <f>IF(ISBLANK('Data Entry'!$Ę$801), "", 'Data Entry'!$Ę$801)</f>
      </c>
      <c r="HI801">
        <f>IF(ISBLANK('Data Entry'!$ę$801), "", 'Data Entry'!$ę$801)</f>
      </c>
      <c r="HJ801">
        <f>IF(ISBLANK('Data Entry'!$Ě$801), "", 'Data Entry'!$Ě$801)</f>
      </c>
      <c r="HK801">
        <f>IF(ISBLANK('Data Entry'!$ě$801), "", 'Data Entry'!$ě$801)</f>
      </c>
      <c r="HL801">
        <f>IF(ISBLANK('Data Entry'!$Ĝ$801), "", 'Data Entry'!$Ĝ$801)</f>
      </c>
      <c r="HM801">
        <f>IF(ISBLANK('Data Entry'!$ĝ$801), "", 'Data Entry'!$ĝ$801)</f>
      </c>
      <c r="HN801">
        <f>IF(ISBLANK('Data Entry'!$Ğ$801), "", 'Data Entry'!$Ğ$801)</f>
      </c>
      <c r="HO801">
        <f>IF(ISBLANK('Data Entry'!$ğ$801), "", 'Data Entry'!$ğ$801)</f>
      </c>
      <c r="HP801">
        <f>IF(ISBLANK('Data Entry'!$Ġ$801), "", 'Data Entry'!$Ġ$801)</f>
      </c>
      <c r="HQ801">
        <f>IF(ISBLANK('Data Entry'!$ġ$801), "", 'Data Entry'!$ġ$801)</f>
      </c>
      <c r="HR801">
        <f>IF(ISBLANK('Data Entry'!$Ģ$801), "", 'Data Entry'!$Ģ$801)</f>
      </c>
      <c r="HS801">
        <f>IF(ISBLANK('Data Entry'!$ģ$801), "", 'Data Entry'!$ģ$801)</f>
      </c>
      <c r="HT801">
        <f>IF(ISBLANK('Data Entry'!$Ĥ$801), "", 'Data Entry'!$Ĥ$801)</f>
      </c>
      <c r="HU801">
        <f>IF(ISBLANK('Data Entry'!$ĥ$801), "", 'Data Entry'!$ĥ$801)</f>
      </c>
      <c r="HV801">
        <f>IF(ISBLANK('Data Entry'!$Ħ$801), "", 'Data Entry'!$Ħ$801)</f>
      </c>
      <c r="HW801">
        <f>IF(ISBLANK('Data Entry'!$ħ$801), "", 'Data Entry'!$ħ$801)</f>
      </c>
      <c r="HX801">
        <f>IF(ISBLANK('Data Entry'!$Ĩ$801), "", 'Data Entry'!$Ĩ$801)</f>
      </c>
      <c r="HY801">
        <f>IF(ISBLANK('Data Entry'!$ĩ$801), "", 'Data Entry'!$ĩ$801)</f>
      </c>
      <c r="HZ801">
        <f>IF(ISBLANK('Data Entry'!$Ī$801), "", 'Data Entry'!$Ī$801)</f>
      </c>
      <c r="IA801">
        <f>IF(ISBLANK('Data Entry'!$ī$801), "", 'Data Entry'!$ī$801)</f>
      </c>
      <c r="IB801">
        <f>IF(ISBLANK('Data Entry'!$Ĭ$801), "", 'Data Entry'!$Ĭ$801)</f>
      </c>
      <c r="IC801">
        <f>IF(ISBLANK('Data Entry'!$ĭ$801), "", 'Data Entry'!$ĭ$801)</f>
      </c>
      <c r="ID801">
        <f>IF(ISBLANK('Data Entry'!$Į$801), "", 'Data Entry'!$Į$801)</f>
      </c>
      <c r="IE801">
        <f>IF(ISBLANK('Data Entry'!$į$801), "", 'Data Entry'!$į$801)</f>
      </c>
      <c r="IF801">
        <f>IF(ISBLANK('Data Entry'!$İ$801), "", 'Data Entry'!$İ$801)</f>
      </c>
      <c r="IG801">
        <f>IF(ISBLANK('Data Entry'!$ı$801), "", 'Data Entry'!$ı$801)</f>
      </c>
      <c r="IH801">
        <f>IF(ISBLANK('Data Entry'!$Ĳ$801), "", 'Data Entry'!$Ĳ$801)</f>
      </c>
      <c r="II801">
        <f>IF(ISBLANK('Data Entry'!$ĳ$801), "", 'Data Entry'!$ĳ$801)</f>
      </c>
      <c r="IJ801">
        <f>IF(ISBLANK('Data Entry'!$Ĵ$801), "", 'Data Entry'!$Ĵ$801)</f>
      </c>
      <c r="IK801">
        <f>IF(ISBLANK('Data Entry'!$ĵ$801), "", 'Data Entry'!$ĵ$801)</f>
      </c>
      <c r="IL801">
        <f>IF(ISBLANK('Data Entry'!$Ķ$801), "", 'Data Entry'!$Ķ$801)</f>
      </c>
      <c r="IM801">
        <f>IF(ISBLANK('Data Entry'!$ķ$801), "", 'Data Entry'!$ķ$801)</f>
      </c>
      <c r="IN801">
        <f>IF(ISBLANK('Data Entry'!$ĸ$801), "", 'Data Entry'!$ĸ$801)</f>
      </c>
      <c r="IO801">
        <f>IF(ISBLANK('Data Entry'!$Ĺ$801), "", 'Data Entry'!$Ĺ$801)</f>
      </c>
      <c r="IP801">
        <f>IF(ISBLANK('Data Entry'!$ĺ$801), "", 'Data Entry'!$ĺ$801)</f>
      </c>
      <c r="IQ801">
        <f>IF(ISBLANK('Data Entry'!$Ļ$801), "", 'Data Entry'!$Ļ$801)</f>
      </c>
      <c r="IR801">
        <f>IF(ISBLANK('Data Entry'!$ļ$801), "", 'Data Entry'!$ļ$801)</f>
      </c>
      <c r="IS801">
        <f>IF(ISBLANK('Data Entry'!$Ľ$801), "", 'Data Entry'!$Ľ$801)</f>
      </c>
      <c r="IT801">
        <f>IF(ISBLANK('Data Entry'!$ľ$801), "", 'Data Entry'!$ľ$801)</f>
      </c>
    </row>
    <row r="802" spans="1:254" x14ac:dyDescent="0.25">
      <c r="A802">
        <f>IF(ISBLANK('Data Entry'!$A$802), "", 'Data Entry'!$A$802)</f>
      </c>
      <c r="B802">
        <f>IF(ISBLANK('Data Entry'!$B$802), "", 'Data Entry'!$B$802)</f>
      </c>
      <c r="C802">
        <f>IF(ISBLANK('Data Entry'!$C$802), "", 'Data Entry'!$C$802)</f>
      </c>
      <c r="D802">
        <f>IF(ISBLANK('Data Entry'!$D$802), "", 'Data Entry'!$D$802)</f>
      </c>
      <c r="E802">
        <f>IF(ISBLANK('Data Entry'!$E$802), "", 'Data Entry'!$E$802)</f>
      </c>
      <c r="F802">
        <f>IF(ISBLANK('Data Entry'!$F$802), "", 'Data Entry'!$F$802)</f>
      </c>
      <c r="G802">
        <f>IF(ISBLANK('Data Entry'!$G$802), "", 'Data Entry'!$G$802)</f>
      </c>
      <c r="H802">
        <f>IF(ISBLANK('Data Entry'!$H$802), "", 'Data Entry'!$H$802)</f>
      </c>
      <c r="I802">
        <f>IF(ISBLANK('Data Entry'!$I$802), "", 'Data Entry'!$I$802)</f>
      </c>
      <c r="J802">
        <f>IF(ISBLANK('Data Entry'!$J$802), "", 'Data Entry'!$J$802)</f>
      </c>
      <c r="K802">
        <f>IF(ISBLANK('Data Entry'!$K$802), "", 'Data Entry'!$K$802)</f>
      </c>
      <c r="L802">
        <f>IF(ISBLANK('Data Entry'!$L$802), "", 'Data Entry'!$L$802)</f>
      </c>
      <c r="M802">
        <f>IF(ISBLANK('Data Entry'!$M$802), "", 'Data Entry'!$M$802)</f>
      </c>
      <c r="N802">
        <f>IF(ISBLANK('Data Entry'!$N$802), "", 'Data Entry'!$N$802)</f>
      </c>
      <c r="O802">
        <f>IF(ISBLANK('Data Entry'!$O$802), "", 'Data Entry'!$O$802)</f>
      </c>
      <c r="P802">
        <f>IF(ISBLANK('Data Entry'!$P$802), "", 'Data Entry'!$P$802)</f>
      </c>
      <c r="Q802">
        <f>IF(ISBLANK('Data Entry'!$Q$802), "", 'Data Entry'!$Q$802)</f>
      </c>
      <c r="R802">
        <f>IF(ISBLANK('Data Entry'!$R$802), "", 'Data Entry'!$R$802)</f>
      </c>
      <c r="S802">
        <f>IF(ISBLANK('Data Entry'!$S$802), "", 'Data Entry'!$S$802)</f>
      </c>
      <c r="T802">
        <f>IF(ISBLANK('Data Entry'!$T$802), "", 'Data Entry'!$T$802)</f>
      </c>
      <c r="U802">
        <f>IF(ISBLANK('Data Entry'!$U$802), "", 'Data Entry'!$U$802)</f>
      </c>
      <c r="V802">
        <f>IF(ISBLANK('Data Entry'!$V$802), "", 'Data Entry'!$V$802)</f>
      </c>
      <c r="W802">
        <f>IF(ISBLANK('Data Entry'!$W$802), "", 'Data Entry'!$W$802)</f>
      </c>
      <c r="X802">
        <f>IF(ISBLANK('Data Entry'!$X$802), "", 'Data Entry'!$X$802)</f>
      </c>
      <c r="Y802">
        <f>IF(ISBLANK('Data Entry'!$Y$802), "", 'Data Entry'!$Y$802)</f>
      </c>
      <c r="Z802">
        <f>IF(ISBLANK('Data Entry'!$Z$802), "", 'Data Entry'!$Z$802)</f>
      </c>
      <c r="AA802">
        <f>IF(ISBLANK('Data Entry'!$[$802), "", 'Data Entry'!$[$802)</f>
      </c>
      <c r="AB802">
        <f>IF(ISBLANK('Data Entry'!$\$802), "", 'Data Entry'!$\$802)</f>
      </c>
      <c r="AC802">
        <f>IF(ISBLANK('Data Entry'!$]$802), "", 'Data Entry'!$]$802)</f>
      </c>
      <c r="AD802">
        <f>IF(ISBLANK('Data Entry'!$^$802), "", 'Data Entry'!$^$802)</f>
      </c>
      <c r="AE802">
        <f>IF(ISBLANK('Data Entry'!$_$802), "", 'Data Entry'!$_$802)</f>
      </c>
      <c r="AF802">
        <f>IF(ISBLANK('Data Entry'!$`$802), "", 'Data Entry'!$`$802)</f>
      </c>
      <c r="AG802">
        <f>IF(ISBLANK('Data Entry'!$a$802), "", 'Data Entry'!$a$802)</f>
      </c>
      <c r="AH802">
        <f>IF(ISBLANK('Data Entry'!$b$802), "", 'Data Entry'!$b$802)</f>
      </c>
      <c r="AI802">
        <f>IF(ISBLANK('Data Entry'!$c$802), "", 'Data Entry'!$c$802)</f>
      </c>
      <c r="AJ802">
        <f>IF(ISBLANK('Data Entry'!$d$802), "", 'Data Entry'!$d$802)</f>
      </c>
      <c r="AK802">
        <f>IF(ISBLANK('Data Entry'!$e$802), "", 'Data Entry'!$e$802)</f>
      </c>
      <c r="AL802">
        <f>IF(ISBLANK('Data Entry'!$f$802), "", 'Data Entry'!$f$802)</f>
      </c>
      <c r="AM802">
        <f>IF(ISBLANK('Data Entry'!$g$802), "", 'Data Entry'!$g$802)</f>
      </c>
      <c r="AN802">
        <f>IF(ISBLANK('Data Entry'!$h$802), "", 'Data Entry'!$h$802)</f>
      </c>
      <c r="AO802">
        <f>IF(ISBLANK('Data Entry'!$i$802), "", 'Data Entry'!$i$802)</f>
      </c>
      <c r="AP802">
        <f>IF(ISBLANK('Data Entry'!$j$802), "", 'Data Entry'!$j$802)</f>
      </c>
      <c r="AQ802">
        <f>IF(ISBLANK('Data Entry'!$k$802), "", 'Data Entry'!$k$802)</f>
      </c>
      <c r="AR802">
        <f>IF(ISBLANK('Data Entry'!$l$802), "", 'Data Entry'!$l$802)</f>
      </c>
      <c r="AS802">
        <f>IF(ISBLANK('Data Entry'!$m$802), "", 'Data Entry'!$m$802)</f>
      </c>
      <c r="AT802">
        <f>IF(ISBLANK('Data Entry'!$n$802), "", 'Data Entry'!$n$802)</f>
      </c>
      <c r="AU802">
        <f>IF(ISBLANK('Data Entry'!$o$802), "", 'Data Entry'!$o$802)</f>
      </c>
      <c r="AV802">
        <f>IF(ISBLANK('Data Entry'!$p$802), "", 'Data Entry'!$p$802)</f>
      </c>
      <c r="AW802">
        <f>IF(ISBLANK('Data Entry'!$q$802), "", 'Data Entry'!$q$802)</f>
      </c>
      <c r="AX802">
        <f>IF(ISBLANK('Data Entry'!$r$802), "", 'Data Entry'!$r$802)</f>
      </c>
      <c r="AY802">
        <f>IF(ISBLANK('Data Entry'!$s$802), "", 'Data Entry'!$s$802)</f>
      </c>
      <c r="AZ802">
        <f>IF(ISBLANK('Data Entry'!$t$802), "", 'Data Entry'!$t$802)</f>
      </c>
      <c r="BA802">
        <f>IF(ISBLANK('Data Entry'!$u$802), "", 'Data Entry'!$u$802)</f>
      </c>
      <c r="BB802">
        <f>IF(ISBLANK('Data Entry'!$v$802), "", 'Data Entry'!$v$802)</f>
      </c>
      <c r="BC802">
        <f>IF(ISBLANK('Data Entry'!$w$802), "", 'Data Entry'!$w$802)</f>
      </c>
      <c r="BD802">
        <f>IF(ISBLANK('Data Entry'!$x$802), "", 'Data Entry'!$x$802)</f>
      </c>
      <c r="BE802">
        <f>IF(ISBLANK('Data Entry'!$y$802), "", 'Data Entry'!$y$802)</f>
      </c>
      <c r="BF802">
        <f>IF(ISBLANK('Data Entry'!$z$802), "", 'Data Entry'!$z$802)</f>
      </c>
      <c r="BG802">
        <f>IF(ISBLANK('Data Entry'!${$802), "", 'Data Entry'!${$802)</f>
      </c>
      <c r="BH802">
        <f>IF(ISBLANK('Data Entry'!$|$802), "", 'Data Entry'!$|$802)</f>
      </c>
      <c r="BI802">
        <f>IF(ISBLANK('Data Entry'!$}$802), "", 'Data Entry'!$}$802)</f>
      </c>
      <c r="BJ802">
        <f>IF(ISBLANK('Data Entry'!$~$802), "", 'Data Entry'!$~$802)</f>
      </c>
      <c r="BK802">
        <f>IF(ISBLANK('Data Entry'!$$802), "", 'Data Entry'!$$802)</f>
      </c>
      <c r="BL802">
        <f>IF(ISBLANK('Data Entry'!$$802), "", 'Data Entry'!$$802)</f>
      </c>
      <c r="BM802">
        <f>IF(ISBLANK('Data Entry'!$$802), "", 'Data Entry'!$$802)</f>
      </c>
      <c r="BN802">
        <f>IF(ISBLANK('Data Entry'!$$802), "", 'Data Entry'!$$802)</f>
      </c>
      <c r="BO802">
        <f>IF(ISBLANK('Data Entry'!$$802), "", 'Data Entry'!$$802)</f>
      </c>
      <c r="BP802">
        <f>IF(ISBLANK('Data Entry'!$$802), "", 'Data Entry'!$$802)</f>
      </c>
      <c r="BQ802">
        <f>IF(ISBLANK('Data Entry'!$$802), "", 'Data Entry'!$$802)</f>
      </c>
      <c r="BR802">
        <f>IF(ISBLANK('Data Entry'!$$802), "", 'Data Entry'!$$802)</f>
      </c>
      <c r="BS802">
        <f>IF(ISBLANK('Data Entry'!$$802), "", 'Data Entry'!$$802)</f>
      </c>
      <c r="BT802">
        <f>IF(ISBLANK('Data Entry'!$$802), "", 'Data Entry'!$$802)</f>
      </c>
      <c r="BU802">
        <f>IF(ISBLANK('Data Entry'!$$802), "", 'Data Entry'!$$802)</f>
      </c>
      <c r="BV802">
        <f>IF(ISBLANK('Data Entry'!$$802), "", 'Data Entry'!$$802)</f>
      </c>
      <c r="BW802">
        <f>IF(ISBLANK('Data Entry'!$$802), "", 'Data Entry'!$$802)</f>
      </c>
      <c r="BX802">
        <f>IF(ISBLANK('Data Entry'!$$802), "", 'Data Entry'!$$802)</f>
      </c>
      <c r="BY802">
        <f>IF(ISBLANK('Data Entry'!$$802), "", 'Data Entry'!$$802)</f>
      </c>
      <c r="BZ802">
        <f>IF(ISBLANK('Data Entry'!$$802), "", 'Data Entry'!$$802)</f>
      </c>
      <c r="CA802">
        <f>IF(ISBLANK('Data Entry'!$$802), "", 'Data Entry'!$$802)</f>
      </c>
      <c r="CB802">
        <f>IF(ISBLANK('Data Entry'!$$802), "", 'Data Entry'!$$802)</f>
      </c>
      <c r="CC802">
        <f>IF(ISBLANK('Data Entry'!$$802), "", 'Data Entry'!$$802)</f>
      </c>
      <c r="CD802">
        <f>IF(ISBLANK('Data Entry'!$$802), "", 'Data Entry'!$$802)</f>
      </c>
      <c r="CE802">
        <f>IF(ISBLANK('Data Entry'!$$802), "", 'Data Entry'!$$802)</f>
      </c>
      <c r="CF802">
        <f>IF(ISBLANK('Data Entry'!$$802), "", 'Data Entry'!$$802)</f>
      </c>
      <c r="CG802">
        <f>IF(ISBLANK('Data Entry'!$$802), "", 'Data Entry'!$$802)</f>
      </c>
      <c r="CH802">
        <f>IF(ISBLANK('Data Entry'!$$802), "", 'Data Entry'!$$802)</f>
      </c>
      <c r="CI802">
        <f>IF(ISBLANK('Data Entry'!$$802), "", 'Data Entry'!$$802)</f>
      </c>
      <c r="CJ802">
        <f>IF(ISBLANK('Data Entry'!$$802), "", 'Data Entry'!$$802)</f>
      </c>
      <c r="CK802">
        <f>IF(ISBLANK('Data Entry'!$$802), "", 'Data Entry'!$$802)</f>
      </c>
      <c r="CL802">
        <f>IF(ISBLANK('Data Entry'!$$802), "", 'Data Entry'!$$802)</f>
      </c>
      <c r="CM802">
        <f>IF(ISBLANK('Data Entry'!$$802), "", 'Data Entry'!$$802)</f>
      </c>
      <c r="CN802">
        <f>IF(ISBLANK('Data Entry'!$$802), "", 'Data Entry'!$$802)</f>
      </c>
      <c r="CO802">
        <f>IF(ISBLANK('Data Entry'!$$802), "", 'Data Entry'!$$802)</f>
      </c>
      <c r="CP802">
        <f>IF(ISBLANK('Data Entry'!$$802), "", 'Data Entry'!$$802)</f>
      </c>
      <c r="CQ802">
        <f>IF(ISBLANK('Data Entry'!$$802), "", 'Data Entry'!$$802)</f>
      </c>
      <c r="CR802">
        <f>IF(ISBLANK('Data Entry'!$ $802), "", 'Data Entry'!$ $802)</f>
      </c>
      <c r="CS802">
        <f>IF(ISBLANK('Data Entry'!$¡$802), "", 'Data Entry'!$¡$802)</f>
      </c>
      <c r="CT802">
        <f>IF(ISBLANK('Data Entry'!$¢$802), "", 'Data Entry'!$¢$802)</f>
      </c>
      <c r="CU802">
        <f>IF(ISBLANK('Data Entry'!$£$802), "", 'Data Entry'!$£$802)</f>
      </c>
      <c r="CV802">
        <f>IF(ISBLANK('Data Entry'!$¤$802), "", 'Data Entry'!$¤$802)</f>
      </c>
      <c r="CW802">
        <f>IF(ISBLANK('Data Entry'!$¥$802), "", 'Data Entry'!$¥$802)</f>
      </c>
      <c r="CX802">
        <f>IF(ISBLANK('Data Entry'!$¦$802), "", 'Data Entry'!$¦$802)</f>
      </c>
      <c r="CY802">
        <f>IF(ISBLANK('Data Entry'!$§$802), "", 'Data Entry'!$§$802)</f>
      </c>
      <c r="CZ802">
        <f>IF(ISBLANK('Data Entry'!$¨$802), "", 'Data Entry'!$¨$802)</f>
      </c>
      <c r="DA802">
        <f>IF(ISBLANK('Data Entry'!$©$802), "", 'Data Entry'!$©$802)</f>
      </c>
      <c r="DB802">
        <f>IF(ISBLANK('Data Entry'!$ª$802), "", 'Data Entry'!$ª$802)</f>
      </c>
      <c r="DC802">
        <f>IF(ISBLANK('Data Entry'!$«$802), "", 'Data Entry'!$«$802)</f>
      </c>
      <c r="DD802">
        <f>IF(ISBLANK('Data Entry'!$¬$802), "", 'Data Entry'!$¬$802)</f>
      </c>
      <c r="DE802">
        <f>IF(ISBLANK('Data Entry'!$­$802), "", 'Data Entry'!$­$802)</f>
      </c>
      <c r="DF802">
        <f>IF(ISBLANK('Data Entry'!$®$802), "", 'Data Entry'!$®$802)</f>
      </c>
      <c r="DG802">
        <f>IF(ISBLANK('Data Entry'!$¯$802), "", 'Data Entry'!$¯$802)</f>
      </c>
      <c r="DH802">
        <f>IF(ISBLANK('Data Entry'!$°$802), "", 'Data Entry'!$°$802)</f>
      </c>
      <c r="DI802">
        <f>IF(ISBLANK('Data Entry'!$±$802), "", 'Data Entry'!$±$802)</f>
      </c>
      <c r="DJ802">
        <f>IF(ISBLANK('Data Entry'!$²$802), "", 'Data Entry'!$²$802)</f>
      </c>
      <c r="DK802">
        <f>IF(ISBLANK('Data Entry'!$³$802), "", 'Data Entry'!$³$802)</f>
      </c>
      <c r="DL802">
        <f>IF(ISBLANK('Data Entry'!$´$802), "", 'Data Entry'!$´$802)</f>
      </c>
      <c r="DM802">
        <f>IF(ISBLANK('Data Entry'!$µ$802), "", 'Data Entry'!$µ$802)</f>
      </c>
      <c r="DN802">
        <f>IF(ISBLANK('Data Entry'!$¶$802), "", 'Data Entry'!$¶$802)</f>
      </c>
      <c r="DO802">
        <f>IF(ISBLANK('Data Entry'!$·$802), "", 'Data Entry'!$·$802)</f>
      </c>
      <c r="DP802">
        <f>IF(ISBLANK('Data Entry'!$¸$802), "", 'Data Entry'!$¸$802)</f>
      </c>
      <c r="DQ802">
        <f>IF(ISBLANK('Data Entry'!$¹$802), "", 'Data Entry'!$¹$802)</f>
      </c>
      <c r="DR802">
        <f>IF(ISBLANK('Data Entry'!$º$802), "", 'Data Entry'!$º$802)</f>
      </c>
      <c r="DS802">
        <f>IF(ISBLANK('Data Entry'!$»$802), "", 'Data Entry'!$»$802)</f>
      </c>
      <c r="DT802">
        <f>IF(ISBLANK('Data Entry'!$¼$802), "", 'Data Entry'!$¼$802)</f>
      </c>
      <c r="DU802">
        <f>IF(ISBLANK('Data Entry'!$½$802), "", 'Data Entry'!$½$802)</f>
      </c>
      <c r="DV802">
        <f>IF(ISBLANK('Data Entry'!$¾$802), "", 'Data Entry'!$¾$802)</f>
      </c>
      <c r="DW802">
        <f>IF(ISBLANK('Data Entry'!$¿$802), "", 'Data Entry'!$¿$802)</f>
      </c>
      <c r="DX802">
        <f>IF(ISBLANK('Data Entry'!$À$802), "", 'Data Entry'!$À$802)</f>
      </c>
      <c r="DY802">
        <f>IF(ISBLANK('Data Entry'!$Á$802), "", 'Data Entry'!$Á$802)</f>
      </c>
      <c r="DZ802">
        <f>IF(ISBLANK('Data Entry'!$Â$802), "", 'Data Entry'!$Â$802)</f>
      </c>
      <c r="EA802">
        <f>IF(ISBLANK('Data Entry'!$Ã$802), "", 'Data Entry'!$Ã$802)</f>
      </c>
      <c r="EB802">
        <f>IF(ISBLANK('Data Entry'!$Ä$802), "", 'Data Entry'!$Ä$802)</f>
      </c>
      <c r="EC802">
        <f>IF(ISBLANK('Data Entry'!$Å$802), "", 'Data Entry'!$Å$802)</f>
      </c>
      <c r="ED802">
        <f>IF(ISBLANK('Data Entry'!$Æ$802), "", 'Data Entry'!$Æ$802)</f>
      </c>
      <c r="EE802">
        <f>IF(ISBLANK('Data Entry'!$Ç$802), "", 'Data Entry'!$Ç$802)</f>
      </c>
      <c r="EF802">
        <f>IF(ISBLANK('Data Entry'!$È$802), "", 'Data Entry'!$È$802)</f>
      </c>
      <c r="EG802">
        <f>IF(ISBLANK('Data Entry'!$É$802), "", 'Data Entry'!$É$802)</f>
      </c>
      <c r="EH802">
        <f>IF(ISBLANK('Data Entry'!$Ê$802), "", 'Data Entry'!$Ê$802)</f>
      </c>
      <c r="EI802">
        <f>IF(ISBLANK('Data Entry'!$Ë$802), "", 'Data Entry'!$Ë$802)</f>
      </c>
      <c r="EJ802">
        <f>IF(ISBLANK('Data Entry'!$Ì$802), "", 'Data Entry'!$Ì$802)</f>
      </c>
      <c r="EK802">
        <f>IF(ISBLANK('Data Entry'!$Í$802), "", 'Data Entry'!$Í$802)</f>
      </c>
      <c r="EL802">
        <f>IF(ISBLANK('Data Entry'!$Î$802), "", 'Data Entry'!$Î$802)</f>
      </c>
      <c r="EM802">
        <f>IF(ISBLANK('Data Entry'!$Ï$802), "", 'Data Entry'!$Ï$802)</f>
      </c>
      <c r="EN802">
        <f>IF(ISBLANK('Data Entry'!$Ð$802), "", 'Data Entry'!$Ð$802)</f>
      </c>
      <c r="EO802">
        <f>IF(ISBLANK('Data Entry'!$Ñ$802), "", 'Data Entry'!$Ñ$802)</f>
      </c>
      <c r="EP802">
        <f>IF(ISBLANK('Data Entry'!$Ò$802), "", 'Data Entry'!$Ò$802)</f>
      </c>
      <c r="EQ802">
        <f>IF(ISBLANK('Data Entry'!$Ó$802), "", 'Data Entry'!$Ó$802)</f>
      </c>
      <c r="ER802">
        <f>IF(ISBLANK('Data Entry'!$Ô$802), "", 'Data Entry'!$Ô$802)</f>
      </c>
      <c r="ES802">
        <f>IF(ISBLANK('Data Entry'!$Õ$802), "", 'Data Entry'!$Õ$802)</f>
      </c>
      <c r="ET802">
        <f>IF(ISBLANK('Data Entry'!$Ö$802), "", 'Data Entry'!$Ö$802)</f>
      </c>
      <c r="EU802">
        <f>IF(ISBLANK('Data Entry'!$×$802), "", 'Data Entry'!$×$802)</f>
      </c>
      <c r="EV802">
        <f>IF(ISBLANK('Data Entry'!$Ø$802), "", 'Data Entry'!$Ø$802)</f>
      </c>
      <c r="EW802">
        <f>IF(ISBLANK('Data Entry'!$Ù$802), "", 'Data Entry'!$Ù$802)</f>
      </c>
      <c r="EX802">
        <f>IF(ISBLANK('Data Entry'!$Ú$802), "", 'Data Entry'!$Ú$802)</f>
      </c>
      <c r="EY802">
        <f>IF(ISBLANK('Data Entry'!$Û$802), "", 'Data Entry'!$Û$802)</f>
      </c>
      <c r="EZ802">
        <f>IF(ISBLANK('Data Entry'!$Ü$802), "", 'Data Entry'!$Ü$802)</f>
      </c>
      <c r="FA802">
        <f>IF(ISBLANK('Data Entry'!$Ý$802), "", 'Data Entry'!$Ý$802)</f>
      </c>
      <c r="FB802">
        <f>IF(ISBLANK('Data Entry'!$Þ$802), "", 'Data Entry'!$Þ$802)</f>
      </c>
      <c r="FC802">
        <f>IF(ISBLANK('Data Entry'!$ß$802), "", 'Data Entry'!$ß$802)</f>
      </c>
      <c r="FD802">
        <f>IF(ISBLANK('Data Entry'!$à$802), "", 'Data Entry'!$à$802)</f>
      </c>
      <c r="FE802">
        <f>IF(ISBLANK('Data Entry'!$á$802), "", 'Data Entry'!$á$802)</f>
      </c>
      <c r="FF802">
        <f>IF(ISBLANK('Data Entry'!$â$802), "", 'Data Entry'!$â$802)</f>
      </c>
      <c r="FG802">
        <f>IF(ISBLANK('Data Entry'!$ã$802), "", 'Data Entry'!$ã$802)</f>
      </c>
      <c r="FH802">
        <f>IF(ISBLANK('Data Entry'!$ä$802), "", 'Data Entry'!$ä$802)</f>
      </c>
      <c r="FI802">
        <f>IF(ISBLANK('Data Entry'!$å$802), "", 'Data Entry'!$å$802)</f>
      </c>
      <c r="FJ802">
        <f>IF(ISBLANK('Data Entry'!$æ$802), "", 'Data Entry'!$æ$802)</f>
      </c>
      <c r="FK802">
        <f>IF(ISBLANK('Data Entry'!$ç$802), "", 'Data Entry'!$ç$802)</f>
      </c>
      <c r="FL802">
        <f>IF(ISBLANK('Data Entry'!$è$802), "", 'Data Entry'!$è$802)</f>
      </c>
      <c r="FM802">
        <f>IF(ISBLANK('Data Entry'!$é$802), "", 'Data Entry'!$é$802)</f>
      </c>
      <c r="FN802">
        <f>IF(ISBLANK('Data Entry'!$ê$802), "", 'Data Entry'!$ê$802)</f>
      </c>
      <c r="FO802">
        <f>IF(ISBLANK('Data Entry'!$ë$802), "", 'Data Entry'!$ë$802)</f>
      </c>
      <c r="FP802">
        <f>IF(ISBLANK('Data Entry'!$ì$802), "", 'Data Entry'!$ì$802)</f>
      </c>
      <c r="FQ802">
        <f>IF(ISBLANK('Data Entry'!$í$802), "", 'Data Entry'!$í$802)</f>
      </c>
      <c r="FR802">
        <f>IF(ISBLANK('Data Entry'!$î$802), "", 'Data Entry'!$î$802)</f>
      </c>
      <c r="FS802">
        <f>IF(ISBLANK('Data Entry'!$ï$802), "", 'Data Entry'!$ï$802)</f>
      </c>
      <c r="FT802">
        <f>IF(ISBLANK('Data Entry'!$ð$802), "", 'Data Entry'!$ð$802)</f>
      </c>
      <c r="FU802">
        <f>IF(ISBLANK('Data Entry'!$ñ$802), "", 'Data Entry'!$ñ$802)</f>
      </c>
      <c r="FV802">
        <f>IF(ISBLANK('Data Entry'!$ò$802), "", 'Data Entry'!$ò$802)</f>
      </c>
      <c r="FW802">
        <f>IF(ISBLANK('Data Entry'!$ó$802), "", 'Data Entry'!$ó$802)</f>
      </c>
      <c r="FX802">
        <f>IF(ISBLANK('Data Entry'!$ô$802), "", 'Data Entry'!$ô$802)</f>
      </c>
      <c r="FY802">
        <f>IF(ISBLANK('Data Entry'!$õ$802), "", 'Data Entry'!$õ$802)</f>
      </c>
      <c r="FZ802">
        <f>IF(ISBLANK('Data Entry'!$ö$802), "", 'Data Entry'!$ö$802)</f>
      </c>
      <c r="GA802">
        <f>IF(ISBLANK('Data Entry'!$÷$802), "", 'Data Entry'!$÷$802)</f>
      </c>
      <c r="GB802">
        <f>IF(ISBLANK('Data Entry'!$ø$802), "", 'Data Entry'!$ø$802)</f>
      </c>
      <c r="GC802">
        <f>IF(ISBLANK('Data Entry'!$ù$802), "", 'Data Entry'!$ù$802)</f>
      </c>
      <c r="GD802">
        <f>IF(ISBLANK('Data Entry'!$ú$802), "", 'Data Entry'!$ú$802)</f>
      </c>
      <c r="GE802">
        <f>IF(ISBLANK('Data Entry'!$û$802), "", 'Data Entry'!$û$802)</f>
      </c>
      <c r="GF802">
        <f>IF(ISBLANK('Data Entry'!$ü$802), "", 'Data Entry'!$ü$802)</f>
      </c>
      <c r="GG802">
        <f>IF(ISBLANK('Data Entry'!$ý$802), "", 'Data Entry'!$ý$802)</f>
      </c>
      <c r="GH802">
        <f>IF(ISBLANK('Data Entry'!$þ$802), "", 'Data Entry'!$þ$802)</f>
      </c>
      <c r="GI802">
        <f>IF(ISBLANK('Data Entry'!$ÿ$802), "", 'Data Entry'!$ÿ$802)</f>
      </c>
      <c r="GJ802">
        <f>IF(ISBLANK('Data Entry'!$Ā$802), "", 'Data Entry'!$Ā$802)</f>
      </c>
      <c r="GK802">
        <f>IF(ISBLANK('Data Entry'!$ā$802), "", 'Data Entry'!$ā$802)</f>
      </c>
      <c r="GL802">
        <f>IF(ISBLANK('Data Entry'!$Ă$802), "", 'Data Entry'!$Ă$802)</f>
      </c>
      <c r="GM802">
        <f>IF(ISBLANK('Data Entry'!$ă$802), "", 'Data Entry'!$ă$802)</f>
      </c>
      <c r="GN802">
        <f>IF(ISBLANK('Data Entry'!$Ą$802), "", 'Data Entry'!$Ą$802)</f>
      </c>
      <c r="GO802">
        <f>IF(ISBLANK('Data Entry'!$ą$802), "", 'Data Entry'!$ą$802)</f>
      </c>
      <c r="GP802">
        <f>IF(ISBLANK('Data Entry'!$Ć$802), "", 'Data Entry'!$Ć$802)</f>
      </c>
      <c r="GQ802">
        <f>IF(ISBLANK('Data Entry'!$ć$802), "", 'Data Entry'!$ć$802)</f>
      </c>
      <c r="GR802">
        <f>IF(ISBLANK('Data Entry'!$Ĉ$802), "", 'Data Entry'!$Ĉ$802)</f>
      </c>
      <c r="GS802">
        <f>IF(ISBLANK('Data Entry'!$ĉ$802), "", 'Data Entry'!$ĉ$802)</f>
      </c>
      <c r="GT802">
        <f>IF(ISBLANK('Data Entry'!$Ċ$802), "", 'Data Entry'!$Ċ$802)</f>
      </c>
      <c r="GU802">
        <f>IF(ISBLANK('Data Entry'!$ċ$802), "", 'Data Entry'!$ċ$802)</f>
      </c>
      <c r="GV802">
        <f>IF(ISBLANK('Data Entry'!$Č$802), "", 'Data Entry'!$Č$802)</f>
      </c>
      <c r="GW802">
        <f>IF(ISBLANK('Data Entry'!$č$802), "", 'Data Entry'!$č$802)</f>
      </c>
      <c r="GX802">
        <f>IF(ISBLANK('Data Entry'!$Ď$802), "", 'Data Entry'!$Ď$802)</f>
      </c>
      <c r="GY802">
        <f>IF(ISBLANK('Data Entry'!$ď$802), "", 'Data Entry'!$ď$802)</f>
      </c>
      <c r="GZ802">
        <f>IF(ISBLANK('Data Entry'!$Đ$802), "", 'Data Entry'!$Đ$802)</f>
      </c>
      <c r="HA802">
        <f>IF(ISBLANK('Data Entry'!$đ$802), "", 'Data Entry'!$đ$802)</f>
      </c>
      <c r="HB802">
        <f>IF(ISBLANK('Data Entry'!$Ē$802), "", 'Data Entry'!$Ē$802)</f>
      </c>
      <c r="HC802">
        <f>IF(ISBLANK('Data Entry'!$ē$802), "", 'Data Entry'!$ē$802)</f>
      </c>
      <c r="HD802">
        <f>IF(ISBLANK('Data Entry'!$Ĕ$802), "", 'Data Entry'!$Ĕ$802)</f>
      </c>
      <c r="HE802">
        <f>IF(ISBLANK('Data Entry'!$ĕ$802), "", 'Data Entry'!$ĕ$802)</f>
      </c>
      <c r="HF802">
        <f>IF(ISBLANK('Data Entry'!$Ė$802), "", 'Data Entry'!$Ė$802)</f>
      </c>
      <c r="HG802">
        <f>IF(ISBLANK('Data Entry'!$ė$802), "", 'Data Entry'!$ė$802)</f>
      </c>
      <c r="HH802">
        <f>IF(ISBLANK('Data Entry'!$Ę$802), "", 'Data Entry'!$Ę$802)</f>
      </c>
      <c r="HI802">
        <f>IF(ISBLANK('Data Entry'!$ę$802), "", 'Data Entry'!$ę$802)</f>
      </c>
      <c r="HJ802">
        <f>IF(ISBLANK('Data Entry'!$Ě$802), "", 'Data Entry'!$Ě$802)</f>
      </c>
      <c r="HK802">
        <f>IF(ISBLANK('Data Entry'!$ě$802), "", 'Data Entry'!$ě$802)</f>
      </c>
      <c r="HL802">
        <f>IF(ISBLANK('Data Entry'!$Ĝ$802), "", 'Data Entry'!$Ĝ$802)</f>
      </c>
      <c r="HM802">
        <f>IF(ISBLANK('Data Entry'!$ĝ$802), "", 'Data Entry'!$ĝ$802)</f>
      </c>
      <c r="HN802">
        <f>IF(ISBLANK('Data Entry'!$Ğ$802), "", 'Data Entry'!$Ğ$802)</f>
      </c>
      <c r="HO802">
        <f>IF(ISBLANK('Data Entry'!$ğ$802), "", 'Data Entry'!$ğ$802)</f>
      </c>
      <c r="HP802">
        <f>IF(ISBLANK('Data Entry'!$Ġ$802), "", 'Data Entry'!$Ġ$802)</f>
      </c>
      <c r="HQ802">
        <f>IF(ISBLANK('Data Entry'!$ġ$802), "", 'Data Entry'!$ġ$802)</f>
      </c>
      <c r="HR802">
        <f>IF(ISBLANK('Data Entry'!$Ģ$802), "", 'Data Entry'!$Ģ$802)</f>
      </c>
      <c r="HS802">
        <f>IF(ISBLANK('Data Entry'!$ģ$802), "", 'Data Entry'!$ģ$802)</f>
      </c>
      <c r="HT802">
        <f>IF(ISBLANK('Data Entry'!$Ĥ$802), "", 'Data Entry'!$Ĥ$802)</f>
      </c>
      <c r="HU802">
        <f>IF(ISBLANK('Data Entry'!$ĥ$802), "", 'Data Entry'!$ĥ$802)</f>
      </c>
      <c r="HV802">
        <f>IF(ISBLANK('Data Entry'!$Ħ$802), "", 'Data Entry'!$Ħ$802)</f>
      </c>
      <c r="HW802">
        <f>IF(ISBLANK('Data Entry'!$ħ$802), "", 'Data Entry'!$ħ$802)</f>
      </c>
      <c r="HX802">
        <f>IF(ISBLANK('Data Entry'!$Ĩ$802), "", 'Data Entry'!$Ĩ$802)</f>
      </c>
      <c r="HY802">
        <f>IF(ISBLANK('Data Entry'!$ĩ$802), "", 'Data Entry'!$ĩ$802)</f>
      </c>
      <c r="HZ802">
        <f>IF(ISBLANK('Data Entry'!$Ī$802), "", 'Data Entry'!$Ī$802)</f>
      </c>
      <c r="IA802">
        <f>IF(ISBLANK('Data Entry'!$ī$802), "", 'Data Entry'!$ī$802)</f>
      </c>
      <c r="IB802">
        <f>IF(ISBLANK('Data Entry'!$Ĭ$802), "", 'Data Entry'!$Ĭ$802)</f>
      </c>
      <c r="IC802">
        <f>IF(ISBLANK('Data Entry'!$ĭ$802), "", 'Data Entry'!$ĭ$802)</f>
      </c>
      <c r="ID802">
        <f>IF(ISBLANK('Data Entry'!$Į$802), "", 'Data Entry'!$Į$802)</f>
      </c>
      <c r="IE802">
        <f>IF(ISBLANK('Data Entry'!$į$802), "", 'Data Entry'!$į$802)</f>
      </c>
      <c r="IF802">
        <f>IF(ISBLANK('Data Entry'!$İ$802), "", 'Data Entry'!$İ$802)</f>
      </c>
      <c r="IG802">
        <f>IF(ISBLANK('Data Entry'!$ı$802), "", 'Data Entry'!$ı$802)</f>
      </c>
      <c r="IH802">
        <f>IF(ISBLANK('Data Entry'!$Ĳ$802), "", 'Data Entry'!$Ĳ$802)</f>
      </c>
      <c r="II802">
        <f>IF(ISBLANK('Data Entry'!$ĳ$802), "", 'Data Entry'!$ĳ$802)</f>
      </c>
      <c r="IJ802">
        <f>IF(ISBLANK('Data Entry'!$Ĵ$802), "", 'Data Entry'!$Ĵ$802)</f>
      </c>
      <c r="IK802">
        <f>IF(ISBLANK('Data Entry'!$ĵ$802), "", 'Data Entry'!$ĵ$802)</f>
      </c>
      <c r="IL802">
        <f>IF(ISBLANK('Data Entry'!$Ķ$802), "", 'Data Entry'!$Ķ$802)</f>
      </c>
      <c r="IM802">
        <f>IF(ISBLANK('Data Entry'!$ķ$802), "", 'Data Entry'!$ķ$802)</f>
      </c>
      <c r="IN802">
        <f>IF(ISBLANK('Data Entry'!$ĸ$802), "", 'Data Entry'!$ĸ$802)</f>
      </c>
      <c r="IO802">
        <f>IF(ISBLANK('Data Entry'!$Ĺ$802), "", 'Data Entry'!$Ĺ$802)</f>
      </c>
      <c r="IP802">
        <f>IF(ISBLANK('Data Entry'!$ĺ$802), "", 'Data Entry'!$ĺ$802)</f>
      </c>
      <c r="IQ802">
        <f>IF(ISBLANK('Data Entry'!$Ļ$802), "", 'Data Entry'!$Ļ$802)</f>
      </c>
      <c r="IR802">
        <f>IF(ISBLANK('Data Entry'!$ļ$802), "", 'Data Entry'!$ļ$802)</f>
      </c>
      <c r="IS802">
        <f>IF(ISBLANK('Data Entry'!$Ľ$802), "", 'Data Entry'!$Ľ$802)</f>
      </c>
      <c r="IT802">
        <f>IF(ISBLANK('Data Entry'!$ľ$802), "", 'Data Entry'!$ľ$802)</f>
      </c>
    </row>
    <row r="803" spans="1:254" x14ac:dyDescent="0.25">
      <c r="A803">
        <f>IF(ISBLANK('Data Entry'!$A$803), "", 'Data Entry'!$A$803)</f>
      </c>
      <c r="B803">
        <f>IF(ISBLANK('Data Entry'!$B$803), "", 'Data Entry'!$B$803)</f>
      </c>
      <c r="C803">
        <f>IF(ISBLANK('Data Entry'!$C$803), "", 'Data Entry'!$C$803)</f>
      </c>
      <c r="D803">
        <f>IF(ISBLANK('Data Entry'!$D$803), "", 'Data Entry'!$D$803)</f>
      </c>
      <c r="E803">
        <f>IF(ISBLANK('Data Entry'!$E$803), "", 'Data Entry'!$E$803)</f>
      </c>
      <c r="F803">
        <f>IF(ISBLANK('Data Entry'!$F$803), "", 'Data Entry'!$F$803)</f>
      </c>
      <c r="G803">
        <f>IF(ISBLANK('Data Entry'!$G$803), "", 'Data Entry'!$G$803)</f>
      </c>
      <c r="H803">
        <f>IF(ISBLANK('Data Entry'!$H$803), "", 'Data Entry'!$H$803)</f>
      </c>
      <c r="I803">
        <f>IF(ISBLANK('Data Entry'!$I$803), "", 'Data Entry'!$I$803)</f>
      </c>
      <c r="J803">
        <f>IF(ISBLANK('Data Entry'!$J$803), "", 'Data Entry'!$J$803)</f>
      </c>
      <c r="K803">
        <f>IF(ISBLANK('Data Entry'!$K$803), "", 'Data Entry'!$K$803)</f>
      </c>
      <c r="L803">
        <f>IF(ISBLANK('Data Entry'!$L$803), "", 'Data Entry'!$L$803)</f>
      </c>
      <c r="M803">
        <f>IF(ISBLANK('Data Entry'!$M$803), "", 'Data Entry'!$M$803)</f>
      </c>
      <c r="N803">
        <f>IF(ISBLANK('Data Entry'!$N$803), "", 'Data Entry'!$N$803)</f>
      </c>
      <c r="O803">
        <f>IF(ISBLANK('Data Entry'!$O$803), "", 'Data Entry'!$O$803)</f>
      </c>
      <c r="P803">
        <f>IF(ISBLANK('Data Entry'!$P$803), "", 'Data Entry'!$P$803)</f>
      </c>
      <c r="Q803">
        <f>IF(ISBLANK('Data Entry'!$Q$803), "", 'Data Entry'!$Q$803)</f>
      </c>
      <c r="R803">
        <f>IF(ISBLANK('Data Entry'!$R$803), "", 'Data Entry'!$R$803)</f>
      </c>
      <c r="S803">
        <f>IF(ISBLANK('Data Entry'!$S$803), "", 'Data Entry'!$S$803)</f>
      </c>
      <c r="T803">
        <f>IF(ISBLANK('Data Entry'!$T$803), "", 'Data Entry'!$T$803)</f>
      </c>
      <c r="U803">
        <f>IF(ISBLANK('Data Entry'!$U$803), "", 'Data Entry'!$U$803)</f>
      </c>
      <c r="V803">
        <f>IF(ISBLANK('Data Entry'!$V$803), "", 'Data Entry'!$V$803)</f>
      </c>
      <c r="W803">
        <f>IF(ISBLANK('Data Entry'!$W$803), "", 'Data Entry'!$W$803)</f>
      </c>
      <c r="X803">
        <f>IF(ISBLANK('Data Entry'!$X$803), "", 'Data Entry'!$X$803)</f>
      </c>
      <c r="Y803">
        <f>IF(ISBLANK('Data Entry'!$Y$803), "", 'Data Entry'!$Y$803)</f>
      </c>
      <c r="Z803">
        <f>IF(ISBLANK('Data Entry'!$Z$803), "", 'Data Entry'!$Z$803)</f>
      </c>
      <c r="AA803">
        <f>IF(ISBLANK('Data Entry'!$[$803), "", 'Data Entry'!$[$803)</f>
      </c>
      <c r="AB803">
        <f>IF(ISBLANK('Data Entry'!$\$803), "", 'Data Entry'!$\$803)</f>
      </c>
      <c r="AC803">
        <f>IF(ISBLANK('Data Entry'!$]$803), "", 'Data Entry'!$]$803)</f>
      </c>
      <c r="AD803">
        <f>IF(ISBLANK('Data Entry'!$^$803), "", 'Data Entry'!$^$803)</f>
      </c>
      <c r="AE803">
        <f>IF(ISBLANK('Data Entry'!$_$803), "", 'Data Entry'!$_$803)</f>
      </c>
      <c r="AF803">
        <f>IF(ISBLANK('Data Entry'!$`$803), "", 'Data Entry'!$`$803)</f>
      </c>
      <c r="AG803">
        <f>IF(ISBLANK('Data Entry'!$a$803), "", 'Data Entry'!$a$803)</f>
      </c>
      <c r="AH803">
        <f>IF(ISBLANK('Data Entry'!$b$803), "", 'Data Entry'!$b$803)</f>
      </c>
      <c r="AI803">
        <f>IF(ISBLANK('Data Entry'!$c$803), "", 'Data Entry'!$c$803)</f>
      </c>
      <c r="AJ803">
        <f>IF(ISBLANK('Data Entry'!$d$803), "", 'Data Entry'!$d$803)</f>
      </c>
      <c r="AK803">
        <f>IF(ISBLANK('Data Entry'!$e$803), "", 'Data Entry'!$e$803)</f>
      </c>
      <c r="AL803">
        <f>IF(ISBLANK('Data Entry'!$f$803), "", 'Data Entry'!$f$803)</f>
      </c>
      <c r="AM803">
        <f>IF(ISBLANK('Data Entry'!$g$803), "", 'Data Entry'!$g$803)</f>
      </c>
      <c r="AN803">
        <f>IF(ISBLANK('Data Entry'!$h$803), "", 'Data Entry'!$h$803)</f>
      </c>
      <c r="AO803">
        <f>IF(ISBLANK('Data Entry'!$i$803), "", 'Data Entry'!$i$803)</f>
      </c>
      <c r="AP803">
        <f>IF(ISBLANK('Data Entry'!$j$803), "", 'Data Entry'!$j$803)</f>
      </c>
      <c r="AQ803">
        <f>IF(ISBLANK('Data Entry'!$k$803), "", 'Data Entry'!$k$803)</f>
      </c>
      <c r="AR803">
        <f>IF(ISBLANK('Data Entry'!$l$803), "", 'Data Entry'!$l$803)</f>
      </c>
      <c r="AS803">
        <f>IF(ISBLANK('Data Entry'!$m$803), "", 'Data Entry'!$m$803)</f>
      </c>
      <c r="AT803">
        <f>IF(ISBLANK('Data Entry'!$n$803), "", 'Data Entry'!$n$803)</f>
      </c>
      <c r="AU803">
        <f>IF(ISBLANK('Data Entry'!$o$803), "", 'Data Entry'!$o$803)</f>
      </c>
      <c r="AV803">
        <f>IF(ISBLANK('Data Entry'!$p$803), "", 'Data Entry'!$p$803)</f>
      </c>
      <c r="AW803">
        <f>IF(ISBLANK('Data Entry'!$q$803), "", 'Data Entry'!$q$803)</f>
      </c>
      <c r="AX803">
        <f>IF(ISBLANK('Data Entry'!$r$803), "", 'Data Entry'!$r$803)</f>
      </c>
      <c r="AY803">
        <f>IF(ISBLANK('Data Entry'!$s$803), "", 'Data Entry'!$s$803)</f>
      </c>
      <c r="AZ803">
        <f>IF(ISBLANK('Data Entry'!$t$803), "", 'Data Entry'!$t$803)</f>
      </c>
      <c r="BA803">
        <f>IF(ISBLANK('Data Entry'!$u$803), "", 'Data Entry'!$u$803)</f>
      </c>
      <c r="BB803">
        <f>IF(ISBLANK('Data Entry'!$v$803), "", 'Data Entry'!$v$803)</f>
      </c>
      <c r="BC803">
        <f>IF(ISBLANK('Data Entry'!$w$803), "", 'Data Entry'!$w$803)</f>
      </c>
      <c r="BD803">
        <f>IF(ISBLANK('Data Entry'!$x$803), "", 'Data Entry'!$x$803)</f>
      </c>
      <c r="BE803">
        <f>IF(ISBLANK('Data Entry'!$y$803), "", 'Data Entry'!$y$803)</f>
      </c>
      <c r="BF803">
        <f>IF(ISBLANK('Data Entry'!$z$803), "", 'Data Entry'!$z$803)</f>
      </c>
      <c r="BG803">
        <f>IF(ISBLANK('Data Entry'!${$803), "", 'Data Entry'!${$803)</f>
      </c>
      <c r="BH803">
        <f>IF(ISBLANK('Data Entry'!$|$803), "", 'Data Entry'!$|$803)</f>
      </c>
      <c r="BI803">
        <f>IF(ISBLANK('Data Entry'!$}$803), "", 'Data Entry'!$}$803)</f>
      </c>
      <c r="BJ803">
        <f>IF(ISBLANK('Data Entry'!$~$803), "", 'Data Entry'!$~$803)</f>
      </c>
      <c r="BK803">
        <f>IF(ISBLANK('Data Entry'!$$803), "", 'Data Entry'!$$803)</f>
      </c>
      <c r="BL803">
        <f>IF(ISBLANK('Data Entry'!$$803), "", 'Data Entry'!$$803)</f>
      </c>
      <c r="BM803">
        <f>IF(ISBLANK('Data Entry'!$$803), "", 'Data Entry'!$$803)</f>
      </c>
      <c r="BN803">
        <f>IF(ISBLANK('Data Entry'!$$803), "", 'Data Entry'!$$803)</f>
      </c>
      <c r="BO803">
        <f>IF(ISBLANK('Data Entry'!$$803), "", 'Data Entry'!$$803)</f>
      </c>
      <c r="BP803">
        <f>IF(ISBLANK('Data Entry'!$$803), "", 'Data Entry'!$$803)</f>
      </c>
      <c r="BQ803">
        <f>IF(ISBLANK('Data Entry'!$$803), "", 'Data Entry'!$$803)</f>
      </c>
      <c r="BR803">
        <f>IF(ISBLANK('Data Entry'!$$803), "", 'Data Entry'!$$803)</f>
      </c>
      <c r="BS803">
        <f>IF(ISBLANK('Data Entry'!$$803), "", 'Data Entry'!$$803)</f>
      </c>
      <c r="BT803">
        <f>IF(ISBLANK('Data Entry'!$$803), "", 'Data Entry'!$$803)</f>
      </c>
      <c r="BU803">
        <f>IF(ISBLANK('Data Entry'!$$803), "", 'Data Entry'!$$803)</f>
      </c>
      <c r="BV803">
        <f>IF(ISBLANK('Data Entry'!$$803), "", 'Data Entry'!$$803)</f>
      </c>
      <c r="BW803">
        <f>IF(ISBLANK('Data Entry'!$$803), "", 'Data Entry'!$$803)</f>
      </c>
      <c r="BX803">
        <f>IF(ISBLANK('Data Entry'!$$803), "", 'Data Entry'!$$803)</f>
      </c>
      <c r="BY803">
        <f>IF(ISBLANK('Data Entry'!$$803), "", 'Data Entry'!$$803)</f>
      </c>
      <c r="BZ803">
        <f>IF(ISBLANK('Data Entry'!$$803), "", 'Data Entry'!$$803)</f>
      </c>
      <c r="CA803">
        <f>IF(ISBLANK('Data Entry'!$$803), "", 'Data Entry'!$$803)</f>
      </c>
      <c r="CB803">
        <f>IF(ISBLANK('Data Entry'!$$803), "", 'Data Entry'!$$803)</f>
      </c>
      <c r="CC803">
        <f>IF(ISBLANK('Data Entry'!$$803), "", 'Data Entry'!$$803)</f>
      </c>
      <c r="CD803">
        <f>IF(ISBLANK('Data Entry'!$$803), "", 'Data Entry'!$$803)</f>
      </c>
      <c r="CE803">
        <f>IF(ISBLANK('Data Entry'!$$803), "", 'Data Entry'!$$803)</f>
      </c>
      <c r="CF803">
        <f>IF(ISBLANK('Data Entry'!$$803), "", 'Data Entry'!$$803)</f>
      </c>
      <c r="CG803">
        <f>IF(ISBLANK('Data Entry'!$$803), "", 'Data Entry'!$$803)</f>
      </c>
      <c r="CH803">
        <f>IF(ISBLANK('Data Entry'!$$803), "", 'Data Entry'!$$803)</f>
      </c>
      <c r="CI803">
        <f>IF(ISBLANK('Data Entry'!$$803), "", 'Data Entry'!$$803)</f>
      </c>
      <c r="CJ803">
        <f>IF(ISBLANK('Data Entry'!$$803), "", 'Data Entry'!$$803)</f>
      </c>
      <c r="CK803">
        <f>IF(ISBLANK('Data Entry'!$$803), "", 'Data Entry'!$$803)</f>
      </c>
      <c r="CL803">
        <f>IF(ISBLANK('Data Entry'!$$803), "", 'Data Entry'!$$803)</f>
      </c>
      <c r="CM803">
        <f>IF(ISBLANK('Data Entry'!$$803), "", 'Data Entry'!$$803)</f>
      </c>
      <c r="CN803">
        <f>IF(ISBLANK('Data Entry'!$$803), "", 'Data Entry'!$$803)</f>
      </c>
      <c r="CO803">
        <f>IF(ISBLANK('Data Entry'!$$803), "", 'Data Entry'!$$803)</f>
      </c>
      <c r="CP803">
        <f>IF(ISBLANK('Data Entry'!$$803), "", 'Data Entry'!$$803)</f>
      </c>
      <c r="CQ803">
        <f>IF(ISBLANK('Data Entry'!$$803), "", 'Data Entry'!$$803)</f>
      </c>
      <c r="CR803">
        <f>IF(ISBLANK('Data Entry'!$ $803), "", 'Data Entry'!$ $803)</f>
      </c>
      <c r="CS803">
        <f>IF(ISBLANK('Data Entry'!$¡$803), "", 'Data Entry'!$¡$803)</f>
      </c>
      <c r="CT803">
        <f>IF(ISBLANK('Data Entry'!$¢$803), "", 'Data Entry'!$¢$803)</f>
      </c>
      <c r="CU803">
        <f>IF(ISBLANK('Data Entry'!$£$803), "", 'Data Entry'!$£$803)</f>
      </c>
      <c r="CV803">
        <f>IF(ISBLANK('Data Entry'!$¤$803), "", 'Data Entry'!$¤$803)</f>
      </c>
      <c r="CW803">
        <f>IF(ISBLANK('Data Entry'!$¥$803), "", 'Data Entry'!$¥$803)</f>
      </c>
      <c r="CX803">
        <f>IF(ISBLANK('Data Entry'!$¦$803), "", 'Data Entry'!$¦$803)</f>
      </c>
      <c r="CY803">
        <f>IF(ISBLANK('Data Entry'!$§$803), "", 'Data Entry'!$§$803)</f>
      </c>
      <c r="CZ803">
        <f>IF(ISBLANK('Data Entry'!$¨$803), "", 'Data Entry'!$¨$803)</f>
      </c>
      <c r="DA803">
        <f>IF(ISBLANK('Data Entry'!$©$803), "", 'Data Entry'!$©$803)</f>
      </c>
      <c r="DB803">
        <f>IF(ISBLANK('Data Entry'!$ª$803), "", 'Data Entry'!$ª$803)</f>
      </c>
      <c r="DC803">
        <f>IF(ISBLANK('Data Entry'!$«$803), "", 'Data Entry'!$«$803)</f>
      </c>
      <c r="DD803">
        <f>IF(ISBLANK('Data Entry'!$¬$803), "", 'Data Entry'!$¬$803)</f>
      </c>
      <c r="DE803">
        <f>IF(ISBLANK('Data Entry'!$­$803), "", 'Data Entry'!$­$803)</f>
      </c>
      <c r="DF803">
        <f>IF(ISBLANK('Data Entry'!$®$803), "", 'Data Entry'!$®$803)</f>
      </c>
      <c r="DG803">
        <f>IF(ISBLANK('Data Entry'!$¯$803), "", 'Data Entry'!$¯$803)</f>
      </c>
      <c r="DH803">
        <f>IF(ISBLANK('Data Entry'!$°$803), "", 'Data Entry'!$°$803)</f>
      </c>
      <c r="DI803">
        <f>IF(ISBLANK('Data Entry'!$±$803), "", 'Data Entry'!$±$803)</f>
      </c>
      <c r="DJ803">
        <f>IF(ISBLANK('Data Entry'!$²$803), "", 'Data Entry'!$²$803)</f>
      </c>
      <c r="DK803">
        <f>IF(ISBLANK('Data Entry'!$³$803), "", 'Data Entry'!$³$803)</f>
      </c>
      <c r="DL803">
        <f>IF(ISBLANK('Data Entry'!$´$803), "", 'Data Entry'!$´$803)</f>
      </c>
      <c r="DM803">
        <f>IF(ISBLANK('Data Entry'!$µ$803), "", 'Data Entry'!$µ$803)</f>
      </c>
      <c r="DN803">
        <f>IF(ISBLANK('Data Entry'!$¶$803), "", 'Data Entry'!$¶$803)</f>
      </c>
      <c r="DO803">
        <f>IF(ISBLANK('Data Entry'!$·$803), "", 'Data Entry'!$·$803)</f>
      </c>
      <c r="DP803">
        <f>IF(ISBLANK('Data Entry'!$¸$803), "", 'Data Entry'!$¸$803)</f>
      </c>
      <c r="DQ803">
        <f>IF(ISBLANK('Data Entry'!$¹$803), "", 'Data Entry'!$¹$803)</f>
      </c>
      <c r="DR803">
        <f>IF(ISBLANK('Data Entry'!$º$803), "", 'Data Entry'!$º$803)</f>
      </c>
      <c r="DS803">
        <f>IF(ISBLANK('Data Entry'!$»$803), "", 'Data Entry'!$»$803)</f>
      </c>
      <c r="DT803">
        <f>IF(ISBLANK('Data Entry'!$¼$803), "", 'Data Entry'!$¼$803)</f>
      </c>
      <c r="DU803">
        <f>IF(ISBLANK('Data Entry'!$½$803), "", 'Data Entry'!$½$803)</f>
      </c>
      <c r="DV803">
        <f>IF(ISBLANK('Data Entry'!$¾$803), "", 'Data Entry'!$¾$803)</f>
      </c>
      <c r="DW803">
        <f>IF(ISBLANK('Data Entry'!$¿$803), "", 'Data Entry'!$¿$803)</f>
      </c>
      <c r="DX803">
        <f>IF(ISBLANK('Data Entry'!$À$803), "", 'Data Entry'!$À$803)</f>
      </c>
      <c r="DY803">
        <f>IF(ISBLANK('Data Entry'!$Á$803), "", 'Data Entry'!$Á$803)</f>
      </c>
      <c r="DZ803">
        <f>IF(ISBLANK('Data Entry'!$Â$803), "", 'Data Entry'!$Â$803)</f>
      </c>
      <c r="EA803">
        <f>IF(ISBLANK('Data Entry'!$Ã$803), "", 'Data Entry'!$Ã$803)</f>
      </c>
      <c r="EB803">
        <f>IF(ISBLANK('Data Entry'!$Ä$803), "", 'Data Entry'!$Ä$803)</f>
      </c>
      <c r="EC803">
        <f>IF(ISBLANK('Data Entry'!$Å$803), "", 'Data Entry'!$Å$803)</f>
      </c>
      <c r="ED803">
        <f>IF(ISBLANK('Data Entry'!$Æ$803), "", 'Data Entry'!$Æ$803)</f>
      </c>
      <c r="EE803">
        <f>IF(ISBLANK('Data Entry'!$Ç$803), "", 'Data Entry'!$Ç$803)</f>
      </c>
      <c r="EF803">
        <f>IF(ISBLANK('Data Entry'!$È$803), "", 'Data Entry'!$È$803)</f>
      </c>
      <c r="EG803">
        <f>IF(ISBLANK('Data Entry'!$É$803), "", 'Data Entry'!$É$803)</f>
      </c>
      <c r="EH803">
        <f>IF(ISBLANK('Data Entry'!$Ê$803), "", 'Data Entry'!$Ê$803)</f>
      </c>
      <c r="EI803">
        <f>IF(ISBLANK('Data Entry'!$Ë$803), "", 'Data Entry'!$Ë$803)</f>
      </c>
      <c r="EJ803">
        <f>IF(ISBLANK('Data Entry'!$Ì$803), "", 'Data Entry'!$Ì$803)</f>
      </c>
      <c r="EK803">
        <f>IF(ISBLANK('Data Entry'!$Í$803), "", 'Data Entry'!$Í$803)</f>
      </c>
      <c r="EL803">
        <f>IF(ISBLANK('Data Entry'!$Î$803), "", 'Data Entry'!$Î$803)</f>
      </c>
      <c r="EM803">
        <f>IF(ISBLANK('Data Entry'!$Ï$803), "", 'Data Entry'!$Ï$803)</f>
      </c>
      <c r="EN803">
        <f>IF(ISBLANK('Data Entry'!$Ð$803), "", 'Data Entry'!$Ð$803)</f>
      </c>
      <c r="EO803">
        <f>IF(ISBLANK('Data Entry'!$Ñ$803), "", 'Data Entry'!$Ñ$803)</f>
      </c>
      <c r="EP803">
        <f>IF(ISBLANK('Data Entry'!$Ò$803), "", 'Data Entry'!$Ò$803)</f>
      </c>
      <c r="EQ803">
        <f>IF(ISBLANK('Data Entry'!$Ó$803), "", 'Data Entry'!$Ó$803)</f>
      </c>
      <c r="ER803">
        <f>IF(ISBLANK('Data Entry'!$Ô$803), "", 'Data Entry'!$Ô$803)</f>
      </c>
      <c r="ES803">
        <f>IF(ISBLANK('Data Entry'!$Õ$803), "", 'Data Entry'!$Õ$803)</f>
      </c>
      <c r="ET803">
        <f>IF(ISBLANK('Data Entry'!$Ö$803), "", 'Data Entry'!$Ö$803)</f>
      </c>
      <c r="EU803">
        <f>IF(ISBLANK('Data Entry'!$×$803), "", 'Data Entry'!$×$803)</f>
      </c>
      <c r="EV803">
        <f>IF(ISBLANK('Data Entry'!$Ø$803), "", 'Data Entry'!$Ø$803)</f>
      </c>
      <c r="EW803">
        <f>IF(ISBLANK('Data Entry'!$Ù$803), "", 'Data Entry'!$Ù$803)</f>
      </c>
      <c r="EX803">
        <f>IF(ISBLANK('Data Entry'!$Ú$803), "", 'Data Entry'!$Ú$803)</f>
      </c>
      <c r="EY803">
        <f>IF(ISBLANK('Data Entry'!$Û$803), "", 'Data Entry'!$Û$803)</f>
      </c>
      <c r="EZ803">
        <f>IF(ISBLANK('Data Entry'!$Ü$803), "", 'Data Entry'!$Ü$803)</f>
      </c>
      <c r="FA803">
        <f>IF(ISBLANK('Data Entry'!$Ý$803), "", 'Data Entry'!$Ý$803)</f>
      </c>
      <c r="FB803">
        <f>IF(ISBLANK('Data Entry'!$Þ$803), "", 'Data Entry'!$Þ$803)</f>
      </c>
      <c r="FC803">
        <f>IF(ISBLANK('Data Entry'!$ß$803), "", 'Data Entry'!$ß$803)</f>
      </c>
      <c r="FD803">
        <f>IF(ISBLANK('Data Entry'!$à$803), "", 'Data Entry'!$à$803)</f>
      </c>
      <c r="FE803">
        <f>IF(ISBLANK('Data Entry'!$á$803), "", 'Data Entry'!$á$803)</f>
      </c>
      <c r="FF803">
        <f>IF(ISBLANK('Data Entry'!$â$803), "", 'Data Entry'!$â$803)</f>
      </c>
      <c r="FG803">
        <f>IF(ISBLANK('Data Entry'!$ã$803), "", 'Data Entry'!$ã$803)</f>
      </c>
      <c r="FH803">
        <f>IF(ISBLANK('Data Entry'!$ä$803), "", 'Data Entry'!$ä$803)</f>
      </c>
      <c r="FI803">
        <f>IF(ISBLANK('Data Entry'!$å$803), "", 'Data Entry'!$å$803)</f>
      </c>
      <c r="FJ803">
        <f>IF(ISBLANK('Data Entry'!$æ$803), "", 'Data Entry'!$æ$803)</f>
      </c>
      <c r="FK803">
        <f>IF(ISBLANK('Data Entry'!$ç$803), "", 'Data Entry'!$ç$803)</f>
      </c>
      <c r="FL803">
        <f>IF(ISBLANK('Data Entry'!$è$803), "", 'Data Entry'!$è$803)</f>
      </c>
      <c r="FM803">
        <f>IF(ISBLANK('Data Entry'!$é$803), "", 'Data Entry'!$é$803)</f>
      </c>
      <c r="FN803">
        <f>IF(ISBLANK('Data Entry'!$ê$803), "", 'Data Entry'!$ê$803)</f>
      </c>
      <c r="FO803">
        <f>IF(ISBLANK('Data Entry'!$ë$803), "", 'Data Entry'!$ë$803)</f>
      </c>
      <c r="FP803">
        <f>IF(ISBLANK('Data Entry'!$ì$803), "", 'Data Entry'!$ì$803)</f>
      </c>
      <c r="FQ803">
        <f>IF(ISBLANK('Data Entry'!$í$803), "", 'Data Entry'!$í$803)</f>
      </c>
      <c r="FR803">
        <f>IF(ISBLANK('Data Entry'!$î$803), "", 'Data Entry'!$î$803)</f>
      </c>
      <c r="FS803">
        <f>IF(ISBLANK('Data Entry'!$ï$803), "", 'Data Entry'!$ï$803)</f>
      </c>
      <c r="FT803">
        <f>IF(ISBLANK('Data Entry'!$ð$803), "", 'Data Entry'!$ð$803)</f>
      </c>
      <c r="FU803">
        <f>IF(ISBLANK('Data Entry'!$ñ$803), "", 'Data Entry'!$ñ$803)</f>
      </c>
      <c r="FV803">
        <f>IF(ISBLANK('Data Entry'!$ò$803), "", 'Data Entry'!$ò$803)</f>
      </c>
      <c r="FW803">
        <f>IF(ISBLANK('Data Entry'!$ó$803), "", 'Data Entry'!$ó$803)</f>
      </c>
      <c r="FX803">
        <f>IF(ISBLANK('Data Entry'!$ô$803), "", 'Data Entry'!$ô$803)</f>
      </c>
      <c r="FY803">
        <f>IF(ISBLANK('Data Entry'!$õ$803), "", 'Data Entry'!$õ$803)</f>
      </c>
      <c r="FZ803">
        <f>IF(ISBLANK('Data Entry'!$ö$803), "", 'Data Entry'!$ö$803)</f>
      </c>
      <c r="GA803">
        <f>IF(ISBLANK('Data Entry'!$÷$803), "", 'Data Entry'!$÷$803)</f>
      </c>
      <c r="GB803">
        <f>IF(ISBLANK('Data Entry'!$ø$803), "", 'Data Entry'!$ø$803)</f>
      </c>
      <c r="GC803">
        <f>IF(ISBLANK('Data Entry'!$ù$803), "", 'Data Entry'!$ù$803)</f>
      </c>
      <c r="GD803">
        <f>IF(ISBLANK('Data Entry'!$ú$803), "", 'Data Entry'!$ú$803)</f>
      </c>
      <c r="GE803">
        <f>IF(ISBLANK('Data Entry'!$û$803), "", 'Data Entry'!$û$803)</f>
      </c>
      <c r="GF803">
        <f>IF(ISBLANK('Data Entry'!$ü$803), "", 'Data Entry'!$ü$803)</f>
      </c>
      <c r="GG803">
        <f>IF(ISBLANK('Data Entry'!$ý$803), "", 'Data Entry'!$ý$803)</f>
      </c>
      <c r="GH803">
        <f>IF(ISBLANK('Data Entry'!$þ$803), "", 'Data Entry'!$þ$803)</f>
      </c>
      <c r="GI803">
        <f>IF(ISBLANK('Data Entry'!$ÿ$803), "", 'Data Entry'!$ÿ$803)</f>
      </c>
      <c r="GJ803">
        <f>IF(ISBLANK('Data Entry'!$Ā$803), "", 'Data Entry'!$Ā$803)</f>
      </c>
      <c r="GK803">
        <f>IF(ISBLANK('Data Entry'!$ā$803), "", 'Data Entry'!$ā$803)</f>
      </c>
      <c r="GL803">
        <f>IF(ISBLANK('Data Entry'!$Ă$803), "", 'Data Entry'!$Ă$803)</f>
      </c>
      <c r="GM803">
        <f>IF(ISBLANK('Data Entry'!$ă$803), "", 'Data Entry'!$ă$803)</f>
      </c>
      <c r="GN803">
        <f>IF(ISBLANK('Data Entry'!$Ą$803), "", 'Data Entry'!$Ą$803)</f>
      </c>
      <c r="GO803">
        <f>IF(ISBLANK('Data Entry'!$ą$803), "", 'Data Entry'!$ą$803)</f>
      </c>
      <c r="GP803">
        <f>IF(ISBLANK('Data Entry'!$Ć$803), "", 'Data Entry'!$Ć$803)</f>
      </c>
      <c r="GQ803">
        <f>IF(ISBLANK('Data Entry'!$ć$803), "", 'Data Entry'!$ć$803)</f>
      </c>
      <c r="GR803">
        <f>IF(ISBLANK('Data Entry'!$Ĉ$803), "", 'Data Entry'!$Ĉ$803)</f>
      </c>
      <c r="GS803">
        <f>IF(ISBLANK('Data Entry'!$ĉ$803), "", 'Data Entry'!$ĉ$803)</f>
      </c>
      <c r="GT803">
        <f>IF(ISBLANK('Data Entry'!$Ċ$803), "", 'Data Entry'!$Ċ$803)</f>
      </c>
      <c r="GU803">
        <f>IF(ISBLANK('Data Entry'!$ċ$803), "", 'Data Entry'!$ċ$803)</f>
      </c>
      <c r="GV803">
        <f>IF(ISBLANK('Data Entry'!$Č$803), "", 'Data Entry'!$Č$803)</f>
      </c>
      <c r="GW803">
        <f>IF(ISBLANK('Data Entry'!$č$803), "", 'Data Entry'!$č$803)</f>
      </c>
      <c r="GX803">
        <f>IF(ISBLANK('Data Entry'!$Ď$803), "", 'Data Entry'!$Ď$803)</f>
      </c>
      <c r="GY803">
        <f>IF(ISBLANK('Data Entry'!$ď$803), "", 'Data Entry'!$ď$803)</f>
      </c>
      <c r="GZ803">
        <f>IF(ISBLANK('Data Entry'!$Đ$803), "", 'Data Entry'!$Đ$803)</f>
      </c>
      <c r="HA803">
        <f>IF(ISBLANK('Data Entry'!$đ$803), "", 'Data Entry'!$đ$803)</f>
      </c>
      <c r="HB803">
        <f>IF(ISBLANK('Data Entry'!$Ē$803), "", 'Data Entry'!$Ē$803)</f>
      </c>
      <c r="HC803">
        <f>IF(ISBLANK('Data Entry'!$ē$803), "", 'Data Entry'!$ē$803)</f>
      </c>
      <c r="HD803">
        <f>IF(ISBLANK('Data Entry'!$Ĕ$803), "", 'Data Entry'!$Ĕ$803)</f>
      </c>
      <c r="HE803">
        <f>IF(ISBLANK('Data Entry'!$ĕ$803), "", 'Data Entry'!$ĕ$803)</f>
      </c>
      <c r="HF803">
        <f>IF(ISBLANK('Data Entry'!$Ė$803), "", 'Data Entry'!$Ė$803)</f>
      </c>
      <c r="HG803">
        <f>IF(ISBLANK('Data Entry'!$ė$803), "", 'Data Entry'!$ė$803)</f>
      </c>
      <c r="HH803">
        <f>IF(ISBLANK('Data Entry'!$Ę$803), "", 'Data Entry'!$Ę$803)</f>
      </c>
      <c r="HI803">
        <f>IF(ISBLANK('Data Entry'!$ę$803), "", 'Data Entry'!$ę$803)</f>
      </c>
      <c r="HJ803">
        <f>IF(ISBLANK('Data Entry'!$Ě$803), "", 'Data Entry'!$Ě$803)</f>
      </c>
      <c r="HK803">
        <f>IF(ISBLANK('Data Entry'!$ě$803), "", 'Data Entry'!$ě$803)</f>
      </c>
      <c r="HL803">
        <f>IF(ISBLANK('Data Entry'!$Ĝ$803), "", 'Data Entry'!$Ĝ$803)</f>
      </c>
      <c r="HM803">
        <f>IF(ISBLANK('Data Entry'!$ĝ$803), "", 'Data Entry'!$ĝ$803)</f>
      </c>
      <c r="HN803">
        <f>IF(ISBLANK('Data Entry'!$Ğ$803), "", 'Data Entry'!$Ğ$803)</f>
      </c>
      <c r="HO803">
        <f>IF(ISBLANK('Data Entry'!$ğ$803), "", 'Data Entry'!$ğ$803)</f>
      </c>
      <c r="HP803">
        <f>IF(ISBLANK('Data Entry'!$Ġ$803), "", 'Data Entry'!$Ġ$803)</f>
      </c>
      <c r="HQ803">
        <f>IF(ISBLANK('Data Entry'!$ġ$803), "", 'Data Entry'!$ġ$803)</f>
      </c>
      <c r="HR803">
        <f>IF(ISBLANK('Data Entry'!$Ģ$803), "", 'Data Entry'!$Ģ$803)</f>
      </c>
      <c r="HS803">
        <f>IF(ISBLANK('Data Entry'!$ģ$803), "", 'Data Entry'!$ģ$803)</f>
      </c>
      <c r="HT803">
        <f>IF(ISBLANK('Data Entry'!$Ĥ$803), "", 'Data Entry'!$Ĥ$803)</f>
      </c>
      <c r="HU803">
        <f>IF(ISBLANK('Data Entry'!$ĥ$803), "", 'Data Entry'!$ĥ$803)</f>
      </c>
      <c r="HV803">
        <f>IF(ISBLANK('Data Entry'!$Ħ$803), "", 'Data Entry'!$Ħ$803)</f>
      </c>
      <c r="HW803">
        <f>IF(ISBLANK('Data Entry'!$ħ$803), "", 'Data Entry'!$ħ$803)</f>
      </c>
      <c r="HX803">
        <f>IF(ISBLANK('Data Entry'!$Ĩ$803), "", 'Data Entry'!$Ĩ$803)</f>
      </c>
      <c r="HY803">
        <f>IF(ISBLANK('Data Entry'!$ĩ$803), "", 'Data Entry'!$ĩ$803)</f>
      </c>
      <c r="HZ803">
        <f>IF(ISBLANK('Data Entry'!$Ī$803), "", 'Data Entry'!$Ī$803)</f>
      </c>
      <c r="IA803">
        <f>IF(ISBLANK('Data Entry'!$ī$803), "", 'Data Entry'!$ī$803)</f>
      </c>
      <c r="IB803">
        <f>IF(ISBLANK('Data Entry'!$Ĭ$803), "", 'Data Entry'!$Ĭ$803)</f>
      </c>
      <c r="IC803">
        <f>IF(ISBLANK('Data Entry'!$ĭ$803), "", 'Data Entry'!$ĭ$803)</f>
      </c>
      <c r="ID803">
        <f>IF(ISBLANK('Data Entry'!$Į$803), "", 'Data Entry'!$Į$803)</f>
      </c>
      <c r="IE803">
        <f>IF(ISBLANK('Data Entry'!$į$803), "", 'Data Entry'!$į$803)</f>
      </c>
      <c r="IF803">
        <f>IF(ISBLANK('Data Entry'!$İ$803), "", 'Data Entry'!$İ$803)</f>
      </c>
      <c r="IG803">
        <f>IF(ISBLANK('Data Entry'!$ı$803), "", 'Data Entry'!$ı$803)</f>
      </c>
      <c r="IH803">
        <f>IF(ISBLANK('Data Entry'!$Ĳ$803), "", 'Data Entry'!$Ĳ$803)</f>
      </c>
      <c r="II803">
        <f>IF(ISBLANK('Data Entry'!$ĳ$803), "", 'Data Entry'!$ĳ$803)</f>
      </c>
      <c r="IJ803">
        <f>IF(ISBLANK('Data Entry'!$Ĵ$803), "", 'Data Entry'!$Ĵ$803)</f>
      </c>
      <c r="IK803">
        <f>IF(ISBLANK('Data Entry'!$ĵ$803), "", 'Data Entry'!$ĵ$803)</f>
      </c>
      <c r="IL803">
        <f>IF(ISBLANK('Data Entry'!$Ķ$803), "", 'Data Entry'!$Ķ$803)</f>
      </c>
      <c r="IM803">
        <f>IF(ISBLANK('Data Entry'!$ķ$803), "", 'Data Entry'!$ķ$803)</f>
      </c>
      <c r="IN803">
        <f>IF(ISBLANK('Data Entry'!$ĸ$803), "", 'Data Entry'!$ĸ$803)</f>
      </c>
      <c r="IO803">
        <f>IF(ISBLANK('Data Entry'!$Ĺ$803), "", 'Data Entry'!$Ĺ$803)</f>
      </c>
      <c r="IP803">
        <f>IF(ISBLANK('Data Entry'!$ĺ$803), "", 'Data Entry'!$ĺ$803)</f>
      </c>
      <c r="IQ803">
        <f>IF(ISBLANK('Data Entry'!$Ļ$803), "", 'Data Entry'!$Ļ$803)</f>
      </c>
      <c r="IR803">
        <f>IF(ISBLANK('Data Entry'!$ļ$803), "", 'Data Entry'!$ļ$803)</f>
      </c>
      <c r="IS803">
        <f>IF(ISBLANK('Data Entry'!$Ľ$803), "", 'Data Entry'!$Ľ$803)</f>
      </c>
      <c r="IT803">
        <f>IF(ISBLANK('Data Entry'!$ľ$803), "", 'Data Entry'!$ľ$803)</f>
      </c>
    </row>
    <row r="804" spans="1:254" x14ac:dyDescent="0.25">
      <c r="A804">
        <f>IF(ISBLANK('Data Entry'!$A$804), "", 'Data Entry'!$A$804)</f>
      </c>
      <c r="B804">
        <f>IF(ISBLANK('Data Entry'!$B$804), "", 'Data Entry'!$B$804)</f>
      </c>
      <c r="C804">
        <f>IF(ISBLANK('Data Entry'!$C$804), "", 'Data Entry'!$C$804)</f>
      </c>
      <c r="D804">
        <f>IF(ISBLANK('Data Entry'!$D$804), "", 'Data Entry'!$D$804)</f>
      </c>
      <c r="E804">
        <f>IF(ISBLANK('Data Entry'!$E$804), "", 'Data Entry'!$E$804)</f>
      </c>
      <c r="F804">
        <f>IF(ISBLANK('Data Entry'!$F$804), "", 'Data Entry'!$F$804)</f>
      </c>
      <c r="G804">
        <f>IF(ISBLANK('Data Entry'!$G$804), "", 'Data Entry'!$G$804)</f>
      </c>
      <c r="H804">
        <f>IF(ISBLANK('Data Entry'!$H$804), "", 'Data Entry'!$H$804)</f>
      </c>
      <c r="I804">
        <f>IF(ISBLANK('Data Entry'!$I$804), "", 'Data Entry'!$I$804)</f>
      </c>
      <c r="J804">
        <f>IF(ISBLANK('Data Entry'!$J$804), "", 'Data Entry'!$J$804)</f>
      </c>
      <c r="K804">
        <f>IF(ISBLANK('Data Entry'!$K$804), "", 'Data Entry'!$K$804)</f>
      </c>
      <c r="L804">
        <f>IF(ISBLANK('Data Entry'!$L$804), "", 'Data Entry'!$L$804)</f>
      </c>
      <c r="M804">
        <f>IF(ISBLANK('Data Entry'!$M$804), "", 'Data Entry'!$M$804)</f>
      </c>
      <c r="N804">
        <f>IF(ISBLANK('Data Entry'!$N$804), "", 'Data Entry'!$N$804)</f>
      </c>
      <c r="O804">
        <f>IF(ISBLANK('Data Entry'!$O$804), "", 'Data Entry'!$O$804)</f>
      </c>
      <c r="P804">
        <f>IF(ISBLANK('Data Entry'!$P$804), "", 'Data Entry'!$P$804)</f>
      </c>
      <c r="Q804">
        <f>IF(ISBLANK('Data Entry'!$Q$804), "", 'Data Entry'!$Q$804)</f>
      </c>
      <c r="R804">
        <f>IF(ISBLANK('Data Entry'!$R$804), "", 'Data Entry'!$R$804)</f>
      </c>
      <c r="S804">
        <f>IF(ISBLANK('Data Entry'!$S$804), "", 'Data Entry'!$S$804)</f>
      </c>
      <c r="T804">
        <f>IF(ISBLANK('Data Entry'!$T$804), "", 'Data Entry'!$T$804)</f>
      </c>
      <c r="U804">
        <f>IF(ISBLANK('Data Entry'!$U$804), "", 'Data Entry'!$U$804)</f>
      </c>
      <c r="V804">
        <f>IF(ISBLANK('Data Entry'!$V$804), "", 'Data Entry'!$V$804)</f>
      </c>
      <c r="W804">
        <f>IF(ISBLANK('Data Entry'!$W$804), "", 'Data Entry'!$W$804)</f>
      </c>
      <c r="X804">
        <f>IF(ISBLANK('Data Entry'!$X$804), "", 'Data Entry'!$X$804)</f>
      </c>
      <c r="Y804">
        <f>IF(ISBLANK('Data Entry'!$Y$804), "", 'Data Entry'!$Y$804)</f>
      </c>
      <c r="Z804">
        <f>IF(ISBLANK('Data Entry'!$Z$804), "", 'Data Entry'!$Z$804)</f>
      </c>
      <c r="AA804">
        <f>IF(ISBLANK('Data Entry'!$[$804), "", 'Data Entry'!$[$804)</f>
      </c>
      <c r="AB804">
        <f>IF(ISBLANK('Data Entry'!$\$804), "", 'Data Entry'!$\$804)</f>
      </c>
      <c r="AC804">
        <f>IF(ISBLANK('Data Entry'!$]$804), "", 'Data Entry'!$]$804)</f>
      </c>
      <c r="AD804">
        <f>IF(ISBLANK('Data Entry'!$^$804), "", 'Data Entry'!$^$804)</f>
      </c>
      <c r="AE804">
        <f>IF(ISBLANK('Data Entry'!$_$804), "", 'Data Entry'!$_$804)</f>
      </c>
      <c r="AF804">
        <f>IF(ISBLANK('Data Entry'!$`$804), "", 'Data Entry'!$`$804)</f>
      </c>
      <c r="AG804">
        <f>IF(ISBLANK('Data Entry'!$a$804), "", 'Data Entry'!$a$804)</f>
      </c>
      <c r="AH804">
        <f>IF(ISBLANK('Data Entry'!$b$804), "", 'Data Entry'!$b$804)</f>
      </c>
      <c r="AI804">
        <f>IF(ISBLANK('Data Entry'!$c$804), "", 'Data Entry'!$c$804)</f>
      </c>
      <c r="AJ804">
        <f>IF(ISBLANK('Data Entry'!$d$804), "", 'Data Entry'!$d$804)</f>
      </c>
      <c r="AK804">
        <f>IF(ISBLANK('Data Entry'!$e$804), "", 'Data Entry'!$e$804)</f>
      </c>
      <c r="AL804">
        <f>IF(ISBLANK('Data Entry'!$f$804), "", 'Data Entry'!$f$804)</f>
      </c>
      <c r="AM804">
        <f>IF(ISBLANK('Data Entry'!$g$804), "", 'Data Entry'!$g$804)</f>
      </c>
      <c r="AN804">
        <f>IF(ISBLANK('Data Entry'!$h$804), "", 'Data Entry'!$h$804)</f>
      </c>
      <c r="AO804">
        <f>IF(ISBLANK('Data Entry'!$i$804), "", 'Data Entry'!$i$804)</f>
      </c>
      <c r="AP804">
        <f>IF(ISBLANK('Data Entry'!$j$804), "", 'Data Entry'!$j$804)</f>
      </c>
      <c r="AQ804">
        <f>IF(ISBLANK('Data Entry'!$k$804), "", 'Data Entry'!$k$804)</f>
      </c>
      <c r="AR804">
        <f>IF(ISBLANK('Data Entry'!$l$804), "", 'Data Entry'!$l$804)</f>
      </c>
      <c r="AS804">
        <f>IF(ISBLANK('Data Entry'!$m$804), "", 'Data Entry'!$m$804)</f>
      </c>
      <c r="AT804">
        <f>IF(ISBLANK('Data Entry'!$n$804), "", 'Data Entry'!$n$804)</f>
      </c>
      <c r="AU804">
        <f>IF(ISBLANK('Data Entry'!$o$804), "", 'Data Entry'!$o$804)</f>
      </c>
      <c r="AV804">
        <f>IF(ISBLANK('Data Entry'!$p$804), "", 'Data Entry'!$p$804)</f>
      </c>
      <c r="AW804">
        <f>IF(ISBLANK('Data Entry'!$q$804), "", 'Data Entry'!$q$804)</f>
      </c>
      <c r="AX804">
        <f>IF(ISBLANK('Data Entry'!$r$804), "", 'Data Entry'!$r$804)</f>
      </c>
      <c r="AY804">
        <f>IF(ISBLANK('Data Entry'!$s$804), "", 'Data Entry'!$s$804)</f>
      </c>
      <c r="AZ804">
        <f>IF(ISBLANK('Data Entry'!$t$804), "", 'Data Entry'!$t$804)</f>
      </c>
      <c r="BA804">
        <f>IF(ISBLANK('Data Entry'!$u$804), "", 'Data Entry'!$u$804)</f>
      </c>
      <c r="BB804">
        <f>IF(ISBLANK('Data Entry'!$v$804), "", 'Data Entry'!$v$804)</f>
      </c>
      <c r="BC804">
        <f>IF(ISBLANK('Data Entry'!$w$804), "", 'Data Entry'!$w$804)</f>
      </c>
      <c r="BD804">
        <f>IF(ISBLANK('Data Entry'!$x$804), "", 'Data Entry'!$x$804)</f>
      </c>
      <c r="BE804">
        <f>IF(ISBLANK('Data Entry'!$y$804), "", 'Data Entry'!$y$804)</f>
      </c>
      <c r="BF804">
        <f>IF(ISBLANK('Data Entry'!$z$804), "", 'Data Entry'!$z$804)</f>
      </c>
      <c r="BG804">
        <f>IF(ISBLANK('Data Entry'!${$804), "", 'Data Entry'!${$804)</f>
      </c>
      <c r="BH804">
        <f>IF(ISBLANK('Data Entry'!$|$804), "", 'Data Entry'!$|$804)</f>
      </c>
      <c r="BI804">
        <f>IF(ISBLANK('Data Entry'!$}$804), "", 'Data Entry'!$}$804)</f>
      </c>
      <c r="BJ804">
        <f>IF(ISBLANK('Data Entry'!$~$804), "", 'Data Entry'!$~$804)</f>
      </c>
      <c r="BK804">
        <f>IF(ISBLANK('Data Entry'!$$804), "", 'Data Entry'!$$804)</f>
      </c>
      <c r="BL804">
        <f>IF(ISBLANK('Data Entry'!$$804), "", 'Data Entry'!$$804)</f>
      </c>
      <c r="BM804">
        <f>IF(ISBLANK('Data Entry'!$$804), "", 'Data Entry'!$$804)</f>
      </c>
      <c r="BN804">
        <f>IF(ISBLANK('Data Entry'!$$804), "", 'Data Entry'!$$804)</f>
      </c>
      <c r="BO804">
        <f>IF(ISBLANK('Data Entry'!$$804), "", 'Data Entry'!$$804)</f>
      </c>
      <c r="BP804">
        <f>IF(ISBLANK('Data Entry'!$$804), "", 'Data Entry'!$$804)</f>
      </c>
      <c r="BQ804">
        <f>IF(ISBLANK('Data Entry'!$$804), "", 'Data Entry'!$$804)</f>
      </c>
      <c r="BR804">
        <f>IF(ISBLANK('Data Entry'!$$804), "", 'Data Entry'!$$804)</f>
      </c>
      <c r="BS804">
        <f>IF(ISBLANK('Data Entry'!$$804), "", 'Data Entry'!$$804)</f>
      </c>
      <c r="BT804">
        <f>IF(ISBLANK('Data Entry'!$$804), "", 'Data Entry'!$$804)</f>
      </c>
      <c r="BU804">
        <f>IF(ISBLANK('Data Entry'!$$804), "", 'Data Entry'!$$804)</f>
      </c>
      <c r="BV804">
        <f>IF(ISBLANK('Data Entry'!$$804), "", 'Data Entry'!$$804)</f>
      </c>
      <c r="BW804">
        <f>IF(ISBLANK('Data Entry'!$$804), "", 'Data Entry'!$$804)</f>
      </c>
      <c r="BX804">
        <f>IF(ISBLANK('Data Entry'!$$804), "", 'Data Entry'!$$804)</f>
      </c>
      <c r="BY804">
        <f>IF(ISBLANK('Data Entry'!$$804), "", 'Data Entry'!$$804)</f>
      </c>
      <c r="BZ804">
        <f>IF(ISBLANK('Data Entry'!$$804), "", 'Data Entry'!$$804)</f>
      </c>
      <c r="CA804">
        <f>IF(ISBLANK('Data Entry'!$$804), "", 'Data Entry'!$$804)</f>
      </c>
      <c r="CB804">
        <f>IF(ISBLANK('Data Entry'!$$804), "", 'Data Entry'!$$804)</f>
      </c>
      <c r="CC804">
        <f>IF(ISBLANK('Data Entry'!$$804), "", 'Data Entry'!$$804)</f>
      </c>
      <c r="CD804">
        <f>IF(ISBLANK('Data Entry'!$$804), "", 'Data Entry'!$$804)</f>
      </c>
      <c r="CE804">
        <f>IF(ISBLANK('Data Entry'!$$804), "", 'Data Entry'!$$804)</f>
      </c>
      <c r="CF804">
        <f>IF(ISBLANK('Data Entry'!$$804), "", 'Data Entry'!$$804)</f>
      </c>
      <c r="CG804">
        <f>IF(ISBLANK('Data Entry'!$$804), "", 'Data Entry'!$$804)</f>
      </c>
      <c r="CH804">
        <f>IF(ISBLANK('Data Entry'!$$804), "", 'Data Entry'!$$804)</f>
      </c>
      <c r="CI804">
        <f>IF(ISBLANK('Data Entry'!$$804), "", 'Data Entry'!$$804)</f>
      </c>
      <c r="CJ804">
        <f>IF(ISBLANK('Data Entry'!$$804), "", 'Data Entry'!$$804)</f>
      </c>
      <c r="CK804">
        <f>IF(ISBLANK('Data Entry'!$$804), "", 'Data Entry'!$$804)</f>
      </c>
      <c r="CL804">
        <f>IF(ISBLANK('Data Entry'!$$804), "", 'Data Entry'!$$804)</f>
      </c>
      <c r="CM804">
        <f>IF(ISBLANK('Data Entry'!$$804), "", 'Data Entry'!$$804)</f>
      </c>
      <c r="CN804">
        <f>IF(ISBLANK('Data Entry'!$$804), "", 'Data Entry'!$$804)</f>
      </c>
      <c r="CO804">
        <f>IF(ISBLANK('Data Entry'!$$804), "", 'Data Entry'!$$804)</f>
      </c>
      <c r="CP804">
        <f>IF(ISBLANK('Data Entry'!$$804), "", 'Data Entry'!$$804)</f>
      </c>
      <c r="CQ804">
        <f>IF(ISBLANK('Data Entry'!$$804), "", 'Data Entry'!$$804)</f>
      </c>
      <c r="CR804">
        <f>IF(ISBLANK('Data Entry'!$ $804), "", 'Data Entry'!$ $804)</f>
      </c>
      <c r="CS804">
        <f>IF(ISBLANK('Data Entry'!$¡$804), "", 'Data Entry'!$¡$804)</f>
      </c>
      <c r="CT804">
        <f>IF(ISBLANK('Data Entry'!$¢$804), "", 'Data Entry'!$¢$804)</f>
      </c>
      <c r="CU804">
        <f>IF(ISBLANK('Data Entry'!$£$804), "", 'Data Entry'!$£$804)</f>
      </c>
      <c r="CV804">
        <f>IF(ISBLANK('Data Entry'!$¤$804), "", 'Data Entry'!$¤$804)</f>
      </c>
      <c r="CW804">
        <f>IF(ISBLANK('Data Entry'!$¥$804), "", 'Data Entry'!$¥$804)</f>
      </c>
      <c r="CX804">
        <f>IF(ISBLANK('Data Entry'!$¦$804), "", 'Data Entry'!$¦$804)</f>
      </c>
      <c r="CY804">
        <f>IF(ISBLANK('Data Entry'!$§$804), "", 'Data Entry'!$§$804)</f>
      </c>
      <c r="CZ804">
        <f>IF(ISBLANK('Data Entry'!$¨$804), "", 'Data Entry'!$¨$804)</f>
      </c>
      <c r="DA804">
        <f>IF(ISBLANK('Data Entry'!$©$804), "", 'Data Entry'!$©$804)</f>
      </c>
      <c r="DB804">
        <f>IF(ISBLANK('Data Entry'!$ª$804), "", 'Data Entry'!$ª$804)</f>
      </c>
      <c r="DC804">
        <f>IF(ISBLANK('Data Entry'!$«$804), "", 'Data Entry'!$«$804)</f>
      </c>
      <c r="DD804">
        <f>IF(ISBLANK('Data Entry'!$¬$804), "", 'Data Entry'!$¬$804)</f>
      </c>
      <c r="DE804">
        <f>IF(ISBLANK('Data Entry'!$­$804), "", 'Data Entry'!$­$804)</f>
      </c>
      <c r="DF804">
        <f>IF(ISBLANK('Data Entry'!$®$804), "", 'Data Entry'!$®$804)</f>
      </c>
      <c r="DG804">
        <f>IF(ISBLANK('Data Entry'!$¯$804), "", 'Data Entry'!$¯$804)</f>
      </c>
      <c r="DH804">
        <f>IF(ISBLANK('Data Entry'!$°$804), "", 'Data Entry'!$°$804)</f>
      </c>
      <c r="DI804">
        <f>IF(ISBLANK('Data Entry'!$±$804), "", 'Data Entry'!$±$804)</f>
      </c>
      <c r="DJ804">
        <f>IF(ISBLANK('Data Entry'!$²$804), "", 'Data Entry'!$²$804)</f>
      </c>
      <c r="DK804">
        <f>IF(ISBLANK('Data Entry'!$³$804), "", 'Data Entry'!$³$804)</f>
      </c>
      <c r="DL804">
        <f>IF(ISBLANK('Data Entry'!$´$804), "", 'Data Entry'!$´$804)</f>
      </c>
      <c r="DM804">
        <f>IF(ISBLANK('Data Entry'!$µ$804), "", 'Data Entry'!$µ$804)</f>
      </c>
      <c r="DN804">
        <f>IF(ISBLANK('Data Entry'!$¶$804), "", 'Data Entry'!$¶$804)</f>
      </c>
      <c r="DO804">
        <f>IF(ISBLANK('Data Entry'!$·$804), "", 'Data Entry'!$·$804)</f>
      </c>
      <c r="DP804">
        <f>IF(ISBLANK('Data Entry'!$¸$804), "", 'Data Entry'!$¸$804)</f>
      </c>
      <c r="DQ804">
        <f>IF(ISBLANK('Data Entry'!$¹$804), "", 'Data Entry'!$¹$804)</f>
      </c>
      <c r="DR804">
        <f>IF(ISBLANK('Data Entry'!$º$804), "", 'Data Entry'!$º$804)</f>
      </c>
      <c r="DS804">
        <f>IF(ISBLANK('Data Entry'!$»$804), "", 'Data Entry'!$»$804)</f>
      </c>
      <c r="DT804">
        <f>IF(ISBLANK('Data Entry'!$¼$804), "", 'Data Entry'!$¼$804)</f>
      </c>
      <c r="DU804">
        <f>IF(ISBLANK('Data Entry'!$½$804), "", 'Data Entry'!$½$804)</f>
      </c>
      <c r="DV804">
        <f>IF(ISBLANK('Data Entry'!$¾$804), "", 'Data Entry'!$¾$804)</f>
      </c>
      <c r="DW804">
        <f>IF(ISBLANK('Data Entry'!$¿$804), "", 'Data Entry'!$¿$804)</f>
      </c>
      <c r="DX804">
        <f>IF(ISBLANK('Data Entry'!$À$804), "", 'Data Entry'!$À$804)</f>
      </c>
      <c r="DY804">
        <f>IF(ISBLANK('Data Entry'!$Á$804), "", 'Data Entry'!$Á$804)</f>
      </c>
      <c r="DZ804">
        <f>IF(ISBLANK('Data Entry'!$Â$804), "", 'Data Entry'!$Â$804)</f>
      </c>
      <c r="EA804">
        <f>IF(ISBLANK('Data Entry'!$Ã$804), "", 'Data Entry'!$Ã$804)</f>
      </c>
      <c r="EB804">
        <f>IF(ISBLANK('Data Entry'!$Ä$804), "", 'Data Entry'!$Ä$804)</f>
      </c>
      <c r="EC804">
        <f>IF(ISBLANK('Data Entry'!$Å$804), "", 'Data Entry'!$Å$804)</f>
      </c>
      <c r="ED804">
        <f>IF(ISBLANK('Data Entry'!$Æ$804), "", 'Data Entry'!$Æ$804)</f>
      </c>
      <c r="EE804">
        <f>IF(ISBLANK('Data Entry'!$Ç$804), "", 'Data Entry'!$Ç$804)</f>
      </c>
      <c r="EF804">
        <f>IF(ISBLANK('Data Entry'!$È$804), "", 'Data Entry'!$È$804)</f>
      </c>
      <c r="EG804">
        <f>IF(ISBLANK('Data Entry'!$É$804), "", 'Data Entry'!$É$804)</f>
      </c>
      <c r="EH804">
        <f>IF(ISBLANK('Data Entry'!$Ê$804), "", 'Data Entry'!$Ê$804)</f>
      </c>
      <c r="EI804">
        <f>IF(ISBLANK('Data Entry'!$Ë$804), "", 'Data Entry'!$Ë$804)</f>
      </c>
      <c r="EJ804">
        <f>IF(ISBLANK('Data Entry'!$Ì$804), "", 'Data Entry'!$Ì$804)</f>
      </c>
      <c r="EK804">
        <f>IF(ISBLANK('Data Entry'!$Í$804), "", 'Data Entry'!$Í$804)</f>
      </c>
      <c r="EL804">
        <f>IF(ISBLANK('Data Entry'!$Î$804), "", 'Data Entry'!$Î$804)</f>
      </c>
      <c r="EM804">
        <f>IF(ISBLANK('Data Entry'!$Ï$804), "", 'Data Entry'!$Ï$804)</f>
      </c>
      <c r="EN804">
        <f>IF(ISBLANK('Data Entry'!$Ð$804), "", 'Data Entry'!$Ð$804)</f>
      </c>
      <c r="EO804">
        <f>IF(ISBLANK('Data Entry'!$Ñ$804), "", 'Data Entry'!$Ñ$804)</f>
      </c>
      <c r="EP804">
        <f>IF(ISBLANK('Data Entry'!$Ò$804), "", 'Data Entry'!$Ò$804)</f>
      </c>
      <c r="EQ804">
        <f>IF(ISBLANK('Data Entry'!$Ó$804), "", 'Data Entry'!$Ó$804)</f>
      </c>
      <c r="ER804">
        <f>IF(ISBLANK('Data Entry'!$Ô$804), "", 'Data Entry'!$Ô$804)</f>
      </c>
      <c r="ES804">
        <f>IF(ISBLANK('Data Entry'!$Õ$804), "", 'Data Entry'!$Õ$804)</f>
      </c>
      <c r="ET804">
        <f>IF(ISBLANK('Data Entry'!$Ö$804), "", 'Data Entry'!$Ö$804)</f>
      </c>
      <c r="EU804">
        <f>IF(ISBLANK('Data Entry'!$×$804), "", 'Data Entry'!$×$804)</f>
      </c>
      <c r="EV804">
        <f>IF(ISBLANK('Data Entry'!$Ø$804), "", 'Data Entry'!$Ø$804)</f>
      </c>
      <c r="EW804">
        <f>IF(ISBLANK('Data Entry'!$Ù$804), "", 'Data Entry'!$Ù$804)</f>
      </c>
      <c r="EX804">
        <f>IF(ISBLANK('Data Entry'!$Ú$804), "", 'Data Entry'!$Ú$804)</f>
      </c>
      <c r="EY804">
        <f>IF(ISBLANK('Data Entry'!$Û$804), "", 'Data Entry'!$Û$804)</f>
      </c>
      <c r="EZ804">
        <f>IF(ISBLANK('Data Entry'!$Ü$804), "", 'Data Entry'!$Ü$804)</f>
      </c>
      <c r="FA804">
        <f>IF(ISBLANK('Data Entry'!$Ý$804), "", 'Data Entry'!$Ý$804)</f>
      </c>
      <c r="FB804">
        <f>IF(ISBLANK('Data Entry'!$Þ$804), "", 'Data Entry'!$Þ$804)</f>
      </c>
      <c r="FC804">
        <f>IF(ISBLANK('Data Entry'!$ß$804), "", 'Data Entry'!$ß$804)</f>
      </c>
      <c r="FD804">
        <f>IF(ISBLANK('Data Entry'!$à$804), "", 'Data Entry'!$à$804)</f>
      </c>
      <c r="FE804">
        <f>IF(ISBLANK('Data Entry'!$á$804), "", 'Data Entry'!$á$804)</f>
      </c>
      <c r="FF804">
        <f>IF(ISBLANK('Data Entry'!$â$804), "", 'Data Entry'!$â$804)</f>
      </c>
      <c r="FG804">
        <f>IF(ISBLANK('Data Entry'!$ã$804), "", 'Data Entry'!$ã$804)</f>
      </c>
      <c r="FH804">
        <f>IF(ISBLANK('Data Entry'!$ä$804), "", 'Data Entry'!$ä$804)</f>
      </c>
      <c r="FI804">
        <f>IF(ISBLANK('Data Entry'!$å$804), "", 'Data Entry'!$å$804)</f>
      </c>
      <c r="FJ804">
        <f>IF(ISBLANK('Data Entry'!$æ$804), "", 'Data Entry'!$æ$804)</f>
      </c>
      <c r="FK804">
        <f>IF(ISBLANK('Data Entry'!$ç$804), "", 'Data Entry'!$ç$804)</f>
      </c>
      <c r="FL804">
        <f>IF(ISBLANK('Data Entry'!$è$804), "", 'Data Entry'!$è$804)</f>
      </c>
      <c r="FM804">
        <f>IF(ISBLANK('Data Entry'!$é$804), "", 'Data Entry'!$é$804)</f>
      </c>
      <c r="FN804">
        <f>IF(ISBLANK('Data Entry'!$ê$804), "", 'Data Entry'!$ê$804)</f>
      </c>
      <c r="FO804">
        <f>IF(ISBLANK('Data Entry'!$ë$804), "", 'Data Entry'!$ë$804)</f>
      </c>
      <c r="FP804">
        <f>IF(ISBLANK('Data Entry'!$ì$804), "", 'Data Entry'!$ì$804)</f>
      </c>
      <c r="FQ804">
        <f>IF(ISBLANK('Data Entry'!$í$804), "", 'Data Entry'!$í$804)</f>
      </c>
      <c r="FR804">
        <f>IF(ISBLANK('Data Entry'!$î$804), "", 'Data Entry'!$î$804)</f>
      </c>
      <c r="FS804">
        <f>IF(ISBLANK('Data Entry'!$ï$804), "", 'Data Entry'!$ï$804)</f>
      </c>
      <c r="FT804">
        <f>IF(ISBLANK('Data Entry'!$ð$804), "", 'Data Entry'!$ð$804)</f>
      </c>
      <c r="FU804">
        <f>IF(ISBLANK('Data Entry'!$ñ$804), "", 'Data Entry'!$ñ$804)</f>
      </c>
      <c r="FV804">
        <f>IF(ISBLANK('Data Entry'!$ò$804), "", 'Data Entry'!$ò$804)</f>
      </c>
      <c r="FW804">
        <f>IF(ISBLANK('Data Entry'!$ó$804), "", 'Data Entry'!$ó$804)</f>
      </c>
      <c r="FX804">
        <f>IF(ISBLANK('Data Entry'!$ô$804), "", 'Data Entry'!$ô$804)</f>
      </c>
      <c r="FY804">
        <f>IF(ISBLANK('Data Entry'!$õ$804), "", 'Data Entry'!$õ$804)</f>
      </c>
      <c r="FZ804">
        <f>IF(ISBLANK('Data Entry'!$ö$804), "", 'Data Entry'!$ö$804)</f>
      </c>
      <c r="GA804">
        <f>IF(ISBLANK('Data Entry'!$÷$804), "", 'Data Entry'!$÷$804)</f>
      </c>
      <c r="GB804">
        <f>IF(ISBLANK('Data Entry'!$ø$804), "", 'Data Entry'!$ø$804)</f>
      </c>
      <c r="GC804">
        <f>IF(ISBLANK('Data Entry'!$ù$804), "", 'Data Entry'!$ù$804)</f>
      </c>
      <c r="GD804">
        <f>IF(ISBLANK('Data Entry'!$ú$804), "", 'Data Entry'!$ú$804)</f>
      </c>
      <c r="GE804">
        <f>IF(ISBLANK('Data Entry'!$û$804), "", 'Data Entry'!$û$804)</f>
      </c>
      <c r="GF804">
        <f>IF(ISBLANK('Data Entry'!$ü$804), "", 'Data Entry'!$ü$804)</f>
      </c>
      <c r="GG804">
        <f>IF(ISBLANK('Data Entry'!$ý$804), "", 'Data Entry'!$ý$804)</f>
      </c>
      <c r="GH804">
        <f>IF(ISBLANK('Data Entry'!$þ$804), "", 'Data Entry'!$þ$804)</f>
      </c>
      <c r="GI804">
        <f>IF(ISBLANK('Data Entry'!$ÿ$804), "", 'Data Entry'!$ÿ$804)</f>
      </c>
      <c r="GJ804">
        <f>IF(ISBLANK('Data Entry'!$Ā$804), "", 'Data Entry'!$Ā$804)</f>
      </c>
      <c r="GK804">
        <f>IF(ISBLANK('Data Entry'!$ā$804), "", 'Data Entry'!$ā$804)</f>
      </c>
      <c r="GL804">
        <f>IF(ISBLANK('Data Entry'!$Ă$804), "", 'Data Entry'!$Ă$804)</f>
      </c>
      <c r="GM804">
        <f>IF(ISBLANK('Data Entry'!$ă$804), "", 'Data Entry'!$ă$804)</f>
      </c>
      <c r="GN804">
        <f>IF(ISBLANK('Data Entry'!$Ą$804), "", 'Data Entry'!$Ą$804)</f>
      </c>
      <c r="GO804">
        <f>IF(ISBLANK('Data Entry'!$ą$804), "", 'Data Entry'!$ą$804)</f>
      </c>
      <c r="GP804">
        <f>IF(ISBLANK('Data Entry'!$Ć$804), "", 'Data Entry'!$Ć$804)</f>
      </c>
      <c r="GQ804">
        <f>IF(ISBLANK('Data Entry'!$ć$804), "", 'Data Entry'!$ć$804)</f>
      </c>
      <c r="GR804">
        <f>IF(ISBLANK('Data Entry'!$Ĉ$804), "", 'Data Entry'!$Ĉ$804)</f>
      </c>
      <c r="GS804">
        <f>IF(ISBLANK('Data Entry'!$ĉ$804), "", 'Data Entry'!$ĉ$804)</f>
      </c>
      <c r="GT804">
        <f>IF(ISBLANK('Data Entry'!$Ċ$804), "", 'Data Entry'!$Ċ$804)</f>
      </c>
      <c r="GU804">
        <f>IF(ISBLANK('Data Entry'!$ċ$804), "", 'Data Entry'!$ċ$804)</f>
      </c>
      <c r="GV804">
        <f>IF(ISBLANK('Data Entry'!$Č$804), "", 'Data Entry'!$Č$804)</f>
      </c>
      <c r="GW804">
        <f>IF(ISBLANK('Data Entry'!$č$804), "", 'Data Entry'!$č$804)</f>
      </c>
      <c r="GX804">
        <f>IF(ISBLANK('Data Entry'!$Ď$804), "", 'Data Entry'!$Ď$804)</f>
      </c>
      <c r="GY804">
        <f>IF(ISBLANK('Data Entry'!$ď$804), "", 'Data Entry'!$ď$804)</f>
      </c>
      <c r="GZ804">
        <f>IF(ISBLANK('Data Entry'!$Đ$804), "", 'Data Entry'!$Đ$804)</f>
      </c>
      <c r="HA804">
        <f>IF(ISBLANK('Data Entry'!$đ$804), "", 'Data Entry'!$đ$804)</f>
      </c>
      <c r="HB804">
        <f>IF(ISBLANK('Data Entry'!$Ē$804), "", 'Data Entry'!$Ē$804)</f>
      </c>
      <c r="HC804">
        <f>IF(ISBLANK('Data Entry'!$ē$804), "", 'Data Entry'!$ē$804)</f>
      </c>
      <c r="HD804">
        <f>IF(ISBLANK('Data Entry'!$Ĕ$804), "", 'Data Entry'!$Ĕ$804)</f>
      </c>
      <c r="HE804">
        <f>IF(ISBLANK('Data Entry'!$ĕ$804), "", 'Data Entry'!$ĕ$804)</f>
      </c>
      <c r="HF804">
        <f>IF(ISBLANK('Data Entry'!$Ė$804), "", 'Data Entry'!$Ė$804)</f>
      </c>
      <c r="HG804">
        <f>IF(ISBLANK('Data Entry'!$ė$804), "", 'Data Entry'!$ė$804)</f>
      </c>
      <c r="HH804">
        <f>IF(ISBLANK('Data Entry'!$Ę$804), "", 'Data Entry'!$Ę$804)</f>
      </c>
      <c r="HI804">
        <f>IF(ISBLANK('Data Entry'!$ę$804), "", 'Data Entry'!$ę$804)</f>
      </c>
      <c r="HJ804">
        <f>IF(ISBLANK('Data Entry'!$Ě$804), "", 'Data Entry'!$Ě$804)</f>
      </c>
      <c r="HK804">
        <f>IF(ISBLANK('Data Entry'!$ě$804), "", 'Data Entry'!$ě$804)</f>
      </c>
      <c r="HL804">
        <f>IF(ISBLANK('Data Entry'!$Ĝ$804), "", 'Data Entry'!$Ĝ$804)</f>
      </c>
      <c r="HM804">
        <f>IF(ISBLANK('Data Entry'!$ĝ$804), "", 'Data Entry'!$ĝ$804)</f>
      </c>
      <c r="HN804">
        <f>IF(ISBLANK('Data Entry'!$Ğ$804), "", 'Data Entry'!$Ğ$804)</f>
      </c>
      <c r="HO804">
        <f>IF(ISBLANK('Data Entry'!$ğ$804), "", 'Data Entry'!$ğ$804)</f>
      </c>
      <c r="HP804">
        <f>IF(ISBLANK('Data Entry'!$Ġ$804), "", 'Data Entry'!$Ġ$804)</f>
      </c>
      <c r="HQ804">
        <f>IF(ISBLANK('Data Entry'!$ġ$804), "", 'Data Entry'!$ġ$804)</f>
      </c>
      <c r="HR804">
        <f>IF(ISBLANK('Data Entry'!$Ģ$804), "", 'Data Entry'!$Ģ$804)</f>
      </c>
      <c r="HS804">
        <f>IF(ISBLANK('Data Entry'!$ģ$804), "", 'Data Entry'!$ģ$804)</f>
      </c>
      <c r="HT804">
        <f>IF(ISBLANK('Data Entry'!$Ĥ$804), "", 'Data Entry'!$Ĥ$804)</f>
      </c>
      <c r="HU804">
        <f>IF(ISBLANK('Data Entry'!$ĥ$804), "", 'Data Entry'!$ĥ$804)</f>
      </c>
      <c r="HV804">
        <f>IF(ISBLANK('Data Entry'!$Ħ$804), "", 'Data Entry'!$Ħ$804)</f>
      </c>
      <c r="HW804">
        <f>IF(ISBLANK('Data Entry'!$ħ$804), "", 'Data Entry'!$ħ$804)</f>
      </c>
      <c r="HX804">
        <f>IF(ISBLANK('Data Entry'!$Ĩ$804), "", 'Data Entry'!$Ĩ$804)</f>
      </c>
      <c r="HY804">
        <f>IF(ISBLANK('Data Entry'!$ĩ$804), "", 'Data Entry'!$ĩ$804)</f>
      </c>
      <c r="HZ804">
        <f>IF(ISBLANK('Data Entry'!$Ī$804), "", 'Data Entry'!$Ī$804)</f>
      </c>
      <c r="IA804">
        <f>IF(ISBLANK('Data Entry'!$ī$804), "", 'Data Entry'!$ī$804)</f>
      </c>
      <c r="IB804">
        <f>IF(ISBLANK('Data Entry'!$Ĭ$804), "", 'Data Entry'!$Ĭ$804)</f>
      </c>
      <c r="IC804">
        <f>IF(ISBLANK('Data Entry'!$ĭ$804), "", 'Data Entry'!$ĭ$804)</f>
      </c>
      <c r="ID804">
        <f>IF(ISBLANK('Data Entry'!$Į$804), "", 'Data Entry'!$Į$804)</f>
      </c>
      <c r="IE804">
        <f>IF(ISBLANK('Data Entry'!$į$804), "", 'Data Entry'!$į$804)</f>
      </c>
      <c r="IF804">
        <f>IF(ISBLANK('Data Entry'!$İ$804), "", 'Data Entry'!$İ$804)</f>
      </c>
      <c r="IG804">
        <f>IF(ISBLANK('Data Entry'!$ı$804), "", 'Data Entry'!$ı$804)</f>
      </c>
      <c r="IH804">
        <f>IF(ISBLANK('Data Entry'!$Ĳ$804), "", 'Data Entry'!$Ĳ$804)</f>
      </c>
      <c r="II804">
        <f>IF(ISBLANK('Data Entry'!$ĳ$804), "", 'Data Entry'!$ĳ$804)</f>
      </c>
      <c r="IJ804">
        <f>IF(ISBLANK('Data Entry'!$Ĵ$804), "", 'Data Entry'!$Ĵ$804)</f>
      </c>
      <c r="IK804">
        <f>IF(ISBLANK('Data Entry'!$ĵ$804), "", 'Data Entry'!$ĵ$804)</f>
      </c>
      <c r="IL804">
        <f>IF(ISBLANK('Data Entry'!$Ķ$804), "", 'Data Entry'!$Ķ$804)</f>
      </c>
      <c r="IM804">
        <f>IF(ISBLANK('Data Entry'!$ķ$804), "", 'Data Entry'!$ķ$804)</f>
      </c>
      <c r="IN804">
        <f>IF(ISBLANK('Data Entry'!$ĸ$804), "", 'Data Entry'!$ĸ$804)</f>
      </c>
      <c r="IO804">
        <f>IF(ISBLANK('Data Entry'!$Ĺ$804), "", 'Data Entry'!$Ĺ$804)</f>
      </c>
      <c r="IP804">
        <f>IF(ISBLANK('Data Entry'!$ĺ$804), "", 'Data Entry'!$ĺ$804)</f>
      </c>
      <c r="IQ804">
        <f>IF(ISBLANK('Data Entry'!$Ļ$804), "", 'Data Entry'!$Ļ$804)</f>
      </c>
      <c r="IR804">
        <f>IF(ISBLANK('Data Entry'!$ļ$804), "", 'Data Entry'!$ļ$804)</f>
      </c>
      <c r="IS804">
        <f>IF(ISBLANK('Data Entry'!$Ľ$804), "", 'Data Entry'!$Ľ$804)</f>
      </c>
      <c r="IT804">
        <f>IF(ISBLANK('Data Entry'!$ľ$804), "", 'Data Entry'!$ľ$804)</f>
      </c>
    </row>
    <row r="805" spans="1:254" x14ac:dyDescent="0.25">
      <c r="A805">
        <f>IF(ISBLANK('Data Entry'!$A$805), "", 'Data Entry'!$A$805)</f>
      </c>
      <c r="B805">
        <f>IF(ISBLANK('Data Entry'!$B$805), "", 'Data Entry'!$B$805)</f>
      </c>
      <c r="C805">
        <f>IF(ISBLANK('Data Entry'!$C$805), "", 'Data Entry'!$C$805)</f>
      </c>
      <c r="D805">
        <f>IF(ISBLANK('Data Entry'!$D$805), "", 'Data Entry'!$D$805)</f>
      </c>
      <c r="E805">
        <f>IF(ISBLANK('Data Entry'!$E$805), "", 'Data Entry'!$E$805)</f>
      </c>
      <c r="F805">
        <f>IF(ISBLANK('Data Entry'!$F$805), "", 'Data Entry'!$F$805)</f>
      </c>
      <c r="G805">
        <f>IF(ISBLANK('Data Entry'!$G$805), "", 'Data Entry'!$G$805)</f>
      </c>
      <c r="H805">
        <f>IF(ISBLANK('Data Entry'!$H$805), "", 'Data Entry'!$H$805)</f>
      </c>
      <c r="I805">
        <f>IF(ISBLANK('Data Entry'!$I$805), "", 'Data Entry'!$I$805)</f>
      </c>
      <c r="J805">
        <f>IF(ISBLANK('Data Entry'!$J$805), "", 'Data Entry'!$J$805)</f>
      </c>
      <c r="K805">
        <f>IF(ISBLANK('Data Entry'!$K$805), "", 'Data Entry'!$K$805)</f>
      </c>
      <c r="L805">
        <f>IF(ISBLANK('Data Entry'!$L$805), "", 'Data Entry'!$L$805)</f>
      </c>
      <c r="M805">
        <f>IF(ISBLANK('Data Entry'!$M$805), "", 'Data Entry'!$M$805)</f>
      </c>
      <c r="N805">
        <f>IF(ISBLANK('Data Entry'!$N$805), "", 'Data Entry'!$N$805)</f>
      </c>
      <c r="O805">
        <f>IF(ISBLANK('Data Entry'!$O$805), "", 'Data Entry'!$O$805)</f>
      </c>
      <c r="P805">
        <f>IF(ISBLANK('Data Entry'!$P$805), "", 'Data Entry'!$P$805)</f>
      </c>
      <c r="Q805">
        <f>IF(ISBLANK('Data Entry'!$Q$805), "", 'Data Entry'!$Q$805)</f>
      </c>
      <c r="R805">
        <f>IF(ISBLANK('Data Entry'!$R$805), "", 'Data Entry'!$R$805)</f>
      </c>
      <c r="S805">
        <f>IF(ISBLANK('Data Entry'!$S$805), "", 'Data Entry'!$S$805)</f>
      </c>
      <c r="T805">
        <f>IF(ISBLANK('Data Entry'!$T$805), "", 'Data Entry'!$T$805)</f>
      </c>
      <c r="U805">
        <f>IF(ISBLANK('Data Entry'!$U$805), "", 'Data Entry'!$U$805)</f>
      </c>
      <c r="V805">
        <f>IF(ISBLANK('Data Entry'!$V$805), "", 'Data Entry'!$V$805)</f>
      </c>
      <c r="W805">
        <f>IF(ISBLANK('Data Entry'!$W$805), "", 'Data Entry'!$W$805)</f>
      </c>
      <c r="X805">
        <f>IF(ISBLANK('Data Entry'!$X$805), "", 'Data Entry'!$X$805)</f>
      </c>
      <c r="Y805">
        <f>IF(ISBLANK('Data Entry'!$Y$805), "", 'Data Entry'!$Y$805)</f>
      </c>
      <c r="Z805">
        <f>IF(ISBLANK('Data Entry'!$Z$805), "", 'Data Entry'!$Z$805)</f>
      </c>
      <c r="AA805">
        <f>IF(ISBLANK('Data Entry'!$[$805), "", 'Data Entry'!$[$805)</f>
      </c>
      <c r="AB805">
        <f>IF(ISBLANK('Data Entry'!$\$805), "", 'Data Entry'!$\$805)</f>
      </c>
      <c r="AC805">
        <f>IF(ISBLANK('Data Entry'!$]$805), "", 'Data Entry'!$]$805)</f>
      </c>
      <c r="AD805">
        <f>IF(ISBLANK('Data Entry'!$^$805), "", 'Data Entry'!$^$805)</f>
      </c>
      <c r="AE805">
        <f>IF(ISBLANK('Data Entry'!$_$805), "", 'Data Entry'!$_$805)</f>
      </c>
      <c r="AF805">
        <f>IF(ISBLANK('Data Entry'!$`$805), "", 'Data Entry'!$`$805)</f>
      </c>
      <c r="AG805">
        <f>IF(ISBLANK('Data Entry'!$a$805), "", 'Data Entry'!$a$805)</f>
      </c>
      <c r="AH805">
        <f>IF(ISBLANK('Data Entry'!$b$805), "", 'Data Entry'!$b$805)</f>
      </c>
      <c r="AI805">
        <f>IF(ISBLANK('Data Entry'!$c$805), "", 'Data Entry'!$c$805)</f>
      </c>
      <c r="AJ805">
        <f>IF(ISBLANK('Data Entry'!$d$805), "", 'Data Entry'!$d$805)</f>
      </c>
      <c r="AK805">
        <f>IF(ISBLANK('Data Entry'!$e$805), "", 'Data Entry'!$e$805)</f>
      </c>
      <c r="AL805">
        <f>IF(ISBLANK('Data Entry'!$f$805), "", 'Data Entry'!$f$805)</f>
      </c>
      <c r="AM805">
        <f>IF(ISBLANK('Data Entry'!$g$805), "", 'Data Entry'!$g$805)</f>
      </c>
      <c r="AN805">
        <f>IF(ISBLANK('Data Entry'!$h$805), "", 'Data Entry'!$h$805)</f>
      </c>
      <c r="AO805">
        <f>IF(ISBLANK('Data Entry'!$i$805), "", 'Data Entry'!$i$805)</f>
      </c>
      <c r="AP805">
        <f>IF(ISBLANK('Data Entry'!$j$805), "", 'Data Entry'!$j$805)</f>
      </c>
      <c r="AQ805">
        <f>IF(ISBLANK('Data Entry'!$k$805), "", 'Data Entry'!$k$805)</f>
      </c>
      <c r="AR805">
        <f>IF(ISBLANK('Data Entry'!$l$805), "", 'Data Entry'!$l$805)</f>
      </c>
      <c r="AS805">
        <f>IF(ISBLANK('Data Entry'!$m$805), "", 'Data Entry'!$m$805)</f>
      </c>
      <c r="AT805">
        <f>IF(ISBLANK('Data Entry'!$n$805), "", 'Data Entry'!$n$805)</f>
      </c>
      <c r="AU805">
        <f>IF(ISBLANK('Data Entry'!$o$805), "", 'Data Entry'!$o$805)</f>
      </c>
      <c r="AV805">
        <f>IF(ISBLANK('Data Entry'!$p$805), "", 'Data Entry'!$p$805)</f>
      </c>
      <c r="AW805">
        <f>IF(ISBLANK('Data Entry'!$q$805), "", 'Data Entry'!$q$805)</f>
      </c>
      <c r="AX805">
        <f>IF(ISBLANK('Data Entry'!$r$805), "", 'Data Entry'!$r$805)</f>
      </c>
      <c r="AY805">
        <f>IF(ISBLANK('Data Entry'!$s$805), "", 'Data Entry'!$s$805)</f>
      </c>
      <c r="AZ805">
        <f>IF(ISBLANK('Data Entry'!$t$805), "", 'Data Entry'!$t$805)</f>
      </c>
      <c r="BA805">
        <f>IF(ISBLANK('Data Entry'!$u$805), "", 'Data Entry'!$u$805)</f>
      </c>
      <c r="BB805">
        <f>IF(ISBLANK('Data Entry'!$v$805), "", 'Data Entry'!$v$805)</f>
      </c>
      <c r="BC805">
        <f>IF(ISBLANK('Data Entry'!$w$805), "", 'Data Entry'!$w$805)</f>
      </c>
      <c r="BD805">
        <f>IF(ISBLANK('Data Entry'!$x$805), "", 'Data Entry'!$x$805)</f>
      </c>
      <c r="BE805">
        <f>IF(ISBLANK('Data Entry'!$y$805), "", 'Data Entry'!$y$805)</f>
      </c>
      <c r="BF805">
        <f>IF(ISBLANK('Data Entry'!$z$805), "", 'Data Entry'!$z$805)</f>
      </c>
      <c r="BG805">
        <f>IF(ISBLANK('Data Entry'!${$805), "", 'Data Entry'!${$805)</f>
      </c>
      <c r="BH805">
        <f>IF(ISBLANK('Data Entry'!$|$805), "", 'Data Entry'!$|$805)</f>
      </c>
      <c r="BI805">
        <f>IF(ISBLANK('Data Entry'!$}$805), "", 'Data Entry'!$}$805)</f>
      </c>
      <c r="BJ805">
        <f>IF(ISBLANK('Data Entry'!$~$805), "", 'Data Entry'!$~$805)</f>
      </c>
      <c r="BK805">
        <f>IF(ISBLANK('Data Entry'!$$805), "", 'Data Entry'!$$805)</f>
      </c>
      <c r="BL805">
        <f>IF(ISBLANK('Data Entry'!$$805), "", 'Data Entry'!$$805)</f>
      </c>
      <c r="BM805">
        <f>IF(ISBLANK('Data Entry'!$$805), "", 'Data Entry'!$$805)</f>
      </c>
      <c r="BN805">
        <f>IF(ISBLANK('Data Entry'!$$805), "", 'Data Entry'!$$805)</f>
      </c>
      <c r="BO805">
        <f>IF(ISBLANK('Data Entry'!$$805), "", 'Data Entry'!$$805)</f>
      </c>
      <c r="BP805">
        <f>IF(ISBLANK('Data Entry'!$$805), "", 'Data Entry'!$$805)</f>
      </c>
      <c r="BQ805">
        <f>IF(ISBLANK('Data Entry'!$$805), "", 'Data Entry'!$$805)</f>
      </c>
      <c r="BR805">
        <f>IF(ISBLANK('Data Entry'!$$805), "", 'Data Entry'!$$805)</f>
      </c>
      <c r="BS805">
        <f>IF(ISBLANK('Data Entry'!$$805), "", 'Data Entry'!$$805)</f>
      </c>
      <c r="BT805">
        <f>IF(ISBLANK('Data Entry'!$$805), "", 'Data Entry'!$$805)</f>
      </c>
      <c r="BU805">
        <f>IF(ISBLANK('Data Entry'!$$805), "", 'Data Entry'!$$805)</f>
      </c>
      <c r="BV805">
        <f>IF(ISBLANK('Data Entry'!$$805), "", 'Data Entry'!$$805)</f>
      </c>
      <c r="BW805">
        <f>IF(ISBLANK('Data Entry'!$$805), "", 'Data Entry'!$$805)</f>
      </c>
      <c r="BX805">
        <f>IF(ISBLANK('Data Entry'!$$805), "", 'Data Entry'!$$805)</f>
      </c>
      <c r="BY805">
        <f>IF(ISBLANK('Data Entry'!$$805), "", 'Data Entry'!$$805)</f>
      </c>
      <c r="BZ805">
        <f>IF(ISBLANK('Data Entry'!$$805), "", 'Data Entry'!$$805)</f>
      </c>
      <c r="CA805">
        <f>IF(ISBLANK('Data Entry'!$$805), "", 'Data Entry'!$$805)</f>
      </c>
      <c r="CB805">
        <f>IF(ISBLANK('Data Entry'!$$805), "", 'Data Entry'!$$805)</f>
      </c>
      <c r="CC805">
        <f>IF(ISBLANK('Data Entry'!$$805), "", 'Data Entry'!$$805)</f>
      </c>
      <c r="CD805">
        <f>IF(ISBLANK('Data Entry'!$$805), "", 'Data Entry'!$$805)</f>
      </c>
      <c r="CE805">
        <f>IF(ISBLANK('Data Entry'!$$805), "", 'Data Entry'!$$805)</f>
      </c>
      <c r="CF805">
        <f>IF(ISBLANK('Data Entry'!$$805), "", 'Data Entry'!$$805)</f>
      </c>
      <c r="CG805">
        <f>IF(ISBLANK('Data Entry'!$$805), "", 'Data Entry'!$$805)</f>
      </c>
      <c r="CH805">
        <f>IF(ISBLANK('Data Entry'!$$805), "", 'Data Entry'!$$805)</f>
      </c>
      <c r="CI805">
        <f>IF(ISBLANK('Data Entry'!$$805), "", 'Data Entry'!$$805)</f>
      </c>
      <c r="CJ805">
        <f>IF(ISBLANK('Data Entry'!$$805), "", 'Data Entry'!$$805)</f>
      </c>
      <c r="CK805">
        <f>IF(ISBLANK('Data Entry'!$$805), "", 'Data Entry'!$$805)</f>
      </c>
      <c r="CL805">
        <f>IF(ISBLANK('Data Entry'!$$805), "", 'Data Entry'!$$805)</f>
      </c>
      <c r="CM805">
        <f>IF(ISBLANK('Data Entry'!$$805), "", 'Data Entry'!$$805)</f>
      </c>
      <c r="CN805">
        <f>IF(ISBLANK('Data Entry'!$$805), "", 'Data Entry'!$$805)</f>
      </c>
      <c r="CO805">
        <f>IF(ISBLANK('Data Entry'!$$805), "", 'Data Entry'!$$805)</f>
      </c>
      <c r="CP805">
        <f>IF(ISBLANK('Data Entry'!$$805), "", 'Data Entry'!$$805)</f>
      </c>
      <c r="CQ805">
        <f>IF(ISBLANK('Data Entry'!$$805), "", 'Data Entry'!$$805)</f>
      </c>
      <c r="CR805">
        <f>IF(ISBLANK('Data Entry'!$ $805), "", 'Data Entry'!$ $805)</f>
      </c>
      <c r="CS805">
        <f>IF(ISBLANK('Data Entry'!$¡$805), "", 'Data Entry'!$¡$805)</f>
      </c>
      <c r="CT805">
        <f>IF(ISBLANK('Data Entry'!$¢$805), "", 'Data Entry'!$¢$805)</f>
      </c>
      <c r="CU805">
        <f>IF(ISBLANK('Data Entry'!$£$805), "", 'Data Entry'!$£$805)</f>
      </c>
      <c r="CV805">
        <f>IF(ISBLANK('Data Entry'!$¤$805), "", 'Data Entry'!$¤$805)</f>
      </c>
      <c r="CW805">
        <f>IF(ISBLANK('Data Entry'!$¥$805), "", 'Data Entry'!$¥$805)</f>
      </c>
      <c r="CX805">
        <f>IF(ISBLANK('Data Entry'!$¦$805), "", 'Data Entry'!$¦$805)</f>
      </c>
      <c r="CY805">
        <f>IF(ISBLANK('Data Entry'!$§$805), "", 'Data Entry'!$§$805)</f>
      </c>
      <c r="CZ805">
        <f>IF(ISBLANK('Data Entry'!$¨$805), "", 'Data Entry'!$¨$805)</f>
      </c>
      <c r="DA805">
        <f>IF(ISBLANK('Data Entry'!$©$805), "", 'Data Entry'!$©$805)</f>
      </c>
      <c r="DB805">
        <f>IF(ISBLANK('Data Entry'!$ª$805), "", 'Data Entry'!$ª$805)</f>
      </c>
      <c r="DC805">
        <f>IF(ISBLANK('Data Entry'!$«$805), "", 'Data Entry'!$«$805)</f>
      </c>
      <c r="DD805">
        <f>IF(ISBLANK('Data Entry'!$¬$805), "", 'Data Entry'!$¬$805)</f>
      </c>
      <c r="DE805">
        <f>IF(ISBLANK('Data Entry'!$­$805), "", 'Data Entry'!$­$805)</f>
      </c>
      <c r="DF805">
        <f>IF(ISBLANK('Data Entry'!$®$805), "", 'Data Entry'!$®$805)</f>
      </c>
      <c r="DG805">
        <f>IF(ISBLANK('Data Entry'!$¯$805), "", 'Data Entry'!$¯$805)</f>
      </c>
      <c r="DH805">
        <f>IF(ISBLANK('Data Entry'!$°$805), "", 'Data Entry'!$°$805)</f>
      </c>
      <c r="DI805">
        <f>IF(ISBLANK('Data Entry'!$±$805), "", 'Data Entry'!$±$805)</f>
      </c>
      <c r="DJ805">
        <f>IF(ISBLANK('Data Entry'!$²$805), "", 'Data Entry'!$²$805)</f>
      </c>
      <c r="DK805">
        <f>IF(ISBLANK('Data Entry'!$³$805), "", 'Data Entry'!$³$805)</f>
      </c>
      <c r="DL805">
        <f>IF(ISBLANK('Data Entry'!$´$805), "", 'Data Entry'!$´$805)</f>
      </c>
      <c r="DM805">
        <f>IF(ISBLANK('Data Entry'!$µ$805), "", 'Data Entry'!$µ$805)</f>
      </c>
      <c r="DN805">
        <f>IF(ISBLANK('Data Entry'!$¶$805), "", 'Data Entry'!$¶$805)</f>
      </c>
      <c r="DO805">
        <f>IF(ISBLANK('Data Entry'!$·$805), "", 'Data Entry'!$·$805)</f>
      </c>
      <c r="DP805">
        <f>IF(ISBLANK('Data Entry'!$¸$805), "", 'Data Entry'!$¸$805)</f>
      </c>
      <c r="DQ805">
        <f>IF(ISBLANK('Data Entry'!$¹$805), "", 'Data Entry'!$¹$805)</f>
      </c>
      <c r="DR805">
        <f>IF(ISBLANK('Data Entry'!$º$805), "", 'Data Entry'!$º$805)</f>
      </c>
      <c r="DS805">
        <f>IF(ISBLANK('Data Entry'!$»$805), "", 'Data Entry'!$»$805)</f>
      </c>
      <c r="DT805">
        <f>IF(ISBLANK('Data Entry'!$¼$805), "", 'Data Entry'!$¼$805)</f>
      </c>
      <c r="DU805">
        <f>IF(ISBLANK('Data Entry'!$½$805), "", 'Data Entry'!$½$805)</f>
      </c>
      <c r="DV805">
        <f>IF(ISBLANK('Data Entry'!$¾$805), "", 'Data Entry'!$¾$805)</f>
      </c>
      <c r="DW805">
        <f>IF(ISBLANK('Data Entry'!$¿$805), "", 'Data Entry'!$¿$805)</f>
      </c>
      <c r="DX805">
        <f>IF(ISBLANK('Data Entry'!$À$805), "", 'Data Entry'!$À$805)</f>
      </c>
      <c r="DY805">
        <f>IF(ISBLANK('Data Entry'!$Á$805), "", 'Data Entry'!$Á$805)</f>
      </c>
      <c r="DZ805">
        <f>IF(ISBLANK('Data Entry'!$Â$805), "", 'Data Entry'!$Â$805)</f>
      </c>
      <c r="EA805">
        <f>IF(ISBLANK('Data Entry'!$Ã$805), "", 'Data Entry'!$Ã$805)</f>
      </c>
      <c r="EB805">
        <f>IF(ISBLANK('Data Entry'!$Ä$805), "", 'Data Entry'!$Ä$805)</f>
      </c>
      <c r="EC805">
        <f>IF(ISBLANK('Data Entry'!$Å$805), "", 'Data Entry'!$Å$805)</f>
      </c>
      <c r="ED805">
        <f>IF(ISBLANK('Data Entry'!$Æ$805), "", 'Data Entry'!$Æ$805)</f>
      </c>
      <c r="EE805">
        <f>IF(ISBLANK('Data Entry'!$Ç$805), "", 'Data Entry'!$Ç$805)</f>
      </c>
      <c r="EF805">
        <f>IF(ISBLANK('Data Entry'!$È$805), "", 'Data Entry'!$È$805)</f>
      </c>
      <c r="EG805">
        <f>IF(ISBLANK('Data Entry'!$É$805), "", 'Data Entry'!$É$805)</f>
      </c>
      <c r="EH805">
        <f>IF(ISBLANK('Data Entry'!$Ê$805), "", 'Data Entry'!$Ê$805)</f>
      </c>
      <c r="EI805">
        <f>IF(ISBLANK('Data Entry'!$Ë$805), "", 'Data Entry'!$Ë$805)</f>
      </c>
      <c r="EJ805">
        <f>IF(ISBLANK('Data Entry'!$Ì$805), "", 'Data Entry'!$Ì$805)</f>
      </c>
      <c r="EK805">
        <f>IF(ISBLANK('Data Entry'!$Í$805), "", 'Data Entry'!$Í$805)</f>
      </c>
      <c r="EL805">
        <f>IF(ISBLANK('Data Entry'!$Î$805), "", 'Data Entry'!$Î$805)</f>
      </c>
      <c r="EM805">
        <f>IF(ISBLANK('Data Entry'!$Ï$805), "", 'Data Entry'!$Ï$805)</f>
      </c>
      <c r="EN805">
        <f>IF(ISBLANK('Data Entry'!$Ð$805), "", 'Data Entry'!$Ð$805)</f>
      </c>
      <c r="EO805">
        <f>IF(ISBLANK('Data Entry'!$Ñ$805), "", 'Data Entry'!$Ñ$805)</f>
      </c>
      <c r="EP805">
        <f>IF(ISBLANK('Data Entry'!$Ò$805), "", 'Data Entry'!$Ò$805)</f>
      </c>
      <c r="EQ805">
        <f>IF(ISBLANK('Data Entry'!$Ó$805), "", 'Data Entry'!$Ó$805)</f>
      </c>
      <c r="ER805">
        <f>IF(ISBLANK('Data Entry'!$Ô$805), "", 'Data Entry'!$Ô$805)</f>
      </c>
      <c r="ES805">
        <f>IF(ISBLANK('Data Entry'!$Õ$805), "", 'Data Entry'!$Õ$805)</f>
      </c>
      <c r="ET805">
        <f>IF(ISBLANK('Data Entry'!$Ö$805), "", 'Data Entry'!$Ö$805)</f>
      </c>
      <c r="EU805">
        <f>IF(ISBLANK('Data Entry'!$×$805), "", 'Data Entry'!$×$805)</f>
      </c>
      <c r="EV805">
        <f>IF(ISBLANK('Data Entry'!$Ø$805), "", 'Data Entry'!$Ø$805)</f>
      </c>
      <c r="EW805">
        <f>IF(ISBLANK('Data Entry'!$Ù$805), "", 'Data Entry'!$Ù$805)</f>
      </c>
      <c r="EX805">
        <f>IF(ISBLANK('Data Entry'!$Ú$805), "", 'Data Entry'!$Ú$805)</f>
      </c>
      <c r="EY805">
        <f>IF(ISBLANK('Data Entry'!$Û$805), "", 'Data Entry'!$Û$805)</f>
      </c>
      <c r="EZ805">
        <f>IF(ISBLANK('Data Entry'!$Ü$805), "", 'Data Entry'!$Ü$805)</f>
      </c>
      <c r="FA805">
        <f>IF(ISBLANK('Data Entry'!$Ý$805), "", 'Data Entry'!$Ý$805)</f>
      </c>
      <c r="FB805">
        <f>IF(ISBLANK('Data Entry'!$Þ$805), "", 'Data Entry'!$Þ$805)</f>
      </c>
      <c r="FC805">
        <f>IF(ISBLANK('Data Entry'!$ß$805), "", 'Data Entry'!$ß$805)</f>
      </c>
      <c r="FD805">
        <f>IF(ISBLANK('Data Entry'!$à$805), "", 'Data Entry'!$à$805)</f>
      </c>
      <c r="FE805">
        <f>IF(ISBLANK('Data Entry'!$á$805), "", 'Data Entry'!$á$805)</f>
      </c>
      <c r="FF805">
        <f>IF(ISBLANK('Data Entry'!$â$805), "", 'Data Entry'!$â$805)</f>
      </c>
      <c r="FG805">
        <f>IF(ISBLANK('Data Entry'!$ã$805), "", 'Data Entry'!$ã$805)</f>
      </c>
      <c r="FH805">
        <f>IF(ISBLANK('Data Entry'!$ä$805), "", 'Data Entry'!$ä$805)</f>
      </c>
      <c r="FI805">
        <f>IF(ISBLANK('Data Entry'!$å$805), "", 'Data Entry'!$å$805)</f>
      </c>
      <c r="FJ805">
        <f>IF(ISBLANK('Data Entry'!$æ$805), "", 'Data Entry'!$æ$805)</f>
      </c>
      <c r="FK805">
        <f>IF(ISBLANK('Data Entry'!$ç$805), "", 'Data Entry'!$ç$805)</f>
      </c>
      <c r="FL805">
        <f>IF(ISBLANK('Data Entry'!$è$805), "", 'Data Entry'!$è$805)</f>
      </c>
      <c r="FM805">
        <f>IF(ISBLANK('Data Entry'!$é$805), "", 'Data Entry'!$é$805)</f>
      </c>
      <c r="FN805">
        <f>IF(ISBLANK('Data Entry'!$ê$805), "", 'Data Entry'!$ê$805)</f>
      </c>
      <c r="FO805">
        <f>IF(ISBLANK('Data Entry'!$ë$805), "", 'Data Entry'!$ë$805)</f>
      </c>
      <c r="FP805">
        <f>IF(ISBLANK('Data Entry'!$ì$805), "", 'Data Entry'!$ì$805)</f>
      </c>
      <c r="FQ805">
        <f>IF(ISBLANK('Data Entry'!$í$805), "", 'Data Entry'!$í$805)</f>
      </c>
      <c r="FR805">
        <f>IF(ISBLANK('Data Entry'!$î$805), "", 'Data Entry'!$î$805)</f>
      </c>
      <c r="FS805">
        <f>IF(ISBLANK('Data Entry'!$ï$805), "", 'Data Entry'!$ï$805)</f>
      </c>
      <c r="FT805">
        <f>IF(ISBLANK('Data Entry'!$ð$805), "", 'Data Entry'!$ð$805)</f>
      </c>
      <c r="FU805">
        <f>IF(ISBLANK('Data Entry'!$ñ$805), "", 'Data Entry'!$ñ$805)</f>
      </c>
      <c r="FV805">
        <f>IF(ISBLANK('Data Entry'!$ò$805), "", 'Data Entry'!$ò$805)</f>
      </c>
      <c r="FW805">
        <f>IF(ISBLANK('Data Entry'!$ó$805), "", 'Data Entry'!$ó$805)</f>
      </c>
      <c r="FX805">
        <f>IF(ISBLANK('Data Entry'!$ô$805), "", 'Data Entry'!$ô$805)</f>
      </c>
      <c r="FY805">
        <f>IF(ISBLANK('Data Entry'!$õ$805), "", 'Data Entry'!$õ$805)</f>
      </c>
      <c r="FZ805">
        <f>IF(ISBLANK('Data Entry'!$ö$805), "", 'Data Entry'!$ö$805)</f>
      </c>
      <c r="GA805">
        <f>IF(ISBLANK('Data Entry'!$÷$805), "", 'Data Entry'!$÷$805)</f>
      </c>
      <c r="GB805">
        <f>IF(ISBLANK('Data Entry'!$ø$805), "", 'Data Entry'!$ø$805)</f>
      </c>
      <c r="GC805">
        <f>IF(ISBLANK('Data Entry'!$ù$805), "", 'Data Entry'!$ù$805)</f>
      </c>
      <c r="GD805">
        <f>IF(ISBLANK('Data Entry'!$ú$805), "", 'Data Entry'!$ú$805)</f>
      </c>
      <c r="GE805">
        <f>IF(ISBLANK('Data Entry'!$û$805), "", 'Data Entry'!$û$805)</f>
      </c>
      <c r="GF805">
        <f>IF(ISBLANK('Data Entry'!$ü$805), "", 'Data Entry'!$ü$805)</f>
      </c>
      <c r="GG805">
        <f>IF(ISBLANK('Data Entry'!$ý$805), "", 'Data Entry'!$ý$805)</f>
      </c>
      <c r="GH805">
        <f>IF(ISBLANK('Data Entry'!$þ$805), "", 'Data Entry'!$þ$805)</f>
      </c>
      <c r="GI805">
        <f>IF(ISBLANK('Data Entry'!$ÿ$805), "", 'Data Entry'!$ÿ$805)</f>
      </c>
      <c r="GJ805">
        <f>IF(ISBLANK('Data Entry'!$Ā$805), "", 'Data Entry'!$Ā$805)</f>
      </c>
      <c r="GK805">
        <f>IF(ISBLANK('Data Entry'!$ā$805), "", 'Data Entry'!$ā$805)</f>
      </c>
      <c r="GL805">
        <f>IF(ISBLANK('Data Entry'!$Ă$805), "", 'Data Entry'!$Ă$805)</f>
      </c>
      <c r="GM805">
        <f>IF(ISBLANK('Data Entry'!$ă$805), "", 'Data Entry'!$ă$805)</f>
      </c>
      <c r="GN805">
        <f>IF(ISBLANK('Data Entry'!$Ą$805), "", 'Data Entry'!$Ą$805)</f>
      </c>
      <c r="GO805">
        <f>IF(ISBLANK('Data Entry'!$ą$805), "", 'Data Entry'!$ą$805)</f>
      </c>
      <c r="GP805">
        <f>IF(ISBLANK('Data Entry'!$Ć$805), "", 'Data Entry'!$Ć$805)</f>
      </c>
      <c r="GQ805">
        <f>IF(ISBLANK('Data Entry'!$ć$805), "", 'Data Entry'!$ć$805)</f>
      </c>
      <c r="GR805">
        <f>IF(ISBLANK('Data Entry'!$Ĉ$805), "", 'Data Entry'!$Ĉ$805)</f>
      </c>
      <c r="GS805">
        <f>IF(ISBLANK('Data Entry'!$ĉ$805), "", 'Data Entry'!$ĉ$805)</f>
      </c>
      <c r="GT805">
        <f>IF(ISBLANK('Data Entry'!$Ċ$805), "", 'Data Entry'!$Ċ$805)</f>
      </c>
      <c r="GU805">
        <f>IF(ISBLANK('Data Entry'!$ċ$805), "", 'Data Entry'!$ċ$805)</f>
      </c>
      <c r="GV805">
        <f>IF(ISBLANK('Data Entry'!$Č$805), "", 'Data Entry'!$Č$805)</f>
      </c>
      <c r="GW805">
        <f>IF(ISBLANK('Data Entry'!$č$805), "", 'Data Entry'!$č$805)</f>
      </c>
      <c r="GX805">
        <f>IF(ISBLANK('Data Entry'!$Ď$805), "", 'Data Entry'!$Ď$805)</f>
      </c>
      <c r="GY805">
        <f>IF(ISBLANK('Data Entry'!$ď$805), "", 'Data Entry'!$ď$805)</f>
      </c>
      <c r="GZ805">
        <f>IF(ISBLANK('Data Entry'!$Đ$805), "", 'Data Entry'!$Đ$805)</f>
      </c>
      <c r="HA805">
        <f>IF(ISBLANK('Data Entry'!$đ$805), "", 'Data Entry'!$đ$805)</f>
      </c>
      <c r="HB805">
        <f>IF(ISBLANK('Data Entry'!$Ē$805), "", 'Data Entry'!$Ē$805)</f>
      </c>
      <c r="HC805">
        <f>IF(ISBLANK('Data Entry'!$ē$805), "", 'Data Entry'!$ē$805)</f>
      </c>
      <c r="HD805">
        <f>IF(ISBLANK('Data Entry'!$Ĕ$805), "", 'Data Entry'!$Ĕ$805)</f>
      </c>
      <c r="HE805">
        <f>IF(ISBLANK('Data Entry'!$ĕ$805), "", 'Data Entry'!$ĕ$805)</f>
      </c>
      <c r="HF805">
        <f>IF(ISBLANK('Data Entry'!$Ė$805), "", 'Data Entry'!$Ė$805)</f>
      </c>
      <c r="HG805">
        <f>IF(ISBLANK('Data Entry'!$ė$805), "", 'Data Entry'!$ė$805)</f>
      </c>
      <c r="HH805">
        <f>IF(ISBLANK('Data Entry'!$Ę$805), "", 'Data Entry'!$Ę$805)</f>
      </c>
      <c r="HI805">
        <f>IF(ISBLANK('Data Entry'!$ę$805), "", 'Data Entry'!$ę$805)</f>
      </c>
      <c r="HJ805">
        <f>IF(ISBLANK('Data Entry'!$Ě$805), "", 'Data Entry'!$Ě$805)</f>
      </c>
      <c r="HK805">
        <f>IF(ISBLANK('Data Entry'!$ě$805), "", 'Data Entry'!$ě$805)</f>
      </c>
      <c r="HL805">
        <f>IF(ISBLANK('Data Entry'!$Ĝ$805), "", 'Data Entry'!$Ĝ$805)</f>
      </c>
      <c r="HM805">
        <f>IF(ISBLANK('Data Entry'!$ĝ$805), "", 'Data Entry'!$ĝ$805)</f>
      </c>
      <c r="HN805">
        <f>IF(ISBLANK('Data Entry'!$Ğ$805), "", 'Data Entry'!$Ğ$805)</f>
      </c>
      <c r="HO805">
        <f>IF(ISBLANK('Data Entry'!$ğ$805), "", 'Data Entry'!$ğ$805)</f>
      </c>
      <c r="HP805">
        <f>IF(ISBLANK('Data Entry'!$Ġ$805), "", 'Data Entry'!$Ġ$805)</f>
      </c>
      <c r="HQ805">
        <f>IF(ISBLANK('Data Entry'!$ġ$805), "", 'Data Entry'!$ġ$805)</f>
      </c>
      <c r="HR805">
        <f>IF(ISBLANK('Data Entry'!$Ģ$805), "", 'Data Entry'!$Ģ$805)</f>
      </c>
      <c r="HS805">
        <f>IF(ISBLANK('Data Entry'!$ģ$805), "", 'Data Entry'!$ģ$805)</f>
      </c>
      <c r="HT805">
        <f>IF(ISBLANK('Data Entry'!$Ĥ$805), "", 'Data Entry'!$Ĥ$805)</f>
      </c>
      <c r="HU805">
        <f>IF(ISBLANK('Data Entry'!$ĥ$805), "", 'Data Entry'!$ĥ$805)</f>
      </c>
      <c r="HV805">
        <f>IF(ISBLANK('Data Entry'!$Ħ$805), "", 'Data Entry'!$Ħ$805)</f>
      </c>
      <c r="HW805">
        <f>IF(ISBLANK('Data Entry'!$ħ$805), "", 'Data Entry'!$ħ$805)</f>
      </c>
      <c r="HX805">
        <f>IF(ISBLANK('Data Entry'!$Ĩ$805), "", 'Data Entry'!$Ĩ$805)</f>
      </c>
      <c r="HY805">
        <f>IF(ISBLANK('Data Entry'!$ĩ$805), "", 'Data Entry'!$ĩ$805)</f>
      </c>
      <c r="HZ805">
        <f>IF(ISBLANK('Data Entry'!$Ī$805), "", 'Data Entry'!$Ī$805)</f>
      </c>
      <c r="IA805">
        <f>IF(ISBLANK('Data Entry'!$ī$805), "", 'Data Entry'!$ī$805)</f>
      </c>
      <c r="IB805">
        <f>IF(ISBLANK('Data Entry'!$Ĭ$805), "", 'Data Entry'!$Ĭ$805)</f>
      </c>
      <c r="IC805">
        <f>IF(ISBLANK('Data Entry'!$ĭ$805), "", 'Data Entry'!$ĭ$805)</f>
      </c>
      <c r="ID805">
        <f>IF(ISBLANK('Data Entry'!$Į$805), "", 'Data Entry'!$Į$805)</f>
      </c>
      <c r="IE805">
        <f>IF(ISBLANK('Data Entry'!$į$805), "", 'Data Entry'!$į$805)</f>
      </c>
      <c r="IF805">
        <f>IF(ISBLANK('Data Entry'!$İ$805), "", 'Data Entry'!$İ$805)</f>
      </c>
      <c r="IG805">
        <f>IF(ISBLANK('Data Entry'!$ı$805), "", 'Data Entry'!$ı$805)</f>
      </c>
      <c r="IH805">
        <f>IF(ISBLANK('Data Entry'!$Ĳ$805), "", 'Data Entry'!$Ĳ$805)</f>
      </c>
      <c r="II805">
        <f>IF(ISBLANK('Data Entry'!$ĳ$805), "", 'Data Entry'!$ĳ$805)</f>
      </c>
      <c r="IJ805">
        <f>IF(ISBLANK('Data Entry'!$Ĵ$805), "", 'Data Entry'!$Ĵ$805)</f>
      </c>
      <c r="IK805">
        <f>IF(ISBLANK('Data Entry'!$ĵ$805), "", 'Data Entry'!$ĵ$805)</f>
      </c>
      <c r="IL805">
        <f>IF(ISBLANK('Data Entry'!$Ķ$805), "", 'Data Entry'!$Ķ$805)</f>
      </c>
      <c r="IM805">
        <f>IF(ISBLANK('Data Entry'!$ķ$805), "", 'Data Entry'!$ķ$805)</f>
      </c>
      <c r="IN805">
        <f>IF(ISBLANK('Data Entry'!$ĸ$805), "", 'Data Entry'!$ĸ$805)</f>
      </c>
      <c r="IO805">
        <f>IF(ISBLANK('Data Entry'!$Ĺ$805), "", 'Data Entry'!$Ĺ$805)</f>
      </c>
      <c r="IP805">
        <f>IF(ISBLANK('Data Entry'!$ĺ$805), "", 'Data Entry'!$ĺ$805)</f>
      </c>
      <c r="IQ805">
        <f>IF(ISBLANK('Data Entry'!$Ļ$805), "", 'Data Entry'!$Ļ$805)</f>
      </c>
      <c r="IR805">
        <f>IF(ISBLANK('Data Entry'!$ļ$805), "", 'Data Entry'!$ļ$805)</f>
      </c>
      <c r="IS805">
        <f>IF(ISBLANK('Data Entry'!$Ľ$805), "", 'Data Entry'!$Ľ$805)</f>
      </c>
      <c r="IT805">
        <f>IF(ISBLANK('Data Entry'!$ľ$805), "", 'Data Entry'!$ľ$805)</f>
      </c>
    </row>
    <row r="806" spans="1:254" x14ac:dyDescent="0.25">
      <c r="A806">
        <f>IF(ISBLANK('Data Entry'!$A$806), "", 'Data Entry'!$A$806)</f>
      </c>
      <c r="B806">
        <f>IF(ISBLANK('Data Entry'!$B$806), "", 'Data Entry'!$B$806)</f>
      </c>
      <c r="C806">
        <f>IF(ISBLANK('Data Entry'!$C$806), "", 'Data Entry'!$C$806)</f>
      </c>
      <c r="D806">
        <f>IF(ISBLANK('Data Entry'!$D$806), "", 'Data Entry'!$D$806)</f>
      </c>
      <c r="E806">
        <f>IF(ISBLANK('Data Entry'!$E$806), "", 'Data Entry'!$E$806)</f>
      </c>
      <c r="F806">
        <f>IF(ISBLANK('Data Entry'!$F$806), "", 'Data Entry'!$F$806)</f>
      </c>
      <c r="G806">
        <f>IF(ISBLANK('Data Entry'!$G$806), "", 'Data Entry'!$G$806)</f>
      </c>
      <c r="H806">
        <f>IF(ISBLANK('Data Entry'!$H$806), "", 'Data Entry'!$H$806)</f>
      </c>
      <c r="I806">
        <f>IF(ISBLANK('Data Entry'!$I$806), "", 'Data Entry'!$I$806)</f>
      </c>
      <c r="J806">
        <f>IF(ISBLANK('Data Entry'!$J$806), "", 'Data Entry'!$J$806)</f>
      </c>
      <c r="K806">
        <f>IF(ISBLANK('Data Entry'!$K$806), "", 'Data Entry'!$K$806)</f>
      </c>
      <c r="L806">
        <f>IF(ISBLANK('Data Entry'!$L$806), "", 'Data Entry'!$L$806)</f>
      </c>
      <c r="M806">
        <f>IF(ISBLANK('Data Entry'!$M$806), "", 'Data Entry'!$M$806)</f>
      </c>
      <c r="N806">
        <f>IF(ISBLANK('Data Entry'!$N$806), "", 'Data Entry'!$N$806)</f>
      </c>
      <c r="O806">
        <f>IF(ISBLANK('Data Entry'!$O$806), "", 'Data Entry'!$O$806)</f>
      </c>
      <c r="P806">
        <f>IF(ISBLANK('Data Entry'!$P$806), "", 'Data Entry'!$P$806)</f>
      </c>
      <c r="Q806">
        <f>IF(ISBLANK('Data Entry'!$Q$806), "", 'Data Entry'!$Q$806)</f>
      </c>
      <c r="R806">
        <f>IF(ISBLANK('Data Entry'!$R$806), "", 'Data Entry'!$R$806)</f>
      </c>
      <c r="S806">
        <f>IF(ISBLANK('Data Entry'!$S$806), "", 'Data Entry'!$S$806)</f>
      </c>
      <c r="T806">
        <f>IF(ISBLANK('Data Entry'!$T$806), "", 'Data Entry'!$T$806)</f>
      </c>
      <c r="U806">
        <f>IF(ISBLANK('Data Entry'!$U$806), "", 'Data Entry'!$U$806)</f>
      </c>
      <c r="V806">
        <f>IF(ISBLANK('Data Entry'!$V$806), "", 'Data Entry'!$V$806)</f>
      </c>
      <c r="W806">
        <f>IF(ISBLANK('Data Entry'!$W$806), "", 'Data Entry'!$W$806)</f>
      </c>
      <c r="X806">
        <f>IF(ISBLANK('Data Entry'!$X$806), "", 'Data Entry'!$X$806)</f>
      </c>
      <c r="Y806">
        <f>IF(ISBLANK('Data Entry'!$Y$806), "", 'Data Entry'!$Y$806)</f>
      </c>
      <c r="Z806">
        <f>IF(ISBLANK('Data Entry'!$Z$806), "", 'Data Entry'!$Z$806)</f>
      </c>
      <c r="AA806">
        <f>IF(ISBLANK('Data Entry'!$[$806), "", 'Data Entry'!$[$806)</f>
      </c>
      <c r="AB806">
        <f>IF(ISBLANK('Data Entry'!$\$806), "", 'Data Entry'!$\$806)</f>
      </c>
      <c r="AC806">
        <f>IF(ISBLANK('Data Entry'!$]$806), "", 'Data Entry'!$]$806)</f>
      </c>
      <c r="AD806">
        <f>IF(ISBLANK('Data Entry'!$^$806), "", 'Data Entry'!$^$806)</f>
      </c>
      <c r="AE806">
        <f>IF(ISBLANK('Data Entry'!$_$806), "", 'Data Entry'!$_$806)</f>
      </c>
      <c r="AF806">
        <f>IF(ISBLANK('Data Entry'!$`$806), "", 'Data Entry'!$`$806)</f>
      </c>
      <c r="AG806">
        <f>IF(ISBLANK('Data Entry'!$a$806), "", 'Data Entry'!$a$806)</f>
      </c>
      <c r="AH806">
        <f>IF(ISBLANK('Data Entry'!$b$806), "", 'Data Entry'!$b$806)</f>
      </c>
      <c r="AI806">
        <f>IF(ISBLANK('Data Entry'!$c$806), "", 'Data Entry'!$c$806)</f>
      </c>
      <c r="AJ806">
        <f>IF(ISBLANK('Data Entry'!$d$806), "", 'Data Entry'!$d$806)</f>
      </c>
      <c r="AK806">
        <f>IF(ISBLANK('Data Entry'!$e$806), "", 'Data Entry'!$e$806)</f>
      </c>
      <c r="AL806">
        <f>IF(ISBLANK('Data Entry'!$f$806), "", 'Data Entry'!$f$806)</f>
      </c>
      <c r="AM806">
        <f>IF(ISBLANK('Data Entry'!$g$806), "", 'Data Entry'!$g$806)</f>
      </c>
      <c r="AN806">
        <f>IF(ISBLANK('Data Entry'!$h$806), "", 'Data Entry'!$h$806)</f>
      </c>
      <c r="AO806">
        <f>IF(ISBLANK('Data Entry'!$i$806), "", 'Data Entry'!$i$806)</f>
      </c>
      <c r="AP806">
        <f>IF(ISBLANK('Data Entry'!$j$806), "", 'Data Entry'!$j$806)</f>
      </c>
      <c r="AQ806">
        <f>IF(ISBLANK('Data Entry'!$k$806), "", 'Data Entry'!$k$806)</f>
      </c>
      <c r="AR806">
        <f>IF(ISBLANK('Data Entry'!$l$806), "", 'Data Entry'!$l$806)</f>
      </c>
      <c r="AS806">
        <f>IF(ISBLANK('Data Entry'!$m$806), "", 'Data Entry'!$m$806)</f>
      </c>
      <c r="AT806">
        <f>IF(ISBLANK('Data Entry'!$n$806), "", 'Data Entry'!$n$806)</f>
      </c>
      <c r="AU806">
        <f>IF(ISBLANK('Data Entry'!$o$806), "", 'Data Entry'!$o$806)</f>
      </c>
      <c r="AV806">
        <f>IF(ISBLANK('Data Entry'!$p$806), "", 'Data Entry'!$p$806)</f>
      </c>
      <c r="AW806">
        <f>IF(ISBLANK('Data Entry'!$q$806), "", 'Data Entry'!$q$806)</f>
      </c>
      <c r="AX806">
        <f>IF(ISBLANK('Data Entry'!$r$806), "", 'Data Entry'!$r$806)</f>
      </c>
      <c r="AY806">
        <f>IF(ISBLANK('Data Entry'!$s$806), "", 'Data Entry'!$s$806)</f>
      </c>
      <c r="AZ806">
        <f>IF(ISBLANK('Data Entry'!$t$806), "", 'Data Entry'!$t$806)</f>
      </c>
      <c r="BA806">
        <f>IF(ISBLANK('Data Entry'!$u$806), "", 'Data Entry'!$u$806)</f>
      </c>
      <c r="BB806">
        <f>IF(ISBLANK('Data Entry'!$v$806), "", 'Data Entry'!$v$806)</f>
      </c>
      <c r="BC806">
        <f>IF(ISBLANK('Data Entry'!$w$806), "", 'Data Entry'!$w$806)</f>
      </c>
      <c r="BD806">
        <f>IF(ISBLANK('Data Entry'!$x$806), "", 'Data Entry'!$x$806)</f>
      </c>
      <c r="BE806">
        <f>IF(ISBLANK('Data Entry'!$y$806), "", 'Data Entry'!$y$806)</f>
      </c>
      <c r="BF806">
        <f>IF(ISBLANK('Data Entry'!$z$806), "", 'Data Entry'!$z$806)</f>
      </c>
      <c r="BG806">
        <f>IF(ISBLANK('Data Entry'!${$806), "", 'Data Entry'!${$806)</f>
      </c>
      <c r="BH806">
        <f>IF(ISBLANK('Data Entry'!$|$806), "", 'Data Entry'!$|$806)</f>
      </c>
      <c r="BI806">
        <f>IF(ISBLANK('Data Entry'!$}$806), "", 'Data Entry'!$}$806)</f>
      </c>
      <c r="BJ806">
        <f>IF(ISBLANK('Data Entry'!$~$806), "", 'Data Entry'!$~$806)</f>
      </c>
      <c r="BK806">
        <f>IF(ISBLANK('Data Entry'!$$806), "", 'Data Entry'!$$806)</f>
      </c>
      <c r="BL806">
        <f>IF(ISBLANK('Data Entry'!$$806), "", 'Data Entry'!$$806)</f>
      </c>
      <c r="BM806">
        <f>IF(ISBLANK('Data Entry'!$$806), "", 'Data Entry'!$$806)</f>
      </c>
      <c r="BN806">
        <f>IF(ISBLANK('Data Entry'!$$806), "", 'Data Entry'!$$806)</f>
      </c>
      <c r="BO806">
        <f>IF(ISBLANK('Data Entry'!$$806), "", 'Data Entry'!$$806)</f>
      </c>
      <c r="BP806">
        <f>IF(ISBLANK('Data Entry'!$$806), "", 'Data Entry'!$$806)</f>
      </c>
      <c r="BQ806">
        <f>IF(ISBLANK('Data Entry'!$$806), "", 'Data Entry'!$$806)</f>
      </c>
      <c r="BR806">
        <f>IF(ISBLANK('Data Entry'!$$806), "", 'Data Entry'!$$806)</f>
      </c>
      <c r="BS806">
        <f>IF(ISBLANK('Data Entry'!$$806), "", 'Data Entry'!$$806)</f>
      </c>
      <c r="BT806">
        <f>IF(ISBLANK('Data Entry'!$$806), "", 'Data Entry'!$$806)</f>
      </c>
      <c r="BU806">
        <f>IF(ISBLANK('Data Entry'!$$806), "", 'Data Entry'!$$806)</f>
      </c>
      <c r="BV806">
        <f>IF(ISBLANK('Data Entry'!$$806), "", 'Data Entry'!$$806)</f>
      </c>
      <c r="BW806">
        <f>IF(ISBLANK('Data Entry'!$$806), "", 'Data Entry'!$$806)</f>
      </c>
      <c r="BX806">
        <f>IF(ISBLANK('Data Entry'!$$806), "", 'Data Entry'!$$806)</f>
      </c>
      <c r="BY806">
        <f>IF(ISBLANK('Data Entry'!$$806), "", 'Data Entry'!$$806)</f>
      </c>
      <c r="BZ806">
        <f>IF(ISBLANK('Data Entry'!$$806), "", 'Data Entry'!$$806)</f>
      </c>
      <c r="CA806">
        <f>IF(ISBLANK('Data Entry'!$$806), "", 'Data Entry'!$$806)</f>
      </c>
      <c r="CB806">
        <f>IF(ISBLANK('Data Entry'!$$806), "", 'Data Entry'!$$806)</f>
      </c>
      <c r="CC806">
        <f>IF(ISBLANK('Data Entry'!$$806), "", 'Data Entry'!$$806)</f>
      </c>
      <c r="CD806">
        <f>IF(ISBLANK('Data Entry'!$$806), "", 'Data Entry'!$$806)</f>
      </c>
      <c r="CE806">
        <f>IF(ISBLANK('Data Entry'!$$806), "", 'Data Entry'!$$806)</f>
      </c>
      <c r="CF806">
        <f>IF(ISBLANK('Data Entry'!$$806), "", 'Data Entry'!$$806)</f>
      </c>
      <c r="CG806">
        <f>IF(ISBLANK('Data Entry'!$$806), "", 'Data Entry'!$$806)</f>
      </c>
      <c r="CH806">
        <f>IF(ISBLANK('Data Entry'!$$806), "", 'Data Entry'!$$806)</f>
      </c>
      <c r="CI806">
        <f>IF(ISBLANK('Data Entry'!$$806), "", 'Data Entry'!$$806)</f>
      </c>
      <c r="CJ806">
        <f>IF(ISBLANK('Data Entry'!$$806), "", 'Data Entry'!$$806)</f>
      </c>
      <c r="CK806">
        <f>IF(ISBLANK('Data Entry'!$$806), "", 'Data Entry'!$$806)</f>
      </c>
      <c r="CL806">
        <f>IF(ISBLANK('Data Entry'!$$806), "", 'Data Entry'!$$806)</f>
      </c>
      <c r="CM806">
        <f>IF(ISBLANK('Data Entry'!$$806), "", 'Data Entry'!$$806)</f>
      </c>
      <c r="CN806">
        <f>IF(ISBLANK('Data Entry'!$$806), "", 'Data Entry'!$$806)</f>
      </c>
      <c r="CO806">
        <f>IF(ISBLANK('Data Entry'!$$806), "", 'Data Entry'!$$806)</f>
      </c>
      <c r="CP806">
        <f>IF(ISBLANK('Data Entry'!$$806), "", 'Data Entry'!$$806)</f>
      </c>
      <c r="CQ806">
        <f>IF(ISBLANK('Data Entry'!$$806), "", 'Data Entry'!$$806)</f>
      </c>
      <c r="CR806">
        <f>IF(ISBLANK('Data Entry'!$ $806), "", 'Data Entry'!$ $806)</f>
      </c>
      <c r="CS806">
        <f>IF(ISBLANK('Data Entry'!$¡$806), "", 'Data Entry'!$¡$806)</f>
      </c>
      <c r="CT806">
        <f>IF(ISBLANK('Data Entry'!$¢$806), "", 'Data Entry'!$¢$806)</f>
      </c>
      <c r="CU806">
        <f>IF(ISBLANK('Data Entry'!$£$806), "", 'Data Entry'!$£$806)</f>
      </c>
      <c r="CV806">
        <f>IF(ISBLANK('Data Entry'!$¤$806), "", 'Data Entry'!$¤$806)</f>
      </c>
      <c r="CW806">
        <f>IF(ISBLANK('Data Entry'!$¥$806), "", 'Data Entry'!$¥$806)</f>
      </c>
      <c r="CX806">
        <f>IF(ISBLANK('Data Entry'!$¦$806), "", 'Data Entry'!$¦$806)</f>
      </c>
      <c r="CY806">
        <f>IF(ISBLANK('Data Entry'!$§$806), "", 'Data Entry'!$§$806)</f>
      </c>
      <c r="CZ806">
        <f>IF(ISBLANK('Data Entry'!$¨$806), "", 'Data Entry'!$¨$806)</f>
      </c>
      <c r="DA806">
        <f>IF(ISBLANK('Data Entry'!$©$806), "", 'Data Entry'!$©$806)</f>
      </c>
      <c r="DB806">
        <f>IF(ISBLANK('Data Entry'!$ª$806), "", 'Data Entry'!$ª$806)</f>
      </c>
      <c r="DC806">
        <f>IF(ISBLANK('Data Entry'!$«$806), "", 'Data Entry'!$«$806)</f>
      </c>
      <c r="DD806">
        <f>IF(ISBLANK('Data Entry'!$¬$806), "", 'Data Entry'!$¬$806)</f>
      </c>
      <c r="DE806">
        <f>IF(ISBLANK('Data Entry'!$­$806), "", 'Data Entry'!$­$806)</f>
      </c>
      <c r="DF806">
        <f>IF(ISBLANK('Data Entry'!$®$806), "", 'Data Entry'!$®$806)</f>
      </c>
      <c r="DG806">
        <f>IF(ISBLANK('Data Entry'!$¯$806), "", 'Data Entry'!$¯$806)</f>
      </c>
      <c r="DH806">
        <f>IF(ISBLANK('Data Entry'!$°$806), "", 'Data Entry'!$°$806)</f>
      </c>
      <c r="DI806">
        <f>IF(ISBLANK('Data Entry'!$±$806), "", 'Data Entry'!$±$806)</f>
      </c>
      <c r="DJ806">
        <f>IF(ISBLANK('Data Entry'!$²$806), "", 'Data Entry'!$²$806)</f>
      </c>
      <c r="DK806">
        <f>IF(ISBLANK('Data Entry'!$³$806), "", 'Data Entry'!$³$806)</f>
      </c>
      <c r="DL806">
        <f>IF(ISBLANK('Data Entry'!$´$806), "", 'Data Entry'!$´$806)</f>
      </c>
      <c r="DM806">
        <f>IF(ISBLANK('Data Entry'!$µ$806), "", 'Data Entry'!$µ$806)</f>
      </c>
      <c r="DN806">
        <f>IF(ISBLANK('Data Entry'!$¶$806), "", 'Data Entry'!$¶$806)</f>
      </c>
      <c r="DO806">
        <f>IF(ISBLANK('Data Entry'!$·$806), "", 'Data Entry'!$·$806)</f>
      </c>
      <c r="DP806">
        <f>IF(ISBLANK('Data Entry'!$¸$806), "", 'Data Entry'!$¸$806)</f>
      </c>
      <c r="DQ806">
        <f>IF(ISBLANK('Data Entry'!$¹$806), "", 'Data Entry'!$¹$806)</f>
      </c>
      <c r="DR806">
        <f>IF(ISBLANK('Data Entry'!$º$806), "", 'Data Entry'!$º$806)</f>
      </c>
      <c r="DS806">
        <f>IF(ISBLANK('Data Entry'!$»$806), "", 'Data Entry'!$»$806)</f>
      </c>
      <c r="DT806">
        <f>IF(ISBLANK('Data Entry'!$¼$806), "", 'Data Entry'!$¼$806)</f>
      </c>
      <c r="DU806">
        <f>IF(ISBLANK('Data Entry'!$½$806), "", 'Data Entry'!$½$806)</f>
      </c>
      <c r="DV806">
        <f>IF(ISBLANK('Data Entry'!$¾$806), "", 'Data Entry'!$¾$806)</f>
      </c>
      <c r="DW806">
        <f>IF(ISBLANK('Data Entry'!$¿$806), "", 'Data Entry'!$¿$806)</f>
      </c>
      <c r="DX806">
        <f>IF(ISBLANK('Data Entry'!$À$806), "", 'Data Entry'!$À$806)</f>
      </c>
      <c r="DY806">
        <f>IF(ISBLANK('Data Entry'!$Á$806), "", 'Data Entry'!$Á$806)</f>
      </c>
      <c r="DZ806">
        <f>IF(ISBLANK('Data Entry'!$Â$806), "", 'Data Entry'!$Â$806)</f>
      </c>
      <c r="EA806">
        <f>IF(ISBLANK('Data Entry'!$Ã$806), "", 'Data Entry'!$Ã$806)</f>
      </c>
      <c r="EB806">
        <f>IF(ISBLANK('Data Entry'!$Ä$806), "", 'Data Entry'!$Ä$806)</f>
      </c>
      <c r="EC806">
        <f>IF(ISBLANK('Data Entry'!$Å$806), "", 'Data Entry'!$Å$806)</f>
      </c>
      <c r="ED806">
        <f>IF(ISBLANK('Data Entry'!$Æ$806), "", 'Data Entry'!$Æ$806)</f>
      </c>
      <c r="EE806">
        <f>IF(ISBLANK('Data Entry'!$Ç$806), "", 'Data Entry'!$Ç$806)</f>
      </c>
      <c r="EF806">
        <f>IF(ISBLANK('Data Entry'!$È$806), "", 'Data Entry'!$È$806)</f>
      </c>
      <c r="EG806">
        <f>IF(ISBLANK('Data Entry'!$É$806), "", 'Data Entry'!$É$806)</f>
      </c>
      <c r="EH806">
        <f>IF(ISBLANK('Data Entry'!$Ê$806), "", 'Data Entry'!$Ê$806)</f>
      </c>
      <c r="EI806">
        <f>IF(ISBLANK('Data Entry'!$Ë$806), "", 'Data Entry'!$Ë$806)</f>
      </c>
      <c r="EJ806">
        <f>IF(ISBLANK('Data Entry'!$Ì$806), "", 'Data Entry'!$Ì$806)</f>
      </c>
      <c r="EK806">
        <f>IF(ISBLANK('Data Entry'!$Í$806), "", 'Data Entry'!$Í$806)</f>
      </c>
      <c r="EL806">
        <f>IF(ISBLANK('Data Entry'!$Î$806), "", 'Data Entry'!$Î$806)</f>
      </c>
      <c r="EM806">
        <f>IF(ISBLANK('Data Entry'!$Ï$806), "", 'Data Entry'!$Ï$806)</f>
      </c>
      <c r="EN806">
        <f>IF(ISBLANK('Data Entry'!$Ð$806), "", 'Data Entry'!$Ð$806)</f>
      </c>
      <c r="EO806">
        <f>IF(ISBLANK('Data Entry'!$Ñ$806), "", 'Data Entry'!$Ñ$806)</f>
      </c>
      <c r="EP806">
        <f>IF(ISBLANK('Data Entry'!$Ò$806), "", 'Data Entry'!$Ò$806)</f>
      </c>
      <c r="EQ806">
        <f>IF(ISBLANK('Data Entry'!$Ó$806), "", 'Data Entry'!$Ó$806)</f>
      </c>
      <c r="ER806">
        <f>IF(ISBLANK('Data Entry'!$Ô$806), "", 'Data Entry'!$Ô$806)</f>
      </c>
      <c r="ES806">
        <f>IF(ISBLANK('Data Entry'!$Õ$806), "", 'Data Entry'!$Õ$806)</f>
      </c>
      <c r="ET806">
        <f>IF(ISBLANK('Data Entry'!$Ö$806), "", 'Data Entry'!$Ö$806)</f>
      </c>
      <c r="EU806">
        <f>IF(ISBLANK('Data Entry'!$×$806), "", 'Data Entry'!$×$806)</f>
      </c>
      <c r="EV806">
        <f>IF(ISBLANK('Data Entry'!$Ø$806), "", 'Data Entry'!$Ø$806)</f>
      </c>
      <c r="EW806">
        <f>IF(ISBLANK('Data Entry'!$Ù$806), "", 'Data Entry'!$Ù$806)</f>
      </c>
      <c r="EX806">
        <f>IF(ISBLANK('Data Entry'!$Ú$806), "", 'Data Entry'!$Ú$806)</f>
      </c>
      <c r="EY806">
        <f>IF(ISBLANK('Data Entry'!$Û$806), "", 'Data Entry'!$Û$806)</f>
      </c>
      <c r="EZ806">
        <f>IF(ISBLANK('Data Entry'!$Ü$806), "", 'Data Entry'!$Ü$806)</f>
      </c>
      <c r="FA806">
        <f>IF(ISBLANK('Data Entry'!$Ý$806), "", 'Data Entry'!$Ý$806)</f>
      </c>
      <c r="FB806">
        <f>IF(ISBLANK('Data Entry'!$Þ$806), "", 'Data Entry'!$Þ$806)</f>
      </c>
      <c r="FC806">
        <f>IF(ISBLANK('Data Entry'!$ß$806), "", 'Data Entry'!$ß$806)</f>
      </c>
      <c r="FD806">
        <f>IF(ISBLANK('Data Entry'!$à$806), "", 'Data Entry'!$à$806)</f>
      </c>
      <c r="FE806">
        <f>IF(ISBLANK('Data Entry'!$á$806), "", 'Data Entry'!$á$806)</f>
      </c>
      <c r="FF806">
        <f>IF(ISBLANK('Data Entry'!$â$806), "", 'Data Entry'!$â$806)</f>
      </c>
      <c r="FG806">
        <f>IF(ISBLANK('Data Entry'!$ã$806), "", 'Data Entry'!$ã$806)</f>
      </c>
      <c r="FH806">
        <f>IF(ISBLANK('Data Entry'!$ä$806), "", 'Data Entry'!$ä$806)</f>
      </c>
      <c r="FI806">
        <f>IF(ISBLANK('Data Entry'!$å$806), "", 'Data Entry'!$å$806)</f>
      </c>
      <c r="FJ806">
        <f>IF(ISBLANK('Data Entry'!$æ$806), "", 'Data Entry'!$æ$806)</f>
      </c>
      <c r="FK806">
        <f>IF(ISBLANK('Data Entry'!$ç$806), "", 'Data Entry'!$ç$806)</f>
      </c>
      <c r="FL806">
        <f>IF(ISBLANK('Data Entry'!$è$806), "", 'Data Entry'!$è$806)</f>
      </c>
      <c r="FM806">
        <f>IF(ISBLANK('Data Entry'!$é$806), "", 'Data Entry'!$é$806)</f>
      </c>
      <c r="FN806">
        <f>IF(ISBLANK('Data Entry'!$ê$806), "", 'Data Entry'!$ê$806)</f>
      </c>
      <c r="FO806">
        <f>IF(ISBLANK('Data Entry'!$ë$806), "", 'Data Entry'!$ë$806)</f>
      </c>
      <c r="FP806">
        <f>IF(ISBLANK('Data Entry'!$ì$806), "", 'Data Entry'!$ì$806)</f>
      </c>
      <c r="FQ806">
        <f>IF(ISBLANK('Data Entry'!$í$806), "", 'Data Entry'!$í$806)</f>
      </c>
      <c r="FR806">
        <f>IF(ISBLANK('Data Entry'!$î$806), "", 'Data Entry'!$î$806)</f>
      </c>
      <c r="FS806">
        <f>IF(ISBLANK('Data Entry'!$ï$806), "", 'Data Entry'!$ï$806)</f>
      </c>
      <c r="FT806">
        <f>IF(ISBLANK('Data Entry'!$ð$806), "", 'Data Entry'!$ð$806)</f>
      </c>
      <c r="FU806">
        <f>IF(ISBLANK('Data Entry'!$ñ$806), "", 'Data Entry'!$ñ$806)</f>
      </c>
      <c r="FV806">
        <f>IF(ISBLANK('Data Entry'!$ò$806), "", 'Data Entry'!$ò$806)</f>
      </c>
      <c r="FW806">
        <f>IF(ISBLANK('Data Entry'!$ó$806), "", 'Data Entry'!$ó$806)</f>
      </c>
      <c r="FX806">
        <f>IF(ISBLANK('Data Entry'!$ô$806), "", 'Data Entry'!$ô$806)</f>
      </c>
      <c r="FY806">
        <f>IF(ISBLANK('Data Entry'!$õ$806), "", 'Data Entry'!$õ$806)</f>
      </c>
      <c r="FZ806">
        <f>IF(ISBLANK('Data Entry'!$ö$806), "", 'Data Entry'!$ö$806)</f>
      </c>
      <c r="GA806">
        <f>IF(ISBLANK('Data Entry'!$÷$806), "", 'Data Entry'!$÷$806)</f>
      </c>
      <c r="GB806">
        <f>IF(ISBLANK('Data Entry'!$ø$806), "", 'Data Entry'!$ø$806)</f>
      </c>
      <c r="GC806">
        <f>IF(ISBLANK('Data Entry'!$ù$806), "", 'Data Entry'!$ù$806)</f>
      </c>
      <c r="GD806">
        <f>IF(ISBLANK('Data Entry'!$ú$806), "", 'Data Entry'!$ú$806)</f>
      </c>
      <c r="GE806">
        <f>IF(ISBLANK('Data Entry'!$û$806), "", 'Data Entry'!$û$806)</f>
      </c>
      <c r="GF806">
        <f>IF(ISBLANK('Data Entry'!$ü$806), "", 'Data Entry'!$ü$806)</f>
      </c>
      <c r="GG806">
        <f>IF(ISBLANK('Data Entry'!$ý$806), "", 'Data Entry'!$ý$806)</f>
      </c>
      <c r="GH806">
        <f>IF(ISBLANK('Data Entry'!$þ$806), "", 'Data Entry'!$þ$806)</f>
      </c>
      <c r="GI806">
        <f>IF(ISBLANK('Data Entry'!$ÿ$806), "", 'Data Entry'!$ÿ$806)</f>
      </c>
      <c r="GJ806">
        <f>IF(ISBLANK('Data Entry'!$Ā$806), "", 'Data Entry'!$Ā$806)</f>
      </c>
      <c r="GK806">
        <f>IF(ISBLANK('Data Entry'!$ā$806), "", 'Data Entry'!$ā$806)</f>
      </c>
      <c r="GL806">
        <f>IF(ISBLANK('Data Entry'!$Ă$806), "", 'Data Entry'!$Ă$806)</f>
      </c>
      <c r="GM806">
        <f>IF(ISBLANK('Data Entry'!$ă$806), "", 'Data Entry'!$ă$806)</f>
      </c>
      <c r="GN806">
        <f>IF(ISBLANK('Data Entry'!$Ą$806), "", 'Data Entry'!$Ą$806)</f>
      </c>
      <c r="GO806">
        <f>IF(ISBLANK('Data Entry'!$ą$806), "", 'Data Entry'!$ą$806)</f>
      </c>
      <c r="GP806">
        <f>IF(ISBLANK('Data Entry'!$Ć$806), "", 'Data Entry'!$Ć$806)</f>
      </c>
      <c r="GQ806">
        <f>IF(ISBLANK('Data Entry'!$ć$806), "", 'Data Entry'!$ć$806)</f>
      </c>
      <c r="GR806">
        <f>IF(ISBLANK('Data Entry'!$Ĉ$806), "", 'Data Entry'!$Ĉ$806)</f>
      </c>
      <c r="GS806">
        <f>IF(ISBLANK('Data Entry'!$ĉ$806), "", 'Data Entry'!$ĉ$806)</f>
      </c>
      <c r="GT806">
        <f>IF(ISBLANK('Data Entry'!$Ċ$806), "", 'Data Entry'!$Ċ$806)</f>
      </c>
      <c r="GU806">
        <f>IF(ISBLANK('Data Entry'!$ċ$806), "", 'Data Entry'!$ċ$806)</f>
      </c>
      <c r="GV806">
        <f>IF(ISBLANK('Data Entry'!$Č$806), "", 'Data Entry'!$Č$806)</f>
      </c>
      <c r="GW806">
        <f>IF(ISBLANK('Data Entry'!$č$806), "", 'Data Entry'!$č$806)</f>
      </c>
      <c r="GX806">
        <f>IF(ISBLANK('Data Entry'!$Ď$806), "", 'Data Entry'!$Ď$806)</f>
      </c>
      <c r="GY806">
        <f>IF(ISBLANK('Data Entry'!$ď$806), "", 'Data Entry'!$ď$806)</f>
      </c>
      <c r="GZ806">
        <f>IF(ISBLANK('Data Entry'!$Đ$806), "", 'Data Entry'!$Đ$806)</f>
      </c>
      <c r="HA806">
        <f>IF(ISBLANK('Data Entry'!$đ$806), "", 'Data Entry'!$đ$806)</f>
      </c>
      <c r="HB806">
        <f>IF(ISBLANK('Data Entry'!$Ē$806), "", 'Data Entry'!$Ē$806)</f>
      </c>
      <c r="HC806">
        <f>IF(ISBLANK('Data Entry'!$ē$806), "", 'Data Entry'!$ē$806)</f>
      </c>
      <c r="HD806">
        <f>IF(ISBLANK('Data Entry'!$Ĕ$806), "", 'Data Entry'!$Ĕ$806)</f>
      </c>
      <c r="HE806">
        <f>IF(ISBLANK('Data Entry'!$ĕ$806), "", 'Data Entry'!$ĕ$806)</f>
      </c>
      <c r="HF806">
        <f>IF(ISBLANK('Data Entry'!$Ė$806), "", 'Data Entry'!$Ė$806)</f>
      </c>
      <c r="HG806">
        <f>IF(ISBLANK('Data Entry'!$ė$806), "", 'Data Entry'!$ė$806)</f>
      </c>
      <c r="HH806">
        <f>IF(ISBLANK('Data Entry'!$Ę$806), "", 'Data Entry'!$Ę$806)</f>
      </c>
      <c r="HI806">
        <f>IF(ISBLANK('Data Entry'!$ę$806), "", 'Data Entry'!$ę$806)</f>
      </c>
      <c r="HJ806">
        <f>IF(ISBLANK('Data Entry'!$Ě$806), "", 'Data Entry'!$Ě$806)</f>
      </c>
      <c r="HK806">
        <f>IF(ISBLANK('Data Entry'!$ě$806), "", 'Data Entry'!$ě$806)</f>
      </c>
      <c r="HL806">
        <f>IF(ISBLANK('Data Entry'!$Ĝ$806), "", 'Data Entry'!$Ĝ$806)</f>
      </c>
      <c r="HM806">
        <f>IF(ISBLANK('Data Entry'!$ĝ$806), "", 'Data Entry'!$ĝ$806)</f>
      </c>
      <c r="HN806">
        <f>IF(ISBLANK('Data Entry'!$Ğ$806), "", 'Data Entry'!$Ğ$806)</f>
      </c>
      <c r="HO806">
        <f>IF(ISBLANK('Data Entry'!$ğ$806), "", 'Data Entry'!$ğ$806)</f>
      </c>
      <c r="HP806">
        <f>IF(ISBLANK('Data Entry'!$Ġ$806), "", 'Data Entry'!$Ġ$806)</f>
      </c>
      <c r="HQ806">
        <f>IF(ISBLANK('Data Entry'!$ġ$806), "", 'Data Entry'!$ġ$806)</f>
      </c>
      <c r="HR806">
        <f>IF(ISBLANK('Data Entry'!$Ģ$806), "", 'Data Entry'!$Ģ$806)</f>
      </c>
      <c r="HS806">
        <f>IF(ISBLANK('Data Entry'!$ģ$806), "", 'Data Entry'!$ģ$806)</f>
      </c>
      <c r="HT806">
        <f>IF(ISBLANK('Data Entry'!$Ĥ$806), "", 'Data Entry'!$Ĥ$806)</f>
      </c>
      <c r="HU806">
        <f>IF(ISBLANK('Data Entry'!$ĥ$806), "", 'Data Entry'!$ĥ$806)</f>
      </c>
      <c r="HV806">
        <f>IF(ISBLANK('Data Entry'!$Ħ$806), "", 'Data Entry'!$Ħ$806)</f>
      </c>
      <c r="HW806">
        <f>IF(ISBLANK('Data Entry'!$ħ$806), "", 'Data Entry'!$ħ$806)</f>
      </c>
      <c r="HX806">
        <f>IF(ISBLANK('Data Entry'!$Ĩ$806), "", 'Data Entry'!$Ĩ$806)</f>
      </c>
      <c r="HY806">
        <f>IF(ISBLANK('Data Entry'!$ĩ$806), "", 'Data Entry'!$ĩ$806)</f>
      </c>
      <c r="HZ806">
        <f>IF(ISBLANK('Data Entry'!$Ī$806), "", 'Data Entry'!$Ī$806)</f>
      </c>
      <c r="IA806">
        <f>IF(ISBLANK('Data Entry'!$ī$806), "", 'Data Entry'!$ī$806)</f>
      </c>
      <c r="IB806">
        <f>IF(ISBLANK('Data Entry'!$Ĭ$806), "", 'Data Entry'!$Ĭ$806)</f>
      </c>
      <c r="IC806">
        <f>IF(ISBLANK('Data Entry'!$ĭ$806), "", 'Data Entry'!$ĭ$806)</f>
      </c>
      <c r="ID806">
        <f>IF(ISBLANK('Data Entry'!$Į$806), "", 'Data Entry'!$Į$806)</f>
      </c>
      <c r="IE806">
        <f>IF(ISBLANK('Data Entry'!$į$806), "", 'Data Entry'!$į$806)</f>
      </c>
      <c r="IF806">
        <f>IF(ISBLANK('Data Entry'!$İ$806), "", 'Data Entry'!$İ$806)</f>
      </c>
      <c r="IG806">
        <f>IF(ISBLANK('Data Entry'!$ı$806), "", 'Data Entry'!$ı$806)</f>
      </c>
      <c r="IH806">
        <f>IF(ISBLANK('Data Entry'!$Ĳ$806), "", 'Data Entry'!$Ĳ$806)</f>
      </c>
      <c r="II806">
        <f>IF(ISBLANK('Data Entry'!$ĳ$806), "", 'Data Entry'!$ĳ$806)</f>
      </c>
      <c r="IJ806">
        <f>IF(ISBLANK('Data Entry'!$Ĵ$806), "", 'Data Entry'!$Ĵ$806)</f>
      </c>
      <c r="IK806">
        <f>IF(ISBLANK('Data Entry'!$ĵ$806), "", 'Data Entry'!$ĵ$806)</f>
      </c>
      <c r="IL806">
        <f>IF(ISBLANK('Data Entry'!$Ķ$806), "", 'Data Entry'!$Ķ$806)</f>
      </c>
      <c r="IM806">
        <f>IF(ISBLANK('Data Entry'!$ķ$806), "", 'Data Entry'!$ķ$806)</f>
      </c>
      <c r="IN806">
        <f>IF(ISBLANK('Data Entry'!$ĸ$806), "", 'Data Entry'!$ĸ$806)</f>
      </c>
      <c r="IO806">
        <f>IF(ISBLANK('Data Entry'!$Ĺ$806), "", 'Data Entry'!$Ĺ$806)</f>
      </c>
      <c r="IP806">
        <f>IF(ISBLANK('Data Entry'!$ĺ$806), "", 'Data Entry'!$ĺ$806)</f>
      </c>
      <c r="IQ806">
        <f>IF(ISBLANK('Data Entry'!$Ļ$806), "", 'Data Entry'!$Ļ$806)</f>
      </c>
      <c r="IR806">
        <f>IF(ISBLANK('Data Entry'!$ļ$806), "", 'Data Entry'!$ļ$806)</f>
      </c>
      <c r="IS806">
        <f>IF(ISBLANK('Data Entry'!$Ľ$806), "", 'Data Entry'!$Ľ$806)</f>
      </c>
      <c r="IT806">
        <f>IF(ISBLANK('Data Entry'!$ľ$806), "", 'Data Entry'!$ľ$806)</f>
      </c>
    </row>
    <row r="807" spans="1:254" x14ac:dyDescent="0.25">
      <c r="A807">
        <f>IF(ISBLANK('Data Entry'!$A$807), "", 'Data Entry'!$A$807)</f>
      </c>
      <c r="B807">
        <f>IF(ISBLANK('Data Entry'!$B$807), "", 'Data Entry'!$B$807)</f>
      </c>
      <c r="C807">
        <f>IF(ISBLANK('Data Entry'!$C$807), "", 'Data Entry'!$C$807)</f>
      </c>
      <c r="D807">
        <f>IF(ISBLANK('Data Entry'!$D$807), "", 'Data Entry'!$D$807)</f>
      </c>
      <c r="E807">
        <f>IF(ISBLANK('Data Entry'!$E$807), "", 'Data Entry'!$E$807)</f>
      </c>
      <c r="F807">
        <f>IF(ISBLANK('Data Entry'!$F$807), "", 'Data Entry'!$F$807)</f>
      </c>
      <c r="G807">
        <f>IF(ISBLANK('Data Entry'!$G$807), "", 'Data Entry'!$G$807)</f>
      </c>
      <c r="H807">
        <f>IF(ISBLANK('Data Entry'!$H$807), "", 'Data Entry'!$H$807)</f>
      </c>
      <c r="I807">
        <f>IF(ISBLANK('Data Entry'!$I$807), "", 'Data Entry'!$I$807)</f>
      </c>
      <c r="J807">
        <f>IF(ISBLANK('Data Entry'!$J$807), "", 'Data Entry'!$J$807)</f>
      </c>
      <c r="K807">
        <f>IF(ISBLANK('Data Entry'!$K$807), "", 'Data Entry'!$K$807)</f>
      </c>
      <c r="L807">
        <f>IF(ISBLANK('Data Entry'!$L$807), "", 'Data Entry'!$L$807)</f>
      </c>
      <c r="M807">
        <f>IF(ISBLANK('Data Entry'!$M$807), "", 'Data Entry'!$M$807)</f>
      </c>
      <c r="N807">
        <f>IF(ISBLANK('Data Entry'!$N$807), "", 'Data Entry'!$N$807)</f>
      </c>
      <c r="O807">
        <f>IF(ISBLANK('Data Entry'!$O$807), "", 'Data Entry'!$O$807)</f>
      </c>
      <c r="P807">
        <f>IF(ISBLANK('Data Entry'!$P$807), "", 'Data Entry'!$P$807)</f>
      </c>
      <c r="Q807">
        <f>IF(ISBLANK('Data Entry'!$Q$807), "", 'Data Entry'!$Q$807)</f>
      </c>
      <c r="R807">
        <f>IF(ISBLANK('Data Entry'!$R$807), "", 'Data Entry'!$R$807)</f>
      </c>
      <c r="S807">
        <f>IF(ISBLANK('Data Entry'!$S$807), "", 'Data Entry'!$S$807)</f>
      </c>
      <c r="T807">
        <f>IF(ISBLANK('Data Entry'!$T$807), "", 'Data Entry'!$T$807)</f>
      </c>
      <c r="U807">
        <f>IF(ISBLANK('Data Entry'!$U$807), "", 'Data Entry'!$U$807)</f>
      </c>
      <c r="V807">
        <f>IF(ISBLANK('Data Entry'!$V$807), "", 'Data Entry'!$V$807)</f>
      </c>
      <c r="W807">
        <f>IF(ISBLANK('Data Entry'!$W$807), "", 'Data Entry'!$W$807)</f>
      </c>
      <c r="X807">
        <f>IF(ISBLANK('Data Entry'!$X$807), "", 'Data Entry'!$X$807)</f>
      </c>
      <c r="Y807">
        <f>IF(ISBLANK('Data Entry'!$Y$807), "", 'Data Entry'!$Y$807)</f>
      </c>
      <c r="Z807">
        <f>IF(ISBLANK('Data Entry'!$Z$807), "", 'Data Entry'!$Z$807)</f>
      </c>
      <c r="AA807">
        <f>IF(ISBLANK('Data Entry'!$[$807), "", 'Data Entry'!$[$807)</f>
      </c>
      <c r="AB807">
        <f>IF(ISBLANK('Data Entry'!$\$807), "", 'Data Entry'!$\$807)</f>
      </c>
      <c r="AC807">
        <f>IF(ISBLANK('Data Entry'!$]$807), "", 'Data Entry'!$]$807)</f>
      </c>
      <c r="AD807">
        <f>IF(ISBLANK('Data Entry'!$^$807), "", 'Data Entry'!$^$807)</f>
      </c>
      <c r="AE807">
        <f>IF(ISBLANK('Data Entry'!$_$807), "", 'Data Entry'!$_$807)</f>
      </c>
      <c r="AF807">
        <f>IF(ISBLANK('Data Entry'!$`$807), "", 'Data Entry'!$`$807)</f>
      </c>
      <c r="AG807">
        <f>IF(ISBLANK('Data Entry'!$a$807), "", 'Data Entry'!$a$807)</f>
      </c>
      <c r="AH807">
        <f>IF(ISBLANK('Data Entry'!$b$807), "", 'Data Entry'!$b$807)</f>
      </c>
      <c r="AI807">
        <f>IF(ISBLANK('Data Entry'!$c$807), "", 'Data Entry'!$c$807)</f>
      </c>
      <c r="AJ807">
        <f>IF(ISBLANK('Data Entry'!$d$807), "", 'Data Entry'!$d$807)</f>
      </c>
      <c r="AK807">
        <f>IF(ISBLANK('Data Entry'!$e$807), "", 'Data Entry'!$e$807)</f>
      </c>
      <c r="AL807">
        <f>IF(ISBLANK('Data Entry'!$f$807), "", 'Data Entry'!$f$807)</f>
      </c>
      <c r="AM807">
        <f>IF(ISBLANK('Data Entry'!$g$807), "", 'Data Entry'!$g$807)</f>
      </c>
      <c r="AN807">
        <f>IF(ISBLANK('Data Entry'!$h$807), "", 'Data Entry'!$h$807)</f>
      </c>
      <c r="AO807">
        <f>IF(ISBLANK('Data Entry'!$i$807), "", 'Data Entry'!$i$807)</f>
      </c>
      <c r="AP807">
        <f>IF(ISBLANK('Data Entry'!$j$807), "", 'Data Entry'!$j$807)</f>
      </c>
      <c r="AQ807">
        <f>IF(ISBLANK('Data Entry'!$k$807), "", 'Data Entry'!$k$807)</f>
      </c>
      <c r="AR807">
        <f>IF(ISBLANK('Data Entry'!$l$807), "", 'Data Entry'!$l$807)</f>
      </c>
      <c r="AS807">
        <f>IF(ISBLANK('Data Entry'!$m$807), "", 'Data Entry'!$m$807)</f>
      </c>
      <c r="AT807">
        <f>IF(ISBLANK('Data Entry'!$n$807), "", 'Data Entry'!$n$807)</f>
      </c>
      <c r="AU807">
        <f>IF(ISBLANK('Data Entry'!$o$807), "", 'Data Entry'!$o$807)</f>
      </c>
      <c r="AV807">
        <f>IF(ISBLANK('Data Entry'!$p$807), "", 'Data Entry'!$p$807)</f>
      </c>
      <c r="AW807">
        <f>IF(ISBLANK('Data Entry'!$q$807), "", 'Data Entry'!$q$807)</f>
      </c>
      <c r="AX807">
        <f>IF(ISBLANK('Data Entry'!$r$807), "", 'Data Entry'!$r$807)</f>
      </c>
      <c r="AY807">
        <f>IF(ISBLANK('Data Entry'!$s$807), "", 'Data Entry'!$s$807)</f>
      </c>
      <c r="AZ807">
        <f>IF(ISBLANK('Data Entry'!$t$807), "", 'Data Entry'!$t$807)</f>
      </c>
      <c r="BA807">
        <f>IF(ISBLANK('Data Entry'!$u$807), "", 'Data Entry'!$u$807)</f>
      </c>
      <c r="BB807">
        <f>IF(ISBLANK('Data Entry'!$v$807), "", 'Data Entry'!$v$807)</f>
      </c>
      <c r="BC807">
        <f>IF(ISBLANK('Data Entry'!$w$807), "", 'Data Entry'!$w$807)</f>
      </c>
      <c r="BD807">
        <f>IF(ISBLANK('Data Entry'!$x$807), "", 'Data Entry'!$x$807)</f>
      </c>
      <c r="BE807">
        <f>IF(ISBLANK('Data Entry'!$y$807), "", 'Data Entry'!$y$807)</f>
      </c>
      <c r="BF807">
        <f>IF(ISBLANK('Data Entry'!$z$807), "", 'Data Entry'!$z$807)</f>
      </c>
      <c r="BG807">
        <f>IF(ISBLANK('Data Entry'!${$807), "", 'Data Entry'!${$807)</f>
      </c>
      <c r="BH807">
        <f>IF(ISBLANK('Data Entry'!$|$807), "", 'Data Entry'!$|$807)</f>
      </c>
      <c r="BI807">
        <f>IF(ISBLANK('Data Entry'!$}$807), "", 'Data Entry'!$}$807)</f>
      </c>
      <c r="BJ807">
        <f>IF(ISBLANK('Data Entry'!$~$807), "", 'Data Entry'!$~$807)</f>
      </c>
      <c r="BK807">
        <f>IF(ISBLANK('Data Entry'!$$807), "", 'Data Entry'!$$807)</f>
      </c>
      <c r="BL807">
        <f>IF(ISBLANK('Data Entry'!$$807), "", 'Data Entry'!$$807)</f>
      </c>
      <c r="BM807">
        <f>IF(ISBLANK('Data Entry'!$$807), "", 'Data Entry'!$$807)</f>
      </c>
      <c r="BN807">
        <f>IF(ISBLANK('Data Entry'!$$807), "", 'Data Entry'!$$807)</f>
      </c>
      <c r="BO807">
        <f>IF(ISBLANK('Data Entry'!$$807), "", 'Data Entry'!$$807)</f>
      </c>
      <c r="BP807">
        <f>IF(ISBLANK('Data Entry'!$$807), "", 'Data Entry'!$$807)</f>
      </c>
      <c r="BQ807">
        <f>IF(ISBLANK('Data Entry'!$$807), "", 'Data Entry'!$$807)</f>
      </c>
      <c r="BR807">
        <f>IF(ISBLANK('Data Entry'!$$807), "", 'Data Entry'!$$807)</f>
      </c>
      <c r="BS807">
        <f>IF(ISBLANK('Data Entry'!$$807), "", 'Data Entry'!$$807)</f>
      </c>
      <c r="BT807">
        <f>IF(ISBLANK('Data Entry'!$$807), "", 'Data Entry'!$$807)</f>
      </c>
      <c r="BU807">
        <f>IF(ISBLANK('Data Entry'!$$807), "", 'Data Entry'!$$807)</f>
      </c>
      <c r="BV807">
        <f>IF(ISBLANK('Data Entry'!$$807), "", 'Data Entry'!$$807)</f>
      </c>
      <c r="BW807">
        <f>IF(ISBLANK('Data Entry'!$$807), "", 'Data Entry'!$$807)</f>
      </c>
      <c r="BX807">
        <f>IF(ISBLANK('Data Entry'!$$807), "", 'Data Entry'!$$807)</f>
      </c>
      <c r="BY807">
        <f>IF(ISBLANK('Data Entry'!$$807), "", 'Data Entry'!$$807)</f>
      </c>
      <c r="BZ807">
        <f>IF(ISBLANK('Data Entry'!$$807), "", 'Data Entry'!$$807)</f>
      </c>
      <c r="CA807">
        <f>IF(ISBLANK('Data Entry'!$$807), "", 'Data Entry'!$$807)</f>
      </c>
      <c r="CB807">
        <f>IF(ISBLANK('Data Entry'!$$807), "", 'Data Entry'!$$807)</f>
      </c>
      <c r="CC807">
        <f>IF(ISBLANK('Data Entry'!$$807), "", 'Data Entry'!$$807)</f>
      </c>
      <c r="CD807">
        <f>IF(ISBLANK('Data Entry'!$$807), "", 'Data Entry'!$$807)</f>
      </c>
      <c r="CE807">
        <f>IF(ISBLANK('Data Entry'!$$807), "", 'Data Entry'!$$807)</f>
      </c>
      <c r="CF807">
        <f>IF(ISBLANK('Data Entry'!$$807), "", 'Data Entry'!$$807)</f>
      </c>
      <c r="CG807">
        <f>IF(ISBLANK('Data Entry'!$$807), "", 'Data Entry'!$$807)</f>
      </c>
      <c r="CH807">
        <f>IF(ISBLANK('Data Entry'!$$807), "", 'Data Entry'!$$807)</f>
      </c>
      <c r="CI807">
        <f>IF(ISBLANK('Data Entry'!$$807), "", 'Data Entry'!$$807)</f>
      </c>
      <c r="CJ807">
        <f>IF(ISBLANK('Data Entry'!$$807), "", 'Data Entry'!$$807)</f>
      </c>
      <c r="CK807">
        <f>IF(ISBLANK('Data Entry'!$$807), "", 'Data Entry'!$$807)</f>
      </c>
      <c r="CL807">
        <f>IF(ISBLANK('Data Entry'!$$807), "", 'Data Entry'!$$807)</f>
      </c>
      <c r="CM807">
        <f>IF(ISBLANK('Data Entry'!$$807), "", 'Data Entry'!$$807)</f>
      </c>
      <c r="CN807">
        <f>IF(ISBLANK('Data Entry'!$$807), "", 'Data Entry'!$$807)</f>
      </c>
      <c r="CO807">
        <f>IF(ISBLANK('Data Entry'!$$807), "", 'Data Entry'!$$807)</f>
      </c>
      <c r="CP807">
        <f>IF(ISBLANK('Data Entry'!$$807), "", 'Data Entry'!$$807)</f>
      </c>
      <c r="CQ807">
        <f>IF(ISBLANK('Data Entry'!$$807), "", 'Data Entry'!$$807)</f>
      </c>
      <c r="CR807">
        <f>IF(ISBLANK('Data Entry'!$ $807), "", 'Data Entry'!$ $807)</f>
      </c>
      <c r="CS807">
        <f>IF(ISBLANK('Data Entry'!$¡$807), "", 'Data Entry'!$¡$807)</f>
      </c>
      <c r="CT807">
        <f>IF(ISBLANK('Data Entry'!$¢$807), "", 'Data Entry'!$¢$807)</f>
      </c>
      <c r="CU807">
        <f>IF(ISBLANK('Data Entry'!$£$807), "", 'Data Entry'!$£$807)</f>
      </c>
      <c r="CV807">
        <f>IF(ISBLANK('Data Entry'!$¤$807), "", 'Data Entry'!$¤$807)</f>
      </c>
      <c r="CW807">
        <f>IF(ISBLANK('Data Entry'!$¥$807), "", 'Data Entry'!$¥$807)</f>
      </c>
      <c r="CX807">
        <f>IF(ISBLANK('Data Entry'!$¦$807), "", 'Data Entry'!$¦$807)</f>
      </c>
      <c r="CY807">
        <f>IF(ISBLANK('Data Entry'!$§$807), "", 'Data Entry'!$§$807)</f>
      </c>
      <c r="CZ807">
        <f>IF(ISBLANK('Data Entry'!$¨$807), "", 'Data Entry'!$¨$807)</f>
      </c>
      <c r="DA807">
        <f>IF(ISBLANK('Data Entry'!$©$807), "", 'Data Entry'!$©$807)</f>
      </c>
      <c r="DB807">
        <f>IF(ISBLANK('Data Entry'!$ª$807), "", 'Data Entry'!$ª$807)</f>
      </c>
      <c r="DC807">
        <f>IF(ISBLANK('Data Entry'!$«$807), "", 'Data Entry'!$«$807)</f>
      </c>
      <c r="DD807">
        <f>IF(ISBLANK('Data Entry'!$¬$807), "", 'Data Entry'!$¬$807)</f>
      </c>
      <c r="DE807">
        <f>IF(ISBLANK('Data Entry'!$­$807), "", 'Data Entry'!$­$807)</f>
      </c>
      <c r="DF807">
        <f>IF(ISBLANK('Data Entry'!$®$807), "", 'Data Entry'!$®$807)</f>
      </c>
      <c r="DG807">
        <f>IF(ISBLANK('Data Entry'!$¯$807), "", 'Data Entry'!$¯$807)</f>
      </c>
      <c r="DH807">
        <f>IF(ISBLANK('Data Entry'!$°$807), "", 'Data Entry'!$°$807)</f>
      </c>
      <c r="DI807">
        <f>IF(ISBLANK('Data Entry'!$±$807), "", 'Data Entry'!$±$807)</f>
      </c>
      <c r="DJ807">
        <f>IF(ISBLANK('Data Entry'!$²$807), "", 'Data Entry'!$²$807)</f>
      </c>
      <c r="DK807">
        <f>IF(ISBLANK('Data Entry'!$³$807), "", 'Data Entry'!$³$807)</f>
      </c>
      <c r="DL807">
        <f>IF(ISBLANK('Data Entry'!$´$807), "", 'Data Entry'!$´$807)</f>
      </c>
      <c r="DM807">
        <f>IF(ISBLANK('Data Entry'!$µ$807), "", 'Data Entry'!$µ$807)</f>
      </c>
      <c r="DN807">
        <f>IF(ISBLANK('Data Entry'!$¶$807), "", 'Data Entry'!$¶$807)</f>
      </c>
      <c r="DO807">
        <f>IF(ISBLANK('Data Entry'!$·$807), "", 'Data Entry'!$·$807)</f>
      </c>
      <c r="DP807">
        <f>IF(ISBLANK('Data Entry'!$¸$807), "", 'Data Entry'!$¸$807)</f>
      </c>
      <c r="DQ807">
        <f>IF(ISBLANK('Data Entry'!$¹$807), "", 'Data Entry'!$¹$807)</f>
      </c>
      <c r="DR807">
        <f>IF(ISBLANK('Data Entry'!$º$807), "", 'Data Entry'!$º$807)</f>
      </c>
      <c r="DS807">
        <f>IF(ISBLANK('Data Entry'!$»$807), "", 'Data Entry'!$»$807)</f>
      </c>
      <c r="DT807">
        <f>IF(ISBLANK('Data Entry'!$¼$807), "", 'Data Entry'!$¼$807)</f>
      </c>
      <c r="DU807">
        <f>IF(ISBLANK('Data Entry'!$½$807), "", 'Data Entry'!$½$807)</f>
      </c>
      <c r="DV807">
        <f>IF(ISBLANK('Data Entry'!$¾$807), "", 'Data Entry'!$¾$807)</f>
      </c>
      <c r="DW807">
        <f>IF(ISBLANK('Data Entry'!$¿$807), "", 'Data Entry'!$¿$807)</f>
      </c>
      <c r="DX807">
        <f>IF(ISBLANK('Data Entry'!$À$807), "", 'Data Entry'!$À$807)</f>
      </c>
      <c r="DY807">
        <f>IF(ISBLANK('Data Entry'!$Á$807), "", 'Data Entry'!$Á$807)</f>
      </c>
      <c r="DZ807">
        <f>IF(ISBLANK('Data Entry'!$Â$807), "", 'Data Entry'!$Â$807)</f>
      </c>
      <c r="EA807">
        <f>IF(ISBLANK('Data Entry'!$Ã$807), "", 'Data Entry'!$Ã$807)</f>
      </c>
      <c r="EB807">
        <f>IF(ISBLANK('Data Entry'!$Ä$807), "", 'Data Entry'!$Ä$807)</f>
      </c>
      <c r="EC807">
        <f>IF(ISBLANK('Data Entry'!$Å$807), "", 'Data Entry'!$Å$807)</f>
      </c>
      <c r="ED807">
        <f>IF(ISBLANK('Data Entry'!$Æ$807), "", 'Data Entry'!$Æ$807)</f>
      </c>
      <c r="EE807">
        <f>IF(ISBLANK('Data Entry'!$Ç$807), "", 'Data Entry'!$Ç$807)</f>
      </c>
      <c r="EF807">
        <f>IF(ISBLANK('Data Entry'!$È$807), "", 'Data Entry'!$È$807)</f>
      </c>
      <c r="EG807">
        <f>IF(ISBLANK('Data Entry'!$É$807), "", 'Data Entry'!$É$807)</f>
      </c>
      <c r="EH807">
        <f>IF(ISBLANK('Data Entry'!$Ê$807), "", 'Data Entry'!$Ê$807)</f>
      </c>
      <c r="EI807">
        <f>IF(ISBLANK('Data Entry'!$Ë$807), "", 'Data Entry'!$Ë$807)</f>
      </c>
      <c r="EJ807">
        <f>IF(ISBLANK('Data Entry'!$Ì$807), "", 'Data Entry'!$Ì$807)</f>
      </c>
      <c r="EK807">
        <f>IF(ISBLANK('Data Entry'!$Í$807), "", 'Data Entry'!$Í$807)</f>
      </c>
      <c r="EL807">
        <f>IF(ISBLANK('Data Entry'!$Î$807), "", 'Data Entry'!$Î$807)</f>
      </c>
      <c r="EM807">
        <f>IF(ISBLANK('Data Entry'!$Ï$807), "", 'Data Entry'!$Ï$807)</f>
      </c>
      <c r="EN807">
        <f>IF(ISBLANK('Data Entry'!$Ð$807), "", 'Data Entry'!$Ð$807)</f>
      </c>
      <c r="EO807">
        <f>IF(ISBLANK('Data Entry'!$Ñ$807), "", 'Data Entry'!$Ñ$807)</f>
      </c>
      <c r="EP807">
        <f>IF(ISBLANK('Data Entry'!$Ò$807), "", 'Data Entry'!$Ò$807)</f>
      </c>
      <c r="EQ807">
        <f>IF(ISBLANK('Data Entry'!$Ó$807), "", 'Data Entry'!$Ó$807)</f>
      </c>
      <c r="ER807">
        <f>IF(ISBLANK('Data Entry'!$Ô$807), "", 'Data Entry'!$Ô$807)</f>
      </c>
      <c r="ES807">
        <f>IF(ISBLANK('Data Entry'!$Õ$807), "", 'Data Entry'!$Õ$807)</f>
      </c>
      <c r="ET807">
        <f>IF(ISBLANK('Data Entry'!$Ö$807), "", 'Data Entry'!$Ö$807)</f>
      </c>
      <c r="EU807">
        <f>IF(ISBLANK('Data Entry'!$×$807), "", 'Data Entry'!$×$807)</f>
      </c>
      <c r="EV807">
        <f>IF(ISBLANK('Data Entry'!$Ø$807), "", 'Data Entry'!$Ø$807)</f>
      </c>
      <c r="EW807">
        <f>IF(ISBLANK('Data Entry'!$Ù$807), "", 'Data Entry'!$Ù$807)</f>
      </c>
      <c r="EX807">
        <f>IF(ISBLANK('Data Entry'!$Ú$807), "", 'Data Entry'!$Ú$807)</f>
      </c>
      <c r="EY807">
        <f>IF(ISBLANK('Data Entry'!$Û$807), "", 'Data Entry'!$Û$807)</f>
      </c>
      <c r="EZ807">
        <f>IF(ISBLANK('Data Entry'!$Ü$807), "", 'Data Entry'!$Ü$807)</f>
      </c>
      <c r="FA807">
        <f>IF(ISBLANK('Data Entry'!$Ý$807), "", 'Data Entry'!$Ý$807)</f>
      </c>
      <c r="FB807">
        <f>IF(ISBLANK('Data Entry'!$Þ$807), "", 'Data Entry'!$Þ$807)</f>
      </c>
      <c r="FC807">
        <f>IF(ISBLANK('Data Entry'!$ß$807), "", 'Data Entry'!$ß$807)</f>
      </c>
      <c r="FD807">
        <f>IF(ISBLANK('Data Entry'!$à$807), "", 'Data Entry'!$à$807)</f>
      </c>
      <c r="FE807">
        <f>IF(ISBLANK('Data Entry'!$á$807), "", 'Data Entry'!$á$807)</f>
      </c>
      <c r="FF807">
        <f>IF(ISBLANK('Data Entry'!$â$807), "", 'Data Entry'!$â$807)</f>
      </c>
      <c r="FG807">
        <f>IF(ISBLANK('Data Entry'!$ã$807), "", 'Data Entry'!$ã$807)</f>
      </c>
      <c r="FH807">
        <f>IF(ISBLANK('Data Entry'!$ä$807), "", 'Data Entry'!$ä$807)</f>
      </c>
      <c r="FI807">
        <f>IF(ISBLANK('Data Entry'!$å$807), "", 'Data Entry'!$å$807)</f>
      </c>
      <c r="FJ807">
        <f>IF(ISBLANK('Data Entry'!$æ$807), "", 'Data Entry'!$æ$807)</f>
      </c>
      <c r="FK807">
        <f>IF(ISBLANK('Data Entry'!$ç$807), "", 'Data Entry'!$ç$807)</f>
      </c>
      <c r="FL807">
        <f>IF(ISBLANK('Data Entry'!$è$807), "", 'Data Entry'!$è$807)</f>
      </c>
      <c r="FM807">
        <f>IF(ISBLANK('Data Entry'!$é$807), "", 'Data Entry'!$é$807)</f>
      </c>
      <c r="FN807">
        <f>IF(ISBLANK('Data Entry'!$ê$807), "", 'Data Entry'!$ê$807)</f>
      </c>
      <c r="FO807">
        <f>IF(ISBLANK('Data Entry'!$ë$807), "", 'Data Entry'!$ë$807)</f>
      </c>
      <c r="FP807">
        <f>IF(ISBLANK('Data Entry'!$ì$807), "", 'Data Entry'!$ì$807)</f>
      </c>
      <c r="FQ807">
        <f>IF(ISBLANK('Data Entry'!$í$807), "", 'Data Entry'!$í$807)</f>
      </c>
      <c r="FR807">
        <f>IF(ISBLANK('Data Entry'!$î$807), "", 'Data Entry'!$î$807)</f>
      </c>
      <c r="FS807">
        <f>IF(ISBLANK('Data Entry'!$ï$807), "", 'Data Entry'!$ï$807)</f>
      </c>
      <c r="FT807">
        <f>IF(ISBLANK('Data Entry'!$ð$807), "", 'Data Entry'!$ð$807)</f>
      </c>
      <c r="FU807">
        <f>IF(ISBLANK('Data Entry'!$ñ$807), "", 'Data Entry'!$ñ$807)</f>
      </c>
      <c r="FV807">
        <f>IF(ISBLANK('Data Entry'!$ò$807), "", 'Data Entry'!$ò$807)</f>
      </c>
      <c r="FW807">
        <f>IF(ISBLANK('Data Entry'!$ó$807), "", 'Data Entry'!$ó$807)</f>
      </c>
      <c r="FX807">
        <f>IF(ISBLANK('Data Entry'!$ô$807), "", 'Data Entry'!$ô$807)</f>
      </c>
      <c r="FY807">
        <f>IF(ISBLANK('Data Entry'!$õ$807), "", 'Data Entry'!$õ$807)</f>
      </c>
      <c r="FZ807">
        <f>IF(ISBLANK('Data Entry'!$ö$807), "", 'Data Entry'!$ö$807)</f>
      </c>
      <c r="GA807">
        <f>IF(ISBLANK('Data Entry'!$÷$807), "", 'Data Entry'!$÷$807)</f>
      </c>
      <c r="GB807">
        <f>IF(ISBLANK('Data Entry'!$ø$807), "", 'Data Entry'!$ø$807)</f>
      </c>
      <c r="GC807">
        <f>IF(ISBLANK('Data Entry'!$ù$807), "", 'Data Entry'!$ù$807)</f>
      </c>
      <c r="GD807">
        <f>IF(ISBLANK('Data Entry'!$ú$807), "", 'Data Entry'!$ú$807)</f>
      </c>
      <c r="GE807">
        <f>IF(ISBLANK('Data Entry'!$û$807), "", 'Data Entry'!$û$807)</f>
      </c>
      <c r="GF807">
        <f>IF(ISBLANK('Data Entry'!$ü$807), "", 'Data Entry'!$ü$807)</f>
      </c>
      <c r="GG807">
        <f>IF(ISBLANK('Data Entry'!$ý$807), "", 'Data Entry'!$ý$807)</f>
      </c>
      <c r="GH807">
        <f>IF(ISBLANK('Data Entry'!$þ$807), "", 'Data Entry'!$þ$807)</f>
      </c>
      <c r="GI807">
        <f>IF(ISBLANK('Data Entry'!$ÿ$807), "", 'Data Entry'!$ÿ$807)</f>
      </c>
      <c r="GJ807">
        <f>IF(ISBLANK('Data Entry'!$Ā$807), "", 'Data Entry'!$Ā$807)</f>
      </c>
      <c r="GK807">
        <f>IF(ISBLANK('Data Entry'!$ā$807), "", 'Data Entry'!$ā$807)</f>
      </c>
      <c r="GL807">
        <f>IF(ISBLANK('Data Entry'!$Ă$807), "", 'Data Entry'!$Ă$807)</f>
      </c>
      <c r="GM807">
        <f>IF(ISBLANK('Data Entry'!$ă$807), "", 'Data Entry'!$ă$807)</f>
      </c>
      <c r="GN807">
        <f>IF(ISBLANK('Data Entry'!$Ą$807), "", 'Data Entry'!$Ą$807)</f>
      </c>
      <c r="GO807">
        <f>IF(ISBLANK('Data Entry'!$ą$807), "", 'Data Entry'!$ą$807)</f>
      </c>
      <c r="GP807">
        <f>IF(ISBLANK('Data Entry'!$Ć$807), "", 'Data Entry'!$Ć$807)</f>
      </c>
      <c r="GQ807">
        <f>IF(ISBLANK('Data Entry'!$ć$807), "", 'Data Entry'!$ć$807)</f>
      </c>
      <c r="GR807">
        <f>IF(ISBLANK('Data Entry'!$Ĉ$807), "", 'Data Entry'!$Ĉ$807)</f>
      </c>
      <c r="GS807">
        <f>IF(ISBLANK('Data Entry'!$ĉ$807), "", 'Data Entry'!$ĉ$807)</f>
      </c>
      <c r="GT807">
        <f>IF(ISBLANK('Data Entry'!$Ċ$807), "", 'Data Entry'!$Ċ$807)</f>
      </c>
      <c r="GU807">
        <f>IF(ISBLANK('Data Entry'!$ċ$807), "", 'Data Entry'!$ċ$807)</f>
      </c>
      <c r="GV807">
        <f>IF(ISBLANK('Data Entry'!$Č$807), "", 'Data Entry'!$Č$807)</f>
      </c>
      <c r="GW807">
        <f>IF(ISBLANK('Data Entry'!$č$807), "", 'Data Entry'!$č$807)</f>
      </c>
      <c r="GX807">
        <f>IF(ISBLANK('Data Entry'!$Ď$807), "", 'Data Entry'!$Ď$807)</f>
      </c>
      <c r="GY807">
        <f>IF(ISBLANK('Data Entry'!$ď$807), "", 'Data Entry'!$ď$807)</f>
      </c>
      <c r="GZ807">
        <f>IF(ISBLANK('Data Entry'!$Đ$807), "", 'Data Entry'!$Đ$807)</f>
      </c>
      <c r="HA807">
        <f>IF(ISBLANK('Data Entry'!$đ$807), "", 'Data Entry'!$đ$807)</f>
      </c>
      <c r="HB807">
        <f>IF(ISBLANK('Data Entry'!$Ē$807), "", 'Data Entry'!$Ē$807)</f>
      </c>
      <c r="HC807">
        <f>IF(ISBLANK('Data Entry'!$ē$807), "", 'Data Entry'!$ē$807)</f>
      </c>
      <c r="HD807">
        <f>IF(ISBLANK('Data Entry'!$Ĕ$807), "", 'Data Entry'!$Ĕ$807)</f>
      </c>
      <c r="HE807">
        <f>IF(ISBLANK('Data Entry'!$ĕ$807), "", 'Data Entry'!$ĕ$807)</f>
      </c>
      <c r="HF807">
        <f>IF(ISBLANK('Data Entry'!$Ė$807), "", 'Data Entry'!$Ė$807)</f>
      </c>
      <c r="HG807">
        <f>IF(ISBLANK('Data Entry'!$ė$807), "", 'Data Entry'!$ė$807)</f>
      </c>
      <c r="HH807">
        <f>IF(ISBLANK('Data Entry'!$Ę$807), "", 'Data Entry'!$Ę$807)</f>
      </c>
      <c r="HI807">
        <f>IF(ISBLANK('Data Entry'!$ę$807), "", 'Data Entry'!$ę$807)</f>
      </c>
      <c r="HJ807">
        <f>IF(ISBLANK('Data Entry'!$Ě$807), "", 'Data Entry'!$Ě$807)</f>
      </c>
      <c r="HK807">
        <f>IF(ISBLANK('Data Entry'!$ě$807), "", 'Data Entry'!$ě$807)</f>
      </c>
      <c r="HL807">
        <f>IF(ISBLANK('Data Entry'!$Ĝ$807), "", 'Data Entry'!$Ĝ$807)</f>
      </c>
      <c r="HM807">
        <f>IF(ISBLANK('Data Entry'!$ĝ$807), "", 'Data Entry'!$ĝ$807)</f>
      </c>
      <c r="HN807">
        <f>IF(ISBLANK('Data Entry'!$Ğ$807), "", 'Data Entry'!$Ğ$807)</f>
      </c>
      <c r="HO807">
        <f>IF(ISBLANK('Data Entry'!$ğ$807), "", 'Data Entry'!$ğ$807)</f>
      </c>
      <c r="HP807">
        <f>IF(ISBLANK('Data Entry'!$Ġ$807), "", 'Data Entry'!$Ġ$807)</f>
      </c>
      <c r="HQ807">
        <f>IF(ISBLANK('Data Entry'!$ġ$807), "", 'Data Entry'!$ġ$807)</f>
      </c>
      <c r="HR807">
        <f>IF(ISBLANK('Data Entry'!$Ģ$807), "", 'Data Entry'!$Ģ$807)</f>
      </c>
      <c r="HS807">
        <f>IF(ISBLANK('Data Entry'!$ģ$807), "", 'Data Entry'!$ģ$807)</f>
      </c>
      <c r="HT807">
        <f>IF(ISBLANK('Data Entry'!$Ĥ$807), "", 'Data Entry'!$Ĥ$807)</f>
      </c>
      <c r="HU807">
        <f>IF(ISBLANK('Data Entry'!$ĥ$807), "", 'Data Entry'!$ĥ$807)</f>
      </c>
      <c r="HV807">
        <f>IF(ISBLANK('Data Entry'!$Ħ$807), "", 'Data Entry'!$Ħ$807)</f>
      </c>
      <c r="HW807">
        <f>IF(ISBLANK('Data Entry'!$ħ$807), "", 'Data Entry'!$ħ$807)</f>
      </c>
      <c r="HX807">
        <f>IF(ISBLANK('Data Entry'!$Ĩ$807), "", 'Data Entry'!$Ĩ$807)</f>
      </c>
      <c r="HY807">
        <f>IF(ISBLANK('Data Entry'!$ĩ$807), "", 'Data Entry'!$ĩ$807)</f>
      </c>
      <c r="HZ807">
        <f>IF(ISBLANK('Data Entry'!$Ī$807), "", 'Data Entry'!$Ī$807)</f>
      </c>
      <c r="IA807">
        <f>IF(ISBLANK('Data Entry'!$ī$807), "", 'Data Entry'!$ī$807)</f>
      </c>
      <c r="IB807">
        <f>IF(ISBLANK('Data Entry'!$Ĭ$807), "", 'Data Entry'!$Ĭ$807)</f>
      </c>
      <c r="IC807">
        <f>IF(ISBLANK('Data Entry'!$ĭ$807), "", 'Data Entry'!$ĭ$807)</f>
      </c>
      <c r="ID807">
        <f>IF(ISBLANK('Data Entry'!$Į$807), "", 'Data Entry'!$Į$807)</f>
      </c>
      <c r="IE807">
        <f>IF(ISBLANK('Data Entry'!$į$807), "", 'Data Entry'!$į$807)</f>
      </c>
      <c r="IF807">
        <f>IF(ISBLANK('Data Entry'!$İ$807), "", 'Data Entry'!$İ$807)</f>
      </c>
      <c r="IG807">
        <f>IF(ISBLANK('Data Entry'!$ı$807), "", 'Data Entry'!$ı$807)</f>
      </c>
      <c r="IH807">
        <f>IF(ISBLANK('Data Entry'!$Ĳ$807), "", 'Data Entry'!$Ĳ$807)</f>
      </c>
      <c r="II807">
        <f>IF(ISBLANK('Data Entry'!$ĳ$807), "", 'Data Entry'!$ĳ$807)</f>
      </c>
      <c r="IJ807">
        <f>IF(ISBLANK('Data Entry'!$Ĵ$807), "", 'Data Entry'!$Ĵ$807)</f>
      </c>
      <c r="IK807">
        <f>IF(ISBLANK('Data Entry'!$ĵ$807), "", 'Data Entry'!$ĵ$807)</f>
      </c>
      <c r="IL807">
        <f>IF(ISBLANK('Data Entry'!$Ķ$807), "", 'Data Entry'!$Ķ$807)</f>
      </c>
      <c r="IM807">
        <f>IF(ISBLANK('Data Entry'!$ķ$807), "", 'Data Entry'!$ķ$807)</f>
      </c>
      <c r="IN807">
        <f>IF(ISBLANK('Data Entry'!$ĸ$807), "", 'Data Entry'!$ĸ$807)</f>
      </c>
      <c r="IO807">
        <f>IF(ISBLANK('Data Entry'!$Ĺ$807), "", 'Data Entry'!$Ĺ$807)</f>
      </c>
      <c r="IP807">
        <f>IF(ISBLANK('Data Entry'!$ĺ$807), "", 'Data Entry'!$ĺ$807)</f>
      </c>
      <c r="IQ807">
        <f>IF(ISBLANK('Data Entry'!$Ļ$807), "", 'Data Entry'!$Ļ$807)</f>
      </c>
      <c r="IR807">
        <f>IF(ISBLANK('Data Entry'!$ļ$807), "", 'Data Entry'!$ļ$807)</f>
      </c>
      <c r="IS807">
        <f>IF(ISBLANK('Data Entry'!$Ľ$807), "", 'Data Entry'!$Ľ$807)</f>
      </c>
      <c r="IT807">
        <f>IF(ISBLANK('Data Entry'!$ľ$807), "", 'Data Entry'!$ľ$807)</f>
      </c>
    </row>
    <row r="808" spans="1:254" x14ac:dyDescent="0.25">
      <c r="A808">
        <f>IF(ISBLANK('Data Entry'!$A$808), "", 'Data Entry'!$A$808)</f>
      </c>
      <c r="B808">
        <f>IF(ISBLANK('Data Entry'!$B$808), "", 'Data Entry'!$B$808)</f>
      </c>
      <c r="C808">
        <f>IF(ISBLANK('Data Entry'!$C$808), "", 'Data Entry'!$C$808)</f>
      </c>
      <c r="D808">
        <f>IF(ISBLANK('Data Entry'!$D$808), "", 'Data Entry'!$D$808)</f>
      </c>
      <c r="E808">
        <f>IF(ISBLANK('Data Entry'!$E$808), "", 'Data Entry'!$E$808)</f>
      </c>
      <c r="F808">
        <f>IF(ISBLANK('Data Entry'!$F$808), "", 'Data Entry'!$F$808)</f>
      </c>
      <c r="G808">
        <f>IF(ISBLANK('Data Entry'!$G$808), "", 'Data Entry'!$G$808)</f>
      </c>
      <c r="H808">
        <f>IF(ISBLANK('Data Entry'!$H$808), "", 'Data Entry'!$H$808)</f>
      </c>
      <c r="I808">
        <f>IF(ISBLANK('Data Entry'!$I$808), "", 'Data Entry'!$I$808)</f>
      </c>
      <c r="J808">
        <f>IF(ISBLANK('Data Entry'!$J$808), "", 'Data Entry'!$J$808)</f>
      </c>
      <c r="K808">
        <f>IF(ISBLANK('Data Entry'!$K$808), "", 'Data Entry'!$K$808)</f>
      </c>
      <c r="L808">
        <f>IF(ISBLANK('Data Entry'!$L$808), "", 'Data Entry'!$L$808)</f>
      </c>
      <c r="M808">
        <f>IF(ISBLANK('Data Entry'!$M$808), "", 'Data Entry'!$M$808)</f>
      </c>
      <c r="N808">
        <f>IF(ISBLANK('Data Entry'!$N$808), "", 'Data Entry'!$N$808)</f>
      </c>
      <c r="O808">
        <f>IF(ISBLANK('Data Entry'!$O$808), "", 'Data Entry'!$O$808)</f>
      </c>
      <c r="P808">
        <f>IF(ISBLANK('Data Entry'!$P$808), "", 'Data Entry'!$P$808)</f>
      </c>
      <c r="Q808">
        <f>IF(ISBLANK('Data Entry'!$Q$808), "", 'Data Entry'!$Q$808)</f>
      </c>
      <c r="R808">
        <f>IF(ISBLANK('Data Entry'!$R$808), "", 'Data Entry'!$R$808)</f>
      </c>
      <c r="S808">
        <f>IF(ISBLANK('Data Entry'!$S$808), "", 'Data Entry'!$S$808)</f>
      </c>
      <c r="T808">
        <f>IF(ISBLANK('Data Entry'!$T$808), "", 'Data Entry'!$T$808)</f>
      </c>
      <c r="U808">
        <f>IF(ISBLANK('Data Entry'!$U$808), "", 'Data Entry'!$U$808)</f>
      </c>
      <c r="V808">
        <f>IF(ISBLANK('Data Entry'!$V$808), "", 'Data Entry'!$V$808)</f>
      </c>
      <c r="W808">
        <f>IF(ISBLANK('Data Entry'!$W$808), "", 'Data Entry'!$W$808)</f>
      </c>
      <c r="X808">
        <f>IF(ISBLANK('Data Entry'!$X$808), "", 'Data Entry'!$X$808)</f>
      </c>
      <c r="Y808">
        <f>IF(ISBLANK('Data Entry'!$Y$808), "", 'Data Entry'!$Y$808)</f>
      </c>
      <c r="Z808">
        <f>IF(ISBLANK('Data Entry'!$Z$808), "", 'Data Entry'!$Z$808)</f>
      </c>
      <c r="AA808">
        <f>IF(ISBLANK('Data Entry'!$[$808), "", 'Data Entry'!$[$808)</f>
      </c>
      <c r="AB808">
        <f>IF(ISBLANK('Data Entry'!$\$808), "", 'Data Entry'!$\$808)</f>
      </c>
      <c r="AC808">
        <f>IF(ISBLANK('Data Entry'!$]$808), "", 'Data Entry'!$]$808)</f>
      </c>
      <c r="AD808">
        <f>IF(ISBLANK('Data Entry'!$^$808), "", 'Data Entry'!$^$808)</f>
      </c>
      <c r="AE808">
        <f>IF(ISBLANK('Data Entry'!$_$808), "", 'Data Entry'!$_$808)</f>
      </c>
      <c r="AF808">
        <f>IF(ISBLANK('Data Entry'!$`$808), "", 'Data Entry'!$`$808)</f>
      </c>
      <c r="AG808">
        <f>IF(ISBLANK('Data Entry'!$a$808), "", 'Data Entry'!$a$808)</f>
      </c>
      <c r="AH808">
        <f>IF(ISBLANK('Data Entry'!$b$808), "", 'Data Entry'!$b$808)</f>
      </c>
      <c r="AI808">
        <f>IF(ISBLANK('Data Entry'!$c$808), "", 'Data Entry'!$c$808)</f>
      </c>
      <c r="AJ808">
        <f>IF(ISBLANK('Data Entry'!$d$808), "", 'Data Entry'!$d$808)</f>
      </c>
      <c r="AK808">
        <f>IF(ISBLANK('Data Entry'!$e$808), "", 'Data Entry'!$e$808)</f>
      </c>
      <c r="AL808">
        <f>IF(ISBLANK('Data Entry'!$f$808), "", 'Data Entry'!$f$808)</f>
      </c>
      <c r="AM808">
        <f>IF(ISBLANK('Data Entry'!$g$808), "", 'Data Entry'!$g$808)</f>
      </c>
      <c r="AN808">
        <f>IF(ISBLANK('Data Entry'!$h$808), "", 'Data Entry'!$h$808)</f>
      </c>
      <c r="AO808">
        <f>IF(ISBLANK('Data Entry'!$i$808), "", 'Data Entry'!$i$808)</f>
      </c>
      <c r="AP808">
        <f>IF(ISBLANK('Data Entry'!$j$808), "", 'Data Entry'!$j$808)</f>
      </c>
      <c r="AQ808">
        <f>IF(ISBLANK('Data Entry'!$k$808), "", 'Data Entry'!$k$808)</f>
      </c>
      <c r="AR808">
        <f>IF(ISBLANK('Data Entry'!$l$808), "", 'Data Entry'!$l$808)</f>
      </c>
      <c r="AS808">
        <f>IF(ISBLANK('Data Entry'!$m$808), "", 'Data Entry'!$m$808)</f>
      </c>
      <c r="AT808">
        <f>IF(ISBLANK('Data Entry'!$n$808), "", 'Data Entry'!$n$808)</f>
      </c>
      <c r="AU808">
        <f>IF(ISBLANK('Data Entry'!$o$808), "", 'Data Entry'!$o$808)</f>
      </c>
      <c r="AV808">
        <f>IF(ISBLANK('Data Entry'!$p$808), "", 'Data Entry'!$p$808)</f>
      </c>
      <c r="AW808">
        <f>IF(ISBLANK('Data Entry'!$q$808), "", 'Data Entry'!$q$808)</f>
      </c>
      <c r="AX808">
        <f>IF(ISBLANK('Data Entry'!$r$808), "", 'Data Entry'!$r$808)</f>
      </c>
      <c r="AY808">
        <f>IF(ISBLANK('Data Entry'!$s$808), "", 'Data Entry'!$s$808)</f>
      </c>
      <c r="AZ808">
        <f>IF(ISBLANK('Data Entry'!$t$808), "", 'Data Entry'!$t$808)</f>
      </c>
      <c r="BA808">
        <f>IF(ISBLANK('Data Entry'!$u$808), "", 'Data Entry'!$u$808)</f>
      </c>
      <c r="BB808">
        <f>IF(ISBLANK('Data Entry'!$v$808), "", 'Data Entry'!$v$808)</f>
      </c>
      <c r="BC808">
        <f>IF(ISBLANK('Data Entry'!$w$808), "", 'Data Entry'!$w$808)</f>
      </c>
      <c r="BD808">
        <f>IF(ISBLANK('Data Entry'!$x$808), "", 'Data Entry'!$x$808)</f>
      </c>
      <c r="BE808">
        <f>IF(ISBLANK('Data Entry'!$y$808), "", 'Data Entry'!$y$808)</f>
      </c>
      <c r="BF808">
        <f>IF(ISBLANK('Data Entry'!$z$808), "", 'Data Entry'!$z$808)</f>
      </c>
      <c r="BG808">
        <f>IF(ISBLANK('Data Entry'!${$808), "", 'Data Entry'!${$808)</f>
      </c>
      <c r="BH808">
        <f>IF(ISBLANK('Data Entry'!$|$808), "", 'Data Entry'!$|$808)</f>
      </c>
      <c r="BI808">
        <f>IF(ISBLANK('Data Entry'!$}$808), "", 'Data Entry'!$}$808)</f>
      </c>
      <c r="BJ808">
        <f>IF(ISBLANK('Data Entry'!$~$808), "", 'Data Entry'!$~$808)</f>
      </c>
      <c r="BK808">
        <f>IF(ISBLANK('Data Entry'!$$808), "", 'Data Entry'!$$808)</f>
      </c>
      <c r="BL808">
        <f>IF(ISBLANK('Data Entry'!$$808), "", 'Data Entry'!$$808)</f>
      </c>
      <c r="BM808">
        <f>IF(ISBLANK('Data Entry'!$$808), "", 'Data Entry'!$$808)</f>
      </c>
      <c r="BN808">
        <f>IF(ISBLANK('Data Entry'!$$808), "", 'Data Entry'!$$808)</f>
      </c>
      <c r="BO808">
        <f>IF(ISBLANK('Data Entry'!$$808), "", 'Data Entry'!$$808)</f>
      </c>
      <c r="BP808">
        <f>IF(ISBLANK('Data Entry'!$$808), "", 'Data Entry'!$$808)</f>
      </c>
      <c r="BQ808">
        <f>IF(ISBLANK('Data Entry'!$$808), "", 'Data Entry'!$$808)</f>
      </c>
      <c r="BR808">
        <f>IF(ISBLANK('Data Entry'!$$808), "", 'Data Entry'!$$808)</f>
      </c>
      <c r="BS808">
        <f>IF(ISBLANK('Data Entry'!$$808), "", 'Data Entry'!$$808)</f>
      </c>
      <c r="BT808">
        <f>IF(ISBLANK('Data Entry'!$$808), "", 'Data Entry'!$$808)</f>
      </c>
      <c r="BU808">
        <f>IF(ISBLANK('Data Entry'!$$808), "", 'Data Entry'!$$808)</f>
      </c>
      <c r="BV808">
        <f>IF(ISBLANK('Data Entry'!$$808), "", 'Data Entry'!$$808)</f>
      </c>
      <c r="BW808">
        <f>IF(ISBLANK('Data Entry'!$$808), "", 'Data Entry'!$$808)</f>
      </c>
      <c r="BX808">
        <f>IF(ISBLANK('Data Entry'!$$808), "", 'Data Entry'!$$808)</f>
      </c>
      <c r="BY808">
        <f>IF(ISBLANK('Data Entry'!$$808), "", 'Data Entry'!$$808)</f>
      </c>
      <c r="BZ808">
        <f>IF(ISBLANK('Data Entry'!$$808), "", 'Data Entry'!$$808)</f>
      </c>
      <c r="CA808">
        <f>IF(ISBLANK('Data Entry'!$$808), "", 'Data Entry'!$$808)</f>
      </c>
      <c r="CB808">
        <f>IF(ISBLANK('Data Entry'!$$808), "", 'Data Entry'!$$808)</f>
      </c>
      <c r="CC808">
        <f>IF(ISBLANK('Data Entry'!$$808), "", 'Data Entry'!$$808)</f>
      </c>
      <c r="CD808">
        <f>IF(ISBLANK('Data Entry'!$$808), "", 'Data Entry'!$$808)</f>
      </c>
      <c r="CE808">
        <f>IF(ISBLANK('Data Entry'!$$808), "", 'Data Entry'!$$808)</f>
      </c>
      <c r="CF808">
        <f>IF(ISBLANK('Data Entry'!$$808), "", 'Data Entry'!$$808)</f>
      </c>
      <c r="CG808">
        <f>IF(ISBLANK('Data Entry'!$$808), "", 'Data Entry'!$$808)</f>
      </c>
      <c r="CH808">
        <f>IF(ISBLANK('Data Entry'!$$808), "", 'Data Entry'!$$808)</f>
      </c>
      <c r="CI808">
        <f>IF(ISBLANK('Data Entry'!$$808), "", 'Data Entry'!$$808)</f>
      </c>
      <c r="CJ808">
        <f>IF(ISBLANK('Data Entry'!$$808), "", 'Data Entry'!$$808)</f>
      </c>
      <c r="CK808">
        <f>IF(ISBLANK('Data Entry'!$$808), "", 'Data Entry'!$$808)</f>
      </c>
      <c r="CL808">
        <f>IF(ISBLANK('Data Entry'!$$808), "", 'Data Entry'!$$808)</f>
      </c>
      <c r="CM808">
        <f>IF(ISBLANK('Data Entry'!$$808), "", 'Data Entry'!$$808)</f>
      </c>
      <c r="CN808">
        <f>IF(ISBLANK('Data Entry'!$$808), "", 'Data Entry'!$$808)</f>
      </c>
      <c r="CO808">
        <f>IF(ISBLANK('Data Entry'!$$808), "", 'Data Entry'!$$808)</f>
      </c>
      <c r="CP808">
        <f>IF(ISBLANK('Data Entry'!$$808), "", 'Data Entry'!$$808)</f>
      </c>
      <c r="CQ808">
        <f>IF(ISBLANK('Data Entry'!$$808), "", 'Data Entry'!$$808)</f>
      </c>
      <c r="CR808">
        <f>IF(ISBLANK('Data Entry'!$ $808), "", 'Data Entry'!$ $808)</f>
      </c>
      <c r="CS808">
        <f>IF(ISBLANK('Data Entry'!$¡$808), "", 'Data Entry'!$¡$808)</f>
      </c>
      <c r="CT808">
        <f>IF(ISBLANK('Data Entry'!$¢$808), "", 'Data Entry'!$¢$808)</f>
      </c>
      <c r="CU808">
        <f>IF(ISBLANK('Data Entry'!$£$808), "", 'Data Entry'!$£$808)</f>
      </c>
      <c r="CV808">
        <f>IF(ISBLANK('Data Entry'!$¤$808), "", 'Data Entry'!$¤$808)</f>
      </c>
      <c r="CW808">
        <f>IF(ISBLANK('Data Entry'!$¥$808), "", 'Data Entry'!$¥$808)</f>
      </c>
      <c r="CX808">
        <f>IF(ISBLANK('Data Entry'!$¦$808), "", 'Data Entry'!$¦$808)</f>
      </c>
      <c r="CY808">
        <f>IF(ISBLANK('Data Entry'!$§$808), "", 'Data Entry'!$§$808)</f>
      </c>
      <c r="CZ808">
        <f>IF(ISBLANK('Data Entry'!$¨$808), "", 'Data Entry'!$¨$808)</f>
      </c>
      <c r="DA808">
        <f>IF(ISBLANK('Data Entry'!$©$808), "", 'Data Entry'!$©$808)</f>
      </c>
      <c r="DB808">
        <f>IF(ISBLANK('Data Entry'!$ª$808), "", 'Data Entry'!$ª$808)</f>
      </c>
      <c r="DC808">
        <f>IF(ISBLANK('Data Entry'!$«$808), "", 'Data Entry'!$«$808)</f>
      </c>
      <c r="DD808">
        <f>IF(ISBLANK('Data Entry'!$¬$808), "", 'Data Entry'!$¬$808)</f>
      </c>
      <c r="DE808">
        <f>IF(ISBLANK('Data Entry'!$­$808), "", 'Data Entry'!$­$808)</f>
      </c>
      <c r="DF808">
        <f>IF(ISBLANK('Data Entry'!$®$808), "", 'Data Entry'!$®$808)</f>
      </c>
      <c r="DG808">
        <f>IF(ISBLANK('Data Entry'!$¯$808), "", 'Data Entry'!$¯$808)</f>
      </c>
      <c r="DH808">
        <f>IF(ISBLANK('Data Entry'!$°$808), "", 'Data Entry'!$°$808)</f>
      </c>
      <c r="DI808">
        <f>IF(ISBLANK('Data Entry'!$±$808), "", 'Data Entry'!$±$808)</f>
      </c>
      <c r="DJ808">
        <f>IF(ISBLANK('Data Entry'!$²$808), "", 'Data Entry'!$²$808)</f>
      </c>
      <c r="DK808">
        <f>IF(ISBLANK('Data Entry'!$³$808), "", 'Data Entry'!$³$808)</f>
      </c>
      <c r="DL808">
        <f>IF(ISBLANK('Data Entry'!$´$808), "", 'Data Entry'!$´$808)</f>
      </c>
      <c r="DM808">
        <f>IF(ISBLANK('Data Entry'!$µ$808), "", 'Data Entry'!$µ$808)</f>
      </c>
      <c r="DN808">
        <f>IF(ISBLANK('Data Entry'!$¶$808), "", 'Data Entry'!$¶$808)</f>
      </c>
      <c r="DO808">
        <f>IF(ISBLANK('Data Entry'!$·$808), "", 'Data Entry'!$·$808)</f>
      </c>
      <c r="DP808">
        <f>IF(ISBLANK('Data Entry'!$¸$808), "", 'Data Entry'!$¸$808)</f>
      </c>
      <c r="DQ808">
        <f>IF(ISBLANK('Data Entry'!$¹$808), "", 'Data Entry'!$¹$808)</f>
      </c>
      <c r="DR808">
        <f>IF(ISBLANK('Data Entry'!$º$808), "", 'Data Entry'!$º$808)</f>
      </c>
      <c r="DS808">
        <f>IF(ISBLANK('Data Entry'!$»$808), "", 'Data Entry'!$»$808)</f>
      </c>
      <c r="DT808">
        <f>IF(ISBLANK('Data Entry'!$¼$808), "", 'Data Entry'!$¼$808)</f>
      </c>
      <c r="DU808">
        <f>IF(ISBLANK('Data Entry'!$½$808), "", 'Data Entry'!$½$808)</f>
      </c>
      <c r="DV808">
        <f>IF(ISBLANK('Data Entry'!$¾$808), "", 'Data Entry'!$¾$808)</f>
      </c>
      <c r="DW808">
        <f>IF(ISBLANK('Data Entry'!$¿$808), "", 'Data Entry'!$¿$808)</f>
      </c>
      <c r="DX808">
        <f>IF(ISBLANK('Data Entry'!$À$808), "", 'Data Entry'!$À$808)</f>
      </c>
      <c r="DY808">
        <f>IF(ISBLANK('Data Entry'!$Á$808), "", 'Data Entry'!$Á$808)</f>
      </c>
      <c r="DZ808">
        <f>IF(ISBLANK('Data Entry'!$Â$808), "", 'Data Entry'!$Â$808)</f>
      </c>
      <c r="EA808">
        <f>IF(ISBLANK('Data Entry'!$Ã$808), "", 'Data Entry'!$Ã$808)</f>
      </c>
      <c r="EB808">
        <f>IF(ISBLANK('Data Entry'!$Ä$808), "", 'Data Entry'!$Ä$808)</f>
      </c>
      <c r="EC808">
        <f>IF(ISBLANK('Data Entry'!$Å$808), "", 'Data Entry'!$Å$808)</f>
      </c>
      <c r="ED808">
        <f>IF(ISBLANK('Data Entry'!$Æ$808), "", 'Data Entry'!$Æ$808)</f>
      </c>
      <c r="EE808">
        <f>IF(ISBLANK('Data Entry'!$Ç$808), "", 'Data Entry'!$Ç$808)</f>
      </c>
      <c r="EF808">
        <f>IF(ISBLANK('Data Entry'!$È$808), "", 'Data Entry'!$È$808)</f>
      </c>
      <c r="EG808">
        <f>IF(ISBLANK('Data Entry'!$É$808), "", 'Data Entry'!$É$808)</f>
      </c>
      <c r="EH808">
        <f>IF(ISBLANK('Data Entry'!$Ê$808), "", 'Data Entry'!$Ê$808)</f>
      </c>
      <c r="EI808">
        <f>IF(ISBLANK('Data Entry'!$Ë$808), "", 'Data Entry'!$Ë$808)</f>
      </c>
      <c r="EJ808">
        <f>IF(ISBLANK('Data Entry'!$Ì$808), "", 'Data Entry'!$Ì$808)</f>
      </c>
      <c r="EK808">
        <f>IF(ISBLANK('Data Entry'!$Í$808), "", 'Data Entry'!$Í$808)</f>
      </c>
      <c r="EL808">
        <f>IF(ISBLANK('Data Entry'!$Î$808), "", 'Data Entry'!$Î$808)</f>
      </c>
      <c r="EM808">
        <f>IF(ISBLANK('Data Entry'!$Ï$808), "", 'Data Entry'!$Ï$808)</f>
      </c>
      <c r="EN808">
        <f>IF(ISBLANK('Data Entry'!$Ð$808), "", 'Data Entry'!$Ð$808)</f>
      </c>
      <c r="EO808">
        <f>IF(ISBLANK('Data Entry'!$Ñ$808), "", 'Data Entry'!$Ñ$808)</f>
      </c>
      <c r="EP808">
        <f>IF(ISBLANK('Data Entry'!$Ò$808), "", 'Data Entry'!$Ò$808)</f>
      </c>
      <c r="EQ808">
        <f>IF(ISBLANK('Data Entry'!$Ó$808), "", 'Data Entry'!$Ó$808)</f>
      </c>
      <c r="ER808">
        <f>IF(ISBLANK('Data Entry'!$Ô$808), "", 'Data Entry'!$Ô$808)</f>
      </c>
      <c r="ES808">
        <f>IF(ISBLANK('Data Entry'!$Õ$808), "", 'Data Entry'!$Õ$808)</f>
      </c>
      <c r="ET808">
        <f>IF(ISBLANK('Data Entry'!$Ö$808), "", 'Data Entry'!$Ö$808)</f>
      </c>
      <c r="EU808">
        <f>IF(ISBLANK('Data Entry'!$×$808), "", 'Data Entry'!$×$808)</f>
      </c>
      <c r="EV808">
        <f>IF(ISBLANK('Data Entry'!$Ø$808), "", 'Data Entry'!$Ø$808)</f>
      </c>
      <c r="EW808">
        <f>IF(ISBLANK('Data Entry'!$Ù$808), "", 'Data Entry'!$Ù$808)</f>
      </c>
      <c r="EX808">
        <f>IF(ISBLANK('Data Entry'!$Ú$808), "", 'Data Entry'!$Ú$808)</f>
      </c>
      <c r="EY808">
        <f>IF(ISBLANK('Data Entry'!$Û$808), "", 'Data Entry'!$Û$808)</f>
      </c>
      <c r="EZ808">
        <f>IF(ISBLANK('Data Entry'!$Ü$808), "", 'Data Entry'!$Ü$808)</f>
      </c>
      <c r="FA808">
        <f>IF(ISBLANK('Data Entry'!$Ý$808), "", 'Data Entry'!$Ý$808)</f>
      </c>
      <c r="FB808">
        <f>IF(ISBLANK('Data Entry'!$Þ$808), "", 'Data Entry'!$Þ$808)</f>
      </c>
      <c r="FC808">
        <f>IF(ISBLANK('Data Entry'!$ß$808), "", 'Data Entry'!$ß$808)</f>
      </c>
      <c r="FD808">
        <f>IF(ISBLANK('Data Entry'!$à$808), "", 'Data Entry'!$à$808)</f>
      </c>
      <c r="FE808">
        <f>IF(ISBLANK('Data Entry'!$á$808), "", 'Data Entry'!$á$808)</f>
      </c>
      <c r="FF808">
        <f>IF(ISBLANK('Data Entry'!$â$808), "", 'Data Entry'!$â$808)</f>
      </c>
      <c r="FG808">
        <f>IF(ISBLANK('Data Entry'!$ã$808), "", 'Data Entry'!$ã$808)</f>
      </c>
      <c r="FH808">
        <f>IF(ISBLANK('Data Entry'!$ä$808), "", 'Data Entry'!$ä$808)</f>
      </c>
      <c r="FI808">
        <f>IF(ISBLANK('Data Entry'!$å$808), "", 'Data Entry'!$å$808)</f>
      </c>
      <c r="FJ808">
        <f>IF(ISBLANK('Data Entry'!$æ$808), "", 'Data Entry'!$æ$808)</f>
      </c>
      <c r="FK808">
        <f>IF(ISBLANK('Data Entry'!$ç$808), "", 'Data Entry'!$ç$808)</f>
      </c>
      <c r="FL808">
        <f>IF(ISBLANK('Data Entry'!$è$808), "", 'Data Entry'!$è$808)</f>
      </c>
      <c r="FM808">
        <f>IF(ISBLANK('Data Entry'!$é$808), "", 'Data Entry'!$é$808)</f>
      </c>
      <c r="FN808">
        <f>IF(ISBLANK('Data Entry'!$ê$808), "", 'Data Entry'!$ê$808)</f>
      </c>
      <c r="FO808">
        <f>IF(ISBLANK('Data Entry'!$ë$808), "", 'Data Entry'!$ë$808)</f>
      </c>
      <c r="FP808">
        <f>IF(ISBLANK('Data Entry'!$ì$808), "", 'Data Entry'!$ì$808)</f>
      </c>
      <c r="FQ808">
        <f>IF(ISBLANK('Data Entry'!$í$808), "", 'Data Entry'!$í$808)</f>
      </c>
      <c r="FR808">
        <f>IF(ISBLANK('Data Entry'!$î$808), "", 'Data Entry'!$î$808)</f>
      </c>
      <c r="FS808">
        <f>IF(ISBLANK('Data Entry'!$ï$808), "", 'Data Entry'!$ï$808)</f>
      </c>
      <c r="FT808">
        <f>IF(ISBLANK('Data Entry'!$ð$808), "", 'Data Entry'!$ð$808)</f>
      </c>
      <c r="FU808">
        <f>IF(ISBLANK('Data Entry'!$ñ$808), "", 'Data Entry'!$ñ$808)</f>
      </c>
      <c r="FV808">
        <f>IF(ISBLANK('Data Entry'!$ò$808), "", 'Data Entry'!$ò$808)</f>
      </c>
      <c r="FW808">
        <f>IF(ISBLANK('Data Entry'!$ó$808), "", 'Data Entry'!$ó$808)</f>
      </c>
      <c r="FX808">
        <f>IF(ISBLANK('Data Entry'!$ô$808), "", 'Data Entry'!$ô$808)</f>
      </c>
      <c r="FY808">
        <f>IF(ISBLANK('Data Entry'!$õ$808), "", 'Data Entry'!$õ$808)</f>
      </c>
      <c r="FZ808">
        <f>IF(ISBLANK('Data Entry'!$ö$808), "", 'Data Entry'!$ö$808)</f>
      </c>
      <c r="GA808">
        <f>IF(ISBLANK('Data Entry'!$÷$808), "", 'Data Entry'!$÷$808)</f>
      </c>
      <c r="GB808">
        <f>IF(ISBLANK('Data Entry'!$ø$808), "", 'Data Entry'!$ø$808)</f>
      </c>
      <c r="GC808">
        <f>IF(ISBLANK('Data Entry'!$ù$808), "", 'Data Entry'!$ù$808)</f>
      </c>
      <c r="GD808">
        <f>IF(ISBLANK('Data Entry'!$ú$808), "", 'Data Entry'!$ú$808)</f>
      </c>
      <c r="GE808">
        <f>IF(ISBLANK('Data Entry'!$û$808), "", 'Data Entry'!$û$808)</f>
      </c>
      <c r="GF808">
        <f>IF(ISBLANK('Data Entry'!$ü$808), "", 'Data Entry'!$ü$808)</f>
      </c>
      <c r="GG808">
        <f>IF(ISBLANK('Data Entry'!$ý$808), "", 'Data Entry'!$ý$808)</f>
      </c>
      <c r="GH808">
        <f>IF(ISBLANK('Data Entry'!$þ$808), "", 'Data Entry'!$þ$808)</f>
      </c>
      <c r="GI808">
        <f>IF(ISBLANK('Data Entry'!$ÿ$808), "", 'Data Entry'!$ÿ$808)</f>
      </c>
      <c r="GJ808">
        <f>IF(ISBLANK('Data Entry'!$Ā$808), "", 'Data Entry'!$Ā$808)</f>
      </c>
      <c r="GK808">
        <f>IF(ISBLANK('Data Entry'!$ā$808), "", 'Data Entry'!$ā$808)</f>
      </c>
      <c r="GL808">
        <f>IF(ISBLANK('Data Entry'!$Ă$808), "", 'Data Entry'!$Ă$808)</f>
      </c>
      <c r="GM808">
        <f>IF(ISBLANK('Data Entry'!$ă$808), "", 'Data Entry'!$ă$808)</f>
      </c>
      <c r="GN808">
        <f>IF(ISBLANK('Data Entry'!$Ą$808), "", 'Data Entry'!$Ą$808)</f>
      </c>
      <c r="GO808">
        <f>IF(ISBLANK('Data Entry'!$ą$808), "", 'Data Entry'!$ą$808)</f>
      </c>
      <c r="GP808">
        <f>IF(ISBLANK('Data Entry'!$Ć$808), "", 'Data Entry'!$Ć$808)</f>
      </c>
      <c r="GQ808">
        <f>IF(ISBLANK('Data Entry'!$ć$808), "", 'Data Entry'!$ć$808)</f>
      </c>
      <c r="GR808">
        <f>IF(ISBLANK('Data Entry'!$Ĉ$808), "", 'Data Entry'!$Ĉ$808)</f>
      </c>
      <c r="GS808">
        <f>IF(ISBLANK('Data Entry'!$ĉ$808), "", 'Data Entry'!$ĉ$808)</f>
      </c>
      <c r="GT808">
        <f>IF(ISBLANK('Data Entry'!$Ċ$808), "", 'Data Entry'!$Ċ$808)</f>
      </c>
      <c r="GU808">
        <f>IF(ISBLANK('Data Entry'!$ċ$808), "", 'Data Entry'!$ċ$808)</f>
      </c>
      <c r="GV808">
        <f>IF(ISBLANK('Data Entry'!$Č$808), "", 'Data Entry'!$Č$808)</f>
      </c>
      <c r="GW808">
        <f>IF(ISBLANK('Data Entry'!$č$808), "", 'Data Entry'!$č$808)</f>
      </c>
      <c r="GX808">
        <f>IF(ISBLANK('Data Entry'!$Ď$808), "", 'Data Entry'!$Ď$808)</f>
      </c>
      <c r="GY808">
        <f>IF(ISBLANK('Data Entry'!$ď$808), "", 'Data Entry'!$ď$808)</f>
      </c>
      <c r="GZ808">
        <f>IF(ISBLANK('Data Entry'!$Đ$808), "", 'Data Entry'!$Đ$808)</f>
      </c>
      <c r="HA808">
        <f>IF(ISBLANK('Data Entry'!$đ$808), "", 'Data Entry'!$đ$808)</f>
      </c>
      <c r="HB808">
        <f>IF(ISBLANK('Data Entry'!$Ē$808), "", 'Data Entry'!$Ē$808)</f>
      </c>
      <c r="HC808">
        <f>IF(ISBLANK('Data Entry'!$ē$808), "", 'Data Entry'!$ē$808)</f>
      </c>
      <c r="HD808">
        <f>IF(ISBLANK('Data Entry'!$Ĕ$808), "", 'Data Entry'!$Ĕ$808)</f>
      </c>
      <c r="HE808">
        <f>IF(ISBLANK('Data Entry'!$ĕ$808), "", 'Data Entry'!$ĕ$808)</f>
      </c>
      <c r="HF808">
        <f>IF(ISBLANK('Data Entry'!$Ė$808), "", 'Data Entry'!$Ė$808)</f>
      </c>
      <c r="HG808">
        <f>IF(ISBLANK('Data Entry'!$ė$808), "", 'Data Entry'!$ė$808)</f>
      </c>
      <c r="HH808">
        <f>IF(ISBLANK('Data Entry'!$Ę$808), "", 'Data Entry'!$Ę$808)</f>
      </c>
      <c r="HI808">
        <f>IF(ISBLANK('Data Entry'!$ę$808), "", 'Data Entry'!$ę$808)</f>
      </c>
      <c r="HJ808">
        <f>IF(ISBLANK('Data Entry'!$Ě$808), "", 'Data Entry'!$Ě$808)</f>
      </c>
      <c r="HK808">
        <f>IF(ISBLANK('Data Entry'!$ě$808), "", 'Data Entry'!$ě$808)</f>
      </c>
      <c r="HL808">
        <f>IF(ISBLANK('Data Entry'!$Ĝ$808), "", 'Data Entry'!$Ĝ$808)</f>
      </c>
      <c r="HM808">
        <f>IF(ISBLANK('Data Entry'!$ĝ$808), "", 'Data Entry'!$ĝ$808)</f>
      </c>
      <c r="HN808">
        <f>IF(ISBLANK('Data Entry'!$Ğ$808), "", 'Data Entry'!$Ğ$808)</f>
      </c>
      <c r="HO808">
        <f>IF(ISBLANK('Data Entry'!$ğ$808), "", 'Data Entry'!$ğ$808)</f>
      </c>
      <c r="HP808">
        <f>IF(ISBLANK('Data Entry'!$Ġ$808), "", 'Data Entry'!$Ġ$808)</f>
      </c>
      <c r="HQ808">
        <f>IF(ISBLANK('Data Entry'!$ġ$808), "", 'Data Entry'!$ġ$808)</f>
      </c>
      <c r="HR808">
        <f>IF(ISBLANK('Data Entry'!$Ģ$808), "", 'Data Entry'!$Ģ$808)</f>
      </c>
      <c r="HS808">
        <f>IF(ISBLANK('Data Entry'!$ģ$808), "", 'Data Entry'!$ģ$808)</f>
      </c>
      <c r="HT808">
        <f>IF(ISBLANK('Data Entry'!$Ĥ$808), "", 'Data Entry'!$Ĥ$808)</f>
      </c>
      <c r="HU808">
        <f>IF(ISBLANK('Data Entry'!$ĥ$808), "", 'Data Entry'!$ĥ$808)</f>
      </c>
      <c r="HV808">
        <f>IF(ISBLANK('Data Entry'!$Ħ$808), "", 'Data Entry'!$Ħ$808)</f>
      </c>
      <c r="HW808">
        <f>IF(ISBLANK('Data Entry'!$ħ$808), "", 'Data Entry'!$ħ$808)</f>
      </c>
      <c r="HX808">
        <f>IF(ISBLANK('Data Entry'!$Ĩ$808), "", 'Data Entry'!$Ĩ$808)</f>
      </c>
      <c r="HY808">
        <f>IF(ISBLANK('Data Entry'!$ĩ$808), "", 'Data Entry'!$ĩ$808)</f>
      </c>
      <c r="HZ808">
        <f>IF(ISBLANK('Data Entry'!$Ī$808), "", 'Data Entry'!$Ī$808)</f>
      </c>
      <c r="IA808">
        <f>IF(ISBLANK('Data Entry'!$ī$808), "", 'Data Entry'!$ī$808)</f>
      </c>
      <c r="IB808">
        <f>IF(ISBLANK('Data Entry'!$Ĭ$808), "", 'Data Entry'!$Ĭ$808)</f>
      </c>
      <c r="IC808">
        <f>IF(ISBLANK('Data Entry'!$ĭ$808), "", 'Data Entry'!$ĭ$808)</f>
      </c>
      <c r="ID808">
        <f>IF(ISBLANK('Data Entry'!$Į$808), "", 'Data Entry'!$Į$808)</f>
      </c>
      <c r="IE808">
        <f>IF(ISBLANK('Data Entry'!$į$808), "", 'Data Entry'!$į$808)</f>
      </c>
      <c r="IF808">
        <f>IF(ISBLANK('Data Entry'!$İ$808), "", 'Data Entry'!$İ$808)</f>
      </c>
      <c r="IG808">
        <f>IF(ISBLANK('Data Entry'!$ı$808), "", 'Data Entry'!$ı$808)</f>
      </c>
      <c r="IH808">
        <f>IF(ISBLANK('Data Entry'!$Ĳ$808), "", 'Data Entry'!$Ĳ$808)</f>
      </c>
      <c r="II808">
        <f>IF(ISBLANK('Data Entry'!$ĳ$808), "", 'Data Entry'!$ĳ$808)</f>
      </c>
      <c r="IJ808">
        <f>IF(ISBLANK('Data Entry'!$Ĵ$808), "", 'Data Entry'!$Ĵ$808)</f>
      </c>
      <c r="IK808">
        <f>IF(ISBLANK('Data Entry'!$ĵ$808), "", 'Data Entry'!$ĵ$808)</f>
      </c>
      <c r="IL808">
        <f>IF(ISBLANK('Data Entry'!$Ķ$808), "", 'Data Entry'!$Ķ$808)</f>
      </c>
      <c r="IM808">
        <f>IF(ISBLANK('Data Entry'!$ķ$808), "", 'Data Entry'!$ķ$808)</f>
      </c>
      <c r="IN808">
        <f>IF(ISBLANK('Data Entry'!$ĸ$808), "", 'Data Entry'!$ĸ$808)</f>
      </c>
      <c r="IO808">
        <f>IF(ISBLANK('Data Entry'!$Ĺ$808), "", 'Data Entry'!$Ĺ$808)</f>
      </c>
      <c r="IP808">
        <f>IF(ISBLANK('Data Entry'!$ĺ$808), "", 'Data Entry'!$ĺ$808)</f>
      </c>
      <c r="IQ808">
        <f>IF(ISBLANK('Data Entry'!$Ļ$808), "", 'Data Entry'!$Ļ$808)</f>
      </c>
      <c r="IR808">
        <f>IF(ISBLANK('Data Entry'!$ļ$808), "", 'Data Entry'!$ļ$808)</f>
      </c>
      <c r="IS808">
        <f>IF(ISBLANK('Data Entry'!$Ľ$808), "", 'Data Entry'!$Ľ$808)</f>
      </c>
      <c r="IT808">
        <f>IF(ISBLANK('Data Entry'!$ľ$808), "", 'Data Entry'!$ľ$808)</f>
      </c>
    </row>
    <row r="809" spans="1:254" x14ac:dyDescent="0.25">
      <c r="A809">
        <f>IF(ISBLANK('Data Entry'!$A$809), "", 'Data Entry'!$A$809)</f>
      </c>
      <c r="B809">
        <f>IF(ISBLANK('Data Entry'!$B$809), "", 'Data Entry'!$B$809)</f>
      </c>
      <c r="C809">
        <f>IF(ISBLANK('Data Entry'!$C$809), "", 'Data Entry'!$C$809)</f>
      </c>
      <c r="D809">
        <f>IF(ISBLANK('Data Entry'!$D$809), "", 'Data Entry'!$D$809)</f>
      </c>
      <c r="E809">
        <f>IF(ISBLANK('Data Entry'!$E$809), "", 'Data Entry'!$E$809)</f>
      </c>
      <c r="F809">
        <f>IF(ISBLANK('Data Entry'!$F$809), "", 'Data Entry'!$F$809)</f>
      </c>
      <c r="G809">
        <f>IF(ISBLANK('Data Entry'!$G$809), "", 'Data Entry'!$G$809)</f>
      </c>
      <c r="H809">
        <f>IF(ISBLANK('Data Entry'!$H$809), "", 'Data Entry'!$H$809)</f>
      </c>
      <c r="I809">
        <f>IF(ISBLANK('Data Entry'!$I$809), "", 'Data Entry'!$I$809)</f>
      </c>
      <c r="J809">
        <f>IF(ISBLANK('Data Entry'!$J$809), "", 'Data Entry'!$J$809)</f>
      </c>
      <c r="K809">
        <f>IF(ISBLANK('Data Entry'!$K$809), "", 'Data Entry'!$K$809)</f>
      </c>
      <c r="L809">
        <f>IF(ISBLANK('Data Entry'!$L$809), "", 'Data Entry'!$L$809)</f>
      </c>
      <c r="M809">
        <f>IF(ISBLANK('Data Entry'!$M$809), "", 'Data Entry'!$M$809)</f>
      </c>
      <c r="N809">
        <f>IF(ISBLANK('Data Entry'!$N$809), "", 'Data Entry'!$N$809)</f>
      </c>
      <c r="O809">
        <f>IF(ISBLANK('Data Entry'!$O$809), "", 'Data Entry'!$O$809)</f>
      </c>
      <c r="P809">
        <f>IF(ISBLANK('Data Entry'!$P$809), "", 'Data Entry'!$P$809)</f>
      </c>
      <c r="Q809">
        <f>IF(ISBLANK('Data Entry'!$Q$809), "", 'Data Entry'!$Q$809)</f>
      </c>
      <c r="R809">
        <f>IF(ISBLANK('Data Entry'!$R$809), "", 'Data Entry'!$R$809)</f>
      </c>
      <c r="S809">
        <f>IF(ISBLANK('Data Entry'!$S$809), "", 'Data Entry'!$S$809)</f>
      </c>
      <c r="T809">
        <f>IF(ISBLANK('Data Entry'!$T$809), "", 'Data Entry'!$T$809)</f>
      </c>
      <c r="U809">
        <f>IF(ISBLANK('Data Entry'!$U$809), "", 'Data Entry'!$U$809)</f>
      </c>
      <c r="V809">
        <f>IF(ISBLANK('Data Entry'!$V$809), "", 'Data Entry'!$V$809)</f>
      </c>
      <c r="W809">
        <f>IF(ISBLANK('Data Entry'!$W$809), "", 'Data Entry'!$W$809)</f>
      </c>
      <c r="X809">
        <f>IF(ISBLANK('Data Entry'!$X$809), "", 'Data Entry'!$X$809)</f>
      </c>
      <c r="Y809">
        <f>IF(ISBLANK('Data Entry'!$Y$809), "", 'Data Entry'!$Y$809)</f>
      </c>
      <c r="Z809">
        <f>IF(ISBLANK('Data Entry'!$Z$809), "", 'Data Entry'!$Z$809)</f>
      </c>
      <c r="AA809">
        <f>IF(ISBLANK('Data Entry'!$[$809), "", 'Data Entry'!$[$809)</f>
      </c>
      <c r="AB809">
        <f>IF(ISBLANK('Data Entry'!$\$809), "", 'Data Entry'!$\$809)</f>
      </c>
      <c r="AC809">
        <f>IF(ISBLANK('Data Entry'!$]$809), "", 'Data Entry'!$]$809)</f>
      </c>
      <c r="AD809">
        <f>IF(ISBLANK('Data Entry'!$^$809), "", 'Data Entry'!$^$809)</f>
      </c>
      <c r="AE809">
        <f>IF(ISBLANK('Data Entry'!$_$809), "", 'Data Entry'!$_$809)</f>
      </c>
      <c r="AF809">
        <f>IF(ISBLANK('Data Entry'!$`$809), "", 'Data Entry'!$`$809)</f>
      </c>
      <c r="AG809">
        <f>IF(ISBLANK('Data Entry'!$a$809), "", 'Data Entry'!$a$809)</f>
      </c>
      <c r="AH809">
        <f>IF(ISBLANK('Data Entry'!$b$809), "", 'Data Entry'!$b$809)</f>
      </c>
      <c r="AI809">
        <f>IF(ISBLANK('Data Entry'!$c$809), "", 'Data Entry'!$c$809)</f>
      </c>
      <c r="AJ809">
        <f>IF(ISBLANK('Data Entry'!$d$809), "", 'Data Entry'!$d$809)</f>
      </c>
      <c r="AK809">
        <f>IF(ISBLANK('Data Entry'!$e$809), "", 'Data Entry'!$e$809)</f>
      </c>
      <c r="AL809">
        <f>IF(ISBLANK('Data Entry'!$f$809), "", 'Data Entry'!$f$809)</f>
      </c>
      <c r="AM809">
        <f>IF(ISBLANK('Data Entry'!$g$809), "", 'Data Entry'!$g$809)</f>
      </c>
      <c r="AN809">
        <f>IF(ISBLANK('Data Entry'!$h$809), "", 'Data Entry'!$h$809)</f>
      </c>
      <c r="AO809">
        <f>IF(ISBLANK('Data Entry'!$i$809), "", 'Data Entry'!$i$809)</f>
      </c>
      <c r="AP809">
        <f>IF(ISBLANK('Data Entry'!$j$809), "", 'Data Entry'!$j$809)</f>
      </c>
      <c r="AQ809">
        <f>IF(ISBLANK('Data Entry'!$k$809), "", 'Data Entry'!$k$809)</f>
      </c>
      <c r="AR809">
        <f>IF(ISBLANK('Data Entry'!$l$809), "", 'Data Entry'!$l$809)</f>
      </c>
      <c r="AS809">
        <f>IF(ISBLANK('Data Entry'!$m$809), "", 'Data Entry'!$m$809)</f>
      </c>
      <c r="AT809">
        <f>IF(ISBLANK('Data Entry'!$n$809), "", 'Data Entry'!$n$809)</f>
      </c>
      <c r="AU809">
        <f>IF(ISBLANK('Data Entry'!$o$809), "", 'Data Entry'!$o$809)</f>
      </c>
      <c r="AV809">
        <f>IF(ISBLANK('Data Entry'!$p$809), "", 'Data Entry'!$p$809)</f>
      </c>
      <c r="AW809">
        <f>IF(ISBLANK('Data Entry'!$q$809), "", 'Data Entry'!$q$809)</f>
      </c>
      <c r="AX809">
        <f>IF(ISBLANK('Data Entry'!$r$809), "", 'Data Entry'!$r$809)</f>
      </c>
      <c r="AY809">
        <f>IF(ISBLANK('Data Entry'!$s$809), "", 'Data Entry'!$s$809)</f>
      </c>
      <c r="AZ809">
        <f>IF(ISBLANK('Data Entry'!$t$809), "", 'Data Entry'!$t$809)</f>
      </c>
      <c r="BA809">
        <f>IF(ISBLANK('Data Entry'!$u$809), "", 'Data Entry'!$u$809)</f>
      </c>
      <c r="BB809">
        <f>IF(ISBLANK('Data Entry'!$v$809), "", 'Data Entry'!$v$809)</f>
      </c>
      <c r="BC809">
        <f>IF(ISBLANK('Data Entry'!$w$809), "", 'Data Entry'!$w$809)</f>
      </c>
      <c r="BD809">
        <f>IF(ISBLANK('Data Entry'!$x$809), "", 'Data Entry'!$x$809)</f>
      </c>
      <c r="BE809">
        <f>IF(ISBLANK('Data Entry'!$y$809), "", 'Data Entry'!$y$809)</f>
      </c>
      <c r="BF809">
        <f>IF(ISBLANK('Data Entry'!$z$809), "", 'Data Entry'!$z$809)</f>
      </c>
      <c r="BG809">
        <f>IF(ISBLANK('Data Entry'!${$809), "", 'Data Entry'!${$809)</f>
      </c>
      <c r="BH809">
        <f>IF(ISBLANK('Data Entry'!$|$809), "", 'Data Entry'!$|$809)</f>
      </c>
      <c r="BI809">
        <f>IF(ISBLANK('Data Entry'!$}$809), "", 'Data Entry'!$}$809)</f>
      </c>
      <c r="BJ809">
        <f>IF(ISBLANK('Data Entry'!$~$809), "", 'Data Entry'!$~$809)</f>
      </c>
      <c r="BK809">
        <f>IF(ISBLANK('Data Entry'!$$809), "", 'Data Entry'!$$809)</f>
      </c>
      <c r="BL809">
        <f>IF(ISBLANK('Data Entry'!$$809), "", 'Data Entry'!$$809)</f>
      </c>
      <c r="BM809">
        <f>IF(ISBLANK('Data Entry'!$$809), "", 'Data Entry'!$$809)</f>
      </c>
      <c r="BN809">
        <f>IF(ISBLANK('Data Entry'!$$809), "", 'Data Entry'!$$809)</f>
      </c>
      <c r="BO809">
        <f>IF(ISBLANK('Data Entry'!$$809), "", 'Data Entry'!$$809)</f>
      </c>
      <c r="BP809">
        <f>IF(ISBLANK('Data Entry'!$$809), "", 'Data Entry'!$$809)</f>
      </c>
      <c r="BQ809">
        <f>IF(ISBLANK('Data Entry'!$$809), "", 'Data Entry'!$$809)</f>
      </c>
      <c r="BR809">
        <f>IF(ISBLANK('Data Entry'!$$809), "", 'Data Entry'!$$809)</f>
      </c>
      <c r="BS809">
        <f>IF(ISBLANK('Data Entry'!$$809), "", 'Data Entry'!$$809)</f>
      </c>
      <c r="BT809">
        <f>IF(ISBLANK('Data Entry'!$$809), "", 'Data Entry'!$$809)</f>
      </c>
      <c r="BU809">
        <f>IF(ISBLANK('Data Entry'!$$809), "", 'Data Entry'!$$809)</f>
      </c>
      <c r="BV809">
        <f>IF(ISBLANK('Data Entry'!$$809), "", 'Data Entry'!$$809)</f>
      </c>
      <c r="BW809">
        <f>IF(ISBLANK('Data Entry'!$$809), "", 'Data Entry'!$$809)</f>
      </c>
      <c r="BX809">
        <f>IF(ISBLANK('Data Entry'!$$809), "", 'Data Entry'!$$809)</f>
      </c>
      <c r="BY809">
        <f>IF(ISBLANK('Data Entry'!$$809), "", 'Data Entry'!$$809)</f>
      </c>
      <c r="BZ809">
        <f>IF(ISBLANK('Data Entry'!$$809), "", 'Data Entry'!$$809)</f>
      </c>
      <c r="CA809">
        <f>IF(ISBLANK('Data Entry'!$$809), "", 'Data Entry'!$$809)</f>
      </c>
      <c r="CB809">
        <f>IF(ISBLANK('Data Entry'!$$809), "", 'Data Entry'!$$809)</f>
      </c>
      <c r="CC809">
        <f>IF(ISBLANK('Data Entry'!$$809), "", 'Data Entry'!$$809)</f>
      </c>
      <c r="CD809">
        <f>IF(ISBLANK('Data Entry'!$$809), "", 'Data Entry'!$$809)</f>
      </c>
      <c r="CE809">
        <f>IF(ISBLANK('Data Entry'!$$809), "", 'Data Entry'!$$809)</f>
      </c>
      <c r="CF809">
        <f>IF(ISBLANK('Data Entry'!$$809), "", 'Data Entry'!$$809)</f>
      </c>
      <c r="CG809">
        <f>IF(ISBLANK('Data Entry'!$$809), "", 'Data Entry'!$$809)</f>
      </c>
      <c r="CH809">
        <f>IF(ISBLANK('Data Entry'!$$809), "", 'Data Entry'!$$809)</f>
      </c>
      <c r="CI809">
        <f>IF(ISBLANK('Data Entry'!$$809), "", 'Data Entry'!$$809)</f>
      </c>
      <c r="CJ809">
        <f>IF(ISBLANK('Data Entry'!$$809), "", 'Data Entry'!$$809)</f>
      </c>
      <c r="CK809">
        <f>IF(ISBLANK('Data Entry'!$$809), "", 'Data Entry'!$$809)</f>
      </c>
      <c r="CL809">
        <f>IF(ISBLANK('Data Entry'!$$809), "", 'Data Entry'!$$809)</f>
      </c>
      <c r="CM809">
        <f>IF(ISBLANK('Data Entry'!$$809), "", 'Data Entry'!$$809)</f>
      </c>
      <c r="CN809">
        <f>IF(ISBLANK('Data Entry'!$$809), "", 'Data Entry'!$$809)</f>
      </c>
      <c r="CO809">
        <f>IF(ISBLANK('Data Entry'!$$809), "", 'Data Entry'!$$809)</f>
      </c>
      <c r="CP809">
        <f>IF(ISBLANK('Data Entry'!$$809), "", 'Data Entry'!$$809)</f>
      </c>
      <c r="CQ809">
        <f>IF(ISBLANK('Data Entry'!$$809), "", 'Data Entry'!$$809)</f>
      </c>
      <c r="CR809">
        <f>IF(ISBLANK('Data Entry'!$ $809), "", 'Data Entry'!$ $809)</f>
      </c>
      <c r="CS809">
        <f>IF(ISBLANK('Data Entry'!$¡$809), "", 'Data Entry'!$¡$809)</f>
      </c>
      <c r="CT809">
        <f>IF(ISBLANK('Data Entry'!$¢$809), "", 'Data Entry'!$¢$809)</f>
      </c>
      <c r="CU809">
        <f>IF(ISBLANK('Data Entry'!$£$809), "", 'Data Entry'!$£$809)</f>
      </c>
      <c r="CV809">
        <f>IF(ISBLANK('Data Entry'!$¤$809), "", 'Data Entry'!$¤$809)</f>
      </c>
      <c r="CW809">
        <f>IF(ISBLANK('Data Entry'!$¥$809), "", 'Data Entry'!$¥$809)</f>
      </c>
      <c r="CX809">
        <f>IF(ISBLANK('Data Entry'!$¦$809), "", 'Data Entry'!$¦$809)</f>
      </c>
      <c r="CY809">
        <f>IF(ISBLANK('Data Entry'!$§$809), "", 'Data Entry'!$§$809)</f>
      </c>
      <c r="CZ809">
        <f>IF(ISBLANK('Data Entry'!$¨$809), "", 'Data Entry'!$¨$809)</f>
      </c>
      <c r="DA809">
        <f>IF(ISBLANK('Data Entry'!$©$809), "", 'Data Entry'!$©$809)</f>
      </c>
      <c r="DB809">
        <f>IF(ISBLANK('Data Entry'!$ª$809), "", 'Data Entry'!$ª$809)</f>
      </c>
      <c r="DC809">
        <f>IF(ISBLANK('Data Entry'!$«$809), "", 'Data Entry'!$«$809)</f>
      </c>
      <c r="DD809">
        <f>IF(ISBLANK('Data Entry'!$¬$809), "", 'Data Entry'!$¬$809)</f>
      </c>
      <c r="DE809">
        <f>IF(ISBLANK('Data Entry'!$­$809), "", 'Data Entry'!$­$809)</f>
      </c>
      <c r="DF809">
        <f>IF(ISBLANK('Data Entry'!$®$809), "", 'Data Entry'!$®$809)</f>
      </c>
      <c r="DG809">
        <f>IF(ISBLANK('Data Entry'!$¯$809), "", 'Data Entry'!$¯$809)</f>
      </c>
      <c r="DH809">
        <f>IF(ISBLANK('Data Entry'!$°$809), "", 'Data Entry'!$°$809)</f>
      </c>
      <c r="DI809">
        <f>IF(ISBLANK('Data Entry'!$±$809), "", 'Data Entry'!$±$809)</f>
      </c>
      <c r="DJ809">
        <f>IF(ISBLANK('Data Entry'!$²$809), "", 'Data Entry'!$²$809)</f>
      </c>
      <c r="DK809">
        <f>IF(ISBLANK('Data Entry'!$³$809), "", 'Data Entry'!$³$809)</f>
      </c>
      <c r="DL809">
        <f>IF(ISBLANK('Data Entry'!$´$809), "", 'Data Entry'!$´$809)</f>
      </c>
      <c r="DM809">
        <f>IF(ISBLANK('Data Entry'!$µ$809), "", 'Data Entry'!$µ$809)</f>
      </c>
      <c r="DN809">
        <f>IF(ISBLANK('Data Entry'!$¶$809), "", 'Data Entry'!$¶$809)</f>
      </c>
      <c r="DO809">
        <f>IF(ISBLANK('Data Entry'!$·$809), "", 'Data Entry'!$·$809)</f>
      </c>
      <c r="DP809">
        <f>IF(ISBLANK('Data Entry'!$¸$809), "", 'Data Entry'!$¸$809)</f>
      </c>
      <c r="DQ809">
        <f>IF(ISBLANK('Data Entry'!$¹$809), "", 'Data Entry'!$¹$809)</f>
      </c>
      <c r="DR809">
        <f>IF(ISBLANK('Data Entry'!$º$809), "", 'Data Entry'!$º$809)</f>
      </c>
      <c r="DS809">
        <f>IF(ISBLANK('Data Entry'!$»$809), "", 'Data Entry'!$»$809)</f>
      </c>
      <c r="DT809">
        <f>IF(ISBLANK('Data Entry'!$¼$809), "", 'Data Entry'!$¼$809)</f>
      </c>
      <c r="DU809">
        <f>IF(ISBLANK('Data Entry'!$½$809), "", 'Data Entry'!$½$809)</f>
      </c>
      <c r="DV809">
        <f>IF(ISBLANK('Data Entry'!$¾$809), "", 'Data Entry'!$¾$809)</f>
      </c>
      <c r="DW809">
        <f>IF(ISBLANK('Data Entry'!$¿$809), "", 'Data Entry'!$¿$809)</f>
      </c>
      <c r="DX809">
        <f>IF(ISBLANK('Data Entry'!$À$809), "", 'Data Entry'!$À$809)</f>
      </c>
      <c r="DY809">
        <f>IF(ISBLANK('Data Entry'!$Á$809), "", 'Data Entry'!$Á$809)</f>
      </c>
      <c r="DZ809">
        <f>IF(ISBLANK('Data Entry'!$Â$809), "", 'Data Entry'!$Â$809)</f>
      </c>
      <c r="EA809">
        <f>IF(ISBLANK('Data Entry'!$Ã$809), "", 'Data Entry'!$Ã$809)</f>
      </c>
      <c r="EB809">
        <f>IF(ISBLANK('Data Entry'!$Ä$809), "", 'Data Entry'!$Ä$809)</f>
      </c>
      <c r="EC809">
        <f>IF(ISBLANK('Data Entry'!$Å$809), "", 'Data Entry'!$Å$809)</f>
      </c>
      <c r="ED809">
        <f>IF(ISBLANK('Data Entry'!$Æ$809), "", 'Data Entry'!$Æ$809)</f>
      </c>
      <c r="EE809">
        <f>IF(ISBLANK('Data Entry'!$Ç$809), "", 'Data Entry'!$Ç$809)</f>
      </c>
      <c r="EF809">
        <f>IF(ISBLANK('Data Entry'!$È$809), "", 'Data Entry'!$È$809)</f>
      </c>
      <c r="EG809">
        <f>IF(ISBLANK('Data Entry'!$É$809), "", 'Data Entry'!$É$809)</f>
      </c>
      <c r="EH809">
        <f>IF(ISBLANK('Data Entry'!$Ê$809), "", 'Data Entry'!$Ê$809)</f>
      </c>
      <c r="EI809">
        <f>IF(ISBLANK('Data Entry'!$Ë$809), "", 'Data Entry'!$Ë$809)</f>
      </c>
      <c r="EJ809">
        <f>IF(ISBLANK('Data Entry'!$Ì$809), "", 'Data Entry'!$Ì$809)</f>
      </c>
      <c r="EK809">
        <f>IF(ISBLANK('Data Entry'!$Í$809), "", 'Data Entry'!$Í$809)</f>
      </c>
      <c r="EL809">
        <f>IF(ISBLANK('Data Entry'!$Î$809), "", 'Data Entry'!$Î$809)</f>
      </c>
      <c r="EM809">
        <f>IF(ISBLANK('Data Entry'!$Ï$809), "", 'Data Entry'!$Ï$809)</f>
      </c>
      <c r="EN809">
        <f>IF(ISBLANK('Data Entry'!$Ð$809), "", 'Data Entry'!$Ð$809)</f>
      </c>
      <c r="EO809">
        <f>IF(ISBLANK('Data Entry'!$Ñ$809), "", 'Data Entry'!$Ñ$809)</f>
      </c>
      <c r="EP809">
        <f>IF(ISBLANK('Data Entry'!$Ò$809), "", 'Data Entry'!$Ò$809)</f>
      </c>
      <c r="EQ809">
        <f>IF(ISBLANK('Data Entry'!$Ó$809), "", 'Data Entry'!$Ó$809)</f>
      </c>
      <c r="ER809">
        <f>IF(ISBLANK('Data Entry'!$Ô$809), "", 'Data Entry'!$Ô$809)</f>
      </c>
      <c r="ES809">
        <f>IF(ISBLANK('Data Entry'!$Õ$809), "", 'Data Entry'!$Õ$809)</f>
      </c>
      <c r="ET809">
        <f>IF(ISBLANK('Data Entry'!$Ö$809), "", 'Data Entry'!$Ö$809)</f>
      </c>
      <c r="EU809">
        <f>IF(ISBLANK('Data Entry'!$×$809), "", 'Data Entry'!$×$809)</f>
      </c>
      <c r="EV809">
        <f>IF(ISBLANK('Data Entry'!$Ø$809), "", 'Data Entry'!$Ø$809)</f>
      </c>
      <c r="EW809">
        <f>IF(ISBLANK('Data Entry'!$Ù$809), "", 'Data Entry'!$Ù$809)</f>
      </c>
      <c r="EX809">
        <f>IF(ISBLANK('Data Entry'!$Ú$809), "", 'Data Entry'!$Ú$809)</f>
      </c>
      <c r="EY809">
        <f>IF(ISBLANK('Data Entry'!$Û$809), "", 'Data Entry'!$Û$809)</f>
      </c>
      <c r="EZ809">
        <f>IF(ISBLANK('Data Entry'!$Ü$809), "", 'Data Entry'!$Ü$809)</f>
      </c>
      <c r="FA809">
        <f>IF(ISBLANK('Data Entry'!$Ý$809), "", 'Data Entry'!$Ý$809)</f>
      </c>
      <c r="FB809">
        <f>IF(ISBLANK('Data Entry'!$Þ$809), "", 'Data Entry'!$Þ$809)</f>
      </c>
      <c r="FC809">
        <f>IF(ISBLANK('Data Entry'!$ß$809), "", 'Data Entry'!$ß$809)</f>
      </c>
      <c r="FD809">
        <f>IF(ISBLANK('Data Entry'!$à$809), "", 'Data Entry'!$à$809)</f>
      </c>
      <c r="FE809">
        <f>IF(ISBLANK('Data Entry'!$á$809), "", 'Data Entry'!$á$809)</f>
      </c>
      <c r="FF809">
        <f>IF(ISBLANK('Data Entry'!$â$809), "", 'Data Entry'!$â$809)</f>
      </c>
      <c r="FG809">
        <f>IF(ISBLANK('Data Entry'!$ã$809), "", 'Data Entry'!$ã$809)</f>
      </c>
      <c r="FH809">
        <f>IF(ISBLANK('Data Entry'!$ä$809), "", 'Data Entry'!$ä$809)</f>
      </c>
      <c r="FI809">
        <f>IF(ISBLANK('Data Entry'!$å$809), "", 'Data Entry'!$å$809)</f>
      </c>
      <c r="FJ809">
        <f>IF(ISBLANK('Data Entry'!$æ$809), "", 'Data Entry'!$æ$809)</f>
      </c>
      <c r="FK809">
        <f>IF(ISBLANK('Data Entry'!$ç$809), "", 'Data Entry'!$ç$809)</f>
      </c>
      <c r="FL809">
        <f>IF(ISBLANK('Data Entry'!$è$809), "", 'Data Entry'!$è$809)</f>
      </c>
      <c r="FM809">
        <f>IF(ISBLANK('Data Entry'!$é$809), "", 'Data Entry'!$é$809)</f>
      </c>
      <c r="FN809">
        <f>IF(ISBLANK('Data Entry'!$ê$809), "", 'Data Entry'!$ê$809)</f>
      </c>
      <c r="FO809">
        <f>IF(ISBLANK('Data Entry'!$ë$809), "", 'Data Entry'!$ë$809)</f>
      </c>
      <c r="FP809">
        <f>IF(ISBLANK('Data Entry'!$ì$809), "", 'Data Entry'!$ì$809)</f>
      </c>
      <c r="FQ809">
        <f>IF(ISBLANK('Data Entry'!$í$809), "", 'Data Entry'!$í$809)</f>
      </c>
      <c r="FR809">
        <f>IF(ISBLANK('Data Entry'!$î$809), "", 'Data Entry'!$î$809)</f>
      </c>
      <c r="FS809">
        <f>IF(ISBLANK('Data Entry'!$ï$809), "", 'Data Entry'!$ï$809)</f>
      </c>
      <c r="FT809">
        <f>IF(ISBLANK('Data Entry'!$ð$809), "", 'Data Entry'!$ð$809)</f>
      </c>
      <c r="FU809">
        <f>IF(ISBLANK('Data Entry'!$ñ$809), "", 'Data Entry'!$ñ$809)</f>
      </c>
      <c r="FV809">
        <f>IF(ISBLANK('Data Entry'!$ò$809), "", 'Data Entry'!$ò$809)</f>
      </c>
      <c r="FW809">
        <f>IF(ISBLANK('Data Entry'!$ó$809), "", 'Data Entry'!$ó$809)</f>
      </c>
      <c r="FX809">
        <f>IF(ISBLANK('Data Entry'!$ô$809), "", 'Data Entry'!$ô$809)</f>
      </c>
      <c r="FY809">
        <f>IF(ISBLANK('Data Entry'!$õ$809), "", 'Data Entry'!$õ$809)</f>
      </c>
      <c r="FZ809">
        <f>IF(ISBLANK('Data Entry'!$ö$809), "", 'Data Entry'!$ö$809)</f>
      </c>
      <c r="GA809">
        <f>IF(ISBLANK('Data Entry'!$÷$809), "", 'Data Entry'!$÷$809)</f>
      </c>
      <c r="GB809">
        <f>IF(ISBLANK('Data Entry'!$ø$809), "", 'Data Entry'!$ø$809)</f>
      </c>
      <c r="GC809">
        <f>IF(ISBLANK('Data Entry'!$ù$809), "", 'Data Entry'!$ù$809)</f>
      </c>
      <c r="GD809">
        <f>IF(ISBLANK('Data Entry'!$ú$809), "", 'Data Entry'!$ú$809)</f>
      </c>
      <c r="GE809">
        <f>IF(ISBLANK('Data Entry'!$û$809), "", 'Data Entry'!$û$809)</f>
      </c>
      <c r="GF809">
        <f>IF(ISBLANK('Data Entry'!$ü$809), "", 'Data Entry'!$ü$809)</f>
      </c>
      <c r="GG809">
        <f>IF(ISBLANK('Data Entry'!$ý$809), "", 'Data Entry'!$ý$809)</f>
      </c>
      <c r="GH809">
        <f>IF(ISBLANK('Data Entry'!$þ$809), "", 'Data Entry'!$þ$809)</f>
      </c>
      <c r="GI809">
        <f>IF(ISBLANK('Data Entry'!$ÿ$809), "", 'Data Entry'!$ÿ$809)</f>
      </c>
      <c r="GJ809">
        <f>IF(ISBLANK('Data Entry'!$Ā$809), "", 'Data Entry'!$Ā$809)</f>
      </c>
      <c r="GK809">
        <f>IF(ISBLANK('Data Entry'!$ā$809), "", 'Data Entry'!$ā$809)</f>
      </c>
      <c r="GL809">
        <f>IF(ISBLANK('Data Entry'!$Ă$809), "", 'Data Entry'!$Ă$809)</f>
      </c>
      <c r="GM809">
        <f>IF(ISBLANK('Data Entry'!$ă$809), "", 'Data Entry'!$ă$809)</f>
      </c>
      <c r="GN809">
        <f>IF(ISBLANK('Data Entry'!$Ą$809), "", 'Data Entry'!$Ą$809)</f>
      </c>
      <c r="GO809">
        <f>IF(ISBLANK('Data Entry'!$ą$809), "", 'Data Entry'!$ą$809)</f>
      </c>
      <c r="GP809">
        <f>IF(ISBLANK('Data Entry'!$Ć$809), "", 'Data Entry'!$Ć$809)</f>
      </c>
      <c r="GQ809">
        <f>IF(ISBLANK('Data Entry'!$ć$809), "", 'Data Entry'!$ć$809)</f>
      </c>
      <c r="GR809">
        <f>IF(ISBLANK('Data Entry'!$Ĉ$809), "", 'Data Entry'!$Ĉ$809)</f>
      </c>
      <c r="GS809">
        <f>IF(ISBLANK('Data Entry'!$ĉ$809), "", 'Data Entry'!$ĉ$809)</f>
      </c>
      <c r="GT809">
        <f>IF(ISBLANK('Data Entry'!$Ċ$809), "", 'Data Entry'!$Ċ$809)</f>
      </c>
      <c r="GU809">
        <f>IF(ISBLANK('Data Entry'!$ċ$809), "", 'Data Entry'!$ċ$809)</f>
      </c>
      <c r="GV809">
        <f>IF(ISBLANK('Data Entry'!$Č$809), "", 'Data Entry'!$Č$809)</f>
      </c>
      <c r="GW809">
        <f>IF(ISBLANK('Data Entry'!$č$809), "", 'Data Entry'!$č$809)</f>
      </c>
      <c r="GX809">
        <f>IF(ISBLANK('Data Entry'!$Ď$809), "", 'Data Entry'!$Ď$809)</f>
      </c>
      <c r="GY809">
        <f>IF(ISBLANK('Data Entry'!$ď$809), "", 'Data Entry'!$ď$809)</f>
      </c>
      <c r="GZ809">
        <f>IF(ISBLANK('Data Entry'!$Đ$809), "", 'Data Entry'!$Đ$809)</f>
      </c>
      <c r="HA809">
        <f>IF(ISBLANK('Data Entry'!$đ$809), "", 'Data Entry'!$đ$809)</f>
      </c>
      <c r="HB809">
        <f>IF(ISBLANK('Data Entry'!$Ē$809), "", 'Data Entry'!$Ē$809)</f>
      </c>
      <c r="HC809">
        <f>IF(ISBLANK('Data Entry'!$ē$809), "", 'Data Entry'!$ē$809)</f>
      </c>
      <c r="HD809">
        <f>IF(ISBLANK('Data Entry'!$Ĕ$809), "", 'Data Entry'!$Ĕ$809)</f>
      </c>
      <c r="HE809">
        <f>IF(ISBLANK('Data Entry'!$ĕ$809), "", 'Data Entry'!$ĕ$809)</f>
      </c>
      <c r="HF809">
        <f>IF(ISBLANK('Data Entry'!$Ė$809), "", 'Data Entry'!$Ė$809)</f>
      </c>
      <c r="HG809">
        <f>IF(ISBLANK('Data Entry'!$ė$809), "", 'Data Entry'!$ė$809)</f>
      </c>
      <c r="HH809">
        <f>IF(ISBLANK('Data Entry'!$Ę$809), "", 'Data Entry'!$Ę$809)</f>
      </c>
      <c r="HI809">
        <f>IF(ISBLANK('Data Entry'!$ę$809), "", 'Data Entry'!$ę$809)</f>
      </c>
      <c r="HJ809">
        <f>IF(ISBLANK('Data Entry'!$Ě$809), "", 'Data Entry'!$Ě$809)</f>
      </c>
      <c r="HK809">
        <f>IF(ISBLANK('Data Entry'!$ě$809), "", 'Data Entry'!$ě$809)</f>
      </c>
      <c r="HL809">
        <f>IF(ISBLANK('Data Entry'!$Ĝ$809), "", 'Data Entry'!$Ĝ$809)</f>
      </c>
      <c r="HM809">
        <f>IF(ISBLANK('Data Entry'!$ĝ$809), "", 'Data Entry'!$ĝ$809)</f>
      </c>
      <c r="HN809">
        <f>IF(ISBLANK('Data Entry'!$Ğ$809), "", 'Data Entry'!$Ğ$809)</f>
      </c>
      <c r="HO809">
        <f>IF(ISBLANK('Data Entry'!$ğ$809), "", 'Data Entry'!$ğ$809)</f>
      </c>
      <c r="HP809">
        <f>IF(ISBLANK('Data Entry'!$Ġ$809), "", 'Data Entry'!$Ġ$809)</f>
      </c>
      <c r="HQ809">
        <f>IF(ISBLANK('Data Entry'!$ġ$809), "", 'Data Entry'!$ġ$809)</f>
      </c>
      <c r="HR809">
        <f>IF(ISBLANK('Data Entry'!$Ģ$809), "", 'Data Entry'!$Ģ$809)</f>
      </c>
      <c r="HS809">
        <f>IF(ISBLANK('Data Entry'!$ģ$809), "", 'Data Entry'!$ģ$809)</f>
      </c>
      <c r="HT809">
        <f>IF(ISBLANK('Data Entry'!$Ĥ$809), "", 'Data Entry'!$Ĥ$809)</f>
      </c>
      <c r="HU809">
        <f>IF(ISBLANK('Data Entry'!$ĥ$809), "", 'Data Entry'!$ĥ$809)</f>
      </c>
      <c r="HV809">
        <f>IF(ISBLANK('Data Entry'!$Ħ$809), "", 'Data Entry'!$Ħ$809)</f>
      </c>
      <c r="HW809">
        <f>IF(ISBLANK('Data Entry'!$ħ$809), "", 'Data Entry'!$ħ$809)</f>
      </c>
      <c r="HX809">
        <f>IF(ISBLANK('Data Entry'!$Ĩ$809), "", 'Data Entry'!$Ĩ$809)</f>
      </c>
      <c r="HY809">
        <f>IF(ISBLANK('Data Entry'!$ĩ$809), "", 'Data Entry'!$ĩ$809)</f>
      </c>
      <c r="HZ809">
        <f>IF(ISBLANK('Data Entry'!$Ī$809), "", 'Data Entry'!$Ī$809)</f>
      </c>
      <c r="IA809">
        <f>IF(ISBLANK('Data Entry'!$ī$809), "", 'Data Entry'!$ī$809)</f>
      </c>
      <c r="IB809">
        <f>IF(ISBLANK('Data Entry'!$Ĭ$809), "", 'Data Entry'!$Ĭ$809)</f>
      </c>
      <c r="IC809">
        <f>IF(ISBLANK('Data Entry'!$ĭ$809), "", 'Data Entry'!$ĭ$809)</f>
      </c>
      <c r="ID809">
        <f>IF(ISBLANK('Data Entry'!$Į$809), "", 'Data Entry'!$Į$809)</f>
      </c>
      <c r="IE809">
        <f>IF(ISBLANK('Data Entry'!$į$809), "", 'Data Entry'!$į$809)</f>
      </c>
      <c r="IF809">
        <f>IF(ISBLANK('Data Entry'!$İ$809), "", 'Data Entry'!$İ$809)</f>
      </c>
      <c r="IG809">
        <f>IF(ISBLANK('Data Entry'!$ı$809), "", 'Data Entry'!$ı$809)</f>
      </c>
      <c r="IH809">
        <f>IF(ISBLANK('Data Entry'!$Ĳ$809), "", 'Data Entry'!$Ĳ$809)</f>
      </c>
      <c r="II809">
        <f>IF(ISBLANK('Data Entry'!$ĳ$809), "", 'Data Entry'!$ĳ$809)</f>
      </c>
      <c r="IJ809">
        <f>IF(ISBLANK('Data Entry'!$Ĵ$809), "", 'Data Entry'!$Ĵ$809)</f>
      </c>
      <c r="IK809">
        <f>IF(ISBLANK('Data Entry'!$ĵ$809), "", 'Data Entry'!$ĵ$809)</f>
      </c>
      <c r="IL809">
        <f>IF(ISBLANK('Data Entry'!$Ķ$809), "", 'Data Entry'!$Ķ$809)</f>
      </c>
      <c r="IM809">
        <f>IF(ISBLANK('Data Entry'!$ķ$809), "", 'Data Entry'!$ķ$809)</f>
      </c>
      <c r="IN809">
        <f>IF(ISBLANK('Data Entry'!$ĸ$809), "", 'Data Entry'!$ĸ$809)</f>
      </c>
      <c r="IO809">
        <f>IF(ISBLANK('Data Entry'!$Ĺ$809), "", 'Data Entry'!$Ĺ$809)</f>
      </c>
      <c r="IP809">
        <f>IF(ISBLANK('Data Entry'!$ĺ$809), "", 'Data Entry'!$ĺ$809)</f>
      </c>
      <c r="IQ809">
        <f>IF(ISBLANK('Data Entry'!$Ļ$809), "", 'Data Entry'!$Ļ$809)</f>
      </c>
      <c r="IR809">
        <f>IF(ISBLANK('Data Entry'!$ļ$809), "", 'Data Entry'!$ļ$809)</f>
      </c>
      <c r="IS809">
        <f>IF(ISBLANK('Data Entry'!$Ľ$809), "", 'Data Entry'!$Ľ$809)</f>
      </c>
      <c r="IT809">
        <f>IF(ISBLANK('Data Entry'!$ľ$809), "", 'Data Entry'!$ľ$809)</f>
      </c>
    </row>
    <row r="810" spans="1:254" x14ac:dyDescent="0.25">
      <c r="A810">
        <f>IF(ISBLANK('Data Entry'!$A$810), "", 'Data Entry'!$A$810)</f>
      </c>
      <c r="B810">
        <f>IF(ISBLANK('Data Entry'!$B$810), "", 'Data Entry'!$B$810)</f>
      </c>
      <c r="C810">
        <f>IF(ISBLANK('Data Entry'!$C$810), "", 'Data Entry'!$C$810)</f>
      </c>
      <c r="D810">
        <f>IF(ISBLANK('Data Entry'!$D$810), "", 'Data Entry'!$D$810)</f>
      </c>
      <c r="E810">
        <f>IF(ISBLANK('Data Entry'!$E$810), "", 'Data Entry'!$E$810)</f>
      </c>
      <c r="F810">
        <f>IF(ISBLANK('Data Entry'!$F$810), "", 'Data Entry'!$F$810)</f>
      </c>
      <c r="G810">
        <f>IF(ISBLANK('Data Entry'!$G$810), "", 'Data Entry'!$G$810)</f>
      </c>
      <c r="H810">
        <f>IF(ISBLANK('Data Entry'!$H$810), "", 'Data Entry'!$H$810)</f>
      </c>
      <c r="I810">
        <f>IF(ISBLANK('Data Entry'!$I$810), "", 'Data Entry'!$I$810)</f>
      </c>
      <c r="J810">
        <f>IF(ISBLANK('Data Entry'!$J$810), "", 'Data Entry'!$J$810)</f>
      </c>
      <c r="K810">
        <f>IF(ISBLANK('Data Entry'!$K$810), "", 'Data Entry'!$K$810)</f>
      </c>
      <c r="L810">
        <f>IF(ISBLANK('Data Entry'!$L$810), "", 'Data Entry'!$L$810)</f>
      </c>
      <c r="M810">
        <f>IF(ISBLANK('Data Entry'!$M$810), "", 'Data Entry'!$M$810)</f>
      </c>
      <c r="N810">
        <f>IF(ISBLANK('Data Entry'!$N$810), "", 'Data Entry'!$N$810)</f>
      </c>
      <c r="O810">
        <f>IF(ISBLANK('Data Entry'!$O$810), "", 'Data Entry'!$O$810)</f>
      </c>
      <c r="P810">
        <f>IF(ISBLANK('Data Entry'!$P$810), "", 'Data Entry'!$P$810)</f>
      </c>
      <c r="Q810">
        <f>IF(ISBLANK('Data Entry'!$Q$810), "", 'Data Entry'!$Q$810)</f>
      </c>
      <c r="R810">
        <f>IF(ISBLANK('Data Entry'!$R$810), "", 'Data Entry'!$R$810)</f>
      </c>
      <c r="S810">
        <f>IF(ISBLANK('Data Entry'!$S$810), "", 'Data Entry'!$S$810)</f>
      </c>
      <c r="T810">
        <f>IF(ISBLANK('Data Entry'!$T$810), "", 'Data Entry'!$T$810)</f>
      </c>
      <c r="U810">
        <f>IF(ISBLANK('Data Entry'!$U$810), "", 'Data Entry'!$U$810)</f>
      </c>
      <c r="V810">
        <f>IF(ISBLANK('Data Entry'!$V$810), "", 'Data Entry'!$V$810)</f>
      </c>
      <c r="W810">
        <f>IF(ISBLANK('Data Entry'!$W$810), "", 'Data Entry'!$W$810)</f>
      </c>
      <c r="X810">
        <f>IF(ISBLANK('Data Entry'!$X$810), "", 'Data Entry'!$X$810)</f>
      </c>
      <c r="Y810">
        <f>IF(ISBLANK('Data Entry'!$Y$810), "", 'Data Entry'!$Y$810)</f>
      </c>
      <c r="Z810">
        <f>IF(ISBLANK('Data Entry'!$Z$810), "", 'Data Entry'!$Z$810)</f>
      </c>
      <c r="AA810">
        <f>IF(ISBLANK('Data Entry'!$[$810), "", 'Data Entry'!$[$810)</f>
      </c>
      <c r="AB810">
        <f>IF(ISBLANK('Data Entry'!$\$810), "", 'Data Entry'!$\$810)</f>
      </c>
      <c r="AC810">
        <f>IF(ISBLANK('Data Entry'!$]$810), "", 'Data Entry'!$]$810)</f>
      </c>
      <c r="AD810">
        <f>IF(ISBLANK('Data Entry'!$^$810), "", 'Data Entry'!$^$810)</f>
      </c>
      <c r="AE810">
        <f>IF(ISBLANK('Data Entry'!$_$810), "", 'Data Entry'!$_$810)</f>
      </c>
      <c r="AF810">
        <f>IF(ISBLANK('Data Entry'!$`$810), "", 'Data Entry'!$`$810)</f>
      </c>
      <c r="AG810">
        <f>IF(ISBLANK('Data Entry'!$a$810), "", 'Data Entry'!$a$810)</f>
      </c>
      <c r="AH810">
        <f>IF(ISBLANK('Data Entry'!$b$810), "", 'Data Entry'!$b$810)</f>
      </c>
      <c r="AI810">
        <f>IF(ISBLANK('Data Entry'!$c$810), "", 'Data Entry'!$c$810)</f>
      </c>
      <c r="AJ810">
        <f>IF(ISBLANK('Data Entry'!$d$810), "", 'Data Entry'!$d$810)</f>
      </c>
      <c r="AK810">
        <f>IF(ISBLANK('Data Entry'!$e$810), "", 'Data Entry'!$e$810)</f>
      </c>
      <c r="AL810">
        <f>IF(ISBLANK('Data Entry'!$f$810), "", 'Data Entry'!$f$810)</f>
      </c>
      <c r="AM810">
        <f>IF(ISBLANK('Data Entry'!$g$810), "", 'Data Entry'!$g$810)</f>
      </c>
      <c r="AN810">
        <f>IF(ISBLANK('Data Entry'!$h$810), "", 'Data Entry'!$h$810)</f>
      </c>
      <c r="AO810">
        <f>IF(ISBLANK('Data Entry'!$i$810), "", 'Data Entry'!$i$810)</f>
      </c>
      <c r="AP810">
        <f>IF(ISBLANK('Data Entry'!$j$810), "", 'Data Entry'!$j$810)</f>
      </c>
      <c r="AQ810">
        <f>IF(ISBLANK('Data Entry'!$k$810), "", 'Data Entry'!$k$810)</f>
      </c>
      <c r="AR810">
        <f>IF(ISBLANK('Data Entry'!$l$810), "", 'Data Entry'!$l$810)</f>
      </c>
      <c r="AS810">
        <f>IF(ISBLANK('Data Entry'!$m$810), "", 'Data Entry'!$m$810)</f>
      </c>
      <c r="AT810">
        <f>IF(ISBLANK('Data Entry'!$n$810), "", 'Data Entry'!$n$810)</f>
      </c>
      <c r="AU810">
        <f>IF(ISBLANK('Data Entry'!$o$810), "", 'Data Entry'!$o$810)</f>
      </c>
      <c r="AV810">
        <f>IF(ISBLANK('Data Entry'!$p$810), "", 'Data Entry'!$p$810)</f>
      </c>
      <c r="AW810">
        <f>IF(ISBLANK('Data Entry'!$q$810), "", 'Data Entry'!$q$810)</f>
      </c>
      <c r="AX810">
        <f>IF(ISBLANK('Data Entry'!$r$810), "", 'Data Entry'!$r$810)</f>
      </c>
      <c r="AY810">
        <f>IF(ISBLANK('Data Entry'!$s$810), "", 'Data Entry'!$s$810)</f>
      </c>
      <c r="AZ810">
        <f>IF(ISBLANK('Data Entry'!$t$810), "", 'Data Entry'!$t$810)</f>
      </c>
      <c r="BA810">
        <f>IF(ISBLANK('Data Entry'!$u$810), "", 'Data Entry'!$u$810)</f>
      </c>
      <c r="BB810">
        <f>IF(ISBLANK('Data Entry'!$v$810), "", 'Data Entry'!$v$810)</f>
      </c>
      <c r="BC810">
        <f>IF(ISBLANK('Data Entry'!$w$810), "", 'Data Entry'!$w$810)</f>
      </c>
      <c r="BD810">
        <f>IF(ISBLANK('Data Entry'!$x$810), "", 'Data Entry'!$x$810)</f>
      </c>
      <c r="BE810">
        <f>IF(ISBLANK('Data Entry'!$y$810), "", 'Data Entry'!$y$810)</f>
      </c>
      <c r="BF810">
        <f>IF(ISBLANK('Data Entry'!$z$810), "", 'Data Entry'!$z$810)</f>
      </c>
      <c r="BG810">
        <f>IF(ISBLANK('Data Entry'!${$810), "", 'Data Entry'!${$810)</f>
      </c>
      <c r="BH810">
        <f>IF(ISBLANK('Data Entry'!$|$810), "", 'Data Entry'!$|$810)</f>
      </c>
      <c r="BI810">
        <f>IF(ISBLANK('Data Entry'!$}$810), "", 'Data Entry'!$}$810)</f>
      </c>
      <c r="BJ810">
        <f>IF(ISBLANK('Data Entry'!$~$810), "", 'Data Entry'!$~$810)</f>
      </c>
      <c r="BK810">
        <f>IF(ISBLANK('Data Entry'!$$810), "", 'Data Entry'!$$810)</f>
      </c>
      <c r="BL810">
        <f>IF(ISBLANK('Data Entry'!$$810), "", 'Data Entry'!$$810)</f>
      </c>
      <c r="BM810">
        <f>IF(ISBLANK('Data Entry'!$$810), "", 'Data Entry'!$$810)</f>
      </c>
      <c r="BN810">
        <f>IF(ISBLANK('Data Entry'!$$810), "", 'Data Entry'!$$810)</f>
      </c>
      <c r="BO810">
        <f>IF(ISBLANK('Data Entry'!$$810), "", 'Data Entry'!$$810)</f>
      </c>
      <c r="BP810">
        <f>IF(ISBLANK('Data Entry'!$$810), "", 'Data Entry'!$$810)</f>
      </c>
      <c r="BQ810">
        <f>IF(ISBLANK('Data Entry'!$$810), "", 'Data Entry'!$$810)</f>
      </c>
      <c r="BR810">
        <f>IF(ISBLANK('Data Entry'!$$810), "", 'Data Entry'!$$810)</f>
      </c>
      <c r="BS810">
        <f>IF(ISBLANK('Data Entry'!$$810), "", 'Data Entry'!$$810)</f>
      </c>
      <c r="BT810">
        <f>IF(ISBLANK('Data Entry'!$$810), "", 'Data Entry'!$$810)</f>
      </c>
      <c r="BU810">
        <f>IF(ISBLANK('Data Entry'!$$810), "", 'Data Entry'!$$810)</f>
      </c>
      <c r="BV810">
        <f>IF(ISBLANK('Data Entry'!$$810), "", 'Data Entry'!$$810)</f>
      </c>
      <c r="BW810">
        <f>IF(ISBLANK('Data Entry'!$$810), "", 'Data Entry'!$$810)</f>
      </c>
      <c r="BX810">
        <f>IF(ISBLANK('Data Entry'!$$810), "", 'Data Entry'!$$810)</f>
      </c>
      <c r="BY810">
        <f>IF(ISBLANK('Data Entry'!$$810), "", 'Data Entry'!$$810)</f>
      </c>
      <c r="BZ810">
        <f>IF(ISBLANK('Data Entry'!$$810), "", 'Data Entry'!$$810)</f>
      </c>
      <c r="CA810">
        <f>IF(ISBLANK('Data Entry'!$$810), "", 'Data Entry'!$$810)</f>
      </c>
      <c r="CB810">
        <f>IF(ISBLANK('Data Entry'!$$810), "", 'Data Entry'!$$810)</f>
      </c>
      <c r="CC810">
        <f>IF(ISBLANK('Data Entry'!$$810), "", 'Data Entry'!$$810)</f>
      </c>
      <c r="CD810">
        <f>IF(ISBLANK('Data Entry'!$$810), "", 'Data Entry'!$$810)</f>
      </c>
      <c r="CE810">
        <f>IF(ISBLANK('Data Entry'!$$810), "", 'Data Entry'!$$810)</f>
      </c>
      <c r="CF810">
        <f>IF(ISBLANK('Data Entry'!$$810), "", 'Data Entry'!$$810)</f>
      </c>
      <c r="CG810">
        <f>IF(ISBLANK('Data Entry'!$$810), "", 'Data Entry'!$$810)</f>
      </c>
      <c r="CH810">
        <f>IF(ISBLANK('Data Entry'!$$810), "", 'Data Entry'!$$810)</f>
      </c>
      <c r="CI810">
        <f>IF(ISBLANK('Data Entry'!$$810), "", 'Data Entry'!$$810)</f>
      </c>
      <c r="CJ810">
        <f>IF(ISBLANK('Data Entry'!$$810), "", 'Data Entry'!$$810)</f>
      </c>
      <c r="CK810">
        <f>IF(ISBLANK('Data Entry'!$$810), "", 'Data Entry'!$$810)</f>
      </c>
      <c r="CL810">
        <f>IF(ISBLANK('Data Entry'!$$810), "", 'Data Entry'!$$810)</f>
      </c>
      <c r="CM810">
        <f>IF(ISBLANK('Data Entry'!$$810), "", 'Data Entry'!$$810)</f>
      </c>
      <c r="CN810">
        <f>IF(ISBLANK('Data Entry'!$$810), "", 'Data Entry'!$$810)</f>
      </c>
      <c r="CO810">
        <f>IF(ISBLANK('Data Entry'!$$810), "", 'Data Entry'!$$810)</f>
      </c>
      <c r="CP810">
        <f>IF(ISBLANK('Data Entry'!$$810), "", 'Data Entry'!$$810)</f>
      </c>
      <c r="CQ810">
        <f>IF(ISBLANK('Data Entry'!$$810), "", 'Data Entry'!$$810)</f>
      </c>
      <c r="CR810">
        <f>IF(ISBLANK('Data Entry'!$ $810), "", 'Data Entry'!$ $810)</f>
      </c>
      <c r="CS810">
        <f>IF(ISBLANK('Data Entry'!$¡$810), "", 'Data Entry'!$¡$810)</f>
      </c>
      <c r="CT810">
        <f>IF(ISBLANK('Data Entry'!$¢$810), "", 'Data Entry'!$¢$810)</f>
      </c>
      <c r="CU810">
        <f>IF(ISBLANK('Data Entry'!$£$810), "", 'Data Entry'!$£$810)</f>
      </c>
      <c r="CV810">
        <f>IF(ISBLANK('Data Entry'!$¤$810), "", 'Data Entry'!$¤$810)</f>
      </c>
      <c r="CW810">
        <f>IF(ISBLANK('Data Entry'!$¥$810), "", 'Data Entry'!$¥$810)</f>
      </c>
      <c r="CX810">
        <f>IF(ISBLANK('Data Entry'!$¦$810), "", 'Data Entry'!$¦$810)</f>
      </c>
      <c r="CY810">
        <f>IF(ISBLANK('Data Entry'!$§$810), "", 'Data Entry'!$§$810)</f>
      </c>
      <c r="CZ810">
        <f>IF(ISBLANK('Data Entry'!$¨$810), "", 'Data Entry'!$¨$810)</f>
      </c>
      <c r="DA810">
        <f>IF(ISBLANK('Data Entry'!$©$810), "", 'Data Entry'!$©$810)</f>
      </c>
      <c r="DB810">
        <f>IF(ISBLANK('Data Entry'!$ª$810), "", 'Data Entry'!$ª$810)</f>
      </c>
      <c r="DC810">
        <f>IF(ISBLANK('Data Entry'!$«$810), "", 'Data Entry'!$«$810)</f>
      </c>
      <c r="DD810">
        <f>IF(ISBLANK('Data Entry'!$¬$810), "", 'Data Entry'!$¬$810)</f>
      </c>
      <c r="DE810">
        <f>IF(ISBLANK('Data Entry'!$­$810), "", 'Data Entry'!$­$810)</f>
      </c>
      <c r="DF810">
        <f>IF(ISBLANK('Data Entry'!$®$810), "", 'Data Entry'!$®$810)</f>
      </c>
      <c r="DG810">
        <f>IF(ISBLANK('Data Entry'!$¯$810), "", 'Data Entry'!$¯$810)</f>
      </c>
      <c r="DH810">
        <f>IF(ISBLANK('Data Entry'!$°$810), "", 'Data Entry'!$°$810)</f>
      </c>
      <c r="DI810">
        <f>IF(ISBLANK('Data Entry'!$±$810), "", 'Data Entry'!$±$810)</f>
      </c>
      <c r="DJ810">
        <f>IF(ISBLANK('Data Entry'!$²$810), "", 'Data Entry'!$²$810)</f>
      </c>
      <c r="DK810">
        <f>IF(ISBLANK('Data Entry'!$³$810), "", 'Data Entry'!$³$810)</f>
      </c>
      <c r="DL810">
        <f>IF(ISBLANK('Data Entry'!$´$810), "", 'Data Entry'!$´$810)</f>
      </c>
      <c r="DM810">
        <f>IF(ISBLANK('Data Entry'!$µ$810), "", 'Data Entry'!$µ$810)</f>
      </c>
      <c r="DN810">
        <f>IF(ISBLANK('Data Entry'!$¶$810), "", 'Data Entry'!$¶$810)</f>
      </c>
      <c r="DO810">
        <f>IF(ISBLANK('Data Entry'!$·$810), "", 'Data Entry'!$·$810)</f>
      </c>
      <c r="DP810">
        <f>IF(ISBLANK('Data Entry'!$¸$810), "", 'Data Entry'!$¸$810)</f>
      </c>
      <c r="DQ810">
        <f>IF(ISBLANK('Data Entry'!$¹$810), "", 'Data Entry'!$¹$810)</f>
      </c>
      <c r="DR810">
        <f>IF(ISBLANK('Data Entry'!$º$810), "", 'Data Entry'!$º$810)</f>
      </c>
      <c r="DS810">
        <f>IF(ISBLANK('Data Entry'!$»$810), "", 'Data Entry'!$»$810)</f>
      </c>
      <c r="DT810">
        <f>IF(ISBLANK('Data Entry'!$¼$810), "", 'Data Entry'!$¼$810)</f>
      </c>
      <c r="DU810">
        <f>IF(ISBLANK('Data Entry'!$½$810), "", 'Data Entry'!$½$810)</f>
      </c>
      <c r="DV810">
        <f>IF(ISBLANK('Data Entry'!$¾$810), "", 'Data Entry'!$¾$810)</f>
      </c>
      <c r="DW810">
        <f>IF(ISBLANK('Data Entry'!$¿$810), "", 'Data Entry'!$¿$810)</f>
      </c>
      <c r="DX810">
        <f>IF(ISBLANK('Data Entry'!$À$810), "", 'Data Entry'!$À$810)</f>
      </c>
      <c r="DY810">
        <f>IF(ISBLANK('Data Entry'!$Á$810), "", 'Data Entry'!$Á$810)</f>
      </c>
      <c r="DZ810">
        <f>IF(ISBLANK('Data Entry'!$Â$810), "", 'Data Entry'!$Â$810)</f>
      </c>
      <c r="EA810">
        <f>IF(ISBLANK('Data Entry'!$Ã$810), "", 'Data Entry'!$Ã$810)</f>
      </c>
      <c r="EB810">
        <f>IF(ISBLANK('Data Entry'!$Ä$810), "", 'Data Entry'!$Ä$810)</f>
      </c>
      <c r="EC810">
        <f>IF(ISBLANK('Data Entry'!$Å$810), "", 'Data Entry'!$Å$810)</f>
      </c>
      <c r="ED810">
        <f>IF(ISBLANK('Data Entry'!$Æ$810), "", 'Data Entry'!$Æ$810)</f>
      </c>
      <c r="EE810">
        <f>IF(ISBLANK('Data Entry'!$Ç$810), "", 'Data Entry'!$Ç$810)</f>
      </c>
      <c r="EF810">
        <f>IF(ISBLANK('Data Entry'!$È$810), "", 'Data Entry'!$È$810)</f>
      </c>
      <c r="EG810">
        <f>IF(ISBLANK('Data Entry'!$É$810), "", 'Data Entry'!$É$810)</f>
      </c>
      <c r="EH810">
        <f>IF(ISBLANK('Data Entry'!$Ê$810), "", 'Data Entry'!$Ê$810)</f>
      </c>
      <c r="EI810">
        <f>IF(ISBLANK('Data Entry'!$Ë$810), "", 'Data Entry'!$Ë$810)</f>
      </c>
      <c r="EJ810">
        <f>IF(ISBLANK('Data Entry'!$Ì$810), "", 'Data Entry'!$Ì$810)</f>
      </c>
      <c r="EK810">
        <f>IF(ISBLANK('Data Entry'!$Í$810), "", 'Data Entry'!$Í$810)</f>
      </c>
      <c r="EL810">
        <f>IF(ISBLANK('Data Entry'!$Î$810), "", 'Data Entry'!$Î$810)</f>
      </c>
      <c r="EM810">
        <f>IF(ISBLANK('Data Entry'!$Ï$810), "", 'Data Entry'!$Ï$810)</f>
      </c>
      <c r="EN810">
        <f>IF(ISBLANK('Data Entry'!$Ð$810), "", 'Data Entry'!$Ð$810)</f>
      </c>
      <c r="EO810">
        <f>IF(ISBLANK('Data Entry'!$Ñ$810), "", 'Data Entry'!$Ñ$810)</f>
      </c>
      <c r="EP810">
        <f>IF(ISBLANK('Data Entry'!$Ò$810), "", 'Data Entry'!$Ò$810)</f>
      </c>
      <c r="EQ810">
        <f>IF(ISBLANK('Data Entry'!$Ó$810), "", 'Data Entry'!$Ó$810)</f>
      </c>
      <c r="ER810">
        <f>IF(ISBLANK('Data Entry'!$Ô$810), "", 'Data Entry'!$Ô$810)</f>
      </c>
      <c r="ES810">
        <f>IF(ISBLANK('Data Entry'!$Õ$810), "", 'Data Entry'!$Õ$810)</f>
      </c>
      <c r="ET810">
        <f>IF(ISBLANK('Data Entry'!$Ö$810), "", 'Data Entry'!$Ö$810)</f>
      </c>
      <c r="EU810">
        <f>IF(ISBLANK('Data Entry'!$×$810), "", 'Data Entry'!$×$810)</f>
      </c>
      <c r="EV810">
        <f>IF(ISBLANK('Data Entry'!$Ø$810), "", 'Data Entry'!$Ø$810)</f>
      </c>
      <c r="EW810">
        <f>IF(ISBLANK('Data Entry'!$Ù$810), "", 'Data Entry'!$Ù$810)</f>
      </c>
      <c r="EX810">
        <f>IF(ISBLANK('Data Entry'!$Ú$810), "", 'Data Entry'!$Ú$810)</f>
      </c>
      <c r="EY810">
        <f>IF(ISBLANK('Data Entry'!$Û$810), "", 'Data Entry'!$Û$810)</f>
      </c>
      <c r="EZ810">
        <f>IF(ISBLANK('Data Entry'!$Ü$810), "", 'Data Entry'!$Ü$810)</f>
      </c>
      <c r="FA810">
        <f>IF(ISBLANK('Data Entry'!$Ý$810), "", 'Data Entry'!$Ý$810)</f>
      </c>
      <c r="FB810">
        <f>IF(ISBLANK('Data Entry'!$Þ$810), "", 'Data Entry'!$Þ$810)</f>
      </c>
      <c r="FC810">
        <f>IF(ISBLANK('Data Entry'!$ß$810), "", 'Data Entry'!$ß$810)</f>
      </c>
      <c r="FD810">
        <f>IF(ISBLANK('Data Entry'!$à$810), "", 'Data Entry'!$à$810)</f>
      </c>
      <c r="FE810">
        <f>IF(ISBLANK('Data Entry'!$á$810), "", 'Data Entry'!$á$810)</f>
      </c>
      <c r="FF810">
        <f>IF(ISBLANK('Data Entry'!$â$810), "", 'Data Entry'!$â$810)</f>
      </c>
      <c r="FG810">
        <f>IF(ISBLANK('Data Entry'!$ã$810), "", 'Data Entry'!$ã$810)</f>
      </c>
      <c r="FH810">
        <f>IF(ISBLANK('Data Entry'!$ä$810), "", 'Data Entry'!$ä$810)</f>
      </c>
      <c r="FI810">
        <f>IF(ISBLANK('Data Entry'!$å$810), "", 'Data Entry'!$å$810)</f>
      </c>
      <c r="FJ810">
        <f>IF(ISBLANK('Data Entry'!$æ$810), "", 'Data Entry'!$æ$810)</f>
      </c>
      <c r="FK810">
        <f>IF(ISBLANK('Data Entry'!$ç$810), "", 'Data Entry'!$ç$810)</f>
      </c>
      <c r="FL810">
        <f>IF(ISBLANK('Data Entry'!$è$810), "", 'Data Entry'!$è$810)</f>
      </c>
      <c r="FM810">
        <f>IF(ISBLANK('Data Entry'!$é$810), "", 'Data Entry'!$é$810)</f>
      </c>
      <c r="FN810">
        <f>IF(ISBLANK('Data Entry'!$ê$810), "", 'Data Entry'!$ê$810)</f>
      </c>
      <c r="FO810">
        <f>IF(ISBLANK('Data Entry'!$ë$810), "", 'Data Entry'!$ë$810)</f>
      </c>
      <c r="FP810">
        <f>IF(ISBLANK('Data Entry'!$ì$810), "", 'Data Entry'!$ì$810)</f>
      </c>
      <c r="FQ810">
        <f>IF(ISBLANK('Data Entry'!$í$810), "", 'Data Entry'!$í$810)</f>
      </c>
      <c r="FR810">
        <f>IF(ISBLANK('Data Entry'!$î$810), "", 'Data Entry'!$î$810)</f>
      </c>
      <c r="FS810">
        <f>IF(ISBLANK('Data Entry'!$ï$810), "", 'Data Entry'!$ï$810)</f>
      </c>
      <c r="FT810">
        <f>IF(ISBLANK('Data Entry'!$ð$810), "", 'Data Entry'!$ð$810)</f>
      </c>
      <c r="FU810">
        <f>IF(ISBLANK('Data Entry'!$ñ$810), "", 'Data Entry'!$ñ$810)</f>
      </c>
      <c r="FV810">
        <f>IF(ISBLANK('Data Entry'!$ò$810), "", 'Data Entry'!$ò$810)</f>
      </c>
      <c r="FW810">
        <f>IF(ISBLANK('Data Entry'!$ó$810), "", 'Data Entry'!$ó$810)</f>
      </c>
      <c r="FX810">
        <f>IF(ISBLANK('Data Entry'!$ô$810), "", 'Data Entry'!$ô$810)</f>
      </c>
      <c r="FY810">
        <f>IF(ISBLANK('Data Entry'!$õ$810), "", 'Data Entry'!$õ$810)</f>
      </c>
      <c r="FZ810">
        <f>IF(ISBLANK('Data Entry'!$ö$810), "", 'Data Entry'!$ö$810)</f>
      </c>
      <c r="GA810">
        <f>IF(ISBLANK('Data Entry'!$÷$810), "", 'Data Entry'!$÷$810)</f>
      </c>
      <c r="GB810">
        <f>IF(ISBLANK('Data Entry'!$ø$810), "", 'Data Entry'!$ø$810)</f>
      </c>
      <c r="GC810">
        <f>IF(ISBLANK('Data Entry'!$ù$810), "", 'Data Entry'!$ù$810)</f>
      </c>
      <c r="GD810">
        <f>IF(ISBLANK('Data Entry'!$ú$810), "", 'Data Entry'!$ú$810)</f>
      </c>
      <c r="GE810">
        <f>IF(ISBLANK('Data Entry'!$û$810), "", 'Data Entry'!$û$810)</f>
      </c>
      <c r="GF810">
        <f>IF(ISBLANK('Data Entry'!$ü$810), "", 'Data Entry'!$ü$810)</f>
      </c>
      <c r="GG810">
        <f>IF(ISBLANK('Data Entry'!$ý$810), "", 'Data Entry'!$ý$810)</f>
      </c>
      <c r="GH810">
        <f>IF(ISBLANK('Data Entry'!$þ$810), "", 'Data Entry'!$þ$810)</f>
      </c>
      <c r="GI810">
        <f>IF(ISBLANK('Data Entry'!$ÿ$810), "", 'Data Entry'!$ÿ$810)</f>
      </c>
      <c r="GJ810">
        <f>IF(ISBLANK('Data Entry'!$Ā$810), "", 'Data Entry'!$Ā$810)</f>
      </c>
      <c r="GK810">
        <f>IF(ISBLANK('Data Entry'!$ā$810), "", 'Data Entry'!$ā$810)</f>
      </c>
      <c r="GL810">
        <f>IF(ISBLANK('Data Entry'!$Ă$810), "", 'Data Entry'!$Ă$810)</f>
      </c>
      <c r="GM810">
        <f>IF(ISBLANK('Data Entry'!$ă$810), "", 'Data Entry'!$ă$810)</f>
      </c>
      <c r="GN810">
        <f>IF(ISBLANK('Data Entry'!$Ą$810), "", 'Data Entry'!$Ą$810)</f>
      </c>
      <c r="GO810">
        <f>IF(ISBLANK('Data Entry'!$ą$810), "", 'Data Entry'!$ą$810)</f>
      </c>
      <c r="GP810">
        <f>IF(ISBLANK('Data Entry'!$Ć$810), "", 'Data Entry'!$Ć$810)</f>
      </c>
      <c r="GQ810">
        <f>IF(ISBLANK('Data Entry'!$ć$810), "", 'Data Entry'!$ć$810)</f>
      </c>
      <c r="GR810">
        <f>IF(ISBLANK('Data Entry'!$Ĉ$810), "", 'Data Entry'!$Ĉ$810)</f>
      </c>
      <c r="GS810">
        <f>IF(ISBLANK('Data Entry'!$ĉ$810), "", 'Data Entry'!$ĉ$810)</f>
      </c>
      <c r="GT810">
        <f>IF(ISBLANK('Data Entry'!$Ċ$810), "", 'Data Entry'!$Ċ$810)</f>
      </c>
      <c r="GU810">
        <f>IF(ISBLANK('Data Entry'!$ċ$810), "", 'Data Entry'!$ċ$810)</f>
      </c>
      <c r="GV810">
        <f>IF(ISBLANK('Data Entry'!$Č$810), "", 'Data Entry'!$Č$810)</f>
      </c>
      <c r="GW810">
        <f>IF(ISBLANK('Data Entry'!$č$810), "", 'Data Entry'!$č$810)</f>
      </c>
      <c r="GX810">
        <f>IF(ISBLANK('Data Entry'!$Ď$810), "", 'Data Entry'!$Ď$810)</f>
      </c>
      <c r="GY810">
        <f>IF(ISBLANK('Data Entry'!$ď$810), "", 'Data Entry'!$ď$810)</f>
      </c>
      <c r="GZ810">
        <f>IF(ISBLANK('Data Entry'!$Đ$810), "", 'Data Entry'!$Đ$810)</f>
      </c>
      <c r="HA810">
        <f>IF(ISBLANK('Data Entry'!$đ$810), "", 'Data Entry'!$đ$810)</f>
      </c>
      <c r="HB810">
        <f>IF(ISBLANK('Data Entry'!$Ē$810), "", 'Data Entry'!$Ē$810)</f>
      </c>
      <c r="HC810">
        <f>IF(ISBLANK('Data Entry'!$ē$810), "", 'Data Entry'!$ē$810)</f>
      </c>
      <c r="HD810">
        <f>IF(ISBLANK('Data Entry'!$Ĕ$810), "", 'Data Entry'!$Ĕ$810)</f>
      </c>
      <c r="HE810">
        <f>IF(ISBLANK('Data Entry'!$ĕ$810), "", 'Data Entry'!$ĕ$810)</f>
      </c>
      <c r="HF810">
        <f>IF(ISBLANK('Data Entry'!$Ė$810), "", 'Data Entry'!$Ė$810)</f>
      </c>
      <c r="HG810">
        <f>IF(ISBLANK('Data Entry'!$ė$810), "", 'Data Entry'!$ė$810)</f>
      </c>
      <c r="HH810">
        <f>IF(ISBLANK('Data Entry'!$Ę$810), "", 'Data Entry'!$Ę$810)</f>
      </c>
      <c r="HI810">
        <f>IF(ISBLANK('Data Entry'!$ę$810), "", 'Data Entry'!$ę$810)</f>
      </c>
      <c r="HJ810">
        <f>IF(ISBLANK('Data Entry'!$Ě$810), "", 'Data Entry'!$Ě$810)</f>
      </c>
      <c r="HK810">
        <f>IF(ISBLANK('Data Entry'!$ě$810), "", 'Data Entry'!$ě$810)</f>
      </c>
      <c r="HL810">
        <f>IF(ISBLANK('Data Entry'!$Ĝ$810), "", 'Data Entry'!$Ĝ$810)</f>
      </c>
      <c r="HM810">
        <f>IF(ISBLANK('Data Entry'!$ĝ$810), "", 'Data Entry'!$ĝ$810)</f>
      </c>
      <c r="HN810">
        <f>IF(ISBLANK('Data Entry'!$Ğ$810), "", 'Data Entry'!$Ğ$810)</f>
      </c>
      <c r="HO810">
        <f>IF(ISBLANK('Data Entry'!$ğ$810), "", 'Data Entry'!$ğ$810)</f>
      </c>
      <c r="HP810">
        <f>IF(ISBLANK('Data Entry'!$Ġ$810), "", 'Data Entry'!$Ġ$810)</f>
      </c>
      <c r="HQ810">
        <f>IF(ISBLANK('Data Entry'!$ġ$810), "", 'Data Entry'!$ġ$810)</f>
      </c>
      <c r="HR810">
        <f>IF(ISBLANK('Data Entry'!$Ģ$810), "", 'Data Entry'!$Ģ$810)</f>
      </c>
      <c r="HS810">
        <f>IF(ISBLANK('Data Entry'!$ģ$810), "", 'Data Entry'!$ģ$810)</f>
      </c>
      <c r="HT810">
        <f>IF(ISBLANK('Data Entry'!$Ĥ$810), "", 'Data Entry'!$Ĥ$810)</f>
      </c>
      <c r="HU810">
        <f>IF(ISBLANK('Data Entry'!$ĥ$810), "", 'Data Entry'!$ĥ$810)</f>
      </c>
      <c r="HV810">
        <f>IF(ISBLANK('Data Entry'!$Ħ$810), "", 'Data Entry'!$Ħ$810)</f>
      </c>
      <c r="HW810">
        <f>IF(ISBLANK('Data Entry'!$ħ$810), "", 'Data Entry'!$ħ$810)</f>
      </c>
      <c r="HX810">
        <f>IF(ISBLANK('Data Entry'!$Ĩ$810), "", 'Data Entry'!$Ĩ$810)</f>
      </c>
      <c r="HY810">
        <f>IF(ISBLANK('Data Entry'!$ĩ$810), "", 'Data Entry'!$ĩ$810)</f>
      </c>
      <c r="HZ810">
        <f>IF(ISBLANK('Data Entry'!$Ī$810), "", 'Data Entry'!$Ī$810)</f>
      </c>
      <c r="IA810">
        <f>IF(ISBLANK('Data Entry'!$ī$810), "", 'Data Entry'!$ī$810)</f>
      </c>
      <c r="IB810">
        <f>IF(ISBLANK('Data Entry'!$Ĭ$810), "", 'Data Entry'!$Ĭ$810)</f>
      </c>
      <c r="IC810">
        <f>IF(ISBLANK('Data Entry'!$ĭ$810), "", 'Data Entry'!$ĭ$810)</f>
      </c>
      <c r="ID810">
        <f>IF(ISBLANK('Data Entry'!$Į$810), "", 'Data Entry'!$Į$810)</f>
      </c>
      <c r="IE810">
        <f>IF(ISBLANK('Data Entry'!$į$810), "", 'Data Entry'!$į$810)</f>
      </c>
      <c r="IF810">
        <f>IF(ISBLANK('Data Entry'!$İ$810), "", 'Data Entry'!$İ$810)</f>
      </c>
      <c r="IG810">
        <f>IF(ISBLANK('Data Entry'!$ı$810), "", 'Data Entry'!$ı$810)</f>
      </c>
      <c r="IH810">
        <f>IF(ISBLANK('Data Entry'!$Ĳ$810), "", 'Data Entry'!$Ĳ$810)</f>
      </c>
      <c r="II810">
        <f>IF(ISBLANK('Data Entry'!$ĳ$810), "", 'Data Entry'!$ĳ$810)</f>
      </c>
      <c r="IJ810">
        <f>IF(ISBLANK('Data Entry'!$Ĵ$810), "", 'Data Entry'!$Ĵ$810)</f>
      </c>
      <c r="IK810">
        <f>IF(ISBLANK('Data Entry'!$ĵ$810), "", 'Data Entry'!$ĵ$810)</f>
      </c>
      <c r="IL810">
        <f>IF(ISBLANK('Data Entry'!$Ķ$810), "", 'Data Entry'!$Ķ$810)</f>
      </c>
      <c r="IM810">
        <f>IF(ISBLANK('Data Entry'!$ķ$810), "", 'Data Entry'!$ķ$810)</f>
      </c>
      <c r="IN810">
        <f>IF(ISBLANK('Data Entry'!$ĸ$810), "", 'Data Entry'!$ĸ$810)</f>
      </c>
      <c r="IO810">
        <f>IF(ISBLANK('Data Entry'!$Ĺ$810), "", 'Data Entry'!$Ĺ$810)</f>
      </c>
      <c r="IP810">
        <f>IF(ISBLANK('Data Entry'!$ĺ$810), "", 'Data Entry'!$ĺ$810)</f>
      </c>
      <c r="IQ810">
        <f>IF(ISBLANK('Data Entry'!$Ļ$810), "", 'Data Entry'!$Ļ$810)</f>
      </c>
      <c r="IR810">
        <f>IF(ISBLANK('Data Entry'!$ļ$810), "", 'Data Entry'!$ļ$810)</f>
      </c>
      <c r="IS810">
        <f>IF(ISBLANK('Data Entry'!$Ľ$810), "", 'Data Entry'!$Ľ$810)</f>
      </c>
      <c r="IT810">
        <f>IF(ISBLANK('Data Entry'!$ľ$810), "", 'Data Entry'!$ľ$810)</f>
      </c>
    </row>
    <row r="811" spans="1:254" x14ac:dyDescent="0.25">
      <c r="A811">
        <f>IF(ISBLANK('Data Entry'!$A$811), "", 'Data Entry'!$A$811)</f>
      </c>
      <c r="B811">
        <f>IF(ISBLANK('Data Entry'!$B$811), "", 'Data Entry'!$B$811)</f>
      </c>
      <c r="C811">
        <f>IF(ISBLANK('Data Entry'!$C$811), "", 'Data Entry'!$C$811)</f>
      </c>
      <c r="D811">
        <f>IF(ISBLANK('Data Entry'!$D$811), "", 'Data Entry'!$D$811)</f>
      </c>
      <c r="E811">
        <f>IF(ISBLANK('Data Entry'!$E$811), "", 'Data Entry'!$E$811)</f>
      </c>
      <c r="F811">
        <f>IF(ISBLANK('Data Entry'!$F$811), "", 'Data Entry'!$F$811)</f>
      </c>
      <c r="G811">
        <f>IF(ISBLANK('Data Entry'!$G$811), "", 'Data Entry'!$G$811)</f>
      </c>
      <c r="H811">
        <f>IF(ISBLANK('Data Entry'!$H$811), "", 'Data Entry'!$H$811)</f>
      </c>
      <c r="I811">
        <f>IF(ISBLANK('Data Entry'!$I$811), "", 'Data Entry'!$I$811)</f>
      </c>
      <c r="J811">
        <f>IF(ISBLANK('Data Entry'!$J$811), "", 'Data Entry'!$J$811)</f>
      </c>
      <c r="K811">
        <f>IF(ISBLANK('Data Entry'!$K$811), "", 'Data Entry'!$K$811)</f>
      </c>
      <c r="L811">
        <f>IF(ISBLANK('Data Entry'!$L$811), "", 'Data Entry'!$L$811)</f>
      </c>
      <c r="M811">
        <f>IF(ISBLANK('Data Entry'!$M$811), "", 'Data Entry'!$M$811)</f>
      </c>
      <c r="N811">
        <f>IF(ISBLANK('Data Entry'!$N$811), "", 'Data Entry'!$N$811)</f>
      </c>
      <c r="O811">
        <f>IF(ISBLANK('Data Entry'!$O$811), "", 'Data Entry'!$O$811)</f>
      </c>
      <c r="P811">
        <f>IF(ISBLANK('Data Entry'!$P$811), "", 'Data Entry'!$P$811)</f>
      </c>
      <c r="Q811">
        <f>IF(ISBLANK('Data Entry'!$Q$811), "", 'Data Entry'!$Q$811)</f>
      </c>
      <c r="R811">
        <f>IF(ISBLANK('Data Entry'!$R$811), "", 'Data Entry'!$R$811)</f>
      </c>
      <c r="S811">
        <f>IF(ISBLANK('Data Entry'!$S$811), "", 'Data Entry'!$S$811)</f>
      </c>
      <c r="T811">
        <f>IF(ISBLANK('Data Entry'!$T$811), "", 'Data Entry'!$T$811)</f>
      </c>
      <c r="U811">
        <f>IF(ISBLANK('Data Entry'!$U$811), "", 'Data Entry'!$U$811)</f>
      </c>
      <c r="V811">
        <f>IF(ISBLANK('Data Entry'!$V$811), "", 'Data Entry'!$V$811)</f>
      </c>
      <c r="W811">
        <f>IF(ISBLANK('Data Entry'!$W$811), "", 'Data Entry'!$W$811)</f>
      </c>
      <c r="X811">
        <f>IF(ISBLANK('Data Entry'!$X$811), "", 'Data Entry'!$X$811)</f>
      </c>
      <c r="Y811">
        <f>IF(ISBLANK('Data Entry'!$Y$811), "", 'Data Entry'!$Y$811)</f>
      </c>
      <c r="Z811">
        <f>IF(ISBLANK('Data Entry'!$Z$811), "", 'Data Entry'!$Z$811)</f>
      </c>
      <c r="AA811">
        <f>IF(ISBLANK('Data Entry'!$[$811), "", 'Data Entry'!$[$811)</f>
      </c>
      <c r="AB811">
        <f>IF(ISBLANK('Data Entry'!$\$811), "", 'Data Entry'!$\$811)</f>
      </c>
      <c r="AC811">
        <f>IF(ISBLANK('Data Entry'!$]$811), "", 'Data Entry'!$]$811)</f>
      </c>
      <c r="AD811">
        <f>IF(ISBLANK('Data Entry'!$^$811), "", 'Data Entry'!$^$811)</f>
      </c>
      <c r="AE811">
        <f>IF(ISBLANK('Data Entry'!$_$811), "", 'Data Entry'!$_$811)</f>
      </c>
      <c r="AF811">
        <f>IF(ISBLANK('Data Entry'!$`$811), "", 'Data Entry'!$`$811)</f>
      </c>
      <c r="AG811">
        <f>IF(ISBLANK('Data Entry'!$a$811), "", 'Data Entry'!$a$811)</f>
      </c>
      <c r="AH811">
        <f>IF(ISBLANK('Data Entry'!$b$811), "", 'Data Entry'!$b$811)</f>
      </c>
      <c r="AI811">
        <f>IF(ISBLANK('Data Entry'!$c$811), "", 'Data Entry'!$c$811)</f>
      </c>
      <c r="AJ811">
        <f>IF(ISBLANK('Data Entry'!$d$811), "", 'Data Entry'!$d$811)</f>
      </c>
      <c r="AK811">
        <f>IF(ISBLANK('Data Entry'!$e$811), "", 'Data Entry'!$e$811)</f>
      </c>
      <c r="AL811">
        <f>IF(ISBLANK('Data Entry'!$f$811), "", 'Data Entry'!$f$811)</f>
      </c>
      <c r="AM811">
        <f>IF(ISBLANK('Data Entry'!$g$811), "", 'Data Entry'!$g$811)</f>
      </c>
      <c r="AN811">
        <f>IF(ISBLANK('Data Entry'!$h$811), "", 'Data Entry'!$h$811)</f>
      </c>
      <c r="AO811">
        <f>IF(ISBLANK('Data Entry'!$i$811), "", 'Data Entry'!$i$811)</f>
      </c>
      <c r="AP811">
        <f>IF(ISBLANK('Data Entry'!$j$811), "", 'Data Entry'!$j$811)</f>
      </c>
      <c r="AQ811">
        <f>IF(ISBLANK('Data Entry'!$k$811), "", 'Data Entry'!$k$811)</f>
      </c>
      <c r="AR811">
        <f>IF(ISBLANK('Data Entry'!$l$811), "", 'Data Entry'!$l$811)</f>
      </c>
      <c r="AS811">
        <f>IF(ISBLANK('Data Entry'!$m$811), "", 'Data Entry'!$m$811)</f>
      </c>
      <c r="AT811">
        <f>IF(ISBLANK('Data Entry'!$n$811), "", 'Data Entry'!$n$811)</f>
      </c>
      <c r="AU811">
        <f>IF(ISBLANK('Data Entry'!$o$811), "", 'Data Entry'!$o$811)</f>
      </c>
      <c r="AV811">
        <f>IF(ISBLANK('Data Entry'!$p$811), "", 'Data Entry'!$p$811)</f>
      </c>
      <c r="AW811">
        <f>IF(ISBLANK('Data Entry'!$q$811), "", 'Data Entry'!$q$811)</f>
      </c>
      <c r="AX811">
        <f>IF(ISBLANK('Data Entry'!$r$811), "", 'Data Entry'!$r$811)</f>
      </c>
      <c r="AY811">
        <f>IF(ISBLANK('Data Entry'!$s$811), "", 'Data Entry'!$s$811)</f>
      </c>
      <c r="AZ811">
        <f>IF(ISBLANK('Data Entry'!$t$811), "", 'Data Entry'!$t$811)</f>
      </c>
      <c r="BA811">
        <f>IF(ISBLANK('Data Entry'!$u$811), "", 'Data Entry'!$u$811)</f>
      </c>
      <c r="BB811">
        <f>IF(ISBLANK('Data Entry'!$v$811), "", 'Data Entry'!$v$811)</f>
      </c>
      <c r="BC811">
        <f>IF(ISBLANK('Data Entry'!$w$811), "", 'Data Entry'!$w$811)</f>
      </c>
      <c r="BD811">
        <f>IF(ISBLANK('Data Entry'!$x$811), "", 'Data Entry'!$x$811)</f>
      </c>
      <c r="BE811">
        <f>IF(ISBLANK('Data Entry'!$y$811), "", 'Data Entry'!$y$811)</f>
      </c>
      <c r="BF811">
        <f>IF(ISBLANK('Data Entry'!$z$811), "", 'Data Entry'!$z$811)</f>
      </c>
      <c r="BG811">
        <f>IF(ISBLANK('Data Entry'!${$811), "", 'Data Entry'!${$811)</f>
      </c>
      <c r="BH811">
        <f>IF(ISBLANK('Data Entry'!$|$811), "", 'Data Entry'!$|$811)</f>
      </c>
      <c r="BI811">
        <f>IF(ISBLANK('Data Entry'!$}$811), "", 'Data Entry'!$}$811)</f>
      </c>
      <c r="BJ811">
        <f>IF(ISBLANK('Data Entry'!$~$811), "", 'Data Entry'!$~$811)</f>
      </c>
      <c r="BK811">
        <f>IF(ISBLANK('Data Entry'!$$811), "", 'Data Entry'!$$811)</f>
      </c>
      <c r="BL811">
        <f>IF(ISBLANK('Data Entry'!$$811), "", 'Data Entry'!$$811)</f>
      </c>
      <c r="BM811">
        <f>IF(ISBLANK('Data Entry'!$$811), "", 'Data Entry'!$$811)</f>
      </c>
      <c r="BN811">
        <f>IF(ISBLANK('Data Entry'!$$811), "", 'Data Entry'!$$811)</f>
      </c>
      <c r="BO811">
        <f>IF(ISBLANK('Data Entry'!$$811), "", 'Data Entry'!$$811)</f>
      </c>
      <c r="BP811">
        <f>IF(ISBLANK('Data Entry'!$$811), "", 'Data Entry'!$$811)</f>
      </c>
      <c r="BQ811">
        <f>IF(ISBLANK('Data Entry'!$$811), "", 'Data Entry'!$$811)</f>
      </c>
      <c r="BR811">
        <f>IF(ISBLANK('Data Entry'!$$811), "", 'Data Entry'!$$811)</f>
      </c>
      <c r="BS811">
        <f>IF(ISBLANK('Data Entry'!$$811), "", 'Data Entry'!$$811)</f>
      </c>
      <c r="BT811">
        <f>IF(ISBLANK('Data Entry'!$$811), "", 'Data Entry'!$$811)</f>
      </c>
      <c r="BU811">
        <f>IF(ISBLANK('Data Entry'!$$811), "", 'Data Entry'!$$811)</f>
      </c>
      <c r="BV811">
        <f>IF(ISBLANK('Data Entry'!$$811), "", 'Data Entry'!$$811)</f>
      </c>
      <c r="BW811">
        <f>IF(ISBLANK('Data Entry'!$$811), "", 'Data Entry'!$$811)</f>
      </c>
      <c r="BX811">
        <f>IF(ISBLANK('Data Entry'!$$811), "", 'Data Entry'!$$811)</f>
      </c>
      <c r="BY811">
        <f>IF(ISBLANK('Data Entry'!$$811), "", 'Data Entry'!$$811)</f>
      </c>
      <c r="BZ811">
        <f>IF(ISBLANK('Data Entry'!$$811), "", 'Data Entry'!$$811)</f>
      </c>
      <c r="CA811">
        <f>IF(ISBLANK('Data Entry'!$$811), "", 'Data Entry'!$$811)</f>
      </c>
      <c r="CB811">
        <f>IF(ISBLANK('Data Entry'!$$811), "", 'Data Entry'!$$811)</f>
      </c>
      <c r="CC811">
        <f>IF(ISBLANK('Data Entry'!$$811), "", 'Data Entry'!$$811)</f>
      </c>
      <c r="CD811">
        <f>IF(ISBLANK('Data Entry'!$$811), "", 'Data Entry'!$$811)</f>
      </c>
      <c r="CE811">
        <f>IF(ISBLANK('Data Entry'!$$811), "", 'Data Entry'!$$811)</f>
      </c>
      <c r="CF811">
        <f>IF(ISBLANK('Data Entry'!$$811), "", 'Data Entry'!$$811)</f>
      </c>
      <c r="CG811">
        <f>IF(ISBLANK('Data Entry'!$$811), "", 'Data Entry'!$$811)</f>
      </c>
      <c r="CH811">
        <f>IF(ISBLANK('Data Entry'!$$811), "", 'Data Entry'!$$811)</f>
      </c>
      <c r="CI811">
        <f>IF(ISBLANK('Data Entry'!$$811), "", 'Data Entry'!$$811)</f>
      </c>
      <c r="CJ811">
        <f>IF(ISBLANK('Data Entry'!$$811), "", 'Data Entry'!$$811)</f>
      </c>
      <c r="CK811">
        <f>IF(ISBLANK('Data Entry'!$$811), "", 'Data Entry'!$$811)</f>
      </c>
      <c r="CL811">
        <f>IF(ISBLANK('Data Entry'!$$811), "", 'Data Entry'!$$811)</f>
      </c>
      <c r="CM811">
        <f>IF(ISBLANK('Data Entry'!$$811), "", 'Data Entry'!$$811)</f>
      </c>
      <c r="CN811">
        <f>IF(ISBLANK('Data Entry'!$$811), "", 'Data Entry'!$$811)</f>
      </c>
      <c r="CO811">
        <f>IF(ISBLANK('Data Entry'!$$811), "", 'Data Entry'!$$811)</f>
      </c>
      <c r="CP811">
        <f>IF(ISBLANK('Data Entry'!$$811), "", 'Data Entry'!$$811)</f>
      </c>
      <c r="CQ811">
        <f>IF(ISBLANK('Data Entry'!$$811), "", 'Data Entry'!$$811)</f>
      </c>
      <c r="CR811">
        <f>IF(ISBLANK('Data Entry'!$ $811), "", 'Data Entry'!$ $811)</f>
      </c>
      <c r="CS811">
        <f>IF(ISBLANK('Data Entry'!$¡$811), "", 'Data Entry'!$¡$811)</f>
      </c>
      <c r="CT811">
        <f>IF(ISBLANK('Data Entry'!$¢$811), "", 'Data Entry'!$¢$811)</f>
      </c>
      <c r="CU811">
        <f>IF(ISBLANK('Data Entry'!$£$811), "", 'Data Entry'!$£$811)</f>
      </c>
      <c r="CV811">
        <f>IF(ISBLANK('Data Entry'!$¤$811), "", 'Data Entry'!$¤$811)</f>
      </c>
      <c r="CW811">
        <f>IF(ISBLANK('Data Entry'!$¥$811), "", 'Data Entry'!$¥$811)</f>
      </c>
      <c r="CX811">
        <f>IF(ISBLANK('Data Entry'!$¦$811), "", 'Data Entry'!$¦$811)</f>
      </c>
      <c r="CY811">
        <f>IF(ISBLANK('Data Entry'!$§$811), "", 'Data Entry'!$§$811)</f>
      </c>
      <c r="CZ811">
        <f>IF(ISBLANK('Data Entry'!$¨$811), "", 'Data Entry'!$¨$811)</f>
      </c>
      <c r="DA811">
        <f>IF(ISBLANK('Data Entry'!$©$811), "", 'Data Entry'!$©$811)</f>
      </c>
      <c r="DB811">
        <f>IF(ISBLANK('Data Entry'!$ª$811), "", 'Data Entry'!$ª$811)</f>
      </c>
      <c r="DC811">
        <f>IF(ISBLANK('Data Entry'!$«$811), "", 'Data Entry'!$«$811)</f>
      </c>
      <c r="DD811">
        <f>IF(ISBLANK('Data Entry'!$¬$811), "", 'Data Entry'!$¬$811)</f>
      </c>
      <c r="DE811">
        <f>IF(ISBLANK('Data Entry'!$­$811), "", 'Data Entry'!$­$811)</f>
      </c>
      <c r="DF811">
        <f>IF(ISBLANK('Data Entry'!$®$811), "", 'Data Entry'!$®$811)</f>
      </c>
      <c r="DG811">
        <f>IF(ISBLANK('Data Entry'!$¯$811), "", 'Data Entry'!$¯$811)</f>
      </c>
      <c r="DH811">
        <f>IF(ISBLANK('Data Entry'!$°$811), "", 'Data Entry'!$°$811)</f>
      </c>
      <c r="DI811">
        <f>IF(ISBLANK('Data Entry'!$±$811), "", 'Data Entry'!$±$811)</f>
      </c>
      <c r="DJ811">
        <f>IF(ISBLANK('Data Entry'!$²$811), "", 'Data Entry'!$²$811)</f>
      </c>
      <c r="DK811">
        <f>IF(ISBLANK('Data Entry'!$³$811), "", 'Data Entry'!$³$811)</f>
      </c>
      <c r="DL811">
        <f>IF(ISBLANK('Data Entry'!$´$811), "", 'Data Entry'!$´$811)</f>
      </c>
      <c r="DM811">
        <f>IF(ISBLANK('Data Entry'!$µ$811), "", 'Data Entry'!$µ$811)</f>
      </c>
      <c r="DN811">
        <f>IF(ISBLANK('Data Entry'!$¶$811), "", 'Data Entry'!$¶$811)</f>
      </c>
      <c r="DO811">
        <f>IF(ISBLANK('Data Entry'!$·$811), "", 'Data Entry'!$·$811)</f>
      </c>
      <c r="DP811">
        <f>IF(ISBLANK('Data Entry'!$¸$811), "", 'Data Entry'!$¸$811)</f>
      </c>
      <c r="DQ811">
        <f>IF(ISBLANK('Data Entry'!$¹$811), "", 'Data Entry'!$¹$811)</f>
      </c>
      <c r="DR811">
        <f>IF(ISBLANK('Data Entry'!$º$811), "", 'Data Entry'!$º$811)</f>
      </c>
      <c r="DS811">
        <f>IF(ISBLANK('Data Entry'!$»$811), "", 'Data Entry'!$»$811)</f>
      </c>
      <c r="DT811">
        <f>IF(ISBLANK('Data Entry'!$¼$811), "", 'Data Entry'!$¼$811)</f>
      </c>
      <c r="DU811">
        <f>IF(ISBLANK('Data Entry'!$½$811), "", 'Data Entry'!$½$811)</f>
      </c>
      <c r="DV811">
        <f>IF(ISBLANK('Data Entry'!$¾$811), "", 'Data Entry'!$¾$811)</f>
      </c>
      <c r="DW811">
        <f>IF(ISBLANK('Data Entry'!$¿$811), "", 'Data Entry'!$¿$811)</f>
      </c>
      <c r="DX811">
        <f>IF(ISBLANK('Data Entry'!$À$811), "", 'Data Entry'!$À$811)</f>
      </c>
      <c r="DY811">
        <f>IF(ISBLANK('Data Entry'!$Á$811), "", 'Data Entry'!$Á$811)</f>
      </c>
      <c r="DZ811">
        <f>IF(ISBLANK('Data Entry'!$Â$811), "", 'Data Entry'!$Â$811)</f>
      </c>
      <c r="EA811">
        <f>IF(ISBLANK('Data Entry'!$Ã$811), "", 'Data Entry'!$Ã$811)</f>
      </c>
      <c r="EB811">
        <f>IF(ISBLANK('Data Entry'!$Ä$811), "", 'Data Entry'!$Ä$811)</f>
      </c>
      <c r="EC811">
        <f>IF(ISBLANK('Data Entry'!$Å$811), "", 'Data Entry'!$Å$811)</f>
      </c>
      <c r="ED811">
        <f>IF(ISBLANK('Data Entry'!$Æ$811), "", 'Data Entry'!$Æ$811)</f>
      </c>
      <c r="EE811">
        <f>IF(ISBLANK('Data Entry'!$Ç$811), "", 'Data Entry'!$Ç$811)</f>
      </c>
      <c r="EF811">
        <f>IF(ISBLANK('Data Entry'!$È$811), "", 'Data Entry'!$È$811)</f>
      </c>
      <c r="EG811">
        <f>IF(ISBLANK('Data Entry'!$É$811), "", 'Data Entry'!$É$811)</f>
      </c>
      <c r="EH811">
        <f>IF(ISBLANK('Data Entry'!$Ê$811), "", 'Data Entry'!$Ê$811)</f>
      </c>
      <c r="EI811">
        <f>IF(ISBLANK('Data Entry'!$Ë$811), "", 'Data Entry'!$Ë$811)</f>
      </c>
      <c r="EJ811">
        <f>IF(ISBLANK('Data Entry'!$Ì$811), "", 'Data Entry'!$Ì$811)</f>
      </c>
      <c r="EK811">
        <f>IF(ISBLANK('Data Entry'!$Í$811), "", 'Data Entry'!$Í$811)</f>
      </c>
      <c r="EL811">
        <f>IF(ISBLANK('Data Entry'!$Î$811), "", 'Data Entry'!$Î$811)</f>
      </c>
      <c r="EM811">
        <f>IF(ISBLANK('Data Entry'!$Ï$811), "", 'Data Entry'!$Ï$811)</f>
      </c>
      <c r="EN811">
        <f>IF(ISBLANK('Data Entry'!$Ð$811), "", 'Data Entry'!$Ð$811)</f>
      </c>
      <c r="EO811">
        <f>IF(ISBLANK('Data Entry'!$Ñ$811), "", 'Data Entry'!$Ñ$811)</f>
      </c>
      <c r="EP811">
        <f>IF(ISBLANK('Data Entry'!$Ò$811), "", 'Data Entry'!$Ò$811)</f>
      </c>
      <c r="EQ811">
        <f>IF(ISBLANK('Data Entry'!$Ó$811), "", 'Data Entry'!$Ó$811)</f>
      </c>
      <c r="ER811">
        <f>IF(ISBLANK('Data Entry'!$Ô$811), "", 'Data Entry'!$Ô$811)</f>
      </c>
      <c r="ES811">
        <f>IF(ISBLANK('Data Entry'!$Õ$811), "", 'Data Entry'!$Õ$811)</f>
      </c>
      <c r="ET811">
        <f>IF(ISBLANK('Data Entry'!$Ö$811), "", 'Data Entry'!$Ö$811)</f>
      </c>
      <c r="EU811">
        <f>IF(ISBLANK('Data Entry'!$×$811), "", 'Data Entry'!$×$811)</f>
      </c>
      <c r="EV811">
        <f>IF(ISBLANK('Data Entry'!$Ø$811), "", 'Data Entry'!$Ø$811)</f>
      </c>
      <c r="EW811">
        <f>IF(ISBLANK('Data Entry'!$Ù$811), "", 'Data Entry'!$Ù$811)</f>
      </c>
      <c r="EX811">
        <f>IF(ISBLANK('Data Entry'!$Ú$811), "", 'Data Entry'!$Ú$811)</f>
      </c>
      <c r="EY811">
        <f>IF(ISBLANK('Data Entry'!$Û$811), "", 'Data Entry'!$Û$811)</f>
      </c>
      <c r="EZ811">
        <f>IF(ISBLANK('Data Entry'!$Ü$811), "", 'Data Entry'!$Ü$811)</f>
      </c>
      <c r="FA811">
        <f>IF(ISBLANK('Data Entry'!$Ý$811), "", 'Data Entry'!$Ý$811)</f>
      </c>
      <c r="FB811">
        <f>IF(ISBLANK('Data Entry'!$Þ$811), "", 'Data Entry'!$Þ$811)</f>
      </c>
      <c r="FC811">
        <f>IF(ISBLANK('Data Entry'!$ß$811), "", 'Data Entry'!$ß$811)</f>
      </c>
      <c r="FD811">
        <f>IF(ISBLANK('Data Entry'!$à$811), "", 'Data Entry'!$à$811)</f>
      </c>
      <c r="FE811">
        <f>IF(ISBLANK('Data Entry'!$á$811), "", 'Data Entry'!$á$811)</f>
      </c>
      <c r="FF811">
        <f>IF(ISBLANK('Data Entry'!$â$811), "", 'Data Entry'!$â$811)</f>
      </c>
      <c r="FG811">
        <f>IF(ISBLANK('Data Entry'!$ã$811), "", 'Data Entry'!$ã$811)</f>
      </c>
      <c r="FH811">
        <f>IF(ISBLANK('Data Entry'!$ä$811), "", 'Data Entry'!$ä$811)</f>
      </c>
      <c r="FI811">
        <f>IF(ISBLANK('Data Entry'!$å$811), "", 'Data Entry'!$å$811)</f>
      </c>
      <c r="FJ811">
        <f>IF(ISBLANK('Data Entry'!$æ$811), "", 'Data Entry'!$æ$811)</f>
      </c>
      <c r="FK811">
        <f>IF(ISBLANK('Data Entry'!$ç$811), "", 'Data Entry'!$ç$811)</f>
      </c>
      <c r="FL811">
        <f>IF(ISBLANK('Data Entry'!$è$811), "", 'Data Entry'!$è$811)</f>
      </c>
      <c r="FM811">
        <f>IF(ISBLANK('Data Entry'!$é$811), "", 'Data Entry'!$é$811)</f>
      </c>
      <c r="FN811">
        <f>IF(ISBLANK('Data Entry'!$ê$811), "", 'Data Entry'!$ê$811)</f>
      </c>
      <c r="FO811">
        <f>IF(ISBLANK('Data Entry'!$ë$811), "", 'Data Entry'!$ë$811)</f>
      </c>
      <c r="FP811">
        <f>IF(ISBLANK('Data Entry'!$ì$811), "", 'Data Entry'!$ì$811)</f>
      </c>
      <c r="FQ811">
        <f>IF(ISBLANK('Data Entry'!$í$811), "", 'Data Entry'!$í$811)</f>
      </c>
      <c r="FR811">
        <f>IF(ISBLANK('Data Entry'!$î$811), "", 'Data Entry'!$î$811)</f>
      </c>
      <c r="FS811">
        <f>IF(ISBLANK('Data Entry'!$ï$811), "", 'Data Entry'!$ï$811)</f>
      </c>
      <c r="FT811">
        <f>IF(ISBLANK('Data Entry'!$ð$811), "", 'Data Entry'!$ð$811)</f>
      </c>
      <c r="FU811">
        <f>IF(ISBLANK('Data Entry'!$ñ$811), "", 'Data Entry'!$ñ$811)</f>
      </c>
      <c r="FV811">
        <f>IF(ISBLANK('Data Entry'!$ò$811), "", 'Data Entry'!$ò$811)</f>
      </c>
      <c r="FW811">
        <f>IF(ISBLANK('Data Entry'!$ó$811), "", 'Data Entry'!$ó$811)</f>
      </c>
      <c r="FX811">
        <f>IF(ISBLANK('Data Entry'!$ô$811), "", 'Data Entry'!$ô$811)</f>
      </c>
      <c r="FY811">
        <f>IF(ISBLANK('Data Entry'!$õ$811), "", 'Data Entry'!$õ$811)</f>
      </c>
      <c r="FZ811">
        <f>IF(ISBLANK('Data Entry'!$ö$811), "", 'Data Entry'!$ö$811)</f>
      </c>
      <c r="GA811">
        <f>IF(ISBLANK('Data Entry'!$÷$811), "", 'Data Entry'!$÷$811)</f>
      </c>
      <c r="GB811">
        <f>IF(ISBLANK('Data Entry'!$ø$811), "", 'Data Entry'!$ø$811)</f>
      </c>
      <c r="GC811">
        <f>IF(ISBLANK('Data Entry'!$ù$811), "", 'Data Entry'!$ù$811)</f>
      </c>
      <c r="GD811">
        <f>IF(ISBLANK('Data Entry'!$ú$811), "", 'Data Entry'!$ú$811)</f>
      </c>
      <c r="GE811">
        <f>IF(ISBLANK('Data Entry'!$û$811), "", 'Data Entry'!$û$811)</f>
      </c>
      <c r="GF811">
        <f>IF(ISBLANK('Data Entry'!$ü$811), "", 'Data Entry'!$ü$811)</f>
      </c>
      <c r="GG811">
        <f>IF(ISBLANK('Data Entry'!$ý$811), "", 'Data Entry'!$ý$811)</f>
      </c>
      <c r="GH811">
        <f>IF(ISBLANK('Data Entry'!$þ$811), "", 'Data Entry'!$þ$811)</f>
      </c>
      <c r="GI811">
        <f>IF(ISBLANK('Data Entry'!$ÿ$811), "", 'Data Entry'!$ÿ$811)</f>
      </c>
      <c r="GJ811">
        <f>IF(ISBLANK('Data Entry'!$Ā$811), "", 'Data Entry'!$Ā$811)</f>
      </c>
      <c r="GK811">
        <f>IF(ISBLANK('Data Entry'!$ā$811), "", 'Data Entry'!$ā$811)</f>
      </c>
      <c r="GL811">
        <f>IF(ISBLANK('Data Entry'!$Ă$811), "", 'Data Entry'!$Ă$811)</f>
      </c>
      <c r="GM811">
        <f>IF(ISBLANK('Data Entry'!$ă$811), "", 'Data Entry'!$ă$811)</f>
      </c>
      <c r="GN811">
        <f>IF(ISBLANK('Data Entry'!$Ą$811), "", 'Data Entry'!$Ą$811)</f>
      </c>
      <c r="GO811">
        <f>IF(ISBLANK('Data Entry'!$ą$811), "", 'Data Entry'!$ą$811)</f>
      </c>
      <c r="GP811">
        <f>IF(ISBLANK('Data Entry'!$Ć$811), "", 'Data Entry'!$Ć$811)</f>
      </c>
      <c r="GQ811">
        <f>IF(ISBLANK('Data Entry'!$ć$811), "", 'Data Entry'!$ć$811)</f>
      </c>
      <c r="GR811">
        <f>IF(ISBLANK('Data Entry'!$Ĉ$811), "", 'Data Entry'!$Ĉ$811)</f>
      </c>
      <c r="GS811">
        <f>IF(ISBLANK('Data Entry'!$ĉ$811), "", 'Data Entry'!$ĉ$811)</f>
      </c>
      <c r="GT811">
        <f>IF(ISBLANK('Data Entry'!$Ċ$811), "", 'Data Entry'!$Ċ$811)</f>
      </c>
      <c r="GU811">
        <f>IF(ISBLANK('Data Entry'!$ċ$811), "", 'Data Entry'!$ċ$811)</f>
      </c>
      <c r="GV811">
        <f>IF(ISBLANK('Data Entry'!$Č$811), "", 'Data Entry'!$Č$811)</f>
      </c>
      <c r="GW811">
        <f>IF(ISBLANK('Data Entry'!$č$811), "", 'Data Entry'!$č$811)</f>
      </c>
      <c r="GX811">
        <f>IF(ISBLANK('Data Entry'!$Ď$811), "", 'Data Entry'!$Ď$811)</f>
      </c>
      <c r="GY811">
        <f>IF(ISBLANK('Data Entry'!$ď$811), "", 'Data Entry'!$ď$811)</f>
      </c>
      <c r="GZ811">
        <f>IF(ISBLANK('Data Entry'!$Đ$811), "", 'Data Entry'!$Đ$811)</f>
      </c>
      <c r="HA811">
        <f>IF(ISBLANK('Data Entry'!$đ$811), "", 'Data Entry'!$đ$811)</f>
      </c>
      <c r="HB811">
        <f>IF(ISBLANK('Data Entry'!$Ē$811), "", 'Data Entry'!$Ē$811)</f>
      </c>
      <c r="HC811">
        <f>IF(ISBLANK('Data Entry'!$ē$811), "", 'Data Entry'!$ē$811)</f>
      </c>
      <c r="HD811">
        <f>IF(ISBLANK('Data Entry'!$Ĕ$811), "", 'Data Entry'!$Ĕ$811)</f>
      </c>
      <c r="HE811">
        <f>IF(ISBLANK('Data Entry'!$ĕ$811), "", 'Data Entry'!$ĕ$811)</f>
      </c>
      <c r="HF811">
        <f>IF(ISBLANK('Data Entry'!$Ė$811), "", 'Data Entry'!$Ė$811)</f>
      </c>
      <c r="HG811">
        <f>IF(ISBLANK('Data Entry'!$ė$811), "", 'Data Entry'!$ė$811)</f>
      </c>
      <c r="HH811">
        <f>IF(ISBLANK('Data Entry'!$Ę$811), "", 'Data Entry'!$Ę$811)</f>
      </c>
      <c r="HI811">
        <f>IF(ISBLANK('Data Entry'!$ę$811), "", 'Data Entry'!$ę$811)</f>
      </c>
      <c r="HJ811">
        <f>IF(ISBLANK('Data Entry'!$Ě$811), "", 'Data Entry'!$Ě$811)</f>
      </c>
      <c r="HK811">
        <f>IF(ISBLANK('Data Entry'!$ě$811), "", 'Data Entry'!$ě$811)</f>
      </c>
      <c r="HL811">
        <f>IF(ISBLANK('Data Entry'!$Ĝ$811), "", 'Data Entry'!$Ĝ$811)</f>
      </c>
      <c r="HM811">
        <f>IF(ISBLANK('Data Entry'!$ĝ$811), "", 'Data Entry'!$ĝ$811)</f>
      </c>
      <c r="HN811">
        <f>IF(ISBLANK('Data Entry'!$Ğ$811), "", 'Data Entry'!$Ğ$811)</f>
      </c>
      <c r="HO811">
        <f>IF(ISBLANK('Data Entry'!$ğ$811), "", 'Data Entry'!$ğ$811)</f>
      </c>
      <c r="HP811">
        <f>IF(ISBLANK('Data Entry'!$Ġ$811), "", 'Data Entry'!$Ġ$811)</f>
      </c>
      <c r="HQ811">
        <f>IF(ISBLANK('Data Entry'!$ġ$811), "", 'Data Entry'!$ġ$811)</f>
      </c>
      <c r="HR811">
        <f>IF(ISBLANK('Data Entry'!$Ģ$811), "", 'Data Entry'!$Ģ$811)</f>
      </c>
      <c r="HS811">
        <f>IF(ISBLANK('Data Entry'!$ģ$811), "", 'Data Entry'!$ģ$811)</f>
      </c>
      <c r="HT811">
        <f>IF(ISBLANK('Data Entry'!$Ĥ$811), "", 'Data Entry'!$Ĥ$811)</f>
      </c>
      <c r="HU811">
        <f>IF(ISBLANK('Data Entry'!$ĥ$811), "", 'Data Entry'!$ĥ$811)</f>
      </c>
      <c r="HV811">
        <f>IF(ISBLANK('Data Entry'!$Ħ$811), "", 'Data Entry'!$Ħ$811)</f>
      </c>
      <c r="HW811">
        <f>IF(ISBLANK('Data Entry'!$ħ$811), "", 'Data Entry'!$ħ$811)</f>
      </c>
      <c r="HX811">
        <f>IF(ISBLANK('Data Entry'!$Ĩ$811), "", 'Data Entry'!$Ĩ$811)</f>
      </c>
      <c r="HY811">
        <f>IF(ISBLANK('Data Entry'!$ĩ$811), "", 'Data Entry'!$ĩ$811)</f>
      </c>
      <c r="HZ811">
        <f>IF(ISBLANK('Data Entry'!$Ī$811), "", 'Data Entry'!$Ī$811)</f>
      </c>
      <c r="IA811">
        <f>IF(ISBLANK('Data Entry'!$ī$811), "", 'Data Entry'!$ī$811)</f>
      </c>
      <c r="IB811">
        <f>IF(ISBLANK('Data Entry'!$Ĭ$811), "", 'Data Entry'!$Ĭ$811)</f>
      </c>
      <c r="IC811">
        <f>IF(ISBLANK('Data Entry'!$ĭ$811), "", 'Data Entry'!$ĭ$811)</f>
      </c>
      <c r="ID811">
        <f>IF(ISBLANK('Data Entry'!$Į$811), "", 'Data Entry'!$Į$811)</f>
      </c>
      <c r="IE811">
        <f>IF(ISBLANK('Data Entry'!$į$811), "", 'Data Entry'!$į$811)</f>
      </c>
      <c r="IF811">
        <f>IF(ISBLANK('Data Entry'!$İ$811), "", 'Data Entry'!$İ$811)</f>
      </c>
      <c r="IG811">
        <f>IF(ISBLANK('Data Entry'!$ı$811), "", 'Data Entry'!$ı$811)</f>
      </c>
      <c r="IH811">
        <f>IF(ISBLANK('Data Entry'!$Ĳ$811), "", 'Data Entry'!$Ĳ$811)</f>
      </c>
      <c r="II811">
        <f>IF(ISBLANK('Data Entry'!$ĳ$811), "", 'Data Entry'!$ĳ$811)</f>
      </c>
      <c r="IJ811">
        <f>IF(ISBLANK('Data Entry'!$Ĵ$811), "", 'Data Entry'!$Ĵ$811)</f>
      </c>
      <c r="IK811">
        <f>IF(ISBLANK('Data Entry'!$ĵ$811), "", 'Data Entry'!$ĵ$811)</f>
      </c>
      <c r="IL811">
        <f>IF(ISBLANK('Data Entry'!$Ķ$811), "", 'Data Entry'!$Ķ$811)</f>
      </c>
      <c r="IM811">
        <f>IF(ISBLANK('Data Entry'!$ķ$811), "", 'Data Entry'!$ķ$811)</f>
      </c>
      <c r="IN811">
        <f>IF(ISBLANK('Data Entry'!$ĸ$811), "", 'Data Entry'!$ĸ$811)</f>
      </c>
      <c r="IO811">
        <f>IF(ISBLANK('Data Entry'!$Ĺ$811), "", 'Data Entry'!$Ĺ$811)</f>
      </c>
      <c r="IP811">
        <f>IF(ISBLANK('Data Entry'!$ĺ$811), "", 'Data Entry'!$ĺ$811)</f>
      </c>
      <c r="IQ811">
        <f>IF(ISBLANK('Data Entry'!$Ļ$811), "", 'Data Entry'!$Ļ$811)</f>
      </c>
      <c r="IR811">
        <f>IF(ISBLANK('Data Entry'!$ļ$811), "", 'Data Entry'!$ļ$811)</f>
      </c>
      <c r="IS811">
        <f>IF(ISBLANK('Data Entry'!$Ľ$811), "", 'Data Entry'!$Ľ$811)</f>
      </c>
      <c r="IT811">
        <f>IF(ISBLANK('Data Entry'!$ľ$811), "", 'Data Entry'!$ľ$811)</f>
      </c>
    </row>
    <row r="812" spans="1:254" x14ac:dyDescent="0.25">
      <c r="A812">
        <f>IF(ISBLANK('Data Entry'!$A$812), "", 'Data Entry'!$A$812)</f>
      </c>
      <c r="B812">
        <f>IF(ISBLANK('Data Entry'!$B$812), "", 'Data Entry'!$B$812)</f>
      </c>
      <c r="C812">
        <f>IF(ISBLANK('Data Entry'!$C$812), "", 'Data Entry'!$C$812)</f>
      </c>
      <c r="D812">
        <f>IF(ISBLANK('Data Entry'!$D$812), "", 'Data Entry'!$D$812)</f>
      </c>
      <c r="E812">
        <f>IF(ISBLANK('Data Entry'!$E$812), "", 'Data Entry'!$E$812)</f>
      </c>
      <c r="F812">
        <f>IF(ISBLANK('Data Entry'!$F$812), "", 'Data Entry'!$F$812)</f>
      </c>
      <c r="G812">
        <f>IF(ISBLANK('Data Entry'!$G$812), "", 'Data Entry'!$G$812)</f>
      </c>
      <c r="H812">
        <f>IF(ISBLANK('Data Entry'!$H$812), "", 'Data Entry'!$H$812)</f>
      </c>
      <c r="I812">
        <f>IF(ISBLANK('Data Entry'!$I$812), "", 'Data Entry'!$I$812)</f>
      </c>
      <c r="J812">
        <f>IF(ISBLANK('Data Entry'!$J$812), "", 'Data Entry'!$J$812)</f>
      </c>
      <c r="K812">
        <f>IF(ISBLANK('Data Entry'!$K$812), "", 'Data Entry'!$K$812)</f>
      </c>
      <c r="L812">
        <f>IF(ISBLANK('Data Entry'!$L$812), "", 'Data Entry'!$L$812)</f>
      </c>
      <c r="M812">
        <f>IF(ISBLANK('Data Entry'!$M$812), "", 'Data Entry'!$M$812)</f>
      </c>
      <c r="N812">
        <f>IF(ISBLANK('Data Entry'!$N$812), "", 'Data Entry'!$N$812)</f>
      </c>
      <c r="O812">
        <f>IF(ISBLANK('Data Entry'!$O$812), "", 'Data Entry'!$O$812)</f>
      </c>
      <c r="P812">
        <f>IF(ISBLANK('Data Entry'!$P$812), "", 'Data Entry'!$P$812)</f>
      </c>
      <c r="Q812">
        <f>IF(ISBLANK('Data Entry'!$Q$812), "", 'Data Entry'!$Q$812)</f>
      </c>
      <c r="R812">
        <f>IF(ISBLANK('Data Entry'!$R$812), "", 'Data Entry'!$R$812)</f>
      </c>
      <c r="S812">
        <f>IF(ISBLANK('Data Entry'!$S$812), "", 'Data Entry'!$S$812)</f>
      </c>
      <c r="T812">
        <f>IF(ISBLANK('Data Entry'!$T$812), "", 'Data Entry'!$T$812)</f>
      </c>
      <c r="U812">
        <f>IF(ISBLANK('Data Entry'!$U$812), "", 'Data Entry'!$U$812)</f>
      </c>
      <c r="V812">
        <f>IF(ISBLANK('Data Entry'!$V$812), "", 'Data Entry'!$V$812)</f>
      </c>
      <c r="W812">
        <f>IF(ISBLANK('Data Entry'!$W$812), "", 'Data Entry'!$W$812)</f>
      </c>
      <c r="X812">
        <f>IF(ISBLANK('Data Entry'!$X$812), "", 'Data Entry'!$X$812)</f>
      </c>
      <c r="Y812">
        <f>IF(ISBLANK('Data Entry'!$Y$812), "", 'Data Entry'!$Y$812)</f>
      </c>
      <c r="Z812">
        <f>IF(ISBLANK('Data Entry'!$Z$812), "", 'Data Entry'!$Z$812)</f>
      </c>
      <c r="AA812">
        <f>IF(ISBLANK('Data Entry'!$[$812), "", 'Data Entry'!$[$812)</f>
      </c>
      <c r="AB812">
        <f>IF(ISBLANK('Data Entry'!$\$812), "", 'Data Entry'!$\$812)</f>
      </c>
      <c r="AC812">
        <f>IF(ISBLANK('Data Entry'!$]$812), "", 'Data Entry'!$]$812)</f>
      </c>
      <c r="AD812">
        <f>IF(ISBLANK('Data Entry'!$^$812), "", 'Data Entry'!$^$812)</f>
      </c>
      <c r="AE812">
        <f>IF(ISBLANK('Data Entry'!$_$812), "", 'Data Entry'!$_$812)</f>
      </c>
      <c r="AF812">
        <f>IF(ISBLANK('Data Entry'!$`$812), "", 'Data Entry'!$`$812)</f>
      </c>
      <c r="AG812">
        <f>IF(ISBLANK('Data Entry'!$a$812), "", 'Data Entry'!$a$812)</f>
      </c>
      <c r="AH812">
        <f>IF(ISBLANK('Data Entry'!$b$812), "", 'Data Entry'!$b$812)</f>
      </c>
      <c r="AI812">
        <f>IF(ISBLANK('Data Entry'!$c$812), "", 'Data Entry'!$c$812)</f>
      </c>
      <c r="AJ812">
        <f>IF(ISBLANK('Data Entry'!$d$812), "", 'Data Entry'!$d$812)</f>
      </c>
      <c r="AK812">
        <f>IF(ISBLANK('Data Entry'!$e$812), "", 'Data Entry'!$e$812)</f>
      </c>
      <c r="AL812">
        <f>IF(ISBLANK('Data Entry'!$f$812), "", 'Data Entry'!$f$812)</f>
      </c>
      <c r="AM812">
        <f>IF(ISBLANK('Data Entry'!$g$812), "", 'Data Entry'!$g$812)</f>
      </c>
      <c r="AN812">
        <f>IF(ISBLANK('Data Entry'!$h$812), "", 'Data Entry'!$h$812)</f>
      </c>
      <c r="AO812">
        <f>IF(ISBLANK('Data Entry'!$i$812), "", 'Data Entry'!$i$812)</f>
      </c>
      <c r="AP812">
        <f>IF(ISBLANK('Data Entry'!$j$812), "", 'Data Entry'!$j$812)</f>
      </c>
      <c r="AQ812">
        <f>IF(ISBLANK('Data Entry'!$k$812), "", 'Data Entry'!$k$812)</f>
      </c>
      <c r="AR812">
        <f>IF(ISBLANK('Data Entry'!$l$812), "", 'Data Entry'!$l$812)</f>
      </c>
      <c r="AS812">
        <f>IF(ISBLANK('Data Entry'!$m$812), "", 'Data Entry'!$m$812)</f>
      </c>
      <c r="AT812">
        <f>IF(ISBLANK('Data Entry'!$n$812), "", 'Data Entry'!$n$812)</f>
      </c>
      <c r="AU812">
        <f>IF(ISBLANK('Data Entry'!$o$812), "", 'Data Entry'!$o$812)</f>
      </c>
      <c r="AV812">
        <f>IF(ISBLANK('Data Entry'!$p$812), "", 'Data Entry'!$p$812)</f>
      </c>
      <c r="AW812">
        <f>IF(ISBLANK('Data Entry'!$q$812), "", 'Data Entry'!$q$812)</f>
      </c>
      <c r="AX812">
        <f>IF(ISBLANK('Data Entry'!$r$812), "", 'Data Entry'!$r$812)</f>
      </c>
      <c r="AY812">
        <f>IF(ISBLANK('Data Entry'!$s$812), "", 'Data Entry'!$s$812)</f>
      </c>
      <c r="AZ812">
        <f>IF(ISBLANK('Data Entry'!$t$812), "", 'Data Entry'!$t$812)</f>
      </c>
      <c r="BA812">
        <f>IF(ISBLANK('Data Entry'!$u$812), "", 'Data Entry'!$u$812)</f>
      </c>
      <c r="BB812">
        <f>IF(ISBLANK('Data Entry'!$v$812), "", 'Data Entry'!$v$812)</f>
      </c>
      <c r="BC812">
        <f>IF(ISBLANK('Data Entry'!$w$812), "", 'Data Entry'!$w$812)</f>
      </c>
      <c r="BD812">
        <f>IF(ISBLANK('Data Entry'!$x$812), "", 'Data Entry'!$x$812)</f>
      </c>
      <c r="BE812">
        <f>IF(ISBLANK('Data Entry'!$y$812), "", 'Data Entry'!$y$812)</f>
      </c>
      <c r="BF812">
        <f>IF(ISBLANK('Data Entry'!$z$812), "", 'Data Entry'!$z$812)</f>
      </c>
      <c r="BG812">
        <f>IF(ISBLANK('Data Entry'!${$812), "", 'Data Entry'!${$812)</f>
      </c>
      <c r="BH812">
        <f>IF(ISBLANK('Data Entry'!$|$812), "", 'Data Entry'!$|$812)</f>
      </c>
      <c r="BI812">
        <f>IF(ISBLANK('Data Entry'!$}$812), "", 'Data Entry'!$}$812)</f>
      </c>
      <c r="BJ812">
        <f>IF(ISBLANK('Data Entry'!$~$812), "", 'Data Entry'!$~$812)</f>
      </c>
      <c r="BK812">
        <f>IF(ISBLANK('Data Entry'!$$812), "", 'Data Entry'!$$812)</f>
      </c>
      <c r="BL812">
        <f>IF(ISBLANK('Data Entry'!$$812), "", 'Data Entry'!$$812)</f>
      </c>
      <c r="BM812">
        <f>IF(ISBLANK('Data Entry'!$$812), "", 'Data Entry'!$$812)</f>
      </c>
      <c r="BN812">
        <f>IF(ISBLANK('Data Entry'!$$812), "", 'Data Entry'!$$812)</f>
      </c>
      <c r="BO812">
        <f>IF(ISBLANK('Data Entry'!$$812), "", 'Data Entry'!$$812)</f>
      </c>
      <c r="BP812">
        <f>IF(ISBLANK('Data Entry'!$$812), "", 'Data Entry'!$$812)</f>
      </c>
      <c r="BQ812">
        <f>IF(ISBLANK('Data Entry'!$$812), "", 'Data Entry'!$$812)</f>
      </c>
      <c r="BR812">
        <f>IF(ISBLANK('Data Entry'!$$812), "", 'Data Entry'!$$812)</f>
      </c>
      <c r="BS812">
        <f>IF(ISBLANK('Data Entry'!$$812), "", 'Data Entry'!$$812)</f>
      </c>
      <c r="BT812">
        <f>IF(ISBLANK('Data Entry'!$$812), "", 'Data Entry'!$$812)</f>
      </c>
      <c r="BU812">
        <f>IF(ISBLANK('Data Entry'!$$812), "", 'Data Entry'!$$812)</f>
      </c>
      <c r="BV812">
        <f>IF(ISBLANK('Data Entry'!$$812), "", 'Data Entry'!$$812)</f>
      </c>
      <c r="BW812">
        <f>IF(ISBLANK('Data Entry'!$$812), "", 'Data Entry'!$$812)</f>
      </c>
      <c r="BX812">
        <f>IF(ISBLANK('Data Entry'!$$812), "", 'Data Entry'!$$812)</f>
      </c>
      <c r="BY812">
        <f>IF(ISBLANK('Data Entry'!$$812), "", 'Data Entry'!$$812)</f>
      </c>
      <c r="BZ812">
        <f>IF(ISBLANK('Data Entry'!$$812), "", 'Data Entry'!$$812)</f>
      </c>
      <c r="CA812">
        <f>IF(ISBLANK('Data Entry'!$$812), "", 'Data Entry'!$$812)</f>
      </c>
      <c r="CB812">
        <f>IF(ISBLANK('Data Entry'!$$812), "", 'Data Entry'!$$812)</f>
      </c>
      <c r="CC812">
        <f>IF(ISBLANK('Data Entry'!$$812), "", 'Data Entry'!$$812)</f>
      </c>
      <c r="CD812">
        <f>IF(ISBLANK('Data Entry'!$$812), "", 'Data Entry'!$$812)</f>
      </c>
      <c r="CE812">
        <f>IF(ISBLANK('Data Entry'!$$812), "", 'Data Entry'!$$812)</f>
      </c>
      <c r="CF812">
        <f>IF(ISBLANK('Data Entry'!$$812), "", 'Data Entry'!$$812)</f>
      </c>
      <c r="CG812">
        <f>IF(ISBLANK('Data Entry'!$$812), "", 'Data Entry'!$$812)</f>
      </c>
      <c r="CH812">
        <f>IF(ISBLANK('Data Entry'!$$812), "", 'Data Entry'!$$812)</f>
      </c>
      <c r="CI812">
        <f>IF(ISBLANK('Data Entry'!$$812), "", 'Data Entry'!$$812)</f>
      </c>
      <c r="CJ812">
        <f>IF(ISBLANK('Data Entry'!$$812), "", 'Data Entry'!$$812)</f>
      </c>
      <c r="CK812">
        <f>IF(ISBLANK('Data Entry'!$$812), "", 'Data Entry'!$$812)</f>
      </c>
      <c r="CL812">
        <f>IF(ISBLANK('Data Entry'!$$812), "", 'Data Entry'!$$812)</f>
      </c>
      <c r="CM812">
        <f>IF(ISBLANK('Data Entry'!$$812), "", 'Data Entry'!$$812)</f>
      </c>
      <c r="CN812">
        <f>IF(ISBLANK('Data Entry'!$$812), "", 'Data Entry'!$$812)</f>
      </c>
      <c r="CO812">
        <f>IF(ISBLANK('Data Entry'!$$812), "", 'Data Entry'!$$812)</f>
      </c>
      <c r="CP812">
        <f>IF(ISBLANK('Data Entry'!$$812), "", 'Data Entry'!$$812)</f>
      </c>
      <c r="CQ812">
        <f>IF(ISBLANK('Data Entry'!$$812), "", 'Data Entry'!$$812)</f>
      </c>
      <c r="CR812">
        <f>IF(ISBLANK('Data Entry'!$ $812), "", 'Data Entry'!$ $812)</f>
      </c>
      <c r="CS812">
        <f>IF(ISBLANK('Data Entry'!$¡$812), "", 'Data Entry'!$¡$812)</f>
      </c>
      <c r="CT812">
        <f>IF(ISBLANK('Data Entry'!$¢$812), "", 'Data Entry'!$¢$812)</f>
      </c>
      <c r="CU812">
        <f>IF(ISBLANK('Data Entry'!$£$812), "", 'Data Entry'!$£$812)</f>
      </c>
      <c r="CV812">
        <f>IF(ISBLANK('Data Entry'!$¤$812), "", 'Data Entry'!$¤$812)</f>
      </c>
      <c r="CW812">
        <f>IF(ISBLANK('Data Entry'!$¥$812), "", 'Data Entry'!$¥$812)</f>
      </c>
      <c r="CX812">
        <f>IF(ISBLANK('Data Entry'!$¦$812), "", 'Data Entry'!$¦$812)</f>
      </c>
      <c r="CY812">
        <f>IF(ISBLANK('Data Entry'!$§$812), "", 'Data Entry'!$§$812)</f>
      </c>
      <c r="CZ812">
        <f>IF(ISBLANK('Data Entry'!$¨$812), "", 'Data Entry'!$¨$812)</f>
      </c>
      <c r="DA812">
        <f>IF(ISBLANK('Data Entry'!$©$812), "", 'Data Entry'!$©$812)</f>
      </c>
      <c r="DB812">
        <f>IF(ISBLANK('Data Entry'!$ª$812), "", 'Data Entry'!$ª$812)</f>
      </c>
      <c r="DC812">
        <f>IF(ISBLANK('Data Entry'!$«$812), "", 'Data Entry'!$«$812)</f>
      </c>
      <c r="DD812">
        <f>IF(ISBLANK('Data Entry'!$¬$812), "", 'Data Entry'!$¬$812)</f>
      </c>
      <c r="DE812">
        <f>IF(ISBLANK('Data Entry'!$­$812), "", 'Data Entry'!$­$812)</f>
      </c>
      <c r="DF812">
        <f>IF(ISBLANK('Data Entry'!$®$812), "", 'Data Entry'!$®$812)</f>
      </c>
      <c r="DG812">
        <f>IF(ISBLANK('Data Entry'!$¯$812), "", 'Data Entry'!$¯$812)</f>
      </c>
      <c r="DH812">
        <f>IF(ISBLANK('Data Entry'!$°$812), "", 'Data Entry'!$°$812)</f>
      </c>
      <c r="DI812">
        <f>IF(ISBLANK('Data Entry'!$±$812), "", 'Data Entry'!$±$812)</f>
      </c>
      <c r="DJ812">
        <f>IF(ISBLANK('Data Entry'!$²$812), "", 'Data Entry'!$²$812)</f>
      </c>
      <c r="DK812">
        <f>IF(ISBLANK('Data Entry'!$³$812), "", 'Data Entry'!$³$812)</f>
      </c>
      <c r="DL812">
        <f>IF(ISBLANK('Data Entry'!$´$812), "", 'Data Entry'!$´$812)</f>
      </c>
      <c r="DM812">
        <f>IF(ISBLANK('Data Entry'!$µ$812), "", 'Data Entry'!$µ$812)</f>
      </c>
      <c r="DN812">
        <f>IF(ISBLANK('Data Entry'!$¶$812), "", 'Data Entry'!$¶$812)</f>
      </c>
      <c r="DO812">
        <f>IF(ISBLANK('Data Entry'!$·$812), "", 'Data Entry'!$·$812)</f>
      </c>
      <c r="DP812">
        <f>IF(ISBLANK('Data Entry'!$¸$812), "", 'Data Entry'!$¸$812)</f>
      </c>
      <c r="DQ812">
        <f>IF(ISBLANK('Data Entry'!$¹$812), "", 'Data Entry'!$¹$812)</f>
      </c>
      <c r="DR812">
        <f>IF(ISBLANK('Data Entry'!$º$812), "", 'Data Entry'!$º$812)</f>
      </c>
      <c r="DS812">
        <f>IF(ISBLANK('Data Entry'!$»$812), "", 'Data Entry'!$»$812)</f>
      </c>
      <c r="DT812">
        <f>IF(ISBLANK('Data Entry'!$¼$812), "", 'Data Entry'!$¼$812)</f>
      </c>
      <c r="DU812">
        <f>IF(ISBLANK('Data Entry'!$½$812), "", 'Data Entry'!$½$812)</f>
      </c>
      <c r="DV812">
        <f>IF(ISBLANK('Data Entry'!$¾$812), "", 'Data Entry'!$¾$812)</f>
      </c>
      <c r="DW812">
        <f>IF(ISBLANK('Data Entry'!$¿$812), "", 'Data Entry'!$¿$812)</f>
      </c>
      <c r="DX812">
        <f>IF(ISBLANK('Data Entry'!$À$812), "", 'Data Entry'!$À$812)</f>
      </c>
      <c r="DY812">
        <f>IF(ISBLANK('Data Entry'!$Á$812), "", 'Data Entry'!$Á$812)</f>
      </c>
      <c r="DZ812">
        <f>IF(ISBLANK('Data Entry'!$Â$812), "", 'Data Entry'!$Â$812)</f>
      </c>
      <c r="EA812">
        <f>IF(ISBLANK('Data Entry'!$Ã$812), "", 'Data Entry'!$Ã$812)</f>
      </c>
      <c r="EB812">
        <f>IF(ISBLANK('Data Entry'!$Ä$812), "", 'Data Entry'!$Ä$812)</f>
      </c>
      <c r="EC812">
        <f>IF(ISBLANK('Data Entry'!$Å$812), "", 'Data Entry'!$Å$812)</f>
      </c>
      <c r="ED812">
        <f>IF(ISBLANK('Data Entry'!$Æ$812), "", 'Data Entry'!$Æ$812)</f>
      </c>
      <c r="EE812">
        <f>IF(ISBLANK('Data Entry'!$Ç$812), "", 'Data Entry'!$Ç$812)</f>
      </c>
      <c r="EF812">
        <f>IF(ISBLANK('Data Entry'!$È$812), "", 'Data Entry'!$È$812)</f>
      </c>
      <c r="EG812">
        <f>IF(ISBLANK('Data Entry'!$É$812), "", 'Data Entry'!$É$812)</f>
      </c>
      <c r="EH812">
        <f>IF(ISBLANK('Data Entry'!$Ê$812), "", 'Data Entry'!$Ê$812)</f>
      </c>
      <c r="EI812">
        <f>IF(ISBLANK('Data Entry'!$Ë$812), "", 'Data Entry'!$Ë$812)</f>
      </c>
      <c r="EJ812">
        <f>IF(ISBLANK('Data Entry'!$Ì$812), "", 'Data Entry'!$Ì$812)</f>
      </c>
      <c r="EK812">
        <f>IF(ISBLANK('Data Entry'!$Í$812), "", 'Data Entry'!$Í$812)</f>
      </c>
      <c r="EL812">
        <f>IF(ISBLANK('Data Entry'!$Î$812), "", 'Data Entry'!$Î$812)</f>
      </c>
      <c r="EM812">
        <f>IF(ISBLANK('Data Entry'!$Ï$812), "", 'Data Entry'!$Ï$812)</f>
      </c>
      <c r="EN812">
        <f>IF(ISBLANK('Data Entry'!$Ð$812), "", 'Data Entry'!$Ð$812)</f>
      </c>
      <c r="EO812">
        <f>IF(ISBLANK('Data Entry'!$Ñ$812), "", 'Data Entry'!$Ñ$812)</f>
      </c>
      <c r="EP812">
        <f>IF(ISBLANK('Data Entry'!$Ò$812), "", 'Data Entry'!$Ò$812)</f>
      </c>
      <c r="EQ812">
        <f>IF(ISBLANK('Data Entry'!$Ó$812), "", 'Data Entry'!$Ó$812)</f>
      </c>
      <c r="ER812">
        <f>IF(ISBLANK('Data Entry'!$Ô$812), "", 'Data Entry'!$Ô$812)</f>
      </c>
      <c r="ES812">
        <f>IF(ISBLANK('Data Entry'!$Õ$812), "", 'Data Entry'!$Õ$812)</f>
      </c>
      <c r="ET812">
        <f>IF(ISBLANK('Data Entry'!$Ö$812), "", 'Data Entry'!$Ö$812)</f>
      </c>
      <c r="EU812">
        <f>IF(ISBLANK('Data Entry'!$×$812), "", 'Data Entry'!$×$812)</f>
      </c>
      <c r="EV812">
        <f>IF(ISBLANK('Data Entry'!$Ø$812), "", 'Data Entry'!$Ø$812)</f>
      </c>
      <c r="EW812">
        <f>IF(ISBLANK('Data Entry'!$Ù$812), "", 'Data Entry'!$Ù$812)</f>
      </c>
      <c r="EX812">
        <f>IF(ISBLANK('Data Entry'!$Ú$812), "", 'Data Entry'!$Ú$812)</f>
      </c>
      <c r="EY812">
        <f>IF(ISBLANK('Data Entry'!$Û$812), "", 'Data Entry'!$Û$812)</f>
      </c>
      <c r="EZ812">
        <f>IF(ISBLANK('Data Entry'!$Ü$812), "", 'Data Entry'!$Ü$812)</f>
      </c>
      <c r="FA812">
        <f>IF(ISBLANK('Data Entry'!$Ý$812), "", 'Data Entry'!$Ý$812)</f>
      </c>
      <c r="FB812">
        <f>IF(ISBLANK('Data Entry'!$Þ$812), "", 'Data Entry'!$Þ$812)</f>
      </c>
      <c r="FC812">
        <f>IF(ISBLANK('Data Entry'!$ß$812), "", 'Data Entry'!$ß$812)</f>
      </c>
      <c r="FD812">
        <f>IF(ISBLANK('Data Entry'!$à$812), "", 'Data Entry'!$à$812)</f>
      </c>
      <c r="FE812">
        <f>IF(ISBLANK('Data Entry'!$á$812), "", 'Data Entry'!$á$812)</f>
      </c>
      <c r="FF812">
        <f>IF(ISBLANK('Data Entry'!$â$812), "", 'Data Entry'!$â$812)</f>
      </c>
      <c r="FG812">
        <f>IF(ISBLANK('Data Entry'!$ã$812), "", 'Data Entry'!$ã$812)</f>
      </c>
      <c r="FH812">
        <f>IF(ISBLANK('Data Entry'!$ä$812), "", 'Data Entry'!$ä$812)</f>
      </c>
      <c r="FI812">
        <f>IF(ISBLANK('Data Entry'!$å$812), "", 'Data Entry'!$å$812)</f>
      </c>
      <c r="FJ812">
        <f>IF(ISBLANK('Data Entry'!$æ$812), "", 'Data Entry'!$æ$812)</f>
      </c>
      <c r="FK812">
        <f>IF(ISBLANK('Data Entry'!$ç$812), "", 'Data Entry'!$ç$812)</f>
      </c>
      <c r="FL812">
        <f>IF(ISBLANK('Data Entry'!$è$812), "", 'Data Entry'!$è$812)</f>
      </c>
      <c r="FM812">
        <f>IF(ISBLANK('Data Entry'!$é$812), "", 'Data Entry'!$é$812)</f>
      </c>
      <c r="FN812">
        <f>IF(ISBLANK('Data Entry'!$ê$812), "", 'Data Entry'!$ê$812)</f>
      </c>
      <c r="FO812">
        <f>IF(ISBLANK('Data Entry'!$ë$812), "", 'Data Entry'!$ë$812)</f>
      </c>
      <c r="FP812">
        <f>IF(ISBLANK('Data Entry'!$ì$812), "", 'Data Entry'!$ì$812)</f>
      </c>
      <c r="FQ812">
        <f>IF(ISBLANK('Data Entry'!$í$812), "", 'Data Entry'!$í$812)</f>
      </c>
      <c r="FR812">
        <f>IF(ISBLANK('Data Entry'!$î$812), "", 'Data Entry'!$î$812)</f>
      </c>
      <c r="FS812">
        <f>IF(ISBLANK('Data Entry'!$ï$812), "", 'Data Entry'!$ï$812)</f>
      </c>
      <c r="FT812">
        <f>IF(ISBLANK('Data Entry'!$ð$812), "", 'Data Entry'!$ð$812)</f>
      </c>
      <c r="FU812">
        <f>IF(ISBLANK('Data Entry'!$ñ$812), "", 'Data Entry'!$ñ$812)</f>
      </c>
      <c r="FV812">
        <f>IF(ISBLANK('Data Entry'!$ò$812), "", 'Data Entry'!$ò$812)</f>
      </c>
      <c r="FW812">
        <f>IF(ISBLANK('Data Entry'!$ó$812), "", 'Data Entry'!$ó$812)</f>
      </c>
      <c r="FX812">
        <f>IF(ISBLANK('Data Entry'!$ô$812), "", 'Data Entry'!$ô$812)</f>
      </c>
      <c r="FY812">
        <f>IF(ISBLANK('Data Entry'!$õ$812), "", 'Data Entry'!$õ$812)</f>
      </c>
      <c r="FZ812">
        <f>IF(ISBLANK('Data Entry'!$ö$812), "", 'Data Entry'!$ö$812)</f>
      </c>
      <c r="GA812">
        <f>IF(ISBLANK('Data Entry'!$÷$812), "", 'Data Entry'!$÷$812)</f>
      </c>
      <c r="GB812">
        <f>IF(ISBLANK('Data Entry'!$ø$812), "", 'Data Entry'!$ø$812)</f>
      </c>
      <c r="GC812">
        <f>IF(ISBLANK('Data Entry'!$ù$812), "", 'Data Entry'!$ù$812)</f>
      </c>
      <c r="GD812">
        <f>IF(ISBLANK('Data Entry'!$ú$812), "", 'Data Entry'!$ú$812)</f>
      </c>
      <c r="GE812">
        <f>IF(ISBLANK('Data Entry'!$û$812), "", 'Data Entry'!$û$812)</f>
      </c>
      <c r="GF812">
        <f>IF(ISBLANK('Data Entry'!$ü$812), "", 'Data Entry'!$ü$812)</f>
      </c>
      <c r="GG812">
        <f>IF(ISBLANK('Data Entry'!$ý$812), "", 'Data Entry'!$ý$812)</f>
      </c>
      <c r="GH812">
        <f>IF(ISBLANK('Data Entry'!$þ$812), "", 'Data Entry'!$þ$812)</f>
      </c>
      <c r="GI812">
        <f>IF(ISBLANK('Data Entry'!$ÿ$812), "", 'Data Entry'!$ÿ$812)</f>
      </c>
      <c r="GJ812">
        <f>IF(ISBLANK('Data Entry'!$Ā$812), "", 'Data Entry'!$Ā$812)</f>
      </c>
      <c r="GK812">
        <f>IF(ISBLANK('Data Entry'!$ā$812), "", 'Data Entry'!$ā$812)</f>
      </c>
      <c r="GL812">
        <f>IF(ISBLANK('Data Entry'!$Ă$812), "", 'Data Entry'!$Ă$812)</f>
      </c>
      <c r="GM812">
        <f>IF(ISBLANK('Data Entry'!$ă$812), "", 'Data Entry'!$ă$812)</f>
      </c>
      <c r="GN812">
        <f>IF(ISBLANK('Data Entry'!$Ą$812), "", 'Data Entry'!$Ą$812)</f>
      </c>
      <c r="GO812">
        <f>IF(ISBLANK('Data Entry'!$ą$812), "", 'Data Entry'!$ą$812)</f>
      </c>
      <c r="GP812">
        <f>IF(ISBLANK('Data Entry'!$Ć$812), "", 'Data Entry'!$Ć$812)</f>
      </c>
      <c r="GQ812">
        <f>IF(ISBLANK('Data Entry'!$ć$812), "", 'Data Entry'!$ć$812)</f>
      </c>
      <c r="GR812">
        <f>IF(ISBLANK('Data Entry'!$Ĉ$812), "", 'Data Entry'!$Ĉ$812)</f>
      </c>
      <c r="GS812">
        <f>IF(ISBLANK('Data Entry'!$ĉ$812), "", 'Data Entry'!$ĉ$812)</f>
      </c>
      <c r="GT812">
        <f>IF(ISBLANK('Data Entry'!$Ċ$812), "", 'Data Entry'!$Ċ$812)</f>
      </c>
      <c r="GU812">
        <f>IF(ISBLANK('Data Entry'!$ċ$812), "", 'Data Entry'!$ċ$812)</f>
      </c>
      <c r="GV812">
        <f>IF(ISBLANK('Data Entry'!$Č$812), "", 'Data Entry'!$Č$812)</f>
      </c>
      <c r="GW812">
        <f>IF(ISBLANK('Data Entry'!$č$812), "", 'Data Entry'!$č$812)</f>
      </c>
      <c r="GX812">
        <f>IF(ISBLANK('Data Entry'!$Ď$812), "", 'Data Entry'!$Ď$812)</f>
      </c>
      <c r="GY812">
        <f>IF(ISBLANK('Data Entry'!$ď$812), "", 'Data Entry'!$ď$812)</f>
      </c>
      <c r="GZ812">
        <f>IF(ISBLANK('Data Entry'!$Đ$812), "", 'Data Entry'!$Đ$812)</f>
      </c>
      <c r="HA812">
        <f>IF(ISBLANK('Data Entry'!$đ$812), "", 'Data Entry'!$đ$812)</f>
      </c>
      <c r="HB812">
        <f>IF(ISBLANK('Data Entry'!$Ē$812), "", 'Data Entry'!$Ē$812)</f>
      </c>
      <c r="HC812">
        <f>IF(ISBLANK('Data Entry'!$ē$812), "", 'Data Entry'!$ē$812)</f>
      </c>
      <c r="HD812">
        <f>IF(ISBLANK('Data Entry'!$Ĕ$812), "", 'Data Entry'!$Ĕ$812)</f>
      </c>
      <c r="HE812">
        <f>IF(ISBLANK('Data Entry'!$ĕ$812), "", 'Data Entry'!$ĕ$812)</f>
      </c>
      <c r="HF812">
        <f>IF(ISBLANK('Data Entry'!$Ė$812), "", 'Data Entry'!$Ė$812)</f>
      </c>
      <c r="HG812">
        <f>IF(ISBLANK('Data Entry'!$ė$812), "", 'Data Entry'!$ė$812)</f>
      </c>
      <c r="HH812">
        <f>IF(ISBLANK('Data Entry'!$Ę$812), "", 'Data Entry'!$Ę$812)</f>
      </c>
      <c r="HI812">
        <f>IF(ISBLANK('Data Entry'!$ę$812), "", 'Data Entry'!$ę$812)</f>
      </c>
      <c r="HJ812">
        <f>IF(ISBLANK('Data Entry'!$Ě$812), "", 'Data Entry'!$Ě$812)</f>
      </c>
      <c r="HK812">
        <f>IF(ISBLANK('Data Entry'!$ě$812), "", 'Data Entry'!$ě$812)</f>
      </c>
      <c r="HL812">
        <f>IF(ISBLANK('Data Entry'!$Ĝ$812), "", 'Data Entry'!$Ĝ$812)</f>
      </c>
      <c r="HM812">
        <f>IF(ISBLANK('Data Entry'!$ĝ$812), "", 'Data Entry'!$ĝ$812)</f>
      </c>
      <c r="HN812">
        <f>IF(ISBLANK('Data Entry'!$Ğ$812), "", 'Data Entry'!$Ğ$812)</f>
      </c>
      <c r="HO812">
        <f>IF(ISBLANK('Data Entry'!$ğ$812), "", 'Data Entry'!$ğ$812)</f>
      </c>
      <c r="HP812">
        <f>IF(ISBLANK('Data Entry'!$Ġ$812), "", 'Data Entry'!$Ġ$812)</f>
      </c>
      <c r="HQ812">
        <f>IF(ISBLANK('Data Entry'!$ġ$812), "", 'Data Entry'!$ġ$812)</f>
      </c>
      <c r="HR812">
        <f>IF(ISBLANK('Data Entry'!$Ģ$812), "", 'Data Entry'!$Ģ$812)</f>
      </c>
      <c r="HS812">
        <f>IF(ISBLANK('Data Entry'!$ģ$812), "", 'Data Entry'!$ģ$812)</f>
      </c>
      <c r="HT812">
        <f>IF(ISBLANK('Data Entry'!$Ĥ$812), "", 'Data Entry'!$Ĥ$812)</f>
      </c>
      <c r="HU812">
        <f>IF(ISBLANK('Data Entry'!$ĥ$812), "", 'Data Entry'!$ĥ$812)</f>
      </c>
      <c r="HV812">
        <f>IF(ISBLANK('Data Entry'!$Ħ$812), "", 'Data Entry'!$Ħ$812)</f>
      </c>
      <c r="HW812">
        <f>IF(ISBLANK('Data Entry'!$ħ$812), "", 'Data Entry'!$ħ$812)</f>
      </c>
      <c r="HX812">
        <f>IF(ISBLANK('Data Entry'!$Ĩ$812), "", 'Data Entry'!$Ĩ$812)</f>
      </c>
      <c r="HY812">
        <f>IF(ISBLANK('Data Entry'!$ĩ$812), "", 'Data Entry'!$ĩ$812)</f>
      </c>
      <c r="HZ812">
        <f>IF(ISBLANK('Data Entry'!$Ī$812), "", 'Data Entry'!$Ī$812)</f>
      </c>
      <c r="IA812">
        <f>IF(ISBLANK('Data Entry'!$ī$812), "", 'Data Entry'!$ī$812)</f>
      </c>
      <c r="IB812">
        <f>IF(ISBLANK('Data Entry'!$Ĭ$812), "", 'Data Entry'!$Ĭ$812)</f>
      </c>
      <c r="IC812">
        <f>IF(ISBLANK('Data Entry'!$ĭ$812), "", 'Data Entry'!$ĭ$812)</f>
      </c>
      <c r="ID812">
        <f>IF(ISBLANK('Data Entry'!$Į$812), "", 'Data Entry'!$Į$812)</f>
      </c>
      <c r="IE812">
        <f>IF(ISBLANK('Data Entry'!$į$812), "", 'Data Entry'!$į$812)</f>
      </c>
      <c r="IF812">
        <f>IF(ISBLANK('Data Entry'!$İ$812), "", 'Data Entry'!$İ$812)</f>
      </c>
      <c r="IG812">
        <f>IF(ISBLANK('Data Entry'!$ı$812), "", 'Data Entry'!$ı$812)</f>
      </c>
      <c r="IH812">
        <f>IF(ISBLANK('Data Entry'!$Ĳ$812), "", 'Data Entry'!$Ĳ$812)</f>
      </c>
      <c r="II812">
        <f>IF(ISBLANK('Data Entry'!$ĳ$812), "", 'Data Entry'!$ĳ$812)</f>
      </c>
      <c r="IJ812">
        <f>IF(ISBLANK('Data Entry'!$Ĵ$812), "", 'Data Entry'!$Ĵ$812)</f>
      </c>
      <c r="IK812">
        <f>IF(ISBLANK('Data Entry'!$ĵ$812), "", 'Data Entry'!$ĵ$812)</f>
      </c>
      <c r="IL812">
        <f>IF(ISBLANK('Data Entry'!$Ķ$812), "", 'Data Entry'!$Ķ$812)</f>
      </c>
      <c r="IM812">
        <f>IF(ISBLANK('Data Entry'!$ķ$812), "", 'Data Entry'!$ķ$812)</f>
      </c>
      <c r="IN812">
        <f>IF(ISBLANK('Data Entry'!$ĸ$812), "", 'Data Entry'!$ĸ$812)</f>
      </c>
      <c r="IO812">
        <f>IF(ISBLANK('Data Entry'!$Ĺ$812), "", 'Data Entry'!$Ĺ$812)</f>
      </c>
      <c r="IP812">
        <f>IF(ISBLANK('Data Entry'!$ĺ$812), "", 'Data Entry'!$ĺ$812)</f>
      </c>
      <c r="IQ812">
        <f>IF(ISBLANK('Data Entry'!$Ļ$812), "", 'Data Entry'!$Ļ$812)</f>
      </c>
      <c r="IR812">
        <f>IF(ISBLANK('Data Entry'!$ļ$812), "", 'Data Entry'!$ļ$812)</f>
      </c>
      <c r="IS812">
        <f>IF(ISBLANK('Data Entry'!$Ľ$812), "", 'Data Entry'!$Ľ$812)</f>
      </c>
      <c r="IT812">
        <f>IF(ISBLANK('Data Entry'!$ľ$812), "", 'Data Entry'!$ľ$812)</f>
      </c>
    </row>
    <row r="813" spans="1:254" x14ac:dyDescent="0.25">
      <c r="A813">
        <f>IF(ISBLANK('Data Entry'!$A$813), "", 'Data Entry'!$A$813)</f>
      </c>
      <c r="B813">
        <f>IF(ISBLANK('Data Entry'!$B$813), "", 'Data Entry'!$B$813)</f>
      </c>
      <c r="C813">
        <f>IF(ISBLANK('Data Entry'!$C$813), "", 'Data Entry'!$C$813)</f>
      </c>
      <c r="D813">
        <f>IF(ISBLANK('Data Entry'!$D$813), "", 'Data Entry'!$D$813)</f>
      </c>
      <c r="E813">
        <f>IF(ISBLANK('Data Entry'!$E$813), "", 'Data Entry'!$E$813)</f>
      </c>
      <c r="F813">
        <f>IF(ISBLANK('Data Entry'!$F$813), "", 'Data Entry'!$F$813)</f>
      </c>
      <c r="G813">
        <f>IF(ISBLANK('Data Entry'!$G$813), "", 'Data Entry'!$G$813)</f>
      </c>
      <c r="H813">
        <f>IF(ISBLANK('Data Entry'!$H$813), "", 'Data Entry'!$H$813)</f>
      </c>
      <c r="I813">
        <f>IF(ISBLANK('Data Entry'!$I$813), "", 'Data Entry'!$I$813)</f>
      </c>
      <c r="J813">
        <f>IF(ISBLANK('Data Entry'!$J$813), "", 'Data Entry'!$J$813)</f>
      </c>
      <c r="K813">
        <f>IF(ISBLANK('Data Entry'!$K$813), "", 'Data Entry'!$K$813)</f>
      </c>
      <c r="L813">
        <f>IF(ISBLANK('Data Entry'!$L$813), "", 'Data Entry'!$L$813)</f>
      </c>
      <c r="M813">
        <f>IF(ISBLANK('Data Entry'!$M$813), "", 'Data Entry'!$M$813)</f>
      </c>
      <c r="N813">
        <f>IF(ISBLANK('Data Entry'!$N$813), "", 'Data Entry'!$N$813)</f>
      </c>
      <c r="O813">
        <f>IF(ISBLANK('Data Entry'!$O$813), "", 'Data Entry'!$O$813)</f>
      </c>
      <c r="P813">
        <f>IF(ISBLANK('Data Entry'!$P$813), "", 'Data Entry'!$P$813)</f>
      </c>
      <c r="Q813">
        <f>IF(ISBLANK('Data Entry'!$Q$813), "", 'Data Entry'!$Q$813)</f>
      </c>
      <c r="R813">
        <f>IF(ISBLANK('Data Entry'!$R$813), "", 'Data Entry'!$R$813)</f>
      </c>
      <c r="S813">
        <f>IF(ISBLANK('Data Entry'!$S$813), "", 'Data Entry'!$S$813)</f>
      </c>
      <c r="T813">
        <f>IF(ISBLANK('Data Entry'!$T$813), "", 'Data Entry'!$T$813)</f>
      </c>
      <c r="U813">
        <f>IF(ISBLANK('Data Entry'!$U$813), "", 'Data Entry'!$U$813)</f>
      </c>
      <c r="V813">
        <f>IF(ISBLANK('Data Entry'!$V$813), "", 'Data Entry'!$V$813)</f>
      </c>
      <c r="W813">
        <f>IF(ISBLANK('Data Entry'!$W$813), "", 'Data Entry'!$W$813)</f>
      </c>
      <c r="X813">
        <f>IF(ISBLANK('Data Entry'!$X$813), "", 'Data Entry'!$X$813)</f>
      </c>
      <c r="Y813">
        <f>IF(ISBLANK('Data Entry'!$Y$813), "", 'Data Entry'!$Y$813)</f>
      </c>
      <c r="Z813">
        <f>IF(ISBLANK('Data Entry'!$Z$813), "", 'Data Entry'!$Z$813)</f>
      </c>
      <c r="AA813">
        <f>IF(ISBLANK('Data Entry'!$[$813), "", 'Data Entry'!$[$813)</f>
      </c>
      <c r="AB813">
        <f>IF(ISBLANK('Data Entry'!$\$813), "", 'Data Entry'!$\$813)</f>
      </c>
      <c r="AC813">
        <f>IF(ISBLANK('Data Entry'!$]$813), "", 'Data Entry'!$]$813)</f>
      </c>
      <c r="AD813">
        <f>IF(ISBLANK('Data Entry'!$^$813), "", 'Data Entry'!$^$813)</f>
      </c>
      <c r="AE813">
        <f>IF(ISBLANK('Data Entry'!$_$813), "", 'Data Entry'!$_$813)</f>
      </c>
      <c r="AF813">
        <f>IF(ISBLANK('Data Entry'!$`$813), "", 'Data Entry'!$`$813)</f>
      </c>
      <c r="AG813">
        <f>IF(ISBLANK('Data Entry'!$a$813), "", 'Data Entry'!$a$813)</f>
      </c>
      <c r="AH813">
        <f>IF(ISBLANK('Data Entry'!$b$813), "", 'Data Entry'!$b$813)</f>
      </c>
      <c r="AI813">
        <f>IF(ISBLANK('Data Entry'!$c$813), "", 'Data Entry'!$c$813)</f>
      </c>
      <c r="AJ813">
        <f>IF(ISBLANK('Data Entry'!$d$813), "", 'Data Entry'!$d$813)</f>
      </c>
      <c r="AK813">
        <f>IF(ISBLANK('Data Entry'!$e$813), "", 'Data Entry'!$e$813)</f>
      </c>
      <c r="AL813">
        <f>IF(ISBLANK('Data Entry'!$f$813), "", 'Data Entry'!$f$813)</f>
      </c>
      <c r="AM813">
        <f>IF(ISBLANK('Data Entry'!$g$813), "", 'Data Entry'!$g$813)</f>
      </c>
      <c r="AN813">
        <f>IF(ISBLANK('Data Entry'!$h$813), "", 'Data Entry'!$h$813)</f>
      </c>
      <c r="AO813">
        <f>IF(ISBLANK('Data Entry'!$i$813), "", 'Data Entry'!$i$813)</f>
      </c>
      <c r="AP813">
        <f>IF(ISBLANK('Data Entry'!$j$813), "", 'Data Entry'!$j$813)</f>
      </c>
      <c r="AQ813">
        <f>IF(ISBLANK('Data Entry'!$k$813), "", 'Data Entry'!$k$813)</f>
      </c>
      <c r="AR813">
        <f>IF(ISBLANK('Data Entry'!$l$813), "", 'Data Entry'!$l$813)</f>
      </c>
      <c r="AS813">
        <f>IF(ISBLANK('Data Entry'!$m$813), "", 'Data Entry'!$m$813)</f>
      </c>
      <c r="AT813">
        <f>IF(ISBLANK('Data Entry'!$n$813), "", 'Data Entry'!$n$813)</f>
      </c>
      <c r="AU813">
        <f>IF(ISBLANK('Data Entry'!$o$813), "", 'Data Entry'!$o$813)</f>
      </c>
      <c r="AV813">
        <f>IF(ISBLANK('Data Entry'!$p$813), "", 'Data Entry'!$p$813)</f>
      </c>
      <c r="AW813">
        <f>IF(ISBLANK('Data Entry'!$q$813), "", 'Data Entry'!$q$813)</f>
      </c>
      <c r="AX813">
        <f>IF(ISBLANK('Data Entry'!$r$813), "", 'Data Entry'!$r$813)</f>
      </c>
      <c r="AY813">
        <f>IF(ISBLANK('Data Entry'!$s$813), "", 'Data Entry'!$s$813)</f>
      </c>
      <c r="AZ813">
        <f>IF(ISBLANK('Data Entry'!$t$813), "", 'Data Entry'!$t$813)</f>
      </c>
      <c r="BA813">
        <f>IF(ISBLANK('Data Entry'!$u$813), "", 'Data Entry'!$u$813)</f>
      </c>
      <c r="BB813">
        <f>IF(ISBLANK('Data Entry'!$v$813), "", 'Data Entry'!$v$813)</f>
      </c>
      <c r="BC813">
        <f>IF(ISBLANK('Data Entry'!$w$813), "", 'Data Entry'!$w$813)</f>
      </c>
      <c r="BD813">
        <f>IF(ISBLANK('Data Entry'!$x$813), "", 'Data Entry'!$x$813)</f>
      </c>
      <c r="BE813">
        <f>IF(ISBLANK('Data Entry'!$y$813), "", 'Data Entry'!$y$813)</f>
      </c>
      <c r="BF813">
        <f>IF(ISBLANK('Data Entry'!$z$813), "", 'Data Entry'!$z$813)</f>
      </c>
      <c r="BG813">
        <f>IF(ISBLANK('Data Entry'!${$813), "", 'Data Entry'!${$813)</f>
      </c>
      <c r="BH813">
        <f>IF(ISBLANK('Data Entry'!$|$813), "", 'Data Entry'!$|$813)</f>
      </c>
      <c r="BI813">
        <f>IF(ISBLANK('Data Entry'!$}$813), "", 'Data Entry'!$}$813)</f>
      </c>
      <c r="BJ813">
        <f>IF(ISBLANK('Data Entry'!$~$813), "", 'Data Entry'!$~$813)</f>
      </c>
      <c r="BK813">
        <f>IF(ISBLANK('Data Entry'!$$813), "", 'Data Entry'!$$813)</f>
      </c>
      <c r="BL813">
        <f>IF(ISBLANK('Data Entry'!$$813), "", 'Data Entry'!$$813)</f>
      </c>
      <c r="BM813">
        <f>IF(ISBLANK('Data Entry'!$$813), "", 'Data Entry'!$$813)</f>
      </c>
      <c r="BN813">
        <f>IF(ISBLANK('Data Entry'!$$813), "", 'Data Entry'!$$813)</f>
      </c>
      <c r="BO813">
        <f>IF(ISBLANK('Data Entry'!$$813), "", 'Data Entry'!$$813)</f>
      </c>
      <c r="BP813">
        <f>IF(ISBLANK('Data Entry'!$$813), "", 'Data Entry'!$$813)</f>
      </c>
      <c r="BQ813">
        <f>IF(ISBLANK('Data Entry'!$$813), "", 'Data Entry'!$$813)</f>
      </c>
      <c r="BR813">
        <f>IF(ISBLANK('Data Entry'!$$813), "", 'Data Entry'!$$813)</f>
      </c>
      <c r="BS813">
        <f>IF(ISBLANK('Data Entry'!$$813), "", 'Data Entry'!$$813)</f>
      </c>
      <c r="BT813">
        <f>IF(ISBLANK('Data Entry'!$$813), "", 'Data Entry'!$$813)</f>
      </c>
      <c r="BU813">
        <f>IF(ISBLANK('Data Entry'!$$813), "", 'Data Entry'!$$813)</f>
      </c>
      <c r="BV813">
        <f>IF(ISBLANK('Data Entry'!$$813), "", 'Data Entry'!$$813)</f>
      </c>
      <c r="BW813">
        <f>IF(ISBLANK('Data Entry'!$$813), "", 'Data Entry'!$$813)</f>
      </c>
      <c r="BX813">
        <f>IF(ISBLANK('Data Entry'!$$813), "", 'Data Entry'!$$813)</f>
      </c>
      <c r="BY813">
        <f>IF(ISBLANK('Data Entry'!$$813), "", 'Data Entry'!$$813)</f>
      </c>
      <c r="BZ813">
        <f>IF(ISBLANK('Data Entry'!$$813), "", 'Data Entry'!$$813)</f>
      </c>
      <c r="CA813">
        <f>IF(ISBLANK('Data Entry'!$$813), "", 'Data Entry'!$$813)</f>
      </c>
      <c r="CB813">
        <f>IF(ISBLANK('Data Entry'!$$813), "", 'Data Entry'!$$813)</f>
      </c>
      <c r="CC813">
        <f>IF(ISBLANK('Data Entry'!$$813), "", 'Data Entry'!$$813)</f>
      </c>
      <c r="CD813">
        <f>IF(ISBLANK('Data Entry'!$$813), "", 'Data Entry'!$$813)</f>
      </c>
      <c r="CE813">
        <f>IF(ISBLANK('Data Entry'!$$813), "", 'Data Entry'!$$813)</f>
      </c>
      <c r="CF813">
        <f>IF(ISBLANK('Data Entry'!$$813), "", 'Data Entry'!$$813)</f>
      </c>
      <c r="CG813">
        <f>IF(ISBLANK('Data Entry'!$$813), "", 'Data Entry'!$$813)</f>
      </c>
      <c r="CH813">
        <f>IF(ISBLANK('Data Entry'!$$813), "", 'Data Entry'!$$813)</f>
      </c>
      <c r="CI813">
        <f>IF(ISBLANK('Data Entry'!$$813), "", 'Data Entry'!$$813)</f>
      </c>
      <c r="CJ813">
        <f>IF(ISBLANK('Data Entry'!$$813), "", 'Data Entry'!$$813)</f>
      </c>
      <c r="CK813">
        <f>IF(ISBLANK('Data Entry'!$$813), "", 'Data Entry'!$$813)</f>
      </c>
      <c r="CL813">
        <f>IF(ISBLANK('Data Entry'!$$813), "", 'Data Entry'!$$813)</f>
      </c>
      <c r="CM813">
        <f>IF(ISBLANK('Data Entry'!$$813), "", 'Data Entry'!$$813)</f>
      </c>
      <c r="CN813">
        <f>IF(ISBLANK('Data Entry'!$$813), "", 'Data Entry'!$$813)</f>
      </c>
      <c r="CO813">
        <f>IF(ISBLANK('Data Entry'!$$813), "", 'Data Entry'!$$813)</f>
      </c>
      <c r="CP813">
        <f>IF(ISBLANK('Data Entry'!$$813), "", 'Data Entry'!$$813)</f>
      </c>
      <c r="CQ813">
        <f>IF(ISBLANK('Data Entry'!$$813), "", 'Data Entry'!$$813)</f>
      </c>
      <c r="CR813">
        <f>IF(ISBLANK('Data Entry'!$ $813), "", 'Data Entry'!$ $813)</f>
      </c>
      <c r="CS813">
        <f>IF(ISBLANK('Data Entry'!$¡$813), "", 'Data Entry'!$¡$813)</f>
      </c>
      <c r="CT813">
        <f>IF(ISBLANK('Data Entry'!$¢$813), "", 'Data Entry'!$¢$813)</f>
      </c>
      <c r="CU813">
        <f>IF(ISBLANK('Data Entry'!$£$813), "", 'Data Entry'!$£$813)</f>
      </c>
      <c r="CV813">
        <f>IF(ISBLANK('Data Entry'!$¤$813), "", 'Data Entry'!$¤$813)</f>
      </c>
      <c r="CW813">
        <f>IF(ISBLANK('Data Entry'!$¥$813), "", 'Data Entry'!$¥$813)</f>
      </c>
      <c r="CX813">
        <f>IF(ISBLANK('Data Entry'!$¦$813), "", 'Data Entry'!$¦$813)</f>
      </c>
      <c r="CY813">
        <f>IF(ISBLANK('Data Entry'!$§$813), "", 'Data Entry'!$§$813)</f>
      </c>
      <c r="CZ813">
        <f>IF(ISBLANK('Data Entry'!$¨$813), "", 'Data Entry'!$¨$813)</f>
      </c>
      <c r="DA813">
        <f>IF(ISBLANK('Data Entry'!$©$813), "", 'Data Entry'!$©$813)</f>
      </c>
      <c r="DB813">
        <f>IF(ISBLANK('Data Entry'!$ª$813), "", 'Data Entry'!$ª$813)</f>
      </c>
      <c r="DC813">
        <f>IF(ISBLANK('Data Entry'!$«$813), "", 'Data Entry'!$«$813)</f>
      </c>
      <c r="DD813">
        <f>IF(ISBLANK('Data Entry'!$¬$813), "", 'Data Entry'!$¬$813)</f>
      </c>
      <c r="DE813">
        <f>IF(ISBLANK('Data Entry'!$­$813), "", 'Data Entry'!$­$813)</f>
      </c>
      <c r="DF813">
        <f>IF(ISBLANK('Data Entry'!$®$813), "", 'Data Entry'!$®$813)</f>
      </c>
      <c r="DG813">
        <f>IF(ISBLANK('Data Entry'!$¯$813), "", 'Data Entry'!$¯$813)</f>
      </c>
      <c r="DH813">
        <f>IF(ISBLANK('Data Entry'!$°$813), "", 'Data Entry'!$°$813)</f>
      </c>
      <c r="DI813">
        <f>IF(ISBLANK('Data Entry'!$±$813), "", 'Data Entry'!$±$813)</f>
      </c>
      <c r="DJ813">
        <f>IF(ISBLANK('Data Entry'!$²$813), "", 'Data Entry'!$²$813)</f>
      </c>
      <c r="DK813">
        <f>IF(ISBLANK('Data Entry'!$³$813), "", 'Data Entry'!$³$813)</f>
      </c>
      <c r="DL813">
        <f>IF(ISBLANK('Data Entry'!$´$813), "", 'Data Entry'!$´$813)</f>
      </c>
      <c r="DM813">
        <f>IF(ISBLANK('Data Entry'!$µ$813), "", 'Data Entry'!$µ$813)</f>
      </c>
      <c r="DN813">
        <f>IF(ISBLANK('Data Entry'!$¶$813), "", 'Data Entry'!$¶$813)</f>
      </c>
      <c r="DO813">
        <f>IF(ISBLANK('Data Entry'!$·$813), "", 'Data Entry'!$·$813)</f>
      </c>
      <c r="DP813">
        <f>IF(ISBLANK('Data Entry'!$¸$813), "", 'Data Entry'!$¸$813)</f>
      </c>
      <c r="DQ813">
        <f>IF(ISBLANK('Data Entry'!$¹$813), "", 'Data Entry'!$¹$813)</f>
      </c>
      <c r="DR813">
        <f>IF(ISBLANK('Data Entry'!$º$813), "", 'Data Entry'!$º$813)</f>
      </c>
      <c r="DS813">
        <f>IF(ISBLANK('Data Entry'!$»$813), "", 'Data Entry'!$»$813)</f>
      </c>
      <c r="DT813">
        <f>IF(ISBLANK('Data Entry'!$¼$813), "", 'Data Entry'!$¼$813)</f>
      </c>
      <c r="DU813">
        <f>IF(ISBLANK('Data Entry'!$½$813), "", 'Data Entry'!$½$813)</f>
      </c>
      <c r="DV813">
        <f>IF(ISBLANK('Data Entry'!$¾$813), "", 'Data Entry'!$¾$813)</f>
      </c>
      <c r="DW813">
        <f>IF(ISBLANK('Data Entry'!$¿$813), "", 'Data Entry'!$¿$813)</f>
      </c>
      <c r="DX813">
        <f>IF(ISBLANK('Data Entry'!$À$813), "", 'Data Entry'!$À$813)</f>
      </c>
      <c r="DY813">
        <f>IF(ISBLANK('Data Entry'!$Á$813), "", 'Data Entry'!$Á$813)</f>
      </c>
      <c r="DZ813">
        <f>IF(ISBLANK('Data Entry'!$Â$813), "", 'Data Entry'!$Â$813)</f>
      </c>
      <c r="EA813">
        <f>IF(ISBLANK('Data Entry'!$Ã$813), "", 'Data Entry'!$Ã$813)</f>
      </c>
      <c r="EB813">
        <f>IF(ISBLANK('Data Entry'!$Ä$813), "", 'Data Entry'!$Ä$813)</f>
      </c>
      <c r="EC813">
        <f>IF(ISBLANK('Data Entry'!$Å$813), "", 'Data Entry'!$Å$813)</f>
      </c>
      <c r="ED813">
        <f>IF(ISBLANK('Data Entry'!$Æ$813), "", 'Data Entry'!$Æ$813)</f>
      </c>
      <c r="EE813">
        <f>IF(ISBLANK('Data Entry'!$Ç$813), "", 'Data Entry'!$Ç$813)</f>
      </c>
      <c r="EF813">
        <f>IF(ISBLANK('Data Entry'!$È$813), "", 'Data Entry'!$È$813)</f>
      </c>
      <c r="EG813">
        <f>IF(ISBLANK('Data Entry'!$É$813), "", 'Data Entry'!$É$813)</f>
      </c>
      <c r="EH813">
        <f>IF(ISBLANK('Data Entry'!$Ê$813), "", 'Data Entry'!$Ê$813)</f>
      </c>
      <c r="EI813">
        <f>IF(ISBLANK('Data Entry'!$Ë$813), "", 'Data Entry'!$Ë$813)</f>
      </c>
      <c r="EJ813">
        <f>IF(ISBLANK('Data Entry'!$Ì$813), "", 'Data Entry'!$Ì$813)</f>
      </c>
      <c r="EK813">
        <f>IF(ISBLANK('Data Entry'!$Í$813), "", 'Data Entry'!$Í$813)</f>
      </c>
      <c r="EL813">
        <f>IF(ISBLANK('Data Entry'!$Î$813), "", 'Data Entry'!$Î$813)</f>
      </c>
      <c r="EM813">
        <f>IF(ISBLANK('Data Entry'!$Ï$813), "", 'Data Entry'!$Ï$813)</f>
      </c>
      <c r="EN813">
        <f>IF(ISBLANK('Data Entry'!$Ð$813), "", 'Data Entry'!$Ð$813)</f>
      </c>
      <c r="EO813">
        <f>IF(ISBLANK('Data Entry'!$Ñ$813), "", 'Data Entry'!$Ñ$813)</f>
      </c>
      <c r="EP813">
        <f>IF(ISBLANK('Data Entry'!$Ò$813), "", 'Data Entry'!$Ò$813)</f>
      </c>
      <c r="EQ813">
        <f>IF(ISBLANK('Data Entry'!$Ó$813), "", 'Data Entry'!$Ó$813)</f>
      </c>
      <c r="ER813">
        <f>IF(ISBLANK('Data Entry'!$Ô$813), "", 'Data Entry'!$Ô$813)</f>
      </c>
      <c r="ES813">
        <f>IF(ISBLANK('Data Entry'!$Õ$813), "", 'Data Entry'!$Õ$813)</f>
      </c>
      <c r="ET813">
        <f>IF(ISBLANK('Data Entry'!$Ö$813), "", 'Data Entry'!$Ö$813)</f>
      </c>
      <c r="EU813">
        <f>IF(ISBLANK('Data Entry'!$×$813), "", 'Data Entry'!$×$813)</f>
      </c>
      <c r="EV813">
        <f>IF(ISBLANK('Data Entry'!$Ø$813), "", 'Data Entry'!$Ø$813)</f>
      </c>
      <c r="EW813">
        <f>IF(ISBLANK('Data Entry'!$Ù$813), "", 'Data Entry'!$Ù$813)</f>
      </c>
      <c r="EX813">
        <f>IF(ISBLANK('Data Entry'!$Ú$813), "", 'Data Entry'!$Ú$813)</f>
      </c>
      <c r="EY813">
        <f>IF(ISBLANK('Data Entry'!$Û$813), "", 'Data Entry'!$Û$813)</f>
      </c>
      <c r="EZ813">
        <f>IF(ISBLANK('Data Entry'!$Ü$813), "", 'Data Entry'!$Ü$813)</f>
      </c>
      <c r="FA813">
        <f>IF(ISBLANK('Data Entry'!$Ý$813), "", 'Data Entry'!$Ý$813)</f>
      </c>
      <c r="FB813">
        <f>IF(ISBLANK('Data Entry'!$Þ$813), "", 'Data Entry'!$Þ$813)</f>
      </c>
      <c r="FC813">
        <f>IF(ISBLANK('Data Entry'!$ß$813), "", 'Data Entry'!$ß$813)</f>
      </c>
      <c r="FD813">
        <f>IF(ISBLANK('Data Entry'!$à$813), "", 'Data Entry'!$à$813)</f>
      </c>
      <c r="FE813">
        <f>IF(ISBLANK('Data Entry'!$á$813), "", 'Data Entry'!$á$813)</f>
      </c>
      <c r="FF813">
        <f>IF(ISBLANK('Data Entry'!$â$813), "", 'Data Entry'!$â$813)</f>
      </c>
      <c r="FG813">
        <f>IF(ISBLANK('Data Entry'!$ã$813), "", 'Data Entry'!$ã$813)</f>
      </c>
      <c r="FH813">
        <f>IF(ISBLANK('Data Entry'!$ä$813), "", 'Data Entry'!$ä$813)</f>
      </c>
      <c r="FI813">
        <f>IF(ISBLANK('Data Entry'!$å$813), "", 'Data Entry'!$å$813)</f>
      </c>
      <c r="FJ813">
        <f>IF(ISBLANK('Data Entry'!$æ$813), "", 'Data Entry'!$æ$813)</f>
      </c>
      <c r="FK813">
        <f>IF(ISBLANK('Data Entry'!$ç$813), "", 'Data Entry'!$ç$813)</f>
      </c>
      <c r="FL813">
        <f>IF(ISBLANK('Data Entry'!$è$813), "", 'Data Entry'!$è$813)</f>
      </c>
      <c r="FM813">
        <f>IF(ISBLANK('Data Entry'!$é$813), "", 'Data Entry'!$é$813)</f>
      </c>
      <c r="FN813">
        <f>IF(ISBLANK('Data Entry'!$ê$813), "", 'Data Entry'!$ê$813)</f>
      </c>
      <c r="FO813">
        <f>IF(ISBLANK('Data Entry'!$ë$813), "", 'Data Entry'!$ë$813)</f>
      </c>
      <c r="FP813">
        <f>IF(ISBLANK('Data Entry'!$ì$813), "", 'Data Entry'!$ì$813)</f>
      </c>
      <c r="FQ813">
        <f>IF(ISBLANK('Data Entry'!$í$813), "", 'Data Entry'!$í$813)</f>
      </c>
      <c r="FR813">
        <f>IF(ISBLANK('Data Entry'!$î$813), "", 'Data Entry'!$î$813)</f>
      </c>
      <c r="FS813">
        <f>IF(ISBLANK('Data Entry'!$ï$813), "", 'Data Entry'!$ï$813)</f>
      </c>
      <c r="FT813">
        <f>IF(ISBLANK('Data Entry'!$ð$813), "", 'Data Entry'!$ð$813)</f>
      </c>
      <c r="FU813">
        <f>IF(ISBLANK('Data Entry'!$ñ$813), "", 'Data Entry'!$ñ$813)</f>
      </c>
      <c r="FV813">
        <f>IF(ISBLANK('Data Entry'!$ò$813), "", 'Data Entry'!$ò$813)</f>
      </c>
      <c r="FW813">
        <f>IF(ISBLANK('Data Entry'!$ó$813), "", 'Data Entry'!$ó$813)</f>
      </c>
      <c r="FX813">
        <f>IF(ISBLANK('Data Entry'!$ô$813), "", 'Data Entry'!$ô$813)</f>
      </c>
      <c r="FY813">
        <f>IF(ISBLANK('Data Entry'!$õ$813), "", 'Data Entry'!$õ$813)</f>
      </c>
      <c r="FZ813">
        <f>IF(ISBLANK('Data Entry'!$ö$813), "", 'Data Entry'!$ö$813)</f>
      </c>
      <c r="GA813">
        <f>IF(ISBLANK('Data Entry'!$÷$813), "", 'Data Entry'!$÷$813)</f>
      </c>
      <c r="GB813">
        <f>IF(ISBLANK('Data Entry'!$ø$813), "", 'Data Entry'!$ø$813)</f>
      </c>
      <c r="GC813">
        <f>IF(ISBLANK('Data Entry'!$ù$813), "", 'Data Entry'!$ù$813)</f>
      </c>
      <c r="GD813">
        <f>IF(ISBLANK('Data Entry'!$ú$813), "", 'Data Entry'!$ú$813)</f>
      </c>
      <c r="GE813">
        <f>IF(ISBLANK('Data Entry'!$û$813), "", 'Data Entry'!$û$813)</f>
      </c>
      <c r="GF813">
        <f>IF(ISBLANK('Data Entry'!$ü$813), "", 'Data Entry'!$ü$813)</f>
      </c>
      <c r="GG813">
        <f>IF(ISBLANK('Data Entry'!$ý$813), "", 'Data Entry'!$ý$813)</f>
      </c>
      <c r="GH813">
        <f>IF(ISBLANK('Data Entry'!$þ$813), "", 'Data Entry'!$þ$813)</f>
      </c>
      <c r="GI813">
        <f>IF(ISBLANK('Data Entry'!$ÿ$813), "", 'Data Entry'!$ÿ$813)</f>
      </c>
      <c r="GJ813">
        <f>IF(ISBLANK('Data Entry'!$Ā$813), "", 'Data Entry'!$Ā$813)</f>
      </c>
      <c r="GK813">
        <f>IF(ISBLANK('Data Entry'!$ā$813), "", 'Data Entry'!$ā$813)</f>
      </c>
      <c r="GL813">
        <f>IF(ISBLANK('Data Entry'!$Ă$813), "", 'Data Entry'!$Ă$813)</f>
      </c>
      <c r="GM813">
        <f>IF(ISBLANK('Data Entry'!$ă$813), "", 'Data Entry'!$ă$813)</f>
      </c>
      <c r="GN813">
        <f>IF(ISBLANK('Data Entry'!$Ą$813), "", 'Data Entry'!$Ą$813)</f>
      </c>
      <c r="GO813">
        <f>IF(ISBLANK('Data Entry'!$ą$813), "", 'Data Entry'!$ą$813)</f>
      </c>
      <c r="GP813">
        <f>IF(ISBLANK('Data Entry'!$Ć$813), "", 'Data Entry'!$Ć$813)</f>
      </c>
      <c r="GQ813">
        <f>IF(ISBLANK('Data Entry'!$ć$813), "", 'Data Entry'!$ć$813)</f>
      </c>
      <c r="GR813">
        <f>IF(ISBLANK('Data Entry'!$Ĉ$813), "", 'Data Entry'!$Ĉ$813)</f>
      </c>
      <c r="GS813">
        <f>IF(ISBLANK('Data Entry'!$ĉ$813), "", 'Data Entry'!$ĉ$813)</f>
      </c>
      <c r="GT813">
        <f>IF(ISBLANK('Data Entry'!$Ċ$813), "", 'Data Entry'!$Ċ$813)</f>
      </c>
      <c r="GU813">
        <f>IF(ISBLANK('Data Entry'!$ċ$813), "", 'Data Entry'!$ċ$813)</f>
      </c>
      <c r="GV813">
        <f>IF(ISBLANK('Data Entry'!$Č$813), "", 'Data Entry'!$Č$813)</f>
      </c>
      <c r="GW813">
        <f>IF(ISBLANK('Data Entry'!$č$813), "", 'Data Entry'!$č$813)</f>
      </c>
      <c r="GX813">
        <f>IF(ISBLANK('Data Entry'!$Ď$813), "", 'Data Entry'!$Ď$813)</f>
      </c>
      <c r="GY813">
        <f>IF(ISBLANK('Data Entry'!$ď$813), "", 'Data Entry'!$ď$813)</f>
      </c>
      <c r="GZ813">
        <f>IF(ISBLANK('Data Entry'!$Đ$813), "", 'Data Entry'!$Đ$813)</f>
      </c>
      <c r="HA813">
        <f>IF(ISBLANK('Data Entry'!$đ$813), "", 'Data Entry'!$đ$813)</f>
      </c>
      <c r="HB813">
        <f>IF(ISBLANK('Data Entry'!$Ē$813), "", 'Data Entry'!$Ē$813)</f>
      </c>
      <c r="HC813">
        <f>IF(ISBLANK('Data Entry'!$ē$813), "", 'Data Entry'!$ē$813)</f>
      </c>
      <c r="HD813">
        <f>IF(ISBLANK('Data Entry'!$Ĕ$813), "", 'Data Entry'!$Ĕ$813)</f>
      </c>
      <c r="HE813">
        <f>IF(ISBLANK('Data Entry'!$ĕ$813), "", 'Data Entry'!$ĕ$813)</f>
      </c>
      <c r="HF813">
        <f>IF(ISBLANK('Data Entry'!$Ė$813), "", 'Data Entry'!$Ė$813)</f>
      </c>
      <c r="HG813">
        <f>IF(ISBLANK('Data Entry'!$ė$813), "", 'Data Entry'!$ė$813)</f>
      </c>
      <c r="HH813">
        <f>IF(ISBLANK('Data Entry'!$Ę$813), "", 'Data Entry'!$Ę$813)</f>
      </c>
      <c r="HI813">
        <f>IF(ISBLANK('Data Entry'!$ę$813), "", 'Data Entry'!$ę$813)</f>
      </c>
      <c r="HJ813">
        <f>IF(ISBLANK('Data Entry'!$Ě$813), "", 'Data Entry'!$Ě$813)</f>
      </c>
      <c r="HK813">
        <f>IF(ISBLANK('Data Entry'!$ě$813), "", 'Data Entry'!$ě$813)</f>
      </c>
      <c r="HL813">
        <f>IF(ISBLANK('Data Entry'!$Ĝ$813), "", 'Data Entry'!$Ĝ$813)</f>
      </c>
      <c r="HM813">
        <f>IF(ISBLANK('Data Entry'!$ĝ$813), "", 'Data Entry'!$ĝ$813)</f>
      </c>
      <c r="HN813">
        <f>IF(ISBLANK('Data Entry'!$Ğ$813), "", 'Data Entry'!$Ğ$813)</f>
      </c>
      <c r="HO813">
        <f>IF(ISBLANK('Data Entry'!$ğ$813), "", 'Data Entry'!$ğ$813)</f>
      </c>
      <c r="HP813">
        <f>IF(ISBLANK('Data Entry'!$Ġ$813), "", 'Data Entry'!$Ġ$813)</f>
      </c>
      <c r="HQ813">
        <f>IF(ISBLANK('Data Entry'!$ġ$813), "", 'Data Entry'!$ġ$813)</f>
      </c>
      <c r="HR813">
        <f>IF(ISBLANK('Data Entry'!$Ģ$813), "", 'Data Entry'!$Ģ$813)</f>
      </c>
      <c r="HS813">
        <f>IF(ISBLANK('Data Entry'!$ģ$813), "", 'Data Entry'!$ģ$813)</f>
      </c>
      <c r="HT813">
        <f>IF(ISBLANK('Data Entry'!$Ĥ$813), "", 'Data Entry'!$Ĥ$813)</f>
      </c>
      <c r="HU813">
        <f>IF(ISBLANK('Data Entry'!$ĥ$813), "", 'Data Entry'!$ĥ$813)</f>
      </c>
      <c r="HV813">
        <f>IF(ISBLANK('Data Entry'!$Ħ$813), "", 'Data Entry'!$Ħ$813)</f>
      </c>
      <c r="HW813">
        <f>IF(ISBLANK('Data Entry'!$ħ$813), "", 'Data Entry'!$ħ$813)</f>
      </c>
      <c r="HX813">
        <f>IF(ISBLANK('Data Entry'!$Ĩ$813), "", 'Data Entry'!$Ĩ$813)</f>
      </c>
      <c r="HY813">
        <f>IF(ISBLANK('Data Entry'!$ĩ$813), "", 'Data Entry'!$ĩ$813)</f>
      </c>
      <c r="HZ813">
        <f>IF(ISBLANK('Data Entry'!$Ī$813), "", 'Data Entry'!$Ī$813)</f>
      </c>
      <c r="IA813">
        <f>IF(ISBLANK('Data Entry'!$ī$813), "", 'Data Entry'!$ī$813)</f>
      </c>
      <c r="IB813">
        <f>IF(ISBLANK('Data Entry'!$Ĭ$813), "", 'Data Entry'!$Ĭ$813)</f>
      </c>
      <c r="IC813">
        <f>IF(ISBLANK('Data Entry'!$ĭ$813), "", 'Data Entry'!$ĭ$813)</f>
      </c>
      <c r="ID813">
        <f>IF(ISBLANK('Data Entry'!$Į$813), "", 'Data Entry'!$Į$813)</f>
      </c>
      <c r="IE813">
        <f>IF(ISBLANK('Data Entry'!$į$813), "", 'Data Entry'!$į$813)</f>
      </c>
      <c r="IF813">
        <f>IF(ISBLANK('Data Entry'!$İ$813), "", 'Data Entry'!$İ$813)</f>
      </c>
      <c r="IG813">
        <f>IF(ISBLANK('Data Entry'!$ı$813), "", 'Data Entry'!$ı$813)</f>
      </c>
      <c r="IH813">
        <f>IF(ISBLANK('Data Entry'!$Ĳ$813), "", 'Data Entry'!$Ĳ$813)</f>
      </c>
      <c r="II813">
        <f>IF(ISBLANK('Data Entry'!$ĳ$813), "", 'Data Entry'!$ĳ$813)</f>
      </c>
      <c r="IJ813">
        <f>IF(ISBLANK('Data Entry'!$Ĵ$813), "", 'Data Entry'!$Ĵ$813)</f>
      </c>
      <c r="IK813">
        <f>IF(ISBLANK('Data Entry'!$ĵ$813), "", 'Data Entry'!$ĵ$813)</f>
      </c>
      <c r="IL813">
        <f>IF(ISBLANK('Data Entry'!$Ķ$813), "", 'Data Entry'!$Ķ$813)</f>
      </c>
      <c r="IM813">
        <f>IF(ISBLANK('Data Entry'!$ķ$813), "", 'Data Entry'!$ķ$813)</f>
      </c>
      <c r="IN813">
        <f>IF(ISBLANK('Data Entry'!$ĸ$813), "", 'Data Entry'!$ĸ$813)</f>
      </c>
      <c r="IO813">
        <f>IF(ISBLANK('Data Entry'!$Ĺ$813), "", 'Data Entry'!$Ĺ$813)</f>
      </c>
      <c r="IP813">
        <f>IF(ISBLANK('Data Entry'!$ĺ$813), "", 'Data Entry'!$ĺ$813)</f>
      </c>
      <c r="IQ813">
        <f>IF(ISBLANK('Data Entry'!$Ļ$813), "", 'Data Entry'!$Ļ$813)</f>
      </c>
      <c r="IR813">
        <f>IF(ISBLANK('Data Entry'!$ļ$813), "", 'Data Entry'!$ļ$813)</f>
      </c>
      <c r="IS813">
        <f>IF(ISBLANK('Data Entry'!$Ľ$813), "", 'Data Entry'!$Ľ$813)</f>
      </c>
      <c r="IT813">
        <f>IF(ISBLANK('Data Entry'!$ľ$813), "", 'Data Entry'!$ľ$813)</f>
      </c>
    </row>
    <row r="814" spans="1:254" x14ac:dyDescent="0.25">
      <c r="A814">
        <f>IF(ISBLANK('Data Entry'!$A$814), "", 'Data Entry'!$A$814)</f>
      </c>
      <c r="B814">
        <f>IF(ISBLANK('Data Entry'!$B$814), "", 'Data Entry'!$B$814)</f>
      </c>
      <c r="C814">
        <f>IF(ISBLANK('Data Entry'!$C$814), "", 'Data Entry'!$C$814)</f>
      </c>
      <c r="D814">
        <f>IF(ISBLANK('Data Entry'!$D$814), "", 'Data Entry'!$D$814)</f>
      </c>
      <c r="E814">
        <f>IF(ISBLANK('Data Entry'!$E$814), "", 'Data Entry'!$E$814)</f>
      </c>
      <c r="F814">
        <f>IF(ISBLANK('Data Entry'!$F$814), "", 'Data Entry'!$F$814)</f>
      </c>
      <c r="G814">
        <f>IF(ISBLANK('Data Entry'!$G$814), "", 'Data Entry'!$G$814)</f>
      </c>
      <c r="H814">
        <f>IF(ISBLANK('Data Entry'!$H$814), "", 'Data Entry'!$H$814)</f>
      </c>
      <c r="I814">
        <f>IF(ISBLANK('Data Entry'!$I$814), "", 'Data Entry'!$I$814)</f>
      </c>
      <c r="J814">
        <f>IF(ISBLANK('Data Entry'!$J$814), "", 'Data Entry'!$J$814)</f>
      </c>
      <c r="K814">
        <f>IF(ISBLANK('Data Entry'!$K$814), "", 'Data Entry'!$K$814)</f>
      </c>
      <c r="L814">
        <f>IF(ISBLANK('Data Entry'!$L$814), "", 'Data Entry'!$L$814)</f>
      </c>
      <c r="M814">
        <f>IF(ISBLANK('Data Entry'!$M$814), "", 'Data Entry'!$M$814)</f>
      </c>
      <c r="N814">
        <f>IF(ISBLANK('Data Entry'!$N$814), "", 'Data Entry'!$N$814)</f>
      </c>
      <c r="O814">
        <f>IF(ISBLANK('Data Entry'!$O$814), "", 'Data Entry'!$O$814)</f>
      </c>
      <c r="P814">
        <f>IF(ISBLANK('Data Entry'!$P$814), "", 'Data Entry'!$P$814)</f>
      </c>
      <c r="Q814">
        <f>IF(ISBLANK('Data Entry'!$Q$814), "", 'Data Entry'!$Q$814)</f>
      </c>
      <c r="R814">
        <f>IF(ISBLANK('Data Entry'!$R$814), "", 'Data Entry'!$R$814)</f>
      </c>
      <c r="S814">
        <f>IF(ISBLANK('Data Entry'!$S$814), "", 'Data Entry'!$S$814)</f>
      </c>
      <c r="T814">
        <f>IF(ISBLANK('Data Entry'!$T$814), "", 'Data Entry'!$T$814)</f>
      </c>
      <c r="U814">
        <f>IF(ISBLANK('Data Entry'!$U$814), "", 'Data Entry'!$U$814)</f>
      </c>
      <c r="V814">
        <f>IF(ISBLANK('Data Entry'!$V$814), "", 'Data Entry'!$V$814)</f>
      </c>
      <c r="W814">
        <f>IF(ISBLANK('Data Entry'!$W$814), "", 'Data Entry'!$W$814)</f>
      </c>
      <c r="X814">
        <f>IF(ISBLANK('Data Entry'!$X$814), "", 'Data Entry'!$X$814)</f>
      </c>
      <c r="Y814">
        <f>IF(ISBLANK('Data Entry'!$Y$814), "", 'Data Entry'!$Y$814)</f>
      </c>
      <c r="Z814">
        <f>IF(ISBLANK('Data Entry'!$Z$814), "", 'Data Entry'!$Z$814)</f>
      </c>
      <c r="AA814">
        <f>IF(ISBLANK('Data Entry'!$[$814), "", 'Data Entry'!$[$814)</f>
      </c>
      <c r="AB814">
        <f>IF(ISBLANK('Data Entry'!$\$814), "", 'Data Entry'!$\$814)</f>
      </c>
      <c r="AC814">
        <f>IF(ISBLANK('Data Entry'!$]$814), "", 'Data Entry'!$]$814)</f>
      </c>
      <c r="AD814">
        <f>IF(ISBLANK('Data Entry'!$^$814), "", 'Data Entry'!$^$814)</f>
      </c>
      <c r="AE814">
        <f>IF(ISBLANK('Data Entry'!$_$814), "", 'Data Entry'!$_$814)</f>
      </c>
      <c r="AF814">
        <f>IF(ISBLANK('Data Entry'!$`$814), "", 'Data Entry'!$`$814)</f>
      </c>
      <c r="AG814">
        <f>IF(ISBLANK('Data Entry'!$a$814), "", 'Data Entry'!$a$814)</f>
      </c>
      <c r="AH814">
        <f>IF(ISBLANK('Data Entry'!$b$814), "", 'Data Entry'!$b$814)</f>
      </c>
      <c r="AI814">
        <f>IF(ISBLANK('Data Entry'!$c$814), "", 'Data Entry'!$c$814)</f>
      </c>
      <c r="AJ814">
        <f>IF(ISBLANK('Data Entry'!$d$814), "", 'Data Entry'!$d$814)</f>
      </c>
      <c r="AK814">
        <f>IF(ISBLANK('Data Entry'!$e$814), "", 'Data Entry'!$e$814)</f>
      </c>
      <c r="AL814">
        <f>IF(ISBLANK('Data Entry'!$f$814), "", 'Data Entry'!$f$814)</f>
      </c>
      <c r="AM814">
        <f>IF(ISBLANK('Data Entry'!$g$814), "", 'Data Entry'!$g$814)</f>
      </c>
      <c r="AN814">
        <f>IF(ISBLANK('Data Entry'!$h$814), "", 'Data Entry'!$h$814)</f>
      </c>
      <c r="AO814">
        <f>IF(ISBLANK('Data Entry'!$i$814), "", 'Data Entry'!$i$814)</f>
      </c>
      <c r="AP814">
        <f>IF(ISBLANK('Data Entry'!$j$814), "", 'Data Entry'!$j$814)</f>
      </c>
      <c r="AQ814">
        <f>IF(ISBLANK('Data Entry'!$k$814), "", 'Data Entry'!$k$814)</f>
      </c>
      <c r="AR814">
        <f>IF(ISBLANK('Data Entry'!$l$814), "", 'Data Entry'!$l$814)</f>
      </c>
      <c r="AS814">
        <f>IF(ISBLANK('Data Entry'!$m$814), "", 'Data Entry'!$m$814)</f>
      </c>
      <c r="AT814">
        <f>IF(ISBLANK('Data Entry'!$n$814), "", 'Data Entry'!$n$814)</f>
      </c>
      <c r="AU814">
        <f>IF(ISBLANK('Data Entry'!$o$814), "", 'Data Entry'!$o$814)</f>
      </c>
      <c r="AV814">
        <f>IF(ISBLANK('Data Entry'!$p$814), "", 'Data Entry'!$p$814)</f>
      </c>
      <c r="AW814">
        <f>IF(ISBLANK('Data Entry'!$q$814), "", 'Data Entry'!$q$814)</f>
      </c>
      <c r="AX814">
        <f>IF(ISBLANK('Data Entry'!$r$814), "", 'Data Entry'!$r$814)</f>
      </c>
      <c r="AY814">
        <f>IF(ISBLANK('Data Entry'!$s$814), "", 'Data Entry'!$s$814)</f>
      </c>
      <c r="AZ814">
        <f>IF(ISBLANK('Data Entry'!$t$814), "", 'Data Entry'!$t$814)</f>
      </c>
      <c r="BA814">
        <f>IF(ISBLANK('Data Entry'!$u$814), "", 'Data Entry'!$u$814)</f>
      </c>
      <c r="BB814">
        <f>IF(ISBLANK('Data Entry'!$v$814), "", 'Data Entry'!$v$814)</f>
      </c>
      <c r="BC814">
        <f>IF(ISBLANK('Data Entry'!$w$814), "", 'Data Entry'!$w$814)</f>
      </c>
      <c r="BD814">
        <f>IF(ISBLANK('Data Entry'!$x$814), "", 'Data Entry'!$x$814)</f>
      </c>
      <c r="BE814">
        <f>IF(ISBLANK('Data Entry'!$y$814), "", 'Data Entry'!$y$814)</f>
      </c>
      <c r="BF814">
        <f>IF(ISBLANK('Data Entry'!$z$814), "", 'Data Entry'!$z$814)</f>
      </c>
      <c r="BG814">
        <f>IF(ISBLANK('Data Entry'!${$814), "", 'Data Entry'!${$814)</f>
      </c>
      <c r="BH814">
        <f>IF(ISBLANK('Data Entry'!$|$814), "", 'Data Entry'!$|$814)</f>
      </c>
      <c r="BI814">
        <f>IF(ISBLANK('Data Entry'!$}$814), "", 'Data Entry'!$}$814)</f>
      </c>
      <c r="BJ814">
        <f>IF(ISBLANK('Data Entry'!$~$814), "", 'Data Entry'!$~$814)</f>
      </c>
      <c r="BK814">
        <f>IF(ISBLANK('Data Entry'!$$814), "", 'Data Entry'!$$814)</f>
      </c>
      <c r="BL814">
        <f>IF(ISBLANK('Data Entry'!$$814), "", 'Data Entry'!$$814)</f>
      </c>
      <c r="BM814">
        <f>IF(ISBLANK('Data Entry'!$$814), "", 'Data Entry'!$$814)</f>
      </c>
      <c r="BN814">
        <f>IF(ISBLANK('Data Entry'!$$814), "", 'Data Entry'!$$814)</f>
      </c>
      <c r="BO814">
        <f>IF(ISBLANK('Data Entry'!$$814), "", 'Data Entry'!$$814)</f>
      </c>
      <c r="BP814">
        <f>IF(ISBLANK('Data Entry'!$$814), "", 'Data Entry'!$$814)</f>
      </c>
      <c r="BQ814">
        <f>IF(ISBLANK('Data Entry'!$$814), "", 'Data Entry'!$$814)</f>
      </c>
      <c r="BR814">
        <f>IF(ISBLANK('Data Entry'!$$814), "", 'Data Entry'!$$814)</f>
      </c>
      <c r="BS814">
        <f>IF(ISBLANK('Data Entry'!$$814), "", 'Data Entry'!$$814)</f>
      </c>
      <c r="BT814">
        <f>IF(ISBLANK('Data Entry'!$$814), "", 'Data Entry'!$$814)</f>
      </c>
      <c r="BU814">
        <f>IF(ISBLANK('Data Entry'!$$814), "", 'Data Entry'!$$814)</f>
      </c>
      <c r="BV814">
        <f>IF(ISBLANK('Data Entry'!$$814), "", 'Data Entry'!$$814)</f>
      </c>
      <c r="BW814">
        <f>IF(ISBLANK('Data Entry'!$$814), "", 'Data Entry'!$$814)</f>
      </c>
      <c r="BX814">
        <f>IF(ISBLANK('Data Entry'!$$814), "", 'Data Entry'!$$814)</f>
      </c>
      <c r="BY814">
        <f>IF(ISBLANK('Data Entry'!$$814), "", 'Data Entry'!$$814)</f>
      </c>
      <c r="BZ814">
        <f>IF(ISBLANK('Data Entry'!$$814), "", 'Data Entry'!$$814)</f>
      </c>
      <c r="CA814">
        <f>IF(ISBLANK('Data Entry'!$$814), "", 'Data Entry'!$$814)</f>
      </c>
      <c r="CB814">
        <f>IF(ISBLANK('Data Entry'!$$814), "", 'Data Entry'!$$814)</f>
      </c>
      <c r="CC814">
        <f>IF(ISBLANK('Data Entry'!$$814), "", 'Data Entry'!$$814)</f>
      </c>
      <c r="CD814">
        <f>IF(ISBLANK('Data Entry'!$$814), "", 'Data Entry'!$$814)</f>
      </c>
      <c r="CE814">
        <f>IF(ISBLANK('Data Entry'!$$814), "", 'Data Entry'!$$814)</f>
      </c>
      <c r="CF814">
        <f>IF(ISBLANK('Data Entry'!$$814), "", 'Data Entry'!$$814)</f>
      </c>
      <c r="CG814">
        <f>IF(ISBLANK('Data Entry'!$$814), "", 'Data Entry'!$$814)</f>
      </c>
      <c r="CH814">
        <f>IF(ISBLANK('Data Entry'!$$814), "", 'Data Entry'!$$814)</f>
      </c>
      <c r="CI814">
        <f>IF(ISBLANK('Data Entry'!$$814), "", 'Data Entry'!$$814)</f>
      </c>
      <c r="CJ814">
        <f>IF(ISBLANK('Data Entry'!$$814), "", 'Data Entry'!$$814)</f>
      </c>
      <c r="CK814">
        <f>IF(ISBLANK('Data Entry'!$$814), "", 'Data Entry'!$$814)</f>
      </c>
      <c r="CL814">
        <f>IF(ISBLANK('Data Entry'!$$814), "", 'Data Entry'!$$814)</f>
      </c>
      <c r="CM814">
        <f>IF(ISBLANK('Data Entry'!$$814), "", 'Data Entry'!$$814)</f>
      </c>
      <c r="CN814">
        <f>IF(ISBLANK('Data Entry'!$$814), "", 'Data Entry'!$$814)</f>
      </c>
      <c r="CO814">
        <f>IF(ISBLANK('Data Entry'!$$814), "", 'Data Entry'!$$814)</f>
      </c>
      <c r="CP814">
        <f>IF(ISBLANK('Data Entry'!$$814), "", 'Data Entry'!$$814)</f>
      </c>
      <c r="CQ814">
        <f>IF(ISBLANK('Data Entry'!$$814), "", 'Data Entry'!$$814)</f>
      </c>
      <c r="CR814">
        <f>IF(ISBLANK('Data Entry'!$ $814), "", 'Data Entry'!$ $814)</f>
      </c>
      <c r="CS814">
        <f>IF(ISBLANK('Data Entry'!$¡$814), "", 'Data Entry'!$¡$814)</f>
      </c>
      <c r="CT814">
        <f>IF(ISBLANK('Data Entry'!$¢$814), "", 'Data Entry'!$¢$814)</f>
      </c>
      <c r="CU814">
        <f>IF(ISBLANK('Data Entry'!$£$814), "", 'Data Entry'!$£$814)</f>
      </c>
      <c r="CV814">
        <f>IF(ISBLANK('Data Entry'!$¤$814), "", 'Data Entry'!$¤$814)</f>
      </c>
      <c r="CW814">
        <f>IF(ISBLANK('Data Entry'!$¥$814), "", 'Data Entry'!$¥$814)</f>
      </c>
      <c r="CX814">
        <f>IF(ISBLANK('Data Entry'!$¦$814), "", 'Data Entry'!$¦$814)</f>
      </c>
      <c r="CY814">
        <f>IF(ISBLANK('Data Entry'!$§$814), "", 'Data Entry'!$§$814)</f>
      </c>
      <c r="CZ814">
        <f>IF(ISBLANK('Data Entry'!$¨$814), "", 'Data Entry'!$¨$814)</f>
      </c>
      <c r="DA814">
        <f>IF(ISBLANK('Data Entry'!$©$814), "", 'Data Entry'!$©$814)</f>
      </c>
      <c r="DB814">
        <f>IF(ISBLANK('Data Entry'!$ª$814), "", 'Data Entry'!$ª$814)</f>
      </c>
      <c r="DC814">
        <f>IF(ISBLANK('Data Entry'!$«$814), "", 'Data Entry'!$«$814)</f>
      </c>
      <c r="DD814">
        <f>IF(ISBLANK('Data Entry'!$¬$814), "", 'Data Entry'!$¬$814)</f>
      </c>
      <c r="DE814">
        <f>IF(ISBLANK('Data Entry'!$­$814), "", 'Data Entry'!$­$814)</f>
      </c>
      <c r="DF814">
        <f>IF(ISBLANK('Data Entry'!$®$814), "", 'Data Entry'!$®$814)</f>
      </c>
      <c r="DG814">
        <f>IF(ISBLANK('Data Entry'!$¯$814), "", 'Data Entry'!$¯$814)</f>
      </c>
      <c r="DH814">
        <f>IF(ISBLANK('Data Entry'!$°$814), "", 'Data Entry'!$°$814)</f>
      </c>
      <c r="DI814">
        <f>IF(ISBLANK('Data Entry'!$±$814), "", 'Data Entry'!$±$814)</f>
      </c>
      <c r="DJ814">
        <f>IF(ISBLANK('Data Entry'!$²$814), "", 'Data Entry'!$²$814)</f>
      </c>
      <c r="DK814">
        <f>IF(ISBLANK('Data Entry'!$³$814), "", 'Data Entry'!$³$814)</f>
      </c>
      <c r="DL814">
        <f>IF(ISBLANK('Data Entry'!$´$814), "", 'Data Entry'!$´$814)</f>
      </c>
      <c r="DM814">
        <f>IF(ISBLANK('Data Entry'!$µ$814), "", 'Data Entry'!$µ$814)</f>
      </c>
      <c r="DN814">
        <f>IF(ISBLANK('Data Entry'!$¶$814), "", 'Data Entry'!$¶$814)</f>
      </c>
      <c r="DO814">
        <f>IF(ISBLANK('Data Entry'!$·$814), "", 'Data Entry'!$·$814)</f>
      </c>
      <c r="DP814">
        <f>IF(ISBLANK('Data Entry'!$¸$814), "", 'Data Entry'!$¸$814)</f>
      </c>
      <c r="DQ814">
        <f>IF(ISBLANK('Data Entry'!$¹$814), "", 'Data Entry'!$¹$814)</f>
      </c>
      <c r="DR814">
        <f>IF(ISBLANK('Data Entry'!$º$814), "", 'Data Entry'!$º$814)</f>
      </c>
      <c r="DS814">
        <f>IF(ISBLANK('Data Entry'!$»$814), "", 'Data Entry'!$»$814)</f>
      </c>
      <c r="DT814">
        <f>IF(ISBLANK('Data Entry'!$¼$814), "", 'Data Entry'!$¼$814)</f>
      </c>
      <c r="DU814">
        <f>IF(ISBLANK('Data Entry'!$½$814), "", 'Data Entry'!$½$814)</f>
      </c>
      <c r="DV814">
        <f>IF(ISBLANK('Data Entry'!$¾$814), "", 'Data Entry'!$¾$814)</f>
      </c>
      <c r="DW814">
        <f>IF(ISBLANK('Data Entry'!$¿$814), "", 'Data Entry'!$¿$814)</f>
      </c>
      <c r="DX814">
        <f>IF(ISBLANK('Data Entry'!$À$814), "", 'Data Entry'!$À$814)</f>
      </c>
      <c r="DY814">
        <f>IF(ISBLANK('Data Entry'!$Á$814), "", 'Data Entry'!$Á$814)</f>
      </c>
      <c r="DZ814">
        <f>IF(ISBLANK('Data Entry'!$Â$814), "", 'Data Entry'!$Â$814)</f>
      </c>
      <c r="EA814">
        <f>IF(ISBLANK('Data Entry'!$Ã$814), "", 'Data Entry'!$Ã$814)</f>
      </c>
      <c r="EB814">
        <f>IF(ISBLANK('Data Entry'!$Ä$814), "", 'Data Entry'!$Ä$814)</f>
      </c>
      <c r="EC814">
        <f>IF(ISBLANK('Data Entry'!$Å$814), "", 'Data Entry'!$Å$814)</f>
      </c>
      <c r="ED814">
        <f>IF(ISBLANK('Data Entry'!$Æ$814), "", 'Data Entry'!$Æ$814)</f>
      </c>
      <c r="EE814">
        <f>IF(ISBLANK('Data Entry'!$Ç$814), "", 'Data Entry'!$Ç$814)</f>
      </c>
      <c r="EF814">
        <f>IF(ISBLANK('Data Entry'!$È$814), "", 'Data Entry'!$È$814)</f>
      </c>
      <c r="EG814">
        <f>IF(ISBLANK('Data Entry'!$É$814), "", 'Data Entry'!$É$814)</f>
      </c>
      <c r="EH814">
        <f>IF(ISBLANK('Data Entry'!$Ê$814), "", 'Data Entry'!$Ê$814)</f>
      </c>
      <c r="EI814">
        <f>IF(ISBLANK('Data Entry'!$Ë$814), "", 'Data Entry'!$Ë$814)</f>
      </c>
      <c r="EJ814">
        <f>IF(ISBLANK('Data Entry'!$Ì$814), "", 'Data Entry'!$Ì$814)</f>
      </c>
      <c r="EK814">
        <f>IF(ISBLANK('Data Entry'!$Í$814), "", 'Data Entry'!$Í$814)</f>
      </c>
      <c r="EL814">
        <f>IF(ISBLANK('Data Entry'!$Î$814), "", 'Data Entry'!$Î$814)</f>
      </c>
      <c r="EM814">
        <f>IF(ISBLANK('Data Entry'!$Ï$814), "", 'Data Entry'!$Ï$814)</f>
      </c>
      <c r="EN814">
        <f>IF(ISBLANK('Data Entry'!$Ð$814), "", 'Data Entry'!$Ð$814)</f>
      </c>
      <c r="EO814">
        <f>IF(ISBLANK('Data Entry'!$Ñ$814), "", 'Data Entry'!$Ñ$814)</f>
      </c>
      <c r="EP814">
        <f>IF(ISBLANK('Data Entry'!$Ò$814), "", 'Data Entry'!$Ò$814)</f>
      </c>
      <c r="EQ814">
        <f>IF(ISBLANK('Data Entry'!$Ó$814), "", 'Data Entry'!$Ó$814)</f>
      </c>
      <c r="ER814">
        <f>IF(ISBLANK('Data Entry'!$Ô$814), "", 'Data Entry'!$Ô$814)</f>
      </c>
      <c r="ES814">
        <f>IF(ISBLANK('Data Entry'!$Õ$814), "", 'Data Entry'!$Õ$814)</f>
      </c>
      <c r="ET814">
        <f>IF(ISBLANK('Data Entry'!$Ö$814), "", 'Data Entry'!$Ö$814)</f>
      </c>
      <c r="EU814">
        <f>IF(ISBLANK('Data Entry'!$×$814), "", 'Data Entry'!$×$814)</f>
      </c>
      <c r="EV814">
        <f>IF(ISBLANK('Data Entry'!$Ø$814), "", 'Data Entry'!$Ø$814)</f>
      </c>
      <c r="EW814">
        <f>IF(ISBLANK('Data Entry'!$Ù$814), "", 'Data Entry'!$Ù$814)</f>
      </c>
      <c r="EX814">
        <f>IF(ISBLANK('Data Entry'!$Ú$814), "", 'Data Entry'!$Ú$814)</f>
      </c>
      <c r="EY814">
        <f>IF(ISBLANK('Data Entry'!$Û$814), "", 'Data Entry'!$Û$814)</f>
      </c>
      <c r="EZ814">
        <f>IF(ISBLANK('Data Entry'!$Ü$814), "", 'Data Entry'!$Ü$814)</f>
      </c>
      <c r="FA814">
        <f>IF(ISBLANK('Data Entry'!$Ý$814), "", 'Data Entry'!$Ý$814)</f>
      </c>
      <c r="FB814">
        <f>IF(ISBLANK('Data Entry'!$Þ$814), "", 'Data Entry'!$Þ$814)</f>
      </c>
      <c r="FC814">
        <f>IF(ISBLANK('Data Entry'!$ß$814), "", 'Data Entry'!$ß$814)</f>
      </c>
      <c r="FD814">
        <f>IF(ISBLANK('Data Entry'!$à$814), "", 'Data Entry'!$à$814)</f>
      </c>
      <c r="FE814">
        <f>IF(ISBLANK('Data Entry'!$á$814), "", 'Data Entry'!$á$814)</f>
      </c>
      <c r="FF814">
        <f>IF(ISBLANK('Data Entry'!$â$814), "", 'Data Entry'!$â$814)</f>
      </c>
      <c r="FG814">
        <f>IF(ISBLANK('Data Entry'!$ã$814), "", 'Data Entry'!$ã$814)</f>
      </c>
      <c r="FH814">
        <f>IF(ISBLANK('Data Entry'!$ä$814), "", 'Data Entry'!$ä$814)</f>
      </c>
      <c r="FI814">
        <f>IF(ISBLANK('Data Entry'!$å$814), "", 'Data Entry'!$å$814)</f>
      </c>
      <c r="FJ814">
        <f>IF(ISBLANK('Data Entry'!$æ$814), "", 'Data Entry'!$æ$814)</f>
      </c>
      <c r="FK814">
        <f>IF(ISBLANK('Data Entry'!$ç$814), "", 'Data Entry'!$ç$814)</f>
      </c>
      <c r="FL814">
        <f>IF(ISBLANK('Data Entry'!$è$814), "", 'Data Entry'!$è$814)</f>
      </c>
      <c r="FM814">
        <f>IF(ISBLANK('Data Entry'!$é$814), "", 'Data Entry'!$é$814)</f>
      </c>
      <c r="FN814">
        <f>IF(ISBLANK('Data Entry'!$ê$814), "", 'Data Entry'!$ê$814)</f>
      </c>
      <c r="FO814">
        <f>IF(ISBLANK('Data Entry'!$ë$814), "", 'Data Entry'!$ë$814)</f>
      </c>
      <c r="FP814">
        <f>IF(ISBLANK('Data Entry'!$ì$814), "", 'Data Entry'!$ì$814)</f>
      </c>
      <c r="FQ814">
        <f>IF(ISBLANK('Data Entry'!$í$814), "", 'Data Entry'!$í$814)</f>
      </c>
      <c r="FR814">
        <f>IF(ISBLANK('Data Entry'!$î$814), "", 'Data Entry'!$î$814)</f>
      </c>
      <c r="FS814">
        <f>IF(ISBLANK('Data Entry'!$ï$814), "", 'Data Entry'!$ï$814)</f>
      </c>
      <c r="FT814">
        <f>IF(ISBLANK('Data Entry'!$ð$814), "", 'Data Entry'!$ð$814)</f>
      </c>
      <c r="FU814">
        <f>IF(ISBLANK('Data Entry'!$ñ$814), "", 'Data Entry'!$ñ$814)</f>
      </c>
      <c r="FV814">
        <f>IF(ISBLANK('Data Entry'!$ò$814), "", 'Data Entry'!$ò$814)</f>
      </c>
      <c r="FW814">
        <f>IF(ISBLANK('Data Entry'!$ó$814), "", 'Data Entry'!$ó$814)</f>
      </c>
      <c r="FX814">
        <f>IF(ISBLANK('Data Entry'!$ô$814), "", 'Data Entry'!$ô$814)</f>
      </c>
      <c r="FY814">
        <f>IF(ISBLANK('Data Entry'!$õ$814), "", 'Data Entry'!$õ$814)</f>
      </c>
      <c r="FZ814">
        <f>IF(ISBLANK('Data Entry'!$ö$814), "", 'Data Entry'!$ö$814)</f>
      </c>
      <c r="GA814">
        <f>IF(ISBLANK('Data Entry'!$÷$814), "", 'Data Entry'!$÷$814)</f>
      </c>
      <c r="GB814">
        <f>IF(ISBLANK('Data Entry'!$ø$814), "", 'Data Entry'!$ø$814)</f>
      </c>
      <c r="GC814">
        <f>IF(ISBLANK('Data Entry'!$ù$814), "", 'Data Entry'!$ù$814)</f>
      </c>
      <c r="GD814">
        <f>IF(ISBLANK('Data Entry'!$ú$814), "", 'Data Entry'!$ú$814)</f>
      </c>
      <c r="GE814">
        <f>IF(ISBLANK('Data Entry'!$û$814), "", 'Data Entry'!$û$814)</f>
      </c>
      <c r="GF814">
        <f>IF(ISBLANK('Data Entry'!$ü$814), "", 'Data Entry'!$ü$814)</f>
      </c>
      <c r="GG814">
        <f>IF(ISBLANK('Data Entry'!$ý$814), "", 'Data Entry'!$ý$814)</f>
      </c>
      <c r="GH814">
        <f>IF(ISBLANK('Data Entry'!$þ$814), "", 'Data Entry'!$þ$814)</f>
      </c>
      <c r="GI814">
        <f>IF(ISBLANK('Data Entry'!$ÿ$814), "", 'Data Entry'!$ÿ$814)</f>
      </c>
      <c r="GJ814">
        <f>IF(ISBLANK('Data Entry'!$Ā$814), "", 'Data Entry'!$Ā$814)</f>
      </c>
      <c r="GK814">
        <f>IF(ISBLANK('Data Entry'!$ā$814), "", 'Data Entry'!$ā$814)</f>
      </c>
      <c r="GL814">
        <f>IF(ISBLANK('Data Entry'!$Ă$814), "", 'Data Entry'!$Ă$814)</f>
      </c>
      <c r="GM814">
        <f>IF(ISBLANK('Data Entry'!$ă$814), "", 'Data Entry'!$ă$814)</f>
      </c>
      <c r="GN814">
        <f>IF(ISBLANK('Data Entry'!$Ą$814), "", 'Data Entry'!$Ą$814)</f>
      </c>
      <c r="GO814">
        <f>IF(ISBLANK('Data Entry'!$ą$814), "", 'Data Entry'!$ą$814)</f>
      </c>
      <c r="GP814">
        <f>IF(ISBLANK('Data Entry'!$Ć$814), "", 'Data Entry'!$Ć$814)</f>
      </c>
      <c r="GQ814">
        <f>IF(ISBLANK('Data Entry'!$ć$814), "", 'Data Entry'!$ć$814)</f>
      </c>
      <c r="GR814">
        <f>IF(ISBLANK('Data Entry'!$Ĉ$814), "", 'Data Entry'!$Ĉ$814)</f>
      </c>
      <c r="GS814">
        <f>IF(ISBLANK('Data Entry'!$ĉ$814), "", 'Data Entry'!$ĉ$814)</f>
      </c>
      <c r="GT814">
        <f>IF(ISBLANK('Data Entry'!$Ċ$814), "", 'Data Entry'!$Ċ$814)</f>
      </c>
      <c r="GU814">
        <f>IF(ISBLANK('Data Entry'!$ċ$814), "", 'Data Entry'!$ċ$814)</f>
      </c>
      <c r="GV814">
        <f>IF(ISBLANK('Data Entry'!$Č$814), "", 'Data Entry'!$Č$814)</f>
      </c>
      <c r="GW814">
        <f>IF(ISBLANK('Data Entry'!$č$814), "", 'Data Entry'!$č$814)</f>
      </c>
      <c r="GX814">
        <f>IF(ISBLANK('Data Entry'!$Ď$814), "", 'Data Entry'!$Ď$814)</f>
      </c>
      <c r="GY814">
        <f>IF(ISBLANK('Data Entry'!$ď$814), "", 'Data Entry'!$ď$814)</f>
      </c>
      <c r="GZ814">
        <f>IF(ISBLANK('Data Entry'!$Đ$814), "", 'Data Entry'!$Đ$814)</f>
      </c>
      <c r="HA814">
        <f>IF(ISBLANK('Data Entry'!$đ$814), "", 'Data Entry'!$đ$814)</f>
      </c>
      <c r="HB814">
        <f>IF(ISBLANK('Data Entry'!$Ē$814), "", 'Data Entry'!$Ē$814)</f>
      </c>
      <c r="HC814">
        <f>IF(ISBLANK('Data Entry'!$ē$814), "", 'Data Entry'!$ē$814)</f>
      </c>
      <c r="HD814">
        <f>IF(ISBLANK('Data Entry'!$Ĕ$814), "", 'Data Entry'!$Ĕ$814)</f>
      </c>
      <c r="HE814">
        <f>IF(ISBLANK('Data Entry'!$ĕ$814), "", 'Data Entry'!$ĕ$814)</f>
      </c>
      <c r="HF814">
        <f>IF(ISBLANK('Data Entry'!$Ė$814), "", 'Data Entry'!$Ė$814)</f>
      </c>
      <c r="HG814">
        <f>IF(ISBLANK('Data Entry'!$ė$814), "", 'Data Entry'!$ė$814)</f>
      </c>
      <c r="HH814">
        <f>IF(ISBLANK('Data Entry'!$Ę$814), "", 'Data Entry'!$Ę$814)</f>
      </c>
      <c r="HI814">
        <f>IF(ISBLANK('Data Entry'!$ę$814), "", 'Data Entry'!$ę$814)</f>
      </c>
      <c r="HJ814">
        <f>IF(ISBLANK('Data Entry'!$Ě$814), "", 'Data Entry'!$Ě$814)</f>
      </c>
      <c r="HK814">
        <f>IF(ISBLANK('Data Entry'!$ě$814), "", 'Data Entry'!$ě$814)</f>
      </c>
      <c r="HL814">
        <f>IF(ISBLANK('Data Entry'!$Ĝ$814), "", 'Data Entry'!$Ĝ$814)</f>
      </c>
      <c r="HM814">
        <f>IF(ISBLANK('Data Entry'!$ĝ$814), "", 'Data Entry'!$ĝ$814)</f>
      </c>
      <c r="HN814">
        <f>IF(ISBLANK('Data Entry'!$Ğ$814), "", 'Data Entry'!$Ğ$814)</f>
      </c>
      <c r="HO814">
        <f>IF(ISBLANK('Data Entry'!$ğ$814), "", 'Data Entry'!$ğ$814)</f>
      </c>
      <c r="HP814">
        <f>IF(ISBLANK('Data Entry'!$Ġ$814), "", 'Data Entry'!$Ġ$814)</f>
      </c>
      <c r="HQ814">
        <f>IF(ISBLANK('Data Entry'!$ġ$814), "", 'Data Entry'!$ġ$814)</f>
      </c>
      <c r="HR814">
        <f>IF(ISBLANK('Data Entry'!$Ģ$814), "", 'Data Entry'!$Ģ$814)</f>
      </c>
      <c r="HS814">
        <f>IF(ISBLANK('Data Entry'!$ģ$814), "", 'Data Entry'!$ģ$814)</f>
      </c>
      <c r="HT814">
        <f>IF(ISBLANK('Data Entry'!$Ĥ$814), "", 'Data Entry'!$Ĥ$814)</f>
      </c>
      <c r="HU814">
        <f>IF(ISBLANK('Data Entry'!$ĥ$814), "", 'Data Entry'!$ĥ$814)</f>
      </c>
      <c r="HV814">
        <f>IF(ISBLANK('Data Entry'!$Ħ$814), "", 'Data Entry'!$Ħ$814)</f>
      </c>
      <c r="HW814">
        <f>IF(ISBLANK('Data Entry'!$ħ$814), "", 'Data Entry'!$ħ$814)</f>
      </c>
      <c r="HX814">
        <f>IF(ISBLANK('Data Entry'!$Ĩ$814), "", 'Data Entry'!$Ĩ$814)</f>
      </c>
      <c r="HY814">
        <f>IF(ISBLANK('Data Entry'!$ĩ$814), "", 'Data Entry'!$ĩ$814)</f>
      </c>
      <c r="HZ814">
        <f>IF(ISBLANK('Data Entry'!$Ī$814), "", 'Data Entry'!$Ī$814)</f>
      </c>
      <c r="IA814">
        <f>IF(ISBLANK('Data Entry'!$ī$814), "", 'Data Entry'!$ī$814)</f>
      </c>
      <c r="IB814">
        <f>IF(ISBLANK('Data Entry'!$Ĭ$814), "", 'Data Entry'!$Ĭ$814)</f>
      </c>
      <c r="IC814">
        <f>IF(ISBLANK('Data Entry'!$ĭ$814), "", 'Data Entry'!$ĭ$814)</f>
      </c>
      <c r="ID814">
        <f>IF(ISBLANK('Data Entry'!$Į$814), "", 'Data Entry'!$Į$814)</f>
      </c>
      <c r="IE814">
        <f>IF(ISBLANK('Data Entry'!$į$814), "", 'Data Entry'!$į$814)</f>
      </c>
      <c r="IF814">
        <f>IF(ISBLANK('Data Entry'!$İ$814), "", 'Data Entry'!$İ$814)</f>
      </c>
      <c r="IG814">
        <f>IF(ISBLANK('Data Entry'!$ı$814), "", 'Data Entry'!$ı$814)</f>
      </c>
      <c r="IH814">
        <f>IF(ISBLANK('Data Entry'!$Ĳ$814), "", 'Data Entry'!$Ĳ$814)</f>
      </c>
      <c r="II814">
        <f>IF(ISBLANK('Data Entry'!$ĳ$814), "", 'Data Entry'!$ĳ$814)</f>
      </c>
      <c r="IJ814">
        <f>IF(ISBLANK('Data Entry'!$Ĵ$814), "", 'Data Entry'!$Ĵ$814)</f>
      </c>
      <c r="IK814">
        <f>IF(ISBLANK('Data Entry'!$ĵ$814), "", 'Data Entry'!$ĵ$814)</f>
      </c>
      <c r="IL814">
        <f>IF(ISBLANK('Data Entry'!$Ķ$814), "", 'Data Entry'!$Ķ$814)</f>
      </c>
      <c r="IM814">
        <f>IF(ISBLANK('Data Entry'!$ķ$814), "", 'Data Entry'!$ķ$814)</f>
      </c>
      <c r="IN814">
        <f>IF(ISBLANK('Data Entry'!$ĸ$814), "", 'Data Entry'!$ĸ$814)</f>
      </c>
      <c r="IO814">
        <f>IF(ISBLANK('Data Entry'!$Ĺ$814), "", 'Data Entry'!$Ĺ$814)</f>
      </c>
      <c r="IP814">
        <f>IF(ISBLANK('Data Entry'!$ĺ$814), "", 'Data Entry'!$ĺ$814)</f>
      </c>
      <c r="IQ814">
        <f>IF(ISBLANK('Data Entry'!$Ļ$814), "", 'Data Entry'!$Ļ$814)</f>
      </c>
      <c r="IR814">
        <f>IF(ISBLANK('Data Entry'!$ļ$814), "", 'Data Entry'!$ļ$814)</f>
      </c>
      <c r="IS814">
        <f>IF(ISBLANK('Data Entry'!$Ľ$814), "", 'Data Entry'!$Ľ$814)</f>
      </c>
      <c r="IT814">
        <f>IF(ISBLANK('Data Entry'!$ľ$814), "", 'Data Entry'!$ľ$814)</f>
      </c>
    </row>
    <row r="815" spans="1:254" x14ac:dyDescent="0.25">
      <c r="A815">
        <f>IF(ISBLANK('Data Entry'!$A$815), "", 'Data Entry'!$A$815)</f>
      </c>
      <c r="B815">
        <f>IF(ISBLANK('Data Entry'!$B$815), "", 'Data Entry'!$B$815)</f>
      </c>
      <c r="C815">
        <f>IF(ISBLANK('Data Entry'!$C$815), "", 'Data Entry'!$C$815)</f>
      </c>
      <c r="D815">
        <f>IF(ISBLANK('Data Entry'!$D$815), "", 'Data Entry'!$D$815)</f>
      </c>
      <c r="E815">
        <f>IF(ISBLANK('Data Entry'!$E$815), "", 'Data Entry'!$E$815)</f>
      </c>
      <c r="F815">
        <f>IF(ISBLANK('Data Entry'!$F$815), "", 'Data Entry'!$F$815)</f>
      </c>
      <c r="G815">
        <f>IF(ISBLANK('Data Entry'!$G$815), "", 'Data Entry'!$G$815)</f>
      </c>
      <c r="H815">
        <f>IF(ISBLANK('Data Entry'!$H$815), "", 'Data Entry'!$H$815)</f>
      </c>
      <c r="I815">
        <f>IF(ISBLANK('Data Entry'!$I$815), "", 'Data Entry'!$I$815)</f>
      </c>
      <c r="J815">
        <f>IF(ISBLANK('Data Entry'!$J$815), "", 'Data Entry'!$J$815)</f>
      </c>
      <c r="K815">
        <f>IF(ISBLANK('Data Entry'!$K$815), "", 'Data Entry'!$K$815)</f>
      </c>
      <c r="L815">
        <f>IF(ISBLANK('Data Entry'!$L$815), "", 'Data Entry'!$L$815)</f>
      </c>
      <c r="M815">
        <f>IF(ISBLANK('Data Entry'!$M$815), "", 'Data Entry'!$M$815)</f>
      </c>
      <c r="N815">
        <f>IF(ISBLANK('Data Entry'!$N$815), "", 'Data Entry'!$N$815)</f>
      </c>
      <c r="O815">
        <f>IF(ISBLANK('Data Entry'!$O$815), "", 'Data Entry'!$O$815)</f>
      </c>
      <c r="P815">
        <f>IF(ISBLANK('Data Entry'!$P$815), "", 'Data Entry'!$P$815)</f>
      </c>
      <c r="Q815">
        <f>IF(ISBLANK('Data Entry'!$Q$815), "", 'Data Entry'!$Q$815)</f>
      </c>
      <c r="R815">
        <f>IF(ISBLANK('Data Entry'!$R$815), "", 'Data Entry'!$R$815)</f>
      </c>
      <c r="S815">
        <f>IF(ISBLANK('Data Entry'!$S$815), "", 'Data Entry'!$S$815)</f>
      </c>
      <c r="T815">
        <f>IF(ISBLANK('Data Entry'!$T$815), "", 'Data Entry'!$T$815)</f>
      </c>
      <c r="U815">
        <f>IF(ISBLANK('Data Entry'!$U$815), "", 'Data Entry'!$U$815)</f>
      </c>
      <c r="V815">
        <f>IF(ISBLANK('Data Entry'!$V$815), "", 'Data Entry'!$V$815)</f>
      </c>
      <c r="W815">
        <f>IF(ISBLANK('Data Entry'!$W$815), "", 'Data Entry'!$W$815)</f>
      </c>
      <c r="X815">
        <f>IF(ISBLANK('Data Entry'!$X$815), "", 'Data Entry'!$X$815)</f>
      </c>
      <c r="Y815">
        <f>IF(ISBLANK('Data Entry'!$Y$815), "", 'Data Entry'!$Y$815)</f>
      </c>
      <c r="Z815">
        <f>IF(ISBLANK('Data Entry'!$Z$815), "", 'Data Entry'!$Z$815)</f>
      </c>
      <c r="AA815">
        <f>IF(ISBLANK('Data Entry'!$[$815), "", 'Data Entry'!$[$815)</f>
      </c>
      <c r="AB815">
        <f>IF(ISBLANK('Data Entry'!$\$815), "", 'Data Entry'!$\$815)</f>
      </c>
      <c r="AC815">
        <f>IF(ISBLANK('Data Entry'!$]$815), "", 'Data Entry'!$]$815)</f>
      </c>
      <c r="AD815">
        <f>IF(ISBLANK('Data Entry'!$^$815), "", 'Data Entry'!$^$815)</f>
      </c>
      <c r="AE815">
        <f>IF(ISBLANK('Data Entry'!$_$815), "", 'Data Entry'!$_$815)</f>
      </c>
      <c r="AF815">
        <f>IF(ISBLANK('Data Entry'!$`$815), "", 'Data Entry'!$`$815)</f>
      </c>
      <c r="AG815">
        <f>IF(ISBLANK('Data Entry'!$a$815), "", 'Data Entry'!$a$815)</f>
      </c>
      <c r="AH815">
        <f>IF(ISBLANK('Data Entry'!$b$815), "", 'Data Entry'!$b$815)</f>
      </c>
      <c r="AI815">
        <f>IF(ISBLANK('Data Entry'!$c$815), "", 'Data Entry'!$c$815)</f>
      </c>
      <c r="AJ815">
        <f>IF(ISBLANK('Data Entry'!$d$815), "", 'Data Entry'!$d$815)</f>
      </c>
      <c r="AK815">
        <f>IF(ISBLANK('Data Entry'!$e$815), "", 'Data Entry'!$e$815)</f>
      </c>
      <c r="AL815">
        <f>IF(ISBLANK('Data Entry'!$f$815), "", 'Data Entry'!$f$815)</f>
      </c>
      <c r="AM815">
        <f>IF(ISBLANK('Data Entry'!$g$815), "", 'Data Entry'!$g$815)</f>
      </c>
      <c r="AN815">
        <f>IF(ISBLANK('Data Entry'!$h$815), "", 'Data Entry'!$h$815)</f>
      </c>
      <c r="AO815">
        <f>IF(ISBLANK('Data Entry'!$i$815), "", 'Data Entry'!$i$815)</f>
      </c>
      <c r="AP815">
        <f>IF(ISBLANK('Data Entry'!$j$815), "", 'Data Entry'!$j$815)</f>
      </c>
      <c r="AQ815">
        <f>IF(ISBLANK('Data Entry'!$k$815), "", 'Data Entry'!$k$815)</f>
      </c>
      <c r="AR815">
        <f>IF(ISBLANK('Data Entry'!$l$815), "", 'Data Entry'!$l$815)</f>
      </c>
      <c r="AS815">
        <f>IF(ISBLANK('Data Entry'!$m$815), "", 'Data Entry'!$m$815)</f>
      </c>
      <c r="AT815">
        <f>IF(ISBLANK('Data Entry'!$n$815), "", 'Data Entry'!$n$815)</f>
      </c>
      <c r="AU815">
        <f>IF(ISBLANK('Data Entry'!$o$815), "", 'Data Entry'!$o$815)</f>
      </c>
      <c r="AV815">
        <f>IF(ISBLANK('Data Entry'!$p$815), "", 'Data Entry'!$p$815)</f>
      </c>
      <c r="AW815">
        <f>IF(ISBLANK('Data Entry'!$q$815), "", 'Data Entry'!$q$815)</f>
      </c>
      <c r="AX815">
        <f>IF(ISBLANK('Data Entry'!$r$815), "", 'Data Entry'!$r$815)</f>
      </c>
      <c r="AY815">
        <f>IF(ISBLANK('Data Entry'!$s$815), "", 'Data Entry'!$s$815)</f>
      </c>
      <c r="AZ815">
        <f>IF(ISBLANK('Data Entry'!$t$815), "", 'Data Entry'!$t$815)</f>
      </c>
      <c r="BA815">
        <f>IF(ISBLANK('Data Entry'!$u$815), "", 'Data Entry'!$u$815)</f>
      </c>
      <c r="BB815">
        <f>IF(ISBLANK('Data Entry'!$v$815), "", 'Data Entry'!$v$815)</f>
      </c>
      <c r="BC815">
        <f>IF(ISBLANK('Data Entry'!$w$815), "", 'Data Entry'!$w$815)</f>
      </c>
      <c r="BD815">
        <f>IF(ISBLANK('Data Entry'!$x$815), "", 'Data Entry'!$x$815)</f>
      </c>
      <c r="BE815">
        <f>IF(ISBLANK('Data Entry'!$y$815), "", 'Data Entry'!$y$815)</f>
      </c>
      <c r="BF815">
        <f>IF(ISBLANK('Data Entry'!$z$815), "", 'Data Entry'!$z$815)</f>
      </c>
      <c r="BG815">
        <f>IF(ISBLANK('Data Entry'!${$815), "", 'Data Entry'!${$815)</f>
      </c>
      <c r="BH815">
        <f>IF(ISBLANK('Data Entry'!$|$815), "", 'Data Entry'!$|$815)</f>
      </c>
      <c r="BI815">
        <f>IF(ISBLANK('Data Entry'!$}$815), "", 'Data Entry'!$}$815)</f>
      </c>
      <c r="BJ815">
        <f>IF(ISBLANK('Data Entry'!$~$815), "", 'Data Entry'!$~$815)</f>
      </c>
      <c r="BK815">
        <f>IF(ISBLANK('Data Entry'!$$815), "", 'Data Entry'!$$815)</f>
      </c>
      <c r="BL815">
        <f>IF(ISBLANK('Data Entry'!$$815), "", 'Data Entry'!$$815)</f>
      </c>
      <c r="BM815">
        <f>IF(ISBLANK('Data Entry'!$$815), "", 'Data Entry'!$$815)</f>
      </c>
      <c r="BN815">
        <f>IF(ISBLANK('Data Entry'!$$815), "", 'Data Entry'!$$815)</f>
      </c>
      <c r="BO815">
        <f>IF(ISBLANK('Data Entry'!$$815), "", 'Data Entry'!$$815)</f>
      </c>
      <c r="BP815">
        <f>IF(ISBLANK('Data Entry'!$$815), "", 'Data Entry'!$$815)</f>
      </c>
      <c r="BQ815">
        <f>IF(ISBLANK('Data Entry'!$$815), "", 'Data Entry'!$$815)</f>
      </c>
      <c r="BR815">
        <f>IF(ISBLANK('Data Entry'!$$815), "", 'Data Entry'!$$815)</f>
      </c>
      <c r="BS815">
        <f>IF(ISBLANK('Data Entry'!$$815), "", 'Data Entry'!$$815)</f>
      </c>
      <c r="BT815">
        <f>IF(ISBLANK('Data Entry'!$$815), "", 'Data Entry'!$$815)</f>
      </c>
      <c r="BU815">
        <f>IF(ISBLANK('Data Entry'!$$815), "", 'Data Entry'!$$815)</f>
      </c>
      <c r="BV815">
        <f>IF(ISBLANK('Data Entry'!$$815), "", 'Data Entry'!$$815)</f>
      </c>
      <c r="BW815">
        <f>IF(ISBLANK('Data Entry'!$$815), "", 'Data Entry'!$$815)</f>
      </c>
      <c r="BX815">
        <f>IF(ISBLANK('Data Entry'!$$815), "", 'Data Entry'!$$815)</f>
      </c>
      <c r="BY815">
        <f>IF(ISBLANK('Data Entry'!$$815), "", 'Data Entry'!$$815)</f>
      </c>
      <c r="BZ815">
        <f>IF(ISBLANK('Data Entry'!$$815), "", 'Data Entry'!$$815)</f>
      </c>
      <c r="CA815">
        <f>IF(ISBLANK('Data Entry'!$$815), "", 'Data Entry'!$$815)</f>
      </c>
      <c r="CB815">
        <f>IF(ISBLANK('Data Entry'!$$815), "", 'Data Entry'!$$815)</f>
      </c>
      <c r="CC815">
        <f>IF(ISBLANK('Data Entry'!$$815), "", 'Data Entry'!$$815)</f>
      </c>
      <c r="CD815">
        <f>IF(ISBLANK('Data Entry'!$$815), "", 'Data Entry'!$$815)</f>
      </c>
      <c r="CE815">
        <f>IF(ISBLANK('Data Entry'!$$815), "", 'Data Entry'!$$815)</f>
      </c>
      <c r="CF815">
        <f>IF(ISBLANK('Data Entry'!$$815), "", 'Data Entry'!$$815)</f>
      </c>
      <c r="CG815">
        <f>IF(ISBLANK('Data Entry'!$$815), "", 'Data Entry'!$$815)</f>
      </c>
      <c r="CH815">
        <f>IF(ISBLANK('Data Entry'!$$815), "", 'Data Entry'!$$815)</f>
      </c>
      <c r="CI815">
        <f>IF(ISBLANK('Data Entry'!$$815), "", 'Data Entry'!$$815)</f>
      </c>
      <c r="CJ815">
        <f>IF(ISBLANK('Data Entry'!$$815), "", 'Data Entry'!$$815)</f>
      </c>
      <c r="CK815">
        <f>IF(ISBLANK('Data Entry'!$$815), "", 'Data Entry'!$$815)</f>
      </c>
      <c r="CL815">
        <f>IF(ISBLANK('Data Entry'!$$815), "", 'Data Entry'!$$815)</f>
      </c>
      <c r="CM815">
        <f>IF(ISBLANK('Data Entry'!$$815), "", 'Data Entry'!$$815)</f>
      </c>
      <c r="CN815">
        <f>IF(ISBLANK('Data Entry'!$$815), "", 'Data Entry'!$$815)</f>
      </c>
      <c r="CO815">
        <f>IF(ISBLANK('Data Entry'!$$815), "", 'Data Entry'!$$815)</f>
      </c>
      <c r="CP815">
        <f>IF(ISBLANK('Data Entry'!$$815), "", 'Data Entry'!$$815)</f>
      </c>
      <c r="CQ815">
        <f>IF(ISBLANK('Data Entry'!$$815), "", 'Data Entry'!$$815)</f>
      </c>
      <c r="CR815">
        <f>IF(ISBLANK('Data Entry'!$ $815), "", 'Data Entry'!$ $815)</f>
      </c>
      <c r="CS815">
        <f>IF(ISBLANK('Data Entry'!$¡$815), "", 'Data Entry'!$¡$815)</f>
      </c>
      <c r="CT815">
        <f>IF(ISBLANK('Data Entry'!$¢$815), "", 'Data Entry'!$¢$815)</f>
      </c>
      <c r="CU815">
        <f>IF(ISBLANK('Data Entry'!$£$815), "", 'Data Entry'!$£$815)</f>
      </c>
      <c r="CV815">
        <f>IF(ISBLANK('Data Entry'!$¤$815), "", 'Data Entry'!$¤$815)</f>
      </c>
      <c r="CW815">
        <f>IF(ISBLANK('Data Entry'!$¥$815), "", 'Data Entry'!$¥$815)</f>
      </c>
      <c r="CX815">
        <f>IF(ISBLANK('Data Entry'!$¦$815), "", 'Data Entry'!$¦$815)</f>
      </c>
      <c r="CY815">
        <f>IF(ISBLANK('Data Entry'!$§$815), "", 'Data Entry'!$§$815)</f>
      </c>
      <c r="CZ815">
        <f>IF(ISBLANK('Data Entry'!$¨$815), "", 'Data Entry'!$¨$815)</f>
      </c>
      <c r="DA815">
        <f>IF(ISBLANK('Data Entry'!$©$815), "", 'Data Entry'!$©$815)</f>
      </c>
      <c r="DB815">
        <f>IF(ISBLANK('Data Entry'!$ª$815), "", 'Data Entry'!$ª$815)</f>
      </c>
      <c r="DC815">
        <f>IF(ISBLANK('Data Entry'!$«$815), "", 'Data Entry'!$«$815)</f>
      </c>
      <c r="DD815">
        <f>IF(ISBLANK('Data Entry'!$¬$815), "", 'Data Entry'!$¬$815)</f>
      </c>
      <c r="DE815">
        <f>IF(ISBLANK('Data Entry'!$­$815), "", 'Data Entry'!$­$815)</f>
      </c>
      <c r="DF815">
        <f>IF(ISBLANK('Data Entry'!$®$815), "", 'Data Entry'!$®$815)</f>
      </c>
      <c r="DG815">
        <f>IF(ISBLANK('Data Entry'!$¯$815), "", 'Data Entry'!$¯$815)</f>
      </c>
      <c r="DH815">
        <f>IF(ISBLANK('Data Entry'!$°$815), "", 'Data Entry'!$°$815)</f>
      </c>
      <c r="DI815">
        <f>IF(ISBLANK('Data Entry'!$±$815), "", 'Data Entry'!$±$815)</f>
      </c>
      <c r="DJ815">
        <f>IF(ISBLANK('Data Entry'!$²$815), "", 'Data Entry'!$²$815)</f>
      </c>
      <c r="DK815">
        <f>IF(ISBLANK('Data Entry'!$³$815), "", 'Data Entry'!$³$815)</f>
      </c>
      <c r="DL815">
        <f>IF(ISBLANK('Data Entry'!$´$815), "", 'Data Entry'!$´$815)</f>
      </c>
      <c r="DM815">
        <f>IF(ISBLANK('Data Entry'!$µ$815), "", 'Data Entry'!$µ$815)</f>
      </c>
      <c r="DN815">
        <f>IF(ISBLANK('Data Entry'!$¶$815), "", 'Data Entry'!$¶$815)</f>
      </c>
      <c r="DO815">
        <f>IF(ISBLANK('Data Entry'!$·$815), "", 'Data Entry'!$·$815)</f>
      </c>
      <c r="DP815">
        <f>IF(ISBLANK('Data Entry'!$¸$815), "", 'Data Entry'!$¸$815)</f>
      </c>
      <c r="DQ815">
        <f>IF(ISBLANK('Data Entry'!$¹$815), "", 'Data Entry'!$¹$815)</f>
      </c>
      <c r="DR815">
        <f>IF(ISBLANK('Data Entry'!$º$815), "", 'Data Entry'!$º$815)</f>
      </c>
      <c r="DS815">
        <f>IF(ISBLANK('Data Entry'!$»$815), "", 'Data Entry'!$»$815)</f>
      </c>
      <c r="DT815">
        <f>IF(ISBLANK('Data Entry'!$¼$815), "", 'Data Entry'!$¼$815)</f>
      </c>
      <c r="DU815">
        <f>IF(ISBLANK('Data Entry'!$½$815), "", 'Data Entry'!$½$815)</f>
      </c>
      <c r="DV815">
        <f>IF(ISBLANK('Data Entry'!$¾$815), "", 'Data Entry'!$¾$815)</f>
      </c>
      <c r="DW815">
        <f>IF(ISBLANK('Data Entry'!$¿$815), "", 'Data Entry'!$¿$815)</f>
      </c>
      <c r="DX815">
        <f>IF(ISBLANK('Data Entry'!$À$815), "", 'Data Entry'!$À$815)</f>
      </c>
      <c r="DY815">
        <f>IF(ISBLANK('Data Entry'!$Á$815), "", 'Data Entry'!$Á$815)</f>
      </c>
      <c r="DZ815">
        <f>IF(ISBLANK('Data Entry'!$Â$815), "", 'Data Entry'!$Â$815)</f>
      </c>
      <c r="EA815">
        <f>IF(ISBLANK('Data Entry'!$Ã$815), "", 'Data Entry'!$Ã$815)</f>
      </c>
      <c r="EB815">
        <f>IF(ISBLANK('Data Entry'!$Ä$815), "", 'Data Entry'!$Ä$815)</f>
      </c>
      <c r="EC815">
        <f>IF(ISBLANK('Data Entry'!$Å$815), "", 'Data Entry'!$Å$815)</f>
      </c>
      <c r="ED815">
        <f>IF(ISBLANK('Data Entry'!$Æ$815), "", 'Data Entry'!$Æ$815)</f>
      </c>
      <c r="EE815">
        <f>IF(ISBLANK('Data Entry'!$Ç$815), "", 'Data Entry'!$Ç$815)</f>
      </c>
      <c r="EF815">
        <f>IF(ISBLANK('Data Entry'!$È$815), "", 'Data Entry'!$È$815)</f>
      </c>
      <c r="EG815">
        <f>IF(ISBLANK('Data Entry'!$É$815), "", 'Data Entry'!$É$815)</f>
      </c>
      <c r="EH815">
        <f>IF(ISBLANK('Data Entry'!$Ê$815), "", 'Data Entry'!$Ê$815)</f>
      </c>
      <c r="EI815">
        <f>IF(ISBLANK('Data Entry'!$Ë$815), "", 'Data Entry'!$Ë$815)</f>
      </c>
      <c r="EJ815">
        <f>IF(ISBLANK('Data Entry'!$Ì$815), "", 'Data Entry'!$Ì$815)</f>
      </c>
      <c r="EK815">
        <f>IF(ISBLANK('Data Entry'!$Í$815), "", 'Data Entry'!$Í$815)</f>
      </c>
      <c r="EL815">
        <f>IF(ISBLANK('Data Entry'!$Î$815), "", 'Data Entry'!$Î$815)</f>
      </c>
      <c r="EM815">
        <f>IF(ISBLANK('Data Entry'!$Ï$815), "", 'Data Entry'!$Ï$815)</f>
      </c>
      <c r="EN815">
        <f>IF(ISBLANK('Data Entry'!$Ð$815), "", 'Data Entry'!$Ð$815)</f>
      </c>
      <c r="EO815">
        <f>IF(ISBLANK('Data Entry'!$Ñ$815), "", 'Data Entry'!$Ñ$815)</f>
      </c>
      <c r="EP815">
        <f>IF(ISBLANK('Data Entry'!$Ò$815), "", 'Data Entry'!$Ò$815)</f>
      </c>
      <c r="EQ815">
        <f>IF(ISBLANK('Data Entry'!$Ó$815), "", 'Data Entry'!$Ó$815)</f>
      </c>
      <c r="ER815">
        <f>IF(ISBLANK('Data Entry'!$Ô$815), "", 'Data Entry'!$Ô$815)</f>
      </c>
      <c r="ES815">
        <f>IF(ISBLANK('Data Entry'!$Õ$815), "", 'Data Entry'!$Õ$815)</f>
      </c>
      <c r="ET815">
        <f>IF(ISBLANK('Data Entry'!$Ö$815), "", 'Data Entry'!$Ö$815)</f>
      </c>
      <c r="EU815">
        <f>IF(ISBLANK('Data Entry'!$×$815), "", 'Data Entry'!$×$815)</f>
      </c>
      <c r="EV815">
        <f>IF(ISBLANK('Data Entry'!$Ø$815), "", 'Data Entry'!$Ø$815)</f>
      </c>
      <c r="EW815">
        <f>IF(ISBLANK('Data Entry'!$Ù$815), "", 'Data Entry'!$Ù$815)</f>
      </c>
      <c r="EX815">
        <f>IF(ISBLANK('Data Entry'!$Ú$815), "", 'Data Entry'!$Ú$815)</f>
      </c>
      <c r="EY815">
        <f>IF(ISBLANK('Data Entry'!$Û$815), "", 'Data Entry'!$Û$815)</f>
      </c>
      <c r="EZ815">
        <f>IF(ISBLANK('Data Entry'!$Ü$815), "", 'Data Entry'!$Ü$815)</f>
      </c>
      <c r="FA815">
        <f>IF(ISBLANK('Data Entry'!$Ý$815), "", 'Data Entry'!$Ý$815)</f>
      </c>
      <c r="FB815">
        <f>IF(ISBLANK('Data Entry'!$Þ$815), "", 'Data Entry'!$Þ$815)</f>
      </c>
      <c r="FC815">
        <f>IF(ISBLANK('Data Entry'!$ß$815), "", 'Data Entry'!$ß$815)</f>
      </c>
      <c r="FD815">
        <f>IF(ISBLANK('Data Entry'!$à$815), "", 'Data Entry'!$à$815)</f>
      </c>
      <c r="FE815">
        <f>IF(ISBLANK('Data Entry'!$á$815), "", 'Data Entry'!$á$815)</f>
      </c>
      <c r="FF815">
        <f>IF(ISBLANK('Data Entry'!$â$815), "", 'Data Entry'!$â$815)</f>
      </c>
      <c r="FG815">
        <f>IF(ISBLANK('Data Entry'!$ã$815), "", 'Data Entry'!$ã$815)</f>
      </c>
      <c r="FH815">
        <f>IF(ISBLANK('Data Entry'!$ä$815), "", 'Data Entry'!$ä$815)</f>
      </c>
      <c r="FI815">
        <f>IF(ISBLANK('Data Entry'!$å$815), "", 'Data Entry'!$å$815)</f>
      </c>
      <c r="FJ815">
        <f>IF(ISBLANK('Data Entry'!$æ$815), "", 'Data Entry'!$æ$815)</f>
      </c>
      <c r="FK815">
        <f>IF(ISBLANK('Data Entry'!$ç$815), "", 'Data Entry'!$ç$815)</f>
      </c>
      <c r="FL815">
        <f>IF(ISBLANK('Data Entry'!$è$815), "", 'Data Entry'!$è$815)</f>
      </c>
      <c r="FM815">
        <f>IF(ISBLANK('Data Entry'!$é$815), "", 'Data Entry'!$é$815)</f>
      </c>
      <c r="FN815">
        <f>IF(ISBLANK('Data Entry'!$ê$815), "", 'Data Entry'!$ê$815)</f>
      </c>
      <c r="FO815">
        <f>IF(ISBLANK('Data Entry'!$ë$815), "", 'Data Entry'!$ë$815)</f>
      </c>
      <c r="FP815">
        <f>IF(ISBLANK('Data Entry'!$ì$815), "", 'Data Entry'!$ì$815)</f>
      </c>
      <c r="FQ815">
        <f>IF(ISBLANK('Data Entry'!$í$815), "", 'Data Entry'!$í$815)</f>
      </c>
      <c r="FR815">
        <f>IF(ISBLANK('Data Entry'!$î$815), "", 'Data Entry'!$î$815)</f>
      </c>
      <c r="FS815">
        <f>IF(ISBLANK('Data Entry'!$ï$815), "", 'Data Entry'!$ï$815)</f>
      </c>
      <c r="FT815">
        <f>IF(ISBLANK('Data Entry'!$ð$815), "", 'Data Entry'!$ð$815)</f>
      </c>
      <c r="FU815">
        <f>IF(ISBLANK('Data Entry'!$ñ$815), "", 'Data Entry'!$ñ$815)</f>
      </c>
      <c r="FV815">
        <f>IF(ISBLANK('Data Entry'!$ò$815), "", 'Data Entry'!$ò$815)</f>
      </c>
      <c r="FW815">
        <f>IF(ISBLANK('Data Entry'!$ó$815), "", 'Data Entry'!$ó$815)</f>
      </c>
      <c r="FX815">
        <f>IF(ISBLANK('Data Entry'!$ô$815), "", 'Data Entry'!$ô$815)</f>
      </c>
      <c r="FY815">
        <f>IF(ISBLANK('Data Entry'!$õ$815), "", 'Data Entry'!$õ$815)</f>
      </c>
      <c r="FZ815">
        <f>IF(ISBLANK('Data Entry'!$ö$815), "", 'Data Entry'!$ö$815)</f>
      </c>
      <c r="GA815">
        <f>IF(ISBLANK('Data Entry'!$÷$815), "", 'Data Entry'!$÷$815)</f>
      </c>
      <c r="GB815">
        <f>IF(ISBLANK('Data Entry'!$ø$815), "", 'Data Entry'!$ø$815)</f>
      </c>
      <c r="GC815">
        <f>IF(ISBLANK('Data Entry'!$ù$815), "", 'Data Entry'!$ù$815)</f>
      </c>
      <c r="GD815">
        <f>IF(ISBLANK('Data Entry'!$ú$815), "", 'Data Entry'!$ú$815)</f>
      </c>
      <c r="GE815">
        <f>IF(ISBLANK('Data Entry'!$û$815), "", 'Data Entry'!$û$815)</f>
      </c>
      <c r="GF815">
        <f>IF(ISBLANK('Data Entry'!$ü$815), "", 'Data Entry'!$ü$815)</f>
      </c>
      <c r="GG815">
        <f>IF(ISBLANK('Data Entry'!$ý$815), "", 'Data Entry'!$ý$815)</f>
      </c>
      <c r="GH815">
        <f>IF(ISBLANK('Data Entry'!$þ$815), "", 'Data Entry'!$þ$815)</f>
      </c>
      <c r="GI815">
        <f>IF(ISBLANK('Data Entry'!$ÿ$815), "", 'Data Entry'!$ÿ$815)</f>
      </c>
      <c r="GJ815">
        <f>IF(ISBLANK('Data Entry'!$Ā$815), "", 'Data Entry'!$Ā$815)</f>
      </c>
      <c r="GK815">
        <f>IF(ISBLANK('Data Entry'!$ā$815), "", 'Data Entry'!$ā$815)</f>
      </c>
      <c r="GL815">
        <f>IF(ISBLANK('Data Entry'!$Ă$815), "", 'Data Entry'!$Ă$815)</f>
      </c>
      <c r="GM815">
        <f>IF(ISBLANK('Data Entry'!$ă$815), "", 'Data Entry'!$ă$815)</f>
      </c>
      <c r="GN815">
        <f>IF(ISBLANK('Data Entry'!$Ą$815), "", 'Data Entry'!$Ą$815)</f>
      </c>
      <c r="GO815">
        <f>IF(ISBLANK('Data Entry'!$ą$815), "", 'Data Entry'!$ą$815)</f>
      </c>
      <c r="GP815">
        <f>IF(ISBLANK('Data Entry'!$Ć$815), "", 'Data Entry'!$Ć$815)</f>
      </c>
      <c r="GQ815">
        <f>IF(ISBLANK('Data Entry'!$ć$815), "", 'Data Entry'!$ć$815)</f>
      </c>
      <c r="GR815">
        <f>IF(ISBLANK('Data Entry'!$Ĉ$815), "", 'Data Entry'!$Ĉ$815)</f>
      </c>
      <c r="GS815">
        <f>IF(ISBLANK('Data Entry'!$ĉ$815), "", 'Data Entry'!$ĉ$815)</f>
      </c>
      <c r="GT815">
        <f>IF(ISBLANK('Data Entry'!$Ċ$815), "", 'Data Entry'!$Ċ$815)</f>
      </c>
      <c r="GU815">
        <f>IF(ISBLANK('Data Entry'!$ċ$815), "", 'Data Entry'!$ċ$815)</f>
      </c>
      <c r="GV815">
        <f>IF(ISBLANK('Data Entry'!$Č$815), "", 'Data Entry'!$Č$815)</f>
      </c>
      <c r="GW815">
        <f>IF(ISBLANK('Data Entry'!$č$815), "", 'Data Entry'!$č$815)</f>
      </c>
      <c r="GX815">
        <f>IF(ISBLANK('Data Entry'!$Ď$815), "", 'Data Entry'!$Ď$815)</f>
      </c>
      <c r="GY815">
        <f>IF(ISBLANK('Data Entry'!$ď$815), "", 'Data Entry'!$ď$815)</f>
      </c>
      <c r="GZ815">
        <f>IF(ISBLANK('Data Entry'!$Đ$815), "", 'Data Entry'!$Đ$815)</f>
      </c>
      <c r="HA815">
        <f>IF(ISBLANK('Data Entry'!$đ$815), "", 'Data Entry'!$đ$815)</f>
      </c>
      <c r="HB815">
        <f>IF(ISBLANK('Data Entry'!$Ē$815), "", 'Data Entry'!$Ē$815)</f>
      </c>
      <c r="HC815">
        <f>IF(ISBLANK('Data Entry'!$ē$815), "", 'Data Entry'!$ē$815)</f>
      </c>
      <c r="HD815">
        <f>IF(ISBLANK('Data Entry'!$Ĕ$815), "", 'Data Entry'!$Ĕ$815)</f>
      </c>
      <c r="HE815">
        <f>IF(ISBLANK('Data Entry'!$ĕ$815), "", 'Data Entry'!$ĕ$815)</f>
      </c>
      <c r="HF815">
        <f>IF(ISBLANK('Data Entry'!$Ė$815), "", 'Data Entry'!$Ė$815)</f>
      </c>
      <c r="HG815">
        <f>IF(ISBLANK('Data Entry'!$ė$815), "", 'Data Entry'!$ė$815)</f>
      </c>
      <c r="HH815">
        <f>IF(ISBLANK('Data Entry'!$Ę$815), "", 'Data Entry'!$Ę$815)</f>
      </c>
      <c r="HI815">
        <f>IF(ISBLANK('Data Entry'!$ę$815), "", 'Data Entry'!$ę$815)</f>
      </c>
      <c r="HJ815">
        <f>IF(ISBLANK('Data Entry'!$Ě$815), "", 'Data Entry'!$Ě$815)</f>
      </c>
      <c r="HK815">
        <f>IF(ISBLANK('Data Entry'!$ě$815), "", 'Data Entry'!$ě$815)</f>
      </c>
      <c r="HL815">
        <f>IF(ISBLANK('Data Entry'!$Ĝ$815), "", 'Data Entry'!$Ĝ$815)</f>
      </c>
      <c r="HM815">
        <f>IF(ISBLANK('Data Entry'!$ĝ$815), "", 'Data Entry'!$ĝ$815)</f>
      </c>
      <c r="HN815">
        <f>IF(ISBLANK('Data Entry'!$Ğ$815), "", 'Data Entry'!$Ğ$815)</f>
      </c>
      <c r="HO815">
        <f>IF(ISBLANK('Data Entry'!$ğ$815), "", 'Data Entry'!$ğ$815)</f>
      </c>
      <c r="HP815">
        <f>IF(ISBLANK('Data Entry'!$Ġ$815), "", 'Data Entry'!$Ġ$815)</f>
      </c>
      <c r="HQ815">
        <f>IF(ISBLANK('Data Entry'!$ġ$815), "", 'Data Entry'!$ġ$815)</f>
      </c>
      <c r="HR815">
        <f>IF(ISBLANK('Data Entry'!$Ģ$815), "", 'Data Entry'!$Ģ$815)</f>
      </c>
      <c r="HS815">
        <f>IF(ISBLANK('Data Entry'!$ģ$815), "", 'Data Entry'!$ģ$815)</f>
      </c>
      <c r="HT815">
        <f>IF(ISBLANK('Data Entry'!$Ĥ$815), "", 'Data Entry'!$Ĥ$815)</f>
      </c>
      <c r="HU815">
        <f>IF(ISBLANK('Data Entry'!$ĥ$815), "", 'Data Entry'!$ĥ$815)</f>
      </c>
      <c r="HV815">
        <f>IF(ISBLANK('Data Entry'!$Ħ$815), "", 'Data Entry'!$Ħ$815)</f>
      </c>
      <c r="HW815">
        <f>IF(ISBLANK('Data Entry'!$ħ$815), "", 'Data Entry'!$ħ$815)</f>
      </c>
      <c r="HX815">
        <f>IF(ISBLANK('Data Entry'!$Ĩ$815), "", 'Data Entry'!$Ĩ$815)</f>
      </c>
      <c r="HY815">
        <f>IF(ISBLANK('Data Entry'!$ĩ$815), "", 'Data Entry'!$ĩ$815)</f>
      </c>
      <c r="HZ815">
        <f>IF(ISBLANK('Data Entry'!$Ī$815), "", 'Data Entry'!$Ī$815)</f>
      </c>
      <c r="IA815">
        <f>IF(ISBLANK('Data Entry'!$ī$815), "", 'Data Entry'!$ī$815)</f>
      </c>
      <c r="IB815">
        <f>IF(ISBLANK('Data Entry'!$Ĭ$815), "", 'Data Entry'!$Ĭ$815)</f>
      </c>
      <c r="IC815">
        <f>IF(ISBLANK('Data Entry'!$ĭ$815), "", 'Data Entry'!$ĭ$815)</f>
      </c>
      <c r="ID815">
        <f>IF(ISBLANK('Data Entry'!$Į$815), "", 'Data Entry'!$Į$815)</f>
      </c>
      <c r="IE815">
        <f>IF(ISBLANK('Data Entry'!$į$815), "", 'Data Entry'!$į$815)</f>
      </c>
      <c r="IF815">
        <f>IF(ISBLANK('Data Entry'!$İ$815), "", 'Data Entry'!$İ$815)</f>
      </c>
      <c r="IG815">
        <f>IF(ISBLANK('Data Entry'!$ı$815), "", 'Data Entry'!$ı$815)</f>
      </c>
      <c r="IH815">
        <f>IF(ISBLANK('Data Entry'!$Ĳ$815), "", 'Data Entry'!$Ĳ$815)</f>
      </c>
      <c r="II815">
        <f>IF(ISBLANK('Data Entry'!$ĳ$815), "", 'Data Entry'!$ĳ$815)</f>
      </c>
      <c r="IJ815">
        <f>IF(ISBLANK('Data Entry'!$Ĵ$815), "", 'Data Entry'!$Ĵ$815)</f>
      </c>
      <c r="IK815">
        <f>IF(ISBLANK('Data Entry'!$ĵ$815), "", 'Data Entry'!$ĵ$815)</f>
      </c>
      <c r="IL815">
        <f>IF(ISBLANK('Data Entry'!$Ķ$815), "", 'Data Entry'!$Ķ$815)</f>
      </c>
      <c r="IM815">
        <f>IF(ISBLANK('Data Entry'!$ķ$815), "", 'Data Entry'!$ķ$815)</f>
      </c>
      <c r="IN815">
        <f>IF(ISBLANK('Data Entry'!$ĸ$815), "", 'Data Entry'!$ĸ$815)</f>
      </c>
      <c r="IO815">
        <f>IF(ISBLANK('Data Entry'!$Ĺ$815), "", 'Data Entry'!$Ĺ$815)</f>
      </c>
      <c r="IP815">
        <f>IF(ISBLANK('Data Entry'!$ĺ$815), "", 'Data Entry'!$ĺ$815)</f>
      </c>
      <c r="IQ815">
        <f>IF(ISBLANK('Data Entry'!$Ļ$815), "", 'Data Entry'!$Ļ$815)</f>
      </c>
      <c r="IR815">
        <f>IF(ISBLANK('Data Entry'!$ļ$815), "", 'Data Entry'!$ļ$815)</f>
      </c>
      <c r="IS815">
        <f>IF(ISBLANK('Data Entry'!$Ľ$815), "", 'Data Entry'!$Ľ$815)</f>
      </c>
      <c r="IT815">
        <f>IF(ISBLANK('Data Entry'!$ľ$815), "", 'Data Entry'!$ľ$815)</f>
      </c>
    </row>
    <row r="816" spans="1:254" x14ac:dyDescent="0.25">
      <c r="A816">
        <f>IF(ISBLANK('Data Entry'!$A$816), "", 'Data Entry'!$A$816)</f>
      </c>
      <c r="B816">
        <f>IF(ISBLANK('Data Entry'!$B$816), "", 'Data Entry'!$B$816)</f>
      </c>
      <c r="C816">
        <f>IF(ISBLANK('Data Entry'!$C$816), "", 'Data Entry'!$C$816)</f>
      </c>
      <c r="D816">
        <f>IF(ISBLANK('Data Entry'!$D$816), "", 'Data Entry'!$D$816)</f>
      </c>
      <c r="E816">
        <f>IF(ISBLANK('Data Entry'!$E$816), "", 'Data Entry'!$E$816)</f>
      </c>
      <c r="F816">
        <f>IF(ISBLANK('Data Entry'!$F$816), "", 'Data Entry'!$F$816)</f>
      </c>
      <c r="G816">
        <f>IF(ISBLANK('Data Entry'!$G$816), "", 'Data Entry'!$G$816)</f>
      </c>
      <c r="H816">
        <f>IF(ISBLANK('Data Entry'!$H$816), "", 'Data Entry'!$H$816)</f>
      </c>
      <c r="I816">
        <f>IF(ISBLANK('Data Entry'!$I$816), "", 'Data Entry'!$I$816)</f>
      </c>
      <c r="J816">
        <f>IF(ISBLANK('Data Entry'!$J$816), "", 'Data Entry'!$J$816)</f>
      </c>
      <c r="K816">
        <f>IF(ISBLANK('Data Entry'!$K$816), "", 'Data Entry'!$K$816)</f>
      </c>
      <c r="L816">
        <f>IF(ISBLANK('Data Entry'!$L$816), "", 'Data Entry'!$L$816)</f>
      </c>
      <c r="M816">
        <f>IF(ISBLANK('Data Entry'!$M$816), "", 'Data Entry'!$M$816)</f>
      </c>
      <c r="N816">
        <f>IF(ISBLANK('Data Entry'!$N$816), "", 'Data Entry'!$N$816)</f>
      </c>
      <c r="O816">
        <f>IF(ISBLANK('Data Entry'!$O$816), "", 'Data Entry'!$O$816)</f>
      </c>
      <c r="P816">
        <f>IF(ISBLANK('Data Entry'!$P$816), "", 'Data Entry'!$P$816)</f>
      </c>
      <c r="Q816">
        <f>IF(ISBLANK('Data Entry'!$Q$816), "", 'Data Entry'!$Q$816)</f>
      </c>
      <c r="R816">
        <f>IF(ISBLANK('Data Entry'!$R$816), "", 'Data Entry'!$R$816)</f>
      </c>
      <c r="S816">
        <f>IF(ISBLANK('Data Entry'!$S$816), "", 'Data Entry'!$S$816)</f>
      </c>
      <c r="T816">
        <f>IF(ISBLANK('Data Entry'!$T$816), "", 'Data Entry'!$T$816)</f>
      </c>
      <c r="U816">
        <f>IF(ISBLANK('Data Entry'!$U$816), "", 'Data Entry'!$U$816)</f>
      </c>
      <c r="V816">
        <f>IF(ISBLANK('Data Entry'!$V$816), "", 'Data Entry'!$V$816)</f>
      </c>
      <c r="W816">
        <f>IF(ISBLANK('Data Entry'!$W$816), "", 'Data Entry'!$W$816)</f>
      </c>
      <c r="X816">
        <f>IF(ISBLANK('Data Entry'!$X$816), "", 'Data Entry'!$X$816)</f>
      </c>
      <c r="Y816">
        <f>IF(ISBLANK('Data Entry'!$Y$816), "", 'Data Entry'!$Y$816)</f>
      </c>
      <c r="Z816">
        <f>IF(ISBLANK('Data Entry'!$Z$816), "", 'Data Entry'!$Z$816)</f>
      </c>
      <c r="AA816">
        <f>IF(ISBLANK('Data Entry'!$[$816), "", 'Data Entry'!$[$816)</f>
      </c>
      <c r="AB816">
        <f>IF(ISBLANK('Data Entry'!$\$816), "", 'Data Entry'!$\$816)</f>
      </c>
      <c r="AC816">
        <f>IF(ISBLANK('Data Entry'!$]$816), "", 'Data Entry'!$]$816)</f>
      </c>
      <c r="AD816">
        <f>IF(ISBLANK('Data Entry'!$^$816), "", 'Data Entry'!$^$816)</f>
      </c>
      <c r="AE816">
        <f>IF(ISBLANK('Data Entry'!$_$816), "", 'Data Entry'!$_$816)</f>
      </c>
      <c r="AF816">
        <f>IF(ISBLANK('Data Entry'!$`$816), "", 'Data Entry'!$`$816)</f>
      </c>
      <c r="AG816">
        <f>IF(ISBLANK('Data Entry'!$a$816), "", 'Data Entry'!$a$816)</f>
      </c>
      <c r="AH816">
        <f>IF(ISBLANK('Data Entry'!$b$816), "", 'Data Entry'!$b$816)</f>
      </c>
      <c r="AI816">
        <f>IF(ISBLANK('Data Entry'!$c$816), "", 'Data Entry'!$c$816)</f>
      </c>
      <c r="AJ816">
        <f>IF(ISBLANK('Data Entry'!$d$816), "", 'Data Entry'!$d$816)</f>
      </c>
      <c r="AK816">
        <f>IF(ISBLANK('Data Entry'!$e$816), "", 'Data Entry'!$e$816)</f>
      </c>
      <c r="AL816">
        <f>IF(ISBLANK('Data Entry'!$f$816), "", 'Data Entry'!$f$816)</f>
      </c>
      <c r="AM816">
        <f>IF(ISBLANK('Data Entry'!$g$816), "", 'Data Entry'!$g$816)</f>
      </c>
      <c r="AN816">
        <f>IF(ISBLANK('Data Entry'!$h$816), "", 'Data Entry'!$h$816)</f>
      </c>
      <c r="AO816">
        <f>IF(ISBLANK('Data Entry'!$i$816), "", 'Data Entry'!$i$816)</f>
      </c>
      <c r="AP816">
        <f>IF(ISBLANK('Data Entry'!$j$816), "", 'Data Entry'!$j$816)</f>
      </c>
      <c r="AQ816">
        <f>IF(ISBLANK('Data Entry'!$k$816), "", 'Data Entry'!$k$816)</f>
      </c>
      <c r="AR816">
        <f>IF(ISBLANK('Data Entry'!$l$816), "", 'Data Entry'!$l$816)</f>
      </c>
      <c r="AS816">
        <f>IF(ISBLANK('Data Entry'!$m$816), "", 'Data Entry'!$m$816)</f>
      </c>
      <c r="AT816">
        <f>IF(ISBLANK('Data Entry'!$n$816), "", 'Data Entry'!$n$816)</f>
      </c>
      <c r="AU816">
        <f>IF(ISBLANK('Data Entry'!$o$816), "", 'Data Entry'!$o$816)</f>
      </c>
      <c r="AV816">
        <f>IF(ISBLANK('Data Entry'!$p$816), "", 'Data Entry'!$p$816)</f>
      </c>
      <c r="AW816">
        <f>IF(ISBLANK('Data Entry'!$q$816), "", 'Data Entry'!$q$816)</f>
      </c>
      <c r="AX816">
        <f>IF(ISBLANK('Data Entry'!$r$816), "", 'Data Entry'!$r$816)</f>
      </c>
      <c r="AY816">
        <f>IF(ISBLANK('Data Entry'!$s$816), "", 'Data Entry'!$s$816)</f>
      </c>
      <c r="AZ816">
        <f>IF(ISBLANK('Data Entry'!$t$816), "", 'Data Entry'!$t$816)</f>
      </c>
      <c r="BA816">
        <f>IF(ISBLANK('Data Entry'!$u$816), "", 'Data Entry'!$u$816)</f>
      </c>
      <c r="BB816">
        <f>IF(ISBLANK('Data Entry'!$v$816), "", 'Data Entry'!$v$816)</f>
      </c>
      <c r="BC816">
        <f>IF(ISBLANK('Data Entry'!$w$816), "", 'Data Entry'!$w$816)</f>
      </c>
      <c r="BD816">
        <f>IF(ISBLANK('Data Entry'!$x$816), "", 'Data Entry'!$x$816)</f>
      </c>
      <c r="BE816">
        <f>IF(ISBLANK('Data Entry'!$y$816), "", 'Data Entry'!$y$816)</f>
      </c>
      <c r="BF816">
        <f>IF(ISBLANK('Data Entry'!$z$816), "", 'Data Entry'!$z$816)</f>
      </c>
      <c r="BG816">
        <f>IF(ISBLANK('Data Entry'!${$816), "", 'Data Entry'!${$816)</f>
      </c>
      <c r="BH816">
        <f>IF(ISBLANK('Data Entry'!$|$816), "", 'Data Entry'!$|$816)</f>
      </c>
      <c r="BI816">
        <f>IF(ISBLANK('Data Entry'!$}$816), "", 'Data Entry'!$}$816)</f>
      </c>
      <c r="BJ816">
        <f>IF(ISBLANK('Data Entry'!$~$816), "", 'Data Entry'!$~$816)</f>
      </c>
      <c r="BK816">
        <f>IF(ISBLANK('Data Entry'!$$816), "", 'Data Entry'!$$816)</f>
      </c>
      <c r="BL816">
        <f>IF(ISBLANK('Data Entry'!$$816), "", 'Data Entry'!$$816)</f>
      </c>
      <c r="BM816">
        <f>IF(ISBLANK('Data Entry'!$$816), "", 'Data Entry'!$$816)</f>
      </c>
      <c r="BN816">
        <f>IF(ISBLANK('Data Entry'!$$816), "", 'Data Entry'!$$816)</f>
      </c>
      <c r="BO816">
        <f>IF(ISBLANK('Data Entry'!$$816), "", 'Data Entry'!$$816)</f>
      </c>
      <c r="BP816">
        <f>IF(ISBLANK('Data Entry'!$$816), "", 'Data Entry'!$$816)</f>
      </c>
      <c r="BQ816">
        <f>IF(ISBLANK('Data Entry'!$$816), "", 'Data Entry'!$$816)</f>
      </c>
      <c r="BR816">
        <f>IF(ISBLANK('Data Entry'!$$816), "", 'Data Entry'!$$816)</f>
      </c>
      <c r="BS816">
        <f>IF(ISBLANK('Data Entry'!$$816), "", 'Data Entry'!$$816)</f>
      </c>
      <c r="BT816">
        <f>IF(ISBLANK('Data Entry'!$$816), "", 'Data Entry'!$$816)</f>
      </c>
      <c r="BU816">
        <f>IF(ISBLANK('Data Entry'!$$816), "", 'Data Entry'!$$816)</f>
      </c>
      <c r="BV816">
        <f>IF(ISBLANK('Data Entry'!$$816), "", 'Data Entry'!$$816)</f>
      </c>
      <c r="BW816">
        <f>IF(ISBLANK('Data Entry'!$$816), "", 'Data Entry'!$$816)</f>
      </c>
      <c r="BX816">
        <f>IF(ISBLANK('Data Entry'!$$816), "", 'Data Entry'!$$816)</f>
      </c>
      <c r="BY816">
        <f>IF(ISBLANK('Data Entry'!$$816), "", 'Data Entry'!$$816)</f>
      </c>
      <c r="BZ816">
        <f>IF(ISBLANK('Data Entry'!$$816), "", 'Data Entry'!$$816)</f>
      </c>
      <c r="CA816">
        <f>IF(ISBLANK('Data Entry'!$$816), "", 'Data Entry'!$$816)</f>
      </c>
      <c r="CB816">
        <f>IF(ISBLANK('Data Entry'!$$816), "", 'Data Entry'!$$816)</f>
      </c>
      <c r="CC816">
        <f>IF(ISBLANK('Data Entry'!$$816), "", 'Data Entry'!$$816)</f>
      </c>
      <c r="CD816">
        <f>IF(ISBLANK('Data Entry'!$$816), "", 'Data Entry'!$$816)</f>
      </c>
      <c r="CE816">
        <f>IF(ISBLANK('Data Entry'!$$816), "", 'Data Entry'!$$816)</f>
      </c>
      <c r="CF816">
        <f>IF(ISBLANK('Data Entry'!$$816), "", 'Data Entry'!$$816)</f>
      </c>
      <c r="CG816">
        <f>IF(ISBLANK('Data Entry'!$$816), "", 'Data Entry'!$$816)</f>
      </c>
      <c r="CH816">
        <f>IF(ISBLANK('Data Entry'!$$816), "", 'Data Entry'!$$816)</f>
      </c>
      <c r="CI816">
        <f>IF(ISBLANK('Data Entry'!$$816), "", 'Data Entry'!$$816)</f>
      </c>
      <c r="CJ816">
        <f>IF(ISBLANK('Data Entry'!$$816), "", 'Data Entry'!$$816)</f>
      </c>
      <c r="CK816">
        <f>IF(ISBLANK('Data Entry'!$$816), "", 'Data Entry'!$$816)</f>
      </c>
      <c r="CL816">
        <f>IF(ISBLANK('Data Entry'!$$816), "", 'Data Entry'!$$816)</f>
      </c>
      <c r="CM816">
        <f>IF(ISBLANK('Data Entry'!$$816), "", 'Data Entry'!$$816)</f>
      </c>
      <c r="CN816">
        <f>IF(ISBLANK('Data Entry'!$$816), "", 'Data Entry'!$$816)</f>
      </c>
      <c r="CO816">
        <f>IF(ISBLANK('Data Entry'!$$816), "", 'Data Entry'!$$816)</f>
      </c>
      <c r="CP816">
        <f>IF(ISBLANK('Data Entry'!$$816), "", 'Data Entry'!$$816)</f>
      </c>
      <c r="CQ816">
        <f>IF(ISBLANK('Data Entry'!$$816), "", 'Data Entry'!$$816)</f>
      </c>
      <c r="CR816">
        <f>IF(ISBLANK('Data Entry'!$ $816), "", 'Data Entry'!$ $816)</f>
      </c>
      <c r="CS816">
        <f>IF(ISBLANK('Data Entry'!$¡$816), "", 'Data Entry'!$¡$816)</f>
      </c>
      <c r="CT816">
        <f>IF(ISBLANK('Data Entry'!$¢$816), "", 'Data Entry'!$¢$816)</f>
      </c>
      <c r="CU816">
        <f>IF(ISBLANK('Data Entry'!$£$816), "", 'Data Entry'!$£$816)</f>
      </c>
      <c r="CV816">
        <f>IF(ISBLANK('Data Entry'!$¤$816), "", 'Data Entry'!$¤$816)</f>
      </c>
      <c r="CW816">
        <f>IF(ISBLANK('Data Entry'!$¥$816), "", 'Data Entry'!$¥$816)</f>
      </c>
      <c r="CX816">
        <f>IF(ISBLANK('Data Entry'!$¦$816), "", 'Data Entry'!$¦$816)</f>
      </c>
      <c r="CY816">
        <f>IF(ISBLANK('Data Entry'!$§$816), "", 'Data Entry'!$§$816)</f>
      </c>
      <c r="CZ816">
        <f>IF(ISBLANK('Data Entry'!$¨$816), "", 'Data Entry'!$¨$816)</f>
      </c>
      <c r="DA816">
        <f>IF(ISBLANK('Data Entry'!$©$816), "", 'Data Entry'!$©$816)</f>
      </c>
      <c r="DB816">
        <f>IF(ISBLANK('Data Entry'!$ª$816), "", 'Data Entry'!$ª$816)</f>
      </c>
      <c r="DC816">
        <f>IF(ISBLANK('Data Entry'!$«$816), "", 'Data Entry'!$«$816)</f>
      </c>
      <c r="DD816">
        <f>IF(ISBLANK('Data Entry'!$¬$816), "", 'Data Entry'!$¬$816)</f>
      </c>
      <c r="DE816">
        <f>IF(ISBLANK('Data Entry'!$­$816), "", 'Data Entry'!$­$816)</f>
      </c>
      <c r="DF816">
        <f>IF(ISBLANK('Data Entry'!$®$816), "", 'Data Entry'!$®$816)</f>
      </c>
      <c r="DG816">
        <f>IF(ISBLANK('Data Entry'!$¯$816), "", 'Data Entry'!$¯$816)</f>
      </c>
      <c r="DH816">
        <f>IF(ISBLANK('Data Entry'!$°$816), "", 'Data Entry'!$°$816)</f>
      </c>
      <c r="DI816">
        <f>IF(ISBLANK('Data Entry'!$±$816), "", 'Data Entry'!$±$816)</f>
      </c>
      <c r="DJ816">
        <f>IF(ISBLANK('Data Entry'!$²$816), "", 'Data Entry'!$²$816)</f>
      </c>
      <c r="DK816">
        <f>IF(ISBLANK('Data Entry'!$³$816), "", 'Data Entry'!$³$816)</f>
      </c>
      <c r="DL816">
        <f>IF(ISBLANK('Data Entry'!$´$816), "", 'Data Entry'!$´$816)</f>
      </c>
      <c r="DM816">
        <f>IF(ISBLANK('Data Entry'!$µ$816), "", 'Data Entry'!$µ$816)</f>
      </c>
      <c r="DN816">
        <f>IF(ISBLANK('Data Entry'!$¶$816), "", 'Data Entry'!$¶$816)</f>
      </c>
      <c r="DO816">
        <f>IF(ISBLANK('Data Entry'!$·$816), "", 'Data Entry'!$·$816)</f>
      </c>
      <c r="DP816">
        <f>IF(ISBLANK('Data Entry'!$¸$816), "", 'Data Entry'!$¸$816)</f>
      </c>
      <c r="DQ816">
        <f>IF(ISBLANK('Data Entry'!$¹$816), "", 'Data Entry'!$¹$816)</f>
      </c>
      <c r="DR816">
        <f>IF(ISBLANK('Data Entry'!$º$816), "", 'Data Entry'!$º$816)</f>
      </c>
      <c r="DS816">
        <f>IF(ISBLANK('Data Entry'!$»$816), "", 'Data Entry'!$»$816)</f>
      </c>
      <c r="DT816">
        <f>IF(ISBLANK('Data Entry'!$¼$816), "", 'Data Entry'!$¼$816)</f>
      </c>
      <c r="DU816">
        <f>IF(ISBLANK('Data Entry'!$½$816), "", 'Data Entry'!$½$816)</f>
      </c>
      <c r="DV816">
        <f>IF(ISBLANK('Data Entry'!$¾$816), "", 'Data Entry'!$¾$816)</f>
      </c>
      <c r="DW816">
        <f>IF(ISBLANK('Data Entry'!$¿$816), "", 'Data Entry'!$¿$816)</f>
      </c>
      <c r="DX816">
        <f>IF(ISBLANK('Data Entry'!$À$816), "", 'Data Entry'!$À$816)</f>
      </c>
      <c r="DY816">
        <f>IF(ISBLANK('Data Entry'!$Á$816), "", 'Data Entry'!$Á$816)</f>
      </c>
      <c r="DZ816">
        <f>IF(ISBLANK('Data Entry'!$Â$816), "", 'Data Entry'!$Â$816)</f>
      </c>
      <c r="EA816">
        <f>IF(ISBLANK('Data Entry'!$Ã$816), "", 'Data Entry'!$Ã$816)</f>
      </c>
      <c r="EB816">
        <f>IF(ISBLANK('Data Entry'!$Ä$816), "", 'Data Entry'!$Ä$816)</f>
      </c>
      <c r="EC816">
        <f>IF(ISBLANK('Data Entry'!$Å$816), "", 'Data Entry'!$Å$816)</f>
      </c>
      <c r="ED816">
        <f>IF(ISBLANK('Data Entry'!$Æ$816), "", 'Data Entry'!$Æ$816)</f>
      </c>
      <c r="EE816">
        <f>IF(ISBLANK('Data Entry'!$Ç$816), "", 'Data Entry'!$Ç$816)</f>
      </c>
      <c r="EF816">
        <f>IF(ISBLANK('Data Entry'!$È$816), "", 'Data Entry'!$È$816)</f>
      </c>
      <c r="EG816">
        <f>IF(ISBLANK('Data Entry'!$É$816), "", 'Data Entry'!$É$816)</f>
      </c>
      <c r="EH816">
        <f>IF(ISBLANK('Data Entry'!$Ê$816), "", 'Data Entry'!$Ê$816)</f>
      </c>
      <c r="EI816">
        <f>IF(ISBLANK('Data Entry'!$Ë$816), "", 'Data Entry'!$Ë$816)</f>
      </c>
      <c r="EJ816">
        <f>IF(ISBLANK('Data Entry'!$Ì$816), "", 'Data Entry'!$Ì$816)</f>
      </c>
      <c r="EK816">
        <f>IF(ISBLANK('Data Entry'!$Í$816), "", 'Data Entry'!$Í$816)</f>
      </c>
      <c r="EL816">
        <f>IF(ISBLANK('Data Entry'!$Î$816), "", 'Data Entry'!$Î$816)</f>
      </c>
      <c r="EM816">
        <f>IF(ISBLANK('Data Entry'!$Ï$816), "", 'Data Entry'!$Ï$816)</f>
      </c>
      <c r="EN816">
        <f>IF(ISBLANK('Data Entry'!$Ð$816), "", 'Data Entry'!$Ð$816)</f>
      </c>
      <c r="EO816">
        <f>IF(ISBLANK('Data Entry'!$Ñ$816), "", 'Data Entry'!$Ñ$816)</f>
      </c>
      <c r="EP816">
        <f>IF(ISBLANK('Data Entry'!$Ò$816), "", 'Data Entry'!$Ò$816)</f>
      </c>
      <c r="EQ816">
        <f>IF(ISBLANK('Data Entry'!$Ó$816), "", 'Data Entry'!$Ó$816)</f>
      </c>
      <c r="ER816">
        <f>IF(ISBLANK('Data Entry'!$Ô$816), "", 'Data Entry'!$Ô$816)</f>
      </c>
      <c r="ES816">
        <f>IF(ISBLANK('Data Entry'!$Õ$816), "", 'Data Entry'!$Õ$816)</f>
      </c>
      <c r="ET816">
        <f>IF(ISBLANK('Data Entry'!$Ö$816), "", 'Data Entry'!$Ö$816)</f>
      </c>
      <c r="EU816">
        <f>IF(ISBLANK('Data Entry'!$×$816), "", 'Data Entry'!$×$816)</f>
      </c>
      <c r="EV816">
        <f>IF(ISBLANK('Data Entry'!$Ø$816), "", 'Data Entry'!$Ø$816)</f>
      </c>
      <c r="EW816">
        <f>IF(ISBLANK('Data Entry'!$Ù$816), "", 'Data Entry'!$Ù$816)</f>
      </c>
      <c r="EX816">
        <f>IF(ISBLANK('Data Entry'!$Ú$816), "", 'Data Entry'!$Ú$816)</f>
      </c>
      <c r="EY816">
        <f>IF(ISBLANK('Data Entry'!$Û$816), "", 'Data Entry'!$Û$816)</f>
      </c>
      <c r="EZ816">
        <f>IF(ISBLANK('Data Entry'!$Ü$816), "", 'Data Entry'!$Ü$816)</f>
      </c>
      <c r="FA816">
        <f>IF(ISBLANK('Data Entry'!$Ý$816), "", 'Data Entry'!$Ý$816)</f>
      </c>
      <c r="FB816">
        <f>IF(ISBLANK('Data Entry'!$Þ$816), "", 'Data Entry'!$Þ$816)</f>
      </c>
      <c r="FC816">
        <f>IF(ISBLANK('Data Entry'!$ß$816), "", 'Data Entry'!$ß$816)</f>
      </c>
      <c r="FD816">
        <f>IF(ISBLANK('Data Entry'!$à$816), "", 'Data Entry'!$à$816)</f>
      </c>
      <c r="FE816">
        <f>IF(ISBLANK('Data Entry'!$á$816), "", 'Data Entry'!$á$816)</f>
      </c>
      <c r="FF816">
        <f>IF(ISBLANK('Data Entry'!$â$816), "", 'Data Entry'!$â$816)</f>
      </c>
      <c r="FG816">
        <f>IF(ISBLANK('Data Entry'!$ã$816), "", 'Data Entry'!$ã$816)</f>
      </c>
      <c r="FH816">
        <f>IF(ISBLANK('Data Entry'!$ä$816), "", 'Data Entry'!$ä$816)</f>
      </c>
      <c r="FI816">
        <f>IF(ISBLANK('Data Entry'!$å$816), "", 'Data Entry'!$å$816)</f>
      </c>
      <c r="FJ816">
        <f>IF(ISBLANK('Data Entry'!$æ$816), "", 'Data Entry'!$æ$816)</f>
      </c>
      <c r="FK816">
        <f>IF(ISBLANK('Data Entry'!$ç$816), "", 'Data Entry'!$ç$816)</f>
      </c>
      <c r="FL816">
        <f>IF(ISBLANK('Data Entry'!$è$816), "", 'Data Entry'!$è$816)</f>
      </c>
      <c r="FM816">
        <f>IF(ISBLANK('Data Entry'!$é$816), "", 'Data Entry'!$é$816)</f>
      </c>
      <c r="FN816">
        <f>IF(ISBLANK('Data Entry'!$ê$816), "", 'Data Entry'!$ê$816)</f>
      </c>
      <c r="FO816">
        <f>IF(ISBLANK('Data Entry'!$ë$816), "", 'Data Entry'!$ë$816)</f>
      </c>
      <c r="FP816">
        <f>IF(ISBLANK('Data Entry'!$ì$816), "", 'Data Entry'!$ì$816)</f>
      </c>
      <c r="FQ816">
        <f>IF(ISBLANK('Data Entry'!$í$816), "", 'Data Entry'!$í$816)</f>
      </c>
      <c r="FR816">
        <f>IF(ISBLANK('Data Entry'!$î$816), "", 'Data Entry'!$î$816)</f>
      </c>
      <c r="FS816">
        <f>IF(ISBLANK('Data Entry'!$ï$816), "", 'Data Entry'!$ï$816)</f>
      </c>
      <c r="FT816">
        <f>IF(ISBLANK('Data Entry'!$ð$816), "", 'Data Entry'!$ð$816)</f>
      </c>
      <c r="FU816">
        <f>IF(ISBLANK('Data Entry'!$ñ$816), "", 'Data Entry'!$ñ$816)</f>
      </c>
      <c r="FV816">
        <f>IF(ISBLANK('Data Entry'!$ò$816), "", 'Data Entry'!$ò$816)</f>
      </c>
      <c r="FW816">
        <f>IF(ISBLANK('Data Entry'!$ó$816), "", 'Data Entry'!$ó$816)</f>
      </c>
      <c r="FX816">
        <f>IF(ISBLANK('Data Entry'!$ô$816), "", 'Data Entry'!$ô$816)</f>
      </c>
      <c r="FY816">
        <f>IF(ISBLANK('Data Entry'!$õ$816), "", 'Data Entry'!$õ$816)</f>
      </c>
      <c r="FZ816">
        <f>IF(ISBLANK('Data Entry'!$ö$816), "", 'Data Entry'!$ö$816)</f>
      </c>
      <c r="GA816">
        <f>IF(ISBLANK('Data Entry'!$÷$816), "", 'Data Entry'!$÷$816)</f>
      </c>
      <c r="GB816">
        <f>IF(ISBLANK('Data Entry'!$ø$816), "", 'Data Entry'!$ø$816)</f>
      </c>
      <c r="GC816">
        <f>IF(ISBLANK('Data Entry'!$ù$816), "", 'Data Entry'!$ù$816)</f>
      </c>
      <c r="GD816">
        <f>IF(ISBLANK('Data Entry'!$ú$816), "", 'Data Entry'!$ú$816)</f>
      </c>
      <c r="GE816">
        <f>IF(ISBLANK('Data Entry'!$û$816), "", 'Data Entry'!$û$816)</f>
      </c>
      <c r="GF816">
        <f>IF(ISBLANK('Data Entry'!$ü$816), "", 'Data Entry'!$ü$816)</f>
      </c>
      <c r="GG816">
        <f>IF(ISBLANK('Data Entry'!$ý$816), "", 'Data Entry'!$ý$816)</f>
      </c>
      <c r="GH816">
        <f>IF(ISBLANK('Data Entry'!$þ$816), "", 'Data Entry'!$þ$816)</f>
      </c>
      <c r="GI816">
        <f>IF(ISBLANK('Data Entry'!$ÿ$816), "", 'Data Entry'!$ÿ$816)</f>
      </c>
      <c r="GJ816">
        <f>IF(ISBLANK('Data Entry'!$Ā$816), "", 'Data Entry'!$Ā$816)</f>
      </c>
      <c r="GK816">
        <f>IF(ISBLANK('Data Entry'!$ā$816), "", 'Data Entry'!$ā$816)</f>
      </c>
      <c r="GL816">
        <f>IF(ISBLANK('Data Entry'!$Ă$816), "", 'Data Entry'!$Ă$816)</f>
      </c>
      <c r="GM816">
        <f>IF(ISBLANK('Data Entry'!$ă$816), "", 'Data Entry'!$ă$816)</f>
      </c>
      <c r="GN816">
        <f>IF(ISBLANK('Data Entry'!$Ą$816), "", 'Data Entry'!$Ą$816)</f>
      </c>
      <c r="GO816">
        <f>IF(ISBLANK('Data Entry'!$ą$816), "", 'Data Entry'!$ą$816)</f>
      </c>
      <c r="GP816">
        <f>IF(ISBLANK('Data Entry'!$Ć$816), "", 'Data Entry'!$Ć$816)</f>
      </c>
      <c r="GQ816">
        <f>IF(ISBLANK('Data Entry'!$ć$816), "", 'Data Entry'!$ć$816)</f>
      </c>
      <c r="GR816">
        <f>IF(ISBLANK('Data Entry'!$Ĉ$816), "", 'Data Entry'!$Ĉ$816)</f>
      </c>
      <c r="GS816">
        <f>IF(ISBLANK('Data Entry'!$ĉ$816), "", 'Data Entry'!$ĉ$816)</f>
      </c>
      <c r="GT816">
        <f>IF(ISBLANK('Data Entry'!$Ċ$816), "", 'Data Entry'!$Ċ$816)</f>
      </c>
      <c r="GU816">
        <f>IF(ISBLANK('Data Entry'!$ċ$816), "", 'Data Entry'!$ċ$816)</f>
      </c>
      <c r="GV816">
        <f>IF(ISBLANK('Data Entry'!$Č$816), "", 'Data Entry'!$Č$816)</f>
      </c>
      <c r="GW816">
        <f>IF(ISBLANK('Data Entry'!$č$816), "", 'Data Entry'!$č$816)</f>
      </c>
      <c r="GX816">
        <f>IF(ISBLANK('Data Entry'!$Ď$816), "", 'Data Entry'!$Ď$816)</f>
      </c>
      <c r="GY816">
        <f>IF(ISBLANK('Data Entry'!$ď$816), "", 'Data Entry'!$ď$816)</f>
      </c>
      <c r="GZ816">
        <f>IF(ISBLANK('Data Entry'!$Đ$816), "", 'Data Entry'!$Đ$816)</f>
      </c>
      <c r="HA816">
        <f>IF(ISBLANK('Data Entry'!$đ$816), "", 'Data Entry'!$đ$816)</f>
      </c>
      <c r="HB816">
        <f>IF(ISBLANK('Data Entry'!$Ē$816), "", 'Data Entry'!$Ē$816)</f>
      </c>
      <c r="HC816">
        <f>IF(ISBLANK('Data Entry'!$ē$816), "", 'Data Entry'!$ē$816)</f>
      </c>
      <c r="HD816">
        <f>IF(ISBLANK('Data Entry'!$Ĕ$816), "", 'Data Entry'!$Ĕ$816)</f>
      </c>
      <c r="HE816">
        <f>IF(ISBLANK('Data Entry'!$ĕ$816), "", 'Data Entry'!$ĕ$816)</f>
      </c>
      <c r="HF816">
        <f>IF(ISBLANK('Data Entry'!$Ė$816), "", 'Data Entry'!$Ė$816)</f>
      </c>
      <c r="HG816">
        <f>IF(ISBLANK('Data Entry'!$ė$816), "", 'Data Entry'!$ė$816)</f>
      </c>
      <c r="HH816">
        <f>IF(ISBLANK('Data Entry'!$Ę$816), "", 'Data Entry'!$Ę$816)</f>
      </c>
      <c r="HI816">
        <f>IF(ISBLANK('Data Entry'!$ę$816), "", 'Data Entry'!$ę$816)</f>
      </c>
      <c r="HJ816">
        <f>IF(ISBLANK('Data Entry'!$Ě$816), "", 'Data Entry'!$Ě$816)</f>
      </c>
      <c r="HK816">
        <f>IF(ISBLANK('Data Entry'!$ě$816), "", 'Data Entry'!$ě$816)</f>
      </c>
      <c r="HL816">
        <f>IF(ISBLANK('Data Entry'!$Ĝ$816), "", 'Data Entry'!$Ĝ$816)</f>
      </c>
      <c r="HM816">
        <f>IF(ISBLANK('Data Entry'!$ĝ$816), "", 'Data Entry'!$ĝ$816)</f>
      </c>
      <c r="HN816">
        <f>IF(ISBLANK('Data Entry'!$Ğ$816), "", 'Data Entry'!$Ğ$816)</f>
      </c>
      <c r="HO816">
        <f>IF(ISBLANK('Data Entry'!$ğ$816), "", 'Data Entry'!$ğ$816)</f>
      </c>
      <c r="HP816">
        <f>IF(ISBLANK('Data Entry'!$Ġ$816), "", 'Data Entry'!$Ġ$816)</f>
      </c>
      <c r="HQ816">
        <f>IF(ISBLANK('Data Entry'!$ġ$816), "", 'Data Entry'!$ġ$816)</f>
      </c>
      <c r="HR816">
        <f>IF(ISBLANK('Data Entry'!$Ģ$816), "", 'Data Entry'!$Ģ$816)</f>
      </c>
      <c r="HS816">
        <f>IF(ISBLANK('Data Entry'!$ģ$816), "", 'Data Entry'!$ģ$816)</f>
      </c>
      <c r="HT816">
        <f>IF(ISBLANK('Data Entry'!$Ĥ$816), "", 'Data Entry'!$Ĥ$816)</f>
      </c>
      <c r="HU816">
        <f>IF(ISBLANK('Data Entry'!$ĥ$816), "", 'Data Entry'!$ĥ$816)</f>
      </c>
      <c r="HV816">
        <f>IF(ISBLANK('Data Entry'!$Ħ$816), "", 'Data Entry'!$Ħ$816)</f>
      </c>
      <c r="HW816">
        <f>IF(ISBLANK('Data Entry'!$ħ$816), "", 'Data Entry'!$ħ$816)</f>
      </c>
      <c r="HX816">
        <f>IF(ISBLANK('Data Entry'!$Ĩ$816), "", 'Data Entry'!$Ĩ$816)</f>
      </c>
      <c r="HY816">
        <f>IF(ISBLANK('Data Entry'!$ĩ$816), "", 'Data Entry'!$ĩ$816)</f>
      </c>
      <c r="HZ816">
        <f>IF(ISBLANK('Data Entry'!$Ī$816), "", 'Data Entry'!$Ī$816)</f>
      </c>
      <c r="IA816">
        <f>IF(ISBLANK('Data Entry'!$ī$816), "", 'Data Entry'!$ī$816)</f>
      </c>
      <c r="IB816">
        <f>IF(ISBLANK('Data Entry'!$Ĭ$816), "", 'Data Entry'!$Ĭ$816)</f>
      </c>
      <c r="IC816">
        <f>IF(ISBLANK('Data Entry'!$ĭ$816), "", 'Data Entry'!$ĭ$816)</f>
      </c>
      <c r="ID816">
        <f>IF(ISBLANK('Data Entry'!$Į$816), "", 'Data Entry'!$Į$816)</f>
      </c>
      <c r="IE816">
        <f>IF(ISBLANK('Data Entry'!$į$816), "", 'Data Entry'!$į$816)</f>
      </c>
      <c r="IF816">
        <f>IF(ISBLANK('Data Entry'!$İ$816), "", 'Data Entry'!$İ$816)</f>
      </c>
      <c r="IG816">
        <f>IF(ISBLANK('Data Entry'!$ı$816), "", 'Data Entry'!$ı$816)</f>
      </c>
      <c r="IH816">
        <f>IF(ISBLANK('Data Entry'!$Ĳ$816), "", 'Data Entry'!$Ĳ$816)</f>
      </c>
      <c r="II816">
        <f>IF(ISBLANK('Data Entry'!$ĳ$816), "", 'Data Entry'!$ĳ$816)</f>
      </c>
      <c r="IJ816">
        <f>IF(ISBLANK('Data Entry'!$Ĵ$816), "", 'Data Entry'!$Ĵ$816)</f>
      </c>
      <c r="IK816">
        <f>IF(ISBLANK('Data Entry'!$ĵ$816), "", 'Data Entry'!$ĵ$816)</f>
      </c>
      <c r="IL816">
        <f>IF(ISBLANK('Data Entry'!$Ķ$816), "", 'Data Entry'!$Ķ$816)</f>
      </c>
      <c r="IM816">
        <f>IF(ISBLANK('Data Entry'!$ķ$816), "", 'Data Entry'!$ķ$816)</f>
      </c>
      <c r="IN816">
        <f>IF(ISBLANK('Data Entry'!$ĸ$816), "", 'Data Entry'!$ĸ$816)</f>
      </c>
      <c r="IO816">
        <f>IF(ISBLANK('Data Entry'!$Ĺ$816), "", 'Data Entry'!$Ĺ$816)</f>
      </c>
      <c r="IP816">
        <f>IF(ISBLANK('Data Entry'!$ĺ$816), "", 'Data Entry'!$ĺ$816)</f>
      </c>
      <c r="IQ816">
        <f>IF(ISBLANK('Data Entry'!$Ļ$816), "", 'Data Entry'!$Ļ$816)</f>
      </c>
      <c r="IR816">
        <f>IF(ISBLANK('Data Entry'!$ļ$816), "", 'Data Entry'!$ļ$816)</f>
      </c>
      <c r="IS816">
        <f>IF(ISBLANK('Data Entry'!$Ľ$816), "", 'Data Entry'!$Ľ$816)</f>
      </c>
      <c r="IT816">
        <f>IF(ISBLANK('Data Entry'!$ľ$816), "", 'Data Entry'!$ľ$816)</f>
      </c>
    </row>
    <row r="817" spans="1:254" x14ac:dyDescent="0.25">
      <c r="A817">
        <f>IF(ISBLANK('Data Entry'!$A$817), "", 'Data Entry'!$A$817)</f>
      </c>
      <c r="B817">
        <f>IF(ISBLANK('Data Entry'!$B$817), "", 'Data Entry'!$B$817)</f>
      </c>
      <c r="C817">
        <f>IF(ISBLANK('Data Entry'!$C$817), "", 'Data Entry'!$C$817)</f>
      </c>
      <c r="D817">
        <f>IF(ISBLANK('Data Entry'!$D$817), "", 'Data Entry'!$D$817)</f>
      </c>
      <c r="E817">
        <f>IF(ISBLANK('Data Entry'!$E$817), "", 'Data Entry'!$E$817)</f>
      </c>
      <c r="F817">
        <f>IF(ISBLANK('Data Entry'!$F$817), "", 'Data Entry'!$F$817)</f>
      </c>
      <c r="G817">
        <f>IF(ISBLANK('Data Entry'!$G$817), "", 'Data Entry'!$G$817)</f>
      </c>
      <c r="H817">
        <f>IF(ISBLANK('Data Entry'!$H$817), "", 'Data Entry'!$H$817)</f>
      </c>
      <c r="I817">
        <f>IF(ISBLANK('Data Entry'!$I$817), "", 'Data Entry'!$I$817)</f>
      </c>
      <c r="J817">
        <f>IF(ISBLANK('Data Entry'!$J$817), "", 'Data Entry'!$J$817)</f>
      </c>
      <c r="K817">
        <f>IF(ISBLANK('Data Entry'!$K$817), "", 'Data Entry'!$K$817)</f>
      </c>
      <c r="L817">
        <f>IF(ISBLANK('Data Entry'!$L$817), "", 'Data Entry'!$L$817)</f>
      </c>
      <c r="M817">
        <f>IF(ISBLANK('Data Entry'!$M$817), "", 'Data Entry'!$M$817)</f>
      </c>
      <c r="N817">
        <f>IF(ISBLANK('Data Entry'!$N$817), "", 'Data Entry'!$N$817)</f>
      </c>
      <c r="O817">
        <f>IF(ISBLANK('Data Entry'!$O$817), "", 'Data Entry'!$O$817)</f>
      </c>
      <c r="P817">
        <f>IF(ISBLANK('Data Entry'!$P$817), "", 'Data Entry'!$P$817)</f>
      </c>
      <c r="Q817">
        <f>IF(ISBLANK('Data Entry'!$Q$817), "", 'Data Entry'!$Q$817)</f>
      </c>
      <c r="R817">
        <f>IF(ISBLANK('Data Entry'!$R$817), "", 'Data Entry'!$R$817)</f>
      </c>
      <c r="S817">
        <f>IF(ISBLANK('Data Entry'!$S$817), "", 'Data Entry'!$S$817)</f>
      </c>
      <c r="T817">
        <f>IF(ISBLANK('Data Entry'!$T$817), "", 'Data Entry'!$T$817)</f>
      </c>
      <c r="U817">
        <f>IF(ISBLANK('Data Entry'!$U$817), "", 'Data Entry'!$U$817)</f>
      </c>
      <c r="V817">
        <f>IF(ISBLANK('Data Entry'!$V$817), "", 'Data Entry'!$V$817)</f>
      </c>
      <c r="W817">
        <f>IF(ISBLANK('Data Entry'!$W$817), "", 'Data Entry'!$W$817)</f>
      </c>
      <c r="X817">
        <f>IF(ISBLANK('Data Entry'!$X$817), "", 'Data Entry'!$X$817)</f>
      </c>
      <c r="Y817">
        <f>IF(ISBLANK('Data Entry'!$Y$817), "", 'Data Entry'!$Y$817)</f>
      </c>
      <c r="Z817">
        <f>IF(ISBLANK('Data Entry'!$Z$817), "", 'Data Entry'!$Z$817)</f>
      </c>
      <c r="AA817">
        <f>IF(ISBLANK('Data Entry'!$[$817), "", 'Data Entry'!$[$817)</f>
      </c>
      <c r="AB817">
        <f>IF(ISBLANK('Data Entry'!$\$817), "", 'Data Entry'!$\$817)</f>
      </c>
      <c r="AC817">
        <f>IF(ISBLANK('Data Entry'!$]$817), "", 'Data Entry'!$]$817)</f>
      </c>
      <c r="AD817">
        <f>IF(ISBLANK('Data Entry'!$^$817), "", 'Data Entry'!$^$817)</f>
      </c>
      <c r="AE817">
        <f>IF(ISBLANK('Data Entry'!$_$817), "", 'Data Entry'!$_$817)</f>
      </c>
      <c r="AF817">
        <f>IF(ISBLANK('Data Entry'!$`$817), "", 'Data Entry'!$`$817)</f>
      </c>
      <c r="AG817">
        <f>IF(ISBLANK('Data Entry'!$a$817), "", 'Data Entry'!$a$817)</f>
      </c>
      <c r="AH817">
        <f>IF(ISBLANK('Data Entry'!$b$817), "", 'Data Entry'!$b$817)</f>
      </c>
      <c r="AI817">
        <f>IF(ISBLANK('Data Entry'!$c$817), "", 'Data Entry'!$c$817)</f>
      </c>
      <c r="AJ817">
        <f>IF(ISBLANK('Data Entry'!$d$817), "", 'Data Entry'!$d$817)</f>
      </c>
      <c r="AK817">
        <f>IF(ISBLANK('Data Entry'!$e$817), "", 'Data Entry'!$e$817)</f>
      </c>
      <c r="AL817">
        <f>IF(ISBLANK('Data Entry'!$f$817), "", 'Data Entry'!$f$817)</f>
      </c>
      <c r="AM817">
        <f>IF(ISBLANK('Data Entry'!$g$817), "", 'Data Entry'!$g$817)</f>
      </c>
      <c r="AN817">
        <f>IF(ISBLANK('Data Entry'!$h$817), "", 'Data Entry'!$h$817)</f>
      </c>
      <c r="AO817">
        <f>IF(ISBLANK('Data Entry'!$i$817), "", 'Data Entry'!$i$817)</f>
      </c>
      <c r="AP817">
        <f>IF(ISBLANK('Data Entry'!$j$817), "", 'Data Entry'!$j$817)</f>
      </c>
      <c r="AQ817">
        <f>IF(ISBLANK('Data Entry'!$k$817), "", 'Data Entry'!$k$817)</f>
      </c>
      <c r="AR817">
        <f>IF(ISBLANK('Data Entry'!$l$817), "", 'Data Entry'!$l$817)</f>
      </c>
      <c r="AS817">
        <f>IF(ISBLANK('Data Entry'!$m$817), "", 'Data Entry'!$m$817)</f>
      </c>
      <c r="AT817">
        <f>IF(ISBLANK('Data Entry'!$n$817), "", 'Data Entry'!$n$817)</f>
      </c>
      <c r="AU817">
        <f>IF(ISBLANK('Data Entry'!$o$817), "", 'Data Entry'!$o$817)</f>
      </c>
      <c r="AV817">
        <f>IF(ISBLANK('Data Entry'!$p$817), "", 'Data Entry'!$p$817)</f>
      </c>
      <c r="AW817">
        <f>IF(ISBLANK('Data Entry'!$q$817), "", 'Data Entry'!$q$817)</f>
      </c>
      <c r="AX817">
        <f>IF(ISBLANK('Data Entry'!$r$817), "", 'Data Entry'!$r$817)</f>
      </c>
      <c r="AY817">
        <f>IF(ISBLANK('Data Entry'!$s$817), "", 'Data Entry'!$s$817)</f>
      </c>
      <c r="AZ817">
        <f>IF(ISBLANK('Data Entry'!$t$817), "", 'Data Entry'!$t$817)</f>
      </c>
      <c r="BA817">
        <f>IF(ISBLANK('Data Entry'!$u$817), "", 'Data Entry'!$u$817)</f>
      </c>
      <c r="BB817">
        <f>IF(ISBLANK('Data Entry'!$v$817), "", 'Data Entry'!$v$817)</f>
      </c>
      <c r="BC817">
        <f>IF(ISBLANK('Data Entry'!$w$817), "", 'Data Entry'!$w$817)</f>
      </c>
      <c r="BD817">
        <f>IF(ISBLANK('Data Entry'!$x$817), "", 'Data Entry'!$x$817)</f>
      </c>
      <c r="BE817">
        <f>IF(ISBLANK('Data Entry'!$y$817), "", 'Data Entry'!$y$817)</f>
      </c>
      <c r="BF817">
        <f>IF(ISBLANK('Data Entry'!$z$817), "", 'Data Entry'!$z$817)</f>
      </c>
      <c r="BG817">
        <f>IF(ISBLANK('Data Entry'!${$817), "", 'Data Entry'!${$817)</f>
      </c>
      <c r="BH817">
        <f>IF(ISBLANK('Data Entry'!$|$817), "", 'Data Entry'!$|$817)</f>
      </c>
      <c r="BI817">
        <f>IF(ISBLANK('Data Entry'!$}$817), "", 'Data Entry'!$}$817)</f>
      </c>
      <c r="BJ817">
        <f>IF(ISBLANK('Data Entry'!$~$817), "", 'Data Entry'!$~$817)</f>
      </c>
      <c r="BK817">
        <f>IF(ISBLANK('Data Entry'!$$817), "", 'Data Entry'!$$817)</f>
      </c>
      <c r="BL817">
        <f>IF(ISBLANK('Data Entry'!$$817), "", 'Data Entry'!$$817)</f>
      </c>
      <c r="BM817">
        <f>IF(ISBLANK('Data Entry'!$$817), "", 'Data Entry'!$$817)</f>
      </c>
      <c r="BN817">
        <f>IF(ISBLANK('Data Entry'!$$817), "", 'Data Entry'!$$817)</f>
      </c>
      <c r="BO817">
        <f>IF(ISBLANK('Data Entry'!$$817), "", 'Data Entry'!$$817)</f>
      </c>
      <c r="BP817">
        <f>IF(ISBLANK('Data Entry'!$$817), "", 'Data Entry'!$$817)</f>
      </c>
      <c r="BQ817">
        <f>IF(ISBLANK('Data Entry'!$$817), "", 'Data Entry'!$$817)</f>
      </c>
      <c r="BR817">
        <f>IF(ISBLANK('Data Entry'!$$817), "", 'Data Entry'!$$817)</f>
      </c>
      <c r="BS817">
        <f>IF(ISBLANK('Data Entry'!$$817), "", 'Data Entry'!$$817)</f>
      </c>
      <c r="BT817">
        <f>IF(ISBLANK('Data Entry'!$$817), "", 'Data Entry'!$$817)</f>
      </c>
      <c r="BU817">
        <f>IF(ISBLANK('Data Entry'!$$817), "", 'Data Entry'!$$817)</f>
      </c>
      <c r="BV817">
        <f>IF(ISBLANK('Data Entry'!$$817), "", 'Data Entry'!$$817)</f>
      </c>
      <c r="BW817">
        <f>IF(ISBLANK('Data Entry'!$$817), "", 'Data Entry'!$$817)</f>
      </c>
      <c r="BX817">
        <f>IF(ISBLANK('Data Entry'!$$817), "", 'Data Entry'!$$817)</f>
      </c>
      <c r="BY817">
        <f>IF(ISBLANK('Data Entry'!$$817), "", 'Data Entry'!$$817)</f>
      </c>
      <c r="BZ817">
        <f>IF(ISBLANK('Data Entry'!$$817), "", 'Data Entry'!$$817)</f>
      </c>
      <c r="CA817">
        <f>IF(ISBLANK('Data Entry'!$$817), "", 'Data Entry'!$$817)</f>
      </c>
      <c r="CB817">
        <f>IF(ISBLANK('Data Entry'!$$817), "", 'Data Entry'!$$817)</f>
      </c>
      <c r="CC817">
        <f>IF(ISBLANK('Data Entry'!$$817), "", 'Data Entry'!$$817)</f>
      </c>
      <c r="CD817">
        <f>IF(ISBLANK('Data Entry'!$$817), "", 'Data Entry'!$$817)</f>
      </c>
      <c r="CE817">
        <f>IF(ISBLANK('Data Entry'!$$817), "", 'Data Entry'!$$817)</f>
      </c>
      <c r="CF817">
        <f>IF(ISBLANK('Data Entry'!$$817), "", 'Data Entry'!$$817)</f>
      </c>
      <c r="CG817">
        <f>IF(ISBLANK('Data Entry'!$$817), "", 'Data Entry'!$$817)</f>
      </c>
      <c r="CH817">
        <f>IF(ISBLANK('Data Entry'!$$817), "", 'Data Entry'!$$817)</f>
      </c>
      <c r="CI817">
        <f>IF(ISBLANK('Data Entry'!$$817), "", 'Data Entry'!$$817)</f>
      </c>
      <c r="CJ817">
        <f>IF(ISBLANK('Data Entry'!$$817), "", 'Data Entry'!$$817)</f>
      </c>
      <c r="CK817">
        <f>IF(ISBLANK('Data Entry'!$$817), "", 'Data Entry'!$$817)</f>
      </c>
      <c r="CL817">
        <f>IF(ISBLANK('Data Entry'!$$817), "", 'Data Entry'!$$817)</f>
      </c>
      <c r="CM817">
        <f>IF(ISBLANK('Data Entry'!$$817), "", 'Data Entry'!$$817)</f>
      </c>
      <c r="CN817">
        <f>IF(ISBLANK('Data Entry'!$$817), "", 'Data Entry'!$$817)</f>
      </c>
      <c r="CO817">
        <f>IF(ISBLANK('Data Entry'!$$817), "", 'Data Entry'!$$817)</f>
      </c>
      <c r="CP817">
        <f>IF(ISBLANK('Data Entry'!$$817), "", 'Data Entry'!$$817)</f>
      </c>
      <c r="CQ817">
        <f>IF(ISBLANK('Data Entry'!$$817), "", 'Data Entry'!$$817)</f>
      </c>
      <c r="CR817">
        <f>IF(ISBLANK('Data Entry'!$ $817), "", 'Data Entry'!$ $817)</f>
      </c>
      <c r="CS817">
        <f>IF(ISBLANK('Data Entry'!$¡$817), "", 'Data Entry'!$¡$817)</f>
      </c>
      <c r="CT817">
        <f>IF(ISBLANK('Data Entry'!$¢$817), "", 'Data Entry'!$¢$817)</f>
      </c>
      <c r="CU817">
        <f>IF(ISBLANK('Data Entry'!$£$817), "", 'Data Entry'!$£$817)</f>
      </c>
      <c r="CV817">
        <f>IF(ISBLANK('Data Entry'!$¤$817), "", 'Data Entry'!$¤$817)</f>
      </c>
      <c r="CW817">
        <f>IF(ISBLANK('Data Entry'!$¥$817), "", 'Data Entry'!$¥$817)</f>
      </c>
      <c r="CX817">
        <f>IF(ISBLANK('Data Entry'!$¦$817), "", 'Data Entry'!$¦$817)</f>
      </c>
      <c r="CY817">
        <f>IF(ISBLANK('Data Entry'!$§$817), "", 'Data Entry'!$§$817)</f>
      </c>
      <c r="CZ817">
        <f>IF(ISBLANK('Data Entry'!$¨$817), "", 'Data Entry'!$¨$817)</f>
      </c>
      <c r="DA817">
        <f>IF(ISBLANK('Data Entry'!$©$817), "", 'Data Entry'!$©$817)</f>
      </c>
      <c r="DB817">
        <f>IF(ISBLANK('Data Entry'!$ª$817), "", 'Data Entry'!$ª$817)</f>
      </c>
      <c r="DC817">
        <f>IF(ISBLANK('Data Entry'!$«$817), "", 'Data Entry'!$«$817)</f>
      </c>
      <c r="DD817">
        <f>IF(ISBLANK('Data Entry'!$¬$817), "", 'Data Entry'!$¬$817)</f>
      </c>
      <c r="DE817">
        <f>IF(ISBLANK('Data Entry'!$­$817), "", 'Data Entry'!$­$817)</f>
      </c>
      <c r="DF817">
        <f>IF(ISBLANK('Data Entry'!$®$817), "", 'Data Entry'!$®$817)</f>
      </c>
      <c r="DG817">
        <f>IF(ISBLANK('Data Entry'!$¯$817), "", 'Data Entry'!$¯$817)</f>
      </c>
      <c r="DH817">
        <f>IF(ISBLANK('Data Entry'!$°$817), "", 'Data Entry'!$°$817)</f>
      </c>
      <c r="DI817">
        <f>IF(ISBLANK('Data Entry'!$±$817), "", 'Data Entry'!$±$817)</f>
      </c>
      <c r="DJ817">
        <f>IF(ISBLANK('Data Entry'!$²$817), "", 'Data Entry'!$²$817)</f>
      </c>
      <c r="DK817">
        <f>IF(ISBLANK('Data Entry'!$³$817), "", 'Data Entry'!$³$817)</f>
      </c>
      <c r="DL817">
        <f>IF(ISBLANK('Data Entry'!$´$817), "", 'Data Entry'!$´$817)</f>
      </c>
      <c r="DM817">
        <f>IF(ISBLANK('Data Entry'!$µ$817), "", 'Data Entry'!$µ$817)</f>
      </c>
      <c r="DN817">
        <f>IF(ISBLANK('Data Entry'!$¶$817), "", 'Data Entry'!$¶$817)</f>
      </c>
      <c r="DO817">
        <f>IF(ISBLANK('Data Entry'!$·$817), "", 'Data Entry'!$·$817)</f>
      </c>
      <c r="DP817">
        <f>IF(ISBLANK('Data Entry'!$¸$817), "", 'Data Entry'!$¸$817)</f>
      </c>
      <c r="DQ817">
        <f>IF(ISBLANK('Data Entry'!$¹$817), "", 'Data Entry'!$¹$817)</f>
      </c>
      <c r="DR817">
        <f>IF(ISBLANK('Data Entry'!$º$817), "", 'Data Entry'!$º$817)</f>
      </c>
      <c r="DS817">
        <f>IF(ISBLANK('Data Entry'!$»$817), "", 'Data Entry'!$»$817)</f>
      </c>
      <c r="DT817">
        <f>IF(ISBLANK('Data Entry'!$¼$817), "", 'Data Entry'!$¼$817)</f>
      </c>
      <c r="DU817">
        <f>IF(ISBLANK('Data Entry'!$½$817), "", 'Data Entry'!$½$817)</f>
      </c>
      <c r="DV817">
        <f>IF(ISBLANK('Data Entry'!$¾$817), "", 'Data Entry'!$¾$817)</f>
      </c>
      <c r="DW817">
        <f>IF(ISBLANK('Data Entry'!$¿$817), "", 'Data Entry'!$¿$817)</f>
      </c>
      <c r="DX817">
        <f>IF(ISBLANK('Data Entry'!$À$817), "", 'Data Entry'!$À$817)</f>
      </c>
      <c r="DY817">
        <f>IF(ISBLANK('Data Entry'!$Á$817), "", 'Data Entry'!$Á$817)</f>
      </c>
      <c r="DZ817">
        <f>IF(ISBLANK('Data Entry'!$Â$817), "", 'Data Entry'!$Â$817)</f>
      </c>
      <c r="EA817">
        <f>IF(ISBLANK('Data Entry'!$Ã$817), "", 'Data Entry'!$Ã$817)</f>
      </c>
      <c r="EB817">
        <f>IF(ISBLANK('Data Entry'!$Ä$817), "", 'Data Entry'!$Ä$817)</f>
      </c>
      <c r="EC817">
        <f>IF(ISBLANK('Data Entry'!$Å$817), "", 'Data Entry'!$Å$817)</f>
      </c>
      <c r="ED817">
        <f>IF(ISBLANK('Data Entry'!$Æ$817), "", 'Data Entry'!$Æ$817)</f>
      </c>
      <c r="EE817">
        <f>IF(ISBLANK('Data Entry'!$Ç$817), "", 'Data Entry'!$Ç$817)</f>
      </c>
      <c r="EF817">
        <f>IF(ISBLANK('Data Entry'!$È$817), "", 'Data Entry'!$È$817)</f>
      </c>
      <c r="EG817">
        <f>IF(ISBLANK('Data Entry'!$É$817), "", 'Data Entry'!$É$817)</f>
      </c>
      <c r="EH817">
        <f>IF(ISBLANK('Data Entry'!$Ê$817), "", 'Data Entry'!$Ê$817)</f>
      </c>
      <c r="EI817">
        <f>IF(ISBLANK('Data Entry'!$Ë$817), "", 'Data Entry'!$Ë$817)</f>
      </c>
      <c r="EJ817">
        <f>IF(ISBLANK('Data Entry'!$Ì$817), "", 'Data Entry'!$Ì$817)</f>
      </c>
      <c r="EK817">
        <f>IF(ISBLANK('Data Entry'!$Í$817), "", 'Data Entry'!$Í$817)</f>
      </c>
      <c r="EL817">
        <f>IF(ISBLANK('Data Entry'!$Î$817), "", 'Data Entry'!$Î$817)</f>
      </c>
      <c r="EM817">
        <f>IF(ISBLANK('Data Entry'!$Ï$817), "", 'Data Entry'!$Ï$817)</f>
      </c>
      <c r="EN817">
        <f>IF(ISBLANK('Data Entry'!$Ð$817), "", 'Data Entry'!$Ð$817)</f>
      </c>
      <c r="EO817">
        <f>IF(ISBLANK('Data Entry'!$Ñ$817), "", 'Data Entry'!$Ñ$817)</f>
      </c>
      <c r="EP817">
        <f>IF(ISBLANK('Data Entry'!$Ò$817), "", 'Data Entry'!$Ò$817)</f>
      </c>
      <c r="EQ817">
        <f>IF(ISBLANK('Data Entry'!$Ó$817), "", 'Data Entry'!$Ó$817)</f>
      </c>
      <c r="ER817">
        <f>IF(ISBLANK('Data Entry'!$Ô$817), "", 'Data Entry'!$Ô$817)</f>
      </c>
      <c r="ES817">
        <f>IF(ISBLANK('Data Entry'!$Õ$817), "", 'Data Entry'!$Õ$817)</f>
      </c>
      <c r="ET817">
        <f>IF(ISBLANK('Data Entry'!$Ö$817), "", 'Data Entry'!$Ö$817)</f>
      </c>
      <c r="EU817">
        <f>IF(ISBLANK('Data Entry'!$×$817), "", 'Data Entry'!$×$817)</f>
      </c>
      <c r="EV817">
        <f>IF(ISBLANK('Data Entry'!$Ø$817), "", 'Data Entry'!$Ø$817)</f>
      </c>
      <c r="EW817">
        <f>IF(ISBLANK('Data Entry'!$Ù$817), "", 'Data Entry'!$Ù$817)</f>
      </c>
      <c r="EX817">
        <f>IF(ISBLANK('Data Entry'!$Ú$817), "", 'Data Entry'!$Ú$817)</f>
      </c>
      <c r="EY817">
        <f>IF(ISBLANK('Data Entry'!$Û$817), "", 'Data Entry'!$Û$817)</f>
      </c>
      <c r="EZ817">
        <f>IF(ISBLANK('Data Entry'!$Ü$817), "", 'Data Entry'!$Ü$817)</f>
      </c>
      <c r="FA817">
        <f>IF(ISBLANK('Data Entry'!$Ý$817), "", 'Data Entry'!$Ý$817)</f>
      </c>
      <c r="FB817">
        <f>IF(ISBLANK('Data Entry'!$Þ$817), "", 'Data Entry'!$Þ$817)</f>
      </c>
      <c r="FC817">
        <f>IF(ISBLANK('Data Entry'!$ß$817), "", 'Data Entry'!$ß$817)</f>
      </c>
      <c r="FD817">
        <f>IF(ISBLANK('Data Entry'!$à$817), "", 'Data Entry'!$à$817)</f>
      </c>
      <c r="FE817">
        <f>IF(ISBLANK('Data Entry'!$á$817), "", 'Data Entry'!$á$817)</f>
      </c>
      <c r="FF817">
        <f>IF(ISBLANK('Data Entry'!$â$817), "", 'Data Entry'!$â$817)</f>
      </c>
      <c r="FG817">
        <f>IF(ISBLANK('Data Entry'!$ã$817), "", 'Data Entry'!$ã$817)</f>
      </c>
      <c r="FH817">
        <f>IF(ISBLANK('Data Entry'!$ä$817), "", 'Data Entry'!$ä$817)</f>
      </c>
      <c r="FI817">
        <f>IF(ISBLANK('Data Entry'!$å$817), "", 'Data Entry'!$å$817)</f>
      </c>
      <c r="FJ817">
        <f>IF(ISBLANK('Data Entry'!$æ$817), "", 'Data Entry'!$æ$817)</f>
      </c>
      <c r="FK817">
        <f>IF(ISBLANK('Data Entry'!$ç$817), "", 'Data Entry'!$ç$817)</f>
      </c>
      <c r="FL817">
        <f>IF(ISBLANK('Data Entry'!$è$817), "", 'Data Entry'!$è$817)</f>
      </c>
      <c r="FM817">
        <f>IF(ISBLANK('Data Entry'!$é$817), "", 'Data Entry'!$é$817)</f>
      </c>
      <c r="FN817">
        <f>IF(ISBLANK('Data Entry'!$ê$817), "", 'Data Entry'!$ê$817)</f>
      </c>
      <c r="FO817">
        <f>IF(ISBLANK('Data Entry'!$ë$817), "", 'Data Entry'!$ë$817)</f>
      </c>
      <c r="FP817">
        <f>IF(ISBLANK('Data Entry'!$ì$817), "", 'Data Entry'!$ì$817)</f>
      </c>
      <c r="FQ817">
        <f>IF(ISBLANK('Data Entry'!$í$817), "", 'Data Entry'!$í$817)</f>
      </c>
      <c r="FR817">
        <f>IF(ISBLANK('Data Entry'!$î$817), "", 'Data Entry'!$î$817)</f>
      </c>
      <c r="FS817">
        <f>IF(ISBLANK('Data Entry'!$ï$817), "", 'Data Entry'!$ï$817)</f>
      </c>
      <c r="FT817">
        <f>IF(ISBLANK('Data Entry'!$ð$817), "", 'Data Entry'!$ð$817)</f>
      </c>
      <c r="FU817">
        <f>IF(ISBLANK('Data Entry'!$ñ$817), "", 'Data Entry'!$ñ$817)</f>
      </c>
      <c r="FV817">
        <f>IF(ISBLANK('Data Entry'!$ò$817), "", 'Data Entry'!$ò$817)</f>
      </c>
      <c r="FW817">
        <f>IF(ISBLANK('Data Entry'!$ó$817), "", 'Data Entry'!$ó$817)</f>
      </c>
      <c r="FX817">
        <f>IF(ISBLANK('Data Entry'!$ô$817), "", 'Data Entry'!$ô$817)</f>
      </c>
      <c r="FY817">
        <f>IF(ISBLANK('Data Entry'!$õ$817), "", 'Data Entry'!$õ$817)</f>
      </c>
      <c r="FZ817">
        <f>IF(ISBLANK('Data Entry'!$ö$817), "", 'Data Entry'!$ö$817)</f>
      </c>
      <c r="GA817">
        <f>IF(ISBLANK('Data Entry'!$÷$817), "", 'Data Entry'!$÷$817)</f>
      </c>
      <c r="GB817">
        <f>IF(ISBLANK('Data Entry'!$ø$817), "", 'Data Entry'!$ø$817)</f>
      </c>
      <c r="GC817">
        <f>IF(ISBLANK('Data Entry'!$ù$817), "", 'Data Entry'!$ù$817)</f>
      </c>
      <c r="GD817">
        <f>IF(ISBLANK('Data Entry'!$ú$817), "", 'Data Entry'!$ú$817)</f>
      </c>
      <c r="GE817">
        <f>IF(ISBLANK('Data Entry'!$û$817), "", 'Data Entry'!$û$817)</f>
      </c>
      <c r="GF817">
        <f>IF(ISBLANK('Data Entry'!$ü$817), "", 'Data Entry'!$ü$817)</f>
      </c>
      <c r="GG817">
        <f>IF(ISBLANK('Data Entry'!$ý$817), "", 'Data Entry'!$ý$817)</f>
      </c>
      <c r="GH817">
        <f>IF(ISBLANK('Data Entry'!$þ$817), "", 'Data Entry'!$þ$817)</f>
      </c>
      <c r="GI817">
        <f>IF(ISBLANK('Data Entry'!$ÿ$817), "", 'Data Entry'!$ÿ$817)</f>
      </c>
      <c r="GJ817">
        <f>IF(ISBLANK('Data Entry'!$Ā$817), "", 'Data Entry'!$Ā$817)</f>
      </c>
      <c r="GK817">
        <f>IF(ISBLANK('Data Entry'!$ā$817), "", 'Data Entry'!$ā$817)</f>
      </c>
      <c r="GL817">
        <f>IF(ISBLANK('Data Entry'!$Ă$817), "", 'Data Entry'!$Ă$817)</f>
      </c>
      <c r="GM817">
        <f>IF(ISBLANK('Data Entry'!$ă$817), "", 'Data Entry'!$ă$817)</f>
      </c>
      <c r="GN817">
        <f>IF(ISBLANK('Data Entry'!$Ą$817), "", 'Data Entry'!$Ą$817)</f>
      </c>
      <c r="GO817">
        <f>IF(ISBLANK('Data Entry'!$ą$817), "", 'Data Entry'!$ą$817)</f>
      </c>
      <c r="GP817">
        <f>IF(ISBLANK('Data Entry'!$Ć$817), "", 'Data Entry'!$Ć$817)</f>
      </c>
      <c r="GQ817">
        <f>IF(ISBLANK('Data Entry'!$ć$817), "", 'Data Entry'!$ć$817)</f>
      </c>
      <c r="GR817">
        <f>IF(ISBLANK('Data Entry'!$Ĉ$817), "", 'Data Entry'!$Ĉ$817)</f>
      </c>
      <c r="GS817">
        <f>IF(ISBLANK('Data Entry'!$ĉ$817), "", 'Data Entry'!$ĉ$817)</f>
      </c>
      <c r="GT817">
        <f>IF(ISBLANK('Data Entry'!$Ċ$817), "", 'Data Entry'!$Ċ$817)</f>
      </c>
      <c r="GU817">
        <f>IF(ISBLANK('Data Entry'!$ċ$817), "", 'Data Entry'!$ċ$817)</f>
      </c>
      <c r="GV817">
        <f>IF(ISBLANK('Data Entry'!$Č$817), "", 'Data Entry'!$Č$817)</f>
      </c>
      <c r="GW817">
        <f>IF(ISBLANK('Data Entry'!$č$817), "", 'Data Entry'!$č$817)</f>
      </c>
      <c r="GX817">
        <f>IF(ISBLANK('Data Entry'!$Ď$817), "", 'Data Entry'!$Ď$817)</f>
      </c>
      <c r="GY817">
        <f>IF(ISBLANK('Data Entry'!$ď$817), "", 'Data Entry'!$ď$817)</f>
      </c>
      <c r="GZ817">
        <f>IF(ISBLANK('Data Entry'!$Đ$817), "", 'Data Entry'!$Đ$817)</f>
      </c>
      <c r="HA817">
        <f>IF(ISBLANK('Data Entry'!$đ$817), "", 'Data Entry'!$đ$817)</f>
      </c>
      <c r="HB817">
        <f>IF(ISBLANK('Data Entry'!$Ē$817), "", 'Data Entry'!$Ē$817)</f>
      </c>
      <c r="HC817">
        <f>IF(ISBLANK('Data Entry'!$ē$817), "", 'Data Entry'!$ē$817)</f>
      </c>
      <c r="HD817">
        <f>IF(ISBLANK('Data Entry'!$Ĕ$817), "", 'Data Entry'!$Ĕ$817)</f>
      </c>
      <c r="HE817">
        <f>IF(ISBLANK('Data Entry'!$ĕ$817), "", 'Data Entry'!$ĕ$817)</f>
      </c>
      <c r="HF817">
        <f>IF(ISBLANK('Data Entry'!$Ė$817), "", 'Data Entry'!$Ė$817)</f>
      </c>
      <c r="HG817">
        <f>IF(ISBLANK('Data Entry'!$ė$817), "", 'Data Entry'!$ė$817)</f>
      </c>
      <c r="HH817">
        <f>IF(ISBLANK('Data Entry'!$Ę$817), "", 'Data Entry'!$Ę$817)</f>
      </c>
      <c r="HI817">
        <f>IF(ISBLANK('Data Entry'!$ę$817), "", 'Data Entry'!$ę$817)</f>
      </c>
      <c r="HJ817">
        <f>IF(ISBLANK('Data Entry'!$Ě$817), "", 'Data Entry'!$Ě$817)</f>
      </c>
      <c r="HK817">
        <f>IF(ISBLANK('Data Entry'!$ě$817), "", 'Data Entry'!$ě$817)</f>
      </c>
      <c r="HL817">
        <f>IF(ISBLANK('Data Entry'!$Ĝ$817), "", 'Data Entry'!$Ĝ$817)</f>
      </c>
      <c r="HM817">
        <f>IF(ISBLANK('Data Entry'!$ĝ$817), "", 'Data Entry'!$ĝ$817)</f>
      </c>
      <c r="HN817">
        <f>IF(ISBLANK('Data Entry'!$Ğ$817), "", 'Data Entry'!$Ğ$817)</f>
      </c>
      <c r="HO817">
        <f>IF(ISBLANK('Data Entry'!$ğ$817), "", 'Data Entry'!$ğ$817)</f>
      </c>
      <c r="HP817">
        <f>IF(ISBLANK('Data Entry'!$Ġ$817), "", 'Data Entry'!$Ġ$817)</f>
      </c>
      <c r="HQ817">
        <f>IF(ISBLANK('Data Entry'!$ġ$817), "", 'Data Entry'!$ġ$817)</f>
      </c>
      <c r="HR817">
        <f>IF(ISBLANK('Data Entry'!$Ģ$817), "", 'Data Entry'!$Ģ$817)</f>
      </c>
      <c r="HS817">
        <f>IF(ISBLANK('Data Entry'!$ģ$817), "", 'Data Entry'!$ģ$817)</f>
      </c>
      <c r="HT817">
        <f>IF(ISBLANK('Data Entry'!$Ĥ$817), "", 'Data Entry'!$Ĥ$817)</f>
      </c>
      <c r="HU817">
        <f>IF(ISBLANK('Data Entry'!$ĥ$817), "", 'Data Entry'!$ĥ$817)</f>
      </c>
      <c r="HV817">
        <f>IF(ISBLANK('Data Entry'!$Ħ$817), "", 'Data Entry'!$Ħ$817)</f>
      </c>
      <c r="HW817">
        <f>IF(ISBLANK('Data Entry'!$ħ$817), "", 'Data Entry'!$ħ$817)</f>
      </c>
      <c r="HX817">
        <f>IF(ISBLANK('Data Entry'!$Ĩ$817), "", 'Data Entry'!$Ĩ$817)</f>
      </c>
      <c r="HY817">
        <f>IF(ISBLANK('Data Entry'!$ĩ$817), "", 'Data Entry'!$ĩ$817)</f>
      </c>
      <c r="HZ817">
        <f>IF(ISBLANK('Data Entry'!$Ī$817), "", 'Data Entry'!$Ī$817)</f>
      </c>
      <c r="IA817">
        <f>IF(ISBLANK('Data Entry'!$ī$817), "", 'Data Entry'!$ī$817)</f>
      </c>
      <c r="IB817">
        <f>IF(ISBLANK('Data Entry'!$Ĭ$817), "", 'Data Entry'!$Ĭ$817)</f>
      </c>
      <c r="IC817">
        <f>IF(ISBLANK('Data Entry'!$ĭ$817), "", 'Data Entry'!$ĭ$817)</f>
      </c>
      <c r="ID817">
        <f>IF(ISBLANK('Data Entry'!$Į$817), "", 'Data Entry'!$Į$817)</f>
      </c>
      <c r="IE817">
        <f>IF(ISBLANK('Data Entry'!$į$817), "", 'Data Entry'!$į$817)</f>
      </c>
      <c r="IF817">
        <f>IF(ISBLANK('Data Entry'!$İ$817), "", 'Data Entry'!$İ$817)</f>
      </c>
      <c r="IG817">
        <f>IF(ISBLANK('Data Entry'!$ı$817), "", 'Data Entry'!$ı$817)</f>
      </c>
      <c r="IH817">
        <f>IF(ISBLANK('Data Entry'!$Ĳ$817), "", 'Data Entry'!$Ĳ$817)</f>
      </c>
      <c r="II817">
        <f>IF(ISBLANK('Data Entry'!$ĳ$817), "", 'Data Entry'!$ĳ$817)</f>
      </c>
      <c r="IJ817">
        <f>IF(ISBLANK('Data Entry'!$Ĵ$817), "", 'Data Entry'!$Ĵ$817)</f>
      </c>
      <c r="IK817">
        <f>IF(ISBLANK('Data Entry'!$ĵ$817), "", 'Data Entry'!$ĵ$817)</f>
      </c>
      <c r="IL817">
        <f>IF(ISBLANK('Data Entry'!$Ķ$817), "", 'Data Entry'!$Ķ$817)</f>
      </c>
      <c r="IM817">
        <f>IF(ISBLANK('Data Entry'!$ķ$817), "", 'Data Entry'!$ķ$817)</f>
      </c>
      <c r="IN817">
        <f>IF(ISBLANK('Data Entry'!$ĸ$817), "", 'Data Entry'!$ĸ$817)</f>
      </c>
      <c r="IO817">
        <f>IF(ISBLANK('Data Entry'!$Ĺ$817), "", 'Data Entry'!$Ĺ$817)</f>
      </c>
      <c r="IP817">
        <f>IF(ISBLANK('Data Entry'!$ĺ$817), "", 'Data Entry'!$ĺ$817)</f>
      </c>
      <c r="IQ817">
        <f>IF(ISBLANK('Data Entry'!$Ļ$817), "", 'Data Entry'!$Ļ$817)</f>
      </c>
      <c r="IR817">
        <f>IF(ISBLANK('Data Entry'!$ļ$817), "", 'Data Entry'!$ļ$817)</f>
      </c>
      <c r="IS817">
        <f>IF(ISBLANK('Data Entry'!$Ľ$817), "", 'Data Entry'!$Ľ$817)</f>
      </c>
      <c r="IT817">
        <f>IF(ISBLANK('Data Entry'!$ľ$817), "", 'Data Entry'!$ľ$817)</f>
      </c>
    </row>
    <row r="818" spans="1:254" x14ac:dyDescent="0.25">
      <c r="A818">
        <f>IF(ISBLANK('Data Entry'!$A$818), "", 'Data Entry'!$A$818)</f>
      </c>
      <c r="B818">
        <f>IF(ISBLANK('Data Entry'!$B$818), "", 'Data Entry'!$B$818)</f>
      </c>
      <c r="C818">
        <f>IF(ISBLANK('Data Entry'!$C$818), "", 'Data Entry'!$C$818)</f>
      </c>
      <c r="D818">
        <f>IF(ISBLANK('Data Entry'!$D$818), "", 'Data Entry'!$D$818)</f>
      </c>
      <c r="E818">
        <f>IF(ISBLANK('Data Entry'!$E$818), "", 'Data Entry'!$E$818)</f>
      </c>
      <c r="F818">
        <f>IF(ISBLANK('Data Entry'!$F$818), "", 'Data Entry'!$F$818)</f>
      </c>
      <c r="G818">
        <f>IF(ISBLANK('Data Entry'!$G$818), "", 'Data Entry'!$G$818)</f>
      </c>
      <c r="H818">
        <f>IF(ISBLANK('Data Entry'!$H$818), "", 'Data Entry'!$H$818)</f>
      </c>
      <c r="I818">
        <f>IF(ISBLANK('Data Entry'!$I$818), "", 'Data Entry'!$I$818)</f>
      </c>
      <c r="J818">
        <f>IF(ISBLANK('Data Entry'!$J$818), "", 'Data Entry'!$J$818)</f>
      </c>
      <c r="K818">
        <f>IF(ISBLANK('Data Entry'!$K$818), "", 'Data Entry'!$K$818)</f>
      </c>
      <c r="L818">
        <f>IF(ISBLANK('Data Entry'!$L$818), "", 'Data Entry'!$L$818)</f>
      </c>
      <c r="M818">
        <f>IF(ISBLANK('Data Entry'!$M$818), "", 'Data Entry'!$M$818)</f>
      </c>
      <c r="N818">
        <f>IF(ISBLANK('Data Entry'!$N$818), "", 'Data Entry'!$N$818)</f>
      </c>
      <c r="O818">
        <f>IF(ISBLANK('Data Entry'!$O$818), "", 'Data Entry'!$O$818)</f>
      </c>
      <c r="P818">
        <f>IF(ISBLANK('Data Entry'!$P$818), "", 'Data Entry'!$P$818)</f>
      </c>
      <c r="Q818">
        <f>IF(ISBLANK('Data Entry'!$Q$818), "", 'Data Entry'!$Q$818)</f>
      </c>
      <c r="R818">
        <f>IF(ISBLANK('Data Entry'!$R$818), "", 'Data Entry'!$R$818)</f>
      </c>
      <c r="S818">
        <f>IF(ISBLANK('Data Entry'!$S$818), "", 'Data Entry'!$S$818)</f>
      </c>
      <c r="T818">
        <f>IF(ISBLANK('Data Entry'!$T$818), "", 'Data Entry'!$T$818)</f>
      </c>
      <c r="U818">
        <f>IF(ISBLANK('Data Entry'!$U$818), "", 'Data Entry'!$U$818)</f>
      </c>
      <c r="V818">
        <f>IF(ISBLANK('Data Entry'!$V$818), "", 'Data Entry'!$V$818)</f>
      </c>
      <c r="W818">
        <f>IF(ISBLANK('Data Entry'!$W$818), "", 'Data Entry'!$W$818)</f>
      </c>
      <c r="X818">
        <f>IF(ISBLANK('Data Entry'!$X$818), "", 'Data Entry'!$X$818)</f>
      </c>
      <c r="Y818">
        <f>IF(ISBLANK('Data Entry'!$Y$818), "", 'Data Entry'!$Y$818)</f>
      </c>
      <c r="Z818">
        <f>IF(ISBLANK('Data Entry'!$Z$818), "", 'Data Entry'!$Z$818)</f>
      </c>
      <c r="AA818">
        <f>IF(ISBLANK('Data Entry'!$[$818), "", 'Data Entry'!$[$818)</f>
      </c>
      <c r="AB818">
        <f>IF(ISBLANK('Data Entry'!$\$818), "", 'Data Entry'!$\$818)</f>
      </c>
      <c r="AC818">
        <f>IF(ISBLANK('Data Entry'!$]$818), "", 'Data Entry'!$]$818)</f>
      </c>
      <c r="AD818">
        <f>IF(ISBLANK('Data Entry'!$^$818), "", 'Data Entry'!$^$818)</f>
      </c>
      <c r="AE818">
        <f>IF(ISBLANK('Data Entry'!$_$818), "", 'Data Entry'!$_$818)</f>
      </c>
      <c r="AF818">
        <f>IF(ISBLANK('Data Entry'!$`$818), "", 'Data Entry'!$`$818)</f>
      </c>
      <c r="AG818">
        <f>IF(ISBLANK('Data Entry'!$a$818), "", 'Data Entry'!$a$818)</f>
      </c>
      <c r="AH818">
        <f>IF(ISBLANK('Data Entry'!$b$818), "", 'Data Entry'!$b$818)</f>
      </c>
      <c r="AI818">
        <f>IF(ISBLANK('Data Entry'!$c$818), "", 'Data Entry'!$c$818)</f>
      </c>
      <c r="AJ818">
        <f>IF(ISBLANK('Data Entry'!$d$818), "", 'Data Entry'!$d$818)</f>
      </c>
      <c r="AK818">
        <f>IF(ISBLANK('Data Entry'!$e$818), "", 'Data Entry'!$e$818)</f>
      </c>
      <c r="AL818">
        <f>IF(ISBLANK('Data Entry'!$f$818), "", 'Data Entry'!$f$818)</f>
      </c>
      <c r="AM818">
        <f>IF(ISBLANK('Data Entry'!$g$818), "", 'Data Entry'!$g$818)</f>
      </c>
      <c r="AN818">
        <f>IF(ISBLANK('Data Entry'!$h$818), "", 'Data Entry'!$h$818)</f>
      </c>
      <c r="AO818">
        <f>IF(ISBLANK('Data Entry'!$i$818), "", 'Data Entry'!$i$818)</f>
      </c>
      <c r="AP818">
        <f>IF(ISBLANK('Data Entry'!$j$818), "", 'Data Entry'!$j$818)</f>
      </c>
      <c r="AQ818">
        <f>IF(ISBLANK('Data Entry'!$k$818), "", 'Data Entry'!$k$818)</f>
      </c>
      <c r="AR818">
        <f>IF(ISBLANK('Data Entry'!$l$818), "", 'Data Entry'!$l$818)</f>
      </c>
      <c r="AS818">
        <f>IF(ISBLANK('Data Entry'!$m$818), "", 'Data Entry'!$m$818)</f>
      </c>
      <c r="AT818">
        <f>IF(ISBLANK('Data Entry'!$n$818), "", 'Data Entry'!$n$818)</f>
      </c>
      <c r="AU818">
        <f>IF(ISBLANK('Data Entry'!$o$818), "", 'Data Entry'!$o$818)</f>
      </c>
      <c r="AV818">
        <f>IF(ISBLANK('Data Entry'!$p$818), "", 'Data Entry'!$p$818)</f>
      </c>
      <c r="AW818">
        <f>IF(ISBLANK('Data Entry'!$q$818), "", 'Data Entry'!$q$818)</f>
      </c>
      <c r="AX818">
        <f>IF(ISBLANK('Data Entry'!$r$818), "", 'Data Entry'!$r$818)</f>
      </c>
      <c r="AY818">
        <f>IF(ISBLANK('Data Entry'!$s$818), "", 'Data Entry'!$s$818)</f>
      </c>
      <c r="AZ818">
        <f>IF(ISBLANK('Data Entry'!$t$818), "", 'Data Entry'!$t$818)</f>
      </c>
      <c r="BA818">
        <f>IF(ISBLANK('Data Entry'!$u$818), "", 'Data Entry'!$u$818)</f>
      </c>
      <c r="BB818">
        <f>IF(ISBLANK('Data Entry'!$v$818), "", 'Data Entry'!$v$818)</f>
      </c>
      <c r="BC818">
        <f>IF(ISBLANK('Data Entry'!$w$818), "", 'Data Entry'!$w$818)</f>
      </c>
      <c r="BD818">
        <f>IF(ISBLANK('Data Entry'!$x$818), "", 'Data Entry'!$x$818)</f>
      </c>
      <c r="BE818">
        <f>IF(ISBLANK('Data Entry'!$y$818), "", 'Data Entry'!$y$818)</f>
      </c>
      <c r="BF818">
        <f>IF(ISBLANK('Data Entry'!$z$818), "", 'Data Entry'!$z$818)</f>
      </c>
      <c r="BG818">
        <f>IF(ISBLANK('Data Entry'!${$818), "", 'Data Entry'!${$818)</f>
      </c>
      <c r="BH818">
        <f>IF(ISBLANK('Data Entry'!$|$818), "", 'Data Entry'!$|$818)</f>
      </c>
      <c r="BI818">
        <f>IF(ISBLANK('Data Entry'!$}$818), "", 'Data Entry'!$}$818)</f>
      </c>
      <c r="BJ818">
        <f>IF(ISBLANK('Data Entry'!$~$818), "", 'Data Entry'!$~$818)</f>
      </c>
      <c r="BK818">
        <f>IF(ISBLANK('Data Entry'!$$818), "", 'Data Entry'!$$818)</f>
      </c>
      <c r="BL818">
        <f>IF(ISBLANK('Data Entry'!$$818), "", 'Data Entry'!$$818)</f>
      </c>
      <c r="BM818">
        <f>IF(ISBLANK('Data Entry'!$$818), "", 'Data Entry'!$$818)</f>
      </c>
      <c r="BN818">
        <f>IF(ISBLANK('Data Entry'!$$818), "", 'Data Entry'!$$818)</f>
      </c>
      <c r="BO818">
        <f>IF(ISBLANK('Data Entry'!$$818), "", 'Data Entry'!$$818)</f>
      </c>
      <c r="BP818">
        <f>IF(ISBLANK('Data Entry'!$$818), "", 'Data Entry'!$$818)</f>
      </c>
      <c r="BQ818">
        <f>IF(ISBLANK('Data Entry'!$$818), "", 'Data Entry'!$$818)</f>
      </c>
      <c r="BR818">
        <f>IF(ISBLANK('Data Entry'!$$818), "", 'Data Entry'!$$818)</f>
      </c>
      <c r="BS818">
        <f>IF(ISBLANK('Data Entry'!$$818), "", 'Data Entry'!$$818)</f>
      </c>
      <c r="BT818">
        <f>IF(ISBLANK('Data Entry'!$$818), "", 'Data Entry'!$$818)</f>
      </c>
      <c r="BU818">
        <f>IF(ISBLANK('Data Entry'!$$818), "", 'Data Entry'!$$818)</f>
      </c>
      <c r="BV818">
        <f>IF(ISBLANK('Data Entry'!$$818), "", 'Data Entry'!$$818)</f>
      </c>
      <c r="BW818">
        <f>IF(ISBLANK('Data Entry'!$$818), "", 'Data Entry'!$$818)</f>
      </c>
      <c r="BX818">
        <f>IF(ISBLANK('Data Entry'!$$818), "", 'Data Entry'!$$818)</f>
      </c>
      <c r="BY818">
        <f>IF(ISBLANK('Data Entry'!$$818), "", 'Data Entry'!$$818)</f>
      </c>
      <c r="BZ818">
        <f>IF(ISBLANK('Data Entry'!$$818), "", 'Data Entry'!$$818)</f>
      </c>
      <c r="CA818">
        <f>IF(ISBLANK('Data Entry'!$$818), "", 'Data Entry'!$$818)</f>
      </c>
      <c r="CB818">
        <f>IF(ISBLANK('Data Entry'!$$818), "", 'Data Entry'!$$818)</f>
      </c>
      <c r="CC818">
        <f>IF(ISBLANK('Data Entry'!$$818), "", 'Data Entry'!$$818)</f>
      </c>
      <c r="CD818">
        <f>IF(ISBLANK('Data Entry'!$$818), "", 'Data Entry'!$$818)</f>
      </c>
      <c r="CE818">
        <f>IF(ISBLANK('Data Entry'!$$818), "", 'Data Entry'!$$818)</f>
      </c>
      <c r="CF818">
        <f>IF(ISBLANK('Data Entry'!$$818), "", 'Data Entry'!$$818)</f>
      </c>
      <c r="CG818">
        <f>IF(ISBLANK('Data Entry'!$$818), "", 'Data Entry'!$$818)</f>
      </c>
      <c r="CH818">
        <f>IF(ISBLANK('Data Entry'!$$818), "", 'Data Entry'!$$818)</f>
      </c>
      <c r="CI818">
        <f>IF(ISBLANK('Data Entry'!$$818), "", 'Data Entry'!$$818)</f>
      </c>
      <c r="CJ818">
        <f>IF(ISBLANK('Data Entry'!$$818), "", 'Data Entry'!$$818)</f>
      </c>
      <c r="CK818">
        <f>IF(ISBLANK('Data Entry'!$$818), "", 'Data Entry'!$$818)</f>
      </c>
      <c r="CL818">
        <f>IF(ISBLANK('Data Entry'!$$818), "", 'Data Entry'!$$818)</f>
      </c>
      <c r="CM818">
        <f>IF(ISBLANK('Data Entry'!$$818), "", 'Data Entry'!$$818)</f>
      </c>
      <c r="CN818">
        <f>IF(ISBLANK('Data Entry'!$$818), "", 'Data Entry'!$$818)</f>
      </c>
      <c r="CO818">
        <f>IF(ISBLANK('Data Entry'!$$818), "", 'Data Entry'!$$818)</f>
      </c>
      <c r="CP818">
        <f>IF(ISBLANK('Data Entry'!$$818), "", 'Data Entry'!$$818)</f>
      </c>
      <c r="CQ818">
        <f>IF(ISBLANK('Data Entry'!$$818), "", 'Data Entry'!$$818)</f>
      </c>
      <c r="CR818">
        <f>IF(ISBLANK('Data Entry'!$ $818), "", 'Data Entry'!$ $818)</f>
      </c>
      <c r="CS818">
        <f>IF(ISBLANK('Data Entry'!$¡$818), "", 'Data Entry'!$¡$818)</f>
      </c>
      <c r="CT818">
        <f>IF(ISBLANK('Data Entry'!$¢$818), "", 'Data Entry'!$¢$818)</f>
      </c>
      <c r="CU818">
        <f>IF(ISBLANK('Data Entry'!$£$818), "", 'Data Entry'!$£$818)</f>
      </c>
      <c r="CV818">
        <f>IF(ISBLANK('Data Entry'!$¤$818), "", 'Data Entry'!$¤$818)</f>
      </c>
      <c r="CW818">
        <f>IF(ISBLANK('Data Entry'!$¥$818), "", 'Data Entry'!$¥$818)</f>
      </c>
      <c r="CX818">
        <f>IF(ISBLANK('Data Entry'!$¦$818), "", 'Data Entry'!$¦$818)</f>
      </c>
      <c r="CY818">
        <f>IF(ISBLANK('Data Entry'!$§$818), "", 'Data Entry'!$§$818)</f>
      </c>
      <c r="CZ818">
        <f>IF(ISBLANK('Data Entry'!$¨$818), "", 'Data Entry'!$¨$818)</f>
      </c>
      <c r="DA818">
        <f>IF(ISBLANK('Data Entry'!$©$818), "", 'Data Entry'!$©$818)</f>
      </c>
      <c r="DB818">
        <f>IF(ISBLANK('Data Entry'!$ª$818), "", 'Data Entry'!$ª$818)</f>
      </c>
      <c r="DC818">
        <f>IF(ISBLANK('Data Entry'!$«$818), "", 'Data Entry'!$«$818)</f>
      </c>
      <c r="DD818">
        <f>IF(ISBLANK('Data Entry'!$¬$818), "", 'Data Entry'!$¬$818)</f>
      </c>
      <c r="DE818">
        <f>IF(ISBLANK('Data Entry'!$­$818), "", 'Data Entry'!$­$818)</f>
      </c>
      <c r="DF818">
        <f>IF(ISBLANK('Data Entry'!$®$818), "", 'Data Entry'!$®$818)</f>
      </c>
      <c r="DG818">
        <f>IF(ISBLANK('Data Entry'!$¯$818), "", 'Data Entry'!$¯$818)</f>
      </c>
      <c r="DH818">
        <f>IF(ISBLANK('Data Entry'!$°$818), "", 'Data Entry'!$°$818)</f>
      </c>
      <c r="DI818">
        <f>IF(ISBLANK('Data Entry'!$±$818), "", 'Data Entry'!$±$818)</f>
      </c>
      <c r="DJ818">
        <f>IF(ISBLANK('Data Entry'!$²$818), "", 'Data Entry'!$²$818)</f>
      </c>
      <c r="DK818">
        <f>IF(ISBLANK('Data Entry'!$³$818), "", 'Data Entry'!$³$818)</f>
      </c>
      <c r="DL818">
        <f>IF(ISBLANK('Data Entry'!$´$818), "", 'Data Entry'!$´$818)</f>
      </c>
      <c r="DM818">
        <f>IF(ISBLANK('Data Entry'!$µ$818), "", 'Data Entry'!$µ$818)</f>
      </c>
      <c r="DN818">
        <f>IF(ISBLANK('Data Entry'!$¶$818), "", 'Data Entry'!$¶$818)</f>
      </c>
      <c r="DO818">
        <f>IF(ISBLANK('Data Entry'!$·$818), "", 'Data Entry'!$·$818)</f>
      </c>
      <c r="DP818">
        <f>IF(ISBLANK('Data Entry'!$¸$818), "", 'Data Entry'!$¸$818)</f>
      </c>
      <c r="DQ818">
        <f>IF(ISBLANK('Data Entry'!$¹$818), "", 'Data Entry'!$¹$818)</f>
      </c>
      <c r="DR818">
        <f>IF(ISBLANK('Data Entry'!$º$818), "", 'Data Entry'!$º$818)</f>
      </c>
      <c r="DS818">
        <f>IF(ISBLANK('Data Entry'!$»$818), "", 'Data Entry'!$»$818)</f>
      </c>
      <c r="DT818">
        <f>IF(ISBLANK('Data Entry'!$¼$818), "", 'Data Entry'!$¼$818)</f>
      </c>
      <c r="DU818">
        <f>IF(ISBLANK('Data Entry'!$½$818), "", 'Data Entry'!$½$818)</f>
      </c>
      <c r="DV818">
        <f>IF(ISBLANK('Data Entry'!$¾$818), "", 'Data Entry'!$¾$818)</f>
      </c>
      <c r="DW818">
        <f>IF(ISBLANK('Data Entry'!$¿$818), "", 'Data Entry'!$¿$818)</f>
      </c>
      <c r="DX818">
        <f>IF(ISBLANK('Data Entry'!$À$818), "", 'Data Entry'!$À$818)</f>
      </c>
      <c r="DY818">
        <f>IF(ISBLANK('Data Entry'!$Á$818), "", 'Data Entry'!$Á$818)</f>
      </c>
      <c r="DZ818">
        <f>IF(ISBLANK('Data Entry'!$Â$818), "", 'Data Entry'!$Â$818)</f>
      </c>
      <c r="EA818">
        <f>IF(ISBLANK('Data Entry'!$Ã$818), "", 'Data Entry'!$Ã$818)</f>
      </c>
      <c r="EB818">
        <f>IF(ISBLANK('Data Entry'!$Ä$818), "", 'Data Entry'!$Ä$818)</f>
      </c>
      <c r="EC818">
        <f>IF(ISBLANK('Data Entry'!$Å$818), "", 'Data Entry'!$Å$818)</f>
      </c>
      <c r="ED818">
        <f>IF(ISBLANK('Data Entry'!$Æ$818), "", 'Data Entry'!$Æ$818)</f>
      </c>
      <c r="EE818">
        <f>IF(ISBLANK('Data Entry'!$Ç$818), "", 'Data Entry'!$Ç$818)</f>
      </c>
      <c r="EF818">
        <f>IF(ISBLANK('Data Entry'!$È$818), "", 'Data Entry'!$È$818)</f>
      </c>
      <c r="EG818">
        <f>IF(ISBLANK('Data Entry'!$É$818), "", 'Data Entry'!$É$818)</f>
      </c>
      <c r="EH818">
        <f>IF(ISBLANK('Data Entry'!$Ê$818), "", 'Data Entry'!$Ê$818)</f>
      </c>
      <c r="EI818">
        <f>IF(ISBLANK('Data Entry'!$Ë$818), "", 'Data Entry'!$Ë$818)</f>
      </c>
      <c r="EJ818">
        <f>IF(ISBLANK('Data Entry'!$Ì$818), "", 'Data Entry'!$Ì$818)</f>
      </c>
      <c r="EK818">
        <f>IF(ISBLANK('Data Entry'!$Í$818), "", 'Data Entry'!$Í$818)</f>
      </c>
      <c r="EL818">
        <f>IF(ISBLANK('Data Entry'!$Î$818), "", 'Data Entry'!$Î$818)</f>
      </c>
      <c r="EM818">
        <f>IF(ISBLANK('Data Entry'!$Ï$818), "", 'Data Entry'!$Ï$818)</f>
      </c>
      <c r="EN818">
        <f>IF(ISBLANK('Data Entry'!$Ð$818), "", 'Data Entry'!$Ð$818)</f>
      </c>
      <c r="EO818">
        <f>IF(ISBLANK('Data Entry'!$Ñ$818), "", 'Data Entry'!$Ñ$818)</f>
      </c>
      <c r="EP818">
        <f>IF(ISBLANK('Data Entry'!$Ò$818), "", 'Data Entry'!$Ò$818)</f>
      </c>
      <c r="EQ818">
        <f>IF(ISBLANK('Data Entry'!$Ó$818), "", 'Data Entry'!$Ó$818)</f>
      </c>
      <c r="ER818">
        <f>IF(ISBLANK('Data Entry'!$Ô$818), "", 'Data Entry'!$Ô$818)</f>
      </c>
      <c r="ES818">
        <f>IF(ISBLANK('Data Entry'!$Õ$818), "", 'Data Entry'!$Õ$818)</f>
      </c>
      <c r="ET818">
        <f>IF(ISBLANK('Data Entry'!$Ö$818), "", 'Data Entry'!$Ö$818)</f>
      </c>
      <c r="EU818">
        <f>IF(ISBLANK('Data Entry'!$×$818), "", 'Data Entry'!$×$818)</f>
      </c>
      <c r="EV818">
        <f>IF(ISBLANK('Data Entry'!$Ø$818), "", 'Data Entry'!$Ø$818)</f>
      </c>
      <c r="EW818">
        <f>IF(ISBLANK('Data Entry'!$Ù$818), "", 'Data Entry'!$Ù$818)</f>
      </c>
      <c r="EX818">
        <f>IF(ISBLANK('Data Entry'!$Ú$818), "", 'Data Entry'!$Ú$818)</f>
      </c>
      <c r="EY818">
        <f>IF(ISBLANK('Data Entry'!$Û$818), "", 'Data Entry'!$Û$818)</f>
      </c>
      <c r="EZ818">
        <f>IF(ISBLANK('Data Entry'!$Ü$818), "", 'Data Entry'!$Ü$818)</f>
      </c>
      <c r="FA818">
        <f>IF(ISBLANK('Data Entry'!$Ý$818), "", 'Data Entry'!$Ý$818)</f>
      </c>
      <c r="FB818">
        <f>IF(ISBLANK('Data Entry'!$Þ$818), "", 'Data Entry'!$Þ$818)</f>
      </c>
      <c r="FC818">
        <f>IF(ISBLANK('Data Entry'!$ß$818), "", 'Data Entry'!$ß$818)</f>
      </c>
      <c r="FD818">
        <f>IF(ISBLANK('Data Entry'!$à$818), "", 'Data Entry'!$à$818)</f>
      </c>
      <c r="FE818">
        <f>IF(ISBLANK('Data Entry'!$á$818), "", 'Data Entry'!$á$818)</f>
      </c>
      <c r="FF818">
        <f>IF(ISBLANK('Data Entry'!$â$818), "", 'Data Entry'!$â$818)</f>
      </c>
      <c r="FG818">
        <f>IF(ISBLANK('Data Entry'!$ã$818), "", 'Data Entry'!$ã$818)</f>
      </c>
      <c r="FH818">
        <f>IF(ISBLANK('Data Entry'!$ä$818), "", 'Data Entry'!$ä$818)</f>
      </c>
      <c r="FI818">
        <f>IF(ISBLANK('Data Entry'!$å$818), "", 'Data Entry'!$å$818)</f>
      </c>
      <c r="FJ818">
        <f>IF(ISBLANK('Data Entry'!$æ$818), "", 'Data Entry'!$æ$818)</f>
      </c>
      <c r="FK818">
        <f>IF(ISBLANK('Data Entry'!$ç$818), "", 'Data Entry'!$ç$818)</f>
      </c>
      <c r="FL818">
        <f>IF(ISBLANK('Data Entry'!$è$818), "", 'Data Entry'!$è$818)</f>
      </c>
      <c r="FM818">
        <f>IF(ISBLANK('Data Entry'!$é$818), "", 'Data Entry'!$é$818)</f>
      </c>
      <c r="FN818">
        <f>IF(ISBLANK('Data Entry'!$ê$818), "", 'Data Entry'!$ê$818)</f>
      </c>
      <c r="FO818">
        <f>IF(ISBLANK('Data Entry'!$ë$818), "", 'Data Entry'!$ë$818)</f>
      </c>
      <c r="FP818">
        <f>IF(ISBLANK('Data Entry'!$ì$818), "", 'Data Entry'!$ì$818)</f>
      </c>
      <c r="FQ818">
        <f>IF(ISBLANK('Data Entry'!$í$818), "", 'Data Entry'!$í$818)</f>
      </c>
      <c r="FR818">
        <f>IF(ISBLANK('Data Entry'!$î$818), "", 'Data Entry'!$î$818)</f>
      </c>
      <c r="FS818">
        <f>IF(ISBLANK('Data Entry'!$ï$818), "", 'Data Entry'!$ï$818)</f>
      </c>
      <c r="FT818">
        <f>IF(ISBLANK('Data Entry'!$ð$818), "", 'Data Entry'!$ð$818)</f>
      </c>
      <c r="FU818">
        <f>IF(ISBLANK('Data Entry'!$ñ$818), "", 'Data Entry'!$ñ$818)</f>
      </c>
      <c r="FV818">
        <f>IF(ISBLANK('Data Entry'!$ò$818), "", 'Data Entry'!$ò$818)</f>
      </c>
      <c r="FW818">
        <f>IF(ISBLANK('Data Entry'!$ó$818), "", 'Data Entry'!$ó$818)</f>
      </c>
      <c r="FX818">
        <f>IF(ISBLANK('Data Entry'!$ô$818), "", 'Data Entry'!$ô$818)</f>
      </c>
      <c r="FY818">
        <f>IF(ISBLANK('Data Entry'!$õ$818), "", 'Data Entry'!$õ$818)</f>
      </c>
      <c r="FZ818">
        <f>IF(ISBLANK('Data Entry'!$ö$818), "", 'Data Entry'!$ö$818)</f>
      </c>
      <c r="GA818">
        <f>IF(ISBLANK('Data Entry'!$÷$818), "", 'Data Entry'!$÷$818)</f>
      </c>
      <c r="GB818">
        <f>IF(ISBLANK('Data Entry'!$ø$818), "", 'Data Entry'!$ø$818)</f>
      </c>
      <c r="GC818">
        <f>IF(ISBLANK('Data Entry'!$ù$818), "", 'Data Entry'!$ù$818)</f>
      </c>
      <c r="GD818">
        <f>IF(ISBLANK('Data Entry'!$ú$818), "", 'Data Entry'!$ú$818)</f>
      </c>
      <c r="GE818">
        <f>IF(ISBLANK('Data Entry'!$û$818), "", 'Data Entry'!$û$818)</f>
      </c>
      <c r="GF818">
        <f>IF(ISBLANK('Data Entry'!$ü$818), "", 'Data Entry'!$ü$818)</f>
      </c>
      <c r="GG818">
        <f>IF(ISBLANK('Data Entry'!$ý$818), "", 'Data Entry'!$ý$818)</f>
      </c>
      <c r="GH818">
        <f>IF(ISBLANK('Data Entry'!$þ$818), "", 'Data Entry'!$þ$818)</f>
      </c>
      <c r="GI818">
        <f>IF(ISBLANK('Data Entry'!$ÿ$818), "", 'Data Entry'!$ÿ$818)</f>
      </c>
      <c r="GJ818">
        <f>IF(ISBLANK('Data Entry'!$Ā$818), "", 'Data Entry'!$Ā$818)</f>
      </c>
      <c r="GK818">
        <f>IF(ISBLANK('Data Entry'!$ā$818), "", 'Data Entry'!$ā$818)</f>
      </c>
      <c r="GL818">
        <f>IF(ISBLANK('Data Entry'!$Ă$818), "", 'Data Entry'!$Ă$818)</f>
      </c>
      <c r="GM818">
        <f>IF(ISBLANK('Data Entry'!$ă$818), "", 'Data Entry'!$ă$818)</f>
      </c>
      <c r="GN818">
        <f>IF(ISBLANK('Data Entry'!$Ą$818), "", 'Data Entry'!$Ą$818)</f>
      </c>
      <c r="GO818">
        <f>IF(ISBLANK('Data Entry'!$ą$818), "", 'Data Entry'!$ą$818)</f>
      </c>
      <c r="GP818">
        <f>IF(ISBLANK('Data Entry'!$Ć$818), "", 'Data Entry'!$Ć$818)</f>
      </c>
      <c r="GQ818">
        <f>IF(ISBLANK('Data Entry'!$ć$818), "", 'Data Entry'!$ć$818)</f>
      </c>
      <c r="GR818">
        <f>IF(ISBLANK('Data Entry'!$Ĉ$818), "", 'Data Entry'!$Ĉ$818)</f>
      </c>
      <c r="GS818">
        <f>IF(ISBLANK('Data Entry'!$ĉ$818), "", 'Data Entry'!$ĉ$818)</f>
      </c>
      <c r="GT818">
        <f>IF(ISBLANK('Data Entry'!$Ċ$818), "", 'Data Entry'!$Ċ$818)</f>
      </c>
      <c r="GU818">
        <f>IF(ISBLANK('Data Entry'!$ċ$818), "", 'Data Entry'!$ċ$818)</f>
      </c>
      <c r="GV818">
        <f>IF(ISBLANK('Data Entry'!$Č$818), "", 'Data Entry'!$Č$818)</f>
      </c>
      <c r="GW818">
        <f>IF(ISBLANK('Data Entry'!$č$818), "", 'Data Entry'!$č$818)</f>
      </c>
      <c r="GX818">
        <f>IF(ISBLANK('Data Entry'!$Ď$818), "", 'Data Entry'!$Ď$818)</f>
      </c>
      <c r="GY818">
        <f>IF(ISBLANK('Data Entry'!$ď$818), "", 'Data Entry'!$ď$818)</f>
      </c>
      <c r="GZ818">
        <f>IF(ISBLANK('Data Entry'!$Đ$818), "", 'Data Entry'!$Đ$818)</f>
      </c>
      <c r="HA818">
        <f>IF(ISBLANK('Data Entry'!$đ$818), "", 'Data Entry'!$đ$818)</f>
      </c>
      <c r="HB818">
        <f>IF(ISBLANK('Data Entry'!$Ē$818), "", 'Data Entry'!$Ē$818)</f>
      </c>
      <c r="HC818">
        <f>IF(ISBLANK('Data Entry'!$ē$818), "", 'Data Entry'!$ē$818)</f>
      </c>
      <c r="HD818">
        <f>IF(ISBLANK('Data Entry'!$Ĕ$818), "", 'Data Entry'!$Ĕ$818)</f>
      </c>
      <c r="HE818">
        <f>IF(ISBLANK('Data Entry'!$ĕ$818), "", 'Data Entry'!$ĕ$818)</f>
      </c>
      <c r="HF818">
        <f>IF(ISBLANK('Data Entry'!$Ė$818), "", 'Data Entry'!$Ė$818)</f>
      </c>
      <c r="HG818">
        <f>IF(ISBLANK('Data Entry'!$ė$818), "", 'Data Entry'!$ė$818)</f>
      </c>
      <c r="HH818">
        <f>IF(ISBLANK('Data Entry'!$Ę$818), "", 'Data Entry'!$Ę$818)</f>
      </c>
      <c r="HI818">
        <f>IF(ISBLANK('Data Entry'!$ę$818), "", 'Data Entry'!$ę$818)</f>
      </c>
      <c r="HJ818">
        <f>IF(ISBLANK('Data Entry'!$Ě$818), "", 'Data Entry'!$Ě$818)</f>
      </c>
      <c r="HK818">
        <f>IF(ISBLANK('Data Entry'!$ě$818), "", 'Data Entry'!$ě$818)</f>
      </c>
      <c r="HL818">
        <f>IF(ISBLANK('Data Entry'!$Ĝ$818), "", 'Data Entry'!$Ĝ$818)</f>
      </c>
      <c r="HM818">
        <f>IF(ISBLANK('Data Entry'!$ĝ$818), "", 'Data Entry'!$ĝ$818)</f>
      </c>
      <c r="HN818">
        <f>IF(ISBLANK('Data Entry'!$Ğ$818), "", 'Data Entry'!$Ğ$818)</f>
      </c>
      <c r="HO818">
        <f>IF(ISBLANK('Data Entry'!$ğ$818), "", 'Data Entry'!$ğ$818)</f>
      </c>
      <c r="HP818">
        <f>IF(ISBLANK('Data Entry'!$Ġ$818), "", 'Data Entry'!$Ġ$818)</f>
      </c>
      <c r="HQ818">
        <f>IF(ISBLANK('Data Entry'!$ġ$818), "", 'Data Entry'!$ġ$818)</f>
      </c>
      <c r="HR818">
        <f>IF(ISBLANK('Data Entry'!$Ģ$818), "", 'Data Entry'!$Ģ$818)</f>
      </c>
      <c r="HS818">
        <f>IF(ISBLANK('Data Entry'!$ģ$818), "", 'Data Entry'!$ģ$818)</f>
      </c>
      <c r="HT818">
        <f>IF(ISBLANK('Data Entry'!$Ĥ$818), "", 'Data Entry'!$Ĥ$818)</f>
      </c>
      <c r="HU818">
        <f>IF(ISBLANK('Data Entry'!$ĥ$818), "", 'Data Entry'!$ĥ$818)</f>
      </c>
      <c r="HV818">
        <f>IF(ISBLANK('Data Entry'!$Ħ$818), "", 'Data Entry'!$Ħ$818)</f>
      </c>
      <c r="HW818">
        <f>IF(ISBLANK('Data Entry'!$ħ$818), "", 'Data Entry'!$ħ$818)</f>
      </c>
      <c r="HX818">
        <f>IF(ISBLANK('Data Entry'!$Ĩ$818), "", 'Data Entry'!$Ĩ$818)</f>
      </c>
      <c r="HY818">
        <f>IF(ISBLANK('Data Entry'!$ĩ$818), "", 'Data Entry'!$ĩ$818)</f>
      </c>
      <c r="HZ818">
        <f>IF(ISBLANK('Data Entry'!$Ī$818), "", 'Data Entry'!$Ī$818)</f>
      </c>
      <c r="IA818">
        <f>IF(ISBLANK('Data Entry'!$ī$818), "", 'Data Entry'!$ī$818)</f>
      </c>
      <c r="IB818">
        <f>IF(ISBLANK('Data Entry'!$Ĭ$818), "", 'Data Entry'!$Ĭ$818)</f>
      </c>
      <c r="IC818">
        <f>IF(ISBLANK('Data Entry'!$ĭ$818), "", 'Data Entry'!$ĭ$818)</f>
      </c>
      <c r="ID818">
        <f>IF(ISBLANK('Data Entry'!$Į$818), "", 'Data Entry'!$Į$818)</f>
      </c>
      <c r="IE818">
        <f>IF(ISBLANK('Data Entry'!$į$818), "", 'Data Entry'!$į$818)</f>
      </c>
      <c r="IF818">
        <f>IF(ISBLANK('Data Entry'!$İ$818), "", 'Data Entry'!$İ$818)</f>
      </c>
      <c r="IG818">
        <f>IF(ISBLANK('Data Entry'!$ı$818), "", 'Data Entry'!$ı$818)</f>
      </c>
      <c r="IH818">
        <f>IF(ISBLANK('Data Entry'!$Ĳ$818), "", 'Data Entry'!$Ĳ$818)</f>
      </c>
      <c r="II818">
        <f>IF(ISBLANK('Data Entry'!$ĳ$818), "", 'Data Entry'!$ĳ$818)</f>
      </c>
      <c r="IJ818">
        <f>IF(ISBLANK('Data Entry'!$Ĵ$818), "", 'Data Entry'!$Ĵ$818)</f>
      </c>
      <c r="IK818">
        <f>IF(ISBLANK('Data Entry'!$ĵ$818), "", 'Data Entry'!$ĵ$818)</f>
      </c>
      <c r="IL818">
        <f>IF(ISBLANK('Data Entry'!$Ķ$818), "", 'Data Entry'!$Ķ$818)</f>
      </c>
      <c r="IM818">
        <f>IF(ISBLANK('Data Entry'!$ķ$818), "", 'Data Entry'!$ķ$818)</f>
      </c>
      <c r="IN818">
        <f>IF(ISBLANK('Data Entry'!$ĸ$818), "", 'Data Entry'!$ĸ$818)</f>
      </c>
      <c r="IO818">
        <f>IF(ISBLANK('Data Entry'!$Ĺ$818), "", 'Data Entry'!$Ĺ$818)</f>
      </c>
      <c r="IP818">
        <f>IF(ISBLANK('Data Entry'!$ĺ$818), "", 'Data Entry'!$ĺ$818)</f>
      </c>
      <c r="IQ818">
        <f>IF(ISBLANK('Data Entry'!$Ļ$818), "", 'Data Entry'!$Ļ$818)</f>
      </c>
      <c r="IR818">
        <f>IF(ISBLANK('Data Entry'!$ļ$818), "", 'Data Entry'!$ļ$818)</f>
      </c>
      <c r="IS818">
        <f>IF(ISBLANK('Data Entry'!$Ľ$818), "", 'Data Entry'!$Ľ$818)</f>
      </c>
      <c r="IT818">
        <f>IF(ISBLANK('Data Entry'!$ľ$818), "", 'Data Entry'!$ľ$818)</f>
      </c>
    </row>
    <row r="819" spans="1:254" x14ac:dyDescent="0.25">
      <c r="A819">
        <f>IF(ISBLANK('Data Entry'!$A$819), "", 'Data Entry'!$A$819)</f>
      </c>
      <c r="B819">
        <f>IF(ISBLANK('Data Entry'!$B$819), "", 'Data Entry'!$B$819)</f>
      </c>
      <c r="C819">
        <f>IF(ISBLANK('Data Entry'!$C$819), "", 'Data Entry'!$C$819)</f>
      </c>
      <c r="D819">
        <f>IF(ISBLANK('Data Entry'!$D$819), "", 'Data Entry'!$D$819)</f>
      </c>
      <c r="E819">
        <f>IF(ISBLANK('Data Entry'!$E$819), "", 'Data Entry'!$E$819)</f>
      </c>
      <c r="F819">
        <f>IF(ISBLANK('Data Entry'!$F$819), "", 'Data Entry'!$F$819)</f>
      </c>
      <c r="G819">
        <f>IF(ISBLANK('Data Entry'!$G$819), "", 'Data Entry'!$G$819)</f>
      </c>
      <c r="H819">
        <f>IF(ISBLANK('Data Entry'!$H$819), "", 'Data Entry'!$H$819)</f>
      </c>
      <c r="I819">
        <f>IF(ISBLANK('Data Entry'!$I$819), "", 'Data Entry'!$I$819)</f>
      </c>
      <c r="J819">
        <f>IF(ISBLANK('Data Entry'!$J$819), "", 'Data Entry'!$J$819)</f>
      </c>
      <c r="K819">
        <f>IF(ISBLANK('Data Entry'!$K$819), "", 'Data Entry'!$K$819)</f>
      </c>
      <c r="L819">
        <f>IF(ISBLANK('Data Entry'!$L$819), "", 'Data Entry'!$L$819)</f>
      </c>
      <c r="M819">
        <f>IF(ISBLANK('Data Entry'!$M$819), "", 'Data Entry'!$M$819)</f>
      </c>
      <c r="N819">
        <f>IF(ISBLANK('Data Entry'!$N$819), "", 'Data Entry'!$N$819)</f>
      </c>
      <c r="O819">
        <f>IF(ISBLANK('Data Entry'!$O$819), "", 'Data Entry'!$O$819)</f>
      </c>
      <c r="P819">
        <f>IF(ISBLANK('Data Entry'!$P$819), "", 'Data Entry'!$P$819)</f>
      </c>
      <c r="Q819">
        <f>IF(ISBLANK('Data Entry'!$Q$819), "", 'Data Entry'!$Q$819)</f>
      </c>
      <c r="R819">
        <f>IF(ISBLANK('Data Entry'!$R$819), "", 'Data Entry'!$R$819)</f>
      </c>
      <c r="S819">
        <f>IF(ISBLANK('Data Entry'!$S$819), "", 'Data Entry'!$S$819)</f>
      </c>
      <c r="T819">
        <f>IF(ISBLANK('Data Entry'!$T$819), "", 'Data Entry'!$T$819)</f>
      </c>
      <c r="U819">
        <f>IF(ISBLANK('Data Entry'!$U$819), "", 'Data Entry'!$U$819)</f>
      </c>
      <c r="V819">
        <f>IF(ISBLANK('Data Entry'!$V$819), "", 'Data Entry'!$V$819)</f>
      </c>
      <c r="W819">
        <f>IF(ISBLANK('Data Entry'!$W$819), "", 'Data Entry'!$W$819)</f>
      </c>
      <c r="X819">
        <f>IF(ISBLANK('Data Entry'!$X$819), "", 'Data Entry'!$X$819)</f>
      </c>
      <c r="Y819">
        <f>IF(ISBLANK('Data Entry'!$Y$819), "", 'Data Entry'!$Y$819)</f>
      </c>
      <c r="Z819">
        <f>IF(ISBLANK('Data Entry'!$Z$819), "", 'Data Entry'!$Z$819)</f>
      </c>
      <c r="AA819">
        <f>IF(ISBLANK('Data Entry'!$[$819), "", 'Data Entry'!$[$819)</f>
      </c>
      <c r="AB819">
        <f>IF(ISBLANK('Data Entry'!$\$819), "", 'Data Entry'!$\$819)</f>
      </c>
      <c r="AC819">
        <f>IF(ISBLANK('Data Entry'!$]$819), "", 'Data Entry'!$]$819)</f>
      </c>
      <c r="AD819">
        <f>IF(ISBLANK('Data Entry'!$^$819), "", 'Data Entry'!$^$819)</f>
      </c>
      <c r="AE819">
        <f>IF(ISBLANK('Data Entry'!$_$819), "", 'Data Entry'!$_$819)</f>
      </c>
      <c r="AF819">
        <f>IF(ISBLANK('Data Entry'!$`$819), "", 'Data Entry'!$`$819)</f>
      </c>
      <c r="AG819">
        <f>IF(ISBLANK('Data Entry'!$a$819), "", 'Data Entry'!$a$819)</f>
      </c>
      <c r="AH819">
        <f>IF(ISBLANK('Data Entry'!$b$819), "", 'Data Entry'!$b$819)</f>
      </c>
      <c r="AI819">
        <f>IF(ISBLANK('Data Entry'!$c$819), "", 'Data Entry'!$c$819)</f>
      </c>
      <c r="AJ819">
        <f>IF(ISBLANK('Data Entry'!$d$819), "", 'Data Entry'!$d$819)</f>
      </c>
      <c r="AK819">
        <f>IF(ISBLANK('Data Entry'!$e$819), "", 'Data Entry'!$e$819)</f>
      </c>
      <c r="AL819">
        <f>IF(ISBLANK('Data Entry'!$f$819), "", 'Data Entry'!$f$819)</f>
      </c>
      <c r="AM819">
        <f>IF(ISBLANK('Data Entry'!$g$819), "", 'Data Entry'!$g$819)</f>
      </c>
      <c r="AN819">
        <f>IF(ISBLANK('Data Entry'!$h$819), "", 'Data Entry'!$h$819)</f>
      </c>
      <c r="AO819">
        <f>IF(ISBLANK('Data Entry'!$i$819), "", 'Data Entry'!$i$819)</f>
      </c>
      <c r="AP819">
        <f>IF(ISBLANK('Data Entry'!$j$819), "", 'Data Entry'!$j$819)</f>
      </c>
      <c r="AQ819">
        <f>IF(ISBLANK('Data Entry'!$k$819), "", 'Data Entry'!$k$819)</f>
      </c>
      <c r="AR819">
        <f>IF(ISBLANK('Data Entry'!$l$819), "", 'Data Entry'!$l$819)</f>
      </c>
      <c r="AS819">
        <f>IF(ISBLANK('Data Entry'!$m$819), "", 'Data Entry'!$m$819)</f>
      </c>
      <c r="AT819">
        <f>IF(ISBLANK('Data Entry'!$n$819), "", 'Data Entry'!$n$819)</f>
      </c>
      <c r="AU819">
        <f>IF(ISBLANK('Data Entry'!$o$819), "", 'Data Entry'!$o$819)</f>
      </c>
      <c r="AV819">
        <f>IF(ISBLANK('Data Entry'!$p$819), "", 'Data Entry'!$p$819)</f>
      </c>
      <c r="AW819">
        <f>IF(ISBLANK('Data Entry'!$q$819), "", 'Data Entry'!$q$819)</f>
      </c>
      <c r="AX819">
        <f>IF(ISBLANK('Data Entry'!$r$819), "", 'Data Entry'!$r$819)</f>
      </c>
      <c r="AY819">
        <f>IF(ISBLANK('Data Entry'!$s$819), "", 'Data Entry'!$s$819)</f>
      </c>
      <c r="AZ819">
        <f>IF(ISBLANK('Data Entry'!$t$819), "", 'Data Entry'!$t$819)</f>
      </c>
      <c r="BA819">
        <f>IF(ISBLANK('Data Entry'!$u$819), "", 'Data Entry'!$u$819)</f>
      </c>
      <c r="BB819">
        <f>IF(ISBLANK('Data Entry'!$v$819), "", 'Data Entry'!$v$819)</f>
      </c>
      <c r="BC819">
        <f>IF(ISBLANK('Data Entry'!$w$819), "", 'Data Entry'!$w$819)</f>
      </c>
      <c r="BD819">
        <f>IF(ISBLANK('Data Entry'!$x$819), "", 'Data Entry'!$x$819)</f>
      </c>
      <c r="BE819">
        <f>IF(ISBLANK('Data Entry'!$y$819), "", 'Data Entry'!$y$819)</f>
      </c>
      <c r="BF819">
        <f>IF(ISBLANK('Data Entry'!$z$819), "", 'Data Entry'!$z$819)</f>
      </c>
      <c r="BG819">
        <f>IF(ISBLANK('Data Entry'!${$819), "", 'Data Entry'!${$819)</f>
      </c>
      <c r="BH819">
        <f>IF(ISBLANK('Data Entry'!$|$819), "", 'Data Entry'!$|$819)</f>
      </c>
      <c r="BI819">
        <f>IF(ISBLANK('Data Entry'!$}$819), "", 'Data Entry'!$}$819)</f>
      </c>
      <c r="BJ819">
        <f>IF(ISBLANK('Data Entry'!$~$819), "", 'Data Entry'!$~$819)</f>
      </c>
      <c r="BK819">
        <f>IF(ISBLANK('Data Entry'!$$819), "", 'Data Entry'!$$819)</f>
      </c>
      <c r="BL819">
        <f>IF(ISBLANK('Data Entry'!$$819), "", 'Data Entry'!$$819)</f>
      </c>
      <c r="BM819">
        <f>IF(ISBLANK('Data Entry'!$$819), "", 'Data Entry'!$$819)</f>
      </c>
      <c r="BN819">
        <f>IF(ISBLANK('Data Entry'!$$819), "", 'Data Entry'!$$819)</f>
      </c>
      <c r="BO819">
        <f>IF(ISBLANK('Data Entry'!$$819), "", 'Data Entry'!$$819)</f>
      </c>
      <c r="BP819">
        <f>IF(ISBLANK('Data Entry'!$$819), "", 'Data Entry'!$$819)</f>
      </c>
      <c r="BQ819">
        <f>IF(ISBLANK('Data Entry'!$$819), "", 'Data Entry'!$$819)</f>
      </c>
      <c r="BR819">
        <f>IF(ISBLANK('Data Entry'!$$819), "", 'Data Entry'!$$819)</f>
      </c>
      <c r="BS819">
        <f>IF(ISBLANK('Data Entry'!$$819), "", 'Data Entry'!$$819)</f>
      </c>
      <c r="BT819">
        <f>IF(ISBLANK('Data Entry'!$$819), "", 'Data Entry'!$$819)</f>
      </c>
      <c r="BU819">
        <f>IF(ISBLANK('Data Entry'!$$819), "", 'Data Entry'!$$819)</f>
      </c>
      <c r="BV819">
        <f>IF(ISBLANK('Data Entry'!$$819), "", 'Data Entry'!$$819)</f>
      </c>
      <c r="BW819">
        <f>IF(ISBLANK('Data Entry'!$$819), "", 'Data Entry'!$$819)</f>
      </c>
      <c r="BX819">
        <f>IF(ISBLANK('Data Entry'!$$819), "", 'Data Entry'!$$819)</f>
      </c>
      <c r="BY819">
        <f>IF(ISBLANK('Data Entry'!$$819), "", 'Data Entry'!$$819)</f>
      </c>
      <c r="BZ819">
        <f>IF(ISBLANK('Data Entry'!$$819), "", 'Data Entry'!$$819)</f>
      </c>
      <c r="CA819">
        <f>IF(ISBLANK('Data Entry'!$$819), "", 'Data Entry'!$$819)</f>
      </c>
      <c r="CB819">
        <f>IF(ISBLANK('Data Entry'!$$819), "", 'Data Entry'!$$819)</f>
      </c>
      <c r="CC819">
        <f>IF(ISBLANK('Data Entry'!$$819), "", 'Data Entry'!$$819)</f>
      </c>
      <c r="CD819">
        <f>IF(ISBLANK('Data Entry'!$$819), "", 'Data Entry'!$$819)</f>
      </c>
      <c r="CE819">
        <f>IF(ISBLANK('Data Entry'!$$819), "", 'Data Entry'!$$819)</f>
      </c>
      <c r="CF819">
        <f>IF(ISBLANK('Data Entry'!$$819), "", 'Data Entry'!$$819)</f>
      </c>
      <c r="CG819">
        <f>IF(ISBLANK('Data Entry'!$$819), "", 'Data Entry'!$$819)</f>
      </c>
      <c r="CH819">
        <f>IF(ISBLANK('Data Entry'!$$819), "", 'Data Entry'!$$819)</f>
      </c>
      <c r="CI819">
        <f>IF(ISBLANK('Data Entry'!$$819), "", 'Data Entry'!$$819)</f>
      </c>
      <c r="CJ819">
        <f>IF(ISBLANK('Data Entry'!$$819), "", 'Data Entry'!$$819)</f>
      </c>
      <c r="CK819">
        <f>IF(ISBLANK('Data Entry'!$$819), "", 'Data Entry'!$$819)</f>
      </c>
      <c r="CL819">
        <f>IF(ISBLANK('Data Entry'!$$819), "", 'Data Entry'!$$819)</f>
      </c>
      <c r="CM819">
        <f>IF(ISBLANK('Data Entry'!$$819), "", 'Data Entry'!$$819)</f>
      </c>
      <c r="CN819">
        <f>IF(ISBLANK('Data Entry'!$$819), "", 'Data Entry'!$$819)</f>
      </c>
      <c r="CO819">
        <f>IF(ISBLANK('Data Entry'!$$819), "", 'Data Entry'!$$819)</f>
      </c>
      <c r="CP819">
        <f>IF(ISBLANK('Data Entry'!$$819), "", 'Data Entry'!$$819)</f>
      </c>
      <c r="CQ819">
        <f>IF(ISBLANK('Data Entry'!$$819), "", 'Data Entry'!$$819)</f>
      </c>
      <c r="CR819">
        <f>IF(ISBLANK('Data Entry'!$ $819), "", 'Data Entry'!$ $819)</f>
      </c>
      <c r="CS819">
        <f>IF(ISBLANK('Data Entry'!$¡$819), "", 'Data Entry'!$¡$819)</f>
      </c>
      <c r="CT819">
        <f>IF(ISBLANK('Data Entry'!$¢$819), "", 'Data Entry'!$¢$819)</f>
      </c>
      <c r="CU819">
        <f>IF(ISBLANK('Data Entry'!$£$819), "", 'Data Entry'!$£$819)</f>
      </c>
      <c r="CV819">
        <f>IF(ISBLANK('Data Entry'!$¤$819), "", 'Data Entry'!$¤$819)</f>
      </c>
      <c r="CW819">
        <f>IF(ISBLANK('Data Entry'!$¥$819), "", 'Data Entry'!$¥$819)</f>
      </c>
      <c r="CX819">
        <f>IF(ISBLANK('Data Entry'!$¦$819), "", 'Data Entry'!$¦$819)</f>
      </c>
      <c r="CY819">
        <f>IF(ISBLANK('Data Entry'!$§$819), "", 'Data Entry'!$§$819)</f>
      </c>
      <c r="CZ819">
        <f>IF(ISBLANK('Data Entry'!$¨$819), "", 'Data Entry'!$¨$819)</f>
      </c>
      <c r="DA819">
        <f>IF(ISBLANK('Data Entry'!$©$819), "", 'Data Entry'!$©$819)</f>
      </c>
      <c r="DB819">
        <f>IF(ISBLANK('Data Entry'!$ª$819), "", 'Data Entry'!$ª$819)</f>
      </c>
      <c r="DC819">
        <f>IF(ISBLANK('Data Entry'!$«$819), "", 'Data Entry'!$«$819)</f>
      </c>
      <c r="DD819">
        <f>IF(ISBLANK('Data Entry'!$¬$819), "", 'Data Entry'!$¬$819)</f>
      </c>
      <c r="DE819">
        <f>IF(ISBLANK('Data Entry'!$­$819), "", 'Data Entry'!$­$819)</f>
      </c>
      <c r="DF819">
        <f>IF(ISBLANK('Data Entry'!$®$819), "", 'Data Entry'!$®$819)</f>
      </c>
      <c r="DG819">
        <f>IF(ISBLANK('Data Entry'!$¯$819), "", 'Data Entry'!$¯$819)</f>
      </c>
      <c r="DH819">
        <f>IF(ISBLANK('Data Entry'!$°$819), "", 'Data Entry'!$°$819)</f>
      </c>
      <c r="DI819">
        <f>IF(ISBLANK('Data Entry'!$±$819), "", 'Data Entry'!$±$819)</f>
      </c>
      <c r="DJ819">
        <f>IF(ISBLANK('Data Entry'!$²$819), "", 'Data Entry'!$²$819)</f>
      </c>
      <c r="DK819">
        <f>IF(ISBLANK('Data Entry'!$³$819), "", 'Data Entry'!$³$819)</f>
      </c>
      <c r="DL819">
        <f>IF(ISBLANK('Data Entry'!$´$819), "", 'Data Entry'!$´$819)</f>
      </c>
      <c r="DM819">
        <f>IF(ISBLANK('Data Entry'!$µ$819), "", 'Data Entry'!$µ$819)</f>
      </c>
      <c r="DN819">
        <f>IF(ISBLANK('Data Entry'!$¶$819), "", 'Data Entry'!$¶$819)</f>
      </c>
      <c r="DO819">
        <f>IF(ISBLANK('Data Entry'!$·$819), "", 'Data Entry'!$·$819)</f>
      </c>
      <c r="DP819">
        <f>IF(ISBLANK('Data Entry'!$¸$819), "", 'Data Entry'!$¸$819)</f>
      </c>
      <c r="DQ819">
        <f>IF(ISBLANK('Data Entry'!$¹$819), "", 'Data Entry'!$¹$819)</f>
      </c>
      <c r="DR819">
        <f>IF(ISBLANK('Data Entry'!$º$819), "", 'Data Entry'!$º$819)</f>
      </c>
      <c r="DS819">
        <f>IF(ISBLANK('Data Entry'!$»$819), "", 'Data Entry'!$»$819)</f>
      </c>
      <c r="DT819">
        <f>IF(ISBLANK('Data Entry'!$¼$819), "", 'Data Entry'!$¼$819)</f>
      </c>
      <c r="DU819">
        <f>IF(ISBLANK('Data Entry'!$½$819), "", 'Data Entry'!$½$819)</f>
      </c>
      <c r="DV819">
        <f>IF(ISBLANK('Data Entry'!$¾$819), "", 'Data Entry'!$¾$819)</f>
      </c>
      <c r="DW819">
        <f>IF(ISBLANK('Data Entry'!$¿$819), "", 'Data Entry'!$¿$819)</f>
      </c>
      <c r="DX819">
        <f>IF(ISBLANK('Data Entry'!$À$819), "", 'Data Entry'!$À$819)</f>
      </c>
      <c r="DY819">
        <f>IF(ISBLANK('Data Entry'!$Á$819), "", 'Data Entry'!$Á$819)</f>
      </c>
      <c r="DZ819">
        <f>IF(ISBLANK('Data Entry'!$Â$819), "", 'Data Entry'!$Â$819)</f>
      </c>
      <c r="EA819">
        <f>IF(ISBLANK('Data Entry'!$Ã$819), "", 'Data Entry'!$Ã$819)</f>
      </c>
      <c r="EB819">
        <f>IF(ISBLANK('Data Entry'!$Ä$819), "", 'Data Entry'!$Ä$819)</f>
      </c>
      <c r="EC819">
        <f>IF(ISBLANK('Data Entry'!$Å$819), "", 'Data Entry'!$Å$819)</f>
      </c>
      <c r="ED819">
        <f>IF(ISBLANK('Data Entry'!$Æ$819), "", 'Data Entry'!$Æ$819)</f>
      </c>
      <c r="EE819">
        <f>IF(ISBLANK('Data Entry'!$Ç$819), "", 'Data Entry'!$Ç$819)</f>
      </c>
      <c r="EF819">
        <f>IF(ISBLANK('Data Entry'!$È$819), "", 'Data Entry'!$È$819)</f>
      </c>
      <c r="EG819">
        <f>IF(ISBLANK('Data Entry'!$É$819), "", 'Data Entry'!$É$819)</f>
      </c>
      <c r="EH819">
        <f>IF(ISBLANK('Data Entry'!$Ê$819), "", 'Data Entry'!$Ê$819)</f>
      </c>
      <c r="EI819">
        <f>IF(ISBLANK('Data Entry'!$Ë$819), "", 'Data Entry'!$Ë$819)</f>
      </c>
      <c r="EJ819">
        <f>IF(ISBLANK('Data Entry'!$Ì$819), "", 'Data Entry'!$Ì$819)</f>
      </c>
      <c r="EK819">
        <f>IF(ISBLANK('Data Entry'!$Í$819), "", 'Data Entry'!$Í$819)</f>
      </c>
      <c r="EL819">
        <f>IF(ISBLANK('Data Entry'!$Î$819), "", 'Data Entry'!$Î$819)</f>
      </c>
      <c r="EM819">
        <f>IF(ISBLANK('Data Entry'!$Ï$819), "", 'Data Entry'!$Ï$819)</f>
      </c>
      <c r="EN819">
        <f>IF(ISBLANK('Data Entry'!$Ð$819), "", 'Data Entry'!$Ð$819)</f>
      </c>
      <c r="EO819">
        <f>IF(ISBLANK('Data Entry'!$Ñ$819), "", 'Data Entry'!$Ñ$819)</f>
      </c>
      <c r="EP819">
        <f>IF(ISBLANK('Data Entry'!$Ò$819), "", 'Data Entry'!$Ò$819)</f>
      </c>
      <c r="EQ819">
        <f>IF(ISBLANK('Data Entry'!$Ó$819), "", 'Data Entry'!$Ó$819)</f>
      </c>
      <c r="ER819">
        <f>IF(ISBLANK('Data Entry'!$Ô$819), "", 'Data Entry'!$Ô$819)</f>
      </c>
      <c r="ES819">
        <f>IF(ISBLANK('Data Entry'!$Õ$819), "", 'Data Entry'!$Õ$819)</f>
      </c>
      <c r="ET819">
        <f>IF(ISBLANK('Data Entry'!$Ö$819), "", 'Data Entry'!$Ö$819)</f>
      </c>
      <c r="EU819">
        <f>IF(ISBLANK('Data Entry'!$×$819), "", 'Data Entry'!$×$819)</f>
      </c>
      <c r="EV819">
        <f>IF(ISBLANK('Data Entry'!$Ø$819), "", 'Data Entry'!$Ø$819)</f>
      </c>
      <c r="EW819">
        <f>IF(ISBLANK('Data Entry'!$Ù$819), "", 'Data Entry'!$Ù$819)</f>
      </c>
      <c r="EX819">
        <f>IF(ISBLANK('Data Entry'!$Ú$819), "", 'Data Entry'!$Ú$819)</f>
      </c>
      <c r="EY819">
        <f>IF(ISBLANK('Data Entry'!$Û$819), "", 'Data Entry'!$Û$819)</f>
      </c>
      <c r="EZ819">
        <f>IF(ISBLANK('Data Entry'!$Ü$819), "", 'Data Entry'!$Ü$819)</f>
      </c>
      <c r="FA819">
        <f>IF(ISBLANK('Data Entry'!$Ý$819), "", 'Data Entry'!$Ý$819)</f>
      </c>
      <c r="FB819">
        <f>IF(ISBLANK('Data Entry'!$Þ$819), "", 'Data Entry'!$Þ$819)</f>
      </c>
      <c r="FC819">
        <f>IF(ISBLANK('Data Entry'!$ß$819), "", 'Data Entry'!$ß$819)</f>
      </c>
      <c r="FD819">
        <f>IF(ISBLANK('Data Entry'!$à$819), "", 'Data Entry'!$à$819)</f>
      </c>
      <c r="FE819">
        <f>IF(ISBLANK('Data Entry'!$á$819), "", 'Data Entry'!$á$819)</f>
      </c>
      <c r="FF819">
        <f>IF(ISBLANK('Data Entry'!$â$819), "", 'Data Entry'!$â$819)</f>
      </c>
      <c r="FG819">
        <f>IF(ISBLANK('Data Entry'!$ã$819), "", 'Data Entry'!$ã$819)</f>
      </c>
      <c r="FH819">
        <f>IF(ISBLANK('Data Entry'!$ä$819), "", 'Data Entry'!$ä$819)</f>
      </c>
      <c r="FI819">
        <f>IF(ISBLANK('Data Entry'!$å$819), "", 'Data Entry'!$å$819)</f>
      </c>
      <c r="FJ819">
        <f>IF(ISBLANK('Data Entry'!$æ$819), "", 'Data Entry'!$æ$819)</f>
      </c>
      <c r="FK819">
        <f>IF(ISBLANK('Data Entry'!$ç$819), "", 'Data Entry'!$ç$819)</f>
      </c>
      <c r="FL819">
        <f>IF(ISBLANK('Data Entry'!$è$819), "", 'Data Entry'!$è$819)</f>
      </c>
      <c r="FM819">
        <f>IF(ISBLANK('Data Entry'!$é$819), "", 'Data Entry'!$é$819)</f>
      </c>
      <c r="FN819">
        <f>IF(ISBLANK('Data Entry'!$ê$819), "", 'Data Entry'!$ê$819)</f>
      </c>
      <c r="FO819">
        <f>IF(ISBLANK('Data Entry'!$ë$819), "", 'Data Entry'!$ë$819)</f>
      </c>
      <c r="FP819">
        <f>IF(ISBLANK('Data Entry'!$ì$819), "", 'Data Entry'!$ì$819)</f>
      </c>
      <c r="FQ819">
        <f>IF(ISBLANK('Data Entry'!$í$819), "", 'Data Entry'!$í$819)</f>
      </c>
      <c r="FR819">
        <f>IF(ISBLANK('Data Entry'!$î$819), "", 'Data Entry'!$î$819)</f>
      </c>
      <c r="FS819">
        <f>IF(ISBLANK('Data Entry'!$ï$819), "", 'Data Entry'!$ï$819)</f>
      </c>
      <c r="FT819">
        <f>IF(ISBLANK('Data Entry'!$ð$819), "", 'Data Entry'!$ð$819)</f>
      </c>
      <c r="FU819">
        <f>IF(ISBLANK('Data Entry'!$ñ$819), "", 'Data Entry'!$ñ$819)</f>
      </c>
      <c r="FV819">
        <f>IF(ISBLANK('Data Entry'!$ò$819), "", 'Data Entry'!$ò$819)</f>
      </c>
      <c r="FW819">
        <f>IF(ISBLANK('Data Entry'!$ó$819), "", 'Data Entry'!$ó$819)</f>
      </c>
      <c r="FX819">
        <f>IF(ISBLANK('Data Entry'!$ô$819), "", 'Data Entry'!$ô$819)</f>
      </c>
      <c r="FY819">
        <f>IF(ISBLANK('Data Entry'!$õ$819), "", 'Data Entry'!$õ$819)</f>
      </c>
      <c r="FZ819">
        <f>IF(ISBLANK('Data Entry'!$ö$819), "", 'Data Entry'!$ö$819)</f>
      </c>
      <c r="GA819">
        <f>IF(ISBLANK('Data Entry'!$÷$819), "", 'Data Entry'!$÷$819)</f>
      </c>
      <c r="GB819">
        <f>IF(ISBLANK('Data Entry'!$ø$819), "", 'Data Entry'!$ø$819)</f>
      </c>
      <c r="GC819">
        <f>IF(ISBLANK('Data Entry'!$ù$819), "", 'Data Entry'!$ù$819)</f>
      </c>
      <c r="GD819">
        <f>IF(ISBLANK('Data Entry'!$ú$819), "", 'Data Entry'!$ú$819)</f>
      </c>
      <c r="GE819">
        <f>IF(ISBLANK('Data Entry'!$û$819), "", 'Data Entry'!$û$819)</f>
      </c>
      <c r="GF819">
        <f>IF(ISBLANK('Data Entry'!$ü$819), "", 'Data Entry'!$ü$819)</f>
      </c>
      <c r="GG819">
        <f>IF(ISBLANK('Data Entry'!$ý$819), "", 'Data Entry'!$ý$819)</f>
      </c>
      <c r="GH819">
        <f>IF(ISBLANK('Data Entry'!$þ$819), "", 'Data Entry'!$þ$819)</f>
      </c>
      <c r="GI819">
        <f>IF(ISBLANK('Data Entry'!$ÿ$819), "", 'Data Entry'!$ÿ$819)</f>
      </c>
      <c r="GJ819">
        <f>IF(ISBLANK('Data Entry'!$Ā$819), "", 'Data Entry'!$Ā$819)</f>
      </c>
      <c r="GK819">
        <f>IF(ISBLANK('Data Entry'!$ā$819), "", 'Data Entry'!$ā$819)</f>
      </c>
      <c r="GL819">
        <f>IF(ISBLANK('Data Entry'!$Ă$819), "", 'Data Entry'!$Ă$819)</f>
      </c>
      <c r="GM819">
        <f>IF(ISBLANK('Data Entry'!$ă$819), "", 'Data Entry'!$ă$819)</f>
      </c>
      <c r="GN819">
        <f>IF(ISBLANK('Data Entry'!$Ą$819), "", 'Data Entry'!$Ą$819)</f>
      </c>
      <c r="GO819">
        <f>IF(ISBLANK('Data Entry'!$ą$819), "", 'Data Entry'!$ą$819)</f>
      </c>
      <c r="GP819">
        <f>IF(ISBLANK('Data Entry'!$Ć$819), "", 'Data Entry'!$Ć$819)</f>
      </c>
      <c r="GQ819">
        <f>IF(ISBLANK('Data Entry'!$ć$819), "", 'Data Entry'!$ć$819)</f>
      </c>
      <c r="GR819">
        <f>IF(ISBLANK('Data Entry'!$Ĉ$819), "", 'Data Entry'!$Ĉ$819)</f>
      </c>
      <c r="GS819">
        <f>IF(ISBLANK('Data Entry'!$ĉ$819), "", 'Data Entry'!$ĉ$819)</f>
      </c>
      <c r="GT819">
        <f>IF(ISBLANK('Data Entry'!$Ċ$819), "", 'Data Entry'!$Ċ$819)</f>
      </c>
      <c r="GU819">
        <f>IF(ISBLANK('Data Entry'!$ċ$819), "", 'Data Entry'!$ċ$819)</f>
      </c>
      <c r="GV819">
        <f>IF(ISBLANK('Data Entry'!$Č$819), "", 'Data Entry'!$Č$819)</f>
      </c>
      <c r="GW819">
        <f>IF(ISBLANK('Data Entry'!$č$819), "", 'Data Entry'!$č$819)</f>
      </c>
      <c r="GX819">
        <f>IF(ISBLANK('Data Entry'!$Ď$819), "", 'Data Entry'!$Ď$819)</f>
      </c>
      <c r="GY819">
        <f>IF(ISBLANK('Data Entry'!$ď$819), "", 'Data Entry'!$ď$819)</f>
      </c>
      <c r="GZ819">
        <f>IF(ISBLANK('Data Entry'!$Đ$819), "", 'Data Entry'!$Đ$819)</f>
      </c>
      <c r="HA819">
        <f>IF(ISBLANK('Data Entry'!$đ$819), "", 'Data Entry'!$đ$819)</f>
      </c>
      <c r="HB819">
        <f>IF(ISBLANK('Data Entry'!$Ē$819), "", 'Data Entry'!$Ē$819)</f>
      </c>
      <c r="HC819">
        <f>IF(ISBLANK('Data Entry'!$ē$819), "", 'Data Entry'!$ē$819)</f>
      </c>
      <c r="HD819">
        <f>IF(ISBLANK('Data Entry'!$Ĕ$819), "", 'Data Entry'!$Ĕ$819)</f>
      </c>
      <c r="HE819">
        <f>IF(ISBLANK('Data Entry'!$ĕ$819), "", 'Data Entry'!$ĕ$819)</f>
      </c>
      <c r="HF819">
        <f>IF(ISBLANK('Data Entry'!$Ė$819), "", 'Data Entry'!$Ė$819)</f>
      </c>
      <c r="HG819">
        <f>IF(ISBLANK('Data Entry'!$ė$819), "", 'Data Entry'!$ė$819)</f>
      </c>
      <c r="HH819">
        <f>IF(ISBLANK('Data Entry'!$Ę$819), "", 'Data Entry'!$Ę$819)</f>
      </c>
      <c r="HI819">
        <f>IF(ISBLANK('Data Entry'!$ę$819), "", 'Data Entry'!$ę$819)</f>
      </c>
      <c r="HJ819">
        <f>IF(ISBLANK('Data Entry'!$Ě$819), "", 'Data Entry'!$Ě$819)</f>
      </c>
      <c r="HK819">
        <f>IF(ISBLANK('Data Entry'!$ě$819), "", 'Data Entry'!$ě$819)</f>
      </c>
      <c r="HL819">
        <f>IF(ISBLANK('Data Entry'!$Ĝ$819), "", 'Data Entry'!$Ĝ$819)</f>
      </c>
      <c r="HM819">
        <f>IF(ISBLANK('Data Entry'!$ĝ$819), "", 'Data Entry'!$ĝ$819)</f>
      </c>
      <c r="HN819">
        <f>IF(ISBLANK('Data Entry'!$Ğ$819), "", 'Data Entry'!$Ğ$819)</f>
      </c>
      <c r="HO819">
        <f>IF(ISBLANK('Data Entry'!$ğ$819), "", 'Data Entry'!$ğ$819)</f>
      </c>
      <c r="HP819">
        <f>IF(ISBLANK('Data Entry'!$Ġ$819), "", 'Data Entry'!$Ġ$819)</f>
      </c>
      <c r="HQ819">
        <f>IF(ISBLANK('Data Entry'!$ġ$819), "", 'Data Entry'!$ġ$819)</f>
      </c>
      <c r="HR819">
        <f>IF(ISBLANK('Data Entry'!$Ģ$819), "", 'Data Entry'!$Ģ$819)</f>
      </c>
      <c r="HS819">
        <f>IF(ISBLANK('Data Entry'!$ģ$819), "", 'Data Entry'!$ģ$819)</f>
      </c>
      <c r="HT819">
        <f>IF(ISBLANK('Data Entry'!$Ĥ$819), "", 'Data Entry'!$Ĥ$819)</f>
      </c>
      <c r="HU819">
        <f>IF(ISBLANK('Data Entry'!$ĥ$819), "", 'Data Entry'!$ĥ$819)</f>
      </c>
      <c r="HV819">
        <f>IF(ISBLANK('Data Entry'!$Ħ$819), "", 'Data Entry'!$Ħ$819)</f>
      </c>
      <c r="HW819">
        <f>IF(ISBLANK('Data Entry'!$ħ$819), "", 'Data Entry'!$ħ$819)</f>
      </c>
      <c r="HX819">
        <f>IF(ISBLANK('Data Entry'!$Ĩ$819), "", 'Data Entry'!$Ĩ$819)</f>
      </c>
      <c r="HY819">
        <f>IF(ISBLANK('Data Entry'!$ĩ$819), "", 'Data Entry'!$ĩ$819)</f>
      </c>
      <c r="HZ819">
        <f>IF(ISBLANK('Data Entry'!$Ī$819), "", 'Data Entry'!$Ī$819)</f>
      </c>
      <c r="IA819">
        <f>IF(ISBLANK('Data Entry'!$ī$819), "", 'Data Entry'!$ī$819)</f>
      </c>
      <c r="IB819">
        <f>IF(ISBLANK('Data Entry'!$Ĭ$819), "", 'Data Entry'!$Ĭ$819)</f>
      </c>
      <c r="IC819">
        <f>IF(ISBLANK('Data Entry'!$ĭ$819), "", 'Data Entry'!$ĭ$819)</f>
      </c>
      <c r="ID819">
        <f>IF(ISBLANK('Data Entry'!$Į$819), "", 'Data Entry'!$Į$819)</f>
      </c>
      <c r="IE819">
        <f>IF(ISBLANK('Data Entry'!$į$819), "", 'Data Entry'!$į$819)</f>
      </c>
      <c r="IF819">
        <f>IF(ISBLANK('Data Entry'!$İ$819), "", 'Data Entry'!$İ$819)</f>
      </c>
      <c r="IG819">
        <f>IF(ISBLANK('Data Entry'!$ı$819), "", 'Data Entry'!$ı$819)</f>
      </c>
      <c r="IH819">
        <f>IF(ISBLANK('Data Entry'!$Ĳ$819), "", 'Data Entry'!$Ĳ$819)</f>
      </c>
      <c r="II819">
        <f>IF(ISBLANK('Data Entry'!$ĳ$819), "", 'Data Entry'!$ĳ$819)</f>
      </c>
      <c r="IJ819">
        <f>IF(ISBLANK('Data Entry'!$Ĵ$819), "", 'Data Entry'!$Ĵ$819)</f>
      </c>
      <c r="IK819">
        <f>IF(ISBLANK('Data Entry'!$ĵ$819), "", 'Data Entry'!$ĵ$819)</f>
      </c>
      <c r="IL819">
        <f>IF(ISBLANK('Data Entry'!$Ķ$819), "", 'Data Entry'!$Ķ$819)</f>
      </c>
      <c r="IM819">
        <f>IF(ISBLANK('Data Entry'!$ķ$819), "", 'Data Entry'!$ķ$819)</f>
      </c>
      <c r="IN819">
        <f>IF(ISBLANK('Data Entry'!$ĸ$819), "", 'Data Entry'!$ĸ$819)</f>
      </c>
      <c r="IO819">
        <f>IF(ISBLANK('Data Entry'!$Ĺ$819), "", 'Data Entry'!$Ĺ$819)</f>
      </c>
      <c r="IP819">
        <f>IF(ISBLANK('Data Entry'!$ĺ$819), "", 'Data Entry'!$ĺ$819)</f>
      </c>
      <c r="IQ819">
        <f>IF(ISBLANK('Data Entry'!$Ļ$819), "", 'Data Entry'!$Ļ$819)</f>
      </c>
      <c r="IR819">
        <f>IF(ISBLANK('Data Entry'!$ļ$819), "", 'Data Entry'!$ļ$819)</f>
      </c>
      <c r="IS819">
        <f>IF(ISBLANK('Data Entry'!$Ľ$819), "", 'Data Entry'!$Ľ$819)</f>
      </c>
      <c r="IT819">
        <f>IF(ISBLANK('Data Entry'!$ľ$819), "", 'Data Entry'!$ľ$819)</f>
      </c>
    </row>
    <row r="820" spans="1:254" x14ac:dyDescent="0.25">
      <c r="A820">
        <f>IF(ISBLANK('Data Entry'!$A$820), "", 'Data Entry'!$A$820)</f>
      </c>
      <c r="B820">
        <f>IF(ISBLANK('Data Entry'!$B$820), "", 'Data Entry'!$B$820)</f>
      </c>
      <c r="C820">
        <f>IF(ISBLANK('Data Entry'!$C$820), "", 'Data Entry'!$C$820)</f>
      </c>
      <c r="D820">
        <f>IF(ISBLANK('Data Entry'!$D$820), "", 'Data Entry'!$D$820)</f>
      </c>
      <c r="E820">
        <f>IF(ISBLANK('Data Entry'!$E$820), "", 'Data Entry'!$E$820)</f>
      </c>
      <c r="F820">
        <f>IF(ISBLANK('Data Entry'!$F$820), "", 'Data Entry'!$F$820)</f>
      </c>
      <c r="G820">
        <f>IF(ISBLANK('Data Entry'!$G$820), "", 'Data Entry'!$G$820)</f>
      </c>
      <c r="H820">
        <f>IF(ISBLANK('Data Entry'!$H$820), "", 'Data Entry'!$H$820)</f>
      </c>
      <c r="I820">
        <f>IF(ISBLANK('Data Entry'!$I$820), "", 'Data Entry'!$I$820)</f>
      </c>
      <c r="J820">
        <f>IF(ISBLANK('Data Entry'!$J$820), "", 'Data Entry'!$J$820)</f>
      </c>
      <c r="K820">
        <f>IF(ISBLANK('Data Entry'!$K$820), "", 'Data Entry'!$K$820)</f>
      </c>
      <c r="L820">
        <f>IF(ISBLANK('Data Entry'!$L$820), "", 'Data Entry'!$L$820)</f>
      </c>
      <c r="M820">
        <f>IF(ISBLANK('Data Entry'!$M$820), "", 'Data Entry'!$M$820)</f>
      </c>
      <c r="N820">
        <f>IF(ISBLANK('Data Entry'!$N$820), "", 'Data Entry'!$N$820)</f>
      </c>
      <c r="O820">
        <f>IF(ISBLANK('Data Entry'!$O$820), "", 'Data Entry'!$O$820)</f>
      </c>
      <c r="P820">
        <f>IF(ISBLANK('Data Entry'!$P$820), "", 'Data Entry'!$P$820)</f>
      </c>
      <c r="Q820">
        <f>IF(ISBLANK('Data Entry'!$Q$820), "", 'Data Entry'!$Q$820)</f>
      </c>
      <c r="R820">
        <f>IF(ISBLANK('Data Entry'!$R$820), "", 'Data Entry'!$R$820)</f>
      </c>
      <c r="S820">
        <f>IF(ISBLANK('Data Entry'!$S$820), "", 'Data Entry'!$S$820)</f>
      </c>
      <c r="T820">
        <f>IF(ISBLANK('Data Entry'!$T$820), "", 'Data Entry'!$T$820)</f>
      </c>
      <c r="U820">
        <f>IF(ISBLANK('Data Entry'!$U$820), "", 'Data Entry'!$U$820)</f>
      </c>
      <c r="V820">
        <f>IF(ISBLANK('Data Entry'!$V$820), "", 'Data Entry'!$V$820)</f>
      </c>
      <c r="W820">
        <f>IF(ISBLANK('Data Entry'!$W$820), "", 'Data Entry'!$W$820)</f>
      </c>
      <c r="X820">
        <f>IF(ISBLANK('Data Entry'!$X$820), "", 'Data Entry'!$X$820)</f>
      </c>
      <c r="Y820">
        <f>IF(ISBLANK('Data Entry'!$Y$820), "", 'Data Entry'!$Y$820)</f>
      </c>
      <c r="Z820">
        <f>IF(ISBLANK('Data Entry'!$Z$820), "", 'Data Entry'!$Z$820)</f>
      </c>
      <c r="AA820">
        <f>IF(ISBLANK('Data Entry'!$[$820), "", 'Data Entry'!$[$820)</f>
      </c>
      <c r="AB820">
        <f>IF(ISBLANK('Data Entry'!$\$820), "", 'Data Entry'!$\$820)</f>
      </c>
      <c r="AC820">
        <f>IF(ISBLANK('Data Entry'!$]$820), "", 'Data Entry'!$]$820)</f>
      </c>
      <c r="AD820">
        <f>IF(ISBLANK('Data Entry'!$^$820), "", 'Data Entry'!$^$820)</f>
      </c>
      <c r="AE820">
        <f>IF(ISBLANK('Data Entry'!$_$820), "", 'Data Entry'!$_$820)</f>
      </c>
      <c r="AF820">
        <f>IF(ISBLANK('Data Entry'!$`$820), "", 'Data Entry'!$`$820)</f>
      </c>
      <c r="AG820">
        <f>IF(ISBLANK('Data Entry'!$a$820), "", 'Data Entry'!$a$820)</f>
      </c>
      <c r="AH820">
        <f>IF(ISBLANK('Data Entry'!$b$820), "", 'Data Entry'!$b$820)</f>
      </c>
      <c r="AI820">
        <f>IF(ISBLANK('Data Entry'!$c$820), "", 'Data Entry'!$c$820)</f>
      </c>
      <c r="AJ820">
        <f>IF(ISBLANK('Data Entry'!$d$820), "", 'Data Entry'!$d$820)</f>
      </c>
      <c r="AK820">
        <f>IF(ISBLANK('Data Entry'!$e$820), "", 'Data Entry'!$e$820)</f>
      </c>
      <c r="AL820">
        <f>IF(ISBLANK('Data Entry'!$f$820), "", 'Data Entry'!$f$820)</f>
      </c>
      <c r="AM820">
        <f>IF(ISBLANK('Data Entry'!$g$820), "", 'Data Entry'!$g$820)</f>
      </c>
      <c r="AN820">
        <f>IF(ISBLANK('Data Entry'!$h$820), "", 'Data Entry'!$h$820)</f>
      </c>
      <c r="AO820">
        <f>IF(ISBLANK('Data Entry'!$i$820), "", 'Data Entry'!$i$820)</f>
      </c>
      <c r="AP820">
        <f>IF(ISBLANK('Data Entry'!$j$820), "", 'Data Entry'!$j$820)</f>
      </c>
      <c r="AQ820">
        <f>IF(ISBLANK('Data Entry'!$k$820), "", 'Data Entry'!$k$820)</f>
      </c>
      <c r="AR820">
        <f>IF(ISBLANK('Data Entry'!$l$820), "", 'Data Entry'!$l$820)</f>
      </c>
      <c r="AS820">
        <f>IF(ISBLANK('Data Entry'!$m$820), "", 'Data Entry'!$m$820)</f>
      </c>
      <c r="AT820">
        <f>IF(ISBLANK('Data Entry'!$n$820), "", 'Data Entry'!$n$820)</f>
      </c>
      <c r="AU820">
        <f>IF(ISBLANK('Data Entry'!$o$820), "", 'Data Entry'!$o$820)</f>
      </c>
      <c r="AV820">
        <f>IF(ISBLANK('Data Entry'!$p$820), "", 'Data Entry'!$p$820)</f>
      </c>
      <c r="AW820">
        <f>IF(ISBLANK('Data Entry'!$q$820), "", 'Data Entry'!$q$820)</f>
      </c>
      <c r="AX820">
        <f>IF(ISBLANK('Data Entry'!$r$820), "", 'Data Entry'!$r$820)</f>
      </c>
      <c r="AY820">
        <f>IF(ISBLANK('Data Entry'!$s$820), "", 'Data Entry'!$s$820)</f>
      </c>
      <c r="AZ820">
        <f>IF(ISBLANK('Data Entry'!$t$820), "", 'Data Entry'!$t$820)</f>
      </c>
      <c r="BA820">
        <f>IF(ISBLANK('Data Entry'!$u$820), "", 'Data Entry'!$u$820)</f>
      </c>
      <c r="BB820">
        <f>IF(ISBLANK('Data Entry'!$v$820), "", 'Data Entry'!$v$820)</f>
      </c>
      <c r="BC820">
        <f>IF(ISBLANK('Data Entry'!$w$820), "", 'Data Entry'!$w$820)</f>
      </c>
      <c r="BD820">
        <f>IF(ISBLANK('Data Entry'!$x$820), "", 'Data Entry'!$x$820)</f>
      </c>
      <c r="BE820">
        <f>IF(ISBLANK('Data Entry'!$y$820), "", 'Data Entry'!$y$820)</f>
      </c>
      <c r="BF820">
        <f>IF(ISBLANK('Data Entry'!$z$820), "", 'Data Entry'!$z$820)</f>
      </c>
      <c r="BG820">
        <f>IF(ISBLANK('Data Entry'!${$820), "", 'Data Entry'!${$820)</f>
      </c>
      <c r="BH820">
        <f>IF(ISBLANK('Data Entry'!$|$820), "", 'Data Entry'!$|$820)</f>
      </c>
      <c r="BI820">
        <f>IF(ISBLANK('Data Entry'!$}$820), "", 'Data Entry'!$}$820)</f>
      </c>
      <c r="BJ820">
        <f>IF(ISBLANK('Data Entry'!$~$820), "", 'Data Entry'!$~$820)</f>
      </c>
      <c r="BK820">
        <f>IF(ISBLANK('Data Entry'!$$820), "", 'Data Entry'!$$820)</f>
      </c>
      <c r="BL820">
        <f>IF(ISBLANK('Data Entry'!$$820), "", 'Data Entry'!$$820)</f>
      </c>
      <c r="BM820">
        <f>IF(ISBLANK('Data Entry'!$$820), "", 'Data Entry'!$$820)</f>
      </c>
      <c r="BN820">
        <f>IF(ISBLANK('Data Entry'!$$820), "", 'Data Entry'!$$820)</f>
      </c>
      <c r="BO820">
        <f>IF(ISBLANK('Data Entry'!$$820), "", 'Data Entry'!$$820)</f>
      </c>
      <c r="BP820">
        <f>IF(ISBLANK('Data Entry'!$$820), "", 'Data Entry'!$$820)</f>
      </c>
      <c r="BQ820">
        <f>IF(ISBLANK('Data Entry'!$$820), "", 'Data Entry'!$$820)</f>
      </c>
      <c r="BR820">
        <f>IF(ISBLANK('Data Entry'!$$820), "", 'Data Entry'!$$820)</f>
      </c>
      <c r="BS820">
        <f>IF(ISBLANK('Data Entry'!$$820), "", 'Data Entry'!$$820)</f>
      </c>
      <c r="BT820">
        <f>IF(ISBLANK('Data Entry'!$$820), "", 'Data Entry'!$$820)</f>
      </c>
      <c r="BU820">
        <f>IF(ISBLANK('Data Entry'!$$820), "", 'Data Entry'!$$820)</f>
      </c>
      <c r="BV820">
        <f>IF(ISBLANK('Data Entry'!$$820), "", 'Data Entry'!$$820)</f>
      </c>
      <c r="BW820">
        <f>IF(ISBLANK('Data Entry'!$$820), "", 'Data Entry'!$$820)</f>
      </c>
      <c r="BX820">
        <f>IF(ISBLANK('Data Entry'!$$820), "", 'Data Entry'!$$820)</f>
      </c>
      <c r="BY820">
        <f>IF(ISBLANK('Data Entry'!$$820), "", 'Data Entry'!$$820)</f>
      </c>
      <c r="BZ820">
        <f>IF(ISBLANK('Data Entry'!$$820), "", 'Data Entry'!$$820)</f>
      </c>
      <c r="CA820">
        <f>IF(ISBLANK('Data Entry'!$$820), "", 'Data Entry'!$$820)</f>
      </c>
      <c r="CB820">
        <f>IF(ISBLANK('Data Entry'!$$820), "", 'Data Entry'!$$820)</f>
      </c>
      <c r="CC820">
        <f>IF(ISBLANK('Data Entry'!$$820), "", 'Data Entry'!$$820)</f>
      </c>
      <c r="CD820">
        <f>IF(ISBLANK('Data Entry'!$$820), "", 'Data Entry'!$$820)</f>
      </c>
      <c r="CE820">
        <f>IF(ISBLANK('Data Entry'!$$820), "", 'Data Entry'!$$820)</f>
      </c>
      <c r="CF820">
        <f>IF(ISBLANK('Data Entry'!$$820), "", 'Data Entry'!$$820)</f>
      </c>
      <c r="CG820">
        <f>IF(ISBLANK('Data Entry'!$$820), "", 'Data Entry'!$$820)</f>
      </c>
      <c r="CH820">
        <f>IF(ISBLANK('Data Entry'!$$820), "", 'Data Entry'!$$820)</f>
      </c>
      <c r="CI820">
        <f>IF(ISBLANK('Data Entry'!$$820), "", 'Data Entry'!$$820)</f>
      </c>
      <c r="CJ820">
        <f>IF(ISBLANK('Data Entry'!$$820), "", 'Data Entry'!$$820)</f>
      </c>
      <c r="CK820">
        <f>IF(ISBLANK('Data Entry'!$$820), "", 'Data Entry'!$$820)</f>
      </c>
      <c r="CL820">
        <f>IF(ISBLANK('Data Entry'!$$820), "", 'Data Entry'!$$820)</f>
      </c>
      <c r="CM820">
        <f>IF(ISBLANK('Data Entry'!$$820), "", 'Data Entry'!$$820)</f>
      </c>
      <c r="CN820">
        <f>IF(ISBLANK('Data Entry'!$$820), "", 'Data Entry'!$$820)</f>
      </c>
      <c r="CO820">
        <f>IF(ISBLANK('Data Entry'!$$820), "", 'Data Entry'!$$820)</f>
      </c>
      <c r="CP820">
        <f>IF(ISBLANK('Data Entry'!$$820), "", 'Data Entry'!$$820)</f>
      </c>
      <c r="CQ820">
        <f>IF(ISBLANK('Data Entry'!$$820), "", 'Data Entry'!$$820)</f>
      </c>
      <c r="CR820">
        <f>IF(ISBLANK('Data Entry'!$ $820), "", 'Data Entry'!$ $820)</f>
      </c>
      <c r="CS820">
        <f>IF(ISBLANK('Data Entry'!$¡$820), "", 'Data Entry'!$¡$820)</f>
      </c>
      <c r="CT820">
        <f>IF(ISBLANK('Data Entry'!$¢$820), "", 'Data Entry'!$¢$820)</f>
      </c>
      <c r="CU820">
        <f>IF(ISBLANK('Data Entry'!$£$820), "", 'Data Entry'!$£$820)</f>
      </c>
      <c r="CV820">
        <f>IF(ISBLANK('Data Entry'!$¤$820), "", 'Data Entry'!$¤$820)</f>
      </c>
      <c r="CW820">
        <f>IF(ISBLANK('Data Entry'!$¥$820), "", 'Data Entry'!$¥$820)</f>
      </c>
      <c r="CX820">
        <f>IF(ISBLANK('Data Entry'!$¦$820), "", 'Data Entry'!$¦$820)</f>
      </c>
      <c r="CY820">
        <f>IF(ISBLANK('Data Entry'!$§$820), "", 'Data Entry'!$§$820)</f>
      </c>
      <c r="CZ820">
        <f>IF(ISBLANK('Data Entry'!$¨$820), "", 'Data Entry'!$¨$820)</f>
      </c>
      <c r="DA820">
        <f>IF(ISBLANK('Data Entry'!$©$820), "", 'Data Entry'!$©$820)</f>
      </c>
      <c r="DB820">
        <f>IF(ISBLANK('Data Entry'!$ª$820), "", 'Data Entry'!$ª$820)</f>
      </c>
      <c r="DC820">
        <f>IF(ISBLANK('Data Entry'!$«$820), "", 'Data Entry'!$«$820)</f>
      </c>
      <c r="DD820">
        <f>IF(ISBLANK('Data Entry'!$¬$820), "", 'Data Entry'!$¬$820)</f>
      </c>
      <c r="DE820">
        <f>IF(ISBLANK('Data Entry'!$­$820), "", 'Data Entry'!$­$820)</f>
      </c>
      <c r="DF820">
        <f>IF(ISBLANK('Data Entry'!$®$820), "", 'Data Entry'!$®$820)</f>
      </c>
      <c r="DG820">
        <f>IF(ISBLANK('Data Entry'!$¯$820), "", 'Data Entry'!$¯$820)</f>
      </c>
      <c r="DH820">
        <f>IF(ISBLANK('Data Entry'!$°$820), "", 'Data Entry'!$°$820)</f>
      </c>
      <c r="DI820">
        <f>IF(ISBLANK('Data Entry'!$±$820), "", 'Data Entry'!$±$820)</f>
      </c>
      <c r="DJ820">
        <f>IF(ISBLANK('Data Entry'!$²$820), "", 'Data Entry'!$²$820)</f>
      </c>
      <c r="DK820">
        <f>IF(ISBLANK('Data Entry'!$³$820), "", 'Data Entry'!$³$820)</f>
      </c>
      <c r="DL820">
        <f>IF(ISBLANK('Data Entry'!$´$820), "", 'Data Entry'!$´$820)</f>
      </c>
      <c r="DM820">
        <f>IF(ISBLANK('Data Entry'!$µ$820), "", 'Data Entry'!$µ$820)</f>
      </c>
      <c r="DN820">
        <f>IF(ISBLANK('Data Entry'!$¶$820), "", 'Data Entry'!$¶$820)</f>
      </c>
      <c r="DO820">
        <f>IF(ISBLANK('Data Entry'!$·$820), "", 'Data Entry'!$·$820)</f>
      </c>
      <c r="DP820">
        <f>IF(ISBLANK('Data Entry'!$¸$820), "", 'Data Entry'!$¸$820)</f>
      </c>
      <c r="DQ820">
        <f>IF(ISBLANK('Data Entry'!$¹$820), "", 'Data Entry'!$¹$820)</f>
      </c>
      <c r="DR820">
        <f>IF(ISBLANK('Data Entry'!$º$820), "", 'Data Entry'!$º$820)</f>
      </c>
      <c r="DS820">
        <f>IF(ISBLANK('Data Entry'!$»$820), "", 'Data Entry'!$»$820)</f>
      </c>
      <c r="DT820">
        <f>IF(ISBLANK('Data Entry'!$¼$820), "", 'Data Entry'!$¼$820)</f>
      </c>
      <c r="DU820">
        <f>IF(ISBLANK('Data Entry'!$½$820), "", 'Data Entry'!$½$820)</f>
      </c>
      <c r="DV820">
        <f>IF(ISBLANK('Data Entry'!$¾$820), "", 'Data Entry'!$¾$820)</f>
      </c>
      <c r="DW820">
        <f>IF(ISBLANK('Data Entry'!$¿$820), "", 'Data Entry'!$¿$820)</f>
      </c>
      <c r="DX820">
        <f>IF(ISBLANK('Data Entry'!$À$820), "", 'Data Entry'!$À$820)</f>
      </c>
      <c r="DY820">
        <f>IF(ISBLANK('Data Entry'!$Á$820), "", 'Data Entry'!$Á$820)</f>
      </c>
      <c r="DZ820">
        <f>IF(ISBLANK('Data Entry'!$Â$820), "", 'Data Entry'!$Â$820)</f>
      </c>
      <c r="EA820">
        <f>IF(ISBLANK('Data Entry'!$Ã$820), "", 'Data Entry'!$Ã$820)</f>
      </c>
      <c r="EB820">
        <f>IF(ISBLANK('Data Entry'!$Ä$820), "", 'Data Entry'!$Ä$820)</f>
      </c>
      <c r="EC820">
        <f>IF(ISBLANK('Data Entry'!$Å$820), "", 'Data Entry'!$Å$820)</f>
      </c>
      <c r="ED820">
        <f>IF(ISBLANK('Data Entry'!$Æ$820), "", 'Data Entry'!$Æ$820)</f>
      </c>
      <c r="EE820">
        <f>IF(ISBLANK('Data Entry'!$Ç$820), "", 'Data Entry'!$Ç$820)</f>
      </c>
      <c r="EF820">
        <f>IF(ISBLANK('Data Entry'!$È$820), "", 'Data Entry'!$È$820)</f>
      </c>
      <c r="EG820">
        <f>IF(ISBLANK('Data Entry'!$É$820), "", 'Data Entry'!$É$820)</f>
      </c>
      <c r="EH820">
        <f>IF(ISBLANK('Data Entry'!$Ê$820), "", 'Data Entry'!$Ê$820)</f>
      </c>
      <c r="EI820">
        <f>IF(ISBLANK('Data Entry'!$Ë$820), "", 'Data Entry'!$Ë$820)</f>
      </c>
      <c r="EJ820">
        <f>IF(ISBLANK('Data Entry'!$Ì$820), "", 'Data Entry'!$Ì$820)</f>
      </c>
      <c r="EK820">
        <f>IF(ISBLANK('Data Entry'!$Í$820), "", 'Data Entry'!$Í$820)</f>
      </c>
      <c r="EL820">
        <f>IF(ISBLANK('Data Entry'!$Î$820), "", 'Data Entry'!$Î$820)</f>
      </c>
      <c r="EM820">
        <f>IF(ISBLANK('Data Entry'!$Ï$820), "", 'Data Entry'!$Ï$820)</f>
      </c>
      <c r="EN820">
        <f>IF(ISBLANK('Data Entry'!$Ð$820), "", 'Data Entry'!$Ð$820)</f>
      </c>
      <c r="EO820">
        <f>IF(ISBLANK('Data Entry'!$Ñ$820), "", 'Data Entry'!$Ñ$820)</f>
      </c>
      <c r="EP820">
        <f>IF(ISBLANK('Data Entry'!$Ò$820), "", 'Data Entry'!$Ò$820)</f>
      </c>
      <c r="EQ820">
        <f>IF(ISBLANK('Data Entry'!$Ó$820), "", 'Data Entry'!$Ó$820)</f>
      </c>
      <c r="ER820">
        <f>IF(ISBLANK('Data Entry'!$Ô$820), "", 'Data Entry'!$Ô$820)</f>
      </c>
      <c r="ES820">
        <f>IF(ISBLANK('Data Entry'!$Õ$820), "", 'Data Entry'!$Õ$820)</f>
      </c>
      <c r="ET820">
        <f>IF(ISBLANK('Data Entry'!$Ö$820), "", 'Data Entry'!$Ö$820)</f>
      </c>
      <c r="EU820">
        <f>IF(ISBLANK('Data Entry'!$×$820), "", 'Data Entry'!$×$820)</f>
      </c>
      <c r="EV820">
        <f>IF(ISBLANK('Data Entry'!$Ø$820), "", 'Data Entry'!$Ø$820)</f>
      </c>
      <c r="EW820">
        <f>IF(ISBLANK('Data Entry'!$Ù$820), "", 'Data Entry'!$Ù$820)</f>
      </c>
      <c r="EX820">
        <f>IF(ISBLANK('Data Entry'!$Ú$820), "", 'Data Entry'!$Ú$820)</f>
      </c>
      <c r="EY820">
        <f>IF(ISBLANK('Data Entry'!$Û$820), "", 'Data Entry'!$Û$820)</f>
      </c>
      <c r="EZ820">
        <f>IF(ISBLANK('Data Entry'!$Ü$820), "", 'Data Entry'!$Ü$820)</f>
      </c>
      <c r="FA820">
        <f>IF(ISBLANK('Data Entry'!$Ý$820), "", 'Data Entry'!$Ý$820)</f>
      </c>
      <c r="FB820">
        <f>IF(ISBLANK('Data Entry'!$Þ$820), "", 'Data Entry'!$Þ$820)</f>
      </c>
      <c r="FC820">
        <f>IF(ISBLANK('Data Entry'!$ß$820), "", 'Data Entry'!$ß$820)</f>
      </c>
      <c r="FD820">
        <f>IF(ISBLANK('Data Entry'!$à$820), "", 'Data Entry'!$à$820)</f>
      </c>
      <c r="FE820">
        <f>IF(ISBLANK('Data Entry'!$á$820), "", 'Data Entry'!$á$820)</f>
      </c>
      <c r="FF820">
        <f>IF(ISBLANK('Data Entry'!$â$820), "", 'Data Entry'!$â$820)</f>
      </c>
      <c r="FG820">
        <f>IF(ISBLANK('Data Entry'!$ã$820), "", 'Data Entry'!$ã$820)</f>
      </c>
      <c r="FH820">
        <f>IF(ISBLANK('Data Entry'!$ä$820), "", 'Data Entry'!$ä$820)</f>
      </c>
      <c r="FI820">
        <f>IF(ISBLANK('Data Entry'!$å$820), "", 'Data Entry'!$å$820)</f>
      </c>
      <c r="FJ820">
        <f>IF(ISBLANK('Data Entry'!$æ$820), "", 'Data Entry'!$æ$820)</f>
      </c>
      <c r="FK820">
        <f>IF(ISBLANK('Data Entry'!$ç$820), "", 'Data Entry'!$ç$820)</f>
      </c>
      <c r="FL820">
        <f>IF(ISBLANK('Data Entry'!$è$820), "", 'Data Entry'!$è$820)</f>
      </c>
      <c r="FM820">
        <f>IF(ISBLANK('Data Entry'!$é$820), "", 'Data Entry'!$é$820)</f>
      </c>
      <c r="FN820">
        <f>IF(ISBLANK('Data Entry'!$ê$820), "", 'Data Entry'!$ê$820)</f>
      </c>
      <c r="FO820">
        <f>IF(ISBLANK('Data Entry'!$ë$820), "", 'Data Entry'!$ë$820)</f>
      </c>
      <c r="FP820">
        <f>IF(ISBLANK('Data Entry'!$ì$820), "", 'Data Entry'!$ì$820)</f>
      </c>
      <c r="FQ820">
        <f>IF(ISBLANK('Data Entry'!$í$820), "", 'Data Entry'!$í$820)</f>
      </c>
      <c r="FR820">
        <f>IF(ISBLANK('Data Entry'!$î$820), "", 'Data Entry'!$î$820)</f>
      </c>
      <c r="FS820">
        <f>IF(ISBLANK('Data Entry'!$ï$820), "", 'Data Entry'!$ï$820)</f>
      </c>
      <c r="FT820">
        <f>IF(ISBLANK('Data Entry'!$ð$820), "", 'Data Entry'!$ð$820)</f>
      </c>
      <c r="FU820">
        <f>IF(ISBLANK('Data Entry'!$ñ$820), "", 'Data Entry'!$ñ$820)</f>
      </c>
      <c r="FV820">
        <f>IF(ISBLANK('Data Entry'!$ò$820), "", 'Data Entry'!$ò$820)</f>
      </c>
      <c r="FW820">
        <f>IF(ISBLANK('Data Entry'!$ó$820), "", 'Data Entry'!$ó$820)</f>
      </c>
      <c r="FX820">
        <f>IF(ISBLANK('Data Entry'!$ô$820), "", 'Data Entry'!$ô$820)</f>
      </c>
      <c r="FY820">
        <f>IF(ISBLANK('Data Entry'!$õ$820), "", 'Data Entry'!$õ$820)</f>
      </c>
      <c r="FZ820">
        <f>IF(ISBLANK('Data Entry'!$ö$820), "", 'Data Entry'!$ö$820)</f>
      </c>
      <c r="GA820">
        <f>IF(ISBLANK('Data Entry'!$÷$820), "", 'Data Entry'!$÷$820)</f>
      </c>
      <c r="GB820">
        <f>IF(ISBLANK('Data Entry'!$ø$820), "", 'Data Entry'!$ø$820)</f>
      </c>
      <c r="GC820">
        <f>IF(ISBLANK('Data Entry'!$ù$820), "", 'Data Entry'!$ù$820)</f>
      </c>
      <c r="GD820">
        <f>IF(ISBLANK('Data Entry'!$ú$820), "", 'Data Entry'!$ú$820)</f>
      </c>
      <c r="GE820">
        <f>IF(ISBLANK('Data Entry'!$û$820), "", 'Data Entry'!$û$820)</f>
      </c>
      <c r="GF820">
        <f>IF(ISBLANK('Data Entry'!$ü$820), "", 'Data Entry'!$ü$820)</f>
      </c>
      <c r="GG820">
        <f>IF(ISBLANK('Data Entry'!$ý$820), "", 'Data Entry'!$ý$820)</f>
      </c>
      <c r="GH820">
        <f>IF(ISBLANK('Data Entry'!$þ$820), "", 'Data Entry'!$þ$820)</f>
      </c>
      <c r="GI820">
        <f>IF(ISBLANK('Data Entry'!$ÿ$820), "", 'Data Entry'!$ÿ$820)</f>
      </c>
      <c r="GJ820">
        <f>IF(ISBLANK('Data Entry'!$Ā$820), "", 'Data Entry'!$Ā$820)</f>
      </c>
      <c r="GK820">
        <f>IF(ISBLANK('Data Entry'!$ā$820), "", 'Data Entry'!$ā$820)</f>
      </c>
      <c r="GL820">
        <f>IF(ISBLANK('Data Entry'!$Ă$820), "", 'Data Entry'!$Ă$820)</f>
      </c>
      <c r="GM820">
        <f>IF(ISBLANK('Data Entry'!$ă$820), "", 'Data Entry'!$ă$820)</f>
      </c>
      <c r="GN820">
        <f>IF(ISBLANK('Data Entry'!$Ą$820), "", 'Data Entry'!$Ą$820)</f>
      </c>
      <c r="GO820">
        <f>IF(ISBLANK('Data Entry'!$ą$820), "", 'Data Entry'!$ą$820)</f>
      </c>
      <c r="GP820">
        <f>IF(ISBLANK('Data Entry'!$Ć$820), "", 'Data Entry'!$Ć$820)</f>
      </c>
      <c r="GQ820">
        <f>IF(ISBLANK('Data Entry'!$ć$820), "", 'Data Entry'!$ć$820)</f>
      </c>
      <c r="GR820">
        <f>IF(ISBLANK('Data Entry'!$Ĉ$820), "", 'Data Entry'!$Ĉ$820)</f>
      </c>
      <c r="GS820">
        <f>IF(ISBLANK('Data Entry'!$ĉ$820), "", 'Data Entry'!$ĉ$820)</f>
      </c>
      <c r="GT820">
        <f>IF(ISBLANK('Data Entry'!$Ċ$820), "", 'Data Entry'!$Ċ$820)</f>
      </c>
      <c r="GU820">
        <f>IF(ISBLANK('Data Entry'!$ċ$820), "", 'Data Entry'!$ċ$820)</f>
      </c>
      <c r="GV820">
        <f>IF(ISBLANK('Data Entry'!$Č$820), "", 'Data Entry'!$Č$820)</f>
      </c>
      <c r="GW820">
        <f>IF(ISBLANK('Data Entry'!$č$820), "", 'Data Entry'!$č$820)</f>
      </c>
      <c r="GX820">
        <f>IF(ISBLANK('Data Entry'!$Ď$820), "", 'Data Entry'!$Ď$820)</f>
      </c>
      <c r="GY820">
        <f>IF(ISBLANK('Data Entry'!$ď$820), "", 'Data Entry'!$ď$820)</f>
      </c>
      <c r="GZ820">
        <f>IF(ISBLANK('Data Entry'!$Đ$820), "", 'Data Entry'!$Đ$820)</f>
      </c>
      <c r="HA820">
        <f>IF(ISBLANK('Data Entry'!$đ$820), "", 'Data Entry'!$đ$820)</f>
      </c>
      <c r="HB820">
        <f>IF(ISBLANK('Data Entry'!$Ē$820), "", 'Data Entry'!$Ē$820)</f>
      </c>
      <c r="HC820">
        <f>IF(ISBLANK('Data Entry'!$ē$820), "", 'Data Entry'!$ē$820)</f>
      </c>
      <c r="HD820">
        <f>IF(ISBLANK('Data Entry'!$Ĕ$820), "", 'Data Entry'!$Ĕ$820)</f>
      </c>
      <c r="HE820">
        <f>IF(ISBLANK('Data Entry'!$ĕ$820), "", 'Data Entry'!$ĕ$820)</f>
      </c>
      <c r="HF820">
        <f>IF(ISBLANK('Data Entry'!$Ė$820), "", 'Data Entry'!$Ė$820)</f>
      </c>
      <c r="HG820">
        <f>IF(ISBLANK('Data Entry'!$ė$820), "", 'Data Entry'!$ė$820)</f>
      </c>
      <c r="HH820">
        <f>IF(ISBLANK('Data Entry'!$Ę$820), "", 'Data Entry'!$Ę$820)</f>
      </c>
      <c r="HI820">
        <f>IF(ISBLANK('Data Entry'!$ę$820), "", 'Data Entry'!$ę$820)</f>
      </c>
      <c r="HJ820">
        <f>IF(ISBLANK('Data Entry'!$Ě$820), "", 'Data Entry'!$Ě$820)</f>
      </c>
      <c r="HK820">
        <f>IF(ISBLANK('Data Entry'!$ě$820), "", 'Data Entry'!$ě$820)</f>
      </c>
      <c r="HL820">
        <f>IF(ISBLANK('Data Entry'!$Ĝ$820), "", 'Data Entry'!$Ĝ$820)</f>
      </c>
      <c r="HM820">
        <f>IF(ISBLANK('Data Entry'!$ĝ$820), "", 'Data Entry'!$ĝ$820)</f>
      </c>
      <c r="HN820">
        <f>IF(ISBLANK('Data Entry'!$Ğ$820), "", 'Data Entry'!$Ğ$820)</f>
      </c>
      <c r="HO820">
        <f>IF(ISBLANK('Data Entry'!$ğ$820), "", 'Data Entry'!$ğ$820)</f>
      </c>
      <c r="HP820">
        <f>IF(ISBLANK('Data Entry'!$Ġ$820), "", 'Data Entry'!$Ġ$820)</f>
      </c>
      <c r="HQ820">
        <f>IF(ISBLANK('Data Entry'!$ġ$820), "", 'Data Entry'!$ġ$820)</f>
      </c>
      <c r="HR820">
        <f>IF(ISBLANK('Data Entry'!$Ģ$820), "", 'Data Entry'!$Ģ$820)</f>
      </c>
      <c r="HS820">
        <f>IF(ISBLANK('Data Entry'!$ģ$820), "", 'Data Entry'!$ģ$820)</f>
      </c>
      <c r="HT820">
        <f>IF(ISBLANK('Data Entry'!$Ĥ$820), "", 'Data Entry'!$Ĥ$820)</f>
      </c>
      <c r="HU820">
        <f>IF(ISBLANK('Data Entry'!$ĥ$820), "", 'Data Entry'!$ĥ$820)</f>
      </c>
      <c r="HV820">
        <f>IF(ISBLANK('Data Entry'!$Ħ$820), "", 'Data Entry'!$Ħ$820)</f>
      </c>
      <c r="HW820">
        <f>IF(ISBLANK('Data Entry'!$ħ$820), "", 'Data Entry'!$ħ$820)</f>
      </c>
      <c r="HX820">
        <f>IF(ISBLANK('Data Entry'!$Ĩ$820), "", 'Data Entry'!$Ĩ$820)</f>
      </c>
      <c r="HY820">
        <f>IF(ISBLANK('Data Entry'!$ĩ$820), "", 'Data Entry'!$ĩ$820)</f>
      </c>
      <c r="HZ820">
        <f>IF(ISBLANK('Data Entry'!$Ī$820), "", 'Data Entry'!$Ī$820)</f>
      </c>
      <c r="IA820">
        <f>IF(ISBLANK('Data Entry'!$ī$820), "", 'Data Entry'!$ī$820)</f>
      </c>
      <c r="IB820">
        <f>IF(ISBLANK('Data Entry'!$Ĭ$820), "", 'Data Entry'!$Ĭ$820)</f>
      </c>
      <c r="IC820">
        <f>IF(ISBLANK('Data Entry'!$ĭ$820), "", 'Data Entry'!$ĭ$820)</f>
      </c>
      <c r="ID820">
        <f>IF(ISBLANK('Data Entry'!$Į$820), "", 'Data Entry'!$Į$820)</f>
      </c>
      <c r="IE820">
        <f>IF(ISBLANK('Data Entry'!$į$820), "", 'Data Entry'!$į$820)</f>
      </c>
      <c r="IF820">
        <f>IF(ISBLANK('Data Entry'!$İ$820), "", 'Data Entry'!$İ$820)</f>
      </c>
      <c r="IG820">
        <f>IF(ISBLANK('Data Entry'!$ı$820), "", 'Data Entry'!$ı$820)</f>
      </c>
      <c r="IH820">
        <f>IF(ISBLANK('Data Entry'!$Ĳ$820), "", 'Data Entry'!$Ĳ$820)</f>
      </c>
      <c r="II820">
        <f>IF(ISBLANK('Data Entry'!$ĳ$820), "", 'Data Entry'!$ĳ$820)</f>
      </c>
      <c r="IJ820">
        <f>IF(ISBLANK('Data Entry'!$Ĵ$820), "", 'Data Entry'!$Ĵ$820)</f>
      </c>
      <c r="IK820">
        <f>IF(ISBLANK('Data Entry'!$ĵ$820), "", 'Data Entry'!$ĵ$820)</f>
      </c>
      <c r="IL820">
        <f>IF(ISBLANK('Data Entry'!$Ķ$820), "", 'Data Entry'!$Ķ$820)</f>
      </c>
      <c r="IM820">
        <f>IF(ISBLANK('Data Entry'!$ķ$820), "", 'Data Entry'!$ķ$820)</f>
      </c>
      <c r="IN820">
        <f>IF(ISBLANK('Data Entry'!$ĸ$820), "", 'Data Entry'!$ĸ$820)</f>
      </c>
      <c r="IO820">
        <f>IF(ISBLANK('Data Entry'!$Ĺ$820), "", 'Data Entry'!$Ĺ$820)</f>
      </c>
      <c r="IP820">
        <f>IF(ISBLANK('Data Entry'!$ĺ$820), "", 'Data Entry'!$ĺ$820)</f>
      </c>
      <c r="IQ820">
        <f>IF(ISBLANK('Data Entry'!$Ļ$820), "", 'Data Entry'!$Ļ$820)</f>
      </c>
      <c r="IR820">
        <f>IF(ISBLANK('Data Entry'!$ļ$820), "", 'Data Entry'!$ļ$820)</f>
      </c>
      <c r="IS820">
        <f>IF(ISBLANK('Data Entry'!$Ľ$820), "", 'Data Entry'!$Ľ$820)</f>
      </c>
      <c r="IT820">
        <f>IF(ISBLANK('Data Entry'!$ľ$820), "", 'Data Entry'!$ľ$820)</f>
      </c>
    </row>
    <row r="821" spans="1:254" x14ac:dyDescent="0.25">
      <c r="A821">
        <f>IF(ISBLANK('Data Entry'!$A$821), "", 'Data Entry'!$A$821)</f>
      </c>
      <c r="B821">
        <f>IF(ISBLANK('Data Entry'!$B$821), "", 'Data Entry'!$B$821)</f>
      </c>
      <c r="C821">
        <f>IF(ISBLANK('Data Entry'!$C$821), "", 'Data Entry'!$C$821)</f>
      </c>
      <c r="D821">
        <f>IF(ISBLANK('Data Entry'!$D$821), "", 'Data Entry'!$D$821)</f>
      </c>
      <c r="E821">
        <f>IF(ISBLANK('Data Entry'!$E$821), "", 'Data Entry'!$E$821)</f>
      </c>
      <c r="F821">
        <f>IF(ISBLANK('Data Entry'!$F$821), "", 'Data Entry'!$F$821)</f>
      </c>
      <c r="G821">
        <f>IF(ISBLANK('Data Entry'!$G$821), "", 'Data Entry'!$G$821)</f>
      </c>
      <c r="H821">
        <f>IF(ISBLANK('Data Entry'!$H$821), "", 'Data Entry'!$H$821)</f>
      </c>
      <c r="I821">
        <f>IF(ISBLANK('Data Entry'!$I$821), "", 'Data Entry'!$I$821)</f>
      </c>
      <c r="J821">
        <f>IF(ISBLANK('Data Entry'!$J$821), "", 'Data Entry'!$J$821)</f>
      </c>
      <c r="K821">
        <f>IF(ISBLANK('Data Entry'!$K$821), "", 'Data Entry'!$K$821)</f>
      </c>
      <c r="L821">
        <f>IF(ISBLANK('Data Entry'!$L$821), "", 'Data Entry'!$L$821)</f>
      </c>
      <c r="M821">
        <f>IF(ISBLANK('Data Entry'!$M$821), "", 'Data Entry'!$M$821)</f>
      </c>
      <c r="N821">
        <f>IF(ISBLANK('Data Entry'!$N$821), "", 'Data Entry'!$N$821)</f>
      </c>
      <c r="O821">
        <f>IF(ISBLANK('Data Entry'!$O$821), "", 'Data Entry'!$O$821)</f>
      </c>
      <c r="P821">
        <f>IF(ISBLANK('Data Entry'!$P$821), "", 'Data Entry'!$P$821)</f>
      </c>
      <c r="Q821">
        <f>IF(ISBLANK('Data Entry'!$Q$821), "", 'Data Entry'!$Q$821)</f>
      </c>
      <c r="R821">
        <f>IF(ISBLANK('Data Entry'!$R$821), "", 'Data Entry'!$R$821)</f>
      </c>
      <c r="S821">
        <f>IF(ISBLANK('Data Entry'!$S$821), "", 'Data Entry'!$S$821)</f>
      </c>
      <c r="T821">
        <f>IF(ISBLANK('Data Entry'!$T$821), "", 'Data Entry'!$T$821)</f>
      </c>
      <c r="U821">
        <f>IF(ISBLANK('Data Entry'!$U$821), "", 'Data Entry'!$U$821)</f>
      </c>
      <c r="V821">
        <f>IF(ISBLANK('Data Entry'!$V$821), "", 'Data Entry'!$V$821)</f>
      </c>
      <c r="W821">
        <f>IF(ISBLANK('Data Entry'!$W$821), "", 'Data Entry'!$W$821)</f>
      </c>
      <c r="X821">
        <f>IF(ISBLANK('Data Entry'!$X$821), "", 'Data Entry'!$X$821)</f>
      </c>
      <c r="Y821">
        <f>IF(ISBLANK('Data Entry'!$Y$821), "", 'Data Entry'!$Y$821)</f>
      </c>
      <c r="Z821">
        <f>IF(ISBLANK('Data Entry'!$Z$821), "", 'Data Entry'!$Z$821)</f>
      </c>
      <c r="AA821">
        <f>IF(ISBLANK('Data Entry'!$[$821), "", 'Data Entry'!$[$821)</f>
      </c>
      <c r="AB821">
        <f>IF(ISBLANK('Data Entry'!$\$821), "", 'Data Entry'!$\$821)</f>
      </c>
      <c r="AC821">
        <f>IF(ISBLANK('Data Entry'!$]$821), "", 'Data Entry'!$]$821)</f>
      </c>
      <c r="AD821">
        <f>IF(ISBLANK('Data Entry'!$^$821), "", 'Data Entry'!$^$821)</f>
      </c>
      <c r="AE821">
        <f>IF(ISBLANK('Data Entry'!$_$821), "", 'Data Entry'!$_$821)</f>
      </c>
      <c r="AF821">
        <f>IF(ISBLANK('Data Entry'!$`$821), "", 'Data Entry'!$`$821)</f>
      </c>
      <c r="AG821">
        <f>IF(ISBLANK('Data Entry'!$a$821), "", 'Data Entry'!$a$821)</f>
      </c>
      <c r="AH821">
        <f>IF(ISBLANK('Data Entry'!$b$821), "", 'Data Entry'!$b$821)</f>
      </c>
      <c r="AI821">
        <f>IF(ISBLANK('Data Entry'!$c$821), "", 'Data Entry'!$c$821)</f>
      </c>
      <c r="AJ821">
        <f>IF(ISBLANK('Data Entry'!$d$821), "", 'Data Entry'!$d$821)</f>
      </c>
      <c r="AK821">
        <f>IF(ISBLANK('Data Entry'!$e$821), "", 'Data Entry'!$e$821)</f>
      </c>
      <c r="AL821">
        <f>IF(ISBLANK('Data Entry'!$f$821), "", 'Data Entry'!$f$821)</f>
      </c>
      <c r="AM821">
        <f>IF(ISBLANK('Data Entry'!$g$821), "", 'Data Entry'!$g$821)</f>
      </c>
      <c r="AN821">
        <f>IF(ISBLANK('Data Entry'!$h$821), "", 'Data Entry'!$h$821)</f>
      </c>
      <c r="AO821">
        <f>IF(ISBLANK('Data Entry'!$i$821), "", 'Data Entry'!$i$821)</f>
      </c>
      <c r="AP821">
        <f>IF(ISBLANK('Data Entry'!$j$821), "", 'Data Entry'!$j$821)</f>
      </c>
      <c r="AQ821">
        <f>IF(ISBLANK('Data Entry'!$k$821), "", 'Data Entry'!$k$821)</f>
      </c>
      <c r="AR821">
        <f>IF(ISBLANK('Data Entry'!$l$821), "", 'Data Entry'!$l$821)</f>
      </c>
      <c r="AS821">
        <f>IF(ISBLANK('Data Entry'!$m$821), "", 'Data Entry'!$m$821)</f>
      </c>
      <c r="AT821">
        <f>IF(ISBLANK('Data Entry'!$n$821), "", 'Data Entry'!$n$821)</f>
      </c>
      <c r="AU821">
        <f>IF(ISBLANK('Data Entry'!$o$821), "", 'Data Entry'!$o$821)</f>
      </c>
      <c r="AV821">
        <f>IF(ISBLANK('Data Entry'!$p$821), "", 'Data Entry'!$p$821)</f>
      </c>
      <c r="AW821">
        <f>IF(ISBLANK('Data Entry'!$q$821), "", 'Data Entry'!$q$821)</f>
      </c>
      <c r="AX821">
        <f>IF(ISBLANK('Data Entry'!$r$821), "", 'Data Entry'!$r$821)</f>
      </c>
      <c r="AY821">
        <f>IF(ISBLANK('Data Entry'!$s$821), "", 'Data Entry'!$s$821)</f>
      </c>
      <c r="AZ821">
        <f>IF(ISBLANK('Data Entry'!$t$821), "", 'Data Entry'!$t$821)</f>
      </c>
      <c r="BA821">
        <f>IF(ISBLANK('Data Entry'!$u$821), "", 'Data Entry'!$u$821)</f>
      </c>
      <c r="BB821">
        <f>IF(ISBLANK('Data Entry'!$v$821), "", 'Data Entry'!$v$821)</f>
      </c>
      <c r="BC821">
        <f>IF(ISBLANK('Data Entry'!$w$821), "", 'Data Entry'!$w$821)</f>
      </c>
      <c r="BD821">
        <f>IF(ISBLANK('Data Entry'!$x$821), "", 'Data Entry'!$x$821)</f>
      </c>
      <c r="BE821">
        <f>IF(ISBLANK('Data Entry'!$y$821), "", 'Data Entry'!$y$821)</f>
      </c>
      <c r="BF821">
        <f>IF(ISBLANK('Data Entry'!$z$821), "", 'Data Entry'!$z$821)</f>
      </c>
      <c r="BG821">
        <f>IF(ISBLANK('Data Entry'!${$821), "", 'Data Entry'!${$821)</f>
      </c>
      <c r="BH821">
        <f>IF(ISBLANK('Data Entry'!$|$821), "", 'Data Entry'!$|$821)</f>
      </c>
      <c r="BI821">
        <f>IF(ISBLANK('Data Entry'!$}$821), "", 'Data Entry'!$}$821)</f>
      </c>
      <c r="BJ821">
        <f>IF(ISBLANK('Data Entry'!$~$821), "", 'Data Entry'!$~$821)</f>
      </c>
      <c r="BK821">
        <f>IF(ISBLANK('Data Entry'!$$821), "", 'Data Entry'!$$821)</f>
      </c>
      <c r="BL821">
        <f>IF(ISBLANK('Data Entry'!$$821), "", 'Data Entry'!$$821)</f>
      </c>
      <c r="BM821">
        <f>IF(ISBLANK('Data Entry'!$$821), "", 'Data Entry'!$$821)</f>
      </c>
      <c r="BN821">
        <f>IF(ISBLANK('Data Entry'!$$821), "", 'Data Entry'!$$821)</f>
      </c>
      <c r="BO821">
        <f>IF(ISBLANK('Data Entry'!$$821), "", 'Data Entry'!$$821)</f>
      </c>
      <c r="BP821">
        <f>IF(ISBLANK('Data Entry'!$$821), "", 'Data Entry'!$$821)</f>
      </c>
      <c r="BQ821">
        <f>IF(ISBLANK('Data Entry'!$$821), "", 'Data Entry'!$$821)</f>
      </c>
      <c r="BR821">
        <f>IF(ISBLANK('Data Entry'!$$821), "", 'Data Entry'!$$821)</f>
      </c>
      <c r="BS821">
        <f>IF(ISBLANK('Data Entry'!$$821), "", 'Data Entry'!$$821)</f>
      </c>
      <c r="BT821">
        <f>IF(ISBLANK('Data Entry'!$$821), "", 'Data Entry'!$$821)</f>
      </c>
      <c r="BU821">
        <f>IF(ISBLANK('Data Entry'!$$821), "", 'Data Entry'!$$821)</f>
      </c>
      <c r="BV821">
        <f>IF(ISBLANK('Data Entry'!$$821), "", 'Data Entry'!$$821)</f>
      </c>
      <c r="BW821">
        <f>IF(ISBLANK('Data Entry'!$$821), "", 'Data Entry'!$$821)</f>
      </c>
      <c r="BX821">
        <f>IF(ISBLANK('Data Entry'!$$821), "", 'Data Entry'!$$821)</f>
      </c>
      <c r="BY821">
        <f>IF(ISBLANK('Data Entry'!$$821), "", 'Data Entry'!$$821)</f>
      </c>
      <c r="BZ821">
        <f>IF(ISBLANK('Data Entry'!$$821), "", 'Data Entry'!$$821)</f>
      </c>
      <c r="CA821">
        <f>IF(ISBLANK('Data Entry'!$$821), "", 'Data Entry'!$$821)</f>
      </c>
      <c r="CB821">
        <f>IF(ISBLANK('Data Entry'!$$821), "", 'Data Entry'!$$821)</f>
      </c>
      <c r="CC821">
        <f>IF(ISBLANK('Data Entry'!$$821), "", 'Data Entry'!$$821)</f>
      </c>
      <c r="CD821">
        <f>IF(ISBLANK('Data Entry'!$$821), "", 'Data Entry'!$$821)</f>
      </c>
      <c r="CE821">
        <f>IF(ISBLANK('Data Entry'!$$821), "", 'Data Entry'!$$821)</f>
      </c>
      <c r="CF821">
        <f>IF(ISBLANK('Data Entry'!$$821), "", 'Data Entry'!$$821)</f>
      </c>
      <c r="CG821">
        <f>IF(ISBLANK('Data Entry'!$$821), "", 'Data Entry'!$$821)</f>
      </c>
      <c r="CH821">
        <f>IF(ISBLANK('Data Entry'!$$821), "", 'Data Entry'!$$821)</f>
      </c>
      <c r="CI821">
        <f>IF(ISBLANK('Data Entry'!$$821), "", 'Data Entry'!$$821)</f>
      </c>
      <c r="CJ821">
        <f>IF(ISBLANK('Data Entry'!$$821), "", 'Data Entry'!$$821)</f>
      </c>
      <c r="CK821">
        <f>IF(ISBLANK('Data Entry'!$$821), "", 'Data Entry'!$$821)</f>
      </c>
      <c r="CL821">
        <f>IF(ISBLANK('Data Entry'!$$821), "", 'Data Entry'!$$821)</f>
      </c>
      <c r="CM821">
        <f>IF(ISBLANK('Data Entry'!$$821), "", 'Data Entry'!$$821)</f>
      </c>
      <c r="CN821">
        <f>IF(ISBLANK('Data Entry'!$$821), "", 'Data Entry'!$$821)</f>
      </c>
      <c r="CO821">
        <f>IF(ISBLANK('Data Entry'!$$821), "", 'Data Entry'!$$821)</f>
      </c>
      <c r="CP821">
        <f>IF(ISBLANK('Data Entry'!$$821), "", 'Data Entry'!$$821)</f>
      </c>
      <c r="CQ821">
        <f>IF(ISBLANK('Data Entry'!$$821), "", 'Data Entry'!$$821)</f>
      </c>
      <c r="CR821">
        <f>IF(ISBLANK('Data Entry'!$ $821), "", 'Data Entry'!$ $821)</f>
      </c>
      <c r="CS821">
        <f>IF(ISBLANK('Data Entry'!$¡$821), "", 'Data Entry'!$¡$821)</f>
      </c>
      <c r="CT821">
        <f>IF(ISBLANK('Data Entry'!$¢$821), "", 'Data Entry'!$¢$821)</f>
      </c>
      <c r="CU821">
        <f>IF(ISBLANK('Data Entry'!$£$821), "", 'Data Entry'!$£$821)</f>
      </c>
      <c r="CV821">
        <f>IF(ISBLANK('Data Entry'!$¤$821), "", 'Data Entry'!$¤$821)</f>
      </c>
      <c r="CW821">
        <f>IF(ISBLANK('Data Entry'!$¥$821), "", 'Data Entry'!$¥$821)</f>
      </c>
      <c r="CX821">
        <f>IF(ISBLANK('Data Entry'!$¦$821), "", 'Data Entry'!$¦$821)</f>
      </c>
      <c r="CY821">
        <f>IF(ISBLANK('Data Entry'!$§$821), "", 'Data Entry'!$§$821)</f>
      </c>
      <c r="CZ821">
        <f>IF(ISBLANK('Data Entry'!$¨$821), "", 'Data Entry'!$¨$821)</f>
      </c>
      <c r="DA821">
        <f>IF(ISBLANK('Data Entry'!$©$821), "", 'Data Entry'!$©$821)</f>
      </c>
      <c r="DB821">
        <f>IF(ISBLANK('Data Entry'!$ª$821), "", 'Data Entry'!$ª$821)</f>
      </c>
      <c r="DC821">
        <f>IF(ISBLANK('Data Entry'!$«$821), "", 'Data Entry'!$«$821)</f>
      </c>
      <c r="DD821">
        <f>IF(ISBLANK('Data Entry'!$¬$821), "", 'Data Entry'!$¬$821)</f>
      </c>
      <c r="DE821">
        <f>IF(ISBLANK('Data Entry'!$­$821), "", 'Data Entry'!$­$821)</f>
      </c>
      <c r="DF821">
        <f>IF(ISBLANK('Data Entry'!$®$821), "", 'Data Entry'!$®$821)</f>
      </c>
      <c r="DG821">
        <f>IF(ISBLANK('Data Entry'!$¯$821), "", 'Data Entry'!$¯$821)</f>
      </c>
      <c r="DH821">
        <f>IF(ISBLANK('Data Entry'!$°$821), "", 'Data Entry'!$°$821)</f>
      </c>
      <c r="DI821">
        <f>IF(ISBLANK('Data Entry'!$±$821), "", 'Data Entry'!$±$821)</f>
      </c>
      <c r="DJ821">
        <f>IF(ISBLANK('Data Entry'!$²$821), "", 'Data Entry'!$²$821)</f>
      </c>
      <c r="DK821">
        <f>IF(ISBLANK('Data Entry'!$³$821), "", 'Data Entry'!$³$821)</f>
      </c>
      <c r="DL821">
        <f>IF(ISBLANK('Data Entry'!$´$821), "", 'Data Entry'!$´$821)</f>
      </c>
      <c r="DM821">
        <f>IF(ISBLANK('Data Entry'!$µ$821), "", 'Data Entry'!$µ$821)</f>
      </c>
      <c r="DN821">
        <f>IF(ISBLANK('Data Entry'!$¶$821), "", 'Data Entry'!$¶$821)</f>
      </c>
      <c r="DO821">
        <f>IF(ISBLANK('Data Entry'!$·$821), "", 'Data Entry'!$·$821)</f>
      </c>
      <c r="DP821">
        <f>IF(ISBLANK('Data Entry'!$¸$821), "", 'Data Entry'!$¸$821)</f>
      </c>
      <c r="DQ821">
        <f>IF(ISBLANK('Data Entry'!$¹$821), "", 'Data Entry'!$¹$821)</f>
      </c>
      <c r="DR821">
        <f>IF(ISBLANK('Data Entry'!$º$821), "", 'Data Entry'!$º$821)</f>
      </c>
      <c r="DS821">
        <f>IF(ISBLANK('Data Entry'!$»$821), "", 'Data Entry'!$»$821)</f>
      </c>
      <c r="DT821">
        <f>IF(ISBLANK('Data Entry'!$¼$821), "", 'Data Entry'!$¼$821)</f>
      </c>
      <c r="DU821">
        <f>IF(ISBLANK('Data Entry'!$½$821), "", 'Data Entry'!$½$821)</f>
      </c>
      <c r="DV821">
        <f>IF(ISBLANK('Data Entry'!$¾$821), "", 'Data Entry'!$¾$821)</f>
      </c>
      <c r="DW821">
        <f>IF(ISBLANK('Data Entry'!$¿$821), "", 'Data Entry'!$¿$821)</f>
      </c>
      <c r="DX821">
        <f>IF(ISBLANK('Data Entry'!$À$821), "", 'Data Entry'!$À$821)</f>
      </c>
      <c r="DY821">
        <f>IF(ISBLANK('Data Entry'!$Á$821), "", 'Data Entry'!$Á$821)</f>
      </c>
      <c r="DZ821">
        <f>IF(ISBLANK('Data Entry'!$Â$821), "", 'Data Entry'!$Â$821)</f>
      </c>
      <c r="EA821">
        <f>IF(ISBLANK('Data Entry'!$Ã$821), "", 'Data Entry'!$Ã$821)</f>
      </c>
      <c r="EB821">
        <f>IF(ISBLANK('Data Entry'!$Ä$821), "", 'Data Entry'!$Ä$821)</f>
      </c>
      <c r="EC821">
        <f>IF(ISBLANK('Data Entry'!$Å$821), "", 'Data Entry'!$Å$821)</f>
      </c>
      <c r="ED821">
        <f>IF(ISBLANK('Data Entry'!$Æ$821), "", 'Data Entry'!$Æ$821)</f>
      </c>
      <c r="EE821">
        <f>IF(ISBLANK('Data Entry'!$Ç$821), "", 'Data Entry'!$Ç$821)</f>
      </c>
      <c r="EF821">
        <f>IF(ISBLANK('Data Entry'!$È$821), "", 'Data Entry'!$È$821)</f>
      </c>
      <c r="EG821">
        <f>IF(ISBLANK('Data Entry'!$É$821), "", 'Data Entry'!$É$821)</f>
      </c>
      <c r="EH821">
        <f>IF(ISBLANK('Data Entry'!$Ê$821), "", 'Data Entry'!$Ê$821)</f>
      </c>
      <c r="EI821">
        <f>IF(ISBLANK('Data Entry'!$Ë$821), "", 'Data Entry'!$Ë$821)</f>
      </c>
      <c r="EJ821">
        <f>IF(ISBLANK('Data Entry'!$Ì$821), "", 'Data Entry'!$Ì$821)</f>
      </c>
      <c r="EK821">
        <f>IF(ISBLANK('Data Entry'!$Í$821), "", 'Data Entry'!$Í$821)</f>
      </c>
      <c r="EL821">
        <f>IF(ISBLANK('Data Entry'!$Î$821), "", 'Data Entry'!$Î$821)</f>
      </c>
      <c r="EM821">
        <f>IF(ISBLANK('Data Entry'!$Ï$821), "", 'Data Entry'!$Ï$821)</f>
      </c>
      <c r="EN821">
        <f>IF(ISBLANK('Data Entry'!$Ð$821), "", 'Data Entry'!$Ð$821)</f>
      </c>
      <c r="EO821">
        <f>IF(ISBLANK('Data Entry'!$Ñ$821), "", 'Data Entry'!$Ñ$821)</f>
      </c>
      <c r="EP821">
        <f>IF(ISBLANK('Data Entry'!$Ò$821), "", 'Data Entry'!$Ò$821)</f>
      </c>
      <c r="EQ821">
        <f>IF(ISBLANK('Data Entry'!$Ó$821), "", 'Data Entry'!$Ó$821)</f>
      </c>
      <c r="ER821">
        <f>IF(ISBLANK('Data Entry'!$Ô$821), "", 'Data Entry'!$Ô$821)</f>
      </c>
      <c r="ES821">
        <f>IF(ISBLANK('Data Entry'!$Õ$821), "", 'Data Entry'!$Õ$821)</f>
      </c>
      <c r="ET821">
        <f>IF(ISBLANK('Data Entry'!$Ö$821), "", 'Data Entry'!$Ö$821)</f>
      </c>
      <c r="EU821">
        <f>IF(ISBLANK('Data Entry'!$×$821), "", 'Data Entry'!$×$821)</f>
      </c>
      <c r="EV821">
        <f>IF(ISBLANK('Data Entry'!$Ø$821), "", 'Data Entry'!$Ø$821)</f>
      </c>
      <c r="EW821">
        <f>IF(ISBLANK('Data Entry'!$Ù$821), "", 'Data Entry'!$Ù$821)</f>
      </c>
      <c r="EX821">
        <f>IF(ISBLANK('Data Entry'!$Ú$821), "", 'Data Entry'!$Ú$821)</f>
      </c>
      <c r="EY821">
        <f>IF(ISBLANK('Data Entry'!$Û$821), "", 'Data Entry'!$Û$821)</f>
      </c>
      <c r="EZ821">
        <f>IF(ISBLANK('Data Entry'!$Ü$821), "", 'Data Entry'!$Ü$821)</f>
      </c>
      <c r="FA821">
        <f>IF(ISBLANK('Data Entry'!$Ý$821), "", 'Data Entry'!$Ý$821)</f>
      </c>
      <c r="FB821">
        <f>IF(ISBLANK('Data Entry'!$Þ$821), "", 'Data Entry'!$Þ$821)</f>
      </c>
      <c r="FC821">
        <f>IF(ISBLANK('Data Entry'!$ß$821), "", 'Data Entry'!$ß$821)</f>
      </c>
      <c r="FD821">
        <f>IF(ISBLANK('Data Entry'!$à$821), "", 'Data Entry'!$à$821)</f>
      </c>
      <c r="FE821">
        <f>IF(ISBLANK('Data Entry'!$á$821), "", 'Data Entry'!$á$821)</f>
      </c>
      <c r="FF821">
        <f>IF(ISBLANK('Data Entry'!$â$821), "", 'Data Entry'!$â$821)</f>
      </c>
      <c r="FG821">
        <f>IF(ISBLANK('Data Entry'!$ã$821), "", 'Data Entry'!$ã$821)</f>
      </c>
      <c r="FH821">
        <f>IF(ISBLANK('Data Entry'!$ä$821), "", 'Data Entry'!$ä$821)</f>
      </c>
      <c r="FI821">
        <f>IF(ISBLANK('Data Entry'!$å$821), "", 'Data Entry'!$å$821)</f>
      </c>
      <c r="FJ821">
        <f>IF(ISBLANK('Data Entry'!$æ$821), "", 'Data Entry'!$æ$821)</f>
      </c>
      <c r="FK821">
        <f>IF(ISBLANK('Data Entry'!$ç$821), "", 'Data Entry'!$ç$821)</f>
      </c>
      <c r="FL821">
        <f>IF(ISBLANK('Data Entry'!$è$821), "", 'Data Entry'!$è$821)</f>
      </c>
      <c r="FM821">
        <f>IF(ISBLANK('Data Entry'!$é$821), "", 'Data Entry'!$é$821)</f>
      </c>
      <c r="FN821">
        <f>IF(ISBLANK('Data Entry'!$ê$821), "", 'Data Entry'!$ê$821)</f>
      </c>
      <c r="FO821">
        <f>IF(ISBLANK('Data Entry'!$ë$821), "", 'Data Entry'!$ë$821)</f>
      </c>
      <c r="FP821">
        <f>IF(ISBLANK('Data Entry'!$ì$821), "", 'Data Entry'!$ì$821)</f>
      </c>
      <c r="FQ821">
        <f>IF(ISBLANK('Data Entry'!$í$821), "", 'Data Entry'!$í$821)</f>
      </c>
      <c r="FR821">
        <f>IF(ISBLANK('Data Entry'!$î$821), "", 'Data Entry'!$î$821)</f>
      </c>
      <c r="FS821">
        <f>IF(ISBLANK('Data Entry'!$ï$821), "", 'Data Entry'!$ï$821)</f>
      </c>
      <c r="FT821">
        <f>IF(ISBLANK('Data Entry'!$ð$821), "", 'Data Entry'!$ð$821)</f>
      </c>
      <c r="FU821">
        <f>IF(ISBLANK('Data Entry'!$ñ$821), "", 'Data Entry'!$ñ$821)</f>
      </c>
      <c r="FV821">
        <f>IF(ISBLANK('Data Entry'!$ò$821), "", 'Data Entry'!$ò$821)</f>
      </c>
      <c r="FW821">
        <f>IF(ISBLANK('Data Entry'!$ó$821), "", 'Data Entry'!$ó$821)</f>
      </c>
      <c r="FX821">
        <f>IF(ISBLANK('Data Entry'!$ô$821), "", 'Data Entry'!$ô$821)</f>
      </c>
      <c r="FY821">
        <f>IF(ISBLANK('Data Entry'!$õ$821), "", 'Data Entry'!$õ$821)</f>
      </c>
      <c r="FZ821">
        <f>IF(ISBLANK('Data Entry'!$ö$821), "", 'Data Entry'!$ö$821)</f>
      </c>
      <c r="GA821">
        <f>IF(ISBLANK('Data Entry'!$÷$821), "", 'Data Entry'!$÷$821)</f>
      </c>
      <c r="GB821">
        <f>IF(ISBLANK('Data Entry'!$ø$821), "", 'Data Entry'!$ø$821)</f>
      </c>
      <c r="GC821">
        <f>IF(ISBLANK('Data Entry'!$ù$821), "", 'Data Entry'!$ù$821)</f>
      </c>
      <c r="GD821">
        <f>IF(ISBLANK('Data Entry'!$ú$821), "", 'Data Entry'!$ú$821)</f>
      </c>
      <c r="GE821">
        <f>IF(ISBLANK('Data Entry'!$û$821), "", 'Data Entry'!$û$821)</f>
      </c>
      <c r="GF821">
        <f>IF(ISBLANK('Data Entry'!$ü$821), "", 'Data Entry'!$ü$821)</f>
      </c>
      <c r="GG821">
        <f>IF(ISBLANK('Data Entry'!$ý$821), "", 'Data Entry'!$ý$821)</f>
      </c>
      <c r="GH821">
        <f>IF(ISBLANK('Data Entry'!$þ$821), "", 'Data Entry'!$þ$821)</f>
      </c>
      <c r="GI821">
        <f>IF(ISBLANK('Data Entry'!$ÿ$821), "", 'Data Entry'!$ÿ$821)</f>
      </c>
      <c r="GJ821">
        <f>IF(ISBLANK('Data Entry'!$Ā$821), "", 'Data Entry'!$Ā$821)</f>
      </c>
      <c r="GK821">
        <f>IF(ISBLANK('Data Entry'!$ā$821), "", 'Data Entry'!$ā$821)</f>
      </c>
      <c r="GL821">
        <f>IF(ISBLANK('Data Entry'!$Ă$821), "", 'Data Entry'!$Ă$821)</f>
      </c>
      <c r="GM821">
        <f>IF(ISBLANK('Data Entry'!$ă$821), "", 'Data Entry'!$ă$821)</f>
      </c>
      <c r="GN821">
        <f>IF(ISBLANK('Data Entry'!$Ą$821), "", 'Data Entry'!$Ą$821)</f>
      </c>
      <c r="GO821">
        <f>IF(ISBLANK('Data Entry'!$ą$821), "", 'Data Entry'!$ą$821)</f>
      </c>
      <c r="GP821">
        <f>IF(ISBLANK('Data Entry'!$Ć$821), "", 'Data Entry'!$Ć$821)</f>
      </c>
      <c r="GQ821">
        <f>IF(ISBLANK('Data Entry'!$ć$821), "", 'Data Entry'!$ć$821)</f>
      </c>
      <c r="GR821">
        <f>IF(ISBLANK('Data Entry'!$Ĉ$821), "", 'Data Entry'!$Ĉ$821)</f>
      </c>
      <c r="GS821">
        <f>IF(ISBLANK('Data Entry'!$ĉ$821), "", 'Data Entry'!$ĉ$821)</f>
      </c>
      <c r="GT821">
        <f>IF(ISBLANK('Data Entry'!$Ċ$821), "", 'Data Entry'!$Ċ$821)</f>
      </c>
      <c r="GU821">
        <f>IF(ISBLANK('Data Entry'!$ċ$821), "", 'Data Entry'!$ċ$821)</f>
      </c>
      <c r="GV821">
        <f>IF(ISBLANK('Data Entry'!$Č$821), "", 'Data Entry'!$Č$821)</f>
      </c>
      <c r="GW821">
        <f>IF(ISBLANK('Data Entry'!$č$821), "", 'Data Entry'!$č$821)</f>
      </c>
      <c r="GX821">
        <f>IF(ISBLANK('Data Entry'!$Ď$821), "", 'Data Entry'!$Ď$821)</f>
      </c>
      <c r="GY821">
        <f>IF(ISBLANK('Data Entry'!$ď$821), "", 'Data Entry'!$ď$821)</f>
      </c>
      <c r="GZ821">
        <f>IF(ISBLANK('Data Entry'!$Đ$821), "", 'Data Entry'!$Đ$821)</f>
      </c>
      <c r="HA821">
        <f>IF(ISBLANK('Data Entry'!$đ$821), "", 'Data Entry'!$đ$821)</f>
      </c>
      <c r="HB821">
        <f>IF(ISBLANK('Data Entry'!$Ē$821), "", 'Data Entry'!$Ē$821)</f>
      </c>
      <c r="HC821">
        <f>IF(ISBLANK('Data Entry'!$ē$821), "", 'Data Entry'!$ē$821)</f>
      </c>
      <c r="HD821">
        <f>IF(ISBLANK('Data Entry'!$Ĕ$821), "", 'Data Entry'!$Ĕ$821)</f>
      </c>
      <c r="HE821">
        <f>IF(ISBLANK('Data Entry'!$ĕ$821), "", 'Data Entry'!$ĕ$821)</f>
      </c>
      <c r="HF821">
        <f>IF(ISBLANK('Data Entry'!$Ė$821), "", 'Data Entry'!$Ė$821)</f>
      </c>
      <c r="HG821">
        <f>IF(ISBLANK('Data Entry'!$ė$821), "", 'Data Entry'!$ė$821)</f>
      </c>
      <c r="HH821">
        <f>IF(ISBLANK('Data Entry'!$Ę$821), "", 'Data Entry'!$Ę$821)</f>
      </c>
      <c r="HI821">
        <f>IF(ISBLANK('Data Entry'!$ę$821), "", 'Data Entry'!$ę$821)</f>
      </c>
      <c r="HJ821">
        <f>IF(ISBLANK('Data Entry'!$Ě$821), "", 'Data Entry'!$Ě$821)</f>
      </c>
      <c r="HK821">
        <f>IF(ISBLANK('Data Entry'!$ě$821), "", 'Data Entry'!$ě$821)</f>
      </c>
      <c r="HL821">
        <f>IF(ISBLANK('Data Entry'!$Ĝ$821), "", 'Data Entry'!$Ĝ$821)</f>
      </c>
      <c r="HM821">
        <f>IF(ISBLANK('Data Entry'!$ĝ$821), "", 'Data Entry'!$ĝ$821)</f>
      </c>
      <c r="HN821">
        <f>IF(ISBLANK('Data Entry'!$Ğ$821), "", 'Data Entry'!$Ğ$821)</f>
      </c>
      <c r="HO821">
        <f>IF(ISBLANK('Data Entry'!$ğ$821), "", 'Data Entry'!$ğ$821)</f>
      </c>
      <c r="HP821">
        <f>IF(ISBLANK('Data Entry'!$Ġ$821), "", 'Data Entry'!$Ġ$821)</f>
      </c>
      <c r="HQ821">
        <f>IF(ISBLANK('Data Entry'!$ġ$821), "", 'Data Entry'!$ġ$821)</f>
      </c>
      <c r="HR821">
        <f>IF(ISBLANK('Data Entry'!$Ģ$821), "", 'Data Entry'!$Ģ$821)</f>
      </c>
      <c r="HS821">
        <f>IF(ISBLANK('Data Entry'!$ģ$821), "", 'Data Entry'!$ģ$821)</f>
      </c>
      <c r="HT821">
        <f>IF(ISBLANK('Data Entry'!$Ĥ$821), "", 'Data Entry'!$Ĥ$821)</f>
      </c>
      <c r="HU821">
        <f>IF(ISBLANK('Data Entry'!$ĥ$821), "", 'Data Entry'!$ĥ$821)</f>
      </c>
      <c r="HV821">
        <f>IF(ISBLANK('Data Entry'!$Ħ$821), "", 'Data Entry'!$Ħ$821)</f>
      </c>
      <c r="HW821">
        <f>IF(ISBLANK('Data Entry'!$ħ$821), "", 'Data Entry'!$ħ$821)</f>
      </c>
      <c r="HX821">
        <f>IF(ISBLANK('Data Entry'!$Ĩ$821), "", 'Data Entry'!$Ĩ$821)</f>
      </c>
      <c r="HY821">
        <f>IF(ISBLANK('Data Entry'!$ĩ$821), "", 'Data Entry'!$ĩ$821)</f>
      </c>
      <c r="HZ821">
        <f>IF(ISBLANK('Data Entry'!$Ī$821), "", 'Data Entry'!$Ī$821)</f>
      </c>
      <c r="IA821">
        <f>IF(ISBLANK('Data Entry'!$ī$821), "", 'Data Entry'!$ī$821)</f>
      </c>
      <c r="IB821">
        <f>IF(ISBLANK('Data Entry'!$Ĭ$821), "", 'Data Entry'!$Ĭ$821)</f>
      </c>
      <c r="IC821">
        <f>IF(ISBLANK('Data Entry'!$ĭ$821), "", 'Data Entry'!$ĭ$821)</f>
      </c>
      <c r="ID821">
        <f>IF(ISBLANK('Data Entry'!$Į$821), "", 'Data Entry'!$Į$821)</f>
      </c>
      <c r="IE821">
        <f>IF(ISBLANK('Data Entry'!$į$821), "", 'Data Entry'!$į$821)</f>
      </c>
      <c r="IF821">
        <f>IF(ISBLANK('Data Entry'!$İ$821), "", 'Data Entry'!$İ$821)</f>
      </c>
      <c r="IG821">
        <f>IF(ISBLANK('Data Entry'!$ı$821), "", 'Data Entry'!$ı$821)</f>
      </c>
      <c r="IH821">
        <f>IF(ISBLANK('Data Entry'!$Ĳ$821), "", 'Data Entry'!$Ĳ$821)</f>
      </c>
      <c r="II821">
        <f>IF(ISBLANK('Data Entry'!$ĳ$821), "", 'Data Entry'!$ĳ$821)</f>
      </c>
      <c r="IJ821">
        <f>IF(ISBLANK('Data Entry'!$Ĵ$821), "", 'Data Entry'!$Ĵ$821)</f>
      </c>
      <c r="IK821">
        <f>IF(ISBLANK('Data Entry'!$ĵ$821), "", 'Data Entry'!$ĵ$821)</f>
      </c>
      <c r="IL821">
        <f>IF(ISBLANK('Data Entry'!$Ķ$821), "", 'Data Entry'!$Ķ$821)</f>
      </c>
      <c r="IM821">
        <f>IF(ISBLANK('Data Entry'!$ķ$821), "", 'Data Entry'!$ķ$821)</f>
      </c>
      <c r="IN821">
        <f>IF(ISBLANK('Data Entry'!$ĸ$821), "", 'Data Entry'!$ĸ$821)</f>
      </c>
      <c r="IO821">
        <f>IF(ISBLANK('Data Entry'!$Ĺ$821), "", 'Data Entry'!$Ĺ$821)</f>
      </c>
      <c r="IP821">
        <f>IF(ISBLANK('Data Entry'!$ĺ$821), "", 'Data Entry'!$ĺ$821)</f>
      </c>
      <c r="IQ821">
        <f>IF(ISBLANK('Data Entry'!$Ļ$821), "", 'Data Entry'!$Ļ$821)</f>
      </c>
      <c r="IR821">
        <f>IF(ISBLANK('Data Entry'!$ļ$821), "", 'Data Entry'!$ļ$821)</f>
      </c>
      <c r="IS821">
        <f>IF(ISBLANK('Data Entry'!$Ľ$821), "", 'Data Entry'!$Ľ$821)</f>
      </c>
      <c r="IT821">
        <f>IF(ISBLANK('Data Entry'!$ľ$821), "", 'Data Entry'!$ľ$821)</f>
      </c>
    </row>
    <row r="822" spans="1:254" x14ac:dyDescent="0.25">
      <c r="A822">
        <f>IF(ISBLANK('Data Entry'!$A$822), "", 'Data Entry'!$A$822)</f>
      </c>
      <c r="B822">
        <f>IF(ISBLANK('Data Entry'!$B$822), "", 'Data Entry'!$B$822)</f>
      </c>
      <c r="C822">
        <f>IF(ISBLANK('Data Entry'!$C$822), "", 'Data Entry'!$C$822)</f>
      </c>
      <c r="D822">
        <f>IF(ISBLANK('Data Entry'!$D$822), "", 'Data Entry'!$D$822)</f>
      </c>
      <c r="E822">
        <f>IF(ISBLANK('Data Entry'!$E$822), "", 'Data Entry'!$E$822)</f>
      </c>
      <c r="F822">
        <f>IF(ISBLANK('Data Entry'!$F$822), "", 'Data Entry'!$F$822)</f>
      </c>
      <c r="G822">
        <f>IF(ISBLANK('Data Entry'!$G$822), "", 'Data Entry'!$G$822)</f>
      </c>
      <c r="H822">
        <f>IF(ISBLANK('Data Entry'!$H$822), "", 'Data Entry'!$H$822)</f>
      </c>
      <c r="I822">
        <f>IF(ISBLANK('Data Entry'!$I$822), "", 'Data Entry'!$I$822)</f>
      </c>
      <c r="J822">
        <f>IF(ISBLANK('Data Entry'!$J$822), "", 'Data Entry'!$J$822)</f>
      </c>
      <c r="K822">
        <f>IF(ISBLANK('Data Entry'!$K$822), "", 'Data Entry'!$K$822)</f>
      </c>
      <c r="L822">
        <f>IF(ISBLANK('Data Entry'!$L$822), "", 'Data Entry'!$L$822)</f>
      </c>
      <c r="M822">
        <f>IF(ISBLANK('Data Entry'!$M$822), "", 'Data Entry'!$M$822)</f>
      </c>
      <c r="N822">
        <f>IF(ISBLANK('Data Entry'!$N$822), "", 'Data Entry'!$N$822)</f>
      </c>
      <c r="O822">
        <f>IF(ISBLANK('Data Entry'!$O$822), "", 'Data Entry'!$O$822)</f>
      </c>
      <c r="P822">
        <f>IF(ISBLANK('Data Entry'!$P$822), "", 'Data Entry'!$P$822)</f>
      </c>
      <c r="Q822">
        <f>IF(ISBLANK('Data Entry'!$Q$822), "", 'Data Entry'!$Q$822)</f>
      </c>
      <c r="R822">
        <f>IF(ISBLANK('Data Entry'!$R$822), "", 'Data Entry'!$R$822)</f>
      </c>
      <c r="S822">
        <f>IF(ISBLANK('Data Entry'!$S$822), "", 'Data Entry'!$S$822)</f>
      </c>
      <c r="T822">
        <f>IF(ISBLANK('Data Entry'!$T$822), "", 'Data Entry'!$T$822)</f>
      </c>
      <c r="U822">
        <f>IF(ISBLANK('Data Entry'!$U$822), "", 'Data Entry'!$U$822)</f>
      </c>
      <c r="V822">
        <f>IF(ISBLANK('Data Entry'!$V$822), "", 'Data Entry'!$V$822)</f>
      </c>
      <c r="W822">
        <f>IF(ISBLANK('Data Entry'!$W$822), "", 'Data Entry'!$W$822)</f>
      </c>
      <c r="X822">
        <f>IF(ISBLANK('Data Entry'!$X$822), "", 'Data Entry'!$X$822)</f>
      </c>
      <c r="Y822">
        <f>IF(ISBLANK('Data Entry'!$Y$822), "", 'Data Entry'!$Y$822)</f>
      </c>
      <c r="Z822">
        <f>IF(ISBLANK('Data Entry'!$Z$822), "", 'Data Entry'!$Z$822)</f>
      </c>
      <c r="AA822">
        <f>IF(ISBLANK('Data Entry'!$[$822), "", 'Data Entry'!$[$822)</f>
      </c>
      <c r="AB822">
        <f>IF(ISBLANK('Data Entry'!$\$822), "", 'Data Entry'!$\$822)</f>
      </c>
      <c r="AC822">
        <f>IF(ISBLANK('Data Entry'!$]$822), "", 'Data Entry'!$]$822)</f>
      </c>
      <c r="AD822">
        <f>IF(ISBLANK('Data Entry'!$^$822), "", 'Data Entry'!$^$822)</f>
      </c>
      <c r="AE822">
        <f>IF(ISBLANK('Data Entry'!$_$822), "", 'Data Entry'!$_$822)</f>
      </c>
      <c r="AF822">
        <f>IF(ISBLANK('Data Entry'!$`$822), "", 'Data Entry'!$`$822)</f>
      </c>
      <c r="AG822">
        <f>IF(ISBLANK('Data Entry'!$a$822), "", 'Data Entry'!$a$822)</f>
      </c>
      <c r="AH822">
        <f>IF(ISBLANK('Data Entry'!$b$822), "", 'Data Entry'!$b$822)</f>
      </c>
      <c r="AI822">
        <f>IF(ISBLANK('Data Entry'!$c$822), "", 'Data Entry'!$c$822)</f>
      </c>
      <c r="AJ822">
        <f>IF(ISBLANK('Data Entry'!$d$822), "", 'Data Entry'!$d$822)</f>
      </c>
      <c r="AK822">
        <f>IF(ISBLANK('Data Entry'!$e$822), "", 'Data Entry'!$e$822)</f>
      </c>
      <c r="AL822">
        <f>IF(ISBLANK('Data Entry'!$f$822), "", 'Data Entry'!$f$822)</f>
      </c>
      <c r="AM822">
        <f>IF(ISBLANK('Data Entry'!$g$822), "", 'Data Entry'!$g$822)</f>
      </c>
      <c r="AN822">
        <f>IF(ISBLANK('Data Entry'!$h$822), "", 'Data Entry'!$h$822)</f>
      </c>
      <c r="AO822">
        <f>IF(ISBLANK('Data Entry'!$i$822), "", 'Data Entry'!$i$822)</f>
      </c>
      <c r="AP822">
        <f>IF(ISBLANK('Data Entry'!$j$822), "", 'Data Entry'!$j$822)</f>
      </c>
      <c r="AQ822">
        <f>IF(ISBLANK('Data Entry'!$k$822), "", 'Data Entry'!$k$822)</f>
      </c>
      <c r="AR822">
        <f>IF(ISBLANK('Data Entry'!$l$822), "", 'Data Entry'!$l$822)</f>
      </c>
      <c r="AS822">
        <f>IF(ISBLANK('Data Entry'!$m$822), "", 'Data Entry'!$m$822)</f>
      </c>
      <c r="AT822">
        <f>IF(ISBLANK('Data Entry'!$n$822), "", 'Data Entry'!$n$822)</f>
      </c>
      <c r="AU822">
        <f>IF(ISBLANK('Data Entry'!$o$822), "", 'Data Entry'!$o$822)</f>
      </c>
      <c r="AV822">
        <f>IF(ISBLANK('Data Entry'!$p$822), "", 'Data Entry'!$p$822)</f>
      </c>
      <c r="AW822">
        <f>IF(ISBLANK('Data Entry'!$q$822), "", 'Data Entry'!$q$822)</f>
      </c>
      <c r="AX822">
        <f>IF(ISBLANK('Data Entry'!$r$822), "", 'Data Entry'!$r$822)</f>
      </c>
      <c r="AY822">
        <f>IF(ISBLANK('Data Entry'!$s$822), "", 'Data Entry'!$s$822)</f>
      </c>
      <c r="AZ822">
        <f>IF(ISBLANK('Data Entry'!$t$822), "", 'Data Entry'!$t$822)</f>
      </c>
      <c r="BA822">
        <f>IF(ISBLANK('Data Entry'!$u$822), "", 'Data Entry'!$u$822)</f>
      </c>
      <c r="BB822">
        <f>IF(ISBLANK('Data Entry'!$v$822), "", 'Data Entry'!$v$822)</f>
      </c>
      <c r="BC822">
        <f>IF(ISBLANK('Data Entry'!$w$822), "", 'Data Entry'!$w$822)</f>
      </c>
      <c r="BD822">
        <f>IF(ISBLANK('Data Entry'!$x$822), "", 'Data Entry'!$x$822)</f>
      </c>
      <c r="BE822">
        <f>IF(ISBLANK('Data Entry'!$y$822), "", 'Data Entry'!$y$822)</f>
      </c>
      <c r="BF822">
        <f>IF(ISBLANK('Data Entry'!$z$822), "", 'Data Entry'!$z$822)</f>
      </c>
      <c r="BG822">
        <f>IF(ISBLANK('Data Entry'!${$822), "", 'Data Entry'!${$822)</f>
      </c>
      <c r="BH822">
        <f>IF(ISBLANK('Data Entry'!$|$822), "", 'Data Entry'!$|$822)</f>
      </c>
      <c r="BI822">
        <f>IF(ISBLANK('Data Entry'!$}$822), "", 'Data Entry'!$}$822)</f>
      </c>
      <c r="BJ822">
        <f>IF(ISBLANK('Data Entry'!$~$822), "", 'Data Entry'!$~$822)</f>
      </c>
      <c r="BK822">
        <f>IF(ISBLANK('Data Entry'!$$822), "", 'Data Entry'!$$822)</f>
      </c>
      <c r="BL822">
        <f>IF(ISBLANK('Data Entry'!$$822), "", 'Data Entry'!$$822)</f>
      </c>
      <c r="BM822">
        <f>IF(ISBLANK('Data Entry'!$$822), "", 'Data Entry'!$$822)</f>
      </c>
      <c r="BN822">
        <f>IF(ISBLANK('Data Entry'!$$822), "", 'Data Entry'!$$822)</f>
      </c>
      <c r="BO822">
        <f>IF(ISBLANK('Data Entry'!$$822), "", 'Data Entry'!$$822)</f>
      </c>
      <c r="BP822">
        <f>IF(ISBLANK('Data Entry'!$$822), "", 'Data Entry'!$$822)</f>
      </c>
      <c r="BQ822">
        <f>IF(ISBLANK('Data Entry'!$$822), "", 'Data Entry'!$$822)</f>
      </c>
      <c r="BR822">
        <f>IF(ISBLANK('Data Entry'!$$822), "", 'Data Entry'!$$822)</f>
      </c>
      <c r="BS822">
        <f>IF(ISBLANK('Data Entry'!$$822), "", 'Data Entry'!$$822)</f>
      </c>
      <c r="BT822">
        <f>IF(ISBLANK('Data Entry'!$$822), "", 'Data Entry'!$$822)</f>
      </c>
      <c r="BU822">
        <f>IF(ISBLANK('Data Entry'!$$822), "", 'Data Entry'!$$822)</f>
      </c>
      <c r="BV822">
        <f>IF(ISBLANK('Data Entry'!$$822), "", 'Data Entry'!$$822)</f>
      </c>
      <c r="BW822">
        <f>IF(ISBLANK('Data Entry'!$$822), "", 'Data Entry'!$$822)</f>
      </c>
      <c r="BX822">
        <f>IF(ISBLANK('Data Entry'!$$822), "", 'Data Entry'!$$822)</f>
      </c>
      <c r="BY822">
        <f>IF(ISBLANK('Data Entry'!$$822), "", 'Data Entry'!$$822)</f>
      </c>
      <c r="BZ822">
        <f>IF(ISBLANK('Data Entry'!$$822), "", 'Data Entry'!$$822)</f>
      </c>
      <c r="CA822">
        <f>IF(ISBLANK('Data Entry'!$$822), "", 'Data Entry'!$$822)</f>
      </c>
      <c r="CB822">
        <f>IF(ISBLANK('Data Entry'!$$822), "", 'Data Entry'!$$822)</f>
      </c>
      <c r="CC822">
        <f>IF(ISBLANK('Data Entry'!$$822), "", 'Data Entry'!$$822)</f>
      </c>
      <c r="CD822">
        <f>IF(ISBLANK('Data Entry'!$$822), "", 'Data Entry'!$$822)</f>
      </c>
      <c r="CE822">
        <f>IF(ISBLANK('Data Entry'!$$822), "", 'Data Entry'!$$822)</f>
      </c>
      <c r="CF822">
        <f>IF(ISBLANK('Data Entry'!$$822), "", 'Data Entry'!$$822)</f>
      </c>
      <c r="CG822">
        <f>IF(ISBLANK('Data Entry'!$$822), "", 'Data Entry'!$$822)</f>
      </c>
      <c r="CH822">
        <f>IF(ISBLANK('Data Entry'!$$822), "", 'Data Entry'!$$822)</f>
      </c>
      <c r="CI822">
        <f>IF(ISBLANK('Data Entry'!$$822), "", 'Data Entry'!$$822)</f>
      </c>
      <c r="CJ822">
        <f>IF(ISBLANK('Data Entry'!$$822), "", 'Data Entry'!$$822)</f>
      </c>
      <c r="CK822">
        <f>IF(ISBLANK('Data Entry'!$$822), "", 'Data Entry'!$$822)</f>
      </c>
      <c r="CL822">
        <f>IF(ISBLANK('Data Entry'!$$822), "", 'Data Entry'!$$822)</f>
      </c>
      <c r="CM822">
        <f>IF(ISBLANK('Data Entry'!$$822), "", 'Data Entry'!$$822)</f>
      </c>
      <c r="CN822">
        <f>IF(ISBLANK('Data Entry'!$$822), "", 'Data Entry'!$$822)</f>
      </c>
      <c r="CO822">
        <f>IF(ISBLANK('Data Entry'!$$822), "", 'Data Entry'!$$822)</f>
      </c>
      <c r="CP822">
        <f>IF(ISBLANK('Data Entry'!$$822), "", 'Data Entry'!$$822)</f>
      </c>
      <c r="CQ822">
        <f>IF(ISBLANK('Data Entry'!$$822), "", 'Data Entry'!$$822)</f>
      </c>
      <c r="CR822">
        <f>IF(ISBLANK('Data Entry'!$ $822), "", 'Data Entry'!$ $822)</f>
      </c>
      <c r="CS822">
        <f>IF(ISBLANK('Data Entry'!$¡$822), "", 'Data Entry'!$¡$822)</f>
      </c>
      <c r="CT822">
        <f>IF(ISBLANK('Data Entry'!$¢$822), "", 'Data Entry'!$¢$822)</f>
      </c>
      <c r="CU822">
        <f>IF(ISBLANK('Data Entry'!$£$822), "", 'Data Entry'!$£$822)</f>
      </c>
      <c r="CV822">
        <f>IF(ISBLANK('Data Entry'!$¤$822), "", 'Data Entry'!$¤$822)</f>
      </c>
      <c r="CW822">
        <f>IF(ISBLANK('Data Entry'!$¥$822), "", 'Data Entry'!$¥$822)</f>
      </c>
      <c r="CX822">
        <f>IF(ISBLANK('Data Entry'!$¦$822), "", 'Data Entry'!$¦$822)</f>
      </c>
      <c r="CY822">
        <f>IF(ISBLANK('Data Entry'!$§$822), "", 'Data Entry'!$§$822)</f>
      </c>
      <c r="CZ822">
        <f>IF(ISBLANK('Data Entry'!$¨$822), "", 'Data Entry'!$¨$822)</f>
      </c>
      <c r="DA822">
        <f>IF(ISBLANK('Data Entry'!$©$822), "", 'Data Entry'!$©$822)</f>
      </c>
      <c r="DB822">
        <f>IF(ISBLANK('Data Entry'!$ª$822), "", 'Data Entry'!$ª$822)</f>
      </c>
      <c r="DC822">
        <f>IF(ISBLANK('Data Entry'!$«$822), "", 'Data Entry'!$«$822)</f>
      </c>
      <c r="DD822">
        <f>IF(ISBLANK('Data Entry'!$¬$822), "", 'Data Entry'!$¬$822)</f>
      </c>
      <c r="DE822">
        <f>IF(ISBLANK('Data Entry'!$­$822), "", 'Data Entry'!$­$822)</f>
      </c>
      <c r="DF822">
        <f>IF(ISBLANK('Data Entry'!$®$822), "", 'Data Entry'!$®$822)</f>
      </c>
      <c r="DG822">
        <f>IF(ISBLANK('Data Entry'!$¯$822), "", 'Data Entry'!$¯$822)</f>
      </c>
      <c r="DH822">
        <f>IF(ISBLANK('Data Entry'!$°$822), "", 'Data Entry'!$°$822)</f>
      </c>
      <c r="DI822">
        <f>IF(ISBLANK('Data Entry'!$±$822), "", 'Data Entry'!$±$822)</f>
      </c>
      <c r="DJ822">
        <f>IF(ISBLANK('Data Entry'!$²$822), "", 'Data Entry'!$²$822)</f>
      </c>
      <c r="DK822">
        <f>IF(ISBLANK('Data Entry'!$³$822), "", 'Data Entry'!$³$822)</f>
      </c>
      <c r="DL822">
        <f>IF(ISBLANK('Data Entry'!$´$822), "", 'Data Entry'!$´$822)</f>
      </c>
      <c r="DM822">
        <f>IF(ISBLANK('Data Entry'!$µ$822), "", 'Data Entry'!$µ$822)</f>
      </c>
      <c r="DN822">
        <f>IF(ISBLANK('Data Entry'!$¶$822), "", 'Data Entry'!$¶$822)</f>
      </c>
      <c r="DO822">
        <f>IF(ISBLANK('Data Entry'!$·$822), "", 'Data Entry'!$·$822)</f>
      </c>
      <c r="DP822">
        <f>IF(ISBLANK('Data Entry'!$¸$822), "", 'Data Entry'!$¸$822)</f>
      </c>
      <c r="DQ822">
        <f>IF(ISBLANK('Data Entry'!$¹$822), "", 'Data Entry'!$¹$822)</f>
      </c>
      <c r="DR822">
        <f>IF(ISBLANK('Data Entry'!$º$822), "", 'Data Entry'!$º$822)</f>
      </c>
      <c r="DS822">
        <f>IF(ISBLANK('Data Entry'!$»$822), "", 'Data Entry'!$»$822)</f>
      </c>
      <c r="DT822">
        <f>IF(ISBLANK('Data Entry'!$¼$822), "", 'Data Entry'!$¼$822)</f>
      </c>
      <c r="DU822">
        <f>IF(ISBLANK('Data Entry'!$½$822), "", 'Data Entry'!$½$822)</f>
      </c>
      <c r="DV822">
        <f>IF(ISBLANK('Data Entry'!$¾$822), "", 'Data Entry'!$¾$822)</f>
      </c>
      <c r="DW822">
        <f>IF(ISBLANK('Data Entry'!$¿$822), "", 'Data Entry'!$¿$822)</f>
      </c>
      <c r="DX822">
        <f>IF(ISBLANK('Data Entry'!$À$822), "", 'Data Entry'!$À$822)</f>
      </c>
      <c r="DY822">
        <f>IF(ISBLANK('Data Entry'!$Á$822), "", 'Data Entry'!$Á$822)</f>
      </c>
      <c r="DZ822">
        <f>IF(ISBLANK('Data Entry'!$Â$822), "", 'Data Entry'!$Â$822)</f>
      </c>
      <c r="EA822">
        <f>IF(ISBLANK('Data Entry'!$Ã$822), "", 'Data Entry'!$Ã$822)</f>
      </c>
      <c r="EB822">
        <f>IF(ISBLANK('Data Entry'!$Ä$822), "", 'Data Entry'!$Ä$822)</f>
      </c>
      <c r="EC822">
        <f>IF(ISBLANK('Data Entry'!$Å$822), "", 'Data Entry'!$Å$822)</f>
      </c>
      <c r="ED822">
        <f>IF(ISBLANK('Data Entry'!$Æ$822), "", 'Data Entry'!$Æ$822)</f>
      </c>
      <c r="EE822">
        <f>IF(ISBLANK('Data Entry'!$Ç$822), "", 'Data Entry'!$Ç$822)</f>
      </c>
      <c r="EF822">
        <f>IF(ISBLANK('Data Entry'!$È$822), "", 'Data Entry'!$È$822)</f>
      </c>
      <c r="EG822">
        <f>IF(ISBLANK('Data Entry'!$É$822), "", 'Data Entry'!$É$822)</f>
      </c>
      <c r="EH822">
        <f>IF(ISBLANK('Data Entry'!$Ê$822), "", 'Data Entry'!$Ê$822)</f>
      </c>
      <c r="EI822">
        <f>IF(ISBLANK('Data Entry'!$Ë$822), "", 'Data Entry'!$Ë$822)</f>
      </c>
      <c r="EJ822">
        <f>IF(ISBLANK('Data Entry'!$Ì$822), "", 'Data Entry'!$Ì$822)</f>
      </c>
      <c r="EK822">
        <f>IF(ISBLANK('Data Entry'!$Í$822), "", 'Data Entry'!$Í$822)</f>
      </c>
      <c r="EL822">
        <f>IF(ISBLANK('Data Entry'!$Î$822), "", 'Data Entry'!$Î$822)</f>
      </c>
      <c r="EM822">
        <f>IF(ISBLANK('Data Entry'!$Ï$822), "", 'Data Entry'!$Ï$822)</f>
      </c>
      <c r="EN822">
        <f>IF(ISBLANK('Data Entry'!$Ð$822), "", 'Data Entry'!$Ð$822)</f>
      </c>
      <c r="EO822">
        <f>IF(ISBLANK('Data Entry'!$Ñ$822), "", 'Data Entry'!$Ñ$822)</f>
      </c>
      <c r="EP822">
        <f>IF(ISBLANK('Data Entry'!$Ò$822), "", 'Data Entry'!$Ò$822)</f>
      </c>
      <c r="EQ822">
        <f>IF(ISBLANK('Data Entry'!$Ó$822), "", 'Data Entry'!$Ó$822)</f>
      </c>
      <c r="ER822">
        <f>IF(ISBLANK('Data Entry'!$Ô$822), "", 'Data Entry'!$Ô$822)</f>
      </c>
      <c r="ES822">
        <f>IF(ISBLANK('Data Entry'!$Õ$822), "", 'Data Entry'!$Õ$822)</f>
      </c>
      <c r="ET822">
        <f>IF(ISBLANK('Data Entry'!$Ö$822), "", 'Data Entry'!$Ö$822)</f>
      </c>
      <c r="EU822">
        <f>IF(ISBLANK('Data Entry'!$×$822), "", 'Data Entry'!$×$822)</f>
      </c>
      <c r="EV822">
        <f>IF(ISBLANK('Data Entry'!$Ø$822), "", 'Data Entry'!$Ø$822)</f>
      </c>
      <c r="EW822">
        <f>IF(ISBLANK('Data Entry'!$Ù$822), "", 'Data Entry'!$Ù$822)</f>
      </c>
      <c r="EX822">
        <f>IF(ISBLANK('Data Entry'!$Ú$822), "", 'Data Entry'!$Ú$822)</f>
      </c>
      <c r="EY822">
        <f>IF(ISBLANK('Data Entry'!$Û$822), "", 'Data Entry'!$Û$822)</f>
      </c>
      <c r="EZ822">
        <f>IF(ISBLANK('Data Entry'!$Ü$822), "", 'Data Entry'!$Ü$822)</f>
      </c>
      <c r="FA822">
        <f>IF(ISBLANK('Data Entry'!$Ý$822), "", 'Data Entry'!$Ý$822)</f>
      </c>
      <c r="FB822">
        <f>IF(ISBLANK('Data Entry'!$Þ$822), "", 'Data Entry'!$Þ$822)</f>
      </c>
      <c r="FC822">
        <f>IF(ISBLANK('Data Entry'!$ß$822), "", 'Data Entry'!$ß$822)</f>
      </c>
      <c r="FD822">
        <f>IF(ISBLANK('Data Entry'!$à$822), "", 'Data Entry'!$à$822)</f>
      </c>
      <c r="FE822">
        <f>IF(ISBLANK('Data Entry'!$á$822), "", 'Data Entry'!$á$822)</f>
      </c>
      <c r="FF822">
        <f>IF(ISBLANK('Data Entry'!$â$822), "", 'Data Entry'!$â$822)</f>
      </c>
      <c r="FG822">
        <f>IF(ISBLANK('Data Entry'!$ã$822), "", 'Data Entry'!$ã$822)</f>
      </c>
      <c r="FH822">
        <f>IF(ISBLANK('Data Entry'!$ä$822), "", 'Data Entry'!$ä$822)</f>
      </c>
      <c r="FI822">
        <f>IF(ISBLANK('Data Entry'!$å$822), "", 'Data Entry'!$å$822)</f>
      </c>
      <c r="FJ822">
        <f>IF(ISBLANK('Data Entry'!$æ$822), "", 'Data Entry'!$æ$822)</f>
      </c>
      <c r="FK822">
        <f>IF(ISBLANK('Data Entry'!$ç$822), "", 'Data Entry'!$ç$822)</f>
      </c>
      <c r="FL822">
        <f>IF(ISBLANK('Data Entry'!$è$822), "", 'Data Entry'!$è$822)</f>
      </c>
      <c r="FM822">
        <f>IF(ISBLANK('Data Entry'!$é$822), "", 'Data Entry'!$é$822)</f>
      </c>
      <c r="FN822">
        <f>IF(ISBLANK('Data Entry'!$ê$822), "", 'Data Entry'!$ê$822)</f>
      </c>
      <c r="FO822">
        <f>IF(ISBLANK('Data Entry'!$ë$822), "", 'Data Entry'!$ë$822)</f>
      </c>
      <c r="FP822">
        <f>IF(ISBLANK('Data Entry'!$ì$822), "", 'Data Entry'!$ì$822)</f>
      </c>
      <c r="FQ822">
        <f>IF(ISBLANK('Data Entry'!$í$822), "", 'Data Entry'!$í$822)</f>
      </c>
      <c r="FR822">
        <f>IF(ISBLANK('Data Entry'!$î$822), "", 'Data Entry'!$î$822)</f>
      </c>
      <c r="FS822">
        <f>IF(ISBLANK('Data Entry'!$ï$822), "", 'Data Entry'!$ï$822)</f>
      </c>
      <c r="FT822">
        <f>IF(ISBLANK('Data Entry'!$ð$822), "", 'Data Entry'!$ð$822)</f>
      </c>
      <c r="FU822">
        <f>IF(ISBLANK('Data Entry'!$ñ$822), "", 'Data Entry'!$ñ$822)</f>
      </c>
      <c r="FV822">
        <f>IF(ISBLANK('Data Entry'!$ò$822), "", 'Data Entry'!$ò$822)</f>
      </c>
      <c r="FW822">
        <f>IF(ISBLANK('Data Entry'!$ó$822), "", 'Data Entry'!$ó$822)</f>
      </c>
      <c r="FX822">
        <f>IF(ISBLANK('Data Entry'!$ô$822), "", 'Data Entry'!$ô$822)</f>
      </c>
      <c r="FY822">
        <f>IF(ISBLANK('Data Entry'!$õ$822), "", 'Data Entry'!$õ$822)</f>
      </c>
      <c r="FZ822">
        <f>IF(ISBLANK('Data Entry'!$ö$822), "", 'Data Entry'!$ö$822)</f>
      </c>
      <c r="GA822">
        <f>IF(ISBLANK('Data Entry'!$÷$822), "", 'Data Entry'!$÷$822)</f>
      </c>
      <c r="GB822">
        <f>IF(ISBLANK('Data Entry'!$ø$822), "", 'Data Entry'!$ø$822)</f>
      </c>
      <c r="GC822">
        <f>IF(ISBLANK('Data Entry'!$ù$822), "", 'Data Entry'!$ù$822)</f>
      </c>
      <c r="GD822">
        <f>IF(ISBLANK('Data Entry'!$ú$822), "", 'Data Entry'!$ú$822)</f>
      </c>
      <c r="GE822">
        <f>IF(ISBLANK('Data Entry'!$û$822), "", 'Data Entry'!$û$822)</f>
      </c>
      <c r="GF822">
        <f>IF(ISBLANK('Data Entry'!$ü$822), "", 'Data Entry'!$ü$822)</f>
      </c>
      <c r="GG822">
        <f>IF(ISBLANK('Data Entry'!$ý$822), "", 'Data Entry'!$ý$822)</f>
      </c>
      <c r="GH822">
        <f>IF(ISBLANK('Data Entry'!$þ$822), "", 'Data Entry'!$þ$822)</f>
      </c>
      <c r="GI822">
        <f>IF(ISBLANK('Data Entry'!$ÿ$822), "", 'Data Entry'!$ÿ$822)</f>
      </c>
      <c r="GJ822">
        <f>IF(ISBLANK('Data Entry'!$Ā$822), "", 'Data Entry'!$Ā$822)</f>
      </c>
      <c r="GK822">
        <f>IF(ISBLANK('Data Entry'!$ā$822), "", 'Data Entry'!$ā$822)</f>
      </c>
      <c r="GL822">
        <f>IF(ISBLANK('Data Entry'!$Ă$822), "", 'Data Entry'!$Ă$822)</f>
      </c>
      <c r="GM822">
        <f>IF(ISBLANK('Data Entry'!$ă$822), "", 'Data Entry'!$ă$822)</f>
      </c>
      <c r="GN822">
        <f>IF(ISBLANK('Data Entry'!$Ą$822), "", 'Data Entry'!$Ą$822)</f>
      </c>
      <c r="GO822">
        <f>IF(ISBLANK('Data Entry'!$ą$822), "", 'Data Entry'!$ą$822)</f>
      </c>
      <c r="GP822">
        <f>IF(ISBLANK('Data Entry'!$Ć$822), "", 'Data Entry'!$Ć$822)</f>
      </c>
      <c r="GQ822">
        <f>IF(ISBLANK('Data Entry'!$ć$822), "", 'Data Entry'!$ć$822)</f>
      </c>
      <c r="GR822">
        <f>IF(ISBLANK('Data Entry'!$Ĉ$822), "", 'Data Entry'!$Ĉ$822)</f>
      </c>
      <c r="GS822">
        <f>IF(ISBLANK('Data Entry'!$ĉ$822), "", 'Data Entry'!$ĉ$822)</f>
      </c>
      <c r="GT822">
        <f>IF(ISBLANK('Data Entry'!$Ċ$822), "", 'Data Entry'!$Ċ$822)</f>
      </c>
      <c r="GU822">
        <f>IF(ISBLANK('Data Entry'!$ċ$822), "", 'Data Entry'!$ċ$822)</f>
      </c>
      <c r="GV822">
        <f>IF(ISBLANK('Data Entry'!$Č$822), "", 'Data Entry'!$Č$822)</f>
      </c>
      <c r="GW822">
        <f>IF(ISBLANK('Data Entry'!$č$822), "", 'Data Entry'!$č$822)</f>
      </c>
      <c r="GX822">
        <f>IF(ISBLANK('Data Entry'!$Ď$822), "", 'Data Entry'!$Ď$822)</f>
      </c>
      <c r="GY822">
        <f>IF(ISBLANK('Data Entry'!$ď$822), "", 'Data Entry'!$ď$822)</f>
      </c>
      <c r="GZ822">
        <f>IF(ISBLANK('Data Entry'!$Đ$822), "", 'Data Entry'!$Đ$822)</f>
      </c>
      <c r="HA822">
        <f>IF(ISBLANK('Data Entry'!$đ$822), "", 'Data Entry'!$đ$822)</f>
      </c>
      <c r="HB822">
        <f>IF(ISBLANK('Data Entry'!$Ē$822), "", 'Data Entry'!$Ē$822)</f>
      </c>
      <c r="HC822">
        <f>IF(ISBLANK('Data Entry'!$ē$822), "", 'Data Entry'!$ē$822)</f>
      </c>
      <c r="HD822">
        <f>IF(ISBLANK('Data Entry'!$Ĕ$822), "", 'Data Entry'!$Ĕ$822)</f>
      </c>
      <c r="HE822">
        <f>IF(ISBLANK('Data Entry'!$ĕ$822), "", 'Data Entry'!$ĕ$822)</f>
      </c>
      <c r="HF822">
        <f>IF(ISBLANK('Data Entry'!$Ė$822), "", 'Data Entry'!$Ė$822)</f>
      </c>
      <c r="HG822">
        <f>IF(ISBLANK('Data Entry'!$ė$822), "", 'Data Entry'!$ė$822)</f>
      </c>
      <c r="HH822">
        <f>IF(ISBLANK('Data Entry'!$Ę$822), "", 'Data Entry'!$Ę$822)</f>
      </c>
      <c r="HI822">
        <f>IF(ISBLANK('Data Entry'!$ę$822), "", 'Data Entry'!$ę$822)</f>
      </c>
      <c r="HJ822">
        <f>IF(ISBLANK('Data Entry'!$Ě$822), "", 'Data Entry'!$Ě$822)</f>
      </c>
      <c r="HK822">
        <f>IF(ISBLANK('Data Entry'!$ě$822), "", 'Data Entry'!$ě$822)</f>
      </c>
      <c r="HL822">
        <f>IF(ISBLANK('Data Entry'!$Ĝ$822), "", 'Data Entry'!$Ĝ$822)</f>
      </c>
      <c r="HM822">
        <f>IF(ISBLANK('Data Entry'!$ĝ$822), "", 'Data Entry'!$ĝ$822)</f>
      </c>
      <c r="HN822">
        <f>IF(ISBLANK('Data Entry'!$Ğ$822), "", 'Data Entry'!$Ğ$822)</f>
      </c>
      <c r="HO822">
        <f>IF(ISBLANK('Data Entry'!$ğ$822), "", 'Data Entry'!$ğ$822)</f>
      </c>
      <c r="HP822">
        <f>IF(ISBLANK('Data Entry'!$Ġ$822), "", 'Data Entry'!$Ġ$822)</f>
      </c>
      <c r="HQ822">
        <f>IF(ISBLANK('Data Entry'!$ġ$822), "", 'Data Entry'!$ġ$822)</f>
      </c>
      <c r="HR822">
        <f>IF(ISBLANK('Data Entry'!$Ģ$822), "", 'Data Entry'!$Ģ$822)</f>
      </c>
      <c r="HS822">
        <f>IF(ISBLANK('Data Entry'!$ģ$822), "", 'Data Entry'!$ģ$822)</f>
      </c>
      <c r="HT822">
        <f>IF(ISBLANK('Data Entry'!$Ĥ$822), "", 'Data Entry'!$Ĥ$822)</f>
      </c>
      <c r="HU822">
        <f>IF(ISBLANK('Data Entry'!$ĥ$822), "", 'Data Entry'!$ĥ$822)</f>
      </c>
      <c r="HV822">
        <f>IF(ISBLANK('Data Entry'!$Ħ$822), "", 'Data Entry'!$Ħ$822)</f>
      </c>
      <c r="HW822">
        <f>IF(ISBLANK('Data Entry'!$ħ$822), "", 'Data Entry'!$ħ$822)</f>
      </c>
      <c r="HX822">
        <f>IF(ISBLANK('Data Entry'!$Ĩ$822), "", 'Data Entry'!$Ĩ$822)</f>
      </c>
      <c r="HY822">
        <f>IF(ISBLANK('Data Entry'!$ĩ$822), "", 'Data Entry'!$ĩ$822)</f>
      </c>
      <c r="HZ822">
        <f>IF(ISBLANK('Data Entry'!$Ī$822), "", 'Data Entry'!$Ī$822)</f>
      </c>
      <c r="IA822">
        <f>IF(ISBLANK('Data Entry'!$ī$822), "", 'Data Entry'!$ī$822)</f>
      </c>
      <c r="IB822">
        <f>IF(ISBLANK('Data Entry'!$Ĭ$822), "", 'Data Entry'!$Ĭ$822)</f>
      </c>
      <c r="IC822">
        <f>IF(ISBLANK('Data Entry'!$ĭ$822), "", 'Data Entry'!$ĭ$822)</f>
      </c>
      <c r="ID822">
        <f>IF(ISBLANK('Data Entry'!$Į$822), "", 'Data Entry'!$Į$822)</f>
      </c>
      <c r="IE822">
        <f>IF(ISBLANK('Data Entry'!$į$822), "", 'Data Entry'!$į$822)</f>
      </c>
      <c r="IF822">
        <f>IF(ISBLANK('Data Entry'!$İ$822), "", 'Data Entry'!$İ$822)</f>
      </c>
      <c r="IG822">
        <f>IF(ISBLANK('Data Entry'!$ı$822), "", 'Data Entry'!$ı$822)</f>
      </c>
      <c r="IH822">
        <f>IF(ISBLANK('Data Entry'!$Ĳ$822), "", 'Data Entry'!$Ĳ$822)</f>
      </c>
      <c r="II822">
        <f>IF(ISBLANK('Data Entry'!$ĳ$822), "", 'Data Entry'!$ĳ$822)</f>
      </c>
      <c r="IJ822">
        <f>IF(ISBLANK('Data Entry'!$Ĵ$822), "", 'Data Entry'!$Ĵ$822)</f>
      </c>
      <c r="IK822">
        <f>IF(ISBLANK('Data Entry'!$ĵ$822), "", 'Data Entry'!$ĵ$822)</f>
      </c>
      <c r="IL822">
        <f>IF(ISBLANK('Data Entry'!$Ķ$822), "", 'Data Entry'!$Ķ$822)</f>
      </c>
      <c r="IM822">
        <f>IF(ISBLANK('Data Entry'!$ķ$822), "", 'Data Entry'!$ķ$822)</f>
      </c>
      <c r="IN822">
        <f>IF(ISBLANK('Data Entry'!$ĸ$822), "", 'Data Entry'!$ĸ$822)</f>
      </c>
      <c r="IO822">
        <f>IF(ISBLANK('Data Entry'!$Ĺ$822), "", 'Data Entry'!$Ĺ$822)</f>
      </c>
      <c r="IP822">
        <f>IF(ISBLANK('Data Entry'!$ĺ$822), "", 'Data Entry'!$ĺ$822)</f>
      </c>
      <c r="IQ822">
        <f>IF(ISBLANK('Data Entry'!$Ļ$822), "", 'Data Entry'!$Ļ$822)</f>
      </c>
      <c r="IR822">
        <f>IF(ISBLANK('Data Entry'!$ļ$822), "", 'Data Entry'!$ļ$822)</f>
      </c>
      <c r="IS822">
        <f>IF(ISBLANK('Data Entry'!$Ľ$822), "", 'Data Entry'!$Ľ$822)</f>
      </c>
      <c r="IT822">
        <f>IF(ISBLANK('Data Entry'!$ľ$822), "", 'Data Entry'!$ľ$822)</f>
      </c>
    </row>
    <row r="823" spans="1:254" x14ac:dyDescent="0.25">
      <c r="A823">
        <f>IF(ISBLANK('Data Entry'!$A$823), "", 'Data Entry'!$A$823)</f>
      </c>
      <c r="B823">
        <f>IF(ISBLANK('Data Entry'!$B$823), "", 'Data Entry'!$B$823)</f>
      </c>
      <c r="C823">
        <f>IF(ISBLANK('Data Entry'!$C$823), "", 'Data Entry'!$C$823)</f>
      </c>
      <c r="D823">
        <f>IF(ISBLANK('Data Entry'!$D$823), "", 'Data Entry'!$D$823)</f>
      </c>
      <c r="E823">
        <f>IF(ISBLANK('Data Entry'!$E$823), "", 'Data Entry'!$E$823)</f>
      </c>
      <c r="F823">
        <f>IF(ISBLANK('Data Entry'!$F$823), "", 'Data Entry'!$F$823)</f>
      </c>
      <c r="G823">
        <f>IF(ISBLANK('Data Entry'!$G$823), "", 'Data Entry'!$G$823)</f>
      </c>
      <c r="H823">
        <f>IF(ISBLANK('Data Entry'!$H$823), "", 'Data Entry'!$H$823)</f>
      </c>
      <c r="I823">
        <f>IF(ISBLANK('Data Entry'!$I$823), "", 'Data Entry'!$I$823)</f>
      </c>
      <c r="J823">
        <f>IF(ISBLANK('Data Entry'!$J$823), "", 'Data Entry'!$J$823)</f>
      </c>
      <c r="K823">
        <f>IF(ISBLANK('Data Entry'!$K$823), "", 'Data Entry'!$K$823)</f>
      </c>
      <c r="L823">
        <f>IF(ISBLANK('Data Entry'!$L$823), "", 'Data Entry'!$L$823)</f>
      </c>
      <c r="M823">
        <f>IF(ISBLANK('Data Entry'!$M$823), "", 'Data Entry'!$M$823)</f>
      </c>
      <c r="N823">
        <f>IF(ISBLANK('Data Entry'!$N$823), "", 'Data Entry'!$N$823)</f>
      </c>
      <c r="O823">
        <f>IF(ISBLANK('Data Entry'!$O$823), "", 'Data Entry'!$O$823)</f>
      </c>
      <c r="P823">
        <f>IF(ISBLANK('Data Entry'!$P$823), "", 'Data Entry'!$P$823)</f>
      </c>
      <c r="Q823">
        <f>IF(ISBLANK('Data Entry'!$Q$823), "", 'Data Entry'!$Q$823)</f>
      </c>
      <c r="R823">
        <f>IF(ISBLANK('Data Entry'!$R$823), "", 'Data Entry'!$R$823)</f>
      </c>
      <c r="S823">
        <f>IF(ISBLANK('Data Entry'!$S$823), "", 'Data Entry'!$S$823)</f>
      </c>
      <c r="T823">
        <f>IF(ISBLANK('Data Entry'!$T$823), "", 'Data Entry'!$T$823)</f>
      </c>
      <c r="U823">
        <f>IF(ISBLANK('Data Entry'!$U$823), "", 'Data Entry'!$U$823)</f>
      </c>
      <c r="V823">
        <f>IF(ISBLANK('Data Entry'!$V$823), "", 'Data Entry'!$V$823)</f>
      </c>
      <c r="W823">
        <f>IF(ISBLANK('Data Entry'!$W$823), "", 'Data Entry'!$W$823)</f>
      </c>
      <c r="X823">
        <f>IF(ISBLANK('Data Entry'!$X$823), "", 'Data Entry'!$X$823)</f>
      </c>
      <c r="Y823">
        <f>IF(ISBLANK('Data Entry'!$Y$823), "", 'Data Entry'!$Y$823)</f>
      </c>
      <c r="Z823">
        <f>IF(ISBLANK('Data Entry'!$Z$823), "", 'Data Entry'!$Z$823)</f>
      </c>
      <c r="AA823">
        <f>IF(ISBLANK('Data Entry'!$[$823), "", 'Data Entry'!$[$823)</f>
      </c>
      <c r="AB823">
        <f>IF(ISBLANK('Data Entry'!$\$823), "", 'Data Entry'!$\$823)</f>
      </c>
      <c r="AC823">
        <f>IF(ISBLANK('Data Entry'!$]$823), "", 'Data Entry'!$]$823)</f>
      </c>
      <c r="AD823">
        <f>IF(ISBLANK('Data Entry'!$^$823), "", 'Data Entry'!$^$823)</f>
      </c>
      <c r="AE823">
        <f>IF(ISBLANK('Data Entry'!$_$823), "", 'Data Entry'!$_$823)</f>
      </c>
      <c r="AF823">
        <f>IF(ISBLANK('Data Entry'!$`$823), "", 'Data Entry'!$`$823)</f>
      </c>
      <c r="AG823">
        <f>IF(ISBLANK('Data Entry'!$a$823), "", 'Data Entry'!$a$823)</f>
      </c>
      <c r="AH823">
        <f>IF(ISBLANK('Data Entry'!$b$823), "", 'Data Entry'!$b$823)</f>
      </c>
      <c r="AI823">
        <f>IF(ISBLANK('Data Entry'!$c$823), "", 'Data Entry'!$c$823)</f>
      </c>
      <c r="AJ823">
        <f>IF(ISBLANK('Data Entry'!$d$823), "", 'Data Entry'!$d$823)</f>
      </c>
      <c r="AK823">
        <f>IF(ISBLANK('Data Entry'!$e$823), "", 'Data Entry'!$e$823)</f>
      </c>
      <c r="AL823">
        <f>IF(ISBLANK('Data Entry'!$f$823), "", 'Data Entry'!$f$823)</f>
      </c>
      <c r="AM823">
        <f>IF(ISBLANK('Data Entry'!$g$823), "", 'Data Entry'!$g$823)</f>
      </c>
      <c r="AN823">
        <f>IF(ISBLANK('Data Entry'!$h$823), "", 'Data Entry'!$h$823)</f>
      </c>
      <c r="AO823">
        <f>IF(ISBLANK('Data Entry'!$i$823), "", 'Data Entry'!$i$823)</f>
      </c>
      <c r="AP823">
        <f>IF(ISBLANK('Data Entry'!$j$823), "", 'Data Entry'!$j$823)</f>
      </c>
      <c r="AQ823">
        <f>IF(ISBLANK('Data Entry'!$k$823), "", 'Data Entry'!$k$823)</f>
      </c>
      <c r="AR823">
        <f>IF(ISBLANK('Data Entry'!$l$823), "", 'Data Entry'!$l$823)</f>
      </c>
      <c r="AS823">
        <f>IF(ISBLANK('Data Entry'!$m$823), "", 'Data Entry'!$m$823)</f>
      </c>
      <c r="AT823">
        <f>IF(ISBLANK('Data Entry'!$n$823), "", 'Data Entry'!$n$823)</f>
      </c>
      <c r="AU823">
        <f>IF(ISBLANK('Data Entry'!$o$823), "", 'Data Entry'!$o$823)</f>
      </c>
      <c r="AV823">
        <f>IF(ISBLANK('Data Entry'!$p$823), "", 'Data Entry'!$p$823)</f>
      </c>
      <c r="AW823">
        <f>IF(ISBLANK('Data Entry'!$q$823), "", 'Data Entry'!$q$823)</f>
      </c>
      <c r="AX823">
        <f>IF(ISBLANK('Data Entry'!$r$823), "", 'Data Entry'!$r$823)</f>
      </c>
      <c r="AY823">
        <f>IF(ISBLANK('Data Entry'!$s$823), "", 'Data Entry'!$s$823)</f>
      </c>
      <c r="AZ823">
        <f>IF(ISBLANK('Data Entry'!$t$823), "", 'Data Entry'!$t$823)</f>
      </c>
      <c r="BA823">
        <f>IF(ISBLANK('Data Entry'!$u$823), "", 'Data Entry'!$u$823)</f>
      </c>
      <c r="BB823">
        <f>IF(ISBLANK('Data Entry'!$v$823), "", 'Data Entry'!$v$823)</f>
      </c>
      <c r="BC823">
        <f>IF(ISBLANK('Data Entry'!$w$823), "", 'Data Entry'!$w$823)</f>
      </c>
      <c r="BD823">
        <f>IF(ISBLANK('Data Entry'!$x$823), "", 'Data Entry'!$x$823)</f>
      </c>
      <c r="BE823">
        <f>IF(ISBLANK('Data Entry'!$y$823), "", 'Data Entry'!$y$823)</f>
      </c>
      <c r="BF823">
        <f>IF(ISBLANK('Data Entry'!$z$823), "", 'Data Entry'!$z$823)</f>
      </c>
      <c r="BG823">
        <f>IF(ISBLANK('Data Entry'!${$823), "", 'Data Entry'!${$823)</f>
      </c>
      <c r="BH823">
        <f>IF(ISBLANK('Data Entry'!$|$823), "", 'Data Entry'!$|$823)</f>
      </c>
      <c r="BI823">
        <f>IF(ISBLANK('Data Entry'!$}$823), "", 'Data Entry'!$}$823)</f>
      </c>
      <c r="BJ823">
        <f>IF(ISBLANK('Data Entry'!$~$823), "", 'Data Entry'!$~$823)</f>
      </c>
      <c r="BK823">
        <f>IF(ISBLANK('Data Entry'!$$823), "", 'Data Entry'!$$823)</f>
      </c>
      <c r="BL823">
        <f>IF(ISBLANK('Data Entry'!$$823), "", 'Data Entry'!$$823)</f>
      </c>
      <c r="BM823">
        <f>IF(ISBLANK('Data Entry'!$$823), "", 'Data Entry'!$$823)</f>
      </c>
      <c r="BN823">
        <f>IF(ISBLANK('Data Entry'!$$823), "", 'Data Entry'!$$823)</f>
      </c>
      <c r="BO823">
        <f>IF(ISBLANK('Data Entry'!$$823), "", 'Data Entry'!$$823)</f>
      </c>
      <c r="BP823">
        <f>IF(ISBLANK('Data Entry'!$$823), "", 'Data Entry'!$$823)</f>
      </c>
      <c r="BQ823">
        <f>IF(ISBLANK('Data Entry'!$$823), "", 'Data Entry'!$$823)</f>
      </c>
      <c r="BR823">
        <f>IF(ISBLANK('Data Entry'!$$823), "", 'Data Entry'!$$823)</f>
      </c>
      <c r="BS823">
        <f>IF(ISBLANK('Data Entry'!$$823), "", 'Data Entry'!$$823)</f>
      </c>
      <c r="BT823">
        <f>IF(ISBLANK('Data Entry'!$$823), "", 'Data Entry'!$$823)</f>
      </c>
      <c r="BU823">
        <f>IF(ISBLANK('Data Entry'!$$823), "", 'Data Entry'!$$823)</f>
      </c>
      <c r="BV823">
        <f>IF(ISBLANK('Data Entry'!$$823), "", 'Data Entry'!$$823)</f>
      </c>
      <c r="BW823">
        <f>IF(ISBLANK('Data Entry'!$$823), "", 'Data Entry'!$$823)</f>
      </c>
      <c r="BX823">
        <f>IF(ISBLANK('Data Entry'!$$823), "", 'Data Entry'!$$823)</f>
      </c>
      <c r="BY823">
        <f>IF(ISBLANK('Data Entry'!$$823), "", 'Data Entry'!$$823)</f>
      </c>
      <c r="BZ823">
        <f>IF(ISBLANK('Data Entry'!$$823), "", 'Data Entry'!$$823)</f>
      </c>
      <c r="CA823">
        <f>IF(ISBLANK('Data Entry'!$$823), "", 'Data Entry'!$$823)</f>
      </c>
      <c r="CB823">
        <f>IF(ISBLANK('Data Entry'!$$823), "", 'Data Entry'!$$823)</f>
      </c>
      <c r="CC823">
        <f>IF(ISBLANK('Data Entry'!$$823), "", 'Data Entry'!$$823)</f>
      </c>
      <c r="CD823">
        <f>IF(ISBLANK('Data Entry'!$$823), "", 'Data Entry'!$$823)</f>
      </c>
      <c r="CE823">
        <f>IF(ISBLANK('Data Entry'!$$823), "", 'Data Entry'!$$823)</f>
      </c>
      <c r="CF823">
        <f>IF(ISBLANK('Data Entry'!$$823), "", 'Data Entry'!$$823)</f>
      </c>
      <c r="CG823">
        <f>IF(ISBLANK('Data Entry'!$$823), "", 'Data Entry'!$$823)</f>
      </c>
      <c r="CH823">
        <f>IF(ISBLANK('Data Entry'!$$823), "", 'Data Entry'!$$823)</f>
      </c>
      <c r="CI823">
        <f>IF(ISBLANK('Data Entry'!$$823), "", 'Data Entry'!$$823)</f>
      </c>
      <c r="CJ823">
        <f>IF(ISBLANK('Data Entry'!$$823), "", 'Data Entry'!$$823)</f>
      </c>
      <c r="CK823">
        <f>IF(ISBLANK('Data Entry'!$$823), "", 'Data Entry'!$$823)</f>
      </c>
      <c r="CL823">
        <f>IF(ISBLANK('Data Entry'!$$823), "", 'Data Entry'!$$823)</f>
      </c>
      <c r="CM823">
        <f>IF(ISBLANK('Data Entry'!$$823), "", 'Data Entry'!$$823)</f>
      </c>
      <c r="CN823">
        <f>IF(ISBLANK('Data Entry'!$$823), "", 'Data Entry'!$$823)</f>
      </c>
      <c r="CO823">
        <f>IF(ISBLANK('Data Entry'!$$823), "", 'Data Entry'!$$823)</f>
      </c>
      <c r="CP823">
        <f>IF(ISBLANK('Data Entry'!$$823), "", 'Data Entry'!$$823)</f>
      </c>
      <c r="CQ823">
        <f>IF(ISBLANK('Data Entry'!$$823), "", 'Data Entry'!$$823)</f>
      </c>
      <c r="CR823">
        <f>IF(ISBLANK('Data Entry'!$ $823), "", 'Data Entry'!$ $823)</f>
      </c>
      <c r="CS823">
        <f>IF(ISBLANK('Data Entry'!$¡$823), "", 'Data Entry'!$¡$823)</f>
      </c>
      <c r="CT823">
        <f>IF(ISBLANK('Data Entry'!$¢$823), "", 'Data Entry'!$¢$823)</f>
      </c>
      <c r="CU823">
        <f>IF(ISBLANK('Data Entry'!$£$823), "", 'Data Entry'!$£$823)</f>
      </c>
      <c r="CV823">
        <f>IF(ISBLANK('Data Entry'!$¤$823), "", 'Data Entry'!$¤$823)</f>
      </c>
      <c r="CW823">
        <f>IF(ISBLANK('Data Entry'!$¥$823), "", 'Data Entry'!$¥$823)</f>
      </c>
      <c r="CX823">
        <f>IF(ISBLANK('Data Entry'!$¦$823), "", 'Data Entry'!$¦$823)</f>
      </c>
      <c r="CY823">
        <f>IF(ISBLANK('Data Entry'!$§$823), "", 'Data Entry'!$§$823)</f>
      </c>
      <c r="CZ823">
        <f>IF(ISBLANK('Data Entry'!$¨$823), "", 'Data Entry'!$¨$823)</f>
      </c>
      <c r="DA823">
        <f>IF(ISBLANK('Data Entry'!$©$823), "", 'Data Entry'!$©$823)</f>
      </c>
      <c r="DB823">
        <f>IF(ISBLANK('Data Entry'!$ª$823), "", 'Data Entry'!$ª$823)</f>
      </c>
      <c r="DC823">
        <f>IF(ISBLANK('Data Entry'!$«$823), "", 'Data Entry'!$«$823)</f>
      </c>
      <c r="DD823">
        <f>IF(ISBLANK('Data Entry'!$¬$823), "", 'Data Entry'!$¬$823)</f>
      </c>
      <c r="DE823">
        <f>IF(ISBLANK('Data Entry'!$­$823), "", 'Data Entry'!$­$823)</f>
      </c>
      <c r="DF823">
        <f>IF(ISBLANK('Data Entry'!$®$823), "", 'Data Entry'!$®$823)</f>
      </c>
      <c r="DG823">
        <f>IF(ISBLANK('Data Entry'!$¯$823), "", 'Data Entry'!$¯$823)</f>
      </c>
      <c r="DH823">
        <f>IF(ISBLANK('Data Entry'!$°$823), "", 'Data Entry'!$°$823)</f>
      </c>
      <c r="DI823">
        <f>IF(ISBLANK('Data Entry'!$±$823), "", 'Data Entry'!$±$823)</f>
      </c>
      <c r="DJ823">
        <f>IF(ISBLANK('Data Entry'!$²$823), "", 'Data Entry'!$²$823)</f>
      </c>
      <c r="DK823">
        <f>IF(ISBLANK('Data Entry'!$³$823), "", 'Data Entry'!$³$823)</f>
      </c>
      <c r="DL823">
        <f>IF(ISBLANK('Data Entry'!$´$823), "", 'Data Entry'!$´$823)</f>
      </c>
      <c r="DM823">
        <f>IF(ISBLANK('Data Entry'!$µ$823), "", 'Data Entry'!$µ$823)</f>
      </c>
      <c r="DN823">
        <f>IF(ISBLANK('Data Entry'!$¶$823), "", 'Data Entry'!$¶$823)</f>
      </c>
      <c r="DO823">
        <f>IF(ISBLANK('Data Entry'!$·$823), "", 'Data Entry'!$·$823)</f>
      </c>
      <c r="DP823">
        <f>IF(ISBLANK('Data Entry'!$¸$823), "", 'Data Entry'!$¸$823)</f>
      </c>
      <c r="DQ823">
        <f>IF(ISBLANK('Data Entry'!$¹$823), "", 'Data Entry'!$¹$823)</f>
      </c>
      <c r="DR823">
        <f>IF(ISBLANK('Data Entry'!$º$823), "", 'Data Entry'!$º$823)</f>
      </c>
      <c r="DS823">
        <f>IF(ISBLANK('Data Entry'!$»$823), "", 'Data Entry'!$»$823)</f>
      </c>
      <c r="DT823">
        <f>IF(ISBLANK('Data Entry'!$¼$823), "", 'Data Entry'!$¼$823)</f>
      </c>
      <c r="DU823">
        <f>IF(ISBLANK('Data Entry'!$½$823), "", 'Data Entry'!$½$823)</f>
      </c>
      <c r="DV823">
        <f>IF(ISBLANK('Data Entry'!$¾$823), "", 'Data Entry'!$¾$823)</f>
      </c>
      <c r="DW823">
        <f>IF(ISBLANK('Data Entry'!$¿$823), "", 'Data Entry'!$¿$823)</f>
      </c>
      <c r="DX823">
        <f>IF(ISBLANK('Data Entry'!$À$823), "", 'Data Entry'!$À$823)</f>
      </c>
      <c r="DY823">
        <f>IF(ISBLANK('Data Entry'!$Á$823), "", 'Data Entry'!$Á$823)</f>
      </c>
      <c r="DZ823">
        <f>IF(ISBLANK('Data Entry'!$Â$823), "", 'Data Entry'!$Â$823)</f>
      </c>
      <c r="EA823">
        <f>IF(ISBLANK('Data Entry'!$Ã$823), "", 'Data Entry'!$Ã$823)</f>
      </c>
      <c r="EB823">
        <f>IF(ISBLANK('Data Entry'!$Ä$823), "", 'Data Entry'!$Ä$823)</f>
      </c>
      <c r="EC823">
        <f>IF(ISBLANK('Data Entry'!$Å$823), "", 'Data Entry'!$Å$823)</f>
      </c>
      <c r="ED823">
        <f>IF(ISBLANK('Data Entry'!$Æ$823), "", 'Data Entry'!$Æ$823)</f>
      </c>
      <c r="EE823">
        <f>IF(ISBLANK('Data Entry'!$Ç$823), "", 'Data Entry'!$Ç$823)</f>
      </c>
      <c r="EF823">
        <f>IF(ISBLANK('Data Entry'!$È$823), "", 'Data Entry'!$È$823)</f>
      </c>
      <c r="EG823">
        <f>IF(ISBLANK('Data Entry'!$É$823), "", 'Data Entry'!$É$823)</f>
      </c>
      <c r="EH823">
        <f>IF(ISBLANK('Data Entry'!$Ê$823), "", 'Data Entry'!$Ê$823)</f>
      </c>
      <c r="EI823">
        <f>IF(ISBLANK('Data Entry'!$Ë$823), "", 'Data Entry'!$Ë$823)</f>
      </c>
      <c r="EJ823">
        <f>IF(ISBLANK('Data Entry'!$Ì$823), "", 'Data Entry'!$Ì$823)</f>
      </c>
      <c r="EK823">
        <f>IF(ISBLANK('Data Entry'!$Í$823), "", 'Data Entry'!$Í$823)</f>
      </c>
      <c r="EL823">
        <f>IF(ISBLANK('Data Entry'!$Î$823), "", 'Data Entry'!$Î$823)</f>
      </c>
      <c r="EM823">
        <f>IF(ISBLANK('Data Entry'!$Ï$823), "", 'Data Entry'!$Ï$823)</f>
      </c>
      <c r="EN823">
        <f>IF(ISBLANK('Data Entry'!$Ð$823), "", 'Data Entry'!$Ð$823)</f>
      </c>
      <c r="EO823">
        <f>IF(ISBLANK('Data Entry'!$Ñ$823), "", 'Data Entry'!$Ñ$823)</f>
      </c>
      <c r="EP823">
        <f>IF(ISBLANK('Data Entry'!$Ò$823), "", 'Data Entry'!$Ò$823)</f>
      </c>
      <c r="EQ823">
        <f>IF(ISBLANK('Data Entry'!$Ó$823), "", 'Data Entry'!$Ó$823)</f>
      </c>
      <c r="ER823">
        <f>IF(ISBLANK('Data Entry'!$Ô$823), "", 'Data Entry'!$Ô$823)</f>
      </c>
      <c r="ES823">
        <f>IF(ISBLANK('Data Entry'!$Õ$823), "", 'Data Entry'!$Õ$823)</f>
      </c>
      <c r="ET823">
        <f>IF(ISBLANK('Data Entry'!$Ö$823), "", 'Data Entry'!$Ö$823)</f>
      </c>
      <c r="EU823">
        <f>IF(ISBLANK('Data Entry'!$×$823), "", 'Data Entry'!$×$823)</f>
      </c>
      <c r="EV823">
        <f>IF(ISBLANK('Data Entry'!$Ø$823), "", 'Data Entry'!$Ø$823)</f>
      </c>
      <c r="EW823">
        <f>IF(ISBLANK('Data Entry'!$Ù$823), "", 'Data Entry'!$Ù$823)</f>
      </c>
      <c r="EX823">
        <f>IF(ISBLANK('Data Entry'!$Ú$823), "", 'Data Entry'!$Ú$823)</f>
      </c>
      <c r="EY823">
        <f>IF(ISBLANK('Data Entry'!$Û$823), "", 'Data Entry'!$Û$823)</f>
      </c>
      <c r="EZ823">
        <f>IF(ISBLANK('Data Entry'!$Ü$823), "", 'Data Entry'!$Ü$823)</f>
      </c>
      <c r="FA823">
        <f>IF(ISBLANK('Data Entry'!$Ý$823), "", 'Data Entry'!$Ý$823)</f>
      </c>
      <c r="FB823">
        <f>IF(ISBLANK('Data Entry'!$Þ$823), "", 'Data Entry'!$Þ$823)</f>
      </c>
      <c r="FC823">
        <f>IF(ISBLANK('Data Entry'!$ß$823), "", 'Data Entry'!$ß$823)</f>
      </c>
      <c r="FD823">
        <f>IF(ISBLANK('Data Entry'!$à$823), "", 'Data Entry'!$à$823)</f>
      </c>
      <c r="FE823">
        <f>IF(ISBLANK('Data Entry'!$á$823), "", 'Data Entry'!$á$823)</f>
      </c>
      <c r="FF823">
        <f>IF(ISBLANK('Data Entry'!$â$823), "", 'Data Entry'!$â$823)</f>
      </c>
      <c r="FG823">
        <f>IF(ISBLANK('Data Entry'!$ã$823), "", 'Data Entry'!$ã$823)</f>
      </c>
      <c r="FH823">
        <f>IF(ISBLANK('Data Entry'!$ä$823), "", 'Data Entry'!$ä$823)</f>
      </c>
      <c r="FI823">
        <f>IF(ISBLANK('Data Entry'!$å$823), "", 'Data Entry'!$å$823)</f>
      </c>
      <c r="FJ823">
        <f>IF(ISBLANK('Data Entry'!$æ$823), "", 'Data Entry'!$æ$823)</f>
      </c>
      <c r="FK823">
        <f>IF(ISBLANK('Data Entry'!$ç$823), "", 'Data Entry'!$ç$823)</f>
      </c>
      <c r="FL823">
        <f>IF(ISBLANK('Data Entry'!$è$823), "", 'Data Entry'!$è$823)</f>
      </c>
      <c r="FM823">
        <f>IF(ISBLANK('Data Entry'!$é$823), "", 'Data Entry'!$é$823)</f>
      </c>
      <c r="FN823">
        <f>IF(ISBLANK('Data Entry'!$ê$823), "", 'Data Entry'!$ê$823)</f>
      </c>
      <c r="FO823">
        <f>IF(ISBLANK('Data Entry'!$ë$823), "", 'Data Entry'!$ë$823)</f>
      </c>
      <c r="FP823">
        <f>IF(ISBLANK('Data Entry'!$ì$823), "", 'Data Entry'!$ì$823)</f>
      </c>
      <c r="FQ823">
        <f>IF(ISBLANK('Data Entry'!$í$823), "", 'Data Entry'!$í$823)</f>
      </c>
      <c r="FR823">
        <f>IF(ISBLANK('Data Entry'!$î$823), "", 'Data Entry'!$î$823)</f>
      </c>
      <c r="FS823">
        <f>IF(ISBLANK('Data Entry'!$ï$823), "", 'Data Entry'!$ï$823)</f>
      </c>
      <c r="FT823">
        <f>IF(ISBLANK('Data Entry'!$ð$823), "", 'Data Entry'!$ð$823)</f>
      </c>
      <c r="FU823">
        <f>IF(ISBLANK('Data Entry'!$ñ$823), "", 'Data Entry'!$ñ$823)</f>
      </c>
      <c r="FV823">
        <f>IF(ISBLANK('Data Entry'!$ò$823), "", 'Data Entry'!$ò$823)</f>
      </c>
      <c r="FW823">
        <f>IF(ISBLANK('Data Entry'!$ó$823), "", 'Data Entry'!$ó$823)</f>
      </c>
      <c r="FX823">
        <f>IF(ISBLANK('Data Entry'!$ô$823), "", 'Data Entry'!$ô$823)</f>
      </c>
      <c r="FY823">
        <f>IF(ISBLANK('Data Entry'!$õ$823), "", 'Data Entry'!$õ$823)</f>
      </c>
      <c r="FZ823">
        <f>IF(ISBLANK('Data Entry'!$ö$823), "", 'Data Entry'!$ö$823)</f>
      </c>
      <c r="GA823">
        <f>IF(ISBLANK('Data Entry'!$÷$823), "", 'Data Entry'!$÷$823)</f>
      </c>
      <c r="GB823">
        <f>IF(ISBLANK('Data Entry'!$ø$823), "", 'Data Entry'!$ø$823)</f>
      </c>
      <c r="GC823">
        <f>IF(ISBLANK('Data Entry'!$ù$823), "", 'Data Entry'!$ù$823)</f>
      </c>
      <c r="GD823">
        <f>IF(ISBLANK('Data Entry'!$ú$823), "", 'Data Entry'!$ú$823)</f>
      </c>
      <c r="GE823">
        <f>IF(ISBLANK('Data Entry'!$û$823), "", 'Data Entry'!$û$823)</f>
      </c>
      <c r="GF823">
        <f>IF(ISBLANK('Data Entry'!$ü$823), "", 'Data Entry'!$ü$823)</f>
      </c>
      <c r="GG823">
        <f>IF(ISBLANK('Data Entry'!$ý$823), "", 'Data Entry'!$ý$823)</f>
      </c>
      <c r="GH823">
        <f>IF(ISBLANK('Data Entry'!$þ$823), "", 'Data Entry'!$þ$823)</f>
      </c>
      <c r="GI823">
        <f>IF(ISBLANK('Data Entry'!$ÿ$823), "", 'Data Entry'!$ÿ$823)</f>
      </c>
      <c r="GJ823">
        <f>IF(ISBLANK('Data Entry'!$Ā$823), "", 'Data Entry'!$Ā$823)</f>
      </c>
      <c r="GK823">
        <f>IF(ISBLANK('Data Entry'!$ā$823), "", 'Data Entry'!$ā$823)</f>
      </c>
      <c r="GL823">
        <f>IF(ISBLANK('Data Entry'!$Ă$823), "", 'Data Entry'!$Ă$823)</f>
      </c>
      <c r="GM823">
        <f>IF(ISBLANK('Data Entry'!$ă$823), "", 'Data Entry'!$ă$823)</f>
      </c>
      <c r="GN823">
        <f>IF(ISBLANK('Data Entry'!$Ą$823), "", 'Data Entry'!$Ą$823)</f>
      </c>
      <c r="GO823">
        <f>IF(ISBLANK('Data Entry'!$ą$823), "", 'Data Entry'!$ą$823)</f>
      </c>
      <c r="GP823">
        <f>IF(ISBLANK('Data Entry'!$Ć$823), "", 'Data Entry'!$Ć$823)</f>
      </c>
      <c r="GQ823">
        <f>IF(ISBLANK('Data Entry'!$ć$823), "", 'Data Entry'!$ć$823)</f>
      </c>
      <c r="GR823">
        <f>IF(ISBLANK('Data Entry'!$Ĉ$823), "", 'Data Entry'!$Ĉ$823)</f>
      </c>
      <c r="GS823">
        <f>IF(ISBLANK('Data Entry'!$ĉ$823), "", 'Data Entry'!$ĉ$823)</f>
      </c>
      <c r="GT823">
        <f>IF(ISBLANK('Data Entry'!$Ċ$823), "", 'Data Entry'!$Ċ$823)</f>
      </c>
      <c r="GU823">
        <f>IF(ISBLANK('Data Entry'!$ċ$823), "", 'Data Entry'!$ċ$823)</f>
      </c>
      <c r="GV823">
        <f>IF(ISBLANK('Data Entry'!$Č$823), "", 'Data Entry'!$Č$823)</f>
      </c>
      <c r="GW823">
        <f>IF(ISBLANK('Data Entry'!$č$823), "", 'Data Entry'!$č$823)</f>
      </c>
      <c r="GX823">
        <f>IF(ISBLANK('Data Entry'!$Ď$823), "", 'Data Entry'!$Ď$823)</f>
      </c>
      <c r="GY823">
        <f>IF(ISBLANK('Data Entry'!$ď$823), "", 'Data Entry'!$ď$823)</f>
      </c>
      <c r="GZ823">
        <f>IF(ISBLANK('Data Entry'!$Đ$823), "", 'Data Entry'!$Đ$823)</f>
      </c>
      <c r="HA823">
        <f>IF(ISBLANK('Data Entry'!$đ$823), "", 'Data Entry'!$đ$823)</f>
      </c>
      <c r="HB823">
        <f>IF(ISBLANK('Data Entry'!$Ē$823), "", 'Data Entry'!$Ē$823)</f>
      </c>
      <c r="HC823">
        <f>IF(ISBLANK('Data Entry'!$ē$823), "", 'Data Entry'!$ē$823)</f>
      </c>
      <c r="HD823">
        <f>IF(ISBLANK('Data Entry'!$Ĕ$823), "", 'Data Entry'!$Ĕ$823)</f>
      </c>
      <c r="HE823">
        <f>IF(ISBLANK('Data Entry'!$ĕ$823), "", 'Data Entry'!$ĕ$823)</f>
      </c>
      <c r="HF823">
        <f>IF(ISBLANK('Data Entry'!$Ė$823), "", 'Data Entry'!$Ė$823)</f>
      </c>
      <c r="HG823">
        <f>IF(ISBLANK('Data Entry'!$ė$823), "", 'Data Entry'!$ė$823)</f>
      </c>
      <c r="HH823">
        <f>IF(ISBLANK('Data Entry'!$Ę$823), "", 'Data Entry'!$Ę$823)</f>
      </c>
      <c r="HI823">
        <f>IF(ISBLANK('Data Entry'!$ę$823), "", 'Data Entry'!$ę$823)</f>
      </c>
      <c r="HJ823">
        <f>IF(ISBLANK('Data Entry'!$Ě$823), "", 'Data Entry'!$Ě$823)</f>
      </c>
      <c r="HK823">
        <f>IF(ISBLANK('Data Entry'!$ě$823), "", 'Data Entry'!$ě$823)</f>
      </c>
      <c r="HL823">
        <f>IF(ISBLANK('Data Entry'!$Ĝ$823), "", 'Data Entry'!$Ĝ$823)</f>
      </c>
      <c r="HM823">
        <f>IF(ISBLANK('Data Entry'!$ĝ$823), "", 'Data Entry'!$ĝ$823)</f>
      </c>
      <c r="HN823">
        <f>IF(ISBLANK('Data Entry'!$Ğ$823), "", 'Data Entry'!$Ğ$823)</f>
      </c>
      <c r="HO823">
        <f>IF(ISBLANK('Data Entry'!$ğ$823), "", 'Data Entry'!$ğ$823)</f>
      </c>
      <c r="HP823">
        <f>IF(ISBLANK('Data Entry'!$Ġ$823), "", 'Data Entry'!$Ġ$823)</f>
      </c>
      <c r="HQ823">
        <f>IF(ISBLANK('Data Entry'!$ġ$823), "", 'Data Entry'!$ġ$823)</f>
      </c>
      <c r="HR823">
        <f>IF(ISBLANK('Data Entry'!$Ģ$823), "", 'Data Entry'!$Ģ$823)</f>
      </c>
      <c r="HS823">
        <f>IF(ISBLANK('Data Entry'!$ģ$823), "", 'Data Entry'!$ģ$823)</f>
      </c>
      <c r="HT823">
        <f>IF(ISBLANK('Data Entry'!$Ĥ$823), "", 'Data Entry'!$Ĥ$823)</f>
      </c>
      <c r="HU823">
        <f>IF(ISBLANK('Data Entry'!$ĥ$823), "", 'Data Entry'!$ĥ$823)</f>
      </c>
      <c r="HV823">
        <f>IF(ISBLANK('Data Entry'!$Ħ$823), "", 'Data Entry'!$Ħ$823)</f>
      </c>
      <c r="HW823">
        <f>IF(ISBLANK('Data Entry'!$ħ$823), "", 'Data Entry'!$ħ$823)</f>
      </c>
      <c r="HX823">
        <f>IF(ISBLANK('Data Entry'!$Ĩ$823), "", 'Data Entry'!$Ĩ$823)</f>
      </c>
      <c r="HY823">
        <f>IF(ISBLANK('Data Entry'!$ĩ$823), "", 'Data Entry'!$ĩ$823)</f>
      </c>
      <c r="HZ823">
        <f>IF(ISBLANK('Data Entry'!$Ī$823), "", 'Data Entry'!$Ī$823)</f>
      </c>
      <c r="IA823">
        <f>IF(ISBLANK('Data Entry'!$ī$823), "", 'Data Entry'!$ī$823)</f>
      </c>
      <c r="IB823">
        <f>IF(ISBLANK('Data Entry'!$Ĭ$823), "", 'Data Entry'!$Ĭ$823)</f>
      </c>
      <c r="IC823">
        <f>IF(ISBLANK('Data Entry'!$ĭ$823), "", 'Data Entry'!$ĭ$823)</f>
      </c>
      <c r="ID823">
        <f>IF(ISBLANK('Data Entry'!$Į$823), "", 'Data Entry'!$Į$823)</f>
      </c>
      <c r="IE823">
        <f>IF(ISBLANK('Data Entry'!$į$823), "", 'Data Entry'!$į$823)</f>
      </c>
      <c r="IF823">
        <f>IF(ISBLANK('Data Entry'!$İ$823), "", 'Data Entry'!$İ$823)</f>
      </c>
      <c r="IG823">
        <f>IF(ISBLANK('Data Entry'!$ı$823), "", 'Data Entry'!$ı$823)</f>
      </c>
      <c r="IH823">
        <f>IF(ISBLANK('Data Entry'!$Ĳ$823), "", 'Data Entry'!$Ĳ$823)</f>
      </c>
      <c r="II823">
        <f>IF(ISBLANK('Data Entry'!$ĳ$823), "", 'Data Entry'!$ĳ$823)</f>
      </c>
      <c r="IJ823">
        <f>IF(ISBLANK('Data Entry'!$Ĵ$823), "", 'Data Entry'!$Ĵ$823)</f>
      </c>
      <c r="IK823">
        <f>IF(ISBLANK('Data Entry'!$ĵ$823), "", 'Data Entry'!$ĵ$823)</f>
      </c>
      <c r="IL823">
        <f>IF(ISBLANK('Data Entry'!$Ķ$823), "", 'Data Entry'!$Ķ$823)</f>
      </c>
      <c r="IM823">
        <f>IF(ISBLANK('Data Entry'!$ķ$823), "", 'Data Entry'!$ķ$823)</f>
      </c>
      <c r="IN823">
        <f>IF(ISBLANK('Data Entry'!$ĸ$823), "", 'Data Entry'!$ĸ$823)</f>
      </c>
      <c r="IO823">
        <f>IF(ISBLANK('Data Entry'!$Ĺ$823), "", 'Data Entry'!$Ĺ$823)</f>
      </c>
      <c r="IP823">
        <f>IF(ISBLANK('Data Entry'!$ĺ$823), "", 'Data Entry'!$ĺ$823)</f>
      </c>
      <c r="IQ823">
        <f>IF(ISBLANK('Data Entry'!$Ļ$823), "", 'Data Entry'!$Ļ$823)</f>
      </c>
      <c r="IR823">
        <f>IF(ISBLANK('Data Entry'!$ļ$823), "", 'Data Entry'!$ļ$823)</f>
      </c>
      <c r="IS823">
        <f>IF(ISBLANK('Data Entry'!$Ľ$823), "", 'Data Entry'!$Ľ$823)</f>
      </c>
      <c r="IT823">
        <f>IF(ISBLANK('Data Entry'!$ľ$823), "", 'Data Entry'!$ľ$823)</f>
      </c>
    </row>
    <row r="824" spans="1:254" x14ac:dyDescent="0.25">
      <c r="A824">
        <f>IF(ISBLANK('Data Entry'!$A$824), "", 'Data Entry'!$A$824)</f>
      </c>
      <c r="B824">
        <f>IF(ISBLANK('Data Entry'!$B$824), "", 'Data Entry'!$B$824)</f>
      </c>
      <c r="C824">
        <f>IF(ISBLANK('Data Entry'!$C$824), "", 'Data Entry'!$C$824)</f>
      </c>
      <c r="D824">
        <f>IF(ISBLANK('Data Entry'!$D$824), "", 'Data Entry'!$D$824)</f>
      </c>
      <c r="E824">
        <f>IF(ISBLANK('Data Entry'!$E$824), "", 'Data Entry'!$E$824)</f>
      </c>
      <c r="F824">
        <f>IF(ISBLANK('Data Entry'!$F$824), "", 'Data Entry'!$F$824)</f>
      </c>
      <c r="G824">
        <f>IF(ISBLANK('Data Entry'!$G$824), "", 'Data Entry'!$G$824)</f>
      </c>
      <c r="H824">
        <f>IF(ISBLANK('Data Entry'!$H$824), "", 'Data Entry'!$H$824)</f>
      </c>
      <c r="I824">
        <f>IF(ISBLANK('Data Entry'!$I$824), "", 'Data Entry'!$I$824)</f>
      </c>
      <c r="J824">
        <f>IF(ISBLANK('Data Entry'!$J$824), "", 'Data Entry'!$J$824)</f>
      </c>
      <c r="K824">
        <f>IF(ISBLANK('Data Entry'!$K$824), "", 'Data Entry'!$K$824)</f>
      </c>
      <c r="L824">
        <f>IF(ISBLANK('Data Entry'!$L$824), "", 'Data Entry'!$L$824)</f>
      </c>
      <c r="M824">
        <f>IF(ISBLANK('Data Entry'!$M$824), "", 'Data Entry'!$M$824)</f>
      </c>
      <c r="N824">
        <f>IF(ISBLANK('Data Entry'!$N$824), "", 'Data Entry'!$N$824)</f>
      </c>
      <c r="O824">
        <f>IF(ISBLANK('Data Entry'!$O$824), "", 'Data Entry'!$O$824)</f>
      </c>
      <c r="P824">
        <f>IF(ISBLANK('Data Entry'!$P$824), "", 'Data Entry'!$P$824)</f>
      </c>
      <c r="Q824">
        <f>IF(ISBLANK('Data Entry'!$Q$824), "", 'Data Entry'!$Q$824)</f>
      </c>
      <c r="R824">
        <f>IF(ISBLANK('Data Entry'!$R$824), "", 'Data Entry'!$R$824)</f>
      </c>
      <c r="S824">
        <f>IF(ISBLANK('Data Entry'!$S$824), "", 'Data Entry'!$S$824)</f>
      </c>
      <c r="T824">
        <f>IF(ISBLANK('Data Entry'!$T$824), "", 'Data Entry'!$T$824)</f>
      </c>
      <c r="U824">
        <f>IF(ISBLANK('Data Entry'!$U$824), "", 'Data Entry'!$U$824)</f>
      </c>
      <c r="V824">
        <f>IF(ISBLANK('Data Entry'!$V$824), "", 'Data Entry'!$V$824)</f>
      </c>
      <c r="W824">
        <f>IF(ISBLANK('Data Entry'!$W$824), "", 'Data Entry'!$W$824)</f>
      </c>
      <c r="X824">
        <f>IF(ISBLANK('Data Entry'!$X$824), "", 'Data Entry'!$X$824)</f>
      </c>
      <c r="Y824">
        <f>IF(ISBLANK('Data Entry'!$Y$824), "", 'Data Entry'!$Y$824)</f>
      </c>
      <c r="Z824">
        <f>IF(ISBLANK('Data Entry'!$Z$824), "", 'Data Entry'!$Z$824)</f>
      </c>
      <c r="AA824">
        <f>IF(ISBLANK('Data Entry'!$[$824), "", 'Data Entry'!$[$824)</f>
      </c>
      <c r="AB824">
        <f>IF(ISBLANK('Data Entry'!$\$824), "", 'Data Entry'!$\$824)</f>
      </c>
      <c r="AC824">
        <f>IF(ISBLANK('Data Entry'!$]$824), "", 'Data Entry'!$]$824)</f>
      </c>
      <c r="AD824">
        <f>IF(ISBLANK('Data Entry'!$^$824), "", 'Data Entry'!$^$824)</f>
      </c>
      <c r="AE824">
        <f>IF(ISBLANK('Data Entry'!$_$824), "", 'Data Entry'!$_$824)</f>
      </c>
      <c r="AF824">
        <f>IF(ISBLANK('Data Entry'!$`$824), "", 'Data Entry'!$`$824)</f>
      </c>
      <c r="AG824">
        <f>IF(ISBLANK('Data Entry'!$a$824), "", 'Data Entry'!$a$824)</f>
      </c>
      <c r="AH824">
        <f>IF(ISBLANK('Data Entry'!$b$824), "", 'Data Entry'!$b$824)</f>
      </c>
      <c r="AI824">
        <f>IF(ISBLANK('Data Entry'!$c$824), "", 'Data Entry'!$c$824)</f>
      </c>
      <c r="AJ824">
        <f>IF(ISBLANK('Data Entry'!$d$824), "", 'Data Entry'!$d$824)</f>
      </c>
      <c r="AK824">
        <f>IF(ISBLANK('Data Entry'!$e$824), "", 'Data Entry'!$e$824)</f>
      </c>
      <c r="AL824">
        <f>IF(ISBLANK('Data Entry'!$f$824), "", 'Data Entry'!$f$824)</f>
      </c>
      <c r="AM824">
        <f>IF(ISBLANK('Data Entry'!$g$824), "", 'Data Entry'!$g$824)</f>
      </c>
      <c r="AN824">
        <f>IF(ISBLANK('Data Entry'!$h$824), "", 'Data Entry'!$h$824)</f>
      </c>
      <c r="AO824">
        <f>IF(ISBLANK('Data Entry'!$i$824), "", 'Data Entry'!$i$824)</f>
      </c>
      <c r="AP824">
        <f>IF(ISBLANK('Data Entry'!$j$824), "", 'Data Entry'!$j$824)</f>
      </c>
      <c r="AQ824">
        <f>IF(ISBLANK('Data Entry'!$k$824), "", 'Data Entry'!$k$824)</f>
      </c>
      <c r="AR824">
        <f>IF(ISBLANK('Data Entry'!$l$824), "", 'Data Entry'!$l$824)</f>
      </c>
      <c r="AS824">
        <f>IF(ISBLANK('Data Entry'!$m$824), "", 'Data Entry'!$m$824)</f>
      </c>
      <c r="AT824">
        <f>IF(ISBLANK('Data Entry'!$n$824), "", 'Data Entry'!$n$824)</f>
      </c>
      <c r="AU824">
        <f>IF(ISBLANK('Data Entry'!$o$824), "", 'Data Entry'!$o$824)</f>
      </c>
      <c r="AV824">
        <f>IF(ISBLANK('Data Entry'!$p$824), "", 'Data Entry'!$p$824)</f>
      </c>
      <c r="AW824">
        <f>IF(ISBLANK('Data Entry'!$q$824), "", 'Data Entry'!$q$824)</f>
      </c>
      <c r="AX824">
        <f>IF(ISBLANK('Data Entry'!$r$824), "", 'Data Entry'!$r$824)</f>
      </c>
      <c r="AY824">
        <f>IF(ISBLANK('Data Entry'!$s$824), "", 'Data Entry'!$s$824)</f>
      </c>
      <c r="AZ824">
        <f>IF(ISBLANK('Data Entry'!$t$824), "", 'Data Entry'!$t$824)</f>
      </c>
      <c r="BA824">
        <f>IF(ISBLANK('Data Entry'!$u$824), "", 'Data Entry'!$u$824)</f>
      </c>
      <c r="BB824">
        <f>IF(ISBLANK('Data Entry'!$v$824), "", 'Data Entry'!$v$824)</f>
      </c>
      <c r="BC824">
        <f>IF(ISBLANK('Data Entry'!$w$824), "", 'Data Entry'!$w$824)</f>
      </c>
      <c r="BD824">
        <f>IF(ISBLANK('Data Entry'!$x$824), "", 'Data Entry'!$x$824)</f>
      </c>
      <c r="BE824">
        <f>IF(ISBLANK('Data Entry'!$y$824), "", 'Data Entry'!$y$824)</f>
      </c>
      <c r="BF824">
        <f>IF(ISBLANK('Data Entry'!$z$824), "", 'Data Entry'!$z$824)</f>
      </c>
      <c r="BG824">
        <f>IF(ISBLANK('Data Entry'!${$824), "", 'Data Entry'!${$824)</f>
      </c>
      <c r="BH824">
        <f>IF(ISBLANK('Data Entry'!$|$824), "", 'Data Entry'!$|$824)</f>
      </c>
      <c r="BI824">
        <f>IF(ISBLANK('Data Entry'!$}$824), "", 'Data Entry'!$}$824)</f>
      </c>
      <c r="BJ824">
        <f>IF(ISBLANK('Data Entry'!$~$824), "", 'Data Entry'!$~$824)</f>
      </c>
      <c r="BK824">
        <f>IF(ISBLANK('Data Entry'!$$824), "", 'Data Entry'!$$824)</f>
      </c>
      <c r="BL824">
        <f>IF(ISBLANK('Data Entry'!$$824), "", 'Data Entry'!$$824)</f>
      </c>
      <c r="BM824">
        <f>IF(ISBLANK('Data Entry'!$$824), "", 'Data Entry'!$$824)</f>
      </c>
      <c r="BN824">
        <f>IF(ISBLANK('Data Entry'!$$824), "", 'Data Entry'!$$824)</f>
      </c>
      <c r="BO824">
        <f>IF(ISBLANK('Data Entry'!$$824), "", 'Data Entry'!$$824)</f>
      </c>
      <c r="BP824">
        <f>IF(ISBLANK('Data Entry'!$$824), "", 'Data Entry'!$$824)</f>
      </c>
      <c r="BQ824">
        <f>IF(ISBLANK('Data Entry'!$$824), "", 'Data Entry'!$$824)</f>
      </c>
      <c r="BR824">
        <f>IF(ISBLANK('Data Entry'!$$824), "", 'Data Entry'!$$824)</f>
      </c>
      <c r="BS824">
        <f>IF(ISBLANK('Data Entry'!$$824), "", 'Data Entry'!$$824)</f>
      </c>
      <c r="BT824">
        <f>IF(ISBLANK('Data Entry'!$$824), "", 'Data Entry'!$$824)</f>
      </c>
      <c r="BU824">
        <f>IF(ISBLANK('Data Entry'!$$824), "", 'Data Entry'!$$824)</f>
      </c>
      <c r="BV824">
        <f>IF(ISBLANK('Data Entry'!$$824), "", 'Data Entry'!$$824)</f>
      </c>
      <c r="BW824">
        <f>IF(ISBLANK('Data Entry'!$$824), "", 'Data Entry'!$$824)</f>
      </c>
      <c r="BX824">
        <f>IF(ISBLANK('Data Entry'!$$824), "", 'Data Entry'!$$824)</f>
      </c>
      <c r="BY824">
        <f>IF(ISBLANK('Data Entry'!$$824), "", 'Data Entry'!$$824)</f>
      </c>
      <c r="BZ824">
        <f>IF(ISBLANK('Data Entry'!$$824), "", 'Data Entry'!$$824)</f>
      </c>
      <c r="CA824">
        <f>IF(ISBLANK('Data Entry'!$$824), "", 'Data Entry'!$$824)</f>
      </c>
      <c r="CB824">
        <f>IF(ISBLANK('Data Entry'!$$824), "", 'Data Entry'!$$824)</f>
      </c>
      <c r="CC824">
        <f>IF(ISBLANK('Data Entry'!$$824), "", 'Data Entry'!$$824)</f>
      </c>
      <c r="CD824">
        <f>IF(ISBLANK('Data Entry'!$$824), "", 'Data Entry'!$$824)</f>
      </c>
      <c r="CE824">
        <f>IF(ISBLANK('Data Entry'!$$824), "", 'Data Entry'!$$824)</f>
      </c>
      <c r="CF824">
        <f>IF(ISBLANK('Data Entry'!$$824), "", 'Data Entry'!$$824)</f>
      </c>
      <c r="CG824">
        <f>IF(ISBLANK('Data Entry'!$$824), "", 'Data Entry'!$$824)</f>
      </c>
      <c r="CH824">
        <f>IF(ISBLANK('Data Entry'!$$824), "", 'Data Entry'!$$824)</f>
      </c>
      <c r="CI824">
        <f>IF(ISBLANK('Data Entry'!$$824), "", 'Data Entry'!$$824)</f>
      </c>
      <c r="CJ824">
        <f>IF(ISBLANK('Data Entry'!$$824), "", 'Data Entry'!$$824)</f>
      </c>
      <c r="CK824">
        <f>IF(ISBLANK('Data Entry'!$$824), "", 'Data Entry'!$$824)</f>
      </c>
      <c r="CL824">
        <f>IF(ISBLANK('Data Entry'!$$824), "", 'Data Entry'!$$824)</f>
      </c>
      <c r="CM824">
        <f>IF(ISBLANK('Data Entry'!$$824), "", 'Data Entry'!$$824)</f>
      </c>
      <c r="CN824">
        <f>IF(ISBLANK('Data Entry'!$$824), "", 'Data Entry'!$$824)</f>
      </c>
      <c r="CO824">
        <f>IF(ISBLANK('Data Entry'!$$824), "", 'Data Entry'!$$824)</f>
      </c>
      <c r="CP824">
        <f>IF(ISBLANK('Data Entry'!$$824), "", 'Data Entry'!$$824)</f>
      </c>
      <c r="CQ824">
        <f>IF(ISBLANK('Data Entry'!$$824), "", 'Data Entry'!$$824)</f>
      </c>
      <c r="CR824">
        <f>IF(ISBLANK('Data Entry'!$ $824), "", 'Data Entry'!$ $824)</f>
      </c>
      <c r="CS824">
        <f>IF(ISBLANK('Data Entry'!$¡$824), "", 'Data Entry'!$¡$824)</f>
      </c>
      <c r="CT824">
        <f>IF(ISBLANK('Data Entry'!$¢$824), "", 'Data Entry'!$¢$824)</f>
      </c>
      <c r="CU824">
        <f>IF(ISBLANK('Data Entry'!$£$824), "", 'Data Entry'!$£$824)</f>
      </c>
      <c r="CV824">
        <f>IF(ISBLANK('Data Entry'!$¤$824), "", 'Data Entry'!$¤$824)</f>
      </c>
      <c r="CW824">
        <f>IF(ISBLANK('Data Entry'!$¥$824), "", 'Data Entry'!$¥$824)</f>
      </c>
      <c r="CX824">
        <f>IF(ISBLANK('Data Entry'!$¦$824), "", 'Data Entry'!$¦$824)</f>
      </c>
      <c r="CY824">
        <f>IF(ISBLANK('Data Entry'!$§$824), "", 'Data Entry'!$§$824)</f>
      </c>
      <c r="CZ824">
        <f>IF(ISBLANK('Data Entry'!$¨$824), "", 'Data Entry'!$¨$824)</f>
      </c>
      <c r="DA824">
        <f>IF(ISBLANK('Data Entry'!$©$824), "", 'Data Entry'!$©$824)</f>
      </c>
      <c r="DB824">
        <f>IF(ISBLANK('Data Entry'!$ª$824), "", 'Data Entry'!$ª$824)</f>
      </c>
      <c r="DC824">
        <f>IF(ISBLANK('Data Entry'!$«$824), "", 'Data Entry'!$«$824)</f>
      </c>
      <c r="DD824">
        <f>IF(ISBLANK('Data Entry'!$¬$824), "", 'Data Entry'!$¬$824)</f>
      </c>
      <c r="DE824">
        <f>IF(ISBLANK('Data Entry'!$­$824), "", 'Data Entry'!$­$824)</f>
      </c>
      <c r="DF824">
        <f>IF(ISBLANK('Data Entry'!$®$824), "", 'Data Entry'!$®$824)</f>
      </c>
      <c r="DG824">
        <f>IF(ISBLANK('Data Entry'!$¯$824), "", 'Data Entry'!$¯$824)</f>
      </c>
      <c r="DH824">
        <f>IF(ISBLANK('Data Entry'!$°$824), "", 'Data Entry'!$°$824)</f>
      </c>
      <c r="DI824">
        <f>IF(ISBLANK('Data Entry'!$±$824), "", 'Data Entry'!$±$824)</f>
      </c>
      <c r="DJ824">
        <f>IF(ISBLANK('Data Entry'!$²$824), "", 'Data Entry'!$²$824)</f>
      </c>
      <c r="DK824">
        <f>IF(ISBLANK('Data Entry'!$³$824), "", 'Data Entry'!$³$824)</f>
      </c>
      <c r="DL824">
        <f>IF(ISBLANK('Data Entry'!$´$824), "", 'Data Entry'!$´$824)</f>
      </c>
      <c r="DM824">
        <f>IF(ISBLANK('Data Entry'!$µ$824), "", 'Data Entry'!$µ$824)</f>
      </c>
      <c r="DN824">
        <f>IF(ISBLANK('Data Entry'!$¶$824), "", 'Data Entry'!$¶$824)</f>
      </c>
      <c r="DO824">
        <f>IF(ISBLANK('Data Entry'!$·$824), "", 'Data Entry'!$·$824)</f>
      </c>
      <c r="DP824">
        <f>IF(ISBLANK('Data Entry'!$¸$824), "", 'Data Entry'!$¸$824)</f>
      </c>
      <c r="DQ824">
        <f>IF(ISBLANK('Data Entry'!$¹$824), "", 'Data Entry'!$¹$824)</f>
      </c>
      <c r="DR824">
        <f>IF(ISBLANK('Data Entry'!$º$824), "", 'Data Entry'!$º$824)</f>
      </c>
      <c r="DS824">
        <f>IF(ISBLANK('Data Entry'!$»$824), "", 'Data Entry'!$»$824)</f>
      </c>
      <c r="DT824">
        <f>IF(ISBLANK('Data Entry'!$¼$824), "", 'Data Entry'!$¼$824)</f>
      </c>
      <c r="DU824">
        <f>IF(ISBLANK('Data Entry'!$½$824), "", 'Data Entry'!$½$824)</f>
      </c>
      <c r="DV824">
        <f>IF(ISBLANK('Data Entry'!$¾$824), "", 'Data Entry'!$¾$824)</f>
      </c>
      <c r="DW824">
        <f>IF(ISBLANK('Data Entry'!$¿$824), "", 'Data Entry'!$¿$824)</f>
      </c>
      <c r="DX824">
        <f>IF(ISBLANK('Data Entry'!$À$824), "", 'Data Entry'!$À$824)</f>
      </c>
      <c r="DY824">
        <f>IF(ISBLANK('Data Entry'!$Á$824), "", 'Data Entry'!$Á$824)</f>
      </c>
      <c r="DZ824">
        <f>IF(ISBLANK('Data Entry'!$Â$824), "", 'Data Entry'!$Â$824)</f>
      </c>
      <c r="EA824">
        <f>IF(ISBLANK('Data Entry'!$Ã$824), "", 'Data Entry'!$Ã$824)</f>
      </c>
      <c r="EB824">
        <f>IF(ISBLANK('Data Entry'!$Ä$824), "", 'Data Entry'!$Ä$824)</f>
      </c>
      <c r="EC824">
        <f>IF(ISBLANK('Data Entry'!$Å$824), "", 'Data Entry'!$Å$824)</f>
      </c>
      <c r="ED824">
        <f>IF(ISBLANK('Data Entry'!$Æ$824), "", 'Data Entry'!$Æ$824)</f>
      </c>
      <c r="EE824">
        <f>IF(ISBLANK('Data Entry'!$Ç$824), "", 'Data Entry'!$Ç$824)</f>
      </c>
      <c r="EF824">
        <f>IF(ISBLANK('Data Entry'!$È$824), "", 'Data Entry'!$È$824)</f>
      </c>
      <c r="EG824">
        <f>IF(ISBLANK('Data Entry'!$É$824), "", 'Data Entry'!$É$824)</f>
      </c>
      <c r="EH824">
        <f>IF(ISBLANK('Data Entry'!$Ê$824), "", 'Data Entry'!$Ê$824)</f>
      </c>
      <c r="EI824">
        <f>IF(ISBLANK('Data Entry'!$Ë$824), "", 'Data Entry'!$Ë$824)</f>
      </c>
      <c r="EJ824">
        <f>IF(ISBLANK('Data Entry'!$Ì$824), "", 'Data Entry'!$Ì$824)</f>
      </c>
      <c r="EK824">
        <f>IF(ISBLANK('Data Entry'!$Í$824), "", 'Data Entry'!$Í$824)</f>
      </c>
      <c r="EL824">
        <f>IF(ISBLANK('Data Entry'!$Î$824), "", 'Data Entry'!$Î$824)</f>
      </c>
      <c r="EM824">
        <f>IF(ISBLANK('Data Entry'!$Ï$824), "", 'Data Entry'!$Ï$824)</f>
      </c>
      <c r="EN824">
        <f>IF(ISBLANK('Data Entry'!$Ð$824), "", 'Data Entry'!$Ð$824)</f>
      </c>
      <c r="EO824">
        <f>IF(ISBLANK('Data Entry'!$Ñ$824), "", 'Data Entry'!$Ñ$824)</f>
      </c>
      <c r="EP824">
        <f>IF(ISBLANK('Data Entry'!$Ò$824), "", 'Data Entry'!$Ò$824)</f>
      </c>
      <c r="EQ824">
        <f>IF(ISBLANK('Data Entry'!$Ó$824), "", 'Data Entry'!$Ó$824)</f>
      </c>
      <c r="ER824">
        <f>IF(ISBLANK('Data Entry'!$Ô$824), "", 'Data Entry'!$Ô$824)</f>
      </c>
      <c r="ES824">
        <f>IF(ISBLANK('Data Entry'!$Õ$824), "", 'Data Entry'!$Õ$824)</f>
      </c>
      <c r="ET824">
        <f>IF(ISBLANK('Data Entry'!$Ö$824), "", 'Data Entry'!$Ö$824)</f>
      </c>
      <c r="EU824">
        <f>IF(ISBLANK('Data Entry'!$×$824), "", 'Data Entry'!$×$824)</f>
      </c>
      <c r="EV824">
        <f>IF(ISBLANK('Data Entry'!$Ø$824), "", 'Data Entry'!$Ø$824)</f>
      </c>
      <c r="EW824">
        <f>IF(ISBLANK('Data Entry'!$Ù$824), "", 'Data Entry'!$Ù$824)</f>
      </c>
      <c r="EX824">
        <f>IF(ISBLANK('Data Entry'!$Ú$824), "", 'Data Entry'!$Ú$824)</f>
      </c>
      <c r="EY824">
        <f>IF(ISBLANK('Data Entry'!$Û$824), "", 'Data Entry'!$Û$824)</f>
      </c>
      <c r="EZ824">
        <f>IF(ISBLANK('Data Entry'!$Ü$824), "", 'Data Entry'!$Ü$824)</f>
      </c>
      <c r="FA824">
        <f>IF(ISBLANK('Data Entry'!$Ý$824), "", 'Data Entry'!$Ý$824)</f>
      </c>
      <c r="FB824">
        <f>IF(ISBLANK('Data Entry'!$Þ$824), "", 'Data Entry'!$Þ$824)</f>
      </c>
      <c r="FC824">
        <f>IF(ISBLANK('Data Entry'!$ß$824), "", 'Data Entry'!$ß$824)</f>
      </c>
      <c r="FD824">
        <f>IF(ISBLANK('Data Entry'!$à$824), "", 'Data Entry'!$à$824)</f>
      </c>
      <c r="FE824">
        <f>IF(ISBLANK('Data Entry'!$á$824), "", 'Data Entry'!$á$824)</f>
      </c>
      <c r="FF824">
        <f>IF(ISBLANK('Data Entry'!$â$824), "", 'Data Entry'!$â$824)</f>
      </c>
      <c r="FG824">
        <f>IF(ISBLANK('Data Entry'!$ã$824), "", 'Data Entry'!$ã$824)</f>
      </c>
      <c r="FH824">
        <f>IF(ISBLANK('Data Entry'!$ä$824), "", 'Data Entry'!$ä$824)</f>
      </c>
      <c r="FI824">
        <f>IF(ISBLANK('Data Entry'!$å$824), "", 'Data Entry'!$å$824)</f>
      </c>
      <c r="FJ824">
        <f>IF(ISBLANK('Data Entry'!$æ$824), "", 'Data Entry'!$æ$824)</f>
      </c>
      <c r="FK824">
        <f>IF(ISBLANK('Data Entry'!$ç$824), "", 'Data Entry'!$ç$824)</f>
      </c>
      <c r="FL824">
        <f>IF(ISBLANK('Data Entry'!$è$824), "", 'Data Entry'!$è$824)</f>
      </c>
      <c r="FM824">
        <f>IF(ISBLANK('Data Entry'!$é$824), "", 'Data Entry'!$é$824)</f>
      </c>
      <c r="FN824">
        <f>IF(ISBLANK('Data Entry'!$ê$824), "", 'Data Entry'!$ê$824)</f>
      </c>
      <c r="FO824">
        <f>IF(ISBLANK('Data Entry'!$ë$824), "", 'Data Entry'!$ë$824)</f>
      </c>
      <c r="FP824">
        <f>IF(ISBLANK('Data Entry'!$ì$824), "", 'Data Entry'!$ì$824)</f>
      </c>
      <c r="FQ824">
        <f>IF(ISBLANK('Data Entry'!$í$824), "", 'Data Entry'!$í$824)</f>
      </c>
      <c r="FR824">
        <f>IF(ISBLANK('Data Entry'!$î$824), "", 'Data Entry'!$î$824)</f>
      </c>
      <c r="FS824">
        <f>IF(ISBLANK('Data Entry'!$ï$824), "", 'Data Entry'!$ï$824)</f>
      </c>
      <c r="FT824">
        <f>IF(ISBLANK('Data Entry'!$ð$824), "", 'Data Entry'!$ð$824)</f>
      </c>
      <c r="FU824">
        <f>IF(ISBLANK('Data Entry'!$ñ$824), "", 'Data Entry'!$ñ$824)</f>
      </c>
      <c r="FV824">
        <f>IF(ISBLANK('Data Entry'!$ò$824), "", 'Data Entry'!$ò$824)</f>
      </c>
      <c r="FW824">
        <f>IF(ISBLANK('Data Entry'!$ó$824), "", 'Data Entry'!$ó$824)</f>
      </c>
      <c r="FX824">
        <f>IF(ISBLANK('Data Entry'!$ô$824), "", 'Data Entry'!$ô$824)</f>
      </c>
      <c r="FY824">
        <f>IF(ISBLANK('Data Entry'!$õ$824), "", 'Data Entry'!$õ$824)</f>
      </c>
      <c r="FZ824">
        <f>IF(ISBLANK('Data Entry'!$ö$824), "", 'Data Entry'!$ö$824)</f>
      </c>
      <c r="GA824">
        <f>IF(ISBLANK('Data Entry'!$÷$824), "", 'Data Entry'!$÷$824)</f>
      </c>
      <c r="GB824">
        <f>IF(ISBLANK('Data Entry'!$ø$824), "", 'Data Entry'!$ø$824)</f>
      </c>
      <c r="GC824">
        <f>IF(ISBLANK('Data Entry'!$ù$824), "", 'Data Entry'!$ù$824)</f>
      </c>
      <c r="GD824">
        <f>IF(ISBLANK('Data Entry'!$ú$824), "", 'Data Entry'!$ú$824)</f>
      </c>
      <c r="GE824">
        <f>IF(ISBLANK('Data Entry'!$û$824), "", 'Data Entry'!$û$824)</f>
      </c>
      <c r="GF824">
        <f>IF(ISBLANK('Data Entry'!$ü$824), "", 'Data Entry'!$ü$824)</f>
      </c>
      <c r="GG824">
        <f>IF(ISBLANK('Data Entry'!$ý$824), "", 'Data Entry'!$ý$824)</f>
      </c>
      <c r="GH824">
        <f>IF(ISBLANK('Data Entry'!$þ$824), "", 'Data Entry'!$þ$824)</f>
      </c>
      <c r="GI824">
        <f>IF(ISBLANK('Data Entry'!$ÿ$824), "", 'Data Entry'!$ÿ$824)</f>
      </c>
      <c r="GJ824">
        <f>IF(ISBLANK('Data Entry'!$Ā$824), "", 'Data Entry'!$Ā$824)</f>
      </c>
      <c r="GK824">
        <f>IF(ISBLANK('Data Entry'!$ā$824), "", 'Data Entry'!$ā$824)</f>
      </c>
      <c r="GL824">
        <f>IF(ISBLANK('Data Entry'!$Ă$824), "", 'Data Entry'!$Ă$824)</f>
      </c>
      <c r="GM824">
        <f>IF(ISBLANK('Data Entry'!$ă$824), "", 'Data Entry'!$ă$824)</f>
      </c>
      <c r="GN824">
        <f>IF(ISBLANK('Data Entry'!$Ą$824), "", 'Data Entry'!$Ą$824)</f>
      </c>
      <c r="GO824">
        <f>IF(ISBLANK('Data Entry'!$ą$824), "", 'Data Entry'!$ą$824)</f>
      </c>
      <c r="GP824">
        <f>IF(ISBLANK('Data Entry'!$Ć$824), "", 'Data Entry'!$Ć$824)</f>
      </c>
      <c r="GQ824">
        <f>IF(ISBLANK('Data Entry'!$ć$824), "", 'Data Entry'!$ć$824)</f>
      </c>
      <c r="GR824">
        <f>IF(ISBLANK('Data Entry'!$Ĉ$824), "", 'Data Entry'!$Ĉ$824)</f>
      </c>
      <c r="GS824">
        <f>IF(ISBLANK('Data Entry'!$ĉ$824), "", 'Data Entry'!$ĉ$824)</f>
      </c>
      <c r="GT824">
        <f>IF(ISBLANK('Data Entry'!$Ċ$824), "", 'Data Entry'!$Ċ$824)</f>
      </c>
      <c r="GU824">
        <f>IF(ISBLANK('Data Entry'!$ċ$824), "", 'Data Entry'!$ċ$824)</f>
      </c>
      <c r="GV824">
        <f>IF(ISBLANK('Data Entry'!$Č$824), "", 'Data Entry'!$Č$824)</f>
      </c>
      <c r="GW824">
        <f>IF(ISBLANK('Data Entry'!$č$824), "", 'Data Entry'!$č$824)</f>
      </c>
      <c r="GX824">
        <f>IF(ISBLANK('Data Entry'!$Ď$824), "", 'Data Entry'!$Ď$824)</f>
      </c>
      <c r="GY824">
        <f>IF(ISBLANK('Data Entry'!$ď$824), "", 'Data Entry'!$ď$824)</f>
      </c>
      <c r="GZ824">
        <f>IF(ISBLANK('Data Entry'!$Đ$824), "", 'Data Entry'!$Đ$824)</f>
      </c>
      <c r="HA824">
        <f>IF(ISBLANK('Data Entry'!$đ$824), "", 'Data Entry'!$đ$824)</f>
      </c>
      <c r="HB824">
        <f>IF(ISBLANK('Data Entry'!$Ē$824), "", 'Data Entry'!$Ē$824)</f>
      </c>
      <c r="HC824">
        <f>IF(ISBLANK('Data Entry'!$ē$824), "", 'Data Entry'!$ē$824)</f>
      </c>
      <c r="HD824">
        <f>IF(ISBLANK('Data Entry'!$Ĕ$824), "", 'Data Entry'!$Ĕ$824)</f>
      </c>
      <c r="HE824">
        <f>IF(ISBLANK('Data Entry'!$ĕ$824), "", 'Data Entry'!$ĕ$824)</f>
      </c>
      <c r="HF824">
        <f>IF(ISBLANK('Data Entry'!$Ė$824), "", 'Data Entry'!$Ė$824)</f>
      </c>
      <c r="HG824">
        <f>IF(ISBLANK('Data Entry'!$ė$824), "", 'Data Entry'!$ė$824)</f>
      </c>
      <c r="HH824">
        <f>IF(ISBLANK('Data Entry'!$Ę$824), "", 'Data Entry'!$Ę$824)</f>
      </c>
      <c r="HI824">
        <f>IF(ISBLANK('Data Entry'!$ę$824), "", 'Data Entry'!$ę$824)</f>
      </c>
      <c r="HJ824">
        <f>IF(ISBLANK('Data Entry'!$Ě$824), "", 'Data Entry'!$Ě$824)</f>
      </c>
      <c r="HK824">
        <f>IF(ISBLANK('Data Entry'!$ě$824), "", 'Data Entry'!$ě$824)</f>
      </c>
      <c r="HL824">
        <f>IF(ISBLANK('Data Entry'!$Ĝ$824), "", 'Data Entry'!$Ĝ$824)</f>
      </c>
      <c r="HM824">
        <f>IF(ISBLANK('Data Entry'!$ĝ$824), "", 'Data Entry'!$ĝ$824)</f>
      </c>
      <c r="HN824">
        <f>IF(ISBLANK('Data Entry'!$Ğ$824), "", 'Data Entry'!$Ğ$824)</f>
      </c>
      <c r="HO824">
        <f>IF(ISBLANK('Data Entry'!$ğ$824), "", 'Data Entry'!$ğ$824)</f>
      </c>
      <c r="HP824">
        <f>IF(ISBLANK('Data Entry'!$Ġ$824), "", 'Data Entry'!$Ġ$824)</f>
      </c>
      <c r="HQ824">
        <f>IF(ISBLANK('Data Entry'!$ġ$824), "", 'Data Entry'!$ġ$824)</f>
      </c>
      <c r="HR824">
        <f>IF(ISBLANK('Data Entry'!$Ģ$824), "", 'Data Entry'!$Ģ$824)</f>
      </c>
      <c r="HS824">
        <f>IF(ISBLANK('Data Entry'!$ģ$824), "", 'Data Entry'!$ģ$824)</f>
      </c>
      <c r="HT824">
        <f>IF(ISBLANK('Data Entry'!$Ĥ$824), "", 'Data Entry'!$Ĥ$824)</f>
      </c>
      <c r="HU824">
        <f>IF(ISBLANK('Data Entry'!$ĥ$824), "", 'Data Entry'!$ĥ$824)</f>
      </c>
      <c r="HV824">
        <f>IF(ISBLANK('Data Entry'!$Ħ$824), "", 'Data Entry'!$Ħ$824)</f>
      </c>
      <c r="HW824">
        <f>IF(ISBLANK('Data Entry'!$ħ$824), "", 'Data Entry'!$ħ$824)</f>
      </c>
      <c r="HX824">
        <f>IF(ISBLANK('Data Entry'!$Ĩ$824), "", 'Data Entry'!$Ĩ$824)</f>
      </c>
      <c r="HY824">
        <f>IF(ISBLANK('Data Entry'!$ĩ$824), "", 'Data Entry'!$ĩ$824)</f>
      </c>
      <c r="HZ824">
        <f>IF(ISBLANK('Data Entry'!$Ī$824), "", 'Data Entry'!$Ī$824)</f>
      </c>
      <c r="IA824">
        <f>IF(ISBLANK('Data Entry'!$ī$824), "", 'Data Entry'!$ī$824)</f>
      </c>
      <c r="IB824">
        <f>IF(ISBLANK('Data Entry'!$Ĭ$824), "", 'Data Entry'!$Ĭ$824)</f>
      </c>
      <c r="IC824">
        <f>IF(ISBLANK('Data Entry'!$ĭ$824), "", 'Data Entry'!$ĭ$824)</f>
      </c>
      <c r="ID824">
        <f>IF(ISBLANK('Data Entry'!$Į$824), "", 'Data Entry'!$Į$824)</f>
      </c>
      <c r="IE824">
        <f>IF(ISBLANK('Data Entry'!$į$824), "", 'Data Entry'!$į$824)</f>
      </c>
      <c r="IF824">
        <f>IF(ISBLANK('Data Entry'!$İ$824), "", 'Data Entry'!$İ$824)</f>
      </c>
      <c r="IG824">
        <f>IF(ISBLANK('Data Entry'!$ı$824), "", 'Data Entry'!$ı$824)</f>
      </c>
      <c r="IH824">
        <f>IF(ISBLANK('Data Entry'!$Ĳ$824), "", 'Data Entry'!$Ĳ$824)</f>
      </c>
      <c r="II824">
        <f>IF(ISBLANK('Data Entry'!$ĳ$824), "", 'Data Entry'!$ĳ$824)</f>
      </c>
      <c r="IJ824">
        <f>IF(ISBLANK('Data Entry'!$Ĵ$824), "", 'Data Entry'!$Ĵ$824)</f>
      </c>
      <c r="IK824">
        <f>IF(ISBLANK('Data Entry'!$ĵ$824), "", 'Data Entry'!$ĵ$824)</f>
      </c>
      <c r="IL824">
        <f>IF(ISBLANK('Data Entry'!$Ķ$824), "", 'Data Entry'!$Ķ$824)</f>
      </c>
      <c r="IM824">
        <f>IF(ISBLANK('Data Entry'!$ķ$824), "", 'Data Entry'!$ķ$824)</f>
      </c>
      <c r="IN824">
        <f>IF(ISBLANK('Data Entry'!$ĸ$824), "", 'Data Entry'!$ĸ$824)</f>
      </c>
      <c r="IO824">
        <f>IF(ISBLANK('Data Entry'!$Ĺ$824), "", 'Data Entry'!$Ĺ$824)</f>
      </c>
      <c r="IP824">
        <f>IF(ISBLANK('Data Entry'!$ĺ$824), "", 'Data Entry'!$ĺ$824)</f>
      </c>
      <c r="IQ824">
        <f>IF(ISBLANK('Data Entry'!$Ļ$824), "", 'Data Entry'!$Ļ$824)</f>
      </c>
      <c r="IR824">
        <f>IF(ISBLANK('Data Entry'!$ļ$824), "", 'Data Entry'!$ļ$824)</f>
      </c>
      <c r="IS824">
        <f>IF(ISBLANK('Data Entry'!$Ľ$824), "", 'Data Entry'!$Ľ$824)</f>
      </c>
      <c r="IT824">
        <f>IF(ISBLANK('Data Entry'!$ľ$824), "", 'Data Entry'!$ľ$824)</f>
      </c>
    </row>
    <row r="825" spans="1:254" x14ac:dyDescent="0.25">
      <c r="A825">
        <f>IF(ISBLANK('Data Entry'!$A$825), "", 'Data Entry'!$A$825)</f>
      </c>
      <c r="B825">
        <f>IF(ISBLANK('Data Entry'!$B$825), "", 'Data Entry'!$B$825)</f>
      </c>
      <c r="C825">
        <f>IF(ISBLANK('Data Entry'!$C$825), "", 'Data Entry'!$C$825)</f>
      </c>
      <c r="D825">
        <f>IF(ISBLANK('Data Entry'!$D$825), "", 'Data Entry'!$D$825)</f>
      </c>
      <c r="E825">
        <f>IF(ISBLANK('Data Entry'!$E$825), "", 'Data Entry'!$E$825)</f>
      </c>
      <c r="F825">
        <f>IF(ISBLANK('Data Entry'!$F$825), "", 'Data Entry'!$F$825)</f>
      </c>
      <c r="G825">
        <f>IF(ISBLANK('Data Entry'!$G$825), "", 'Data Entry'!$G$825)</f>
      </c>
      <c r="H825">
        <f>IF(ISBLANK('Data Entry'!$H$825), "", 'Data Entry'!$H$825)</f>
      </c>
      <c r="I825">
        <f>IF(ISBLANK('Data Entry'!$I$825), "", 'Data Entry'!$I$825)</f>
      </c>
      <c r="J825">
        <f>IF(ISBLANK('Data Entry'!$J$825), "", 'Data Entry'!$J$825)</f>
      </c>
      <c r="K825">
        <f>IF(ISBLANK('Data Entry'!$K$825), "", 'Data Entry'!$K$825)</f>
      </c>
      <c r="L825">
        <f>IF(ISBLANK('Data Entry'!$L$825), "", 'Data Entry'!$L$825)</f>
      </c>
      <c r="M825">
        <f>IF(ISBLANK('Data Entry'!$M$825), "", 'Data Entry'!$M$825)</f>
      </c>
      <c r="N825">
        <f>IF(ISBLANK('Data Entry'!$N$825), "", 'Data Entry'!$N$825)</f>
      </c>
      <c r="O825">
        <f>IF(ISBLANK('Data Entry'!$O$825), "", 'Data Entry'!$O$825)</f>
      </c>
      <c r="P825">
        <f>IF(ISBLANK('Data Entry'!$P$825), "", 'Data Entry'!$P$825)</f>
      </c>
      <c r="Q825">
        <f>IF(ISBLANK('Data Entry'!$Q$825), "", 'Data Entry'!$Q$825)</f>
      </c>
      <c r="R825">
        <f>IF(ISBLANK('Data Entry'!$R$825), "", 'Data Entry'!$R$825)</f>
      </c>
      <c r="S825">
        <f>IF(ISBLANK('Data Entry'!$S$825), "", 'Data Entry'!$S$825)</f>
      </c>
      <c r="T825">
        <f>IF(ISBLANK('Data Entry'!$T$825), "", 'Data Entry'!$T$825)</f>
      </c>
      <c r="U825">
        <f>IF(ISBLANK('Data Entry'!$U$825), "", 'Data Entry'!$U$825)</f>
      </c>
      <c r="V825">
        <f>IF(ISBLANK('Data Entry'!$V$825), "", 'Data Entry'!$V$825)</f>
      </c>
      <c r="W825">
        <f>IF(ISBLANK('Data Entry'!$W$825), "", 'Data Entry'!$W$825)</f>
      </c>
      <c r="X825">
        <f>IF(ISBLANK('Data Entry'!$X$825), "", 'Data Entry'!$X$825)</f>
      </c>
      <c r="Y825">
        <f>IF(ISBLANK('Data Entry'!$Y$825), "", 'Data Entry'!$Y$825)</f>
      </c>
      <c r="Z825">
        <f>IF(ISBLANK('Data Entry'!$Z$825), "", 'Data Entry'!$Z$825)</f>
      </c>
      <c r="AA825">
        <f>IF(ISBLANK('Data Entry'!$[$825), "", 'Data Entry'!$[$825)</f>
      </c>
      <c r="AB825">
        <f>IF(ISBLANK('Data Entry'!$\$825), "", 'Data Entry'!$\$825)</f>
      </c>
      <c r="AC825">
        <f>IF(ISBLANK('Data Entry'!$]$825), "", 'Data Entry'!$]$825)</f>
      </c>
      <c r="AD825">
        <f>IF(ISBLANK('Data Entry'!$^$825), "", 'Data Entry'!$^$825)</f>
      </c>
      <c r="AE825">
        <f>IF(ISBLANK('Data Entry'!$_$825), "", 'Data Entry'!$_$825)</f>
      </c>
      <c r="AF825">
        <f>IF(ISBLANK('Data Entry'!$`$825), "", 'Data Entry'!$`$825)</f>
      </c>
      <c r="AG825">
        <f>IF(ISBLANK('Data Entry'!$a$825), "", 'Data Entry'!$a$825)</f>
      </c>
      <c r="AH825">
        <f>IF(ISBLANK('Data Entry'!$b$825), "", 'Data Entry'!$b$825)</f>
      </c>
      <c r="AI825">
        <f>IF(ISBLANK('Data Entry'!$c$825), "", 'Data Entry'!$c$825)</f>
      </c>
      <c r="AJ825">
        <f>IF(ISBLANK('Data Entry'!$d$825), "", 'Data Entry'!$d$825)</f>
      </c>
      <c r="AK825">
        <f>IF(ISBLANK('Data Entry'!$e$825), "", 'Data Entry'!$e$825)</f>
      </c>
      <c r="AL825">
        <f>IF(ISBLANK('Data Entry'!$f$825), "", 'Data Entry'!$f$825)</f>
      </c>
      <c r="AM825">
        <f>IF(ISBLANK('Data Entry'!$g$825), "", 'Data Entry'!$g$825)</f>
      </c>
      <c r="AN825">
        <f>IF(ISBLANK('Data Entry'!$h$825), "", 'Data Entry'!$h$825)</f>
      </c>
      <c r="AO825">
        <f>IF(ISBLANK('Data Entry'!$i$825), "", 'Data Entry'!$i$825)</f>
      </c>
      <c r="AP825">
        <f>IF(ISBLANK('Data Entry'!$j$825), "", 'Data Entry'!$j$825)</f>
      </c>
      <c r="AQ825">
        <f>IF(ISBLANK('Data Entry'!$k$825), "", 'Data Entry'!$k$825)</f>
      </c>
      <c r="AR825">
        <f>IF(ISBLANK('Data Entry'!$l$825), "", 'Data Entry'!$l$825)</f>
      </c>
      <c r="AS825">
        <f>IF(ISBLANK('Data Entry'!$m$825), "", 'Data Entry'!$m$825)</f>
      </c>
      <c r="AT825">
        <f>IF(ISBLANK('Data Entry'!$n$825), "", 'Data Entry'!$n$825)</f>
      </c>
      <c r="AU825">
        <f>IF(ISBLANK('Data Entry'!$o$825), "", 'Data Entry'!$o$825)</f>
      </c>
      <c r="AV825">
        <f>IF(ISBLANK('Data Entry'!$p$825), "", 'Data Entry'!$p$825)</f>
      </c>
      <c r="AW825">
        <f>IF(ISBLANK('Data Entry'!$q$825), "", 'Data Entry'!$q$825)</f>
      </c>
      <c r="AX825">
        <f>IF(ISBLANK('Data Entry'!$r$825), "", 'Data Entry'!$r$825)</f>
      </c>
      <c r="AY825">
        <f>IF(ISBLANK('Data Entry'!$s$825), "", 'Data Entry'!$s$825)</f>
      </c>
      <c r="AZ825">
        <f>IF(ISBLANK('Data Entry'!$t$825), "", 'Data Entry'!$t$825)</f>
      </c>
      <c r="BA825">
        <f>IF(ISBLANK('Data Entry'!$u$825), "", 'Data Entry'!$u$825)</f>
      </c>
      <c r="BB825">
        <f>IF(ISBLANK('Data Entry'!$v$825), "", 'Data Entry'!$v$825)</f>
      </c>
      <c r="BC825">
        <f>IF(ISBLANK('Data Entry'!$w$825), "", 'Data Entry'!$w$825)</f>
      </c>
      <c r="BD825">
        <f>IF(ISBLANK('Data Entry'!$x$825), "", 'Data Entry'!$x$825)</f>
      </c>
      <c r="BE825">
        <f>IF(ISBLANK('Data Entry'!$y$825), "", 'Data Entry'!$y$825)</f>
      </c>
      <c r="BF825">
        <f>IF(ISBLANK('Data Entry'!$z$825), "", 'Data Entry'!$z$825)</f>
      </c>
      <c r="BG825">
        <f>IF(ISBLANK('Data Entry'!${$825), "", 'Data Entry'!${$825)</f>
      </c>
      <c r="BH825">
        <f>IF(ISBLANK('Data Entry'!$|$825), "", 'Data Entry'!$|$825)</f>
      </c>
      <c r="BI825">
        <f>IF(ISBLANK('Data Entry'!$}$825), "", 'Data Entry'!$}$825)</f>
      </c>
      <c r="BJ825">
        <f>IF(ISBLANK('Data Entry'!$~$825), "", 'Data Entry'!$~$825)</f>
      </c>
      <c r="BK825">
        <f>IF(ISBLANK('Data Entry'!$$825), "", 'Data Entry'!$$825)</f>
      </c>
      <c r="BL825">
        <f>IF(ISBLANK('Data Entry'!$$825), "", 'Data Entry'!$$825)</f>
      </c>
      <c r="BM825">
        <f>IF(ISBLANK('Data Entry'!$$825), "", 'Data Entry'!$$825)</f>
      </c>
      <c r="BN825">
        <f>IF(ISBLANK('Data Entry'!$$825), "", 'Data Entry'!$$825)</f>
      </c>
      <c r="BO825">
        <f>IF(ISBLANK('Data Entry'!$$825), "", 'Data Entry'!$$825)</f>
      </c>
      <c r="BP825">
        <f>IF(ISBLANK('Data Entry'!$$825), "", 'Data Entry'!$$825)</f>
      </c>
      <c r="BQ825">
        <f>IF(ISBLANK('Data Entry'!$$825), "", 'Data Entry'!$$825)</f>
      </c>
      <c r="BR825">
        <f>IF(ISBLANK('Data Entry'!$$825), "", 'Data Entry'!$$825)</f>
      </c>
      <c r="BS825">
        <f>IF(ISBLANK('Data Entry'!$$825), "", 'Data Entry'!$$825)</f>
      </c>
      <c r="BT825">
        <f>IF(ISBLANK('Data Entry'!$$825), "", 'Data Entry'!$$825)</f>
      </c>
      <c r="BU825">
        <f>IF(ISBLANK('Data Entry'!$$825), "", 'Data Entry'!$$825)</f>
      </c>
      <c r="BV825">
        <f>IF(ISBLANK('Data Entry'!$$825), "", 'Data Entry'!$$825)</f>
      </c>
      <c r="BW825">
        <f>IF(ISBLANK('Data Entry'!$$825), "", 'Data Entry'!$$825)</f>
      </c>
      <c r="BX825">
        <f>IF(ISBLANK('Data Entry'!$$825), "", 'Data Entry'!$$825)</f>
      </c>
      <c r="BY825">
        <f>IF(ISBLANK('Data Entry'!$$825), "", 'Data Entry'!$$825)</f>
      </c>
      <c r="BZ825">
        <f>IF(ISBLANK('Data Entry'!$$825), "", 'Data Entry'!$$825)</f>
      </c>
      <c r="CA825">
        <f>IF(ISBLANK('Data Entry'!$$825), "", 'Data Entry'!$$825)</f>
      </c>
      <c r="CB825">
        <f>IF(ISBLANK('Data Entry'!$$825), "", 'Data Entry'!$$825)</f>
      </c>
      <c r="CC825">
        <f>IF(ISBLANK('Data Entry'!$$825), "", 'Data Entry'!$$825)</f>
      </c>
      <c r="CD825">
        <f>IF(ISBLANK('Data Entry'!$$825), "", 'Data Entry'!$$825)</f>
      </c>
      <c r="CE825">
        <f>IF(ISBLANK('Data Entry'!$$825), "", 'Data Entry'!$$825)</f>
      </c>
      <c r="CF825">
        <f>IF(ISBLANK('Data Entry'!$$825), "", 'Data Entry'!$$825)</f>
      </c>
      <c r="CG825">
        <f>IF(ISBLANK('Data Entry'!$$825), "", 'Data Entry'!$$825)</f>
      </c>
      <c r="CH825">
        <f>IF(ISBLANK('Data Entry'!$$825), "", 'Data Entry'!$$825)</f>
      </c>
      <c r="CI825">
        <f>IF(ISBLANK('Data Entry'!$$825), "", 'Data Entry'!$$825)</f>
      </c>
      <c r="CJ825">
        <f>IF(ISBLANK('Data Entry'!$$825), "", 'Data Entry'!$$825)</f>
      </c>
      <c r="CK825">
        <f>IF(ISBLANK('Data Entry'!$$825), "", 'Data Entry'!$$825)</f>
      </c>
      <c r="CL825">
        <f>IF(ISBLANK('Data Entry'!$$825), "", 'Data Entry'!$$825)</f>
      </c>
      <c r="CM825">
        <f>IF(ISBLANK('Data Entry'!$$825), "", 'Data Entry'!$$825)</f>
      </c>
      <c r="CN825">
        <f>IF(ISBLANK('Data Entry'!$$825), "", 'Data Entry'!$$825)</f>
      </c>
      <c r="CO825">
        <f>IF(ISBLANK('Data Entry'!$$825), "", 'Data Entry'!$$825)</f>
      </c>
      <c r="CP825">
        <f>IF(ISBLANK('Data Entry'!$$825), "", 'Data Entry'!$$825)</f>
      </c>
      <c r="CQ825">
        <f>IF(ISBLANK('Data Entry'!$$825), "", 'Data Entry'!$$825)</f>
      </c>
      <c r="CR825">
        <f>IF(ISBLANK('Data Entry'!$ $825), "", 'Data Entry'!$ $825)</f>
      </c>
      <c r="CS825">
        <f>IF(ISBLANK('Data Entry'!$¡$825), "", 'Data Entry'!$¡$825)</f>
      </c>
      <c r="CT825">
        <f>IF(ISBLANK('Data Entry'!$¢$825), "", 'Data Entry'!$¢$825)</f>
      </c>
      <c r="CU825">
        <f>IF(ISBLANK('Data Entry'!$£$825), "", 'Data Entry'!$£$825)</f>
      </c>
      <c r="CV825">
        <f>IF(ISBLANK('Data Entry'!$¤$825), "", 'Data Entry'!$¤$825)</f>
      </c>
      <c r="CW825">
        <f>IF(ISBLANK('Data Entry'!$¥$825), "", 'Data Entry'!$¥$825)</f>
      </c>
      <c r="CX825">
        <f>IF(ISBLANK('Data Entry'!$¦$825), "", 'Data Entry'!$¦$825)</f>
      </c>
      <c r="CY825">
        <f>IF(ISBLANK('Data Entry'!$§$825), "", 'Data Entry'!$§$825)</f>
      </c>
      <c r="CZ825">
        <f>IF(ISBLANK('Data Entry'!$¨$825), "", 'Data Entry'!$¨$825)</f>
      </c>
      <c r="DA825">
        <f>IF(ISBLANK('Data Entry'!$©$825), "", 'Data Entry'!$©$825)</f>
      </c>
      <c r="DB825">
        <f>IF(ISBLANK('Data Entry'!$ª$825), "", 'Data Entry'!$ª$825)</f>
      </c>
      <c r="DC825">
        <f>IF(ISBLANK('Data Entry'!$«$825), "", 'Data Entry'!$«$825)</f>
      </c>
      <c r="DD825">
        <f>IF(ISBLANK('Data Entry'!$¬$825), "", 'Data Entry'!$¬$825)</f>
      </c>
      <c r="DE825">
        <f>IF(ISBLANK('Data Entry'!$­$825), "", 'Data Entry'!$­$825)</f>
      </c>
      <c r="DF825">
        <f>IF(ISBLANK('Data Entry'!$®$825), "", 'Data Entry'!$®$825)</f>
      </c>
      <c r="DG825">
        <f>IF(ISBLANK('Data Entry'!$¯$825), "", 'Data Entry'!$¯$825)</f>
      </c>
      <c r="DH825">
        <f>IF(ISBLANK('Data Entry'!$°$825), "", 'Data Entry'!$°$825)</f>
      </c>
      <c r="DI825">
        <f>IF(ISBLANK('Data Entry'!$±$825), "", 'Data Entry'!$±$825)</f>
      </c>
      <c r="DJ825">
        <f>IF(ISBLANK('Data Entry'!$²$825), "", 'Data Entry'!$²$825)</f>
      </c>
      <c r="DK825">
        <f>IF(ISBLANK('Data Entry'!$³$825), "", 'Data Entry'!$³$825)</f>
      </c>
      <c r="DL825">
        <f>IF(ISBLANK('Data Entry'!$´$825), "", 'Data Entry'!$´$825)</f>
      </c>
      <c r="DM825">
        <f>IF(ISBLANK('Data Entry'!$µ$825), "", 'Data Entry'!$µ$825)</f>
      </c>
      <c r="DN825">
        <f>IF(ISBLANK('Data Entry'!$¶$825), "", 'Data Entry'!$¶$825)</f>
      </c>
      <c r="DO825">
        <f>IF(ISBLANK('Data Entry'!$·$825), "", 'Data Entry'!$·$825)</f>
      </c>
      <c r="DP825">
        <f>IF(ISBLANK('Data Entry'!$¸$825), "", 'Data Entry'!$¸$825)</f>
      </c>
      <c r="DQ825">
        <f>IF(ISBLANK('Data Entry'!$¹$825), "", 'Data Entry'!$¹$825)</f>
      </c>
      <c r="DR825">
        <f>IF(ISBLANK('Data Entry'!$º$825), "", 'Data Entry'!$º$825)</f>
      </c>
      <c r="DS825">
        <f>IF(ISBLANK('Data Entry'!$»$825), "", 'Data Entry'!$»$825)</f>
      </c>
      <c r="DT825">
        <f>IF(ISBLANK('Data Entry'!$¼$825), "", 'Data Entry'!$¼$825)</f>
      </c>
      <c r="DU825">
        <f>IF(ISBLANK('Data Entry'!$½$825), "", 'Data Entry'!$½$825)</f>
      </c>
      <c r="DV825">
        <f>IF(ISBLANK('Data Entry'!$¾$825), "", 'Data Entry'!$¾$825)</f>
      </c>
      <c r="DW825">
        <f>IF(ISBLANK('Data Entry'!$¿$825), "", 'Data Entry'!$¿$825)</f>
      </c>
      <c r="DX825">
        <f>IF(ISBLANK('Data Entry'!$À$825), "", 'Data Entry'!$À$825)</f>
      </c>
      <c r="DY825">
        <f>IF(ISBLANK('Data Entry'!$Á$825), "", 'Data Entry'!$Á$825)</f>
      </c>
      <c r="DZ825">
        <f>IF(ISBLANK('Data Entry'!$Â$825), "", 'Data Entry'!$Â$825)</f>
      </c>
      <c r="EA825">
        <f>IF(ISBLANK('Data Entry'!$Ã$825), "", 'Data Entry'!$Ã$825)</f>
      </c>
      <c r="EB825">
        <f>IF(ISBLANK('Data Entry'!$Ä$825), "", 'Data Entry'!$Ä$825)</f>
      </c>
      <c r="EC825">
        <f>IF(ISBLANK('Data Entry'!$Å$825), "", 'Data Entry'!$Å$825)</f>
      </c>
      <c r="ED825">
        <f>IF(ISBLANK('Data Entry'!$Æ$825), "", 'Data Entry'!$Æ$825)</f>
      </c>
      <c r="EE825">
        <f>IF(ISBLANK('Data Entry'!$Ç$825), "", 'Data Entry'!$Ç$825)</f>
      </c>
      <c r="EF825">
        <f>IF(ISBLANK('Data Entry'!$È$825), "", 'Data Entry'!$È$825)</f>
      </c>
      <c r="EG825">
        <f>IF(ISBLANK('Data Entry'!$É$825), "", 'Data Entry'!$É$825)</f>
      </c>
      <c r="EH825">
        <f>IF(ISBLANK('Data Entry'!$Ê$825), "", 'Data Entry'!$Ê$825)</f>
      </c>
      <c r="EI825">
        <f>IF(ISBLANK('Data Entry'!$Ë$825), "", 'Data Entry'!$Ë$825)</f>
      </c>
      <c r="EJ825">
        <f>IF(ISBLANK('Data Entry'!$Ì$825), "", 'Data Entry'!$Ì$825)</f>
      </c>
      <c r="EK825">
        <f>IF(ISBLANK('Data Entry'!$Í$825), "", 'Data Entry'!$Í$825)</f>
      </c>
      <c r="EL825">
        <f>IF(ISBLANK('Data Entry'!$Î$825), "", 'Data Entry'!$Î$825)</f>
      </c>
      <c r="EM825">
        <f>IF(ISBLANK('Data Entry'!$Ï$825), "", 'Data Entry'!$Ï$825)</f>
      </c>
      <c r="EN825">
        <f>IF(ISBLANK('Data Entry'!$Ð$825), "", 'Data Entry'!$Ð$825)</f>
      </c>
      <c r="EO825">
        <f>IF(ISBLANK('Data Entry'!$Ñ$825), "", 'Data Entry'!$Ñ$825)</f>
      </c>
      <c r="EP825">
        <f>IF(ISBLANK('Data Entry'!$Ò$825), "", 'Data Entry'!$Ò$825)</f>
      </c>
      <c r="EQ825">
        <f>IF(ISBLANK('Data Entry'!$Ó$825), "", 'Data Entry'!$Ó$825)</f>
      </c>
      <c r="ER825">
        <f>IF(ISBLANK('Data Entry'!$Ô$825), "", 'Data Entry'!$Ô$825)</f>
      </c>
      <c r="ES825">
        <f>IF(ISBLANK('Data Entry'!$Õ$825), "", 'Data Entry'!$Õ$825)</f>
      </c>
      <c r="ET825">
        <f>IF(ISBLANK('Data Entry'!$Ö$825), "", 'Data Entry'!$Ö$825)</f>
      </c>
      <c r="EU825">
        <f>IF(ISBLANK('Data Entry'!$×$825), "", 'Data Entry'!$×$825)</f>
      </c>
      <c r="EV825">
        <f>IF(ISBLANK('Data Entry'!$Ø$825), "", 'Data Entry'!$Ø$825)</f>
      </c>
      <c r="EW825">
        <f>IF(ISBLANK('Data Entry'!$Ù$825), "", 'Data Entry'!$Ù$825)</f>
      </c>
      <c r="EX825">
        <f>IF(ISBLANK('Data Entry'!$Ú$825), "", 'Data Entry'!$Ú$825)</f>
      </c>
      <c r="EY825">
        <f>IF(ISBLANK('Data Entry'!$Û$825), "", 'Data Entry'!$Û$825)</f>
      </c>
      <c r="EZ825">
        <f>IF(ISBLANK('Data Entry'!$Ü$825), "", 'Data Entry'!$Ü$825)</f>
      </c>
      <c r="FA825">
        <f>IF(ISBLANK('Data Entry'!$Ý$825), "", 'Data Entry'!$Ý$825)</f>
      </c>
      <c r="FB825">
        <f>IF(ISBLANK('Data Entry'!$Þ$825), "", 'Data Entry'!$Þ$825)</f>
      </c>
      <c r="FC825">
        <f>IF(ISBLANK('Data Entry'!$ß$825), "", 'Data Entry'!$ß$825)</f>
      </c>
      <c r="FD825">
        <f>IF(ISBLANK('Data Entry'!$à$825), "", 'Data Entry'!$à$825)</f>
      </c>
      <c r="FE825">
        <f>IF(ISBLANK('Data Entry'!$á$825), "", 'Data Entry'!$á$825)</f>
      </c>
      <c r="FF825">
        <f>IF(ISBLANK('Data Entry'!$â$825), "", 'Data Entry'!$â$825)</f>
      </c>
      <c r="FG825">
        <f>IF(ISBLANK('Data Entry'!$ã$825), "", 'Data Entry'!$ã$825)</f>
      </c>
      <c r="FH825">
        <f>IF(ISBLANK('Data Entry'!$ä$825), "", 'Data Entry'!$ä$825)</f>
      </c>
      <c r="FI825">
        <f>IF(ISBLANK('Data Entry'!$å$825), "", 'Data Entry'!$å$825)</f>
      </c>
      <c r="FJ825">
        <f>IF(ISBLANK('Data Entry'!$æ$825), "", 'Data Entry'!$æ$825)</f>
      </c>
      <c r="FK825">
        <f>IF(ISBLANK('Data Entry'!$ç$825), "", 'Data Entry'!$ç$825)</f>
      </c>
      <c r="FL825">
        <f>IF(ISBLANK('Data Entry'!$è$825), "", 'Data Entry'!$è$825)</f>
      </c>
      <c r="FM825">
        <f>IF(ISBLANK('Data Entry'!$é$825), "", 'Data Entry'!$é$825)</f>
      </c>
      <c r="FN825">
        <f>IF(ISBLANK('Data Entry'!$ê$825), "", 'Data Entry'!$ê$825)</f>
      </c>
      <c r="FO825">
        <f>IF(ISBLANK('Data Entry'!$ë$825), "", 'Data Entry'!$ë$825)</f>
      </c>
      <c r="FP825">
        <f>IF(ISBLANK('Data Entry'!$ì$825), "", 'Data Entry'!$ì$825)</f>
      </c>
      <c r="FQ825">
        <f>IF(ISBLANK('Data Entry'!$í$825), "", 'Data Entry'!$í$825)</f>
      </c>
      <c r="FR825">
        <f>IF(ISBLANK('Data Entry'!$î$825), "", 'Data Entry'!$î$825)</f>
      </c>
      <c r="FS825">
        <f>IF(ISBLANK('Data Entry'!$ï$825), "", 'Data Entry'!$ï$825)</f>
      </c>
      <c r="FT825">
        <f>IF(ISBLANK('Data Entry'!$ð$825), "", 'Data Entry'!$ð$825)</f>
      </c>
      <c r="FU825">
        <f>IF(ISBLANK('Data Entry'!$ñ$825), "", 'Data Entry'!$ñ$825)</f>
      </c>
      <c r="FV825">
        <f>IF(ISBLANK('Data Entry'!$ò$825), "", 'Data Entry'!$ò$825)</f>
      </c>
      <c r="FW825">
        <f>IF(ISBLANK('Data Entry'!$ó$825), "", 'Data Entry'!$ó$825)</f>
      </c>
      <c r="FX825">
        <f>IF(ISBLANK('Data Entry'!$ô$825), "", 'Data Entry'!$ô$825)</f>
      </c>
      <c r="FY825">
        <f>IF(ISBLANK('Data Entry'!$õ$825), "", 'Data Entry'!$õ$825)</f>
      </c>
      <c r="FZ825">
        <f>IF(ISBLANK('Data Entry'!$ö$825), "", 'Data Entry'!$ö$825)</f>
      </c>
      <c r="GA825">
        <f>IF(ISBLANK('Data Entry'!$÷$825), "", 'Data Entry'!$÷$825)</f>
      </c>
      <c r="GB825">
        <f>IF(ISBLANK('Data Entry'!$ø$825), "", 'Data Entry'!$ø$825)</f>
      </c>
      <c r="GC825">
        <f>IF(ISBLANK('Data Entry'!$ù$825), "", 'Data Entry'!$ù$825)</f>
      </c>
      <c r="GD825">
        <f>IF(ISBLANK('Data Entry'!$ú$825), "", 'Data Entry'!$ú$825)</f>
      </c>
      <c r="GE825">
        <f>IF(ISBLANK('Data Entry'!$û$825), "", 'Data Entry'!$û$825)</f>
      </c>
      <c r="GF825">
        <f>IF(ISBLANK('Data Entry'!$ü$825), "", 'Data Entry'!$ü$825)</f>
      </c>
      <c r="GG825">
        <f>IF(ISBLANK('Data Entry'!$ý$825), "", 'Data Entry'!$ý$825)</f>
      </c>
      <c r="GH825">
        <f>IF(ISBLANK('Data Entry'!$þ$825), "", 'Data Entry'!$þ$825)</f>
      </c>
      <c r="GI825">
        <f>IF(ISBLANK('Data Entry'!$ÿ$825), "", 'Data Entry'!$ÿ$825)</f>
      </c>
      <c r="GJ825">
        <f>IF(ISBLANK('Data Entry'!$Ā$825), "", 'Data Entry'!$Ā$825)</f>
      </c>
      <c r="GK825">
        <f>IF(ISBLANK('Data Entry'!$ā$825), "", 'Data Entry'!$ā$825)</f>
      </c>
      <c r="GL825">
        <f>IF(ISBLANK('Data Entry'!$Ă$825), "", 'Data Entry'!$Ă$825)</f>
      </c>
      <c r="GM825">
        <f>IF(ISBLANK('Data Entry'!$ă$825), "", 'Data Entry'!$ă$825)</f>
      </c>
      <c r="GN825">
        <f>IF(ISBLANK('Data Entry'!$Ą$825), "", 'Data Entry'!$Ą$825)</f>
      </c>
      <c r="GO825">
        <f>IF(ISBLANK('Data Entry'!$ą$825), "", 'Data Entry'!$ą$825)</f>
      </c>
      <c r="GP825">
        <f>IF(ISBLANK('Data Entry'!$Ć$825), "", 'Data Entry'!$Ć$825)</f>
      </c>
      <c r="GQ825">
        <f>IF(ISBLANK('Data Entry'!$ć$825), "", 'Data Entry'!$ć$825)</f>
      </c>
      <c r="GR825">
        <f>IF(ISBLANK('Data Entry'!$Ĉ$825), "", 'Data Entry'!$Ĉ$825)</f>
      </c>
      <c r="GS825">
        <f>IF(ISBLANK('Data Entry'!$ĉ$825), "", 'Data Entry'!$ĉ$825)</f>
      </c>
      <c r="GT825">
        <f>IF(ISBLANK('Data Entry'!$Ċ$825), "", 'Data Entry'!$Ċ$825)</f>
      </c>
      <c r="GU825">
        <f>IF(ISBLANK('Data Entry'!$ċ$825), "", 'Data Entry'!$ċ$825)</f>
      </c>
      <c r="GV825">
        <f>IF(ISBLANK('Data Entry'!$Č$825), "", 'Data Entry'!$Č$825)</f>
      </c>
      <c r="GW825">
        <f>IF(ISBLANK('Data Entry'!$č$825), "", 'Data Entry'!$č$825)</f>
      </c>
      <c r="GX825">
        <f>IF(ISBLANK('Data Entry'!$Ď$825), "", 'Data Entry'!$Ď$825)</f>
      </c>
      <c r="GY825">
        <f>IF(ISBLANK('Data Entry'!$ď$825), "", 'Data Entry'!$ď$825)</f>
      </c>
      <c r="GZ825">
        <f>IF(ISBLANK('Data Entry'!$Đ$825), "", 'Data Entry'!$Đ$825)</f>
      </c>
      <c r="HA825">
        <f>IF(ISBLANK('Data Entry'!$đ$825), "", 'Data Entry'!$đ$825)</f>
      </c>
      <c r="HB825">
        <f>IF(ISBLANK('Data Entry'!$Ē$825), "", 'Data Entry'!$Ē$825)</f>
      </c>
      <c r="HC825">
        <f>IF(ISBLANK('Data Entry'!$ē$825), "", 'Data Entry'!$ē$825)</f>
      </c>
      <c r="HD825">
        <f>IF(ISBLANK('Data Entry'!$Ĕ$825), "", 'Data Entry'!$Ĕ$825)</f>
      </c>
      <c r="HE825">
        <f>IF(ISBLANK('Data Entry'!$ĕ$825), "", 'Data Entry'!$ĕ$825)</f>
      </c>
      <c r="HF825">
        <f>IF(ISBLANK('Data Entry'!$Ė$825), "", 'Data Entry'!$Ė$825)</f>
      </c>
      <c r="HG825">
        <f>IF(ISBLANK('Data Entry'!$ė$825), "", 'Data Entry'!$ė$825)</f>
      </c>
      <c r="HH825">
        <f>IF(ISBLANK('Data Entry'!$Ę$825), "", 'Data Entry'!$Ę$825)</f>
      </c>
      <c r="HI825">
        <f>IF(ISBLANK('Data Entry'!$ę$825), "", 'Data Entry'!$ę$825)</f>
      </c>
      <c r="HJ825">
        <f>IF(ISBLANK('Data Entry'!$Ě$825), "", 'Data Entry'!$Ě$825)</f>
      </c>
      <c r="HK825">
        <f>IF(ISBLANK('Data Entry'!$ě$825), "", 'Data Entry'!$ě$825)</f>
      </c>
      <c r="HL825">
        <f>IF(ISBLANK('Data Entry'!$Ĝ$825), "", 'Data Entry'!$Ĝ$825)</f>
      </c>
      <c r="HM825">
        <f>IF(ISBLANK('Data Entry'!$ĝ$825), "", 'Data Entry'!$ĝ$825)</f>
      </c>
      <c r="HN825">
        <f>IF(ISBLANK('Data Entry'!$Ğ$825), "", 'Data Entry'!$Ğ$825)</f>
      </c>
      <c r="HO825">
        <f>IF(ISBLANK('Data Entry'!$ğ$825), "", 'Data Entry'!$ğ$825)</f>
      </c>
      <c r="HP825">
        <f>IF(ISBLANK('Data Entry'!$Ġ$825), "", 'Data Entry'!$Ġ$825)</f>
      </c>
      <c r="HQ825">
        <f>IF(ISBLANK('Data Entry'!$ġ$825), "", 'Data Entry'!$ġ$825)</f>
      </c>
      <c r="HR825">
        <f>IF(ISBLANK('Data Entry'!$Ģ$825), "", 'Data Entry'!$Ģ$825)</f>
      </c>
      <c r="HS825">
        <f>IF(ISBLANK('Data Entry'!$ģ$825), "", 'Data Entry'!$ģ$825)</f>
      </c>
      <c r="HT825">
        <f>IF(ISBLANK('Data Entry'!$Ĥ$825), "", 'Data Entry'!$Ĥ$825)</f>
      </c>
      <c r="HU825">
        <f>IF(ISBLANK('Data Entry'!$ĥ$825), "", 'Data Entry'!$ĥ$825)</f>
      </c>
      <c r="HV825">
        <f>IF(ISBLANK('Data Entry'!$Ħ$825), "", 'Data Entry'!$Ħ$825)</f>
      </c>
      <c r="HW825">
        <f>IF(ISBLANK('Data Entry'!$ħ$825), "", 'Data Entry'!$ħ$825)</f>
      </c>
      <c r="HX825">
        <f>IF(ISBLANK('Data Entry'!$Ĩ$825), "", 'Data Entry'!$Ĩ$825)</f>
      </c>
      <c r="HY825">
        <f>IF(ISBLANK('Data Entry'!$ĩ$825), "", 'Data Entry'!$ĩ$825)</f>
      </c>
      <c r="HZ825">
        <f>IF(ISBLANK('Data Entry'!$Ī$825), "", 'Data Entry'!$Ī$825)</f>
      </c>
      <c r="IA825">
        <f>IF(ISBLANK('Data Entry'!$ī$825), "", 'Data Entry'!$ī$825)</f>
      </c>
      <c r="IB825">
        <f>IF(ISBLANK('Data Entry'!$Ĭ$825), "", 'Data Entry'!$Ĭ$825)</f>
      </c>
      <c r="IC825">
        <f>IF(ISBLANK('Data Entry'!$ĭ$825), "", 'Data Entry'!$ĭ$825)</f>
      </c>
      <c r="ID825">
        <f>IF(ISBLANK('Data Entry'!$Į$825), "", 'Data Entry'!$Į$825)</f>
      </c>
      <c r="IE825">
        <f>IF(ISBLANK('Data Entry'!$į$825), "", 'Data Entry'!$į$825)</f>
      </c>
      <c r="IF825">
        <f>IF(ISBLANK('Data Entry'!$İ$825), "", 'Data Entry'!$İ$825)</f>
      </c>
      <c r="IG825">
        <f>IF(ISBLANK('Data Entry'!$ı$825), "", 'Data Entry'!$ı$825)</f>
      </c>
      <c r="IH825">
        <f>IF(ISBLANK('Data Entry'!$Ĳ$825), "", 'Data Entry'!$Ĳ$825)</f>
      </c>
      <c r="II825">
        <f>IF(ISBLANK('Data Entry'!$ĳ$825), "", 'Data Entry'!$ĳ$825)</f>
      </c>
      <c r="IJ825">
        <f>IF(ISBLANK('Data Entry'!$Ĵ$825), "", 'Data Entry'!$Ĵ$825)</f>
      </c>
      <c r="IK825">
        <f>IF(ISBLANK('Data Entry'!$ĵ$825), "", 'Data Entry'!$ĵ$825)</f>
      </c>
      <c r="IL825">
        <f>IF(ISBLANK('Data Entry'!$Ķ$825), "", 'Data Entry'!$Ķ$825)</f>
      </c>
      <c r="IM825">
        <f>IF(ISBLANK('Data Entry'!$ķ$825), "", 'Data Entry'!$ķ$825)</f>
      </c>
      <c r="IN825">
        <f>IF(ISBLANK('Data Entry'!$ĸ$825), "", 'Data Entry'!$ĸ$825)</f>
      </c>
      <c r="IO825">
        <f>IF(ISBLANK('Data Entry'!$Ĺ$825), "", 'Data Entry'!$Ĺ$825)</f>
      </c>
      <c r="IP825">
        <f>IF(ISBLANK('Data Entry'!$ĺ$825), "", 'Data Entry'!$ĺ$825)</f>
      </c>
      <c r="IQ825">
        <f>IF(ISBLANK('Data Entry'!$Ļ$825), "", 'Data Entry'!$Ļ$825)</f>
      </c>
      <c r="IR825">
        <f>IF(ISBLANK('Data Entry'!$ļ$825), "", 'Data Entry'!$ļ$825)</f>
      </c>
      <c r="IS825">
        <f>IF(ISBLANK('Data Entry'!$Ľ$825), "", 'Data Entry'!$Ľ$825)</f>
      </c>
      <c r="IT825">
        <f>IF(ISBLANK('Data Entry'!$ľ$825), "", 'Data Entry'!$ľ$825)</f>
      </c>
    </row>
    <row r="826" spans="1:254" x14ac:dyDescent="0.25">
      <c r="A826">
        <f>IF(ISBLANK('Data Entry'!$A$826), "", 'Data Entry'!$A$826)</f>
      </c>
      <c r="B826">
        <f>IF(ISBLANK('Data Entry'!$B$826), "", 'Data Entry'!$B$826)</f>
      </c>
      <c r="C826">
        <f>IF(ISBLANK('Data Entry'!$C$826), "", 'Data Entry'!$C$826)</f>
      </c>
      <c r="D826">
        <f>IF(ISBLANK('Data Entry'!$D$826), "", 'Data Entry'!$D$826)</f>
      </c>
      <c r="E826">
        <f>IF(ISBLANK('Data Entry'!$E$826), "", 'Data Entry'!$E$826)</f>
      </c>
      <c r="F826">
        <f>IF(ISBLANK('Data Entry'!$F$826), "", 'Data Entry'!$F$826)</f>
      </c>
      <c r="G826">
        <f>IF(ISBLANK('Data Entry'!$G$826), "", 'Data Entry'!$G$826)</f>
      </c>
      <c r="H826">
        <f>IF(ISBLANK('Data Entry'!$H$826), "", 'Data Entry'!$H$826)</f>
      </c>
      <c r="I826">
        <f>IF(ISBLANK('Data Entry'!$I$826), "", 'Data Entry'!$I$826)</f>
      </c>
      <c r="J826">
        <f>IF(ISBLANK('Data Entry'!$J$826), "", 'Data Entry'!$J$826)</f>
      </c>
      <c r="K826">
        <f>IF(ISBLANK('Data Entry'!$K$826), "", 'Data Entry'!$K$826)</f>
      </c>
      <c r="L826">
        <f>IF(ISBLANK('Data Entry'!$L$826), "", 'Data Entry'!$L$826)</f>
      </c>
      <c r="M826">
        <f>IF(ISBLANK('Data Entry'!$M$826), "", 'Data Entry'!$M$826)</f>
      </c>
      <c r="N826">
        <f>IF(ISBLANK('Data Entry'!$N$826), "", 'Data Entry'!$N$826)</f>
      </c>
      <c r="O826">
        <f>IF(ISBLANK('Data Entry'!$O$826), "", 'Data Entry'!$O$826)</f>
      </c>
      <c r="P826">
        <f>IF(ISBLANK('Data Entry'!$P$826), "", 'Data Entry'!$P$826)</f>
      </c>
      <c r="Q826">
        <f>IF(ISBLANK('Data Entry'!$Q$826), "", 'Data Entry'!$Q$826)</f>
      </c>
      <c r="R826">
        <f>IF(ISBLANK('Data Entry'!$R$826), "", 'Data Entry'!$R$826)</f>
      </c>
      <c r="S826">
        <f>IF(ISBLANK('Data Entry'!$S$826), "", 'Data Entry'!$S$826)</f>
      </c>
      <c r="T826">
        <f>IF(ISBLANK('Data Entry'!$T$826), "", 'Data Entry'!$T$826)</f>
      </c>
      <c r="U826">
        <f>IF(ISBLANK('Data Entry'!$U$826), "", 'Data Entry'!$U$826)</f>
      </c>
      <c r="V826">
        <f>IF(ISBLANK('Data Entry'!$V$826), "", 'Data Entry'!$V$826)</f>
      </c>
      <c r="W826">
        <f>IF(ISBLANK('Data Entry'!$W$826), "", 'Data Entry'!$W$826)</f>
      </c>
      <c r="X826">
        <f>IF(ISBLANK('Data Entry'!$X$826), "", 'Data Entry'!$X$826)</f>
      </c>
      <c r="Y826">
        <f>IF(ISBLANK('Data Entry'!$Y$826), "", 'Data Entry'!$Y$826)</f>
      </c>
      <c r="Z826">
        <f>IF(ISBLANK('Data Entry'!$Z$826), "", 'Data Entry'!$Z$826)</f>
      </c>
      <c r="AA826">
        <f>IF(ISBLANK('Data Entry'!$[$826), "", 'Data Entry'!$[$826)</f>
      </c>
      <c r="AB826">
        <f>IF(ISBLANK('Data Entry'!$\$826), "", 'Data Entry'!$\$826)</f>
      </c>
      <c r="AC826">
        <f>IF(ISBLANK('Data Entry'!$]$826), "", 'Data Entry'!$]$826)</f>
      </c>
      <c r="AD826">
        <f>IF(ISBLANK('Data Entry'!$^$826), "", 'Data Entry'!$^$826)</f>
      </c>
      <c r="AE826">
        <f>IF(ISBLANK('Data Entry'!$_$826), "", 'Data Entry'!$_$826)</f>
      </c>
      <c r="AF826">
        <f>IF(ISBLANK('Data Entry'!$`$826), "", 'Data Entry'!$`$826)</f>
      </c>
      <c r="AG826">
        <f>IF(ISBLANK('Data Entry'!$a$826), "", 'Data Entry'!$a$826)</f>
      </c>
      <c r="AH826">
        <f>IF(ISBLANK('Data Entry'!$b$826), "", 'Data Entry'!$b$826)</f>
      </c>
      <c r="AI826">
        <f>IF(ISBLANK('Data Entry'!$c$826), "", 'Data Entry'!$c$826)</f>
      </c>
      <c r="AJ826">
        <f>IF(ISBLANK('Data Entry'!$d$826), "", 'Data Entry'!$d$826)</f>
      </c>
      <c r="AK826">
        <f>IF(ISBLANK('Data Entry'!$e$826), "", 'Data Entry'!$e$826)</f>
      </c>
      <c r="AL826">
        <f>IF(ISBLANK('Data Entry'!$f$826), "", 'Data Entry'!$f$826)</f>
      </c>
      <c r="AM826">
        <f>IF(ISBLANK('Data Entry'!$g$826), "", 'Data Entry'!$g$826)</f>
      </c>
      <c r="AN826">
        <f>IF(ISBLANK('Data Entry'!$h$826), "", 'Data Entry'!$h$826)</f>
      </c>
      <c r="AO826">
        <f>IF(ISBLANK('Data Entry'!$i$826), "", 'Data Entry'!$i$826)</f>
      </c>
      <c r="AP826">
        <f>IF(ISBLANK('Data Entry'!$j$826), "", 'Data Entry'!$j$826)</f>
      </c>
      <c r="AQ826">
        <f>IF(ISBLANK('Data Entry'!$k$826), "", 'Data Entry'!$k$826)</f>
      </c>
      <c r="AR826">
        <f>IF(ISBLANK('Data Entry'!$l$826), "", 'Data Entry'!$l$826)</f>
      </c>
      <c r="AS826">
        <f>IF(ISBLANK('Data Entry'!$m$826), "", 'Data Entry'!$m$826)</f>
      </c>
      <c r="AT826">
        <f>IF(ISBLANK('Data Entry'!$n$826), "", 'Data Entry'!$n$826)</f>
      </c>
      <c r="AU826">
        <f>IF(ISBLANK('Data Entry'!$o$826), "", 'Data Entry'!$o$826)</f>
      </c>
      <c r="AV826">
        <f>IF(ISBLANK('Data Entry'!$p$826), "", 'Data Entry'!$p$826)</f>
      </c>
      <c r="AW826">
        <f>IF(ISBLANK('Data Entry'!$q$826), "", 'Data Entry'!$q$826)</f>
      </c>
      <c r="AX826">
        <f>IF(ISBLANK('Data Entry'!$r$826), "", 'Data Entry'!$r$826)</f>
      </c>
      <c r="AY826">
        <f>IF(ISBLANK('Data Entry'!$s$826), "", 'Data Entry'!$s$826)</f>
      </c>
      <c r="AZ826">
        <f>IF(ISBLANK('Data Entry'!$t$826), "", 'Data Entry'!$t$826)</f>
      </c>
      <c r="BA826">
        <f>IF(ISBLANK('Data Entry'!$u$826), "", 'Data Entry'!$u$826)</f>
      </c>
      <c r="BB826">
        <f>IF(ISBLANK('Data Entry'!$v$826), "", 'Data Entry'!$v$826)</f>
      </c>
      <c r="BC826">
        <f>IF(ISBLANK('Data Entry'!$w$826), "", 'Data Entry'!$w$826)</f>
      </c>
      <c r="BD826">
        <f>IF(ISBLANK('Data Entry'!$x$826), "", 'Data Entry'!$x$826)</f>
      </c>
      <c r="BE826">
        <f>IF(ISBLANK('Data Entry'!$y$826), "", 'Data Entry'!$y$826)</f>
      </c>
      <c r="BF826">
        <f>IF(ISBLANK('Data Entry'!$z$826), "", 'Data Entry'!$z$826)</f>
      </c>
      <c r="BG826">
        <f>IF(ISBLANK('Data Entry'!${$826), "", 'Data Entry'!${$826)</f>
      </c>
      <c r="BH826">
        <f>IF(ISBLANK('Data Entry'!$|$826), "", 'Data Entry'!$|$826)</f>
      </c>
      <c r="BI826">
        <f>IF(ISBLANK('Data Entry'!$}$826), "", 'Data Entry'!$}$826)</f>
      </c>
      <c r="BJ826">
        <f>IF(ISBLANK('Data Entry'!$~$826), "", 'Data Entry'!$~$826)</f>
      </c>
      <c r="BK826">
        <f>IF(ISBLANK('Data Entry'!$$826), "", 'Data Entry'!$$826)</f>
      </c>
      <c r="BL826">
        <f>IF(ISBLANK('Data Entry'!$$826), "", 'Data Entry'!$$826)</f>
      </c>
      <c r="BM826">
        <f>IF(ISBLANK('Data Entry'!$$826), "", 'Data Entry'!$$826)</f>
      </c>
      <c r="BN826">
        <f>IF(ISBLANK('Data Entry'!$$826), "", 'Data Entry'!$$826)</f>
      </c>
      <c r="BO826">
        <f>IF(ISBLANK('Data Entry'!$$826), "", 'Data Entry'!$$826)</f>
      </c>
      <c r="BP826">
        <f>IF(ISBLANK('Data Entry'!$$826), "", 'Data Entry'!$$826)</f>
      </c>
      <c r="BQ826">
        <f>IF(ISBLANK('Data Entry'!$$826), "", 'Data Entry'!$$826)</f>
      </c>
      <c r="BR826">
        <f>IF(ISBLANK('Data Entry'!$$826), "", 'Data Entry'!$$826)</f>
      </c>
      <c r="BS826">
        <f>IF(ISBLANK('Data Entry'!$$826), "", 'Data Entry'!$$826)</f>
      </c>
      <c r="BT826">
        <f>IF(ISBLANK('Data Entry'!$$826), "", 'Data Entry'!$$826)</f>
      </c>
      <c r="BU826">
        <f>IF(ISBLANK('Data Entry'!$$826), "", 'Data Entry'!$$826)</f>
      </c>
      <c r="BV826">
        <f>IF(ISBLANK('Data Entry'!$$826), "", 'Data Entry'!$$826)</f>
      </c>
      <c r="BW826">
        <f>IF(ISBLANK('Data Entry'!$$826), "", 'Data Entry'!$$826)</f>
      </c>
      <c r="BX826">
        <f>IF(ISBLANK('Data Entry'!$$826), "", 'Data Entry'!$$826)</f>
      </c>
      <c r="BY826">
        <f>IF(ISBLANK('Data Entry'!$$826), "", 'Data Entry'!$$826)</f>
      </c>
      <c r="BZ826">
        <f>IF(ISBLANK('Data Entry'!$$826), "", 'Data Entry'!$$826)</f>
      </c>
      <c r="CA826">
        <f>IF(ISBLANK('Data Entry'!$$826), "", 'Data Entry'!$$826)</f>
      </c>
      <c r="CB826">
        <f>IF(ISBLANK('Data Entry'!$$826), "", 'Data Entry'!$$826)</f>
      </c>
      <c r="CC826">
        <f>IF(ISBLANK('Data Entry'!$$826), "", 'Data Entry'!$$826)</f>
      </c>
      <c r="CD826">
        <f>IF(ISBLANK('Data Entry'!$$826), "", 'Data Entry'!$$826)</f>
      </c>
      <c r="CE826">
        <f>IF(ISBLANK('Data Entry'!$$826), "", 'Data Entry'!$$826)</f>
      </c>
      <c r="CF826">
        <f>IF(ISBLANK('Data Entry'!$$826), "", 'Data Entry'!$$826)</f>
      </c>
      <c r="CG826">
        <f>IF(ISBLANK('Data Entry'!$$826), "", 'Data Entry'!$$826)</f>
      </c>
      <c r="CH826">
        <f>IF(ISBLANK('Data Entry'!$$826), "", 'Data Entry'!$$826)</f>
      </c>
      <c r="CI826">
        <f>IF(ISBLANK('Data Entry'!$$826), "", 'Data Entry'!$$826)</f>
      </c>
      <c r="CJ826">
        <f>IF(ISBLANK('Data Entry'!$$826), "", 'Data Entry'!$$826)</f>
      </c>
      <c r="CK826">
        <f>IF(ISBLANK('Data Entry'!$$826), "", 'Data Entry'!$$826)</f>
      </c>
      <c r="CL826">
        <f>IF(ISBLANK('Data Entry'!$$826), "", 'Data Entry'!$$826)</f>
      </c>
      <c r="CM826">
        <f>IF(ISBLANK('Data Entry'!$$826), "", 'Data Entry'!$$826)</f>
      </c>
      <c r="CN826">
        <f>IF(ISBLANK('Data Entry'!$$826), "", 'Data Entry'!$$826)</f>
      </c>
      <c r="CO826">
        <f>IF(ISBLANK('Data Entry'!$$826), "", 'Data Entry'!$$826)</f>
      </c>
      <c r="CP826">
        <f>IF(ISBLANK('Data Entry'!$$826), "", 'Data Entry'!$$826)</f>
      </c>
      <c r="CQ826">
        <f>IF(ISBLANK('Data Entry'!$$826), "", 'Data Entry'!$$826)</f>
      </c>
      <c r="CR826">
        <f>IF(ISBLANK('Data Entry'!$ $826), "", 'Data Entry'!$ $826)</f>
      </c>
      <c r="CS826">
        <f>IF(ISBLANK('Data Entry'!$¡$826), "", 'Data Entry'!$¡$826)</f>
      </c>
      <c r="CT826">
        <f>IF(ISBLANK('Data Entry'!$¢$826), "", 'Data Entry'!$¢$826)</f>
      </c>
      <c r="CU826">
        <f>IF(ISBLANK('Data Entry'!$£$826), "", 'Data Entry'!$£$826)</f>
      </c>
      <c r="CV826">
        <f>IF(ISBLANK('Data Entry'!$¤$826), "", 'Data Entry'!$¤$826)</f>
      </c>
      <c r="CW826">
        <f>IF(ISBLANK('Data Entry'!$¥$826), "", 'Data Entry'!$¥$826)</f>
      </c>
      <c r="CX826">
        <f>IF(ISBLANK('Data Entry'!$¦$826), "", 'Data Entry'!$¦$826)</f>
      </c>
      <c r="CY826">
        <f>IF(ISBLANK('Data Entry'!$§$826), "", 'Data Entry'!$§$826)</f>
      </c>
      <c r="CZ826">
        <f>IF(ISBLANK('Data Entry'!$¨$826), "", 'Data Entry'!$¨$826)</f>
      </c>
      <c r="DA826">
        <f>IF(ISBLANK('Data Entry'!$©$826), "", 'Data Entry'!$©$826)</f>
      </c>
      <c r="DB826">
        <f>IF(ISBLANK('Data Entry'!$ª$826), "", 'Data Entry'!$ª$826)</f>
      </c>
      <c r="DC826">
        <f>IF(ISBLANK('Data Entry'!$«$826), "", 'Data Entry'!$«$826)</f>
      </c>
      <c r="DD826">
        <f>IF(ISBLANK('Data Entry'!$¬$826), "", 'Data Entry'!$¬$826)</f>
      </c>
      <c r="DE826">
        <f>IF(ISBLANK('Data Entry'!$­$826), "", 'Data Entry'!$­$826)</f>
      </c>
      <c r="DF826">
        <f>IF(ISBLANK('Data Entry'!$®$826), "", 'Data Entry'!$®$826)</f>
      </c>
      <c r="DG826">
        <f>IF(ISBLANK('Data Entry'!$¯$826), "", 'Data Entry'!$¯$826)</f>
      </c>
      <c r="DH826">
        <f>IF(ISBLANK('Data Entry'!$°$826), "", 'Data Entry'!$°$826)</f>
      </c>
      <c r="DI826">
        <f>IF(ISBLANK('Data Entry'!$±$826), "", 'Data Entry'!$±$826)</f>
      </c>
      <c r="DJ826">
        <f>IF(ISBLANK('Data Entry'!$²$826), "", 'Data Entry'!$²$826)</f>
      </c>
      <c r="DK826">
        <f>IF(ISBLANK('Data Entry'!$³$826), "", 'Data Entry'!$³$826)</f>
      </c>
      <c r="DL826">
        <f>IF(ISBLANK('Data Entry'!$´$826), "", 'Data Entry'!$´$826)</f>
      </c>
      <c r="DM826">
        <f>IF(ISBLANK('Data Entry'!$µ$826), "", 'Data Entry'!$µ$826)</f>
      </c>
      <c r="DN826">
        <f>IF(ISBLANK('Data Entry'!$¶$826), "", 'Data Entry'!$¶$826)</f>
      </c>
      <c r="DO826">
        <f>IF(ISBLANK('Data Entry'!$·$826), "", 'Data Entry'!$·$826)</f>
      </c>
      <c r="DP826">
        <f>IF(ISBLANK('Data Entry'!$¸$826), "", 'Data Entry'!$¸$826)</f>
      </c>
      <c r="DQ826">
        <f>IF(ISBLANK('Data Entry'!$¹$826), "", 'Data Entry'!$¹$826)</f>
      </c>
      <c r="DR826">
        <f>IF(ISBLANK('Data Entry'!$º$826), "", 'Data Entry'!$º$826)</f>
      </c>
      <c r="DS826">
        <f>IF(ISBLANK('Data Entry'!$»$826), "", 'Data Entry'!$»$826)</f>
      </c>
      <c r="DT826">
        <f>IF(ISBLANK('Data Entry'!$¼$826), "", 'Data Entry'!$¼$826)</f>
      </c>
      <c r="DU826">
        <f>IF(ISBLANK('Data Entry'!$½$826), "", 'Data Entry'!$½$826)</f>
      </c>
      <c r="DV826">
        <f>IF(ISBLANK('Data Entry'!$¾$826), "", 'Data Entry'!$¾$826)</f>
      </c>
      <c r="DW826">
        <f>IF(ISBLANK('Data Entry'!$¿$826), "", 'Data Entry'!$¿$826)</f>
      </c>
      <c r="DX826">
        <f>IF(ISBLANK('Data Entry'!$À$826), "", 'Data Entry'!$À$826)</f>
      </c>
      <c r="DY826">
        <f>IF(ISBLANK('Data Entry'!$Á$826), "", 'Data Entry'!$Á$826)</f>
      </c>
      <c r="DZ826">
        <f>IF(ISBLANK('Data Entry'!$Â$826), "", 'Data Entry'!$Â$826)</f>
      </c>
      <c r="EA826">
        <f>IF(ISBLANK('Data Entry'!$Ã$826), "", 'Data Entry'!$Ã$826)</f>
      </c>
      <c r="EB826">
        <f>IF(ISBLANK('Data Entry'!$Ä$826), "", 'Data Entry'!$Ä$826)</f>
      </c>
      <c r="EC826">
        <f>IF(ISBLANK('Data Entry'!$Å$826), "", 'Data Entry'!$Å$826)</f>
      </c>
      <c r="ED826">
        <f>IF(ISBLANK('Data Entry'!$Æ$826), "", 'Data Entry'!$Æ$826)</f>
      </c>
      <c r="EE826">
        <f>IF(ISBLANK('Data Entry'!$Ç$826), "", 'Data Entry'!$Ç$826)</f>
      </c>
      <c r="EF826">
        <f>IF(ISBLANK('Data Entry'!$È$826), "", 'Data Entry'!$È$826)</f>
      </c>
      <c r="EG826">
        <f>IF(ISBLANK('Data Entry'!$É$826), "", 'Data Entry'!$É$826)</f>
      </c>
      <c r="EH826">
        <f>IF(ISBLANK('Data Entry'!$Ê$826), "", 'Data Entry'!$Ê$826)</f>
      </c>
      <c r="EI826">
        <f>IF(ISBLANK('Data Entry'!$Ë$826), "", 'Data Entry'!$Ë$826)</f>
      </c>
      <c r="EJ826">
        <f>IF(ISBLANK('Data Entry'!$Ì$826), "", 'Data Entry'!$Ì$826)</f>
      </c>
      <c r="EK826">
        <f>IF(ISBLANK('Data Entry'!$Í$826), "", 'Data Entry'!$Í$826)</f>
      </c>
      <c r="EL826">
        <f>IF(ISBLANK('Data Entry'!$Î$826), "", 'Data Entry'!$Î$826)</f>
      </c>
      <c r="EM826">
        <f>IF(ISBLANK('Data Entry'!$Ï$826), "", 'Data Entry'!$Ï$826)</f>
      </c>
      <c r="EN826">
        <f>IF(ISBLANK('Data Entry'!$Ð$826), "", 'Data Entry'!$Ð$826)</f>
      </c>
      <c r="EO826">
        <f>IF(ISBLANK('Data Entry'!$Ñ$826), "", 'Data Entry'!$Ñ$826)</f>
      </c>
      <c r="EP826">
        <f>IF(ISBLANK('Data Entry'!$Ò$826), "", 'Data Entry'!$Ò$826)</f>
      </c>
      <c r="EQ826">
        <f>IF(ISBLANK('Data Entry'!$Ó$826), "", 'Data Entry'!$Ó$826)</f>
      </c>
      <c r="ER826">
        <f>IF(ISBLANK('Data Entry'!$Ô$826), "", 'Data Entry'!$Ô$826)</f>
      </c>
      <c r="ES826">
        <f>IF(ISBLANK('Data Entry'!$Õ$826), "", 'Data Entry'!$Õ$826)</f>
      </c>
      <c r="ET826">
        <f>IF(ISBLANK('Data Entry'!$Ö$826), "", 'Data Entry'!$Ö$826)</f>
      </c>
      <c r="EU826">
        <f>IF(ISBLANK('Data Entry'!$×$826), "", 'Data Entry'!$×$826)</f>
      </c>
      <c r="EV826">
        <f>IF(ISBLANK('Data Entry'!$Ø$826), "", 'Data Entry'!$Ø$826)</f>
      </c>
      <c r="EW826">
        <f>IF(ISBLANK('Data Entry'!$Ù$826), "", 'Data Entry'!$Ù$826)</f>
      </c>
      <c r="EX826">
        <f>IF(ISBLANK('Data Entry'!$Ú$826), "", 'Data Entry'!$Ú$826)</f>
      </c>
      <c r="EY826">
        <f>IF(ISBLANK('Data Entry'!$Û$826), "", 'Data Entry'!$Û$826)</f>
      </c>
      <c r="EZ826">
        <f>IF(ISBLANK('Data Entry'!$Ü$826), "", 'Data Entry'!$Ü$826)</f>
      </c>
      <c r="FA826">
        <f>IF(ISBLANK('Data Entry'!$Ý$826), "", 'Data Entry'!$Ý$826)</f>
      </c>
      <c r="FB826">
        <f>IF(ISBLANK('Data Entry'!$Þ$826), "", 'Data Entry'!$Þ$826)</f>
      </c>
      <c r="FC826">
        <f>IF(ISBLANK('Data Entry'!$ß$826), "", 'Data Entry'!$ß$826)</f>
      </c>
      <c r="FD826">
        <f>IF(ISBLANK('Data Entry'!$à$826), "", 'Data Entry'!$à$826)</f>
      </c>
      <c r="FE826">
        <f>IF(ISBLANK('Data Entry'!$á$826), "", 'Data Entry'!$á$826)</f>
      </c>
      <c r="FF826">
        <f>IF(ISBLANK('Data Entry'!$â$826), "", 'Data Entry'!$â$826)</f>
      </c>
      <c r="FG826">
        <f>IF(ISBLANK('Data Entry'!$ã$826), "", 'Data Entry'!$ã$826)</f>
      </c>
      <c r="FH826">
        <f>IF(ISBLANK('Data Entry'!$ä$826), "", 'Data Entry'!$ä$826)</f>
      </c>
      <c r="FI826">
        <f>IF(ISBLANK('Data Entry'!$å$826), "", 'Data Entry'!$å$826)</f>
      </c>
      <c r="FJ826">
        <f>IF(ISBLANK('Data Entry'!$æ$826), "", 'Data Entry'!$æ$826)</f>
      </c>
      <c r="FK826">
        <f>IF(ISBLANK('Data Entry'!$ç$826), "", 'Data Entry'!$ç$826)</f>
      </c>
      <c r="FL826">
        <f>IF(ISBLANK('Data Entry'!$è$826), "", 'Data Entry'!$è$826)</f>
      </c>
      <c r="FM826">
        <f>IF(ISBLANK('Data Entry'!$é$826), "", 'Data Entry'!$é$826)</f>
      </c>
      <c r="FN826">
        <f>IF(ISBLANK('Data Entry'!$ê$826), "", 'Data Entry'!$ê$826)</f>
      </c>
      <c r="FO826">
        <f>IF(ISBLANK('Data Entry'!$ë$826), "", 'Data Entry'!$ë$826)</f>
      </c>
      <c r="FP826">
        <f>IF(ISBLANK('Data Entry'!$ì$826), "", 'Data Entry'!$ì$826)</f>
      </c>
      <c r="FQ826">
        <f>IF(ISBLANK('Data Entry'!$í$826), "", 'Data Entry'!$í$826)</f>
      </c>
      <c r="FR826">
        <f>IF(ISBLANK('Data Entry'!$î$826), "", 'Data Entry'!$î$826)</f>
      </c>
      <c r="FS826">
        <f>IF(ISBLANK('Data Entry'!$ï$826), "", 'Data Entry'!$ï$826)</f>
      </c>
      <c r="FT826">
        <f>IF(ISBLANK('Data Entry'!$ð$826), "", 'Data Entry'!$ð$826)</f>
      </c>
      <c r="FU826">
        <f>IF(ISBLANK('Data Entry'!$ñ$826), "", 'Data Entry'!$ñ$826)</f>
      </c>
      <c r="FV826">
        <f>IF(ISBLANK('Data Entry'!$ò$826), "", 'Data Entry'!$ò$826)</f>
      </c>
      <c r="FW826">
        <f>IF(ISBLANK('Data Entry'!$ó$826), "", 'Data Entry'!$ó$826)</f>
      </c>
      <c r="FX826">
        <f>IF(ISBLANK('Data Entry'!$ô$826), "", 'Data Entry'!$ô$826)</f>
      </c>
      <c r="FY826">
        <f>IF(ISBLANK('Data Entry'!$õ$826), "", 'Data Entry'!$õ$826)</f>
      </c>
      <c r="FZ826">
        <f>IF(ISBLANK('Data Entry'!$ö$826), "", 'Data Entry'!$ö$826)</f>
      </c>
      <c r="GA826">
        <f>IF(ISBLANK('Data Entry'!$÷$826), "", 'Data Entry'!$÷$826)</f>
      </c>
      <c r="GB826">
        <f>IF(ISBLANK('Data Entry'!$ø$826), "", 'Data Entry'!$ø$826)</f>
      </c>
      <c r="GC826">
        <f>IF(ISBLANK('Data Entry'!$ù$826), "", 'Data Entry'!$ù$826)</f>
      </c>
      <c r="GD826">
        <f>IF(ISBLANK('Data Entry'!$ú$826), "", 'Data Entry'!$ú$826)</f>
      </c>
      <c r="GE826">
        <f>IF(ISBLANK('Data Entry'!$û$826), "", 'Data Entry'!$û$826)</f>
      </c>
      <c r="GF826">
        <f>IF(ISBLANK('Data Entry'!$ü$826), "", 'Data Entry'!$ü$826)</f>
      </c>
      <c r="GG826">
        <f>IF(ISBLANK('Data Entry'!$ý$826), "", 'Data Entry'!$ý$826)</f>
      </c>
      <c r="GH826">
        <f>IF(ISBLANK('Data Entry'!$þ$826), "", 'Data Entry'!$þ$826)</f>
      </c>
      <c r="GI826">
        <f>IF(ISBLANK('Data Entry'!$ÿ$826), "", 'Data Entry'!$ÿ$826)</f>
      </c>
      <c r="GJ826">
        <f>IF(ISBLANK('Data Entry'!$Ā$826), "", 'Data Entry'!$Ā$826)</f>
      </c>
      <c r="GK826">
        <f>IF(ISBLANK('Data Entry'!$ā$826), "", 'Data Entry'!$ā$826)</f>
      </c>
      <c r="GL826">
        <f>IF(ISBLANK('Data Entry'!$Ă$826), "", 'Data Entry'!$Ă$826)</f>
      </c>
      <c r="GM826">
        <f>IF(ISBLANK('Data Entry'!$ă$826), "", 'Data Entry'!$ă$826)</f>
      </c>
      <c r="GN826">
        <f>IF(ISBLANK('Data Entry'!$Ą$826), "", 'Data Entry'!$Ą$826)</f>
      </c>
      <c r="GO826">
        <f>IF(ISBLANK('Data Entry'!$ą$826), "", 'Data Entry'!$ą$826)</f>
      </c>
      <c r="GP826">
        <f>IF(ISBLANK('Data Entry'!$Ć$826), "", 'Data Entry'!$Ć$826)</f>
      </c>
      <c r="GQ826">
        <f>IF(ISBLANK('Data Entry'!$ć$826), "", 'Data Entry'!$ć$826)</f>
      </c>
      <c r="GR826">
        <f>IF(ISBLANK('Data Entry'!$Ĉ$826), "", 'Data Entry'!$Ĉ$826)</f>
      </c>
      <c r="GS826">
        <f>IF(ISBLANK('Data Entry'!$ĉ$826), "", 'Data Entry'!$ĉ$826)</f>
      </c>
      <c r="GT826">
        <f>IF(ISBLANK('Data Entry'!$Ċ$826), "", 'Data Entry'!$Ċ$826)</f>
      </c>
      <c r="GU826">
        <f>IF(ISBLANK('Data Entry'!$ċ$826), "", 'Data Entry'!$ċ$826)</f>
      </c>
      <c r="GV826">
        <f>IF(ISBLANK('Data Entry'!$Č$826), "", 'Data Entry'!$Č$826)</f>
      </c>
      <c r="GW826">
        <f>IF(ISBLANK('Data Entry'!$č$826), "", 'Data Entry'!$č$826)</f>
      </c>
      <c r="GX826">
        <f>IF(ISBLANK('Data Entry'!$Ď$826), "", 'Data Entry'!$Ď$826)</f>
      </c>
      <c r="GY826">
        <f>IF(ISBLANK('Data Entry'!$ď$826), "", 'Data Entry'!$ď$826)</f>
      </c>
      <c r="GZ826">
        <f>IF(ISBLANK('Data Entry'!$Đ$826), "", 'Data Entry'!$Đ$826)</f>
      </c>
      <c r="HA826">
        <f>IF(ISBLANK('Data Entry'!$đ$826), "", 'Data Entry'!$đ$826)</f>
      </c>
      <c r="HB826">
        <f>IF(ISBLANK('Data Entry'!$Ē$826), "", 'Data Entry'!$Ē$826)</f>
      </c>
      <c r="HC826">
        <f>IF(ISBLANK('Data Entry'!$ē$826), "", 'Data Entry'!$ē$826)</f>
      </c>
      <c r="HD826">
        <f>IF(ISBLANK('Data Entry'!$Ĕ$826), "", 'Data Entry'!$Ĕ$826)</f>
      </c>
      <c r="HE826">
        <f>IF(ISBLANK('Data Entry'!$ĕ$826), "", 'Data Entry'!$ĕ$826)</f>
      </c>
      <c r="HF826">
        <f>IF(ISBLANK('Data Entry'!$Ė$826), "", 'Data Entry'!$Ė$826)</f>
      </c>
      <c r="HG826">
        <f>IF(ISBLANK('Data Entry'!$ė$826), "", 'Data Entry'!$ė$826)</f>
      </c>
      <c r="HH826">
        <f>IF(ISBLANK('Data Entry'!$Ę$826), "", 'Data Entry'!$Ę$826)</f>
      </c>
      <c r="HI826">
        <f>IF(ISBLANK('Data Entry'!$ę$826), "", 'Data Entry'!$ę$826)</f>
      </c>
      <c r="HJ826">
        <f>IF(ISBLANK('Data Entry'!$Ě$826), "", 'Data Entry'!$Ě$826)</f>
      </c>
      <c r="HK826">
        <f>IF(ISBLANK('Data Entry'!$ě$826), "", 'Data Entry'!$ě$826)</f>
      </c>
      <c r="HL826">
        <f>IF(ISBLANK('Data Entry'!$Ĝ$826), "", 'Data Entry'!$Ĝ$826)</f>
      </c>
      <c r="HM826">
        <f>IF(ISBLANK('Data Entry'!$ĝ$826), "", 'Data Entry'!$ĝ$826)</f>
      </c>
      <c r="HN826">
        <f>IF(ISBLANK('Data Entry'!$Ğ$826), "", 'Data Entry'!$Ğ$826)</f>
      </c>
      <c r="HO826">
        <f>IF(ISBLANK('Data Entry'!$ğ$826), "", 'Data Entry'!$ğ$826)</f>
      </c>
      <c r="HP826">
        <f>IF(ISBLANK('Data Entry'!$Ġ$826), "", 'Data Entry'!$Ġ$826)</f>
      </c>
      <c r="HQ826">
        <f>IF(ISBLANK('Data Entry'!$ġ$826), "", 'Data Entry'!$ġ$826)</f>
      </c>
      <c r="HR826">
        <f>IF(ISBLANK('Data Entry'!$Ģ$826), "", 'Data Entry'!$Ģ$826)</f>
      </c>
      <c r="HS826">
        <f>IF(ISBLANK('Data Entry'!$ģ$826), "", 'Data Entry'!$ģ$826)</f>
      </c>
      <c r="HT826">
        <f>IF(ISBLANK('Data Entry'!$Ĥ$826), "", 'Data Entry'!$Ĥ$826)</f>
      </c>
      <c r="HU826">
        <f>IF(ISBLANK('Data Entry'!$ĥ$826), "", 'Data Entry'!$ĥ$826)</f>
      </c>
      <c r="HV826">
        <f>IF(ISBLANK('Data Entry'!$Ħ$826), "", 'Data Entry'!$Ħ$826)</f>
      </c>
      <c r="HW826">
        <f>IF(ISBLANK('Data Entry'!$ħ$826), "", 'Data Entry'!$ħ$826)</f>
      </c>
      <c r="HX826">
        <f>IF(ISBLANK('Data Entry'!$Ĩ$826), "", 'Data Entry'!$Ĩ$826)</f>
      </c>
      <c r="HY826">
        <f>IF(ISBLANK('Data Entry'!$ĩ$826), "", 'Data Entry'!$ĩ$826)</f>
      </c>
      <c r="HZ826">
        <f>IF(ISBLANK('Data Entry'!$Ī$826), "", 'Data Entry'!$Ī$826)</f>
      </c>
      <c r="IA826">
        <f>IF(ISBLANK('Data Entry'!$ī$826), "", 'Data Entry'!$ī$826)</f>
      </c>
      <c r="IB826">
        <f>IF(ISBLANK('Data Entry'!$Ĭ$826), "", 'Data Entry'!$Ĭ$826)</f>
      </c>
      <c r="IC826">
        <f>IF(ISBLANK('Data Entry'!$ĭ$826), "", 'Data Entry'!$ĭ$826)</f>
      </c>
      <c r="ID826">
        <f>IF(ISBLANK('Data Entry'!$Į$826), "", 'Data Entry'!$Į$826)</f>
      </c>
      <c r="IE826">
        <f>IF(ISBLANK('Data Entry'!$į$826), "", 'Data Entry'!$į$826)</f>
      </c>
      <c r="IF826">
        <f>IF(ISBLANK('Data Entry'!$İ$826), "", 'Data Entry'!$İ$826)</f>
      </c>
      <c r="IG826">
        <f>IF(ISBLANK('Data Entry'!$ı$826), "", 'Data Entry'!$ı$826)</f>
      </c>
      <c r="IH826">
        <f>IF(ISBLANK('Data Entry'!$Ĳ$826), "", 'Data Entry'!$Ĳ$826)</f>
      </c>
      <c r="II826">
        <f>IF(ISBLANK('Data Entry'!$ĳ$826), "", 'Data Entry'!$ĳ$826)</f>
      </c>
      <c r="IJ826">
        <f>IF(ISBLANK('Data Entry'!$Ĵ$826), "", 'Data Entry'!$Ĵ$826)</f>
      </c>
      <c r="IK826">
        <f>IF(ISBLANK('Data Entry'!$ĵ$826), "", 'Data Entry'!$ĵ$826)</f>
      </c>
      <c r="IL826">
        <f>IF(ISBLANK('Data Entry'!$Ķ$826), "", 'Data Entry'!$Ķ$826)</f>
      </c>
      <c r="IM826">
        <f>IF(ISBLANK('Data Entry'!$ķ$826), "", 'Data Entry'!$ķ$826)</f>
      </c>
      <c r="IN826">
        <f>IF(ISBLANK('Data Entry'!$ĸ$826), "", 'Data Entry'!$ĸ$826)</f>
      </c>
      <c r="IO826">
        <f>IF(ISBLANK('Data Entry'!$Ĺ$826), "", 'Data Entry'!$Ĺ$826)</f>
      </c>
      <c r="IP826">
        <f>IF(ISBLANK('Data Entry'!$ĺ$826), "", 'Data Entry'!$ĺ$826)</f>
      </c>
      <c r="IQ826">
        <f>IF(ISBLANK('Data Entry'!$Ļ$826), "", 'Data Entry'!$Ļ$826)</f>
      </c>
      <c r="IR826">
        <f>IF(ISBLANK('Data Entry'!$ļ$826), "", 'Data Entry'!$ļ$826)</f>
      </c>
      <c r="IS826">
        <f>IF(ISBLANK('Data Entry'!$Ľ$826), "", 'Data Entry'!$Ľ$826)</f>
      </c>
      <c r="IT826">
        <f>IF(ISBLANK('Data Entry'!$ľ$826), "", 'Data Entry'!$ľ$826)</f>
      </c>
    </row>
    <row r="827" spans="1:254" x14ac:dyDescent="0.25">
      <c r="A827">
        <f>IF(ISBLANK('Data Entry'!$A$827), "", 'Data Entry'!$A$827)</f>
      </c>
      <c r="B827">
        <f>IF(ISBLANK('Data Entry'!$B$827), "", 'Data Entry'!$B$827)</f>
      </c>
      <c r="C827">
        <f>IF(ISBLANK('Data Entry'!$C$827), "", 'Data Entry'!$C$827)</f>
      </c>
      <c r="D827">
        <f>IF(ISBLANK('Data Entry'!$D$827), "", 'Data Entry'!$D$827)</f>
      </c>
      <c r="E827">
        <f>IF(ISBLANK('Data Entry'!$E$827), "", 'Data Entry'!$E$827)</f>
      </c>
      <c r="F827">
        <f>IF(ISBLANK('Data Entry'!$F$827), "", 'Data Entry'!$F$827)</f>
      </c>
      <c r="G827">
        <f>IF(ISBLANK('Data Entry'!$G$827), "", 'Data Entry'!$G$827)</f>
      </c>
      <c r="H827">
        <f>IF(ISBLANK('Data Entry'!$H$827), "", 'Data Entry'!$H$827)</f>
      </c>
      <c r="I827">
        <f>IF(ISBLANK('Data Entry'!$I$827), "", 'Data Entry'!$I$827)</f>
      </c>
      <c r="J827">
        <f>IF(ISBLANK('Data Entry'!$J$827), "", 'Data Entry'!$J$827)</f>
      </c>
      <c r="K827">
        <f>IF(ISBLANK('Data Entry'!$K$827), "", 'Data Entry'!$K$827)</f>
      </c>
      <c r="L827">
        <f>IF(ISBLANK('Data Entry'!$L$827), "", 'Data Entry'!$L$827)</f>
      </c>
      <c r="M827">
        <f>IF(ISBLANK('Data Entry'!$M$827), "", 'Data Entry'!$M$827)</f>
      </c>
      <c r="N827">
        <f>IF(ISBLANK('Data Entry'!$N$827), "", 'Data Entry'!$N$827)</f>
      </c>
      <c r="O827">
        <f>IF(ISBLANK('Data Entry'!$O$827), "", 'Data Entry'!$O$827)</f>
      </c>
      <c r="P827">
        <f>IF(ISBLANK('Data Entry'!$P$827), "", 'Data Entry'!$P$827)</f>
      </c>
      <c r="Q827">
        <f>IF(ISBLANK('Data Entry'!$Q$827), "", 'Data Entry'!$Q$827)</f>
      </c>
      <c r="R827">
        <f>IF(ISBLANK('Data Entry'!$R$827), "", 'Data Entry'!$R$827)</f>
      </c>
      <c r="S827">
        <f>IF(ISBLANK('Data Entry'!$S$827), "", 'Data Entry'!$S$827)</f>
      </c>
      <c r="T827">
        <f>IF(ISBLANK('Data Entry'!$T$827), "", 'Data Entry'!$T$827)</f>
      </c>
      <c r="U827">
        <f>IF(ISBLANK('Data Entry'!$U$827), "", 'Data Entry'!$U$827)</f>
      </c>
      <c r="V827">
        <f>IF(ISBLANK('Data Entry'!$V$827), "", 'Data Entry'!$V$827)</f>
      </c>
      <c r="W827">
        <f>IF(ISBLANK('Data Entry'!$W$827), "", 'Data Entry'!$W$827)</f>
      </c>
      <c r="X827">
        <f>IF(ISBLANK('Data Entry'!$X$827), "", 'Data Entry'!$X$827)</f>
      </c>
      <c r="Y827">
        <f>IF(ISBLANK('Data Entry'!$Y$827), "", 'Data Entry'!$Y$827)</f>
      </c>
      <c r="Z827">
        <f>IF(ISBLANK('Data Entry'!$Z$827), "", 'Data Entry'!$Z$827)</f>
      </c>
      <c r="AA827">
        <f>IF(ISBLANK('Data Entry'!$[$827), "", 'Data Entry'!$[$827)</f>
      </c>
      <c r="AB827">
        <f>IF(ISBLANK('Data Entry'!$\$827), "", 'Data Entry'!$\$827)</f>
      </c>
      <c r="AC827">
        <f>IF(ISBLANK('Data Entry'!$]$827), "", 'Data Entry'!$]$827)</f>
      </c>
      <c r="AD827">
        <f>IF(ISBLANK('Data Entry'!$^$827), "", 'Data Entry'!$^$827)</f>
      </c>
      <c r="AE827">
        <f>IF(ISBLANK('Data Entry'!$_$827), "", 'Data Entry'!$_$827)</f>
      </c>
      <c r="AF827">
        <f>IF(ISBLANK('Data Entry'!$`$827), "", 'Data Entry'!$`$827)</f>
      </c>
      <c r="AG827">
        <f>IF(ISBLANK('Data Entry'!$a$827), "", 'Data Entry'!$a$827)</f>
      </c>
      <c r="AH827">
        <f>IF(ISBLANK('Data Entry'!$b$827), "", 'Data Entry'!$b$827)</f>
      </c>
      <c r="AI827">
        <f>IF(ISBLANK('Data Entry'!$c$827), "", 'Data Entry'!$c$827)</f>
      </c>
      <c r="AJ827">
        <f>IF(ISBLANK('Data Entry'!$d$827), "", 'Data Entry'!$d$827)</f>
      </c>
      <c r="AK827">
        <f>IF(ISBLANK('Data Entry'!$e$827), "", 'Data Entry'!$e$827)</f>
      </c>
      <c r="AL827">
        <f>IF(ISBLANK('Data Entry'!$f$827), "", 'Data Entry'!$f$827)</f>
      </c>
      <c r="AM827">
        <f>IF(ISBLANK('Data Entry'!$g$827), "", 'Data Entry'!$g$827)</f>
      </c>
      <c r="AN827">
        <f>IF(ISBLANK('Data Entry'!$h$827), "", 'Data Entry'!$h$827)</f>
      </c>
      <c r="AO827">
        <f>IF(ISBLANK('Data Entry'!$i$827), "", 'Data Entry'!$i$827)</f>
      </c>
      <c r="AP827">
        <f>IF(ISBLANK('Data Entry'!$j$827), "", 'Data Entry'!$j$827)</f>
      </c>
      <c r="AQ827">
        <f>IF(ISBLANK('Data Entry'!$k$827), "", 'Data Entry'!$k$827)</f>
      </c>
      <c r="AR827">
        <f>IF(ISBLANK('Data Entry'!$l$827), "", 'Data Entry'!$l$827)</f>
      </c>
      <c r="AS827">
        <f>IF(ISBLANK('Data Entry'!$m$827), "", 'Data Entry'!$m$827)</f>
      </c>
      <c r="AT827">
        <f>IF(ISBLANK('Data Entry'!$n$827), "", 'Data Entry'!$n$827)</f>
      </c>
      <c r="AU827">
        <f>IF(ISBLANK('Data Entry'!$o$827), "", 'Data Entry'!$o$827)</f>
      </c>
      <c r="AV827">
        <f>IF(ISBLANK('Data Entry'!$p$827), "", 'Data Entry'!$p$827)</f>
      </c>
      <c r="AW827">
        <f>IF(ISBLANK('Data Entry'!$q$827), "", 'Data Entry'!$q$827)</f>
      </c>
      <c r="AX827">
        <f>IF(ISBLANK('Data Entry'!$r$827), "", 'Data Entry'!$r$827)</f>
      </c>
      <c r="AY827">
        <f>IF(ISBLANK('Data Entry'!$s$827), "", 'Data Entry'!$s$827)</f>
      </c>
      <c r="AZ827">
        <f>IF(ISBLANK('Data Entry'!$t$827), "", 'Data Entry'!$t$827)</f>
      </c>
      <c r="BA827">
        <f>IF(ISBLANK('Data Entry'!$u$827), "", 'Data Entry'!$u$827)</f>
      </c>
      <c r="BB827">
        <f>IF(ISBLANK('Data Entry'!$v$827), "", 'Data Entry'!$v$827)</f>
      </c>
      <c r="BC827">
        <f>IF(ISBLANK('Data Entry'!$w$827), "", 'Data Entry'!$w$827)</f>
      </c>
      <c r="BD827">
        <f>IF(ISBLANK('Data Entry'!$x$827), "", 'Data Entry'!$x$827)</f>
      </c>
      <c r="BE827">
        <f>IF(ISBLANK('Data Entry'!$y$827), "", 'Data Entry'!$y$827)</f>
      </c>
      <c r="BF827">
        <f>IF(ISBLANK('Data Entry'!$z$827), "", 'Data Entry'!$z$827)</f>
      </c>
      <c r="BG827">
        <f>IF(ISBLANK('Data Entry'!${$827), "", 'Data Entry'!${$827)</f>
      </c>
      <c r="BH827">
        <f>IF(ISBLANK('Data Entry'!$|$827), "", 'Data Entry'!$|$827)</f>
      </c>
      <c r="BI827">
        <f>IF(ISBLANK('Data Entry'!$}$827), "", 'Data Entry'!$}$827)</f>
      </c>
      <c r="BJ827">
        <f>IF(ISBLANK('Data Entry'!$~$827), "", 'Data Entry'!$~$827)</f>
      </c>
      <c r="BK827">
        <f>IF(ISBLANK('Data Entry'!$$827), "", 'Data Entry'!$$827)</f>
      </c>
      <c r="BL827">
        <f>IF(ISBLANK('Data Entry'!$$827), "", 'Data Entry'!$$827)</f>
      </c>
      <c r="BM827">
        <f>IF(ISBLANK('Data Entry'!$$827), "", 'Data Entry'!$$827)</f>
      </c>
      <c r="BN827">
        <f>IF(ISBLANK('Data Entry'!$$827), "", 'Data Entry'!$$827)</f>
      </c>
      <c r="BO827">
        <f>IF(ISBLANK('Data Entry'!$$827), "", 'Data Entry'!$$827)</f>
      </c>
      <c r="BP827">
        <f>IF(ISBLANK('Data Entry'!$$827), "", 'Data Entry'!$$827)</f>
      </c>
      <c r="BQ827">
        <f>IF(ISBLANK('Data Entry'!$$827), "", 'Data Entry'!$$827)</f>
      </c>
      <c r="BR827">
        <f>IF(ISBLANK('Data Entry'!$$827), "", 'Data Entry'!$$827)</f>
      </c>
      <c r="BS827">
        <f>IF(ISBLANK('Data Entry'!$$827), "", 'Data Entry'!$$827)</f>
      </c>
      <c r="BT827">
        <f>IF(ISBLANK('Data Entry'!$$827), "", 'Data Entry'!$$827)</f>
      </c>
      <c r="BU827">
        <f>IF(ISBLANK('Data Entry'!$$827), "", 'Data Entry'!$$827)</f>
      </c>
      <c r="BV827">
        <f>IF(ISBLANK('Data Entry'!$$827), "", 'Data Entry'!$$827)</f>
      </c>
      <c r="BW827">
        <f>IF(ISBLANK('Data Entry'!$$827), "", 'Data Entry'!$$827)</f>
      </c>
      <c r="BX827">
        <f>IF(ISBLANK('Data Entry'!$$827), "", 'Data Entry'!$$827)</f>
      </c>
      <c r="BY827">
        <f>IF(ISBLANK('Data Entry'!$$827), "", 'Data Entry'!$$827)</f>
      </c>
      <c r="BZ827">
        <f>IF(ISBLANK('Data Entry'!$$827), "", 'Data Entry'!$$827)</f>
      </c>
      <c r="CA827">
        <f>IF(ISBLANK('Data Entry'!$$827), "", 'Data Entry'!$$827)</f>
      </c>
      <c r="CB827">
        <f>IF(ISBLANK('Data Entry'!$$827), "", 'Data Entry'!$$827)</f>
      </c>
      <c r="CC827">
        <f>IF(ISBLANK('Data Entry'!$$827), "", 'Data Entry'!$$827)</f>
      </c>
      <c r="CD827">
        <f>IF(ISBLANK('Data Entry'!$$827), "", 'Data Entry'!$$827)</f>
      </c>
      <c r="CE827">
        <f>IF(ISBLANK('Data Entry'!$$827), "", 'Data Entry'!$$827)</f>
      </c>
      <c r="CF827">
        <f>IF(ISBLANK('Data Entry'!$$827), "", 'Data Entry'!$$827)</f>
      </c>
      <c r="CG827">
        <f>IF(ISBLANK('Data Entry'!$$827), "", 'Data Entry'!$$827)</f>
      </c>
      <c r="CH827">
        <f>IF(ISBLANK('Data Entry'!$$827), "", 'Data Entry'!$$827)</f>
      </c>
      <c r="CI827">
        <f>IF(ISBLANK('Data Entry'!$$827), "", 'Data Entry'!$$827)</f>
      </c>
      <c r="CJ827">
        <f>IF(ISBLANK('Data Entry'!$$827), "", 'Data Entry'!$$827)</f>
      </c>
      <c r="CK827">
        <f>IF(ISBLANK('Data Entry'!$$827), "", 'Data Entry'!$$827)</f>
      </c>
      <c r="CL827">
        <f>IF(ISBLANK('Data Entry'!$$827), "", 'Data Entry'!$$827)</f>
      </c>
      <c r="CM827">
        <f>IF(ISBLANK('Data Entry'!$$827), "", 'Data Entry'!$$827)</f>
      </c>
      <c r="CN827">
        <f>IF(ISBLANK('Data Entry'!$$827), "", 'Data Entry'!$$827)</f>
      </c>
      <c r="CO827">
        <f>IF(ISBLANK('Data Entry'!$$827), "", 'Data Entry'!$$827)</f>
      </c>
      <c r="CP827">
        <f>IF(ISBLANK('Data Entry'!$$827), "", 'Data Entry'!$$827)</f>
      </c>
      <c r="CQ827">
        <f>IF(ISBLANK('Data Entry'!$$827), "", 'Data Entry'!$$827)</f>
      </c>
      <c r="CR827">
        <f>IF(ISBLANK('Data Entry'!$ $827), "", 'Data Entry'!$ $827)</f>
      </c>
      <c r="CS827">
        <f>IF(ISBLANK('Data Entry'!$¡$827), "", 'Data Entry'!$¡$827)</f>
      </c>
      <c r="CT827">
        <f>IF(ISBLANK('Data Entry'!$¢$827), "", 'Data Entry'!$¢$827)</f>
      </c>
      <c r="CU827">
        <f>IF(ISBLANK('Data Entry'!$£$827), "", 'Data Entry'!$£$827)</f>
      </c>
      <c r="CV827">
        <f>IF(ISBLANK('Data Entry'!$¤$827), "", 'Data Entry'!$¤$827)</f>
      </c>
      <c r="CW827">
        <f>IF(ISBLANK('Data Entry'!$¥$827), "", 'Data Entry'!$¥$827)</f>
      </c>
      <c r="CX827">
        <f>IF(ISBLANK('Data Entry'!$¦$827), "", 'Data Entry'!$¦$827)</f>
      </c>
      <c r="CY827">
        <f>IF(ISBLANK('Data Entry'!$§$827), "", 'Data Entry'!$§$827)</f>
      </c>
      <c r="CZ827">
        <f>IF(ISBLANK('Data Entry'!$¨$827), "", 'Data Entry'!$¨$827)</f>
      </c>
      <c r="DA827">
        <f>IF(ISBLANK('Data Entry'!$©$827), "", 'Data Entry'!$©$827)</f>
      </c>
      <c r="DB827">
        <f>IF(ISBLANK('Data Entry'!$ª$827), "", 'Data Entry'!$ª$827)</f>
      </c>
      <c r="DC827">
        <f>IF(ISBLANK('Data Entry'!$«$827), "", 'Data Entry'!$«$827)</f>
      </c>
      <c r="DD827">
        <f>IF(ISBLANK('Data Entry'!$¬$827), "", 'Data Entry'!$¬$827)</f>
      </c>
      <c r="DE827">
        <f>IF(ISBLANK('Data Entry'!$­$827), "", 'Data Entry'!$­$827)</f>
      </c>
      <c r="DF827">
        <f>IF(ISBLANK('Data Entry'!$®$827), "", 'Data Entry'!$®$827)</f>
      </c>
      <c r="DG827">
        <f>IF(ISBLANK('Data Entry'!$¯$827), "", 'Data Entry'!$¯$827)</f>
      </c>
      <c r="DH827">
        <f>IF(ISBLANK('Data Entry'!$°$827), "", 'Data Entry'!$°$827)</f>
      </c>
      <c r="DI827">
        <f>IF(ISBLANK('Data Entry'!$±$827), "", 'Data Entry'!$±$827)</f>
      </c>
      <c r="DJ827">
        <f>IF(ISBLANK('Data Entry'!$²$827), "", 'Data Entry'!$²$827)</f>
      </c>
      <c r="DK827">
        <f>IF(ISBLANK('Data Entry'!$³$827), "", 'Data Entry'!$³$827)</f>
      </c>
      <c r="DL827">
        <f>IF(ISBLANK('Data Entry'!$´$827), "", 'Data Entry'!$´$827)</f>
      </c>
      <c r="DM827">
        <f>IF(ISBLANK('Data Entry'!$µ$827), "", 'Data Entry'!$µ$827)</f>
      </c>
      <c r="DN827">
        <f>IF(ISBLANK('Data Entry'!$¶$827), "", 'Data Entry'!$¶$827)</f>
      </c>
      <c r="DO827">
        <f>IF(ISBLANK('Data Entry'!$·$827), "", 'Data Entry'!$·$827)</f>
      </c>
      <c r="DP827">
        <f>IF(ISBLANK('Data Entry'!$¸$827), "", 'Data Entry'!$¸$827)</f>
      </c>
      <c r="DQ827">
        <f>IF(ISBLANK('Data Entry'!$¹$827), "", 'Data Entry'!$¹$827)</f>
      </c>
      <c r="DR827">
        <f>IF(ISBLANK('Data Entry'!$º$827), "", 'Data Entry'!$º$827)</f>
      </c>
      <c r="DS827">
        <f>IF(ISBLANK('Data Entry'!$»$827), "", 'Data Entry'!$»$827)</f>
      </c>
      <c r="DT827">
        <f>IF(ISBLANK('Data Entry'!$¼$827), "", 'Data Entry'!$¼$827)</f>
      </c>
      <c r="DU827">
        <f>IF(ISBLANK('Data Entry'!$½$827), "", 'Data Entry'!$½$827)</f>
      </c>
      <c r="DV827">
        <f>IF(ISBLANK('Data Entry'!$¾$827), "", 'Data Entry'!$¾$827)</f>
      </c>
      <c r="DW827">
        <f>IF(ISBLANK('Data Entry'!$¿$827), "", 'Data Entry'!$¿$827)</f>
      </c>
      <c r="DX827">
        <f>IF(ISBLANK('Data Entry'!$À$827), "", 'Data Entry'!$À$827)</f>
      </c>
      <c r="DY827">
        <f>IF(ISBLANK('Data Entry'!$Á$827), "", 'Data Entry'!$Á$827)</f>
      </c>
      <c r="DZ827">
        <f>IF(ISBLANK('Data Entry'!$Â$827), "", 'Data Entry'!$Â$827)</f>
      </c>
      <c r="EA827">
        <f>IF(ISBLANK('Data Entry'!$Ã$827), "", 'Data Entry'!$Ã$827)</f>
      </c>
      <c r="EB827">
        <f>IF(ISBLANK('Data Entry'!$Ä$827), "", 'Data Entry'!$Ä$827)</f>
      </c>
      <c r="EC827">
        <f>IF(ISBLANK('Data Entry'!$Å$827), "", 'Data Entry'!$Å$827)</f>
      </c>
      <c r="ED827">
        <f>IF(ISBLANK('Data Entry'!$Æ$827), "", 'Data Entry'!$Æ$827)</f>
      </c>
      <c r="EE827">
        <f>IF(ISBLANK('Data Entry'!$Ç$827), "", 'Data Entry'!$Ç$827)</f>
      </c>
      <c r="EF827">
        <f>IF(ISBLANK('Data Entry'!$È$827), "", 'Data Entry'!$È$827)</f>
      </c>
      <c r="EG827">
        <f>IF(ISBLANK('Data Entry'!$É$827), "", 'Data Entry'!$É$827)</f>
      </c>
      <c r="EH827">
        <f>IF(ISBLANK('Data Entry'!$Ê$827), "", 'Data Entry'!$Ê$827)</f>
      </c>
      <c r="EI827">
        <f>IF(ISBLANK('Data Entry'!$Ë$827), "", 'Data Entry'!$Ë$827)</f>
      </c>
      <c r="EJ827">
        <f>IF(ISBLANK('Data Entry'!$Ì$827), "", 'Data Entry'!$Ì$827)</f>
      </c>
      <c r="EK827">
        <f>IF(ISBLANK('Data Entry'!$Í$827), "", 'Data Entry'!$Í$827)</f>
      </c>
      <c r="EL827">
        <f>IF(ISBLANK('Data Entry'!$Î$827), "", 'Data Entry'!$Î$827)</f>
      </c>
      <c r="EM827">
        <f>IF(ISBLANK('Data Entry'!$Ï$827), "", 'Data Entry'!$Ï$827)</f>
      </c>
      <c r="EN827">
        <f>IF(ISBLANK('Data Entry'!$Ð$827), "", 'Data Entry'!$Ð$827)</f>
      </c>
      <c r="EO827">
        <f>IF(ISBLANK('Data Entry'!$Ñ$827), "", 'Data Entry'!$Ñ$827)</f>
      </c>
      <c r="EP827">
        <f>IF(ISBLANK('Data Entry'!$Ò$827), "", 'Data Entry'!$Ò$827)</f>
      </c>
      <c r="EQ827">
        <f>IF(ISBLANK('Data Entry'!$Ó$827), "", 'Data Entry'!$Ó$827)</f>
      </c>
      <c r="ER827">
        <f>IF(ISBLANK('Data Entry'!$Ô$827), "", 'Data Entry'!$Ô$827)</f>
      </c>
      <c r="ES827">
        <f>IF(ISBLANK('Data Entry'!$Õ$827), "", 'Data Entry'!$Õ$827)</f>
      </c>
      <c r="ET827">
        <f>IF(ISBLANK('Data Entry'!$Ö$827), "", 'Data Entry'!$Ö$827)</f>
      </c>
      <c r="EU827">
        <f>IF(ISBLANK('Data Entry'!$×$827), "", 'Data Entry'!$×$827)</f>
      </c>
      <c r="EV827">
        <f>IF(ISBLANK('Data Entry'!$Ø$827), "", 'Data Entry'!$Ø$827)</f>
      </c>
      <c r="EW827">
        <f>IF(ISBLANK('Data Entry'!$Ù$827), "", 'Data Entry'!$Ù$827)</f>
      </c>
      <c r="EX827">
        <f>IF(ISBLANK('Data Entry'!$Ú$827), "", 'Data Entry'!$Ú$827)</f>
      </c>
      <c r="EY827">
        <f>IF(ISBLANK('Data Entry'!$Û$827), "", 'Data Entry'!$Û$827)</f>
      </c>
      <c r="EZ827">
        <f>IF(ISBLANK('Data Entry'!$Ü$827), "", 'Data Entry'!$Ü$827)</f>
      </c>
      <c r="FA827">
        <f>IF(ISBLANK('Data Entry'!$Ý$827), "", 'Data Entry'!$Ý$827)</f>
      </c>
      <c r="FB827">
        <f>IF(ISBLANK('Data Entry'!$Þ$827), "", 'Data Entry'!$Þ$827)</f>
      </c>
      <c r="FC827">
        <f>IF(ISBLANK('Data Entry'!$ß$827), "", 'Data Entry'!$ß$827)</f>
      </c>
      <c r="FD827">
        <f>IF(ISBLANK('Data Entry'!$à$827), "", 'Data Entry'!$à$827)</f>
      </c>
      <c r="FE827">
        <f>IF(ISBLANK('Data Entry'!$á$827), "", 'Data Entry'!$á$827)</f>
      </c>
      <c r="FF827">
        <f>IF(ISBLANK('Data Entry'!$â$827), "", 'Data Entry'!$â$827)</f>
      </c>
      <c r="FG827">
        <f>IF(ISBLANK('Data Entry'!$ã$827), "", 'Data Entry'!$ã$827)</f>
      </c>
      <c r="FH827">
        <f>IF(ISBLANK('Data Entry'!$ä$827), "", 'Data Entry'!$ä$827)</f>
      </c>
      <c r="FI827">
        <f>IF(ISBLANK('Data Entry'!$å$827), "", 'Data Entry'!$å$827)</f>
      </c>
      <c r="FJ827">
        <f>IF(ISBLANK('Data Entry'!$æ$827), "", 'Data Entry'!$æ$827)</f>
      </c>
      <c r="FK827">
        <f>IF(ISBLANK('Data Entry'!$ç$827), "", 'Data Entry'!$ç$827)</f>
      </c>
      <c r="FL827">
        <f>IF(ISBLANK('Data Entry'!$è$827), "", 'Data Entry'!$è$827)</f>
      </c>
      <c r="FM827">
        <f>IF(ISBLANK('Data Entry'!$é$827), "", 'Data Entry'!$é$827)</f>
      </c>
      <c r="FN827">
        <f>IF(ISBLANK('Data Entry'!$ê$827), "", 'Data Entry'!$ê$827)</f>
      </c>
      <c r="FO827">
        <f>IF(ISBLANK('Data Entry'!$ë$827), "", 'Data Entry'!$ë$827)</f>
      </c>
      <c r="FP827">
        <f>IF(ISBLANK('Data Entry'!$ì$827), "", 'Data Entry'!$ì$827)</f>
      </c>
      <c r="FQ827">
        <f>IF(ISBLANK('Data Entry'!$í$827), "", 'Data Entry'!$í$827)</f>
      </c>
      <c r="FR827">
        <f>IF(ISBLANK('Data Entry'!$î$827), "", 'Data Entry'!$î$827)</f>
      </c>
      <c r="FS827">
        <f>IF(ISBLANK('Data Entry'!$ï$827), "", 'Data Entry'!$ï$827)</f>
      </c>
      <c r="FT827">
        <f>IF(ISBLANK('Data Entry'!$ð$827), "", 'Data Entry'!$ð$827)</f>
      </c>
      <c r="FU827">
        <f>IF(ISBLANK('Data Entry'!$ñ$827), "", 'Data Entry'!$ñ$827)</f>
      </c>
      <c r="FV827">
        <f>IF(ISBLANK('Data Entry'!$ò$827), "", 'Data Entry'!$ò$827)</f>
      </c>
      <c r="FW827">
        <f>IF(ISBLANK('Data Entry'!$ó$827), "", 'Data Entry'!$ó$827)</f>
      </c>
      <c r="FX827">
        <f>IF(ISBLANK('Data Entry'!$ô$827), "", 'Data Entry'!$ô$827)</f>
      </c>
      <c r="FY827">
        <f>IF(ISBLANK('Data Entry'!$õ$827), "", 'Data Entry'!$õ$827)</f>
      </c>
      <c r="FZ827">
        <f>IF(ISBLANK('Data Entry'!$ö$827), "", 'Data Entry'!$ö$827)</f>
      </c>
      <c r="GA827">
        <f>IF(ISBLANK('Data Entry'!$÷$827), "", 'Data Entry'!$÷$827)</f>
      </c>
      <c r="GB827">
        <f>IF(ISBLANK('Data Entry'!$ø$827), "", 'Data Entry'!$ø$827)</f>
      </c>
      <c r="GC827">
        <f>IF(ISBLANK('Data Entry'!$ù$827), "", 'Data Entry'!$ù$827)</f>
      </c>
      <c r="GD827">
        <f>IF(ISBLANK('Data Entry'!$ú$827), "", 'Data Entry'!$ú$827)</f>
      </c>
      <c r="GE827">
        <f>IF(ISBLANK('Data Entry'!$û$827), "", 'Data Entry'!$û$827)</f>
      </c>
      <c r="GF827">
        <f>IF(ISBLANK('Data Entry'!$ü$827), "", 'Data Entry'!$ü$827)</f>
      </c>
      <c r="GG827">
        <f>IF(ISBLANK('Data Entry'!$ý$827), "", 'Data Entry'!$ý$827)</f>
      </c>
      <c r="GH827">
        <f>IF(ISBLANK('Data Entry'!$þ$827), "", 'Data Entry'!$þ$827)</f>
      </c>
      <c r="GI827">
        <f>IF(ISBLANK('Data Entry'!$ÿ$827), "", 'Data Entry'!$ÿ$827)</f>
      </c>
      <c r="GJ827">
        <f>IF(ISBLANK('Data Entry'!$Ā$827), "", 'Data Entry'!$Ā$827)</f>
      </c>
      <c r="GK827">
        <f>IF(ISBLANK('Data Entry'!$ā$827), "", 'Data Entry'!$ā$827)</f>
      </c>
      <c r="GL827">
        <f>IF(ISBLANK('Data Entry'!$Ă$827), "", 'Data Entry'!$Ă$827)</f>
      </c>
      <c r="GM827">
        <f>IF(ISBLANK('Data Entry'!$ă$827), "", 'Data Entry'!$ă$827)</f>
      </c>
      <c r="GN827">
        <f>IF(ISBLANK('Data Entry'!$Ą$827), "", 'Data Entry'!$Ą$827)</f>
      </c>
      <c r="GO827">
        <f>IF(ISBLANK('Data Entry'!$ą$827), "", 'Data Entry'!$ą$827)</f>
      </c>
      <c r="GP827">
        <f>IF(ISBLANK('Data Entry'!$Ć$827), "", 'Data Entry'!$Ć$827)</f>
      </c>
      <c r="GQ827">
        <f>IF(ISBLANK('Data Entry'!$ć$827), "", 'Data Entry'!$ć$827)</f>
      </c>
      <c r="GR827">
        <f>IF(ISBLANK('Data Entry'!$Ĉ$827), "", 'Data Entry'!$Ĉ$827)</f>
      </c>
      <c r="GS827">
        <f>IF(ISBLANK('Data Entry'!$ĉ$827), "", 'Data Entry'!$ĉ$827)</f>
      </c>
      <c r="GT827">
        <f>IF(ISBLANK('Data Entry'!$Ċ$827), "", 'Data Entry'!$Ċ$827)</f>
      </c>
      <c r="GU827">
        <f>IF(ISBLANK('Data Entry'!$ċ$827), "", 'Data Entry'!$ċ$827)</f>
      </c>
      <c r="GV827">
        <f>IF(ISBLANK('Data Entry'!$Č$827), "", 'Data Entry'!$Č$827)</f>
      </c>
      <c r="GW827">
        <f>IF(ISBLANK('Data Entry'!$č$827), "", 'Data Entry'!$č$827)</f>
      </c>
      <c r="GX827">
        <f>IF(ISBLANK('Data Entry'!$Ď$827), "", 'Data Entry'!$Ď$827)</f>
      </c>
      <c r="GY827">
        <f>IF(ISBLANK('Data Entry'!$ď$827), "", 'Data Entry'!$ď$827)</f>
      </c>
      <c r="GZ827">
        <f>IF(ISBLANK('Data Entry'!$Đ$827), "", 'Data Entry'!$Đ$827)</f>
      </c>
      <c r="HA827">
        <f>IF(ISBLANK('Data Entry'!$đ$827), "", 'Data Entry'!$đ$827)</f>
      </c>
      <c r="HB827">
        <f>IF(ISBLANK('Data Entry'!$Ē$827), "", 'Data Entry'!$Ē$827)</f>
      </c>
      <c r="HC827">
        <f>IF(ISBLANK('Data Entry'!$ē$827), "", 'Data Entry'!$ē$827)</f>
      </c>
      <c r="HD827">
        <f>IF(ISBLANK('Data Entry'!$Ĕ$827), "", 'Data Entry'!$Ĕ$827)</f>
      </c>
      <c r="HE827">
        <f>IF(ISBLANK('Data Entry'!$ĕ$827), "", 'Data Entry'!$ĕ$827)</f>
      </c>
      <c r="HF827">
        <f>IF(ISBLANK('Data Entry'!$Ė$827), "", 'Data Entry'!$Ė$827)</f>
      </c>
      <c r="HG827">
        <f>IF(ISBLANK('Data Entry'!$ė$827), "", 'Data Entry'!$ė$827)</f>
      </c>
      <c r="HH827">
        <f>IF(ISBLANK('Data Entry'!$Ę$827), "", 'Data Entry'!$Ę$827)</f>
      </c>
      <c r="HI827">
        <f>IF(ISBLANK('Data Entry'!$ę$827), "", 'Data Entry'!$ę$827)</f>
      </c>
      <c r="HJ827">
        <f>IF(ISBLANK('Data Entry'!$Ě$827), "", 'Data Entry'!$Ě$827)</f>
      </c>
      <c r="HK827">
        <f>IF(ISBLANK('Data Entry'!$ě$827), "", 'Data Entry'!$ě$827)</f>
      </c>
      <c r="HL827">
        <f>IF(ISBLANK('Data Entry'!$Ĝ$827), "", 'Data Entry'!$Ĝ$827)</f>
      </c>
      <c r="HM827">
        <f>IF(ISBLANK('Data Entry'!$ĝ$827), "", 'Data Entry'!$ĝ$827)</f>
      </c>
      <c r="HN827">
        <f>IF(ISBLANK('Data Entry'!$Ğ$827), "", 'Data Entry'!$Ğ$827)</f>
      </c>
      <c r="HO827">
        <f>IF(ISBLANK('Data Entry'!$ğ$827), "", 'Data Entry'!$ğ$827)</f>
      </c>
      <c r="HP827">
        <f>IF(ISBLANK('Data Entry'!$Ġ$827), "", 'Data Entry'!$Ġ$827)</f>
      </c>
      <c r="HQ827">
        <f>IF(ISBLANK('Data Entry'!$ġ$827), "", 'Data Entry'!$ġ$827)</f>
      </c>
      <c r="HR827">
        <f>IF(ISBLANK('Data Entry'!$Ģ$827), "", 'Data Entry'!$Ģ$827)</f>
      </c>
      <c r="HS827">
        <f>IF(ISBLANK('Data Entry'!$ģ$827), "", 'Data Entry'!$ģ$827)</f>
      </c>
      <c r="HT827">
        <f>IF(ISBLANK('Data Entry'!$Ĥ$827), "", 'Data Entry'!$Ĥ$827)</f>
      </c>
      <c r="HU827">
        <f>IF(ISBLANK('Data Entry'!$ĥ$827), "", 'Data Entry'!$ĥ$827)</f>
      </c>
      <c r="HV827">
        <f>IF(ISBLANK('Data Entry'!$Ħ$827), "", 'Data Entry'!$Ħ$827)</f>
      </c>
      <c r="HW827">
        <f>IF(ISBLANK('Data Entry'!$ħ$827), "", 'Data Entry'!$ħ$827)</f>
      </c>
      <c r="HX827">
        <f>IF(ISBLANK('Data Entry'!$Ĩ$827), "", 'Data Entry'!$Ĩ$827)</f>
      </c>
      <c r="HY827">
        <f>IF(ISBLANK('Data Entry'!$ĩ$827), "", 'Data Entry'!$ĩ$827)</f>
      </c>
      <c r="HZ827">
        <f>IF(ISBLANK('Data Entry'!$Ī$827), "", 'Data Entry'!$Ī$827)</f>
      </c>
      <c r="IA827">
        <f>IF(ISBLANK('Data Entry'!$ī$827), "", 'Data Entry'!$ī$827)</f>
      </c>
      <c r="IB827">
        <f>IF(ISBLANK('Data Entry'!$Ĭ$827), "", 'Data Entry'!$Ĭ$827)</f>
      </c>
      <c r="IC827">
        <f>IF(ISBLANK('Data Entry'!$ĭ$827), "", 'Data Entry'!$ĭ$827)</f>
      </c>
      <c r="ID827">
        <f>IF(ISBLANK('Data Entry'!$Į$827), "", 'Data Entry'!$Į$827)</f>
      </c>
      <c r="IE827">
        <f>IF(ISBLANK('Data Entry'!$į$827), "", 'Data Entry'!$į$827)</f>
      </c>
      <c r="IF827">
        <f>IF(ISBLANK('Data Entry'!$İ$827), "", 'Data Entry'!$İ$827)</f>
      </c>
      <c r="IG827">
        <f>IF(ISBLANK('Data Entry'!$ı$827), "", 'Data Entry'!$ı$827)</f>
      </c>
      <c r="IH827">
        <f>IF(ISBLANK('Data Entry'!$Ĳ$827), "", 'Data Entry'!$Ĳ$827)</f>
      </c>
      <c r="II827">
        <f>IF(ISBLANK('Data Entry'!$ĳ$827), "", 'Data Entry'!$ĳ$827)</f>
      </c>
      <c r="IJ827">
        <f>IF(ISBLANK('Data Entry'!$Ĵ$827), "", 'Data Entry'!$Ĵ$827)</f>
      </c>
      <c r="IK827">
        <f>IF(ISBLANK('Data Entry'!$ĵ$827), "", 'Data Entry'!$ĵ$827)</f>
      </c>
      <c r="IL827">
        <f>IF(ISBLANK('Data Entry'!$Ķ$827), "", 'Data Entry'!$Ķ$827)</f>
      </c>
      <c r="IM827">
        <f>IF(ISBLANK('Data Entry'!$ķ$827), "", 'Data Entry'!$ķ$827)</f>
      </c>
      <c r="IN827">
        <f>IF(ISBLANK('Data Entry'!$ĸ$827), "", 'Data Entry'!$ĸ$827)</f>
      </c>
      <c r="IO827">
        <f>IF(ISBLANK('Data Entry'!$Ĺ$827), "", 'Data Entry'!$Ĺ$827)</f>
      </c>
      <c r="IP827">
        <f>IF(ISBLANK('Data Entry'!$ĺ$827), "", 'Data Entry'!$ĺ$827)</f>
      </c>
      <c r="IQ827">
        <f>IF(ISBLANK('Data Entry'!$Ļ$827), "", 'Data Entry'!$Ļ$827)</f>
      </c>
      <c r="IR827">
        <f>IF(ISBLANK('Data Entry'!$ļ$827), "", 'Data Entry'!$ļ$827)</f>
      </c>
      <c r="IS827">
        <f>IF(ISBLANK('Data Entry'!$Ľ$827), "", 'Data Entry'!$Ľ$827)</f>
      </c>
      <c r="IT827">
        <f>IF(ISBLANK('Data Entry'!$ľ$827), "", 'Data Entry'!$ľ$827)</f>
      </c>
    </row>
    <row r="828" spans="1:254" x14ac:dyDescent="0.25">
      <c r="A828">
        <f>IF(ISBLANK('Data Entry'!$A$828), "", 'Data Entry'!$A$828)</f>
      </c>
      <c r="B828">
        <f>IF(ISBLANK('Data Entry'!$B$828), "", 'Data Entry'!$B$828)</f>
      </c>
      <c r="C828">
        <f>IF(ISBLANK('Data Entry'!$C$828), "", 'Data Entry'!$C$828)</f>
      </c>
      <c r="D828">
        <f>IF(ISBLANK('Data Entry'!$D$828), "", 'Data Entry'!$D$828)</f>
      </c>
      <c r="E828">
        <f>IF(ISBLANK('Data Entry'!$E$828), "", 'Data Entry'!$E$828)</f>
      </c>
      <c r="F828">
        <f>IF(ISBLANK('Data Entry'!$F$828), "", 'Data Entry'!$F$828)</f>
      </c>
      <c r="G828">
        <f>IF(ISBLANK('Data Entry'!$G$828), "", 'Data Entry'!$G$828)</f>
      </c>
      <c r="H828">
        <f>IF(ISBLANK('Data Entry'!$H$828), "", 'Data Entry'!$H$828)</f>
      </c>
      <c r="I828">
        <f>IF(ISBLANK('Data Entry'!$I$828), "", 'Data Entry'!$I$828)</f>
      </c>
      <c r="J828">
        <f>IF(ISBLANK('Data Entry'!$J$828), "", 'Data Entry'!$J$828)</f>
      </c>
      <c r="K828">
        <f>IF(ISBLANK('Data Entry'!$K$828), "", 'Data Entry'!$K$828)</f>
      </c>
      <c r="L828">
        <f>IF(ISBLANK('Data Entry'!$L$828), "", 'Data Entry'!$L$828)</f>
      </c>
      <c r="M828">
        <f>IF(ISBLANK('Data Entry'!$M$828), "", 'Data Entry'!$M$828)</f>
      </c>
      <c r="N828">
        <f>IF(ISBLANK('Data Entry'!$N$828), "", 'Data Entry'!$N$828)</f>
      </c>
      <c r="O828">
        <f>IF(ISBLANK('Data Entry'!$O$828), "", 'Data Entry'!$O$828)</f>
      </c>
      <c r="P828">
        <f>IF(ISBLANK('Data Entry'!$P$828), "", 'Data Entry'!$P$828)</f>
      </c>
      <c r="Q828">
        <f>IF(ISBLANK('Data Entry'!$Q$828), "", 'Data Entry'!$Q$828)</f>
      </c>
      <c r="R828">
        <f>IF(ISBLANK('Data Entry'!$R$828), "", 'Data Entry'!$R$828)</f>
      </c>
      <c r="S828">
        <f>IF(ISBLANK('Data Entry'!$S$828), "", 'Data Entry'!$S$828)</f>
      </c>
      <c r="T828">
        <f>IF(ISBLANK('Data Entry'!$T$828), "", 'Data Entry'!$T$828)</f>
      </c>
      <c r="U828">
        <f>IF(ISBLANK('Data Entry'!$U$828), "", 'Data Entry'!$U$828)</f>
      </c>
      <c r="V828">
        <f>IF(ISBLANK('Data Entry'!$V$828), "", 'Data Entry'!$V$828)</f>
      </c>
      <c r="W828">
        <f>IF(ISBLANK('Data Entry'!$W$828), "", 'Data Entry'!$W$828)</f>
      </c>
      <c r="X828">
        <f>IF(ISBLANK('Data Entry'!$X$828), "", 'Data Entry'!$X$828)</f>
      </c>
      <c r="Y828">
        <f>IF(ISBLANK('Data Entry'!$Y$828), "", 'Data Entry'!$Y$828)</f>
      </c>
      <c r="Z828">
        <f>IF(ISBLANK('Data Entry'!$Z$828), "", 'Data Entry'!$Z$828)</f>
      </c>
      <c r="AA828">
        <f>IF(ISBLANK('Data Entry'!$[$828), "", 'Data Entry'!$[$828)</f>
      </c>
      <c r="AB828">
        <f>IF(ISBLANK('Data Entry'!$\$828), "", 'Data Entry'!$\$828)</f>
      </c>
      <c r="AC828">
        <f>IF(ISBLANK('Data Entry'!$]$828), "", 'Data Entry'!$]$828)</f>
      </c>
      <c r="AD828">
        <f>IF(ISBLANK('Data Entry'!$^$828), "", 'Data Entry'!$^$828)</f>
      </c>
      <c r="AE828">
        <f>IF(ISBLANK('Data Entry'!$_$828), "", 'Data Entry'!$_$828)</f>
      </c>
      <c r="AF828">
        <f>IF(ISBLANK('Data Entry'!$`$828), "", 'Data Entry'!$`$828)</f>
      </c>
      <c r="AG828">
        <f>IF(ISBLANK('Data Entry'!$a$828), "", 'Data Entry'!$a$828)</f>
      </c>
      <c r="AH828">
        <f>IF(ISBLANK('Data Entry'!$b$828), "", 'Data Entry'!$b$828)</f>
      </c>
      <c r="AI828">
        <f>IF(ISBLANK('Data Entry'!$c$828), "", 'Data Entry'!$c$828)</f>
      </c>
      <c r="AJ828">
        <f>IF(ISBLANK('Data Entry'!$d$828), "", 'Data Entry'!$d$828)</f>
      </c>
      <c r="AK828">
        <f>IF(ISBLANK('Data Entry'!$e$828), "", 'Data Entry'!$e$828)</f>
      </c>
      <c r="AL828">
        <f>IF(ISBLANK('Data Entry'!$f$828), "", 'Data Entry'!$f$828)</f>
      </c>
      <c r="AM828">
        <f>IF(ISBLANK('Data Entry'!$g$828), "", 'Data Entry'!$g$828)</f>
      </c>
      <c r="AN828">
        <f>IF(ISBLANK('Data Entry'!$h$828), "", 'Data Entry'!$h$828)</f>
      </c>
      <c r="AO828">
        <f>IF(ISBLANK('Data Entry'!$i$828), "", 'Data Entry'!$i$828)</f>
      </c>
      <c r="AP828">
        <f>IF(ISBLANK('Data Entry'!$j$828), "", 'Data Entry'!$j$828)</f>
      </c>
      <c r="AQ828">
        <f>IF(ISBLANK('Data Entry'!$k$828), "", 'Data Entry'!$k$828)</f>
      </c>
      <c r="AR828">
        <f>IF(ISBLANK('Data Entry'!$l$828), "", 'Data Entry'!$l$828)</f>
      </c>
      <c r="AS828">
        <f>IF(ISBLANK('Data Entry'!$m$828), "", 'Data Entry'!$m$828)</f>
      </c>
      <c r="AT828">
        <f>IF(ISBLANK('Data Entry'!$n$828), "", 'Data Entry'!$n$828)</f>
      </c>
      <c r="AU828">
        <f>IF(ISBLANK('Data Entry'!$o$828), "", 'Data Entry'!$o$828)</f>
      </c>
      <c r="AV828">
        <f>IF(ISBLANK('Data Entry'!$p$828), "", 'Data Entry'!$p$828)</f>
      </c>
      <c r="AW828">
        <f>IF(ISBLANK('Data Entry'!$q$828), "", 'Data Entry'!$q$828)</f>
      </c>
      <c r="AX828">
        <f>IF(ISBLANK('Data Entry'!$r$828), "", 'Data Entry'!$r$828)</f>
      </c>
      <c r="AY828">
        <f>IF(ISBLANK('Data Entry'!$s$828), "", 'Data Entry'!$s$828)</f>
      </c>
      <c r="AZ828">
        <f>IF(ISBLANK('Data Entry'!$t$828), "", 'Data Entry'!$t$828)</f>
      </c>
      <c r="BA828">
        <f>IF(ISBLANK('Data Entry'!$u$828), "", 'Data Entry'!$u$828)</f>
      </c>
      <c r="BB828">
        <f>IF(ISBLANK('Data Entry'!$v$828), "", 'Data Entry'!$v$828)</f>
      </c>
      <c r="BC828">
        <f>IF(ISBLANK('Data Entry'!$w$828), "", 'Data Entry'!$w$828)</f>
      </c>
      <c r="BD828">
        <f>IF(ISBLANK('Data Entry'!$x$828), "", 'Data Entry'!$x$828)</f>
      </c>
      <c r="BE828">
        <f>IF(ISBLANK('Data Entry'!$y$828), "", 'Data Entry'!$y$828)</f>
      </c>
      <c r="BF828">
        <f>IF(ISBLANK('Data Entry'!$z$828), "", 'Data Entry'!$z$828)</f>
      </c>
      <c r="BG828">
        <f>IF(ISBLANK('Data Entry'!${$828), "", 'Data Entry'!${$828)</f>
      </c>
      <c r="BH828">
        <f>IF(ISBLANK('Data Entry'!$|$828), "", 'Data Entry'!$|$828)</f>
      </c>
      <c r="BI828">
        <f>IF(ISBLANK('Data Entry'!$}$828), "", 'Data Entry'!$}$828)</f>
      </c>
      <c r="BJ828">
        <f>IF(ISBLANK('Data Entry'!$~$828), "", 'Data Entry'!$~$828)</f>
      </c>
      <c r="BK828">
        <f>IF(ISBLANK('Data Entry'!$$828), "", 'Data Entry'!$$828)</f>
      </c>
      <c r="BL828">
        <f>IF(ISBLANK('Data Entry'!$$828), "", 'Data Entry'!$$828)</f>
      </c>
      <c r="BM828">
        <f>IF(ISBLANK('Data Entry'!$$828), "", 'Data Entry'!$$828)</f>
      </c>
      <c r="BN828">
        <f>IF(ISBLANK('Data Entry'!$$828), "", 'Data Entry'!$$828)</f>
      </c>
      <c r="BO828">
        <f>IF(ISBLANK('Data Entry'!$$828), "", 'Data Entry'!$$828)</f>
      </c>
      <c r="BP828">
        <f>IF(ISBLANK('Data Entry'!$$828), "", 'Data Entry'!$$828)</f>
      </c>
      <c r="BQ828">
        <f>IF(ISBLANK('Data Entry'!$$828), "", 'Data Entry'!$$828)</f>
      </c>
      <c r="BR828">
        <f>IF(ISBLANK('Data Entry'!$$828), "", 'Data Entry'!$$828)</f>
      </c>
      <c r="BS828">
        <f>IF(ISBLANK('Data Entry'!$$828), "", 'Data Entry'!$$828)</f>
      </c>
      <c r="BT828">
        <f>IF(ISBLANK('Data Entry'!$$828), "", 'Data Entry'!$$828)</f>
      </c>
      <c r="BU828">
        <f>IF(ISBLANK('Data Entry'!$$828), "", 'Data Entry'!$$828)</f>
      </c>
      <c r="BV828">
        <f>IF(ISBLANK('Data Entry'!$$828), "", 'Data Entry'!$$828)</f>
      </c>
      <c r="BW828">
        <f>IF(ISBLANK('Data Entry'!$$828), "", 'Data Entry'!$$828)</f>
      </c>
      <c r="BX828">
        <f>IF(ISBLANK('Data Entry'!$$828), "", 'Data Entry'!$$828)</f>
      </c>
      <c r="BY828">
        <f>IF(ISBLANK('Data Entry'!$$828), "", 'Data Entry'!$$828)</f>
      </c>
      <c r="BZ828">
        <f>IF(ISBLANK('Data Entry'!$$828), "", 'Data Entry'!$$828)</f>
      </c>
      <c r="CA828">
        <f>IF(ISBLANK('Data Entry'!$$828), "", 'Data Entry'!$$828)</f>
      </c>
      <c r="CB828">
        <f>IF(ISBLANK('Data Entry'!$$828), "", 'Data Entry'!$$828)</f>
      </c>
      <c r="CC828">
        <f>IF(ISBLANK('Data Entry'!$$828), "", 'Data Entry'!$$828)</f>
      </c>
      <c r="CD828">
        <f>IF(ISBLANK('Data Entry'!$$828), "", 'Data Entry'!$$828)</f>
      </c>
      <c r="CE828">
        <f>IF(ISBLANK('Data Entry'!$$828), "", 'Data Entry'!$$828)</f>
      </c>
      <c r="CF828">
        <f>IF(ISBLANK('Data Entry'!$$828), "", 'Data Entry'!$$828)</f>
      </c>
      <c r="CG828">
        <f>IF(ISBLANK('Data Entry'!$$828), "", 'Data Entry'!$$828)</f>
      </c>
      <c r="CH828">
        <f>IF(ISBLANK('Data Entry'!$$828), "", 'Data Entry'!$$828)</f>
      </c>
      <c r="CI828">
        <f>IF(ISBLANK('Data Entry'!$$828), "", 'Data Entry'!$$828)</f>
      </c>
      <c r="CJ828">
        <f>IF(ISBLANK('Data Entry'!$$828), "", 'Data Entry'!$$828)</f>
      </c>
      <c r="CK828">
        <f>IF(ISBLANK('Data Entry'!$$828), "", 'Data Entry'!$$828)</f>
      </c>
      <c r="CL828">
        <f>IF(ISBLANK('Data Entry'!$$828), "", 'Data Entry'!$$828)</f>
      </c>
      <c r="CM828">
        <f>IF(ISBLANK('Data Entry'!$$828), "", 'Data Entry'!$$828)</f>
      </c>
      <c r="CN828">
        <f>IF(ISBLANK('Data Entry'!$$828), "", 'Data Entry'!$$828)</f>
      </c>
      <c r="CO828">
        <f>IF(ISBLANK('Data Entry'!$$828), "", 'Data Entry'!$$828)</f>
      </c>
      <c r="CP828">
        <f>IF(ISBLANK('Data Entry'!$$828), "", 'Data Entry'!$$828)</f>
      </c>
      <c r="CQ828">
        <f>IF(ISBLANK('Data Entry'!$$828), "", 'Data Entry'!$$828)</f>
      </c>
      <c r="CR828">
        <f>IF(ISBLANK('Data Entry'!$ $828), "", 'Data Entry'!$ $828)</f>
      </c>
      <c r="CS828">
        <f>IF(ISBLANK('Data Entry'!$¡$828), "", 'Data Entry'!$¡$828)</f>
      </c>
      <c r="CT828">
        <f>IF(ISBLANK('Data Entry'!$¢$828), "", 'Data Entry'!$¢$828)</f>
      </c>
      <c r="CU828">
        <f>IF(ISBLANK('Data Entry'!$£$828), "", 'Data Entry'!$£$828)</f>
      </c>
      <c r="CV828">
        <f>IF(ISBLANK('Data Entry'!$¤$828), "", 'Data Entry'!$¤$828)</f>
      </c>
      <c r="CW828">
        <f>IF(ISBLANK('Data Entry'!$¥$828), "", 'Data Entry'!$¥$828)</f>
      </c>
      <c r="CX828">
        <f>IF(ISBLANK('Data Entry'!$¦$828), "", 'Data Entry'!$¦$828)</f>
      </c>
      <c r="CY828">
        <f>IF(ISBLANK('Data Entry'!$§$828), "", 'Data Entry'!$§$828)</f>
      </c>
      <c r="CZ828">
        <f>IF(ISBLANK('Data Entry'!$¨$828), "", 'Data Entry'!$¨$828)</f>
      </c>
      <c r="DA828">
        <f>IF(ISBLANK('Data Entry'!$©$828), "", 'Data Entry'!$©$828)</f>
      </c>
      <c r="DB828">
        <f>IF(ISBLANK('Data Entry'!$ª$828), "", 'Data Entry'!$ª$828)</f>
      </c>
      <c r="DC828">
        <f>IF(ISBLANK('Data Entry'!$«$828), "", 'Data Entry'!$«$828)</f>
      </c>
      <c r="DD828">
        <f>IF(ISBLANK('Data Entry'!$¬$828), "", 'Data Entry'!$¬$828)</f>
      </c>
      <c r="DE828">
        <f>IF(ISBLANK('Data Entry'!$­$828), "", 'Data Entry'!$­$828)</f>
      </c>
      <c r="DF828">
        <f>IF(ISBLANK('Data Entry'!$®$828), "", 'Data Entry'!$®$828)</f>
      </c>
      <c r="DG828">
        <f>IF(ISBLANK('Data Entry'!$¯$828), "", 'Data Entry'!$¯$828)</f>
      </c>
      <c r="DH828">
        <f>IF(ISBLANK('Data Entry'!$°$828), "", 'Data Entry'!$°$828)</f>
      </c>
      <c r="DI828">
        <f>IF(ISBLANK('Data Entry'!$±$828), "", 'Data Entry'!$±$828)</f>
      </c>
      <c r="DJ828">
        <f>IF(ISBLANK('Data Entry'!$²$828), "", 'Data Entry'!$²$828)</f>
      </c>
      <c r="DK828">
        <f>IF(ISBLANK('Data Entry'!$³$828), "", 'Data Entry'!$³$828)</f>
      </c>
      <c r="DL828">
        <f>IF(ISBLANK('Data Entry'!$´$828), "", 'Data Entry'!$´$828)</f>
      </c>
      <c r="DM828">
        <f>IF(ISBLANK('Data Entry'!$µ$828), "", 'Data Entry'!$µ$828)</f>
      </c>
      <c r="DN828">
        <f>IF(ISBLANK('Data Entry'!$¶$828), "", 'Data Entry'!$¶$828)</f>
      </c>
      <c r="DO828">
        <f>IF(ISBLANK('Data Entry'!$·$828), "", 'Data Entry'!$·$828)</f>
      </c>
      <c r="DP828">
        <f>IF(ISBLANK('Data Entry'!$¸$828), "", 'Data Entry'!$¸$828)</f>
      </c>
      <c r="DQ828">
        <f>IF(ISBLANK('Data Entry'!$¹$828), "", 'Data Entry'!$¹$828)</f>
      </c>
      <c r="DR828">
        <f>IF(ISBLANK('Data Entry'!$º$828), "", 'Data Entry'!$º$828)</f>
      </c>
      <c r="DS828">
        <f>IF(ISBLANK('Data Entry'!$»$828), "", 'Data Entry'!$»$828)</f>
      </c>
      <c r="DT828">
        <f>IF(ISBLANK('Data Entry'!$¼$828), "", 'Data Entry'!$¼$828)</f>
      </c>
      <c r="DU828">
        <f>IF(ISBLANK('Data Entry'!$½$828), "", 'Data Entry'!$½$828)</f>
      </c>
      <c r="DV828">
        <f>IF(ISBLANK('Data Entry'!$¾$828), "", 'Data Entry'!$¾$828)</f>
      </c>
      <c r="DW828">
        <f>IF(ISBLANK('Data Entry'!$¿$828), "", 'Data Entry'!$¿$828)</f>
      </c>
      <c r="DX828">
        <f>IF(ISBLANK('Data Entry'!$À$828), "", 'Data Entry'!$À$828)</f>
      </c>
      <c r="DY828">
        <f>IF(ISBLANK('Data Entry'!$Á$828), "", 'Data Entry'!$Á$828)</f>
      </c>
      <c r="DZ828">
        <f>IF(ISBLANK('Data Entry'!$Â$828), "", 'Data Entry'!$Â$828)</f>
      </c>
      <c r="EA828">
        <f>IF(ISBLANK('Data Entry'!$Ã$828), "", 'Data Entry'!$Ã$828)</f>
      </c>
      <c r="EB828">
        <f>IF(ISBLANK('Data Entry'!$Ä$828), "", 'Data Entry'!$Ä$828)</f>
      </c>
      <c r="EC828">
        <f>IF(ISBLANK('Data Entry'!$Å$828), "", 'Data Entry'!$Å$828)</f>
      </c>
      <c r="ED828">
        <f>IF(ISBLANK('Data Entry'!$Æ$828), "", 'Data Entry'!$Æ$828)</f>
      </c>
      <c r="EE828">
        <f>IF(ISBLANK('Data Entry'!$Ç$828), "", 'Data Entry'!$Ç$828)</f>
      </c>
      <c r="EF828">
        <f>IF(ISBLANK('Data Entry'!$È$828), "", 'Data Entry'!$È$828)</f>
      </c>
      <c r="EG828">
        <f>IF(ISBLANK('Data Entry'!$É$828), "", 'Data Entry'!$É$828)</f>
      </c>
      <c r="EH828">
        <f>IF(ISBLANK('Data Entry'!$Ê$828), "", 'Data Entry'!$Ê$828)</f>
      </c>
      <c r="EI828">
        <f>IF(ISBLANK('Data Entry'!$Ë$828), "", 'Data Entry'!$Ë$828)</f>
      </c>
      <c r="EJ828">
        <f>IF(ISBLANK('Data Entry'!$Ì$828), "", 'Data Entry'!$Ì$828)</f>
      </c>
      <c r="EK828">
        <f>IF(ISBLANK('Data Entry'!$Í$828), "", 'Data Entry'!$Í$828)</f>
      </c>
      <c r="EL828">
        <f>IF(ISBLANK('Data Entry'!$Î$828), "", 'Data Entry'!$Î$828)</f>
      </c>
      <c r="EM828">
        <f>IF(ISBLANK('Data Entry'!$Ï$828), "", 'Data Entry'!$Ï$828)</f>
      </c>
      <c r="EN828">
        <f>IF(ISBLANK('Data Entry'!$Ð$828), "", 'Data Entry'!$Ð$828)</f>
      </c>
      <c r="EO828">
        <f>IF(ISBLANK('Data Entry'!$Ñ$828), "", 'Data Entry'!$Ñ$828)</f>
      </c>
      <c r="EP828">
        <f>IF(ISBLANK('Data Entry'!$Ò$828), "", 'Data Entry'!$Ò$828)</f>
      </c>
      <c r="EQ828">
        <f>IF(ISBLANK('Data Entry'!$Ó$828), "", 'Data Entry'!$Ó$828)</f>
      </c>
      <c r="ER828">
        <f>IF(ISBLANK('Data Entry'!$Ô$828), "", 'Data Entry'!$Ô$828)</f>
      </c>
      <c r="ES828">
        <f>IF(ISBLANK('Data Entry'!$Õ$828), "", 'Data Entry'!$Õ$828)</f>
      </c>
      <c r="ET828">
        <f>IF(ISBLANK('Data Entry'!$Ö$828), "", 'Data Entry'!$Ö$828)</f>
      </c>
      <c r="EU828">
        <f>IF(ISBLANK('Data Entry'!$×$828), "", 'Data Entry'!$×$828)</f>
      </c>
      <c r="EV828">
        <f>IF(ISBLANK('Data Entry'!$Ø$828), "", 'Data Entry'!$Ø$828)</f>
      </c>
      <c r="EW828">
        <f>IF(ISBLANK('Data Entry'!$Ù$828), "", 'Data Entry'!$Ù$828)</f>
      </c>
      <c r="EX828">
        <f>IF(ISBLANK('Data Entry'!$Ú$828), "", 'Data Entry'!$Ú$828)</f>
      </c>
      <c r="EY828">
        <f>IF(ISBLANK('Data Entry'!$Û$828), "", 'Data Entry'!$Û$828)</f>
      </c>
      <c r="EZ828">
        <f>IF(ISBLANK('Data Entry'!$Ü$828), "", 'Data Entry'!$Ü$828)</f>
      </c>
      <c r="FA828">
        <f>IF(ISBLANK('Data Entry'!$Ý$828), "", 'Data Entry'!$Ý$828)</f>
      </c>
      <c r="FB828">
        <f>IF(ISBLANK('Data Entry'!$Þ$828), "", 'Data Entry'!$Þ$828)</f>
      </c>
      <c r="FC828">
        <f>IF(ISBLANK('Data Entry'!$ß$828), "", 'Data Entry'!$ß$828)</f>
      </c>
      <c r="FD828">
        <f>IF(ISBLANK('Data Entry'!$à$828), "", 'Data Entry'!$à$828)</f>
      </c>
      <c r="FE828">
        <f>IF(ISBLANK('Data Entry'!$á$828), "", 'Data Entry'!$á$828)</f>
      </c>
      <c r="FF828">
        <f>IF(ISBLANK('Data Entry'!$â$828), "", 'Data Entry'!$â$828)</f>
      </c>
      <c r="FG828">
        <f>IF(ISBLANK('Data Entry'!$ã$828), "", 'Data Entry'!$ã$828)</f>
      </c>
      <c r="FH828">
        <f>IF(ISBLANK('Data Entry'!$ä$828), "", 'Data Entry'!$ä$828)</f>
      </c>
      <c r="FI828">
        <f>IF(ISBLANK('Data Entry'!$å$828), "", 'Data Entry'!$å$828)</f>
      </c>
      <c r="FJ828">
        <f>IF(ISBLANK('Data Entry'!$æ$828), "", 'Data Entry'!$æ$828)</f>
      </c>
      <c r="FK828">
        <f>IF(ISBLANK('Data Entry'!$ç$828), "", 'Data Entry'!$ç$828)</f>
      </c>
      <c r="FL828">
        <f>IF(ISBLANK('Data Entry'!$è$828), "", 'Data Entry'!$è$828)</f>
      </c>
      <c r="FM828">
        <f>IF(ISBLANK('Data Entry'!$é$828), "", 'Data Entry'!$é$828)</f>
      </c>
      <c r="FN828">
        <f>IF(ISBLANK('Data Entry'!$ê$828), "", 'Data Entry'!$ê$828)</f>
      </c>
      <c r="FO828">
        <f>IF(ISBLANK('Data Entry'!$ë$828), "", 'Data Entry'!$ë$828)</f>
      </c>
      <c r="FP828">
        <f>IF(ISBLANK('Data Entry'!$ì$828), "", 'Data Entry'!$ì$828)</f>
      </c>
      <c r="FQ828">
        <f>IF(ISBLANK('Data Entry'!$í$828), "", 'Data Entry'!$í$828)</f>
      </c>
      <c r="FR828">
        <f>IF(ISBLANK('Data Entry'!$î$828), "", 'Data Entry'!$î$828)</f>
      </c>
      <c r="FS828">
        <f>IF(ISBLANK('Data Entry'!$ï$828), "", 'Data Entry'!$ï$828)</f>
      </c>
      <c r="FT828">
        <f>IF(ISBLANK('Data Entry'!$ð$828), "", 'Data Entry'!$ð$828)</f>
      </c>
      <c r="FU828">
        <f>IF(ISBLANK('Data Entry'!$ñ$828), "", 'Data Entry'!$ñ$828)</f>
      </c>
      <c r="FV828">
        <f>IF(ISBLANK('Data Entry'!$ò$828), "", 'Data Entry'!$ò$828)</f>
      </c>
      <c r="FW828">
        <f>IF(ISBLANK('Data Entry'!$ó$828), "", 'Data Entry'!$ó$828)</f>
      </c>
      <c r="FX828">
        <f>IF(ISBLANK('Data Entry'!$ô$828), "", 'Data Entry'!$ô$828)</f>
      </c>
      <c r="FY828">
        <f>IF(ISBLANK('Data Entry'!$õ$828), "", 'Data Entry'!$õ$828)</f>
      </c>
      <c r="FZ828">
        <f>IF(ISBLANK('Data Entry'!$ö$828), "", 'Data Entry'!$ö$828)</f>
      </c>
      <c r="GA828">
        <f>IF(ISBLANK('Data Entry'!$÷$828), "", 'Data Entry'!$÷$828)</f>
      </c>
      <c r="GB828">
        <f>IF(ISBLANK('Data Entry'!$ø$828), "", 'Data Entry'!$ø$828)</f>
      </c>
      <c r="GC828">
        <f>IF(ISBLANK('Data Entry'!$ù$828), "", 'Data Entry'!$ù$828)</f>
      </c>
      <c r="GD828">
        <f>IF(ISBLANK('Data Entry'!$ú$828), "", 'Data Entry'!$ú$828)</f>
      </c>
      <c r="GE828">
        <f>IF(ISBLANK('Data Entry'!$û$828), "", 'Data Entry'!$û$828)</f>
      </c>
      <c r="GF828">
        <f>IF(ISBLANK('Data Entry'!$ü$828), "", 'Data Entry'!$ü$828)</f>
      </c>
      <c r="GG828">
        <f>IF(ISBLANK('Data Entry'!$ý$828), "", 'Data Entry'!$ý$828)</f>
      </c>
      <c r="GH828">
        <f>IF(ISBLANK('Data Entry'!$þ$828), "", 'Data Entry'!$þ$828)</f>
      </c>
      <c r="GI828">
        <f>IF(ISBLANK('Data Entry'!$ÿ$828), "", 'Data Entry'!$ÿ$828)</f>
      </c>
      <c r="GJ828">
        <f>IF(ISBLANK('Data Entry'!$Ā$828), "", 'Data Entry'!$Ā$828)</f>
      </c>
      <c r="GK828">
        <f>IF(ISBLANK('Data Entry'!$ā$828), "", 'Data Entry'!$ā$828)</f>
      </c>
      <c r="GL828">
        <f>IF(ISBLANK('Data Entry'!$Ă$828), "", 'Data Entry'!$Ă$828)</f>
      </c>
      <c r="GM828">
        <f>IF(ISBLANK('Data Entry'!$ă$828), "", 'Data Entry'!$ă$828)</f>
      </c>
      <c r="GN828">
        <f>IF(ISBLANK('Data Entry'!$Ą$828), "", 'Data Entry'!$Ą$828)</f>
      </c>
      <c r="GO828">
        <f>IF(ISBLANK('Data Entry'!$ą$828), "", 'Data Entry'!$ą$828)</f>
      </c>
      <c r="GP828">
        <f>IF(ISBLANK('Data Entry'!$Ć$828), "", 'Data Entry'!$Ć$828)</f>
      </c>
      <c r="GQ828">
        <f>IF(ISBLANK('Data Entry'!$ć$828), "", 'Data Entry'!$ć$828)</f>
      </c>
      <c r="GR828">
        <f>IF(ISBLANK('Data Entry'!$Ĉ$828), "", 'Data Entry'!$Ĉ$828)</f>
      </c>
      <c r="GS828">
        <f>IF(ISBLANK('Data Entry'!$ĉ$828), "", 'Data Entry'!$ĉ$828)</f>
      </c>
      <c r="GT828">
        <f>IF(ISBLANK('Data Entry'!$Ċ$828), "", 'Data Entry'!$Ċ$828)</f>
      </c>
      <c r="GU828">
        <f>IF(ISBLANK('Data Entry'!$ċ$828), "", 'Data Entry'!$ċ$828)</f>
      </c>
      <c r="GV828">
        <f>IF(ISBLANK('Data Entry'!$Č$828), "", 'Data Entry'!$Č$828)</f>
      </c>
      <c r="GW828">
        <f>IF(ISBLANK('Data Entry'!$č$828), "", 'Data Entry'!$č$828)</f>
      </c>
      <c r="GX828">
        <f>IF(ISBLANK('Data Entry'!$Ď$828), "", 'Data Entry'!$Ď$828)</f>
      </c>
      <c r="GY828">
        <f>IF(ISBLANK('Data Entry'!$ď$828), "", 'Data Entry'!$ď$828)</f>
      </c>
      <c r="GZ828">
        <f>IF(ISBLANK('Data Entry'!$Đ$828), "", 'Data Entry'!$Đ$828)</f>
      </c>
      <c r="HA828">
        <f>IF(ISBLANK('Data Entry'!$đ$828), "", 'Data Entry'!$đ$828)</f>
      </c>
      <c r="HB828">
        <f>IF(ISBLANK('Data Entry'!$Ē$828), "", 'Data Entry'!$Ē$828)</f>
      </c>
      <c r="HC828">
        <f>IF(ISBLANK('Data Entry'!$ē$828), "", 'Data Entry'!$ē$828)</f>
      </c>
      <c r="HD828">
        <f>IF(ISBLANK('Data Entry'!$Ĕ$828), "", 'Data Entry'!$Ĕ$828)</f>
      </c>
      <c r="HE828">
        <f>IF(ISBLANK('Data Entry'!$ĕ$828), "", 'Data Entry'!$ĕ$828)</f>
      </c>
      <c r="HF828">
        <f>IF(ISBLANK('Data Entry'!$Ė$828), "", 'Data Entry'!$Ė$828)</f>
      </c>
      <c r="HG828">
        <f>IF(ISBLANK('Data Entry'!$ė$828), "", 'Data Entry'!$ė$828)</f>
      </c>
      <c r="HH828">
        <f>IF(ISBLANK('Data Entry'!$Ę$828), "", 'Data Entry'!$Ę$828)</f>
      </c>
      <c r="HI828">
        <f>IF(ISBLANK('Data Entry'!$ę$828), "", 'Data Entry'!$ę$828)</f>
      </c>
      <c r="HJ828">
        <f>IF(ISBLANK('Data Entry'!$Ě$828), "", 'Data Entry'!$Ě$828)</f>
      </c>
      <c r="HK828">
        <f>IF(ISBLANK('Data Entry'!$ě$828), "", 'Data Entry'!$ě$828)</f>
      </c>
      <c r="HL828">
        <f>IF(ISBLANK('Data Entry'!$Ĝ$828), "", 'Data Entry'!$Ĝ$828)</f>
      </c>
      <c r="HM828">
        <f>IF(ISBLANK('Data Entry'!$ĝ$828), "", 'Data Entry'!$ĝ$828)</f>
      </c>
      <c r="HN828">
        <f>IF(ISBLANK('Data Entry'!$Ğ$828), "", 'Data Entry'!$Ğ$828)</f>
      </c>
      <c r="HO828">
        <f>IF(ISBLANK('Data Entry'!$ğ$828), "", 'Data Entry'!$ğ$828)</f>
      </c>
      <c r="HP828">
        <f>IF(ISBLANK('Data Entry'!$Ġ$828), "", 'Data Entry'!$Ġ$828)</f>
      </c>
      <c r="HQ828">
        <f>IF(ISBLANK('Data Entry'!$ġ$828), "", 'Data Entry'!$ġ$828)</f>
      </c>
      <c r="HR828">
        <f>IF(ISBLANK('Data Entry'!$Ģ$828), "", 'Data Entry'!$Ģ$828)</f>
      </c>
      <c r="HS828">
        <f>IF(ISBLANK('Data Entry'!$ģ$828), "", 'Data Entry'!$ģ$828)</f>
      </c>
      <c r="HT828">
        <f>IF(ISBLANK('Data Entry'!$Ĥ$828), "", 'Data Entry'!$Ĥ$828)</f>
      </c>
      <c r="HU828">
        <f>IF(ISBLANK('Data Entry'!$ĥ$828), "", 'Data Entry'!$ĥ$828)</f>
      </c>
      <c r="HV828">
        <f>IF(ISBLANK('Data Entry'!$Ħ$828), "", 'Data Entry'!$Ħ$828)</f>
      </c>
      <c r="HW828">
        <f>IF(ISBLANK('Data Entry'!$ħ$828), "", 'Data Entry'!$ħ$828)</f>
      </c>
      <c r="HX828">
        <f>IF(ISBLANK('Data Entry'!$Ĩ$828), "", 'Data Entry'!$Ĩ$828)</f>
      </c>
      <c r="HY828">
        <f>IF(ISBLANK('Data Entry'!$ĩ$828), "", 'Data Entry'!$ĩ$828)</f>
      </c>
      <c r="HZ828">
        <f>IF(ISBLANK('Data Entry'!$Ī$828), "", 'Data Entry'!$Ī$828)</f>
      </c>
      <c r="IA828">
        <f>IF(ISBLANK('Data Entry'!$ī$828), "", 'Data Entry'!$ī$828)</f>
      </c>
      <c r="IB828">
        <f>IF(ISBLANK('Data Entry'!$Ĭ$828), "", 'Data Entry'!$Ĭ$828)</f>
      </c>
      <c r="IC828">
        <f>IF(ISBLANK('Data Entry'!$ĭ$828), "", 'Data Entry'!$ĭ$828)</f>
      </c>
      <c r="ID828">
        <f>IF(ISBLANK('Data Entry'!$Į$828), "", 'Data Entry'!$Į$828)</f>
      </c>
      <c r="IE828">
        <f>IF(ISBLANK('Data Entry'!$į$828), "", 'Data Entry'!$į$828)</f>
      </c>
      <c r="IF828">
        <f>IF(ISBLANK('Data Entry'!$İ$828), "", 'Data Entry'!$İ$828)</f>
      </c>
      <c r="IG828">
        <f>IF(ISBLANK('Data Entry'!$ı$828), "", 'Data Entry'!$ı$828)</f>
      </c>
      <c r="IH828">
        <f>IF(ISBLANK('Data Entry'!$Ĳ$828), "", 'Data Entry'!$Ĳ$828)</f>
      </c>
      <c r="II828">
        <f>IF(ISBLANK('Data Entry'!$ĳ$828), "", 'Data Entry'!$ĳ$828)</f>
      </c>
      <c r="IJ828">
        <f>IF(ISBLANK('Data Entry'!$Ĵ$828), "", 'Data Entry'!$Ĵ$828)</f>
      </c>
      <c r="IK828">
        <f>IF(ISBLANK('Data Entry'!$ĵ$828), "", 'Data Entry'!$ĵ$828)</f>
      </c>
      <c r="IL828">
        <f>IF(ISBLANK('Data Entry'!$Ķ$828), "", 'Data Entry'!$Ķ$828)</f>
      </c>
      <c r="IM828">
        <f>IF(ISBLANK('Data Entry'!$ķ$828), "", 'Data Entry'!$ķ$828)</f>
      </c>
      <c r="IN828">
        <f>IF(ISBLANK('Data Entry'!$ĸ$828), "", 'Data Entry'!$ĸ$828)</f>
      </c>
      <c r="IO828">
        <f>IF(ISBLANK('Data Entry'!$Ĺ$828), "", 'Data Entry'!$Ĺ$828)</f>
      </c>
      <c r="IP828">
        <f>IF(ISBLANK('Data Entry'!$ĺ$828), "", 'Data Entry'!$ĺ$828)</f>
      </c>
      <c r="IQ828">
        <f>IF(ISBLANK('Data Entry'!$Ļ$828), "", 'Data Entry'!$Ļ$828)</f>
      </c>
      <c r="IR828">
        <f>IF(ISBLANK('Data Entry'!$ļ$828), "", 'Data Entry'!$ļ$828)</f>
      </c>
      <c r="IS828">
        <f>IF(ISBLANK('Data Entry'!$Ľ$828), "", 'Data Entry'!$Ľ$828)</f>
      </c>
      <c r="IT828">
        <f>IF(ISBLANK('Data Entry'!$ľ$828), "", 'Data Entry'!$ľ$828)</f>
      </c>
    </row>
    <row r="829" spans="1:254" x14ac:dyDescent="0.25">
      <c r="A829">
        <f>IF(ISBLANK('Data Entry'!$A$829), "", 'Data Entry'!$A$829)</f>
      </c>
      <c r="B829">
        <f>IF(ISBLANK('Data Entry'!$B$829), "", 'Data Entry'!$B$829)</f>
      </c>
      <c r="C829">
        <f>IF(ISBLANK('Data Entry'!$C$829), "", 'Data Entry'!$C$829)</f>
      </c>
      <c r="D829">
        <f>IF(ISBLANK('Data Entry'!$D$829), "", 'Data Entry'!$D$829)</f>
      </c>
      <c r="E829">
        <f>IF(ISBLANK('Data Entry'!$E$829), "", 'Data Entry'!$E$829)</f>
      </c>
      <c r="F829">
        <f>IF(ISBLANK('Data Entry'!$F$829), "", 'Data Entry'!$F$829)</f>
      </c>
      <c r="G829">
        <f>IF(ISBLANK('Data Entry'!$G$829), "", 'Data Entry'!$G$829)</f>
      </c>
      <c r="H829">
        <f>IF(ISBLANK('Data Entry'!$H$829), "", 'Data Entry'!$H$829)</f>
      </c>
      <c r="I829">
        <f>IF(ISBLANK('Data Entry'!$I$829), "", 'Data Entry'!$I$829)</f>
      </c>
      <c r="J829">
        <f>IF(ISBLANK('Data Entry'!$J$829), "", 'Data Entry'!$J$829)</f>
      </c>
      <c r="K829">
        <f>IF(ISBLANK('Data Entry'!$K$829), "", 'Data Entry'!$K$829)</f>
      </c>
      <c r="L829">
        <f>IF(ISBLANK('Data Entry'!$L$829), "", 'Data Entry'!$L$829)</f>
      </c>
      <c r="M829">
        <f>IF(ISBLANK('Data Entry'!$M$829), "", 'Data Entry'!$M$829)</f>
      </c>
      <c r="N829">
        <f>IF(ISBLANK('Data Entry'!$N$829), "", 'Data Entry'!$N$829)</f>
      </c>
      <c r="O829">
        <f>IF(ISBLANK('Data Entry'!$O$829), "", 'Data Entry'!$O$829)</f>
      </c>
      <c r="P829">
        <f>IF(ISBLANK('Data Entry'!$P$829), "", 'Data Entry'!$P$829)</f>
      </c>
      <c r="Q829">
        <f>IF(ISBLANK('Data Entry'!$Q$829), "", 'Data Entry'!$Q$829)</f>
      </c>
      <c r="R829">
        <f>IF(ISBLANK('Data Entry'!$R$829), "", 'Data Entry'!$R$829)</f>
      </c>
      <c r="S829">
        <f>IF(ISBLANK('Data Entry'!$S$829), "", 'Data Entry'!$S$829)</f>
      </c>
      <c r="T829">
        <f>IF(ISBLANK('Data Entry'!$T$829), "", 'Data Entry'!$T$829)</f>
      </c>
      <c r="U829">
        <f>IF(ISBLANK('Data Entry'!$U$829), "", 'Data Entry'!$U$829)</f>
      </c>
      <c r="V829">
        <f>IF(ISBLANK('Data Entry'!$V$829), "", 'Data Entry'!$V$829)</f>
      </c>
      <c r="W829">
        <f>IF(ISBLANK('Data Entry'!$W$829), "", 'Data Entry'!$W$829)</f>
      </c>
      <c r="X829">
        <f>IF(ISBLANK('Data Entry'!$X$829), "", 'Data Entry'!$X$829)</f>
      </c>
      <c r="Y829">
        <f>IF(ISBLANK('Data Entry'!$Y$829), "", 'Data Entry'!$Y$829)</f>
      </c>
      <c r="Z829">
        <f>IF(ISBLANK('Data Entry'!$Z$829), "", 'Data Entry'!$Z$829)</f>
      </c>
      <c r="AA829">
        <f>IF(ISBLANK('Data Entry'!$[$829), "", 'Data Entry'!$[$829)</f>
      </c>
      <c r="AB829">
        <f>IF(ISBLANK('Data Entry'!$\$829), "", 'Data Entry'!$\$829)</f>
      </c>
      <c r="AC829">
        <f>IF(ISBLANK('Data Entry'!$]$829), "", 'Data Entry'!$]$829)</f>
      </c>
      <c r="AD829">
        <f>IF(ISBLANK('Data Entry'!$^$829), "", 'Data Entry'!$^$829)</f>
      </c>
      <c r="AE829">
        <f>IF(ISBLANK('Data Entry'!$_$829), "", 'Data Entry'!$_$829)</f>
      </c>
      <c r="AF829">
        <f>IF(ISBLANK('Data Entry'!$`$829), "", 'Data Entry'!$`$829)</f>
      </c>
      <c r="AG829">
        <f>IF(ISBLANK('Data Entry'!$a$829), "", 'Data Entry'!$a$829)</f>
      </c>
      <c r="AH829">
        <f>IF(ISBLANK('Data Entry'!$b$829), "", 'Data Entry'!$b$829)</f>
      </c>
      <c r="AI829">
        <f>IF(ISBLANK('Data Entry'!$c$829), "", 'Data Entry'!$c$829)</f>
      </c>
      <c r="AJ829">
        <f>IF(ISBLANK('Data Entry'!$d$829), "", 'Data Entry'!$d$829)</f>
      </c>
      <c r="AK829">
        <f>IF(ISBLANK('Data Entry'!$e$829), "", 'Data Entry'!$e$829)</f>
      </c>
      <c r="AL829">
        <f>IF(ISBLANK('Data Entry'!$f$829), "", 'Data Entry'!$f$829)</f>
      </c>
      <c r="AM829">
        <f>IF(ISBLANK('Data Entry'!$g$829), "", 'Data Entry'!$g$829)</f>
      </c>
      <c r="AN829">
        <f>IF(ISBLANK('Data Entry'!$h$829), "", 'Data Entry'!$h$829)</f>
      </c>
      <c r="AO829">
        <f>IF(ISBLANK('Data Entry'!$i$829), "", 'Data Entry'!$i$829)</f>
      </c>
      <c r="AP829">
        <f>IF(ISBLANK('Data Entry'!$j$829), "", 'Data Entry'!$j$829)</f>
      </c>
      <c r="AQ829">
        <f>IF(ISBLANK('Data Entry'!$k$829), "", 'Data Entry'!$k$829)</f>
      </c>
      <c r="AR829">
        <f>IF(ISBLANK('Data Entry'!$l$829), "", 'Data Entry'!$l$829)</f>
      </c>
      <c r="AS829">
        <f>IF(ISBLANK('Data Entry'!$m$829), "", 'Data Entry'!$m$829)</f>
      </c>
      <c r="AT829">
        <f>IF(ISBLANK('Data Entry'!$n$829), "", 'Data Entry'!$n$829)</f>
      </c>
      <c r="AU829">
        <f>IF(ISBLANK('Data Entry'!$o$829), "", 'Data Entry'!$o$829)</f>
      </c>
      <c r="AV829">
        <f>IF(ISBLANK('Data Entry'!$p$829), "", 'Data Entry'!$p$829)</f>
      </c>
      <c r="AW829">
        <f>IF(ISBLANK('Data Entry'!$q$829), "", 'Data Entry'!$q$829)</f>
      </c>
      <c r="AX829">
        <f>IF(ISBLANK('Data Entry'!$r$829), "", 'Data Entry'!$r$829)</f>
      </c>
      <c r="AY829">
        <f>IF(ISBLANK('Data Entry'!$s$829), "", 'Data Entry'!$s$829)</f>
      </c>
      <c r="AZ829">
        <f>IF(ISBLANK('Data Entry'!$t$829), "", 'Data Entry'!$t$829)</f>
      </c>
      <c r="BA829">
        <f>IF(ISBLANK('Data Entry'!$u$829), "", 'Data Entry'!$u$829)</f>
      </c>
      <c r="BB829">
        <f>IF(ISBLANK('Data Entry'!$v$829), "", 'Data Entry'!$v$829)</f>
      </c>
      <c r="BC829">
        <f>IF(ISBLANK('Data Entry'!$w$829), "", 'Data Entry'!$w$829)</f>
      </c>
      <c r="BD829">
        <f>IF(ISBLANK('Data Entry'!$x$829), "", 'Data Entry'!$x$829)</f>
      </c>
      <c r="BE829">
        <f>IF(ISBLANK('Data Entry'!$y$829), "", 'Data Entry'!$y$829)</f>
      </c>
      <c r="BF829">
        <f>IF(ISBLANK('Data Entry'!$z$829), "", 'Data Entry'!$z$829)</f>
      </c>
      <c r="BG829">
        <f>IF(ISBLANK('Data Entry'!${$829), "", 'Data Entry'!${$829)</f>
      </c>
      <c r="BH829">
        <f>IF(ISBLANK('Data Entry'!$|$829), "", 'Data Entry'!$|$829)</f>
      </c>
      <c r="BI829">
        <f>IF(ISBLANK('Data Entry'!$}$829), "", 'Data Entry'!$}$829)</f>
      </c>
      <c r="BJ829">
        <f>IF(ISBLANK('Data Entry'!$~$829), "", 'Data Entry'!$~$829)</f>
      </c>
      <c r="BK829">
        <f>IF(ISBLANK('Data Entry'!$$829), "", 'Data Entry'!$$829)</f>
      </c>
      <c r="BL829">
        <f>IF(ISBLANK('Data Entry'!$$829), "", 'Data Entry'!$$829)</f>
      </c>
      <c r="BM829">
        <f>IF(ISBLANK('Data Entry'!$$829), "", 'Data Entry'!$$829)</f>
      </c>
      <c r="BN829">
        <f>IF(ISBLANK('Data Entry'!$$829), "", 'Data Entry'!$$829)</f>
      </c>
      <c r="BO829">
        <f>IF(ISBLANK('Data Entry'!$$829), "", 'Data Entry'!$$829)</f>
      </c>
      <c r="BP829">
        <f>IF(ISBLANK('Data Entry'!$$829), "", 'Data Entry'!$$829)</f>
      </c>
      <c r="BQ829">
        <f>IF(ISBLANK('Data Entry'!$$829), "", 'Data Entry'!$$829)</f>
      </c>
      <c r="BR829">
        <f>IF(ISBLANK('Data Entry'!$$829), "", 'Data Entry'!$$829)</f>
      </c>
      <c r="BS829">
        <f>IF(ISBLANK('Data Entry'!$$829), "", 'Data Entry'!$$829)</f>
      </c>
      <c r="BT829">
        <f>IF(ISBLANK('Data Entry'!$$829), "", 'Data Entry'!$$829)</f>
      </c>
      <c r="BU829">
        <f>IF(ISBLANK('Data Entry'!$$829), "", 'Data Entry'!$$829)</f>
      </c>
      <c r="BV829">
        <f>IF(ISBLANK('Data Entry'!$$829), "", 'Data Entry'!$$829)</f>
      </c>
      <c r="BW829">
        <f>IF(ISBLANK('Data Entry'!$$829), "", 'Data Entry'!$$829)</f>
      </c>
      <c r="BX829">
        <f>IF(ISBLANK('Data Entry'!$$829), "", 'Data Entry'!$$829)</f>
      </c>
      <c r="BY829">
        <f>IF(ISBLANK('Data Entry'!$$829), "", 'Data Entry'!$$829)</f>
      </c>
      <c r="BZ829">
        <f>IF(ISBLANK('Data Entry'!$$829), "", 'Data Entry'!$$829)</f>
      </c>
      <c r="CA829">
        <f>IF(ISBLANK('Data Entry'!$$829), "", 'Data Entry'!$$829)</f>
      </c>
      <c r="CB829">
        <f>IF(ISBLANK('Data Entry'!$$829), "", 'Data Entry'!$$829)</f>
      </c>
      <c r="CC829">
        <f>IF(ISBLANK('Data Entry'!$$829), "", 'Data Entry'!$$829)</f>
      </c>
      <c r="CD829">
        <f>IF(ISBLANK('Data Entry'!$$829), "", 'Data Entry'!$$829)</f>
      </c>
      <c r="CE829">
        <f>IF(ISBLANK('Data Entry'!$$829), "", 'Data Entry'!$$829)</f>
      </c>
      <c r="CF829">
        <f>IF(ISBLANK('Data Entry'!$$829), "", 'Data Entry'!$$829)</f>
      </c>
      <c r="CG829">
        <f>IF(ISBLANK('Data Entry'!$$829), "", 'Data Entry'!$$829)</f>
      </c>
      <c r="CH829">
        <f>IF(ISBLANK('Data Entry'!$$829), "", 'Data Entry'!$$829)</f>
      </c>
      <c r="CI829">
        <f>IF(ISBLANK('Data Entry'!$$829), "", 'Data Entry'!$$829)</f>
      </c>
      <c r="CJ829">
        <f>IF(ISBLANK('Data Entry'!$$829), "", 'Data Entry'!$$829)</f>
      </c>
      <c r="CK829">
        <f>IF(ISBLANK('Data Entry'!$$829), "", 'Data Entry'!$$829)</f>
      </c>
      <c r="CL829">
        <f>IF(ISBLANK('Data Entry'!$$829), "", 'Data Entry'!$$829)</f>
      </c>
      <c r="CM829">
        <f>IF(ISBLANK('Data Entry'!$$829), "", 'Data Entry'!$$829)</f>
      </c>
      <c r="CN829">
        <f>IF(ISBLANK('Data Entry'!$$829), "", 'Data Entry'!$$829)</f>
      </c>
      <c r="CO829">
        <f>IF(ISBLANK('Data Entry'!$$829), "", 'Data Entry'!$$829)</f>
      </c>
      <c r="CP829">
        <f>IF(ISBLANK('Data Entry'!$$829), "", 'Data Entry'!$$829)</f>
      </c>
      <c r="CQ829">
        <f>IF(ISBLANK('Data Entry'!$$829), "", 'Data Entry'!$$829)</f>
      </c>
      <c r="CR829">
        <f>IF(ISBLANK('Data Entry'!$ $829), "", 'Data Entry'!$ $829)</f>
      </c>
      <c r="CS829">
        <f>IF(ISBLANK('Data Entry'!$¡$829), "", 'Data Entry'!$¡$829)</f>
      </c>
      <c r="CT829">
        <f>IF(ISBLANK('Data Entry'!$¢$829), "", 'Data Entry'!$¢$829)</f>
      </c>
      <c r="CU829">
        <f>IF(ISBLANK('Data Entry'!$£$829), "", 'Data Entry'!$£$829)</f>
      </c>
      <c r="CV829">
        <f>IF(ISBLANK('Data Entry'!$¤$829), "", 'Data Entry'!$¤$829)</f>
      </c>
      <c r="CW829">
        <f>IF(ISBLANK('Data Entry'!$¥$829), "", 'Data Entry'!$¥$829)</f>
      </c>
      <c r="CX829">
        <f>IF(ISBLANK('Data Entry'!$¦$829), "", 'Data Entry'!$¦$829)</f>
      </c>
      <c r="CY829">
        <f>IF(ISBLANK('Data Entry'!$§$829), "", 'Data Entry'!$§$829)</f>
      </c>
      <c r="CZ829">
        <f>IF(ISBLANK('Data Entry'!$¨$829), "", 'Data Entry'!$¨$829)</f>
      </c>
      <c r="DA829">
        <f>IF(ISBLANK('Data Entry'!$©$829), "", 'Data Entry'!$©$829)</f>
      </c>
      <c r="DB829">
        <f>IF(ISBLANK('Data Entry'!$ª$829), "", 'Data Entry'!$ª$829)</f>
      </c>
      <c r="DC829">
        <f>IF(ISBLANK('Data Entry'!$«$829), "", 'Data Entry'!$«$829)</f>
      </c>
      <c r="DD829">
        <f>IF(ISBLANK('Data Entry'!$¬$829), "", 'Data Entry'!$¬$829)</f>
      </c>
      <c r="DE829">
        <f>IF(ISBLANK('Data Entry'!$­$829), "", 'Data Entry'!$­$829)</f>
      </c>
      <c r="DF829">
        <f>IF(ISBLANK('Data Entry'!$®$829), "", 'Data Entry'!$®$829)</f>
      </c>
      <c r="DG829">
        <f>IF(ISBLANK('Data Entry'!$¯$829), "", 'Data Entry'!$¯$829)</f>
      </c>
      <c r="DH829">
        <f>IF(ISBLANK('Data Entry'!$°$829), "", 'Data Entry'!$°$829)</f>
      </c>
      <c r="DI829">
        <f>IF(ISBLANK('Data Entry'!$±$829), "", 'Data Entry'!$±$829)</f>
      </c>
      <c r="DJ829">
        <f>IF(ISBLANK('Data Entry'!$²$829), "", 'Data Entry'!$²$829)</f>
      </c>
      <c r="DK829">
        <f>IF(ISBLANK('Data Entry'!$³$829), "", 'Data Entry'!$³$829)</f>
      </c>
      <c r="DL829">
        <f>IF(ISBLANK('Data Entry'!$´$829), "", 'Data Entry'!$´$829)</f>
      </c>
      <c r="DM829">
        <f>IF(ISBLANK('Data Entry'!$µ$829), "", 'Data Entry'!$µ$829)</f>
      </c>
      <c r="DN829">
        <f>IF(ISBLANK('Data Entry'!$¶$829), "", 'Data Entry'!$¶$829)</f>
      </c>
      <c r="DO829">
        <f>IF(ISBLANK('Data Entry'!$·$829), "", 'Data Entry'!$·$829)</f>
      </c>
      <c r="DP829">
        <f>IF(ISBLANK('Data Entry'!$¸$829), "", 'Data Entry'!$¸$829)</f>
      </c>
      <c r="DQ829">
        <f>IF(ISBLANK('Data Entry'!$¹$829), "", 'Data Entry'!$¹$829)</f>
      </c>
      <c r="DR829">
        <f>IF(ISBLANK('Data Entry'!$º$829), "", 'Data Entry'!$º$829)</f>
      </c>
      <c r="DS829">
        <f>IF(ISBLANK('Data Entry'!$»$829), "", 'Data Entry'!$»$829)</f>
      </c>
      <c r="DT829">
        <f>IF(ISBLANK('Data Entry'!$¼$829), "", 'Data Entry'!$¼$829)</f>
      </c>
      <c r="DU829">
        <f>IF(ISBLANK('Data Entry'!$½$829), "", 'Data Entry'!$½$829)</f>
      </c>
      <c r="DV829">
        <f>IF(ISBLANK('Data Entry'!$¾$829), "", 'Data Entry'!$¾$829)</f>
      </c>
      <c r="DW829">
        <f>IF(ISBLANK('Data Entry'!$¿$829), "", 'Data Entry'!$¿$829)</f>
      </c>
      <c r="DX829">
        <f>IF(ISBLANK('Data Entry'!$À$829), "", 'Data Entry'!$À$829)</f>
      </c>
      <c r="DY829">
        <f>IF(ISBLANK('Data Entry'!$Á$829), "", 'Data Entry'!$Á$829)</f>
      </c>
      <c r="DZ829">
        <f>IF(ISBLANK('Data Entry'!$Â$829), "", 'Data Entry'!$Â$829)</f>
      </c>
      <c r="EA829">
        <f>IF(ISBLANK('Data Entry'!$Ã$829), "", 'Data Entry'!$Ã$829)</f>
      </c>
      <c r="EB829">
        <f>IF(ISBLANK('Data Entry'!$Ä$829), "", 'Data Entry'!$Ä$829)</f>
      </c>
      <c r="EC829">
        <f>IF(ISBLANK('Data Entry'!$Å$829), "", 'Data Entry'!$Å$829)</f>
      </c>
      <c r="ED829">
        <f>IF(ISBLANK('Data Entry'!$Æ$829), "", 'Data Entry'!$Æ$829)</f>
      </c>
      <c r="EE829">
        <f>IF(ISBLANK('Data Entry'!$Ç$829), "", 'Data Entry'!$Ç$829)</f>
      </c>
      <c r="EF829">
        <f>IF(ISBLANK('Data Entry'!$È$829), "", 'Data Entry'!$È$829)</f>
      </c>
      <c r="EG829">
        <f>IF(ISBLANK('Data Entry'!$É$829), "", 'Data Entry'!$É$829)</f>
      </c>
      <c r="EH829">
        <f>IF(ISBLANK('Data Entry'!$Ê$829), "", 'Data Entry'!$Ê$829)</f>
      </c>
      <c r="EI829">
        <f>IF(ISBLANK('Data Entry'!$Ë$829), "", 'Data Entry'!$Ë$829)</f>
      </c>
      <c r="EJ829">
        <f>IF(ISBLANK('Data Entry'!$Ì$829), "", 'Data Entry'!$Ì$829)</f>
      </c>
      <c r="EK829">
        <f>IF(ISBLANK('Data Entry'!$Í$829), "", 'Data Entry'!$Í$829)</f>
      </c>
      <c r="EL829">
        <f>IF(ISBLANK('Data Entry'!$Î$829), "", 'Data Entry'!$Î$829)</f>
      </c>
      <c r="EM829">
        <f>IF(ISBLANK('Data Entry'!$Ï$829), "", 'Data Entry'!$Ï$829)</f>
      </c>
      <c r="EN829">
        <f>IF(ISBLANK('Data Entry'!$Ð$829), "", 'Data Entry'!$Ð$829)</f>
      </c>
      <c r="EO829">
        <f>IF(ISBLANK('Data Entry'!$Ñ$829), "", 'Data Entry'!$Ñ$829)</f>
      </c>
      <c r="EP829">
        <f>IF(ISBLANK('Data Entry'!$Ò$829), "", 'Data Entry'!$Ò$829)</f>
      </c>
      <c r="EQ829">
        <f>IF(ISBLANK('Data Entry'!$Ó$829), "", 'Data Entry'!$Ó$829)</f>
      </c>
      <c r="ER829">
        <f>IF(ISBLANK('Data Entry'!$Ô$829), "", 'Data Entry'!$Ô$829)</f>
      </c>
      <c r="ES829">
        <f>IF(ISBLANK('Data Entry'!$Õ$829), "", 'Data Entry'!$Õ$829)</f>
      </c>
      <c r="ET829">
        <f>IF(ISBLANK('Data Entry'!$Ö$829), "", 'Data Entry'!$Ö$829)</f>
      </c>
      <c r="EU829">
        <f>IF(ISBLANK('Data Entry'!$×$829), "", 'Data Entry'!$×$829)</f>
      </c>
      <c r="EV829">
        <f>IF(ISBLANK('Data Entry'!$Ø$829), "", 'Data Entry'!$Ø$829)</f>
      </c>
      <c r="EW829">
        <f>IF(ISBLANK('Data Entry'!$Ù$829), "", 'Data Entry'!$Ù$829)</f>
      </c>
      <c r="EX829">
        <f>IF(ISBLANK('Data Entry'!$Ú$829), "", 'Data Entry'!$Ú$829)</f>
      </c>
      <c r="EY829">
        <f>IF(ISBLANK('Data Entry'!$Û$829), "", 'Data Entry'!$Û$829)</f>
      </c>
      <c r="EZ829">
        <f>IF(ISBLANK('Data Entry'!$Ü$829), "", 'Data Entry'!$Ü$829)</f>
      </c>
      <c r="FA829">
        <f>IF(ISBLANK('Data Entry'!$Ý$829), "", 'Data Entry'!$Ý$829)</f>
      </c>
      <c r="FB829">
        <f>IF(ISBLANK('Data Entry'!$Þ$829), "", 'Data Entry'!$Þ$829)</f>
      </c>
      <c r="FC829">
        <f>IF(ISBLANK('Data Entry'!$ß$829), "", 'Data Entry'!$ß$829)</f>
      </c>
      <c r="FD829">
        <f>IF(ISBLANK('Data Entry'!$à$829), "", 'Data Entry'!$à$829)</f>
      </c>
      <c r="FE829">
        <f>IF(ISBLANK('Data Entry'!$á$829), "", 'Data Entry'!$á$829)</f>
      </c>
      <c r="FF829">
        <f>IF(ISBLANK('Data Entry'!$â$829), "", 'Data Entry'!$â$829)</f>
      </c>
      <c r="FG829">
        <f>IF(ISBLANK('Data Entry'!$ã$829), "", 'Data Entry'!$ã$829)</f>
      </c>
      <c r="FH829">
        <f>IF(ISBLANK('Data Entry'!$ä$829), "", 'Data Entry'!$ä$829)</f>
      </c>
      <c r="FI829">
        <f>IF(ISBLANK('Data Entry'!$å$829), "", 'Data Entry'!$å$829)</f>
      </c>
      <c r="FJ829">
        <f>IF(ISBLANK('Data Entry'!$æ$829), "", 'Data Entry'!$æ$829)</f>
      </c>
      <c r="FK829">
        <f>IF(ISBLANK('Data Entry'!$ç$829), "", 'Data Entry'!$ç$829)</f>
      </c>
      <c r="FL829">
        <f>IF(ISBLANK('Data Entry'!$è$829), "", 'Data Entry'!$è$829)</f>
      </c>
      <c r="FM829">
        <f>IF(ISBLANK('Data Entry'!$é$829), "", 'Data Entry'!$é$829)</f>
      </c>
      <c r="FN829">
        <f>IF(ISBLANK('Data Entry'!$ê$829), "", 'Data Entry'!$ê$829)</f>
      </c>
      <c r="FO829">
        <f>IF(ISBLANK('Data Entry'!$ë$829), "", 'Data Entry'!$ë$829)</f>
      </c>
      <c r="FP829">
        <f>IF(ISBLANK('Data Entry'!$ì$829), "", 'Data Entry'!$ì$829)</f>
      </c>
      <c r="FQ829">
        <f>IF(ISBLANK('Data Entry'!$í$829), "", 'Data Entry'!$í$829)</f>
      </c>
      <c r="FR829">
        <f>IF(ISBLANK('Data Entry'!$î$829), "", 'Data Entry'!$î$829)</f>
      </c>
      <c r="FS829">
        <f>IF(ISBLANK('Data Entry'!$ï$829), "", 'Data Entry'!$ï$829)</f>
      </c>
      <c r="FT829">
        <f>IF(ISBLANK('Data Entry'!$ð$829), "", 'Data Entry'!$ð$829)</f>
      </c>
      <c r="FU829">
        <f>IF(ISBLANK('Data Entry'!$ñ$829), "", 'Data Entry'!$ñ$829)</f>
      </c>
      <c r="FV829">
        <f>IF(ISBLANK('Data Entry'!$ò$829), "", 'Data Entry'!$ò$829)</f>
      </c>
      <c r="FW829">
        <f>IF(ISBLANK('Data Entry'!$ó$829), "", 'Data Entry'!$ó$829)</f>
      </c>
      <c r="FX829">
        <f>IF(ISBLANK('Data Entry'!$ô$829), "", 'Data Entry'!$ô$829)</f>
      </c>
      <c r="FY829">
        <f>IF(ISBLANK('Data Entry'!$õ$829), "", 'Data Entry'!$õ$829)</f>
      </c>
      <c r="FZ829">
        <f>IF(ISBLANK('Data Entry'!$ö$829), "", 'Data Entry'!$ö$829)</f>
      </c>
      <c r="GA829">
        <f>IF(ISBLANK('Data Entry'!$÷$829), "", 'Data Entry'!$÷$829)</f>
      </c>
      <c r="GB829">
        <f>IF(ISBLANK('Data Entry'!$ø$829), "", 'Data Entry'!$ø$829)</f>
      </c>
      <c r="GC829">
        <f>IF(ISBLANK('Data Entry'!$ù$829), "", 'Data Entry'!$ù$829)</f>
      </c>
      <c r="GD829">
        <f>IF(ISBLANK('Data Entry'!$ú$829), "", 'Data Entry'!$ú$829)</f>
      </c>
      <c r="GE829">
        <f>IF(ISBLANK('Data Entry'!$û$829), "", 'Data Entry'!$û$829)</f>
      </c>
      <c r="GF829">
        <f>IF(ISBLANK('Data Entry'!$ü$829), "", 'Data Entry'!$ü$829)</f>
      </c>
      <c r="GG829">
        <f>IF(ISBLANK('Data Entry'!$ý$829), "", 'Data Entry'!$ý$829)</f>
      </c>
      <c r="GH829">
        <f>IF(ISBLANK('Data Entry'!$þ$829), "", 'Data Entry'!$þ$829)</f>
      </c>
      <c r="GI829">
        <f>IF(ISBLANK('Data Entry'!$ÿ$829), "", 'Data Entry'!$ÿ$829)</f>
      </c>
      <c r="GJ829">
        <f>IF(ISBLANK('Data Entry'!$Ā$829), "", 'Data Entry'!$Ā$829)</f>
      </c>
      <c r="GK829">
        <f>IF(ISBLANK('Data Entry'!$ā$829), "", 'Data Entry'!$ā$829)</f>
      </c>
      <c r="GL829">
        <f>IF(ISBLANK('Data Entry'!$Ă$829), "", 'Data Entry'!$Ă$829)</f>
      </c>
      <c r="GM829">
        <f>IF(ISBLANK('Data Entry'!$ă$829), "", 'Data Entry'!$ă$829)</f>
      </c>
      <c r="GN829">
        <f>IF(ISBLANK('Data Entry'!$Ą$829), "", 'Data Entry'!$Ą$829)</f>
      </c>
      <c r="GO829">
        <f>IF(ISBLANK('Data Entry'!$ą$829), "", 'Data Entry'!$ą$829)</f>
      </c>
      <c r="GP829">
        <f>IF(ISBLANK('Data Entry'!$Ć$829), "", 'Data Entry'!$Ć$829)</f>
      </c>
      <c r="GQ829">
        <f>IF(ISBLANK('Data Entry'!$ć$829), "", 'Data Entry'!$ć$829)</f>
      </c>
      <c r="GR829">
        <f>IF(ISBLANK('Data Entry'!$Ĉ$829), "", 'Data Entry'!$Ĉ$829)</f>
      </c>
      <c r="GS829">
        <f>IF(ISBLANK('Data Entry'!$ĉ$829), "", 'Data Entry'!$ĉ$829)</f>
      </c>
      <c r="GT829">
        <f>IF(ISBLANK('Data Entry'!$Ċ$829), "", 'Data Entry'!$Ċ$829)</f>
      </c>
      <c r="GU829">
        <f>IF(ISBLANK('Data Entry'!$ċ$829), "", 'Data Entry'!$ċ$829)</f>
      </c>
      <c r="GV829">
        <f>IF(ISBLANK('Data Entry'!$Č$829), "", 'Data Entry'!$Č$829)</f>
      </c>
      <c r="GW829">
        <f>IF(ISBLANK('Data Entry'!$č$829), "", 'Data Entry'!$č$829)</f>
      </c>
      <c r="GX829">
        <f>IF(ISBLANK('Data Entry'!$Ď$829), "", 'Data Entry'!$Ď$829)</f>
      </c>
      <c r="GY829">
        <f>IF(ISBLANK('Data Entry'!$ď$829), "", 'Data Entry'!$ď$829)</f>
      </c>
      <c r="GZ829">
        <f>IF(ISBLANK('Data Entry'!$Đ$829), "", 'Data Entry'!$Đ$829)</f>
      </c>
      <c r="HA829">
        <f>IF(ISBLANK('Data Entry'!$đ$829), "", 'Data Entry'!$đ$829)</f>
      </c>
      <c r="HB829">
        <f>IF(ISBLANK('Data Entry'!$Ē$829), "", 'Data Entry'!$Ē$829)</f>
      </c>
      <c r="HC829">
        <f>IF(ISBLANK('Data Entry'!$ē$829), "", 'Data Entry'!$ē$829)</f>
      </c>
      <c r="HD829">
        <f>IF(ISBLANK('Data Entry'!$Ĕ$829), "", 'Data Entry'!$Ĕ$829)</f>
      </c>
      <c r="HE829">
        <f>IF(ISBLANK('Data Entry'!$ĕ$829), "", 'Data Entry'!$ĕ$829)</f>
      </c>
      <c r="HF829">
        <f>IF(ISBLANK('Data Entry'!$Ė$829), "", 'Data Entry'!$Ė$829)</f>
      </c>
      <c r="HG829">
        <f>IF(ISBLANK('Data Entry'!$ė$829), "", 'Data Entry'!$ė$829)</f>
      </c>
      <c r="HH829">
        <f>IF(ISBLANK('Data Entry'!$Ę$829), "", 'Data Entry'!$Ę$829)</f>
      </c>
      <c r="HI829">
        <f>IF(ISBLANK('Data Entry'!$ę$829), "", 'Data Entry'!$ę$829)</f>
      </c>
      <c r="HJ829">
        <f>IF(ISBLANK('Data Entry'!$Ě$829), "", 'Data Entry'!$Ě$829)</f>
      </c>
      <c r="HK829">
        <f>IF(ISBLANK('Data Entry'!$ě$829), "", 'Data Entry'!$ě$829)</f>
      </c>
      <c r="HL829">
        <f>IF(ISBLANK('Data Entry'!$Ĝ$829), "", 'Data Entry'!$Ĝ$829)</f>
      </c>
      <c r="HM829">
        <f>IF(ISBLANK('Data Entry'!$ĝ$829), "", 'Data Entry'!$ĝ$829)</f>
      </c>
      <c r="HN829">
        <f>IF(ISBLANK('Data Entry'!$Ğ$829), "", 'Data Entry'!$Ğ$829)</f>
      </c>
      <c r="HO829">
        <f>IF(ISBLANK('Data Entry'!$ğ$829), "", 'Data Entry'!$ğ$829)</f>
      </c>
      <c r="HP829">
        <f>IF(ISBLANK('Data Entry'!$Ġ$829), "", 'Data Entry'!$Ġ$829)</f>
      </c>
      <c r="HQ829">
        <f>IF(ISBLANK('Data Entry'!$ġ$829), "", 'Data Entry'!$ġ$829)</f>
      </c>
      <c r="HR829">
        <f>IF(ISBLANK('Data Entry'!$Ģ$829), "", 'Data Entry'!$Ģ$829)</f>
      </c>
      <c r="HS829">
        <f>IF(ISBLANK('Data Entry'!$ģ$829), "", 'Data Entry'!$ģ$829)</f>
      </c>
      <c r="HT829">
        <f>IF(ISBLANK('Data Entry'!$Ĥ$829), "", 'Data Entry'!$Ĥ$829)</f>
      </c>
      <c r="HU829">
        <f>IF(ISBLANK('Data Entry'!$ĥ$829), "", 'Data Entry'!$ĥ$829)</f>
      </c>
      <c r="HV829">
        <f>IF(ISBLANK('Data Entry'!$Ħ$829), "", 'Data Entry'!$Ħ$829)</f>
      </c>
      <c r="HW829">
        <f>IF(ISBLANK('Data Entry'!$ħ$829), "", 'Data Entry'!$ħ$829)</f>
      </c>
      <c r="HX829">
        <f>IF(ISBLANK('Data Entry'!$Ĩ$829), "", 'Data Entry'!$Ĩ$829)</f>
      </c>
      <c r="HY829">
        <f>IF(ISBLANK('Data Entry'!$ĩ$829), "", 'Data Entry'!$ĩ$829)</f>
      </c>
      <c r="HZ829">
        <f>IF(ISBLANK('Data Entry'!$Ī$829), "", 'Data Entry'!$Ī$829)</f>
      </c>
      <c r="IA829">
        <f>IF(ISBLANK('Data Entry'!$ī$829), "", 'Data Entry'!$ī$829)</f>
      </c>
      <c r="IB829">
        <f>IF(ISBLANK('Data Entry'!$Ĭ$829), "", 'Data Entry'!$Ĭ$829)</f>
      </c>
      <c r="IC829">
        <f>IF(ISBLANK('Data Entry'!$ĭ$829), "", 'Data Entry'!$ĭ$829)</f>
      </c>
      <c r="ID829">
        <f>IF(ISBLANK('Data Entry'!$Į$829), "", 'Data Entry'!$Į$829)</f>
      </c>
      <c r="IE829">
        <f>IF(ISBLANK('Data Entry'!$į$829), "", 'Data Entry'!$į$829)</f>
      </c>
      <c r="IF829">
        <f>IF(ISBLANK('Data Entry'!$İ$829), "", 'Data Entry'!$İ$829)</f>
      </c>
      <c r="IG829">
        <f>IF(ISBLANK('Data Entry'!$ı$829), "", 'Data Entry'!$ı$829)</f>
      </c>
      <c r="IH829">
        <f>IF(ISBLANK('Data Entry'!$Ĳ$829), "", 'Data Entry'!$Ĳ$829)</f>
      </c>
      <c r="II829">
        <f>IF(ISBLANK('Data Entry'!$ĳ$829), "", 'Data Entry'!$ĳ$829)</f>
      </c>
      <c r="IJ829">
        <f>IF(ISBLANK('Data Entry'!$Ĵ$829), "", 'Data Entry'!$Ĵ$829)</f>
      </c>
      <c r="IK829">
        <f>IF(ISBLANK('Data Entry'!$ĵ$829), "", 'Data Entry'!$ĵ$829)</f>
      </c>
      <c r="IL829">
        <f>IF(ISBLANK('Data Entry'!$Ķ$829), "", 'Data Entry'!$Ķ$829)</f>
      </c>
      <c r="IM829">
        <f>IF(ISBLANK('Data Entry'!$ķ$829), "", 'Data Entry'!$ķ$829)</f>
      </c>
      <c r="IN829">
        <f>IF(ISBLANK('Data Entry'!$ĸ$829), "", 'Data Entry'!$ĸ$829)</f>
      </c>
      <c r="IO829">
        <f>IF(ISBLANK('Data Entry'!$Ĺ$829), "", 'Data Entry'!$Ĺ$829)</f>
      </c>
      <c r="IP829">
        <f>IF(ISBLANK('Data Entry'!$ĺ$829), "", 'Data Entry'!$ĺ$829)</f>
      </c>
      <c r="IQ829">
        <f>IF(ISBLANK('Data Entry'!$Ļ$829), "", 'Data Entry'!$Ļ$829)</f>
      </c>
      <c r="IR829">
        <f>IF(ISBLANK('Data Entry'!$ļ$829), "", 'Data Entry'!$ļ$829)</f>
      </c>
      <c r="IS829">
        <f>IF(ISBLANK('Data Entry'!$Ľ$829), "", 'Data Entry'!$Ľ$829)</f>
      </c>
      <c r="IT829">
        <f>IF(ISBLANK('Data Entry'!$ľ$829), "", 'Data Entry'!$ľ$829)</f>
      </c>
    </row>
    <row r="830" spans="1:254" x14ac:dyDescent="0.25">
      <c r="A830">
        <f>IF(ISBLANK('Data Entry'!$A$830), "", 'Data Entry'!$A$830)</f>
      </c>
      <c r="B830">
        <f>IF(ISBLANK('Data Entry'!$B$830), "", 'Data Entry'!$B$830)</f>
      </c>
      <c r="C830">
        <f>IF(ISBLANK('Data Entry'!$C$830), "", 'Data Entry'!$C$830)</f>
      </c>
      <c r="D830">
        <f>IF(ISBLANK('Data Entry'!$D$830), "", 'Data Entry'!$D$830)</f>
      </c>
      <c r="E830">
        <f>IF(ISBLANK('Data Entry'!$E$830), "", 'Data Entry'!$E$830)</f>
      </c>
      <c r="F830">
        <f>IF(ISBLANK('Data Entry'!$F$830), "", 'Data Entry'!$F$830)</f>
      </c>
      <c r="G830">
        <f>IF(ISBLANK('Data Entry'!$G$830), "", 'Data Entry'!$G$830)</f>
      </c>
      <c r="H830">
        <f>IF(ISBLANK('Data Entry'!$H$830), "", 'Data Entry'!$H$830)</f>
      </c>
      <c r="I830">
        <f>IF(ISBLANK('Data Entry'!$I$830), "", 'Data Entry'!$I$830)</f>
      </c>
      <c r="J830">
        <f>IF(ISBLANK('Data Entry'!$J$830), "", 'Data Entry'!$J$830)</f>
      </c>
      <c r="K830">
        <f>IF(ISBLANK('Data Entry'!$K$830), "", 'Data Entry'!$K$830)</f>
      </c>
      <c r="L830">
        <f>IF(ISBLANK('Data Entry'!$L$830), "", 'Data Entry'!$L$830)</f>
      </c>
      <c r="M830">
        <f>IF(ISBLANK('Data Entry'!$M$830), "", 'Data Entry'!$M$830)</f>
      </c>
      <c r="N830">
        <f>IF(ISBLANK('Data Entry'!$N$830), "", 'Data Entry'!$N$830)</f>
      </c>
      <c r="O830">
        <f>IF(ISBLANK('Data Entry'!$O$830), "", 'Data Entry'!$O$830)</f>
      </c>
      <c r="P830">
        <f>IF(ISBLANK('Data Entry'!$P$830), "", 'Data Entry'!$P$830)</f>
      </c>
      <c r="Q830">
        <f>IF(ISBLANK('Data Entry'!$Q$830), "", 'Data Entry'!$Q$830)</f>
      </c>
      <c r="R830">
        <f>IF(ISBLANK('Data Entry'!$R$830), "", 'Data Entry'!$R$830)</f>
      </c>
      <c r="S830">
        <f>IF(ISBLANK('Data Entry'!$S$830), "", 'Data Entry'!$S$830)</f>
      </c>
      <c r="T830">
        <f>IF(ISBLANK('Data Entry'!$T$830), "", 'Data Entry'!$T$830)</f>
      </c>
      <c r="U830">
        <f>IF(ISBLANK('Data Entry'!$U$830), "", 'Data Entry'!$U$830)</f>
      </c>
      <c r="V830">
        <f>IF(ISBLANK('Data Entry'!$V$830), "", 'Data Entry'!$V$830)</f>
      </c>
      <c r="W830">
        <f>IF(ISBLANK('Data Entry'!$W$830), "", 'Data Entry'!$W$830)</f>
      </c>
      <c r="X830">
        <f>IF(ISBLANK('Data Entry'!$X$830), "", 'Data Entry'!$X$830)</f>
      </c>
      <c r="Y830">
        <f>IF(ISBLANK('Data Entry'!$Y$830), "", 'Data Entry'!$Y$830)</f>
      </c>
      <c r="Z830">
        <f>IF(ISBLANK('Data Entry'!$Z$830), "", 'Data Entry'!$Z$830)</f>
      </c>
      <c r="AA830">
        <f>IF(ISBLANK('Data Entry'!$[$830), "", 'Data Entry'!$[$830)</f>
      </c>
      <c r="AB830">
        <f>IF(ISBLANK('Data Entry'!$\$830), "", 'Data Entry'!$\$830)</f>
      </c>
      <c r="AC830">
        <f>IF(ISBLANK('Data Entry'!$]$830), "", 'Data Entry'!$]$830)</f>
      </c>
      <c r="AD830">
        <f>IF(ISBLANK('Data Entry'!$^$830), "", 'Data Entry'!$^$830)</f>
      </c>
      <c r="AE830">
        <f>IF(ISBLANK('Data Entry'!$_$830), "", 'Data Entry'!$_$830)</f>
      </c>
      <c r="AF830">
        <f>IF(ISBLANK('Data Entry'!$`$830), "", 'Data Entry'!$`$830)</f>
      </c>
      <c r="AG830">
        <f>IF(ISBLANK('Data Entry'!$a$830), "", 'Data Entry'!$a$830)</f>
      </c>
      <c r="AH830">
        <f>IF(ISBLANK('Data Entry'!$b$830), "", 'Data Entry'!$b$830)</f>
      </c>
      <c r="AI830">
        <f>IF(ISBLANK('Data Entry'!$c$830), "", 'Data Entry'!$c$830)</f>
      </c>
      <c r="AJ830">
        <f>IF(ISBLANK('Data Entry'!$d$830), "", 'Data Entry'!$d$830)</f>
      </c>
      <c r="AK830">
        <f>IF(ISBLANK('Data Entry'!$e$830), "", 'Data Entry'!$e$830)</f>
      </c>
      <c r="AL830">
        <f>IF(ISBLANK('Data Entry'!$f$830), "", 'Data Entry'!$f$830)</f>
      </c>
      <c r="AM830">
        <f>IF(ISBLANK('Data Entry'!$g$830), "", 'Data Entry'!$g$830)</f>
      </c>
      <c r="AN830">
        <f>IF(ISBLANK('Data Entry'!$h$830), "", 'Data Entry'!$h$830)</f>
      </c>
      <c r="AO830">
        <f>IF(ISBLANK('Data Entry'!$i$830), "", 'Data Entry'!$i$830)</f>
      </c>
      <c r="AP830">
        <f>IF(ISBLANK('Data Entry'!$j$830), "", 'Data Entry'!$j$830)</f>
      </c>
      <c r="AQ830">
        <f>IF(ISBLANK('Data Entry'!$k$830), "", 'Data Entry'!$k$830)</f>
      </c>
      <c r="AR830">
        <f>IF(ISBLANK('Data Entry'!$l$830), "", 'Data Entry'!$l$830)</f>
      </c>
      <c r="AS830">
        <f>IF(ISBLANK('Data Entry'!$m$830), "", 'Data Entry'!$m$830)</f>
      </c>
      <c r="AT830">
        <f>IF(ISBLANK('Data Entry'!$n$830), "", 'Data Entry'!$n$830)</f>
      </c>
      <c r="AU830">
        <f>IF(ISBLANK('Data Entry'!$o$830), "", 'Data Entry'!$o$830)</f>
      </c>
      <c r="AV830">
        <f>IF(ISBLANK('Data Entry'!$p$830), "", 'Data Entry'!$p$830)</f>
      </c>
      <c r="AW830">
        <f>IF(ISBLANK('Data Entry'!$q$830), "", 'Data Entry'!$q$830)</f>
      </c>
      <c r="AX830">
        <f>IF(ISBLANK('Data Entry'!$r$830), "", 'Data Entry'!$r$830)</f>
      </c>
      <c r="AY830">
        <f>IF(ISBLANK('Data Entry'!$s$830), "", 'Data Entry'!$s$830)</f>
      </c>
      <c r="AZ830">
        <f>IF(ISBLANK('Data Entry'!$t$830), "", 'Data Entry'!$t$830)</f>
      </c>
      <c r="BA830">
        <f>IF(ISBLANK('Data Entry'!$u$830), "", 'Data Entry'!$u$830)</f>
      </c>
      <c r="BB830">
        <f>IF(ISBLANK('Data Entry'!$v$830), "", 'Data Entry'!$v$830)</f>
      </c>
      <c r="BC830">
        <f>IF(ISBLANK('Data Entry'!$w$830), "", 'Data Entry'!$w$830)</f>
      </c>
      <c r="BD830">
        <f>IF(ISBLANK('Data Entry'!$x$830), "", 'Data Entry'!$x$830)</f>
      </c>
      <c r="BE830">
        <f>IF(ISBLANK('Data Entry'!$y$830), "", 'Data Entry'!$y$830)</f>
      </c>
      <c r="BF830">
        <f>IF(ISBLANK('Data Entry'!$z$830), "", 'Data Entry'!$z$830)</f>
      </c>
      <c r="BG830">
        <f>IF(ISBLANK('Data Entry'!${$830), "", 'Data Entry'!${$830)</f>
      </c>
      <c r="BH830">
        <f>IF(ISBLANK('Data Entry'!$|$830), "", 'Data Entry'!$|$830)</f>
      </c>
      <c r="BI830">
        <f>IF(ISBLANK('Data Entry'!$}$830), "", 'Data Entry'!$}$830)</f>
      </c>
      <c r="BJ830">
        <f>IF(ISBLANK('Data Entry'!$~$830), "", 'Data Entry'!$~$830)</f>
      </c>
      <c r="BK830">
        <f>IF(ISBLANK('Data Entry'!$$830), "", 'Data Entry'!$$830)</f>
      </c>
      <c r="BL830">
        <f>IF(ISBLANK('Data Entry'!$$830), "", 'Data Entry'!$$830)</f>
      </c>
      <c r="BM830">
        <f>IF(ISBLANK('Data Entry'!$$830), "", 'Data Entry'!$$830)</f>
      </c>
      <c r="BN830">
        <f>IF(ISBLANK('Data Entry'!$$830), "", 'Data Entry'!$$830)</f>
      </c>
      <c r="BO830">
        <f>IF(ISBLANK('Data Entry'!$$830), "", 'Data Entry'!$$830)</f>
      </c>
      <c r="BP830">
        <f>IF(ISBLANK('Data Entry'!$$830), "", 'Data Entry'!$$830)</f>
      </c>
      <c r="BQ830">
        <f>IF(ISBLANK('Data Entry'!$$830), "", 'Data Entry'!$$830)</f>
      </c>
      <c r="BR830">
        <f>IF(ISBLANK('Data Entry'!$$830), "", 'Data Entry'!$$830)</f>
      </c>
      <c r="BS830">
        <f>IF(ISBLANK('Data Entry'!$$830), "", 'Data Entry'!$$830)</f>
      </c>
      <c r="BT830">
        <f>IF(ISBLANK('Data Entry'!$$830), "", 'Data Entry'!$$830)</f>
      </c>
      <c r="BU830">
        <f>IF(ISBLANK('Data Entry'!$$830), "", 'Data Entry'!$$830)</f>
      </c>
      <c r="BV830">
        <f>IF(ISBLANK('Data Entry'!$$830), "", 'Data Entry'!$$830)</f>
      </c>
      <c r="BW830">
        <f>IF(ISBLANK('Data Entry'!$$830), "", 'Data Entry'!$$830)</f>
      </c>
      <c r="BX830">
        <f>IF(ISBLANK('Data Entry'!$$830), "", 'Data Entry'!$$830)</f>
      </c>
      <c r="BY830">
        <f>IF(ISBLANK('Data Entry'!$$830), "", 'Data Entry'!$$830)</f>
      </c>
      <c r="BZ830">
        <f>IF(ISBLANK('Data Entry'!$$830), "", 'Data Entry'!$$830)</f>
      </c>
      <c r="CA830">
        <f>IF(ISBLANK('Data Entry'!$$830), "", 'Data Entry'!$$830)</f>
      </c>
      <c r="CB830">
        <f>IF(ISBLANK('Data Entry'!$$830), "", 'Data Entry'!$$830)</f>
      </c>
      <c r="CC830">
        <f>IF(ISBLANK('Data Entry'!$$830), "", 'Data Entry'!$$830)</f>
      </c>
      <c r="CD830">
        <f>IF(ISBLANK('Data Entry'!$$830), "", 'Data Entry'!$$830)</f>
      </c>
      <c r="CE830">
        <f>IF(ISBLANK('Data Entry'!$$830), "", 'Data Entry'!$$830)</f>
      </c>
      <c r="CF830">
        <f>IF(ISBLANK('Data Entry'!$$830), "", 'Data Entry'!$$830)</f>
      </c>
      <c r="CG830">
        <f>IF(ISBLANK('Data Entry'!$$830), "", 'Data Entry'!$$830)</f>
      </c>
      <c r="CH830">
        <f>IF(ISBLANK('Data Entry'!$$830), "", 'Data Entry'!$$830)</f>
      </c>
      <c r="CI830">
        <f>IF(ISBLANK('Data Entry'!$$830), "", 'Data Entry'!$$830)</f>
      </c>
      <c r="CJ830">
        <f>IF(ISBLANK('Data Entry'!$$830), "", 'Data Entry'!$$830)</f>
      </c>
      <c r="CK830">
        <f>IF(ISBLANK('Data Entry'!$$830), "", 'Data Entry'!$$830)</f>
      </c>
      <c r="CL830">
        <f>IF(ISBLANK('Data Entry'!$$830), "", 'Data Entry'!$$830)</f>
      </c>
      <c r="CM830">
        <f>IF(ISBLANK('Data Entry'!$$830), "", 'Data Entry'!$$830)</f>
      </c>
      <c r="CN830">
        <f>IF(ISBLANK('Data Entry'!$$830), "", 'Data Entry'!$$830)</f>
      </c>
      <c r="CO830">
        <f>IF(ISBLANK('Data Entry'!$$830), "", 'Data Entry'!$$830)</f>
      </c>
      <c r="CP830">
        <f>IF(ISBLANK('Data Entry'!$$830), "", 'Data Entry'!$$830)</f>
      </c>
      <c r="CQ830">
        <f>IF(ISBLANK('Data Entry'!$$830), "", 'Data Entry'!$$830)</f>
      </c>
      <c r="CR830">
        <f>IF(ISBLANK('Data Entry'!$ $830), "", 'Data Entry'!$ $830)</f>
      </c>
      <c r="CS830">
        <f>IF(ISBLANK('Data Entry'!$¡$830), "", 'Data Entry'!$¡$830)</f>
      </c>
      <c r="CT830">
        <f>IF(ISBLANK('Data Entry'!$¢$830), "", 'Data Entry'!$¢$830)</f>
      </c>
      <c r="CU830">
        <f>IF(ISBLANK('Data Entry'!$£$830), "", 'Data Entry'!$£$830)</f>
      </c>
      <c r="CV830">
        <f>IF(ISBLANK('Data Entry'!$¤$830), "", 'Data Entry'!$¤$830)</f>
      </c>
      <c r="CW830">
        <f>IF(ISBLANK('Data Entry'!$¥$830), "", 'Data Entry'!$¥$830)</f>
      </c>
      <c r="CX830">
        <f>IF(ISBLANK('Data Entry'!$¦$830), "", 'Data Entry'!$¦$830)</f>
      </c>
      <c r="CY830">
        <f>IF(ISBLANK('Data Entry'!$§$830), "", 'Data Entry'!$§$830)</f>
      </c>
      <c r="CZ830">
        <f>IF(ISBLANK('Data Entry'!$¨$830), "", 'Data Entry'!$¨$830)</f>
      </c>
      <c r="DA830">
        <f>IF(ISBLANK('Data Entry'!$©$830), "", 'Data Entry'!$©$830)</f>
      </c>
      <c r="DB830">
        <f>IF(ISBLANK('Data Entry'!$ª$830), "", 'Data Entry'!$ª$830)</f>
      </c>
      <c r="DC830">
        <f>IF(ISBLANK('Data Entry'!$«$830), "", 'Data Entry'!$«$830)</f>
      </c>
      <c r="DD830">
        <f>IF(ISBLANK('Data Entry'!$¬$830), "", 'Data Entry'!$¬$830)</f>
      </c>
      <c r="DE830">
        <f>IF(ISBLANK('Data Entry'!$­$830), "", 'Data Entry'!$­$830)</f>
      </c>
      <c r="DF830">
        <f>IF(ISBLANK('Data Entry'!$®$830), "", 'Data Entry'!$®$830)</f>
      </c>
      <c r="DG830">
        <f>IF(ISBLANK('Data Entry'!$¯$830), "", 'Data Entry'!$¯$830)</f>
      </c>
      <c r="DH830">
        <f>IF(ISBLANK('Data Entry'!$°$830), "", 'Data Entry'!$°$830)</f>
      </c>
      <c r="DI830">
        <f>IF(ISBLANK('Data Entry'!$±$830), "", 'Data Entry'!$±$830)</f>
      </c>
      <c r="DJ830">
        <f>IF(ISBLANK('Data Entry'!$²$830), "", 'Data Entry'!$²$830)</f>
      </c>
      <c r="DK830">
        <f>IF(ISBLANK('Data Entry'!$³$830), "", 'Data Entry'!$³$830)</f>
      </c>
      <c r="DL830">
        <f>IF(ISBLANK('Data Entry'!$´$830), "", 'Data Entry'!$´$830)</f>
      </c>
      <c r="DM830">
        <f>IF(ISBLANK('Data Entry'!$µ$830), "", 'Data Entry'!$µ$830)</f>
      </c>
      <c r="DN830">
        <f>IF(ISBLANK('Data Entry'!$¶$830), "", 'Data Entry'!$¶$830)</f>
      </c>
      <c r="DO830">
        <f>IF(ISBLANK('Data Entry'!$·$830), "", 'Data Entry'!$·$830)</f>
      </c>
      <c r="DP830">
        <f>IF(ISBLANK('Data Entry'!$¸$830), "", 'Data Entry'!$¸$830)</f>
      </c>
      <c r="DQ830">
        <f>IF(ISBLANK('Data Entry'!$¹$830), "", 'Data Entry'!$¹$830)</f>
      </c>
      <c r="DR830">
        <f>IF(ISBLANK('Data Entry'!$º$830), "", 'Data Entry'!$º$830)</f>
      </c>
      <c r="DS830">
        <f>IF(ISBLANK('Data Entry'!$»$830), "", 'Data Entry'!$»$830)</f>
      </c>
      <c r="DT830">
        <f>IF(ISBLANK('Data Entry'!$¼$830), "", 'Data Entry'!$¼$830)</f>
      </c>
      <c r="DU830">
        <f>IF(ISBLANK('Data Entry'!$½$830), "", 'Data Entry'!$½$830)</f>
      </c>
      <c r="DV830">
        <f>IF(ISBLANK('Data Entry'!$¾$830), "", 'Data Entry'!$¾$830)</f>
      </c>
      <c r="DW830">
        <f>IF(ISBLANK('Data Entry'!$¿$830), "", 'Data Entry'!$¿$830)</f>
      </c>
      <c r="DX830">
        <f>IF(ISBLANK('Data Entry'!$À$830), "", 'Data Entry'!$À$830)</f>
      </c>
      <c r="DY830">
        <f>IF(ISBLANK('Data Entry'!$Á$830), "", 'Data Entry'!$Á$830)</f>
      </c>
      <c r="DZ830">
        <f>IF(ISBLANK('Data Entry'!$Â$830), "", 'Data Entry'!$Â$830)</f>
      </c>
      <c r="EA830">
        <f>IF(ISBLANK('Data Entry'!$Ã$830), "", 'Data Entry'!$Ã$830)</f>
      </c>
      <c r="EB830">
        <f>IF(ISBLANK('Data Entry'!$Ä$830), "", 'Data Entry'!$Ä$830)</f>
      </c>
      <c r="EC830">
        <f>IF(ISBLANK('Data Entry'!$Å$830), "", 'Data Entry'!$Å$830)</f>
      </c>
      <c r="ED830">
        <f>IF(ISBLANK('Data Entry'!$Æ$830), "", 'Data Entry'!$Æ$830)</f>
      </c>
      <c r="EE830">
        <f>IF(ISBLANK('Data Entry'!$Ç$830), "", 'Data Entry'!$Ç$830)</f>
      </c>
      <c r="EF830">
        <f>IF(ISBLANK('Data Entry'!$È$830), "", 'Data Entry'!$È$830)</f>
      </c>
      <c r="EG830">
        <f>IF(ISBLANK('Data Entry'!$É$830), "", 'Data Entry'!$É$830)</f>
      </c>
      <c r="EH830">
        <f>IF(ISBLANK('Data Entry'!$Ê$830), "", 'Data Entry'!$Ê$830)</f>
      </c>
      <c r="EI830">
        <f>IF(ISBLANK('Data Entry'!$Ë$830), "", 'Data Entry'!$Ë$830)</f>
      </c>
      <c r="EJ830">
        <f>IF(ISBLANK('Data Entry'!$Ì$830), "", 'Data Entry'!$Ì$830)</f>
      </c>
      <c r="EK830">
        <f>IF(ISBLANK('Data Entry'!$Í$830), "", 'Data Entry'!$Í$830)</f>
      </c>
      <c r="EL830">
        <f>IF(ISBLANK('Data Entry'!$Î$830), "", 'Data Entry'!$Î$830)</f>
      </c>
      <c r="EM830">
        <f>IF(ISBLANK('Data Entry'!$Ï$830), "", 'Data Entry'!$Ï$830)</f>
      </c>
      <c r="EN830">
        <f>IF(ISBLANK('Data Entry'!$Ð$830), "", 'Data Entry'!$Ð$830)</f>
      </c>
      <c r="EO830">
        <f>IF(ISBLANK('Data Entry'!$Ñ$830), "", 'Data Entry'!$Ñ$830)</f>
      </c>
      <c r="EP830">
        <f>IF(ISBLANK('Data Entry'!$Ò$830), "", 'Data Entry'!$Ò$830)</f>
      </c>
      <c r="EQ830">
        <f>IF(ISBLANK('Data Entry'!$Ó$830), "", 'Data Entry'!$Ó$830)</f>
      </c>
      <c r="ER830">
        <f>IF(ISBLANK('Data Entry'!$Ô$830), "", 'Data Entry'!$Ô$830)</f>
      </c>
      <c r="ES830">
        <f>IF(ISBLANK('Data Entry'!$Õ$830), "", 'Data Entry'!$Õ$830)</f>
      </c>
      <c r="ET830">
        <f>IF(ISBLANK('Data Entry'!$Ö$830), "", 'Data Entry'!$Ö$830)</f>
      </c>
      <c r="EU830">
        <f>IF(ISBLANK('Data Entry'!$×$830), "", 'Data Entry'!$×$830)</f>
      </c>
      <c r="EV830">
        <f>IF(ISBLANK('Data Entry'!$Ø$830), "", 'Data Entry'!$Ø$830)</f>
      </c>
      <c r="EW830">
        <f>IF(ISBLANK('Data Entry'!$Ù$830), "", 'Data Entry'!$Ù$830)</f>
      </c>
      <c r="EX830">
        <f>IF(ISBLANK('Data Entry'!$Ú$830), "", 'Data Entry'!$Ú$830)</f>
      </c>
      <c r="EY830">
        <f>IF(ISBLANK('Data Entry'!$Û$830), "", 'Data Entry'!$Û$830)</f>
      </c>
      <c r="EZ830">
        <f>IF(ISBLANK('Data Entry'!$Ü$830), "", 'Data Entry'!$Ü$830)</f>
      </c>
      <c r="FA830">
        <f>IF(ISBLANK('Data Entry'!$Ý$830), "", 'Data Entry'!$Ý$830)</f>
      </c>
      <c r="FB830">
        <f>IF(ISBLANK('Data Entry'!$Þ$830), "", 'Data Entry'!$Þ$830)</f>
      </c>
      <c r="FC830">
        <f>IF(ISBLANK('Data Entry'!$ß$830), "", 'Data Entry'!$ß$830)</f>
      </c>
      <c r="FD830">
        <f>IF(ISBLANK('Data Entry'!$à$830), "", 'Data Entry'!$à$830)</f>
      </c>
      <c r="FE830">
        <f>IF(ISBLANK('Data Entry'!$á$830), "", 'Data Entry'!$á$830)</f>
      </c>
      <c r="FF830">
        <f>IF(ISBLANK('Data Entry'!$â$830), "", 'Data Entry'!$â$830)</f>
      </c>
      <c r="FG830">
        <f>IF(ISBLANK('Data Entry'!$ã$830), "", 'Data Entry'!$ã$830)</f>
      </c>
      <c r="FH830">
        <f>IF(ISBLANK('Data Entry'!$ä$830), "", 'Data Entry'!$ä$830)</f>
      </c>
      <c r="FI830">
        <f>IF(ISBLANK('Data Entry'!$å$830), "", 'Data Entry'!$å$830)</f>
      </c>
      <c r="FJ830">
        <f>IF(ISBLANK('Data Entry'!$æ$830), "", 'Data Entry'!$æ$830)</f>
      </c>
      <c r="FK830">
        <f>IF(ISBLANK('Data Entry'!$ç$830), "", 'Data Entry'!$ç$830)</f>
      </c>
      <c r="FL830">
        <f>IF(ISBLANK('Data Entry'!$è$830), "", 'Data Entry'!$è$830)</f>
      </c>
      <c r="FM830">
        <f>IF(ISBLANK('Data Entry'!$é$830), "", 'Data Entry'!$é$830)</f>
      </c>
      <c r="FN830">
        <f>IF(ISBLANK('Data Entry'!$ê$830), "", 'Data Entry'!$ê$830)</f>
      </c>
      <c r="FO830">
        <f>IF(ISBLANK('Data Entry'!$ë$830), "", 'Data Entry'!$ë$830)</f>
      </c>
      <c r="FP830">
        <f>IF(ISBLANK('Data Entry'!$ì$830), "", 'Data Entry'!$ì$830)</f>
      </c>
      <c r="FQ830">
        <f>IF(ISBLANK('Data Entry'!$í$830), "", 'Data Entry'!$í$830)</f>
      </c>
      <c r="FR830">
        <f>IF(ISBLANK('Data Entry'!$î$830), "", 'Data Entry'!$î$830)</f>
      </c>
      <c r="FS830">
        <f>IF(ISBLANK('Data Entry'!$ï$830), "", 'Data Entry'!$ï$830)</f>
      </c>
      <c r="FT830">
        <f>IF(ISBLANK('Data Entry'!$ð$830), "", 'Data Entry'!$ð$830)</f>
      </c>
      <c r="FU830">
        <f>IF(ISBLANK('Data Entry'!$ñ$830), "", 'Data Entry'!$ñ$830)</f>
      </c>
      <c r="FV830">
        <f>IF(ISBLANK('Data Entry'!$ò$830), "", 'Data Entry'!$ò$830)</f>
      </c>
      <c r="FW830">
        <f>IF(ISBLANK('Data Entry'!$ó$830), "", 'Data Entry'!$ó$830)</f>
      </c>
      <c r="FX830">
        <f>IF(ISBLANK('Data Entry'!$ô$830), "", 'Data Entry'!$ô$830)</f>
      </c>
      <c r="FY830">
        <f>IF(ISBLANK('Data Entry'!$õ$830), "", 'Data Entry'!$õ$830)</f>
      </c>
      <c r="FZ830">
        <f>IF(ISBLANK('Data Entry'!$ö$830), "", 'Data Entry'!$ö$830)</f>
      </c>
      <c r="GA830">
        <f>IF(ISBLANK('Data Entry'!$÷$830), "", 'Data Entry'!$÷$830)</f>
      </c>
      <c r="GB830">
        <f>IF(ISBLANK('Data Entry'!$ø$830), "", 'Data Entry'!$ø$830)</f>
      </c>
      <c r="GC830">
        <f>IF(ISBLANK('Data Entry'!$ù$830), "", 'Data Entry'!$ù$830)</f>
      </c>
      <c r="GD830">
        <f>IF(ISBLANK('Data Entry'!$ú$830), "", 'Data Entry'!$ú$830)</f>
      </c>
      <c r="GE830">
        <f>IF(ISBLANK('Data Entry'!$û$830), "", 'Data Entry'!$û$830)</f>
      </c>
      <c r="GF830">
        <f>IF(ISBLANK('Data Entry'!$ü$830), "", 'Data Entry'!$ü$830)</f>
      </c>
      <c r="GG830">
        <f>IF(ISBLANK('Data Entry'!$ý$830), "", 'Data Entry'!$ý$830)</f>
      </c>
      <c r="GH830">
        <f>IF(ISBLANK('Data Entry'!$þ$830), "", 'Data Entry'!$þ$830)</f>
      </c>
      <c r="GI830">
        <f>IF(ISBLANK('Data Entry'!$ÿ$830), "", 'Data Entry'!$ÿ$830)</f>
      </c>
      <c r="GJ830">
        <f>IF(ISBLANK('Data Entry'!$Ā$830), "", 'Data Entry'!$Ā$830)</f>
      </c>
      <c r="GK830">
        <f>IF(ISBLANK('Data Entry'!$ā$830), "", 'Data Entry'!$ā$830)</f>
      </c>
      <c r="GL830">
        <f>IF(ISBLANK('Data Entry'!$Ă$830), "", 'Data Entry'!$Ă$830)</f>
      </c>
      <c r="GM830">
        <f>IF(ISBLANK('Data Entry'!$ă$830), "", 'Data Entry'!$ă$830)</f>
      </c>
      <c r="GN830">
        <f>IF(ISBLANK('Data Entry'!$Ą$830), "", 'Data Entry'!$Ą$830)</f>
      </c>
      <c r="GO830">
        <f>IF(ISBLANK('Data Entry'!$ą$830), "", 'Data Entry'!$ą$830)</f>
      </c>
      <c r="GP830">
        <f>IF(ISBLANK('Data Entry'!$Ć$830), "", 'Data Entry'!$Ć$830)</f>
      </c>
      <c r="GQ830">
        <f>IF(ISBLANK('Data Entry'!$ć$830), "", 'Data Entry'!$ć$830)</f>
      </c>
      <c r="GR830">
        <f>IF(ISBLANK('Data Entry'!$Ĉ$830), "", 'Data Entry'!$Ĉ$830)</f>
      </c>
      <c r="GS830">
        <f>IF(ISBLANK('Data Entry'!$ĉ$830), "", 'Data Entry'!$ĉ$830)</f>
      </c>
      <c r="GT830">
        <f>IF(ISBLANK('Data Entry'!$Ċ$830), "", 'Data Entry'!$Ċ$830)</f>
      </c>
      <c r="GU830">
        <f>IF(ISBLANK('Data Entry'!$ċ$830), "", 'Data Entry'!$ċ$830)</f>
      </c>
      <c r="GV830">
        <f>IF(ISBLANK('Data Entry'!$Č$830), "", 'Data Entry'!$Č$830)</f>
      </c>
      <c r="GW830">
        <f>IF(ISBLANK('Data Entry'!$č$830), "", 'Data Entry'!$č$830)</f>
      </c>
      <c r="GX830">
        <f>IF(ISBLANK('Data Entry'!$Ď$830), "", 'Data Entry'!$Ď$830)</f>
      </c>
      <c r="GY830">
        <f>IF(ISBLANK('Data Entry'!$ď$830), "", 'Data Entry'!$ď$830)</f>
      </c>
      <c r="GZ830">
        <f>IF(ISBLANK('Data Entry'!$Đ$830), "", 'Data Entry'!$Đ$830)</f>
      </c>
      <c r="HA830">
        <f>IF(ISBLANK('Data Entry'!$đ$830), "", 'Data Entry'!$đ$830)</f>
      </c>
      <c r="HB830">
        <f>IF(ISBLANK('Data Entry'!$Ē$830), "", 'Data Entry'!$Ē$830)</f>
      </c>
      <c r="HC830">
        <f>IF(ISBLANK('Data Entry'!$ē$830), "", 'Data Entry'!$ē$830)</f>
      </c>
      <c r="HD830">
        <f>IF(ISBLANK('Data Entry'!$Ĕ$830), "", 'Data Entry'!$Ĕ$830)</f>
      </c>
      <c r="HE830">
        <f>IF(ISBLANK('Data Entry'!$ĕ$830), "", 'Data Entry'!$ĕ$830)</f>
      </c>
      <c r="HF830">
        <f>IF(ISBLANK('Data Entry'!$Ė$830), "", 'Data Entry'!$Ė$830)</f>
      </c>
      <c r="HG830">
        <f>IF(ISBLANK('Data Entry'!$ė$830), "", 'Data Entry'!$ė$830)</f>
      </c>
      <c r="HH830">
        <f>IF(ISBLANK('Data Entry'!$Ę$830), "", 'Data Entry'!$Ę$830)</f>
      </c>
      <c r="HI830">
        <f>IF(ISBLANK('Data Entry'!$ę$830), "", 'Data Entry'!$ę$830)</f>
      </c>
      <c r="HJ830">
        <f>IF(ISBLANK('Data Entry'!$Ě$830), "", 'Data Entry'!$Ě$830)</f>
      </c>
      <c r="HK830">
        <f>IF(ISBLANK('Data Entry'!$ě$830), "", 'Data Entry'!$ě$830)</f>
      </c>
      <c r="HL830">
        <f>IF(ISBLANK('Data Entry'!$Ĝ$830), "", 'Data Entry'!$Ĝ$830)</f>
      </c>
      <c r="HM830">
        <f>IF(ISBLANK('Data Entry'!$ĝ$830), "", 'Data Entry'!$ĝ$830)</f>
      </c>
      <c r="HN830">
        <f>IF(ISBLANK('Data Entry'!$Ğ$830), "", 'Data Entry'!$Ğ$830)</f>
      </c>
      <c r="HO830">
        <f>IF(ISBLANK('Data Entry'!$ğ$830), "", 'Data Entry'!$ğ$830)</f>
      </c>
      <c r="HP830">
        <f>IF(ISBLANK('Data Entry'!$Ġ$830), "", 'Data Entry'!$Ġ$830)</f>
      </c>
      <c r="HQ830">
        <f>IF(ISBLANK('Data Entry'!$ġ$830), "", 'Data Entry'!$ġ$830)</f>
      </c>
      <c r="HR830">
        <f>IF(ISBLANK('Data Entry'!$Ģ$830), "", 'Data Entry'!$Ģ$830)</f>
      </c>
      <c r="HS830">
        <f>IF(ISBLANK('Data Entry'!$ģ$830), "", 'Data Entry'!$ģ$830)</f>
      </c>
      <c r="HT830">
        <f>IF(ISBLANK('Data Entry'!$Ĥ$830), "", 'Data Entry'!$Ĥ$830)</f>
      </c>
      <c r="HU830">
        <f>IF(ISBLANK('Data Entry'!$ĥ$830), "", 'Data Entry'!$ĥ$830)</f>
      </c>
      <c r="HV830">
        <f>IF(ISBLANK('Data Entry'!$Ħ$830), "", 'Data Entry'!$Ħ$830)</f>
      </c>
      <c r="HW830">
        <f>IF(ISBLANK('Data Entry'!$ħ$830), "", 'Data Entry'!$ħ$830)</f>
      </c>
      <c r="HX830">
        <f>IF(ISBLANK('Data Entry'!$Ĩ$830), "", 'Data Entry'!$Ĩ$830)</f>
      </c>
      <c r="HY830">
        <f>IF(ISBLANK('Data Entry'!$ĩ$830), "", 'Data Entry'!$ĩ$830)</f>
      </c>
      <c r="HZ830">
        <f>IF(ISBLANK('Data Entry'!$Ī$830), "", 'Data Entry'!$Ī$830)</f>
      </c>
      <c r="IA830">
        <f>IF(ISBLANK('Data Entry'!$ī$830), "", 'Data Entry'!$ī$830)</f>
      </c>
      <c r="IB830">
        <f>IF(ISBLANK('Data Entry'!$Ĭ$830), "", 'Data Entry'!$Ĭ$830)</f>
      </c>
      <c r="IC830">
        <f>IF(ISBLANK('Data Entry'!$ĭ$830), "", 'Data Entry'!$ĭ$830)</f>
      </c>
      <c r="ID830">
        <f>IF(ISBLANK('Data Entry'!$Į$830), "", 'Data Entry'!$Į$830)</f>
      </c>
      <c r="IE830">
        <f>IF(ISBLANK('Data Entry'!$į$830), "", 'Data Entry'!$į$830)</f>
      </c>
      <c r="IF830">
        <f>IF(ISBLANK('Data Entry'!$İ$830), "", 'Data Entry'!$İ$830)</f>
      </c>
      <c r="IG830">
        <f>IF(ISBLANK('Data Entry'!$ı$830), "", 'Data Entry'!$ı$830)</f>
      </c>
      <c r="IH830">
        <f>IF(ISBLANK('Data Entry'!$Ĳ$830), "", 'Data Entry'!$Ĳ$830)</f>
      </c>
      <c r="II830">
        <f>IF(ISBLANK('Data Entry'!$ĳ$830), "", 'Data Entry'!$ĳ$830)</f>
      </c>
      <c r="IJ830">
        <f>IF(ISBLANK('Data Entry'!$Ĵ$830), "", 'Data Entry'!$Ĵ$830)</f>
      </c>
      <c r="IK830">
        <f>IF(ISBLANK('Data Entry'!$ĵ$830), "", 'Data Entry'!$ĵ$830)</f>
      </c>
      <c r="IL830">
        <f>IF(ISBLANK('Data Entry'!$Ķ$830), "", 'Data Entry'!$Ķ$830)</f>
      </c>
      <c r="IM830">
        <f>IF(ISBLANK('Data Entry'!$ķ$830), "", 'Data Entry'!$ķ$830)</f>
      </c>
      <c r="IN830">
        <f>IF(ISBLANK('Data Entry'!$ĸ$830), "", 'Data Entry'!$ĸ$830)</f>
      </c>
      <c r="IO830">
        <f>IF(ISBLANK('Data Entry'!$Ĺ$830), "", 'Data Entry'!$Ĺ$830)</f>
      </c>
      <c r="IP830">
        <f>IF(ISBLANK('Data Entry'!$ĺ$830), "", 'Data Entry'!$ĺ$830)</f>
      </c>
      <c r="IQ830">
        <f>IF(ISBLANK('Data Entry'!$Ļ$830), "", 'Data Entry'!$Ļ$830)</f>
      </c>
      <c r="IR830">
        <f>IF(ISBLANK('Data Entry'!$ļ$830), "", 'Data Entry'!$ļ$830)</f>
      </c>
      <c r="IS830">
        <f>IF(ISBLANK('Data Entry'!$Ľ$830), "", 'Data Entry'!$Ľ$830)</f>
      </c>
      <c r="IT830">
        <f>IF(ISBLANK('Data Entry'!$ľ$830), "", 'Data Entry'!$ľ$830)</f>
      </c>
    </row>
    <row r="831" spans="1:254" x14ac:dyDescent="0.25">
      <c r="A831">
        <f>IF(ISBLANK('Data Entry'!$A$831), "", 'Data Entry'!$A$831)</f>
      </c>
      <c r="B831">
        <f>IF(ISBLANK('Data Entry'!$B$831), "", 'Data Entry'!$B$831)</f>
      </c>
      <c r="C831">
        <f>IF(ISBLANK('Data Entry'!$C$831), "", 'Data Entry'!$C$831)</f>
      </c>
      <c r="D831">
        <f>IF(ISBLANK('Data Entry'!$D$831), "", 'Data Entry'!$D$831)</f>
      </c>
      <c r="E831">
        <f>IF(ISBLANK('Data Entry'!$E$831), "", 'Data Entry'!$E$831)</f>
      </c>
      <c r="F831">
        <f>IF(ISBLANK('Data Entry'!$F$831), "", 'Data Entry'!$F$831)</f>
      </c>
      <c r="G831">
        <f>IF(ISBLANK('Data Entry'!$G$831), "", 'Data Entry'!$G$831)</f>
      </c>
      <c r="H831">
        <f>IF(ISBLANK('Data Entry'!$H$831), "", 'Data Entry'!$H$831)</f>
      </c>
      <c r="I831">
        <f>IF(ISBLANK('Data Entry'!$I$831), "", 'Data Entry'!$I$831)</f>
      </c>
      <c r="J831">
        <f>IF(ISBLANK('Data Entry'!$J$831), "", 'Data Entry'!$J$831)</f>
      </c>
      <c r="K831">
        <f>IF(ISBLANK('Data Entry'!$K$831), "", 'Data Entry'!$K$831)</f>
      </c>
      <c r="L831">
        <f>IF(ISBLANK('Data Entry'!$L$831), "", 'Data Entry'!$L$831)</f>
      </c>
      <c r="M831">
        <f>IF(ISBLANK('Data Entry'!$M$831), "", 'Data Entry'!$M$831)</f>
      </c>
      <c r="N831">
        <f>IF(ISBLANK('Data Entry'!$N$831), "", 'Data Entry'!$N$831)</f>
      </c>
      <c r="O831">
        <f>IF(ISBLANK('Data Entry'!$O$831), "", 'Data Entry'!$O$831)</f>
      </c>
      <c r="P831">
        <f>IF(ISBLANK('Data Entry'!$P$831), "", 'Data Entry'!$P$831)</f>
      </c>
      <c r="Q831">
        <f>IF(ISBLANK('Data Entry'!$Q$831), "", 'Data Entry'!$Q$831)</f>
      </c>
      <c r="R831">
        <f>IF(ISBLANK('Data Entry'!$R$831), "", 'Data Entry'!$R$831)</f>
      </c>
      <c r="S831">
        <f>IF(ISBLANK('Data Entry'!$S$831), "", 'Data Entry'!$S$831)</f>
      </c>
      <c r="T831">
        <f>IF(ISBLANK('Data Entry'!$T$831), "", 'Data Entry'!$T$831)</f>
      </c>
      <c r="U831">
        <f>IF(ISBLANK('Data Entry'!$U$831), "", 'Data Entry'!$U$831)</f>
      </c>
      <c r="V831">
        <f>IF(ISBLANK('Data Entry'!$V$831), "", 'Data Entry'!$V$831)</f>
      </c>
      <c r="W831">
        <f>IF(ISBLANK('Data Entry'!$W$831), "", 'Data Entry'!$W$831)</f>
      </c>
      <c r="X831">
        <f>IF(ISBLANK('Data Entry'!$X$831), "", 'Data Entry'!$X$831)</f>
      </c>
      <c r="Y831">
        <f>IF(ISBLANK('Data Entry'!$Y$831), "", 'Data Entry'!$Y$831)</f>
      </c>
      <c r="Z831">
        <f>IF(ISBLANK('Data Entry'!$Z$831), "", 'Data Entry'!$Z$831)</f>
      </c>
      <c r="AA831">
        <f>IF(ISBLANK('Data Entry'!$[$831), "", 'Data Entry'!$[$831)</f>
      </c>
      <c r="AB831">
        <f>IF(ISBLANK('Data Entry'!$\$831), "", 'Data Entry'!$\$831)</f>
      </c>
      <c r="AC831">
        <f>IF(ISBLANK('Data Entry'!$]$831), "", 'Data Entry'!$]$831)</f>
      </c>
      <c r="AD831">
        <f>IF(ISBLANK('Data Entry'!$^$831), "", 'Data Entry'!$^$831)</f>
      </c>
      <c r="AE831">
        <f>IF(ISBLANK('Data Entry'!$_$831), "", 'Data Entry'!$_$831)</f>
      </c>
      <c r="AF831">
        <f>IF(ISBLANK('Data Entry'!$`$831), "", 'Data Entry'!$`$831)</f>
      </c>
      <c r="AG831">
        <f>IF(ISBLANK('Data Entry'!$a$831), "", 'Data Entry'!$a$831)</f>
      </c>
      <c r="AH831">
        <f>IF(ISBLANK('Data Entry'!$b$831), "", 'Data Entry'!$b$831)</f>
      </c>
      <c r="AI831">
        <f>IF(ISBLANK('Data Entry'!$c$831), "", 'Data Entry'!$c$831)</f>
      </c>
      <c r="AJ831">
        <f>IF(ISBLANK('Data Entry'!$d$831), "", 'Data Entry'!$d$831)</f>
      </c>
      <c r="AK831">
        <f>IF(ISBLANK('Data Entry'!$e$831), "", 'Data Entry'!$e$831)</f>
      </c>
      <c r="AL831">
        <f>IF(ISBLANK('Data Entry'!$f$831), "", 'Data Entry'!$f$831)</f>
      </c>
      <c r="AM831">
        <f>IF(ISBLANK('Data Entry'!$g$831), "", 'Data Entry'!$g$831)</f>
      </c>
      <c r="AN831">
        <f>IF(ISBLANK('Data Entry'!$h$831), "", 'Data Entry'!$h$831)</f>
      </c>
      <c r="AO831">
        <f>IF(ISBLANK('Data Entry'!$i$831), "", 'Data Entry'!$i$831)</f>
      </c>
      <c r="AP831">
        <f>IF(ISBLANK('Data Entry'!$j$831), "", 'Data Entry'!$j$831)</f>
      </c>
      <c r="AQ831">
        <f>IF(ISBLANK('Data Entry'!$k$831), "", 'Data Entry'!$k$831)</f>
      </c>
      <c r="AR831">
        <f>IF(ISBLANK('Data Entry'!$l$831), "", 'Data Entry'!$l$831)</f>
      </c>
      <c r="AS831">
        <f>IF(ISBLANK('Data Entry'!$m$831), "", 'Data Entry'!$m$831)</f>
      </c>
      <c r="AT831">
        <f>IF(ISBLANK('Data Entry'!$n$831), "", 'Data Entry'!$n$831)</f>
      </c>
      <c r="AU831">
        <f>IF(ISBLANK('Data Entry'!$o$831), "", 'Data Entry'!$o$831)</f>
      </c>
      <c r="AV831">
        <f>IF(ISBLANK('Data Entry'!$p$831), "", 'Data Entry'!$p$831)</f>
      </c>
      <c r="AW831">
        <f>IF(ISBLANK('Data Entry'!$q$831), "", 'Data Entry'!$q$831)</f>
      </c>
      <c r="AX831">
        <f>IF(ISBLANK('Data Entry'!$r$831), "", 'Data Entry'!$r$831)</f>
      </c>
      <c r="AY831">
        <f>IF(ISBLANK('Data Entry'!$s$831), "", 'Data Entry'!$s$831)</f>
      </c>
      <c r="AZ831">
        <f>IF(ISBLANK('Data Entry'!$t$831), "", 'Data Entry'!$t$831)</f>
      </c>
      <c r="BA831">
        <f>IF(ISBLANK('Data Entry'!$u$831), "", 'Data Entry'!$u$831)</f>
      </c>
      <c r="BB831">
        <f>IF(ISBLANK('Data Entry'!$v$831), "", 'Data Entry'!$v$831)</f>
      </c>
      <c r="BC831">
        <f>IF(ISBLANK('Data Entry'!$w$831), "", 'Data Entry'!$w$831)</f>
      </c>
      <c r="BD831">
        <f>IF(ISBLANK('Data Entry'!$x$831), "", 'Data Entry'!$x$831)</f>
      </c>
      <c r="BE831">
        <f>IF(ISBLANK('Data Entry'!$y$831), "", 'Data Entry'!$y$831)</f>
      </c>
      <c r="BF831">
        <f>IF(ISBLANK('Data Entry'!$z$831), "", 'Data Entry'!$z$831)</f>
      </c>
      <c r="BG831">
        <f>IF(ISBLANK('Data Entry'!${$831), "", 'Data Entry'!${$831)</f>
      </c>
      <c r="BH831">
        <f>IF(ISBLANK('Data Entry'!$|$831), "", 'Data Entry'!$|$831)</f>
      </c>
      <c r="BI831">
        <f>IF(ISBLANK('Data Entry'!$}$831), "", 'Data Entry'!$}$831)</f>
      </c>
      <c r="BJ831">
        <f>IF(ISBLANK('Data Entry'!$~$831), "", 'Data Entry'!$~$831)</f>
      </c>
      <c r="BK831">
        <f>IF(ISBLANK('Data Entry'!$$831), "", 'Data Entry'!$$831)</f>
      </c>
      <c r="BL831">
        <f>IF(ISBLANK('Data Entry'!$$831), "", 'Data Entry'!$$831)</f>
      </c>
      <c r="BM831">
        <f>IF(ISBLANK('Data Entry'!$$831), "", 'Data Entry'!$$831)</f>
      </c>
      <c r="BN831">
        <f>IF(ISBLANK('Data Entry'!$$831), "", 'Data Entry'!$$831)</f>
      </c>
      <c r="BO831">
        <f>IF(ISBLANK('Data Entry'!$$831), "", 'Data Entry'!$$831)</f>
      </c>
      <c r="BP831">
        <f>IF(ISBLANK('Data Entry'!$$831), "", 'Data Entry'!$$831)</f>
      </c>
      <c r="BQ831">
        <f>IF(ISBLANK('Data Entry'!$$831), "", 'Data Entry'!$$831)</f>
      </c>
      <c r="BR831">
        <f>IF(ISBLANK('Data Entry'!$$831), "", 'Data Entry'!$$831)</f>
      </c>
      <c r="BS831">
        <f>IF(ISBLANK('Data Entry'!$$831), "", 'Data Entry'!$$831)</f>
      </c>
      <c r="BT831">
        <f>IF(ISBLANK('Data Entry'!$$831), "", 'Data Entry'!$$831)</f>
      </c>
      <c r="BU831">
        <f>IF(ISBLANK('Data Entry'!$$831), "", 'Data Entry'!$$831)</f>
      </c>
      <c r="BV831">
        <f>IF(ISBLANK('Data Entry'!$$831), "", 'Data Entry'!$$831)</f>
      </c>
      <c r="BW831">
        <f>IF(ISBLANK('Data Entry'!$$831), "", 'Data Entry'!$$831)</f>
      </c>
      <c r="BX831">
        <f>IF(ISBLANK('Data Entry'!$$831), "", 'Data Entry'!$$831)</f>
      </c>
      <c r="BY831">
        <f>IF(ISBLANK('Data Entry'!$$831), "", 'Data Entry'!$$831)</f>
      </c>
      <c r="BZ831">
        <f>IF(ISBLANK('Data Entry'!$$831), "", 'Data Entry'!$$831)</f>
      </c>
      <c r="CA831">
        <f>IF(ISBLANK('Data Entry'!$$831), "", 'Data Entry'!$$831)</f>
      </c>
      <c r="CB831">
        <f>IF(ISBLANK('Data Entry'!$$831), "", 'Data Entry'!$$831)</f>
      </c>
      <c r="CC831">
        <f>IF(ISBLANK('Data Entry'!$$831), "", 'Data Entry'!$$831)</f>
      </c>
      <c r="CD831">
        <f>IF(ISBLANK('Data Entry'!$$831), "", 'Data Entry'!$$831)</f>
      </c>
      <c r="CE831">
        <f>IF(ISBLANK('Data Entry'!$$831), "", 'Data Entry'!$$831)</f>
      </c>
      <c r="CF831">
        <f>IF(ISBLANK('Data Entry'!$$831), "", 'Data Entry'!$$831)</f>
      </c>
      <c r="CG831">
        <f>IF(ISBLANK('Data Entry'!$$831), "", 'Data Entry'!$$831)</f>
      </c>
      <c r="CH831">
        <f>IF(ISBLANK('Data Entry'!$$831), "", 'Data Entry'!$$831)</f>
      </c>
      <c r="CI831">
        <f>IF(ISBLANK('Data Entry'!$$831), "", 'Data Entry'!$$831)</f>
      </c>
      <c r="CJ831">
        <f>IF(ISBLANK('Data Entry'!$$831), "", 'Data Entry'!$$831)</f>
      </c>
      <c r="CK831">
        <f>IF(ISBLANK('Data Entry'!$$831), "", 'Data Entry'!$$831)</f>
      </c>
      <c r="CL831">
        <f>IF(ISBLANK('Data Entry'!$$831), "", 'Data Entry'!$$831)</f>
      </c>
      <c r="CM831">
        <f>IF(ISBLANK('Data Entry'!$$831), "", 'Data Entry'!$$831)</f>
      </c>
      <c r="CN831">
        <f>IF(ISBLANK('Data Entry'!$$831), "", 'Data Entry'!$$831)</f>
      </c>
      <c r="CO831">
        <f>IF(ISBLANK('Data Entry'!$$831), "", 'Data Entry'!$$831)</f>
      </c>
      <c r="CP831">
        <f>IF(ISBLANK('Data Entry'!$$831), "", 'Data Entry'!$$831)</f>
      </c>
      <c r="CQ831">
        <f>IF(ISBLANK('Data Entry'!$$831), "", 'Data Entry'!$$831)</f>
      </c>
      <c r="CR831">
        <f>IF(ISBLANK('Data Entry'!$ $831), "", 'Data Entry'!$ $831)</f>
      </c>
      <c r="CS831">
        <f>IF(ISBLANK('Data Entry'!$¡$831), "", 'Data Entry'!$¡$831)</f>
      </c>
      <c r="CT831">
        <f>IF(ISBLANK('Data Entry'!$¢$831), "", 'Data Entry'!$¢$831)</f>
      </c>
      <c r="CU831">
        <f>IF(ISBLANK('Data Entry'!$£$831), "", 'Data Entry'!$£$831)</f>
      </c>
      <c r="CV831">
        <f>IF(ISBLANK('Data Entry'!$¤$831), "", 'Data Entry'!$¤$831)</f>
      </c>
      <c r="CW831">
        <f>IF(ISBLANK('Data Entry'!$¥$831), "", 'Data Entry'!$¥$831)</f>
      </c>
      <c r="CX831">
        <f>IF(ISBLANK('Data Entry'!$¦$831), "", 'Data Entry'!$¦$831)</f>
      </c>
      <c r="CY831">
        <f>IF(ISBLANK('Data Entry'!$§$831), "", 'Data Entry'!$§$831)</f>
      </c>
      <c r="CZ831">
        <f>IF(ISBLANK('Data Entry'!$¨$831), "", 'Data Entry'!$¨$831)</f>
      </c>
      <c r="DA831">
        <f>IF(ISBLANK('Data Entry'!$©$831), "", 'Data Entry'!$©$831)</f>
      </c>
      <c r="DB831">
        <f>IF(ISBLANK('Data Entry'!$ª$831), "", 'Data Entry'!$ª$831)</f>
      </c>
      <c r="DC831">
        <f>IF(ISBLANK('Data Entry'!$«$831), "", 'Data Entry'!$«$831)</f>
      </c>
      <c r="DD831">
        <f>IF(ISBLANK('Data Entry'!$¬$831), "", 'Data Entry'!$¬$831)</f>
      </c>
      <c r="DE831">
        <f>IF(ISBLANK('Data Entry'!$­$831), "", 'Data Entry'!$­$831)</f>
      </c>
      <c r="DF831">
        <f>IF(ISBLANK('Data Entry'!$®$831), "", 'Data Entry'!$®$831)</f>
      </c>
      <c r="DG831">
        <f>IF(ISBLANK('Data Entry'!$¯$831), "", 'Data Entry'!$¯$831)</f>
      </c>
      <c r="DH831">
        <f>IF(ISBLANK('Data Entry'!$°$831), "", 'Data Entry'!$°$831)</f>
      </c>
      <c r="DI831">
        <f>IF(ISBLANK('Data Entry'!$±$831), "", 'Data Entry'!$±$831)</f>
      </c>
      <c r="DJ831">
        <f>IF(ISBLANK('Data Entry'!$²$831), "", 'Data Entry'!$²$831)</f>
      </c>
      <c r="DK831">
        <f>IF(ISBLANK('Data Entry'!$³$831), "", 'Data Entry'!$³$831)</f>
      </c>
      <c r="DL831">
        <f>IF(ISBLANK('Data Entry'!$´$831), "", 'Data Entry'!$´$831)</f>
      </c>
      <c r="DM831">
        <f>IF(ISBLANK('Data Entry'!$µ$831), "", 'Data Entry'!$µ$831)</f>
      </c>
      <c r="DN831">
        <f>IF(ISBLANK('Data Entry'!$¶$831), "", 'Data Entry'!$¶$831)</f>
      </c>
      <c r="DO831">
        <f>IF(ISBLANK('Data Entry'!$·$831), "", 'Data Entry'!$·$831)</f>
      </c>
      <c r="DP831">
        <f>IF(ISBLANK('Data Entry'!$¸$831), "", 'Data Entry'!$¸$831)</f>
      </c>
      <c r="DQ831">
        <f>IF(ISBLANK('Data Entry'!$¹$831), "", 'Data Entry'!$¹$831)</f>
      </c>
      <c r="DR831">
        <f>IF(ISBLANK('Data Entry'!$º$831), "", 'Data Entry'!$º$831)</f>
      </c>
      <c r="DS831">
        <f>IF(ISBLANK('Data Entry'!$»$831), "", 'Data Entry'!$»$831)</f>
      </c>
      <c r="DT831">
        <f>IF(ISBLANK('Data Entry'!$¼$831), "", 'Data Entry'!$¼$831)</f>
      </c>
      <c r="DU831">
        <f>IF(ISBLANK('Data Entry'!$½$831), "", 'Data Entry'!$½$831)</f>
      </c>
      <c r="DV831">
        <f>IF(ISBLANK('Data Entry'!$¾$831), "", 'Data Entry'!$¾$831)</f>
      </c>
      <c r="DW831">
        <f>IF(ISBLANK('Data Entry'!$¿$831), "", 'Data Entry'!$¿$831)</f>
      </c>
      <c r="DX831">
        <f>IF(ISBLANK('Data Entry'!$À$831), "", 'Data Entry'!$À$831)</f>
      </c>
      <c r="DY831">
        <f>IF(ISBLANK('Data Entry'!$Á$831), "", 'Data Entry'!$Á$831)</f>
      </c>
      <c r="DZ831">
        <f>IF(ISBLANK('Data Entry'!$Â$831), "", 'Data Entry'!$Â$831)</f>
      </c>
      <c r="EA831">
        <f>IF(ISBLANK('Data Entry'!$Ã$831), "", 'Data Entry'!$Ã$831)</f>
      </c>
      <c r="EB831">
        <f>IF(ISBLANK('Data Entry'!$Ä$831), "", 'Data Entry'!$Ä$831)</f>
      </c>
      <c r="EC831">
        <f>IF(ISBLANK('Data Entry'!$Å$831), "", 'Data Entry'!$Å$831)</f>
      </c>
      <c r="ED831">
        <f>IF(ISBLANK('Data Entry'!$Æ$831), "", 'Data Entry'!$Æ$831)</f>
      </c>
      <c r="EE831">
        <f>IF(ISBLANK('Data Entry'!$Ç$831), "", 'Data Entry'!$Ç$831)</f>
      </c>
      <c r="EF831">
        <f>IF(ISBLANK('Data Entry'!$È$831), "", 'Data Entry'!$È$831)</f>
      </c>
      <c r="EG831">
        <f>IF(ISBLANK('Data Entry'!$É$831), "", 'Data Entry'!$É$831)</f>
      </c>
      <c r="EH831">
        <f>IF(ISBLANK('Data Entry'!$Ê$831), "", 'Data Entry'!$Ê$831)</f>
      </c>
      <c r="EI831">
        <f>IF(ISBLANK('Data Entry'!$Ë$831), "", 'Data Entry'!$Ë$831)</f>
      </c>
      <c r="EJ831">
        <f>IF(ISBLANK('Data Entry'!$Ì$831), "", 'Data Entry'!$Ì$831)</f>
      </c>
      <c r="EK831">
        <f>IF(ISBLANK('Data Entry'!$Í$831), "", 'Data Entry'!$Í$831)</f>
      </c>
      <c r="EL831">
        <f>IF(ISBLANK('Data Entry'!$Î$831), "", 'Data Entry'!$Î$831)</f>
      </c>
      <c r="EM831">
        <f>IF(ISBLANK('Data Entry'!$Ï$831), "", 'Data Entry'!$Ï$831)</f>
      </c>
      <c r="EN831">
        <f>IF(ISBLANK('Data Entry'!$Ð$831), "", 'Data Entry'!$Ð$831)</f>
      </c>
      <c r="EO831">
        <f>IF(ISBLANK('Data Entry'!$Ñ$831), "", 'Data Entry'!$Ñ$831)</f>
      </c>
      <c r="EP831">
        <f>IF(ISBLANK('Data Entry'!$Ò$831), "", 'Data Entry'!$Ò$831)</f>
      </c>
      <c r="EQ831">
        <f>IF(ISBLANK('Data Entry'!$Ó$831), "", 'Data Entry'!$Ó$831)</f>
      </c>
      <c r="ER831">
        <f>IF(ISBLANK('Data Entry'!$Ô$831), "", 'Data Entry'!$Ô$831)</f>
      </c>
      <c r="ES831">
        <f>IF(ISBLANK('Data Entry'!$Õ$831), "", 'Data Entry'!$Õ$831)</f>
      </c>
      <c r="ET831">
        <f>IF(ISBLANK('Data Entry'!$Ö$831), "", 'Data Entry'!$Ö$831)</f>
      </c>
      <c r="EU831">
        <f>IF(ISBLANK('Data Entry'!$×$831), "", 'Data Entry'!$×$831)</f>
      </c>
      <c r="EV831">
        <f>IF(ISBLANK('Data Entry'!$Ø$831), "", 'Data Entry'!$Ø$831)</f>
      </c>
      <c r="EW831">
        <f>IF(ISBLANK('Data Entry'!$Ù$831), "", 'Data Entry'!$Ù$831)</f>
      </c>
      <c r="EX831">
        <f>IF(ISBLANK('Data Entry'!$Ú$831), "", 'Data Entry'!$Ú$831)</f>
      </c>
      <c r="EY831">
        <f>IF(ISBLANK('Data Entry'!$Û$831), "", 'Data Entry'!$Û$831)</f>
      </c>
      <c r="EZ831">
        <f>IF(ISBLANK('Data Entry'!$Ü$831), "", 'Data Entry'!$Ü$831)</f>
      </c>
      <c r="FA831">
        <f>IF(ISBLANK('Data Entry'!$Ý$831), "", 'Data Entry'!$Ý$831)</f>
      </c>
      <c r="FB831">
        <f>IF(ISBLANK('Data Entry'!$Þ$831), "", 'Data Entry'!$Þ$831)</f>
      </c>
      <c r="FC831">
        <f>IF(ISBLANK('Data Entry'!$ß$831), "", 'Data Entry'!$ß$831)</f>
      </c>
      <c r="FD831">
        <f>IF(ISBLANK('Data Entry'!$à$831), "", 'Data Entry'!$à$831)</f>
      </c>
      <c r="FE831">
        <f>IF(ISBLANK('Data Entry'!$á$831), "", 'Data Entry'!$á$831)</f>
      </c>
      <c r="FF831">
        <f>IF(ISBLANK('Data Entry'!$â$831), "", 'Data Entry'!$â$831)</f>
      </c>
      <c r="FG831">
        <f>IF(ISBLANK('Data Entry'!$ã$831), "", 'Data Entry'!$ã$831)</f>
      </c>
      <c r="FH831">
        <f>IF(ISBLANK('Data Entry'!$ä$831), "", 'Data Entry'!$ä$831)</f>
      </c>
      <c r="FI831">
        <f>IF(ISBLANK('Data Entry'!$å$831), "", 'Data Entry'!$å$831)</f>
      </c>
      <c r="FJ831">
        <f>IF(ISBLANK('Data Entry'!$æ$831), "", 'Data Entry'!$æ$831)</f>
      </c>
      <c r="FK831">
        <f>IF(ISBLANK('Data Entry'!$ç$831), "", 'Data Entry'!$ç$831)</f>
      </c>
      <c r="FL831">
        <f>IF(ISBLANK('Data Entry'!$è$831), "", 'Data Entry'!$è$831)</f>
      </c>
      <c r="FM831">
        <f>IF(ISBLANK('Data Entry'!$é$831), "", 'Data Entry'!$é$831)</f>
      </c>
      <c r="FN831">
        <f>IF(ISBLANK('Data Entry'!$ê$831), "", 'Data Entry'!$ê$831)</f>
      </c>
      <c r="FO831">
        <f>IF(ISBLANK('Data Entry'!$ë$831), "", 'Data Entry'!$ë$831)</f>
      </c>
      <c r="FP831">
        <f>IF(ISBLANK('Data Entry'!$ì$831), "", 'Data Entry'!$ì$831)</f>
      </c>
      <c r="FQ831">
        <f>IF(ISBLANK('Data Entry'!$í$831), "", 'Data Entry'!$í$831)</f>
      </c>
      <c r="FR831">
        <f>IF(ISBLANK('Data Entry'!$î$831), "", 'Data Entry'!$î$831)</f>
      </c>
      <c r="FS831">
        <f>IF(ISBLANK('Data Entry'!$ï$831), "", 'Data Entry'!$ï$831)</f>
      </c>
      <c r="FT831">
        <f>IF(ISBLANK('Data Entry'!$ð$831), "", 'Data Entry'!$ð$831)</f>
      </c>
      <c r="FU831">
        <f>IF(ISBLANK('Data Entry'!$ñ$831), "", 'Data Entry'!$ñ$831)</f>
      </c>
      <c r="FV831">
        <f>IF(ISBLANK('Data Entry'!$ò$831), "", 'Data Entry'!$ò$831)</f>
      </c>
      <c r="FW831">
        <f>IF(ISBLANK('Data Entry'!$ó$831), "", 'Data Entry'!$ó$831)</f>
      </c>
      <c r="FX831">
        <f>IF(ISBLANK('Data Entry'!$ô$831), "", 'Data Entry'!$ô$831)</f>
      </c>
      <c r="FY831">
        <f>IF(ISBLANK('Data Entry'!$õ$831), "", 'Data Entry'!$õ$831)</f>
      </c>
      <c r="FZ831">
        <f>IF(ISBLANK('Data Entry'!$ö$831), "", 'Data Entry'!$ö$831)</f>
      </c>
      <c r="GA831">
        <f>IF(ISBLANK('Data Entry'!$÷$831), "", 'Data Entry'!$÷$831)</f>
      </c>
      <c r="GB831">
        <f>IF(ISBLANK('Data Entry'!$ø$831), "", 'Data Entry'!$ø$831)</f>
      </c>
      <c r="GC831">
        <f>IF(ISBLANK('Data Entry'!$ù$831), "", 'Data Entry'!$ù$831)</f>
      </c>
      <c r="GD831">
        <f>IF(ISBLANK('Data Entry'!$ú$831), "", 'Data Entry'!$ú$831)</f>
      </c>
      <c r="GE831">
        <f>IF(ISBLANK('Data Entry'!$û$831), "", 'Data Entry'!$û$831)</f>
      </c>
      <c r="GF831">
        <f>IF(ISBLANK('Data Entry'!$ü$831), "", 'Data Entry'!$ü$831)</f>
      </c>
      <c r="GG831">
        <f>IF(ISBLANK('Data Entry'!$ý$831), "", 'Data Entry'!$ý$831)</f>
      </c>
      <c r="GH831">
        <f>IF(ISBLANK('Data Entry'!$þ$831), "", 'Data Entry'!$þ$831)</f>
      </c>
      <c r="GI831">
        <f>IF(ISBLANK('Data Entry'!$ÿ$831), "", 'Data Entry'!$ÿ$831)</f>
      </c>
      <c r="GJ831">
        <f>IF(ISBLANK('Data Entry'!$Ā$831), "", 'Data Entry'!$Ā$831)</f>
      </c>
      <c r="GK831">
        <f>IF(ISBLANK('Data Entry'!$ā$831), "", 'Data Entry'!$ā$831)</f>
      </c>
      <c r="GL831">
        <f>IF(ISBLANK('Data Entry'!$Ă$831), "", 'Data Entry'!$Ă$831)</f>
      </c>
      <c r="GM831">
        <f>IF(ISBLANK('Data Entry'!$ă$831), "", 'Data Entry'!$ă$831)</f>
      </c>
      <c r="GN831">
        <f>IF(ISBLANK('Data Entry'!$Ą$831), "", 'Data Entry'!$Ą$831)</f>
      </c>
      <c r="GO831">
        <f>IF(ISBLANK('Data Entry'!$ą$831), "", 'Data Entry'!$ą$831)</f>
      </c>
      <c r="GP831">
        <f>IF(ISBLANK('Data Entry'!$Ć$831), "", 'Data Entry'!$Ć$831)</f>
      </c>
      <c r="GQ831">
        <f>IF(ISBLANK('Data Entry'!$ć$831), "", 'Data Entry'!$ć$831)</f>
      </c>
      <c r="GR831">
        <f>IF(ISBLANK('Data Entry'!$Ĉ$831), "", 'Data Entry'!$Ĉ$831)</f>
      </c>
      <c r="GS831">
        <f>IF(ISBLANK('Data Entry'!$ĉ$831), "", 'Data Entry'!$ĉ$831)</f>
      </c>
      <c r="GT831">
        <f>IF(ISBLANK('Data Entry'!$Ċ$831), "", 'Data Entry'!$Ċ$831)</f>
      </c>
      <c r="GU831">
        <f>IF(ISBLANK('Data Entry'!$ċ$831), "", 'Data Entry'!$ċ$831)</f>
      </c>
      <c r="GV831">
        <f>IF(ISBLANK('Data Entry'!$Č$831), "", 'Data Entry'!$Č$831)</f>
      </c>
      <c r="GW831">
        <f>IF(ISBLANK('Data Entry'!$č$831), "", 'Data Entry'!$č$831)</f>
      </c>
      <c r="GX831">
        <f>IF(ISBLANK('Data Entry'!$Ď$831), "", 'Data Entry'!$Ď$831)</f>
      </c>
      <c r="GY831">
        <f>IF(ISBLANK('Data Entry'!$ď$831), "", 'Data Entry'!$ď$831)</f>
      </c>
      <c r="GZ831">
        <f>IF(ISBLANK('Data Entry'!$Đ$831), "", 'Data Entry'!$Đ$831)</f>
      </c>
      <c r="HA831">
        <f>IF(ISBLANK('Data Entry'!$đ$831), "", 'Data Entry'!$đ$831)</f>
      </c>
      <c r="HB831">
        <f>IF(ISBLANK('Data Entry'!$Ē$831), "", 'Data Entry'!$Ē$831)</f>
      </c>
      <c r="HC831">
        <f>IF(ISBLANK('Data Entry'!$ē$831), "", 'Data Entry'!$ē$831)</f>
      </c>
      <c r="HD831">
        <f>IF(ISBLANK('Data Entry'!$Ĕ$831), "", 'Data Entry'!$Ĕ$831)</f>
      </c>
      <c r="HE831">
        <f>IF(ISBLANK('Data Entry'!$ĕ$831), "", 'Data Entry'!$ĕ$831)</f>
      </c>
      <c r="HF831">
        <f>IF(ISBLANK('Data Entry'!$Ė$831), "", 'Data Entry'!$Ė$831)</f>
      </c>
      <c r="HG831">
        <f>IF(ISBLANK('Data Entry'!$ė$831), "", 'Data Entry'!$ė$831)</f>
      </c>
      <c r="HH831">
        <f>IF(ISBLANK('Data Entry'!$Ę$831), "", 'Data Entry'!$Ę$831)</f>
      </c>
      <c r="HI831">
        <f>IF(ISBLANK('Data Entry'!$ę$831), "", 'Data Entry'!$ę$831)</f>
      </c>
      <c r="HJ831">
        <f>IF(ISBLANK('Data Entry'!$Ě$831), "", 'Data Entry'!$Ě$831)</f>
      </c>
      <c r="HK831">
        <f>IF(ISBLANK('Data Entry'!$ě$831), "", 'Data Entry'!$ě$831)</f>
      </c>
      <c r="HL831">
        <f>IF(ISBLANK('Data Entry'!$Ĝ$831), "", 'Data Entry'!$Ĝ$831)</f>
      </c>
      <c r="HM831">
        <f>IF(ISBLANK('Data Entry'!$ĝ$831), "", 'Data Entry'!$ĝ$831)</f>
      </c>
      <c r="HN831">
        <f>IF(ISBLANK('Data Entry'!$Ğ$831), "", 'Data Entry'!$Ğ$831)</f>
      </c>
      <c r="HO831">
        <f>IF(ISBLANK('Data Entry'!$ğ$831), "", 'Data Entry'!$ğ$831)</f>
      </c>
      <c r="HP831">
        <f>IF(ISBLANK('Data Entry'!$Ġ$831), "", 'Data Entry'!$Ġ$831)</f>
      </c>
      <c r="HQ831">
        <f>IF(ISBLANK('Data Entry'!$ġ$831), "", 'Data Entry'!$ġ$831)</f>
      </c>
      <c r="HR831">
        <f>IF(ISBLANK('Data Entry'!$Ģ$831), "", 'Data Entry'!$Ģ$831)</f>
      </c>
      <c r="HS831">
        <f>IF(ISBLANK('Data Entry'!$ģ$831), "", 'Data Entry'!$ģ$831)</f>
      </c>
      <c r="HT831">
        <f>IF(ISBLANK('Data Entry'!$Ĥ$831), "", 'Data Entry'!$Ĥ$831)</f>
      </c>
      <c r="HU831">
        <f>IF(ISBLANK('Data Entry'!$ĥ$831), "", 'Data Entry'!$ĥ$831)</f>
      </c>
      <c r="HV831">
        <f>IF(ISBLANK('Data Entry'!$Ħ$831), "", 'Data Entry'!$Ħ$831)</f>
      </c>
      <c r="HW831">
        <f>IF(ISBLANK('Data Entry'!$ħ$831), "", 'Data Entry'!$ħ$831)</f>
      </c>
      <c r="HX831">
        <f>IF(ISBLANK('Data Entry'!$Ĩ$831), "", 'Data Entry'!$Ĩ$831)</f>
      </c>
      <c r="HY831">
        <f>IF(ISBLANK('Data Entry'!$ĩ$831), "", 'Data Entry'!$ĩ$831)</f>
      </c>
      <c r="HZ831">
        <f>IF(ISBLANK('Data Entry'!$Ī$831), "", 'Data Entry'!$Ī$831)</f>
      </c>
      <c r="IA831">
        <f>IF(ISBLANK('Data Entry'!$ī$831), "", 'Data Entry'!$ī$831)</f>
      </c>
      <c r="IB831">
        <f>IF(ISBLANK('Data Entry'!$Ĭ$831), "", 'Data Entry'!$Ĭ$831)</f>
      </c>
      <c r="IC831">
        <f>IF(ISBLANK('Data Entry'!$ĭ$831), "", 'Data Entry'!$ĭ$831)</f>
      </c>
      <c r="ID831">
        <f>IF(ISBLANK('Data Entry'!$Į$831), "", 'Data Entry'!$Į$831)</f>
      </c>
      <c r="IE831">
        <f>IF(ISBLANK('Data Entry'!$į$831), "", 'Data Entry'!$į$831)</f>
      </c>
      <c r="IF831">
        <f>IF(ISBLANK('Data Entry'!$İ$831), "", 'Data Entry'!$İ$831)</f>
      </c>
      <c r="IG831">
        <f>IF(ISBLANK('Data Entry'!$ı$831), "", 'Data Entry'!$ı$831)</f>
      </c>
      <c r="IH831">
        <f>IF(ISBLANK('Data Entry'!$Ĳ$831), "", 'Data Entry'!$Ĳ$831)</f>
      </c>
      <c r="II831">
        <f>IF(ISBLANK('Data Entry'!$ĳ$831), "", 'Data Entry'!$ĳ$831)</f>
      </c>
      <c r="IJ831">
        <f>IF(ISBLANK('Data Entry'!$Ĵ$831), "", 'Data Entry'!$Ĵ$831)</f>
      </c>
      <c r="IK831">
        <f>IF(ISBLANK('Data Entry'!$ĵ$831), "", 'Data Entry'!$ĵ$831)</f>
      </c>
      <c r="IL831">
        <f>IF(ISBLANK('Data Entry'!$Ķ$831), "", 'Data Entry'!$Ķ$831)</f>
      </c>
      <c r="IM831">
        <f>IF(ISBLANK('Data Entry'!$ķ$831), "", 'Data Entry'!$ķ$831)</f>
      </c>
      <c r="IN831">
        <f>IF(ISBLANK('Data Entry'!$ĸ$831), "", 'Data Entry'!$ĸ$831)</f>
      </c>
      <c r="IO831">
        <f>IF(ISBLANK('Data Entry'!$Ĺ$831), "", 'Data Entry'!$Ĺ$831)</f>
      </c>
      <c r="IP831">
        <f>IF(ISBLANK('Data Entry'!$ĺ$831), "", 'Data Entry'!$ĺ$831)</f>
      </c>
      <c r="IQ831">
        <f>IF(ISBLANK('Data Entry'!$Ļ$831), "", 'Data Entry'!$Ļ$831)</f>
      </c>
      <c r="IR831">
        <f>IF(ISBLANK('Data Entry'!$ļ$831), "", 'Data Entry'!$ļ$831)</f>
      </c>
      <c r="IS831">
        <f>IF(ISBLANK('Data Entry'!$Ľ$831), "", 'Data Entry'!$Ľ$831)</f>
      </c>
      <c r="IT831">
        <f>IF(ISBLANK('Data Entry'!$ľ$831), "", 'Data Entry'!$ľ$831)</f>
      </c>
    </row>
    <row r="832" spans="1:254" x14ac:dyDescent="0.25">
      <c r="A832">
        <f>IF(ISBLANK('Data Entry'!$A$832), "", 'Data Entry'!$A$832)</f>
      </c>
      <c r="B832">
        <f>IF(ISBLANK('Data Entry'!$B$832), "", 'Data Entry'!$B$832)</f>
      </c>
      <c r="C832">
        <f>IF(ISBLANK('Data Entry'!$C$832), "", 'Data Entry'!$C$832)</f>
      </c>
      <c r="D832">
        <f>IF(ISBLANK('Data Entry'!$D$832), "", 'Data Entry'!$D$832)</f>
      </c>
      <c r="E832">
        <f>IF(ISBLANK('Data Entry'!$E$832), "", 'Data Entry'!$E$832)</f>
      </c>
      <c r="F832">
        <f>IF(ISBLANK('Data Entry'!$F$832), "", 'Data Entry'!$F$832)</f>
      </c>
      <c r="G832">
        <f>IF(ISBLANK('Data Entry'!$G$832), "", 'Data Entry'!$G$832)</f>
      </c>
      <c r="H832">
        <f>IF(ISBLANK('Data Entry'!$H$832), "", 'Data Entry'!$H$832)</f>
      </c>
      <c r="I832">
        <f>IF(ISBLANK('Data Entry'!$I$832), "", 'Data Entry'!$I$832)</f>
      </c>
      <c r="J832">
        <f>IF(ISBLANK('Data Entry'!$J$832), "", 'Data Entry'!$J$832)</f>
      </c>
      <c r="K832">
        <f>IF(ISBLANK('Data Entry'!$K$832), "", 'Data Entry'!$K$832)</f>
      </c>
      <c r="L832">
        <f>IF(ISBLANK('Data Entry'!$L$832), "", 'Data Entry'!$L$832)</f>
      </c>
      <c r="M832">
        <f>IF(ISBLANK('Data Entry'!$M$832), "", 'Data Entry'!$M$832)</f>
      </c>
      <c r="N832">
        <f>IF(ISBLANK('Data Entry'!$N$832), "", 'Data Entry'!$N$832)</f>
      </c>
      <c r="O832">
        <f>IF(ISBLANK('Data Entry'!$O$832), "", 'Data Entry'!$O$832)</f>
      </c>
      <c r="P832">
        <f>IF(ISBLANK('Data Entry'!$P$832), "", 'Data Entry'!$P$832)</f>
      </c>
      <c r="Q832">
        <f>IF(ISBLANK('Data Entry'!$Q$832), "", 'Data Entry'!$Q$832)</f>
      </c>
      <c r="R832">
        <f>IF(ISBLANK('Data Entry'!$R$832), "", 'Data Entry'!$R$832)</f>
      </c>
      <c r="S832">
        <f>IF(ISBLANK('Data Entry'!$S$832), "", 'Data Entry'!$S$832)</f>
      </c>
      <c r="T832">
        <f>IF(ISBLANK('Data Entry'!$T$832), "", 'Data Entry'!$T$832)</f>
      </c>
      <c r="U832">
        <f>IF(ISBLANK('Data Entry'!$U$832), "", 'Data Entry'!$U$832)</f>
      </c>
      <c r="V832">
        <f>IF(ISBLANK('Data Entry'!$V$832), "", 'Data Entry'!$V$832)</f>
      </c>
      <c r="W832">
        <f>IF(ISBLANK('Data Entry'!$W$832), "", 'Data Entry'!$W$832)</f>
      </c>
      <c r="X832">
        <f>IF(ISBLANK('Data Entry'!$X$832), "", 'Data Entry'!$X$832)</f>
      </c>
      <c r="Y832">
        <f>IF(ISBLANK('Data Entry'!$Y$832), "", 'Data Entry'!$Y$832)</f>
      </c>
      <c r="Z832">
        <f>IF(ISBLANK('Data Entry'!$Z$832), "", 'Data Entry'!$Z$832)</f>
      </c>
      <c r="AA832">
        <f>IF(ISBLANK('Data Entry'!$[$832), "", 'Data Entry'!$[$832)</f>
      </c>
      <c r="AB832">
        <f>IF(ISBLANK('Data Entry'!$\$832), "", 'Data Entry'!$\$832)</f>
      </c>
      <c r="AC832">
        <f>IF(ISBLANK('Data Entry'!$]$832), "", 'Data Entry'!$]$832)</f>
      </c>
      <c r="AD832">
        <f>IF(ISBLANK('Data Entry'!$^$832), "", 'Data Entry'!$^$832)</f>
      </c>
      <c r="AE832">
        <f>IF(ISBLANK('Data Entry'!$_$832), "", 'Data Entry'!$_$832)</f>
      </c>
      <c r="AF832">
        <f>IF(ISBLANK('Data Entry'!$`$832), "", 'Data Entry'!$`$832)</f>
      </c>
      <c r="AG832">
        <f>IF(ISBLANK('Data Entry'!$a$832), "", 'Data Entry'!$a$832)</f>
      </c>
      <c r="AH832">
        <f>IF(ISBLANK('Data Entry'!$b$832), "", 'Data Entry'!$b$832)</f>
      </c>
      <c r="AI832">
        <f>IF(ISBLANK('Data Entry'!$c$832), "", 'Data Entry'!$c$832)</f>
      </c>
      <c r="AJ832">
        <f>IF(ISBLANK('Data Entry'!$d$832), "", 'Data Entry'!$d$832)</f>
      </c>
      <c r="AK832">
        <f>IF(ISBLANK('Data Entry'!$e$832), "", 'Data Entry'!$e$832)</f>
      </c>
      <c r="AL832">
        <f>IF(ISBLANK('Data Entry'!$f$832), "", 'Data Entry'!$f$832)</f>
      </c>
      <c r="AM832">
        <f>IF(ISBLANK('Data Entry'!$g$832), "", 'Data Entry'!$g$832)</f>
      </c>
      <c r="AN832">
        <f>IF(ISBLANK('Data Entry'!$h$832), "", 'Data Entry'!$h$832)</f>
      </c>
      <c r="AO832">
        <f>IF(ISBLANK('Data Entry'!$i$832), "", 'Data Entry'!$i$832)</f>
      </c>
      <c r="AP832">
        <f>IF(ISBLANK('Data Entry'!$j$832), "", 'Data Entry'!$j$832)</f>
      </c>
      <c r="AQ832">
        <f>IF(ISBLANK('Data Entry'!$k$832), "", 'Data Entry'!$k$832)</f>
      </c>
      <c r="AR832">
        <f>IF(ISBLANK('Data Entry'!$l$832), "", 'Data Entry'!$l$832)</f>
      </c>
      <c r="AS832">
        <f>IF(ISBLANK('Data Entry'!$m$832), "", 'Data Entry'!$m$832)</f>
      </c>
      <c r="AT832">
        <f>IF(ISBLANK('Data Entry'!$n$832), "", 'Data Entry'!$n$832)</f>
      </c>
      <c r="AU832">
        <f>IF(ISBLANK('Data Entry'!$o$832), "", 'Data Entry'!$o$832)</f>
      </c>
      <c r="AV832">
        <f>IF(ISBLANK('Data Entry'!$p$832), "", 'Data Entry'!$p$832)</f>
      </c>
      <c r="AW832">
        <f>IF(ISBLANK('Data Entry'!$q$832), "", 'Data Entry'!$q$832)</f>
      </c>
      <c r="AX832">
        <f>IF(ISBLANK('Data Entry'!$r$832), "", 'Data Entry'!$r$832)</f>
      </c>
      <c r="AY832">
        <f>IF(ISBLANK('Data Entry'!$s$832), "", 'Data Entry'!$s$832)</f>
      </c>
      <c r="AZ832">
        <f>IF(ISBLANK('Data Entry'!$t$832), "", 'Data Entry'!$t$832)</f>
      </c>
      <c r="BA832">
        <f>IF(ISBLANK('Data Entry'!$u$832), "", 'Data Entry'!$u$832)</f>
      </c>
      <c r="BB832">
        <f>IF(ISBLANK('Data Entry'!$v$832), "", 'Data Entry'!$v$832)</f>
      </c>
      <c r="BC832">
        <f>IF(ISBLANK('Data Entry'!$w$832), "", 'Data Entry'!$w$832)</f>
      </c>
      <c r="BD832">
        <f>IF(ISBLANK('Data Entry'!$x$832), "", 'Data Entry'!$x$832)</f>
      </c>
      <c r="BE832">
        <f>IF(ISBLANK('Data Entry'!$y$832), "", 'Data Entry'!$y$832)</f>
      </c>
      <c r="BF832">
        <f>IF(ISBLANK('Data Entry'!$z$832), "", 'Data Entry'!$z$832)</f>
      </c>
      <c r="BG832">
        <f>IF(ISBLANK('Data Entry'!${$832), "", 'Data Entry'!${$832)</f>
      </c>
      <c r="BH832">
        <f>IF(ISBLANK('Data Entry'!$|$832), "", 'Data Entry'!$|$832)</f>
      </c>
      <c r="BI832">
        <f>IF(ISBLANK('Data Entry'!$}$832), "", 'Data Entry'!$}$832)</f>
      </c>
      <c r="BJ832">
        <f>IF(ISBLANK('Data Entry'!$~$832), "", 'Data Entry'!$~$832)</f>
      </c>
      <c r="BK832">
        <f>IF(ISBLANK('Data Entry'!$$832), "", 'Data Entry'!$$832)</f>
      </c>
      <c r="BL832">
        <f>IF(ISBLANK('Data Entry'!$$832), "", 'Data Entry'!$$832)</f>
      </c>
      <c r="BM832">
        <f>IF(ISBLANK('Data Entry'!$$832), "", 'Data Entry'!$$832)</f>
      </c>
      <c r="BN832">
        <f>IF(ISBLANK('Data Entry'!$$832), "", 'Data Entry'!$$832)</f>
      </c>
      <c r="BO832">
        <f>IF(ISBLANK('Data Entry'!$$832), "", 'Data Entry'!$$832)</f>
      </c>
      <c r="BP832">
        <f>IF(ISBLANK('Data Entry'!$$832), "", 'Data Entry'!$$832)</f>
      </c>
      <c r="BQ832">
        <f>IF(ISBLANK('Data Entry'!$$832), "", 'Data Entry'!$$832)</f>
      </c>
      <c r="BR832">
        <f>IF(ISBLANK('Data Entry'!$$832), "", 'Data Entry'!$$832)</f>
      </c>
      <c r="BS832">
        <f>IF(ISBLANK('Data Entry'!$$832), "", 'Data Entry'!$$832)</f>
      </c>
      <c r="BT832">
        <f>IF(ISBLANK('Data Entry'!$$832), "", 'Data Entry'!$$832)</f>
      </c>
      <c r="BU832">
        <f>IF(ISBLANK('Data Entry'!$$832), "", 'Data Entry'!$$832)</f>
      </c>
      <c r="BV832">
        <f>IF(ISBLANK('Data Entry'!$$832), "", 'Data Entry'!$$832)</f>
      </c>
      <c r="BW832">
        <f>IF(ISBLANK('Data Entry'!$$832), "", 'Data Entry'!$$832)</f>
      </c>
      <c r="BX832">
        <f>IF(ISBLANK('Data Entry'!$$832), "", 'Data Entry'!$$832)</f>
      </c>
      <c r="BY832">
        <f>IF(ISBLANK('Data Entry'!$$832), "", 'Data Entry'!$$832)</f>
      </c>
      <c r="BZ832">
        <f>IF(ISBLANK('Data Entry'!$$832), "", 'Data Entry'!$$832)</f>
      </c>
      <c r="CA832">
        <f>IF(ISBLANK('Data Entry'!$$832), "", 'Data Entry'!$$832)</f>
      </c>
      <c r="CB832">
        <f>IF(ISBLANK('Data Entry'!$$832), "", 'Data Entry'!$$832)</f>
      </c>
      <c r="CC832">
        <f>IF(ISBLANK('Data Entry'!$$832), "", 'Data Entry'!$$832)</f>
      </c>
      <c r="CD832">
        <f>IF(ISBLANK('Data Entry'!$$832), "", 'Data Entry'!$$832)</f>
      </c>
      <c r="CE832">
        <f>IF(ISBLANK('Data Entry'!$$832), "", 'Data Entry'!$$832)</f>
      </c>
      <c r="CF832">
        <f>IF(ISBLANK('Data Entry'!$$832), "", 'Data Entry'!$$832)</f>
      </c>
      <c r="CG832">
        <f>IF(ISBLANK('Data Entry'!$$832), "", 'Data Entry'!$$832)</f>
      </c>
      <c r="CH832">
        <f>IF(ISBLANK('Data Entry'!$$832), "", 'Data Entry'!$$832)</f>
      </c>
      <c r="CI832">
        <f>IF(ISBLANK('Data Entry'!$$832), "", 'Data Entry'!$$832)</f>
      </c>
      <c r="CJ832">
        <f>IF(ISBLANK('Data Entry'!$$832), "", 'Data Entry'!$$832)</f>
      </c>
      <c r="CK832">
        <f>IF(ISBLANK('Data Entry'!$$832), "", 'Data Entry'!$$832)</f>
      </c>
      <c r="CL832">
        <f>IF(ISBLANK('Data Entry'!$$832), "", 'Data Entry'!$$832)</f>
      </c>
      <c r="CM832">
        <f>IF(ISBLANK('Data Entry'!$$832), "", 'Data Entry'!$$832)</f>
      </c>
      <c r="CN832">
        <f>IF(ISBLANK('Data Entry'!$$832), "", 'Data Entry'!$$832)</f>
      </c>
      <c r="CO832">
        <f>IF(ISBLANK('Data Entry'!$$832), "", 'Data Entry'!$$832)</f>
      </c>
      <c r="CP832">
        <f>IF(ISBLANK('Data Entry'!$$832), "", 'Data Entry'!$$832)</f>
      </c>
      <c r="CQ832">
        <f>IF(ISBLANK('Data Entry'!$$832), "", 'Data Entry'!$$832)</f>
      </c>
      <c r="CR832">
        <f>IF(ISBLANK('Data Entry'!$ $832), "", 'Data Entry'!$ $832)</f>
      </c>
      <c r="CS832">
        <f>IF(ISBLANK('Data Entry'!$¡$832), "", 'Data Entry'!$¡$832)</f>
      </c>
      <c r="CT832">
        <f>IF(ISBLANK('Data Entry'!$¢$832), "", 'Data Entry'!$¢$832)</f>
      </c>
      <c r="CU832">
        <f>IF(ISBLANK('Data Entry'!$£$832), "", 'Data Entry'!$£$832)</f>
      </c>
      <c r="CV832">
        <f>IF(ISBLANK('Data Entry'!$¤$832), "", 'Data Entry'!$¤$832)</f>
      </c>
      <c r="CW832">
        <f>IF(ISBLANK('Data Entry'!$¥$832), "", 'Data Entry'!$¥$832)</f>
      </c>
      <c r="CX832">
        <f>IF(ISBLANK('Data Entry'!$¦$832), "", 'Data Entry'!$¦$832)</f>
      </c>
      <c r="CY832">
        <f>IF(ISBLANK('Data Entry'!$§$832), "", 'Data Entry'!$§$832)</f>
      </c>
      <c r="CZ832">
        <f>IF(ISBLANK('Data Entry'!$¨$832), "", 'Data Entry'!$¨$832)</f>
      </c>
      <c r="DA832">
        <f>IF(ISBLANK('Data Entry'!$©$832), "", 'Data Entry'!$©$832)</f>
      </c>
      <c r="DB832">
        <f>IF(ISBLANK('Data Entry'!$ª$832), "", 'Data Entry'!$ª$832)</f>
      </c>
      <c r="DC832">
        <f>IF(ISBLANK('Data Entry'!$«$832), "", 'Data Entry'!$«$832)</f>
      </c>
      <c r="DD832">
        <f>IF(ISBLANK('Data Entry'!$¬$832), "", 'Data Entry'!$¬$832)</f>
      </c>
      <c r="DE832">
        <f>IF(ISBLANK('Data Entry'!$­$832), "", 'Data Entry'!$­$832)</f>
      </c>
      <c r="DF832">
        <f>IF(ISBLANK('Data Entry'!$®$832), "", 'Data Entry'!$®$832)</f>
      </c>
      <c r="DG832">
        <f>IF(ISBLANK('Data Entry'!$¯$832), "", 'Data Entry'!$¯$832)</f>
      </c>
      <c r="DH832">
        <f>IF(ISBLANK('Data Entry'!$°$832), "", 'Data Entry'!$°$832)</f>
      </c>
      <c r="DI832">
        <f>IF(ISBLANK('Data Entry'!$±$832), "", 'Data Entry'!$±$832)</f>
      </c>
      <c r="DJ832">
        <f>IF(ISBLANK('Data Entry'!$²$832), "", 'Data Entry'!$²$832)</f>
      </c>
      <c r="DK832">
        <f>IF(ISBLANK('Data Entry'!$³$832), "", 'Data Entry'!$³$832)</f>
      </c>
      <c r="DL832">
        <f>IF(ISBLANK('Data Entry'!$´$832), "", 'Data Entry'!$´$832)</f>
      </c>
      <c r="DM832">
        <f>IF(ISBLANK('Data Entry'!$µ$832), "", 'Data Entry'!$µ$832)</f>
      </c>
      <c r="DN832">
        <f>IF(ISBLANK('Data Entry'!$¶$832), "", 'Data Entry'!$¶$832)</f>
      </c>
      <c r="DO832">
        <f>IF(ISBLANK('Data Entry'!$·$832), "", 'Data Entry'!$·$832)</f>
      </c>
      <c r="DP832">
        <f>IF(ISBLANK('Data Entry'!$¸$832), "", 'Data Entry'!$¸$832)</f>
      </c>
      <c r="DQ832">
        <f>IF(ISBLANK('Data Entry'!$¹$832), "", 'Data Entry'!$¹$832)</f>
      </c>
      <c r="DR832">
        <f>IF(ISBLANK('Data Entry'!$º$832), "", 'Data Entry'!$º$832)</f>
      </c>
      <c r="DS832">
        <f>IF(ISBLANK('Data Entry'!$»$832), "", 'Data Entry'!$»$832)</f>
      </c>
      <c r="DT832">
        <f>IF(ISBLANK('Data Entry'!$¼$832), "", 'Data Entry'!$¼$832)</f>
      </c>
      <c r="DU832">
        <f>IF(ISBLANK('Data Entry'!$½$832), "", 'Data Entry'!$½$832)</f>
      </c>
      <c r="DV832">
        <f>IF(ISBLANK('Data Entry'!$¾$832), "", 'Data Entry'!$¾$832)</f>
      </c>
      <c r="DW832">
        <f>IF(ISBLANK('Data Entry'!$¿$832), "", 'Data Entry'!$¿$832)</f>
      </c>
      <c r="DX832">
        <f>IF(ISBLANK('Data Entry'!$À$832), "", 'Data Entry'!$À$832)</f>
      </c>
      <c r="DY832">
        <f>IF(ISBLANK('Data Entry'!$Á$832), "", 'Data Entry'!$Á$832)</f>
      </c>
      <c r="DZ832">
        <f>IF(ISBLANK('Data Entry'!$Â$832), "", 'Data Entry'!$Â$832)</f>
      </c>
      <c r="EA832">
        <f>IF(ISBLANK('Data Entry'!$Ã$832), "", 'Data Entry'!$Ã$832)</f>
      </c>
      <c r="EB832">
        <f>IF(ISBLANK('Data Entry'!$Ä$832), "", 'Data Entry'!$Ä$832)</f>
      </c>
      <c r="EC832">
        <f>IF(ISBLANK('Data Entry'!$Å$832), "", 'Data Entry'!$Å$832)</f>
      </c>
      <c r="ED832">
        <f>IF(ISBLANK('Data Entry'!$Æ$832), "", 'Data Entry'!$Æ$832)</f>
      </c>
      <c r="EE832">
        <f>IF(ISBLANK('Data Entry'!$Ç$832), "", 'Data Entry'!$Ç$832)</f>
      </c>
      <c r="EF832">
        <f>IF(ISBLANK('Data Entry'!$È$832), "", 'Data Entry'!$È$832)</f>
      </c>
      <c r="EG832">
        <f>IF(ISBLANK('Data Entry'!$É$832), "", 'Data Entry'!$É$832)</f>
      </c>
      <c r="EH832">
        <f>IF(ISBLANK('Data Entry'!$Ê$832), "", 'Data Entry'!$Ê$832)</f>
      </c>
      <c r="EI832">
        <f>IF(ISBLANK('Data Entry'!$Ë$832), "", 'Data Entry'!$Ë$832)</f>
      </c>
      <c r="EJ832">
        <f>IF(ISBLANK('Data Entry'!$Ì$832), "", 'Data Entry'!$Ì$832)</f>
      </c>
      <c r="EK832">
        <f>IF(ISBLANK('Data Entry'!$Í$832), "", 'Data Entry'!$Í$832)</f>
      </c>
      <c r="EL832">
        <f>IF(ISBLANK('Data Entry'!$Î$832), "", 'Data Entry'!$Î$832)</f>
      </c>
      <c r="EM832">
        <f>IF(ISBLANK('Data Entry'!$Ï$832), "", 'Data Entry'!$Ï$832)</f>
      </c>
      <c r="EN832">
        <f>IF(ISBLANK('Data Entry'!$Ð$832), "", 'Data Entry'!$Ð$832)</f>
      </c>
      <c r="EO832">
        <f>IF(ISBLANK('Data Entry'!$Ñ$832), "", 'Data Entry'!$Ñ$832)</f>
      </c>
      <c r="EP832">
        <f>IF(ISBLANK('Data Entry'!$Ò$832), "", 'Data Entry'!$Ò$832)</f>
      </c>
      <c r="EQ832">
        <f>IF(ISBLANK('Data Entry'!$Ó$832), "", 'Data Entry'!$Ó$832)</f>
      </c>
      <c r="ER832">
        <f>IF(ISBLANK('Data Entry'!$Ô$832), "", 'Data Entry'!$Ô$832)</f>
      </c>
      <c r="ES832">
        <f>IF(ISBLANK('Data Entry'!$Õ$832), "", 'Data Entry'!$Õ$832)</f>
      </c>
      <c r="ET832">
        <f>IF(ISBLANK('Data Entry'!$Ö$832), "", 'Data Entry'!$Ö$832)</f>
      </c>
      <c r="EU832">
        <f>IF(ISBLANK('Data Entry'!$×$832), "", 'Data Entry'!$×$832)</f>
      </c>
      <c r="EV832">
        <f>IF(ISBLANK('Data Entry'!$Ø$832), "", 'Data Entry'!$Ø$832)</f>
      </c>
      <c r="EW832">
        <f>IF(ISBLANK('Data Entry'!$Ù$832), "", 'Data Entry'!$Ù$832)</f>
      </c>
      <c r="EX832">
        <f>IF(ISBLANK('Data Entry'!$Ú$832), "", 'Data Entry'!$Ú$832)</f>
      </c>
      <c r="EY832">
        <f>IF(ISBLANK('Data Entry'!$Û$832), "", 'Data Entry'!$Û$832)</f>
      </c>
      <c r="EZ832">
        <f>IF(ISBLANK('Data Entry'!$Ü$832), "", 'Data Entry'!$Ü$832)</f>
      </c>
      <c r="FA832">
        <f>IF(ISBLANK('Data Entry'!$Ý$832), "", 'Data Entry'!$Ý$832)</f>
      </c>
      <c r="FB832">
        <f>IF(ISBLANK('Data Entry'!$Þ$832), "", 'Data Entry'!$Þ$832)</f>
      </c>
      <c r="FC832">
        <f>IF(ISBLANK('Data Entry'!$ß$832), "", 'Data Entry'!$ß$832)</f>
      </c>
      <c r="FD832">
        <f>IF(ISBLANK('Data Entry'!$à$832), "", 'Data Entry'!$à$832)</f>
      </c>
      <c r="FE832">
        <f>IF(ISBLANK('Data Entry'!$á$832), "", 'Data Entry'!$á$832)</f>
      </c>
      <c r="FF832">
        <f>IF(ISBLANK('Data Entry'!$â$832), "", 'Data Entry'!$â$832)</f>
      </c>
      <c r="FG832">
        <f>IF(ISBLANK('Data Entry'!$ã$832), "", 'Data Entry'!$ã$832)</f>
      </c>
      <c r="FH832">
        <f>IF(ISBLANK('Data Entry'!$ä$832), "", 'Data Entry'!$ä$832)</f>
      </c>
      <c r="FI832">
        <f>IF(ISBLANK('Data Entry'!$å$832), "", 'Data Entry'!$å$832)</f>
      </c>
      <c r="FJ832">
        <f>IF(ISBLANK('Data Entry'!$æ$832), "", 'Data Entry'!$æ$832)</f>
      </c>
      <c r="FK832">
        <f>IF(ISBLANK('Data Entry'!$ç$832), "", 'Data Entry'!$ç$832)</f>
      </c>
      <c r="FL832">
        <f>IF(ISBLANK('Data Entry'!$è$832), "", 'Data Entry'!$è$832)</f>
      </c>
      <c r="FM832">
        <f>IF(ISBLANK('Data Entry'!$é$832), "", 'Data Entry'!$é$832)</f>
      </c>
      <c r="FN832">
        <f>IF(ISBLANK('Data Entry'!$ê$832), "", 'Data Entry'!$ê$832)</f>
      </c>
      <c r="FO832">
        <f>IF(ISBLANK('Data Entry'!$ë$832), "", 'Data Entry'!$ë$832)</f>
      </c>
      <c r="FP832">
        <f>IF(ISBLANK('Data Entry'!$ì$832), "", 'Data Entry'!$ì$832)</f>
      </c>
      <c r="FQ832">
        <f>IF(ISBLANK('Data Entry'!$í$832), "", 'Data Entry'!$í$832)</f>
      </c>
      <c r="FR832">
        <f>IF(ISBLANK('Data Entry'!$î$832), "", 'Data Entry'!$î$832)</f>
      </c>
      <c r="FS832">
        <f>IF(ISBLANK('Data Entry'!$ï$832), "", 'Data Entry'!$ï$832)</f>
      </c>
      <c r="FT832">
        <f>IF(ISBLANK('Data Entry'!$ð$832), "", 'Data Entry'!$ð$832)</f>
      </c>
      <c r="FU832">
        <f>IF(ISBLANK('Data Entry'!$ñ$832), "", 'Data Entry'!$ñ$832)</f>
      </c>
      <c r="FV832">
        <f>IF(ISBLANK('Data Entry'!$ò$832), "", 'Data Entry'!$ò$832)</f>
      </c>
      <c r="FW832">
        <f>IF(ISBLANK('Data Entry'!$ó$832), "", 'Data Entry'!$ó$832)</f>
      </c>
      <c r="FX832">
        <f>IF(ISBLANK('Data Entry'!$ô$832), "", 'Data Entry'!$ô$832)</f>
      </c>
      <c r="FY832">
        <f>IF(ISBLANK('Data Entry'!$õ$832), "", 'Data Entry'!$õ$832)</f>
      </c>
      <c r="FZ832">
        <f>IF(ISBLANK('Data Entry'!$ö$832), "", 'Data Entry'!$ö$832)</f>
      </c>
      <c r="GA832">
        <f>IF(ISBLANK('Data Entry'!$÷$832), "", 'Data Entry'!$÷$832)</f>
      </c>
      <c r="GB832">
        <f>IF(ISBLANK('Data Entry'!$ø$832), "", 'Data Entry'!$ø$832)</f>
      </c>
      <c r="GC832">
        <f>IF(ISBLANK('Data Entry'!$ù$832), "", 'Data Entry'!$ù$832)</f>
      </c>
      <c r="GD832">
        <f>IF(ISBLANK('Data Entry'!$ú$832), "", 'Data Entry'!$ú$832)</f>
      </c>
      <c r="GE832">
        <f>IF(ISBLANK('Data Entry'!$û$832), "", 'Data Entry'!$û$832)</f>
      </c>
      <c r="GF832">
        <f>IF(ISBLANK('Data Entry'!$ü$832), "", 'Data Entry'!$ü$832)</f>
      </c>
      <c r="GG832">
        <f>IF(ISBLANK('Data Entry'!$ý$832), "", 'Data Entry'!$ý$832)</f>
      </c>
      <c r="GH832">
        <f>IF(ISBLANK('Data Entry'!$þ$832), "", 'Data Entry'!$þ$832)</f>
      </c>
      <c r="GI832">
        <f>IF(ISBLANK('Data Entry'!$ÿ$832), "", 'Data Entry'!$ÿ$832)</f>
      </c>
      <c r="GJ832">
        <f>IF(ISBLANK('Data Entry'!$Ā$832), "", 'Data Entry'!$Ā$832)</f>
      </c>
      <c r="GK832">
        <f>IF(ISBLANK('Data Entry'!$ā$832), "", 'Data Entry'!$ā$832)</f>
      </c>
      <c r="GL832">
        <f>IF(ISBLANK('Data Entry'!$Ă$832), "", 'Data Entry'!$Ă$832)</f>
      </c>
      <c r="GM832">
        <f>IF(ISBLANK('Data Entry'!$ă$832), "", 'Data Entry'!$ă$832)</f>
      </c>
      <c r="GN832">
        <f>IF(ISBLANK('Data Entry'!$Ą$832), "", 'Data Entry'!$Ą$832)</f>
      </c>
      <c r="GO832">
        <f>IF(ISBLANK('Data Entry'!$ą$832), "", 'Data Entry'!$ą$832)</f>
      </c>
      <c r="GP832">
        <f>IF(ISBLANK('Data Entry'!$Ć$832), "", 'Data Entry'!$Ć$832)</f>
      </c>
      <c r="GQ832">
        <f>IF(ISBLANK('Data Entry'!$ć$832), "", 'Data Entry'!$ć$832)</f>
      </c>
      <c r="GR832">
        <f>IF(ISBLANK('Data Entry'!$Ĉ$832), "", 'Data Entry'!$Ĉ$832)</f>
      </c>
      <c r="GS832">
        <f>IF(ISBLANK('Data Entry'!$ĉ$832), "", 'Data Entry'!$ĉ$832)</f>
      </c>
      <c r="GT832">
        <f>IF(ISBLANK('Data Entry'!$Ċ$832), "", 'Data Entry'!$Ċ$832)</f>
      </c>
      <c r="GU832">
        <f>IF(ISBLANK('Data Entry'!$ċ$832), "", 'Data Entry'!$ċ$832)</f>
      </c>
      <c r="GV832">
        <f>IF(ISBLANK('Data Entry'!$Č$832), "", 'Data Entry'!$Č$832)</f>
      </c>
      <c r="GW832">
        <f>IF(ISBLANK('Data Entry'!$č$832), "", 'Data Entry'!$č$832)</f>
      </c>
      <c r="GX832">
        <f>IF(ISBLANK('Data Entry'!$Ď$832), "", 'Data Entry'!$Ď$832)</f>
      </c>
      <c r="GY832">
        <f>IF(ISBLANK('Data Entry'!$ď$832), "", 'Data Entry'!$ď$832)</f>
      </c>
      <c r="GZ832">
        <f>IF(ISBLANK('Data Entry'!$Đ$832), "", 'Data Entry'!$Đ$832)</f>
      </c>
      <c r="HA832">
        <f>IF(ISBLANK('Data Entry'!$đ$832), "", 'Data Entry'!$đ$832)</f>
      </c>
      <c r="HB832">
        <f>IF(ISBLANK('Data Entry'!$Ē$832), "", 'Data Entry'!$Ē$832)</f>
      </c>
      <c r="HC832">
        <f>IF(ISBLANK('Data Entry'!$ē$832), "", 'Data Entry'!$ē$832)</f>
      </c>
      <c r="HD832">
        <f>IF(ISBLANK('Data Entry'!$Ĕ$832), "", 'Data Entry'!$Ĕ$832)</f>
      </c>
      <c r="HE832">
        <f>IF(ISBLANK('Data Entry'!$ĕ$832), "", 'Data Entry'!$ĕ$832)</f>
      </c>
      <c r="HF832">
        <f>IF(ISBLANK('Data Entry'!$Ė$832), "", 'Data Entry'!$Ė$832)</f>
      </c>
      <c r="HG832">
        <f>IF(ISBLANK('Data Entry'!$ė$832), "", 'Data Entry'!$ė$832)</f>
      </c>
      <c r="HH832">
        <f>IF(ISBLANK('Data Entry'!$Ę$832), "", 'Data Entry'!$Ę$832)</f>
      </c>
      <c r="HI832">
        <f>IF(ISBLANK('Data Entry'!$ę$832), "", 'Data Entry'!$ę$832)</f>
      </c>
      <c r="HJ832">
        <f>IF(ISBLANK('Data Entry'!$Ě$832), "", 'Data Entry'!$Ě$832)</f>
      </c>
      <c r="HK832">
        <f>IF(ISBLANK('Data Entry'!$ě$832), "", 'Data Entry'!$ě$832)</f>
      </c>
      <c r="HL832">
        <f>IF(ISBLANK('Data Entry'!$Ĝ$832), "", 'Data Entry'!$Ĝ$832)</f>
      </c>
      <c r="HM832">
        <f>IF(ISBLANK('Data Entry'!$ĝ$832), "", 'Data Entry'!$ĝ$832)</f>
      </c>
      <c r="HN832">
        <f>IF(ISBLANK('Data Entry'!$Ğ$832), "", 'Data Entry'!$Ğ$832)</f>
      </c>
      <c r="HO832">
        <f>IF(ISBLANK('Data Entry'!$ğ$832), "", 'Data Entry'!$ğ$832)</f>
      </c>
      <c r="HP832">
        <f>IF(ISBLANK('Data Entry'!$Ġ$832), "", 'Data Entry'!$Ġ$832)</f>
      </c>
      <c r="HQ832">
        <f>IF(ISBLANK('Data Entry'!$ġ$832), "", 'Data Entry'!$ġ$832)</f>
      </c>
      <c r="HR832">
        <f>IF(ISBLANK('Data Entry'!$Ģ$832), "", 'Data Entry'!$Ģ$832)</f>
      </c>
      <c r="HS832">
        <f>IF(ISBLANK('Data Entry'!$ģ$832), "", 'Data Entry'!$ģ$832)</f>
      </c>
      <c r="HT832">
        <f>IF(ISBLANK('Data Entry'!$Ĥ$832), "", 'Data Entry'!$Ĥ$832)</f>
      </c>
      <c r="HU832">
        <f>IF(ISBLANK('Data Entry'!$ĥ$832), "", 'Data Entry'!$ĥ$832)</f>
      </c>
      <c r="HV832">
        <f>IF(ISBLANK('Data Entry'!$Ħ$832), "", 'Data Entry'!$Ħ$832)</f>
      </c>
      <c r="HW832">
        <f>IF(ISBLANK('Data Entry'!$ħ$832), "", 'Data Entry'!$ħ$832)</f>
      </c>
      <c r="HX832">
        <f>IF(ISBLANK('Data Entry'!$Ĩ$832), "", 'Data Entry'!$Ĩ$832)</f>
      </c>
      <c r="HY832">
        <f>IF(ISBLANK('Data Entry'!$ĩ$832), "", 'Data Entry'!$ĩ$832)</f>
      </c>
      <c r="HZ832">
        <f>IF(ISBLANK('Data Entry'!$Ī$832), "", 'Data Entry'!$Ī$832)</f>
      </c>
      <c r="IA832">
        <f>IF(ISBLANK('Data Entry'!$ī$832), "", 'Data Entry'!$ī$832)</f>
      </c>
      <c r="IB832">
        <f>IF(ISBLANK('Data Entry'!$Ĭ$832), "", 'Data Entry'!$Ĭ$832)</f>
      </c>
      <c r="IC832">
        <f>IF(ISBLANK('Data Entry'!$ĭ$832), "", 'Data Entry'!$ĭ$832)</f>
      </c>
      <c r="ID832">
        <f>IF(ISBLANK('Data Entry'!$Į$832), "", 'Data Entry'!$Į$832)</f>
      </c>
      <c r="IE832">
        <f>IF(ISBLANK('Data Entry'!$į$832), "", 'Data Entry'!$į$832)</f>
      </c>
      <c r="IF832">
        <f>IF(ISBLANK('Data Entry'!$İ$832), "", 'Data Entry'!$İ$832)</f>
      </c>
      <c r="IG832">
        <f>IF(ISBLANK('Data Entry'!$ı$832), "", 'Data Entry'!$ı$832)</f>
      </c>
      <c r="IH832">
        <f>IF(ISBLANK('Data Entry'!$Ĳ$832), "", 'Data Entry'!$Ĳ$832)</f>
      </c>
      <c r="II832">
        <f>IF(ISBLANK('Data Entry'!$ĳ$832), "", 'Data Entry'!$ĳ$832)</f>
      </c>
      <c r="IJ832">
        <f>IF(ISBLANK('Data Entry'!$Ĵ$832), "", 'Data Entry'!$Ĵ$832)</f>
      </c>
      <c r="IK832">
        <f>IF(ISBLANK('Data Entry'!$ĵ$832), "", 'Data Entry'!$ĵ$832)</f>
      </c>
      <c r="IL832">
        <f>IF(ISBLANK('Data Entry'!$Ķ$832), "", 'Data Entry'!$Ķ$832)</f>
      </c>
      <c r="IM832">
        <f>IF(ISBLANK('Data Entry'!$ķ$832), "", 'Data Entry'!$ķ$832)</f>
      </c>
      <c r="IN832">
        <f>IF(ISBLANK('Data Entry'!$ĸ$832), "", 'Data Entry'!$ĸ$832)</f>
      </c>
      <c r="IO832">
        <f>IF(ISBLANK('Data Entry'!$Ĺ$832), "", 'Data Entry'!$Ĺ$832)</f>
      </c>
      <c r="IP832">
        <f>IF(ISBLANK('Data Entry'!$ĺ$832), "", 'Data Entry'!$ĺ$832)</f>
      </c>
      <c r="IQ832">
        <f>IF(ISBLANK('Data Entry'!$Ļ$832), "", 'Data Entry'!$Ļ$832)</f>
      </c>
      <c r="IR832">
        <f>IF(ISBLANK('Data Entry'!$ļ$832), "", 'Data Entry'!$ļ$832)</f>
      </c>
      <c r="IS832">
        <f>IF(ISBLANK('Data Entry'!$Ľ$832), "", 'Data Entry'!$Ľ$832)</f>
      </c>
      <c r="IT832">
        <f>IF(ISBLANK('Data Entry'!$ľ$832), "", 'Data Entry'!$ľ$832)</f>
      </c>
    </row>
    <row r="833" spans="1:254" x14ac:dyDescent="0.25">
      <c r="A833">
        <f>IF(ISBLANK('Data Entry'!$A$833), "", 'Data Entry'!$A$833)</f>
      </c>
      <c r="B833">
        <f>IF(ISBLANK('Data Entry'!$B$833), "", 'Data Entry'!$B$833)</f>
      </c>
      <c r="C833">
        <f>IF(ISBLANK('Data Entry'!$C$833), "", 'Data Entry'!$C$833)</f>
      </c>
      <c r="D833">
        <f>IF(ISBLANK('Data Entry'!$D$833), "", 'Data Entry'!$D$833)</f>
      </c>
      <c r="E833">
        <f>IF(ISBLANK('Data Entry'!$E$833), "", 'Data Entry'!$E$833)</f>
      </c>
      <c r="F833">
        <f>IF(ISBLANK('Data Entry'!$F$833), "", 'Data Entry'!$F$833)</f>
      </c>
      <c r="G833">
        <f>IF(ISBLANK('Data Entry'!$G$833), "", 'Data Entry'!$G$833)</f>
      </c>
      <c r="H833">
        <f>IF(ISBLANK('Data Entry'!$H$833), "", 'Data Entry'!$H$833)</f>
      </c>
      <c r="I833">
        <f>IF(ISBLANK('Data Entry'!$I$833), "", 'Data Entry'!$I$833)</f>
      </c>
      <c r="J833">
        <f>IF(ISBLANK('Data Entry'!$J$833), "", 'Data Entry'!$J$833)</f>
      </c>
      <c r="K833">
        <f>IF(ISBLANK('Data Entry'!$K$833), "", 'Data Entry'!$K$833)</f>
      </c>
      <c r="L833">
        <f>IF(ISBLANK('Data Entry'!$L$833), "", 'Data Entry'!$L$833)</f>
      </c>
      <c r="M833">
        <f>IF(ISBLANK('Data Entry'!$M$833), "", 'Data Entry'!$M$833)</f>
      </c>
      <c r="N833">
        <f>IF(ISBLANK('Data Entry'!$N$833), "", 'Data Entry'!$N$833)</f>
      </c>
      <c r="O833">
        <f>IF(ISBLANK('Data Entry'!$O$833), "", 'Data Entry'!$O$833)</f>
      </c>
      <c r="P833">
        <f>IF(ISBLANK('Data Entry'!$P$833), "", 'Data Entry'!$P$833)</f>
      </c>
      <c r="Q833">
        <f>IF(ISBLANK('Data Entry'!$Q$833), "", 'Data Entry'!$Q$833)</f>
      </c>
      <c r="R833">
        <f>IF(ISBLANK('Data Entry'!$R$833), "", 'Data Entry'!$R$833)</f>
      </c>
      <c r="S833">
        <f>IF(ISBLANK('Data Entry'!$S$833), "", 'Data Entry'!$S$833)</f>
      </c>
      <c r="T833">
        <f>IF(ISBLANK('Data Entry'!$T$833), "", 'Data Entry'!$T$833)</f>
      </c>
      <c r="U833">
        <f>IF(ISBLANK('Data Entry'!$U$833), "", 'Data Entry'!$U$833)</f>
      </c>
      <c r="V833">
        <f>IF(ISBLANK('Data Entry'!$V$833), "", 'Data Entry'!$V$833)</f>
      </c>
      <c r="W833">
        <f>IF(ISBLANK('Data Entry'!$W$833), "", 'Data Entry'!$W$833)</f>
      </c>
      <c r="X833">
        <f>IF(ISBLANK('Data Entry'!$X$833), "", 'Data Entry'!$X$833)</f>
      </c>
      <c r="Y833">
        <f>IF(ISBLANK('Data Entry'!$Y$833), "", 'Data Entry'!$Y$833)</f>
      </c>
      <c r="Z833">
        <f>IF(ISBLANK('Data Entry'!$Z$833), "", 'Data Entry'!$Z$833)</f>
      </c>
      <c r="AA833">
        <f>IF(ISBLANK('Data Entry'!$[$833), "", 'Data Entry'!$[$833)</f>
      </c>
      <c r="AB833">
        <f>IF(ISBLANK('Data Entry'!$\$833), "", 'Data Entry'!$\$833)</f>
      </c>
      <c r="AC833">
        <f>IF(ISBLANK('Data Entry'!$]$833), "", 'Data Entry'!$]$833)</f>
      </c>
      <c r="AD833">
        <f>IF(ISBLANK('Data Entry'!$^$833), "", 'Data Entry'!$^$833)</f>
      </c>
      <c r="AE833">
        <f>IF(ISBLANK('Data Entry'!$_$833), "", 'Data Entry'!$_$833)</f>
      </c>
      <c r="AF833">
        <f>IF(ISBLANK('Data Entry'!$`$833), "", 'Data Entry'!$`$833)</f>
      </c>
      <c r="AG833">
        <f>IF(ISBLANK('Data Entry'!$a$833), "", 'Data Entry'!$a$833)</f>
      </c>
      <c r="AH833">
        <f>IF(ISBLANK('Data Entry'!$b$833), "", 'Data Entry'!$b$833)</f>
      </c>
      <c r="AI833">
        <f>IF(ISBLANK('Data Entry'!$c$833), "", 'Data Entry'!$c$833)</f>
      </c>
      <c r="AJ833">
        <f>IF(ISBLANK('Data Entry'!$d$833), "", 'Data Entry'!$d$833)</f>
      </c>
      <c r="AK833">
        <f>IF(ISBLANK('Data Entry'!$e$833), "", 'Data Entry'!$e$833)</f>
      </c>
      <c r="AL833">
        <f>IF(ISBLANK('Data Entry'!$f$833), "", 'Data Entry'!$f$833)</f>
      </c>
      <c r="AM833">
        <f>IF(ISBLANK('Data Entry'!$g$833), "", 'Data Entry'!$g$833)</f>
      </c>
      <c r="AN833">
        <f>IF(ISBLANK('Data Entry'!$h$833), "", 'Data Entry'!$h$833)</f>
      </c>
      <c r="AO833">
        <f>IF(ISBLANK('Data Entry'!$i$833), "", 'Data Entry'!$i$833)</f>
      </c>
      <c r="AP833">
        <f>IF(ISBLANK('Data Entry'!$j$833), "", 'Data Entry'!$j$833)</f>
      </c>
      <c r="AQ833">
        <f>IF(ISBLANK('Data Entry'!$k$833), "", 'Data Entry'!$k$833)</f>
      </c>
      <c r="AR833">
        <f>IF(ISBLANK('Data Entry'!$l$833), "", 'Data Entry'!$l$833)</f>
      </c>
      <c r="AS833">
        <f>IF(ISBLANK('Data Entry'!$m$833), "", 'Data Entry'!$m$833)</f>
      </c>
      <c r="AT833">
        <f>IF(ISBLANK('Data Entry'!$n$833), "", 'Data Entry'!$n$833)</f>
      </c>
      <c r="AU833">
        <f>IF(ISBLANK('Data Entry'!$o$833), "", 'Data Entry'!$o$833)</f>
      </c>
      <c r="AV833">
        <f>IF(ISBLANK('Data Entry'!$p$833), "", 'Data Entry'!$p$833)</f>
      </c>
      <c r="AW833">
        <f>IF(ISBLANK('Data Entry'!$q$833), "", 'Data Entry'!$q$833)</f>
      </c>
      <c r="AX833">
        <f>IF(ISBLANK('Data Entry'!$r$833), "", 'Data Entry'!$r$833)</f>
      </c>
      <c r="AY833">
        <f>IF(ISBLANK('Data Entry'!$s$833), "", 'Data Entry'!$s$833)</f>
      </c>
      <c r="AZ833">
        <f>IF(ISBLANK('Data Entry'!$t$833), "", 'Data Entry'!$t$833)</f>
      </c>
      <c r="BA833">
        <f>IF(ISBLANK('Data Entry'!$u$833), "", 'Data Entry'!$u$833)</f>
      </c>
      <c r="BB833">
        <f>IF(ISBLANK('Data Entry'!$v$833), "", 'Data Entry'!$v$833)</f>
      </c>
      <c r="BC833">
        <f>IF(ISBLANK('Data Entry'!$w$833), "", 'Data Entry'!$w$833)</f>
      </c>
      <c r="BD833">
        <f>IF(ISBLANK('Data Entry'!$x$833), "", 'Data Entry'!$x$833)</f>
      </c>
      <c r="BE833">
        <f>IF(ISBLANK('Data Entry'!$y$833), "", 'Data Entry'!$y$833)</f>
      </c>
      <c r="BF833">
        <f>IF(ISBLANK('Data Entry'!$z$833), "", 'Data Entry'!$z$833)</f>
      </c>
      <c r="BG833">
        <f>IF(ISBLANK('Data Entry'!${$833), "", 'Data Entry'!${$833)</f>
      </c>
      <c r="BH833">
        <f>IF(ISBLANK('Data Entry'!$|$833), "", 'Data Entry'!$|$833)</f>
      </c>
      <c r="BI833">
        <f>IF(ISBLANK('Data Entry'!$}$833), "", 'Data Entry'!$}$833)</f>
      </c>
      <c r="BJ833">
        <f>IF(ISBLANK('Data Entry'!$~$833), "", 'Data Entry'!$~$833)</f>
      </c>
      <c r="BK833">
        <f>IF(ISBLANK('Data Entry'!$$833), "", 'Data Entry'!$$833)</f>
      </c>
      <c r="BL833">
        <f>IF(ISBLANK('Data Entry'!$$833), "", 'Data Entry'!$$833)</f>
      </c>
      <c r="BM833">
        <f>IF(ISBLANK('Data Entry'!$$833), "", 'Data Entry'!$$833)</f>
      </c>
      <c r="BN833">
        <f>IF(ISBLANK('Data Entry'!$$833), "", 'Data Entry'!$$833)</f>
      </c>
      <c r="BO833">
        <f>IF(ISBLANK('Data Entry'!$$833), "", 'Data Entry'!$$833)</f>
      </c>
      <c r="BP833">
        <f>IF(ISBLANK('Data Entry'!$$833), "", 'Data Entry'!$$833)</f>
      </c>
      <c r="BQ833">
        <f>IF(ISBLANK('Data Entry'!$$833), "", 'Data Entry'!$$833)</f>
      </c>
      <c r="BR833">
        <f>IF(ISBLANK('Data Entry'!$$833), "", 'Data Entry'!$$833)</f>
      </c>
      <c r="BS833">
        <f>IF(ISBLANK('Data Entry'!$$833), "", 'Data Entry'!$$833)</f>
      </c>
      <c r="BT833">
        <f>IF(ISBLANK('Data Entry'!$$833), "", 'Data Entry'!$$833)</f>
      </c>
      <c r="BU833">
        <f>IF(ISBLANK('Data Entry'!$$833), "", 'Data Entry'!$$833)</f>
      </c>
      <c r="BV833">
        <f>IF(ISBLANK('Data Entry'!$$833), "", 'Data Entry'!$$833)</f>
      </c>
      <c r="BW833">
        <f>IF(ISBLANK('Data Entry'!$$833), "", 'Data Entry'!$$833)</f>
      </c>
      <c r="BX833">
        <f>IF(ISBLANK('Data Entry'!$$833), "", 'Data Entry'!$$833)</f>
      </c>
      <c r="BY833">
        <f>IF(ISBLANK('Data Entry'!$$833), "", 'Data Entry'!$$833)</f>
      </c>
      <c r="BZ833">
        <f>IF(ISBLANK('Data Entry'!$$833), "", 'Data Entry'!$$833)</f>
      </c>
      <c r="CA833">
        <f>IF(ISBLANK('Data Entry'!$$833), "", 'Data Entry'!$$833)</f>
      </c>
      <c r="CB833">
        <f>IF(ISBLANK('Data Entry'!$$833), "", 'Data Entry'!$$833)</f>
      </c>
      <c r="CC833">
        <f>IF(ISBLANK('Data Entry'!$$833), "", 'Data Entry'!$$833)</f>
      </c>
      <c r="CD833">
        <f>IF(ISBLANK('Data Entry'!$$833), "", 'Data Entry'!$$833)</f>
      </c>
      <c r="CE833">
        <f>IF(ISBLANK('Data Entry'!$$833), "", 'Data Entry'!$$833)</f>
      </c>
      <c r="CF833">
        <f>IF(ISBLANK('Data Entry'!$$833), "", 'Data Entry'!$$833)</f>
      </c>
      <c r="CG833">
        <f>IF(ISBLANK('Data Entry'!$$833), "", 'Data Entry'!$$833)</f>
      </c>
      <c r="CH833">
        <f>IF(ISBLANK('Data Entry'!$$833), "", 'Data Entry'!$$833)</f>
      </c>
      <c r="CI833">
        <f>IF(ISBLANK('Data Entry'!$$833), "", 'Data Entry'!$$833)</f>
      </c>
      <c r="CJ833">
        <f>IF(ISBLANK('Data Entry'!$$833), "", 'Data Entry'!$$833)</f>
      </c>
      <c r="CK833">
        <f>IF(ISBLANK('Data Entry'!$$833), "", 'Data Entry'!$$833)</f>
      </c>
      <c r="CL833">
        <f>IF(ISBLANK('Data Entry'!$$833), "", 'Data Entry'!$$833)</f>
      </c>
      <c r="CM833">
        <f>IF(ISBLANK('Data Entry'!$$833), "", 'Data Entry'!$$833)</f>
      </c>
      <c r="CN833">
        <f>IF(ISBLANK('Data Entry'!$$833), "", 'Data Entry'!$$833)</f>
      </c>
      <c r="CO833">
        <f>IF(ISBLANK('Data Entry'!$$833), "", 'Data Entry'!$$833)</f>
      </c>
      <c r="CP833">
        <f>IF(ISBLANK('Data Entry'!$$833), "", 'Data Entry'!$$833)</f>
      </c>
      <c r="CQ833">
        <f>IF(ISBLANK('Data Entry'!$$833), "", 'Data Entry'!$$833)</f>
      </c>
      <c r="CR833">
        <f>IF(ISBLANK('Data Entry'!$ $833), "", 'Data Entry'!$ $833)</f>
      </c>
      <c r="CS833">
        <f>IF(ISBLANK('Data Entry'!$¡$833), "", 'Data Entry'!$¡$833)</f>
      </c>
      <c r="CT833">
        <f>IF(ISBLANK('Data Entry'!$¢$833), "", 'Data Entry'!$¢$833)</f>
      </c>
      <c r="CU833">
        <f>IF(ISBLANK('Data Entry'!$£$833), "", 'Data Entry'!$£$833)</f>
      </c>
      <c r="CV833">
        <f>IF(ISBLANK('Data Entry'!$¤$833), "", 'Data Entry'!$¤$833)</f>
      </c>
      <c r="CW833">
        <f>IF(ISBLANK('Data Entry'!$¥$833), "", 'Data Entry'!$¥$833)</f>
      </c>
      <c r="CX833">
        <f>IF(ISBLANK('Data Entry'!$¦$833), "", 'Data Entry'!$¦$833)</f>
      </c>
      <c r="CY833">
        <f>IF(ISBLANK('Data Entry'!$§$833), "", 'Data Entry'!$§$833)</f>
      </c>
      <c r="CZ833">
        <f>IF(ISBLANK('Data Entry'!$¨$833), "", 'Data Entry'!$¨$833)</f>
      </c>
      <c r="DA833">
        <f>IF(ISBLANK('Data Entry'!$©$833), "", 'Data Entry'!$©$833)</f>
      </c>
      <c r="DB833">
        <f>IF(ISBLANK('Data Entry'!$ª$833), "", 'Data Entry'!$ª$833)</f>
      </c>
      <c r="DC833">
        <f>IF(ISBLANK('Data Entry'!$«$833), "", 'Data Entry'!$«$833)</f>
      </c>
      <c r="DD833">
        <f>IF(ISBLANK('Data Entry'!$¬$833), "", 'Data Entry'!$¬$833)</f>
      </c>
      <c r="DE833">
        <f>IF(ISBLANK('Data Entry'!$­$833), "", 'Data Entry'!$­$833)</f>
      </c>
      <c r="DF833">
        <f>IF(ISBLANK('Data Entry'!$®$833), "", 'Data Entry'!$®$833)</f>
      </c>
      <c r="DG833">
        <f>IF(ISBLANK('Data Entry'!$¯$833), "", 'Data Entry'!$¯$833)</f>
      </c>
      <c r="DH833">
        <f>IF(ISBLANK('Data Entry'!$°$833), "", 'Data Entry'!$°$833)</f>
      </c>
      <c r="DI833">
        <f>IF(ISBLANK('Data Entry'!$±$833), "", 'Data Entry'!$±$833)</f>
      </c>
      <c r="DJ833">
        <f>IF(ISBLANK('Data Entry'!$²$833), "", 'Data Entry'!$²$833)</f>
      </c>
      <c r="DK833">
        <f>IF(ISBLANK('Data Entry'!$³$833), "", 'Data Entry'!$³$833)</f>
      </c>
      <c r="DL833">
        <f>IF(ISBLANK('Data Entry'!$´$833), "", 'Data Entry'!$´$833)</f>
      </c>
      <c r="DM833">
        <f>IF(ISBLANK('Data Entry'!$µ$833), "", 'Data Entry'!$µ$833)</f>
      </c>
      <c r="DN833">
        <f>IF(ISBLANK('Data Entry'!$¶$833), "", 'Data Entry'!$¶$833)</f>
      </c>
      <c r="DO833">
        <f>IF(ISBLANK('Data Entry'!$·$833), "", 'Data Entry'!$·$833)</f>
      </c>
      <c r="DP833">
        <f>IF(ISBLANK('Data Entry'!$¸$833), "", 'Data Entry'!$¸$833)</f>
      </c>
      <c r="DQ833">
        <f>IF(ISBLANK('Data Entry'!$¹$833), "", 'Data Entry'!$¹$833)</f>
      </c>
      <c r="DR833">
        <f>IF(ISBLANK('Data Entry'!$º$833), "", 'Data Entry'!$º$833)</f>
      </c>
      <c r="DS833">
        <f>IF(ISBLANK('Data Entry'!$»$833), "", 'Data Entry'!$»$833)</f>
      </c>
      <c r="DT833">
        <f>IF(ISBLANK('Data Entry'!$¼$833), "", 'Data Entry'!$¼$833)</f>
      </c>
      <c r="DU833">
        <f>IF(ISBLANK('Data Entry'!$½$833), "", 'Data Entry'!$½$833)</f>
      </c>
      <c r="DV833">
        <f>IF(ISBLANK('Data Entry'!$¾$833), "", 'Data Entry'!$¾$833)</f>
      </c>
      <c r="DW833">
        <f>IF(ISBLANK('Data Entry'!$¿$833), "", 'Data Entry'!$¿$833)</f>
      </c>
      <c r="DX833">
        <f>IF(ISBLANK('Data Entry'!$À$833), "", 'Data Entry'!$À$833)</f>
      </c>
      <c r="DY833">
        <f>IF(ISBLANK('Data Entry'!$Á$833), "", 'Data Entry'!$Á$833)</f>
      </c>
      <c r="DZ833">
        <f>IF(ISBLANK('Data Entry'!$Â$833), "", 'Data Entry'!$Â$833)</f>
      </c>
      <c r="EA833">
        <f>IF(ISBLANK('Data Entry'!$Ã$833), "", 'Data Entry'!$Ã$833)</f>
      </c>
      <c r="EB833">
        <f>IF(ISBLANK('Data Entry'!$Ä$833), "", 'Data Entry'!$Ä$833)</f>
      </c>
      <c r="EC833">
        <f>IF(ISBLANK('Data Entry'!$Å$833), "", 'Data Entry'!$Å$833)</f>
      </c>
      <c r="ED833">
        <f>IF(ISBLANK('Data Entry'!$Æ$833), "", 'Data Entry'!$Æ$833)</f>
      </c>
      <c r="EE833">
        <f>IF(ISBLANK('Data Entry'!$Ç$833), "", 'Data Entry'!$Ç$833)</f>
      </c>
      <c r="EF833">
        <f>IF(ISBLANK('Data Entry'!$È$833), "", 'Data Entry'!$È$833)</f>
      </c>
      <c r="EG833">
        <f>IF(ISBLANK('Data Entry'!$É$833), "", 'Data Entry'!$É$833)</f>
      </c>
      <c r="EH833">
        <f>IF(ISBLANK('Data Entry'!$Ê$833), "", 'Data Entry'!$Ê$833)</f>
      </c>
      <c r="EI833">
        <f>IF(ISBLANK('Data Entry'!$Ë$833), "", 'Data Entry'!$Ë$833)</f>
      </c>
      <c r="EJ833">
        <f>IF(ISBLANK('Data Entry'!$Ì$833), "", 'Data Entry'!$Ì$833)</f>
      </c>
      <c r="EK833">
        <f>IF(ISBLANK('Data Entry'!$Í$833), "", 'Data Entry'!$Í$833)</f>
      </c>
      <c r="EL833">
        <f>IF(ISBLANK('Data Entry'!$Î$833), "", 'Data Entry'!$Î$833)</f>
      </c>
      <c r="EM833">
        <f>IF(ISBLANK('Data Entry'!$Ï$833), "", 'Data Entry'!$Ï$833)</f>
      </c>
      <c r="EN833">
        <f>IF(ISBLANK('Data Entry'!$Ð$833), "", 'Data Entry'!$Ð$833)</f>
      </c>
      <c r="EO833">
        <f>IF(ISBLANK('Data Entry'!$Ñ$833), "", 'Data Entry'!$Ñ$833)</f>
      </c>
      <c r="EP833">
        <f>IF(ISBLANK('Data Entry'!$Ò$833), "", 'Data Entry'!$Ò$833)</f>
      </c>
      <c r="EQ833">
        <f>IF(ISBLANK('Data Entry'!$Ó$833), "", 'Data Entry'!$Ó$833)</f>
      </c>
      <c r="ER833">
        <f>IF(ISBLANK('Data Entry'!$Ô$833), "", 'Data Entry'!$Ô$833)</f>
      </c>
      <c r="ES833">
        <f>IF(ISBLANK('Data Entry'!$Õ$833), "", 'Data Entry'!$Õ$833)</f>
      </c>
      <c r="ET833">
        <f>IF(ISBLANK('Data Entry'!$Ö$833), "", 'Data Entry'!$Ö$833)</f>
      </c>
      <c r="EU833">
        <f>IF(ISBLANK('Data Entry'!$×$833), "", 'Data Entry'!$×$833)</f>
      </c>
      <c r="EV833">
        <f>IF(ISBLANK('Data Entry'!$Ø$833), "", 'Data Entry'!$Ø$833)</f>
      </c>
      <c r="EW833">
        <f>IF(ISBLANK('Data Entry'!$Ù$833), "", 'Data Entry'!$Ù$833)</f>
      </c>
      <c r="EX833">
        <f>IF(ISBLANK('Data Entry'!$Ú$833), "", 'Data Entry'!$Ú$833)</f>
      </c>
      <c r="EY833">
        <f>IF(ISBLANK('Data Entry'!$Û$833), "", 'Data Entry'!$Û$833)</f>
      </c>
      <c r="EZ833">
        <f>IF(ISBLANK('Data Entry'!$Ü$833), "", 'Data Entry'!$Ü$833)</f>
      </c>
      <c r="FA833">
        <f>IF(ISBLANK('Data Entry'!$Ý$833), "", 'Data Entry'!$Ý$833)</f>
      </c>
      <c r="FB833">
        <f>IF(ISBLANK('Data Entry'!$Þ$833), "", 'Data Entry'!$Þ$833)</f>
      </c>
      <c r="FC833">
        <f>IF(ISBLANK('Data Entry'!$ß$833), "", 'Data Entry'!$ß$833)</f>
      </c>
      <c r="FD833">
        <f>IF(ISBLANK('Data Entry'!$à$833), "", 'Data Entry'!$à$833)</f>
      </c>
      <c r="FE833">
        <f>IF(ISBLANK('Data Entry'!$á$833), "", 'Data Entry'!$á$833)</f>
      </c>
      <c r="FF833">
        <f>IF(ISBLANK('Data Entry'!$â$833), "", 'Data Entry'!$â$833)</f>
      </c>
      <c r="FG833">
        <f>IF(ISBLANK('Data Entry'!$ã$833), "", 'Data Entry'!$ã$833)</f>
      </c>
      <c r="FH833">
        <f>IF(ISBLANK('Data Entry'!$ä$833), "", 'Data Entry'!$ä$833)</f>
      </c>
      <c r="FI833">
        <f>IF(ISBLANK('Data Entry'!$å$833), "", 'Data Entry'!$å$833)</f>
      </c>
      <c r="FJ833">
        <f>IF(ISBLANK('Data Entry'!$æ$833), "", 'Data Entry'!$æ$833)</f>
      </c>
      <c r="FK833">
        <f>IF(ISBLANK('Data Entry'!$ç$833), "", 'Data Entry'!$ç$833)</f>
      </c>
      <c r="FL833">
        <f>IF(ISBLANK('Data Entry'!$è$833), "", 'Data Entry'!$è$833)</f>
      </c>
      <c r="FM833">
        <f>IF(ISBLANK('Data Entry'!$é$833), "", 'Data Entry'!$é$833)</f>
      </c>
      <c r="FN833">
        <f>IF(ISBLANK('Data Entry'!$ê$833), "", 'Data Entry'!$ê$833)</f>
      </c>
      <c r="FO833">
        <f>IF(ISBLANK('Data Entry'!$ë$833), "", 'Data Entry'!$ë$833)</f>
      </c>
      <c r="FP833">
        <f>IF(ISBLANK('Data Entry'!$ì$833), "", 'Data Entry'!$ì$833)</f>
      </c>
      <c r="FQ833">
        <f>IF(ISBLANK('Data Entry'!$í$833), "", 'Data Entry'!$í$833)</f>
      </c>
      <c r="FR833">
        <f>IF(ISBLANK('Data Entry'!$î$833), "", 'Data Entry'!$î$833)</f>
      </c>
      <c r="FS833">
        <f>IF(ISBLANK('Data Entry'!$ï$833), "", 'Data Entry'!$ï$833)</f>
      </c>
      <c r="FT833">
        <f>IF(ISBLANK('Data Entry'!$ð$833), "", 'Data Entry'!$ð$833)</f>
      </c>
      <c r="FU833">
        <f>IF(ISBLANK('Data Entry'!$ñ$833), "", 'Data Entry'!$ñ$833)</f>
      </c>
      <c r="FV833">
        <f>IF(ISBLANK('Data Entry'!$ò$833), "", 'Data Entry'!$ò$833)</f>
      </c>
      <c r="FW833">
        <f>IF(ISBLANK('Data Entry'!$ó$833), "", 'Data Entry'!$ó$833)</f>
      </c>
      <c r="FX833">
        <f>IF(ISBLANK('Data Entry'!$ô$833), "", 'Data Entry'!$ô$833)</f>
      </c>
      <c r="FY833">
        <f>IF(ISBLANK('Data Entry'!$õ$833), "", 'Data Entry'!$õ$833)</f>
      </c>
      <c r="FZ833">
        <f>IF(ISBLANK('Data Entry'!$ö$833), "", 'Data Entry'!$ö$833)</f>
      </c>
      <c r="GA833">
        <f>IF(ISBLANK('Data Entry'!$÷$833), "", 'Data Entry'!$÷$833)</f>
      </c>
      <c r="GB833">
        <f>IF(ISBLANK('Data Entry'!$ø$833), "", 'Data Entry'!$ø$833)</f>
      </c>
      <c r="GC833">
        <f>IF(ISBLANK('Data Entry'!$ù$833), "", 'Data Entry'!$ù$833)</f>
      </c>
      <c r="GD833">
        <f>IF(ISBLANK('Data Entry'!$ú$833), "", 'Data Entry'!$ú$833)</f>
      </c>
      <c r="GE833">
        <f>IF(ISBLANK('Data Entry'!$û$833), "", 'Data Entry'!$û$833)</f>
      </c>
      <c r="GF833">
        <f>IF(ISBLANK('Data Entry'!$ü$833), "", 'Data Entry'!$ü$833)</f>
      </c>
      <c r="GG833">
        <f>IF(ISBLANK('Data Entry'!$ý$833), "", 'Data Entry'!$ý$833)</f>
      </c>
      <c r="GH833">
        <f>IF(ISBLANK('Data Entry'!$þ$833), "", 'Data Entry'!$þ$833)</f>
      </c>
      <c r="GI833">
        <f>IF(ISBLANK('Data Entry'!$ÿ$833), "", 'Data Entry'!$ÿ$833)</f>
      </c>
      <c r="GJ833">
        <f>IF(ISBLANK('Data Entry'!$Ā$833), "", 'Data Entry'!$Ā$833)</f>
      </c>
      <c r="GK833">
        <f>IF(ISBLANK('Data Entry'!$ā$833), "", 'Data Entry'!$ā$833)</f>
      </c>
      <c r="GL833">
        <f>IF(ISBLANK('Data Entry'!$Ă$833), "", 'Data Entry'!$Ă$833)</f>
      </c>
      <c r="GM833">
        <f>IF(ISBLANK('Data Entry'!$ă$833), "", 'Data Entry'!$ă$833)</f>
      </c>
      <c r="GN833">
        <f>IF(ISBLANK('Data Entry'!$Ą$833), "", 'Data Entry'!$Ą$833)</f>
      </c>
      <c r="GO833">
        <f>IF(ISBLANK('Data Entry'!$ą$833), "", 'Data Entry'!$ą$833)</f>
      </c>
      <c r="GP833">
        <f>IF(ISBLANK('Data Entry'!$Ć$833), "", 'Data Entry'!$Ć$833)</f>
      </c>
      <c r="GQ833">
        <f>IF(ISBLANK('Data Entry'!$ć$833), "", 'Data Entry'!$ć$833)</f>
      </c>
      <c r="GR833">
        <f>IF(ISBLANK('Data Entry'!$Ĉ$833), "", 'Data Entry'!$Ĉ$833)</f>
      </c>
      <c r="GS833">
        <f>IF(ISBLANK('Data Entry'!$ĉ$833), "", 'Data Entry'!$ĉ$833)</f>
      </c>
      <c r="GT833">
        <f>IF(ISBLANK('Data Entry'!$Ċ$833), "", 'Data Entry'!$Ċ$833)</f>
      </c>
      <c r="GU833">
        <f>IF(ISBLANK('Data Entry'!$ċ$833), "", 'Data Entry'!$ċ$833)</f>
      </c>
      <c r="GV833">
        <f>IF(ISBLANK('Data Entry'!$Č$833), "", 'Data Entry'!$Č$833)</f>
      </c>
      <c r="GW833">
        <f>IF(ISBLANK('Data Entry'!$č$833), "", 'Data Entry'!$č$833)</f>
      </c>
      <c r="GX833">
        <f>IF(ISBLANK('Data Entry'!$Ď$833), "", 'Data Entry'!$Ď$833)</f>
      </c>
      <c r="GY833">
        <f>IF(ISBLANK('Data Entry'!$ď$833), "", 'Data Entry'!$ď$833)</f>
      </c>
      <c r="GZ833">
        <f>IF(ISBLANK('Data Entry'!$Đ$833), "", 'Data Entry'!$Đ$833)</f>
      </c>
      <c r="HA833">
        <f>IF(ISBLANK('Data Entry'!$đ$833), "", 'Data Entry'!$đ$833)</f>
      </c>
      <c r="HB833">
        <f>IF(ISBLANK('Data Entry'!$Ē$833), "", 'Data Entry'!$Ē$833)</f>
      </c>
      <c r="HC833">
        <f>IF(ISBLANK('Data Entry'!$ē$833), "", 'Data Entry'!$ē$833)</f>
      </c>
      <c r="HD833">
        <f>IF(ISBLANK('Data Entry'!$Ĕ$833), "", 'Data Entry'!$Ĕ$833)</f>
      </c>
      <c r="HE833">
        <f>IF(ISBLANK('Data Entry'!$ĕ$833), "", 'Data Entry'!$ĕ$833)</f>
      </c>
      <c r="HF833">
        <f>IF(ISBLANK('Data Entry'!$Ė$833), "", 'Data Entry'!$Ė$833)</f>
      </c>
      <c r="HG833">
        <f>IF(ISBLANK('Data Entry'!$ė$833), "", 'Data Entry'!$ė$833)</f>
      </c>
      <c r="HH833">
        <f>IF(ISBLANK('Data Entry'!$Ę$833), "", 'Data Entry'!$Ę$833)</f>
      </c>
      <c r="HI833">
        <f>IF(ISBLANK('Data Entry'!$ę$833), "", 'Data Entry'!$ę$833)</f>
      </c>
      <c r="HJ833">
        <f>IF(ISBLANK('Data Entry'!$Ě$833), "", 'Data Entry'!$Ě$833)</f>
      </c>
      <c r="HK833">
        <f>IF(ISBLANK('Data Entry'!$ě$833), "", 'Data Entry'!$ě$833)</f>
      </c>
      <c r="HL833">
        <f>IF(ISBLANK('Data Entry'!$Ĝ$833), "", 'Data Entry'!$Ĝ$833)</f>
      </c>
      <c r="HM833">
        <f>IF(ISBLANK('Data Entry'!$ĝ$833), "", 'Data Entry'!$ĝ$833)</f>
      </c>
      <c r="HN833">
        <f>IF(ISBLANK('Data Entry'!$Ğ$833), "", 'Data Entry'!$Ğ$833)</f>
      </c>
      <c r="HO833">
        <f>IF(ISBLANK('Data Entry'!$ğ$833), "", 'Data Entry'!$ğ$833)</f>
      </c>
      <c r="HP833">
        <f>IF(ISBLANK('Data Entry'!$Ġ$833), "", 'Data Entry'!$Ġ$833)</f>
      </c>
      <c r="HQ833">
        <f>IF(ISBLANK('Data Entry'!$ġ$833), "", 'Data Entry'!$ġ$833)</f>
      </c>
      <c r="HR833">
        <f>IF(ISBLANK('Data Entry'!$Ģ$833), "", 'Data Entry'!$Ģ$833)</f>
      </c>
      <c r="HS833">
        <f>IF(ISBLANK('Data Entry'!$ģ$833), "", 'Data Entry'!$ģ$833)</f>
      </c>
      <c r="HT833">
        <f>IF(ISBLANK('Data Entry'!$Ĥ$833), "", 'Data Entry'!$Ĥ$833)</f>
      </c>
      <c r="HU833">
        <f>IF(ISBLANK('Data Entry'!$ĥ$833), "", 'Data Entry'!$ĥ$833)</f>
      </c>
      <c r="HV833">
        <f>IF(ISBLANK('Data Entry'!$Ħ$833), "", 'Data Entry'!$Ħ$833)</f>
      </c>
      <c r="HW833">
        <f>IF(ISBLANK('Data Entry'!$ħ$833), "", 'Data Entry'!$ħ$833)</f>
      </c>
      <c r="HX833">
        <f>IF(ISBLANK('Data Entry'!$Ĩ$833), "", 'Data Entry'!$Ĩ$833)</f>
      </c>
      <c r="HY833">
        <f>IF(ISBLANK('Data Entry'!$ĩ$833), "", 'Data Entry'!$ĩ$833)</f>
      </c>
      <c r="HZ833">
        <f>IF(ISBLANK('Data Entry'!$Ī$833), "", 'Data Entry'!$Ī$833)</f>
      </c>
      <c r="IA833">
        <f>IF(ISBLANK('Data Entry'!$ī$833), "", 'Data Entry'!$ī$833)</f>
      </c>
      <c r="IB833">
        <f>IF(ISBLANK('Data Entry'!$Ĭ$833), "", 'Data Entry'!$Ĭ$833)</f>
      </c>
      <c r="IC833">
        <f>IF(ISBLANK('Data Entry'!$ĭ$833), "", 'Data Entry'!$ĭ$833)</f>
      </c>
      <c r="ID833">
        <f>IF(ISBLANK('Data Entry'!$Į$833), "", 'Data Entry'!$Į$833)</f>
      </c>
      <c r="IE833">
        <f>IF(ISBLANK('Data Entry'!$į$833), "", 'Data Entry'!$į$833)</f>
      </c>
      <c r="IF833">
        <f>IF(ISBLANK('Data Entry'!$İ$833), "", 'Data Entry'!$İ$833)</f>
      </c>
      <c r="IG833">
        <f>IF(ISBLANK('Data Entry'!$ı$833), "", 'Data Entry'!$ı$833)</f>
      </c>
      <c r="IH833">
        <f>IF(ISBLANK('Data Entry'!$Ĳ$833), "", 'Data Entry'!$Ĳ$833)</f>
      </c>
      <c r="II833">
        <f>IF(ISBLANK('Data Entry'!$ĳ$833), "", 'Data Entry'!$ĳ$833)</f>
      </c>
      <c r="IJ833">
        <f>IF(ISBLANK('Data Entry'!$Ĵ$833), "", 'Data Entry'!$Ĵ$833)</f>
      </c>
      <c r="IK833">
        <f>IF(ISBLANK('Data Entry'!$ĵ$833), "", 'Data Entry'!$ĵ$833)</f>
      </c>
      <c r="IL833">
        <f>IF(ISBLANK('Data Entry'!$Ķ$833), "", 'Data Entry'!$Ķ$833)</f>
      </c>
      <c r="IM833">
        <f>IF(ISBLANK('Data Entry'!$ķ$833), "", 'Data Entry'!$ķ$833)</f>
      </c>
      <c r="IN833">
        <f>IF(ISBLANK('Data Entry'!$ĸ$833), "", 'Data Entry'!$ĸ$833)</f>
      </c>
      <c r="IO833">
        <f>IF(ISBLANK('Data Entry'!$Ĺ$833), "", 'Data Entry'!$Ĺ$833)</f>
      </c>
      <c r="IP833">
        <f>IF(ISBLANK('Data Entry'!$ĺ$833), "", 'Data Entry'!$ĺ$833)</f>
      </c>
      <c r="IQ833">
        <f>IF(ISBLANK('Data Entry'!$Ļ$833), "", 'Data Entry'!$Ļ$833)</f>
      </c>
      <c r="IR833">
        <f>IF(ISBLANK('Data Entry'!$ļ$833), "", 'Data Entry'!$ļ$833)</f>
      </c>
      <c r="IS833">
        <f>IF(ISBLANK('Data Entry'!$Ľ$833), "", 'Data Entry'!$Ľ$833)</f>
      </c>
      <c r="IT833">
        <f>IF(ISBLANK('Data Entry'!$ľ$833), "", 'Data Entry'!$ľ$833)</f>
      </c>
    </row>
    <row r="834" spans="1:254" x14ac:dyDescent="0.25">
      <c r="A834">
        <f>IF(ISBLANK('Data Entry'!$A$834), "", 'Data Entry'!$A$834)</f>
      </c>
      <c r="B834">
        <f>IF(ISBLANK('Data Entry'!$B$834), "", 'Data Entry'!$B$834)</f>
      </c>
      <c r="C834">
        <f>IF(ISBLANK('Data Entry'!$C$834), "", 'Data Entry'!$C$834)</f>
      </c>
      <c r="D834">
        <f>IF(ISBLANK('Data Entry'!$D$834), "", 'Data Entry'!$D$834)</f>
      </c>
      <c r="E834">
        <f>IF(ISBLANK('Data Entry'!$E$834), "", 'Data Entry'!$E$834)</f>
      </c>
      <c r="F834">
        <f>IF(ISBLANK('Data Entry'!$F$834), "", 'Data Entry'!$F$834)</f>
      </c>
      <c r="G834">
        <f>IF(ISBLANK('Data Entry'!$G$834), "", 'Data Entry'!$G$834)</f>
      </c>
      <c r="H834">
        <f>IF(ISBLANK('Data Entry'!$H$834), "", 'Data Entry'!$H$834)</f>
      </c>
      <c r="I834">
        <f>IF(ISBLANK('Data Entry'!$I$834), "", 'Data Entry'!$I$834)</f>
      </c>
      <c r="J834">
        <f>IF(ISBLANK('Data Entry'!$J$834), "", 'Data Entry'!$J$834)</f>
      </c>
      <c r="K834">
        <f>IF(ISBLANK('Data Entry'!$K$834), "", 'Data Entry'!$K$834)</f>
      </c>
      <c r="L834">
        <f>IF(ISBLANK('Data Entry'!$L$834), "", 'Data Entry'!$L$834)</f>
      </c>
      <c r="M834">
        <f>IF(ISBLANK('Data Entry'!$M$834), "", 'Data Entry'!$M$834)</f>
      </c>
      <c r="N834">
        <f>IF(ISBLANK('Data Entry'!$N$834), "", 'Data Entry'!$N$834)</f>
      </c>
      <c r="O834">
        <f>IF(ISBLANK('Data Entry'!$O$834), "", 'Data Entry'!$O$834)</f>
      </c>
      <c r="P834">
        <f>IF(ISBLANK('Data Entry'!$P$834), "", 'Data Entry'!$P$834)</f>
      </c>
      <c r="Q834">
        <f>IF(ISBLANK('Data Entry'!$Q$834), "", 'Data Entry'!$Q$834)</f>
      </c>
      <c r="R834">
        <f>IF(ISBLANK('Data Entry'!$R$834), "", 'Data Entry'!$R$834)</f>
      </c>
      <c r="S834">
        <f>IF(ISBLANK('Data Entry'!$S$834), "", 'Data Entry'!$S$834)</f>
      </c>
      <c r="T834">
        <f>IF(ISBLANK('Data Entry'!$T$834), "", 'Data Entry'!$T$834)</f>
      </c>
      <c r="U834">
        <f>IF(ISBLANK('Data Entry'!$U$834), "", 'Data Entry'!$U$834)</f>
      </c>
      <c r="V834">
        <f>IF(ISBLANK('Data Entry'!$V$834), "", 'Data Entry'!$V$834)</f>
      </c>
      <c r="W834">
        <f>IF(ISBLANK('Data Entry'!$W$834), "", 'Data Entry'!$W$834)</f>
      </c>
      <c r="X834">
        <f>IF(ISBLANK('Data Entry'!$X$834), "", 'Data Entry'!$X$834)</f>
      </c>
      <c r="Y834">
        <f>IF(ISBLANK('Data Entry'!$Y$834), "", 'Data Entry'!$Y$834)</f>
      </c>
      <c r="Z834">
        <f>IF(ISBLANK('Data Entry'!$Z$834), "", 'Data Entry'!$Z$834)</f>
      </c>
      <c r="AA834">
        <f>IF(ISBLANK('Data Entry'!$[$834), "", 'Data Entry'!$[$834)</f>
      </c>
      <c r="AB834">
        <f>IF(ISBLANK('Data Entry'!$\$834), "", 'Data Entry'!$\$834)</f>
      </c>
      <c r="AC834">
        <f>IF(ISBLANK('Data Entry'!$]$834), "", 'Data Entry'!$]$834)</f>
      </c>
      <c r="AD834">
        <f>IF(ISBLANK('Data Entry'!$^$834), "", 'Data Entry'!$^$834)</f>
      </c>
      <c r="AE834">
        <f>IF(ISBLANK('Data Entry'!$_$834), "", 'Data Entry'!$_$834)</f>
      </c>
      <c r="AF834">
        <f>IF(ISBLANK('Data Entry'!$`$834), "", 'Data Entry'!$`$834)</f>
      </c>
      <c r="AG834">
        <f>IF(ISBLANK('Data Entry'!$a$834), "", 'Data Entry'!$a$834)</f>
      </c>
      <c r="AH834">
        <f>IF(ISBLANK('Data Entry'!$b$834), "", 'Data Entry'!$b$834)</f>
      </c>
      <c r="AI834">
        <f>IF(ISBLANK('Data Entry'!$c$834), "", 'Data Entry'!$c$834)</f>
      </c>
      <c r="AJ834">
        <f>IF(ISBLANK('Data Entry'!$d$834), "", 'Data Entry'!$d$834)</f>
      </c>
      <c r="AK834">
        <f>IF(ISBLANK('Data Entry'!$e$834), "", 'Data Entry'!$e$834)</f>
      </c>
      <c r="AL834">
        <f>IF(ISBLANK('Data Entry'!$f$834), "", 'Data Entry'!$f$834)</f>
      </c>
      <c r="AM834">
        <f>IF(ISBLANK('Data Entry'!$g$834), "", 'Data Entry'!$g$834)</f>
      </c>
      <c r="AN834">
        <f>IF(ISBLANK('Data Entry'!$h$834), "", 'Data Entry'!$h$834)</f>
      </c>
      <c r="AO834">
        <f>IF(ISBLANK('Data Entry'!$i$834), "", 'Data Entry'!$i$834)</f>
      </c>
      <c r="AP834">
        <f>IF(ISBLANK('Data Entry'!$j$834), "", 'Data Entry'!$j$834)</f>
      </c>
      <c r="AQ834">
        <f>IF(ISBLANK('Data Entry'!$k$834), "", 'Data Entry'!$k$834)</f>
      </c>
      <c r="AR834">
        <f>IF(ISBLANK('Data Entry'!$l$834), "", 'Data Entry'!$l$834)</f>
      </c>
      <c r="AS834">
        <f>IF(ISBLANK('Data Entry'!$m$834), "", 'Data Entry'!$m$834)</f>
      </c>
      <c r="AT834">
        <f>IF(ISBLANK('Data Entry'!$n$834), "", 'Data Entry'!$n$834)</f>
      </c>
      <c r="AU834">
        <f>IF(ISBLANK('Data Entry'!$o$834), "", 'Data Entry'!$o$834)</f>
      </c>
      <c r="AV834">
        <f>IF(ISBLANK('Data Entry'!$p$834), "", 'Data Entry'!$p$834)</f>
      </c>
      <c r="AW834">
        <f>IF(ISBLANK('Data Entry'!$q$834), "", 'Data Entry'!$q$834)</f>
      </c>
      <c r="AX834">
        <f>IF(ISBLANK('Data Entry'!$r$834), "", 'Data Entry'!$r$834)</f>
      </c>
      <c r="AY834">
        <f>IF(ISBLANK('Data Entry'!$s$834), "", 'Data Entry'!$s$834)</f>
      </c>
      <c r="AZ834">
        <f>IF(ISBLANK('Data Entry'!$t$834), "", 'Data Entry'!$t$834)</f>
      </c>
      <c r="BA834">
        <f>IF(ISBLANK('Data Entry'!$u$834), "", 'Data Entry'!$u$834)</f>
      </c>
      <c r="BB834">
        <f>IF(ISBLANK('Data Entry'!$v$834), "", 'Data Entry'!$v$834)</f>
      </c>
      <c r="BC834">
        <f>IF(ISBLANK('Data Entry'!$w$834), "", 'Data Entry'!$w$834)</f>
      </c>
      <c r="BD834">
        <f>IF(ISBLANK('Data Entry'!$x$834), "", 'Data Entry'!$x$834)</f>
      </c>
      <c r="BE834">
        <f>IF(ISBLANK('Data Entry'!$y$834), "", 'Data Entry'!$y$834)</f>
      </c>
      <c r="BF834">
        <f>IF(ISBLANK('Data Entry'!$z$834), "", 'Data Entry'!$z$834)</f>
      </c>
      <c r="BG834">
        <f>IF(ISBLANK('Data Entry'!${$834), "", 'Data Entry'!${$834)</f>
      </c>
      <c r="BH834">
        <f>IF(ISBLANK('Data Entry'!$|$834), "", 'Data Entry'!$|$834)</f>
      </c>
      <c r="BI834">
        <f>IF(ISBLANK('Data Entry'!$}$834), "", 'Data Entry'!$}$834)</f>
      </c>
      <c r="BJ834">
        <f>IF(ISBLANK('Data Entry'!$~$834), "", 'Data Entry'!$~$834)</f>
      </c>
      <c r="BK834">
        <f>IF(ISBLANK('Data Entry'!$$834), "", 'Data Entry'!$$834)</f>
      </c>
      <c r="BL834">
        <f>IF(ISBLANK('Data Entry'!$$834), "", 'Data Entry'!$$834)</f>
      </c>
      <c r="BM834">
        <f>IF(ISBLANK('Data Entry'!$$834), "", 'Data Entry'!$$834)</f>
      </c>
      <c r="BN834">
        <f>IF(ISBLANK('Data Entry'!$$834), "", 'Data Entry'!$$834)</f>
      </c>
      <c r="BO834">
        <f>IF(ISBLANK('Data Entry'!$$834), "", 'Data Entry'!$$834)</f>
      </c>
      <c r="BP834">
        <f>IF(ISBLANK('Data Entry'!$$834), "", 'Data Entry'!$$834)</f>
      </c>
      <c r="BQ834">
        <f>IF(ISBLANK('Data Entry'!$$834), "", 'Data Entry'!$$834)</f>
      </c>
      <c r="BR834">
        <f>IF(ISBLANK('Data Entry'!$$834), "", 'Data Entry'!$$834)</f>
      </c>
      <c r="BS834">
        <f>IF(ISBLANK('Data Entry'!$$834), "", 'Data Entry'!$$834)</f>
      </c>
      <c r="BT834">
        <f>IF(ISBLANK('Data Entry'!$$834), "", 'Data Entry'!$$834)</f>
      </c>
      <c r="BU834">
        <f>IF(ISBLANK('Data Entry'!$$834), "", 'Data Entry'!$$834)</f>
      </c>
      <c r="BV834">
        <f>IF(ISBLANK('Data Entry'!$$834), "", 'Data Entry'!$$834)</f>
      </c>
      <c r="BW834">
        <f>IF(ISBLANK('Data Entry'!$$834), "", 'Data Entry'!$$834)</f>
      </c>
      <c r="BX834">
        <f>IF(ISBLANK('Data Entry'!$$834), "", 'Data Entry'!$$834)</f>
      </c>
      <c r="BY834">
        <f>IF(ISBLANK('Data Entry'!$$834), "", 'Data Entry'!$$834)</f>
      </c>
      <c r="BZ834">
        <f>IF(ISBLANK('Data Entry'!$$834), "", 'Data Entry'!$$834)</f>
      </c>
      <c r="CA834">
        <f>IF(ISBLANK('Data Entry'!$$834), "", 'Data Entry'!$$834)</f>
      </c>
      <c r="CB834">
        <f>IF(ISBLANK('Data Entry'!$$834), "", 'Data Entry'!$$834)</f>
      </c>
      <c r="CC834">
        <f>IF(ISBLANK('Data Entry'!$$834), "", 'Data Entry'!$$834)</f>
      </c>
      <c r="CD834">
        <f>IF(ISBLANK('Data Entry'!$$834), "", 'Data Entry'!$$834)</f>
      </c>
      <c r="CE834">
        <f>IF(ISBLANK('Data Entry'!$$834), "", 'Data Entry'!$$834)</f>
      </c>
      <c r="CF834">
        <f>IF(ISBLANK('Data Entry'!$$834), "", 'Data Entry'!$$834)</f>
      </c>
      <c r="CG834">
        <f>IF(ISBLANK('Data Entry'!$$834), "", 'Data Entry'!$$834)</f>
      </c>
      <c r="CH834">
        <f>IF(ISBLANK('Data Entry'!$$834), "", 'Data Entry'!$$834)</f>
      </c>
      <c r="CI834">
        <f>IF(ISBLANK('Data Entry'!$$834), "", 'Data Entry'!$$834)</f>
      </c>
      <c r="CJ834">
        <f>IF(ISBLANK('Data Entry'!$$834), "", 'Data Entry'!$$834)</f>
      </c>
      <c r="CK834">
        <f>IF(ISBLANK('Data Entry'!$$834), "", 'Data Entry'!$$834)</f>
      </c>
      <c r="CL834">
        <f>IF(ISBLANK('Data Entry'!$$834), "", 'Data Entry'!$$834)</f>
      </c>
      <c r="CM834">
        <f>IF(ISBLANK('Data Entry'!$$834), "", 'Data Entry'!$$834)</f>
      </c>
      <c r="CN834">
        <f>IF(ISBLANK('Data Entry'!$$834), "", 'Data Entry'!$$834)</f>
      </c>
      <c r="CO834">
        <f>IF(ISBLANK('Data Entry'!$$834), "", 'Data Entry'!$$834)</f>
      </c>
      <c r="CP834">
        <f>IF(ISBLANK('Data Entry'!$$834), "", 'Data Entry'!$$834)</f>
      </c>
      <c r="CQ834">
        <f>IF(ISBLANK('Data Entry'!$$834), "", 'Data Entry'!$$834)</f>
      </c>
      <c r="CR834">
        <f>IF(ISBLANK('Data Entry'!$ $834), "", 'Data Entry'!$ $834)</f>
      </c>
      <c r="CS834">
        <f>IF(ISBLANK('Data Entry'!$¡$834), "", 'Data Entry'!$¡$834)</f>
      </c>
      <c r="CT834">
        <f>IF(ISBLANK('Data Entry'!$¢$834), "", 'Data Entry'!$¢$834)</f>
      </c>
      <c r="CU834">
        <f>IF(ISBLANK('Data Entry'!$£$834), "", 'Data Entry'!$£$834)</f>
      </c>
      <c r="CV834">
        <f>IF(ISBLANK('Data Entry'!$¤$834), "", 'Data Entry'!$¤$834)</f>
      </c>
      <c r="CW834">
        <f>IF(ISBLANK('Data Entry'!$¥$834), "", 'Data Entry'!$¥$834)</f>
      </c>
      <c r="CX834">
        <f>IF(ISBLANK('Data Entry'!$¦$834), "", 'Data Entry'!$¦$834)</f>
      </c>
      <c r="CY834">
        <f>IF(ISBLANK('Data Entry'!$§$834), "", 'Data Entry'!$§$834)</f>
      </c>
      <c r="CZ834">
        <f>IF(ISBLANK('Data Entry'!$¨$834), "", 'Data Entry'!$¨$834)</f>
      </c>
      <c r="DA834">
        <f>IF(ISBLANK('Data Entry'!$©$834), "", 'Data Entry'!$©$834)</f>
      </c>
      <c r="DB834">
        <f>IF(ISBLANK('Data Entry'!$ª$834), "", 'Data Entry'!$ª$834)</f>
      </c>
      <c r="DC834">
        <f>IF(ISBLANK('Data Entry'!$«$834), "", 'Data Entry'!$«$834)</f>
      </c>
      <c r="DD834">
        <f>IF(ISBLANK('Data Entry'!$¬$834), "", 'Data Entry'!$¬$834)</f>
      </c>
      <c r="DE834">
        <f>IF(ISBLANK('Data Entry'!$­$834), "", 'Data Entry'!$­$834)</f>
      </c>
      <c r="DF834">
        <f>IF(ISBLANK('Data Entry'!$®$834), "", 'Data Entry'!$®$834)</f>
      </c>
      <c r="DG834">
        <f>IF(ISBLANK('Data Entry'!$¯$834), "", 'Data Entry'!$¯$834)</f>
      </c>
      <c r="DH834">
        <f>IF(ISBLANK('Data Entry'!$°$834), "", 'Data Entry'!$°$834)</f>
      </c>
      <c r="DI834">
        <f>IF(ISBLANK('Data Entry'!$±$834), "", 'Data Entry'!$±$834)</f>
      </c>
      <c r="DJ834">
        <f>IF(ISBLANK('Data Entry'!$²$834), "", 'Data Entry'!$²$834)</f>
      </c>
      <c r="DK834">
        <f>IF(ISBLANK('Data Entry'!$³$834), "", 'Data Entry'!$³$834)</f>
      </c>
      <c r="DL834">
        <f>IF(ISBLANK('Data Entry'!$´$834), "", 'Data Entry'!$´$834)</f>
      </c>
      <c r="DM834">
        <f>IF(ISBLANK('Data Entry'!$µ$834), "", 'Data Entry'!$µ$834)</f>
      </c>
      <c r="DN834">
        <f>IF(ISBLANK('Data Entry'!$¶$834), "", 'Data Entry'!$¶$834)</f>
      </c>
      <c r="DO834">
        <f>IF(ISBLANK('Data Entry'!$·$834), "", 'Data Entry'!$·$834)</f>
      </c>
      <c r="DP834">
        <f>IF(ISBLANK('Data Entry'!$¸$834), "", 'Data Entry'!$¸$834)</f>
      </c>
      <c r="DQ834">
        <f>IF(ISBLANK('Data Entry'!$¹$834), "", 'Data Entry'!$¹$834)</f>
      </c>
      <c r="DR834">
        <f>IF(ISBLANK('Data Entry'!$º$834), "", 'Data Entry'!$º$834)</f>
      </c>
      <c r="DS834">
        <f>IF(ISBLANK('Data Entry'!$»$834), "", 'Data Entry'!$»$834)</f>
      </c>
      <c r="DT834">
        <f>IF(ISBLANK('Data Entry'!$¼$834), "", 'Data Entry'!$¼$834)</f>
      </c>
      <c r="DU834">
        <f>IF(ISBLANK('Data Entry'!$½$834), "", 'Data Entry'!$½$834)</f>
      </c>
      <c r="DV834">
        <f>IF(ISBLANK('Data Entry'!$¾$834), "", 'Data Entry'!$¾$834)</f>
      </c>
      <c r="DW834">
        <f>IF(ISBLANK('Data Entry'!$¿$834), "", 'Data Entry'!$¿$834)</f>
      </c>
      <c r="DX834">
        <f>IF(ISBLANK('Data Entry'!$À$834), "", 'Data Entry'!$À$834)</f>
      </c>
      <c r="DY834">
        <f>IF(ISBLANK('Data Entry'!$Á$834), "", 'Data Entry'!$Á$834)</f>
      </c>
      <c r="DZ834">
        <f>IF(ISBLANK('Data Entry'!$Â$834), "", 'Data Entry'!$Â$834)</f>
      </c>
      <c r="EA834">
        <f>IF(ISBLANK('Data Entry'!$Ã$834), "", 'Data Entry'!$Ã$834)</f>
      </c>
      <c r="EB834">
        <f>IF(ISBLANK('Data Entry'!$Ä$834), "", 'Data Entry'!$Ä$834)</f>
      </c>
      <c r="EC834">
        <f>IF(ISBLANK('Data Entry'!$Å$834), "", 'Data Entry'!$Å$834)</f>
      </c>
      <c r="ED834">
        <f>IF(ISBLANK('Data Entry'!$Æ$834), "", 'Data Entry'!$Æ$834)</f>
      </c>
      <c r="EE834">
        <f>IF(ISBLANK('Data Entry'!$Ç$834), "", 'Data Entry'!$Ç$834)</f>
      </c>
      <c r="EF834">
        <f>IF(ISBLANK('Data Entry'!$È$834), "", 'Data Entry'!$È$834)</f>
      </c>
      <c r="EG834">
        <f>IF(ISBLANK('Data Entry'!$É$834), "", 'Data Entry'!$É$834)</f>
      </c>
      <c r="EH834">
        <f>IF(ISBLANK('Data Entry'!$Ê$834), "", 'Data Entry'!$Ê$834)</f>
      </c>
      <c r="EI834">
        <f>IF(ISBLANK('Data Entry'!$Ë$834), "", 'Data Entry'!$Ë$834)</f>
      </c>
      <c r="EJ834">
        <f>IF(ISBLANK('Data Entry'!$Ì$834), "", 'Data Entry'!$Ì$834)</f>
      </c>
      <c r="EK834">
        <f>IF(ISBLANK('Data Entry'!$Í$834), "", 'Data Entry'!$Í$834)</f>
      </c>
      <c r="EL834">
        <f>IF(ISBLANK('Data Entry'!$Î$834), "", 'Data Entry'!$Î$834)</f>
      </c>
      <c r="EM834">
        <f>IF(ISBLANK('Data Entry'!$Ï$834), "", 'Data Entry'!$Ï$834)</f>
      </c>
      <c r="EN834">
        <f>IF(ISBLANK('Data Entry'!$Ð$834), "", 'Data Entry'!$Ð$834)</f>
      </c>
      <c r="EO834">
        <f>IF(ISBLANK('Data Entry'!$Ñ$834), "", 'Data Entry'!$Ñ$834)</f>
      </c>
      <c r="EP834">
        <f>IF(ISBLANK('Data Entry'!$Ò$834), "", 'Data Entry'!$Ò$834)</f>
      </c>
      <c r="EQ834">
        <f>IF(ISBLANK('Data Entry'!$Ó$834), "", 'Data Entry'!$Ó$834)</f>
      </c>
      <c r="ER834">
        <f>IF(ISBLANK('Data Entry'!$Ô$834), "", 'Data Entry'!$Ô$834)</f>
      </c>
      <c r="ES834">
        <f>IF(ISBLANK('Data Entry'!$Õ$834), "", 'Data Entry'!$Õ$834)</f>
      </c>
      <c r="ET834">
        <f>IF(ISBLANK('Data Entry'!$Ö$834), "", 'Data Entry'!$Ö$834)</f>
      </c>
      <c r="EU834">
        <f>IF(ISBLANK('Data Entry'!$×$834), "", 'Data Entry'!$×$834)</f>
      </c>
      <c r="EV834">
        <f>IF(ISBLANK('Data Entry'!$Ø$834), "", 'Data Entry'!$Ø$834)</f>
      </c>
      <c r="EW834">
        <f>IF(ISBLANK('Data Entry'!$Ù$834), "", 'Data Entry'!$Ù$834)</f>
      </c>
      <c r="EX834">
        <f>IF(ISBLANK('Data Entry'!$Ú$834), "", 'Data Entry'!$Ú$834)</f>
      </c>
      <c r="EY834">
        <f>IF(ISBLANK('Data Entry'!$Û$834), "", 'Data Entry'!$Û$834)</f>
      </c>
      <c r="EZ834">
        <f>IF(ISBLANK('Data Entry'!$Ü$834), "", 'Data Entry'!$Ü$834)</f>
      </c>
      <c r="FA834">
        <f>IF(ISBLANK('Data Entry'!$Ý$834), "", 'Data Entry'!$Ý$834)</f>
      </c>
      <c r="FB834">
        <f>IF(ISBLANK('Data Entry'!$Þ$834), "", 'Data Entry'!$Þ$834)</f>
      </c>
      <c r="FC834">
        <f>IF(ISBLANK('Data Entry'!$ß$834), "", 'Data Entry'!$ß$834)</f>
      </c>
      <c r="FD834">
        <f>IF(ISBLANK('Data Entry'!$à$834), "", 'Data Entry'!$à$834)</f>
      </c>
      <c r="FE834">
        <f>IF(ISBLANK('Data Entry'!$á$834), "", 'Data Entry'!$á$834)</f>
      </c>
      <c r="FF834">
        <f>IF(ISBLANK('Data Entry'!$â$834), "", 'Data Entry'!$â$834)</f>
      </c>
      <c r="FG834">
        <f>IF(ISBLANK('Data Entry'!$ã$834), "", 'Data Entry'!$ã$834)</f>
      </c>
      <c r="FH834">
        <f>IF(ISBLANK('Data Entry'!$ä$834), "", 'Data Entry'!$ä$834)</f>
      </c>
      <c r="FI834">
        <f>IF(ISBLANK('Data Entry'!$å$834), "", 'Data Entry'!$å$834)</f>
      </c>
      <c r="FJ834">
        <f>IF(ISBLANK('Data Entry'!$æ$834), "", 'Data Entry'!$æ$834)</f>
      </c>
      <c r="FK834">
        <f>IF(ISBLANK('Data Entry'!$ç$834), "", 'Data Entry'!$ç$834)</f>
      </c>
      <c r="FL834">
        <f>IF(ISBLANK('Data Entry'!$è$834), "", 'Data Entry'!$è$834)</f>
      </c>
      <c r="FM834">
        <f>IF(ISBLANK('Data Entry'!$é$834), "", 'Data Entry'!$é$834)</f>
      </c>
      <c r="FN834">
        <f>IF(ISBLANK('Data Entry'!$ê$834), "", 'Data Entry'!$ê$834)</f>
      </c>
      <c r="FO834">
        <f>IF(ISBLANK('Data Entry'!$ë$834), "", 'Data Entry'!$ë$834)</f>
      </c>
      <c r="FP834">
        <f>IF(ISBLANK('Data Entry'!$ì$834), "", 'Data Entry'!$ì$834)</f>
      </c>
      <c r="FQ834">
        <f>IF(ISBLANK('Data Entry'!$í$834), "", 'Data Entry'!$í$834)</f>
      </c>
      <c r="FR834">
        <f>IF(ISBLANK('Data Entry'!$î$834), "", 'Data Entry'!$î$834)</f>
      </c>
      <c r="FS834">
        <f>IF(ISBLANK('Data Entry'!$ï$834), "", 'Data Entry'!$ï$834)</f>
      </c>
      <c r="FT834">
        <f>IF(ISBLANK('Data Entry'!$ð$834), "", 'Data Entry'!$ð$834)</f>
      </c>
      <c r="FU834">
        <f>IF(ISBLANK('Data Entry'!$ñ$834), "", 'Data Entry'!$ñ$834)</f>
      </c>
      <c r="FV834">
        <f>IF(ISBLANK('Data Entry'!$ò$834), "", 'Data Entry'!$ò$834)</f>
      </c>
      <c r="FW834">
        <f>IF(ISBLANK('Data Entry'!$ó$834), "", 'Data Entry'!$ó$834)</f>
      </c>
      <c r="FX834">
        <f>IF(ISBLANK('Data Entry'!$ô$834), "", 'Data Entry'!$ô$834)</f>
      </c>
      <c r="FY834">
        <f>IF(ISBLANK('Data Entry'!$õ$834), "", 'Data Entry'!$õ$834)</f>
      </c>
      <c r="FZ834">
        <f>IF(ISBLANK('Data Entry'!$ö$834), "", 'Data Entry'!$ö$834)</f>
      </c>
      <c r="GA834">
        <f>IF(ISBLANK('Data Entry'!$÷$834), "", 'Data Entry'!$÷$834)</f>
      </c>
      <c r="GB834">
        <f>IF(ISBLANK('Data Entry'!$ø$834), "", 'Data Entry'!$ø$834)</f>
      </c>
      <c r="GC834">
        <f>IF(ISBLANK('Data Entry'!$ù$834), "", 'Data Entry'!$ù$834)</f>
      </c>
      <c r="GD834">
        <f>IF(ISBLANK('Data Entry'!$ú$834), "", 'Data Entry'!$ú$834)</f>
      </c>
      <c r="GE834">
        <f>IF(ISBLANK('Data Entry'!$û$834), "", 'Data Entry'!$û$834)</f>
      </c>
      <c r="GF834">
        <f>IF(ISBLANK('Data Entry'!$ü$834), "", 'Data Entry'!$ü$834)</f>
      </c>
      <c r="GG834">
        <f>IF(ISBLANK('Data Entry'!$ý$834), "", 'Data Entry'!$ý$834)</f>
      </c>
      <c r="GH834">
        <f>IF(ISBLANK('Data Entry'!$þ$834), "", 'Data Entry'!$þ$834)</f>
      </c>
      <c r="GI834">
        <f>IF(ISBLANK('Data Entry'!$ÿ$834), "", 'Data Entry'!$ÿ$834)</f>
      </c>
      <c r="GJ834">
        <f>IF(ISBLANK('Data Entry'!$Ā$834), "", 'Data Entry'!$Ā$834)</f>
      </c>
      <c r="GK834">
        <f>IF(ISBLANK('Data Entry'!$ā$834), "", 'Data Entry'!$ā$834)</f>
      </c>
      <c r="GL834">
        <f>IF(ISBLANK('Data Entry'!$Ă$834), "", 'Data Entry'!$Ă$834)</f>
      </c>
      <c r="GM834">
        <f>IF(ISBLANK('Data Entry'!$ă$834), "", 'Data Entry'!$ă$834)</f>
      </c>
      <c r="GN834">
        <f>IF(ISBLANK('Data Entry'!$Ą$834), "", 'Data Entry'!$Ą$834)</f>
      </c>
      <c r="GO834">
        <f>IF(ISBLANK('Data Entry'!$ą$834), "", 'Data Entry'!$ą$834)</f>
      </c>
      <c r="GP834">
        <f>IF(ISBLANK('Data Entry'!$Ć$834), "", 'Data Entry'!$Ć$834)</f>
      </c>
      <c r="GQ834">
        <f>IF(ISBLANK('Data Entry'!$ć$834), "", 'Data Entry'!$ć$834)</f>
      </c>
      <c r="GR834">
        <f>IF(ISBLANK('Data Entry'!$Ĉ$834), "", 'Data Entry'!$Ĉ$834)</f>
      </c>
      <c r="GS834">
        <f>IF(ISBLANK('Data Entry'!$ĉ$834), "", 'Data Entry'!$ĉ$834)</f>
      </c>
      <c r="GT834">
        <f>IF(ISBLANK('Data Entry'!$Ċ$834), "", 'Data Entry'!$Ċ$834)</f>
      </c>
      <c r="GU834">
        <f>IF(ISBLANK('Data Entry'!$ċ$834), "", 'Data Entry'!$ċ$834)</f>
      </c>
      <c r="GV834">
        <f>IF(ISBLANK('Data Entry'!$Č$834), "", 'Data Entry'!$Č$834)</f>
      </c>
      <c r="GW834">
        <f>IF(ISBLANK('Data Entry'!$č$834), "", 'Data Entry'!$č$834)</f>
      </c>
      <c r="GX834">
        <f>IF(ISBLANK('Data Entry'!$Ď$834), "", 'Data Entry'!$Ď$834)</f>
      </c>
      <c r="GY834">
        <f>IF(ISBLANK('Data Entry'!$ď$834), "", 'Data Entry'!$ď$834)</f>
      </c>
      <c r="GZ834">
        <f>IF(ISBLANK('Data Entry'!$Đ$834), "", 'Data Entry'!$Đ$834)</f>
      </c>
      <c r="HA834">
        <f>IF(ISBLANK('Data Entry'!$đ$834), "", 'Data Entry'!$đ$834)</f>
      </c>
      <c r="HB834">
        <f>IF(ISBLANK('Data Entry'!$Ē$834), "", 'Data Entry'!$Ē$834)</f>
      </c>
      <c r="HC834">
        <f>IF(ISBLANK('Data Entry'!$ē$834), "", 'Data Entry'!$ē$834)</f>
      </c>
      <c r="HD834">
        <f>IF(ISBLANK('Data Entry'!$Ĕ$834), "", 'Data Entry'!$Ĕ$834)</f>
      </c>
      <c r="HE834">
        <f>IF(ISBLANK('Data Entry'!$ĕ$834), "", 'Data Entry'!$ĕ$834)</f>
      </c>
      <c r="HF834">
        <f>IF(ISBLANK('Data Entry'!$Ė$834), "", 'Data Entry'!$Ė$834)</f>
      </c>
      <c r="HG834">
        <f>IF(ISBLANK('Data Entry'!$ė$834), "", 'Data Entry'!$ė$834)</f>
      </c>
      <c r="HH834">
        <f>IF(ISBLANK('Data Entry'!$Ę$834), "", 'Data Entry'!$Ę$834)</f>
      </c>
      <c r="HI834">
        <f>IF(ISBLANK('Data Entry'!$ę$834), "", 'Data Entry'!$ę$834)</f>
      </c>
      <c r="HJ834">
        <f>IF(ISBLANK('Data Entry'!$Ě$834), "", 'Data Entry'!$Ě$834)</f>
      </c>
      <c r="HK834">
        <f>IF(ISBLANK('Data Entry'!$ě$834), "", 'Data Entry'!$ě$834)</f>
      </c>
      <c r="HL834">
        <f>IF(ISBLANK('Data Entry'!$Ĝ$834), "", 'Data Entry'!$Ĝ$834)</f>
      </c>
      <c r="HM834">
        <f>IF(ISBLANK('Data Entry'!$ĝ$834), "", 'Data Entry'!$ĝ$834)</f>
      </c>
      <c r="HN834">
        <f>IF(ISBLANK('Data Entry'!$Ğ$834), "", 'Data Entry'!$Ğ$834)</f>
      </c>
      <c r="HO834">
        <f>IF(ISBLANK('Data Entry'!$ğ$834), "", 'Data Entry'!$ğ$834)</f>
      </c>
      <c r="HP834">
        <f>IF(ISBLANK('Data Entry'!$Ġ$834), "", 'Data Entry'!$Ġ$834)</f>
      </c>
      <c r="HQ834">
        <f>IF(ISBLANK('Data Entry'!$ġ$834), "", 'Data Entry'!$ġ$834)</f>
      </c>
      <c r="HR834">
        <f>IF(ISBLANK('Data Entry'!$Ģ$834), "", 'Data Entry'!$Ģ$834)</f>
      </c>
      <c r="HS834">
        <f>IF(ISBLANK('Data Entry'!$ģ$834), "", 'Data Entry'!$ģ$834)</f>
      </c>
      <c r="HT834">
        <f>IF(ISBLANK('Data Entry'!$Ĥ$834), "", 'Data Entry'!$Ĥ$834)</f>
      </c>
      <c r="HU834">
        <f>IF(ISBLANK('Data Entry'!$ĥ$834), "", 'Data Entry'!$ĥ$834)</f>
      </c>
      <c r="HV834">
        <f>IF(ISBLANK('Data Entry'!$Ħ$834), "", 'Data Entry'!$Ħ$834)</f>
      </c>
      <c r="HW834">
        <f>IF(ISBLANK('Data Entry'!$ħ$834), "", 'Data Entry'!$ħ$834)</f>
      </c>
      <c r="HX834">
        <f>IF(ISBLANK('Data Entry'!$Ĩ$834), "", 'Data Entry'!$Ĩ$834)</f>
      </c>
      <c r="HY834">
        <f>IF(ISBLANK('Data Entry'!$ĩ$834), "", 'Data Entry'!$ĩ$834)</f>
      </c>
      <c r="HZ834">
        <f>IF(ISBLANK('Data Entry'!$Ī$834), "", 'Data Entry'!$Ī$834)</f>
      </c>
      <c r="IA834">
        <f>IF(ISBLANK('Data Entry'!$ī$834), "", 'Data Entry'!$ī$834)</f>
      </c>
      <c r="IB834">
        <f>IF(ISBLANK('Data Entry'!$Ĭ$834), "", 'Data Entry'!$Ĭ$834)</f>
      </c>
      <c r="IC834">
        <f>IF(ISBLANK('Data Entry'!$ĭ$834), "", 'Data Entry'!$ĭ$834)</f>
      </c>
      <c r="ID834">
        <f>IF(ISBLANK('Data Entry'!$Į$834), "", 'Data Entry'!$Į$834)</f>
      </c>
      <c r="IE834">
        <f>IF(ISBLANK('Data Entry'!$į$834), "", 'Data Entry'!$į$834)</f>
      </c>
      <c r="IF834">
        <f>IF(ISBLANK('Data Entry'!$İ$834), "", 'Data Entry'!$İ$834)</f>
      </c>
      <c r="IG834">
        <f>IF(ISBLANK('Data Entry'!$ı$834), "", 'Data Entry'!$ı$834)</f>
      </c>
      <c r="IH834">
        <f>IF(ISBLANK('Data Entry'!$Ĳ$834), "", 'Data Entry'!$Ĳ$834)</f>
      </c>
      <c r="II834">
        <f>IF(ISBLANK('Data Entry'!$ĳ$834), "", 'Data Entry'!$ĳ$834)</f>
      </c>
      <c r="IJ834">
        <f>IF(ISBLANK('Data Entry'!$Ĵ$834), "", 'Data Entry'!$Ĵ$834)</f>
      </c>
      <c r="IK834">
        <f>IF(ISBLANK('Data Entry'!$ĵ$834), "", 'Data Entry'!$ĵ$834)</f>
      </c>
      <c r="IL834">
        <f>IF(ISBLANK('Data Entry'!$Ķ$834), "", 'Data Entry'!$Ķ$834)</f>
      </c>
      <c r="IM834">
        <f>IF(ISBLANK('Data Entry'!$ķ$834), "", 'Data Entry'!$ķ$834)</f>
      </c>
      <c r="IN834">
        <f>IF(ISBLANK('Data Entry'!$ĸ$834), "", 'Data Entry'!$ĸ$834)</f>
      </c>
      <c r="IO834">
        <f>IF(ISBLANK('Data Entry'!$Ĺ$834), "", 'Data Entry'!$Ĺ$834)</f>
      </c>
      <c r="IP834">
        <f>IF(ISBLANK('Data Entry'!$ĺ$834), "", 'Data Entry'!$ĺ$834)</f>
      </c>
      <c r="IQ834">
        <f>IF(ISBLANK('Data Entry'!$Ļ$834), "", 'Data Entry'!$Ļ$834)</f>
      </c>
      <c r="IR834">
        <f>IF(ISBLANK('Data Entry'!$ļ$834), "", 'Data Entry'!$ļ$834)</f>
      </c>
      <c r="IS834">
        <f>IF(ISBLANK('Data Entry'!$Ľ$834), "", 'Data Entry'!$Ľ$834)</f>
      </c>
      <c r="IT834">
        <f>IF(ISBLANK('Data Entry'!$ľ$834), "", 'Data Entry'!$ľ$834)</f>
      </c>
    </row>
    <row r="835" spans="1:254" x14ac:dyDescent="0.25">
      <c r="A835">
        <f>IF(ISBLANK('Data Entry'!$A$835), "", 'Data Entry'!$A$835)</f>
      </c>
      <c r="B835">
        <f>IF(ISBLANK('Data Entry'!$B$835), "", 'Data Entry'!$B$835)</f>
      </c>
      <c r="C835">
        <f>IF(ISBLANK('Data Entry'!$C$835), "", 'Data Entry'!$C$835)</f>
      </c>
      <c r="D835">
        <f>IF(ISBLANK('Data Entry'!$D$835), "", 'Data Entry'!$D$835)</f>
      </c>
      <c r="E835">
        <f>IF(ISBLANK('Data Entry'!$E$835), "", 'Data Entry'!$E$835)</f>
      </c>
      <c r="F835">
        <f>IF(ISBLANK('Data Entry'!$F$835), "", 'Data Entry'!$F$835)</f>
      </c>
      <c r="G835">
        <f>IF(ISBLANK('Data Entry'!$G$835), "", 'Data Entry'!$G$835)</f>
      </c>
      <c r="H835">
        <f>IF(ISBLANK('Data Entry'!$H$835), "", 'Data Entry'!$H$835)</f>
      </c>
      <c r="I835">
        <f>IF(ISBLANK('Data Entry'!$I$835), "", 'Data Entry'!$I$835)</f>
      </c>
      <c r="J835">
        <f>IF(ISBLANK('Data Entry'!$J$835), "", 'Data Entry'!$J$835)</f>
      </c>
      <c r="K835">
        <f>IF(ISBLANK('Data Entry'!$K$835), "", 'Data Entry'!$K$835)</f>
      </c>
      <c r="L835">
        <f>IF(ISBLANK('Data Entry'!$L$835), "", 'Data Entry'!$L$835)</f>
      </c>
      <c r="M835">
        <f>IF(ISBLANK('Data Entry'!$M$835), "", 'Data Entry'!$M$835)</f>
      </c>
      <c r="N835">
        <f>IF(ISBLANK('Data Entry'!$N$835), "", 'Data Entry'!$N$835)</f>
      </c>
      <c r="O835">
        <f>IF(ISBLANK('Data Entry'!$O$835), "", 'Data Entry'!$O$835)</f>
      </c>
      <c r="P835">
        <f>IF(ISBLANK('Data Entry'!$P$835), "", 'Data Entry'!$P$835)</f>
      </c>
      <c r="Q835">
        <f>IF(ISBLANK('Data Entry'!$Q$835), "", 'Data Entry'!$Q$835)</f>
      </c>
      <c r="R835">
        <f>IF(ISBLANK('Data Entry'!$R$835), "", 'Data Entry'!$R$835)</f>
      </c>
      <c r="S835">
        <f>IF(ISBLANK('Data Entry'!$S$835), "", 'Data Entry'!$S$835)</f>
      </c>
      <c r="T835">
        <f>IF(ISBLANK('Data Entry'!$T$835), "", 'Data Entry'!$T$835)</f>
      </c>
      <c r="U835">
        <f>IF(ISBLANK('Data Entry'!$U$835), "", 'Data Entry'!$U$835)</f>
      </c>
      <c r="V835">
        <f>IF(ISBLANK('Data Entry'!$V$835), "", 'Data Entry'!$V$835)</f>
      </c>
      <c r="W835">
        <f>IF(ISBLANK('Data Entry'!$W$835), "", 'Data Entry'!$W$835)</f>
      </c>
      <c r="X835">
        <f>IF(ISBLANK('Data Entry'!$X$835), "", 'Data Entry'!$X$835)</f>
      </c>
      <c r="Y835">
        <f>IF(ISBLANK('Data Entry'!$Y$835), "", 'Data Entry'!$Y$835)</f>
      </c>
      <c r="Z835">
        <f>IF(ISBLANK('Data Entry'!$Z$835), "", 'Data Entry'!$Z$835)</f>
      </c>
      <c r="AA835">
        <f>IF(ISBLANK('Data Entry'!$[$835), "", 'Data Entry'!$[$835)</f>
      </c>
      <c r="AB835">
        <f>IF(ISBLANK('Data Entry'!$\$835), "", 'Data Entry'!$\$835)</f>
      </c>
      <c r="AC835">
        <f>IF(ISBLANK('Data Entry'!$]$835), "", 'Data Entry'!$]$835)</f>
      </c>
      <c r="AD835">
        <f>IF(ISBLANK('Data Entry'!$^$835), "", 'Data Entry'!$^$835)</f>
      </c>
      <c r="AE835">
        <f>IF(ISBLANK('Data Entry'!$_$835), "", 'Data Entry'!$_$835)</f>
      </c>
      <c r="AF835">
        <f>IF(ISBLANK('Data Entry'!$`$835), "", 'Data Entry'!$`$835)</f>
      </c>
      <c r="AG835">
        <f>IF(ISBLANK('Data Entry'!$a$835), "", 'Data Entry'!$a$835)</f>
      </c>
      <c r="AH835">
        <f>IF(ISBLANK('Data Entry'!$b$835), "", 'Data Entry'!$b$835)</f>
      </c>
      <c r="AI835">
        <f>IF(ISBLANK('Data Entry'!$c$835), "", 'Data Entry'!$c$835)</f>
      </c>
      <c r="AJ835">
        <f>IF(ISBLANK('Data Entry'!$d$835), "", 'Data Entry'!$d$835)</f>
      </c>
      <c r="AK835">
        <f>IF(ISBLANK('Data Entry'!$e$835), "", 'Data Entry'!$e$835)</f>
      </c>
      <c r="AL835">
        <f>IF(ISBLANK('Data Entry'!$f$835), "", 'Data Entry'!$f$835)</f>
      </c>
      <c r="AM835">
        <f>IF(ISBLANK('Data Entry'!$g$835), "", 'Data Entry'!$g$835)</f>
      </c>
      <c r="AN835">
        <f>IF(ISBLANK('Data Entry'!$h$835), "", 'Data Entry'!$h$835)</f>
      </c>
      <c r="AO835">
        <f>IF(ISBLANK('Data Entry'!$i$835), "", 'Data Entry'!$i$835)</f>
      </c>
      <c r="AP835">
        <f>IF(ISBLANK('Data Entry'!$j$835), "", 'Data Entry'!$j$835)</f>
      </c>
      <c r="AQ835">
        <f>IF(ISBLANK('Data Entry'!$k$835), "", 'Data Entry'!$k$835)</f>
      </c>
      <c r="AR835">
        <f>IF(ISBLANK('Data Entry'!$l$835), "", 'Data Entry'!$l$835)</f>
      </c>
      <c r="AS835">
        <f>IF(ISBLANK('Data Entry'!$m$835), "", 'Data Entry'!$m$835)</f>
      </c>
      <c r="AT835">
        <f>IF(ISBLANK('Data Entry'!$n$835), "", 'Data Entry'!$n$835)</f>
      </c>
      <c r="AU835">
        <f>IF(ISBLANK('Data Entry'!$o$835), "", 'Data Entry'!$o$835)</f>
      </c>
      <c r="AV835">
        <f>IF(ISBLANK('Data Entry'!$p$835), "", 'Data Entry'!$p$835)</f>
      </c>
      <c r="AW835">
        <f>IF(ISBLANK('Data Entry'!$q$835), "", 'Data Entry'!$q$835)</f>
      </c>
      <c r="AX835">
        <f>IF(ISBLANK('Data Entry'!$r$835), "", 'Data Entry'!$r$835)</f>
      </c>
      <c r="AY835">
        <f>IF(ISBLANK('Data Entry'!$s$835), "", 'Data Entry'!$s$835)</f>
      </c>
      <c r="AZ835">
        <f>IF(ISBLANK('Data Entry'!$t$835), "", 'Data Entry'!$t$835)</f>
      </c>
      <c r="BA835">
        <f>IF(ISBLANK('Data Entry'!$u$835), "", 'Data Entry'!$u$835)</f>
      </c>
      <c r="BB835">
        <f>IF(ISBLANK('Data Entry'!$v$835), "", 'Data Entry'!$v$835)</f>
      </c>
      <c r="BC835">
        <f>IF(ISBLANK('Data Entry'!$w$835), "", 'Data Entry'!$w$835)</f>
      </c>
      <c r="BD835">
        <f>IF(ISBLANK('Data Entry'!$x$835), "", 'Data Entry'!$x$835)</f>
      </c>
      <c r="BE835">
        <f>IF(ISBLANK('Data Entry'!$y$835), "", 'Data Entry'!$y$835)</f>
      </c>
      <c r="BF835">
        <f>IF(ISBLANK('Data Entry'!$z$835), "", 'Data Entry'!$z$835)</f>
      </c>
      <c r="BG835">
        <f>IF(ISBLANK('Data Entry'!${$835), "", 'Data Entry'!${$835)</f>
      </c>
      <c r="BH835">
        <f>IF(ISBLANK('Data Entry'!$|$835), "", 'Data Entry'!$|$835)</f>
      </c>
      <c r="BI835">
        <f>IF(ISBLANK('Data Entry'!$}$835), "", 'Data Entry'!$}$835)</f>
      </c>
      <c r="BJ835">
        <f>IF(ISBLANK('Data Entry'!$~$835), "", 'Data Entry'!$~$835)</f>
      </c>
      <c r="BK835">
        <f>IF(ISBLANK('Data Entry'!$$835), "", 'Data Entry'!$$835)</f>
      </c>
      <c r="BL835">
        <f>IF(ISBLANK('Data Entry'!$$835), "", 'Data Entry'!$$835)</f>
      </c>
      <c r="BM835">
        <f>IF(ISBLANK('Data Entry'!$$835), "", 'Data Entry'!$$835)</f>
      </c>
      <c r="BN835">
        <f>IF(ISBLANK('Data Entry'!$$835), "", 'Data Entry'!$$835)</f>
      </c>
      <c r="BO835">
        <f>IF(ISBLANK('Data Entry'!$$835), "", 'Data Entry'!$$835)</f>
      </c>
      <c r="BP835">
        <f>IF(ISBLANK('Data Entry'!$$835), "", 'Data Entry'!$$835)</f>
      </c>
      <c r="BQ835">
        <f>IF(ISBLANK('Data Entry'!$$835), "", 'Data Entry'!$$835)</f>
      </c>
      <c r="BR835">
        <f>IF(ISBLANK('Data Entry'!$$835), "", 'Data Entry'!$$835)</f>
      </c>
      <c r="BS835">
        <f>IF(ISBLANK('Data Entry'!$$835), "", 'Data Entry'!$$835)</f>
      </c>
      <c r="BT835">
        <f>IF(ISBLANK('Data Entry'!$$835), "", 'Data Entry'!$$835)</f>
      </c>
      <c r="BU835">
        <f>IF(ISBLANK('Data Entry'!$$835), "", 'Data Entry'!$$835)</f>
      </c>
      <c r="BV835">
        <f>IF(ISBLANK('Data Entry'!$$835), "", 'Data Entry'!$$835)</f>
      </c>
      <c r="BW835">
        <f>IF(ISBLANK('Data Entry'!$$835), "", 'Data Entry'!$$835)</f>
      </c>
      <c r="BX835">
        <f>IF(ISBLANK('Data Entry'!$$835), "", 'Data Entry'!$$835)</f>
      </c>
      <c r="BY835">
        <f>IF(ISBLANK('Data Entry'!$$835), "", 'Data Entry'!$$835)</f>
      </c>
      <c r="BZ835">
        <f>IF(ISBLANK('Data Entry'!$$835), "", 'Data Entry'!$$835)</f>
      </c>
      <c r="CA835">
        <f>IF(ISBLANK('Data Entry'!$$835), "", 'Data Entry'!$$835)</f>
      </c>
      <c r="CB835">
        <f>IF(ISBLANK('Data Entry'!$$835), "", 'Data Entry'!$$835)</f>
      </c>
      <c r="CC835">
        <f>IF(ISBLANK('Data Entry'!$$835), "", 'Data Entry'!$$835)</f>
      </c>
      <c r="CD835">
        <f>IF(ISBLANK('Data Entry'!$$835), "", 'Data Entry'!$$835)</f>
      </c>
      <c r="CE835">
        <f>IF(ISBLANK('Data Entry'!$$835), "", 'Data Entry'!$$835)</f>
      </c>
      <c r="CF835">
        <f>IF(ISBLANK('Data Entry'!$$835), "", 'Data Entry'!$$835)</f>
      </c>
      <c r="CG835">
        <f>IF(ISBLANK('Data Entry'!$$835), "", 'Data Entry'!$$835)</f>
      </c>
      <c r="CH835">
        <f>IF(ISBLANK('Data Entry'!$$835), "", 'Data Entry'!$$835)</f>
      </c>
      <c r="CI835">
        <f>IF(ISBLANK('Data Entry'!$$835), "", 'Data Entry'!$$835)</f>
      </c>
      <c r="CJ835">
        <f>IF(ISBLANK('Data Entry'!$$835), "", 'Data Entry'!$$835)</f>
      </c>
      <c r="CK835">
        <f>IF(ISBLANK('Data Entry'!$$835), "", 'Data Entry'!$$835)</f>
      </c>
      <c r="CL835">
        <f>IF(ISBLANK('Data Entry'!$$835), "", 'Data Entry'!$$835)</f>
      </c>
      <c r="CM835">
        <f>IF(ISBLANK('Data Entry'!$$835), "", 'Data Entry'!$$835)</f>
      </c>
      <c r="CN835">
        <f>IF(ISBLANK('Data Entry'!$$835), "", 'Data Entry'!$$835)</f>
      </c>
      <c r="CO835">
        <f>IF(ISBLANK('Data Entry'!$$835), "", 'Data Entry'!$$835)</f>
      </c>
      <c r="CP835">
        <f>IF(ISBLANK('Data Entry'!$$835), "", 'Data Entry'!$$835)</f>
      </c>
      <c r="CQ835">
        <f>IF(ISBLANK('Data Entry'!$$835), "", 'Data Entry'!$$835)</f>
      </c>
      <c r="CR835">
        <f>IF(ISBLANK('Data Entry'!$ $835), "", 'Data Entry'!$ $835)</f>
      </c>
      <c r="CS835">
        <f>IF(ISBLANK('Data Entry'!$¡$835), "", 'Data Entry'!$¡$835)</f>
      </c>
      <c r="CT835">
        <f>IF(ISBLANK('Data Entry'!$¢$835), "", 'Data Entry'!$¢$835)</f>
      </c>
      <c r="CU835">
        <f>IF(ISBLANK('Data Entry'!$£$835), "", 'Data Entry'!$£$835)</f>
      </c>
      <c r="CV835">
        <f>IF(ISBLANK('Data Entry'!$¤$835), "", 'Data Entry'!$¤$835)</f>
      </c>
      <c r="CW835">
        <f>IF(ISBLANK('Data Entry'!$¥$835), "", 'Data Entry'!$¥$835)</f>
      </c>
      <c r="CX835">
        <f>IF(ISBLANK('Data Entry'!$¦$835), "", 'Data Entry'!$¦$835)</f>
      </c>
      <c r="CY835">
        <f>IF(ISBLANK('Data Entry'!$§$835), "", 'Data Entry'!$§$835)</f>
      </c>
      <c r="CZ835">
        <f>IF(ISBLANK('Data Entry'!$¨$835), "", 'Data Entry'!$¨$835)</f>
      </c>
      <c r="DA835">
        <f>IF(ISBLANK('Data Entry'!$©$835), "", 'Data Entry'!$©$835)</f>
      </c>
      <c r="DB835">
        <f>IF(ISBLANK('Data Entry'!$ª$835), "", 'Data Entry'!$ª$835)</f>
      </c>
      <c r="DC835">
        <f>IF(ISBLANK('Data Entry'!$«$835), "", 'Data Entry'!$«$835)</f>
      </c>
      <c r="DD835">
        <f>IF(ISBLANK('Data Entry'!$¬$835), "", 'Data Entry'!$¬$835)</f>
      </c>
      <c r="DE835">
        <f>IF(ISBLANK('Data Entry'!$­$835), "", 'Data Entry'!$­$835)</f>
      </c>
      <c r="DF835">
        <f>IF(ISBLANK('Data Entry'!$®$835), "", 'Data Entry'!$®$835)</f>
      </c>
      <c r="DG835">
        <f>IF(ISBLANK('Data Entry'!$¯$835), "", 'Data Entry'!$¯$835)</f>
      </c>
      <c r="DH835">
        <f>IF(ISBLANK('Data Entry'!$°$835), "", 'Data Entry'!$°$835)</f>
      </c>
      <c r="DI835">
        <f>IF(ISBLANK('Data Entry'!$±$835), "", 'Data Entry'!$±$835)</f>
      </c>
      <c r="DJ835">
        <f>IF(ISBLANK('Data Entry'!$²$835), "", 'Data Entry'!$²$835)</f>
      </c>
      <c r="DK835">
        <f>IF(ISBLANK('Data Entry'!$³$835), "", 'Data Entry'!$³$835)</f>
      </c>
      <c r="DL835">
        <f>IF(ISBLANK('Data Entry'!$´$835), "", 'Data Entry'!$´$835)</f>
      </c>
      <c r="DM835">
        <f>IF(ISBLANK('Data Entry'!$µ$835), "", 'Data Entry'!$µ$835)</f>
      </c>
      <c r="DN835">
        <f>IF(ISBLANK('Data Entry'!$¶$835), "", 'Data Entry'!$¶$835)</f>
      </c>
      <c r="DO835">
        <f>IF(ISBLANK('Data Entry'!$·$835), "", 'Data Entry'!$·$835)</f>
      </c>
      <c r="DP835">
        <f>IF(ISBLANK('Data Entry'!$¸$835), "", 'Data Entry'!$¸$835)</f>
      </c>
      <c r="DQ835">
        <f>IF(ISBLANK('Data Entry'!$¹$835), "", 'Data Entry'!$¹$835)</f>
      </c>
      <c r="DR835">
        <f>IF(ISBLANK('Data Entry'!$º$835), "", 'Data Entry'!$º$835)</f>
      </c>
      <c r="DS835">
        <f>IF(ISBLANK('Data Entry'!$»$835), "", 'Data Entry'!$»$835)</f>
      </c>
      <c r="DT835">
        <f>IF(ISBLANK('Data Entry'!$¼$835), "", 'Data Entry'!$¼$835)</f>
      </c>
      <c r="DU835">
        <f>IF(ISBLANK('Data Entry'!$½$835), "", 'Data Entry'!$½$835)</f>
      </c>
      <c r="DV835">
        <f>IF(ISBLANK('Data Entry'!$¾$835), "", 'Data Entry'!$¾$835)</f>
      </c>
      <c r="DW835">
        <f>IF(ISBLANK('Data Entry'!$¿$835), "", 'Data Entry'!$¿$835)</f>
      </c>
      <c r="DX835">
        <f>IF(ISBLANK('Data Entry'!$À$835), "", 'Data Entry'!$À$835)</f>
      </c>
      <c r="DY835">
        <f>IF(ISBLANK('Data Entry'!$Á$835), "", 'Data Entry'!$Á$835)</f>
      </c>
      <c r="DZ835">
        <f>IF(ISBLANK('Data Entry'!$Â$835), "", 'Data Entry'!$Â$835)</f>
      </c>
      <c r="EA835">
        <f>IF(ISBLANK('Data Entry'!$Ã$835), "", 'Data Entry'!$Ã$835)</f>
      </c>
      <c r="EB835">
        <f>IF(ISBLANK('Data Entry'!$Ä$835), "", 'Data Entry'!$Ä$835)</f>
      </c>
      <c r="EC835">
        <f>IF(ISBLANK('Data Entry'!$Å$835), "", 'Data Entry'!$Å$835)</f>
      </c>
      <c r="ED835">
        <f>IF(ISBLANK('Data Entry'!$Æ$835), "", 'Data Entry'!$Æ$835)</f>
      </c>
      <c r="EE835">
        <f>IF(ISBLANK('Data Entry'!$Ç$835), "", 'Data Entry'!$Ç$835)</f>
      </c>
      <c r="EF835">
        <f>IF(ISBLANK('Data Entry'!$È$835), "", 'Data Entry'!$È$835)</f>
      </c>
      <c r="EG835">
        <f>IF(ISBLANK('Data Entry'!$É$835), "", 'Data Entry'!$É$835)</f>
      </c>
      <c r="EH835">
        <f>IF(ISBLANK('Data Entry'!$Ê$835), "", 'Data Entry'!$Ê$835)</f>
      </c>
      <c r="EI835">
        <f>IF(ISBLANK('Data Entry'!$Ë$835), "", 'Data Entry'!$Ë$835)</f>
      </c>
      <c r="EJ835">
        <f>IF(ISBLANK('Data Entry'!$Ì$835), "", 'Data Entry'!$Ì$835)</f>
      </c>
      <c r="EK835">
        <f>IF(ISBLANK('Data Entry'!$Í$835), "", 'Data Entry'!$Í$835)</f>
      </c>
      <c r="EL835">
        <f>IF(ISBLANK('Data Entry'!$Î$835), "", 'Data Entry'!$Î$835)</f>
      </c>
      <c r="EM835">
        <f>IF(ISBLANK('Data Entry'!$Ï$835), "", 'Data Entry'!$Ï$835)</f>
      </c>
      <c r="EN835">
        <f>IF(ISBLANK('Data Entry'!$Ð$835), "", 'Data Entry'!$Ð$835)</f>
      </c>
      <c r="EO835">
        <f>IF(ISBLANK('Data Entry'!$Ñ$835), "", 'Data Entry'!$Ñ$835)</f>
      </c>
      <c r="EP835">
        <f>IF(ISBLANK('Data Entry'!$Ò$835), "", 'Data Entry'!$Ò$835)</f>
      </c>
      <c r="EQ835">
        <f>IF(ISBLANK('Data Entry'!$Ó$835), "", 'Data Entry'!$Ó$835)</f>
      </c>
      <c r="ER835">
        <f>IF(ISBLANK('Data Entry'!$Ô$835), "", 'Data Entry'!$Ô$835)</f>
      </c>
      <c r="ES835">
        <f>IF(ISBLANK('Data Entry'!$Õ$835), "", 'Data Entry'!$Õ$835)</f>
      </c>
      <c r="ET835">
        <f>IF(ISBLANK('Data Entry'!$Ö$835), "", 'Data Entry'!$Ö$835)</f>
      </c>
      <c r="EU835">
        <f>IF(ISBLANK('Data Entry'!$×$835), "", 'Data Entry'!$×$835)</f>
      </c>
      <c r="EV835">
        <f>IF(ISBLANK('Data Entry'!$Ø$835), "", 'Data Entry'!$Ø$835)</f>
      </c>
      <c r="EW835">
        <f>IF(ISBLANK('Data Entry'!$Ù$835), "", 'Data Entry'!$Ù$835)</f>
      </c>
      <c r="EX835">
        <f>IF(ISBLANK('Data Entry'!$Ú$835), "", 'Data Entry'!$Ú$835)</f>
      </c>
      <c r="EY835">
        <f>IF(ISBLANK('Data Entry'!$Û$835), "", 'Data Entry'!$Û$835)</f>
      </c>
      <c r="EZ835">
        <f>IF(ISBLANK('Data Entry'!$Ü$835), "", 'Data Entry'!$Ü$835)</f>
      </c>
      <c r="FA835">
        <f>IF(ISBLANK('Data Entry'!$Ý$835), "", 'Data Entry'!$Ý$835)</f>
      </c>
      <c r="FB835">
        <f>IF(ISBLANK('Data Entry'!$Þ$835), "", 'Data Entry'!$Þ$835)</f>
      </c>
      <c r="FC835">
        <f>IF(ISBLANK('Data Entry'!$ß$835), "", 'Data Entry'!$ß$835)</f>
      </c>
      <c r="FD835">
        <f>IF(ISBLANK('Data Entry'!$à$835), "", 'Data Entry'!$à$835)</f>
      </c>
      <c r="FE835">
        <f>IF(ISBLANK('Data Entry'!$á$835), "", 'Data Entry'!$á$835)</f>
      </c>
      <c r="FF835">
        <f>IF(ISBLANK('Data Entry'!$â$835), "", 'Data Entry'!$â$835)</f>
      </c>
      <c r="FG835">
        <f>IF(ISBLANK('Data Entry'!$ã$835), "", 'Data Entry'!$ã$835)</f>
      </c>
      <c r="FH835">
        <f>IF(ISBLANK('Data Entry'!$ä$835), "", 'Data Entry'!$ä$835)</f>
      </c>
      <c r="FI835">
        <f>IF(ISBLANK('Data Entry'!$å$835), "", 'Data Entry'!$å$835)</f>
      </c>
      <c r="FJ835">
        <f>IF(ISBLANK('Data Entry'!$æ$835), "", 'Data Entry'!$æ$835)</f>
      </c>
      <c r="FK835">
        <f>IF(ISBLANK('Data Entry'!$ç$835), "", 'Data Entry'!$ç$835)</f>
      </c>
      <c r="FL835">
        <f>IF(ISBLANK('Data Entry'!$è$835), "", 'Data Entry'!$è$835)</f>
      </c>
      <c r="FM835">
        <f>IF(ISBLANK('Data Entry'!$é$835), "", 'Data Entry'!$é$835)</f>
      </c>
      <c r="FN835">
        <f>IF(ISBLANK('Data Entry'!$ê$835), "", 'Data Entry'!$ê$835)</f>
      </c>
      <c r="FO835">
        <f>IF(ISBLANK('Data Entry'!$ë$835), "", 'Data Entry'!$ë$835)</f>
      </c>
      <c r="FP835">
        <f>IF(ISBLANK('Data Entry'!$ì$835), "", 'Data Entry'!$ì$835)</f>
      </c>
      <c r="FQ835">
        <f>IF(ISBLANK('Data Entry'!$í$835), "", 'Data Entry'!$í$835)</f>
      </c>
      <c r="FR835">
        <f>IF(ISBLANK('Data Entry'!$î$835), "", 'Data Entry'!$î$835)</f>
      </c>
      <c r="FS835">
        <f>IF(ISBLANK('Data Entry'!$ï$835), "", 'Data Entry'!$ï$835)</f>
      </c>
      <c r="FT835">
        <f>IF(ISBLANK('Data Entry'!$ð$835), "", 'Data Entry'!$ð$835)</f>
      </c>
      <c r="FU835">
        <f>IF(ISBLANK('Data Entry'!$ñ$835), "", 'Data Entry'!$ñ$835)</f>
      </c>
      <c r="FV835">
        <f>IF(ISBLANK('Data Entry'!$ò$835), "", 'Data Entry'!$ò$835)</f>
      </c>
      <c r="FW835">
        <f>IF(ISBLANK('Data Entry'!$ó$835), "", 'Data Entry'!$ó$835)</f>
      </c>
      <c r="FX835">
        <f>IF(ISBLANK('Data Entry'!$ô$835), "", 'Data Entry'!$ô$835)</f>
      </c>
      <c r="FY835">
        <f>IF(ISBLANK('Data Entry'!$õ$835), "", 'Data Entry'!$õ$835)</f>
      </c>
      <c r="FZ835">
        <f>IF(ISBLANK('Data Entry'!$ö$835), "", 'Data Entry'!$ö$835)</f>
      </c>
      <c r="GA835">
        <f>IF(ISBLANK('Data Entry'!$÷$835), "", 'Data Entry'!$÷$835)</f>
      </c>
      <c r="GB835">
        <f>IF(ISBLANK('Data Entry'!$ø$835), "", 'Data Entry'!$ø$835)</f>
      </c>
      <c r="GC835">
        <f>IF(ISBLANK('Data Entry'!$ù$835), "", 'Data Entry'!$ù$835)</f>
      </c>
      <c r="GD835">
        <f>IF(ISBLANK('Data Entry'!$ú$835), "", 'Data Entry'!$ú$835)</f>
      </c>
      <c r="GE835">
        <f>IF(ISBLANK('Data Entry'!$û$835), "", 'Data Entry'!$û$835)</f>
      </c>
      <c r="GF835">
        <f>IF(ISBLANK('Data Entry'!$ü$835), "", 'Data Entry'!$ü$835)</f>
      </c>
      <c r="GG835">
        <f>IF(ISBLANK('Data Entry'!$ý$835), "", 'Data Entry'!$ý$835)</f>
      </c>
      <c r="GH835">
        <f>IF(ISBLANK('Data Entry'!$þ$835), "", 'Data Entry'!$þ$835)</f>
      </c>
      <c r="GI835">
        <f>IF(ISBLANK('Data Entry'!$ÿ$835), "", 'Data Entry'!$ÿ$835)</f>
      </c>
      <c r="GJ835">
        <f>IF(ISBLANK('Data Entry'!$Ā$835), "", 'Data Entry'!$Ā$835)</f>
      </c>
      <c r="GK835">
        <f>IF(ISBLANK('Data Entry'!$ā$835), "", 'Data Entry'!$ā$835)</f>
      </c>
      <c r="GL835">
        <f>IF(ISBLANK('Data Entry'!$Ă$835), "", 'Data Entry'!$Ă$835)</f>
      </c>
      <c r="GM835">
        <f>IF(ISBLANK('Data Entry'!$ă$835), "", 'Data Entry'!$ă$835)</f>
      </c>
      <c r="GN835">
        <f>IF(ISBLANK('Data Entry'!$Ą$835), "", 'Data Entry'!$Ą$835)</f>
      </c>
      <c r="GO835">
        <f>IF(ISBLANK('Data Entry'!$ą$835), "", 'Data Entry'!$ą$835)</f>
      </c>
      <c r="GP835">
        <f>IF(ISBLANK('Data Entry'!$Ć$835), "", 'Data Entry'!$Ć$835)</f>
      </c>
      <c r="GQ835">
        <f>IF(ISBLANK('Data Entry'!$ć$835), "", 'Data Entry'!$ć$835)</f>
      </c>
      <c r="GR835">
        <f>IF(ISBLANK('Data Entry'!$Ĉ$835), "", 'Data Entry'!$Ĉ$835)</f>
      </c>
      <c r="GS835">
        <f>IF(ISBLANK('Data Entry'!$ĉ$835), "", 'Data Entry'!$ĉ$835)</f>
      </c>
      <c r="GT835">
        <f>IF(ISBLANK('Data Entry'!$Ċ$835), "", 'Data Entry'!$Ċ$835)</f>
      </c>
      <c r="GU835">
        <f>IF(ISBLANK('Data Entry'!$ċ$835), "", 'Data Entry'!$ċ$835)</f>
      </c>
      <c r="GV835">
        <f>IF(ISBLANK('Data Entry'!$Č$835), "", 'Data Entry'!$Č$835)</f>
      </c>
      <c r="GW835">
        <f>IF(ISBLANK('Data Entry'!$č$835), "", 'Data Entry'!$č$835)</f>
      </c>
      <c r="GX835">
        <f>IF(ISBLANK('Data Entry'!$Ď$835), "", 'Data Entry'!$Ď$835)</f>
      </c>
      <c r="GY835">
        <f>IF(ISBLANK('Data Entry'!$ď$835), "", 'Data Entry'!$ď$835)</f>
      </c>
      <c r="GZ835">
        <f>IF(ISBLANK('Data Entry'!$Đ$835), "", 'Data Entry'!$Đ$835)</f>
      </c>
      <c r="HA835">
        <f>IF(ISBLANK('Data Entry'!$đ$835), "", 'Data Entry'!$đ$835)</f>
      </c>
      <c r="HB835">
        <f>IF(ISBLANK('Data Entry'!$Ē$835), "", 'Data Entry'!$Ē$835)</f>
      </c>
      <c r="HC835">
        <f>IF(ISBLANK('Data Entry'!$ē$835), "", 'Data Entry'!$ē$835)</f>
      </c>
      <c r="HD835">
        <f>IF(ISBLANK('Data Entry'!$Ĕ$835), "", 'Data Entry'!$Ĕ$835)</f>
      </c>
      <c r="HE835">
        <f>IF(ISBLANK('Data Entry'!$ĕ$835), "", 'Data Entry'!$ĕ$835)</f>
      </c>
      <c r="HF835">
        <f>IF(ISBLANK('Data Entry'!$Ė$835), "", 'Data Entry'!$Ė$835)</f>
      </c>
      <c r="HG835">
        <f>IF(ISBLANK('Data Entry'!$ė$835), "", 'Data Entry'!$ė$835)</f>
      </c>
      <c r="HH835">
        <f>IF(ISBLANK('Data Entry'!$Ę$835), "", 'Data Entry'!$Ę$835)</f>
      </c>
      <c r="HI835">
        <f>IF(ISBLANK('Data Entry'!$ę$835), "", 'Data Entry'!$ę$835)</f>
      </c>
      <c r="HJ835">
        <f>IF(ISBLANK('Data Entry'!$Ě$835), "", 'Data Entry'!$Ě$835)</f>
      </c>
      <c r="HK835">
        <f>IF(ISBLANK('Data Entry'!$ě$835), "", 'Data Entry'!$ě$835)</f>
      </c>
      <c r="HL835">
        <f>IF(ISBLANK('Data Entry'!$Ĝ$835), "", 'Data Entry'!$Ĝ$835)</f>
      </c>
      <c r="HM835">
        <f>IF(ISBLANK('Data Entry'!$ĝ$835), "", 'Data Entry'!$ĝ$835)</f>
      </c>
      <c r="HN835">
        <f>IF(ISBLANK('Data Entry'!$Ğ$835), "", 'Data Entry'!$Ğ$835)</f>
      </c>
      <c r="HO835">
        <f>IF(ISBLANK('Data Entry'!$ğ$835), "", 'Data Entry'!$ğ$835)</f>
      </c>
      <c r="HP835">
        <f>IF(ISBLANK('Data Entry'!$Ġ$835), "", 'Data Entry'!$Ġ$835)</f>
      </c>
      <c r="HQ835">
        <f>IF(ISBLANK('Data Entry'!$ġ$835), "", 'Data Entry'!$ġ$835)</f>
      </c>
      <c r="HR835">
        <f>IF(ISBLANK('Data Entry'!$Ģ$835), "", 'Data Entry'!$Ģ$835)</f>
      </c>
      <c r="HS835">
        <f>IF(ISBLANK('Data Entry'!$ģ$835), "", 'Data Entry'!$ģ$835)</f>
      </c>
      <c r="HT835">
        <f>IF(ISBLANK('Data Entry'!$Ĥ$835), "", 'Data Entry'!$Ĥ$835)</f>
      </c>
      <c r="HU835">
        <f>IF(ISBLANK('Data Entry'!$ĥ$835), "", 'Data Entry'!$ĥ$835)</f>
      </c>
      <c r="HV835">
        <f>IF(ISBLANK('Data Entry'!$Ħ$835), "", 'Data Entry'!$Ħ$835)</f>
      </c>
      <c r="HW835">
        <f>IF(ISBLANK('Data Entry'!$ħ$835), "", 'Data Entry'!$ħ$835)</f>
      </c>
      <c r="HX835">
        <f>IF(ISBLANK('Data Entry'!$Ĩ$835), "", 'Data Entry'!$Ĩ$835)</f>
      </c>
      <c r="HY835">
        <f>IF(ISBLANK('Data Entry'!$ĩ$835), "", 'Data Entry'!$ĩ$835)</f>
      </c>
      <c r="HZ835">
        <f>IF(ISBLANK('Data Entry'!$Ī$835), "", 'Data Entry'!$Ī$835)</f>
      </c>
      <c r="IA835">
        <f>IF(ISBLANK('Data Entry'!$ī$835), "", 'Data Entry'!$ī$835)</f>
      </c>
      <c r="IB835">
        <f>IF(ISBLANK('Data Entry'!$Ĭ$835), "", 'Data Entry'!$Ĭ$835)</f>
      </c>
      <c r="IC835">
        <f>IF(ISBLANK('Data Entry'!$ĭ$835), "", 'Data Entry'!$ĭ$835)</f>
      </c>
      <c r="ID835">
        <f>IF(ISBLANK('Data Entry'!$Į$835), "", 'Data Entry'!$Į$835)</f>
      </c>
      <c r="IE835">
        <f>IF(ISBLANK('Data Entry'!$į$835), "", 'Data Entry'!$į$835)</f>
      </c>
      <c r="IF835">
        <f>IF(ISBLANK('Data Entry'!$İ$835), "", 'Data Entry'!$İ$835)</f>
      </c>
      <c r="IG835">
        <f>IF(ISBLANK('Data Entry'!$ı$835), "", 'Data Entry'!$ı$835)</f>
      </c>
      <c r="IH835">
        <f>IF(ISBLANK('Data Entry'!$Ĳ$835), "", 'Data Entry'!$Ĳ$835)</f>
      </c>
      <c r="II835">
        <f>IF(ISBLANK('Data Entry'!$ĳ$835), "", 'Data Entry'!$ĳ$835)</f>
      </c>
      <c r="IJ835">
        <f>IF(ISBLANK('Data Entry'!$Ĵ$835), "", 'Data Entry'!$Ĵ$835)</f>
      </c>
      <c r="IK835">
        <f>IF(ISBLANK('Data Entry'!$ĵ$835), "", 'Data Entry'!$ĵ$835)</f>
      </c>
      <c r="IL835">
        <f>IF(ISBLANK('Data Entry'!$Ķ$835), "", 'Data Entry'!$Ķ$835)</f>
      </c>
      <c r="IM835">
        <f>IF(ISBLANK('Data Entry'!$ķ$835), "", 'Data Entry'!$ķ$835)</f>
      </c>
      <c r="IN835">
        <f>IF(ISBLANK('Data Entry'!$ĸ$835), "", 'Data Entry'!$ĸ$835)</f>
      </c>
      <c r="IO835">
        <f>IF(ISBLANK('Data Entry'!$Ĺ$835), "", 'Data Entry'!$Ĺ$835)</f>
      </c>
      <c r="IP835">
        <f>IF(ISBLANK('Data Entry'!$ĺ$835), "", 'Data Entry'!$ĺ$835)</f>
      </c>
      <c r="IQ835">
        <f>IF(ISBLANK('Data Entry'!$Ļ$835), "", 'Data Entry'!$Ļ$835)</f>
      </c>
      <c r="IR835">
        <f>IF(ISBLANK('Data Entry'!$ļ$835), "", 'Data Entry'!$ļ$835)</f>
      </c>
      <c r="IS835">
        <f>IF(ISBLANK('Data Entry'!$Ľ$835), "", 'Data Entry'!$Ľ$835)</f>
      </c>
      <c r="IT835">
        <f>IF(ISBLANK('Data Entry'!$ľ$835), "", 'Data Entry'!$ľ$835)</f>
      </c>
    </row>
    <row r="836" spans="1:254" x14ac:dyDescent="0.25">
      <c r="A836">
        <f>IF(ISBLANK('Data Entry'!$A$836), "", 'Data Entry'!$A$836)</f>
      </c>
      <c r="B836">
        <f>IF(ISBLANK('Data Entry'!$B$836), "", 'Data Entry'!$B$836)</f>
      </c>
      <c r="C836">
        <f>IF(ISBLANK('Data Entry'!$C$836), "", 'Data Entry'!$C$836)</f>
      </c>
      <c r="D836">
        <f>IF(ISBLANK('Data Entry'!$D$836), "", 'Data Entry'!$D$836)</f>
      </c>
      <c r="E836">
        <f>IF(ISBLANK('Data Entry'!$E$836), "", 'Data Entry'!$E$836)</f>
      </c>
      <c r="F836">
        <f>IF(ISBLANK('Data Entry'!$F$836), "", 'Data Entry'!$F$836)</f>
      </c>
      <c r="G836">
        <f>IF(ISBLANK('Data Entry'!$G$836), "", 'Data Entry'!$G$836)</f>
      </c>
      <c r="H836">
        <f>IF(ISBLANK('Data Entry'!$H$836), "", 'Data Entry'!$H$836)</f>
      </c>
      <c r="I836">
        <f>IF(ISBLANK('Data Entry'!$I$836), "", 'Data Entry'!$I$836)</f>
      </c>
      <c r="J836">
        <f>IF(ISBLANK('Data Entry'!$J$836), "", 'Data Entry'!$J$836)</f>
      </c>
      <c r="K836">
        <f>IF(ISBLANK('Data Entry'!$K$836), "", 'Data Entry'!$K$836)</f>
      </c>
      <c r="L836">
        <f>IF(ISBLANK('Data Entry'!$L$836), "", 'Data Entry'!$L$836)</f>
      </c>
      <c r="M836">
        <f>IF(ISBLANK('Data Entry'!$M$836), "", 'Data Entry'!$M$836)</f>
      </c>
      <c r="N836">
        <f>IF(ISBLANK('Data Entry'!$N$836), "", 'Data Entry'!$N$836)</f>
      </c>
      <c r="O836">
        <f>IF(ISBLANK('Data Entry'!$O$836), "", 'Data Entry'!$O$836)</f>
      </c>
      <c r="P836">
        <f>IF(ISBLANK('Data Entry'!$P$836), "", 'Data Entry'!$P$836)</f>
      </c>
      <c r="Q836">
        <f>IF(ISBLANK('Data Entry'!$Q$836), "", 'Data Entry'!$Q$836)</f>
      </c>
      <c r="R836">
        <f>IF(ISBLANK('Data Entry'!$R$836), "", 'Data Entry'!$R$836)</f>
      </c>
      <c r="S836">
        <f>IF(ISBLANK('Data Entry'!$S$836), "", 'Data Entry'!$S$836)</f>
      </c>
      <c r="T836">
        <f>IF(ISBLANK('Data Entry'!$T$836), "", 'Data Entry'!$T$836)</f>
      </c>
      <c r="U836">
        <f>IF(ISBLANK('Data Entry'!$U$836), "", 'Data Entry'!$U$836)</f>
      </c>
      <c r="V836">
        <f>IF(ISBLANK('Data Entry'!$V$836), "", 'Data Entry'!$V$836)</f>
      </c>
      <c r="W836">
        <f>IF(ISBLANK('Data Entry'!$W$836), "", 'Data Entry'!$W$836)</f>
      </c>
      <c r="X836">
        <f>IF(ISBLANK('Data Entry'!$X$836), "", 'Data Entry'!$X$836)</f>
      </c>
      <c r="Y836">
        <f>IF(ISBLANK('Data Entry'!$Y$836), "", 'Data Entry'!$Y$836)</f>
      </c>
      <c r="Z836">
        <f>IF(ISBLANK('Data Entry'!$Z$836), "", 'Data Entry'!$Z$836)</f>
      </c>
      <c r="AA836">
        <f>IF(ISBLANK('Data Entry'!$[$836), "", 'Data Entry'!$[$836)</f>
      </c>
      <c r="AB836">
        <f>IF(ISBLANK('Data Entry'!$\$836), "", 'Data Entry'!$\$836)</f>
      </c>
      <c r="AC836">
        <f>IF(ISBLANK('Data Entry'!$]$836), "", 'Data Entry'!$]$836)</f>
      </c>
      <c r="AD836">
        <f>IF(ISBLANK('Data Entry'!$^$836), "", 'Data Entry'!$^$836)</f>
      </c>
      <c r="AE836">
        <f>IF(ISBLANK('Data Entry'!$_$836), "", 'Data Entry'!$_$836)</f>
      </c>
      <c r="AF836">
        <f>IF(ISBLANK('Data Entry'!$`$836), "", 'Data Entry'!$`$836)</f>
      </c>
      <c r="AG836">
        <f>IF(ISBLANK('Data Entry'!$a$836), "", 'Data Entry'!$a$836)</f>
      </c>
      <c r="AH836">
        <f>IF(ISBLANK('Data Entry'!$b$836), "", 'Data Entry'!$b$836)</f>
      </c>
      <c r="AI836">
        <f>IF(ISBLANK('Data Entry'!$c$836), "", 'Data Entry'!$c$836)</f>
      </c>
      <c r="AJ836">
        <f>IF(ISBLANK('Data Entry'!$d$836), "", 'Data Entry'!$d$836)</f>
      </c>
      <c r="AK836">
        <f>IF(ISBLANK('Data Entry'!$e$836), "", 'Data Entry'!$e$836)</f>
      </c>
      <c r="AL836">
        <f>IF(ISBLANK('Data Entry'!$f$836), "", 'Data Entry'!$f$836)</f>
      </c>
      <c r="AM836">
        <f>IF(ISBLANK('Data Entry'!$g$836), "", 'Data Entry'!$g$836)</f>
      </c>
      <c r="AN836">
        <f>IF(ISBLANK('Data Entry'!$h$836), "", 'Data Entry'!$h$836)</f>
      </c>
      <c r="AO836">
        <f>IF(ISBLANK('Data Entry'!$i$836), "", 'Data Entry'!$i$836)</f>
      </c>
      <c r="AP836">
        <f>IF(ISBLANK('Data Entry'!$j$836), "", 'Data Entry'!$j$836)</f>
      </c>
      <c r="AQ836">
        <f>IF(ISBLANK('Data Entry'!$k$836), "", 'Data Entry'!$k$836)</f>
      </c>
      <c r="AR836">
        <f>IF(ISBLANK('Data Entry'!$l$836), "", 'Data Entry'!$l$836)</f>
      </c>
      <c r="AS836">
        <f>IF(ISBLANK('Data Entry'!$m$836), "", 'Data Entry'!$m$836)</f>
      </c>
      <c r="AT836">
        <f>IF(ISBLANK('Data Entry'!$n$836), "", 'Data Entry'!$n$836)</f>
      </c>
      <c r="AU836">
        <f>IF(ISBLANK('Data Entry'!$o$836), "", 'Data Entry'!$o$836)</f>
      </c>
      <c r="AV836">
        <f>IF(ISBLANK('Data Entry'!$p$836), "", 'Data Entry'!$p$836)</f>
      </c>
      <c r="AW836">
        <f>IF(ISBLANK('Data Entry'!$q$836), "", 'Data Entry'!$q$836)</f>
      </c>
      <c r="AX836">
        <f>IF(ISBLANK('Data Entry'!$r$836), "", 'Data Entry'!$r$836)</f>
      </c>
      <c r="AY836">
        <f>IF(ISBLANK('Data Entry'!$s$836), "", 'Data Entry'!$s$836)</f>
      </c>
      <c r="AZ836">
        <f>IF(ISBLANK('Data Entry'!$t$836), "", 'Data Entry'!$t$836)</f>
      </c>
      <c r="BA836">
        <f>IF(ISBLANK('Data Entry'!$u$836), "", 'Data Entry'!$u$836)</f>
      </c>
      <c r="BB836">
        <f>IF(ISBLANK('Data Entry'!$v$836), "", 'Data Entry'!$v$836)</f>
      </c>
      <c r="BC836">
        <f>IF(ISBLANK('Data Entry'!$w$836), "", 'Data Entry'!$w$836)</f>
      </c>
      <c r="BD836">
        <f>IF(ISBLANK('Data Entry'!$x$836), "", 'Data Entry'!$x$836)</f>
      </c>
      <c r="BE836">
        <f>IF(ISBLANK('Data Entry'!$y$836), "", 'Data Entry'!$y$836)</f>
      </c>
      <c r="BF836">
        <f>IF(ISBLANK('Data Entry'!$z$836), "", 'Data Entry'!$z$836)</f>
      </c>
      <c r="BG836">
        <f>IF(ISBLANK('Data Entry'!${$836), "", 'Data Entry'!${$836)</f>
      </c>
      <c r="BH836">
        <f>IF(ISBLANK('Data Entry'!$|$836), "", 'Data Entry'!$|$836)</f>
      </c>
      <c r="BI836">
        <f>IF(ISBLANK('Data Entry'!$}$836), "", 'Data Entry'!$}$836)</f>
      </c>
      <c r="BJ836">
        <f>IF(ISBLANK('Data Entry'!$~$836), "", 'Data Entry'!$~$836)</f>
      </c>
      <c r="BK836">
        <f>IF(ISBLANK('Data Entry'!$$836), "", 'Data Entry'!$$836)</f>
      </c>
      <c r="BL836">
        <f>IF(ISBLANK('Data Entry'!$$836), "", 'Data Entry'!$$836)</f>
      </c>
      <c r="BM836">
        <f>IF(ISBLANK('Data Entry'!$$836), "", 'Data Entry'!$$836)</f>
      </c>
      <c r="BN836">
        <f>IF(ISBLANK('Data Entry'!$$836), "", 'Data Entry'!$$836)</f>
      </c>
      <c r="BO836">
        <f>IF(ISBLANK('Data Entry'!$$836), "", 'Data Entry'!$$836)</f>
      </c>
      <c r="BP836">
        <f>IF(ISBLANK('Data Entry'!$$836), "", 'Data Entry'!$$836)</f>
      </c>
      <c r="BQ836">
        <f>IF(ISBLANK('Data Entry'!$$836), "", 'Data Entry'!$$836)</f>
      </c>
      <c r="BR836">
        <f>IF(ISBLANK('Data Entry'!$$836), "", 'Data Entry'!$$836)</f>
      </c>
      <c r="BS836">
        <f>IF(ISBLANK('Data Entry'!$$836), "", 'Data Entry'!$$836)</f>
      </c>
      <c r="BT836">
        <f>IF(ISBLANK('Data Entry'!$$836), "", 'Data Entry'!$$836)</f>
      </c>
      <c r="BU836">
        <f>IF(ISBLANK('Data Entry'!$$836), "", 'Data Entry'!$$836)</f>
      </c>
      <c r="BV836">
        <f>IF(ISBLANK('Data Entry'!$$836), "", 'Data Entry'!$$836)</f>
      </c>
      <c r="BW836">
        <f>IF(ISBLANK('Data Entry'!$$836), "", 'Data Entry'!$$836)</f>
      </c>
      <c r="BX836">
        <f>IF(ISBLANK('Data Entry'!$$836), "", 'Data Entry'!$$836)</f>
      </c>
      <c r="BY836">
        <f>IF(ISBLANK('Data Entry'!$$836), "", 'Data Entry'!$$836)</f>
      </c>
      <c r="BZ836">
        <f>IF(ISBLANK('Data Entry'!$$836), "", 'Data Entry'!$$836)</f>
      </c>
      <c r="CA836">
        <f>IF(ISBLANK('Data Entry'!$$836), "", 'Data Entry'!$$836)</f>
      </c>
      <c r="CB836">
        <f>IF(ISBLANK('Data Entry'!$$836), "", 'Data Entry'!$$836)</f>
      </c>
      <c r="CC836">
        <f>IF(ISBLANK('Data Entry'!$$836), "", 'Data Entry'!$$836)</f>
      </c>
      <c r="CD836">
        <f>IF(ISBLANK('Data Entry'!$$836), "", 'Data Entry'!$$836)</f>
      </c>
      <c r="CE836">
        <f>IF(ISBLANK('Data Entry'!$$836), "", 'Data Entry'!$$836)</f>
      </c>
      <c r="CF836">
        <f>IF(ISBLANK('Data Entry'!$$836), "", 'Data Entry'!$$836)</f>
      </c>
      <c r="CG836">
        <f>IF(ISBLANK('Data Entry'!$$836), "", 'Data Entry'!$$836)</f>
      </c>
      <c r="CH836">
        <f>IF(ISBLANK('Data Entry'!$$836), "", 'Data Entry'!$$836)</f>
      </c>
      <c r="CI836">
        <f>IF(ISBLANK('Data Entry'!$$836), "", 'Data Entry'!$$836)</f>
      </c>
      <c r="CJ836">
        <f>IF(ISBLANK('Data Entry'!$$836), "", 'Data Entry'!$$836)</f>
      </c>
      <c r="CK836">
        <f>IF(ISBLANK('Data Entry'!$$836), "", 'Data Entry'!$$836)</f>
      </c>
      <c r="CL836">
        <f>IF(ISBLANK('Data Entry'!$$836), "", 'Data Entry'!$$836)</f>
      </c>
      <c r="CM836">
        <f>IF(ISBLANK('Data Entry'!$$836), "", 'Data Entry'!$$836)</f>
      </c>
      <c r="CN836">
        <f>IF(ISBLANK('Data Entry'!$$836), "", 'Data Entry'!$$836)</f>
      </c>
      <c r="CO836">
        <f>IF(ISBLANK('Data Entry'!$$836), "", 'Data Entry'!$$836)</f>
      </c>
      <c r="CP836">
        <f>IF(ISBLANK('Data Entry'!$$836), "", 'Data Entry'!$$836)</f>
      </c>
      <c r="CQ836">
        <f>IF(ISBLANK('Data Entry'!$$836), "", 'Data Entry'!$$836)</f>
      </c>
      <c r="CR836">
        <f>IF(ISBLANK('Data Entry'!$ $836), "", 'Data Entry'!$ $836)</f>
      </c>
      <c r="CS836">
        <f>IF(ISBLANK('Data Entry'!$¡$836), "", 'Data Entry'!$¡$836)</f>
      </c>
      <c r="CT836">
        <f>IF(ISBLANK('Data Entry'!$¢$836), "", 'Data Entry'!$¢$836)</f>
      </c>
      <c r="CU836">
        <f>IF(ISBLANK('Data Entry'!$£$836), "", 'Data Entry'!$£$836)</f>
      </c>
      <c r="CV836">
        <f>IF(ISBLANK('Data Entry'!$¤$836), "", 'Data Entry'!$¤$836)</f>
      </c>
      <c r="CW836">
        <f>IF(ISBLANK('Data Entry'!$¥$836), "", 'Data Entry'!$¥$836)</f>
      </c>
      <c r="CX836">
        <f>IF(ISBLANK('Data Entry'!$¦$836), "", 'Data Entry'!$¦$836)</f>
      </c>
      <c r="CY836">
        <f>IF(ISBLANK('Data Entry'!$§$836), "", 'Data Entry'!$§$836)</f>
      </c>
      <c r="CZ836">
        <f>IF(ISBLANK('Data Entry'!$¨$836), "", 'Data Entry'!$¨$836)</f>
      </c>
      <c r="DA836">
        <f>IF(ISBLANK('Data Entry'!$©$836), "", 'Data Entry'!$©$836)</f>
      </c>
      <c r="DB836">
        <f>IF(ISBLANK('Data Entry'!$ª$836), "", 'Data Entry'!$ª$836)</f>
      </c>
      <c r="DC836">
        <f>IF(ISBLANK('Data Entry'!$«$836), "", 'Data Entry'!$«$836)</f>
      </c>
      <c r="DD836">
        <f>IF(ISBLANK('Data Entry'!$¬$836), "", 'Data Entry'!$¬$836)</f>
      </c>
      <c r="DE836">
        <f>IF(ISBLANK('Data Entry'!$­$836), "", 'Data Entry'!$­$836)</f>
      </c>
      <c r="DF836">
        <f>IF(ISBLANK('Data Entry'!$®$836), "", 'Data Entry'!$®$836)</f>
      </c>
      <c r="DG836">
        <f>IF(ISBLANK('Data Entry'!$¯$836), "", 'Data Entry'!$¯$836)</f>
      </c>
      <c r="DH836">
        <f>IF(ISBLANK('Data Entry'!$°$836), "", 'Data Entry'!$°$836)</f>
      </c>
      <c r="DI836">
        <f>IF(ISBLANK('Data Entry'!$±$836), "", 'Data Entry'!$±$836)</f>
      </c>
      <c r="DJ836">
        <f>IF(ISBLANK('Data Entry'!$²$836), "", 'Data Entry'!$²$836)</f>
      </c>
      <c r="DK836">
        <f>IF(ISBLANK('Data Entry'!$³$836), "", 'Data Entry'!$³$836)</f>
      </c>
      <c r="DL836">
        <f>IF(ISBLANK('Data Entry'!$´$836), "", 'Data Entry'!$´$836)</f>
      </c>
      <c r="DM836">
        <f>IF(ISBLANK('Data Entry'!$µ$836), "", 'Data Entry'!$µ$836)</f>
      </c>
      <c r="DN836">
        <f>IF(ISBLANK('Data Entry'!$¶$836), "", 'Data Entry'!$¶$836)</f>
      </c>
      <c r="DO836">
        <f>IF(ISBLANK('Data Entry'!$·$836), "", 'Data Entry'!$·$836)</f>
      </c>
      <c r="DP836">
        <f>IF(ISBLANK('Data Entry'!$¸$836), "", 'Data Entry'!$¸$836)</f>
      </c>
      <c r="DQ836">
        <f>IF(ISBLANK('Data Entry'!$¹$836), "", 'Data Entry'!$¹$836)</f>
      </c>
      <c r="DR836">
        <f>IF(ISBLANK('Data Entry'!$º$836), "", 'Data Entry'!$º$836)</f>
      </c>
      <c r="DS836">
        <f>IF(ISBLANK('Data Entry'!$»$836), "", 'Data Entry'!$»$836)</f>
      </c>
      <c r="DT836">
        <f>IF(ISBLANK('Data Entry'!$¼$836), "", 'Data Entry'!$¼$836)</f>
      </c>
      <c r="DU836">
        <f>IF(ISBLANK('Data Entry'!$½$836), "", 'Data Entry'!$½$836)</f>
      </c>
      <c r="DV836">
        <f>IF(ISBLANK('Data Entry'!$¾$836), "", 'Data Entry'!$¾$836)</f>
      </c>
      <c r="DW836">
        <f>IF(ISBLANK('Data Entry'!$¿$836), "", 'Data Entry'!$¿$836)</f>
      </c>
      <c r="DX836">
        <f>IF(ISBLANK('Data Entry'!$À$836), "", 'Data Entry'!$À$836)</f>
      </c>
      <c r="DY836">
        <f>IF(ISBLANK('Data Entry'!$Á$836), "", 'Data Entry'!$Á$836)</f>
      </c>
      <c r="DZ836">
        <f>IF(ISBLANK('Data Entry'!$Â$836), "", 'Data Entry'!$Â$836)</f>
      </c>
      <c r="EA836">
        <f>IF(ISBLANK('Data Entry'!$Ã$836), "", 'Data Entry'!$Ã$836)</f>
      </c>
      <c r="EB836">
        <f>IF(ISBLANK('Data Entry'!$Ä$836), "", 'Data Entry'!$Ä$836)</f>
      </c>
      <c r="EC836">
        <f>IF(ISBLANK('Data Entry'!$Å$836), "", 'Data Entry'!$Å$836)</f>
      </c>
      <c r="ED836">
        <f>IF(ISBLANK('Data Entry'!$Æ$836), "", 'Data Entry'!$Æ$836)</f>
      </c>
      <c r="EE836">
        <f>IF(ISBLANK('Data Entry'!$Ç$836), "", 'Data Entry'!$Ç$836)</f>
      </c>
      <c r="EF836">
        <f>IF(ISBLANK('Data Entry'!$È$836), "", 'Data Entry'!$È$836)</f>
      </c>
      <c r="EG836">
        <f>IF(ISBLANK('Data Entry'!$É$836), "", 'Data Entry'!$É$836)</f>
      </c>
      <c r="EH836">
        <f>IF(ISBLANK('Data Entry'!$Ê$836), "", 'Data Entry'!$Ê$836)</f>
      </c>
      <c r="EI836">
        <f>IF(ISBLANK('Data Entry'!$Ë$836), "", 'Data Entry'!$Ë$836)</f>
      </c>
      <c r="EJ836">
        <f>IF(ISBLANK('Data Entry'!$Ì$836), "", 'Data Entry'!$Ì$836)</f>
      </c>
      <c r="EK836">
        <f>IF(ISBLANK('Data Entry'!$Í$836), "", 'Data Entry'!$Í$836)</f>
      </c>
      <c r="EL836">
        <f>IF(ISBLANK('Data Entry'!$Î$836), "", 'Data Entry'!$Î$836)</f>
      </c>
      <c r="EM836">
        <f>IF(ISBLANK('Data Entry'!$Ï$836), "", 'Data Entry'!$Ï$836)</f>
      </c>
      <c r="EN836">
        <f>IF(ISBLANK('Data Entry'!$Ð$836), "", 'Data Entry'!$Ð$836)</f>
      </c>
      <c r="EO836">
        <f>IF(ISBLANK('Data Entry'!$Ñ$836), "", 'Data Entry'!$Ñ$836)</f>
      </c>
      <c r="EP836">
        <f>IF(ISBLANK('Data Entry'!$Ò$836), "", 'Data Entry'!$Ò$836)</f>
      </c>
      <c r="EQ836">
        <f>IF(ISBLANK('Data Entry'!$Ó$836), "", 'Data Entry'!$Ó$836)</f>
      </c>
      <c r="ER836">
        <f>IF(ISBLANK('Data Entry'!$Ô$836), "", 'Data Entry'!$Ô$836)</f>
      </c>
      <c r="ES836">
        <f>IF(ISBLANK('Data Entry'!$Õ$836), "", 'Data Entry'!$Õ$836)</f>
      </c>
      <c r="ET836">
        <f>IF(ISBLANK('Data Entry'!$Ö$836), "", 'Data Entry'!$Ö$836)</f>
      </c>
      <c r="EU836">
        <f>IF(ISBLANK('Data Entry'!$×$836), "", 'Data Entry'!$×$836)</f>
      </c>
      <c r="EV836">
        <f>IF(ISBLANK('Data Entry'!$Ø$836), "", 'Data Entry'!$Ø$836)</f>
      </c>
      <c r="EW836">
        <f>IF(ISBLANK('Data Entry'!$Ù$836), "", 'Data Entry'!$Ù$836)</f>
      </c>
      <c r="EX836">
        <f>IF(ISBLANK('Data Entry'!$Ú$836), "", 'Data Entry'!$Ú$836)</f>
      </c>
      <c r="EY836">
        <f>IF(ISBLANK('Data Entry'!$Û$836), "", 'Data Entry'!$Û$836)</f>
      </c>
      <c r="EZ836">
        <f>IF(ISBLANK('Data Entry'!$Ü$836), "", 'Data Entry'!$Ü$836)</f>
      </c>
      <c r="FA836">
        <f>IF(ISBLANK('Data Entry'!$Ý$836), "", 'Data Entry'!$Ý$836)</f>
      </c>
      <c r="FB836">
        <f>IF(ISBLANK('Data Entry'!$Þ$836), "", 'Data Entry'!$Þ$836)</f>
      </c>
      <c r="FC836">
        <f>IF(ISBLANK('Data Entry'!$ß$836), "", 'Data Entry'!$ß$836)</f>
      </c>
      <c r="FD836">
        <f>IF(ISBLANK('Data Entry'!$à$836), "", 'Data Entry'!$à$836)</f>
      </c>
      <c r="FE836">
        <f>IF(ISBLANK('Data Entry'!$á$836), "", 'Data Entry'!$á$836)</f>
      </c>
      <c r="FF836">
        <f>IF(ISBLANK('Data Entry'!$â$836), "", 'Data Entry'!$â$836)</f>
      </c>
      <c r="FG836">
        <f>IF(ISBLANK('Data Entry'!$ã$836), "", 'Data Entry'!$ã$836)</f>
      </c>
      <c r="FH836">
        <f>IF(ISBLANK('Data Entry'!$ä$836), "", 'Data Entry'!$ä$836)</f>
      </c>
      <c r="FI836">
        <f>IF(ISBLANK('Data Entry'!$å$836), "", 'Data Entry'!$å$836)</f>
      </c>
      <c r="FJ836">
        <f>IF(ISBLANK('Data Entry'!$æ$836), "", 'Data Entry'!$æ$836)</f>
      </c>
      <c r="FK836">
        <f>IF(ISBLANK('Data Entry'!$ç$836), "", 'Data Entry'!$ç$836)</f>
      </c>
      <c r="FL836">
        <f>IF(ISBLANK('Data Entry'!$è$836), "", 'Data Entry'!$è$836)</f>
      </c>
      <c r="FM836">
        <f>IF(ISBLANK('Data Entry'!$é$836), "", 'Data Entry'!$é$836)</f>
      </c>
      <c r="FN836">
        <f>IF(ISBLANK('Data Entry'!$ê$836), "", 'Data Entry'!$ê$836)</f>
      </c>
      <c r="FO836">
        <f>IF(ISBLANK('Data Entry'!$ë$836), "", 'Data Entry'!$ë$836)</f>
      </c>
      <c r="FP836">
        <f>IF(ISBLANK('Data Entry'!$ì$836), "", 'Data Entry'!$ì$836)</f>
      </c>
      <c r="FQ836">
        <f>IF(ISBLANK('Data Entry'!$í$836), "", 'Data Entry'!$í$836)</f>
      </c>
      <c r="FR836">
        <f>IF(ISBLANK('Data Entry'!$î$836), "", 'Data Entry'!$î$836)</f>
      </c>
      <c r="FS836">
        <f>IF(ISBLANK('Data Entry'!$ï$836), "", 'Data Entry'!$ï$836)</f>
      </c>
      <c r="FT836">
        <f>IF(ISBLANK('Data Entry'!$ð$836), "", 'Data Entry'!$ð$836)</f>
      </c>
      <c r="FU836">
        <f>IF(ISBLANK('Data Entry'!$ñ$836), "", 'Data Entry'!$ñ$836)</f>
      </c>
      <c r="FV836">
        <f>IF(ISBLANK('Data Entry'!$ò$836), "", 'Data Entry'!$ò$836)</f>
      </c>
      <c r="FW836">
        <f>IF(ISBLANK('Data Entry'!$ó$836), "", 'Data Entry'!$ó$836)</f>
      </c>
      <c r="FX836">
        <f>IF(ISBLANK('Data Entry'!$ô$836), "", 'Data Entry'!$ô$836)</f>
      </c>
      <c r="FY836">
        <f>IF(ISBLANK('Data Entry'!$õ$836), "", 'Data Entry'!$õ$836)</f>
      </c>
      <c r="FZ836">
        <f>IF(ISBLANK('Data Entry'!$ö$836), "", 'Data Entry'!$ö$836)</f>
      </c>
      <c r="GA836">
        <f>IF(ISBLANK('Data Entry'!$÷$836), "", 'Data Entry'!$÷$836)</f>
      </c>
      <c r="GB836">
        <f>IF(ISBLANK('Data Entry'!$ø$836), "", 'Data Entry'!$ø$836)</f>
      </c>
      <c r="GC836">
        <f>IF(ISBLANK('Data Entry'!$ù$836), "", 'Data Entry'!$ù$836)</f>
      </c>
      <c r="GD836">
        <f>IF(ISBLANK('Data Entry'!$ú$836), "", 'Data Entry'!$ú$836)</f>
      </c>
      <c r="GE836">
        <f>IF(ISBLANK('Data Entry'!$û$836), "", 'Data Entry'!$û$836)</f>
      </c>
      <c r="GF836">
        <f>IF(ISBLANK('Data Entry'!$ü$836), "", 'Data Entry'!$ü$836)</f>
      </c>
      <c r="GG836">
        <f>IF(ISBLANK('Data Entry'!$ý$836), "", 'Data Entry'!$ý$836)</f>
      </c>
      <c r="GH836">
        <f>IF(ISBLANK('Data Entry'!$þ$836), "", 'Data Entry'!$þ$836)</f>
      </c>
      <c r="GI836">
        <f>IF(ISBLANK('Data Entry'!$ÿ$836), "", 'Data Entry'!$ÿ$836)</f>
      </c>
      <c r="GJ836">
        <f>IF(ISBLANK('Data Entry'!$Ā$836), "", 'Data Entry'!$Ā$836)</f>
      </c>
      <c r="GK836">
        <f>IF(ISBLANK('Data Entry'!$ā$836), "", 'Data Entry'!$ā$836)</f>
      </c>
      <c r="GL836">
        <f>IF(ISBLANK('Data Entry'!$Ă$836), "", 'Data Entry'!$Ă$836)</f>
      </c>
      <c r="GM836">
        <f>IF(ISBLANK('Data Entry'!$ă$836), "", 'Data Entry'!$ă$836)</f>
      </c>
      <c r="GN836">
        <f>IF(ISBLANK('Data Entry'!$Ą$836), "", 'Data Entry'!$Ą$836)</f>
      </c>
      <c r="GO836">
        <f>IF(ISBLANK('Data Entry'!$ą$836), "", 'Data Entry'!$ą$836)</f>
      </c>
      <c r="GP836">
        <f>IF(ISBLANK('Data Entry'!$Ć$836), "", 'Data Entry'!$Ć$836)</f>
      </c>
      <c r="GQ836">
        <f>IF(ISBLANK('Data Entry'!$ć$836), "", 'Data Entry'!$ć$836)</f>
      </c>
      <c r="GR836">
        <f>IF(ISBLANK('Data Entry'!$Ĉ$836), "", 'Data Entry'!$Ĉ$836)</f>
      </c>
      <c r="GS836">
        <f>IF(ISBLANK('Data Entry'!$ĉ$836), "", 'Data Entry'!$ĉ$836)</f>
      </c>
      <c r="GT836">
        <f>IF(ISBLANK('Data Entry'!$Ċ$836), "", 'Data Entry'!$Ċ$836)</f>
      </c>
      <c r="GU836">
        <f>IF(ISBLANK('Data Entry'!$ċ$836), "", 'Data Entry'!$ċ$836)</f>
      </c>
      <c r="GV836">
        <f>IF(ISBLANK('Data Entry'!$Č$836), "", 'Data Entry'!$Č$836)</f>
      </c>
      <c r="GW836">
        <f>IF(ISBLANK('Data Entry'!$č$836), "", 'Data Entry'!$č$836)</f>
      </c>
      <c r="GX836">
        <f>IF(ISBLANK('Data Entry'!$Ď$836), "", 'Data Entry'!$Ď$836)</f>
      </c>
      <c r="GY836">
        <f>IF(ISBLANK('Data Entry'!$ď$836), "", 'Data Entry'!$ď$836)</f>
      </c>
      <c r="GZ836">
        <f>IF(ISBLANK('Data Entry'!$Đ$836), "", 'Data Entry'!$Đ$836)</f>
      </c>
      <c r="HA836">
        <f>IF(ISBLANK('Data Entry'!$đ$836), "", 'Data Entry'!$đ$836)</f>
      </c>
      <c r="HB836">
        <f>IF(ISBLANK('Data Entry'!$Ē$836), "", 'Data Entry'!$Ē$836)</f>
      </c>
      <c r="HC836">
        <f>IF(ISBLANK('Data Entry'!$ē$836), "", 'Data Entry'!$ē$836)</f>
      </c>
      <c r="HD836">
        <f>IF(ISBLANK('Data Entry'!$Ĕ$836), "", 'Data Entry'!$Ĕ$836)</f>
      </c>
      <c r="HE836">
        <f>IF(ISBLANK('Data Entry'!$ĕ$836), "", 'Data Entry'!$ĕ$836)</f>
      </c>
      <c r="HF836">
        <f>IF(ISBLANK('Data Entry'!$Ė$836), "", 'Data Entry'!$Ė$836)</f>
      </c>
      <c r="HG836">
        <f>IF(ISBLANK('Data Entry'!$ė$836), "", 'Data Entry'!$ė$836)</f>
      </c>
      <c r="HH836">
        <f>IF(ISBLANK('Data Entry'!$Ę$836), "", 'Data Entry'!$Ę$836)</f>
      </c>
      <c r="HI836">
        <f>IF(ISBLANK('Data Entry'!$ę$836), "", 'Data Entry'!$ę$836)</f>
      </c>
      <c r="HJ836">
        <f>IF(ISBLANK('Data Entry'!$Ě$836), "", 'Data Entry'!$Ě$836)</f>
      </c>
      <c r="HK836">
        <f>IF(ISBLANK('Data Entry'!$ě$836), "", 'Data Entry'!$ě$836)</f>
      </c>
      <c r="HL836">
        <f>IF(ISBLANK('Data Entry'!$Ĝ$836), "", 'Data Entry'!$Ĝ$836)</f>
      </c>
      <c r="HM836">
        <f>IF(ISBLANK('Data Entry'!$ĝ$836), "", 'Data Entry'!$ĝ$836)</f>
      </c>
      <c r="HN836">
        <f>IF(ISBLANK('Data Entry'!$Ğ$836), "", 'Data Entry'!$Ğ$836)</f>
      </c>
      <c r="HO836">
        <f>IF(ISBLANK('Data Entry'!$ğ$836), "", 'Data Entry'!$ğ$836)</f>
      </c>
      <c r="HP836">
        <f>IF(ISBLANK('Data Entry'!$Ġ$836), "", 'Data Entry'!$Ġ$836)</f>
      </c>
      <c r="HQ836">
        <f>IF(ISBLANK('Data Entry'!$ġ$836), "", 'Data Entry'!$ġ$836)</f>
      </c>
      <c r="HR836">
        <f>IF(ISBLANK('Data Entry'!$Ģ$836), "", 'Data Entry'!$Ģ$836)</f>
      </c>
      <c r="HS836">
        <f>IF(ISBLANK('Data Entry'!$ģ$836), "", 'Data Entry'!$ģ$836)</f>
      </c>
      <c r="HT836">
        <f>IF(ISBLANK('Data Entry'!$Ĥ$836), "", 'Data Entry'!$Ĥ$836)</f>
      </c>
      <c r="HU836">
        <f>IF(ISBLANK('Data Entry'!$ĥ$836), "", 'Data Entry'!$ĥ$836)</f>
      </c>
      <c r="HV836">
        <f>IF(ISBLANK('Data Entry'!$Ħ$836), "", 'Data Entry'!$Ħ$836)</f>
      </c>
      <c r="HW836">
        <f>IF(ISBLANK('Data Entry'!$ħ$836), "", 'Data Entry'!$ħ$836)</f>
      </c>
      <c r="HX836">
        <f>IF(ISBLANK('Data Entry'!$Ĩ$836), "", 'Data Entry'!$Ĩ$836)</f>
      </c>
      <c r="HY836">
        <f>IF(ISBLANK('Data Entry'!$ĩ$836), "", 'Data Entry'!$ĩ$836)</f>
      </c>
      <c r="HZ836">
        <f>IF(ISBLANK('Data Entry'!$Ī$836), "", 'Data Entry'!$Ī$836)</f>
      </c>
      <c r="IA836">
        <f>IF(ISBLANK('Data Entry'!$ī$836), "", 'Data Entry'!$ī$836)</f>
      </c>
      <c r="IB836">
        <f>IF(ISBLANK('Data Entry'!$Ĭ$836), "", 'Data Entry'!$Ĭ$836)</f>
      </c>
      <c r="IC836">
        <f>IF(ISBLANK('Data Entry'!$ĭ$836), "", 'Data Entry'!$ĭ$836)</f>
      </c>
      <c r="ID836">
        <f>IF(ISBLANK('Data Entry'!$Į$836), "", 'Data Entry'!$Į$836)</f>
      </c>
      <c r="IE836">
        <f>IF(ISBLANK('Data Entry'!$į$836), "", 'Data Entry'!$į$836)</f>
      </c>
      <c r="IF836">
        <f>IF(ISBLANK('Data Entry'!$İ$836), "", 'Data Entry'!$İ$836)</f>
      </c>
      <c r="IG836">
        <f>IF(ISBLANK('Data Entry'!$ı$836), "", 'Data Entry'!$ı$836)</f>
      </c>
      <c r="IH836">
        <f>IF(ISBLANK('Data Entry'!$Ĳ$836), "", 'Data Entry'!$Ĳ$836)</f>
      </c>
      <c r="II836">
        <f>IF(ISBLANK('Data Entry'!$ĳ$836), "", 'Data Entry'!$ĳ$836)</f>
      </c>
      <c r="IJ836">
        <f>IF(ISBLANK('Data Entry'!$Ĵ$836), "", 'Data Entry'!$Ĵ$836)</f>
      </c>
      <c r="IK836">
        <f>IF(ISBLANK('Data Entry'!$ĵ$836), "", 'Data Entry'!$ĵ$836)</f>
      </c>
      <c r="IL836">
        <f>IF(ISBLANK('Data Entry'!$Ķ$836), "", 'Data Entry'!$Ķ$836)</f>
      </c>
      <c r="IM836">
        <f>IF(ISBLANK('Data Entry'!$ķ$836), "", 'Data Entry'!$ķ$836)</f>
      </c>
      <c r="IN836">
        <f>IF(ISBLANK('Data Entry'!$ĸ$836), "", 'Data Entry'!$ĸ$836)</f>
      </c>
      <c r="IO836">
        <f>IF(ISBLANK('Data Entry'!$Ĺ$836), "", 'Data Entry'!$Ĺ$836)</f>
      </c>
      <c r="IP836">
        <f>IF(ISBLANK('Data Entry'!$ĺ$836), "", 'Data Entry'!$ĺ$836)</f>
      </c>
      <c r="IQ836">
        <f>IF(ISBLANK('Data Entry'!$Ļ$836), "", 'Data Entry'!$Ļ$836)</f>
      </c>
      <c r="IR836">
        <f>IF(ISBLANK('Data Entry'!$ļ$836), "", 'Data Entry'!$ļ$836)</f>
      </c>
      <c r="IS836">
        <f>IF(ISBLANK('Data Entry'!$Ľ$836), "", 'Data Entry'!$Ľ$836)</f>
      </c>
      <c r="IT836">
        <f>IF(ISBLANK('Data Entry'!$ľ$836), "", 'Data Entry'!$ľ$836)</f>
      </c>
    </row>
    <row r="837" spans="1:254" x14ac:dyDescent="0.25">
      <c r="A837">
        <f>IF(ISBLANK('Data Entry'!$A$837), "", 'Data Entry'!$A$837)</f>
      </c>
      <c r="B837">
        <f>IF(ISBLANK('Data Entry'!$B$837), "", 'Data Entry'!$B$837)</f>
      </c>
      <c r="C837">
        <f>IF(ISBLANK('Data Entry'!$C$837), "", 'Data Entry'!$C$837)</f>
      </c>
      <c r="D837">
        <f>IF(ISBLANK('Data Entry'!$D$837), "", 'Data Entry'!$D$837)</f>
      </c>
      <c r="E837">
        <f>IF(ISBLANK('Data Entry'!$E$837), "", 'Data Entry'!$E$837)</f>
      </c>
      <c r="F837">
        <f>IF(ISBLANK('Data Entry'!$F$837), "", 'Data Entry'!$F$837)</f>
      </c>
      <c r="G837">
        <f>IF(ISBLANK('Data Entry'!$G$837), "", 'Data Entry'!$G$837)</f>
      </c>
      <c r="H837">
        <f>IF(ISBLANK('Data Entry'!$H$837), "", 'Data Entry'!$H$837)</f>
      </c>
      <c r="I837">
        <f>IF(ISBLANK('Data Entry'!$I$837), "", 'Data Entry'!$I$837)</f>
      </c>
      <c r="J837">
        <f>IF(ISBLANK('Data Entry'!$J$837), "", 'Data Entry'!$J$837)</f>
      </c>
      <c r="K837">
        <f>IF(ISBLANK('Data Entry'!$K$837), "", 'Data Entry'!$K$837)</f>
      </c>
      <c r="L837">
        <f>IF(ISBLANK('Data Entry'!$L$837), "", 'Data Entry'!$L$837)</f>
      </c>
      <c r="M837">
        <f>IF(ISBLANK('Data Entry'!$M$837), "", 'Data Entry'!$M$837)</f>
      </c>
      <c r="N837">
        <f>IF(ISBLANK('Data Entry'!$N$837), "", 'Data Entry'!$N$837)</f>
      </c>
      <c r="O837">
        <f>IF(ISBLANK('Data Entry'!$O$837), "", 'Data Entry'!$O$837)</f>
      </c>
      <c r="P837">
        <f>IF(ISBLANK('Data Entry'!$P$837), "", 'Data Entry'!$P$837)</f>
      </c>
      <c r="Q837">
        <f>IF(ISBLANK('Data Entry'!$Q$837), "", 'Data Entry'!$Q$837)</f>
      </c>
      <c r="R837">
        <f>IF(ISBLANK('Data Entry'!$R$837), "", 'Data Entry'!$R$837)</f>
      </c>
      <c r="S837">
        <f>IF(ISBLANK('Data Entry'!$S$837), "", 'Data Entry'!$S$837)</f>
      </c>
      <c r="T837">
        <f>IF(ISBLANK('Data Entry'!$T$837), "", 'Data Entry'!$T$837)</f>
      </c>
      <c r="U837">
        <f>IF(ISBLANK('Data Entry'!$U$837), "", 'Data Entry'!$U$837)</f>
      </c>
      <c r="V837">
        <f>IF(ISBLANK('Data Entry'!$V$837), "", 'Data Entry'!$V$837)</f>
      </c>
      <c r="W837">
        <f>IF(ISBLANK('Data Entry'!$W$837), "", 'Data Entry'!$W$837)</f>
      </c>
      <c r="X837">
        <f>IF(ISBLANK('Data Entry'!$X$837), "", 'Data Entry'!$X$837)</f>
      </c>
      <c r="Y837">
        <f>IF(ISBLANK('Data Entry'!$Y$837), "", 'Data Entry'!$Y$837)</f>
      </c>
      <c r="Z837">
        <f>IF(ISBLANK('Data Entry'!$Z$837), "", 'Data Entry'!$Z$837)</f>
      </c>
      <c r="AA837">
        <f>IF(ISBLANK('Data Entry'!$[$837), "", 'Data Entry'!$[$837)</f>
      </c>
      <c r="AB837">
        <f>IF(ISBLANK('Data Entry'!$\$837), "", 'Data Entry'!$\$837)</f>
      </c>
      <c r="AC837">
        <f>IF(ISBLANK('Data Entry'!$]$837), "", 'Data Entry'!$]$837)</f>
      </c>
      <c r="AD837">
        <f>IF(ISBLANK('Data Entry'!$^$837), "", 'Data Entry'!$^$837)</f>
      </c>
      <c r="AE837">
        <f>IF(ISBLANK('Data Entry'!$_$837), "", 'Data Entry'!$_$837)</f>
      </c>
      <c r="AF837">
        <f>IF(ISBLANK('Data Entry'!$`$837), "", 'Data Entry'!$`$837)</f>
      </c>
      <c r="AG837">
        <f>IF(ISBLANK('Data Entry'!$a$837), "", 'Data Entry'!$a$837)</f>
      </c>
      <c r="AH837">
        <f>IF(ISBLANK('Data Entry'!$b$837), "", 'Data Entry'!$b$837)</f>
      </c>
      <c r="AI837">
        <f>IF(ISBLANK('Data Entry'!$c$837), "", 'Data Entry'!$c$837)</f>
      </c>
      <c r="AJ837">
        <f>IF(ISBLANK('Data Entry'!$d$837), "", 'Data Entry'!$d$837)</f>
      </c>
      <c r="AK837">
        <f>IF(ISBLANK('Data Entry'!$e$837), "", 'Data Entry'!$e$837)</f>
      </c>
      <c r="AL837">
        <f>IF(ISBLANK('Data Entry'!$f$837), "", 'Data Entry'!$f$837)</f>
      </c>
      <c r="AM837">
        <f>IF(ISBLANK('Data Entry'!$g$837), "", 'Data Entry'!$g$837)</f>
      </c>
      <c r="AN837">
        <f>IF(ISBLANK('Data Entry'!$h$837), "", 'Data Entry'!$h$837)</f>
      </c>
      <c r="AO837">
        <f>IF(ISBLANK('Data Entry'!$i$837), "", 'Data Entry'!$i$837)</f>
      </c>
      <c r="AP837">
        <f>IF(ISBLANK('Data Entry'!$j$837), "", 'Data Entry'!$j$837)</f>
      </c>
      <c r="AQ837">
        <f>IF(ISBLANK('Data Entry'!$k$837), "", 'Data Entry'!$k$837)</f>
      </c>
      <c r="AR837">
        <f>IF(ISBLANK('Data Entry'!$l$837), "", 'Data Entry'!$l$837)</f>
      </c>
      <c r="AS837">
        <f>IF(ISBLANK('Data Entry'!$m$837), "", 'Data Entry'!$m$837)</f>
      </c>
      <c r="AT837">
        <f>IF(ISBLANK('Data Entry'!$n$837), "", 'Data Entry'!$n$837)</f>
      </c>
      <c r="AU837">
        <f>IF(ISBLANK('Data Entry'!$o$837), "", 'Data Entry'!$o$837)</f>
      </c>
      <c r="AV837">
        <f>IF(ISBLANK('Data Entry'!$p$837), "", 'Data Entry'!$p$837)</f>
      </c>
      <c r="AW837">
        <f>IF(ISBLANK('Data Entry'!$q$837), "", 'Data Entry'!$q$837)</f>
      </c>
      <c r="AX837">
        <f>IF(ISBLANK('Data Entry'!$r$837), "", 'Data Entry'!$r$837)</f>
      </c>
      <c r="AY837">
        <f>IF(ISBLANK('Data Entry'!$s$837), "", 'Data Entry'!$s$837)</f>
      </c>
      <c r="AZ837">
        <f>IF(ISBLANK('Data Entry'!$t$837), "", 'Data Entry'!$t$837)</f>
      </c>
      <c r="BA837">
        <f>IF(ISBLANK('Data Entry'!$u$837), "", 'Data Entry'!$u$837)</f>
      </c>
      <c r="BB837">
        <f>IF(ISBLANK('Data Entry'!$v$837), "", 'Data Entry'!$v$837)</f>
      </c>
      <c r="BC837">
        <f>IF(ISBLANK('Data Entry'!$w$837), "", 'Data Entry'!$w$837)</f>
      </c>
      <c r="BD837">
        <f>IF(ISBLANK('Data Entry'!$x$837), "", 'Data Entry'!$x$837)</f>
      </c>
      <c r="BE837">
        <f>IF(ISBLANK('Data Entry'!$y$837), "", 'Data Entry'!$y$837)</f>
      </c>
      <c r="BF837">
        <f>IF(ISBLANK('Data Entry'!$z$837), "", 'Data Entry'!$z$837)</f>
      </c>
      <c r="BG837">
        <f>IF(ISBLANK('Data Entry'!${$837), "", 'Data Entry'!${$837)</f>
      </c>
      <c r="BH837">
        <f>IF(ISBLANK('Data Entry'!$|$837), "", 'Data Entry'!$|$837)</f>
      </c>
      <c r="BI837">
        <f>IF(ISBLANK('Data Entry'!$}$837), "", 'Data Entry'!$}$837)</f>
      </c>
      <c r="BJ837">
        <f>IF(ISBLANK('Data Entry'!$~$837), "", 'Data Entry'!$~$837)</f>
      </c>
      <c r="BK837">
        <f>IF(ISBLANK('Data Entry'!$$837), "", 'Data Entry'!$$837)</f>
      </c>
      <c r="BL837">
        <f>IF(ISBLANK('Data Entry'!$$837), "", 'Data Entry'!$$837)</f>
      </c>
      <c r="BM837">
        <f>IF(ISBLANK('Data Entry'!$$837), "", 'Data Entry'!$$837)</f>
      </c>
      <c r="BN837">
        <f>IF(ISBLANK('Data Entry'!$$837), "", 'Data Entry'!$$837)</f>
      </c>
      <c r="BO837">
        <f>IF(ISBLANK('Data Entry'!$$837), "", 'Data Entry'!$$837)</f>
      </c>
      <c r="BP837">
        <f>IF(ISBLANK('Data Entry'!$$837), "", 'Data Entry'!$$837)</f>
      </c>
      <c r="BQ837">
        <f>IF(ISBLANK('Data Entry'!$$837), "", 'Data Entry'!$$837)</f>
      </c>
      <c r="BR837">
        <f>IF(ISBLANK('Data Entry'!$$837), "", 'Data Entry'!$$837)</f>
      </c>
      <c r="BS837">
        <f>IF(ISBLANK('Data Entry'!$$837), "", 'Data Entry'!$$837)</f>
      </c>
      <c r="BT837">
        <f>IF(ISBLANK('Data Entry'!$$837), "", 'Data Entry'!$$837)</f>
      </c>
      <c r="BU837">
        <f>IF(ISBLANK('Data Entry'!$$837), "", 'Data Entry'!$$837)</f>
      </c>
      <c r="BV837">
        <f>IF(ISBLANK('Data Entry'!$$837), "", 'Data Entry'!$$837)</f>
      </c>
      <c r="BW837">
        <f>IF(ISBLANK('Data Entry'!$$837), "", 'Data Entry'!$$837)</f>
      </c>
      <c r="BX837">
        <f>IF(ISBLANK('Data Entry'!$$837), "", 'Data Entry'!$$837)</f>
      </c>
      <c r="BY837">
        <f>IF(ISBLANK('Data Entry'!$$837), "", 'Data Entry'!$$837)</f>
      </c>
      <c r="BZ837">
        <f>IF(ISBLANK('Data Entry'!$$837), "", 'Data Entry'!$$837)</f>
      </c>
      <c r="CA837">
        <f>IF(ISBLANK('Data Entry'!$$837), "", 'Data Entry'!$$837)</f>
      </c>
      <c r="CB837">
        <f>IF(ISBLANK('Data Entry'!$$837), "", 'Data Entry'!$$837)</f>
      </c>
      <c r="CC837">
        <f>IF(ISBLANK('Data Entry'!$$837), "", 'Data Entry'!$$837)</f>
      </c>
      <c r="CD837">
        <f>IF(ISBLANK('Data Entry'!$$837), "", 'Data Entry'!$$837)</f>
      </c>
      <c r="CE837">
        <f>IF(ISBLANK('Data Entry'!$$837), "", 'Data Entry'!$$837)</f>
      </c>
      <c r="CF837">
        <f>IF(ISBLANK('Data Entry'!$$837), "", 'Data Entry'!$$837)</f>
      </c>
      <c r="CG837">
        <f>IF(ISBLANK('Data Entry'!$$837), "", 'Data Entry'!$$837)</f>
      </c>
      <c r="CH837">
        <f>IF(ISBLANK('Data Entry'!$$837), "", 'Data Entry'!$$837)</f>
      </c>
      <c r="CI837">
        <f>IF(ISBLANK('Data Entry'!$$837), "", 'Data Entry'!$$837)</f>
      </c>
      <c r="CJ837">
        <f>IF(ISBLANK('Data Entry'!$$837), "", 'Data Entry'!$$837)</f>
      </c>
      <c r="CK837">
        <f>IF(ISBLANK('Data Entry'!$$837), "", 'Data Entry'!$$837)</f>
      </c>
      <c r="CL837">
        <f>IF(ISBLANK('Data Entry'!$$837), "", 'Data Entry'!$$837)</f>
      </c>
      <c r="CM837">
        <f>IF(ISBLANK('Data Entry'!$$837), "", 'Data Entry'!$$837)</f>
      </c>
      <c r="CN837">
        <f>IF(ISBLANK('Data Entry'!$$837), "", 'Data Entry'!$$837)</f>
      </c>
      <c r="CO837">
        <f>IF(ISBLANK('Data Entry'!$$837), "", 'Data Entry'!$$837)</f>
      </c>
      <c r="CP837">
        <f>IF(ISBLANK('Data Entry'!$$837), "", 'Data Entry'!$$837)</f>
      </c>
      <c r="CQ837">
        <f>IF(ISBLANK('Data Entry'!$$837), "", 'Data Entry'!$$837)</f>
      </c>
      <c r="CR837">
        <f>IF(ISBLANK('Data Entry'!$ $837), "", 'Data Entry'!$ $837)</f>
      </c>
      <c r="CS837">
        <f>IF(ISBLANK('Data Entry'!$¡$837), "", 'Data Entry'!$¡$837)</f>
      </c>
      <c r="CT837">
        <f>IF(ISBLANK('Data Entry'!$¢$837), "", 'Data Entry'!$¢$837)</f>
      </c>
      <c r="CU837">
        <f>IF(ISBLANK('Data Entry'!$£$837), "", 'Data Entry'!$£$837)</f>
      </c>
      <c r="CV837">
        <f>IF(ISBLANK('Data Entry'!$¤$837), "", 'Data Entry'!$¤$837)</f>
      </c>
      <c r="CW837">
        <f>IF(ISBLANK('Data Entry'!$¥$837), "", 'Data Entry'!$¥$837)</f>
      </c>
      <c r="CX837">
        <f>IF(ISBLANK('Data Entry'!$¦$837), "", 'Data Entry'!$¦$837)</f>
      </c>
      <c r="CY837">
        <f>IF(ISBLANK('Data Entry'!$§$837), "", 'Data Entry'!$§$837)</f>
      </c>
      <c r="CZ837">
        <f>IF(ISBLANK('Data Entry'!$¨$837), "", 'Data Entry'!$¨$837)</f>
      </c>
      <c r="DA837">
        <f>IF(ISBLANK('Data Entry'!$©$837), "", 'Data Entry'!$©$837)</f>
      </c>
      <c r="DB837">
        <f>IF(ISBLANK('Data Entry'!$ª$837), "", 'Data Entry'!$ª$837)</f>
      </c>
      <c r="DC837">
        <f>IF(ISBLANK('Data Entry'!$«$837), "", 'Data Entry'!$«$837)</f>
      </c>
      <c r="DD837">
        <f>IF(ISBLANK('Data Entry'!$¬$837), "", 'Data Entry'!$¬$837)</f>
      </c>
      <c r="DE837">
        <f>IF(ISBLANK('Data Entry'!$­$837), "", 'Data Entry'!$­$837)</f>
      </c>
      <c r="DF837">
        <f>IF(ISBLANK('Data Entry'!$®$837), "", 'Data Entry'!$®$837)</f>
      </c>
      <c r="DG837">
        <f>IF(ISBLANK('Data Entry'!$¯$837), "", 'Data Entry'!$¯$837)</f>
      </c>
      <c r="DH837">
        <f>IF(ISBLANK('Data Entry'!$°$837), "", 'Data Entry'!$°$837)</f>
      </c>
      <c r="DI837">
        <f>IF(ISBLANK('Data Entry'!$±$837), "", 'Data Entry'!$±$837)</f>
      </c>
      <c r="DJ837">
        <f>IF(ISBLANK('Data Entry'!$²$837), "", 'Data Entry'!$²$837)</f>
      </c>
      <c r="DK837">
        <f>IF(ISBLANK('Data Entry'!$³$837), "", 'Data Entry'!$³$837)</f>
      </c>
      <c r="DL837">
        <f>IF(ISBLANK('Data Entry'!$´$837), "", 'Data Entry'!$´$837)</f>
      </c>
      <c r="DM837">
        <f>IF(ISBLANK('Data Entry'!$µ$837), "", 'Data Entry'!$µ$837)</f>
      </c>
      <c r="DN837">
        <f>IF(ISBLANK('Data Entry'!$¶$837), "", 'Data Entry'!$¶$837)</f>
      </c>
      <c r="DO837">
        <f>IF(ISBLANK('Data Entry'!$·$837), "", 'Data Entry'!$·$837)</f>
      </c>
      <c r="DP837">
        <f>IF(ISBLANK('Data Entry'!$¸$837), "", 'Data Entry'!$¸$837)</f>
      </c>
      <c r="DQ837">
        <f>IF(ISBLANK('Data Entry'!$¹$837), "", 'Data Entry'!$¹$837)</f>
      </c>
      <c r="DR837">
        <f>IF(ISBLANK('Data Entry'!$º$837), "", 'Data Entry'!$º$837)</f>
      </c>
      <c r="DS837">
        <f>IF(ISBLANK('Data Entry'!$»$837), "", 'Data Entry'!$»$837)</f>
      </c>
      <c r="DT837">
        <f>IF(ISBLANK('Data Entry'!$¼$837), "", 'Data Entry'!$¼$837)</f>
      </c>
      <c r="DU837">
        <f>IF(ISBLANK('Data Entry'!$½$837), "", 'Data Entry'!$½$837)</f>
      </c>
      <c r="DV837">
        <f>IF(ISBLANK('Data Entry'!$¾$837), "", 'Data Entry'!$¾$837)</f>
      </c>
      <c r="DW837">
        <f>IF(ISBLANK('Data Entry'!$¿$837), "", 'Data Entry'!$¿$837)</f>
      </c>
      <c r="DX837">
        <f>IF(ISBLANK('Data Entry'!$À$837), "", 'Data Entry'!$À$837)</f>
      </c>
      <c r="DY837">
        <f>IF(ISBLANK('Data Entry'!$Á$837), "", 'Data Entry'!$Á$837)</f>
      </c>
      <c r="DZ837">
        <f>IF(ISBLANK('Data Entry'!$Â$837), "", 'Data Entry'!$Â$837)</f>
      </c>
      <c r="EA837">
        <f>IF(ISBLANK('Data Entry'!$Ã$837), "", 'Data Entry'!$Ã$837)</f>
      </c>
      <c r="EB837">
        <f>IF(ISBLANK('Data Entry'!$Ä$837), "", 'Data Entry'!$Ä$837)</f>
      </c>
      <c r="EC837">
        <f>IF(ISBLANK('Data Entry'!$Å$837), "", 'Data Entry'!$Å$837)</f>
      </c>
      <c r="ED837">
        <f>IF(ISBLANK('Data Entry'!$Æ$837), "", 'Data Entry'!$Æ$837)</f>
      </c>
      <c r="EE837">
        <f>IF(ISBLANK('Data Entry'!$Ç$837), "", 'Data Entry'!$Ç$837)</f>
      </c>
      <c r="EF837">
        <f>IF(ISBLANK('Data Entry'!$È$837), "", 'Data Entry'!$È$837)</f>
      </c>
      <c r="EG837">
        <f>IF(ISBLANK('Data Entry'!$É$837), "", 'Data Entry'!$É$837)</f>
      </c>
      <c r="EH837">
        <f>IF(ISBLANK('Data Entry'!$Ê$837), "", 'Data Entry'!$Ê$837)</f>
      </c>
      <c r="EI837">
        <f>IF(ISBLANK('Data Entry'!$Ë$837), "", 'Data Entry'!$Ë$837)</f>
      </c>
      <c r="EJ837">
        <f>IF(ISBLANK('Data Entry'!$Ì$837), "", 'Data Entry'!$Ì$837)</f>
      </c>
      <c r="EK837">
        <f>IF(ISBLANK('Data Entry'!$Í$837), "", 'Data Entry'!$Í$837)</f>
      </c>
      <c r="EL837">
        <f>IF(ISBLANK('Data Entry'!$Î$837), "", 'Data Entry'!$Î$837)</f>
      </c>
      <c r="EM837">
        <f>IF(ISBLANK('Data Entry'!$Ï$837), "", 'Data Entry'!$Ï$837)</f>
      </c>
      <c r="EN837">
        <f>IF(ISBLANK('Data Entry'!$Ð$837), "", 'Data Entry'!$Ð$837)</f>
      </c>
      <c r="EO837">
        <f>IF(ISBLANK('Data Entry'!$Ñ$837), "", 'Data Entry'!$Ñ$837)</f>
      </c>
      <c r="EP837">
        <f>IF(ISBLANK('Data Entry'!$Ò$837), "", 'Data Entry'!$Ò$837)</f>
      </c>
      <c r="EQ837">
        <f>IF(ISBLANK('Data Entry'!$Ó$837), "", 'Data Entry'!$Ó$837)</f>
      </c>
      <c r="ER837">
        <f>IF(ISBLANK('Data Entry'!$Ô$837), "", 'Data Entry'!$Ô$837)</f>
      </c>
      <c r="ES837">
        <f>IF(ISBLANK('Data Entry'!$Õ$837), "", 'Data Entry'!$Õ$837)</f>
      </c>
      <c r="ET837">
        <f>IF(ISBLANK('Data Entry'!$Ö$837), "", 'Data Entry'!$Ö$837)</f>
      </c>
      <c r="EU837">
        <f>IF(ISBLANK('Data Entry'!$×$837), "", 'Data Entry'!$×$837)</f>
      </c>
      <c r="EV837">
        <f>IF(ISBLANK('Data Entry'!$Ø$837), "", 'Data Entry'!$Ø$837)</f>
      </c>
      <c r="EW837">
        <f>IF(ISBLANK('Data Entry'!$Ù$837), "", 'Data Entry'!$Ù$837)</f>
      </c>
      <c r="EX837">
        <f>IF(ISBLANK('Data Entry'!$Ú$837), "", 'Data Entry'!$Ú$837)</f>
      </c>
      <c r="EY837">
        <f>IF(ISBLANK('Data Entry'!$Û$837), "", 'Data Entry'!$Û$837)</f>
      </c>
      <c r="EZ837">
        <f>IF(ISBLANK('Data Entry'!$Ü$837), "", 'Data Entry'!$Ü$837)</f>
      </c>
      <c r="FA837">
        <f>IF(ISBLANK('Data Entry'!$Ý$837), "", 'Data Entry'!$Ý$837)</f>
      </c>
      <c r="FB837">
        <f>IF(ISBLANK('Data Entry'!$Þ$837), "", 'Data Entry'!$Þ$837)</f>
      </c>
      <c r="FC837">
        <f>IF(ISBLANK('Data Entry'!$ß$837), "", 'Data Entry'!$ß$837)</f>
      </c>
      <c r="FD837">
        <f>IF(ISBLANK('Data Entry'!$à$837), "", 'Data Entry'!$à$837)</f>
      </c>
      <c r="FE837">
        <f>IF(ISBLANK('Data Entry'!$á$837), "", 'Data Entry'!$á$837)</f>
      </c>
      <c r="FF837">
        <f>IF(ISBLANK('Data Entry'!$â$837), "", 'Data Entry'!$â$837)</f>
      </c>
      <c r="FG837">
        <f>IF(ISBLANK('Data Entry'!$ã$837), "", 'Data Entry'!$ã$837)</f>
      </c>
      <c r="FH837">
        <f>IF(ISBLANK('Data Entry'!$ä$837), "", 'Data Entry'!$ä$837)</f>
      </c>
      <c r="FI837">
        <f>IF(ISBLANK('Data Entry'!$å$837), "", 'Data Entry'!$å$837)</f>
      </c>
      <c r="FJ837">
        <f>IF(ISBLANK('Data Entry'!$æ$837), "", 'Data Entry'!$æ$837)</f>
      </c>
      <c r="FK837">
        <f>IF(ISBLANK('Data Entry'!$ç$837), "", 'Data Entry'!$ç$837)</f>
      </c>
      <c r="FL837">
        <f>IF(ISBLANK('Data Entry'!$è$837), "", 'Data Entry'!$è$837)</f>
      </c>
      <c r="FM837">
        <f>IF(ISBLANK('Data Entry'!$é$837), "", 'Data Entry'!$é$837)</f>
      </c>
      <c r="FN837">
        <f>IF(ISBLANK('Data Entry'!$ê$837), "", 'Data Entry'!$ê$837)</f>
      </c>
      <c r="FO837">
        <f>IF(ISBLANK('Data Entry'!$ë$837), "", 'Data Entry'!$ë$837)</f>
      </c>
      <c r="FP837">
        <f>IF(ISBLANK('Data Entry'!$ì$837), "", 'Data Entry'!$ì$837)</f>
      </c>
      <c r="FQ837">
        <f>IF(ISBLANK('Data Entry'!$í$837), "", 'Data Entry'!$í$837)</f>
      </c>
      <c r="FR837">
        <f>IF(ISBLANK('Data Entry'!$î$837), "", 'Data Entry'!$î$837)</f>
      </c>
      <c r="FS837">
        <f>IF(ISBLANK('Data Entry'!$ï$837), "", 'Data Entry'!$ï$837)</f>
      </c>
      <c r="FT837">
        <f>IF(ISBLANK('Data Entry'!$ð$837), "", 'Data Entry'!$ð$837)</f>
      </c>
      <c r="FU837">
        <f>IF(ISBLANK('Data Entry'!$ñ$837), "", 'Data Entry'!$ñ$837)</f>
      </c>
      <c r="FV837">
        <f>IF(ISBLANK('Data Entry'!$ò$837), "", 'Data Entry'!$ò$837)</f>
      </c>
      <c r="FW837">
        <f>IF(ISBLANK('Data Entry'!$ó$837), "", 'Data Entry'!$ó$837)</f>
      </c>
      <c r="FX837">
        <f>IF(ISBLANK('Data Entry'!$ô$837), "", 'Data Entry'!$ô$837)</f>
      </c>
      <c r="FY837">
        <f>IF(ISBLANK('Data Entry'!$õ$837), "", 'Data Entry'!$õ$837)</f>
      </c>
      <c r="FZ837">
        <f>IF(ISBLANK('Data Entry'!$ö$837), "", 'Data Entry'!$ö$837)</f>
      </c>
      <c r="GA837">
        <f>IF(ISBLANK('Data Entry'!$÷$837), "", 'Data Entry'!$÷$837)</f>
      </c>
      <c r="GB837">
        <f>IF(ISBLANK('Data Entry'!$ø$837), "", 'Data Entry'!$ø$837)</f>
      </c>
      <c r="GC837">
        <f>IF(ISBLANK('Data Entry'!$ù$837), "", 'Data Entry'!$ù$837)</f>
      </c>
      <c r="GD837">
        <f>IF(ISBLANK('Data Entry'!$ú$837), "", 'Data Entry'!$ú$837)</f>
      </c>
      <c r="GE837">
        <f>IF(ISBLANK('Data Entry'!$û$837), "", 'Data Entry'!$û$837)</f>
      </c>
      <c r="GF837">
        <f>IF(ISBLANK('Data Entry'!$ü$837), "", 'Data Entry'!$ü$837)</f>
      </c>
      <c r="GG837">
        <f>IF(ISBLANK('Data Entry'!$ý$837), "", 'Data Entry'!$ý$837)</f>
      </c>
      <c r="GH837">
        <f>IF(ISBLANK('Data Entry'!$þ$837), "", 'Data Entry'!$þ$837)</f>
      </c>
      <c r="GI837">
        <f>IF(ISBLANK('Data Entry'!$ÿ$837), "", 'Data Entry'!$ÿ$837)</f>
      </c>
      <c r="GJ837">
        <f>IF(ISBLANK('Data Entry'!$Ā$837), "", 'Data Entry'!$Ā$837)</f>
      </c>
      <c r="GK837">
        <f>IF(ISBLANK('Data Entry'!$ā$837), "", 'Data Entry'!$ā$837)</f>
      </c>
      <c r="GL837">
        <f>IF(ISBLANK('Data Entry'!$Ă$837), "", 'Data Entry'!$Ă$837)</f>
      </c>
      <c r="GM837">
        <f>IF(ISBLANK('Data Entry'!$ă$837), "", 'Data Entry'!$ă$837)</f>
      </c>
      <c r="GN837">
        <f>IF(ISBLANK('Data Entry'!$Ą$837), "", 'Data Entry'!$Ą$837)</f>
      </c>
      <c r="GO837">
        <f>IF(ISBLANK('Data Entry'!$ą$837), "", 'Data Entry'!$ą$837)</f>
      </c>
      <c r="GP837">
        <f>IF(ISBLANK('Data Entry'!$Ć$837), "", 'Data Entry'!$Ć$837)</f>
      </c>
      <c r="GQ837">
        <f>IF(ISBLANK('Data Entry'!$ć$837), "", 'Data Entry'!$ć$837)</f>
      </c>
      <c r="GR837">
        <f>IF(ISBLANK('Data Entry'!$Ĉ$837), "", 'Data Entry'!$Ĉ$837)</f>
      </c>
      <c r="GS837">
        <f>IF(ISBLANK('Data Entry'!$ĉ$837), "", 'Data Entry'!$ĉ$837)</f>
      </c>
      <c r="GT837">
        <f>IF(ISBLANK('Data Entry'!$Ċ$837), "", 'Data Entry'!$Ċ$837)</f>
      </c>
      <c r="GU837">
        <f>IF(ISBLANK('Data Entry'!$ċ$837), "", 'Data Entry'!$ċ$837)</f>
      </c>
      <c r="GV837">
        <f>IF(ISBLANK('Data Entry'!$Č$837), "", 'Data Entry'!$Č$837)</f>
      </c>
      <c r="GW837">
        <f>IF(ISBLANK('Data Entry'!$č$837), "", 'Data Entry'!$č$837)</f>
      </c>
      <c r="GX837">
        <f>IF(ISBLANK('Data Entry'!$Ď$837), "", 'Data Entry'!$Ď$837)</f>
      </c>
      <c r="GY837">
        <f>IF(ISBLANK('Data Entry'!$ď$837), "", 'Data Entry'!$ď$837)</f>
      </c>
      <c r="GZ837">
        <f>IF(ISBLANK('Data Entry'!$Đ$837), "", 'Data Entry'!$Đ$837)</f>
      </c>
      <c r="HA837">
        <f>IF(ISBLANK('Data Entry'!$đ$837), "", 'Data Entry'!$đ$837)</f>
      </c>
      <c r="HB837">
        <f>IF(ISBLANK('Data Entry'!$Ē$837), "", 'Data Entry'!$Ē$837)</f>
      </c>
      <c r="HC837">
        <f>IF(ISBLANK('Data Entry'!$ē$837), "", 'Data Entry'!$ē$837)</f>
      </c>
      <c r="HD837">
        <f>IF(ISBLANK('Data Entry'!$Ĕ$837), "", 'Data Entry'!$Ĕ$837)</f>
      </c>
      <c r="HE837">
        <f>IF(ISBLANK('Data Entry'!$ĕ$837), "", 'Data Entry'!$ĕ$837)</f>
      </c>
      <c r="HF837">
        <f>IF(ISBLANK('Data Entry'!$Ė$837), "", 'Data Entry'!$Ė$837)</f>
      </c>
      <c r="HG837">
        <f>IF(ISBLANK('Data Entry'!$ė$837), "", 'Data Entry'!$ė$837)</f>
      </c>
      <c r="HH837">
        <f>IF(ISBLANK('Data Entry'!$Ę$837), "", 'Data Entry'!$Ę$837)</f>
      </c>
      <c r="HI837">
        <f>IF(ISBLANK('Data Entry'!$ę$837), "", 'Data Entry'!$ę$837)</f>
      </c>
      <c r="HJ837">
        <f>IF(ISBLANK('Data Entry'!$Ě$837), "", 'Data Entry'!$Ě$837)</f>
      </c>
      <c r="HK837">
        <f>IF(ISBLANK('Data Entry'!$ě$837), "", 'Data Entry'!$ě$837)</f>
      </c>
      <c r="HL837">
        <f>IF(ISBLANK('Data Entry'!$Ĝ$837), "", 'Data Entry'!$Ĝ$837)</f>
      </c>
      <c r="HM837">
        <f>IF(ISBLANK('Data Entry'!$ĝ$837), "", 'Data Entry'!$ĝ$837)</f>
      </c>
      <c r="HN837">
        <f>IF(ISBLANK('Data Entry'!$Ğ$837), "", 'Data Entry'!$Ğ$837)</f>
      </c>
      <c r="HO837">
        <f>IF(ISBLANK('Data Entry'!$ğ$837), "", 'Data Entry'!$ğ$837)</f>
      </c>
      <c r="HP837">
        <f>IF(ISBLANK('Data Entry'!$Ġ$837), "", 'Data Entry'!$Ġ$837)</f>
      </c>
      <c r="HQ837">
        <f>IF(ISBLANK('Data Entry'!$ġ$837), "", 'Data Entry'!$ġ$837)</f>
      </c>
      <c r="HR837">
        <f>IF(ISBLANK('Data Entry'!$Ģ$837), "", 'Data Entry'!$Ģ$837)</f>
      </c>
      <c r="HS837">
        <f>IF(ISBLANK('Data Entry'!$ģ$837), "", 'Data Entry'!$ģ$837)</f>
      </c>
      <c r="HT837">
        <f>IF(ISBLANK('Data Entry'!$Ĥ$837), "", 'Data Entry'!$Ĥ$837)</f>
      </c>
      <c r="HU837">
        <f>IF(ISBLANK('Data Entry'!$ĥ$837), "", 'Data Entry'!$ĥ$837)</f>
      </c>
      <c r="HV837">
        <f>IF(ISBLANK('Data Entry'!$Ħ$837), "", 'Data Entry'!$Ħ$837)</f>
      </c>
      <c r="HW837">
        <f>IF(ISBLANK('Data Entry'!$ħ$837), "", 'Data Entry'!$ħ$837)</f>
      </c>
      <c r="HX837">
        <f>IF(ISBLANK('Data Entry'!$Ĩ$837), "", 'Data Entry'!$Ĩ$837)</f>
      </c>
      <c r="HY837">
        <f>IF(ISBLANK('Data Entry'!$ĩ$837), "", 'Data Entry'!$ĩ$837)</f>
      </c>
      <c r="HZ837">
        <f>IF(ISBLANK('Data Entry'!$Ī$837), "", 'Data Entry'!$Ī$837)</f>
      </c>
      <c r="IA837">
        <f>IF(ISBLANK('Data Entry'!$ī$837), "", 'Data Entry'!$ī$837)</f>
      </c>
      <c r="IB837">
        <f>IF(ISBLANK('Data Entry'!$Ĭ$837), "", 'Data Entry'!$Ĭ$837)</f>
      </c>
      <c r="IC837">
        <f>IF(ISBLANK('Data Entry'!$ĭ$837), "", 'Data Entry'!$ĭ$837)</f>
      </c>
      <c r="ID837">
        <f>IF(ISBLANK('Data Entry'!$Į$837), "", 'Data Entry'!$Į$837)</f>
      </c>
      <c r="IE837">
        <f>IF(ISBLANK('Data Entry'!$į$837), "", 'Data Entry'!$į$837)</f>
      </c>
      <c r="IF837">
        <f>IF(ISBLANK('Data Entry'!$İ$837), "", 'Data Entry'!$İ$837)</f>
      </c>
      <c r="IG837">
        <f>IF(ISBLANK('Data Entry'!$ı$837), "", 'Data Entry'!$ı$837)</f>
      </c>
      <c r="IH837">
        <f>IF(ISBLANK('Data Entry'!$Ĳ$837), "", 'Data Entry'!$Ĳ$837)</f>
      </c>
      <c r="II837">
        <f>IF(ISBLANK('Data Entry'!$ĳ$837), "", 'Data Entry'!$ĳ$837)</f>
      </c>
      <c r="IJ837">
        <f>IF(ISBLANK('Data Entry'!$Ĵ$837), "", 'Data Entry'!$Ĵ$837)</f>
      </c>
      <c r="IK837">
        <f>IF(ISBLANK('Data Entry'!$ĵ$837), "", 'Data Entry'!$ĵ$837)</f>
      </c>
      <c r="IL837">
        <f>IF(ISBLANK('Data Entry'!$Ķ$837), "", 'Data Entry'!$Ķ$837)</f>
      </c>
      <c r="IM837">
        <f>IF(ISBLANK('Data Entry'!$ķ$837), "", 'Data Entry'!$ķ$837)</f>
      </c>
      <c r="IN837">
        <f>IF(ISBLANK('Data Entry'!$ĸ$837), "", 'Data Entry'!$ĸ$837)</f>
      </c>
      <c r="IO837">
        <f>IF(ISBLANK('Data Entry'!$Ĺ$837), "", 'Data Entry'!$Ĺ$837)</f>
      </c>
      <c r="IP837">
        <f>IF(ISBLANK('Data Entry'!$ĺ$837), "", 'Data Entry'!$ĺ$837)</f>
      </c>
      <c r="IQ837">
        <f>IF(ISBLANK('Data Entry'!$Ļ$837), "", 'Data Entry'!$Ļ$837)</f>
      </c>
      <c r="IR837">
        <f>IF(ISBLANK('Data Entry'!$ļ$837), "", 'Data Entry'!$ļ$837)</f>
      </c>
      <c r="IS837">
        <f>IF(ISBLANK('Data Entry'!$Ľ$837), "", 'Data Entry'!$Ľ$837)</f>
      </c>
      <c r="IT837">
        <f>IF(ISBLANK('Data Entry'!$ľ$837), "", 'Data Entry'!$ľ$837)</f>
      </c>
    </row>
    <row r="838" spans="1:254" x14ac:dyDescent="0.25">
      <c r="A838">
        <f>IF(ISBLANK('Data Entry'!$A$838), "", 'Data Entry'!$A$838)</f>
      </c>
      <c r="B838">
        <f>IF(ISBLANK('Data Entry'!$B$838), "", 'Data Entry'!$B$838)</f>
      </c>
      <c r="C838">
        <f>IF(ISBLANK('Data Entry'!$C$838), "", 'Data Entry'!$C$838)</f>
      </c>
      <c r="D838">
        <f>IF(ISBLANK('Data Entry'!$D$838), "", 'Data Entry'!$D$838)</f>
      </c>
      <c r="E838">
        <f>IF(ISBLANK('Data Entry'!$E$838), "", 'Data Entry'!$E$838)</f>
      </c>
      <c r="F838">
        <f>IF(ISBLANK('Data Entry'!$F$838), "", 'Data Entry'!$F$838)</f>
      </c>
      <c r="G838">
        <f>IF(ISBLANK('Data Entry'!$G$838), "", 'Data Entry'!$G$838)</f>
      </c>
      <c r="H838">
        <f>IF(ISBLANK('Data Entry'!$H$838), "", 'Data Entry'!$H$838)</f>
      </c>
      <c r="I838">
        <f>IF(ISBLANK('Data Entry'!$I$838), "", 'Data Entry'!$I$838)</f>
      </c>
      <c r="J838">
        <f>IF(ISBLANK('Data Entry'!$J$838), "", 'Data Entry'!$J$838)</f>
      </c>
      <c r="K838">
        <f>IF(ISBLANK('Data Entry'!$K$838), "", 'Data Entry'!$K$838)</f>
      </c>
      <c r="L838">
        <f>IF(ISBLANK('Data Entry'!$L$838), "", 'Data Entry'!$L$838)</f>
      </c>
      <c r="M838">
        <f>IF(ISBLANK('Data Entry'!$M$838), "", 'Data Entry'!$M$838)</f>
      </c>
      <c r="N838">
        <f>IF(ISBLANK('Data Entry'!$N$838), "", 'Data Entry'!$N$838)</f>
      </c>
      <c r="O838">
        <f>IF(ISBLANK('Data Entry'!$O$838), "", 'Data Entry'!$O$838)</f>
      </c>
      <c r="P838">
        <f>IF(ISBLANK('Data Entry'!$P$838), "", 'Data Entry'!$P$838)</f>
      </c>
      <c r="Q838">
        <f>IF(ISBLANK('Data Entry'!$Q$838), "", 'Data Entry'!$Q$838)</f>
      </c>
      <c r="R838">
        <f>IF(ISBLANK('Data Entry'!$R$838), "", 'Data Entry'!$R$838)</f>
      </c>
      <c r="S838">
        <f>IF(ISBLANK('Data Entry'!$S$838), "", 'Data Entry'!$S$838)</f>
      </c>
      <c r="T838">
        <f>IF(ISBLANK('Data Entry'!$T$838), "", 'Data Entry'!$T$838)</f>
      </c>
      <c r="U838">
        <f>IF(ISBLANK('Data Entry'!$U$838), "", 'Data Entry'!$U$838)</f>
      </c>
      <c r="V838">
        <f>IF(ISBLANK('Data Entry'!$V$838), "", 'Data Entry'!$V$838)</f>
      </c>
      <c r="W838">
        <f>IF(ISBLANK('Data Entry'!$W$838), "", 'Data Entry'!$W$838)</f>
      </c>
      <c r="X838">
        <f>IF(ISBLANK('Data Entry'!$X$838), "", 'Data Entry'!$X$838)</f>
      </c>
      <c r="Y838">
        <f>IF(ISBLANK('Data Entry'!$Y$838), "", 'Data Entry'!$Y$838)</f>
      </c>
      <c r="Z838">
        <f>IF(ISBLANK('Data Entry'!$Z$838), "", 'Data Entry'!$Z$838)</f>
      </c>
      <c r="AA838">
        <f>IF(ISBLANK('Data Entry'!$[$838), "", 'Data Entry'!$[$838)</f>
      </c>
      <c r="AB838">
        <f>IF(ISBLANK('Data Entry'!$\$838), "", 'Data Entry'!$\$838)</f>
      </c>
      <c r="AC838">
        <f>IF(ISBLANK('Data Entry'!$]$838), "", 'Data Entry'!$]$838)</f>
      </c>
      <c r="AD838">
        <f>IF(ISBLANK('Data Entry'!$^$838), "", 'Data Entry'!$^$838)</f>
      </c>
      <c r="AE838">
        <f>IF(ISBLANK('Data Entry'!$_$838), "", 'Data Entry'!$_$838)</f>
      </c>
      <c r="AF838">
        <f>IF(ISBLANK('Data Entry'!$`$838), "", 'Data Entry'!$`$838)</f>
      </c>
      <c r="AG838">
        <f>IF(ISBLANK('Data Entry'!$a$838), "", 'Data Entry'!$a$838)</f>
      </c>
      <c r="AH838">
        <f>IF(ISBLANK('Data Entry'!$b$838), "", 'Data Entry'!$b$838)</f>
      </c>
      <c r="AI838">
        <f>IF(ISBLANK('Data Entry'!$c$838), "", 'Data Entry'!$c$838)</f>
      </c>
      <c r="AJ838">
        <f>IF(ISBLANK('Data Entry'!$d$838), "", 'Data Entry'!$d$838)</f>
      </c>
      <c r="AK838">
        <f>IF(ISBLANK('Data Entry'!$e$838), "", 'Data Entry'!$e$838)</f>
      </c>
      <c r="AL838">
        <f>IF(ISBLANK('Data Entry'!$f$838), "", 'Data Entry'!$f$838)</f>
      </c>
      <c r="AM838">
        <f>IF(ISBLANK('Data Entry'!$g$838), "", 'Data Entry'!$g$838)</f>
      </c>
      <c r="AN838">
        <f>IF(ISBLANK('Data Entry'!$h$838), "", 'Data Entry'!$h$838)</f>
      </c>
      <c r="AO838">
        <f>IF(ISBLANK('Data Entry'!$i$838), "", 'Data Entry'!$i$838)</f>
      </c>
      <c r="AP838">
        <f>IF(ISBLANK('Data Entry'!$j$838), "", 'Data Entry'!$j$838)</f>
      </c>
      <c r="AQ838">
        <f>IF(ISBLANK('Data Entry'!$k$838), "", 'Data Entry'!$k$838)</f>
      </c>
      <c r="AR838">
        <f>IF(ISBLANK('Data Entry'!$l$838), "", 'Data Entry'!$l$838)</f>
      </c>
      <c r="AS838">
        <f>IF(ISBLANK('Data Entry'!$m$838), "", 'Data Entry'!$m$838)</f>
      </c>
      <c r="AT838">
        <f>IF(ISBLANK('Data Entry'!$n$838), "", 'Data Entry'!$n$838)</f>
      </c>
      <c r="AU838">
        <f>IF(ISBLANK('Data Entry'!$o$838), "", 'Data Entry'!$o$838)</f>
      </c>
      <c r="AV838">
        <f>IF(ISBLANK('Data Entry'!$p$838), "", 'Data Entry'!$p$838)</f>
      </c>
      <c r="AW838">
        <f>IF(ISBLANK('Data Entry'!$q$838), "", 'Data Entry'!$q$838)</f>
      </c>
      <c r="AX838">
        <f>IF(ISBLANK('Data Entry'!$r$838), "", 'Data Entry'!$r$838)</f>
      </c>
      <c r="AY838">
        <f>IF(ISBLANK('Data Entry'!$s$838), "", 'Data Entry'!$s$838)</f>
      </c>
      <c r="AZ838">
        <f>IF(ISBLANK('Data Entry'!$t$838), "", 'Data Entry'!$t$838)</f>
      </c>
      <c r="BA838">
        <f>IF(ISBLANK('Data Entry'!$u$838), "", 'Data Entry'!$u$838)</f>
      </c>
      <c r="BB838">
        <f>IF(ISBLANK('Data Entry'!$v$838), "", 'Data Entry'!$v$838)</f>
      </c>
      <c r="BC838">
        <f>IF(ISBLANK('Data Entry'!$w$838), "", 'Data Entry'!$w$838)</f>
      </c>
      <c r="BD838">
        <f>IF(ISBLANK('Data Entry'!$x$838), "", 'Data Entry'!$x$838)</f>
      </c>
      <c r="BE838">
        <f>IF(ISBLANK('Data Entry'!$y$838), "", 'Data Entry'!$y$838)</f>
      </c>
      <c r="BF838">
        <f>IF(ISBLANK('Data Entry'!$z$838), "", 'Data Entry'!$z$838)</f>
      </c>
      <c r="BG838">
        <f>IF(ISBLANK('Data Entry'!${$838), "", 'Data Entry'!${$838)</f>
      </c>
      <c r="BH838">
        <f>IF(ISBLANK('Data Entry'!$|$838), "", 'Data Entry'!$|$838)</f>
      </c>
      <c r="BI838">
        <f>IF(ISBLANK('Data Entry'!$}$838), "", 'Data Entry'!$}$838)</f>
      </c>
      <c r="BJ838">
        <f>IF(ISBLANK('Data Entry'!$~$838), "", 'Data Entry'!$~$838)</f>
      </c>
      <c r="BK838">
        <f>IF(ISBLANK('Data Entry'!$$838), "", 'Data Entry'!$$838)</f>
      </c>
      <c r="BL838">
        <f>IF(ISBLANK('Data Entry'!$$838), "", 'Data Entry'!$$838)</f>
      </c>
      <c r="BM838">
        <f>IF(ISBLANK('Data Entry'!$$838), "", 'Data Entry'!$$838)</f>
      </c>
      <c r="BN838">
        <f>IF(ISBLANK('Data Entry'!$$838), "", 'Data Entry'!$$838)</f>
      </c>
      <c r="BO838">
        <f>IF(ISBLANK('Data Entry'!$$838), "", 'Data Entry'!$$838)</f>
      </c>
      <c r="BP838">
        <f>IF(ISBLANK('Data Entry'!$$838), "", 'Data Entry'!$$838)</f>
      </c>
      <c r="BQ838">
        <f>IF(ISBLANK('Data Entry'!$$838), "", 'Data Entry'!$$838)</f>
      </c>
      <c r="BR838">
        <f>IF(ISBLANK('Data Entry'!$$838), "", 'Data Entry'!$$838)</f>
      </c>
      <c r="BS838">
        <f>IF(ISBLANK('Data Entry'!$$838), "", 'Data Entry'!$$838)</f>
      </c>
      <c r="BT838">
        <f>IF(ISBLANK('Data Entry'!$$838), "", 'Data Entry'!$$838)</f>
      </c>
      <c r="BU838">
        <f>IF(ISBLANK('Data Entry'!$$838), "", 'Data Entry'!$$838)</f>
      </c>
      <c r="BV838">
        <f>IF(ISBLANK('Data Entry'!$$838), "", 'Data Entry'!$$838)</f>
      </c>
      <c r="BW838">
        <f>IF(ISBLANK('Data Entry'!$$838), "", 'Data Entry'!$$838)</f>
      </c>
      <c r="BX838">
        <f>IF(ISBLANK('Data Entry'!$$838), "", 'Data Entry'!$$838)</f>
      </c>
      <c r="BY838">
        <f>IF(ISBLANK('Data Entry'!$$838), "", 'Data Entry'!$$838)</f>
      </c>
      <c r="BZ838">
        <f>IF(ISBLANK('Data Entry'!$$838), "", 'Data Entry'!$$838)</f>
      </c>
      <c r="CA838">
        <f>IF(ISBLANK('Data Entry'!$$838), "", 'Data Entry'!$$838)</f>
      </c>
      <c r="CB838">
        <f>IF(ISBLANK('Data Entry'!$$838), "", 'Data Entry'!$$838)</f>
      </c>
      <c r="CC838">
        <f>IF(ISBLANK('Data Entry'!$$838), "", 'Data Entry'!$$838)</f>
      </c>
      <c r="CD838">
        <f>IF(ISBLANK('Data Entry'!$$838), "", 'Data Entry'!$$838)</f>
      </c>
      <c r="CE838">
        <f>IF(ISBLANK('Data Entry'!$$838), "", 'Data Entry'!$$838)</f>
      </c>
      <c r="CF838">
        <f>IF(ISBLANK('Data Entry'!$$838), "", 'Data Entry'!$$838)</f>
      </c>
      <c r="CG838">
        <f>IF(ISBLANK('Data Entry'!$$838), "", 'Data Entry'!$$838)</f>
      </c>
      <c r="CH838">
        <f>IF(ISBLANK('Data Entry'!$$838), "", 'Data Entry'!$$838)</f>
      </c>
      <c r="CI838">
        <f>IF(ISBLANK('Data Entry'!$$838), "", 'Data Entry'!$$838)</f>
      </c>
      <c r="CJ838">
        <f>IF(ISBLANK('Data Entry'!$$838), "", 'Data Entry'!$$838)</f>
      </c>
      <c r="CK838">
        <f>IF(ISBLANK('Data Entry'!$$838), "", 'Data Entry'!$$838)</f>
      </c>
      <c r="CL838">
        <f>IF(ISBLANK('Data Entry'!$$838), "", 'Data Entry'!$$838)</f>
      </c>
      <c r="CM838">
        <f>IF(ISBLANK('Data Entry'!$$838), "", 'Data Entry'!$$838)</f>
      </c>
      <c r="CN838">
        <f>IF(ISBLANK('Data Entry'!$$838), "", 'Data Entry'!$$838)</f>
      </c>
      <c r="CO838">
        <f>IF(ISBLANK('Data Entry'!$$838), "", 'Data Entry'!$$838)</f>
      </c>
      <c r="CP838">
        <f>IF(ISBLANK('Data Entry'!$$838), "", 'Data Entry'!$$838)</f>
      </c>
      <c r="CQ838">
        <f>IF(ISBLANK('Data Entry'!$$838), "", 'Data Entry'!$$838)</f>
      </c>
      <c r="CR838">
        <f>IF(ISBLANK('Data Entry'!$ $838), "", 'Data Entry'!$ $838)</f>
      </c>
      <c r="CS838">
        <f>IF(ISBLANK('Data Entry'!$¡$838), "", 'Data Entry'!$¡$838)</f>
      </c>
      <c r="CT838">
        <f>IF(ISBLANK('Data Entry'!$¢$838), "", 'Data Entry'!$¢$838)</f>
      </c>
      <c r="CU838">
        <f>IF(ISBLANK('Data Entry'!$£$838), "", 'Data Entry'!$£$838)</f>
      </c>
      <c r="CV838">
        <f>IF(ISBLANK('Data Entry'!$¤$838), "", 'Data Entry'!$¤$838)</f>
      </c>
      <c r="CW838">
        <f>IF(ISBLANK('Data Entry'!$¥$838), "", 'Data Entry'!$¥$838)</f>
      </c>
      <c r="CX838">
        <f>IF(ISBLANK('Data Entry'!$¦$838), "", 'Data Entry'!$¦$838)</f>
      </c>
      <c r="CY838">
        <f>IF(ISBLANK('Data Entry'!$§$838), "", 'Data Entry'!$§$838)</f>
      </c>
      <c r="CZ838">
        <f>IF(ISBLANK('Data Entry'!$¨$838), "", 'Data Entry'!$¨$838)</f>
      </c>
      <c r="DA838">
        <f>IF(ISBLANK('Data Entry'!$©$838), "", 'Data Entry'!$©$838)</f>
      </c>
      <c r="DB838">
        <f>IF(ISBLANK('Data Entry'!$ª$838), "", 'Data Entry'!$ª$838)</f>
      </c>
      <c r="DC838">
        <f>IF(ISBLANK('Data Entry'!$«$838), "", 'Data Entry'!$«$838)</f>
      </c>
      <c r="DD838">
        <f>IF(ISBLANK('Data Entry'!$¬$838), "", 'Data Entry'!$¬$838)</f>
      </c>
      <c r="DE838">
        <f>IF(ISBLANK('Data Entry'!$­$838), "", 'Data Entry'!$­$838)</f>
      </c>
      <c r="DF838">
        <f>IF(ISBLANK('Data Entry'!$®$838), "", 'Data Entry'!$®$838)</f>
      </c>
      <c r="DG838">
        <f>IF(ISBLANK('Data Entry'!$¯$838), "", 'Data Entry'!$¯$838)</f>
      </c>
      <c r="DH838">
        <f>IF(ISBLANK('Data Entry'!$°$838), "", 'Data Entry'!$°$838)</f>
      </c>
      <c r="DI838">
        <f>IF(ISBLANK('Data Entry'!$±$838), "", 'Data Entry'!$±$838)</f>
      </c>
      <c r="DJ838">
        <f>IF(ISBLANK('Data Entry'!$²$838), "", 'Data Entry'!$²$838)</f>
      </c>
      <c r="DK838">
        <f>IF(ISBLANK('Data Entry'!$³$838), "", 'Data Entry'!$³$838)</f>
      </c>
      <c r="DL838">
        <f>IF(ISBLANK('Data Entry'!$´$838), "", 'Data Entry'!$´$838)</f>
      </c>
      <c r="DM838">
        <f>IF(ISBLANK('Data Entry'!$µ$838), "", 'Data Entry'!$µ$838)</f>
      </c>
      <c r="DN838">
        <f>IF(ISBLANK('Data Entry'!$¶$838), "", 'Data Entry'!$¶$838)</f>
      </c>
      <c r="DO838">
        <f>IF(ISBLANK('Data Entry'!$·$838), "", 'Data Entry'!$·$838)</f>
      </c>
      <c r="DP838">
        <f>IF(ISBLANK('Data Entry'!$¸$838), "", 'Data Entry'!$¸$838)</f>
      </c>
      <c r="DQ838">
        <f>IF(ISBLANK('Data Entry'!$¹$838), "", 'Data Entry'!$¹$838)</f>
      </c>
      <c r="DR838">
        <f>IF(ISBLANK('Data Entry'!$º$838), "", 'Data Entry'!$º$838)</f>
      </c>
      <c r="DS838">
        <f>IF(ISBLANK('Data Entry'!$»$838), "", 'Data Entry'!$»$838)</f>
      </c>
      <c r="DT838">
        <f>IF(ISBLANK('Data Entry'!$¼$838), "", 'Data Entry'!$¼$838)</f>
      </c>
      <c r="DU838">
        <f>IF(ISBLANK('Data Entry'!$½$838), "", 'Data Entry'!$½$838)</f>
      </c>
      <c r="DV838">
        <f>IF(ISBLANK('Data Entry'!$¾$838), "", 'Data Entry'!$¾$838)</f>
      </c>
      <c r="DW838">
        <f>IF(ISBLANK('Data Entry'!$¿$838), "", 'Data Entry'!$¿$838)</f>
      </c>
      <c r="DX838">
        <f>IF(ISBLANK('Data Entry'!$À$838), "", 'Data Entry'!$À$838)</f>
      </c>
      <c r="DY838">
        <f>IF(ISBLANK('Data Entry'!$Á$838), "", 'Data Entry'!$Á$838)</f>
      </c>
      <c r="DZ838">
        <f>IF(ISBLANK('Data Entry'!$Â$838), "", 'Data Entry'!$Â$838)</f>
      </c>
      <c r="EA838">
        <f>IF(ISBLANK('Data Entry'!$Ã$838), "", 'Data Entry'!$Ã$838)</f>
      </c>
      <c r="EB838">
        <f>IF(ISBLANK('Data Entry'!$Ä$838), "", 'Data Entry'!$Ä$838)</f>
      </c>
      <c r="EC838">
        <f>IF(ISBLANK('Data Entry'!$Å$838), "", 'Data Entry'!$Å$838)</f>
      </c>
      <c r="ED838">
        <f>IF(ISBLANK('Data Entry'!$Æ$838), "", 'Data Entry'!$Æ$838)</f>
      </c>
      <c r="EE838">
        <f>IF(ISBLANK('Data Entry'!$Ç$838), "", 'Data Entry'!$Ç$838)</f>
      </c>
      <c r="EF838">
        <f>IF(ISBLANK('Data Entry'!$È$838), "", 'Data Entry'!$È$838)</f>
      </c>
      <c r="EG838">
        <f>IF(ISBLANK('Data Entry'!$É$838), "", 'Data Entry'!$É$838)</f>
      </c>
      <c r="EH838">
        <f>IF(ISBLANK('Data Entry'!$Ê$838), "", 'Data Entry'!$Ê$838)</f>
      </c>
      <c r="EI838">
        <f>IF(ISBLANK('Data Entry'!$Ë$838), "", 'Data Entry'!$Ë$838)</f>
      </c>
      <c r="EJ838">
        <f>IF(ISBLANK('Data Entry'!$Ì$838), "", 'Data Entry'!$Ì$838)</f>
      </c>
      <c r="EK838">
        <f>IF(ISBLANK('Data Entry'!$Í$838), "", 'Data Entry'!$Í$838)</f>
      </c>
      <c r="EL838">
        <f>IF(ISBLANK('Data Entry'!$Î$838), "", 'Data Entry'!$Î$838)</f>
      </c>
      <c r="EM838">
        <f>IF(ISBLANK('Data Entry'!$Ï$838), "", 'Data Entry'!$Ï$838)</f>
      </c>
      <c r="EN838">
        <f>IF(ISBLANK('Data Entry'!$Ð$838), "", 'Data Entry'!$Ð$838)</f>
      </c>
      <c r="EO838">
        <f>IF(ISBLANK('Data Entry'!$Ñ$838), "", 'Data Entry'!$Ñ$838)</f>
      </c>
      <c r="EP838">
        <f>IF(ISBLANK('Data Entry'!$Ò$838), "", 'Data Entry'!$Ò$838)</f>
      </c>
      <c r="EQ838">
        <f>IF(ISBLANK('Data Entry'!$Ó$838), "", 'Data Entry'!$Ó$838)</f>
      </c>
      <c r="ER838">
        <f>IF(ISBLANK('Data Entry'!$Ô$838), "", 'Data Entry'!$Ô$838)</f>
      </c>
      <c r="ES838">
        <f>IF(ISBLANK('Data Entry'!$Õ$838), "", 'Data Entry'!$Õ$838)</f>
      </c>
      <c r="ET838">
        <f>IF(ISBLANK('Data Entry'!$Ö$838), "", 'Data Entry'!$Ö$838)</f>
      </c>
      <c r="EU838">
        <f>IF(ISBLANK('Data Entry'!$×$838), "", 'Data Entry'!$×$838)</f>
      </c>
      <c r="EV838">
        <f>IF(ISBLANK('Data Entry'!$Ø$838), "", 'Data Entry'!$Ø$838)</f>
      </c>
      <c r="EW838">
        <f>IF(ISBLANK('Data Entry'!$Ù$838), "", 'Data Entry'!$Ù$838)</f>
      </c>
      <c r="EX838">
        <f>IF(ISBLANK('Data Entry'!$Ú$838), "", 'Data Entry'!$Ú$838)</f>
      </c>
      <c r="EY838">
        <f>IF(ISBLANK('Data Entry'!$Û$838), "", 'Data Entry'!$Û$838)</f>
      </c>
      <c r="EZ838">
        <f>IF(ISBLANK('Data Entry'!$Ü$838), "", 'Data Entry'!$Ü$838)</f>
      </c>
      <c r="FA838">
        <f>IF(ISBLANK('Data Entry'!$Ý$838), "", 'Data Entry'!$Ý$838)</f>
      </c>
      <c r="FB838">
        <f>IF(ISBLANK('Data Entry'!$Þ$838), "", 'Data Entry'!$Þ$838)</f>
      </c>
      <c r="FC838">
        <f>IF(ISBLANK('Data Entry'!$ß$838), "", 'Data Entry'!$ß$838)</f>
      </c>
      <c r="FD838">
        <f>IF(ISBLANK('Data Entry'!$à$838), "", 'Data Entry'!$à$838)</f>
      </c>
      <c r="FE838">
        <f>IF(ISBLANK('Data Entry'!$á$838), "", 'Data Entry'!$á$838)</f>
      </c>
      <c r="FF838">
        <f>IF(ISBLANK('Data Entry'!$â$838), "", 'Data Entry'!$â$838)</f>
      </c>
      <c r="FG838">
        <f>IF(ISBLANK('Data Entry'!$ã$838), "", 'Data Entry'!$ã$838)</f>
      </c>
      <c r="FH838">
        <f>IF(ISBLANK('Data Entry'!$ä$838), "", 'Data Entry'!$ä$838)</f>
      </c>
      <c r="FI838">
        <f>IF(ISBLANK('Data Entry'!$å$838), "", 'Data Entry'!$å$838)</f>
      </c>
      <c r="FJ838">
        <f>IF(ISBLANK('Data Entry'!$æ$838), "", 'Data Entry'!$æ$838)</f>
      </c>
      <c r="FK838">
        <f>IF(ISBLANK('Data Entry'!$ç$838), "", 'Data Entry'!$ç$838)</f>
      </c>
      <c r="FL838">
        <f>IF(ISBLANK('Data Entry'!$è$838), "", 'Data Entry'!$è$838)</f>
      </c>
      <c r="FM838">
        <f>IF(ISBLANK('Data Entry'!$é$838), "", 'Data Entry'!$é$838)</f>
      </c>
      <c r="FN838">
        <f>IF(ISBLANK('Data Entry'!$ê$838), "", 'Data Entry'!$ê$838)</f>
      </c>
      <c r="FO838">
        <f>IF(ISBLANK('Data Entry'!$ë$838), "", 'Data Entry'!$ë$838)</f>
      </c>
      <c r="FP838">
        <f>IF(ISBLANK('Data Entry'!$ì$838), "", 'Data Entry'!$ì$838)</f>
      </c>
      <c r="FQ838">
        <f>IF(ISBLANK('Data Entry'!$í$838), "", 'Data Entry'!$í$838)</f>
      </c>
      <c r="FR838">
        <f>IF(ISBLANK('Data Entry'!$î$838), "", 'Data Entry'!$î$838)</f>
      </c>
      <c r="FS838">
        <f>IF(ISBLANK('Data Entry'!$ï$838), "", 'Data Entry'!$ï$838)</f>
      </c>
      <c r="FT838">
        <f>IF(ISBLANK('Data Entry'!$ð$838), "", 'Data Entry'!$ð$838)</f>
      </c>
      <c r="FU838">
        <f>IF(ISBLANK('Data Entry'!$ñ$838), "", 'Data Entry'!$ñ$838)</f>
      </c>
      <c r="FV838">
        <f>IF(ISBLANK('Data Entry'!$ò$838), "", 'Data Entry'!$ò$838)</f>
      </c>
      <c r="FW838">
        <f>IF(ISBLANK('Data Entry'!$ó$838), "", 'Data Entry'!$ó$838)</f>
      </c>
      <c r="FX838">
        <f>IF(ISBLANK('Data Entry'!$ô$838), "", 'Data Entry'!$ô$838)</f>
      </c>
      <c r="FY838">
        <f>IF(ISBLANK('Data Entry'!$õ$838), "", 'Data Entry'!$õ$838)</f>
      </c>
      <c r="FZ838">
        <f>IF(ISBLANK('Data Entry'!$ö$838), "", 'Data Entry'!$ö$838)</f>
      </c>
      <c r="GA838">
        <f>IF(ISBLANK('Data Entry'!$÷$838), "", 'Data Entry'!$÷$838)</f>
      </c>
      <c r="GB838">
        <f>IF(ISBLANK('Data Entry'!$ø$838), "", 'Data Entry'!$ø$838)</f>
      </c>
      <c r="GC838">
        <f>IF(ISBLANK('Data Entry'!$ù$838), "", 'Data Entry'!$ù$838)</f>
      </c>
      <c r="GD838">
        <f>IF(ISBLANK('Data Entry'!$ú$838), "", 'Data Entry'!$ú$838)</f>
      </c>
      <c r="GE838">
        <f>IF(ISBLANK('Data Entry'!$û$838), "", 'Data Entry'!$û$838)</f>
      </c>
      <c r="GF838">
        <f>IF(ISBLANK('Data Entry'!$ü$838), "", 'Data Entry'!$ü$838)</f>
      </c>
      <c r="GG838">
        <f>IF(ISBLANK('Data Entry'!$ý$838), "", 'Data Entry'!$ý$838)</f>
      </c>
      <c r="GH838">
        <f>IF(ISBLANK('Data Entry'!$þ$838), "", 'Data Entry'!$þ$838)</f>
      </c>
      <c r="GI838">
        <f>IF(ISBLANK('Data Entry'!$ÿ$838), "", 'Data Entry'!$ÿ$838)</f>
      </c>
      <c r="GJ838">
        <f>IF(ISBLANK('Data Entry'!$Ā$838), "", 'Data Entry'!$Ā$838)</f>
      </c>
      <c r="GK838">
        <f>IF(ISBLANK('Data Entry'!$ā$838), "", 'Data Entry'!$ā$838)</f>
      </c>
      <c r="GL838">
        <f>IF(ISBLANK('Data Entry'!$Ă$838), "", 'Data Entry'!$Ă$838)</f>
      </c>
      <c r="GM838">
        <f>IF(ISBLANK('Data Entry'!$ă$838), "", 'Data Entry'!$ă$838)</f>
      </c>
      <c r="GN838">
        <f>IF(ISBLANK('Data Entry'!$Ą$838), "", 'Data Entry'!$Ą$838)</f>
      </c>
      <c r="GO838">
        <f>IF(ISBLANK('Data Entry'!$ą$838), "", 'Data Entry'!$ą$838)</f>
      </c>
      <c r="GP838">
        <f>IF(ISBLANK('Data Entry'!$Ć$838), "", 'Data Entry'!$Ć$838)</f>
      </c>
      <c r="GQ838">
        <f>IF(ISBLANK('Data Entry'!$ć$838), "", 'Data Entry'!$ć$838)</f>
      </c>
      <c r="GR838">
        <f>IF(ISBLANK('Data Entry'!$Ĉ$838), "", 'Data Entry'!$Ĉ$838)</f>
      </c>
      <c r="GS838">
        <f>IF(ISBLANK('Data Entry'!$ĉ$838), "", 'Data Entry'!$ĉ$838)</f>
      </c>
      <c r="GT838">
        <f>IF(ISBLANK('Data Entry'!$Ċ$838), "", 'Data Entry'!$Ċ$838)</f>
      </c>
      <c r="GU838">
        <f>IF(ISBLANK('Data Entry'!$ċ$838), "", 'Data Entry'!$ċ$838)</f>
      </c>
      <c r="GV838">
        <f>IF(ISBLANK('Data Entry'!$Č$838), "", 'Data Entry'!$Č$838)</f>
      </c>
      <c r="GW838">
        <f>IF(ISBLANK('Data Entry'!$č$838), "", 'Data Entry'!$č$838)</f>
      </c>
      <c r="GX838">
        <f>IF(ISBLANK('Data Entry'!$Ď$838), "", 'Data Entry'!$Ď$838)</f>
      </c>
      <c r="GY838">
        <f>IF(ISBLANK('Data Entry'!$ď$838), "", 'Data Entry'!$ď$838)</f>
      </c>
      <c r="GZ838">
        <f>IF(ISBLANK('Data Entry'!$Đ$838), "", 'Data Entry'!$Đ$838)</f>
      </c>
      <c r="HA838">
        <f>IF(ISBLANK('Data Entry'!$đ$838), "", 'Data Entry'!$đ$838)</f>
      </c>
      <c r="HB838">
        <f>IF(ISBLANK('Data Entry'!$Ē$838), "", 'Data Entry'!$Ē$838)</f>
      </c>
      <c r="HC838">
        <f>IF(ISBLANK('Data Entry'!$ē$838), "", 'Data Entry'!$ē$838)</f>
      </c>
      <c r="HD838">
        <f>IF(ISBLANK('Data Entry'!$Ĕ$838), "", 'Data Entry'!$Ĕ$838)</f>
      </c>
      <c r="HE838">
        <f>IF(ISBLANK('Data Entry'!$ĕ$838), "", 'Data Entry'!$ĕ$838)</f>
      </c>
      <c r="HF838">
        <f>IF(ISBLANK('Data Entry'!$Ė$838), "", 'Data Entry'!$Ė$838)</f>
      </c>
      <c r="HG838">
        <f>IF(ISBLANK('Data Entry'!$ė$838), "", 'Data Entry'!$ė$838)</f>
      </c>
      <c r="HH838">
        <f>IF(ISBLANK('Data Entry'!$Ę$838), "", 'Data Entry'!$Ę$838)</f>
      </c>
      <c r="HI838">
        <f>IF(ISBLANK('Data Entry'!$ę$838), "", 'Data Entry'!$ę$838)</f>
      </c>
      <c r="HJ838">
        <f>IF(ISBLANK('Data Entry'!$Ě$838), "", 'Data Entry'!$Ě$838)</f>
      </c>
      <c r="HK838">
        <f>IF(ISBLANK('Data Entry'!$ě$838), "", 'Data Entry'!$ě$838)</f>
      </c>
      <c r="HL838">
        <f>IF(ISBLANK('Data Entry'!$Ĝ$838), "", 'Data Entry'!$Ĝ$838)</f>
      </c>
      <c r="HM838">
        <f>IF(ISBLANK('Data Entry'!$ĝ$838), "", 'Data Entry'!$ĝ$838)</f>
      </c>
      <c r="HN838">
        <f>IF(ISBLANK('Data Entry'!$Ğ$838), "", 'Data Entry'!$Ğ$838)</f>
      </c>
      <c r="HO838">
        <f>IF(ISBLANK('Data Entry'!$ğ$838), "", 'Data Entry'!$ğ$838)</f>
      </c>
      <c r="HP838">
        <f>IF(ISBLANK('Data Entry'!$Ġ$838), "", 'Data Entry'!$Ġ$838)</f>
      </c>
      <c r="HQ838">
        <f>IF(ISBLANK('Data Entry'!$ġ$838), "", 'Data Entry'!$ġ$838)</f>
      </c>
      <c r="HR838">
        <f>IF(ISBLANK('Data Entry'!$Ģ$838), "", 'Data Entry'!$Ģ$838)</f>
      </c>
      <c r="HS838">
        <f>IF(ISBLANK('Data Entry'!$ģ$838), "", 'Data Entry'!$ģ$838)</f>
      </c>
      <c r="HT838">
        <f>IF(ISBLANK('Data Entry'!$Ĥ$838), "", 'Data Entry'!$Ĥ$838)</f>
      </c>
      <c r="HU838">
        <f>IF(ISBLANK('Data Entry'!$ĥ$838), "", 'Data Entry'!$ĥ$838)</f>
      </c>
      <c r="HV838">
        <f>IF(ISBLANK('Data Entry'!$Ħ$838), "", 'Data Entry'!$Ħ$838)</f>
      </c>
      <c r="HW838">
        <f>IF(ISBLANK('Data Entry'!$ħ$838), "", 'Data Entry'!$ħ$838)</f>
      </c>
      <c r="HX838">
        <f>IF(ISBLANK('Data Entry'!$Ĩ$838), "", 'Data Entry'!$Ĩ$838)</f>
      </c>
      <c r="HY838">
        <f>IF(ISBLANK('Data Entry'!$ĩ$838), "", 'Data Entry'!$ĩ$838)</f>
      </c>
      <c r="HZ838">
        <f>IF(ISBLANK('Data Entry'!$Ī$838), "", 'Data Entry'!$Ī$838)</f>
      </c>
      <c r="IA838">
        <f>IF(ISBLANK('Data Entry'!$ī$838), "", 'Data Entry'!$ī$838)</f>
      </c>
      <c r="IB838">
        <f>IF(ISBLANK('Data Entry'!$Ĭ$838), "", 'Data Entry'!$Ĭ$838)</f>
      </c>
      <c r="IC838">
        <f>IF(ISBLANK('Data Entry'!$ĭ$838), "", 'Data Entry'!$ĭ$838)</f>
      </c>
      <c r="ID838">
        <f>IF(ISBLANK('Data Entry'!$Į$838), "", 'Data Entry'!$Į$838)</f>
      </c>
      <c r="IE838">
        <f>IF(ISBLANK('Data Entry'!$į$838), "", 'Data Entry'!$į$838)</f>
      </c>
      <c r="IF838">
        <f>IF(ISBLANK('Data Entry'!$İ$838), "", 'Data Entry'!$İ$838)</f>
      </c>
      <c r="IG838">
        <f>IF(ISBLANK('Data Entry'!$ı$838), "", 'Data Entry'!$ı$838)</f>
      </c>
      <c r="IH838">
        <f>IF(ISBLANK('Data Entry'!$Ĳ$838), "", 'Data Entry'!$Ĳ$838)</f>
      </c>
      <c r="II838">
        <f>IF(ISBLANK('Data Entry'!$ĳ$838), "", 'Data Entry'!$ĳ$838)</f>
      </c>
      <c r="IJ838">
        <f>IF(ISBLANK('Data Entry'!$Ĵ$838), "", 'Data Entry'!$Ĵ$838)</f>
      </c>
      <c r="IK838">
        <f>IF(ISBLANK('Data Entry'!$ĵ$838), "", 'Data Entry'!$ĵ$838)</f>
      </c>
      <c r="IL838">
        <f>IF(ISBLANK('Data Entry'!$Ķ$838), "", 'Data Entry'!$Ķ$838)</f>
      </c>
      <c r="IM838">
        <f>IF(ISBLANK('Data Entry'!$ķ$838), "", 'Data Entry'!$ķ$838)</f>
      </c>
      <c r="IN838">
        <f>IF(ISBLANK('Data Entry'!$ĸ$838), "", 'Data Entry'!$ĸ$838)</f>
      </c>
      <c r="IO838">
        <f>IF(ISBLANK('Data Entry'!$Ĺ$838), "", 'Data Entry'!$Ĺ$838)</f>
      </c>
      <c r="IP838">
        <f>IF(ISBLANK('Data Entry'!$ĺ$838), "", 'Data Entry'!$ĺ$838)</f>
      </c>
      <c r="IQ838">
        <f>IF(ISBLANK('Data Entry'!$Ļ$838), "", 'Data Entry'!$Ļ$838)</f>
      </c>
      <c r="IR838">
        <f>IF(ISBLANK('Data Entry'!$ļ$838), "", 'Data Entry'!$ļ$838)</f>
      </c>
      <c r="IS838">
        <f>IF(ISBLANK('Data Entry'!$Ľ$838), "", 'Data Entry'!$Ľ$838)</f>
      </c>
      <c r="IT838">
        <f>IF(ISBLANK('Data Entry'!$ľ$838), "", 'Data Entry'!$ľ$838)</f>
      </c>
    </row>
    <row r="839" spans="1:254" x14ac:dyDescent="0.25">
      <c r="A839">
        <f>IF(ISBLANK('Data Entry'!$A$839), "", 'Data Entry'!$A$839)</f>
      </c>
      <c r="B839">
        <f>IF(ISBLANK('Data Entry'!$B$839), "", 'Data Entry'!$B$839)</f>
      </c>
      <c r="C839">
        <f>IF(ISBLANK('Data Entry'!$C$839), "", 'Data Entry'!$C$839)</f>
      </c>
      <c r="D839">
        <f>IF(ISBLANK('Data Entry'!$D$839), "", 'Data Entry'!$D$839)</f>
      </c>
      <c r="E839">
        <f>IF(ISBLANK('Data Entry'!$E$839), "", 'Data Entry'!$E$839)</f>
      </c>
      <c r="F839">
        <f>IF(ISBLANK('Data Entry'!$F$839), "", 'Data Entry'!$F$839)</f>
      </c>
      <c r="G839">
        <f>IF(ISBLANK('Data Entry'!$G$839), "", 'Data Entry'!$G$839)</f>
      </c>
      <c r="H839">
        <f>IF(ISBLANK('Data Entry'!$H$839), "", 'Data Entry'!$H$839)</f>
      </c>
      <c r="I839">
        <f>IF(ISBLANK('Data Entry'!$I$839), "", 'Data Entry'!$I$839)</f>
      </c>
      <c r="J839">
        <f>IF(ISBLANK('Data Entry'!$J$839), "", 'Data Entry'!$J$839)</f>
      </c>
      <c r="K839">
        <f>IF(ISBLANK('Data Entry'!$K$839), "", 'Data Entry'!$K$839)</f>
      </c>
      <c r="L839">
        <f>IF(ISBLANK('Data Entry'!$L$839), "", 'Data Entry'!$L$839)</f>
      </c>
      <c r="M839">
        <f>IF(ISBLANK('Data Entry'!$M$839), "", 'Data Entry'!$M$839)</f>
      </c>
      <c r="N839">
        <f>IF(ISBLANK('Data Entry'!$N$839), "", 'Data Entry'!$N$839)</f>
      </c>
      <c r="O839">
        <f>IF(ISBLANK('Data Entry'!$O$839), "", 'Data Entry'!$O$839)</f>
      </c>
      <c r="P839">
        <f>IF(ISBLANK('Data Entry'!$P$839), "", 'Data Entry'!$P$839)</f>
      </c>
      <c r="Q839">
        <f>IF(ISBLANK('Data Entry'!$Q$839), "", 'Data Entry'!$Q$839)</f>
      </c>
      <c r="R839">
        <f>IF(ISBLANK('Data Entry'!$R$839), "", 'Data Entry'!$R$839)</f>
      </c>
      <c r="S839">
        <f>IF(ISBLANK('Data Entry'!$S$839), "", 'Data Entry'!$S$839)</f>
      </c>
      <c r="T839">
        <f>IF(ISBLANK('Data Entry'!$T$839), "", 'Data Entry'!$T$839)</f>
      </c>
      <c r="U839">
        <f>IF(ISBLANK('Data Entry'!$U$839), "", 'Data Entry'!$U$839)</f>
      </c>
      <c r="V839">
        <f>IF(ISBLANK('Data Entry'!$V$839), "", 'Data Entry'!$V$839)</f>
      </c>
      <c r="W839">
        <f>IF(ISBLANK('Data Entry'!$W$839), "", 'Data Entry'!$W$839)</f>
      </c>
      <c r="X839">
        <f>IF(ISBLANK('Data Entry'!$X$839), "", 'Data Entry'!$X$839)</f>
      </c>
      <c r="Y839">
        <f>IF(ISBLANK('Data Entry'!$Y$839), "", 'Data Entry'!$Y$839)</f>
      </c>
      <c r="Z839">
        <f>IF(ISBLANK('Data Entry'!$Z$839), "", 'Data Entry'!$Z$839)</f>
      </c>
      <c r="AA839">
        <f>IF(ISBLANK('Data Entry'!$[$839), "", 'Data Entry'!$[$839)</f>
      </c>
      <c r="AB839">
        <f>IF(ISBLANK('Data Entry'!$\$839), "", 'Data Entry'!$\$839)</f>
      </c>
      <c r="AC839">
        <f>IF(ISBLANK('Data Entry'!$]$839), "", 'Data Entry'!$]$839)</f>
      </c>
      <c r="AD839">
        <f>IF(ISBLANK('Data Entry'!$^$839), "", 'Data Entry'!$^$839)</f>
      </c>
      <c r="AE839">
        <f>IF(ISBLANK('Data Entry'!$_$839), "", 'Data Entry'!$_$839)</f>
      </c>
      <c r="AF839">
        <f>IF(ISBLANK('Data Entry'!$`$839), "", 'Data Entry'!$`$839)</f>
      </c>
      <c r="AG839">
        <f>IF(ISBLANK('Data Entry'!$a$839), "", 'Data Entry'!$a$839)</f>
      </c>
      <c r="AH839">
        <f>IF(ISBLANK('Data Entry'!$b$839), "", 'Data Entry'!$b$839)</f>
      </c>
      <c r="AI839">
        <f>IF(ISBLANK('Data Entry'!$c$839), "", 'Data Entry'!$c$839)</f>
      </c>
      <c r="AJ839">
        <f>IF(ISBLANK('Data Entry'!$d$839), "", 'Data Entry'!$d$839)</f>
      </c>
      <c r="AK839">
        <f>IF(ISBLANK('Data Entry'!$e$839), "", 'Data Entry'!$e$839)</f>
      </c>
      <c r="AL839">
        <f>IF(ISBLANK('Data Entry'!$f$839), "", 'Data Entry'!$f$839)</f>
      </c>
      <c r="AM839">
        <f>IF(ISBLANK('Data Entry'!$g$839), "", 'Data Entry'!$g$839)</f>
      </c>
      <c r="AN839">
        <f>IF(ISBLANK('Data Entry'!$h$839), "", 'Data Entry'!$h$839)</f>
      </c>
      <c r="AO839">
        <f>IF(ISBLANK('Data Entry'!$i$839), "", 'Data Entry'!$i$839)</f>
      </c>
      <c r="AP839">
        <f>IF(ISBLANK('Data Entry'!$j$839), "", 'Data Entry'!$j$839)</f>
      </c>
      <c r="AQ839">
        <f>IF(ISBLANK('Data Entry'!$k$839), "", 'Data Entry'!$k$839)</f>
      </c>
      <c r="AR839">
        <f>IF(ISBLANK('Data Entry'!$l$839), "", 'Data Entry'!$l$839)</f>
      </c>
      <c r="AS839">
        <f>IF(ISBLANK('Data Entry'!$m$839), "", 'Data Entry'!$m$839)</f>
      </c>
      <c r="AT839">
        <f>IF(ISBLANK('Data Entry'!$n$839), "", 'Data Entry'!$n$839)</f>
      </c>
      <c r="AU839">
        <f>IF(ISBLANK('Data Entry'!$o$839), "", 'Data Entry'!$o$839)</f>
      </c>
      <c r="AV839">
        <f>IF(ISBLANK('Data Entry'!$p$839), "", 'Data Entry'!$p$839)</f>
      </c>
      <c r="AW839">
        <f>IF(ISBLANK('Data Entry'!$q$839), "", 'Data Entry'!$q$839)</f>
      </c>
      <c r="AX839">
        <f>IF(ISBLANK('Data Entry'!$r$839), "", 'Data Entry'!$r$839)</f>
      </c>
      <c r="AY839">
        <f>IF(ISBLANK('Data Entry'!$s$839), "", 'Data Entry'!$s$839)</f>
      </c>
      <c r="AZ839">
        <f>IF(ISBLANK('Data Entry'!$t$839), "", 'Data Entry'!$t$839)</f>
      </c>
      <c r="BA839">
        <f>IF(ISBLANK('Data Entry'!$u$839), "", 'Data Entry'!$u$839)</f>
      </c>
      <c r="BB839">
        <f>IF(ISBLANK('Data Entry'!$v$839), "", 'Data Entry'!$v$839)</f>
      </c>
      <c r="BC839">
        <f>IF(ISBLANK('Data Entry'!$w$839), "", 'Data Entry'!$w$839)</f>
      </c>
      <c r="BD839">
        <f>IF(ISBLANK('Data Entry'!$x$839), "", 'Data Entry'!$x$839)</f>
      </c>
      <c r="BE839">
        <f>IF(ISBLANK('Data Entry'!$y$839), "", 'Data Entry'!$y$839)</f>
      </c>
      <c r="BF839">
        <f>IF(ISBLANK('Data Entry'!$z$839), "", 'Data Entry'!$z$839)</f>
      </c>
      <c r="BG839">
        <f>IF(ISBLANK('Data Entry'!${$839), "", 'Data Entry'!${$839)</f>
      </c>
      <c r="BH839">
        <f>IF(ISBLANK('Data Entry'!$|$839), "", 'Data Entry'!$|$839)</f>
      </c>
      <c r="BI839">
        <f>IF(ISBLANK('Data Entry'!$}$839), "", 'Data Entry'!$}$839)</f>
      </c>
      <c r="BJ839">
        <f>IF(ISBLANK('Data Entry'!$~$839), "", 'Data Entry'!$~$839)</f>
      </c>
      <c r="BK839">
        <f>IF(ISBLANK('Data Entry'!$$839), "", 'Data Entry'!$$839)</f>
      </c>
      <c r="BL839">
        <f>IF(ISBLANK('Data Entry'!$$839), "", 'Data Entry'!$$839)</f>
      </c>
      <c r="BM839">
        <f>IF(ISBLANK('Data Entry'!$$839), "", 'Data Entry'!$$839)</f>
      </c>
      <c r="BN839">
        <f>IF(ISBLANK('Data Entry'!$$839), "", 'Data Entry'!$$839)</f>
      </c>
      <c r="BO839">
        <f>IF(ISBLANK('Data Entry'!$$839), "", 'Data Entry'!$$839)</f>
      </c>
      <c r="BP839">
        <f>IF(ISBLANK('Data Entry'!$$839), "", 'Data Entry'!$$839)</f>
      </c>
      <c r="BQ839">
        <f>IF(ISBLANK('Data Entry'!$$839), "", 'Data Entry'!$$839)</f>
      </c>
      <c r="BR839">
        <f>IF(ISBLANK('Data Entry'!$$839), "", 'Data Entry'!$$839)</f>
      </c>
      <c r="BS839">
        <f>IF(ISBLANK('Data Entry'!$$839), "", 'Data Entry'!$$839)</f>
      </c>
      <c r="BT839">
        <f>IF(ISBLANK('Data Entry'!$$839), "", 'Data Entry'!$$839)</f>
      </c>
      <c r="BU839">
        <f>IF(ISBLANK('Data Entry'!$$839), "", 'Data Entry'!$$839)</f>
      </c>
      <c r="BV839">
        <f>IF(ISBLANK('Data Entry'!$$839), "", 'Data Entry'!$$839)</f>
      </c>
      <c r="BW839">
        <f>IF(ISBLANK('Data Entry'!$$839), "", 'Data Entry'!$$839)</f>
      </c>
      <c r="BX839">
        <f>IF(ISBLANK('Data Entry'!$$839), "", 'Data Entry'!$$839)</f>
      </c>
      <c r="BY839">
        <f>IF(ISBLANK('Data Entry'!$$839), "", 'Data Entry'!$$839)</f>
      </c>
      <c r="BZ839">
        <f>IF(ISBLANK('Data Entry'!$$839), "", 'Data Entry'!$$839)</f>
      </c>
      <c r="CA839">
        <f>IF(ISBLANK('Data Entry'!$$839), "", 'Data Entry'!$$839)</f>
      </c>
      <c r="CB839">
        <f>IF(ISBLANK('Data Entry'!$$839), "", 'Data Entry'!$$839)</f>
      </c>
      <c r="CC839">
        <f>IF(ISBLANK('Data Entry'!$$839), "", 'Data Entry'!$$839)</f>
      </c>
      <c r="CD839">
        <f>IF(ISBLANK('Data Entry'!$$839), "", 'Data Entry'!$$839)</f>
      </c>
      <c r="CE839">
        <f>IF(ISBLANK('Data Entry'!$$839), "", 'Data Entry'!$$839)</f>
      </c>
      <c r="CF839">
        <f>IF(ISBLANK('Data Entry'!$$839), "", 'Data Entry'!$$839)</f>
      </c>
      <c r="CG839">
        <f>IF(ISBLANK('Data Entry'!$$839), "", 'Data Entry'!$$839)</f>
      </c>
      <c r="CH839">
        <f>IF(ISBLANK('Data Entry'!$$839), "", 'Data Entry'!$$839)</f>
      </c>
      <c r="CI839">
        <f>IF(ISBLANK('Data Entry'!$$839), "", 'Data Entry'!$$839)</f>
      </c>
      <c r="CJ839">
        <f>IF(ISBLANK('Data Entry'!$$839), "", 'Data Entry'!$$839)</f>
      </c>
      <c r="CK839">
        <f>IF(ISBLANK('Data Entry'!$$839), "", 'Data Entry'!$$839)</f>
      </c>
      <c r="CL839">
        <f>IF(ISBLANK('Data Entry'!$$839), "", 'Data Entry'!$$839)</f>
      </c>
      <c r="CM839">
        <f>IF(ISBLANK('Data Entry'!$$839), "", 'Data Entry'!$$839)</f>
      </c>
      <c r="CN839">
        <f>IF(ISBLANK('Data Entry'!$$839), "", 'Data Entry'!$$839)</f>
      </c>
      <c r="CO839">
        <f>IF(ISBLANK('Data Entry'!$$839), "", 'Data Entry'!$$839)</f>
      </c>
      <c r="CP839">
        <f>IF(ISBLANK('Data Entry'!$$839), "", 'Data Entry'!$$839)</f>
      </c>
      <c r="CQ839">
        <f>IF(ISBLANK('Data Entry'!$$839), "", 'Data Entry'!$$839)</f>
      </c>
      <c r="CR839">
        <f>IF(ISBLANK('Data Entry'!$ $839), "", 'Data Entry'!$ $839)</f>
      </c>
      <c r="CS839">
        <f>IF(ISBLANK('Data Entry'!$¡$839), "", 'Data Entry'!$¡$839)</f>
      </c>
      <c r="CT839">
        <f>IF(ISBLANK('Data Entry'!$¢$839), "", 'Data Entry'!$¢$839)</f>
      </c>
      <c r="CU839">
        <f>IF(ISBLANK('Data Entry'!$£$839), "", 'Data Entry'!$£$839)</f>
      </c>
      <c r="CV839">
        <f>IF(ISBLANK('Data Entry'!$¤$839), "", 'Data Entry'!$¤$839)</f>
      </c>
      <c r="CW839">
        <f>IF(ISBLANK('Data Entry'!$¥$839), "", 'Data Entry'!$¥$839)</f>
      </c>
      <c r="CX839">
        <f>IF(ISBLANK('Data Entry'!$¦$839), "", 'Data Entry'!$¦$839)</f>
      </c>
      <c r="CY839">
        <f>IF(ISBLANK('Data Entry'!$§$839), "", 'Data Entry'!$§$839)</f>
      </c>
      <c r="CZ839">
        <f>IF(ISBLANK('Data Entry'!$¨$839), "", 'Data Entry'!$¨$839)</f>
      </c>
      <c r="DA839">
        <f>IF(ISBLANK('Data Entry'!$©$839), "", 'Data Entry'!$©$839)</f>
      </c>
      <c r="DB839">
        <f>IF(ISBLANK('Data Entry'!$ª$839), "", 'Data Entry'!$ª$839)</f>
      </c>
      <c r="DC839">
        <f>IF(ISBLANK('Data Entry'!$«$839), "", 'Data Entry'!$«$839)</f>
      </c>
      <c r="DD839">
        <f>IF(ISBLANK('Data Entry'!$¬$839), "", 'Data Entry'!$¬$839)</f>
      </c>
      <c r="DE839">
        <f>IF(ISBLANK('Data Entry'!$­$839), "", 'Data Entry'!$­$839)</f>
      </c>
      <c r="DF839">
        <f>IF(ISBLANK('Data Entry'!$®$839), "", 'Data Entry'!$®$839)</f>
      </c>
      <c r="DG839">
        <f>IF(ISBLANK('Data Entry'!$¯$839), "", 'Data Entry'!$¯$839)</f>
      </c>
      <c r="DH839">
        <f>IF(ISBLANK('Data Entry'!$°$839), "", 'Data Entry'!$°$839)</f>
      </c>
      <c r="DI839">
        <f>IF(ISBLANK('Data Entry'!$±$839), "", 'Data Entry'!$±$839)</f>
      </c>
      <c r="DJ839">
        <f>IF(ISBLANK('Data Entry'!$²$839), "", 'Data Entry'!$²$839)</f>
      </c>
      <c r="DK839">
        <f>IF(ISBLANK('Data Entry'!$³$839), "", 'Data Entry'!$³$839)</f>
      </c>
      <c r="DL839">
        <f>IF(ISBLANK('Data Entry'!$´$839), "", 'Data Entry'!$´$839)</f>
      </c>
      <c r="DM839">
        <f>IF(ISBLANK('Data Entry'!$µ$839), "", 'Data Entry'!$µ$839)</f>
      </c>
      <c r="DN839">
        <f>IF(ISBLANK('Data Entry'!$¶$839), "", 'Data Entry'!$¶$839)</f>
      </c>
      <c r="DO839">
        <f>IF(ISBLANK('Data Entry'!$·$839), "", 'Data Entry'!$·$839)</f>
      </c>
      <c r="DP839">
        <f>IF(ISBLANK('Data Entry'!$¸$839), "", 'Data Entry'!$¸$839)</f>
      </c>
      <c r="DQ839">
        <f>IF(ISBLANK('Data Entry'!$¹$839), "", 'Data Entry'!$¹$839)</f>
      </c>
      <c r="DR839">
        <f>IF(ISBLANK('Data Entry'!$º$839), "", 'Data Entry'!$º$839)</f>
      </c>
      <c r="DS839">
        <f>IF(ISBLANK('Data Entry'!$»$839), "", 'Data Entry'!$»$839)</f>
      </c>
      <c r="DT839">
        <f>IF(ISBLANK('Data Entry'!$¼$839), "", 'Data Entry'!$¼$839)</f>
      </c>
      <c r="DU839">
        <f>IF(ISBLANK('Data Entry'!$½$839), "", 'Data Entry'!$½$839)</f>
      </c>
      <c r="DV839">
        <f>IF(ISBLANK('Data Entry'!$¾$839), "", 'Data Entry'!$¾$839)</f>
      </c>
      <c r="DW839">
        <f>IF(ISBLANK('Data Entry'!$¿$839), "", 'Data Entry'!$¿$839)</f>
      </c>
      <c r="DX839">
        <f>IF(ISBLANK('Data Entry'!$À$839), "", 'Data Entry'!$À$839)</f>
      </c>
      <c r="DY839">
        <f>IF(ISBLANK('Data Entry'!$Á$839), "", 'Data Entry'!$Á$839)</f>
      </c>
      <c r="DZ839">
        <f>IF(ISBLANK('Data Entry'!$Â$839), "", 'Data Entry'!$Â$839)</f>
      </c>
      <c r="EA839">
        <f>IF(ISBLANK('Data Entry'!$Ã$839), "", 'Data Entry'!$Ã$839)</f>
      </c>
      <c r="EB839">
        <f>IF(ISBLANK('Data Entry'!$Ä$839), "", 'Data Entry'!$Ä$839)</f>
      </c>
      <c r="EC839">
        <f>IF(ISBLANK('Data Entry'!$Å$839), "", 'Data Entry'!$Å$839)</f>
      </c>
      <c r="ED839">
        <f>IF(ISBLANK('Data Entry'!$Æ$839), "", 'Data Entry'!$Æ$839)</f>
      </c>
      <c r="EE839">
        <f>IF(ISBLANK('Data Entry'!$Ç$839), "", 'Data Entry'!$Ç$839)</f>
      </c>
      <c r="EF839">
        <f>IF(ISBLANK('Data Entry'!$È$839), "", 'Data Entry'!$È$839)</f>
      </c>
      <c r="EG839">
        <f>IF(ISBLANK('Data Entry'!$É$839), "", 'Data Entry'!$É$839)</f>
      </c>
      <c r="EH839">
        <f>IF(ISBLANK('Data Entry'!$Ê$839), "", 'Data Entry'!$Ê$839)</f>
      </c>
      <c r="EI839">
        <f>IF(ISBLANK('Data Entry'!$Ë$839), "", 'Data Entry'!$Ë$839)</f>
      </c>
      <c r="EJ839">
        <f>IF(ISBLANK('Data Entry'!$Ì$839), "", 'Data Entry'!$Ì$839)</f>
      </c>
      <c r="EK839">
        <f>IF(ISBLANK('Data Entry'!$Í$839), "", 'Data Entry'!$Í$839)</f>
      </c>
      <c r="EL839">
        <f>IF(ISBLANK('Data Entry'!$Î$839), "", 'Data Entry'!$Î$839)</f>
      </c>
      <c r="EM839">
        <f>IF(ISBLANK('Data Entry'!$Ï$839), "", 'Data Entry'!$Ï$839)</f>
      </c>
      <c r="EN839">
        <f>IF(ISBLANK('Data Entry'!$Ð$839), "", 'Data Entry'!$Ð$839)</f>
      </c>
      <c r="EO839">
        <f>IF(ISBLANK('Data Entry'!$Ñ$839), "", 'Data Entry'!$Ñ$839)</f>
      </c>
      <c r="EP839">
        <f>IF(ISBLANK('Data Entry'!$Ò$839), "", 'Data Entry'!$Ò$839)</f>
      </c>
      <c r="EQ839">
        <f>IF(ISBLANK('Data Entry'!$Ó$839), "", 'Data Entry'!$Ó$839)</f>
      </c>
      <c r="ER839">
        <f>IF(ISBLANK('Data Entry'!$Ô$839), "", 'Data Entry'!$Ô$839)</f>
      </c>
      <c r="ES839">
        <f>IF(ISBLANK('Data Entry'!$Õ$839), "", 'Data Entry'!$Õ$839)</f>
      </c>
      <c r="ET839">
        <f>IF(ISBLANK('Data Entry'!$Ö$839), "", 'Data Entry'!$Ö$839)</f>
      </c>
      <c r="EU839">
        <f>IF(ISBLANK('Data Entry'!$×$839), "", 'Data Entry'!$×$839)</f>
      </c>
      <c r="EV839">
        <f>IF(ISBLANK('Data Entry'!$Ø$839), "", 'Data Entry'!$Ø$839)</f>
      </c>
      <c r="EW839">
        <f>IF(ISBLANK('Data Entry'!$Ù$839), "", 'Data Entry'!$Ù$839)</f>
      </c>
      <c r="EX839">
        <f>IF(ISBLANK('Data Entry'!$Ú$839), "", 'Data Entry'!$Ú$839)</f>
      </c>
      <c r="EY839">
        <f>IF(ISBLANK('Data Entry'!$Û$839), "", 'Data Entry'!$Û$839)</f>
      </c>
      <c r="EZ839">
        <f>IF(ISBLANK('Data Entry'!$Ü$839), "", 'Data Entry'!$Ü$839)</f>
      </c>
      <c r="FA839">
        <f>IF(ISBLANK('Data Entry'!$Ý$839), "", 'Data Entry'!$Ý$839)</f>
      </c>
      <c r="FB839">
        <f>IF(ISBLANK('Data Entry'!$Þ$839), "", 'Data Entry'!$Þ$839)</f>
      </c>
      <c r="FC839">
        <f>IF(ISBLANK('Data Entry'!$ß$839), "", 'Data Entry'!$ß$839)</f>
      </c>
      <c r="FD839">
        <f>IF(ISBLANK('Data Entry'!$à$839), "", 'Data Entry'!$à$839)</f>
      </c>
      <c r="FE839">
        <f>IF(ISBLANK('Data Entry'!$á$839), "", 'Data Entry'!$á$839)</f>
      </c>
      <c r="FF839">
        <f>IF(ISBLANK('Data Entry'!$â$839), "", 'Data Entry'!$â$839)</f>
      </c>
      <c r="FG839">
        <f>IF(ISBLANK('Data Entry'!$ã$839), "", 'Data Entry'!$ã$839)</f>
      </c>
      <c r="FH839">
        <f>IF(ISBLANK('Data Entry'!$ä$839), "", 'Data Entry'!$ä$839)</f>
      </c>
      <c r="FI839">
        <f>IF(ISBLANK('Data Entry'!$å$839), "", 'Data Entry'!$å$839)</f>
      </c>
      <c r="FJ839">
        <f>IF(ISBLANK('Data Entry'!$æ$839), "", 'Data Entry'!$æ$839)</f>
      </c>
      <c r="FK839">
        <f>IF(ISBLANK('Data Entry'!$ç$839), "", 'Data Entry'!$ç$839)</f>
      </c>
      <c r="FL839">
        <f>IF(ISBLANK('Data Entry'!$è$839), "", 'Data Entry'!$è$839)</f>
      </c>
      <c r="FM839">
        <f>IF(ISBLANK('Data Entry'!$é$839), "", 'Data Entry'!$é$839)</f>
      </c>
      <c r="FN839">
        <f>IF(ISBLANK('Data Entry'!$ê$839), "", 'Data Entry'!$ê$839)</f>
      </c>
      <c r="FO839">
        <f>IF(ISBLANK('Data Entry'!$ë$839), "", 'Data Entry'!$ë$839)</f>
      </c>
      <c r="FP839">
        <f>IF(ISBLANK('Data Entry'!$ì$839), "", 'Data Entry'!$ì$839)</f>
      </c>
      <c r="FQ839">
        <f>IF(ISBLANK('Data Entry'!$í$839), "", 'Data Entry'!$í$839)</f>
      </c>
      <c r="FR839">
        <f>IF(ISBLANK('Data Entry'!$î$839), "", 'Data Entry'!$î$839)</f>
      </c>
      <c r="FS839">
        <f>IF(ISBLANK('Data Entry'!$ï$839), "", 'Data Entry'!$ï$839)</f>
      </c>
      <c r="FT839">
        <f>IF(ISBLANK('Data Entry'!$ð$839), "", 'Data Entry'!$ð$839)</f>
      </c>
      <c r="FU839">
        <f>IF(ISBLANK('Data Entry'!$ñ$839), "", 'Data Entry'!$ñ$839)</f>
      </c>
      <c r="FV839">
        <f>IF(ISBLANK('Data Entry'!$ò$839), "", 'Data Entry'!$ò$839)</f>
      </c>
      <c r="FW839">
        <f>IF(ISBLANK('Data Entry'!$ó$839), "", 'Data Entry'!$ó$839)</f>
      </c>
      <c r="FX839">
        <f>IF(ISBLANK('Data Entry'!$ô$839), "", 'Data Entry'!$ô$839)</f>
      </c>
      <c r="FY839">
        <f>IF(ISBLANK('Data Entry'!$õ$839), "", 'Data Entry'!$õ$839)</f>
      </c>
      <c r="FZ839">
        <f>IF(ISBLANK('Data Entry'!$ö$839), "", 'Data Entry'!$ö$839)</f>
      </c>
      <c r="GA839">
        <f>IF(ISBLANK('Data Entry'!$÷$839), "", 'Data Entry'!$÷$839)</f>
      </c>
      <c r="GB839">
        <f>IF(ISBLANK('Data Entry'!$ø$839), "", 'Data Entry'!$ø$839)</f>
      </c>
      <c r="GC839">
        <f>IF(ISBLANK('Data Entry'!$ù$839), "", 'Data Entry'!$ù$839)</f>
      </c>
      <c r="GD839">
        <f>IF(ISBLANK('Data Entry'!$ú$839), "", 'Data Entry'!$ú$839)</f>
      </c>
      <c r="GE839">
        <f>IF(ISBLANK('Data Entry'!$û$839), "", 'Data Entry'!$û$839)</f>
      </c>
      <c r="GF839">
        <f>IF(ISBLANK('Data Entry'!$ü$839), "", 'Data Entry'!$ü$839)</f>
      </c>
      <c r="GG839">
        <f>IF(ISBLANK('Data Entry'!$ý$839), "", 'Data Entry'!$ý$839)</f>
      </c>
      <c r="GH839">
        <f>IF(ISBLANK('Data Entry'!$þ$839), "", 'Data Entry'!$þ$839)</f>
      </c>
      <c r="GI839">
        <f>IF(ISBLANK('Data Entry'!$ÿ$839), "", 'Data Entry'!$ÿ$839)</f>
      </c>
      <c r="GJ839">
        <f>IF(ISBLANK('Data Entry'!$Ā$839), "", 'Data Entry'!$Ā$839)</f>
      </c>
      <c r="GK839">
        <f>IF(ISBLANK('Data Entry'!$ā$839), "", 'Data Entry'!$ā$839)</f>
      </c>
      <c r="GL839">
        <f>IF(ISBLANK('Data Entry'!$Ă$839), "", 'Data Entry'!$Ă$839)</f>
      </c>
      <c r="GM839">
        <f>IF(ISBLANK('Data Entry'!$ă$839), "", 'Data Entry'!$ă$839)</f>
      </c>
      <c r="GN839">
        <f>IF(ISBLANK('Data Entry'!$Ą$839), "", 'Data Entry'!$Ą$839)</f>
      </c>
      <c r="GO839">
        <f>IF(ISBLANK('Data Entry'!$ą$839), "", 'Data Entry'!$ą$839)</f>
      </c>
      <c r="GP839">
        <f>IF(ISBLANK('Data Entry'!$Ć$839), "", 'Data Entry'!$Ć$839)</f>
      </c>
      <c r="GQ839">
        <f>IF(ISBLANK('Data Entry'!$ć$839), "", 'Data Entry'!$ć$839)</f>
      </c>
      <c r="GR839">
        <f>IF(ISBLANK('Data Entry'!$Ĉ$839), "", 'Data Entry'!$Ĉ$839)</f>
      </c>
      <c r="GS839">
        <f>IF(ISBLANK('Data Entry'!$ĉ$839), "", 'Data Entry'!$ĉ$839)</f>
      </c>
      <c r="GT839">
        <f>IF(ISBLANK('Data Entry'!$Ċ$839), "", 'Data Entry'!$Ċ$839)</f>
      </c>
      <c r="GU839">
        <f>IF(ISBLANK('Data Entry'!$ċ$839), "", 'Data Entry'!$ċ$839)</f>
      </c>
      <c r="GV839">
        <f>IF(ISBLANK('Data Entry'!$Č$839), "", 'Data Entry'!$Č$839)</f>
      </c>
      <c r="GW839">
        <f>IF(ISBLANK('Data Entry'!$č$839), "", 'Data Entry'!$č$839)</f>
      </c>
      <c r="GX839">
        <f>IF(ISBLANK('Data Entry'!$Ď$839), "", 'Data Entry'!$Ď$839)</f>
      </c>
      <c r="GY839">
        <f>IF(ISBLANK('Data Entry'!$ď$839), "", 'Data Entry'!$ď$839)</f>
      </c>
      <c r="GZ839">
        <f>IF(ISBLANK('Data Entry'!$Đ$839), "", 'Data Entry'!$Đ$839)</f>
      </c>
      <c r="HA839">
        <f>IF(ISBLANK('Data Entry'!$đ$839), "", 'Data Entry'!$đ$839)</f>
      </c>
      <c r="HB839">
        <f>IF(ISBLANK('Data Entry'!$Ē$839), "", 'Data Entry'!$Ē$839)</f>
      </c>
      <c r="HC839">
        <f>IF(ISBLANK('Data Entry'!$ē$839), "", 'Data Entry'!$ē$839)</f>
      </c>
      <c r="HD839">
        <f>IF(ISBLANK('Data Entry'!$Ĕ$839), "", 'Data Entry'!$Ĕ$839)</f>
      </c>
      <c r="HE839">
        <f>IF(ISBLANK('Data Entry'!$ĕ$839), "", 'Data Entry'!$ĕ$839)</f>
      </c>
      <c r="HF839">
        <f>IF(ISBLANK('Data Entry'!$Ė$839), "", 'Data Entry'!$Ė$839)</f>
      </c>
      <c r="HG839">
        <f>IF(ISBLANK('Data Entry'!$ė$839), "", 'Data Entry'!$ė$839)</f>
      </c>
      <c r="HH839">
        <f>IF(ISBLANK('Data Entry'!$Ę$839), "", 'Data Entry'!$Ę$839)</f>
      </c>
      <c r="HI839">
        <f>IF(ISBLANK('Data Entry'!$ę$839), "", 'Data Entry'!$ę$839)</f>
      </c>
      <c r="HJ839">
        <f>IF(ISBLANK('Data Entry'!$Ě$839), "", 'Data Entry'!$Ě$839)</f>
      </c>
      <c r="HK839">
        <f>IF(ISBLANK('Data Entry'!$ě$839), "", 'Data Entry'!$ě$839)</f>
      </c>
      <c r="HL839">
        <f>IF(ISBLANK('Data Entry'!$Ĝ$839), "", 'Data Entry'!$Ĝ$839)</f>
      </c>
      <c r="HM839">
        <f>IF(ISBLANK('Data Entry'!$ĝ$839), "", 'Data Entry'!$ĝ$839)</f>
      </c>
      <c r="HN839">
        <f>IF(ISBLANK('Data Entry'!$Ğ$839), "", 'Data Entry'!$Ğ$839)</f>
      </c>
      <c r="HO839">
        <f>IF(ISBLANK('Data Entry'!$ğ$839), "", 'Data Entry'!$ğ$839)</f>
      </c>
      <c r="HP839">
        <f>IF(ISBLANK('Data Entry'!$Ġ$839), "", 'Data Entry'!$Ġ$839)</f>
      </c>
      <c r="HQ839">
        <f>IF(ISBLANK('Data Entry'!$ġ$839), "", 'Data Entry'!$ġ$839)</f>
      </c>
      <c r="HR839">
        <f>IF(ISBLANK('Data Entry'!$Ģ$839), "", 'Data Entry'!$Ģ$839)</f>
      </c>
      <c r="HS839">
        <f>IF(ISBLANK('Data Entry'!$ģ$839), "", 'Data Entry'!$ģ$839)</f>
      </c>
      <c r="HT839">
        <f>IF(ISBLANK('Data Entry'!$Ĥ$839), "", 'Data Entry'!$Ĥ$839)</f>
      </c>
      <c r="HU839">
        <f>IF(ISBLANK('Data Entry'!$ĥ$839), "", 'Data Entry'!$ĥ$839)</f>
      </c>
      <c r="HV839">
        <f>IF(ISBLANK('Data Entry'!$Ħ$839), "", 'Data Entry'!$Ħ$839)</f>
      </c>
      <c r="HW839">
        <f>IF(ISBLANK('Data Entry'!$ħ$839), "", 'Data Entry'!$ħ$839)</f>
      </c>
      <c r="HX839">
        <f>IF(ISBLANK('Data Entry'!$Ĩ$839), "", 'Data Entry'!$Ĩ$839)</f>
      </c>
      <c r="HY839">
        <f>IF(ISBLANK('Data Entry'!$ĩ$839), "", 'Data Entry'!$ĩ$839)</f>
      </c>
      <c r="HZ839">
        <f>IF(ISBLANK('Data Entry'!$Ī$839), "", 'Data Entry'!$Ī$839)</f>
      </c>
      <c r="IA839">
        <f>IF(ISBLANK('Data Entry'!$ī$839), "", 'Data Entry'!$ī$839)</f>
      </c>
      <c r="IB839">
        <f>IF(ISBLANK('Data Entry'!$Ĭ$839), "", 'Data Entry'!$Ĭ$839)</f>
      </c>
      <c r="IC839">
        <f>IF(ISBLANK('Data Entry'!$ĭ$839), "", 'Data Entry'!$ĭ$839)</f>
      </c>
      <c r="ID839">
        <f>IF(ISBLANK('Data Entry'!$Į$839), "", 'Data Entry'!$Į$839)</f>
      </c>
      <c r="IE839">
        <f>IF(ISBLANK('Data Entry'!$į$839), "", 'Data Entry'!$į$839)</f>
      </c>
      <c r="IF839">
        <f>IF(ISBLANK('Data Entry'!$İ$839), "", 'Data Entry'!$İ$839)</f>
      </c>
      <c r="IG839">
        <f>IF(ISBLANK('Data Entry'!$ı$839), "", 'Data Entry'!$ı$839)</f>
      </c>
      <c r="IH839">
        <f>IF(ISBLANK('Data Entry'!$Ĳ$839), "", 'Data Entry'!$Ĳ$839)</f>
      </c>
      <c r="II839">
        <f>IF(ISBLANK('Data Entry'!$ĳ$839), "", 'Data Entry'!$ĳ$839)</f>
      </c>
      <c r="IJ839">
        <f>IF(ISBLANK('Data Entry'!$Ĵ$839), "", 'Data Entry'!$Ĵ$839)</f>
      </c>
      <c r="IK839">
        <f>IF(ISBLANK('Data Entry'!$ĵ$839), "", 'Data Entry'!$ĵ$839)</f>
      </c>
      <c r="IL839">
        <f>IF(ISBLANK('Data Entry'!$Ķ$839), "", 'Data Entry'!$Ķ$839)</f>
      </c>
      <c r="IM839">
        <f>IF(ISBLANK('Data Entry'!$ķ$839), "", 'Data Entry'!$ķ$839)</f>
      </c>
      <c r="IN839">
        <f>IF(ISBLANK('Data Entry'!$ĸ$839), "", 'Data Entry'!$ĸ$839)</f>
      </c>
      <c r="IO839">
        <f>IF(ISBLANK('Data Entry'!$Ĺ$839), "", 'Data Entry'!$Ĺ$839)</f>
      </c>
      <c r="IP839">
        <f>IF(ISBLANK('Data Entry'!$ĺ$839), "", 'Data Entry'!$ĺ$839)</f>
      </c>
      <c r="IQ839">
        <f>IF(ISBLANK('Data Entry'!$Ļ$839), "", 'Data Entry'!$Ļ$839)</f>
      </c>
      <c r="IR839">
        <f>IF(ISBLANK('Data Entry'!$ļ$839), "", 'Data Entry'!$ļ$839)</f>
      </c>
      <c r="IS839">
        <f>IF(ISBLANK('Data Entry'!$Ľ$839), "", 'Data Entry'!$Ľ$839)</f>
      </c>
      <c r="IT839">
        <f>IF(ISBLANK('Data Entry'!$ľ$839), "", 'Data Entry'!$ľ$839)</f>
      </c>
    </row>
    <row r="840" spans="1:254" x14ac:dyDescent="0.25">
      <c r="A840">
        <f>IF(ISBLANK('Data Entry'!$A$840), "", 'Data Entry'!$A$840)</f>
      </c>
      <c r="B840">
        <f>IF(ISBLANK('Data Entry'!$B$840), "", 'Data Entry'!$B$840)</f>
      </c>
      <c r="C840">
        <f>IF(ISBLANK('Data Entry'!$C$840), "", 'Data Entry'!$C$840)</f>
      </c>
      <c r="D840">
        <f>IF(ISBLANK('Data Entry'!$D$840), "", 'Data Entry'!$D$840)</f>
      </c>
      <c r="E840">
        <f>IF(ISBLANK('Data Entry'!$E$840), "", 'Data Entry'!$E$840)</f>
      </c>
      <c r="F840">
        <f>IF(ISBLANK('Data Entry'!$F$840), "", 'Data Entry'!$F$840)</f>
      </c>
      <c r="G840">
        <f>IF(ISBLANK('Data Entry'!$G$840), "", 'Data Entry'!$G$840)</f>
      </c>
      <c r="H840">
        <f>IF(ISBLANK('Data Entry'!$H$840), "", 'Data Entry'!$H$840)</f>
      </c>
      <c r="I840">
        <f>IF(ISBLANK('Data Entry'!$I$840), "", 'Data Entry'!$I$840)</f>
      </c>
      <c r="J840">
        <f>IF(ISBLANK('Data Entry'!$J$840), "", 'Data Entry'!$J$840)</f>
      </c>
      <c r="K840">
        <f>IF(ISBLANK('Data Entry'!$K$840), "", 'Data Entry'!$K$840)</f>
      </c>
      <c r="L840">
        <f>IF(ISBLANK('Data Entry'!$L$840), "", 'Data Entry'!$L$840)</f>
      </c>
      <c r="M840">
        <f>IF(ISBLANK('Data Entry'!$M$840), "", 'Data Entry'!$M$840)</f>
      </c>
      <c r="N840">
        <f>IF(ISBLANK('Data Entry'!$N$840), "", 'Data Entry'!$N$840)</f>
      </c>
      <c r="O840">
        <f>IF(ISBLANK('Data Entry'!$O$840), "", 'Data Entry'!$O$840)</f>
      </c>
      <c r="P840">
        <f>IF(ISBLANK('Data Entry'!$P$840), "", 'Data Entry'!$P$840)</f>
      </c>
      <c r="Q840">
        <f>IF(ISBLANK('Data Entry'!$Q$840), "", 'Data Entry'!$Q$840)</f>
      </c>
      <c r="R840">
        <f>IF(ISBLANK('Data Entry'!$R$840), "", 'Data Entry'!$R$840)</f>
      </c>
      <c r="S840">
        <f>IF(ISBLANK('Data Entry'!$S$840), "", 'Data Entry'!$S$840)</f>
      </c>
      <c r="T840">
        <f>IF(ISBLANK('Data Entry'!$T$840), "", 'Data Entry'!$T$840)</f>
      </c>
      <c r="U840">
        <f>IF(ISBLANK('Data Entry'!$U$840), "", 'Data Entry'!$U$840)</f>
      </c>
      <c r="V840">
        <f>IF(ISBLANK('Data Entry'!$V$840), "", 'Data Entry'!$V$840)</f>
      </c>
      <c r="W840">
        <f>IF(ISBLANK('Data Entry'!$W$840), "", 'Data Entry'!$W$840)</f>
      </c>
      <c r="X840">
        <f>IF(ISBLANK('Data Entry'!$X$840), "", 'Data Entry'!$X$840)</f>
      </c>
      <c r="Y840">
        <f>IF(ISBLANK('Data Entry'!$Y$840), "", 'Data Entry'!$Y$840)</f>
      </c>
      <c r="Z840">
        <f>IF(ISBLANK('Data Entry'!$Z$840), "", 'Data Entry'!$Z$840)</f>
      </c>
      <c r="AA840">
        <f>IF(ISBLANK('Data Entry'!$[$840), "", 'Data Entry'!$[$840)</f>
      </c>
      <c r="AB840">
        <f>IF(ISBLANK('Data Entry'!$\$840), "", 'Data Entry'!$\$840)</f>
      </c>
      <c r="AC840">
        <f>IF(ISBLANK('Data Entry'!$]$840), "", 'Data Entry'!$]$840)</f>
      </c>
      <c r="AD840">
        <f>IF(ISBLANK('Data Entry'!$^$840), "", 'Data Entry'!$^$840)</f>
      </c>
      <c r="AE840">
        <f>IF(ISBLANK('Data Entry'!$_$840), "", 'Data Entry'!$_$840)</f>
      </c>
      <c r="AF840">
        <f>IF(ISBLANK('Data Entry'!$`$840), "", 'Data Entry'!$`$840)</f>
      </c>
      <c r="AG840">
        <f>IF(ISBLANK('Data Entry'!$a$840), "", 'Data Entry'!$a$840)</f>
      </c>
      <c r="AH840">
        <f>IF(ISBLANK('Data Entry'!$b$840), "", 'Data Entry'!$b$840)</f>
      </c>
      <c r="AI840">
        <f>IF(ISBLANK('Data Entry'!$c$840), "", 'Data Entry'!$c$840)</f>
      </c>
      <c r="AJ840">
        <f>IF(ISBLANK('Data Entry'!$d$840), "", 'Data Entry'!$d$840)</f>
      </c>
      <c r="AK840">
        <f>IF(ISBLANK('Data Entry'!$e$840), "", 'Data Entry'!$e$840)</f>
      </c>
      <c r="AL840">
        <f>IF(ISBLANK('Data Entry'!$f$840), "", 'Data Entry'!$f$840)</f>
      </c>
      <c r="AM840">
        <f>IF(ISBLANK('Data Entry'!$g$840), "", 'Data Entry'!$g$840)</f>
      </c>
      <c r="AN840">
        <f>IF(ISBLANK('Data Entry'!$h$840), "", 'Data Entry'!$h$840)</f>
      </c>
      <c r="AO840">
        <f>IF(ISBLANK('Data Entry'!$i$840), "", 'Data Entry'!$i$840)</f>
      </c>
      <c r="AP840">
        <f>IF(ISBLANK('Data Entry'!$j$840), "", 'Data Entry'!$j$840)</f>
      </c>
      <c r="AQ840">
        <f>IF(ISBLANK('Data Entry'!$k$840), "", 'Data Entry'!$k$840)</f>
      </c>
      <c r="AR840">
        <f>IF(ISBLANK('Data Entry'!$l$840), "", 'Data Entry'!$l$840)</f>
      </c>
      <c r="AS840">
        <f>IF(ISBLANK('Data Entry'!$m$840), "", 'Data Entry'!$m$840)</f>
      </c>
      <c r="AT840">
        <f>IF(ISBLANK('Data Entry'!$n$840), "", 'Data Entry'!$n$840)</f>
      </c>
      <c r="AU840">
        <f>IF(ISBLANK('Data Entry'!$o$840), "", 'Data Entry'!$o$840)</f>
      </c>
      <c r="AV840">
        <f>IF(ISBLANK('Data Entry'!$p$840), "", 'Data Entry'!$p$840)</f>
      </c>
      <c r="AW840">
        <f>IF(ISBLANK('Data Entry'!$q$840), "", 'Data Entry'!$q$840)</f>
      </c>
      <c r="AX840">
        <f>IF(ISBLANK('Data Entry'!$r$840), "", 'Data Entry'!$r$840)</f>
      </c>
      <c r="AY840">
        <f>IF(ISBLANK('Data Entry'!$s$840), "", 'Data Entry'!$s$840)</f>
      </c>
      <c r="AZ840">
        <f>IF(ISBLANK('Data Entry'!$t$840), "", 'Data Entry'!$t$840)</f>
      </c>
      <c r="BA840">
        <f>IF(ISBLANK('Data Entry'!$u$840), "", 'Data Entry'!$u$840)</f>
      </c>
      <c r="BB840">
        <f>IF(ISBLANK('Data Entry'!$v$840), "", 'Data Entry'!$v$840)</f>
      </c>
      <c r="BC840">
        <f>IF(ISBLANK('Data Entry'!$w$840), "", 'Data Entry'!$w$840)</f>
      </c>
      <c r="BD840">
        <f>IF(ISBLANK('Data Entry'!$x$840), "", 'Data Entry'!$x$840)</f>
      </c>
      <c r="BE840">
        <f>IF(ISBLANK('Data Entry'!$y$840), "", 'Data Entry'!$y$840)</f>
      </c>
      <c r="BF840">
        <f>IF(ISBLANK('Data Entry'!$z$840), "", 'Data Entry'!$z$840)</f>
      </c>
      <c r="BG840">
        <f>IF(ISBLANK('Data Entry'!${$840), "", 'Data Entry'!${$840)</f>
      </c>
      <c r="BH840">
        <f>IF(ISBLANK('Data Entry'!$|$840), "", 'Data Entry'!$|$840)</f>
      </c>
      <c r="BI840">
        <f>IF(ISBLANK('Data Entry'!$}$840), "", 'Data Entry'!$}$840)</f>
      </c>
      <c r="BJ840">
        <f>IF(ISBLANK('Data Entry'!$~$840), "", 'Data Entry'!$~$840)</f>
      </c>
      <c r="BK840">
        <f>IF(ISBLANK('Data Entry'!$$840), "", 'Data Entry'!$$840)</f>
      </c>
      <c r="BL840">
        <f>IF(ISBLANK('Data Entry'!$$840), "", 'Data Entry'!$$840)</f>
      </c>
      <c r="BM840">
        <f>IF(ISBLANK('Data Entry'!$$840), "", 'Data Entry'!$$840)</f>
      </c>
      <c r="BN840">
        <f>IF(ISBLANK('Data Entry'!$$840), "", 'Data Entry'!$$840)</f>
      </c>
      <c r="BO840">
        <f>IF(ISBLANK('Data Entry'!$$840), "", 'Data Entry'!$$840)</f>
      </c>
      <c r="BP840">
        <f>IF(ISBLANK('Data Entry'!$$840), "", 'Data Entry'!$$840)</f>
      </c>
      <c r="BQ840">
        <f>IF(ISBLANK('Data Entry'!$$840), "", 'Data Entry'!$$840)</f>
      </c>
      <c r="BR840">
        <f>IF(ISBLANK('Data Entry'!$$840), "", 'Data Entry'!$$840)</f>
      </c>
      <c r="BS840">
        <f>IF(ISBLANK('Data Entry'!$$840), "", 'Data Entry'!$$840)</f>
      </c>
      <c r="BT840">
        <f>IF(ISBLANK('Data Entry'!$$840), "", 'Data Entry'!$$840)</f>
      </c>
      <c r="BU840">
        <f>IF(ISBLANK('Data Entry'!$$840), "", 'Data Entry'!$$840)</f>
      </c>
      <c r="BV840">
        <f>IF(ISBLANK('Data Entry'!$$840), "", 'Data Entry'!$$840)</f>
      </c>
      <c r="BW840">
        <f>IF(ISBLANK('Data Entry'!$$840), "", 'Data Entry'!$$840)</f>
      </c>
      <c r="BX840">
        <f>IF(ISBLANK('Data Entry'!$$840), "", 'Data Entry'!$$840)</f>
      </c>
      <c r="BY840">
        <f>IF(ISBLANK('Data Entry'!$$840), "", 'Data Entry'!$$840)</f>
      </c>
      <c r="BZ840">
        <f>IF(ISBLANK('Data Entry'!$$840), "", 'Data Entry'!$$840)</f>
      </c>
      <c r="CA840">
        <f>IF(ISBLANK('Data Entry'!$$840), "", 'Data Entry'!$$840)</f>
      </c>
      <c r="CB840">
        <f>IF(ISBLANK('Data Entry'!$$840), "", 'Data Entry'!$$840)</f>
      </c>
      <c r="CC840">
        <f>IF(ISBLANK('Data Entry'!$$840), "", 'Data Entry'!$$840)</f>
      </c>
      <c r="CD840">
        <f>IF(ISBLANK('Data Entry'!$$840), "", 'Data Entry'!$$840)</f>
      </c>
      <c r="CE840">
        <f>IF(ISBLANK('Data Entry'!$$840), "", 'Data Entry'!$$840)</f>
      </c>
      <c r="CF840">
        <f>IF(ISBLANK('Data Entry'!$$840), "", 'Data Entry'!$$840)</f>
      </c>
      <c r="CG840">
        <f>IF(ISBLANK('Data Entry'!$$840), "", 'Data Entry'!$$840)</f>
      </c>
      <c r="CH840">
        <f>IF(ISBLANK('Data Entry'!$$840), "", 'Data Entry'!$$840)</f>
      </c>
      <c r="CI840">
        <f>IF(ISBLANK('Data Entry'!$$840), "", 'Data Entry'!$$840)</f>
      </c>
      <c r="CJ840">
        <f>IF(ISBLANK('Data Entry'!$$840), "", 'Data Entry'!$$840)</f>
      </c>
      <c r="CK840">
        <f>IF(ISBLANK('Data Entry'!$$840), "", 'Data Entry'!$$840)</f>
      </c>
      <c r="CL840">
        <f>IF(ISBLANK('Data Entry'!$$840), "", 'Data Entry'!$$840)</f>
      </c>
      <c r="CM840">
        <f>IF(ISBLANK('Data Entry'!$$840), "", 'Data Entry'!$$840)</f>
      </c>
      <c r="CN840">
        <f>IF(ISBLANK('Data Entry'!$$840), "", 'Data Entry'!$$840)</f>
      </c>
      <c r="CO840">
        <f>IF(ISBLANK('Data Entry'!$$840), "", 'Data Entry'!$$840)</f>
      </c>
      <c r="CP840">
        <f>IF(ISBLANK('Data Entry'!$$840), "", 'Data Entry'!$$840)</f>
      </c>
      <c r="CQ840">
        <f>IF(ISBLANK('Data Entry'!$$840), "", 'Data Entry'!$$840)</f>
      </c>
      <c r="CR840">
        <f>IF(ISBLANK('Data Entry'!$ $840), "", 'Data Entry'!$ $840)</f>
      </c>
      <c r="CS840">
        <f>IF(ISBLANK('Data Entry'!$¡$840), "", 'Data Entry'!$¡$840)</f>
      </c>
      <c r="CT840">
        <f>IF(ISBLANK('Data Entry'!$¢$840), "", 'Data Entry'!$¢$840)</f>
      </c>
      <c r="CU840">
        <f>IF(ISBLANK('Data Entry'!$£$840), "", 'Data Entry'!$£$840)</f>
      </c>
      <c r="CV840">
        <f>IF(ISBLANK('Data Entry'!$¤$840), "", 'Data Entry'!$¤$840)</f>
      </c>
      <c r="CW840">
        <f>IF(ISBLANK('Data Entry'!$¥$840), "", 'Data Entry'!$¥$840)</f>
      </c>
      <c r="CX840">
        <f>IF(ISBLANK('Data Entry'!$¦$840), "", 'Data Entry'!$¦$840)</f>
      </c>
      <c r="CY840">
        <f>IF(ISBLANK('Data Entry'!$§$840), "", 'Data Entry'!$§$840)</f>
      </c>
      <c r="CZ840">
        <f>IF(ISBLANK('Data Entry'!$¨$840), "", 'Data Entry'!$¨$840)</f>
      </c>
      <c r="DA840">
        <f>IF(ISBLANK('Data Entry'!$©$840), "", 'Data Entry'!$©$840)</f>
      </c>
      <c r="DB840">
        <f>IF(ISBLANK('Data Entry'!$ª$840), "", 'Data Entry'!$ª$840)</f>
      </c>
      <c r="DC840">
        <f>IF(ISBLANK('Data Entry'!$«$840), "", 'Data Entry'!$«$840)</f>
      </c>
      <c r="DD840">
        <f>IF(ISBLANK('Data Entry'!$¬$840), "", 'Data Entry'!$¬$840)</f>
      </c>
      <c r="DE840">
        <f>IF(ISBLANK('Data Entry'!$­$840), "", 'Data Entry'!$­$840)</f>
      </c>
      <c r="DF840">
        <f>IF(ISBLANK('Data Entry'!$®$840), "", 'Data Entry'!$®$840)</f>
      </c>
      <c r="DG840">
        <f>IF(ISBLANK('Data Entry'!$¯$840), "", 'Data Entry'!$¯$840)</f>
      </c>
      <c r="DH840">
        <f>IF(ISBLANK('Data Entry'!$°$840), "", 'Data Entry'!$°$840)</f>
      </c>
      <c r="DI840">
        <f>IF(ISBLANK('Data Entry'!$±$840), "", 'Data Entry'!$±$840)</f>
      </c>
      <c r="DJ840">
        <f>IF(ISBLANK('Data Entry'!$²$840), "", 'Data Entry'!$²$840)</f>
      </c>
      <c r="DK840">
        <f>IF(ISBLANK('Data Entry'!$³$840), "", 'Data Entry'!$³$840)</f>
      </c>
      <c r="DL840">
        <f>IF(ISBLANK('Data Entry'!$´$840), "", 'Data Entry'!$´$840)</f>
      </c>
      <c r="DM840">
        <f>IF(ISBLANK('Data Entry'!$µ$840), "", 'Data Entry'!$µ$840)</f>
      </c>
      <c r="DN840">
        <f>IF(ISBLANK('Data Entry'!$¶$840), "", 'Data Entry'!$¶$840)</f>
      </c>
      <c r="DO840">
        <f>IF(ISBLANK('Data Entry'!$·$840), "", 'Data Entry'!$·$840)</f>
      </c>
      <c r="DP840">
        <f>IF(ISBLANK('Data Entry'!$¸$840), "", 'Data Entry'!$¸$840)</f>
      </c>
      <c r="DQ840">
        <f>IF(ISBLANK('Data Entry'!$¹$840), "", 'Data Entry'!$¹$840)</f>
      </c>
      <c r="DR840">
        <f>IF(ISBLANK('Data Entry'!$º$840), "", 'Data Entry'!$º$840)</f>
      </c>
      <c r="DS840">
        <f>IF(ISBLANK('Data Entry'!$»$840), "", 'Data Entry'!$»$840)</f>
      </c>
      <c r="DT840">
        <f>IF(ISBLANK('Data Entry'!$¼$840), "", 'Data Entry'!$¼$840)</f>
      </c>
      <c r="DU840">
        <f>IF(ISBLANK('Data Entry'!$½$840), "", 'Data Entry'!$½$840)</f>
      </c>
      <c r="DV840">
        <f>IF(ISBLANK('Data Entry'!$¾$840), "", 'Data Entry'!$¾$840)</f>
      </c>
      <c r="DW840">
        <f>IF(ISBLANK('Data Entry'!$¿$840), "", 'Data Entry'!$¿$840)</f>
      </c>
      <c r="DX840">
        <f>IF(ISBLANK('Data Entry'!$À$840), "", 'Data Entry'!$À$840)</f>
      </c>
      <c r="DY840">
        <f>IF(ISBLANK('Data Entry'!$Á$840), "", 'Data Entry'!$Á$840)</f>
      </c>
      <c r="DZ840">
        <f>IF(ISBLANK('Data Entry'!$Â$840), "", 'Data Entry'!$Â$840)</f>
      </c>
      <c r="EA840">
        <f>IF(ISBLANK('Data Entry'!$Ã$840), "", 'Data Entry'!$Ã$840)</f>
      </c>
      <c r="EB840">
        <f>IF(ISBLANK('Data Entry'!$Ä$840), "", 'Data Entry'!$Ä$840)</f>
      </c>
      <c r="EC840">
        <f>IF(ISBLANK('Data Entry'!$Å$840), "", 'Data Entry'!$Å$840)</f>
      </c>
      <c r="ED840">
        <f>IF(ISBLANK('Data Entry'!$Æ$840), "", 'Data Entry'!$Æ$840)</f>
      </c>
      <c r="EE840">
        <f>IF(ISBLANK('Data Entry'!$Ç$840), "", 'Data Entry'!$Ç$840)</f>
      </c>
      <c r="EF840">
        <f>IF(ISBLANK('Data Entry'!$È$840), "", 'Data Entry'!$È$840)</f>
      </c>
      <c r="EG840">
        <f>IF(ISBLANK('Data Entry'!$É$840), "", 'Data Entry'!$É$840)</f>
      </c>
      <c r="EH840">
        <f>IF(ISBLANK('Data Entry'!$Ê$840), "", 'Data Entry'!$Ê$840)</f>
      </c>
      <c r="EI840">
        <f>IF(ISBLANK('Data Entry'!$Ë$840), "", 'Data Entry'!$Ë$840)</f>
      </c>
      <c r="EJ840">
        <f>IF(ISBLANK('Data Entry'!$Ì$840), "", 'Data Entry'!$Ì$840)</f>
      </c>
      <c r="EK840">
        <f>IF(ISBLANK('Data Entry'!$Í$840), "", 'Data Entry'!$Í$840)</f>
      </c>
      <c r="EL840">
        <f>IF(ISBLANK('Data Entry'!$Î$840), "", 'Data Entry'!$Î$840)</f>
      </c>
      <c r="EM840">
        <f>IF(ISBLANK('Data Entry'!$Ï$840), "", 'Data Entry'!$Ï$840)</f>
      </c>
      <c r="EN840">
        <f>IF(ISBLANK('Data Entry'!$Ð$840), "", 'Data Entry'!$Ð$840)</f>
      </c>
      <c r="EO840">
        <f>IF(ISBLANK('Data Entry'!$Ñ$840), "", 'Data Entry'!$Ñ$840)</f>
      </c>
      <c r="EP840">
        <f>IF(ISBLANK('Data Entry'!$Ò$840), "", 'Data Entry'!$Ò$840)</f>
      </c>
      <c r="EQ840">
        <f>IF(ISBLANK('Data Entry'!$Ó$840), "", 'Data Entry'!$Ó$840)</f>
      </c>
      <c r="ER840">
        <f>IF(ISBLANK('Data Entry'!$Ô$840), "", 'Data Entry'!$Ô$840)</f>
      </c>
      <c r="ES840">
        <f>IF(ISBLANK('Data Entry'!$Õ$840), "", 'Data Entry'!$Õ$840)</f>
      </c>
      <c r="ET840">
        <f>IF(ISBLANK('Data Entry'!$Ö$840), "", 'Data Entry'!$Ö$840)</f>
      </c>
      <c r="EU840">
        <f>IF(ISBLANK('Data Entry'!$×$840), "", 'Data Entry'!$×$840)</f>
      </c>
      <c r="EV840">
        <f>IF(ISBLANK('Data Entry'!$Ø$840), "", 'Data Entry'!$Ø$840)</f>
      </c>
      <c r="EW840">
        <f>IF(ISBLANK('Data Entry'!$Ù$840), "", 'Data Entry'!$Ù$840)</f>
      </c>
      <c r="EX840">
        <f>IF(ISBLANK('Data Entry'!$Ú$840), "", 'Data Entry'!$Ú$840)</f>
      </c>
      <c r="EY840">
        <f>IF(ISBLANK('Data Entry'!$Û$840), "", 'Data Entry'!$Û$840)</f>
      </c>
      <c r="EZ840">
        <f>IF(ISBLANK('Data Entry'!$Ü$840), "", 'Data Entry'!$Ü$840)</f>
      </c>
      <c r="FA840">
        <f>IF(ISBLANK('Data Entry'!$Ý$840), "", 'Data Entry'!$Ý$840)</f>
      </c>
      <c r="FB840">
        <f>IF(ISBLANK('Data Entry'!$Þ$840), "", 'Data Entry'!$Þ$840)</f>
      </c>
      <c r="FC840">
        <f>IF(ISBLANK('Data Entry'!$ß$840), "", 'Data Entry'!$ß$840)</f>
      </c>
      <c r="FD840">
        <f>IF(ISBLANK('Data Entry'!$à$840), "", 'Data Entry'!$à$840)</f>
      </c>
      <c r="FE840">
        <f>IF(ISBLANK('Data Entry'!$á$840), "", 'Data Entry'!$á$840)</f>
      </c>
      <c r="FF840">
        <f>IF(ISBLANK('Data Entry'!$â$840), "", 'Data Entry'!$â$840)</f>
      </c>
      <c r="FG840">
        <f>IF(ISBLANK('Data Entry'!$ã$840), "", 'Data Entry'!$ã$840)</f>
      </c>
      <c r="FH840">
        <f>IF(ISBLANK('Data Entry'!$ä$840), "", 'Data Entry'!$ä$840)</f>
      </c>
      <c r="FI840">
        <f>IF(ISBLANK('Data Entry'!$å$840), "", 'Data Entry'!$å$840)</f>
      </c>
      <c r="FJ840">
        <f>IF(ISBLANK('Data Entry'!$æ$840), "", 'Data Entry'!$æ$840)</f>
      </c>
      <c r="FK840">
        <f>IF(ISBLANK('Data Entry'!$ç$840), "", 'Data Entry'!$ç$840)</f>
      </c>
      <c r="FL840">
        <f>IF(ISBLANK('Data Entry'!$è$840), "", 'Data Entry'!$è$840)</f>
      </c>
      <c r="FM840">
        <f>IF(ISBLANK('Data Entry'!$é$840), "", 'Data Entry'!$é$840)</f>
      </c>
      <c r="FN840">
        <f>IF(ISBLANK('Data Entry'!$ê$840), "", 'Data Entry'!$ê$840)</f>
      </c>
      <c r="FO840">
        <f>IF(ISBLANK('Data Entry'!$ë$840), "", 'Data Entry'!$ë$840)</f>
      </c>
      <c r="FP840">
        <f>IF(ISBLANK('Data Entry'!$ì$840), "", 'Data Entry'!$ì$840)</f>
      </c>
      <c r="FQ840">
        <f>IF(ISBLANK('Data Entry'!$í$840), "", 'Data Entry'!$í$840)</f>
      </c>
      <c r="FR840">
        <f>IF(ISBLANK('Data Entry'!$î$840), "", 'Data Entry'!$î$840)</f>
      </c>
      <c r="FS840">
        <f>IF(ISBLANK('Data Entry'!$ï$840), "", 'Data Entry'!$ï$840)</f>
      </c>
      <c r="FT840">
        <f>IF(ISBLANK('Data Entry'!$ð$840), "", 'Data Entry'!$ð$840)</f>
      </c>
      <c r="FU840">
        <f>IF(ISBLANK('Data Entry'!$ñ$840), "", 'Data Entry'!$ñ$840)</f>
      </c>
      <c r="FV840">
        <f>IF(ISBLANK('Data Entry'!$ò$840), "", 'Data Entry'!$ò$840)</f>
      </c>
      <c r="FW840">
        <f>IF(ISBLANK('Data Entry'!$ó$840), "", 'Data Entry'!$ó$840)</f>
      </c>
      <c r="FX840">
        <f>IF(ISBLANK('Data Entry'!$ô$840), "", 'Data Entry'!$ô$840)</f>
      </c>
      <c r="FY840">
        <f>IF(ISBLANK('Data Entry'!$õ$840), "", 'Data Entry'!$õ$840)</f>
      </c>
      <c r="FZ840">
        <f>IF(ISBLANK('Data Entry'!$ö$840), "", 'Data Entry'!$ö$840)</f>
      </c>
      <c r="GA840">
        <f>IF(ISBLANK('Data Entry'!$÷$840), "", 'Data Entry'!$÷$840)</f>
      </c>
      <c r="GB840">
        <f>IF(ISBLANK('Data Entry'!$ø$840), "", 'Data Entry'!$ø$840)</f>
      </c>
      <c r="GC840">
        <f>IF(ISBLANK('Data Entry'!$ù$840), "", 'Data Entry'!$ù$840)</f>
      </c>
      <c r="GD840">
        <f>IF(ISBLANK('Data Entry'!$ú$840), "", 'Data Entry'!$ú$840)</f>
      </c>
      <c r="GE840">
        <f>IF(ISBLANK('Data Entry'!$û$840), "", 'Data Entry'!$û$840)</f>
      </c>
      <c r="GF840">
        <f>IF(ISBLANK('Data Entry'!$ü$840), "", 'Data Entry'!$ü$840)</f>
      </c>
      <c r="GG840">
        <f>IF(ISBLANK('Data Entry'!$ý$840), "", 'Data Entry'!$ý$840)</f>
      </c>
      <c r="GH840">
        <f>IF(ISBLANK('Data Entry'!$þ$840), "", 'Data Entry'!$þ$840)</f>
      </c>
      <c r="GI840">
        <f>IF(ISBLANK('Data Entry'!$ÿ$840), "", 'Data Entry'!$ÿ$840)</f>
      </c>
      <c r="GJ840">
        <f>IF(ISBLANK('Data Entry'!$Ā$840), "", 'Data Entry'!$Ā$840)</f>
      </c>
      <c r="GK840">
        <f>IF(ISBLANK('Data Entry'!$ā$840), "", 'Data Entry'!$ā$840)</f>
      </c>
      <c r="GL840">
        <f>IF(ISBLANK('Data Entry'!$Ă$840), "", 'Data Entry'!$Ă$840)</f>
      </c>
      <c r="GM840">
        <f>IF(ISBLANK('Data Entry'!$ă$840), "", 'Data Entry'!$ă$840)</f>
      </c>
      <c r="GN840">
        <f>IF(ISBLANK('Data Entry'!$Ą$840), "", 'Data Entry'!$Ą$840)</f>
      </c>
      <c r="GO840">
        <f>IF(ISBLANK('Data Entry'!$ą$840), "", 'Data Entry'!$ą$840)</f>
      </c>
      <c r="GP840">
        <f>IF(ISBLANK('Data Entry'!$Ć$840), "", 'Data Entry'!$Ć$840)</f>
      </c>
      <c r="GQ840">
        <f>IF(ISBLANK('Data Entry'!$ć$840), "", 'Data Entry'!$ć$840)</f>
      </c>
      <c r="GR840">
        <f>IF(ISBLANK('Data Entry'!$Ĉ$840), "", 'Data Entry'!$Ĉ$840)</f>
      </c>
      <c r="GS840">
        <f>IF(ISBLANK('Data Entry'!$ĉ$840), "", 'Data Entry'!$ĉ$840)</f>
      </c>
      <c r="GT840">
        <f>IF(ISBLANK('Data Entry'!$Ċ$840), "", 'Data Entry'!$Ċ$840)</f>
      </c>
      <c r="GU840">
        <f>IF(ISBLANK('Data Entry'!$ċ$840), "", 'Data Entry'!$ċ$840)</f>
      </c>
      <c r="GV840">
        <f>IF(ISBLANK('Data Entry'!$Č$840), "", 'Data Entry'!$Č$840)</f>
      </c>
      <c r="GW840">
        <f>IF(ISBLANK('Data Entry'!$č$840), "", 'Data Entry'!$č$840)</f>
      </c>
      <c r="GX840">
        <f>IF(ISBLANK('Data Entry'!$Ď$840), "", 'Data Entry'!$Ď$840)</f>
      </c>
      <c r="GY840">
        <f>IF(ISBLANK('Data Entry'!$ď$840), "", 'Data Entry'!$ď$840)</f>
      </c>
      <c r="GZ840">
        <f>IF(ISBLANK('Data Entry'!$Đ$840), "", 'Data Entry'!$Đ$840)</f>
      </c>
      <c r="HA840">
        <f>IF(ISBLANK('Data Entry'!$đ$840), "", 'Data Entry'!$đ$840)</f>
      </c>
      <c r="HB840">
        <f>IF(ISBLANK('Data Entry'!$Ē$840), "", 'Data Entry'!$Ē$840)</f>
      </c>
      <c r="HC840">
        <f>IF(ISBLANK('Data Entry'!$ē$840), "", 'Data Entry'!$ē$840)</f>
      </c>
      <c r="HD840">
        <f>IF(ISBLANK('Data Entry'!$Ĕ$840), "", 'Data Entry'!$Ĕ$840)</f>
      </c>
      <c r="HE840">
        <f>IF(ISBLANK('Data Entry'!$ĕ$840), "", 'Data Entry'!$ĕ$840)</f>
      </c>
      <c r="HF840">
        <f>IF(ISBLANK('Data Entry'!$Ė$840), "", 'Data Entry'!$Ė$840)</f>
      </c>
      <c r="HG840">
        <f>IF(ISBLANK('Data Entry'!$ė$840), "", 'Data Entry'!$ė$840)</f>
      </c>
      <c r="HH840">
        <f>IF(ISBLANK('Data Entry'!$Ę$840), "", 'Data Entry'!$Ę$840)</f>
      </c>
      <c r="HI840">
        <f>IF(ISBLANK('Data Entry'!$ę$840), "", 'Data Entry'!$ę$840)</f>
      </c>
      <c r="HJ840">
        <f>IF(ISBLANK('Data Entry'!$Ě$840), "", 'Data Entry'!$Ě$840)</f>
      </c>
      <c r="HK840">
        <f>IF(ISBLANK('Data Entry'!$ě$840), "", 'Data Entry'!$ě$840)</f>
      </c>
      <c r="HL840">
        <f>IF(ISBLANK('Data Entry'!$Ĝ$840), "", 'Data Entry'!$Ĝ$840)</f>
      </c>
      <c r="HM840">
        <f>IF(ISBLANK('Data Entry'!$ĝ$840), "", 'Data Entry'!$ĝ$840)</f>
      </c>
      <c r="HN840">
        <f>IF(ISBLANK('Data Entry'!$Ğ$840), "", 'Data Entry'!$Ğ$840)</f>
      </c>
      <c r="HO840">
        <f>IF(ISBLANK('Data Entry'!$ğ$840), "", 'Data Entry'!$ğ$840)</f>
      </c>
      <c r="HP840">
        <f>IF(ISBLANK('Data Entry'!$Ġ$840), "", 'Data Entry'!$Ġ$840)</f>
      </c>
      <c r="HQ840">
        <f>IF(ISBLANK('Data Entry'!$ġ$840), "", 'Data Entry'!$ġ$840)</f>
      </c>
      <c r="HR840">
        <f>IF(ISBLANK('Data Entry'!$Ģ$840), "", 'Data Entry'!$Ģ$840)</f>
      </c>
      <c r="HS840">
        <f>IF(ISBLANK('Data Entry'!$ģ$840), "", 'Data Entry'!$ģ$840)</f>
      </c>
      <c r="HT840">
        <f>IF(ISBLANK('Data Entry'!$Ĥ$840), "", 'Data Entry'!$Ĥ$840)</f>
      </c>
      <c r="HU840">
        <f>IF(ISBLANK('Data Entry'!$ĥ$840), "", 'Data Entry'!$ĥ$840)</f>
      </c>
      <c r="HV840">
        <f>IF(ISBLANK('Data Entry'!$Ħ$840), "", 'Data Entry'!$Ħ$840)</f>
      </c>
      <c r="HW840">
        <f>IF(ISBLANK('Data Entry'!$ħ$840), "", 'Data Entry'!$ħ$840)</f>
      </c>
      <c r="HX840">
        <f>IF(ISBLANK('Data Entry'!$Ĩ$840), "", 'Data Entry'!$Ĩ$840)</f>
      </c>
      <c r="HY840">
        <f>IF(ISBLANK('Data Entry'!$ĩ$840), "", 'Data Entry'!$ĩ$840)</f>
      </c>
      <c r="HZ840">
        <f>IF(ISBLANK('Data Entry'!$Ī$840), "", 'Data Entry'!$Ī$840)</f>
      </c>
      <c r="IA840">
        <f>IF(ISBLANK('Data Entry'!$ī$840), "", 'Data Entry'!$ī$840)</f>
      </c>
      <c r="IB840">
        <f>IF(ISBLANK('Data Entry'!$Ĭ$840), "", 'Data Entry'!$Ĭ$840)</f>
      </c>
      <c r="IC840">
        <f>IF(ISBLANK('Data Entry'!$ĭ$840), "", 'Data Entry'!$ĭ$840)</f>
      </c>
      <c r="ID840">
        <f>IF(ISBLANK('Data Entry'!$Į$840), "", 'Data Entry'!$Į$840)</f>
      </c>
      <c r="IE840">
        <f>IF(ISBLANK('Data Entry'!$į$840), "", 'Data Entry'!$į$840)</f>
      </c>
      <c r="IF840">
        <f>IF(ISBLANK('Data Entry'!$İ$840), "", 'Data Entry'!$İ$840)</f>
      </c>
      <c r="IG840">
        <f>IF(ISBLANK('Data Entry'!$ı$840), "", 'Data Entry'!$ı$840)</f>
      </c>
      <c r="IH840">
        <f>IF(ISBLANK('Data Entry'!$Ĳ$840), "", 'Data Entry'!$Ĳ$840)</f>
      </c>
      <c r="II840">
        <f>IF(ISBLANK('Data Entry'!$ĳ$840), "", 'Data Entry'!$ĳ$840)</f>
      </c>
      <c r="IJ840">
        <f>IF(ISBLANK('Data Entry'!$Ĵ$840), "", 'Data Entry'!$Ĵ$840)</f>
      </c>
      <c r="IK840">
        <f>IF(ISBLANK('Data Entry'!$ĵ$840), "", 'Data Entry'!$ĵ$840)</f>
      </c>
      <c r="IL840">
        <f>IF(ISBLANK('Data Entry'!$Ķ$840), "", 'Data Entry'!$Ķ$840)</f>
      </c>
      <c r="IM840">
        <f>IF(ISBLANK('Data Entry'!$ķ$840), "", 'Data Entry'!$ķ$840)</f>
      </c>
      <c r="IN840">
        <f>IF(ISBLANK('Data Entry'!$ĸ$840), "", 'Data Entry'!$ĸ$840)</f>
      </c>
      <c r="IO840">
        <f>IF(ISBLANK('Data Entry'!$Ĺ$840), "", 'Data Entry'!$Ĺ$840)</f>
      </c>
      <c r="IP840">
        <f>IF(ISBLANK('Data Entry'!$ĺ$840), "", 'Data Entry'!$ĺ$840)</f>
      </c>
      <c r="IQ840">
        <f>IF(ISBLANK('Data Entry'!$Ļ$840), "", 'Data Entry'!$Ļ$840)</f>
      </c>
      <c r="IR840">
        <f>IF(ISBLANK('Data Entry'!$ļ$840), "", 'Data Entry'!$ļ$840)</f>
      </c>
      <c r="IS840">
        <f>IF(ISBLANK('Data Entry'!$Ľ$840), "", 'Data Entry'!$Ľ$840)</f>
      </c>
      <c r="IT840">
        <f>IF(ISBLANK('Data Entry'!$ľ$840), "", 'Data Entry'!$ľ$840)</f>
      </c>
    </row>
    <row r="841" spans="1:254" x14ac:dyDescent="0.25">
      <c r="A841">
        <f>IF(ISBLANK('Data Entry'!$A$841), "", 'Data Entry'!$A$841)</f>
      </c>
      <c r="B841">
        <f>IF(ISBLANK('Data Entry'!$B$841), "", 'Data Entry'!$B$841)</f>
      </c>
      <c r="C841">
        <f>IF(ISBLANK('Data Entry'!$C$841), "", 'Data Entry'!$C$841)</f>
      </c>
      <c r="D841">
        <f>IF(ISBLANK('Data Entry'!$D$841), "", 'Data Entry'!$D$841)</f>
      </c>
      <c r="E841">
        <f>IF(ISBLANK('Data Entry'!$E$841), "", 'Data Entry'!$E$841)</f>
      </c>
      <c r="F841">
        <f>IF(ISBLANK('Data Entry'!$F$841), "", 'Data Entry'!$F$841)</f>
      </c>
      <c r="G841">
        <f>IF(ISBLANK('Data Entry'!$G$841), "", 'Data Entry'!$G$841)</f>
      </c>
      <c r="H841">
        <f>IF(ISBLANK('Data Entry'!$H$841), "", 'Data Entry'!$H$841)</f>
      </c>
      <c r="I841">
        <f>IF(ISBLANK('Data Entry'!$I$841), "", 'Data Entry'!$I$841)</f>
      </c>
      <c r="J841">
        <f>IF(ISBLANK('Data Entry'!$J$841), "", 'Data Entry'!$J$841)</f>
      </c>
      <c r="K841">
        <f>IF(ISBLANK('Data Entry'!$K$841), "", 'Data Entry'!$K$841)</f>
      </c>
      <c r="L841">
        <f>IF(ISBLANK('Data Entry'!$L$841), "", 'Data Entry'!$L$841)</f>
      </c>
      <c r="M841">
        <f>IF(ISBLANK('Data Entry'!$M$841), "", 'Data Entry'!$M$841)</f>
      </c>
      <c r="N841">
        <f>IF(ISBLANK('Data Entry'!$N$841), "", 'Data Entry'!$N$841)</f>
      </c>
      <c r="O841">
        <f>IF(ISBLANK('Data Entry'!$O$841), "", 'Data Entry'!$O$841)</f>
      </c>
      <c r="P841">
        <f>IF(ISBLANK('Data Entry'!$P$841), "", 'Data Entry'!$P$841)</f>
      </c>
      <c r="Q841">
        <f>IF(ISBLANK('Data Entry'!$Q$841), "", 'Data Entry'!$Q$841)</f>
      </c>
      <c r="R841">
        <f>IF(ISBLANK('Data Entry'!$R$841), "", 'Data Entry'!$R$841)</f>
      </c>
      <c r="S841">
        <f>IF(ISBLANK('Data Entry'!$S$841), "", 'Data Entry'!$S$841)</f>
      </c>
      <c r="T841">
        <f>IF(ISBLANK('Data Entry'!$T$841), "", 'Data Entry'!$T$841)</f>
      </c>
      <c r="U841">
        <f>IF(ISBLANK('Data Entry'!$U$841), "", 'Data Entry'!$U$841)</f>
      </c>
      <c r="V841">
        <f>IF(ISBLANK('Data Entry'!$V$841), "", 'Data Entry'!$V$841)</f>
      </c>
      <c r="W841">
        <f>IF(ISBLANK('Data Entry'!$W$841), "", 'Data Entry'!$W$841)</f>
      </c>
      <c r="X841">
        <f>IF(ISBLANK('Data Entry'!$X$841), "", 'Data Entry'!$X$841)</f>
      </c>
      <c r="Y841">
        <f>IF(ISBLANK('Data Entry'!$Y$841), "", 'Data Entry'!$Y$841)</f>
      </c>
      <c r="Z841">
        <f>IF(ISBLANK('Data Entry'!$Z$841), "", 'Data Entry'!$Z$841)</f>
      </c>
      <c r="AA841">
        <f>IF(ISBLANK('Data Entry'!$[$841), "", 'Data Entry'!$[$841)</f>
      </c>
      <c r="AB841">
        <f>IF(ISBLANK('Data Entry'!$\$841), "", 'Data Entry'!$\$841)</f>
      </c>
      <c r="AC841">
        <f>IF(ISBLANK('Data Entry'!$]$841), "", 'Data Entry'!$]$841)</f>
      </c>
      <c r="AD841">
        <f>IF(ISBLANK('Data Entry'!$^$841), "", 'Data Entry'!$^$841)</f>
      </c>
      <c r="AE841">
        <f>IF(ISBLANK('Data Entry'!$_$841), "", 'Data Entry'!$_$841)</f>
      </c>
      <c r="AF841">
        <f>IF(ISBLANK('Data Entry'!$`$841), "", 'Data Entry'!$`$841)</f>
      </c>
      <c r="AG841">
        <f>IF(ISBLANK('Data Entry'!$a$841), "", 'Data Entry'!$a$841)</f>
      </c>
      <c r="AH841">
        <f>IF(ISBLANK('Data Entry'!$b$841), "", 'Data Entry'!$b$841)</f>
      </c>
      <c r="AI841">
        <f>IF(ISBLANK('Data Entry'!$c$841), "", 'Data Entry'!$c$841)</f>
      </c>
      <c r="AJ841">
        <f>IF(ISBLANK('Data Entry'!$d$841), "", 'Data Entry'!$d$841)</f>
      </c>
      <c r="AK841">
        <f>IF(ISBLANK('Data Entry'!$e$841), "", 'Data Entry'!$e$841)</f>
      </c>
      <c r="AL841">
        <f>IF(ISBLANK('Data Entry'!$f$841), "", 'Data Entry'!$f$841)</f>
      </c>
      <c r="AM841">
        <f>IF(ISBLANK('Data Entry'!$g$841), "", 'Data Entry'!$g$841)</f>
      </c>
      <c r="AN841">
        <f>IF(ISBLANK('Data Entry'!$h$841), "", 'Data Entry'!$h$841)</f>
      </c>
      <c r="AO841">
        <f>IF(ISBLANK('Data Entry'!$i$841), "", 'Data Entry'!$i$841)</f>
      </c>
      <c r="AP841">
        <f>IF(ISBLANK('Data Entry'!$j$841), "", 'Data Entry'!$j$841)</f>
      </c>
      <c r="AQ841">
        <f>IF(ISBLANK('Data Entry'!$k$841), "", 'Data Entry'!$k$841)</f>
      </c>
      <c r="AR841">
        <f>IF(ISBLANK('Data Entry'!$l$841), "", 'Data Entry'!$l$841)</f>
      </c>
      <c r="AS841">
        <f>IF(ISBLANK('Data Entry'!$m$841), "", 'Data Entry'!$m$841)</f>
      </c>
      <c r="AT841">
        <f>IF(ISBLANK('Data Entry'!$n$841), "", 'Data Entry'!$n$841)</f>
      </c>
      <c r="AU841">
        <f>IF(ISBLANK('Data Entry'!$o$841), "", 'Data Entry'!$o$841)</f>
      </c>
      <c r="AV841">
        <f>IF(ISBLANK('Data Entry'!$p$841), "", 'Data Entry'!$p$841)</f>
      </c>
      <c r="AW841">
        <f>IF(ISBLANK('Data Entry'!$q$841), "", 'Data Entry'!$q$841)</f>
      </c>
      <c r="AX841">
        <f>IF(ISBLANK('Data Entry'!$r$841), "", 'Data Entry'!$r$841)</f>
      </c>
      <c r="AY841">
        <f>IF(ISBLANK('Data Entry'!$s$841), "", 'Data Entry'!$s$841)</f>
      </c>
      <c r="AZ841">
        <f>IF(ISBLANK('Data Entry'!$t$841), "", 'Data Entry'!$t$841)</f>
      </c>
      <c r="BA841">
        <f>IF(ISBLANK('Data Entry'!$u$841), "", 'Data Entry'!$u$841)</f>
      </c>
      <c r="BB841">
        <f>IF(ISBLANK('Data Entry'!$v$841), "", 'Data Entry'!$v$841)</f>
      </c>
      <c r="BC841">
        <f>IF(ISBLANK('Data Entry'!$w$841), "", 'Data Entry'!$w$841)</f>
      </c>
      <c r="BD841">
        <f>IF(ISBLANK('Data Entry'!$x$841), "", 'Data Entry'!$x$841)</f>
      </c>
      <c r="BE841">
        <f>IF(ISBLANK('Data Entry'!$y$841), "", 'Data Entry'!$y$841)</f>
      </c>
      <c r="BF841">
        <f>IF(ISBLANK('Data Entry'!$z$841), "", 'Data Entry'!$z$841)</f>
      </c>
      <c r="BG841">
        <f>IF(ISBLANK('Data Entry'!${$841), "", 'Data Entry'!${$841)</f>
      </c>
      <c r="BH841">
        <f>IF(ISBLANK('Data Entry'!$|$841), "", 'Data Entry'!$|$841)</f>
      </c>
      <c r="BI841">
        <f>IF(ISBLANK('Data Entry'!$}$841), "", 'Data Entry'!$}$841)</f>
      </c>
      <c r="BJ841">
        <f>IF(ISBLANK('Data Entry'!$~$841), "", 'Data Entry'!$~$841)</f>
      </c>
      <c r="BK841">
        <f>IF(ISBLANK('Data Entry'!$$841), "", 'Data Entry'!$$841)</f>
      </c>
      <c r="BL841">
        <f>IF(ISBLANK('Data Entry'!$$841), "", 'Data Entry'!$$841)</f>
      </c>
      <c r="BM841">
        <f>IF(ISBLANK('Data Entry'!$$841), "", 'Data Entry'!$$841)</f>
      </c>
      <c r="BN841">
        <f>IF(ISBLANK('Data Entry'!$$841), "", 'Data Entry'!$$841)</f>
      </c>
      <c r="BO841">
        <f>IF(ISBLANK('Data Entry'!$$841), "", 'Data Entry'!$$841)</f>
      </c>
      <c r="BP841">
        <f>IF(ISBLANK('Data Entry'!$$841), "", 'Data Entry'!$$841)</f>
      </c>
      <c r="BQ841">
        <f>IF(ISBLANK('Data Entry'!$$841), "", 'Data Entry'!$$841)</f>
      </c>
      <c r="BR841">
        <f>IF(ISBLANK('Data Entry'!$$841), "", 'Data Entry'!$$841)</f>
      </c>
      <c r="BS841">
        <f>IF(ISBLANK('Data Entry'!$$841), "", 'Data Entry'!$$841)</f>
      </c>
      <c r="BT841">
        <f>IF(ISBLANK('Data Entry'!$$841), "", 'Data Entry'!$$841)</f>
      </c>
      <c r="BU841">
        <f>IF(ISBLANK('Data Entry'!$$841), "", 'Data Entry'!$$841)</f>
      </c>
      <c r="BV841">
        <f>IF(ISBLANK('Data Entry'!$$841), "", 'Data Entry'!$$841)</f>
      </c>
      <c r="BW841">
        <f>IF(ISBLANK('Data Entry'!$$841), "", 'Data Entry'!$$841)</f>
      </c>
      <c r="BX841">
        <f>IF(ISBLANK('Data Entry'!$$841), "", 'Data Entry'!$$841)</f>
      </c>
      <c r="BY841">
        <f>IF(ISBLANK('Data Entry'!$$841), "", 'Data Entry'!$$841)</f>
      </c>
      <c r="BZ841">
        <f>IF(ISBLANK('Data Entry'!$$841), "", 'Data Entry'!$$841)</f>
      </c>
      <c r="CA841">
        <f>IF(ISBLANK('Data Entry'!$$841), "", 'Data Entry'!$$841)</f>
      </c>
      <c r="CB841">
        <f>IF(ISBLANK('Data Entry'!$$841), "", 'Data Entry'!$$841)</f>
      </c>
      <c r="CC841">
        <f>IF(ISBLANK('Data Entry'!$$841), "", 'Data Entry'!$$841)</f>
      </c>
      <c r="CD841">
        <f>IF(ISBLANK('Data Entry'!$$841), "", 'Data Entry'!$$841)</f>
      </c>
      <c r="CE841">
        <f>IF(ISBLANK('Data Entry'!$$841), "", 'Data Entry'!$$841)</f>
      </c>
      <c r="CF841">
        <f>IF(ISBLANK('Data Entry'!$$841), "", 'Data Entry'!$$841)</f>
      </c>
      <c r="CG841">
        <f>IF(ISBLANK('Data Entry'!$$841), "", 'Data Entry'!$$841)</f>
      </c>
      <c r="CH841">
        <f>IF(ISBLANK('Data Entry'!$$841), "", 'Data Entry'!$$841)</f>
      </c>
      <c r="CI841">
        <f>IF(ISBLANK('Data Entry'!$$841), "", 'Data Entry'!$$841)</f>
      </c>
      <c r="CJ841">
        <f>IF(ISBLANK('Data Entry'!$$841), "", 'Data Entry'!$$841)</f>
      </c>
      <c r="CK841">
        <f>IF(ISBLANK('Data Entry'!$$841), "", 'Data Entry'!$$841)</f>
      </c>
      <c r="CL841">
        <f>IF(ISBLANK('Data Entry'!$$841), "", 'Data Entry'!$$841)</f>
      </c>
      <c r="CM841">
        <f>IF(ISBLANK('Data Entry'!$$841), "", 'Data Entry'!$$841)</f>
      </c>
      <c r="CN841">
        <f>IF(ISBLANK('Data Entry'!$$841), "", 'Data Entry'!$$841)</f>
      </c>
      <c r="CO841">
        <f>IF(ISBLANK('Data Entry'!$$841), "", 'Data Entry'!$$841)</f>
      </c>
      <c r="CP841">
        <f>IF(ISBLANK('Data Entry'!$$841), "", 'Data Entry'!$$841)</f>
      </c>
      <c r="CQ841">
        <f>IF(ISBLANK('Data Entry'!$$841), "", 'Data Entry'!$$841)</f>
      </c>
      <c r="CR841">
        <f>IF(ISBLANK('Data Entry'!$ $841), "", 'Data Entry'!$ $841)</f>
      </c>
      <c r="CS841">
        <f>IF(ISBLANK('Data Entry'!$¡$841), "", 'Data Entry'!$¡$841)</f>
      </c>
      <c r="CT841">
        <f>IF(ISBLANK('Data Entry'!$¢$841), "", 'Data Entry'!$¢$841)</f>
      </c>
      <c r="CU841">
        <f>IF(ISBLANK('Data Entry'!$£$841), "", 'Data Entry'!$£$841)</f>
      </c>
      <c r="CV841">
        <f>IF(ISBLANK('Data Entry'!$¤$841), "", 'Data Entry'!$¤$841)</f>
      </c>
      <c r="CW841">
        <f>IF(ISBLANK('Data Entry'!$¥$841), "", 'Data Entry'!$¥$841)</f>
      </c>
      <c r="CX841">
        <f>IF(ISBLANK('Data Entry'!$¦$841), "", 'Data Entry'!$¦$841)</f>
      </c>
      <c r="CY841">
        <f>IF(ISBLANK('Data Entry'!$§$841), "", 'Data Entry'!$§$841)</f>
      </c>
      <c r="CZ841">
        <f>IF(ISBLANK('Data Entry'!$¨$841), "", 'Data Entry'!$¨$841)</f>
      </c>
      <c r="DA841">
        <f>IF(ISBLANK('Data Entry'!$©$841), "", 'Data Entry'!$©$841)</f>
      </c>
      <c r="DB841">
        <f>IF(ISBLANK('Data Entry'!$ª$841), "", 'Data Entry'!$ª$841)</f>
      </c>
      <c r="DC841">
        <f>IF(ISBLANK('Data Entry'!$«$841), "", 'Data Entry'!$«$841)</f>
      </c>
      <c r="DD841">
        <f>IF(ISBLANK('Data Entry'!$¬$841), "", 'Data Entry'!$¬$841)</f>
      </c>
      <c r="DE841">
        <f>IF(ISBLANK('Data Entry'!$­$841), "", 'Data Entry'!$­$841)</f>
      </c>
      <c r="DF841">
        <f>IF(ISBLANK('Data Entry'!$®$841), "", 'Data Entry'!$®$841)</f>
      </c>
      <c r="DG841">
        <f>IF(ISBLANK('Data Entry'!$¯$841), "", 'Data Entry'!$¯$841)</f>
      </c>
      <c r="DH841">
        <f>IF(ISBLANK('Data Entry'!$°$841), "", 'Data Entry'!$°$841)</f>
      </c>
      <c r="DI841">
        <f>IF(ISBLANK('Data Entry'!$±$841), "", 'Data Entry'!$±$841)</f>
      </c>
      <c r="DJ841">
        <f>IF(ISBLANK('Data Entry'!$²$841), "", 'Data Entry'!$²$841)</f>
      </c>
      <c r="DK841">
        <f>IF(ISBLANK('Data Entry'!$³$841), "", 'Data Entry'!$³$841)</f>
      </c>
      <c r="DL841">
        <f>IF(ISBLANK('Data Entry'!$´$841), "", 'Data Entry'!$´$841)</f>
      </c>
      <c r="DM841">
        <f>IF(ISBLANK('Data Entry'!$µ$841), "", 'Data Entry'!$µ$841)</f>
      </c>
      <c r="DN841">
        <f>IF(ISBLANK('Data Entry'!$¶$841), "", 'Data Entry'!$¶$841)</f>
      </c>
      <c r="DO841">
        <f>IF(ISBLANK('Data Entry'!$·$841), "", 'Data Entry'!$·$841)</f>
      </c>
      <c r="DP841">
        <f>IF(ISBLANK('Data Entry'!$¸$841), "", 'Data Entry'!$¸$841)</f>
      </c>
      <c r="DQ841">
        <f>IF(ISBLANK('Data Entry'!$¹$841), "", 'Data Entry'!$¹$841)</f>
      </c>
      <c r="DR841">
        <f>IF(ISBLANK('Data Entry'!$º$841), "", 'Data Entry'!$º$841)</f>
      </c>
      <c r="DS841">
        <f>IF(ISBLANK('Data Entry'!$»$841), "", 'Data Entry'!$»$841)</f>
      </c>
      <c r="DT841">
        <f>IF(ISBLANK('Data Entry'!$¼$841), "", 'Data Entry'!$¼$841)</f>
      </c>
      <c r="DU841">
        <f>IF(ISBLANK('Data Entry'!$½$841), "", 'Data Entry'!$½$841)</f>
      </c>
      <c r="DV841">
        <f>IF(ISBLANK('Data Entry'!$¾$841), "", 'Data Entry'!$¾$841)</f>
      </c>
      <c r="DW841">
        <f>IF(ISBLANK('Data Entry'!$¿$841), "", 'Data Entry'!$¿$841)</f>
      </c>
      <c r="DX841">
        <f>IF(ISBLANK('Data Entry'!$À$841), "", 'Data Entry'!$À$841)</f>
      </c>
      <c r="DY841">
        <f>IF(ISBLANK('Data Entry'!$Á$841), "", 'Data Entry'!$Á$841)</f>
      </c>
      <c r="DZ841">
        <f>IF(ISBLANK('Data Entry'!$Â$841), "", 'Data Entry'!$Â$841)</f>
      </c>
      <c r="EA841">
        <f>IF(ISBLANK('Data Entry'!$Ã$841), "", 'Data Entry'!$Ã$841)</f>
      </c>
      <c r="EB841">
        <f>IF(ISBLANK('Data Entry'!$Ä$841), "", 'Data Entry'!$Ä$841)</f>
      </c>
      <c r="EC841">
        <f>IF(ISBLANK('Data Entry'!$Å$841), "", 'Data Entry'!$Å$841)</f>
      </c>
      <c r="ED841">
        <f>IF(ISBLANK('Data Entry'!$Æ$841), "", 'Data Entry'!$Æ$841)</f>
      </c>
      <c r="EE841">
        <f>IF(ISBLANK('Data Entry'!$Ç$841), "", 'Data Entry'!$Ç$841)</f>
      </c>
      <c r="EF841">
        <f>IF(ISBLANK('Data Entry'!$È$841), "", 'Data Entry'!$È$841)</f>
      </c>
      <c r="EG841">
        <f>IF(ISBLANK('Data Entry'!$É$841), "", 'Data Entry'!$É$841)</f>
      </c>
      <c r="EH841">
        <f>IF(ISBLANK('Data Entry'!$Ê$841), "", 'Data Entry'!$Ê$841)</f>
      </c>
      <c r="EI841">
        <f>IF(ISBLANK('Data Entry'!$Ë$841), "", 'Data Entry'!$Ë$841)</f>
      </c>
      <c r="EJ841">
        <f>IF(ISBLANK('Data Entry'!$Ì$841), "", 'Data Entry'!$Ì$841)</f>
      </c>
      <c r="EK841">
        <f>IF(ISBLANK('Data Entry'!$Í$841), "", 'Data Entry'!$Í$841)</f>
      </c>
      <c r="EL841">
        <f>IF(ISBLANK('Data Entry'!$Î$841), "", 'Data Entry'!$Î$841)</f>
      </c>
      <c r="EM841">
        <f>IF(ISBLANK('Data Entry'!$Ï$841), "", 'Data Entry'!$Ï$841)</f>
      </c>
      <c r="EN841">
        <f>IF(ISBLANK('Data Entry'!$Ð$841), "", 'Data Entry'!$Ð$841)</f>
      </c>
      <c r="EO841">
        <f>IF(ISBLANK('Data Entry'!$Ñ$841), "", 'Data Entry'!$Ñ$841)</f>
      </c>
      <c r="EP841">
        <f>IF(ISBLANK('Data Entry'!$Ò$841), "", 'Data Entry'!$Ò$841)</f>
      </c>
      <c r="EQ841">
        <f>IF(ISBLANK('Data Entry'!$Ó$841), "", 'Data Entry'!$Ó$841)</f>
      </c>
      <c r="ER841">
        <f>IF(ISBLANK('Data Entry'!$Ô$841), "", 'Data Entry'!$Ô$841)</f>
      </c>
      <c r="ES841">
        <f>IF(ISBLANK('Data Entry'!$Õ$841), "", 'Data Entry'!$Õ$841)</f>
      </c>
      <c r="ET841">
        <f>IF(ISBLANK('Data Entry'!$Ö$841), "", 'Data Entry'!$Ö$841)</f>
      </c>
      <c r="EU841">
        <f>IF(ISBLANK('Data Entry'!$×$841), "", 'Data Entry'!$×$841)</f>
      </c>
      <c r="EV841">
        <f>IF(ISBLANK('Data Entry'!$Ø$841), "", 'Data Entry'!$Ø$841)</f>
      </c>
      <c r="EW841">
        <f>IF(ISBLANK('Data Entry'!$Ù$841), "", 'Data Entry'!$Ù$841)</f>
      </c>
      <c r="EX841">
        <f>IF(ISBLANK('Data Entry'!$Ú$841), "", 'Data Entry'!$Ú$841)</f>
      </c>
      <c r="EY841">
        <f>IF(ISBLANK('Data Entry'!$Û$841), "", 'Data Entry'!$Û$841)</f>
      </c>
      <c r="EZ841">
        <f>IF(ISBLANK('Data Entry'!$Ü$841), "", 'Data Entry'!$Ü$841)</f>
      </c>
      <c r="FA841">
        <f>IF(ISBLANK('Data Entry'!$Ý$841), "", 'Data Entry'!$Ý$841)</f>
      </c>
      <c r="FB841">
        <f>IF(ISBLANK('Data Entry'!$Þ$841), "", 'Data Entry'!$Þ$841)</f>
      </c>
      <c r="FC841">
        <f>IF(ISBLANK('Data Entry'!$ß$841), "", 'Data Entry'!$ß$841)</f>
      </c>
      <c r="FD841">
        <f>IF(ISBLANK('Data Entry'!$à$841), "", 'Data Entry'!$à$841)</f>
      </c>
      <c r="FE841">
        <f>IF(ISBLANK('Data Entry'!$á$841), "", 'Data Entry'!$á$841)</f>
      </c>
      <c r="FF841">
        <f>IF(ISBLANK('Data Entry'!$â$841), "", 'Data Entry'!$â$841)</f>
      </c>
      <c r="FG841">
        <f>IF(ISBLANK('Data Entry'!$ã$841), "", 'Data Entry'!$ã$841)</f>
      </c>
      <c r="FH841">
        <f>IF(ISBLANK('Data Entry'!$ä$841), "", 'Data Entry'!$ä$841)</f>
      </c>
      <c r="FI841">
        <f>IF(ISBLANK('Data Entry'!$å$841), "", 'Data Entry'!$å$841)</f>
      </c>
      <c r="FJ841">
        <f>IF(ISBLANK('Data Entry'!$æ$841), "", 'Data Entry'!$æ$841)</f>
      </c>
      <c r="FK841">
        <f>IF(ISBLANK('Data Entry'!$ç$841), "", 'Data Entry'!$ç$841)</f>
      </c>
      <c r="FL841">
        <f>IF(ISBLANK('Data Entry'!$è$841), "", 'Data Entry'!$è$841)</f>
      </c>
      <c r="FM841">
        <f>IF(ISBLANK('Data Entry'!$é$841), "", 'Data Entry'!$é$841)</f>
      </c>
      <c r="FN841">
        <f>IF(ISBLANK('Data Entry'!$ê$841), "", 'Data Entry'!$ê$841)</f>
      </c>
      <c r="FO841">
        <f>IF(ISBLANK('Data Entry'!$ë$841), "", 'Data Entry'!$ë$841)</f>
      </c>
      <c r="FP841">
        <f>IF(ISBLANK('Data Entry'!$ì$841), "", 'Data Entry'!$ì$841)</f>
      </c>
      <c r="FQ841">
        <f>IF(ISBLANK('Data Entry'!$í$841), "", 'Data Entry'!$í$841)</f>
      </c>
      <c r="FR841">
        <f>IF(ISBLANK('Data Entry'!$î$841), "", 'Data Entry'!$î$841)</f>
      </c>
      <c r="FS841">
        <f>IF(ISBLANK('Data Entry'!$ï$841), "", 'Data Entry'!$ï$841)</f>
      </c>
      <c r="FT841">
        <f>IF(ISBLANK('Data Entry'!$ð$841), "", 'Data Entry'!$ð$841)</f>
      </c>
      <c r="FU841">
        <f>IF(ISBLANK('Data Entry'!$ñ$841), "", 'Data Entry'!$ñ$841)</f>
      </c>
      <c r="FV841">
        <f>IF(ISBLANK('Data Entry'!$ò$841), "", 'Data Entry'!$ò$841)</f>
      </c>
      <c r="FW841">
        <f>IF(ISBLANK('Data Entry'!$ó$841), "", 'Data Entry'!$ó$841)</f>
      </c>
      <c r="FX841">
        <f>IF(ISBLANK('Data Entry'!$ô$841), "", 'Data Entry'!$ô$841)</f>
      </c>
      <c r="FY841">
        <f>IF(ISBLANK('Data Entry'!$õ$841), "", 'Data Entry'!$õ$841)</f>
      </c>
      <c r="FZ841">
        <f>IF(ISBLANK('Data Entry'!$ö$841), "", 'Data Entry'!$ö$841)</f>
      </c>
      <c r="GA841">
        <f>IF(ISBLANK('Data Entry'!$÷$841), "", 'Data Entry'!$÷$841)</f>
      </c>
      <c r="GB841">
        <f>IF(ISBLANK('Data Entry'!$ø$841), "", 'Data Entry'!$ø$841)</f>
      </c>
      <c r="GC841">
        <f>IF(ISBLANK('Data Entry'!$ù$841), "", 'Data Entry'!$ù$841)</f>
      </c>
      <c r="GD841">
        <f>IF(ISBLANK('Data Entry'!$ú$841), "", 'Data Entry'!$ú$841)</f>
      </c>
      <c r="GE841">
        <f>IF(ISBLANK('Data Entry'!$û$841), "", 'Data Entry'!$û$841)</f>
      </c>
      <c r="GF841">
        <f>IF(ISBLANK('Data Entry'!$ü$841), "", 'Data Entry'!$ü$841)</f>
      </c>
      <c r="GG841">
        <f>IF(ISBLANK('Data Entry'!$ý$841), "", 'Data Entry'!$ý$841)</f>
      </c>
      <c r="GH841">
        <f>IF(ISBLANK('Data Entry'!$þ$841), "", 'Data Entry'!$þ$841)</f>
      </c>
      <c r="GI841">
        <f>IF(ISBLANK('Data Entry'!$ÿ$841), "", 'Data Entry'!$ÿ$841)</f>
      </c>
      <c r="GJ841">
        <f>IF(ISBLANK('Data Entry'!$Ā$841), "", 'Data Entry'!$Ā$841)</f>
      </c>
      <c r="GK841">
        <f>IF(ISBLANK('Data Entry'!$ā$841), "", 'Data Entry'!$ā$841)</f>
      </c>
      <c r="GL841">
        <f>IF(ISBLANK('Data Entry'!$Ă$841), "", 'Data Entry'!$Ă$841)</f>
      </c>
      <c r="GM841">
        <f>IF(ISBLANK('Data Entry'!$ă$841), "", 'Data Entry'!$ă$841)</f>
      </c>
      <c r="GN841">
        <f>IF(ISBLANK('Data Entry'!$Ą$841), "", 'Data Entry'!$Ą$841)</f>
      </c>
      <c r="GO841">
        <f>IF(ISBLANK('Data Entry'!$ą$841), "", 'Data Entry'!$ą$841)</f>
      </c>
      <c r="GP841">
        <f>IF(ISBLANK('Data Entry'!$Ć$841), "", 'Data Entry'!$Ć$841)</f>
      </c>
      <c r="GQ841">
        <f>IF(ISBLANK('Data Entry'!$ć$841), "", 'Data Entry'!$ć$841)</f>
      </c>
      <c r="GR841">
        <f>IF(ISBLANK('Data Entry'!$Ĉ$841), "", 'Data Entry'!$Ĉ$841)</f>
      </c>
      <c r="GS841">
        <f>IF(ISBLANK('Data Entry'!$ĉ$841), "", 'Data Entry'!$ĉ$841)</f>
      </c>
      <c r="GT841">
        <f>IF(ISBLANK('Data Entry'!$Ċ$841), "", 'Data Entry'!$Ċ$841)</f>
      </c>
      <c r="GU841">
        <f>IF(ISBLANK('Data Entry'!$ċ$841), "", 'Data Entry'!$ċ$841)</f>
      </c>
      <c r="GV841">
        <f>IF(ISBLANK('Data Entry'!$Č$841), "", 'Data Entry'!$Č$841)</f>
      </c>
      <c r="GW841">
        <f>IF(ISBLANK('Data Entry'!$č$841), "", 'Data Entry'!$č$841)</f>
      </c>
      <c r="GX841">
        <f>IF(ISBLANK('Data Entry'!$Ď$841), "", 'Data Entry'!$Ď$841)</f>
      </c>
      <c r="GY841">
        <f>IF(ISBLANK('Data Entry'!$ď$841), "", 'Data Entry'!$ď$841)</f>
      </c>
      <c r="GZ841">
        <f>IF(ISBLANK('Data Entry'!$Đ$841), "", 'Data Entry'!$Đ$841)</f>
      </c>
      <c r="HA841">
        <f>IF(ISBLANK('Data Entry'!$đ$841), "", 'Data Entry'!$đ$841)</f>
      </c>
      <c r="HB841">
        <f>IF(ISBLANK('Data Entry'!$Ē$841), "", 'Data Entry'!$Ē$841)</f>
      </c>
      <c r="HC841">
        <f>IF(ISBLANK('Data Entry'!$ē$841), "", 'Data Entry'!$ē$841)</f>
      </c>
      <c r="HD841">
        <f>IF(ISBLANK('Data Entry'!$Ĕ$841), "", 'Data Entry'!$Ĕ$841)</f>
      </c>
      <c r="HE841">
        <f>IF(ISBLANK('Data Entry'!$ĕ$841), "", 'Data Entry'!$ĕ$841)</f>
      </c>
      <c r="HF841">
        <f>IF(ISBLANK('Data Entry'!$Ė$841), "", 'Data Entry'!$Ė$841)</f>
      </c>
      <c r="HG841">
        <f>IF(ISBLANK('Data Entry'!$ė$841), "", 'Data Entry'!$ė$841)</f>
      </c>
      <c r="HH841">
        <f>IF(ISBLANK('Data Entry'!$Ę$841), "", 'Data Entry'!$Ę$841)</f>
      </c>
      <c r="HI841">
        <f>IF(ISBLANK('Data Entry'!$ę$841), "", 'Data Entry'!$ę$841)</f>
      </c>
      <c r="HJ841">
        <f>IF(ISBLANK('Data Entry'!$Ě$841), "", 'Data Entry'!$Ě$841)</f>
      </c>
      <c r="HK841">
        <f>IF(ISBLANK('Data Entry'!$ě$841), "", 'Data Entry'!$ě$841)</f>
      </c>
      <c r="HL841">
        <f>IF(ISBLANK('Data Entry'!$Ĝ$841), "", 'Data Entry'!$Ĝ$841)</f>
      </c>
      <c r="HM841">
        <f>IF(ISBLANK('Data Entry'!$ĝ$841), "", 'Data Entry'!$ĝ$841)</f>
      </c>
      <c r="HN841">
        <f>IF(ISBLANK('Data Entry'!$Ğ$841), "", 'Data Entry'!$Ğ$841)</f>
      </c>
      <c r="HO841">
        <f>IF(ISBLANK('Data Entry'!$ğ$841), "", 'Data Entry'!$ğ$841)</f>
      </c>
      <c r="HP841">
        <f>IF(ISBLANK('Data Entry'!$Ġ$841), "", 'Data Entry'!$Ġ$841)</f>
      </c>
      <c r="HQ841">
        <f>IF(ISBLANK('Data Entry'!$ġ$841), "", 'Data Entry'!$ġ$841)</f>
      </c>
      <c r="HR841">
        <f>IF(ISBLANK('Data Entry'!$Ģ$841), "", 'Data Entry'!$Ģ$841)</f>
      </c>
      <c r="HS841">
        <f>IF(ISBLANK('Data Entry'!$ģ$841), "", 'Data Entry'!$ģ$841)</f>
      </c>
      <c r="HT841">
        <f>IF(ISBLANK('Data Entry'!$Ĥ$841), "", 'Data Entry'!$Ĥ$841)</f>
      </c>
      <c r="HU841">
        <f>IF(ISBLANK('Data Entry'!$ĥ$841), "", 'Data Entry'!$ĥ$841)</f>
      </c>
      <c r="HV841">
        <f>IF(ISBLANK('Data Entry'!$Ħ$841), "", 'Data Entry'!$Ħ$841)</f>
      </c>
      <c r="HW841">
        <f>IF(ISBLANK('Data Entry'!$ħ$841), "", 'Data Entry'!$ħ$841)</f>
      </c>
      <c r="HX841">
        <f>IF(ISBLANK('Data Entry'!$Ĩ$841), "", 'Data Entry'!$Ĩ$841)</f>
      </c>
      <c r="HY841">
        <f>IF(ISBLANK('Data Entry'!$ĩ$841), "", 'Data Entry'!$ĩ$841)</f>
      </c>
      <c r="HZ841">
        <f>IF(ISBLANK('Data Entry'!$Ī$841), "", 'Data Entry'!$Ī$841)</f>
      </c>
      <c r="IA841">
        <f>IF(ISBLANK('Data Entry'!$ī$841), "", 'Data Entry'!$ī$841)</f>
      </c>
      <c r="IB841">
        <f>IF(ISBLANK('Data Entry'!$Ĭ$841), "", 'Data Entry'!$Ĭ$841)</f>
      </c>
      <c r="IC841">
        <f>IF(ISBLANK('Data Entry'!$ĭ$841), "", 'Data Entry'!$ĭ$841)</f>
      </c>
      <c r="ID841">
        <f>IF(ISBLANK('Data Entry'!$Į$841), "", 'Data Entry'!$Į$841)</f>
      </c>
      <c r="IE841">
        <f>IF(ISBLANK('Data Entry'!$į$841), "", 'Data Entry'!$į$841)</f>
      </c>
      <c r="IF841">
        <f>IF(ISBLANK('Data Entry'!$İ$841), "", 'Data Entry'!$İ$841)</f>
      </c>
      <c r="IG841">
        <f>IF(ISBLANK('Data Entry'!$ı$841), "", 'Data Entry'!$ı$841)</f>
      </c>
      <c r="IH841">
        <f>IF(ISBLANK('Data Entry'!$Ĳ$841), "", 'Data Entry'!$Ĳ$841)</f>
      </c>
      <c r="II841">
        <f>IF(ISBLANK('Data Entry'!$ĳ$841), "", 'Data Entry'!$ĳ$841)</f>
      </c>
      <c r="IJ841">
        <f>IF(ISBLANK('Data Entry'!$Ĵ$841), "", 'Data Entry'!$Ĵ$841)</f>
      </c>
      <c r="IK841">
        <f>IF(ISBLANK('Data Entry'!$ĵ$841), "", 'Data Entry'!$ĵ$841)</f>
      </c>
      <c r="IL841">
        <f>IF(ISBLANK('Data Entry'!$Ķ$841), "", 'Data Entry'!$Ķ$841)</f>
      </c>
      <c r="IM841">
        <f>IF(ISBLANK('Data Entry'!$ķ$841), "", 'Data Entry'!$ķ$841)</f>
      </c>
      <c r="IN841">
        <f>IF(ISBLANK('Data Entry'!$ĸ$841), "", 'Data Entry'!$ĸ$841)</f>
      </c>
      <c r="IO841">
        <f>IF(ISBLANK('Data Entry'!$Ĺ$841), "", 'Data Entry'!$Ĺ$841)</f>
      </c>
      <c r="IP841">
        <f>IF(ISBLANK('Data Entry'!$ĺ$841), "", 'Data Entry'!$ĺ$841)</f>
      </c>
      <c r="IQ841">
        <f>IF(ISBLANK('Data Entry'!$Ļ$841), "", 'Data Entry'!$Ļ$841)</f>
      </c>
      <c r="IR841">
        <f>IF(ISBLANK('Data Entry'!$ļ$841), "", 'Data Entry'!$ļ$841)</f>
      </c>
      <c r="IS841">
        <f>IF(ISBLANK('Data Entry'!$Ľ$841), "", 'Data Entry'!$Ľ$841)</f>
      </c>
      <c r="IT841">
        <f>IF(ISBLANK('Data Entry'!$ľ$841), "", 'Data Entry'!$ľ$841)</f>
      </c>
    </row>
    <row r="842" spans="1:254" x14ac:dyDescent="0.25">
      <c r="A842">
        <f>IF(ISBLANK('Data Entry'!$A$842), "", 'Data Entry'!$A$842)</f>
      </c>
      <c r="B842">
        <f>IF(ISBLANK('Data Entry'!$B$842), "", 'Data Entry'!$B$842)</f>
      </c>
      <c r="C842">
        <f>IF(ISBLANK('Data Entry'!$C$842), "", 'Data Entry'!$C$842)</f>
      </c>
      <c r="D842">
        <f>IF(ISBLANK('Data Entry'!$D$842), "", 'Data Entry'!$D$842)</f>
      </c>
      <c r="E842">
        <f>IF(ISBLANK('Data Entry'!$E$842), "", 'Data Entry'!$E$842)</f>
      </c>
      <c r="F842">
        <f>IF(ISBLANK('Data Entry'!$F$842), "", 'Data Entry'!$F$842)</f>
      </c>
      <c r="G842">
        <f>IF(ISBLANK('Data Entry'!$G$842), "", 'Data Entry'!$G$842)</f>
      </c>
      <c r="H842">
        <f>IF(ISBLANK('Data Entry'!$H$842), "", 'Data Entry'!$H$842)</f>
      </c>
      <c r="I842">
        <f>IF(ISBLANK('Data Entry'!$I$842), "", 'Data Entry'!$I$842)</f>
      </c>
      <c r="J842">
        <f>IF(ISBLANK('Data Entry'!$J$842), "", 'Data Entry'!$J$842)</f>
      </c>
      <c r="K842">
        <f>IF(ISBLANK('Data Entry'!$K$842), "", 'Data Entry'!$K$842)</f>
      </c>
      <c r="L842">
        <f>IF(ISBLANK('Data Entry'!$L$842), "", 'Data Entry'!$L$842)</f>
      </c>
      <c r="M842">
        <f>IF(ISBLANK('Data Entry'!$M$842), "", 'Data Entry'!$M$842)</f>
      </c>
      <c r="N842">
        <f>IF(ISBLANK('Data Entry'!$N$842), "", 'Data Entry'!$N$842)</f>
      </c>
      <c r="O842">
        <f>IF(ISBLANK('Data Entry'!$O$842), "", 'Data Entry'!$O$842)</f>
      </c>
      <c r="P842">
        <f>IF(ISBLANK('Data Entry'!$P$842), "", 'Data Entry'!$P$842)</f>
      </c>
      <c r="Q842">
        <f>IF(ISBLANK('Data Entry'!$Q$842), "", 'Data Entry'!$Q$842)</f>
      </c>
      <c r="R842">
        <f>IF(ISBLANK('Data Entry'!$R$842), "", 'Data Entry'!$R$842)</f>
      </c>
      <c r="S842">
        <f>IF(ISBLANK('Data Entry'!$S$842), "", 'Data Entry'!$S$842)</f>
      </c>
      <c r="T842">
        <f>IF(ISBLANK('Data Entry'!$T$842), "", 'Data Entry'!$T$842)</f>
      </c>
      <c r="U842">
        <f>IF(ISBLANK('Data Entry'!$U$842), "", 'Data Entry'!$U$842)</f>
      </c>
      <c r="V842">
        <f>IF(ISBLANK('Data Entry'!$V$842), "", 'Data Entry'!$V$842)</f>
      </c>
      <c r="W842">
        <f>IF(ISBLANK('Data Entry'!$W$842), "", 'Data Entry'!$W$842)</f>
      </c>
      <c r="X842">
        <f>IF(ISBLANK('Data Entry'!$X$842), "", 'Data Entry'!$X$842)</f>
      </c>
      <c r="Y842">
        <f>IF(ISBLANK('Data Entry'!$Y$842), "", 'Data Entry'!$Y$842)</f>
      </c>
      <c r="Z842">
        <f>IF(ISBLANK('Data Entry'!$Z$842), "", 'Data Entry'!$Z$842)</f>
      </c>
      <c r="AA842">
        <f>IF(ISBLANK('Data Entry'!$[$842), "", 'Data Entry'!$[$842)</f>
      </c>
      <c r="AB842">
        <f>IF(ISBLANK('Data Entry'!$\$842), "", 'Data Entry'!$\$842)</f>
      </c>
      <c r="AC842">
        <f>IF(ISBLANK('Data Entry'!$]$842), "", 'Data Entry'!$]$842)</f>
      </c>
      <c r="AD842">
        <f>IF(ISBLANK('Data Entry'!$^$842), "", 'Data Entry'!$^$842)</f>
      </c>
      <c r="AE842">
        <f>IF(ISBLANK('Data Entry'!$_$842), "", 'Data Entry'!$_$842)</f>
      </c>
      <c r="AF842">
        <f>IF(ISBLANK('Data Entry'!$`$842), "", 'Data Entry'!$`$842)</f>
      </c>
      <c r="AG842">
        <f>IF(ISBLANK('Data Entry'!$a$842), "", 'Data Entry'!$a$842)</f>
      </c>
      <c r="AH842">
        <f>IF(ISBLANK('Data Entry'!$b$842), "", 'Data Entry'!$b$842)</f>
      </c>
      <c r="AI842">
        <f>IF(ISBLANK('Data Entry'!$c$842), "", 'Data Entry'!$c$842)</f>
      </c>
      <c r="AJ842">
        <f>IF(ISBLANK('Data Entry'!$d$842), "", 'Data Entry'!$d$842)</f>
      </c>
      <c r="AK842">
        <f>IF(ISBLANK('Data Entry'!$e$842), "", 'Data Entry'!$e$842)</f>
      </c>
      <c r="AL842">
        <f>IF(ISBLANK('Data Entry'!$f$842), "", 'Data Entry'!$f$842)</f>
      </c>
      <c r="AM842">
        <f>IF(ISBLANK('Data Entry'!$g$842), "", 'Data Entry'!$g$842)</f>
      </c>
      <c r="AN842">
        <f>IF(ISBLANK('Data Entry'!$h$842), "", 'Data Entry'!$h$842)</f>
      </c>
      <c r="AO842">
        <f>IF(ISBLANK('Data Entry'!$i$842), "", 'Data Entry'!$i$842)</f>
      </c>
      <c r="AP842">
        <f>IF(ISBLANK('Data Entry'!$j$842), "", 'Data Entry'!$j$842)</f>
      </c>
      <c r="AQ842">
        <f>IF(ISBLANK('Data Entry'!$k$842), "", 'Data Entry'!$k$842)</f>
      </c>
      <c r="AR842">
        <f>IF(ISBLANK('Data Entry'!$l$842), "", 'Data Entry'!$l$842)</f>
      </c>
      <c r="AS842">
        <f>IF(ISBLANK('Data Entry'!$m$842), "", 'Data Entry'!$m$842)</f>
      </c>
      <c r="AT842">
        <f>IF(ISBLANK('Data Entry'!$n$842), "", 'Data Entry'!$n$842)</f>
      </c>
      <c r="AU842">
        <f>IF(ISBLANK('Data Entry'!$o$842), "", 'Data Entry'!$o$842)</f>
      </c>
      <c r="AV842">
        <f>IF(ISBLANK('Data Entry'!$p$842), "", 'Data Entry'!$p$842)</f>
      </c>
      <c r="AW842">
        <f>IF(ISBLANK('Data Entry'!$q$842), "", 'Data Entry'!$q$842)</f>
      </c>
      <c r="AX842">
        <f>IF(ISBLANK('Data Entry'!$r$842), "", 'Data Entry'!$r$842)</f>
      </c>
      <c r="AY842">
        <f>IF(ISBLANK('Data Entry'!$s$842), "", 'Data Entry'!$s$842)</f>
      </c>
      <c r="AZ842">
        <f>IF(ISBLANK('Data Entry'!$t$842), "", 'Data Entry'!$t$842)</f>
      </c>
      <c r="BA842">
        <f>IF(ISBLANK('Data Entry'!$u$842), "", 'Data Entry'!$u$842)</f>
      </c>
      <c r="BB842">
        <f>IF(ISBLANK('Data Entry'!$v$842), "", 'Data Entry'!$v$842)</f>
      </c>
      <c r="BC842">
        <f>IF(ISBLANK('Data Entry'!$w$842), "", 'Data Entry'!$w$842)</f>
      </c>
      <c r="BD842">
        <f>IF(ISBLANK('Data Entry'!$x$842), "", 'Data Entry'!$x$842)</f>
      </c>
      <c r="BE842">
        <f>IF(ISBLANK('Data Entry'!$y$842), "", 'Data Entry'!$y$842)</f>
      </c>
      <c r="BF842">
        <f>IF(ISBLANK('Data Entry'!$z$842), "", 'Data Entry'!$z$842)</f>
      </c>
      <c r="BG842">
        <f>IF(ISBLANK('Data Entry'!${$842), "", 'Data Entry'!${$842)</f>
      </c>
      <c r="BH842">
        <f>IF(ISBLANK('Data Entry'!$|$842), "", 'Data Entry'!$|$842)</f>
      </c>
      <c r="BI842">
        <f>IF(ISBLANK('Data Entry'!$}$842), "", 'Data Entry'!$}$842)</f>
      </c>
      <c r="BJ842">
        <f>IF(ISBLANK('Data Entry'!$~$842), "", 'Data Entry'!$~$842)</f>
      </c>
      <c r="BK842">
        <f>IF(ISBLANK('Data Entry'!$$842), "", 'Data Entry'!$$842)</f>
      </c>
      <c r="BL842">
        <f>IF(ISBLANK('Data Entry'!$$842), "", 'Data Entry'!$$842)</f>
      </c>
      <c r="BM842">
        <f>IF(ISBLANK('Data Entry'!$$842), "", 'Data Entry'!$$842)</f>
      </c>
      <c r="BN842">
        <f>IF(ISBLANK('Data Entry'!$$842), "", 'Data Entry'!$$842)</f>
      </c>
      <c r="BO842">
        <f>IF(ISBLANK('Data Entry'!$$842), "", 'Data Entry'!$$842)</f>
      </c>
      <c r="BP842">
        <f>IF(ISBLANK('Data Entry'!$$842), "", 'Data Entry'!$$842)</f>
      </c>
      <c r="BQ842">
        <f>IF(ISBLANK('Data Entry'!$$842), "", 'Data Entry'!$$842)</f>
      </c>
      <c r="BR842">
        <f>IF(ISBLANK('Data Entry'!$$842), "", 'Data Entry'!$$842)</f>
      </c>
      <c r="BS842">
        <f>IF(ISBLANK('Data Entry'!$$842), "", 'Data Entry'!$$842)</f>
      </c>
      <c r="BT842">
        <f>IF(ISBLANK('Data Entry'!$$842), "", 'Data Entry'!$$842)</f>
      </c>
      <c r="BU842">
        <f>IF(ISBLANK('Data Entry'!$$842), "", 'Data Entry'!$$842)</f>
      </c>
      <c r="BV842">
        <f>IF(ISBLANK('Data Entry'!$$842), "", 'Data Entry'!$$842)</f>
      </c>
      <c r="BW842">
        <f>IF(ISBLANK('Data Entry'!$$842), "", 'Data Entry'!$$842)</f>
      </c>
      <c r="BX842">
        <f>IF(ISBLANK('Data Entry'!$$842), "", 'Data Entry'!$$842)</f>
      </c>
      <c r="BY842">
        <f>IF(ISBLANK('Data Entry'!$$842), "", 'Data Entry'!$$842)</f>
      </c>
      <c r="BZ842">
        <f>IF(ISBLANK('Data Entry'!$$842), "", 'Data Entry'!$$842)</f>
      </c>
      <c r="CA842">
        <f>IF(ISBLANK('Data Entry'!$$842), "", 'Data Entry'!$$842)</f>
      </c>
      <c r="CB842">
        <f>IF(ISBLANK('Data Entry'!$$842), "", 'Data Entry'!$$842)</f>
      </c>
      <c r="CC842">
        <f>IF(ISBLANK('Data Entry'!$$842), "", 'Data Entry'!$$842)</f>
      </c>
      <c r="CD842">
        <f>IF(ISBLANK('Data Entry'!$$842), "", 'Data Entry'!$$842)</f>
      </c>
      <c r="CE842">
        <f>IF(ISBLANK('Data Entry'!$$842), "", 'Data Entry'!$$842)</f>
      </c>
      <c r="CF842">
        <f>IF(ISBLANK('Data Entry'!$$842), "", 'Data Entry'!$$842)</f>
      </c>
      <c r="CG842">
        <f>IF(ISBLANK('Data Entry'!$$842), "", 'Data Entry'!$$842)</f>
      </c>
      <c r="CH842">
        <f>IF(ISBLANK('Data Entry'!$$842), "", 'Data Entry'!$$842)</f>
      </c>
      <c r="CI842">
        <f>IF(ISBLANK('Data Entry'!$$842), "", 'Data Entry'!$$842)</f>
      </c>
      <c r="CJ842">
        <f>IF(ISBLANK('Data Entry'!$$842), "", 'Data Entry'!$$842)</f>
      </c>
      <c r="CK842">
        <f>IF(ISBLANK('Data Entry'!$$842), "", 'Data Entry'!$$842)</f>
      </c>
      <c r="CL842">
        <f>IF(ISBLANK('Data Entry'!$$842), "", 'Data Entry'!$$842)</f>
      </c>
      <c r="CM842">
        <f>IF(ISBLANK('Data Entry'!$$842), "", 'Data Entry'!$$842)</f>
      </c>
      <c r="CN842">
        <f>IF(ISBLANK('Data Entry'!$$842), "", 'Data Entry'!$$842)</f>
      </c>
      <c r="CO842">
        <f>IF(ISBLANK('Data Entry'!$$842), "", 'Data Entry'!$$842)</f>
      </c>
      <c r="CP842">
        <f>IF(ISBLANK('Data Entry'!$$842), "", 'Data Entry'!$$842)</f>
      </c>
      <c r="CQ842">
        <f>IF(ISBLANK('Data Entry'!$$842), "", 'Data Entry'!$$842)</f>
      </c>
      <c r="CR842">
        <f>IF(ISBLANK('Data Entry'!$ $842), "", 'Data Entry'!$ $842)</f>
      </c>
      <c r="CS842">
        <f>IF(ISBLANK('Data Entry'!$¡$842), "", 'Data Entry'!$¡$842)</f>
      </c>
      <c r="CT842">
        <f>IF(ISBLANK('Data Entry'!$¢$842), "", 'Data Entry'!$¢$842)</f>
      </c>
      <c r="CU842">
        <f>IF(ISBLANK('Data Entry'!$£$842), "", 'Data Entry'!$£$842)</f>
      </c>
      <c r="CV842">
        <f>IF(ISBLANK('Data Entry'!$¤$842), "", 'Data Entry'!$¤$842)</f>
      </c>
      <c r="CW842">
        <f>IF(ISBLANK('Data Entry'!$¥$842), "", 'Data Entry'!$¥$842)</f>
      </c>
      <c r="CX842">
        <f>IF(ISBLANK('Data Entry'!$¦$842), "", 'Data Entry'!$¦$842)</f>
      </c>
      <c r="CY842">
        <f>IF(ISBLANK('Data Entry'!$§$842), "", 'Data Entry'!$§$842)</f>
      </c>
      <c r="CZ842">
        <f>IF(ISBLANK('Data Entry'!$¨$842), "", 'Data Entry'!$¨$842)</f>
      </c>
      <c r="DA842">
        <f>IF(ISBLANK('Data Entry'!$©$842), "", 'Data Entry'!$©$842)</f>
      </c>
      <c r="DB842">
        <f>IF(ISBLANK('Data Entry'!$ª$842), "", 'Data Entry'!$ª$842)</f>
      </c>
      <c r="DC842">
        <f>IF(ISBLANK('Data Entry'!$«$842), "", 'Data Entry'!$«$842)</f>
      </c>
      <c r="DD842">
        <f>IF(ISBLANK('Data Entry'!$¬$842), "", 'Data Entry'!$¬$842)</f>
      </c>
      <c r="DE842">
        <f>IF(ISBLANK('Data Entry'!$­$842), "", 'Data Entry'!$­$842)</f>
      </c>
      <c r="DF842">
        <f>IF(ISBLANK('Data Entry'!$®$842), "", 'Data Entry'!$®$842)</f>
      </c>
      <c r="DG842">
        <f>IF(ISBLANK('Data Entry'!$¯$842), "", 'Data Entry'!$¯$842)</f>
      </c>
      <c r="DH842">
        <f>IF(ISBLANK('Data Entry'!$°$842), "", 'Data Entry'!$°$842)</f>
      </c>
      <c r="DI842">
        <f>IF(ISBLANK('Data Entry'!$±$842), "", 'Data Entry'!$±$842)</f>
      </c>
      <c r="DJ842">
        <f>IF(ISBLANK('Data Entry'!$²$842), "", 'Data Entry'!$²$842)</f>
      </c>
      <c r="DK842">
        <f>IF(ISBLANK('Data Entry'!$³$842), "", 'Data Entry'!$³$842)</f>
      </c>
      <c r="DL842">
        <f>IF(ISBLANK('Data Entry'!$´$842), "", 'Data Entry'!$´$842)</f>
      </c>
      <c r="DM842">
        <f>IF(ISBLANK('Data Entry'!$µ$842), "", 'Data Entry'!$µ$842)</f>
      </c>
      <c r="DN842">
        <f>IF(ISBLANK('Data Entry'!$¶$842), "", 'Data Entry'!$¶$842)</f>
      </c>
      <c r="DO842">
        <f>IF(ISBLANK('Data Entry'!$·$842), "", 'Data Entry'!$·$842)</f>
      </c>
      <c r="DP842">
        <f>IF(ISBLANK('Data Entry'!$¸$842), "", 'Data Entry'!$¸$842)</f>
      </c>
      <c r="DQ842">
        <f>IF(ISBLANK('Data Entry'!$¹$842), "", 'Data Entry'!$¹$842)</f>
      </c>
      <c r="DR842">
        <f>IF(ISBLANK('Data Entry'!$º$842), "", 'Data Entry'!$º$842)</f>
      </c>
      <c r="DS842">
        <f>IF(ISBLANK('Data Entry'!$»$842), "", 'Data Entry'!$»$842)</f>
      </c>
      <c r="DT842">
        <f>IF(ISBLANK('Data Entry'!$¼$842), "", 'Data Entry'!$¼$842)</f>
      </c>
      <c r="DU842">
        <f>IF(ISBLANK('Data Entry'!$½$842), "", 'Data Entry'!$½$842)</f>
      </c>
      <c r="DV842">
        <f>IF(ISBLANK('Data Entry'!$¾$842), "", 'Data Entry'!$¾$842)</f>
      </c>
      <c r="DW842">
        <f>IF(ISBLANK('Data Entry'!$¿$842), "", 'Data Entry'!$¿$842)</f>
      </c>
      <c r="DX842">
        <f>IF(ISBLANK('Data Entry'!$À$842), "", 'Data Entry'!$À$842)</f>
      </c>
      <c r="DY842">
        <f>IF(ISBLANK('Data Entry'!$Á$842), "", 'Data Entry'!$Á$842)</f>
      </c>
      <c r="DZ842">
        <f>IF(ISBLANK('Data Entry'!$Â$842), "", 'Data Entry'!$Â$842)</f>
      </c>
      <c r="EA842">
        <f>IF(ISBLANK('Data Entry'!$Ã$842), "", 'Data Entry'!$Ã$842)</f>
      </c>
      <c r="EB842">
        <f>IF(ISBLANK('Data Entry'!$Ä$842), "", 'Data Entry'!$Ä$842)</f>
      </c>
      <c r="EC842">
        <f>IF(ISBLANK('Data Entry'!$Å$842), "", 'Data Entry'!$Å$842)</f>
      </c>
      <c r="ED842">
        <f>IF(ISBLANK('Data Entry'!$Æ$842), "", 'Data Entry'!$Æ$842)</f>
      </c>
      <c r="EE842">
        <f>IF(ISBLANK('Data Entry'!$Ç$842), "", 'Data Entry'!$Ç$842)</f>
      </c>
      <c r="EF842">
        <f>IF(ISBLANK('Data Entry'!$È$842), "", 'Data Entry'!$È$842)</f>
      </c>
      <c r="EG842">
        <f>IF(ISBLANK('Data Entry'!$É$842), "", 'Data Entry'!$É$842)</f>
      </c>
      <c r="EH842">
        <f>IF(ISBLANK('Data Entry'!$Ê$842), "", 'Data Entry'!$Ê$842)</f>
      </c>
      <c r="EI842">
        <f>IF(ISBLANK('Data Entry'!$Ë$842), "", 'Data Entry'!$Ë$842)</f>
      </c>
      <c r="EJ842">
        <f>IF(ISBLANK('Data Entry'!$Ì$842), "", 'Data Entry'!$Ì$842)</f>
      </c>
      <c r="EK842">
        <f>IF(ISBLANK('Data Entry'!$Í$842), "", 'Data Entry'!$Í$842)</f>
      </c>
      <c r="EL842">
        <f>IF(ISBLANK('Data Entry'!$Î$842), "", 'Data Entry'!$Î$842)</f>
      </c>
      <c r="EM842">
        <f>IF(ISBLANK('Data Entry'!$Ï$842), "", 'Data Entry'!$Ï$842)</f>
      </c>
      <c r="EN842">
        <f>IF(ISBLANK('Data Entry'!$Ð$842), "", 'Data Entry'!$Ð$842)</f>
      </c>
      <c r="EO842">
        <f>IF(ISBLANK('Data Entry'!$Ñ$842), "", 'Data Entry'!$Ñ$842)</f>
      </c>
      <c r="EP842">
        <f>IF(ISBLANK('Data Entry'!$Ò$842), "", 'Data Entry'!$Ò$842)</f>
      </c>
      <c r="EQ842">
        <f>IF(ISBLANK('Data Entry'!$Ó$842), "", 'Data Entry'!$Ó$842)</f>
      </c>
      <c r="ER842">
        <f>IF(ISBLANK('Data Entry'!$Ô$842), "", 'Data Entry'!$Ô$842)</f>
      </c>
      <c r="ES842">
        <f>IF(ISBLANK('Data Entry'!$Õ$842), "", 'Data Entry'!$Õ$842)</f>
      </c>
      <c r="ET842">
        <f>IF(ISBLANK('Data Entry'!$Ö$842), "", 'Data Entry'!$Ö$842)</f>
      </c>
      <c r="EU842">
        <f>IF(ISBLANK('Data Entry'!$×$842), "", 'Data Entry'!$×$842)</f>
      </c>
      <c r="EV842">
        <f>IF(ISBLANK('Data Entry'!$Ø$842), "", 'Data Entry'!$Ø$842)</f>
      </c>
      <c r="EW842">
        <f>IF(ISBLANK('Data Entry'!$Ù$842), "", 'Data Entry'!$Ù$842)</f>
      </c>
      <c r="EX842">
        <f>IF(ISBLANK('Data Entry'!$Ú$842), "", 'Data Entry'!$Ú$842)</f>
      </c>
      <c r="EY842">
        <f>IF(ISBLANK('Data Entry'!$Û$842), "", 'Data Entry'!$Û$842)</f>
      </c>
      <c r="EZ842">
        <f>IF(ISBLANK('Data Entry'!$Ü$842), "", 'Data Entry'!$Ü$842)</f>
      </c>
      <c r="FA842">
        <f>IF(ISBLANK('Data Entry'!$Ý$842), "", 'Data Entry'!$Ý$842)</f>
      </c>
      <c r="FB842">
        <f>IF(ISBLANK('Data Entry'!$Þ$842), "", 'Data Entry'!$Þ$842)</f>
      </c>
      <c r="FC842">
        <f>IF(ISBLANK('Data Entry'!$ß$842), "", 'Data Entry'!$ß$842)</f>
      </c>
      <c r="FD842">
        <f>IF(ISBLANK('Data Entry'!$à$842), "", 'Data Entry'!$à$842)</f>
      </c>
      <c r="FE842">
        <f>IF(ISBLANK('Data Entry'!$á$842), "", 'Data Entry'!$á$842)</f>
      </c>
      <c r="FF842">
        <f>IF(ISBLANK('Data Entry'!$â$842), "", 'Data Entry'!$â$842)</f>
      </c>
      <c r="FG842">
        <f>IF(ISBLANK('Data Entry'!$ã$842), "", 'Data Entry'!$ã$842)</f>
      </c>
      <c r="FH842">
        <f>IF(ISBLANK('Data Entry'!$ä$842), "", 'Data Entry'!$ä$842)</f>
      </c>
      <c r="FI842">
        <f>IF(ISBLANK('Data Entry'!$å$842), "", 'Data Entry'!$å$842)</f>
      </c>
      <c r="FJ842">
        <f>IF(ISBLANK('Data Entry'!$æ$842), "", 'Data Entry'!$æ$842)</f>
      </c>
      <c r="FK842">
        <f>IF(ISBLANK('Data Entry'!$ç$842), "", 'Data Entry'!$ç$842)</f>
      </c>
      <c r="FL842">
        <f>IF(ISBLANK('Data Entry'!$è$842), "", 'Data Entry'!$è$842)</f>
      </c>
      <c r="FM842">
        <f>IF(ISBLANK('Data Entry'!$é$842), "", 'Data Entry'!$é$842)</f>
      </c>
      <c r="FN842">
        <f>IF(ISBLANK('Data Entry'!$ê$842), "", 'Data Entry'!$ê$842)</f>
      </c>
      <c r="FO842">
        <f>IF(ISBLANK('Data Entry'!$ë$842), "", 'Data Entry'!$ë$842)</f>
      </c>
      <c r="FP842">
        <f>IF(ISBLANK('Data Entry'!$ì$842), "", 'Data Entry'!$ì$842)</f>
      </c>
      <c r="FQ842">
        <f>IF(ISBLANK('Data Entry'!$í$842), "", 'Data Entry'!$í$842)</f>
      </c>
      <c r="FR842">
        <f>IF(ISBLANK('Data Entry'!$î$842), "", 'Data Entry'!$î$842)</f>
      </c>
      <c r="FS842">
        <f>IF(ISBLANK('Data Entry'!$ï$842), "", 'Data Entry'!$ï$842)</f>
      </c>
      <c r="FT842">
        <f>IF(ISBLANK('Data Entry'!$ð$842), "", 'Data Entry'!$ð$842)</f>
      </c>
      <c r="FU842">
        <f>IF(ISBLANK('Data Entry'!$ñ$842), "", 'Data Entry'!$ñ$842)</f>
      </c>
      <c r="FV842">
        <f>IF(ISBLANK('Data Entry'!$ò$842), "", 'Data Entry'!$ò$842)</f>
      </c>
      <c r="FW842">
        <f>IF(ISBLANK('Data Entry'!$ó$842), "", 'Data Entry'!$ó$842)</f>
      </c>
      <c r="FX842">
        <f>IF(ISBLANK('Data Entry'!$ô$842), "", 'Data Entry'!$ô$842)</f>
      </c>
      <c r="FY842">
        <f>IF(ISBLANK('Data Entry'!$õ$842), "", 'Data Entry'!$õ$842)</f>
      </c>
      <c r="FZ842">
        <f>IF(ISBLANK('Data Entry'!$ö$842), "", 'Data Entry'!$ö$842)</f>
      </c>
      <c r="GA842">
        <f>IF(ISBLANK('Data Entry'!$÷$842), "", 'Data Entry'!$÷$842)</f>
      </c>
      <c r="GB842">
        <f>IF(ISBLANK('Data Entry'!$ø$842), "", 'Data Entry'!$ø$842)</f>
      </c>
      <c r="GC842">
        <f>IF(ISBLANK('Data Entry'!$ù$842), "", 'Data Entry'!$ù$842)</f>
      </c>
      <c r="GD842">
        <f>IF(ISBLANK('Data Entry'!$ú$842), "", 'Data Entry'!$ú$842)</f>
      </c>
      <c r="GE842">
        <f>IF(ISBLANK('Data Entry'!$û$842), "", 'Data Entry'!$û$842)</f>
      </c>
      <c r="GF842">
        <f>IF(ISBLANK('Data Entry'!$ü$842), "", 'Data Entry'!$ü$842)</f>
      </c>
      <c r="GG842">
        <f>IF(ISBLANK('Data Entry'!$ý$842), "", 'Data Entry'!$ý$842)</f>
      </c>
      <c r="GH842">
        <f>IF(ISBLANK('Data Entry'!$þ$842), "", 'Data Entry'!$þ$842)</f>
      </c>
      <c r="GI842">
        <f>IF(ISBLANK('Data Entry'!$ÿ$842), "", 'Data Entry'!$ÿ$842)</f>
      </c>
      <c r="GJ842">
        <f>IF(ISBLANK('Data Entry'!$Ā$842), "", 'Data Entry'!$Ā$842)</f>
      </c>
      <c r="GK842">
        <f>IF(ISBLANK('Data Entry'!$ā$842), "", 'Data Entry'!$ā$842)</f>
      </c>
      <c r="GL842">
        <f>IF(ISBLANK('Data Entry'!$Ă$842), "", 'Data Entry'!$Ă$842)</f>
      </c>
      <c r="GM842">
        <f>IF(ISBLANK('Data Entry'!$ă$842), "", 'Data Entry'!$ă$842)</f>
      </c>
      <c r="GN842">
        <f>IF(ISBLANK('Data Entry'!$Ą$842), "", 'Data Entry'!$Ą$842)</f>
      </c>
      <c r="GO842">
        <f>IF(ISBLANK('Data Entry'!$ą$842), "", 'Data Entry'!$ą$842)</f>
      </c>
      <c r="GP842">
        <f>IF(ISBLANK('Data Entry'!$Ć$842), "", 'Data Entry'!$Ć$842)</f>
      </c>
      <c r="GQ842">
        <f>IF(ISBLANK('Data Entry'!$ć$842), "", 'Data Entry'!$ć$842)</f>
      </c>
      <c r="GR842">
        <f>IF(ISBLANK('Data Entry'!$Ĉ$842), "", 'Data Entry'!$Ĉ$842)</f>
      </c>
      <c r="GS842">
        <f>IF(ISBLANK('Data Entry'!$ĉ$842), "", 'Data Entry'!$ĉ$842)</f>
      </c>
      <c r="GT842">
        <f>IF(ISBLANK('Data Entry'!$Ċ$842), "", 'Data Entry'!$Ċ$842)</f>
      </c>
      <c r="GU842">
        <f>IF(ISBLANK('Data Entry'!$ċ$842), "", 'Data Entry'!$ċ$842)</f>
      </c>
      <c r="GV842">
        <f>IF(ISBLANK('Data Entry'!$Č$842), "", 'Data Entry'!$Č$842)</f>
      </c>
      <c r="GW842">
        <f>IF(ISBLANK('Data Entry'!$č$842), "", 'Data Entry'!$č$842)</f>
      </c>
      <c r="GX842">
        <f>IF(ISBLANK('Data Entry'!$Ď$842), "", 'Data Entry'!$Ď$842)</f>
      </c>
      <c r="GY842">
        <f>IF(ISBLANK('Data Entry'!$ď$842), "", 'Data Entry'!$ď$842)</f>
      </c>
      <c r="GZ842">
        <f>IF(ISBLANK('Data Entry'!$Đ$842), "", 'Data Entry'!$Đ$842)</f>
      </c>
      <c r="HA842">
        <f>IF(ISBLANK('Data Entry'!$đ$842), "", 'Data Entry'!$đ$842)</f>
      </c>
      <c r="HB842">
        <f>IF(ISBLANK('Data Entry'!$Ē$842), "", 'Data Entry'!$Ē$842)</f>
      </c>
      <c r="HC842">
        <f>IF(ISBLANK('Data Entry'!$ē$842), "", 'Data Entry'!$ē$842)</f>
      </c>
      <c r="HD842">
        <f>IF(ISBLANK('Data Entry'!$Ĕ$842), "", 'Data Entry'!$Ĕ$842)</f>
      </c>
      <c r="HE842">
        <f>IF(ISBLANK('Data Entry'!$ĕ$842), "", 'Data Entry'!$ĕ$842)</f>
      </c>
      <c r="HF842">
        <f>IF(ISBLANK('Data Entry'!$Ė$842), "", 'Data Entry'!$Ė$842)</f>
      </c>
      <c r="HG842">
        <f>IF(ISBLANK('Data Entry'!$ė$842), "", 'Data Entry'!$ė$842)</f>
      </c>
      <c r="HH842">
        <f>IF(ISBLANK('Data Entry'!$Ę$842), "", 'Data Entry'!$Ę$842)</f>
      </c>
      <c r="HI842">
        <f>IF(ISBLANK('Data Entry'!$ę$842), "", 'Data Entry'!$ę$842)</f>
      </c>
      <c r="HJ842">
        <f>IF(ISBLANK('Data Entry'!$Ě$842), "", 'Data Entry'!$Ě$842)</f>
      </c>
      <c r="HK842">
        <f>IF(ISBLANK('Data Entry'!$ě$842), "", 'Data Entry'!$ě$842)</f>
      </c>
      <c r="HL842">
        <f>IF(ISBLANK('Data Entry'!$Ĝ$842), "", 'Data Entry'!$Ĝ$842)</f>
      </c>
      <c r="HM842">
        <f>IF(ISBLANK('Data Entry'!$ĝ$842), "", 'Data Entry'!$ĝ$842)</f>
      </c>
      <c r="HN842">
        <f>IF(ISBLANK('Data Entry'!$Ğ$842), "", 'Data Entry'!$Ğ$842)</f>
      </c>
      <c r="HO842">
        <f>IF(ISBLANK('Data Entry'!$ğ$842), "", 'Data Entry'!$ğ$842)</f>
      </c>
      <c r="HP842">
        <f>IF(ISBLANK('Data Entry'!$Ġ$842), "", 'Data Entry'!$Ġ$842)</f>
      </c>
      <c r="HQ842">
        <f>IF(ISBLANK('Data Entry'!$ġ$842), "", 'Data Entry'!$ġ$842)</f>
      </c>
      <c r="HR842">
        <f>IF(ISBLANK('Data Entry'!$Ģ$842), "", 'Data Entry'!$Ģ$842)</f>
      </c>
      <c r="HS842">
        <f>IF(ISBLANK('Data Entry'!$ģ$842), "", 'Data Entry'!$ģ$842)</f>
      </c>
      <c r="HT842">
        <f>IF(ISBLANK('Data Entry'!$Ĥ$842), "", 'Data Entry'!$Ĥ$842)</f>
      </c>
      <c r="HU842">
        <f>IF(ISBLANK('Data Entry'!$ĥ$842), "", 'Data Entry'!$ĥ$842)</f>
      </c>
      <c r="HV842">
        <f>IF(ISBLANK('Data Entry'!$Ħ$842), "", 'Data Entry'!$Ħ$842)</f>
      </c>
      <c r="HW842">
        <f>IF(ISBLANK('Data Entry'!$ħ$842), "", 'Data Entry'!$ħ$842)</f>
      </c>
      <c r="HX842">
        <f>IF(ISBLANK('Data Entry'!$Ĩ$842), "", 'Data Entry'!$Ĩ$842)</f>
      </c>
      <c r="HY842">
        <f>IF(ISBLANK('Data Entry'!$ĩ$842), "", 'Data Entry'!$ĩ$842)</f>
      </c>
      <c r="HZ842">
        <f>IF(ISBLANK('Data Entry'!$Ī$842), "", 'Data Entry'!$Ī$842)</f>
      </c>
      <c r="IA842">
        <f>IF(ISBLANK('Data Entry'!$ī$842), "", 'Data Entry'!$ī$842)</f>
      </c>
      <c r="IB842">
        <f>IF(ISBLANK('Data Entry'!$Ĭ$842), "", 'Data Entry'!$Ĭ$842)</f>
      </c>
      <c r="IC842">
        <f>IF(ISBLANK('Data Entry'!$ĭ$842), "", 'Data Entry'!$ĭ$842)</f>
      </c>
      <c r="ID842">
        <f>IF(ISBLANK('Data Entry'!$Į$842), "", 'Data Entry'!$Į$842)</f>
      </c>
      <c r="IE842">
        <f>IF(ISBLANK('Data Entry'!$į$842), "", 'Data Entry'!$į$842)</f>
      </c>
      <c r="IF842">
        <f>IF(ISBLANK('Data Entry'!$İ$842), "", 'Data Entry'!$İ$842)</f>
      </c>
      <c r="IG842">
        <f>IF(ISBLANK('Data Entry'!$ı$842), "", 'Data Entry'!$ı$842)</f>
      </c>
      <c r="IH842">
        <f>IF(ISBLANK('Data Entry'!$Ĳ$842), "", 'Data Entry'!$Ĳ$842)</f>
      </c>
      <c r="II842">
        <f>IF(ISBLANK('Data Entry'!$ĳ$842), "", 'Data Entry'!$ĳ$842)</f>
      </c>
      <c r="IJ842">
        <f>IF(ISBLANK('Data Entry'!$Ĵ$842), "", 'Data Entry'!$Ĵ$842)</f>
      </c>
      <c r="IK842">
        <f>IF(ISBLANK('Data Entry'!$ĵ$842), "", 'Data Entry'!$ĵ$842)</f>
      </c>
      <c r="IL842">
        <f>IF(ISBLANK('Data Entry'!$Ķ$842), "", 'Data Entry'!$Ķ$842)</f>
      </c>
      <c r="IM842">
        <f>IF(ISBLANK('Data Entry'!$ķ$842), "", 'Data Entry'!$ķ$842)</f>
      </c>
      <c r="IN842">
        <f>IF(ISBLANK('Data Entry'!$ĸ$842), "", 'Data Entry'!$ĸ$842)</f>
      </c>
      <c r="IO842">
        <f>IF(ISBLANK('Data Entry'!$Ĺ$842), "", 'Data Entry'!$Ĺ$842)</f>
      </c>
      <c r="IP842">
        <f>IF(ISBLANK('Data Entry'!$ĺ$842), "", 'Data Entry'!$ĺ$842)</f>
      </c>
      <c r="IQ842">
        <f>IF(ISBLANK('Data Entry'!$Ļ$842), "", 'Data Entry'!$Ļ$842)</f>
      </c>
      <c r="IR842">
        <f>IF(ISBLANK('Data Entry'!$ļ$842), "", 'Data Entry'!$ļ$842)</f>
      </c>
      <c r="IS842">
        <f>IF(ISBLANK('Data Entry'!$Ľ$842), "", 'Data Entry'!$Ľ$842)</f>
      </c>
      <c r="IT842">
        <f>IF(ISBLANK('Data Entry'!$ľ$842), "", 'Data Entry'!$ľ$842)</f>
      </c>
    </row>
    <row r="843" spans="1:254" x14ac:dyDescent="0.25">
      <c r="A843">
        <f>IF(ISBLANK('Data Entry'!$A$843), "", 'Data Entry'!$A$843)</f>
      </c>
      <c r="B843">
        <f>IF(ISBLANK('Data Entry'!$B$843), "", 'Data Entry'!$B$843)</f>
      </c>
      <c r="C843">
        <f>IF(ISBLANK('Data Entry'!$C$843), "", 'Data Entry'!$C$843)</f>
      </c>
      <c r="D843">
        <f>IF(ISBLANK('Data Entry'!$D$843), "", 'Data Entry'!$D$843)</f>
      </c>
      <c r="E843">
        <f>IF(ISBLANK('Data Entry'!$E$843), "", 'Data Entry'!$E$843)</f>
      </c>
      <c r="F843">
        <f>IF(ISBLANK('Data Entry'!$F$843), "", 'Data Entry'!$F$843)</f>
      </c>
      <c r="G843">
        <f>IF(ISBLANK('Data Entry'!$G$843), "", 'Data Entry'!$G$843)</f>
      </c>
      <c r="H843">
        <f>IF(ISBLANK('Data Entry'!$H$843), "", 'Data Entry'!$H$843)</f>
      </c>
      <c r="I843">
        <f>IF(ISBLANK('Data Entry'!$I$843), "", 'Data Entry'!$I$843)</f>
      </c>
      <c r="J843">
        <f>IF(ISBLANK('Data Entry'!$J$843), "", 'Data Entry'!$J$843)</f>
      </c>
      <c r="K843">
        <f>IF(ISBLANK('Data Entry'!$K$843), "", 'Data Entry'!$K$843)</f>
      </c>
      <c r="L843">
        <f>IF(ISBLANK('Data Entry'!$L$843), "", 'Data Entry'!$L$843)</f>
      </c>
      <c r="M843">
        <f>IF(ISBLANK('Data Entry'!$M$843), "", 'Data Entry'!$M$843)</f>
      </c>
      <c r="N843">
        <f>IF(ISBLANK('Data Entry'!$N$843), "", 'Data Entry'!$N$843)</f>
      </c>
      <c r="O843">
        <f>IF(ISBLANK('Data Entry'!$O$843), "", 'Data Entry'!$O$843)</f>
      </c>
      <c r="P843">
        <f>IF(ISBLANK('Data Entry'!$P$843), "", 'Data Entry'!$P$843)</f>
      </c>
      <c r="Q843">
        <f>IF(ISBLANK('Data Entry'!$Q$843), "", 'Data Entry'!$Q$843)</f>
      </c>
      <c r="R843">
        <f>IF(ISBLANK('Data Entry'!$R$843), "", 'Data Entry'!$R$843)</f>
      </c>
      <c r="S843">
        <f>IF(ISBLANK('Data Entry'!$S$843), "", 'Data Entry'!$S$843)</f>
      </c>
      <c r="T843">
        <f>IF(ISBLANK('Data Entry'!$T$843), "", 'Data Entry'!$T$843)</f>
      </c>
      <c r="U843">
        <f>IF(ISBLANK('Data Entry'!$U$843), "", 'Data Entry'!$U$843)</f>
      </c>
      <c r="V843">
        <f>IF(ISBLANK('Data Entry'!$V$843), "", 'Data Entry'!$V$843)</f>
      </c>
      <c r="W843">
        <f>IF(ISBLANK('Data Entry'!$W$843), "", 'Data Entry'!$W$843)</f>
      </c>
      <c r="X843">
        <f>IF(ISBLANK('Data Entry'!$X$843), "", 'Data Entry'!$X$843)</f>
      </c>
      <c r="Y843">
        <f>IF(ISBLANK('Data Entry'!$Y$843), "", 'Data Entry'!$Y$843)</f>
      </c>
      <c r="Z843">
        <f>IF(ISBLANK('Data Entry'!$Z$843), "", 'Data Entry'!$Z$843)</f>
      </c>
      <c r="AA843">
        <f>IF(ISBLANK('Data Entry'!$[$843), "", 'Data Entry'!$[$843)</f>
      </c>
      <c r="AB843">
        <f>IF(ISBLANK('Data Entry'!$\$843), "", 'Data Entry'!$\$843)</f>
      </c>
      <c r="AC843">
        <f>IF(ISBLANK('Data Entry'!$]$843), "", 'Data Entry'!$]$843)</f>
      </c>
      <c r="AD843">
        <f>IF(ISBLANK('Data Entry'!$^$843), "", 'Data Entry'!$^$843)</f>
      </c>
      <c r="AE843">
        <f>IF(ISBLANK('Data Entry'!$_$843), "", 'Data Entry'!$_$843)</f>
      </c>
      <c r="AF843">
        <f>IF(ISBLANK('Data Entry'!$`$843), "", 'Data Entry'!$`$843)</f>
      </c>
      <c r="AG843">
        <f>IF(ISBLANK('Data Entry'!$a$843), "", 'Data Entry'!$a$843)</f>
      </c>
      <c r="AH843">
        <f>IF(ISBLANK('Data Entry'!$b$843), "", 'Data Entry'!$b$843)</f>
      </c>
      <c r="AI843">
        <f>IF(ISBLANK('Data Entry'!$c$843), "", 'Data Entry'!$c$843)</f>
      </c>
      <c r="AJ843">
        <f>IF(ISBLANK('Data Entry'!$d$843), "", 'Data Entry'!$d$843)</f>
      </c>
      <c r="AK843">
        <f>IF(ISBLANK('Data Entry'!$e$843), "", 'Data Entry'!$e$843)</f>
      </c>
      <c r="AL843">
        <f>IF(ISBLANK('Data Entry'!$f$843), "", 'Data Entry'!$f$843)</f>
      </c>
      <c r="AM843">
        <f>IF(ISBLANK('Data Entry'!$g$843), "", 'Data Entry'!$g$843)</f>
      </c>
      <c r="AN843">
        <f>IF(ISBLANK('Data Entry'!$h$843), "", 'Data Entry'!$h$843)</f>
      </c>
      <c r="AO843">
        <f>IF(ISBLANK('Data Entry'!$i$843), "", 'Data Entry'!$i$843)</f>
      </c>
      <c r="AP843">
        <f>IF(ISBLANK('Data Entry'!$j$843), "", 'Data Entry'!$j$843)</f>
      </c>
      <c r="AQ843">
        <f>IF(ISBLANK('Data Entry'!$k$843), "", 'Data Entry'!$k$843)</f>
      </c>
      <c r="AR843">
        <f>IF(ISBLANK('Data Entry'!$l$843), "", 'Data Entry'!$l$843)</f>
      </c>
      <c r="AS843">
        <f>IF(ISBLANK('Data Entry'!$m$843), "", 'Data Entry'!$m$843)</f>
      </c>
      <c r="AT843">
        <f>IF(ISBLANK('Data Entry'!$n$843), "", 'Data Entry'!$n$843)</f>
      </c>
      <c r="AU843">
        <f>IF(ISBLANK('Data Entry'!$o$843), "", 'Data Entry'!$o$843)</f>
      </c>
      <c r="AV843">
        <f>IF(ISBLANK('Data Entry'!$p$843), "", 'Data Entry'!$p$843)</f>
      </c>
      <c r="AW843">
        <f>IF(ISBLANK('Data Entry'!$q$843), "", 'Data Entry'!$q$843)</f>
      </c>
      <c r="AX843">
        <f>IF(ISBLANK('Data Entry'!$r$843), "", 'Data Entry'!$r$843)</f>
      </c>
      <c r="AY843">
        <f>IF(ISBLANK('Data Entry'!$s$843), "", 'Data Entry'!$s$843)</f>
      </c>
      <c r="AZ843">
        <f>IF(ISBLANK('Data Entry'!$t$843), "", 'Data Entry'!$t$843)</f>
      </c>
      <c r="BA843">
        <f>IF(ISBLANK('Data Entry'!$u$843), "", 'Data Entry'!$u$843)</f>
      </c>
      <c r="BB843">
        <f>IF(ISBLANK('Data Entry'!$v$843), "", 'Data Entry'!$v$843)</f>
      </c>
      <c r="BC843">
        <f>IF(ISBLANK('Data Entry'!$w$843), "", 'Data Entry'!$w$843)</f>
      </c>
      <c r="BD843">
        <f>IF(ISBLANK('Data Entry'!$x$843), "", 'Data Entry'!$x$843)</f>
      </c>
      <c r="BE843">
        <f>IF(ISBLANK('Data Entry'!$y$843), "", 'Data Entry'!$y$843)</f>
      </c>
      <c r="BF843">
        <f>IF(ISBLANK('Data Entry'!$z$843), "", 'Data Entry'!$z$843)</f>
      </c>
      <c r="BG843">
        <f>IF(ISBLANK('Data Entry'!${$843), "", 'Data Entry'!${$843)</f>
      </c>
      <c r="BH843">
        <f>IF(ISBLANK('Data Entry'!$|$843), "", 'Data Entry'!$|$843)</f>
      </c>
      <c r="BI843">
        <f>IF(ISBLANK('Data Entry'!$}$843), "", 'Data Entry'!$}$843)</f>
      </c>
      <c r="BJ843">
        <f>IF(ISBLANK('Data Entry'!$~$843), "", 'Data Entry'!$~$843)</f>
      </c>
      <c r="BK843">
        <f>IF(ISBLANK('Data Entry'!$$843), "", 'Data Entry'!$$843)</f>
      </c>
      <c r="BL843">
        <f>IF(ISBLANK('Data Entry'!$$843), "", 'Data Entry'!$$843)</f>
      </c>
      <c r="BM843">
        <f>IF(ISBLANK('Data Entry'!$$843), "", 'Data Entry'!$$843)</f>
      </c>
      <c r="BN843">
        <f>IF(ISBLANK('Data Entry'!$$843), "", 'Data Entry'!$$843)</f>
      </c>
      <c r="BO843">
        <f>IF(ISBLANK('Data Entry'!$$843), "", 'Data Entry'!$$843)</f>
      </c>
      <c r="BP843">
        <f>IF(ISBLANK('Data Entry'!$$843), "", 'Data Entry'!$$843)</f>
      </c>
      <c r="BQ843">
        <f>IF(ISBLANK('Data Entry'!$$843), "", 'Data Entry'!$$843)</f>
      </c>
      <c r="BR843">
        <f>IF(ISBLANK('Data Entry'!$$843), "", 'Data Entry'!$$843)</f>
      </c>
      <c r="BS843">
        <f>IF(ISBLANK('Data Entry'!$$843), "", 'Data Entry'!$$843)</f>
      </c>
      <c r="BT843">
        <f>IF(ISBLANK('Data Entry'!$$843), "", 'Data Entry'!$$843)</f>
      </c>
      <c r="BU843">
        <f>IF(ISBLANK('Data Entry'!$$843), "", 'Data Entry'!$$843)</f>
      </c>
      <c r="BV843">
        <f>IF(ISBLANK('Data Entry'!$$843), "", 'Data Entry'!$$843)</f>
      </c>
      <c r="BW843">
        <f>IF(ISBLANK('Data Entry'!$$843), "", 'Data Entry'!$$843)</f>
      </c>
      <c r="BX843">
        <f>IF(ISBLANK('Data Entry'!$$843), "", 'Data Entry'!$$843)</f>
      </c>
      <c r="BY843">
        <f>IF(ISBLANK('Data Entry'!$$843), "", 'Data Entry'!$$843)</f>
      </c>
      <c r="BZ843">
        <f>IF(ISBLANK('Data Entry'!$$843), "", 'Data Entry'!$$843)</f>
      </c>
      <c r="CA843">
        <f>IF(ISBLANK('Data Entry'!$$843), "", 'Data Entry'!$$843)</f>
      </c>
      <c r="CB843">
        <f>IF(ISBLANK('Data Entry'!$$843), "", 'Data Entry'!$$843)</f>
      </c>
      <c r="CC843">
        <f>IF(ISBLANK('Data Entry'!$$843), "", 'Data Entry'!$$843)</f>
      </c>
      <c r="CD843">
        <f>IF(ISBLANK('Data Entry'!$$843), "", 'Data Entry'!$$843)</f>
      </c>
      <c r="CE843">
        <f>IF(ISBLANK('Data Entry'!$$843), "", 'Data Entry'!$$843)</f>
      </c>
      <c r="CF843">
        <f>IF(ISBLANK('Data Entry'!$$843), "", 'Data Entry'!$$843)</f>
      </c>
      <c r="CG843">
        <f>IF(ISBLANK('Data Entry'!$$843), "", 'Data Entry'!$$843)</f>
      </c>
      <c r="CH843">
        <f>IF(ISBLANK('Data Entry'!$$843), "", 'Data Entry'!$$843)</f>
      </c>
      <c r="CI843">
        <f>IF(ISBLANK('Data Entry'!$$843), "", 'Data Entry'!$$843)</f>
      </c>
      <c r="CJ843">
        <f>IF(ISBLANK('Data Entry'!$$843), "", 'Data Entry'!$$843)</f>
      </c>
      <c r="CK843">
        <f>IF(ISBLANK('Data Entry'!$$843), "", 'Data Entry'!$$843)</f>
      </c>
      <c r="CL843">
        <f>IF(ISBLANK('Data Entry'!$$843), "", 'Data Entry'!$$843)</f>
      </c>
      <c r="CM843">
        <f>IF(ISBLANK('Data Entry'!$$843), "", 'Data Entry'!$$843)</f>
      </c>
      <c r="CN843">
        <f>IF(ISBLANK('Data Entry'!$$843), "", 'Data Entry'!$$843)</f>
      </c>
      <c r="CO843">
        <f>IF(ISBLANK('Data Entry'!$$843), "", 'Data Entry'!$$843)</f>
      </c>
      <c r="CP843">
        <f>IF(ISBLANK('Data Entry'!$$843), "", 'Data Entry'!$$843)</f>
      </c>
      <c r="CQ843">
        <f>IF(ISBLANK('Data Entry'!$$843), "", 'Data Entry'!$$843)</f>
      </c>
      <c r="CR843">
        <f>IF(ISBLANK('Data Entry'!$ $843), "", 'Data Entry'!$ $843)</f>
      </c>
      <c r="CS843">
        <f>IF(ISBLANK('Data Entry'!$¡$843), "", 'Data Entry'!$¡$843)</f>
      </c>
      <c r="CT843">
        <f>IF(ISBLANK('Data Entry'!$¢$843), "", 'Data Entry'!$¢$843)</f>
      </c>
      <c r="CU843">
        <f>IF(ISBLANK('Data Entry'!$£$843), "", 'Data Entry'!$£$843)</f>
      </c>
      <c r="CV843">
        <f>IF(ISBLANK('Data Entry'!$¤$843), "", 'Data Entry'!$¤$843)</f>
      </c>
      <c r="CW843">
        <f>IF(ISBLANK('Data Entry'!$¥$843), "", 'Data Entry'!$¥$843)</f>
      </c>
      <c r="CX843">
        <f>IF(ISBLANK('Data Entry'!$¦$843), "", 'Data Entry'!$¦$843)</f>
      </c>
      <c r="CY843">
        <f>IF(ISBLANK('Data Entry'!$§$843), "", 'Data Entry'!$§$843)</f>
      </c>
      <c r="CZ843">
        <f>IF(ISBLANK('Data Entry'!$¨$843), "", 'Data Entry'!$¨$843)</f>
      </c>
      <c r="DA843">
        <f>IF(ISBLANK('Data Entry'!$©$843), "", 'Data Entry'!$©$843)</f>
      </c>
      <c r="DB843">
        <f>IF(ISBLANK('Data Entry'!$ª$843), "", 'Data Entry'!$ª$843)</f>
      </c>
      <c r="DC843">
        <f>IF(ISBLANK('Data Entry'!$«$843), "", 'Data Entry'!$«$843)</f>
      </c>
      <c r="DD843">
        <f>IF(ISBLANK('Data Entry'!$¬$843), "", 'Data Entry'!$¬$843)</f>
      </c>
      <c r="DE843">
        <f>IF(ISBLANK('Data Entry'!$­$843), "", 'Data Entry'!$­$843)</f>
      </c>
      <c r="DF843">
        <f>IF(ISBLANK('Data Entry'!$®$843), "", 'Data Entry'!$®$843)</f>
      </c>
      <c r="DG843">
        <f>IF(ISBLANK('Data Entry'!$¯$843), "", 'Data Entry'!$¯$843)</f>
      </c>
      <c r="DH843">
        <f>IF(ISBLANK('Data Entry'!$°$843), "", 'Data Entry'!$°$843)</f>
      </c>
      <c r="DI843">
        <f>IF(ISBLANK('Data Entry'!$±$843), "", 'Data Entry'!$±$843)</f>
      </c>
      <c r="DJ843">
        <f>IF(ISBLANK('Data Entry'!$²$843), "", 'Data Entry'!$²$843)</f>
      </c>
      <c r="DK843">
        <f>IF(ISBLANK('Data Entry'!$³$843), "", 'Data Entry'!$³$843)</f>
      </c>
      <c r="DL843">
        <f>IF(ISBLANK('Data Entry'!$´$843), "", 'Data Entry'!$´$843)</f>
      </c>
      <c r="DM843">
        <f>IF(ISBLANK('Data Entry'!$µ$843), "", 'Data Entry'!$µ$843)</f>
      </c>
      <c r="DN843">
        <f>IF(ISBLANK('Data Entry'!$¶$843), "", 'Data Entry'!$¶$843)</f>
      </c>
      <c r="DO843">
        <f>IF(ISBLANK('Data Entry'!$·$843), "", 'Data Entry'!$·$843)</f>
      </c>
      <c r="DP843">
        <f>IF(ISBLANK('Data Entry'!$¸$843), "", 'Data Entry'!$¸$843)</f>
      </c>
      <c r="DQ843">
        <f>IF(ISBLANK('Data Entry'!$¹$843), "", 'Data Entry'!$¹$843)</f>
      </c>
      <c r="DR843">
        <f>IF(ISBLANK('Data Entry'!$º$843), "", 'Data Entry'!$º$843)</f>
      </c>
      <c r="DS843">
        <f>IF(ISBLANK('Data Entry'!$»$843), "", 'Data Entry'!$»$843)</f>
      </c>
      <c r="DT843">
        <f>IF(ISBLANK('Data Entry'!$¼$843), "", 'Data Entry'!$¼$843)</f>
      </c>
      <c r="DU843">
        <f>IF(ISBLANK('Data Entry'!$½$843), "", 'Data Entry'!$½$843)</f>
      </c>
      <c r="DV843">
        <f>IF(ISBLANK('Data Entry'!$¾$843), "", 'Data Entry'!$¾$843)</f>
      </c>
      <c r="DW843">
        <f>IF(ISBLANK('Data Entry'!$¿$843), "", 'Data Entry'!$¿$843)</f>
      </c>
      <c r="DX843">
        <f>IF(ISBLANK('Data Entry'!$À$843), "", 'Data Entry'!$À$843)</f>
      </c>
      <c r="DY843">
        <f>IF(ISBLANK('Data Entry'!$Á$843), "", 'Data Entry'!$Á$843)</f>
      </c>
      <c r="DZ843">
        <f>IF(ISBLANK('Data Entry'!$Â$843), "", 'Data Entry'!$Â$843)</f>
      </c>
      <c r="EA843">
        <f>IF(ISBLANK('Data Entry'!$Ã$843), "", 'Data Entry'!$Ã$843)</f>
      </c>
      <c r="EB843">
        <f>IF(ISBLANK('Data Entry'!$Ä$843), "", 'Data Entry'!$Ä$843)</f>
      </c>
      <c r="EC843">
        <f>IF(ISBLANK('Data Entry'!$Å$843), "", 'Data Entry'!$Å$843)</f>
      </c>
      <c r="ED843">
        <f>IF(ISBLANK('Data Entry'!$Æ$843), "", 'Data Entry'!$Æ$843)</f>
      </c>
      <c r="EE843">
        <f>IF(ISBLANK('Data Entry'!$Ç$843), "", 'Data Entry'!$Ç$843)</f>
      </c>
      <c r="EF843">
        <f>IF(ISBLANK('Data Entry'!$È$843), "", 'Data Entry'!$È$843)</f>
      </c>
      <c r="EG843">
        <f>IF(ISBLANK('Data Entry'!$É$843), "", 'Data Entry'!$É$843)</f>
      </c>
      <c r="EH843">
        <f>IF(ISBLANK('Data Entry'!$Ê$843), "", 'Data Entry'!$Ê$843)</f>
      </c>
      <c r="EI843">
        <f>IF(ISBLANK('Data Entry'!$Ë$843), "", 'Data Entry'!$Ë$843)</f>
      </c>
      <c r="EJ843">
        <f>IF(ISBLANK('Data Entry'!$Ì$843), "", 'Data Entry'!$Ì$843)</f>
      </c>
      <c r="EK843">
        <f>IF(ISBLANK('Data Entry'!$Í$843), "", 'Data Entry'!$Í$843)</f>
      </c>
      <c r="EL843">
        <f>IF(ISBLANK('Data Entry'!$Î$843), "", 'Data Entry'!$Î$843)</f>
      </c>
      <c r="EM843">
        <f>IF(ISBLANK('Data Entry'!$Ï$843), "", 'Data Entry'!$Ï$843)</f>
      </c>
      <c r="EN843">
        <f>IF(ISBLANK('Data Entry'!$Ð$843), "", 'Data Entry'!$Ð$843)</f>
      </c>
      <c r="EO843">
        <f>IF(ISBLANK('Data Entry'!$Ñ$843), "", 'Data Entry'!$Ñ$843)</f>
      </c>
      <c r="EP843">
        <f>IF(ISBLANK('Data Entry'!$Ò$843), "", 'Data Entry'!$Ò$843)</f>
      </c>
      <c r="EQ843">
        <f>IF(ISBLANK('Data Entry'!$Ó$843), "", 'Data Entry'!$Ó$843)</f>
      </c>
      <c r="ER843">
        <f>IF(ISBLANK('Data Entry'!$Ô$843), "", 'Data Entry'!$Ô$843)</f>
      </c>
      <c r="ES843">
        <f>IF(ISBLANK('Data Entry'!$Õ$843), "", 'Data Entry'!$Õ$843)</f>
      </c>
      <c r="ET843">
        <f>IF(ISBLANK('Data Entry'!$Ö$843), "", 'Data Entry'!$Ö$843)</f>
      </c>
      <c r="EU843">
        <f>IF(ISBLANK('Data Entry'!$×$843), "", 'Data Entry'!$×$843)</f>
      </c>
      <c r="EV843">
        <f>IF(ISBLANK('Data Entry'!$Ø$843), "", 'Data Entry'!$Ø$843)</f>
      </c>
      <c r="EW843">
        <f>IF(ISBLANK('Data Entry'!$Ù$843), "", 'Data Entry'!$Ù$843)</f>
      </c>
      <c r="EX843">
        <f>IF(ISBLANK('Data Entry'!$Ú$843), "", 'Data Entry'!$Ú$843)</f>
      </c>
      <c r="EY843">
        <f>IF(ISBLANK('Data Entry'!$Û$843), "", 'Data Entry'!$Û$843)</f>
      </c>
      <c r="EZ843">
        <f>IF(ISBLANK('Data Entry'!$Ü$843), "", 'Data Entry'!$Ü$843)</f>
      </c>
      <c r="FA843">
        <f>IF(ISBLANK('Data Entry'!$Ý$843), "", 'Data Entry'!$Ý$843)</f>
      </c>
      <c r="FB843">
        <f>IF(ISBLANK('Data Entry'!$Þ$843), "", 'Data Entry'!$Þ$843)</f>
      </c>
      <c r="FC843">
        <f>IF(ISBLANK('Data Entry'!$ß$843), "", 'Data Entry'!$ß$843)</f>
      </c>
      <c r="FD843">
        <f>IF(ISBLANK('Data Entry'!$à$843), "", 'Data Entry'!$à$843)</f>
      </c>
      <c r="FE843">
        <f>IF(ISBLANK('Data Entry'!$á$843), "", 'Data Entry'!$á$843)</f>
      </c>
      <c r="FF843">
        <f>IF(ISBLANK('Data Entry'!$â$843), "", 'Data Entry'!$â$843)</f>
      </c>
      <c r="FG843">
        <f>IF(ISBLANK('Data Entry'!$ã$843), "", 'Data Entry'!$ã$843)</f>
      </c>
      <c r="FH843">
        <f>IF(ISBLANK('Data Entry'!$ä$843), "", 'Data Entry'!$ä$843)</f>
      </c>
      <c r="FI843">
        <f>IF(ISBLANK('Data Entry'!$å$843), "", 'Data Entry'!$å$843)</f>
      </c>
      <c r="FJ843">
        <f>IF(ISBLANK('Data Entry'!$æ$843), "", 'Data Entry'!$æ$843)</f>
      </c>
      <c r="FK843">
        <f>IF(ISBLANK('Data Entry'!$ç$843), "", 'Data Entry'!$ç$843)</f>
      </c>
      <c r="FL843">
        <f>IF(ISBLANK('Data Entry'!$è$843), "", 'Data Entry'!$è$843)</f>
      </c>
      <c r="FM843">
        <f>IF(ISBLANK('Data Entry'!$é$843), "", 'Data Entry'!$é$843)</f>
      </c>
      <c r="FN843">
        <f>IF(ISBLANK('Data Entry'!$ê$843), "", 'Data Entry'!$ê$843)</f>
      </c>
      <c r="FO843">
        <f>IF(ISBLANK('Data Entry'!$ë$843), "", 'Data Entry'!$ë$843)</f>
      </c>
      <c r="FP843">
        <f>IF(ISBLANK('Data Entry'!$ì$843), "", 'Data Entry'!$ì$843)</f>
      </c>
      <c r="FQ843">
        <f>IF(ISBLANK('Data Entry'!$í$843), "", 'Data Entry'!$í$843)</f>
      </c>
      <c r="FR843">
        <f>IF(ISBLANK('Data Entry'!$î$843), "", 'Data Entry'!$î$843)</f>
      </c>
      <c r="FS843">
        <f>IF(ISBLANK('Data Entry'!$ï$843), "", 'Data Entry'!$ï$843)</f>
      </c>
      <c r="FT843">
        <f>IF(ISBLANK('Data Entry'!$ð$843), "", 'Data Entry'!$ð$843)</f>
      </c>
      <c r="FU843">
        <f>IF(ISBLANK('Data Entry'!$ñ$843), "", 'Data Entry'!$ñ$843)</f>
      </c>
      <c r="FV843">
        <f>IF(ISBLANK('Data Entry'!$ò$843), "", 'Data Entry'!$ò$843)</f>
      </c>
      <c r="FW843">
        <f>IF(ISBLANK('Data Entry'!$ó$843), "", 'Data Entry'!$ó$843)</f>
      </c>
      <c r="FX843">
        <f>IF(ISBLANK('Data Entry'!$ô$843), "", 'Data Entry'!$ô$843)</f>
      </c>
      <c r="FY843">
        <f>IF(ISBLANK('Data Entry'!$õ$843), "", 'Data Entry'!$õ$843)</f>
      </c>
      <c r="FZ843">
        <f>IF(ISBLANK('Data Entry'!$ö$843), "", 'Data Entry'!$ö$843)</f>
      </c>
      <c r="GA843">
        <f>IF(ISBLANK('Data Entry'!$÷$843), "", 'Data Entry'!$÷$843)</f>
      </c>
      <c r="GB843">
        <f>IF(ISBLANK('Data Entry'!$ø$843), "", 'Data Entry'!$ø$843)</f>
      </c>
      <c r="GC843">
        <f>IF(ISBLANK('Data Entry'!$ù$843), "", 'Data Entry'!$ù$843)</f>
      </c>
      <c r="GD843">
        <f>IF(ISBLANK('Data Entry'!$ú$843), "", 'Data Entry'!$ú$843)</f>
      </c>
      <c r="GE843">
        <f>IF(ISBLANK('Data Entry'!$û$843), "", 'Data Entry'!$û$843)</f>
      </c>
      <c r="GF843">
        <f>IF(ISBLANK('Data Entry'!$ü$843), "", 'Data Entry'!$ü$843)</f>
      </c>
      <c r="GG843">
        <f>IF(ISBLANK('Data Entry'!$ý$843), "", 'Data Entry'!$ý$843)</f>
      </c>
      <c r="GH843">
        <f>IF(ISBLANK('Data Entry'!$þ$843), "", 'Data Entry'!$þ$843)</f>
      </c>
      <c r="GI843">
        <f>IF(ISBLANK('Data Entry'!$ÿ$843), "", 'Data Entry'!$ÿ$843)</f>
      </c>
      <c r="GJ843">
        <f>IF(ISBLANK('Data Entry'!$Ā$843), "", 'Data Entry'!$Ā$843)</f>
      </c>
      <c r="GK843">
        <f>IF(ISBLANK('Data Entry'!$ā$843), "", 'Data Entry'!$ā$843)</f>
      </c>
      <c r="GL843">
        <f>IF(ISBLANK('Data Entry'!$Ă$843), "", 'Data Entry'!$Ă$843)</f>
      </c>
      <c r="GM843">
        <f>IF(ISBLANK('Data Entry'!$ă$843), "", 'Data Entry'!$ă$843)</f>
      </c>
      <c r="GN843">
        <f>IF(ISBLANK('Data Entry'!$Ą$843), "", 'Data Entry'!$Ą$843)</f>
      </c>
      <c r="GO843">
        <f>IF(ISBLANK('Data Entry'!$ą$843), "", 'Data Entry'!$ą$843)</f>
      </c>
      <c r="GP843">
        <f>IF(ISBLANK('Data Entry'!$Ć$843), "", 'Data Entry'!$Ć$843)</f>
      </c>
      <c r="GQ843">
        <f>IF(ISBLANK('Data Entry'!$ć$843), "", 'Data Entry'!$ć$843)</f>
      </c>
      <c r="GR843">
        <f>IF(ISBLANK('Data Entry'!$Ĉ$843), "", 'Data Entry'!$Ĉ$843)</f>
      </c>
      <c r="GS843">
        <f>IF(ISBLANK('Data Entry'!$ĉ$843), "", 'Data Entry'!$ĉ$843)</f>
      </c>
      <c r="GT843">
        <f>IF(ISBLANK('Data Entry'!$Ċ$843), "", 'Data Entry'!$Ċ$843)</f>
      </c>
      <c r="GU843">
        <f>IF(ISBLANK('Data Entry'!$ċ$843), "", 'Data Entry'!$ċ$843)</f>
      </c>
      <c r="GV843">
        <f>IF(ISBLANK('Data Entry'!$Č$843), "", 'Data Entry'!$Č$843)</f>
      </c>
      <c r="GW843">
        <f>IF(ISBLANK('Data Entry'!$č$843), "", 'Data Entry'!$č$843)</f>
      </c>
      <c r="GX843">
        <f>IF(ISBLANK('Data Entry'!$Ď$843), "", 'Data Entry'!$Ď$843)</f>
      </c>
      <c r="GY843">
        <f>IF(ISBLANK('Data Entry'!$ď$843), "", 'Data Entry'!$ď$843)</f>
      </c>
      <c r="GZ843">
        <f>IF(ISBLANK('Data Entry'!$Đ$843), "", 'Data Entry'!$Đ$843)</f>
      </c>
      <c r="HA843">
        <f>IF(ISBLANK('Data Entry'!$đ$843), "", 'Data Entry'!$đ$843)</f>
      </c>
      <c r="HB843">
        <f>IF(ISBLANK('Data Entry'!$Ē$843), "", 'Data Entry'!$Ē$843)</f>
      </c>
      <c r="HC843">
        <f>IF(ISBLANK('Data Entry'!$ē$843), "", 'Data Entry'!$ē$843)</f>
      </c>
      <c r="HD843">
        <f>IF(ISBLANK('Data Entry'!$Ĕ$843), "", 'Data Entry'!$Ĕ$843)</f>
      </c>
      <c r="HE843">
        <f>IF(ISBLANK('Data Entry'!$ĕ$843), "", 'Data Entry'!$ĕ$843)</f>
      </c>
      <c r="HF843">
        <f>IF(ISBLANK('Data Entry'!$Ė$843), "", 'Data Entry'!$Ė$843)</f>
      </c>
      <c r="HG843">
        <f>IF(ISBLANK('Data Entry'!$ė$843), "", 'Data Entry'!$ė$843)</f>
      </c>
      <c r="HH843">
        <f>IF(ISBLANK('Data Entry'!$Ę$843), "", 'Data Entry'!$Ę$843)</f>
      </c>
      <c r="HI843">
        <f>IF(ISBLANK('Data Entry'!$ę$843), "", 'Data Entry'!$ę$843)</f>
      </c>
      <c r="HJ843">
        <f>IF(ISBLANK('Data Entry'!$Ě$843), "", 'Data Entry'!$Ě$843)</f>
      </c>
      <c r="HK843">
        <f>IF(ISBLANK('Data Entry'!$ě$843), "", 'Data Entry'!$ě$843)</f>
      </c>
      <c r="HL843">
        <f>IF(ISBLANK('Data Entry'!$Ĝ$843), "", 'Data Entry'!$Ĝ$843)</f>
      </c>
      <c r="HM843">
        <f>IF(ISBLANK('Data Entry'!$ĝ$843), "", 'Data Entry'!$ĝ$843)</f>
      </c>
      <c r="HN843">
        <f>IF(ISBLANK('Data Entry'!$Ğ$843), "", 'Data Entry'!$Ğ$843)</f>
      </c>
      <c r="HO843">
        <f>IF(ISBLANK('Data Entry'!$ğ$843), "", 'Data Entry'!$ğ$843)</f>
      </c>
      <c r="HP843">
        <f>IF(ISBLANK('Data Entry'!$Ġ$843), "", 'Data Entry'!$Ġ$843)</f>
      </c>
      <c r="HQ843">
        <f>IF(ISBLANK('Data Entry'!$ġ$843), "", 'Data Entry'!$ġ$843)</f>
      </c>
      <c r="HR843">
        <f>IF(ISBLANK('Data Entry'!$Ģ$843), "", 'Data Entry'!$Ģ$843)</f>
      </c>
      <c r="HS843">
        <f>IF(ISBLANK('Data Entry'!$ģ$843), "", 'Data Entry'!$ģ$843)</f>
      </c>
      <c r="HT843">
        <f>IF(ISBLANK('Data Entry'!$Ĥ$843), "", 'Data Entry'!$Ĥ$843)</f>
      </c>
      <c r="HU843">
        <f>IF(ISBLANK('Data Entry'!$ĥ$843), "", 'Data Entry'!$ĥ$843)</f>
      </c>
      <c r="HV843">
        <f>IF(ISBLANK('Data Entry'!$Ħ$843), "", 'Data Entry'!$Ħ$843)</f>
      </c>
      <c r="HW843">
        <f>IF(ISBLANK('Data Entry'!$ħ$843), "", 'Data Entry'!$ħ$843)</f>
      </c>
      <c r="HX843">
        <f>IF(ISBLANK('Data Entry'!$Ĩ$843), "", 'Data Entry'!$Ĩ$843)</f>
      </c>
      <c r="HY843">
        <f>IF(ISBLANK('Data Entry'!$ĩ$843), "", 'Data Entry'!$ĩ$843)</f>
      </c>
      <c r="HZ843">
        <f>IF(ISBLANK('Data Entry'!$Ī$843), "", 'Data Entry'!$Ī$843)</f>
      </c>
      <c r="IA843">
        <f>IF(ISBLANK('Data Entry'!$ī$843), "", 'Data Entry'!$ī$843)</f>
      </c>
      <c r="IB843">
        <f>IF(ISBLANK('Data Entry'!$Ĭ$843), "", 'Data Entry'!$Ĭ$843)</f>
      </c>
      <c r="IC843">
        <f>IF(ISBLANK('Data Entry'!$ĭ$843), "", 'Data Entry'!$ĭ$843)</f>
      </c>
      <c r="ID843">
        <f>IF(ISBLANK('Data Entry'!$Į$843), "", 'Data Entry'!$Į$843)</f>
      </c>
      <c r="IE843">
        <f>IF(ISBLANK('Data Entry'!$į$843), "", 'Data Entry'!$į$843)</f>
      </c>
      <c r="IF843">
        <f>IF(ISBLANK('Data Entry'!$İ$843), "", 'Data Entry'!$İ$843)</f>
      </c>
      <c r="IG843">
        <f>IF(ISBLANK('Data Entry'!$ı$843), "", 'Data Entry'!$ı$843)</f>
      </c>
      <c r="IH843">
        <f>IF(ISBLANK('Data Entry'!$Ĳ$843), "", 'Data Entry'!$Ĳ$843)</f>
      </c>
      <c r="II843">
        <f>IF(ISBLANK('Data Entry'!$ĳ$843), "", 'Data Entry'!$ĳ$843)</f>
      </c>
      <c r="IJ843">
        <f>IF(ISBLANK('Data Entry'!$Ĵ$843), "", 'Data Entry'!$Ĵ$843)</f>
      </c>
      <c r="IK843">
        <f>IF(ISBLANK('Data Entry'!$ĵ$843), "", 'Data Entry'!$ĵ$843)</f>
      </c>
      <c r="IL843">
        <f>IF(ISBLANK('Data Entry'!$Ķ$843), "", 'Data Entry'!$Ķ$843)</f>
      </c>
      <c r="IM843">
        <f>IF(ISBLANK('Data Entry'!$ķ$843), "", 'Data Entry'!$ķ$843)</f>
      </c>
      <c r="IN843">
        <f>IF(ISBLANK('Data Entry'!$ĸ$843), "", 'Data Entry'!$ĸ$843)</f>
      </c>
      <c r="IO843">
        <f>IF(ISBLANK('Data Entry'!$Ĺ$843), "", 'Data Entry'!$Ĺ$843)</f>
      </c>
      <c r="IP843">
        <f>IF(ISBLANK('Data Entry'!$ĺ$843), "", 'Data Entry'!$ĺ$843)</f>
      </c>
      <c r="IQ843">
        <f>IF(ISBLANK('Data Entry'!$Ļ$843), "", 'Data Entry'!$Ļ$843)</f>
      </c>
      <c r="IR843">
        <f>IF(ISBLANK('Data Entry'!$ļ$843), "", 'Data Entry'!$ļ$843)</f>
      </c>
      <c r="IS843">
        <f>IF(ISBLANK('Data Entry'!$Ľ$843), "", 'Data Entry'!$Ľ$843)</f>
      </c>
      <c r="IT843">
        <f>IF(ISBLANK('Data Entry'!$ľ$843), "", 'Data Entry'!$ľ$843)</f>
      </c>
    </row>
    <row r="844" spans="1:254" x14ac:dyDescent="0.25">
      <c r="A844">
        <f>IF(ISBLANK('Data Entry'!$A$844), "", 'Data Entry'!$A$844)</f>
      </c>
      <c r="B844">
        <f>IF(ISBLANK('Data Entry'!$B$844), "", 'Data Entry'!$B$844)</f>
      </c>
      <c r="C844">
        <f>IF(ISBLANK('Data Entry'!$C$844), "", 'Data Entry'!$C$844)</f>
      </c>
      <c r="D844">
        <f>IF(ISBLANK('Data Entry'!$D$844), "", 'Data Entry'!$D$844)</f>
      </c>
      <c r="E844">
        <f>IF(ISBLANK('Data Entry'!$E$844), "", 'Data Entry'!$E$844)</f>
      </c>
      <c r="F844">
        <f>IF(ISBLANK('Data Entry'!$F$844), "", 'Data Entry'!$F$844)</f>
      </c>
      <c r="G844">
        <f>IF(ISBLANK('Data Entry'!$G$844), "", 'Data Entry'!$G$844)</f>
      </c>
      <c r="H844">
        <f>IF(ISBLANK('Data Entry'!$H$844), "", 'Data Entry'!$H$844)</f>
      </c>
      <c r="I844">
        <f>IF(ISBLANK('Data Entry'!$I$844), "", 'Data Entry'!$I$844)</f>
      </c>
      <c r="J844">
        <f>IF(ISBLANK('Data Entry'!$J$844), "", 'Data Entry'!$J$844)</f>
      </c>
      <c r="K844">
        <f>IF(ISBLANK('Data Entry'!$K$844), "", 'Data Entry'!$K$844)</f>
      </c>
      <c r="L844">
        <f>IF(ISBLANK('Data Entry'!$L$844), "", 'Data Entry'!$L$844)</f>
      </c>
      <c r="M844">
        <f>IF(ISBLANK('Data Entry'!$M$844), "", 'Data Entry'!$M$844)</f>
      </c>
      <c r="N844">
        <f>IF(ISBLANK('Data Entry'!$N$844), "", 'Data Entry'!$N$844)</f>
      </c>
      <c r="O844">
        <f>IF(ISBLANK('Data Entry'!$O$844), "", 'Data Entry'!$O$844)</f>
      </c>
      <c r="P844">
        <f>IF(ISBLANK('Data Entry'!$P$844), "", 'Data Entry'!$P$844)</f>
      </c>
      <c r="Q844">
        <f>IF(ISBLANK('Data Entry'!$Q$844), "", 'Data Entry'!$Q$844)</f>
      </c>
      <c r="R844">
        <f>IF(ISBLANK('Data Entry'!$R$844), "", 'Data Entry'!$R$844)</f>
      </c>
      <c r="S844">
        <f>IF(ISBLANK('Data Entry'!$S$844), "", 'Data Entry'!$S$844)</f>
      </c>
      <c r="T844">
        <f>IF(ISBLANK('Data Entry'!$T$844), "", 'Data Entry'!$T$844)</f>
      </c>
      <c r="U844">
        <f>IF(ISBLANK('Data Entry'!$U$844), "", 'Data Entry'!$U$844)</f>
      </c>
      <c r="V844">
        <f>IF(ISBLANK('Data Entry'!$V$844), "", 'Data Entry'!$V$844)</f>
      </c>
      <c r="W844">
        <f>IF(ISBLANK('Data Entry'!$W$844), "", 'Data Entry'!$W$844)</f>
      </c>
      <c r="X844">
        <f>IF(ISBLANK('Data Entry'!$X$844), "", 'Data Entry'!$X$844)</f>
      </c>
      <c r="Y844">
        <f>IF(ISBLANK('Data Entry'!$Y$844), "", 'Data Entry'!$Y$844)</f>
      </c>
      <c r="Z844">
        <f>IF(ISBLANK('Data Entry'!$Z$844), "", 'Data Entry'!$Z$844)</f>
      </c>
      <c r="AA844">
        <f>IF(ISBLANK('Data Entry'!$[$844), "", 'Data Entry'!$[$844)</f>
      </c>
      <c r="AB844">
        <f>IF(ISBLANK('Data Entry'!$\$844), "", 'Data Entry'!$\$844)</f>
      </c>
      <c r="AC844">
        <f>IF(ISBLANK('Data Entry'!$]$844), "", 'Data Entry'!$]$844)</f>
      </c>
      <c r="AD844">
        <f>IF(ISBLANK('Data Entry'!$^$844), "", 'Data Entry'!$^$844)</f>
      </c>
      <c r="AE844">
        <f>IF(ISBLANK('Data Entry'!$_$844), "", 'Data Entry'!$_$844)</f>
      </c>
      <c r="AF844">
        <f>IF(ISBLANK('Data Entry'!$`$844), "", 'Data Entry'!$`$844)</f>
      </c>
      <c r="AG844">
        <f>IF(ISBLANK('Data Entry'!$a$844), "", 'Data Entry'!$a$844)</f>
      </c>
      <c r="AH844">
        <f>IF(ISBLANK('Data Entry'!$b$844), "", 'Data Entry'!$b$844)</f>
      </c>
      <c r="AI844">
        <f>IF(ISBLANK('Data Entry'!$c$844), "", 'Data Entry'!$c$844)</f>
      </c>
      <c r="AJ844">
        <f>IF(ISBLANK('Data Entry'!$d$844), "", 'Data Entry'!$d$844)</f>
      </c>
      <c r="AK844">
        <f>IF(ISBLANK('Data Entry'!$e$844), "", 'Data Entry'!$e$844)</f>
      </c>
      <c r="AL844">
        <f>IF(ISBLANK('Data Entry'!$f$844), "", 'Data Entry'!$f$844)</f>
      </c>
      <c r="AM844">
        <f>IF(ISBLANK('Data Entry'!$g$844), "", 'Data Entry'!$g$844)</f>
      </c>
      <c r="AN844">
        <f>IF(ISBLANK('Data Entry'!$h$844), "", 'Data Entry'!$h$844)</f>
      </c>
      <c r="AO844">
        <f>IF(ISBLANK('Data Entry'!$i$844), "", 'Data Entry'!$i$844)</f>
      </c>
      <c r="AP844">
        <f>IF(ISBLANK('Data Entry'!$j$844), "", 'Data Entry'!$j$844)</f>
      </c>
      <c r="AQ844">
        <f>IF(ISBLANK('Data Entry'!$k$844), "", 'Data Entry'!$k$844)</f>
      </c>
      <c r="AR844">
        <f>IF(ISBLANK('Data Entry'!$l$844), "", 'Data Entry'!$l$844)</f>
      </c>
      <c r="AS844">
        <f>IF(ISBLANK('Data Entry'!$m$844), "", 'Data Entry'!$m$844)</f>
      </c>
      <c r="AT844">
        <f>IF(ISBLANK('Data Entry'!$n$844), "", 'Data Entry'!$n$844)</f>
      </c>
      <c r="AU844">
        <f>IF(ISBLANK('Data Entry'!$o$844), "", 'Data Entry'!$o$844)</f>
      </c>
      <c r="AV844">
        <f>IF(ISBLANK('Data Entry'!$p$844), "", 'Data Entry'!$p$844)</f>
      </c>
      <c r="AW844">
        <f>IF(ISBLANK('Data Entry'!$q$844), "", 'Data Entry'!$q$844)</f>
      </c>
      <c r="AX844">
        <f>IF(ISBLANK('Data Entry'!$r$844), "", 'Data Entry'!$r$844)</f>
      </c>
      <c r="AY844">
        <f>IF(ISBLANK('Data Entry'!$s$844), "", 'Data Entry'!$s$844)</f>
      </c>
      <c r="AZ844">
        <f>IF(ISBLANK('Data Entry'!$t$844), "", 'Data Entry'!$t$844)</f>
      </c>
      <c r="BA844">
        <f>IF(ISBLANK('Data Entry'!$u$844), "", 'Data Entry'!$u$844)</f>
      </c>
      <c r="BB844">
        <f>IF(ISBLANK('Data Entry'!$v$844), "", 'Data Entry'!$v$844)</f>
      </c>
      <c r="BC844">
        <f>IF(ISBLANK('Data Entry'!$w$844), "", 'Data Entry'!$w$844)</f>
      </c>
      <c r="BD844">
        <f>IF(ISBLANK('Data Entry'!$x$844), "", 'Data Entry'!$x$844)</f>
      </c>
      <c r="BE844">
        <f>IF(ISBLANK('Data Entry'!$y$844), "", 'Data Entry'!$y$844)</f>
      </c>
      <c r="BF844">
        <f>IF(ISBLANK('Data Entry'!$z$844), "", 'Data Entry'!$z$844)</f>
      </c>
      <c r="BG844">
        <f>IF(ISBLANK('Data Entry'!${$844), "", 'Data Entry'!${$844)</f>
      </c>
      <c r="BH844">
        <f>IF(ISBLANK('Data Entry'!$|$844), "", 'Data Entry'!$|$844)</f>
      </c>
      <c r="BI844">
        <f>IF(ISBLANK('Data Entry'!$}$844), "", 'Data Entry'!$}$844)</f>
      </c>
      <c r="BJ844">
        <f>IF(ISBLANK('Data Entry'!$~$844), "", 'Data Entry'!$~$844)</f>
      </c>
      <c r="BK844">
        <f>IF(ISBLANK('Data Entry'!$$844), "", 'Data Entry'!$$844)</f>
      </c>
      <c r="BL844">
        <f>IF(ISBLANK('Data Entry'!$$844), "", 'Data Entry'!$$844)</f>
      </c>
      <c r="BM844">
        <f>IF(ISBLANK('Data Entry'!$$844), "", 'Data Entry'!$$844)</f>
      </c>
      <c r="BN844">
        <f>IF(ISBLANK('Data Entry'!$$844), "", 'Data Entry'!$$844)</f>
      </c>
      <c r="BO844">
        <f>IF(ISBLANK('Data Entry'!$$844), "", 'Data Entry'!$$844)</f>
      </c>
      <c r="BP844">
        <f>IF(ISBLANK('Data Entry'!$$844), "", 'Data Entry'!$$844)</f>
      </c>
      <c r="BQ844">
        <f>IF(ISBLANK('Data Entry'!$$844), "", 'Data Entry'!$$844)</f>
      </c>
      <c r="BR844">
        <f>IF(ISBLANK('Data Entry'!$$844), "", 'Data Entry'!$$844)</f>
      </c>
      <c r="BS844">
        <f>IF(ISBLANK('Data Entry'!$$844), "", 'Data Entry'!$$844)</f>
      </c>
      <c r="BT844">
        <f>IF(ISBLANK('Data Entry'!$$844), "", 'Data Entry'!$$844)</f>
      </c>
      <c r="BU844">
        <f>IF(ISBLANK('Data Entry'!$$844), "", 'Data Entry'!$$844)</f>
      </c>
      <c r="BV844">
        <f>IF(ISBLANK('Data Entry'!$$844), "", 'Data Entry'!$$844)</f>
      </c>
      <c r="BW844">
        <f>IF(ISBLANK('Data Entry'!$$844), "", 'Data Entry'!$$844)</f>
      </c>
      <c r="BX844">
        <f>IF(ISBLANK('Data Entry'!$$844), "", 'Data Entry'!$$844)</f>
      </c>
      <c r="BY844">
        <f>IF(ISBLANK('Data Entry'!$$844), "", 'Data Entry'!$$844)</f>
      </c>
      <c r="BZ844">
        <f>IF(ISBLANK('Data Entry'!$$844), "", 'Data Entry'!$$844)</f>
      </c>
      <c r="CA844">
        <f>IF(ISBLANK('Data Entry'!$$844), "", 'Data Entry'!$$844)</f>
      </c>
      <c r="CB844">
        <f>IF(ISBLANK('Data Entry'!$$844), "", 'Data Entry'!$$844)</f>
      </c>
      <c r="CC844">
        <f>IF(ISBLANK('Data Entry'!$$844), "", 'Data Entry'!$$844)</f>
      </c>
      <c r="CD844">
        <f>IF(ISBLANK('Data Entry'!$$844), "", 'Data Entry'!$$844)</f>
      </c>
      <c r="CE844">
        <f>IF(ISBLANK('Data Entry'!$$844), "", 'Data Entry'!$$844)</f>
      </c>
      <c r="CF844">
        <f>IF(ISBLANK('Data Entry'!$$844), "", 'Data Entry'!$$844)</f>
      </c>
      <c r="CG844">
        <f>IF(ISBLANK('Data Entry'!$$844), "", 'Data Entry'!$$844)</f>
      </c>
      <c r="CH844">
        <f>IF(ISBLANK('Data Entry'!$$844), "", 'Data Entry'!$$844)</f>
      </c>
      <c r="CI844">
        <f>IF(ISBLANK('Data Entry'!$$844), "", 'Data Entry'!$$844)</f>
      </c>
      <c r="CJ844">
        <f>IF(ISBLANK('Data Entry'!$$844), "", 'Data Entry'!$$844)</f>
      </c>
      <c r="CK844">
        <f>IF(ISBLANK('Data Entry'!$$844), "", 'Data Entry'!$$844)</f>
      </c>
      <c r="CL844">
        <f>IF(ISBLANK('Data Entry'!$$844), "", 'Data Entry'!$$844)</f>
      </c>
      <c r="CM844">
        <f>IF(ISBLANK('Data Entry'!$$844), "", 'Data Entry'!$$844)</f>
      </c>
      <c r="CN844">
        <f>IF(ISBLANK('Data Entry'!$$844), "", 'Data Entry'!$$844)</f>
      </c>
      <c r="CO844">
        <f>IF(ISBLANK('Data Entry'!$$844), "", 'Data Entry'!$$844)</f>
      </c>
      <c r="CP844">
        <f>IF(ISBLANK('Data Entry'!$$844), "", 'Data Entry'!$$844)</f>
      </c>
      <c r="CQ844">
        <f>IF(ISBLANK('Data Entry'!$$844), "", 'Data Entry'!$$844)</f>
      </c>
      <c r="CR844">
        <f>IF(ISBLANK('Data Entry'!$ $844), "", 'Data Entry'!$ $844)</f>
      </c>
      <c r="CS844">
        <f>IF(ISBLANK('Data Entry'!$¡$844), "", 'Data Entry'!$¡$844)</f>
      </c>
      <c r="CT844">
        <f>IF(ISBLANK('Data Entry'!$¢$844), "", 'Data Entry'!$¢$844)</f>
      </c>
      <c r="CU844">
        <f>IF(ISBLANK('Data Entry'!$£$844), "", 'Data Entry'!$£$844)</f>
      </c>
      <c r="CV844">
        <f>IF(ISBLANK('Data Entry'!$¤$844), "", 'Data Entry'!$¤$844)</f>
      </c>
      <c r="CW844">
        <f>IF(ISBLANK('Data Entry'!$¥$844), "", 'Data Entry'!$¥$844)</f>
      </c>
      <c r="CX844">
        <f>IF(ISBLANK('Data Entry'!$¦$844), "", 'Data Entry'!$¦$844)</f>
      </c>
      <c r="CY844">
        <f>IF(ISBLANK('Data Entry'!$§$844), "", 'Data Entry'!$§$844)</f>
      </c>
      <c r="CZ844">
        <f>IF(ISBLANK('Data Entry'!$¨$844), "", 'Data Entry'!$¨$844)</f>
      </c>
      <c r="DA844">
        <f>IF(ISBLANK('Data Entry'!$©$844), "", 'Data Entry'!$©$844)</f>
      </c>
      <c r="DB844">
        <f>IF(ISBLANK('Data Entry'!$ª$844), "", 'Data Entry'!$ª$844)</f>
      </c>
      <c r="DC844">
        <f>IF(ISBLANK('Data Entry'!$«$844), "", 'Data Entry'!$«$844)</f>
      </c>
      <c r="DD844">
        <f>IF(ISBLANK('Data Entry'!$¬$844), "", 'Data Entry'!$¬$844)</f>
      </c>
      <c r="DE844">
        <f>IF(ISBLANK('Data Entry'!$­$844), "", 'Data Entry'!$­$844)</f>
      </c>
      <c r="DF844">
        <f>IF(ISBLANK('Data Entry'!$®$844), "", 'Data Entry'!$®$844)</f>
      </c>
      <c r="DG844">
        <f>IF(ISBLANK('Data Entry'!$¯$844), "", 'Data Entry'!$¯$844)</f>
      </c>
      <c r="DH844">
        <f>IF(ISBLANK('Data Entry'!$°$844), "", 'Data Entry'!$°$844)</f>
      </c>
      <c r="DI844">
        <f>IF(ISBLANK('Data Entry'!$±$844), "", 'Data Entry'!$±$844)</f>
      </c>
      <c r="DJ844">
        <f>IF(ISBLANK('Data Entry'!$²$844), "", 'Data Entry'!$²$844)</f>
      </c>
      <c r="DK844">
        <f>IF(ISBLANK('Data Entry'!$³$844), "", 'Data Entry'!$³$844)</f>
      </c>
      <c r="DL844">
        <f>IF(ISBLANK('Data Entry'!$´$844), "", 'Data Entry'!$´$844)</f>
      </c>
      <c r="DM844">
        <f>IF(ISBLANK('Data Entry'!$µ$844), "", 'Data Entry'!$µ$844)</f>
      </c>
      <c r="DN844">
        <f>IF(ISBLANK('Data Entry'!$¶$844), "", 'Data Entry'!$¶$844)</f>
      </c>
      <c r="DO844">
        <f>IF(ISBLANK('Data Entry'!$·$844), "", 'Data Entry'!$·$844)</f>
      </c>
      <c r="DP844">
        <f>IF(ISBLANK('Data Entry'!$¸$844), "", 'Data Entry'!$¸$844)</f>
      </c>
      <c r="DQ844">
        <f>IF(ISBLANK('Data Entry'!$¹$844), "", 'Data Entry'!$¹$844)</f>
      </c>
      <c r="DR844">
        <f>IF(ISBLANK('Data Entry'!$º$844), "", 'Data Entry'!$º$844)</f>
      </c>
      <c r="DS844">
        <f>IF(ISBLANK('Data Entry'!$»$844), "", 'Data Entry'!$»$844)</f>
      </c>
      <c r="DT844">
        <f>IF(ISBLANK('Data Entry'!$¼$844), "", 'Data Entry'!$¼$844)</f>
      </c>
      <c r="DU844">
        <f>IF(ISBLANK('Data Entry'!$½$844), "", 'Data Entry'!$½$844)</f>
      </c>
      <c r="DV844">
        <f>IF(ISBLANK('Data Entry'!$¾$844), "", 'Data Entry'!$¾$844)</f>
      </c>
      <c r="DW844">
        <f>IF(ISBLANK('Data Entry'!$¿$844), "", 'Data Entry'!$¿$844)</f>
      </c>
      <c r="DX844">
        <f>IF(ISBLANK('Data Entry'!$À$844), "", 'Data Entry'!$À$844)</f>
      </c>
      <c r="DY844">
        <f>IF(ISBLANK('Data Entry'!$Á$844), "", 'Data Entry'!$Á$844)</f>
      </c>
      <c r="DZ844">
        <f>IF(ISBLANK('Data Entry'!$Â$844), "", 'Data Entry'!$Â$844)</f>
      </c>
      <c r="EA844">
        <f>IF(ISBLANK('Data Entry'!$Ã$844), "", 'Data Entry'!$Ã$844)</f>
      </c>
      <c r="EB844">
        <f>IF(ISBLANK('Data Entry'!$Ä$844), "", 'Data Entry'!$Ä$844)</f>
      </c>
      <c r="EC844">
        <f>IF(ISBLANK('Data Entry'!$Å$844), "", 'Data Entry'!$Å$844)</f>
      </c>
      <c r="ED844">
        <f>IF(ISBLANK('Data Entry'!$Æ$844), "", 'Data Entry'!$Æ$844)</f>
      </c>
      <c r="EE844">
        <f>IF(ISBLANK('Data Entry'!$Ç$844), "", 'Data Entry'!$Ç$844)</f>
      </c>
      <c r="EF844">
        <f>IF(ISBLANK('Data Entry'!$È$844), "", 'Data Entry'!$È$844)</f>
      </c>
      <c r="EG844">
        <f>IF(ISBLANK('Data Entry'!$É$844), "", 'Data Entry'!$É$844)</f>
      </c>
      <c r="EH844">
        <f>IF(ISBLANK('Data Entry'!$Ê$844), "", 'Data Entry'!$Ê$844)</f>
      </c>
      <c r="EI844">
        <f>IF(ISBLANK('Data Entry'!$Ë$844), "", 'Data Entry'!$Ë$844)</f>
      </c>
      <c r="EJ844">
        <f>IF(ISBLANK('Data Entry'!$Ì$844), "", 'Data Entry'!$Ì$844)</f>
      </c>
      <c r="EK844">
        <f>IF(ISBLANK('Data Entry'!$Í$844), "", 'Data Entry'!$Í$844)</f>
      </c>
      <c r="EL844">
        <f>IF(ISBLANK('Data Entry'!$Î$844), "", 'Data Entry'!$Î$844)</f>
      </c>
      <c r="EM844">
        <f>IF(ISBLANK('Data Entry'!$Ï$844), "", 'Data Entry'!$Ï$844)</f>
      </c>
      <c r="EN844">
        <f>IF(ISBLANK('Data Entry'!$Ð$844), "", 'Data Entry'!$Ð$844)</f>
      </c>
      <c r="EO844">
        <f>IF(ISBLANK('Data Entry'!$Ñ$844), "", 'Data Entry'!$Ñ$844)</f>
      </c>
      <c r="EP844">
        <f>IF(ISBLANK('Data Entry'!$Ò$844), "", 'Data Entry'!$Ò$844)</f>
      </c>
      <c r="EQ844">
        <f>IF(ISBLANK('Data Entry'!$Ó$844), "", 'Data Entry'!$Ó$844)</f>
      </c>
      <c r="ER844">
        <f>IF(ISBLANK('Data Entry'!$Ô$844), "", 'Data Entry'!$Ô$844)</f>
      </c>
      <c r="ES844">
        <f>IF(ISBLANK('Data Entry'!$Õ$844), "", 'Data Entry'!$Õ$844)</f>
      </c>
      <c r="ET844">
        <f>IF(ISBLANK('Data Entry'!$Ö$844), "", 'Data Entry'!$Ö$844)</f>
      </c>
      <c r="EU844">
        <f>IF(ISBLANK('Data Entry'!$×$844), "", 'Data Entry'!$×$844)</f>
      </c>
      <c r="EV844">
        <f>IF(ISBLANK('Data Entry'!$Ø$844), "", 'Data Entry'!$Ø$844)</f>
      </c>
      <c r="EW844">
        <f>IF(ISBLANK('Data Entry'!$Ù$844), "", 'Data Entry'!$Ù$844)</f>
      </c>
      <c r="EX844">
        <f>IF(ISBLANK('Data Entry'!$Ú$844), "", 'Data Entry'!$Ú$844)</f>
      </c>
      <c r="EY844">
        <f>IF(ISBLANK('Data Entry'!$Û$844), "", 'Data Entry'!$Û$844)</f>
      </c>
      <c r="EZ844">
        <f>IF(ISBLANK('Data Entry'!$Ü$844), "", 'Data Entry'!$Ü$844)</f>
      </c>
      <c r="FA844">
        <f>IF(ISBLANK('Data Entry'!$Ý$844), "", 'Data Entry'!$Ý$844)</f>
      </c>
      <c r="FB844">
        <f>IF(ISBLANK('Data Entry'!$Þ$844), "", 'Data Entry'!$Þ$844)</f>
      </c>
      <c r="FC844">
        <f>IF(ISBLANK('Data Entry'!$ß$844), "", 'Data Entry'!$ß$844)</f>
      </c>
      <c r="FD844">
        <f>IF(ISBLANK('Data Entry'!$à$844), "", 'Data Entry'!$à$844)</f>
      </c>
      <c r="FE844">
        <f>IF(ISBLANK('Data Entry'!$á$844), "", 'Data Entry'!$á$844)</f>
      </c>
      <c r="FF844">
        <f>IF(ISBLANK('Data Entry'!$â$844), "", 'Data Entry'!$â$844)</f>
      </c>
      <c r="FG844">
        <f>IF(ISBLANK('Data Entry'!$ã$844), "", 'Data Entry'!$ã$844)</f>
      </c>
      <c r="FH844">
        <f>IF(ISBLANK('Data Entry'!$ä$844), "", 'Data Entry'!$ä$844)</f>
      </c>
      <c r="FI844">
        <f>IF(ISBLANK('Data Entry'!$å$844), "", 'Data Entry'!$å$844)</f>
      </c>
      <c r="FJ844">
        <f>IF(ISBLANK('Data Entry'!$æ$844), "", 'Data Entry'!$æ$844)</f>
      </c>
      <c r="FK844">
        <f>IF(ISBLANK('Data Entry'!$ç$844), "", 'Data Entry'!$ç$844)</f>
      </c>
      <c r="FL844">
        <f>IF(ISBLANK('Data Entry'!$è$844), "", 'Data Entry'!$è$844)</f>
      </c>
      <c r="FM844">
        <f>IF(ISBLANK('Data Entry'!$é$844), "", 'Data Entry'!$é$844)</f>
      </c>
      <c r="FN844">
        <f>IF(ISBLANK('Data Entry'!$ê$844), "", 'Data Entry'!$ê$844)</f>
      </c>
      <c r="FO844">
        <f>IF(ISBLANK('Data Entry'!$ë$844), "", 'Data Entry'!$ë$844)</f>
      </c>
      <c r="FP844">
        <f>IF(ISBLANK('Data Entry'!$ì$844), "", 'Data Entry'!$ì$844)</f>
      </c>
      <c r="FQ844">
        <f>IF(ISBLANK('Data Entry'!$í$844), "", 'Data Entry'!$í$844)</f>
      </c>
      <c r="FR844">
        <f>IF(ISBLANK('Data Entry'!$î$844), "", 'Data Entry'!$î$844)</f>
      </c>
      <c r="FS844">
        <f>IF(ISBLANK('Data Entry'!$ï$844), "", 'Data Entry'!$ï$844)</f>
      </c>
      <c r="FT844">
        <f>IF(ISBLANK('Data Entry'!$ð$844), "", 'Data Entry'!$ð$844)</f>
      </c>
      <c r="FU844">
        <f>IF(ISBLANK('Data Entry'!$ñ$844), "", 'Data Entry'!$ñ$844)</f>
      </c>
      <c r="FV844">
        <f>IF(ISBLANK('Data Entry'!$ò$844), "", 'Data Entry'!$ò$844)</f>
      </c>
      <c r="FW844">
        <f>IF(ISBLANK('Data Entry'!$ó$844), "", 'Data Entry'!$ó$844)</f>
      </c>
      <c r="FX844">
        <f>IF(ISBLANK('Data Entry'!$ô$844), "", 'Data Entry'!$ô$844)</f>
      </c>
      <c r="FY844">
        <f>IF(ISBLANK('Data Entry'!$õ$844), "", 'Data Entry'!$õ$844)</f>
      </c>
      <c r="FZ844">
        <f>IF(ISBLANK('Data Entry'!$ö$844), "", 'Data Entry'!$ö$844)</f>
      </c>
      <c r="GA844">
        <f>IF(ISBLANK('Data Entry'!$÷$844), "", 'Data Entry'!$÷$844)</f>
      </c>
      <c r="GB844">
        <f>IF(ISBLANK('Data Entry'!$ø$844), "", 'Data Entry'!$ø$844)</f>
      </c>
      <c r="GC844">
        <f>IF(ISBLANK('Data Entry'!$ù$844), "", 'Data Entry'!$ù$844)</f>
      </c>
      <c r="GD844">
        <f>IF(ISBLANK('Data Entry'!$ú$844), "", 'Data Entry'!$ú$844)</f>
      </c>
      <c r="GE844">
        <f>IF(ISBLANK('Data Entry'!$û$844), "", 'Data Entry'!$û$844)</f>
      </c>
      <c r="GF844">
        <f>IF(ISBLANK('Data Entry'!$ü$844), "", 'Data Entry'!$ü$844)</f>
      </c>
      <c r="GG844">
        <f>IF(ISBLANK('Data Entry'!$ý$844), "", 'Data Entry'!$ý$844)</f>
      </c>
      <c r="GH844">
        <f>IF(ISBLANK('Data Entry'!$þ$844), "", 'Data Entry'!$þ$844)</f>
      </c>
      <c r="GI844">
        <f>IF(ISBLANK('Data Entry'!$ÿ$844), "", 'Data Entry'!$ÿ$844)</f>
      </c>
      <c r="GJ844">
        <f>IF(ISBLANK('Data Entry'!$Ā$844), "", 'Data Entry'!$Ā$844)</f>
      </c>
      <c r="GK844">
        <f>IF(ISBLANK('Data Entry'!$ā$844), "", 'Data Entry'!$ā$844)</f>
      </c>
      <c r="GL844">
        <f>IF(ISBLANK('Data Entry'!$Ă$844), "", 'Data Entry'!$Ă$844)</f>
      </c>
      <c r="GM844">
        <f>IF(ISBLANK('Data Entry'!$ă$844), "", 'Data Entry'!$ă$844)</f>
      </c>
      <c r="GN844">
        <f>IF(ISBLANK('Data Entry'!$Ą$844), "", 'Data Entry'!$Ą$844)</f>
      </c>
      <c r="GO844">
        <f>IF(ISBLANK('Data Entry'!$ą$844), "", 'Data Entry'!$ą$844)</f>
      </c>
      <c r="GP844">
        <f>IF(ISBLANK('Data Entry'!$Ć$844), "", 'Data Entry'!$Ć$844)</f>
      </c>
      <c r="GQ844">
        <f>IF(ISBLANK('Data Entry'!$ć$844), "", 'Data Entry'!$ć$844)</f>
      </c>
      <c r="GR844">
        <f>IF(ISBLANK('Data Entry'!$Ĉ$844), "", 'Data Entry'!$Ĉ$844)</f>
      </c>
      <c r="GS844">
        <f>IF(ISBLANK('Data Entry'!$ĉ$844), "", 'Data Entry'!$ĉ$844)</f>
      </c>
      <c r="GT844">
        <f>IF(ISBLANK('Data Entry'!$Ċ$844), "", 'Data Entry'!$Ċ$844)</f>
      </c>
      <c r="GU844">
        <f>IF(ISBLANK('Data Entry'!$ċ$844), "", 'Data Entry'!$ċ$844)</f>
      </c>
      <c r="GV844">
        <f>IF(ISBLANK('Data Entry'!$Č$844), "", 'Data Entry'!$Č$844)</f>
      </c>
      <c r="GW844">
        <f>IF(ISBLANK('Data Entry'!$č$844), "", 'Data Entry'!$č$844)</f>
      </c>
      <c r="GX844">
        <f>IF(ISBLANK('Data Entry'!$Ď$844), "", 'Data Entry'!$Ď$844)</f>
      </c>
      <c r="GY844">
        <f>IF(ISBLANK('Data Entry'!$ď$844), "", 'Data Entry'!$ď$844)</f>
      </c>
      <c r="GZ844">
        <f>IF(ISBLANK('Data Entry'!$Đ$844), "", 'Data Entry'!$Đ$844)</f>
      </c>
      <c r="HA844">
        <f>IF(ISBLANK('Data Entry'!$đ$844), "", 'Data Entry'!$đ$844)</f>
      </c>
      <c r="HB844">
        <f>IF(ISBLANK('Data Entry'!$Ē$844), "", 'Data Entry'!$Ē$844)</f>
      </c>
      <c r="HC844">
        <f>IF(ISBLANK('Data Entry'!$ē$844), "", 'Data Entry'!$ē$844)</f>
      </c>
      <c r="HD844">
        <f>IF(ISBLANK('Data Entry'!$Ĕ$844), "", 'Data Entry'!$Ĕ$844)</f>
      </c>
      <c r="HE844">
        <f>IF(ISBLANK('Data Entry'!$ĕ$844), "", 'Data Entry'!$ĕ$844)</f>
      </c>
      <c r="HF844">
        <f>IF(ISBLANK('Data Entry'!$Ė$844), "", 'Data Entry'!$Ė$844)</f>
      </c>
      <c r="HG844">
        <f>IF(ISBLANK('Data Entry'!$ė$844), "", 'Data Entry'!$ė$844)</f>
      </c>
      <c r="HH844">
        <f>IF(ISBLANK('Data Entry'!$Ę$844), "", 'Data Entry'!$Ę$844)</f>
      </c>
      <c r="HI844">
        <f>IF(ISBLANK('Data Entry'!$ę$844), "", 'Data Entry'!$ę$844)</f>
      </c>
      <c r="HJ844">
        <f>IF(ISBLANK('Data Entry'!$Ě$844), "", 'Data Entry'!$Ě$844)</f>
      </c>
      <c r="HK844">
        <f>IF(ISBLANK('Data Entry'!$ě$844), "", 'Data Entry'!$ě$844)</f>
      </c>
      <c r="HL844">
        <f>IF(ISBLANK('Data Entry'!$Ĝ$844), "", 'Data Entry'!$Ĝ$844)</f>
      </c>
      <c r="HM844">
        <f>IF(ISBLANK('Data Entry'!$ĝ$844), "", 'Data Entry'!$ĝ$844)</f>
      </c>
      <c r="HN844">
        <f>IF(ISBLANK('Data Entry'!$Ğ$844), "", 'Data Entry'!$Ğ$844)</f>
      </c>
      <c r="HO844">
        <f>IF(ISBLANK('Data Entry'!$ğ$844), "", 'Data Entry'!$ğ$844)</f>
      </c>
      <c r="HP844">
        <f>IF(ISBLANK('Data Entry'!$Ġ$844), "", 'Data Entry'!$Ġ$844)</f>
      </c>
      <c r="HQ844">
        <f>IF(ISBLANK('Data Entry'!$ġ$844), "", 'Data Entry'!$ġ$844)</f>
      </c>
      <c r="HR844">
        <f>IF(ISBLANK('Data Entry'!$Ģ$844), "", 'Data Entry'!$Ģ$844)</f>
      </c>
      <c r="HS844">
        <f>IF(ISBLANK('Data Entry'!$ģ$844), "", 'Data Entry'!$ģ$844)</f>
      </c>
      <c r="HT844">
        <f>IF(ISBLANK('Data Entry'!$Ĥ$844), "", 'Data Entry'!$Ĥ$844)</f>
      </c>
      <c r="HU844">
        <f>IF(ISBLANK('Data Entry'!$ĥ$844), "", 'Data Entry'!$ĥ$844)</f>
      </c>
      <c r="HV844">
        <f>IF(ISBLANK('Data Entry'!$Ħ$844), "", 'Data Entry'!$Ħ$844)</f>
      </c>
      <c r="HW844">
        <f>IF(ISBLANK('Data Entry'!$ħ$844), "", 'Data Entry'!$ħ$844)</f>
      </c>
      <c r="HX844">
        <f>IF(ISBLANK('Data Entry'!$Ĩ$844), "", 'Data Entry'!$Ĩ$844)</f>
      </c>
      <c r="HY844">
        <f>IF(ISBLANK('Data Entry'!$ĩ$844), "", 'Data Entry'!$ĩ$844)</f>
      </c>
      <c r="HZ844">
        <f>IF(ISBLANK('Data Entry'!$Ī$844), "", 'Data Entry'!$Ī$844)</f>
      </c>
      <c r="IA844">
        <f>IF(ISBLANK('Data Entry'!$ī$844), "", 'Data Entry'!$ī$844)</f>
      </c>
      <c r="IB844">
        <f>IF(ISBLANK('Data Entry'!$Ĭ$844), "", 'Data Entry'!$Ĭ$844)</f>
      </c>
      <c r="IC844">
        <f>IF(ISBLANK('Data Entry'!$ĭ$844), "", 'Data Entry'!$ĭ$844)</f>
      </c>
      <c r="ID844">
        <f>IF(ISBLANK('Data Entry'!$Į$844), "", 'Data Entry'!$Į$844)</f>
      </c>
      <c r="IE844">
        <f>IF(ISBLANK('Data Entry'!$į$844), "", 'Data Entry'!$į$844)</f>
      </c>
      <c r="IF844">
        <f>IF(ISBLANK('Data Entry'!$İ$844), "", 'Data Entry'!$İ$844)</f>
      </c>
      <c r="IG844">
        <f>IF(ISBLANK('Data Entry'!$ı$844), "", 'Data Entry'!$ı$844)</f>
      </c>
      <c r="IH844">
        <f>IF(ISBLANK('Data Entry'!$Ĳ$844), "", 'Data Entry'!$Ĳ$844)</f>
      </c>
      <c r="II844">
        <f>IF(ISBLANK('Data Entry'!$ĳ$844), "", 'Data Entry'!$ĳ$844)</f>
      </c>
      <c r="IJ844">
        <f>IF(ISBLANK('Data Entry'!$Ĵ$844), "", 'Data Entry'!$Ĵ$844)</f>
      </c>
      <c r="IK844">
        <f>IF(ISBLANK('Data Entry'!$ĵ$844), "", 'Data Entry'!$ĵ$844)</f>
      </c>
      <c r="IL844">
        <f>IF(ISBLANK('Data Entry'!$Ķ$844), "", 'Data Entry'!$Ķ$844)</f>
      </c>
      <c r="IM844">
        <f>IF(ISBLANK('Data Entry'!$ķ$844), "", 'Data Entry'!$ķ$844)</f>
      </c>
      <c r="IN844">
        <f>IF(ISBLANK('Data Entry'!$ĸ$844), "", 'Data Entry'!$ĸ$844)</f>
      </c>
      <c r="IO844">
        <f>IF(ISBLANK('Data Entry'!$Ĺ$844), "", 'Data Entry'!$Ĺ$844)</f>
      </c>
      <c r="IP844">
        <f>IF(ISBLANK('Data Entry'!$ĺ$844), "", 'Data Entry'!$ĺ$844)</f>
      </c>
      <c r="IQ844">
        <f>IF(ISBLANK('Data Entry'!$Ļ$844), "", 'Data Entry'!$Ļ$844)</f>
      </c>
      <c r="IR844">
        <f>IF(ISBLANK('Data Entry'!$ļ$844), "", 'Data Entry'!$ļ$844)</f>
      </c>
      <c r="IS844">
        <f>IF(ISBLANK('Data Entry'!$Ľ$844), "", 'Data Entry'!$Ľ$844)</f>
      </c>
      <c r="IT844">
        <f>IF(ISBLANK('Data Entry'!$ľ$844), "", 'Data Entry'!$ľ$844)</f>
      </c>
    </row>
    <row r="845" spans="1:254" x14ac:dyDescent="0.25">
      <c r="A845">
        <f>IF(ISBLANK('Data Entry'!$A$845), "", 'Data Entry'!$A$845)</f>
      </c>
      <c r="B845">
        <f>IF(ISBLANK('Data Entry'!$B$845), "", 'Data Entry'!$B$845)</f>
      </c>
      <c r="C845">
        <f>IF(ISBLANK('Data Entry'!$C$845), "", 'Data Entry'!$C$845)</f>
      </c>
      <c r="D845">
        <f>IF(ISBLANK('Data Entry'!$D$845), "", 'Data Entry'!$D$845)</f>
      </c>
      <c r="E845">
        <f>IF(ISBLANK('Data Entry'!$E$845), "", 'Data Entry'!$E$845)</f>
      </c>
      <c r="F845">
        <f>IF(ISBLANK('Data Entry'!$F$845), "", 'Data Entry'!$F$845)</f>
      </c>
      <c r="G845">
        <f>IF(ISBLANK('Data Entry'!$G$845), "", 'Data Entry'!$G$845)</f>
      </c>
      <c r="H845">
        <f>IF(ISBLANK('Data Entry'!$H$845), "", 'Data Entry'!$H$845)</f>
      </c>
      <c r="I845">
        <f>IF(ISBLANK('Data Entry'!$I$845), "", 'Data Entry'!$I$845)</f>
      </c>
      <c r="J845">
        <f>IF(ISBLANK('Data Entry'!$J$845), "", 'Data Entry'!$J$845)</f>
      </c>
      <c r="K845">
        <f>IF(ISBLANK('Data Entry'!$K$845), "", 'Data Entry'!$K$845)</f>
      </c>
      <c r="L845">
        <f>IF(ISBLANK('Data Entry'!$L$845), "", 'Data Entry'!$L$845)</f>
      </c>
      <c r="M845">
        <f>IF(ISBLANK('Data Entry'!$M$845), "", 'Data Entry'!$M$845)</f>
      </c>
      <c r="N845">
        <f>IF(ISBLANK('Data Entry'!$N$845), "", 'Data Entry'!$N$845)</f>
      </c>
      <c r="O845">
        <f>IF(ISBLANK('Data Entry'!$O$845), "", 'Data Entry'!$O$845)</f>
      </c>
      <c r="P845">
        <f>IF(ISBLANK('Data Entry'!$P$845), "", 'Data Entry'!$P$845)</f>
      </c>
      <c r="Q845">
        <f>IF(ISBLANK('Data Entry'!$Q$845), "", 'Data Entry'!$Q$845)</f>
      </c>
      <c r="R845">
        <f>IF(ISBLANK('Data Entry'!$R$845), "", 'Data Entry'!$R$845)</f>
      </c>
      <c r="S845">
        <f>IF(ISBLANK('Data Entry'!$S$845), "", 'Data Entry'!$S$845)</f>
      </c>
      <c r="T845">
        <f>IF(ISBLANK('Data Entry'!$T$845), "", 'Data Entry'!$T$845)</f>
      </c>
      <c r="U845">
        <f>IF(ISBLANK('Data Entry'!$U$845), "", 'Data Entry'!$U$845)</f>
      </c>
      <c r="V845">
        <f>IF(ISBLANK('Data Entry'!$V$845), "", 'Data Entry'!$V$845)</f>
      </c>
      <c r="W845">
        <f>IF(ISBLANK('Data Entry'!$W$845), "", 'Data Entry'!$W$845)</f>
      </c>
      <c r="X845">
        <f>IF(ISBLANK('Data Entry'!$X$845), "", 'Data Entry'!$X$845)</f>
      </c>
      <c r="Y845">
        <f>IF(ISBLANK('Data Entry'!$Y$845), "", 'Data Entry'!$Y$845)</f>
      </c>
      <c r="Z845">
        <f>IF(ISBLANK('Data Entry'!$Z$845), "", 'Data Entry'!$Z$845)</f>
      </c>
      <c r="AA845">
        <f>IF(ISBLANK('Data Entry'!$[$845), "", 'Data Entry'!$[$845)</f>
      </c>
      <c r="AB845">
        <f>IF(ISBLANK('Data Entry'!$\$845), "", 'Data Entry'!$\$845)</f>
      </c>
      <c r="AC845">
        <f>IF(ISBLANK('Data Entry'!$]$845), "", 'Data Entry'!$]$845)</f>
      </c>
      <c r="AD845">
        <f>IF(ISBLANK('Data Entry'!$^$845), "", 'Data Entry'!$^$845)</f>
      </c>
      <c r="AE845">
        <f>IF(ISBLANK('Data Entry'!$_$845), "", 'Data Entry'!$_$845)</f>
      </c>
      <c r="AF845">
        <f>IF(ISBLANK('Data Entry'!$`$845), "", 'Data Entry'!$`$845)</f>
      </c>
      <c r="AG845">
        <f>IF(ISBLANK('Data Entry'!$a$845), "", 'Data Entry'!$a$845)</f>
      </c>
      <c r="AH845">
        <f>IF(ISBLANK('Data Entry'!$b$845), "", 'Data Entry'!$b$845)</f>
      </c>
      <c r="AI845">
        <f>IF(ISBLANK('Data Entry'!$c$845), "", 'Data Entry'!$c$845)</f>
      </c>
      <c r="AJ845">
        <f>IF(ISBLANK('Data Entry'!$d$845), "", 'Data Entry'!$d$845)</f>
      </c>
      <c r="AK845">
        <f>IF(ISBLANK('Data Entry'!$e$845), "", 'Data Entry'!$e$845)</f>
      </c>
      <c r="AL845">
        <f>IF(ISBLANK('Data Entry'!$f$845), "", 'Data Entry'!$f$845)</f>
      </c>
      <c r="AM845">
        <f>IF(ISBLANK('Data Entry'!$g$845), "", 'Data Entry'!$g$845)</f>
      </c>
      <c r="AN845">
        <f>IF(ISBLANK('Data Entry'!$h$845), "", 'Data Entry'!$h$845)</f>
      </c>
      <c r="AO845">
        <f>IF(ISBLANK('Data Entry'!$i$845), "", 'Data Entry'!$i$845)</f>
      </c>
      <c r="AP845">
        <f>IF(ISBLANK('Data Entry'!$j$845), "", 'Data Entry'!$j$845)</f>
      </c>
      <c r="AQ845">
        <f>IF(ISBLANK('Data Entry'!$k$845), "", 'Data Entry'!$k$845)</f>
      </c>
      <c r="AR845">
        <f>IF(ISBLANK('Data Entry'!$l$845), "", 'Data Entry'!$l$845)</f>
      </c>
      <c r="AS845">
        <f>IF(ISBLANK('Data Entry'!$m$845), "", 'Data Entry'!$m$845)</f>
      </c>
      <c r="AT845">
        <f>IF(ISBLANK('Data Entry'!$n$845), "", 'Data Entry'!$n$845)</f>
      </c>
      <c r="AU845">
        <f>IF(ISBLANK('Data Entry'!$o$845), "", 'Data Entry'!$o$845)</f>
      </c>
      <c r="AV845">
        <f>IF(ISBLANK('Data Entry'!$p$845), "", 'Data Entry'!$p$845)</f>
      </c>
      <c r="AW845">
        <f>IF(ISBLANK('Data Entry'!$q$845), "", 'Data Entry'!$q$845)</f>
      </c>
      <c r="AX845">
        <f>IF(ISBLANK('Data Entry'!$r$845), "", 'Data Entry'!$r$845)</f>
      </c>
      <c r="AY845">
        <f>IF(ISBLANK('Data Entry'!$s$845), "", 'Data Entry'!$s$845)</f>
      </c>
      <c r="AZ845">
        <f>IF(ISBLANK('Data Entry'!$t$845), "", 'Data Entry'!$t$845)</f>
      </c>
      <c r="BA845">
        <f>IF(ISBLANK('Data Entry'!$u$845), "", 'Data Entry'!$u$845)</f>
      </c>
      <c r="BB845">
        <f>IF(ISBLANK('Data Entry'!$v$845), "", 'Data Entry'!$v$845)</f>
      </c>
      <c r="BC845">
        <f>IF(ISBLANK('Data Entry'!$w$845), "", 'Data Entry'!$w$845)</f>
      </c>
      <c r="BD845">
        <f>IF(ISBLANK('Data Entry'!$x$845), "", 'Data Entry'!$x$845)</f>
      </c>
      <c r="BE845">
        <f>IF(ISBLANK('Data Entry'!$y$845), "", 'Data Entry'!$y$845)</f>
      </c>
      <c r="BF845">
        <f>IF(ISBLANK('Data Entry'!$z$845), "", 'Data Entry'!$z$845)</f>
      </c>
      <c r="BG845">
        <f>IF(ISBLANK('Data Entry'!${$845), "", 'Data Entry'!${$845)</f>
      </c>
      <c r="BH845">
        <f>IF(ISBLANK('Data Entry'!$|$845), "", 'Data Entry'!$|$845)</f>
      </c>
      <c r="BI845">
        <f>IF(ISBLANK('Data Entry'!$}$845), "", 'Data Entry'!$}$845)</f>
      </c>
      <c r="BJ845">
        <f>IF(ISBLANK('Data Entry'!$~$845), "", 'Data Entry'!$~$845)</f>
      </c>
      <c r="BK845">
        <f>IF(ISBLANK('Data Entry'!$$845), "", 'Data Entry'!$$845)</f>
      </c>
      <c r="BL845">
        <f>IF(ISBLANK('Data Entry'!$$845), "", 'Data Entry'!$$845)</f>
      </c>
      <c r="BM845">
        <f>IF(ISBLANK('Data Entry'!$$845), "", 'Data Entry'!$$845)</f>
      </c>
      <c r="BN845">
        <f>IF(ISBLANK('Data Entry'!$$845), "", 'Data Entry'!$$845)</f>
      </c>
      <c r="BO845">
        <f>IF(ISBLANK('Data Entry'!$$845), "", 'Data Entry'!$$845)</f>
      </c>
      <c r="BP845">
        <f>IF(ISBLANK('Data Entry'!$$845), "", 'Data Entry'!$$845)</f>
      </c>
      <c r="BQ845">
        <f>IF(ISBLANK('Data Entry'!$$845), "", 'Data Entry'!$$845)</f>
      </c>
      <c r="BR845">
        <f>IF(ISBLANK('Data Entry'!$$845), "", 'Data Entry'!$$845)</f>
      </c>
      <c r="BS845">
        <f>IF(ISBLANK('Data Entry'!$$845), "", 'Data Entry'!$$845)</f>
      </c>
      <c r="BT845">
        <f>IF(ISBLANK('Data Entry'!$$845), "", 'Data Entry'!$$845)</f>
      </c>
      <c r="BU845">
        <f>IF(ISBLANK('Data Entry'!$$845), "", 'Data Entry'!$$845)</f>
      </c>
      <c r="BV845">
        <f>IF(ISBLANK('Data Entry'!$$845), "", 'Data Entry'!$$845)</f>
      </c>
      <c r="BW845">
        <f>IF(ISBLANK('Data Entry'!$$845), "", 'Data Entry'!$$845)</f>
      </c>
      <c r="BX845">
        <f>IF(ISBLANK('Data Entry'!$$845), "", 'Data Entry'!$$845)</f>
      </c>
      <c r="BY845">
        <f>IF(ISBLANK('Data Entry'!$$845), "", 'Data Entry'!$$845)</f>
      </c>
      <c r="BZ845">
        <f>IF(ISBLANK('Data Entry'!$$845), "", 'Data Entry'!$$845)</f>
      </c>
      <c r="CA845">
        <f>IF(ISBLANK('Data Entry'!$$845), "", 'Data Entry'!$$845)</f>
      </c>
      <c r="CB845">
        <f>IF(ISBLANK('Data Entry'!$$845), "", 'Data Entry'!$$845)</f>
      </c>
      <c r="CC845">
        <f>IF(ISBLANK('Data Entry'!$$845), "", 'Data Entry'!$$845)</f>
      </c>
      <c r="CD845">
        <f>IF(ISBLANK('Data Entry'!$$845), "", 'Data Entry'!$$845)</f>
      </c>
      <c r="CE845">
        <f>IF(ISBLANK('Data Entry'!$$845), "", 'Data Entry'!$$845)</f>
      </c>
      <c r="CF845">
        <f>IF(ISBLANK('Data Entry'!$$845), "", 'Data Entry'!$$845)</f>
      </c>
      <c r="CG845">
        <f>IF(ISBLANK('Data Entry'!$$845), "", 'Data Entry'!$$845)</f>
      </c>
      <c r="CH845">
        <f>IF(ISBLANK('Data Entry'!$$845), "", 'Data Entry'!$$845)</f>
      </c>
      <c r="CI845">
        <f>IF(ISBLANK('Data Entry'!$$845), "", 'Data Entry'!$$845)</f>
      </c>
      <c r="CJ845">
        <f>IF(ISBLANK('Data Entry'!$$845), "", 'Data Entry'!$$845)</f>
      </c>
      <c r="CK845">
        <f>IF(ISBLANK('Data Entry'!$$845), "", 'Data Entry'!$$845)</f>
      </c>
      <c r="CL845">
        <f>IF(ISBLANK('Data Entry'!$$845), "", 'Data Entry'!$$845)</f>
      </c>
      <c r="CM845">
        <f>IF(ISBLANK('Data Entry'!$$845), "", 'Data Entry'!$$845)</f>
      </c>
      <c r="CN845">
        <f>IF(ISBLANK('Data Entry'!$$845), "", 'Data Entry'!$$845)</f>
      </c>
      <c r="CO845">
        <f>IF(ISBLANK('Data Entry'!$$845), "", 'Data Entry'!$$845)</f>
      </c>
      <c r="CP845">
        <f>IF(ISBLANK('Data Entry'!$$845), "", 'Data Entry'!$$845)</f>
      </c>
      <c r="CQ845">
        <f>IF(ISBLANK('Data Entry'!$$845), "", 'Data Entry'!$$845)</f>
      </c>
      <c r="CR845">
        <f>IF(ISBLANK('Data Entry'!$ $845), "", 'Data Entry'!$ $845)</f>
      </c>
      <c r="CS845">
        <f>IF(ISBLANK('Data Entry'!$¡$845), "", 'Data Entry'!$¡$845)</f>
      </c>
      <c r="CT845">
        <f>IF(ISBLANK('Data Entry'!$¢$845), "", 'Data Entry'!$¢$845)</f>
      </c>
      <c r="CU845">
        <f>IF(ISBLANK('Data Entry'!$£$845), "", 'Data Entry'!$£$845)</f>
      </c>
      <c r="CV845">
        <f>IF(ISBLANK('Data Entry'!$¤$845), "", 'Data Entry'!$¤$845)</f>
      </c>
      <c r="CW845">
        <f>IF(ISBLANK('Data Entry'!$¥$845), "", 'Data Entry'!$¥$845)</f>
      </c>
      <c r="CX845">
        <f>IF(ISBLANK('Data Entry'!$¦$845), "", 'Data Entry'!$¦$845)</f>
      </c>
      <c r="CY845">
        <f>IF(ISBLANK('Data Entry'!$§$845), "", 'Data Entry'!$§$845)</f>
      </c>
      <c r="CZ845">
        <f>IF(ISBLANK('Data Entry'!$¨$845), "", 'Data Entry'!$¨$845)</f>
      </c>
      <c r="DA845">
        <f>IF(ISBLANK('Data Entry'!$©$845), "", 'Data Entry'!$©$845)</f>
      </c>
      <c r="DB845">
        <f>IF(ISBLANK('Data Entry'!$ª$845), "", 'Data Entry'!$ª$845)</f>
      </c>
      <c r="DC845">
        <f>IF(ISBLANK('Data Entry'!$«$845), "", 'Data Entry'!$«$845)</f>
      </c>
      <c r="DD845">
        <f>IF(ISBLANK('Data Entry'!$¬$845), "", 'Data Entry'!$¬$845)</f>
      </c>
      <c r="DE845">
        <f>IF(ISBLANK('Data Entry'!$­$845), "", 'Data Entry'!$­$845)</f>
      </c>
      <c r="DF845">
        <f>IF(ISBLANK('Data Entry'!$®$845), "", 'Data Entry'!$®$845)</f>
      </c>
      <c r="DG845">
        <f>IF(ISBLANK('Data Entry'!$¯$845), "", 'Data Entry'!$¯$845)</f>
      </c>
      <c r="DH845">
        <f>IF(ISBLANK('Data Entry'!$°$845), "", 'Data Entry'!$°$845)</f>
      </c>
      <c r="DI845">
        <f>IF(ISBLANK('Data Entry'!$±$845), "", 'Data Entry'!$±$845)</f>
      </c>
      <c r="DJ845">
        <f>IF(ISBLANK('Data Entry'!$²$845), "", 'Data Entry'!$²$845)</f>
      </c>
      <c r="DK845">
        <f>IF(ISBLANK('Data Entry'!$³$845), "", 'Data Entry'!$³$845)</f>
      </c>
      <c r="DL845">
        <f>IF(ISBLANK('Data Entry'!$´$845), "", 'Data Entry'!$´$845)</f>
      </c>
      <c r="DM845">
        <f>IF(ISBLANK('Data Entry'!$µ$845), "", 'Data Entry'!$µ$845)</f>
      </c>
      <c r="DN845">
        <f>IF(ISBLANK('Data Entry'!$¶$845), "", 'Data Entry'!$¶$845)</f>
      </c>
      <c r="DO845">
        <f>IF(ISBLANK('Data Entry'!$·$845), "", 'Data Entry'!$·$845)</f>
      </c>
      <c r="DP845">
        <f>IF(ISBLANK('Data Entry'!$¸$845), "", 'Data Entry'!$¸$845)</f>
      </c>
      <c r="DQ845">
        <f>IF(ISBLANK('Data Entry'!$¹$845), "", 'Data Entry'!$¹$845)</f>
      </c>
      <c r="DR845">
        <f>IF(ISBLANK('Data Entry'!$º$845), "", 'Data Entry'!$º$845)</f>
      </c>
      <c r="DS845">
        <f>IF(ISBLANK('Data Entry'!$»$845), "", 'Data Entry'!$»$845)</f>
      </c>
      <c r="DT845">
        <f>IF(ISBLANK('Data Entry'!$¼$845), "", 'Data Entry'!$¼$845)</f>
      </c>
      <c r="DU845">
        <f>IF(ISBLANK('Data Entry'!$½$845), "", 'Data Entry'!$½$845)</f>
      </c>
      <c r="DV845">
        <f>IF(ISBLANK('Data Entry'!$¾$845), "", 'Data Entry'!$¾$845)</f>
      </c>
      <c r="DW845">
        <f>IF(ISBLANK('Data Entry'!$¿$845), "", 'Data Entry'!$¿$845)</f>
      </c>
      <c r="DX845">
        <f>IF(ISBLANK('Data Entry'!$À$845), "", 'Data Entry'!$À$845)</f>
      </c>
      <c r="DY845">
        <f>IF(ISBLANK('Data Entry'!$Á$845), "", 'Data Entry'!$Á$845)</f>
      </c>
      <c r="DZ845">
        <f>IF(ISBLANK('Data Entry'!$Â$845), "", 'Data Entry'!$Â$845)</f>
      </c>
      <c r="EA845">
        <f>IF(ISBLANK('Data Entry'!$Ã$845), "", 'Data Entry'!$Ã$845)</f>
      </c>
      <c r="EB845">
        <f>IF(ISBLANK('Data Entry'!$Ä$845), "", 'Data Entry'!$Ä$845)</f>
      </c>
      <c r="EC845">
        <f>IF(ISBLANK('Data Entry'!$Å$845), "", 'Data Entry'!$Å$845)</f>
      </c>
      <c r="ED845">
        <f>IF(ISBLANK('Data Entry'!$Æ$845), "", 'Data Entry'!$Æ$845)</f>
      </c>
      <c r="EE845">
        <f>IF(ISBLANK('Data Entry'!$Ç$845), "", 'Data Entry'!$Ç$845)</f>
      </c>
      <c r="EF845">
        <f>IF(ISBLANK('Data Entry'!$È$845), "", 'Data Entry'!$È$845)</f>
      </c>
      <c r="EG845">
        <f>IF(ISBLANK('Data Entry'!$É$845), "", 'Data Entry'!$É$845)</f>
      </c>
      <c r="EH845">
        <f>IF(ISBLANK('Data Entry'!$Ê$845), "", 'Data Entry'!$Ê$845)</f>
      </c>
      <c r="EI845">
        <f>IF(ISBLANK('Data Entry'!$Ë$845), "", 'Data Entry'!$Ë$845)</f>
      </c>
      <c r="EJ845">
        <f>IF(ISBLANK('Data Entry'!$Ì$845), "", 'Data Entry'!$Ì$845)</f>
      </c>
      <c r="EK845">
        <f>IF(ISBLANK('Data Entry'!$Í$845), "", 'Data Entry'!$Í$845)</f>
      </c>
      <c r="EL845">
        <f>IF(ISBLANK('Data Entry'!$Î$845), "", 'Data Entry'!$Î$845)</f>
      </c>
      <c r="EM845">
        <f>IF(ISBLANK('Data Entry'!$Ï$845), "", 'Data Entry'!$Ï$845)</f>
      </c>
      <c r="EN845">
        <f>IF(ISBLANK('Data Entry'!$Ð$845), "", 'Data Entry'!$Ð$845)</f>
      </c>
      <c r="EO845">
        <f>IF(ISBLANK('Data Entry'!$Ñ$845), "", 'Data Entry'!$Ñ$845)</f>
      </c>
      <c r="EP845">
        <f>IF(ISBLANK('Data Entry'!$Ò$845), "", 'Data Entry'!$Ò$845)</f>
      </c>
      <c r="EQ845">
        <f>IF(ISBLANK('Data Entry'!$Ó$845), "", 'Data Entry'!$Ó$845)</f>
      </c>
      <c r="ER845">
        <f>IF(ISBLANK('Data Entry'!$Ô$845), "", 'Data Entry'!$Ô$845)</f>
      </c>
      <c r="ES845">
        <f>IF(ISBLANK('Data Entry'!$Õ$845), "", 'Data Entry'!$Õ$845)</f>
      </c>
      <c r="ET845">
        <f>IF(ISBLANK('Data Entry'!$Ö$845), "", 'Data Entry'!$Ö$845)</f>
      </c>
      <c r="EU845">
        <f>IF(ISBLANK('Data Entry'!$×$845), "", 'Data Entry'!$×$845)</f>
      </c>
      <c r="EV845">
        <f>IF(ISBLANK('Data Entry'!$Ø$845), "", 'Data Entry'!$Ø$845)</f>
      </c>
      <c r="EW845">
        <f>IF(ISBLANK('Data Entry'!$Ù$845), "", 'Data Entry'!$Ù$845)</f>
      </c>
      <c r="EX845">
        <f>IF(ISBLANK('Data Entry'!$Ú$845), "", 'Data Entry'!$Ú$845)</f>
      </c>
      <c r="EY845">
        <f>IF(ISBLANK('Data Entry'!$Û$845), "", 'Data Entry'!$Û$845)</f>
      </c>
      <c r="EZ845">
        <f>IF(ISBLANK('Data Entry'!$Ü$845), "", 'Data Entry'!$Ü$845)</f>
      </c>
      <c r="FA845">
        <f>IF(ISBLANK('Data Entry'!$Ý$845), "", 'Data Entry'!$Ý$845)</f>
      </c>
      <c r="FB845">
        <f>IF(ISBLANK('Data Entry'!$Þ$845), "", 'Data Entry'!$Þ$845)</f>
      </c>
      <c r="FC845">
        <f>IF(ISBLANK('Data Entry'!$ß$845), "", 'Data Entry'!$ß$845)</f>
      </c>
      <c r="FD845">
        <f>IF(ISBLANK('Data Entry'!$à$845), "", 'Data Entry'!$à$845)</f>
      </c>
      <c r="FE845">
        <f>IF(ISBLANK('Data Entry'!$á$845), "", 'Data Entry'!$á$845)</f>
      </c>
      <c r="FF845">
        <f>IF(ISBLANK('Data Entry'!$â$845), "", 'Data Entry'!$â$845)</f>
      </c>
      <c r="FG845">
        <f>IF(ISBLANK('Data Entry'!$ã$845), "", 'Data Entry'!$ã$845)</f>
      </c>
      <c r="FH845">
        <f>IF(ISBLANK('Data Entry'!$ä$845), "", 'Data Entry'!$ä$845)</f>
      </c>
      <c r="FI845">
        <f>IF(ISBLANK('Data Entry'!$å$845), "", 'Data Entry'!$å$845)</f>
      </c>
      <c r="FJ845">
        <f>IF(ISBLANK('Data Entry'!$æ$845), "", 'Data Entry'!$æ$845)</f>
      </c>
      <c r="FK845">
        <f>IF(ISBLANK('Data Entry'!$ç$845), "", 'Data Entry'!$ç$845)</f>
      </c>
      <c r="FL845">
        <f>IF(ISBLANK('Data Entry'!$è$845), "", 'Data Entry'!$è$845)</f>
      </c>
      <c r="FM845">
        <f>IF(ISBLANK('Data Entry'!$é$845), "", 'Data Entry'!$é$845)</f>
      </c>
      <c r="FN845">
        <f>IF(ISBLANK('Data Entry'!$ê$845), "", 'Data Entry'!$ê$845)</f>
      </c>
      <c r="FO845">
        <f>IF(ISBLANK('Data Entry'!$ë$845), "", 'Data Entry'!$ë$845)</f>
      </c>
      <c r="FP845">
        <f>IF(ISBLANK('Data Entry'!$ì$845), "", 'Data Entry'!$ì$845)</f>
      </c>
      <c r="FQ845">
        <f>IF(ISBLANK('Data Entry'!$í$845), "", 'Data Entry'!$í$845)</f>
      </c>
      <c r="FR845">
        <f>IF(ISBLANK('Data Entry'!$î$845), "", 'Data Entry'!$î$845)</f>
      </c>
      <c r="FS845">
        <f>IF(ISBLANK('Data Entry'!$ï$845), "", 'Data Entry'!$ï$845)</f>
      </c>
      <c r="FT845">
        <f>IF(ISBLANK('Data Entry'!$ð$845), "", 'Data Entry'!$ð$845)</f>
      </c>
      <c r="FU845">
        <f>IF(ISBLANK('Data Entry'!$ñ$845), "", 'Data Entry'!$ñ$845)</f>
      </c>
      <c r="FV845">
        <f>IF(ISBLANK('Data Entry'!$ò$845), "", 'Data Entry'!$ò$845)</f>
      </c>
      <c r="FW845">
        <f>IF(ISBLANK('Data Entry'!$ó$845), "", 'Data Entry'!$ó$845)</f>
      </c>
      <c r="FX845">
        <f>IF(ISBLANK('Data Entry'!$ô$845), "", 'Data Entry'!$ô$845)</f>
      </c>
      <c r="FY845">
        <f>IF(ISBLANK('Data Entry'!$õ$845), "", 'Data Entry'!$õ$845)</f>
      </c>
      <c r="FZ845">
        <f>IF(ISBLANK('Data Entry'!$ö$845), "", 'Data Entry'!$ö$845)</f>
      </c>
      <c r="GA845">
        <f>IF(ISBLANK('Data Entry'!$÷$845), "", 'Data Entry'!$÷$845)</f>
      </c>
      <c r="GB845">
        <f>IF(ISBLANK('Data Entry'!$ø$845), "", 'Data Entry'!$ø$845)</f>
      </c>
      <c r="GC845">
        <f>IF(ISBLANK('Data Entry'!$ù$845), "", 'Data Entry'!$ù$845)</f>
      </c>
      <c r="GD845">
        <f>IF(ISBLANK('Data Entry'!$ú$845), "", 'Data Entry'!$ú$845)</f>
      </c>
      <c r="GE845">
        <f>IF(ISBLANK('Data Entry'!$û$845), "", 'Data Entry'!$û$845)</f>
      </c>
      <c r="GF845">
        <f>IF(ISBLANK('Data Entry'!$ü$845), "", 'Data Entry'!$ü$845)</f>
      </c>
      <c r="GG845">
        <f>IF(ISBLANK('Data Entry'!$ý$845), "", 'Data Entry'!$ý$845)</f>
      </c>
      <c r="GH845">
        <f>IF(ISBLANK('Data Entry'!$þ$845), "", 'Data Entry'!$þ$845)</f>
      </c>
      <c r="GI845">
        <f>IF(ISBLANK('Data Entry'!$ÿ$845), "", 'Data Entry'!$ÿ$845)</f>
      </c>
      <c r="GJ845">
        <f>IF(ISBLANK('Data Entry'!$Ā$845), "", 'Data Entry'!$Ā$845)</f>
      </c>
      <c r="GK845">
        <f>IF(ISBLANK('Data Entry'!$ā$845), "", 'Data Entry'!$ā$845)</f>
      </c>
      <c r="GL845">
        <f>IF(ISBLANK('Data Entry'!$Ă$845), "", 'Data Entry'!$Ă$845)</f>
      </c>
      <c r="GM845">
        <f>IF(ISBLANK('Data Entry'!$ă$845), "", 'Data Entry'!$ă$845)</f>
      </c>
      <c r="GN845">
        <f>IF(ISBLANK('Data Entry'!$Ą$845), "", 'Data Entry'!$Ą$845)</f>
      </c>
      <c r="GO845">
        <f>IF(ISBLANK('Data Entry'!$ą$845), "", 'Data Entry'!$ą$845)</f>
      </c>
      <c r="GP845">
        <f>IF(ISBLANK('Data Entry'!$Ć$845), "", 'Data Entry'!$Ć$845)</f>
      </c>
      <c r="GQ845">
        <f>IF(ISBLANK('Data Entry'!$ć$845), "", 'Data Entry'!$ć$845)</f>
      </c>
      <c r="GR845">
        <f>IF(ISBLANK('Data Entry'!$Ĉ$845), "", 'Data Entry'!$Ĉ$845)</f>
      </c>
      <c r="GS845">
        <f>IF(ISBLANK('Data Entry'!$ĉ$845), "", 'Data Entry'!$ĉ$845)</f>
      </c>
      <c r="GT845">
        <f>IF(ISBLANK('Data Entry'!$Ċ$845), "", 'Data Entry'!$Ċ$845)</f>
      </c>
      <c r="GU845">
        <f>IF(ISBLANK('Data Entry'!$ċ$845), "", 'Data Entry'!$ċ$845)</f>
      </c>
      <c r="GV845">
        <f>IF(ISBLANK('Data Entry'!$Č$845), "", 'Data Entry'!$Č$845)</f>
      </c>
      <c r="GW845">
        <f>IF(ISBLANK('Data Entry'!$č$845), "", 'Data Entry'!$č$845)</f>
      </c>
      <c r="GX845">
        <f>IF(ISBLANK('Data Entry'!$Ď$845), "", 'Data Entry'!$Ď$845)</f>
      </c>
      <c r="GY845">
        <f>IF(ISBLANK('Data Entry'!$ď$845), "", 'Data Entry'!$ď$845)</f>
      </c>
      <c r="GZ845">
        <f>IF(ISBLANK('Data Entry'!$Đ$845), "", 'Data Entry'!$Đ$845)</f>
      </c>
      <c r="HA845">
        <f>IF(ISBLANK('Data Entry'!$đ$845), "", 'Data Entry'!$đ$845)</f>
      </c>
      <c r="HB845">
        <f>IF(ISBLANK('Data Entry'!$Ē$845), "", 'Data Entry'!$Ē$845)</f>
      </c>
      <c r="HC845">
        <f>IF(ISBLANK('Data Entry'!$ē$845), "", 'Data Entry'!$ē$845)</f>
      </c>
      <c r="HD845">
        <f>IF(ISBLANK('Data Entry'!$Ĕ$845), "", 'Data Entry'!$Ĕ$845)</f>
      </c>
      <c r="HE845">
        <f>IF(ISBLANK('Data Entry'!$ĕ$845), "", 'Data Entry'!$ĕ$845)</f>
      </c>
      <c r="HF845">
        <f>IF(ISBLANK('Data Entry'!$Ė$845), "", 'Data Entry'!$Ė$845)</f>
      </c>
      <c r="HG845">
        <f>IF(ISBLANK('Data Entry'!$ė$845), "", 'Data Entry'!$ė$845)</f>
      </c>
      <c r="HH845">
        <f>IF(ISBLANK('Data Entry'!$Ę$845), "", 'Data Entry'!$Ę$845)</f>
      </c>
      <c r="HI845">
        <f>IF(ISBLANK('Data Entry'!$ę$845), "", 'Data Entry'!$ę$845)</f>
      </c>
      <c r="HJ845">
        <f>IF(ISBLANK('Data Entry'!$Ě$845), "", 'Data Entry'!$Ě$845)</f>
      </c>
      <c r="HK845">
        <f>IF(ISBLANK('Data Entry'!$ě$845), "", 'Data Entry'!$ě$845)</f>
      </c>
      <c r="HL845">
        <f>IF(ISBLANK('Data Entry'!$Ĝ$845), "", 'Data Entry'!$Ĝ$845)</f>
      </c>
      <c r="HM845">
        <f>IF(ISBLANK('Data Entry'!$ĝ$845), "", 'Data Entry'!$ĝ$845)</f>
      </c>
      <c r="HN845">
        <f>IF(ISBLANK('Data Entry'!$Ğ$845), "", 'Data Entry'!$Ğ$845)</f>
      </c>
      <c r="HO845">
        <f>IF(ISBLANK('Data Entry'!$ğ$845), "", 'Data Entry'!$ğ$845)</f>
      </c>
      <c r="HP845">
        <f>IF(ISBLANK('Data Entry'!$Ġ$845), "", 'Data Entry'!$Ġ$845)</f>
      </c>
      <c r="HQ845">
        <f>IF(ISBLANK('Data Entry'!$ġ$845), "", 'Data Entry'!$ġ$845)</f>
      </c>
      <c r="HR845">
        <f>IF(ISBLANK('Data Entry'!$Ģ$845), "", 'Data Entry'!$Ģ$845)</f>
      </c>
      <c r="HS845">
        <f>IF(ISBLANK('Data Entry'!$ģ$845), "", 'Data Entry'!$ģ$845)</f>
      </c>
      <c r="HT845">
        <f>IF(ISBLANK('Data Entry'!$Ĥ$845), "", 'Data Entry'!$Ĥ$845)</f>
      </c>
      <c r="HU845">
        <f>IF(ISBLANK('Data Entry'!$ĥ$845), "", 'Data Entry'!$ĥ$845)</f>
      </c>
      <c r="HV845">
        <f>IF(ISBLANK('Data Entry'!$Ħ$845), "", 'Data Entry'!$Ħ$845)</f>
      </c>
      <c r="HW845">
        <f>IF(ISBLANK('Data Entry'!$ħ$845), "", 'Data Entry'!$ħ$845)</f>
      </c>
      <c r="HX845">
        <f>IF(ISBLANK('Data Entry'!$Ĩ$845), "", 'Data Entry'!$Ĩ$845)</f>
      </c>
      <c r="HY845">
        <f>IF(ISBLANK('Data Entry'!$ĩ$845), "", 'Data Entry'!$ĩ$845)</f>
      </c>
      <c r="HZ845">
        <f>IF(ISBLANK('Data Entry'!$Ī$845), "", 'Data Entry'!$Ī$845)</f>
      </c>
      <c r="IA845">
        <f>IF(ISBLANK('Data Entry'!$ī$845), "", 'Data Entry'!$ī$845)</f>
      </c>
      <c r="IB845">
        <f>IF(ISBLANK('Data Entry'!$Ĭ$845), "", 'Data Entry'!$Ĭ$845)</f>
      </c>
      <c r="IC845">
        <f>IF(ISBLANK('Data Entry'!$ĭ$845), "", 'Data Entry'!$ĭ$845)</f>
      </c>
      <c r="ID845">
        <f>IF(ISBLANK('Data Entry'!$Į$845), "", 'Data Entry'!$Į$845)</f>
      </c>
      <c r="IE845">
        <f>IF(ISBLANK('Data Entry'!$į$845), "", 'Data Entry'!$į$845)</f>
      </c>
      <c r="IF845">
        <f>IF(ISBLANK('Data Entry'!$İ$845), "", 'Data Entry'!$İ$845)</f>
      </c>
      <c r="IG845">
        <f>IF(ISBLANK('Data Entry'!$ı$845), "", 'Data Entry'!$ı$845)</f>
      </c>
      <c r="IH845">
        <f>IF(ISBLANK('Data Entry'!$Ĳ$845), "", 'Data Entry'!$Ĳ$845)</f>
      </c>
      <c r="II845">
        <f>IF(ISBLANK('Data Entry'!$ĳ$845), "", 'Data Entry'!$ĳ$845)</f>
      </c>
      <c r="IJ845">
        <f>IF(ISBLANK('Data Entry'!$Ĵ$845), "", 'Data Entry'!$Ĵ$845)</f>
      </c>
      <c r="IK845">
        <f>IF(ISBLANK('Data Entry'!$ĵ$845), "", 'Data Entry'!$ĵ$845)</f>
      </c>
      <c r="IL845">
        <f>IF(ISBLANK('Data Entry'!$Ķ$845), "", 'Data Entry'!$Ķ$845)</f>
      </c>
      <c r="IM845">
        <f>IF(ISBLANK('Data Entry'!$ķ$845), "", 'Data Entry'!$ķ$845)</f>
      </c>
      <c r="IN845">
        <f>IF(ISBLANK('Data Entry'!$ĸ$845), "", 'Data Entry'!$ĸ$845)</f>
      </c>
      <c r="IO845">
        <f>IF(ISBLANK('Data Entry'!$Ĺ$845), "", 'Data Entry'!$Ĺ$845)</f>
      </c>
      <c r="IP845">
        <f>IF(ISBLANK('Data Entry'!$ĺ$845), "", 'Data Entry'!$ĺ$845)</f>
      </c>
      <c r="IQ845">
        <f>IF(ISBLANK('Data Entry'!$Ļ$845), "", 'Data Entry'!$Ļ$845)</f>
      </c>
      <c r="IR845">
        <f>IF(ISBLANK('Data Entry'!$ļ$845), "", 'Data Entry'!$ļ$845)</f>
      </c>
      <c r="IS845">
        <f>IF(ISBLANK('Data Entry'!$Ľ$845), "", 'Data Entry'!$Ľ$845)</f>
      </c>
      <c r="IT845">
        <f>IF(ISBLANK('Data Entry'!$ľ$845), "", 'Data Entry'!$ľ$845)</f>
      </c>
    </row>
    <row r="846" spans="1:254" x14ac:dyDescent="0.25">
      <c r="A846">
        <f>IF(ISBLANK('Data Entry'!$A$846), "", 'Data Entry'!$A$846)</f>
      </c>
      <c r="B846">
        <f>IF(ISBLANK('Data Entry'!$B$846), "", 'Data Entry'!$B$846)</f>
      </c>
      <c r="C846">
        <f>IF(ISBLANK('Data Entry'!$C$846), "", 'Data Entry'!$C$846)</f>
      </c>
      <c r="D846">
        <f>IF(ISBLANK('Data Entry'!$D$846), "", 'Data Entry'!$D$846)</f>
      </c>
      <c r="E846">
        <f>IF(ISBLANK('Data Entry'!$E$846), "", 'Data Entry'!$E$846)</f>
      </c>
      <c r="F846">
        <f>IF(ISBLANK('Data Entry'!$F$846), "", 'Data Entry'!$F$846)</f>
      </c>
      <c r="G846">
        <f>IF(ISBLANK('Data Entry'!$G$846), "", 'Data Entry'!$G$846)</f>
      </c>
      <c r="H846">
        <f>IF(ISBLANK('Data Entry'!$H$846), "", 'Data Entry'!$H$846)</f>
      </c>
      <c r="I846">
        <f>IF(ISBLANK('Data Entry'!$I$846), "", 'Data Entry'!$I$846)</f>
      </c>
      <c r="J846">
        <f>IF(ISBLANK('Data Entry'!$J$846), "", 'Data Entry'!$J$846)</f>
      </c>
      <c r="K846">
        <f>IF(ISBLANK('Data Entry'!$K$846), "", 'Data Entry'!$K$846)</f>
      </c>
      <c r="L846">
        <f>IF(ISBLANK('Data Entry'!$L$846), "", 'Data Entry'!$L$846)</f>
      </c>
      <c r="M846">
        <f>IF(ISBLANK('Data Entry'!$M$846), "", 'Data Entry'!$M$846)</f>
      </c>
      <c r="N846">
        <f>IF(ISBLANK('Data Entry'!$N$846), "", 'Data Entry'!$N$846)</f>
      </c>
      <c r="O846">
        <f>IF(ISBLANK('Data Entry'!$O$846), "", 'Data Entry'!$O$846)</f>
      </c>
      <c r="P846">
        <f>IF(ISBLANK('Data Entry'!$P$846), "", 'Data Entry'!$P$846)</f>
      </c>
      <c r="Q846">
        <f>IF(ISBLANK('Data Entry'!$Q$846), "", 'Data Entry'!$Q$846)</f>
      </c>
      <c r="R846">
        <f>IF(ISBLANK('Data Entry'!$R$846), "", 'Data Entry'!$R$846)</f>
      </c>
      <c r="S846">
        <f>IF(ISBLANK('Data Entry'!$S$846), "", 'Data Entry'!$S$846)</f>
      </c>
      <c r="T846">
        <f>IF(ISBLANK('Data Entry'!$T$846), "", 'Data Entry'!$T$846)</f>
      </c>
      <c r="U846">
        <f>IF(ISBLANK('Data Entry'!$U$846), "", 'Data Entry'!$U$846)</f>
      </c>
      <c r="V846">
        <f>IF(ISBLANK('Data Entry'!$V$846), "", 'Data Entry'!$V$846)</f>
      </c>
      <c r="W846">
        <f>IF(ISBLANK('Data Entry'!$W$846), "", 'Data Entry'!$W$846)</f>
      </c>
      <c r="X846">
        <f>IF(ISBLANK('Data Entry'!$X$846), "", 'Data Entry'!$X$846)</f>
      </c>
      <c r="Y846">
        <f>IF(ISBLANK('Data Entry'!$Y$846), "", 'Data Entry'!$Y$846)</f>
      </c>
      <c r="Z846">
        <f>IF(ISBLANK('Data Entry'!$Z$846), "", 'Data Entry'!$Z$846)</f>
      </c>
      <c r="AA846">
        <f>IF(ISBLANK('Data Entry'!$[$846), "", 'Data Entry'!$[$846)</f>
      </c>
      <c r="AB846">
        <f>IF(ISBLANK('Data Entry'!$\$846), "", 'Data Entry'!$\$846)</f>
      </c>
      <c r="AC846">
        <f>IF(ISBLANK('Data Entry'!$]$846), "", 'Data Entry'!$]$846)</f>
      </c>
      <c r="AD846">
        <f>IF(ISBLANK('Data Entry'!$^$846), "", 'Data Entry'!$^$846)</f>
      </c>
      <c r="AE846">
        <f>IF(ISBLANK('Data Entry'!$_$846), "", 'Data Entry'!$_$846)</f>
      </c>
      <c r="AF846">
        <f>IF(ISBLANK('Data Entry'!$`$846), "", 'Data Entry'!$`$846)</f>
      </c>
      <c r="AG846">
        <f>IF(ISBLANK('Data Entry'!$a$846), "", 'Data Entry'!$a$846)</f>
      </c>
      <c r="AH846">
        <f>IF(ISBLANK('Data Entry'!$b$846), "", 'Data Entry'!$b$846)</f>
      </c>
      <c r="AI846">
        <f>IF(ISBLANK('Data Entry'!$c$846), "", 'Data Entry'!$c$846)</f>
      </c>
      <c r="AJ846">
        <f>IF(ISBLANK('Data Entry'!$d$846), "", 'Data Entry'!$d$846)</f>
      </c>
      <c r="AK846">
        <f>IF(ISBLANK('Data Entry'!$e$846), "", 'Data Entry'!$e$846)</f>
      </c>
      <c r="AL846">
        <f>IF(ISBLANK('Data Entry'!$f$846), "", 'Data Entry'!$f$846)</f>
      </c>
      <c r="AM846">
        <f>IF(ISBLANK('Data Entry'!$g$846), "", 'Data Entry'!$g$846)</f>
      </c>
      <c r="AN846">
        <f>IF(ISBLANK('Data Entry'!$h$846), "", 'Data Entry'!$h$846)</f>
      </c>
      <c r="AO846">
        <f>IF(ISBLANK('Data Entry'!$i$846), "", 'Data Entry'!$i$846)</f>
      </c>
      <c r="AP846">
        <f>IF(ISBLANK('Data Entry'!$j$846), "", 'Data Entry'!$j$846)</f>
      </c>
      <c r="AQ846">
        <f>IF(ISBLANK('Data Entry'!$k$846), "", 'Data Entry'!$k$846)</f>
      </c>
      <c r="AR846">
        <f>IF(ISBLANK('Data Entry'!$l$846), "", 'Data Entry'!$l$846)</f>
      </c>
      <c r="AS846">
        <f>IF(ISBLANK('Data Entry'!$m$846), "", 'Data Entry'!$m$846)</f>
      </c>
      <c r="AT846">
        <f>IF(ISBLANK('Data Entry'!$n$846), "", 'Data Entry'!$n$846)</f>
      </c>
      <c r="AU846">
        <f>IF(ISBLANK('Data Entry'!$o$846), "", 'Data Entry'!$o$846)</f>
      </c>
      <c r="AV846">
        <f>IF(ISBLANK('Data Entry'!$p$846), "", 'Data Entry'!$p$846)</f>
      </c>
      <c r="AW846">
        <f>IF(ISBLANK('Data Entry'!$q$846), "", 'Data Entry'!$q$846)</f>
      </c>
      <c r="AX846">
        <f>IF(ISBLANK('Data Entry'!$r$846), "", 'Data Entry'!$r$846)</f>
      </c>
      <c r="AY846">
        <f>IF(ISBLANK('Data Entry'!$s$846), "", 'Data Entry'!$s$846)</f>
      </c>
      <c r="AZ846">
        <f>IF(ISBLANK('Data Entry'!$t$846), "", 'Data Entry'!$t$846)</f>
      </c>
      <c r="BA846">
        <f>IF(ISBLANK('Data Entry'!$u$846), "", 'Data Entry'!$u$846)</f>
      </c>
      <c r="BB846">
        <f>IF(ISBLANK('Data Entry'!$v$846), "", 'Data Entry'!$v$846)</f>
      </c>
      <c r="BC846">
        <f>IF(ISBLANK('Data Entry'!$w$846), "", 'Data Entry'!$w$846)</f>
      </c>
      <c r="BD846">
        <f>IF(ISBLANK('Data Entry'!$x$846), "", 'Data Entry'!$x$846)</f>
      </c>
      <c r="BE846">
        <f>IF(ISBLANK('Data Entry'!$y$846), "", 'Data Entry'!$y$846)</f>
      </c>
      <c r="BF846">
        <f>IF(ISBLANK('Data Entry'!$z$846), "", 'Data Entry'!$z$846)</f>
      </c>
      <c r="BG846">
        <f>IF(ISBLANK('Data Entry'!${$846), "", 'Data Entry'!${$846)</f>
      </c>
      <c r="BH846">
        <f>IF(ISBLANK('Data Entry'!$|$846), "", 'Data Entry'!$|$846)</f>
      </c>
      <c r="BI846">
        <f>IF(ISBLANK('Data Entry'!$}$846), "", 'Data Entry'!$}$846)</f>
      </c>
      <c r="BJ846">
        <f>IF(ISBLANK('Data Entry'!$~$846), "", 'Data Entry'!$~$846)</f>
      </c>
      <c r="BK846">
        <f>IF(ISBLANK('Data Entry'!$$846), "", 'Data Entry'!$$846)</f>
      </c>
      <c r="BL846">
        <f>IF(ISBLANK('Data Entry'!$$846), "", 'Data Entry'!$$846)</f>
      </c>
      <c r="BM846">
        <f>IF(ISBLANK('Data Entry'!$$846), "", 'Data Entry'!$$846)</f>
      </c>
      <c r="BN846">
        <f>IF(ISBLANK('Data Entry'!$$846), "", 'Data Entry'!$$846)</f>
      </c>
      <c r="BO846">
        <f>IF(ISBLANK('Data Entry'!$$846), "", 'Data Entry'!$$846)</f>
      </c>
      <c r="BP846">
        <f>IF(ISBLANK('Data Entry'!$$846), "", 'Data Entry'!$$846)</f>
      </c>
      <c r="BQ846">
        <f>IF(ISBLANK('Data Entry'!$$846), "", 'Data Entry'!$$846)</f>
      </c>
      <c r="BR846">
        <f>IF(ISBLANK('Data Entry'!$$846), "", 'Data Entry'!$$846)</f>
      </c>
      <c r="BS846">
        <f>IF(ISBLANK('Data Entry'!$$846), "", 'Data Entry'!$$846)</f>
      </c>
      <c r="BT846">
        <f>IF(ISBLANK('Data Entry'!$$846), "", 'Data Entry'!$$846)</f>
      </c>
      <c r="BU846">
        <f>IF(ISBLANK('Data Entry'!$$846), "", 'Data Entry'!$$846)</f>
      </c>
      <c r="BV846">
        <f>IF(ISBLANK('Data Entry'!$$846), "", 'Data Entry'!$$846)</f>
      </c>
      <c r="BW846">
        <f>IF(ISBLANK('Data Entry'!$$846), "", 'Data Entry'!$$846)</f>
      </c>
      <c r="BX846">
        <f>IF(ISBLANK('Data Entry'!$$846), "", 'Data Entry'!$$846)</f>
      </c>
      <c r="BY846">
        <f>IF(ISBLANK('Data Entry'!$$846), "", 'Data Entry'!$$846)</f>
      </c>
      <c r="BZ846">
        <f>IF(ISBLANK('Data Entry'!$$846), "", 'Data Entry'!$$846)</f>
      </c>
      <c r="CA846">
        <f>IF(ISBLANK('Data Entry'!$$846), "", 'Data Entry'!$$846)</f>
      </c>
      <c r="CB846">
        <f>IF(ISBLANK('Data Entry'!$$846), "", 'Data Entry'!$$846)</f>
      </c>
      <c r="CC846">
        <f>IF(ISBLANK('Data Entry'!$$846), "", 'Data Entry'!$$846)</f>
      </c>
      <c r="CD846">
        <f>IF(ISBLANK('Data Entry'!$$846), "", 'Data Entry'!$$846)</f>
      </c>
      <c r="CE846">
        <f>IF(ISBLANK('Data Entry'!$$846), "", 'Data Entry'!$$846)</f>
      </c>
      <c r="CF846">
        <f>IF(ISBLANK('Data Entry'!$$846), "", 'Data Entry'!$$846)</f>
      </c>
      <c r="CG846">
        <f>IF(ISBLANK('Data Entry'!$$846), "", 'Data Entry'!$$846)</f>
      </c>
      <c r="CH846">
        <f>IF(ISBLANK('Data Entry'!$$846), "", 'Data Entry'!$$846)</f>
      </c>
      <c r="CI846">
        <f>IF(ISBLANK('Data Entry'!$$846), "", 'Data Entry'!$$846)</f>
      </c>
      <c r="CJ846">
        <f>IF(ISBLANK('Data Entry'!$$846), "", 'Data Entry'!$$846)</f>
      </c>
      <c r="CK846">
        <f>IF(ISBLANK('Data Entry'!$$846), "", 'Data Entry'!$$846)</f>
      </c>
      <c r="CL846">
        <f>IF(ISBLANK('Data Entry'!$$846), "", 'Data Entry'!$$846)</f>
      </c>
      <c r="CM846">
        <f>IF(ISBLANK('Data Entry'!$$846), "", 'Data Entry'!$$846)</f>
      </c>
      <c r="CN846">
        <f>IF(ISBLANK('Data Entry'!$$846), "", 'Data Entry'!$$846)</f>
      </c>
      <c r="CO846">
        <f>IF(ISBLANK('Data Entry'!$$846), "", 'Data Entry'!$$846)</f>
      </c>
      <c r="CP846">
        <f>IF(ISBLANK('Data Entry'!$$846), "", 'Data Entry'!$$846)</f>
      </c>
      <c r="CQ846">
        <f>IF(ISBLANK('Data Entry'!$$846), "", 'Data Entry'!$$846)</f>
      </c>
      <c r="CR846">
        <f>IF(ISBLANK('Data Entry'!$ $846), "", 'Data Entry'!$ $846)</f>
      </c>
      <c r="CS846">
        <f>IF(ISBLANK('Data Entry'!$¡$846), "", 'Data Entry'!$¡$846)</f>
      </c>
      <c r="CT846">
        <f>IF(ISBLANK('Data Entry'!$¢$846), "", 'Data Entry'!$¢$846)</f>
      </c>
      <c r="CU846">
        <f>IF(ISBLANK('Data Entry'!$£$846), "", 'Data Entry'!$£$846)</f>
      </c>
      <c r="CV846">
        <f>IF(ISBLANK('Data Entry'!$¤$846), "", 'Data Entry'!$¤$846)</f>
      </c>
      <c r="CW846">
        <f>IF(ISBLANK('Data Entry'!$¥$846), "", 'Data Entry'!$¥$846)</f>
      </c>
      <c r="CX846">
        <f>IF(ISBLANK('Data Entry'!$¦$846), "", 'Data Entry'!$¦$846)</f>
      </c>
      <c r="CY846">
        <f>IF(ISBLANK('Data Entry'!$§$846), "", 'Data Entry'!$§$846)</f>
      </c>
      <c r="CZ846">
        <f>IF(ISBLANK('Data Entry'!$¨$846), "", 'Data Entry'!$¨$846)</f>
      </c>
      <c r="DA846">
        <f>IF(ISBLANK('Data Entry'!$©$846), "", 'Data Entry'!$©$846)</f>
      </c>
      <c r="DB846">
        <f>IF(ISBLANK('Data Entry'!$ª$846), "", 'Data Entry'!$ª$846)</f>
      </c>
      <c r="DC846">
        <f>IF(ISBLANK('Data Entry'!$«$846), "", 'Data Entry'!$«$846)</f>
      </c>
      <c r="DD846">
        <f>IF(ISBLANK('Data Entry'!$¬$846), "", 'Data Entry'!$¬$846)</f>
      </c>
      <c r="DE846">
        <f>IF(ISBLANK('Data Entry'!$­$846), "", 'Data Entry'!$­$846)</f>
      </c>
      <c r="DF846">
        <f>IF(ISBLANK('Data Entry'!$®$846), "", 'Data Entry'!$®$846)</f>
      </c>
      <c r="DG846">
        <f>IF(ISBLANK('Data Entry'!$¯$846), "", 'Data Entry'!$¯$846)</f>
      </c>
      <c r="DH846">
        <f>IF(ISBLANK('Data Entry'!$°$846), "", 'Data Entry'!$°$846)</f>
      </c>
      <c r="DI846">
        <f>IF(ISBLANK('Data Entry'!$±$846), "", 'Data Entry'!$±$846)</f>
      </c>
      <c r="DJ846">
        <f>IF(ISBLANK('Data Entry'!$²$846), "", 'Data Entry'!$²$846)</f>
      </c>
      <c r="DK846">
        <f>IF(ISBLANK('Data Entry'!$³$846), "", 'Data Entry'!$³$846)</f>
      </c>
      <c r="DL846">
        <f>IF(ISBLANK('Data Entry'!$´$846), "", 'Data Entry'!$´$846)</f>
      </c>
      <c r="DM846">
        <f>IF(ISBLANK('Data Entry'!$µ$846), "", 'Data Entry'!$µ$846)</f>
      </c>
      <c r="DN846">
        <f>IF(ISBLANK('Data Entry'!$¶$846), "", 'Data Entry'!$¶$846)</f>
      </c>
      <c r="DO846">
        <f>IF(ISBLANK('Data Entry'!$·$846), "", 'Data Entry'!$·$846)</f>
      </c>
      <c r="DP846">
        <f>IF(ISBLANK('Data Entry'!$¸$846), "", 'Data Entry'!$¸$846)</f>
      </c>
      <c r="DQ846">
        <f>IF(ISBLANK('Data Entry'!$¹$846), "", 'Data Entry'!$¹$846)</f>
      </c>
      <c r="DR846">
        <f>IF(ISBLANK('Data Entry'!$º$846), "", 'Data Entry'!$º$846)</f>
      </c>
      <c r="DS846">
        <f>IF(ISBLANK('Data Entry'!$»$846), "", 'Data Entry'!$»$846)</f>
      </c>
      <c r="DT846">
        <f>IF(ISBLANK('Data Entry'!$¼$846), "", 'Data Entry'!$¼$846)</f>
      </c>
      <c r="DU846">
        <f>IF(ISBLANK('Data Entry'!$½$846), "", 'Data Entry'!$½$846)</f>
      </c>
      <c r="DV846">
        <f>IF(ISBLANK('Data Entry'!$¾$846), "", 'Data Entry'!$¾$846)</f>
      </c>
      <c r="DW846">
        <f>IF(ISBLANK('Data Entry'!$¿$846), "", 'Data Entry'!$¿$846)</f>
      </c>
      <c r="DX846">
        <f>IF(ISBLANK('Data Entry'!$À$846), "", 'Data Entry'!$À$846)</f>
      </c>
      <c r="DY846">
        <f>IF(ISBLANK('Data Entry'!$Á$846), "", 'Data Entry'!$Á$846)</f>
      </c>
      <c r="DZ846">
        <f>IF(ISBLANK('Data Entry'!$Â$846), "", 'Data Entry'!$Â$846)</f>
      </c>
      <c r="EA846">
        <f>IF(ISBLANK('Data Entry'!$Ã$846), "", 'Data Entry'!$Ã$846)</f>
      </c>
      <c r="EB846">
        <f>IF(ISBLANK('Data Entry'!$Ä$846), "", 'Data Entry'!$Ä$846)</f>
      </c>
      <c r="EC846">
        <f>IF(ISBLANK('Data Entry'!$Å$846), "", 'Data Entry'!$Å$846)</f>
      </c>
      <c r="ED846">
        <f>IF(ISBLANK('Data Entry'!$Æ$846), "", 'Data Entry'!$Æ$846)</f>
      </c>
      <c r="EE846">
        <f>IF(ISBLANK('Data Entry'!$Ç$846), "", 'Data Entry'!$Ç$846)</f>
      </c>
      <c r="EF846">
        <f>IF(ISBLANK('Data Entry'!$È$846), "", 'Data Entry'!$È$846)</f>
      </c>
      <c r="EG846">
        <f>IF(ISBLANK('Data Entry'!$É$846), "", 'Data Entry'!$É$846)</f>
      </c>
      <c r="EH846">
        <f>IF(ISBLANK('Data Entry'!$Ê$846), "", 'Data Entry'!$Ê$846)</f>
      </c>
      <c r="EI846">
        <f>IF(ISBLANK('Data Entry'!$Ë$846), "", 'Data Entry'!$Ë$846)</f>
      </c>
      <c r="EJ846">
        <f>IF(ISBLANK('Data Entry'!$Ì$846), "", 'Data Entry'!$Ì$846)</f>
      </c>
      <c r="EK846">
        <f>IF(ISBLANK('Data Entry'!$Í$846), "", 'Data Entry'!$Í$846)</f>
      </c>
      <c r="EL846">
        <f>IF(ISBLANK('Data Entry'!$Î$846), "", 'Data Entry'!$Î$846)</f>
      </c>
      <c r="EM846">
        <f>IF(ISBLANK('Data Entry'!$Ï$846), "", 'Data Entry'!$Ï$846)</f>
      </c>
      <c r="EN846">
        <f>IF(ISBLANK('Data Entry'!$Ð$846), "", 'Data Entry'!$Ð$846)</f>
      </c>
      <c r="EO846">
        <f>IF(ISBLANK('Data Entry'!$Ñ$846), "", 'Data Entry'!$Ñ$846)</f>
      </c>
      <c r="EP846">
        <f>IF(ISBLANK('Data Entry'!$Ò$846), "", 'Data Entry'!$Ò$846)</f>
      </c>
      <c r="EQ846">
        <f>IF(ISBLANK('Data Entry'!$Ó$846), "", 'Data Entry'!$Ó$846)</f>
      </c>
      <c r="ER846">
        <f>IF(ISBLANK('Data Entry'!$Ô$846), "", 'Data Entry'!$Ô$846)</f>
      </c>
      <c r="ES846">
        <f>IF(ISBLANK('Data Entry'!$Õ$846), "", 'Data Entry'!$Õ$846)</f>
      </c>
      <c r="ET846">
        <f>IF(ISBLANK('Data Entry'!$Ö$846), "", 'Data Entry'!$Ö$846)</f>
      </c>
      <c r="EU846">
        <f>IF(ISBLANK('Data Entry'!$×$846), "", 'Data Entry'!$×$846)</f>
      </c>
      <c r="EV846">
        <f>IF(ISBLANK('Data Entry'!$Ø$846), "", 'Data Entry'!$Ø$846)</f>
      </c>
      <c r="EW846">
        <f>IF(ISBLANK('Data Entry'!$Ù$846), "", 'Data Entry'!$Ù$846)</f>
      </c>
      <c r="EX846">
        <f>IF(ISBLANK('Data Entry'!$Ú$846), "", 'Data Entry'!$Ú$846)</f>
      </c>
      <c r="EY846">
        <f>IF(ISBLANK('Data Entry'!$Û$846), "", 'Data Entry'!$Û$846)</f>
      </c>
      <c r="EZ846">
        <f>IF(ISBLANK('Data Entry'!$Ü$846), "", 'Data Entry'!$Ü$846)</f>
      </c>
      <c r="FA846">
        <f>IF(ISBLANK('Data Entry'!$Ý$846), "", 'Data Entry'!$Ý$846)</f>
      </c>
      <c r="FB846">
        <f>IF(ISBLANK('Data Entry'!$Þ$846), "", 'Data Entry'!$Þ$846)</f>
      </c>
      <c r="FC846">
        <f>IF(ISBLANK('Data Entry'!$ß$846), "", 'Data Entry'!$ß$846)</f>
      </c>
      <c r="FD846">
        <f>IF(ISBLANK('Data Entry'!$à$846), "", 'Data Entry'!$à$846)</f>
      </c>
      <c r="FE846">
        <f>IF(ISBLANK('Data Entry'!$á$846), "", 'Data Entry'!$á$846)</f>
      </c>
      <c r="FF846">
        <f>IF(ISBLANK('Data Entry'!$â$846), "", 'Data Entry'!$â$846)</f>
      </c>
      <c r="FG846">
        <f>IF(ISBLANK('Data Entry'!$ã$846), "", 'Data Entry'!$ã$846)</f>
      </c>
      <c r="FH846">
        <f>IF(ISBLANK('Data Entry'!$ä$846), "", 'Data Entry'!$ä$846)</f>
      </c>
      <c r="FI846">
        <f>IF(ISBLANK('Data Entry'!$å$846), "", 'Data Entry'!$å$846)</f>
      </c>
      <c r="FJ846">
        <f>IF(ISBLANK('Data Entry'!$æ$846), "", 'Data Entry'!$æ$846)</f>
      </c>
      <c r="FK846">
        <f>IF(ISBLANK('Data Entry'!$ç$846), "", 'Data Entry'!$ç$846)</f>
      </c>
      <c r="FL846">
        <f>IF(ISBLANK('Data Entry'!$è$846), "", 'Data Entry'!$è$846)</f>
      </c>
      <c r="FM846">
        <f>IF(ISBLANK('Data Entry'!$é$846), "", 'Data Entry'!$é$846)</f>
      </c>
      <c r="FN846">
        <f>IF(ISBLANK('Data Entry'!$ê$846), "", 'Data Entry'!$ê$846)</f>
      </c>
      <c r="FO846">
        <f>IF(ISBLANK('Data Entry'!$ë$846), "", 'Data Entry'!$ë$846)</f>
      </c>
      <c r="FP846">
        <f>IF(ISBLANK('Data Entry'!$ì$846), "", 'Data Entry'!$ì$846)</f>
      </c>
      <c r="FQ846">
        <f>IF(ISBLANK('Data Entry'!$í$846), "", 'Data Entry'!$í$846)</f>
      </c>
      <c r="FR846">
        <f>IF(ISBLANK('Data Entry'!$î$846), "", 'Data Entry'!$î$846)</f>
      </c>
      <c r="FS846">
        <f>IF(ISBLANK('Data Entry'!$ï$846), "", 'Data Entry'!$ï$846)</f>
      </c>
      <c r="FT846">
        <f>IF(ISBLANK('Data Entry'!$ð$846), "", 'Data Entry'!$ð$846)</f>
      </c>
      <c r="FU846">
        <f>IF(ISBLANK('Data Entry'!$ñ$846), "", 'Data Entry'!$ñ$846)</f>
      </c>
      <c r="FV846">
        <f>IF(ISBLANK('Data Entry'!$ò$846), "", 'Data Entry'!$ò$846)</f>
      </c>
      <c r="FW846">
        <f>IF(ISBLANK('Data Entry'!$ó$846), "", 'Data Entry'!$ó$846)</f>
      </c>
      <c r="FX846">
        <f>IF(ISBLANK('Data Entry'!$ô$846), "", 'Data Entry'!$ô$846)</f>
      </c>
      <c r="FY846">
        <f>IF(ISBLANK('Data Entry'!$õ$846), "", 'Data Entry'!$õ$846)</f>
      </c>
      <c r="FZ846">
        <f>IF(ISBLANK('Data Entry'!$ö$846), "", 'Data Entry'!$ö$846)</f>
      </c>
      <c r="GA846">
        <f>IF(ISBLANK('Data Entry'!$÷$846), "", 'Data Entry'!$÷$846)</f>
      </c>
      <c r="GB846">
        <f>IF(ISBLANK('Data Entry'!$ø$846), "", 'Data Entry'!$ø$846)</f>
      </c>
      <c r="GC846">
        <f>IF(ISBLANK('Data Entry'!$ù$846), "", 'Data Entry'!$ù$846)</f>
      </c>
      <c r="GD846">
        <f>IF(ISBLANK('Data Entry'!$ú$846), "", 'Data Entry'!$ú$846)</f>
      </c>
      <c r="GE846">
        <f>IF(ISBLANK('Data Entry'!$û$846), "", 'Data Entry'!$û$846)</f>
      </c>
      <c r="GF846">
        <f>IF(ISBLANK('Data Entry'!$ü$846), "", 'Data Entry'!$ü$846)</f>
      </c>
      <c r="GG846">
        <f>IF(ISBLANK('Data Entry'!$ý$846), "", 'Data Entry'!$ý$846)</f>
      </c>
      <c r="GH846">
        <f>IF(ISBLANK('Data Entry'!$þ$846), "", 'Data Entry'!$þ$846)</f>
      </c>
      <c r="GI846">
        <f>IF(ISBLANK('Data Entry'!$ÿ$846), "", 'Data Entry'!$ÿ$846)</f>
      </c>
      <c r="GJ846">
        <f>IF(ISBLANK('Data Entry'!$Ā$846), "", 'Data Entry'!$Ā$846)</f>
      </c>
      <c r="GK846">
        <f>IF(ISBLANK('Data Entry'!$ā$846), "", 'Data Entry'!$ā$846)</f>
      </c>
      <c r="GL846">
        <f>IF(ISBLANK('Data Entry'!$Ă$846), "", 'Data Entry'!$Ă$846)</f>
      </c>
      <c r="GM846">
        <f>IF(ISBLANK('Data Entry'!$ă$846), "", 'Data Entry'!$ă$846)</f>
      </c>
      <c r="GN846">
        <f>IF(ISBLANK('Data Entry'!$Ą$846), "", 'Data Entry'!$Ą$846)</f>
      </c>
      <c r="GO846">
        <f>IF(ISBLANK('Data Entry'!$ą$846), "", 'Data Entry'!$ą$846)</f>
      </c>
      <c r="GP846">
        <f>IF(ISBLANK('Data Entry'!$Ć$846), "", 'Data Entry'!$Ć$846)</f>
      </c>
      <c r="GQ846">
        <f>IF(ISBLANK('Data Entry'!$ć$846), "", 'Data Entry'!$ć$846)</f>
      </c>
      <c r="GR846">
        <f>IF(ISBLANK('Data Entry'!$Ĉ$846), "", 'Data Entry'!$Ĉ$846)</f>
      </c>
      <c r="GS846">
        <f>IF(ISBLANK('Data Entry'!$ĉ$846), "", 'Data Entry'!$ĉ$846)</f>
      </c>
      <c r="GT846">
        <f>IF(ISBLANK('Data Entry'!$Ċ$846), "", 'Data Entry'!$Ċ$846)</f>
      </c>
      <c r="GU846">
        <f>IF(ISBLANK('Data Entry'!$ċ$846), "", 'Data Entry'!$ċ$846)</f>
      </c>
      <c r="GV846">
        <f>IF(ISBLANK('Data Entry'!$Č$846), "", 'Data Entry'!$Č$846)</f>
      </c>
      <c r="GW846">
        <f>IF(ISBLANK('Data Entry'!$č$846), "", 'Data Entry'!$č$846)</f>
      </c>
      <c r="GX846">
        <f>IF(ISBLANK('Data Entry'!$Ď$846), "", 'Data Entry'!$Ď$846)</f>
      </c>
      <c r="GY846">
        <f>IF(ISBLANK('Data Entry'!$ď$846), "", 'Data Entry'!$ď$846)</f>
      </c>
      <c r="GZ846">
        <f>IF(ISBLANK('Data Entry'!$Đ$846), "", 'Data Entry'!$Đ$846)</f>
      </c>
      <c r="HA846">
        <f>IF(ISBLANK('Data Entry'!$đ$846), "", 'Data Entry'!$đ$846)</f>
      </c>
      <c r="HB846">
        <f>IF(ISBLANK('Data Entry'!$Ē$846), "", 'Data Entry'!$Ē$846)</f>
      </c>
      <c r="HC846">
        <f>IF(ISBLANK('Data Entry'!$ē$846), "", 'Data Entry'!$ē$846)</f>
      </c>
      <c r="HD846">
        <f>IF(ISBLANK('Data Entry'!$Ĕ$846), "", 'Data Entry'!$Ĕ$846)</f>
      </c>
      <c r="HE846">
        <f>IF(ISBLANK('Data Entry'!$ĕ$846), "", 'Data Entry'!$ĕ$846)</f>
      </c>
      <c r="HF846">
        <f>IF(ISBLANK('Data Entry'!$Ė$846), "", 'Data Entry'!$Ė$846)</f>
      </c>
      <c r="HG846">
        <f>IF(ISBLANK('Data Entry'!$ė$846), "", 'Data Entry'!$ė$846)</f>
      </c>
      <c r="HH846">
        <f>IF(ISBLANK('Data Entry'!$Ę$846), "", 'Data Entry'!$Ę$846)</f>
      </c>
      <c r="HI846">
        <f>IF(ISBLANK('Data Entry'!$ę$846), "", 'Data Entry'!$ę$846)</f>
      </c>
      <c r="HJ846">
        <f>IF(ISBLANK('Data Entry'!$Ě$846), "", 'Data Entry'!$Ě$846)</f>
      </c>
      <c r="HK846">
        <f>IF(ISBLANK('Data Entry'!$ě$846), "", 'Data Entry'!$ě$846)</f>
      </c>
      <c r="HL846">
        <f>IF(ISBLANK('Data Entry'!$Ĝ$846), "", 'Data Entry'!$Ĝ$846)</f>
      </c>
      <c r="HM846">
        <f>IF(ISBLANK('Data Entry'!$ĝ$846), "", 'Data Entry'!$ĝ$846)</f>
      </c>
      <c r="HN846">
        <f>IF(ISBLANK('Data Entry'!$Ğ$846), "", 'Data Entry'!$Ğ$846)</f>
      </c>
      <c r="HO846">
        <f>IF(ISBLANK('Data Entry'!$ğ$846), "", 'Data Entry'!$ğ$846)</f>
      </c>
      <c r="HP846">
        <f>IF(ISBLANK('Data Entry'!$Ġ$846), "", 'Data Entry'!$Ġ$846)</f>
      </c>
      <c r="HQ846">
        <f>IF(ISBLANK('Data Entry'!$ġ$846), "", 'Data Entry'!$ġ$846)</f>
      </c>
      <c r="HR846">
        <f>IF(ISBLANK('Data Entry'!$Ģ$846), "", 'Data Entry'!$Ģ$846)</f>
      </c>
      <c r="HS846">
        <f>IF(ISBLANK('Data Entry'!$ģ$846), "", 'Data Entry'!$ģ$846)</f>
      </c>
      <c r="HT846">
        <f>IF(ISBLANK('Data Entry'!$Ĥ$846), "", 'Data Entry'!$Ĥ$846)</f>
      </c>
      <c r="HU846">
        <f>IF(ISBLANK('Data Entry'!$ĥ$846), "", 'Data Entry'!$ĥ$846)</f>
      </c>
      <c r="HV846">
        <f>IF(ISBLANK('Data Entry'!$Ħ$846), "", 'Data Entry'!$Ħ$846)</f>
      </c>
      <c r="HW846">
        <f>IF(ISBLANK('Data Entry'!$ħ$846), "", 'Data Entry'!$ħ$846)</f>
      </c>
      <c r="HX846">
        <f>IF(ISBLANK('Data Entry'!$Ĩ$846), "", 'Data Entry'!$Ĩ$846)</f>
      </c>
      <c r="HY846">
        <f>IF(ISBLANK('Data Entry'!$ĩ$846), "", 'Data Entry'!$ĩ$846)</f>
      </c>
      <c r="HZ846">
        <f>IF(ISBLANK('Data Entry'!$Ī$846), "", 'Data Entry'!$Ī$846)</f>
      </c>
      <c r="IA846">
        <f>IF(ISBLANK('Data Entry'!$ī$846), "", 'Data Entry'!$ī$846)</f>
      </c>
      <c r="IB846">
        <f>IF(ISBLANK('Data Entry'!$Ĭ$846), "", 'Data Entry'!$Ĭ$846)</f>
      </c>
      <c r="IC846">
        <f>IF(ISBLANK('Data Entry'!$ĭ$846), "", 'Data Entry'!$ĭ$846)</f>
      </c>
      <c r="ID846">
        <f>IF(ISBLANK('Data Entry'!$Į$846), "", 'Data Entry'!$Į$846)</f>
      </c>
      <c r="IE846">
        <f>IF(ISBLANK('Data Entry'!$į$846), "", 'Data Entry'!$į$846)</f>
      </c>
      <c r="IF846">
        <f>IF(ISBLANK('Data Entry'!$İ$846), "", 'Data Entry'!$İ$846)</f>
      </c>
      <c r="IG846">
        <f>IF(ISBLANK('Data Entry'!$ı$846), "", 'Data Entry'!$ı$846)</f>
      </c>
      <c r="IH846">
        <f>IF(ISBLANK('Data Entry'!$Ĳ$846), "", 'Data Entry'!$Ĳ$846)</f>
      </c>
      <c r="II846">
        <f>IF(ISBLANK('Data Entry'!$ĳ$846), "", 'Data Entry'!$ĳ$846)</f>
      </c>
      <c r="IJ846">
        <f>IF(ISBLANK('Data Entry'!$Ĵ$846), "", 'Data Entry'!$Ĵ$846)</f>
      </c>
      <c r="IK846">
        <f>IF(ISBLANK('Data Entry'!$ĵ$846), "", 'Data Entry'!$ĵ$846)</f>
      </c>
      <c r="IL846">
        <f>IF(ISBLANK('Data Entry'!$Ķ$846), "", 'Data Entry'!$Ķ$846)</f>
      </c>
      <c r="IM846">
        <f>IF(ISBLANK('Data Entry'!$ķ$846), "", 'Data Entry'!$ķ$846)</f>
      </c>
      <c r="IN846">
        <f>IF(ISBLANK('Data Entry'!$ĸ$846), "", 'Data Entry'!$ĸ$846)</f>
      </c>
      <c r="IO846">
        <f>IF(ISBLANK('Data Entry'!$Ĺ$846), "", 'Data Entry'!$Ĺ$846)</f>
      </c>
      <c r="IP846">
        <f>IF(ISBLANK('Data Entry'!$ĺ$846), "", 'Data Entry'!$ĺ$846)</f>
      </c>
      <c r="IQ846">
        <f>IF(ISBLANK('Data Entry'!$Ļ$846), "", 'Data Entry'!$Ļ$846)</f>
      </c>
      <c r="IR846">
        <f>IF(ISBLANK('Data Entry'!$ļ$846), "", 'Data Entry'!$ļ$846)</f>
      </c>
      <c r="IS846">
        <f>IF(ISBLANK('Data Entry'!$Ľ$846), "", 'Data Entry'!$Ľ$846)</f>
      </c>
      <c r="IT846">
        <f>IF(ISBLANK('Data Entry'!$ľ$846), "", 'Data Entry'!$ľ$846)</f>
      </c>
    </row>
    <row r="847" spans="1:254" x14ac:dyDescent="0.25">
      <c r="A847">
        <f>IF(ISBLANK('Data Entry'!$A$847), "", 'Data Entry'!$A$847)</f>
      </c>
      <c r="B847">
        <f>IF(ISBLANK('Data Entry'!$B$847), "", 'Data Entry'!$B$847)</f>
      </c>
      <c r="C847">
        <f>IF(ISBLANK('Data Entry'!$C$847), "", 'Data Entry'!$C$847)</f>
      </c>
      <c r="D847">
        <f>IF(ISBLANK('Data Entry'!$D$847), "", 'Data Entry'!$D$847)</f>
      </c>
      <c r="E847">
        <f>IF(ISBLANK('Data Entry'!$E$847), "", 'Data Entry'!$E$847)</f>
      </c>
      <c r="F847">
        <f>IF(ISBLANK('Data Entry'!$F$847), "", 'Data Entry'!$F$847)</f>
      </c>
      <c r="G847">
        <f>IF(ISBLANK('Data Entry'!$G$847), "", 'Data Entry'!$G$847)</f>
      </c>
      <c r="H847">
        <f>IF(ISBLANK('Data Entry'!$H$847), "", 'Data Entry'!$H$847)</f>
      </c>
      <c r="I847">
        <f>IF(ISBLANK('Data Entry'!$I$847), "", 'Data Entry'!$I$847)</f>
      </c>
      <c r="J847">
        <f>IF(ISBLANK('Data Entry'!$J$847), "", 'Data Entry'!$J$847)</f>
      </c>
      <c r="K847">
        <f>IF(ISBLANK('Data Entry'!$K$847), "", 'Data Entry'!$K$847)</f>
      </c>
      <c r="L847">
        <f>IF(ISBLANK('Data Entry'!$L$847), "", 'Data Entry'!$L$847)</f>
      </c>
      <c r="M847">
        <f>IF(ISBLANK('Data Entry'!$M$847), "", 'Data Entry'!$M$847)</f>
      </c>
      <c r="N847">
        <f>IF(ISBLANK('Data Entry'!$N$847), "", 'Data Entry'!$N$847)</f>
      </c>
      <c r="O847">
        <f>IF(ISBLANK('Data Entry'!$O$847), "", 'Data Entry'!$O$847)</f>
      </c>
      <c r="P847">
        <f>IF(ISBLANK('Data Entry'!$P$847), "", 'Data Entry'!$P$847)</f>
      </c>
      <c r="Q847">
        <f>IF(ISBLANK('Data Entry'!$Q$847), "", 'Data Entry'!$Q$847)</f>
      </c>
      <c r="R847">
        <f>IF(ISBLANK('Data Entry'!$R$847), "", 'Data Entry'!$R$847)</f>
      </c>
      <c r="S847">
        <f>IF(ISBLANK('Data Entry'!$S$847), "", 'Data Entry'!$S$847)</f>
      </c>
      <c r="T847">
        <f>IF(ISBLANK('Data Entry'!$T$847), "", 'Data Entry'!$T$847)</f>
      </c>
      <c r="U847">
        <f>IF(ISBLANK('Data Entry'!$U$847), "", 'Data Entry'!$U$847)</f>
      </c>
      <c r="V847">
        <f>IF(ISBLANK('Data Entry'!$V$847), "", 'Data Entry'!$V$847)</f>
      </c>
      <c r="W847">
        <f>IF(ISBLANK('Data Entry'!$W$847), "", 'Data Entry'!$W$847)</f>
      </c>
      <c r="X847">
        <f>IF(ISBLANK('Data Entry'!$X$847), "", 'Data Entry'!$X$847)</f>
      </c>
      <c r="Y847">
        <f>IF(ISBLANK('Data Entry'!$Y$847), "", 'Data Entry'!$Y$847)</f>
      </c>
      <c r="Z847">
        <f>IF(ISBLANK('Data Entry'!$Z$847), "", 'Data Entry'!$Z$847)</f>
      </c>
      <c r="AA847">
        <f>IF(ISBLANK('Data Entry'!$[$847), "", 'Data Entry'!$[$847)</f>
      </c>
      <c r="AB847">
        <f>IF(ISBLANK('Data Entry'!$\$847), "", 'Data Entry'!$\$847)</f>
      </c>
      <c r="AC847">
        <f>IF(ISBLANK('Data Entry'!$]$847), "", 'Data Entry'!$]$847)</f>
      </c>
      <c r="AD847">
        <f>IF(ISBLANK('Data Entry'!$^$847), "", 'Data Entry'!$^$847)</f>
      </c>
      <c r="AE847">
        <f>IF(ISBLANK('Data Entry'!$_$847), "", 'Data Entry'!$_$847)</f>
      </c>
      <c r="AF847">
        <f>IF(ISBLANK('Data Entry'!$`$847), "", 'Data Entry'!$`$847)</f>
      </c>
      <c r="AG847">
        <f>IF(ISBLANK('Data Entry'!$a$847), "", 'Data Entry'!$a$847)</f>
      </c>
      <c r="AH847">
        <f>IF(ISBLANK('Data Entry'!$b$847), "", 'Data Entry'!$b$847)</f>
      </c>
      <c r="AI847">
        <f>IF(ISBLANK('Data Entry'!$c$847), "", 'Data Entry'!$c$847)</f>
      </c>
      <c r="AJ847">
        <f>IF(ISBLANK('Data Entry'!$d$847), "", 'Data Entry'!$d$847)</f>
      </c>
      <c r="AK847">
        <f>IF(ISBLANK('Data Entry'!$e$847), "", 'Data Entry'!$e$847)</f>
      </c>
      <c r="AL847">
        <f>IF(ISBLANK('Data Entry'!$f$847), "", 'Data Entry'!$f$847)</f>
      </c>
      <c r="AM847">
        <f>IF(ISBLANK('Data Entry'!$g$847), "", 'Data Entry'!$g$847)</f>
      </c>
      <c r="AN847">
        <f>IF(ISBLANK('Data Entry'!$h$847), "", 'Data Entry'!$h$847)</f>
      </c>
      <c r="AO847">
        <f>IF(ISBLANK('Data Entry'!$i$847), "", 'Data Entry'!$i$847)</f>
      </c>
      <c r="AP847">
        <f>IF(ISBLANK('Data Entry'!$j$847), "", 'Data Entry'!$j$847)</f>
      </c>
      <c r="AQ847">
        <f>IF(ISBLANK('Data Entry'!$k$847), "", 'Data Entry'!$k$847)</f>
      </c>
      <c r="AR847">
        <f>IF(ISBLANK('Data Entry'!$l$847), "", 'Data Entry'!$l$847)</f>
      </c>
      <c r="AS847">
        <f>IF(ISBLANK('Data Entry'!$m$847), "", 'Data Entry'!$m$847)</f>
      </c>
      <c r="AT847">
        <f>IF(ISBLANK('Data Entry'!$n$847), "", 'Data Entry'!$n$847)</f>
      </c>
      <c r="AU847">
        <f>IF(ISBLANK('Data Entry'!$o$847), "", 'Data Entry'!$o$847)</f>
      </c>
      <c r="AV847">
        <f>IF(ISBLANK('Data Entry'!$p$847), "", 'Data Entry'!$p$847)</f>
      </c>
      <c r="AW847">
        <f>IF(ISBLANK('Data Entry'!$q$847), "", 'Data Entry'!$q$847)</f>
      </c>
      <c r="AX847">
        <f>IF(ISBLANK('Data Entry'!$r$847), "", 'Data Entry'!$r$847)</f>
      </c>
      <c r="AY847">
        <f>IF(ISBLANK('Data Entry'!$s$847), "", 'Data Entry'!$s$847)</f>
      </c>
      <c r="AZ847">
        <f>IF(ISBLANK('Data Entry'!$t$847), "", 'Data Entry'!$t$847)</f>
      </c>
      <c r="BA847">
        <f>IF(ISBLANK('Data Entry'!$u$847), "", 'Data Entry'!$u$847)</f>
      </c>
      <c r="BB847">
        <f>IF(ISBLANK('Data Entry'!$v$847), "", 'Data Entry'!$v$847)</f>
      </c>
      <c r="BC847">
        <f>IF(ISBLANK('Data Entry'!$w$847), "", 'Data Entry'!$w$847)</f>
      </c>
      <c r="BD847">
        <f>IF(ISBLANK('Data Entry'!$x$847), "", 'Data Entry'!$x$847)</f>
      </c>
      <c r="BE847">
        <f>IF(ISBLANK('Data Entry'!$y$847), "", 'Data Entry'!$y$847)</f>
      </c>
      <c r="BF847">
        <f>IF(ISBLANK('Data Entry'!$z$847), "", 'Data Entry'!$z$847)</f>
      </c>
      <c r="BG847">
        <f>IF(ISBLANK('Data Entry'!${$847), "", 'Data Entry'!${$847)</f>
      </c>
      <c r="BH847">
        <f>IF(ISBLANK('Data Entry'!$|$847), "", 'Data Entry'!$|$847)</f>
      </c>
      <c r="BI847">
        <f>IF(ISBLANK('Data Entry'!$}$847), "", 'Data Entry'!$}$847)</f>
      </c>
      <c r="BJ847">
        <f>IF(ISBLANK('Data Entry'!$~$847), "", 'Data Entry'!$~$847)</f>
      </c>
      <c r="BK847">
        <f>IF(ISBLANK('Data Entry'!$$847), "", 'Data Entry'!$$847)</f>
      </c>
      <c r="BL847">
        <f>IF(ISBLANK('Data Entry'!$$847), "", 'Data Entry'!$$847)</f>
      </c>
      <c r="BM847">
        <f>IF(ISBLANK('Data Entry'!$$847), "", 'Data Entry'!$$847)</f>
      </c>
      <c r="BN847">
        <f>IF(ISBLANK('Data Entry'!$$847), "", 'Data Entry'!$$847)</f>
      </c>
      <c r="BO847">
        <f>IF(ISBLANK('Data Entry'!$$847), "", 'Data Entry'!$$847)</f>
      </c>
      <c r="BP847">
        <f>IF(ISBLANK('Data Entry'!$$847), "", 'Data Entry'!$$847)</f>
      </c>
      <c r="BQ847">
        <f>IF(ISBLANK('Data Entry'!$$847), "", 'Data Entry'!$$847)</f>
      </c>
      <c r="BR847">
        <f>IF(ISBLANK('Data Entry'!$$847), "", 'Data Entry'!$$847)</f>
      </c>
      <c r="BS847">
        <f>IF(ISBLANK('Data Entry'!$$847), "", 'Data Entry'!$$847)</f>
      </c>
      <c r="BT847">
        <f>IF(ISBLANK('Data Entry'!$$847), "", 'Data Entry'!$$847)</f>
      </c>
      <c r="BU847">
        <f>IF(ISBLANK('Data Entry'!$$847), "", 'Data Entry'!$$847)</f>
      </c>
      <c r="BV847">
        <f>IF(ISBLANK('Data Entry'!$$847), "", 'Data Entry'!$$847)</f>
      </c>
      <c r="BW847">
        <f>IF(ISBLANK('Data Entry'!$$847), "", 'Data Entry'!$$847)</f>
      </c>
      <c r="BX847">
        <f>IF(ISBLANK('Data Entry'!$$847), "", 'Data Entry'!$$847)</f>
      </c>
      <c r="BY847">
        <f>IF(ISBLANK('Data Entry'!$$847), "", 'Data Entry'!$$847)</f>
      </c>
      <c r="BZ847">
        <f>IF(ISBLANK('Data Entry'!$$847), "", 'Data Entry'!$$847)</f>
      </c>
      <c r="CA847">
        <f>IF(ISBLANK('Data Entry'!$$847), "", 'Data Entry'!$$847)</f>
      </c>
      <c r="CB847">
        <f>IF(ISBLANK('Data Entry'!$$847), "", 'Data Entry'!$$847)</f>
      </c>
      <c r="CC847">
        <f>IF(ISBLANK('Data Entry'!$$847), "", 'Data Entry'!$$847)</f>
      </c>
      <c r="CD847">
        <f>IF(ISBLANK('Data Entry'!$$847), "", 'Data Entry'!$$847)</f>
      </c>
      <c r="CE847">
        <f>IF(ISBLANK('Data Entry'!$$847), "", 'Data Entry'!$$847)</f>
      </c>
      <c r="CF847">
        <f>IF(ISBLANK('Data Entry'!$$847), "", 'Data Entry'!$$847)</f>
      </c>
      <c r="CG847">
        <f>IF(ISBLANK('Data Entry'!$$847), "", 'Data Entry'!$$847)</f>
      </c>
      <c r="CH847">
        <f>IF(ISBLANK('Data Entry'!$$847), "", 'Data Entry'!$$847)</f>
      </c>
      <c r="CI847">
        <f>IF(ISBLANK('Data Entry'!$$847), "", 'Data Entry'!$$847)</f>
      </c>
      <c r="CJ847">
        <f>IF(ISBLANK('Data Entry'!$$847), "", 'Data Entry'!$$847)</f>
      </c>
      <c r="CK847">
        <f>IF(ISBLANK('Data Entry'!$$847), "", 'Data Entry'!$$847)</f>
      </c>
      <c r="CL847">
        <f>IF(ISBLANK('Data Entry'!$$847), "", 'Data Entry'!$$847)</f>
      </c>
      <c r="CM847">
        <f>IF(ISBLANK('Data Entry'!$$847), "", 'Data Entry'!$$847)</f>
      </c>
      <c r="CN847">
        <f>IF(ISBLANK('Data Entry'!$$847), "", 'Data Entry'!$$847)</f>
      </c>
      <c r="CO847">
        <f>IF(ISBLANK('Data Entry'!$$847), "", 'Data Entry'!$$847)</f>
      </c>
      <c r="CP847">
        <f>IF(ISBLANK('Data Entry'!$$847), "", 'Data Entry'!$$847)</f>
      </c>
      <c r="CQ847">
        <f>IF(ISBLANK('Data Entry'!$$847), "", 'Data Entry'!$$847)</f>
      </c>
      <c r="CR847">
        <f>IF(ISBLANK('Data Entry'!$ $847), "", 'Data Entry'!$ $847)</f>
      </c>
      <c r="CS847">
        <f>IF(ISBLANK('Data Entry'!$¡$847), "", 'Data Entry'!$¡$847)</f>
      </c>
      <c r="CT847">
        <f>IF(ISBLANK('Data Entry'!$¢$847), "", 'Data Entry'!$¢$847)</f>
      </c>
      <c r="CU847">
        <f>IF(ISBLANK('Data Entry'!$£$847), "", 'Data Entry'!$£$847)</f>
      </c>
      <c r="CV847">
        <f>IF(ISBLANK('Data Entry'!$¤$847), "", 'Data Entry'!$¤$847)</f>
      </c>
      <c r="CW847">
        <f>IF(ISBLANK('Data Entry'!$¥$847), "", 'Data Entry'!$¥$847)</f>
      </c>
      <c r="CX847">
        <f>IF(ISBLANK('Data Entry'!$¦$847), "", 'Data Entry'!$¦$847)</f>
      </c>
      <c r="CY847">
        <f>IF(ISBLANK('Data Entry'!$§$847), "", 'Data Entry'!$§$847)</f>
      </c>
      <c r="CZ847">
        <f>IF(ISBLANK('Data Entry'!$¨$847), "", 'Data Entry'!$¨$847)</f>
      </c>
      <c r="DA847">
        <f>IF(ISBLANK('Data Entry'!$©$847), "", 'Data Entry'!$©$847)</f>
      </c>
      <c r="DB847">
        <f>IF(ISBLANK('Data Entry'!$ª$847), "", 'Data Entry'!$ª$847)</f>
      </c>
      <c r="DC847">
        <f>IF(ISBLANK('Data Entry'!$«$847), "", 'Data Entry'!$«$847)</f>
      </c>
      <c r="DD847">
        <f>IF(ISBLANK('Data Entry'!$¬$847), "", 'Data Entry'!$¬$847)</f>
      </c>
      <c r="DE847">
        <f>IF(ISBLANK('Data Entry'!$­$847), "", 'Data Entry'!$­$847)</f>
      </c>
      <c r="DF847">
        <f>IF(ISBLANK('Data Entry'!$®$847), "", 'Data Entry'!$®$847)</f>
      </c>
      <c r="DG847">
        <f>IF(ISBLANK('Data Entry'!$¯$847), "", 'Data Entry'!$¯$847)</f>
      </c>
      <c r="DH847">
        <f>IF(ISBLANK('Data Entry'!$°$847), "", 'Data Entry'!$°$847)</f>
      </c>
      <c r="DI847">
        <f>IF(ISBLANK('Data Entry'!$±$847), "", 'Data Entry'!$±$847)</f>
      </c>
      <c r="DJ847">
        <f>IF(ISBLANK('Data Entry'!$²$847), "", 'Data Entry'!$²$847)</f>
      </c>
      <c r="DK847">
        <f>IF(ISBLANK('Data Entry'!$³$847), "", 'Data Entry'!$³$847)</f>
      </c>
      <c r="DL847">
        <f>IF(ISBLANK('Data Entry'!$´$847), "", 'Data Entry'!$´$847)</f>
      </c>
      <c r="DM847">
        <f>IF(ISBLANK('Data Entry'!$µ$847), "", 'Data Entry'!$µ$847)</f>
      </c>
      <c r="DN847">
        <f>IF(ISBLANK('Data Entry'!$¶$847), "", 'Data Entry'!$¶$847)</f>
      </c>
      <c r="DO847">
        <f>IF(ISBLANK('Data Entry'!$·$847), "", 'Data Entry'!$·$847)</f>
      </c>
      <c r="DP847">
        <f>IF(ISBLANK('Data Entry'!$¸$847), "", 'Data Entry'!$¸$847)</f>
      </c>
      <c r="DQ847">
        <f>IF(ISBLANK('Data Entry'!$¹$847), "", 'Data Entry'!$¹$847)</f>
      </c>
      <c r="DR847">
        <f>IF(ISBLANK('Data Entry'!$º$847), "", 'Data Entry'!$º$847)</f>
      </c>
      <c r="DS847">
        <f>IF(ISBLANK('Data Entry'!$»$847), "", 'Data Entry'!$»$847)</f>
      </c>
      <c r="DT847">
        <f>IF(ISBLANK('Data Entry'!$¼$847), "", 'Data Entry'!$¼$847)</f>
      </c>
      <c r="DU847">
        <f>IF(ISBLANK('Data Entry'!$½$847), "", 'Data Entry'!$½$847)</f>
      </c>
      <c r="DV847">
        <f>IF(ISBLANK('Data Entry'!$¾$847), "", 'Data Entry'!$¾$847)</f>
      </c>
      <c r="DW847">
        <f>IF(ISBLANK('Data Entry'!$¿$847), "", 'Data Entry'!$¿$847)</f>
      </c>
      <c r="DX847">
        <f>IF(ISBLANK('Data Entry'!$À$847), "", 'Data Entry'!$À$847)</f>
      </c>
      <c r="DY847">
        <f>IF(ISBLANK('Data Entry'!$Á$847), "", 'Data Entry'!$Á$847)</f>
      </c>
      <c r="DZ847">
        <f>IF(ISBLANK('Data Entry'!$Â$847), "", 'Data Entry'!$Â$847)</f>
      </c>
      <c r="EA847">
        <f>IF(ISBLANK('Data Entry'!$Ã$847), "", 'Data Entry'!$Ã$847)</f>
      </c>
      <c r="EB847">
        <f>IF(ISBLANK('Data Entry'!$Ä$847), "", 'Data Entry'!$Ä$847)</f>
      </c>
      <c r="EC847">
        <f>IF(ISBLANK('Data Entry'!$Å$847), "", 'Data Entry'!$Å$847)</f>
      </c>
      <c r="ED847">
        <f>IF(ISBLANK('Data Entry'!$Æ$847), "", 'Data Entry'!$Æ$847)</f>
      </c>
      <c r="EE847">
        <f>IF(ISBLANK('Data Entry'!$Ç$847), "", 'Data Entry'!$Ç$847)</f>
      </c>
      <c r="EF847">
        <f>IF(ISBLANK('Data Entry'!$È$847), "", 'Data Entry'!$È$847)</f>
      </c>
      <c r="EG847">
        <f>IF(ISBLANK('Data Entry'!$É$847), "", 'Data Entry'!$É$847)</f>
      </c>
      <c r="EH847">
        <f>IF(ISBLANK('Data Entry'!$Ê$847), "", 'Data Entry'!$Ê$847)</f>
      </c>
      <c r="EI847">
        <f>IF(ISBLANK('Data Entry'!$Ë$847), "", 'Data Entry'!$Ë$847)</f>
      </c>
      <c r="EJ847">
        <f>IF(ISBLANK('Data Entry'!$Ì$847), "", 'Data Entry'!$Ì$847)</f>
      </c>
      <c r="EK847">
        <f>IF(ISBLANK('Data Entry'!$Í$847), "", 'Data Entry'!$Í$847)</f>
      </c>
      <c r="EL847">
        <f>IF(ISBLANK('Data Entry'!$Î$847), "", 'Data Entry'!$Î$847)</f>
      </c>
      <c r="EM847">
        <f>IF(ISBLANK('Data Entry'!$Ï$847), "", 'Data Entry'!$Ï$847)</f>
      </c>
      <c r="EN847">
        <f>IF(ISBLANK('Data Entry'!$Ð$847), "", 'Data Entry'!$Ð$847)</f>
      </c>
      <c r="EO847">
        <f>IF(ISBLANK('Data Entry'!$Ñ$847), "", 'Data Entry'!$Ñ$847)</f>
      </c>
      <c r="EP847">
        <f>IF(ISBLANK('Data Entry'!$Ò$847), "", 'Data Entry'!$Ò$847)</f>
      </c>
      <c r="EQ847">
        <f>IF(ISBLANK('Data Entry'!$Ó$847), "", 'Data Entry'!$Ó$847)</f>
      </c>
      <c r="ER847">
        <f>IF(ISBLANK('Data Entry'!$Ô$847), "", 'Data Entry'!$Ô$847)</f>
      </c>
      <c r="ES847">
        <f>IF(ISBLANK('Data Entry'!$Õ$847), "", 'Data Entry'!$Õ$847)</f>
      </c>
      <c r="ET847">
        <f>IF(ISBLANK('Data Entry'!$Ö$847), "", 'Data Entry'!$Ö$847)</f>
      </c>
      <c r="EU847">
        <f>IF(ISBLANK('Data Entry'!$×$847), "", 'Data Entry'!$×$847)</f>
      </c>
      <c r="EV847">
        <f>IF(ISBLANK('Data Entry'!$Ø$847), "", 'Data Entry'!$Ø$847)</f>
      </c>
      <c r="EW847">
        <f>IF(ISBLANK('Data Entry'!$Ù$847), "", 'Data Entry'!$Ù$847)</f>
      </c>
      <c r="EX847">
        <f>IF(ISBLANK('Data Entry'!$Ú$847), "", 'Data Entry'!$Ú$847)</f>
      </c>
      <c r="EY847">
        <f>IF(ISBLANK('Data Entry'!$Û$847), "", 'Data Entry'!$Û$847)</f>
      </c>
      <c r="EZ847">
        <f>IF(ISBLANK('Data Entry'!$Ü$847), "", 'Data Entry'!$Ü$847)</f>
      </c>
      <c r="FA847">
        <f>IF(ISBLANK('Data Entry'!$Ý$847), "", 'Data Entry'!$Ý$847)</f>
      </c>
      <c r="FB847">
        <f>IF(ISBLANK('Data Entry'!$Þ$847), "", 'Data Entry'!$Þ$847)</f>
      </c>
      <c r="FC847">
        <f>IF(ISBLANK('Data Entry'!$ß$847), "", 'Data Entry'!$ß$847)</f>
      </c>
      <c r="FD847">
        <f>IF(ISBLANK('Data Entry'!$à$847), "", 'Data Entry'!$à$847)</f>
      </c>
      <c r="FE847">
        <f>IF(ISBLANK('Data Entry'!$á$847), "", 'Data Entry'!$á$847)</f>
      </c>
      <c r="FF847">
        <f>IF(ISBLANK('Data Entry'!$â$847), "", 'Data Entry'!$â$847)</f>
      </c>
      <c r="FG847">
        <f>IF(ISBLANK('Data Entry'!$ã$847), "", 'Data Entry'!$ã$847)</f>
      </c>
      <c r="FH847">
        <f>IF(ISBLANK('Data Entry'!$ä$847), "", 'Data Entry'!$ä$847)</f>
      </c>
      <c r="FI847">
        <f>IF(ISBLANK('Data Entry'!$å$847), "", 'Data Entry'!$å$847)</f>
      </c>
      <c r="FJ847">
        <f>IF(ISBLANK('Data Entry'!$æ$847), "", 'Data Entry'!$æ$847)</f>
      </c>
      <c r="FK847">
        <f>IF(ISBLANK('Data Entry'!$ç$847), "", 'Data Entry'!$ç$847)</f>
      </c>
      <c r="FL847">
        <f>IF(ISBLANK('Data Entry'!$è$847), "", 'Data Entry'!$è$847)</f>
      </c>
      <c r="FM847">
        <f>IF(ISBLANK('Data Entry'!$é$847), "", 'Data Entry'!$é$847)</f>
      </c>
      <c r="FN847">
        <f>IF(ISBLANK('Data Entry'!$ê$847), "", 'Data Entry'!$ê$847)</f>
      </c>
      <c r="FO847">
        <f>IF(ISBLANK('Data Entry'!$ë$847), "", 'Data Entry'!$ë$847)</f>
      </c>
      <c r="FP847">
        <f>IF(ISBLANK('Data Entry'!$ì$847), "", 'Data Entry'!$ì$847)</f>
      </c>
      <c r="FQ847">
        <f>IF(ISBLANK('Data Entry'!$í$847), "", 'Data Entry'!$í$847)</f>
      </c>
      <c r="FR847">
        <f>IF(ISBLANK('Data Entry'!$î$847), "", 'Data Entry'!$î$847)</f>
      </c>
      <c r="FS847">
        <f>IF(ISBLANK('Data Entry'!$ï$847), "", 'Data Entry'!$ï$847)</f>
      </c>
      <c r="FT847">
        <f>IF(ISBLANK('Data Entry'!$ð$847), "", 'Data Entry'!$ð$847)</f>
      </c>
      <c r="FU847">
        <f>IF(ISBLANK('Data Entry'!$ñ$847), "", 'Data Entry'!$ñ$847)</f>
      </c>
      <c r="FV847">
        <f>IF(ISBLANK('Data Entry'!$ò$847), "", 'Data Entry'!$ò$847)</f>
      </c>
      <c r="FW847">
        <f>IF(ISBLANK('Data Entry'!$ó$847), "", 'Data Entry'!$ó$847)</f>
      </c>
      <c r="FX847">
        <f>IF(ISBLANK('Data Entry'!$ô$847), "", 'Data Entry'!$ô$847)</f>
      </c>
      <c r="FY847">
        <f>IF(ISBLANK('Data Entry'!$õ$847), "", 'Data Entry'!$õ$847)</f>
      </c>
      <c r="FZ847">
        <f>IF(ISBLANK('Data Entry'!$ö$847), "", 'Data Entry'!$ö$847)</f>
      </c>
      <c r="GA847">
        <f>IF(ISBLANK('Data Entry'!$÷$847), "", 'Data Entry'!$÷$847)</f>
      </c>
      <c r="GB847">
        <f>IF(ISBLANK('Data Entry'!$ø$847), "", 'Data Entry'!$ø$847)</f>
      </c>
      <c r="GC847">
        <f>IF(ISBLANK('Data Entry'!$ù$847), "", 'Data Entry'!$ù$847)</f>
      </c>
      <c r="GD847">
        <f>IF(ISBLANK('Data Entry'!$ú$847), "", 'Data Entry'!$ú$847)</f>
      </c>
      <c r="GE847">
        <f>IF(ISBLANK('Data Entry'!$û$847), "", 'Data Entry'!$û$847)</f>
      </c>
      <c r="GF847">
        <f>IF(ISBLANK('Data Entry'!$ü$847), "", 'Data Entry'!$ü$847)</f>
      </c>
      <c r="GG847">
        <f>IF(ISBLANK('Data Entry'!$ý$847), "", 'Data Entry'!$ý$847)</f>
      </c>
      <c r="GH847">
        <f>IF(ISBLANK('Data Entry'!$þ$847), "", 'Data Entry'!$þ$847)</f>
      </c>
      <c r="GI847">
        <f>IF(ISBLANK('Data Entry'!$ÿ$847), "", 'Data Entry'!$ÿ$847)</f>
      </c>
      <c r="GJ847">
        <f>IF(ISBLANK('Data Entry'!$Ā$847), "", 'Data Entry'!$Ā$847)</f>
      </c>
      <c r="GK847">
        <f>IF(ISBLANK('Data Entry'!$ā$847), "", 'Data Entry'!$ā$847)</f>
      </c>
      <c r="GL847">
        <f>IF(ISBLANK('Data Entry'!$Ă$847), "", 'Data Entry'!$Ă$847)</f>
      </c>
      <c r="GM847">
        <f>IF(ISBLANK('Data Entry'!$ă$847), "", 'Data Entry'!$ă$847)</f>
      </c>
      <c r="GN847">
        <f>IF(ISBLANK('Data Entry'!$Ą$847), "", 'Data Entry'!$Ą$847)</f>
      </c>
      <c r="GO847">
        <f>IF(ISBLANK('Data Entry'!$ą$847), "", 'Data Entry'!$ą$847)</f>
      </c>
      <c r="GP847">
        <f>IF(ISBLANK('Data Entry'!$Ć$847), "", 'Data Entry'!$Ć$847)</f>
      </c>
      <c r="GQ847">
        <f>IF(ISBLANK('Data Entry'!$ć$847), "", 'Data Entry'!$ć$847)</f>
      </c>
      <c r="GR847">
        <f>IF(ISBLANK('Data Entry'!$Ĉ$847), "", 'Data Entry'!$Ĉ$847)</f>
      </c>
      <c r="GS847">
        <f>IF(ISBLANK('Data Entry'!$ĉ$847), "", 'Data Entry'!$ĉ$847)</f>
      </c>
      <c r="GT847">
        <f>IF(ISBLANK('Data Entry'!$Ċ$847), "", 'Data Entry'!$Ċ$847)</f>
      </c>
      <c r="GU847">
        <f>IF(ISBLANK('Data Entry'!$ċ$847), "", 'Data Entry'!$ċ$847)</f>
      </c>
      <c r="GV847">
        <f>IF(ISBLANK('Data Entry'!$Č$847), "", 'Data Entry'!$Č$847)</f>
      </c>
      <c r="GW847">
        <f>IF(ISBLANK('Data Entry'!$č$847), "", 'Data Entry'!$č$847)</f>
      </c>
      <c r="GX847">
        <f>IF(ISBLANK('Data Entry'!$Ď$847), "", 'Data Entry'!$Ď$847)</f>
      </c>
      <c r="GY847">
        <f>IF(ISBLANK('Data Entry'!$ď$847), "", 'Data Entry'!$ď$847)</f>
      </c>
      <c r="GZ847">
        <f>IF(ISBLANK('Data Entry'!$Đ$847), "", 'Data Entry'!$Đ$847)</f>
      </c>
      <c r="HA847">
        <f>IF(ISBLANK('Data Entry'!$đ$847), "", 'Data Entry'!$đ$847)</f>
      </c>
      <c r="HB847">
        <f>IF(ISBLANK('Data Entry'!$Ē$847), "", 'Data Entry'!$Ē$847)</f>
      </c>
      <c r="HC847">
        <f>IF(ISBLANK('Data Entry'!$ē$847), "", 'Data Entry'!$ē$847)</f>
      </c>
      <c r="HD847">
        <f>IF(ISBLANK('Data Entry'!$Ĕ$847), "", 'Data Entry'!$Ĕ$847)</f>
      </c>
      <c r="HE847">
        <f>IF(ISBLANK('Data Entry'!$ĕ$847), "", 'Data Entry'!$ĕ$847)</f>
      </c>
      <c r="HF847">
        <f>IF(ISBLANK('Data Entry'!$Ė$847), "", 'Data Entry'!$Ė$847)</f>
      </c>
      <c r="HG847">
        <f>IF(ISBLANK('Data Entry'!$ė$847), "", 'Data Entry'!$ė$847)</f>
      </c>
      <c r="HH847">
        <f>IF(ISBLANK('Data Entry'!$Ę$847), "", 'Data Entry'!$Ę$847)</f>
      </c>
      <c r="HI847">
        <f>IF(ISBLANK('Data Entry'!$ę$847), "", 'Data Entry'!$ę$847)</f>
      </c>
      <c r="HJ847">
        <f>IF(ISBLANK('Data Entry'!$Ě$847), "", 'Data Entry'!$Ě$847)</f>
      </c>
      <c r="HK847">
        <f>IF(ISBLANK('Data Entry'!$ě$847), "", 'Data Entry'!$ě$847)</f>
      </c>
      <c r="HL847">
        <f>IF(ISBLANK('Data Entry'!$Ĝ$847), "", 'Data Entry'!$Ĝ$847)</f>
      </c>
      <c r="HM847">
        <f>IF(ISBLANK('Data Entry'!$ĝ$847), "", 'Data Entry'!$ĝ$847)</f>
      </c>
      <c r="HN847">
        <f>IF(ISBLANK('Data Entry'!$Ğ$847), "", 'Data Entry'!$Ğ$847)</f>
      </c>
      <c r="HO847">
        <f>IF(ISBLANK('Data Entry'!$ğ$847), "", 'Data Entry'!$ğ$847)</f>
      </c>
      <c r="HP847">
        <f>IF(ISBLANK('Data Entry'!$Ġ$847), "", 'Data Entry'!$Ġ$847)</f>
      </c>
      <c r="HQ847">
        <f>IF(ISBLANK('Data Entry'!$ġ$847), "", 'Data Entry'!$ġ$847)</f>
      </c>
      <c r="HR847">
        <f>IF(ISBLANK('Data Entry'!$Ģ$847), "", 'Data Entry'!$Ģ$847)</f>
      </c>
      <c r="HS847">
        <f>IF(ISBLANK('Data Entry'!$ģ$847), "", 'Data Entry'!$ģ$847)</f>
      </c>
      <c r="HT847">
        <f>IF(ISBLANK('Data Entry'!$Ĥ$847), "", 'Data Entry'!$Ĥ$847)</f>
      </c>
      <c r="HU847">
        <f>IF(ISBLANK('Data Entry'!$ĥ$847), "", 'Data Entry'!$ĥ$847)</f>
      </c>
      <c r="HV847">
        <f>IF(ISBLANK('Data Entry'!$Ħ$847), "", 'Data Entry'!$Ħ$847)</f>
      </c>
      <c r="HW847">
        <f>IF(ISBLANK('Data Entry'!$ħ$847), "", 'Data Entry'!$ħ$847)</f>
      </c>
      <c r="HX847">
        <f>IF(ISBLANK('Data Entry'!$Ĩ$847), "", 'Data Entry'!$Ĩ$847)</f>
      </c>
      <c r="HY847">
        <f>IF(ISBLANK('Data Entry'!$ĩ$847), "", 'Data Entry'!$ĩ$847)</f>
      </c>
      <c r="HZ847">
        <f>IF(ISBLANK('Data Entry'!$Ī$847), "", 'Data Entry'!$Ī$847)</f>
      </c>
      <c r="IA847">
        <f>IF(ISBLANK('Data Entry'!$ī$847), "", 'Data Entry'!$ī$847)</f>
      </c>
      <c r="IB847">
        <f>IF(ISBLANK('Data Entry'!$Ĭ$847), "", 'Data Entry'!$Ĭ$847)</f>
      </c>
      <c r="IC847">
        <f>IF(ISBLANK('Data Entry'!$ĭ$847), "", 'Data Entry'!$ĭ$847)</f>
      </c>
      <c r="ID847">
        <f>IF(ISBLANK('Data Entry'!$Į$847), "", 'Data Entry'!$Į$847)</f>
      </c>
      <c r="IE847">
        <f>IF(ISBLANK('Data Entry'!$į$847), "", 'Data Entry'!$į$847)</f>
      </c>
      <c r="IF847">
        <f>IF(ISBLANK('Data Entry'!$İ$847), "", 'Data Entry'!$İ$847)</f>
      </c>
      <c r="IG847">
        <f>IF(ISBLANK('Data Entry'!$ı$847), "", 'Data Entry'!$ı$847)</f>
      </c>
      <c r="IH847">
        <f>IF(ISBLANK('Data Entry'!$Ĳ$847), "", 'Data Entry'!$Ĳ$847)</f>
      </c>
      <c r="II847">
        <f>IF(ISBLANK('Data Entry'!$ĳ$847), "", 'Data Entry'!$ĳ$847)</f>
      </c>
      <c r="IJ847">
        <f>IF(ISBLANK('Data Entry'!$Ĵ$847), "", 'Data Entry'!$Ĵ$847)</f>
      </c>
      <c r="IK847">
        <f>IF(ISBLANK('Data Entry'!$ĵ$847), "", 'Data Entry'!$ĵ$847)</f>
      </c>
      <c r="IL847">
        <f>IF(ISBLANK('Data Entry'!$Ķ$847), "", 'Data Entry'!$Ķ$847)</f>
      </c>
      <c r="IM847">
        <f>IF(ISBLANK('Data Entry'!$ķ$847), "", 'Data Entry'!$ķ$847)</f>
      </c>
      <c r="IN847">
        <f>IF(ISBLANK('Data Entry'!$ĸ$847), "", 'Data Entry'!$ĸ$847)</f>
      </c>
      <c r="IO847">
        <f>IF(ISBLANK('Data Entry'!$Ĺ$847), "", 'Data Entry'!$Ĺ$847)</f>
      </c>
      <c r="IP847">
        <f>IF(ISBLANK('Data Entry'!$ĺ$847), "", 'Data Entry'!$ĺ$847)</f>
      </c>
      <c r="IQ847">
        <f>IF(ISBLANK('Data Entry'!$Ļ$847), "", 'Data Entry'!$Ļ$847)</f>
      </c>
      <c r="IR847">
        <f>IF(ISBLANK('Data Entry'!$ļ$847), "", 'Data Entry'!$ļ$847)</f>
      </c>
      <c r="IS847">
        <f>IF(ISBLANK('Data Entry'!$Ľ$847), "", 'Data Entry'!$Ľ$847)</f>
      </c>
      <c r="IT847">
        <f>IF(ISBLANK('Data Entry'!$ľ$847), "", 'Data Entry'!$ľ$847)</f>
      </c>
    </row>
    <row r="848" spans="1:254" x14ac:dyDescent="0.25">
      <c r="A848">
        <f>IF(ISBLANK('Data Entry'!$A$848), "", 'Data Entry'!$A$848)</f>
      </c>
      <c r="B848">
        <f>IF(ISBLANK('Data Entry'!$B$848), "", 'Data Entry'!$B$848)</f>
      </c>
      <c r="C848">
        <f>IF(ISBLANK('Data Entry'!$C$848), "", 'Data Entry'!$C$848)</f>
      </c>
      <c r="D848">
        <f>IF(ISBLANK('Data Entry'!$D$848), "", 'Data Entry'!$D$848)</f>
      </c>
      <c r="E848">
        <f>IF(ISBLANK('Data Entry'!$E$848), "", 'Data Entry'!$E$848)</f>
      </c>
      <c r="F848">
        <f>IF(ISBLANK('Data Entry'!$F$848), "", 'Data Entry'!$F$848)</f>
      </c>
      <c r="G848">
        <f>IF(ISBLANK('Data Entry'!$G$848), "", 'Data Entry'!$G$848)</f>
      </c>
      <c r="H848">
        <f>IF(ISBLANK('Data Entry'!$H$848), "", 'Data Entry'!$H$848)</f>
      </c>
      <c r="I848">
        <f>IF(ISBLANK('Data Entry'!$I$848), "", 'Data Entry'!$I$848)</f>
      </c>
      <c r="J848">
        <f>IF(ISBLANK('Data Entry'!$J$848), "", 'Data Entry'!$J$848)</f>
      </c>
      <c r="K848">
        <f>IF(ISBLANK('Data Entry'!$K$848), "", 'Data Entry'!$K$848)</f>
      </c>
      <c r="L848">
        <f>IF(ISBLANK('Data Entry'!$L$848), "", 'Data Entry'!$L$848)</f>
      </c>
      <c r="M848">
        <f>IF(ISBLANK('Data Entry'!$M$848), "", 'Data Entry'!$M$848)</f>
      </c>
      <c r="N848">
        <f>IF(ISBLANK('Data Entry'!$N$848), "", 'Data Entry'!$N$848)</f>
      </c>
      <c r="O848">
        <f>IF(ISBLANK('Data Entry'!$O$848), "", 'Data Entry'!$O$848)</f>
      </c>
      <c r="P848">
        <f>IF(ISBLANK('Data Entry'!$P$848), "", 'Data Entry'!$P$848)</f>
      </c>
      <c r="Q848">
        <f>IF(ISBLANK('Data Entry'!$Q$848), "", 'Data Entry'!$Q$848)</f>
      </c>
      <c r="R848">
        <f>IF(ISBLANK('Data Entry'!$R$848), "", 'Data Entry'!$R$848)</f>
      </c>
      <c r="S848">
        <f>IF(ISBLANK('Data Entry'!$S$848), "", 'Data Entry'!$S$848)</f>
      </c>
      <c r="T848">
        <f>IF(ISBLANK('Data Entry'!$T$848), "", 'Data Entry'!$T$848)</f>
      </c>
      <c r="U848">
        <f>IF(ISBLANK('Data Entry'!$U$848), "", 'Data Entry'!$U$848)</f>
      </c>
      <c r="V848">
        <f>IF(ISBLANK('Data Entry'!$V$848), "", 'Data Entry'!$V$848)</f>
      </c>
      <c r="W848">
        <f>IF(ISBLANK('Data Entry'!$W$848), "", 'Data Entry'!$W$848)</f>
      </c>
      <c r="X848">
        <f>IF(ISBLANK('Data Entry'!$X$848), "", 'Data Entry'!$X$848)</f>
      </c>
      <c r="Y848">
        <f>IF(ISBLANK('Data Entry'!$Y$848), "", 'Data Entry'!$Y$848)</f>
      </c>
      <c r="Z848">
        <f>IF(ISBLANK('Data Entry'!$Z$848), "", 'Data Entry'!$Z$848)</f>
      </c>
      <c r="AA848">
        <f>IF(ISBLANK('Data Entry'!$[$848), "", 'Data Entry'!$[$848)</f>
      </c>
      <c r="AB848">
        <f>IF(ISBLANK('Data Entry'!$\$848), "", 'Data Entry'!$\$848)</f>
      </c>
      <c r="AC848">
        <f>IF(ISBLANK('Data Entry'!$]$848), "", 'Data Entry'!$]$848)</f>
      </c>
      <c r="AD848">
        <f>IF(ISBLANK('Data Entry'!$^$848), "", 'Data Entry'!$^$848)</f>
      </c>
      <c r="AE848">
        <f>IF(ISBLANK('Data Entry'!$_$848), "", 'Data Entry'!$_$848)</f>
      </c>
      <c r="AF848">
        <f>IF(ISBLANK('Data Entry'!$`$848), "", 'Data Entry'!$`$848)</f>
      </c>
      <c r="AG848">
        <f>IF(ISBLANK('Data Entry'!$a$848), "", 'Data Entry'!$a$848)</f>
      </c>
      <c r="AH848">
        <f>IF(ISBLANK('Data Entry'!$b$848), "", 'Data Entry'!$b$848)</f>
      </c>
      <c r="AI848">
        <f>IF(ISBLANK('Data Entry'!$c$848), "", 'Data Entry'!$c$848)</f>
      </c>
      <c r="AJ848">
        <f>IF(ISBLANK('Data Entry'!$d$848), "", 'Data Entry'!$d$848)</f>
      </c>
      <c r="AK848">
        <f>IF(ISBLANK('Data Entry'!$e$848), "", 'Data Entry'!$e$848)</f>
      </c>
      <c r="AL848">
        <f>IF(ISBLANK('Data Entry'!$f$848), "", 'Data Entry'!$f$848)</f>
      </c>
      <c r="AM848">
        <f>IF(ISBLANK('Data Entry'!$g$848), "", 'Data Entry'!$g$848)</f>
      </c>
      <c r="AN848">
        <f>IF(ISBLANK('Data Entry'!$h$848), "", 'Data Entry'!$h$848)</f>
      </c>
      <c r="AO848">
        <f>IF(ISBLANK('Data Entry'!$i$848), "", 'Data Entry'!$i$848)</f>
      </c>
      <c r="AP848">
        <f>IF(ISBLANK('Data Entry'!$j$848), "", 'Data Entry'!$j$848)</f>
      </c>
      <c r="AQ848">
        <f>IF(ISBLANK('Data Entry'!$k$848), "", 'Data Entry'!$k$848)</f>
      </c>
      <c r="AR848">
        <f>IF(ISBLANK('Data Entry'!$l$848), "", 'Data Entry'!$l$848)</f>
      </c>
      <c r="AS848">
        <f>IF(ISBLANK('Data Entry'!$m$848), "", 'Data Entry'!$m$848)</f>
      </c>
      <c r="AT848">
        <f>IF(ISBLANK('Data Entry'!$n$848), "", 'Data Entry'!$n$848)</f>
      </c>
      <c r="AU848">
        <f>IF(ISBLANK('Data Entry'!$o$848), "", 'Data Entry'!$o$848)</f>
      </c>
      <c r="AV848">
        <f>IF(ISBLANK('Data Entry'!$p$848), "", 'Data Entry'!$p$848)</f>
      </c>
      <c r="AW848">
        <f>IF(ISBLANK('Data Entry'!$q$848), "", 'Data Entry'!$q$848)</f>
      </c>
      <c r="AX848">
        <f>IF(ISBLANK('Data Entry'!$r$848), "", 'Data Entry'!$r$848)</f>
      </c>
      <c r="AY848">
        <f>IF(ISBLANK('Data Entry'!$s$848), "", 'Data Entry'!$s$848)</f>
      </c>
      <c r="AZ848">
        <f>IF(ISBLANK('Data Entry'!$t$848), "", 'Data Entry'!$t$848)</f>
      </c>
      <c r="BA848">
        <f>IF(ISBLANK('Data Entry'!$u$848), "", 'Data Entry'!$u$848)</f>
      </c>
      <c r="BB848">
        <f>IF(ISBLANK('Data Entry'!$v$848), "", 'Data Entry'!$v$848)</f>
      </c>
      <c r="BC848">
        <f>IF(ISBLANK('Data Entry'!$w$848), "", 'Data Entry'!$w$848)</f>
      </c>
      <c r="BD848">
        <f>IF(ISBLANK('Data Entry'!$x$848), "", 'Data Entry'!$x$848)</f>
      </c>
      <c r="BE848">
        <f>IF(ISBLANK('Data Entry'!$y$848), "", 'Data Entry'!$y$848)</f>
      </c>
      <c r="BF848">
        <f>IF(ISBLANK('Data Entry'!$z$848), "", 'Data Entry'!$z$848)</f>
      </c>
      <c r="BG848">
        <f>IF(ISBLANK('Data Entry'!${$848), "", 'Data Entry'!${$848)</f>
      </c>
      <c r="BH848">
        <f>IF(ISBLANK('Data Entry'!$|$848), "", 'Data Entry'!$|$848)</f>
      </c>
      <c r="BI848">
        <f>IF(ISBLANK('Data Entry'!$}$848), "", 'Data Entry'!$}$848)</f>
      </c>
      <c r="BJ848">
        <f>IF(ISBLANK('Data Entry'!$~$848), "", 'Data Entry'!$~$848)</f>
      </c>
      <c r="BK848">
        <f>IF(ISBLANK('Data Entry'!$$848), "", 'Data Entry'!$$848)</f>
      </c>
      <c r="BL848">
        <f>IF(ISBLANK('Data Entry'!$$848), "", 'Data Entry'!$$848)</f>
      </c>
      <c r="BM848">
        <f>IF(ISBLANK('Data Entry'!$$848), "", 'Data Entry'!$$848)</f>
      </c>
      <c r="BN848">
        <f>IF(ISBLANK('Data Entry'!$$848), "", 'Data Entry'!$$848)</f>
      </c>
      <c r="BO848">
        <f>IF(ISBLANK('Data Entry'!$$848), "", 'Data Entry'!$$848)</f>
      </c>
      <c r="BP848">
        <f>IF(ISBLANK('Data Entry'!$$848), "", 'Data Entry'!$$848)</f>
      </c>
      <c r="BQ848">
        <f>IF(ISBLANK('Data Entry'!$$848), "", 'Data Entry'!$$848)</f>
      </c>
      <c r="BR848">
        <f>IF(ISBLANK('Data Entry'!$$848), "", 'Data Entry'!$$848)</f>
      </c>
      <c r="BS848">
        <f>IF(ISBLANK('Data Entry'!$$848), "", 'Data Entry'!$$848)</f>
      </c>
      <c r="BT848">
        <f>IF(ISBLANK('Data Entry'!$$848), "", 'Data Entry'!$$848)</f>
      </c>
      <c r="BU848">
        <f>IF(ISBLANK('Data Entry'!$$848), "", 'Data Entry'!$$848)</f>
      </c>
      <c r="BV848">
        <f>IF(ISBLANK('Data Entry'!$$848), "", 'Data Entry'!$$848)</f>
      </c>
      <c r="BW848">
        <f>IF(ISBLANK('Data Entry'!$$848), "", 'Data Entry'!$$848)</f>
      </c>
      <c r="BX848">
        <f>IF(ISBLANK('Data Entry'!$$848), "", 'Data Entry'!$$848)</f>
      </c>
      <c r="BY848">
        <f>IF(ISBLANK('Data Entry'!$$848), "", 'Data Entry'!$$848)</f>
      </c>
      <c r="BZ848">
        <f>IF(ISBLANK('Data Entry'!$$848), "", 'Data Entry'!$$848)</f>
      </c>
      <c r="CA848">
        <f>IF(ISBLANK('Data Entry'!$$848), "", 'Data Entry'!$$848)</f>
      </c>
      <c r="CB848">
        <f>IF(ISBLANK('Data Entry'!$$848), "", 'Data Entry'!$$848)</f>
      </c>
      <c r="CC848">
        <f>IF(ISBLANK('Data Entry'!$$848), "", 'Data Entry'!$$848)</f>
      </c>
      <c r="CD848">
        <f>IF(ISBLANK('Data Entry'!$$848), "", 'Data Entry'!$$848)</f>
      </c>
      <c r="CE848">
        <f>IF(ISBLANK('Data Entry'!$$848), "", 'Data Entry'!$$848)</f>
      </c>
      <c r="CF848">
        <f>IF(ISBLANK('Data Entry'!$$848), "", 'Data Entry'!$$848)</f>
      </c>
      <c r="CG848">
        <f>IF(ISBLANK('Data Entry'!$$848), "", 'Data Entry'!$$848)</f>
      </c>
      <c r="CH848">
        <f>IF(ISBLANK('Data Entry'!$$848), "", 'Data Entry'!$$848)</f>
      </c>
      <c r="CI848">
        <f>IF(ISBLANK('Data Entry'!$$848), "", 'Data Entry'!$$848)</f>
      </c>
      <c r="CJ848">
        <f>IF(ISBLANK('Data Entry'!$$848), "", 'Data Entry'!$$848)</f>
      </c>
      <c r="CK848">
        <f>IF(ISBLANK('Data Entry'!$$848), "", 'Data Entry'!$$848)</f>
      </c>
      <c r="CL848">
        <f>IF(ISBLANK('Data Entry'!$$848), "", 'Data Entry'!$$848)</f>
      </c>
      <c r="CM848">
        <f>IF(ISBLANK('Data Entry'!$$848), "", 'Data Entry'!$$848)</f>
      </c>
      <c r="CN848">
        <f>IF(ISBLANK('Data Entry'!$$848), "", 'Data Entry'!$$848)</f>
      </c>
      <c r="CO848">
        <f>IF(ISBLANK('Data Entry'!$$848), "", 'Data Entry'!$$848)</f>
      </c>
      <c r="CP848">
        <f>IF(ISBLANK('Data Entry'!$$848), "", 'Data Entry'!$$848)</f>
      </c>
      <c r="CQ848">
        <f>IF(ISBLANK('Data Entry'!$$848), "", 'Data Entry'!$$848)</f>
      </c>
      <c r="CR848">
        <f>IF(ISBLANK('Data Entry'!$ $848), "", 'Data Entry'!$ $848)</f>
      </c>
      <c r="CS848">
        <f>IF(ISBLANK('Data Entry'!$¡$848), "", 'Data Entry'!$¡$848)</f>
      </c>
      <c r="CT848">
        <f>IF(ISBLANK('Data Entry'!$¢$848), "", 'Data Entry'!$¢$848)</f>
      </c>
      <c r="CU848">
        <f>IF(ISBLANK('Data Entry'!$£$848), "", 'Data Entry'!$£$848)</f>
      </c>
      <c r="CV848">
        <f>IF(ISBLANK('Data Entry'!$¤$848), "", 'Data Entry'!$¤$848)</f>
      </c>
      <c r="CW848">
        <f>IF(ISBLANK('Data Entry'!$¥$848), "", 'Data Entry'!$¥$848)</f>
      </c>
      <c r="CX848">
        <f>IF(ISBLANK('Data Entry'!$¦$848), "", 'Data Entry'!$¦$848)</f>
      </c>
      <c r="CY848">
        <f>IF(ISBLANK('Data Entry'!$§$848), "", 'Data Entry'!$§$848)</f>
      </c>
      <c r="CZ848">
        <f>IF(ISBLANK('Data Entry'!$¨$848), "", 'Data Entry'!$¨$848)</f>
      </c>
      <c r="DA848">
        <f>IF(ISBLANK('Data Entry'!$©$848), "", 'Data Entry'!$©$848)</f>
      </c>
      <c r="DB848">
        <f>IF(ISBLANK('Data Entry'!$ª$848), "", 'Data Entry'!$ª$848)</f>
      </c>
      <c r="DC848">
        <f>IF(ISBLANK('Data Entry'!$«$848), "", 'Data Entry'!$«$848)</f>
      </c>
      <c r="DD848">
        <f>IF(ISBLANK('Data Entry'!$¬$848), "", 'Data Entry'!$¬$848)</f>
      </c>
      <c r="DE848">
        <f>IF(ISBLANK('Data Entry'!$­$848), "", 'Data Entry'!$­$848)</f>
      </c>
      <c r="DF848">
        <f>IF(ISBLANK('Data Entry'!$®$848), "", 'Data Entry'!$®$848)</f>
      </c>
      <c r="DG848">
        <f>IF(ISBLANK('Data Entry'!$¯$848), "", 'Data Entry'!$¯$848)</f>
      </c>
      <c r="DH848">
        <f>IF(ISBLANK('Data Entry'!$°$848), "", 'Data Entry'!$°$848)</f>
      </c>
      <c r="DI848">
        <f>IF(ISBLANK('Data Entry'!$±$848), "", 'Data Entry'!$±$848)</f>
      </c>
      <c r="DJ848">
        <f>IF(ISBLANK('Data Entry'!$²$848), "", 'Data Entry'!$²$848)</f>
      </c>
      <c r="DK848">
        <f>IF(ISBLANK('Data Entry'!$³$848), "", 'Data Entry'!$³$848)</f>
      </c>
      <c r="DL848">
        <f>IF(ISBLANK('Data Entry'!$´$848), "", 'Data Entry'!$´$848)</f>
      </c>
      <c r="DM848">
        <f>IF(ISBLANK('Data Entry'!$µ$848), "", 'Data Entry'!$µ$848)</f>
      </c>
      <c r="DN848">
        <f>IF(ISBLANK('Data Entry'!$¶$848), "", 'Data Entry'!$¶$848)</f>
      </c>
      <c r="DO848">
        <f>IF(ISBLANK('Data Entry'!$·$848), "", 'Data Entry'!$·$848)</f>
      </c>
      <c r="DP848">
        <f>IF(ISBLANK('Data Entry'!$¸$848), "", 'Data Entry'!$¸$848)</f>
      </c>
      <c r="DQ848">
        <f>IF(ISBLANK('Data Entry'!$¹$848), "", 'Data Entry'!$¹$848)</f>
      </c>
      <c r="DR848">
        <f>IF(ISBLANK('Data Entry'!$º$848), "", 'Data Entry'!$º$848)</f>
      </c>
      <c r="DS848">
        <f>IF(ISBLANK('Data Entry'!$»$848), "", 'Data Entry'!$»$848)</f>
      </c>
      <c r="DT848">
        <f>IF(ISBLANK('Data Entry'!$¼$848), "", 'Data Entry'!$¼$848)</f>
      </c>
      <c r="DU848">
        <f>IF(ISBLANK('Data Entry'!$½$848), "", 'Data Entry'!$½$848)</f>
      </c>
      <c r="DV848">
        <f>IF(ISBLANK('Data Entry'!$¾$848), "", 'Data Entry'!$¾$848)</f>
      </c>
      <c r="DW848">
        <f>IF(ISBLANK('Data Entry'!$¿$848), "", 'Data Entry'!$¿$848)</f>
      </c>
      <c r="DX848">
        <f>IF(ISBLANK('Data Entry'!$À$848), "", 'Data Entry'!$À$848)</f>
      </c>
      <c r="DY848">
        <f>IF(ISBLANK('Data Entry'!$Á$848), "", 'Data Entry'!$Á$848)</f>
      </c>
      <c r="DZ848">
        <f>IF(ISBLANK('Data Entry'!$Â$848), "", 'Data Entry'!$Â$848)</f>
      </c>
      <c r="EA848">
        <f>IF(ISBLANK('Data Entry'!$Ã$848), "", 'Data Entry'!$Ã$848)</f>
      </c>
      <c r="EB848">
        <f>IF(ISBLANK('Data Entry'!$Ä$848), "", 'Data Entry'!$Ä$848)</f>
      </c>
      <c r="EC848">
        <f>IF(ISBLANK('Data Entry'!$Å$848), "", 'Data Entry'!$Å$848)</f>
      </c>
      <c r="ED848">
        <f>IF(ISBLANK('Data Entry'!$Æ$848), "", 'Data Entry'!$Æ$848)</f>
      </c>
      <c r="EE848">
        <f>IF(ISBLANK('Data Entry'!$Ç$848), "", 'Data Entry'!$Ç$848)</f>
      </c>
      <c r="EF848">
        <f>IF(ISBLANK('Data Entry'!$È$848), "", 'Data Entry'!$È$848)</f>
      </c>
      <c r="EG848">
        <f>IF(ISBLANK('Data Entry'!$É$848), "", 'Data Entry'!$É$848)</f>
      </c>
      <c r="EH848">
        <f>IF(ISBLANK('Data Entry'!$Ê$848), "", 'Data Entry'!$Ê$848)</f>
      </c>
      <c r="EI848">
        <f>IF(ISBLANK('Data Entry'!$Ë$848), "", 'Data Entry'!$Ë$848)</f>
      </c>
      <c r="EJ848">
        <f>IF(ISBLANK('Data Entry'!$Ì$848), "", 'Data Entry'!$Ì$848)</f>
      </c>
      <c r="EK848">
        <f>IF(ISBLANK('Data Entry'!$Í$848), "", 'Data Entry'!$Í$848)</f>
      </c>
      <c r="EL848">
        <f>IF(ISBLANK('Data Entry'!$Î$848), "", 'Data Entry'!$Î$848)</f>
      </c>
      <c r="EM848">
        <f>IF(ISBLANK('Data Entry'!$Ï$848), "", 'Data Entry'!$Ï$848)</f>
      </c>
      <c r="EN848">
        <f>IF(ISBLANK('Data Entry'!$Ð$848), "", 'Data Entry'!$Ð$848)</f>
      </c>
      <c r="EO848">
        <f>IF(ISBLANK('Data Entry'!$Ñ$848), "", 'Data Entry'!$Ñ$848)</f>
      </c>
      <c r="EP848">
        <f>IF(ISBLANK('Data Entry'!$Ò$848), "", 'Data Entry'!$Ò$848)</f>
      </c>
      <c r="EQ848">
        <f>IF(ISBLANK('Data Entry'!$Ó$848), "", 'Data Entry'!$Ó$848)</f>
      </c>
      <c r="ER848">
        <f>IF(ISBLANK('Data Entry'!$Ô$848), "", 'Data Entry'!$Ô$848)</f>
      </c>
      <c r="ES848">
        <f>IF(ISBLANK('Data Entry'!$Õ$848), "", 'Data Entry'!$Õ$848)</f>
      </c>
      <c r="ET848">
        <f>IF(ISBLANK('Data Entry'!$Ö$848), "", 'Data Entry'!$Ö$848)</f>
      </c>
      <c r="EU848">
        <f>IF(ISBLANK('Data Entry'!$×$848), "", 'Data Entry'!$×$848)</f>
      </c>
      <c r="EV848">
        <f>IF(ISBLANK('Data Entry'!$Ø$848), "", 'Data Entry'!$Ø$848)</f>
      </c>
      <c r="EW848">
        <f>IF(ISBLANK('Data Entry'!$Ù$848), "", 'Data Entry'!$Ù$848)</f>
      </c>
      <c r="EX848">
        <f>IF(ISBLANK('Data Entry'!$Ú$848), "", 'Data Entry'!$Ú$848)</f>
      </c>
      <c r="EY848">
        <f>IF(ISBLANK('Data Entry'!$Û$848), "", 'Data Entry'!$Û$848)</f>
      </c>
      <c r="EZ848">
        <f>IF(ISBLANK('Data Entry'!$Ü$848), "", 'Data Entry'!$Ü$848)</f>
      </c>
      <c r="FA848">
        <f>IF(ISBLANK('Data Entry'!$Ý$848), "", 'Data Entry'!$Ý$848)</f>
      </c>
      <c r="FB848">
        <f>IF(ISBLANK('Data Entry'!$Þ$848), "", 'Data Entry'!$Þ$848)</f>
      </c>
      <c r="FC848">
        <f>IF(ISBLANK('Data Entry'!$ß$848), "", 'Data Entry'!$ß$848)</f>
      </c>
      <c r="FD848">
        <f>IF(ISBLANK('Data Entry'!$à$848), "", 'Data Entry'!$à$848)</f>
      </c>
      <c r="FE848">
        <f>IF(ISBLANK('Data Entry'!$á$848), "", 'Data Entry'!$á$848)</f>
      </c>
      <c r="FF848">
        <f>IF(ISBLANK('Data Entry'!$â$848), "", 'Data Entry'!$â$848)</f>
      </c>
      <c r="FG848">
        <f>IF(ISBLANK('Data Entry'!$ã$848), "", 'Data Entry'!$ã$848)</f>
      </c>
      <c r="FH848">
        <f>IF(ISBLANK('Data Entry'!$ä$848), "", 'Data Entry'!$ä$848)</f>
      </c>
      <c r="FI848">
        <f>IF(ISBLANK('Data Entry'!$å$848), "", 'Data Entry'!$å$848)</f>
      </c>
      <c r="FJ848">
        <f>IF(ISBLANK('Data Entry'!$æ$848), "", 'Data Entry'!$æ$848)</f>
      </c>
      <c r="FK848">
        <f>IF(ISBLANK('Data Entry'!$ç$848), "", 'Data Entry'!$ç$848)</f>
      </c>
      <c r="FL848">
        <f>IF(ISBLANK('Data Entry'!$è$848), "", 'Data Entry'!$è$848)</f>
      </c>
      <c r="FM848">
        <f>IF(ISBLANK('Data Entry'!$é$848), "", 'Data Entry'!$é$848)</f>
      </c>
      <c r="FN848">
        <f>IF(ISBLANK('Data Entry'!$ê$848), "", 'Data Entry'!$ê$848)</f>
      </c>
      <c r="FO848">
        <f>IF(ISBLANK('Data Entry'!$ë$848), "", 'Data Entry'!$ë$848)</f>
      </c>
      <c r="FP848">
        <f>IF(ISBLANK('Data Entry'!$ì$848), "", 'Data Entry'!$ì$848)</f>
      </c>
      <c r="FQ848">
        <f>IF(ISBLANK('Data Entry'!$í$848), "", 'Data Entry'!$í$848)</f>
      </c>
      <c r="FR848">
        <f>IF(ISBLANK('Data Entry'!$î$848), "", 'Data Entry'!$î$848)</f>
      </c>
      <c r="FS848">
        <f>IF(ISBLANK('Data Entry'!$ï$848), "", 'Data Entry'!$ï$848)</f>
      </c>
      <c r="FT848">
        <f>IF(ISBLANK('Data Entry'!$ð$848), "", 'Data Entry'!$ð$848)</f>
      </c>
      <c r="FU848">
        <f>IF(ISBLANK('Data Entry'!$ñ$848), "", 'Data Entry'!$ñ$848)</f>
      </c>
      <c r="FV848">
        <f>IF(ISBLANK('Data Entry'!$ò$848), "", 'Data Entry'!$ò$848)</f>
      </c>
      <c r="FW848">
        <f>IF(ISBLANK('Data Entry'!$ó$848), "", 'Data Entry'!$ó$848)</f>
      </c>
      <c r="FX848">
        <f>IF(ISBLANK('Data Entry'!$ô$848), "", 'Data Entry'!$ô$848)</f>
      </c>
      <c r="FY848">
        <f>IF(ISBLANK('Data Entry'!$õ$848), "", 'Data Entry'!$õ$848)</f>
      </c>
      <c r="FZ848">
        <f>IF(ISBLANK('Data Entry'!$ö$848), "", 'Data Entry'!$ö$848)</f>
      </c>
      <c r="GA848">
        <f>IF(ISBLANK('Data Entry'!$÷$848), "", 'Data Entry'!$÷$848)</f>
      </c>
      <c r="GB848">
        <f>IF(ISBLANK('Data Entry'!$ø$848), "", 'Data Entry'!$ø$848)</f>
      </c>
      <c r="GC848">
        <f>IF(ISBLANK('Data Entry'!$ù$848), "", 'Data Entry'!$ù$848)</f>
      </c>
      <c r="GD848">
        <f>IF(ISBLANK('Data Entry'!$ú$848), "", 'Data Entry'!$ú$848)</f>
      </c>
      <c r="GE848">
        <f>IF(ISBLANK('Data Entry'!$û$848), "", 'Data Entry'!$û$848)</f>
      </c>
      <c r="GF848">
        <f>IF(ISBLANK('Data Entry'!$ü$848), "", 'Data Entry'!$ü$848)</f>
      </c>
      <c r="GG848">
        <f>IF(ISBLANK('Data Entry'!$ý$848), "", 'Data Entry'!$ý$848)</f>
      </c>
      <c r="GH848">
        <f>IF(ISBLANK('Data Entry'!$þ$848), "", 'Data Entry'!$þ$848)</f>
      </c>
      <c r="GI848">
        <f>IF(ISBLANK('Data Entry'!$ÿ$848), "", 'Data Entry'!$ÿ$848)</f>
      </c>
      <c r="GJ848">
        <f>IF(ISBLANK('Data Entry'!$Ā$848), "", 'Data Entry'!$Ā$848)</f>
      </c>
      <c r="GK848">
        <f>IF(ISBLANK('Data Entry'!$ā$848), "", 'Data Entry'!$ā$848)</f>
      </c>
      <c r="GL848">
        <f>IF(ISBLANK('Data Entry'!$Ă$848), "", 'Data Entry'!$Ă$848)</f>
      </c>
      <c r="GM848">
        <f>IF(ISBLANK('Data Entry'!$ă$848), "", 'Data Entry'!$ă$848)</f>
      </c>
      <c r="GN848">
        <f>IF(ISBLANK('Data Entry'!$Ą$848), "", 'Data Entry'!$Ą$848)</f>
      </c>
      <c r="GO848">
        <f>IF(ISBLANK('Data Entry'!$ą$848), "", 'Data Entry'!$ą$848)</f>
      </c>
      <c r="GP848">
        <f>IF(ISBLANK('Data Entry'!$Ć$848), "", 'Data Entry'!$Ć$848)</f>
      </c>
      <c r="GQ848">
        <f>IF(ISBLANK('Data Entry'!$ć$848), "", 'Data Entry'!$ć$848)</f>
      </c>
      <c r="GR848">
        <f>IF(ISBLANK('Data Entry'!$Ĉ$848), "", 'Data Entry'!$Ĉ$848)</f>
      </c>
      <c r="GS848">
        <f>IF(ISBLANK('Data Entry'!$ĉ$848), "", 'Data Entry'!$ĉ$848)</f>
      </c>
      <c r="GT848">
        <f>IF(ISBLANK('Data Entry'!$Ċ$848), "", 'Data Entry'!$Ċ$848)</f>
      </c>
      <c r="GU848">
        <f>IF(ISBLANK('Data Entry'!$ċ$848), "", 'Data Entry'!$ċ$848)</f>
      </c>
      <c r="GV848">
        <f>IF(ISBLANK('Data Entry'!$Č$848), "", 'Data Entry'!$Č$848)</f>
      </c>
      <c r="GW848">
        <f>IF(ISBLANK('Data Entry'!$č$848), "", 'Data Entry'!$č$848)</f>
      </c>
      <c r="GX848">
        <f>IF(ISBLANK('Data Entry'!$Ď$848), "", 'Data Entry'!$Ď$848)</f>
      </c>
      <c r="GY848">
        <f>IF(ISBLANK('Data Entry'!$ď$848), "", 'Data Entry'!$ď$848)</f>
      </c>
      <c r="GZ848">
        <f>IF(ISBLANK('Data Entry'!$Đ$848), "", 'Data Entry'!$Đ$848)</f>
      </c>
      <c r="HA848">
        <f>IF(ISBLANK('Data Entry'!$đ$848), "", 'Data Entry'!$đ$848)</f>
      </c>
      <c r="HB848">
        <f>IF(ISBLANK('Data Entry'!$Ē$848), "", 'Data Entry'!$Ē$848)</f>
      </c>
      <c r="HC848">
        <f>IF(ISBLANK('Data Entry'!$ē$848), "", 'Data Entry'!$ē$848)</f>
      </c>
      <c r="HD848">
        <f>IF(ISBLANK('Data Entry'!$Ĕ$848), "", 'Data Entry'!$Ĕ$848)</f>
      </c>
      <c r="HE848">
        <f>IF(ISBLANK('Data Entry'!$ĕ$848), "", 'Data Entry'!$ĕ$848)</f>
      </c>
      <c r="HF848">
        <f>IF(ISBLANK('Data Entry'!$Ė$848), "", 'Data Entry'!$Ė$848)</f>
      </c>
      <c r="HG848">
        <f>IF(ISBLANK('Data Entry'!$ė$848), "", 'Data Entry'!$ė$848)</f>
      </c>
      <c r="HH848">
        <f>IF(ISBLANK('Data Entry'!$Ę$848), "", 'Data Entry'!$Ę$848)</f>
      </c>
      <c r="HI848">
        <f>IF(ISBLANK('Data Entry'!$ę$848), "", 'Data Entry'!$ę$848)</f>
      </c>
      <c r="HJ848">
        <f>IF(ISBLANK('Data Entry'!$Ě$848), "", 'Data Entry'!$Ě$848)</f>
      </c>
      <c r="HK848">
        <f>IF(ISBLANK('Data Entry'!$ě$848), "", 'Data Entry'!$ě$848)</f>
      </c>
      <c r="HL848">
        <f>IF(ISBLANK('Data Entry'!$Ĝ$848), "", 'Data Entry'!$Ĝ$848)</f>
      </c>
      <c r="HM848">
        <f>IF(ISBLANK('Data Entry'!$ĝ$848), "", 'Data Entry'!$ĝ$848)</f>
      </c>
      <c r="HN848">
        <f>IF(ISBLANK('Data Entry'!$Ğ$848), "", 'Data Entry'!$Ğ$848)</f>
      </c>
      <c r="HO848">
        <f>IF(ISBLANK('Data Entry'!$ğ$848), "", 'Data Entry'!$ğ$848)</f>
      </c>
      <c r="HP848">
        <f>IF(ISBLANK('Data Entry'!$Ġ$848), "", 'Data Entry'!$Ġ$848)</f>
      </c>
      <c r="HQ848">
        <f>IF(ISBLANK('Data Entry'!$ġ$848), "", 'Data Entry'!$ġ$848)</f>
      </c>
      <c r="HR848">
        <f>IF(ISBLANK('Data Entry'!$Ģ$848), "", 'Data Entry'!$Ģ$848)</f>
      </c>
      <c r="HS848">
        <f>IF(ISBLANK('Data Entry'!$ģ$848), "", 'Data Entry'!$ģ$848)</f>
      </c>
      <c r="HT848">
        <f>IF(ISBLANK('Data Entry'!$Ĥ$848), "", 'Data Entry'!$Ĥ$848)</f>
      </c>
      <c r="HU848">
        <f>IF(ISBLANK('Data Entry'!$ĥ$848), "", 'Data Entry'!$ĥ$848)</f>
      </c>
      <c r="HV848">
        <f>IF(ISBLANK('Data Entry'!$Ħ$848), "", 'Data Entry'!$Ħ$848)</f>
      </c>
      <c r="HW848">
        <f>IF(ISBLANK('Data Entry'!$ħ$848), "", 'Data Entry'!$ħ$848)</f>
      </c>
      <c r="HX848">
        <f>IF(ISBLANK('Data Entry'!$Ĩ$848), "", 'Data Entry'!$Ĩ$848)</f>
      </c>
      <c r="HY848">
        <f>IF(ISBLANK('Data Entry'!$ĩ$848), "", 'Data Entry'!$ĩ$848)</f>
      </c>
      <c r="HZ848">
        <f>IF(ISBLANK('Data Entry'!$Ī$848), "", 'Data Entry'!$Ī$848)</f>
      </c>
      <c r="IA848">
        <f>IF(ISBLANK('Data Entry'!$ī$848), "", 'Data Entry'!$ī$848)</f>
      </c>
      <c r="IB848">
        <f>IF(ISBLANK('Data Entry'!$Ĭ$848), "", 'Data Entry'!$Ĭ$848)</f>
      </c>
      <c r="IC848">
        <f>IF(ISBLANK('Data Entry'!$ĭ$848), "", 'Data Entry'!$ĭ$848)</f>
      </c>
      <c r="ID848">
        <f>IF(ISBLANK('Data Entry'!$Į$848), "", 'Data Entry'!$Į$848)</f>
      </c>
      <c r="IE848">
        <f>IF(ISBLANK('Data Entry'!$į$848), "", 'Data Entry'!$į$848)</f>
      </c>
      <c r="IF848">
        <f>IF(ISBLANK('Data Entry'!$İ$848), "", 'Data Entry'!$İ$848)</f>
      </c>
      <c r="IG848">
        <f>IF(ISBLANK('Data Entry'!$ı$848), "", 'Data Entry'!$ı$848)</f>
      </c>
      <c r="IH848">
        <f>IF(ISBLANK('Data Entry'!$Ĳ$848), "", 'Data Entry'!$Ĳ$848)</f>
      </c>
      <c r="II848">
        <f>IF(ISBLANK('Data Entry'!$ĳ$848), "", 'Data Entry'!$ĳ$848)</f>
      </c>
      <c r="IJ848">
        <f>IF(ISBLANK('Data Entry'!$Ĵ$848), "", 'Data Entry'!$Ĵ$848)</f>
      </c>
      <c r="IK848">
        <f>IF(ISBLANK('Data Entry'!$ĵ$848), "", 'Data Entry'!$ĵ$848)</f>
      </c>
      <c r="IL848">
        <f>IF(ISBLANK('Data Entry'!$Ķ$848), "", 'Data Entry'!$Ķ$848)</f>
      </c>
      <c r="IM848">
        <f>IF(ISBLANK('Data Entry'!$ķ$848), "", 'Data Entry'!$ķ$848)</f>
      </c>
      <c r="IN848">
        <f>IF(ISBLANK('Data Entry'!$ĸ$848), "", 'Data Entry'!$ĸ$848)</f>
      </c>
      <c r="IO848">
        <f>IF(ISBLANK('Data Entry'!$Ĺ$848), "", 'Data Entry'!$Ĺ$848)</f>
      </c>
      <c r="IP848">
        <f>IF(ISBLANK('Data Entry'!$ĺ$848), "", 'Data Entry'!$ĺ$848)</f>
      </c>
      <c r="IQ848">
        <f>IF(ISBLANK('Data Entry'!$Ļ$848), "", 'Data Entry'!$Ļ$848)</f>
      </c>
      <c r="IR848">
        <f>IF(ISBLANK('Data Entry'!$ļ$848), "", 'Data Entry'!$ļ$848)</f>
      </c>
      <c r="IS848">
        <f>IF(ISBLANK('Data Entry'!$Ľ$848), "", 'Data Entry'!$Ľ$848)</f>
      </c>
      <c r="IT848">
        <f>IF(ISBLANK('Data Entry'!$ľ$848), "", 'Data Entry'!$ľ$848)</f>
      </c>
    </row>
    <row r="849" spans="1:254" x14ac:dyDescent="0.25">
      <c r="A849">
        <f>IF(ISBLANK('Data Entry'!$A$849), "", 'Data Entry'!$A$849)</f>
      </c>
      <c r="B849">
        <f>IF(ISBLANK('Data Entry'!$B$849), "", 'Data Entry'!$B$849)</f>
      </c>
      <c r="C849">
        <f>IF(ISBLANK('Data Entry'!$C$849), "", 'Data Entry'!$C$849)</f>
      </c>
      <c r="D849">
        <f>IF(ISBLANK('Data Entry'!$D$849), "", 'Data Entry'!$D$849)</f>
      </c>
      <c r="E849">
        <f>IF(ISBLANK('Data Entry'!$E$849), "", 'Data Entry'!$E$849)</f>
      </c>
      <c r="F849">
        <f>IF(ISBLANK('Data Entry'!$F$849), "", 'Data Entry'!$F$849)</f>
      </c>
      <c r="G849">
        <f>IF(ISBLANK('Data Entry'!$G$849), "", 'Data Entry'!$G$849)</f>
      </c>
      <c r="H849">
        <f>IF(ISBLANK('Data Entry'!$H$849), "", 'Data Entry'!$H$849)</f>
      </c>
      <c r="I849">
        <f>IF(ISBLANK('Data Entry'!$I$849), "", 'Data Entry'!$I$849)</f>
      </c>
      <c r="J849">
        <f>IF(ISBLANK('Data Entry'!$J$849), "", 'Data Entry'!$J$849)</f>
      </c>
      <c r="K849">
        <f>IF(ISBLANK('Data Entry'!$K$849), "", 'Data Entry'!$K$849)</f>
      </c>
      <c r="L849">
        <f>IF(ISBLANK('Data Entry'!$L$849), "", 'Data Entry'!$L$849)</f>
      </c>
      <c r="M849">
        <f>IF(ISBLANK('Data Entry'!$M$849), "", 'Data Entry'!$M$849)</f>
      </c>
      <c r="N849">
        <f>IF(ISBLANK('Data Entry'!$N$849), "", 'Data Entry'!$N$849)</f>
      </c>
      <c r="O849">
        <f>IF(ISBLANK('Data Entry'!$O$849), "", 'Data Entry'!$O$849)</f>
      </c>
      <c r="P849">
        <f>IF(ISBLANK('Data Entry'!$P$849), "", 'Data Entry'!$P$849)</f>
      </c>
      <c r="Q849">
        <f>IF(ISBLANK('Data Entry'!$Q$849), "", 'Data Entry'!$Q$849)</f>
      </c>
      <c r="R849">
        <f>IF(ISBLANK('Data Entry'!$R$849), "", 'Data Entry'!$R$849)</f>
      </c>
      <c r="S849">
        <f>IF(ISBLANK('Data Entry'!$S$849), "", 'Data Entry'!$S$849)</f>
      </c>
      <c r="T849">
        <f>IF(ISBLANK('Data Entry'!$T$849), "", 'Data Entry'!$T$849)</f>
      </c>
      <c r="U849">
        <f>IF(ISBLANK('Data Entry'!$U$849), "", 'Data Entry'!$U$849)</f>
      </c>
      <c r="V849">
        <f>IF(ISBLANK('Data Entry'!$V$849), "", 'Data Entry'!$V$849)</f>
      </c>
      <c r="W849">
        <f>IF(ISBLANK('Data Entry'!$W$849), "", 'Data Entry'!$W$849)</f>
      </c>
      <c r="X849">
        <f>IF(ISBLANK('Data Entry'!$X$849), "", 'Data Entry'!$X$849)</f>
      </c>
      <c r="Y849">
        <f>IF(ISBLANK('Data Entry'!$Y$849), "", 'Data Entry'!$Y$849)</f>
      </c>
      <c r="Z849">
        <f>IF(ISBLANK('Data Entry'!$Z$849), "", 'Data Entry'!$Z$849)</f>
      </c>
      <c r="AA849">
        <f>IF(ISBLANK('Data Entry'!$[$849), "", 'Data Entry'!$[$849)</f>
      </c>
      <c r="AB849">
        <f>IF(ISBLANK('Data Entry'!$\$849), "", 'Data Entry'!$\$849)</f>
      </c>
      <c r="AC849">
        <f>IF(ISBLANK('Data Entry'!$]$849), "", 'Data Entry'!$]$849)</f>
      </c>
      <c r="AD849">
        <f>IF(ISBLANK('Data Entry'!$^$849), "", 'Data Entry'!$^$849)</f>
      </c>
      <c r="AE849">
        <f>IF(ISBLANK('Data Entry'!$_$849), "", 'Data Entry'!$_$849)</f>
      </c>
      <c r="AF849">
        <f>IF(ISBLANK('Data Entry'!$`$849), "", 'Data Entry'!$`$849)</f>
      </c>
      <c r="AG849">
        <f>IF(ISBLANK('Data Entry'!$a$849), "", 'Data Entry'!$a$849)</f>
      </c>
      <c r="AH849">
        <f>IF(ISBLANK('Data Entry'!$b$849), "", 'Data Entry'!$b$849)</f>
      </c>
      <c r="AI849">
        <f>IF(ISBLANK('Data Entry'!$c$849), "", 'Data Entry'!$c$849)</f>
      </c>
      <c r="AJ849">
        <f>IF(ISBLANK('Data Entry'!$d$849), "", 'Data Entry'!$d$849)</f>
      </c>
      <c r="AK849">
        <f>IF(ISBLANK('Data Entry'!$e$849), "", 'Data Entry'!$e$849)</f>
      </c>
      <c r="AL849">
        <f>IF(ISBLANK('Data Entry'!$f$849), "", 'Data Entry'!$f$849)</f>
      </c>
      <c r="AM849">
        <f>IF(ISBLANK('Data Entry'!$g$849), "", 'Data Entry'!$g$849)</f>
      </c>
      <c r="AN849">
        <f>IF(ISBLANK('Data Entry'!$h$849), "", 'Data Entry'!$h$849)</f>
      </c>
      <c r="AO849">
        <f>IF(ISBLANK('Data Entry'!$i$849), "", 'Data Entry'!$i$849)</f>
      </c>
      <c r="AP849">
        <f>IF(ISBLANK('Data Entry'!$j$849), "", 'Data Entry'!$j$849)</f>
      </c>
      <c r="AQ849">
        <f>IF(ISBLANK('Data Entry'!$k$849), "", 'Data Entry'!$k$849)</f>
      </c>
      <c r="AR849">
        <f>IF(ISBLANK('Data Entry'!$l$849), "", 'Data Entry'!$l$849)</f>
      </c>
      <c r="AS849">
        <f>IF(ISBLANK('Data Entry'!$m$849), "", 'Data Entry'!$m$849)</f>
      </c>
      <c r="AT849">
        <f>IF(ISBLANK('Data Entry'!$n$849), "", 'Data Entry'!$n$849)</f>
      </c>
      <c r="AU849">
        <f>IF(ISBLANK('Data Entry'!$o$849), "", 'Data Entry'!$o$849)</f>
      </c>
      <c r="AV849">
        <f>IF(ISBLANK('Data Entry'!$p$849), "", 'Data Entry'!$p$849)</f>
      </c>
      <c r="AW849">
        <f>IF(ISBLANK('Data Entry'!$q$849), "", 'Data Entry'!$q$849)</f>
      </c>
      <c r="AX849">
        <f>IF(ISBLANK('Data Entry'!$r$849), "", 'Data Entry'!$r$849)</f>
      </c>
      <c r="AY849">
        <f>IF(ISBLANK('Data Entry'!$s$849), "", 'Data Entry'!$s$849)</f>
      </c>
      <c r="AZ849">
        <f>IF(ISBLANK('Data Entry'!$t$849), "", 'Data Entry'!$t$849)</f>
      </c>
      <c r="BA849">
        <f>IF(ISBLANK('Data Entry'!$u$849), "", 'Data Entry'!$u$849)</f>
      </c>
      <c r="BB849">
        <f>IF(ISBLANK('Data Entry'!$v$849), "", 'Data Entry'!$v$849)</f>
      </c>
      <c r="BC849">
        <f>IF(ISBLANK('Data Entry'!$w$849), "", 'Data Entry'!$w$849)</f>
      </c>
      <c r="BD849">
        <f>IF(ISBLANK('Data Entry'!$x$849), "", 'Data Entry'!$x$849)</f>
      </c>
      <c r="BE849">
        <f>IF(ISBLANK('Data Entry'!$y$849), "", 'Data Entry'!$y$849)</f>
      </c>
      <c r="BF849">
        <f>IF(ISBLANK('Data Entry'!$z$849), "", 'Data Entry'!$z$849)</f>
      </c>
      <c r="BG849">
        <f>IF(ISBLANK('Data Entry'!${$849), "", 'Data Entry'!${$849)</f>
      </c>
      <c r="BH849">
        <f>IF(ISBLANK('Data Entry'!$|$849), "", 'Data Entry'!$|$849)</f>
      </c>
      <c r="BI849">
        <f>IF(ISBLANK('Data Entry'!$}$849), "", 'Data Entry'!$}$849)</f>
      </c>
      <c r="BJ849">
        <f>IF(ISBLANK('Data Entry'!$~$849), "", 'Data Entry'!$~$849)</f>
      </c>
      <c r="BK849">
        <f>IF(ISBLANK('Data Entry'!$$849), "", 'Data Entry'!$$849)</f>
      </c>
      <c r="BL849">
        <f>IF(ISBLANK('Data Entry'!$$849), "", 'Data Entry'!$$849)</f>
      </c>
      <c r="BM849">
        <f>IF(ISBLANK('Data Entry'!$$849), "", 'Data Entry'!$$849)</f>
      </c>
      <c r="BN849">
        <f>IF(ISBLANK('Data Entry'!$$849), "", 'Data Entry'!$$849)</f>
      </c>
      <c r="BO849">
        <f>IF(ISBLANK('Data Entry'!$$849), "", 'Data Entry'!$$849)</f>
      </c>
      <c r="BP849">
        <f>IF(ISBLANK('Data Entry'!$$849), "", 'Data Entry'!$$849)</f>
      </c>
      <c r="BQ849">
        <f>IF(ISBLANK('Data Entry'!$$849), "", 'Data Entry'!$$849)</f>
      </c>
      <c r="BR849">
        <f>IF(ISBLANK('Data Entry'!$$849), "", 'Data Entry'!$$849)</f>
      </c>
      <c r="BS849">
        <f>IF(ISBLANK('Data Entry'!$$849), "", 'Data Entry'!$$849)</f>
      </c>
      <c r="BT849">
        <f>IF(ISBLANK('Data Entry'!$$849), "", 'Data Entry'!$$849)</f>
      </c>
      <c r="BU849">
        <f>IF(ISBLANK('Data Entry'!$$849), "", 'Data Entry'!$$849)</f>
      </c>
      <c r="BV849">
        <f>IF(ISBLANK('Data Entry'!$$849), "", 'Data Entry'!$$849)</f>
      </c>
      <c r="BW849">
        <f>IF(ISBLANK('Data Entry'!$$849), "", 'Data Entry'!$$849)</f>
      </c>
      <c r="BX849">
        <f>IF(ISBLANK('Data Entry'!$$849), "", 'Data Entry'!$$849)</f>
      </c>
      <c r="BY849">
        <f>IF(ISBLANK('Data Entry'!$$849), "", 'Data Entry'!$$849)</f>
      </c>
      <c r="BZ849">
        <f>IF(ISBLANK('Data Entry'!$$849), "", 'Data Entry'!$$849)</f>
      </c>
      <c r="CA849">
        <f>IF(ISBLANK('Data Entry'!$$849), "", 'Data Entry'!$$849)</f>
      </c>
      <c r="CB849">
        <f>IF(ISBLANK('Data Entry'!$$849), "", 'Data Entry'!$$849)</f>
      </c>
      <c r="CC849">
        <f>IF(ISBLANK('Data Entry'!$$849), "", 'Data Entry'!$$849)</f>
      </c>
      <c r="CD849">
        <f>IF(ISBLANK('Data Entry'!$$849), "", 'Data Entry'!$$849)</f>
      </c>
      <c r="CE849">
        <f>IF(ISBLANK('Data Entry'!$$849), "", 'Data Entry'!$$849)</f>
      </c>
      <c r="CF849">
        <f>IF(ISBLANK('Data Entry'!$$849), "", 'Data Entry'!$$849)</f>
      </c>
      <c r="CG849">
        <f>IF(ISBLANK('Data Entry'!$$849), "", 'Data Entry'!$$849)</f>
      </c>
      <c r="CH849">
        <f>IF(ISBLANK('Data Entry'!$$849), "", 'Data Entry'!$$849)</f>
      </c>
      <c r="CI849">
        <f>IF(ISBLANK('Data Entry'!$$849), "", 'Data Entry'!$$849)</f>
      </c>
      <c r="CJ849">
        <f>IF(ISBLANK('Data Entry'!$$849), "", 'Data Entry'!$$849)</f>
      </c>
      <c r="CK849">
        <f>IF(ISBLANK('Data Entry'!$$849), "", 'Data Entry'!$$849)</f>
      </c>
      <c r="CL849">
        <f>IF(ISBLANK('Data Entry'!$$849), "", 'Data Entry'!$$849)</f>
      </c>
      <c r="CM849">
        <f>IF(ISBLANK('Data Entry'!$$849), "", 'Data Entry'!$$849)</f>
      </c>
      <c r="CN849">
        <f>IF(ISBLANK('Data Entry'!$$849), "", 'Data Entry'!$$849)</f>
      </c>
      <c r="CO849">
        <f>IF(ISBLANK('Data Entry'!$$849), "", 'Data Entry'!$$849)</f>
      </c>
      <c r="CP849">
        <f>IF(ISBLANK('Data Entry'!$$849), "", 'Data Entry'!$$849)</f>
      </c>
      <c r="CQ849">
        <f>IF(ISBLANK('Data Entry'!$$849), "", 'Data Entry'!$$849)</f>
      </c>
      <c r="CR849">
        <f>IF(ISBLANK('Data Entry'!$ $849), "", 'Data Entry'!$ $849)</f>
      </c>
      <c r="CS849">
        <f>IF(ISBLANK('Data Entry'!$¡$849), "", 'Data Entry'!$¡$849)</f>
      </c>
      <c r="CT849">
        <f>IF(ISBLANK('Data Entry'!$¢$849), "", 'Data Entry'!$¢$849)</f>
      </c>
      <c r="CU849">
        <f>IF(ISBLANK('Data Entry'!$£$849), "", 'Data Entry'!$£$849)</f>
      </c>
      <c r="CV849">
        <f>IF(ISBLANK('Data Entry'!$¤$849), "", 'Data Entry'!$¤$849)</f>
      </c>
      <c r="CW849">
        <f>IF(ISBLANK('Data Entry'!$¥$849), "", 'Data Entry'!$¥$849)</f>
      </c>
      <c r="CX849">
        <f>IF(ISBLANK('Data Entry'!$¦$849), "", 'Data Entry'!$¦$849)</f>
      </c>
      <c r="CY849">
        <f>IF(ISBLANK('Data Entry'!$§$849), "", 'Data Entry'!$§$849)</f>
      </c>
      <c r="CZ849">
        <f>IF(ISBLANK('Data Entry'!$¨$849), "", 'Data Entry'!$¨$849)</f>
      </c>
      <c r="DA849">
        <f>IF(ISBLANK('Data Entry'!$©$849), "", 'Data Entry'!$©$849)</f>
      </c>
      <c r="DB849">
        <f>IF(ISBLANK('Data Entry'!$ª$849), "", 'Data Entry'!$ª$849)</f>
      </c>
      <c r="DC849">
        <f>IF(ISBLANK('Data Entry'!$«$849), "", 'Data Entry'!$«$849)</f>
      </c>
      <c r="DD849">
        <f>IF(ISBLANK('Data Entry'!$¬$849), "", 'Data Entry'!$¬$849)</f>
      </c>
      <c r="DE849">
        <f>IF(ISBLANK('Data Entry'!$­$849), "", 'Data Entry'!$­$849)</f>
      </c>
      <c r="DF849">
        <f>IF(ISBLANK('Data Entry'!$®$849), "", 'Data Entry'!$®$849)</f>
      </c>
      <c r="DG849">
        <f>IF(ISBLANK('Data Entry'!$¯$849), "", 'Data Entry'!$¯$849)</f>
      </c>
      <c r="DH849">
        <f>IF(ISBLANK('Data Entry'!$°$849), "", 'Data Entry'!$°$849)</f>
      </c>
      <c r="DI849">
        <f>IF(ISBLANK('Data Entry'!$±$849), "", 'Data Entry'!$±$849)</f>
      </c>
      <c r="DJ849">
        <f>IF(ISBLANK('Data Entry'!$²$849), "", 'Data Entry'!$²$849)</f>
      </c>
      <c r="DK849">
        <f>IF(ISBLANK('Data Entry'!$³$849), "", 'Data Entry'!$³$849)</f>
      </c>
      <c r="DL849">
        <f>IF(ISBLANK('Data Entry'!$´$849), "", 'Data Entry'!$´$849)</f>
      </c>
      <c r="DM849">
        <f>IF(ISBLANK('Data Entry'!$µ$849), "", 'Data Entry'!$µ$849)</f>
      </c>
      <c r="DN849">
        <f>IF(ISBLANK('Data Entry'!$¶$849), "", 'Data Entry'!$¶$849)</f>
      </c>
      <c r="DO849">
        <f>IF(ISBLANK('Data Entry'!$·$849), "", 'Data Entry'!$·$849)</f>
      </c>
      <c r="DP849">
        <f>IF(ISBLANK('Data Entry'!$¸$849), "", 'Data Entry'!$¸$849)</f>
      </c>
      <c r="DQ849">
        <f>IF(ISBLANK('Data Entry'!$¹$849), "", 'Data Entry'!$¹$849)</f>
      </c>
      <c r="DR849">
        <f>IF(ISBLANK('Data Entry'!$º$849), "", 'Data Entry'!$º$849)</f>
      </c>
      <c r="DS849">
        <f>IF(ISBLANK('Data Entry'!$»$849), "", 'Data Entry'!$»$849)</f>
      </c>
      <c r="DT849">
        <f>IF(ISBLANK('Data Entry'!$¼$849), "", 'Data Entry'!$¼$849)</f>
      </c>
      <c r="DU849">
        <f>IF(ISBLANK('Data Entry'!$½$849), "", 'Data Entry'!$½$849)</f>
      </c>
      <c r="DV849">
        <f>IF(ISBLANK('Data Entry'!$¾$849), "", 'Data Entry'!$¾$849)</f>
      </c>
      <c r="DW849">
        <f>IF(ISBLANK('Data Entry'!$¿$849), "", 'Data Entry'!$¿$849)</f>
      </c>
      <c r="DX849">
        <f>IF(ISBLANK('Data Entry'!$À$849), "", 'Data Entry'!$À$849)</f>
      </c>
      <c r="DY849">
        <f>IF(ISBLANK('Data Entry'!$Á$849), "", 'Data Entry'!$Á$849)</f>
      </c>
      <c r="DZ849">
        <f>IF(ISBLANK('Data Entry'!$Â$849), "", 'Data Entry'!$Â$849)</f>
      </c>
      <c r="EA849">
        <f>IF(ISBLANK('Data Entry'!$Ã$849), "", 'Data Entry'!$Ã$849)</f>
      </c>
      <c r="EB849">
        <f>IF(ISBLANK('Data Entry'!$Ä$849), "", 'Data Entry'!$Ä$849)</f>
      </c>
      <c r="EC849">
        <f>IF(ISBLANK('Data Entry'!$Å$849), "", 'Data Entry'!$Å$849)</f>
      </c>
      <c r="ED849">
        <f>IF(ISBLANK('Data Entry'!$Æ$849), "", 'Data Entry'!$Æ$849)</f>
      </c>
      <c r="EE849">
        <f>IF(ISBLANK('Data Entry'!$Ç$849), "", 'Data Entry'!$Ç$849)</f>
      </c>
      <c r="EF849">
        <f>IF(ISBLANK('Data Entry'!$È$849), "", 'Data Entry'!$È$849)</f>
      </c>
      <c r="EG849">
        <f>IF(ISBLANK('Data Entry'!$É$849), "", 'Data Entry'!$É$849)</f>
      </c>
      <c r="EH849">
        <f>IF(ISBLANK('Data Entry'!$Ê$849), "", 'Data Entry'!$Ê$849)</f>
      </c>
      <c r="EI849">
        <f>IF(ISBLANK('Data Entry'!$Ë$849), "", 'Data Entry'!$Ë$849)</f>
      </c>
      <c r="EJ849">
        <f>IF(ISBLANK('Data Entry'!$Ì$849), "", 'Data Entry'!$Ì$849)</f>
      </c>
      <c r="EK849">
        <f>IF(ISBLANK('Data Entry'!$Í$849), "", 'Data Entry'!$Í$849)</f>
      </c>
      <c r="EL849">
        <f>IF(ISBLANK('Data Entry'!$Î$849), "", 'Data Entry'!$Î$849)</f>
      </c>
      <c r="EM849">
        <f>IF(ISBLANK('Data Entry'!$Ï$849), "", 'Data Entry'!$Ï$849)</f>
      </c>
      <c r="EN849">
        <f>IF(ISBLANK('Data Entry'!$Ð$849), "", 'Data Entry'!$Ð$849)</f>
      </c>
      <c r="EO849">
        <f>IF(ISBLANK('Data Entry'!$Ñ$849), "", 'Data Entry'!$Ñ$849)</f>
      </c>
      <c r="EP849">
        <f>IF(ISBLANK('Data Entry'!$Ò$849), "", 'Data Entry'!$Ò$849)</f>
      </c>
      <c r="EQ849">
        <f>IF(ISBLANK('Data Entry'!$Ó$849), "", 'Data Entry'!$Ó$849)</f>
      </c>
      <c r="ER849">
        <f>IF(ISBLANK('Data Entry'!$Ô$849), "", 'Data Entry'!$Ô$849)</f>
      </c>
      <c r="ES849">
        <f>IF(ISBLANK('Data Entry'!$Õ$849), "", 'Data Entry'!$Õ$849)</f>
      </c>
      <c r="ET849">
        <f>IF(ISBLANK('Data Entry'!$Ö$849), "", 'Data Entry'!$Ö$849)</f>
      </c>
      <c r="EU849">
        <f>IF(ISBLANK('Data Entry'!$×$849), "", 'Data Entry'!$×$849)</f>
      </c>
      <c r="EV849">
        <f>IF(ISBLANK('Data Entry'!$Ø$849), "", 'Data Entry'!$Ø$849)</f>
      </c>
      <c r="EW849">
        <f>IF(ISBLANK('Data Entry'!$Ù$849), "", 'Data Entry'!$Ù$849)</f>
      </c>
      <c r="EX849">
        <f>IF(ISBLANK('Data Entry'!$Ú$849), "", 'Data Entry'!$Ú$849)</f>
      </c>
      <c r="EY849">
        <f>IF(ISBLANK('Data Entry'!$Û$849), "", 'Data Entry'!$Û$849)</f>
      </c>
      <c r="EZ849">
        <f>IF(ISBLANK('Data Entry'!$Ü$849), "", 'Data Entry'!$Ü$849)</f>
      </c>
      <c r="FA849">
        <f>IF(ISBLANK('Data Entry'!$Ý$849), "", 'Data Entry'!$Ý$849)</f>
      </c>
      <c r="FB849">
        <f>IF(ISBLANK('Data Entry'!$Þ$849), "", 'Data Entry'!$Þ$849)</f>
      </c>
      <c r="FC849">
        <f>IF(ISBLANK('Data Entry'!$ß$849), "", 'Data Entry'!$ß$849)</f>
      </c>
      <c r="FD849">
        <f>IF(ISBLANK('Data Entry'!$à$849), "", 'Data Entry'!$à$849)</f>
      </c>
      <c r="FE849">
        <f>IF(ISBLANK('Data Entry'!$á$849), "", 'Data Entry'!$á$849)</f>
      </c>
      <c r="FF849">
        <f>IF(ISBLANK('Data Entry'!$â$849), "", 'Data Entry'!$â$849)</f>
      </c>
      <c r="FG849">
        <f>IF(ISBLANK('Data Entry'!$ã$849), "", 'Data Entry'!$ã$849)</f>
      </c>
      <c r="FH849">
        <f>IF(ISBLANK('Data Entry'!$ä$849), "", 'Data Entry'!$ä$849)</f>
      </c>
      <c r="FI849">
        <f>IF(ISBLANK('Data Entry'!$å$849), "", 'Data Entry'!$å$849)</f>
      </c>
      <c r="FJ849">
        <f>IF(ISBLANK('Data Entry'!$æ$849), "", 'Data Entry'!$æ$849)</f>
      </c>
      <c r="FK849">
        <f>IF(ISBLANK('Data Entry'!$ç$849), "", 'Data Entry'!$ç$849)</f>
      </c>
      <c r="FL849">
        <f>IF(ISBLANK('Data Entry'!$è$849), "", 'Data Entry'!$è$849)</f>
      </c>
      <c r="FM849">
        <f>IF(ISBLANK('Data Entry'!$é$849), "", 'Data Entry'!$é$849)</f>
      </c>
      <c r="FN849">
        <f>IF(ISBLANK('Data Entry'!$ê$849), "", 'Data Entry'!$ê$849)</f>
      </c>
      <c r="FO849">
        <f>IF(ISBLANK('Data Entry'!$ë$849), "", 'Data Entry'!$ë$849)</f>
      </c>
      <c r="FP849">
        <f>IF(ISBLANK('Data Entry'!$ì$849), "", 'Data Entry'!$ì$849)</f>
      </c>
      <c r="FQ849">
        <f>IF(ISBLANK('Data Entry'!$í$849), "", 'Data Entry'!$í$849)</f>
      </c>
      <c r="FR849">
        <f>IF(ISBLANK('Data Entry'!$î$849), "", 'Data Entry'!$î$849)</f>
      </c>
      <c r="FS849">
        <f>IF(ISBLANK('Data Entry'!$ï$849), "", 'Data Entry'!$ï$849)</f>
      </c>
      <c r="FT849">
        <f>IF(ISBLANK('Data Entry'!$ð$849), "", 'Data Entry'!$ð$849)</f>
      </c>
      <c r="FU849">
        <f>IF(ISBLANK('Data Entry'!$ñ$849), "", 'Data Entry'!$ñ$849)</f>
      </c>
      <c r="FV849">
        <f>IF(ISBLANK('Data Entry'!$ò$849), "", 'Data Entry'!$ò$849)</f>
      </c>
      <c r="FW849">
        <f>IF(ISBLANK('Data Entry'!$ó$849), "", 'Data Entry'!$ó$849)</f>
      </c>
      <c r="FX849">
        <f>IF(ISBLANK('Data Entry'!$ô$849), "", 'Data Entry'!$ô$849)</f>
      </c>
      <c r="FY849">
        <f>IF(ISBLANK('Data Entry'!$õ$849), "", 'Data Entry'!$õ$849)</f>
      </c>
      <c r="FZ849">
        <f>IF(ISBLANK('Data Entry'!$ö$849), "", 'Data Entry'!$ö$849)</f>
      </c>
      <c r="GA849">
        <f>IF(ISBLANK('Data Entry'!$÷$849), "", 'Data Entry'!$÷$849)</f>
      </c>
      <c r="GB849">
        <f>IF(ISBLANK('Data Entry'!$ø$849), "", 'Data Entry'!$ø$849)</f>
      </c>
      <c r="GC849">
        <f>IF(ISBLANK('Data Entry'!$ù$849), "", 'Data Entry'!$ù$849)</f>
      </c>
      <c r="GD849">
        <f>IF(ISBLANK('Data Entry'!$ú$849), "", 'Data Entry'!$ú$849)</f>
      </c>
      <c r="GE849">
        <f>IF(ISBLANK('Data Entry'!$û$849), "", 'Data Entry'!$û$849)</f>
      </c>
      <c r="GF849">
        <f>IF(ISBLANK('Data Entry'!$ü$849), "", 'Data Entry'!$ü$849)</f>
      </c>
      <c r="GG849">
        <f>IF(ISBLANK('Data Entry'!$ý$849), "", 'Data Entry'!$ý$849)</f>
      </c>
      <c r="GH849">
        <f>IF(ISBLANK('Data Entry'!$þ$849), "", 'Data Entry'!$þ$849)</f>
      </c>
      <c r="GI849">
        <f>IF(ISBLANK('Data Entry'!$ÿ$849), "", 'Data Entry'!$ÿ$849)</f>
      </c>
      <c r="GJ849">
        <f>IF(ISBLANK('Data Entry'!$Ā$849), "", 'Data Entry'!$Ā$849)</f>
      </c>
      <c r="GK849">
        <f>IF(ISBLANK('Data Entry'!$ā$849), "", 'Data Entry'!$ā$849)</f>
      </c>
      <c r="GL849">
        <f>IF(ISBLANK('Data Entry'!$Ă$849), "", 'Data Entry'!$Ă$849)</f>
      </c>
      <c r="GM849">
        <f>IF(ISBLANK('Data Entry'!$ă$849), "", 'Data Entry'!$ă$849)</f>
      </c>
      <c r="GN849">
        <f>IF(ISBLANK('Data Entry'!$Ą$849), "", 'Data Entry'!$Ą$849)</f>
      </c>
      <c r="GO849">
        <f>IF(ISBLANK('Data Entry'!$ą$849), "", 'Data Entry'!$ą$849)</f>
      </c>
      <c r="GP849">
        <f>IF(ISBLANK('Data Entry'!$Ć$849), "", 'Data Entry'!$Ć$849)</f>
      </c>
      <c r="GQ849">
        <f>IF(ISBLANK('Data Entry'!$ć$849), "", 'Data Entry'!$ć$849)</f>
      </c>
      <c r="GR849">
        <f>IF(ISBLANK('Data Entry'!$Ĉ$849), "", 'Data Entry'!$Ĉ$849)</f>
      </c>
      <c r="GS849">
        <f>IF(ISBLANK('Data Entry'!$ĉ$849), "", 'Data Entry'!$ĉ$849)</f>
      </c>
      <c r="GT849">
        <f>IF(ISBLANK('Data Entry'!$Ċ$849), "", 'Data Entry'!$Ċ$849)</f>
      </c>
      <c r="GU849">
        <f>IF(ISBLANK('Data Entry'!$ċ$849), "", 'Data Entry'!$ċ$849)</f>
      </c>
      <c r="GV849">
        <f>IF(ISBLANK('Data Entry'!$Č$849), "", 'Data Entry'!$Č$849)</f>
      </c>
      <c r="GW849">
        <f>IF(ISBLANK('Data Entry'!$č$849), "", 'Data Entry'!$č$849)</f>
      </c>
      <c r="GX849">
        <f>IF(ISBLANK('Data Entry'!$Ď$849), "", 'Data Entry'!$Ď$849)</f>
      </c>
      <c r="GY849">
        <f>IF(ISBLANK('Data Entry'!$ď$849), "", 'Data Entry'!$ď$849)</f>
      </c>
      <c r="GZ849">
        <f>IF(ISBLANK('Data Entry'!$Đ$849), "", 'Data Entry'!$Đ$849)</f>
      </c>
      <c r="HA849">
        <f>IF(ISBLANK('Data Entry'!$đ$849), "", 'Data Entry'!$đ$849)</f>
      </c>
      <c r="HB849">
        <f>IF(ISBLANK('Data Entry'!$Ē$849), "", 'Data Entry'!$Ē$849)</f>
      </c>
      <c r="HC849">
        <f>IF(ISBLANK('Data Entry'!$ē$849), "", 'Data Entry'!$ē$849)</f>
      </c>
      <c r="HD849">
        <f>IF(ISBLANK('Data Entry'!$Ĕ$849), "", 'Data Entry'!$Ĕ$849)</f>
      </c>
      <c r="HE849">
        <f>IF(ISBLANK('Data Entry'!$ĕ$849), "", 'Data Entry'!$ĕ$849)</f>
      </c>
      <c r="HF849">
        <f>IF(ISBLANK('Data Entry'!$Ė$849), "", 'Data Entry'!$Ė$849)</f>
      </c>
      <c r="HG849">
        <f>IF(ISBLANK('Data Entry'!$ė$849), "", 'Data Entry'!$ė$849)</f>
      </c>
      <c r="HH849">
        <f>IF(ISBLANK('Data Entry'!$Ę$849), "", 'Data Entry'!$Ę$849)</f>
      </c>
      <c r="HI849">
        <f>IF(ISBLANK('Data Entry'!$ę$849), "", 'Data Entry'!$ę$849)</f>
      </c>
      <c r="HJ849">
        <f>IF(ISBLANK('Data Entry'!$Ě$849), "", 'Data Entry'!$Ě$849)</f>
      </c>
      <c r="HK849">
        <f>IF(ISBLANK('Data Entry'!$ě$849), "", 'Data Entry'!$ě$849)</f>
      </c>
      <c r="HL849">
        <f>IF(ISBLANK('Data Entry'!$Ĝ$849), "", 'Data Entry'!$Ĝ$849)</f>
      </c>
      <c r="HM849">
        <f>IF(ISBLANK('Data Entry'!$ĝ$849), "", 'Data Entry'!$ĝ$849)</f>
      </c>
      <c r="HN849">
        <f>IF(ISBLANK('Data Entry'!$Ğ$849), "", 'Data Entry'!$Ğ$849)</f>
      </c>
      <c r="HO849">
        <f>IF(ISBLANK('Data Entry'!$ğ$849), "", 'Data Entry'!$ğ$849)</f>
      </c>
      <c r="HP849">
        <f>IF(ISBLANK('Data Entry'!$Ġ$849), "", 'Data Entry'!$Ġ$849)</f>
      </c>
      <c r="HQ849">
        <f>IF(ISBLANK('Data Entry'!$ġ$849), "", 'Data Entry'!$ġ$849)</f>
      </c>
      <c r="HR849">
        <f>IF(ISBLANK('Data Entry'!$Ģ$849), "", 'Data Entry'!$Ģ$849)</f>
      </c>
      <c r="HS849">
        <f>IF(ISBLANK('Data Entry'!$ģ$849), "", 'Data Entry'!$ģ$849)</f>
      </c>
      <c r="HT849">
        <f>IF(ISBLANK('Data Entry'!$Ĥ$849), "", 'Data Entry'!$Ĥ$849)</f>
      </c>
      <c r="HU849">
        <f>IF(ISBLANK('Data Entry'!$ĥ$849), "", 'Data Entry'!$ĥ$849)</f>
      </c>
      <c r="HV849">
        <f>IF(ISBLANK('Data Entry'!$Ħ$849), "", 'Data Entry'!$Ħ$849)</f>
      </c>
      <c r="HW849">
        <f>IF(ISBLANK('Data Entry'!$ħ$849), "", 'Data Entry'!$ħ$849)</f>
      </c>
      <c r="HX849">
        <f>IF(ISBLANK('Data Entry'!$Ĩ$849), "", 'Data Entry'!$Ĩ$849)</f>
      </c>
      <c r="HY849">
        <f>IF(ISBLANK('Data Entry'!$ĩ$849), "", 'Data Entry'!$ĩ$849)</f>
      </c>
      <c r="HZ849">
        <f>IF(ISBLANK('Data Entry'!$Ī$849), "", 'Data Entry'!$Ī$849)</f>
      </c>
      <c r="IA849">
        <f>IF(ISBLANK('Data Entry'!$ī$849), "", 'Data Entry'!$ī$849)</f>
      </c>
      <c r="IB849">
        <f>IF(ISBLANK('Data Entry'!$Ĭ$849), "", 'Data Entry'!$Ĭ$849)</f>
      </c>
      <c r="IC849">
        <f>IF(ISBLANK('Data Entry'!$ĭ$849), "", 'Data Entry'!$ĭ$849)</f>
      </c>
      <c r="ID849">
        <f>IF(ISBLANK('Data Entry'!$Į$849), "", 'Data Entry'!$Į$849)</f>
      </c>
      <c r="IE849">
        <f>IF(ISBLANK('Data Entry'!$į$849), "", 'Data Entry'!$į$849)</f>
      </c>
      <c r="IF849">
        <f>IF(ISBLANK('Data Entry'!$İ$849), "", 'Data Entry'!$İ$849)</f>
      </c>
      <c r="IG849">
        <f>IF(ISBLANK('Data Entry'!$ı$849), "", 'Data Entry'!$ı$849)</f>
      </c>
      <c r="IH849">
        <f>IF(ISBLANK('Data Entry'!$Ĳ$849), "", 'Data Entry'!$Ĳ$849)</f>
      </c>
      <c r="II849">
        <f>IF(ISBLANK('Data Entry'!$ĳ$849), "", 'Data Entry'!$ĳ$849)</f>
      </c>
      <c r="IJ849">
        <f>IF(ISBLANK('Data Entry'!$Ĵ$849), "", 'Data Entry'!$Ĵ$849)</f>
      </c>
      <c r="IK849">
        <f>IF(ISBLANK('Data Entry'!$ĵ$849), "", 'Data Entry'!$ĵ$849)</f>
      </c>
      <c r="IL849">
        <f>IF(ISBLANK('Data Entry'!$Ķ$849), "", 'Data Entry'!$Ķ$849)</f>
      </c>
      <c r="IM849">
        <f>IF(ISBLANK('Data Entry'!$ķ$849), "", 'Data Entry'!$ķ$849)</f>
      </c>
      <c r="IN849">
        <f>IF(ISBLANK('Data Entry'!$ĸ$849), "", 'Data Entry'!$ĸ$849)</f>
      </c>
      <c r="IO849">
        <f>IF(ISBLANK('Data Entry'!$Ĺ$849), "", 'Data Entry'!$Ĺ$849)</f>
      </c>
      <c r="IP849">
        <f>IF(ISBLANK('Data Entry'!$ĺ$849), "", 'Data Entry'!$ĺ$849)</f>
      </c>
      <c r="IQ849">
        <f>IF(ISBLANK('Data Entry'!$Ļ$849), "", 'Data Entry'!$Ļ$849)</f>
      </c>
      <c r="IR849">
        <f>IF(ISBLANK('Data Entry'!$ļ$849), "", 'Data Entry'!$ļ$849)</f>
      </c>
      <c r="IS849">
        <f>IF(ISBLANK('Data Entry'!$Ľ$849), "", 'Data Entry'!$Ľ$849)</f>
      </c>
      <c r="IT849">
        <f>IF(ISBLANK('Data Entry'!$ľ$849), "", 'Data Entry'!$ľ$849)</f>
      </c>
    </row>
    <row r="850" spans="1:254" x14ac:dyDescent="0.25">
      <c r="A850">
        <f>IF(ISBLANK('Data Entry'!$A$850), "", 'Data Entry'!$A$850)</f>
      </c>
      <c r="B850">
        <f>IF(ISBLANK('Data Entry'!$B$850), "", 'Data Entry'!$B$850)</f>
      </c>
      <c r="C850">
        <f>IF(ISBLANK('Data Entry'!$C$850), "", 'Data Entry'!$C$850)</f>
      </c>
      <c r="D850">
        <f>IF(ISBLANK('Data Entry'!$D$850), "", 'Data Entry'!$D$850)</f>
      </c>
      <c r="E850">
        <f>IF(ISBLANK('Data Entry'!$E$850), "", 'Data Entry'!$E$850)</f>
      </c>
      <c r="F850">
        <f>IF(ISBLANK('Data Entry'!$F$850), "", 'Data Entry'!$F$850)</f>
      </c>
      <c r="G850">
        <f>IF(ISBLANK('Data Entry'!$G$850), "", 'Data Entry'!$G$850)</f>
      </c>
      <c r="H850">
        <f>IF(ISBLANK('Data Entry'!$H$850), "", 'Data Entry'!$H$850)</f>
      </c>
      <c r="I850">
        <f>IF(ISBLANK('Data Entry'!$I$850), "", 'Data Entry'!$I$850)</f>
      </c>
      <c r="J850">
        <f>IF(ISBLANK('Data Entry'!$J$850), "", 'Data Entry'!$J$850)</f>
      </c>
      <c r="K850">
        <f>IF(ISBLANK('Data Entry'!$K$850), "", 'Data Entry'!$K$850)</f>
      </c>
      <c r="L850">
        <f>IF(ISBLANK('Data Entry'!$L$850), "", 'Data Entry'!$L$850)</f>
      </c>
      <c r="M850">
        <f>IF(ISBLANK('Data Entry'!$M$850), "", 'Data Entry'!$M$850)</f>
      </c>
      <c r="N850">
        <f>IF(ISBLANK('Data Entry'!$N$850), "", 'Data Entry'!$N$850)</f>
      </c>
      <c r="O850">
        <f>IF(ISBLANK('Data Entry'!$O$850), "", 'Data Entry'!$O$850)</f>
      </c>
      <c r="P850">
        <f>IF(ISBLANK('Data Entry'!$P$850), "", 'Data Entry'!$P$850)</f>
      </c>
      <c r="Q850">
        <f>IF(ISBLANK('Data Entry'!$Q$850), "", 'Data Entry'!$Q$850)</f>
      </c>
      <c r="R850">
        <f>IF(ISBLANK('Data Entry'!$R$850), "", 'Data Entry'!$R$850)</f>
      </c>
      <c r="S850">
        <f>IF(ISBLANK('Data Entry'!$S$850), "", 'Data Entry'!$S$850)</f>
      </c>
      <c r="T850">
        <f>IF(ISBLANK('Data Entry'!$T$850), "", 'Data Entry'!$T$850)</f>
      </c>
      <c r="U850">
        <f>IF(ISBLANK('Data Entry'!$U$850), "", 'Data Entry'!$U$850)</f>
      </c>
      <c r="V850">
        <f>IF(ISBLANK('Data Entry'!$V$850), "", 'Data Entry'!$V$850)</f>
      </c>
      <c r="W850">
        <f>IF(ISBLANK('Data Entry'!$W$850), "", 'Data Entry'!$W$850)</f>
      </c>
      <c r="X850">
        <f>IF(ISBLANK('Data Entry'!$X$850), "", 'Data Entry'!$X$850)</f>
      </c>
      <c r="Y850">
        <f>IF(ISBLANK('Data Entry'!$Y$850), "", 'Data Entry'!$Y$850)</f>
      </c>
      <c r="Z850">
        <f>IF(ISBLANK('Data Entry'!$Z$850), "", 'Data Entry'!$Z$850)</f>
      </c>
      <c r="AA850">
        <f>IF(ISBLANK('Data Entry'!$[$850), "", 'Data Entry'!$[$850)</f>
      </c>
      <c r="AB850">
        <f>IF(ISBLANK('Data Entry'!$\$850), "", 'Data Entry'!$\$850)</f>
      </c>
      <c r="AC850">
        <f>IF(ISBLANK('Data Entry'!$]$850), "", 'Data Entry'!$]$850)</f>
      </c>
      <c r="AD850">
        <f>IF(ISBLANK('Data Entry'!$^$850), "", 'Data Entry'!$^$850)</f>
      </c>
      <c r="AE850">
        <f>IF(ISBLANK('Data Entry'!$_$850), "", 'Data Entry'!$_$850)</f>
      </c>
      <c r="AF850">
        <f>IF(ISBLANK('Data Entry'!$`$850), "", 'Data Entry'!$`$850)</f>
      </c>
      <c r="AG850">
        <f>IF(ISBLANK('Data Entry'!$a$850), "", 'Data Entry'!$a$850)</f>
      </c>
      <c r="AH850">
        <f>IF(ISBLANK('Data Entry'!$b$850), "", 'Data Entry'!$b$850)</f>
      </c>
      <c r="AI850">
        <f>IF(ISBLANK('Data Entry'!$c$850), "", 'Data Entry'!$c$850)</f>
      </c>
      <c r="AJ850">
        <f>IF(ISBLANK('Data Entry'!$d$850), "", 'Data Entry'!$d$850)</f>
      </c>
      <c r="AK850">
        <f>IF(ISBLANK('Data Entry'!$e$850), "", 'Data Entry'!$e$850)</f>
      </c>
      <c r="AL850">
        <f>IF(ISBLANK('Data Entry'!$f$850), "", 'Data Entry'!$f$850)</f>
      </c>
      <c r="AM850">
        <f>IF(ISBLANK('Data Entry'!$g$850), "", 'Data Entry'!$g$850)</f>
      </c>
      <c r="AN850">
        <f>IF(ISBLANK('Data Entry'!$h$850), "", 'Data Entry'!$h$850)</f>
      </c>
      <c r="AO850">
        <f>IF(ISBLANK('Data Entry'!$i$850), "", 'Data Entry'!$i$850)</f>
      </c>
      <c r="AP850">
        <f>IF(ISBLANK('Data Entry'!$j$850), "", 'Data Entry'!$j$850)</f>
      </c>
      <c r="AQ850">
        <f>IF(ISBLANK('Data Entry'!$k$850), "", 'Data Entry'!$k$850)</f>
      </c>
      <c r="AR850">
        <f>IF(ISBLANK('Data Entry'!$l$850), "", 'Data Entry'!$l$850)</f>
      </c>
      <c r="AS850">
        <f>IF(ISBLANK('Data Entry'!$m$850), "", 'Data Entry'!$m$850)</f>
      </c>
      <c r="AT850">
        <f>IF(ISBLANK('Data Entry'!$n$850), "", 'Data Entry'!$n$850)</f>
      </c>
      <c r="AU850">
        <f>IF(ISBLANK('Data Entry'!$o$850), "", 'Data Entry'!$o$850)</f>
      </c>
      <c r="AV850">
        <f>IF(ISBLANK('Data Entry'!$p$850), "", 'Data Entry'!$p$850)</f>
      </c>
      <c r="AW850">
        <f>IF(ISBLANK('Data Entry'!$q$850), "", 'Data Entry'!$q$850)</f>
      </c>
      <c r="AX850">
        <f>IF(ISBLANK('Data Entry'!$r$850), "", 'Data Entry'!$r$850)</f>
      </c>
      <c r="AY850">
        <f>IF(ISBLANK('Data Entry'!$s$850), "", 'Data Entry'!$s$850)</f>
      </c>
      <c r="AZ850">
        <f>IF(ISBLANK('Data Entry'!$t$850), "", 'Data Entry'!$t$850)</f>
      </c>
      <c r="BA850">
        <f>IF(ISBLANK('Data Entry'!$u$850), "", 'Data Entry'!$u$850)</f>
      </c>
      <c r="BB850">
        <f>IF(ISBLANK('Data Entry'!$v$850), "", 'Data Entry'!$v$850)</f>
      </c>
      <c r="BC850">
        <f>IF(ISBLANK('Data Entry'!$w$850), "", 'Data Entry'!$w$850)</f>
      </c>
      <c r="BD850">
        <f>IF(ISBLANK('Data Entry'!$x$850), "", 'Data Entry'!$x$850)</f>
      </c>
      <c r="BE850">
        <f>IF(ISBLANK('Data Entry'!$y$850), "", 'Data Entry'!$y$850)</f>
      </c>
      <c r="BF850">
        <f>IF(ISBLANK('Data Entry'!$z$850), "", 'Data Entry'!$z$850)</f>
      </c>
      <c r="BG850">
        <f>IF(ISBLANK('Data Entry'!${$850), "", 'Data Entry'!${$850)</f>
      </c>
      <c r="BH850">
        <f>IF(ISBLANK('Data Entry'!$|$850), "", 'Data Entry'!$|$850)</f>
      </c>
      <c r="BI850">
        <f>IF(ISBLANK('Data Entry'!$}$850), "", 'Data Entry'!$}$850)</f>
      </c>
      <c r="BJ850">
        <f>IF(ISBLANK('Data Entry'!$~$850), "", 'Data Entry'!$~$850)</f>
      </c>
      <c r="BK850">
        <f>IF(ISBLANK('Data Entry'!$$850), "", 'Data Entry'!$$850)</f>
      </c>
      <c r="BL850">
        <f>IF(ISBLANK('Data Entry'!$$850), "", 'Data Entry'!$$850)</f>
      </c>
      <c r="BM850">
        <f>IF(ISBLANK('Data Entry'!$$850), "", 'Data Entry'!$$850)</f>
      </c>
      <c r="BN850">
        <f>IF(ISBLANK('Data Entry'!$$850), "", 'Data Entry'!$$850)</f>
      </c>
      <c r="BO850">
        <f>IF(ISBLANK('Data Entry'!$$850), "", 'Data Entry'!$$850)</f>
      </c>
      <c r="BP850">
        <f>IF(ISBLANK('Data Entry'!$$850), "", 'Data Entry'!$$850)</f>
      </c>
      <c r="BQ850">
        <f>IF(ISBLANK('Data Entry'!$$850), "", 'Data Entry'!$$850)</f>
      </c>
      <c r="BR850">
        <f>IF(ISBLANK('Data Entry'!$$850), "", 'Data Entry'!$$850)</f>
      </c>
      <c r="BS850">
        <f>IF(ISBLANK('Data Entry'!$$850), "", 'Data Entry'!$$850)</f>
      </c>
      <c r="BT850">
        <f>IF(ISBLANK('Data Entry'!$$850), "", 'Data Entry'!$$850)</f>
      </c>
      <c r="BU850">
        <f>IF(ISBLANK('Data Entry'!$$850), "", 'Data Entry'!$$850)</f>
      </c>
      <c r="BV850">
        <f>IF(ISBLANK('Data Entry'!$$850), "", 'Data Entry'!$$850)</f>
      </c>
      <c r="BW850">
        <f>IF(ISBLANK('Data Entry'!$$850), "", 'Data Entry'!$$850)</f>
      </c>
      <c r="BX850">
        <f>IF(ISBLANK('Data Entry'!$$850), "", 'Data Entry'!$$850)</f>
      </c>
      <c r="BY850">
        <f>IF(ISBLANK('Data Entry'!$$850), "", 'Data Entry'!$$850)</f>
      </c>
      <c r="BZ850">
        <f>IF(ISBLANK('Data Entry'!$$850), "", 'Data Entry'!$$850)</f>
      </c>
      <c r="CA850">
        <f>IF(ISBLANK('Data Entry'!$$850), "", 'Data Entry'!$$850)</f>
      </c>
      <c r="CB850">
        <f>IF(ISBLANK('Data Entry'!$$850), "", 'Data Entry'!$$850)</f>
      </c>
      <c r="CC850">
        <f>IF(ISBLANK('Data Entry'!$$850), "", 'Data Entry'!$$850)</f>
      </c>
      <c r="CD850">
        <f>IF(ISBLANK('Data Entry'!$$850), "", 'Data Entry'!$$850)</f>
      </c>
      <c r="CE850">
        <f>IF(ISBLANK('Data Entry'!$$850), "", 'Data Entry'!$$850)</f>
      </c>
      <c r="CF850">
        <f>IF(ISBLANK('Data Entry'!$$850), "", 'Data Entry'!$$850)</f>
      </c>
      <c r="CG850">
        <f>IF(ISBLANK('Data Entry'!$$850), "", 'Data Entry'!$$850)</f>
      </c>
      <c r="CH850">
        <f>IF(ISBLANK('Data Entry'!$$850), "", 'Data Entry'!$$850)</f>
      </c>
      <c r="CI850">
        <f>IF(ISBLANK('Data Entry'!$$850), "", 'Data Entry'!$$850)</f>
      </c>
      <c r="CJ850">
        <f>IF(ISBLANK('Data Entry'!$$850), "", 'Data Entry'!$$850)</f>
      </c>
      <c r="CK850">
        <f>IF(ISBLANK('Data Entry'!$$850), "", 'Data Entry'!$$850)</f>
      </c>
      <c r="CL850">
        <f>IF(ISBLANK('Data Entry'!$$850), "", 'Data Entry'!$$850)</f>
      </c>
      <c r="CM850">
        <f>IF(ISBLANK('Data Entry'!$$850), "", 'Data Entry'!$$850)</f>
      </c>
      <c r="CN850">
        <f>IF(ISBLANK('Data Entry'!$$850), "", 'Data Entry'!$$850)</f>
      </c>
      <c r="CO850">
        <f>IF(ISBLANK('Data Entry'!$$850), "", 'Data Entry'!$$850)</f>
      </c>
      <c r="CP850">
        <f>IF(ISBLANK('Data Entry'!$$850), "", 'Data Entry'!$$850)</f>
      </c>
      <c r="CQ850">
        <f>IF(ISBLANK('Data Entry'!$$850), "", 'Data Entry'!$$850)</f>
      </c>
      <c r="CR850">
        <f>IF(ISBLANK('Data Entry'!$ $850), "", 'Data Entry'!$ $850)</f>
      </c>
      <c r="CS850">
        <f>IF(ISBLANK('Data Entry'!$¡$850), "", 'Data Entry'!$¡$850)</f>
      </c>
      <c r="CT850">
        <f>IF(ISBLANK('Data Entry'!$¢$850), "", 'Data Entry'!$¢$850)</f>
      </c>
      <c r="CU850">
        <f>IF(ISBLANK('Data Entry'!$£$850), "", 'Data Entry'!$£$850)</f>
      </c>
      <c r="CV850">
        <f>IF(ISBLANK('Data Entry'!$¤$850), "", 'Data Entry'!$¤$850)</f>
      </c>
      <c r="CW850">
        <f>IF(ISBLANK('Data Entry'!$¥$850), "", 'Data Entry'!$¥$850)</f>
      </c>
      <c r="CX850">
        <f>IF(ISBLANK('Data Entry'!$¦$850), "", 'Data Entry'!$¦$850)</f>
      </c>
      <c r="CY850">
        <f>IF(ISBLANK('Data Entry'!$§$850), "", 'Data Entry'!$§$850)</f>
      </c>
      <c r="CZ850">
        <f>IF(ISBLANK('Data Entry'!$¨$850), "", 'Data Entry'!$¨$850)</f>
      </c>
      <c r="DA850">
        <f>IF(ISBLANK('Data Entry'!$©$850), "", 'Data Entry'!$©$850)</f>
      </c>
      <c r="DB850">
        <f>IF(ISBLANK('Data Entry'!$ª$850), "", 'Data Entry'!$ª$850)</f>
      </c>
      <c r="DC850">
        <f>IF(ISBLANK('Data Entry'!$«$850), "", 'Data Entry'!$«$850)</f>
      </c>
      <c r="DD850">
        <f>IF(ISBLANK('Data Entry'!$¬$850), "", 'Data Entry'!$¬$850)</f>
      </c>
      <c r="DE850">
        <f>IF(ISBLANK('Data Entry'!$­$850), "", 'Data Entry'!$­$850)</f>
      </c>
      <c r="DF850">
        <f>IF(ISBLANK('Data Entry'!$®$850), "", 'Data Entry'!$®$850)</f>
      </c>
      <c r="DG850">
        <f>IF(ISBLANK('Data Entry'!$¯$850), "", 'Data Entry'!$¯$850)</f>
      </c>
      <c r="DH850">
        <f>IF(ISBLANK('Data Entry'!$°$850), "", 'Data Entry'!$°$850)</f>
      </c>
      <c r="DI850">
        <f>IF(ISBLANK('Data Entry'!$±$850), "", 'Data Entry'!$±$850)</f>
      </c>
      <c r="DJ850">
        <f>IF(ISBLANK('Data Entry'!$²$850), "", 'Data Entry'!$²$850)</f>
      </c>
      <c r="DK850">
        <f>IF(ISBLANK('Data Entry'!$³$850), "", 'Data Entry'!$³$850)</f>
      </c>
      <c r="DL850">
        <f>IF(ISBLANK('Data Entry'!$´$850), "", 'Data Entry'!$´$850)</f>
      </c>
      <c r="DM850">
        <f>IF(ISBLANK('Data Entry'!$µ$850), "", 'Data Entry'!$µ$850)</f>
      </c>
      <c r="DN850">
        <f>IF(ISBLANK('Data Entry'!$¶$850), "", 'Data Entry'!$¶$850)</f>
      </c>
      <c r="DO850">
        <f>IF(ISBLANK('Data Entry'!$·$850), "", 'Data Entry'!$·$850)</f>
      </c>
      <c r="DP850">
        <f>IF(ISBLANK('Data Entry'!$¸$850), "", 'Data Entry'!$¸$850)</f>
      </c>
      <c r="DQ850">
        <f>IF(ISBLANK('Data Entry'!$¹$850), "", 'Data Entry'!$¹$850)</f>
      </c>
      <c r="DR850">
        <f>IF(ISBLANK('Data Entry'!$º$850), "", 'Data Entry'!$º$850)</f>
      </c>
      <c r="DS850">
        <f>IF(ISBLANK('Data Entry'!$»$850), "", 'Data Entry'!$»$850)</f>
      </c>
      <c r="DT850">
        <f>IF(ISBLANK('Data Entry'!$¼$850), "", 'Data Entry'!$¼$850)</f>
      </c>
      <c r="DU850">
        <f>IF(ISBLANK('Data Entry'!$½$850), "", 'Data Entry'!$½$850)</f>
      </c>
      <c r="DV850">
        <f>IF(ISBLANK('Data Entry'!$¾$850), "", 'Data Entry'!$¾$850)</f>
      </c>
      <c r="DW850">
        <f>IF(ISBLANK('Data Entry'!$¿$850), "", 'Data Entry'!$¿$850)</f>
      </c>
      <c r="DX850">
        <f>IF(ISBLANK('Data Entry'!$À$850), "", 'Data Entry'!$À$850)</f>
      </c>
      <c r="DY850">
        <f>IF(ISBLANK('Data Entry'!$Á$850), "", 'Data Entry'!$Á$850)</f>
      </c>
      <c r="DZ850">
        <f>IF(ISBLANK('Data Entry'!$Â$850), "", 'Data Entry'!$Â$850)</f>
      </c>
      <c r="EA850">
        <f>IF(ISBLANK('Data Entry'!$Ã$850), "", 'Data Entry'!$Ã$850)</f>
      </c>
      <c r="EB850">
        <f>IF(ISBLANK('Data Entry'!$Ä$850), "", 'Data Entry'!$Ä$850)</f>
      </c>
      <c r="EC850">
        <f>IF(ISBLANK('Data Entry'!$Å$850), "", 'Data Entry'!$Å$850)</f>
      </c>
      <c r="ED850">
        <f>IF(ISBLANK('Data Entry'!$Æ$850), "", 'Data Entry'!$Æ$850)</f>
      </c>
      <c r="EE850">
        <f>IF(ISBLANK('Data Entry'!$Ç$850), "", 'Data Entry'!$Ç$850)</f>
      </c>
      <c r="EF850">
        <f>IF(ISBLANK('Data Entry'!$È$850), "", 'Data Entry'!$È$850)</f>
      </c>
      <c r="EG850">
        <f>IF(ISBLANK('Data Entry'!$É$850), "", 'Data Entry'!$É$850)</f>
      </c>
      <c r="EH850">
        <f>IF(ISBLANK('Data Entry'!$Ê$850), "", 'Data Entry'!$Ê$850)</f>
      </c>
      <c r="EI850">
        <f>IF(ISBLANK('Data Entry'!$Ë$850), "", 'Data Entry'!$Ë$850)</f>
      </c>
      <c r="EJ850">
        <f>IF(ISBLANK('Data Entry'!$Ì$850), "", 'Data Entry'!$Ì$850)</f>
      </c>
      <c r="EK850">
        <f>IF(ISBLANK('Data Entry'!$Í$850), "", 'Data Entry'!$Í$850)</f>
      </c>
      <c r="EL850">
        <f>IF(ISBLANK('Data Entry'!$Î$850), "", 'Data Entry'!$Î$850)</f>
      </c>
      <c r="EM850">
        <f>IF(ISBLANK('Data Entry'!$Ï$850), "", 'Data Entry'!$Ï$850)</f>
      </c>
      <c r="EN850">
        <f>IF(ISBLANK('Data Entry'!$Ð$850), "", 'Data Entry'!$Ð$850)</f>
      </c>
      <c r="EO850">
        <f>IF(ISBLANK('Data Entry'!$Ñ$850), "", 'Data Entry'!$Ñ$850)</f>
      </c>
      <c r="EP850">
        <f>IF(ISBLANK('Data Entry'!$Ò$850), "", 'Data Entry'!$Ò$850)</f>
      </c>
      <c r="EQ850">
        <f>IF(ISBLANK('Data Entry'!$Ó$850), "", 'Data Entry'!$Ó$850)</f>
      </c>
      <c r="ER850">
        <f>IF(ISBLANK('Data Entry'!$Ô$850), "", 'Data Entry'!$Ô$850)</f>
      </c>
      <c r="ES850">
        <f>IF(ISBLANK('Data Entry'!$Õ$850), "", 'Data Entry'!$Õ$850)</f>
      </c>
      <c r="ET850">
        <f>IF(ISBLANK('Data Entry'!$Ö$850), "", 'Data Entry'!$Ö$850)</f>
      </c>
      <c r="EU850">
        <f>IF(ISBLANK('Data Entry'!$×$850), "", 'Data Entry'!$×$850)</f>
      </c>
      <c r="EV850">
        <f>IF(ISBLANK('Data Entry'!$Ø$850), "", 'Data Entry'!$Ø$850)</f>
      </c>
      <c r="EW850">
        <f>IF(ISBLANK('Data Entry'!$Ù$850), "", 'Data Entry'!$Ù$850)</f>
      </c>
      <c r="EX850">
        <f>IF(ISBLANK('Data Entry'!$Ú$850), "", 'Data Entry'!$Ú$850)</f>
      </c>
      <c r="EY850">
        <f>IF(ISBLANK('Data Entry'!$Û$850), "", 'Data Entry'!$Û$850)</f>
      </c>
      <c r="EZ850">
        <f>IF(ISBLANK('Data Entry'!$Ü$850), "", 'Data Entry'!$Ü$850)</f>
      </c>
      <c r="FA850">
        <f>IF(ISBLANK('Data Entry'!$Ý$850), "", 'Data Entry'!$Ý$850)</f>
      </c>
      <c r="FB850">
        <f>IF(ISBLANK('Data Entry'!$Þ$850), "", 'Data Entry'!$Þ$850)</f>
      </c>
      <c r="FC850">
        <f>IF(ISBLANK('Data Entry'!$ß$850), "", 'Data Entry'!$ß$850)</f>
      </c>
      <c r="FD850">
        <f>IF(ISBLANK('Data Entry'!$à$850), "", 'Data Entry'!$à$850)</f>
      </c>
      <c r="FE850">
        <f>IF(ISBLANK('Data Entry'!$á$850), "", 'Data Entry'!$á$850)</f>
      </c>
      <c r="FF850">
        <f>IF(ISBLANK('Data Entry'!$â$850), "", 'Data Entry'!$â$850)</f>
      </c>
      <c r="FG850">
        <f>IF(ISBLANK('Data Entry'!$ã$850), "", 'Data Entry'!$ã$850)</f>
      </c>
      <c r="FH850">
        <f>IF(ISBLANK('Data Entry'!$ä$850), "", 'Data Entry'!$ä$850)</f>
      </c>
      <c r="FI850">
        <f>IF(ISBLANK('Data Entry'!$å$850), "", 'Data Entry'!$å$850)</f>
      </c>
      <c r="FJ850">
        <f>IF(ISBLANK('Data Entry'!$æ$850), "", 'Data Entry'!$æ$850)</f>
      </c>
      <c r="FK850">
        <f>IF(ISBLANK('Data Entry'!$ç$850), "", 'Data Entry'!$ç$850)</f>
      </c>
      <c r="FL850">
        <f>IF(ISBLANK('Data Entry'!$è$850), "", 'Data Entry'!$è$850)</f>
      </c>
      <c r="FM850">
        <f>IF(ISBLANK('Data Entry'!$é$850), "", 'Data Entry'!$é$850)</f>
      </c>
      <c r="FN850">
        <f>IF(ISBLANK('Data Entry'!$ê$850), "", 'Data Entry'!$ê$850)</f>
      </c>
      <c r="FO850">
        <f>IF(ISBLANK('Data Entry'!$ë$850), "", 'Data Entry'!$ë$850)</f>
      </c>
      <c r="FP850">
        <f>IF(ISBLANK('Data Entry'!$ì$850), "", 'Data Entry'!$ì$850)</f>
      </c>
      <c r="FQ850">
        <f>IF(ISBLANK('Data Entry'!$í$850), "", 'Data Entry'!$í$850)</f>
      </c>
      <c r="FR850">
        <f>IF(ISBLANK('Data Entry'!$î$850), "", 'Data Entry'!$î$850)</f>
      </c>
      <c r="FS850">
        <f>IF(ISBLANK('Data Entry'!$ï$850), "", 'Data Entry'!$ï$850)</f>
      </c>
      <c r="FT850">
        <f>IF(ISBLANK('Data Entry'!$ð$850), "", 'Data Entry'!$ð$850)</f>
      </c>
      <c r="FU850">
        <f>IF(ISBLANK('Data Entry'!$ñ$850), "", 'Data Entry'!$ñ$850)</f>
      </c>
      <c r="FV850">
        <f>IF(ISBLANK('Data Entry'!$ò$850), "", 'Data Entry'!$ò$850)</f>
      </c>
      <c r="FW850">
        <f>IF(ISBLANK('Data Entry'!$ó$850), "", 'Data Entry'!$ó$850)</f>
      </c>
      <c r="FX850">
        <f>IF(ISBLANK('Data Entry'!$ô$850), "", 'Data Entry'!$ô$850)</f>
      </c>
      <c r="FY850">
        <f>IF(ISBLANK('Data Entry'!$õ$850), "", 'Data Entry'!$õ$850)</f>
      </c>
      <c r="FZ850">
        <f>IF(ISBLANK('Data Entry'!$ö$850), "", 'Data Entry'!$ö$850)</f>
      </c>
      <c r="GA850">
        <f>IF(ISBLANK('Data Entry'!$÷$850), "", 'Data Entry'!$÷$850)</f>
      </c>
      <c r="GB850">
        <f>IF(ISBLANK('Data Entry'!$ø$850), "", 'Data Entry'!$ø$850)</f>
      </c>
      <c r="GC850">
        <f>IF(ISBLANK('Data Entry'!$ù$850), "", 'Data Entry'!$ù$850)</f>
      </c>
      <c r="GD850">
        <f>IF(ISBLANK('Data Entry'!$ú$850), "", 'Data Entry'!$ú$850)</f>
      </c>
      <c r="GE850">
        <f>IF(ISBLANK('Data Entry'!$û$850), "", 'Data Entry'!$û$850)</f>
      </c>
      <c r="GF850">
        <f>IF(ISBLANK('Data Entry'!$ü$850), "", 'Data Entry'!$ü$850)</f>
      </c>
      <c r="GG850">
        <f>IF(ISBLANK('Data Entry'!$ý$850), "", 'Data Entry'!$ý$850)</f>
      </c>
      <c r="GH850">
        <f>IF(ISBLANK('Data Entry'!$þ$850), "", 'Data Entry'!$þ$850)</f>
      </c>
      <c r="GI850">
        <f>IF(ISBLANK('Data Entry'!$ÿ$850), "", 'Data Entry'!$ÿ$850)</f>
      </c>
      <c r="GJ850">
        <f>IF(ISBLANK('Data Entry'!$Ā$850), "", 'Data Entry'!$Ā$850)</f>
      </c>
      <c r="GK850">
        <f>IF(ISBLANK('Data Entry'!$ā$850), "", 'Data Entry'!$ā$850)</f>
      </c>
      <c r="GL850">
        <f>IF(ISBLANK('Data Entry'!$Ă$850), "", 'Data Entry'!$Ă$850)</f>
      </c>
      <c r="GM850">
        <f>IF(ISBLANK('Data Entry'!$ă$850), "", 'Data Entry'!$ă$850)</f>
      </c>
      <c r="GN850">
        <f>IF(ISBLANK('Data Entry'!$Ą$850), "", 'Data Entry'!$Ą$850)</f>
      </c>
      <c r="GO850">
        <f>IF(ISBLANK('Data Entry'!$ą$850), "", 'Data Entry'!$ą$850)</f>
      </c>
      <c r="GP850">
        <f>IF(ISBLANK('Data Entry'!$Ć$850), "", 'Data Entry'!$Ć$850)</f>
      </c>
      <c r="GQ850">
        <f>IF(ISBLANK('Data Entry'!$ć$850), "", 'Data Entry'!$ć$850)</f>
      </c>
      <c r="GR850">
        <f>IF(ISBLANK('Data Entry'!$Ĉ$850), "", 'Data Entry'!$Ĉ$850)</f>
      </c>
      <c r="GS850">
        <f>IF(ISBLANK('Data Entry'!$ĉ$850), "", 'Data Entry'!$ĉ$850)</f>
      </c>
      <c r="GT850">
        <f>IF(ISBLANK('Data Entry'!$Ċ$850), "", 'Data Entry'!$Ċ$850)</f>
      </c>
      <c r="GU850">
        <f>IF(ISBLANK('Data Entry'!$ċ$850), "", 'Data Entry'!$ċ$850)</f>
      </c>
      <c r="GV850">
        <f>IF(ISBLANK('Data Entry'!$Č$850), "", 'Data Entry'!$Č$850)</f>
      </c>
      <c r="GW850">
        <f>IF(ISBLANK('Data Entry'!$č$850), "", 'Data Entry'!$č$850)</f>
      </c>
      <c r="GX850">
        <f>IF(ISBLANK('Data Entry'!$Ď$850), "", 'Data Entry'!$Ď$850)</f>
      </c>
      <c r="GY850">
        <f>IF(ISBLANK('Data Entry'!$ď$850), "", 'Data Entry'!$ď$850)</f>
      </c>
      <c r="GZ850">
        <f>IF(ISBLANK('Data Entry'!$Đ$850), "", 'Data Entry'!$Đ$850)</f>
      </c>
      <c r="HA850">
        <f>IF(ISBLANK('Data Entry'!$đ$850), "", 'Data Entry'!$đ$850)</f>
      </c>
      <c r="HB850">
        <f>IF(ISBLANK('Data Entry'!$Ē$850), "", 'Data Entry'!$Ē$850)</f>
      </c>
      <c r="HC850">
        <f>IF(ISBLANK('Data Entry'!$ē$850), "", 'Data Entry'!$ē$850)</f>
      </c>
      <c r="HD850">
        <f>IF(ISBLANK('Data Entry'!$Ĕ$850), "", 'Data Entry'!$Ĕ$850)</f>
      </c>
      <c r="HE850">
        <f>IF(ISBLANK('Data Entry'!$ĕ$850), "", 'Data Entry'!$ĕ$850)</f>
      </c>
      <c r="HF850">
        <f>IF(ISBLANK('Data Entry'!$Ė$850), "", 'Data Entry'!$Ė$850)</f>
      </c>
      <c r="HG850">
        <f>IF(ISBLANK('Data Entry'!$ė$850), "", 'Data Entry'!$ė$850)</f>
      </c>
      <c r="HH850">
        <f>IF(ISBLANK('Data Entry'!$Ę$850), "", 'Data Entry'!$Ę$850)</f>
      </c>
      <c r="HI850">
        <f>IF(ISBLANK('Data Entry'!$ę$850), "", 'Data Entry'!$ę$850)</f>
      </c>
      <c r="HJ850">
        <f>IF(ISBLANK('Data Entry'!$Ě$850), "", 'Data Entry'!$Ě$850)</f>
      </c>
      <c r="HK850">
        <f>IF(ISBLANK('Data Entry'!$ě$850), "", 'Data Entry'!$ě$850)</f>
      </c>
      <c r="HL850">
        <f>IF(ISBLANK('Data Entry'!$Ĝ$850), "", 'Data Entry'!$Ĝ$850)</f>
      </c>
      <c r="HM850">
        <f>IF(ISBLANK('Data Entry'!$ĝ$850), "", 'Data Entry'!$ĝ$850)</f>
      </c>
      <c r="HN850">
        <f>IF(ISBLANK('Data Entry'!$Ğ$850), "", 'Data Entry'!$Ğ$850)</f>
      </c>
      <c r="HO850">
        <f>IF(ISBLANK('Data Entry'!$ğ$850), "", 'Data Entry'!$ğ$850)</f>
      </c>
      <c r="HP850">
        <f>IF(ISBLANK('Data Entry'!$Ġ$850), "", 'Data Entry'!$Ġ$850)</f>
      </c>
      <c r="HQ850">
        <f>IF(ISBLANK('Data Entry'!$ġ$850), "", 'Data Entry'!$ġ$850)</f>
      </c>
      <c r="HR850">
        <f>IF(ISBLANK('Data Entry'!$Ģ$850), "", 'Data Entry'!$Ģ$850)</f>
      </c>
      <c r="HS850">
        <f>IF(ISBLANK('Data Entry'!$ģ$850), "", 'Data Entry'!$ģ$850)</f>
      </c>
      <c r="HT850">
        <f>IF(ISBLANK('Data Entry'!$Ĥ$850), "", 'Data Entry'!$Ĥ$850)</f>
      </c>
      <c r="HU850">
        <f>IF(ISBLANK('Data Entry'!$ĥ$850), "", 'Data Entry'!$ĥ$850)</f>
      </c>
      <c r="HV850">
        <f>IF(ISBLANK('Data Entry'!$Ħ$850), "", 'Data Entry'!$Ħ$850)</f>
      </c>
      <c r="HW850">
        <f>IF(ISBLANK('Data Entry'!$ħ$850), "", 'Data Entry'!$ħ$850)</f>
      </c>
      <c r="HX850">
        <f>IF(ISBLANK('Data Entry'!$Ĩ$850), "", 'Data Entry'!$Ĩ$850)</f>
      </c>
      <c r="HY850">
        <f>IF(ISBLANK('Data Entry'!$ĩ$850), "", 'Data Entry'!$ĩ$850)</f>
      </c>
      <c r="HZ850">
        <f>IF(ISBLANK('Data Entry'!$Ī$850), "", 'Data Entry'!$Ī$850)</f>
      </c>
      <c r="IA850">
        <f>IF(ISBLANK('Data Entry'!$ī$850), "", 'Data Entry'!$ī$850)</f>
      </c>
      <c r="IB850">
        <f>IF(ISBLANK('Data Entry'!$Ĭ$850), "", 'Data Entry'!$Ĭ$850)</f>
      </c>
      <c r="IC850">
        <f>IF(ISBLANK('Data Entry'!$ĭ$850), "", 'Data Entry'!$ĭ$850)</f>
      </c>
      <c r="ID850">
        <f>IF(ISBLANK('Data Entry'!$Į$850), "", 'Data Entry'!$Į$850)</f>
      </c>
      <c r="IE850">
        <f>IF(ISBLANK('Data Entry'!$į$850), "", 'Data Entry'!$į$850)</f>
      </c>
      <c r="IF850">
        <f>IF(ISBLANK('Data Entry'!$İ$850), "", 'Data Entry'!$İ$850)</f>
      </c>
      <c r="IG850">
        <f>IF(ISBLANK('Data Entry'!$ı$850), "", 'Data Entry'!$ı$850)</f>
      </c>
      <c r="IH850">
        <f>IF(ISBLANK('Data Entry'!$Ĳ$850), "", 'Data Entry'!$Ĳ$850)</f>
      </c>
      <c r="II850">
        <f>IF(ISBLANK('Data Entry'!$ĳ$850), "", 'Data Entry'!$ĳ$850)</f>
      </c>
      <c r="IJ850">
        <f>IF(ISBLANK('Data Entry'!$Ĵ$850), "", 'Data Entry'!$Ĵ$850)</f>
      </c>
      <c r="IK850">
        <f>IF(ISBLANK('Data Entry'!$ĵ$850), "", 'Data Entry'!$ĵ$850)</f>
      </c>
      <c r="IL850">
        <f>IF(ISBLANK('Data Entry'!$Ķ$850), "", 'Data Entry'!$Ķ$850)</f>
      </c>
      <c r="IM850">
        <f>IF(ISBLANK('Data Entry'!$ķ$850), "", 'Data Entry'!$ķ$850)</f>
      </c>
      <c r="IN850">
        <f>IF(ISBLANK('Data Entry'!$ĸ$850), "", 'Data Entry'!$ĸ$850)</f>
      </c>
      <c r="IO850">
        <f>IF(ISBLANK('Data Entry'!$Ĺ$850), "", 'Data Entry'!$Ĺ$850)</f>
      </c>
      <c r="IP850">
        <f>IF(ISBLANK('Data Entry'!$ĺ$850), "", 'Data Entry'!$ĺ$850)</f>
      </c>
      <c r="IQ850">
        <f>IF(ISBLANK('Data Entry'!$Ļ$850), "", 'Data Entry'!$Ļ$850)</f>
      </c>
      <c r="IR850">
        <f>IF(ISBLANK('Data Entry'!$ļ$850), "", 'Data Entry'!$ļ$850)</f>
      </c>
      <c r="IS850">
        <f>IF(ISBLANK('Data Entry'!$Ľ$850), "", 'Data Entry'!$Ľ$850)</f>
      </c>
      <c r="IT850">
        <f>IF(ISBLANK('Data Entry'!$ľ$850), "", 'Data Entry'!$ľ$850)</f>
      </c>
    </row>
    <row r="851" spans="1:254" x14ac:dyDescent="0.25">
      <c r="A851">
        <f>IF(ISBLANK('Data Entry'!$A$851), "", 'Data Entry'!$A$851)</f>
      </c>
      <c r="B851">
        <f>IF(ISBLANK('Data Entry'!$B$851), "", 'Data Entry'!$B$851)</f>
      </c>
      <c r="C851">
        <f>IF(ISBLANK('Data Entry'!$C$851), "", 'Data Entry'!$C$851)</f>
      </c>
      <c r="D851">
        <f>IF(ISBLANK('Data Entry'!$D$851), "", 'Data Entry'!$D$851)</f>
      </c>
      <c r="E851">
        <f>IF(ISBLANK('Data Entry'!$E$851), "", 'Data Entry'!$E$851)</f>
      </c>
      <c r="F851">
        <f>IF(ISBLANK('Data Entry'!$F$851), "", 'Data Entry'!$F$851)</f>
      </c>
      <c r="G851">
        <f>IF(ISBLANK('Data Entry'!$G$851), "", 'Data Entry'!$G$851)</f>
      </c>
      <c r="H851">
        <f>IF(ISBLANK('Data Entry'!$H$851), "", 'Data Entry'!$H$851)</f>
      </c>
      <c r="I851">
        <f>IF(ISBLANK('Data Entry'!$I$851), "", 'Data Entry'!$I$851)</f>
      </c>
      <c r="J851">
        <f>IF(ISBLANK('Data Entry'!$J$851), "", 'Data Entry'!$J$851)</f>
      </c>
      <c r="K851">
        <f>IF(ISBLANK('Data Entry'!$K$851), "", 'Data Entry'!$K$851)</f>
      </c>
      <c r="L851">
        <f>IF(ISBLANK('Data Entry'!$L$851), "", 'Data Entry'!$L$851)</f>
      </c>
      <c r="M851">
        <f>IF(ISBLANK('Data Entry'!$M$851), "", 'Data Entry'!$M$851)</f>
      </c>
      <c r="N851">
        <f>IF(ISBLANK('Data Entry'!$N$851), "", 'Data Entry'!$N$851)</f>
      </c>
      <c r="O851">
        <f>IF(ISBLANK('Data Entry'!$O$851), "", 'Data Entry'!$O$851)</f>
      </c>
      <c r="P851">
        <f>IF(ISBLANK('Data Entry'!$P$851), "", 'Data Entry'!$P$851)</f>
      </c>
      <c r="Q851">
        <f>IF(ISBLANK('Data Entry'!$Q$851), "", 'Data Entry'!$Q$851)</f>
      </c>
      <c r="R851">
        <f>IF(ISBLANK('Data Entry'!$R$851), "", 'Data Entry'!$R$851)</f>
      </c>
      <c r="S851">
        <f>IF(ISBLANK('Data Entry'!$S$851), "", 'Data Entry'!$S$851)</f>
      </c>
      <c r="T851">
        <f>IF(ISBLANK('Data Entry'!$T$851), "", 'Data Entry'!$T$851)</f>
      </c>
      <c r="U851">
        <f>IF(ISBLANK('Data Entry'!$U$851), "", 'Data Entry'!$U$851)</f>
      </c>
      <c r="V851">
        <f>IF(ISBLANK('Data Entry'!$V$851), "", 'Data Entry'!$V$851)</f>
      </c>
      <c r="W851">
        <f>IF(ISBLANK('Data Entry'!$W$851), "", 'Data Entry'!$W$851)</f>
      </c>
      <c r="X851">
        <f>IF(ISBLANK('Data Entry'!$X$851), "", 'Data Entry'!$X$851)</f>
      </c>
      <c r="Y851">
        <f>IF(ISBLANK('Data Entry'!$Y$851), "", 'Data Entry'!$Y$851)</f>
      </c>
      <c r="Z851">
        <f>IF(ISBLANK('Data Entry'!$Z$851), "", 'Data Entry'!$Z$851)</f>
      </c>
      <c r="AA851">
        <f>IF(ISBLANK('Data Entry'!$[$851), "", 'Data Entry'!$[$851)</f>
      </c>
      <c r="AB851">
        <f>IF(ISBLANK('Data Entry'!$\$851), "", 'Data Entry'!$\$851)</f>
      </c>
      <c r="AC851">
        <f>IF(ISBLANK('Data Entry'!$]$851), "", 'Data Entry'!$]$851)</f>
      </c>
      <c r="AD851">
        <f>IF(ISBLANK('Data Entry'!$^$851), "", 'Data Entry'!$^$851)</f>
      </c>
      <c r="AE851">
        <f>IF(ISBLANK('Data Entry'!$_$851), "", 'Data Entry'!$_$851)</f>
      </c>
      <c r="AF851">
        <f>IF(ISBLANK('Data Entry'!$`$851), "", 'Data Entry'!$`$851)</f>
      </c>
      <c r="AG851">
        <f>IF(ISBLANK('Data Entry'!$a$851), "", 'Data Entry'!$a$851)</f>
      </c>
      <c r="AH851">
        <f>IF(ISBLANK('Data Entry'!$b$851), "", 'Data Entry'!$b$851)</f>
      </c>
      <c r="AI851">
        <f>IF(ISBLANK('Data Entry'!$c$851), "", 'Data Entry'!$c$851)</f>
      </c>
      <c r="AJ851">
        <f>IF(ISBLANK('Data Entry'!$d$851), "", 'Data Entry'!$d$851)</f>
      </c>
      <c r="AK851">
        <f>IF(ISBLANK('Data Entry'!$e$851), "", 'Data Entry'!$e$851)</f>
      </c>
      <c r="AL851">
        <f>IF(ISBLANK('Data Entry'!$f$851), "", 'Data Entry'!$f$851)</f>
      </c>
      <c r="AM851">
        <f>IF(ISBLANK('Data Entry'!$g$851), "", 'Data Entry'!$g$851)</f>
      </c>
      <c r="AN851">
        <f>IF(ISBLANK('Data Entry'!$h$851), "", 'Data Entry'!$h$851)</f>
      </c>
      <c r="AO851">
        <f>IF(ISBLANK('Data Entry'!$i$851), "", 'Data Entry'!$i$851)</f>
      </c>
      <c r="AP851">
        <f>IF(ISBLANK('Data Entry'!$j$851), "", 'Data Entry'!$j$851)</f>
      </c>
      <c r="AQ851">
        <f>IF(ISBLANK('Data Entry'!$k$851), "", 'Data Entry'!$k$851)</f>
      </c>
      <c r="AR851">
        <f>IF(ISBLANK('Data Entry'!$l$851), "", 'Data Entry'!$l$851)</f>
      </c>
      <c r="AS851">
        <f>IF(ISBLANK('Data Entry'!$m$851), "", 'Data Entry'!$m$851)</f>
      </c>
      <c r="AT851">
        <f>IF(ISBLANK('Data Entry'!$n$851), "", 'Data Entry'!$n$851)</f>
      </c>
      <c r="AU851">
        <f>IF(ISBLANK('Data Entry'!$o$851), "", 'Data Entry'!$o$851)</f>
      </c>
      <c r="AV851">
        <f>IF(ISBLANK('Data Entry'!$p$851), "", 'Data Entry'!$p$851)</f>
      </c>
      <c r="AW851">
        <f>IF(ISBLANK('Data Entry'!$q$851), "", 'Data Entry'!$q$851)</f>
      </c>
      <c r="AX851">
        <f>IF(ISBLANK('Data Entry'!$r$851), "", 'Data Entry'!$r$851)</f>
      </c>
      <c r="AY851">
        <f>IF(ISBLANK('Data Entry'!$s$851), "", 'Data Entry'!$s$851)</f>
      </c>
      <c r="AZ851">
        <f>IF(ISBLANK('Data Entry'!$t$851), "", 'Data Entry'!$t$851)</f>
      </c>
      <c r="BA851">
        <f>IF(ISBLANK('Data Entry'!$u$851), "", 'Data Entry'!$u$851)</f>
      </c>
      <c r="BB851">
        <f>IF(ISBLANK('Data Entry'!$v$851), "", 'Data Entry'!$v$851)</f>
      </c>
      <c r="BC851">
        <f>IF(ISBLANK('Data Entry'!$w$851), "", 'Data Entry'!$w$851)</f>
      </c>
      <c r="BD851">
        <f>IF(ISBLANK('Data Entry'!$x$851), "", 'Data Entry'!$x$851)</f>
      </c>
      <c r="BE851">
        <f>IF(ISBLANK('Data Entry'!$y$851), "", 'Data Entry'!$y$851)</f>
      </c>
      <c r="BF851">
        <f>IF(ISBLANK('Data Entry'!$z$851), "", 'Data Entry'!$z$851)</f>
      </c>
      <c r="BG851">
        <f>IF(ISBLANK('Data Entry'!${$851), "", 'Data Entry'!${$851)</f>
      </c>
      <c r="BH851">
        <f>IF(ISBLANK('Data Entry'!$|$851), "", 'Data Entry'!$|$851)</f>
      </c>
      <c r="BI851">
        <f>IF(ISBLANK('Data Entry'!$}$851), "", 'Data Entry'!$}$851)</f>
      </c>
      <c r="BJ851">
        <f>IF(ISBLANK('Data Entry'!$~$851), "", 'Data Entry'!$~$851)</f>
      </c>
      <c r="BK851">
        <f>IF(ISBLANK('Data Entry'!$$851), "", 'Data Entry'!$$851)</f>
      </c>
      <c r="BL851">
        <f>IF(ISBLANK('Data Entry'!$$851), "", 'Data Entry'!$$851)</f>
      </c>
      <c r="BM851">
        <f>IF(ISBLANK('Data Entry'!$$851), "", 'Data Entry'!$$851)</f>
      </c>
      <c r="BN851">
        <f>IF(ISBLANK('Data Entry'!$$851), "", 'Data Entry'!$$851)</f>
      </c>
      <c r="BO851">
        <f>IF(ISBLANK('Data Entry'!$$851), "", 'Data Entry'!$$851)</f>
      </c>
      <c r="BP851">
        <f>IF(ISBLANK('Data Entry'!$$851), "", 'Data Entry'!$$851)</f>
      </c>
      <c r="BQ851">
        <f>IF(ISBLANK('Data Entry'!$$851), "", 'Data Entry'!$$851)</f>
      </c>
      <c r="BR851">
        <f>IF(ISBLANK('Data Entry'!$$851), "", 'Data Entry'!$$851)</f>
      </c>
      <c r="BS851">
        <f>IF(ISBLANK('Data Entry'!$$851), "", 'Data Entry'!$$851)</f>
      </c>
      <c r="BT851">
        <f>IF(ISBLANK('Data Entry'!$$851), "", 'Data Entry'!$$851)</f>
      </c>
      <c r="BU851">
        <f>IF(ISBLANK('Data Entry'!$$851), "", 'Data Entry'!$$851)</f>
      </c>
      <c r="BV851">
        <f>IF(ISBLANK('Data Entry'!$$851), "", 'Data Entry'!$$851)</f>
      </c>
      <c r="BW851">
        <f>IF(ISBLANK('Data Entry'!$$851), "", 'Data Entry'!$$851)</f>
      </c>
      <c r="BX851">
        <f>IF(ISBLANK('Data Entry'!$$851), "", 'Data Entry'!$$851)</f>
      </c>
      <c r="BY851">
        <f>IF(ISBLANK('Data Entry'!$$851), "", 'Data Entry'!$$851)</f>
      </c>
      <c r="BZ851">
        <f>IF(ISBLANK('Data Entry'!$$851), "", 'Data Entry'!$$851)</f>
      </c>
      <c r="CA851">
        <f>IF(ISBLANK('Data Entry'!$$851), "", 'Data Entry'!$$851)</f>
      </c>
      <c r="CB851">
        <f>IF(ISBLANK('Data Entry'!$$851), "", 'Data Entry'!$$851)</f>
      </c>
      <c r="CC851">
        <f>IF(ISBLANK('Data Entry'!$$851), "", 'Data Entry'!$$851)</f>
      </c>
      <c r="CD851">
        <f>IF(ISBLANK('Data Entry'!$$851), "", 'Data Entry'!$$851)</f>
      </c>
      <c r="CE851">
        <f>IF(ISBLANK('Data Entry'!$$851), "", 'Data Entry'!$$851)</f>
      </c>
      <c r="CF851">
        <f>IF(ISBLANK('Data Entry'!$$851), "", 'Data Entry'!$$851)</f>
      </c>
      <c r="CG851">
        <f>IF(ISBLANK('Data Entry'!$$851), "", 'Data Entry'!$$851)</f>
      </c>
      <c r="CH851">
        <f>IF(ISBLANK('Data Entry'!$$851), "", 'Data Entry'!$$851)</f>
      </c>
      <c r="CI851">
        <f>IF(ISBLANK('Data Entry'!$$851), "", 'Data Entry'!$$851)</f>
      </c>
      <c r="CJ851">
        <f>IF(ISBLANK('Data Entry'!$$851), "", 'Data Entry'!$$851)</f>
      </c>
      <c r="CK851">
        <f>IF(ISBLANK('Data Entry'!$$851), "", 'Data Entry'!$$851)</f>
      </c>
      <c r="CL851">
        <f>IF(ISBLANK('Data Entry'!$$851), "", 'Data Entry'!$$851)</f>
      </c>
      <c r="CM851">
        <f>IF(ISBLANK('Data Entry'!$$851), "", 'Data Entry'!$$851)</f>
      </c>
      <c r="CN851">
        <f>IF(ISBLANK('Data Entry'!$$851), "", 'Data Entry'!$$851)</f>
      </c>
      <c r="CO851">
        <f>IF(ISBLANK('Data Entry'!$$851), "", 'Data Entry'!$$851)</f>
      </c>
      <c r="CP851">
        <f>IF(ISBLANK('Data Entry'!$$851), "", 'Data Entry'!$$851)</f>
      </c>
      <c r="CQ851">
        <f>IF(ISBLANK('Data Entry'!$$851), "", 'Data Entry'!$$851)</f>
      </c>
      <c r="CR851">
        <f>IF(ISBLANK('Data Entry'!$ $851), "", 'Data Entry'!$ $851)</f>
      </c>
      <c r="CS851">
        <f>IF(ISBLANK('Data Entry'!$¡$851), "", 'Data Entry'!$¡$851)</f>
      </c>
      <c r="CT851">
        <f>IF(ISBLANK('Data Entry'!$¢$851), "", 'Data Entry'!$¢$851)</f>
      </c>
      <c r="CU851">
        <f>IF(ISBLANK('Data Entry'!$£$851), "", 'Data Entry'!$£$851)</f>
      </c>
      <c r="CV851">
        <f>IF(ISBLANK('Data Entry'!$¤$851), "", 'Data Entry'!$¤$851)</f>
      </c>
      <c r="CW851">
        <f>IF(ISBLANK('Data Entry'!$¥$851), "", 'Data Entry'!$¥$851)</f>
      </c>
      <c r="CX851">
        <f>IF(ISBLANK('Data Entry'!$¦$851), "", 'Data Entry'!$¦$851)</f>
      </c>
      <c r="CY851">
        <f>IF(ISBLANK('Data Entry'!$§$851), "", 'Data Entry'!$§$851)</f>
      </c>
      <c r="CZ851">
        <f>IF(ISBLANK('Data Entry'!$¨$851), "", 'Data Entry'!$¨$851)</f>
      </c>
      <c r="DA851">
        <f>IF(ISBLANK('Data Entry'!$©$851), "", 'Data Entry'!$©$851)</f>
      </c>
      <c r="DB851">
        <f>IF(ISBLANK('Data Entry'!$ª$851), "", 'Data Entry'!$ª$851)</f>
      </c>
      <c r="DC851">
        <f>IF(ISBLANK('Data Entry'!$«$851), "", 'Data Entry'!$«$851)</f>
      </c>
      <c r="DD851">
        <f>IF(ISBLANK('Data Entry'!$¬$851), "", 'Data Entry'!$¬$851)</f>
      </c>
      <c r="DE851">
        <f>IF(ISBLANK('Data Entry'!$­$851), "", 'Data Entry'!$­$851)</f>
      </c>
      <c r="DF851">
        <f>IF(ISBLANK('Data Entry'!$®$851), "", 'Data Entry'!$®$851)</f>
      </c>
      <c r="DG851">
        <f>IF(ISBLANK('Data Entry'!$¯$851), "", 'Data Entry'!$¯$851)</f>
      </c>
      <c r="DH851">
        <f>IF(ISBLANK('Data Entry'!$°$851), "", 'Data Entry'!$°$851)</f>
      </c>
      <c r="DI851">
        <f>IF(ISBLANK('Data Entry'!$±$851), "", 'Data Entry'!$±$851)</f>
      </c>
      <c r="DJ851">
        <f>IF(ISBLANK('Data Entry'!$²$851), "", 'Data Entry'!$²$851)</f>
      </c>
      <c r="DK851">
        <f>IF(ISBLANK('Data Entry'!$³$851), "", 'Data Entry'!$³$851)</f>
      </c>
      <c r="DL851">
        <f>IF(ISBLANK('Data Entry'!$´$851), "", 'Data Entry'!$´$851)</f>
      </c>
      <c r="DM851">
        <f>IF(ISBLANK('Data Entry'!$µ$851), "", 'Data Entry'!$µ$851)</f>
      </c>
      <c r="DN851">
        <f>IF(ISBLANK('Data Entry'!$¶$851), "", 'Data Entry'!$¶$851)</f>
      </c>
      <c r="DO851">
        <f>IF(ISBLANK('Data Entry'!$·$851), "", 'Data Entry'!$·$851)</f>
      </c>
      <c r="DP851">
        <f>IF(ISBLANK('Data Entry'!$¸$851), "", 'Data Entry'!$¸$851)</f>
      </c>
      <c r="DQ851">
        <f>IF(ISBLANK('Data Entry'!$¹$851), "", 'Data Entry'!$¹$851)</f>
      </c>
      <c r="DR851">
        <f>IF(ISBLANK('Data Entry'!$º$851), "", 'Data Entry'!$º$851)</f>
      </c>
      <c r="DS851">
        <f>IF(ISBLANK('Data Entry'!$»$851), "", 'Data Entry'!$»$851)</f>
      </c>
      <c r="DT851">
        <f>IF(ISBLANK('Data Entry'!$¼$851), "", 'Data Entry'!$¼$851)</f>
      </c>
      <c r="DU851">
        <f>IF(ISBLANK('Data Entry'!$½$851), "", 'Data Entry'!$½$851)</f>
      </c>
      <c r="DV851">
        <f>IF(ISBLANK('Data Entry'!$¾$851), "", 'Data Entry'!$¾$851)</f>
      </c>
      <c r="DW851">
        <f>IF(ISBLANK('Data Entry'!$¿$851), "", 'Data Entry'!$¿$851)</f>
      </c>
      <c r="DX851">
        <f>IF(ISBLANK('Data Entry'!$À$851), "", 'Data Entry'!$À$851)</f>
      </c>
      <c r="DY851">
        <f>IF(ISBLANK('Data Entry'!$Á$851), "", 'Data Entry'!$Á$851)</f>
      </c>
      <c r="DZ851">
        <f>IF(ISBLANK('Data Entry'!$Â$851), "", 'Data Entry'!$Â$851)</f>
      </c>
      <c r="EA851">
        <f>IF(ISBLANK('Data Entry'!$Ã$851), "", 'Data Entry'!$Ã$851)</f>
      </c>
      <c r="EB851">
        <f>IF(ISBLANK('Data Entry'!$Ä$851), "", 'Data Entry'!$Ä$851)</f>
      </c>
      <c r="EC851">
        <f>IF(ISBLANK('Data Entry'!$Å$851), "", 'Data Entry'!$Å$851)</f>
      </c>
      <c r="ED851">
        <f>IF(ISBLANK('Data Entry'!$Æ$851), "", 'Data Entry'!$Æ$851)</f>
      </c>
      <c r="EE851">
        <f>IF(ISBLANK('Data Entry'!$Ç$851), "", 'Data Entry'!$Ç$851)</f>
      </c>
      <c r="EF851">
        <f>IF(ISBLANK('Data Entry'!$È$851), "", 'Data Entry'!$È$851)</f>
      </c>
      <c r="EG851">
        <f>IF(ISBLANK('Data Entry'!$É$851), "", 'Data Entry'!$É$851)</f>
      </c>
      <c r="EH851">
        <f>IF(ISBLANK('Data Entry'!$Ê$851), "", 'Data Entry'!$Ê$851)</f>
      </c>
      <c r="EI851">
        <f>IF(ISBLANK('Data Entry'!$Ë$851), "", 'Data Entry'!$Ë$851)</f>
      </c>
      <c r="EJ851">
        <f>IF(ISBLANK('Data Entry'!$Ì$851), "", 'Data Entry'!$Ì$851)</f>
      </c>
      <c r="EK851">
        <f>IF(ISBLANK('Data Entry'!$Í$851), "", 'Data Entry'!$Í$851)</f>
      </c>
      <c r="EL851">
        <f>IF(ISBLANK('Data Entry'!$Î$851), "", 'Data Entry'!$Î$851)</f>
      </c>
      <c r="EM851">
        <f>IF(ISBLANK('Data Entry'!$Ï$851), "", 'Data Entry'!$Ï$851)</f>
      </c>
      <c r="EN851">
        <f>IF(ISBLANK('Data Entry'!$Ð$851), "", 'Data Entry'!$Ð$851)</f>
      </c>
      <c r="EO851">
        <f>IF(ISBLANK('Data Entry'!$Ñ$851), "", 'Data Entry'!$Ñ$851)</f>
      </c>
      <c r="EP851">
        <f>IF(ISBLANK('Data Entry'!$Ò$851), "", 'Data Entry'!$Ò$851)</f>
      </c>
      <c r="EQ851">
        <f>IF(ISBLANK('Data Entry'!$Ó$851), "", 'Data Entry'!$Ó$851)</f>
      </c>
      <c r="ER851">
        <f>IF(ISBLANK('Data Entry'!$Ô$851), "", 'Data Entry'!$Ô$851)</f>
      </c>
      <c r="ES851">
        <f>IF(ISBLANK('Data Entry'!$Õ$851), "", 'Data Entry'!$Õ$851)</f>
      </c>
      <c r="ET851">
        <f>IF(ISBLANK('Data Entry'!$Ö$851), "", 'Data Entry'!$Ö$851)</f>
      </c>
      <c r="EU851">
        <f>IF(ISBLANK('Data Entry'!$×$851), "", 'Data Entry'!$×$851)</f>
      </c>
      <c r="EV851">
        <f>IF(ISBLANK('Data Entry'!$Ø$851), "", 'Data Entry'!$Ø$851)</f>
      </c>
      <c r="EW851">
        <f>IF(ISBLANK('Data Entry'!$Ù$851), "", 'Data Entry'!$Ù$851)</f>
      </c>
      <c r="EX851">
        <f>IF(ISBLANK('Data Entry'!$Ú$851), "", 'Data Entry'!$Ú$851)</f>
      </c>
      <c r="EY851">
        <f>IF(ISBLANK('Data Entry'!$Û$851), "", 'Data Entry'!$Û$851)</f>
      </c>
      <c r="EZ851">
        <f>IF(ISBLANK('Data Entry'!$Ü$851), "", 'Data Entry'!$Ü$851)</f>
      </c>
      <c r="FA851">
        <f>IF(ISBLANK('Data Entry'!$Ý$851), "", 'Data Entry'!$Ý$851)</f>
      </c>
      <c r="FB851">
        <f>IF(ISBLANK('Data Entry'!$Þ$851), "", 'Data Entry'!$Þ$851)</f>
      </c>
      <c r="FC851">
        <f>IF(ISBLANK('Data Entry'!$ß$851), "", 'Data Entry'!$ß$851)</f>
      </c>
      <c r="FD851">
        <f>IF(ISBLANK('Data Entry'!$à$851), "", 'Data Entry'!$à$851)</f>
      </c>
      <c r="FE851">
        <f>IF(ISBLANK('Data Entry'!$á$851), "", 'Data Entry'!$á$851)</f>
      </c>
      <c r="FF851">
        <f>IF(ISBLANK('Data Entry'!$â$851), "", 'Data Entry'!$â$851)</f>
      </c>
      <c r="FG851">
        <f>IF(ISBLANK('Data Entry'!$ã$851), "", 'Data Entry'!$ã$851)</f>
      </c>
      <c r="FH851">
        <f>IF(ISBLANK('Data Entry'!$ä$851), "", 'Data Entry'!$ä$851)</f>
      </c>
      <c r="FI851">
        <f>IF(ISBLANK('Data Entry'!$å$851), "", 'Data Entry'!$å$851)</f>
      </c>
      <c r="FJ851">
        <f>IF(ISBLANK('Data Entry'!$æ$851), "", 'Data Entry'!$æ$851)</f>
      </c>
      <c r="FK851">
        <f>IF(ISBLANK('Data Entry'!$ç$851), "", 'Data Entry'!$ç$851)</f>
      </c>
      <c r="FL851">
        <f>IF(ISBLANK('Data Entry'!$è$851), "", 'Data Entry'!$è$851)</f>
      </c>
      <c r="FM851">
        <f>IF(ISBLANK('Data Entry'!$é$851), "", 'Data Entry'!$é$851)</f>
      </c>
      <c r="FN851">
        <f>IF(ISBLANK('Data Entry'!$ê$851), "", 'Data Entry'!$ê$851)</f>
      </c>
      <c r="FO851">
        <f>IF(ISBLANK('Data Entry'!$ë$851), "", 'Data Entry'!$ë$851)</f>
      </c>
      <c r="FP851">
        <f>IF(ISBLANK('Data Entry'!$ì$851), "", 'Data Entry'!$ì$851)</f>
      </c>
      <c r="FQ851">
        <f>IF(ISBLANK('Data Entry'!$í$851), "", 'Data Entry'!$í$851)</f>
      </c>
      <c r="FR851">
        <f>IF(ISBLANK('Data Entry'!$î$851), "", 'Data Entry'!$î$851)</f>
      </c>
      <c r="FS851">
        <f>IF(ISBLANK('Data Entry'!$ï$851), "", 'Data Entry'!$ï$851)</f>
      </c>
      <c r="FT851">
        <f>IF(ISBLANK('Data Entry'!$ð$851), "", 'Data Entry'!$ð$851)</f>
      </c>
      <c r="FU851">
        <f>IF(ISBLANK('Data Entry'!$ñ$851), "", 'Data Entry'!$ñ$851)</f>
      </c>
      <c r="FV851">
        <f>IF(ISBLANK('Data Entry'!$ò$851), "", 'Data Entry'!$ò$851)</f>
      </c>
      <c r="FW851">
        <f>IF(ISBLANK('Data Entry'!$ó$851), "", 'Data Entry'!$ó$851)</f>
      </c>
      <c r="FX851">
        <f>IF(ISBLANK('Data Entry'!$ô$851), "", 'Data Entry'!$ô$851)</f>
      </c>
      <c r="FY851">
        <f>IF(ISBLANK('Data Entry'!$õ$851), "", 'Data Entry'!$õ$851)</f>
      </c>
      <c r="FZ851">
        <f>IF(ISBLANK('Data Entry'!$ö$851), "", 'Data Entry'!$ö$851)</f>
      </c>
      <c r="GA851">
        <f>IF(ISBLANK('Data Entry'!$÷$851), "", 'Data Entry'!$÷$851)</f>
      </c>
      <c r="GB851">
        <f>IF(ISBLANK('Data Entry'!$ø$851), "", 'Data Entry'!$ø$851)</f>
      </c>
      <c r="GC851">
        <f>IF(ISBLANK('Data Entry'!$ù$851), "", 'Data Entry'!$ù$851)</f>
      </c>
      <c r="GD851">
        <f>IF(ISBLANK('Data Entry'!$ú$851), "", 'Data Entry'!$ú$851)</f>
      </c>
      <c r="GE851">
        <f>IF(ISBLANK('Data Entry'!$û$851), "", 'Data Entry'!$û$851)</f>
      </c>
      <c r="GF851">
        <f>IF(ISBLANK('Data Entry'!$ü$851), "", 'Data Entry'!$ü$851)</f>
      </c>
      <c r="GG851">
        <f>IF(ISBLANK('Data Entry'!$ý$851), "", 'Data Entry'!$ý$851)</f>
      </c>
      <c r="GH851">
        <f>IF(ISBLANK('Data Entry'!$þ$851), "", 'Data Entry'!$þ$851)</f>
      </c>
      <c r="GI851">
        <f>IF(ISBLANK('Data Entry'!$ÿ$851), "", 'Data Entry'!$ÿ$851)</f>
      </c>
      <c r="GJ851">
        <f>IF(ISBLANK('Data Entry'!$Ā$851), "", 'Data Entry'!$Ā$851)</f>
      </c>
      <c r="GK851">
        <f>IF(ISBLANK('Data Entry'!$ā$851), "", 'Data Entry'!$ā$851)</f>
      </c>
      <c r="GL851">
        <f>IF(ISBLANK('Data Entry'!$Ă$851), "", 'Data Entry'!$Ă$851)</f>
      </c>
      <c r="GM851">
        <f>IF(ISBLANK('Data Entry'!$ă$851), "", 'Data Entry'!$ă$851)</f>
      </c>
      <c r="GN851">
        <f>IF(ISBLANK('Data Entry'!$Ą$851), "", 'Data Entry'!$Ą$851)</f>
      </c>
      <c r="GO851">
        <f>IF(ISBLANK('Data Entry'!$ą$851), "", 'Data Entry'!$ą$851)</f>
      </c>
      <c r="GP851">
        <f>IF(ISBLANK('Data Entry'!$Ć$851), "", 'Data Entry'!$Ć$851)</f>
      </c>
      <c r="GQ851">
        <f>IF(ISBLANK('Data Entry'!$ć$851), "", 'Data Entry'!$ć$851)</f>
      </c>
      <c r="GR851">
        <f>IF(ISBLANK('Data Entry'!$Ĉ$851), "", 'Data Entry'!$Ĉ$851)</f>
      </c>
      <c r="GS851">
        <f>IF(ISBLANK('Data Entry'!$ĉ$851), "", 'Data Entry'!$ĉ$851)</f>
      </c>
      <c r="GT851">
        <f>IF(ISBLANK('Data Entry'!$Ċ$851), "", 'Data Entry'!$Ċ$851)</f>
      </c>
      <c r="GU851">
        <f>IF(ISBLANK('Data Entry'!$ċ$851), "", 'Data Entry'!$ċ$851)</f>
      </c>
      <c r="GV851">
        <f>IF(ISBLANK('Data Entry'!$Č$851), "", 'Data Entry'!$Č$851)</f>
      </c>
      <c r="GW851">
        <f>IF(ISBLANK('Data Entry'!$č$851), "", 'Data Entry'!$č$851)</f>
      </c>
      <c r="GX851">
        <f>IF(ISBLANK('Data Entry'!$Ď$851), "", 'Data Entry'!$Ď$851)</f>
      </c>
      <c r="GY851">
        <f>IF(ISBLANK('Data Entry'!$ď$851), "", 'Data Entry'!$ď$851)</f>
      </c>
      <c r="GZ851">
        <f>IF(ISBLANK('Data Entry'!$Đ$851), "", 'Data Entry'!$Đ$851)</f>
      </c>
      <c r="HA851">
        <f>IF(ISBLANK('Data Entry'!$đ$851), "", 'Data Entry'!$đ$851)</f>
      </c>
      <c r="HB851">
        <f>IF(ISBLANK('Data Entry'!$Ē$851), "", 'Data Entry'!$Ē$851)</f>
      </c>
      <c r="HC851">
        <f>IF(ISBLANK('Data Entry'!$ē$851), "", 'Data Entry'!$ē$851)</f>
      </c>
      <c r="HD851">
        <f>IF(ISBLANK('Data Entry'!$Ĕ$851), "", 'Data Entry'!$Ĕ$851)</f>
      </c>
      <c r="HE851">
        <f>IF(ISBLANK('Data Entry'!$ĕ$851), "", 'Data Entry'!$ĕ$851)</f>
      </c>
      <c r="HF851">
        <f>IF(ISBLANK('Data Entry'!$Ė$851), "", 'Data Entry'!$Ė$851)</f>
      </c>
      <c r="HG851">
        <f>IF(ISBLANK('Data Entry'!$ė$851), "", 'Data Entry'!$ė$851)</f>
      </c>
      <c r="HH851">
        <f>IF(ISBLANK('Data Entry'!$Ę$851), "", 'Data Entry'!$Ę$851)</f>
      </c>
      <c r="HI851">
        <f>IF(ISBLANK('Data Entry'!$ę$851), "", 'Data Entry'!$ę$851)</f>
      </c>
      <c r="HJ851">
        <f>IF(ISBLANK('Data Entry'!$Ě$851), "", 'Data Entry'!$Ě$851)</f>
      </c>
      <c r="HK851">
        <f>IF(ISBLANK('Data Entry'!$ě$851), "", 'Data Entry'!$ě$851)</f>
      </c>
      <c r="HL851">
        <f>IF(ISBLANK('Data Entry'!$Ĝ$851), "", 'Data Entry'!$Ĝ$851)</f>
      </c>
      <c r="HM851">
        <f>IF(ISBLANK('Data Entry'!$ĝ$851), "", 'Data Entry'!$ĝ$851)</f>
      </c>
      <c r="HN851">
        <f>IF(ISBLANK('Data Entry'!$Ğ$851), "", 'Data Entry'!$Ğ$851)</f>
      </c>
      <c r="HO851">
        <f>IF(ISBLANK('Data Entry'!$ğ$851), "", 'Data Entry'!$ğ$851)</f>
      </c>
      <c r="HP851">
        <f>IF(ISBLANK('Data Entry'!$Ġ$851), "", 'Data Entry'!$Ġ$851)</f>
      </c>
      <c r="HQ851">
        <f>IF(ISBLANK('Data Entry'!$ġ$851), "", 'Data Entry'!$ġ$851)</f>
      </c>
      <c r="HR851">
        <f>IF(ISBLANK('Data Entry'!$Ģ$851), "", 'Data Entry'!$Ģ$851)</f>
      </c>
      <c r="HS851">
        <f>IF(ISBLANK('Data Entry'!$ģ$851), "", 'Data Entry'!$ģ$851)</f>
      </c>
      <c r="HT851">
        <f>IF(ISBLANK('Data Entry'!$Ĥ$851), "", 'Data Entry'!$Ĥ$851)</f>
      </c>
      <c r="HU851">
        <f>IF(ISBLANK('Data Entry'!$ĥ$851), "", 'Data Entry'!$ĥ$851)</f>
      </c>
      <c r="HV851">
        <f>IF(ISBLANK('Data Entry'!$Ħ$851), "", 'Data Entry'!$Ħ$851)</f>
      </c>
      <c r="HW851">
        <f>IF(ISBLANK('Data Entry'!$ħ$851), "", 'Data Entry'!$ħ$851)</f>
      </c>
      <c r="HX851">
        <f>IF(ISBLANK('Data Entry'!$Ĩ$851), "", 'Data Entry'!$Ĩ$851)</f>
      </c>
      <c r="HY851">
        <f>IF(ISBLANK('Data Entry'!$ĩ$851), "", 'Data Entry'!$ĩ$851)</f>
      </c>
      <c r="HZ851">
        <f>IF(ISBLANK('Data Entry'!$Ī$851), "", 'Data Entry'!$Ī$851)</f>
      </c>
      <c r="IA851">
        <f>IF(ISBLANK('Data Entry'!$ī$851), "", 'Data Entry'!$ī$851)</f>
      </c>
      <c r="IB851">
        <f>IF(ISBLANK('Data Entry'!$Ĭ$851), "", 'Data Entry'!$Ĭ$851)</f>
      </c>
      <c r="IC851">
        <f>IF(ISBLANK('Data Entry'!$ĭ$851), "", 'Data Entry'!$ĭ$851)</f>
      </c>
      <c r="ID851">
        <f>IF(ISBLANK('Data Entry'!$Į$851), "", 'Data Entry'!$Į$851)</f>
      </c>
      <c r="IE851">
        <f>IF(ISBLANK('Data Entry'!$į$851), "", 'Data Entry'!$į$851)</f>
      </c>
      <c r="IF851">
        <f>IF(ISBLANK('Data Entry'!$İ$851), "", 'Data Entry'!$İ$851)</f>
      </c>
      <c r="IG851">
        <f>IF(ISBLANK('Data Entry'!$ı$851), "", 'Data Entry'!$ı$851)</f>
      </c>
      <c r="IH851">
        <f>IF(ISBLANK('Data Entry'!$Ĳ$851), "", 'Data Entry'!$Ĳ$851)</f>
      </c>
      <c r="II851">
        <f>IF(ISBLANK('Data Entry'!$ĳ$851), "", 'Data Entry'!$ĳ$851)</f>
      </c>
      <c r="IJ851">
        <f>IF(ISBLANK('Data Entry'!$Ĵ$851), "", 'Data Entry'!$Ĵ$851)</f>
      </c>
      <c r="IK851">
        <f>IF(ISBLANK('Data Entry'!$ĵ$851), "", 'Data Entry'!$ĵ$851)</f>
      </c>
      <c r="IL851">
        <f>IF(ISBLANK('Data Entry'!$Ķ$851), "", 'Data Entry'!$Ķ$851)</f>
      </c>
      <c r="IM851">
        <f>IF(ISBLANK('Data Entry'!$ķ$851), "", 'Data Entry'!$ķ$851)</f>
      </c>
      <c r="IN851">
        <f>IF(ISBLANK('Data Entry'!$ĸ$851), "", 'Data Entry'!$ĸ$851)</f>
      </c>
      <c r="IO851">
        <f>IF(ISBLANK('Data Entry'!$Ĺ$851), "", 'Data Entry'!$Ĺ$851)</f>
      </c>
      <c r="IP851">
        <f>IF(ISBLANK('Data Entry'!$ĺ$851), "", 'Data Entry'!$ĺ$851)</f>
      </c>
      <c r="IQ851">
        <f>IF(ISBLANK('Data Entry'!$Ļ$851), "", 'Data Entry'!$Ļ$851)</f>
      </c>
      <c r="IR851">
        <f>IF(ISBLANK('Data Entry'!$ļ$851), "", 'Data Entry'!$ļ$851)</f>
      </c>
      <c r="IS851">
        <f>IF(ISBLANK('Data Entry'!$Ľ$851), "", 'Data Entry'!$Ľ$851)</f>
      </c>
      <c r="IT851">
        <f>IF(ISBLANK('Data Entry'!$ľ$851), "", 'Data Entry'!$ľ$851)</f>
      </c>
    </row>
    <row r="852" spans="1:254" x14ac:dyDescent="0.25">
      <c r="A852">
        <f>IF(ISBLANK('Data Entry'!$A$852), "", 'Data Entry'!$A$852)</f>
      </c>
      <c r="B852">
        <f>IF(ISBLANK('Data Entry'!$B$852), "", 'Data Entry'!$B$852)</f>
      </c>
      <c r="C852">
        <f>IF(ISBLANK('Data Entry'!$C$852), "", 'Data Entry'!$C$852)</f>
      </c>
      <c r="D852">
        <f>IF(ISBLANK('Data Entry'!$D$852), "", 'Data Entry'!$D$852)</f>
      </c>
      <c r="E852">
        <f>IF(ISBLANK('Data Entry'!$E$852), "", 'Data Entry'!$E$852)</f>
      </c>
      <c r="F852">
        <f>IF(ISBLANK('Data Entry'!$F$852), "", 'Data Entry'!$F$852)</f>
      </c>
      <c r="G852">
        <f>IF(ISBLANK('Data Entry'!$G$852), "", 'Data Entry'!$G$852)</f>
      </c>
      <c r="H852">
        <f>IF(ISBLANK('Data Entry'!$H$852), "", 'Data Entry'!$H$852)</f>
      </c>
      <c r="I852">
        <f>IF(ISBLANK('Data Entry'!$I$852), "", 'Data Entry'!$I$852)</f>
      </c>
      <c r="J852">
        <f>IF(ISBLANK('Data Entry'!$J$852), "", 'Data Entry'!$J$852)</f>
      </c>
      <c r="K852">
        <f>IF(ISBLANK('Data Entry'!$K$852), "", 'Data Entry'!$K$852)</f>
      </c>
      <c r="L852">
        <f>IF(ISBLANK('Data Entry'!$L$852), "", 'Data Entry'!$L$852)</f>
      </c>
      <c r="M852">
        <f>IF(ISBLANK('Data Entry'!$M$852), "", 'Data Entry'!$M$852)</f>
      </c>
      <c r="N852">
        <f>IF(ISBLANK('Data Entry'!$N$852), "", 'Data Entry'!$N$852)</f>
      </c>
      <c r="O852">
        <f>IF(ISBLANK('Data Entry'!$O$852), "", 'Data Entry'!$O$852)</f>
      </c>
      <c r="P852">
        <f>IF(ISBLANK('Data Entry'!$P$852), "", 'Data Entry'!$P$852)</f>
      </c>
      <c r="Q852">
        <f>IF(ISBLANK('Data Entry'!$Q$852), "", 'Data Entry'!$Q$852)</f>
      </c>
      <c r="R852">
        <f>IF(ISBLANK('Data Entry'!$R$852), "", 'Data Entry'!$R$852)</f>
      </c>
      <c r="S852">
        <f>IF(ISBLANK('Data Entry'!$S$852), "", 'Data Entry'!$S$852)</f>
      </c>
      <c r="T852">
        <f>IF(ISBLANK('Data Entry'!$T$852), "", 'Data Entry'!$T$852)</f>
      </c>
      <c r="U852">
        <f>IF(ISBLANK('Data Entry'!$U$852), "", 'Data Entry'!$U$852)</f>
      </c>
      <c r="V852">
        <f>IF(ISBLANK('Data Entry'!$V$852), "", 'Data Entry'!$V$852)</f>
      </c>
      <c r="W852">
        <f>IF(ISBLANK('Data Entry'!$W$852), "", 'Data Entry'!$W$852)</f>
      </c>
      <c r="X852">
        <f>IF(ISBLANK('Data Entry'!$X$852), "", 'Data Entry'!$X$852)</f>
      </c>
      <c r="Y852">
        <f>IF(ISBLANK('Data Entry'!$Y$852), "", 'Data Entry'!$Y$852)</f>
      </c>
      <c r="Z852">
        <f>IF(ISBLANK('Data Entry'!$Z$852), "", 'Data Entry'!$Z$852)</f>
      </c>
      <c r="AA852">
        <f>IF(ISBLANK('Data Entry'!$[$852), "", 'Data Entry'!$[$852)</f>
      </c>
      <c r="AB852">
        <f>IF(ISBLANK('Data Entry'!$\$852), "", 'Data Entry'!$\$852)</f>
      </c>
      <c r="AC852">
        <f>IF(ISBLANK('Data Entry'!$]$852), "", 'Data Entry'!$]$852)</f>
      </c>
      <c r="AD852">
        <f>IF(ISBLANK('Data Entry'!$^$852), "", 'Data Entry'!$^$852)</f>
      </c>
      <c r="AE852">
        <f>IF(ISBLANK('Data Entry'!$_$852), "", 'Data Entry'!$_$852)</f>
      </c>
      <c r="AF852">
        <f>IF(ISBLANK('Data Entry'!$`$852), "", 'Data Entry'!$`$852)</f>
      </c>
      <c r="AG852">
        <f>IF(ISBLANK('Data Entry'!$a$852), "", 'Data Entry'!$a$852)</f>
      </c>
      <c r="AH852">
        <f>IF(ISBLANK('Data Entry'!$b$852), "", 'Data Entry'!$b$852)</f>
      </c>
      <c r="AI852">
        <f>IF(ISBLANK('Data Entry'!$c$852), "", 'Data Entry'!$c$852)</f>
      </c>
      <c r="AJ852">
        <f>IF(ISBLANK('Data Entry'!$d$852), "", 'Data Entry'!$d$852)</f>
      </c>
      <c r="AK852">
        <f>IF(ISBLANK('Data Entry'!$e$852), "", 'Data Entry'!$e$852)</f>
      </c>
      <c r="AL852">
        <f>IF(ISBLANK('Data Entry'!$f$852), "", 'Data Entry'!$f$852)</f>
      </c>
      <c r="AM852">
        <f>IF(ISBLANK('Data Entry'!$g$852), "", 'Data Entry'!$g$852)</f>
      </c>
      <c r="AN852">
        <f>IF(ISBLANK('Data Entry'!$h$852), "", 'Data Entry'!$h$852)</f>
      </c>
      <c r="AO852">
        <f>IF(ISBLANK('Data Entry'!$i$852), "", 'Data Entry'!$i$852)</f>
      </c>
      <c r="AP852">
        <f>IF(ISBLANK('Data Entry'!$j$852), "", 'Data Entry'!$j$852)</f>
      </c>
      <c r="AQ852">
        <f>IF(ISBLANK('Data Entry'!$k$852), "", 'Data Entry'!$k$852)</f>
      </c>
      <c r="AR852">
        <f>IF(ISBLANK('Data Entry'!$l$852), "", 'Data Entry'!$l$852)</f>
      </c>
      <c r="AS852">
        <f>IF(ISBLANK('Data Entry'!$m$852), "", 'Data Entry'!$m$852)</f>
      </c>
      <c r="AT852">
        <f>IF(ISBLANK('Data Entry'!$n$852), "", 'Data Entry'!$n$852)</f>
      </c>
      <c r="AU852">
        <f>IF(ISBLANK('Data Entry'!$o$852), "", 'Data Entry'!$o$852)</f>
      </c>
      <c r="AV852">
        <f>IF(ISBLANK('Data Entry'!$p$852), "", 'Data Entry'!$p$852)</f>
      </c>
      <c r="AW852">
        <f>IF(ISBLANK('Data Entry'!$q$852), "", 'Data Entry'!$q$852)</f>
      </c>
      <c r="AX852">
        <f>IF(ISBLANK('Data Entry'!$r$852), "", 'Data Entry'!$r$852)</f>
      </c>
      <c r="AY852">
        <f>IF(ISBLANK('Data Entry'!$s$852), "", 'Data Entry'!$s$852)</f>
      </c>
      <c r="AZ852">
        <f>IF(ISBLANK('Data Entry'!$t$852), "", 'Data Entry'!$t$852)</f>
      </c>
      <c r="BA852">
        <f>IF(ISBLANK('Data Entry'!$u$852), "", 'Data Entry'!$u$852)</f>
      </c>
      <c r="BB852">
        <f>IF(ISBLANK('Data Entry'!$v$852), "", 'Data Entry'!$v$852)</f>
      </c>
      <c r="BC852">
        <f>IF(ISBLANK('Data Entry'!$w$852), "", 'Data Entry'!$w$852)</f>
      </c>
      <c r="BD852">
        <f>IF(ISBLANK('Data Entry'!$x$852), "", 'Data Entry'!$x$852)</f>
      </c>
      <c r="BE852">
        <f>IF(ISBLANK('Data Entry'!$y$852), "", 'Data Entry'!$y$852)</f>
      </c>
      <c r="BF852">
        <f>IF(ISBLANK('Data Entry'!$z$852), "", 'Data Entry'!$z$852)</f>
      </c>
      <c r="BG852">
        <f>IF(ISBLANK('Data Entry'!${$852), "", 'Data Entry'!${$852)</f>
      </c>
      <c r="BH852">
        <f>IF(ISBLANK('Data Entry'!$|$852), "", 'Data Entry'!$|$852)</f>
      </c>
      <c r="BI852">
        <f>IF(ISBLANK('Data Entry'!$}$852), "", 'Data Entry'!$}$852)</f>
      </c>
      <c r="BJ852">
        <f>IF(ISBLANK('Data Entry'!$~$852), "", 'Data Entry'!$~$852)</f>
      </c>
      <c r="BK852">
        <f>IF(ISBLANK('Data Entry'!$$852), "", 'Data Entry'!$$852)</f>
      </c>
      <c r="BL852">
        <f>IF(ISBLANK('Data Entry'!$$852), "", 'Data Entry'!$$852)</f>
      </c>
      <c r="BM852">
        <f>IF(ISBLANK('Data Entry'!$$852), "", 'Data Entry'!$$852)</f>
      </c>
      <c r="BN852">
        <f>IF(ISBLANK('Data Entry'!$$852), "", 'Data Entry'!$$852)</f>
      </c>
      <c r="BO852">
        <f>IF(ISBLANK('Data Entry'!$$852), "", 'Data Entry'!$$852)</f>
      </c>
      <c r="BP852">
        <f>IF(ISBLANK('Data Entry'!$$852), "", 'Data Entry'!$$852)</f>
      </c>
      <c r="BQ852">
        <f>IF(ISBLANK('Data Entry'!$$852), "", 'Data Entry'!$$852)</f>
      </c>
      <c r="BR852">
        <f>IF(ISBLANK('Data Entry'!$$852), "", 'Data Entry'!$$852)</f>
      </c>
      <c r="BS852">
        <f>IF(ISBLANK('Data Entry'!$$852), "", 'Data Entry'!$$852)</f>
      </c>
      <c r="BT852">
        <f>IF(ISBLANK('Data Entry'!$$852), "", 'Data Entry'!$$852)</f>
      </c>
      <c r="BU852">
        <f>IF(ISBLANK('Data Entry'!$$852), "", 'Data Entry'!$$852)</f>
      </c>
      <c r="BV852">
        <f>IF(ISBLANK('Data Entry'!$$852), "", 'Data Entry'!$$852)</f>
      </c>
      <c r="BW852">
        <f>IF(ISBLANK('Data Entry'!$$852), "", 'Data Entry'!$$852)</f>
      </c>
      <c r="BX852">
        <f>IF(ISBLANK('Data Entry'!$$852), "", 'Data Entry'!$$852)</f>
      </c>
      <c r="BY852">
        <f>IF(ISBLANK('Data Entry'!$$852), "", 'Data Entry'!$$852)</f>
      </c>
      <c r="BZ852">
        <f>IF(ISBLANK('Data Entry'!$$852), "", 'Data Entry'!$$852)</f>
      </c>
      <c r="CA852">
        <f>IF(ISBLANK('Data Entry'!$$852), "", 'Data Entry'!$$852)</f>
      </c>
      <c r="CB852">
        <f>IF(ISBLANK('Data Entry'!$$852), "", 'Data Entry'!$$852)</f>
      </c>
      <c r="CC852">
        <f>IF(ISBLANK('Data Entry'!$$852), "", 'Data Entry'!$$852)</f>
      </c>
      <c r="CD852">
        <f>IF(ISBLANK('Data Entry'!$$852), "", 'Data Entry'!$$852)</f>
      </c>
      <c r="CE852">
        <f>IF(ISBLANK('Data Entry'!$$852), "", 'Data Entry'!$$852)</f>
      </c>
      <c r="CF852">
        <f>IF(ISBLANK('Data Entry'!$$852), "", 'Data Entry'!$$852)</f>
      </c>
      <c r="CG852">
        <f>IF(ISBLANK('Data Entry'!$$852), "", 'Data Entry'!$$852)</f>
      </c>
      <c r="CH852">
        <f>IF(ISBLANK('Data Entry'!$$852), "", 'Data Entry'!$$852)</f>
      </c>
      <c r="CI852">
        <f>IF(ISBLANK('Data Entry'!$$852), "", 'Data Entry'!$$852)</f>
      </c>
      <c r="CJ852">
        <f>IF(ISBLANK('Data Entry'!$$852), "", 'Data Entry'!$$852)</f>
      </c>
      <c r="CK852">
        <f>IF(ISBLANK('Data Entry'!$$852), "", 'Data Entry'!$$852)</f>
      </c>
      <c r="CL852">
        <f>IF(ISBLANK('Data Entry'!$$852), "", 'Data Entry'!$$852)</f>
      </c>
      <c r="CM852">
        <f>IF(ISBLANK('Data Entry'!$$852), "", 'Data Entry'!$$852)</f>
      </c>
      <c r="CN852">
        <f>IF(ISBLANK('Data Entry'!$$852), "", 'Data Entry'!$$852)</f>
      </c>
      <c r="CO852">
        <f>IF(ISBLANK('Data Entry'!$$852), "", 'Data Entry'!$$852)</f>
      </c>
      <c r="CP852">
        <f>IF(ISBLANK('Data Entry'!$$852), "", 'Data Entry'!$$852)</f>
      </c>
      <c r="CQ852">
        <f>IF(ISBLANK('Data Entry'!$$852), "", 'Data Entry'!$$852)</f>
      </c>
      <c r="CR852">
        <f>IF(ISBLANK('Data Entry'!$ $852), "", 'Data Entry'!$ $852)</f>
      </c>
      <c r="CS852">
        <f>IF(ISBLANK('Data Entry'!$¡$852), "", 'Data Entry'!$¡$852)</f>
      </c>
      <c r="CT852">
        <f>IF(ISBLANK('Data Entry'!$¢$852), "", 'Data Entry'!$¢$852)</f>
      </c>
      <c r="CU852">
        <f>IF(ISBLANK('Data Entry'!$£$852), "", 'Data Entry'!$£$852)</f>
      </c>
      <c r="CV852">
        <f>IF(ISBLANK('Data Entry'!$¤$852), "", 'Data Entry'!$¤$852)</f>
      </c>
      <c r="CW852">
        <f>IF(ISBLANK('Data Entry'!$¥$852), "", 'Data Entry'!$¥$852)</f>
      </c>
      <c r="CX852">
        <f>IF(ISBLANK('Data Entry'!$¦$852), "", 'Data Entry'!$¦$852)</f>
      </c>
      <c r="CY852">
        <f>IF(ISBLANK('Data Entry'!$§$852), "", 'Data Entry'!$§$852)</f>
      </c>
      <c r="CZ852">
        <f>IF(ISBLANK('Data Entry'!$¨$852), "", 'Data Entry'!$¨$852)</f>
      </c>
      <c r="DA852">
        <f>IF(ISBLANK('Data Entry'!$©$852), "", 'Data Entry'!$©$852)</f>
      </c>
      <c r="DB852">
        <f>IF(ISBLANK('Data Entry'!$ª$852), "", 'Data Entry'!$ª$852)</f>
      </c>
      <c r="DC852">
        <f>IF(ISBLANK('Data Entry'!$«$852), "", 'Data Entry'!$«$852)</f>
      </c>
      <c r="DD852">
        <f>IF(ISBLANK('Data Entry'!$¬$852), "", 'Data Entry'!$¬$852)</f>
      </c>
      <c r="DE852">
        <f>IF(ISBLANK('Data Entry'!$­$852), "", 'Data Entry'!$­$852)</f>
      </c>
      <c r="DF852">
        <f>IF(ISBLANK('Data Entry'!$®$852), "", 'Data Entry'!$®$852)</f>
      </c>
      <c r="DG852">
        <f>IF(ISBLANK('Data Entry'!$¯$852), "", 'Data Entry'!$¯$852)</f>
      </c>
      <c r="DH852">
        <f>IF(ISBLANK('Data Entry'!$°$852), "", 'Data Entry'!$°$852)</f>
      </c>
      <c r="DI852">
        <f>IF(ISBLANK('Data Entry'!$±$852), "", 'Data Entry'!$±$852)</f>
      </c>
      <c r="DJ852">
        <f>IF(ISBLANK('Data Entry'!$²$852), "", 'Data Entry'!$²$852)</f>
      </c>
      <c r="DK852">
        <f>IF(ISBLANK('Data Entry'!$³$852), "", 'Data Entry'!$³$852)</f>
      </c>
      <c r="DL852">
        <f>IF(ISBLANK('Data Entry'!$´$852), "", 'Data Entry'!$´$852)</f>
      </c>
      <c r="DM852">
        <f>IF(ISBLANK('Data Entry'!$µ$852), "", 'Data Entry'!$µ$852)</f>
      </c>
      <c r="DN852">
        <f>IF(ISBLANK('Data Entry'!$¶$852), "", 'Data Entry'!$¶$852)</f>
      </c>
      <c r="DO852">
        <f>IF(ISBLANK('Data Entry'!$·$852), "", 'Data Entry'!$·$852)</f>
      </c>
      <c r="DP852">
        <f>IF(ISBLANK('Data Entry'!$¸$852), "", 'Data Entry'!$¸$852)</f>
      </c>
      <c r="DQ852">
        <f>IF(ISBLANK('Data Entry'!$¹$852), "", 'Data Entry'!$¹$852)</f>
      </c>
      <c r="DR852">
        <f>IF(ISBLANK('Data Entry'!$º$852), "", 'Data Entry'!$º$852)</f>
      </c>
      <c r="DS852">
        <f>IF(ISBLANK('Data Entry'!$»$852), "", 'Data Entry'!$»$852)</f>
      </c>
      <c r="DT852">
        <f>IF(ISBLANK('Data Entry'!$¼$852), "", 'Data Entry'!$¼$852)</f>
      </c>
      <c r="DU852">
        <f>IF(ISBLANK('Data Entry'!$½$852), "", 'Data Entry'!$½$852)</f>
      </c>
      <c r="DV852">
        <f>IF(ISBLANK('Data Entry'!$¾$852), "", 'Data Entry'!$¾$852)</f>
      </c>
      <c r="DW852">
        <f>IF(ISBLANK('Data Entry'!$¿$852), "", 'Data Entry'!$¿$852)</f>
      </c>
      <c r="DX852">
        <f>IF(ISBLANK('Data Entry'!$À$852), "", 'Data Entry'!$À$852)</f>
      </c>
      <c r="DY852">
        <f>IF(ISBLANK('Data Entry'!$Á$852), "", 'Data Entry'!$Á$852)</f>
      </c>
      <c r="DZ852">
        <f>IF(ISBLANK('Data Entry'!$Â$852), "", 'Data Entry'!$Â$852)</f>
      </c>
      <c r="EA852">
        <f>IF(ISBLANK('Data Entry'!$Ã$852), "", 'Data Entry'!$Ã$852)</f>
      </c>
      <c r="EB852">
        <f>IF(ISBLANK('Data Entry'!$Ä$852), "", 'Data Entry'!$Ä$852)</f>
      </c>
      <c r="EC852">
        <f>IF(ISBLANK('Data Entry'!$Å$852), "", 'Data Entry'!$Å$852)</f>
      </c>
      <c r="ED852">
        <f>IF(ISBLANK('Data Entry'!$Æ$852), "", 'Data Entry'!$Æ$852)</f>
      </c>
      <c r="EE852">
        <f>IF(ISBLANK('Data Entry'!$Ç$852), "", 'Data Entry'!$Ç$852)</f>
      </c>
      <c r="EF852">
        <f>IF(ISBLANK('Data Entry'!$È$852), "", 'Data Entry'!$È$852)</f>
      </c>
      <c r="EG852">
        <f>IF(ISBLANK('Data Entry'!$É$852), "", 'Data Entry'!$É$852)</f>
      </c>
      <c r="EH852">
        <f>IF(ISBLANK('Data Entry'!$Ê$852), "", 'Data Entry'!$Ê$852)</f>
      </c>
      <c r="EI852">
        <f>IF(ISBLANK('Data Entry'!$Ë$852), "", 'Data Entry'!$Ë$852)</f>
      </c>
      <c r="EJ852">
        <f>IF(ISBLANK('Data Entry'!$Ì$852), "", 'Data Entry'!$Ì$852)</f>
      </c>
      <c r="EK852">
        <f>IF(ISBLANK('Data Entry'!$Í$852), "", 'Data Entry'!$Í$852)</f>
      </c>
      <c r="EL852">
        <f>IF(ISBLANK('Data Entry'!$Î$852), "", 'Data Entry'!$Î$852)</f>
      </c>
      <c r="EM852">
        <f>IF(ISBLANK('Data Entry'!$Ï$852), "", 'Data Entry'!$Ï$852)</f>
      </c>
      <c r="EN852">
        <f>IF(ISBLANK('Data Entry'!$Ð$852), "", 'Data Entry'!$Ð$852)</f>
      </c>
      <c r="EO852">
        <f>IF(ISBLANK('Data Entry'!$Ñ$852), "", 'Data Entry'!$Ñ$852)</f>
      </c>
      <c r="EP852">
        <f>IF(ISBLANK('Data Entry'!$Ò$852), "", 'Data Entry'!$Ò$852)</f>
      </c>
      <c r="EQ852">
        <f>IF(ISBLANK('Data Entry'!$Ó$852), "", 'Data Entry'!$Ó$852)</f>
      </c>
      <c r="ER852">
        <f>IF(ISBLANK('Data Entry'!$Ô$852), "", 'Data Entry'!$Ô$852)</f>
      </c>
      <c r="ES852">
        <f>IF(ISBLANK('Data Entry'!$Õ$852), "", 'Data Entry'!$Õ$852)</f>
      </c>
      <c r="ET852">
        <f>IF(ISBLANK('Data Entry'!$Ö$852), "", 'Data Entry'!$Ö$852)</f>
      </c>
      <c r="EU852">
        <f>IF(ISBLANK('Data Entry'!$×$852), "", 'Data Entry'!$×$852)</f>
      </c>
      <c r="EV852">
        <f>IF(ISBLANK('Data Entry'!$Ø$852), "", 'Data Entry'!$Ø$852)</f>
      </c>
      <c r="EW852">
        <f>IF(ISBLANK('Data Entry'!$Ù$852), "", 'Data Entry'!$Ù$852)</f>
      </c>
      <c r="EX852">
        <f>IF(ISBLANK('Data Entry'!$Ú$852), "", 'Data Entry'!$Ú$852)</f>
      </c>
      <c r="EY852">
        <f>IF(ISBLANK('Data Entry'!$Û$852), "", 'Data Entry'!$Û$852)</f>
      </c>
      <c r="EZ852">
        <f>IF(ISBLANK('Data Entry'!$Ü$852), "", 'Data Entry'!$Ü$852)</f>
      </c>
      <c r="FA852">
        <f>IF(ISBLANK('Data Entry'!$Ý$852), "", 'Data Entry'!$Ý$852)</f>
      </c>
      <c r="FB852">
        <f>IF(ISBLANK('Data Entry'!$Þ$852), "", 'Data Entry'!$Þ$852)</f>
      </c>
      <c r="FC852">
        <f>IF(ISBLANK('Data Entry'!$ß$852), "", 'Data Entry'!$ß$852)</f>
      </c>
      <c r="FD852">
        <f>IF(ISBLANK('Data Entry'!$à$852), "", 'Data Entry'!$à$852)</f>
      </c>
      <c r="FE852">
        <f>IF(ISBLANK('Data Entry'!$á$852), "", 'Data Entry'!$á$852)</f>
      </c>
      <c r="FF852">
        <f>IF(ISBLANK('Data Entry'!$â$852), "", 'Data Entry'!$â$852)</f>
      </c>
      <c r="FG852">
        <f>IF(ISBLANK('Data Entry'!$ã$852), "", 'Data Entry'!$ã$852)</f>
      </c>
      <c r="FH852">
        <f>IF(ISBLANK('Data Entry'!$ä$852), "", 'Data Entry'!$ä$852)</f>
      </c>
      <c r="FI852">
        <f>IF(ISBLANK('Data Entry'!$å$852), "", 'Data Entry'!$å$852)</f>
      </c>
      <c r="FJ852">
        <f>IF(ISBLANK('Data Entry'!$æ$852), "", 'Data Entry'!$æ$852)</f>
      </c>
      <c r="FK852">
        <f>IF(ISBLANK('Data Entry'!$ç$852), "", 'Data Entry'!$ç$852)</f>
      </c>
      <c r="FL852">
        <f>IF(ISBLANK('Data Entry'!$è$852), "", 'Data Entry'!$è$852)</f>
      </c>
      <c r="FM852">
        <f>IF(ISBLANK('Data Entry'!$é$852), "", 'Data Entry'!$é$852)</f>
      </c>
      <c r="FN852">
        <f>IF(ISBLANK('Data Entry'!$ê$852), "", 'Data Entry'!$ê$852)</f>
      </c>
      <c r="FO852">
        <f>IF(ISBLANK('Data Entry'!$ë$852), "", 'Data Entry'!$ë$852)</f>
      </c>
      <c r="FP852">
        <f>IF(ISBLANK('Data Entry'!$ì$852), "", 'Data Entry'!$ì$852)</f>
      </c>
      <c r="FQ852">
        <f>IF(ISBLANK('Data Entry'!$í$852), "", 'Data Entry'!$í$852)</f>
      </c>
      <c r="FR852">
        <f>IF(ISBLANK('Data Entry'!$î$852), "", 'Data Entry'!$î$852)</f>
      </c>
      <c r="FS852">
        <f>IF(ISBLANK('Data Entry'!$ï$852), "", 'Data Entry'!$ï$852)</f>
      </c>
      <c r="FT852">
        <f>IF(ISBLANK('Data Entry'!$ð$852), "", 'Data Entry'!$ð$852)</f>
      </c>
      <c r="FU852">
        <f>IF(ISBLANK('Data Entry'!$ñ$852), "", 'Data Entry'!$ñ$852)</f>
      </c>
      <c r="FV852">
        <f>IF(ISBLANK('Data Entry'!$ò$852), "", 'Data Entry'!$ò$852)</f>
      </c>
      <c r="FW852">
        <f>IF(ISBLANK('Data Entry'!$ó$852), "", 'Data Entry'!$ó$852)</f>
      </c>
      <c r="FX852">
        <f>IF(ISBLANK('Data Entry'!$ô$852), "", 'Data Entry'!$ô$852)</f>
      </c>
      <c r="FY852">
        <f>IF(ISBLANK('Data Entry'!$õ$852), "", 'Data Entry'!$õ$852)</f>
      </c>
      <c r="FZ852">
        <f>IF(ISBLANK('Data Entry'!$ö$852), "", 'Data Entry'!$ö$852)</f>
      </c>
      <c r="GA852">
        <f>IF(ISBLANK('Data Entry'!$÷$852), "", 'Data Entry'!$÷$852)</f>
      </c>
      <c r="GB852">
        <f>IF(ISBLANK('Data Entry'!$ø$852), "", 'Data Entry'!$ø$852)</f>
      </c>
      <c r="GC852">
        <f>IF(ISBLANK('Data Entry'!$ù$852), "", 'Data Entry'!$ù$852)</f>
      </c>
      <c r="GD852">
        <f>IF(ISBLANK('Data Entry'!$ú$852), "", 'Data Entry'!$ú$852)</f>
      </c>
      <c r="GE852">
        <f>IF(ISBLANK('Data Entry'!$û$852), "", 'Data Entry'!$û$852)</f>
      </c>
      <c r="GF852">
        <f>IF(ISBLANK('Data Entry'!$ü$852), "", 'Data Entry'!$ü$852)</f>
      </c>
      <c r="GG852">
        <f>IF(ISBLANK('Data Entry'!$ý$852), "", 'Data Entry'!$ý$852)</f>
      </c>
      <c r="GH852">
        <f>IF(ISBLANK('Data Entry'!$þ$852), "", 'Data Entry'!$þ$852)</f>
      </c>
      <c r="GI852">
        <f>IF(ISBLANK('Data Entry'!$ÿ$852), "", 'Data Entry'!$ÿ$852)</f>
      </c>
      <c r="GJ852">
        <f>IF(ISBLANK('Data Entry'!$Ā$852), "", 'Data Entry'!$Ā$852)</f>
      </c>
      <c r="GK852">
        <f>IF(ISBLANK('Data Entry'!$ā$852), "", 'Data Entry'!$ā$852)</f>
      </c>
      <c r="GL852">
        <f>IF(ISBLANK('Data Entry'!$Ă$852), "", 'Data Entry'!$Ă$852)</f>
      </c>
      <c r="GM852">
        <f>IF(ISBLANK('Data Entry'!$ă$852), "", 'Data Entry'!$ă$852)</f>
      </c>
      <c r="GN852">
        <f>IF(ISBLANK('Data Entry'!$Ą$852), "", 'Data Entry'!$Ą$852)</f>
      </c>
      <c r="GO852">
        <f>IF(ISBLANK('Data Entry'!$ą$852), "", 'Data Entry'!$ą$852)</f>
      </c>
      <c r="GP852">
        <f>IF(ISBLANK('Data Entry'!$Ć$852), "", 'Data Entry'!$Ć$852)</f>
      </c>
      <c r="GQ852">
        <f>IF(ISBLANK('Data Entry'!$ć$852), "", 'Data Entry'!$ć$852)</f>
      </c>
      <c r="GR852">
        <f>IF(ISBLANK('Data Entry'!$Ĉ$852), "", 'Data Entry'!$Ĉ$852)</f>
      </c>
      <c r="GS852">
        <f>IF(ISBLANK('Data Entry'!$ĉ$852), "", 'Data Entry'!$ĉ$852)</f>
      </c>
      <c r="GT852">
        <f>IF(ISBLANK('Data Entry'!$Ċ$852), "", 'Data Entry'!$Ċ$852)</f>
      </c>
      <c r="GU852">
        <f>IF(ISBLANK('Data Entry'!$ċ$852), "", 'Data Entry'!$ċ$852)</f>
      </c>
      <c r="GV852">
        <f>IF(ISBLANK('Data Entry'!$Č$852), "", 'Data Entry'!$Č$852)</f>
      </c>
      <c r="GW852">
        <f>IF(ISBLANK('Data Entry'!$č$852), "", 'Data Entry'!$č$852)</f>
      </c>
      <c r="GX852">
        <f>IF(ISBLANK('Data Entry'!$Ď$852), "", 'Data Entry'!$Ď$852)</f>
      </c>
      <c r="GY852">
        <f>IF(ISBLANK('Data Entry'!$ď$852), "", 'Data Entry'!$ď$852)</f>
      </c>
      <c r="GZ852">
        <f>IF(ISBLANK('Data Entry'!$Đ$852), "", 'Data Entry'!$Đ$852)</f>
      </c>
      <c r="HA852">
        <f>IF(ISBLANK('Data Entry'!$đ$852), "", 'Data Entry'!$đ$852)</f>
      </c>
      <c r="HB852">
        <f>IF(ISBLANK('Data Entry'!$Ē$852), "", 'Data Entry'!$Ē$852)</f>
      </c>
      <c r="HC852">
        <f>IF(ISBLANK('Data Entry'!$ē$852), "", 'Data Entry'!$ē$852)</f>
      </c>
      <c r="HD852">
        <f>IF(ISBLANK('Data Entry'!$Ĕ$852), "", 'Data Entry'!$Ĕ$852)</f>
      </c>
      <c r="HE852">
        <f>IF(ISBLANK('Data Entry'!$ĕ$852), "", 'Data Entry'!$ĕ$852)</f>
      </c>
      <c r="HF852">
        <f>IF(ISBLANK('Data Entry'!$Ė$852), "", 'Data Entry'!$Ė$852)</f>
      </c>
      <c r="HG852">
        <f>IF(ISBLANK('Data Entry'!$ė$852), "", 'Data Entry'!$ė$852)</f>
      </c>
      <c r="HH852">
        <f>IF(ISBLANK('Data Entry'!$Ę$852), "", 'Data Entry'!$Ę$852)</f>
      </c>
      <c r="HI852">
        <f>IF(ISBLANK('Data Entry'!$ę$852), "", 'Data Entry'!$ę$852)</f>
      </c>
      <c r="HJ852">
        <f>IF(ISBLANK('Data Entry'!$Ě$852), "", 'Data Entry'!$Ě$852)</f>
      </c>
      <c r="HK852">
        <f>IF(ISBLANK('Data Entry'!$ě$852), "", 'Data Entry'!$ě$852)</f>
      </c>
      <c r="HL852">
        <f>IF(ISBLANK('Data Entry'!$Ĝ$852), "", 'Data Entry'!$Ĝ$852)</f>
      </c>
      <c r="HM852">
        <f>IF(ISBLANK('Data Entry'!$ĝ$852), "", 'Data Entry'!$ĝ$852)</f>
      </c>
      <c r="HN852">
        <f>IF(ISBLANK('Data Entry'!$Ğ$852), "", 'Data Entry'!$Ğ$852)</f>
      </c>
      <c r="HO852">
        <f>IF(ISBLANK('Data Entry'!$ğ$852), "", 'Data Entry'!$ğ$852)</f>
      </c>
      <c r="HP852">
        <f>IF(ISBLANK('Data Entry'!$Ġ$852), "", 'Data Entry'!$Ġ$852)</f>
      </c>
      <c r="HQ852">
        <f>IF(ISBLANK('Data Entry'!$ġ$852), "", 'Data Entry'!$ġ$852)</f>
      </c>
      <c r="HR852">
        <f>IF(ISBLANK('Data Entry'!$Ģ$852), "", 'Data Entry'!$Ģ$852)</f>
      </c>
      <c r="HS852">
        <f>IF(ISBLANK('Data Entry'!$ģ$852), "", 'Data Entry'!$ģ$852)</f>
      </c>
      <c r="HT852">
        <f>IF(ISBLANK('Data Entry'!$Ĥ$852), "", 'Data Entry'!$Ĥ$852)</f>
      </c>
      <c r="HU852">
        <f>IF(ISBLANK('Data Entry'!$ĥ$852), "", 'Data Entry'!$ĥ$852)</f>
      </c>
      <c r="HV852">
        <f>IF(ISBLANK('Data Entry'!$Ħ$852), "", 'Data Entry'!$Ħ$852)</f>
      </c>
      <c r="HW852">
        <f>IF(ISBLANK('Data Entry'!$ħ$852), "", 'Data Entry'!$ħ$852)</f>
      </c>
      <c r="HX852">
        <f>IF(ISBLANK('Data Entry'!$Ĩ$852), "", 'Data Entry'!$Ĩ$852)</f>
      </c>
      <c r="HY852">
        <f>IF(ISBLANK('Data Entry'!$ĩ$852), "", 'Data Entry'!$ĩ$852)</f>
      </c>
      <c r="HZ852">
        <f>IF(ISBLANK('Data Entry'!$Ī$852), "", 'Data Entry'!$Ī$852)</f>
      </c>
      <c r="IA852">
        <f>IF(ISBLANK('Data Entry'!$ī$852), "", 'Data Entry'!$ī$852)</f>
      </c>
      <c r="IB852">
        <f>IF(ISBLANK('Data Entry'!$Ĭ$852), "", 'Data Entry'!$Ĭ$852)</f>
      </c>
      <c r="IC852">
        <f>IF(ISBLANK('Data Entry'!$ĭ$852), "", 'Data Entry'!$ĭ$852)</f>
      </c>
      <c r="ID852">
        <f>IF(ISBLANK('Data Entry'!$Į$852), "", 'Data Entry'!$Į$852)</f>
      </c>
      <c r="IE852">
        <f>IF(ISBLANK('Data Entry'!$į$852), "", 'Data Entry'!$į$852)</f>
      </c>
      <c r="IF852">
        <f>IF(ISBLANK('Data Entry'!$İ$852), "", 'Data Entry'!$İ$852)</f>
      </c>
      <c r="IG852">
        <f>IF(ISBLANK('Data Entry'!$ı$852), "", 'Data Entry'!$ı$852)</f>
      </c>
      <c r="IH852">
        <f>IF(ISBLANK('Data Entry'!$Ĳ$852), "", 'Data Entry'!$Ĳ$852)</f>
      </c>
      <c r="II852">
        <f>IF(ISBLANK('Data Entry'!$ĳ$852), "", 'Data Entry'!$ĳ$852)</f>
      </c>
      <c r="IJ852">
        <f>IF(ISBLANK('Data Entry'!$Ĵ$852), "", 'Data Entry'!$Ĵ$852)</f>
      </c>
      <c r="IK852">
        <f>IF(ISBLANK('Data Entry'!$ĵ$852), "", 'Data Entry'!$ĵ$852)</f>
      </c>
      <c r="IL852">
        <f>IF(ISBLANK('Data Entry'!$Ķ$852), "", 'Data Entry'!$Ķ$852)</f>
      </c>
      <c r="IM852">
        <f>IF(ISBLANK('Data Entry'!$ķ$852), "", 'Data Entry'!$ķ$852)</f>
      </c>
      <c r="IN852">
        <f>IF(ISBLANK('Data Entry'!$ĸ$852), "", 'Data Entry'!$ĸ$852)</f>
      </c>
      <c r="IO852">
        <f>IF(ISBLANK('Data Entry'!$Ĺ$852), "", 'Data Entry'!$Ĺ$852)</f>
      </c>
      <c r="IP852">
        <f>IF(ISBLANK('Data Entry'!$ĺ$852), "", 'Data Entry'!$ĺ$852)</f>
      </c>
      <c r="IQ852">
        <f>IF(ISBLANK('Data Entry'!$Ļ$852), "", 'Data Entry'!$Ļ$852)</f>
      </c>
      <c r="IR852">
        <f>IF(ISBLANK('Data Entry'!$ļ$852), "", 'Data Entry'!$ļ$852)</f>
      </c>
      <c r="IS852">
        <f>IF(ISBLANK('Data Entry'!$Ľ$852), "", 'Data Entry'!$Ľ$852)</f>
      </c>
      <c r="IT852">
        <f>IF(ISBLANK('Data Entry'!$ľ$852), "", 'Data Entry'!$ľ$852)</f>
      </c>
    </row>
    <row r="853" spans="1:254" x14ac:dyDescent="0.25">
      <c r="A853">
        <f>IF(ISBLANK('Data Entry'!$A$853), "", 'Data Entry'!$A$853)</f>
      </c>
      <c r="B853">
        <f>IF(ISBLANK('Data Entry'!$B$853), "", 'Data Entry'!$B$853)</f>
      </c>
      <c r="C853">
        <f>IF(ISBLANK('Data Entry'!$C$853), "", 'Data Entry'!$C$853)</f>
      </c>
      <c r="D853">
        <f>IF(ISBLANK('Data Entry'!$D$853), "", 'Data Entry'!$D$853)</f>
      </c>
      <c r="E853">
        <f>IF(ISBLANK('Data Entry'!$E$853), "", 'Data Entry'!$E$853)</f>
      </c>
      <c r="F853">
        <f>IF(ISBLANK('Data Entry'!$F$853), "", 'Data Entry'!$F$853)</f>
      </c>
      <c r="G853">
        <f>IF(ISBLANK('Data Entry'!$G$853), "", 'Data Entry'!$G$853)</f>
      </c>
      <c r="H853">
        <f>IF(ISBLANK('Data Entry'!$H$853), "", 'Data Entry'!$H$853)</f>
      </c>
      <c r="I853">
        <f>IF(ISBLANK('Data Entry'!$I$853), "", 'Data Entry'!$I$853)</f>
      </c>
      <c r="J853">
        <f>IF(ISBLANK('Data Entry'!$J$853), "", 'Data Entry'!$J$853)</f>
      </c>
      <c r="K853">
        <f>IF(ISBLANK('Data Entry'!$K$853), "", 'Data Entry'!$K$853)</f>
      </c>
      <c r="L853">
        <f>IF(ISBLANK('Data Entry'!$L$853), "", 'Data Entry'!$L$853)</f>
      </c>
      <c r="M853">
        <f>IF(ISBLANK('Data Entry'!$M$853), "", 'Data Entry'!$M$853)</f>
      </c>
      <c r="N853">
        <f>IF(ISBLANK('Data Entry'!$N$853), "", 'Data Entry'!$N$853)</f>
      </c>
      <c r="O853">
        <f>IF(ISBLANK('Data Entry'!$O$853), "", 'Data Entry'!$O$853)</f>
      </c>
      <c r="P853">
        <f>IF(ISBLANK('Data Entry'!$P$853), "", 'Data Entry'!$P$853)</f>
      </c>
      <c r="Q853">
        <f>IF(ISBLANK('Data Entry'!$Q$853), "", 'Data Entry'!$Q$853)</f>
      </c>
      <c r="R853">
        <f>IF(ISBLANK('Data Entry'!$R$853), "", 'Data Entry'!$R$853)</f>
      </c>
      <c r="S853">
        <f>IF(ISBLANK('Data Entry'!$S$853), "", 'Data Entry'!$S$853)</f>
      </c>
      <c r="T853">
        <f>IF(ISBLANK('Data Entry'!$T$853), "", 'Data Entry'!$T$853)</f>
      </c>
      <c r="U853">
        <f>IF(ISBLANK('Data Entry'!$U$853), "", 'Data Entry'!$U$853)</f>
      </c>
      <c r="V853">
        <f>IF(ISBLANK('Data Entry'!$V$853), "", 'Data Entry'!$V$853)</f>
      </c>
      <c r="W853">
        <f>IF(ISBLANK('Data Entry'!$W$853), "", 'Data Entry'!$W$853)</f>
      </c>
      <c r="X853">
        <f>IF(ISBLANK('Data Entry'!$X$853), "", 'Data Entry'!$X$853)</f>
      </c>
      <c r="Y853">
        <f>IF(ISBLANK('Data Entry'!$Y$853), "", 'Data Entry'!$Y$853)</f>
      </c>
      <c r="Z853">
        <f>IF(ISBLANK('Data Entry'!$Z$853), "", 'Data Entry'!$Z$853)</f>
      </c>
      <c r="AA853">
        <f>IF(ISBLANK('Data Entry'!$[$853), "", 'Data Entry'!$[$853)</f>
      </c>
      <c r="AB853">
        <f>IF(ISBLANK('Data Entry'!$\$853), "", 'Data Entry'!$\$853)</f>
      </c>
      <c r="AC853">
        <f>IF(ISBLANK('Data Entry'!$]$853), "", 'Data Entry'!$]$853)</f>
      </c>
      <c r="AD853">
        <f>IF(ISBLANK('Data Entry'!$^$853), "", 'Data Entry'!$^$853)</f>
      </c>
      <c r="AE853">
        <f>IF(ISBLANK('Data Entry'!$_$853), "", 'Data Entry'!$_$853)</f>
      </c>
      <c r="AF853">
        <f>IF(ISBLANK('Data Entry'!$`$853), "", 'Data Entry'!$`$853)</f>
      </c>
      <c r="AG853">
        <f>IF(ISBLANK('Data Entry'!$a$853), "", 'Data Entry'!$a$853)</f>
      </c>
      <c r="AH853">
        <f>IF(ISBLANK('Data Entry'!$b$853), "", 'Data Entry'!$b$853)</f>
      </c>
      <c r="AI853">
        <f>IF(ISBLANK('Data Entry'!$c$853), "", 'Data Entry'!$c$853)</f>
      </c>
      <c r="AJ853">
        <f>IF(ISBLANK('Data Entry'!$d$853), "", 'Data Entry'!$d$853)</f>
      </c>
      <c r="AK853">
        <f>IF(ISBLANK('Data Entry'!$e$853), "", 'Data Entry'!$e$853)</f>
      </c>
      <c r="AL853">
        <f>IF(ISBLANK('Data Entry'!$f$853), "", 'Data Entry'!$f$853)</f>
      </c>
      <c r="AM853">
        <f>IF(ISBLANK('Data Entry'!$g$853), "", 'Data Entry'!$g$853)</f>
      </c>
      <c r="AN853">
        <f>IF(ISBLANK('Data Entry'!$h$853), "", 'Data Entry'!$h$853)</f>
      </c>
      <c r="AO853">
        <f>IF(ISBLANK('Data Entry'!$i$853), "", 'Data Entry'!$i$853)</f>
      </c>
      <c r="AP853">
        <f>IF(ISBLANK('Data Entry'!$j$853), "", 'Data Entry'!$j$853)</f>
      </c>
      <c r="AQ853">
        <f>IF(ISBLANK('Data Entry'!$k$853), "", 'Data Entry'!$k$853)</f>
      </c>
      <c r="AR853">
        <f>IF(ISBLANK('Data Entry'!$l$853), "", 'Data Entry'!$l$853)</f>
      </c>
      <c r="AS853">
        <f>IF(ISBLANK('Data Entry'!$m$853), "", 'Data Entry'!$m$853)</f>
      </c>
      <c r="AT853">
        <f>IF(ISBLANK('Data Entry'!$n$853), "", 'Data Entry'!$n$853)</f>
      </c>
      <c r="AU853">
        <f>IF(ISBLANK('Data Entry'!$o$853), "", 'Data Entry'!$o$853)</f>
      </c>
      <c r="AV853">
        <f>IF(ISBLANK('Data Entry'!$p$853), "", 'Data Entry'!$p$853)</f>
      </c>
      <c r="AW853">
        <f>IF(ISBLANK('Data Entry'!$q$853), "", 'Data Entry'!$q$853)</f>
      </c>
      <c r="AX853">
        <f>IF(ISBLANK('Data Entry'!$r$853), "", 'Data Entry'!$r$853)</f>
      </c>
      <c r="AY853">
        <f>IF(ISBLANK('Data Entry'!$s$853), "", 'Data Entry'!$s$853)</f>
      </c>
      <c r="AZ853">
        <f>IF(ISBLANK('Data Entry'!$t$853), "", 'Data Entry'!$t$853)</f>
      </c>
      <c r="BA853">
        <f>IF(ISBLANK('Data Entry'!$u$853), "", 'Data Entry'!$u$853)</f>
      </c>
      <c r="BB853">
        <f>IF(ISBLANK('Data Entry'!$v$853), "", 'Data Entry'!$v$853)</f>
      </c>
      <c r="BC853">
        <f>IF(ISBLANK('Data Entry'!$w$853), "", 'Data Entry'!$w$853)</f>
      </c>
      <c r="BD853">
        <f>IF(ISBLANK('Data Entry'!$x$853), "", 'Data Entry'!$x$853)</f>
      </c>
      <c r="BE853">
        <f>IF(ISBLANK('Data Entry'!$y$853), "", 'Data Entry'!$y$853)</f>
      </c>
      <c r="BF853">
        <f>IF(ISBLANK('Data Entry'!$z$853), "", 'Data Entry'!$z$853)</f>
      </c>
      <c r="BG853">
        <f>IF(ISBLANK('Data Entry'!${$853), "", 'Data Entry'!${$853)</f>
      </c>
      <c r="BH853">
        <f>IF(ISBLANK('Data Entry'!$|$853), "", 'Data Entry'!$|$853)</f>
      </c>
      <c r="BI853">
        <f>IF(ISBLANK('Data Entry'!$}$853), "", 'Data Entry'!$}$853)</f>
      </c>
      <c r="BJ853">
        <f>IF(ISBLANK('Data Entry'!$~$853), "", 'Data Entry'!$~$853)</f>
      </c>
      <c r="BK853">
        <f>IF(ISBLANK('Data Entry'!$$853), "", 'Data Entry'!$$853)</f>
      </c>
      <c r="BL853">
        <f>IF(ISBLANK('Data Entry'!$$853), "", 'Data Entry'!$$853)</f>
      </c>
      <c r="BM853">
        <f>IF(ISBLANK('Data Entry'!$$853), "", 'Data Entry'!$$853)</f>
      </c>
      <c r="BN853">
        <f>IF(ISBLANK('Data Entry'!$$853), "", 'Data Entry'!$$853)</f>
      </c>
      <c r="BO853">
        <f>IF(ISBLANK('Data Entry'!$$853), "", 'Data Entry'!$$853)</f>
      </c>
      <c r="BP853">
        <f>IF(ISBLANK('Data Entry'!$$853), "", 'Data Entry'!$$853)</f>
      </c>
      <c r="BQ853">
        <f>IF(ISBLANK('Data Entry'!$$853), "", 'Data Entry'!$$853)</f>
      </c>
      <c r="BR853">
        <f>IF(ISBLANK('Data Entry'!$$853), "", 'Data Entry'!$$853)</f>
      </c>
      <c r="BS853">
        <f>IF(ISBLANK('Data Entry'!$$853), "", 'Data Entry'!$$853)</f>
      </c>
      <c r="BT853">
        <f>IF(ISBLANK('Data Entry'!$$853), "", 'Data Entry'!$$853)</f>
      </c>
      <c r="BU853">
        <f>IF(ISBLANK('Data Entry'!$$853), "", 'Data Entry'!$$853)</f>
      </c>
      <c r="BV853">
        <f>IF(ISBLANK('Data Entry'!$$853), "", 'Data Entry'!$$853)</f>
      </c>
      <c r="BW853">
        <f>IF(ISBLANK('Data Entry'!$$853), "", 'Data Entry'!$$853)</f>
      </c>
      <c r="BX853">
        <f>IF(ISBLANK('Data Entry'!$$853), "", 'Data Entry'!$$853)</f>
      </c>
      <c r="BY853">
        <f>IF(ISBLANK('Data Entry'!$$853), "", 'Data Entry'!$$853)</f>
      </c>
      <c r="BZ853">
        <f>IF(ISBLANK('Data Entry'!$$853), "", 'Data Entry'!$$853)</f>
      </c>
      <c r="CA853">
        <f>IF(ISBLANK('Data Entry'!$$853), "", 'Data Entry'!$$853)</f>
      </c>
      <c r="CB853">
        <f>IF(ISBLANK('Data Entry'!$$853), "", 'Data Entry'!$$853)</f>
      </c>
      <c r="CC853">
        <f>IF(ISBLANK('Data Entry'!$$853), "", 'Data Entry'!$$853)</f>
      </c>
      <c r="CD853">
        <f>IF(ISBLANK('Data Entry'!$$853), "", 'Data Entry'!$$853)</f>
      </c>
      <c r="CE853">
        <f>IF(ISBLANK('Data Entry'!$$853), "", 'Data Entry'!$$853)</f>
      </c>
      <c r="CF853">
        <f>IF(ISBLANK('Data Entry'!$$853), "", 'Data Entry'!$$853)</f>
      </c>
      <c r="CG853">
        <f>IF(ISBLANK('Data Entry'!$$853), "", 'Data Entry'!$$853)</f>
      </c>
      <c r="CH853">
        <f>IF(ISBLANK('Data Entry'!$$853), "", 'Data Entry'!$$853)</f>
      </c>
      <c r="CI853">
        <f>IF(ISBLANK('Data Entry'!$$853), "", 'Data Entry'!$$853)</f>
      </c>
      <c r="CJ853">
        <f>IF(ISBLANK('Data Entry'!$$853), "", 'Data Entry'!$$853)</f>
      </c>
      <c r="CK853">
        <f>IF(ISBLANK('Data Entry'!$$853), "", 'Data Entry'!$$853)</f>
      </c>
      <c r="CL853">
        <f>IF(ISBLANK('Data Entry'!$$853), "", 'Data Entry'!$$853)</f>
      </c>
      <c r="CM853">
        <f>IF(ISBLANK('Data Entry'!$$853), "", 'Data Entry'!$$853)</f>
      </c>
      <c r="CN853">
        <f>IF(ISBLANK('Data Entry'!$$853), "", 'Data Entry'!$$853)</f>
      </c>
      <c r="CO853">
        <f>IF(ISBLANK('Data Entry'!$$853), "", 'Data Entry'!$$853)</f>
      </c>
      <c r="CP853">
        <f>IF(ISBLANK('Data Entry'!$$853), "", 'Data Entry'!$$853)</f>
      </c>
      <c r="CQ853">
        <f>IF(ISBLANK('Data Entry'!$$853), "", 'Data Entry'!$$853)</f>
      </c>
      <c r="CR853">
        <f>IF(ISBLANK('Data Entry'!$ $853), "", 'Data Entry'!$ $853)</f>
      </c>
      <c r="CS853">
        <f>IF(ISBLANK('Data Entry'!$¡$853), "", 'Data Entry'!$¡$853)</f>
      </c>
      <c r="CT853">
        <f>IF(ISBLANK('Data Entry'!$¢$853), "", 'Data Entry'!$¢$853)</f>
      </c>
      <c r="CU853">
        <f>IF(ISBLANK('Data Entry'!$£$853), "", 'Data Entry'!$£$853)</f>
      </c>
      <c r="CV853">
        <f>IF(ISBLANK('Data Entry'!$¤$853), "", 'Data Entry'!$¤$853)</f>
      </c>
      <c r="CW853">
        <f>IF(ISBLANK('Data Entry'!$¥$853), "", 'Data Entry'!$¥$853)</f>
      </c>
      <c r="CX853">
        <f>IF(ISBLANK('Data Entry'!$¦$853), "", 'Data Entry'!$¦$853)</f>
      </c>
      <c r="CY853">
        <f>IF(ISBLANK('Data Entry'!$§$853), "", 'Data Entry'!$§$853)</f>
      </c>
      <c r="CZ853">
        <f>IF(ISBLANK('Data Entry'!$¨$853), "", 'Data Entry'!$¨$853)</f>
      </c>
      <c r="DA853">
        <f>IF(ISBLANK('Data Entry'!$©$853), "", 'Data Entry'!$©$853)</f>
      </c>
      <c r="DB853">
        <f>IF(ISBLANK('Data Entry'!$ª$853), "", 'Data Entry'!$ª$853)</f>
      </c>
      <c r="DC853">
        <f>IF(ISBLANK('Data Entry'!$«$853), "", 'Data Entry'!$«$853)</f>
      </c>
      <c r="DD853">
        <f>IF(ISBLANK('Data Entry'!$¬$853), "", 'Data Entry'!$¬$853)</f>
      </c>
      <c r="DE853">
        <f>IF(ISBLANK('Data Entry'!$­$853), "", 'Data Entry'!$­$853)</f>
      </c>
      <c r="DF853">
        <f>IF(ISBLANK('Data Entry'!$®$853), "", 'Data Entry'!$®$853)</f>
      </c>
      <c r="DG853">
        <f>IF(ISBLANK('Data Entry'!$¯$853), "", 'Data Entry'!$¯$853)</f>
      </c>
      <c r="DH853">
        <f>IF(ISBLANK('Data Entry'!$°$853), "", 'Data Entry'!$°$853)</f>
      </c>
      <c r="DI853">
        <f>IF(ISBLANK('Data Entry'!$±$853), "", 'Data Entry'!$±$853)</f>
      </c>
      <c r="DJ853">
        <f>IF(ISBLANK('Data Entry'!$²$853), "", 'Data Entry'!$²$853)</f>
      </c>
      <c r="DK853">
        <f>IF(ISBLANK('Data Entry'!$³$853), "", 'Data Entry'!$³$853)</f>
      </c>
      <c r="DL853">
        <f>IF(ISBLANK('Data Entry'!$´$853), "", 'Data Entry'!$´$853)</f>
      </c>
      <c r="DM853">
        <f>IF(ISBLANK('Data Entry'!$µ$853), "", 'Data Entry'!$µ$853)</f>
      </c>
      <c r="DN853">
        <f>IF(ISBLANK('Data Entry'!$¶$853), "", 'Data Entry'!$¶$853)</f>
      </c>
      <c r="DO853">
        <f>IF(ISBLANK('Data Entry'!$·$853), "", 'Data Entry'!$·$853)</f>
      </c>
      <c r="DP853">
        <f>IF(ISBLANK('Data Entry'!$¸$853), "", 'Data Entry'!$¸$853)</f>
      </c>
      <c r="DQ853">
        <f>IF(ISBLANK('Data Entry'!$¹$853), "", 'Data Entry'!$¹$853)</f>
      </c>
      <c r="DR853">
        <f>IF(ISBLANK('Data Entry'!$º$853), "", 'Data Entry'!$º$853)</f>
      </c>
      <c r="DS853">
        <f>IF(ISBLANK('Data Entry'!$»$853), "", 'Data Entry'!$»$853)</f>
      </c>
      <c r="DT853">
        <f>IF(ISBLANK('Data Entry'!$¼$853), "", 'Data Entry'!$¼$853)</f>
      </c>
      <c r="DU853">
        <f>IF(ISBLANK('Data Entry'!$½$853), "", 'Data Entry'!$½$853)</f>
      </c>
      <c r="DV853">
        <f>IF(ISBLANK('Data Entry'!$¾$853), "", 'Data Entry'!$¾$853)</f>
      </c>
      <c r="DW853">
        <f>IF(ISBLANK('Data Entry'!$¿$853), "", 'Data Entry'!$¿$853)</f>
      </c>
      <c r="DX853">
        <f>IF(ISBLANK('Data Entry'!$À$853), "", 'Data Entry'!$À$853)</f>
      </c>
      <c r="DY853">
        <f>IF(ISBLANK('Data Entry'!$Á$853), "", 'Data Entry'!$Á$853)</f>
      </c>
      <c r="DZ853">
        <f>IF(ISBLANK('Data Entry'!$Â$853), "", 'Data Entry'!$Â$853)</f>
      </c>
      <c r="EA853">
        <f>IF(ISBLANK('Data Entry'!$Ã$853), "", 'Data Entry'!$Ã$853)</f>
      </c>
      <c r="EB853">
        <f>IF(ISBLANK('Data Entry'!$Ä$853), "", 'Data Entry'!$Ä$853)</f>
      </c>
      <c r="EC853">
        <f>IF(ISBLANK('Data Entry'!$Å$853), "", 'Data Entry'!$Å$853)</f>
      </c>
      <c r="ED853">
        <f>IF(ISBLANK('Data Entry'!$Æ$853), "", 'Data Entry'!$Æ$853)</f>
      </c>
      <c r="EE853">
        <f>IF(ISBLANK('Data Entry'!$Ç$853), "", 'Data Entry'!$Ç$853)</f>
      </c>
      <c r="EF853">
        <f>IF(ISBLANK('Data Entry'!$È$853), "", 'Data Entry'!$È$853)</f>
      </c>
      <c r="EG853">
        <f>IF(ISBLANK('Data Entry'!$É$853), "", 'Data Entry'!$É$853)</f>
      </c>
      <c r="EH853">
        <f>IF(ISBLANK('Data Entry'!$Ê$853), "", 'Data Entry'!$Ê$853)</f>
      </c>
      <c r="EI853">
        <f>IF(ISBLANK('Data Entry'!$Ë$853), "", 'Data Entry'!$Ë$853)</f>
      </c>
      <c r="EJ853">
        <f>IF(ISBLANK('Data Entry'!$Ì$853), "", 'Data Entry'!$Ì$853)</f>
      </c>
      <c r="EK853">
        <f>IF(ISBLANK('Data Entry'!$Í$853), "", 'Data Entry'!$Í$853)</f>
      </c>
      <c r="EL853">
        <f>IF(ISBLANK('Data Entry'!$Î$853), "", 'Data Entry'!$Î$853)</f>
      </c>
      <c r="EM853">
        <f>IF(ISBLANK('Data Entry'!$Ï$853), "", 'Data Entry'!$Ï$853)</f>
      </c>
      <c r="EN853">
        <f>IF(ISBLANK('Data Entry'!$Ð$853), "", 'Data Entry'!$Ð$853)</f>
      </c>
      <c r="EO853">
        <f>IF(ISBLANK('Data Entry'!$Ñ$853), "", 'Data Entry'!$Ñ$853)</f>
      </c>
      <c r="EP853">
        <f>IF(ISBLANK('Data Entry'!$Ò$853), "", 'Data Entry'!$Ò$853)</f>
      </c>
      <c r="EQ853">
        <f>IF(ISBLANK('Data Entry'!$Ó$853), "", 'Data Entry'!$Ó$853)</f>
      </c>
      <c r="ER853">
        <f>IF(ISBLANK('Data Entry'!$Ô$853), "", 'Data Entry'!$Ô$853)</f>
      </c>
      <c r="ES853">
        <f>IF(ISBLANK('Data Entry'!$Õ$853), "", 'Data Entry'!$Õ$853)</f>
      </c>
      <c r="ET853">
        <f>IF(ISBLANK('Data Entry'!$Ö$853), "", 'Data Entry'!$Ö$853)</f>
      </c>
      <c r="EU853">
        <f>IF(ISBLANK('Data Entry'!$×$853), "", 'Data Entry'!$×$853)</f>
      </c>
      <c r="EV853">
        <f>IF(ISBLANK('Data Entry'!$Ø$853), "", 'Data Entry'!$Ø$853)</f>
      </c>
      <c r="EW853">
        <f>IF(ISBLANK('Data Entry'!$Ù$853), "", 'Data Entry'!$Ù$853)</f>
      </c>
      <c r="EX853">
        <f>IF(ISBLANK('Data Entry'!$Ú$853), "", 'Data Entry'!$Ú$853)</f>
      </c>
      <c r="EY853">
        <f>IF(ISBLANK('Data Entry'!$Û$853), "", 'Data Entry'!$Û$853)</f>
      </c>
      <c r="EZ853">
        <f>IF(ISBLANK('Data Entry'!$Ü$853), "", 'Data Entry'!$Ü$853)</f>
      </c>
      <c r="FA853">
        <f>IF(ISBLANK('Data Entry'!$Ý$853), "", 'Data Entry'!$Ý$853)</f>
      </c>
      <c r="FB853">
        <f>IF(ISBLANK('Data Entry'!$Þ$853), "", 'Data Entry'!$Þ$853)</f>
      </c>
      <c r="FC853">
        <f>IF(ISBLANK('Data Entry'!$ß$853), "", 'Data Entry'!$ß$853)</f>
      </c>
      <c r="FD853">
        <f>IF(ISBLANK('Data Entry'!$à$853), "", 'Data Entry'!$à$853)</f>
      </c>
      <c r="FE853">
        <f>IF(ISBLANK('Data Entry'!$á$853), "", 'Data Entry'!$á$853)</f>
      </c>
      <c r="FF853">
        <f>IF(ISBLANK('Data Entry'!$â$853), "", 'Data Entry'!$â$853)</f>
      </c>
      <c r="FG853">
        <f>IF(ISBLANK('Data Entry'!$ã$853), "", 'Data Entry'!$ã$853)</f>
      </c>
      <c r="FH853">
        <f>IF(ISBLANK('Data Entry'!$ä$853), "", 'Data Entry'!$ä$853)</f>
      </c>
      <c r="FI853">
        <f>IF(ISBLANK('Data Entry'!$å$853), "", 'Data Entry'!$å$853)</f>
      </c>
      <c r="FJ853">
        <f>IF(ISBLANK('Data Entry'!$æ$853), "", 'Data Entry'!$æ$853)</f>
      </c>
      <c r="FK853">
        <f>IF(ISBLANK('Data Entry'!$ç$853), "", 'Data Entry'!$ç$853)</f>
      </c>
      <c r="FL853">
        <f>IF(ISBLANK('Data Entry'!$è$853), "", 'Data Entry'!$è$853)</f>
      </c>
      <c r="FM853">
        <f>IF(ISBLANK('Data Entry'!$é$853), "", 'Data Entry'!$é$853)</f>
      </c>
      <c r="FN853">
        <f>IF(ISBLANK('Data Entry'!$ê$853), "", 'Data Entry'!$ê$853)</f>
      </c>
      <c r="FO853">
        <f>IF(ISBLANK('Data Entry'!$ë$853), "", 'Data Entry'!$ë$853)</f>
      </c>
      <c r="FP853">
        <f>IF(ISBLANK('Data Entry'!$ì$853), "", 'Data Entry'!$ì$853)</f>
      </c>
      <c r="FQ853">
        <f>IF(ISBLANK('Data Entry'!$í$853), "", 'Data Entry'!$í$853)</f>
      </c>
      <c r="FR853">
        <f>IF(ISBLANK('Data Entry'!$î$853), "", 'Data Entry'!$î$853)</f>
      </c>
      <c r="FS853">
        <f>IF(ISBLANK('Data Entry'!$ï$853), "", 'Data Entry'!$ï$853)</f>
      </c>
      <c r="FT853">
        <f>IF(ISBLANK('Data Entry'!$ð$853), "", 'Data Entry'!$ð$853)</f>
      </c>
      <c r="FU853">
        <f>IF(ISBLANK('Data Entry'!$ñ$853), "", 'Data Entry'!$ñ$853)</f>
      </c>
      <c r="FV853">
        <f>IF(ISBLANK('Data Entry'!$ò$853), "", 'Data Entry'!$ò$853)</f>
      </c>
      <c r="FW853">
        <f>IF(ISBLANK('Data Entry'!$ó$853), "", 'Data Entry'!$ó$853)</f>
      </c>
      <c r="FX853">
        <f>IF(ISBLANK('Data Entry'!$ô$853), "", 'Data Entry'!$ô$853)</f>
      </c>
      <c r="FY853">
        <f>IF(ISBLANK('Data Entry'!$õ$853), "", 'Data Entry'!$õ$853)</f>
      </c>
      <c r="FZ853">
        <f>IF(ISBLANK('Data Entry'!$ö$853), "", 'Data Entry'!$ö$853)</f>
      </c>
      <c r="GA853">
        <f>IF(ISBLANK('Data Entry'!$÷$853), "", 'Data Entry'!$÷$853)</f>
      </c>
      <c r="GB853">
        <f>IF(ISBLANK('Data Entry'!$ø$853), "", 'Data Entry'!$ø$853)</f>
      </c>
      <c r="GC853">
        <f>IF(ISBLANK('Data Entry'!$ù$853), "", 'Data Entry'!$ù$853)</f>
      </c>
      <c r="GD853">
        <f>IF(ISBLANK('Data Entry'!$ú$853), "", 'Data Entry'!$ú$853)</f>
      </c>
      <c r="GE853">
        <f>IF(ISBLANK('Data Entry'!$û$853), "", 'Data Entry'!$û$853)</f>
      </c>
      <c r="GF853">
        <f>IF(ISBLANK('Data Entry'!$ü$853), "", 'Data Entry'!$ü$853)</f>
      </c>
      <c r="GG853">
        <f>IF(ISBLANK('Data Entry'!$ý$853), "", 'Data Entry'!$ý$853)</f>
      </c>
      <c r="GH853">
        <f>IF(ISBLANK('Data Entry'!$þ$853), "", 'Data Entry'!$þ$853)</f>
      </c>
      <c r="GI853">
        <f>IF(ISBLANK('Data Entry'!$ÿ$853), "", 'Data Entry'!$ÿ$853)</f>
      </c>
      <c r="GJ853">
        <f>IF(ISBLANK('Data Entry'!$Ā$853), "", 'Data Entry'!$Ā$853)</f>
      </c>
      <c r="GK853">
        <f>IF(ISBLANK('Data Entry'!$ā$853), "", 'Data Entry'!$ā$853)</f>
      </c>
      <c r="GL853">
        <f>IF(ISBLANK('Data Entry'!$Ă$853), "", 'Data Entry'!$Ă$853)</f>
      </c>
      <c r="GM853">
        <f>IF(ISBLANK('Data Entry'!$ă$853), "", 'Data Entry'!$ă$853)</f>
      </c>
      <c r="GN853">
        <f>IF(ISBLANK('Data Entry'!$Ą$853), "", 'Data Entry'!$Ą$853)</f>
      </c>
      <c r="GO853">
        <f>IF(ISBLANK('Data Entry'!$ą$853), "", 'Data Entry'!$ą$853)</f>
      </c>
      <c r="GP853">
        <f>IF(ISBLANK('Data Entry'!$Ć$853), "", 'Data Entry'!$Ć$853)</f>
      </c>
      <c r="GQ853">
        <f>IF(ISBLANK('Data Entry'!$ć$853), "", 'Data Entry'!$ć$853)</f>
      </c>
      <c r="GR853">
        <f>IF(ISBLANK('Data Entry'!$Ĉ$853), "", 'Data Entry'!$Ĉ$853)</f>
      </c>
      <c r="GS853">
        <f>IF(ISBLANK('Data Entry'!$ĉ$853), "", 'Data Entry'!$ĉ$853)</f>
      </c>
      <c r="GT853">
        <f>IF(ISBLANK('Data Entry'!$Ċ$853), "", 'Data Entry'!$Ċ$853)</f>
      </c>
      <c r="GU853">
        <f>IF(ISBLANK('Data Entry'!$ċ$853), "", 'Data Entry'!$ċ$853)</f>
      </c>
      <c r="GV853">
        <f>IF(ISBLANK('Data Entry'!$Č$853), "", 'Data Entry'!$Č$853)</f>
      </c>
      <c r="GW853">
        <f>IF(ISBLANK('Data Entry'!$č$853), "", 'Data Entry'!$č$853)</f>
      </c>
      <c r="GX853">
        <f>IF(ISBLANK('Data Entry'!$Ď$853), "", 'Data Entry'!$Ď$853)</f>
      </c>
      <c r="GY853">
        <f>IF(ISBLANK('Data Entry'!$ď$853), "", 'Data Entry'!$ď$853)</f>
      </c>
      <c r="GZ853">
        <f>IF(ISBLANK('Data Entry'!$Đ$853), "", 'Data Entry'!$Đ$853)</f>
      </c>
      <c r="HA853">
        <f>IF(ISBLANK('Data Entry'!$đ$853), "", 'Data Entry'!$đ$853)</f>
      </c>
      <c r="HB853">
        <f>IF(ISBLANK('Data Entry'!$Ē$853), "", 'Data Entry'!$Ē$853)</f>
      </c>
      <c r="HC853">
        <f>IF(ISBLANK('Data Entry'!$ē$853), "", 'Data Entry'!$ē$853)</f>
      </c>
      <c r="HD853">
        <f>IF(ISBLANK('Data Entry'!$Ĕ$853), "", 'Data Entry'!$Ĕ$853)</f>
      </c>
      <c r="HE853">
        <f>IF(ISBLANK('Data Entry'!$ĕ$853), "", 'Data Entry'!$ĕ$853)</f>
      </c>
      <c r="HF853">
        <f>IF(ISBLANK('Data Entry'!$Ė$853), "", 'Data Entry'!$Ė$853)</f>
      </c>
      <c r="HG853">
        <f>IF(ISBLANK('Data Entry'!$ė$853), "", 'Data Entry'!$ė$853)</f>
      </c>
      <c r="HH853">
        <f>IF(ISBLANK('Data Entry'!$Ę$853), "", 'Data Entry'!$Ę$853)</f>
      </c>
      <c r="HI853">
        <f>IF(ISBLANK('Data Entry'!$ę$853), "", 'Data Entry'!$ę$853)</f>
      </c>
      <c r="HJ853">
        <f>IF(ISBLANK('Data Entry'!$Ě$853), "", 'Data Entry'!$Ě$853)</f>
      </c>
      <c r="HK853">
        <f>IF(ISBLANK('Data Entry'!$ě$853), "", 'Data Entry'!$ě$853)</f>
      </c>
      <c r="HL853">
        <f>IF(ISBLANK('Data Entry'!$Ĝ$853), "", 'Data Entry'!$Ĝ$853)</f>
      </c>
      <c r="HM853">
        <f>IF(ISBLANK('Data Entry'!$ĝ$853), "", 'Data Entry'!$ĝ$853)</f>
      </c>
      <c r="HN853">
        <f>IF(ISBLANK('Data Entry'!$Ğ$853), "", 'Data Entry'!$Ğ$853)</f>
      </c>
      <c r="HO853">
        <f>IF(ISBLANK('Data Entry'!$ğ$853), "", 'Data Entry'!$ğ$853)</f>
      </c>
      <c r="HP853">
        <f>IF(ISBLANK('Data Entry'!$Ġ$853), "", 'Data Entry'!$Ġ$853)</f>
      </c>
      <c r="HQ853">
        <f>IF(ISBLANK('Data Entry'!$ġ$853), "", 'Data Entry'!$ġ$853)</f>
      </c>
      <c r="HR853">
        <f>IF(ISBLANK('Data Entry'!$Ģ$853), "", 'Data Entry'!$Ģ$853)</f>
      </c>
      <c r="HS853">
        <f>IF(ISBLANK('Data Entry'!$ģ$853), "", 'Data Entry'!$ģ$853)</f>
      </c>
      <c r="HT853">
        <f>IF(ISBLANK('Data Entry'!$Ĥ$853), "", 'Data Entry'!$Ĥ$853)</f>
      </c>
      <c r="HU853">
        <f>IF(ISBLANK('Data Entry'!$ĥ$853), "", 'Data Entry'!$ĥ$853)</f>
      </c>
      <c r="HV853">
        <f>IF(ISBLANK('Data Entry'!$Ħ$853), "", 'Data Entry'!$Ħ$853)</f>
      </c>
      <c r="HW853">
        <f>IF(ISBLANK('Data Entry'!$ħ$853), "", 'Data Entry'!$ħ$853)</f>
      </c>
      <c r="HX853">
        <f>IF(ISBLANK('Data Entry'!$Ĩ$853), "", 'Data Entry'!$Ĩ$853)</f>
      </c>
      <c r="HY853">
        <f>IF(ISBLANK('Data Entry'!$ĩ$853), "", 'Data Entry'!$ĩ$853)</f>
      </c>
      <c r="HZ853">
        <f>IF(ISBLANK('Data Entry'!$Ī$853), "", 'Data Entry'!$Ī$853)</f>
      </c>
      <c r="IA853">
        <f>IF(ISBLANK('Data Entry'!$ī$853), "", 'Data Entry'!$ī$853)</f>
      </c>
      <c r="IB853">
        <f>IF(ISBLANK('Data Entry'!$Ĭ$853), "", 'Data Entry'!$Ĭ$853)</f>
      </c>
      <c r="IC853">
        <f>IF(ISBLANK('Data Entry'!$ĭ$853), "", 'Data Entry'!$ĭ$853)</f>
      </c>
      <c r="ID853">
        <f>IF(ISBLANK('Data Entry'!$Į$853), "", 'Data Entry'!$Į$853)</f>
      </c>
      <c r="IE853">
        <f>IF(ISBLANK('Data Entry'!$į$853), "", 'Data Entry'!$į$853)</f>
      </c>
      <c r="IF853">
        <f>IF(ISBLANK('Data Entry'!$İ$853), "", 'Data Entry'!$İ$853)</f>
      </c>
      <c r="IG853">
        <f>IF(ISBLANK('Data Entry'!$ı$853), "", 'Data Entry'!$ı$853)</f>
      </c>
      <c r="IH853">
        <f>IF(ISBLANK('Data Entry'!$Ĳ$853), "", 'Data Entry'!$Ĳ$853)</f>
      </c>
      <c r="II853">
        <f>IF(ISBLANK('Data Entry'!$ĳ$853), "", 'Data Entry'!$ĳ$853)</f>
      </c>
      <c r="IJ853">
        <f>IF(ISBLANK('Data Entry'!$Ĵ$853), "", 'Data Entry'!$Ĵ$853)</f>
      </c>
      <c r="IK853">
        <f>IF(ISBLANK('Data Entry'!$ĵ$853), "", 'Data Entry'!$ĵ$853)</f>
      </c>
      <c r="IL853">
        <f>IF(ISBLANK('Data Entry'!$Ķ$853), "", 'Data Entry'!$Ķ$853)</f>
      </c>
      <c r="IM853">
        <f>IF(ISBLANK('Data Entry'!$ķ$853), "", 'Data Entry'!$ķ$853)</f>
      </c>
      <c r="IN853">
        <f>IF(ISBLANK('Data Entry'!$ĸ$853), "", 'Data Entry'!$ĸ$853)</f>
      </c>
      <c r="IO853">
        <f>IF(ISBLANK('Data Entry'!$Ĺ$853), "", 'Data Entry'!$Ĺ$853)</f>
      </c>
      <c r="IP853">
        <f>IF(ISBLANK('Data Entry'!$ĺ$853), "", 'Data Entry'!$ĺ$853)</f>
      </c>
      <c r="IQ853">
        <f>IF(ISBLANK('Data Entry'!$Ļ$853), "", 'Data Entry'!$Ļ$853)</f>
      </c>
      <c r="IR853">
        <f>IF(ISBLANK('Data Entry'!$ļ$853), "", 'Data Entry'!$ļ$853)</f>
      </c>
      <c r="IS853">
        <f>IF(ISBLANK('Data Entry'!$Ľ$853), "", 'Data Entry'!$Ľ$853)</f>
      </c>
      <c r="IT853">
        <f>IF(ISBLANK('Data Entry'!$ľ$853), "", 'Data Entry'!$ľ$853)</f>
      </c>
    </row>
    <row r="854" spans="1:254" x14ac:dyDescent="0.25">
      <c r="A854">
        <f>IF(ISBLANK('Data Entry'!$A$854), "", 'Data Entry'!$A$854)</f>
      </c>
      <c r="B854">
        <f>IF(ISBLANK('Data Entry'!$B$854), "", 'Data Entry'!$B$854)</f>
      </c>
      <c r="C854">
        <f>IF(ISBLANK('Data Entry'!$C$854), "", 'Data Entry'!$C$854)</f>
      </c>
      <c r="D854">
        <f>IF(ISBLANK('Data Entry'!$D$854), "", 'Data Entry'!$D$854)</f>
      </c>
      <c r="E854">
        <f>IF(ISBLANK('Data Entry'!$E$854), "", 'Data Entry'!$E$854)</f>
      </c>
      <c r="F854">
        <f>IF(ISBLANK('Data Entry'!$F$854), "", 'Data Entry'!$F$854)</f>
      </c>
      <c r="G854">
        <f>IF(ISBLANK('Data Entry'!$G$854), "", 'Data Entry'!$G$854)</f>
      </c>
      <c r="H854">
        <f>IF(ISBLANK('Data Entry'!$H$854), "", 'Data Entry'!$H$854)</f>
      </c>
      <c r="I854">
        <f>IF(ISBLANK('Data Entry'!$I$854), "", 'Data Entry'!$I$854)</f>
      </c>
      <c r="J854">
        <f>IF(ISBLANK('Data Entry'!$J$854), "", 'Data Entry'!$J$854)</f>
      </c>
      <c r="K854">
        <f>IF(ISBLANK('Data Entry'!$K$854), "", 'Data Entry'!$K$854)</f>
      </c>
      <c r="L854">
        <f>IF(ISBLANK('Data Entry'!$L$854), "", 'Data Entry'!$L$854)</f>
      </c>
      <c r="M854">
        <f>IF(ISBLANK('Data Entry'!$M$854), "", 'Data Entry'!$M$854)</f>
      </c>
      <c r="N854">
        <f>IF(ISBLANK('Data Entry'!$N$854), "", 'Data Entry'!$N$854)</f>
      </c>
      <c r="O854">
        <f>IF(ISBLANK('Data Entry'!$O$854), "", 'Data Entry'!$O$854)</f>
      </c>
      <c r="P854">
        <f>IF(ISBLANK('Data Entry'!$P$854), "", 'Data Entry'!$P$854)</f>
      </c>
      <c r="Q854">
        <f>IF(ISBLANK('Data Entry'!$Q$854), "", 'Data Entry'!$Q$854)</f>
      </c>
      <c r="R854">
        <f>IF(ISBLANK('Data Entry'!$R$854), "", 'Data Entry'!$R$854)</f>
      </c>
      <c r="S854">
        <f>IF(ISBLANK('Data Entry'!$S$854), "", 'Data Entry'!$S$854)</f>
      </c>
      <c r="T854">
        <f>IF(ISBLANK('Data Entry'!$T$854), "", 'Data Entry'!$T$854)</f>
      </c>
      <c r="U854">
        <f>IF(ISBLANK('Data Entry'!$U$854), "", 'Data Entry'!$U$854)</f>
      </c>
      <c r="V854">
        <f>IF(ISBLANK('Data Entry'!$V$854), "", 'Data Entry'!$V$854)</f>
      </c>
      <c r="W854">
        <f>IF(ISBLANK('Data Entry'!$W$854), "", 'Data Entry'!$W$854)</f>
      </c>
      <c r="X854">
        <f>IF(ISBLANK('Data Entry'!$X$854), "", 'Data Entry'!$X$854)</f>
      </c>
      <c r="Y854">
        <f>IF(ISBLANK('Data Entry'!$Y$854), "", 'Data Entry'!$Y$854)</f>
      </c>
      <c r="Z854">
        <f>IF(ISBLANK('Data Entry'!$Z$854), "", 'Data Entry'!$Z$854)</f>
      </c>
      <c r="AA854">
        <f>IF(ISBLANK('Data Entry'!$[$854), "", 'Data Entry'!$[$854)</f>
      </c>
      <c r="AB854">
        <f>IF(ISBLANK('Data Entry'!$\$854), "", 'Data Entry'!$\$854)</f>
      </c>
      <c r="AC854">
        <f>IF(ISBLANK('Data Entry'!$]$854), "", 'Data Entry'!$]$854)</f>
      </c>
      <c r="AD854">
        <f>IF(ISBLANK('Data Entry'!$^$854), "", 'Data Entry'!$^$854)</f>
      </c>
      <c r="AE854">
        <f>IF(ISBLANK('Data Entry'!$_$854), "", 'Data Entry'!$_$854)</f>
      </c>
      <c r="AF854">
        <f>IF(ISBLANK('Data Entry'!$`$854), "", 'Data Entry'!$`$854)</f>
      </c>
      <c r="AG854">
        <f>IF(ISBLANK('Data Entry'!$a$854), "", 'Data Entry'!$a$854)</f>
      </c>
      <c r="AH854">
        <f>IF(ISBLANK('Data Entry'!$b$854), "", 'Data Entry'!$b$854)</f>
      </c>
      <c r="AI854">
        <f>IF(ISBLANK('Data Entry'!$c$854), "", 'Data Entry'!$c$854)</f>
      </c>
      <c r="AJ854">
        <f>IF(ISBLANK('Data Entry'!$d$854), "", 'Data Entry'!$d$854)</f>
      </c>
      <c r="AK854">
        <f>IF(ISBLANK('Data Entry'!$e$854), "", 'Data Entry'!$e$854)</f>
      </c>
      <c r="AL854">
        <f>IF(ISBLANK('Data Entry'!$f$854), "", 'Data Entry'!$f$854)</f>
      </c>
      <c r="AM854">
        <f>IF(ISBLANK('Data Entry'!$g$854), "", 'Data Entry'!$g$854)</f>
      </c>
      <c r="AN854">
        <f>IF(ISBLANK('Data Entry'!$h$854), "", 'Data Entry'!$h$854)</f>
      </c>
      <c r="AO854">
        <f>IF(ISBLANK('Data Entry'!$i$854), "", 'Data Entry'!$i$854)</f>
      </c>
      <c r="AP854">
        <f>IF(ISBLANK('Data Entry'!$j$854), "", 'Data Entry'!$j$854)</f>
      </c>
      <c r="AQ854">
        <f>IF(ISBLANK('Data Entry'!$k$854), "", 'Data Entry'!$k$854)</f>
      </c>
      <c r="AR854">
        <f>IF(ISBLANK('Data Entry'!$l$854), "", 'Data Entry'!$l$854)</f>
      </c>
      <c r="AS854">
        <f>IF(ISBLANK('Data Entry'!$m$854), "", 'Data Entry'!$m$854)</f>
      </c>
      <c r="AT854">
        <f>IF(ISBLANK('Data Entry'!$n$854), "", 'Data Entry'!$n$854)</f>
      </c>
      <c r="AU854">
        <f>IF(ISBLANK('Data Entry'!$o$854), "", 'Data Entry'!$o$854)</f>
      </c>
      <c r="AV854">
        <f>IF(ISBLANK('Data Entry'!$p$854), "", 'Data Entry'!$p$854)</f>
      </c>
      <c r="AW854">
        <f>IF(ISBLANK('Data Entry'!$q$854), "", 'Data Entry'!$q$854)</f>
      </c>
      <c r="AX854">
        <f>IF(ISBLANK('Data Entry'!$r$854), "", 'Data Entry'!$r$854)</f>
      </c>
      <c r="AY854">
        <f>IF(ISBLANK('Data Entry'!$s$854), "", 'Data Entry'!$s$854)</f>
      </c>
      <c r="AZ854">
        <f>IF(ISBLANK('Data Entry'!$t$854), "", 'Data Entry'!$t$854)</f>
      </c>
      <c r="BA854">
        <f>IF(ISBLANK('Data Entry'!$u$854), "", 'Data Entry'!$u$854)</f>
      </c>
      <c r="BB854">
        <f>IF(ISBLANK('Data Entry'!$v$854), "", 'Data Entry'!$v$854)</f>
      </c>
      <c r="BC854">
        <f>IF(ISBLANK('Data Entry'!$w$854), "", 'Data Entry'!$w$854)</f>
      </c>
      <c r="BD854">
        <f>IF(ISBLANK('Data Entry'!$x$854), "", 'Data Entry'!$x$854)</f>
      </c>
      <c r="BE854">
        <f>IF(ISBLANK('Data Entry'!$y$854), "", 'Data Entry'!$y$854)</f>
      </c>
      <c r="BF854">
        <f>IF(ISBLANK('Data Entry'!$z$854), "", 'Data Entry'!$z$854)</f>
      </c>
      <c r="BG854">
        <f>IF(ISBLANK('Data Entry'!${$854), "", 'Data Entry'!${$854)</f>
      </c>
      <c r="BH854">
        <f>IF(ISBLANK('Data Entry'!$|$854), "", 'Data Entry'!$|$854)</f>
      </c>
      <c r="BI854">
        <f>IF(ISBLANK('Data Entry'!$}$854), "", 'Data Entry'!$}$854)</f>
      </c>
      <c r="BJ854">
        <f>IF(ISBLANK('Data Entry'!$~$854), "", 'Data Entry'!$~$854)</f>
      </c>
      <c r="BK854">
        <f>IF(ISBLANK('Data Entry'!$$854), "", 'Data Entry'!$$854)</f>
      </c>
      <c r="BL854">
        <f>IF(ISBLANK('Data Entry'!$$854), "", 'Data Entry'!$$854)</f>
      </c>
      <c r="BM854">
        <f>IF(ISBLANK('Data Entry'!$$854), "", 'Data Entry'!$$854)</f>
      </c>
      <c r="BN854">
        <f>IF(ISBLANK('Data Entry'!$$854), "", 'Data Entry'!$$854)</f>
      </c>
      <c r="BO854">
        <f>IF(ISBLANK('Data Entry'!$$854), "", 'Data Entry'!$$854)</f>
      </c>
      <c r="BP854">
        <f>IF(ISBLANK('Data Entry'!$$854), "", 'Data Entry'!$$854)</f>
      </c>
      <c r="BQ854">
        <f>IF(ISBLANK('Data Entry'!$$854), "", 'Data Entry'!$$854)</f>
      </c>
      <c r="BR854">
        <f>IF(ISBLANK('Data Entry'!$$854), "", 'Data Entry'!$$854)</f>
      </c>
      <c r="BS854">
        <f>IF(ISBLANK('Data Entry'!$$854), "", 'Data Entry'!$$854)</f>
      </c>
      <c r="BT854">
        <f>IF(ISBLANK('Data Entry'!$$854), "", 'Data Entry'!$$854)</f>
      </c>
      <c r="BU854">
        <f>IF(ISBLANK('Data Entry'!$$854), "", 'Data Entry'!$$854)</f>
      </c>
      <c r="BV854">
        <f>IF(ISBLANK('Data Entry'!$$854), "", 'Data Entry'!$$854)</f>
      </c>
      <c r="BW854">
        <f>IF(ISBLANK('Data Entry'!$$854), "", 'Data Entry'!$$854)</f>
      </c>
      <c r="BX854">
        <f>IF(ISBLANK('Data Entry'!$$854), "", 'Data Entry'!$$854)</f>
      </c>
      <c r="BY854">
        <f>IF(ISBLANK('Data Entry'!$$854), "", 'Data Entry'!$$854)</f>
      </c>
      <c r="BZ854">
        <f>IF(ISBLANK('Data Entry'!$$854), "", 'Data Entry'!$$854)</f>
      </c>
      <c r="CA854">
        <f>IF(ISBLANK('Data Entry'!$$854), "", 'Data Entry'!$$854)</f>
      </c>
      <c r="CB854">
        <f>IF(ISBLANK('Data Entry'!$$854), "", 'Data Entry'!$$854)</f>
      </c>
      <c r="CC854">
        <f>IF(ISBLANK('Data Entry'!$$854), "", 'Data Entry'!$$854)</f>
      </c>
      <c r="CD854">
        <f>IF(ISBLANK('Data Entry'!$$854), "", 'Data Entry'!$$854)</f>
      </c>
      <c r="CE854">
        <f>IF(ISBLANK('Data Entry'!$$854), "", 'Data Entry'!$$854)</f>
      </c>
      <c r="CF854">
        <f>IF(ISBLANK('Data Entry'!$$854), "", 'Data Entry'!$$854)</f>
      </c>
      <c r="CG854">
        <f>IF(ISBLANK('Data Entry'!$$854), "", 'Data Entry'!$$854)</f>
      </c>
      <c r="CH854">
        <f>IF(ISBLANK('Data Entry'!$$854), "", 'Data Entry'!$$854)</f>
      </c>
      <c r="CI854">
        <f>IF(ISBLANK('Data Entry'!$$854), "", 'Data Entry'!$$854)</f>
      </c>
      <c r="CJ854">
        <f>IF(ISBLANK('Data Entry'!$$854), "", 'Data Entry'!$$854)</f>
      </c>
      <c r="CK854">
        <f>IF(ISBLANK('Data Entry'!$$854), "", 'Data Entry'!$$854)</f>
      </c>
      <c r="CL854">
        <f>IF(ISBLANK('Data Entry'!$$854), "", 'Data Entry'!$$854)</f>
      </c>
      <c r="CM854">
        <f>IF(ISBLANK('Data Entry'!$$854), "", 'Data Entry'!$$854)</f>
      </c>
      <c r="CN854">
        <f>IF(ISBLANK('Data Entry'!$$854), "", 'Data Entry'!$$854)</f>
      </c>
      <c r="CO854">
        <f>IF(ISBLANK('Data Entry'!$$854), "", 'Data Entry'!$$854)</f>
      </c>
      <c r="CP854">
        <f>IF(ISBLANK('Data Entry'!$$854), "", 'Data Entry'!$$854)</f>
      </c>
      <c r="CQ854">
        <f>IF(ISBLANK('Data Entry'!$$854), "", 'Data Entry'!$$854)</f>
      </c>
      <c r="CR854">
        <f>IF(ISBLANK('Data Entry'!$ $854), "", 'Data Entry'!$ $854)</f>
      </c>
      <c r="CS854">
        <f>IF(ISBLANK('Data Entry'!$¡$854), "", 'Data Entry'!$¡$854)</f>
      </c>
      <c r="CT854">
        <f>IF(ISBLANK('Data Entry'!$¢$854), "", 'Data Entry'!$¢$854)</f>
      </c>
      <c r="CU854">
        <f>IF(ISBLANK('Data Entry'!$£$854), "", 'Data Entry'!$£$854)</f>
      </c>
      <c r="CV854">
        <f>IF(ISBLANK('Data Entry'!$¤$854), "", 'Data Entry'!$¤$854)</f>
      </c>
      <c r="CW854">
        <f>IF(ISBLANK('Data Entry'!$¥$854), "", 'Data Entry'!$¥$854)</f>
      </c>
      <c r="CX854">
        <f>IF(ISBLANK('Data Entry'!$¦$854), "", 'Data Entry'!$¦$854)</f>
      </c>
      <c r="CY854">
        <f>IF(ISBLANK('Data Entry'!$§$854), "", 'Data Entry'!$§$854)</f>
      </c>
      <c r="CZ854">
        <f>IF(ISBLANK('Data Entry'!$¨$854), "", 'Data Entry'!$¨$854)</f>
      </c>
      <c r="DA854">
        <f>IF(ISBLANK('Data Entry'!$©$854), "", 'Data Entry'!$©$854)</f>
      </c>
      <c r="DB854">
        <f>IF(ISBLANK('Data Entry'!$ª$854), "", 'Data Entry'!$ª$854)</f>
      </c>
      <c r="DC854">
        <f>IF(ISBLANK('Data Entry'!$«$854), "", 'Data Entry'!$«$854)</f>
      </c>
      <c r="DD854">
        <f>IF(ISBLANK('Data Entry'!$¬$854), "", 'Data Entry'!$¬$854)</f>
      </c>
      <c r="DE854">
        <f>IF(ISBLANK('Data Entry'!$­$854), "", 'Data Entry'!$­$854)</f>
      </c>
      <c r="DF854">
        <f>IF(ISBLANK('Data Entry'!$®$854), "", 'Data Entry'!$®$854)</f>
      </c>
      <c r="DG854">
        <f>IF(ISBLANK('Data Entry'!$¯$854), "", 'Data Entry'!$¯$854)</f>
      </c>
      <c r="DH854">
        <f>IF(ISBLANK('Data Entry'!$°$854), "", 'Data Entry'!$°$854)</f>
      </c>
      <c r="DI854">
        <f>IF(ISBLANK('Data Entry'!$±$854), "", 'Data Entry'!$±$854)</f>
      </c>
      <c r="DJ854">
        <f>IF(ISBLANK('Data Entry'!$²$854), "", 'Data Entry'!$²$854)</f>
      </c>
      <c r="DK854">
        <f>IF(ISBLANK('Data Entry'!$³$854), "", 'Data Entry'!$³$854)</f>
      </c>
      <c r="DL854">
        <f>IF(ISBLANK('Data Entry'!$´$854), "", 'Data Entry'!$´$854)</f>
      </c>
      <c r="DM854">
        <f>IF(ISBLANK('Data Entry'!$µ$854), "", 'Data Entry'!$µ$854)</f>
      </c>
      <c r="DN854">
        <f>IF(ISBLANK('Data Entry'!$¶$854), "", 'Data Entry'!$¶$854)</f>
      </c>
      <c r="DO854">
        <f>IF(ISBLANK('Data Entry'!$·$854), "", 'Data Entry'!$·$854)</f>
      </c>
      <c r="DP854">
        <f>IF(ISBLANK('Data Entry'!$¸$854), "", 'Data Entry'!$¸$854)</f>
      </c>
      <c r="DQ854">
        <f>IF(ISBLANK('Data Entry'!$¹$854), "", 'Data Entry'!$¹$854)</f>
      </c>
      <c r="DR854">
        <f>IF(ISBLANK('Data Entry'!$º$854), "", 'Data Entry'!$º$854)</f>
      </c>
      <c r="DS854">
        <f>IF(ISBLANK('Data Entry'!$»$854), "", 'Data Entry'!$»$854)</f>
      </c>
      <c r="DT854">
        <f>IF(ISBLANK('Data Entry'!$¼$854), "", 'Data Entry'!$¼$854)</f>
      </c>
      <c r="DU854">
        <f>IF(ISBLANK('Data Entry'!$½$854), "", 'Data Entry'!$½$854)</f>
      </c>
      <c r="DV854">
        <f>IF(ISBLANK('Data Entry'!$¾$854), "", 'Data Entry'!$¾$854)</f>
      </c>
      <c r="DW854">
        <f>IF(ISBLANK('Data Entry'!$¿$854), "", 'Data Entry'!$¿$854)</f>
      </c>
      <c r="DX854">
        <f>IF(ISBLANK('Data Entry'!$À$854), "", 'Data Entry'!$À$854)</f>
      </c>
      <c r="DY854">
        <f>IF(ISBLANK('Data Entry'!$Á$854), "", 'Data Entry'!$Á$854)</f>
      </c>
      <c r="DZ854">
        <f>IF(ISBLANK('Data Entry'!$Â$854), "", 'Data Entry'!$Â$854)</f>
      </c>
      <c r="EA854">
        <f>IF(ISBLANK('Data Entry'!$Ã$854), "", 'Data Entry'!$Ã$854)</f>
      </c>
      <c r="EB854">
        <f>IF(ISBLANK('Data Entry'!$Ä$854), "", 'Data Entry'!$Ä$854)</f>
      </c>
      <c r="EC854">
        <f>IF(ISBLANK('Data Entry'!$Å$854), "", 'Data Entry'!$Å$854)</f>
      </c>
      <c r="ED854">
        <f>IF(ISBLANK('Data Entry'!$Æ$854), "", 'Data Entry'!$Æ$854)</f>
      </c>
      <c r="EE854">
        <f>IF(ISBLANK('Data Entry'!$Ç$854), "", 'Data Entry'!$Ç$854)</f>
      </c>
      <c r="EF854">
        <f>IF(ISBLANK('Data Entry'!$È$854), "", 'Data Entry'!$È$854)</f>
      </c>
      <c r="EG854">
        <f>IF(ISBLANK('Data Entry'!$É$854), "", 'Data Entry'!$É$854)</f>
      </c>
      <c r="EH854">
        <f>IF(ISBLANK('Data Entry'!$Ê$854), "", 'Data Entry'!$Ê$854)</f>
      </c>
      <c r="EI854">
        <f>IF(ISBLANK('Data Entry'!$Ë$854), "", 'Data Entry'!$Ë$854)</f>
      </c>
      <c r="EJ854">
        <f>IF(ISBLANK('Data Entry'!$Ì$854), "", 'Data Entry'!$Ì$854)</f>
      </c>
      <c r="EK854">
        <f>IF(ISBLANK('Data Entry'!$Í$854), "", 'Data Entry'!$Í$854)</f>
      </c>
      <c r="EL854">
        <f>IF(ISBLANK('Data Entry'!$Î$854), "", 'Data Entry'!$Î$854)</f>
      </c>
      <c r="EM854">
        <f>IF(ISBLANK('Data Entry'!$Ï$854), "", 'Data Entry'!$Ï$854)</f>
      </c>
      <c r="EN854">
        <f>IF(ISBLANK('Data Entry'!$Ð$854), "", 'Data Entry'!$Ð$854)</f>
      </c>
      <c r="EO854">
        <f>IF(ISBLANK('Data Entry'!$Ñ$854), "", 'Data Entry'!$Ñ$854)</f>
      </c>
      <c r="EP854">
        <f>IF(ISBLANK('Data Entry'!$Ò$854), "", 'Data Entry'!$Ò$854)</f>
      </c>
      <c r="EQ854">
        <f>IF(ISBLANK('Data Entry'!$Ó$854), "", 'Data Entry'!$Ó$854)</f>
      </c>
      <c r="ER854">
        <f>IF(ISBLANK('Data Entry'!$Ô$854), "", 'Data Entry'!$Ô$854)</f>
      </c>
      <c r="ES854">
        <f>IF(ISBLANK('Data Entry'!$Õ$854), "", 'Data Entry'!$Õ$854)</f>
      </c>
      <c r="ET854">
        <f>IF(ISBLANK('Data Entry'!$Ö$854), "", 'Data Entry'!$Ö$854)</f>
      </c>
      <c r="EU854">
        <f>IF(ISBLANK('Data Entry'!$×$854), "", 'Data Entry'!$×$854)</f>
      </c>
      <c r="EV854">
        <f>IF(ISBLANK('Data Entry'!$Ø$854), "", 'Data Entry'!$Ø$854)</f>
      </c>
      <c r="EW854">
        <f>IF(ISBLANK('Data Entry'!$Ù$854), "", 'Data Entry'!$Ù$854)</f>
      </c>
      <c r="EX854">
        <f>IF(ISBLANK('Data Entry'!$Ú$854), "", 'Data Entry'!$Ú$854)</f>
      </c>
      <c r="EY854">
        <f>IF(ISBLANK('Data Entry'!$Û$854), "", 'Data Entry'!$Û$854)</f>
      </c>
      <c r="EZ854">
        <f>IF(ISBLANK('Data Entry'!$Ü$854), "", 'Data Entry'!$Ü$854)</f>
      </c>
      <c r="FA854">
        <f>IF(ISBLANK('Data Entry'!$Ý$854), "", 'Data Entry'!$Ý$854)</f>
      </c>
      <c r="FB854">
        <f>IF(ISBLANK('Data Entry'!$Þ$854), "", 'Data Entry'!$Þ$854)</f>
      </c>
      <c r="FC854">
        <f>IF(ISBLANK('Data Entry'!$ß$854), "", 'Data Entry'!$ß$854)</f>
      </c>
      <c r="FD854">
        <f>IF(ISBLANK('Data Entry'!$à$854), "", 'Data Entry'!$à$854)</f>
      </c>
      <c r="FE854">
        <f>IF(ISBLANK('Data Entry'!$á$854), "", 'Data Entry'!$á$854)</f>
      </c>
      <c r="FF854">
        <f>IF(ISBLANK('Data Entry'!$â$854), "", 'Data Entry'!$â$854)</f>
      </c>
      <c r="FG854">
        <f>IF(ISBLANK('Data Entry'!$ã$854), "", 'Data Entry'!$ã$854)</f>
      </c>
      <c r="FH854">
        <f>IF(ISBLANK('Data Entry'!$ä$854), "", 'Data Entry'!$ä$854)</f>
      </c>
      <c r="FI854">
        <f>IF(ISBLANK('Data Entry'!$å$854), "", 'Data Entry'!$å$854)</f>
      </c>
      <c r="FJ854">
        <f>IF(ISBLANK('Data Entry'!$æ$854), "", 'Data Entry'!$æ$854)</f>
      </c>
      <c r="FK854">
        <f>IF(ISBLANK('Data Entry'!$ç$854), "", 'Data Entry'!$ç$854)</f>
      </c>
      <c r="FL854">
        <f>IF(ISBLANK('Data Entry'!$è$854), "", 'Data Entry'!$è$854)</f>
      </c>
      <c r="FM854">
        <f>IF(ISBLANK('Data Entry'!$é$854), "", 'Data Entry'!$é$854)</f>
      </c>
      <c r="FN854">
        <f>IF(ISBLANK('Data Entry'!$ê$854), "", 'Data Entry'!$ê$854)</f>
      </c>
      <c r="FO854">
        <f>IF(ISBLANK('Data Entry'!$ë$854), "", 'Data Entry'!$ë$854)</f>
      </c>
      <c r="FP854">
        <f>IF(ISBLANK('Data Entry'!$ì$854), "", 'Data Entry'!$ì$854)</f>
      </c>
      <c r="FQ854">
        <f>IF(ISBLANK('Data Entry'!$í$854), "", 'Data Entry'!$í$854)</f>
      </c>
      <c r="FR854">
        <f>IF(ISBLANK('Data Entry'!$î$854), "", 'Data Entry'!$î$854)</f>
      </c>
      <c r="FS854">
        <f>IF(ISBLANK('Data Entry'!$ï$854), "", 'Data Entry'!$ï$854)</f>
      </c>
      <c r="FT854">
        <f>IF(ISBLANK('Data Entry'!$ð$854), "", 'Data Entry'!$ð$854)</f>
      </c>
      <c r="FU854">
        <f>IF(ISBLANK('Data Entry'!$ñ$854), "", 'Data Entry'!$ñ$854)</f>
      </c>
      <c r="FV854">
        <f>IF(ISBLANK('Data Entry'!$ò$854), "", 'Data Entry'!$ò$854)</f>
      </c>
      <c r="FW854">
        <f>IF(ISBLANK('Data Entry'!$ó$854), "", 'Data Entry'!$ó$854)</f>
      </c>
      <c r="FX854">
        <f>IF(ISBLANK('Data Entry'!$ô$854), "", 'Data Entry'!$ô$854)</f>
      </c>
      <c r="FY854">
        <f>IF(ISBLANK('Data Entry'!$õ$854), "", 'Data Entry'!$õ$854)</f>
      </c>
      <c r="FZ854">
        <f>IF(ISBLANK('Data Entry'!$ö$854), "", 'Data Entry'!$ö$854)</f>
      </c>
      <c r="GA854">
        <f>IF(ISBLANK('Data Entry'!$÷$854), "", 'Data Entry'!$÷$854)</f>
      </c>
      <c r="GB854">
        <f>IF(ISBLANK('Data Entry'!$ø$854), "", 'Data Entry'!$ø$854)</f>
      </c>
      <c r="GC854">
        <f>IF(ISBLANK('Data Entry'!$ù$854), "", 'Data Entry'!$ù$854)</f>
      </c>
      <c r="GD854">
        <f>IF(ISBLANK('Data Entry'!$ú$854), "", 'Data Entry'!$ú$854)</f>
      </c>
      <c r="GE854">
        <f>IF(ISBLANK('Data Entry'!$û$854), "", 'Data Entry'!$û$854)</f>
      </c>
      <c r="GF854">
        <f>IF(ISBLANK('Data Entry'!$ü$854), "", 'Data Entry'!$ü$854)</f>
      </c>
      <c r="GG854">
        <f>IF(ISBLANK('Data Entry'!$ý$854), "", 'Data Entry'!$ý$854)</f>
      </c>
      <c r="GH854">
        <f>IF(ISBLANK('Data Entry'!$þ$854), "", 'Data Entry'!$þ$854)</f>
      </c>
      <c r="GI854">
        <f>IF(ISBLANK('Data Entry'!$ÿ$854), "", 'Data Entry'!$ÿ$854)</f>
      </c>
      <c r="GJ854">
        <f>IF(ISBLANK('Data Entry'!$Ā$854), "", 'Data Entry'!$Ā$854)</f>
      </c>
      <c r="GK854">
        <f>IF(ISBLANK('Data Entry'!$ā$854), "", 'Data Entry'!$ā$854)</f>
      </c>
      <c r="GL854">
        <f>IF(ISBLANK('Data Entry'!$Ă$854), "", 'Data Entry'!$Ă$854)</f>
      </c>
      <c r="GM854">
        <f>IF(ISBLANK('Data Entry'!$ă$854), "", 'Data Entry'!$ă$854)</f>
      </c>
      <c r="GN854">
        <f>IF(ISBLANK('Data Entry'!$Ą$854), "", 'Data Entry'!$Ą$854)</f>
      </c>
      <c r="GO854">
        <f>IF(ISBLANK('Data Entry'!$ą$854), "", 'Data Entry'!$ą$854)</f>
      </c>
      <c r="GP854">
        <f>IF(ISBLANK('Data Entry'!$Ć$854), "", 'Data Entry'!$Ć$854)</f>
      </c>
      <c r="GQ854">
        <f>IF(ISBLANK('Data Entry'!$ć$854), "", 'Data Entry'!$ć$854)</f>
      </c>
      <c r="GR854">
        <f>IF(ISBLANK('Data Entry'!$Ĉ$854), "", 'Data Entry'!$Ĉ$854)</f>
      </c>
      <c r="GS854">
        <f>IF(ISBLANK('Data Entry'!$ĉ$854), "", 'Data Entry'!$ĉ$854)</f>
      </c>
      <c r="GT854">
        <f>IF(ISBLANK('Data Entry'!$Ċ$854), "", 'Data Entry'!$Ċ$854)</f>
      </c>
      <c r="GU854">
        <f>IF(ISBLANK('Data Entry'!$ċ$854), "", 'Data Entry'!$ċ$854)</f>
      </c>
      <c r="GV854">
        <f>IF(ISBLANK('Data Entry'!$Č$854), "", 'Data Entry'!$Č$854)</f>
      </c>
      <c r="GW854">
        <f>IF(ISBLANK('Data Entry'!$č$854), "", 'Data Entry'!$č$854)</f>
      </c>
      <c r="GX854">
        <f>IF(ISBLANK('Data Entry'!$Ď$854), "", 'Data Entry'!$Ď$854)</f>
      </c>
      <c r="GY854">
        <f>IF(ISBLANK('Data Entry'!$ď$854), "", 'Data Entry'!$ď$854)</f>
      </c>
      <c r="GZ854">
        <f>IF(ISBLANK('Data Entry'!$Đ$854), "", 'Data Entry'!$Đ$854)</f>
      </c>
      <c r="HA854">
        <f>IF(ISBLANK('Data Entry'!$đ$854), "", 'Data Entry'!$đ$854)</f>
      </c>
      <c r="HB854">
        <f>IF(ISBLANK('Data Entry'!$Ē$854), "", 'Data Entry'!$Ē$854)</f>
      </c>
      <c r="HC854">
        <f>IF(ISBLANK('Data Entry'!$ē$854), "", 'Data Entry'!$ē$854)</f>
      </c>
      <c r="HD854">
        <f>IF(ISBLANK('Data Entry'!$Ĕ$854), "", 'Data Entry'!$Ĕ$854)</f>
      </c>
      <c r="HE854">
        <f>IF(ISBLANK('Data Entry'!$ĕ$854), "", 'Data Entry'!$ĕ$854)</f>
      </c>
      <c r="HF854">
        <f>IF(ISBLANK('Data Entry'!$Ė$854), "", 'Data Entry'!$Ė$854)</f>
      </c>
      <c r="HG854">
        <f>IF(ISBLANK('Data Entry'!$ė$854), "", 'Data Entry'!$ė$854)</f>
      </c>
      <c r="HH854">
        <f>IF(ISBLANK('Data Entry'!$Ę$854), "", 'Data Entry'!$Ę$854)</f>
      </c>
      <c r="HI854">
        <f>IF(ISBLANK('Data Entry'!$ę$854), "", 'Data Entry'!$ę$854)</f>
      </c>
      <c r="HJ854">
        <f>IF(ISBLANK('Data Entry'!$Ě$854), "", 'Data Entry'!$Ě$854)</f>
      </c>
      <c r="HK854">
        <f>IF(ISBLANK('Data Entry'!$ě$854), "", 'Data Entry'!$ě$854)</f>
      </c>
      <c r="HL854">
        <f>IF(ISBLANK('Data Entry'!$Ĝ$854), "", 'Data Entry'!$Ĝ$854)</f>
      </c>
      <c r="HM854">
        <f>IF(ISBLANK('Data Entry'!$ĝ$854), "", 'Data Entry'!$ĝ$854)</f>
      </c>
      <c r="HN854">
        <f>IF(ISBLANK('Data Entry'!$Ğ$854), "", 'Data Entry'!$Ğ$854)</f>
      </c>
      <c r="HO854">
        <f>IF(ISBLANK('Data Entry'!$ğ$854), "", 'Data Entry'!$ğ$854)</f>
      </c>
      <c r="HP854">
        <f>IF(ISBLANK('Data Entry'!$Ġ$854), "", 'Data Entry'!$Ġ$854)</f>
      </c>
      <c r="HQ854">
        <f>IF(ISBLANK('Data Entry'!$ġ$854), "", 'Data Entry'!$ġ$854)</f>
      </c>
      <c r="HR854">
        <f>IF(ISBLANK('Data Entry'!$Ģ$854), "", 'Data Entry'!$Ģ$854)</f>
      </c>
      <c r="HS854">
        <f>IF(ISBLANK('Data Entry'!$ģ$854), "", 'Data Entry'!$ģ$854)</f>
      </c>
      <c r="HT854">
        <f>IF(ISBLANK('Data Entry'!$Ĥ$854), "", 'Data Entry'!$Ĥ$854)</f>
      </c>
      <c r="HU854">
        <f>IF(ISBLANK('Data Entry'!$ĥ$854), "", 'Data Entry'!$ĥ$854)</f>
      </c>
      <c r="HV854">
        <f>IF(ISBLANK('Data Entry'!$Ħ$854), "", 'Data Entry'!$Ħ$854)</f>
      </c>
      <c r="HW854">
        <f>IF(ISBLANK('Data Entry'!$ħ$854), "", 'Data Entry'!$ħ$854)</f>
      </c>
      <c r="HX854">
        <f>IF(ISBLANK('Data Entry'!$Ĩ$854), "", 'Data Entry'!$Ĩ$854)</f>
      </c>
      <c r="HY854">
        <f>IF(ISBLANK('Data Entry'!$ĩ$854), "", 'Data Entry'!$ĩ$854)</f>
      </c>
      <c r="HZ854">
        <f>IF(ISBLANK('Data Entry'!$Ī$854), "", 'Data Entry'!$Ī$854)</f>
      </c>
      <c r="IA854">
        <f>IF(ISBLANK('Data Entry'!$ī$854), "", 'Data Entry'!$ī$854)</f>
      </c>
      <c r="IB854">
        <f>IF(ISBLANK('Data Entry'!$Ĭ$854), "", 'Data Entry'!$Ĭ$854)</f>
      </c>
      <c r="IC854">
        <f>IF(ISBLANK('Data Entry'!$ĭ$854), "", 'Data Entry'!$ĭ$854)</f>
      </c>
      <c r="ID854">
        <f>IF(ISBLANK('Data Entry'!$Į$854), "", 'Data Entry'!$Į$854)</f>
      </c>
      <c r="IE854">
        <f>IF(ISBLANK('Data Entry'!$į$854), "", 'Data Entry'!$į$854)</f>
      </c>
      <c r="IF854">
        <f>IF(ISBLANK('Data Entry'!$İ$854), "", 'Data Entry'!$İ$854)</f>
      </c>
      <c r="IG854">
        <f>IF(ISBLANK('Data Entry'!$ı$854), "", 'Data Entry'!$ı$854)</f>
      </c>
      <c r="IH854">
        <f>IF(ISBLANK('Data Entry'!$Ĳ$854), "", 'Data Entry'!$Ĳ$854)</f>
      </c>
      <c r="II854">
        <f>IF(ISBLANK('Data Entry'!$ĳ$854), "", 'Data Entry'!$ĳ$854)</f>
      </c>
      <c r="IJ854">
        <f>IF(ISBLANK('Data Entry'!$Ĵ$854), "", 'Data Entry'!$Ĵ$854)</f>
      </c>
      <c r="IK854">
        <f>IF(ISBLANK('Data Entry'!$ĵ$854), "", 'Data Entry'!$ĵ$854)</f>
      </c>
      <c r="IL854">
        <f>IF(ISBLANK('Data Entry'!$Ķ$854), "", 'Data Entry'!$Ķ$854)</f>
      </c>
      <c r="IM854">
        <f>IF(ISBLANK('Data Entry'!$ķ$854), "", 'Data Entry'!$ķ$854)</f>
      </c>
      <c r="IN854">
        <f>IF(ISBLANK('Data Entry'!$ĸ$854), "", 'Data Entry'!$ĸ$854)</f>
      </c>
      <c r="IO854">
        <f>IF(ISBLANK('Data Entry'!$Ĺ$854), "", 'Data Entry'!$Ĺ$854)</f>
      </c>
      <c r="IP854">
        <f>IF(ISBLANK('Data Entry'!$ĺ$854), "", 'Data Entry'!$ĺ$854)</f>
      </c>
      <c r="IQ854">
        <f>IF(ISBLANK('Data Entry'!$Ļ$854), "", 'Data Entry'!$Ļ$854)</f>
      </c>
      <c r="IR854">
        <f>IF(ISBLANK('Data Entry'!$ļ$854), "", 'Data Entry'!$ļ$854)</f>
      </c>
      <c r="IS854">
        <f>IF(ISBLANK('Data Entry'!$Ľ$854), "", 'Data Entry'!$Ľ$854)</f>
      </c>
      <c r="IT854">
        <f>IF(ISBLANK('Data Entry'!$ľ$854), "", 'Data Entry'!$ľ$854)</f>
      </c>
    </row>
    <row r="855" spans="1:254" x14ac:dyDescent="0.25">
      <c r="A855">
        <f>IF(ISBLANK('Data Entry'!$A$855), "", 'Data Entry'!$A$855)</f>
      </c>
      <c r="B855">
        <f>IF(ISBLANK('Data Entry'!$B$855), "", 'Data Entry'!$B$855)</f>
      </c>
      <c r="C855">
        <f>IF(ISBLANK('Data Entry'!$C$855), "", 'Data Entry'!$C$855)</f>
      </c>
      <c r="D855">
        <f>IF(ISBLANK('Data Entry'!$D$855), "", 'Data Entry'!$D$855)</f>
      </c>
      <c r="E855">
        <f>IF(ISBLANK('Data Entry'!$E$855), "", 'Data Entry'!$E$855)</f>
      </c>
      <c r="F855">
        <f>IF(ISBLANK('Data Entry'!$F$855), "", 'Data Entry'!$F$855)</f>
      </c>
      <c r="G855">
        <f>IF(ISBLANK('Data Entry'!$G$855), "", 'Data Entry'!$G$855)</f>
      </c>
      <c r="H855">
        <f>IF(ISBLANK('Data Entry'!$H$855), "", 'Data Entry'!$H$855)</f>
      </c>
      <c r="I855">
        <f>IF(ISBLANK('Data Entry'!$I$855), "", 'Data Entry'!$I$855)</f>
      </c>
      <c r="J855">
        <f>IF(ISBLANK('Data Entry'!$J$855), "", 'Data Entry'!$J$855)</f>
      </c>
      <c r="K855">
        <f>IF(ISBLANK('Data Entry'!$K$855), "", 'Data Entry'!$K$855)</f>
      </c>
      <c r="L855">
        <f>IF(ISBLANK('Data Entry'!$L$855), "", 'Data Entry'!$L$855)</f>
      </c>
      <c r="M855">
        <f>IF(ISBLANK('Data Entry'!$M$855), "", 'Data Entry'!$M$855)</f>
      </c>
      <c r="N855">
        <f>IF(ISBLANK('Data Entry'!$N$855), "", 'Data Entry'!$N$855)</f>
      </c>
      <c r="O855">
        <f>IF(ISBLANK('Data Entry'!$O$855), "", 'Data Entry'!$O$855)</f>
      </c>
      <c r="P855">
        <f>IF(ISBLANK('Data Entry'!$P$855), "", 'Data Entry'!$P$855)</f>
      </c>
      <c r="Q855">
        <f>IF(ISBLANK('Data Entry'!$Q$855), "", 'Data Entry'!$Q$855)</f>
      </c>
      <c r="R855">
        <f>IF(ISBLANK('Data Entry'!$R$855), "", 'Data Entry'!$R$855)</f>
      </c>
      <c r="S855">
        <f>IF(ISBLANK('Data Entry'!$S$855), "", 'Data Entry'!$S$855)</f>
      </c>
      <c r="T855">
        <f>IF(ISBLANK('Data Entry'!$T$855), "", 'Data Entry'!$T$855)</f>
      </c>
      <c r="U855">
        <f>IF(ISBLANK('Data Entry'!$U$855), "", 'Data Entry'!$U$855)</f>
      </c>
      <c r="V855">
        <f>IF(ISBLANK('Data Entry'!$V$855), "", 'Data Entry'!$V$855)</f>
      </c>
      <c r="W855">
        <f>IF(ISBLANK('Data Entry'!$W$855), "", 'Data Entry'!$W$855)</f>
      </c>
      <c r="X855">
        <f>IF(ISBLANK('Data Entry'!$X$855), "", 'Data Entry'!$X$855)</f>
      </c>
      <c r="Y855">
        <f>IF(ISBLANK('Data Entry'!$Y$855), "", 'Data Entry'!$Y$855)</f>
      </c>
      <c r="Z855">
        <f>IF(ISBLANK('Data Entry'!$Z$855), "", 'Data Entry'!$Z$855)</f>
      </c>
      <c r="AA855">
        <f>IF(ISBLANK('Data Entry'!$[$855), "", 'Data Entry'!$[$855)</f>
      </c>
      <c r="AB855">
        <f>IF(ISBLANK('Data Entry'!$\$855), "", 'Data Entry'!$\$855)</f>
      </c>
      <c r="AC855">
        <f>IF(ISBLANK('Data Entry'!$]$855), "", 'Data Entry'!$]$855)</f>
      </c>
      <c r="AD855">
        <f>IF(ISBLANK('Data Entry'!$^$855), "", 'Data Entry'!$^$855)</f>
      </c>
      <c r="AE855">
        <f>IF(ISBLANK('Data Entry'!$_$855), "", 'Data Entry'!$_$855)</f>
      </c>
      <c r="AF855">
        <f>IF(ISBLANK('Data Entry'!$`$855), "", 'Data Entry'!$`$855)</f>
      </c>
      <c r="AG855">
        <f>IF(ISBLANK('Data Entry'!$a$855), "", 'Data Entry'!$a$855)</f>
      </c>
      <c r="AH855">
        <f>IF(ISBLANK('Data Entry'!$b$855), "", 'Data Entry'!$b$855)</f>
      </c>
      <c r="AI855">
        <f>IF(ISBLANK('Data Entry'!$c$855), "", 'Data Entry'!$c$855)</f>
      </c>
      <c r="AJ855">
        <f>IF(ISBLANK('Data Entry'!$d$855), "", 'Data Entry'!$d$855)</f>
      </c>
      <c r="AK855">
        <f>IF(ISBLANK('Data Entry'!$e$855), "", 'Data Entry'!$e$855)</f>
      </c>
      <c r="AL855">
        <f>IF(ISBLANK('Data Entry'!$f$855), "", 'Data Entry'!$f$855)</f>
      </c>
      <c r="AM855">
        <f>IF(ISBLANK('Data Entry'!$g$855), "", 'Data Entry'!$g$855)</f>
      </c>
      <c r="AN855">
        <f>IF(ISBLANK('Data Entry'!$h$855), "", 'Data Entry'!$h$855)</f>
      </c>
      <c r="AO855">
        <f>IF(ISBLANK('Data Entry'!$i$855), "", 'Data Entry'!$i$855)</f>
      </c>
      <c r="AP855">
        <f>IF(ISBLANK('Data Entry'!$j$855), "", 'Data Entry'!$j$855)</f>
      </c>
      <c r="AQ855">
        <f>IF(ISBLANK('Data Entry'!$k$855), "", 'Data Entry'!$k$855)</f>
      </c>
      <c r="AR855">
        <f>IF(ISBLANK('Data Entry'!$l$855), "", 'Data Entry'!$l$855)</f>
      </c>
      <c r="AS855">
        <f>IF(ISBLANK('Data Entry'!$m$855), "", 'Data Entry'!$m$855)</f>
      </c>
      <c r="AT855">
        <f>IF(ISBLANK('Data Entry'!$n$855), "", 'Data Entry'!$n$855)</f>
      </c>
      <c r="AU855">
        <f>IF(ISBLANK('Data Entry'!$o$855), "", 'Data Entry'!$o$855)</f>
      </c>
      <c r="AV855">
        <f>IF(ISBLANK('Data Entry'!$p$855), "", 'Data Entry'!$p$855)</f>
      </c>
      <c r="AW855">
        <f>IF(ISBLANK('Data Entry'!$q$855), "", 'Data Entry'!$q$855)</f>
      </c>
      <c r="AX855">
        <f>IF(ISBLANK('Data Entry'!$r$855), "", 'Data Entry'!$r$855)</f>
      </c>
      <c r="AY855">
        <f>IF(ISBLANK('Data Entry'!$s$855), "", 'Data Entry'!$s$855)</f>
      </c>
      <c r="AZ855">
        <f>IF(ISBLANK('Data Entry'!$t$855), "", 'Data Entry'!$t$855)</f>
      </c>
      <c r="BA855">
        <f>IF(ISBLANK('Data Entry'!$u$855), "", 'Data Entry'!$u$855)</f>
      </c>
      <c r="BB855">
        <f>IF(ISBLANK('Data Entry'!$v$855), "", 'Data Entry'!$v$855)</f>
      </c>
      <c r="BC855">
        <f>IF(ISBLANK('Data Entry'!$w$855), "", 'Data Entry'!$w$855)</f>
      </c>
      <c r="BD855">
        <f>IF(ISBLANK('Data Entry'!$x$855), "", 'Data Entry'!$x$855)</f>
      </c>
      <c r="BE855">
        <f>IF(ISBLANK('Data Entry'!$y$855), "", 'Data Entry'!$y$855)</f>
      </c>
      <c r="BF855">
        <f>IF(ISBLANK('Data Entry'!$z$855), "", 'Data Entry'!$z$855)</f>
      </c>
      <c r="BG855">
        <f>IF(ISBLANK('Data Entry'!${$855), "", 'Data Entry'!${$855)</f>
      </c>
      <c r="BH855">
        <f>IF(ISBLANK('Data Entry'!$|$855), "", 'Data Entry'!$|$855)</f>
      </c>
      <c r="BI855">
        <f>IF(ISBLANK('Data Entry'!$}$855), "", 'Data Entry'!$}$855)</f>
      </c>
      <c r="BJ855">
        <f>IF(ISBLANK('Data Entry'!$~$855), "", 'Data Entry'!$~$855)</f>
      </c>
      <c r="BK855">
        <f>IF(ISBLANK('Data Entry'!$$855), "", 'Data Entry'!$$855)</f>
      </c>
      <c r="BL855">
        <f>IF(ISBLANK('Data Entry'!$$855), "", 'Data Entry'!$$855)</f>
      </c>
      <c r="BM855">
        <f>IF(ISBLANK('Data Entry'!$$855), "", 'Data Entry'!$$855)</f>
      </c>
      <c r="BN855">
        <f>IF(ISBLANK('Data Entry'!$$855), "", 'Data Entry'!$$855)</f>
      </c>
      <c r="BO855">
        <f>IF(ISBLANK('Data Entry'!$$855), "", 'Data Entry'!$$855)</f>
      </c>
      <c r="BP855">
        <f>IF(ISBLANK('Data Entry'!$$855), "", 'Data Entry'!$$855)</f>
      </c>
      <c r="BQ855">
        <f>IF(ISBLANK('Data Entry'!$$855), "", 'Data Entry'!$$855)</f>
      </c>
      <c r="BR855">
        <f>IF(ISBLANK('Data Entry'!$$855), "", 'Data Entry'!$$855)</f>
      </c>
      <c r="BS855">
        <f>IF(ISBLANK('Data Entry'!$$855), "", 'Data Entry'!$$855)</f>
      </c>
      <c r="BT855">
        <f>IF(ISBLANK('Data Entry'!$$855), "", 'Data Entry'!$$855)</f>
      </c>
      <c r="BU855">
        <f>IF(ISBLANK('Data Entry'!$$855), "", 'Data Entry'!$$855)</f>
      </c>
      <c r="BV855">
        <f>IF(ISBLANK('Data Entry'!$$855), "", 'Data Entry'!$$855)</f>
      </c>
      <c r="BW855">
        <f>IF(ISBLANK('Data Entry'!$$855), "", 'Data Entry'!$$855)</f>
      </c>
      <c r="BX855">
        <f>IF(ISBLANK('Data Entry'!$$855), "", 'Data Entry'!$$855)</f>
      </c>
      <c r="BY855">
        <f>IF(ISBLANK('Data Entry'!$$855), "", 'Data Entry'!$$855)</f>
      </c>
      <c r="BZ855">
        <f>IF(ISBLANK('Data Entry'!$$855), "", 'Data Entry'!$$855)</f>
      </c>
      <c r="CA855">
        <f>IF(ISBLANK('Data Entry'!$$855), "", 'Data Entry'!$$855)</f>
      </c>
      <c r="CB855">
        <f>IF(ISBLANK('Data Entry'!$$855), "", 'Data Entry'!$$855)</f>
      </c>
      <c r="CC855">
        <f>IF(ISBLANK('Data Entry'!$$855), "", 'Data Entry'!$$855)</f>
      </c>
      <c r="CD855">
        <f>IF(ISBLANK('Data Entry'!$$855), "", 'Data Entry'!$$855)</f>
      </c>
      <c r="CE855">
        <f>IF(ISBLANK('Data Entry'!$$855), "", 'Data Entry'!$$855)</f>
      </c>
      <c r="CF855">
        <f>IF(ISBLANK('Data Entry'!$$855), "", 'Data Entry'!$$855)</f>
      </c>
      <c r="CG855">
        <f>IF(ISBLANK('Data Entry'!$$855), "", 'Data Entry'!$$855)</f>
      </c>
      <c r="CH855">
        <f>IF(ISBLANK('Data Entry'!$$855), "", 'Data Entry'!$$855)</f>
      </c>
      <c r="CI855">
        <f>IF(ISBLANK('Data Entry'!$$855), "", 'Data Entry'!$$855)</f>
      </c>
      <c r="CJ855">
        <f>IF(ISBLANK('Data Entry'!$$855), "", 'Data Entry'!$$855)</f>
      </c>
      <c r="CK855">
        <f>IF(ISBLANK('Data Entry'!$$855), "", 'Data Entry'!$$855)</f>
      </c>
      <c r="CL855">
        <f>IF(ISBLANK('Data Entry'!$$855), "", 'Data Entry'!$$855)</f>
      </c>
      <c r="CM855">
        <f>IF(ISBLANK('Data Entry'!$$855), "", 'Data Entry'!$$855)</f>
      </c>
      <c r="CN855">
        <f>IF(ISBLANK('Data Entry'!$$855), "", 'Data Entry'!$$855)</f>
      </c>
      <c r="CO855">
        <f>IF(ISBLANK('Data Entry'!$$855), "", 'Data Entry'!$$855)</f>
      </c>
      <c r="CP855">
        <f>IF(ISBLANK('Data Entry'!$$855), "", 'Data Entry'!$$855)</f>
      </c>
      <c r="CQ855">
        <f>IF(ISBLANK('Data Entry'!$$855), "", 'Data Entry'!$$855)</f>
      </c>
      <c r="CR855">
        <f>IF(ISBLANK('Data Entry'!$ $855), "", 'Data Entry'!$ $855)</f>
      </c>
      <c r="CS855">
        <f>IF(ISBLANK('Data Entry'!$¡$855), "", 'Data Entry'!$¡$855)</f>
      </c>
      <c r="CT855">
        <f>IF(ISBLANK('Data Entry'!$¢$855), "", 'Data Entry'!$¢$855)</f>
      </c>
      <c r="CU855">
        <f>IF(ISBLANK('Data Entry'!$£$855), "", 'Data Entry'!$£$855)</f>
      </c>
      <c r="CV855">
        <f>IF(ISBLANK('Data Entry'!$¤$855), "", 'Data Entry'!$¤$855)</f>
      </c>
      <c r="CW855">
        <f>IF(ISBLANK('Data Entry'!$¥$855), "", 'Data Entry'!$¥$855)</f>
      </c>
      <c r="CX855">
        <f>IF(ISBLANK('Data Entry'!$¦$855), "", 'Data Entry'!$¦$855)</f>
      </c>
      <c r="CY855">
        <f>IF(ISBLANK('Data Entry'!$§$855), "", 'Data Entry'!$§$855)</f>
      </c>
      <c r="CZ855">
        <f>IF(ISBLANK('Data Entry'!$¨$855), "", 'Data Entry'!$¨$855)</f>
      </c>
      <c r="DA855">
        <f>IF(ISBLANK('Data Entry'!$©$855), "", 'Data Entry'!$©$855)</f>
      </c>
      <c r="DB855">
        <f>IF(ISBLANK('Data Entry'!$ª$855), "", 'Data Entry'!$ª$855)</f>
      </c>
      <c r="DC855">
        <f>IF(ISBLANK('Data Entry'!$«$855), "", 'Data Entry'!$«$855)</f>
      </c>
      <c r="DD855">
        <f>IF(ISBLANK('Data Entry'!$¬$855), "", 'Data Entry'!$¬$855)</f>
      </c>
      <c r="DE855">
        <f>IF(ISBLANK('Data Entry'!$­$855), "", 'Data Entry'!$­$855)</f>
      </c>
      <c r="DF855">
        <f>IF(ISBLANK('Data Entry'!$®$855), "", 'Data Entry'!$®$855)</f>
      </c>
      <c r="DG855">
        <f>IF(ISBLANK('Data Entry'!$¯$855), "", 'Data Entry'!$¯$855)</f>
      </c>
      <c r="DH855">
        <f>IF(ISBLANK('Data Entry'!$°$855), "", 'Data Entry'!$°$855)</f>
      </c>
      <c r="DI855">
        <f>IF(ISBLANK('Data Entry'!$±$855), "", 'Data Entry'!$±$855)</f>
      </c>
      <c r="DJ855">
        <f>IF(ISBLANK('Data Entry'!$²$855), "", 'Data Entry'!$²$855)</f>
      </c>
      <c r="DK855">
        <f>IF(ISBLANK('Data Entry'!$³$855), "", 'Data Entry'!$³$855)</f>
      </c>
      <c r="DL855">
        <f>IF(ISBLANK('Data Entry'!$´$855), "", 'Data Entry'!$´$855)</f>
      </c>
      <c r="DM855">
        <f>IF(ISBLANK('Data Entry'!$µ$855), "", 'Data Entry'!$µ$855)</f>
      </c>
      <c r="DN855">
        <f>IF(ISBLANK('Data Entry'!$¶$855), "", 'Data Entry'!$¶$855)</f>
      </c>
      <c r="DO855">
        <f>IF(ISBLANK('Data Entry'!$·$855), "", 'Data Entry'!$·$855)</f>
      </c>
      <c r="DP855">
        <f>IF(ISBLANK('Data Entry'!$¸$855), "", 'Data Entry'!$¸$855)</f>
      </c>
      <c r="DQ855">
        <f>IF(ISBLANK('Data Entry'!$¹$855), "", 'Data Entry'!$¹$855)</f>
      </c>
      <c r="DR855">
        <f>IF(ISBLANK('Data Entry'!$º$855), "", 'Data Entry'!$º$855)</f>
      </c>
      <c r="DS855">
        <f>IF(ISBLANK('Data Entry'!$»$855), "", 'Data Entry'!$»$855)</f>
      </c>
      <c r="DT855">
        <f>IF(ISBLANK('Data Entry'!$¼$855), "", 'Data Entry'!$¼$855)</f>
      </c>
      <c r="DU855">
        <f>IF(ISBLANK('Data Entry'!$½$855), "", 'Data Entry'!$½$855)</f>
      </c>
      <c r="DV855">
        <f>IF(ISBLANK('Data Entry'!$¾$855), "", 'Data Entry'!$¾$855)</f>
      </c>
      <c r="DW855">
        <f>IF(ISBLANK('Data Entry'!$¿$855), "", 'Data Entry'!$¿$855)</f>
      </c>
      <c r="DX855">
        <f>IF(ISBLANK('Data Entry'!$À$855), "", 'Data Entry'!$À$855)</f>
      </c>
      <c r="DY855">
        <f>IF(ISBLANK('Data Entry'!$Á$855), "", 'Data Entry'!$Á$855)</f>
      </c>
      <c r="DZ855">
        <f>IF(ISBLANK('Data Entry'!$Â$855), "", 'Data Entry'!$Â$855)</f>
      </c>
      <c r="EA855">
        <f>IF(ISBLANK('Data Entry'!$Ã$855), "", 'Data Entry'!$Ã$855)</f>
      </c>
      <c r="EB855">
        <f>IF(ISBLANK('Data Entry'!$Ä$855), "", 'Data Entry'!$Ä$855)</f>
      </c>
      <c r="EC855">
        <f>IF(ISBLANK('Data Entry'!$Å$855), "", 'Data Entry'!$Å$855)</f>
      </c>
      <c r="ED855">
        <f>IF(ISBLANK('Data Entry'!$Æ$855), "", 'Data Entry'!$Æ$855)</f>
      </c>
      <c r="EE855">
        <f>IF(ISBLANK('Data Entry'!$Ç$855), "", 'Data Entry'!$Ç$855)</f>
      </c>
      <c r="EF855">
        <f>IF(ISBLANK('Data Entry'!$È$855), "", 'Data Entry'!$È$855)</f>
      </c>
      <c r="EG855">
        <f>IF(ISBLANK('Data Entry'!$É$855), "", 'Data Entry'!$É$855)</f>
      </c>
      <c r="EH855">
        <f>IF(ISBLANK('Data Entry'!$Ê$855), "", 'Data Entry'!$Ê$855)</f>
      </c>
      <c r="EI855">
        <f>IF(ISBLANK('Data Entry'!$Ë$855), "", 'Data Entry'!$Ë$855)</f>
      </c>
      <c r="EJ855">
        <f>IF(ISBLANK('Data Entry'!$Ì$855), "", 'Data Entry'!$Ì$855)</f>
      </c>
      <c r="EK855">
        <f>IF(ISBLANK('Data Entry'!$Í$855), "", 'Data Entry'!$Í$855)</f>
      </c>
      <c r="EL855">
        <f>IF(ISBLANK('Data Entry'!$Î$855), "", 'Data Entry'!$Î$855)</f>
      </c>
      <c r="EM855">
        <f>IF(ISBLANK('Data Entry'!$Ï$855), "", 'Data Entry'!$Ï$855)</f>
      </c>
      <c r="EN855">
        <f>IF(ISBLANK('Data Entry'!$Ð$855), "", 'Data Entry'!$Ð$855)</f>
      </c>
      <c r="EO855">
        <f>IF(ISBLANK('Data Entry'!$Ñ$855), "", 'Data Entry'!$Ñ$855)</f>
      </c>
      <c r="EP855">
        <f>IF(ISBLANK('Data Entry'!$Ò$855), "", 'Data Entry'!$Ò$855)</f>
      </c>
      <c r="EQ855">
        <f>IF(ISBLANK('Data Entry'!$Ó$855), "", 'Data Entry'!$Ó$855)</f>
      </c>
      <c r="ER855">
        <f>IF(ISBLANK('Data Entry'!$Ô$855), "", 'Data Entry'!$Ô$855)</f>
      </c>
      <c r="ES855">
        <f>IF(ISBLANK('Data Entry'!$Õ$855), "", 'Data Entry'!$Õ$855)</f>
      </c>
      <c r="ET855">
        <f>IF(ISBLANK('Data Entry'!$Ö$855), "", 'Data Entry'!$Ö$855)</f>
      </c>
      <c r="EU855">
        <f>IF(ISBLANK('Data Entry'!$×$855), "", 'Data Entry'!$×$855)</f>
      </c>
      <c r="EV855">
        <f>IF(ISBLANK('Data Entry'!$Ø$855), "", 'Data Entry'!$Ø$855)</f>
      </c>
      <c r="EW855">
        <f>IF(ISBLANK('Data Entry'!$Ù$855), "", 'Data Entry'!$Ù$855)</f>
      </c>
      <c r="EX855">
        <f>IF(ISBLANK('Data Entry'!$Ú$855), "", 'Data Entry'!$Ú$855)</f>
      </c>
      <c r="EY855">
        <f>IF(ISBLANK('Data Entry'!$Û$855), "", 'Data Entry'!$Û$855)</f>
      </c>
      <c r="EZ855">
        <f>IF(ISBLANK('Data Entry'!$Ü$855), "", 'Data Entry'!$Ü$855)</f>
      </c>
      <c r="FA855">
        <f>IF(ISBLANK('Data Entry'!$Ý$855), "", 'Data Entry'!$Ý$855)</f>
      </c>
      <c r="FB855">
        <f>IF(ISBLANK('Data Entry'!$Þ$855), "", 'Data Entry'!$Þ$855)</f>
      </c>
      <c r="FC855">
        <f>IF(ISBLANK('Data Entry'!$ß$855), "", 'Data Entry'!$ß$855)</f>
      </c>
      <c r="FD855">
        <f>IF(ISBLANK('Data Entry'!$à$855), "", 'Data Entry'!$à$855)</f>
      </c>
      <c r="FE855">
        <f>IF(ISBLANK('Data Entry'!$á$855), "", 'Data Entry'!$á$855)</f>
      </c>
      <c r="FF855">
        <f>IF(ISBLANK('Data Entry'!$â$855), "", 'Data Entry'!$â$855)</f>
      </c>
      <c r="FG855">
        <f>IF(ISBLANK('Data Entry'!$ã$855), "", 'Data Entry'!$ã$855)</f>
      </c>
      <c r="FH855">
        <f>IF(ISBLANK('Data Entry'!$ä$855), "", 'Data Entry'!$ä$855)</f>
      </c>
      <c r="FI855">
        <f>IF(ISBLANK('Data Entry'!$å$855), "", 'Data Entry'!$å$855)</f>
      </c>
      <c r="FJ855">
        <f>IF(ISBLANK('Data Entry'!$æ$855), "", 'Data Entry'!$æ$855)</f>
      </c>
      <c r="FK855">
        <f>IF(ISBLANK('Data Entry'!$ç$855), "", 'Data Entry'!$ç$855)</f>
      </c>
      <c r="FL855">
        <f>IF(ISBLANK('Data Entry'!$è$855), "", 'Data Entry'!$è$855)</f>
      </c>
      <c r="FM855">
        <f>IF(ISBLANK('Data Entry'!$é$855), "", 'Data Entry'!$é$855)</f>
      </c>
      <c r="FN855">
        <f>IF(ISBLANK('Data Entry'!$ê$855), "", 'Data Entry'!$ê$855)</f>
      </c>
      <c r="FO855">
        <f>IF(ISBLANK('Data Entry'!$ë$855), "", 'Data Entry'!$ë$855)</f>
      </c>
      <c r="FP855">
        <f>IF(ISBLANK('Data Entry'!$ì$855), "", 'Data Entry'!$ì$855)</f>
      </c>
      <c r="FQ855">
        <f>IF(ISBLANK('Data Entry'!$í$855), "", 'Data Entry'!$í$855)</f>
      </c>
      <c r="FR855">
        <f>IF(ISBLANK('Data Entry'!$î$855), "", 'Data Entry'!$î$855)</f>
      </c>
      <c r="FS855">
        <f>IF(ISBLANK('Data Entry'!$ï$855), "", 'Data Entry'!$ï$855)</f>
      </c>
      <c r="FT855">
        <f>IF(ISBLANK('Data Entry'!$ð$855), "", 'Data Entry'!$ð$855)</f>
      </c>
      <c r="FU855">
        <f>IF(ISBLANK('Data Entry'!$ñ$855), "", 'Data Entry'!$ñ$855)</f>
      </c>
      <c r="FV855">
        <f>IF(ISBLANK('Data Entry'!$ò$855), "", 'Data Entry'!$ò$855)</f>
      </c>
      <c r="FW855">
        <f>IF(ISBLANK('Data Entry'!$ó$855), "", 'Data Entry'!$ó$855)</f>
      </c>
      <c r="FX855">
        <f>IF(ISBLANK('Data Entry'!$ô$855), "", 'Data Entry'!$ô$855)</f>
      </c>
      <c r="FY855">
        <f>IF(ISBLANK('Data Entry'!$õ$855), "", 'Data Entry'!$õ$855)</f>
      </c>
      <c r="FZ855">
        <f>IF(ISBLANK('Data Entry'!$ö$855), "", 'Data Entry'!$ö$855)</f>
      </c>
      <c r="GA855">
        <f>IF(ISBLANK('Data Entry'!$÷$855), "", 'Data Entry'!$÷$855)</f>
      </c>
      <c r="GB855">
        <f>IF(ISBLANK('Data Entry'!$ø$855), "", 'Data Entry'!$ø$855)</f>
      </c>
      <c r="GC855">
        <f>IF(ISBLANK('Data Entry'!$ù$855), "", 'Data Entry'!$ù$855)</f>
      </c>
      <c r="GD855">
        <f>IF(ISBLANK('Data Entry'!$ú$855), "", 'Data Entry'!$ú$855)</f>
      </c>
      <c r="GE855">
        <f>IF(ISBLANK('Data Entry'!$û$855), "", 'Data Entry'!$û$855)</f>
      </c>
      <c r="GF855">
        <f>IF(ISBLANK('Data Entry'!$ü$855), "", 'Data Entry'!$ü$855)</f>
      </c>
      <c r="GG855">
        <f>IF(ISBLANK('Data Entry'!$ý$855), "", 'Data Entry'!$ý$855)</f>
      </c>
      <c r="GH855">
        <f>IF(ISBLANK('Data Entry'!$þ$855), "", 'Data Entry'!$þ$855)</f>
      </c>
      <c r="GI855">
        <f>IF(ISBLANK('Data Entry'!$ÿ$855), "", 'Data Entry'!$ÿ$855)</f>
      </c>
      <c r="GJ855">
        <f>IF(ISBLANK('Data Entry'!$Ā$855), "", 'Data Entry'!$Ā$855)</f>
      </c>
      <c r="GK855">
        <f>IF(ISBLANK('Data Entry'!$ā$855), "", 'Data Entry'!$ā$855)</f>
      </c>
      <c r="GL855">
        <f>IF(ISBLANK('Data Entry'!$Ă$855), "", 'Data Entry'!$Ă$855)</f>
      </c>
      <c r="GM855">
        <f>IF(ISBLANK('Data Entry'!$ă$855), "", 'Data Entry'!$ă$855)</f>
      </c>
      <c r="GN855">
        <f>IF(ISBLANK('Data Entry'!$Ą$855), "", 'Data Entry'!$Ą$855)</f>
      </c>
      <c r="GO855">
        <f>IF(ISBLANK('Data Entry'!$ą$855), "", 'Data Entry'!$ą$855)</f>
      </c>
      <c r="GP855">
        <f>IF(ISBLANK('Data Entry'!$Ć$855), "", 'Data Entry'!$Ć$855)</f>
      </c>
      <c r="GQ855">
        <f>IF(ISBLANK('Data Entry'!$ć$855), "", 'Data Entry'!$ć$855)</f>
      </c>
      <c r="GR855">
        <f>IF(ISBLANK('Data Entry'!$Ĉ$855), "", 'Data Entry'!$Ĉ$855)</f>
      </c>
      <c r="GS855">
        <f>IF(ISBLANK('Data Entry'!$ĉ$855), "", 'Data Entry'!$ĉ$855)</f>
      </c>
      <c r="GT855">
        <f>IF(ISBLANK('Data Entry'!$Ċ$855), "", 'Data Entry'!$Ċ$855)</f>
      </c>
      <c r="GU855">
        <f>IF(ISBLANK('Data Entry'!$ċ$855), "", 'Data Entry'!$ċ$855)</f>
      </c>
      <c r="GV855">
        <f>IF(ISBLANK('Data Entry'!$Č$855), "", 'Data Entry'!$Č$855)</f>
      </c>
      <c r="GW855">
        <f>IF(ISBLANK('Data Entry'!$č$855), "", 'Data Entry'!$č$855)</f>
      </c>
      <c r="GX855">
        <f>IF(ISBLANK('Data Entry'!$Ď$855), "", 'Data Entry'!$Ď$855)</f>
      </c>
      <c r="GY855">
        <f>IF(ISBLANK('Data Entry'!$ď$855), "", 'Data Entry'!$ď$855)</f>
      </c>
      <c r="GZ855">
        <f>IF(ISBLANK('Data Entry'!$Đ$855), "", 'Data Entry'!$Đ$855)</f>
      </c>
      <c r="HA855">
        <f>IF(ISBLANK('Data Entry'!$đ$855), "", 'Data Entry'!$đ$855)</f>
      </c>
      <c r="HB855">
        <f>IF(ISBLANK('Data Entry'!$Ē$855), "", 'Data Entry'!$Ē$855)</f>
      </c>
      <c r="HC855">
        <f>IF(ISBLANK('Data Entry'!$ē$855), "", 'Data Entry'!$ē$855)</f>
      </c>
      <c r="HD855">
        <f>IF(ISBLANK('Data Entry'!$Ĕ$855), "", 'Data Entry'!$Ĕ$855)</f>
      </c>
      <c r="HE855">
        <f>IF(ISBLANK('Data Entry'!$ĕ$855), "", 'Data Entry'!$ĕ$855)</f>
      </c>
      <c r="HF855">
        <f>IF(ISBLANK('Data Entry'!$Ė$855), "", 'Data Entry'!$Ė$855)</f>
      </c>
      <c r="HG855">
        <f>IF(ISBLANK('Data Entry'!$ė$855), "", 'Data Entry'!$ė$855)</f>
      </c>
      <c r="HH855">
        <f>IF(ISBLANK('Data Entry'!$Ę$855), "", 'Data Entry'!$Ę$855)</f>
      </c>
      <c r="HI855">
        <f>IF(ISBLANK('Data Entry'!$ę$855), "", 'Data Entry'!$ę$855)</f>
      </c>
      <c r="HJ855">
        <f>IF(ISBLANK('Data Entry'!$Ě$855), "", 'Data Entry'!$Ě$855)</f>
      </c>
      <c r="HK855">
        <f>IF(ISBLANK('Data Entry'!$ě$855), "", 'Data Entry'!$ě$855)</f>
      </c>
      <c r="HL855">
        <f>IF(ISBLANK('Data Entry'!$Ĝ$855), "", 'Data Entry'!$Ĝ$855)</f>
      </c>
      <c r="HM855">
        <f>IF(ISBLANK('Data Entry'!$ĝ$855), "", 'Data Entry'!$ĝ$855)</f>
      </c>
      <c r="HN855">
        <f>IF(ISBLANK('Data Entry'!$Ğ$855), "", 'Data Entry'!$Ğ$855)</f>
      </c>
      <c r="HO855">
        <f>IF(ISBLANK('Data Entry'!$ğ$855), "", 'Data Entry'!$ğ$855)</f>
      </c>
      <c r="HP855">
        <f>IF(ISBLANK('Data Entry'!$Ġ$855), "", 'Data Entry'!$Ġ$855)</f>
      </c>
      <c r="HQ855">
        <f>IF(ISBLANK('Data Entry'!$ġ$855), "", 'Data Entry'!$ġ$855)</f>
      </c>
      <c r="HR855">
        <f>IF(ISBLANK('Data Entry'!$Ģ$855), "", 'Data Entry'!$Ģ$855)</f>
      </c>
      <c r="HS855">
        <f>IF(ISBLANK('Data Entry'!$ģ$855), "", 'Data Entry'!$ģ$855)</f>
      </c>
      <c r="HT855">
        <f>IF(ISBLANK('Data Entry'!$Ĥ$855), "", 'Data Entry'!$Ĥ$855)</f>
      </c>
      <c r="HU855">
        <f>IF(ISBLANK('Data Entry'!$ĥ$855), "", 'Data Entry'!$ĥ$855)</f>
      </c>
      <c r="HV855">
        <f>IF(ISBLANK('Data Entry'!$Ħ$855), "", 'Data Entry'!$Ħ$855)</f>
      </c>
      <c r="HW855">
        <f>IF(ISBLANK('Data Entry'!$ħ$855), "", 'Data Entry'!$ħ$855)</f>
      </c>
      <c r="HX855">
        <f>IF(ISBLANK('Data Entry'!$Ĩ$855), "", 'Data Entry'!$Ĩ$855)</f>
      </c>
      <c r="HY855">
        <f>IF(ISBLANK('Data Entry'!$ĩ$855), "", 'Data Entry'!$ĩ$855)</f>
      </c>
      <c r="HZ855">
        <f>IF(ISBLANK('Data Entry'!$Ī$855), "", 'Data Entry'!$Ī$855)</f>
      </c>
      <c r="IA855">
        <f>IF(ISBLANK('Data Entry'!$ī$855), "", 'Data Entry'!$ī$855)</f>
      </c>
      <c r="IB855">
        <f>IF(ISBLANK('Data Entry'!$Ĭ$855), "", 'Data Entry'!$Ĭ$855)</f>
      </c>
      <c r="IC855">
        <f>IF(ISBLANK('Data Entry'!$ĭ$855), "", 'Data Entry'!$ĭ$855)</f>
      </c>
      <c r="ID855">
        <f>IF(ISBLANK('Data Entry'!$Į$855), "", 'Data Entry'!$Į$855)</f>
      </c>
      <c r="IE855">
        <f>IF(ISBLANK('Data Entry'!$į$855), "", 'Data Entry'!$į$855)</f>
      </c>
      <c r="IF855">
        <f>IF(ISBLANK('Data Entry'!$İ$855), "", 'Data Entry'!$İ$855)</f>
      </c>
      <c r="IG855">
        <f>IF(ISBLANK('Data Entry'!$ı$855), "", 'Data Entry'!$ı$855)</f>
      </c>
      <c r="IH855">
        <f>IF(ISBLANK('Data Entry'!$Ĳ$855), "", 'Data Entry'!$Ĳ$855)</f>
      </c>
      <c r="II855">
        <f>IF(ISBLANK('Data Entry'!$ĳ$855), "", 'Data Entry'!$ĳ$855)</f>
      </c>
      <c r="IJ855">
        <f>IF(ISBLANK('Data Entry'!$Ĵ$855), "", 'Data Entry'!$Ĵ$855)</f>
      </c>
      <c r="IK855">
        <f>IF(ISBLANK('Data Entry'!$ĵ$855), "", 'Data Entry'!$ĵ$855)</f>
      </c>
      <c r="IL855">
        <f>IF(ISBLANK('Data Entry'!$Ķ$855), "", 'Data Entry'!$Ķ$855)</f>
      </c>
      <c r="IM855">
        <f>IF(ISBLANK('Data Entry'!$ķ$855), "", 'Data Entry'!$ķ$855)</f>
      </c>
      <c r="IN855">
        <f>IF(ISBLANK('Data Entry'!$ĸ$855), "", 'Data Entry'!$ĸ$855)</f>
      </c>
      <c r="IO855">
        <f>IF(ISBLANK('Data Entry'!$Ĺ$855), "", 'Data Entry'!$Ĺ$855)</f>
      </c>
      <c r="IP855">
        <f>IF(ISBLANK('Data Entry'!$ĺ$855), "", 'Data Entry'!$ĺ$855)</f>
      </c>
      <c r="IQ855">
        <f>IF(ISBLANK('Data Entry'!$Ļ$855), "", 'Data Entry'!$Ļ$855)</f>
      </c>
      <c r="IR855">
        <f>IF(ISBLANK('Data Entry'!$ļ$855), "", 'Data Entry'!$ļ$855)</f>
      </c>
      <c r="IS855">
        <f>IF(ISBLANK('Data Entry'!$Ľ$855), "", 'Data Entry'!$Ľ$855)</f>
      </c>
      <c r="IT855">
        <f>IF(ISBLANK('Data Entry'!$ľ$855), "", 'Data Entry'!$ľ$855)</f>
      </c>
    </row>
    <row r="856" spans="1:254" x14ac:dyDescent="0.25">
      <c r="A856">
        <f>IF(ISBLANK('Data Entry'!$A$856), "", 'Data Entry'!$A$856)</f>
      </c>
      <c r="B856">
        <f>IF(ISBLANK('Data Entry'!$B$856), "", 'Data Entry'!$B$856)</f>
      </c>
      <c r="C856">
        <f>IF(ISBLANK('Data Entry'!$C$856), "", 'Data Entry'!$C$856)</f>
      </c>
      <c r="D856">
        <f>IF(ISBLANK('Data Entry'!$D$856), "", 'Data Entry'!$D$856)</f>
      </c>
      <c r="E856">
        <f>IF(ISBLANK('Data Entry'!$E$856), "", 'Data Entry'!$E$856)</f>
      </c>
      <c r="F856">
        <f>IF(ISBLANK('Data Entry'!$F$856), "", 'Data Entry'!$F$856)</f>
      </c>
      <c r="G856">
        <f>IF(ISBLANK('Data Entry'!$G$856), "", 'Data Entry'!$G$856)</f>
      </c>
      <c r="H856">
        <f>IF(ISBLANK('Data Entry'!$H$856), "", 'Data Entry'!$H$856)</f>
      </c>
      <c r="I856">
        <f>IF(ISBLANK('Data Entry'!$I$856), "", 'Data Entry'!$I$856)</f>
      </c>
      <c r="J856">
        <f>IF(ISBLANK('Data Entry'!$J$856), "", 'Data Entry'!$J$856)</f>
      </c>
      <c r="K856">
        <f>IF(ISBLANK('Data Entry'!$K$856), "", 'Data Entry'!$K$856)</f>
      </c>
      <c r="L856">
        <f>IF(ISBLANK('Data Entry'!$L$856), "", 'Data Entry'!$L$856)</f>
      </c>
      <c r="M856">
        <f>IF(ISBLANK('Data Entry'!$M$856), "", 'Data Entry'!$M$856)</f>
      </c>
      <c r="N856">
        <f>IF(ISBLANK('Data Entry'!$N$856), "", 'Data Entry'!$N$856)</f>
      </c>
      <c r="O856">
        <f>IF(ISBLANK('Data Entry'!$O$856), "", 'Data Entry'!$O$856)</f>
      </c>
      <c r="P856">
        <f>IF(ISBLANK('Data Entry'!$P$856), "", 'Data Entry'!$P$856)</f>
      </c>
      <c r="Q856">
        <f>IF(ISBLANK('Data Entry'!$Q$856), "", 'Data Entry'!$Q$856)</f>
      </c>
      <c r="R856">
        <f>IF(ISBLANK('Data Entry'!$R$856), "", 'Data Entry'!$R$856)</f>
      </c>
      <c r="S856">
        <f>IF(ISBLANK('Data Entry'!$S$856), "", 'Data Entry'!$S$856)</f>
      </c>
      <c r="T856">
        <f>IF(ISBLANK('Data Entry'!$T$856), "", 'Data Entry'!$T$856)</f>
      </c>
      <c r="U856">
        <f>IF(ISBLANK('Data Entry'!$U$856), "", 'Data Entry'!$U$856)</f>
      </c>
      <c r="V856">
        <f>IF(ISBLANK('Data Entry'!$V$856), "", 'Data Entry'!$V$856)</f>
      </c>
      <c r="W856">
        <f>IF(ISBLANK('Data Entry'!$W$856), "", 'Data Entry'!$W$856)</f>
      </c>
      <c r="X856">
        <f>IF(ISBLANK('Data Entry'!$X$856), "", 'Data Entry'!$X$856)</f>
      </c>
      <c r="Y856">
        <f>IF(ISBLANK('Data Entry'!$Y$856), "", 'Data Entry'!$Y$856)</f>
      </c>
      <c r="Z856">
        <f>IF(ISBLANK('Data Entry'!$Z$856), "", 'Data Entry'!$Z$856)</f>
      </c>
      <c r="AA856">
        <f>IF(ISBLANK('Data Entry'!$[$856), "", 'Data Entry'!$[$856)</f>
      </c>
      <c r="AB856">
        <f>IF(ISBLANK('Data Entry'!$\$856), "", 'Data Entry'!$\$856)</f>
      </c>
      <c r="AC856">
        <f>IF(ISBLANK('Data Entry'!$]$856), "", 'Data Entry'!$]$856)</f>
      </c>
      <c r="AD856">
        <f>IF(ISBLANK('Data Entry'!$^$856), "", 'Data Entry'!$^$856)</f>
      </c>
      <c r="AE856">
        <f>IF(ISBLANK('Data Entry'!$_$856), "", 'Data Entry'!$_$856)</f>
      </c>
      <c r="AF856">
        <f>IF(ISBLANK('Data Entry'!$`$856), "", 'Data Entry'!$`$856)</f>
      </c>
      <c r="AG856">
        <f>IF(ISBLANK('Data Entry'!$a$856), "", 'Data Entry'!$a$856)</f>
      </c>
      <c r="AH856">
        <f>IF(ISBLANK('Data Entry'!$b$856), "", 'Data Entry'!$b$856)</f>
      </c>
      <c r="AI856">
        <f>IF(ISBLANK('Data Entry'!$c$856), "", 'Data Entry'!$c$856)</f>
      </c>
      <c r="AJ856">
        <f>IF(ISBLANK('Data Entry'!$d$856), "", 'Data Entry'!$d$856)</f>
      </c>
      <c r="AK856">
        <f>IF(ISBLANK('Data Entry'!$e$856), "", 'Data Entry'!$e$856)</f>
      </c>
      <c r="AL856">
        <f>IF(ISBLANK('Data Entry'!$f$856), "", 'Data Entry'!$f$856)</f>
      </c>
      <c r="AM856">
        <f>IF(ISBLANK('Data Entry'!$g$856), "", 'Data Entry'!$g$856)</f>
      </c>
      <c r="AN856">
        <f>IF(ISBLANK('Data Entry'!$h$856), "", 'Data Entry'!$h$856)</f>
      </c>
      <c r="AO856">
        <f>IF(ISBLANK('Data Entry'!$i$856), "", 'Data Entry'!$i$856)</f>
      </c>
      <c r="AP856">
        <f>IF(ISBLANK('Data Entry'!$j$856), "", 'Data Entry'!$j$856)</f>
      </c>
      <c r="AQ856">
        <f>IF(ISBLANK('Data Entry'!$k$856), "", 'Data Entry'!$k$856)</f>
      </c>
      <c r="AR856">
        <f>IF(ISBLANK('Data Entry'!$l$856), "", 'Data Entry'!$l$856)</f>
      </c>
      <c r="AS856">
        <f>IF(ISBLANK('Data Entry'!$m$856), "", 'Data Entry'!$m$856)</f>
      </c>
      <c r="AT856">
        <f>IF(ISBLANK('Data Entry'!$n$856), "", 'Data Entry'!$n$856)</f>
      </c>
      <c r="AU856">
        <f>IF(ISBLANK('Data Entry'!$o$856), "", 'Data Entry'!$o$856)</f>
      </c>
      <c r="AV856">
        <f>IF(ISBLANK('Data Entry'!$p$856), "", 'Data Entry'!$p$856)</f>
      </c>
      <c r="AW856">
        <f>IF(ISBLANK('Data Entry'!$q$856), "", 'Data Entry'!$q$856)</f>
      </c>
      <c r="AX856">
        <f>IF(ISBLANK('Data Entry'!$r$856), "", 'Data Entry'!$r$856)</f>
      </c>
      <c r="AY856">
        <f>IF(ISBLANK('Data Entry'!$s$856), "", 'Data Entry'!$s$856)</f>
      </c>
      <c r="AZ856">
        <f>IF(ISBLANK('Data Entry'!$t$856), "", 'Data Entry'!$t$856)</f>
      </c>
      <c r="BA856">
        <f>IF(ISBLANK('Data Entry'!$u$856), "", 'Data Entry'!$u$856)</f>
      </c>
      <c r="BB856">
        <f>IF(ISBLANK('Data Entry'!$v$856), "", 'Data Entry'!$v$856)</f>
      </c>
      <c r="BC856">
        <f>IF(ISBLANK('Data Entry'!$w$856), "", 'Data Entry'!$w$856)</f>
      </c>
      <c r="BD856">
        <f>IF(ISBLANK('Data Entry'!$x$856), "", 'Data Entry'!$x$856)</f>
      </c>
      <c r="BE856">
        <f>IF(ISBLANK('Data Entry'!$y$856), "", 'Data Entry'!$y$856)</f>
      </c>
      <c r="BF856">
        <f>IF(ISBLANK('Data Entry'!$z$856), "", 'Data Entry'!$z$856)</f>
      </c>
      <c r="BG856">
        <f>IF(ISBLANK('Data Entry'!${$856), "", 'Data Entry'!${$856)</f>
      </c>
      <c r="BH856">
        <f>IF(ISBLANK('Data Entry'!$|$856), "", 'Data Entry'!$|$856)</f>
      </c>
      <c r="BI856">
        <f>IF(ISBLANK('Data Entry'!$}$856), "", 'Data Entry'!$}$856)</f>
      </c>
      <c r="BJ856">
        <f>IF(ISBLANK('Data Entry'!$~$856), "", 'Data Entry'!$~$856)</f>
      </c>
      <c r="BK856">
        <f>IF(ISBLANK('Data Entry'!$$856), "", 'Data Entry'!$$856)</f>
      </c>
      <c r="BL856">
        <f>IF(ISBLANK('Data Entry'!$$856), "", 'Data Entry'!$$856)</f>
      </c>
      <c r="BM856">
        <f>IF(ISBLANK('Data Entry'!$$856), "", 'Data Entry'!$$856)</f>
      </c>
      <c r="BN856">
        <f>IF(ISBLANK('Data Entry'!$$856), "", 'Data Entry'!$$856)</f>
      </c>
      <c r="BO856">
        <f>IF(ISBLANK('Data Entry'!$$856), "", 'Data Entry'!$$856)</f>
      </c>
      <c r="BP856">
        <f>IF(ISBLANK('Data Entry'!$$856), "", 'Data Entry'!$$856)</f>
      </c>
      <c r="BQ856">
        <f>IF(ISBLANK('Data Entry'!$$856), "", 'Data Entry'!$$856)</f>
      </c>
      <c r="BR856">
        <f>IF(ISBLANK('Data Entry'!$$856), "", 'Data Entry'!$$856)</f>
      </c>
      <c r="BS856">
        <f>IF(ISBLANK('Data Entry'!$$856), "", 'Data Entry'!$$856)</f>
      </c>
      <c r="BT856">
        <f>IF(ISBLANK('Data Entry'!$$856), "", 'Data Entry'!$$856)</f>
      </c>
      <c r="BU856">
        <f>IF(ISBLANK('Data Entry'!$$856), "", 'Data Entry'!$$856)</f>
      </c>
      <c r="BV856">
        <f>IF(ISBLANK('Data Entry'!$$856), "", 'Data Entry'!$$856)</f>
      </c>
      <c r="BW856">
        <f>IF(ISBLANK('Data Entry'!$$856), "", 'Data Entry'!$$856)</f>
      </c>
      <c r="BX856">
        <f>IF(ISBLANK('Data Entry'!$$856), "", 'Data Entry'!$$856)</f>
      </c>
      <c r="BY856">
        <f>IF(ISBLANK('Data Entry'!$$856), "", 'Data Entry'!$$856)</f>
      </c>
      <c r="BZ856">
        <f>IF(ISBLANK('Data Entry'!$$856), "", 'Data Entry'!$$856)</f>
      </c>
      <c r="CA856">
        <f>IF(ISBLANK('Data Entry'!$$856), "", 'Data Entry'!$$856)</f>
      </c>
      <c r="CB856">
        <f>IF(ISBLANK('Data Entry'!$$856), "", 'Data Entry'!$$856)</f>
      </c>
      <c r="CC856">
        <f>IF(ISBLANK('Data Entry'!$$856), "", 'Data Entry'!$$856)</f>
      </c>
      <c r="CD856">
        <f>IF(ISBLANK('Data Entry'!$$856), "", 'Data Entry'!$$856)</f>
      </c>
      <c r="CE856">
        <f>IF(ISBLANK('Data Entry'!$$856), "", 'Data Entry'!$$856)</f>
      </c>
      <c r="CF856">
        <f>IF(ISBLANK('Data Entry'!$$856), "", 'Data Entry'!$$856)</f>
      </c>
      <c r="CG856">
        <f>IF(ISBLANK('Data Entry'!$$856), "", 'Data Entry'!$$856)</f>
      </c>
      <c r="CH856">
        <f>IF(ISBLANK('Data Entry'!$$856), "", 'Data Entry'!$$856)</f>
      </c>
      <c r="CI856">
        <f>IF(ISBLANK('Data Entry'!$$856), "", 'Data Entry'!$$856)</f>
      </c>
      <c r="CJ856">
        <f>IF(ISBLANK('Data Entry'!$$856), "", 'Data Entry'!$$856)</f>
      </c>
      <c r="CK856">
        <f>IF(ISBLANK('Data Entry'!$$856), "", 'Data Entry'!$$856)</f>
      </c>
      <c r="CL856">
        <f>IF(ISBLANK('Data Entry'!$$856), "", 'Data Entry'!$$856)</f>
      </c>
      <c r="CM856">
        <f>IF(ISBLANK('Data Entry'!$$856), "", 'Data Entry'!$$856)</f>
      </c>
      <c r="CN856">
        <f>IF(ISBLANK('Data Entry'!$$856), "", 'Data Entry'!$$856)</f>
      </c>
      <c r="CO856">
        <f>IF(ISBLANK('Data Entry'!$$856), "", 'Data Entry'!$$856)</f>
      </c>
      <c r="CP856">
        <f>IF(ISBLANK('Data Entry'!$$856), "", 'Data Entry'!$$856)</f>
      </c>
      <c r="CQ856">
        <f>IF(ISBLANK('Data Entry'!$$856), "", 'Data Entry'!$$856)</f>
      </c>
      <c r="CR856">
        <f>IF(ISBLANK('Data Entry'!$ $856), "", 'Data Entry'!$ $856)</f>
      </c>
      <c r="CS856">
        <f>IF(ISBLANK('Data Entry'!$¡$856), "", 'Data Entry'!$¡$856)</f>
      </c>
      <c r="CT856">
        <f>IF(ISBLANK('Data Entry'!$¢$856), "", 'Data Entry'!$¢$856)</f>
      </c>
      <c r="CU856">
        <f>IF(ISBLANK('Data Entry'!$£$856), "", 'Data Entry'!$£$856)</f>
      </c>
      <c r="CV856">
        <f>IF(ISBLANK('Data Entry'!$¤$856), "", 'Data Entry'!$¤$856)</f>
      </c>
      <c r="CW856">
        <f>IF(ISBLANK('Data Entry'!$¥$856), "", 'Data Entry'!$¥$856)</f>
      </c>
      <c r="CX856">
        <f>IF(ISBLANK('Data Entry'!$¦$856), "", 'Data Entry'!$¦$856)</f>
      </c>
      <c r="CY856">
        <f>IF(ISBLANK('Data Entry'!$§$856), "", 'Data Entry'!$§$856)</f>
      </c>
      <c r="CZ856">
        <f>IF(ISBLANK('Data Entry'!$¨$856), "", 'Data Entry'!$¨$856)</f>
      </c>
      <c r="DA856">
        <f>IF(ISBLANK('Data Entry'!$©$856), "", 'Data Entry'!$©$856)</f>
      </c>
      <c r="DB856">
        <f>IF(ISBLANK('Data Entry'!$ª$856), "", 'Data Entry'!$ª$856)</f>
      </c>
      <c r="DC856">
        <f>IF(ISBLANK('Data Entry'!$«$856), "", 'Data Entry'!$«$856)</f>
      </c>
      <c r="DD856">
        <f>IF(ISBLANK('Data Entry'!$¬$856), "", 'Data Entry'!$¬$856)</f>
      </c>
      <c r="DE856">
        <f>IF(ISBLANK('Data Entry'!$­$856), "", 'Data Entry'!$­$856)</f>
      </c>
      <c r="DF856">
        <f>IF(ISBLANK('Data Entry'!$®$856), "", 'Data Entry'!$®$856)</f>
      </c>
      <c r="DG856">
        <f>IF(ISBLANK('Data Entry'!$¯$856), "", 'Data Entry'!$¯$856)</f>
      </c>
      <c r="DH856">
        <f>IF(ISBLANK('Data Entry'!$°$856), "", 'Data Entry'!$°$856)</f>
      </c>
      <c r="DI856">
        <f>IF(ISBLANK('Data Entry'!$±$856), "", 'Data Entry'!$±$856)</f>
      </c>
      <c r="DJ856">
        <f>IF(ISBLANK('Data Entry'!$²$856), "", 'Data Entry'!$²$856)</f>
      </c>
      <c r="DK856">
        <f>IF(ISBLANK('Data Entry'!$³$856), "", 'Data Entry'!$³$856)</f>
      </c>
      <c r="DL856">
        <f>IF(ISBLANK('Data Entry'!$´$856), "", 'Data Entry'!$´$856)</f>
      </c>
      <c r="DM856">
        <f>IF(ISBLANK('Data Entry'!$µ$856), "", 'Data Entry'!$µ$856)</f>
      </c>
      <c r="DN856">
        <f>IF(ISBLANK('Data Entry'!$¶$856), "", 'Data Entry'!$¶$856)</f>
      </c>
      <c r="DO856">
        <f>IF(ISBLANK('Data Entry'!$·$856), "", 'Data Entry'!$·$856)</f>
      </c>
      <c r="DP856">
        <f>IF(ISBLANK('Data Entry'!$¸$856), "", 'Data Entry'!$¸$856)</f>
      </c>
      <c r="DQ856">
        <f>IF(ISBLANK('Data Entry'!$¹$856), "", 'Data Entry'!$¹$856)</f>
      </c>
      <c r="DR856">
        <f>IF(ISBLANK('Data Entry'!$º$856), "", 'Data Entry'!$º$856)</f>
      </c>
      <c r="DS856">
        <f>IF(ISBLANK('Data Entry'!$»$856), "", 'Data Entry'!$»$856)</f>
      </c>
      <c r="DT856">
        <f>IF(ISBLANK('Data Entry'!$¼$856), "", 'Data Entry'!$¼$856)</f>
      </c>
      <c r="DU856">
        <f>IF(ISBLANK('Data Entry'!$½$856), "", 'Data Entry'!$½$856)</f>
      </c>
      <c r="DV856">
        <f>IF(ISBLANK('Data Entry'!$¾$856), "", 'Data Entry'!$¾$856)</f>
      </c>
      <c r="DW856">
        <f>IF(ISBLANK('Data Entry'!$¿$856), "", 'Data Entry'!$¿$856)</f>
      </c>
      <c r="DX856">
        <f>IF(ISBLANK('Data Entry'!$À$856), "", 'Data Entry'!$À$856)</f>
      </c>
      <c r="DY856">
        <f>IF(ISBLANK('Data Entry'!$Á$856), "", 'Data Entry'!$Á$856)</f>
      </c>
      <c r="DZ856">
        <f>IF(ISBLANK('Data Entry'!$Â$856), "", 'Data Entry'!$Â$856)</f>
      </c>
      <c r="EA856">
        <f>IF(ISBLANK('Data Entry'!$Ã$856), "", 'Data Entry'!$Ã$856)</f>
      </c>
      <c r="EB856">
        <f>IF(ISBLANK('Data Entry'!$Ä$856), "", 'Data Entry'!$Ä$856)</f>
      </c>
      <c r="EC856">
        <f>IF(ISBLANK('Data Entry'!$Å$856), "", 'Data Entry'!$Å$856)</f>
      </c>
      <c r="ED856">
        <f>IF(ISBLANK('Data Entry'!$Æ$856), "", 'Data Entry'!$Æ$856)</f>
      </c>
      <c r="EE856">
        <f>IF(ISBLANK('Data Entry'!$Ç$856), "", 'Data Entry'!$Ç$856)</f>
      </c>
      <c r="EF856">
        <f>IF(ISBLANK('Data Entry'!$È$856), "", 'Data Entry'!$È$856)</f>
      </c>
      <c r="EG856">
        <f>IF(ISBLANK('Data Entry'!$É$856), "", 'Data Entry'!$É$856)</f>
      </c>
      <c r="EH856">
        <f>IF(ISBLANK('Data Entry'!$Ê$856), "", 'Data Entry'!$Ê$856)</f>
      </c>
      <c r="EI856">
        <f>IF(ISBLANK('Data Entry'!$Ë$856), "", 'Data Entry'!$Ë$856)</f>
      </c>
      <c r="EJ856">
        <f>IF(ISBLANK('Data Entry'!$Ì$856), "", 'Data Entry'!$Ì$856)</f>
      </c>
      <c r="EK856">
        <f>IF(ISBLANK('Data Entry'!$Í$856), "", 'Data Entry'!$Í$856)</f>
      </c>
      <c r="EL856">
        <f>IF(ISBLANK('Data Entry'!$Î$856), "", 'Data Entry'!$Î$856)</f>
      </c>
      <c r="EM856">
        <f>IF(ISBLANK('Data Entry'!$Ï$856), "", 'Data Entry'!$Ï$856)</f>
      </c>
      <c r="EN856">
        <f>IF(ISBLANK('Data Entry'!$Ð$856), "", 'Data Entry'!$Ð$856)</f>
      </c>
      <c r="EO856">
        <f>IF(ISBLANK('Data Entry'!$Ñ$856), "", 'Data Entry'!$Ñ$856)</f>
      </c>
      <c r="EP856">
        <f>IF(ISBLANK('Data Entry'!$Ò$856), "", 'Data Entry'!$Ò$856)</f>
      </c>
      <c r="EQ856">
        <f>IF(ISBLANK('Data Entry'!$Ó$856), "", 'Data Entry'!$Ó$856)</f>
      </c>
      <c r="ER856">
        <f>IF(ISBLANK('Data Entry'!$Ô$856), "", 'Data Entry'!$Ô$856)</f>
      </c>
      <c r="ES856">
        <f>IF(ISBLANK('Data Entry'!$Õ$856), "", 'Data Entry'!$Õ$856)</f>
      </c>
      <c r="ET856">
        <f>IF(ISBLANK('Data Entry'!$Ö$856), "", 'Data Entry'!$Ö$856)</f>
      </c>
      <c r="EU856">
        <f>IF(ISBLANK('Data Entry'!$×$856), "", 'Data Entry'!$×$856)</f>
      </c>
      <c r="EV856">
        <f>IF(ISBLANK('Data Entry'!$Ø$856), "", 'Data Entry'!$Ø$856)</f>
      </c>
      <c r="EW856">
        <f>IF(ISBLANK('Data Entry'!$Ù$856), "", 'Data Entry'!$Ù$856)</f>
      </c>
      <c r="EX856">
        <f>IF(ISBLANK('Data Entry'!$Ú$856), "", 'Data Entry'!$Ú$856)</f>
      </c>
      <c r="EY856">
        <f>IF(ISBLANK('Data Entry'!$Û$856), "", 'Data Entry'!$Û$856)</f>
      </c>
      <c r="EZ856">
        <f>IF(ISBLANK('Data Entry'!$Ü$856), "", 'Data Entry'!$Ü$856)</f>
      </c>
      <c r="FA856">
        <f>IF(ISBLANK('Data Entry'!$Ý$856), "", 'Data Entry'!$Ý$856)</f>
      </c>
      <c r="FB856">
        <f>IF(ISBLANK('Data Entry'!$Þ$856), "", 'Data Entry'!$Þ$856)</f>
      </c>
      <c r="FC856">
        <f>IF(ISBLANK('Data Entry'!$ß$856), "", 'Data Entry'!$ß$856)</f>
      </c>
      <c r="FD856">
        <f>IF(ISBLANK('Data Entry'!$à$856), "", 'Data Entry'!$à$856)</f>
      </c>
      <c r="FE856">
        <f>IF(ISBLANK('Data Entry'!$á$856), "", 'Data Entry'!$á$856)</f>
      </c>
      <c r="FF856">
        <f>IF(ISBLANK('Data Entry'!$â$856), "", 'Data Entry'!$â$856)</f>
      </c>
      <c r="FG856">
        <f>IF(ISBLANK('Data Entry'!$ã$856), "", 'Data Entry'!$ã$856)</f>
      </c>
      <c r="FH856">
        <f>IF(ISBLANK('Data Entry'!$ä$856), "", 'Data Entry'!$ä$856)</f>
      </c>
      <c r="FI856">
        <f>IF(ISBLANK('Data Entry'!$å$856), "", 'Data Entry'!$å$856)</f>
      </c>
      <c r="FJ856">
        <f>IF(ISBLANK('Data Entry'!$æ$856), "", 'Data Entry'!$æ$856)</f>
      </c>
      <c r="FK856">
        <f>IF(ISBLANK('Data Entry'!$ç$856), "", 'Data Entry'!$ç$856)</f>
      </c>
      <c r="FL856">
        <f>IF(ISBLANK('Data Entry'!$è$856), "", 'Data Entry'!$è$856)</f>
      </c>
      <c r="FM856">
        <f>IF(ISBLANK('Data Entry'!$é$856), "", 'Data Entry'!$é$856)</f>
      </c>
      <c r="FN856">
        <f>IF(ISBLANK('Data Entry'!$ê$856), "", 'Data Entry'!$ê$856)</f>
      </c>
      <c r="FO856">
        <f>IF(ISBLANK('Data Entry'!$ë$856), "", 'Data Entry'!$ë$856)</f>
      </c>
      <c r="FP856">
        <f>IF(ISBLANK('Data Entry'!$ì$856), "", 'Data Entry'!$ì$856)</f>
      </c>
      <c r="FQ856">
        <f>IF(ISBLANK('Data Entry'!$í$856), "", 'Data Entry'!$í$856)</f>
      </c>
      <c r="FR856">
        <f>IF(ISBLANK('Data Entry'!$î$856), "", 'Data Entry'!$î$856)</f>
      </c>
      <c r="FS856">
        <f>IF(ISBLANK('Data Entry'!$ï$856), "", 'Data Entry'!$ï$856)</f>
      </c>
      <c r="FT856">
        <f>IF(ISBLANK('Data Entry'!$ð$856), "", 'Data Entry'!$ð$856)</f>
      </c>
      <c r="FU856">
        <f>IF(ISBLANK('Data Entry'!$ñ$856), "", 'Data Entry'!$ñ$856)</f>
      </c>
      <c r="FV856">
        <f>IF(ISBLANK('Data Entry'!$ò$856), "", 'Data Entry'!$ò$856)</f>
      </c>
      <c r="FW856">
        <f>IF(ISBLANK('Data Entry'!$ó$856), "", 'Data Entry'!$ó$856)</f>
      </c>
      <c r="FX856">
        <f>IF(ISBLANK('Data Entry'!$ô$856), "", 'Data Entry'!$ô$856)</f>
      </c>
      <c r="FY856">
        <f>IF(ISBLANK('Data Entry'!$õ$856), "", 'Data Entry'!$õ$856)</f>
      </c>
      <c r="FZ856">
        <f>IF(ISBLANK('Data Entry'!$ö$856), "", 'Data Entry'!$ö$856)</f>
      </c>
      <c r="GA856">
        <f>IF(ISBLANK('Data Entry'!$÷$856), "", 'Data Entry'!$÷$856)</f>
      </c>
      <c r="GB856">
        <f>IF(ISBLANK('Data Entry'!$ø$856), "", 'Data Entry'!$ø$856)</f>
      </c>
      <c r="GC856">
        <f>IF(ISBLANK('Data Entry'!$ù$856), "", 'Data Entry'!$ù$856)</f>
      </c>
      <c r="GD856">
        <f>IF(ISBLANK('Data Entry'!$ú$856), "", 'Data Entry'!$ú$856)</f>
      </c>
      <c r="GE856">
        <f>IF(ISBLANK('Data Entry'!$û$856), "", 'Data Entry'!$û$856)</f>
      </c>
      <c r="GF856">
        <f>IF(ISBLANK('Data Entry'!$ü$856), "", 'Data Entry'!$ü$856)</f>
      </c>
      <c r="GG856">
        <f>IF(ISBLANK('Data Entry'!$ý$856), "", 'Data Entry'!$ý$856)</f>
      </c>
      <c r="GH856">
        <f>IF(ISBLANK('Data Entry'!$þ$856), "", 'Data Entry'!$þ$856)</f>
      </c>
      <c r="GI856">
        <f>IF(ISBLANK('Data Entry'!$ÿ$856), "", 'Data Entry'!$ÿ$856)</f>
      </c>
      <c r="GJ856">
        <f>IF(ISBLANK('Data Entry'!$Ā$856), "", 'Data Entry'!$Ā$856)</f>
      </c>
      <c r="GK856">
        <f>IF(ISBLANK('Data Entry'!$ā$856), "", 'Data Entry'!$ā$856)</f>
      </c>
      <c r="GL856">
        <f>IF(ISBLANK('Data Entry'!$Ă$856), "", 'Data Entry'!$Ă$856)</f>
      </c>
      <c r="GM856">
        <f>IF(ISBLANK('Data Entry'!$ă$856), "", 'Data Entry'!$ă$856)</f>
      </c>
      <c r="GN856">
        <f>IF(ISBLANK('Data Entry'!$Ą$856), "", 'Data Entry'!$Ą$856)</f>
      </c>
      <c r="GO856">
        <f>IF(ISBLANK('Data Entry'!$ą$856), "", 'Data Entry'!$ą$856)</f>
      </c>
      <c r="GP856">
        <f>IF(ISBLANK('Data Entry'!$Ć$856), "", 'Data Entry'!$Ć$856)</f>
      </c>
      <c r="GQ856">
        <f>IF(ISBLANK('Data Entry'!$ć$856), "", 'Data Entry'!$ć$856)</f>
      </c>
      <c r="GR856">
        <f>IF(ISBLANK('Data Entry'!$Ĉ$856), "", 'Data Entry'!$Ĉ$856)</f>
      </c>
      <c r="GS856">
        <f>IF(ISBLANK('Data Entry'!$ĉ$856), "", 'Data Entry'!$ĉ$856)</f>
      </c>
      <c r="GT856">
        <f>IF(ISBLANK('Data Entry'!$Ċ$856), "", 'Data Entry'!$Ċ$856)</f>
      </c>
      <c r="GU856">
        <f>IF(ISBLANK('Data Entry'!$ċ$856), "", 'Data Entry'!$ċ$856)</f>
      </c>
      <c r="GV856">
        <f>IF(ISBLANK('Data Entry'!$Č$856), "", 'Data Entry'!$Č$856)</f>
      </c>
      <c r="GW856">
        <f>IF(ISBLANK('Data Entry'!$č$856), "", 'Data Entry'!$č$856)</f>
      </c>
      <c r="GX856">
        <f>IF(ISBLANK('Data Entry'!$Ď$856), "", 'Data Entry'!$Ď$856)</f>
      </c>
      <c r="GY856">
        <f>IF(ISBLANK('Data Entry'!$ď$856), "", 'Data Entry'!$ď$856)</f>
      </c>
      <c r="GZ856">
        <f>IF(ISBLANK('Data Entry'!$Đ$856), "", 'Data Entry'!$Đ$856)</f>
      </c>
      <c r="HA856">
        <f>IF(ISBLANK('Data Entry'!$đ$856), "", 'Data Entry'!$đ$856)</f>
      </c>
      <c r="HB856">
        <f>IF(ISBLANK('Data Entry'!$Ē$856), "", 'Data Entry'!$Ē$856)</f>
      </c>
      <c r="HC856">
        <f>IF(ISBLANK('Data Entry'!$ē$856), "", 'Data Entry'!$ē$856)</f>
      </c>
      <c r="HD856">
        <f>IF(ISBLANK('Data Entry'!$Ĕ$856), "", 'Data Entry'!$Ĕ$856)</f>
      </c>
      <c r="HE856">
        <f>IF(ISBLANK('Data Entry'!$ĕ$856), "", 'Data Entry'!$ĕ$856)</f>
      </c>
      <c r="HF856">
        <f>IF(ISBLANK('Data Entry'!$Ė$856), "", 'Data Entry'!$Ė$856)</f>
      </c>
      <c r="HG856">
        <f>IF(ISBLANK('Data Entry'!$ė$856), "", 'Data Entry'!$ė$856)</f>
      </c>
      <c r="HH856">
        <f>IF(ISBLANK('Data Entry'!$Ę$856), "", 'Data Entry'!$Ę$856)</f>
      </c>
      <c r="HI856">
        <f>IF(ISBLANK('Data Entry'!$ę$856), "", 'Data Entry'!$ę$856)</f>
      </c>
      <c r="HJ856">
        <f>IF(ISBLANK('Data Entry'!$Ě$856), "", 'Data Entry'!$Ě$856)</f>
      </c>
      <c r="HK856">
        <f>IF(ISBLANK('Data Entry'!$ě$856), "", 'Data Entry'!$ě$856)</f>
      </c>
      <c r="HL856">
        <f>IF(ISBLANK('Data Entry'!$Ĝ$856), "", 'Data Entry'!$Ĝ$856)</f>
      </c>
      <c r="HM856">
        <f>IF(ISBLANK('Data Entry'!$ĝ$856), "", 'Data Entry'!$ĝ$856)</f>
      </c>
      <c r="HN856">
        <f>IF(ISBLANK('Data Entry'!$Ğ$856), "", 'Data Entry'!$Ğ$856)</f>
      </c>
      <c r="HO856">
        <f>IF(ISBLANK('Data Entry'!$ğ$856), "", 'Data Entry'!$ğ$856)</f>
      </c>
      <c r="HP856">
        <f>IF(ISBLANK('Data Entry'!$Ġ$856), "", 'Data Entry'!$Ġ$856)</f>
      </c>
      <c r="HQ856">
        <f>IF(ISBLANK('Data Entry'!$ġ$856), "", 'Data Entry'!$ġ$856)</f>
      </c>
      <c r="HR856">
        <f>IF(ISBLANK('Data Entry'!$Ģ$856), "", 'Data Entry'!$Ģ$856)</f>
      </c>
      <c r="HS856">
        <f>IF(ISBLANK('Data Entry'!$ģ$856), "", 'Data Entry'!$ģ$856)</f>
      </c>
      <c r="HT856">
        <f>IF(ISBLANK('Data Entry'!$Ĥ$856), "", 'Data Entry'!$Ĥ$856)</f>
      </c>
      <c r="HU856">
        <f>IF(ISBLANK('Data Entry'!$ĥ$856), "", 'Data Entry'!$ĥ$856)</f>
      </c>
      <c r="HV856">
        <f>IF(ISBLANK('Data Entry'!$Ħ$856), "", 'Data Entry'!$Ħ$856)</f>
      </c>
      <c r="HW856">
        <f>IF(ISBLANK('Data Entry'!$ħ$856), "", 'Data Entry'!$ħ$856)</f>
      </c>
      <c r="HX856">
        <f>IF(ISBLANK('Data Entry'!$Ĩ$856), "", 'Data Entry'!$Ĩ$856)</f>
      </c>
      <c r="HY856">
        <f>IF(ISBLANK('Data Entry'!$ĩ$856), "", 'Data Entry'!$ĩ$856)</f>
      </c>
      <c r="HZ856">
        <f>IF(ISBLANK('Data Entry'!$Ī$856), "", 'Data Entry'!$Ī$856)</f>
      </c>
      <c r="IA856">
        <f>IF(ISBLANK('Data Entry'!$ī$856), "", 'Data Entry'!$ī$856)</f>
      </c>
      <c r="IB856">
        <f>IF(ISBLANK('Data Entry'!$Ĭ$856), "", 'Data Entry'!$Ĭ$856)</f>
      </c>
      <c r="IC856">
        <f>IF(ISBLANK('Data Entry'!$ĭ$856), "", 'Data Entry'!$ĭ$856)</f>
      </c>
      <c r="ID856">
        <f>IF(ISBLANK('Data Entry'!$Į$856), "", 'Data Entry'!$Į$856)</f>
      </c>
      <c r="IE856">
        <f>IF(ISBLANK('Data Entry'!$į$856), "", 'Data Entry'!$į$856)</f>
      </c>
      <c r="IF856">
        <f>IF(ISBLANK('Data Entry'!$İ$856), "", 'Data Entry'!$İ$856)</f>
      </c>
      <c r="IG856">
        <f>IF(ISBLANK('Data Entry'!$ı$856), "", 'Data Entry'!$ı$856)</f>
      </c>
      <c r="IH856">
        <f>IF(ISBLANK('Data Entry'!$Ĳ$856), "", 'Data Entry'!$Ĳ$856)</f>
      </c>
      <c r="II856">
        <f>IF(ISBLANK('Data Entry'!$ĳ$856), "", 'Data Entry'!$ĳ$856)</f>
      </c>
      <c r="IJ856">
        <f>IF(ISBLANK('Data Entry'!$Ĵ$856), "", 'Data Entry'!$Ĵ$856)</f>
      </c>
      <c r="IK856">
        <f>IF(ISBLANK('Data Entry'!$ĵ$856), "", 'Data Entry'!$ĵ$856)</f>
      </c>
      <c r="IL856">
        <f>IF(ISBLANK('Data Entry'!$Ķ$856), "", 'Data Entry'!$Ķ$856)</f>
      </c>
      <c r="IM856">
        <f>IF(ISBLANK('Data Entry'!$ķ$856), "", 'Data Entry'!$ķ$856)</f>
      </c>
      <c r="IN856">
        <f>IF(ISBLANK('Data Entry'!$ĸ$856), "", 'Data Entry'!$ĸ$856)</f>
      </c>
      <c r="IO856">
        <f>IF(ISBLANK('Data Entry'!$Ĺ$856), "", 'Data Entry'!$Ĺ$856)</f>
      </c>
      <c r="IP856">
        <f>IF(ISBLANK('Data Entry'!$ĺ$856), "", 'Data Entry'!$ĺ$856)</f>
      </c>
      <c r="IQ856">
        <f>IF(ISBLANK('Data Entry'!$Ļ$856), "", 'Data Entry'!$Ļ$856)</f>
      </c>
      <c r="IR856">
        <f>IF(ISBLANK('Data Entry'!$ļ$856), "", 'Data Entry'!$ļ$856)</f>
      </c>
      <c r="IS856">
        <f>IF(ISBLANK('Data Entry'!$Ľ$856), "", 'Data Entry'!$Ľ$856)</f>
      </c>
      <c r="IT856">
        <f>IF(ISBLANK('Data Entry'!$ľ$856), "", 'Data Entry'!$ľ$856)</f>
      </c>
    </row>
    <row r="857" spans="1:254" x14ac:dyDescent="0.25">
      <c r="A857">
        <f>IF(ISBLANK('Data Entry'!$A$857), "", 'Data Entry'!$A$857)</f>
      </c>
      <c r="B857">
        <f>IF(ISBLANK('Data Entry'!$B$857), "", 'Data Entry'!$B$857)</f>
      </c>
      <c r="C857">
        <f>IF(ISBLANK('Data Entry'!$C$857), "", 'Data Entry'!$C$857)</f>
      </c>
      <c r="D857">
        <f>IF(ISBLANK('Data Entry'!$D$857), "", 'Data Entry'!$D$857)</f>
      </c>
      <c r="E857">
        <f>IF(ISBLANK('Data Entry'!$E$857), "", 'Data Entry'!$E$857)</f>
      </c>
      <c r="F857">
        <f>IF(ISBLANK('Data Entry'!$F$857), "", 'Data Entry'!$F$857)</f>
      </c>
      <c r="G857">
        <f>IF(ISBLANK('Data Entry'!$G$857), "", 'Data Entry'!$G$857)</f>
      </c>
      <c r="H857">
        <f>IF(ISBLANK('Data Entry'!$H$857), "", 'Data Entry'!$H$857)</f>
      </c>
      <c r="I857">
        <f>IF(ISBLANK('Data Entry'!$I$857), "", 'Data Entry'!$I$857)</f>
      </c>
      <c r="J857">
        <f>IF(ISBLANK('Data Entry'!$J$857), "", 'Data Entry'!$J$857)</f>
      </c>
      <c r="K857">
        <f>IF(ISBLANK('Data Entry'!$K$857), "", 'Data Entry'!$K$857)</f>
      </c>
      <c r="L857">
        <f>IF(ISBLANK('Data Entry'!$L$857), "", 'Data Entry'!$L$857)</f>
      </c>
      <c r="M857">
        <f>IF(ISBLANK('Data Entry'!$M$857), "", 'Data Entry'!$M$857)</f>
      </c>
      <c r="N857">
        <f>IF(ISBLANK('Data Entry'!$N$857), "", 'Data Entry'!$N$857)</f>
      </c>
      <c r="O857">
        <f>IF(ISBLANK('Data Entry'!$O$857), "", 'Data Entry'!$O$857)</f>
      </c>
      <c r="P857">
        <f>IF(ISBLANK('Data Entry'!$P$857), "", 'Data Entry'!$P$857)</f>
      </c>
      <c r="Q857">
        <f>IF(ISBLANK('Data Entry'!$Q$857), "", 'Data Entry'!$Q$857)</f>
      </c>
      <c r="R857">
        <f>IF(ISBLANK('Data Entry'!$R$857), "", 'Data Entry'!$R$857)</f>
      </c>
      <c r="S857">
        <f>IF(ISBLANK('Data Entry'!$S$857), "", 'Data Entry'!$S$857)</f>
      </c>
      <c r="T857">
        <f>IF(ISBLANK('Data Entry'!$T$857), "", 'Data Entry'!$T$857)</f>
      </c>
      <c r="U857">
        <f>IF(ISBLANK('Data Entry'!$U$857), "", 'Data Entry'!$U$857)</f>
      </c>
      <c r="V857">
        <f>IF(ISBLANK('Data Entry'!$V$857), "", 'Data Entry'!$V$857)</f>
      </c>
      <c r="W857">
        <f>IF(ISBLANK('Data Entry'!$W$857), "", 'Data Entry'!$W$857)</f>
      </c>
      <c r="X857">
        <f>IF(ISBLANK('Data Entry'!$X$857), "", 'Data Entry'!$X$857)</f>
      </c>
      <c r="Y857">
        <f>IF(ISBLANK('Data Entry'!$Y$857), "", 'Data Entry'!$Y$857)</f>
      </c>
      <c r="Z857">
        <f>IF(ISBLANK('Data Entry'!$Z$857), "", 'Data Entry'!$Z$857)</f>
      </c>
      <c r="AA857">
        <f>IF(ISBLANK('Data Entry'!$[$857), "", 'Data Entry'!$[$857)</f>
      </c>
      <c r="AB857">
        <f>IF(ISBLANK('Data Entry'!$\$857), "", 'Data Entry'!$\$857)</f>
      </c>
      <c r="AC857">
        <f>IF(ISBLANK('Data Entry'!$]$857), "", 'Data Entry'!$]$857)</f>
      </c>
      <c r="AD857">
        <f>IF(ISBLANK('Data Entry'!$^$857), "", 'Data Entry'!$^$857)</f>
      </c>
      <c r="AE857">
        <f>IF(ISBLANK('Data Entry'!$_$857), "", 'Data Entry'!$_$857)</f>
      </c>
      <c r="AF857">
        <f>IF(ISBLANK('Data Entry'!$`$857), "", 'Data Entry'!$`$857)</f>
      </c>
      <c r="AG857">
        <f>IF(ISBLANK('Data Entry'!$a$857), "", 'Data Entry'!$a$857)</f>
      </c>
      <c r="AH857">
        <f>IF(ISBLANK('Data Entry'!$b$857), "", 'Data Entry'!$b$857)</f>
      </c>
      <c r="AI857">
        <f>IF(ISBLANK('Data Entry'!$c$857), "", 'Data Entry'!$c$857)</f>
      </c>
      <c r="AJ857">
        <f>IF(ISBLANK('Data Entry'!$d$857), "", 'Data Entry'!$d$857)</f>
      </c>
      <c r="AK857">
        <f>IF(ISBLANK('Data Entry'!$e$857), "", 'Data Entry'!$e$857)</f>
      </c>
      <c r="AL857">
        <f>IF(ISBLANK('Data Entry'!$f$857), "", 'Data Entry'!$f$857)</f>
      </c>
      <c r="AM857">
        <f>IF(ISBLANK('Data Entry'!$g$857), "", 'Data Entry'!$g$857)</f>
      </c>
      <c r="AN857">
        <f>IF(ISBLANK('Data Entry'!$h$857), "", 'Data Entry'!$h$857)</f>
      </c>
      <c r="AO857">
        <f>IF(ISBLANK('Data Entry'!$i$857), "", 'Data Entry'!$i$857)</f>
      </c>
      <c r="AP857">
        <f>IF(ISBLANK('Data Entry'!$j$857), "", 'Data Entry'!$j$857)</f>
      </c>
      <c r="AQ857">
        <f>IF(ISBLANK('Data Entry'!$k$857), "", 'Data Entry'!$k$857)</f>
      </c>
      <c r="AR857">
        <f>IF(ISBLANK('Data Entry'!$l$857), "", 'Data Entry'!$l$857)</f>
      </c>
      <c r="AS857">
        <f>IF(ISBLANK('Data Entry'!$m$857), "", 'Data Entry'!$m$857)</f>
      </c>
      <c r="AT857">
        <f>IF(ISBLANK('Data Entry'!$n$857), "", 'Data Entry'!$n$857)</f>
      </c>
      <c r="AU857">
        <f>IF(ISBLANK('Data Entry'!$o$857), "", 'Data Entry'!$o$857)</f>
      </c>
      <c r="AV857">
        <f>IF(ISBLANK('Data Entry'!$p$857), "", 'Data Entry'!$p$857)</f>
      </c>
      <c r="AW857">
        <f>IF(ISBLANK('Data Entry'!$q$857), "", 'Data Entry'!$q$857)</f>
      </c>
      <c r="AX857">
        <f>IF(ISBLANK('Data Entry'!$r$857), "", 'Data Entry'!$r$857)</f>
      </c>
      <c r="AY857">
        <f>IF(ISBLANK('Data Entry'!$s$857), "", 'Data Entry'!$s$857)</f>
      </c>
      <c r="AZ857">
        <f>IF(ISBLANK('Data Entry'!$t$857), "", 'Data Entry'!$t$857)</f>
      </c>
      <c r="BA857">
        <f>IF(ISBLANK('Data Entry'!$u$857), "", 'Data Entry'!$u$857)</f>
      </c>
      <c r="BB857">
        <f>IF(ISBLANK('Data Entry'!$v$857), "", 'Data Entry'!$v$857)</f>
      </c>
      <c r="BC857">
        <f>IF(ISBLANK('Data Entry'!$w$857), "", 'Data Entry'!$w$857)</f>
      </c>
      <c r="BD857">
        <f>IF(ISBLANK('Data Entry'!$x$857), "", 'Data Entry'!$x$857)</f>
      </c>
      <c r="BE857">
        <f>IF(ISBLANK('Data Entry'!$y$857), "", 'Data Entry'!$y$857)</f>
      </c>
      <c r="BF857">
        <f>IF(ISBLANK('Data Entry'!$z$857), "", 'Data Entry'!$z$857)</f>
      </c>
      <c r="BG857">
        <f>IF(ISBLANK('Data Entry'!${$857), "", 'Data Entry'!${$857)</f>
      </c>
      <c r="BH857">
        <f>IF(ISBLANK('Data Entry'!$|$857), "", 'Data Entry'!$|$857)</f>
      </c>
      <c r="BI857">
        <f>IF(ISBLANK('Data Entry'!$}$857), "", 'Data Entry'!$}$857)</f>
      </c>
      <c r="BJ857">
        <f>IF(ISBLANK('Data Entry'!$~$857), "", 'Data Entry'!$~$857)</f>
      </c>
      <c r="BK857">
        <f>IF(ISBLANK('Data Entry'!$$857), "", 'Data Entry'!$$857)</f>
      </c>
      <c r="BL857">
        <f>IF(ISBLANK('Data Entry'!$$857), "", 'Data Entry'!$$857)</f>
      </c>
      <c r="BM857">
        <f>IF(ISBLANK('Data Entry'!$$857), "", 'Data Entry'!$$857)</f>
      </c>
      <c r="BN857">
        <f>IF(ISBLANK('Data Entry'!$$857), "", 'Data Entry'!$$857)</f>
      </c>
      <c r="BO857">
        <f>IF(ISBLANK('Data Entry'!$$857), "", 'Data Entry'!$$857)</f>
      </c>
      <c r="BP857">
        <f>IF(ISBLANK('Data Entry'!$$857), "", 'Data Entry'!$$857)</f>
      </c>
      <c r="BQ857">
        <f>IF(ISBLANK('Data Entry'!$$857), "", 'Data Entry'!$$857)</f>
      </c>
      <c r="BR857">
        <f>IF(ISBLANK('Data Entry'!$$857), "", 'Data Entry'!$$857)</f>
      </c>
      <c r="BS857">
        <f>IF(ISBLANK('Data Entry'!$$857), "", 'Data Entry'!$$857)</f>
      </c>
      <c r="BT857">
        <f>IF(ISBLANK('Data Entry'!$$857), "", 'Data Entry'!$$857)</f>
      </c>
      <c r="BU857">
        <f>IF(ISBLANK('Data Entry'!$$857), "", 'Data Entry'!$$857)</f>
      </c>
      <c r="BV857">
        <f>IF(ISBLANK('Data Entry'!$$857), "", 'Data Entry'!$$857)</f>
      </c>
      <c r="BW857">
        <f>IF(ISBLANK('Data Entry'!$$857), "", 'Data Entry'!$$857)</f>
      </c>
      <c r="BX857">
        <f>IF(ISBLANK('Data Entry'!$$857), "", 'Data Entry'!$$857)</f>
      </c>
      <c r="BY857">
        <f>IF(ISBLANK('Data Entry'!$$857), "", 'Data Entry'!$$857)</f>
      </c>
      <c r="BZ857">
        <f>IF(ISBLANK('Data Entry'!$$857), "", 'Data Entry'!$$857)</f>
      </c>
      <c r="CA857">
        <f>IF(ISBLANK('Data Entry'!$$857), "", 'Data Entry'!$$857)</f>
      </c>
      <c r="CB857">
        <f>IF(ISBLANK('Data Entry'!$$857), "", 'Data Entry'!$$857)</f>
      </c>
      <c r="CC857">
        <f>IF(ISBLANK('Data Entry'!$$857), "", 'Data Entry'!$$857)</f>
      </c>
      <c r="CD857">
        <f>IF(ISBLANK('Data Entry'!$$857), "", 'Data Entry'!$$857)</f>
      </c>
      <c r="CE857">
        <f>IF(ISBLANK('Data Entry'!$$857), "", 'Data Entry'!$$857)</f>
      </c>
      <c r="CF857">
        <f>IF(ISBLANK('Data Entry'!$$857), "", 'Data Entry'!$$857)</f>
      </c>
      <c r="CG857">
        <f>IF(ISBLANK('Data Entry'!$$857), "", 'Data Entry'!$$857)</f>
      </c>
      <c r="CH857">
        <f>IF(ISBLANK('Data Entry'!$$857), "", 'Data Entry'!$$857)</f>
      </c>
      <c r="CI857">
        <f>IF(ISBLANK('Data Entry'!$$857), "", 'Data Entry'!$$857)</f>
      </c>
      <c r="CJ857">
        <f>IF(ISBLANK('Data Entry'!$$857), "", 'Data Entry'!$$857)</f>
      </c>
      <c r="CK857">
        <f>IF(ISBLANK('Data Entry'!$$857), "", 'Data Entry'!$$857)</f>
      </c>
      <c r="CL857">
        <f>IF(ISBLANK('Data Entry'!$$857), "", 'Data Entry'!$$857)</f>
      </c>
      <c r="CM857">
        <f>IF(ISBLANK('Data Entry'!$$857), "", 'Data Entry'!$$857)</f>
      </c>
      <c r="CN857">
        <f>IF(ISBLANK('Data Entry'!$$857), "", 'Data Entry'!$$857)</f>
      </c>
      <c r="CO857">
        <f>IF(ISBLANK('Data Entry'!$$857), "", 'Data Entry'!$$857)</f>
      </c>
      <c r="CP857">
        <f>IF(ISBLANK('Data Entry'!$$857), "", 'Data Entry'!$$857)</f>
      </c>
      <c r="CQ857">
        <f>IF(ISBLANK('Data Entry'!$$857), "", 'Data Entry'!$$857)</f>
      </c>
      <c r="CR857">
        <f>IF(ISBLANK('Data Entry'!$ $857), "", 'Data Entry'!$ $857)</f>
      </c>
      <c r="CS857">
        <f>IF(ISBLANK('Data Entry'!$¡$857), "", 'Data Entry'!$¡$857)</f>
      </c>
      <c r="CT857">
        <f>IF(ISBLANK('Data Entry'!$¢$857), "", 'Data Entry'!$¢$857)</f>
      </c>
      <c r="CU857">
        <f>IF(ISBLANK('Data Entry'!$£$857), "", 'Data Entry'!$£$857)</f>
      </c>
      <c r="CV857">
        <f>IF(ISBLANK('Data Entry'!$¤$857), "", 'Data Entry'!$¤$857)</f>
      </c>
      <c r="CW857">
        <f>IF(ISBLANK('Data Entry'!$¥$857), "", 'Data Entry'!$¥$857)</f>
      </c>
      <c r="CX857">
        <f>IF(ISBLANK('Data Entry'!$¦$857), "", 'Data Entry'!$¦$857)</f>
      </c>
      <c r="CY857">
        <f>IF(ISBLANK('Data Entry'!$§$857), "", 'Data Entry'!$§$857)</f>
      </c>
      <c r="CZ857">
        <f>IF(ISBLANK('Data Entry'!$¨$857), "", 'Data Entry'!$¨$857)</f>
      </c>
      <c r="DA857">
        <f>IF(ISBLANK('Data Entry'!$©$857), "", 'Data Entry'!$©$857)</f>
      </c>
      <c r="DB857">
        <f>IF(ISBLANK('Data Entry'!$ª$857), "", 'Data Entry'!$ª$857)</f>
      </c>
      <c r="DC857">
        <f>IF(ISBLANK('Data Entry'!$«$857), "", 'Data Entry'!$«$857)</f>
      </c>
      <c r="DD857">
        <f>IF(ISBLANK('Data Entry'!$¬$857), "", 'Data Entry'!$¬$857)</f>
      </c>
      <c r="DE857">
        <f>IF(ISBLANK('Data Entry'!$­$857), "", 'Data Entry'!$­$857)</f>
      </c>
      <c r="DF857">
        <f>IF(ISBLANK('Data Entry'!$®$857), "", 'Data Entry'!$®$857)</f>
      </c>
      <c r="DG857">
        <f>IF(ISBLANK('Data Entry'!$¯$857), "", 'Data Entry'!$¯$857)</f>
      </c>
      <c r="DH857">
        <f>IF(ISBLANK('Data Entry'!$°$857), "", 'Data Entry'!$°$857)</f>
      </c>
      <c r="DI857">
        <f>IF(ISBLANK('Data Entry'!$±$857), "", 'Data Entry'!$±$857)</f>
      </c>
      <c r="DJ857">
        <f>IF(ISBLANK('Data Entry'!$²$857), "", 'Data Entry'!$²$857)</f>
      </c>
      <c r="DK857">
        <f>IF(ISBLANK('Data Entry'!$³$857), "", 'Data Entry'!$³$857)</f>
      </c>
      <c r="DL857">
        <f>IF(ISBLANK('Data Entry'!$´$857), "", 'Data Entry'!$´$857)</f>
      </c>
      <c r="DM857">
        <f>IF(ISBLANK('Data Entry'!$µ$857), "", 'Data Entry'!$µ$857)</f>
      </c>
      <c r="DN857">
        <f>IF(ISBLANK('Data Entry'!$¶$857), "", 'Data Entry'!$¶$857)</f>
      </c>
      <c r="DO857">
        <f>IF(ISBLANK('Data Entry'!$·$857), "", 'Data Entry'!$·$857)</f>
      </c>
      <c r="DP857">
        <f>IF(ISBLANK('Data Entry'!$¸$857), "", 'Data Entry'!$¸$857)</f>
      </c>
      <c r="DQ857">
        <f>IF(ISBLANK('Data Entry'!$¹$857), "", 'Data Entry'!$¹$857)</f>
      </c>
      <c r="DR857">
        <f>IF(ISBLANK('Data Entry'!$º$857), "", 'Data Entry'!$º$857)</f>
      </c>
      <c r="DS857">
        <f>IF(ISBLANK('Data Entry'!$»$857), "", 'Data Entry'!$»$857)</f>
      </c>
      <c r="DT857">
        <f>IF(ISBLANK('Data Entry'!$¼$857), "", 'Data Entry'!$¼$857)</f>
      </c>
      <c r="DU857">
        <f>IF(ISBLANK('Data Entry'!$½$857), "", 'Data Entry'!$½$857)</f>
      </c>
      <c r="DV857">
        <f>IF(ISBLANK('Data Entry'!$¾$857), "", 'Data Entry'!$¾$857)</f>
      </c>
      <c r="DW857">
        <f>IF(ISBLANK('Data Entry'!$¿$857), "", 'Data Entry'!$¿$857)</f>
      </c>
      <c r="DX857">
        <f>IF(ISBLANK('Data Entry'!$À$857), "", 'Data Entry'!$À$857)</f>
      </c>
      <c r="DY857">
        <f>IF(ISBLANK('Data Entry'!$Á$857), "", 'Data Entry'!$Á$857)</f>
      </c>
      <c r="DZ857">
        <f>IF(ISBLANK('Data Entry'!$Â$857), "", 'Data Entry'!$Â$857)</f>
      </c>
      <c r="EA857">
        <f>IF(ISBLANK('Data Entry'!$Ã$857), "", 'Data Entry'!$Ã$857)</f>
      </c>
      <c r="EB857">
        <f>IF(ISBLANK('Data Entry'!$Ä$857), "", 'Data Entry'!$Ä$857)</f>
      </c>
      <c r="EC857">
        <f>IF(ISBLANK('Data Entry'!$Å$857), "", 'Data Entry'!$Å$857)</f>
      </c>
      <c r="ED857">
        <f>IF(ISBLANK('Data Entry'!$Æ$857), "", 'Data Entry'!$Æ$857)</f>
      </c>
      <c r="EE857">
        <f>IF(ISBLANK('Data Entry'!$Ç$857), "", 'Data Entry'!$Ç$857)</f>
      </c>
      <c r="EF857">
        <f>IF(ISBLANK('Data Entry'!$È$857), "", 'Data Entry'!$È$857)</f>
      </c>
      <c r="EG857">
        <f>IF(ISBLANK('Data Entry'!$É$857), "", 'Data Entry'!$É$857)</f>
      </c>
      <c r="EH857">
        <f>IF(ISBLANK('Data Entry'!$Ê$857), "", 'Data Entry'!$Ê$857)</f>
      </c>
      <c r="EI857">
        <f>IF(ISBLANK('Data Entry'!$Ë$857), "", 'Data Entry'!$Ë$857)</f>
      </c>
      <c r="EJ857">
        <f>IF(ISBLANK('Data Entry'!$Ì$857), "", 'Data Entry'!$Ì$857)</f>
      </c>
      <c r="EK857">
        <f>IF(ISBLANK('Data Entry'!$Í$857), "", 'Data Entry'!$Í$857)</f>
      </c>
      <c r="EL857">
        <f>IF(ISBLANK('Data Entry'!$Î$857), "", 'Data Entry'!$Î$857)</f>
      </c>
      <c r="EM857">
        <f>IF(ISBLANK('Data Entry'!$Ï$857), "", 'Data Entry'!$Ï$857)</f>
      </c>
      <c r="EN857">
        <f>IF(ISBLANK('Data Entry'!$Ð$857), "", 'Data Entry'!$Ð$857)</f>
      </c>
      <c r="EO857">
        <f>IF(ISBLANK('Data Entry'!$Ñ$857), "", 'Data Entry'!$Ñ$857)</f>
      </c>
      <c r="EP857">
        <f>IF(ISBLANK('Data Entry'!$Ò$857), "", 'Data Entry'!$Ò$857)</f>
      </c>
      <c r="EQ857">
        <f>IF(ISBLANK('Data Entry'!$Ó$857), "", 'Data Entry'!$Ó$857)</f>
      </c>
      <c r="ER857">
        <f>IF(ISBLANK('Data Entry'!$Ô$857), "", 'Data Entry'!$Ô$857)</f>
      </c>
      <c r="ES857">
        <f>IF(ISBLANK('Data Entry'!$Õ$857), "", 'Data Entry'!$Õ$857)</f>
      </c>
      <c r="ET857">
        <f>IF(ISBLANK('Data Entry'!$Ö$857), "", 'Data Entry'!$Ö$857)</f>
      </c>
      <c r="EU857">
        <f>IF(ISBLANK('Data Entry'!$×$857), "", 'Data Entry'!$×$857)</f>
      </c>
      <c r="EV857">
        <f>IF(ISBLANK('Data Entry'!$Ø$857), "", 'Data Entry'!$Ø$857)</f>
      </c>
      <c r="EW857">
        <f>IF(ISBLANK('Data Entry'!$Ù$857), "", 'Data Entry'!$Ù$857)</f>
      </c>
      <c r="EX857">
        <f>IF(ISBLANK('Data Entry'!$Ú$857), "", 'Data Entry'!$Ú$857)</f>
      </c>
      <c r="EY857">
        <f>IF(ISBLANK('Data Entry'!$Û$857), "", 'Data Entry'!$Û$857)</f>
      </c>
      <c r="EZ857">
        <f>IF(ISBLANK('Data Entry'!$Ü$857), "", 'Data Entry'!$Ü$857)</f>
      </c>
      <c r="FA857">
        <f>IF(ISBLANK('Data Entry'!$Ý$857), "", 'Data Entry'!$Ý$857)</f>
      </c>
      <c r="FB857">
        <f>IF(ISBLANK('Data Entry'!$Þ$857), "", 'Data Entry'!$Þ$857)</f>
      </c>
      <c r="FC857">
        <f>IF(ISBLANK('Data Entry'!$ß$857), "", 'Data Entry'!$ß$857)</f>
      </c>
      <c r="FD857">
        <f>IF(ISBLANK('Data Entry'!$à$857), "", 'Data Entry'!$à$857)</f>
      </c>
      <c r="FE857">
        <f>IF(ISBLANK('Data Entry'!$á$857), "", 'Data Entry'!$á$857)</f>
      </c>
      <c r="FF857">
        <f>IF(ISBLANK('Data Entry'!$â$857), "", 'Data Entry'!$â$857)</f>
      </c>
      <c r="FG857">
        <f>IF(ISBLANK('Data Entry'!$ã$857), "", 'Data Entry'!$ã$857)</f>
      </c>
      <c r="FH857">
        <f>IF(ISBLANK('Data Entry'!$ä$857), "", 'Data Entry'!$ä$857)</f>
      </c>
      <c r="FI857">
        <f>IF(ISBLANK('Data Entry'!$å$857), "", 'Data Entry'!$å$857)</f>
      </c>
      <c r="FJ857">
        <f>IF(ISBLANK('Data Entry'!$æ$857), "", 'Data Entry'!$æ$857)</f>
      </c>
      <c r="FK857">
        <f>IF(ISBLANK('Data Entry'!$ç$857), "", 'Data Entry'!$ç$857)</f>
      </c>
      <c r="FL857">
        <f>IF(ISBLANK('Data Entry'!$è$857), "", 'Data Entry'!$è$857)</f>
      </c>
      <c r="FM857">
        <f>IF(ISBLANK('Data Entry'!$é$857), "", 'Data Entry'!$é$857)</f>
      </c>
      <c r="FN857">
        <f>IF(ISBLANK('Data Entry'!$ê$857), "", 'Data Entry'!$ê$857)</f>
      </c>
      <c r="FO857">
        <f>IF(ISBLANK('Data Entry'!$ë$857), "", 'Data Entry'!$ë$857)</f>
      </c>
      <c r="FP857">
        <f>IF(ISBLANK('Data Entry'!$ì$857), "", 'Data Entry'!$ì$857)</f>
      </c>
      <c r="FQ857">
        <f>IF(ISBLANK('Data Entry'!$í$857), "", 'Data Entry'!$í$857)</f>
      </c>
      <c r="FR857">
        <f>IF(ISBLANK('Data Entry'!$î$857), "", 'Data Entry'!$î$857)</f>
      </c>
      <c r="FS857">
        <f>IF(ISBLANK('Data Entry'!$ï$857), "", 'Data Entry'!$ï$857)</f>
      </c>
      <c r="FT857">
        <f>IF(ISBLANK('Data Entry'!$ð$857), "", 'Data Entry'!$ð$857)</f>
      </c>
      <c r="FU857">
        <f>IF(ISBLANK('Data Entry'!$ñ$857), "", 'Data Entry'!$ñ$857)</f>
      </c>
      <c r="FV857">
        <f>IF(ISBLANK('Data Entry'!$ò$857), "", 'Data Entry'!$ò$857)</f>
      </c>
      <c r="FW857">
        <f>IF(ISBLANK('Data Entry'!$ó$857), "", 'Data Entry'!$ó$857)</f>
      </c>
      <c r="FX857">
        <f>IF(ISBLANK('Data Entry'!$ô$857), "", 'Data Entry'!$ô$857)</f>
      </c>
      <c r="FY857">
        <f>IF(ISBLANK('Data Entry'!$õ$857), "", 'Data Entry'!$õ$857)</f>
      </c>
      <c r="FZ857">
        <f>IF(ISBLANK('Data Entry'!$ö$857), "", 'Data Entry'!$ö$857)</f>
      </c>
      <c r="GA857">
        <f>IF(ISBLANK('Data Entry'!$÷$857), "", 'Data Entry'!$÷$857)</f>
      </c>
      <c r="GB857">
        <f>IF(ISBLANK('Data Entry'!$ø$857), "", 'Data Entry'!$ø$857)</f>
      </c>
      <c r="GC857">
        <f>IF(ISBLANK('Data Entry'!$ù$857), "", 'Data Entry'!$ù$857)</f>
      </c>
      <c r="GD857">
        <f>IF(ISBLANK('Data Entry'!$ú$857), "", 'Data Entry'!$ú$857)</f>
      </c>
      <c r="GE857">
        <f>IF(ISBLANK('Data Entry'!$û$857), "", 'Data Entry'!$û$857)</f>
      </c>
      <c r="GF857">
        <f>IF(ISBLANK('Data Entry'!$ü$857), "", 'Data Entry'!$ü$857)</f>
      </c>
      <c r="GG857">
        <f>IF(ISBLANK('Data Entry'!$ý$857), "", 'Data Entry'!$ý$857)</f>
      </c>
      <c r="GH857">
        <f>IF(ISBLANK('Data Entry'!$þ$857), "", 'Data Entry'!$þ$857)</f>
      </c>
      <c r="GI857">
        <f>IF(ISBLANK('Data Entry'!$ÿ$857), "", 'Data Entry'!$ÿ$857)</f>
      </c>
      <c r="GJ857">
        <f>IF(ISBLANK('Data Entry'!$Ā$857), "", 'Data Entry'!$Ā$857)</f>
      </c>
      <c r="GK857">
        <f>IF(ISBLANK('Data Entry'!$ā$857), "", 'Data Entry'!$ā$857)</f>
      </c>
      <c r="GL857">
        <f>IF(ISBLANK('Data Entry'!$Ă$857), "", 'Data Entry'!$Ă$857)</f>
      </c>
      <c r="GM857">
        <f>IF(ISBLANK('Data Entry'!$ă$857), "", 'Data Entry'!$ă$857)</f>
      </c>
      <c r="GN857">
        <f>IF(ISBLANK('Data Entry'!$Ą$857), "", 'Data Entry'!$Ą$857)</f>
      </c>
      <c r="GO857">
        <f>IF(ISBLANK('Data Entry'!$ą$857), "", 'Data Entry'!$ą$857)</f>
      </c>
      <c r="GP857">
        <f>IF(ISBLANK('Data Entry'!$Ć$857), "", 'Data Entry'!$Ć$857)</f>
      </c>
      <c r="GQ857">
        <f>IF(ISBLANK('Data Entry'!$ć$857), "", 'Data Entry'!$ć$857)</f>
      </c>
      <c r="GR857">
        <f>IF(ISBLANK('Data Entry'!$Ĉ$857), "", 'Data Entry'!$Ĉ$857)</f>
      </c>
      <c r="GS857">
        <f>IF(ISBLANK('Data Entry'!$ĉ$857), "", 'Data Entry'!$ĉ$857)</f>
      </c>
      <c r="GT857">
        <f>IF(ISBLANK('Data Entry'!$Ċ$857), "", 'Data Entry'!$Ċ$857)</f>
      </c>
      <c r="GU857">
        <f>IF(ISBLANK('Data Entry'!$ċ$857), "", 'Data Entry'!$ċ$857)</f>
      </c>
      <c r="GV857">
        <f>IF(ISBLANK('Data Entry'!$Č$857), "", 'Data Entry'!$Č$857)</f>
      </c>
      <c r="GW857">
        <f>IF(ISBLANK('Data Entry'!$č$857), "", 'Data Entry'!$č$857)</f>
      </c>
      <c r="GX857">
        <f>IF(ISBLANK('Data Entry'!$Ď$857), "", 'Data Entry'!$Ď$857)</f>
      </c>
      <c r="GY857">
        <f>IF(ISBLANK('Data Entry'!$ď$857), "", 'Data Entry'!$ď$857)</f>
      </c>
      <c r="GZ857">
        <f>IF(ISBLANK('Data Entry'!$Đ$857), "", 'Data Entry'!$Đ$857)</f>
      </c>
      <c r="HA857">
        <f>IF(ISBLANK('Data Entry'!$đ$857), "", 'Data Entry'!$đ$857)</f>
      </c>
      <c r="HB857">
        <f>IF(ISBLANK('Data Entry'!$Ē$857), "", 'Data Entry'!$Ē$857)</f>
      </c>
      <c r="HC857">
        <f>IF(ISBLANK('Data Entry'!$ē$857), "", 'Data Entry'!$ē$857)</f>
      </c>
      <c r="HD857">
        <f>IF(ISBLANK('Data Entry'!$Ĕ$857), "", 'Data Entry'!$Ĕ$857)</f>
      </c>
      <c r="HE857">
        <f>IF(ISBLANK('Data Entry'!$ĕ$857), "", 'Data Entry'!$ĕ$857)</f>
      </c>
      <c r="HF857">
        <f>IF(ISBLANK('Data Entry'!$Ė$857), "", 'Data Entry'!$Ė$857)</f>
      </c>
      <c r="HG857">
        <f>IF(ISBLANK('Data Entry'!$ė$857), "", 'Data Entry'!$ė$857)</f>
      </c>
      <c r="HH857">
        <f>IF(ISBLANK('Data Entry'!$Ę$857), "", 'Data Entry'!$Ę$857)</f>
      </c>
      <c r="HI857">
        <f>IF(ISBLANK('Data Entry'!$ę$857), "", 'Data Entry'!$ę$857)</f>
      </c>
      <c r="HJ857">
        <f>IF(ISBLANK('Data Entry'!$Ě$857), "", 'Data Entry'!$Ě$857)</f>
      </c>
      <c r="HK857">
        <f>IF(ISBLANK('Data Entry'!$ě$857), "", 'Data Entry'!$ě$857)</f>
      </c>
      <c r="HL857">
        <f>IF(ISBLANK('Data Entry'!$Ĝ$857), "", 'Data Entry'!$Ĝ$857)</f>
      </c>
      <c r="HM857">
        <f>IF(ISBLANK('Data Entry'!$ĝ$857), "", 'Data Entry'!$ĝ$857)</f>
      </c>
      <c r="HN857">
        <f>IF(ISBLANK('Data Entry'!$Ğ$857), "", 'Data Entry'!$Ğ$857)</f>
      </c>
      <c r="HO857">
        <f>IF(ISBLANK('Data Entry'!$ğ$857), "", 'Data Entry'!$ğ$857)</f>
      </c>
      <c r="HP857">
        <f>IF(ISBLANK('Data Entry'!$Ġ$857), "", 'Data Entry'!$Ġ$857)</f>
      </c>
      <c r="HQ857">
        <f>IF(ISBLANK('Data Entry'!$ġ$857), "", 'Data Entry'!$ġ$857)</f>
      </c>
      <c r="HR857">
        <f>IF(ISBLANK('Data Entry'!$Ģ$857), "", 'Data Entry'!$Ģ$857)</f>
      </c>
      <c r="HS857">
        <f>IF(ISBLANK('Data Entry'!$ģ$857), "", 'Data Entry'!$ģ$857)</f>
      </c>
      <c r="HT857">
        <f>IF(ISBLANK('Data Entry'!$Ĥ$857), "", 'Data Entry'!$Ĥ$857)</f>
      </c>
      <c r="HU857">
        <f>IF(ISBLANK('Data Entry'!$ĥ$857), "", 'Data Entry'!$ĥ$857)</f>
      </c>
      <c r="HV857">
        <f>IF(ISBLANK('Data Entry'!$Ħ$857), "", 'Data Entry'!$Ħ$857)</f>
      </c>
      <c r="HW857">
        <f>IF(ISBLANK('Data Entry'!$ħ$857), "", 'Data Entry'!$ħ$857)</f>
      </c>
      <c r="HX857">
        <f>IF(ISBLANK('Data Entry'!$Ĩ$857), "", 'Data Entry'!$Ĩ$857)</f>
      </c>
      <c r="HY857">
        <f>IF(ISBLANK('Data Entry'!$ĩ$857), "", 'Data Entry'!$ĩ$857)</f>
      </c>
      <c r="HZ857">
        <f>IF(ISBLANK('Data Entry'!$Ī$857), "", 'Data Entry'!$Ī$857)</f>
      </c>
      <c r="IA857">
        <f>IF(ISBLANK('Data Entry'!$ī$857), "", 'Data Entry'!$ī$857)</f>
      </c>
      <c r="IB857">
        <f>IF(ISBLANK('Data Entry'!$Ĭ$857), "", 'Data Entry'!$Ĭ$857)</f>
      </c>
      <c r="IC857">
        <f>IF(ISBLANK('Data Entry'!$ĭ$857), "", 'Data Entry'!$ĭ$857)</f>
      </c>
      <c r="ID857">
        <f>IF(ISBLANK('Data Entry'!$Į$857), "", 'Data Entry'!$Į$857)</f>
      </c>
      <c r="IE857">
        <f>IF(ISBLANK('Data Entry'!$į$857), "", 'Data Entry'!$į$857)</f>
      </c>
      <c r="IF857">
        <f>IF(ISBLANK('Data Entry'!$İ$857), "", 'Data Entry'!$İ$857)</f>
      </c>
      <c r="IG857">
        <f>IF(ISBLANK('Data Entry'!$ı$857), "", 'Data Entry'!$ı$857)</f>
      </c>
      <c r="IH857">
        <f>IF(ISBLANK('Data Entry'!$Ĳ$857), "", 'Data Entry'!$Ĳ$857)</f>
      </c>
      <c r="II857">
        <f>IF(ISBLANK('Data Entry'!$ĳ$857), "", 'Data Entry'!$ĳ$857)</f>
      </c>
      <c r="IJ857">
        <f>IF(ISBLANK('Data Entry'!$Ĵ$857), "", 'Data Entry'!$Ĵ$857)</f>
      </c>
      <c r="IK857">
        <f>IF(ISBLANK('Data Entry'!$ĵ$857), "", 'Data Entry'!$ĵ$857)</f>
      </c>
      <c r="IL857">
        <f>IF(ISBLANK('Data Entry'!$Ķ$857), "", 'Data Entry'!$Ķ$857)</f>
      </c>
      <c r="IM857">
        <f>IF(ISBLANK('Data Entry'!$ķ$857), "", 'Data Entry'!$ķ$857)</f>
      </c>
      <c r="IN857">
        <f>IF(ISBLANK('Data Entry'!$ĸ$857), "", 'Data Entry'!$ĸ$857)</f>
      </c>
      <c r="IO857">
        <f>IF(ISBLANK('Data Entry'!$Ĺ$857), "", 'Data Entry'!$Ĺ$857)</f>
      </c>
      <c r="IP857">
        <f>IF(ISBLANK('Data Entry'!$ĺ$857), "", 'Data Entry'!$ĺ$857)</f>
      </c>
      <c r="IQ857">
        <f>IF(ISBLANK('Data Entry'!$Ļ$857), "", 'Data Entry'!$Ļ$857)</f>
      </c>
      <c r="IR857">
        <f>IF(ISBLANK('Data Entry'!$ļ$857), "", 'Data Entry'!$ļ$857)</f>
      </c>
      <c r="IS857">
        <f>IF(ISBLANK('Data Entry'!$Ľ$857), "", 'Data Entry'!$Ľ$857)</f>
      </c>
      <c r="IT857">
        <f>IF(ISBLANK('Data Entry'!$ľ$857), "", 'Data Entry'!$ľ$857)</f>
      </c>
    </row>
    <row r="858" spans="1:254" x14ac:dyDescent="0.25">
      <c r="A858">
        <f>IF(ISBLANK('Data Entry'!$A$858), "", 'Data Entry'!$A$858)</f>
      </c>
      <c r="B858">
        <f>IF(ISBLANK('Data Entry'!$B$858), "", 'Data Entry'!$B$858)</f>
      </c>
      <c r="C858">
        <f>IF(ISBLANK('Data Entry'!$C$858), "", 'Data Entry'!$C$858)</f>
      </c>
      <c r="D858">
        <f>IF(ISBLANK('Data Entry'!$D$858), "", 'Data Entry'!$D$858)</f>
      </c>
      <c r="E858">
        <f>IF(ISBLANK('Data Entry'!$E$858), "", 'Data Entry'!$E$858)</f>
      </c>
      <c r="F858">
        <f>IF(ISBLANK('Data Entry'!$F$858), "", 'Data Entry'!$F$858)</f>
      </c>
      <c r="G858">
        <f>IF(ISBLANK('Data Entry'!$G$858), "", 'Data Entry'!$G$858)</f>
      </c>
      <c r="H858">
        <f>IF(ISBLANK('Data Entry'!$H$858), "", 'Data Entry'!$H$858)</f>
      </c>
      <c r="I858">
        <f>IF(ISBLANK('Data Entry'!$I$858), "", 'Data Entry'!$I$858)</f>
      </c>
      <c r="J858">
        <f>IF(ISBLANK('Data Entry'!$J$858), "", 'Data Entry'!$J$858)</f>
      </c>
      <c r="K858">
        <f>IF(ISBLANK('Data Entry'!$K$858), "", 'Data Entry'!$K$858)</f>
      </c>
      <c r="L858">
        <f>IF(ISBLANK('Data Entry'!$L$858), "", 'Data Entry'!$L$858)</f>
      </c>
      <c r="M858">
        <f>IF(ISBLANK('Data Entry'!$M$858), "", 'Data Entry'!$M$858)</f>
      </c>
      <c r="N858">
        <f>IF(ISBLANK('Data Entry'!$N$858), "", 'Data Entry'!$N$858)</f>
      </c>
      <c r="O858">
        <f>IF(ISBLANK('Data Entry'!$O$858), "", 'Data Entry'!$O$858)</f>
      </c>
      <c r="P858">
        <f>IF(ISBLANK('Data Entry'!$P$858), "", 'Data Entry'!$P$858)</f>
      </c>
      <c r="Q858">
        <f>IF(ISBLANK('Data Entry'!$Q$858), "", 'Data Entry'!$Q$858)</f>
      </c>
      <c r="R858">
        <f>IF(ISBLANK('Data Entry'!$R$858), "", 'Data Entry'!$R$858)</f>
      </c>
      <c r="S858">
        <f>IF(ISBLANK('Data Entry'!$S$858), "", 'Data Entry'!$S$858)</f>
      </c>
      <c r="T858">
        <f>IF(ISBLANK('Data Entry'!$T$858), "", 'Data Entry'!$T$858)</f>
      </c>
      <c r="U858">
        <f>IF(ISBLANK('Data Entry'!$U$858), "", 'Data Entry'!$U$858)</f>
      </c>
      <c r="V858">
        <f>IF(ISBLANK('Data Entry'!$V$858), "", 'Data Entry'!$V$858)</f>
      </c>
      <c r="W858">
        <f>IF(ISBLANK('Data Entry'!$W$858), "", 'Data Entry'!$W$858)</f>
      </c>
      <c r="X858">
        <f>IF(ISBLANK('Data Entry'!$X$858), "", 'Data Entry'!$X$858)</f>
      </c>
      <c r="Y858">
        <f>IF(ISBLANK('Data Entry'!$Y$858), "", 'Data Entry'!$Y$858)</f>
      </c>
      <c r="Z858">
        <f>IF(ISBLANK('Data Entry'!$Z$858), "", 'Data Entry'!$Z$858)</f>
      </c>
      <c r="AA858">
        <f>IF(ISBLANK('Data Entry'!$[$858), "", 'Data Entry'!$[$858)</f>
      </c>
      <c r="AB858">
        <f>IF(ISBLANK('Data Entry'!$\$858), "", 'Data Entry'!$\$858)</f>
      </c>
      <c r="AC858">
        <f>IF(ISBLANK('Data Entry'!$]$858), "", 'Data Entry'!$]$858)</f>
      </c>
      <c r="AD858">
        <f>IF(ISBLANK('Data Entry'!$^$858), "", 'Data Entry'!$^$858)</f>
      </c>
      <c r="AE858">
        <f>IF(ISBLANK('Data Entry'!$_$858), "", 'Data Entry'!$_$858)</f>
      </c>
      <c r="AF858">
        <f>IF(ISBLANK('Data Entry'!$`$858), "", 'Data Entry'!$`$858)</f>
      </c>
      <c r="AG858">
        <f>IF(ISBLANK('Data Entry'!$a$858), "", 'Data Entry'!$a$858)</f>
      </c>
      <c r="AH858">
        <f>IF(ISBLANK('Data Entry'!$b$858), "", 'Data Entry'!$b$858)</f>
      </c>
      <c r="AI858">
        <f>IF(ISBLANK('Data Entry'!$c$858), "", 'Data Entry'!$c$858)</f>
      </c>
      <c r="AJ858">
        <f>IF(ISBLANK('Data Entry'!$d$858), "", 'Data Entry'!$d$858)</f>
      </c>
      <c r="AK858">
        <f>IF(ISBLANK('Data Entry'!$e$858), "", 'Data Entry'!$e$858)</f>
      </c>
      <c r="AL858">
        <f>IF(ISBLANK('Data Entry'!$f$858), "", 'Data Entry'!$f$858)</f>
      </c>
      <c r="AM858">
        <f>IF(ISBLANK('Data Entry'!$g$858), "", 'Data Entry'!$g$858)</f>
      </c>
      <c r="AN858">
        <f>IF(ISBLANK('Data Entry'!$h$858), "", 'Data Entry'!$h$858)</f>
      </c>
      <c r="AO858">
        <f>IF(ISBLANK('Data Entry'!$i$858), "", 'Data Entry'!$i$858)</f>
      </c>
      <c r="AP858">
        <f>IF(ISBLANK('Data Entry'!$j$858), "", 'Data Entry'!$j$858)</f>
      </c>
      <c r="AQ858">
        <f>IF(ISBLANK('Data Entry'!$k$858), "", 'Data Entry'!$k$858)</f>
      </c>
      <c r="AR858">
        <f>IF(ISBLANK('Data Entry'!$l$858), "", 'Data Entry'!$l$858)</f>
      </c>
      <c r="AS858">
        <f>IF(ISBLANK('Data Entry'!$m$858), "", 'Data Entry'!$m$858)</f>
      </c>
      <c r="AT858">
        <f>IF(ISBLANK('Data Entry'!$n$858), "", 'Data Entry'!$n$858)</f>
      </c>
      <c r="AU858">
        <f>IF(ISBLANK('Data Entry'!$o$858), "", 'Data Entry'!$o$858)</f>
      </c>
      <c r="AV858">
        <f>IF(ISBLANK('Data Entry'!$p$858), "", 'Data Entry'!$p$858)</f>
      </c>
      <c r="AW858">
        <f>IF(ISBLANK('Data Entry'!$q$858), "", 'Data Entry'!$q$858)</f>
      </c>
      <c r="AX858">
        <f>IF(ISBLANK('Data Entry'!$r$858), "", 'Data Entry'!$r$858)</f>
      </c>
      <c r="AY858">
        <f>IF(ISBLANK('Data Entry'!$s$858), "", 'Data Entry'!$s$858)</f>
      </c>
      <c r="AZ858">
        <f>IF(ISBLANK('Data Entry'!$t$858), "", 'Data Entry'!$t$858)</f>
      </c>
      <c r="BA858">
        <f>IF(ISBLANK('Data Entry'!$u$858), "", 'Data Entry'!$u$858)</f>
      </c>
      <c r="BB858">
        <f>IF(ISBLANK('Data Entry'!$v$858), "", 'Data Entry'!$v$858)</f>
      </c>
      <c r="BC858">
        <f>IF(ISBLANK('Data Entry'!$w$858), "", 'Data Entry'!$w$858)</f>
      </c>
      <c r="BD858">
        <f>IF(ISBLANK('Data Entry'!$x$858), "", 'Data Entry'!$x$858)</f>
      </c>
      <c r="BE858">
        <f>IF(ISBLANK('Data Entry'!$y$858), "", 'Data Entry'!$y$858)</f>
      </c>
      <c r="BF858">
        <f>IF(ISBLANK('Data Entry'!$z$858), "", 'Data Entry'!$z$858)</f>
      </c>
      <c r="BG858">
        <f>IF(ISBLANK('Data Entry'!${$858), "", 'Data Entry'!${$858)</f>
      </c>
      <c r="BH858">
        <f>IF(ISBLANK('Data Entry'!$|$858), "", 'Data Entry'!$|$858)</f>
      </c>
      <c r="BI858">
        <f>IF(ISBLANK('Data Entry'!$}$858), "", 'Data Entry'!$}$858)</f>
      </c>
      <c r="BJ858">
        <f>IF(ISBLANK('Data Entry'!$~$858), "", 'Data Entry'!$~$858)</f>
      </c>
      <c r="BK858">
        <f>IF(ISBLANK('Data Entry'!$$858), "", 'Data Entry'!$$858)</f>
      </c>
      <c r="BL858">
        <f>IF(ISBLANK('Data Entry'!$$858), "", 'Data Entry'!$$858)</f>
      </c>
      <c r="BM858">
        <f>IF(ISBLANK('Data Entry'!$$858), "", 'Data Entry'!$$858)</f>
      </c>
      <c r="BN858">
        <f>IF(ISBLANK('Data Entry'!$$858), "", 'Data Entry'!$$858)</f>
      </c>
      <c r="BO858">
        <f>IF(ISBLANK('Data Entry'!$$858), "", 'Data Entry'!$$858)</f>
      </c>
      <c r="BP858">
        <f>IF(ISBLANK('Data Entry'!$$858), "", 'Data Entry'!$$858)</f>
      </c>
      <c r="BQ858">
        <f>IF(ISBLANK('Data Entry'!$$858), "", 'Data Entry'!$$858)</f>
      </c>
      <c r="BR858">
        <f>IF(ISBLANK('Data Entry'!$$858), "", 'Data Entry'!$$858)</f>
      </c>
      <c r="BS858">
        <f>IF(ISBLANK('Data Entry'!$$858), "", 'Data Entry'!$$858)</f>
      </c>
      <c r="BT858">
        <f>IF(ISBLANK('Data Entry'!$$858), "", 'Data Entry'!$$858)</f>
      </c>
      <c r="BU858">
        <f>IF(ISBLANK('Data Entry'!$$858), "", 'Data Entry'!$$858)</f>
      </c>
      <c r="BV858">
        <f>IF(ISBLANK('Data Entry'!$$858), "", 'Data Entry'!$$858)</f>
      </c>
      <c r="BW858">
        <f>IF(ISBLANK('Data Entry'!$$858), "", 'Data Entry'!$$858)</f>
      </c>
      <c r="BX858">
        <f>IF(ISBLANK('Data Entry'!$$858), "", 'Data Entry'!$$858)</f>
      </c>
      <c r="BY858">
        <f>IF(ISBLANK('Data Entry'!$$858), "", 'Data Entry'!$$858)</f>
      </c>
      <c r="BZ858">
        <f>IF(ISBLANK('Data Entry'!$$858), "", 'Data Entry'!$$858)</f>
      </c>
      <c r="CA858">
        <f>IF(ISBLANK('Data Entry'!$$858), "", 'Data Entry'!$$858)</f>
      </c>
      <c r="CB858">
        <f>IF(ISBLANK('Data Entry'!$$858), "", 'Data Entry'!$$858)</f>
      </c>
      <c r="CC858">
        <f>IF(ISBLANK('Data Entry'!$$858), "", 'Data Entry'!$$858)</f>
      </c>
      <c r="CD858">
        <f>IF(ISBLANK('Data Entry'!$$858), "", 'Data Entry'!$$858)</f>
      </c>
      <c r="CE858">
        <f>IF(ISBLANK('Data Entry'!$$858), "", 'Data Entry'!$$858)</f>
      </c>
      <c r="CF858">
        <f>IF(ISBLANK('Data Entry'!$$858), "", 'Data Entry'!$$858)</f>
      </c>
      <c r="CG858">
        <f>IF(ISBLANK('Data Entry'!$$858), "", 'Data Entry'!$$858)</f>
      </c>
      <c r="CH858">
        <f>IF(ISBLANK('Data Entry'!$$858), "", 'Data Entry'!$$858)</f>
      </c>
      <c r="CI858">
        <f>IF(ISBLANK('Data Entry'!$$858), "", 'Data Entry'!$$858)</f>
      </c>
      <c r="CJ858">
        <f>IF(ISBLANK('Data Entry'!$$858), "", 'Data Entry'!$$858)</f>
      </c>
      <c r="CK858">
        <f>IF(ISBLANK('Data Entry'!$$858), "", 'Data Entry'!$$858)</f>
      </c>
      <c r="CL858">
        <f>IF(ISBLANK('Data Entry'!$$858), "", 'Data Entry'!$$858)</f>
      </c>
      <c r="CM858">
        <f>IF(ISBLANK('Data Entry'!$$858), "", 'Data Entry'!$$858)</f>
      </c>
      <c r="CN858">
        <f>IF(ISBLANK('Data Entry'!$$858), "", 'Data Entry'!$$858)</f>
      </c>
      <c r="CO858">
        <f>IF(ISBLANK('Data Entry'!$$858), "", 'Data Entry'!$$858)</f>
      </c>
      <c r="CP858">
        <f>IF(ISBLANK('Data Entry'!$$858), "", 'Data Entry'!$$858)</f>
      </c>
      <c r="CQ858">
        <f>IF(ISBLANK('Data Entry'!$$858), "", 'Data Entry'!$$858)</f>
      </c>
      <c r="CR858">
        <f>IF(ISBLANK('Data Entry'!$ $858), "", 'Data Entry'!$ $858)</f>
      </c>
      <c r="CS858">
        <f>IF(ISBLANK('Data Entry'!$¡$858), "", 'Data Entry'!$¡$858)</f>
      </c>
      <c r="CT858">
        <f>IF(ISBLANK('Data Entry'!$¢$858), "", 'Data Entry'!$¢$858)</f>
      </c>
      <c r="CU858">
        <f>IF(ISBLANK('Data Entry'!$£$858), "", 'Data Entry'!$£$858)</f>
      </c>
      <c r="CV858">
        <f>IF(ISBLANK('Data Entry'!$¤$858), "", 'Data Entry'!$¤$858)</f>
      </c>
      <c r="CW858">
        <f>IF(ISBLANK('Data Entry'!$¥$858), "", 'Data Entry'!$¥$858)</f>
      </c>
      <c r="CX858">
        <f>IF(ISBLANK('Data Entry'!$¦$858), "", 'Data Entry'!$¦$858)</f>
      </c>
      <c r="CY858">
        <f>IF(ISBLANK('Data Entry'!$§$858), "", 'Data Entry'!$§$858)</f>
      </c>
      <c r="CZ858">
        <f>IF(ISBLANK('Data Entry'!$¨$858), "", 'Data Entry'!$¨$858)</f>
      </c>
      <c r="DA858">
        <f>IF(ISBLANK('Data Entry'!$©$858), "", 'Data Entry'!$©$858)</f>
      </c>
      <c r="DB858">
        <f>IF(ISBLANK('Data Entry'!$ª$858), "", 'Data Entry'!$ª$858)</f>
      </c>
      <c r="DC858">
        <f>IF(ISBLANK('Data Entry'!$«$858), "", 'Data Entry'!$«$858)</f>
      </c>
      <c r="DD858">
        <f>IF(ISBLANK('Data Entry'!$¬$858), "", 'Data Entry'!$¬$858)</f>
      </c>
      <c r="DE858">
        <f>IF(ISBLANK('Data Entry'!$­$858), "", 'Data Entry'!$­$858)</f>
      </c>
      <c r="DF858">
        <f>IF(ISBLANK('Data Entry'!$®$858), "", 'Data Entry'!$®$858)</f>
      </c>
      <c r="DG858">
        <f>IF(ISBLANK('Data Entry'!$¯$858), "", 'Data Entry'!$¯$858)</f>
      </c>
      <c r="DH858">
        <f>IF(ISBLANK('Data Entry'!$°$858), "", 'Data Entry'!$°$858)</f>
      </c>
      <c r="DI858">
        <f>IF(ISBLANK('Data Entry'!$±$858), "", 'Data Entry'!$±$858)</f>
      </c>
      <c r="DJ858">
        <f>IF(ISBLANK('Data Entry'!$²$858), "", 'Data Entry'!$²$858)</f>
      </c>
      <c r="DK858">
        <f>IF(ISBLANK('Data Entry'!$³$858), "", 'Data Entry'!$³$858)</f>
      </c>
      <c r="DL858">
        <f>IF(ISBLANK('Data Entry'!$´$858), "", 'Data Entry'!$´$858)</f>
      </c>
      <c r="DM858">
        <f>IF(ISBLANK('Data Entry'!$µ$858), "", 'Data Entry'!$µ$858)</f>
      </c>
      <c r="DN858">
        <f>IF(ISBLANK('Data Entry'!$¶$858), "", 'Data Entry'!$¶$858)</f>
      </c>
      <c r="DO858">
        <f>IF(ISBLANK('Data Entry'!$·$858), "", 'Data Entry'!$·$858)</f>
      </c>
      <c r="DP858">
        <f>IF(ISBLANK('Data Entry'!$¸$858), "", 'Data Entry'!$¸$858)</f>
      </c>
      <c r="DQ858">
        <f>IF(ISBLANK('Data Entry'!$¹$858), "", 'Data Entry'!$¹$858)</f>
      </c>
      <c r="DR858">
        <f>IF(ISBLANK('Data Entry'!$º$858), "", 'Data Entry'!$º$858)</f>
      </c>
      <c r="DS858">
        <f>IF(ISBLANK('Data Entry'!$»$858), "", 'Data Entry'!$»$858)</f>
      </c>
      <c r="DT858">
        <f>IF(ISBLANK('Data Entry'!$¼$858), "", 'Data Entry'!$¼$858)</f>
      </c>
      <c r="DU858">
        <f>IF(ISBLANK('Data Entry'!$½$858), "", 'Data Entry'!$½$858)</f>
      </c>
      <c r="DV858">
        <f>IF(ISBLANK('Data Entry'!$¾$858), "", 'Data Entry'!$¾$858)</f>
      </c>
      <c r="DW858">
        <f>IF(ISBLANK('Data Entry'!$¿$858), "", 'Data Entry'!$¿$858)</f>
      </c>
      <c r="DX858">
        <f>IF(ISBLANK('Data Entry'!$À$858), "", 'Data Entry'!$À$858)</f>
      </c>
      <c r="DY858">
        <f>IF(ISBLANK('Data Entry'!$Á$858), "", 'Data Entry'!$Á$858)</f>
      </c>
      <c r="DZ858">
        <f>IF(ISBLANK('Data Entry'!$Â$858), "", 'Data Entry'!$Â$858)</f>
      </c>
      <c r="EA858">
        <f>IF(ISBLANK('Data Entry'!$Ã$858), "", 'Data Entry'!$Ã$858)</f>
      </c>
      <c r="EB858">
        <f>IF(ISBLANK('Data Entry'!$Ä$858), "", 'Data Entry'!$Ä$858)</f>
      </c>
      <c r="EC858">
        <f>IF(ISBLANK('Data Entry'!$Å$858), "", 'Data Entry'!$Å$858)</f>
      </c>
      <c r="ED858">
        <f>IF(ISBLANK('Data Entry'!$Æ$858), "", 'Data Entry'!$Æ$858)</f>
      </c>
      <c r="EE858">
        <f>IF(ISBLANK('Data Entry'!$Ç$858), "", 'Data Entry'!$Ç$858)</f>
      </c>
      <c r="EF858">
        <f>IF(ISBLANK('Data Entry'!$È$858), "", 'Data Entry'!$È$858)</f>
      </c>
      <c r="EG858">
        <f>IF(ISBLANK('Data Entry'!$É$858), "", 'Data Entry'!$É$858)</f>
      </c>
      <c r="EH858">
        <f>IF(ISBLANK('Data Entry'!$Ê$858), "", 'Data Entry'!$Ê$858)</f>
      </c>
      <c r="EI858">
        <f>IF(ISBLANK('Data Entry'!$Ë$858), "", 'Data Entry'!$Ë$858)</f>
      </c>
      <c r="EJ858">
        <f>IF(ISBLANK('Data Entry'!$Ì$858), "", 'Data Entry'!$Ì$858)</f>
      </c>
      <c r="EK858">
        <f>IF(ISBLANK('Data Entry'!$Í$858), "", 'Data Entry'!$Í$858)</f>
      </c>
      <c r="EL858">
        <f>IF(ISBLANK('Data Entry'!$Î$858), "", 'Data Entry'!$Î$858)</f>
      </c>
      <c r="EM858">
        <f>IF(ISBLANK('Data Entry'!$Ï$858), "", 'Data Entry'!$Ï$858)</f>
      </c>
      <c r="EN858">
        <f>IF(ISBLANK('Data Entry'!$Ð$858), "", 'Data Entry'!$Ð$858)</f>
      </c>
      <c r="EO858">
        <f>IF(ISBLANK('Data Entry'!$Ñ$858), "", 'Data Entry'!$Ñ$858)</f>
      </c>
      <c r="EP858">
        <f>IF(ISBLANK('Data Entry'!$Ò$858), "", 'Data Entry'!$Ò$858)</f>
      </c>
      <c r="EQ858">
        <f>IF(ISBLANK('Data Entry'!$Ó$858), "", 'Data Entry'!$Ó$858)</f>
      </c>
      <c r="ER858">
        <f>IF(ISBLANK('Data Entry'!$Ô$858), "", 'Data Entry'!$Ô$858)</f>
      </c>
      <c r="ES858">
        <f>IF(ISBLANK('Data Entry'!$Õ$858), "", 'Data Entry'!$Õ$858)</f>
      </c>
      <c r="ET858">
        <f>IF(ISBLANK('Data Entry'!$Ö$858), "", 'Data Entry'!$Ö$858)</f>
      </c>
      <c r="EU858">
        <f>IF(ISBLANK('Data Entry'!$×$858), "", 'Data Entry'!$×$858)</f>
      </c>
      <c r="EV858">
        <f>IF(ISBLANK('Data Entry'!$Ø$858), "", 'Data Entry'!$Ø$858)</f>
      </c>
      <c r="EW858">
        <f>IF(ISBLANK('Data Entry'!$Ù$858), "", 'Data Entry'!$Ù$858)</f>
      </c>
      <c r="EX858">
        <f>IF(ISBLANK('Data Entry'!$Ú$858), "", 'Data Entry'!$Ú$858)</f>
      </c>
      <c r="EY858">
        <f>IF(ISBLANK('Data Entry'!$Û$858), "", 'Data Entry'!$Û$858)</f>
      </c>
      <c r="EZ858">
        <f>IF(ISBLANK('Data Entry'!$Ü$858), "", 'Data Entry'!$Ü$858)</f>
      </c>
      <c r="FA858">
        <f>IF(ISBLANK('Data Entry'!$Ý$858), "", 'Data Entry'!$Ý$858)</f>
      </c>
      <c r="FB858">
        <f>IF(ISBLANK('Data Entry'!$Þ$858), "", 'Data Entry'!$Þ$858)</f>
      </c>
      <c r="FC858">
        <f>IF(ISBLANK('Data Entry'!$ß$858), "", 'Data Entry'!$ß$858)</f>
      </c>
      <c r="FD858">
        <f>IF(ISBLANK('Data Entry'!$à$858), "", 'Data Entry'!$à$858)</f>
      </c>
      <c r="FE858">
        <f>IF(ISBLANK('Data Entry'!$á$858), "", 'Data Entry'!$á$858)</f>
      </c>
      <c r="FF858">
        <f>IF(ISBLANK('Data Entry'!$â$858), "", 'Data Entry'!$â$858)</f>
      </c>
      <c r="FG858">
        <f>IF(ISBLANK('Data Entry'!$ã$858), "", 'Data Entry'!$ã$858)</f>
      </c>
      <c r="FH858">
        <f>IF(ISBLANK('Data Entry'!$ä$858), "", 'Data Entry'!$ä$858)</f>
      </c>
      <c r="FI858">
        <f>IF(ISBLANK('Data Entry'!$å$858), "", 'Data Entry'!$å$858)</f>
      </c>
      <c r="FJ858">
        <f>IF(ISBLANK('Data Entry'!$æ$858), "", 'Data Entry'!$æ$858)</f>
      </c>
      <c r="FK858">
        <f>IF(ISBLANK('Data Entry'!$ç$858), "", 'Data Entry'!$ç$858)</f>
      </c>
      <c r="FL858">
        <f>IF(ISBLANK('Data Entry'!$è$858), "", 'Data Entry'!$è$858)</f>
      </c>
      <c r="FM858">
        <f>IF(ISBLANK('Data Entry'!$é$858), "", 'Data Entry'!$é$858)</f>
      </c>
      <c r="FN858">
        <f>IF(ISBLANK('Data Entry'!$ê$858), "", 'Data Entry'!$ê$858)</f>
      </c>
      <c r="FO858">
        <f>IF(ISBLANK('Data Entry'!$ë$858), "", 'Data Entry'!$ë$858)</f>
      </c>
      <c r="FP858">
        <f>IF(ISBLANK('Data Entry'!$ì$858), "", 'Data Entry'!$ì$858)</f>
      </c>
      <c r="FQ858">
        <f>IF(ISBLANK('Data Entry'!$í$858), "", 'Data Entry'!$í$858)</f>
      </c>
      <c r="FR858">
        <f>IF(ISBLANK('Data Entry'!$î$858), "", 'Data Entry'!$î$858)</f>
      </c>
      <c r="FS858">
        <f>IF(ISBLANK('Data Entry'!$ï$858), "", 'Data Entry'!$ï$858)</f>
      </c>
      <c r="FT858">
        <f>IF(ISBLANK('Data Entry'!$ð$858), "", 'Data Entry'!$ð$858)</f>
      </c>
      <c r="FU858">
        <f>IF(ISBLANK('Data Entry'!$ñ$858), "", 'Data Entry'!$ñ$858)</f>
      </c>
      <c r="FV858">
        <f>IF(ISBLANK('Data Entry'!$ò$858), "", 'Data Entry'!$ò$858)</f>
      </c>
      <c r="FW858">
        <f>IF(ISBLANK('Data Entry'!$ó$858), "", 'Data Entry'!$ó$858)</f>
      </c>
      <c r="FX858">
        <f>IF(ISBLANK('Data Entry'!$ô$858), "", 'Data Entry'!$ô$858)</f>
      </c>
      <c r="FY858">
        <f>IF(ISBLANK('Data Entry'!$õ$858), "", 'Data Entry'!$õ$858)</f>
      </c>
      <c r="FZ858">
        <f>IF(ISBLANK('Data Entry'!$ö$858), "", 'Data Entry'!$ö$858)</f>
      </c>
      <c r="GA858">
        <f>IF(ISBLANK('Data Entry'!$÷$858), "", 'Data Entry'!$÷$858)</f>
      </c>
      <c r="GB858">
        <f>IF(ISBLANK('Data Entry'!$ø$858), "", 'Data Entry'!$ø$858)</f>
      </c>
      <c r="GC858">
        <f>IF(ISBLANK('Data Entry'!$ù$858), "", 'Data Entry'!$ù$858)</f>
      </c>
      <c r="GD858">
        <f>IF(ISBLANK('Data Entry'!$ú$858), "", 'Data Entry'!$ú$858)</f>
      </c>
      <c r="GE858">
        <f>IF(ISBLANK('Data Entry'!$û$858), "", 'Data Entry'!$û$858)</f>
      </c>
      <c r="GF858">
        <f>IF(ISBLANK('Data Entry'!$ü$858), "", 'Data Entry'!$ü$858)</f>
      </c>
      <c r="GG858">
        <f>IF(ISBLANK('Data Entry'!$ý$858), "", 'Data Entry'!$ý$858)</f>
      </c>
      <c r="GH858">
        <f>IF(ISBLANK('Data Entry'!$þ$858), "", 'Data Entry'!$þ$858)</f>
      </c>
      <c r="GI858">
        <f>IF(ISBLANK('Data Entry'!$ÿ$858), "", 'Data Entry'!$ÿ$858)</f>
      </c>
      <c r="GJ858">
        <f>IF(ISBLANK('Data Entry'!$Ā$858), "", 'Data Entry'!$Ā$858)</f>
      </c>
      <c r="GK858">
        <f>IF(ISBLANK('Data Entry'!$ā$858), "", 'Data Entry'!$ā$858)</f>
      </c>
      <c r="GL858">
        <f>IF(ISBLANK('Data Entry'!$Ă$858), "", 'Data Entry'!$Ă$858)</f>
      </c>
      <c r="GM858">
        <f>IF(ISBLANK('Data Entry'!$ă$858), "", 'Data Entry'!$ă$858)</f>
      </c>
      <c r="GN858">
        <f>IF(ISBLANK('Data Entry'!$Ą$858), "", 'Data Entry'!$Ą$858)</f>
      </c>
      <c r="GO858">
        <f>IF(ISBLANK('Data Entry'!$ą$858), "", 'Data Entry'!$ą$858)</f>
      </c>
      <c r="GP858">
        <f>IF(ISBLANK('Data Entry'!$Ć$858), "", 'Data Entry'!$Ć$858)</f>
      </c>
      <c r="GQ858">
        <f>IF(ISBLANK('Data Entry'!$ć$858), "", 'Data Entry'!$ć$858)</f>
      </c>
      <c r="GR858">
        <f>IF(ISBLANK('Data Entry'!$Ĉ$858), "", 'Data Entry'!$Ĉ$858)</f>
      </c>
      <c r="GS858">
        <f>IF(ISBLANK('Data Entry'!$ĉ$858), "", 'Data Entry'!$ĉ$858)</f>
      </c>
      <c r="GT858">
        <f>IF(ISBLANK('Data Entry'!$Ċ$858), "", 'Data Entry'!$Ċ$858)</f>
      </c>
      <c r="GU858">
        <f>IF(ISBLANK('Data Entry'!$ċ$858), "", 'Data Entry'!$ċ$858)</f>
      </c>
      <c r="GV858">
        <f>IF(ISBLANK('Data Entry'!$Č$858), "", 'Data Entry'!$Č$858)</f>
      </c>
      <c r="GW858">
        <f>IF(ISBLANK('Data Entry'!$č$858), "", 'Data Entry'!$č$858)</f>
      </c>
      <c r="GX858">
        <f>IF(ISBLANK('Data Entry'!$Ď$858), "", 'Data Entry'!$Ď$858)</f>
      </c>
      <c r="GY858">
        <f>IF(ISBLANK('Data Entry'!$ď$858), "", 'Data Entry'!$ď$858)</f>
      </c>
      <c r="GZ858">
        <f>IF(ISBLANK('Data Entry'!$Đ$858), "", 'Data Entry'!$Đ$858)</f>
      </c>
      <c r="HA858">
        <f>IF(ISBLANK('Data Entry'!$đ$858), "", 'Data Entry'!$đ$858)</f>
      </c>
      <c r="HB858">
        <f>IF(ISBLANK('Data Entry'!$Ē$858), "", 'Data Entry'!$Ē$858)</f>
      </c>
      <c r="HC858">
        <f>IF(ISBLANK('Data Entry'!$ē$858), "", 'Data Entry'!$ē$858)</f>
      </c>
      <c r="HD858">
        <f>IF(ISBLANK('Data Entry'!$Ĕ$858), "", 'Data Entry'!$Ĕ$858)</f>
      </c>
      <c r="HE858">
        <f>IF(ISBLANK('Data Entry'!$ĕ$858), "", 'Data Entry'!$ĕ$858)</f>
      </c>
      <c r="HF858">
        <f>IF(ISBLANK('Data Entry'!$Ė$858), "", 'Data Entry'!$Ė$858)</f>
      </c>
      <c r="HG858">
        <f>IF(ISBLANK('Data Entry'!$ė$858), "", 'Data Entry'!$ė$858)</f>
      </c>
      <c r="HH858">
        <f>IF(ISBLANK('Data Entry'!$Ę$858), "", 'Data Entry'!$Ę$858)</f>
      </c>
      <c r="HI858">
        <f>IF(ISBLANK('Data Entry'!$ę$858), "", 'Data Entry'!$ę$858)</f>
      </c>
      <c r="HJ858">
        <f>IF(ISBLANK('Data Entry'!$Ě$858), "", 'Data Entry'!$Ě$858)</f>
      </c>
      <c r="HK858">
        <f>IF(ISBLANK('Data Entry'!$ě$858), "", 'Data Entry'!$ě$858)</f>
      </c>
      <c r="HL858">
        <f>IF(ISBLANK('Data Entry'!$Ĝ$858), "", 'Data Entry'!$Ĝ$858)</f>
      </c>
      <c r="HM858">
        <f>IF(ISBLANK('Data Entry'!$ĝ$858), "", 'Data Entry'!$ĝ$858)</f>
      </c>
      <c r="HN858">
        <f>IF(ISBLANK('Data Entry'!$Ğ$858), "", 'Data Entry'!$Ğ$858)</f>
      </c>
      <c r="HO858">
        <f>IF(ISBLANK('Data Entry'!$ğ$858), "", 'Data Entry'!$ğ$858)</f>
      </c>
      <c r="HP858">
        <f>IF(ISBLANK('Data Entry'!$Ġ$858), "", 'Data Entry'!$Ġ$858)</f>
      </c>
      <c r="HQ858">
        <f>IF(ISBLANK('Data Entry'!$ġ$858), "", 'Data Entry'!$ġ$858)</f>
      </c>
      <c r="HR858">
        <f>IF(ISBLANK('Data Entry'!$Ģ$858), "", 'Data Entry'!$Ģ$858)</f>
      </c>
      <c r="HS858">
        <f>IF(ISBLANK('Data Entry'!$ģ$858), "", 'Data Entry'!$ģ$858)</f>
      </c>
      <c r="HT858">
        <f>IF(ISBLANK('Data Entry'!$Ĥ$858), "", 'Data Entry'!$Ĥ$858)</f>
      </c>
      <c r="HU858">
        <f>IF(ISBLANK('Data Entry'!$ĥ$858), "", 'Data Entry'!$ĥ$858)</f>
      </c>
      <c r="HV858">
        <f>IF(ISBLANK('Data Entry'!$Ħ$858), "", 'Data Entry'!$Ħ$858)</f>
      </c>
      <c r="HW858">
        <f>IF(ISBLANK('Data Entry'!$ħ$858), "", 'Data Entry'!$ħ$858)</f>
      </c>
      <c r="HX858">
        <f>IF(ISBLANK('Data Entry'!$Ĩ$858), "", 'Data Entry'!$Ĩ$858)</f>
      </c>
      <c r="HY858">
        <f>IF(ISBLANK('Data Entry'!$ĩ$858), "", 'Data Entry'!$ĩ$858)</f>
      </c>
      <c r="HZ858">
        <f>IF(ISBLANK('Data Entry'!$Ī$858), "", 'Data Entry'!$Ī$858)</f>
      </c>
      <c r="IA858">
        <f>IF(ISBLANK('Data Entry'!$ī$858), "", 'Data Entry'!$ī$858)</f>
      </c>
      <c r="IB858">
        <f>IF(ISBLANK('Data Entry'!$Ĭ$858), "", 'Data Entry'!$Ĭ$858)</f>
      </c>
      <c r="IC858">
        <f>IF(ISBLANK('Data Entry'!$ĭ$858), "", 'Data Entry'!$ĭ$858)</f>
      </c>
      <c r="ID858">
        <f>IF(ISBLANK('Data Entry'!$Į$858), "", 'Data Entry'!$Į$858)</f>
      </c>
      <c r="IE858">
        <f>IF(ISBLANK('Data Entry'!$į$858), "", 'Data Entry'!$į$858)</f>
      </c>
      <c r="IF858">
        <f>IF(ISBLANK('Data Entry'!$İ$858), "", 'Data Entry'!$İ$858)</f>
      </c>
      <c r="IG858">
        <f>IF(ISBLANK('Data Entry'!$ı$858), "", 'Data Entry'!$ı$858)</f>
      </c>
      <c r="IH858">
        <f>IF(ISBLANK('Data Entry'!$Ĳ$858), "", 'Data Entry'!$Ĳ$858)</f>
      </c>
      <c r="II858">
        <f>IF(ISBLANK('Data Entry'!$ĳ$858), "", 'Data Entry'!$ĳ$858)</f>
      </c>
      <c r="IJ858">
        <f>IF(ISBLANK('Data Entry'!$Ĵ$858), "", 'Data Entry'!$Ĵ$858)</f>
      </c>
      <c r="IK858">
        <f>IF(ISBLANK('Data Entry'!$ĵ$858), "", 'Data Entry'!$ĵ$858)</f>
      </c>
      <c r="IL858">
        <f>IF(ISBLANK('Data Entry'!$Ķ$858), "", 'Data Entry'!$Ķ$858)</f>
      </c>
      <c r="IM858">
        <f>IF(ISBLANK('Data Entry'!$ķ$858), "", 'Data Entry'!$ķ$858)</f>
      </c>
      <c r="IN858">
        <f>IF(ISBLANK('Data Entry'!$ĸ$858), "", 'Data Entry'!$ĸ$858)</f>
      </c>
      <c r="IO858">
        <f>IF(ISBLANK('Data Entry'!$Ĺ$858), "", 'Data Entry'!$Ĺ$858)</f>
      </c>
      <c r="IP858">
        <f>IF(ISBLANK('Data Entry'!$ĺ$858), "", 'Data Entry'!$ĺ$858)</f>
      </c>
      <c r="IQ858">
        <f>IF(ISBLANK('Data Entry'!$Ļ$858), "", 'Data Entry'!$Ļ$858)</f>
      </c>
      <c r="IR858">
        <f>IF(ISBLANK('Data Entry'!$ļ$858), "", 'Data Entry'!$ļ$858)</f>
      </c>
      <c r="IS858">
        <f>IF(ISBLANK('Data Entry'!$Ľ$858), "", 'Data Entry'!$Ľ$858)</f>
      </c>
      <c r="IT858">
        <f>IF(ISBLANK('Data Entry'!$ľ$858), "", 'Data Entry'!$ľ$858)</f>
      </c>
    </row>
    <row r="859" spans="1:254" x14ac:dyDescent="0.25">
      <c r="A859">
        <f>IF(ISBLANK('Data Entry'!$A$859), "", 'Data Entry'!$A$859)</f>
      </c>
      <c r="B859">
        <f>IF(ISBLANK('Data Entry'!$B$859), "", 'Data Entry'!$B$859)</f>
      </c>
      <c r="C859">
        <f>IF(ISBLANK('Data Entry'!$C$859), "", 'Data Entry'!$C$859)</f>
      </c>
      <c r="D859">
        <f>IF(ISBLANK('Data Entry'!$D$859), "", 'Data Entry'!$D$859)</f>
      </c>
      <c r="E859">
        <f>IF(ISBLANK('Data Entry'!$E$859), "", 'Data Entry'!$E$859)</f>
      </c>
      <c r="F859">
        <f>IF(ISBLANK('Data Entry'!$F$859), "", 'Data Entry'!$F$859)</f>
      </c>
      <c r="G859">
        <f>IF(ISBLANK('Data Entry'!$G$859), "", 'Data Entry'!$G$859)</f>
      </c>
      <c r="H859">
        <f>IF(ISBLANK('Data Entry'!$H$859), "", 'Data Entry'!$H$859)</f>
      </c>
      <c r="I859">
        <f>IF(ISBLANK('Data Entry'!$I$859), "", 'Data Entry'!$I$859)</f>
      </c>
      <c r="J859">
        <f>IF(ISBLANK('Data Entry'!$J$859), "", 'Data Entry'!$J$859)</f>
      </c>
      <c r="K859">
        <f>IF(ISBLANK('Data Entry'!$K$859), "", 'Data Entry'!$K$859)</f>
      </c>
      <c r="L859">
        <f>IF(ISBLANK('Data Entry'!$L$859), "", 'Data Entry'!$L$859)</f>
      </c>
      <c r="M859">
        <f>IF(ISBLANK('Data Entry'!$M$859), "", 'Data Entry'!$M$859)</f>
      </c>
      <c r="N859">
        <f>IF(ISBLANK('Data Entry'!$N$859), "", 'Data Entry'!$N$859)</f>
      </c>
      <c r="O859">
        <f>IF(ISBLANK('Data Entry'!$O$859), "", 'Data Entry'!$O$859)</f>
      </c>
      <c r="P859">
        <f>IF(ISBLANK('Data Entry'!$P$859), "", 'Data Entry'!$P$859)</f>
      </c>
      <c r="Q859">
        <f>IF(ISBLANK('Data Entry'!$Q$859), "", 'Data Entry'!$Q$859)</f>
      </c>
      <c r="R859">
        <f>IF(ISBLANK('Data Entry'!$R$859), "", 'Data Entry'!$R$859)</f>
      </c>
      <c r="S859">
        <f>IF(ISBLANK('Data Entry'!$S$859), "", 'Data Entry'!$S$859)</f>
      </c>
      <c r="T859">
        <f>IF(ISBLANK('Data Entry'!$T$859), "", 'Data Entry'!$T$859)</f>
      </c>
      <c r="U859">
        <f>IF(ISBLANK('Data Entry'!$U$859), "", 'Data Entry'!$U$859)</f>
      </c>
      <c r="V859">
        <f>IF(ISBLANK('Data Entry'!$V$859), "", 'Data Entry'!$V$859)</f>
      </c>
      <c r="W859">
        <f>IF(ISBLANK('Data Entry'!$W$859), "", 'Data Entry'!$W$859)</f>
      </c>
      <c r="X859">
        <f>IF(ISBLANK('Data Entry'!$X$859), "", 'Data Entry'!$X$859)</f>
      </c>
      <c r="Y859">
        <f>IF(ISBLANK('Data Entry'!$Y$859), "", 'Data Entry'!$Y$859)</f>
      </c>
      <c r="Z859">
        <f>IF(ISBLANK('Data Entry'!$Z$859), "", 'Data Entry'!$Z$859)</f>
      </c>
      <c r="AA859">
        <f>IF(ISBLANK('Data Entry'!$[$859), "", 'Data Entry'!$[$859)</f>
      </c>
      <c r="AB859">
        <f>IF(ISBLANK('Data Entry'!$\$859), "", 'Data Entry'!$\$859)</f>
      </c>
      <c r="AC859">
        <f>IF(ISBLANK('Data Entry'!$]$859), "", 'Data Entry'!$]$859)</f>
      </c>
      <c r="AD859">
        <f>IF(ISBLANK('Data Entry'!$^$859), "", 'Data Entry'!$^$859)</f>
      </c>
      <c r="AE859">
        <f>IF(ISBLANK('Data Entry'!$_$859), "", 'Data Entry'!$_$859)</f>
      </c>
      <c r="AF859">
        <f>IF(ISBLANK('Data Entry'!$`$859), "", 'Data Entry'!$`$859)</f>
      </c>
      <c r="AG859">
        <f>IF(ISBLANK('Data Entry'!$a$859), "", 'Data Entry'!$a$859)</f>
      </c>
      <c r="AH859">
        <f>IF(ISBLANK('Data Entry'!$b$859), "", 'Data Entry'!$b$859)</f>
      </c>
      <c r="AI859">
        <f>IF(ISBLANK('Data Entry'!$c$859), "", 'Data Entry'!$c$859)</f>
      </c>
      <c r="AJ859">
        <f>IF(ISBLANK('Data Entry'!$d$859), "", 'Data Entry'!$d$859)</f>
      </c>
      <c r="AK859">
        <f>IF(ISBLANK('Data Entry'!$e$859), "", 'Data Entry'!$e$859)</f>
      </c>
      <c r="AL859">
        <f>IF(ISBLANK('Data Entry'!$f$859), "", 'Data Entry'!$f$859)</f>
      </c>
      <c r="AM859">
        <f>IF(ISBLANK('Data Entry'!$g$859), "", 'Data Entry'!$g$859)</f>
      </c>
      <c r="AN859">
        <f>IF(ISBLANK('Data Entry'!$h$859), "", 'Data Entry'!$h$859)</f>
      </c>
      <c r="AO859">
        <f>IF(ISBLANK('Data Entry'!$i$859), "", 'Data Entry'!$i$859)</f>
      </c>
      <c r="AP859">
        <f>IF(ISBLANK('Data Entry'!$j$859), "", 'Data Entry'!$j$859)</f>
      </c>
      <c r="AQ859">
        <f>IF(ISBLANK('Data Entry'!$k$859), "", 'Data Entry'!$k$859)</f>
      </c>
      <c r="AR859">
        <f>IF(ISBLANK('Data Entry'!$l$859), "", 'Data Entry'!$l$859)</f>
      </c>
      <c r="AS859">
        <f>IF(ISBLANK('Data Entry'!$m$859), "", 'Data Entry'!$m$859)</f>
      </c>
      <c r="AT859">
        <f>IF(ISBLANK('Data Entry'!$n$859), "", 'Data Entry'!$n$859)</f>
      </c>
      <c r="AU859">
        <f>IF(ISBLANK('Data Entry'!$o$859), "", 'Data Entry'!$o$859)</f>
      </c>
      <c r="AV859">
        <f>IF(ISBLANK('Data Entry'!$p$859), "", 'Data Entry'!$p$859)</f>
      </c>
      <c r="AW859">
        <f>IF(ISBLANK('Data Entry'!$q$859), "", 'Data Entry'!$q$859)</f>
      </c>
      <c r="AX859">
        <f>IF(ISBLANK('Data Entry'!$r$859), "", 'Data Entry'!$r$859)</f>
      </c>
      <c r="AY859">
        <f>IF(ISBLANK('Data Entry'!$s$859), "", 'Data Entry'!$s$859)</f>
      </c>
      <c r="AZ859">
        <f>IF(ISBLANK('Data Entry'!$t$859), "", 'Data Entry'!$t$859)</f>
      </c>
      <c r="BA859">
        <f>IF(ISBLANK('Data Entry'!$u$859), "", 'Data Entry'!$u$859)</f>
      </c>
      <c r="BB859">
        <f>IF(ISBLANK('Data Entry'!$v$859), "", 'Data Entry'!$v$859)</f>
      </c>
      <c r="BC859">
        <f>IF(ISBLANK('Data Entry'!$w$859), "", 'Data Entry'!$w$859)</f>
      </c>
      <c r="BD859">
        <f>IF(ISBLANK('Data Entry'!$x$859), "", 'Data Entry'!$x$859)</f>
      </c>
      <c r="BE859">
        <f>IF(ISBLANK('Data Entry'!$y$859), "", 'Data Entry'!$y$859)</f>
      </c>
      <c r="BF859">
        <f>IF(ISBLANK('Data Entry'!$z$859), "", 'Data Entry'!$z$859)</f>
      </c>
      <c r="BG859">
        <f>IF(ISBLANK('Data Entry'!${$859), "", 'Data Entry'!${$859)</f>
      </c>
      <c r="BH859">
        <f>IF(ISBLANK('Data Entry'!$|$859), "", 'Data Entry'!$|$859)</f>
      </c>
      <c r="BI859">
        <f>IF(ISBLANK('Data Entry'!$}$859), "", 'Data Entry'!$}$859)</f>
      </c>
      <c r="BJ859">
        <f>IF(ISBLANK('Data Entry'!$~$859), "", 'Data Entry'!$~$859)</f>
      </c>
      <c r="BK859">
        <f>IF(ISBLANK('Data Entry'!$$859), "", 'Data Entry'!$$859)</f>
      </c>
      <c r="BL859">
        <f>IF(ISBLANK('Data Entry'!$$859), "", 'Data Entry'!$$859)</f>
      </c>
      <c r="BM859">
        <f>IF(ISBLANK('Data Entry'!$$859), "", 'Data Entry'!$$859)</f>
      </c>
      <c r="BN859">
        <f>IF(ISBLANK('Data Entry'!$$859), "", 'Data Entry'!$$859)</f>
      </c>
      <c r="BO859">
        <f>IF(ISBLANK('Data Entry'!$$859), "", 'Data Entry'!$$859)</f>
      </c>
      <c r="BP859">
        <f>IF(ISBLANK('Data Entry'!$$859), "", 'Data Entry'!$$859)</f>
      </c>
      <c r="BQ859">
        <f>IF(ISBLANK('Data Entry'!$$859), "", 'Data Entry'!$$859)</f>
      </c>
      <c r="BR859">
        <f>IF(ISBLANK('Data Entry'!$$859), "", 'Data Entry'!$$859)</f>
      </c>
      <c r="BS859">
        <f>IF(ISBLANK('Data Entry'!$$859), "", 'Data Entry'!$$859)</f>
      </c>
      <c r="BT859">
        <f>IF(ISBLANK('Data Entry'!$$859), "", 'Data Entry'!$$859)</f>
      </c>
      <c r="BU859">
        <f>IF(ISBLANK('Data Entry'!$$859), "", 'Data Entry'!$$859)</f>
      </c>
      <c r="BV859">
        <f>IF(ISBLANK('Data Entry'!$$859), "", 'Data Entry'!$$859)</f>
      </c>
      <c r="BW859">
        <f>IF(ISBLANK('Data Entry'!$$859), "", 'Data Entry'!$$859)</f>
      </c>
      <c r="BX859">
        <f>IF(ISBLANK('Data Entry'!$$859), "", 'Data Entry'!$$859)</f>
      </c>
      <c r="BY859">
        <f>IF(ISBLANK('Data Entry'!$$859), "", 'Data Entry'!$$859)</f>
      </c>
      <c r="BZ859">
        <f>IF(ISBLANK('Data Entry'!$$859), "", 'Data Entry'!$$859)</f>
      </c>
      <c r="CA859">
        <f>IF(ISBLANK('Data Entry'!$$859), "", 'Data Entry'!$$859)</f>
      </c>
      <c r="CB859">
        <f>IF(ISBLANK('Data Entry'!$$859), "", 'Data Entry'!$$859)</f>
      </c>
      <c r="CC859">
        <f>IF(ISBLANK('Data Entry'!$$859), "", 'Data Entry'!$$859)</f>
      </c>
      <c r="CD859">
        <f>IF(ISBLANK('Data Entry'!$$859), "", 'Data Entry'!$$859)</f>
      </c>
      <c r="CE859">
        <f>IF(ISBLANK('Data Entry'!$$859), "", 'Data Entry'!$$859)</f>
      </c>
      <c r="CF859">
        <f>IF(ISBLANK('Data Entry'!$$859), "", 'Data Entry'!$$859)</f>
      </c>
      <c r="CG859">
        <f>IF(ISBLANK('Data Entry'!$$859), "", 'Data Entry'!$$859)</f>
      </c>
      <c r="CH859">
        <f>IF(ISBLANK('Data Entry'!$$859), "", 'Data Entry'!$$859)</f>
      </c>
      <c r="CI859">
        <f>IF(ISBLANK('Data Entry'!$$859), "", 'Data Entry'!$$859)</f>
      </c>
      <c r="CJ859">
        <f>IF(ISBLANK('Data Entry'!$$859), "", 'Data Entry'!$$859)</f>
      </c>
      <c r="CK859">
        <f>IF(ISBLANK('Data Entry'!$$859), "", 'Data Entry'!$$859)</f>
      </c>
      <c r="CL859">
        <f>IF(ISBLANK('Data Entry'!$$859), "", 'Data Entry'!$$859)</f>
      </c>
      <c r="CM859">
        <f>IF(ISBLANK('Data Entry'!$$859), "", 'Data Entry'!$$859)</f>
      </c>
      <c r="CN859">
        <f>IF(ISBLANK('Data Entry'!$$859), "", 'Data Entry'!$$859)</f>
      </c>
      <c r="CO859">
        <f>IF(ISBLANK('Data Entry'!$$859), "", 'Data Entry'!$$859)</f>
      </c>
      <c r="CP859">
        <f>IF(ISBLANK('Data Entry'!$$859), "", 'Data Entry'!$$859)</f>
      </c>
      <c r="CQ859">
        <f>IF(ISBLANK('Data Entry'!$$859), "", 'Data Entry'!$$859)</f>
      </c>
      <c r="CR859">
        <f>IF(ISBLANK('Data Entry'!$ $859), "", 'Data Entry'!$ $859)</f>
      </c>
      <c r="CS859">
        <f>IF(ISBLANK('Data Entry'!$¡$859), "", 'Data Entry'!$¡$859)</f>
      </c>
      <c r="CT859">
        <f>IF(ISBLANK('Data Entry'!$¢$859), "", 'Data Entry'!$¢$859)</f>
      </c>
      <c r="CU859">
        <f>IF(ISBLANK('Data Entry'!$£$859), "", 'Data Entry'!$£$859)</f>
      </c>
      <c r="CV859">
        <f>IF(ISBLANK('Data Entry'!$¤$859), "", 'Data Entry'!$¤$859)</f>
      </c>
      <c r="CW859">
        <f>IF(ISBLANK('Data Entry'!$¥$859), "", 'Data Entry'!$¥$859)</f>
      </c>
      <c r="CX859">
        <f>IF(ISBLANK('Data Entry'!$¦$859), "", 'Data Entry'!$¦$859)</f>
      </c>
      <c r="CY859">
        <f>IF(ISBLANK('Data Entry'!$§$859), "", 'Data Entry'!$§$859)</f>
      </c>
      <c r="CZ859">
        <f>IF(ISBLANK('Data Entry'!$¨$859), "", 'Data Entry'!$¨$859)</f>
      </c>
      <c r="DA859">
        <f>IF(ISBLANK('Data Entry'!$©$859), "", 'Data Entry'!$©$859)</f>
      </c>
      <c r="DB859">
        <f>IF(ISBLANK('Data Entry'!$ª$859), "", 'Data Entry'!$ª$859)</f>
      </c>
      <c r="DC859">
        <f>IF(ISBLANK('Data Entry'!$«$859), "", 'Data Entry'!$«$859)</f>
      </c>
      <c r="DD859">
        <f>IF(ISBLANK('Data Entry'!$¬$859), "", 'Data Entry'!$¬$859)</f>
      </c>
      <c r="DE859">
        <f>IF(ISBLANK('Data Entry'!$­$859), "", 'Data Entry'!$­$859)</f>
      </c>
      <c r="DF859">
        <f>IF(ISBLANK('Data Entry'!$®$859), "", 'Data Entry'!$®$859)</f>
      </c>
      <c r="DG859">
        <f>IF(ISBLANK('Data Entry'!$¯$859), "", 'Data Entry'!$¯$859)</f>
      </c>
      <c r="DH859">
        <f>IF(ISBLANK('Data Entry'!$°$859), "", 'Data Entry'!$°$859)</f>
      </c>
      <c r="DI859">
        <f>IF(ISBLANK('Data Entry'!$±$859), "", 'Data Entry'!$±$859)</f>
      </c>
      <c r="DJ859">
        <f>IF(ISBLANK('Data Entry'!$²$859), "", 'Data Entry'!$²$859)</f>
      </c>
      <c r="DK859">
        <f>IF(ISBLANK('Data Entry'!$³$859), "", 'Data Entry'!$³$859)</f>
      </c>
      <c r="DL859">
        <f>IF(ISBLANK('Data Entry'!$´$859), "", 'Data Entry'!$´$859)</f>
      </c>
      <c r="DM859">
        <f>IF(ISBLANK('Data Entry'!$µ$859), "", 'Data Entry'!$µ$859)</f>
      </c>
      <c r="DN859">
        <f>IF(ISBLANK('Data Entry'!$¶$859), "", 'Data Entry'!$¶$859)</f>
      </c>
      <c r="DO859">
        <f>IF(ISBLANK('Data Entry'!$·$859), "", 'Data Entry'!$·$859)</f>
      </c>
      <c r="DP859">
        <f>IF(ISBLANK('Data Entry'!$¸$859), "", 'Data Entry'!$¸$859)</f>
      </c>
      <c r="DQ859">
        <f>IF(ISBLANK('Data Entry'!$¹$859), "", 'Data Entry'!$¹$859)</f>
      </c>
      <c r="DR859">
        <f>IF(ISBLANK('Data Entry'!$º$859), "", 'Data Entry'!$º$859)</f>
      </c>
      <c r="DS859">
        <f>IF(ISBLANK('Data Entry'!$»$859), "", 'Data Entry'!$»$859)</f>
      </c>
      <c r="DT859">
        <f>IF(ISBLANK('Data Entry'!$¼$859), "", 'Data Entry'!$¼$859)</f>
      </c>
      <c r="DU859">
        <f>IF(ISBLANK('Data Entry'!$½$859), "", 'Data Entry'!$½$859)</f>
      </c>
      <c r="DV859">
        <f>IF(ISBLANK('Data Entry'!$¾$859), "", 'Data Entry'!$¾$859)</f>
      </c>
      <c r="DW859">
        <f>IF(ISBLANK('Data Entry'!$¿$859), "", 'Data Entry'!$¿$859)</f>
      </c>
      <c r="DX859">
        <f>IF(ISBLANK('Data Entry'!$À$859), "", 'Data Entry'!$À$859)</f>
      </c>
      <c r="DY859">
        <f>IF(ISBLANK('Data Entry'!$Á$859), "", 'Data Entry'!$Á$859)</f>
      </c>
      <c r="DZ859">
        <f>IF(ISBLANK('Data Entry'!$Â$859), "", 'Data Entry'!$Â$859)</f>
      </c>
      <c r="EA859">
        <f>IF(ISBLANK('Data Entry'!$Ã$859), "", 'Data Entry'!$Ã$859)</f>
      </c>
      <c r="EB859">
        <f>IF(ISBLANK('Data Entry'!$Ä$859), "", 'Data Entry'!$Ä$859)</f>
      </c>
      <c r="EC859">
        <f>IF(ISBLANK('Data Entry'!$Å$859), "", 'Data Entry'!$Å$859)</f>
      </c>
      <c r="ED859">
        <f>IF(ISBLANK('Data Entry'!$Æ$859), "", 'Data Entry'!$Æ$859)</f>
      </c>
      <c r="EE859">
        <f>IF(ISBLANK('Data Entry'!$Ç$859), "", 'Data Entry'!$Ç$859)</f>
      </c>
      <c r="EF859">
        <f>IF(ISBLANK('Data Entry'!$È$859), "", 'Data Entry'!$È$859)</f>
      </c>
      <c r="EG859">
        <f>IF(ISBLANK('Data Entry'!$É$859), "", 'Data Entry'!$É$859)</f>
      </c>
      <c r="EH859">
        <f>IF(ISBLANK('Data Entry'!$Ê$859), "", 'Data Entry'!$Ê$859)</f>
      </c>
      <c r="EI859">
        <f>IF(ISBLANK('Data Entry'!$Ë$859), "", 'Data Entry'!$Ë$859)</f>
      </c>
      <c r="EJ859">
        <f>IF(ISBLANK('Data Entry'!$Ì$859), "", 'Data Entry'!$Ì$859)</f>
      </c>
      <c r="EK859">
        <f>IF(ISBLANK('Data Entry'!$Í$859), "", 'Data Entry'!$Í$859)</f>
      </c>
      <c r="EL859">
        <f>IF(ISBLANK('Data Entry'!$Î$859), "", 'Data Entry'!$Î$859)</f>
      </c>
      <c r="EM859">
        <f>IF(ISBLANK('Data Entry'!$Ï$859), "", 'Data Entry'!$Ï$859)</f>
      </c>
      <c r="EN859">
        <f>IF(ISBLANK('Data Entry'!$Ð$859), "", 'Data Entry'!$Ð$859)</f>
      </c>
      <c r="EO859">
        <f>IF(ISBLANK('Data Entry'!$Ñ$859), "", 'Data Entry'!$Ñ$859)</f>
      </c>
      <c r="EP859">
        <f>IF(ISBLANK('Data Entry'!$Ò$859), "", 'Data Entry'!$Ò$859)</f>
      </c>
      <c r="EQ859">
        <f>IF(ISBLANK('Data Entry'!$Ó$859), "", 'Data Entry'!$Ó$859)</f>
      </c>
      <c r="ER859">
        <f>IF(ISBLANK('Data Entry'!$Ô$859), "", 'Data Entry'!$Ô$859)</f>
      </c>
      <c r="ES859">
        <f>IF(ISBLANK('Data Entry'!$Õ$859), "", 'Data Entry'!$Õ$859)</f>
      </c>
      <c r="ET859">
        <f>IF(ISBLANK('Data Entry'!$Ö$859), "", 'Data Entry'!$Ö$859)</f>
      </c>
      <c r="EU859">
        <f>IF(ISBLANK('Data Entry'!$×$859), "", 'Data Entry'!$×$859)</f>
      </c>
      <c r="EV859">
        <f>IF(ISBLANK('Data Entry'!$Ø$859), "", 'Data Entry'!$Ø$859)</f>
      </c>
      <c r="EW859">
        <f>IF(ISBLANK('Data Entry'!$Ù$859), "", 'Data Entry'!$Ù$859)</f>
      </c>
      <c r="EX859">
        <f>IF(ISBLANK('Data Entry'!$Ú$859), "", 'Data Entry'!$Ú$859)</f>
      </c>
      <c r="EY859">
        <f>IF(ISBLANK('Data Entry'!$Û$859), "", 'Data Entry'!$Û$859)</f>
      </c>
      <c r="EZ859">
        <f>IF(ISBLANK('Data Entry'!$Ü$859), "", 'Data Entry'!$Ü$859)</f>
      </c>
      <c r="FA859">
        <f>IF(ISBLANK('Data Entry'!$Ý$859), "", 'Data Entry'!$Ý$859)</f>
      </c>
      <c r="FB859">
        <f>IF(ISBLANK('Data Entry'!$Þ$859), "", 'Data Entry'!$Þ$859)</f>
      </c>
      <c r="FC859">
        <f>IF(ISBLANK('Data Entry'!$ß$859), "", 'Data Entry'!$ß$859)</f>
      </c>
      <c r="FD859">
        <f>IF(ISBLANK('Data Entry'!$à$859), "", 'Data Entry'!$à$859)</f>
      </c>
      <c r="FE859">
        <f>IF(ISBLANK('Data Entry'!$á$859), "", 'Data Entry'!$á$859)</f>
      </c>
      <c r="FF859">
        <f>IF(ISBLANK('Data Entry'!$â$859), "", 'Data Entry'!$â$859)</f>
      </c>
      <c r="FG859">
        <f>IF(ISBLANK('Data Entry'!$ã$859), "", 'Data Entry'!$ã$859)</f>
      </c>
      <c r="FH859">
        <f>IF(ISBLANK('Data Entry'!$ä$859), "", 'Data Entry'!$ä$859)</f>
      </c>
      <c r="FI859">
        <f>IF(ISBLANK('Data Entry'!$å$859), "", 'Data Entry'!$å$859)</f>
      </c>
      <c r="FJ859">
        <f>IF(ISBLANK('Data Entry'!$æ$859), "", 'Data Entry'!$æ$859)</f>
      </c>
      <c r="FK859">
        <f>IF(ISBLANK('Data Entry'!$ç$859), "", 'Data Entry'!$ç$859)</f>
      </c>
      <c r="FL859">
        <f>IF(ISBLANK('Data Entry'!$è$859), "", 'Data Entry'!$è$859)</f>
      </c>
      <c r="FM859">
        <f>IF(ISBLANK('Data Entry'!$é$859), "", 'Data Entry'!$é$859)</f>
      </c>
      <c r="FN859">
        <f>IF(ISBLANK('Data Entry'!$ê$859), "", 'Data Entry'!$ê$859)</f>
      </c>
      <c r="FO859">
        <f>IF(ISBLANK('Data Entry'!$ë$859), "", 'Data Entry'!$ë$859)</f>
      </c>
      <c r="FP859">
        <f>IF(ISBLANK('Data Entry'!$ì$859), "", 'Data Entry'!$ì$859)</f>
      </c>
      <c r="FQ859">
        <f>IF(ISBLANK('Data Entry'!$í$859), "", 'Data Entry'!$í$859)</f>
      </c>
      <c r="FR859">
        <f>IF(ISBLANK('Data Entry'!$î$859), "", 'Data Entry'!$î$859)</f>
      </c>
      <c r="FS859">
        <f>IF(ISBLANK('Data Entry'!$ï$859), "", 'Data Entry'!$ï$859)</f>
      </c>
      <c r="FT859">
        <f>IF(ISBLANK('Data Entry'!$ð$859), "", 'Data Entry'!$ð$859)</f>
      </c>
      <c r="FU859">
        <f>IF(ISBLANK('Data Entry'!$ñ$859), "", 'Data Entry'!$ñ$859)</f>
      </c>
      <c r="FV859">
        <f>IF(ISBLANK('Data Entry'!$ò$859), "", 'Data Entry'!$ò$859)</f>
      </c>
      <c r="FW859">
        <f>IF(ISBLANK('Data Entry'!$ó$859), "", 'Data Entry'!$ó$859)</f>
      </c>
      <c r="FX859">
        <f>IF(ISBLANK('Data Entry'!$ô$859), "", 'Data Entry'!$ô$859)</f>
      </c>
      <c r="FY859">
        <f>IF(ISBLANK('Data Entry'!$õ$859), "", 'Data Entry'!$õ$859)</f>
      </c>
      <c r="FZ859">
        <f>IF(ISBLANK('Data Entry'!$ö$859), "", 'Data Entry'!$ö$859)</f>
      </c>
      <c r="GA859">
        <f>IF(ISBLANK('Data Entry'!$÷$859), "", 'Data Entry'!$÷$859)</f>
      </c>
      <c r="GB859">
        <f>IF(ISBLANK('Data Entry'!$ø$859), "", 'Data Entry'!$ø$859)</f>
      </c>
      <c r="GC859">
        <f>IF(ISBLANK('Data Entry'!$ù$859), "", 'Data Entry'!$ù$859)</f>
      </c>
      <c r="GD859">
        <f>IF(ISBLANK('Data Entry'!$ú$859), "", 'Data Entry'!$ú$859)</f>
      </c>
      <c r="GE859">
        <f>IF(ISBLANK('Data Entry'!$û$859), "", 'Data Entry'!$û$859)</f>
      </c>
      <c r="GF859">
        <f>IF(ISBLANK('Data Entry'!$ü$859), "", 'Data Entry'!$ü$859)</f>
      </c>
      <c r="GG859">
        <f>IF(ISBLANK('Data Entry'!$ý$859), "", 'Data Entry'!$ý$859)</f>
      </c>
      <c r="GH859">
        <f>IF(ISBLANK('Data Entry'!$þ$859), "", 'Data Entry'!$þ$859)</f>
      </c>
      <c r="GI859">
        <f>IF(ISBLANK('Data Entry'!$ÿ$859), "", 'Data Entry'!$ÿ$859)</f>
      </c>
      <c r="GJ859">
        <f>IF(ISBLANK('Data Entry'!$Ā$859), "", 'Data Entry'!$Ā$859)</f>
      </c>
      <c r="GK859">
        <f>IF(ISBLANK('Data Entry'!$ā$859), "", 'Data Entry'!$ā$859)</f>
      </c>
      <c r="GL859">
        <f>IF(ISBLANK('Data Entry'!$Ă$859), "", 'Data Entry'!$Ă$859)</f>
      </c>
      <c r="GM859">
        <f>IF(ISBLANK('Data Entry'!$ă$859), "", 'Data Entry'!$ă$859)</f>
      </c>
      <c r="GN859">
        <f>IF(ISBLANK('Data Entry'!$Ą$859), "", 'Data Entry'!$Ą$859)</f>
      </c>
      <c r="GO859">
        <f>IF(ISBLANK('Data Entry'!$ą$859), "", 'Data Entry'!$ą$859)</f>
      </c>
      <c r="GP859">
        <f>IF(ISBLANK('Data Entry'!$Ć$859), "", 'Data Entry'!$Ć$859)</f>
      </c>
      <c r="GQ859">
        <f>IF(ISBLANK('Data Entry'!$ć$859), "", 'Data Entry'!$ć$859)</f>
      </c>
      <c r="GR859">
        <f>IF(ISBLANK('Data Entry'!$Ĉ$859), "", 'Data Entry'!$Ĉ$859)</f>
      </c>
      <c r="GS859">
        <f>IF(ISBLANK('Data Entry'!$ĉ$859), "", 'Data Entry'!$ĉ$859)</f>
      </c>
      <c r="GT859">
        <f>IF(ISBLANK('Data Entry'!$Ċ$859), "", 'Data Entry'!$Ċ$859)</f>
      </c>
      <c r="GU859">
        <f>IF(ISBLANK('Data Entry'!$ċ$859), "", 'Data Entry'!$ċ$859)</f>
      </c>
      <c r="GV859">
        <f>IF(ISBLANK('Data Entry'!$Č$859), "", 'Data Entry'!$Č$859)</f>
      </c>
      <c r="GW859">
        <f>IF(ISBLANK('Data Entry'!$č$859), "", 'Data Entry'!$č$859)</f>
      </c>
      <c r="GX859">
        <f>IF(ISBLANK('Data Entry'!$Ď$859), "", 'Data Entry'!$Ď$859)</f>
      </c>
      <c r="GY859">
        <f>IF(ISBLANK('Data Entry'!$ď$859), "", 'Data Entry'!$ď$859)</f>
      </c>
      <c r="GZ859">
        <f>IF(ISBLANK('Data Entry'!$Đ$859), "", 'Data Entry'!$Đ$859)</f>
      </c>
      <c r="HA859">
        <f>IF(ISBLANK('Data Entry'!$đ$859), "", 'Data Entry'!$đ$859)</f>
      </c>
      <c r="HB859">
        <f>IF(ISBLANK('Data Entry'!$Ē$859), "", 'Data Entry'!$Ē$859)</f>
      </c>
      <c r="HC859">
        <f>IF(ISBLANK('Data Entry'!$ē$859), "", 'Data Entry'!$ē$859)</f>
      </c>
      <c r="HD859">
        <f>IF(ISBLANK('Data Entry'!$Ĕ$859), "", 'Data Entry'!$Ĕ$859)</f>
      </c>
      <c r="HE859">
        <f>IF(ISBLANK('Data Entry'!$ĕ$859), "", 'Data Entry'!$ĕ$859)</f>
      </c>
      <c r="HF859">
        <f>IF(ISBLANK('Data Entry'!$Ė$859), "", 'Data Entry'!$Ė$859)</f>
      </c>
      <c r="HG859">
        <f>IF(ISBLANK('Data Entry'!$ė$859), "", 'Data Entry'!$ė$859)</f>
      </c>
      <c r="HH859">
        <f>IF(ISBLANK('Data Entry'!$Ę$859), "", 'Data Entry'!$Ę$859)</f>
      </c>
      <c r="HI859">
        <f>IF(ISBLANK('Data Entry'!$ę$859), "", 'Data Entry'!$ę$859)</f>
      </c>
      <c r="HJ859">
        <f>IF(ISBLANK('Data Entry'!$Ě$859), "", 'Data Entry'!$Ě$859)</f>
      </c>
      <c r="HK859">
        <f>IF(ISBLANK('Data Entry'!$ě$859), "", 'Data Entry'!$ě$859)</f>
      </c>
      <c r="HL859">
        <f>IF(ISBLANK('Data Entry'!$Ĝ$859), "", 'Data Entry'!$Ĝ$859)</f>
      </c>
      <c r="HM859">
        <f>IF(ISBLANK('Data Entry'!$ĝ$859), "", 'Data Entry'!$ĝ$859)</f>
      </c>
      <c r="HN859">
        <f>IF(ISBLANK('Data Entry'!$Ğ$859), "", 'Data Entry'!$Ğ$859)</f>
      </c>
      <c r="HO859">
        <f>IF(ISBLANK('Data Entry'!$ğ$859), "", 'Data Entry'!$ğ$859)</f>
      </c>
      <c r="HP859">
        <f>IF(ISBLANK('Data Entry'!$Ġ$859), "", 'Data Entry'!$Ġ$859)</f>
      </c>
      <c r="HQ859">
        <f>IF(ISBLANK('Data Entry'!$ġ$859), "", 'Data Entry'!$ġ$859)</f>
      </c>
      <c r="HR859">
        <f>IF(ISBLANK('Data Entry'!$Ģ$859), "", 'Data Entry'!$Ģ$859)</f>
      </c>
      <c r="HS859">
        <f>IF(ISBLANK('Data Entry'!$ģ$859), "", 'Data Entry'!$ģ$859)</f>
      </c>
      <c r="HT859">
        <f>IF(ISBLANK('Data Entry'!$Ĥ$859), "", 'Data Entry'!$Ĥ$859)</f>
      </c>
      <c r="HU859">
        <f>IF(ISBLANK('Data Entry'!$ĥ$859), "", 'Data Entry'!$ĥ$859)</f>
      </c>
      <c r="HV859">
        <f>IF(ISBLANK('Data Entry'!$Ħ$859), "", 'Data Entry'!$Ħ$859)</f>
      </c>
      <c r="HW859">
        <f>IF(ISBLANK('Data Entry'!$ħ$859), "", 'Data Entry'!$ħ$859)</f>
      </c>
      <c r="HX859">
        <f>IF(ISBLANK('Data Entry'!$Ĩ$859), "", 'Data Entry'!$Ĩ$859)</f>
      </c>
      <c r="HY859">
        <f>IF(ISBLANK('Data Entry'!$ĩ$859), "", 'Data Entry'!$ĩ$859)</f>
      </c>
      <c r="HZ859">
        <f>IF(ISBLANK('Data Entry'!$Ī$859), "", 'Data Entry'!$Ī$859)</f>
      </c>
      <c r="IA859">
        <f>IF(ISBLANK('Data Entry'!$ī$859), "", 'Data Entry'!$ī$859)</f>
      </c>
      <c r="IB859">
        <f>IF(ISBLANK('Data Entry'!$Ĭ$859), "", 'Data Entry'!$Ĭ$859)</f>
      </c>
      <c r="IC859">
        <f>IF(ISBLANK('Data Entry'!$ĭ$859), "", 'Data Entry'!$ĭ$859)</f>
      </c>
      <c r="ID859">
        <f>IF(ISBLANK('Data Entry'!$Į$859), "", 'Data Entry'!$Į$859)</f>
      </c>
      <c r="IE859">
        <f>IF(ISBLANK('Data Entry'!$į$859), "", 'Data Entry'!$į$859)</f>
      </c>
      <c r="IF859">
        <f>IF(ISBLANK('Data Entry'!$İ$859), "", 'Data Entry'!$İ$859)</f>
      </c>
      <c r="IG859">
        <f>IF(ISBLANK('Data Entry'!$ı$859), "", 'Data Entry'!$ı$859)</f>
      </c>
      <c r="IH859">
        <f>IF(ISBLANK('Data Entry'!$Ĳ$859), "", 'Data Entry'!$Ĳ$859)</f>
      </c>
      <c r="II859">
        <f>IF(ISBLANK('Data Entry'!$ĳ$859), "", 'Data Entry'!$ĳ$859)</f>
      </c>
      <c r="IJ859">
        <f>IF(ISBLANK('Data Entry'!$Ĵ$859), "", 'Data Entry'!$Ĵ$859)</f>
      </c>
      <c r="IK859">
        <f>IF(ISBLANK('Data Entry'!$ĵ$859), "", 'Data Entry'!$ĵ$859)</f>
      </c>
      <c r="IL859">
        <f>IF(ISBLANK('Data Entry'!$Ķ$859), "", 'Data Entry'!$Ķ$859)</f>
      </c>
      <c r="IM859">
        <f>IF(ISBLANK('Data Entry'!$ķ$859), "", 'Data Entry'!$ķ$859)</f>
      </c>
      <c r="IN859">
        <f>IF(ISBLANK('Data Entry'!$ĸ$859), "", 'Data Entry'!$ĸ$859)</f>
      </c>
      <c r="IO859">
        <f>IF(ISBLANK('Data Entry'!$Ĺ$859), "", 'Data Entry'!$Ĺ$859)</f>
      </c>
      <c r="IP859">
        <f>IF(ISBLANK('Data Entry'!$ĺ$859), "", 'Data Entry'!$ĺ$859)</f>
      </c>
      <c r="IQ859">
        <f>IF(ISBLANK('Data Entry'!$Ļ$859), "", 'Data Entry'!$Ļ$859)</f>
      </c>
      <c r="IR859">
        <f>IF(ISBLANK('Data Entry'!$ļ$859), "", 'Data Entry'!$ļ$859)</f>
      </c>
      <c r="IS859">
        <f>IF(ISBLANK('Data Entry'!$Ľ$859), "", 'Data Entry'!$Ľ$859)</f>
      </c>
      <c r="IT859">
        <f>IF(ISBLANK('Data Entry'!$ľ$859), "", 'Data Entry'!$ľ$859)</f>
      </c>
    </row>
    <row r="860" spans="1:254" x14ac:dyDescent="0.25">
      <c r="A860">
        <f>IF(ISBLANK('Data Entry'!$A$860), "", 'Data Entry'!$A$860)</f>
      </c>
      <c r="B860">
        <f>IF(ISBLANK('Data Entry'!$B$860), "", 'Data Entry'!$B$860)</f>
      </c>
      <c r="C860">
        <f>IF(ISBLANK('Data Entry'!$C$860), "", 'Data Entry'!$C$860)</f>
      </c>
      <c r="D860">
        <f>IF(ISBLANK('Data Entry'!$D$860), "", 'Data Entry'!$D$860)</f>
      </c>
      <c r="E860">
        <f>IF(ISBLANK('Data Entry'!$E$860), "", 'Data Entry'!$E$860)</f>
      </c>
      <c r="F860">
        <f>IF(ISBLANK('Data Entry'!$F$860), "", 'Data Entry'!$F$860)</f>
      </c>
      <c r="G860">
        <f>IF(ISBLANK('Data Entry'!$G$860), "", 'Data Entry'!$G$860)</f>
      </c>
      <c r="H860">
        <f>IF(ISBLANK('Data Entry'!$H$860), "", 'Data Entry'!$H$860)</f>
      </c>
      <c r="I860">
        <f>IF(ISBLANK('Data Entry'!$I$860), "", 'Data Entry'!$I$860)</f>
      </c>
      <c r="J860">
        <f>IF(ISBLANK('Data Entry'!$J$860), "", 'Data Entry'!$J$860)</f>
      </c>
      <c r="K860">
        <f>IF(ISBLANK('Data Entry'!$K$860), "", 'Data Entry'!$K$860)</f>
      </c>
      <c r="L860">
        <f>IF(ISBLANK('Data Entry'!$L$860), "", 'Data Entry'!$L$860)</f>
      </c>
      <c r="M860">
        <f>IF(ISBLANK('Data Entry'!$M$860), "", 'Data Entry'!$M$860)</f>
      </c>
      <c r="N860">
        <f>IF(ISBLANK('Data Entry'!$N$860), "", 'Data Entry'!$N$860)</f>
      </c>
      <c r="O860">
        <f>IF(ISBLANK('Data Entry'!$O$860), "", 'Data Entry'!$O$860)</f>
      </c>
      <c r="P860">
        <f>IF(ISBLANK('Data Entry'!$P$860), "", 'Data Entry'!$P$860)</f>
      </c>
      <c r="Q860">
        <f>IF(ISBLANK('Data Entry'!$Q$860), "", 'Data Entry'!$Q$860)</f>
      </c>
      <c r="R860">
        <f>IF(ISBLANK('Data Entry'!$R$860), "", 'Data Entry'!$R$860)</f>
      </c>
      <c r="S860">
        <f>IF(ISBLANK('Data Entry'!$S$860), "", 'Data Entry'!$S$860)</f>
      </c>
      <c r="T860">
        <f>IF(ISBLANK('Data Entry'!$T$860), "", 'Data Entry'!$T$860)</f>
      </c>
      <c r="U860">
        <f>IF(ISBLANK('Data Entry'!$U$860), "", 'Data Entry'!$U$860)</f>
      </c>
      <c r="V860">
        <f>IF(ISBLANK('Data Entry'!$V$860), "", 'Data Entry'!$V$860)</f>
      </c>
      <c r="W860">
        <f>IF(ISBLANK('Data Entry'!$W$860), "", 'Data Entry'!$W$860)</f>
      </c>
      <c r="X860">
        <f>IF(ISBLANK('Data Entry'!$X$860), "", 'Data Entry'!$X$860)</f>
      </c>
      <c r="Y860">
        <f>IF(ISBLANK('Data Entry'!$Y$860), "", 'Data Entry'!$Y$860)</f>
      </c>
      <c r="Z860">
        <f>IF(ISBLANK('Data Entry'!$Z$860), "", 'Data Entry'!$Z$860)</f>
      </c>
      <c r="AA860">
        <f>IF(ISBLANK('Data Entry'!$[$860), "", 'Data Entry'!$[$860)</f>
      </c>
      <c r="AB860">
        <f>IF(ISBLANK('Data Entry'!$\$860), "", 'Data Entry'!$\$860)</f>
      </c>
      <c r="AC860">
        <f>IF(ISBLANK('Data Entry'!$]$860), "", 'Data Entry'!$]$860)</f>
      </c>
      <c r="AD860">
        <f>IF(ISBLANK('Data Entry'!$^$860), "", 'Data Entry'!$^$860)</f>
      </c>
      <c r="AE860">
        <f>IF(ISBLANK('Data Entry'!$_$860), "", 'Data Entry'!$_$860)</f>
      </c>
      <c r="AF860">
        <f>IF(ISBLANK('Data Entry'!$`$860), "", 'Data Entry'!$`$860)</f>
      </c>
      <c r="AG860">
        <f>IF(ISBLANK('Data Entry'!$a$860), "", 'Data Entry'!$a$860)</f>
      </c>
      <c r="AH860">
        <f>IF(ISBLANK('Data Entry'!$b$860), "", 'Data Entry'!$b$860)</f>
      </c>
      <c r="AI860">
        <f>IF(ISBLANK('Data Entry'!$c$860), "", 'Data Entry'!$c$860)</f>
      </c>
      <c r="AJ860">
        <f>IF(ISBLANK('Data Entry'!$d$860), "", 'Data Entry'!$d$860)</f>
      </c>
      <c r="AK860">
        <f>IF(ISBLANK('Data Entry'!$e$860), "", 'Data Entry'!$e$860)</f>
      </c>
      <c r="AL860">
        <f>IF(ISBLANK('Data Entry'!$f$860), "", 'Data Entry'!$f$860)</f>
      </c>
      <c r="AM860">
        <f>IF(ISBLANK('Data Entry'!$g$860), "", 'Data Entry'!$g$860)</f>
      </c>
      <c r="AN860">
        <f>IF(ISBLANK('Data Entry'!$h$860), "", 'Data Entry'!$h$860)</f>
      </c>
      <c r="AO860">
        <f>IF(ISBLANK('Data Entry'!$i$860), "", 'Data Entry'!$i$860)</f>
      </c>
      <c r="AP860">
        <f>IF(ISBLANK('Data Entry'!$j$860), "", 'Data Entry'!$j$860)</f>
      </c>
      <c r="AQ860">
        <f>IF(ISBLANK('Data Entry'!$k$860), "", 'Data Entry'!$k$860)</f>
      </c>
      <c r="AR860">
        <f>IF(ISBLANK('Data Entry'!$l$860), "", 'Data Entry'!$l$860)</f>
      </c>
      <c r="AS860">
        <f>IF(ISBLANK('Data Entry'!$m$860), "", 'Data Entry'!$m$860)</f>
      </c>
      <c r="AT860">
        <f>IF(ISBLANK('Data Entry'!$n$860), "", 'Data Entry'!$n$860)</f>
      </c>
      <c r="AU860">
        <f>IF(ISBLANK('Data Entry'!$o$860), "", 'Data Entry'!$o$860)</f>
      </c>
      <c r="AV860">
        <f>IF(ISBLANK('Data Entry'!$p$860), "", 'Data Entry'!$p$860)</f>
      </c>
      <c r="AW860">
        <f>IF(ISBLANK('Data Entry'!$q$860), "", 'Data Entry'!$q$860)</f>
      </c>
      <c r="AX860">
        <f>IF(ISBLANK('Data Entry'!$r$860), "", 'Data Entry'!$r$860)</f>
      </c>
      <c r="AY860">
        <f>IF(ISBLANK('Data Entry'!$s$860), "", 'Data Entry'!$s$860)</f>
      </c>
      <c r="AZ860">
        <f>IF(ISBLANK('Data Entry'!$t$860), "", 'Data Entry'!$t$860)</f>
      </c>
      <c r="BA860">
        <f>IF(ISBLANK('Data Entry'!$u$860), "", 'Data Entry'!$u$860)</f>
      </c>
      <c r="BB860">
        <f>IF(ISBLANK('Data Entry'!$v$860), "", 'Data Entry'!$v$860)</f>
      </c>
      <c r="BC860">
        <f>IF(ISBLANK('Data Entry'!$w$860), "", 'Data Entry'!$w$860)</f>
      </c>
      <c r="BD860">
        <f>IF(ISBLANK('Data Entry'!$x$860), "", 'Data Entry'!$x$860)</f>
      </c>
      <c r="BE860">
        <f>IF(ISBLANK('Data Entry'!$y$860), "", 'Data Entry'!$y$860)</f>
      </c>
      <c r="BF860">
        <f>IF(ISBLANK('Data Entry'!$z$860), "", 'Data Entry'!$z$860)</f>
      </c>
      <c r="BG860">
        <f>IF(ISBLANK('Data Entry'!${$860), "", 'Data Entry'!${$860)</f>
      </c>
      <c r="BH860">
        <f>IF(ISBLANK('Data Entry'!$|$860), "", 'Data Entry'!$|$860)</f>
      </c>
      <c r="BI860">
        <f>IF(ISBLANK('Data Entry'!$}$860), "", 'Data Entry'!$}$860)</f>
      </c>
      <c r="BJ860">
        <f>IF(ISBLANK('Data Entry'!$~$860), "", 'Data Entry'!$~$860)</f>
      </c>
      <c r="BK860">
        <f>IF(ISBLANK('Data Entry'!$$860), "", 'Data Entry'!$$860)</f>
      </c>
      <c r="BL860">
        <f>IF(ISBLANK('Data Entry'!$$860), "", 'Data Entry'!$$860)</f>
      </c>
      <c r="BM860">
        <f>IF(ISBLANK('Data Entry'!$$860), "", 'Data Entry'!$$860)</f>
      </c>
      <c r="BN860">
        <f>IF(ISBLANK('Data Entry'!$$860), "", 'Data Entry'!$$860)</f>
      </c>
      <c r="BO860">
        <f>IF(ISBLANK('Data Entry'!$$860), "", 'Data Entry'!$$860)</f>
      </c>
      <c r="BP860">
        <f>IF(ISBLANK('Data Entry'!$$860), "", 'Data Entry'!$$860)</f>
      </c>
      <c r="BQ860">
        <f>IF(ISBLANK('Data Entry'!$$860), "", 'Data Entry'!$$860)</f>
      </c>
      <c r="BR860">
        <f>IF(ISBLANK('Data Entry'!$$860), "", 'Data Entry'!$$860)</f>
      </c>
      <c r="BS860">
        <f>IF(ISBLANK('Data Entry'!$$860), "", 'Data Entry'!$$860)</f>
      </c>
      <c r="BT860">
        <f>IF(ISBLANK('Data Entry'!$$860), "", 'Data Entry'!$$860)</f>
      </c>
      <c r="BU860">
        <f>IF(ISBLANK('Data Entry'!$$860), "", 'Data Entry'!$$860)</f>
      </c>
      <c r="BV860">
        <f>IF(ISBLANK('Data Entry'!$$860), "", 'Data Entry'!$$860)</f>
      </c>
      <c r="BW860">
        <f>IF(ISBLANK('Data Entry'!$$860), "", 'Data Entry'!$$860)</f>
      </c>
      <c r="BX860">
        <f>IF(ISBLANK('Data Entry'!$$860), "", 'Data Entry'!$$860)</f>
      </c>
      <c r="BY860">
        <f>IF(ISBLANK('Data Entry'!$$860), "", 'Data Entry'!$$860)</f>
      </c>
      <c r="BZ860">
        <f>IF(ISBLANK('Data Entry'!$$860), "", 'Data Entry'!$$860)</f>
      </c>
      <c r="CA860">
        <f>IF(ISBLANK('Data Entry'!$$860), "", 'Data Entry'!$$860)</f>
      </c>
      <c r="CB860">
        <f>IF(ISBLANK('Data Entry'!$$860), "", 'Data Entry'!$$860)</f>
      </c>
      <c r="CC860">
        <f>IF(ISBLANK('Data Entry'!$$860), "", 'Data Entry'!$$860)</f>
      </c>
      <c r="CD860">
        <f>IF(ISBLANK('Data Entry'!$$860), "", 'Data Entry'!$$860)</f>
      </c>
      <c r="CE860">
        <f>IF(ISBLANK('Data Entry'!$$860), "", 'Data Entry'!$$860)</f>
      </c>
      <c r="CF860">
        <f>IF(ISBLANK('Data Entry'!$$860), "", 'Data Entry'!$$860)</f>
      </c>
      <c r="CG860">
        <f>IF(ISBLANK('Data Entry'!$$860), "", 'Data Entry'!$$860)</f>
      </c>
      <c r="CH860">
        <f>IF(ISBLANK('Data Entry'!$$860), "", 'Data Entry'!$$860)</f>
      </c>
      <c r="CI860">
        <f>IF(ISBLANK('Data Entry'!$$860), "", 'Data Entry'!$$860)</f>
      </c>
      <c r="CJ860">
        <f>IF(ISBLANK('Data Entry'!$$860), "", 'Data Entry'!$$860)</f>
      </c>
      <c r="CK860">
        <f>IF(ISBLANK('Data Entry'!$$860), "", 'Data Entry'!$$860)</f>
      </c>
      <c r="CL860">
        <f>IF(ISBLANK('Data Entry'!$$860), "", 'Data Entry'!$$860)</f>
      </c>
      <c r="CM860">
        <f>IF(ISBLANK('Data Entry'!$$860), "", 'Data Entry'!$$860)</f>
      </c>
      <c r="CN860">
        <f>IF(ISBLANK('Data Entry'!$$860), "", 'Data Entry'!$$860)</f>
      </c>
      <c r="CO860">
        <f>IF(ISBLANK('Data Entry'!$$860), "", 'Data Entry'!$$860)</f>
      </c>
      <c r="CP860">
        <f>IF(ISBLANK('Data Entry'!$$860), "", 'Data Entry'!$$860)</f>
      </c>
      <c r="CQ860">
        <f>IF(ISBLANK('Data Entry'!$$860), "", 'Data Entry'!$$860)</f>
      </c>
      <c r="CR860">
        <f>IF(ISBLANK('Data Entry'!$ $860), "", 'Data Entry'!$ $860)</f>
      </c>
      <c r="CS860">
        <f>IF(ISBLANK('Data Entry'!$¡$860), "", 'Data Entry'!$¡$860)</f>
      </c>
      <c r="CT860">
        <f>IF(ISBLANK('Data Entry'!$¢$860), "", 'Data Entry'!$¢$860)</f>
      </c>
      <c r="CU860">
        <f>IF(ISBLANK('Data Entry'!$£$860), "", 'Data Entry'!$£$860)</f>
      </c>
      <c r="CV860">
        <f>IF(ISBLANK('Data Entry'!$¤$860), "", 'Data Entry'!$¤$860)</f>
      </c>
      <c r="CW860">
        <f>IF(ISBLANK('Data Entry'!$¥$860), "", 'Data Entry'!$¥$860)</f>
      </c>
      <c r="CX860">
        <f>IF(ISBLANK('Data Entry'!$¦$860), "", 'Data Entry'!$¦$860)</f>
      </c>
      <c r="CY860">
        <f>IF(ISBLANK('Data Entry'!$§$860), "", 'Data Entry'!$§$860)</f>
      </c>
      <c r="CZ860">
        <f>IF(ISBLANK('Data Entry'!$¨$860), "", 'Data Entry'!$¨$860)</f>
      </c>
      <c r="DA860">
        <f>IF(ISBLANK('Data Entry'!$©$860), "", 'Data Entry'!$©$860)</f>
      </c>
      <c r="DB860">
        <f>IF(ISBLANK('Data Entry'!$ª$860), "", 'Data Entry'!$ª$860)</f>
      </c>
      <c r="DC860">
        <f>IF(ISBLANK('Data Entry'!$«$860), "", 'Data Entry'!$«$860)</f>
      </c>
      <c r="DD860">
        <f>IF(ISBLANK('Data Entry'!$¬$860), "", 'Data Entry'!$¬$860)</f>
      </c>
      <c r="DE860">
        <f>IF(ISBLANK('Data Entry'!$­$860), "", 'Data Entry'!$­$860)</f>
      </c>
      <c r="DF860">
        <f>IF(ISBLANK('Data Entry'!$®$860), "", 'Data Entry'!$®$860)</f>
      </c>
      <c r="DG860">
        <f>IF(ISBLANK('Data Entry'!$¯$860), "", 'Data Entry'!$¯$860)</f>
      </c>
      <c r="DH860">
        <f>IF(ISBLANK('Data Entry'!$°$860), "", 'Data Entry'!$°$860)</f>
      </c>
      <c r="DI860">
        <f>IF(ISBLANK('Data Entry'!$±$860), "", 'Data Entry'!$±$860)</f>
      </c>
      <c r="DJ860">
        <f>IF(ISBLANK('Data Entry'!$²$860), "", 'Data Entry'!$²$860)</f>
      </c>
      <c r="DK860">
        <f>IF(ISBLANK('Data Entry'!$³$860), "", 'Data Entry'!$³$860)</f>
      </c>
      <c r="DL860">
        <f>IF(ISBLANK('Data Entry'!$´$860), "", 'Data Entry'!$´$860)</f>
      </c>
      <c r="DM860">
        <f>IF(ISBLANK('Data Entry'!$µ$860), "", 'Data Entry'!$µ$860)</f>
      </c>
      <c r="DN860">
        <f>IF(ISBLANK('Data Entry'!$¶$860), "", 'Data Entry'!$¶$860)</f>
      </c>
      <c r="DO860">
        <f>IF(ISBLANK('Data Entry'!$·$860), "", 'Data Entry'!$·$860)</f>
      </c>
      <c r="DP860">
        <f>IF(ISBLANK('Data Entry'!$¸$860), "", 'Data Entry'!$¸$860)</f>
      </c>
      <c r="DQ860">
        <f>IF(ISBLANK('Data Entry'!$¹$860), "", 'Data Entry'!$¹$860)</f>
      </c>
      <c r="DR860">
        <f>IF(ISBLANK('Data Entry'!$º$860), "", 'Data Entry'!$º$860)</f>
      </c>
      <c r="DS860">
        <f>IF(ISBLANK('Data Entry'!$»$860), "", 'Data Entry'!$»$860)</f>
      </c>
      <c r="DT860">
        <f>IF(ISBLANK('Data Entry'!$¼$860), "", 'Data Entry'!$¼$860)</f>
      </c>
      <c r="DU860">
        <f>IF(ISBLANK('Data Entry'!$½$860), "", 'Data Entry'!$½$860)</f>
      </c>
      <c r="DV860">
        <f>IF(ISBLANK('Data Entry'!$¾$860), "", 'Data Entry'!$¾$860)</f>
      </c>
      <c r="DW860">
        <f>IF(ISBLANK('Data Entry'!$¿$860), "", 'Data Entry'!$¿$860)</f>
      </c>
      <c r="DX860">
        <f>IF(ISBLANK('Data Entry'!$À$860), "", 'Data Entry'!$À$860)</f>
      </c>
      <c r="DY860">
        <f>IF(ISBLANK('Data Entry'!$Á$860), "", 'Data Entry'!$Á$860)</f>
      </c>
      <c r="DZ860">
        <f>IF(ISBLANK('Data Entry'!$Â$860), "", 'Data Entry'!$Â$860)</f>
      </c>
      <c r="EA860">
        <f>IF(ISBLANK('Data Entry'!$Ã$860), "", 'Data Entry'!$Ã$860)</f>
      </c>
      <c r="EB860">
        <f>IF(ISBLANK('Data Entry'!$Ä$860), "", 'Data Entry'!$Ä$860)</f>
      </c>
      <c r="EC860">
        <f>IF(ISBLANK('Data Entry'!$Å$860), "", 'Data Entry'!$Å$860)</f>
      </c>
      <c r="ED860">
        <f>IF(ISBLANK('Data Entry'!$Æ$860), "", 'Data Entry'!$Æ$860)</f>
      </c>
      <c r="EE860">
        <f>IF(ISBLANK('Data Entry'!$Ç$860), "", 'Data Entry'!$Ç$860)</f>
      </c>
      <c r="EF860">
        <f>IF(ISBLANK('Data Entry'!$È$860), "", 'Data Entry'!$È$860)</f>
      </c>
      <c r="EG860">
        <f>IF(ISBLANK('Data Entry'!$É$860), "", 'Data Entry'!$É$860)</f>
      </c>
      <c r="EH860">
        <f>IF(ISBLANK('Data Entry'!$Ê$860), "", 'Data Entry'!$Ê$860)</f>
      </c>
      <c r="EI860">
        <f>IF(ISBLANK('Data Entry'!$Ë$860), "", 'Data Entry'!$Ë$860)</f>
      </c>
      <c r="EJ860">
        <f>IF(ISBLANK('Data Entry'!$Ì$860), "", 'Data Entry'!$Ì$860)</f>
      </c>
      <c r="EK860">
        <f>IF(ISBLANK('Data Entry'!$Í$860), "", 'Data Entry'!$Í$860)</f>
      </c>
      <c r="EL860">
        <f>IF(ISBLANK('Data Entry'!$Î$860), "", 'Data Entry'!$Î$860)</f>
      </c>
      <c r="EM860">
        <f>IF(ISBLANK('Data Entry'!$Ï$860), "", 'Data Entry'!$Ï$860)</f>
      </c>
      <c r="EN860">
        <f>IF(ISBLANK('Data Entry'!$Ð$860), "", 'Data Entry'!$Ð$860)</f>
      </c>
      <c r="EO860">
        <f>IF(ISBLANK('Data Entry'!$Ñ$860), "", 'Data Entry'!$Ñ$860)</f>
      </c>
      <c r="EP860">
        <f>IF(ISBLANK('Data Entry'!$Ò$860), "", 'Data Entry'!$Ò$860)</f>
      </c>
      <c r="EQ860">
        <f>IF(ISBLANK('Data Entry'!$Ó$860), "", 'Data Entry'!$Ó$860)</f>
      </c>
      <c r="ER860">
        <f>IF(ISBLANK('Data Entry'!$Ô$860), "", 'Data Entry'!$Ô$860)</f>
      </c>
      <c r="ES860">
        <f>IF(ISBLANK('Data Entry'!$Õ$860), "", 'Data Entry'!$Õ$860)</f>
      </c>
      <c r="ET860">
        <f>IF(ISBLANK('Data Entry'!$Ö$860), "", 'Data Entry'!$Ö$860)</f>
      </c>
      <c r="EU860">
        <f>IF(ISBLANK('Data Entry'!$×$860), "", 'Data Entry'!$×$860)</f>
      </c>
      <c r="EV860">
        <f>IF(ISBLANK('Data Entry'!$Ø$860), "", 'Data Entry'!$Ø$860)</f>
      </c>
      <c r="EW860">
        <f>IF(ISBLANK('Data Entry'!$Ù$860), "", 'Data Entry'!$Ù$860)</f>
      </c>
      <c r="EX860">
        <f>IF(ISBLANK('Data Entry'!$Ú$860), "", 'Data Entry'!$Ú$860)</f>
      </c>
      <c r="EY860">
        <f>IF(ISBLANK('Data Entry'!$Û$860), "", 'Data Entry'!$Û$860)</f>
      </c>
      <c r="EZ860">
        <f>IF(ISBLANK('Data Entry'!$Ü$860), "", 'Data Entry'!$Ü$860)</f>
      </c>
      <c r="FA860">
        <f>IF(ISBLANK('Data Entry'!$Ý$860), "", 'Data Entry'!$Ý$860)</f>
      </c>
      <c r="FB860">
        <f>IF(ISBLANK('Data Entry'!$Þ$860), "", 'Data Entry'!$Þ$860)</f>
      </c>
      <c r="FC860">
        <f>IF(ISBLANK('Data Entry'!$ß$860), "", 'Data Entry'!$ß$860)</f>
      </c>
      <c r="FD860">
        <f>IF(ISBLANK('Data Entry'!$à$860), "", 'Data Entry'!$à$860)</f>
      </c>
      <c r="FE860">
        <f>IF(ISBLANK('Data Entry'!$á$860), "", 'Data Entry'!$á$860)</f>
      </c>
      <c r="FF860">
        <f>IF(ISBLANK('Data Entry'!$â$860), "", 'Data Entry'!$â$860)</f>
      </c>
      <c r="FG860">
        <f>IF(ISBLANK('Data Entry'!$ã$860), "", 'Data Entry'!$ã$860)</f>
      </c>
      <c r="FH860">
        <f>IF(ISBLANK('Data Entry'!$ä$860), "", 'Data Entry'!$ä$860)</f>
      </c>
      <c r="FI860">
        <f>IF(ISBLANK('Data Entry'!$å$860), "", 'Data Entry'!$å$860)</f>
      </c>
      <c r="FJ860">
        <f>IF(ISBLANK('Data Entry'!$æ$860), "", 'Data Entry'!$æ$860)</f>
      </c>
      <c r="FK860">
        <f>IF(ISBLANK('Data Entry'!$ç$860), "", 'Data Entry'!$ç$860)</f>
      </c>
      <c r="FL860">
        <f>IF(ISBLANK('Data Entry'!$è$860), "", 'Data Entry'!$è$860)</f>
      </c>
      <c r="FM860">
        <f>IF(ISBLANK('Data Entry'!$é$860), "", 'Data Entry'!$é$860)</f>
      </c>
      <c r="FN860">
        <f>IF(ISBLANK('Data Entry'!$ê$860), "", 'Data Entry'!$ê$860)</f>
      </c>
      <c r="FO860">
        <f>IF(ISBLANK('Data Entry'!$ë$860), "", 'Data Entry'!$ë$860)</f>
      </c>
      <c r="FP860">
        <f>IF(ISBLANK('Data Entry'!$ì$860), "", 'Data Entry'!$ì$860)</f>
      </c>
      <c r="FQ860">
        <f>IF(ISBLANK('Data Entry'!$í$860), "", 'Data Entry'!$í$860)</f>
      </c>
      <c r="FR860">
        <f>IF(ISBLANK('Data Entry'!$î$860), "", 'Data Entry'!$î$860)</f>
      </c>
      <c r="FS860">
        <f>IF(ISBLANK('Data Entry'!$ï$860), "", 'Data Entry'!$ï$860)</f>
      </c>
      <c r="FT860">
        <f>IF(ISBLANK('Data Entry'!$ð$860), "", 'Data Entry'!$ð$860)</f>
      </c>
      <c r="FU860">
        <f>IF(ISBLANK('Data Entry'!$ñ$860), "", 'Data Entry'!$ñ$860)</f>
      </c>
      <c r="FV860">
        <f>IF(ISBLANK('Data Entry'!$ò$860), "", 'Data Entry'!$ò$860)</f>
      </c>
      <c r="FW860">
        <f>IF(ISBLANK('Data Entry'!$ó$860), "", 'Data Entry'!$ó$860)</f>
      </c>
      <c r="FX860">
        <f>IF(ISBLANK('Data Entry'!$ô$860), "", 'Data Entry'!$ô$860)</f>
      </c>
      <c r="FY860">
        <f>IF(ISBLANK('Data Entry'!$õ$860), "", 'Data Entry'!$õ$860)</f>
      </c>
      <c r="FZ860">
        <f>IF(ISBLANK('Data Entry'!$ö$860), "", 'Data Entry'!$ö$860)</f>
      </c>
      <c r="GA860">
        <f>IF(ISBLANK('Data Entry'!$÷$860), "", 'Data Entry'!$÷$860)</f>
      </c>
      <c r="GB860">
        <f>IF(ISBLANK('Data Entry'!$ø$860), "", 'Data Entry'!$ø$860)</f>
      </c>
      <c r="GC860">
        <f>IF(ISBLANK('Data Entry'!$ù$860), "", 'Data Entry'!$ù$860)</f>
      </c>
      <c r="GD860">
        <f>IF(ISBLANK('Data Entry'!$ú$860), "", 'Data Entry'!$ú$860)</f>
      </c>
      <c r="GE860">
        <f>IF(ISBLANK('Data Entry'!$û$860), "", 'Data Entry'!$û$860)</f>
      </c>
      <c r="GF860">
        <f>IF(ISBLANK('Data Entry'!$ü$860), "", 'Data Entry'!$ü$860)</f>
      </c>
      <c r="GG860">
        <f>IF(ISBLANK('Data Entry'!$ý$860), "", 'Data Entry'!$ý$860)</f>
      </c>
      <c r="GH860">
        <f>IF(ISBLANK('Data Entry'!$þ$860), "", 'Data Entry'!$þ$860)</f>
      </c>
      <c r="GI860">
        <f>IF(ISBLANK('Data Entry'!$ÿ$860), "", 'Data Entry'!$ÿ$860)</f>
      </c>
      <c r="GJ860">
        <f>IF(ISBLANK('Data Entry'!$Ā$860), "", 'Data Entry'!$Ā$860)</f>
      </c>
      <c r="GK860">
        <f>IF(ISBLANK('Data Entry'!$ā$860), "", 'Data Entry'!$ā$860)</f>
      </c>
      <c r="GL860">
        <f>IF(ISBLANK('Data Entry'!$Ă$860), "", 'Data Entry'!$Ă$860)</f>
      </c>
      <c r="GM860">
        <f>IF(ISBLANK('Data Entry'!$ă$860), "", 'Data Entry'!$ă$860)</f>
      </c>
      <c r="GN860">
        <f>IF(ISBLANK('Data Entry'!$Ą$860), "", 'Data Entry'!$Ą$860)</f>
      </c>
      <c r="GO860">
        <f>IF(ISBLANK('Data Entry'!$ą$860), "", 'Data Entry'!$ą$860)</f>
      </c>
      <c r="GP860">
        <f>IF(ISBLANK('Data Entry'!$Ć$860), "", 'Data Entry'!$Ć$860)</f>
      </c>
      <c r="GQ860">
        <f>IF(ISBLANK('Data Entry'!$ć$860), "", 'Data Entry'!$ć$860)</f>
      </c>
      <c r="GR860">
        <f>IF(ISBLANK('Data Entry'!$Ĉ$860), "", 'Data Entry'!$Ĉ$860)</f>
      </c>
      <c r="GS860">
        <f>IF(ISBLANK('Data Entry'!$ĉ$860), "", 'Data Entry'!$ĉ$860)</f>
      </c>
      <c r="GT860">
        <f>IF(ISBLANK('Data Entry'!$Ċ$860), "", 'Data Entry'!$Ċ$860)</f>
      </c>
      <c r="GU860">
        <f>IF(ISBLANK('Data Entry'!$ċ$860), "", 'Data Entry'!$ċ$860)</f>
      </c>
      <c r="GV860">
        <f>IF(ISBLANK('Data Entry'!$Č$860), "", 'Data Entry'!$Č$860)</f>
      </c>
      <c r="GW860">
        <f>IF(ISBLANK('Data Entry'!$č$860), "", 'Data Entry'!$č$860)</f>
      </c>
      <c r="GX860">
        <f>IF(ISBLANK('Data Entry'!$Ď$860), "", 'Data Entry'!$Ď$860)</f>
      </c>
      <c r="GY860">
        <f>IF(ISBLANK('Data Entry'!$ď$860), "", 'Data Entry'!$ď$860)</f>
      </c>
      <c r="GZ860">
        <f>IF(ISBLANK('Data Entry'!$Đ$860), "", 'Data Entry'!$Đ$860)</f>
      </c>
      <c r="HA860">
        <f>IF(ISBLANK('Data Entry'!$đ$860), "", 'Data Entry'!$đ$860)</f>
      </c>
      <c r="HB860">
        <f>IF(ISBLANK('Data Entry'!$Ē$860), "", 'Data Entry'!$Ē$860)</f>
      </c>
      <c r="HC860">
        <f>IF(ISBLANK('Data Entry'!$ē$860), "", 'Data Entry'!$ē$860)</f>
      </c>
      <c r="HD860">
        <f>IF(ISBLANK('Data Entry'!$Ĕ$860), "", 'Data Entry'!$Ĕ$860)</f>
      </c>
      <c r="HE860">
        <f>IF(ISBLANK('Data Entry'!$ĕ$860), "", 'Data Entry'!$ĕ$860)</f>
      </c>
      <c r="HF860">
        <f>IF(ISBLANK('Data Entry'!$Ė$860), "", 'Data Entry'!$Ė$860)</f>
      </c>
      <c r="HG860">
        <f>IF(ISBLANK('Data Entry'!$ė$860), "", 'Data Entry'!$ė$860)</f>
      </c>
      <c r="HH860">
        <f>IF(ISBLANK('Data Entry'!$Ę$860), "", 'Data Entry'!$Ę$860)</f>
      </c>
      <c r="HI860">
        <f>IF(ISBLANK('Data Entry'!$ę$860), "", 'Data Entry'!$ę$860)</f>
      </c>
      <c r="HJ860">
        <f>IF(ISBLANK('Data Entry'!$Ě$860), "", 'Data Entry'!$Ě$860)</f>
      </c>
      <c r="HK860">
        <f>IF(ISBLANK('Data Entry'!$ě$860), "", 'Data Entry'!$ě$860)</f>
      </c>
      <c r="HL860">
        <f>IF(ISBLANK('Data Entry'!$Ĝ$860), "", 'Data Entry'!$Ĝ$860)</f>
      </c>
      <c r="HM860">
        <f>IF(ISBLANK('Data Entry'!$ĝ$860), "", 'Data Entry'!$ĝ$860)</f>
      </c>
      <c r="HN860">
        <f>IF(ISBLANK('Data Entry'!$Ğ$860), "", 'Data Entry'!$Ğ$860)</f>
      </c>
      <c r="HO860">
        <f>IF(ISBLANK('Data Entry'!$ğ$860), "", 'Data Entry'!$ğ$860)</f>
      </c>
      <c r="HP860">
        <f>IF(ISBLANK('Data Entry'!$Ġ$860), "", 'Data Entry'!$Ġ$860)</f>
      </c>
      <c r="HQ860">
        <f>IF(ISBLANK('Data Entry'!$ġ$860), "", 'Data Entry'!$ġ$860)</f>
      </c>
      <c r="HR860">
        <f>IF(ISBLANK('Data Entry'!$Ģ$860), "", 'Data Entry'!$Ģ$860)</f>
      </c>
      <c r="HS860">
        <f>IF(ISBLANK('Data Entry'!$ģ$860), "", 'Data Entry'!$ģ$860)</f>
      </c>
      <c r="HT860">
        <f>IF(ISBLANK('Data Entry'!$Ĥ$860), "", 'Data Entry'!$Ĥ$860)</f>
      </c>
      <c r="HU860">
        <f>IF(ISBLANK('Data Entry'!$ĥ$860), "", 'Data Entry'!$ĥ$860)</f>
      </c>
      <c r="HV860">
        <f>IF(ISBLANK('Data Entry'!$Ħ$860), "", 'Data Entry'!$Ħ$860)</f>
      </c>
      <c r="HW860">
        <f>IF(ISBLANK('Data Entry'!$ħ$860), "", 'Data Entry'!$ħ$860)</f>
      </c>
      <c r="HX860">
        <f>IF(ISBLANK('Data Entry'!$Ĩ$860), "", 'Data Entry'!$Ĩ$860)</f>
      </c>
      <c r="HY860">
        <f>IF(ISBLANK('Data Entry'!$ĩ$860), "", 'Data Entry'!$ĩ$860)</f>
      </c>
      <c r="HZ860">
        <f>IF(ISBLANK('Data Entry'!$Ī$860), "", 'Data Entry'!$Ī$860)</f>
      </c>
      <c r="IA860">
        <f>IF(ISBLANK('Data Entry'!$ī$860), "", 'Data Entry'!$ī$860)</f>
      </c>
      <c r="IB860">
        <f>IF(ISBLANK('Data Entry'!$Ĭ$860), "", 'Data Entry'!$Ĭ$860)</f>
      </c>
      <c r="IC860">
        <f>IF(ISBLANK('Data Entry'!$ĭ$860), "", 'Data Entry'!$ĭ$860)</f>
      </c>
      <c r="ID860">
        <f>IF(ISBLANK('Data Entry'!$Į$860), "", 'Data Entry'!$Į$860)</f>
      </c>
      <c r="IE860">
        <f>IF(ISBLANK('Data Entry'!$į$860), "", 'Data Entry'!$į$860)</f>
      </c>
      <c r="IF860">
        <f>IF(ISBLANK('Data Entry'!$İ$860), "", 'Data Entry'!$İ$860)</f>
      </c>
      <c r="IG860">
        <f>IF(ISBLANK('Data Entry'!$ı$860), "", 'Data Entry'!$ı$860)</f>
      </c>
      <c r="IH860">
        <f>IF(ISBLANK('Data Entry'!$Ĳ$860), "", 'Data Entry'!$Ĳ$860)</f>
      </c>
      <c r="II860">
        <f>IF(ISBLANK('Data Entry'!$ĳ$860), "", 'Data Entry'!$ĳ$860)</f>
      </c>
      <c r="IJ860">
        <f>IF(ISBLANK('Data Entry'!$Ĵ$860), "", 'Data Entry'!$Ĵ$860)</f>
      </c>
      <c r="IK860">
        <f>IF(ISBLANK('Data Entry'!$ĵ$860), "", 'Data Entry'!$ĵ$860)</f>
      </c>
      <c r="IL860">
        <f>IF(ISBLANK('Data Entry'!$Ķ$860), "", 'Data Entry'!$Ķ$860)</f>
      </c>
      <c r="IM860">
        <f>IF(ISBLANK('Data Entry'!$ķ$860), "", 'Data Entry'!$ķ$860)</f>
      </c>
      <c r="IN860">
        <f>IF(ISBLANK('Data Entry'!$ĸ$860), "", 'Data Entry'!$ĸ$860)</f>
      </c>
      <c r="IO860">
        <f>IF(ISBLANK('Data Entry'!$Ĺ$860), "", 'Data Entry'!$Ĺ$860)</f>
      </c>
      <c r="IP860">
        <f>IF(ISBLANK('Data Entry'!$ĺ$860), "", 'Data Entry'!$ĺ$860)</f>
      </c>
      <c r="IQ860">
        <f>IF(ISBLANK('Data Entry'!$Ļ$860), "", 'Data Entry'!$Ļ$860)</f>
      </c>
      <c r="IR860">
        <f>IF(ISBLANK('Data Entry'!$ļ$860), "", 'Data Entry'!$ļ$860)</f>
      </c>
      <c r="IS860">
        <f>IF(ISBLANK('Data Entry'!$Ľ$860), "", 'Data Entry'!$Ľ$860)</f>
      </c>
      <c r="IT860">
        <f>IF(ISBLANK('Data Entry'!$ľ$860), "", 'Data Entry'!$ľ$860)</f>
      </c>
    </row>
    <row r="861" spans="1:254" x14ac:dyDescent="0.25">
      <c r="A861">
        <f>IF(ISBLANK('Data Entry'!$A$861), "", 'Data Entry'!$A$861)</f>
      </c>
      <c r="B861">
        <f>IF(ISBLANK('Data Entry'!$B$861), "", 'Data Entry'!$B$861)</f>
      </c>
      <c r="C861">
        <f>IF(ISBLANK('Data Entry'!$C$861), "", 'Data Entry'!$C$861)</f>
      </c>
      <c r="D861">
        <f>IF(ISBLANK('Data Entry'!$D$861), "", 'Data Entry'!$D$861)</f>
      </c>
      <c r="E861">
        <f>IF(ISBLANK('Data Entry'!$E$861), "", 'Data Entry'!$E$861)</f>
      </c>
      <c r="F861">
        <f>IF(ISBLANK('Data Entry'!$F$861), "", 'Data Entry'!$F$861)</f>
      </c>
      <c r="G861">
        <f>IF(ISBLANK('Data Entry'!$G$861), "", 'Data Entry'!$G$861)</f>
      </c>
      <c r="H861">
        <f>IF(ISBLANK('Data Entry'!$H$861), "", 'Data Entry'!$H$861)</f>
      </c>
      <c r="I861">
        <f>IF(ISBLANK('Data Entry'!$I$861), "", 'Data Entry'!$I$861)</f>
      </c>
      <c r="J861">
        <f>IF(ISBLANK('Data Entry'!$J$861), "", 'Data Entry'!$J$861)</f>
      </c>
      <c r="K861">
        <f>IF(ISBLANK('Data Entry'!$K$861), "", 'Data Entry'!$K$861)</f>
      </c>
      <c r="L861">
        <f>IF(ISBLANK('Data Entry'!$L$861), "", 'Data Entry'!$L$861)</f>
      </c>
      <c r="M861">
        <f>IF(ISBLANK('Data Entry'!$M$861), "", 'Data Entry'!$M$861)</f>
      </c>
      <c r="N861">
        <f>IF(ISBLANK('Data Entry'!$N$861), "", 'Data Entry'!$N$861)</f>
      </c>
      <c r="O861">
        <f>IF(ISBLANK('Data Entry'!$O$861), "", 'Data Entry'!$O$861)</f>
      </c>
      <c r="P861">
        <f>IF(ISBLANK('Data Entry'!$P$861), "", 'Data Entry'!$P$861)</f>
      </c>
      <c r="Q861">
        <f>IF(ISBLANK('Data Entry'!$Q$861), "", 'Data Entry'!$Q$861)</f>
      </c>
      <c r="R861">
        <f>IF(ISBLANK('Data Entry'!$R$861), "", 'Data Entry'!$R$861)</f>
      </c>
      <c r="S861">
        <f>IF(ISBLANK('Data Entry'!$S$861), "", 'Data Entry'!$S$861)</f>
      </c>
      <c r="T861">
        <f>IF(ISBLANK('Data Entry'!$T$861), "", 'Data Entry'!$T$861)</f>
      </c>
      <c r="U861">
        <f>IF(ISBLANK('Data Entry'!$U$861), "", 'Data Entry'!$U$861)</f>
      </c>
      <c r="V861">
        <f>IF(ISBLANK('Data Entry'!$V$861), "", 'Data Entry'!$V$861)</f>
      </c>
      <c r="W861">
        <f>IF(ISBLANK('Data Entry'!$W$861), "", 'Data Entry'!$W$861)</f>
      </c>
      <c r="X861">
        <f>IF(ISBLANK('Data Entry'!$X$861), "", 'Data Entry'!$X$861)</f>
      </c>
      <c r="Y861">
        <f>IF(ISBLANK('Data Entry'!$Y$861), "", 'Data Entry'!$Y$861)</f>
      </c>
      <c r="Z861">
        <f>IF(ISBLANK('Data Entry'!$Z$861), "", 'Data Entry'!$Z$861)</f>
      </c>
      <c r="AA861">
        <f>IF(ISBLANK('Data Entry'!$[$861), "", 'Data Entry'!$[$861)</f>
      </c>
      <c r="AB861">
        <f>IF(ISBLANK('Data Entry'!$\$861), "", 'Data Entry'!$\$861)</f>
      </c>
      <c r="AC861">
        <f>IF(ISBLANK('Data Entry'!$]$861), "", 'Data Entry'!$]$861)</f>
      </c>
      <c r="AD861">
        <f>IF(ISBLANK('Data Entry'!$^$861), "", 'Data Entry'!$^$861)</f>
      </c>
      <c r="AE861">
        <f>IF(ISBLANK('Data Entry'!$_$861), "", 'Data Entry'!$_$861)</f>
      </c>
      <c r="AF861">
        <f>IF(ISBLANK('Data Entry'!$`$861), "", 'Data Entry'!$`$861)</f>
      </c>
      <c r="AG861">
        <f>IF(ISBLANK('Data Entry'!$a$861), "", 'Data Entry'!$a$861)</f>
      </c>
      <c r="AH861">
        <f>IF(ISBLANK('Data Entry'!$b$861), "", 'Data Entry'!$b$861)</f>
      </c>
      <c r="AI861">
        <f>IF(ISBLANK('Data Entry'!$c$861), "", 'Data Entry'!$c$861)</f>
      </c>
      <c r="AJ861">
        <f>IF(ISBLANK('Data Entry'!$d$861), "", 'Data Entry'!$d$861)</f>
      </c>
      <c r="AK861">
        <f>IF(ISBLANK('Data Entry'!$e$861), "", 'Data Entry'!$e$861)</f>
      </c>
      <c r="AL861">
        <f>IF(ISBLANK('Data Entry'!$f$861), "", 'Data Entry'!$f$861)</f>
      </c>
      <c r="AM861">
        <f>IF(ISBLANK('Data Entry'!$g$861), "", 'Data Entry'!$g$861)</f>
      </c>
      <c r="AN861">
        <f>IF(ISBLANK('Data Entry'!$h$861), "", 'Data Entry'!$h$861)</f>
      </c>
      <c r="AO861">
        <f>IF(ISBLANK('Data Entry'!$i$861), "", 'Data Entry'!$i$861)</f>
      </c>
      <c r="AP861">
        <f>IF(ISBLANK('Data Entry'!$j$861), "", 'Data Entry'!$j$861)</f>
      </c>
      <c r="AQ861">
        <f>IF(ISBLANK('Data Entry'!$k$861), "", 'Data Entry'!$k$861)</f>
      </c>
      <c r="AR861">
        <f>IF(ISBLANK('Data Entry'!$l$861), "", 'Data Entry'!$l$861)</f>
      </c>
      <c r="AS861">
        <f>IF(ISBLANK('Data Entry'!$m$861), "", 'Data Entry'!$m$861)</f>
      </c>
      <c r="AT861">
        <f>IF(ISBLANK('Data Entry'!$n$861), "", 'Data Entry'!$n$861)</f>
      </c>
      <c r="AU861">
        <f>IF(ISBLANK('Data Entry'!$o$861), "", 'Data Entry'!$o$861)</f>
      </c>
      <c r="AV861">
        <f>IF(ISBLANK('Data Entry'!$p$861), "", 'Data Entry'!$p$861)</f>
      </c>
      <c r="AW861">
        <f>IF(ISBLANK('Data Entry'!$q$861), "", 'Data Entry'!$q$861)</f>
      </c>
      <c r="AX861">
        <f>IF(ISBLANK('Data Entry'!$r$861), "", 'Data Entry'!$r$861)</f>
      </c>
      <c r="AY861">
        <f>IF(ISBLANK('Data Entry'!$s$861), "", 'Data Entry'!$s$861)</f>
      </c>
      <c r="AZ861">
        <f>IF(ISBLANK('Data Entry'!$t$861), "", 'Data Entry'!$t$861)</f>
      </c>
      <c r="BA861">
        <f>IF(ISBLANK('Data Entry'!$u$861), "", 'Data Entry'!$u$861)</f>
      </c>
      <c r="BB861">
        <f>IF(ISBLANK('Data Entry'!$v$861), "", 'Data Entry'!$v$861)</f>
      </c>
      <c r="BC861">
        <f>IF(ISBLANK('Data Entry'!$w$861), "", 'Data Entry'!$w$861)</f>
      </c>
      <c r="BD861">
        <f>IF(ISBLANK('Data Entry'!$x$861), "", 'Data Entry'!$x$861)</f>
      </c>
      <c r="BE861">
        <f>IF(ISBLANK('Data Entry'!$y$861), "", 'Data Entry'!$y$861)</f>
      </c>
      <c r="BF861">
        <f>IF(ISBLANK('Data Entry'!$z$861), "", 'Data Entry'!$z$861)</f>
      </c>
      <c r="BG861">
        <f>IF(ISBLANK('Data Entry'!${$861), "", 'Data Entry'!${$861)</f>
      </c>
      <c r="BH861">
        <f>IF(ISBLANK('Data Entry'!$|$861), "", 'Data Entry'!$|$861)</f>
      </c>
      <c r="BI861">
        <f>IF(ISBLANK('Data Entry'!$}$861), "", 'Data Entry'!$}$861)</f>
      </c>
      <c r="BJ861">
        <f>IF(ISBLANK('Data Entry'!$~$861), "", 'Data Entry'!$~$861)</f>
      </c>
      <c r="BK861">
        <f>IF(ISBLANK('Data Entry'!$$861), "", 'Data Entry'!$$861)</f>
      </c>
      <c r="BL861">
        <f>IF(ISBLANK('Data Entry'!$$861), "", 'Data Entry'!$$861)</f>
      </c>
      <c r="BM861">
        <f>IF(ISBLANK('Data Entry'!$$861), "", 'Data Entry'!$$861)</f>
      </c>
      <c r="BN861">
        <f>IF(ISBLANK('Data Entry'!$$861), "", 'Data Entry'!$$861)</f>
      </c>
      <c r="BO861">
        <f>IF(ISBLANK('Data Entry'!$$861), "", 'Data Entry'!$$861)</f>
      </c>
      <c r="BP861">
        <f>IF(ISBLANK('Data Entry'!$$861), "", 'Data Entry'!$$861)</f>
      </c>
      <c r="BQ861">
        <f>IF(ISBLANK('Data Entry'!$$861), "", 'Data Entry'!$$861)</f>
      </c>
      <c r="BR861">
        <f>IF(ISBLANK('Data Entry'!$$861), "", 'Data Entry'!$$861)</f>
      </c>
      <c r="BS861">
        <f>IF(ISBLANK('Data Entry'!$$861), "", 'Data Entry'!$$861)</f>
      </c>
      <c r="BT861">
        <f>IF(ISBLANK('Data Entry'!$$861), "", 'Data Entry'!$$861)</f>
      </c>
      <c r="BU861">
        <f>IF(ISBLANK('Data Entry'!$$861), "", 'Data Entry'!$$861)</f>
      </c>
      <c r="BV861">
        <f>IF(ISBLANK('Data Entry'!$$861), "", 'Data Entry'!$$861)</f>
      </c>
      <c r="BW861">
        <f>IF(ISBLANK('Data Entry'!$$861), "", 'Data Entry'!$$861)</f>
      </c>
      <c r="BX861">
        <f>IF(ISBLANK('Data Entry'!$$861), "", 'Data Entry'!$$861)</f>
      </c>
      <c r="BY861">
        <f>IF(ISBLANK('Data Entry'!$$861), "", 'Data Entry'!$$861)</f>
      </c>
      <c r="BZ861">
        <f>IF(ISBLANK('Data Entry'!$$861), "", 'Data Entry'!$$861)</f>
      </c>
      <c r="CA861">
        <f>IF(ISBLANK('Data Entry'!$$861), "", 'Data Entry'!$$861)</f>
      </c>
      <c r="CB861">
        <f>IF(ISBLANK('Data Entry'!$$861), "", 'Data Entry'!$$861)</f>
      </c>
      <c r="CC861">
        <f>IF(ISBLANK('Data Entry'!$$861), "", 'Data Entry'!$$861)</f>
      </c>
      <c r="CD861">
        <f>IF(ISBLANK('Data Entry'!$$861), "", 'Data Entry'!$$861)</f>
      </c>
      <c r="CE861">
        <f>IF(ISBLANK('Data Entry'!$$861), "", 'Data Entry'!$$861)</f>
      </c>
      <c r="CF861">
        <f>IF(ISBLANK('Data Entry'!$$861), "", 'Data Entry'!$$861)</f>
      </c>
      <c r="CG861">
        <f>IF(ISBLANK('Data Entry'!$$861), "", 'Data Entry'!$$861)</f>
      </c>
      <c r="CH861">
        <f>IF(ISBLANK('Data Entry'!$$861), "", 'Data Entry'!$$861)</f>
      </c>
      <c r="CI861">
        <f>IF(ISBLANK('Data Entry'!$$861), "", 'Data Entry'!$$861)</f>
      </c>
      <c r="CJ861">
        <f>IF(ISBLANK('Data Entry'!$$861), "", 'Data Entry'!$$861)</f>
      </c>
      <c r="CK861">
        <f>IF(ISBLANK('Data Entry'!$$861), "", 'Data Entry'!$$861)</f>
      </c>
      <c r="CL861">
        <f>IF(ISBLANK('Data Entry'!$$861), "", 'Data Entry'!$$861)</f>
      </c>
      <c r="CM861">
        <f>IF(ISBLANK('Data Entry'!$$861), "", 'Data Entry'!$$861)</f>
      </c>
      <c r="CN861">
        <f>IF(ISBLANK('Data Entry'!$$861), "", 'Data Entry'!$$861)</f>
      </c>
      <c r="CO861">
        <f>IF(ISBLANK('Data Entry'!$$861), "", 'Data Entry'!$$861)</f>
      </c>
      <c r="CP861">
        <f>IF(ISBLANK('Data Entry'!$$861), "", 'Data Entry'!$$861)</f>
      </c>
      <c r="CQ861">
        <f>IF(ISBLANK('Data Entry'!$$861), "", 'Data Entry'!$$861)</f>
      </c>
      <c r="CR861">
        <f>IF(ISBLANK('Data Entry'!$ $861), "", 'Data Entry'!$ $861)</f>
      </c>
      <c r="CS861">
        <f>IF(ISBLANK('Data Entry'!$¡$861), "", 'Data Entry'!$¡$861)</f>
      </c>
      <c r="CT861">
        <f>IF(ISBLANK('Data Entry'!$¢$861), "", 'Data Entry'!$¢$861)</f>
      </c>
      <c r="CU861">
        <f>IF(ISBLANK('Data Entry'!$£$861), "", 'Data Entry'!$£$861)</f>
      </c>
      <c r="CV861">
        <f>IF(ISBLANK('Data Entry'!$¤$861), "", 'Data Entry'!$¤$861)</f>
      </c>
      <c r="CW861">
        <f>IF(ISBLANK('Data Entry'!$¥$861), "", 'Data Entry'!$¥$861)</f>
      </c>
      <c r="CX861">
        <f>IF(ISBLANK('Data Entry'!$¦$861), "", 'Data Entry'!$¦$861)</f>
      </c>
      <c r="CY861">
        <f>IF(ISBLANK('Data Entry'!$§$861), "", 'Data Entry'!$§$861)</f>
      </c>
      <c r="CZ861">
        <f>IF(ISBLANK('Data Entry'!$¨$861), "", 'Data Entry'!$¨$861)</f>
      </c>
      <c r="DA861">
        <f>IF(ISBLANK('Data Entry'!$©$861), "", 'Data Entry'!$©$861)</f>
      </c>
      <c r="DB861">
        <f>IF(ISBLANK('Data Entry'!$ª$861), "", 'Data Entry'!$ª$861)</f>
      </c>
      <c r="DC861">
        <f>IF(ISBLANK('Data Entry'!$«$861), "", 'Data Entry'!$«$861)</f>
      </c>
      <c r="DD861">
        <f>IF(ISBLANK('Data Entry'!$¬$861), "", 'Data Entry'!$¬$861)</f>
      </c>
      <c r="DE861">
        <f>IF(ISBLANK('Data Entry'!$­$861), "", 'Data Entry'!$­$861)</f>
      </c>
      <c r="DF861">
        <f>IF(ISBLANK('Data Entry'!$®$861), "", 'Data Entry'!$®$861)</f>
      </c>
      <c r="DG861">
        <f>IF(ISBLANK('Data Entry'!$¯$861), "", 'Data Entry'!$¯$861)</f>
      </c>
      <c r="DH861">
        <f>IF(ISBLANK('Data Entry'!$°$861), "", 'Data Entry'!$°$861)</f>
      </c>
      <c r="DI861">
        <f>IF(ISBLANK('Data Entry'!$±$861), "", 'Data Entry'!$±$861)</f>
      </c>
      <c r="DJ861">
        <f>IF(ISBLANK('Data Entry'!$²$861), "", 'Data Entry'!$²$861)</f>
      </c>
      <c r="DK861">
        <f>IF(ISBLANK('Data Entry'!$³$861), "", 'Data Entry'!$³$861)</f>
      </c>
      <c r="DL861">
        <f>IF(ISBLANK('Data Entry'!$´$861), "", 'Data Entry'!$´$861)</f>
      </c>
      <c r="DM861">
        <f>IF(ISBLANK('Data Entry'!$µ$861), "", 'Data Entry'!$µ$861)</f>
      </c>
      <c r="DN861">
        <f>IF(ISBLANK('Data Entry'!$¶$861), "", 'Data Entry'!$¶$861)</f>
      </c>
      <c r="DO861">
        <f>IF(ISBLANK('Data Entry'!$·$861), "", 'Data Entry'!$·$861)</f>
      </c>
      <c r="DP861">
        <f>IF(ISBLANK('Data Entry'!$¸$861), "", 'Data Entry'!$¸$861)</f>
      </c>
      <c r="DQ861">
        <f>IF(ISBLANK('Data Entry'!$¹$861), "", 'Data Entry'!$¹$861)</f>
      </c>
      <c r="DR861">
        <f>IF(ISBLANK('Data Entry'!$º$861), "", 'Data Entry'!$º$861)</f>
      </c>
      <c r="DS861">
        <f>IF(ISBLANK('Data Entry'!$»$861), "", 'Data Entry'!$»$861)</f>
      </c>
      <c r="DT861">
        <f>IF(ISBLANK('Data Entry'!$¼$861), "", 'Data Entry'!$¼$861)</f>
      </c>
      <c r="DU861">
        <f>IF(ISBLANK('Data Entry'!$½$861), "", 'Data Entry'!$½$861)</f>
      </c>
      <c r="DV861">
        <f>IF(ISBLANK('Data Entry'!$¾$861), "", 'Data Entry'!$¾$861)</f>
      </c>
      <c r="DW861">
        <f>IF(ISBLANK('Data Entry'!$¿$861), "", 'Data Entry'!$¿$861)</f>
      </c>
      <c r="DX861">
        <f>IF(ISBLANK('Data Entry'!$À$861), "", 'Data Entry'!$À$861)</f>
      </c>
      <c r="DY861">
        <f>IF(ISBLANK('Data Entry'!$Á$861), "", 'Data Entry'!$Á$861)</f>
      </c>
      <c r="DZ861">
        <f>IF(ISBLANK('Data Entry'!$Â$861), "", 'Data Entry'!$Â$861)</f>
      </c>
      <c r="EA861">
        <f>IF(ISBLANK('Data Entry'!$Ã$861), "", 'Data Entry'!$Ã$861)</f>
      </c>
      <c r="EB861">
        <f>IF(ISBLANK('Data Entry'!$Ä$861), "", 'Data Entry'!$Ä$861)</f>
      </c>
      <c r="EC861">
        <f>IF(ISBLANK('Data Entry'!$Å$861), "", 'Data Entry'!$Å$861)</f>
      </c>
      <c r="ED861">
        <f>IF(ISBLANK('Data Entry'!$Æ$861), "", 'Data Entry'!$Æ$861)</f>
      </c>
      <c r="EE861">
        <f>IF(ISBLANK('Data Entry'!$Ç$861), "", 'Data Entry'!$Ç$861)</f>
      </c>
      <c r="EF861">
        <f>IF(ISBLANK('Data Entry'!$È$861), "", 'Data Entry'!$È$861)</f>
      </c>
      <c r="EG861">
        <f>IF(ISBLANK('Data Entry'!$É$861), "", 'Data Entry'!$É$861)</f>
      </c>
      <c r="EH861">
        <f>IF(ISBLANK('Data Entry'!$Ê$861), "", 'Data Entry'!$Ê$861)</f>
      </c>
      <c r="EI861">
        <f>IF(ISBLANK('Data Entry'!$Ë$861), "", 'Data Entry'!$Ë$861)</f>
      </c>
      <c r="EJ861">
        <f>IF(ISBLANK('Data Entry'!$Ì$861), "", 'Data Entry'!$Ì$861)</f>
      </c>
      <c r="EK861">
        <f>IF(ISBLANK('Data Entry'!$Í$861), "", 'Data Entry'!$Í$861)</f>
      </c>
      <c r="EL861">
        <f>IF(ISBLANK('Data Entry'!$Î$861), "", 'Data Entry'!$Î$861)</f>
      </c>
      <c r="EM861">
        <f>IF(ISBLANK('Data Entry'!$Ï$861), "", 'Data Entry'!$Ï$861)</f>
      </c>
      <c r="EN861">
        <f>IF(ISBLANK('Data Entry'!$Ð$861), "", 'Data Entry'!$Ð$861)</f>
      </c>
      <c r="EO861">
        <f>IF(ISBLANK('Data Entry'!$Ñ$861), "", 'Data Entry'!$Ñ$861)</f>
      </c>
      <c r="EP861">
        <f>IF(ISBLANK('Data Entry'!$Ò$861), "", 'Data Entry'!$Ò$861)</f>
      </c>
      <c r="EQ861">
        <f>IF(ISBLANK('Data Entry'!$Ó$861), "", 'Data Entry'!$Ó$861)</f>
      </c>
      <c r="ER861">
        <f>IF(ISBLANK('Data Entry'!$Ô$861), "", 'Data Entry'!$Ô$861)</f>
      </c>
      <c r="ES861">
        <f>IF(ISBLANK('Data Entry'!$Õ$861), "", 'Data Entry'!$Õ$861)</f>
      </c>
      <c r="ET861">
        <f>IF(ISBLANK('Data Entry'!$Ö$861), "", 'Data Entry'!$Ö$861)</f>
      </c>
      <c r="EU861">
        <f>IF(ISBLANK('Data Entry'!$×$861), "", 'Data Entry'!$×$861)</f>
      </c>
      <c r="EV861">
        <f>IF(ISBLANK('Data Entry'!$Ø$861), "", 'Data Entry'!$Ø$861)</f>
      </c>
      <c r="EW861">
        <f>IF(ISBLANK('Data Entry'!$Ù$861), "", 'Data Entry'!$Ù$861)</f>
      </c>
      <c r="EX861">
        <f>IF(ISBLANK('Data Entry'!$Ú$861), "", 'Data Entry'!$Ú$861)</f>
      </c>
      <c r="EY861">
        <f>IF(ISBLANK('Data Entry'!$Û$861), "", 'Data Entry'!$Û$861)</f>
      </c>
      <c r="EZ861">
        <f>IF(ISBLANK('Data Entry'!$Ü$861), "", 'Data Entry'!$Ü$861)</f>
      </c>
      <c r="FA861">
        <f>IF(ISBLANK('Data Entry'!$Ý$861), "", 'Data Entry'!$Ý$861)</f>
      </c>
      <c r="FB861">
        <f>IF(ISBLANK('Data Entry'!$Þ$861), "", 'Data Entry'!$Þ$861)</f>
      </c>
      <c r="FC861">
        <f>IF(ISBLANK('Data Entry'!$ß$861), "", 'Data Entry'!$ß$861)</f>
      </c>
      <c r="FD861">
        <f>IF(ISBLANK('Data Entry'!$à$861), "", 'Data Entry'!$à$861)</f>
      </c>
      <c r="FE861">
        <f>IF(ISBLANK('Data Entry'!$á$861), "", 'Data Entry'!$á$861)</f>
      </c>
      <c r="FF861">
        <f>IF(ISBLANK('Data Entry'!$â$861), "", 'Data Entry'!$â$861)</f>
      </c>
      <c r="FG861">
        <f>IF(ISBLANK('Data Entry'!$ã$861), "", 'Data Entry'!$ã$861)</f>
      </c>
      <c r="FH861">
        <f>IF(ISBLANK('Data Entry'!$ä$861), "", 'Data Entry'!$ä$861)</f>
      </c>
      <c r="FI861">
        <f>IF(ISBLANK('Data Entry'!$å$861), "", 'Data Entry'!$å$861)</f>
      </c>
      <c r="FJ861">
        <f>IF(ISBLANK('Data Entry'!$æ$861), "", 'Data Entry'!$æ$861)</f>
      </c>
      <c r="FK861">
        <f>IF(ISBLANK('Data Entry'!$ç$861), "", 'Data Entry'!$ç$861)</f>
      </c>
      <c r="FL861">
        <f>IF(ISBLANK('Data Entry'!$è$861), "", 'Data Entry'!$è$861)</f>
      </c>
      <c r="FM861">
        <f>IF(ISBLANK('Data Entry'!$é$861), "", 'Data Entry'!$é$861)</f>
      </c>
      <c r="FN861">
        <f>IF(ISBLANK('Data Entry'!$ê$861), "", 'Data Entry'!$ê$861)</f>
      </c>
      <c r="FO861">
        <f>IF(ISBLANK('Data Entry'!$ë$861), "", 'Data Entry'!$ë$861)</f>
      </c>
      <c r="FP861">
        <f>IF(ISBLANK('Data Entry'!$ì$861), "", 'Data Entry'!$ì$861)</f>
      </c>
      <c r="FQ861">
        <f>IF(ISBLANK('Data Entry'!$í$861), "", 'Data Entry'!$í$861)</f>
      </c>
      <c r="FR861">
        <f>IF(ISBLANK('Data Entry'!$î$861), "", 'Data Entry'!$î$861)</f>
      </c>
      <c r="FS861">
        <f>IF(ISBLANK('Data Entry'!$ï$861), "", 'Data Entry'!$ï$861)</f>
      </c>
      <c r="FT861">
        <f>IF(ISBLANK('Data Entry'!$ð$861), "", 'Data Entry'!$ð$861)</f>
      </c>
      <c r="FU861">
        <f>IF(ISBLANK('Data Entry'!$ñ$861), "", 'Data Entry'!$ñ$861)</f>
      </c>
      <c r="FV861">
        <f>IF(ISBLANK('Data Entry'!$ò$861), "", 'Data Entry'!$ò$861)</f>
      </c>
      <c r="FW861">
        <f>IF(ISBLANK('Data Entry'!$ó$861), "", 'Data Entry'!$ó$861)</f>
      </c>
      <c r="FX861">
        <f>IF(ISBLANK('Data Entry'!$ô$861), "", 'Data Entry'!$ô$861)</f>
      </c>
      <c r="FY861">
        <f>IF(ISBLANK('Data Entry'!$õ$861), "", 'Data Entry'!$õ$861)</f>
      </c>
      <c r="FZ861">
        <f>IF(ISBLANK('Data Entry'!$ö$861), "", 'Data Entry'!$ö$861)</f>
      </c>
      <c r="GA861">
        <f>IF(ISBLANK('Data Entry'!$÷$861), "", 'Data Entry'!$÷$861)</f>
      </c>
      <c r="GB861">
        <f>IF(ISBLANK('Data Entry'!$ø$861), "", 'Data Entry'!$ø$861)</f>
      </c>
      <c r="GC861">
        <f>IF(ISBLANK('Data Entry'!$ù$861), "", 'Data Entry'!$ù$861)</f>
      </c>
      <c r="GD861">
        <f>IF(ISBLANK('Data Entry'!$ú$861), "", 'Data Entry'!$ú$861)</f>
      </c>
      <c r="GE861">
        <f>IF(ISBLANK('Data Entry'!$û$861), "", 'Data Entry'!$û$861)</f>
      </c>
      <c r="GF861">
        <f>IF(ISBLANK('Data Entry'!$ü$861), "", 'Data Entry'!$ü$861)</f>
      </c>
      <c r="GG861">
        <f>IF(ISBLANK('Data Entry'!$ý$861), "", 'Data Entry'!$ý$861)</f>
      </c>
      <c r="GH861">
        <f>IF(ISBLANK('Data Entry'!$þ$861), "", 'Data Entry'!$þ$861)</f>
      </c>
      <c r="GI861">
        <f>IF(ISBLANK('Data Entry'!$ÿ$861), "", 'Data Entry'!$ÿ$861)</f>
      </c>
      <c r="GJ861">
        <f>IF(ISBLANK('Data Entry'!$Ā$861), "", 'Data Entry'!$Ā$861)</f>
      </c>
      <c r="GK861">
        <f>IF(ISBLANK('Data Entry'!$ā$861), "", 'Data Entry'!$ā$861)</f>
      </c>
      <c r="GL861">
        <f>IF(ISBLANK('Data Entry'!$Ă$861), "", 'Data Entry'!$Ă$861)</f>
      </c>
      <c r="GM861">
        <f>IF(ISBLANK('Data Entry'!$ă$861), "", 'Data Entry'!$ă$861)</f>
      </c>
      <c r="GN861">
        <f>IF(ISBLANK('Data Entry'!$Ą$861), "", 'Data Entry'!$Ą$861)</f>
      </c>
      <c r="GO861">
        <f>IF(ISBLANK('Data Entry'!$ą$861), "", 'Data Entry'!$ą$861)</f>
      </c>
      <c r="GP861">
        <f>IF(ISBLANK('Data Entry'!$Ć$861), "", 'Data Entry'!$Ć$861)</f>
      </c>
      <c r="GQ861">
        <f>IF(ISBLANK('Data Entry'!$ć$861), "", 'Data Entry'!$ć$861)</f>
      </c>
      <c r="GR861">
        <f>IF(ISBLANK('Data Entry'!$Ĉ$861), "", 'Data Entry'!$Ĉ$861)</f>
      </c>
      <c r="GS861">
        <f>IF(ISBLANK('Data Entry'!$ĉ$861), "", 'Data Entry'!$ĉ$861)</f>
      </c>
      <c r="GT861">
        <f>IF(ISBLANK('Data Entry'!$Ċ$861), "", 'Data Entry'!$Ċ$861)</f>
      </c>
      <c r="GU861">
        <f>IF(ISBLANK('Data Entry'!$ċ$861), "", 'Data Entry'!$ċ$861)</f>
      </c>
      <c r="GV861">
        <f>IF(ISBLANK('Data Entry'!$Č$861), "", 'Data Entry'!$Č$861)</f>
      </c>
      <c r="GW861">
        <f>IF(ISBLANK('Data Entry'!$č$861), "", 'Data Entry'!$č$861)</f>
      </c>
      <c r="GX861">
        <f>IF(ISBLANK('Data Entry'!$Ď$861), "", 'Data Entry'!$Ď$861)</f>
      </c>
      <c r="GY861">
        <f>IF(ISBLANK('Data Entry'!$ď$861), "", 'Data Entry'!$ď$861)</f>
      </c>
      <c r="GZ861">
        <f>IF(ISBLANK('Data Entry'!$Đ$861), "", 'Data Entry'!$Đ$861)</f>
      </c>
      <c r="HA861">
        <f>IF(ISBLANK('Data Entry'!$đ$861), "", 'Data Entry'!$đ$861)</f>
      </c>
      <c r="HB861">
        <f>IF(ISBLANK('Data Entry'!$Ē$861), "", 'Data Entry'!$Ē$861)</f>
      </c>
      <c r="HC861">
        <f>IF(ISBLANK('Data Entry'!$ē$861), "", 'Data Entry'!$ē$861)</f>
      </c>
      <c r="HD861">
        <f>IF(ISBLANK('Data Entry'!$Ĕ$861), "", 'Data Entry'!$Ĕ$861)</f>
      </c>
      <c r="HE861">
        <f>IF(ISBLANK('Data Entry'!$ĕ$861), "", 'Data Entry'!$ĕ$861)</f>
      </c>
      <c r="HF861">
        <f>IF(ISBLANK('Data Entry'!$Ė$861), "", 'Data Entry'!$Ė$861)</f>
      </c>
      <c r="HG861">
        <f>IF(ISBLANK('Data Entry'!$ė$861), "", 'Data Entry'!$ė$861)</f>
      </c>
      <c r="HH861">
        <f>IF(ISBLANK('Data Entry'!$Ę$861), "", 'Data Entry'!$Ę$861)</f>
      </c>
      <c r="HI861">
        <f>IF(ISBLANK('Data Entry'!$ę$861), "", 'Data Entry'!$ę$861)</f>
      </c>
      <c r="HJ861">
        <f>IF(ISBLANK('Data Entry'!$Ě$861), "", 'Data Entry'!$Ě$861)</f>
      </c>
      <c r="HK861">
        <f>IF(ISBLANK('Data Entry'!$ě$861), "", 'Data Entry'!$ě$861)</f>
      </c>
      <c r="HL861">
        <f>IF(ISBLANK('Data Entry'!$Ĝ$861), "", 'Data Entry'!$Ĝ$861)</f>
      </c>
      <c r="HM861">
        <f>IF(ISBLANK('Data Entry'!$ĝ$861), "", 'Data Entry'!$ĝ$861)</f>
      </c>
      <c r="HN861">
        <f>IF(ISBLANK('Data Entry'!$Ğ$861), "", 'Data Entry'!$Ğ$861)</f>
      </c>
      <c r="HO861">
        <f>IF(ISBLANK('Data Entry'!$ğ$861), "", 'Data Entry'!$ğ$861)</f>
      </c>
      <c r="HP861">
        <f>IF(ISBLANK('Data Entry'!$Ġ$861), "", 'Data Entry'!$Ġ$861)</f>
      </c>
      <c r="HQ861">
        <f>IF(ISBLANK('Data Entry'!$ġ$861), "", 'Data Entry'!$ġ$861)</f>
      </c>
      <c r="HR861">
        <f>IF(ISBLANK('Data Entry'!$Ģ$861), "", 'Data Entry'!$Ģ$861)</f>
      </c>
      <c r="HS861">
        <f>IF(ISBLANK('Data Entry'!$ģ$861), "", 'Data Entry'!$ģ$861)</f>
      </c>
      <c r="HT861">
        <f>IF(ISBLANK('Data Entry'!$Ĥ$861), "", 'Data Entry'!$Ĥ$861)</f>
      </c>
      <c r="HU861">
        <f>IF(ISBLANK('Data Entry'!$ĥ$861), "", 'Data Entry'!$ĥ$861)</f>
      </c>
      <c r="HV861">
        <f>IF(ISBLANK('Data Entry'!$Ħ$861), "", 'Data Entry'!$Ħ$861)</f>
      </c>
      <c r="HW861">
        <f>IF(ISBLANK('Data Entry'!$ħ$861), "", 'Data Entry'!$ħ$861)</f>
      </c>
      <c r="HX861">
        <f>IF(ISBLANK('Data Entry'!$Ĩ$861), "", 'Data Entry'!$Ĩ$861)</f>
      </c>
      <c r="HY861">
        <f>IF(ISBLANK('Data Entry'!$ĩ$861), "", 'Data Entry'!$ĩ$861)</f>
      </c>
      <c r="HZ861">
        <f>IF(ISBLANK('Data Entry'!$Ī$861), "", 'Data Entry'!$Ī$861)</f>
      </c>
      <c r="IA861">
        <f>IF(ISBLANK('Data Entry'!$ī$861), "", 'Data Entry'!$ī$861)</f>
      </c>
      <c r="IB861">
        <f>IF(ISBLANK('Data Entry'!$Ĭ$861), "", 'Data Entry'!$Ĭ$861)</f>
      </c>
      <c r="IC861">
        <f>IF(ISBLANK('Data Entry'!$ĭ$861), "", 'Data Entry'!$ĭ$861)</f>
      </c>
      <c r="ID861">
        <f>IF(ISBLANK('Data Entry'!$Į$861), "", 'Data Entry'!$Į$861)</f>
      </c>
      <c r="IE861">
        <f>IF(ISBLANK('Data Entry'!$į$861), "", 'Data Entry'!$į$861)</f>
      </c>
      <c r="IF861">
        <f>IF(ISBLANK('Data Entry'!$İ$861), "", 'Data Entry'!$İ$861)</f>
      </c>
      <c r="IG861">
        <f>IF(ISBLANK('Data Entry'!$ı$861), "", 'Data Entry'!$ı$861)</f>
      </c>
      <c r="IH861">
        <f>IF(ISBLANK('Data Entry'!$Ĳ$861), "", 'Data Entry'!$Ĳ$861)</f>
      </c>
      <c r="II861">
        <f>IF(ISBLANK('Data Entry'!$ĳ$861), "", 'Data Entry'!$ĳ$861)</f>
      </c>
      <c r="IJ861">
        <f>IF(ISBLANK('Data Entry'!$Ĵ$861), "", 'Data Entry'!$Ĵ$861)</f>
      </c>
      <c r="IK861">
        <f>IF(ISBLANK('Data Entry'!$ĵ$861), "", 'Data Entry'!$ĵ$861)</f>
      </c>
      <c r="IL861">
        <f>IF(ISBLANK('Data Entry'!$Ķ$861), "", 'Data Entry'!$Ķ$861)</f>
      </c>
      <c r="IM861">
        <f>IF(ISBLANK('Data Entry'!$ķ$861), "", 'Data Entry'!$ķ$861)</f>
      </c>
      <c r="IN861">
        <f>IF(ISBLANK('Data Entry'!$ĸ$861), "", 'Data Entry'!$ĸ$861)</f>
      </c>
      <c r="IO861">
        <f>IF(ISBLANK('Data Entry'!$Ĺ$861), "", 'Data Entry'!$Ĺ$861)</f>
      </c>
      <c r="IP861">
        <f>IF(ISBLANK('Data Entry'!$ĺ$861), "", 'Data Entry'!$ĺ$861)</f>
      </c>
      <c r="IQ861">
        <f>IF(ISBLANK('Data Entry'!$Ļ$861), "", 'Data Entry'!$Ļ$861)</f>
      </c>
      <c r="IR861">
        <f>IF(ISBLANK('Data Entry'!$ļ$861), "", 'Data Entry'!$ļ$861)</f>
      </c>
      <c r="IS861">
        <f>IF(ISBLANK('Data Entry'!$Ľ$861), "", 'Data Entry'!$Ľ$861)</f>
      </c>
      <c r="IT861">
        <f>IF(ISBLANK('Data Entry'!$ľ$861), "", 'Data Entry'!$ľ$861)</f>
      </c>
    </row>
    <row r="862" spans="1:254" x14ac:dyDescent="0.25">
      <c r="A862">
        <f>IF(ISBLANK('Data Entry'!$A$862), "", 'Data Entry'!$A$862)</f>
      </c>
      <c r="B862">
        <f>IF(ISBLANK('Data Entry'!$B$862), "", 'Data Entry'!$B$862)</f>
      </c>
      <c r="C862">
        <f>IF(ISBLANK('Data Entry'!$C$862), "", 'Data Entry'!$C$862)</f>
      </c>
      <c r="D862">
        <f>IF(ISBLANK('Data Entry'!$D$862), "", 'Data Entry'!$D$862)</f>
      </c>
      <c r="E862">
        <f>IF(ISBLANK('Data Entry'!$E$862), "", 'Data Entry'!$E$862)</f>
      </c>
      <c r="F862">
        <f>IF(ISBLANK('Data Entry'!$F$862), "", 'Data Entry'!$F$862)</f>
      </c>
      <c r="G862">
        <f>IF(ISBLANK('Data Entry'!$G$862), "", 'Data Entry'!$G$862)</f>
      </c>
      <c r="H862">
        <f>IF(ISBLANK('Data Entry'!$H$862), "", 'Data Entry'!$H$862)</f>
      </c>
      <c r="I862">
        <f>IF(ISBLANK('Data Entry'!$I$862), "", 'Data Entry'!$I$862)</f>
      </c>
      <c r="J862">
        <f>IF(ISBLANK('Data Entry'!$J$862), "", 'Data Entry'!$J$862)</f>
      </c>
      <c r="K862">
        <f>IF(ISBLANK('Data Entry'!$K$862), "", 'Data Entry'!$K$862)</f>
      </c>
      <c r="L862">
        <f>IF(ISBLANK('Data Entry'!$L$862), "", 'Data Entry'!$L$862)</f>
      </c>
      <c r="M862">
        <f>IF(ISBLANK('Data Entry'!$M$862), "", 'Data Entry'!$M$862)</f>
      </c>
      <c r="N862">
        <f>IF(ISBLANK('Data Entry'!$N$862), "", 'Data Entry'!$N$862)</f>
      </c>
      <c r="O862">
        <f>IF(ISBLANK('Data Entry'!$O$862), "", 'Data Entry'!$O$862)</f>
      </c>
      <c r="P862">
        <f>IF(ISBLANK('Data Entry'!$P$862), "", 'Data Entry'!$P$862)</f>
      </c>
      <c r="Q862">
        <f>IF(ISBLANK('Data Entry'!$Q$862), "", 'Data Entry'!$Q$862)</f>
      </c>
      <c r="R862">
        <f>IF(ISBLANK('Data Entry'!$R$862), "", 'Data Entry'!$R$862)</f>
      </c>
      <c r="S862">
        <f>IF(ISBLANK('Data Entry'!$S$862), "", 'Data Entry'!$S$862)</f>
      </c>
      <c r="T862">
        <f>IF(ISBLANK('Data Entry'!$T$862), "", 'Data Entry'!$T$862)</f>
      </c>
      <c r="U862">
        <f>IF(ISBLANK('Data Entry'!$U$862), "", 'Data Entry'!$U$862)</f>
      </c>
      <c r="V862">
        <f>IF(ISBLANK('Data Entry'!$V$862), "", 'Data Entry'!$V$862)</f>
      </c>
      <c r="W862">
        <f>IF(ISBLANK('Data Entry'!$W$862), "", 'Data Entry'!$W$862)</f>
      </c>
      <c r="X862">
        <f>IF(ISBLANK('Data Entry'!$X$862), "", 'Data Entry'!$X$862)</f>
      </c>
      <c r="Y862">
        <f>IF(ISBLANK('Data Entry'!$Y$862), "", 'Data Entry'!$Y$862)</f>
      </c>
      <c r="Z862">
        <f>IF(ISBLANK('Data Entry'!$Z$862), "", 'Data Entry'!$Z$862)</f>
      </c>
      <c r="AA862">
        <f>IF(ISBLANK('Data Entry'!$[$862), "", 'Data Entry'!$[$862)</f>
      </c>
      <c r="AB862">
        <f>IF(ISBLANK('Data Entry'!$\$862), "", 'Data Entry'!$\$862)</f>
      </c>
      <c r="AC862">
        <f>IF(ISBLANK('Data Entry'!$]$862), "", 'Data Entry'!$]$862)</f>
      </c>
      <c r="AD862">
        <f>IF(ISBLANK('Data Entry'!$^$862), "", 'Data Entry'!$^$862)</f>
      </c>
      <c r="AE862">
        <f>IF(ISBLANK('Data Entry'!$_$862), "", 'Data Entry'!$_$862)</f>
      </c>
      <c r="AF862">
        <f>IF(ISBLANK('Data Entry'!$`$862), "", 'Data Entry'!$`$862)</f>
      </c>
      <c r="AG862">
        <f>IF(ISBLANK('Data Entry'!$a$862), "", 'Data Entry'!$a$862)</f>
      </c>
      <c r="AH862">
        <f>IF(ISBLANK('Data Entry'!$b$862), "", 'Data Entry'!$b$862)</f>
      </c>
      <c r="AI862">
        <f>IF(ISBLANK('Data Entry'!$c$862), "", 'Data Entry'!$c$862)</f>
      </c>
      <c r="AJ862">
        <f>IF(ISBLANK('Data Entry'!$d$862), "", 'Data Entry'!$d$862)</f>
      </c>
      <c r="AK862">
        <f>IF(ISBLANK('Data Entry'!$e$862), "", 'Data Entry'!$e$862)</f>
      </c>
      <c r="AL862">
        <f>IF(ISBLANK('Data Entry'!$f$862), "", 'Data Entry'!$f$862)</f>
      </c>
      <c r="AM862">
        <f>IF(ISBLANK('Data Entry'!$g$862), "", 'Data Entry'!$g$862)</f>
      </c>
      <c r="AN862">
        <f>IF(ISBLANK('Data Entry'!$h$862), "", 'Data Entry'!$h$862)</f>
      </c>
      <c r="AO862">
        <f>IF(ISBLANK('Data Entry'!$i$862), "", 'Data Entry'!$i$862)</f>
      </c>
      <c r="AP862">
        <f>IF(ISBLANK('Data Entry'!$j$862), "", 'Data Entry'!$j$862)</f>
      </c>
      <c r="AQ862">
        <f>IF(ISBLANK('Data Entry'!$k$862), "", 'Data Entry'!$k$862)</f>
      </c>
      <c r="AR862">
        <f>IF(ISBLANK('Data Entry'!$l$862), "", 'Data Entry'!$l$862)</f>
      </c>
      <c r="AS862">
        <f>IF(ISBLANK('Data Entry'!$m$862), "", 'Data Entry'!$m$862)</f>
      </c>
      <c r="AT862">
        <f>IF(ISBLANK('Data Entry'!$n$862), "", 'Data Entry'!$n$862)</f>
      </c>
      <c r="AU862">
        <f>IF(ISBLANK('Data Entry'!$o$862), "", 'Data Entry'!$o$862)</f>
      </c>
      <c r="AV862">
        <f>IF(ISBLANK('Data Entry'!$p$862), "", 'Data Entry'!$p$862)</f>
      </c>
      <c r="AW862">
        <f>IF(ISBLANK('Data Entry'!$q$862), "", 'Data Entry'!$q$862)</f>
      </c>
      <c r="AX862">
        <f>IF(ISBLANK('Data Entry'!$r$862), "", 'Data Entry'!$r$862)</f>
      </c>
      <c r="AY862">
        <f>IF(ISBLANK('Data Entry'!$s$862), "", 'Data Entry'!$s$862)</f>
      </c>
      <c r="AZ862">
        <f>IF(ISBLANK('Data Entry'!$t$862), "", 'Data Entry'!$t$862)</f>
      </c>
      <c r="BA862">
        <f>IF(ISBLANK('Data Entry'!$u$862), "", 'Data Entry'!$u$862)</f>
      </c>
      <c r="BB862">
        <f>IF(ISBLANK('Data Entry'!$v$862), "", 'Data Entry'!$v$862)</f>
      </c>
      <c r="BC862">
        <f>IF(ISBLANK('Data Entry'!$w$862), "", 'Data Entry'!$w$862)</f>
      </c>
      <c r="BD862">
        <f>IF(ISBLANK('Data Entry'!$x$862), "", 'Data Entry'!$x$862)</f>
      </c>
      <c r="BE862">
        <f>IF(ISBLANK('Data Entry'!$y$862), "", 'Data Entry'!$y$862)</f>
      </c>
      <c r="BF862">
        <f>IF(ISBLANK('Data Entry'!$z$862), "", 'Data Entry'!$z$862)</f>
      </c>
      <c r="BG862">
        <f>IF(ISBLANK('Data Entry'!${$862), "", 'Data Entry'!${$862)</f>
      </c>
      <c r="BH862">
        <f>IF(ISBLANK('Data Entry'!$|$862), "", 'Data Entry'!$|$862)</f>
      </c>
      <c r="BI862">
        <f>IF(ISBLANK('Data Entry'!$}$862), "", 'Data Entry'!$}$862)</f>
      </c>
      <c r="BJ862">
        <f>IF(ISBLANK('Data Entry'!$~$862), "", 'Data Entry'!$~$862)</f>
      </c>
      <c r="BK862">
        <f>IF(ISBLANK('Data Entry'!$$862), "", 'Data Entry'!$$862)</f>
      </c>
      <c r="BL862">
        <f>IF(ISBLANK('Data Entry'!$$862), "", 'Data Entry'!$$862)</f>
      </c>
      <c r="BM862">
        <f>IF(ISBLANK('Data Entry'!$$862), "", 'Data Entry'!$$862)</f>
      </c>
      <c r="BN862">
        <f>IF(ISBLANK('Data Entry'!$$862), "", 'Data Entry'!$$862)</f>
      </c>
      <c r="BO862">
        <f>IF(ISBLANK('Data Entry'!$$862), "", 'Data Entry'!$$862)</f>
      </c>
      <c r="BP862">
        <f>IF(ISBLANK('Data Entry'!$$862), "", 'Data Entry'!$$862)</f>
      </c>
      <c r="BQ862">
        <f>IF(ISBLANK('Data Entry'!$$862), "", 'Data Entry'!$$862)</f>
      </c>
      <c r="BR862">
        <f>IF(ISBLANK('Data Entry'!$$862), "", 'Data Entry'!$$862)</f>
      </c>
      <c r="BS862">
        <f>IF(ISBLANK('Data Entry'!$$862), "", 'Data Entry'!$$862)</f>
      </c>
      <c r="BT862">
        <f>IF(ISBLANK('Data Entry'!$$862), "", 'Data Entry'!$$862)</f>
      </c>
      <c r="BU862">
        <f>IF(ISBLANK('Data Entry'!$$862), "", 'Data Entry'!$$862)</f>
      </c>
      <c r="BV862">
        <f>IF(ISBLANK('Data Entry'!$$862), "", 'Data Entry'!$$862)</f>
      </c>
      <c r="BW862">
        <f>IF(ISBLANK('Data Entry'!$$862), "", 'Data Entry'!$$862)</f>
      </c>
      <c r="BX862">
        <f>IF(ISBLANK('Data Entry'!$$862), "", 'Data Entry'!$$862)</f>
      </c>
      <c r="BY862">
        <f>IF(ISBLANK('Data Entry'!$$862), "", 'Data Entry'!$$862)</f>
      </c>
      <c r="BZ862">
        <f>IF(ISBLANK('Data Entry'!$$862), "", 'Data Entry'!$$862)</f>
      </c>
      <c r="CA862">
        <f>IF(ISBLANK('Data Entry'!$$862), "", 'Data Entry'!$$862)</f>
      </c>
      <c r="CB862">
        <f>IF(ISBLANK('Data Entry'!$$862), "", 'Data Entry'!$$862)</f>
      </c>
      <c r="CC862">
        <f>IF(ISBLANK('Data Entry'!$$862), "", 'Data Entry'!$$862)</f>
      </c>
      <c r="CD862">
        <f>IF(ISBLANK('Data Entry'!$$862), "", 'Data Entry'!$$862)</f>
      </c>
      <c r="CE862">
        <f>IF(ISBLANK('Data Entry'!$$862), "", 'Data Entry'!$$862)</f>
      </c>
      <c r="CF862">
        <f>IF(ISBLANK('Data Entry'!$$862), "", 'Data Entry'!$$862)</f>
      </c>
      <c r="CG862">
        <f>IF(ISBLANK('Data Entry'!$$862), "", 'Data Entry'!$$862)</f>
      </c>
      <c r="CH862">
        <f>IF(ISBLANK('Data Entry'!$$862), "", 'Data Entry'!$$862)</f>
      </c>
      <c r="CI862">
        <f>IF(ISBLANK('Data Entry'!$$862), "", 'Data Entry'!$$862)</f>
      </c>
      <c r="CJ862">
        <f>IF(ISBLANK('Data Entry'!$$862), "", 'Data Entry'!$$862)</f>
      </c>
      <c r="CK862">
        <f>IF(ISBLANK('Data Entry'!$$862), "", 'Data Entry'!$$862)</f>
      </c>
      <c r="CL862">
        <f>IF(ISBLANK('Data Entry'!$$862), "", 'Data Entry'!$$862)</f>
      </c>
      <c r="CM862">
        <f>IF(ISBLANK('Data Entry'!$$862), "", 'Data Entry'!$$862)</f>
      </c>
      <c r="CN862">
        <f>IF(ISBLANK('Data Entry'!$$862), "", 'Data Entry'!$$862)</f>
      </c>
      <c r="CO862">
        <f>IF(ISBLANK('Data Entry'!$$862), "", 'Data Entry'!$$862)</f>
      </c>
      <c r="CP862">
        <f>IF(ISBLANK('Data Entry'!$$862), "", 'Data Entry'!$$862)</f>
      </c>
      <c r="CQ862">
        <f>IF(ISBLANK('Data Entry'!$$862), "", 'Data Entry'!$$862)</f>
      </c>
      <c r="CR862">
        <f>IF(ISBLANK('Data Entry'!$ $862), "", 'Data Entry'!$ $862)</f>
      </c>
      <c r="CS862">
        <f>IF(ISBLANK('Data Entry'!$¡$862), "", 'Data Entry'!$¡$862)</f>
      </c>
      <c r="CT862">
        <f>IF(ISBLANK('Data Entry'!$¢$862), "", 'Data Entry'!$¢$862)</f>
      </c>
      <c r="CU862">
        <f>IF(ISBLANK('Data Entry'!$£$862), "", 'Data Entry'!$£$862)</f>
      </c>
      <c r="CV862">
        <f>IF(ISBLANK('Data Entry'!$¤$862), "", 'Data Entry'!$¤$862)</f>
      </c>
      <c r="CW862">
        <f>IF(ISBLANK('Data Entry'!$¥$862), "", 'Data Entry'!$¥$862)</f>
      </c>
      <c r="CX862">
        <f>IF(ISBLANK('Data Entry'!$¦$862), "", 'Data Entry'!$¦$862)</f>
      </c>
      <c r="CY862">
        <f>IF(ISBLANK('Data Entry'!$§$862), "", 'Data Entry'!$§$862)</f>
      </c>
      <c r="CZ862">
        <f>IF(ISBLANK('Data Entry'!$¨$862), "", 'Data Entry'!$¨$862)</f>
      </c>
      <c r="DA862">
        <f>IF(ISBLANK('Data Entry'!$©$862), "", 'Data Entry'!$©$862)</f>
      </c>
      <c r="DB862">
        <f>IF(ISBLANK('Data Entry'!$ª$862), "", 'Data Entry'!$ª$862)</f>
      </c>
      <c r="DC862">
        <f>IF(ISBLANK('Data Entry'!$«$862), "", 'Data Entry'!$«$862)</f>
      </c>
      <c r="DD862">
        <f>IF(ISBLANK('Data Entry'!$¬$862), "", 'Data Entry'!$¬$862)</f>
      </c>
      <c r="DE862">
        <f>IF(ISBLANK('Data Entry'!$­$862), "", 'Data Entry'!$­$862)</f>
      </c>
      <c r="DF862">
        <f>IF(ISBLANK('Data Entry'!$®$862), "", 'Data Entry'!$®$862)</f>
      </c>
      <c r="DG862">
        <f>IF(ISBLANK('Data Entry'!$¯$862), "", 'Data Entry'!$¯$862)</f>
      </c>
      <c r="DH862">
        <f>IF(ISBLANK('Data Entry'!$°$862), "", 'Data Entry'!$°$862)</f>
      </c>
      <c r="DI862">
        <f>IF(ISBLANK('Data Entry'!$±$862), "", 'Data Entry'!$±$862)</f>
      </c>
      <c r="DJ862">
        <f>IF(ISBLANK('Data Entry'!$²$862), "", 'Data Entry'!$²$862)</f>
      </c>
      <c r="DK862">
        <f>IF(ISBLANK('Data Entry'!$³$862), "", 'Data Entry'!$³$862)</f>
      </c>
      <c r="DL862">
        <f>IF(ISBLANK('Data Entry'!$´$862), "", 'Data Entry'!$´$862)</f>
      </c>
      <c r="DM862">
        <f>IF(ISBLANK('Data Entry'!$µ$862), "", 'Data Entry'!$µ$862)</f>
      </c>
      <c r="DN862">
        <f>IF(ISBLANK('Data Entry'!$¶$862), "", 'Data Entry'!$¶$862)</f>
      </c>
      <c r="DO862">
        <f>IF(ISBLANK('Data Entry'!$·$862), "", 'Data Entry'!$·$862)</f>
      </c>
      <c r="DP862">
        <f>IF(ISBLANK('Data Entry'!$¸$862), "", 'Data Entry'!$¸$862)</f>
      </c>
      <c r="DQ862">
        <f>IF(ISBLANK('Data Entry'!$¹$862), "", 'Data Entry'!$¹$862)</f>
      </c>
      <c r="DR862">
        <f>IF(ISBLANK('Data Entry'!$º$862), "", 'Data Entry'!$º$862)</f>
      </c>
      <c r="DS862">
        <f>IF(ISBLANK('Data Entry'!$»$862), "", 'Data Entry'!$»$862)</f>
      </c>
      <c r="DT862">
        <f>IF(ISBLANK('Data Entry'!$¼$862), "", 'Data Entry'!$¼$862)</f>
      </c>
      <c r="DU862">
        <f>IF(ISBLANK('Data Entry'!$½$862), "", 'Data Entry'!$½$862)</f>
      </c>
      <c r="DV862">
        <f>IF(ISBLANK('Data Entry'!$¾$862), "", 'Data Entry'!$¾$862)</f>
      </c>
      <c r="DW862">
        <f>IF(ISBLANK('Data Entry'!$¿$862), "", 'Data Entry'!$¿$862)</f>
      </c>
      <c r="DX862">
        <f>IF(ISBLANK('Data Entry'!$À$862), "", 'Data Entry'!$À$862)</f>
      </c>
      <c r="DY862">
        <f>IF(ISBLANK('Data Entry'!$Á$862), "", 'Data Entry'!$Á$862)</f>
      </c>
      <c r="DZ862">
        <f>IF(ISBLANK('Data Entry'!$Â$862), "", 'Data Entry'!$Â$862)</f>
      </c>
      <c r="EA862">
        <f>IF(ISBLANK('Data Entry'!$Ã$862), "", 'Data Entry'!$Ã$862)</f>
      </c>
      <c r="EB862">
        <f>IF(ISBLANK('Data Entry'!$Ä$862), "", 'Data Entry'!$Ä$862)</f>
      </c>
      <c r="EC862">
        <f>IF(ISBLANK('Data Entry'!$Å$862), "", 'Data Entry'!$Å$862)</f>
      </c>
      <c r="ED862">
        <f>IF(ISBLANK('Data Entry'!$Æ$862), "", 'Data Entry'!$Æ$862)</f>
      </c>
      <c r="EE862">
        <f>IF(ISBLANK('Data Entry'!$Ç$862), "", 'Data Entry'!$Ç$862)</f>
      </c>
      <c r="EF862">
        <f>IF(ISBLANK('Data Entry'!$È$862), "", 'Data Entry'!$È$862)</f>
      </c>
      <c r="EG862">
        <f>IF(ISBLANK('Data Entry'!$É$862), "", 'Data Entry'!$É$862)</f>
      </c>
      <c r="EH862">
        <f>IF(ISBLANK('Data Entry'!$Ê$862), "", 'Data Entry'!$Ê$862)</f>
      </c>
      <c r="EI862">
        <f>IF(ISBLANK('Data Entry'!$Ë$862), "", 'Data Entry'!$Ë$862)</f>
      </c>
      <c r="EJ862">
        <f>IF(ISBLANK('Data Entry'!$Ì$862), "", 'Data Entry'!$Ì$862)</f>
      </c>
      <c r="EK862">
        <f>IF(ISBLANK('Data Entry'!$Í$862), "", 'Data Entry'!$Í$862)</f>
      </c>
      <c r="EL862">
        <f>IF(ISBLANK('Data Entry'!$Î$862), "", 'Data Entry'!$Î$862)</f>
      </c>
      <c r="EM862">
        <f>IF(ISBLANK('Data Entry'!$Ï$862), "", 'Data Entry'!$Ï$862)</f>
      </c>
      <c r="EN862">
        <f>IF(ISBLANK('Data Entry'!$Ð$862), "", 'Data Entry'!$Ð$862)</f>
      </c>
      <c r="EO862">
        <f>IF(ISBLANK('Data Entry'!$Ñ$862), "", 'Data Entry'!$Ñ$862)</f>
      </c>
      <c r="EP862">
        <f>IF(ISBLANK('Data Entry'!$Ò$862), "", 'Data Entry'!$Ò$862)</f>
      </c>
      <c r="EQ862">
        <f>IF(ISBLANK('Data Entry'!$Ó$862), "", 'Data Entry'!$Ó$862)</f>
      </c>
      <c r="ER862">
        <f>IF(ISBLANK('Data Entry'!$Ô$862), "", 'Data Entry'!$Ô$862)</f>
      </c>
      <c r="ES862">
        <f>IF(ISBLANK('Data Entry'!$Õ$862), "", 'Data Entry'!$Õ$862)</f>
      </c>
      <c r="ET862">
        <f>IF(ISBLANK('Data Entry'!$Ö$862), "", 'Data Entry'!$Ö$862)</f>
      </c>
      <c r="EU862">
        <f>IF(ISBLANK('Data Entry'!$×$862), "", 'Data Entry'!$×$862)</f>
      </c>
      <c r="EV862">
        <f>IF(ISBLANK('Data Entry'!$Ø$862), "", 'Data Entry'!$Ø$862)</f>
      </c>
      <c r="EW862">
        <f>IF(ISBLANK('Data Entry'!$Ù$862), "", 'Data Entry'!$Ù$862)</f>
      </c>
      <c r="EX862">
        <f>IF(ISBLANK('Data Entry'!$Ú$862), "", 'Data Entry'!$Ú$862)</f>
      </c>
      <c r="EY862">
        <f>IF(ISBLANK('Data Entry'!$Û$862), "", 'Data Entry'!$Û$862)</f>
      </c>
      <c r="EZ862">
        <f>IF(ISBLANK('Data Entry'!$Ü$862), "", 'Data Entry'!$Ü$862)</f>
      </c>
      <c r="FA862">
        <f>IF(ISBLANK('Data Entry'!$Ý$862), "", 'Data Entry'!$Ý$862)</f>
      </c>
      <c r="FB862">
        <f>IF(ISBLANK('Data Entry'!$Þ$862), "", 'Data Entry'!$Þ$862)</f>
      </c>
      <c r="FC862">
        <f>IF(ISBLANK('Data Entry'!$ß$862), "", 'Data Entry'!$ß$862)</f>
      </c>
      <c r="FD862">
        <f>IF(ISBLANK('Data Entry'!$à$862), "", 'Data Entry'!$à$862)</f>
      </c>
      <c r="FE862">
        <f>IF(ISBLANK('Data Entry'!$á$862), "", 'Data Entry'!$á$862)</f>
      </c>
      <c r="FF862">
        <f>IF(ISBLANK('Data Entry'!$â$862), "", 'Data Entry'!$â$862)</f>
      </c>
      <c r="FG862">
        <f>IF(ISBLANK('Data Entry'!$ã$862), "", 'Data Entry'!$ã$862)</f>
      </c>
      <c r="FH862">
        <f>IF(ISBLANK('Data Entry'!$ä$862), "", 'Data Entry'!$ä$862)</f>
      </c>
      <c r="FI862">
        <f>IF(ISBLANK('Data Entry'!$å$862), "", 'Data Entry'!$å$862)</f>
      </c>
      <c r="FJ862">
        <f>IF(ISBLANK('Data Entry'!$æ$862), "", 'Data Entry'!$æ$862)</f>
      </c>
      <c r="FK862">
        <f>IF(ISBLANK('Data Entry'!$ç$862), "", 'Data Entry'!$ç$862)</f>
      </c>
      <c r="FL862">
        <f>IF(ISBLANK('Data Entry'!$è$862), "", 'Data Entry'!$è$862)</f>
      </c>
      <c r="FM862">
        <f>IF(ISBLANK('Data Entry'!$é$862), "", 'Data Entry'!$é$862)</f>
      </c>
      <c r="FN862">
        <f>IF(ISBLANK('Data Entry'!$ê$862), "", 'Data Entry'!$ê$862)</f>
      </c>
      <c r="FO862">
        <f>IF(ISBLANK('Data Entry'!$ë$862), "", 'Data Entry'!$ë$862)</f>
      </c>
      <c r="FP862">
        <f>IF(ISBLANK('Data Entry'!$ì$862), "", 'Data Entry'!$ì$862)</f>
      </c>
      <c r="FQ862">
        <f>IF(ISBLANK('Data Entry'!$í$862), "", 'Data Entry'!$í$862)</f>
      </c>
      <c r="FR862">
        <f>IF(ISBLANK('Data Entry'!$î$862), "", 'Data Entry'!$î$862)</f>
      </c>
      <c r="FS862">
        <f>IF(ISBLANK('Data Entry'!$ï$862), "", 'Data Entry'!$ï$862)</f>
      </c>
      <c r="FT862">
        <f>IF(ISBLANK('Data Entry'!$ð$862), "", 'Data Entry'!$ð$862)</f>
      </c>
      <c r="FU862">
        <f>IF(ISBLANK('Data Entry'!$ñ$862), "", 'Data Entry'!$ñ$862)</f>
      </c>
      <c r="FV862">
        <f>IF(ISBLANK('Data Entry'!$ò$862), "", 'Data Entry'!$ò$862)</f>
      </c>
      <c r="FW862">
        <f>IF(ISBLANK('Data Entry'!$ó$862), "", 'Data Entry'!$ó$862)</f>
      </c>
      <c r="FX862">
        <f>IF(ISBLANK('Data Entry'!$ô$862), "", 'Data Entry'!$ô$862)</f>
      </c>
      <c r="FY862">
        <f>IF(ISBLANK('Data Entry'!$õ$862), "", 'Data Entry'!$õ$862)</f>
      </c>
      <c r="FZ862">
        <f>IF(ISBLANK('Data Entry'!$ö$862), "", 'Data Entry'!$ö$862)</f>
      </c>
      <c r="GA862">
        <f>IF(ISBLANK('Data Entry'!$÷$862), "", 'Data Entry'!$÷$862)</f>
      </c>
      <c r="GB862">
        <f>IF(ISBLANK('Data Entry'!$ø$862), "", 'Data Entry'!$ø$862)</f>
      </c>
      <c r="GC862">
        <f>IF(ISBLANK('Data Entry'!$ù$862), "", 'Data Entry'!$ù$862)</f>
      </c>
      <c r="GD862">
        <f>IF(ISBLANK('Data Entry'!$ú$862), "", 'Data Entry'!$ú$862)</f>
      </c>
      <c r="GE862">
        <f>IF(ISBLANK('Data Entry'!$û$862), "", 'Data Entry'!$û$862)</f>
      </c>
      <c r="GF862">
        <f>IF(ISBLANK('Data Entry'!$ü$862), "", 'Data Entry'!$ü$862)</f>
      </c>
      <c r="GG862">
        <f>IF(ISBLANK('Data Entry'!$ý$862), "", 'Data Entry'!$ý$862)</f>
      </c>
      <c r="GH862">
        <f>IF(ISBLANK('Data Entry'!$þ$862), "", 'Data Entry'!$þ$862)</f>
      </c>
      <c r="GI862">
        <f>IF(ISBLANK('Data Entry'!$ÿ$862), "", 'Data Entry'!$ÿ$862)</f>
      </c>
      <c r="GJ862">
        <f>IF(ISBLANK('Data Entry'!$Ā$862), "", 'Data Entry'!$Ā$862)</f>
      </c>
      <c r="GK862">
        <f>IF(ISBLANK('Data Entry'!$ā$862), "", 'Data Entry'!$ā$862)</f>
      </c>
      <c r="GL862">
        <f>IF(ISBLANK('Data Entry'!$Ă$862), "", 'Data Entry'!$Ă$862)</f>
      </c>
      <c r="GM862">
        <f>IF(ISBLANK('Data Entry'!$ă$862), "", 'Data Entry'!$ă$862)</f>
      </c>
      <c r="GN862">
        <f>IF(ISBLANK('Data Entry'!$Ą$862), "", 'Data Entry'!$Ą$862)</f>
      </c>
      <c r="GO862">
        <f>IF(ISBLANK('Data Entry'!$ą$862), "", 'Data Entry'!$ą$862)</f>
      </c>
      <c r="GP862">
        <f>IF(ISBLANK('Data Entry'!$Ć$862), "", 'Data Entry'!$Ć$862)</f>
      </c>
      <c r="GQ862">
        <f>IF(ISBLANK('Data Entry'!$ć$862), "", 'Data Entry'!$ć$862)</f>
      </c>
      <c r="GR862">
        <f>IF(ISBLANK('Data Entry'!$Ĉ$862), "", 'Data Entry'!$Ĉ$862)</f>
      </c>
      <c r="GS862">
        <f>IF(ISBLANK('Data Entry'!$ĉ$862), "", 'Data Entry'!$ĉ$862)</f>
      </c>
      <c r="GT862">
        <f>IF(ISBLANK('Data Entry'!$Ċ$862), "", 'Data Entry'!$Ċ$862)</f>
      </c>
      <c r="GU862">
        <f>IF(ISBLANK('Data Entry'!$ċ$862), "", 'Data Entry'!$ċ$862)</f>
      </c>
      <c r="GV862">
        <f>IF(ISBLANK('Data Entry'!$Č$862), "", 'Data Entry'!$Č$862)</f>
      </c>
      <c r="GW862">
        <f>IF(ISBLANK('Data Entry'!$č$862), "", 'Data Entry'!$č$862)</f>
      </c>
      <c r="GX862">
        <f>IF(ISBLANK('Data Entry'!$Ď$862), "", 'Data Entry'!$Ď$862)</f>
      </c>
      <c r="GY862">
        <f>IF(ISBLANK('Data Entry'!$ď$862), "", 'Data Entry'!$ď$862)</f>
      </c>
      <c r="GZ862">
        <f>IF(ISBLANK('Data Entry'!$Đ$862), "", 'Data Entry'!$Đ$862)</f>
      </c>
      <c r="HA862">
        <f>IF(ISBLANK('Data Entry'!$đ$862), "", 'Data Entry'!$đ$862)</f>
      </c>
      <c r="HB862">
        <f>IF(ISBLANK('Data Entry'!$Ē$862), "", 'Data Entry'!$Ē$862)</f>
      </c>
      <c r="HC862">
        <f>IF(ISBLANK('Data Entry'!$ē$862), "", 'Data Entry'!$ē$862)</f>
      </c>
      <c r="HD862">
        <f>IF(ISBLANK('Data Entry'!$Ĕ$862), "", 'Data Entry'!$Ĕ$862)</f>
      </c>
      <c r="HE862">
        <f>IF(ISBLANK('Data Entry'!$ĕ$862), "", 'Data Entry'!$ĕ$862)</f>
      </c>
      <c r="HF862">
        <f>IF(ISBLANK('Data Entry'!$Ė$862), "", 'Data Entry'!$Ė$862)</f>
      </c>
      <c r="HG862">
        <f>IF(ISBLANK('Data Entry'!$ė$862), "", 'Data Entry'!$ė$862)</f>
      </c>
      <c r="HH862">
        <f>IF(ISBLANK('Data Entry'!$Ę$862), "", 'Data Entry'!$Ę$862)</f>
      </c>
      <c r="HI862">
        <f>IF(ISBLANK('Data Entry'!$ę$862), "", 'Data Entry'!$ę$862)</f>
      </c>
      <c r="HJ862">
        <f>IF(ISBLANK('Data Entry'!$Ě$862), "", 'Data Entry'!$Ě$862)</f>
      </c>
      <c r="HK862">
        <f>IF(ISBLANK('Data Entry'!$ě$862), "", 'Data Entry'!$ě$862)</f>
      </c>
      <c r="HL862">
        <f>IF(ISBLANK('Data Entry'!$Ĝ$862), "", 'Data Entry'!$Ĝ$862)</f>
      </c>
      <c r="HM862">
        <f>IF(ISBLANK('Data Entry'!$ĝ$862), "", 'Data Entry'!$ĝ$862)</f>
      </c>
      <c r="HN862">
        <f>IF(ISBLANK('Data Entry'!$Ğ$862), "", 'Data Entry'!$Ğ$862)</f>
      </c>
      <c r="HO862">
        <f>IF(ISBLANK('Data Entry'!$ğ$862), "", 'Data Entry'!$ğ$862)</f>
      </c>
      <c r="HP862">
        <f>IF(ISBLANK('Data Entry'!$Ġ$862), "", 'Data Entry'!$Ġ$862)</f>
      </c>
      <c r="HQ862">
        <f>IF(ISBLANK('Data Entry'!$ġ$862), "", 'Data Entry'!$ġ$862)</f>
      </c>
      <c r="HR862">
        <f>IF(ISBLANK('Data Entry'!$Ģ$862), "", 'Data Entry'!$Ģ$862)</f>
      </c>
      <c r="HS862">
        <f>IF(ISBLANK('Data Entry'!$ģ$862), "", 'Data Entry'!$ģ$862)</f>
      </c>
      <c r="HT862">
        <f>IF(ISBLANK('Data Entry'!$Ĥ$862), "", 'Data Entry'!$Ĥ$862)</f>
      </c>
      <c r="HU862">
        <f>IF(ISBLANK('Data Entry'!$ĥ$862), "", 'Data Entry'!$ĥ$862)</f>
      </c>
      <c r="HV862">
        <f>IF(ISBLANK('Data Entry'!$Ħ$862), "", 'Data Entry'!$Ħ$862)</f>
      </c>
      <c r="HW862">
        <f>IF(ISBLANK('Data Entry'!$ħ$862), "", 'Data Entry'!$ħ$862)</f>
      </c>
      <c r="HX862">
        <f>IF(ISBLANK('Data Entry'!$Ĩ$862), "", 'Data Entry'!$Ĩ$862)</f>
      </c>
      <c r="HY862">
        <f>IF(ISBLANK('Data Entry'!$ĩ$862), "", 'Data Entry'!$ĩ$862)</f>
      </c>
      <c r="HZ862">
        <f>IF(ISBLANK('Data Entry'!$Ī$862), "", 'Data Entry'!$Ī$862)</f>
      </c>
      <c r="IA862">
        <f>IF(ISBLANK('Data Entry'!$ī$862), "", 'Data Entry'!$ī$862)</f>
      </c>
      <c r="IB862">
        <f>IF(ISBLANK('Data Entry'!$Ĭ$862), "", 'Data Entry'!$Ĭ$862)</f>
      </c>
      <c r="IC862">
        <f>IF(ISBLANK('Data Entry'!$ĭ$862), "", 'Data Entry'!$ĭ$862)</f>
      </c>
      <c r="ID862">
        <f>IF(ISBLANK('Data Entry'!$Į$862), "", 'Data Entry'!$Į$862)</f>
      </c>
      <c r="IE862">
        <f>IF(ISBLANK('Data Entry'!$į$862), "", 'Data Entry'!$į$862)</f>
      </c>
      <c r="IF862">
        <f>IF(ISBLANK('Data Entry'!$İ$862), "", 'Data Entry'!$İ$862)</f>
      </c>
      <c r="IG862">
        <f>IF(ISBLANK('Data Entry'!$ı$862), "", 'Data Entry'!$ı$862)</f>
      </c>
      <c r="IH862">
        <f>IF(ISBLANK('Data Entry'!$Ĳ$862), "", 'Data Entry'!$Ĳ$862)</f>
      </c>
      <c r="II862">
        <f>IF(ISBLANK('Data Entry'!$ĳ$862), "", 'Data Entry'!$ĳ$862)</f>
      </c>
      <c r="IJ862">
        <f>IF(ISBLANK('Data Entry'!$Ĵ$862), "", 'Data Entry'!$Ĵ$862)</f>
      </c>
      <c r="IK862">
        <f>IF(ISBLANK('Data Entry'!$ĵ$862), "", 'Data Entry'!$ĵ$862)</f>
      </c>
      <c r="IL862">
        <f>IF(ISBLANK('Data Entry'!$Ķ$862), "", 'Data Entry'!$Ķ$862)</f>
      </c>
      <c r="IM862">
        <f>IF(ISBLANK('Data Entry'!$ķ$862), "", 'Data Entry'!$ķ$862)</f>
      </c>
      <c r="IN862">
        <f>IF(ISBLANK('Data Entry'!$ĸ$862), "", 'Data Entry'!$ĸ$862)</f>
      </c>
      <c r="IO862">
        <f>IF(ISBLANK('Data Entry'!$Ĺ$862), "", 'Data Entry'!$Ĺ$862)</f>
      </c>
      <c r="IP862">
        <f>IF(ISBLANK('Data Entry'!$ĺ$862), "", 'Data Entry'!$ĺ$862)</f>
      </c>
      <c r="IQ862">
        <f>IF(ISBLANK('Data Entry'!$Ļ$862), "", 'Data Entry'!$Ļ$862)</f>
      </c>
      <c r="IR862">
        <f>IF(ISBLANK('Data Entry'!$ļ$862), "", 'Data Entry'!$ļ$862)</f>
      </c>
      <c r="IS862">
        <f>IF(ISBLANK('Data Entry'!$Ľ$862), "", 'Data Entry'!$Ľ$862)</f>
      </c>
      <c r="IT862">
        <f>IF(ISBLANK('Data Entry'!$ľ$862), "", 'Data Entry'!$ľ$862)</f>
      </c>
    </row>
    <row r="863" spans="1:254" x14ac:dyDescent="0.25">
      <c r="A863">
        <f>IF(ISBLANK('Data Entry'!$A$863), "", 'Data Entry'!$A$863)</f>
      </c>
      <c r="B863">
        <f>IF(ISBLANK('Data Entry'!$B$863), "", 'Data Entry'!$B$863)</f>
      </c>
      <c r="C863">
        <f>IF(ISBLANK('Data Entry'!$C$863), "", 'Data Entry'!$C$863)</f>
      </c>
      <c r="D863">
        <f>IF(ISBLANK('Data Entry'!$D$863), "", 'Data Entry'!$D$863)</f>
      </c>
      <c r="E863">
        <f>IF(ISBLANK('Data Entry'!$E$863), "", 'Data Entry'!$E$863)</f>
      </c>
      <c r="F863">
        <f>IF(ISBLANK('Data Entry'!$F$863), "", 'Data Entry'!$F$863)</f>
      </c>
      <c r="G863">
        <f>IF(ISBLANK('Data Entry'!$G$863), "", 'Data Entry'!$G$863)</f>
      </c>
      <c r="H863">
        <f>IF(ISBLANK('Data Entry'!$H$863), "", 'Data Entry'!$H$863)</f>
      </c>
      <c r="I863">
        <f>IF(ISBLANK('Data Entry'!$I$863), "", 'Data Entry'!$I$863)</f>
      </c>
      <c r="J863">
        <f>IF(ISBLANK('Data Entry'!$J$863), "", 'Data Entry'!$J$863)</f>
      </c>
      <c r="K863">
        <f>IF(ISBLANK('Data Entry'!$K$863), "", 'Data Entry'!$K$863)</f>
      </c>
      <c r="L863">
        <f>IF(ISBLANK('Data Entry'!$L$863), "", 'Data Entry'!$L$863)</f>
      </c>
      <c r="M863">
        <f>IF(ISBLANK('Data Entry'!$M$863), "", 'Data Entry'!$M$863)</f>
      </c>
      <c r="N863">
        <f>IF(ISBLANK('Data Entry'!$N$863), "", 'Data Entry'!$N$863)</f>
      </c>
      <c r="O863">
        <f>IF(ISBLANK('Data Entry'!$O$863), "", 'Data Entry'!$O$863)</f>
      </c>
      <c r="P863">
        <f>IF(ISBLANK('Data Entry'!$P$863), "", 'Data Entry'!$P$863)</f>
      </c>
      <c r="Q863">
        <f>IF(ISBLANK('Data Entry'!$Q$863), "", 'Data Entry'!$Q$863)</f>
      </c>
      <c r="R863">
        <f>IF(ISBLANK('Data Entry'!$R$863), "", 'Data Entry'!$R$863)</f>
      </c>
      <c r="S863">
        <f>IF(ISBLANK('Data Entry'!$S$863), "", 'Data Entry'!$S$863)</f>
      </c>
      <c r="T863">
        <f>IF(ISBLANK('Data Entry'!$T$863), "", 'Data Entry'!$T$863)</f>
      </c>
      <c r="U863">
        <f>IF(ISBLANK('Data Entry'!$U$863), "", 'Data Entry'!$U$863)</f>
      </c>
      <c r="V863">
        <f>IF(ISBLANK('Data Entry'!$V$863), "", 'Data Entry'!$V$863)</f>
      </c>
      <c r="W863">
        <f>IF(ISBLANK('Data Entry'!$W$863), "", 'Data Entry'!$W$863)</f>
      </c>
      <c r="X863">
        <f>IF(ISBLANK('Data Entry'!$X$863), "", 'Data Entry'!$X$863)</f>
      </c>
      <c r="Y863">
        <f>IF(ISBLANK('Data Entry'!$Y$863), "", 'Data Entry'!$Y$863)</f>
      </c>
      <c r="Z863">
        <f>IF(ISBLANK('Data Entry'!$Z$863), "", 'Data Entry'!$Z$863)</f>
      </c>
      <c r="AA863">
        <f>IF(ISBLANK('Data Entry'!$[$863), "", 'Data Entry'!$[$863)</f>
      </c>
      <c r="AB863">
        <f>IF(ISBLANK('Data Entry'!$\$863), "", 'Data Entry'!$\$863)</f>
      </c>
      <c r="AC863">
        <f>IF(ISBLANK('Data Entry'!$]$863), "", 'Data Entry'!$]$863)</f>
      </c>
      <c r="AD863">
        <f>IF(ISBLANK('Data Entry'!$^$863), "", 'Data Entry'!$^$863)</f>
      </c>
      <c r="AE863">
        <f>IF(ISBLANK('Data Entry'!$_$863), "", 'Data Entry'!$_$863)</f>
      </c>
      <c r="AF863">
        <f>IF(ISBLANK('Data Entry'!$`$863), "", 'Data Entry'!$`$863)</f>
      </c>
      <c r="AG863">
        <f>IF(ISBLANK('Data Entry'!$a$863), "", 'Data Entry'!$a$863)</f>
      </c>
      <c r="AH863">
        <f>IF(ISBLANK('Data Entry'!$b$863), "", 'Data Entry'!$b$863)</f>
      </c>
      <c r="AI863">
        <f>IF(ISBLANK('Data Entry'!$c$863), "", 'Data Entry'!$c$863)</f>
      </c>
      <c r="AJ863">
        <f>IF(ISBLANK('Data Entry'!$d$863), "", 'Data Entry'!$d$863)</f>
      </c>
      <c r="AK863">
        <f>IF(ISBLANK('Data Entry'!$e$863), "", 'Data Entry'!$e$863)</f>
      </c>
      <c r="AL863">
        <f>IF(ISBLANK('Data Entry'!$f$863), "", 'Data Entry'!$f$863)</f>
      </c>
      <c r="AM863">
        <f>IF(ISBLANK('Data Entry'!$g$863), "", 'Data Entry'!$g$863)</f>
      </c>
      <c r="AN863">
        <f>IF(ISBLANK('Data Entry'!$h$863), "", 'Data Entry'!$h$863)</f>
      </c>
      <c r="AO863">
        <f>IF(ISBLANK('Data Entry'!$i$863), "", 'Data Entry'!$i$863)</f>
      </c>
      <c r="AP863">
        <f>IF(ISBLANK('Data Entry'!$j$863), "", 'Data Entry'!$j$863)</f>
      </c>
      <c r="AQ863">
        <f>IF(ISBLANK('Data Entry'!$k$863), "", 'Data Entry'!$k$863)</f>
      </c>
      <c r="AR863">
        <f>IF(ISBLANK('Data Entry'!$l$863), "", 'Data Entry'!$l$863)</f>
      </c>
      <c r="AS863">
        <f>IF(ISBLANK('Data Entry'!$m$863), "", 'Data Entry'!$m$863)</f>
      </c>
      <c r="AT863">
        <f>IF(ISBLANK('Data Entry'!$n$863), "", 'Data Entry'!$n$863)</f>
      </c>
      <c r="AU863">
        <f>IF(ISBLANK('Data Entry'!$o$863), "", 'Data Entry'!$o$863)</f>
      </c>
      <c r="AV863">
        <f>IF(ISBLANK('Data Entry'!$p$863), "", 'Data Entry'!$p$863)</f>
      </c>
      <c r="AW863">
        <f>IF(ISBLANK('Data Entry'!$q$863), "", 'Data Entry'!$q$863)</f>
      </c>
      <c r="AX863">
        <f>IF(ISBLANK('Data Entry'!$r$863), "", 'Data Entry'!$r$863)</f>
      </c>
      <c r="AY863">
        <f>IF(ISBLANK('Data Entry'!$s$863), "", 'Data Entry'!$s$863)</f>
      </c>
      <c r="AZ863">
        <f>IF(ISBLANK('Data Entry'!$t$863), "", 'Data Entry'!$t$863)</f>
      </c>
      <c r="BA863">
        <f>IF(ISBLANK('Data Entry'!$u$863), "", 'Data Entry'!$u$863)</f>
      </c>
      <c r="BB863">
        <f>IF(ISBLANK('Data Entry'!$v$863), "", 'Data Entry'!$v$863)</f>
      </c>
      <c r="BC863">
        <f>IF(ISBLANK('Data Entry'!$w$863), "", 'Data Entry'!$w$863)</f>
      </c>
      <c r="BD863">
        <f>IF(ISBLANK('Data Entry'!$x$863), "", 'Data Entry'!$x$863)</f>
      </c>
      <c r="BE863">
        <f>IF(ISBLANK('Data Entry'!$y$863), "", 'Data Entry'!$y$863)</f>
      </c>
      <c r="BF863">
        <f>IF(ISBLANK('Data Entry'!$z$863), "", 'Data Entry'!$z$863)</f>
      </c>
      <c r="BG863">
        <f>IF(ISBLANK('Data Entry'!${$863), "", 'Data Entry'!${$863)</f>
      </c>
      <c r="BH863">
        <f>IF(ISBLANK('Data Entry'!$|$863), "", 'Data Entry'!$|$863)</f>
      </c>
      <c r="BI863">
        <f>IF(ISBLANK('Data Entry'!$}$863), "", 'Data Entry'!$}$863)</f>
      </c>
      <c r="BJ863">
        <f>IF(ISBLANK('Data Entry'!$~$863), "", 'Data Entry'!$~$863)</f>
      </c>
      <c r="BK863">
        <f>IF(ISBLANK('Data Entry'!$$863), "", 'Data Entry'!$$863)</f>
      </c>
      <c r="BL863">
        <f>IF(ISBLANK('Data Entry'!$$863), "", 'Data Entry'!$$863)</f>
      </c>
      <c r="BM863">
        <f>IF(ISBLANK('Data Entry'!$$863), "", 'Data Entry'!$$863)</f>
      </c>
      <c r="BN863">
        <f>IF(ISBLANK('Data Entry'!$$863), "", 'Data Entry'!$$863)</f>
      </c>
      <c r="BO863">
        <f>IF(ISBLANK('Data Entry'!$$863), "", 'Data Entry'!$$863)</f>
      </c>
      <c r="BP863">
        <f>IF(ISBLANK('Data Entry'!$$863), "", 'Data Entry'!$$863)</f>
      </c>
      <c r="BQ863">
        <f>IF(ISBLANK('Data Entry'!$$863), "", 'Data Entry'!$$863)</f>
      </c>
      <c r="BR863">
        <f>IF(ISBLANK('Data Entry'!$$863), "", 'Data Entry'!$$863)</f>
      </c>
      <c r="BS863">
        <f>IF(ISBLANK('Data Entry'!$$863), "", 'Data Entry'!$$863)</f>
      </c>
      <c r="BT863">
        <f>IF(ISBLANK('Data Entry'!$$863), "", 'Data Entry'!$$863)</f>
      </c>
      <c r="BU863">
        <f>IF(ISBLANK('Data Entry'!$$863), "", 'Data Entry'!$$863)</f>
      </c>
      <c r="BV863">
        <f>IF(ISBLANK('Data Entry'!$$863), "", 'Data Entry'!$$863)</f>
      </c>
      <c r="BW863">
        <f>IF(ISBLANK('Data Entry'!$$863), "", 'Data Entry'!$$863)</f>
      </c>
      <c r="BX863">
        <f>IF(ISBLANK('Data Entry'!$$863), "", 'Data Entry'!$$863)</f>
      </c>
      <c r="BY863">
        <f>IF(ISBLANK('Data Entry'!$$863), "", 'Data Entry'!$$863)</f>
      </c>
      <c r="BZ863">
        <f>IF(ISBLANK('Data Entry'!$$863), "", 'Data Entry'!$$863)</f>
      </c>
      <c r="CA863">
        <f>IF(ISBLANK('Data Entry'!$$863), "", 'Data Entry'!$$863)</f>
      </c>
      <c r="CB863">
        <f>IF(ISBLANK('Data Entry'!$$863), "", 'Data Entry'!$$863)</f>
      </c>
      <c r="CC863">
        <f>IF(ISBLANK('Data Entry'!$$863), "", 'Data Entry'!$$863)</f>
      </c>
      <c r="CD863">
        <f>IF(ISBLANK('Data Entry'!$$863), "", 'Data Entry'!$$863)</f>
      </c>
      <c r="CE863">
        <f>IF(ISBLANK('Data Entry'!$$863), "", 'Data Entry'!$$863)</f>
      </c>
      <c r="CF863">
        <f>IF(ISBLANK('Data Entry'!$$863), "", 'Data Entry'!$$863)</f>
      </c>
      <c r="CG863">
        <f>IF(ISBLANK('Data Entry'!$$863), "", 'Data Entry'!$$863)</f>
      </c>
      <c r="CH863">
        <f>IF(ISBLANK('Data Entry'!$$863), "", 'Data Entry'!$$863)</f>
      </c>
      <c r="CI863">
        <f>IF(ISBLANK('Data Entry'!$$863), "", 'Data Entry'!$$863)</f>
      </c>
      <c r="CJ863">
        <f>IF(ISBLANK('Data Entry'!$$863), "", 'Data Entry'!$$863)</f>
      </c>
      <c r="CK863">
        <f>IF(ISBLANK('Data Entry'!$$863), "", 'Data Entry'!$$863)</f>
      </c>
      <c r="CL863">
        <f>IF(ISBLANK('Data Entry'!$$863), "", 'Data Entry'!$$863)</f>
      </c>
      <c r="CM863">
        <f>IF(ISBLANK('Data Entry'!$$863), "", 'Data Entry'!$$863)</f>
      </c>
      <c r="CN863">
        <f>IF(ISBLANK('Data Entry'!$$863), "", 'Data Entry'!$$863)</f>
      </c>
      <c r="CO863">
        <f>IF(ISBLANK('Data Entry'!$$863), "", 'Data Entry'!$$863)</f>
      </c>
      <c r="CP863">
        <f>IF(ISBLANK('Data Entry'!$$863), "", 'Data Entry'!$$863)</f>
      </c>
      <c r="CQ863">
        <f>IF(ISBLANK('Data Entry'!$$863), "", 'Data Entry'!$$863)</f>
      </c>
      <c r="CR863">
        <f>IF(ISBLANK('Data Entry'!$ $863), "", 'Data Entry'!$ $863)</f>
      </c>
      <c r="CS863">
        <f>IF(ISBLANK('Data Entry'!$¡$863), "", 'Data Entry'!$¡$863)</f>
      </c>
      <c r="CT863">
        <f>IF(ISBLANK('Data Entry'!$¢$863), "", 'Data Entry'!$¢$863)</f>
      </c>
      <c r="CU863">
        <f>IF(ISBLANK('Data Entry'!$£$863), "", 'Data Entry'!$£$863)</f>
      </c>
      <c r="CV863">
        <f>IF(ISBLANK('Data Entry'!$¤$863), "", 'Data Entry'!$¤$863)</f>
      </c>
      <c r="CW863">
        <f>IF(ISBLANK('Data Entry'!$¥$863), "", 'Data Entry'!$¥$863)</f>
      </c>
      <c r="CX863">
        <f>IF(ISBLANK('Data Entry'!$¦$863), "", 'Data Entry'!$¦$863)</f>
      </c>
      <c r="CY863">
        <f>IF(ISBLANK('Data Entry'!$§$863), "", 'Data Entry'!$§$863)</f>
      </c>
      <c r="CZ863">
        <f>IF(ISBLANK('Data Entry'!$¨$863), "", 'Data Entry'!$¨$863)</f>
      </c>
      <c r="DA863">
        <f>IF(ISBLANK('Data Entry'!$©$863), "", 'Data Entry'!$©$863)</f>
      </c>
      <c r="DB863">
        <f>IF(ISBLANK('Data Entry'!$ª$863), "", 'Data Entry'!$ª$863)</f>
      </c>
      <c r="DC863">
        <f>IF(ISBLANK('Data Entry'!$«$863), "", 'Data Entry'!$«$863)</f>
      </c>
      <c r="DD863">
        <f>IF(ISBLANK('Data Entry'!$¬$863), "", 'Data Entry'!$¬$863)</f>
      </c>
      <c r="DE863">
        <f>IF(ISBLANK('Data Entry'!$­$863), "", 'Data Entry'!$­$863)</f>
      </c>
      <c r="DF863">
        <f>IF(ISBLANK('Data Entry'!$®$863), "", 'Data Entry'!$®$863)</f>
      </c>
      <c r="DG863">
        <f>IF(ISBLANK('Data Entry'!$¯$863), "", 'Data Entry'!$¯$863)</f>
      </c>
      <c r="DH863">
        <f>IF(ISBLANK('Data Entry'!$°$863), "", 'Data Entry'!$°$863)</f>
      </c>
      <c r="DI863">
        <f>IF(ISBLANK('Data Entry'!$±$863), "", 'Data Entry'!$±$863)</f>
      </c>
      <c r="DJ863">
        <f>IF(ISBLANK('Data Entry'!$²$863), "", 'Data Entry'!$²$863)</f>
      </c>
      <c r="DK863">
        <f>IF(ISBLANK('Data Entry'!$³$863), "", 'Data Entry'!$³$863)</f>
      </c>
      <c r="DL863">
        <f>IF(ISBLANK('Data Entry'!$´$863), "", 'Data Entry'!$´$863)</f>
      </c>
      <c r="DM863">
        <f>IF(ISBLANK('Data Entry'!$µ$863), "", 'Data Entry'!$µ$863)</f>
      </c>
      <c r="DN863">
        <f>IF(ISBLANK('Data Entry'!$¶$863), "", 'Data Entry'!$¶$863)</f>
      </c>
      <c r="DO863">
        <f>IF(ISBLANK('Data Entry'!$·$863), "", 'Data Entry'!$·$863)</f>
      </c>
      <c r="DP863">
        <f>IF(ISBLANK('Data Entry'!$¸$863), "", 'Data Entry'!$¸$863)</f>
      </c>
      <c r="DQ863">
        <f>IF(ISBLANK('Data Entry'!$¹$863), "", 'Data Entry'!$¹$863)</f>
      </c>
      <c r="DR863">
        <f>IF(ISBLANK('Data Entry'!$º$863), "", 'Data Entry'!$º$863)</f>
      </c>
      <c r="DS863">
        <f>IF(ISBLANK('Data Entry'!$»$863), "", 'Data Entry'!$»$863)</f>
      </c>
      <c r="DT863">
        <f>IF(ISBLANK('Data Entry'!$¼$863), "", 'Data Entry'!$¼$863)</f>
      </c>
      <c r="DU863">
        <f>IF(ISBLANK('Data Entry'!$½$863), "", 'Data Entry'!$½$863)</f>
      </c>
      <c r="DV863">
        <f>IF(ISBLANK('Data Entry'!$¾$863), "", 'Data Entry'!$¾$863)</f>
      </c>
      <c r="DW863">
        <f>IF(ISBLANK('Data Entry'!$¿$863), "", 'Data Entry'!$¿$863)</f>
      </c>
      <c r="DX863">
        <f>IF(ISBLANK('Data Entry'!$À$863), "", 'Data Entry'!$À$863)</f>
      </c>
      <c r="DY863">
        <f>IF(ISBLANK('Data Entry'!$Á$863), "", 'Data Entry'!$Á$863)</f>
      </c>
      <c r="DZ863">
        <f>IF(ISBLANK('Data Entry'!$Â$863), "", 'Data Entry'!$Â$863)</f>
      </c>
      <c r="EA863">
        <f>IF(ISBLANK('Data Entry'!$Ã$863), "", 'Data Entry'!$Ã$863)</f>
      </c>
      <c r="EB863">
        <f>IF(ISBLANK('Data Entry'!$Ä$863), "", 'Data Entry'!$Ä$863)</f>
      </c>
      <c r="EC863">
        <f>IF(ISBLANK('Data Entry'!$Å$863), "", 'Data Entry'!$Å$863)</f>
      </c>
      <c r="ED863">
        <f>IF(ISBLANK('Data Entry'!$Æ$863), "", 'Data Entry'!$Æ$863)</f>
      </c>
      <c r="EE863">
        <f>IF(ISBLANK('Data Entry'!$Ç$863), "", 'Data Entry'!$Ç$863)</f>
      </c>
      <c r="EF863">
        <f>IF(ISBLANK('Data Entry'!$È$863), "", 'Data Entry'!$È$863)</f>
      </c>
      <c r="EG863">
        <f>IF(ISBLANK('Data Entry'!$É$863), "", 'Data Entry'!$É$863)</f>
      </c>
      <c r="EH863">
        <f>IF(ISBLANK('Data Entry'!$Ê$863), "", 'Data Entry'!$Ê$863)</f>
      </c>
      <c r="EI863">
        <f>IF(ISBLANK('Data Entry'!$Ë$863), "", 'Data Entry'!$Ë$863)</f>
      </c>
      <c r="EJ863">
        <f>IF(ISBLANK('Data Entry'!$Ì$863), "", 'Data Entry'!$Ì$863)</f>
      </c>
      <c r="EK863">
        <f>IF(ISBLANK('Data Entry'!$Í$863), "", 'Data Entry'!$Í$863)</f>
      </c>
      <c r="EL863">
        <f>IF(ISBLANK('Data Entry'!$Î$863), "", 'Data Entry'!$Î$863)</f>
      </c>
      <c r="EM863">
        <f>IF(ISBLANK('Data Entry'!$Ï$863), "", 'Data Entry'!$Ï$863)</f>
      </c>
      <c r="EN863">
        <f>IF(ISBLANK('Data Entry'!$Ð$863), "", 'Data Entry'!$Ð$863)</f>
      </c>
      <c r="EO863">
        <f>IF(ISBLANK('Data Entry'!$Ñ$863), "", 'Data Entry'!$Ñ$863)</f>
      </c>
      <c r="EP863">
        <f>IF(ISBLANK('Data Entry'!$Ò$863), "", 'Data Entry'!$Ò$863)</f>
      </c>
      <c r="EQ863">
        <f>IF(ISBLANK('Data Entry'!$Ó$863), "", 'Data Entry'!$Ó$863)</f>
      </c>
      <c r="ER863">
        <f>IF(ISBLANK('Data Entry'!$Ô$863), "", 'Data Entry'!$Ô$863)</f>
      </c>
      <c r="ES863">
        <f>IF(ISBLANK('Data Entry'!$Õ$863), "", 'Data Entry'!$Õ$863)</f>
      </c>
      <c r="ET863">
        <f>IF(ISBLANK('Data Entry'!$Ö$863), "", 'Data Entry'!$Ö$863)</f>
      </c>
      <c r="EU863">
        <f>IF(ISBLANK('Data Entry'!$×$863), "", 'Data Entry'!$×$863)</f>
      </c>
      <c r="EV863">
        <f>IF(ISBLANK('Data Entry'!$Ø$863), "", 'Data Entry'!$Ø$863)</f>
      </c>
      <c r="EW863">
        <f>IF(ISBLANK('Data Entry'!$Ù$863), "", 'Data Entry'!$Ù$863)</f>
      </c>
      <c r="EX863">
        <f>IF(ISBLANK('Data Entry'!$Ú$863), "", 'Data Entry'!$Ú$863)</f>
      </c>
      <c r="EY863">
        <f>IF(ISBLANK('Data Entry'!$Û$863), "", 'Data Entry'!$Û$863)</f>
      </c>
      <c r="EZ863">
        <f>IF(ISBLANK('Data Entry'!$Ü$863), "", 'Data Entry'!$Ü$863)</f>
      </c>
      <c r="FA863">
        <f>IF(ISBLANK('Data Entry'!$Ý$863), "", 'Data Entry'!$Ý$863)</f>
      </c>
      <c r="FB863">
        <f>IF(ISBLANK('Data Entry'!$Þ$863), "", 'Data Entry'!$Þ$863)</f>
      </c>
      <c r="FC863">
        <f>IF(ISBLANK('Data Entry'!$ß$863), "", 'Data Entry'!$ß$863)</f>
      </c>
      <c r="FD863">
        <f>IF(ISBLANK('Data Entry'!$à$863), "", 'Data Entry'!$à$863)</f>
      </c>
      <c r="FE863">
        <f>IF(ISBLANK('Data Entry'!$á$863), "", 'Data Entry'!$á$863)</f>
      </c>
      <c r="FF863">
        <f>IF(ISBLANK('Data Entry'!$â$863), "", 'Data Entry'!$â$863)</f>
      </c>
      <c r="FG863">
        <f>IF(ISBLANK('Data Entry'!$ã$863), "", 'Data Entry'!$ã$863)</f>
      </c>
      <c r="FH863">
        <f>IF(ISBLANK('Data Entry'!$ä$863), "", 'Data Entry'!$ä$863)</f>
      </c>
      <c r="FI863">
        <f>IF(ISBLANK('Data Entry'!$å$863), "", 'Data Entry'!$å$863)</f>
      </c>
      <c r="FJ863">
        <f>IF(ISBLANK('Data Entry'!$æ$863), "", 'Data Entry'!$æ$863)</f>
      </c>
      <c r="FK863">
        <f>IF(ISBLANK('Data Entry'!$ç$863), "", 'Data Entry'!$ç$863)</f>
      </c>
      <c r="FL863">
        <f>IF(ISBLANK('Data Entry'!$è$863), "", 'Data Entry'!$è$863)</f>
      </c>
      <c r="FM863">
        <f>IF(ISBLANK('Data Entry'!$é$863), "", 'Data Entry'!$é$863)</f>
      </c>
      <c r="FN863">
        <f>IF(ISBLANK('Data Entry'!$ê$863), "", 'Data Entry'!$ê$863)</f>
      </c>
      <c r="FO863">
        <f>IF(ISBLANK('Data Entry'!$ë$863), "", 'Data Entry'!$ë$863)</f>
      </c>
      <c r="FP863">
        <f>IF(ISBLANK('Data Entry'!$ì$863), "", 'Data Entry'!$ì$863)</f>
      </c>
      <c r="FQ863">
        <f>IF(ISBLANK('Data Entry'!$í$863), "", 'Data Entry'!$í$863)</f>
      </c>
      <c r="FR863">
        <f>IF(ISBLANK('Data Entry'!$î$863), "", 'Data Entry'!$î$863)</f>
      </c>
      <c r="FS863">
        <f>IF(ISBLANK('Data Entry'!$ï$863), "", 'Data Entry'!$ï$863)</f>
      </c>
      <c r="FT863">
        <f>IF(ISBLANK('Data Entry'!$ð$863), "", 'Data Entry'!$ð$863)</f>
      </c>
      <c r="FU863">
        <f>IF(ISBLANK('Data Entry'!$ñ$863), "", 'Data Entry'!$ñ$863)</f>
      </c>
      <c r="FV863">
        <f>IF(ISBLANK('Data Entry'!$ò$863), "", 'Data Entry'!$ò$863)</f>
      </c>
      <c r="FW863">
        <f>IF(ISBLANK('Data Entry'!$ó$863), "", 'Data Entry'!$ó$863)</f>
      </c>
      <c r="FX863">
        <f>IF(ISBLANK('Data Entry'!$ô$863), "", 'Data Entry'!$ô$863)</f>
      </c>
      <c r="FY863">
        <f>IF(ISBLANK('Data Entry'!$õ$863), "", 'Data Entry'!$õ$863)</f>
      </c>
      <c r="FZ863">
        <f>IF(ISBLANK('Data Entry'!$ö$863), "", 'Data Entry'!$ö$863)</f>
      </c>
      <c r="GA863">
        <f>IF(ISBLANK('Data Entry'!$÷$863), "", 'Data Entry'!$÷$863)</f>
      </c>
      <c r="GB863">
        <f>IF(ISBLANK('Data Entry'!$ø$863), "", 'Data Entry'!$ø$863)</f>
      </c>
      <c r="GC863">
        <f>IF(ISBLANK('Data Entry'!$ù$863), "", 'Data Entry'!$ù$863)</f>
      </c>
      <c r="GD863">
        <f>IF(ISBLANK('Data Entry'!$ú$863), "", 'Data Entry'!$ú$863)</f>
      </c>
      <c r="GE863">
        <f>IF(ISBLANK('Data Entry'!$û$863), "", 'Data Entry'!$û$863)</f>
      </c>
      <c r="GF863">
        <f>IF(ISBLANK('Data Entry'!$ü$863), "", 'Data Entry'!$ü$863)</f>
      </c>
      <c r="GG863">
        <f>IF(ISBLANK('Data Entry'!$ý$863), "", 'Data Entry'!$ý$863)</f>
      </c>
      <c r="GH863">
        <f>IF(ISBLANK('Data Entry'!$þ$863), "", 'Data Entry'!$þ$863)</f>
      </c>
      <c r="GI863">
        <f>IF(ISBLANK('Data Entry'!$ÿ$863), "", 'Data Entry'!$ÿ$863)</f>
      </c>
      <c r="GJ863">
        <f>IF(ISBLANK('Data Entry'!$Ā$863), "", 'Data Entry'!$Ā$863)</f>
      </c>
      <c r="GK863">
        <f>IF(ISBLANK('Data Entry'!$ā$863), "", 'Data Entry'!$ā$863)</f>
      </c>
      <c r="GL863">
        <f>IF(ISBLANK('Data Entry'!$Ă$863), "", 'Data Entry'!$Ă$863)</f>
      </c>
      <c r="GM863">
        <f>IF(ISBLANK('Data Entry'!$ă$863), "", 'Data Entry'!$ă$863)</f>
      </c>
      <c r="GN863">
        <f>IF(ISBLANK('Data Entry'!$Ą$863), "", 'Data Entry'!$Ą$863)</f>
      </c>
      <c r="GO863">
        <f>IF(ISBLANK('Data Entry'!$ą$863), "", 'Data Entry'!$ą$863)</f>
      </c>
      <c r="GP863">
        <f>IF(ISBLANK('Data Entry'!$Ć$863), "", 'Data Entry'!$Ć$863)</f>
      </c>
      <c r="GQ863">
        <f>IF(ISBLANK('Data Entry'!$ć$863), "", 'Data Entry'!$ć$863)</f>
      </c>
      <c r="GR863">
        <f>IF(ISBLANK('Data Entry'!$Ĉ$863), "", 'Data Entry'!$Ĉ$863)</f>
      </c>
      <c r="GS863">
        <f>IF(ISBLANK('Data Entry'!$ĉ$863), "", 'Data Entry'!$ĉ$863)</f>
      </c>
      <c r="GT863">
        <f>IF(ISBLANK('Data Entry'!$Ċ$863), "", 'Data Entry'!$Ċ$863)</f>
      </c>
      <c r="GU863">
        <f>IF(ISBLANK('Data Entry'!$ċ$863), "", 'Data Entry'!$ċ$863)</f>
      </c>
      <c r="GV863">
        <f>IF(ISBLANK('Data Entry'!$Č$863), "", 'Data Entry'!$Č$863)</f>
      </c>
      <c r="GW863">
        <f>IF(ISBLANK('Data Entry'!$č$863), "", 'Data Entry'!$č$863)</f>
      </c>
      <c r="GX863">
        <f>IF(ISBLANK('Data Entry'!$Ď$863), "", 'Data Entry'!$Ď$863)</f>
      </c>
      <c r="GY863">
        <f>IF(ISBLANK('Data Entry'!$ď$863), "", 'Data Entry'!$ď$863)</f>
      </c>
      <c r="GZ863">
        <f>IF(ISBLANK('Data Entry'!$Đ$863), "", 'Data Entry'!$Đ$863)</f>
      </c>
      <c r="HA863">
        <f>IF(ISBLANK('Data Entry'!$đ$863), "", 'Data Entry'!$đ$863)</f>
      </c>
      <c r="HB863">
        <f>IF(ISBLANK('Data Entry'!$Ē$863), "", 'Data Entry'!$Ē$863)</f>
      </c>
      <c r="HC863">
        <f>IF(ISBLANK('Data Entry'!$ē$863), "", 'Data Entry'!$ē$863)</f>
      </c>
      <c r="HD863">
        <f>IF(ISBLANK('Data Entry'!$Ĕ$863), "", 'Data Entry'!$Ĕ$863)</f>
      </c>
      <c r="HE863">
        <f>IF(ISBLANK('Data Entry'!$ĕ$863), "", 'Data Entry'!$ĕ$863)</f>
      </c>
      <c r="HF863">
        <f>IF(ISBLANK('Data Entry'!$Ė$863), "", 'Data Entry'!$Ė$863)</f>
      </c>
      <c r="HG863">
        <f>IF(ISBLANK('Data Entry'!$ė$863), "", 'Data Entry'!$ė$863)</f>
      </c>
      <c r="HH863">
        <f>IF(ISBLANK('Data Entry'!$Ę$863), "", 'Data Entry'!$Ę$863)</f>
      </c>
      <c r="HI863">
        <f>IF(ISBLANK('Data Entry'!$ę$863), "", 'Data Entry'!$ę$863)</f>
      </c>
      <c r="HJ863">
        <f>IF(ISBLANK('Data Entry'!$Ě$863), "", 'Data Entry'!$Ě$863)</f>
      </c>
      <c r="HK863">
        <f>IF(ISBLANK('Data Entry'!$ě$863), "", 'Data Entry'!$ě$863)</f>
      </c>
      <c r="HL863">
        <f>IF(ISBLANK('Data Entry'!$Ĝ$863), "", 'Data Entry'!$Ĝ$863)</f>
      </c>
      <c r="HM863">
        <f>IF(ISBLANK('Data Entry'!$ĝ$863), "", 'Data Entry'!$ĝ$863)</f>
      </c>
      <c r="HN863">
        <f>IF(ISBLANK('Data Entry'!$Ğ$863), "", 'Data Entry'!$Ğ$863)</f>
      </c>
      <c r="HO863">
        <f>IF(ISBLANK('Data Entry'!$ğ$863), "", 'Data Entry'!$ğ$863)</f>
      </c>
      <c r="HP863">
        <f>IF(ISBLANK('Data Entry'!$Ġ$863), "", 'Data Entry'!$Ġ$863)</f>
      </c>
      <c r="HQ863">
        <f>IF(ISBLANK('Data Entry'!$ġ$863), "", 'Data Entry'!$ġ$863)</f>
      </c>
      <c r="HR863">
        <f>IF(ISBLANK('Data Entry'!$Ģ$863), "", 'Data Entry'!$Ģ$863)</f>
      </c>
      <c r="HS863">
        <f>IF(ISBLANK('Data Entry'!$ģ$863), "", 'Data Entry'!$ģ$863)</f>
      </c>
      <c r="HT863">
        <f>IF(ISBLANK('Data Entry'!$Ĥ$863), "", 'Data Entry'!$Ĥ$863)</f>
      </c>
      <c r="HU863">
        <f>IF(ISBLANK('Data Entry'!$ĥ$863), "", 'Data Entry'!$ĥ$863)</f>
      </c>
      <c r="HV863">
        <f>IF(ISBLANK('Data Entry'!$Ħ$863), "", 'Data Entry'!$Ħ$863)</f>
      </c>
      <c r="HW863">
        <f>IF(ISBLANK('Data Entry'!$ħ$863), "", 'Data Entry'!$ħ$863)</f>
      </c>
      <c r="HX863">
        <f>IF(ISBLANK('Data Entry'!$Ĩ$863), "", 'Data Entry'!$Ĩ$863)</f>
      </c>
      <c r="HY863">
        <f>IF(ISBLANK('Data Entry'!$ĩ$863), "", 'Data Entry'!$ĩ$863)</f>
      </c>
      <c r="HZ863">
        <f>IF(ISBLANK('Data Entry'!$Ī$863), "", 'Data Entry'!$Ī$863)</f>
      </c>
      <c r="IA863">
        <f>IF(ISBLANK('Data Entry'!$ī$863), "", 'Data Entry'!$ī$863)</f>
      </c>
      <c r="IB863">
        <f>IF(ISBLANK('Data Entry'!$Ĭ$863), "", 'Data Entry'!$Ĭ$863)</f>
      </c>
      <c r="IC863">
        <f>IF(ISBLANK('Data Entry'!$ĭ$863), "", 'Data Entry'!$ĭ$863)</f>
      </c>
      <c r="ID863">
        <f>IF(ISBLANK('Data Entry'!$Į$863), "", 'Data Entry'!$Į$863)</f>
      </c>
      <c r="IE863">
        <f>IF(ISBLANK('Data Entry'!$į$863), "", 'Data Entry'!$į$863)</f>
      </c>
      <c r="IF863">
        <f>IF(ISBLANK('Data Entry'!$İ$863), "", 'Data Entry'!$İ$863)</f>
      </c>
      <c r="IG863">
        <f>IF(ISBLANK('Data Entry'!$ı$863), "", 'Data Entry'!$ı$863)</f>
      </c>
      <c r="IH863">
        <f>IF(ISBLANK('Data Entry'!$Ĳ$863), "", 'Data Entry'!$Ĳ$863)</f>
      </c>
      <c r="II863">
        <f>IF(ISBLANK('Data Entry'!$ĳ$863), "", 'Data Entry'!$ĳ$863)</f>
      </c>
      <c r="IJ863">
        <f>IF(ISBLANK('Data Entry'!$Ĵ$863), "", 'Data Entry'!$Ĵ$863)</f>
      </c>
      <c r="IK863">
        <f>IF(ISBLANK('Data Entry'!$ĵ$863), "", 'Data Entry'!$ĵ$863)</f>
      </c>
      <c r="IL863">
        <f>IF(ISBLANK('Data Entry'!$Ķ$863), "", 'Data Entry'!$Ķ$863)</f>
      </c>
      <c r="IM863">
        <f>IF(ISBLANK('Data Entry'!$ķ$863), "", 'Data Entry'!$ķ$863)</f>
      </c>
      <c r="IN863">
        <f>IF(ISBLANK('Data Entry'!$ĸ$863), "", 'Data Entry'!$ĸ$863)</f>
      </c>
      <c r="IO863">
        <f>IF(ISBLANK('Data Entry'!$Ĺ$863), "", 'Data Entry'!$Ĺ$863)</f>
      </c>
      <c r="IP863">
        <f>IF(ISBLANK('Data Entry'!$ĺ$863), "", 'Data Entry'!$ĺ$863)</f>
      </c>
      <c r="IQ863">
        <f>IF(ISBLANK('Data Entry'!$Ļ$863), "", 'Data Entry'!$Ļ$863)</f>
      </c>
      <c r="IR863">
        <f>IF(ISBLANK('Data Entry'!$ļ$863), "", 'Data Entry'!$ļ$863)</f>
      </c>
      <c r="IS863">
        <f>IF(ISBLANK('Data Entry'!$Ľ$863), "", 'Data Entry'!$Ľ$863)</f>
      </c>
      <c r="IT863">
        <f>IF(ISBLANK('Data Entry'!$ľ$863), "", 'Data Entry'!$ľ$863)</f>
      </c>
    </row>
    <row r="864" spans="1:254" x14ac:dyDescent="0.25">
      <c r="A864">
        <f>IF(ISBLANK('Data Entry'!$A$864), "", 'Data Entry'!$A$864)</f>
      </c>
      <c r="B864">
        <f>IF(ISBLANK('Data Entry'!$B$864), "", 'Data Entry'!$B$864)</f>
      </c>
      <c r="C864">
        <f>IF(ISBLANK('Data Entry'!$C$864), "", 'Data Entry'!$C$864)</f>
      </c>
      <c r="D864">
        <f>IF(ISBLANK('Data Entry'!$D$864), "", 'Data Entry'!$D$864)</f>
      </c>
      <c r="E864">
        <f>IF(ISBLANK('Data Entry'!$E$864), "", 'Data Entry'!$E$864)</f>
      </c>
      <c r="F864">
        <f>IF(ISBLANK('Data Entry'!$F$864), "", 'Data Entry'!$F$864)</f>
      </c>
      <c r="G864">
        <f>IF(ISBLANK('Data Entry'!$G$864), "", 'Data Entry'!$G$864)</f>
      </c>
      <c r="H864">
        <f>IF(ISBLANK('Data Entry'!$H$864), "", 'Data Entry'!$H$864)</f>
      </c>
      <c r="I864">
        <f>IF(ISBLANK('Data Entry'!$I$864), "", 'Data Entry'!$I$864)</f>
      </c>
      <c r="J864">
        <f>IF(ISBLANK('Data Entry'!$J$864), "", 'Data Entry'!$J$864)</f>
      </c>
      <c r="K864">
        <f>IF(ISBLANK('Data Entry'!$K$864), "", 'Data Entry'!$K$864)</f>
      </c>
      <c r="L864">
        <f>IF(ISBLANK('Data Entry'!$L$864), "", 'Data Entry'!$L$864)</f>
      </c>
      <c r="M864">
        <f>IF(ISBLANK('Data Entry'!$M$864), "", 'Data Entry'!$M$864)</f>
      </c>
      <c r="N864">
        <f>IF(ISBLANK('Data Entry'!$N$864), "", 'Data Entry'!$N$864)</f>
      </c>
      <c r="O864">
        <f>IF(ISBLANK('Data Entry'!$O$864), "", 'Data Entry'!$O$864)</f>
      </c>
      <c r="P864">
        <f>IF(ISBLANK('Data Entry'!$P$864), "", 'Data Entry'!$P$864)</f>
      </c>
      <c r="Q864">
        <f>IF(ISBLANK('Data Entry'!$Q$864), "", 'Data Entry'!$Q$864)</f>
      </c>
      <c r="R864">
        <f>IF(ISBLANK('Data Entry'!$R$864), "", 'Data Entry'!$R$864)</f>
      </c>
      <c r="S864">
        <f>IF(ISBLANK('Data Entry'!$S$864), "", 'Data Entry'!$S$864)</f>
      </c>
      <c r="T864">
        <f>IF(ISBLANK('Data Entry'!$T$864), "", 'Data Entry'!$T$864)</f>
      </c>
      <c r="U864">
        <f>IF(ISBLANK('Data Entry'!$U$864), "", 'Data Entry'!$U$864)</f>
      </c>
      <c r="V864">
        <f>IF(ISBLANK('Data Entry'!$V$864), "", 'Data Entry'!$V$864)</f>
      </c>
      <c r="W864">
        <f>IF(ISBLANK('Data Entry'!$W$864), "", 'Data Entry'!$W$864)</f>
      </c>
      <c r="X864">
        <f>IF(ISBLANK('Data Entry'!$X$864), "", 'Data Entry'!$X$864)</f>
      </c>
      <c r="Y864">
        <f>IF(ISBLANK('Data Entry'!$Y$864), "", 'Data Entry'!$Y$864)</f>
      </c>
      <c r="Z864">
        <f>IF(ISBLANK('Data Entry'!$Z$864), "", 'Data Entry'!$Z$864)</f>
      </c>
      <c r="AA864">
        <f>IF(ISBLANK('Data Entry'!$[$864), "", 'Data Entry'!$[$864)</f>
      </c>
      <c r="AB864">
        <f>IF(ISBLANK('Data Entry'!$\$864), "", 'Data Entry'!$\$864)</f>
      </c>
      <c r="AC864">
        <f>IF(ISBLANK('Data Entry'!$]$864), "", 'Data Entry'!$]$864)</f>
      </c>
      <c r="AD864">
        <f>IF(ISBLANK('Data Entry'!$^$864), "", 'Data Entry'!$^$864)</f>
      </c>
      <c r="AE864">
        <f>IF(ISBLANK('Data Entry'!$_$864), "", 'Data Entry'!$_$864)</f>
      </c>
      <c r="AF864">
        <f>IF(ISBLANK('Data Entry'!$`$864), "", 'Data Entry'!$`$864)</f>
      </c>
      <c r="AG864">
        <f>IF(ISBLANK('Data Entry'!$a$864), "", 'Data Entry'!$a$864)</f>
      </c>
      <c r="AH864">
        <f>IF(ISBLANK('Data Entry'!$b$864), "", 'Data Entry'!$b$864)</f>
      </c>
      <c r="AI864">
        <f>IF(ISBLANK('Data Entry'!$c$864), "", 'Data Entry'!$c$864)</f>
      </c>
      <c r="AJ864">
        <f>IF(ISBLANK('Data Entry'!$d$864), "", 'Data Entry'!$d$864)</f>
      </c>
      <c r="AK864">
        <f>IF(ISBLANK('Data Entry'!$e$864), "", 'Data Entry'!$e$864)</f>
      </c>
      <c r="AL864">
        <f>IF(ISBLANK('Data Entry'!$f$864), "", 'Data Entry'!$f$864)</f>
      </c>
      <c r="AM864">
        <f>IF(ISBLANK('Data Entry'!$g$864), "", 'Data Entry'!$g$864)</f>
      </c>
      <c r="AN864">
        <f>IF(ISBLANK('Data Entry'!$h$864), "", 'Data Entry'!$h$864)</f>
      </c>
      <c r="AO864">
        <f>IF(ISBLANK('Data Entry'!$i$864), "", 'Data Entry'!$i$864)</f>
      </c>
      <c r="AP864">
        <f>IF(ISBLANK('Data Entry'!$j$864), "", 'Data Entry'!$j$864)</f>
      </c>
      <c r="AQ864">
        <f>IF(ISBLANK('Data Entry'!$k$864), "", 'Data Entry'!$k$864)</f>
      </c>
      <c r="AR864">
        <f>IF(ISBLANK('Data Entry'!$l$864), "", 'Data Entry'!$l$864)</f>
      </c>
      <c r="AS864">
        <f>IF(ISBLANK('Data Entry'!$m$864), "", 'Data Entry'!$m$864)</f>
      </c>
      <c r="AT864">
        <f>IF(ISBLANK('Data Entry'!$n$864), "", 'Data Entry'!$n$864)</f>
      </c>
      <c r="AU864">
        <f>IF(ISBLANK('Data Entry'!$o$864), "", 'Data Entry'!$o$864)</f>
      </c>
      <c r="AV864">
        <f>IF(ISBLANK('Data Entry'!$p$864), "", 'Data Entry'!$p$864)</f>
      </c>
      <c r="AW864">
        <f>IF(ISBLANK('Data Entry'!$q$864), "", 'Data Entry'!$q$864)</f>
      </c>
      <c r="AX864">
        <f>IF(ISBLANK('Data Entry'!$r$864), "", 'Data Entry'!$r$864)</f>
      </c>
      <c r="AY864">
        <f>IF(ISBLANK('Data Entry'!$s$864), "", 'Data Entry'!$s$864)</f>
      </c>
      <c r="AZ864">
        <f>IF(ISBLANK('Data Entry'!$t$864), "", 'Data Entry'!$t$864)</f>
      </c>
      <c r="BA864">
        <f>IF(ISBLANK('Data Entry'!$u$864), "", 'Data Entry'!$u$864)</f>
      </c>
      <c r="BB864">
        <f>IF(ISBLANK('Data Entry'!$v$864), "", 'Data Entry'!$v$864)</f>
      </c>
      <c r="BC864">
        <f>IF(ISBLANK('Data Entry'!$w$864), "", 'Data Entry'!$w$864)</f>
      </c>
      <c r="BD864">
        <f>IF(ISBLANK('Data Entry'!$x$864), "", 'Data Entry'!$x$864)</f>
      </c>
      <c r="BE864">
        <f>IF(ISBLANK('Data Entry'!$y$864), "", 'Data Entry'!$y$864)</f>
      </c>
      <c r="BF864">
        <f>IF(ISBLANK('Data Entry'!$z$864), "", 'Data Entry'!$z$864)</f>
      </c>
      <c r="BG864">
        <f>IF(ISBLANK('Data Entry'!${$864), "", 'Data Entry'!${$864)</f>
      </c>
      <c r="BH864">
        <f>IF(ISBLANK('Data Entry'!$|$864), "", 'Data Entry'!$|$864)</f>
      </c>
      <c r="BI864">
        <f>IF(ISBLANK('Data Entry'!$}$864), "", 'Data Entry'!$}$864)</f>
      </c>
      <c r="BJ864">
        <f>IF(ISBLANK('Data Entry'!$~$864), "", 'Data Entry'!$~$864)</f>
      </c>
      <c r="BK864">
        <f>IF(ISBLANK('Data Entry'!$$864), "", 'Data Entry'!$$864)</f>
      </c>
      <c r="BL864">
        <f>IF(ISBLANK('Data Entry'!$$864), "", 'Data Entry'!$$864)</f>
      </c>
      <c r="BM864">
        <f>IF(ISBLANK('Data Entry'!$$864), "", 'Data Entry'!$$864)</f>
      </c>
      <c r="BN864">
        <f>IF(ISBLANK('Data Entry'!$$864), "", 'Data Entry'!$$864)</f>
      </c>
      <c r="BO864">
        <f>IF(ISBLANK('Data Entry'!$$864), "", 'Data Entry'!$$864)</f>
      </c>
      <c r="BP864">
        <f>IF(ISBLANK('Data Entry'!$$864), "", 'Data Entry'!$$864)</f>
      </c>
      <c r="BQ864">
        <f>IF(ISBLANK('Data Entry'!$$864), "", 'Data Entry'!$$864)</f>
      </c>
      <c r="BR864">
        <f>IF(ISBLANK('Data Entry'!$$864), "", 'Data Entry'!$$864)</f>
      </c>
      <c r="BS864">
        <f>IF(ISBLANK('Data Entry'!$$864), "", 'Data Entry'!$$864)</f>
      </c>
      <c r="BT864">
        <f>IF(ISBLANK('Data Entry'!$$864), "", 'Data Entry'!$$864)</f>
      </c>
      <c r="BU864">
        <f>IF(ISBLANK('Data Entry'!$$864), "", 'Data Entry'!$$864)</f>
      </c>
      <c r="BV864">
        <f>IF(ISBLANK('Data Entry'!$$864), "", 'Data Entry'!$$864)</f>
      </c>
      <c r="BW864">
        <f>IF(ISBLANK('Data Entry'!$$864), "", 'Data Entry'!$$864)</f>
      </c>
      <c r="BX864">
        <f>IF(ISBLANK('Data Entry'!$$864), "", 'Data Entry'!$$864)</f>
      </c>
      <c r="BY864">
        <f>IF(ISBLANK('Data Entry'!$$864), "", 'Data Entry'!$$864)</f>
      </c>
      <c r="BZ864">
        <f>IF(ISBLANK('Data Entry'!$$864), "", 'Data Entry'!$$864)</f>
      </c>
      <c r="CA864">
        <f>IF(ISBLANK('Data Entry'!$$864), "", 'Data Entry'!$$864)</f>
      </c>
      <c r="CB864">
        <f>IF(ISBLANK('Data Entry'!$$864), "", 'Data Entry'!$$864)</f>
      </c>
      <c r="CC864">
        <f>IF(ISBLANK('Data Entry'!$$864), "", 'Data Entry'!$$864)</f>
      </c>
      <c r="CD864">
        <f>IF(ISBLANK('Data Entry'!$$864), "", 'Data Entry'!$$864)</f>
      </c>
      <c r="CE864">
        <f>IF(ISBLANK('Data Entry'!$$864), "", 'Data Entry'!$$864)</f>
      </c>
      <c r="CF864">
        <f>IF(ISBLANK('Data Entry'!$$864), "", 'Data Entry'!$$864)</f>
      </c>
      <c r="CG864">
        <f>IF(ISBLANK('Data Entry'!$$864), "", 'Data Entry'!$$864)</f>
      </c>
      <c r="CH864">
        <f>IF(ISBLANK('Data Entry'!$$864), "", 'Data Entry'!$$864)</f>
      </c>
      <c r="CI864">
        <f>IF(ISBLANK('Data Entry'!$$864), "", 'Data Entry'!$$864)</f>
      </c>
      <c r="CJ864">
        <f>IF(ISBLANK('Data Entry'!$$864), "", 'Data Entry'!$$864)</f>
      </c>
      <c r="CK864">
        <f>IF(ISBLANK('Data Entry'!$$864), "", 'Data Entry'!$$864)</f>
      </c>
      <c r="CL864">
        <f>IF(ISBLANK('Data Entry'!$$864), "", 'Data Entry'!$$864)</f>
      </c>
      <c r="CM864">
        <f>IF(ISBLANK('Data Entry'!$$864), "", 'Data Entry'!$$864)</f>
      </c>
      <c r="CN864">
        <f>IF(ISBLANK('Data Entry'!$$864), "", 'Data Entry'!$$864)</f>
      </c>
      <c r="CO864">
        <f>IF(ISBLANK('Data Entry'!$$864), "", 'Data Entry'!$$864)</f>
      </c>
      <c r="CP864">
        <f>IF(ISBLANK('Data Entry'!$$864), "", 'Data Entry'!$$864)</f>
      </c>
      <c r="CQ864">
        <f>IF(ISBLANK('Data Entry'!$$864), "", 'Data Entry'!$$864)</f>
      </c>
      <c r="CR864">
        <f>IF(ISBLANK('Data Entry'!$ $864), "", 'Data Entry'!$ $864)</f>
      </c>
      <c r="CS864">
        <f>IF(ISBLANK('Data Entry'!$¡$864), "", 'Data Entry'!$¡$864)</f>
      </c>
      <c r="CT864">
        <f>IF(ISBLANK('Data Entry'!$¢$864), "", 'Data Entry'!$¢$864)</f>
      </c>
      <c r="CU864">
        <f>IF(ISBLANK('Data Entry'!$£$864), "", 'Data Entry'!$£$864)</f>
      </c>
      <c r="CV864">
        <f>IF(ISBLANK('Data Entry'!$¤$864), "", 'Data Entry'!$¤$864)</f>
      </c>
      <c r="CW864">
        <f>IF(ISBLANK('Data Entry'!$¥$864), "", 'Data Entry'!$¥$864)</f>
      </c>
      <c r="CX864">
        <f>IF(ISBLANK('Data Entry'!$¦$864), "", 'Data Entry'!$¦$864)</f>
      </c>
      <c r="CY864">
        <f>IF(ISBLANK('Data Entry'!$§$864), "", 'Data Entry'!$§$864)</f>
      </c>
      <c r="CZ864">
        <f>IF(ISBLANK('Data Entry'!$¨$864), "", 'Data Entry'!$¨$864)</f>
      </c>
      <c r="DA864">
        <f>IF(ISBLANK('Data Entry'!$©$864), "", 'Data Entry'!$©$864)</f>
      </c>
      <c r="DB864">
        <f>IF(ISBLANK('Data Entry'!$ª$864), "", 'Data Entry'!$ª$864)</f>
      </c>
      <c r="DC864">
        <f>IF(ISBLANK('Data Entry'!$«$864), "", 'Data Entry'!$«$864)</f>
      </c>
      <c r="DD864">
        <f>IF(ISBLANK('Data Entry'!$¬$864), "", 'Data Entry'!$¬$864)</f>
      </c>
      <c r="DE864">
        <f>IF(ISBLANK('Data Entry'!$­$864), "", 'Data Entry'!$­$864)</f>
      </c>
      <c r="DF864">
        <f>IF(ISBLANK('Data Entry'!$®$864), "", 'Data Entry'!$®$864)</f>
      </c>
      <c r="DG864">
        <f>IF(ISBLANK('Data Entry'!$¯$864), "", 'Data Entry'!$¯$864)</f>
      </c>
      <c r="DH864">
        <f>IF(ISBLANK('Data Entry'!$°$864), "", 'Data Entry'!$°$864)</f>
      </c>
      <c r="DI864">
        <f>IF(ISBLANK('Data Entry'!$±$864), "", 'Data Entry'!$±$864)</f>
      </c>
      <c r="DJ864">
        <f>IF(ISBLANK('Data Entry'!$²$864), "", 'Data Entry'!$²$864)</f>
      </c>
      <c r="DK864">
        <f>IF(ISBLANK('Data Entry'!$³$864), "", 'Data Entry'!$³$864)</f>
      </c>
      <c r="DL864">
        <f>IF(ISBLANK('Data Entry'!$´$864), "", 'Data Entry'!$´$864)</f>
      </c>
      <c r="DM864">
        <f>IF(ISBLANK('Data Entry'!$µ$864), "", 'Data Entry'!$µ$864)</f>
      </c>
      <c r="DN864">
        <f>IF(ISBLANK('Data Entry'!$¶$864), "", 'Data Entry'!$¶$864)</f>
      </c>
      <c r="DO864">
        <f>IF(ISBLANK('Data Entry'!$·$864), "", 'Data Entry'!$·$864)</f>
      </c>
      <c r="DP864">
        <f>IF(ISBLANK('Data Entry'!$¸$864), "", 'Data Entry'!$¸$864)</f>
      </c>
      <c r="DQ864">
        <f>IF(ISBLANK('Data Entry'!$¹$864), "", 'Data Entry'!$¹$864)</f>
      </c>
      <c r="DR864">
        <f>IF(ISBLANK('Data Entry'!$º$864), "", 'Data Entry'!$º$864)</f>
      </c>
      <c r="DS864">
        <f>IF(ISBLANK('Data Entry'!$»$864), "", 'Data Entry'!$»$864)</f>
      </c>
      <c r="DT864">
        <f>IF(ISBLANK('Data Entry'!$¼$864), "", 'Data Entry'!$¼$864)</f>
      </c>
      <c r="DU864">
        <f>IF(ISBLANK('Data Entry'!$½$864), "", 'Data Entry'!$½$864)</f>
      </c>
      <c r="DV864">
        <f>IF(ISBLANK('Data Entry'!$¾$864), "", 'Data Entry'!$¾$864)</f>
      </c>
      <c r="DW864">
        <f>IF(ISBLANK('Data Entry'!$¿$864), "", 'Data Entry'!$¿$864)</f>
      </c>
      <c r="DX864">
        <f>IF(ISBLANK('Data Entry'!$À$864), "", 'Data Entry'!$À$864)</f>
      </c>
      <c r="DY864">
        <f>IF(ISBLANK('Data Entry'!$Á$864), "", 'Data Entry'!$Á$864)</f>
      </c>
      <c r="DZ864">
        <f>IF(ISBLANK('Data Entry'!$Â$864), "", 'Data Entry'!$Â$864)</f>
      </c>
      <c r="EA864">
        <f>IF(ISBLANK('Data Entry'!$Ã$864), "", 'Data Entry'!$Ã$864)</f>
      </c>
      <c r="EB864">
        <f>IF(ISBLANK('Data Entry'!$Ä$864), "", 'Data Entry'!$Ä$864)</f>
      </c>
      <c r="EC864">
        <f>IF(ISBLANK('Data Entry'!$Å$864), "", 'Data Entry'!$Å$864)</f>
      </c>
      <c r="ED864">
        <f>IF(ISBLANK('Data Entry'!$Æ$864), "", 'Data Entry'!$Æ$864)</f>
      </c>
      <c r="EE864">
        <f>IF(ISBLANK('Data Entry'!$Ç$864), "", 'Data Entry'!$Ç$864)</f>
      </c>
      <c r="EF864">
        <f>IF(ISBLANK('Data Entry'!$È$864), "", 'Data Entry'!$È$864)</f>
      </c>
      <c r="EG864">
        <f>IF(ISBLANK('Data Entry'!$É$864), "", 'Data Entry'!$É$864)</f>
      </c>
      <c r="EH864">
        <f>IF(ISBLANK('Data Entry'!$Ê$864), "", 'Data Entry'!$Ê$864)</f>
      </c>
      <c r="EI864">
        <f>IF(ISBLANK('Data Entry'!$Ë$864), "", 'Data Entry'!$Ë$864)</f>
      </c>
      <c r="EJ864">
        <f>IF(ISBLANK('Data Entry'!$Ì$864), "", 'Data Entry'!$Ì$864)</f>
      </c>
      <c r="EK864">
        <f>IF(ISBLANK('Data Entry'!$Í$864), "", 'Data Entry'!$Í$864)</f>
      </c>
      <c r="EL864">
        <f>IF(ISBLANK('Data Entry'!$Î$864), "", 'Data Entry'!$Î$864)</f>
      </c>
      <c r="EM864">
        <f>IF(ISBLANK('Data Entry'!$Ï$864), "", 'Data Entry'!$Ï$864)</f>
      </c>
      <c r="EN864">
        <f>IF(ISBLANK('Data Entry'!$Ð$864), "", 'Data Entry'!$Ð$864)</f>
      </c>
      <c r="EO864">
        <f>IF(ISBLANK('Data Entry'!$Ñ$864), "", 'Data Entry'!$Ñ$864)</f>
      </c>
      <c r="EP864">
        <f>IF(ISBLANK('Data Entry'!$Ò$864), "", 'Data Entry'!$Ò$864)</f>
      </c>
      <c r="EQ864">
        <f>IF(ISBLANK('Data Entry'!$Ó$864), "", 'Data Entry'!$Ó$864)</f>
      </c>
      <c r="ER864">
        <f>IF(ISBLANK('Data Entry'!$Ô$864), "", 'Data Entry'!$Ô$864)</f>
      </c>
      <c r="ES864">
        <f>IF(ISBLANK('Data Entry'!$Õ$864), "", 'Data Entry'!$Õ$864)</f>
      </c>
      <c r="ET864">
        <f>IF(ISBLANK('Data Entry'!$Ö$864), "", 'Data Entry'!$Ö$864)</f>
      </c>
      <c r="EU864">
        <f>IF(ISBLANK('Data Entry'!$×$864), "", 'Data Entry'!$×$864)</f>
      </c>
      <c r="EV864">
        <f>IF(ISBLANK('Data Entry'!$Ø$864), "", 'Data Entry'!$Ø$864)</f>
      </c>
      <c r="EW864">
        <f>IF(ISBLANK('Data Entry'!$Ù$864), "", 'Data Entry'!$Ù$864)</f>
      </c>
      <c r="EX864">
        <f>IF(ISBLANK('Data Entry'!$Ú$864), "", 'Data Entry'!$Ú$864)</f>
      </c>
      <c r="EY864">
        <f>IF(ISBLANK('Data Entry'!$Û$864), "", 'Data Entry'!$Û$864)</f>
      </c>
      <c r="EZ864">
        <f>IF(ISBLANK('Data Entry'!$Ü$864), "", 'Data Entry'!$Ü$864)</f>
      </c>
      <c r="FA864">
        <f>IF(ISBLANK('Data Entry'!$Ý$864), "", 'Data Entry'!$Ý$864)</f>
      </c>
      <c r="FB864">
        <f>IF(ISBLANK('Data Entry'!$Þ$864), "", 'Data Entry'!$Þ$864)</f>
      </c>
      <c r="FC864">
        <f>IF(ISBLANK('Data Entry'!$ß$864), "", 'Data Entry'!$ß$864)</f>
      </c>
      <c r="FD864">
        <f>IF(ISBLANK('Data Entry'!$à$864), "", 'Data Entry'!$à$864)</f>
      </c>
      <c r="FE864">
        <f>IF(ISBLANK('Data Entry'!$á$864), "", 'Data Entry'!$á$864)</f>
      </c>
      <c r="FF864">
        <f>IF(ISBLANK('Data Entry'!$â$864), "", 'Data Entry'!$â$864)</f>
      </c>
      <c r="FG864">
        <f>IF(ISBLANK('Data Entry'!$ã$864), "", 'Data Entry'!$ã$864)</f>
      </c>
      <c r="FH864">
        <f>IF(ISBLANK('Data Entry'!$ä$864), "", 'Data Entry'!$ä$864)</f>
      </c>
      <c r="FI864">
        <f>IF(ISBLANK('Data Entry'!$å$864), "", 'Data Entry'!$å$864)</f>
      </c>
      <c r="FJ864">
        <f>IF(ISBLANK('Data Entry'!$æ$864), "", 'Data Entry'!$æ$864)</f>
      </c>
      <c r="FK864">
        <f>IF(ISBLANK('Data Entry'!$ç$864), "", 'Data Entry'!$ç$864)</f>
      </c>
      <c r="FL864">
        <f>IF(ISBLANK('Data Entry'!$è$864), "", 'Data Entry'!$è$864)</f>
      </c>
      <c r="FM864">
        <f>IF(ISBLANK('Data Entry'!$é$864), "", 'Data Entry'!$é$864)</f>
      </c>
      <c r="FN864">
        <f>IF(ISBLANK('Data Entry'!$ê$864), "", 'Data Entry'!$ê$864)</f>
      </c>
      <c r="FO864">
        <f>IF(ISBLANK('Data Entry'!$ë$864), "", 'Data Entry'!$ë$864)</f>
      </c>
      <c r="FP864">
        <f>IF(ISBLANK('Data Entry'!$ì$864), "", 'Data Entry'!$ì$864)</f>
      </c>
      <c r="FQ864">
        <f>IF(ISBLANK('Data Entry'!$í$864), "", 'Data Entry'!$í$864)</f>
      </c>
      <c r="FR864">
        <f>IF(ISBLANK('Data Entry'!$î$864), "", 'Data Entry'!$î$864)</f>
      </c>
      <c r="FS864">
        <f>IF(ISBLANK('Data Entry'!$ï$864), "", 'Data Entry'!$ï$864)</f>
      </c>
      <c r="FT864">
        <f>IF(ISBLANK('Data Entry'!$ð$864), "", 'Data Entry'!$ð$864)</f>
      </c>
      <c r="FU864">
        <f>IF(ISBLANK('Data Entry'!$ñ$864), "", 'Data Entry'!$ñ$864)</f>
      </c>
      <c r="FV864">
        <f>IF(ISBLANK('Data Entry'!$ò$864), "", 'Data Entry'!$ò$864)</f>
      </c>
      <c r="FW864">
        <f>IF(ISBLANK('Data Entry'!$ó$864), "", 'Data Entry'!$ó$864)</f>
      </c>
      <c r="FX864">
        <f>IF(ISBLANK('Data Entry'!$ô$864), "", 'Data Entry'!$ô$864)</f>
      </c>
      <c r="FY864">
        <f>IF(ISBLANK('Data Entry'!$õ$864), "", 'Data Entry'!$õ$864)</f>
      </c>
      <c r="FZ864">
        <f>IF(ISBLANK('Data Entry'!$ö$864), "", 'Data Entry'!$ö$864)</f>
      </c>
      <c r="GA864">
        <f>IF(ISBLANK('Data Entry'!$÷$864), "", 'Data Entry'!$÷$864)</f>
      </c>
      <c r="GB864">
        <f>IF(ISBLANK('Data Entry'!$ø$864), "", 'Data Entry'!$ø$864)</f>
      </c>
      <c r="GC864">
        <f>IF(ISBLANK('Data Entry'!$ù$864), "", 'Data Entry'!$ù$864)</f>
      </c>
      <c r="GD864">
        <f>IF(ISBLANK('Data Entry'!$ú$864), "", 'Data Entry'!$ú$864)</f>
      </c>
      <c r="GE864">
        <f>IF(ISBLANK('Data Entry'!$û$864), "", 'Data Entry'!$û$864)</f>
      </c>
      <c r="GF864">
        <f>IF(ISBLANK('Data Entry'!$ü$864), "", 'Data Entry'!$ü$864)</f>
      </c>
      <c r="GG864">
        <f>IF(ISBLANK('Data Entry'!$ý$864), "", 'Data Entry'!$ý$864)</f>
      </c>
      <c r="GH864">
        <f>IF(ISBLANK('Data Entry'!$þ$864), "", 'Data Entry'!$þ$864)</f>
      </c>
      <c r="GI864">
        <f>IF(ISBLANK('Data Entry'!$ÿ$864), "", 'Data Entry'!$ÿ$864)</f>
      </c>
      <c r="GJ864">
        <f>IF(ISBLANK('Data Entry'!$Ā$864), "", 'Data Entry'!$Ā$864)</f>
      </c>
      <c r="GK864">
        <f>IF(ISBLANK('Data Entry'!$ā$864), "", 'Data Entry'!$ā$864)</f>
      </c>
      <c r="GL864">
        <f>IF(ISBLANK('Data Entry'!$Ă$864), "", 'Data Entry'!$Ă$864)</f>
      </c>
      <c r="GM864">
        <f>IF(ISBLANK('Data Entry'!$ă$864), "", 'Data Entry'!$ă$864)</f>
      </c>
      <c r="GN864">
        <f>IF(ISBLANK('Data Entry'!$Ą$864), "", 'Data Entry'!$Ą$864)</f>
      </c>
      <c r="GO864">
        <f>IF(ISBLANK('Data Entry'!$ą$864), "", 'Data Entry'!$ą$864)</f>
      </c>
      <c r="GP864">
        <f>IF(ISBLANK('Data Entry'!$Ć$864), "", 'Data Entry'!$Ć$864)</f>
      </c>
      <c r="GQ864">
        <f>IF(ISBLANK('Data Entry'!$ć$864), "", 'Data Entry'!$ć$864)</f>
      </c>
      <c r="GR864">
        <f>IF(ISBLANK('Data Entry'!$Ĉ$864), "", 'Data Entry'!$Ĉ$864)</f>
      </c>
      <c r="GS864">
        <f>IF(ISBLANK('Data Entry'!$ĉ$864), "", 'Data Entry'!$ĉ$864)</f>
      </c>
      <c r="GT864">
        <f>IF(ISBLANK('Data Entry'!$Ċ$864), "", 'Data Entry'!$Ċ$864)</f>
      </c>
      <c r="GU864">
        <f>IF(ISBLANK('Data Entry'!$ċ$864), "", 'Data Entry'!$ċ$864)</f>
      </c>
      <c r="GV864">
        <f>IF(ISBLANK('Data Entry'!$Č$864), "", 'Data Entry'!$Č$864)</f>
      </c>
      <c r="GW864">
        <f>IF(ISBLANK('Data Entry'!$č$864), "", 'Data Entry'!$č$864)</f>
      </c>
      <c r="GX864">
        <f>IF(ISBLANK('Data Entry'!$Ď$864), "", 'Data Entry'!$Ď$864)</f>
      </c>
      <c r="GY864">
        <f>IF(ISBLANK('Data Entry'!$ď$864), "", 'Data Entry'!$ď$864)</f>
      </c>
      <c r="GZ864">
        <f>IF(ISBLANK('Data Entry'!$Đ$864), "", 'Data Entry'!$Đ$864)</f>
      </c>
      <c r="HA864">
        <f>IF(ISBLANK('Data Entry'!$đ$864), "", 'Data Entry'!$đ$864)</f>
      </c>
      <c r="HB864">
        <f>IF(ISBLANK('Data Entry'!$Ē$864), "", 'Data Entry'!$Ē$864)</f>
      </c>
      <c r="HC864">
        <f>IF(ISBLANK('Data Entry'!$ē$864), "", 'Data Entry'!$ē$864)</f>
      </c>
      <c r="HD864">
        <f>IF(ISBLANK('Data Entry'!$Ĕ$864), "", 'Data Entry'!$Ĕ$864)</f>
      </c>
      <c r="HE864">
        <f>IF(ISBLANK('Data Entry'!$ĕ$864), "", 'Data Entry'!$ĕ$864)</f>
      </c>
      <c r="HF864">
        <f>IF(ISBLANK('Data Entry'!$Ė$864), "", 'Data Entry'!$Ė$864)</f>
      </c>
      <c r="HG864">
        <f>IF(ISBLANK('Data Entry'!$ė$864), "", 'Data Entry'!$ė$864)</f>
      </c>
      <c r="HH864">
        <f>IF(ISBLANK('Data Entry'!$Ę$864), "", 'Data Entry'!$Ę$864)</f>
      </c>
      <c r="HI864">
        <f>IF(ISBLANK('Data Entry'!$ę$864), "", 'Data Entry'!$ę$864)</f>
      </c>
      <c r="HJ864">
        <f>IF(ISBLANK('Data Entry'!$Ě$864), "", 'Data Entry'!$Ě$864)</f>
      </c>
      <c r="HK864">
        <f>IF(ISBLANK('Data Entry'!$ě$864), "", 'Data Entry'!$ě$864)</f>
      </c>
      <c r="HL864">
        <f>IF(ISBLANK('Data Entry'!$Ĝ$864), "", 'Data Entry'!$Ĝ$864)</f>
      </c>
      <c r="HM864">
        <f>IF(ISBLANK('Data Entry'!$ĝ$864), "", 'Data Entry'!$ĝ$864)</f>
      </c>
      <c r="HN864">
        <f>IF(ISBLANK('Data Entry'!$Ğ$864), "", 'Data Entry'!$Ğ$864)</f>
      </c>
      <c r="HO864">
        <f>IF(ISBLANK('Data Entry'!$ğ$864), "", 'Data Entry'!$ğ$864)</f>
      </c>
      <c r="HP864">
        <f>IF(ISBLANK('Data Entry'!$Ġ$864), "", 'Data Entry'!$Ġ$864)</f>
      </c>
      <c r="HQ864">
        <f>IF(ISBLANK('Data Entry'!$ġ$864), "", 'Data Entry'!$ġ$864)</f>
      </c>
      <c r="HR864">
        <f>IF(ISBLANK('Data Entry'!$Ģ$864), "", 'Data Entry'!$Ģ$864)</f>
      </c>
      <c r="HS864">
        <f>IF(ISBLANK('Data Entry'!$ģ$864), "", 'Data Entry'!$ģ$864)</f>
      </c>
      <c r="HT864">
        <f>IF(ISBLANK('Data Entry'!$Ĥ$864), "", 'Data Entry'!$Ĥ$864)</f>
      </c>
      <c r="HU864">
        <f>IF(ISBLANK('Data Entry'!$ĥ$864), "", 'Data Entry'!$ĥ$864)</f>
      </c>
      <c r="HV864">
        <f>IF(ISBLANK('Data Entry'!$Ħ$864), "", 'Data Entry'!$Ħ$864)</f>
      </c>
      <c r="HW864">
        <f>IF(ISBLANK('Data Entry'!$ħ$864), "", 'Data Entry'!$ħ$864)</f>
      </c>
      <c r="HX864">
        <f>IF(ISBLANK('Data Entry'!$Ĩ$864), "", 'Data Entry'!$Ĩ$864)</f>
      </c>
      <c r="HY864">
        <f>IF(ISBLANK('Data Entry'!$ĩ$864), "", 'Data Entry'!$ĩ$864)</f>
      </c>
      <c r="HZ864">
        <f>IF(ISBLANK('Data Entry'!$Ī$864), "", 'Data Entry'!$Ī$864)</f>
      </c>
      <c r="IA864">
        <f>IF(ISBLANK('Data Entry'!$ī$864), "", 'Data Entry'!$ī$864)</f>
      </c>
      <c r="IB864">
        <f>IF(ISBLANK('Data Entry'!$Ĭ$864), "", 'Data Entry'!$Ĭ$864)</f>
      </c>
      <c r="IC864">
        <f>IF(ISBLANK('Data Entry'!$ĭ$864), "", 'Data Entry'!$ĭ$864)</f>
      </c>
      <c r="ID864">
        <f>IF(ISBLANK('Data Entry'!$Į$864), "", 'Data Entry'!$Į$864)</f>
      </c>
      <c r="IE864">
        <f>IF(ISBLANK('Data Entry'!$į$864), "", 'Data Entry'!$į$864)</f>
      </c>
      <c r="IF864">
        <f>IF(ISBLANK('Data Entry'!$İ$864), "", 'Data Entry'!$İ$864)</f>
      </c>
      <c r="IG864">
        <f>IF(ISBLANK('Data Entry'!$ı$864), "", 'Data Entry'!$ı$864)</f>
      </c>
      <c r="IH864">
        <f>IF(ISBLANK('Data Entry'!$Ĳ$864), "", 'Data Entry'!$Ĳ$864)</f>
      </c>
      <c r="II864">
        <f>IF(ISBLANK('Data Entry'!$ĳ$864), "", 'Data Entry'!$ĳ$864)</f>
      </c>
      <c r="IJ864">
        <f>IF(ISBLANK('Data Entry'!$Ĵ$864), "", 'Data Entry'!$Ĵ$864)</f>
      </c>
      <c r="IK864">
        <f>IF(ISBLANK('Data Entry'!$ĵ$864), "", 'Data Entry'!$ĵ$864)</f>
      </c>
      <c r="IL864">
        <f>IF(ISBLANK('Data Entry'!$Ķ$864), "", 'Data Entry'!$Ķ$864)</f>
      </c>
      <c r="IM864">
        <f>IF(ISBLANK('Data Entry'!$ķ$864), "", 'Data Entry'!$ķ$864)</f>
      </c>
      <c r="IN864">
        <f>IF(ISBLANK('Data Entry'!$ĸ$864), "", 'Data Entry'!$ĸ$864)</f>
      </c>
      <c r="IO864">
        <f>IF(ISBLANK('Data Entry'!$Ĺ$864), "", 'Data Entry'!$Ĺ$864)</f>
      </c>
      <c r="IP864">
        <f>IF(ISBLANK('Data Entry'!$ĺ$864), "", 'Data Entry'!$ĺ$864)</f>
      </c>
      <c r="IQ864">
        <f>IF(ISBLANK('Data Entry'!$Ļ$864), "", 'Data Entry'!$Ļ$864)</f>
      </c>
      <c r="IR864">
        <f>IF(ISBLANK('Data Entry'!$ļ$864), "", 'Data Entry'!$ļ$864)</f>
      </c>
      <c r="IS864">
        <f>IF(ISBLANK('Data Entry'!$Ľ$864), "", 'Data Entry'!$Ľ$864)</f>
      </c>
      <c r="IT864">
        <f>IF(ISBLANK('Data Entry'!$ľ$864), "", 'Data Entry'!$ľ$864)</f>
      </c>
    </row>
    <row r="865" spans="1:254" x14ac:dyDescent="0.25">
      <c r="A865">
        <f>IF(ISBLANK('Data Entry'!$A$865), "", 'Data Entry'!$A$865)</f>
      </c>
      <c r="B865">
        <f>IF(ISBLANK('Data Entry'!$B$865), "", 'Data Entry'!$B$865)</f>
      </c>
      <c r="C865">
        <f>IF(ISBLANK('Data Entry'!$C$865), "", 'Data Entry'!$C$865)</f>
      </c>
      <c r="D865">
        <f>IF(ISBLANK('Data Entry'!$D$865), "", 'Data Entry'!$D$865)</f>
      </c>
      <c r="E865">
        <f>IF(ISBLANK('Data Entry'!$E$865), "", 'Data Entry'!$E$865)</f>
      </c>
      <c r="F865">
        <f>IF(ISBLANK('Data Entry'!$F$865), "", 'Data Entry'!$F$865)</f>
      </c>
      <c r="G865">
        <f>IF(ISBLANK('Data Entry'!$G$865), "", 'Data Entry'!$G$865)</f>
      </c>
      <c r="H865">
        <f>IF(ISBLANK('Data Entry'!$H$865), "", 'Data Entry'!$H$865)</f>
      </c>
      <c r="I865">
        <f>IF(ISBLANK('Data Entry'!$I$865), "", 'Data Entry'!$I$865)</f>
      </c>
      <c r="J865">
        <f>IF(ISBLANK('Data Entry'!$J$865), "", 'Data Entry'!$J$865)</f>
      </c>
      <c r="K865">
        <f>IF(ISBLANK('Data Entry'!$K$865), "", 'Data Entry'!$K$865)</f>
      </c>
      <c r="L865">
        <f>IF(ISBLANK('Data Entry'!$L$865), "", 'Data Entry'!$L$865)</f>
      </c>
      <c r="M865">
        <f>IF(ISBLANK('Data Entry'!$M$865), "", 'Data Entry'!$M$865)</f>
      </c>
      <c r="N865">
        <f>IF(ISBLANK('Data Entry'!$N$865), "", 'Data Entry'!$N$865)</f>
      </c>
      <c r="O865">
        <f>IF(ISBLANK('Data Entry'!$O$865), "", 'Data Entry'!$O$865)</f>
      </c>
      <c r="P865">
        <f>IF(ISBLANK('Data Entry'!$P$865), "", 'Data Entry'!$P$865)</f>
      </c>
      <c r="Q865">
        <f>IF(ISBLANK('Data Entry'!$Q$865), "", 'Data Entry'!$Q$865)</f>
      </c>
      <c r="R865">
        <f>IF(ISBLANK('Data Entry'!$R$865), "", 'Data Entry'!$R$865)</f>
      </c>
      <c r="S865">
        <f>IF(ISBLANK('Data Entry'!$S$865), "", 'Data Entry'!$S$865)</f>
      </c>
      <c r="T865">
        <f>IF(ISBLANK('Data Entry'!$T$865), "", 'Data Entry'!$T$865)</f>
      </c>
      <c r="U865">
        <f>IF(ISBLANK('Data Entry'!$U$865), "", 'Data Entry'!$U$865)</f>
      </c>
      <c r="V865">
        <f>IF(ISBLANK('Data Entry'!$V$865), "", 'Data Entry'!$V$865)</f>
      </c>
      <c r="W865">
        <f>IF(ISBLANK('Data Entry'!$W$865), "", 'Data Entry'!$W$865)</f>
      </c>
      <c r="X865">
        <f>IF(ISBLANK('Data Entry'!$X$865), "", 'Data Entry'!$X$865)</f>
      </c>
      <c r="Y865">
        <f>IF(ISBLANK('Data Entry'!$Y$865), "", 'Data Entry'!$Y$865)</f>
      </c>
      <c r="Z865">
        <f>IF(ISBLANK('Data Entry'!$Z$865), "", 'Data Entry'!$Z$865)</f>
      </c>
      <c r="AA865">
        <f>IF(ISBLANK('Data Entry'!$[$865), "", 'Data Entry'!$[$865)</f>
      </c>
      <c r="AB865">
        <f>IF(ISBLANK('Data Entry'!$\$865), "", 'Data Entry'!$\$865)</f>
      </c>
      <c r="AC865">
        <f>IF(ISBLANK('Data Entry'!$]$865), "", 'Data Entry'!$]$865)</f>
      </c>
      <c r="AD865">
        <f>IF(ISBLANK('Data Entry'!$^$865), "", 'Data Entry'!$^$865)</f>
      </c>
      <c r="AE865">
        <f>IF(ISBLANK('Data Entry'!$_$865), "", 'Data Entry'!$_$865)</f>
      </c>
      <c r="AF865">
        <f>IF(ISBLANK('Data Entry'!$`$865), "", 'Data Entry'!$`$865)</f>
      </c>
      <c r="AG865">
        <f>IF(ISBLANK('Data Entry'!$a$865), "", 'Data Entry'!$a$865)</f>
      </c>
      <c r="AH865">
        <f>IF(ISBLANK('Data Entry'!$b$865), "", 'Data Entry'!$b$865)</f>
      </c>
      <c r="AI865">
        <f>IF(ISBLANK('Data Entry'!$c$865), "", 'Data Entry'!$c$865)</f>
      </c>
      <c r="AJ865">
        <f>IF(ISBLANK('Data Entry'!$d$865), "", 'Data Entry'!$d$865)</f>
      </c>
      <c r="AK865">
        <f>IF(ISBLANK('Data Entry'!$e$865), "", 'Data Entry'!$e$865)</f>
      </c>
      <c r="AL865">
        <f>IF(ISBLANK('Data Entry'!$f$865), "", 'Data Entry'!$f$865)</f>
      </c>
      <c r="AM865">
        <f>IF(ISBLANK('Data Entry'!$g$865), "", 'Data Entry'!$g$865)</f>
      </c>
      <c r="AN865">
        <f>IF(ISBLANK('Data Entry'!$h$865), "", 'Data Entry'!$h$865)</f>
      </c>
      <c r="AO865">
        <f>IF(ISBLANK('Data Entry'!$i$865), "", 'Data Entry'!$i$865)</f>
      </c>
      <c r="AP865">
        <f>IF(ISBLANK('Data Entry'!$j$865), "", 'Data Entry'!$j$865)</f>
      </c>
      <c r="AQ865">
        <f>IF(ISBLANK('Data Entry'!$k$865), "", 'Data Entry'!$k$865)</f>
      </c>
      <c r="AR865">
        <f>IF(ISBLANK('Data Entry'!$l$865), "", 'Data Entry'!$l$865)</f>
      </c>
      <c r="AS865">
        <f>IF(ISBLANK('Data Entry'!$m$865), "", 'Data Entry'!$m$865)</f>
      </c>
      <c r="AT865">
        <f>IF(ISBLANK('Data Entry'!$n$865), "", 'Data Entry'!$n$865)</f>
      </c>
      <c r="AU865">
        <f>IF(ISBLANK('Data Entry'!$o$865), "", 'Data Entry'!$o$865)</f>
      </c>
      <c r="AV865">
        <f>IF(ISBLANK('Data Entry'!$p$865), "", 'Data Entry'!$p$865)</f>
      </c>
      <c r="AW865">
        <f>IF(ISBLANK('Data Entry'!$q$865), "", 'Data Entry'!$q$865)</f>
      </c>
      <c r="AX865">
        <f>IF(ISBLANK('Data Entry'!$r$865), "", 'Data Entry'!$r$865)</f>
      </c>
      <c r="AY865">
        <f>IF(ISBLANK('Data Entry'!$s$865), "", 'Data Entry'!$s$865)</f>
      </c>
      <c r="AZ865">
        <f>IF(ISBLANK('Data Entry'!$t$865), "", 'Data Entry'!$t$865)</f>
      </c>
      <c r="BA865">
        <f>IF(ISBLANK('Data Entry'!$u$865), "", 'Data Entry'!$u$865)</f>
      </c>
      <c r="BB865">
        <f>IF(ISBLANK('Data Entry'!$v$865), "", 'Data Entry'!$v$865)</f>
      </c>
      <c r="BC865">
        <f>IF(ISBLANK('Data Entry'!$w$865), "", 'Data Entry'!$w$865)</f>
      </c>
      <c r="BD865">
        <f>IF(ISBLANK('Data Entry'!$x$865), "", 'Data Entry'!$x$865)</f>
      </c>
      <c r="BE865">
        <f>IF(ISBLANK('Data Entry'!$y$865), "", 'Data Entry'!$y$865)</f>
      </c>
      <c r="BF865">
        <f>IF(ISBLANK('Data Entry'!$z$865), "", 'Data Entry'!$z$865)</f>
      </c>
      <c r="BG865">
        <f>IF(ISBLANK('Data Entry'!${$865), "", 'Data Entry'!${$865)</f>
      </c>
      <c r="BH865">
        <f>IF(ISBLANK('Data Entry'!$|$865), "", 'Data Entry'!$|$865)</f>
      </c>
      <c r="BI865">
        <f>IF(ISBLANK('Data Entry'!$}$865), "", 'Data Entry'!$}$865)</f>
      </c>
      <c r="BJ865">
        <f>IF(ISBLANK('Data Entry'!$~$865), "", 'Data Entry'!$~$865)</f>
      </c>
      <c r="BK865">
        <f>IF(ISBLANK('Data Entry'!$$865), "", 'Data Entry'!$$865)</f>
      </c>
      <c r="BL865">
        <f>IF(ISBLANK('Data Entry'!$$865), "", 'Data Entry'!$$865)</f>
      </c>
      <c r="BM865">
        <f>IF(ISBLANK('Data Entry'!$$865), "", 'Data Entry'!$$865)</f>
      </c>
      <c r="BN865">
        <f>IF(ISBLANK('Data Entry'!$$865), "", 'Data Entry'!$$865)</f>
      </c>
      <c r="BO865">
        <f>IF(ISBLANK('Data Entry'!$$865), "", 'Data Entry'!$$865)</f>
      </c>
      <c r="BP865">
        <f>IF(ISBLANK('Data Entry'!$$865), "", 'Data Entry'!$$865)</f>
      </c>
      <c r="BQ865">
        <f>IF(ISBLANK('Data Entry'!$$865), "", 'Data Entry'!$$865)</f>
      </c>
      <c r="BR865">
        <f>IF(ISBLANK('Data Entry'!$$865), "", 'Data Entry'!$$865)</f>
      </c>
      <c r="BS865">
        <f>IF(ISBLANK('Data Entry'!$$865), "", 'Data Entry'!$$865)</f>
      </c>
      <c r="BT865">
        <f>IF(ISBLANK('Data Entry'!$$865), "", 'Data Entry'!$$865)</f>
      </c>
      <c r="BU865">
        <f>IF(ISBLANK('Data Entry'!$$865), "", 'Data Entry'!$$865)</f>
      </c>
      <c r="BV865">
        <f>IF(ISBLANK('Data Entry'!$$865), "", 'Data Entry'!$$865)</f>
      </c>
      <c r="BW865">
        <f>IF(ISBLANK('Data Entry'!$$865), "", 'Data Entry'!$$865)</f>
      </c>
      <c r="BX865">
        <f>IF(ISBLANK('Data Entry'!$$865), "", 'Data Entry'!$$865)</f>
      </c>
      <c r="BY865">
        <f>IF(ISBLANK('Data Entry'!$$865), "", 'Data Entry'!$$865)</f>
      </c>
      <c r="BZ865">
        <f>IF(ISBLANK('Data Entry'!$$865), "", 'Data Entry'!$$865)</f>
      </c>
      <c r="CA865">
        <f>IF(ISBLANK('Data Entry'!$$865), "", 'Data Entry'!$$865)</f>
      </c>
      <c r="CB865">
        <f>IF(ISBLANK('Data Entry'!$$865), "", 'Data Entry'!$$865)</f>
      </c>
      <c r="CC865">
        <f>IF(ISBLANK('Data Entry'!$$865), "", 'Data Entry'!$$865)</f>
      </c>
      <c r="CD865">
        <f>IF(ISBLANK('Data Entry'!$$865), "", 'Data Entry'!$$865)</f>
      </c>
      <c r="CE865">
        <f>IF(ISBLANK('Data Entry'!$$865), "", 'Data Entry'!$$865)</f>
      </c>
      <c r="CF865">
        <f>IF(ISBLANK('Data Entry'!$$865), "", 'Data Entry'!$$865)</f>
      </c>
      <c r="CG865">
        <f>IF(ISBLANK('Data Entry'!$$865), "", 'Data Entry'!$$865)</f>
      </c>
      <c r="CH865">
        <f>IF(ISBLANK('Data Entry'!$$865), "", 'Data Entry'!$$865)</f>
      </c>
      <c r="CI865">
        <f>IF(ISBLANK('Data Entry'!$$865), "", 'Data Entry'!$$865)</f>
      </c>
      <c r="CJ865">
        <f>IF(ISBLANK('Data Entry'!$$865), "", 'Data Entry'!$$865)</f>
      </c>
      <c r="CK865">
        <f>IF(ISBLANK('Data Entry'!$$865), "", 'Data Entry'!$$865)</f>
      </c>
      <c r="CL865">
        <f>IF(ISBLANK('Data Entry'!$$865), "", 'Data Entry'!$$865)</f>
      </c>
      <c r="CM865">
        <f>IF(ISBLANK('Data Entry'!$$865), "", 'Data Entry'!$$865)</f>
      </c>
      <c r="CN865">
        <f>IF(ISBLANK('Data Entry'!$$865), "", 'Data Entry'!$$865)</f>
      </c>
      <c r="CO865">
        <f>IF(ISBLANK('Data Entry'!$$865), "", 'Data Entry'!$$865)</f>
      </c>
      <c r="CP865">
        <f>IF(ISBLANK('Data Entry'!$$865), "", 'Data Entry'!$$865)</f>
      </c>
      <c r="CQ865">
        <f>IF(ISBLANK('Data Entry'!$$865), "", 'Data Entry'!$$865)</f>
      </c>
      <c r="CR865">
        <f>IF(ISBLANK('Data Entry'!$ $865), "", 'Data Entry'!$ $865)</f>
      </c>
      <c r="CS865">
        <f>IF(ISBLANK('Data Entry'!$¡$865), "", 'Data Entry'!$¡$865)</f>
      </c>
      <c r="CT865">
        <f>IF(ISBLANK('Data Entry'!$¢$865), "", 'Data Entry'!$¢$865)</f>
      </c>
      <c r="CU865">
        <f>IF(ISBLANK('Data Entry'!$£$865), "", 'Data Entry'!$£$865)</f>
      </c>
      <c r="CV865">
        <f>IF(ISBLANK('Data Entry'!$¤$865), "", 'Data Entry'!$¤$865)</f>
      </c>
      <c r="CW865">
        <f>IF(ISBLANK('Data Entry'!$¥$865), "", 'Data Entry'!$¥$865)</f>
      </c>
      <c r="CX865">
        <f>IF(ISBLANK('Data Entry'!$¦$865), "", 'Data Entry'!$¦$865)</f>
      </c>
      <c r="CY865">
        <f>IF(ISBLANK('Data Entry'!$§$865), "", 'Data Entry'!$§$865)</f>
      </c>
      <c r="CZ865">
        <f>IF(ISBLANK('Data Entry'!$¨$865), "", 'Data Entry'!$¨$865)</f>
      </c>
      <c r="DA865">
        <f>IF(ISBLANK('Data Entry'!$©$865), "", 'Data Entry'!$©$865)</f>
      </c>
      <c r="DB865">
        <f>IF(ISBLANK('Data Entry'!$ª$865), "", 'Data Entry'!$ª$865)</f>
      </c>
      <c r="DC865">
        <f>IF(ISBLANK('Data Entry'!$«$865), "", 'Data Entry'!$«$865)</f>
      </c>
      <c r="DD865">
        <f>IF(ISBLANK('Data Entry'!$¬$865), "", 'Data Entry'!$¬$865)</f>
      </c>
      <c r="DE865">
        <f>IF(ISBLANK('Data Entry'!$­$865), "", 'Data Entry'!$­$865)</f>
      </c>
      <c r="DF865">
        <f>IF(ISBLANK('Data Entry'!$®$865), "", 'Data Entry'!$®$865)</f>
      </c>
      <c r="DG865">
        <f>IF(ISBLANK('Data Entry'!$¯$865), "", 'Data Entry'!$¯$865)</f>
      </c>
      <c r="DH865">
        <f>IF(ISBLANK('Data Entry'!$°$865), "", 'Data Entry'!$°$865)</f>
      </c>
      <c r="DI865">
        <f>IF(ISBLANK('Data Entry'!$±$865), "", 'Data Entry'!$±$865)</f>
      </c>
      <c r="DJ865">
        <f>IF(ISBLANK('Data Entry'!$²$865), "", 'Data Entry'!$²$865)</f>
      </c>
      <c r="DK865">
        <f>IF(ISBLANK('Data Entry'!$³$865), "", 'Data Entry'!$³$865)</f>
      </c>
      <c r="DL865">
        <f>IF(ISBLANK('Data Entry'!$´$865), "", 'Data Entry'!$´$865)</f>
      </c>
      <c r="DM865">
        <f>IF(ISBLANK('Data Entry'!$µ$865), "", 'Data Entry'!$µ$865)</f>
      </c>
      <c r="DN865">
        <f>IF(ISBLANK('Data Entry'!$¶$865), "", 'Data Entry'!$¶$865)</f>
      </c>
      <c r="DO865">
        <f>IF(ISBLANK('Data Entry'!$·$865), "", 'Data Entry'!$·$865)</f>
      </c>
      <c r="DP865">
        <f>IF(ISBLANK('Data Entry'!$¸$865), "", 'Data Entry'!$¸$865)</f>
      </c>
      <c r="DQ865">
        <f>IF(ISBLANK('Data Entry'!$¹$865), "", 'Data Entry'!$¹$865)</f>
      </c>
      <c r="DR865">
        <f>IF(ISBLANK('Data Entry'!$º$865), "", 'Data Entry'!$º$865)</f>
      </c>
      <c r="DS865">
        <f>IF(ISBLANK('Data Entry'!$»$865), "", 'Data Entry'!$»$865)</f>
      </c>
      <c r="DT865">
        <f>IF(ISBLANK('Data Entry'!$¼$865), "", 'Data Entry'!$¼$865)</f>
      </c>
      <c r="DU865">
        <f>IF(ISBLANK('Data Entry'!$½$865), "", 'Data Entry'!$½$865)</f>
      </c>
      <c r="DV865">
        <f>IF(ISBLANK('Data Entry'!$¾$865), "", 'Data Entry'!$¾$865)</f>
      </c>
      <c r="DW865">
        <f>IF(ISBLANK('Data Entry'!$¿$865), "", 'Data Entry'!$¿$865)</f>
      </c>
      <c r="DX865">
        <f>IF(ISBLANK('Data Entry'!$À$865), "", 'Data Entry'!$À$865)</f>
      </c>
      <c r="DY865">
        <f>IF(ISBLANK('Data Entry'!$Á$865), "", 'Data Entry'!$Á$865)</f>
      </c>
      <c r="DZ865">
        <f>IF(ISBLANK('Data Entry'!$Â$865), "", 'Data Entry'!$Â$865)</f>
      </c>
      <c r="EA865">
        <f>IF(ISBLANK('Data Entry'!$Ã$865), "", 'Data Entry'!$Ã$865)</f>
      </c>
      <c r="EB865">
        <f>IF(ISBLANK('Data Entry'!$Ä$865), "", 'Data Entry'!$Ä$865)</f>
      </c>
      <c r="EC865">
        <f>IF(ISBLANK('Data Entry'!$Å$865), "", 'Data Entry'!$Å$865)</f>
      </c>
      <c r="ED865">
        <f>IF(ISBLANK('Data Entry'!$Æ$865), "", 'Data Entry'!$Æ$865)</f>
      </c>
      <c r="EE865">
        <f>IF(ISBLANK('Data Entry'!$Ç$865), "", 'Data Entry'!$Ç$865)</f>
      </c>
      <c r="EF865">
        <f>IF(ISBLANK('Data Entry'!$È$865), "", 'Data Entry'!$È$865)</f>
      </c>
      <c r="EG865">
        <f>IF(ISBLANK('Data Entry'!$É$865), "", 'Data Entry'!$É$865)</f>
      </c>
      <c r="EH865">
        <f>IF(ISBLANK('Data Entry'!$Ê$865), "", 'Data Entry'!$Ê$865)</f>
      </c>
      <c r="EI865">
        <f>IF(ISBLANK('Data Entry'!$Ë$865), "", 'Data Entry'!$Ë$865)</f>
      </c>
      <c r="EJ865">
        <f>IF(ISBLANK('Data Entry'!$Ì$865), "", 'Data Entry'!$Ì$865)</f>
      </c>
      <c r="EK865">
        <f>IF(ISBLANK('Data Entry'!$Í$865), "", 'Data Entry'!$Í$865)</f>
      </c>
      <c r="EL865">
        <f>IF(ISBLANK('Data Entry'!$Î$865), "", 'Data Entry'!$Î$865)</f>
      </c>
      <c r="EM865">
        <f>IF(ISBLANK('Data Entry'!$Ï$865), "", 'Data Entry'!$Ï$865)</f>
      </c>
      <c r="EN865">
        <f>IF(ISBLANK('Data Entry'!$Ð$865), "", 'Data Entry'!$Ð$865)</f>
      </c>
      <c r="EO865">
        <f>IF(ISBLANK('Data Entry'!$Ñ$865), "", 'Data Entry'!$Ñ$865)</f>
      </c>
      <c r="EP865">
        <f>IF(ISBLANK('Data Entry'!$Ò$865), "", 'Data Entry'!$Ò$865)</f>
      </c>
      <c r="EQ865">
        <f>IF(ISBLANK('Data Entry'!$Ó$865), "", 'Data Entry'!$Ó$865)</f>
      </c>
      <c r="ER865">
        <f>IF(ISBLANK('Data Entry'!$Ô$865), "", 'Data Entry'!$Ô$865)</f>
      </c>
      <c r="ES865">
        <f>IF(ISBLANK('Data Entry'!$Õ$865), "", 'Data Entry'!$Õ$865)</f>
      </c>
      <c r="ET865">
        <f>IF(ISBLANK('Data Entry'!$Ö$865), "", 'Data Entry'!$Ö$865)</f>
      </c>
      <c r="EU865">
        <f>IF(ISBLANK('Data Entry'!$×$865), "", 'Data Entry'!$×$865)</f>
      </c>
      <c r="EV865">
        <f>IF(ISBLANK('Data Entry'!$Ø$865), "", 'Data Entry'!$Ø$865)</f>
      </c>
      <c r="EW865">
        <f>IF(ISBLANK('Data Entry'!$Ù$865), "", 'Data Entry'!$Ù$865)</f>
      </c>
      <c r="EX865">
        <f>IF(ISBLANK('Data Entry'!$Ú$865), "", 'Data Entry'!$Ú$865)</f>
      </c>
      <c r="EY865">
        <f>IF(ISBLANK('Data Entry'!$Û$865), "", 'Data Entry'!$Û$865)</f>
      </c>
      <c r="EZ865">
        <f>IF(ISBLANK('Data Entry'!$Ü$865), "", 'Data Entry'!$Ü$865)</f>
      </c>
      <c r="FA865">
        <f>IF(ISBLANK('Data Entry'!$Ý$865), "", 'Data Entry'!$Ý$865)</f>
      </c>
      <c r="FB865">
        <f>IF(ISBLANK('Data Entry'!$Þ$865), "", 'Data Entry'!$Þ$865)</f>
      </c>
      <c r="FC865">
        <f>IF(ISBLANK('Data Entry'!$ß$865), "", 'Data Entry'!$ß$865)</f>
      </c>
      <c r="FD865">
        <f>IF(ISBLANK('Data Entry'!$à$865), "", 'Data Entry'!$à$865)</f>
      </c>
      <c r="FE865">
        <f>IF(ISBLANK('Data Entry'!$á$865), "", 'Data Entry'!$á$865)</f>
      </c>
      <c r="FF865">
        <f>IF(ISBLANK('Data Entry'!$â$865), "", 'Data Entry'!$â$865)</f>
      </c>
      <c r="FG865">
        <f>IF(ISBLANK('Data Entry'!$ã$865), "", 'Data Entry'!$ã$865)</f>
      </c>
      <c r="FH865">
        <f>IF(ISBLANK('Data Entry'!$ä$865), "", 'Data Entry'!$ä$865)</f>
      </c>
      <c r="FI865">
        <f>IF(ISBLANK('Data Entry'!$å$865), "", 'Data Entry'!$å$865)</f>
      </c>
      <c r="FJ865">
        <f>IF(ISBLANK('Data Entry'!$æ$865), "", 'Data Entry'!$æ$865)</f>
      </c>
      <c r="FK865">
        <f>IF(ISBLANK('Data Entry'!$ç$865), "", 'Data Entry'!$ç$865)</f>
      </c>
      <c r="FL865">
        <f>IF(ISBLANK('Data Entry'!$è$865), "", 'Data Entry'!$è$865)</f>
      </c>
      <c r="FM865">
        <f>IF(ISBLANK('Data Entry'!$é$865), "", 'Data Entry'!$é$865)</f>
      </c>
      <c r="FN865">
        <f>IF(ISBLANK('Data Entry'!$ê$865), "", 'Data Entry'!$ê$865)</f>
      </c>
      <c r="FO865">
        <f>IF(ISBLANK('Data Entry'!$ë$865), "", 'Data Entry'!$ë$865)</f>
      </c>
      <c r="FP865">
        <f>IF(ISBLANK('Data Entry'!$ì$865), "", 'Data Entry'!$ì$865)</f>
      </c>
      <c r="FQ865">
        <f>IF(ISBLANK('Data Entry'!$í$865), "", 'Data Entry'!$í$865)</f>
      </c>
      <c r="FR865">
        <f>IF(ISBLANK('Data Entry'!$î$865), "", 'Data Entry'!$î$865)</f>
      </c>
      <c r="FS865">
        <f>IF(ISBLANK('Data Entry'!$ï$865), "", 'Data Entry'!$ï$865)</f>
      </c>
      <c r="FT865">
        <f>IF(ISBLANK('Data Entry'!$ð$865), "", 'Data Entry'!$ð$865)</f>
      </c>
      <c r="FU865">
        <f>IF(ISBLANK('Data Entry'!$ñ$865), "", 'Data Entry'!$ñ$865)</f>
      </c>
      <c r="FV865">
        <f>IF(ISBLANK('Data Entry'!$ò$865), "", 'Data Entry'!$ò$865)</f>
      </c>
      <c r="FW865">
        <f>IF(ISBLANK('Data Entry'!$ó$865), "", 'Data Entry'!$ó$865)</f>
      </c>
      <c r="FX865">
        <f>IF(ISBLANK('Data Entry'!$ô$865), "", 'Data Entry'!$ô$865)</f>
      </c>
      <c r="FY865">
        <f>IF(ISBLANK('Data Entry'!$õ$865), "", 'Data Entry'!$õ$865)</f>
      </c>
      <c r="FZ865">
        <f>IF(ISBLANK('Data Entry'!$ö$865), "", 'Data Entry'!$ö$865)</f>
      </c>
      <c r="GA865">
        <f>IF(ISBLANK('Data Entry'!$÷$865), "", 'Data Entry'!$÷$865)</f>
      </c>
      <c r="GB865">
        <f>IF(ISBLANK('Data Entry'!$ø$865), "", 'Data Entry'!$ø$865)</f>
      </c>
      <c r="GC865">
        <f>IF(ISBLANK('Data Entry'!$ù$865), "", 'Data Entry'!$ù$865)</f>
      </c>
      <c r="GD865">
        <f>IF(ISBLANK('Data Entry'!$ú$865), "", 'Data Entry'!$ú$865)</f>
      </c>
      <c r="GE865">
        <f>IF(ISBLANK('Data Entry'!$û$865), "", 'Data Entry'!$û$865)</f>
      </c>
      <c r="GF865">
        <f>IF(ISBLANK('Data Entry'!$ü$865), "", 'Data Entry'!$ü$865)</f>
      </c>
      <c r="GG865">
        <f>IF(ISBLANK('Data Entry'!$ý$865), "", 'Data Entry'!$ý$865)</f>
      </c>
      <c r="GH865">
        <f>IF(ISBLANK('Data Entry'!$þ$865), "", 'Data Entry'!$þ$865)</f>
      </c>
      <c r="GI865">
        <f>IF(ISBLANK('Data Entry'!$ÿ$865), "", 'Data Entry'!$ÿ$865)</f>
      </c>
      <c r="GJ865">
        <f>IF(ISBLANK('Data Entry'!$Ā$865), "", 'Data Entry'!$Ā$865)</f>
      </c>
      <c r="GK865">
        <f>IF(ISBLANK('Data Entry'!$ā$865), "", 'Data Entry'!$ā$865)</f>
      </c>
      <c r="GL865">
        <f>IF(ISBLANK('Data Entry'!$Ă$865), "", 'Data Entry'!$Ă$865)</f>
      </c>
      <c r="GM865">
        <f>IF(ISBLANK('Data Entry'!$ă$865), "", 'Data Entry'!$ă$865)</f>
      </c>
      <c r="GN865">
        <f>IF(ISBLANK('Data Entry'!$Ą$865), "", 'Data Entry'!$Ą$865)</f>
      </c>
      <c r="GO865">
        <f>IF(ISBLANK('Data Entry'!$ą$865), "", 'Data Entry'!$ą$865)</f>
      </c>
      <c r="GP865">
        <f>IF(ISBLANK('Data Entry'!$Ć$865), "", 'Data Entry'!$Ć$865)</f>
      </c>
      <c r="GQ865">
        <f>IF(ISBLANK('Data Entry'!$ć$865), "", 'Data Entry'!$ć$865)</f>
      </c>
      <c r="GR865">
        <f>IF(ISBLANK('Data Entry'!$Ĉ$865), "", 'Data Entry'!$Ĉ$865)</f>
      </c>
      <c r="GS865">
        <f>IF(ISBLANK('Data Entry'!$ĉ$865), "", 'Data Entry'!$ĉ$865)</f>
      </c>
      <c r="GT865">
        <f>IF(ISBLANK('Data Entry'!$Ċ$865), "", 'Data Entry'!$Ċ$865)</f>
      </c>
      <c r="GU865">
        <f>IF(ISBLANK('Data Entry'!$ċ$865), "", 'Data Entry'!$ċ$865)</f>
      </c>
      <c r="GV865">
        <f>IF(ISBLANK('Data Entry'!$Č$865), "", 'Data Entry'!$Č$865)</f>
      </c>
      <c r="GW865">
        <f>IF(ISBLANK('Data Entry'!$č$865), "", 'Data Entry'!$č$865)</f>
      </c>
      <c r="GX865">
        <f>IF(ISBLANK('Data Entry'!$Ď$865), "", 'Data Entry'!$Ď$865)</f>
      </c>
      <c r="GY865">
        <f>IF(ISBLANK('Data Entry'!$ď$865), "", 'Data Entry'!$ď$865)</f>
      </c>
      <c r="GZ865">
        <f>IF(ISBLANK('Data Entry'!$Đ$865), "", 'Data Entry'!$Đ$865)</f>
      </c>
      <c r="HA865">
        <f>IF(ISBLANK('Data Entry'!$đ$865), "", 'Data Entry'!$đ$865)</f>
      </c>
      <c r="HB865">
        <f>IF(ISBLANK('Data Entry'!$Ē$865), "", 'Data Entry'!$Ē$865)</f>
      </c>
      <c r="HC865">
        <f>IF(ISBLANK('Data Entry'!$ē$865), "", 'Data Entry'!$ē$865)</f>
      </c>
      <c r="HD865">
        <f>IF(ISBLANK('Data Entry'!$Ĕ$865), "", 'Data Entry'!$Ĕ$865)</f>
      </c>
      <c r="HE865">
        <f>IF(ISBLANK('Data Entry'!$ĕ$865), "", 'Data Entry'!$ĕ$865)</f>
      </c>
      <c r="HF865">
        <f>IF(ISBLANK('Data Entry'!$Ė$865), "", 'Data Entry'!$Ė$865)</f>
      </c>
      <c r="HG865">
        <f>IF(ISBLANK('Data Entry'!$ė$865), "", 'Data Entry'!$ė$865)</f>
      </c>
      <c r="HH865">
        <f>IF(ISBLANK('Data Entry'!$Ę$865), "", 'Data Entry'!$Ę$865)</f>
      </c>
      <c r="HI865">
        <f>IF(ISBLANK('Data Entry'!$ę$865), "", 'Data Entry'!$ę$865)</f>
      </c>
      <c r="HJ865">
        <f>IF(ISBLANK('Data Entry'!$Ě$865), "", 'Data Entry'!$Ě$865)</f>
      </c>
      <c r="HK865">
        <f>IF(ISBLANK('Data Entry'!$ě$865), "", 'Data Entry'!$ě$865)</f>
      </c>
      <c r="HL865">
        <f>IF(ISBLANK('Data Entry'!$Ĝ$865), "", 'Data Entry'!$Ĝ$865)</f>
      </c>
      <c r="HM865">
        <f>IF(ISBLANK('Data Entry'!$ĝ$865), "", 'Data Entry'!$ĝ$865)</f>
      </c>
      <c r="HN865">
        <f>IF(ISBLANK('Data Entry'!$Ğ$865), "", 'Data Entry'!$Ğ$865)</f>
      </c>
      <c r="HO865">
        <f>IF(ISBLANK('Data Entry'!$ğ$865), "", 'Data Entry'!$ğ$865)</f>
      </c>
      <c r="HP865">
        <f>IF(ISBLANK('Data Entry'!$Ġ$865), "", 'Data Entry'!$Ġ$865)</f>
      </c>
      <c r="HQ865">
        <f>IF(ISBLANK('Data Entry'!$ġ$865), "", 'Data Entry'!$ġ$865)</f>
      </c>
      <c r="HR865">
        <f>IF(ISBLANK('Data Entry'!$Ģ$865), "", 'Data Entry'!$Ģ$865)</f>
      </c>
      <c r="HS865">
        <f>IF(ISBLANK('Data Entry'!$ģ$865), "", 'Data Entry'!$ģ$865)</f>
      </c>
      <c r="HT865">
        <f>IF(ISBLANK('Data Entry'!$Ĥ$865), "", 'Data Entry'!$Ĥ$865)</f>
      </c>
      <c r="HU865">
        <f>IF(ISBLANK('Data Entry'!$ĥ$865), "", 'Data Entry'!$ĥ$865)</f>
      </c>
      <c r="HV865">
        <f>IF(ISBLANK('Data Entry'!$Ħ$865), "", 'Data Entry'!$Ħ$865)</f>
      </c>
      <c r="HW865">
        <f>IF(ISBLANK('Data Entry'!$ħ$865), "", 'Data Entry'!$ħ$865)</f>
      </c>
      <c r="HX865">
        <f>IF(ISBLANK('Data Entry'!$Ĩ$865), "", 'Data Entry'!$Ĩ$865)</f>
      </c>
      <c r="HY865">
        <f>IF(ISBLANK('Data Entry'!$ĩ$865), "", 'Data Entry'!$ĩ$865)</f>
      </c>
      <c r="HZ865">
        <f>IF(ISBLANK('Data Entry'!$Ī$865), "", 'Data Entry'!$Ī$865)</f>
      </c>
      <c r="IA865">
        <f>IF(ISBLANK('Data Entry'!$ī$865), "", 'Data Entry'!$ī$865)</f>
      </c>
      <c r="IB865">
        <f>IF(ISBLANK('Data Entry'!$Ĭ$865), "", 'Data Entry'!$Ĭ$865)</f>
      </c>
      <c r="IC865">
        <f>IF(ISBLANK('Data Entry'!$ĭ$865), "", 'Data Entry'!$ĭ$865)</f>
      </c>
      <c r="ID865">
        <f>IF(ISBLANK('Data Entry'!$Į$865), "", 'Data Entry'!$Į$865)</f>
      </c>
      <c r="IE865">
        <f>IF(ISBLANK('Data Entry'!$į$865), "", 'Data Entry'!$į$865)</f>
      </c>
      <c r="IF865">
        <f>IF(ISBLANK('Data Entry'!$İ$865), "", 'Data Entry'!$İ$865)</f>
      </c>
      <c r="IG865">
        <f>IF(ISBLANK('Data Entry'!$ı$865), "", 'Data Entry'!$ı$865)</f>
      </c>
      <c r="IH865">
        <f>IF(ISBLANK('Data Entry'!$Ĳ$865), "", 'Data Entry'!$Ĳ$865)</f>
      </c>
      <c r="II865">
        <f>IF(ISBLANK('Data Entry'!$ĳ$865), "", 'Data Entry'!$ĳ$865)</f>
      </c>
      <c r="IJ865">
        <f>IF(ISBLANK('Data Entry'!$Ĵ$865), "", 'Data Entry'!$Ĵ$865)</f>
      </c>
      <c r="IK865">
        <f>IF(ISBLANK('Data Entry'!$ĵ$865), "", 'Data Entry'!$ĵ$865)</f>
      </c>
      <c r="IL865">
        <f>IF(ISBLANK('Data Entry'!$Ķ$865), "", 'Data Entry'!$Ķ$865)</f>
      </c>
      <c r="IM865">
        <f>IF(ISBLANK('Data Entry'!$ķ$865), "", 'Data Entry'!$ķ$865)</f>
      </c>
      <c r="IN865">
        <f>IF(ISBLANK('Data Entry'!$ĸ$865), "", 'Data Entry'!$ĸ$865)</f>
      </c>
      <c r="IO865">
        <f>IF(ISBLANK('Data Entry'!$Ĺ$865), "", 'Data Entry'!$Ĺ$865)</f>
      </c>
      <c r="IP865">
        <f>IF(ISBLANK('Data Entry'!$ĺ$865), "", 'Data Entry'!$ĺ$865)</f>
      </c>
      <c r="IQ865">
        <f>IF(ISBLANK('Data Entry'!$Ļ$865), "", 'Data Entry'!$Ļ$865)</f>
      </c>
      <c r="IR865">
        <f>IF(ISBLANK('Data Entry'!$ļ$865), "", 'Data Entry'!$ļ$865)</f>
      </c>
      <c r="IS865">
        <f>IF(ISBLANK('Data Entry'!$Ľ$865), "", 'Data Entry'!$Ľ$865)</f>
      </c>
      <c r="IT865">
        <f>IF(ISBLANK('Data Entry'!$ľ$865), "", 'Data Entry'!$ľ$865)</f>
      </c>
    </row>
    <row r="866" spans="1:254" x14ac:dyDescent="0.25">
      <c r="A866">
        <f>IF(ISBLANK('Data Entry'!$A$866), "", 'Data Entry'!$A$866)</f>
      </c>
      <c r="B866">
        <f>IF(ISBLANK('Data Entry'!$B$866), "", 'Data Entry'!$B$866)</f>
      </c>
      <c r="C866">
        <f>IF(ISBLANK('Data Entry'!$C$866), "", 'Data Entry'!$C$866)</f>
      </c>
      <c r="D866">
        <f>IF(ISBLANK('Data Entry'!$D$866), "", 'Data Entry'!$D$866)</f>
      </c>
      <c r="E866">
        <f>IF(ISBLANK('Data Entry'!$E$866), "", 'Data Entry'!$E$866)</f>
      </c>
      <c r="F866">
        <f>IF(ISBLANK('Data Entry'!$F$866), "", 'Data Entry'!$F$866)</f>
      </c>
      <c r="G866">
        <f>IF(ISBLANK('Data Entry'!$G$866), "", 'Data Entry'!$G$866)</f>
      </c>
      <c r="H866">
        <f>IF(ISBLANK('Data Entry'!$H$866), "", 'Data Entry'!$H$866)</f>
      </c>
      <c r="I866">
        <f>IF(ISBLANK('Data Entry'!$I$866), "", 'Data Entry'!$I$866)</f>
      </c>
      <c r="J866">
        <f>IF(ISBLANK('Data Entry'!$J$866), "", 'Data Entry'!$J$866)</f>
      </c>
      <c r="K866">
        <f>IF(ISBLANK('Data Entry'!$K$866), "", 'Data Entry'!$K$866)</f>
      </c>
      <c r="L866">
        <f>IF(ISBLANK('Data Entry'!$L$866), "", 'Data Entry'!$L$866)</f>
      </c>
      <c r="M866">
        <f>IF(ISBLANK('Data Entry'!$M$866), "", 'Data Entry'!$M$866)</f>
      </c>
      <c r="N866">
        <f>IF(ISBLANK('Data Entry'!$N$866), "", 'Data Entry'!$N$866)</f>
      </c>
      <c r="O866">
        <f>IF(ISBLANK('Data Entry'!$O$866), "", 'Data Entry'!$O$866)</f>
      </c>
      <c r="P866">
        <f>IF(ISBLANK('Data Entry'!$P$866), "", 'Data Entry'!$P$866)</f>
      </c>
      <c r="Q866">
        <f>IF(ISBLANK('Data Entry'!$Q$866), "", 'Data Entry'!$Q$866)</f>
      </c>
      <c r="R866">
        <f>IF(ISBLANK('Data Entry'!$R$866), "", 'Data Entry'!$R$866)</f>
      </c>
      <c r="S866">
        <f>IF(ISBLANK('Data Entry'!$S$866), "", 'Data Entry'!$S$866)</f>
      </c>
      <c r="T866">
        <f>IF(ISBLANK('Data Entry'!$T$866), "", 'Data Entry'!$T$866)</f>
      </c>
      <c r="U866">
        <f>IF(ISBLANK('Data Entry'!$U$866), "", 'Data Entry'!$U$866)</f>
      </c>
      <c r="V866">
        <f>IF(ISBLANK('Data Entry'!$V$866), "", 'Data Entry'!$V$866)</f>
      </c>
      <c r="W866">
        <f>IF(ISBLANK('Data Entry'!$W$866), "", 'Data Entry'!$W$866)</f>
      </c>
      <c r="X866">
        <f>IF(ISBLANK('Data Entry'!$X$866), "", 'Data Entry'!$X$866)</f>
      </c>
      <c r="Y866">
        <f>IF(ISBLANK('Data Entry'!$Y$866), "", 'Data Entry'!$Y$866)</f>
      </c>
      <c r="Z866">
        <f>IF(ISBLANK('Data Entry'!$Z$866), "", 'Data Entry'!$Z$866)</f>
      </c>
      <c r="AA866">
        <f>IF(ISBLANK('Data Entry'!$[$866), "", 'Data Entry'!$[$866)</f>
      </c>
      <c r="AB866">
        <f>IF(ISBLANK('Data Entry'!$\$866), "", 'Data Entry'!$\$866)</f>
      </c>
      <c r="AC866">
        <f>IF(ISBLANK('Data Entry'!$]$866), "", 'Data Entry'!$]$866)</f>
      </c>
      <c r="AD866">
        <f>IF(ISBLANK('Data Entry'!$^$866), "", 'Data Entry'!$^$866)</f>
      </c>
      <c r="AE866">
        <f>IF(ISBLANK('Data Entry'!$_$866), "", 'Data Entry'!$_$866)</f>
      </c>
      <c r="AF866">
        <f>IF(ISBLANK('Data Entry'!$`$866), "", 'Data Entry'!$`$866)</f>
      </c>
      <c r="AG866">
        <f>IF(ISBLANK('Data Entry'!$a$866), "", 'Data Entry'!$a$866)</f>
      </c>
      <c r="AH866">
        <f>IF(ISBLANK('Data Entry'!$b$866), "", 'Data Entry'!$b$866)</f>
      </c>
      <c r="AI866">
        <f>IF(ISBLANK('Data Entry'!$c$866), "", 'Data Entry'!$c$866)</f>
      </c>
      <c r="AJ866">
        <f>IF(ISBLANK('Data Entry'!$d$866), "", 'Data Entry'!$d$866)</f>
      </c>
      <c r="AK866">
        <f>IF(ISBLANK('Data Entry'!$e$866), "", 'Data Entry'!$e$866)</f>
      </c>
      <c r="AL866">
        <f>IF(ISBLANK('Data Entry'!$f$866), "", 'Data Entry'!$f$866)</f>
      </c>
      <c r="AM866">
        <f>IF(ISBLANK('Data Entry'!$g$866), "", 'Data Entry'!$g$866)</f>
      </c>
      <c r="AN866">
        <f>IF(ISBLANK('Data Entry'!$h$866), "", 'Data Entry'!$h$866)</f>
      </c>
      <c r="AO866">
        <f>IF(ISBLANK('Data Entry'!$i$866), "", 'Data Entry'!$i$866)</f>
      </c>
      <c r="AP866">
        <f>IF(ISBLANK('Data Entry'!$j$866), "", 'Data Entry'!$j$866)</f>
      </c>
      <c r="AQ866">
        <f>IF(ISBLANK('Data Entry'!$k$866), "", 'Data Entry'!$k$866)</f>
      </c>
      <c r="AR866">
        <f>IF(ISBLANK('Data Entry'!$l$866), "", 'Data Entry'!$l$866)</f>
      </c>
      <c r="AS866">
        <f>IF(ISBLANK('Data Entry'!$m$866), "", 'Data Entry'!$m$866)</f>
      </c>
      <c r="AT866">
        <f>IF(ISBLANK('Data Entry'!$n$866), "", 'Data Entry'!$n$866)</f>
      </c>
      <c r="AU866">
        <f>IF(ISBLANK('Data Entry'!$o$866), "", 'Data Entry'!$o$866)</f>
      </c>
      <c r="AV866">
        <f>IF(ISBLANK('Data Entry'!$p$866), "", 'Data Entry'!$p$866)</f>
      </c>
      <c r="AW866">
        <f>IF(ISBLANK('Data Entry'!$q$866), "", 'Data Entry'!$q$866)</f>
      </c>
      <c r="AX866">
        <f>IF(ISBLANK('Data Entry'!$r$866), "", 'Data Entry'!$r$866)</f>
      </c>
      <c r="AY866">
        <f>IF(ISBLANK('Data Entry'!$s$866), "", 'Data Entry'!$s$866)</f>
      </c>
      <c r="AZ866">
        <f>IF(ISBLANK('Data Entry'!$t$866), "", 'Data Entry'!$t$866)</f>
      </c>
      <c r="BA866">
        <f>IF(ISBLANK('Data Entry'!$u$866), "", 'Data Entry'!$u$866)</f>
      </c>
      <c r="BB866">
        <f>IF(ISBLANK('Data Entry'!$v$866), "", 'Data Entry'!$v$866)</f>
      </c>
      <c r="BC866">
        <f>IF(ISBLANK('Data Entry'!$w$866), "", 'Data Entry'!$w$866)</f>
      </c>
      <c r="BD866">
        <f>IF(ISBLANK('Data Entry'!$x$866), "", 'Data Entry'!$x$866)</f>
      </c>
      <c r="BE866">
        <f>IF(ISBLANK('Data Entry'!$y$866), "", 'Data Entry'!$y$866)</f>
      </c>
      <c r="BF866">
        <f>IF(ISBLANK('Data Entry'!$z$866), "", 'Data Entry'!$z$866)</f>
      </c>
      <c r="BG866">
        <f>IF(ISBLANK('Data Entry'!${$866), "", 'Data Entry'!${$866)</f>
      </c>
      <c r="BH866">
        <f>IF(ISBLANK('Data Entry'!$|$866), "", 'Data Entry'!$|$866)</f>
      </c>
      <c r="BI866">
        <f>IF(ISBLANK('Data Entry'!$}$866), "", 'Data Entry'!$}$866)</f>
      </c>
      <c r="BJ866">
        <f>IF(ISBLANK('Data Entry'!$~$866), "", 'Data Entry'!$~$866)</f>
      </c>
      <c r="BK866">
        <f>IF(ISBLANK('Data Entry'!$$866), "", 'Data Entry'!$$866)</f>
      </c>
      <c r="BL866">
        <f>IF(ISBLANK('Data Entry'!$$866), "", 'Data Entry'!$$866)</f>
      </c>
      <c r="BM866">
        <f>IF(ISBLANK('Data Entry'!$$866), "", 'Data Entry'!$$866)</f>
      </c>
      <c r="BN866">
        <f>IF(ISBLANK('Data Entry'!$$866), "", 'Data Entry'!$$866)</f>
      </c>
      <c r="BO866">
        <f>IF(ISBLANK('Data Entry'!$$866), "", 'Data Entry'!$$866)</f>
      </c>
      <c r="BP866">
        <f>IF(ISBLANK('Data Entry'!$$866), "", 'Data Entry'!$$866)</f>
      </c>
      <c r="BQ866">
        <f>IF(ISBLANK('Data Entry'!$$866), "", 'Data Entry'!$$866)</f>
      </c>
      <c r="BR866">
        <f>IF(ISBLANK('Data Entry'!$$866), "", 'Data Entry'!$$866)</f>
      </c>
      <c r="BS866">
        <f>IF(ISBLANK('Data Entry'!$$866), "", 'Data Entry'!$$866)</f>
      </c>
      <c r="BT866">
        <f>IF(ISBLANK('Data Entry'!$$866), "", 'Data Entry'!$$866)</f>
      </c>
      <c r="BU866">
        <f>IF(ISBLANK('Data Entry'!$$866), "", 'Data Entry'!$$866)</f>
      </c>
      <c r="BV866">
        <f>IF(ISBLANK('Data Entry'!$$866), "", 'Data Entry'!$$866)</f>
      </c>
      <c r="BW866">
        <f>IF(ISBLANK('Data Entry'!$$866), "", 'Data Entry'!$$866)</f>
      </c>
      <c r="BX866">
        <f>IF(ISBLANK('Data Entry'!$$866), "", 'Data Entry'!$$866)</f>
      </c>
      <c r="BY866">
        <f>IF(ISBLANK('Data Entry'!$$866), "", 'Data Entry'!$$866)</f>
      </c>
      <c r="BZ866">
        <f>IF(ISBLANK('Data Entry'!$$866), "", 'Data Entry'!$$866)</f>
      </c>
      <c r="CA866">
        <f>IF(ISBLANK('Data Entry'!$$866), "", 'Data Entry'!$$866)</f>
      </c>
      <c r="CB866">
        <f>IF(ISBLANK('Data Entry'!$$866), "", 'Data Entry'!$$866)</f>
      </c>
      <c r="CC866">
        <f>IF(ISBLANK('Data Entry'!$$866), "", 'Data Entry'!$$866)</f>
      </c>
      <c r="CD866">
        <f>IF(ISBLANK('Data Entry'!$$866), "", 'Data Entry'!$$866)</f>
      </c>
      <c r="CE866">
        <f>IF(ISBLANK('Data Entry'!$$866), "", 'Data Entry'!$$866)</f>
      </c>
      <c r="CF866">
        <f>IF(ISBLANK('Data Entry'!$$866), "", 'Data Entry'!$$866)</f>
      </c>
      <c r="CG866">
        <f>IF(ISBLANK('Data Entry'!$$866), "", 'Data Entry'!$$866)</f>
      </c>
      <c r="CH866">
        <f>IF(ISBLANK('Data Entry'!$$866), "", 'Data Entry'!$$866)</f>
      </c>
      <c r="CI866">
        <f>IF(ISBLANK('Data Entry'!$$866), "", 'Data Entry'!$$866)</f>
      </c>
      <c r="CJ866">
        <f>IF(ISBLANK('Data Entry'!$$866), "", 'Data Entry'!$$866)</f>
      </c>
      <c r="CK866">
        <f>IF(ISBLANK('Data Entry'!$$866), "", 'Data Entry'!$$866)</f>
      </c>
      <c r="CL866">
        <f>IF(ISBLANK('Data Entry'!$$866), "", 'Data Entry'!$$866)</f>
      </c>
      <c r="CM866">
        <f>IF(ISBLANK('Data Entry'!$$866), "", 'Data Entry'!$$866)</f>
      </c>
      <c r="CN866">
        <f>IF(ISBLANK('Data Entry'!$$866), "", 'Data Entry'!$$866)</f>
      </c>
      <c r="CO866">
        <f>IF(ISBLANK('Data Entry'!$$866), "", 'Data Entry'!$$866)</f>
      </c>
      <c r="CP866">
        <f>IF(ISBLANK('Data Entry'!$$866), "", 'Data Entry'!$$866)</f>
      </c>
      <c r="CQ866">
        <f>IF(ISBLANK('Data Entry'!$$866), "", 'Data Entry'!$$866)</f>
      </c>
      <c r="CR866">
        <f>IF(ISBLANK('Data Entry'!$ $866), "", 'Data Entry'!$ $866)</f>
      </c>
      <c r="CS866">
        <f>IF(ISBLANK('Data Entry'!$¡$866), "", 'Data Entry'!$¡$866)</f>
      </c>
      <c r="CT866">
        <f>IF(ISBLANK('Data Entry'!$¢$866), "", 'Data Entry'!$¢$866)</f>
      </c>
      <c r="CU866">
        <f>IF(ISBLANK('Data Entry'!$£$866), "", 'Data Entry'!$£$866)</f>
      </c>
      <c r="CV866">
        <f>IF(ISBLANK('Data Entry'!$¤$866), "", 'Data Entry'!$¤$866)</f>
      </c>
      <c r="CW866">
        <f>IF(ISBLANK('Data Entry'!$¥$866), "", 'Data Entry'!$¥$866)</f>
      </c>
      <c r="CX866">
        <f>IF(ISBLANK('Data Entry'!$¦$866), "", 'Data Entry'!$¦$866)</f>
      </c>
      <c r="CY866">
        <f>IF(ISBLANK('Data Entry'!$§$866), "", 'Data Entry'!$§$866)</f>
      </c>
      <c r="CZ866">
        <f>IF(ISBLANK('Data Entry'!$¨$866), "", 'Data Entry'!$¨$866)</f>
      </c>
      <c r="DA866">
        <f>IF(ISBLANK('Data Entry'!$©$866), "", 'Data Entry'!$©$866)</f>
      </c>
      <c r="DB866">
        <f>IF(ISBLANK('Data Entry'!$ª$866), "", 'Data Entry'!$ª$866)</f>
      </c>
      <c r="DC866">
        <f>IF(ISBLANK('Data Entry'!$«$866), "", 'Data Entry'!$«$866)</f>
      </c>
      <c r="DD866">
        <f>IF(ISBLANK('Data Entry'!$¬$866), "", 'Data Entry'!$¬$866)</f>
      </c>
      <c r="DE866">
        <f>IF(ISBLANK('Data Entry'!$­$866), "", 'Data Entry'!$­$866)</f>
      </c>
      <c r="DF866">
        <f>IF(ISBLANK('Data Entry'!$®$866), "", 'Data Entry'!$®$866)</f>
      </c>
      <c r="DG866">
        <f>IF(ISBLANK('Data Entry'!$¯$866), "", 'Data Entry'!$¯$866)</f>
      </c>
      <c r="DH866">
        <f>IF(ISBLANK('Data Entry'!$°$866), "", 'Data Entry'!$°$866)</f>
      </c>
      <c r="DI866">
        <f>IF(ISBLANK('Data Entry'!$±$866), "", 'Data Entry'!$±$866)</f>
      </c>
      <c r="DJ866">
        <f>IF(ISBLANK('Data Entry'!$²$866), "", 'Data Entry'!$²$866)</f>
      </c>
      <c r="DK866">
        <f>IF(ISBLANK('Data Entry'!$³$866), "", 'Data Entry'!$³$866)</f>
      </c>
      <c r="DL866">
        <f>IF(ISBLANK('Data Entry'!$´$866), "", 'Data Entry'!$´$866)</f>
      </c>
      <c r="DM866">
        <f>IF(ISBLANK('Data Entry'!$µ$866), "", 'Data Entry'!$µ$866)</f>
      </c>
      <c r="DN866">
        <f>IF(ISBLANK('Data Entry'!$¶$866), "", 'Data Entry'!$¶$866)</f>
      </c>
      <c r="DO866">
        <f>IF(ISBLANK('Data Entry'!$·$866), "", 'Data Entry'!$·$866)</f>
      </c>
      <c r="DP866">
        <f>IF(ISBLANK('Data Entry'!$¸$866), "", 'Data Entry'!$¸$866)</f>
      </c>
      <c r="DQ866">
        <f>IF(ISBLANK('Data Entry'!$¹$866), "", 'Data Entry'!$¹$866)</f>
      </c>
      <c r="DR866">
        <f>IF(ISBLANK('Data Entry'!$º$866), "", 'Data Entry'!$º$866)</f>
      </c>
      <c r="DS866">
        <f>IF(ISBLANK('Data Entry'!$»$866), "", 'Data Entry'!$»$866)</f>
      </c>
      <c r="DT866">
        <f>IF(ISBLANK('Data Entry'!$¼$866), "", 'Data Entry'!$¼$866)</f>
      </c>
      <c r="DU866">
        <f>IF(ISBLANK('Data Entry'!$½$866), "", 'Data Entry'!$½$866)</f>
      </c>
      <c r="DV866">
        <f>IF(ISBLANK('Data Entry'!$¾$866), "", 'Data Entry'!$¾$866)</f>
      </c>
      <c r="DW866">
        <f>IF(ISBLANK('Data Entry'!$¿$866), "", 'Data Entry'!$¿$866)</f>
      </c>
      <c r="DX866">
        <f>IF(ISBLANK('Data Entry'!$À$866), "", 'Data Entry'!$À$866)</f>
      </c>
      <c r="DY866">
        <f>IF(ISBLANK('Data Entry'!$Á$866), "", 'Data Entry'!$Á$866)</f>
      </c>
      <c r="DZ866">
        <f>IF(ISBLANK('Data Entry'!$Â$866), "", 'Data Entry'!$Â$866)</f>
      </c>
      <c r="EA866">
        <f>IF(ISBLANK('Data Entry'!$Ã$866), "", 'Data Entry'!$Ã$866)</f>
      </c>
      <c r="EB866">
        <f>IF(ISBLANK('Data Entry'!$Ä$866), "", 'Data Entry'!$Ä$866)</f>
      </c>
      <c r="EC866">
        <f>IF(ISBLANK('Data Entry'!$Å$866), "", 'Data Entry'!$Å$866)</f>
      </c>
      <c r="ED866">
        <f>IF(ISBLANK('Data Entry'!$Æ$866), "", 'Data Entry'!$Æ$866)</f>
      </c>
      <c r="EE866">
        <f>IF(ISBLANK('Data Entry'!$Ç$866), "", 'Data Entry'!$Ç$866)</f>
      </c>
      <c r="EF866">
        <f>IF(ISBLANK('Data Entry'!$È$866), "", 'Data Entry'!$È$866)</f>
      </c>
      <c r="EG866">
        <f>IF(ISBLANK('Data Entry'!$É$866), "", 'Data Entry'!$É$866)</f>
      </c>
      <c r="EH866">
        <f>IF(ISBLANK('Data Entry'!$Ê$866), "", 'Data Entry'!$Ê$866)</f>
      </c>
      <c r="EI866">
        <f>IF(ISBLANK('Data Entry'!$Ë$866), "", 'Data Entry'!$Ë$866)</f>
      </c>
      <c r="EJ866">
        <f>IF(ISBLANK('Data Entry'!$Ì$866), "", 'Data Entry'!$Ì$866)</f>
      </c>
      <c r="EK866">
        <f>IF(ISBLANK('Data Entry'!$Í$866), "", 'Data Entry'!$Í$866)</f>
      </c>
      <c r="EL866">
        <f>IF(ISBLANK('Data Entry'!$Î$866), "", 'Data Entry'!$Î$866)</f>
      </c>
      <c r="EM866">
        <f>IF(ISBLANK('Data Entry'!$Ï$866), "", 'Data Entry'!$Ï$866)</f>
      </c>
      <c r="EN866">
        <f>IF(ISBLANK('Data Entry'!$Ð$866), "", 'Data Entry'!$Ð$866)</f>
      </c>
      <c r="EO866">
        <f>IF(ISBLANK('Data Entry'!$Ñ$866), "", 'Data Entry'!$Ñ$866)</f>
      </c>
      <c r="EP866">
        <f>IF(ISBLANK('Data Entry'!$Ò$866), "", 'Data Entry'!$Ò$866)</f>
      </c>
      <c r="EQ866">
        <f>IF(ISBLANK('Data Entry'!$Ó$866), "", 'Data Entry'!$Ó$866)</f>
      </c>
      <c r="ER866">
        <f>IF(ISBLANK('Data Entry'!$Ô$866), "", 'Data Entry'!$Ô$866)</f>
      </c>
      <c r="ES866">
        <f>IF(ISBLANK('Data Entry'!$Õ$866), "", 'Data Entry'!$Õ$866)</f>
      </c>
      <c r="ET866">
        <f>IF(ISBLANK('Data Entry'!$Ö$866), "", 'Data Entry'!$Ö$866)</f>
      </c>
      <c r="EU866">
        <f>IF(ISBLANK('Data Entry'!$×$866), "", 'Data Entry'!$×$866)</f>
      </c>
      <c r="EV866">
        <f>IF(ISBLANK('Data Entry'!$Ø$866), "", 'Data Entry'!$Ø$866)</f>
      </c>
      <c r="EW866">
        <f>IF(ISBLANK('Data Entry'!$Ù$866), "", 'Data Entry'!$Ù$866)</f>
      </c>
      <c r="EX866">
        <f>IF(ISBLANK('Data Entry'!$Ú$866), "", 'Data Entry'!$Ú$866)</f>
      </c>
      <c r="EY866">
        <f>IF(ISBLANK('Data Entry'!$Û$866), "", 'Data Entry'!$Û$866)</f>
      </c>
      <c r="EZ866">
        <f>IF(ISBLANK('Data Entry'!$Ü$866), "", 'Data Entry'!$Ü$866)</f>
      </c>
      <c r="FA866">
        <f>IF(ISBLANK('Data Entry'!$Ý$866), "", 'Data Entry'!$Ý$866)</f>
      </c>
      <c r="FB866">
        <f>IF(ISBLANK('Data Entry'!$Þ$866), "", 'Data Entry'!$Þ$866)</f>
      </c>
      <c r="FC866">
        <f>IF(ISBLANK('Data Entry'!$ß$866), "", 'Data Entry'!$ß$866)</f>
      </c>
      <c r="FD866">
        <f>IF(ISBLANK('Data Entry'!$à$866), "", 'Data Entry'!$à$866)</f>
      </c>
      <c r="FE866">
        <f>IF(ISBLANK('Data Entry'!$á$866), "", 'Data Entry'!$á$866)</f>
      </c>
      <c r="FF866">
        <f>IF(ISBLANK('Data Entry'!$â$866), "", 'Data Entry'!$â$866)</f>
      </c>
      <c r="FG866">
        <f>IF(ISBLANK('Data Entry'!$ã$866), "", 'Data Entry'!$ã$866)</f>
      </c>
      <c r="FH866">
        <f>IF(ISBLANK('Data Entry'!$ä$866), "", 'Data Entry'!$ä$866)</f>
      </c>
      <c r="FI866">
        <f>IF(ISBLANK('Data Entry'!$å$866), "", 'Data Entry'!$å$866)</f>
      </c>
      <c r="FJ866">
        <f>IF(ISBLANK('Data Entry'!$æ$866), "", 'Data Entry'!$æ$866)</f>
      </c>
      <c r="FK866">
        <f>IF(ISBLANK('Data Entry'!$ç$866), "", 'Data Entry'!$ç$866)</f>
      </c>
      <c r="FL866">
        <f>IF(ISBLANK('Data Entry'!$è$866), "", 'Data Entry'!$è$866)</f>
      </c>
      <c r="FM866">
        <f>IF(ISBLANK('Data Entry'!$é$866), "", 'Data Entry'!$é$866)</f>
      </c>
      <c r="FN866">
        <f>IF(ISBLANK('Data Entry'!$ê$866), "", 'Data Entry'!$ê$866)</f>
      </c>
      <c r="FO866">
        <f>IF(ISBLANK('Data Entry'!$ë$866), "", 'Data Entry'!$ë$866)</f>
      </c>
      <c r="FP866">
        <f>IF(ISBLANK('Data Entry'!$ì$866), "", 'Data Entry'!$ì$866)</f>
      </c>
      <c r="FQ866">
        <f>IF(ISBLANK('Data Entry'!$í$866), "", 'Data Entry'!$í$866)</f>
      </c>
      <c r="FR866">
        <f>IF(ISBLANK('Data Entry'!$î$866), "", 'Data Entry'!$î$866)</f>
      </c>
      <c r="FS866">
        <f>IF(ISBLANK('Data Entry'!$ï$866), "", 'Data Entry'!$ï$866)</f>
      </c>
      <c r="FT866">
        <f>IF(ISBLANK('Data Entry'!$ð$866), "", 'Data Entry'!$ð$866)</f>
      </c>
      <c r="FU866">
        <f>IF(ISBLANK('Data Entry'!$ñ$866), "", 'Data Entry'!$ñ$866)</f>
      </c>
      <c r="FV866">
        <f>IF(ISBLANK('Data Entry'!$ò$866), "", 'Data Entry'!$ò$866)</f>
      </c>
      <c r="FW866">
        <f>IF(ISBLANK('Data Entry'!$ó$866), "", 'Data Entry'!$ó$866)</f>
      </c>
      <c r="FX866">
        <f>IF(ISBLANK('Data Entry'!$ô$866), "", 'Data Entry'!$ô$866)</f>
      </c>
      <c r="FY866">
        <f>IF(ISBLANK('Data Entry'!$õ$866), "", 'Data Entry'!$õ$866)</f>
      </c>
      <c r="FZ866">
        <f>IF(ISBLANK('Data Entry'!$ö$866), "", 'Data Entry'!$ö$866)</f>
      </c>
      <c r="GA866">
        <f>IF(ISBLANK('Data Entry'!$÷$866), "", 'Data Entry'!$÷$866)</f>
      </c>
      <c r="GB866">
        <f>IF(ISBLANK('Data Entry'!$ø$866), "", 'Data Entry'!$ø$866)</f>
      </c>
      <c r="GC866">
        <f>IF(ISBLANK('Data Entry'!$ù$866), "", 'Data Entry'!$ù$866)</f>
      </c>
      <c r="GD866">
        <f>IF(ISBLANK('Data Entry'!$ú$866), "", 'Data Entry'!$ú$866)</f>
      </c>
      <c r="GE866">
        <f>IF(ISBLANK('Data Entry'!$û$866), "", 'Data Entry'!$û$866)</f>
      </c>
      <c r="GF866">
        <f>IF(ISBLANK('Data Entry'!$ü$866), "", 'Data Entry'!$ü$866)</f>
      </c>
      <c r="GG866">
        <f>IF(ISBLANK('Data Entry'!$ý$866), "", 'Data Entry'!$ý$866)</f>
      </c>
      <c r="GH866">
        <f>IF(ISBLANK('Data Entry'!$þ$866), "", 'Data Entry'!$þ$866)</f>
      </c>
      <c r="GI866">
        <f>IF(ISBLANK('Data Entry'!$ÿ$866), "", 'Data Entry'!$ÿ$866)</f>
      </c>
      <c r="GJ866">
        <f>IF(ISBLANK('Data Entry'!$Ā$866), "", 'Data Entry'!$Ā$866)</f>
      </c>
      <c r="GK866">
        <f>IF(ISBLANK('Data Entry'!$ā$866), "", 'Data Entry'!$ā$866)</f>
      </c>
      <c r="GL866">
        <f>IF(ISBLANK('Data Entry'!$Ă$866), "", 'Data Entry'!$Ă$866)</f>
      </c>
      <c r="GM866">
        <f>IF(ISBLANK('Data Entry'!$ă$866), "", 'Data Entry'!$ă$866)</f>
      </c>
      <c r="GN866">
        <f>IF(ISBLANK('Data Entry'!$Ą$866), "", 'Data Entry'!$Ą$866)</f>
      </c>
      <c r="GO866">
        <f>IF(ISBLANK('Data Entry'!$ą$866), "", 'Data Entry'!$ą$866)</f>
      </c>
      <c r="GP866">
        <f>IF(ISBLANK('Data Entry'!$Ć$866), "", 'Data Entry'!$Ć$866)</f>
      </c>
      <c r="GQ866">
        <f>IF(ISBLANK('Data Entry'!$ć$866), "", 'Data Entry'!$ć$866)</f>
      </c>
      <c r="GR866">
        <f>IF(ISBLANK('Data Entry'!$Ĉ$866), "", 'Data Entry'!$Ĉ$866)</f>
      </c>
      <c r="GS866">
        <f>IF(ISBLANK('Data Entry'!$ĉ$866), "", 'Data Entry'!$ĉ$866)</f>
      </c>
      <c r="GT866">
        <f>IF(ISBLANK('Data Entry'!$Ċ$866), "", 'Data Entry'!$Ċ$866)</f>
      </c>
      <c r="GU866">
        <f>IF(ISBLANK('Data Entry'!$ċ$866), "", 'Data Entry'!$ċ$866)</f>
      </c>
      <c r="GV866">
        <f>IF(ISBLANK('Data Entry'!$Č$866), "", 'Data Entry'!$Č$866)</f>
      </c>
      <c r="GW866">
        <f>IF(ISBLANK('Data Entry'!$č$866), "", 'Data Entry'!$č$866)</f>
      </c>
      <c r="GX866">
        <f>IF(ISBLANK('Data Entry'!$Ď$866), "", 'Data Entry'!$Ď$866)</f>
      </c>
      <c r="GY866">
        <f>IF(ISBLANK('Data Entry'!$ď$866), "", 'Data Entry'!$ď$866)</f>
      </c>
      <c r="GZ866">
        <f>IF(ISBLANK('Data Entry'!$Đ$866), "", 'Data Entry'!$Đ$866)</f>
      </c>
      <c r="HA866">
        <f>IF(ISBLANK('Data Entry'!$đ$866), "", 'Data Entry'!$đ$866)</f>
      </c>
      <c r="HB866">
        <f>IF(ISBLANK('Data Entry'!$Ē$866), "", 'Data Entry'!$Ē$866)</f>
      </c>
      <c r="HC866">
        <f>IF(ISBLANK('Data Entry'!$ē$866), "", 'Data Entry'!$ē$866)</f>
      </c>
      <c r="HD866">
        <f>IF(ISBLANK('Data Entry'!$Ĕ$866), "", 'Data Entry'!$Ĕ$866)</f>
      </c>
      <c r="HE866">
        <f>IF(ISBLANK('Data Entry'!$ĕ$866), "", 'Data Entry'!$ĕ$866)</f>
      </c>
      <c r="HF866">
        <f>IF(ISBLANK('Data Entry'!$Ė$866), "", 'Data Entry'!$Ė$866)</f>
      </c>
      <c r="HG866">
        <f>IF(ISBLANK('Data Entry'!$ė$866), "", 'Data Entry'!$ė$866)</f>
      </c>
      <c r="HH866">
        <f>IF(ISBLANK('Data Entry'!$Ę$866), "", 'Data Entry'!$Ę$866)</f>
      </c>
      <c r="HI866">
        <f>IF(ISBLANK('Data Entry'!$ę$866), "", 'Data Entry'!$ę$866)</f>
      </c>
      <c r="HJ866">
        <f>IF(ISBLANK('Data Entry'!$Ě$866), "", 'Data Entry'!$Ě$866)</f>
      </c>
      <c r="HK866">
        <f>IF(ISBLANK('Data Entry'!$ě$866), "", 'Data Entry'!$ě$866)</f>
      </c>
      <c r="HL866">
        <f>IF(ISBLANK('Data Entry'!$Ĝ$866), "", 'Data Entry'!$Ĝ$866)</f>
      </c>
      <c r="HM866">
        <f>IF(ISBLANK('Data Entry'!$ĝ$866), "", 'Data Entry'!$ĝ$866)</f>
      </c>
      <c r="HN866">
        <f>IF(ISBLANK('Data Entry'!$Ğ$866), "", 'Data Entry'!$Ğ$866)</f>
      </c>
      <c r="HO866">
        <f>IF(ISBLANK('Data Entry'!$ğ$866), "", 'Data Entry'!$ğ$866)</f>
      </c>
      <c r="HP866">
        <f>IF(ISBLANK('Data Entry'!$Ġ$866), "", 'Data Entry'!$Ġ$866)</f>
      </c>
      <c r="HQ866">
        <f>IF(ISBLANK('Data Entry'!$ġ$866), "", 'Data Entry'!$ġ$866)</f>
      </c>
      <c r="HR866">
        <f>IF(ISBLANK('Data Entry'!$Ģ$866), "", 'Data Entry'!$Ģ$866)</f>
      </c>
      <c r="HS866">
        <f>IF(ISBLANK('Data Entry'!$ģ$866), "", 'Data Entry'!$ģ$866)</f>
      </c>
      <c r="HT866">
        <f>IF(ISBLANK('Data Entry'!$Ĥ$866), "", 'Data Entry'!$Ĥ$866)</f>
      </c>
      <c r="HU866">
        <f>IF(ISBLANK('Data Entry'!$ĥ$866), "", 'Data Entry'!$ĥ$866)</f>
      </c>
      <c r="HV866">
        <f>IF(ISBLANK('Data Entry'!$Ħ$866), "", 'Data Entry'!$Ħ$866)</f>
      </c>
      <c r="HW866">
        <f>IF(ISBLANK('Data Entry'!$ħ$866), "", 'Data Entry'!$ħ$866)</f>
      </c>
      <c r="HX866">
        <f>IF(ISBLANK('Data Entry'!$Ĩ$866), "", 'Data Entry'!$Ĩ$866)</f>
      </c>
      <c r="HY866">
        <f>IF(ISBLANK('Data Entry'!$ĩ$866), "", 'Data Entry'!$ĩ$866)</f>
      </c>
      <c r="HZ866">
        <f>IF(ISBLANK('Data Entry'!$Ī$866), "", 'Data Entry'!$Ī$866)</f>
      </c>
      <c r="IA866">
        <f>IF(ISBLANK('Data Entry'!$ī$866), "", 'Data Entry'!$ī$866)</f>
      </c>
      <c r="IB866">
        <f>IF(ISBLANK('Data Entry'!$Ĭ$866), "", 'Data Entry'!$Ĭ$866)</f>
      </c>
      <c r="IC866">
        <f>IF(ISBLANK('Data Entry'!$ĭ$866), "", 'Data Entry'!$ĭ$866)</f>
      </c>
      <c r="ID866">
        <f>IF(ISBLANK('Data Entry'!$Į$866), "", 'Data Entry'!$Į$866)</f>
      </c>
      <c r="IE866">
        <f>IF(ISBLANK('Data Entry'!$į$866), "", 'Data Entry'!$į$866)</f>
      </c>
      <c r="IF866">
        <f>IF(ISBLANK('Data Entry'!$İ$866), "", 'Data Entry'!$İ$866)</f>
      </c>
      <c r="IG866">
        <f>IF(ISBLANK('Data Entry'!$ı$866), "", 'Data Entry'!$ı$866)</f>
      </c>
      <c r="IH866">
        <f>IF(ISBLANK('Data Entry'!$Ĳ$866), "", 'Data Entry'!$Ĳ$866)</f>
      </c>
      <c r="II866">
        <f>IF(ISBLANK('Data Entry'!$ĳ$866), "", 'Data Entry'!$ĳ$866)</f>
      </c>
      <c r="IJ866">
        <f>IF(ISBLANK('Data Entry'!$Ĵ$866), "", 'Data Entry'!$Ĵ$866)</f>
      </c>
      <c r="IK866">
        <f>IF(ISBLANK('Data Entry'!$ĵ$866), "", 'Data Entry'!$ĵ$866)</f>
      </c>
      <c r="IL866">
        <f>IF(ISBLANK('Data Entry'!$Ķ$866), "", 'Data Entry'!$Ķ$866)</f>
      </c>
      <c r="IM866">
        <f>IF(ISBLANK('Data Entry'!$ķ$866), "", 'Data Entry'!$ķ$866)</f>
      </c>
      <c r="IN866">
        <f>IF(ISBLANK('Data Entry'!$ĸ$866), "", 'Data Entry'!$ĸ$866)</f>
      </c>
      <c r="IO866">
        <f>IF(ISBLANK('Data Entry'!$Ĺ$866), "", 'Data Entry'!$Ĺ$866)</f>
      </c>
      <c r="IP866">
        <f>IF(ISBLANK('Data Entry'!$ĺ$866), "", 'Data Entry'!$ĺ$866)</f>
      </c>
      <c r="IQ866">
        <f>IF(ISBLANK('Data Entry'!$Ļ$866), "", 'Data Entry'!$Ļ$866)</f>
      </c>
      <c r="IR866">
        <f>IF(ISBLANK('Data Entry'!$ļ$866), "", 'Data Entry'!$ļ$866)</f>
      </c>
      <c r="IS866">
        <f>IF(ISBLANK('Data Entry'!$Ľ$866), "", 'Data Entry'!$Ľ$866)</f>
      </c>
      <c r="IT866">
        <f>IF(ISBLANK('Data Entry'!$ľ$866), "", 'Data Entry'!$ľ$866)</f>
      </c>
    </row>
    <row r="867" spans="1:254" x14ac:dyDescent="0.25">
      <c r="A867">
        <f>IF(ISBLANK('Data Entry'!$A$867), "", 'Data Entry'!$A$867)</f>
      </c>
      <c r="B867">
        <f>IF(ISBLANK('Data Entry'!$B$867), "", 'Data Entry'!$B$867)</f>
      </c>
      <c r="C867">
        <f>IF(ISBLANK('Data Entry'!$C$867), "", 'Data Entry'!$C$867)</f>
      </c>
      <c r="D867">
        <f>IF(ISBLANK('Data Entry'!$D$867), "", 'Data Entry'!$D$867)</f>
      </c>
      <c r="E867">
        <f>IF(ISBLANK('Data Entry'!$E$867), "", 'Data Entry'!$E$867)</f>
      </c>
      <c r="F867">
        <f>IF(ISBLANK('Data Entry'!$F$867), "", 'Data Entry'!$F$867)</f>
      </c>
      <c r="G867">
        <f>IF(ISBLANK('Data Entry'!$G$867), "", 'Data Entry'!$G$867)</f>
      </c>
      <c r="H867">
        <f>IF(ISBLANK('Data Entry'!$H$867), "", 'Data Entry'!$H$867)</f>
      </c>
      <c r="I867">
        <f>IF(ISBLANK('Data Entry'!$I$867), "", 'Data Entry'!$I$867)</f>
      </c>
      <c r="J867">
        <f>IF(ISBLANK('Data Entry'!$J$867), "", 'Data Entry'!$J$867)</f>
      </c>
      <c r="K867">
        <f>IF(ISBLANK('Data Entry'!$K$867), "", 'Data Entry'!$K$867)</f>
      </c>
      <c r="L867">
        <f>IF(ISBLANK('Data Entry'!$L$867), "", 'Data Entry'!$L$867)</f>
      </c>
      <c r="M867">
        <f>IF(ISBLANK('Data Entry'!$M$867), "", 'Data Entry'!$M$867)</f>
      </c>
      <c r="N867">
        <f>IF(ISBLANK('Data Entry'!$N$867), "", 'Data Entry'!$N$867)</f>
      </c>
      <c r="O867">
        <f>IF(ISBLANK('Data Entry'!$O$867), "", 'Data Entry'!$O$867)</f>
      </c>
      <c r="P867">
        <f>IF(ISBLANK('Data Entry'!$P$867), "", 'Data Entry'!$P$867)</f>
      </c>
      <c r="Q867">
        <f>IF(ISBLANK('Data Entry'!$Q$867), "", 'Data Entry'!$Q$867)</f>
      </c>
      <c r="R867">
        <f>IF(ISBLANK('Data Entry'!$R$867), "", 'Data Entry'!$R$867)</f>
      </c>
      <c r="S867">
        <f>IF(ISBLANK('Data Entry'!$S$867), "", 'Data Entry'!$S$867)</f>
      </c>
      <c r="T867">
        <f>IF(ISBLANK('Data Entry'!$T$867), "", 'Data Entry'!$T$867)</f>
      </c>
      <c r="U867">
        <f>IF(ISBLANK('Data Entry'!$U$867), "", 'Data Entry'!$U$867)</f>
      </c>
      <c r="V867">
        <f>IF(ISBLANK('Data Entry'!$V$867), "", 'Data Entry'!$V$867)</f>
      </c>
      <c r="W867">
        <f>IF(ISBLANK('Data Entry'!$W$867), "", 'Data Entry'!$W$867)</f>
      </c>
      <c r="X867">
        <f>IF(ISBLANK('Data Entry'!$X$867), "", 'Data Entry'!$X$867)</f>
      </c>
      <c r="Y867">
        <f>IF(ISBLANK('Data Entry'!$Y$867), "", 'Data Entry'!$Y$867)</f>
      </c>
      <c r="Z867">
        <f>IF(ISBLANK('Data Entry'!$Z$867), "", 'Data Entry'!$Z$867)</f>
      </c>
      <c r="AA867">
        <f>IF(ISBLANK('Data Entry'!$[$867), "", 'Data Entry'!$[$867)</f>
      </c>
      <c r="AB867">
        <f>IF(ISBLANK('Data Entry'!$\$867), "", 'Data Entry'!$\$867)</f>
      </c>
      <c r="AC867">
        <f>IF(ISBLANK('Data Entry'!$]$867), "", 'Data Entry'!$]$867)</f>
      </c>
      <c r="AD867">
        <f>IF(ISBLANK('Data Entry'!$^$867), "", 'Data Entry'!$^$867)</f>
      </c>
      <c r="AE867">
        <f>IF(ISBLANK('Data Entry'!$_$867), "", 'Data Entry'!$_$867)</f>
      </c>
      <c r="AF867">
        <f>IF(ISBLANK('Data Entry'!$`$867), "", 'Data Entry'!$`$867)</f>
      </c>
      <c r="AG867">
        <f>IF(ISBLANK('Data Entry'!$a$867), "", 'Data Entry'!$a$867)</f>
      </c>
      <c r="AH867">
        <f>IF(ISBLANK('Data Entry'!$b$867), "", 'Data Entry'!$b$867)</f>
      </c>
      <c r="AI867">
        <f>IF(ISBLANK('Data Entry'!$c$867), "", 'Data Entry'!$c$867)</f>
      </c>
      <c r="AJ867">
        <f>IF(ISBLANK('Data Entry'!$d$867), "", 'Data Entry'!$d$867)</f>
      </c>
      <c r="AK867">
        <f>IF(ISBLANK('Data Entry'!$e$867), "", 'Data Entry'!$e$867)</f>
      </c>
      <c r="AL867">
        <f>IF(ISBLANK('Data Entry'!$f$867), "", 'Data Entry'!$f$867)</f>
      </c>
      <c r="AM867">
        <f>IF(ISBLANK('Data Entry'!$g$867), "", 'Data Entry'!$g$867)</f>
      </c>
      <c r="AN867">
        <f>IF(ISBLANK('Data Entry'!$h$867), "", 'Data Entry'!$h$867)</f>
      </c>
      <c r="AO867">
        <f>IF(ISBLANK('Data Entry'!$i$867), "", 'Data Entry'!$i$867)</f>
      </c>
      <c r="AP867">
        <f>IF(ISBLANK('Data Entry'!$j$867), "", 'Data Entry'!$j$867)</f>
      </c>
      <c r="AQ867">
        <f>IF(ISBLANK('Data Entry'!$k$867), "", 'Data Entry'!$k$867)</f>
      </c>
      <c r="AR867">
        <f>IF(ISBLANK('Data Entry'!$l$867), "", 'Data Entry'!$l$867)</f>
      </c>
      <c r="AS867">
        <f>IF(ISBLANK('Data Entry'!$m$867), "", 'Data Entry'!$m$867)</f>
      </c>
      <c r="AT867">
        <f>IF(ISBLANK('Data Entry'!$n$867), "", 'Data Entry'!$n$867)</f>
      </c>
      <c r="AU867">
        <f>IF(ISBLANK('Data Entry'!$o$867), "", 'Data Entry'!$o$867)</f>
      </c>
      <c r="AV867">
        <f>IF(ISBLANK('Data Entry'!$p$867), "", 'Data Entry'!$p$867)</f>
      </c>
      <c r="AW867">
        <f>IF(ISBLANK('Data Entry'!$q$867), "", 'Data Entry'!$q$867)</f>
      </c>
      <c r="AX867">
        <f>IF(ISBLANK('Data Entry'!$r$867), "", 'Data Entry'!$r$867)</f>
      </c>
      <c r="AY867">
        <f>IF(ISBLANK('Data Entry'!$s$867), "", 'Data Entry'!$s$867)</f>
      </c>
      <c r="AZ867">
        <f>IF(ISBLANK('Data Entry'!$t$867), "", 'Data Entry'!$t$867)</f>
      </c>
      <c r="BA867">
        <f>IF(ISBLANK('Data Entry'!$u$867), "", 'Data Entry'!$u$867)</f>
      </c>
      <c r="BB867">
        <f>IF(ISBLANK('Data Entry'!$v$867), "", 'Data Entry'!$v$867)</f>
      </c>
      <c r="BC867">
        <f>IF(ISBLANK('Data Entry'!$w$867), "", 'Data Entry'!$w$867)</f>
      </c>
      <c r="BD867">
        <f>IF(ISBLANK('Data Entry'!$x$867), "", 'Data Entry'!$x$867)</f>
      </c>
      <c r="BE867">
        <f>IF(ISBLANK('Data Entry'!$y$867), "", 'Data Entry'!$y$867)</f>
      </c>
      <c r="BF867">
        <f>IF(ISBLANK('Data Entry'!$z$867), "", 'Data Entry'!$z$867)</f>
      </c>
      <c r="BG867">
        <f>IF(ISBLANK('Data Entry'!${$867), "", 'Data Entry'!${$867)</f>
      </c>
      <c r="BH867">
        <f>IF(ISBLANK('Data Entry'!$|$867), "", 'Data Entry'!$|$867)</f>
      </c>
      <c r="BI867">
        <f>IF(ISBLANK('Data Entry'!$}$867), "", 'Data Entry'!$}$867)</f>
      </c>
      <c r="BJ867">
        <f>IF(ISBLANK('Data Entry'!$~$867), "", 'Data Entry'!$~$867)</f>
      </c>
      <c r="BK867">
        <f>IF(ISBLANK('Data Entry'!$$867), "", 'Data Entry'!$$867)</f>
      </c>
      <c r="BL867">
        <f>IF(ISBLANK('Data Entry'!$$867), "", 'Data Entry'!$$867)</f>
      </c>
      <c r="BM867">
        <f>IF(ISBLANK('Data Entry'!$$867), "", 'Data Entry'!$$867)</f>
      </c>
      <c r="BN867">
        <f>IF(ISBLANK('Data Entry'!$$867), "", 'Data Entry'!$$867)</f>
      </c>
      <c r="BO867">
        <f>IF(ISBLANK('Data Entry'!$$867), "", 'Data Entry'!$$867)</f>
      </c>
      <c r="BP867">
        <f>IF(ISBLANK('Data Entry'!$$867), "", 'Data Entry'!$$867)</f>
      </c>
      <c r="BQ867">
        <f>IF(ISBLANK('Data Entry'!$$867), "", 'Data Entry'!$$867)</f>
      </c>
      <c r="BR867">
        <f>IF(ISBLANK('Data Entry'!$$867), "", 'Data Entry'!$$867)</f>
      </c>
      <c r="BS867">
        <f>IF(ISBLANK('Data Entry'!$$867), "", 'Data Entry'!$$867)</f>
      </c>
      <c r="BT867">
        <f>IF(ISBLANK('Data Entry'!$$867), "", 'Data Entry'!$$867)</f>
      </c>
      <c r="BU867">
        <f>IF(ISBLANK('Data Entry'!$$867), "", 'Data Entry'!$$867)</f>
      </c>
      <c r="BV867">
        <f>IF(ISBLANK('Data Entry'!$$867), "", 'Data Entry'!$$867)</f>
      </c>
      <c r="BW867">
        <f>IF(ISBLANK('Data Entry'!$$867), "", 'Data Entry'!$$867)</f>
      </c>
      <c r="BX867">
        <f>IF(ISBLANK('Data Entry'!$$867), "", 'Data Entry'!$$867)</f>
      </c>
      <c r="BY867">
        <f>IF(ISBLANK('Data Entry'!$$867), "", 'Data Entry'!$$867)</f>
      </c>
      <c r="BZ867">
        <f>IF(ISBLANK('Data Entry'!$$867), "", 'Data Entry'!$$867)</f>
      </c>
      <c r="CA867">
        <f>IF(ISBLANK('Data Entry'!$$867), "", 'Data Entry'!$$867)</f>
      </c>
      <c r="CB867">
        <f>IF(ISBLANK('Data Entry'!$$867), "", 'Data Entry'!$$867)</f>
      </c>
      <c r="CC867">
        <f>IF(ISBLANK('Data Entry'!$$867), "", 'Data Entry'!$$867)</f>
      </c>
      <c r="CD867">
        <f>IF(ISBLANK('Data Entry'!$$867), "", 'Data Entry'!$$867)</f>
      </c>
      <c r="CE867">
        <f>IF(ISBLANK('Data Entry'!$$867), "", 'Data Entry'!$$867)</f>
      </c>
      <c r="CF867">
        <f>IF(ISBLANK('Data Entry'!$$867), "", 'Data Entry'!$$867)</f>
      </c>
      <c r="CG867">
        <f>IF(ISBLANK('Data Entry'!$$867), "", 'Data Entry'!$$867)</f>
      </c>
      <c r="CH867">
        <f>IF(ISBLANK('Data Entry'!$$867), "", 'Data Entry'!$$867)</f>
      </c>
      <c r="CI867">
        <f>IF(ISBLANK('Data Entry'!$$867), "", 'Data Entry'!$$867)</f>
      </c>
      <c r="CJ867">
        <f>IF(ISBLANK('Data Entry'!$$867), "", 'Data Entry'!$$867)</f>
      </c>
      <c r="CK867">
        <f>IF(ISBLANK('Data Entry'!$$867), "", 'Data Entry'!$$867)</f>
      </c>
      <c r="CL867">
        <f>IF(ISBLANK('Data Entry'!$$867), "", 'Data Entry'!$$867)</f>
      </c>
      <c r="CM867">
        <f>IF(ISBLANK('Data Entry'!$$867), "", 'Data Entry'!$$867)</f>
      </c>
      <c r="CN867">
        <f>IF(ISBLANK('Data Entry'!$$867), "", 'Data Entry'!$$867)</f>
      </c>
      <c r="CO867">
        <f>IF(ISBLANK('Data Entry'!$$867), "", 'Data Entry'!$$867)</f>
      </c>
      <c r="CP867">
        <f>IF(ISBLANK('Data Entry'!$$867), "", 'Data Entry'!$$867)</f>
      </c>
      <c r="CQ867">
        <f>IF(ISBLANK('Data Entry'!$$867), "", 'Data Entry'!$$867)</f>
      </c>
      <c r="CR867">
        <f>IF(ISBLANK('Data Entry'!$ $867), "", 'Data Entry'!$ $867)</f>
      </c>
      <c r="CS867">
        <f>IF(ISBLANK('Data Entry'!$¡$867), "", 'Data Entry'!$¡$867)</f>
      </c>
      <c r="CT867">
        <f>IF(ISBLANK('Data Entry'!$¢$867), "", 'Data Entry'!$¢$867)</f>
      </c>
      <c r="CU867">
        <f>IF(ISBLANK('Data Entry'!$£$867), "", 'Data Entry'!$£$867)</f>
      </c>
      <c r="CV867">
        <f>IF(ISBLANK('Data Entry'!$¤$867), "", 'Data Entry'!$¤$867)</f>
      </c>
      <c r="CW867">
        <f>IF(ISBLANK('Data Entry'!$¥$867), "", 'Data Entry'!$¥$867)</f>
      </c>
      <c r="CX867">
        <f>IF(ISBLANK('Data Entry'!$¦$867), "", 'Data Entry'!$¦$867)</f>
      </c>
      <c r="CY867">
        <f>IF(ISBLANK('Data Entry'!$§$867), "", 'Data Entry'!$§$867)</f>
      </c>
      <c r="CZ867">
        <f>IF(ISBLANK('Data Entry'!$¨$867), "", 'Data Entry'!$¨$867)</f>
      </c>
      <c r="DA867">
        <f>IF(ISBLANK('Data Entry'!$©$867), "", 'Data Entry'!$©$867)</f>
      </c>
      <c r="DB867">
        <f>IF(ISBLANK('Data Entry'!$ª$867), "", 'Data Entry'!$ª$867)</f>
      </c>
      <c r="DC867">
        <f>IF(ISBLANK('Data Entry'!$«$867), "", 'Data Entry'!$«$867)</f>
      </c>
      <c r="DD867">
        <f>IF(ISBLANK('Data Entry'!$¬$867), "", 'Data Entry'!$¬$867)</f>
      </c>
      <c r="DE867">
        <f>IF(ISBLANK('Data Entry'!$­$867), "", 'Data Entry'!$­$867)</f>
      </c>
      <c r="DF867">
        <f>IF(ISBLANK('Data Entry'!$®$867), "", 'Data Entry'!$®$867)</f>
      </c>
      <c r="DG867">
        <f>IF(ISBLANK('Data Entry'!$¯$867), "", 'Data Entry'!$¯$867)</f>
      </c>
      <c r="DH867">
        <f>IF(ISBLANK('Data Entry'!$°$867), "", 'Data Entry'!$°$867)</f>
      </c>
      <c r="DI867">
        <f>IF(ISBLANK('Data Entry'!$±$867), "", 'Data Entry'!$±$867)</f>
      </c>
      <c r="DJ867">
        <f>IF(ISBLANK('Data Entry'!$²$867), "", 'Data Entry'!$²$867)</f>
      </c>
      <c r="DK867">
        <f>IF(ISBLANK('Data Entry'!$³$867), "", 'Data Entry'!$³$867)</f>
      </c>
      <c r="DL867">
        <f>IF(ISBLANK('Data Entry'!$´$867), "", 'Data Entry'!$´$867)</f>
      </c>
      <c r="DM867">
        <f>IF(ISBLANK('Data Entry'!$µ$867), "", 'Data Entry'!$µ$867)</f>
      </c>
      <c r="DN867">
        <f>IF(ISBLANK('Data Entry'!$¶$867), "", 'Data Entry'!$¶$867)</f>
      </c>
      <c r="DO867">
        <f>IF(ISBLANK('Data Entry'!$·$867), "", 'Data Entry'!$·$867)</f>
      </c>
      <c r="DP867">
        <f>IF(ISBLANK('Data Entry'!$¸$867), "", 'Data Entry'!$¸$867)</f>
      </c>
      <c r="DQ867">
        <f>IF(ISBLANK('Data Entry'!$¹$867), "", 'Data Entry'!$¹$867)</f>
      </c>
      <c r="DR867">
        <f>IF(ISBLANK('Data Entry'!$º$867), "", 'Data Entry'!$º$867)</f>
      </c>
      <c r="DS867">
        <f>IF(ISBLANK('Data Entry'!$»$867), "", 'Data Entry'!$»$867)</f>
      </c>
      <c r="DT867">
        <f>IF(ISBLANK('Data Entry'!$¼$867), "", 'Data Entry'!$¼$867)</f>
      </c>
      <c r="DU867">
        <f>IF(ISBLANK('Data Entry'!$½$867), "", 'Data Entry'!$½$867)</f>
      </c>
      <c r="DV867">
        <f>IF(ISBLANK('Data Entry'!$¾$867), "", 'Data Entry'!$¾$867)</f>
      </c>
      <c r="DW867">
        <f>IF(ISBLANK('Data Entry'!$¿$867), "", 'Data Entry'!$¿$867)</f>
      </c>
      <c r="DX867">
        <f>IF(ISBLANK('Data Entry'!$À$867), "", 'Data Entry'!$À$867)</f>
      </c>
      <c r="DY867">
        <f>IF(ISBLANK('Data Entry'!$Á$867), "", 'Data Entry'!$Á$867)</f>
      </c>
      <c r="DZ867">
        <f>IF(ISBLANK('Data Entry'!$Â$867), "", 'Data Entry'!$Â$867)</f>
      </c>
      <c r="EA867">
        <f>IF(ISBLANK('Data Entry'!$Ã$867), "", 'Data Entry'!$Ã$867)</f>
      </c>
      <c r="EB867">
        <f>IF(ISBLANK('Data Entry'!$Ä$867), "", 'Data Entry'!$Ä$867)</f>
      </c>
      <c r="EC867">
        <f>IF(ISBLANK('Data Entry'!$Å$867), "", 'Data Entry'!$Å$867)</f>
      </c>
      <c r="ED867">
        <f>IF(ISBLANK('Data Entry'!$Æ$867), "", 'Data Entry'!$Æ$867)</f>
      </c>
      <c r="EE867">
        <f>IF(ISBLANK('Data Entry'!$Ç$867), "", 'Data Entry'!$Ç$867)</f>
      </c>
      <c r="EF867">
        <f>IF(ISBLANK('Data Entry'!$È$867), "", 'Data Entry'!$È$867)</f>
      </c>
      <c r="EG867">
        <f>IF(ISBLANK('Data Entry'!$É$867), "", 'Data Entry'!$É$867)</f>
      </c>
      <c r="EH867">
        <f>IF(ISBLANK('Data Entry'!$Ê$867), "", 'Data Entry'!$Ê$867)</f>
      </c>
      <c r="EI867">
        <f>IF(ISBLANK('Data Entry'!$Ë$867), "", 'Data Entry'!$Ë$867)</f>
      </c>
      <c r="EJ867">
        <f>IF(ISBLANK('Data Entry'!$Ì$867), "", 'Data Entry'!$Ì$867)</f>
      </c>
      <c r="EK867">
        <f>IF(ISBLANK('Data Entry'!$Í$867), "", 'Data Entry'!$Í$867)</f>
      </c>
      <c r="EL867">
        <f>IF(ISBLANK('Data Entry'!$Î$867), "", 'Data Entry'!$Î$867)</f>
      </c>
      <c r="EM867">
        <f>IF(ISBLANK('Data Entry'!$Ï$867), "", 'Data Entry'!$Ï$867)</f>
      </c>
      <c r="EN867">
        <f>IF(ISBLANK('Data Entry'!$Ð$867), "", 'Data Entry'!$Ð$867)</f>
      </c>
      <c r="EO867">
        <f>IF(ISBLANK('Data Entry'!$Ñ$867), "", 'Data Entry'!$Ñ$867)</f>
      </c>
      <c r="EP867">
        <f>IF(ISBLANK('Data Entry'!$Ò$867), "", 'Data Entry'!$Ò$867)</f>
      </c>
      <c r="EQ867">
        <f>IF(ISBLANK('Data Entry'!$Ó$867), "", 'Data Entry'!$Ó$867)</f>
      </c>
      <c r="ER867">
        <f>IF(ISBLANK('Data Entry'!$Ô$867), "", 'Data Entry'!$Ô$867)</f>
      </c>
      <c r="ES867">
        <f>IF(ISBLANK('Data Entry'!$Õ$867), "", 'Data Entry'!$Õ$867)</f>
      </c>
      <c r="ET867">
        <f>IF(ISBLANK('Data Entry'!$Ö$867), "", 'Data Entry'!$Ö$867)</f>
      </c>
      <c r="EU867">
        <f>IF(ISBLANK('Data Entry'!$×$867), "", 'Data Entry'!$×$867)</f>
      </c>
      <c r="EV867">
        <f>IF(ISBLANK('Data Entry'!$Ø$867), "", 'Data Entry'!$Ø$867)</f>
      </c>
      <c r="EW867">
        <f>IF(ISBLANK('Data Entry'!$Ù$867), "", 'Data Entry'!$Ù$867)</f>
      </c>
      <c r="EX867">
        <f>IF(ISBLANK('Data Entry'!$Ú$867), "", 'Data Entry'!$Ú$867)</f>
      </c>
      <c r="EY867">
        <f>IF(ISBLANK('Data Entry'!$Û$867), "", 'Data Entry'!$Û$867)</f>
      </c>
      <c r="EZ867">
        <f>IF(ISBLANK('Data Entry'!$Ü$867), "", 'Data Entry'!$Ü$867)</f>
      </c>
      <c r="FA867">
        <f>IF(ISBLANK('Data Entry'!$Ý$867), "", 'Data Entry'!$Ý$867)</f>
      </c>
      <c r="FB867">
        <f>IF(ISBLANK('Data Entry'!$Þ$867), "", 'Data Entry'!$Þ$867)</f>
      </c>
      <c r="FC867">
        <f>IF(ISBLANK('Data Entry'!$ß$867), "", 'Data Entry'!$ß$867)</f>
      </c>
      <c r="FD867">
        <f>IF(ISBLANK('Data Entry'!$à$867), "", 'Data Entry'!$à$867)</f>
      </c>
      <c r="FE867">
        <f>IF(ISBLANK('Data Entry'!$á$867), "", 'Data Entry'!$á$867)</f>
      </c>
      <c r="FF867">
        <f>IF(ISBLANK('Data Entry'!$â$867), "", 'Data Entry'!$â$867)</f>
      </c>
      <c r="FG867">
        <f>IF(ISBLANK('Data Entry'!$ã$867), "", 'Data Entry'!$ã$867)</f>
      </c>
      <c r="FH867">
        <f>IF(ISBLANK('Data Entry'!$ä$867), "", 'Data Entry'!$ä$867)</f>
      </c>
      <c r="FI867">
        <f>IF(ISBLANK('Data Entry'!$å$867), "", 'Data Entry'!$å$867)</f>
      </c>
      <c r="FJ867">
        <f>IF(ISBLANK('Data Entry'!$æ$867), "", 'Data Entry'!$æ$867)</f>
      </c>
      <c r="FK867">
        <f>IF(ISBLANK('Data Entry'!$ç$867), "", 'Data Entry'!$ç$867)</f>
      </c>
      <c r="FL867">
        <f>IF(ISBLANK('Data Entry'!$è$867), "", 'Data Entry'!$è$867)</f>
      </c>
      <c r="FM867">
        <f>IF(ISBLANK('Data Entry'!$é$867), "", 'Data Entry'!$é$867)</f>
      </c>
      <c r="FN867">
        <f>IF(ISBLANK('Data Entry'!$ê$867), "", 'Data Entry'!$ê$867)</f>
      </c>
      <c r="FO867">
        <f>IF(ISBLANK('Data Entry'!$ë$867), "", 'Data Entry'!$ë$867)</f>
      </c>
      <c r="FP867">
        <f>IF(ISBLANK('Data Entry'!$ì$867), "", 'Data Entry'!$ì$867)</f>
      </c>
      <c r="FQ867">
        <f>IF(ISBLANK('Data Entry'!$í$867), "", 'Data Entry'!$í$867)</f>
      </c>
      <c r="FR867">
        <f>IF(ISBLANK('Data Entry'!$î$867), "", 'Data Entry'!$î$867)</f>
      </c>
      <c r="FS867">
        <f>IF(ISBLANK('Data Entry'!$ï$867), "", 'Data Entry'!$ï$867)</f>
      </c>
      <c r="FT867">
        <f>IF(ISBLANK('Data Entry'!$ð$867), "", 'Data Entry'!$ð$867)</f>
      </c>
      <c r="FU867">
        <f>IF(ISBLANK('Data Entry'!$ñ$867), "", 'Data Entry'!$ñ$867)</f>
      </c>
      <c r="FV867">
        <f>IF(ISBLANK('Data Entry'!$ò$867), "", 'Data Entry'!$ò$867)</f>
      </c>
      <c r="FW867">
        <f>IF(ISBLANK('Data Entry'!$ó$867), "", 'Data Entry'!$ó$867)</f>
      </c>
      <c r="FX867">
        <f>IF(ISBLANK('Data Entry'!$ô$867), "", 'Data Entry'!$ô$867)</f>
      </c>
      <c r="FY867">
        <f>IF(ISBLANK('Data Entry'!$õ$867), "", 'Data Entry'!$õ$867)</f>
      </c>
      <c r="FZ867">
        <f>IF(ISBLANK('Data Entry'!$ö$867), "", 'Data Entry'!$ö$867)</f>
      </c>
      <c r="GA867">
        <f>IF(ISBLANK('Data Entry'!$÷$867), "", 'Data Entry'!$÷$867)</f>
      </c>
      <c r="GB867">
        <f>IF(ISBLANK('Data Entry'!$ø$867), "", 'Data Entry'!$ø$867)</f>
      </c>
      <c r="GC867">
        <f>IF(ISBLANK('Data Entry'!$ù$867), "", 'Data Entry'!$ù$867)</f>
      </c>
      <c r="GD867">
        <f>IF(ISBLANK('Data Entry'!$ú$867), "", 'Data Entry'!$ú$867)</f>
      </c>
      <c r="GE867">
        <f>IF(ISBLANK('Data Entry'!$û$867), "", 'Data Entry'!$û$867)</f>
      </c>
      <c r="GF867">
        <f>IF(ISBLANK('Data Entry'!$ü$867), "", 'Data Entry'!$ü$867)</f>
      </c>
      <c r="GG867">
        <f>IF(ISBLANK('Data Entry'!$ý$867), "", 'Data Entry'!$ý$867)</f>
      </c>
      <c r="GH867">
        <f>IF(ISBLANK('Data Entry'!$þ$867), "", 'Data Entry'!$þ$867)</f>
      </c>
      <c r="GI867">
        <f>IF(ISBLANK('Data Entry'!$ÿ$867), "", 'Data Entry'!$ÿ$867)</f>
      </c>
      <c r="GJ867">
        <f>IF(ISBLANK('Data Entry'!$Ā$867), "", 'Data Entry'!$Ā$867)</f>
      </c>
      <c r="GK867">
        <f>IF(ISBLANK('Data Entry'!$ā$867), "", 'Data Entry'!$ā$867)</f>
      </c>
      <c r="GL867">
        <f>IF(ISBLANK('Data Entry'!$Ă$867), "", 'Data Entry'!$Ă$867)</f>
      </c>
      <c r="GM867">
        <f>IF(ISBLANK('Data Entry'!$ă$867), "", 'Data Entry'!$ă$867)</f>
      </c>
      <c r="GN867">
        <f>IF(ISBLANK('Data Entry'!$Ą$867), "", 'Data Entry'!$Ą$867)</f>
      </c>
      <c r="GO867">
        <f>IF(ISBLANK('Data Entry'!$ą$867), "", 'Data Entry'!$ą$867)</f>
      </c>
      <c r="GP867">
        <f>IF(ISBLANK('Data Entry'!$Ć$867), "", 'Data Entry'!$Ć$867)</f>
      </c>
      <c r="GQ867">
        <f>IF(ISBLANK('Data Entry'!$ć$867), "", 'Data Entry'!$ć$867)</f>
      </c>
      <c r="GR867">
        <f>IF(ISBLANK('Data Entry'!$Ĉ$867), "", 'Data Entry'!$Ĉ$867)</f>
      </c>
      <c r="GS867">
        <f>IF(ISBLANK('Data Entry'!$ĉ$867), "", 'Data Entry'!$ĉ$867)</f>
      </c>
      <c r="GT867">
        <f>IF(ISBLANK('Data Entry'!$Ċ$867), "", 'Data Entry'!$Ċ$867)</f>
      </c>
      <c r="GU867">
        <f>IF(ISBLANK('Data Entry'!$ċ$867), "", 'Data Entry'!$ċ$867)</f>
      </c>
      <c r="GV867">
        <f>IF(ISBLANK('Data Entry'!$Č$867), "", 'Data Entry'!$Č$867)</f>
      </c>
      <c r="GW867">
        <f>IF(ISBLANK('Data Entry'!$č$867), "", 'Data Entry'!$č$867)</f>
      </c>
      <c r="GX867">
        <f>IF(ISBLANK('Data Entry'!$Ď$867), "", 'Data Entry'!$Ď$867)</f>
      </c>
      <c r="GY867">
        <f>IF(ISBLANK('Data Entry'!$ď$867), "", 'Data Entry'!$ď$867)</f>
      </c>
      <c r="GZ867">
        <f>IF(ISBLANK('Data Entry'!$Đ$867), "", 'Data Entry'!$Đ$867)</f>
      </c>
      <c r="HA867">
        <f>IF(ISBLANK('Data Entry'!$đ$867), "", 'Data Entry'!$đ$867)</f>
      </c>
      <c r="HB867">
        <f>IF(ISBLANK('Data Entry'!$Ē$867), "", 'Data Entry'!$Ē$867)</f>
      </c>
      <c r="HC867">
        <f>IF(ISBLANK('Data Entry'!$ē$867), "", 'Data Entry'!$ē$867)</f>
      </c>
      <c r="HD867">
        <f>IF(ISBLANK('Data Entry'!$Ĕ$867), "", 'Data Entry'!$Ĕ$867)</f>
      </c>
      <c r="HE867">
        <f>IF(ISBLANK('Data Entry'!$ĕ$867), "", 'Data Entry'!$ĕ$867)</f>
      </c>
      <c r="HF867">
        <f>IF(ISBLANK('Data Entry'!$Ė$867), "", 'Data Entry'!$Ė$867)</f>
      </c>
      <c r="HG867">
        <f>IF(ISBLANK('Data Entry'!$ė$867), "", 'Data Entry'!$ė$867)</f>
      </c>
      <c r="HH867">
        <f>IF(ISBLANK('Data Entry'!$Ę$867), "", 'Data Entry'!$Ę$867)</f>
      </c>
      <c r="HI867">
        <f>IF(ISBLANK('Data Entry'!$ę$867), "", 'Data Entry'!$ę$867)</f>
      </c>
      <c r="HJ867">
        <f>IF(ISBLANK('Data Entry'!$Ě$867), "", 'Data Entry'!$Ě$867)</f>
      </c>
      <c r="HK867">
        <f>IF(ISBLANK('Data Entry'!$ě$867), "", 'Data Entry'!$ě$867)</f>
      </c>
      <c r="HL867">
        <f>IF(ISBLANK('Data Entry'!$Ĝ$867), "", 'Data Entry'!$Ĝ$867)</f>
      </c>
      <c r="HM867">
        <f>IF(ISBLANK('Data Entry'!$ĝ$867), "", 'Data Entry'!$ĝ$867)</f>
      </c>
      <c r="HN867">
        <f>IF(ISBLANK('Data Entry'!$Ğ$867), "", 'Data Entry'!$Ğ$867)</f>
      </c>
      <c r="HO867">
        <f>IF(ISBLANK('Data Entry'!$ğ$867), "", 'Data Entry'!$ğ$867)</f>
      </c>
      <c r="HP867">
        <f>IF(ISBLANK('Data Entry'!$Ġ$867), "", 'Data Entry'!$Ġ$867)</f>
      </c>
      <c r="HQ867">
        <f>IF(ISBLANK('Data Entry'!$ġ$867), "", 'Data Entry'!$ġ$867)</f>
      </c>
      <c r="HR867">
        <f>IF(ISBLANK('Data Entry'!$Ģ$867), "", 'Data Entry'!$Ģ$867)</f>
      </c>
      <c r="HS867">
        <f>IF(ISBLANK('Data Entry'!$ģ$867), "", 'Data Entry'!$ģ$867)</f>
      </c>
      <c r="HT867">
        <f>IF(ISBLANK('Data Entry'!$Ĥ$867), "", 'Data Entry'!$Ĥ$867)</f>
      </c>
      <c r="HU867">
        <f>IF(ISBLANK('Data Entry'!$ĥ$867), "", 'Data Entry'!$ĥ$867)</f>
      </c>
      <c r="HV867">
        <f>IF(ISBLANK('Data Entry'!$Ħ$867), "", 'Data Entry'!$Ħ$867)</f>
      </c>
      <c r="HW867">
        <f>IF(ISBLANK('Data Entry'!$ħ$867), "", 'Data Entry'!$ħ$867)</f>
      </c>
      <c r="HX867">
        <f>IF(ISBLANK('Data Entry'!$Ĩ$867), "", 'Data Entry'!$Ĩ$867)</f>
      </c>
      <c r="HY867">
        <f>IF(ISBLANK('Data Entry'!$ĩ$867), "", 'Data Entry'!$ĩ$867)</f>
      </c>
      <c r="HZ867">
        <f>IF(ISBLANK('Data Entry'!$Ī$867), "", 'Data Entry'!$Ī$867)</f>
      </c>
      <c r="IA867">
        <f>IF(ISBLANK('Data Entry'!$ī$867), "", 'Data Entry'!$ī$867)</f>
      </c>
      <c r="IB867">
        <f>IF(ISBLANK('Data Entry'!$Ĭ$867), "", 'Data Entry'!$Ĭ$867)</f>
      </c>
      <c r="IC867">
        <f>IF(ISBLANK('Data Entry'!$ĭ$867), "", 'Data Entry'!$ĭ$867)</f>
      </c>
      <c r="ID867">
        <f>IF(ISBLANK('Data Entry'!$Į$867), "", 'Data Entry'!$Į$867)</f>
      </c>
      <c r="IE867">
        <f>IF(ISBLANK('Data Entry'!$į$867), "", 'Data Entry'!$į$867)</f>
      </c>
      <c r="IF867">
        <f>IF(ISBLANK('Data Entry'!$İ$867), "", 'Data Entry'!$İ$867)</f>
      </c>
      <c r="IG867">
        <f>IF(ISBLANK('Data Entry'!$ı$867), "", 'Data Entry'!$ı$867)</f>
      </c>
      <c r="IH867">
        <f>IF(ISBLANK('Data Entry'!$Ĳ$867), "", 'Data Entry'!$Ĳ$867)</f>
      </c>
      <c r="II867">
        <f>IF(ISBLANK('Data Entry'!$ĳ$867), "", 'Data Entry'!$ĳ$867)</f>
      </c>
      <c r="IJ867">
        <f>IF(ISBLANK('Data Entry'!$Ĵ$867), "", 'Data Entry'!$Ĵ$867)</f>
      </c>
      <c r="IK867">
        <f>IF(ISBLANK('Data Entry'!$ĵ$867), "", 'Data Entry'!$ĵ$867)</f>
      </c>
      <c r="IL867">
        <f>IF(ISBLANK('Data Entry'!$Ķ$867), "", 'Data Entry'!$Ķ$867)</f>
      </c>
      <c r="IM867">
        <f>IF(ISBLANK('Data Entry'!$ķ$867), "", 'Data Entry'!$ķ$867)</f>
      </c>
      <c r="IN867">
        <f>IF(ISBLANK('Data Entry'!$ĸ$867), "", 'Data Entry'!$ĸ$867)</f>
      </c>
      <c r="IO867">
        <f>IF(ISBLANK('Data Entry'!$Ĺ$867), "", 'Data Entry'!$Ĺ$867)</f>
      </c>
      <c r="IP867">
        <f>IF(ISBLANK('Data Entry'!$ĺ$867), "", 'Data Entry'!$ĺ$867)</f>
      </c>
      <c r="IQ867">
        <f>IF(ISBLANK('Data Entry'!$Ļ$867), "", 'Data Entry'!$Ļ$867)</f>
      </c>
      <c r="IR867">
        <f>IF(ISBLANK('Data Entry'!$ļ$867), "", 'Data Entry'!$ļ$867)</f>
      </c>
      <c r="IS867">
        <f>IF(ISBLANK('Data Entry'!$Ľ$867), "", 'Data Entry'!$Ľ$867)</f>
      </c>
      <c r="IT867">
        <f>IF(ISBLANK('Data Entry'!$ľ$867), "", 'Data Entry'!$ľ$867)</f>
      </c>
    </row>
    <row r="868" spans="1:254" x14ac:dyDescent="0.25">
      <c r="A868">
        <f>IF(ISBLANK('Data Entry'!$A$868), "", 'Data Entry'!$A$868)</f>
      </c>
      <c r="B868">
        <f>IF(ISBLANK('Data Entry'!$B$868), "", 'Data Entry'!$B$868)</f>
      </c>
      <c r="C868">
        <f>IF(ISBLANK('Data Entry'!$C$868), "", 'Data Entry'!$C$868)</f>
      </c>
      <c r="D868">
        <f>IF(ISBLANK('Data Entry'!$D$868), "", 'Data Entry'!$D$868)</f>
      </c>
      <c r="E868">
        <f>IF(ISBLANK('Data Entry'!$E$868), "", 'Data Entry'!$E$868)</f>
      </c>
      <c r="F868">
        <f>IF(ISBLANK('Data Entry'!$F$868), "", 'Data Entry'!$F$868)</f>
      </c>
      <c r="G868">
        <f>IF(ISBLANK('Data Entry'!$G$868), "", 'Data Entry'!$G$868)</f>
      </c>
      <c r="H868">
        <f>IF(ISBLANK('Data Entry'!$H$868), "", 'Data Entry'!$H$868)</f>
      </c>
      <c r="I868">
        <f>IF(ISBLANK('Data Entry'!$I$868), "", 'Data Entry'!$I$868)</f>
      </c>
      <c r="J868">
        <f>IF(ISBLANK('Data Entry'!$J$868), "", 'Data Entry'!$J$868)</f>
      </c>
      <c r="K868">
        <f>IF(ISBLANK('Data Entry'!$K$868), "", 'Data Entry'!$K$868)</f>
      </c>
      <c r="L868">
        <f>IF(ISBLANK('Data Entry'!$L$868), "", 'Data Entry'!$L$868)</f>
      </c>
      <c r="M868">
        <f>IF(ISBLANK('Data Entry'!$M$868), "", 'Data Entry'!$M$868)</f>
      </c>
      <c r="N868">
        <f>IF(ISBLANK('Data Entry'!$N$868), "", 'Data Entry'!$N$868)</f>
      </c>
      <c r="O868">
        <f>IF(ISBLANK('Data Entry'!$O$868), "", 'Data Entry'!$O$868)</f>
      </c>
      <c r="P868">
        <f>IF(ISBLANK('Data Entry'!$P$868), "", 'Data Entry'!$P$868)</f>
      </c>
      <c r="Q868">
        <f>IF(ISBLANK('Data Entry'!$Q$868), "", 'Data Entry'!$Q$868)</f>
      </c>
      <c r="R868">
        <f>IF(ISBLANK('Data Entry'!$R$868), "", 'Data Entry'!$R$868)</f>
      </c>
      <c r="S868">
        <f>IF(ISBLANK('Data Entry'!$S$868), "", 'Data Entry'!$S$868)</f>
      </c>
      <c r="T868">
        <f>IF(ISBLANK('Data Entry'!$T$868), "", 'Data Entry'!$T$868)</f>
      </c>
      <c r="U868">
        <f>IF(ISBLANK('Data Entry'!$U$868), "", 'Data Entry'!$U$868)</f>
      </c>
      <c r="V868">
        <f>IF(ISBLANK('Data Entry'!$V$868), "", 'Data Entry'!$V$868)</f>
      </c>
      <c r="W868">
        <f>IF(ISBLANK('Data Entry'!$W$868), "", 'Data Entry'!$W$868)</f>
      </c>
      <c r="X868">
        <f>IF(ISBLANK('Data Entry'!$X$868), "", 'Data Entry'!$X$868)</f>
      </c>
      <c r="Y868">
        <f>IF(ISBLANK('Data Entry'!$Y$868), "", 'Data Entry'!$Y$868)</f>
      </c>
      <c r="Z868">
        <f>IF(ISBLANK('Data Entry'!$Z$868), "", 'Data Entry'!$Z$868)</f>
      </c>
      <c r="AA868">
        <f>IF(ISBLANK('Data Entry'!$[$868), "", 'Data Entry'!$[$868)</f>
      </c>
      <c r="AB868">
        <f>IF(ISBLANK('Data Entry'!$\$868), "", 'Data Entry'!$\$868)</f>
      </c>
      <c r="AC868">
        <f>IF(ISBLANK('Data Entry'!$]$868), "", 'Data Entry'!$]$868)</f>
      </c>
      <c r="AD868">
        <f>IF(ISBLANK('Data Entry'!$^$868), "", 'Data Entry'!$^$868)</f>
      </c>
      <c r="AE868">
        <f>IF(ISBLANK('Data Entry'!$_$868), "", 'Data Entry'!$_$868)</f>
      </c>
      <c r="AF868">
        <f>IF(ISBLANK('Data Entry'!$`$868), "", 'Data Entry'!$`$868)</f>
      </c>
      <c r="AG868">
        <f>IF(ISBLANK('Data Entry'!$a$868), "", 'Data Entry'!$a$868)</f>
      </c>
      <c r="AH868">
        <f>IF(ISBLANK('Data Entry'!$b$868), "", 'Data Entry'!$b$868)</f>
      </c>
      <c r="AI868">
        <f>IF(ISBLANK('Data Entry'!$c$868), "", 'Data Entry'!$c$868)</f>
      </c>
      <c r="AJ868">
        <f>IF(ISBLANK('Data Entry'!$d$868), "", 'Data Entry'!$d$868)</f>
      </c>
      <c r="AK868">
        <f>IF(ISBLANK('Data Entry'!$e$868), "", 'Data Entry'!$e$868)</f>
      </c>
      <c r="AL868">
        <f>IF(ISBLANK('Data Entry'!$f$868), "", 'Data Entry'!$f$868)</f>
      </c>
      <c r="AM868">
        <f>IF(ISBLANK('Data Entry'!$g$868), "", 'Data Entry'!$g$868)</f>
      </c>
      <c r="AN868">
        <f>IF(ISBLANK('Data Entry'!$h$868), "", 'Data Entry'!$h$868)</f>
      </c>
      <c r="AO868">
        <f>IF(ISBLANK('Data Entry'!$i$868), "", 'Data Entry'!$i$868)</f>
      </c>
      <c r="AP868">
        <f>IF(ISBLANK('Data Entry'!$j$868), "", 'Data Entry'!$j$868)</f>
      </c>
      <c r="AQ868">
        <f>IF(ISBLANK('Data Entry'!$k$868), "", 'Data Entry'!$k$868)</f>
      </c>
      <c r="AR868">
        <f>IF(ISBLANK('Data Entry'!$l$868), "", 'Data Entry'!$l$868)</f>
      </c>
      <c r="AS868">
        <f>IF(ISBLANK('Data Entry'!$m$868), "", 'Data Entry'!$m$868)</f>
      </c>
      <c r="AT868">
        <f>IF(ISBLANK('Data Entry'!$n$868), "", 'Data Entry'!$n$868)</f>
      </c>
      <c r="AU868">
        <f>IF(ISBLANK('Data Entry'!$o$868), "", 'Data Entry'!$o$868)</f>
      </c>
      <c r="AV868">
        <f>IF(ISBLANK('Data Entry'!$p$868), "", 'Data Entry'!$p$868)</f>
      </c>
      <c r="AW868">
        <f>IF(ISBLANK('Data Entry'!$q$868), "", 'Data Entry'!$q$868)</f>
      </c>
      <c r="AX868">
        <f>IF(ISBLANK('Data Entry'!$r$868), "", 'Data Entry'!$r$868)</f>
      </c>
      <c r="AY868">
        <f>IF(ISBLANK('Data Entry'!$s$868), "", 'Data Entry'!$s$868)</f>
      </c>
      <c r="AZ868">
        <f>IF(ISBLANK('Data Entry'!$t$868), "", 'Data Entry'!$t$868)</f>
      </c>
      <c r="BA868">
        <f>IF(ISBLANK('Data Entry'!$u$868), "", 'Data Entry'!$u$868)</f>
      </c>
      <c r="BB868">
        <f>IF(ISBLANK('Data Entry'!$v$868), "", 'Data Entry'!$v$868)</f>
      </c>
      <c r="BC868">
        <f>IF(ISBLANK('Data Entry'!$w$868), "", 'Data Entry'!$w$868)</f>
      </c>
      <c r="BD868">
        <f>IF(ISBLANK('Data Entry'!$x$868), "", 'Data Entry'!$x$868)</f>
      </c>
      <c r="BE868">
        <f>IF(ISBLANK('Data Entry'!$y$868), "", 'Data Entry'!$y$868)</f>
      </c>
      <c r="BF868">
        <f>IF(ISBLANK('Data Entry'!$z$868), "", 'Data Entry'!$z$868)</f>
      </c>
      <c r="BG868">
        <f>IF(ISBLANK('Data Entry'!${$868), "", 'Data Entry'!${$868)</f>
      </c>
      <c r="BH868">
        <f>IF(ISBLANK('Data Entry'!$|$868), "", 'Data Entry'!$|$868)</f>
      </c>
      <c r="BI868">
        <f>IF(ISBLANK('Data Entry'!$}$868), "", 'Data Entry'!$}$868)</f>
      </c>
      <c r="BJ868">
        <f>IF(ISBLANK('Data Entry'!$~$868), "", 'Data Entry'!$~$868)</f>
      </c>
      <c r="BK868">
        <f>IF(ISBLANK('Data Entry'!$$868), "", 'Data Entry'!$$868)</f>
      </c>
      <c r="BL868">
        <f>IF(ISBLANK('Data Entry'!$$868), "", 'Data Entry'!$$868)</f>
      </c>
      <c r="BM868">
        <f>IF(ISBLANK('Data Entry'!$$868), "", 'Data Entry'!$$868)</f>
      </c>
      <c r="BN868">
        <f>IF(ISBLANK('Data Entry'!$$868), "", 'Data Entry'!$$868)</f>
      </c>
      <c r="BO868">
        <f>IF(ISBLANK('Data Entry'!$$868), "", 'Data Entry'!$$868)</f>
      </c>
      <c r="BP868">
        <f>IF(ISBLANK('Data Entry'!$$868), "", 'Data Entry'!$$868)</f>
      </c>
      <c r="BQ868">
        <f>IF(ISBLANK('Data Entry'!$$868), "", 'Data Entry'!$$868)</f>
      </c>
      <c r="BR868">
        <f>IF(ISBLANK('Data Entry'!$$868), "", 'Data Entry'!$$868)</f>
      </c>
      <c r="BS868">
        <f>IF(ISBLANK('Data Entry'!$$868), "", 'Data Entry'!$$868)</f>
      </c>
      <c r="BT868">
        <f>IF(ISBLANK('Data Entry'!$$868), "", 'Data Entry'!$$868)</f>
      </c>
      <c r="BU868">
        <f>IF(ISBLANK('Data Entry'!$$868), "", 'Data Entry'!$$868)</f>
      </c>
      <c r="BV868">
        <f>IF(ISBLANK('Data Entry'!$$868), "", 'Data Entry'!$$868)</f>
      </c>
      <c r="BW868">
        <f>IF(ISBLANK('Data Entry'!$$868), "", 'Data Entry'!$$868)</f>
      </c>
      <c r="BX868">
        <f>IF(ISBLANK('Data Entry'!$$868), "", 'Data Entry'!$$868)</f>
      </c>
      <c r="BY868">
        <f>IF(ISBLANK('Data Entry'!$$868), "", 'Data Entry'!$$868)</f>
      </c>
      <c r="BZ868">
        <f>IF(ISBLANK('Data Entry'!$$868), "", 'Data Entry'!$$868)</f>
      </c>
      <c r="CA868">
        <f>IF(ISBLANK('Data Entry'!$$868), "", 'Data Entry'!$$868)</f>
      </c>
      <c r="CB868">
        <f>IF(ISBLANK('Data Entry'!$$868), "", 'Data Entry'!$$868)</f>
      </c>
      <c r="CC868">
        <f>IF(ISBLANK('Data Entry'!$$868), "", 'Data Entry'!$$868)</f>
      </c>
      <c r="CD868">
        <f>IF(ISBLANK('Data Entry'!$$868), "", 'Data Entry'!$$868)</f>
      </c>
      <c r="CE868">
        <f>IF(ISBLANK('Data Entry'!$$868), "", 'Data Entry'!$$868)</f>
      </c>
      <c r="CF868">
        <f>IF(ISBLANK('Data Entry'!$$868), "", 'Data Entry'!$$868)</f>
      </c>
      <c r="CG868">
        <f>IF(ISBLANK('Data Entry'!$$868), "", 'Data Entry'!$$868)</f>
      </c>
      <c r="CH868">
        <f>IF(ISBLANK('Data Entry'!$$868), "", 'Data Entry'!$$868)</f>
      </c>
      <c r="CI868">
        <f>IF(ISBLANK('Data Entry'!$$868), "", 'Data Entry'!$$868)</f>
      </c>
      <c r="CJ868">
        <f>IF(ISBLANK('Data Entry'!$$868), "", 'Data Entry'!$$868)</f>
      </c>
      <c r="CK868">
        <f>IF(ISBLANK('Data Entry'!$$868), "", 'Data Entry'!$$868)</f>
      </c>
      <c r="CL868">
        <f>IF(ISBLANK('Data Entry'!$$868), "", 'Data Entry'!$$868)</f>
      </c>
      <c r="CM868">
        <f>IF(ISBLANK('Data Entry'!$$868), "", 'Data Entry'!$$868)</f>
      </c>
      <c r="CN868">
        <f>IF(ISBLANK('Data Entry'!$$868), "", 'Data Entry'!$$868)</f>
      </c>
      <c r="CO868">
        <f>IF(ISBLANK('Data Entry'!$$868), "", 'Data Entry'!$$868)</f>
      </c>
      <c r="CP868">
        <f>IF(ISBLANK('Data Entry'!$$868), "", 'Data Entry'!$$868)</f>
      </c>
      <c r="CQ868">
        <f>IF(ISBLANK('Data Entry'!$$868), "", 'Data Entry'!$$868)</f>
      </c>
      <c r="CR868">
        <f>IF(ISBLANK('Data Entry'!$ $868), "", 'Data Entry'!$ $868)</f>
      </c>
      <c r="CS868">
        <f>IF(ISBLANK('Data Entry'!$¡$868), "", 'Data Entry'!$¡$868)</f>
      </c>
      <c r="CT868">
        <f>IF(ISBLANK('Data Entry'!$¢$868), "", 'Data Entry'!$¢$868)</f>
      </c>
      <c r="CU868">
        <f>IF(ISBLANK('Data Entry'!$£$868), "", 'Data Entry'!$£$868)</f>
      </c>
      <c r="CV868">
        <f>IF(ISBLANK('Data Entry'!$¤$868), "", 'Data Entry'!$¤$868)</f>
      </c>
      <c r="CW868">
        <f>IF(ISBLANK('Data Entry'!$¥$868), "", 'Data Entry'!$¥$868)</f>
      </c>
      <c r="CX868">
        <f>IF(ISBLANK('Data Entry'!$¦$868), "", 'Data Entry'!$¦$868)</f>
      </c>
      <c r="CY868">
        <f>IF(ISBLANK('Data Entry'!$§$868), "", 'Data Entry'!$§$868)</f>
      </c>
      <c r="CZ868">
        <f>IF(ISBLANK('Data Entry'!$¨$868), "", 'Data Entry'!$¨$868)</f>
      </c>
      <c r="DA868">
        <f>IF(ISBLANK('Data Entry'!$©$868), "", 'Data Entry'!$©$868)</f>
      </c>
      <c r="DB868">
        <f>IF(ISBLANK('Data Entry'!$ª$868), "", 'Data Entry'!$ª$868)</f>
      </c>
      <c r="DC868">
        <f>IF(ISBLANK('Data Entry'!$«$868), "", 'Data Entry'!$«$868)</f>
      </c>
      <c r="DD868">
        <f>IF(ISBLANK('Data Entry'!$¬$868), "", 'Data Entry'!$¬$868)</f>
      </c>
      <c r="DE868">
        <f>IF(ISBLANK('Data Entry'!$­$868), "", 'Data Entry'!$­$868)</f>
      </c>
      <c r="DF868">
        <f>IF(ISBLANK('Data Entry'!$®$868), "", 'Data Entry'!$®$868)</f>
      </c>
      <c r="DG868">
        <f>IF(ISBLANK('Data Entry'!$¯$868), "", 'Data Entry'!$¯$868)</f>
      </c>
      <c r="DH868">
        <f>IF(ISBLANK('Data Entry'!$°$868), "", 'Data Entry'!$°$868)</f>
      </c>
      <c r="DI868">
        <f>IF(ISBLANK('Data Entry'!$±$868), "", 'Data Entry'!$±$868)</f>
      </c>
      <c r="DJ868">
        <f>IF(ISBLANK('Data Entry'!$²$868), "", 'Data Entry'!$²$868)</f>
      </c>
      <c r="DK868">
        <f>IF(ISBLANK('Data Entry'!$³$868), "", 'Data Entry'!$³$868)</f>
      </c>
      <c r="DL868">
        <f>IF(ISBLANK('Data Entry'!$´$868), "", 'Data Entry'!$´$868)</f>
      </c>
      <c r="DM868">
        <f>IF(ISBLANK('Data Entry'!$µ$868), "", 'Data Entry'!$µ$868)</f>
      </c>
      <c r="DN868">
        <f>IF(ISBLANK('Data Entry'!$¶$868), "", 'Data Entry'!$¶$868)</f>
      </c>
      <c r="DO868">
        <f>IF(ISBLANK('Data Entry'!$·$868), "", 'Data Entry'!$·$868)</f>
      </c>
      <c r="DP868">
        <f>IF(ISBLANK('Data Entry'!$¸$868), "", 'Data Entry'!$¸$868)</f>
      </c>
      <c r="DQ868">
        <f>IF(ISBLANK('Data Entry'!$¹$868), "", 'Data Entry'!$¹$868)</f>
      </c>
      <c r="DR868">
        <f>IF(ISBLANK('Data Entry'!$º$868), "", 'Data Entry'!$º$868)</f>
      </c>
      <c r="DS868">
        <f>IF(ISBLANK('Data Entry'!$»$868), "", 'Data Entry'!$»$868)</f>
      </c>
      <c r="DT868">
        <f>IF(ISBLANK('Data Entry'!$¼$868), "", 'Data Entry'!$¼$868)</f>
      </c>
      <c r="DU868">
        <f>IF(ISBLANK('Data Entry'!$½$868), "", 'Data Entry'!$½$868)</f>
      </c>
      <c r="DV868">
        <f>IF(ISBLANK('Data Entry'!$¾$868), "", 'Data Entry'!$¾$868)</f>
      </c>
      <c r="DW868">
        <f>IF(ISBLANK('Data Entry'!$¿$868), "", 'Data Entry'!$¿$868)</f>
      </c>
      <c r="DX868">
        <f>IF(ISBLANK('Data Entry'!$À$868), "", 'Data Entry'!$À$868)</f>
      </c>
      <c r="DY868">
        <f>IF(ISBLANK('Data Entry'!$Á$868), "", 'Data Entry'!$Á$868)</f>
      </c>
      <c r="DZ868">
        <f>IF(ISBLANK('Data Entry'!$Â$868), "", 'Data Entry'!$Â$868)</f>
      </c>
      <c r="EA868">
        <f>IF(ISBLANK('Data Entry'!$Ã$868), "", 'Data Entry'!$Ã$868)</f>
      </c>
      <c r="EB868">
        <f>IF(ISBLANK('Data Entry'!$Ä$868), "", 'Data Entry'!$Ä$868)</f>
      </c>
      <c r="EC868">
        <f>IF(ISBLANK('Data Entry'!$Å$868), "", 'Data Entry'!$Å$868)</f>
      </c>
      <c r="ED868">
        <f>IF(ISBLANK('Data Entry'!$Æ$868), "", 'Data Entry'!$Æ$868)</f>
      </c>
      <c r="EE868">
        <f>IF(ISBLANK('Data Entry'!$Ç$868), "", 'Data Entry'!$Ç$868)</f>
      </c>
      <c r="EF868">
        <f>IF(ISBLANK('Data Entry'!$È$868), "", 'Data Entry'!$È$868)</f>
      </c>
      <c r="EG868">
        <f>IF(ISBLANK('Data Entry'!$É$868), "", 'Data Entry'!$É$868)</f>
      </c>
      <c r="EH868">
        <f>IF(ISBLANK('Data Entry'!$Ê$868), "", 'Data Entry'!$Ê$868)</f>
      </c>
      <c r="EI868">
        <f>IF(ISBLANK('Data Entry'!$Ë$868), "", 'Data Entry'!$Ë$868)</f>
      </c>
      <c r="EJ868">
        <f>IF(ISBLANK('Data Entry'!$Ì$868), "", 'Data Entry'!$Ì$868)</f>
      </c>
      <c r="EK868">
        <f>IF(ISBLANK('Data Entry'!$Í$868), "", 'Data Entry'!$Í$868)</f>
      </c>
      <c r="EL868">
        <f>IF(ISBLANK('Data Entry'!$Î$868), "", 'Data Entry'!$Î$868)</f>
      </c>
      <c r="EM868">
        <f>IF(ISBLANK('Data Entry'!$Ï$868), "", 'Data Entry'!$Ï$868)</f>
      </c>
      <c r="EN868">
        <f>IF(ISBLANK('Data Entry'!$Ð$868), "", 'Data Entry'!$Ð$868)</f>
      </c>
      <c r="EO868">
        <f>IF(ISBLANK('Data Entry'!$Ñ$868), "", 'Data Entry'!$Ñ$868)</f>
      </c>
      <c r="EP868">
        <f>IF(ISBLANK('Data Entry'!$Ò$868), "", 'Data Entry'!$Ò$868)</f>
      </c>
      <c r="EQ868">
        <f>IF(ISBLANK('Data Entry'!$Ó$868), "", 'Data Entry'!$Ó$868)</f>
      </c>
      <c r="ER868">
        <f>IF(ISBLANK('Data Entry'!$Ô$868), "", 'Data Entry'!$Ô$868)</f>
      </c>
      <c r="ES868">
        <f>IF(ISBLANK('Data Entry'!$Õ$868), "", 'Data Entry'!$Õ$868)</f>
      </c>
      <c r="ET868">
        <f>IF(ISBLANK('Data Entry'!$Ö$868), "", 'Data Entry'!$Ö$868)</f>
      </c>
      <c r="EU868">
        <f>IF(ISBLANK('Data Entry'!$×$868), "", 'Data Entry'!$×$868)</f>
      </c>
      <c r="EV868">
        <f>IF(ISBLANK('Data Entry'!$Ø$868), "", 'Data Entry'!$Ø$868)</f>
      </c>
      <c r="EW868">
        <f>IF(ISBLANK('Data Entry'!$Ù$868), "", 'Data Entry'!$Ù$868)</f>
      </c>
      <c r="EX868">
        <f>IF(ISBLANK('Data Entry'!$Ú$868), "", 'Data Entry'!$Ú$868)</f>
      </c>
      <c r="EY868">
        <f>IF(ISBLANK('Data Entry'!$Û$868), "", 'Data Entry'!$Û$868)</f>
      </c>
      <c r="EZ868">
        <f>IF(ISBLANK('Data Entry'!$Ü$868), "", 'Data Entry'!$Ü$868)</f>
      </c>
      <c r="FA868">
        <f>IF(ISBLANK('Data Entry'!$Ý$868), "", 'Data Entry'!$Ý$868)</f>
      </c>
      <c r="FB868">
        <f>IF(ISBLANK('Data Entry'!$Þ$868), "", 'Data Entry'!$Þ$868)</f>
      </c>
      <c r="FC868">
        <f>IF(ISBLANK('Data Entry'!$ß$868), "", 'Data Entry'!$ß$868)</f>
      </c>
      <c r="FD868">
        <f>IF(ISBLANK('Data Entry'!$à$868), "", 'Data Entry'!$à$868)</f>
      </c>
      <c r="FE868">
        <f>IF(ISBLANK('Data Entry'!$á$868), "", 'Data Entry'!$á$868)</f>
      </c>
      <c r="FF868">
        <f>IF(ISBLANK('Data Entry'!$â$868), "", 'Data Entry'!$â$868)</f>
      </c>
      <c r="FG868">
        <f>IF(ISBLANK('Data Entry'!$ã$868), "", 'Data Entry'!$ã$868)</f>
      </c>
      <c r="FH868">
        <f>IF(ISBLANK('Data Entry'!$ä$868), "", 'Data Entry'!$ä$868)</f>
      </c>
      <c r="FI868">
        <f>IF(ISBLANK('Data Entry'!$å$868), "", 'Data Entry'!$å$868)</f>
      </c>
      <c r="FJ868">
        <f>IF(ISBLANK('Data Entry'!$æ$868), "", 'Data Entry'!$æ$868)</f>
      </c>
      <c r="FK868">
        <f>IF(ISBLANK('Data Entry'!$ç$868), "", 'Data Entry'!$ç$868)</f>
      </c>
      <c r="FL868">
        <f>IF(ISBLANK('Data Entry'!$è$868), "", 'Data Entry'!$è$868)</f>
      </c>
      <c r="FM868">
        <f>IF(ISBLANK('Data Entry'!$é$868), "", 'Data Entry'!$é$868)</f>
      </c>
      <c r="FN868">
        <f>IF(ISBLANK('Data Entry'!$ê$868), "", 'Data Entry'!$ê$868)</f>
      </c>
      <c r="FO868">
        <f>IF(ISBLANK('Data Entry'!$ë$868), "", 'Data Entry'!$ë$868)</f>
      </c>
      <c r="FP868">
        <f>IF(ISBLANK('Data Entry'!$ì$868), "", 'Data Entry'!$ì$868)</f>
      </c>
      <c r="FQ868">
        <f>IF(ISBLANK('Data Entry'!$í$868), "", 'Data Entry'!$í$868)</f>
      </c>
      <c r="FR868">
        <f>IF(ISBLANK('Data Entry'!$î$868), "", 'Data Entry'!$î$868)</f>
      </c>
      <c r="FS868">
        <f>IF(ISBLANK('Data Entry'!$ï$868), "", 'Data Entry'!$ï$868)</f>
      </c>
      <c r="FT868">
        <f>IF(ISBLANK('Data Entry'!$ð$868), "", 'Data Entry'!$ð$868)</f>
      </c>
      <c r="FU868">
        <f>IF(ISBLANK('Data Entry'!$ñ$868), "", 'Data Entry'!$ñ$868)</f>
      </c>
      <c r="FV868">
        <f>IF(ISBLANK('Data Entry'!$ò$868), "", 'Data Entry'!$ò$868)</f>
      </c>
      <c r="FW868">
        <f>IF(ISBLANK('Data Entry'!$ó$868), "", 'Data Entry'!$ó$868)</f>
      </c>
      <c r="FX868">
        <f>IF(ISBLANK('Data Entry'!$ô$868), "", 'Data Entry'!$ô$868)</f>
      </c>
      <c r="FY868">
        <f>IF(ISBLANK('Data Entry'!$õ$868), "", 'Data Entry'!$õ$868)</f>
      </c>
      <c r="FZ868">
        <f>IF(ISBLANK('Data Entry'!$ö$868), "", 'Data Entry'!$ö$868)</f>
      </c>
      <c r="GA868">
        <f>IF(ISBLANK('Data Entry'!$÷$868), "", 'Data Entry'!$÷$868)</f>
      </c>
      <c r="GB868">
        <f>IF(ISBLANK('Data Entry'!$ø$868), "", 'Data Entry'!$ø$868)</f>
      </c>
      <c r="GC868">
        <f>IF(ISBLANK('Data Entry'!$ù$868), "", 'Data Entry'!$ù$868)</f>
      </c>
      <c r="GD868">
        <f>IF(ISBLANK('Data Entry'!$ú$868), "", 'Data Entry'!$ú$868)</f>
      </c>
      <c r="GE868">
        <f>IF(ISBLANK('Data Entry'!$û$868), "", 'Data Entry'!$û$868)</f>
      </c>
      <c r="GF868">
        <f>IF(ISBLANK('Data Entry'!$ü$868), "", 'Data Entry'!$ü$868)</f>
      </c>
      <c r="GG868">
        <f>IF(ISBLANK('Data Entry'!$ý$868), "", 'Data Entry'!$ý$868)</f>
      </c>
      <c r="GH868">
        <f>IF(ISBLANK('Data Entry'!$þ$868), "", 'Data Entry'!$þ$868)</f>
      </c>
      <c r="GI868">
        <f>IF(ISBLANK('Data Entry'!$ÿ$868), "", 'Data Entry'!$ÿ$868)</f>
      </c>
      <c r="GJ868">
        <f>IF(ISBLANK('Data Entry'!$Ā$868), "", 'Data Entry'!$Ā$868)</f>
      </c>
      <c r="GK868">
        <f>IF(ISBLANK('Data Entry'!$ā$868), "", 'Data Entry'!$ā$868)</f>
      </c>
      <c r="GL868">
        <f>IF(ISBLANK('Data Entry'!$Ă$868), "", 'Data Entry'!$Ă$868)</f>
      </c>
      <c r="GM868">
        <f>IF(ISBLANK('Data Entry'!$ă$868), "", 'Data Entry'!$ă$868)</f>
      </c>
      <c r="GN868">
        <f>IF(ISBLANK('Data Entry'!$Ą$868), "", 'Data Entry'!$Ą$868)</f>
      </c>
      <c r="GO868">
        <f>IF(ISBLANK('Data Entry'!$ą$868), "", 'Data Entry'!$ą$868)</f>
      </c>
      <c r="GP868">
        <f>IF(ISBLANK('Data Entry'!$Ć$868), "", 'Data Entry'!$Ć$868)</f>
      </c>
      <c r="GQ868">
        <f>IF(ISBLANK('Data Entry'!$ć$868), "", 'Data Entry'!$ć$868)</f>
      </c>
      <c r="GR868">
        <f>IF(ISBLANK('Data Entry'!$Ĉ$868), "", 'Data Entry'!$Ĉ$868)</f>
      </c>
      <c r="GS868">
        <f>IF(ISBLANK('Data Entry'!$ĉ$868), "", 'Data Entry'!$ĉ$868)</f>
      </c>
      <c r="GT868">
        <f>IF(ISBLANK('Data Entry'!$Ċ$868), "", 'Data Entry'!$Ċ$868)</f>
      </c>
      <c r="GU868">
        <f>IF(ISBLANK('Data Entry'!$ċ$868), "", 'Data Entry'!$ċ$868)</f>
      </c>
      <c r="GV868">
        <f>IF(ISBLANK('Data Entry'!$Č$868), "", 'Data Entry'!$Č$868)</f>
      </c>
      <c r="GW868">
        <f>IF(ISBLANK('Data Entry'!$č$868), "", 'Data Entry'!$č$868)</f>
      </c>
      <c r="GX868">
        <f>IF(ISBLANK('Data Entry'!$Ď$868), "", 'Data Entry'!$Ď$868)</f>
      </c>
      <c r="GY868">
        <f>IF(ISBLANK('Data Entry'!$ď$868), "", 'Data Entry'!$ď$868)</f>
      </c>
      <c r="GZ868">
        <f>IF(ISBLANK('Data Entry'!$Đ$868), "", 'Data Entry'!$Đ$868)</f>
      </c>
      <c r="HA868">
        <f>IF(ISBLANK('Data Entry'!$đ$868), "", 'Data Entry'!$đ$868)</f>
      </c>
      <c r="HB868">
        <f>IF(ISBLANK('Data Entry'!$Ē$868), "", 'Data Entry'!$Ē$868)</f>
      </c>
      <c r="HC868">
        <f>IF(ISBLANK('Data Entry'!$ē$868), "", 'Data Entry'!$ē$868)</f>
      </c>
      <c r="HD868">
        <f>IF(ISBLANK('Data Entry'!$Ĕ$868), "", 'Data Entry'!$Ĕ$868)</f>
      </c>
      <c r="HE868">
        <f>IF(ISBLANK('Data Entry'!$ĕ$868), "", 'Data Entry'!$ĕ$868)</f>
      </c>
      <c r="HF868">
        <f>IF(ISBLANK('Data Entry'!$Ė$868), "", 'Data Entry'!$Ė$868)</f>
      </c>
      <c r="HG868">
        <f>IF(ISBLANK('Data Entry'!$ė$868), "", 'Data Entry'!$ė$868)</f>
      </c>
      <c r="HH868">
        <f>IF(ISBLANK('Data Entry'!$Ę$868), "", 'Data Entry'!$Ę$868)</f>
      </c>
      <c r="HI868">
        <f>IF(ISBLANK('Data Entry'!$ę$868), "", 'Data Entry'!$ę$868)</f>
      </c>
      <c r="HJ868">
        <f>IF(ISBLANK('Data Entry'!$Ě$868), "", 'Data Entry'!$Ě$868)</f>
      </c>
      <c r="HK868">
        <f>IF(ISBLANK('Data Entry'!$ě$868), "", 'Data Entry'!$ě$868)</f>
      </c>
      <c r="HL868">
        <f>IF(ISBLANK('Data Entry'!$Ĝ$868), "", 'Data Entry'!$Ĝ$868)</f>
      </c>
      <c r="HM868">
        <f>IF(ISBLANK('Data Entry'!$ĝ$868), "", 'Data Entry'!$ĝ$868)</f>
      </c>
      <c r="HN868">
        <f>IF(ISBLANK('Data Entry'!$Ğ$868), "", 'Data Entry'!$Ğ$868)</f>
      </c>
      <c r="HO868">
        <f>IF(ISBLANK('Data Entry'!$ğ$868), "", 'Data Entry'!$ğ$868)</f>
      </c>
      <c r="HP868">
        <f>IF(ISBLANK('Data Entry'!$Ġ$868), "", 'Data Entry'!$Ġ$868)</f>
      </c>
      <c r="HQ868">
        <f>IF(ISBLANK('Data Entry'!$ġ$868), "", 'Data Entry'!$ġ$868)</f>
      </c>
      <c r="HR868">
        <f>IF(ISBLANK('Data Entry'!$Ģ$868), "", 'Data Entry'!$Ģ$868)</f>
      </c>
      <c r="HS868">
        <f>IF(ISBLANK('Data Entry'!$ģ$868), "", 'Data Entry'!$ģ$868)</f>
      </c>
      <c r="HT868">
        <f>IF(ISBLANK('Data Entry'!$Ĥ$868), "", 'Data Entry'!$Ĥ$868)</f>
      </c>
      <c r="HU868">
        <f>IF(ISBLANK('Data Entry'!$ĥ$868), "", 'Data Entry'!$ĥ$868)</f>
      </c>
      <c r="HV868">
        <f>IF(ISBLANK('Data Entry'!$Ħ$868), "", 'Data Entry'!$Ħ$868)</f>
      </c>
      <c r="HW868">
        <f>IF(ISBLANK('Data Entry'!$ħ$868), "", 'Data Entry'!$ħ$868)</f>
      </c>
      <c r="HX868">
        <f>IF(ISBLANK('Data Entry'!$Ĩ$868), "", 'Data Entry'!$Ĩ$868)</f>
      </c>
      <c r="HY868">
        <f>IF(ISBLANK('Data Entry'!$ĩ$868), "", 'Data Entry'!$ĩ$868)</f>
      </c>
      <c r="HZ868">
        <f>IF(ISBLANK('Data Entry'!$Ī$868), "", 'Data Entry'!$Ī$868)</f>
      </c>
      <c r="IA868">
        <f>IF(ISBLANK('Data Entry'!$ī$868), "", 'Data Entry'!$ī$868)</f>
      </c>
      <c r="IB868">
        <f>IF(ISBLANK('Data Entry'!$Ĭ$868), "", 'Data Entry'!$Ĭ$868)</f>
      </c>
      <c r="IC868">
        <f>IF(ISBLANK('Data Entry'!$ĭ$868), "", 'Data Entry'!$ĭ$868)</f>
      </c>
      <c r="ID868">
        <f>IF(ISBLANK('Data Entry'!$Į$868), "", 'Data Entry'!$Į$868)</f>
      </c>
      <c r="IE868">
        <f>IF(ISBLANK('Data Entry'!$į$868), "", 'Data Entry'!$į$868)</f>
      </c>
      <c r="IF868">
        <f>IF(ISBLANK('Data Entry'!$İ$868), "", 'Data Entry'!$İ$868)</f>
      </c>
      <c r="IG868">
        <f>IF(ISBLANK('Data Entry'!$ı$868), "", 'Data Entry'!$ı$868)</f>
      </c>
      <c r="IH868">
        <f>IF(ISBLANK('Data Entry'!$Ĳ$868), "", 'Data Entry'!$Ĳ$868)</f>
      </c>
      <c r="II868">
        <f>IF(ISBLANK('Data Entry'!$ĳ$868), "", 'Data Entry'!$ĳ$868)</f>
      </c>
      <c r="IJ868">
        <f>IF(ISBLANK('Data Entry'!$Ĵ$868), "", 'Data Entry'!$Ĵ$868)</f>
      </c>
      <c r="IK868">
        <f>IF(ISBLANK('Data Entry'!$ĵ$868), "", 'Data Entry'!$ĵ$868)</f>
      </c>
      <c r="IL868">
        <f>IF(ISBLANK('Data Entry'!$Ķ$868), "", 'Data Entry'!$Ķ$868)</f>
      </c>
      <c r="IM868">
        <f>IF(ISBLANK('Data Entry'!$ķ$868), "", 'Data Entry'!$ķ$868)</f>
      </c>
      <c r="IN868">
        <f>IF(ISBLANK('Data Entry'!$ĸ$868), "", 'Data Entry'!$ĸ$868)</f>
      </c>
      <c r="IO868">
        <f>IF(ISBLANK('Data Entry'!$Ĺ$868), "", 'Data Entry'!$Ĺ$868)</f>
      </c>
      <c r="IP868">
        <f>IF(ISBLANK('Data Entry'!$ĺ$868), "", 'Data Entry'!$ĺ$868)</f>
      </c>
      <c r="IQ868">
        <f>IF(ISBLANK('Data Entry'!$Ļ$868), "", 'Data Entry'!$Ļ$868)</f>
      </c>
      <c r="IR868">
        <f>IF(ISBLANK('Data Entry'!$ļ$868), "", 'Data Entry'!$ļ$868)</f>
      </c>
      <c r="IS868">
        <f>IF(ISBLANK('Data Entry'!$Ľ$868), "", 'Data Entry'!$Ľ$868)</f>
      </c>
      <c r="IT868">
        <f>IF(ISBLANK('Data Entry'!$ľ$868), "", 'Data Entry'!$ľ$868)</f>
      </c>
    </row>
    <row r="869" spans="1:254" x14ac:dyDescent="0.25">
      <c r="A869">
        <f>IF(ISBLANK('Data Entry'!$A$869), "", 'Data Entry'!$A$869)</f>
      </c>
      <c r="B869">
        <f>IF(ISBLANK('Data Entry'!$B$869), "", 'Data Entry'!$B$869)</f>
      </c>
      <c r="C869">
        <f>IF(ISBLANK('Data Entry'!$C$869), "", 'Data Entry'!$C$869)</f>
      </c>
      <c r="D869">
        <f>IF(ISBLANK('Data Entry'!$D$869), "", 'Data Entry'!$D$869)</f>
      </c>
      <c r="E869">
        <f>IF(ISBLANK('Data Entry'!$E$869), "", 'Data Entry'!$E$869)</f>
      </c>
      <c r="F869">
        <f>IF(ISBLANK('Data Entry'!$F$869), "", 'Data Entry'!$F$869)</f>
      </c>
      <c r="G869">
        <f>IF(ISBLANK('Data Entry'!$G$869), "", 'Data Entry'!$G$869)</f>
      </c>
      <c r="H869">
        <f>IF(ISBLANK('Data Entry'!$H$869), "", 'Data Entry'!$H$869)</f>
      </c>
      <c r="I869">
        <f>IF(ISBLANK('Data Entry'!$I$869), "", 'Data Entry'!$I$869)</f>
      </c>
      <c r="J869">
        <f>IF(ISBLANK('Data Entry'!$J$869), "", 'Data Entry'!$J$869)</f>
      </c>
      <c r="K869">
        <f>IF(ISBLANK('Data Entry'!$K$869), "", 'Data Entry'!$K$869)</f>
      </c>
      <c r="L869">
        <f>IF(ISBLANK('Data Entry'!$L$869), "", 'Data Entry'!$L$869)</f>
      </c>
      <c r="M869">
        <f>IF(ISBLANK('Data Entry'!$M$869), "", 'Data Entry'!$M$869)</f>
      </c>
      <c r="N869">
        <f>IF(ISBLANK('Data Entry'!$N$869), "", 'Data Entry'!$N$869)</f>
      </c>
      <c r="O869">
        <f>IF(ISBLANK('Data Entry'!$O$869), "", 'Data Entry'!$O$869)</f>
      </c>
      <c r="P869">
        <f>IF(ISBLANK('Data Entry'!$P$869), "", 'Data Entry'!$P$869)</f>
      </c>
      <c r="Q869">
        <f>IF(ISBLANK('Data Entry'!$Q$869), "", 'Data Entry'!$Q$869)</f>
      </c>
      <c r="R869">
        <f>IF(ISBLANK('Data Entry'!$R$869), "", 'Data Entry'!$R$869)</f>
      </c>
      <c r="S869">
        <f>IF(ISBLANK('Data Entry'!$S$869), "", 'Data Entry'!$S$869)</f>
      </c>
      <c r="T869">
        <f>IF(ISBLANK('Data Entry'!$T$869), "", 'Data Entry'!$T$869)</f>
      </c>
      <c r="U869">
        <f>IF(ISBLANK('Data Entry'!$U$869), "", 'Data Entry'!$U$869)</f>
      </c>
      <c r="V869">
        <f>IF(ISBLANK('Data Entry'!$V$869), "", 'Data Entry'!$V$869)</f>
      </c>
      <c r="W869">
        <f>IF(ISBLANK('Data Entry'!$W$869), "", 'Data Entry'!$W$869)</f>
      </c>
      <c r="X869">
        <f>IF(ISBLANK('Data Entry'!$X$869), "", 'Data Entry'!$X$869)</f>
      </c>
      <c r="Y869">
        <f>IF(ISBLANK('Data Entry'!$Y$869), "", 'Data Entry'!$Y$869)</f>
      </c>
      <c r="Z869">
        <f>IF(ISBLANK('Data Entry'!$Z$869), "", 'Data Entry'!$Z$869)</f>
      </c>
      <c r="AA869">
        <f>IF(ISBLANK('Data Entry'!$[$869), "", 'Data Entry'!$[$869)</f>
      </c>
      <c r="AB869">
        <f>IF(ISBLANK('Data Entry'!$\$869), "", 'Data Entry'!$\$869)</f>
      </c>
      <c r="AC869">
        <f>IF(ISBLANK('Data Entry'!$]$869), "", 'Data Entry'!$]$869)</f>
      </c>
      <c r="AD869">
        <f>IF(ISBLANK('Data Entry'!$^$869), "", 'Data Entry'!$^$869)</f>
      </c>
      <c r="AE869">
        <f>IF(ISBLANK('Data Entry'!$_$869), "", 'Data Entry'!$_$869)</f>
      </c>
      <c r="AF869">
        <f>IF(ISBLANK('Data Entry'!$`$869), "", 'Data Entry'!$`$869)</f>
      </c>
      <c r="AG869">
        <f>IF(ISBLANK('Data Entry'!$a$869), "", 'Data Entry'!$a$869)</f>
      </c>
      <c r="AH869">
        <f>IF(ISBLANK('Data Entry'!$b$869), "", 'Data Entry'!$b$869)</f>
      </c>
      <c r="AI869">
        <f>IF(ISBLANK('Data Entry'!$c$869), "", 'Data Entry'!$c$869)</f>
      </c>
      <c r="AJ869">
        <f>IF(ISBLANK('Data Entry'!$d$869), "", 'Data Entry'!$d$869)</f>
      </c>
      <c r="AK869">
        <f>IF(ISBLANK('Data Entry'!$e$869), "", 'Data Entry'!$e$869)</f>
      </c>
      <c r="AL869">
        <f>IF(ISBLANK('Data Entry'!$f$869), "", 'Data Entry'!$f$869)</f>
      </c>
      <c r="AM869">
        <f>IF(ISBLANK('Data Entry'!$g$869), "", 'Data Entry'!$g$869)</f>
      </c>
      <c r="AN869">
        <f>IF(ISBLANK('Data Entry'!$h$869), "", 'Data Entry'!$h$869)</f>
      </c>
      <c r="AO869">
        <f>IF(ISBLANK('Data Entry'!$i$869), "", 'Data Entry'!$i$869)</f>
      </c>
      <c r="AP869">
        <f>IF(ISBLANK('Data Entry'!$j$869), "", 'Data Entry'!$j$869)</f>
      </c>
      <c r="AQ869">
        <f>IF(ISBLANK('Data Entry'!$k$869), "", 'Data Entry'!$k$869)</f>
      </c>
      <c r="AR869">
        <f>IF(ISBLANK('Data Entry'!$l$869), "", 'Data Entry'!$l$869)</f>
      </c>
      <c r="AS869">
        <f>IF(ISBLANK('Data Entry'!$m$869), "", 'Data Entry'!$m$869)</f>
      </c>
      <c r="AT869">
        <f>IF(ISBLANK('Data Entry'!$n$869), "", 'Data Entry'!$n$869)</f>
      </c>
      <c r="AU869">
        <f>IF(ISBLANK('Data Entry'!$o$869), "", 'Data Entry'!$o$869)</f>
      </c>
      <c r="AV869">
        <f>IF(ISBLANK('Data Entry'!$p$869), "", 'Data Entry'!$p$869)</f>
      </c>
      <c r="AW869">
        <f>IF(ISBLANK('Data Entry'!$q$869), "", 'Data Entry'!$q$869)</f>
      </c>
      <c r="AX869">
        <f>IF(ISBLANK('Data Entry'!$r$869), "", 'Data Entry'!$r$869)</f>
      </c>
      <c r="AY869">
        <f>IF(ISBLANK('Data Entry'!$s$869), "", 'Data Entry'!$s$869)</f>
      </c>
      <c r="AZ869">
        <f>IF(ISBLANK('Data Entry'!$t$869), "", 'Data Entry'!$t$869)</f>
      </c>
      <c r="BA869">
        <f>IF(ISBLANK('Data Entry'!$u$869), "", 'Data Entry'!$u$869)</f>
      </c>
      <c r="BB869">
        <f>IF(ISBLANK('Data Entry'!$v$869), "", 'Data Entry'!$v$869)</f>
      </c>
      <c r="BC869">
        <f>IF(ISBLANK('Data Entry'!$w$869), "", 'Data Entry'!$w$869)</f>
      </c>
      <c r="BD869">
        <f>IF(ISBLANK('Data Entry'!$x$869), "", 'Data Entry'!$x$869)</f>
      </c>
      <c r="BE869">
        <f>IF(ISBLANK('Data Entry'!$y$869), "", 'Data Entry'!$y$869)</f>
      </c>
      <c r="BF869">
        <f>IF(ISBLANK('Data Entry'!$z$869), "", 'Data Entry'!$z$869)</f>
      </c>
      <c r="BG869">
        <f>IF(ISBLANK('Data Entry'!${$869), "", 'Data Entry'!${$869)</f>
      </c>
      <c r="BH869">
        <f>IF(ISBLANK('Data Entry'!$|$869), "", 'Data Entry'!$|$869)</f>
      </c>
      <c r="BI869">
        <f>IF(ISBLANK('Data Entry'!$}$869), "", 'Data Entry'!$}$869)</f>
      </c>
      <c r="BJ869">
        <f>IF(ISBLANK('Data Entry'!$~$869), "", 'Data Entry'!$~$869)</f>
      </c>
      <c r="BK869">
        <f>IF(ISBLANK('Data Entry'!$$869), "", 'Data Entry'!$$869)</f>
      </c>
      <c r="BL869">
        <f>IF(ISBLANK('Data Entry'!$$869), "", 'Data Entry'!$$869)</f>
      </c>
      <c r="BM869">
        <f>IF(ISBLANK('Data Entry'!$$869), "", 'Data Entry'!$$869)</f>
      </c>
      <c r="BN869">
        <f>IF(ISBLANK('Data Entry'!$$869), "", 'Data Entry'!$$869)</f>
      </c>
      <c r="BO869">
        <f>IF(ISBLANK('Data Entry'!$$869), "", 'Data Entry'!$$869)</f>
      </c>
      <c r="BP869">
        <f>IF(ISBLANK('Data Entry'!$$869), "", 'Data Entry'!$$869)</f>
      </c>
      <c r="BQ869">
        <f>IF(ISBLANK('Data Entry'!$$869), "", 'Data Entry'!$$869)</f>
      </c>
      <c r="BR869">
        <f>IF(ISBLANK('Data Entry'!$$869), "", 'Data Entry'!$$869)</f>
      </c>
      <c r="BS869">
        <f>IF(ISBLANK('Data Entry'!$$869), "", 'Data Entry'!$$869)</f>
      </c>
      <c r="BT869">
        <f>IF(ISBLANK('Data Entry'!$$869), "", 'Data Entry'!$$869)</f>
      </c>
      <c r="BU869">
        <f>IF(ISBLANK('Data Entry'!$$869), "", 'Data Entry'!$$869)</f>
      </c>
      <c r="BV869">
        <f>IF(ISBLANK('Data Entry'!$$869), "", 'Data Entry'!$$869)</f>
      </c>
      <c r="BW869">
        <f>IF(ISBLANK('Data Entry'!$$869), "", 'Data Entry'!$$869)</f>
      </c>
      <c r="BX869">
        <f>IF(ISBLANK('Data Entry'!$$869), "", 'Data Entry'!$$869)</f>
      </c>
      <c r="BY869">
        <f>IF(ISBLANK('Data Entry'!$$869), "", 'Data Entry'!$$869)</f>
      </c>
      <c r="BZ869">
        <f>IF(ISBLANK('Data Entry'!$$869), "", 'Data Entry'!$$869)</f>
      </c>
      <c r="CA869">
        <f>IF(ISBLANK('Data Entry'!$$869), "", 'Data Entry'!$$869)</f>
      </c>
      <c r="CB869">
        <f>IF(ISBLANK('Data Entry'!$$869), "", 'Data Entry'!$$869)</f>
      </c>
      <c r="CC869">
        <f>IF(ISBLANK('Data Entry'!$$869), "", 'Data Entry'!$$869)</f>
      </c>
      <c r="CD869">
        <f>IF(ISBLANK('Data Entry'!$$869), "", 'Data Entry'!$$869)</f>
      </c>
      <c r="CE869">
        <f>IF(ISBLANK('Data Entry'!$$869), "", 'Data Entry'!$$869)</f>
      </c>
      <c r="CF869">
        <f>IF(ISBLANK('Data Entry'!$$869), "", 'Data Entry'!$$869)</f>
      </c>
      <c r="CG869">
        <f>IF(ISBLANK('Data Entry'!$$869), "", 'Data Entry'!$$869)</f>
      </c>
      <c r="CH869">
        <f>IF(ISBLANK('Data Entry'!$$869), "", 'Data Entry'!$$869)</f>
      </c>
      <c r="CI869">
        <f>IF(ISBLANK('Data Entry'!$$869), "", 'Data Entry'!$$869)</f>
      </c>
      <c r="CJ869">
        <f>IF(ISBLANK('Data Entry'!$$869), "", 'Data Entry'!$$869)</f>
      </c>
      <c r="CK869">
        <f>IF(ISBLANK('Data Entry'!$$869), "", 'Data Entry'!$$869)</f>
      </c>
      <c r="CL869">
        <f>IF(ISBLANK('Data Entry'!$$869), "", 'Data Entry'!$$869)</f>
      </c>
      <c r="CM869">
        <f>IF(ISBLANK('Data Entry'!$$869), "", 'Data Entry'!$$869)</f>
      </c>
      <c r="CN869">
        <f>IF(ISBLANK('Data Entry'!$$869), "", 'Data Entry'!$$869)</f>
      </c>
      <c r="CO869">
        <f>IF(ISBLANK('Data Entry'!$$869), "", 'Data Entry'!$$869)</f>
      </c>
      <c r="CP869">
        <f>IF(ISBLANK('Data Entry'!$$869), "", 'Data Entry'!$$869)</f>
      </c>
      <c r="CQ869">
        <f>IF(ISBLANK('Data Entry'!$$869), "", 'Data Entry'!$$869)</f>
      </c>
      <c r="CR869">
        <f>IF(ISBLANK('Data Entry'!$ $869), "", 'Data Entry'!$ $869)</f>
      </c>
      <c r="CS869">
        <f>IF(ISBLANK('Data Entry'!$¡$869), "", 'Data Entry'!$¡$869)</f>
      </c>
      <c r="CT869">
        <f>IF(ISBLANK('Data Entry'!$¢$869), "", 'Data Entry'!$¢$869)</f>
      </c>
      <c r="CU869">
        <f>IF(ISBLANK('Data Entry'!$£$869), "", 'Data Entry'!$£$869)</f>
      </c>
      <c r="CV869">
        <f>IF(ISBLANK('Data Entry'!$¤$869), "", 'Data Entry'!$¤$869)</f>
      </c>
      <c r="CW869">
        <f>IF(ISBLANK('Data Entry'!$¥$869), "", 'Data Entry'!$¥$869)</f>
      </c>
      <c r="CX869">
        <f>IF(ISBLANK('Data Entry'!$¦$869), "", 'Data Entry'!$¦$869)</f>
      </c>
      <c r="CY869">
        <f>IF(ISBLANK('Data Entry'!$§$869), "", 'Data Entry'!$§$869)</f>
      </c>
      <c r="CZ869">
        <f>IF(ISBLANK('Data Entry'!$¨$869), "", 'Data Entry'!$¨$869)</f>
      </c>
      <c r="DA869">
        <f>IF(ISBLANK('Data Entry'!$©$869), "", 'Data Entry'!$©$869)</f>
      </c>
      <c r="DB869">
        <f>IF(ISBLANK('Data Entry'!$ª$869), "", 'Data Entry'!$ª$869)</f>
      </c>
      <c r="DC869">
        <f>IF(ISBLANK('Data Entry'!$«$869), "", 'Data Entry'!$«$869)</f>
      </c>
      <c r="DD869">
        <f>IF(ISBLANK('Data Entry'!$¬$869), "", 'Data Entry'!$¬$869)</f>
      </c>
      <c r="DE869">
        <f>IF(ISBLANK('Data Entry'!$­$869), "", 'Data Entry'!$­$869)</f>
      </c>
      <c r="DF869">
        <f>IF(ISBLANK('Data Entry'!$®$869), "", 'Data Entry'!$®$869)</f>
      </c>
      <c r="DG869">
        <f>IF(ISBLANK('Data Entry'!$¯$869), "", 'Data Entry'!$¯$869)</f>
      </c>
      <c r="DH869">
        <f>IF(ISBLANK('Data Entry'!$°$869), "", 'Data Entry'!$°$869)</f>
      </c>
      <c r="DI869">
        <f>IF(ISBLANK('Data Entry'!$±$869), "", 'Data Entry'!$±$869)</f>
      </c>
      <c r="DJ869">
        <f>IF(ISBLANK('Data Entry'!$²$869), "", 'Data Entry'!$²$869)</f>
      </c>
      <c r="DK869">
        <f>IF(ISBLANK('Data Entry'!$³$869), "", 'Data Entry'!$³$869)</f>
      </c>
      <c r="DL869">
        <f>IF(ISBLANK('Data Entry'!$´$869), "", 'Data Entry'!$´$869)</f>
      </c>
      <c r="DM869">
        <f>IF(ISBLANK('Data Entry'!$µ$869), "", 'Data Entry'!$µ$869)</f>
      </c>
      <c r="DN869">
        <f>IF(ISBLANK('Data Entry'!$¶$869), "", 'Data Entry'!$¶$869)</f>
      </c>
      <c r="DO869">
        <f>IF(ISBLANK('Data Entry'!$·$869), "", 'Data Entry'!$·$869)</f>
      </c>
      <c r="DP869">
        <f>IF(ISBLANK('Data Entry'!$¸$869), "", 'Data Entry'!$¸$869)</f>
      </c>
      <c r="DQ869">
        <f>IF(ISBLANK('Data Entry'!$¹$869), "", 'Data Entry'!$¹$869)</f>
      </c>
      <c r="DR869">
        <f>IF(ISBLANK('Data Entry'!$º$869), "", 'Data Entry'!$º$869)</f>
      </c>
      <c r="DS869">
        <f>IF(ISBLANK('Data Entry'!$»$869), "", 'Data Entry'!$»$869)</f>
      </c>
      <c r="DT869">
        <f>IF(ISBLANK('Data Entry'!$¼$869), "", 'Data Entry'!$¼$869)</f>
      </c>
      <c r="DU869">
        <f>IF(ISBLANK('Data Entry'!$½$869), "", 'Data Entry'!$½$869)</f>
      </c>
      <c r="DV869">
        <f>IF(ISBLANK('Data Entry'!$¾$869), "", 'Data Entry'!$¾$869)</f>
      </c>
      <c r="DW869">
        <f>IF(ISBLANK('Data Entry'!$¿$869), "", 'Data Entry'!$¿$869)</f>
      </c>
      <c r="DX869">
        <f>IF(ISBLANK('Data Entry'!$À$869), "", 'Data Entry'!$À$869)</f>
      </c>
      <c r="DY869">
        <f>IF(ISBLANK('Data Entry'!$Á$869), "", 'Data Entry'!$Á$869)</f>
      </c>
      <c r="DZ869">
        <f>IF(ISBLANK('Data Entry'!$Â$869), "", 'Data Entry'!$Â$869)</f>
      </c>
      <c r="EA869">
        <f>IF(ISBLANK('Data Entry'!$Ã$869), "", 'Data Entry'!$Ã$869)</f>
      </c>
      <c r="EB869">
        <f>IF(ISBLANK('Data Entry'!$Ä$869), "", 'Data Entry'!$Ä$869)</f>
      </c>
      <c r="EC869">
        <f>IF(ISBLANK('Data Entry'!$Å$869), "", 'Data Entry'!$Å$869)</f>
      </c>
      <c r="ED869">
        <f>IF(ISBLANK('Data Entry'!$Æ$869), "", 'Data Entry'!$Æ$869)</f>
      </c>
      <c r="EE869">
        <f>IF(ISBLANK('Data Entry'!$Ç$869), "", 'Data Entry'!$Ç$869)</f>
      </c>
      <c r="EF869">
        <f>IF(ISBLANK('Data Entry'!$È$869), "", 'Data Entry'!$È$869)</f>
      </c>
      <c r="EG869">
        <f>IF(ISBLANK('Data Entry'!$É$869), "", 'Data Entry'!$É$869)</f>
      </c>
      <c r="EH869">
        <f>IF(ISBLANK('Data Entry'!$Ê$869), "", 'Data Entry'!$Ê$869)</f>
      </c>
      <c r="EI869">
        <f>IF(ISBLANK('Data Entry'!$Ë$869), "", 'Data Entry'!$Ë$869)</f>
      </c>
      <c r="EJ869">
        <f>IF(ISBLANK('Data Entry'!$Ì$869), "", 'Data Entry'!$Ì$869)</f>
      </c>
      <c r="EK869">
        <f>IF(ISBLANK('Data Entry'!$Í$869), "", 'Data Entry'!$Í$869)</f>
      </c>
      <c r="EL869">
        <f>IF(ISBLANK('Data Entry'!$Î$869), "", 'Data Entry'!$Î$869)</f>
      </c>
      <c r="EM869">
        <f>IF(ISBLANK('Data Entry'!$Ï$869), "", 'Data Entry'!$Ï$869)</f>
      </c>
      <c r="EN869">
        <f>IF(ISBLANK('Data Entry'!$Ð$869), "", 'Data Entry'!$Ð$869)</f>
      </c>
      <c r="EO869">
        <f>IF(ISBLANK('Data Entry'!$Ñ$869), "", 'Data Entry'!$Ñ$869)</f>
      </c>
      <c r="EP869">
        <f>IF(ISBLANK('Data Entry'!$Ò$869), "", 'Data Entry'!$Ò$869)</f>
      </c>
      <c r="EQ869">
        <f>IF(ISBLANK('Data Entry'!$Ó$869), "", 'Data Entry'!$Ó$869)</f>
      </c>
      <c r="ER869">
        <f>IF(ISBLANK('Data Entry'!$Ô$869), "", 'Data Entry'!$Ô$869)</f>
      </c>
      <c r="ES869">
        <f>IF(ISBLANK('Data Entry'!$Õ$869), "", 'Data Entry'!$Õ$869)</f>
      </c>
      <c r="ET869">
        <f>IF(ISBLANK('Data Entry'!$Ö$869), "", 'Data Entry'!$Ö$869)</f>
      </c>
      <c r="EU869">
        <f>IF(ISBLANK('Data Entry'!$×$869), "", 'Data Entry'!$×$869)</f>
      </c>
      <c r="EV869">
        <f>IF(ISBLANK('Data Entry'!$Ø$869), "", 'Data Entry'!$Ø$869)</f>
      </c>
      <c r="EW869">
        <f>IF(ISBLANK('Data Entry'!$Ù$869), "", 'Data Entry'!$Ù$869)</f>
      </c>
      <c r="EX869">
        <f>IF(ISBLANK('Data Entry'!$Ú$869), "", 'Data Entry'!$Ú$869)</f>
      </c>
      <c r="EY869">
        <f>IF(ISBLANK('Data Entry'!$Û$869), "", 'Data Entry'!$Û$869)</f>
      </c>
      <c r="EZ869">
        <f>IF(ISBLANK('Data Entry'!$Ü$869), "", 'Data Entry'!$Ü$869)</f>
      </c>
      <c r="FA869">
        <f>IF(ISBLANK('Data Entry'!$Ý$869), "", 'Data Entry'!$Ý$869)</f>
      </c>
      <c r="FB869">
        <f>IF(ISBLANK('Data Entry'!$Þ$869), "", 'Data Entry'!$Þ$869)</f>
      </c>
      <c r="FC869">
        <f>IF(ISBLANK('Data Entry'!$ß$869), "", 'Data Entry'!$ß$869)</f>
      </c>
      <c r="FD869">
        <f>IF(ISBLANK('Data Entry'!$à$869), "", 'Data Entry'!$à$869)</f>
      </c>
      <c r="FE869">
        <f>IF(ISBLANK('Data Entry'!$á$869), "", 'Data Entry'!$á$869)</f>
      </c>
      <c r="FF869">
        <f>IF(ISBLANK('Data Entry'!$â$869), "", 'Data Entry'!$â$869)</f>
      </c>
      <c r="FG869">
        <f>IF(ISBLANK('Data Entry'!$ã$869), "", 'Data Entry'!$ã$869)</f>
      </c>
      <c r="FH869">
        <f>IF(ISBLANK('Data Entry'!$ä$869), "", 'Data Entry'!$ä$869)</f>
      </c>
      <c r="FI869">
        <f>IF(ISBLANK('Data Entry'!$å$869), "", 'Data Entry'!$å$869)</f>
      </c>
      <c r="FJ869">
        <f>IF(ISBLANK('Data Entry'!$æ$869), "", 'Data Entry'!$æ$869)</f>
      </c>
      <c r="FK869">
        <f>IF(ISBLANK('Data Entry'!$ç$869), "", 'Data Entry'!$ç$869)</f>
      </c>
      <c r="FL869">
        <f>IF(ISBLANK('Data Entry'!$è$869), "", 'Data Entry'!$è$869)</f>
      </c>
      <c r="FM869">
        <f>IF(ISBLANK('Data Entry'!$é$869), "", 'Data Entry'!$é$869)</f>
      </c>
      <c r="FN869">
        <f>IF(ISBLANK('Data Entry'!$ê$869), "", 'Data Entry'!$ê$869)</f>
      </c>
      <c r="FO869">
        <f>IF(ISBLANK('Data Entry'!$ë$869), "", 'Data Entry'!$ë$869)</f>
      </c>
      <c r="FP869">
        <f>IF(ISBLANK('Data Entry'!$ì$869), "", 'Data Entry'!$ì$869)</f>
      </c>
      <c r="FQ869">
        <f>IF(ISBLANK('Data Entry'!$í$869), "", 'Data Entry'!$í$869)</f>
      </c>
      <c r="FR869">
        <f>IF(ISBLANK('Data Entry'!$î$869), "", 'Data Entry'!$î$869)</f>
      </c>
      <c r="FS869">
        <f>IF(ISBLANK('Data Entry'!$ï$869), "", 'Data Entry'!$ï$869)</f>
      </c>
      <c r="FT869">
        <f>IF(ISBLANK('Data Entry'!$ð$869), "", 'Data Entry'!$ð$869)</f>
      </c>
      <c r="FU869">
        <f>IF(ISBLANK('Data Entry'!$ñ$869), "", 'Data Entry'!$ñ$869)</f>
      </c>
      <c r="FV869">
        <f>IF(ISBLANK('Data Entry'!$ò$869), "", 'Data Entry'!$ò$869)</f>
      </c>
      <c r="FW869">
        <f>IF(ISBLANK('Data Entry'!$ó$869), "", 'Data Entry'!$ó$869)</f>
      </c>
      <c r="FX869">
        <f>IF(ISBLANK('Data Entry'!$ô$869), "", 'Data Entry'!$ô$869)</f>
      </c>
      <c r="FY869">
        <f>IF(ISBLANK('Data Entry'!$õ$869), "", 'Data Entry'!$õ$869)</f>
      </c>
      <c r="FZ869">
        <f>IF(ISBLANK('Data Entry'!$ö$869), "", 'Data Entry'!$ö$869)</f>
      </c>
      <c r="GA869">
        <f>IF(ISBLANK('Data Entry'!$÷$869), "", 'Data Entry'!$÷$869)</f>
      </c>
      <c r="GB869">
        <f>IF(ISBLANK('Data Entry'!$ø$869), "", 'Data Entry'!$ø$869)</f>
      </c>
      <c r="GC869">
        <f>IF(ISBLANK('Data Entry'!$ù$869), "", 'Data Entry'!$ù$869)</f>
      </c>
      <c r="GD869">
        <f>IF(ISBLANK('Data Entry'!$ú$869), "", 'Data Entry'!$ú$869)</f>
      </c>
      <c r="GE869">
        <f>IF(ISBLANK('Data Entry'!$û$869), "", 'Data Entry'!$û$869)</f>
      </c>
      <c r="GF869">
        <f>IF(ISBLANK('Data Entry'!$ü$869), "", 'Data Entry'!$ü$869)</f>
      </c>
      <c r="GG869">
        <f>IF(ISBLANK('Data Entry'!$ý$869), "", 'Data Entry'!$ý$869)</f>
      </c>
      <c r="GH869">
        <f>IF(ISBLANK('Data Entry'!$þ$869), "", 'Data Entry'!$þ$869)</f>
      </c>
      <c r="GI869">
        <f>IF(ISBLANK('Data Entry'!$ÿ$869), "", 'Data Entry'!$ÿ$869)</f>
      </c>
      <c r="GJ869">
        <f>IF(ISBLANK('Data Entry'!$Ā$869), "", 'Data Entry'!$Ā$869)</f>
      </c>
      <c r="GK869">
        <f>IF(ISBLANK('Data Entry'!$ā$869), "", 'Data Entry'!$ā$869)</f>
      </c>
      <c r="GL869">
        <f>IF(ISBLANK('Data Entry'!$Ă$869), "", 'Data Entry'!$Ă$869)</f>
      </c>
      <c r="GM869">
        <f>IF(ISBLANK('Data Entry'!$ă$869), "", 'Data Entry'!$ă$869)</f>
      </c>
      <c r="GN869">
        <f>IF(ISBLANK('Data Entry'!$Ą$869), "", 'Data Entry'!$Ą$869)</f>
      </c>
      <c r="GO869">
        <f>IF(ISBLANK('Data Entry'!$ą$869), "", 'Data Entry'!$ą$869)</f>
      </c>
      <c r="GP869">
        <f>IF(ISBLANK('Data Entry'!$Ć$869), "", 'Data Entry'!$Ć$869)</f>
      </c>
      <c r="GQ869">
        <f>IF(ISBLANK('Data Entry'!$ć$869), "", 'Data Entry'!$ć$869)</f>
      </c>
      <c r="GR869">
        <f>IF(ISBLANK('Data Entry'!$Ĉ$869), "", 'Data Entry'!$Ĉ$869)</f>
      </c>
      <c r="GS869">
        <f>IF(ISBLANK('Data Entry'!$ĉ$869), "", 'Data Entry'!$ĉ$869)</f>
      </c>
      <c r="GT869">
        <f>IF(ISBLANK('Data Entry'!$Ċ$869), "", 'Data Entry'!$Ċ$869)</f>
      </c>
      <c r="GU869">
        <f>IF(ISBLANK('Data Entry'!$ċ$869), "", 'Data Entry'!$ċ$869)</f>
      </c>
      <c r="GV869">
        <f>IF(ISBLANK('Data Entry'!$Č$869), "", 'Data Entry'!$Č$869)</f>
      </c>
      <c r="GW869">
        <f>IF(ISBLANK('Data Entry'!$č$869), "", 'Data Entry'!$č$869)</f>
      </c>
      <c r="GX869">
        <f>IF(ISBLANK('Data Entry'!$Ď$869), "", 'Data Entry'!$Ď$869)</f>
      </c>
      <c r="GY869">
        <f>IF(ISBLANK('Data Entry'!$ď$869), "", 'Data Entry'!$ď$869)</f>
      </c>
      <c r="GZ869">
        <f>IF(ISBLANK('Data Entry'!$Đ$869), "", 'Data Entry'!$Đ$869)</f>
      </c>
      <c r="HA869">
        <f>IF(ISBLANK('Data Entry'!$đ$869), "", 'Data Entry'!$đ$869)</f>
      </c>
      <c r="HB869">
        <f>IF(ISBLANK('Data Entry'!$Ē$869), "", 'Data Entry'!$Ē$869)</f>
      </c>
      <c r="HC869">
        <f>IF(ISBLANK('Data Entry'!$ē$869), "", 'Data Entry'!$ē$869)</f>
      </c>
      <c r="HD869">
        <f>IF(ISBLANK('Data Entry'!$Ĕ$869), "", 'Data Entry'!$Ĕ$869)</f>
      </c>
      <c r="HE869">
        <f>IF(ISBLANK('Data Entry'!$ĕ$869), "", 'Data Entry'!$ĕ$869)</f>
      </c>
      <c r="HF869">
        <f>IF(ISBLANK('Data Entry'!$Ė$869), "", 'Data Entry'!$Ė$869)</f>
      </c>
      <c r="HG869">
        <f>IF(ISBLANK('Data Entry'!$ė$869), "", 'Data Entry'!$ė$869)</f>
      </c>
      <c r="HH869">
        <f>IF(ISBLANK('Data Entry'!$Ę$869), "", 'Data Entry'!$Ę$869)</f>
      </c>
      <c r="HI869">
        <f>IF(ISBLANK('Data Entry'!$ę$869), "", 'Data Entry'!$ę$869)</f>
      </c>
      <c r="HJ869">
        <f>IF(ISBLANK('Data Entry'!$Ě$869), "", 'Data Entry'!$Ě$869)</f>
      </c>
      <c r="HK869">
        <f>IF(ISBLANK('Data Entry'!$ě$869), "", 'Data Entry'!$ě$869)</f>
      </c>
      <c r="HL869">
        <f>IF(ISBLANK('Data Entry'!$Ĝ$869), "", 'Data Entry'!$Ĝ$869)</f>
      </c>
      <c r="HM869">
        <f>IF(ISBLANK('Data Entry'!$ĝ$869), "", 'Data Entry'!$ĝ$869)</f>
      </c>
      <c r="HN869">
        <f>IF(ISBLANK('Data Entry'!$Ğ$869), "", 'Data Entry'!$Ğ$869)</f>
      </c>
      <c r="HO869">
        <f>IF(ISBLANK('Data Entry'!$ğ$869), "", 'Data Entry'!$ğ$869)</f>
      </c>
      <c r="HP869">
        <f>IF(ISBLANK('Data Entry'!$Ġ$869), "", 'Data Entry'!$Ġ$869)</f>
      </c>
      <c r="HQ869">
        <f>IF(ISBLANK('Data Entry'!$ġ$869), "", 'Data Entry'!$ġ$869)</f>
      </c>
      <c r="HR869">
        <f>IF(ISBLANK('Data Entry'!$Ģ$869), "", 'Data Entry'!$Ģ$869)</f>
      </c>
      <c r="HS869">
        <f>IF(ISBLANK('Data Entry'!$ģ$869), "", 'Data Entry'!$ģ$869)</f>
      </c>
      <c r="HT869">
        <f>IF(ISBLANK('Data Entry'!$Ĥ$869), "", 'Data Entry'!$Ĥ$869)</f>
      </c>
      <c r="HU869">
        <f>IF(ISBLANK('Data Entry'!$ĥ$869), "", 'Data Entry'!$ĥ$869)</f>
      </c>
      <c r="HV869">
        <f>IF(ISBLANK('Data Entry'!$Ħ$869), "", 'Data Entry'!$Ħ$869)</f>
      </c>
      <c r="HW869">
        <f>IF(ISBLANK('Data Entry'!$ħ$869), "", 'Data Entry'!$ħ$869)</f>
      </c>
      <c r="HX869">
        <f>IF(ISBLANK('Data Entry'!$Ĩ$869), "", 'Data Entry'!$Ĩ$869)</f>
      </c>
      <c r="HY869">
        <f>IF(ISBLANK('Data Entry'!$ĩ$869), "", 'Data Entry'!$ĩ$869)</f>
      </c>
      <c r="HZ869">
        <f>IF(ISBLANK('Data Entry'!$Ī$869), "", 'Data Entry'!$Ī$869)</f>
      </c>
      <c r="IA869">
        <f>IF(ISBLANK('Data Entry'!$ī$869), "", 'Data Entry'!$ī$869)</f>
      </c>
      <c r="IB869">
        <f>IF(ISBLANK('Data Entry'!$Ĭ$869), "", 'Data Entry'!$Ĭ$869)</f>
      </c>
      <c r="IC869">
        <f>IF(ISBLANK('Data Entry'!$ĭ$869), "", 'Data Entry'!$ĭ$869)</f>
      </c>
      <c r="ID869">
        <f>IF(ISBLANK('Data Entry'!$Į$869), "", 'Data Entry'!$Į$869)</f>
      </c>
      <c r="IE869">
        <f>IF(ISBLANK('Data Entry'!$į$869), "", 'Data Entry'!$į$869)</f>
      </c>
      <c r="IF869">
        <f>IF(ISBLANK('Data Entry'!$İ$869), "", 'Data Entry'!$İ$869)</f>
      </c>
      <c r="IG869">
        <f>IF(ISBLANK('Data Entry'!$ı$869), "", 'Data Entry'!$ı$869)</f>
      </c>
      <c r="IH869">
        <f>IF(ISBLANK('Data Entry'!$Ĳ$869), "", 'Data Entry'!$Ĳ$869)</f>
      </c>
      <c r="II869">
        <f>IF(ISBLANK('Data Entry'!$ĳ$869), "", 'Data Entry'!$ĳ$869)</f>
      </c>
      <c r="IJ869">
        <f>IF(ISBLANK('Data Entry'!$Ĵ$869), "", 'Data Entry'!$Ĵ$869)</f>
      </c>
      <c r="IK869">
        <f>IF(ISBLANK('Data Entry'!$ĵ$869), "", 'Data Entry'!$ĵ$869)</f>
      </c>
      <c r="IL869">
        <f>IF(ISBLANK('Data Entry'!$Ķ$869), "", 'Data Entry'!$Ķ$869)</f>
      </c>
      <c r="IM869">
        <f>IF(ISBLANK('Data Entry'!$ķ$869), "", 'Data Entry'!$ķ$869)</f>
      </c>
      <c r="IN869">
        <f>IF(ISBLANK('Data Entry'!$ĸ$869), "", 'Data Entry'!$ĸ$869)</f>
      </c>
      <c r="IO869">
        <f>IF(ISBLANK('Data Entry'!$Ĺ$869), "", 'Data Entry'!$Ĺ$869)</f>
      </c>
      <c r="IP869">
        <f>IF(ISBLANK('Data Entry'!$ĺ$869), "", 'Data Entry'!$ĺ$869)</f>
      </c>
      <c r="IQ869">
        <f>IF(ISBLANK('Data Entry'!$Ļ$869), "", 'Data Entry'!$Ļ$869)</f>
      </c>
      <c r="IR869">
        <f>IF(ISBLANK('Data Entry'!$ļ$869), "", 'Data Entry'!$ļ$869)</f>
      </c>
      <c r="IS869">
        <f>IF(ISBLANK('Data Entry'!$Ľ$869), "", 'Data Entry'!$Ľ$869)</f>
      </c>
      <c r="IT869">
        <f>IF(ISBLANK('Data Entry'!$ľ$869), "", 'Data Entry'!$ľ$869)</f>
      </c>
    </row>
    <row r="870" spans="1:254" x14ac:dyDescent="0.25">
      <c r="A870">
        <f>IF(ISBLANK('Data Entry'!$A$870), "", 'Data Entry'!$A$870)</f>
      </c>
      <c r="B870">
        <f>IF(ISBLANK('Data Entry'!$B$870), "", 'Data Entry'!$B$870)</f>
      </c>
      <c r="C870">
        <f>IF(ISBLANK('Data Entry'!$C$870), "", 'Data Entry'!$C$870)</f>
      </c>
      <c r="D870">
        <f>IF(ISBLANK('Data Entry'!$D$870), "", 'Data Entry'!$D$870)</f>
      </c>
      <c r="E870">
        <f>IF(ISBLANK('Data Entry'!$E$870), "", 'Data Entry'!$E$870)</f>
      </c>
      <c r="F870">
        <f>IF(ISBLANK('Data Entry'!$F$870), "", 'Data Entry'!$F$870)</f>
      </c>
      <c r="G870">
        <f>IF(ISBLANK('Data Entry'!$G$870), "", 'Data Entry'!$G$870)</f>
      </c>
      <c r="H870">
        <f>IF(ISBLANK('Data Entry'!$H$870), "", 'Data Entry'!$H$870)</f>
      </c>
      <c r="I870">
        <f>IF(ISBLANK('Data Entry'!$I$870), "", 'Data Entry'!$I$870)</f>
      </c>
      <c r="J870">
        <f>IF(ISBLANK('Data Entry'!$J$870), "", 'Data Entry'!$J$870)</f>
      </c>
      <c r="K870">
        <f>IF(ISBLANK('Data Entry'!$K$870), "", 'Data Entry'!$K$870)</f>
      </c>
      <c r="L870">
        <f>IF(ISBLANK('Data Entry'!$L$870), "", 'Data Entry'!$L$870)</f>
      </c>
      <c r="M870">
        <f>IF(ISBLANK('Data Entry'!$M$870), "", 'Data Entry'!$M$870)</f>
      </c>
      <c r="N870">
        <f>IF(ISBLANK('Data Entry'!$N$870), "", 'Data Entry'!$N$870)</f>
      </c>
      <c r="O870">
        <f>IF(ISBLANK('Data Entry'!$O$870), "", 'Data Entry'!$O$870)</f>
      </c>
      <c r="P870">
        <f>IF(ISBLANK('Data Entry'!$P$870), "", 'Data Entry'!$P$870)</f>
      </c>
      <c r="Q870">
        <f>IF(ISBLANK('Data Entry'!$Q$870), "", 'Data Entry'!$Q$870)</f>
      </c>
      <c r="R870">
        <f>IF(ISBLANK('Data Entry'!$R$870), "", 'Data Entry'!$R$870)</f>
      </c>
      <c r="S870">
        <f>IF(ISBLANK('Data Entry'!$S$870), "", 'Data Entry'!$S$870)</f>
      </c>
      <c r="T870">
        <f>IF(ISBLANK('Data Entry'!$T$870), "", 'Data Entry'!$T$870)</f>
      </c>
      <c r="U870">
        <f>IF(ISBLANK('Data Entry'!$U$870), "", 'Data Entry'!$U$870)</f>
      </c>
      <c r="V870">
        <f>IF(ISBLANK('Data Entry'!$V$870), "", 'Data Entry'!$V$870)</f>
      </c>
      <c r="W870">
        <f>IF(ISBLANK('Data Entry'!$W$870), "", 'Data Entry'!$W$870)</f>
      </c>
      <c r="X870">
        <f>IF(ISBLANK('Data Entry'!$X$870), "", 'Data Entry'!$X$870)</f>
      </c>
      <c r="Y870">
        <f>IF(ISBLANK('Data Entry'!$Y$870), "", 'Data Entry'!$Y$870)</f>
      </c>
      <c r="Z870">
        <f>IF(ISBLANK('Data Entry'!$Z$870), "", 'Data Entry'!$Z$870)</f>
      </c>
      <c r="AA870">
        <f>IF(ISBLANK('Data Entry'!$[$870), "", 'Data Entry'!$[$870)</f>
      </c>
      <c r="AB870">
        <f>IF(ISBLANK('Data Entry'!$\$870), "", 'Data Entry'!$\$870)</f>
      </c>
      <c r="AC870">
        <f>IF(ISBLANK('Data Entry'!$]$870), "", 'Data Entry'!$]$870)</f>
      </c>
      <c r="AD870">
        <f>IF(ISBLANK('Data Entry'!$^$870), "", 'Data Entry'!$^$870)</f>
      </c>
      <c r="AE870">
        <f>IF(ISBLANK('Data Entry'!$_$870), "", 'Data Entry'!$_$870)</f>
      </c>
      <c r="AF870">
        <f>IF(ISBLANK('Data Entry'!$`$870), "", 'Data Entry'!$`$870)</f>
      </c>
      <c r="AG870">
        <f>IF(ISBLANK('Data Entry'!$a$870), "", 'Data Entry'!$a$870)</f>
      </c>
      <c r="AH870">
        <f>IF(ISBLANK('Data Entry'!$b$870), "", 'Data Entry'!$b$870)</f>
      </c>
      <c r="AI870">
        <f>IF(ISBLANK('Data Entry'!$c$870), "", 'Data Entry'!$c$870)</f>
      </c>
      <c r="AJ870">
        <f>IF(ISBLANK('Data Entry'!$d$870), "", 'Data Entry'!$d$870)</f>
      </c>
      <c r="AK870">
        <f>IF(ISBLANK('Data Entry'!$e$870), "", 'Data Entry'!$e$870)</f>
      </c>
      <c r="AL870">
        <f>IF(ISBLANK('Data Entry'!$f$870), "", 'Data Entry'!$f$870)</f>
      </c>
      <c r="AM870">
        <f>IF(ISBLANK('Data Entry'!$g$870), "", 'Data Entry'!$g$870)</f>
      </c>
      <c r="AN870">
        <f>IF(ISBLANK('Data Entry'!$h$870), "", 'Data Entry'!$h$870)</f>
      </c>
      <c r="AO870">
        <f>IF(ISBLANK('Data Entry'!$i$870), "", 'Data Entry'!$i$870)</f>
      </c>
      <c r="AP870">
        <f>IF(ISBLANK('Data Entry'!$j$870), "", 'Data Entry'!$j$870)</f>
      </c>
      <c r="AQ870">
        <f>IF(ISBLANK('Data Entry'!$k$870), "", 'Data Entry'!$k$870)</f>
      </c>
      <c r="AR870">
        <f>IF(ISBLANK('Data Entry'!$l$870), "", 'Data Entry'!$l$870)</f>
      </c>
      <c r="AS870">
        <f>IF(ISBLANK('Data Entry'!$m$870), "", 'Data Entry'!$m$870)</f>
      </c>
      <c r="AT870">
        <f>IF(ISBLANK('Data Entry'!$n$870), "", 'Data Entry'!$n$870)</f>
      </c>
      <c r="AU870">
        <f>IF(ISBLANK('Data Entry'!$o$870), "", 'Data Entry'!$o$870)</f>
      </c>
      <c r="AV870">
        <f>IF(ISBLANK('Data Entry'!$p$870), "", 'Data Entry'!$p$870)</f>
      </c>
      <c r="AW870">
        <f>IF(ISBLANK('Data Entry'!$q$870), "", 'Data Entry'!$q$870)</f>
      </c>
      <c r="AX870">
        <f>IF(ISBLANK('Data Entry'!$r$870), "", 'Data Entry'!$r$870)</f>
      </c>
      <c r="AY870">
        <f>IF(ISBLANK('Data Entry'!$s$870), "", 'Data Entry'!$s$870)</f>
      </c>
      <c r="AZ870">
        <f>IF(ISBLANK('Data Entry'!$t$870), "", 'Data Entry'!$t$870)</f>
      </c>
      <c r="BA870">
        <f>IF(ISBLANK('Data Entry'!$u$870), "", 'Data Entry'!$u$870)</f>
      </c>
      <c r="BB870">
        <f>IF(ISBLANK('Data Entry'!$v$870), "", 'Data Entry'!$v$870)</f>
      </c>
      <c r="BC870">
        <f>IF(ISBLANK('Data Entry'!$w$870), "", 'Data Entry'!$w$870)</f>
      </c>
      <c r="BD870">
        <f>IF(ISBLANK('Data Entry'!$x$870), "", 'Data Entry'!$x$870)</f>
      </c>
      <c r="BE870">
        <f>IF(ISBLANK('Data Entry'!$y$870), "", 'Data Entry'!$y$870)</f>
      </c>
      <c r="BF870">
        <f>IF(ISBLANK('Data Entry'!$z$870), "", 'Data Entry'!$z$870)</f>
      </c>
      <c r="BG870">
        <f>IF(ISBLANK('Data Entry'!${$870), "", 'Data Entry'!${$870)</f>
      </c>
      <c r="BH870">
        <f>IF(ISBLANK('Data Entry'!$|$870), "", 'Data Entry'!$|$870)</f>
      </c>
      <c r="BI870">
        <f>IF(ISBLANK('Data Entry'!$}$870), "", 'Data Entry'!$}$870)</f>
      </c>
      <c r="BJ870">
        <f>IF(ISBLANK('Data Entry'!$~$870), "", 'Data Entry'!$~$870)</f>
      </c>
      <c r="BK870">
        <f>IF(ISBLANK('Data Entry'!$$870), "", 'Data Entry'!$$870)</f>
      </c>
      <c r="BL870">
        <f>IF(ISBLANK('Data Entry'!$$870), "", 'Data Entry'!$$870)</f>
      </c>
      <c r="BM870">
        <f>IF(ISBLANK('Data Entry'!$$870), "", 'Data Entry'!$$870)</f>
      </c>
      <c r="BN870">
        <f>IF(ISBLANK('Data Entry'!$$870), "", 'Data Entry'!$$870)</f>
      </c>
      <c r="BO870">
        <f>IF(ISBLANK('Data Entry'!$$870), "", 'Data Entry'!$$870)</f>
      </c>
      <c r="BP870">
        <f>IF(ISBLANK('Data Entry'!$$870), "", 'Data Entry'!$$870)</f>
      </c>
      <c r="BQ870">
        <f>IF(ISBLANK('Data Entry'!$$870), "", 'Data Entry'!$$870)</f>
      </c>
      <c r="BR870">
        <f>IF(ISBLANK('Data Entry'!$$870), "", 'Data Entry'!$$870)</f>
      </c>
      <c r="BS870">
        <f>IF(ISBLANK('Data Entry'!$$870), "", 'Data Entry'!$$870)</f>
      </c>
      <c r="BT870">
        <f>IF(ISBLANK('Data Entry'!$$870), "", 'Data Entry'!$$870)</f>
      </c>
      <c r="BU870">
        <f>IF(ISBLANK('Data Entry'!$$870), "", 'Data Entry'!$$870)</f>
      </c>
      <c r="BV870">
        <f>IF(ISBLANK('Data Entry'!$$870), "", 'Data Entry'!$$870)</f>
      </c>
      <c r="BW870">
        <f>IF(ISBLANK('Data Entry'!$$870), "", 'Data Entry'!$$870)</f>
      </c>
      <c r="BX870">
        <f>IF(ISBLANK('Data Entry'!$$870), "", 'Data Entry'!$$870)</f>
      </c>
      <c r="BY870">
        <f>IF(ISBLANK('Data Entry'!$$870), "", 'Data Entry'!$$870)</f>
      </c>
      <c r="BZ870">
        <f>IF(ISBLANK('Data Entry'!$$870), "", 'Data Entry'!$$870)</f>
      </c>
      <c r="CA870">
        <f>IF(ISBLANK('Data Entry'!$$870), "", 'Data Entry'!$$870)</f>
      </c>
      <c r="CB870">
        <f>IF(ISBLANK('Data Entry'!$$870), "", 'Data Entry'!$$870)</f>
      </c>
      <c r="CC870">
        <f>IF(ISBLANK('Data Entry'!$$870), "", 'Data Entry'!$$870)</f>
      </c>
      <c r="CD870">
        <f>IF(ISBLANK('Data Entry'!$$870), "", 'Data Entry'!$$870)</f>
      </c>
      <c r="CE870">
        <f>IF(ISBLANK('Data Entry'!$$870), "", 'Data Entry'!$$870)</f>
      </c>
      <c r="CF870">
        <f>IF(ISBLANK('Data Entry'!$$870), "", 'Data Entry'!$$870)</f>
      </c>
      <c r="CG870">
        <f>IF(ISBLANK('Data Entry'!$$870), "", 'Data Entry'!$$870)</f>
      </c>
      <c r="CH870">
        <f>IF(ISBLANK('Data Entry'!$$870), "", 'Data Entry'!$$870)</f>
      </c>
      <c r="CI870">
        <f>IF(ISBLANK('Data Entry'!$$870), "", 'Data Entry'!$$870)</f>
      </c>
      <c r="CJ870">
        <f>IF(ISBLANK('Data Entry'!$$870), "", 'Data Entry'!$$870)</f>
      </c>
      <c r="CK870">
        <f>IF(ISBLANK('Data Entry'!$$870), "", 'Data Entry'!$$870)</f>
      </c>
      <c r="CL870">
        <f>IF(ISBLANK('Data Entry'!$$870), "", 'Data Entry'!$$870)</f>
      </c>
      <c r="CM870">
        <f>IF(ISBLANK('Data Entry'!$$870), "", 'Data Entry'!$$870)</f>
      </c>
      <c r="CN870">
        <f>IF(ISBLANK('Data Entry'!$$870), "", 'Data Entry'!$$870)</f>
      </c>
      <c r="CO870">
        <f>IF(ISBLANK('Data Entry'!$$870), "", 'Data Entry'!$$870)</f>
      </c>
      <c r="CP870">
        <f>IF(ISBLANK('Data Entry'!$$870), "", 'Data Entry'!$$870)</f>
      </c>
      <c r="CQ870">
        <f>IF(ISBLANK('Data Entry'!$$870), "", 'Data Entry'!$$870)</f>
      </c>
      <c r="CR870">
        <f>IF(ISBLANK('Data Entry'!$ $870), "", 'Data Entry'!$ $870)</f>
      </c>
      <c r="CS870">
        <f>IF(ISBLANK('Data Entry'!$¡$870), "", 'Data Entry'!$¡$870)</f>
      </c>
      <c r="CT870">
        <f>IF(ISBLANK('Data Entry'!$¢$870), "", 'Data Entry'!$¢$870)</f>
      </c>
      <c r="CU870">
        <f>IF(ISBLANK('Data Entry'!$£$870), "", 'Data Entry'!$£$870)</f>
      </c>
      <c r="CV870">
        <f>IF(ISBLANK('Data Entry'!$¤$870), "", 'Data Entry'!$¤$870)</f>
      </c>
      <c r="CW870">
        <f>IF(ISBLANK('Data Entry'!$¥$870), "", 'Data Entry'!$¥$870)</f>
      </c>
      <c r="CX870">
        <f>IF(ISBLANK('Data Entry'!$¦$870), "", 'Data Entry'!$¦$870)</f>
      </c>
      <c r="CY870">
        <f>IF(ISBLANK('Data Entry'!$§$870), "", 'Data Entry'!$§$870)</f>
      </c>
      <c r="CZ870">
        <f>IF(ISBLANK('Data Entry'!$¨$870), "", 'Data Entry'!$¨$870)</f>
      </c>
      <c r="DA870">
        <f>IF(ISBLANK('Data Entry'!$©$870), "", 'Data Entry'!$©$870)</f>
      </c>
      <c r="DB870">
        <f>IF(ISBLANK('Data Entry'!$ª$870), "", 'Data Entry'!$ª$870)</f>
      </c>
      <c r="DC870">
        <f>IF(ISBLANK('Data Entry'!$«$870), "", 'Data Entry'!$«$870)</f>
      </c>
      <c r="DD870">
        <f>IF(ISBLANK('Data Entry'!$¬$870), "", 'Data Entry'!$¬$870)</f>
      </c>
      <c r="DE870">
        <f>IF(ISBLANK('Data Entry'!$­$870), "", 'Data Entry'!$­$870)</f>
      </c>
      <c r="DF870">
        <f>IF(ISBLANK('Data Entry'!$®$870), "", 'Data Entry'!$®$870)</f>
      </c>
      <c r="DG870">
        <f>IF(ISBLANK('Data Entry'!$¯$870), "", 'Data Entry'!$¯$870)</f>
      </c>
      <c r="DH870">
        <f>IF(ISBLANK('Data Entry'!$°$870), "", 'Data Entry'!$°$870)</f>
      </c>
      <c r="DI870">
        <f>IF(ISBLANK('Data Entry'!$±$870), "", 'Data Entry'!$±$870)</f>
      </c>
      <c r="DJ870">
        <f>IF(ISBLANK('Data Entry'!$²$870), "", 'Data Entry'!$²$870)</f>
      </c>
      <c r="DK870">
        <f>IF(ISBLANK('Data Entry'!$³$870), "", 'Data Entry'!$³$870)</f>
      </c>
      <c r="DL870">
        <f>IF(ISBLANK('Data Entry'!$´$870), "", 'Data Entry'!$´$870)</f>
      </c>
      <c r="DM870">
        <f>IF(ISBLANK('Data Entry'!$µ$870), "", 'Data Entry'!$µ$870)</f>
      </c>
      <c r="DN870">
        <f>IF(ISBLANK('Data Entry'!$¶$870), "", 'Data Entry'!$¶$870)</f>
      </c>
      <c r="DO870">
        <f>IF(ISBLANK('Data Entry'!$·$870), "", 'Data Entry'!$·$870)</f>
      </c>
      <c r="DP870">
        <f>IF(ISBLANK('Data Entry'!$¸$870), "", 'Data Entry'!$¸$870)</f>
      </c>
      <c r="DQ870">
        <f>IF(ISBLANK('Data Entry'!$¹$870), "", 'Data Entry'!$¹$870)</f>
      </c>
      <c r="DR870">
        <f>IF(ISBLANK('Data Entry'!$º$870), "", 'Data Entry'!$º$870)</f>
      </c>
      <c r="DS870">
        <f>IF(ISBLANK('Data Entry'!$»$870), "", 'Data Entry'!$»$870)</f>
      </c>
      <c r="DT870">
        <f>IF(ISBLANK('Data Entry'!$¼$870), "", 'Data Entry'!$¼$870)</f>
      </c>
      <c r="DU870">
        <f>IF(ISBLANK('Data Entry'!$½$870), "", 'Data Entry'!$½$870)</f>
      </c>
      <c r="DV870">
        <f>IF(ISBLANK('Data Entry'!$¾$870), "", 'Data Entry'!$¾$870)</f>
      </c>
      <c r="DW870">
        <f>IF(ISBLANK('Data Entry'!$¿$870), "", 'Data Entry'!$¿$870)</f>
      </c>
      <c r="DX870">
        <f>IF(ISBLANK('Data Entry'!$À$870), "", 'Data Entry'!$À$870)</f>
      </c>
      <c r="DY870">
        <f>IF(ISBLANK('Data Entry'!$Á$870), "", 'Data Entry'!$Á$870)</f>
      </c>
      <c r="DZ870">
        <f>IF(ISBLANK('Data Entry'!$Â$870), "", 'Data Entry'!$Â$870)</f>
      </c>
      <c r="EA870">
        <f>IF(ISBLANK('Data Entry'!$Ã$870), "", 'Data Entry'!$Ã$870)</f>
      </c>
      <c r="EB870">
        <f>IF(ISBLANK('Data Entry'!$Ä$870), "", 'Data Entry'!$Ä$870)</f>
      </c>
      <c r="EC870">
        <f>IF(ISBLANK('Data Entry'!$Å$870), "", 'Data Entry'!$Å$870)</f>
      </c>
      <c r="ED870">
        <f>IF(ISBLANK('Data Entry'!$Æ$870), "", 'Data Entry'!$Æ$870)</f>
      </c>
      <c r="EE870">
        <f>IF(ISBLANK('Data Entry'!$Ç$870), "", 'Data Entry'!$Ç$870)</f>
      </c>
      <c r="EF870">
        <f>IF(ISBLANK('Data Entry'!$È$870), "", 'Data Entry'!$È$870)</f>
      </c>
      <c r="EG870">
        <f>IF(ISBLANK('Data Entry'!$É$870), "", 'Data Entry'!$É$870)</f>
      </c>
      <c r="EH870">
        <f>IF(ISBLANK('Data Entry'!$Ê$870), "", 'Data Entry'!$Ê$870)</f>
      </c>
      <c r="EI870">
        <f>IF(ISBLANK('Data Entry'!$Ë$870), "", 'Data Entry'!$Ë$870)</f>
      </c>
      <c r="EJ870">
        <f>IF(ISBLANK('Data Entry'!$Ì$870), "", 'Data Entry'!$Ì$870)</f>
      </c>
      <c r="EK870">
        <f>IF(ISBLANK('Data Entry'!$Í$870), "", 'Data Entry'!$Í$870)</f>
      </c>
      <c r="EL870">
        <f>IF(ISBLANK('Data Entry'!$Î$870), "", 'Data Entry'!$Î$870)</f>
      </c>
      <c r="EM870">
        <f>IF(ISBLANK('Data Entry'!$Ï$870), "", 'Data Entry'!$Ï$870)</f>
      </c>
      <c r="EN870">
        <f>IF(ISBLANK('Data Entry'!$Ð$870), "", 'Data Entry'!$Ð$870)</f>
      </c>
      <c r="EO870">
        <f>IF(ISBLANK('Data Entry'!$Ñ$870), "", 'Data Entry'!$Ñ$870)</f>
      </c>
      <c r="EP870">
        <f>IF(ISBLANK('Data Entry'!$Ò$870), "", 'Data Entry'!$Ò$870)</f>
      </c>
      <c r="EQ870">
        <f>IF(ISBLANK('Data Entry'!$Ó$870), "", 'Data Entry'!$Ó$870)</f>
      </c>
      <c r="ER870">
        <f>IF(ISBLANK('Data Entry'!$Ô$870), "", 'Data Entry'!$Ô$870)</f>
      </c>
      <c r="ES870">
        <f>IF(ISBLANK('Data Entry'!$Õ$870), "", 'Data Entry'!$Õ$870)</f>
      </c>
      <c r="ET870">
        <f>IF(ISBLANK('Data Entry'!$Ö$870), "", 'Data Entry'!$Ö$870)</f>
      </c>
      <c r="EU870">
        <f>IF(ISBLANK('Data Entry'!$×$870), "", 'Data Entry'!$×$870)</f>
      </c>
      <c r="EV870">
        <f>IF(ISBLANK('Data Entry'!$Ø$870), "", 'Data Entry'!$Ø$870)</f>
      </c>
      <c r="EW870">
        <f>IF(ISBLANK('Data Entry'!$Ù$870), "", 'Data Entry'!$Ù$870)</f>
      </c>
      <c r="EX870">
        <f>IF(ISBLANK('Data Entry'!$Ú$870), "", 'Data Entry'!$Ú$870)</f>
      </c>
      <c r="EY870">
        <f>IF(ISBLANK('Data Entry'!$Û$870), "", 'Data Entry'!$Û$870)</f>
      </c>
      <c r="EZ870">
        <f>IF(ISBLANK('Data Entry'!$Ü$870), "", 'Data Entry'!$Ü$870)</f>
      </c>
      <c r="FA870">
        <f>IF(ISBLANK('Data Entry'!$Ý$870), "", 'Data Entry'!$Ý$870)</f>
      </c>
      <c r="FB870">
        <f>IF(ISBLANK('Data Entry'!$Þ$870), "", 'Data Entry'!$Þ$870)</f>
      </c>
      <c r="FC870">
        <f>IF(ISBLANK('Data Entry'!$ß$870), "", 'Data Entry'!$ß$870)</f>
      </c>
      <c r="FD870">
        <f>IF(ISBLANK('Data Entry'!$à$870), "", 'Data Entry'!$à$870)</f>
      </c>
      <c r="FE870">
        <f>IF(ISBLANK('Data Entry'!$á$870), "", 'Data Entry'!$á$870)</f>
      </c>
      <c r="FF870">
        <f>IF(ISBLANK('Data Entry'!$â$870), "", 'Data Entry'!$â$870)</f>
      </c>
      <c r="FG870">
        <f>IF(ISBLANK('Data Entry'!$ã$870), "", 'Data Entry'!$ã$870)</f>
      </c>
      <c r="FH870">
        <f>IF(ISBLANK('Data Entry'!$ä$870), "", 'Data Entry'!$ä$870)</f>
      </c>
      <c r="FI870">
        <f>IF(ISBLANK('Data Entry'!$å$870), "", 'Data Entry'!$å$870)</f>
      </c>
      <c r="FJ870">
        <f>IF(ISBLANK('Data Entry'!$æ$870), "", 'Data Entry'!$æ$870)</f>
      </c>
      <c r="FK870">
        <f>IF(ISBLANK('Data Entry'!$ç$870), "", 'Data Entry'!$ç$870)</f>
      </c>
      <c r="FL870">
        <f>IF(ISBLANK('Data Entry'!$è$870), "", 'Data Entry'!$è$870)</f>
      </c>
      <c r="FM870">
        <f>IF(ISBLANK('Data Entry'!$é$870), "", 'Data Entry'!$é$870)</f>
      </c>
      <c r="FN870">
        <f>IF(ISBLANK('Data Entry'!$ê$870), "", 'Data Entry'!$ê$870)</f>
      </c>
      <c r="FO870">
        <f>IF(ISBLANK('Data Entry'!$ë$870), "", 'Data Entry'!$ë$870)</f>
      </c>
      <c r="FP870">
        <f>IF(ISBLANK('Data Entry'!$ì$870), "", 'Data Entry'!$ì$870)</f>
      </c>
      <c r="FQ870">
        <f>IF(ISBLANK('Data Entry'!$í$870), "", 'Data Entry'!$í$870)</f>
      </c>
      <c r="FR870">
        <f>IF(ISBLANK('Data Entry'!$î$870), "", 'Data Entry'!$î$870)</f>
      </c>
      <c r="FS870">
        <f>IF(ISBLANK('Data Entry'!$ï$870), "", 'Data Entry'!$ï$870)</f>
      </c>
      <c r="FT870">
        <f>IF(ISBLANK('Data Entry'!$ð$870), "", 'Data Entry'!$ð$870)</f>
      </c>
      <c r="FU870">
        <f>IF(ISBLANK('Data Entry'!$ñ$870), "", 'Data Entry'!$ñ$870)</f>
      </c>
      <c r="FV870">
        <f>IF(ISBLANK('Data Entry'!$ò$870), "", 'Data Entry'!$ò$870)</f>
      </c>
      <c r="FW870">
        <f>IF(ISBLANK('Data Entry'!$ó$870), "", 'Data Entry'!$ó$870)</f>
      </c>
      <c r="FX870">
        <f>IF(ISBLANK('Data Entry'!$ô$870), "", 'Data Entry'!$ô$870)</f>
      </c>
      <c r="FY870">
        <f>IF(ISBLANK('Data Entry'!$õ$870), "", 'Data Entry'!$õ$870)</f>
      </c>
      <c r="FZ870">
        <f>IF(ISBLANK('Data Entry'!$ö$870), "", 'Data Entry'!$ö$870)</f>
      </c>
      <c r="GA870">
        <f>IF(ISBLANK('Data Entry'!$÷$870), "", 'Data Entry'!$÷$870)</f>
      </c>
      <c r="GB870">
        <f>IF(ISBLANK('Data Entry'!$ø$870), "", 'Data Entry'!$ø$870)</f>
      </c>
      <c r="GC870">
        <f>IF(ISBLANK('Data Entry'!$ù$870), "", 'Data Entry'!$ù$870)</f>
      </c>
      <c r="GD870">
        <f>IF(ISBLANK('Data Entry'!$ú$870), "", 'Data Entry'!$ú$870)</f>
      </c>
      <c r="GE870">
        <f>IF(ISBLANK('Data Entry'!$û$870), "", 'Data Entry'!$û$870)</f>
      </c>
      <c r="GF870">
        <f>IF(ISBLANK('Data Entry'!$ü$870), "", 'Data Entry'!$ü$870)</f>
      </c>
      <c r="GG870">
        <f>IF(ISBLANK('Data Entry'!$ý$870), "", 'Data Entry'!$ý$870)</f>
      </c>
      <c r="GH870">
        <f>IF(ISBLANK('Data Entry'!$þ$870), "", 'Data Entry'!$þ$870)</f>
      </c>
      <c r="GI870">
        <f>IF(ISBLANK('Data Entry'!$ÿ$870), "", 'Data Entry'!$ÿ$870)</f>
      </c>
      <c r="GJ870">
        <f>IF(ISBLANK('Data Entry'!$Ā$870), "", 'Data Entry'!$Ā$870)</f>
      </c>
      <c r="GK870">
        <f>IF(ISBLANK('Data Entry'!$ā$870), "", 'Data Entry'!$ā$870)</f>
      </c>
      <c r="GL870">
        <f>IF(ISBLANK('Data Entry'!$Ă$870), "", 'Data Entry'!$Ă$870)</f>
      </c>
      <c r="GM870">
        <f>IF(ISBLANK('Data Entry'!$ă$870), "", 'Data Entry'!$ă$870)</f>
      </c>
      <c r="GN870">
        <f>IF(ISBLANK('Data Entry'!$Ą$870), "", 'Data Entry'!$Ą$870)</f>
      </c>
      <c r="GO870">
        <f>IF(ISBLANK('Data Entry'!$ą$870), "", 'Data Entry'!$ą$870)</f>
      </c>
      <c r="GP870">
        <f>IF(ISBLANK('Data Entry'!$Ć$870), "", 'Data Entry'!$Ć$870)</f>
      </c>
      <c r="GQ870">
        <f>IF(ISBLANK('Data Entry'!$ć$870), "", 'Data Entry'!$ć$870)</f>
      </c>
      <c r="GR870">
        <f>IF(ISBLANK('Data Entry'!$Ĉ$870), "", 'Data Entry'!$Ĉ$870)</f>
      </c>
      <c r="GS870">
        <f>IF(ISBLANK('Data Entry'!$ĉ$870), "", 'Data Entry'!$ĉ$870)</f>
      </c>
      <c r="GT870">
        <f>IF(ISBLANK('Data Entry'!$Ċ$870), "", 'Data Entry'!$Ċ$870)</f>
      </c>
      <c r="GU870">
        <f>IF(ISBLANK('Data Entry'!$ċ$870), "", 'Data Entry'!$ċ$870)</f>
      </c>
      <c r="GV870">
        <f>IF(ISBLANK('Data Entry'!$Č$870), "", 'Data Entry'!$Č$870)</f>
      </c>
      <c r="GW870">
        <f>IF(ISBLANK('Data Entry'!$č$870), "", 'Data Entry'!$č$870)</f>
      </c>
      <c r="GX870">
        <f>IF(ISBLANK('Data Entry'!$Ď$870), "", 'Data Entry'!$Ď$870)</f>
      </c>
      <c r="GY870">
        <f>IF(ISBLANK('Data Entry'!$ď$870), "", 'Data Entry'!$ď$870)</f>
      </c>
      <c r="GZ870">
        <f>IF(ISBLANK('Data Entry'!$Đ$870), "", 'Data Entry'!$Đ$870)</f>
      </c>
      <c r="HA870">
        <f>IF(ISBLANK('Data Entry'!$đ$870), "", 'Data Entry'!$đ$870)</f>
      </c>
      <c r="HB870">
        <f>IF(ISBLANK('Data Entry'!$Ē$870), "", 'Data Entry'!$Ē$870)</f>
      </c>
      <c r="HC870">
        <f>IF(ISBLANK('Data Entry'!$ē$870), "", 'Data Entry'!$ē$870)</f>
      </c>
      <c r="HD870">
        <f>IF(ISBLANK('Data Entry'!$Ĕ$870), "", 'Data Entry'!$Ĕ$870)</f>
      </c>
      <c r="HE870">
        <f>IF(ISBLANK('Data Entry'!$ĕ$870), "", 'Data Entry'!$ĕ$870)</f>
      </c>
      <c r="HF870">
        <f>IF(ISBLANK('Data Entry'!$Ė$870), "", 'Data Entry'!$Ė$870)</f>
      </c>
      <c r="HG870">
        <f>IF(ISBLANK('Data Entry'!$ė$870), "", 'Data Entry'!$ė$870)</f>
      </c>
      <c r="HH870">
        <f>IF(ISBLANK('Data Entry'!$Ę$870), "", 'Data Entry'!$Ę$870)</f>
      </c>
      <c r="HI870">
        <f>IF(ISBLANK('Data Entry'!$ę$870), "", 'Data Entry'!$ę$870)</f>
      </c>
      <c r="HJ870">
        <f>IF(ISBLANK('Data Entry'!$Ě$870), "", 'Data Entry'!$Ě$870)</f>
      </c>
      <c r="HK870">
        <f>IF(ISBLANK('Data Entry'!$ě$870), "", 'Data Entry'!$ě$870)</f>
      </c>
      <c r="HL870">
        <f>IF(ISBLANK('Data Entry'!$Ĝ$870), "", 'Data Entry'!$Ĝ$870)</f>
      </c>
      <c r="HM870">
        <f>IF(ISBLANK('Data Entry'!$ĝ$870), "", 'Data Entry'!$ĝ$870)</f>
      </c>
      <c r="HN870">
        <f>IF(ISBLANK('Data Entry'!$Ğ$870), "", 'Data Entry'!$Ğ$870)</f>
      </c>
      <c r="HO870">
        <f>IF(ISBLANK('Data Entry'!$ğ$870), "", 'Data Entry'!$ğ$870)</f>
      </c>
      <c r="HP870">
        <f>IF(ISBLANK('Data Entry'!$Ġ$870), "", 'Data Entry'!$Ġ$870)</f>
      </c>
      <c r="HQ870">
        <f>IF(ISBLANK('Data Entry'!$ġ$870), "", 'Data Entry'!$ġ$870)</f>
      </c>
      <c r="HR870">
        <f>IF(ISBLANK('Data Entry'!$Ģ$870), "", 'Data Entry'!$Ģ$870)</f>
      </c>
      <c r="HS870">
        <f>IF(ISBLANK('Data Entry'!$ģ$870), "", 'Data Entry'!$ģ$870)</f>
      </c>
      <c r="HT870">
        <f>IF(ISBLANK('Data Entry'!$Ĥ$870), "", 'Data Entry'!$Ĥ$870)</f>
      </c>
      <c r="HU870">
        <f>IF(ISBLANK('Data Entry'!$ĥ$870), "", 'Data Entry'!$ĥ$870)</f>
      </c>
      <c r="HV870">
        <f>IF(ISBLANK('Data Entry'!$Ħ$870), "", 'Data Entry'!$Ħ$870)</f>
      </c>
      <c r="HW870">
        <f>IF(ISBLANK('Data Entry'!$ħ$870), "", 'Data Entry'!$ħ$870)</f>
      </c>
      <c r="HX870">
        <f>IF(ISBLANK('Data Entry'!$Ĩ$870), "", 'Data Entry'!$Ĩ$870)</f>
      </c>
      <c r="HY870">
        <f>IF(ISBLANK('Data Entry'!$ĩ$870), "", 'Data Entry'!$ĩ$870)</f>
      </c>
      <c r="HZ870">
        <f>IF(ISBLANK('Data Entry'!$Ī$870), "", 'Data Entry'!$Ī$870)</f>
      </c>
      <c r="IA870">
        <f>IF(ISBLANK('Data Entry'!$ī$870), "", 'Data Entry'!$ī$870)</f>
      </c>
      <c r="IB870">
        <f>IF(ISBLANK('Data Entry'!$Ĭ$870), "", 'Data Entry'!$Ĭ$870)</f>
      </c>
      <c r="IC870">
        <f>IF(ISBLANK('Data Entry'!$ĭ$870), "", 'Data Entry'!$ĭ$870)</f>
      </c>
      <c r="ID870">
        <f>IF(ISBLANK('Data Entry'!$Į$870), "", 'Data Entry'!$Į$870)</f>
      </c>
      <c r="IE870">
        <f>IF(ISBLANK('Data Entry'!$į$870), "", 'Data Entry'!$į$870)</f>
      </c>
      <c r="IF870">
        <f>IF(ISBLANK('Data Entry'!$İ$870), "", 'Data Entry'!$İ$870)</f>
      </c>
      <c r="IG870">
        <f>IF(ISBLANK('Data Entry'!$ı$870), "", 'Data Entry'!$ı$870)</f>
      </c>
      <c r="IH870">
        <f>IF(ISBLANK('Data Entry'!$Ĳ$870), "", 'Data Entry'!$Ĳ$870)</f>
      </c>
      <c r="II870">
        <f>IF(ISBLANK('Data Entry'!$ĳ$870), "", 'Data Entry'!$ĳ$870)</f>
      </c>
      <c r="IJ870">
        <f>IF(ISBLANK('Data Entry'!$Ĵ$870), "", 'Data Entry'!$Ĵ$870)</f>
      </c>
      <c r="IK870">
        <f>IF(ISBLANK('Data Entry'!$ĵ$870), "", 'Data Entry'!$ĵ$870)</f>
      </c>
      <c r="IL870">
        <f>IF(ISBLANK('Data Entry'!$Ķ$870), "", 'Data Entry'!$Ķ$870)</f>
      </c>
      <c r="IM870">
        <f>IF(ISBLANK('Data Entry'!$ķ$870), "", 'Data Entry'!$ķ$870)</f>
      </c>
      <c r="IN870">
        <f>IF(ISBLANK('Data Entry'!$ĸ$870), "", 'Data Entry'!$ĸ$870)</f>
      </c>
      <c r="IO870">
        <f>IF(ISBLANK('Data Entry'!$Ĺ$870), "", 'Data Entry'!$Ĺ$870)</f>
      </c>
      <c r="IP870">
        <f>IF(ISBLANK('Data Entry'!$ĺ$870), "", 'Data Entry'!$ĺ$870)</f>
      </c>
      <c r="IQ870">
        <f>IF(ISBLANK('Data Entry'!$Ļ$870), "", 'Data Entry'!$Ļ$870)</f>
      </c>
      <c r="IR870">
        <f>IF(ISBLANK('Data Entry'!$ļ$870), "", 'Data Entry'!$ļ$870)</f>
      </c>
      <c r="IS870">
        <f>IF(ISBLANK('Data Entry'!$Ľ$870), "", 'Data Entry'!$Ľ$870)</f>
      </c>
      <c r="IT870">
        <f>IF(ISBLANK('Data Entry'!$ľ$870), "", 'Data Entry'!$ľ$870)</f>
      </c>
    </row>
    <row r="871" spans="1:254" x14ac:dyDescent="0.25">
      <c r="A871">
        <f>IF(ISBLANK('Data Entry'!$A$871), "", 'Data Entry'!$A$871)</f>
      </c>
      <c r="B871">
        <f>IF(ISBLANK('Data Entry'!$B$871), "", 'Data Entry'!$B$871)</f>
      </c>
      <c r="C871">
        <f>IF(ISBLANK('Data Entry'!$C$871), "", 'Data Entry'!$C$871)</f>
      </c>
      <c r="D871">
        <f>IF(ISBLANK('Data Entry'!$D$871), "", 'Data Entry'!$D$871)</f>
      </c>
      <c r="E871">
        <f>IF(ISBLANK('Data Entry'!$E$871), "", 'Data Entry'!$E$871)</f>
      </c>
      <c r="F871">
        <f>IF(ISBLANK('Data Entry'!$F$871), "", 'Data Entry'!$F$871)</f>
      </c>
      <c r="G871">
        <f>IF(ISBLANK('Data Entry'!$G$871), "", 'Data Entry'!$G$871)</f>
      </c>
      <c r="H871">
        <f>IF(ISBLANK('Data Entry'!$H$871), "", 'Data Entry'!$H$871)</f>
      </c>
      <c r="I871">
        <f>IF(ISBLANK('Data Entry'!$I$871), "", 'Data Entry'!$I$871)</f>
      </c>
      <c r="J871">
        <f>IF(ISBLANK('Data Entry'!$J$871), "", 'Data Entry'!$J$871)</f>
      </c>
      <c r="K871">
        <f>IF(ISBLANK('Data Entry'!$K$871), "", 'Data Entry'!$K$871)</f>
      </c>
      <c r="L871">
        <f>IF(ISBLANK('Data Entry'!$L$871), "", 'Data Entry'!$L$871)</f>
      </c>
      <c r="M871">
        <f>IF(ISBLANK('Data Entry'!$M$871), "", 'Data Entry'!$M$871)</f>
      </c>
      <c r="N871">
        <f>IF(ISBLANK('Data Entry'!$N$871), "", 'Data Entry'!$N$871)</f>
      </c>
      <c r="O871">
        <f>IF(ISBLANK('Data Entry'!$O$871), "", 'Data Entry'!$O$871)</f>
      </c>
      <c r="P871">
        <f>IF(ISBLANK('Data Entry'!$P$871), "", 'Data Entry'!$P$871)</f>
      </c>
      <c r="Q871">
        <f>IF(ISBLANK('Data Entry'!$Q$871), "", 'Data Entry'!$Q$871)</f>
      </c>
      <c r="R871">
        <f>IF(ISBLANK('Data Entry'!$R$871), "", 'Data Entry'!$R$871)</f>
      </c>
      <c r="S871">
        <f>IF(ISBLANK('Data Entry'!$S$871), "", 'Data Entry'!$S$871)</f>
      </c>
      <c r="T871">
        <f>IF(ISBLANK('Data Entry'!$T$871), "", 'Data Entry'!$T$871)</f>
      </c>
      <c r="U871">
        <f>IF(ISBLANK('Data Entry'!$U$871), "", 'Data Entry'!$U$871)</f>
      </c>
      <c r="V871">
        <f>IF(ISBLANK('Data Entry'!$V$871), "", 'Data Entry'!$V$871)</f>
      </c>
      <c r="W871">
        <f>IF(ISBLANK('Data Entry'!$W$871), "", 'Data Entry'!$W$871)</f>
      </c>
      <c r="X871">
        <f>IF(ISBLANK('Data Entry'!$X$871), "", 'Data Entry'!$X$871)</f>
      </c>
      <c r="Y871">
        <f>IF(ISBLANK('Data Entry'!$Y$871), "", 'Data Entry'!$Y$871)</f>
      </c>
      <c r="Z871">
        <f>IF(ISBLANK('Data Entry'!$Z$871), "", 'Data Entry'!$Z$871)</f>
      </c>
      <c r="AA871">
        <f>IF(ISBLANK('Data Entry'!$[$871), "", 'Data Entry'!$[$871)</f>
      </c>
      <c r="AB871">
        <f>IF(ISBLANK('Data Entry'!$\$871), "", 'Data Entry'!$\$871)</f>
      </c>
      <c r="AC871">
        <f>IF(ISBLANK('Data Entry'!$]$871), "", 'Data Entry'!$]$871)</f>
      </c>
      <c r="AD871">
        <f>IF(ISBLANK('Data Entry'!$^$871), "", 'Data Entry'!$^$871)</f>
      </c>
      <c r="AE871">
        <f>IF(ISBLANK('Data Entry'!$_$871), "", 'Data Entry'!$_$871)</f>
      </c>
      <c r="AF871">
        <f>IF(ISBLANK('Data Entry'!$`$871), "", 'Data Entry'!$`$871)</f>
      </c>
      <c r="AG871">
        <f>IF(ISBLANK('Data Entry'!$a$871), "", 'Data Entry'!$a$871)</f>
      </c>
      <c r="AH871">
        <f>IF(ISBLANK('Data Entry'!$b$871), "", 'Data Entry'!$b$871)</f>
      </c>
      <c r="AI871">
        <f>IF(ISBLANK('Data Entry'!$c$871), "", 'Data Entry'!$c$871)</f>
      </c>
      <c r="AJ871">
        <f>IF(ISBLANK('Data Entry'!$d$871), "", 'Data Entry'!$d$871)</f>
      </c>
      <c r="AK871">
        <f>IF(ISBLANK('Data Entry'!$e$871), "", 'Data Entry'!$e$871)</f>
      </c>
      <c r="AL871">
        <f>IF(ISBLANK('Data Entry'!$f$871), "", 'Data Entry'!$f$871)</f>
      </c>
      <c r="AM871">
        <f>IF(ISBLANK('Data Entry'!$g$871), "", 'Data Entry'!$g$871)</f>
      </c>
      <c r="AN871">
        <f>IF(ISBLANK('Data Entry'!$h$871), "", 'Data Entry'!$h$871)</f>
      </c>
      <c r="AO871">
        <f>IF(ISBLANK('Data Entry'!$i$871), "", 'Data Entry'!$i$871)</f>
      </c>
      <c r="AP871">
        <f>IF(ISBLANK('Data Entry'!$j$871), "", 'Data Entry'!$j$871)</f>
      </c>
      <c r="AQ871">
        <f>IF(ISBLANK('Data Entry'!$k$871), "", 'Data Entry'!$k$871)</f>
      </c>
      <c r="AR871">
        <f>IF(ISBLANK('Data Entry'!$l$871), "", 'Data Entry'!$l$871)</f>
      </c>
      <c r="AS871">
        <f>IF(ISBLANK('Data Entry'!$m$871), "", 'Data Entry'!$m$871)</f>
      </c>
      <c r="AT871">
        <f>IF(ISBLANK('Data Entry'!$n$871), "", 'Data Entry'!$n$871)</f>
      </c>
      <c r="AU871">
        <f>IF(ISBLANK('Data Entry'!$o$871), "", 'Data Entry'!$o$871)</f>
      </c>
      <c r="AV871">
        <f>IF(ISBLANK('Data Entry'!$p$871), "", 'Data Entry'!$p$871)</f>
      </c>
      <c r="AW871">
        <f>IF(ISBLANK('Data Entry'!$q$871), "", 'Data Entry'!$q$871)</f>
      </c>
      <c r="AX871">
        <f>IF(ISBLANK('Data Entry'!$r$871), "", 'Data Entry'!$r$871)</f>
      </c>
      <c r="AY871">
        <f>IF(ISBLANK('Data Entry'!$s$871), "", 'Data Entry'!$s$871)</f>
      </c>
      <c r="AZ871">
        <f>IF(ISBLANK('Data Entry'!$t$871), "", 'Data Entry'!$t$871)</f>
      </c>
      <c r="BA871">
        <f>IF(ISBLANK('Data Entry'!$u$871), "", 'Data Entry'!$u$871)</f>
      </c>
      <c r="BB871">
        <f>IF(ISBLANK('Data Entry'!$v$871), "", 'Data Entry'!$v$871)</f>
      </c>
      <c r="BC871">
        <f>IF(ISBLANK('Data Entry'!$w$871), "", 'Data Entry'!$w$871)</f>
      </c>
      <c r="BD871">
        <f>IF(ISBLANK('Data Entry'!$x$871), "", 'Data Entry'!$x$871)</f>
      </c>
      <c r="BE871">
        <f>IF(ISBLANK('Data Entry'!$y$871), "", 'Data Entry'!$y$871)</f>
      </c>
      <c r="BF871">
        <f>IF(ISBLANK('Data Entry'!$z$871), "", 'Data Entry'!$z$871)</f>
      </c>
      <c r="BG871">
        <f>IF(ISBLANK('Data Entry'!${$871), "", 'Data Entry'!${$871)</f>
      </c>
      <c r="BH871">
        <f>IF(ISBLANK('Data Entry'!$|$871), "", 'Data Entry'!$|$871)</f>
      </c>
      <c r="BI871">
        <f>IF(ISBLANK('Data Entry'!$}$871), "", 'Data Entry'!$}$871)</f>
      </c>
      <c r="BJ871">
        <f>IF(ISBLANK('Data Entry'!$~$871), "", 'Data Entry'!$~$871)</f>
      </c>
      <c r="BK871">
        <f>IF(ISBLANK('Data Entry'!$$871), "", 'Data Entry'!$$871)</f>
      </c>
      <c r="BL871">
        <f>IF(ISBLANK('Data Entry'!$$871), "", 'Data Entry'!$$871)</f>
      </c>
      <c r="BM871">
        <f>IF(ISBLANK('Data Entry'!$$871), "", 'Data Entry'!$$871)</f>
      </c>
      <c r="BN871">
        <f>IF(ISBLANK('Data Entry'!$$871), "", 'Data Entry'!$$871)</f>
      </c>
      <c r="BO871">
        <f>IF(ISBLANK('Data Entry'!$$871), "", 'Data Entry'!$$871)</f>
      </c>
      <c r="BP871">
        <f>IF(ISBLANK('Data Entry'!$$871), "", 'Data Entry'!$$871)</f>
      </c>
      <c r="BQ871">
        <f>IF(ISBLANK('Data Entry'!$$871), "", 'Data Entry'!$$871)</f>
      </c>
      <c r="BR871">
        <f>IF(ISBLANK('Data Entry'!$$871), "", 'Data Entry'!$$871)</f>
      </c>
      <c r="BS871">
        <f>IF(ISBLANK('Data Entry'!$$871), "", 'Data Entry'!$$871)</f>
      </c>
      <c r="BT871">
        <f>IF(ISBLANK('Data Entry'!$$871), "", 'Data Entry'!$$871)</f>
      </c>
      <c r="BU871">
        <f>IF(ISBLANK('Data Entry'!$$871), "", 'Data Entry'!$$871)</f>
      </c>
      <c r="BV871">
        <f>IF(ISBLANK('Data Entry'!$$871), "", 'Data Entry'!$$871)</f>
      </c>
      <c r="BW871">
        <f>IF(ISBLANK('Data Entry'!$$871), "", 'Data Entry'!$$871)</f>
      </c>
      <c r="BX871">
        <f>IF(ISBLANK('Data Entry'!$$871), "", 'Data Entry'!$$871)</f>
      </c>
      <c r="BY871">
        <f>IF(ISBLANK('Data Entry'!$$871), "", 'Data Entry'!$$871)</f>
      </c>
      <c r="BZ871">
        <f>IF(ISBLANK('Data Entry'!$$871), "", 'Data Entry'!$$871)</f>
      </c>
      <c r="CA871">
        <f>IF(ISBLANK('Data Entry'!$$871), "", 'Data Entry'!$$871)</f>
      </c>
      <c r="CB871">
        <f>IF(ISBLANK('Data Entry'!$$871), "", 'Data Entry'!$$871)</f>
      </c>
      <c r="CC871">
        <f>IF(ISBLANK('Data Entry'!$$871), "", 'Data Entry'!$$871)</f>
      </c>
      <c r="CD871">
        <f>IF(ISBLANK('Data Entry'!$$871), "", 'Data Entry'!$$871)</f>
      </c>
      <c r="CE871">
        <f>IF(ISBLANK('Data Entry'!$$871), "", 'Data Entry'!$$871)</f>
      </c>
      <c r="CF871">
        <f>IF(ISBLANK('Data Entry'!$$871), "", 'Data Entry'!$$871)</f>
      </c>
      <c r="CG871">
        <f>IF(ISBLANK('Data Entry'!$$871), "", 'Data Entry'!$$871)</f>
      </c>
      <c r="CH871">
        <f>IF(ISBLANK('Data Entry'!$$871), "", 'Data Entry'!$$871)</f>
      </c>
      <c r="CI871">
        <f>IF(ISBLANK('Data Entry'!$$871), "", 'Data Entry'!$$871)</f>
      </c>
      <c r="CJ871">
        <f>IF(ISBLANK('Data Entry'!$$871), "", 'Data Entry'!$$871)</f>
      </c>
      <c r="CK871">
        <f>IF(ISBLANK('Data Entry'!$$871), "", 'Data Entry'!$$871)</f>
      </c>
      <c r="CL871">
        <f>IF(ISBLANK('Data Entry'!$$871), "", 'Data Entry'!$$871)</f>
      </c>
      <c r="CM871">
        <f>IF(ISBLANK('Data Entry'!$$871), "", 'Data Entry'!$$871)</f>
      </c>
      <c r="CN871">
        <f>IF(ISBLANK('Data Entry'!$$871), "", 'Data Entry'!$$871)</f>
      </c>
      <c r="CO871">
        <f>IF(ISBLANK('Data Entry'!$$871), "", 'Data Entry'!$$871)</f>
      </c>
      <c r="CP871">
        <f>IF(ISBLANK('Data Entry'!$$871), "", 'Data Entry'!$$871)</f>
      </c>
      <c r="CQ871">
        <f>IF(ISBLANK('Data Entry'!$$871), "", 'Data Entry'!$$871)</f>
      </c>
      <c r="CR871">
        <f>IF(ISBLANK('Data Entry'!$ $871), "", 'Data Entry'!$ $871)</f>
      </c>
      <c r="CS871">
        <f>IF(ISBLANK('Data Entry'!$¡$871), "", 'Data Entry'!$¡$871)</f>
      </c>
      <c r="CT871">
        <f>IF(ISBLANK('Data Entry'!$¢$871), "", 'Data Entry'!$¢$871)</f>
      </c>
      <c r="CU871">
        <f>IF(ISBLANK('Data Entry'!$£$871), "", 'Data Entry'!$£$871)</f>
      </c>
      <c r="CV871">
        <f>IF(ISBLANK('Data Entry'!$¤$871), "", 'Data Entry'!$¤$871)</f>
      </c>
      <c r="CW871">
        <f>IF(ISBLANK('Data Entry'!$¥$871), "", 'Data Entry'!$¥$871)</f>
      </c>
      <c r="CX871">
        <f>IF(ISBLANK('Data Entry'!$¦$871), "", 'Data Entry'!$¦$871)</f>
      </c>
      <c r="CY871">
        <f>IF(ISBLANK('Data Entry'!$§$871), "", 'Data Entry'!$§$871)</f>
      </c>
      <c r="CZ871">
        <f>IF(ISBLANK('Data Entry'!$¨$871), "", 'Data Entry'!$¨$871)</f>
      </c>
      <c r="DA871">
        <f>IF(ISBLANK('Data Entry'!$©$871), "", 'Data Entry'!$©$871)</f>
      </c>
      <c r="DB871">
        <f>IF(ISBLANK('Data Entry'!$ª$871), "", 'Data Entry'!$ª$871)</f>
      </c>
      <c r="DC871">
        <f>IF(ISBLANK('Data Entry'!$«$871), "", 'Data Entry'!$«$871)</f>
      </c>
      <c r="DD871">
        <f>IF(ISBLANK('Data Entry'!$¬$871), "", 'Data Entry'!$¬$871)</f>
      </c>
      <c r="DE871">
        <f>IF(ISBLANK('Data Entry'!$­$871), "", 'Data Entry'!$­$871)</f>
      </c>
      <c r="DF871">
        <f>IF(ISBLANK('Data Entry'!$®$871), "", 'Data Entry'!$®$871)</f>
      </c>
      <c r="DG871">
        <f>IF(ISBLANK('Data Entry'!$¯$871), "", 'Data Entry'!$¯$871)</f>
      </c>
      <c r="DH871">
        <f>IF(ISBLANK('Data Entry'!$°$871), "", 'Data Entry'!$°$871)</f>
      </c>
      <c r="DI871">
        <f>IF(ISBLANK('Data Entry'!$±$871), "", 'Data Entry'!$±$871)</f>
      </c>
      <c r="DJ871">
        <f>IF(ISBLANK('Data Entry'!$²$871), "", 'Data Entry'!$²$871)</f>
      </c>
      <c r="DK871">
        <f>IF(ISBLANK('Data Entry'!$³$871), "", 'Data Entry'!$³$871)</f>
      </c>
      <c r="DL871">
        <f>IF(ISBLANK('Data Entry'!$´$871), "", 'Data Entry'!$´$871)</f>
      </c>
      <c r="DM871">
        <f>IF(ISBLANK('Data Entry'!$µ$871), "", 'Data Entry'!$µ$871)</f>
      </c>
      <c r="DN871">
        <f>IF(ISBLANK('Data Entry'!$¶$871), "", 'Data Entry'!$¶$871)</f>
      </c>
      <c r="DO871">
        <f>IF(ISBLANK('Data Entry'!$·$871), "", 'Data Entry'!$·$871)</f>
      </c>
      <c r="DP871">
        <f>IF(ISBLANK('Data Entry'!$¸$871), "", 'Data Entry'!$¸$871)</f>
      </c>
      <c r="DQ871">
        <f>IF(ISBLANK('Data Entry'!$¹$871), "", 'Data Entry'!$¹$871)</f>
      </c>
      <c r="DR871">
        <f>IF(ISBLANK('Data Entry'!$º$871), "", 'Data Entry'!$º$871)</f>
      </c>
      <c r="DS871">
        <f>IF(ISBLANK('Data Entry'!$»$871), "", 'Data Entry'!$»$871)</f>
      </c>
      <c r="DT871">
        <f>IF(ISBLANK('Data Entry'!$¼$871), "", 'Data Entry'!$¼$871)</f>
      </c>
      <c r="DU871">
        <f>IF(ISBLANK('Data Entry'!$½$871), "", 'Data Entry'!$½$871)</f>
      </c>
      <c r="DV871">
        <f>IF(ISBLANK('Data Entry'!$¾$871), "", 'Data Entry'!$¾$871)</f>
      </c>
      <c r="DW871">
        <f>IF(ISBLANK('Data Entry'!$¿$871), "", 'Data Entry'!$¿$871)</f>
      </c>
      <c r="DX871">
        <f>IF(ISBLANK('Data Entry'!$À$871), "", 'Data Entry'!$À$871)</f>
      </c>
      <c r="DY871">
        <f>IF(ISBLANK('Data Entry'!$Á$871), "", 'Data Entry'!$Á$871)</f>
      </c>
      <c r="DZ871">
        <f>IF(ISBLANK('Data Entry'!$Â$871), "", 'Data Entry'!$Â$871)</f>
      </c>
      <c r="EA871">
        <f>IF(ISBLANK('Data Entry'!$Ã$871), "", 'Data Entry'!$Ã$871)</f>
      </c>
      <c r="EB871">
        <f>IF(ISBLANK('Data Entry'!$Ä$871), "", 'Data Entry'!$Ä$871)</f>
      </c>
      <c r="EC871">
        <f>IF(ISBLANK('Data Entry'!$Å$871), "", 'Data Entry'!$Å$871)</f>
      </c>
      <c r="ED871">
        <f>IF(ISBLANK('Data Entry'!$Æ$871), "", 'Data Entry'!$Æ$871)</f>
      </c>
      <c r="EE871">
        <f>IF(ISBLANK('Data Entry'!$Ç$871), "", 'Data Entry'!$Ç$871)</f>
      </c>
      <c r="EF871">
        <f>IF(ISBLANK('Data Entry'!$È$871), "", 'Data Entry'!$È$871)</f>
      </c>
      <c r="EG871">
        <f>IF(ISBLANK('Data Entry'!$É$871), "", 'Data Entry'!$É$871)</f>
      </c>
      <c r="EH871">
        <f>IF(ISBLANK('Data Entry'!$Ê$871), "", 'Data Entry'!$Ê$871)</f>
      </c>
      <c r="EI871">
        <f>IF(ISBLANK('Data Entry'!$Ë$871), "", 'Data Entry'!$Ë$871)</f>
      </c>
      <c r="EJ871">
        <f>IF(ISBLANK('Data Entry'!$Ì$871), "", 'Data Entry'!$Ì$871)</f>
      </c>
      <c r="EK871">
        <f>IF(ISBLANK('Data Entry'!$Í$871), "", 'Data Entry'!$Í$871)</f>
      </c>
      <c r="EL871">
        <f>IF(ISBLANK('Data Entry'!$Î$871), "", 'Data Entry'!$Î$871)</f>
      </c>
      <c r="EM871">
        <f>IF(ISBLANK('Data Entry'!$Ï$871), "", 'Data Entry'!$Ï$871)</f>
      </c>
      <c r="EN871">
        <f>IF(ISBLANK('Data Entry'!$Ð$871), "", 'Data Entry'!$Ð$871)</f>
      </c>
      <c r="EO871">
        <f>IF(ISBLANK('Data Entry'!$Ñ$871), "", 'Data Entry'!$Ñ$871)</f>
      </c>
      <c r="EP871">
        <f>IF(ISBLANK('Data Entry'!$Ò$871), "", 'Data Entry'!$Ò$871)</f>
      </c>
      <c r="EQ871">
        <f>IF(ISBLANK('Data Entry'!$Ó$871), "", 'Data Entry'!$Ó$871)</f>
      </c>
      <c r="ER871">
        <f>IF(ISBLANK('Data Entry'!$Ô$871), "", 'Data Entry'!$Ô$871)</f>
      </c>
      <c r="ES871">
        <f>IF(ISBLANK('Data Entry'!$Õ$871), "", 'Data Entry'!$Õ$871)</f>
      </c>
      <c r="ET871">
        <f>IF(ISBLANK('Data Entry'!$Ö$871), "", 'Data Entry'!$Ö$871)</f>
      </c>
      <c r="EU871">
        <f>IF(ISBLANK('Data Entry'!$×$871), "", 'Data Entry'!$×$871)</f>
      </c>
      <c r="EV871">
        <f>IF(ISBLANK('Data Entry'!$Ø$871), "", 'Data Entry'!$Ø$871)</f>
      </c>
      <c r="EW871">
        <f>IF(ISBLANK('Data Entry'!$Ù$871), "", 'Data Entry'!$Ù$871)</f>
      </c>
      <c r="EX871">
        <f>IF(ISBLANK('Data Entry'!$Ú$871), "", 'Data Entry'!$Ú$871)</f>
      </c>
      <c r="EY871">
        <f>IF(ISBLANK('Data Entry'!$Û$871), "", 'Data Entry'!$Û$871)</f>
      </c>
      <c r="EZ871">
        <f>IF(ISBLANK('Data Entry'!$Ü$871), "", 'Data Entry'!$Ü$871)</f>
      </c>
      <c r="FA871">
        <f>IF(ISBLANK('Data Entry'!$Ý$871), "", 'Data Entry'!$Ý$871)</f>
      </c>
      <c r="FB871">
        <f>IF(ISBLANK('Data Entry'!$Þ$871), "", 'Data Entry'!$Þ$871)</f>
      </c>
      <c r="FC871">
        <f>IF(ISBLANK('Data Entry'!$ß$871), "", 'Data Entry'!$ß$871)</f>
      </c>
      <c r="FD871">
        <f>IF(ISBLANK('Data Entry'!$à$871), "", 'Data Entry'!$à$871)</f>
      </c>
      <c r="FE871">
        <f>IF(ISBLANK('Data Entry'!$á$871), "", 'Data Entry'!$á$871)</f>
      </c>
      <c r="FF871">
        <f>IF(ISBLANK('Data Entry'!$â$871), "", 'Data Entry'!$â$871)</f>
      </c>
      <c r="FG871">
        <f>IF(ISBLANK('Data Entry'!$ã$871), "", 'Data Entry'!$ã$871)</f>
      </c>
      <c r="FH871">
        <f>IF(ISBLANK('Data Entry'!$ä$871), "", 'Data Entry'!$ä$871)</f>
      </c>
      <c r="FI871">
        <f>IF(ISBLANK('Data Entry'!$å$871), "", 'Data Entry'!$å$871)</f>
      </c>
      <c r="FJ871">
        <f>IF(ISBLANK('Data Entry'!$æ$871), "", 'Data Entry'!$æ$871)</f>
      </c>
      <c r="FK871">
        <f>IF(ISBLANK('Data Entry'!$ç$871), "", 'Data Entry'!$ç$871)</f>
      </c>
      <c r="FL871">
        <f>IF(ISBLANK('Data Entry'!$è$871), "", 'Data Entry'!$è$871)</f>
      </c>
      <c r="FM871">
        <f>IF(ISBLANK('Data Entry'!$é$871), "", 'Data Entry'!$é$871)</f>
      </c>
      <c r="FN871">
        <f>IF(ISBLANK('Data Entry'!$ê$871), "", 'Data Entry'!$ê$871)</f>
      </c>
      <c r="FO871">
        <f>IF(ISBLANK('Data Entry'!$ë$871), "", 'Data Entry'!$ë$871)</f>
      </c>
      <c r="FP871">
        <f>IF(ISBLANK('Data Entry'!$ì$871), "", 'Data Entry'!$ì$871)</f>
      </c>
      <c r="FQ871">
        <f>IF(ISBLANK('Data Entry'!$í$871), "", 'Data Entry'!$í$871)</f>
      </c>
      <c r="FR871">
        <f>IF(ISBLANK('Data Entry'!$î$871), "", 'Data Entry'!$î$871)</f>
      </c>
      <c r="FS871">
        <f>IF(ISBLANK('Data Entry'!$ï$871), "", 'Data Entry'!$ï$871)</f>
      </c>
      <c r="FT871">
        <f>IF(ISBLANK('Data Entry'!$ð$871), "", 'Data Entry'!$ð$871)</f>
      </c>
      <c r="FU871">
        <f>IF(ISBLANK('Data Entry'!$ñ$871), "", 'Data Entry'!$ñ$871)</f>
      </c>
      <c r="FV871">
        <f>IF(ISBLANK('Data Entry'!$ò$871), "", 'Data Entry'!$ò$871)</f>
      </c>
      <c r="FW871">
        <f>IF(ISBLANK('Data Entry'!$ó$871), "", 'Data Entry'!$ó$871)</f>
      </c>
      <c r="FX871">
        <f>IF(ISBLANK('Data Entry'!$ô$871), "", 'Data Entry'!$ô$871)</f>
      </c>
      <c r="FY871">
        <f>IF(ISBLANK('Data Entry'!$õ$871), "", 'Data Entry'!$õ$871)</f>
      </c>
      <c r="FZ871">
        <f>IF(ISBLANK('Data Entry'!$ö$871), "", 'Data Entry'!$ö$871)</f>
      </c>
      <c r="GA871">
        <f>IF(ISBLANK('Data Entry'!$÷$871), "", 'Data Entry'!$÷$871)</f>
      </c>
      <c r="GB871">
        <f>IF(ISBLANK('Data Entry'!$ø$871), "", 'Data Entry'!$ø$871)</f>
      </c>
      <c r="GC871">
        <f>IF(ISBLANK('Data Entry'!$ù$871), "", 'Data Entry'!$ù$871)</f>
      </c>
      <c r="GD871">
        <f>IF(ISBLANK('Data Entry'!$ú$871), "", 'Data Entry'!$ú$871)</f>
      </c>
      <c r="GE871">
        <f>IF(ISBLANK('Data Entry'!$û$871), "", 'Data Entry'!$û$871)</f>
      </c>
      <c r="GF871">
        <f>IF(ISBLANK('Data Entry'!$ü$871), "", 'Data Entry'!$ü$871)</f>
      </c>
      <c r="GG871">
        <f>IF(ISBLANK('Data Entry'!$ý$871), "", 'Data Entry'!$ý$871)</f>
      </c>
      <c r="GH871">
        <f>IF(ISBLANK('Data Entry'!$þ$871), "", 'Data Entry'!$þ$871)</f>
      </c>
      <c r="GI871">
        <f>IF(ISBLANK('Data Entry'!$ÿ$871), "", 'Data Entry'!$ÿ$871)</f>
      </c>
      <c r="GJ871">
        <f>IF(ISBLANK('Data Entry'!$Ā$871), "", 'Data Entry'!$Ā$871)</f>
      </c>
      <c r="GK871">
        <f>IF(ISBLANK('Data Entry'!$ā$871), "", 'Data Entry'!$ā$871)</f>
      </c>
      <c r="GL871">
        <f>IF(ISBLANK('Data Entry'!$Ă$871), "", 'Data Entry'!$Ă$871)</f>
      </c>
      <c r="GM871">
        <f>IF(ISBLANK('Data Entry'!$ă$871), "", 'Data Entry'!$ă$871)</f>
      </c>
      <c r="GN871">
        <f>IF(ISBLANK('Data Entry'!$Ą$871), "", 'Data Entry'!$Ą$871)</f>
      </c>
      <c r="GO871">
        <f>IF(ISBLANK('Data Entry'!$ą$871), "", 'Data Entry'!$ą$871)</f>
      </c>
      <c r="GP871">
        <f>IF(ISBLANK('Data Entry'!$Ć$871), "", 'Data Entry'!$Ć$871)</f>
      </c>
      <c r="GQ871">
        <f>IF(ISBLANK('Data Entry'!$ć$871), "", 'Data Entry'!$ć$871)</f>
      </c>
      <c r="GR871">
        <f>IF(ISBLANK('Data Entry'!$Ĉ$871), "", 'Data Entry'!$Ĉ$871)</f>
      </c>
      <c r="GS871">
        <f>IF(ISBLANK('Data Entry'!$ĉ$871), "", 'Data Entry'!$ĉ$871)</f>
      </c>
      <c r="GT871">
        <f>IF(ISBLANK('Data Entry'!$Ċ$871), "", 'Data Entry'!$Ċ$871)</f>
      </c>
      <c r="GU871">
        <f>IF(ISBLANK('Data Entry'!$ċ$871), "", 'Data Entry'!$ċ$871)</f>
      </c>
      <c r="GV871">
        <f>IF(ISBLANK('Data Entry'!$Č$871), "", 'Data Entry'!$Č$871)</f>
      </c>
      <c r="GW871">
        <f>IF(ISBLANK('Data Entry'!$č$871), "", 'Data Entry'!$č$871)</f>
      </c>
      <c r="GX871">
        <f>IF(ISBLANK('Data Entry'!$Ď$871), "", 'Data Entry'!$Ď$871)</f>
      </c>
      <c r="GY871">
        <f>IF(ISBLANK('Data Entry'!$ď$871), "", 'Data Entry'!$ď$871)</f>
      </c>
      <c r="GZ871">
        <f>IF(ISBLANK('Data Entry'!$Đ$871), "", 'Data Entry'!$Đ$871)</f>
      </c>
      <c r="HA871">
        <f>IF(ISBLANK('Data Entry'!$đ$871), "", 'Data Entry'!$đ$871)</f>
      </c>
      <c r="HB871">
        <f>IF(ISBLANK('Data Entry'!$Ē$871), "", 'Data Entry'!$Ē$871)</f>
      </c>
      <c r="HC871">
        <f>IF(ISBLANK('Data Entry'!$ē$871), "", 'Data Entry'!$ē$871)</f>
      </c>
      <c r="HD871">
        <f>IF(ISBLANK('Data Entry'!$Ĕ$871), "", 'Data Entry'!$Ĕ$871)</f>
      </c>
      <c r="HE871">
        <f>IF(ISBLANK('Data Entry'!$ĕ$871), "", 'Data Entry'!$ĕ$871)</f>
      </c>
      <c r="HF871">
        <f>IF(ISBLANK('Data Entry'!$Ė$871), "", 'Data Entry'!$Ė$871)</f>
      </c>
      <c r="HG871">
        <f>IF(ISBLANK('Data Entry'!$ė$871), "", 'Data Entry'!$ė$871)</f>
      </c>
      <c r="HH871">
        <f>IF(ISBLANK('Data Entry'!$Ę$871), "", 'Data Entry'!$Ę$871)</f>
      </c>
      <c r="HI871">
        <f>IF(ISBLANK('Data Entry'!$ę$871), "", 'Data Entry'!$ę$871)</f>
      </c>
      <c r="HJ871">
        <f>IF(ISBLANK('Data Entry'!$Ě$871), "", 'Data Entry'!$Ě$871)</f>
      </c>
      <c r="HK871">
        <f>IF(ISBLANK('Data Entry'!$ě$871), "", 'Data Entry'!$ě$871)</f>
      </c>
      <c r="HL871">
        <f>IF(ISBLANK('Data Entry'!$Ĝ$871), "", 'Data Entry'!$Ĝ$871)</f>
      </c>
      <c r="HM871">
        <f>IF(ISBLANK('Data Entry'!$ĝ$871), "", 'Data Entry'!$ĝ$871)</f>
      </c>
      <c r="HN871">
        <f>IF(ISBLANK('Data Entry'!$Ğ$871), "", 'Data Entry'!$Ğ$871)</f>
      </c>
      <c r="HO871">
        <f>IF(ISBLANK('Data Entry'!$ğ$871), "", 'Data Entry'!$ğ$871)</f>
      </c>
      <c r="HP871">
        <f>IF(ISBLANK('Data Entry'!$Ġ$871), "", 'Data Entry'!$Ġ$871)</f>
      </c>
      <c r="HQ871">
        <f>IF(ISBLANK('Data Entry'!$ġ$871), "", 'Data Entry'!$ġ$871)</f>
      </c>
      <c r="HR871">
        <f>IF(ISBLANK('Data Entry'!$Ģ$871), "", 'Data Entry'!$Ģ$871)</f>
      </c>
      <c r="HS871">
        <f>IF(ISBLANK('Data Entry'!$ģ$871), "", 'Data Entry'!$ģ$871)</f>
      </c>
      <c r="HT871">
        <f>IF(ISBLANK('Data Entry'!$Ĥ$871), "", 'Data Entry'!$Ĥ$871)</f>
      </c>
      <c r="HU871">
        <f>IF(ISBLANK('Data Entry'!$ĥ$871), "", 'Data Entry'!$ĥ$871)</f>
      </c>
      <c r="HV871">
        <f>IF(ISBLANK('Data Entry'!$Ħ$871), "", 'Data Entry'!$Ħ$871)</f>
      </c>
      <c r="HW871">
        <f>IF(ISBLANK('Data Entry'!$ħ$871), "", 'Data Entry'!$ħ$871)</f>
      </c>
      <c r="HX871">
        <f>IF(ISBLANK('Data Entry'!$Ĩ$871), "", 'Data Entry'!$Ĩ$871)</f>
      </c>
      <c r="HY871">
        <f>IF(ISBLANK('Data Entry'!$ĩ$871), "", 'Data Entry'!$ĩ$871)</f>
      </c>
      <c r="HZ871">
        <f>IF(ISBLANK('Data Entry'!$Ī$871), "", 'Data Entry'!$Ī$871)</f>
      </c>
      <c r="IA871">
        <f>IF(ISBLANK('Data Entry'!$ī$871), "", 'Data Entry'!$ī$871)</f>
      </c>
      <c r="IB871">
        <f>IF(ISBLANK('Data Entry'!$Ĭ$871), "", 'Data Entry'!$Ĭ$871)</f>
      </c>
      <c r="IC871">
        <f>IF(ISBLANK('Data Entry'!$ĭ$871), "", 'Data Entry'!$ĭ$871)</f>
      </c>
      <c r="ID871">
        <f>IF(ISBLANK('Data Entry'!$Į$871), "", 'Data Entry'!$Į$871)</f>
      </c>
      <c r="IE871">
        <f>IF(ISBLANK('Data Entry'!$į$871), "", 'Data Entry'!$į$871)</f>
      </c>
      <c r="IF871">
        <f>IF(ISBLANK('Data Entry'!$İ$871), "", 'Data Entry'!$İ$871)</f>
      </c>
      <c r="IG871">
        <f>IF(ISBLANK('Data Entry'!$ı$871), "", 'Data Entry'!$ı$871)</f>
      </c>
      <c r="IH871">
        <f>IF(ISBLANK('Data Entry'!$Ĳ$871), "", 'Data Entry'!$Ĳ$871)</f>
      </c>
      <c r="II871">
        <f>IF(ISBLANK('Data Entry'!$ĳ$871), "", 'Data Entry'!$ĳ$871)</f>
      </c>
      <c r="IJ871">
        <f>IF(ISBLANK('Data Entry'!$Ĵ$871), "", 'Data Entry'!$Ĵ$871)</f>
      </c>
      <c r="IK871">
        <f>IF(ISBLANK('Data Entry'!$ĵ$871), "", 'Data Entry'!$ĵ$871)</f>
      </c>
      <c r="IL871">
        <f>IF(ISBLANK('Data Entry'!$Ķ$871), "", 'Data Entry'!$Ķ$871)</f>
      </c>
      <c r="IM871">
        <f>IF(ISBLANK('Data Entry'!$ķ$871), "", 'Data Entry'!$ķ$871)</f>
      </c>
      <c r="IN871">
        <f>IF(ISBLANK('Data Entry'!$ĸ$871), "", 'Data Entry'!$ĸ$871)</f>
      </c>
      <c r="IO871">
        <f>IF(ISBLANK('Data Entry'!$Ĺ$871), "", 'Data Entry'!$Ĺ$871)</f>
      </c>
      <c r="IP871">
        <f>IF(ISBLANK('Data Entry'!$ĺ$871), "", 'Data Entry'!$ĺ$871)</f>
      </c>
      <c r="IQ871">
        <f>IF(ISBLANK('Data Entry'!$Ļ$871), "", 'Data Entry'!$Ļ$871)</f>
      </c>
      <c r="IR871">
        <f>IF(ISBLANK('Data Entry'!$ļ$871), "", 'Data Entry'!$ļ$871)</f>
      </c>
      <c r="IS871">
        <f>IF(ISBLANK('Data Entry'!$Ľ$871), "", 'Data Entry'!$Ľ$871)</f>
      </c>
      <c r="IT871">
        <f>IF(ISBLANK('Data Entry'!$ľ$871), "", 'Data Entry'!$ľ$871)</f>
      </c>
    </row>
    <row r="872" spans="1:254" x14ac:dyDescent="0.25">
      <c r="A872">
        <f>IF(ISBLANK('Data Entry'!$A$872), "", 'Data Entry'!$A$872)</f>
      </c>
      <c r="B872">
        <f>IF(ISBLANK('Data Entry'!$B$872), "", 'Data Entry'!$B$872)</f>
      </c>
      <c r="C872">
        <f>IF(ISBLANK('Data Entry'!$C$872), "", 'Data Entry'!$C$872)</f>
      </c>
      <c r="D872">
        <f>IF(ISBLANK('Data Entry'!$D$872), "", 'Data Entry'!$D$872)</f>
      </c>
      <c r="E872">
        <f>IF(ISBLANK('Data Entry'!$E$872), "", 'Data Entry'!$E$872)</f>
      </c>
      <c r="F872">
        <f>IF(ISBLANK('Data Entry'!$F$872), "", 'Data Entry'!$F$872)</f>
      </c>
      <c r="G872">
        <f>IF(ISBLANK('Data Entry'!$G$872), "", 'Data Entry'!$G$872)</f>
      </c>
      <c r="H872">
        <f>IF(ISBLANK('Data Entry'!$H$872), "", 'Data Entry'!$H$872)</f>
      </c>
      <c r="I872">
        <f>IF(ISBLANK('Data Entry'!$I$872), "", 'Data Entry'!$I$872)</f>
      </c>
      <c r="J872">
        <f>IF(ISBLANK('Data Entry'!$J$872), "", 'Data Entry'!$J$872)</f>
      </c>
      <c r="K872">
        <f>IF(ISBLANK('Data Entry'!$K$872), "", 'Data Entry'!$K$872)</f>
      </c>
      <c r="L872">
        <f>IF(ISBLANK('Data Entry'!$L$872), "", 'Data Entry'!$L$872)</f>
      </c>
      <c r="M872">
        <f>IF(ISBLANK('Data Entry'!$M$872), "", 'Data Entry'!$M$872)</f>
      </c>
      <c r="N872">
        <f>IF(ISBLANK('Data Entry'!$N$872), "", 'Data Entry'!$N$872)</f>
      </c>
      <c r="O872">
        <f>IF(ISBLANK('Data Entry'!$O$872), "", 'Data Entry'!$O$872)</f>
      </c>
      <c r="P872">
        <f>IF(ISBLANK('Data Entry'!$P$872), "", 'Data Entry'!$P$872)</f>
      </c>
      <c r="Q872">
        <f>IF(ISBLANK('Data Entry'!$Q$872), "", 'Data Entry'!$Q$872)</f>
      </c>
      <c r="R872">
        <f>IF(ISBLANK('Data Entry'!$R$872), "", 'Data Entry'!$R$872)</f>
      </c>
      <c r="S872">
        <f>IF(ISBLANK('Data Entry'!$S$872), "", 'Data Entry'!$S$872)</f>
      </c>
      <c r="T872">
        <f>IF(ISBLANK('Data Entry'!$T$872), "", 'Data Entry'!$T$872)</f>
      </c>
      <c r="U872">
        <f>IF(ISBLANK('Data Entry'!$U$872), "", 'Data Entry'!$U$872)</f>
      </c>
      <c r="V872">
        <f>IF(ISBLANK('Data Entry'!$V$872), "", 'Data Entry'!$V$872)</f>
      </c>
      <c r="W872">
        <f>IF(ISBLANK('Data Entry'!$W$872), "", 'Data Entry'!$W$872)</f>
      </c>
      <c r="X872">
        <f>IF(ISBLANK('Data Entry'!$X$872), "", 'Data Entry'!$X$872)</f>
      </c>
      <c r="Y872">
        <f>IF(ISBLANK('Data Entry'!$Y$872), "", 'Data Entry'!$Y$872)</f>
      </c>
      <c r="Z872">
        <f>IF(ISBLANK('Data Entry'!$Z$872), "", 'Data Entry'!$Z$872)</f>
      </c>
      <c r="AA872">
        <f>IF(ISBLANK('Data Entry'!$[$872), "", 'Data Entry'!$[$872)</f>
      </c>
      <c r="AB872">
        <f>IF(ISBLANK('Data Entry'!$\$872), "", 'Data Entry'!$\$872)</f>
      </c>
      <c r="AC872">
        <f>IF(ISBLANK('Data Entry'!$]$872), "", 'Data Entry'!$]$872)</f>
      </c>
      <c r="AD872">
        <f>IF(ISBLANK('Data Entry'!$^$872), "", 'Data Entry'!$^$872)</f>
      </c>
      <c r="AE872">
        <f>IF(ISBLANK('Data Entry'!$_$872), "", 'Data Entry'!$_$872)</f>
      </c>
      <c r="AF872">
        <f>IF(ISBLANK('Data Entry'!$`$872), "", 'Data Entry'!$`$872)</f>
      </c>
      <c r="AG872">
        <f>IF(ISBLANK('Data Entry'!$a$872), "", 'Data Entry'!$a$872)</f>
      </c>
      <c r="AH872">
        <f>IF(ISBLANK('Data Entry'!$b$872), "", 'Data Entry'!$b$872)</f>
      </c>
      <c r="AI872">
        <f>IF(ISBLANK('Data Entry'!$c$872), "", 'Data Entry'!$c$872)</f>
      </c>
      <c r="AJ872">
        <f>IF(ISBLANK('Data Entry'!$d$872), "", 'Data Entry'!$d$872)</f>
      </c>
      <c r="AK872">
        <f>IF(ISBLANK('Data Entry'!$e$872), "", 'Data Entry'!$e$872)</f>
      </c>
      <c r="AL872">
        <f>IF(ISBLANK('Data Entry'!$f$872), "", 'Data Entry'!$f$872)</f>
      </c>
      <c r="AM872">
        <f>IF(ISBLANK('Data Entry'!$g$872), "", 'Data Entry'!$g$872)</f>
      </c>
      <c r="AN872">
        <f>IF(ISBLANK('Data Entry'!$h$872), "", 'Data Entry'!$h$872)</f>
      </c>
      <c r="AO872">
        <f>IF(ISBLANK('Data Entry'!$i$872), "", 'Data Entry'!$i$872)</f>
      </c>
      <c r="AP872">
        <f>IF(ISBLANK('Data Entry'!$j$872), "", 'Data Entry'!$j$872)</f>
      </c>
      <c r="AQ872">
        <f>IF(ISBLANK('Data Entry'!$k$872), "", 'Data Entry'!$k$872)</f>
      </c>
      <c r="AR872">
        <f>IF(ISBLANK('Data Entry'!$l$872), "", 'Data Entry'!$l$872)</f>
      </c>
      <c r="AS872">
        <f>IF(ISBLANK('Data Entry'!$m$872), "", 'Data Entry'!$m$872)</f>
      </c>
      <c r="AT872">
        <f>IF(ISBLANK('Data Entry'!$n$872), "", 'Data Entry'!$n$872)</f>
      </c>
      <c r="AU872">
        <f>IF(ISBLANK('Data Entry'!$o$872), "", 'Data Entry'!$o$872)</f>
      </c>
      <c r="AV872">
        <f>IF(ISBLANK('Data Entry'!$p$872), "", 'Data Entry'!$p$872)</f>
      </c>
      <c r="AW872">
        <f>IF(ISBLANK('Data Entry'!$q$872), "", 'Data Entry'!$q$872)</f>
      </c>
      <c r="AX872">
        <f>IF(ISBLANK('Data Entry'!$r$872), "", 'Data Entry'!$r$872)</f>
      </c>
      <c r="AY872">
        <f>IF(ISBLANK('Data Entry'!$s$872), "", 'Data Entry'!$s$872)</f>
      </c>
      <c r="AZ872">
        <f>IF(ISBLANK('Data Entry'!$t$872), "", 'Data Entry'!$t$872)</f>
      </c>
      <c r="BA872">
        <f>IF(ISBLANK('Data Entry'!$u$872), "", 'Data Entry'!$u$872)</f>
      </c>
      <c r="BB872">
        <f>IF(ISBLANK('Data Entry'!$v$872), "", 'Data Entry'!$v$872)</f>
      </c>
      <c r="BC872">
        <f>IF(ISBLANK('Data Entry'!$w$872), "", 'Data Entry'!$w$872)</f>
      </c>
      <c r="BD872">
        <f>IF(ISBLANK('Data Entry'!$x$872), "", 'Data Entry'!$x$872)</f>
      </c>
      <c r="BE872">
        <f>IF(ISBLANK('Data Entry'!$y$872), "", 'Data Entry'!$y$872)</f>
      </c>
      <c r="BF872">
        <f>IF(ISBLANK('Data Entry'!$z$872), "", 'Data Entry'!$z$872)</f>
      </c>
      <c r="BG872">
        <f>IF(ISBLANK('Data Entry'!${$872), "", 'Data Entry'!${$872)</f>
      </c>
      <c r="BH872">
        <f>IF(ISBLANK('Data Entry'!$|$872), "", 'Data Entry'!$|$872)</f>
      </c>
      <c r="BI872">
        <f>IF(ISBLANK('Data Entry'!$}$872), "", 'Data Entry'!$}$872)</f>
      </c>
      <c r="BJ872">
        <f>IF(ISBLANK('Data Entry'!$~$872), "", 'Data Entry'!$~$872)</f>
      </c>
      <c r="BK872">
        <f>IF(ISBLANK('Data Entry'!$$872), "", 'Data Entry'!$$872)</f>
      </c>
      <c r="BL872">
        <f>IF(ISBLANK('Data Entry'!$$872), "", 'Data Entry'!$$872)</f>
      </c>
      <c r="BM872">
        <f>IF(ISBLANK('Data Entry'!$$872), "", 'Data Entry'!$$872)</f>
      </c>
      <c r="BN872">
        <f>IF(ISBLANK('Data Entry'!$$872), "", 'Data Entry'!$$872)</f>
      </c>
      <c r="BO872">
        <f>IF(ISBLANK('Data Entry'!$$872), "", 'Data Entry'!$$872)</f>
      </c>
      <c r="BP872">
        <f>IF(ISBLANK('Data Entry'!$$872), "", 'Data Entry'!$$872)</f>
      </c>
      <c r="BQ872">
        <f>IF(ISBLANK('Data Entry'!$$872), "", 'Data Entry'!$$872)</f>
      </c>
      <c r="BR872">
        <f>IF(ISBLANK('Data Entry'!$$872), "", 'Data Entry'!$$872)</f>
      </c>
      <c r="BS872">
        <f>IF(ISBLANK('Data Entry'!$$872), "", 'Data Entry'!$$872)</f>
      </c>
      <c r="BT872">
        <f>IF(ISBLANK('Data Entry'!$$872), "", 'Data Entry'!$$872)</f>
      </c>
      <c r="BU872">
        <f>IF(ISBLANK('Data Entry'!$$872), "", 'Data Entry'!$$872)</f>
      </c>
      <c r="BV872">
        <f>IF(ISBLANK('Data Entry'!$$872), "", 'Data Entry'!$$872)</f>
      </c>
      <c r="BW872">
        <f>IF(ISBLANK('Data Entry'!$$872), "", 'Data Entry'!$$872)</f>
      </c>
      <c r="BX872">
        <f>IF(ISBLANK('Data Entry'!$$872), "", 'Data Entry'!$$872)</f>
      </c>
      <c r="BY872">
        <f>IF(ISBLANK('Data Entry'!$$872), "", 'Data Entry'!$$872)</f>
      </c>
      <c r="BZ872">
        <f>IF(ISBLANK('Data Entry'!$$872), "", 'Data Entry'!$$872)</f>
      </c>
      <c r="CA872">
        <f>IF(ISBLANK('Data Entry'!$$872), "", 'Data Entry'!$$872)</f>
      </c>
      <c r="CB872">
        <f>IF(ISBLANK('Data Entry'!$$872), "", 'Data Entry'!$$872)</f>
      </c>
      <c r="CC872">
        <f>IF(ISBLANK('Data Entry'!$$872), "", 'Data Entry'!$$872)</f>
      </c>
      <c r="CD872">
        <f>IF(ISBLANK('Data Entry'!$$872), "", 'Data Entry'!$$872)</f>
      </c>
      <c r="CE872">
        <f>IF(ISBLANK('Data Entry'!$$872), "", 'Data Entry'!$$872)</f>
      </c>
      <c r="CF872">
        <f>IF(ISBLANK('Data Entry'!$$872), "", 'Data Entry'!$$872)</f>
      </c>
      <c r="CG872">
        <f>IF(ISBLANK('Data Entry'!$$872), "", 'Data Entry'!$$872)</f>
      </c>
      <c r="CH872">
        <f>IF(ISBLANK('Data Entry'!$$872), "", 'Data Entry'!$$872)</f>
      </c>
      <c r="CI872">
        <f>IF(ISBLANK('Data Entry'!$$872), "", 'Data Entry'!$$872)</f>
      </c>
      <c r="CJ872">
        <f>IF(ISBLANK('Data Entry'!$$872), "", 'Data Entry'!$$872)</f>
      </c>
      <c r="CK872">
        <f>IF(ISBLANK('Data Entry'!$$872), "", 'Data Entry'!$$872)</f>
      </c>
      <c r="CL872">
        <f>IF(ISBLANK('Data Entry'!$$872), "", 'Data Entry'!$$872)</f>
      </c>
      <c r="CM872">
        <f>IF(ISBLANK('Data Entry'!$$872), "", 'Data Entry'!$$872)</f>
      </c>
      <c r="CN872">
        <f>IF(ISBLANK('Data Entry'!$$872), "", 'Data Entry'!$$872)</f>
      </c>
      <c r="CO872">
        <f>IF(ISBLANK('Data Entry'!$$872), "", 'Data Entry'!$$872)</f>
      </c>
      <c r="CP872">
        <f>IF(ISBLANK('Data Entry'!$$872), "", 'Data Entry'!$$872)</f>
      </c>
      <c r="CQ872">
        <f>IF(ISBLANK('Data Entry'!$$872), "", 'Data Entry'!$$872)</f>
      </c>
      <c r="CR872">
        <f>IF(ISBLANK('Data Entry'!$ $872), "", 'Data Entry'!$ $872)</f>
      </c>
      <c r="CS872">
        <f>IF(ISBLANK('Data Entry'!$¡$872), "", 'Data Entry'!$¡$872)</f>
      </c>
      <c r="CT872">
        <f>IF(ISBLANK('Data Entry'!$¢$872), "", 'Data Entry'!$¢$872)</f>
      </c>
      <c r="CU872">
        <f>IF(ISBLANK('Data Entry'!$£$872), "", 'Data Entry'!$£$872)</f>
      </c>
      <c r="CV872">
        <f>IF(ISBLANK('Data Entry'!$¤$872), "", 'Data Entry'!$¤$872)</f>
      </c>
      <c r="CW872">
        <f>IF(ISBLANK('Data Entry'!$¥$872), "", 'Data Entry'!$¥$872)</f>
      </c>
      <c r="CX872">
        <f>IF(ISBLANK('Data Entry'!$¦$872), "", 'Data Entry'!$¦$872)</f>
      </c>
      <c r="CY872">
        <f>IF(ISBLANK('Data Entry'!$§$872), "", 'Data Entry'!$§$872)</f>
      </c>
      <c r="CZ872">
        <f>IF(ISBLANK('Data Entry'!$¨$872), "", 'Data Entry'!$¨$872)</f>
      </c>
      <c r="DA872">
        <f>IF(ISBLANK('Data Entry'!$©$872), "", 'Data Entry'!$©$872)</f>
      </c>
      <c r="DB872">
        <f>IF(ISBLANK('Data Entry'!$ª$872), "", 'Data Entry'!$ª$872)</f>
      </c>
      <c r="DC872">
        <f>IF(ISBLANK('Data Entry'!$«$872), "", 'Data Entry'!$«$872)</f>
      </c>
      <c r="DD872">
        <f>IF(ISBLANK('Data Entry'!$¬$872), "", 'Data Entry'!$¬$872)</f>
      </c>
      <c r="DE872">
        <f>IF(ISBLANK('Data Entry'!$­$872), "", 'Data Entry'!$­$872)</f>
      </c>
      <c r="DF872">
        <f>IF(ISBLANK('Data Entry'!$®$872), "", 'Data Entry'!$®$872)</f>
      </c>
      <c r="DG872">
        <f>IF(ISBLANK('Data Entry'!$¯$872), "", 'Data Entry'!$¯$872)</f>
      </c>
      <c r="DH872">
        <f>IF(ISBLANK('Data Entry'!$°$872), "", 'Data Entry'!$°$872)</f>
      </c>
      <c r="DI872">
        <f>IF(ISBLANK('Data Entry'!$±$872), "", 'Data Entry'!$±$872)</f>
      </c>
      <c r="DJ872">
        <f>IF(ISBLANK('Data Entry'!$²$872), "", 'Data Entry'!$²$872)</f>
      </c>
      <c r="DK872">
        <f>IF(ISBLANK('Data Entry'!$³$872), "", 'Data Entry'!$³$872)</f>
      </c>
      <c r="DL872">
        <f>IF(ISBLANK('Data Entry'!$´$872), "", 'Data Entry'!$´$872)</f>
      </c>
      <c r="DM872">
        <f>IF(ISBLANK('Data Entry'!$µ$872), "", 'Data Entry'!$µ$872)</f>
      </c>
      <c r="DN872">
        <f>IF(ISBLANK('Data Entry'!$¶$872), "", 'Data Entry'!$¶$872)</f>
      </c>
      <c r="DO872">
        <f>IF(ISBLANK('Data Entry'!$·$872), "", 'Data Entry'!$·$872)</f>
      </c>
      <c r="DP872">
        <f>IF(ISBLANK('Data Entry'!$¸$872), "", 'Data Entry'!$¸$872)</f>
      </c>
      <c r="DQ872">
        <f>IF(ISBLANK('Data Entry'!$¹$872), "", 'Data Entry'!$¹$872)</f>
      </c>
      <c r="DR872">
        <f>IF(ISBLANK('Data Entry'!$º$872), "", 'Data Entry'!$º$872)</f>
      </c>
      <c r="DS872">
        <f>IF(ISBLANK('Data Entry'!$»$872), "", 'Data Entry'!$»$872)</f>
      </c>
      <c r="DT872">
        <f>IF(ISBLANK('Data Entry'!$¼$872), "", 'Data Entry'!$¼$872)</f>
      </c>
      <c r="DU872">
        <f>IF(ISBLANK('Data Entry'!$½$872), "", 'Data Entry'!$½$872)</f>
      </c>
      <c r="DV872">
        <f>IF(ISBLANK('Data Entry'!$¾$872), "", 'Data Entry'!$¾$872)</f>
      </c>
      <c r="DW872">
        <f>IF(ISBLANK('Data Entry'!$¿$872), "", 'Data Entry'!$¿$872)</f>
      </c>
      <c r="DX872">
        <f>IF(ISBLANK('Data Entry'!$À$872), "", 'Data Entry'!$À$872)</f>
      </c>
      <c r="DY872">
        <f>IF(ISBLANK('Data Entry'!$Á$872), "", 'Data Entry'!$Á$872)</f>
      </c>
      <c r="DZ872">
        <f>IF(ISBLANK('Data Entry'!$Â$872), "", 'Data Entry'!$Â$872)</f>
      </c>
      <c r="EA872">
        <f>IF(ISBLANK('Data Entry'!$Ã$872), "", 'Data Entry'!$Ã$872)</f>
      </c>
      <c r="EB872">
        <f>IF(ISBLANK('Data Entry'!$Ä$872), "", 'Data Entry'!$Ä$872)</f>
      </c>
      <c r="EC872">
        <f>IF(ISBLANK('Data Entry'!$Å$872), "", 'Data Entry'!$Å$872)</f>
      </c>
      <c r="ED872">
        <f>IF(ISBLANK('Data Entry'!$Æ$872), "", 'Data Entry'!$Æ$872)</f>
      </c>
      <c r="EE872">
        <f>IF(ISBLANK('Data Entry'!$Ç$872), "", 'Data Entry'!$Ç$872)</f>
      </c>
      <c r="EF872">
        <f>IF(ISBLANK('Data Entry'!$È$872), "", 'Data Entry'!$È$872)</f>
      </c>
      <c r="EG872">
        <f>IF(ISBLANK('Data Entry'!$É$872), "", 'Data Entry'!$É$872)</f>
      </c>
      <c r="EH872">
        <f>IF(ISBLANK('Data Entry'!$Ê$872), "", 'Data Entry'!$Ê$872)</f>
      </c>
      <c r="EI872">
        <f>IF(ISBLANK('Data Entry'!$Ë$872), "", 'Data Entry'!$Ë$872)</f>
      </c>
      <c r="EJ872">
        <f>IF(ISBLANK('Data Entry'!$Ì$872), "", 'Data Entry'!$Ì$872)</f>
      </c>
      <c r="EK872">
        <f>IF(ISBLANK('Data Entry'!$Í$872), "", 'Data Entry'!$Í$872)</f>
      </c>
      <c r="EL872">
        <f>IF(ISBLANK('Data Entry'!$Î$872), "", 'Data Entry'!$Î$872)</f>
      </c>
      <c r="EM872">
        <f>IF(ISBLANK('Data Entry'!$Ï$872), "", 'Data Entry'!$Ï$872)</f>
      </c>
      <c r="EN872">
        <f>IF(ISBLANK('Data Entry'!$Ð$872), "", 'Data Entry'!$Ð$872)</f>
      </c>
      <c r="EO872">
        <f>IF(ISBLANK('Data Entry'!$Ñ$872), "", 'Data Entry'!$Ñ$872)</f>
      </c>
      <c r="EP872">
        <f>IF(ISBLANK('Data Entry'!$Ò$872), "", 'Data Entry'!$Ò$872)</f>
      </c>
      <c r="EQ872">
        <f>IF(ISBLANK('Data Entry'!$Ó$872), "", 'Data Entry'!$Ó$872)</f>
      </c>
      <c r="ER872">
        <f>IF(ISBLANK('Data Entry'!$Ô$872), "", 'Data Entry'!$Ô$872)</f>
      </c>
      <c r="ES872">
        <f>IF(ISBLANK('Data Entry'!$Õ$872), "", 'Data Entry'!$Õ$872)</f>
      </c>
      <c r="ET872">
        <f>IF(ISBLANK('Data Entry'!$Ö$872), "", 'Data Entry'!$Ö$872)</f>
      </c>
      <c r="EU872">
        <f>IF(ISBLANK('Data Entry'!$×$872), "", 'Data Entry'!$×$872)</f>
      </c>
      <c r="EV872">
        <f>IF(ISBLANK('Data Entry'!$Ø$872), "", 'Data Entry'!$Ø$872)</f>
      </c>
      <c r="EW872">
        <f>IF(ISBLANK('Data Entry'!$Ù$872), "", 'Data Entry'!$Ù$872)</f>
      </c>
      <c r="EX872">
        <f>IF(ISBLANK('Data Entry'!$Ú$872), "", 'Data Entry'!$Ú$872)</f>
      </c>
      <c r="EY872">
        <f>IF(ISBLANK('Data Entry'!$Û$872), "", 'Data Entry'!$Û$872)</f>
      </c>
      <c r="EZ872">
        <f>IF(ISBLANK('Data Entry'!$Ü$872), "", 'Data Entry'!$Ü$872)</f>
      </c>
      <c r="FA872">
        <f>IF(ISBLANK('Data Entry'!$Ý$872), "", 'Data Entry'!$Ý$872)</f>
      </c>
      <c r="FB872">
        <f>IF(ISBLANK('Data Entry'!$Þ$872), "", 'Data Entry'!$Þ$872)</f>
      </c>
      <c r="FC872">
        <f>IF(ISBLANK('Data Entry'!$ß$872), "", 'Data Entry'!$ß$872)</f>
      </c>
      <c r="FD872">
        <f>IF(ISBLANK('Data Entry'!$à$872), "", 'Data Entry'!$à$872)</f>
      </c>
      <c r="FE872">
        <f>IF(ISBLANK('Data Entry'!$á$872), "", 'Data Entry'!$á$872)</f>
      </c>
      <c r="FF872">
        <f>IF(ISBLANK('Data Entry'!$â$872), "", 'Data Entry'!$â$872)</f>
      </c>
      <c r="FG872">
        <f>IF(ISBLANK('Data Entry'!$ã$872), "", 'Data Entry'!$ã$872)</f>
      </c>
      <c r="FH872">
        <f>IF(ISBLANK('Data Entry'!$ä$872), "", 'Data Entry'!$ä$872)</f>
      </c>
      <c r="FI872">
        <f>IF(ISBLANK('Data Entry'!$å$872), "", 'Data Entry'!$å$872)</f>
      </c>
      <c r="FJ872">
        <f>IF(ISBLANK('Data Entry'!$æ$872), "", 'Data Entry'!$æ$872)</f>
      </c>
      <c r="FK872">
        <f>IF(ISBLANK('Data Entry'!$ç$872), "", 'Data Entry'!$ç$872)</f>
      </c>
      <c r="FL872">
        <f>IF(ISBLANK('Data Entry'!$è$872), "", 'Data Entry'!$è$872)</f>
      </c>
      <c r="FM872">
        <f>IF(ISBLANK('Data Entry'!$é$872), "", 'Data Entry'!$é$872)</f>
      </c>
      <c r="FN872">
        <f>IF(ISBLANK('Data Entry'!$ê$872), "", 'Data Entry'!$ê$872)</f>
      </c>
      <c r="FO872">
        <f>IF(ISBLANK('Data Entry'!$ë$872), "", 'Data Entry'!$ë$872)</f>
      </c>
      <c r="FP872">
        <f>IF(ISBLANK('Data Entry'!$ì$872), "", 'Data Entry'!$ì$872)</f>
      </c>
      <c r="FQ872">
        <f>IF(ISBLANK('Data Entry'!$í$872), "", 'Data Entry'!$í$872)</f>
      </c>
      <c r="FR872">
        <f>IF(ISBLANK('Data Entry'!$î$872), "", 'Data Entry'!$î$872)</f>
      </c>
      <c r="FS872">
        <f>IF(ISBLANK('Data Entry'!$ï$872), "", 'Data Entry'!$ï$872)</f>
      </c>
      <c r="FT872">
        <f>IF(ISBLANK('Data Entry'!$ð$872), "", 'Data Entry'!$ð$872)</f>
      </c>
      <c r="FU872">
        <f>IF(ISBLANK('Data Entry'!$ñ$872), "", 'Data Entry'!$ñ$872)</f>
      </c>
      <c r="FV872">
        <f>IF(ISBLANK('Data Entry'!$ò$872), "", 'Data Entry'!$ò$872)</f>
      </c>
      <c r="FW872">
        <f>IF(ISBLANK('Data Entry'!$ó$872), "", 'Data Entry'!$ó$872)</f>
      </c>
      <c r="FX872">
        <f>IF(ISBLANK('Data Entry'!$ô$872), "", 'Data Entry'!$ô$872)</f>
      </c>
      <c r="FY872">
        <f>IF(ISBLANK('Data Entry'!$õ$872), "", 'Data Entry'!$õ$872)</f>
      </c>
      <c r="FZ872">
        <f>IF(ISBLANK('Data Entry'!$ö$872), "", 'Data Entry'!$ö$872)</f>
      </c>
      <c r="GA872">
        <f>IF(ISBLANK('Data Entry'!$÷$872), "", 'Data Entry'!$÷$872)</f>
      </c>
      <c r="GB872">
        <f>IF(ISBLANK('Data Entry'!$ø$872), "", 'Data Entry'!$ø$872)</f>
      </c>
      <c r="GC872">
        <f>IF(ISBLANK('Data Entry'!$ù$872), "", 'Data Entry'!$ù$872)</f>
      </c>
      <c r="GD872">
        <f>IF(ISBLANK('Data Entry'!$ú$872), "", 'Data Entry'!$ú$872)</f>
      </c>
      <c r="GE872">
        <f>IF(ISBLANK('Data Entry'!$û$872), "", 'Data Entry'!$û$872)</f>
      </c>
      <c r="GF872">
        <f>IF(ISBLANK('Data Entry'!$ü$872), "", 'Data Entry'!$ü$872)</f>
      </c>
      <c r="GG872">
        <f>IF(ISBLANK('Data Entry'!$ý$872), "", 'Data Entry'!$ý$872)</f>
      </c>
      <c r="GH872">
        <f>IF(ISBLANK('Data Entry'!$þ$872), "", 'Data Entry'!$þ$872)</f>
      </c>
      <c r="GI872">
        <f>IF(ISBLANK('Data Entry'!$ÿ$872), "", 'Data Entry'!$ÿ$872)</f>
      </c>
      <c r="GJ872">
        <f>IF(ISBLANK('Data Entry'!$Ā$872), "", 'Data Entry'!$Ā$872)</f>
      </c>
      <c r="GK872">
        <f>IF(ISBLANK('Data Entry'!$ā$872), "", 'Data Entry'!$ā$872)</f>
      </c>
      <c r="GL872">
        <f>IF(ISBLANK('Data Entry'!$Ă$872), "", 'Data Entry'!$Ă$872)</f>
      </c>
      <c r="GM872">
        <f>IF(ISBLANK('Data Entry'!$ă$872), "", 'Data Entry'!$ă$872)</f>
      </c>
      <c r="GN872">
        <f>IF(ISBLANK('Data Entry'!$Ą$872), "", 'Data Entry'!$Ą$872)</f>
      </c>
      <c r="GO872">
        <f>IF(ISBLANK('Data Entry'!$ą$872), "", 'Data Entry'!$ą$872)</f>
      </c>
      <c r="GP872">
        <f>IF(ISBLANK('Data Entry'!$Ć$872), "", 'Data Entry'!$Ć$872)</f>
      </c>
      <c r="GQ872">
        <f>IF(ISBLANK('Data Entry'!$ć$872), "", 'Data Entry'!$ć$872)</f>
      </c>
      <c r="GR872">
        <f>IF(ISBLANK('Data Entry'!$Ĉ$872), "", 'Data Entry'!$Ĉ$872)</f>
      </c>
      <c r="GS872">
        <f>IF(ISBLANK('Data Entry'!$ĉ$872), "", 'Data Entry'!$ĉ$872)</f>
      </c>
      <c r="GT872">
        <f>IF(ISBLANK('Data Entry'!$Ċ$872), "", 'Data Entry'!$Ċ$872)</f>
      </c>
      <c r="GU872">
        <f>IF(ISBLANK('Data Entry'!$ċ$872), "", 'Data Entry'!$ċ$872)</f>
      </c>
      <c r="GV872">
        <f>IF(ISBLANK('Data Entry'!$Č$872), "", 'Data Entry'!$Č$872)</f>
      </c>
      <c r="GW872">
        <f>IF(ISBLANK('Data Entry'!$č$872), "", 'Data Entry'!$č$872)</f>
      </c>
      <c r="GX872">
        <f>IF(ISBLANK('Data Entry'!$Ď$872), "", 'Data Entry'!$Ď$872)</f>
      </c>
      <c r="GY872">
        <f>IF(ISBLANK('Data Entry'!$ď$872), "", 'Data Entry'!$ď$872)</f>
      </c>
      <c r="GZ872">
        <f>IF(ISBLANK('Data Entry'!$Đ$872), "", 'Data Entry'!$Đ$872)</f>
      </c>
      <c r="HA872">
        <f>IF(ISBLANK('Data Entry'!$đ$872), "", 'Data Entry'!$đ$872)</f>
      </c>
      <c r="HB872">
        <f>IF(ISBLANK('Data Entry'!$Ē$872), "", 'Data Entry'!$Ē$872)</f>
      </c>
      <c r="HC872">
        <f>IF(ISBLANK('Data Entry'!$ē$872), "", 'Data Entry'!$ē$872)</f>
      </c>
      <c r="HD872">
        <f>IF(ISBLANK('Data Entry'!$Ĕ$872), "", 'Data Entry'!$Ĕ$872)</f>
      </c>
      <c r="HE872">
        <f>IF(ISBLANK('Data Entry'!$ĕ$872), "", 'Data Entry'!$ĕ$872)</f>
      </c>
      <c r="HF872">
        <f>IF(ISBLANK('Data Entry'!$Ė$872), "", 'Data Entry'!$Ė$872)</f>
      </c>
      <c r="HG872">
        <f>IF(ISBLANK('Data Entry'!$ė$872), "", 'Data Entry'!$ė$872)</f>
      </c>
      <c r="HH872">
        <f>IF(ISBLANK('Data Entry'!$Ę$872), "", 'Data Entry'!$Ę$872)</f>
      </c>
      <c r="HI872">
        <f>IF(ISBLANK('Data Entry'!$ę$872), "", 'Data Entry'!$ę$872)</f>
      </c>
      <c r="HJ872">
        <f>IF(ISBLANK('Data Entry'!$Ě$872), "", 'Data Entry'!$Ě$872)</f>
      </c>
      <c r="HK872">
        <f>IF(ISBLANK('Data Entry'!$ě$872), "", 'Data Entry'!$ě$872)</f>
      </c>
      <c r="HL872">
        <f>IF(ISBLANK('Data Entry'!$Ĝ$872), "", 'Data Entry'!$Ĝ$872)</f>
      </c>
      <c r="HM872">
        <f>IF(ISBLANK('Data Entry'!$ĝ$872), "", 'Data Entry'!$ĝ$872)</f>
      </c>
      <c r="HN872">
        <f>IF(ISBLANK('Data Entry'!$Ğ$872), "", 'Data Entry'!$Ğ$872)</f>
      </c>
      <c r="HO872">
        <f>IF(ISBLANK('Data Entry'!$ğ$872), "", 'Data Entry'!$ğ$872)</f>
      </c>
      <c r="HP872">
        <f>IF(ISBLANK('Data Entry'!$Ġ$872), "", 'Data Entry'!$Ġ$872)</f>
      </c>
      <c r="HQ872">
        <f>IF(ISBLANK('Data Entry'!$ġ$872), "", 'Data Entry'!$ġ$872)</f>
      </c>
      <c r="HR872">
        <f>IF(ISBLANK('Data Entry'!$Ģ$872), "", 'Data Entry'!$Ģ$872)</f>
      </c>
      <c r="HS872">
        <f>IF(ISBLANK('Data Entry'!$ģ$872), "", 'Data Entry'!$ģ$872)</f>
      </c>
      <c r="HT872">
        <f>IF(ISBLANK('Data Entry'!$Ĥ$872), "", 'Data Entry'!$Ĥ$872)</f>
      </c>
      <c r="HU872">
        <f>IF(ISBLANK('Data Entry'!$ĥ$872), "", 'Data Entry'!$ĥ$872)</f>
      </c>
      <c r="HV872">
        <f>IF(ISBLANK('Data Entry'!$Ħ$872), "", 'Data Entry'!$Ħ$872)</f>
      </c>
      <c r="HW872">
        <f>IF(ISBLANK('Data Entry'!$ħ$872), "", 'Data Entry'!$ħ$872)</f>
      </c>
      <c r="HX872">
        <f>IF(ISBLANK('Data Entry'!$Ĩ$872), "", 'Data Entry'!$Ĩ$872)</f>
      </c>
      <c r="HY872">
        <f>IF(ISBLANK('Data Entry'!$ĩ$872), "", 'Data Entry'!$ĩ$872)</f>
      </c>
      <c r="HZ872">
        <f>IF(ISBLANK('Data Entry'!$Ī$872), "", 'Data Entry'!$Ī$872)</f>
      </c>
      <c r="IA872">
        <f>IF(ISBLANK('Data Entry'!$ī$872), "", 'Data Entry'!$ī$872)</f>
      </c>
      <c r="IB872">
        <f>IF(ISBLANK('Data Entry'!$Ĭ$872), "", 'Data Entry'!$Ĭ$872)</f>
      </c>
      <c r="IC872">
        <f>IF(ISBLANK('Data Entry'!$ĭ$872), "", 'Data Entry'!$ĭ$872)</f>
      </c>
      <c r="ID872">
        <f>IF(ISBLANK('Data Entry'!$Į$872), "", 'Data Entry'!$Į$872)</f>
      </c>
      <c r="IE872">
        <f>IF(ISBLANK('Data Entry'!$į$872), "", 'Data Entry'!$į$872)</f>
      </c>
      <c r="IF872">
        <f>IF(ISBLANK('Data Entry'!$İ$872), "", 'Data Entry'!$İ$872)</f>
      </c>
      <c r="IG872">
        <f>IF(ISBLANK('Data Entry'!$ı$872), "", 'Data Entry'!$ı$872)</f>
      </c>
      <c r="IH872">
        <f>IF(ISBLANK('Data Entry'!$Ĳ$872), "", 'Data Entry'!$Ĳ$872)</f>
      </c>
      <c r="II872">
        <f>IF(ISBLANK('Data Entry'!$ĳ$872), "", 'Data Entry'!$ĳ$872)</f>
      </c>
      <c r="IJ872">
        <f>IF(ISBLANK('Data Entry'!$Ĵ$872), "", 'Data Entry'!$Ĵ$872)</f>
      </c>
      <c r="IK872">
        <f>IF(ISBLANK('Data Entry'!$ĵ$872), "", 'Data Entry'!$ĵ$872)</f>
      </c>
      <c r="IL872">
        <f>IF(ISBLANK('Data Entry'!$Ķ$872), "", 'Data Entry'!$Ķ$872)</f>
      </c>
      <c r="IM872">
        <f>IF(ISBLANK('Data Entry'!$ķ$872), "", 'Data Entry'!$ķ$872)</f>
      </c>
      <c r="IN872">
        <f>IF(ISBLANK('Data Entry'!$ĸ$872), "", 'Data Entry'!$ĸ$872)</f>
      </c>
      <c r="IO872">
        <f>IF(ISBLANK('Data Entry'!$Ĺ$872), "", 'Data Entry'!$Ĺ$872)</f>
      </c>
      <c r="IP872">
        <f>IF(ISBLANK('Data Entry'!$ĺ$872), "", 'Data Entry'!$ĺ$872)</f>
      </c>
      <c r="IQ872">
        <f>IF(ISBLANK('Data Entry'!$Ļ$872), "", 'Data Entry'!$Ļ$872)</f>
      </c>
      <c r="IR872">
        <f>IF(ISBLANK('Data Entry'!$ļ$872), "", 'Data Entry'!$ļ$872)</f>
      </c>
      <c r="IS872">
        <f>IF(ISBLANK('Data Entry'!$Ľ$872), "", 'Data Entry'!$Ľ$872)</f>
      </c>
      <c r="IT872">
        <f>IF(ISBLANK('Data Entry'!$ľ$872), "", 'Data Entry'!$ľ$872)</f>
      </c>
    </row>
    <row r="873" spans="1:254" x14ac:dyDescent="0.25">
      <c r="A873">
        <f>IF(ISBLANK('Data Entry'!$A$873), "", 'Data Entry'!$A$873)</f>
      </c>
      <c r="B873">
        <f>IF(ISBLANK('Data Entry'!$B$873), "", 'Data Entry'!$B$873)</f>
      </c>
      <c r="C873">
        <f>IF(ISBLANK('Data Entry'!$C$873), "", 'Data Entry'!$C$873)</f>
      </c>
      <c r="D873">
        <f>IF(ISBLANK('Data Entry'!$D$873), "", 'Data Entry'!$D$873)</f>
      </c>
      <c r="E873">
        <f>IF(ISBLANK('Data Entry'!$E$873), "", 'Data Entry'!$E$873)</f>
      </c>
      <c r="F873">
        <f>IF(ISBLANK('Data Entry'!$F$873), "", 'Data Entry'!$F$873)</f>
      </c>
      <c r="G873">
        <f>IF(ISBLANK('Data Entry'!$G$873), "", 'Data Entry'!$G$873)</f>
      </c>
      <c r="H873">
        <f>IF(ISBLANK('Data Entry'!$H$873), "", 'Data Entry'!$H$873)</f>
      </c>
      <c r="I873">
        <f>IF(ISBLANK('Data Entry'!$I$873), "", 'Data Entry'!$I$873)</f>
      </c>
      <c r="J873">
        <f>IF(ISBLANK('Data Entry'!$J$873), "", 'Data Entry'!$J$873)</f>
      </c>
      <c r="K873">
        <f>IF(ISBLANK('Data Entry'!$K$873), "", 'Data Entry'!$K$873)</f>
      </c>
      <c r="L873">
        <f>IF(ISBLANK('Data Entry'!$L$873), "", 'Data Entry'!$L$873)</f>
      </c>
      <c r="M873">
        <f>IF(ISBLANK('Data Entry'!$M$873), "", 'Data Entry'!$M$873)</f>
      </c>
      <c r="N873">
        <f>IF(ISBLANK('Data Entry'!$N$873), "", 'Data Entry'!$N$873)</f>
      </c>
      <c r="O873">
        <f>IF(ISBLANK('Data Entry'!$O$873), "", 'Data Entry'!$O$873)</f>
      </c>
      <c r="P873">
        <f>IF(ISBLANK('Data Entry'!$P$873), "", 'Data Entry'!$P$873)</f>
      </c>
      <c r="Q873">
        <f>IF(ISBLANK('Data Entry'!$Q$873), "", 'Data Entry'!$Q$873)</f>
      </c>
      <c r="R873">
        <f>IF(ISBLANK('Data Entry'!$R$873), "", 'Data Entry'!$R$873)</f>
      </c>
      <c r="S873">
        <f>IF(ISBLANK('Data Entry'!$S$873), "", 'Data Entry'!$S$873)</f>
      </c>
      <c r="T873">
        <f>IF(ISBLANK('Data Entry'!$T$873), "", 'Data Entry'!$T$873)</f>
      </c>
      <c r="U873">
        <f>IF(ISBLANK('Data Entry'!$U$873), "", 'Data Entry'!$U$873)</f>
      </c>
      <c r="V873">
        <f>IF(ISBLANK('Data Entry'!$V$873), "", 'Data Entry'!$V$873)</f>
      </c>
      <c r="W873">
        <f>IF(ISBLANK('Data Entry'!$W$873), "", 'Data Entry'!$W$873)</f>
      </c>
      <c r="X873">
        <f>IF(ISBLANK('Data Entry'!$X$873), "", 'Data Entry'!$X$873)</f>
      </c>
      <c r="Y873">
        <f>IF(ISBLANK('Data Entry'!$Y$873), "", 'Data Entry'!$Y$873)</f>
      </c>
      <c r="Z873">
        <f>IF(ISBLANK('Data Entry'!$Z$873), "", 'Data Entry'!$Z$873)</f>
      </c>
      <c r="AA873">
        <f>IF(ISBLANK('Data Entry'!$[$873), "", 'Data Entry'!$[$873)</f>
      </c>
      <c r="AB873">
        <f>IF(ISBLANK('Data Entry'!$\$873), "", 'Data Entry'!$\$873)</f>
      </c>
      <c r="AC873">
        <f>IF(ISBLANK('Data Entry'!$]$873), "", 'Data Entry'!$]$873)</f>
      </c>
      <c r="AD873">
        <f>IF(ISBLANK('Data Entry'!$^$873), "", 'Data Entry'!$^$873)</f>
      </c>
      <c r="AE873">
        <f>IF(ISBLANK('Data Entry'!$_$873), "", 'Data Entry'!$_$873)</f>
      </c>
      <c r="AF873">
        <f>IF(ISBLANK('Data Entry'!$`$873), "", 'Data Entry'!$`$873)</f>
      </c>
      <c r="AG873">
        <f>IF(ISBLANK('Data Entry'!$a$873), "", 'Data Entry'!$a$873)</f>
      </c>
      <c r="AH873">
        <f>IF(ISBLANK('Data Entry'!$b$873), "", 'Data Entry'!$b$873)</f>
      </c>
      <c r="AI873">
        <f>IF(ISBLANK('Data Entry'!$c$873), "", 'Data Entry'!$c$873)</f>
      </c>
      <c r="AJ873">
        <f>IF(ISBLANK('Data Entry'!$d$873), "", 'Data Entry'!$d$873)</f>
      </c>
      <c r="AK873">
        <f>IF(ISBLANK('Data Entry'!$e$873), "", 'Data Entry'!$e$873)</f>
      </c>
      <c r="AL873">
        <f>IF(ISBLANK('Data Entry'!$f$873), "", 'Data Entry'!$f$873)</f>
      </c>
      <c r="AM873">
        <f>IF(ISBLANK('Data Entry'!$g$873), "", 'Data Entry'!$g$873)</f>
      </c>
      <c r="AN873">
        <f>IF(ISBLANK('Data Entry'!$h$873), "", 'Data Entry'!$h$873)</f>
      </c>
      <c r="AO873">
        <f>IF(ISBLANK('Data Entry'!$i$873), "", 'Data Entry'!$i$873)</f>
      </c>
      <c r="AP873">
        <f>IF(ISBLANK('Data Entry'!$j$873), "", 'Data Entry'!$j$873)</f>
      </c>
      <c r="AQ873">
        <f>IF(ISBLANK('Data Entry'!$k$873), "", 'Data Entry'!$k$873)</f>
      </c>
      <c r="AR873">
        <f>IF(ISBLANK('Data Entry'!$l$873), "", 'Data Entry'!$l$873)</f>
      </c>
      <c r="AS873">
        <f>IF(ISBLANK('Data Entry'!$m$873), "", 'Data Entry'!$m$873)</f>
      </c>
      <c r="AT873">
        <f>IF(ISBLANK('Data Entry'!$n$873), "", 'Data Entry'!$n$873)</f>
      </c>
      <c r="AU873">
        <f>IF(ISBLANK('Data Entry'!$o$873), "", 'Data Entry'!$o$873)</f>
      </c>
      <c r="AV873">
        <f>IF(ISBLANK('Data Entry'!$p$873), "", 'Data Entry'!$p$873)</f>
      </c>
      <c r="AW873">
        <f>IF(ISBLANK('Data Entry'!$q$873), "", 'Data Entry'!$q$873)</f>
      </c>
      <c r="AX873">
        <f>IF(ISBLANK('Data Entry'!$r$873), "", 'Data Entry'!$r$873)</f>
      </c>
      <c r="AY873">
        <f>IF(ISBLANK('Data Entry'!$s$873), "", 'Data Entry'!$s$873)</f>
      </c>
      <c r="AZ873">
        <f>IF(ISBLANK('Data Entry'!$t$873), "", 'Data Entry'!$t$873)</f>
      </c>
      <c r="BA873">
        <f>IF(ISBLANK('Data Entry'!$u$873), "", 'Data Entry'!$u$873)</f>
      </c>
      <c r="BB873">
        <f>IF(ISBLANK('Data Entry'!$v$873), "", 'Data Entry'!$v$873)</f>
      </c>
      <c r="BC873">
        <f>IF(ISBLANK('Data Entry'!$w$873), "", 'Data Entry'!$w$873)</f>
      </c>
      <c r="BD873">
        <f>IF(ISBLANK('Data Entry'!$x$873), "", 'Data Entry'!$x$873)</f>
      </c>
      <c r="BE873">
        <f>IF(ISBLANK('Data Entry'!$y$873), "", 'Data Entry'!$y$873)</f>
      </c>
      <c r="BF873">
        <f>IF(ISBLANK('Data Entry'!$z$873), "", 'Data Entry'!$z$873)</f>
      </c>
      <c r="BG873">
        <f>IF(ISBLANK('Data Entry'!${$873), "", 'Data Entry'!${$873)</f>
      </c>
      <c r="BH873">
        <f>IF(ISBLANK('Data Entry'!$|$873), "", 'Data Entry'!$|$873)</f>
      </c>
      <c r="BI873">
        <f>IF(ISBLANK('Data Entry'!$}$873), "", 'Data Entry'!$}$873)</f>
      </c>
      <c r="BJ873">
        <f>IF(ISBLANK('Data Entry'!$~$873), "", 'Data Entry'!$~$873)</f>
      </c>
      <c r="BK873">
        <f>IF(ISBLANK('Data Entry'!$$873), "", 'Data Entry'!$$873)</f>
      </c>
      <c r="BL873">
        <f>IF(ISBLANK('Data Entry'!$$873), "", 'Data Entry'!$$873)</f>
      </c>
      <c r="BM873">
        <f>IF(ISBLANK('Data Entry'!$$873), "", 'Data Entry'!$$873)</f>
      </c>
      <c r="BN873">
        <f>IF(ISBLANK('Data Entry'!$$873), "", 'Data Entry'!$$873)</f>
      </c>
      <c r="BO873">
        <f>IF(ISBLANK('Data Entry'!$$873), "", 'Data Entry'!$$873)</f>
      </c>
      <c r="BP873">
        <f>IF(ISBLANK('Data Entry'!$$873), "", 'Data Entry'!$$873)</f>
      </c>
      <c r="BQ873">
        <f>IF(ISBLANK('Data Entry'!$$873), "", 'Data Entry'!$$873)</f>
      </c>
      <c r="BR873">
        <f>IF(ISBLANK('Data Entry'!$$873), "", 'Data Entry'!$$873)</f>
      </c>
      <c r="BS873">
        <f>IF(ISBLANK('Data Entry'!$$873), "", 'Data Entry'!$$873)</f>
      </c>
      <c r="BT873">
        <f>IF(ISBLANK('Data Entry'!$$873), "", 'Data Entry'!$$873)</f>
      </c>
      <c r="BU873">
        <f>IF(ISBLANK('Data Entry'!$$873), "", 'Data Entry'!$$873)</f>
      </c>
      <c r="BV873">
        <f>IF(ISBLANK('Data Entry'!$$873), "", 'Data Entry'!$$873)</f>
      </c>
      <c r="BW873">
        <f>IF(ISBLANK('Data Entry'!$$873), "", 'Data Entry'!$$873)</f>
      </c>
      <c r="BX873">
        <f>IF(ISBLANK('Data Entry'!$$873), "", 'Data Entry'!$$873)</f>
      </c>
      <c r="BY873">
        <f>IF(ISBLANK('Data Entry'!$$873), "", 'Data Entry'!$$873)</f>
      </c>
      <c r="BZ873">
        <f>IF(ISBLANK('Data Entry'!$$873), "", 'Data Entry'!$$873)</f>
      </c>
      <c r="CA873">
        <f>IF(ISBLANK('Data Entry'!$$873), "", 'Data Entry'!$$873)</f>
      </c>
      <c r="CB873">
        <f>IF(ISBLANK('Data Entry'!$$873), "", 'Data Entry'!$$873)</f>
      </c>
      <c r="CC873">
        <f>IF(ISBLANK('Data Entry'!$$873), "", 'Data Entry'!$$873)</f>
      </c>
      <c r="CD873">
        <f>IF(ISBLANK('Data Entry'!$$873), "", 'Data Entry'!$$873)</f>
      </c>
      <c r="CE873">
        <f>IF(ISBLANK('Data Entry'!$$873), "", 'Data Entry'!$$873)</f>
      </c>
      <c r="CF873">
        <f>IF(ISBLANK('Data Entry'!$$873), "", 'Data Entry'!$$873)</f>
      </c>
      <c r="CG873">
        <f>IF(ISBLANK('Data Entry'!$$873), "", 'Data Entry'!$$873)</f>
      </c>
      <c r="CH873">
        <f>IF(ISBLANK('Data Entry'!$$873), "", 'Data Entry'!$$873)</f>
      </c>
      <c r="CI873">
        <f>IF(ISBLANK('Data Entry'!$$873), "", 'Data Entry'!$$873)</f>
      </c>
      <c r="CJ873">
        <f>IF(ISBLANK('Data Entry'!$$873), "", 'Data Entry'!$$873)</f>
      </c>
      <c r="CK873">
        <f>IF(ISBLANK('Data Entry'!$$873), "", 'Data Entry'!$$873)</f>
      </c>
      <c r="CL873">
        <f>IF(ISBLANK('Data Entry'!$$873), "", 'Data Entry'!$$873)</f>
      </c>
      <c r="CM873">
        <f>IF(ISBLANK('Data Entry'!$$873), "", 'Data Entry'!$$873)</f>
      </c>
      <c r="CN873">
        <f>IF(ISBLANK('Data Entry'!$$873), "", 'Data Entry'!$$873)</f>
      </c>
      <c r="CO873">
        <f>IF(ISBLANK('Data Entry'!$$873), "", 'Data Entry'!$$873)</f>
      </c>
      <c r="CP873">
        <f>IF(ISBLANK('Data Entry'!$$873), "", 'Data Entry'!$$873)</f>
      </c>
      <c r="CQ873">
        <f>IF(ISBLANK('Data Entry'!$$873), "", 'Data Entry'!$$873)</f>
      </c>
      <c r="CR873">
        <f>IF(ISBLANK('Data Entry'!$ $873), "", 'Data Entry'!$ $873)</f>
      </c>
      <c r="CS873">
        <f>IF(ISBLANK('Data Entry'!$¡$873), "", 'Data Entry'!$¡$873)</f>
      </c>
      <c r="CT873">
        <f>IF(ISBLANK('Data Entry'!$¢$873), "", 'Data Entry'!$¢$873)</f>
      </c>
      <c r="CU873">
        <f>IF(ISBLANK('Data Entry'!$£$873), "", 'Data Entry'!$£$873)</f>
      </c>
      <c r="CV873">
        <f>IF(ISBLANK('Data Entry'!$¤$873), "", 'Data Entry'!$¤$873)</f>
      </c>
      <c r="CW873">
        <f>IF(ISBLANK('Data Entry'!$¥$873), "", 'Data Entry'!$¥$873)</f>
      </c>
      <c r="CX873">
        <f>IF(ISBLANK('Data Entry'!$¦$873), "", 'Data Entry'!$¦$873)</f>
      </c>
      <c r="CY873">
        <f>IF(ISBLANK('Data Entry'!$§$873), "", 'Data Entry'!$§$873)</f>
      </c>
      <c r="CZ873">
        <f>IF(ISBLANK('Data Entry'!$¨$873), "", 'Data Entry'!$¨$873)</f>
      </c>
      <c r="DA873">
        <f>IF(ISBLANK('Data Entry'!$©$873), "", 'Data Entry'!$©$873)</f>
      </c>
      <c r="DB873">
        <f>IF(ISBLANK('Data Entry'!$ª$873), "", 'Data Entry'!$ª$873)</f>
      </c>
      <c r="DC873">
        <f>IF(ISBLANK('Data Entry'!$«$873), "", 'Data Entry'!$«$873)</f>
      </c>
      <c r="DD873">
        <f>IF(ISBLANK('Data Entry'!$¬$873), "", 'Data Entry'!$¬$873)</f>
      </c>
      <c r="DE873">
        <f>IF(ISBLANK('Data Entry'!$­$873), "", 'Data Entry'!$­$873)</f>
      </c>
      <c r="DF873">
        <f>IF(ISBLANK('Data Entry'!$®$873), "", 'Data Entry'!$®$873)</f>
      </c>
      <c r="DG873">
        <f>IF(ISBLANK('Data Entry'!$¯$873), "", 'Data Entry'!$¯$873)</f>
      </c>
      <c r="DH873">
        <f>IF(ISBLANK('Data Entry'!$°$873), "", 'Data Entry'!$°$873)</f>
      </c>
      <c r="DI873">
        <f>IF(ISBLANK('Data Entry'!$±$873), "", 'Data Entry'!$±$873)</f>
      </c>
      <c r="DJ873">
        <f>IF(ISBLANK('Data Entry'!$²$873), "", 'Data Entry'!$²$873)</f>
      </c>
      <c r="DK873">
        <f>IF(ISBLANK('Data Entry'!$³$873), "", 'Data Entry'!$³$873)</f>
      </c>
      <c r="DL873">
        <f>IF(ISBLANK('Data Entry'!$´$873), "", 'Data Entry'!$´$873)</f>
      </c>
      <c r="DM873">
        <f>IF(ISBLANK('Data Entry'!$µ$873), "", 'Data Entry'!$µ$873)</f>
      </c>
      <c r="DN873">
        <f>IF(ISBLANK('Data Entry'!$¶$873), "", 'Data Entry'!$¶$873)</f>
      </c>
      <c r="DO873">
        <f>IF(ISBLANK('Data Entry'!$·$873), "", 'Data Entry'!$·$873)</f>
      </c>
      <c r="DP873">
        <f>IF(ISBLANK('Data Entry'!$¸$873), "", 'Data Entry'!$¸$873)</f>
      </c>
      <c r="DQ873">
        <f>IF(ISBLANK('Data Entry'!$¹$873), "", 'Data Entry'!$¹$873)</f>
      </c>
      <c r="DR873">
        <f>IF(ISBLANK('Data Entry'!$º$873), "", 'Data Entry'!$º$873)</f>
      </c>
      <c r="DS873">
        <f>IF(ISBLANK('Data Entry'!$»$873), "", 'Data Entry'!$»$873)</f>
      </c>
      <c r="DT873">
        <f>IF(ISBLANK('Data Entry'!$¼$873), "", 'Data Entry'!$¼$873)</f>
      </c>
      <c r="DU873">
        <f>IF(ISBLANK('Data Entry'!$½$873), "", 'Data Entry'!$½$873)</f>
      </c>
      <c r="DV873">
        <f>IF(ISBLANK('Data Entry'!$¾$873), "", 'Data Entry'!$¾$873)</f>
      </c>
      <c r="DW873">
        <f>IF(ISBLANK('Data Entry'!$¿$873), "", 'Data Entry'!$¿$873)</f>
      </c>
      <c r="DX873">
        <f>IF(ISBLANK('Data Entry'!$À$873), "", 'Data Entry'!$À$873)</f>
      </c>
      <c r="DY873">
        <f>IF(ISBLANK('Data Entry'!$Á$873), "", 'Data Entry'!$Á$873)</f>
      </c>
      <c r="DZ873">
        <f>IF(ISBLANK('Data Entry'!$Â$873), "", 'Data Entry'!$Â$873)</f>
      </c>
      <c r="EA873">
        <f>IF(ISBLANK('Data Entry'!$Ã$873), "", 'Data Entry'!$Ã$873)</f>
      </c>
      <c r="EB873">
        <f>IF(ISBLANK('Data Entry'!$Ä$873), "", 'Data Entry'!$Ä$873)</f>
      </c>
      <c r="EC873">
        <f>IF(ISBLANK('Data Entry'!$Å$873), "", 'Data Entry'!$Å$873)</f>
      </c>
      <c r="ED873">
        <f>IF(ISBLANK('Data Entry'!$Æ$873), "", 'Data Entry'!$Æ$873)</f>
      </c>
      <c r="EE873">
        <f>IF(ISBLANK('Data Entry'!$Ç$873), "", 'Data Entry'!$Ç$873)</f>
      </c>
      <c r="EF873">
        <f>IF(ISBLANK('Data Entry'!$È$873), "", 'Data Entry'!$È$873)</f>
      </c>
      <c r="EG873">
        <f>IF(ISBLANK('Data Entry'!$É$873), "", 'Data Entry'!$É$873)</f>
      </c>
      <c r="EH873">
        <f>IF(ISBLANK('Data Entry'!$Ê$873), "", 'Data Entry'!$Ê$873)</f>
      </c>
      <c r="EI873">
        <f>IF(ISBLANK('Data Entry'!$Ë$873), "", 'Data Entry'!$Ë$873)</f>
      </c>
      <c r="EJ873">
        <f>IF(ISBLANK('Data Entry'!$Ì$873), "", 'Data Entry'!$Ì$873)</f>
      </c>
      <c r="EK873">
        <f>IF(ISBLANK('Data Entry'!$Í$873), "", 'Data Entry'!$Í$873)</f>
      </c>
      <c r="EL873">
        <f>IF(ISBLANK('Data Entry'!$Î$873), "", 'Data Entry'!$Î$873)</f>
      </c>
      <c r="EM873">
        <f>IF(ISBLANK('Data Entry'!$Ï$873), "", 'Data Entry'!$Ï$873)</f>
      </c>
      <c r="EN873">
        <f>IF(ISBLANK('Data Entry'!$Ð$873), "", 'Data Entry'!$Ð$873)</f>
      </c>
      <c r="EO873">
        <f>IF(ISBLANK('Data Entry'!$Ñ$873), "", 'Data Entry'!$Ñ$873)</f>
      </c>
      <c r="EP873">
        <f>IF(ISBLANK('Data Entry'!$Ò$873), "", 'Data Entry'!$Ò$873)</f>
      </c>
      <c r="EQ873">
        <f>IF(ISBLANK('Data Entry'!$Ó$873), "", 'Data Entry'!$Ó$873)</f>
      </c>
      <c r="ER873">
        <f>IF(ISBLANK('Data Entry'!$Ô$873), "", 'Data Entry'!$Ô$873)</f>
      </c>
      <c r="ES873">
        <f>IF(ISBLANK('Data Entry'!$Õ$873), "", 'Data Entry'!$Õ$873)</f>
      </c>
      <c r="ET873">
        <f>IF(ISBLANK('Data Entry'!$Ö$873), "", 'Data Entry'!$Ö$873)</f>
      </c>
      <c r="EU873">
        <f>IF(ISBLANK('Data Entry'!$×$873), "", 'Data Entry'!$×$873)</f>
      </c>
      <c r="EV873">
        <f>IF(ISBLANK('Data Entry'!$Ø$873), "", 'Data Entry'!$Ø$873)</f>
      </c>
      <c r="EW873">
        <f>IF(ISBLANK('Data Entry'!$Ù$873), "", 'Data Entry'!$Ù$873)</f>
      </c>
      <c r="EX873">
        <f>IF(ISBLANK('Data Entry'!$Ú$873), "", 'Data Entry'!$Ú$873)</f>
      </c>
      <c r="EY873">
        <f>IF(ISBLANK('Data Entry'!$Û$873), "", 'Data Entry'!$Û$873)</f>
      </c>
      <c r="EZ873">
        <f>IF(ISBLANK('Data Entry'!$Ü$873), "", 'Data Entry'!$Ü$873)</f>
      </c>
      <c r="FA873">
        <f>IF(ISBLANK('Data Entry'!$Ý$873), "", 'Data Entry'!$Ý$873)</f>
      </c>
      <c r="FB873">
        <f>IF(ISBLANK('Data Entry'!$Þ$873), "", 'Data Entry'!$Þ$873)</f>
      </c>
      <c r="FC873">
        <f>IF(ISBLANK('Data Entry'!$ß$873), "", 'Data Entry'!$ß$873)</f>
      </c>
      <c r="FD873">
        <f>IF(ISBLANK('Data Entry'!$à$873), "", 'Data Entry'!$à$873)</f>
      </c>
      <c r="FE873">
        <f>IF(ISBLANK('Data Entry'!$á$873), "", 'Data Entry'!$á$873)</f>
      </c>
      <c r="FF873">
        <f>IF(ISBLANK('Data Entry'!$â$873), "", 'Data Entry'!$â$873)</f>
      </c>
      <c r="FG873">
        <f>IF(ISBLANK('Data Entry'!$ã$873), "", 'Data Entry'!$ã$873)</f>
      </c>
      <c r="FH873">
        <f>IF(ISBLANK('Data Entry'!$ä$873), "", 'Data Entry'!$ä$873)</f>
      </c>
      <c r="FI873">
        <f>IF(ISBLANK('Data Entry'!$å$873), "", 'Data Entry'!$å$873)</f>
      </c>
      <c r="FJ873">
        <f>IF(ISBLANK('Data Entry'!$æ$873), "", 'Data Entry'!$æ$873)</f>
      </c>
      <c r="FK873">
        <f>IF(ISBLANK('Data Entry'!$ç$873), "", 'Data Entry'!$ç$873)</f>
      </c>
      <c r="FL873">
        <f>IF(ISBLANK('Data Entry'!$è$873), "", 'Data Entry'!$è$873)</f>
      </c>
      <c r="FM873">
        <f>IF(ISBLANK('Data Entry'!$é$873), "", 'Data Entry'!$é$873)</f>
      </c>
      <c r="FN873">
        <f>IF(ISBLANK('Data Entry'!$ê$873), "", 'Data Entry'!$ê$873)</f>
      </c>
      <c r="FO873">
        <f>IF(ISBLANK('Data Entry'!$ë$873), "", 'Data Entry'!$ë$873)</f>
      </c>
      <c r="FP873">
        <f>IF(ISBLANK('Data Entry'!$ì$873), "", 'Data Entry'!$ì$873)</f>
      </c>
      <c r="FQ873">
        <f>IF(ISBLANK('Data Entry'!$í$873), "", 'Data Entry'!$í$873)</f>
      </c>
      <c r="FR873">
        <f>IF(ISBLANK('Data Entry'!$î$873), "", 'Data Entry'!$î$873)</f>
      </c>
      <c r="FS873">
        <f>IF(ISBLANK('Data Entry'!$ï$873), "", 'Data Entry'!$ï$873)</f>
      </c>
      <c r="FT873">
        <f>IF(ISBLANK('Data Entry'!$ð$873), "", 'Data Entry'!$ð$873)</f>
      </c>
      <c r="FU873">
        <f>IF(ISBLANK('Data Entry'!$ñ$873), "", 'Data Entry'!$ñ$873)</f>
      </c>
      <c r="FV873">
        <f>IF(ISBLANK('Data Entry'!$ò$873), "", 'Data Entry'!$ò$873)</f>
      </c>
      <c r="FW873">
        <f>IF(ISBLANK('Data Entry'!$ó$873), "", 'Data Entry'!$ó$873)</f>
      </c>
      <c r="FX873">
        <f>IF(ISBLANK('Data Entry'!$ô$873), "", 'Data Entry'!$ô$873)</f>
      </c>
      <c r="FY873">
        <f>IF(ISBLANK('Data Entry'!$õ$873), "", 'Data Entry'!$õ$873)</f>
      </c>
      <c r="FZ873">
        <f>IF(ISBLANK('Data Entry'!$ö$873), "", 'Data Entry'!$ö$873)</f>
      </c>
      <c r="GA873">
        <f>IF(ISBLANK('Data Entry'!$÷$873), "", 'Data Entry'!$÷$873)</f>
      </c>
      <c r="GB873">
        <f>IF(ISBLANK('Data Entry'!$ø$873), "", 'Data Entry'!$ø$873)</f>
      </c>
      <c r="GC873">
        <f>IF(ISBLANK('Data Entry'!$ù$873), "", 'Data Entry'!$ù$873)</f>
      </c>
      <c r="GD873">
        <f>IF(ISBLANK('Data Entry'!$ú$873), "", 'Data Entry'!$ú$873)</f>
      </c>
      <c r="GE873">
        <f>IF(ISBLANK('Data Entry'!$û$873), "", 'Data Entry'!$û$873)</f>
      </c>
      <c r="GF873">
        <f>IF(ISBLANK('Data Entry'!$ü$873), "", 'Data Entry'!$ü$873)</f>
      </c>
      <c r="GG873">
        <f>IF(ISBLANK('Data Entry'!$ý$873), "", 'Data Entry'!$ý$873)</f>
      </c>
      <c r="GH873">
        <f>IF(ISBLANK('Data Entry'!$þ$873), "", 'Data Entry'!$þ$873)</f>
      </c>
      <c r="GI873">
        <f>IF(ISBLANK('Data Entry'!$ÿ$873), "", 'Data Entry'!$ÿ$873)</f>
      </c>
      <c r="GJ873">
        <f>IF(ISBLANK('Data Entry'!$Ā$873), "", 'Data Entry'!$Ā$873)</f>
      </c>
      <c r="GK873">
        <f>IF(ISBLANK('Data Entry'!$ā$873), "", 'Data Entry'!$ā$873)</f>
      </c>
      <c r="GL873">
        <f>IF(ISBLANK('Data Entry'!$Ă$873), "", 'Data Entry'!$Ă$873)</f>
      </c>
      <c r="GM873">
        <f>IF(ISBLANK('Data Entry'!$ă$873), "", 'Data Entry'!$ă$873)</f>
      </c>
      <c r="GN873">
        <f>IF(ISBLANK('Data Entry'!$Ą$873), "", 'Data Entry'!$Ą$873)</f>
      </c>
      <c r="GO873">
        <f>IF(ISBLANK('Data Entry'!$ą$873), "", 'Data Entry'!$ą$873)</f>
      </c>
      <c r="GP873">
        <f>IF(ISBLANK('Data Entry'!$Ć$873), "", 'Data Entry'!$Ć$873)</f>
      </c>
      <c r="GQ873">
        <f>IF(ISBLANK('Data Entry'!$ć$873), "", 'Data Entry'!$ć$873)</f>
      </c>
      <c r="GR873">
        <f>IF(ISBLANK('Data Entry'!$Ĉ$873), "", 'Data Entry'!$Ĉ$873)</f>
      </c>
      <c r="GS873">
        <f>IF(ISBLANK('Data Entry'!$ĉ$873), "", 'Data Entry'!$ĉ$873)</f>
      </c>
      <c r="GT873">
        <f>IF(ISBLANK('Data Entry'!$Ċ$873), "", 'Data Entry'!$Ċ$873)</f>
      </c>
      <c r="GU873">
        <f>IF(ISBLANK('Data Entry'!$ċ$873), "", 'Data Entry'!$ċ$873)</f>
      </c>
      <c r="GV873">
        <f>IF(ISBLANK('Data Entry'!$Č$873), "", 'Data Entry'!$Č$873)</f>
      </c>
      <c r="GW873">
        <f>IF(ISBLANK('Data Entry'!$č$873), "", 'Data Entry'!$č$873)</f>
      </c>
      <c r="GX873">
        <f>IF(ISBLANK('Data Entry'!$Ď$873), "", 'Data Entry'!$Ď$873)</f>
      </c>
      <c r="GY873">
        <f>IF(ISBLANK('Data Entry'!$ď$873), "", 'Data Entry'!$ď$873)</f>
      </c>
      <c r="GZ873">
        <f>IF(ISBLANK('Data Entry'!$Đ$873), "", 'Data Entry'!$Đ$873)</f>
      </c>
      <c r="HA873">
        <f>IF(ISBLANK('Data Entry'!$đ$873), "", 'Data Entry'!$đ$873)</f>
      </c>
      <c r="HB873">
        <f>IF(ISBLANK('Data Entry'!$Ē$873), "", 'Data Entry'!$Ē$873)</f>
      </c>
      <c r="HC873">
        <f>IF(ISBLANK('Data Entry'!$ē$873), "", 'Data Entry'!$ē$873)</f>
      </c>
      <c r="HD873">
        <f>IF(ISBLANK('Data Entry'!$Ĕ$873), "", 'Data Entry'!$Ĕ$873)</f>
      </c>
      <c r="HE873">
        <f>IF(ISBLANK('Data Entry'!$ĕ$873), "", 'Data Entry'!$ĕ$873)</f>
      </c>
      <c r="HF873">
        <f>IF(ISBLANK('Data Entry'!$Ė$873), "", 'Data Entry'!$Ė$873)</f>
      </c>
      <c r="HG873">
        <f>IF(ISBLANK('Data Entry'!$ė$873), "", 'Data Entry'!$ė$873)</f>
      </c>
      <c r="HH873">
        <f>IF(ISBLANK('Data Entry'!$Ę$873), "", 'Data Entry'!$Ę$873)</f>
      </c>
      <c r="HI873">
        <f>IF(ISBLANK('Data Entry'!$ę$873), "", 'Data Entry'!$ę$873)</f>
      </c>
      <c r="HJ873">
        <f>IF(ISBLANK('Data Entry'!$Ě$873), "", 'Data Entry'!$Ě$873)</f>
      </c>
      <c r="HK873">
        <f>IF(ISBLANK('Data Entry'!$ě$873), "", 'Data Entry'!$ě$873)</f>
      </c>
      <c r="HL873">
        <f>IF(ISBLANK('Data Entry'!$Ĝ$873), "", 'Data Entry'!$Ĝ$873)</f>
      </c>
      <c r="HM873">
        <f>IF(ISBLANK('Data Entry'!$ĝ$873), "", 'Data Entry'!$ĝ$873)</f>
      </c>
      <c r="HN873">
        <f>IF(ISBLANK('Data Entry'!$Ğ$873), "", 'Data Entry'!$Ğ$873)</f>
      </c>
      <c r="HO873">
        <f>IF(ISBLANK('Data Entry'!$ğ$873), "", 'Data Entry'!$ğ$873)</f>
      </c>
      <c r="HP873">
        <f>IF(ISBLANK('Data Entry'!$Ġ$873), "", 'Data Entry'!$Ġ$873)</f>
      </c>
      <c r="HQ873">
        <f>IF(ISBLANK('Data Entry'!$ġ$873), "", 'Data Entry'!$ġ$873)</f>
      </c>
      <c r="HR873">
        <f>IF(ISBLANK('Data Entry'!$Ģ$873), "", 'Data Entry'!$Ģ$873)</f>
      </c>
      <c r="HS873">
        <f>IF(ISBLANK('Data Entry'!$ģ$873), "", 'Data Entry'!$ģ$873)</f>
      </c>
      <c r="HT873">
        <f>IF(ISBLANK('Data Entry'!$Ĥ$873), "", 'Data Entry'!$Ĥ$873)</f>
      </c>
      <c r="HU873">
        <f>IF(ISBLANK('Data Entry'!$ĥ$873), "", 'Data Entry'!$ĥ$873)</f>
      </c>
      <c r="HV873">
        <f>IF(ISBLANK('Data Entry'!$Ħ$873), "", 'Data Entry'!$Ħ$873)</f>
      </c>
      <c r="HW873">
        <f>IF(ISBLANK('Data Entry'!$ħ$873), "", 'Data Entry'!$ħ$873)</f>
      </c>
      <c r="HX873">
        <f>IF(ISBLANK('Data Entry'!$Ĩ$873), "", 'Data Entry'!$Ĩ$873)</f>
      </c>
      <c r="HY873">
        <f>IF(ISBLANK('Data Entry'!$ĩ$873), "", 'Data Entry'!$ĩ$873)</f>
      </c>
      <c r="HZ873">
        <f>IF(ISBLANK('Data Entry'!$Ī$873), "", 'Data Entry'!$Ī$873)</f>
      </c>
      <c r="IA873">
        <f>IF(ISBLANK('Data Entry'!$ī$873), "", 'Data Entry'!$ī$873)</f>
      </c>
      <c r="IB873">
        <f>IF(ISBLANK('Data Entry'!$Ĭ$873), "", 'Data Entry'!$Ĭ$873)</f>
      </c>
      <c r="IC873">
        <f>IF(ISBLANK('Data Entry'!$ĭ$873), "", 'Data Entry'!$ĭ$873)</f>
      </c>
      <c r="ID873">
        <f>IF(ISBLANK('Data Entry'!$Į$873), "", 'Data Entry'!$Į$873)</f>
      </c>
      <c r="IE873">
        <f>IF(ISBLANK('Data Entry'!$į$873), "", 'Data Entry'!$į$873)</f>
      </c>
      <c r="IF873">
        <f>IF(ISBLANK('Data Entry'!$İ$873), "", 'Data Entry'!$İ$873)</f>
      </c>
      <c r="IG873">
        <f>IF(ISBLANK('Data Entry'!$ı$873), "", 'Data Entry'!$ı$873)</f>
      </c>
      <c r="IH873">
        <f>IF(ISBLANK('Data Entry'!$Ĳ$873), "", 'Data Entry'!$Ĳ$873)</f>
      </c>
      <c r="II873">
        <f>IF(ISBLANK('Data Entry'!$ĳ$873), "", 'Data Entry'!$ĳ$873)</f>
      </c>
      <c r="IJ873">
        <f>IF(ISBLANK('Data Entry'!$Ĵ$873), "", 'Data Entry'!$Ĵ$873)</f>
      </c>
      <c r="IK873">
        <f>IF(ISBLANK('Data Entry'!$ĵ$873), "", 'Data Entry'!$ĵ$873)</f>
      </c>
      <c r="IL873">
        <f>IF(ISBLANK('Data Entry'!$Ķ$873), "", 'Data Entry'!$Ķ$873)</f>
      </c>
      <c r="IM873">
        <f>IF(ISBLANK('Data Entry'!$ķ$873), "", 'Data Entry'!$ķ$873)</f>
      </c>
      <c r="IN873">
        <f>IF(ISBLANK('Data Entry'!$ĸ$873), "", 'Data Entry'!$ĸ$873)</f>
      </c>
      <c r="IO873">
        <f>IF(ISBLANK('Data Entry'!$Ĺ$873), "", 'Data Entry'!$Ĺ$873)</f>
      </c>
      <c r="IP873">
        <f>IF(ISBLANK('Data Entry'!$ĺ$873), "", 'Data Entry'!$ĺ$873)</f>
      </c>
      <c r="IQ873">
        <f>IF(ISBLANK('Data Entry'!$Ļ$873), "", 'Data Entry'!$Ļ$873)</f>
      </c>
      <c r="IR873">
        <f>IF(ISBLANK('Data Entry'!$ļ$873), "", 'Data Entry'!$ļ$873)</f>
      </c>
      <c r="IS873">
        <f>IF(ISBLANK('Data Entry'!$Ľ$873), "", 'Data Entry'!$Ľ$873)</f>
      </c>
      <c r="IT873">
        <f>IF(ISBLANK('Data Entry'!$ľ$873), "", 'Data Entry'!$ľ$873)</f>
      </c>
    </row>
    <row r="874" spans="1:254" x14ac:dyDescent="0.25">
      <c r="A874">
        <f>IF(ISBLANK('Data Entry'!$A$874), "", 'Data Entry'!$A$874)</f>
      </c>
      <c r="B874">
        <f>IF(ISBLANK('Data Entry'!$B$874), "", 'Data Entry'!$B$874)</f>
      </c>
      <c r="C874">
        <f>IF(ISBLANK('Data Entry'!$C$874), "", 'Data Entry'!$C$874)</f>
      </c>
      <c r="D874">
        <f>IF(ISBLANK('Data Entry'!$D$874), "", 'Data Entry'!$D$874)</f>
      </c>
      <c r="E874">
        <f>IF(ISBLANK('Data Entry'!$E$874), "", 'Data Entry'!$E$874)</f>
      </c>
      <c r="F874">
        <f>IF(ISBLANK('Data Entry'!$F$874), "", 'Data Entry'!$F$874)</f>
      </c>
      <c r="G874">
        <f>IF(ISBLANK('Data Entry'!$G$874), "", 'Data Entry'!$G$874)</f>
      </c>
      <c r="H874">
        <f>IF(ISBLANK('Data Entry'!$H$874), "", 'Data Entry'!$H$874)</f>
      </c>
      <c r="I874">
        <f>IF(ISBLANK('Data Entry'!$I$874), "", 'Data Entry'!$I$874)</f>
      </c>
      <c r="J874">
        <f>IF(ISBLANK('Data Entry'!$J$874), "", 'Data Entry'!$J$874)</f>
      </c>
      <c r="K874">
        <f>IF(ISBLANK('Data Entry'!$K$874), "", 'Data Entry'!$K$874)</f>
      </c>
      <c r="L874">
        <f>IF(ISBLANK('Data Entry'!$L$874), "", 'Data Entry'!$L$874)</f>
      </c>
      <c r="M874">
        <f>IF(ISBLANK('Data Entry'!$M$874), "", 'Data Entry'!$M$874)</f>
      </c>
      <c r="N874">
        <f>IF(ISBLANK('Data Entry'!$N$874), "", 'Data Entry'!$N$874)</f>
      </c>
      <c r="O874">
        <f>IF(ISBLANK('Data Entry'!$O$874), "", 'Data Entry'!$O$874)</f>
      </c>
      <c r="P874">
        <f>IF(ISBLANK('Data Entry'!$P$874), "", 'Data Entry'!$P$874)</f>
      </c>
      <c r="Q874">
        <f>IF(ISBLANK('Data Entry'!$Q$874), "", 'Data Entry'!$Q$874)</f>
      </c>
      <c r="R874">
        <f>IF(ISBLANK('Data Entry'!$R$874), "", 'Data Entry'!$R$874)</f>
      </c>
      <c r="S874">
        <f>IF(ISBLANK('Data Entry'!$S$874), "", 'Data Entry'!$S$874)</f>
      </c>
      <c r="T874">
        <f>IF(ISBLANK('Data Entry'!$T$874), "", 'Data Entry'!$T$874)</f>
      </c>
      <c r="U874">
        <f>IF(ISBLANK('Data Entry'!$U$874), "", 'Data Entry'!$U$874)</f>
      </c>
      <c r="V874">
        <f>IF(ISBLANK('Data Entry'!$V$874), "", 'Data Entry'!$V$874)</f>
      </c>
      <c r="W874">
        <f>IF(ISBLANK('Data Entry'!$W$874), "", 'Data Entry'!$W$874)</f>
      </c>
      <c r="X874">
        <f>IF(ISBLANK('Data Entry'!$X$874), "", 'Data Entry'!$X$874)</f>
      </c>
      <c r="Y874">
        <f>IF(ISBLANK('Data Entry'!$Y$874), "", 'Data Entry'!$Y$874)</f>
      </c>
      <c r="Z874">
        <f>IF(ISBLANK('Data Entry'!$Z$874), "", 'Data Entry'!$Z$874)</f>
      </c>
      <c r="AA874">
        <f>IF(ISBLANK('Data Entry'!$[$874), "", 'Data Entry'!$[$874)</f>
      </c>
      <c r="AB874">
        <f>IF(ISBLANK('Data Entry'!$\$874), "", 'Data Entry'!$\$874)</f>
      </c>
      <c r="AC874">
        <f>IF(ISBLANK('Data Entry'!$]$874), "", 'Data Entry'!$]$874)</f>
      </c>
      <c r="AD874">
        <f>IF(ISBLANK('Data Entry'!$^$874), "", 'Data Entry'!$^$874)</f>
      </c>
      <c r="AE874">
        <f>IF(ISBLANK('Data Entry'!$_$874), "", 'Data Entry'!$_$874)</f>
      </c>
      <c r="AF874">
        <f>IF(ISBLANK('Data Entry'!$`$874), "", 'Data Entry'!$`$874)</f>
      </c>
      <c r="AG874">
        <f>IF(ISBLANK('Data Entry'!$a$874), "", 'Data Entry'!$a$874)</f>
      </c>
      <c r="AH874">
        <f>IF(ISBLANK('Data Entry'!$b$874), "", 'Data Entry'!$b$874)</f>
      </c>
      <c r="AI874">
        <f>IF(ISBLANK('Data Entry'!$c$874), "", 'Data Entry'!$c$874)</f>
      </c>
      <c r="AJ874">
        <f>IF(ISBLANK('Data Entry'!$d$874), "", 'Data Entry'!$d$874)</f>
      </c>
      <c r="AK874">
        <f>IF(ISBLANK('Data Entry'!$e$874), "", 'Data Entry'!$e$874)</f>
      </c>
      <c r="AL874">
        <f>IF(ISBLANK('Data Entry'!$f$874), "", 'Data Entry'!$f$874)</f>
      </c>
      <c r="AM874">
        <f>IF(ISBLANK('Data Entry'!$g$874), "", 'Data Entry'!$g$874)</f>
      </c>
      <c r="AN874">
        <f>IF(ISBLANK('Data Entry'!$h$874), "", 'Data Entry'!$h$874)</f>
      </c>
      <c r="AO874">
        <f>IF(ISBLANK('Data Entry'!$i$874), "", 'Data Entry'!$i$874)</f>
      </c>
      <c r="AP874">
        <f>IF(ISBLANK('Data Entry'!$j$874), "", 'Data Entry'!$j$874)</f>
      </c>
      <c r="AQ874">
        <f>IF(ISBLANK('Data Entry'!$k$874), "", 'Data Entry'!$k$874)</f>
      </c>
      <c r="AR874">
        <f>IF(ISBLANK('Data Entry'!$l$874), "", 'Data Entry'!$l$874)</f>
      </c>
      <c r="AS874">
        <f>IF(ISBLANK('Data Entry'!$m$874), "", 'Data Entry'!$m$874)</f>
      </c>
      <c r="AT874">
        <f>IF(ISBLANK('Data Entry'!$n$874), "", 'Data Entry'!$n$874)</f>
      </c>
      <c r="AU874">
        <f>IF(ISBLANK('Data Entry'!$o$874), "", 'Data Entry'!$o$874)</f>
      </c>
      <c r="AV874">
        <f>IF(ISBLANK('Data Entry'!$p$874), "", 'Data Entry'!$p$874)</f>
      </c>
      <c r="AW874">
        <f>IF(ISBLANK('Data Entry'!$q$874), "", 'Data Entry'!$q$874)</f>
      </c>
      <c r="AX874">
        <f>IF(ISBLANK('Data Entry'!$r$874), "", 'Data Entry'!$r$874)</f>
      </c>
      <c r="AY874">
        <f>IF(ISBLANK('Data Entry'!$s$874), "", 'Data Entry'!$s$874)</f>
      </c>
      <c r="AZ874">
        <f>IF(ISBLANK('Data Entry'!$t$874), "", 'Data Entry'!$t$874)</f>
      </c>
      <c r="BA874">
        <f>IF(ISBLANK('Data Entry'!$u$874), "", 'Data Entry'!$u$874)</f>
      </c>
      <c r="BB874">
        <f>IF(ISBLANK('Data Entry'!$v$874), "", 'Data Entry'!$v$874)</f>
      </c>
      <c r="BC874">
        <f>IF(ISBLANK('Data Entry'!$w$874), "", 'Data Entry'!$w$874)</f>
      </c>
      <c r="BD874">
        <f>IF(ISBLANK('Data Entry'!$x$874), "", 'Data Entry'!$x$874)</f>
      </c>
      <c r="BE874">
        <f>IF(ISBLANK('Data Entry'!$y$874), "", 'Data Entry'!$y$874)</f>
      </c>
      <c r="BF874">
        <f>IF(ISBLANK('Data Entry'!$z$874), "", 'Data Entry'!$z$874)</f>
      </c>
      <c r="BG874">
        <f>IF(ISBLANK('Data Entry'!${$874), "", 'Data Entry'!${$874)</f>
      </c>
      <c r="BH874">
        <f>IF(ISBLANK('Data Entry'!$|$874), "", 'Data Entry'!$|$874)</f>
      </c>
      <c r="BI874">
        <f>IF(ISBLANK('Data Entry'!$}$874), "", 'Data Entry'!$}$874)</f>
      </c>
      <c r="BJ874">
        <f>IF(ISBLANK('Data Entry'!$~$874), "", 'Data Entry'!$~$874)</f>
      </c>
      <c r="BK874">
        <f>IF(ISBLANK('Data Entry'!$$874), "", 'Data Entry'!$$874)</f>
      </c>
      <c r="BL874">
        <f>IF(ISBLANK('Data Entry'!$$874), "", 'Data Entry'!$$874)</f>
      </c>
      <c r="BM874">
        <f>IF(ISBLANK('Data Entry'!$$874), "", 'Data Entry'!$$874)</f>
      </c>
      <c r="BN874">
        <f>IF(ISBLANK('Data Entry'!$$874), "", 'Data Entry'!$$874)</f>
      </c>
      <c r="BO874">
        <f>IF(ISBLANK('Data Entry'!$$874), "", 'Data Entry'!$$874)</f>
      </c>
      <c r="BP874">
        <f>IF(ISBLANK('Data Entry'!$$874), "", 'Data Entry'!$$874)</f>
      </c>
      <c r="BQ874">
        <f>IF(ISBLANK('Data Entry'!$$874), "", 'Data Entry'!$$874)</f>
      </c>
      <c r="BR874">
        <f>IF(ISBLANK('Data Entry'!$$874), "", 'Data Entry'!$$874)</f>
      </c>
      <c r="BS874">
        <f>IF(ISBLANK('Data Entry'!$$874), "", 'Data Entry'!$$874)</f>
      </c>
      <c r="BT874">
        <f>IF(ISBLANK('Data Entry'!$$874), "", 'Data Entry'!$$874)</f>
      </c>
      <c r="BU874">
        <f>IF(ISBLANK('Data Entry'!$$874), "", 'Data Entry'!$$874)</f>
      </c>
      <c r="BV874">
        <f>IF(ISBLANK('Data Entry'!$$874), "", 'Data Entry'!$$874)</f>
      </c>
      <c r="BW874">
        <f>IF(ISBLANK('Data Entry'!$$874), "", 'Data Entry'!$$874)</f>
      </c>
      <c r="BX874">
        <f>IF(ISBLANK('Data Entry'!$$874), "", 'Data Entry'!$$874)</f>
      </c>
      <c r="BY874">
        <f>IF(ISBLANK('Data Entry'!$$874), "", 'Data Entry'!$$874)</f>
      </c>
      <c r="BZ874">
        <f>IF(ISBLANK('Data Entry'!$$874), "", 'Data Entry'!$$874)</f>
      </c>
      <c r="CA874">
        <f>IF(ISBLANK('Data Entry'!$$874), "", 'Data Entry'!$$874)</f>
      </c>
      <c r="CB874">
        <f>IF(ISBLANK('Data Entry'!$$874), "", 'Data Entry'!$$874)</f>
      </c>
      <c r="CC874">
        <f>IF(ISBLANK('Data Entry'!$$874), "", 'Data Entry'!$$874)</f>
      </c>
      <c r="CD874">
        <f>IF(ISBLANK('Data Entry'!$$874), "", 'Data Entry'!$$874)</f>
      </c>
      <c r="CE874">
        <f>IF(ISBLANK('Data Entry'!$$874), "", 'Data Entry'!$$874)</f>
      </c>
      <c r="CF874">
        <f>IF(ISBLANK('Data Entry'!$$874), "", 'Data Entry'!$$874)</f>
      </c>
      <c r="CG874">
        <f>IF(ISBLANK('Data Entry'!$$874), "", 'Data Entry'!$$874)</f>
      </c>
      <c r="CH874">
        <f>IF(ISBLANK('Data Entry'!$$874), "", 'Data Entry'!$$874)</f>
      </c>
      <c r="CI874">
        <f>IF(ISBLANK('Data Entry'!$$874), "", 'Data Entry'!$$874)</f>
      </c>
      <c r="CJ874">
        <f>IF(ISBLANK('Data Entry'!$$874), "", 'Data Entry'!$$874)</f>
      </c>
      <c r="CK874">
        <f>IF(ISBLANK('Data Entry'!$$874), "", 'Data Entry'!$$874)</f>
      </c>
      <c r="CL874">
        <f>IF(ISBLANK('Data Entry'!$$874), "", 'Data Entry'!$$874)</f>
      </c>
      <c r="CM874">
        <f>IF(ISBLANK('Data Entry'!$$874), "", 'Data Entry'!$$874)</f>
      </c>
      <c r="CN874">
        <f>IF(ISBLANK('Data Entry'!$$874), "", 'Data Entry'!$$874)</f>
      </c>
      <c r="CO874">
        <f>IF(ISBLANK('Data Entry'!$$874), "", 'Data Entry'!$$874)</f>
      </c>
      <c r="CP874">
        <f>IF(ISBLANK('Data Entry'!$$874), "", 'Data Entry'!$$874)</f>
      </c>
      <c r="CQ874">
        <f>IF(ISBLANK('Data Entry'!$$874), "", 'Data Entry'!$$874)</f>
      </c>
      <c r="CR874">
        <f>IF(ISBLANK('Data Entry'!$ $874), "", 'Data Entry'!$ $874)</f>
      </c>
      <c r="CS874">
        <f>IF(ISBLANK('Data Entry'!$¡$874), "", 'Data Entry'!$¡$874)</f>
      </c>
      <c r="CT874">
        <f>IF(ISBLANK('Data Entry'!$¢$874), "", 'Data Entry'!$¢$874)</f>
      </c>
      <c r="CU874">
        <f>IF(ISBLANK('Data Entry'!$£$874), "", 'Data Entry'!$£$874)</f>
      </c>
      <c r="CV874">
        <f>IF(ISBLANK('Data Entry'!$¤$874), "", 'Data Entry'!$¤$874)</f>
      </c>
      <c r="CW874">
        <f>IF(ISBLANK('Data Entry'!$¥$874), "", 'Data Entry'!$¥$874)</f>
      </c>
      <c r="CX874">
        <f>IF(ISBLANK('Data Entry'!$¦$874), "", 'Data Entry'!$¦$874)</f>
      </c>
      <c r="CY874">
        <f>IF(ISBLANK('Data Entry'!$§$874), "", 'Data Entry'!$§$874)</f>
      </c>
      <c r="CZ874">
        <f>IF(ISBLANK('Data Entry'!$¨$874), "", 'Data Entry'!$¨$874)</f>
      </c>
      <c r="DA874">
        <f>IF(ISBLANK('Data Entry'!$©$874), "", 'Data Entry'!$©$874)</f>
      </c>
      <c r="DB874">
        <f>IF(ISBLANK('Data Entry'!$ª$874), "", 'Data Entry'!$ª$874)</f>
      </c>
      <c r="DC874">
        <f>IF(ISBLANK('Data Entry'!$«$874), "", 'Data Entry'!$«$874)</f>
      </c>
      <c r="DD874">
        <f>IF(ISBLANK('Data Entry'!$¬$874), "", 'Data Entry'!$¬$874)</f>
      </c>
      <c r="DE874">
        <f>IF(ISBLANK('Data Entry'!$­$874), "", 'Data Entry'!$­$874)</f>
      </c>
      <c r="DF874">
        <f>IF(ISBLANK('Data Entry'!$®$874), "", 'Data Entry'!$®$874)</f>
      </c>
      <c r="DG874">
        <f>IF(ISBLANK('Data Entry'!$¯$874), "", 'Data Entry'!$¯$874)</f>
      </c>
      <c r="DH874">
        <f>IF(ISBLANK('Data Entry'!$°$874), "", 'Data Entry'!$°$874)</f>
      </c>
      <c r="DI874">
        <f>IF(ISBLANK('Data Entry'!$±$874), "", 'Data Entry'!$±$874)</f>
      </c>
      <c r="DJ874">
        <f>IF(ISBLANK('Data Entry'!$²$874), "", 'Data Entry'!$²$874)</f>
      </c>
      <c r="DK874">
        <f>IF(ISBLANK('Data Entry'!$³$874), "", 'Data Entry'!$³$874)</f>
      </c>
      <c r="DL874">
        <f>IF(ISBLANK('Data Entry'!$´$874), "", 'Data Entry'!$´$874)</f>
      </c>
      <c r="DM874">
        <f>IF(ISBLANK('Data Entry'!$µ$874), "", 'Data Entry'!$µ$874)</f>
      </c>
      <c r="DN874">
        <f>IF(ISBLANK('Data Entry'!$¶$874), "", 'Data Entry'!$¶$874)</f>
      </c>
      <c r="DO874">
        <f>IF(ISBLANK('Data Entry'!$·$874), "", 'Data Entry'!$·$874)</f>
      </c>
      <c r="DP874">
        <f>IF(ISBLANK('Data Entry'!$¸$874), "", 'Data Entry'!$¸$874)</f>
      </c>
      <c r="DQ874">
        <f>IF(ISBLANK('Data Entry'!$¹$874), "", 'Data Entry'!$¹$874)</f>
      </c>
      <c r="DR874">
        <f>IF(ISBLANK('Data Entry'!$º$874), "", 'Data Entry'!$º$874)</f>
      </c>
      <c r="DS874">
        <f>IF(ISBLANK('Data Entry'!$»$874), "", 'Data Entry'!$»$874)</f>
      </c>
      <c r="DT874">
        <f>IF(ISBLANK('Data Entry'!$¼$874), "", 'Data Entry'!$¼$874)</f>
      </c>
      <c r="DU874">
        <f>IF(ISBLANK('Data Entry'!$½$874), "", 'Data Entry'!$½$874)</f>
      </c>
      <c r="DV874">
        <f>IF(ISBLANK('Data Entry'!$¾$874), "", 'Data Entry'!$¾$874)</f>
      </c>
      <c r="DW874">
        <f>IF(ISBLANK('Data Entry'!$¿$874), "", 'Data Entry'!$¿$874)</f>
      </c>
      <c r="DX874">
        <f>IF(ISBLANK('Data Entry'!$À$874), "", 'Data Entry'!$À$874)</f>
      </c>
      <c r="DY874">
        <f>IF(ISBLANK('Data Entry'!$Á$874), "", 'Data Entry'!$Á$874)</f>
      </c>
      <c r="DZ874">
        <f>IF(ISBLANK('Data Entry'!$Â$874), "", 'Data Entry'!$Â$874)</f>
      </c>
      <c r="EA874">
        <f>IF(ISBLANK('Data Entry'!$Ã$874), "", 'Data Entry'!$Ã$874)</f>
      </c>
      <c r="EB874">
        <f>IF(ISBLANK('Data Entry'!$Ä$874), "", 'Data Entry'!$Ä$874)</f>
      </c>
      <c r="EC874">
        <f>IF(ISBLANK('Data Entry'!$Å$874), "", 'Data Entry'!$Å$874)</f>
      </c>
      <c r="ED874">
        <f>IF(ISBLANK('Data Entry'!$Æ$874), "", 'Data Entry'!$Æ$874)</f>
      </c>
      <c r="EE874">
        <f>IF(ISBLANK('Data Entry'!$Ç$874), "", 'Data Entry'!$Ç$874)</f>
      </c>
      <c r="EF874">
        <f>IF(ISBLANK('Data Entry'!$È$874), "", 'Data Entry'!$È$874)</f>
      </c>
      <c r="EG874">
        <f>IF(ISBLANK('Data Entry'!$É$874), "", 'Data Entry'!$É$874)</f>
      </c>
      <c r="EH874">
        <f>IF(ISBLANK('Data Entry'!$Ê$874), "", 'Data Entry'!$Ê$874)</f>
      </c>
      <c r="EI874">
        <f>IF(ISBLANK('Data Entry'!$Ë$874), "", 'Data Entry'!$Ë$874)</f>
      </c>
      <c r="EJ874">
        <f>IF(ISBLANK('Data Entry'!$Ì$874), "", 'Data Entry'!$Ì$874)</f>
      </c>
      <c r="EK874">
        <f>IF(ISBLANK('Data Entry'!$Í$874), "", 'Data Entry'!$Í$874)</f>
      </c>
      <c r="EL874">
        <f>IF(ISBLANK('Data Entry'!$Î$874), "", 'Data Entry'!$Î$874)</f>
      </c>
      <c r="EM874">
        <f>IF(ISBLANK('Data Entry'!$Ï$874), "", 'Data Entry'!$Ï$874)</f>
      </c>
      <c r="EN874">
        <f>IF(ISBLANK('Data Entry'!$Ð$874), "", 'Data Entry'!$Ð$874)</f>
      </c>
      <c r="EO874">
        <f>IF(ISBLANK('Data Entry'!$Ñ$874), "", 'Data Entry'!$Ñ$874)</f>
      </c>
      <c r="EP874">
        <f>IF(ISBLANK('Data Entry'!$Ò$874), "", 'Data Entry'!$Ò$874)</f>
      </c>
      <c r="EQ874">
        <f>IF(ISBLANK('Data Entry'!$Ó$874), "", 'Data Entry'!$Ó$874)</f>
      </c>
      <c r="ER874">
        <f>IF(ISBLANK('Data Entry'!$Ô$874), "", 'Data Entry'!$Ô$874)</f>
      </c>
      <c r="ES874">
        <f>IF(ISBLANK('Data Entry'!$Õ$874), "", 'Data Entry'!$Õ$874)</f>
      </c>
      <c r="ET874">
        <f>IF(ISBLANK('Data Entry'!$Ö$874), "", 'Data Entry'!$Ö$874)</f>
      </c>
      <c r="EU874">
        <f>IF(ISBLANK('Data Entry'!$×$874), "", 'Data Entry'!$×$874)</f>
      </c>
      <c r="EV874">
        <f>IF(ISBLANK('Data Entry'!$Ø$874), "", 'Data Entry'!$Ø$874)</f>
      </c>
      <c r="EW874">
        <f>IF(ISBLANK('Data Entry'!$Ù$874), "", 'Data Entry'!$Ù$874)</f>
      </c>
      <c r="EX874">
        <f>IF(ISBLANK('Data Entry'!$Ú$874), "", 'Data Entry'!$Ú$874)</f>
      </c>
      <c r="EY874">
        <f>IF(ISBLANK('Data Entry'!$Û$874), "", 'Data Entry'!$Û$874)</f>
      </c>
      <c r="EZ874">
        <f>IF(ISBLANK('Data Entry'!$Ü$874), "", 'Data Entry'!$Ü$874)</f>
      </c>
      <c r="FA874">
        <f>IF(ISBLANK('Data Entry'!$Ý$874), "", 'Data Entry'!$Ý$874)</f>
      </c>
      <c r="FB874">
        <f>IF(ISBLANK('Data Entry'!$Þ$874), "", 'Data Entry'!$Þ$874)</f>
      </c>
      <c r="FC874">
        <f>IF(ISBLANK('Data Entry'!$ß$874), "", 'Data Entry'!$ß$874)</f>
      </c>
      <c r="FD874">
        <f>IF(ISBLANK('Data Entry'!$à$874), "", 'Data Entry'!$à$874)</f>
      </c>
      <c r="FE874">
        <f>IF(ISBLANK('Data Entry'!$á$874), "", 'Data Entry'!$á$874)</f>
      </c>
      <c r="FF874">
        <f>IF(ISBLANK('Data Entry'!$â$874), "", 'Data Entry'!$â$874)</f>
      </c>
      <c r="FG874">
        <f>IF(ISBLANK('Data Entry'!$ã$874), "", 'Data Entry'!$ã$874)</f>
      </c>
      <c r="FH874">
        <f>IF(ISBLANK('Data Entry'!$ä$874), "", 'Data Entry'!$ä$874)</f>
      </c>
      <c r="FI874">
        <f>IF(ISBLANK('Data Entry'!$å$874), "", 'Data Entry'!$å$874)</f>
      </c>
      <c r="FJ874">
        <f>IF(ISBLANK('Data Entry'!$æ$874), "", 'Data Entry'!$æ$874)</f>
      </c>
      <c r="FK874">
        <f>IF(ISBLANK('Data Entry'!$ç$874), "", 'Data Entry'!$ç$874)</f>
      </c>
      <c r="FL874">
        <f>IF(ISBLANK('Data Entry'!$è$874), "", 'Data Entry'!$è$874)</f>
      </c>
      <c r="FM874">
        <f>IF(ISBLANK('Data Entry'!$é$874), "", 'Data Entry'!$é$874)</f>
      </c>
      <c r="FN874">
        <f>IF(ISBLANK('Data Entry'!$ê$874), "", 'Data Entry'!$ê$874)</f>
      </c>
      <c r="FO874">
        <f>IF(ISBLANK('Data Entry'!$ë$874), "", 'Data Entry'!$ë$874)</f>
      </c>
      <c r="FP874">
        <f>IF(ISBLANK('Data Entry'!$ì$874), "", 'Data Entry'!$ì$874)</f>
      </c>
      <c r="FQ874">
        <f>IF(ISBLANK('Data Entry'!$í$874), "", 'Data Entry'!$í$874)</f>
      </c>
      <c r="FR874">
        <f>IF(ISBLANK('Data Entry'!$î$874), "", 'Data Entry'!$î$874)</f>
      </c>
      <c r="FS874">
        <f>IF(ISBLANK('Data Entry'!$ï$874), "", 'Data Entry'!$ï$874)</f>
      </c>
      <c r="FT874">
        <f>IF(ISBLANK('Data Entry'!$ð$874), "", 'Data Entry'!$ð$874)</f>
      </c>
      <c r="FU874">
        <f>IF(ISBLANK('Data Entry'!$ñ$874), "", 'Data Entry'!$ñ$874)</f>
      </c>
      <c r="FV874">
        <f>IF(ISBLANK('Data Entry'!$ò$874), "", 'Data Entry'!$ò$874)</f>
      </c>
      <c r="FW874">
        <f>IF(ISBLANK('Data Entry'!$ó$874), "", 'Data Entry'!$ó$874)</f>
      </c>
      <c r="FX874">
        <f>IF(ISBLANK('Data Entry'!$ô$874), "", 'Data Entry'!$ô$874)</f>
      </c>
      <c r="FY874">
        <f>IF(ISBLANK('Data Entry'!$õ$874), "", 'Data Entry'!$õ$874)</f>
      </c>
      <c r="FZ874">
        <f>IF(ISBLANK('Data Entry'!$ö$874), "", 'Data Entry'!$ö$874)</f>
      </c>
      <c r="GA874">
        <f>IF(ISBLANK('Data Entry'!$÷$874), "", 'Data Entry'!$÷$874)</f>
      </c>
      <c r="GB874">
        <f>IF(ISBLANK('Data Entry'!$ø$874), "", 'Data Entry'!$ø$874)</f>
      </c>
      <c r="GC874">
        <f>IF(ISBLANK('Data Entry'!$ù$874), "", 'Data Entry'!$ù$874)</f>
      </c>
      <c r="GD874">
        <f>IF(ISBLANK('Data Entry'!$ú$874), "", 'Data Entry'!$ú$874)</f>
      </c>
      <c r="GE874">
        <f>IF(ISBLANK('Data Entry'!$û$874), "", 'Data Entry'!$û$874)</f>
      </c>
      <c r="GF874">
        <f>IF(ISBLANK('Data Entry'!$ü$874), "", 'Data Entry'!$ü$874)</f>
      </c>
      <c r="GG874">
        <f>IF(ISBLANK('Data Entry'!$ý$874), "", 'Data Entry'!$ý$874)</f>
      </c>
      <c r="GH874">
        <f>IF(ISBLANK('Data Entry'!$þ$874), "", 'Data Entry'!$þ$874)</f>
      </c>
      <c r="GI874">
        <f>IF(ISBLANK('Data Entry'!$ÿ$874), "", 'Data Entry'!$ÿ$874)</f>
      </c>
      <c r="GJ874">
        <f>IF(ISBLANK('Data Entry'!$Ā$874), "", 'Data Entry'!$Ā$874)</f>
      </c>
      <c r="GK874">
        <f>IF(ISBLANK('Data Entry'!$ā$874), "", 'Data Entry'!$ā$874)</f>
      </c>
      <c r="GL874">
        <f>IF(ISBLANK('Data Entry'!$Ă$874), "", 'Data Entry'!$Ă$874)</f>
      </c>
      <c r="GM874">
        <f>IF(ISBLANK('Data Entry'!$ă$874), "", 'Data Entry'!$ă$874)</f>
      </c>
      <c r="GN874">
        <f>IF(ISBLANK('Data Entry'!$Ą$874), "", 'Data Entry'!$Ą$874)</f>
      </c>
      <c r="GO874">
        <f>IF(ISBLANK('Data Entry'!$ą$874), "", 'Data Entry'!$ą$874)</f>
      </c>
      <c r="GP874">
        <f>IF(ISBLANK('Data Entry'!$Ć$874), "", 'Data Entry'!$Ć$874)</f>
      </c>
      <c r="GQ874">
        <f>IF(ISBLANK('Data Entry'!$ć$874), "", 'Data Entry'!$ć$874)</f>
      </c>
      <c r="GR874">
        <f>IF(ISBLANK('Data Entry'!$Ĉ$874), "", 'Data Entry'!$Ĉ$874)</f>
      </c>
      <c r="GS874">
        <f>IF(ISBLANK('Data Entry'!$ĉ$874), "", 'Data Entry'!$ĉ$874)</f>
      </c>
      <c r="GT874">
        <f>IF(ISBLANK('Data Entry'!$Ċ$874), "", 'Data Entry'!$Ċ$874)</f>
      </c>
      <c r="GU874">
        <f>IF(ISBLANK('Data Entry'!$ċ$874), "", 'Data Entry'!$ċ$874)</f>
      </c>
      <c r="GV874">
        <f>IF(ISBLANK('Data Entry'!$Č$874), "", 'Data Entry'!$Č$874)</f>
      </c>
      <c r="GW874">
        <f>IF(ISBLANK('Data Entry'!$č$874), "", 'Data Entry'!$č$874)</f>
      </c>
      <c r="GX874">
        <f>IF(ISBLANK('Data Entry'!$Ď$874), "", 'Data Entry'!$Ď$874)</f>
      </c>
      <c r="GY874">
        <f>IF(ISBLANK('Data Entry'!$ď$874), "", 'Data Entry'!$ď$874)</f>
      </c>
      <c r="GZ874">
        <f>IF(ISBLANK('Data Entry'!$Đ$874), "", 'Data Entry'!$Đ$874)</f>
      </c>
      <c r="HA874">
        <f>IF(ISBLANK('Data Entry'!$đ$874), "", 'Data Entry'!$đ$874)</f>
      </c>
      <c r="HB874">
        <f>IF(ISBLANK('Data Entry'!$Ē$874), "", 'Data Entry'!$Ē$874)</f>
      </c>
      <c r="HC874">
        <f>IF(ISBLANK('Data Entry'!$ē$874), "", 'Data Entry'!$ē$874)</f>
      </c>
      <c r="HD874">
        <f>IF(ISBLANK('Data Entry'!$Ĕ$874), "", 'Data Entry'!$Ĕ$874)</f>
      </c>
      <c r="HE874">
        <f>IF(ISBLANK('Data Entry'!$ĕ$874), "", 'Data Entry'!$ĕ$874)</f>
      </c>
      <c r="HF874">
        <f>IF(ISBLANK('Data Entry'!$Ė$874), "", 'Data Entry'!$Ė$874)</f>
      </c>
      <c r="HG874">
        <f>IF(ISBLANK('Data Entry'!$ė$874), "", 'Data Entry'!$ė$874)</f>
      </c>
      <c r="HH874">
        <f>IF(ISBLANK('Data Entry'!$Ę$874), "", 'Data Entry'!$Ę$874)</f>
      </c>
      <c r="HI874">
        <f>IF(ISBLANK('Data Entry'!$ę$874), "", 'Data Entry'!$ę$874)</f>
      </c>
      <c r="HJ874">
        <f>IF(ISBLANK('Data Entry'!$Ě$874), "", 'Data Entry'!$Ě$874)</f>
      </c>
      <c r="HK874">
        <f>IF(ISBLANK('Data Entry'!$ě$874), "", 'Data Entry'!$ě$874)</f>
      </c>
      <c r="HL874">
        <f>IF(ISBLANK('Data Entry'!$Ĝ$874), "", 'Data Entry'!$Ĝ$874)</f>
      </c>
      <c r="HM874">
        <f>IF(ISBLANK('Data Entry'!$ĝ$874), "", 'Data Entry'!$ĝ$874)</f>
      </c>
      <c r="HN874">
        <f>IF(ISBLANK('Data Entry'!$Ğ$874), "", 'Data Entry'!$Ğ$874)</f>
      </c>
      <c r="HO874">
        <f>IF(ISBLANK('Data Entry'!$ğ$874), "", 'Data Entry'!$ğ$874)</f>
      </c>
      <c r="HP874">
        <f>IF(ISBLANK('Data Entry'!$Ġ$874), "", 'Data Entry'!$Ġ$874)</f>
      </c>
      <c r="HQ874">
        <f>IF(ISBLANK('Data Entry'!$ġ$874), "", 'Data Entry'!$ġ$874)</f>
      </c>
      <c r="HR874">
        <f>IF(ISBLANK('Data Entry'!$Ģ$874), "", 'Data Entry'!$Ģ$874)</f>
      </c>
      <c r="HS874">
        <f>IF(ISBLANK('Data Entry'!$ģ$874), "", 'Data Entry'!$ģ$874)</f>
      </c>
      <c r="HT874">
        <f>IF(ISBLANK('Data Entry'!$Ĥ$874), "", 'Data Entry'!$Ĥ$874)</f>
      </c>
      <c r="HU874">
        <f>IF(ISBLANK('Data Entry'!$ĥ$874), "", 'Data Entry'!$ĥ$874)</f>
      </c>
      <c r="HV874">
        <f>IF(ISBLANK('Data Entry'!$Ħ$874), "", 'Data Entry'!$Ħ$874)</f>
      </c>
      <c r="HW874">
        <f>IF(ISBLANK('Data Entry'!$ħ$874), "", 'Data Entry'!$ħ$874)</f>
      </c>
      <c r="HX874">
        <f>IF(ISBLANK('Data Entry'!$Ĩ$874), "", 'Data Entry'!$Ĩ$874)</f>
      </c>
      <c r="HY874">
        <f>IF(ISBLANK('Data Entry'!$ĩ$874), "", 'Data Entry'!$ĩ$874)</f>
      </c>
      <c r="HZ874">
        <f>IF(ISBLANK('Data Entry'!$Ī$874), "", 'Data Entry'!$Ī$874)</f>
      </c>
      <c r="IA874">
        <f>IF(ISBLANK('Data Entry'!$ī$874), "", 'Data Entry'!$ī$874)</f>
      </c>
      <c r="IB874">
        <f>IF(ISBLANK('Data Entry'!$Ĭ$874), "", 'Data Entry'!$Ĭ$874)</f>
      </c>
      <c r="IC874">
        <f>IF(ISBLANK('Data Entry'!$ĭ$874), "", 'Data Entry'!$ĭ$874)</f>
      </c>
      <c r="ID874">
        <f>IF(ISBLANK('Data Entry'!$Į$874), "", 'Data Entry'!$Į$874)</f>
      </c>
      <c r="IE874">
        <f>IF(ISBLANK('Data Entry'!$į$874), "", 'Data Entry'!$į$874)</f>
      </c>
      <c r="IF874">
        <f>IF(ISBLANK('Data Entry'!$İ$874), "", 'Data Entry'!$İ$874)</f>
      </c>
      <c r="IG874">
        <f>IF(ISBLANK('Data Entry'!$ı$874), "", 'Data Entry'!$ı$874)</f>
      </c>
      <c r="IH874">
        <f>IF(ISBLANK('Data Entry'!$Ĳ$874), "", 'Data Entry'!$Ĳ$874)</f>
      </c>
      <c r="II874">
        <f>IF(ISBLANK('Data Entry'!$ĳ$874), "", 'Data Entry'!$ĳ$874)</f>
      </c>
      <c r="IJ874">
        <f>IF(ISBLANK('Data Entry'!$Ĵ$874), "", 'Data Entry'!$Ĵ$874)</f>
      </c>
      <c r="IK874">
        <f>IF(ISBLANK('Data Entry'!$ĵ$874), "", 'Data Entry'!$ĵ$874)</f>
      </c>
      <c r="IL874">
        <f>IF(ISBLANK('Data Entry'!$Ķ$874), "", 'Data Entry'!$Ķ$874)</f>
      </c>
      <c r="IM874">
        <f>IF(ISBLANK('Data Entry'!$ķ$874), "", 'Data Entry'!$ķ$874)</f>
      </c>
      <c r="IN874">
        <f>IF(ISBLANK('Data Entry'!$ĸ$874), "", 'Data Entry'!$ĸ$874)</f>
      </c>
      <c r="IO874">
        <f>IF(ISBLANK('Data Entry'!$Ĺ$874), "", 'Data Entry'!$Ĺ$874)</f>
      </c>
      <c r="IP874">
        <f>IF(ISBLANK('Data Entry'!$ĺ$874), "", 'Data Entry'!$ĺ$874)</f>
      </c>
      <c r="IQ874">
        <f>IF(ISBLANK('Data Entry'!$Ļ$874), "", 'Data Entry'!$Ļ$874)</f>
      </c>
      <c r="IR874">
        <f>IF(ISBLANK('Data Entry'!$ļ$874), "", 'Data Entry'!$ļ$874)</f>
      </c>
      <c r="IS874">
        <f>IF(ISBLANK('Data Entry'!$Ľ$874), "", 'Data Entry'!$Ľ$874)</f>
      </c>
      <c r="IT874">
        <f>IF(ISBLANK('Data Entry'!$ľ$874), "", 'Data Entry'!$ľ$874)</f>
      </c>
    </row>
    <row r="875" spans="1:254" x14ac:dyDescent="0.25">
      <c r="A875">
        <f>IF(ISBLANK('Data Entry'!$A$875), "", 'Data Entry'!$A$875)</f>
      </c>
      <c r="B875">
        <f>IF(ISBLANK('Data Entry'!$B$875), "", 'Data Entry'!$B$875)</f>
      </c>
      <c r="C875">
        <f>IF(ISBLANK('Data Entry'!$C$875), "", 'Data Entry'!$C$875)</f>
      </c>
      <c r="D875">
        <f>IF(ISBLANK('Data Entry'!$D$875), "", 'Data Entry'!$D$875)</f>
      </c>
      <c r="E875">
        <f>IF(ISBLANK('Data Entry'!$E$875), "", 'Data Entry'!$E$875)</f>
      </c>
      <c r="F875">
        <f>IF(ISBLANK('Data Entry'!$F$875), "", 'Data Entry'!$F$875)</f>
      </c>
      <c r="G875">
        <f>IF(ISBLANK('Data Entry'!$G$875), "", 'Data Entry'!$G$875)</f>
      </c>
      <c r="H875">
        <f>IF(ISBLANK('Data Entry'!$H$875), "", 'Data Entry'!$H$875)</f>
      </c>
      <c r="I875">
        <f>IF(ISBLANK('Data Entry'!$I$875), "", 'Data Entry'!$I$875)</f>
      </c>
      <c r="J875">
        <f>IF(ISBLANK('Data Entry'!$J$875), "", 'Data Entry'!$J$875)</f>
      </c>
      <c r="K875">
        <f>IF(ISBLANK('Data Entry'!$K$875), "", 'Data Entry'!$K$875)</f>
      </c>
      <c r="L875">
        <f>IF(ISBLANK('Data Entry'!$L$875), "", 'Data Entry'!$L$875)</f>
      </c>
      <c r="M875">
        <f>IF(ISBLANK('Data Entry'!$M$875), "", 'Data Entry'!$M$875)</f>
      </c>
      <c r="N875">
        <f>IF(ISBLANK('Data Entry'!$N$875), "", 'Data Entry'!$N$875)</f>
      </c>
      <c r="O875">
        <f>IF(ISBLANK('Data Entry'!$O$875), "", 'Data Entry'!$O$875)</f>
      </c>
      <c r="P875">
        <f>IF(ISBLANK('Data Entry'!$P$875), "", 'Data Entry'!$P$875)</f>
      </c>
      <c r="Q875">
        <f>IF(ISBLANK('Data Entry'!$Q$875), "", 'Data Entry'!$Q$875)</f>
      </c>
      <c r="R875">
        <f>IF(ISBLANK('Data Entry'!$R$875), "", 'Data Entry'!$R$875)</f>
      </c>
      <c r="S875">
        <f>IF(ISBLANK('Data Entry'!$S$875), "", 'Data Entry'!$S$875)</f>
      </c>
      <c r="T875">
        <f>IF(ISBLANK('Data Entry'!$T$875), "", 'Data Entry'!$T$875)</f>
      </c>
      <c r="U875">
        <f>IF(ISBLANK('Data Entry'!$U$875), "", 'Data Entry'!$U$875)</f>
      </c>
      <c r="V875">
        <f>IF(ISBLANK('Data Entry'!$V$875), "", 'Data Entry'!$V$875)</f>
      </c>
      <c r="W875">
        <f>IF(ISBLANK('Data Entry'!$W$875), "", 'Data Entry'!$W$875)</f>
      </c>
      <c r="X875">
        <f>IF(ISBLANK('Data Entry'!$X$875), "", 'Data Entry'!$X$875)</f>
      </c>
      <c r="Y875">
        <f>IF(ISBLANK('Data Entry'!$Y$875), "", 'Data Entry'!$Y$875)</f>
      </c>
      <c r="Z875">
        <f>IF(ISBLANK('Data Entry'!$Z$875), "", 'Data Entry'!$Z$875)</f>
      </c>
      <c r="AA875">
        <f>IF(ISBLANK('Data Entry'!$[$875), "", 'Data Entry'!$[$875)</f>
      </c>
      <c r="AB875">
        <f>IF(ISBLANK('Data Entry'!$\$875), "", 'Data Entry'!$\$875)</f>
      </c>
      <c r="AC875">
        <f>IF(ISBLANK('Data Entry'!$]$875), "", 'Data Entry'!$]$875)</f>
      </c>
      <c r="AD875">
        <f>IF(ISBLANK('Data Entry'!$^$875), "", 'Data Entry'!$^$875)</f>
      </c>
      <c r="AE875">
        <f>IF(ISBLANK('Data Entry'!$_$875), "", 'Data Entry'!$_$875)</f>
      </c>
      <c r="AF875">
        <f>IF(ISBLANK('Data Entry'!$`$875), "", 'Data Entry'!$`$875)</f>
      </c>
      <c r="AG875">
        <f>IF(ISBLANK('Data Entry'!$a$875), "", 'Data Entry'!$a$875)</f>
      </c>
      <c r="AH875">
        <f>IF(ISBLANK('Data Entry'!$b$875), "", 'Data Entry'!$b$875)</f>
      </c>
      <c r="AI875">
        <f>IF(ISBLANK('Data Entry'!$c$875), "", 'Data Entry'!$c$875)</f>
      </c>
      <c r="AJ875">
        <f>IF(ISBLANK('Data Entry'!$d$875), "", 'Data Entry'!$d$875)</f>
      </c>
      <c r="AK875">
        <f>IF(ISBLANK('Data Entry'!$e$875), "", 'Data Entry'!$e$875)</f>
      </c>
      <c r="AL875">
        <f>IF(ISBLANK('Data Entry'!$f$875), "", 'Data Entry'!$f$875)</f>
      </c>
      <c r="AM875">
        <f>IF(ISBLANK('Data Entry'!$g$875), "", 'Data Entry'!$g$875)</f>
      </c>
      <c r="AN875">
        <f>IF(ISBLANK('Data Entry'!$h$875), "", 'Data Entry'!$h$875)</f>
      </c>
      <c r="AO875">
        <f>IF(ISBLANK('Data Entry'!$i$875), "", 'Data Entry'!$i$875)</f>
      </c>
      <c r="AP875">
        <f>IF(ISBLANK('Data Entry'!$j$875), "", 'Data Entry'!$j$875)</f>
      </c>
      <c r="AQ875">
        <f>IF(ISBLANK('Data Entry'!$k$875), "", 'Data Entry'!$k$875)</f>
      </c>
      <c r="AR875">
        <f>IF(ISBLANK('Data Entry'!$l$875), "", 'Data Entry'!$l$875)</f>
      </c>
      <c r="AS875">
        <f>IF(ISBLANK('Data Entry'!$m$875), "", 'Data Entry'!$m$875)</f>
      </c>
      <c r="AT875">
        <f>IF(ISBLANK('Data Entry'!$n$875), "", 'Data Entry'!$n$875)</f>
      </c>
      <c r="AU875">
        <f>IF(ISBLANK('Data Entry'!$o$875), "", 'Data Entry'!$o$875)</f>
      </c>
      <c r="AV875">
        <f>IF(ISBLANK('Data Entry'!$p$875), "", 'Data Entry'!$p$875)</f>
      </c>
      <c r="AW875">
        <f>IF(ISBLANK('Data Entry'!$q$875), "", 'Data Entry'!$q$875)</f>
      </c>
      <c r="AX875">
        <f>IF(ISBLANK('Data Entry'!$r$875), "", 'Data Entry'!$r$875)</f>
      </c>
      <c r="AY875">
        <f>IF(ISBLANK('Data Entry'!$s$875), "", 'Data Entry'!$s$875)</f>
      </c>
      <c r="AZ875">
        <f>IF(ISBLANK('Data Entry'!$t$875), "", 'Data Entry'!$t$875)</f>
      </c>
      <c r="BA875">
        <f>IF(ISBLANK('Data Entry'!$u$875), "", 'Data Entry'!$u$875)</f>
      </c>
      <c r="BB875">
        <f>IF(ISBLANK('Data Entry'!$v$875), "", 'Data Entry'!$v$875)</f>
      </c>
      <c r="BC875">
        <f>IF(ISBLANK('Data Entry'!$w$875), "", 'Data Entry'!$w$875)</f>
      </c>
      <c r="BD875">
        <f>IF(ISBLANK('Data Entry'!$x$875), "", 'Data Entry'!$x$875)</f>
      </c>
      <c r="BE875">
        <f>IF(ISBLANK('Data Entry'!$y$875), "", 'Data Entry'!$y$875)</f>
      </c>
      <c r="BF875">
        <f>IF(ISBLANK('Data Entry'!$z$875), "", 'Data Entry'!$z$875)</f>
      </c>
      <c r="BG875">
        <f>IF(ISBLANK('Data Entry'!${$875), "", 'Data Entry'!${$875)</f>
      </c>
      <c r="BH875">
        <f>IF(ISBLANK('Data Entry'!$|$875), "", 'Data Entry'!$|$875)</f>
      </c>
      <c r="BI875">
        <f>IF(ISBLANK('Data Entry'!$}$875), "", 'Data Entry'!$}$875)</f>
      </c>
      <c r="BJ875">
        <f>IF(ISBLANK('Data Entry'!$~$875), "", 'Data Entry'!$~$875)</f>
      </c>
      <c r="BK875">
        <f>IF(ISBLANK('Data Entry'!$$875), "", 'Data Entry'!$$875)</f>
      </c>
      <c r="BL875">
        <f>IF(ISBLANK('Data Entry'!$$875), "", 'Data Entry'!$$875)</f>
      </c>
      <c r="BM875">
        <f>IF(ISBLANK('Data Entry'!$$875), "", 'Data Entry'!$$875)</f>
      </c>
      <c r="BN875">
        <f>IF(ISBLANK('Data Entry'!$$875), "", 'Data Entry'!$$875)</f>
      </c>
      <c r="BO875">
        <f>IF(ISBLANK('Data Entry'!$$875), "", 'Data Entry'!$$875)</f>
      </c>
      <c r="BP875">
        <f>IF(ISBLANK('Data Entry'!$$875), "", 'Data Entry'!$$875)</f>
      </c>
      <c r="BQ875">
        <f>IF(ISBLANK('Data Entry'!$$875), "", 'Data Entry'!$$875)</f>
      </c>
      <c r="BR875">
        <f>IF(ISBLANK('Data Entry'!$$875), "", 'Data Entry'!$$875)</f>
      </c>
      <c r="BS875">
        <f>IF(ISBLANK('Data Entry'!$$875), "", 'Data Entry'!$$875)</f>
      </c>
      <c r="BT875">
        <f>IF(ISBLANK('Data Entry'!$$875), "", 'Data Entry'!$$875)</f>
      </c>
      <c r="BU875">
        <f>IF(ISBLANK('Data Entry'!$$875), "", 'Data Entry'!$$875)</f>
      </c>
      <c r="BV875">
        <f>IF(ISBLANK('Data Entry'!$$875), "", 'Data Entry'!$$875)</f>
      </c>
      <c r="BW875">
        <f>IF(ISBLANK('Data Entry'!$$875), "", 'Data Entry'!$$875)</f>
      </c>
      <c r="BX875">
        <f>IF(ISBLANK('Data Entry'!$$875), "", 'Data Entry'!$$875)</f>
      </c>
      <c r="BY875">
        <f>IF(ISBLANK('Data Entry'!$$875), "", 'Data Entry'!$$875)</f>
      </c>
      <c r="BZ875">
        <f>IF(ISBLANK('Data Entry'!$$875), "", 'Data Entry'!$$875)</f>
      </c>
      <c r="CA875">
        <f>IF(ISBLANK('Data Entry'!$$875), "", 'Data Entry'!$$875)</f>
      </c>
      <c r="CB875">
        <f>IF(ISBLANK('Data Entry'!$$875), "", 'Data Entry'!$$875)</f>
      </c>
      <c r="CC875">
        <f>IF(ISBLANK('Data Entry'!$$875), "", 'Data Entry'!$$875)</f>
      </c>
      <c r="CD875">
        <f>IF(ISBLANK('Data Entry'!$$875), "", 'Data Entry'!$$875)</f>
      </c>
      <c r="CE875">
        <f>IF(ISBLANK('Data Entry'!$$875), "", 'Data Entry'!$$875)</f>
      </c>
      <c r="CF875">
        <f>IF(ISBLANK('Data Entry'!$$875), "", 'Data Entry'!$$875)</f>
      </c>
      <c r="CG875">
        <f>IF(ISBLANK('Data Entry'!$$875), "", 'Data Entry'!$$875)</f>
      </c>
      <c r="CH875">
        <f>IF(ISBLANK('Data Entry'!$$875), "", 'Data Entry'!$$875)</f>
      </c>
      <c r="CI875">
        <f>IF(ISBLANK('Data Entry'!$$875), "", 'Data Entry'!$$875)</f>
      </c>
      <c r="CJ875">
        <f>IF(ISBLANK('Data Entry'!$$875), "", 'Data Entry'!$$875)</f>
      </c>
      <c r="CK875">
        <f>IF(ISBLANK('Data Entry'!$$875), "", 'Data Entry'!$$875)</f>
      </c>
      <c r="CL875">
        <f>IF(ISBLANK('Data Entry'!$$875), "", 'Data Entry'!$$875)</f>
      </c>
      <c r="CM875">
        <f>IF(ISBLANK('Data Entry'!$$875), "", 'Data Entry'!$$875)</f>
      </c>
      <c r="CN875">
        <f>IF(ISBLANK('Data Entry'!$$875), "", 'Data Entry'!$$875)</f>
      </c>
      <c r="CO875">
        <f>IF(ISBLANK('Data Entry'!$$875), "", 'Data Entry'!$$875)</f>
      </c>
      <c r="CP875">
        <f>IF(ISBLANK('Data Entry'!$$875), "", 'Data Entry'!$$875)</f>
      </c>
      <c r="CQ875">
        <f>IF(ISBLANK('Data Entry'!$$875), "", 'Data Entry'!$$875)</f>
      </c>
      <c r="CR875">
        <f>IF(ISBLANK('Data Entry'!$ $875), "", 'Data Entry'!$ $875)</f>
      </c>
      <c r="CS875">
        <f>IF(ISBLANK('Data Entry'!$¡$875), "", 'Data Entry'!$¡$875)</f>
      </c>
      <c r="CT875">
        <f>IF(ISBLANK('Data Entry'!$¢$875), "", 'Data Entry'!$¢$875)</f>
      </c>
      <c r="CU875">
        <f>IF(ISBLANK('Data Entry'!$£$875), "", 'Data Entry'!$£$875)</f>
      </c>
      <c r="CV875">
        <f>IF(ISBLANK('Data Entry'!$¤$875), "", 'Data Entry'!$¤$875)</f>
      </c>
      <c r="CW875">
        <f>IF(ISBLANK('Data Entry'!$¥$875), "", 'Data Entry'!$¥$875)</f>
      </c>
      <c r="CX875">
        <f>IF(ISBLANK('Data Entry'!$¦$875), "", 'Data Entry'!$¦$875)</f>
      </c>
      <c r="CY875">
        <f>IF(ISBLANK('Data Entry'!$§$875), "", 'Data Entry'!$§$875)</f>
      </c>
      <c r="CZ875">
        <f>IF(ISBLANK('Data Entry'!$¨$875), "", 'Data Entry'!$¨$875)</f>
      </c>
      <c r="DA875">
        <f>IF(ISBLANK('Data Entry'!$©$875), "", 'Data Entry'!$©$875)</f>
      </c>
      <c r="DB875">
        <f>IF(ISBLANK('Data Entry'!$ª$875), "", 'Data Entry'!$ª$875)</f>
      </c>
      <c r="DC875">
        <f>IF(ISBLANK('Data Entry'!$«$875), "", 'Data Entry'!$«$875)</f>
      </c>
      <c r="DD875">
        <f>IF(ISBLANK('Data Entry'!$¬$875), "", 'Data Entry'!$¬$875)</f>
      </c>
      <c r="DE875">
        <f>IF(ISBLANK('Data Entry'!$­$875), "", 'Data Entry'!$­$875)</f>
      </c>
      <c r="DF875">
        <f>IF(ISBLANK('Data Entry'!$®$875), "", 'Data Entry'!$®$875)</f>
      </c>
      <c r="DG875">
        <f>IF(ISBLANK('Data Entry'!$¯$875), "", 'Data Entry'!$¯$875)</f>
      </c>
      <c r="DH875">
        <f>IF(ISBLANK('Data Entry'!$°$875), "", 'Data Entry'!$°$875)</f>
      </c>
      <c r="DI875">
        <f>IF(ISBLANK('Data Entry'!$±$875), "", 'Data Entry'!$±$875)</f>
      </c>
      <c r="DJ875">
        <f>IF(ISBLANK('Data Entry'!$²$875), "", 'Data Entry'!$²$875)</f>
      </c>
      <c r="DK875">
        <f>IF(ISBLANK('Data Entry'!$³$875), "", 'Data Entry'!$³$875)</f>
      </c>
      <c r="DL875">
        <f>IF(ISBLANK('Data Entry'!$´$875), "", 'Data Entry'!$´$875)</f>
      </c>
      <c r="DM875">
        <f>IF(ISBLANK('Data Entry'!$µ$875), "", 'Data Entry'!$µ$875)</f>
      </c>
      <c r="DN875">
        <f>IF(ISBLANK('Data Entry'!$¶$875), "", 'Data Entry'!$¶$875)</f>
      </c>
      <c r="DO875">
        <f>IF(ISBLANK('Data Entry'!$·$875), "", 'Data Entry'!$·$875)</f>
      </c>
      <c r="DP875">
        <f>IF(ISBLANK('Data Entry'!$¸$875), "", 'Data Entry'!$¸$875)</f>
      </c>
      <c r="DQ875">
        <f>IF(ISBLANK('Data Entry'!$¹$875), "", 'Data Entry'!$¹$875)</f>
      </c>
      <c r="DR875">
        <f>IF(ISBLANK('Data Entry'!$º$875), "", 'Data Entry'!$º$875)</f>
      </c>
      <c r="DS875">
        <f>IF(ISBLANK('Data Entry'!$»$875), "", 'Data Entry'!$»$875)</f>
      </c>
      <c r="DT875">
        <f>IF(ISBLANK('Data Entry'!$¼$875), "", 'Data Entry'!$¼$875)</f>
      </c>
      <c r="DU875">
        <f>IF(ISBLANK('Data Entry'!$½$875), "", 'Data Entry'!$½$875)</f>
      </c>
      <c r="DV875">
        <f>IF(ISBLANK('Data Entry'!$¾$875), "", 'Data Entry'!$¾$875)</f>
      </c>
      <c r="DW875">
        <f>IF(ISBLANK('Data Entry'!$¿$875), "", 'Data Entry'!$¿$875)</f>
      </c>
      <c r="DX875">
        <f>IF(ISBLANK('Data Entry'!$À$875), "", 'Data Entry'!$À$875)</f>
      </c>
      <c r="DY875">
        <f>IF(ISBLANK('Data Entry'!$Á$875), "", 'Data Entry'!$Á$875)</f>
      </c>
      <c r="DZ875">
        <f>IF(ISBLANK('Data Entry'!$Â$875), "", 'Data Entry'!$Â$875)</f>
      </c>
      <c r="EA875">
        <f>IF(ISBLANK('Data Entry'!$Ã$875), "", 'Data Entry'!$Ã$875)</f>
      </c>
      <c r="EB875">
        <f>IF(ISBLANK('Data Entry'!$Ä$875), "", 'Data Entry'!$Ä$875)</f>
      </c>
      <c r="EC875">
        <f>IF(ISBLANK('Data Entry'!$Å$875), "", 'Data Entry'!$Å$875)</f>
      </c>
      <c r="ED875">
        <f>IF(ISBLANK('Data Entry'!$Æ$875), "", 'Data Entry'!$Æ$875)</f>
      </c>
      <c r="EE875">
        <f>IF(ISBLANK('Data Entry'!$Ç$875), "", 'Data Entry'!$Ç$875)</f>
      </c>
      <c r="EF875">
        <f>IF(ISBLANK('Data Entry'!$È$875), "", 'Data Entry'!$È$875)</f>
      </c>
      <c r="EG875">
        <f>IF(ISBLANK('Data Entry'!$É$875), "", 'Data Entry'!$É$875)</f>
      </c>
      <c r="EH875">
        <f>IF(ISBLANK('Data Entry'!$Ê$875), "", 'Data Entry'!$Ê$875)</f>
      </c>
      <c r="EI875">
        <f>IF(ISBLANK('Data Entry'!$Ë$875), "", 'Data Entry'!$Ë$875)</f>
      </c>
      <c r="EJ875">
        <f>IF(ISBLANK('Data Entry'!$Ì$875), "", 'Data Entry'!$Ì$875)</f>
      </c>
      <c r="EK875">
        <f>IF(ISBLANK('Data Entry'!$Í$875), "", 'Data Entry'!$Í$875)</f>
      </c>
      <c r="EL875">
        <f>IF(ISBLANK('Data Entry'!$Î$875), "", 'Data Entry'!$Î$875)</f>
      </c>
      <c r="EM875">
        <f>IF(ISBLANK('Data Entry'!$Ï$875), "", 'Data Entry'!$Ï$875)</f>
      </c>
      <c r="EN875">
        <f>IF(ISBLANK('Data Entry'!$Ð$875), "", 'Data Entry'!$Ð$875)</f>
      </c>
      <c r="EO875">
        <f>IF(ISBLANK('Data Entry'!$Ñ$875), "", 'Data Entry'!$Ñ$875)</f>
      </c>
      <c r="EP875">
        <f>IF(ISBLANK('Data Entry'!$Ò$875), "", 'Data Entry'!$Ò$875)</f>
      </c>
      <c r="EQ875">
        <f>IF(ISBLANK('Data Entry'!$Ó$875), "", 'Data Entry'!$Ó$875)</f>
      </c>
      <c r="ER875">
        <f>IF(ISBLANK('Data Entry'!$Ô$875), "", 'Data Entry'!$Ô$875)</f>
      </c>
      <c r="ES875">
        <f>IF(ISBLANK('Data Entry'!$Õ$875), "", 'Data Entry'!$Õ$875)</f>
      </c>
      <c r="ET875">
        <f>IF(ISBLANK('Data Entry'!$Ö$875), "", 'Data Entry'!$Ö$875)</f>
      </c>
      <c r="EU875">
        <f>IF(ISBLANK('Data Entry'!$×$875), "", 'Data Entry'!$×$875)</f>
      </c>
      <c r="EV875">
        <f>IF(ISBLANK('Data Entry'!$Ø$875), "", 'Data Entry'!$Ø$875)</f>
      </c>
      <c r="EW875">
        <f>IF(ISBLANK('Data Entry'!$Ù$875), "", 'Data Entry'!$Ù$875)</f>
      </c>
      <c r="EX875">
        <f>IF(ISBLANK('Data Entry'!$Ú$875), "", 'Data Entry'!$Ú$875)</f>
      </c>
      <c r="EY875">
        <f>IF(ISBLANK('Data Entry'!$Û$875), "", 'Data Entry'!$Û$875)</f>
      </c>
      <c r="EZ875">
        <f>IF(ISBLANK('Data Entry'!$Ü$875), "", 'Data Entry'!$Ü$875)</f>
      </c>
      <c r="FA875">
        <f>IF(ISBLANK('Data Entry'!$Ý$875), "", 'Data Entry'!$Ý$875)</f>
      </c>
      <c r="FB875">
        <f>IF(ISBLANK('Data Entry'!$Þ$875), "", 'Data Entry'!$Þ$875)</f>
      </c>
      <c r="FC875">
        <f>IF(ISBLANK('Data Entry'!$ß$875), "", 'Data Entry'!$ß$875)</f>
      </c>
      <c r="FD875">
        <f>IF(ISBLANK('Data Entry'!$à$875), "", 'Data Entry'!$à$875)</f>
      </c>
      <c r="FE875">
        <f>IF(ISBLANK('Data Entry'!$á$875), "", 'Data Entry'!$á$875)</f>
      </c>
      <c r="FF875">
        <f>IF(ISBLANK('Data Entry'!$â$875), "", 'Data Entry'!$â$875)</f>
      </c>
      <c r="FG875">
        <f>IF(ISBLANK('Data Entry'!$ã$875), "", 'Data Entry'!$ã$875)</f>
      </c>
      <c r="FH875">
        <f>IF(ISBLANK('Data Entry'!$ä$875), "", 'Data Entry'!$ä$875)</f>
      </c>
      <c r="FI875">
        <f>IF(ISBLANK('Data Entry'!$å$875), "", 'Data Entry'!$å$875)</f>
      </c>
      <c r="FJ875">
        <f>IF(ISBLANK('Data Entry'!$æ$875), "", 'Data Entry'!$æ$875)</f>
      </c>
      <c r="FK875">
        <f>IF(ISBLANK('Data Entry'!$ç$875), "", 'Data Entry'!$ç$875)</f>
      </c>
      <c r="FL875">
        <f>IF(ISBLANK('Data Entry'!$è$875), "", 'Data Entry'!$è$875)</f>
      </c>
      <c r="FM875">
        <f>IF(ISBLANK('Data Entry'!$é$875), "", 'Data Entry'!$é$875)</f>
      </c>
      <c r="FN875">
        <f>IF(ISBLANK('Data Entry'!$ê$875), "", 'Data Entry'!$ê$875)</f>
      </c>
      <c r="FO875">
        <f>IF(ISBLANK('Data Entry'!$ë$875), "", 'Data Entry'!$ë$875)</f>
      </c>
      <c r="FP875">
        <f>IF(ISBLANK('Data Entry'!$ì$875), "", 'Data Entry'!$ì$875)</f>
      </c>
      <c r="FQ875">
        <f>IF(ISBLANK('Data Entry'!$í$875), "", 'Data Entry'!$í$875)</f>
      </c>
      <c r="FR875">
        <f>IF(ISBLANK('Data Entry'!$î$875), "", 'Data Entry'!$î$875)</f>
      </c>
      <c r="FS875">
        <f>IF(ISBLANK('Data Entry'!$ï$875), "", 'Data Entry'!$ï$875)</f>
      </c>
      <c r="FT875">
        <f>IF(ISBLANK('Data Entry'!$ð$875), "", 'Data Entry'!$ð$875)</f>
      </c>
      <c r="FU875">
        <f>IF(ISBLANK('Data Entry'!$ñ$875), "", 'Data Entry'!$ñ$875)</f>
      </c>
      <c r="FV875">
        <f>IF(ISBLANK('Data Entry'!$ò$875), "", 'Data Entry'!$ò$875)</f>
      </c>
      <c r="FW875">
        <f>IF(ISBLANK('Data Entry'!$ó$875), "", 'Data Entry'!$ó$875)</f>
      </c>
      <c r="FX875">
        <f>IF(ISBLANK('Data Entry'!$ô$875), "", 'Data Entry'!$ô$875)</f>
      </c>
      <c r="FY875">
        <f>IF(ISBLANK('Data Entry'!$õ$875), "", 'Data Entry'!$õ$875)</f>
      </c>
      <c r="FZ875">
        <f>IF(ISBLANK('Data Entry'!$ö$875), "", 'Data Entry'!$ö$875)</f>
      </c>
      <c r="GA875">
        <f>IF(ISBLANK('Data Entry'!$÷$875), "", 'Data Entry'!$÷$875)</f>
      </c>
      <c r="GB875">
        <f>IF(ISBLANK('Data Entry'!$ø$875), "", 'Data Entry'!$ø$875)</f>
      </c>
      <c r="GC875">
        <f>IF(ISBLANK('Data Entry'!$ù$875), "", 'Data Entry'!$ù$875)</f>
      </c>
      <c r="GD875">
        <f>IF(ISBLANK('Data Entry'!$ú$875), "", 'Data Entry'!$ú$875)</f>
      </c>
      <c r="GE875">
        <f>IF(ISBLANK('Data Entry'!$û$875), "", 'Data Entry'!$û$875)</f>
      </c>
      <c r="GF875">
        <f>IF(ISBLANK('Data Entry'!$ü$875), "", 'Data Entry'!$ü$875)</f>
      </c>
      <c r="GG875">
        <f>IF(ISBLANK('Data Entry'!$ý$875), "", 'Data Entry'!$ý$875)</f>
      </c>
      <c r="GH875">
        <f>IF(ISBLANK('Data Entry'!$þ$875), "", 'Data Entry'!$þ$875)</f>
      </c>
      <c r="GI875">
        <f>IF(ISBLANK('Data Entry'!$ÿ$875), "", 'Data Entry'!$ÿ$875)</f>
      </c>
      <c r="GJ875">
        <f>IF(ISBLANK('Data Entry'!$Ā$875), "", 'Data Entry'!$Ā$875)</f>
      </c>
      <c r="GK875">
        <f>IF(ISBLANK('Data Entry'!$ā$875), "", 'Data Entry'!$ā$875)</f>
      </c>
      <c r="GL875">
        <f>IF(ISBLANK('Data Entry'!$Ă$875), "", 'Data Entry'!$Ă$875)</f>
      </c>
      <c r="GM875">
        <f>IF(ISBLANK('Data Entry'!$ă$875), "", 'Data Entry'!$ă$875)</f>
      </c>
      <c r="GN875">
        <f>IF(ISBLANK('Data Entry'!$Ą$875), "", 'Data Entry'!$Ą$875)</f>
      </c>
      <c r="GO875">
        <f>IF(ISBLANK('Data Entry'!$ą$875), "", 'Data Entry'!$ą$875)</f>
      </c>
      <c r="GP875">
        <f>IF(ISBLANK('Data Entry'!$Ć$875), "", 'Data Entry'!$Ć$875)</f>
      </c>
      <c r="GQ875">
        <f>IF(ISBLANK('Data Entry'!$ć$875), "", 'Data Entry'!$ć$875)</f>
      </c>
      <c r="GR875">
        <f>IF(ISBLANK('Data Entry'!$Ĉ$875), "", 'Data Entry'!$Ĉ$875)</f>
      </c>
      <c r="GS875">
        <f>IF(ISBLANK('Data Entry'!$ĉ$875), "", 'Data Entry'!$ĉ$875)</f>
      </c>
      <c r="GT875">
        <f>IF(ISBLANK('Data Entry'!$Ċ$875), "", 'Data Entry'!$Ċ$875)</f>
      </c>
      <c r="GU875">
        <f>IF(ISBLANK('Data Entry'!$ċ$875), "", 'Data Entry'!$ċ$875)</f>
      </c>
      <c r="GV875">
        <f>IF(ISBLANK('Data Entry'!$Č$875), "", 'Data Entry'!$Č$875)</f>
      </c>
      <c r="GW875">
        <f>IF(ISBLANK('Data Entry'!$č$875), "", 'Data Entry'!$č$875)</f>
      </c>
      <c r="GX875">
        <f>IF(ISBLANK('Data Entry'!$Ď$875), "", 'Data Entry'!$Ď$875)</f>
      </c>
      <c r="GY875">
        <f>IF(ISBLANK('Data Entry'!$ď$875), "", 'Data Entry'!$ď$875)</f>
      </c>
      <c r="GZ875">
        <f>IF(ISBLANK('Data Entry'!$Đ$875), "", 'Data Entry'!$Đ$875)</f>
      </c>
      <c r="HA875">
        <f>IF(ISBLANK('Data Entry'!$đ$875), "", 'Data Entry'!$đ$875)</f>
      </c>
      <c r="HB875">
        <f>IF(ISBLANK('Data Entry'!$Ē$875), "", 'Data Entry'!$Ē$875)</f>
      </c>
      <c r="HC875">
        <f>IF(ISBLANK('Data Entry'!$ē$875), "", 'Data Entry'!$ē$875)</f>
      </c>
      <c r="HD875">
        <f>IF(ISBLANK('Data Entry'!$Ĕ$875), "", 'Data Entry'!$Ĕ$875)</f>
      </c>
      <c r="HE875">
        <f>IF(ISBLANK('Data Entry'!$ĕ$875), "", 'Data Entry'!$ĕ$875)</f>
      </c>
      <c r="HF875">
        <f>IF(ISBLANK('Data Entry'!$Ė$875), "", 'Data Entry'!$Ė$875)</f>
      </c>
      <c r="HG875">
        <f>IF(ISBLANK('Data Entry'!$ė$875), "", 'Data Entry'!$ė$875)</f>
      </c>
      <c r="HH875">
        <f>IF(ISBLANK('Data Entry'!$Ę$875), "", 'Data Entry'!$Ę$875)</f>
      </c>
      <c r="HI875">
        <f>IF(ISBLANK('Data Entry'!$ę$875), "", 'Data Entry'!$ę$875)</f>
      </c>
      <c r="HJ875">
        <f>IF(ISBLANK('Data Entry'!$Ě$875), "", 'Data Entry'!$Ě$875)</f>
      </c>
      <c r="HK875">
        <f>IF(ISBLANK('Data Entry'!$ě$875), "", 'Data Entry'!$ě$875)</f>
      </c>
      <c r="HL875">
        <f>IF(ISBLANK('Data Entry'!$Ĝ$875), "", 'Data Entry'!$Ĝ$875)</f>
      </c>
      <c r="HM875">
        <f>IF(ISBLANK('Data Entry'!$ĝ$875), "", 'Data Entry'!$ĝ$875)</f>
      </c>
      <c r="HN875">
        <f>IF(ISBLANK('Data Entry'!$Ğ$875), "", 'Data Entry'!$Ğ$875)</f>
      </c>
      <c r="HO875">
        <f>IF(ISBLANK('Data Entry'!$ğ$875), "", 'Data Entry'!$ğ$875)</f>
      </c>
      <c r="HP875">
        <f>IF(ISBLANK('Data Entry'!$Ġ$875), "", 'Data Entry'!$Ġ$875)</f>
      </c>
      <c r="HQ875">
        <f>IF(ISBLANK('Data Entry'!$ġ$875), "", 'Data Entry'!$ġ$875)</f>
      </c>
      <c r="HR875">
        <f>IF(ISBLANK('Data Entry'!$Ģ$875), "", 'Data Entry'!$Ģ$875)</f>
      </c>
      <c r="HS875">
        <f>IF(ISBLANK('Data Entry'!$ģ$875), "", 'Data Entry'!$ģ$875)</f>
      </c>
      <c r="HT875">
        <f>IF(ISBLANK('Data Entry'!$Ĥ$875), "", 'Data Entry'!$Ĥ$875)</f>
      </c>
      <c r="HU875">
        <f>IF(ISBLANK('Data Entry'!$ĥ$875), "", 'Data Entry'!$ĥ$875)</f>
      </c>
      <c r="HV875">
        <f>IF(ISBLANK('Data Entry'!$Ħ$875), "", 'Data Entry'!$Ħ$875)</f>
      </c>
      <c r="HW875">
        <f>IF(ISBLANK('Data Entry'!$ħ$875), "", 'Data Entry'!$ħ$875)</f>
      </c>
      <c r="HX875">
        <f>IF(ISBLANK('Data Entry'!$Ĩ$875), "", 'Data Entry'!$Ĩ$875)</f>
      </c>
      <c r="HY875">
        <f>IF(ISBLANK('Data Entry'!$ĩ$875), "", 'Data Entry'!$ĩ$875)</f>
      </c>
      <c r="HZ875">
        <f>IF(ISBLANK('Data Entry'!$Ī$875), "", 'Data Entry'!$Ī$875)</f>
      </c>
      <c r="IA875">
        <f>IF(ISBLANK('Data Entry'!$ī$875), "", 'Data Entry'!$ī$875)</f>
      </c>
      <c r="IB875">
        <f>IF(ISBLANK('Data Entry'!$Ĭ$875), "", 'Data Entry'!$Ĭ$875)</f>
      </c>
      <c r="IC875">
        <f>IF(ISBLANK('Data Entry'!$ĭ$875), "", 'Data Entry'!$ĭ$875)</f>
      </c>
      <c r="ID875">
        <f>IF(ISBLANK('Data Entry'!$Į$875), "", 'Data Entry'!$Į$875)</f>
      </c>
      <c r="IE875">
        <f>IF(ISBLANK('Data Entry'!$į$875), "", 'Data Entry'!$į$875)</f>
      </c>
      <c r="IF875">
        <f>IF(ISBLANK('Data Entry'!$İ$875), "", 'Data Entry'!$İ$875)</f>
      </c>
      <c r="IG875">
        <f>IF(ISBLANK('Data Entry'!$ı$875), "", 'Data Entry'!$ı$875)</f>
      </c>
      <c r="IH875">
        <f>IF(ISBLANK('Data Entry'!$Ĳ$875), "", 'Data Entry'!$Ĳ$875)</f>
      </c>
      <c r="II875">
        <f>IF(ISBLANK('Data Entry'!$ĳ$875), "", 'Data Entry'!$ĳ$875)</f>
      </c>
      <c r="IJ875">
        <f>IF(ISBLANK('Data Entry'!$Ĵ$875), "", 'Data Entry'!$Ĵ$875)</f>
      </c>
      <c r="IK875">
        <f>IF(ISBLANK('Data Entry'!$ĵ$875), "", 'Data Entry'!$ĵ$875)</f>
      </c>
      <c r="IL875">
        <f>IF(ISBLANK('Data Entry'!$Ķ$875), "", 'Data Entry'!$Ķ$875)</f>
      </c>
      <c r="IM875">
        <f>IF(ISBLANK('Data Entry'!$ķ$875), "", 'Data Entry'!$ķ$875)</f>
      </c>
      <c r="IN875">
        <f>IF(ISBLANK('Data Entry'!$ĸ$875), "", 'Data Entry'!$ĸ$875)</f>
      </c>
      <c r="IO875">
        <f>IF(ISBLANK('Data Entry'!$Ĺ$875), "", 'Data Entry'!$Ĺ$875)</f>
      </c>
      <c r="IP875">
        <f>IF(ISBLANK('Data Entry'!$ĺ$875), "", 'Data Entry'!$ĺ$875)</f>
      </c>
      <c r="IQ875">
        <f>IF(ISBLANK('Data Entry'!$Ļ$875), "", 'Data Entry'!$Ļ$875)</f>
      </c>
      <c r="IR875">
        <f>IF(ISBLANK('Data Entry'!$ļ$875), "", 'Data Entry'!$ļ$875)</f>
      </c>
      <c r="IS875">
        <f>IF(ISBLANK('Data Entry'!$Ľ$875), "", 'Data Entry'!$Ľ$875)</f>
      </c>
      <c r="IT875">
        <f>IF(ISBLANK('Data Entry'!$ľ$875), "", 'Data Entry'!$ľ$875)</f>
      </c>
    </row>
    <row r="876" spans="1:254" x14ac:dyDescent="0.25">
      <c r="A876">
        <f>IF(ISBLANK('Data Entry'!$A$876), "", 'Data Entry'!$A$876)</f>
      </c>
      <c r="B876">
        <f>IF(ISBLANK('Data Entry'!$B$876), "", 'Data Entry'!$B$876)</f>
      </c>
      <c r="C876">
        <f>IF(ISBLANK('Data Entry'!$C$876), "", 'Data Entry'!$C$876)</f>
      </c>
      <c r="D876">
        <f>IF(ISBLANK('Data Entry'!$D$876), "", 'Data Entry'!$D$876)</f>
      </c>
      <c r="E876">
        <f>IF(ISBLANK('Data Entry'!$E$876), "", 'Data Entry'!$E$876)</f>
      </c>
      <c r="F876">
        <f>IF(ISBLANK('Data Entry'!$F$876), "", 'Data Entry'!$F$876)</f>
      </c>
      <c r="G876">
        <f>IF(ISBLANK('Data Entry'!$G$876), "", 'Data Entry'!$G$876)</f>
      </c>
      <c r="H876">
        <f>IF(ISBLANK('Data Entry'!$H$876), "", 'Data Entry'!$H$876)</f>
      </c>
      <c r="I876">
        <f>IF(ISBLANK('Data Entry'!$I$876), "", 'Data Entry'!$I$876)</f>
      </c>
      <c r="J876">
        <f>IF(ISBLANK('Data Entry'!$J$876), "", 'Data Entry'!$J$876)</f>
      </c>
      <c r="K876">
        <f>IF(ISBLANK('Data Entry'!$K$876), "", 'Data Entry'!$K$876)</f>
      </c>
      <c r="L876">
        <f>IF(ISBLANK('Data Entry'!$L$876), "", 'Data Entry'!$L$876)</f>
      </c>
      <c r="M876">
        <f>IF(ISBLANK('Data Entry'!$M$876), "", 'Data Entry'!$M$876)</f>
      </c>
      <c r="N876">
        <f>IF(ISBLANK('Data Entry'!$N$876), "", 'Data Entry'!$N$876)</f>
      </c>
      <c r="O876">
        <f>IF(ISBLANK('Data Entry'!$O$876), "", 'Data Entry'!$O$876)</f>
      </c>
      <c r="P876">
        <f>IF(ISBLANK('Data Entry'!$P$876), "", 'Data Entry'!$P$876)</f>
      </c>
      <c r="Q876">
        <f>IF(ISBLANK('Data Entry'!$Q$876), "", 'Data Entry'!$Q$876)</f>
      </c>
      <c r="R876">
        <f>IF(ISBLANK('Data Entry'!$R$876), "", 'Data Entry'!$R$876)</f>
      </c>
      <c r="S876">
        <f>IF(ISBLANK('Data Entry'!$S$876), "", 'Data Entry'!$S$876)</f>
      </c>
      <c r="T876">
        <f>IF(ISBLANK('Data Entry'!$T$876), "", 'Data Entry'!$T$876)</f>
      </c>
      <c r="U876">
        <f>IF(ISBLANK('Data Entry'!$U$876), "", 'Data Entry'!$U$876)</f>
      </c>
      <c r="V876">
        <f>IF(ISBLANK('Data Entry'!$V$876), "", 'Data Entry'!$V$876)</f>
      </c>
      <c r="W876">
        <f>IF(ISBLANK('Data Entry'!$W$876), "", 'Data Entry'!$W$876)</f>
      </c>
      <c r="X876">
        <f>IF(ISBLANK('Data Entry'!$X$876), "", 'Data Entry'!$X$876)</f>
      </c>
      <c r="Y876">
        <f>IF(ISBLANK('Data Entry'!$Y$876), "", 'Data Entry'!$Y$876)</f>
      </c>
      <c r="Z876">
        <f>IF(ISBLANK('Data Entry'!$Z$876), "", 'Data Entry'!$Z$876)</f>
      </c>
      <c r="AA876">
        <f>IF(ISBLANK('Data Entry'!$[$876), "", 'Data Entry'!$[$876)</f>
      </c>
      <c r="AB876">
        <f>IF(ISBLANK('Data Entry'!$\$876), "", 'Data Entry'!$\$876)</f>
      </c>
      <c r="AC876">
        <f>IF(ISBLANK('Data Entry'!$]$876), "", 'Data Entry'!$]$876)</f>
      </c>
      <c r="AD876">
        <f>IF(ISBLANK('Data Entry'!$^$876), "", 'Data Entry'!$^$876)</f>
      </c>
      <c r="AE876">
        <f>IF(ISBLANK('Data Entry'!$_$876), "", 'Data Entry'!$_$876)</f>
      </c>
      <c r="AF876">
        <f>IF(ISBLANK('Data Entry'!$`$876), "", 'Data Entry'!$`$876)</f>
      </c>
      <c r="AG876">
        <f>IF(ISBLANK('Data Entry'!$a$876), "", 'Data Entry'!$a$876)</f>
      </c>
      <c r="AH876">
        <f>IF(ISBLANK('Data Entry'!$b$876), "", 'Data Entry'!$b$876)</f>
      </c>
      <c r="AI876">
        <f>IF(ISBLANK('Data Entry'!$c$876), "", 'Data Entry'!$c$876)</f>
      </c>
      <c r="AJ876">
        <f>IF(ISBLANK('Data Entry'!$d$876), "", 'Data Entry'!$d$876)</f>
      </c>
      <c r="AK876">
        <f>IF(ISBLANK('Data Entry'!$e$876), "", 'Data Entry'!$e$876)</f>
      </c>
      <c r="AL876">
        <f>IF(ISBLANK('Data Entry'!$f$876), "", 'Data Entry'!$f$876)</f>
      </c>
      <c r="AM876">
        <f>IF(ISBLANK('Data Entry'!$g$876), "", 'Data Entry'!$g$876)</f>
      </c>
      <c r="AN876">
        <f>IF(ISBLANK('Data Entry'!$h$876), "", 'Data Entry'!$h$876)</f>
      </c>
      <c r="AO876">
        <f>IF(ISBLANK('Data Entry'!$i$876), "", 'Data Entry'!$i$876)</f>
      </c>
      <c r="AP876">
        <f>IF(ISBLANK('Data Entry'!$j$876), "", 'Data Entry'!$j$876)</f>
      </c>
      <c r="AQ876">
        <f>IF(ISBLANK('Data Entry'!$k$876), "", 'Data Entry'!$k$876)</f>
      </c>
      <c r="AR876">
        <f>IF(ISBLANK('Data Entry'!$l$876), "", 'Data Entry'!$l$876)</f>
      </c>
      <c r="AS876">
        <f>IF(ISBLANK('Data Entry'!$m$876), "", 'Data Entry'!$m$876)</f>
      </c>
      <c r="AT876">
        <f>IF(ISBLANK('Data Entry'!$n$876), "", 'Data Entry'!$n$876)</f>
      </c>
      <c r="AU876">
        <f>IF(ISBLANK('Data Entry'!$o$876), "", 'Data Entry'!$o$876)</f>
      </c>
      <c r="AV876">
        <f>IF(ISBLANK('Data Entry'!$p$876), "", 'Data Entry'!$p$876)</f>
      </c>
      <c r="AW876">
        <f>IF(ISBLANK('Data Entry'!$q$876), "", 'Data Entry'!$q$876)</f>
      </c>
      <c r="AX876">
        <f>IF(ISBLANK('Data Entry'!$r$876), "", 'Data Entry'!$r$876)</f>
      </c>
      <c r="AY876">
        <f>IF(ISBLANK('Data Entry'!$s$876), "", 'Data Entry'!$s$876)</f>
      </c>
      <c r="AZ876">
        <f>IF(ISBLANK('Data Entry'!$t$876), "", 'Data Entry'!$t$876)</f>
      </c>
      <c r="BA876">
        <f>IF(ISBLANK('Data Entry'!$u$876), "", 'Data Entry'!$u$876)</f>
      </c>
      <c r="BB876">
        <f>IF(ISBLANK('Data Entry'!$v$876), "", 'Data Entry'!$v$876)</f>
      </c>
      <c r="BC876">
        <f>IF(ISBLANK('Data Entry'!$w$876), "", 'Data Entry'!$w$876)</f>
      </c>
      <c r="BD876">
        <f>IF(ISBLANK('Data Entry'!$x$876), "", 'Data Entry'!$x$876)</f>
      </c>
      <c r="BE876">
        <f>IF(ISBLANK('Data Entry'!$y$876), "", 'Data Entry'!$y$876)</f>
      </c>
      <c r="BF876">
        <f>IF(ISBLANK('Data Entry'!$z$876), "", 'Data Entry'!$z$876)</f>
      </c>
      <c r="BG876">
        <f>IF(ISBLANK('Data Entry'!${$876), "", 'Data Entry'!${$876)</f>
      </c>
      <c r="BH876">
        <f>IF(ISBLANK('Data Entry'!$|$876), "", 'Data Entry'!$|$876)</f>
      </c>
      <c r="BI876">
        <f>IF(ISBLANK('Data Entry'!$}$876), "", 'Data Entry'!$}$876)</f>
      </c>
      <c r="BJ876">
        <f>IF(ISBLANK('Data Entry'!$~$876), "", 'Data Entry'!$~$876)</f>
      </c>
      <c r="BK876">
        <f>IF(ISBLANK('Data Entry'!$$876), "", 'Data Entry'!$$876)</f>
      </c>
      <c r="BL876">
        <f>IF(ISBLANK('Data Entry'!$$876), "", 'Data Entry'!$$876)</f>
      </c>
      <c r="BM876">
        <f>IF(ISBLANK('Data Entry'!$$876), "", 'Data Entry'!$$876)</f>
      </c>
      <c r="BN876">
        <f>IF(ISBLANK('Data Entry'!$$876), "", 'Data Entry'!$$876)</f>
      </c>
      <c r="BO876">
        <f>IF(ISBLANK('Data Entry'!$$876), "", 'Data Entry'!$$876)</f>
      </c>
      <c r="BP876">
        <f>IF(ISBLANK('Data Entry'!$$876), "", 'Data Entry'!$$876)</f>
      </c>
      <c r="BQ876">
        <f>IF(ISBLANK('Data Entry'!$$876), "", 'Data Entry'!$$876)</f>
      </c>
      <c r="BR876">
        <f>IF(ISBLANK('Data Entry'!$$876), "", 'Data Entry'!$$876)</f>
      </c>
      <c r="BS876">
        <f>IF(ISBLANK('Data Entry'!$$876), "", 'Data Entry'!$$876)</f>
      </c>
      <c r="BT876">
        <f>IF(ISBLANK('Data Entry'!$$876), "", 'Data Entry'!$$876)</f>
      </c>
      <c r="BU876">
        <f>IF(ISBLANK('Data Entry'!$$876), "", 'Data Entry'!$$876)</f>
      </c>
      <c r="BV876">
        <f>IF(ISBLANK('Data Entry'!$$876), "", 'Data Entry'!$$876)</f>
      </c>
      <c r="BW876">
        <f>IF(ISBLANK('Data Entry'!$$876), "", 'Data Entry'!$$876)</f>
      </c>
      <c r="BX876">
        <f>IF(ISBLANK('Data Entry'!$$876), "", 'Data Entry'!$$876)</f>
      </c>
      <c r="BY876">
        <f>IF(ISBLANK('Data Entry'!$$876), "", 'Data Entry'!$$876)</f>
      </c>
      <c r="BZ876">
        <f>IF(ISBLANK('Data Entry'!$$876), "", 'Data Entry'!$$876)</f>
      </c>
      <c r="CA876">
        <f>IF(ISBLANK('Data Entry'!$$876), "", 'Data Entry'!$$876)</f>
      </c>
      <c r="CB876">
        <f>IF(ISBLANK('Data Entry'!$$876), "", 'Data Entry'!$$876)</f>
      </c>
      <c r="CC876">
        <f>IF(ISBLANK('Data Entry'!$$876), "", 'Data Entry'!$$876)</f>
      </c>
      <c r="CD876">
        <f>IF(ISBLANK('Data Entry'!$$876), "", 'Data Entry'!$$876)</f>
      </c>
      <c r="CE876">
        <f>IF(ISBLANK('Data Entry'!$$876), "", 'Data Entry'!$$876)</f>
      </c>
      <c r="CF876">
        <f>IF(ISBLANK('Data Entry'!$$876), "", 'Data Entry'!$$876)</f>
      </c>
      <c r="CG876">
        <f>IF(ISBLANK('Data Entry'!$$876), "", 'Data Entry'!$$876)</f>
      </c>
      <c r="CH876">
        <f>IF(ISBLANK('Data Entry'!$$876), "", 'Data Entry'!$$876)</f>
      </c>
      <c r="CI876">
        <f>IF(ISBLANK('Data Entry'!$$876), "", 'Data Entry'!$$876)</f>
      </c>
      <c r="CJ876">
        <f>IF(ISBLANK('Data Entry'!$$876), "", 'Data Entry'!$$876)</f>
      </c>
      <c r="CK876">
        <f>IF(ISBLANK('Data Entry'!$$876), "", 'Data Entry'!$$876)</f>
      </c>
      <c r="CL876">
        <f>IF(ISBLANK('Data Entry'!$$876), "", 'Data Entry'!$$876)</f>
      </c>
      <c r="CM876">
        <f>IF(ISBLANK('Data Entry'!$$876), "", 'Data Entry'!$$876)</f>
      </c>
      <c r="CN876">
        <f>IF(ISBLANK('Data Entry'!$$876), "", 'Data Entry'!$$876)</f>
      </c>
      <c r="CO876">
        <f>IF(ISBLANK('Data Entry'!$$876), "", 'Data Entry'!$$876)</f>
      </c>
      <c r="CP876">
        <f>IF(ISBLANK('Data Entry'!$$876), "", 'Data Entry'!$$876)</f>
      </c>
      <c r="CQ876">
        <f>IF(ISBLANK('Data Entry'!$$876), "", 'Data Entry'!$$876)</f>
      </c>
      <c r="CR876">
        <f>IF(ISBLANK('Data Entry'!$ $876), "", 'Data Entry'!$ $876)</f>
      </c>
      <c r="CS876">
        <f>IF(ISBLANK('Data Entry'!$¡$876), "", 'Data Entry'!$¡$876)</f>
      </c>
      <c r="CT876">
        <f>IF(ISBLANK('Data Entry'!$¢$876), "", 'Data Entry'!$¢$876)</f>
      </c>
      <c r="CU876">
        <f>IF(ISBLANK('Data Entry'!$£$876), "", 'Data Entry'!$£$876)</f>
      </c>
      <c r="CV876">
        <f>IF(ISBLANK('Data Entry'!$¤$876), "", 'Data Entry'!$¤$876)</f>
      </c>
      <c r="CW876">
        <f>IF(ISBLANK('Data Entry'!$¥$876), "", 'Data Entry'!$¥$876)</f>
      </c>
      <c r="CX876">
        <f>IF(ISBLANK('Data Entry'!$¦$876), "", 'Data Entry'!$¦$876)</f>
      </c>
      <c r="CY876">
        <f>IF(ISBLANK('Data Entry'!$§$876), "", 'Data Entry'!$§$876)</f>
      </c>
      <c r="CZ876">
        <f>IF(ISBLANK('Data Entry'!$¨$876), "", 'Data Entry'!$¨$876)</f>
      </c>
      <c r="DA876">
        <f>IF(ISBLANK('Data Entry'!$©$876), "", 'Data Entry'!$©$876)</f>
      </c>
      <c r="DB876">
        <f>IF(ISBLANK('Data Entry'!$ª$876), "", 'Data Entry'!$ª$876)</f>
      </c>
      <c r="DC876">
        <f>IF(ISBLANK('Data Entry'!$«$876), "", 'Data Entry'!$«$876)</f>
      </c>
      <c r="DD876">
        <f>IF(ISBLANK('Data Entry'!$¬$876), "", 'Data Entry'!$¬$876)</f>
      </c>
      <c r="DE876">
        <f>IF(ISBLANK('Data Entry'!$­$876), "", 'Data Entry'!$­$876)</f>
      </c>
      <c r="DF876">
        <f>IF(ISBLANK('Data Entry'!$®$876), "", 'Data Entry'!$®$876)</f>
      </c>
      <c r="DG876">
        <f>IF(ISBLANK('Data Entry'!$¯$876), "", 'Data Entry'!$¯$876)</f>
      </c>
      <c r="DH876">
        <f>IF(ISBLANK('Data Entry'!$°$876), "", 'Data Entry'!$°$876)</f>
      </c>
      <c r="DI876">
        <f>IF(ISBLANK('Data Entry'!$±$876), "", 'Data Entry'!$±$876)</f>
      </c>
      <c r="DJ876">
        <f>IF(ISBLANK('Data Entry'!$²$876), "", 'Data Entry'!$²$876)</f>
      </c>
      <c r="DK876">
        <f>IF(ISBLANK('Data Entry'!$³$876), "", 'Data Entry'!$³$876)</f>
      </c>
      <c r="DL876">
        <f>IF(ISBLANK('Data Entry'!$´$876), "", 'Data Entry'!$´$876)</f>
      </c>
      <c r="DM876">
        <f>IF(ISBLANK('Data Entry'!$µ$876), "", 'Data Entry'!$µ$876)</f>
      </c>
      <c r="DN876">
        <f>IF(ISBLANK('Data Entry'!$¶$876), "", 'Data Entry'!$¶$876)</f>
      </c>
      <c r="DO876">
        <f>IF(ISBLANK('Data Entry'!$·$876), "", 'Data Entry'!$·$876)</f>
      </c>
      <c r="DP876">
        <f>IF(ISBLANK('Data Entry'!$¸$876), "", 'Data Entry'!$¸$876)</f>
      </c>
      <c r="DQ876">
        <f>IF(ISBLANK('Data Entry'!$¹$876), "", 'Data Entry'!$¹$876)</f>
      </c>
      <c r="DR876">
        <f>IF(ISBLANK('Data Entry'!$º$876), "", 'Data Entry'!$º$876)</f>
      </c>
      <c r="DS876">
        <f>IF(ISBLANK('Data Entry'!$»$876), "", 'Data Entry'!$»$876)</f>
      </c>
      <c r="DT876">
        <f>IF(ISBLANK('Data Entry'!$¼$876), "", 'Data Entry'!$¼$876)</f>
      </c>
      <c r="DU876">
        <f>IF(ISBLANK('Data Entry'!$½$876), "", 'Data Entry'!$½$876)</f>
      </c>
      <c r="DV876">
        <f>IF(ISBLANK('Data Entry'!$¾$876), "", 'Data Entry'!$¾$876)</f>
      </c>
      <c r="DW876">
        <f>IF(ISBLANK('Data Entry'!$¿$876), "", 'Data Entry'!$¿$876)</f>
      </c>
      <c r="DX876">
        <f>IF(ISBLANK('Data Entry'!$À$876), "", 'Data Entry'!$À$876)</f>
      </c>
      <c r="DY876">
        <f>IF(ISBLANK('Data Entry'!$Á$876), "", 'Data Entry'!$Á$876)</f>
      </c>
      <c r="DZ876">
        <f>IF(ISBLANK('Data Entry'!$Â$876), "", 'Data Entry'!$Â$876)</f>
      </c>
      <c r="EA876">
        <f>IF(ISBLANK('Data Entry'!$Ã$876), "", 'Data Entry'!$Ã$876)</f>
      </c>
      <c r="EB876">
        <f>IF(ISBLANK('Data Entry'!$Ä$876), "", 'Data Entry'!$Ä$876)</f>
      </c>
      <c r="EC876">
        <f>IF(ISBLANK('Data Entry'!$Å$876), "", 'Data Entry'!$Å$876)</f>
      </c>
      <c r="ED876">
        <f>IF(ISBLANK('Data Entry'!$Æ$876), "", 'Data Entry'!$Æ$876)</f>
      </c>
      <c r="EE876">
        <f>IF(ISBLANK('Data Entry'!$Ç$876), "", 'Data Entry'!$Ç$876)</f>
      </c>
      <c r="EF876">
        <f>IF(ISBLANK('Data Entry'!$È$876), "", 'Data Entry'!$È$876)</f>
      </c>
      <c r="EG876">
        <f>IF(ISBLANK('Data Entry'!$É$876), "", 'Data Entry'!$É$876)</f>
      </c>
      <c r="EH876">
        <f>IF(ISBLANK('Data Entry'!$Ê$876), "", 'Data Entry'!$Ê$876)</f>
      </c>
      <c r="EI876">
        <f>IF(ISBLANK('Data Entry'!$Ë$876), "", 'Data Entry'!$Ë$876)</f>
      </c>
      <c r="EJ876">
        <f>IF(ISBLANK('Data Entry'!$Ì$876), "", 'Data Entry'!$Ì$876)</f>
      </c>
      <c r="EK876">
        <f>IF(ISBLANK('Data Entry'!$Í$876), "", 'Data Entry'!$Í$876)</f>
      </c>
      <c r="EL876">
        <f>IF(ISBLANK('Data Entry'!$Î$876), "", 'Data Entry'!$Î$876)</f>
      </c>
      <c r="EM876">
        <f>IF(ISBLANK('Data Entry'!$Ï$876), "", 'Data Entry'!$Ï$876)</f>
      </c>
      <c r="EN876">
        <f>IF(ISBLANK('Data Entry'!$Ð$876), "", 'Data Entry'!$Ð$876)</f>
      </c>
      <c r="EO876">
        <f>IF(ISBLANK('Data Entry'!$Ñ$876), "", 'Data Entry'!$Ñ$876)</f>
      </c>
      <c r="EP876">
        <f>IF(ISBLANK('Data Entry'!$Ò$876), "", 'Data Entry'!$Ò$876)</f>
      </c>
      <c r="EQ876">
        <f>IF(ISBLANK('Data Entry'!$Ó$876), "", 'Data Entry'!$Ó$876)</f>
      </c>
      <c r="ER876">
        <f>IF(ISBLANK('Data Entry'!$Ô$876), "", 'Data Entry'!$Ô$876)</f>
      </c>
      <c r="ES876">
        <f>IF(ISBLANK('Data Entry'!$Õ$876), "", 'Data Entry'!$Õ$876)</f>
      </c>
      <c r="ET876">
        <f>IF(ISBLANK('Data Entry'!$Ö$876), "", 'Data Entry'!$Ö$876)</f>
      </c>
      <c r="EU876">
        <f>IF(ISBLANK('Data Entry'!$×$876), "", 'Data Entry'!$×$876)</f>
      </c>
      <c r="EV876">
        <f>IF(ISBLANK('Data Entry'!$Ø$876), "", 'Data Entry'!$Ø$876)</f>
      </c>
      <c r="EW876">
        <f>IF(ISBLANK('Data Entry'!$Ù$876), "", 'Data Entry'!$Ù$876)</f>
      </c>
      <c r="EX876">
        <f>IF(ISBLANK('Data Entry'!$Ú$876), "", 'Data Entry'!$Ú$876)</f>
      </c>
      <c r="EY876">
        <f>IF(ISBLANK('Data Entry'!$Û$876), "", 'Data Entry'!$Û$876)</f>
      </c>
      <c r="EZ876">
        <f>IF(ISBLANK('Data Entry'!$Ü$876), "", 'Data Entry'!$Ü$876)</f>
      </c>
      <c r="FA876">
        <f>IF(ISBLANK('Data Entry'!$Ý$876), "", 'Data Entry'!$Ý$876)</f>
      </c>
      <c r="FB876">
        <f>IF(ISBLANK('Data Entry'!$Þ$876), "", 'Data Entry'!$Þ$876)</f>
      </c>
      <c r="FC876">
        <f>IF(ISBLANK('Data Entry'!$ß$876), "", 'Data Entry'!$ß$876)</f>
      </c>
      <c r="FD876">
        <f>IF(ISBLANK('Data Entry'!$à$876), "", 'Data Entry'!$à$876)</f>
      </c>
      <c r="FE876">
        <f>IF(ISBLANK('Data Entry'!$á$876), "", 'Data Entry'!$á$876)</f>
      </c>
      <c r="FF876">
        <f>IF(ISBLANK('Data Entry'!$â$876), "", 'Data Entry'!$â$876)</f>
      </c>
      <c r="FG876">
        <f>IF(ISBLANK('Data Entry'!$ã$876), "", 'Data Entry'!$ã$876)</f>
      </c>
      <c r="FH876">
        <f>IF(ISBLANK('Data Entry'!$ä$876), "", 'Data Entry'!$ä$876)</f>
      </c>
      <c r="FI876">
        <f>IF(ISBLANK('Data Entry'!$å$876), "", 'Data Entry'!$å$876)</f>
      </c>
      <c r="FJ876">
        <f>IF(ISBLANK('Data Entry'!$æ$876), "", 'Data Entry'!$æ$876)</f>
      </c>
      <c r="FK876">
        <f>IF(ISBLANK('Data Entry'!$ç$876), "", 'Data Entry'!$ç$876)</f>
      </c>
      <c r="FL876">
        <f>IF(ISBLANK('Data Entry'!$è$876), "", 'Data Entry'!$è$876)</f>
      </c>
      <c r="FM876">
        <f>IF(ISBLANK('Data Entry'!$é$876), "", 'Data Entry'!$é$876)</f>
      </c>
      <c r="FN876">
        <f>IF(ISBLANK('Data Entry'!$ê$876), "", 'Data Entry'!$ê$876)</f>
      </c>
      <c r="FO876">
        <f>IF(ISBLANK('Data Entry'!$ë$876), "", 'Data Entry'!$ë$876)</f>
      </c>
      <c r="FP876">
        <f>IF(ISBLANK('Data Entry'!$ì$876), "", 'Data Entry'!$ì$876)</f>
      </c>
      <c r="FQ876">
        <f>IF(ISBLANK('Data Entry'!$í$876), "", 'Data Entry'!$í$876)</f>
      </c>
      <c r="FR876">
        <f>IF(ISBLANK('Data Entry'!$î$876), "", 'Data Entry'!$î$876)</f>
      </c>
      <c r="FS876">
        <f>IF(ISBLANK('Data Entry'!$ï$876), "", 'Data Entry'!$ï$876)</f>
      </c>
      <c r="FT876">
        <f>IF(ISBLANK('Data Entry'!$ð$876), "", 'Data Entry'!$ð$876)</f>
      </c>
      <c r="FU876">
        <f>IF(ISBLANK('Data Entry'!$ñ$876), "", 'Data Entry'!$ñ$876)</f>
      </c>
      <c r="FV876">
        <f>IF(ISBLANK('Data Entry'!$ò$876), "", 'Data Entry'!$ò$876)</f>
      </c>
      <c r="FW876">
        <f>IF(ISBLANK('Data Entry'!$ó$876), "", 'Data Entry'!$ó$876)</f>
      </c>
      <c r="FX876">
        <f>IF(ISBLANK('Data Entry'!$ô$876), "", 'Data Entry'!$ô$876)</f>
      </c>
      <c r="FY876">
        <f>IF(ISBLANK('Data Entry'!$õ$876), "", 'Data Entry'!$õ$876)</f>
      </c>
      <c r="FZ876">
        <f>IF(ISBLANK('Data Entry'!$ö$876), "", 'Data Entry'!$ö$876)</f>
      </c>
      <c r="GA876">
        <f>IF(ISBLANK('Data Entry'!$÷$876), "", 'Data Entry'!$÷$876)</f>
      </c>
      <c r="GB876">
        <f>IF(ISBLANK('Data Entry'!$ø$876), "", 'Data Entry'!$ø$876)</f>
      </c>
      <c r="GC876">
        <f>IF(ISBLANK('Data Entry'!$ù$876), "", 'Data Entry'!$ù$876)</f>
      </c>
      <c r="GD876">
        <f>IF(ISBLANK('Data Entry'!$ú$876), "", 'Data Entry'!$ú$876)</f>
      </c>
      <c r="GE876">
        <f>IF(ISBLANK('Data Entry'!$û$876), "", 'Data Entry'!$û$876)</f>
      </c>
      <c r="GF876">
        <f>IF(ISBLANK('Data Entry'!$ü$876), "", 'Data Entry'!$ü$876)</f>
      </c>
      <c r="GG876">
        <f>IF(ISBLANK('Data Entry'!$ý$876), "", 'Data Entry'!$ý$876)</f>
      </c>
      <c r="GH876">
        <f>IF(ISBLANK('Data Entry'!$þ$876), "", 'Data Entry'!$þ$876)</f>
      </c>
      <c r="GI876">
        <f>IF(ISBLANK('Data Entry'!$ÿ$876), "", 'Data Entry'!$ÿ$876)</f>
      </c>
      <c r="GJ876">
        <f>IF(ISBLANK('Data Entry'!$Ā$876), "", 'Data Entry'!$Ā$876)</f>
      </c>
      <c r="GK876">
        <f>IF(ISBLANK('Data Entry'!$ā$876), "", 'Data Entry'!$ā$876)</f>
      </c>
      <c r="GL876">
        <f>IF(ISBLANK('Data Entry'!$Ă$876), "", 'Data Entry'!$Ă$876)</f>
      </c>
      <c r="GM876">
        <f>IF(ISBLANK('Data Entry'!$ă$876), "", 'Data Entry'!$ă$876)</f>
      </c>
      <c r="GN876">
        <f>IF(ISBLANK('Data Entry'!$Ą$876), "", 'Data Entry'!$Ą$876)</f>
      </c>
      <c r="GO876">
        <f>IF(ISBLANK('Data Entry'!$ą$876), "", 'Data Entry'!$ą$876)</f>
      </c>
      <c r="GP876">
        <f>IF(ISBLANK('Data Entry'!$Ć$876), "", 'Data Entry'!$Ć$876)</f>
      </c>
      <c r="GQ876">
        <f>IF(ISBLANK('Data Entry'!$ć$876), "", 'Data Entry'!$ć$876)</f>
      </c>
      <c r="GR876">
        <f>IF(ISBLANK('Data Entry'!$Ĉ$876), "", 'Data Entry'!$Ĉ$876)</f>
      </c>
      <c r="GS876">
        <f>IF(ISBLANK('Data Entry'!$ĉ$876), "", 'Data Entry'!$ĉ$876)</f>
      </c>
      <c r="GT876">
        <f>IF(ISBLANK('Data Entry'!$Ċ$876), "", 'Data Entry'!$Ċ$876)</f>
      </c>
      <c r="GU876">
        <f>IF(ISBLANK('Data Entry'!$ċ$876), "", 'Data Entry'!$ċ$876)</f>
      </c>
      <c r="GV876">
        <f>IF(ISBLANK('Data Entry'!$Č$876), "", 'Data Entry'!$Č$876)</f>
      </c>
      <c r="GW876">
        <f>IF(ISBLANK('Data Entry'!$č$876), "", 'Data Entry'!$č$876)</f>
      </c>
      <c r="GX876">
        <f>IF(ISBLANK('Data Entry'!$Ď$876), "", 'Data Entry'!$Ď$876)</f>
      </c>
      <c r="GY876">
        <f>IF(ISBLANK('Data Entry'!$ď$876), "", 'Data Entry'!$ď$876)</f>
      </c>
      <c r="GZ876">
        <f>IF(ISBLANK('Data Entry'!$Đ$876), "", 'Data Entry'!$Đ$876)</f>
      </c>
      <c r="HA876">
        <f>IF(ISBLANK('Data Entry'!$đ$876), "", 'Data Entry'!$đ$876)</f>
      </c>
      <c r="HB876">
        <f>IF(ISBLANK('Data Entry'!$Ē$876), "", 'Data Entry'!$Ē$876)</f>
      </c>
      <c r="HC876">
        <f>IF(ISBLANK('Data Entry'!$ē$876), "", 'Data Entry'!$ē$876)</f>
      </c>
      <c r="HD876">
        <f>IF(ISBLANK('Data Entry'!$Ĕ$876), "", 'Data Entry'!$Ĕ$876)</f>
      </c>
      <c r="HE876">
        <f>IF(ISBLANK('Data Entry'!$ĕ$876), "", 'Data Entry'!$ĕ$876)</f>
      </c>
      <c r="HF876">
        <f>IF(ISBLANK('Data Entry'!$Ė$876), "", 'Data Entry'!$Ė$876)</f>
      </c>
      <c r="HG876">
        <f>IF(ISBLANK('Data Entry'!$ė$876), "", 'Data Entry'!$ė$876)</f>
      </c>
      <c r="HH876">
        <f>IF(ISBLANK('Data Entry'!$Ę$876), "", 'Data Entry'!$Ę$876)</f>
      </c>
      <c r="HI876">
        <f>IF(ISBLANK('Data Entry'!$ę$876), "", 'Data Entry'!$ę$876)</f>
      </c>
      <c r="HJ876">
        <f>IF(ISBLANK('Data Entry'!$Ě$876), "", 'Data Entry'!$Ě$876)</f>
      </c>
      <c r="HK876">
        <f>IF(ISBLANK('Data Entry'!$ě$876), "", 'Data Entry'!$ě$876)</f>
      </c>
      <c r="HL876">
        <f>IF(ISBLANK('Data Entry'!$Ĝ$876), "", 'Data Entry'!$Ĝ$876)</f>
      </c>
      <c r="HM876">
        <f>IF(ISBLANK('Data Entry'!$ĝ$876), "", 'Data Entry'!$ĝ$876)</f>
      </c>
      <c r="HN876">
        <f>IF(ISBLANK('Data Entry'!$Ğ$876), "", 'Data Entry'!$Ğ$876)</f>
      </c>
      <c r="HO876">
        <f>IF(ISBLANK('Data Entry'!$ğ$876), "", 'Data Entry'!$ğ$876)</f>
      </c>
      <c r="HP876">
        <f>IF(ISBLANK('Data Entry'!$Ġ$876), "", 'Data Entry'!$Ġ$876)</f>
      </c>
      <c r="HQ876">
        <f>IF(ISBLANK('Data Entry'!$ġ$876), "", 'Data Entry'!$ġ$876)</f>
      </c>
      <c r="HR876">
        <f>IF(ISBLANK('Data Entry'!$Ģ$876), "", 'Data Entry'!$Ģ$876)</f>
      </c>
      <c r="HS876">
        <f>IF(ISBLANK('Data Entry'!$ģ$876), "", 'Data Entry'!$ģ$876)</f>
      </c>
      <c r="HT876">
        <f>IF(ISBLANK('Data Entry'!$Ĥ$876), "", 'Data Entry'!$Ĥ$876)</f>
      </c>
      <c r="HU876">
        <f>IF(ISBLANK('Data Entry'!$ĥ$876), "", 'Data Entry'!$ĥ$876)</f>
      </c>
      <c r="HV876">
        <f>IF(ISBLANK('Data Entry'!$Ħ$876), "", 'Data Entry'!$Ħ$876)</f>
      </c>
      <c r="HW876">
        <f>IF(ISBLANK('Data Entry'!$ħ$876), "", 'Data Entry'!$ħ$876)</f>
      </c>
      <c r="HX876">
        <f>IF(ISBLANK('Data Entry'!$Ĩ$876), "", 'Data Entry'!$Ĩ$876)</f>
      </c>
      <c r="HY876">
        <f>IF(ISBLANK('Data Entry'!$ĩ$876), "", 'Data Entry'!$ĩ$876)</f>
      </c>
      <c r="HZ876">
        <f>IF(ISBLANK('Data Entry'!$Ī$876), "", 'Data Entry'!$Ī$876)</f>
      </c>
      <c r="IA876">
        <f>IF(ISBLANK('Data Entry'!$ī$876), "", 'Data Entry'!$ī$876)</f>
      </c>
      <c r="IB876">
        <f>IF(ISBLANK('Data Entry'!$Ĭ$876), "", 'Data Entry'!$Ĭ$876)</f>
      </c>
      <c r="IC876">
        <f>IF(ISBLANK('Data Entry'!$ĭ$876), "", 'Data Entry'!$ĭ$876)</f>
      </c>
      <c r="ID876">
        <f>IF(ISBLANK('Data Entry'!$Į$876), "", 'Data Entry'!$Į$876)</f>
      </c>
      <c r="IE876">
        <f>IF(ISBLANK('Data Entry'!$į$876), "", 'Data Entry'!$į$876)</f>
      </c>
      <c r="IF876">
        <f>IF(ISBLANK('Data Entry'!$İ$876), "", 'Data Entry'!$İ$876)</f>
      </c>
      <c r="IG876">
        <f>IF(ISBLANK('Data Entry'!$ı$876), "", 'Data Entry'!$ı$876)</f>
      </c>
      <c r="IH876">
        <f>IF(ISBLANK('Data Entry'!$Ĳ$876), "", 'Data Entry'!$Ĳ$876)</f>
      </c>
      <c r="II876">
        <f>IF(ISBLANK('Data Entry'!$ĳ$876), "", 'Data Entry'!$ĳ$876)</f>
      </c>
      <c r="IJ876">
        <f>IF(ISBLANK('Data Entry'!$Ĵ$876), "", 'Data Entry'!$Ĵ$876)</f>
      </c>
      <c r="IK876">
        <f>IF(ISBLANK('Data Entry'!$ĵ$876), "", 'Data Entry'!$ĵ$876)</f>
      </c>
      <c r="IL876">
        <f>IF(ISBLANK('Data Entry'!$Ķ$876), "", 'Data Entry'!$Ķ$876)</f>
      </c>
      <c r="IM876">
        <f>IF(ISBLANK('Data Entry'!$ķ$876), "", 'Data Entry'!$ķ$876)</f>
      </c>
      <c r="IN876">
        <f>IF(ISBLANK('Data Entry'!$ĸ$876), "", 'Data Entry'!$ĸ$876)</f>
      </c>
      <c r="IO876">
        <f>IF(ISBLANK('Data Entry'!$Ĺ$876), "", 'Data Entry'!$Ĺ$876)</f>
      </c>
      <c r="IP876">
        <f>IF(ISBLANK('Data Entry'!$ĺ$876), "", 'Data Entry'!$ĺ$876)</f>
      </c>
      <c r="IQ876">
        <f>IF(ISBLANK('Data Entry'!$Ļ$876), "", 'Data Entry'!$Ļ$876)</f>
      </c>
      <c r="IR876">
        <f>IF(ISBLANK('Data Entry'!$ļ$876), "", 'Data Entry'!$ļ$876)</f>
      </c>
      <c r="IS876">
        <f>IF(ISBLANK('Data Entry'!$Ľ$876), "", 'Data Entry'!$Ľ$876)</f>
      </c>
      <c r="IT876">
        <f>IF(ISBLANK('Data Entry'!$ľ$876), "", 'Data Entry'!$ľ$876)</f>
      </c>
    </row>
    <row r="877" spans="1:254" x14ac:dyDescent="0.25">
      <c r="A877">
        <f>IF(ISBLANK('Data Entry'!$A$877), "", 'Data Entry'!$A$877)</f>
      </c>
      <c r="B877">
        <f>IF(ISBLANK('Data Entry'!$B$877), "", 'Data Entry'!$B$877)</f>
      </c>
      <c r="C877">
        <f>IF(ISBLANK('Data Entry'!$C$877), "", 'Data Entry'!$C$877)</f>
      </c>
      <c r="D877">
        <f>IF(ISBLANK('Data Entry'!$D$877), "", 'Data Entry'!$D$877)</f>
      </c>
      <c r="E877">
        <f>IF(ISBLANK('Data Entry'!$E$877), "", 'Data Entry'!$E$877)</f>
      </c>
      <c r="F877">
        <f>IF(ISBLANK('Data Entry'!$F$877), "", 'Data Entry'!$F$877)</f>
      </c>
      <c r="G877">
        <f>IF(ISBLANK('Data Entry'!$G$877), "", 'Data Entry'!$G$877)</f>
      </c>
      <c r="H877">
        <f>IF(ISBLANK('Data Entry'!$H$877), "", 'Data Entry'!$H$877)</f>
      </c>
      <c r="I877">
        <f>IF(ISBLANK('Data Entry'!$I$877), "", 'Data Entry'!$I$877)</f>
      </c>
      <c r="J877">
        <f>IF(ISBLANK('Data Entry'!$J$877), "", 'Data Entry'!$J$877)</f>
      </c>
      <c r="K877">
        <f>IF(ISBLANK('Data Entry'!$K$877), "", 'Data Entry'!$K$877)</f>
      </c>
      <c r="L877">
        <f>IF(ISBLANK('Data Entry'!$L$877), "", 'Data Entry'!$L$877)</f>
      </c>
      <c r="M877">
        <f>IF(ISBLANK('Data Entry'!$M$877), "", 'Data Entry'!$M$877)</f>
      </c>
      <c r="N877">
        <f>IF(ISBLANK('Data Entry'!$N$877), "", 'Data Entry'!$N$877)</f>
      </c>
      <c r="O877">
        <f>IF(ISBLANK('Data Entry'!$O$877), "", 'Data Entry'!$O$877)</f>
      </c>
      <c r="P877">
        <f>IF(ISBLANK('Data Entry'!$P$877), "", 'Data Entry'!$P$877)</f>
      </c>
      <c r="Q877">
        <f>IF(ISBLANK('Data Entry'!$Q$877), "", 'Data Entry'!$Q$877)</f>
      </c>
      <c r="R877">
        <f>IF(ISBLANK('Data Entry'!$R$877), "", 'Data Entry'!$R$877)</f>
      </c>
      <c r="S877">
        <f>IF(ISBLANK('Data Entry'!$S$877), "", 'Data Entry'!$S$877)</f>
      </c>
      <c r="T877">
        <f>IF(ISBLANK('Data Entry'!$T$877), "", 'Data Entry'!$T$877)</f>
      </c>
      <c r="U877">
        <f>IF(ISBLANK('Data Entry'!$U$877), "", 'Data Entry'!$U$877)</f>
      </c>
      <c r="V877">
        <f>IF(ISBLANK('Data Entry'!$V$877), "", 'Data Entry'!$V$877)</f>
      </c>
      <c r="W877">
        <f>IF(ISBLANK('Data Entry'!$W$877), "", 'Data Entry'!$W$877)</f>
      </c>
      <c r="X877">
        <f>IF(ISBLANK('Data Entry'!$X$877), "", 'Data Entry'!$X$877)</f>
      </c>
      <c r="Y877">
        <f>IF(ISBLANK('Data Entry'!$Y$877), "", 'Data Entry'!$Y$877)</f>
      </c>
      <c r="Z877">
        <f>IF(ISBLANK('Data Entry'!$Z$877), "", 'Data Entry'!$Z$877)</f>
      </c>
      <c r="AA877">
        <f>IF(ISBLANK('Data Entry'!$[$877), "", 'Data Entry'!$[$877)</f>
      </c>
      <c r="AB877">
        <f>IF(ISBLANK('Data Entry'!$\$877), "", 'Data Entry'!$\$877)</f>
      </c>
      <c r="AC877">
        <f>IF(ISBLANK('Data Entry'!$]$877), "", 'Data Entry'!$]$877)</f>
      </c>
      <c r="AD877">
        <f>IF(ISBLANK('Data Entry'!$^$877), "", 'Data Entry'!$^$877)</f>
      </c>
      <c r="AE877">
        <f>IF(ISBLANK('Data Entry'!$_$877), "", 'Data Entry'!$_$877)</f>
      </c>
      <c r="AF877">
        <f>IF(ISBLANK('Data Entry'!$`$877), "", 'Data Entry'!$`$877)</f>
      </c>
      <c r="AG877">
        <f>IF(ISBLANK('Data Entry'!$a$877), "", 'Data Entry'!$a$877)</f>
      </c>
      <c r="AH877">
        <f>IF(ISBLANK('Data Entry'!$b$877), "", 'Data Entry'!$b$877)</f>
      </c>
      <c r="AI877">
        <f>IF(ISBLANK('Data Entry'!$c$877), "", 'Data Entry'!$c$877)</f>
      </c>
      <c r="AJ877">
        <f>IF(ISBLANK('Data Entry'!$d$877), "", 'Data Entry'!$d$877)</f>
      </c>
      <c r="AK877">
        <f>IF(ISBLANK('Data Entry'!$e$877), "", 'Data Entry'!$e$877)</f>
      </c>
      <c r="AL877">
        <f>IF(ISBLANK('Data Entry'!$f$877), "", 'Data Entry'!$f$877)</f>
      </c>
      <c r="AM877">
        <f>IF(ISBLANK('Data Entry'!$g$877), "", 'Data Entry'!$g$877)</f>
      </c>
      <c r="AN877">
        <f>IF(ISBLANK('Data Entry'!$h$877), "", 'Data Entry'!$h$877)</f>
      </c>
      <c r="AO877">
        <f>IF(ISBLANK('Data Entry'!$i$877), "", 'Data Entry'!$i$877)</f>
      </c>
      <c r="AP877">
        <f>IF(ISBLANK('Data Entry'!$j$877), "", 'Data Entry'!$j$877)</f>
      </c>
      <c r="AQ877">
        <f>IF(ISBLANK('Data Entry'!$k$877), "", 'Data Entry'!$k$877)</f>
      </c>
      <c r="AR877">
        <f>IF(ISBLANK('Data Entry'!$l$877), "", 'Data Entry'!$l$877)</f>
      </c>
      <c r="AS877">
        <f>IF(ISBLANK('Data Entry'!$m$877), "", 'Data Entry'!$m$877)</f>
      </c>
      <c r="AT877">
        <f>IF(ISBLANK('Data Entry'!$n$877), "", 'Data Entry'!$n$877)</f>
      </c>
      <c r="AU877">
        <f>IF(ISBLANK('Data Entry'!$o$877), "", 'Data Entry'!$o$877)</f>
      </c>
      <c r="AV877">
        <f>IF(ISBLANK('Data Entry'!$p$877), "", 'Data Entry'!$p$877)</f>
      </c>
      <c r="AW877">
        <f>IF(ISBLANK('Data Entry'!$q$877), "", 'Data Entry'!$q$877)</f>
      </c>
      <c r="AX877">
        <f>IF(ISBLANK('Data Entry'!$r$877), "", 'Data Entry'!$r$877)</f>
      </c>
      <c r="AY877">
        <f>IF(ISBLANK('Data Entry'!$s$877), "", 'Data Entry'!$s$877)</f>
      </c>
      <c r="AZ877">
        <f>IF(ISBLANK('Data Entry'!$t$877), "", 'Data Entry'!$t$877)</f>
      </c>
      <c r="BA877">
        <f>IF(ISBLANK('Data Entry'!$u$877), "", 'Data Entry'!$u$877)</f>
      </c>
      <c r="BB877">
        <f>IF(ISBLANK('Data Entry'!$v$877), "", 'Data Entry'!$v$877)</f>
      </c>
      <c r="BC877">
        <f>IF(ISBLANK('Data Entry'!$w$877), "", 'Data Entry'!$w$877)</f>
      </c>
      <c r="BD877">
        <f>IF(ISBLANK('Data Entry'!$x$877), "", 'Data Entry'!$x$877)</f>
      </c>
      <c r="BE877">
        <f>IF(ISBLANK('Data Entry'!$y$877), "", 'Data Entry'!$y$877)</f>
      </c>
      <c r="BF877">
        <f>IF(ISBLANK('Data Entry'!$z$877), "", 'Data Entry'!$z$877)</f>
      </c>
      <c r="BG877">
        <f>IF(ISBLANK('Data Entry'!${$877), "", 'Data Entry'!${$877)</f>
      </c>
      <c r="BH877">
        <f>IF(ISBLANK('Data Entry'!$|$877), "", 'Data Entry'!$|$877)</f>
      </c>
      <c r="BI877">
        <f>IF(ISBLANK('Data Entry'!$}$877), "", 'Data Entry'!$}$877)</f>
      </c>
      <c r="BJ877">
        <f>IF(ISBLANK('Data Entry'!$~$877), "", 'Data Entry'!$~$877)</f>
      </c>
      <c r="BK877">
        <f>IF(ISBLANK('Data Entry'!$$877), "", 'Data Entry'!$$877)</f>
      </c>
      <c r="BL877">
        <f>IF(ISBLANK('Data Entry'!$$877), "", 'Data Entry'!$$877)</f>
      </c>
      <c r="BM877">
        <f>IF(ISBLANK('Data Entry'!$$877), "", 'Data Entry'!$$877)</f>
      </c>
      <c r="BN877">
        <f>IF(ISBLANK('Data Entry'!$$877), "", 'Data Entry'!$$877)</f>
      </c>
      <c r="BO877">
        <f>IF(ISBLANK('Data Entry'!$$877), "", 'Data Entry'!$$877)</f>
      </c>
      <c r="BP877">
        <f>IF(ISBLANK('Data Entry'!$$877), "", 'Data Entry'!$$877)</f>
      </c>
      <c r="BQ877">
        <f>IF(ISBLANK('Data Entry'!$$877), "", 'Data Entry'!$$877)</f>
      </c>
      <c r="BR877">
        <f>IF(ISBLANK('Data Entry'!$$877), "", 'Data Entry'!$$877)</f>
      </c>
      <c r="BS877">
        <f>IF(ISBLANK('Data Entry'!$$877), "", 'Data Entry'!$$877)</f>
      </c>
      <c r="BT877">
        <f>IF(ISBLANK('Data Entry'!$$877), "", 'Data Entry'!$$877)</f>
      </c>
      <c r="BU877">
        <f>IF(ISBLANK('Data Entry'!$$877), "", 'Data Entry'!$$877)</f>
      </c>
      <c r="BV877">
        <f>IF(ISBLANK('Data Entry'!$$877), "", 'Data Entry'!$$877)</f>
      </c>
      <c r="BW877">
        <f>IF(ISBLANK('Data Entry'!$$877), "", 'Data Entry'!$$877)</f>
      </c>
      <c r="BX877">
        <f>IF(ISBLANK('Data Entry'!$$877), "", 'Data Entry'!$$877)</f>
      </c>
      <c r="BY877">
        <f>IF(ISBLANK('Data Entry'!$$877), "", 'Data Entry'!$$877)</f>
      </c>
      <c r="BZ877">
        <f>IF(ISBLANK('Data Entry'!$$877), "", 'Data Entry'!$$877)</f>
      </c>
      <c r="CA877">
        <f>IF(ISBLANK('Data Entry'!$$877), "", 'Data Entry'!$$877)</f>
      </c>
      <c r="CB877">
        <f>IF(ISBLANK('Data Entry'!$$877), "", 'Data Entry'!$$877)</f>
      </c>
      <c r="CC877">
        <f>IF(ISBLANK('Data Entry'!$$877), "", 'Data Entry'!$$877)</f>
      </c>
      <c r="CD877">
        <f>IF(ISBLANK('Data Entry'!$$877), "", 'Data Entry'!$$877)</f>
      </c>
      <c r="CE877">
        <f>IF(ISBLANK('Data Entry'!$$877), "", 'Data Entry'!$$877)</f>
      </c>
      <c r="CF877">
        <f>IF(ISBLANK('Data Entry'!$$877), "", 'Data Entry'!$$877)</f>
      </c>
      <c r="CG877">
        <f>IF(ISBLANK('Data Entry'!$$877), "", 'Data Entry'!$$877)</f>
      </c>
      <c r="CH877">
        <f>IF(ISBLANK('Data Entry'!$$877), "", 'Data Entry'!$$877)</f>
      </c>
      <c r="CI877">
        <f>IF(ISBLANK('Data Entry'!$$877), "", 'Data Entry'!$$877)</f>
      </c>
      <c r="CJ877">
        <f>IF(ISBLANK('Data Entry'!$$877), "", 'Data Entry'!$$877)</f>
      </c>
      <c r="CK877">
        <f>IF(ISBLANK('Data Entry'!$$877), "", 'Data Entry'!$$877)</f>
      </c>
      <c r="CL877">
        <f>IF(ISBLANK('Data Entry'!$$877), "", 'Data Entry'!$$877)</f>
      </c>
      <c r="CM877">
        <f>IF(ISBLANK('Data Entry'!$$877), "", 'Data Entry'!$$877)</f>
      </c>
      <c r="CN877">
        <f>IF(ISBLANK('Data Entry'!$$877), "", 'Data Entry'!$$877)</f>
      </c>
      <c r="CO877">
        <f>IF(ISBLANK('Data Entry'!$$877), "", 'Data Entry'!$$877)</f>
      </c>
      <c r="CP877">
        <f>IF(ISBLANK('Data Entry'!$$877), "", 'Data Entry'!$$877)</f>
      </c>
      <c r="CQ877">
        <f>IF(ISBLANK('Data Entry'!$$877), "", 'Data Entry'!$$877)</f>
      </c>
      <c r="CR877">
        <f>IF(ISBLANK('Data Entry'!$ $877), "", 'Data Entry'!$ $877)</f>
      </c>
      <c r="CS877">
        <f>IF(ISBLANK('Data Entry'!$¡$877), "", 'Data Entry'!$¡$877)</f>
      </c>
      <c r="CT877">
        <f>IF(ISBLANK('Data Entry'!$¢$877), "", 'Data Entry'!$¢$877)</f>
      </c>
      <c r="CU877">
        <f>IF(ISBLANK('Data Entry'!$£$877), "", 'Data Entry'!$£$877)</f>
      </c>
      <c r="CV877">
        <f>IF(ISBLANK('Data Entry'!$¤$877), "", 'Data Entry'!$¤$877)</f>
      </c>
      <c r="CW877">
        <f>IF(ISBLANK('Data Entry'!$¥$877), "", 'Data Entry'!$¥$877)</f>
      </c>
      <c r="CX877">
        <f>IF(ISBLANK('Data Entry'!$¦$877), "", 'Data Entry'!$¦$877)</f>
      </c>
      <c r="CY877">
        <f>IF(ISBLANK('Data Entry'!$§$877), "", 'Data Entry'!$§$877)</f>
      </c>
      <c r="CZ877">
        <f>IF(ISBLANK('Data Entry'!$¨$877), "", 'Data Entry'!$¨$877)</f>
      </c>
      <c r="DA877">
        <f>IF(ISBLANK('Data Entry'!$©$877), "", 'Data Entry'!$©$877)</f>
      </c>
      <c r="DB877">
        <f>IF(ISBLANK('Data Entry'!$ª$877), "", 'Data Entry'!$ª$877)</f>
      </c>
      <c r="DC877">
        <f>IF(ISBLANK('Data Entry'!$«$877), "", 'Data Entry'!$«$877)</f>
      </c>
      <c r="DD877">
        <f>IF(ISBLANK('Data Entry'!$¬$877), "", 'Data Entry'!$¬$877)</f>
      </c>
      <c r="DE877">
        <f>IF(ISBLANK('Data Entry'!$­$877), "", 'Data Entry'!$­$877)</f>
      </c>
      <c r="DF877">
        <f>IF(ISBLANK('Data Entry'!$®$877), "", 'Data Entry'!$®$877)</f>
      </c>
      <c r="DG877">
        <f>IF(ISBLANK('Data Entry'!$¯$877), "", 'Data Entry'!$¯$877)</f>
      </c>
      <c r="DH877">
        <f>IF(ISBLANK('Data Entry'!$°$877), "", 'Data Entry'!$°$877)</f>
      </c>
      <c r="DI877">
        <f>IF(ISBLANK('Data Entry'!$±$877), "", 'Data Entry'!$±$877)</f>
      </c>
      <c r="DJ877">
        <f>IF(ISBLANK('Data Entry'!$²$877), "", 'Data Entry'!$²$877)</f>
      </c>
      <c r="DK877">
        <f>IF(ISBLANK('Data Entry'!$³$877), "", 'Data Entry'!$³$877)</f>
      </c>
      <c r="DL877">
        <f>IF(ISBLANK('Data Entry'!$´$877), "", 'Data Entry'!$´$877)</f>
      </c>
      <c r="DM877">
        <f>IF(ISBLANK('Data Entry'!$µ$877), "", 'Data Entry'!$µ$877)</f>
      </c>
      <c r="DN877">
        <f>IF(ISBLANK('Data Entry'!$¶$877), "", 'Data Entry'!$¶$877)</f>
      </c>
      <c r="DO877">
        <f>IF(ISBLANK('Data Entry'!$·$877), "", 'Data Entry'!$·$877)</f>
      </c>
      <c r="DP877">
        <f>IF(ISBLANK('Data Entry'!$¸$877), "", 'Data Entry'!$¸$877)</f>
      </c>
      <c r="DQ877">
        <f>IF(ISBLANK('Data Entry'!$¹$877), "", 'Data Entry'!$¹$877)</f>
      </c>
      <c r="DR877">
        <f>IF(ISBLANK('Data Entry'!$º$877), "", 'Data Entry'!$º$877)</f>
      </c>
      <c r="DS877">
        <f>IF(ISBLANK('Data Entry'!$»$877), "", 'Data Entry'!$»$877)</f>
      </c>
      <c r="DT877">
        <f>IF(ISBLANK('Data Entry'!$¼$877), "", 'Data Entry'!$¼$877)</f>
      </c>
      <c r="DU877">
        <f>IF(ISBLANK('Data Entry'!$½$877), "", 'Data Entry'!$½$877)</f>
      </c>
      <c r="DV877">
        <f>IF(ISBLANK('Data Entry'!$¾$877), "", 'Data Entry'!$¾$877)</f>
      </c>
      <c r="DW877">
        <f>IF(ISBLANK('Data Entry'!$¿$877), "", 'Data Entry'!$¿$877)</f>
      </c>
      <c r="DX877">
        <f>IF(ISBLANK('Data Entry'!$À$877), "", 'Data Entry'!$À$877)</f>
      </c>
      <c r="DY877">
        <f>IF(ISBLANK('Data Entry'!$Á$877), "", 'Data Entry'!$Á$877)</f>
      </c>
      <c r="DZ877">
        <f>IF(ISBLANK('Data Entry'!$Â$877), "", 'Data Entry'!$Â$877)</f>
      </c>
      <c r="EA877">
        <f>IF(ISBLANK('Data Entry'!$Ã$877), "", 'Data Entry'!$Ã$877)</f>
      </c>
      <c r="EB877">
        <f>IF(ISBLANK('Data Entry'!$Ä$877), "", 'Data Entry'!$Ä$877)</f>
      </c>
      <c r="EC877">
        <f>IF(ISBLANK('Data Entry'!$Å$877), "", 'Data Entry'!$Å$877)</f>
      </c>
      <c r="ED877">
        <f>IF(ISBLANK('Data Entry'!$Æ$877), "", 'Data Entry'!$Æ$877)</f>
      </c>
      <c r="EE877">
        <f>IF(ISBLANK('Data Entry'!$Ç$877), "", 'Data Entry'!$Ç$877)</f>
      </c>
      <c r="EF877">
        <f>IF(ISBLANK('Data Entry'!$È$877), "", 'Data Entry'!$È$877)</f>
      </c>
      <c r="EG877">
        <f>IF(ISBLANK('Data Entry'!$É$877), "", 'Data Entry'!$É$877)</f>
      </c>
      <c r="EH877">
        <f>IF(ISBLANK('Data Entry'!$Ê$877), "", 'Data Entry'!$Ê$877)</f>
      </c>
      <c r="EI877">
        <f>IF(ISBLANK('Data Entry'!$Ë$877), "", 'Data Entry'!$Ë$877)</f>
      </c>
      <c r="EJ877">
        <f>IF(ISBLANK('Data Entry'!$Ì$877), "", 'Data Entry'!$Ì$877)</f>
      </c>
      <c r="EK877">
        <f>IF(ISBLANK('Data Entry'!$Í$877), "", 'Data Entry'!$Í$877)</f>
      </c>
      <c r="EL877">
        <f>IF(ISBLANK('Data Entry'!$Î$877), "", 'Data Entry'!$Î$877)</f>
      </c>
      <c r="EM877">
        <f>IF(ISBLANK('Data Entry'!$Ï$877), "", 'Data Entry'!$Ï$877)</f>
      </c>
      <c r="EN877">
        <f>IF(ISBLANK('Data Entry'!$Ð$877), "", 'Data Entry'!$Ð$877)</f>
      </c>
      <c r="EO877">
        <f>IF(ISBLANK('Data Entry'!$Ñ$877), "", 'Data Entry'!$Ñ$877)</f>
      </c>
      <c r="EP877">
        <f>IF(ISBLANK('Data Entry'!$Ò$877), "", 'Data Entry'!$Ò$877)</f>
      </c>
      <c r="EQ877">
        <f>IF(ISBLANK('Data Entry'!$Ó$877), "", 'Data Entry'!$Ó$877)</f>
      </c>
      <c r="ER877">
        <f>IF(ISBLANK('Data Entry'!$Ô$877), "", 'Data Entry'!$Ô$877)</f>
      </c>
      <c r="ES877">
        <f>IF(ISBLANK('Data Entry'!$Õ$877), "", 'Data Entry'!$Õ$877)</f>
      </c>
      <c r="ET877">
        <f>IF(ISBLANK('Data Entry'!$Ö$877), "", 'Data Entry'!$Ö$877)</f>
      </c>
      <c r="EU877">
        <f>IF(ISBLANK('Data Entry'!$×$877), "", 'Data Entry'!$×$877)</f>
      </c>
      <c r="EV877">
        <f>IF(ISBLANK('Data Entry'!$Ø$877), "", 'Data Entry'!$Ø$877)</f>
      </c>
      <c r="EW877">
        <f>IF(ISBLANK('Data Entry'!$Ù$877), "", 'Data Entry'!$Ù$877)</f>
      </c>
      <c r="EX877">
        <f>IF(ISBLANK('Data Entry'!$Ú$877), "", 'Data Entry'!$Ú$877)</f>
      </c>
      <c r="EY877">
        <f>IF(ISBLANK('Data Entry'!$Û$877), "", 'Data Entry'!$Û$877)</f>
      </c>
      <c r="EZ877">
        <f>IF(ISBLANK('Data Entry'!$Ü$877), "", 'Data Entry'!$Ü$877)</f>
      </c>
      <c r="FA877">
        <f>IF(ISBLANK('Data Entry'!$Ý$877), "", 'Data Entry'!$Ý$877)</f>
      </c>
      <c r="FB877">
        <f>IF(ISBLANK('Data Entry'!$Þ$877), "", 'Data Entry'!$Þ$877)</f>
      </c>
      <c r="FC877">
        <f>IF(ISBLANK('Data Entry'!$ß$877), "", 'Data Entry'!$ß$877)</f>
      </c>
      <c r="FD877">
        <f>IF(ISBLANK('Data Entry'!$à$877), "", 'Data Entry'!$à$877)</f>
      </c>
      <c r="FE877">
        <f>IF(ISBLANK('Data Entry'!$á$877), "", 'Data Entry'!$á$877)</f>
      </c>
      <c r="FF877">
        <f>IF(ISBLANK('Data Entry'!$â$877), "", 'Data Entry'!$â$877)</f>
      </c>
      <c r="FG877">
        <f>IF(ISBLANK('Data Entry'!$ã$877), "", 'Data Entry'!$ã$877)</f>
      </c>
      <c r="FH877">
        <f>IF(ISBLANK('Data Entry'!$ä$877), "", 'Data Entry'!$ä$877)</f>
      </c>
      <c r="FI877">
        <f>IF(ISBLANK('Data Entry'!$å$877), "", 'Data Entry'!$å$877)</f>
      </c>
      <c r="FJ877">
        <f>IF(ISBLANK('Data Entry'!$æ$877), "", 'Data Entry'!$æ$877)</f>
      </c>
      <c r="FK877">
        <f>IF(ISBLANK('Data Entry'!$ç$877), "", 'Data Entry'!$ç$877)</f>
      </c>
      <c r="FL877">
        <f>IF(ISBLANK('Data Entry'!$è$877), "", 'Data Entry'!$è$877)</f>
      </c>
      <c r="FM877">
        <f>IF(ISBLANK('Data Entry'!$é$877), "", 'Data Entry'!$é$877)</f>
      </c>
      <c r="FN877">
        <f>IF(ISBLANK('Data Entry'!$ê$877), "", 'Data Entry'!$ê$877)</f>
      </c>
      <c r="FO877">
        <f>IF(ISBLANK('Data Entry'!$ë$877), "", 'Data Entry'!$ë$877)</f>
      </c>
      <c r="FP877">
        <f>IF(ISBLANK('Data Entry'!$ì$877), "", 'Data Entry'!$ì$877)</f>
      </c>
      <c r="FQ877">
        <f>IF(ISBLANK('Data Entry'!$í$877), "", 'Data Entry'!$í$877)</f>
      </c>
      <c r="FR877">
        <f>IF(ISBLANK('Data Entry'!$î$877), "", 'Data Entry'!$î$877)</f>
      </c>
      <c r="FS877">
        <f>IF(ISBLANK('Data Entry'!$ï$877), "", 'Data Entry'!$ï$877)</f>
      </c>
      <c r="FT877">
        <f>IF(ISBLANK('Data Entry'!$ð$877), "", 'Data Entry'!$ð$877)</f>
      </c>
      <c r="FU877">
        <f>IF(ISBLANK('Data Entry'!$ñ$877), "", 'Data Entry'!$ñ$877)</f>
      </c>
      <c r="FV877">
        <f>IF(ISBLANK('Data Entry'!$ò$877), "", 'Data Entry'!$ò$877)</f>
      </c>
      <c r="FW877">
        <f>IF(ISBLANK('Data Entry'!$ó$877), "", 'Data Entry'!$ó$877)</f>
      </c>
      <c r="FX877">
        <f>IF(ISBLANK('Data Entry'!$ô$877), "", 'Data Entry'!$ô$877)</f>
      </c>
      <c r="FY877">
        <f>IF(ISBLANK('Data Entry'!$õ$877), "", 'Data Entry'!$õ$877)</f>
      </c>
      <c r="FZ877">
        <f>IF(ISBLANK('Data Entry'!$ö$877), "", 'Data Entry'!$ö$877)</f>
      </c>
      <c r="GA877">
        <f>IF(ISBLANK('Data Entry'!$÷$877), "", 'Data Entry'!$÷$877)</f>
      </c>
      <c r="GB877">
        <f>IF(ISBLANK('Data Entry'!$ø$877), "", 'Data Entry'!$ø$877)</f>
      </c>
      <c r="GC877">
        <f>IF(ISBLANK('Data Entry'!$ù$877), "", 'Data Entry'!$ù$877)</f>
      </c>
      <c r="GD877">
        <f>IF(ISBLANK('Data Entry'!$ú$877), "", 'Data Entry'!$ú$877)</f>
      </c>
      <c r="GE877">
        <f>IF(ISBLANK('Data Entry'!$û$877), "", 'Data Entry'!$û$877)</f>
      </c>
      <c r="GF877">
        <f>IF(ISBLANK('Data Entry'!$ü$877), "", 'Data Entry'!$ü$877)</f>
      </c>
      <c r="GG877">
        <f>IF(ISBLANK('Data Entry'!$ý$877), "", 'Data Entry'!$ý$877)</f>
      </c>
      <c r="GH877">
        <f>IF(ISBLANK('Data Entry'!$þ$877), "", 'Data Entry'!$þ$877)</f>
      </c>
      <c r="GI877">
        <f>IF(ISBLANK('Data Entry'!$ÿ$877), "", 'Data Entry'!$ÿ$877)</f>
      </c>
      <c r="GJ877">
        <f>IF(ISBLANK('Data Entry'!$Ā$877), "", 'Data Entry'!$Ā$877)</f>
      </c>
      <c r="GK877">
        <f>IF(ISBLANK('Data Entry'!$ā$877), "", 'Data Entry'!$ā$877)</f>
      </c>
      <c r="GL877">
        <f>IF(ISBLANK('Data Entry'!$Ă$877), "", 'Data Entry'!$Ă$877)</f>
      </c>
      <c r="GM877">
        <f>IF(ISBLANK('Data Entry'!$ă$877), "", 'Data Entry'!$ă$877)</f>
      </c>
      <c r="GN877">
        <f>IF(ISBLANK('Data Entry'!$Ą$877), "", 'Data Entry'!$Ą$877)</f>
      </c>
      <c r="GO877">
        <f>IF(ISBLANK('Data Entry'!$ą$877), "", 'Data Entry'!$ą$877)</f>
      </c>
      <c r="GP877">
        <f>IF(ISBLANK('Data Entry'!$Ć$877), "", 'Data Entry'!$Ć$877)</f>
      </c>
      <c r="GQ877">
        <f>IF(ISBLANK('Data Entry'!$ć$877), "", 'Data Entry'!$ć$877)</f>
      </c>
      <c r="GR877">
        <f>IF(ISBLANK('Data Entry'!$Ĉ$877), "", 'Data Entry'!$Ĉ$877)</f>
      </c>
      <c r="GS877">
        <f>IF(ISBLANK('Data Entry'!$ĉ$877), "", 'Data Entry'!$ĉ$877)</f>
      </c>
      <c r="GT877">
        <f>IF(ISBLANK('Data Entry'!$Ċ$877), "", 'Data Entry'!$Ċ$877)</f>
      </c>
      <c r="GU877">
        <f>IF(ISBLANK('Data Entry'!$ċ$877), "", 'Data Entry'!$ċ$877)</f>
      </c>
      <c r="GV877">
        <f>IF(ISBLANK('Data Entry'!$Č$877), "", 'Data Entry'!$Č$877)</f>
      </c>
      <c r="GW877">
        <f>IF(ISBLANK('Data Entry'!$č$877), "", 'Data Entry'!$č$877)</f>
      </c>
      <c r="GX877">
        <f>IF(ISBLANK('Data Entry'!$Ď$877), "", 'Data Entry'!$Ď$877)</f>
      </c>
      <c r="GY877">
        <f>IF(ISBLANK('Data Entry'!$ď$877), "", 'Data Entry'!$ď$877)</f>
      </c>
      <c r="GZ877">
        <f>IF(ISBLANK('Data Entry'!$Đ$877), "", 'Data Entry'!$Đ$877)</f>
      </c>
      <c r="HA877">
        <f>IF(ISBLANK('Data Entry'!$đ$877), "", 'Data Entry'!$đ$877)</f>
      </c>
      <c r="HB877">
        <f>IF(ISBLANK('Data Entry'!$Ē$877), "", 'Data Entry'!$Ē$877)</f>
      </c>
      <c r="HC877">
        <f>IF(ISBLANK('Data Entry'!$ē$877), "", 'Data Entry'!$ē$877)</f>
      </c>
      <c r="HD877">
        <f>IF(ISBLANK('Data Entry'!$Ĕ$877), "", 'Data Entry'!$Ĕ$877)</f>
      </c>
      <c r="HE877">
        <f>IF(ISBLANK('Data Entry'!$ĕ$877), "", 'Data Entry'!$ĕ$877)</f>
      </c>
      <c r="HF877">
        <f>IF(ISBLANK('Data Entry'!$Ė$877), "", 'Data Entry'!$Ė$877)</f>
      </c>
      <c r="HG877">
        <f>IF(ISBLANK('Data Entry'!$ė$877), "", 'Data Entry'!$ė$877)</f>
      </c>
      <c r="HH877">
        <f>IF(ISBLANK('Data Entry'!$Ę$877), "", 'Data Entry'!$Ę$877)</f>
      </c>
      <c r="HI877">
        <f>IF(ISBLANK('Data Entry'!$ę$877), "", 'Data Entry'!$ę$877)</f>
      </c>
      <c r="HJ877">
        <f>IF(ISBLANK('Data Entry'!$Ě$877), "", 'Data Entry'!$Ě$877)</f>
      </c>
      <c r="HK877">
        <f>IF(ISBLANK('Data Entry'!$ě$877), "", 'Data Entry'!$ě$877)</f>
      </c>
      <c r="HL877">
        <f>IF(ISBLANK('Data Entry'!$Ĝ$877), "", 'Data Entry'!$Ĝ$877)</f>
      </c>
      <c r="HM877">
        <f>IF(ISBLANK('Data Entry'!$ĝ$877), "", 'Data Entry'!$ĝ$877)</f>
      </c>
      <c r="HN877">
        <f>IF(ISBLANK('Data Entry'!$Ğ$877), "", 'Data Entry'!$Ğ$877)</f>
      </c>
      <c r="HO877">
        <f>IF(ISBLANK('Data Entry'!$ğ$877), "", 'Data Entry'!$ğ$877)</f>
      </c>
      <c r="HP877">
        <f>IF(ISBLANK('Data Entry'!$Ġ$877), "", 'Data Entry'!$Ġ$877)</f>
      </c>
      <c r="HQ877">
        <f>IF(ISBLANK('Data Entry'!$ġ$877), "", 'Data Entry'!$ġ$877)</f>
      </c>
      <c r="HR877">
        <f>IF(ISBLANK('Data Entry'!$Ģ$877), "", 'Data Entry'!$Ģ$877)</f>
      </c>
      <c r="HS877">
        <f>IF(ISBLANK('Data Entry'!$ģ$877), "", 'Data Entry'!$ģ$877)</f>
      </c>
      <c r="HT877">
        <f>IF(ISBLANK('Data Entry'!$Ĥ$877), "", 'Data Entry'!$Ĥ$877)</f>
      </c>
      <c r="HU877">
        <f>IF(ISBLANK('Data Entry'!$ĥ$877), "", 'Data Entry'!$ĥ$877)</f>
      </c>
      <c r="HV877">
        <f>IF(ISBLANK('Data Entry'!$Ħ$877), "", 'Data Entry'!$Ħ$877)</f>
      </c>
      <c r="HW877">
        <f>IF(ISBLANK('Data Entry'!$ħ$877), "", 'Data Entry'!$ħ$877)</f>
      </c>
      <c r="HX877">
        <f>IF(ISBLANK('Data Entry'!$Ĩ$877), "", 'Data Entry'!$Ĩ$877)</f>
      </c>
      <c r="HY877">
        <f>IF(ISBLANK('Data Entry'!$ĩ$877), "", 'Data Entry'!$ĩ$877)</f>
      </c>
      <c r="HZ877">
        <f>IF(ISBLANK('Data Entry'!$Ī$877), "", 'Data Entry'!$Ī$877)</f>
      </c>
      <c r="IA877">
        <f>IF(ISBLANK('Data Entry'!$ī$877), "", 'Data Entry'!$ī$877)</f>
      </c>
      <c r="IB877">
        <f>IF(ISBLANK('Data Entry'!$Ĭ$877), "", 'Data Entry'!$Ĭ$877)</f>
      </c>
      <c r="IC877">
        <f>IF(ISBLANK('Data Entry'!$ĭ$877), "", 'Data Entry'!$ĭ$877)</f>
      </c>
      <c r="ID877">
        <f>IF(ISBLANK('Data Entry'!$Į$877), "", 'Data Entry'!$Į$877)</f>
      </c>
      <c r="IE877">
        <f>IF(ISBLANK('Data Entry'!$į$877), "", 'Data Entry'!$į$877)</f>
      </c>
      <c r="IF877">
        <f>IF(ISBLANK('Data Entry'!$İ$877), "", 'Data Entry'!$İ$877)</f>
      </c>
      <c r="IG877">
        <f>IF(ISBLANK('Data Entry'!$ı$877), "", 'Data Entry'!$ı$877)</f>
      </c>
      <c r="IH877">
        <f>IF(ISBLANK('Data Entry'!$Ĳ$877), "", 'Data Entry'!$Ĳ$877)</f>
      </c>
      <c r="II877">
        <f>IF(ISBLANK('Data Entry'!$ĳ$877), "", 'Data Entry'!$ĳ$877)</f>
      </c>
      <c r="IJ877">
        <f>IF(ISBLANK('Data Entry'!$Ĵ$877), "", 'Data Entry'!$Ĵ$877)</f>
      </c>
      <c r="IK877">
        <f>IF(ISBLANK('Data Entry'!$ĵ$877), "", 'Data Entry'!$ĵ$877)</f>
      </c>
      <c r="IL877">
        <f>IF(ISBLANK('Data Entry'!$Ķ$877), "", 'Data Entry'!$Ķ$877)</f>
      </c>
      <c r="IM877">
        <f>IF(ISBLANK('Data Entry'!$ķ$877), "", 'Data Entry'!$ķ$877)</f>
      </c>
      <c r="IN877">
        <f>IF(ISBLANK('Data Entry'!$ĸ$877), "", 'Data Entry'!$ĸ$877)</f>
      </c>
      <c r="IO877">
        <f>IF(ISBLANK('Data Entry'!$Ĺ$877), "", 'Data Entry'!$Ĺ$877)</f>
      </c>
      <c r="IP877">
        <f>IF(ISBLANK('Data Entry'!$ĺ$877), "", 'Data Entry'!$ĺ$877)</f>
      </c>
      <c r="IQ877">
        <f>IF(ISBLANK('Data Entry'!$Ļ$877), "", 'Data Entry'!$Ļ$877)</f>
      </c>
      <c r="IR877">
        <f>IF(ISBLANK('Data Entry'!$ļ$877), "", 'Data Entry'!$ļ$877)</f>
      </c>
      <c r="IS877">
        <f>IF(ISBLANK('Data Entry'!$Ľ$877), "", 'Data Entry'!$Ľ$877)</f>
      </c>
      <c r="IT877">
        <f>IF(ISBLANK('Data Entry'!$ľ$877), "", 'Data Entry'!$ľ$877)</f>
      </c>
    </row>
    <row r="878" spans="1:254" x14ac:dyDescent="0.25">
      <c r="A878">
        <f>IF(ISBLANK('Data Entry'!$A$878), "", 'Data Entry'!$A$878)</f>
      </c>
      <c r="B878">
        <f>IF(ISBLANK('Data Entry'!$B$878), "", 'Data Entry'!$B$878)</f>
      </c>
      <c r="C878">
        <f>IF(ISBLANK('Data Entry'!$C$878), "", 'Data Entry'!$C$878)</f>
      </c>
      <c r="D878">
        <f>IF(ISBLANK('Data Entry'!$D$878), "", 'Data Entry'!$D$878)</f>
      </c>
      <c r="E878">
        <f>IF(ISBLANK('Data Entry'!$E$878), "", 'Data Entry'!$E$878)</f>
      </c>
      <c r="F878">
        <f>IF(ISBLANK('Data Entry'!$F$878), "", 'Data Entry'!$F$878)</f>
      </c>
      <c r="G878">
        <f>IF(ISBLANK('Data Entry'!$G$878), "", 'Data Entry'!$G$878)</f>
      </c>
      <c r="H878">
        <f>IF(ISBLANK('Data Entry'!$H$878), "", 'Data Entry'!$H$878)</f>
      </c>
      <c r="I878">
        <f>IF(ISBLANK('Data Entry'!$I$878), "", 'Data Entry'!$I$878)</f>
      </c>
      <c r="J878">
        <f>IF(ISBLANK('Data Entry'!$J$878), "", 'Data Entry'!$J$878)</f>
      </c>
      <c r="K878">
        <f>IF(ISBLANK('Data Entry'!$K$878), "", 'Data Entry'!$K$878)</f>
      </c>
      <c r="L878">
        <f>IF(ISBLANK('Data Entry'!$L$878), "", 'Data Entry'!$L$878)</f>
      </c>
      <c r="M878">
        <f>IF(ISBLANK('Data Entry'!$M$878), "", 'Data Entry'!$M$878)</f>
      </c>
      <c r="N878">
        <f>IF(ISBLANK('Data Entry'!$N$878), "", 'Data Entry'!$N$878)</f>
      </c>
      <c r="O878">
        <f>IF(ISBLANK('Data Entry'!$O$878), "", 'Data Entry'!$O$878)</f>
      </c>
      <c r="P878">
        <f>IF(ISBLANK('Data Entry'!$P$878), "", 'Data Entry'!$P$878)</f>
      </c>
      <c r="Q878">
        <f>IF(ISBLANK('Data Entry'!$Q$878), "", 'Data Entry'!$Q$878)</f>
      </c>
      <c r="R878">
        <f>IF(ISBLANK('Data Entry'!$R$878), "", 'Data Entry'!$R$878)</f>
      </c>
      <c r="S878">
        <f>IF(ISBLANK('Data Entry'!$S$878), "", 'Data Entry'!$S$878)</f>
      </c>
      <c r="T878">
        <f>IF(ISBLANK('Data Entry'!$T$878), "", 'Data Entry'!$T$878)</f>
      </c>
      <c r="U878">
        <f>IF(ISBLANK('Data Entry'!$U$878), "", 'Data Entry'!$U$878)</f>
      </c>
      <c r="V878">
        <f>IF(ISBLANK('Data Entry'!$V$878), "", 'Data Entry'!$V$878)</f>
      </c>
      <c r="W878">
        <f>IF(ISBLANK('Data Entry'!$W$878), "", 'Data Entry'!$W$878)</f>
      </c>
      <c r="X878">
        <f>IF(ISBLANK('Data Entry'!$X$878), "", 'Data Entry'!$X$878)</f>
      </c>
      <c r="Y878">
        <f>IF(ISBLANK('Data Entry'!$Y$878), "", 'Data Entry'!$Y$878)</f>
      </c>
      <c r="Z878">
        <f>IF(ISBLANK('Data Entry'!$Z$878), "", 'Data Entry'!$Z$878)</f>
      </c>
      <c r="AA878">
        <f>IF(ISBLANK('Data Entry'!$[$878), "", 'Data Entry'!$[$878)</f>
      </c>
      <c r="AB878">
        <f>IF(ISBLANK('Data Entry'!$\$878), "", 'Data Entry'!$\$878)</f>
      </c>
      <c r="AC878">
        <f>IF(ISBLANK('Data Entry'!$]$878), "", 'Data Entry'!$]$878)</f>
      </c>
      <c r="AD878">
        <f>IF(ISBLANK('Data Entry'!$^$878), "", 'Data Entry'!$^$878)</f>
      </c>
      <c r="AE878">
        <f>IF(ISBLANK('Data Entry'!$_$878), "", 'Data Entry'!$_$878)</f>
      </c>
      <c r="AF878">
        <f>IF(ISBLANK('Data Entry'!$`$878), "", 'Data Entry'!$`$878)</f>
      </c>
      <c r="AG878">
        <f>IF(ISBLANK('Data Entry'!$a$878), "", 'Data Entry'!$a$878)</f>
      </c>
      <c r="AH878">
        <f>IF(ISBLANK('Data Entry'!$b$878), "", 'Data Entry'!$b$878)</f>
      </c>
      <c r="AI878">
        <f>IF(ISBLANK('Data Entry'!$c$878), "", 'Data Entry'!$c$878)</f>
      </c>
      <c r="AJ878">
        <f>IF(ISBLANK('Data Entry'!$d$878), "", 'Data Entry'!$d$878)</f>
      </c>
      <c r="AK878">
        <f>IF(ISBLANK('Data Entry'!$e$878), "", 'Data Entry'!$e$878)</f>
      </c>
      <c r="AL878">
        <f>IF(ISBLANK('Data Entry'!$f$878), "", 'Data Entry'!$f$878)</f>
      </c>
      <c r="AM878">
        <f>IF(ISBLANK('Data Entry'!$g$878), "", 'Data Entry'!$g$878)</f>
      </c>
      <c r="AN878">
        <f>IF(ISBLANK('Data Entry'!$h$878), "", 'Data Entry'!$h$878)</f>
      </c>
      <c r="AO878">
        <f>IF(ISBLANK('Data Entry'!$i$878), "", 'Data Entry'!$i$878)</f>
      </c>
      <c r="AP878">
        <f>IF(ISBLANK('Data Entry'!$j$878), "", 'Data Entry'!$j$878)</f>
      </c>
      <c r="AQ878">
        <f>IF(ISBLANK('Data Entry'!$k$878), "", 'Data Entry'!$k$878)</f>
      </c>
      <c r="AR878">
        <f>IF(ISBLANK('Data Entry'!$l$878), "", 'Data Entry'!$l$878)</f>
      </c>
      <c r="AS878">
        <f>IF(ISBLANK('Data Entry'!$m$878), "", 'Data Entry'!$m$878)</f>
      </c>
      <c r="AT878">
        <f>IF(ISBLANK('Data Entry'!$n$878), "", 'Data Entry'!$n$878)</f>
      </c>
      <c r="AU878">
        <f>IF(ISBLANK('Data Entry'!$o$878), "", 'Data Entry'!$o$878)</f>
      </c>
      <c r="AV878">
        <f>IF(ISBLANK('Data Entry'!$p$878), "", 'Data Entry'!$p$878)</f>
      </c>
      <c r="AW878">
        <f>IF(ISBLANK('Data Entry'!$q$878), "", 'Data Entry'!$q$878)</f>
      </c>
      <c r="AX878">
        <f>IF(ISBLANK('Data Entry'!$r$878), "", 'Data Entry'!$r$878)</f>
      </c>
      <c r="AY878">
        <f>IF(ISBLANK('Data Entry'!$s$878), "", 'Data Entry'!$s$878)</f>
      </c>
      <c r="AZ878">
        <f>IF(ISBLANK('Data Entry'!$t$878), "", 'Data Entry'!$t$878)</f>
      </c>
      <c r="BA878">
        <f>IF(ISBLANK('Data Entry'!$u$878), "", 'Data Entry'!$u$878)</f>
      </c>
      <c r="BB878">
        <f>IF(ISBLANK('Data Entry'!$v$878), "", 'Data Entry'!$v$878)</f>
      </c>
      <c r="BC878">
        <f>IF(ISBLANK('Data Entry'!$w$878), "", 'Data Entry'!$w$878)</f>
      </c>
      <c r="BD878">
        <f>IF(ISBLANK('Data Entry'!$x$878), "", 'Data Entry'!$x$878)</f>
      </c>
      <c r="BE878">
        <f>IF(ISBLANK('Data Entry'!$y$878), "", 'Data Entry'!$y$878)</f>
      </c>
      <c r="BF878">
        <f>IF(ISBLANK('Data Entry'!$z$878), "", 'Data Entry'!$z$878)</f>
      </c>
      <c r="BG878">
        <f>IF(ISBLANK('Data Entry'!${$878), "", 'Data Entry'!${$878)</f>
      </c>
      <c r="BH878">
        <f>IF(ISBLANK('Data Entry'!$|$878), "", 'Data Entry'!$|$878)</f>
      </c>
      <c r="BI878">
        <f>IF(ISBLANK('Data Entry'!$}$878), "", 'Data Entry'!$}$878)</f>
      </c>
      <c r="BJ878">
        <f>IF(ISBLANK('Data Entry'!$~$878), "", 'Data Entry'!$~$878)</f>
      </c>
      <c r="BK878">
        <f>IF(ISBLANK('Data Entry'!$$878), "", 'Data Entry'!$$878)</f>
      </c>
      <c r="BL878">
        <f>IF(ISBLANK('Data Entry'!$$878), "", 'Data Entry'!$$878)</f>
      </c>
      <c r="BM878">
        <f>IF(ISBLANK('Data Entry'!$$878), "", 'Data Entry'!$$878)</f>
      </c>
      <c r="BN878">
        <f>IF(ISBLANK('Data Entry'!$$878), "", 'Data Entry'!$$878)</f>
      </c>
      <c r="BO878">
        <f>IF(ISBLANK('Data Entry'!$$878), "", 'Data Entry'!$$878)</f>
      </c>
      <c r="BP878">
        <f>IF(ISBLANK('Data Entry'!$$878), "", 'Data Entry'!$$878)</f>
      </c>
      <c r="BQ878">
        <f>IF(ISBLANK('Data Entry'!$$878), "", 'Data Entry'!$$878)</f>
      </c>
      <c r="BR878">
        <f>IF(ISBLANK('Data Entry'!$$878), "", 'Data Entry'!$$878)</f>
      </c>
      <c r="BS878">
        <f>IF(ISBLANK('Data Entry'!$$878), "", 'Data Entry'!$$878)</f>
      </c>
      <c r="BT878">
        <f>IF(ISBLANK('Data Entry'!$$878), "", 'Data Entry'!$$878)</f>
      </c>
      <c r="BU878">
        <f>IF(ISBLANK('Data Entry'!$$878), "", 'Data Entry'!$$878)</f>
      </c>
      <c r="BV878">
        <f>IF(ISBLANK('Data Entry'!$$878), "", 'Data Entry'!$$878)</f>
      </c>
      <c r="BW878">
        <f>IF(ISBLANK('Data Entry'!$$878), "", 'Data Entry'!$$878)</f>
      </c>
      <c r="BX878">
        <f>IF(ISBLANK('Data Entry'!$$878), "", 'Data Entry'!$$878)</f>
      </c>
      <c r="BY878">
        <f>IF(ISBLANK('Data Entry'!$$878), "", 'Data Entry'!$$878)</f>
      </c>
      <c r="BZ878">
        <f>IF(ISBLANK('Data Entry'!$$878), "", 'Data Entry'!$$878)</f>
      </c>
      <c r="CA878">
        <f>IF(ISBLANK('Data Entry'!$$878), "", 'Data Entry'!$$878)</f>
      </c>
      <c r="CB878">
        <f>IF(ISBLANK('Data Entry'!$$878), "", 'Data Entry'!$$878)</f>
      </c>
      <c r="CC878">
        <f>IF(ISBLANK('Data Entry'!$$878), "", 'Data Entry'!$$878)</f>
      </c>
      <c r="CD878">
        <f>IF(ISBLANK('Data Entry'!$$878), "", 'Data Entry'!$$878)</f>
      </c>
      <c r="CE878">
        <f>IF(ISBLANK('Data Entry'!$$878), "", 'Data Entry'!$$878)</f>
      </c>
      <c r="CF878">
        <f>IF(ISBLANK('Data Entry'!$$878), "", 'Data Entry'!$$878)</f>
      </c>
      <c r="CG878">
        <f>IF(ISBLANK('Data Entry'!$$878), "", 'Data Entry'!$$878)</f>
      </c>
      <c r="CH878">
        <f>IF(ISBLANK('Data Entry'!$$878), "", 'Data Entry'!$$878)</f>
      </c>
      <c r="CI878">
        <f>IF(ISBLANK('Data Entry'!$$878), "", 'Data Entry'!$$878)</f>
      </c>
      <c r="CJ878">
        <f>IF(ISBLANK('Data Entry'!$$878), "", 'Data Entry'!$$878)</f>
      </c>
      <c r="CK878">
        <f>IF(ISBLANK('Data Entry'!$$878), "", 'Data Entry'!$$878)</f>
      </c>
      <c r="CL878">
        <f>IF(ISBLANK('Data Entry'!$$878), "", 'Data Entry'!$$878)</f>
      </c>
      <c r="CM878">
        <f>IF(ISBLANK('Data Entry'!$$878), "", 'Data Entry'!$$878)</f>
      </c>
      <c r="CN878">
        <f>IF(ISBLANK('Data Entry'!$$878), "", 'Data Entry'!$$878)</f>
      </c>
      <c r="CO878">
        <f>IF(ISBLANK('Data Entry'!$$878), "", 'Data Entry'!$$878)</f>
      </c>
      <c r="CP878">
        <f>IF(ISBLANK('Data Entry'!$$878), "", 'Data Entry'!$$878)</f>
      </c>
      <c r="CQ878">
        <f>IF(ISBLANK('Data Entry'!$$878), "", 'Data Entry'!$$878)</f>
      </c>
      <c r="CR878">
        <f>IF(ISBLANK('Data Entry'!$ $878), "", 'Data Entry'!$ $878)</f>
      </c>
      <c r="CS878">
        <f>IF(ISBLANK('Data Entry'!$¡$878), "", 'Data Entry'!$¡$878)</f>
      </c>
      <c r="CT878">
        <f>IF(ISBLANK('Data Entry'!$¢$878), "", 'Data Entry'!$¢$878)</f>
      </c>
      <c r="CU878">
        <f>IF(ISBLANK('Data Entry'!$£$878), "", 'Data Entry'!$£$878)</f>
      </c>
      <c r="CV878">
        <f>IF(ISBLANK('Data Entry'!$¤$878), "", 'Data Entry'!$¤$878)</f>
      </c>
      <c r="CW878">
        <f>IF(ISBLANK('Data Entry'!$¥$878), "", 'Data Entry'!$¥$878)</f>
      </c>
      <c r="CX878">
        <f>IF(ISBLANK('Data Entry'!$¦$878), "", 'Data Entry'!$¦$878)</f>
      </c>
      <c r="CY878">
        <f>IF(ISBLANK('Data Entry'!$§$878), "", 'Data Entry'!$§$878)</f>
      </c>
      <c r="CZ878">
        <f>IF(ISBLANK('Data Entry'!$¨$878), "", 'Data Entry'!$¨$878)</f>
      </c>
      <c r="DA878">
        <f>IF(ISBLANK('Data Entry'!$©$878), "", 'Data Entry'!$©$878)</f>
      </c>
      <c r="DB878">
        <f>IF(ISBLANK('Data Entry'!$ª$878), "", 'Data Entry'!$ª$878)</f>
      </c>
      <c r="DC878">
        <f>IF(ISBLANK('Data Entry'!$«$878), "", 'Data Entry'!$«$878)</f>
      </c>
      <c r="DD878">
        <f>IF(ISBLANK('Data Entry'!$¬$878), "", 'Data Entry'!$¬$878)</f>
      </c>
      <c r="DE878">
        <f>IF(ISBLANK('Data Entry'!$­$878), "", 'Data Entry'!$­$878)</f>
      </c>
      <c r="DF878">
        <f>IF(ISBLANK('Data Entry'!$®$878), "", 'Data Entry'!$®$878)</f>
      </c>
      <c r="DG878">
        <f>IF(ISBLANK('Data Entry'!$¯$878), "", 'Data Entry'!$¯$878)</f>
      </c>
      <c r="DH878">
        <f>IF(ISBLANK('Data Entry'!$°$878), "", 'Data Entry'!$°$878)</f>
      </c>
      <c r="DI878">
        <f>IF(ISBLANK('Data Entry'!$±$878), "", 'Data Entry'!$±$878)</f>
      </c>
      <c r="DJ878">
        <f>IF(ISBLANK('Data Entry'!$²$878), "", 'Data Entry'!$²$878)</f>
      </c>
      <c r="DK878">
        <f>IF(ISBLANK('Data Entry'!$³$878), "", 'Data Entry'!$³$878)</f>
      </c>
      <c r="DL878">
        <f>IF(ISBLANK('Data Entry'!$´$878), "", 'Data Entry'!$´$878)</f>
      </c>
      <c r="DM878">
        <f>IF(ISBLANK('Data Entry'!$µ$878), "", 'Data Entry'!$µ$878)</f>
      </c>
      <c r="DN878">
        <f>IF(ISBLANK('Data Entry'!$¶$878), "", 'Data Entry'!$¶$878)</f>
      </c>
      <c r="DO878">
        <f>IF(ISBLANK('Data Entry'!$·$878), "", 'Data Entry'!$·$878)</f>
      </c>
      <c r="DP878">
        <f>IF(ISBLANK('Data Entry'!$¸$878), "", 'Data Entry'!$¸$878)</f>
      </c>
      <c r="DQ878">
        <f>IF(ISBLANK('Data Entry'!$¹$878), "", 'Data Entry'!$¹$878)</f>
      </c>
      <c r="DR878">
        <f>IF(ISBLANK('Data Entry'!$º$878), "", 'Data Entry'!$º$878)</f>
      </c>
      <c r="DS878">
        <f>IF(ISBLANK('Data Entry'!$»$878), "", 'Data Entry'!$»$878)</f>
      </c>
      <c r="DT878">
        <f>IF(ISBLANK('Data Entry'!$¼$878), "", 'Data Entry'!$¼$878)</f>
      </c>
      <c r="DU878">
        <f>IF(ISBLANK('Data Entry'!$½$878), "", 'Data Entry'!$½$878)</f>
      </c>
      <c r="DV878">
        <f>IF(ISBLANK('Data Entry'!$¾$878), "", 'Data Entry'!$¾$878)</f>
      </c>
      <c r="DW878">
        <f>IF(ISBLANK('Data Entry'!$¿$878), "", 'Data Entry'!$¿$878)</f>
      </c>
      <c r="DX878">
        <f>IF(ISBLANK('Data Entry'!$À$878), "", 'Data Entry'!$À$878)</f>
      </c>
      <c r="DY878">
        <f>IF(ISBLANK('Data Entry'!$Á$878), "", 'Data Entry'!$Á$878)</f>
      </c>
      <c r="DZ878">
        <f>IF(ISBLANK('Data Entry'!$Â$878), "", 'Data Entry'!$Â$878)</f>
      </c>
      <c r="EA878">
        <f>IF(ISBLANK('Data Entry'!$Ã$878), "", 'Data Entry'!$Ã$878)</f>
      </c>
      <c r="EB878">
        <f>IF(ISBLANK('Data Entry'!$Ä$878), "", 'Data Entry'!$Ä$878)</f>
      </c>
      <c r="EC878">
        <f>IF(ISBLANK('Data Entry'!$Å$878), "", 'Data Entry'!$Å$878)</f>
      </c>
      <c r="ED878">
        <f>IF(ISBLANK('Data Entry'!$Æ$878), "", 'Data Entry'!$Æ$878)</f>
      </c>
      <c r="EE878">
        <f>IF(ISBLANK('Data Entry'!$Ç$878), "", 'Data Entry'!$Ç$878)</f>
      </c>
      <c r="EF878">
        <f>IF(ISBLANK('Data Entry'!$È$878), "", 'Data Entry'!$È$878)</f>
      </c>
      <c r="EG878">
        <f>IF(ISBLANK('Data Entry'!$É$878), "", 'Data Entry'!$É$878)</f>
      </c>
      <c r="EH878">
        <f>IF(ISBLANK('Data Entry'!$Ê$878), "", 'Data Entry'!$Ê$878)</f>
      </c>
      <c r="EI878">
        <f>IF(ISBLANK('Data Entry'!$Ë$878), "", 'Data Entry'!$Ë$878)</f>
      </c>
      <c r="EJ878">
        <f>IF(ISBLANK('Data Entry'!$Ì$878), "", 'Data Entry'!$Ì$878)</f>
      </c>
      <c r="EK878">
        <f>IF(ISBLANK('Data Entry'!$Í$878), "", 'Data Entry'!$Í$878)</f>
      </c>
      <c r="EL878">
        <f>IF(ISBLANK('Data Entry'!$Î$878), "", 'Data Entry'!$Î$878)</f>
      </c>
      <c r="EM878">
        <f>IF(ISBLANK('Data Entry'!$Ï$878), "", 'Data Entry'!$Ï$878)</f>
      </c>
      <c r="EN878">
        <f>IF(ISBLANK('Data Entry'!$Ð$878), "", 'Data Entry'!$Ð$878)</f>
      </c>
      <c r="EO878">
        <f>IF(ISBLANK('Data Entry'!$Ñ$878), "", 'Data Entry'!$Ñ$878)</f>
      </c>
      <c r="EP878">
        <f>IF(ISBLANK('Data Entry'!$Ò$878), "", 'Data Entry'!$Ò$878)</f>
      </c>
      <c r="EQ878">
        <f>IF(ISBLANK('Data Entry'!$Ó$878), "", 'Data Entry'!$Ó$878)</f>
      </c>
      <c r="ER878">
        <f>IF(ISBLANK('Data Entry'!$Ô$878), "", 'Data Entry'!$Ô$878)</f>
      </c>
      <c r="ES878">
        <f>IF(ISBLANK('Data Entry'!$Õ$878), "", 'Data Entry'!$Õ$878)</f>
      </c>
      <c r="ET878">
        <f>IF(ISBLANK('Data Entry'!$Ö$878), "", 'Data Entry'!$Ö$878)</f>
      </c>
      <c r="EU878">
        <f>IF(ISBLANK('Data Entry'!$×$878), "", 'Data Entry'!$×$878)</f>
      </c>
      <c r="EV878">
        <f>IF(ISBLANK('Data Entry'!$Ø$878), "", 'Data Entry'!$Ø$878)</f>
      </c>
      <c r="EW878">
        <f>IF(ISBLANK('Data Entry'!$Ù$878), "", 'Data Entry'!$Ù$878)</f>
      </c>
      <c r="EX878">
        <f>IF(ISBLANK('Data Entry'!$Ú$878), "", 'Data Entry'!$Ú$878)</f>
      </c>
      <c r="EY878">
        <f>IF(ISBLANK('Data Entry'!$Û$878), "", 'Data Entry'!$Û$878)</f>
      </c>
      <c r="EZ878">
        <f>IF(ISBLANK('Data Entry'!$Ü$878), "", 'Data Entry'!$Ü$878)</f>
      </c>
      <c r="FA878">
        <f>IF(ISBLANK('Data Entry'!$Ý$878), "", 'Data Entry'!$Ý$878)</f>
      </c>
      <c r="FB878">
        <f>IF(ISBLANK('Data Entry'!$Þ$878), "", 'Data Entry'!$Þ$878)</f>
      </c>
      <c r="FC878">
        <f>IF(ISBLANK('Data Entry'!$ß$878), "", 'Data Entry'!$ß$878)</f>
      </c>
      <c r="FD878">
        <f>IF(ISBLANK('Data Entry'!$à$878), "", 'Data Entry'!$à$878)</f>
      </c>
      <c r="FE878">
        <f>IF(ISBLANK('Data Entry'!$á$878), "", 'Data Entry'!$á$878)</f>
      </c>
      <c r="FF878">
        <f>IF(ISBLANK('Data Entry'!$â$878), "", 'Data Entry'!$â$878)</f>
      </c>
      <c r="FG878">
        <f>IF(ISBLANK('Data Entry'!$ã$878), "", 'Data Entry'!$ã$878)</f>
      </c>
      <c r="FH878">
        <f>IF(ISBLANK('Data Entry'!$ä$878), "", 'Data Entry'!$ä$878)</f>
      </c>
      <c r="FI878">
        <f>IF(ISBLANK('Data Entry'!$å$878), "", 'Data Entry'!$å$878)</f>
      </c>
      <c r="FJ878">
        <f>IF(ISBLANK('Data Entry'!$æ$878), "", 'Data Entry'!$æ$878)</f>
      </c>
      <c r="FK878">
        <f>IF(ISBLANK('Data Entry'!$ç$878), "", 'Data Entry'!$ç$878)</f>
      </c>
      <c r="FL878">
        <f>IF(ISBLANK('Data Entry'!$è$878), "", 'Data Entry'!$è$878)</f>
      </c>
      <c r="FM878">
        <f>IF(ISBLANK('Data Entry'!$é$878), "", 'Data Entry'!$é$878)</f>
      </c>
      <c r="FN878">
        <f>IF(ISBLANK('Data Entry'!$ê$878), "", 'Data Entry'!$ê$878)</f>
      </c>
      <c r="FO878">
        <f>IF(ISBLANK('Data Entry'!$ë$878), "", 'Data Entry'!$ë$878)</f>
      </c>
      <c r="FP878">
        <f>IF(ISBLANK('Data Entry'!$ì$878), "", 'Data Entry'!$ì$878)</f>
      </c>
      <c r="FQ878">
        <f>IF(ISBLANK('Data Entry'!$í$878), "", 'Data Entry'!$í$878)</f>
      </c>
      <c r="FR878">
        <f>IF(ISBLANK('Data Entry'!$î$878), "", 'Data Entry'!$î$878)</f>
      </c>
      <c r="FS878">
        <f>IF(ISBLANK('Data Entry'!$ï$878), "", 'Data Entry'!$ï$878)</f>
      </c>
      <c r="FT878">
        <f>IF(ISBLANK('Data Entry'!$ð$878), "", 'Data Entry'!$ð$878)</f>
      </c>
      <c r="FU878">
        <f>IF(ISBLANK('Data Entry'!$ñ$878), "", 'Data Entry'!$ñ$878)</f>
      </c>
      <c r="FV878">
        <f>IF(ISBLANK('Data Entry'!$ò$878), "", 'Data Entry'!$ò$878)</f>
      </c>
      <c r="FW878">
        <f>IF(ISBLANK('Data Entry'!$ó$878), "", 'Data Entry'!$ó$878)</f>
      </c>
      <c r="FX878">
        <f>IF(ISBLANK('Data Entry'!$ô$878), "", 'Data Entry'!$ô$878)</f>
      </c>
      <c r="FY878">
        <f>IF(ISBLANK('Data Entry'!$õ$878), "", 'Data Entry'!$õ$878)</f>
      </c>
      <c r="FZ878">
        <f>IF(ISBLANK('Data Entry'!$ö$878), "", 'Data Entry'!$ö$878)</f>
      </c>
      <c r="GA878">
        <f>IF(ISBLANK('Data Entry'!$÷$878), "", 'Data Entry'!$÷$878)</f>
      </c>
      <c r="GB878">
        <f>IF(ISBLANK('Data Entry'!$ø$878), "", 'Data Entry'!$ø$878)</f>
      </c>
      <c r="GC878">
        <f>IF(ISBLANK('Data Entry'!$ù$878), "", 'Data Entry'!$ù$878)</f>
      </c>
      <c r="GD878">
        <f>IF(ISBLANK('Data Entry'!$ú$878), "", 'Data Entry'!$ú$878)</f>
      </c>
      <c r="GE878">
        <f>IF(ISBLANK('Data Entry'!$û$878), "", 'Data Entry'!$û$878)</f>
      </c>
      <c r="GF878">
        <f>IF(ISBLANK('Data Entry'!$ü$878), "", 'Data Entry'!$ü$878)</f>
      </c>
      <c r="GG878">
        <f>IF(ISBLANK('Data Entry'!$ý$878), "", 'Data Entry'!$ý$878)</f>
      </c>
      <c r="GH878">
        <f>IF(ISBLANK('Data Entry'!$þ$878), "", 'Data Entry'!$þ$878)</f>
      </c>
      <c r="GI878">
        <f>IF(ISBLANK('Data Entry'!$ÿ$878), "", 'Data Entry'!$ÿ$878)</f>
      </c>
      <c r="GJ878">
        <f>IF(ISBLANK('Data Entry'!$Ā$878), "", 'Data Entry'!$Ā$878)</f>
      </c>
      <c r="GK878">
        <f>IF(ISBLANK('Data Entry'!$ā$878), "", 'Data Entry'!$ā$878)</f>
      </c>
      <c r="GL878">
        <f>IF(ISBLANK('Data Entry'!$Ă$878), "", 'Data Entry'!$Ă$878)</f>
      </c>
      <c r="GM878">
        <f>IF(ISBLANK('Data Entry'!$ă$878), "", 'Data Entry'!$ă$878)</f>
      </c>
      <c r="GN878">
        <f>IF(ISBLANK('Data Entry'!$Ą$878), "", 'Data Entry'!$Ą$878)</f>
      </c>
      <c r="GO878">
        <f>IF(ISBLANK('Data Entry'!$ą$878), "", 'Data Entry'!$ą$878)</f>
      </c>
      <c r="GP878">
        <f>IF(ISBLANK('Data Entry'!$Ć$878), "", 'Data Entry'!$Ć$878)</f>
      </c>
      <c r="GQ878">
        <f>IF(ISBLANK('Data Entry'!$ć$878), "", 'Data Entry'!$ć$878)</f>
      </c>
      <c r="GR878">
        <f>IF(ISBLANK('Data Entry'!$Ĉ$878), "", 'Data Entry'!$Ĉ$878)</f>
      </c>
      <c r="GS878">
        <f>IF(ISBLANK('Data Entry'!$ĉ$878), "", 'Data Entry'!$ĉ$878)</f>
      </c>
      <c r="GT878">
        <f>IF(ISBLANK('Data Entry'!$Ċ$878), "", 'Data Entry'!$Ċ$878)</f>
      </c>
      <c r="GU878">
        <f>IF(ISBLANK('Data Entry'!$ċ$878), "", 'Data Entry'!$ċ$878)</f>
      </c>
      <c r="GV878">
        <f>IF(ISBLANK('Data Entry'!$Č$878), "", 'Data Entry'!$Č$878)</f>
      </c>
      <c r="GW878">
        <f>IF(ISBLANK('Data Entry'!$č$878), "", 'Data Entry'!$č$878)</f>
      </c>
      <c r="GX878">
        <f>IF(ISBLANK('Data Entry'!$Ď$878), "", 'Data Entry'!$Ď$878)</f>
      </c>
      <c r="GY878">
        <f>IF(ISBLANK('Data Entry'!$ď$878), "", 'Data Entry'!$ď$878)</f>
      </c>
      <c r="GZ878">
        <f>IF(ISBLANK('Data Entry'!$Đ$878), "", 'Data Entry'!$Đ$878)</f>
      </c>
      <c r="HA878">
        <f>IF(ISBLANK('Data Entry'!$đ$878), "", 'Data Entry'!$đ$878)</f>
      </c>
      <c r="HB878">
        <f>IF(ISBLANK('Data Entry'!$Ē$878), "", 'Data Entry'!$Ē$878)</f>
      </c>
      <c r="HC878">
        <f>IF(ISBLANK('Data Entry'!$ē$878), "", 'Data Entry'!$ē$878)</f>
      </c>
      <c r="HD878">
        <f>IF(ISBLANK('Data Entry'!$Ĕ$878), "", 'Data Entry'!$Ĕ$878)</f>
      </c>
      <c r="HE878">
        <f>IF(ISBLANK('Data Entry'!$ĕ$878), "", 'Data Entry'!$ĕ$878)</f>
      </c>
      <c r="HF878">
        <f>IF(ISBLANK('Data Entry'!$Ė$878), "", 'Data Entry'!$Ė$878)</f>
      </c>
      <c r="HG878">
        <f>IF(ISBLANK('Data Entry'!$ė$878), "", 'Data Entry'!$ė$878)</f>
      </c>
      <c r="HH878">
        <f>IF(ISBLANK('Data Entry'!$Ę$878), "", 'Data Entry'!$Ę$878)</f>
      </c>
      <c r="HI878">
        <f>IF(ISBLANK('Data Entry'!$ę$878), "", 'Data Entry'!$ę$878)</f>
      </c>
      <c r="HJ878">
        <f>IF(ISBLANK('Data Entry'!$Ě$878), "", 'Data Entry'!$Ě$878)</f>
      </c>
      <c r="HK878">
        <f>IF(ISBLANK('Data Entry'!$ě$878), "", 'Data Entry'!$ě$878)</f>
      </c>
      <c r="HL878">
        <f>IF(ISBLANK('Data Entry'!$Ĝ$878), "", 'Data Entry'!$Ĝ$878)</f>
      </c>
      <c r="HM878">
        <f>IF(ISBLANK('Data Entry'!$ĝ$878), "", 'Data Entry'!$ĝ$878)</f>
      </c>
      <c r="HN878">
        <f>IF(ISBLANK('Data Entry'!$Ğ$878), "", 'Data Entry'!$Ğ$878)</f>
      </c>
      <c r="HO878">
        <f>IF(ISBLANK('Data Entry'!$ğ$878), "", 'Data Entry'!$ğ$878)</f>
      </c>
      <c r="HP878">
        <f>IF(ISBLANK('Data Entry'!$Ġ$878), "", 'Data Entry'!$Ġ$878)</f>
      </c>
      <c r="HQ878">
        <f>IF(ISBLANK('Data Entry'!$ġ$878), "", 'Data Entry'!$ġ$878)</f>
      </c>
      <c r="HR878">
        <f>IF(ISBLANK('Data Entry'!$Ģ$878), "", 'Data Entry'!$Ģ$878)</f>
      </c>
      <c r="HS878">
        <f>IF(ISBLANK('Data Entry'!$ģ$878), "", 'Data Entry'!$ģ$878)</f>
      </c>
      <c r="HT878">
        <f>IF(ISBLANK('Data Entry'!$Ĥ$878), "", 'Data Entry'!$Ĥ$878)</f>
      </c>
      <c r="HU878">
        <f>IF(ISBLANK('Data Entry'!$ĥ$878), "", 'Data Entry'!$ĥ$878)</f>
      </c>
      <c r="HV878">
        <f>IF(ISBLANK('Data Entry'!$Ħ$878), "", 'Data Entry'!$Ħ$878)</f>
      </c>
      <c r="HW878">
        <f>IF(ISBLANK('Data Entry'!$ħ$878), "", 'Data Entry'!$ħ$878)</f>
      </c>
      <c r="HX878">
        <f>IF(ISBLANK('Data Entry'!$Ĩ$878), "", 'Data Entry'!$Ĩ$878)</f>
      </c>
      <c r="HY878">
        <f>IF(ISBLANK('Data Entry'!$ĩ$878), "", 'Data Entry'!$ĩ$878)</f>
      </c>
      <c r="HZ878">
        <f>IF(ISBLANK('Data Entry'!$Ī$878), "", 'Data Entry'!$Ī$878)</f>
      </c>
      <c r="IA878">
        <f>IF(ISBLANK('Data Entry'!$ī$878), "", 'Data Entry'!$ī$878)</f>
      </c>
      <c r="IB878">
        <f>IF(ISBLANK('Data Entry'!$Ĭ$878), "", 'Data Entry'!$Ĭ$878)</f>
      </c>
      <c r="IC878">
        <f>IF(ISBLANK('Data Entry'!$ĭ$878), "", 'Data Entry'!$ĭ$878)</f>
      </c>
      <c r="ID878">
        <f>IF(ISBLANK('Data Entry'!$Į$878), "", 'Data Entry'!$Į$878)</f>
      </c>
      <c r="IE878">
        <f>IF(ISBLANK('Data Entry'!$į$878), "", 'Data Entry'!$į$878)</f>
      </c>
      <c r="IF878">
        <f>IF(ISBLANK('Data Entry'!$İ$878), "", 'Data Entry'!$İ$878)</f>
      </c>
      <c r="IG878">
        <f>IF(ISBLANK('Data Entry'!$ı$878), "", 'Data Entry'!$ı$878)</f>
      </c>
      <c r="IH878">
        <f>IF(ISBLANK('Data Entry'!$Ĳ$878), "", 'Data Entry'!$Ĳ$878)</f>
      </c>
      <c r="II878">
        <f>IF(ISBLANK('Data Entry'!$ĳ$878), "", 'Data Entry'!$ĳ$878)</f>
      </c>
      <c r="IJ878">
        <f>IF(ISBLANK('Data Entry'!$Ĵ$878), "", 'Data Entry'!$Ĵ$878)</f>
      </c>
      <c r="IK878">
        <f>IF(ISBLANK('Data Entry'!$ĵ$878), "", 'Data Entry'!$ĵ$878)</f>
      </c>
      <c r="IL878">
        <f>IF(ISBLANK('Data Entry'!$Ķ$878), "", 'Data Entry'!$Ķ$878)</f>
      </c>
      <c r="IM878">
        <f>IF(ISBLANK('Data Entry'!$ķ$878), "", 'Data Entry'!$ķ$878)</f>
      </c>
      <c r="IN878">
        <f>IF(ISBLANK('Data Entry'!$ĸ$878), "", 'Data Entry'!$ĸ$878)</f>
      </c>
      <c r="IO878">
        <f>IF(ISBLANK('Data Entry'!$Ĺ$878), "", 'Data Entry'!$Ĺ$878)</f>
      </c>
      <c r="IP878">
        <f>IF(ISBLANK('Data Entry'!$ĺ$878), "", 'Data Entry'!$ĺ$878)</f>
      </c>
      <c r="IQ878">
        <f>IF(ISBLANK('Data Entry'!$Ļ$878), "", 'Data Entry'!$Ļ$878)</f>
      </c>
      <c r="IR878">
        <f>IF(ISBLANK('Data Entry'!$ļ$878), "", 'Data Entry'!$ļ$878)</f>
      </c>
      <c r="IS878">
        <f>IF(ISBLANK('Data Entry'!$Ľ$878), "", 'Data Entry'!$Ľ$878)</f>
      </c>
      <c r="IT878">
        <f>IF(ISBLANK('Data Entry'!$ľ$878), "", 'Data Entry'!$ľ$878)</f>
      </c>
    </row>
    <row r="879" spans="1:254" x14ac:dyDescent="0.25">
      <c r="A879">
        <f>IF(ISBLANK('Data Entry'!$A$879), "", 'Data Entry'!$A$879)</f>
      </c>
      <c r="B879">
        <f>IF(ISBLANK('Data Entry'!$B$879), "", 'Data Entry'!$B$879)</f>
      </c>
      <c r="C879">
        <f>IF(ISBLANK('Data Entry'!$C$879), "", 'Data Entry'!$C$879)</f>
      </c>
      <c r="D879">
        <f>IF(ISBLANK('Data Entry'!$D$879), "", 'Data Entry'!$D$879)</f>
      </c>
      <c r="E879">
        <f>IF(ISBLANK('Data Entry'!$E$879), "", 'Data Entry'!$E$879)</f>
      </c>
      <c r="F879">
        <f>IF(ISBLANK('Data Entry'!$F$879), "", 'Data Entry'!$F$879)</f>
      </c>
      <c r="G879">
        <f>IF(ISBLANK('Data Entry'!$G$879), "", 'Data Entry'!$G$879)</f>
      </c>
      <c r="H879">
        <f>IF(ISBLANK('Data Entry'!$H$879), "", 'Data Entry'!$H$879)</f>
      </c>
      <c r="I879">
        <f>IF(ISBLANK('Data Entry'!$I$879), "", 'Data Entry'!$I$879)</f>
      </c>
      <c r="J879">
        <f>IF(ISBLANK('Data Entry'!$J$879), "", 'Data Entry'!$J$879)</f>
      </c>
      <c r="K879">
        <f>IF(ISBLANK('Data Entry'!$K$879), "", 'Data Entry'!$K$879)</f>
      </c>
      <c r="L879">
        <f>IF(ISBLANK('Data Entry'!$L$879), "", 'Data Entry'!$L$879)</f>
      </c>
      <c r="M879">
        <f>IF(ISBLANK('Data Entry'!$M$879), "", 'Data Entry'!$M$879)</f>
      </c>
      <c r="N879">
        <f>IF(ISBLANK('Data Entry'!$N$879), "", 'Data Entry'!$N$879)</f>
      </c>
      <c r="O879">
        <f>IF(ISBLANK('Data Entry'!$O$879), "", 'Data Entry'!$O$879)</f>
      </c>
      <c r="P879">
        <f>IF(ISBLANK('Data Entry'!$P$879), "", 'Data Entry'!$P$879)</f>
      </c>
      <c r="Q879">
        <f>IF(ISBLANK('Data Entry'!$Q$879), "", 'Data Entry'!$Q$879)</f>
      </c>
      <c r="R879">
        <f>IF(ISBLANK('Data Entry'!$R$879), "", 'Data Entry'!$R$879)</f>
      </c>
      <c r="S879">
        <f>IF(ISBLANK('Data Entry'!$S$879), "", 'Data Entry'!$S$879)</f>
      </c>
      <c r="T879">
        <f>IF(ISBLANK('Data Entry'!$T$879), "", 'Data Entry'!$T$879)</f>
      </c>
      <c r="U879">
        <f>IF(ISBLANK('Data Entry'!$U$879), "", 'Data Entry'!$U$879)</f>
      </c>
      <c r="V879">
        <f>IF(ISBLANK('Data Entry'!$V$879), "", 'Data Entry'!$V$879)</f>
      </c>
      <c r="W879">
        <f>IF(ISBLANK('Data Entry'!$W$879), "", 'Data Entry'!$W$879)</f>
      </c>
      <c r="X879">
        <f>IF(ISBLANK('Data Entry'!$X$879), "", 'Data Entry'!$X$879)</f>
      </c>
      <c r="Y879">
        <f>IF(ISBLANK('Data Entry'!$Y$879), "", 'Data Entry'!$Y$879)</f>
      </c>
      <c r="Z879">
        <f>IF(ISBLANK('Data Entry'!$Z$879), "", 'Data Entry'!$Z$879)</f>
      </c>
      <c r="AA879">
        <f>IF(ISBLANK('Data Entry'!$[$879), "", 'Data Entry'!$[$879)</f>
      </c>
      <c r="AB879">
        <f>IF(ISBLANK('Data Entry'!$\$879), "", 'Data Entry'!$\$879)</f>
      </c>
      <c r="AC879">
        <f>IF(ISBLANK('Data Entry'!$]$879), "", 'Data Entry'!$]$879)</f>
      </c>
      <c r="AD879">
        <f>IF(ISBLANK('Data Entry'!$^$879), "", 'Data Entry'!$^$879)</f>
      </c>
      <c r="AE879">
        <f>IF(ISBLANK('Data Entry'!$_$879), "", 'Data Entry'!$_$879)</f>
      </c>
      <c r="AF879">
        <f>IF(ISBLANK('Data Entry'!$`$879), "", 'Data Entry'!$`$879)</f>
      </c>
      <c r="AG879">
        <f>IF(ISBLANK('Data Entry'!$a$879), "", 'Data Entry'!$a$879)</f>
      </c>
      <c r="AH879">
        <f>IF(ISBLANK('Data Entry'!$b$879), "", 'Data Entry'!$b$879)</f>
      </c>
      <c r="AI879">
        <f>IF(ISBLANK('Data Entry'!$c$879), "", 'Data Entry'!$c$879)</f>
      </c>
      <c r="AJ879">
        <f>IF(ISBLANK('Data Entry'!$d$879), "", 'Data Entry'!$d$879)</f>
      </c>
      <c r="AK879">
        <f>IF(ISBLANK('Data Entry'!$e$879), "", 'Data Entry'!$e$879)</f>
      </c>
      <c r="AL879">
        <f>IF(ISBLANK('Data Entry'!$f$879), "", 'Data Entry'!$f$879)</f>
      </c>
      <c r="AM879">
        <f>IF(ISBLANK('Data Entry'!$g$879), "", 'Data Entry'!$g$879)</f>
      </c>
      <c r="AN879">
        <f>IF(ISBLANK('Data Entry'!$h$879), "", 'Data Entry'!$h$879)</f>
      </c>
      <c r="AO879">
        <f>IF(ISBLANK('Data Entry'!$i$879), "", 'Data Entry'!$i$879)</f>
      </c>
      <c r="AP879">
        <f>IF(ISBLANK('Data Entry'!$j$879), "", 'Data Entry'!$j$879)</f>
      </c>
      <c r="AQ879">
        <f>IF(ISBLANK('Data Entry'!$k$879), "", 'Data Entry'!$k$879)</f>
      </c>
      <c r="AR879">
        <f>IF(ISBLANK('Data Entry'!$l$879), "", 'Data Entry'!$l$879)</f>
      </c>
      <c r="AS879">
        <f>IF(ISBLANK('Data Entry'!$m$879), "", 'Data Entry'!$m$879)</f>
      </c>
      <c r="AT879">
        <f>IF(ISBLANK('Data Entry'!$n$879), "", 'Data Entry'!$n$879)</f>
      </c>
      <c r="AU879">
        <f>IF(ISBLANK('Data Entry'!$o$879), "", 'Data Entry'!$o$879)</f>
      </c>
      <c r="AV879">
        <f>IF(ISBLANK('Data Entry'!$p$879), "", 'Data Entry'!$p$879)</f>
      </c>
      <c r="AW879">
        <f>IF(ISBLANK('Data Entry'!$q$879), "", 'Data Entry'!$q$879)</f>
      </c>
      <c r="AX879">
        <f>IF(ISBLANK('Data Entry'!$r$879), "", 'Data Entry'!$r$879)</f>
      </c>
      <c r="AY879">
        <f>IF(ISBLANK('Data Entry'!$s$879), "", 'Data Entry'!$s$879)</f>
      </c>
      <c r="AZ879">
        <f>IF(ISBLANK('Data Entry'!$t$879), "", 'Data Entry'!$t$879)</f>
      </c>
      <c r="BA879">
        <f>IF(ISBLANK('Data Entry'!$u$879), "", 'Data Entry'!$u$879)</f>
      </c>
      <c r="BB879">
        <f>IF(ISBLANK('Data Entry'!$v$879), "", 'Data Entry'!$v$879)</f>
      </c>
      <c r="BC879">
        <f>IF(ISBLANK('Data Entry'!$w$879), "", 'Data Entry'!$w$879)</f>
      </c>
      <c r="BD879">
        <f>IF(ISBLANK('Data Entry'!$x$879), "", 'Data Entry'!$x$879)</f>
      </c>
      <c r="BE879">
        <f>IF(ISBLANK('Data Entry'!$y$879), "", 'Data Entry'!$y$879)</f>
      </c>
      <c r="BF879">
        <f>IF(ISBLANK('Data Entry'!$z$879), "", 'Data Entry'!$z$879)</f>
      </c>
      <c r="BG879">
        <f>IF(ISBLANK('Data Entry'!${$879), "", 'Data Entry'!${$879)</f>
      </c>
      <c r="BH879">
        <f>IF(ISBLANK('Data Entry'!$|$879), "", 'Data Entry'!$|$879)</f>
      </c>
      <c r="BI879">
        <f>IF(ISBLANK('Data Entry'!$}$879), "", 'Data Entry'!$}$879)</f>
      </c>
      <c r="BJ879">
        <f>IF(ISBLANK('Data Entry'!$~$879), "", 'Data Entry'!$~$879)</f>
      </c>
      <c r="BK879">
        <f>IF(ISBLANK('Data Entry'!$$879), "", 'Data Entry'!$$879)</f>
      </c>
      <c r="BL879">
        <f>IF(ISBLANK('Data Entry'!$$879), "", 'Data Entry'!$$879)</f>
      </c>
      <c r="BM879">
        <f>IF(ISBLANK('Data Entry'!$$879), "", 'Data Entry'!$$879)</f>
      </c>
      <c r="BN879">
        <f>IF(ISBLANK('Data Entry'!$$879), "", 'Data Entry'!$$879)</f>
      </c>
      <c r="BO879">
        <f>IF(ISBLANK('Data Entry'!$$879), "", 'Data Entry'!$$879)</f>
      </c>
      <c r="BP879">
        <f>IF(ISBLANK('Data Entry'!$$879), "", 'Data Entry'!$$879)</f>
      </c>
      <c r="BQ879">
        <f>IF(ISBLANK('Data Entry'!$$879), "", 'Data Entry'!$$879)</f>
      </c>
      <c r="BR879">
        <f>IF(ISBLANK('Data Entry'!$$879), "", 'Data Entry'!$$879)</f>
      </c>
      <c r="BS879">
        <f>IF(ISBLANK('Data Entry'!$$879), "", 'Data Entry'!$$879)</f>
      </c>
      <c r="BT879">
        <f>IF(ISBLANK('Data Entry'!$$879), "", 'Data Entry'!$$879)</f>
      </c>
      <c r="BU879">
        <f>IF(ISBLANK('Data Entry'!$$879), "", 'Data Entry'!$$879)</f>
      </c>
      <c r="BV879">
        <f>IF(ISBLANK('Data Entry'!$$879), "", 'Data Entry'!$$879)</f>
      </c>
      <c r="BW879">
        <f>IF(ISBLANK('Data Entry'!$$879), "", 'Data Entry'!$$879)</f>
      </c>
      <c r="BX879">
        <f>IF(ISBLANK('Data Entry'!$$879), "", 'Data Entry'!$$879)</f>
      </c>
      <c r="BY879">
        <f>IF(ISBLANK('Data Entry'!$$879), "", 'Data Entry'!$$879)</f>
      </c>
      <c r="BZ879">
        <f>IF(ISBLANK('Data Entry'!$$879), "", 'Data Entry'!$$879)</f>
      </c>
      <c r="CA879">
        <f>IF(ISBLANK('Data Entry'!$$879), "", 'Data Entry'!$$879)</f>
      </c>
      <c r="CB879">
        <f>IF(ISBLANK('Data Entry'!$$879), "", 'Data Entry'!$$879)</f>
      </c>
      <c r="CC879">
        <f>IF(ISBLANK('Data Entry'!$$879), "", 'Data Entry'!$$879)</f>
      </c>
      <c r="CD879">
        <f>IF(ISBLANK('Data Entry'!$$879), "", 'Data Entry'!$$879)</f>
      </c>
      <c r="CE879">
        <f>IF(ISBLANK('Data Entry'!$$879), "", 'Data Entry'!$$879)</f>
      </c>
      <c r="CF879">
        <f>IF(ISBLANK('Data Entry'!$$879), "", 'Data Entry'!$$879)</f>
      </c>
      <c r="CG879">
        <f>IF(ISBLANK('Data Entry'!$$879), "", 'Data Entry'!$$879)</f>
      </c>
      <c r="CH879">
        <f>IF(ISBLANK('Data Entry'!$$879), "", 'Data Entry'!$$879)</f>
      </c>
      <c r="CI879">
        <f>IF(ISBLANK('Data Entry'!$$879), "", 'Data Entry'!$$879)</f>
      </c>
      <c r="CJ879">
        <f>IF(ISBLANK('Data Entry'!$$879), "", 'Data Entry'!$$879)</f>
      </c>
      <c r="CK879">
        <f>IF(ISBLANK('Data Entry'!$$879), "", 'Data Entry'!$$879)</f>
      </c>
      <c r="CL879">
        <f>IF(ISBLANK('Data Entry'!$$879), "", 'Data Entry'!$$879)</f>
      </c>
      <c r="CM879">
        <f>IF(ISBLANK('Data Entry'!$$879), "", 'Data Entry'!$$879)</f>
      </c>
      <c r="CN879">
        <f>IF(ISBLANK('Data Entry'!$$879), "", 'Data Entry'!$$879)</f>
      </c>
      <c r="CO879">
        <f>IF(ISBLANK('Data Entry'!$$879), "", 'Data Entry'!$$879)</f>
      </c>
      <c r="CP879">
        <f>IF(ISBLANK('Data Entry'!$$879), "", 'Data Entry'!$$879)</f>
      </c>
      <c r="CQ879">
        <f>IF(ISBLANK('Data Entry'!$$879), "", 'Data Entry'!$$879)</f>
      </c>
      <c r="CR879">
        <f>IF(ISBLANK('Data Entry'!$ $879), "", 'Data Entry'!$ $879)</f>
      </c>
      <c r="CS879">
        <f>IF(ISBLANK('Data Entry'!$¡$879), "", 'Data Entry'!$¡$879)</f>
      </c>
      <c r="CT879">
        <f>IF(ISBLANK('Data Entry'!$¢$879), "", 'Data Entry'!$¢$879)</f>
      </c>
      <c r="CU879">
        <f>IF(ISBLANK('Data Entry'!$£$879), "", 'Data Entry'!$£$879)</f>
      </c>
      <c r="CV879">
        <f>IF(ISBLANK('Data Entry'!$¤$879), "", 'Data Entry'!$¤$879)</f>
      </c>
      <c r="CW879">
        <f>IF(ISBLANK('Data Entry'!$¥$879), "", 'Data Entry'!$¥$879)</f>
      </c>
      <c r="CX879">
        <f>IF(ISBLANK('Data Entry'!$¦$879), "", 'Data Entry'!$¦$879)</f>
      </c>
      <c r="CY879">
        <f>IF(ISBLANK('Data Entry'!$§$879), "", 'Data Entry'!$§$879)</f>
      </c>
      <c r="CZ879">
        <f>IF(ISBLANK('Data Entry'!$¨$879), "", 'Data Entry'!$¨$879)</f>
      </c>
      <c r="DA879">
        <f>IF(ISBLANK('Data Entry'!$©$879), "", 'Data Entry'!$©$879)</f>
      </c>
      <c r="DB879">
        <f>IF(ISBLANK('Data Entry'!$ª$879), "", 'Data Entry'!$ª$879)</f>
      </c>
      <c r="DC879">
        <f>IF(ISBLANK('Data Entry'!$«$879), "", 'Data Entry'!$«$879)</f>
      </c>
      <c r="DD879">
        <f>IF(ISBLANK('Data Entry'!$¬$879), "", 'Data Entry'!$¬$879)</f>
      </c>
      <c r="DE879">
        <f>IF(ISBLANK('Data Entry'!$­$879), "", 'Data Entry'!$­$879)</f>
      </c>
      <c r="DF879">
        <f>IF(ISBLANK('Data Entry'!$®$879), "", 'Data Entry'!$®$879)</f>
      </c>
      <c r="DG879">
        <f>IF(ISBLANK('Data Entry'!$¯$879), "", 'Data Entry'!$¯$879)</f>
      </c>
      <c r="DH879">
        <f>IF(ISBLANK('Data Entry'!$°$879), "", 'Data Entry'!$°$879)</f>
      </c>
      <c r="DI879">
        <f>IF(ISBLANK('Data Entry'!$±$879), "", 'Data Entry'!$±$879)</f>
      </c>
      <c r="DJ879">
        <f>IF(ISBLANK('Data Entry'!$²$879), "", 'Data Entry'!$²$879)</f>
      </c>
      <c r="DK879">
        <f>IF(ISBLANK('Data Entry'!$³$879), "", 'Data Entry'!$³$879)</f>
      </c>
      <c r="DL879">
        <f>IF(ISBLANK('Data Entry'!$´$879), "", 'Data Entry'!$´$879)</f>
      </c>
      <c r="DM879">
        <f>IF(ISBLANK('Data Entry'!$µ$879), "", 'Data Entry'!$µ$879)</f>
      </c>
      <c r="DN879">
        <f>IF(ISBLANK('Data Entry'!$¶$879), "", 'Data Entry'!$¶$879)</f>
      </c>
      <c r="DO879">
        <f>IF(ISBLANK('Data Entry'!$·$879), "", 'Data Entry'!$·$879)</f>
      </c>
      <c r="DP879">
        <f>IF(ISBLANK('Data Entry'!$¸$879), "", 'Data Entry'!$¸$879)</f>
      </c>
      <c r="DQ879">
        <f>IF(ISBLANK('Data Entry'!$¹$879), "", 'Data Entry'!$¹$879)</f>
      </c>
      <c r="DR879">
        <f>IF(ISBLANK('Data Entry'!$º$879), "", 'Data Entry'!$º$879)</f>
      </c>
      <c r="DS879">
        <f>IF(ISBLANK('Data Entry'!$»$879), "", 'Data Entry'!$»$879)</f>
      </c>
      <c r="DT879">
        <f>IF(ISBLANK('Data Entry'!$¼$879), "", 'Data Entry'!$¼$879)</f>
      </c>
      <c r="DU879">
        <f>IF(ISBLANK('Data Entry'!$½$879), "", 'Data Entry'!$½$879)</f>
      </c>
      <c r="DV879">
        <f>IF(ISBLANK('Data Entry'!$¾$879), "", 'Data Entry'!$¾$879)</f>
      </c>
      <c r="DW879">
        <f>IF(ISBLANK('Data Entry'!$¿$879), "", 'Data Entry'!$¿$879)</f>
      </c>
      <c r="DX879">
        <f>IF(ISBLANK('Data Entry'!$À$879), "", 'Data Entry'!$À$879)</f>
      </c>
      <c r="DY879">
        <f>IF(ISBLANK('Data Entry'!$Á$879), "", 'Data Entry'!$Á$879)</f>
      </c>
      <c r="DZ879">
        <f>IF(ISBLANK('Data Entry'!$Â$879), "", 'Data Entry'!$Â$879)</f>
      </c>
      <c r="EA879">
        <f>IF(ISBLANK('Data Entry'!$Ã$879), "", 'Data Entry'!$Ã$879)</f>
      </c>
      <c r="EB879">
        <f>IF(ISBLANK('Data Entry'!$Ä$879), "", 'Data Entry'!$Ä$879)</f>
      </c>
      <c r="EC879">
        <f>IF(ISBLANK('Data Entry'!$Å$879), "", 'Data Entry'!$Å$879)</f>
      </c>
      <c r="ED879">
        <f>IF(ISBLANK('Data Entry'!$Æ$879), "", 'Data Entry'!$Æ$879)</f>
      </c>
      <c r="EE879">
        <f>IF(ISBLANK('Data Entry'!$Ç$879), "", 'Data Entry'!$Ç$879)</f>
      </c>
      <c r="EF879">
        <f>IF(ISBLANK('Data Entry'!$È$879), "", 'Data Entry'!$È$879)</f>
      </c>
      <c r="EG879">
        <f>IF(ISBLANK('Data Entry'!$É$879), "", 'Data Entry'!$É$879)</f>
      </c>
      <c r="EH879">
        <f>IF(ISBLANK('Data Entry'!$Ê$879), "", 'Data Entry'!$Ê$879)</f>
      </c>
      <c r="EI879">
        <f>IF(ISBLANK('Data Entry'!$Ë$879), "", 'Data Entry'!$Ë$879)</f>
      </c>
      <c r="EJ879">
        <f>IF(ISBLANK('Data Entry'!$Ì$879), "", 'Data Entry'!$Ì$879)</f>
      </c>
      <c r="EK879">
        <f>IF(ISBLANK('Data Entry'!$Í$879), "", 'Data Entry'!$Í$879)</f>
      </c>
      <c r="EL879">
        <f>IF(ISBLANK('Data Entry'!$Î$879), "", 'Data Entry'!$Î$879)</f>
      </c>
      <c r="EM879">
        <f>IF(ISBLANK('Data Entry'!$Ï$879), "", 'Data Entry'!$Ï$879)</f>
      </c>
      <c r="EN879">
        <f>IF(ISBLANK('Data Entry'!$Ð$879), "", 'Data Entry'!$Ð$879)</f>
      </c>
      <c r="EO879">
        <f>IF(ISBLANK('Data Entry'!$Ñ$879), "", 'Data Entry'!$Ñ$879)</f>
      </c>
      <c r="EP879">
        <f>IF(ISBLANK('Data Entry'!$Ò$879), "", 'Data Entry'!$Ò$879)</f>
      </c>
      <c r="EQ879">
        <f>IF(ISBLANK('Data Entry'!$Ó$879), "", 'Data Entry'!$Ó$879)</f>
      </c>
      <c r="ER879">
        <f>IF(ISBLANK('Data Entry'!$Ô$879), "", 'Data Entry'!$Ô$879)</f>
      </c>
      <c r="ES879">
        <f>IF(ISBLANK('Data Entry'!$Õ$879), "", 'Data Entry'!$Õ$879)</f>
      </c>
      <c r="ET879">
        <f>IF(ISBLANK('Data Entry'!$Ö$879), "", 'Data Entry'!$Ö$879)</f>
      </c>
      <c r="EU879">
        <f>IF(ISBLANK('Data Entry'!$×$879), "", 'Data Entry'!$×$879)</f>
      </c>
      <c r="EV879">
        <f>IF(ISBLANK('Data Entry'!$Ø$879), "", 'Data Entry'!$Ø$879)</f>
      </c>
      <c r="EW879">
        <f>IF(ISBLANK('Data Entry'!$Ù$879), "", 'Data Entry'!$Ù$879)</f>
      </c>
      <c r="EX879">
        <f>IF(ISBLANK('Data Entry'!$Ú$879), "", 'Data Entry'!$Ú$879)</f>
      </c>
      <c r="EY879">
        <f>IF(ISBLANK('Data Entry'!$Û$879), "", 'Data Entry'!$Û$879)</f>
      </c>
      <c r="EZ879">
        <f>IF(ISBLANK('Data Entry'!$Ü$879), "", 'Data Entry'!$Ü$879)</f>
      </c>
      <c r="FA879">
        <f>IF(ISBLANK('Data Entry'!$Ý$879), "", 'Data Entry'!$Ý$879)</f>
      </c>
      <c r="FB879">
        <f>IF(ISBLANK('Data Entry'!$Þ$879), "", 'Data Entry'!$Þ$879)</f>
      </c>
      <c r="FC879">
        <f>IF(ISBLANK('Data Entry'!$ß$879), "", 'Data Entry'!$ß$879)</f>
      </c>
      <c r="FD879">
        <f>IF(ISBLANK('Data Entry'!$à$879), "", 'Data Entry'!$à$879)</f>
      </c>
      <c r="FE879">
        <f>IF(ISBLANK('Data Entry'!$á$879), "", 'Data Entry'!$á$879)</f>
      </c>
      <c r="FF879">
        <f>IF(ISBLANK('Data Entry'!$â$879), "", 'Data Entry'!$â$879)</f>
      </c>
      <c r="FG879">
        <f>IF(ISBLANK('Data Entry'!$ã$879), "", 'Data Entry'!$ã$879)</f>
      </c>
      <c r="FH879">
        <f>IF(ISBLANK('Data Entry'!$ä$879), "", 'Data Entry'!$ä$879)</f>
      </c>
      <c r="FI879">
        <f>IF(ISBLANK('Data Entry'!$å$879), "", 'Data Entry'!$å$879)</f>
      </c>
      <c r="FJ879">
        <f>IF(ISBLANK('Data Entry'!$æ$879), "", 'Data Entry'!$æ$879)</f>
      </c>
      <c r="FK879">
        <f>IF(ISBLANK('Data Entry'!$ç$879), "", 'Data Entry'!$ç$879)</f>
      </c>
      <c r="FL879">
        <f>IF(ISBLANK('Data Entry'!$è$879), "", 'Data Entry'!$è$879)</f>
      </c>
      <c r="FM879">
        <f>IF(ISBLANK('Data Entry'!$é$879), "", 'Data Entry'!$é$879)</f>
      </c>
      <c r="FN879">
        <f>IF(ISBLANK('Data Entry'!$ê$879), "", 'Data Entry'!$ê$879)</f>
      </c>
      <c r="FO879">
        <f>IF(ISBLANK('Data Entry'!$ë$879), "", 'Data Entry'!$ë$879)</f>
      </c>
      <c r="FP879">
        <f>IF(ISBLANK('Data Entry'!$ì$879), "", 'Data Entry'!$ì$879)</f>
      </c>
      <c r="FQ879">
        <f>IF(ISBLANK('Data Entry'!$í$879), "", 'Data Entry'!$í$879)</f>
      </c>
      <c r="FR879">
        <f>IF(ISBLANK('Data Entry'!$î$879), "", 'Data Entry'!$î$879)</f>
      </c>
      <c r="FS879">
        <f>IF(ISBLANK('Data Entry'!$ï$879), "", 'Data Entry'!$ï$879)</f>
      </c>
      <c r="FT879">
        <f>IF(ISBLANK('Data Entry'!$ð$879), "", 'Data Entry'!$ð$879)</f>
      </c>
      <c r="FU879">
        <f>IF(ISBLANK('Data Entry'!$ñ$879), "", 'Data Entry'!$ñ$879)</f>
      </c>
      <c r="FV879">
        <f>IF(ISBLANK('Data Entry'!$ò$879), "", 'Data Entry'!$ò$879)</f>
      </c>
      <c r="FW879">
        <f>IF(ISBLANK('Data Entry'!$ó$879), "", 'Data Entry'!$ó$879)</f>
      </c>
      <c r="FX879">
        <f>IF(ISBLANK('Data Entry'!$ô$879), "", 'Data Entry'!$ô$879)</f>
      </c>
      <c r="FY879">
        <f>IF(ISBLANK('Data Entry'!$õ$879), "", 'Data Entry'!$õ$879)</f>
      </c>
      <c r="FZ879">
        <f>IF(ISBLANK('Data Entry'!$ö$879), "", 'Data Entry'!$ö$879)</f>
      </c>
      <c r="GA879">
        <f>IF(ISBLANK('Data Entry'!$÷$879), "", 'Data Entry'!$÷$879)</f>
      </c>
      <c r="GB879">
        <f>IF(ISBLANK('Data Entry'!$ø$879), "", 'Data Entry'!$ø$879)</f>
      </c>
      <c r="GC879">
        <f>IF(ISBLANK('Data Entry'!$ù$879), "", 'Data Entry'!$ù$879)</f>
      </c>
      <c r="GD879">
        <f>IF(ISBLANK('Data Entry'!$ú$879), "", 'Data Entry'!$ú$879)</f>
      </c>
      <c r="GE879">
        <f>IF(ISBLANK('Data Entry'!$û$879), "", 'Data Entry'!$û$879)</f>
      </c>
      <c r="GF879">
        <f>IF(ISBLANK('Data Entry'!$ü$879), "", 'Data Entry'!$ü$879)</f>
      </c>
      <c r="GG879">
        <f>IF(ISBLANK('Data Entry'!$ý$879), "", 'Data Entry'!$ý$879)</f>
      </c>
      <c r="GH879">
        <f>IF(ISBLANK('Data Entry'!$þ$879), "", 'Data Entry'!$þ$879)</f>
      </c>
      <c r="GI879">
        <f>IF(ISBLANK('Data Entry'!$ÿ$879), "", 'Data Entry'!$ÿ$879)</f>
      </c>
      <c r="GJ879">
        <f>IF(ISBLANK('Data Entry'!$Ā$879), "", 'Data Entry'!$Ā$879)</f>
      </c>
      <c r="GK879">
        <f>IF(ISBLANK('Data Entry'!$ā$879), "", 'Data Entry'!$ā$879)</f>
      </c>
      <c r="GL879">
        <f>IF(ISBLANK('Data Entry'!$Ă$879), "", 'Data Entry'!$Ă$879)</f>
      </c>
      <c r="GM879">
        <f>IF(ISBLANK('Data Entry'!$ă$879), "", 'Data Entry'!$ă$879)</f>
      </c>
      <c r="GN879">
        <f>IF(ISBLANK('Data Entry'!$Ą$879), "", 'Data Entry'!$Ą$879)</f>
      </c>
      <c r="GO879">
        <f>IF(ISBLANK('Data Entry'!$ą$879), "", 'Data Entry'!$ą$879)</f>
      </c>
      <c r="GP879">
        <f>IF(ISBLANK('Data Entry'!$Ć$879), "", 'Data Entry'!$Ć$879)</f>
      </c>
      <c r="GQ879">
        <f>IF(ISBLANK('Data Entry'!$ć$879), "", 'Data Entry'!$ć$879)</f>
      </c>
      <c r="GR879">
        <f>IF(ISBLANK('Data Entry'!$Ĉ$879), "", 'Data Entry'!$Ĉ$879)</f>
      </c>
      <c r="GS879">
        <f>IF(ISBLANK('Data Entry'!$ĉ$879), "", 'Data Entry'!$ĉ$879)</f>
      </c>
      <c r="GT879">
        <f>IF(ISBLANK('Data Entry'!$Ċ$879), "", 'Data Entry'!$Ċ$879)</f>
      </c>
      <c r="GU879">
        <f>IF(ISBLANK('Data Entry'!$ċ$879), "", 'Data Entry'!$ċ$879)</f>
      </c>
      <c r="GV879">
        <f>IF(ISBLANK('Data Entry'!$Č$879), "", 'Data Entry'!$Č$879)</f>
      </c>
      <c r="GW879">
        <f>IF(ISBLANK('Data Entry'!$č$879), "", 'Data Entry'!$č$879)</f>
      </c>
      <c r="GX879">
        <f>IF(ISBLANK('Data Entry'!$Ď$879), "", 'Data Entry'!$Ď$879)</f>
      </c>
      <c r="GY879">
        <f>IF(ISBLANK('Data Entry'!$ď$879), "", 'Data Entry'!$ď$879)</f>
      </c>
      <c r="GZ879">
        <f>IF(ISBLANK('Data Entry'!$Đ$879), "", 'Data Entry'!$Đ$879)</f>
      </c>
      <c r="HA879">
        <f>IF(ISBLANK('Data Entry'!$đ$879), "", 'Data Entry'!$đ$879)</f>
      </c>
      <c r="HB879">
        <f>IF(ISBLANK('Data Entry'!$Ē$879), "", 'Data Entry'!$Ē$879)</f>
      </c>
      <c r="HC879">
        <f>IF(ISBLANK('Data Entry'!$ē$879), "", 'Data Entry'!$ē$879)</f>
      </c>
      <c r="HD879">
        <f>IF(ISBLANK('Data Entry'!$Ĕ$879), "", 'Data Entry'!$Ĕ$879)</f>
      </c>
      <c r="HE879">
        <f>IF(ISBLANK('Data Entry'!$ĕ$879), "", 'Data Entry'!$ĕ$879)</f>
      </c>
      <c r="HF879">
        <f>IF(ISBLANK('Data Entry'!$Ė$879), "", 'Data Entry'!$Ė$879)</f>
      </c>
      <c r="HG879">
        <f>IF(ISBLANK('Data Entry'!$ė$879), "", 'Data Entry'!$ė$879)</f>
      </c>
      <c r="HH879">
        <f>IF(ISBLANK('Data Entry'!$Ę$879), "", 'Data Entry'!$Ę$879)</f>
      </c>
      <c r="HI879">
        <f>IF(ISBLANK('Data Entry'!$ę$879), "", 'Data Entry'!$ę$879)</f>
      </c>
      <c r="HJ879">
        <f>IF(ISBLANK('Data Entry'!$Ě$879), "", 'Data Entry'!$Ě$879)</f>
      </c>
      <c r="HK879">
        <f>IF(ISBLANK('Data Entry'!$ě$879), "", 'Data Entry'!$ě$879)</f>
      </c>
      <c r="HL879">
        <f>IF(ISBLANK('Data Entry'!$Ĝ$879), "", 'Data Entry'!$Ĝ$879)</f>
      </c>
      <c r="HM879">
        <f>IF(ISBLANK('Data Entry'!$ĝ$879), "", 'Data Entry'!$ĝ$879)</f>
      </c>
      <c r="HN879">
        <f>IF(ISBLANK('Data Entry'!$Ğ$879), "", 'Data Entry'!$Ğ$879)</f>
      </c>
      <c r="HO879">
        <f>IF(ISBLANK('Data Entry'!$ğ$879), "", 'Data Entry'!$ğ$879)</f>
      </c>
      <c r="HP879">
        <f>IF(ISBLANK('Data Entry'!$Ġ$879), "", 'Data Entry'!$Ġ$879)</f>
      </c>
      <c r="HQ879">
        <f>IF(ISBLANK('Data Entry'!$ġ$879), "", 'Data Entry'!$ġ$879)</f>
      </c>
      <c r="HR879">
        <f>IF(ISBLANK('Data Entry'!$Ģ$879), "", 'Data Entry'!$Ģ$879)</f>
      </c>
      <c r="HS879">
        <f>IF(ISBLANK('Data Entry'!$ģ$879), "", 'Data Entry'!$ģ$879)</f>
      </c>
      <c r="HT879">
        <f>IF(ISBLANK('Data Entry'!$Ĥ$879), "", 'Data Entry'!$Ĥ$879)</f>
      </c>
      <c r="HU879">
        <f>IF(ISBLANK('Data Entry'!$ĥ$879), "", 'Data Entry'!$ĥ$879)</f>
      </c>
      <c r="HV879">
        <f>IF(ISBLANK('Data Entry'!$Ħ$879), "", 'Data Entry'!$Ħ$879)</f>
      </c>
      <c r="HW879">
        <f>IF(ISBLANK('Data Entry'!$ħ$879), "", 'Data Entry'!$ħ$879)</f>
      </c>
      <c r="HX879">
        <f>IF(ISBLANK('Data Entry'!$Ĩ$879), "", 'Data Entry'!$Ĩ$879)</f>
      </c>
      <c r="HY879">
        <f>IF(ISBLANK('Data Entry'!$ĩ$879), "", 'Data Entry'!$ĩ$879)</f>
      </c>
      <c r="HZ879">
        <f>IF(ISBLANK('Data Entry'!$Ī$879), "", 'Data Entry'!$Ī$879)</f>
      </c>
      <c r="IA879">
        <f>IF(ISBLANK('Data Entry'!$ī$879), "", 'Data Entry'!$ī$879)</f>
      </c>
      <c r="IB879">
        <f>IF(ISBLANK('Data Entry'!$Ĭ$879), "", 'Data Entry'!$Ĭ$879)</f>
      </c>
      <c r="IC879">
        <f>IF(ISBLANK('Data Entry'!$ĭ$879), "", 'Data Entry'!$ĭ$879)</f>
      </c>
      <c r="ID879">
        <f>IF(ISBLANK('Data Entry'!$Į$879), "", 'Data Entry'!$Į$879)</f>
      </c>
      <c r="IE879">
        <f>IF(ISBLANK('Data Entry'!$į$879), "", 'Data Entry'!$į$879)</f>
      </c>
      <c r="IF879">
        <f>IF(ISBLANK('Data Entry'!$İ$879), "", 'Data Entry'!$İ$879)</f>
      </c>
      <c r="IG879">
        <f>IF(ISBLANK('Data Entry'!$ı$879), "", 'Data Entry'!$ı$879)</f>
      </c>
      <c r="IH879">
        <f>IF(ISBLANK('Data Entry'!$Ĳ$879), "", 'Data Entry'!$Ĳ$879)</f>
      </c>
      <c r="II879">
        <f>IF(ISBLANK('Data Entry'!$ĳ$879), "", 'Data Entry'!$ĳ$879)</f>
      </c>
      <c r="IJ879">
        <f>IF(ISBLANK('Data Entry'!$Ĵ$879), "", 'Data Entry'!$Ĵ$879)</f>
      </c>
      <c r="IK879">
        <f>IF(ISBLANK('Data Entry'!$ĵ$879), "", 'Data Entry'!$ĵ$879)</f>
      </c>
      <c r="IL879">
        <f>IF(ISBLANK('Data Entry'!$Ķ$879), "", 'Data Entry'!$Ķ$879)</f>
      </c>
      <c r="IM879">
        <f>IF(ISBLANK('Data Entry'!$ķ$879), "", 'Data Entry'!$ķ$879)</f>
      </c>
      <c r="IN879">
        <f>IF(ISBLANK('Data Entry'!$ĸ$879), "", 'Data Entry'!$ĸ$879)</f>
      </c>
      <c r="IO879">
        <f>IF(ISBLANK('Data Entry'!$Ĺ$879), "", 'Data Entry'!$Ĺ$879)</f>
      </c>
      <c r="IP879">
        <f>IF(ISBLANK('Data Entry'!$ĺ$879), "", 'Data Entry'!$ĺ$879)</f>
      </c>
      <c r="IQ879">
        <f>IF(ISBLANK('Data Entry'!$Ļ$879), "", 'Data Entry'!$Ļ$879)</f>
      </c>
      <c r="IR879">
        <f>IF(ISBLANK('Data Entry'!$ļ$879), "", 'Data Entry'!$ļ$879)</f>
      </c>
      <c r="IS879">
        <f>IF(ISBLANK('Data Entry'!$Ľ$879), "", 'Data Entry'!$Ľ$879)</f>
      </c>
      <c r="IT879">
        <f>IF(ISBLANK('Data Entry'!$ľ$879), "", 'Data Entry'!$ľ$879)</f>
      </c>
    </row>
    <row r="880" spans="1:254" x14ac:dyDescent="0.25">
      <c r="A880">
        <f>IF(ISBLANK('Data Entry'!$A$880), "", 'Data Entry'!$A$880)</f>
      </c>
      <c r="B880">
        <f>IF(ISBLANK('Data Entry'!$B$880), "", 'Data Entry'!$B$880)</f>
      </c>
      <c r="C880">
        <f>IF(ISBLANK('Data Entry'!$C$880), "", 'Data Entry'!$C$880)</f>
      </c>
      <c r="D880">
        <f>IF(ISBLANK('Data Entry'!$D$880), "", 'Data Entry'!$D$880)</f>
      </c>
      <c r="E880">
        <f>IF(ISBLANK('Data Entry'!$E$880), "", 'Data Entry'!$E$880)</f>
      </c>
      <c r="F880">
        <f>IF(ISBLANK('Data Entry'!$F$880), "", 'Data Entry'!$F$880)</f>
      </c>
      <c r="G880">
        <f>IF(ISBLANK('Data Entry'!$G$880), "", 'Data Entry'!$G$880)</f>
      </c>
      <c r="H880">
        <f>IF(ISBLANK('Data Entry'!$H$880), "", 'Data Entry'!$H$880)</f>
      </c>
      <c r="I880">
        <f>IF(ISBLANK('Data Entry'!$I$880), "", 'Data Entry'!$I$880)</f>
      </c>
      <c r="J880">
        <f>IF(ISBLANK('Data Entry'!$J$880), "", 'Data Entry'!$J$880)</f>
      </c>
      <c r="K880">
        <f>IF(ISBLANK('Data Entry'!$K$880), "", 'Data Entry'!$K$880)</f>
      </c>
      <c r="L880">
        <f>IF(ISBLANK('Data Entry'!$L$880), "", 'Data Entry'!$L$880)</f>
      </c>
      <c r="M880">
        <f>IF(ISBLANK('Data Entry'!$M$880), "", 'Data Entry'!$M$880)</f>
      </c>
      <c r="N880">
        <f>IF(ISBLANK('Data Entry'!$N$880), "", 'Data Entry'!$N$880)</f>
      </c>
      <c r="O880">
        <f>IF(ISBLANK('Data Entry'!$O$880), "", 'Data Entry'!$O$880)</f>
      </c>
      <c r="P880">
        <f>IF(ISBLANK('Data Entry'!$P$880), "", 'Data Entry'!$P$880)</f>
      </c>
      <c r="Q880">
        <f>IF(ISBLANK('Data Entry'!$Q$880), "", 'Data Entry'!$Q$880)</f>
      </c>
      <c r="R880">
        <f>IF(ISBLANK('Data Entry'!$R$880), "", 'Data Entry'!$R$880)</f>
      </c>
      <c r="S880">
        <f>IF(ISBLANK('Data Entry'!$S$880), "", 'Data Entry'!$S$880)</f>
      </c>
      <c r="T880">
        <f>IF(ISBLANK('Data Entry'!$T$880), "", 'Data Entry'!$T$880)</f>
      </c>
      <c r="U880">
        <f>IF(ISBLANK('Data Entry'!$U$880), "", 'Data Entry'!$U$880)</f>
      </c>
      <c r="V880">
        <f>IF(ISBLANK('Data Entry'!$V$880), "", 'Data Entry'!$V$880)</f>
      </c>
      <c r="W880">
        <f>IF(ISBLANK('Data Entry'!$W$880), "", 'Data Entry'!$W$880)</f>
      </c>
      <c r="X880">
        <f>IF(ISBLANK('Data Entry'!$X$880), "", 'Data Entry'!$X$880)</f>
      </c>
      <c r="Y880">
        <f>IF(ISBLANK('Data Entry'!$Y$880), "", 'Data Entry'!$Y$880)</f>
      </c>
      <c r="Z880">
        <f>IF(ISBLANK('Data Entry'!$Z$880), "", 'Data Entry'!$Z$880)</f>
      </c>
      <c r="AA880">
        <f>IF(ISBLANK('Data Entry'!$[$880), "", 'Data Entry'!$[$880)</f>
      </c>
      <c r="AB880">
        <f>IF(ISBLANK('Data Entry'!$\$880), "", 'Data Entry'!$\$880)</f>
      </c>
      <c r="AC880">
        <f>IF(ISBLANK('Data Entry'!$]$880), "", 'Data Entry'!$]$880)</f>
      </c>
      <c r="AD880">
        <f>IF(ISBLANK('Data Entry'!$^$880), "", 'Data Entry'!$^$880)</f>
      </c>
      <c r="AE880">
        <f>IF(ISBLANK('Data Entry'!$_$880), "", 'Data Entry'!$_$880)</f>
      </c>
      <c r="AF880">
        <f>IF(ISBLANK('Data Entry'!$`$880), "", 'Data Entry'!$`$880)</f>
      </c>
      <c r="AG880">
        <f>IF(ISBLANK('Data Entry'!$a$880), "", 'Data Entry'!$a$880)</f>
      </c>
      <c r="AH880">
        <f>IF(ISBLANK('Data Entry'!$b$880), "", 'Data Entry'!$b$880)</f>
      </c>
      <c r="AI880">
        <f>IF(ISBLANK('Data Entry'!$c$880), "", 'Data Entry'!$c$880)</f>
      </c>
      <c r="AJ880">
        <f>IF(ISBLANK('Data Entry'!$d$880), "", 'Data Entry'!$d$880)</f>
      </c>
      <c r="AK880">
        <f>IF(ISBLANK('Data Entry'!$e$880), "", 'Data Entry'!$e$880)</f>
      </c>
      <c r="AL880">
        <f>IF(ISBLANK('Data Entry'!$f$880), "", 'Data Entry'!$f$880)</f>
      </c>
      <c r="AM880">
        <f>IF(ISBLANK('Data Entry'!$g$880), "", 'Data Entry'!$g$880)</f>
      </c>
      <c r="AN880">
        <f>IF(ISBLANK('Data Entry'!$h$880), "", 'Data Entry'!$h$880)</f>
      </c>
      <c r="AO880">
        <f>IF(ISBLANK('Data Entry'!$i$880), "", 'Data Entry'!$i$880)</f>
      </c>
      <c r="AP880">
        <f>IF(ISBLANK('Data Entry'!$j$880), "", 'Data Entry'!$j$880)</f>
      </c>
      <c r="AQ880">
        <f>IF(ISBLANK('Data Entry'!$k$880), "", 'Data Entry'!$k$880)</f>
      </c>
      <c r="AR880">
        <f>IF(ISBLANK('Data Entry'!$l$880), "", 'Data Entry'!$l$880)</f>
      </c>
      <c r="AS880">
        <f>IF(ISBLANK('Data Entry'!$m$880), "", 'Data Entry'!$m$880)</f>
      </c>
      <c r="AT880">
        <f>IF(ISBLANK('Data Entry'!$n$880), "", 'Data Entry'!$n$880)</f>
      </c>
      <c r="AU880">
        <f>IF(ISBLANK('Data Entry'!$o$880), "", 'Data Entry'!$o$880)</f>
      </c>
      <c r="AV880">
        <f>IF(ISBLANK('Data Entry'!$p$880), "", 'Data Entry'!$p$880)</f>
      </c>
      <c r="AW880">
        <f>IF(ISBLANK('Data Entry'!$q$880), "", 'Data Entry'!$q$880)</f>
      </c>
      <c r="AX880">
        <f>IF(ISBLANK('Data Entry'!$r$880), "", 'Data Entry'!$r$880)</f>
      </c>
      <c r="AY880">
        <f>IF(ISBLANK('Data Entry'!$s$880), "", 'Data Entry'!$s$880)</f>
      </c>
      <c r="AZ880">
        <f>IF(ISBLANK('Data Entry'!$t$880), "", 'Data Entry'!$t$880)</f>
      </c>
      <c r="BA880">
        <f>IF(ISBLANK('Data Entry'!$u$880), "", 'Data Entry'!$u$880)</f>
      </c>
      <c r="BB880">
        <f>IF(ISBLANK('Data Entry'!$v$880), "", 'Data Entry'!$v$880)</f>
      </c>
      <c r="BC880">
        <f>IF(ISBLANK('Data Entry'!$w$880), "", 'Data Entry'!$w$880)</f>
      </c>
      <c r="BD880">
        <f>IF(ISBLANK('Data Entry'!$x$880), "", 'Data Entry'!$x$880)</f>
      </c>
      <c r="BE880">
        <f>IF(ISBLANK('Data Entry'!$y$880), "", 'Data Entry'!$y$880)</f>
      </c>
      <c r="BF880">
        <f>IF(ISBLANK('Data Entry'!$z$880), "", 'Data Entry'!$z$880)</f>
      </c>
      <c r="BG880">
        <f>IF(ISBLANK('Data Entry'!${$880), "", 'Data Entry'!${$880)</f>
      </c>
      <c r="BH880">
        <f>IF(ISBLANK('Data Entry'!$|$880), "", 'Data Entry'!$|$880)</f>
      </c>
      <c r="BI880">
        <f>IF(ISBLANK('Data Entry'!$}$880), "", 'Data Entry'!$}$880)</f>
      </c>
      <c r="BJ880">
        <f>IF(ISBLANK('Data Entry'!$~$880), "", 'Data Entry'!$~$880)</f>
      </c>
      <c r="BK880">
        <f>IF(ISBLANK('Data Entry'!$$880), "", 'Data Entry'!$$880)</f>
      </c>
      <c r="BL880">
        <f>IF(ISBLANK('Data Entry'!$$880), "", 'Data Entry'!$$880)</f>
      </c>
      <c r="BM880">
        <f>IF(ISBLANK('Data Entry'!$$880), "", 'Data Entry'!$$880)</f>
      </c>
      <c r="BN880">
        <f>IF(ISBLANK('Data Entry'!$$880), "", 'Data Entry'!$$880)</f>
      </c>
      <c r="BO880">
        <f>IF(ISBLANK('Data Entry'!$$880), "", 'Data Entry'!$$880)</f>
      </c>
      <c r="BP880">
        <f>IF(ISBLANK('Data Entry'!$$880), "", 'Data Entry'!$$880)</f>
      </c>
      <c r="BQ880">
        <f>IF(ISBLANK('Data Entry'!$$880), "", 'Data Entry'!$$880)</f>
      </c>
      <c r="BR880">
        <f>IF(ISBLANK('Data Entry'!$$880), "", 'Data Entry'!$$880)</f>
      </c>
      <c r="BS880">
        <f>IF(ISBLANK('Data Entry'!$$880), "", 'Data Entry'!$$880)</f>
      </c>
      <c r="BT880">
        <f>IF(ISBLANK('Data Entry'!$$880), "", 'Data Entry'!$$880)</f>
      </c>
      <c r="BU880">
        <f>IF(ISBLANK('Data Entry'!$$880), "", 'Data Entry'!$$880)</f>
      </c>
      <c r="BV880">
        <f>IF(ISBLANK('Data Entry'!$$880), "", 'Data Entry'!$$880)</f>
      </c>
      <c r="BW880">
        <f>IF(ISBLANK('Data Entry'!$$880), "", 'Data Entry'!$$880)</f>
      </c>
      <c r="BX880">
        <f>IF(ISBLANK('Data Entry'!$$880), "", 'Data Entry'!$$880)</f>
      </c>
      <c r="BY880">
        <f>IF(ISBLANK('Data Entry'!$$880), "", 'Data Entry'!$$880)</f>
      </c>
      <c r="BZ880">
        <f>IF(ISBLANK('Data Entry'!$$880), "", 'Data Entry'!$$880)</f>
      </c>
      <c r="CA880">
        <f>IF(ISBLANK('Data Entry'!$$880), "", 'Data Entry'!$$880)</f>
      </c>
      <c r="CB880">
        <f>IF(ISBLANK('Data Entry'!$$880), "", 'Data Entry'!$$880)</f>
      </c>
      <c r="CC880">
        <f>IF(ISBLANK('Data Entry'!$$880), "", 'Data Entry'!$$880)</f>
      </c>
      <c r="CD880">
        <f>IF(ISBLANK('Data Entry'!$$880), "", 'Data Entry'!$$880)</f>
      </c>
      <c r="CE880">
        <f>IF(ISBLANK('Data Entry'!$$880), "", 'Data Entry'!$$880)</f>
      </c>
      <c r="CF880">
        <f>IF(ISBLANK('Data Entry'!$$880), "", 'Data Entry'!$$880)</f>
      </c>
      <c r="CG880">
        <f>IF(ISBLANK('Data Entry'!$$880), "", 'Data Entry'!$$880)</f>
      </c>
      <c r="CH880">
        <f>IF(ISBLANK('Data Entry'!$$880), "", 'Data Entry'!$$880)</f>
      </c>
      <c r="CI880">
        <f>IF(ISBLANK('Data Entry'!$$880), "", 'Data Entry'!$$880)</f>
      </c>
      <c r="CJ880">
        <f>IF(ISBLANK('Data Entry'!$$880), "", 'Data Entry'!$$880)</f>
      </c>
      <c r="CK880">
        <f>IF(ISBLANK('Data Entry'!$$880), "", 'Data Entry'!$$880)</f>
      </c>
      <c r="CL880">
        <f>IF(ISBLANK('Data Entry'!$$880), "", 'Data Entry'!$$880)</f>
      </c>
      <c r="CM880">
        <f>IF(ISBLANK('Data Entry'!$$880), "", 'Data Entry'!$$880)</f>
      </c>
      <c r="CN880">
        <f>IF(ISBLANK('Data Entry'!$$880), "", 'Data Entry'!$$880)</f>
      </c>
      <c r="CO880">
        <f>IF(ISBLANK('Data Entry'!$$880), "", 'Data Entry'!$$880)</f>
      </c>
      <c r="CP880">
        <f>IF(ISBLANK('Data Entry'!$$880), "", 'Data Entry'!$$880)</f>
      </c>
      <c r="CQ880">
        <f>IF(ISBLANK('Data Entry'!$$880), "", 'Data Entry'!$$880)</f>
      </c>
      <c r="CR880">
        <f>IF(ISBLANK('Data Entry'!$ $880), "", 'Data Entry'!$ $880)</f>
      </c>
      <c r="CS880">
        <f>IF(ISBLANK('Data Entry'!$¡$880), "", 'Data Entry'!$¡$880)</f>
      </c>
      <c r="CT880">
        <f>IF(ISBLANK('Data Entry'!$¢$880), "", 'Data Entry'!$¢$880)</f>
      </c>
      <c r="CU880">
        <f>IF(ISBLANK('Data Entry'!$£$880), "", 'Data Entry'!$£$880)</f>
      </c>
      <c r="CV880">
        <f>IF(ISBLANK('Data Entry'!$¤$880), "", 'Data Entry'!$¤$880)</f>
      </c>
      <c r="CW880">
        <f>IF(ISBLANK('Data Entry'!$¥$880), "", 'Data Entry'!$¥$880)</f>
      </c>
      <c r="CX880">
        <f>IF(ISBLANK('Data Entry'!$¦$880), "", 'Data Entry'!$¦$880)</f>
      </c>
      <c r="CY880">
        <f>IF(ISBLANK('Data Entry'!$§$880), "", 'Data Entry'!$§$880)</f>
      </c>
      <c r="CZ880">
        <f>IF(ISBLANK('Data Entry'!$¨$880), "", 'Data Entry'!$¨$880)</f>
      </c>
      <c r="DA880">
        <f>IF(ISBLANK('Data Entry'!$©$880), "", 'Data Entry'!$©$880)</f>
      </c>
      <c r="DB880">
        <f>IF(ISBLANK('Data Entry'!$ª$880), "", 'Data Entry'!$ª$880)</f>
      </c>
      <c r="DC880">
        <f>IF(ISBLANK('Data Entry'!$«$880), "", 'Data Entry'!$«$880)</f>
      </c>
      <c r="DD880">
        <f>IF(ISBLANK('Data Entry'!$¬$880), "", 'Data Entry'!$¬$880)</f>
      </c>
      <c r="DE880">
        <f>IF(ISBLANK('Data Entry'!$­$880), "", 'Data Entry'!$­$880)</f>
      </c>
      <c r="DF880">
        <f>IF(ISBLANK('Data Entry'!$®$880), "", 'Data Entry'!$®$880)</f>
      </c>
      <c r="DG880">
        <f>IF(ISBLANK('Data Entry'!$¯$880), "", 'Data Entry'!$¯$880)</f>
      </c>
      <c r="DH880">
        <f>IF(ISBLANK('Data Entry'!$°$880), "", 'Data Entry'!$°$880)</f>
      </c>
      <c r="DI880">
        <f>IF(ISBLANK('Data Entry'!$±$880), "", 'Data Entry'!$±$880)</f>
      </c>
      <c r="DJ880">
        <f>IF(ISBLANK('Data Entry'!$²$880), "", 'Data Entry'!$²$880)</f>
      </c>
      <c r="DK880">
        <f>IF(ISBLANK('Data Entry'!$³$880), "", 'Data Entry'!$³$880)</f>
      </c>
      <c r="DL880">
        <f>IF(ISBLANK('Data Entry'!$´$880), "", 'Data Entry'!$´$880)</f>
      </c>
      <c r="DM880">
        <f>IF(ISBLANK('Data Entry'!$µ$880), "", 'Data Entry'!$µ$880)</f>
      </c>
      <c r="DN880">
        <f>IF(ISBLANK('Data Entry'!$¶$880), "", 'Data Entry'!$¶$880)</f>
      </c>
      <c r="DO880">
        <f>IF(ISBLANK('Data Entry'!$·$880), "", 'Data Entry'!$·$880)</f>
      </c>
      <c r="DP880">
        <f>IF(ISBLANK('Data Entry'!$¸$880), "", 'Data Entry'!$¸$880)</f>
      </c>
      <c r="DQ880">
        <f>IF(ISBLANK('Data Entry'!$¹$880), "", 'Data Entry'!$¹$880)</f>
      </c>
      <c r="DR880">
        <f>IF(ISBLANK('Data Entry'!$º$880), "", 'Data Entry'!$º$880)</f>
      </c>
      <c r="DS880">
        <f>IF(ISBLANK('Data Entry'!$»$880), "", 'Data Entry'!$»$880)</f>
      </c>
      <c r="DT880">
        <f>IF(ISBLANK('Data Entry'!$¼$880), "", 'Data Entry'!$¼$880)</f>
      </c>
      <c r="DU880">
        <f>IF(ISBLANK('Data Entry'!$½$880), "", 'Data Entry'!$½$880)</f>
      </c>
      <c r="DV880">
        <f>IF(ISBLANK('Data Entry'!$¾$880), "", 'Data Entry'!$¾$880)</f>
      </c>
      <c r="DW880">
        <f>IF(ISBLANK('Data Entry'!$¿$880), "", 'Data Entry'!$¿$880)</f>
      </c>
      <c r="DX880">
        <f>IF(ISBLANK('Data Entry'!$À$880), "", 'Data Entry'!$À$880)</f>
      </c>
      <c r="DY880">
        <f>IF(ISBLANK('Data Entry'!$Á$880), "", 'Data Entry'!$Á$880)</f>
      </c>
      <c r="DZ880">
        <f>IF(ISBLANK('Data Entry'!$Â$880), "", 'Data Entry'!$Â$880)</f>
      </c>
      <c r="EA880">
        <f>IF(ISBLANK('Data Entry'!$Ã$880), "", 'Data Entry'!$Ã$880)</f>
      </c>
      <c r="EB880">
        <f>IF(ISBLANK('Data Entry'!$Ä$880), "", 'Data Entry'!$Ä$880)</f>
      </c>
      <c r="EC880">
        <f>IF(ISBLANK('Data Entry'!$Å$880), "", 'Data Entry'!$Å$880)</f>
      </c>
      <c r="ED880">
        <f>IF(ISBLANK('Data Entry'!$Æ$880), "", 'Data Entry'!$Æ$880)</f>
      </c>
      <c r="EE880">
        <f>IF(ISBLANK('Data Entry'!$Ç$880), "", 'Data Entry'!$Ç$880)</f>
      </c>
      <c r="EF880">
        <f>IF(ISBLANK('Data Entry'!$È$880), "", 'Data Entry'!$È$880)</f>
      </c>
      <c r="EG880">
        <f>IF(ISBLANK('Data Entry'!$É$880), "", 'Data Entry'!$É$880)</f>
      </c>
      <c r="EH880">
        <f>IF(ISBLANK('Data Entry'!$Ê$880), "", 'Data Entry'!$Ê$880)</f>
      </c>
      <c r="EI880">
        <f>IF(ISBLANK('Data Entry'!$Ë$880), "", 'Data Entry'!$Ë$880)</f>
      </c>
      <c r="EJ880">
        <f>IF(ISBLANK('Data Entry'!$Ì$880), "", 'Data Entry'!$Ì$880)</f>
      </c>
      <c r="EK880">
        <f>IF(ISBLANK('Data Entry'!$Í$880), "", 'Data Entry'!$Í$880)</f>
      </c>
      <c r="EL880">
        <f>IF(ISBLANK('Data Entry'!$Î$880), "", 'Data Entry'!$Î$880)</f>
      </c>
      <c r="EM880">
        <f>IF(ISBLANK('Data Entry'!$Ï$880), "", 'Data Entry'!$Ï$880)</f>
      </c>
      <c r="EN880">
        <f>IF(ISBLANK('Data Entry'!$Ð$880), "", 'Data Entry'!$Ð$880)</f>
      </c>
      <c r="EO880">
        <f>IF(ISBLANK('Data Entry'!$Ñ$880), "", 'Data Entry'!$Ñ$880)</f>
      </c>
      <c r="EP880">
        <f>IF(ISBLANK('Data Entry'!$Ò$880), "", 'Data Entry'!$Ò$880)</f>
      </c>
      <c r="EQ880">
        <f>IF(ISBLANK('Data Entry'!$Ó$880), "", 'Data Entry'!$Ó$880)</f>
      </c>
      <c r="ER880">
        <f>IF(ISBLANK('Data Entry'!$Ô$880), "", 'Data Entry'!$Ô$880)</f>
      </c>
      <c r="ES880">
        <f>IF(ISBLANK('Data Entry'!$Õ$880), "", 'Data Entry'!$Õ$880)</f>
      </c>
      <c r="ET880">
        <f>IF(ISBLANK('Data Entry'!$Ö$880), "", 'Data Entry'!$Ö$880)</f>
      </c>
      <c r="EU880">
        <f>IF(ISBLANK('Data Entry'!$×$880), "", 'Data Entry'!$×$880)</f>
      </c>
      <c r="EV880">
        <f>IF(ISBLANK('Data Entry'!$Ø$880), "", 'Data Entry'!$Ø$880)</f>
      </c>
      <c r="EW880">
        <f>IF(ISBLANK('Data Entry'!$Ù$880), "", 'Data Entry'!$Ù$880)</f>
      </c>
      <c r="EX880">
        <f>IF(ISBLANK('Data Entry'!$Ú$880), "", 'Data Entry'!$Ú$880)</f>
      </c>
      <c r="EY880">
        <f>IF(ISBLANK('Data Entry'!$Û$880), "", 'Data Entry'!$Û$880)</f>
      </c>
      <c r="EZ880">
        <f>IF(ISBLANK('Data Entry'!$Ü$880), "", 'Data Entry'!$Ü$880)</f>
      </c>
      <c r="FA880">
        <f>IF(ISBLANK('Data Entry'!$Ý$880), "", 'Data Entry'!$Ý$880)</f>
      </c>
      <c r="FB880">
        <f>IF(ISBLANK('Data Entry'!$Þ$880), "", 'Data Entry'!$Þ$880)</f>
      </c>
      <c r="FC880">
        <f>IF(ISBLANK('Data Entry'!$ß$880), "", 'Data Entry'!$ß$880)</f>
      </c>
      <c r="FD880">
        <f>IF(ISBLANK('Data Entry'!$à$880), "", 'Data Entry'!$à$880)</f>
      </c>
      <c r="FE880">
        <f>IF(ISBLANK('Data Entry'!$á$880), "", 'Data Entry'!$á$880)</f>
      </c>
      <c r="FF880">
        <f>IF(ISBLANK('Data Entry'!$â$880), "", 'Data Entry'!$â$880)</f>
      </c>
      <c r="FG880">
        <f>IF(ISBLANK('Data Entry'!$ã$880), "", 'Data Entry'!$ã$880)</f>
      </c>
      <c r="FH880">
        <f>IF(ISBLANK('Data Entry'!$ä$880), "", 'Data Entry'!$ä$880)</f>
      </c>
      <c r="FI880">
        <f>IF(ISBLANK('Data Entry'!$å$880), "", 'Data Entry'!$å$880)</f>
      </c>
      <c r="FJ880">
        <f>IF(ISBLANK('Data Entry'!$æ$880), "", 'Data Entry'!$æ$880)</f>
      </c>
      <c r="FK880">
        <f>IF(ISBLANK('Data Entry'!$ç$880), "", 'Data Entry'!$ç$880)</f>
      </c>
      <c r="FL880">
        <f>IF(ISBLANK('Data Entry'!$è$880), "", 'Data Entry'!$è$880)</f>
      </c>
      <c r="FM880">
        <f>IF(ISBLANK('Data Entry'!$é$880), "", 'Data Entry'!$é$880)</f>
      </c>
      <c r="FN880">
        <f>IF(ISBLANK('Data Entry'!$ê$880), "", 'Data Entry'!$ê$880)</f>
      </c>
      <c r="FO880">
        <f>IF(ISBLANK('Data Entry'!$ë$880), "", 'Data Entry'!$ë$880)</f>
      </c>
      <c r="FP880">
        <f>IF(ISBLANK('Data Entry'!$ì$880), "", 'Data Entry'!$ì$880)</f>
      </c>
      <c r="FQ880">
        <f>IF(ISBLANK('Data Entry'!$í$880), "", 'Data Entry'!$í$880)</f>
      </c>
      <c r="FR880">
        <f>IF(ISBLANK('Data Entry'!$î$880), "", 'Data Entry'!$î$880)</f>
      </c>
      <c r="FS880">
        <f>IF(ISBLANK('Data Entry'!$ï$880), "", 'Data Entry'!$ï$880)</f>
      </c>
      <c r="FT880">
        <f>IF(ISBLANK('Data Entry'!$ð$880), "", 'Data Entry'!$ð$880)</f>
      </c>
      <c r="FU880">
        <f>IF(ISBLANK('Data Entry'!$ñ$880), "", 'Data Entry'!$ñ$880)</f>
      </c>
      <c r="FV880">
        <f>IF(ISBLANK('Data Entry'!$ò$880), "", 'Data Entry'!$ò$880)</f>
      </c>
      <c r="FW880">
        <f>IF(ISBLANK('Data Entry'!$ó$880), "", 'Data Entry'!$ó$880)</f>
      </c>
      <c r="FX880">
        <f>IF(ISBLANK('Data Entry'!$ô$880), "", 'Data Entry'!$ô$880)</f>
      </c>
      <c r="FY880">
        <f>IF(ISBLANK('Data Entry'!$õ$880), "", 'Data Entry'!$õ$880)</f>
      </c>
      <c r="FZ880">
        <f>IF(ISBLANK('Data Entry'!$ö$880), "", 'Data Entry'!$ö$880)</f>
      </c>
      <c r="GA880">
        <f>IF(ISBLANK('Data Entry'!$÷$880), "", 'Data Entry'!$÷$880)</f>
      </c>
      <c r="GB880">
        <f>IF(ISBLANK('Data Entry'!$ø$880), "", 'Data Entry'!$ø$880)</f>
      </c>
      <c r="GC880">
        <f>IF(ISBLANK('Data Entry'!$ù$880), "", 'Data Entry'!$ù$880)</f>
      </c>
      <c r="GD880">
        <f>IF(ISBLANK('Data Entry'!$ú$880), "", 'Data Entry'!$ú$880)</f>
      </c>
      <c r="GE880">
        <f>IF(ISBLANK('Data Entry'!$û$880), "", 'Data Entry'!$û$880)</f>
      </c>
      <c r="GF880">
        <f>IF(ISBLANK('Data Entry'!$ü$880), "", 'Data Entry'!$ü$880)</f>
      </c>
      <c r="GG880">
        <f>IF(ISBLANK('Data Entry'!$ý$880), "", 'Data Entry'!$ý$880)</f>
      </c>
      <c r="GH880">
        <f>IF(ISBLANK('Data Entry'!$þ$880), "", 'Data Entry'!$þ$880)</f>
      </c>
      <c r="GI880">
        <f>IF(ISBLANK('Data Entry'!$ÿ$880), "", 'Data Entry'!$ÿ$880)</f>
      </c>
      <c r="GJ880">
        <f>IF(ISBLANK('Data Entry'!$Ā$880), "", 'Data Entry'!$Ā$880)</f>
      </c>
      <c r="GK880">
        <f>IF(ISBLANK('Data Entry'!$ā$880), "", 'Data Entry'!$ā$880)</f>
      </c>
      <c r="GL880">
        <f>IF(ISBLANK('Data Entry'!$Ă$880), "", 'Data Entry'!$Ă$880)</f>
      </c>
      <c r="GM880">
        <f>IF(ISBLANK('Data Entry'!$ă$880), "", 'Data Entry'!$ă$880)</f>
      </c>
      <c r="GN880">
        <f>IF(ISBLANK('Data Entry'!$Ą$880), "", 'Data Entry'!$Ą$880)</f>
      </c>
      <c r="GO880">
        <f>IF(ISBLANK('Data Entry'!$ą$880), "", 'Data Entry'!$ą$880)</f>
      </c>
      <c r="GP880">
        <f>IF(ISBLANK('Data Entry'!$Ć$880), "", 'Data Entry'!$Ć$880)</f>
      </c>
      <c r="GQ880">
        <f>IF(ISBLANK('Data Entry'!$ć$880), "", 'Data Entry'!$ć$880)</f>
      </c>
      <c r="GR880">
        <f>IF(ISBLANK('Data Entry'!$Ĉ$880), "", 'Data Entry'!$Ĉ$880)</f>
      </c>
      <c r="GS880">
        <f>IF(ISBLANK('Data Entry'!$ĉ$880), "", 'Data Entry'!$ĉ$880)</f>
      </c>
      <c r="GT880">
        <f>IF(ISBLANK('Data Entry'!$Ċ$880), "", 'Data Entry'!$Ċ$880)</f>
      </c>
      <c r="GU880">
        <f>IF(ISBLANK('Data Entry'!$ċ$880), "", 'Data Entry'!$ċ$880)</f>
      </c>
      <c r="GV880">
        <f>IF(ISBLANK('Data Entry'!$Č$880), "", 'Data Entry'!$Č$880)</f>
      </c>
      <c r="GW880">
        <f>IF(ISBLANK('Data Entry'!$č$880), "", 'Data Entry'!$č$880)</f>
      </c>
      <c r="GX880">
        <f>IF(ISBLANK('Data Entry'!$Ď$880), "", 'Data Entry'!$Ď$880)</f>
      </c>
      <c r="GY880">
        <f>IF(ISBLANK('Data Entry'!$ď$880), "", 'Data Entry'!$ď$880)</f>
      </c>
      <c r="GZ880">
        <f>IF(ISBLANK('Data Entry'!$Đ$880), "", 'Data Entry'!$Đ$880)</f>
      </c>
      <c r="HA880">
        <f>IF(ISBLANK('Data Entry'!$đ$880), "", 'Data Entry'!$đ$880)</f>
      </c>
      <c r="HB880">
        <f>IF(ISBLANK('Data Entry'!$Ē$880), "", 'Data Entry'!$Ē$880)</f>
      </c>
      <c r="HC880">
        <f>IF(ISBLANK('Data Entry'!$ē$880), "", 'Data Entry'!$ē$880)</f>
      </c>
      <c r="HD880">
        <f>IF(ISBLANK('Data Entry'!$Ĕ$880), "", 'Data Entry'!$Ĕ$880)</f>
      </c>
      <c r="HE880">
        <f>IF(ISBLANK('Data Entry'!$ĕ$880), "", 'Data Entry'!$ĕ$880)</f>
      </c>
      <c r="HF880">
        <f>IF(ISBLANK('Data Entry'!$Ė$880), "", 'Data Entry'!$Ė$880)</f>
      </c>
      <c r="HG880">
        <f>IF(ISBLANK('Data Entry'!$ė$880), "", 'Data Entry'!$ė$880)</f>
      </c>
      <c r="HH880">
        <f>IF(ISBLANK('Data Entry'!$Ę$880), "", 'Data Entry'!$Ę$880)</f>
      </c>
      <c r="HI880">
        <f>IF(ISBLANK('Data Entry'!$ę$880), "", 'Data Entry'!$ę$880)</f>
      </c>
      <c r="HJ880">
        <f>IF(ISBLANK('Data Entry'!$Ě$880), "", 'Data Entry'!$Ě$880)</f>
      </c>
      <c r="HK880">
        <f>IF(ISBLANK('Data Entry'!$ě$880), "", 'Data Entry'!$ě$880)</f>
      </c>
      <c r="HL880">
        <f>IF(ISBLANK('Data Entry'!$Ĝ$880), "", 'Data Entry'!$Ĝ$880)</f>
      </c>
      <c r="HM880">
        <f>IF(ISBLANK('Data Entry'!$ĝ$880), "", 'Data Entry'!$ĝ$880)</f>
      </c>
      <c r="HN880">
        <f>IF(ISBLANK('Data Entry'!$Ğ$880), "", 'Data Entry'!$Ğ$880)</f>
      </c>
      <c r="HO880">
        <f>IF(ISBLANK('Data Entry'!$ğ$880), "", 'Data Entry'!$ğ$880)</f>
      </c>
      <c r="HP880">
        <f>IF(ISBLANK('Data Entry'!$Ġ$880), "", 'Data Entry'!$Ġ$880)</f>
      </c>
      <c r="HQ880">
        <f>IF(ISBLANK('Data Entry'!$ġ$880), "", 'Data Entry'!$ġ$880)</f>
      </c>
      <c r="HR880">
        <f>IF(ISBLANK('Data Entry'!$Ģ$880), "", 'Data Entry'!$Ģ$880)</f>
      </c>
      <c r="HS880">
        <f>IF(ISBLANK('Data Entry'!$ģ$880), "", 'Data Entry'!$ģ$880)</f>
      </c>
      <c r="HT880">
        <f>IF(ISBLANK('Data Entry'!$Ĥ$880), "", 'Data Entry'!$Ĥ$880)</f>
      </c>
      <c r="HU880">
        <f>IF(ISBLANK('Data Entry'!$ĥ$880), "", 'Data Entry'!$ĥ$880)</f>
      </c>
      <c r="HV880">
        <f>IF(ISBLANK('Data Entry'!$Ħ$880), "", 'Data Entry'!$Ħ$880)</f>
      </c>
      <c r="HW880">
        <f>IF(ISBLANK('Data Entry'!$ħ$880), "", 'Data Entry'!$ħ$880)</f>
      </c>
      <c r="HX880">
        <f>IF(ISBLANK('Data Entry'!$Ĩ$880), "", 'Data Entry'!$Ĩ$880)</f>
      </c>
      <c r="HY880">
        <f>IF(ISBLANK('Data Entry'!$ĩ$880), "", 'Data Entry'!$ĩ$880)</f>
      </c>
      <c r="HZ880">
        <f>IF(ISBLANK('Data Entry'!$Ī$880), "", 'Data Entry'!$Ī$880)</f>
      </c>
      <c r="IA880">
        <f>IF(ISBLANK('Data Entry'!$ī$880), "", 'Data Entry'!$ī$880)</f>
      </c>
      <c r="IB880">
        <f>IF(ISBLANK('Data Entry'!$Ĭ$880), "", 'Data Entry'!$Ĭ$880)</f>
      </c>
      <c r="IC880">
        <f>IF(ISBLANK('Data Entry'!$ĭ$880), "", 'Data Entry'!$ĭ$880)</f>
      </c>
      <c r="ID880">
        <f>IF(ISBLANK('Data Entry'!$Į$880), "", 'Data Entry'!$Į$880)</f>
      </c>
      <c r="IE880">
        <f>IF(ISBLANK('Data Entry'!$į$880), "", 'Data Entry'!$į$880)</f>
      </c>
      <c r="IF880">
        <f>IF(ISBLANK('Data Entry'!$İ$880), "", 'Data Entry'!$İ$880)</f>
      </c>
      <c r="IG880">
        <f>IF(ISBLANK('Data Entry'!$ı$880), "", 'Data Entry'!$ı$880)</f>
      </c>
      <c r="IH880">
        <f>IF(ISBLANK('Data Entry'!$Ĳ$880), "", 'Data Entry'!$Ĳ$880)</f>
      </c>
      <c r="II880">
        <f>IF(ISBLANK('Data Entry'!$ĳ$880), "", 'Data Entry'!$ĳ$880)</f>
      </c>
      <c r="IJ880">
        <f>IF(ISBLANK('Data Entry'!$Ĵ$880), "", 'Data Entry'!$Ĵ$880)</f>
      </c>
      <c r="IK880">
        <f>IF(ISBLANK('Data Entry'!$ĵ$880), "", 'Data Entry'!$ĵ$880)</f>
      </c>
      <c r="IL880">
        <f>IF(ISBLANK('Data Entry'!$Ķ$880), "", 'Data Entry'!$Ķ$880)</f>
      </c>
      <c r="IM880">
        <f>IF(ISBLANK('Data Entry'!$ķ$880), "", 'Data Entry'!$ķ$880)</f>
      </c>
      <c r="IN880">
        <f>IF(ISBLANK('Data Entry'!$ĸ$880), "", 'Data Entry'!$ĸ$880)</f>
      </c>
      <c r="IO880">
        <f>IF(ISBLANK('Data Entry'!$Ĺ$880), "", 'Data Entry'!$Ĺ$880)</f>
      </c>
      <c r="IP880">
        <f>IF(ISBLANK('Data Entry'!$ĺ$880), "", 'Data Entry'!$ĺ$880)</f>
      </c>
      <c r="IQ880">
        <f>IF(ISBLANK('Data Entry'!$Ļ$880), "", 'Data Entry'!$Ļ$880)</f>
      </c>
      <c r="IR880">
        <f>IF(ISBLANK('Data Entry'!$ļ$880), "", 'Data Entry'!$ļ$880)</f>
      </c>
      <c r="IS880">
        <f>IF(ISBLANK('Data Entry'!$Ľ$880), "", 'Data Entry'!$Ľ$880)</f>
      </c>
      <c r="IT880">
        <f>IF(ISBLANK('Data Entry'!$ľ$880), "", 'Data Entry'!$ľ$880)</f>
      </c>
    </row>
    <row r="881" spans="1:254" x14ac:dyDescent="0.25">
      <c r="A881">
        <f>IF(ISBLANK('Data Entry'!$A$881), "", 'Data Entry'!$A$881)</f>
      </c>
      <c r="B881">
        <f>IF(ISBLANK('Data Entry'!$B$881), "", 'Data Entry'!$B$881)</f>
      </c>
      <c r="C881">
        <f>IF(ISBLANK('Data Entry'!$C$881), "", 'Data Entry'!$C$881)</f>
      </c>
      <c r="D881">
        <f>IF(ISBLANK('Data Entry'!$D$881), "", 'Data Entry'!$D$881)</f>
      </c>
      <c r="E881">
        <f>IF(ISBLANK('Data Entry'!$E$881), "", 'Data Entry'!$E$881)</f>
      </c>
      <c r="F881">
        <f>IF(ISBLANK('Data Entry'!$F$881), "", 'Data Entry'!$F$881)</f>
      </c>
      <c r="G881">
        <f>IF(ISBLANK('Data Entry'!$G$881), "", 'Data Entry'!$G$881)</f>
      </c>
      <c r="H881">
        <f>IF(ISBLANK('Data Entry'!$H$881), "", 'Data Entry'!$H$881)</f>
      </c>
      <c r="I881">
        <f>IF(ISBLANK('Data Entry'!$I$881), "", 'Data Entry'!$I$881)</f>
      </c>
      <c r="J881">
        <f>IF(ISBLANK('Data Entry'!$J$881), "", 'Data Entry'!$J$881)</f>
      </c>
      <c r="K881">
        <f>IF(ISBLANK('Data Entry'!$K$881), "", 'Data Entry'!$K$881)</f>
      </c>
      <c r="L881">
        <f>IF(ISBLANK('Data Entry'!$L$881), "", 'Data Entry'!$L$881)</f>
      </c>
      <c r="M881">
        <f>IF(ISBLANK('Data Entry'!$M$881), "", 'Data Entry'!$M$881)</f>
      </c>
      <c r="N881">
        <f>IF(ISBLANK('Data Entry'!$N$881), "", 'Data Entry'!$N$881)</f>
      </c>
      <c r="O881">
        <f>IF(ISBLANK('Data Entry'!$O$881), "", 'Data Entry'!$O$881)</f>
      </c>
      <c r="P881">
        <f>IF(ISBLANK('Data Entry'!$P$881), "", 'Data Entry'!$P$881)</f>
      </c>
      <c r="Q881">
        <f>IF(ISBLANK('Data Entry'!$Q$881), "", 'Data Entry'!$Q$881)</f>
      </c>
      <c r="R881">
        <f>IF(ISBLANK('Data Entry'!$R$881), "", 'Data Entry'!$R$881)</f>
      </c>
      <c r="S881">
        <f>IF(ISBLANK('Data Entry'!$S$881), "", 'Data Entry'!$S$881)</f>
      </c>
      <c r="T881">
        <f>IF(ISBLANK('Data Entry'!$T$881), "", 'Data Entry'!$T$881)</f>
      </c>
      <c r="U881">
        <f>IF(ISBLANK('Data Entry'!$U$881), "", 'Data Entry'!$U$881)</f>
      </c>
      <c r="V881">
        <f>IF(ISBLANK('Data Entry'!$V$881), "", 'Data Entry'!$V$881)</f>
      </c>
      <c r="W881">
        <f>IF(ISBLANK('Data Entry'!$W$881), "", 'Data Entry'!$W$881)</f>
      </c>
      <c r="X881">
        <f>IF(ISBLANK('Data Entry'!$X$881), "", 'Data Entry'!$X$881)</f>
      </c>
      <c r="Y881">
        <f>IF(ISBLANK('Data Entry'!$Y$881), "", 'Data Entry'!$Y$881)</f>
      </c>
      <c r="Z881">
        <f>IF(ISBLANK('Data Entry'!$Z$881), "", 'Data Entry'!$Z$881)</f>
      </c>
      <c r="AA881">
        <f>IF(ISBLANK('Data Entry'!$[$881), "", 'Data Entry'!$[$881)</f>
      </c>
      <c r="AB881">
        <f>IF(ISBLANK('Data Entry'!$\$881), "", 'Data Entry'!$\$881)</f>
      </c>
      <c r="AC881">
        <f>IF(ISBLANK('Data Entry'!$]$881), "", 'Data Entry'!$]$881)</f>
      </c>
      <c r="AD881">
        <f>IF(ISBLANK('Data Entry'!$^$881), "", 'Data Entry'!$^$881)</f>
      </c>
      <c r="AE881">
        <f>IF(ISBLANK('Data Entry'!$_$881), "", 'Data Entry'!$_$881)</f>
      </c>
      <c r="AF881">
        <f>IF(ISBLANK('Data Entry'!$`$881), "", 'Data Entry'!$`$881)</f>
      </c>
      <c r="AG881">
        <f>IF(ISBLANK('Data Entry'!$a$881), "", 'Data Entry'!$a$881)</f>
      </c>
      <c r="AH881">
        <f>IF(ISBLANK('Data Entry'!$b$881), "", 'Data Entry'!$b$881)</f>
      </c>
      <c r="AI881">
        <f>IF(ISBLANK('Data Entry'!$c$881), "", 'Data Entry'!$c$881)</f>
      </c>
      <c r="AJ881">
        <f>IF(ISBLANK('Data Entry'!$d$881), "", 'Data Entry'!$d$881)</f>
      </c>
      <c r="AK881">
        <f>IF(ISBLANK('Data Entry'!$e$881), "", 'Data Entry'!$e$881)</f>
      </c>
      <c r="AL881">
        <f>IF(ISBLANK('Data Entry'!$f$881), "", 'Data Entry'!$f$881)</f>
      </c>
      <c r="AM881">
        <f>IF(ISBLANK('Data Entry'!$g$881), "", 'Data Entry'!$g$881)</f>
      </c>
      <c r="AN881">
        <f>IF(ISBLANK('Data Entry'!$h$881), "", 'Data Entry'!$h$881)</f>
      </c>
      <c r="AO881">
        <f>IF(ISBLANK('Data Entry'!$i$881), "", 'Data Entry'!$i$881)</f>
      </c>
      <c r="AP881">
        <f>IF(ISBLANK('Data Entry'!$j$881), "", 'Data Entry'!$j$881)</f>
      </c>
      <c r="AQ881">
        <f>IF(ISBLANK('Data Entry'!$k$881), "", 'Data Entry'!$k$881)</f>
      </c>
      <c r="AR881">
        <f>IF(ISBLANK('Data Entry'!$l$881), "", 'Data Entry'!$l$881)</f>
      </c>
      <c r="AS881">
        <f>IF(ISBLANK('Data Entry'!$m$881), "", 'Data Entry'!$m$881)</f>
      </c>
      <c r="AT881">
        <f>IF(ISBLANK('Data Entry'!$n$881), "", 'Data Entry'!$n$881)</f>
      </c>
      <c r="AU881">
        <f>IF(ISBLANK('Data Entry'!$o$881), "", 'Data Entry'!$o$881)</f>
      </c>
      <c r="AV881">
        <f>IF(ISBLANK('Data Entry'!$p$881), "", 'Data Entry'!$p$881)</f>
      </c>
      <c r="AW881">
        <f>IF(ISBLANK('Data Entry'!$q$881), "", 'Data Entry'!$q$881)</f>
      </c>
      <c r="AX881">
        <f>IF(ISBLANK('Data Entry'!$r$881), "", 'Data Entry'!$r$881)</f>
      </c>
      <c r="AY881">
        <f>IF(ISBLANK('Data Entry'!$s$881), "", 'Data Entry'!$s$881)</f>
      </c>
      <c r="AZ881">
        <f>IF(ISBLANK('Data Entry'!$t$881), "", 'Data Entry'!$t$881)</f>
      </c>
      <c r="BA881">
        <f>IF(ISBLANK('Data Entry'!$u$881), "", 'Data Entry'!$u$881)</f>
      </c>
      <c r="BB881">
        <f>IF(ISBLANK('Data Entry'!$v$881), "", 'Data Entry'!$v$881)</f>
      </c>
      <c r="BC881">
        <f>IF(ISBLANK('Data Entry'!$w$881), "", 'Data Entry'!$w$881)</f>
      </c>
      <c r="BD881">
        <f>IF(ISBLANK('Data Entry'!$x$881), "", 'Data Entry'!$x$881)</f>
      </c>
      <c r="BE881">
        <f>IF(ISBLANK('Data Entry'!$y$881), "", 'Data Entry'!$y$881)</f>
      </c>
      <c r="BF881">
        <f>IF(ISBLANK('Data Entry'!$z$881), "", 'Data Entry'!$z$881)</f>
      </c>
      <c r="BG881">
        <f>IF(ISBLANK('Data Entry'!${$881), "", 'Data Entry'!${$881)</f>
      </c>
      <c r="BH881">
        <f>IF(ISBLANK('Data Entry'!$|$881), "", 'Data Entry'!$|$881)</f>
      </c>
      <c r="BI881">
        <f>IF(ISBLANK('Data Entry'!$}$881), "", 'Data Entry'!$}$881)</f>
      </c>
      <c r="BJ881">
        <f>IF(ISBLANK('Data Entry'!$~$881), "", 'Data Entry'!$~$881)</f>
      </c>
      <c r="BK881">
        <f>IF(ISBLANK('Data Entry'!$$881), "", 'Data Entry'!$$881)</f>
      </c>
      <c r="BL881">
        <f>IF(ISBLANK('Data Entry'!$$881), "", 'Data Entry'!$$881)</f>
      </c>
      <c r="BM881">
        <f>IF(ISBLANK('Data Entry'!$$881), "", 'Data Entry'!$$881)</f>
      </c>
      <c r="BN881">
        <f>IF(ISBLANK('Data Entry'!$$881), "", 'Data Entry'!$$881)</f>
      </c>
      <c r="BO881">
        <f>IF(ISBLANK('Data Entry'!$$881), "", 'Data Entry'!$$881)</f>
      </c>
      <c r="BP881">
        <f>IF(ISBLANK('Data Entry'!$$881), "", 'Data Entry'!$$881)</f>
      </c>
      <c r="BQ881">
        <f>IF(ISBLANK('Data Entry'!$$881), "", 'Data Entry'!$$881)</f>
      </c>
      <c r="BR881">
        <f>IF(ISBLANK('Data Entry'!$$881), "", 'Data Entry'!$$881)</f>
      </c>
      <c r="BS881">
        <f>IF(ISBLANK('Data Entry'!$$881), "", 'Data Entry'!$$881)</f>
      </c>
      <c r="BT881">
        <f>IF(ISBLANK('Data Entry'!$$881), "", 'Data Entry'!$$881)</f>
      </c>
      <c r="BU881">
        <f>IF(ISBLANK('Data Entry'!$$881), "", 'Data Entry'!$$881)</f>
      </c>
      <c r="BV881">
        <f>IF(ISBLANK('Data Entry'!$$881), "", 'Data Entry'!$$881)</f>
      </c>
      <c r="BW881">
        <f>IF(ISBLANK('Data Entry'!$$881), "", 'Data Entry'!$$881)</f>
      </c>
      <c r="BX881">
        <f>IF(ISBLANK('Data Entry'!$$881), "", 'Data Entry'!$$881)</f>
      </c>
      <c r="BY881">
        <f>IF(ISBLANK('Data Entry'!$$881), "", 'Data Entry'!$$881)</f>
      </c>
      <c r="BZ881">
        <f>IF(ISBLANK('Data Entry'!$$881), "", 'Data Entry'!$$881)</f>
      </c>
      <c r="CA881">
        <f>IF(ISBLANK('Data Entry'!$$881), "", 'Data Entry'!$$881)</f>
      </c>
      <c r="CB881">
        <f>IF(ISBLANK('Data Entry'!$$881), "", 'Data Entry'!$$881)</f>
      </c>
      <c r="CC881">
        <f>IF(ISBLANK('Data Entry'!$$881), "", 'Data Entry'!$$881)</f>
      </c>
      <c r="CD881">
        <f>IF(ISBLANK('Data Entry'!$$881), "", 'Data Entry'!$$881)</f>
      </c>
      <c r="CE881">
        <f>IF(ISBLANK('Data Entry'!$$881), "", 'Data Entry'!$$881)</f>
      </c>
      <c r="CF881">
        <f>IF(ISBLANK('Data Entry'!$$881), "", 'Data Entry'!$$881)</f>
      </c>
      <c r="CG881">
        <f>IF(ISBLANK('Data Entry'!$$881), "", 'Data Entry'!$$881)</f>
      </c>
      <c r="CH881">
        <f>IF(ISBLANK('Data Entry'!$$881), "", 'Data Entry'!$$881)</f>
      </c>
      <c r="CI881">
        <f>IF(ISBLANK('Data Entry'!$$881), "", 'Data Entry'!$$881)</f>
      </c>
      <c r="CJ881">
        <f>IF(ISBLANK('Data Entry'!$$881), "", 'Data Entry'!$$881)</f>
      </c>
      <c r="CK881">
        <f>IF(ISBLANK('Data Entry'!$$881), "", 'Data Entry'!$$881)</f>
      </c>
      <c r="CL881">
        <f>IF(ISBLANK('Data Entry'!$$881), "", 'Data Entry'!$$881)</f>
      </c>
      <c r="CM881">
        <f>IF(ISBLANK('Data Entry'!$$881), "", 'Data Entry'!$$881)</f>
      </c>
      <c r="CN881">
        <f>IF(ISBLANK('Data Entry'!$$881), "", 'Data Entry'!$$881)</f>
      </c>
      <c r="CO881">
        <f>IF(ISBLANK('Data Entry'!$$881), "", 'Data Entry'!$$881)</f>
      </c>
      <c r="CP881">
        <f>IF(ISBLANK('Data Entry'!$$881), "", 'Data Entry'!$$881)</f>
      </c>
      <c r="CQ881">
        <f>IF(ISBLANK('Data Entry'!$$881), "", 'Data Entry'!$$881)</f>
      </c>
      <c r="CR881">
        <f>IF(ISBLANK('Data Entry'!$ $881), "", 'Data Entry'!$ $881)</f>
      </c>
      <c r="CS881">
        <f>IF(ISBLANK('Data Entry'!$¡$881), "", 'Data Entry'!$¡$881)</f>
      </c>
      <c r="CT881">
        <f>IF(ISBLANK('Data Entry'!$¢$881), "", 'Data Entry'!$¢$881)</f>
      </c>
      <c r="CU881">
        <f>IF(ISBLANK('Data Entry'!$£$881), "", 'Data Entry'!$£$881)</f>
      </c>
      <c r="CV881">
        <f>IF(ISBLANK('Data Entry'!$¤$881), "", 'Data Entry'!$¤$881)</f>
      </c>
      <c r="CW881">
        <f>IF(ISBLANK('Data Entry'!$¥$881), "", 'Data Entry'!$¥$881)</f>
      </c>
      <c r="CX881">
        <f>IF(ISBLANK('Data Entry'!$¦$881), "", 'Data Entry'!$¦$881)</f>
      </c>
      <c r="CY881">
        <f>IF(ISBLANK('Data Entry'!$§$881), "", 'Data Entry'!$§$881)</f>
      </c>
      <c r="CZ881">
        <f>IF(ISBLANK('Data Entry'!$¨$881), "", 'Data Entry'!$¨$881)</f>
      </c>
      <c r="DA881">
        <f>IF(ISBLANK('Data Entry'!$©$881), "", 'Data Entry'!$©$881)</f>
      </c>
      <c r="DB881">
        <f>IF(ISBLANK('Data Entry'!$ª$881), "", 'Data Entry'!$ª$881)</f>
      </c>
      <c r="DC881">
        <f>IF(ISBLANK('Data Entry'!$«$881), "", 'Data Entry'!$«$881)</f>
      </c>
      <c r="DD881">
        <f>IF(ISBLANK('Data Entry'!$¬$881), "", 'Data Entry'!$¬$881)</f>
      </c>
      <c r="DE881">
        <f>IF(ISBLANK('Data Entry'!$­$881), "", 'Data Entry'!$­$881)</f>
      </c>
      <c r="DF881">
        <f>IF(ISBLANK('Data Entry'!$®$881), "", 'Data Entry'!$®$881)</f>
      </c>
      <c r="DG881">
        <f>IF(ISBLANK('Data Entry'!$¯$881), "", 'Data Entry'!$¯$881)</f>
      </c>
      <c r="DH881">
        <f>IF(ISBLANK('Data Entry'!$°$881), "", 'Data Entry'!$°$881)</f>
      </c>
      <c r="DI881">
        <f>IF(ISBLANK('Data Entry'!$±$881), "", 'Data Entry'!$±$881)</f>
      </c>
      <c r="DJ881">
        <f>IF(ISBLANK('Data Entry'!$²$881), "", 'Data Entry'!$²$881)</f>
      </c>
      <c r="DK881">
        <f>IF(ISBLANK('Data Entry'!$³$881), "", 'Data Entry'!$³$881)</f>
      </c>
      <c r="DL881">
        <f>IF(ISBLANK('Data Entry'!$´$881), "", 'Data Entry'!$´$881)</f>
      </c>
      <c r="DM881">
        <f>IF(ISBLANK('Data Entry'!$µ$881), "", 'Data Entry'!$µ$881)</f>
      </c>
      <c r="DN881">
        <f>IF(ISBLANK('Data Entry'!$¶$881), "", 'Data Entry'!$¶$881)</f>
      </c>
      <c r="DO881">
        <f>IF(ISBLANK('Data Entry'!$·$881), "", 'Data Entry'!$·$881)</f>
      </c>
      <c r="DP881">
        <f>IF(ISBLANK('Data Entry'!$¸$881), "", 'Data Entry'!$¸$881)</f>
      </c>
      <c r="DQ881">
        <f>IF(ISBLANK('Data Entry'!$¹$881), "", 'Data Entry'!$¹$881)</f>
      </c>
      <c r="DR881">
        <f>IF(ISBLANK('Data Entry'!$º$881), "", 'Data Entry'!$º$881)</f>
      </c>
      <c r="DS881">
        <f>IF(ISBLANK('Data Entry'!$»$881), "", 'Data Entry'!$»$881)</f>
      </c>
      <c r="DT881">
        <f>IF(ISBLANK('Data Entry'!$¼$881), "", 'Data Entry'!$¼$881)</f>
      </c>
      <c r="DU881">
        <f>IF(ISBLANK('Data Entry'!$½$881), "", 'Data Entry'!$½$881)</f>
      </c>
      <c r="DV881">
        <f>IF(ISBLANK('Data Entry'!$¾$881), "", 'Data Entry'!$¾$881)</f>
      </c>
      <c r="DW881">
        <f>IF(ISBLANK('Data Entry'!$¿$881), "", 'Data Entry'!$¿$881)</f>
      </c>
      <c r="DX881">
        <f>IF(ISBLANK('Data Entry'!$À$881), "", 'Data Entry'!$À$881)</f>
      </c>
      <c r="DY881">
        <f>IF(ISBLANK('Data Entry'!$Á$881), "", 'Data Entry'!$Á$881)</f>
      </c>
      <c r="DZ881">
        <f>IF(ISBLANK('Data Entry'!$Â$881), "", 'Data Entry'!$Â$881)</f>
      </c>
      <c r="EA881">
        <f>IF(ISBLANK('Data Entry'!$Ã$881), "", 'Data Entry'!$Ã$881)</f>
      </c>
      <c r="EB881">
        <f>IF(ISBLANK('Data Entry'!$Ä$881), "", 'Data Entry'!$Ä$881)</f>
      </c>
      <c r="EC881">
        <f>IF(ISBLANK('Data Entry'!$Å$881), "", 'Data Entry'!$Å$881)</f>
      </c>
      <c r="ED881">
        <f>IF(ISBLANK('Data Entry'!$Æ$881), "", 'Data Entry'!$Æ$881)</f>
      </c>
      <c r="EE881">
        <f>IF(ISBLANK('Data Entry'!$Ç$881), "", 'Data Entry'!$Ç$881)</f>
      </c>
      <c r="EF881">
        <f>IF(ISBLANK('Data Entry'!$È$881), "", 'Data Entry'!$È$881)</f>
      </c>
      <c r="EG881">
        <f>IF(ISBLANK('Data Entry'!$É$881), "", 'Data Entry'!$É$881)</f>
      </c>
      <c r="EH881">
        <f>IF(ISBLANK('Data Entry'!$Ê$881), "", 'Data Entry'!$Ê$881)</f>
      </c>
      <c r="EI881">
        <f>IF(ISBLANK('Data Entry'!$Ë$881), "", 'Data Entry'!$Ë$881)</f>
      </c>
      <c r="EJ881">
        <f>IF(ISBLANK('Data Entry'!$Ì$881), "", 'Data Entry'!$Ì$881)</f>
      </c>
      <c r="EK881">
        <f>IF(ISBLANK('Data Entry'!$Í$881), "", 'Data Entry'!$Í$881)</f>
      </c>
      <c r="EL881">
        <f>IF(ISBLANK('Data Entry'!$Î$881), "", 'Data Entry'!$Î$881)</f>
      </c>
      <c r="EM881">
        <f>IF(ISBLANK('Data Entry'!$Ï$881), "", 'Data Entry'!$Ï$881)</f>
      </c>
      <c r="EN881">
        <f>IF(ISBLANK('Data Entry'!$Ð$881), "", 'Data Entry'!$Ð$881)</f>
      </c>
      <c r="EO881">
        <f>IF(ISBLANK('Data Entry'!$Ñ$881), "", 'Data Entry'!$Ñ$881)</f>
      </c>
      <c r="EP881">
        <f>IF(ISBLANK('Data Entry'!$Ò$881), "", 'Data Entry'!$Ò$881)</f>
      </c>
      <c r="EQ881">
        <f>IF(ISBLANK('Data Entry'!$Ó$881), "", 'Data Entry'!$Ó$881)</f>
      </c>
      <c r="ER881">
        <f>IF(ISBLANK('Data Entry'!$Ô$881), "", 'Data Entry'!$Ô$881)</f>
      </c>
      <c r="ES881">
        <f>IF(ISBLANK('Data Entry'!$Õ$881), "", 'Data Entry'!$Õ$881)</f>
      </c>
      <c r="ET881">
        <f>IF(ISBLANK('Data Entry'!$Ö$881), "", 'Data Entry'!$Ö$881)</f>
      </c>
      <c r="EU881">
        <f>IF(ISBLANK('Data Entry'!$×$881), "", 'Data Entry'!$×$881)</f>
      </c>
      <c r="EV881">
        <f>IF(ISBLANK('Data Entry'!$Ø$881), "", 'Data Entry'!$Ø$881)</f>
      </c>
      <c r="EW881">
        <f>IF(ISBLANK('Data Entry'!$Ù$881), "", 'Data Entry'!$Ù$881)</f>
      </c>
      <c r="EX881">
        <f>IF(ISBLANK('Data Entry'!$Ú$881), "", 'Data Entry'!$Ú$881)</f>
      </c>
      <c r="EY881">
        <f>IF(ISBLANK('Data Entry'!$Û$881), "", 'Data Entry'!$Û$881)</f>
      </c>
      <c r="EZ881">
        <f>IF(ISBLANK('Data Entry'!$Ü$881), "", 'Data Entry'!$Ü$881)</f>
      </c>
      <c r="FA881">
        <f>IF(ISBLANK('Data Entry'!$Ý$881), "", 'Data Entry'!$Ý$881)</f>
      </c>
      <c r="FB881">
        <f>IF(ISBLANK('Data Entry'!$Þ$881), "", 'Data Entry'!$Þ$881)</f>
      </c>
      <c r="FC881">
        <f>IF(ISBLANK('Data Entry'!$ß$881), "", 'Data Entry'!$ß$881)</f>
      </c>
      <c r="FD881">
        <f>IF(ISBLANK('Data Entry'!$à$881), "", 'Data Entry'!$à$881)</f>
      </c>
      <c r="FE881">
        <f>IF(ISBLANK('Data Entry'!$á$881), "", 'Data Entry'!$á$881)</f>
      </c>
      <c r="FF881">
        <f>IF(ISBLANK('Data Entry'!$â$881), "", 'Data Entry'!$â$881)</f>
      </c>
      <c r="FG881">
        <f>IF(ISBLANK('Data Entry'!$ã$881), "", 'Data Entry'!$ã$881)</f>
      </c>
      <c r="FH881">
        <f>IF(ISBLANK('Data Entry'!$ä$881), "", 'Data Entry'!$ä$881)</f>
      </c>
      <c r="FI881">
        <f>IF(ISBLANK('Data Entry'!$å$881), "", 'Data Entry'!$å$881)</f>
      </c>
      <c r="FJ881">
        <f>IF(ISBLANK('Data Entry'!$æ$881), "", 'Data Entry'!$æ$881)</f>
      </c>
      <c r="FK881">
        <f>IF(ISBLANK('Data Entry'!$ç$881), "", 'Data Entry'!$ç$881)</f>
      </c>
      <c r="FL881">
        <f>IF(ISBLANK('Data Entry'!$è$881), "", 'Data Entry'!$è$881)</f>
      </c>
      <c r="FM881">
        <f>IF(ISBLANK('Data Entry'!$é$881), "", 'Data Entry'!$é$881)</f>
      </c>
      <c r="FN881">
        <f>IF(ISBLANK('Data Entry'!$ê$881), "", 'Data Entry'!$ê$881)</f>
      </c>
      <c r="FO881">
        <f>IF(ISBLANK('Data Entry'!$ë$881), "", 'Data Entry'!$ë$881)</f>
      </c>
      <c r="FP881">
        <f>IF(ISBLANK('Data Entry'!$ì$881), "", 'Data Entry'!$ì$881)</f>
      </c>
      <c r="FQ881">
        <f>IF(ISBLANK('Data Entry'!$í$881), "", 'Data Entry'!$í$881)</f>
      </c>
      <c r="FR881">
        <f>IF(ISBLANK('Data Entry'!$î$881), "", 'Data Entry'!$î$881)</f>
      </c>
      <c r="FS881">
        <f>IF(ISBLANK('Data Entry'!$ï$881), "", 'Data Entry'!$ï$881)</f>
      </c>
      <c r="FT881">
        <f>IF(ISBLANK('Data Entry'!$ð$881), "", 'Data Entry'!$ð$881)</f>
      </c>
      <c r="FU881">
        <f>IF(ISBLANK('Data Entry'!$ñ$881), "", 'Data Entry'!$ñ$881)</f>
      </c>
      <c r="FV881">
        <f>IF(ISBLANK('Data Entry'!$ò$881), "", 'Data Entry'!$ò$881)</f>
      </c>
      <c r="FW881">
        <f>IF(ISBLANK('Data Entry'!$ó$881), "", 'Data Entry'!$ó$881)</f>
      </c>
      <c r="FX881">
        <f>IF(ISBLANK('Data Entry'!$ô$881), "", 'Data Entry'!$ô$881)</f>
      </c>
      <c r="FY881">
        <f>IF(ISBLANK('Data Entry'!$õ$881), "", 'Data Entry'!$õ$881)</f>
      </c>
      <c r="FZ881">
        <f>IF(ISBLANK('Data Entry'!$ö$881), "", 'Data Entry'!$ö$881)</f>
      </c>
      <c r="GA881">
        <f>IF(ISBLANK('Data Entry'!$÷$881), "", 'Data Entry'!$÷$881)</f>
      </c>
      <c r="GB881">
        <f>IF(ISBLANK('Data Entry'!$ø$881), "", 'Data Entry'!$ø$881)</f>
      </c>
      <c r="GC881">
        <f>IF(ISBLANK('Data Entry'!$ù$881), "", 'Data Entry'!$ù$881)</f>
      </c>
      <c r="GD881">
        <f>IF(ISBLANK('Data Entry'!$ú$881), "", 'Data Entry'!$ú$881)</f>
      </c>
      <c r="GE881">
        <f>IF(ISBLANK('Data Entry'!$û$881), "", 'Data Entry'!$û$881)</f>
      </c>
      <c r="GF881">
        <f>IF(ISBLANK('Data Entry'!$ü$881), "", 'Data Entry'!$ü$881)</f>
      </c>
      <c r="GG881">
        <f>IF(ISBLANK('Data Entry'!$ý$881), "", 'Data Entry'!$ý$881)</f>
      </c>
      <c r="GH881">
        <f>IF(ISBLANK('Data Entry'!$þ$881), "", 'Data Entry'!$þ$881)</f>
      </c>
      <c r="GI881">
        <f>IF(ISBLANK('Data Entry'!$ÿ$881), "", 'Data Entry'!$ÿ$881)</f>
      </c>
      <c r="GJ881">
        <f>IF(ISBLANK('Data Entry'!$Ā$881), "", 'Data Entry'!$Ā$881)</f>
      </c>
      <c r="GK881">
        <f>IF(ISBLANK('Data Entry'!$ā$881), "", 'Data Entry'!$ā$881)</f>
      </c>
      <c r="GL881">
        <f>IF(ISBLANK('Data Entry'!$Ă$881), "", 'Data Entry'!$Ă$881)</f>
      </c>
      <c r="GM881">
        <f>IF(ISBLANK('Data Entry'!$ă$881), "", 'Data Entry'!$ă$881)</f>
      </c>
      <c r="GN881">
        <f>IF(ISBLANK('Data Entry'!$Ą$881), "", 'Data Entry'!$Ą$881)</f>
      </c>
      <c r="GO881">
        <f>IF(ISBLANK('Data Entry'!$ą$881), "", 'Data Entry'!$ą$881)</f>
      </c>
      <c r="GP881">
        <f>IF(ISBLANK('Data Entry'!$Ć$881), "", 'Data Entry'!$Ć$881)</f>
      </c>
      <c r="GQ881">
        <f>IF(ISBLANK('Data Entry'!$ć$881), "", 'Data Entry'!$ć$881)</f>
      </c>
      <c r="GR881">
        <f>IF(ISBLANK('Data Entry'!$Ĉ$881), "", 'Data Entry'!$Ĉ$881)</f>
      </c>
      <c r="GS881">
        <f>IF(ISBLANK('Data Entry'!$ĉ$881), "", 'Data Entry'!$ĉ$881)</f>
      </c>
      <c r="GT881">
        <f>IF(ISBLANK('Data Entry'!$Ċ$881), "", 'Data Entry'!$Ċ$881)</f>
      </c>
      <c r="GU881">
        <f>IF(ISBLANK('Data Entry'!$ċ$881), "", 'Data Entry'!$ċ$881)</f>
      </c>
      <c r="GV881">
        <f>IF(ISBLANK('Data Entry'!$Č$881), "", 'Data Entry'!$Č$881)</f>
      </c>
      <c r="GW881">
        <f>IF(ISBLANK('Data Entry'!$č$881), "", 'Data Entry'!$č$881)</f>
      </c>
      <c r="GX881">
        <f>IF(ISBLANK('Data Entry'!$Ď$881), "", 'Data Entry'!$Ď$881)</f>
      </c>
      <c r="GY881">
        <f>IF(ISBLANK('Data Entry'!$ď$881), "", 'Data Entry'!$ď$881)</f>
      </c>
      <c r="GZ881">
        <f>IF(ISBLANK('Data Entry'!$Đ$881), "", 'Data Entry'!$Đ$881)</f>
      </c>
      <c r="HA881">
        <f>IF(ISBLANK('Data Entry'!$đ$881), "", 'Data Entry'!$đ$881)</f>
      </c>
      <c r="HB881">
        <f>IF(ISBLANK('Data Entry'!$Ē$881), "", 'Data Entry'!$Ē$881)</f>
      </c>
      <c r="HC881">
        <f>IF(ISBLANK('Data Entry'!$ē$881), "", 'Data Entry'!$ē$881)</f>
      </c>
      <c r="HD881">
        <f>IF(ISBLANK('Data Entry'!$Ĕ$881), "", 'Data Entry'!$Ĕ$881)</f>
      </c>
      <c r="HE881">
        <f>IF(ISBLANK('Data Entry'!$ĕ$881), "", 'Data Entry'!$ĕ$881)</f>
      </c>
      <c r="HF881">
        <f>IF(ISBLANK('Data Entry'!$Ė$881), "", 'Data Entry'!$Ė$881)</f>
      </c>
      <c r="HG881">
        <f>IF(ISBLANK('Data Entry'!$ė$881), "", 'Data Entry'!$ė$881)</f>
      </c>
      <c r="HH881">
        <f>IF(ISBLANK('Data Entry'!$Ę$881), "", 'Data Entry'!$Ę$881)</f>
      </c>
      <c r="HI881">
        <f>IF(ISBLANK('Data Entry'!$ę$881), "", 'Data Entry'!$ę$881)</f>
      </c>
      <c r="HJ881">
        <f>IF(ISBLANK('Data Entry'!$Ě$881), "", 'Data Entry'!$Ě$881)</f>
      </c>
      <c r="HK881">
        <f>IF(ISBLANK('Data Entry'!$ě$881), "", 'Data Entry'!$ě$881)</f>
      </c>
      <c r="HL881">
        <f>IF(ISBLANK('Data Entry'!$Ĝ$881), "", 'Data Entry'!$Ĝ$881)</f>
      </c>
      <c r="HM881">
        <f>IF(ISBLANK('Data Entry'!$ĝ$881), "", 'Data Entry'!$ĝ$881)</f>
      </c>
      <c r="HN881">
        <f>IF(ISBLANK('Data Entry'!$Ğ$881), "", 'Data Entry'!$Ğ$881)</f>
      </c>
      <c r="HO881">
        <f>IF(ISBLANK('Data Entry'!$ğ$881), "", 'Data Entry'!$ğ$881)</f>
      </c>
      <c r="HP881">
        <f>IF(ISBLANK('Data Entry'!$Ġ$881), "", 'Data Entry'!$Ġ$881)</f>
      </c>
      <c r="HQ881">
        <f>IF(ISBLANK('Data Entry'!$ġ$881), "", 'Data Entry'!$ġ$881)</f>
      </c>
      <c r="HR881">
        <f>IF(ISBLANK('Data Entry'!$Ģ$881), "", 'Data Entry'!$Ģ$881)</f>
      </c>
      <c r="HS881">
        <f>IF(ISBLANK('Data Entry'!$ģ$881), "", 'Data Entry'!$ģ$881)</f>
      </c>
      <c r="HT881">
        <f>IF(ISBLANK('Data Entry'!$Ĥ$881), "", 'Data Entry'!$Ĥ$881)</f>
      </c>
      <c r="HU881">
        <f>IF(ISBLANK('Data Entry'!$ĥ$881), "", 'Data Entry'!$ĥ$881)</f>
      </c>
      <c r="HV881">
        <f>IF(ISBLANK('Data Entry'!$Ħ$881), "", 'Data Entry'!$Ħ$881)</f>
      </c>
      <c r="HW881">
        <f>IF(ISBLANK('Data Entry'!$ħ$881), "", 'Data Entry'!$ħ$881)</f>
      </c>
      <c r="HX881">
        <f>IF(ISBLANK('Data Entry'!$Ĩ$881), "", 'Data Entry'!$Ĩ$881)</f>
      </c>
      <c r="HY881">
        <f>IF(ISBLANK('Data Entry'!$ĩ$881), "", 'Data Entry'!$ĩ$881)</f>
      </c>
      <c r="HZ881">
        <f>IF(ISBLANK('Data Entry'!$Ī$881), "", 'Data Entry'!$Ī$881)</f>
      </c>
      <c r="IA881">
        <f>IF(ISBLANK('Data Entry'!$ī$881), "", 'Data Entry'!$ī$881)</f>
      </c>
      <c r="IB881">
        <f>IF(ISBLANK('Data Entry'!$Ĭ$881), "", 'Data Entry'!$Ĭ$881)</f>
      </c>
      <c r="IC881">
        <f>IF(ISBLANK('Data Entry'!$ĭ$881), "", 'Data Entry'!$ĭ$881)</f>
      </c>
      <c r="ID881">
        <f>IF(ISBLANK('Data Entry'!$Į$881), "", 'Data Entry'!$Į$881)</f>
      </c>
      <c r="IE881">
        <f>IF(ISBLANK('Data Entry'!$į$881), "", 'Data Entry'!$į$881)</f>
      </c>
      <c r="IF881">
        <f>IF(ISBLANK('Data Entry'!$İ$881), "", 'Data Entry'!$İ$881)</f>
      </c>
      <c r="IG881">
        <f>IF(ISBLANK('Data Entry'!$ı$881), "", 'Data Entry'!$ı$881)</f>
      </c>
      <c r="IH881">
        <f>IF(ISBLANK('Data Entry'!$Ĳ$881), "", 'Data Entry'!$Ĳ$881)</f>
      </c>
      <c r="II881">
        <f>IF(ISBLANK('Data Entry'!$ĳ$881), "", 'Data Entry'!$ĳ$881)</f>
      </c>
      <c r="IJ881">
        <f>IF(ISBLANK('Data Entry'!$Ĵ$881), "", 'Data Entry'!$Ĵ$881)</f>
      </c>
      <c r="IK881">
        <f>IF(ISBLANK('Data Entry'!$ĵ$881), "", 'Data Entry'!$ĵ$881)</f>
      </c>
      <c r="IL881">
        <f>IF(ISBLANK('Data Entry'!$Ķ$881), "", 'Data Entry'!$Ķ$881)</f>
      </c>
      <c r="IM881">
        <f>IF(ISBLANK('Data Entry'!$ķ$881), "", 'Data Entry'!$ķ$881)</f>
      </c>
      <c r="IN881">
        <f>IF(ISBLANK('Data Entry'!$ĸ$881), "", 'Data Entry'!$ĸ$881)</f>
      </c>
      <c r="IO881">
        <f>IF(ISBLANK('Data Entry'!$Ĺ$881), "", 'Data Entry'!$Ĺ$881)</f>
      </c>
      <c r="IP881">
        <f>IF(ISBLANK('Data Entry'!$ĺ$881), "", 'Data Entry'!$ĺ$881)</f>
      </c>
      <c r="IQ881">
        <f>IF(ISBLANK('Data Entry'!$Ļ$881), "", 'Data Entry'!$Ļ$881)</f>
      </c>
      <c r="IR881">
        <f>IF(ISBLANK('Data Entry'!$ļ$881), "", 'Data Entry'!$ļ$881)</f>
      </c>
      <c r="IS881">
        <f>IF(ISBLANK('Data Entry'!$Ľ$881), "", 'Data Entry'!$Ľ$881)</f>
      </c>
      <c r="IT881">
        <f>IF(ISBLANK('Data Entry'!$ľ$881), "", 'Data Entry'!$ľ$881)</f>
      </c>
    </row>
    <row r="882" spans="1:254" x14ac:dyDescent="0.25">
      <c r="A882">
        <f>IF(ISBLANK('Data Entry'!$A$882), "", 'Data Entry'!$A$882)</f>
      </c>
      <c r="B882">
        <f>IF(ISBLANK('Data Entry'!$B$882), "", 'Data Entry'!$B$882)</f>
      </c>
      <c r="C882">
        <f>IF(ISBLANK('Data Entry'!$C$882), "", 'Data Entry'!$C$882)</f>
      </c>
      <c r="D882">
        <f>IF(ISBLANK('Data Entry'!$D$882), "", 'Data Entry'!$D$882)</f>
      </c>
      <c r="E882">
        <f>IF(ISBLANK('Data Entry'!$E$882), "", 'Data Entry'!$E$882)</f>
      </c>
      <c r="F882">
        <f>IF(ISBLANK('Data Entry'!$F$882), "", 'Data Entry'!$F$882)</f>
      </c>
      <c r="G882">
        <f>IF(ISBLANK('Data Entry'!$G$882), "", 'Data Entry'!$G$882)</f>
      </c>
      <c r="H882">
        <f>IF(ISBLANK('Data Entry'!$H$882), "", 'Data Entry'!$H$882)</f>
      </c>
      <c r="I882">
        <f>IF(ISBLANK('Data Entry'!$I$882), "", 'Data Entry'!$I$882)</f>
      </c>
      <c r="J882">
        <f>IF(ISBLANK('Data Entry'!$J$882), "", 'Data Entry'!$J$882)</f>
      </c>
      <c r="K882">
        <f>IF(ISBLANK('Data Entry'!$K$882), "", 'Data Entry'!$K$882)</f>
      </c>
      <c r="L882">
        <f>IF(ISBLANK('Data Entry'!$L$882), "", 'Data Entry'!$L$882)</f>
      </c>
      <c r="M882">
        <f>IF(ISBLANK('Data Entry'!$M$882), "", 'Data Entry'!$M$882)</f>
      </c>
      <c r="N882">
        <f>IF(ISBLANK('Data Entry'!$N$882), "", 'Data Entry'!$N$882)</f>
      </c>
      <c r="O882">
        <f>IF(ISBLANK('Data Entry'!$O$882), "", 'Data Entry'!$O$882)</f>
      </c>
      <c r="P882">
        <f>IF(ISBLANK('Data Entry'!$P$882), "", 'Data Entry'!$P$882)</f>
      </c>
      <c r="Q882">
        <f>IF(ISBLANK('Data Entry'!$Q$882), "", 'Data Entry'!$Q$882)</f>
      </c>
      <c r="R882">
        <f>IF(ISBLANK('Data Entry'!$R$882), "", 'Data Entry'!$R$882)</f>
      </c>
      <c r="S882">
        <f>IF(ISBLANK('Data Entry'!$S$882), "", 'Data Entry'!$S$882)</f>
      </c>
      <c r="T882">
        <f>IF(ISBLANK('Data Entry'!$T$882), "", 'Data Entry'!$T$882)</f>
      </c>
      <c r="U882">
        <f>IF(ISBLANK('Data Entry'!$U$882), "", 'Data Entry'!$U$882)</f>
      </c>
      <c r="V882">
        <f>IF(ISBLANK('Data Entry'!$V$882), "", 'Data Entry'!$V$882)</f>
      </c>
      <c r="W882">
        <f>IF(ISBLANK('Data Entry'!$W$882), "", 'Data Entry'!$W$882)</f>
      </c>
      <c r="X882">
        <f>IF(ISBLANK('Data Entry'!$X$882), "", 'Data Entry'!$X$882)</f>
      </c>
      <c r="Y882">
        <f>IF(ISBLANK('Data Entry'!$Y$882), "", 'Data Entry'!$Y$882)</f>
      </c>
      <c r="Z882">
        <f>IF(ISBLANK('Data Entry'!$Z$882), "", 'Data Entry'!$Z$882)</f>
      </c>
      <c r="AA882">
        <f>IF(ISBLANK('Data Entry'!$[$882), "", 'Data Entry'!$[$882)</f>
      </c>
      <c r="AB882">
        <f>IF(ISBLANK('Data Entry'!$\$882), "", 'Data Entry'!$\$882)</f>
      </c>
      <c r="AC882">
        <f>IF(ISBLANK('Data Entry'!$]$882), "", 'Data Entry'!$]$882)</f>
      </c>
      <c r="AD882">
        <f>IF(ISBLANK('Data Entry'!$^$882), "", 'Data Entry'!$^$882)</f>
      </c>
      <c r="AE882">
        <f>IF(ISBLANK('Data Entry'!$_$882), "", 'Data Entry'!$_$882)</f>
      </c>
      <c r="AF882">
        <f>IF(ISBLANK('Data Entry'!$`$882), "", 'Data Entry'!$`$882)</f>
      </c>
      <c r="AG882">
        <f>IF(ISBLANK('Data Entry'!$a$882), "", 'Data Entry'!$a$882)</f>
      </c>
      <c r="AH882">
        <f>IF(ISBLANK('Data Entry'!$b$882), "", 'Data Entry'!$b$882)</f>
      </c>
      <c r="AI882">
        <f>IF(ISBLANK('Data Entry'!$c$882), "", 'Data Entry'!$c$882)</f>
      </c>
      <c r="AJ882">
        <f>IF(ISBLANK('Data Entry'!$d$882), "", 'Data Entry'!$d$882)</f>
      </c>
      <c r="AK882">
        <f>IF(ISBLANK('Data Entry'!$e$882), "", 'Data Entry'!$e$882)</f>
      </c>
      <c r="AL882">
        <f>IF(ISBLANK('Data Entry'!$f$882), "", 'Data Entry'!$f$882)</f>
      </c>
      <c r="AM882">
        <f>IF(ISBLANK('Data Entry'!$g$882), "", 'Data Entry'!$g$882)</f>
      </c>
      <c r="AN882">
        <f>IF(ISBLANK('Data Entry'!$h$882), "", 'Data Entry'!$h$882)</f>
      </c>
      <c r="AO882">
        <f>IF(ISBLANK('Data Entry'!$i$882), "", 'Data Entry'!$i$882)</f>
      </c>
      <c r="AP882">
        <f>IF(ISBLANK('Data Entry'!$j$882), "", 'Data Entry'!$j$882)</f>
      </c>
      <c r="AQ882">
        <f>IF(ISBLANK('Data Entry'!$k$882), "", 'Data Entry'!$k$882)</f>
      </c>
      <c r="AR882">
        <f>IF(ISBLANK('Data Entry'!$l$882), "", 'Data Entry'!$l$882)</f>
      </c>
      <c r="AS882">
        <f>IF(ISBLANK('Data Entry'!$m$882), "", 'Data Entry'!$m$882)</f>
      </c>
      <c r="AT882">
        <f>IF(ISBLANK('Data Entry'!$n$882), "", 'Data Entry'!$n$882)</f>
      </c>
      <c r="AU882">
        <f>IF(ISBLANK('Data Entry'!$o$882), "", 'Data Entry'!$o$882)</f>
      </c>
      <c r="AV882">
        <f>IF(ISBLANK('Data Entry'!$p$882), "", 'Data Entry'!$p$882)</f>
      </c>
      <c r="AW882">
        <f>IF(ISBLANK('Data Entry'!$q$882), "", 'Data Entry'!$q$882)</f>
      </c>
      <c r="AX882">
        <f>IF(ISBLANK('Data Entry'!$r$882), "", 'Data Entry'!$r$882)</f>
      </c>
      <c r="AY882">
        <f>IF(ISBLANK('Data Entry'!$s$882), "", 'Data Entry'!$s$882)</f>
      </c>
      <c r="AZ882">
        <f>IF(ISBLANK('Data Entry'!$t$882), "", 'Data Entry'!$t$882)</f>
      </c>
      <c r="BA882">
        <f>IF(ISBLANK('Data Entry'!$u$882), "", 'Data Entry'!$u$882)</f>
      </c>
      <c r="BB882">
        <f>IF(ISBLANK('Data Entry'!$v$882), "", 'Data Entry'!$v$882)</f>
      </c>
      <c r="BC882">
        <f>IF(ISBLANK('Data Entry'!$w$882), "", 'Data Entry'!$w$882)</f>
      </c>
      <c r="BD882">
        <f>IF(ISBLANK('Data Entry'!$x$882), "", 'Data Entry'!$x$882)</f>
      </c>
      <c r="BE882">
        <f>IF(ISBLANK('Data Entry'!$y$882), "", 'Data Entry'!$y$882)</f>
      </c>
      <c r="BF882">
        <f>IF(ISBLANK('Data Entry'!$z$882), "", 'Data Entry'!$z$882)</f>
      </c>
      <c r="BG882">
        <f>IF(ISBLANK('Data Entry'!${$882), "", 'Data Entry'!${$882)</f>
      </c>
      <c r="BH882">
        <f>IF(ISBLANK('Data Entry'!$|$882), "", 'Data Entry'!$|$882)</f>
      </c>
      <c r="BI882">
        <f>IF(ISBLANK('Data Entry'!$}$882), "", 'Data Entry'!$}$882)</f>
      </c>
      <c r="BJ882">
        <f>IF(ISBLANK('Data Entry'!$~$882), "", 'Data Entry'!$~$882)</f>
      </c>
      <c r="BK882">
        <f>IF(ISBLANK('Data Entry'!$$882), "", 'Data Entry'!$$882)</f>
      </c>
      <c r="BL882">
        <f>IF(ISBLANK('Data Entry'!$$882), "", 'Data Entry'!$$882)</f>
      </c>
      <c r="BM882">
        <f>IF(ISBLANK('Data Entry'!$$882), "", 'Data Entry'!$$882)</f>
      </c>
      <c r="BN882">
        <f>IF(ISBLANK('Data Entry'!$$882), "", 'Data Entry'!$$882)</f>
      </c>
      <c r="BO882">
        <f>IF(ISBLANK('Data Entry'!$$882), "", 'Data Entry'!$$882)</f>
      </c>
      <c r="BP882">
        <f>IF(ISBLANK('Data Entry'!$$882), "", 'Data Entry'!$$882)</f>
      </c>
      <c r="BQ882">
        <f>IF(ISBLANK('Data Entry'!$$882), "", 'Data Entry'!$$882)</f>
      </c>
      <c r="BR882">
        <f>IF(ISBLANK('Data Entry'!$$882), "", 'Data Entry'!$$882)</f>
      </c>
      <c r="BS882">
        <f>IF(ISBLANK('Data Entry'!$$882), "", 'Data Entry'!$$882)</f>
      </c>
      <c r="BT882">
        <f>IF(ISBLANK('Data Entry'!$$882), "", 'Data Entry'!$$882)</f>
      </c>
      <c r="BU882">
        <f>IF(ISBLANK('Data Entry'!$$882), "", 'Data Entry'!$$882)</f>
      </c>
      <c r="BV882">
        <f>IF(ISBLANK('Data Entry'!$$882), "", 'Data Entry'!$$882)</f>
      </c>
      <c r="BW882">
        <f>IF(ISBLANK('Data Entry'!$$882), "", 'Data Entry'!$$882)</f>
      </c>
      <c r="BX882">
        <f>IF(ISBLANK('Data Entry'!$$882), "", 'Data Entry'!$$882)</f>
      </c>
      <c r="BY882">
        <f>IF(ISBLANK('Data Entry'!$$882), "", 'Data Entry'!$$882)</f>
      </c>
      <c r="BZ882">
        <f>IF(ISBLANK('Data Entry'!$$882), "", 'Data Entry'!$$882)</f>
      </c>
      <c r="CA882">
        <f>IF(ISBLANK('Data Entry'!$$882), "", 'Data Entry'!$$882)</f>
      </c>
      <c r="CB882">
        <f>IF(ISBLANK('Data Entry'!$$882), "", 'Data Entry'!$$882)</f>
      </c>
      <c r="CC882">
        <f>IF(ISBLANK('Data Entry'!$$882), "", 'Data Entry'!$$882)</f>
      </c>
      <c r="CD882">
        <f>IF(ISBLANK('Data Entry'!$$882), "", 'Data Entry'!$$882)</f>
      </c>
      <c r="CE882">
        <f>IF(ISBLANK('Data Entry'!$$882), "", 'Data Entry'!$$882)</f>
      </c>
      <c r="CF882">
        <f>IF(ISBLANK('Data Entry'!$$882), "", 'Data Entry'!$$882)</f>
      </c>
      <c r="CG882">
        <f>IF(ISBLANK('Data Entry'!$$882), "", 'Data Entry'!$$882)</f>
      </c>
      <c r="CH882">
        <f>IF(ISBLANK('Data Entry'!$$882), "", 'Data Entry'!$$882)</f>
      </c>
      <c r="CI882">
        <f>IF(ISBLANK('Data Entry'!$$882), "", 'Data Entry'!$$882)</f>
      </c>
      <c r="CJ882">
        <f>IF(ISBLANK('Data Entry'!$$882), "", 'Data Entry'!$$882)</f>
      </c>
      <c r="CK882">
        <f>IF(ISBLANK('Data Entry'!$$882), "", 'Data Entry'!$$882)</f>
      </c>
      <c r="CL882">
        <f>IF(ISBLANK('Data Entry'!$$882), "", 'Data Entry'!$$882)</f>
      </c>
      <c r="CM882">
        <f>IF(ISBLANK('Data Entry'!$$882), "", 'Data Entry'!$$882)</f>
      </c>
      <c r="CN882">
        <f>IF(ISBLANK('Data Entry'!$$882), "", 'Data Entry'!$$882)</f>
      </c>
      <c r="CO882">
        <f>IF(ISBLANK('Data Entry'!$$882), "", 'Data Entry'!$$882)</f>
      </c>
      <c r="CP882">
        <f>IF(ISBLANK('Data Entry'!$$882), "", 'Data Entry'!$$882)</f>
      </c>
      <c r="CQ882">
        <f>IF(ISBLANK('Data Entry'!$$882), "", 'Data Entry'!$$882)</f>
      </c>
      <c r="CR882">
        <f>IF(ISBLANK('Data Entry'!$ $882), "", 'Data Entry'!$ $882)</f>
      </c>
      <c r="CS882">
        <f>IF(ISBLANK('Data Entry'!$¡$882), "", 'Data Entry'!$¡$882)</f>
      </c>
      <c r="CT882">
        <f>IF(ISBLANK('Data Entry'!$¢$882), "", 'Data Entry'!$¢$882)</f>
      </c>
      <c r="CU882">
        <f>IF(ISBLANK('Data Entry'!$£$882), "", 'Data Entry'!$£$882)</f>
      </c>
      <c r="CV882">
        <f>IF(ISBLANK('Data Entry'!$¤$882), "", 'Data Entry'!$¤$882)</f>
      </c>
      <c r="CW882">
        <f>IF(ISBLANK('Data Entry'!$¥$882), "", 'Data Entry'!$¥$882)</f>
      </c>
      <c r="CX882">
        <f>IF(ISBLANK('Data Entry'!$¦$882), "", 'Data Entry'!$¦$882)</f>
      </c>
      <c r="CY882">
        <f>IF(ISBLANK('Data Entry'!$§$882), "", 'Data Entry'!$§$882)</f>
      </c>
      <c r="CZ882">
        <f>IF(ISBLANK('Data Entry'!$¨$882), "", 'Data Entry'!$¨$882)</f>
      </c>
      <c r="DA882">
        <f>IF(ISBLANK('Data Entry'!$©$882), "", 'Data Entry'!$©$882)</f>
      </c>
      <c r="DB882">
        <f>IF(ISBLANK('Data Entry'!$ª$882), "", 'Data Entry'!$ª$882)</f>
      </c>
      <c r="DC882">
        <f>IF(ISBLANK('Data Entry'!$«$882), "", 'Data Entry'!$«$882)</f>
      </c>
      <c r="DD882">
        <f>IF(ISBLANK('Data Entry'!$¬$882), "", 'Data Entry'!$¬$882)</f>
      </c>
      <c r="DE882">
        <f>IF(ISBLANK('Data Entry'!$­$882), "", 'Data Entry'!$­$882)</f>
      </c>
      <c r="DF882">
        <f>IF(ISBLANK('Data Entry'!$®$882), "", 'Data Entry'!$®$882)</f>
      </c>
      <c r="DG882">
        <f>IF(ISBLANK('Data Entry'!$¯$882), "", 'Data Entry'!$¯$882)</f>
      </c>
      <c r="DH882">
        <f>IF(ISBLANK('Data Entry'!$°$882), "", 'Data Entry'!$°$882)</f>
      </c>
      <c r="DI882">
        <f>IF(ISBLANK('Data Entry'!$±$882), "", 'Data Entry'!$±$882)</f>
      </c>
      <c r="DJ882">
        <f>IF(ISBLANK('Data Entry'!$²$882), "", 'Data Entry'!$²$882)</f>
      </c>
      <c r="DK882">
        <f>IF(ISBLANK('Data Entry'!$³$882), "", 'Data Entry'!$³$882)</f>
      </c>
      <c r="DL882">
        <f>IF(ISBLANK('Data Entry'!$´$882), "", 'Data Entry'!$´$882)</f>
      </c>
      <c r="DM882">
        <f>IF(ISBLANK('Data Entry'!$µ$882), "", 'Data Entry'!$µ$882)</f>
      </c>
      <c r="DN882">
        <f>IF(ISBLANK('Data Entry'!$¶$882), "", 'Data Entry'!$¶$882)</f>
      </c>
      <c r="DO882">
        <f>IF(ISBLANK('Data Entry'!$·$882), "", 'Data Entry'!$·$882)</f>
      </c>
      <c r="DP882">
        <f>IF(ISBLANK('Data Entry'!$¸$882), "", 'Data Entry'!$¸$882)</f>
      </c>
      <c r="DQ882">
        <f>IF(ISBLANK('Data Entry'!$¹$882), "", 'Data Entry'!$¹$882)</f>
      </c>
      <c r="DR882">
        <f>IF(ISBLANK('Data Entry'!$º$882), "", 'Data Entry'!$º$882)</f>
      </c>
      <c r="DS882">
        <f>IF(ISBLANK('Data Entry'!$»$882), "", 'Data Entry'!$»$882)</f>
      </c>
      <c r="DT882">
        <f>IF(ISBLANK('Data Entry'!$¼$882), "", 'Data Entry'!$¼$882)</f>
      </c>
      <c r="DU882">
        <f>IF(ISBLANK('Data Entry'!$½$882), "", 'Data Entry'!$½$882)</f>
      </c>
      <c r="DV882">
        <f>IF(ISBLANK('Data Entry'!$¾$882), "", 'Data Entry'!$¾$882)</f>
      </c>
      <c r="DW882">
        <f>IF(ISBLANK('Data Entry'!$¿$882), "", 'Data Entry'!$¿$882)</f>
      </c>
      <c r="DX882">
        <f>IF(ISBLANK('Data Entry'!$À$882), "", 'Data Entry'!$À$882)</f>
      </c>
      <c r="DY882">
        <f>IF(ISBLANK('Data Entry'!$Á$882), "", 'Data Entry'!$Á$882)</f>
      </c>
      <c r="DZ882">
        <f>IF(ISBLANK('Data Entry'!$Â$882), "", 'Data Entry'!$Â$882)</f>
      </c>
      <c r="EA882">
        <f>IF(ISBLANK('Data Entry'!$Ã$882), "", 'Data Entry'!$Ã$882)</f>
      </c>
      <c r="EB882">
        <f>IF(ISBLANK('Data Entry'!$Ä$882), "", 'Data Entry'!$Ä$882)</f>
      </c>
      <c r="EC882">
        <f>IF(ISBLANK('Data Entry'!$Å$882), "", 'Data Entry'!$Å$882)</f>
      </c>
      <c r="ED882">
        <f>IF(ISBLANK('Data Entry'!$Æ$882), "", 'Data Entry'!$Æ$882)</f>
      </c>
      <c r="EE882">
        <f>IF(ISBLANK('Data Entry'!$Ç$882), "", 'Data Entry'!$Ç$882)</f>
      </c>
      <c r="EF882">
        <f>IF(ISBLANK('Data Entry'!$È$882), "", 'Data Entry'!$È$882)</f>
      </c>
      <c r="EG882">
        <f>IF(ISBLANK('Data Entry'!$É$882), "", 'Data Entry'!$É$882)</f>
      </c>
      <c r="EH882">
        <f>IF(ISBLANK('Data Entry'!$Ê$882), "", 'Data Entry'!$Ê$882)</f>
      </c>
      <c r="EI882">
        <f>IF(ISBLANK('Data Entry'!$Ë$882), "", 'Data Entry'!$Ë$882)</f>
      </c>
      <c r="EJ882">
        <f>IF(ISBLANK('Data Entry'!$Ì$882), "", 'Data Entry'!$Ì$882)</f>
      </c>
      <c r="EK882">
        <f>IF(ISBLANK('Data Entry'!$Í$882), "", 'Data Entry'!$Í$882)</f>
      </c>
      <c r="EL882">
        <f>IF(ISBLANK('Data Entry'!$Î$882), "", 'Data Entry'!$Î$882)</f>
      </c>
      <c r="EM882">
        <f>IF(ISBLANK('Data Entry'!$Ï$882), "", 'Data Entry'!$Ï$882)</f>
      </c>
      <c r="EN882">
        <f>IF(ISBLANK('Data Entry'!$Ð$882), "", 'Data Entry'!$Ð$882)</f>
      </c>
      <c r="EO882">
        <f>IF(ISBLANK('Data Entry'!$Ñ$882), "", 'Data Entry'!$Ñ$882)</f>
      </c>
      <c r="EP882">
        <f>IF(ISBLANK('Data Entry'!$Ò$882), "", 'Data Entry'!$Ò$882)</f>
      </c>
      <c r="EQ882">
        <f>IF(ISBLANK('Data Entry'!$Ó$882), "", 'Data Entry'!$Ó$882)</f>
      </c>
      <c r="ER882">
        <f>IF(ISBLANK('Data Entry'!$Ô$882), "", 'Data Entry'!$Ô$882)</f>
      </c>
      <c r="ES882">
        <f>IF(ISBLANK('Data Entry'!$Õ$882), "", 'Data Entry'!$Õ$882)</f>
      </c>
      <c r="ET882">
        <f>IF(ISBLANK('Data Entry'!$Ö$882), "", 'Data Entry'!$Ö$882)</f>
      </c>
      <c r="EU882">
        <f>IF(ISBLANK('Data Entry'!$×$882), "", 'Data Entry'!$×$882)</f>
      </c>
      <c r="EV882">
        <f>IF(ISBLANK('Data Entry'!$Ø$882), "", 'Data Entry'!$Ø$882)</f>
      </c>
      <c r="EW882">
        <f>IF(ISBLANK('Data Entry'!$Ù$882), "", 'Data Entry'!$Ù$882)</f>
      </c>
      <c r="EX882">
        <f>IF(ISBLANK('Data Entry'!$Ú$882), "", 'Data Entry'!$Ú$882)</f>
      </c>
      <c r="EY882">
        <f>IF(ISBLANK('Data Entry'!$Û$882), "", 'Data Entry'!$Û$882)</f>
      </c>
      <c r="EZ882">
        <f>IF(ISBLANK('Data Entry'!$Ü$882), "", 'Data Entry'!$Ü$882)</f>
      </c>
      <c r="FA882">
        <f>IF(ISBLANK('Data Entry'!$Ý$882), "", 'Data Entry'!$Ý$882)</f>
      </c>
      <c r="FB882">
        <f>IF(ISBLANK('Data Entry'!$Þ$882), "", 'Data Entry'!$Þ$882)</f>
      </c>
      <c r="FC882">
        <f>IF(ISBLANK('Data Entry'!$ß$882), "", 'Data Entry'!$ß$882)</f>
      </c>
      <c r="FD882">
        <f>IF(ISBLANK('Data Entry'!$à$882), "", 'Data Entry'!$à$882)</f>
      </c>
      <c r="FE882">
        <f>IF(ISBLANK('Data Entry'!$á$882), "", 'Data Entry'!$á$882)</f>
      </c>
      <c r="FF882">
        <f>IF(ISBLANK('Data Entry'!$â$882), "", 'Data Entry'!$â$882)</f>
      </c>
      <c r="FG882">
        <f>IF(ISBLANK('Data Entry'!$ã$882), "", 'Data Entry'!$ã$882)</f>
      </c>
      <c r="FH882">
        <f>IF(ISBLANK('Data Entry'!$ä$882), "", 'Data Entry'!$ä$882)</f>
      </c>
      <c r="FI882">
        <f>IF(ISBLANK('Data Entry'!$å$882), "", 'Data Entry'!$å$882)</f>
      </c>
      <c r="FJ882">
        <f>IF(ISBLANK('Data Entry'!$æ$882), "", 'Data Entry'!$æ$882)</f>
      </c>
      <c r="FK882">
        <f>IF(ISBLANK('Data Entry'!$ç$882), "", 'Data Entry'!$ç$882)</f>
      </c>
      <c r="FL882">
        <f>IF(ISBLANK('Data Entry'!$è$882), "", 'Data Entry'!$è$882)</f>
      </c>
      <c r="FM882">
        <f>IF(ISBLANK('Data Entry'!$é$882), "", 'Data Entry'!$é$882)</f>
      </c>
      <c r="FN882">
        <f>IF(ISBLANK('Data Entry'!$ê$882), "", 'Data Entry'!$ê$882)</f>
      </c>
      <c r="FO882">
        <f>IF(ISBLANK('Data Entry'!$ë$882), "", 'Data Entry'!$ë$882)</f>
      </c>
      <c r="FP882">
        <f>IF(ISBLANK('Data Entry'!$ì$882), "", 'Data Entry'!$ì$882)</f>
      </c>
      <c r="FQ882">
        <f>IF(ISBLANK('Data Entry'!$í$882), "", 'Data Entry'!$í$882)</f>
      </c>
      <c r="FR882">
        <f>IF(ISBLANK('Data Entry'!$î$882), "", 'Data Entry'!$î$882)</f>
      </c>
      <c r="FS882">
        <f>IF(ISBLANK('Data Entry'!$ï$882), "", 'Data Entry'!$ï$882)</f>
      </c>
      <c r="FT882">
        <f>IF(ISBLANK('Data Entry'!$ð$882), "", 'Data Entry'!$ð$882)</f>
      </c>
      <c r="FU882">
        <f>IF(ISBLANK('Data Entry'!$ñ$882), "", 'Data Entry'!$ñ$882)</f>
      </c>
      <c r="FV882">
        <f>IF(ISBLANK('Data Entry'!$ò$882), "", 'Data Entry'!$ò$882)</f>
      </c>
      <c r="FW882">
        <f>IF(ISBLANK('Data Entry'!$ó$882), "", 'Data Entry'!$ó$882)</f>
      </c>
      <c r="FX882">
        <f>IF(ISBLANK('Data Entry'!$ô$882), "", 'Data Entry'!$ô$882)</f>
      </c>
      <c r="FY882">
        <f>IF(ISBLANK('Data Entry'!$õ$882), "", 'Data Entry'!$õ$882)</f>
      </c>
      <c r="FZ882">
        <f>IF(ISBLANK('Data Entry'!$ö$882), "", 'Data Entry'!$ö$882)</f>
      </c>
      <c r="GA882">
        <f>IF(ISBLANK('Data Entry'!$÷$882), "", 'Data Entry'!$÷$882)</f>
      </c>
      <c r="GB882">
        <f>IF(ISBLANK('Data Entry'!$ø$882), "", 'Data Entry'!$ø$882)</f>
      </c>
      <c r="GC882">
        <f>IF(ISBLANK('Data Entry'!$ù$882), "", 'Data Entry'!$ù$882)</f>
      </c>
      <c r="GD882">
        <f>IF(ISBLANK('Data Entry'!$ú$882), "", 'Data Entry'!$ú$882)</f>
      </c>
      <c r="GE882">
        <f>IF(ISBLANK('Data Entry'!$û$882), "", 'Data Entry'!$û$882)</f>
      </c>
      <c r="GF882">
        <f>IF(ISBLANK('Data Entry'!$ü$882), "", 'Data Entry'!$ü$882)</f>
      </c>
      <c r="GG882">
        <f>IF(ISBLANK('Data Entry'!$ý$882), "", 'Data Entry'!$ý$882)</f>
      </c>
      <c r="GH882">
        <f>IF(ISBLANK('Data Entry'!$þ$882), "", 'Data Entry'!$þ$882)</f>
      </c>
      <c r="GI882">
        <f>IF(ISBLANK('Data Entry'!$ÿ$882), "", 'Data Entry'!$ÿ$882)</f>
      </c>
      <c r="GJ882">
        <f>IF(ISBLANK('Data Entry'!$Ā$882), "", 'Data Entry'!$Ā$882)</f>
      </c>
      <c r="GK882">
        <f>IF(ISBLANK('Data Entry'!$ā$882), "", 'Data Entry'!$ā$882)</f>
      </c>
      <c r="GL882">
        <f>IF(ISBLANK('Data Entry'!$Ă$882), "", 'Data Entry'!$Ă$882)</f>
      </c>
      <c r="GM882">
        <f>IF(ISBLANK('Data Entry'!$ă$882), "", 'Data Entry'!$ă$882)</f>
      </c>
      <c r="GN882">
        <f>IF(ISBLANK('Data Entry'!$Ą$882), "", 'Data Entry'!$Ą$882)</f>
      </c>
      <c r="GO882">
        <f>IF(ISBLANK('Data Entry'!$ą$882), "", 'Data Entry'!$ą$882)</f>
      </c>
      <c r="GP882">
        <f>IF(ISBLANK('Data Entry'!$Ć$882), "", 'Data Entry'!$Ć$882)</f>
      </c>
      <c r="GQ882">
        <f>IF(ISBLANK('Data Entry'!$ć$882), "", 'Data Entry'!$ć$882)</f>
      </c>
      <c r="GR882">
        <f>IF(ISBLANK('Data Entry'!$Ĉ$882), "", 'Data Entry'!$Ĉ$882)</f>
      </c>
      <c r="GS882">
        <f>IF(ISBLANK('Data Entry'!$ĉ$882), "", 'Data Entry'!$ĉ$882)</f>
      </c>
      <c r="GT882">
        <f>IF(ISBLANK('Data Entry'!$Ċ$882), "", 'Data Entry'!$Ċ$882)</f>
      </c>
      <c r="GU882">
        <f>IF(ISBLANK('Data Entry'!$ċ$882), "", 'Data Entry'!$ċ$882)</f>
      </c>
      <c r="GV882">
        <f>IF(ISBLANK('Data Entry'!$Č$882), "", 'Data Entry'!$Č$882)</f>
      </c>
      <c r="GW882">
        <f>IF(ISBLANK('Data Entry'!$č$882), "", 'Data Entry'!$č$882)</f>
      </c>
      <c r="GX882">
        <f>IF(ISBLANK('Data Entry'!$Ď$882), "", 'Data Entry'!$Ď$882)</f>
      </c>
      <c r="GY882">
        <f>IF(ISBLANK('Data Entry'!$ď$882), "", 'Data Entry'!$ď$882)</f>
      </c>
      <c r="GZ882">
        <f>IF(ISBLANK('Data Entry'!$Đ$882), "", 'Data Entry'!$Đ$882)</f>
      </c>
      <c r="HA882">
        <f>IF(ISBLANK('Data Entry'!$đ$882), "", 'Data Entry'!$đ$882)</f>
      </c>
      <c r="HB882">
        <f>IF(ISBLANK('Data Entry'!$Ē$882), "", 'Data Entry'!$Ē$882)</f>
      </c>
      <c r="HC882">
        <f>IF(ISBLANK('Data Entry'!$ē$882), "", 'Data Entry'!$ē$882)</f>
      </c>
      <c r="HD882">
        <f>IF(ISBLANK('Data Entry'!$Ĕ$882), "", 'Data Entry'!$Ĕ$882)</f>
      </c>
      <c r="HE882">
        <f>IF(ISBLANK('Data Entry'!$ĕ$882), "", 'Data Entry'!$ĕ$882)</f>
      </c>
      <c r="HF882">
        <f>IF(ISBLANK('Data Entry'!$Ė$882), "", 'Data Entry'!$Ė$882)</f>
      </c>
      <c r="HG882">
        <f>IF(ISBLANK('Data Entry'!$ė$882), "", 'Data Entry'!$ė$882)</f>
      </c>
      <c r="HH882">
        <f>IF(ISBLANK('Data Entry'!$Ę$882), "", 'Data Entry'!$Ę$882)</f>
      </c>
      <c r="HI882">
        <f>IF(ISBLANK('Data Entry'!$ę$882), "", 'Data Entry'!$ę$882)</f>
      </c>
      <c r="HJ882">
        <f>IF(ISBLANK('Data Entry'!$Ě$882), "", 'Data Entry'!$Ě$882)</f>
      </c>
      <c r="HK882">
        <f>IF(ISBLANK('Data Entry'!$ě$882), "", 'Data Entry'!$ě$882)</f>
      </c>
      <c r="HL882">
        <f>IF(ISBLANK('Data Entry'!$Ĝ$882), "", 'Data Entry'!$Ĝ$882)</f>
      </c>
      <c r="HM882">
        <f>IF(ISBLANK('Data Entry'!$ĝ$882), "", 'Data Entry'!$ĝ$882)</f>
      </c>
      <c r="HN882">
        <f>IF(ISBLANK('Data Entry'!$Ğ$882), "", 'Data Entry'!$Ğ$882)</f>
      </c>
      <c r="HO882">
        <f>IF(ISBLANK('Data Entry'!$ğ$882), "", 'Data Entry'!$ğ$882)</f>
      </c>
      <c r="HP882">
        <f>IF(ISBLANK('Data Entry'!$Ġ$882), "", 'Data Entry'!$Ġ$882)</f>
      </c>
      <c r="HQ882">
        <f>IF(ISBLANK('Data Entry'!$ġ$882), "", 'Data Entry'!$ġ$882)</f>
      </c>
      <c r="HR882">
        <f>IF(ISBLANK('Data Entry'!$Ģ$882), "", 'Data Entry'!$Ģ$882)</f>
      </c>
      <c r="HS882">
        <f>IF(ISBLANK('Data Entry'!$ģ$882), "", 'Data Entry'!$ģ$882)</f>
      </c>
      <c r="HT882">
        <f>IF(ISBLANK('Data Entry'!$Ĥ$882), "", 'Data Entry'!$Ĥ$882)</f>
      </c>
      <c r="HU882">
        <f>IF(ISBLANK('Data Entry'!$ĥ$882), "", 'Data Entry'!$ĥ$882)</f>
      </c>
      <c r="HV882">
        <f>IF(ISBLANK('Data Entry'!$Ħ$882), "", 'Data Entry'!$Ħ$882)</f>
      </c>
      <c r="HW882">
        <f>IF(ISBLANK('Data Entry'!$ħ$882), "", 'Data Entry'!$ħ$882)</f>
      </c>
      <c r="HX882">
        <f>IF(ISBLANK('Data Entry'!$Ĩ$882), "", 'Data Entry'!$Ĩ$882)</f>
      </c>
      <c r="HY882">
        <f>IF(ISBLANK('Data Entry'!$ĩ$882), "", 'Data Entry'!$ĩ$882)</f>
      </c>
      <c r="HZ882">
        <f>IF(ISBLANK('Data Entry'!$Ī$882), "", 'Data Entry'!$Ī$882)</f>
      </c>
      <c r="IA882">
        <f>IF(ISBLANK('Data Entry'!$ī$882), "", 'Data Entry'!$ī$882)</f>
      </c>
      <c r="IB882">
        <f>IF(ISBLANK('Data Entry'!$Ĭ$882), "", 'Data Entry'!$Ĭ$882)</f>
      </c>
      <c r="IC882">
        <f>IF(ISBLANK('Data Entry'!$ĭ$882), "", 'Data Entry'!$ĭ$882)</f>
      </c>
      <c r="ID882">
        <f>IF(ISBLANK('Data Entry'!$Į$882), "", 'Data Entry'!$Į$882)</f>
      </c>
      <c r="IE882">
        <f>IF(ISBLANK('Data Entry'!$į$882), "", 'Data Entry'!$į$882)</f>
      </c>
      <c r="IF882">
        <f>IF(ISBLANK('Data Entry'!$İ$882), "", 'Data Entry'!$İ$882)</f>
      </c>
      <c r="IG882">
        <f>IF(ISBLANK('Data Entry'!$ı$882), "", 'Data Entry'!$ı$882)</f>
      </c>
      <c r="IH882">
        <f>IF(ISBLANK('Data Entry'!$Ĳ$882), "", 'Data Entry'!$Ĳ$882)</f>
      </c>
      <c r="II882">
        <f>IF(ISBLANK('Data Entry'!$ĳ$882), "", 'Data Entry'!$ĳ$882)</f>
      </c>
      <c r="IJ882">
        <f>IF(ISBLANK('Data Entry'!$Ĵ$882), "", 'Data Entry'!$Ĵ$882)</f>
      </c>
      <c r="IK882">
        <f>IF(ISBLANK('Data Entry'!$ĵ$882), "", 'Data Entry'!$ĵ$882)</f>
      </c>
      <c r="IL882">
        <f>IF(ISBLANK('Data Entry'!$Ķ$882), "", 'Data Entry'!$Ķ$882)</f>
      </c>
      <c r="IM882">
        <f>IF(ISBLANK('Data Entry'!$ķ$882), "", 'Data Entry'!$ķ$882)</f>
      </c>
      <c r="IN882">
        <f>IF(ISBLANK('Data Entry'!$ĸ$882), "", 'Data Entry'!$ĸ$882)</f>
      </c>
      <c r="IO882">
        <f>IF(ISBLANK('Data Entry'!$Ĺ$882), "", 'Data Entry'!$Ĺ$882)</f>
      </c>
      <c r="IP882">
        <f>IF(ISBLANK('Data Entry'!$ĺ$882), "", 'Data Entry'!$ĺ$882)</f>
      </c>
      <c r="IQ882">
        <f>IF(ISBLANK('Data Entry'!$Ļ$882), "", 'Data Entry'!$Ļ$882)</f>
      </c>
      <c r="IR882">
        <f>IF(ISBLANK('Data Entry'!$ļ$882), "", 'Data Entry'!$ļ$882)</f>
      </c>
      <c r="IS882">
        <f>IF(ISBLANK('Data Entry'!$Ľ$882), "", 'Data Entry'!$Ľ$882)</f>
      </c>
      <c r="IT882">
        <f>IF(ISBLANK('Data Entry'!$ľ$882), "", 'Data Entry'!$ľ$882)</f>
      </c>
    </row>
    <row r="883" spans="1:254" x14ac:dyDescent="0.25">
      <c r="A883">
        <f>IF(ISBLANK('Data Entry'!$A$883), "", 'Data Entry'!$A$883)</f>
      </c>
      <c r="B883">
        <f>IF(ISBLANK('Data Entry'!$B$883), "", 'Data Entry'!$B$883)</f>
      </c>
      <c r="C883">
        <f>IF(ISBLANK('Data Entry'!$C$883), "", 'Data Entry'!$C$883)</f>
      </c>
      <c r="D883">
        <f>IF(ISBLANK('Data Entry'!$D$883), "", 'Data Entry'!$D$883)</f>
      </c>
      <c r="E883">
        <f>IF(ISBLANK('Data Entry'!$E$883), "", 'Data Entry'!$E$883)</f>
      </c>
      <c r="F883">
        <f>IF(ISBLANK('Data Entry'!$F$883), "", 'Data Entry'!$F$883)</f>
      </c>
      <c r="G883">
        <f>IF(ISBLANK('Data Entry'!$G$883), "", 'Data Entry'!$G$883)</f>
      </c>
      <c r="H883">
        <f>IF(ISBLANK('Data Entry'!$H$883), "", 'Data Entry'!$H$883)</f>
      </c>
      <c r="I883">
        <f>IF(ISBLANK('Data Entry'!$I$883), "", 'Data Entry'!$I$883)</f>
      </c>
      <c r="J883">
        <f>IF(ISBLANK('Data Entry'!$J$883), "", 'Data Entry'!$J$883)</f>
      </c>
      <c r="K883">
        <f>IF(ISBLANK('Data Entry'!$K$883), "", 'Data Entry'!$K$883)</f>
      </c>
      <c r="L883">
        <f>IF(ISBLANK('Data Entry'!$L$883), "", 'Data Entry'!$L$883)</f>
      </c>
      <c r="M883">
        <f>IF(ISBLANK('Data Entry'!$M$883), "", 'Data Entry'!$M$883)</f>
      </c>
      <c r="N883">
        <f>IF(ISBLANK('Data Entry'!$N$883), "", 'Data Entry'!$N$883)</f>
      </c>
      <c r="O883">
        <f>IF(ISBLANK('Data Entry'!$O$883), "", 'Data Entry'!$O$883)</f>
      </c>
      <c r="P883">
        <f>IF(ISBLANK('Data Entry'!$P$883), "", 'Data Entry'!$P$883)</f>
      </c>
      <c r="Q883">
        <f>IF(ISBLANK('Data Entry'!$Q$883), "", 'Data Entry'!$Q$883)</f>
      </c>
      <c r="R883">
        <f>IF(ISBLANK('Data Entry'!$R$883), "", 'Data Entry'!$R$883)</f>
      </c>
      <c r="S883">
        <f>IF(ISBLANK('Data Entry'!$S$883), "", 'Data Entry'!$S$883)</f>
      </c>
      <c r="T883">
        <f>IF(ISBLANK('Data Entry'!$T$883), "", 'Data Entry'!$T$883)</f>
      </c>
      <c r="U883">
        <f>IF(ISBLANK('Data Entry'!$U$883), "", 'Data Entry'!$U$883)</f>
      </c>
      <c r="V883">
        <f>IF(ISBLANK('Data Entry'!$V$883), "", 'Data Entry'!$V$883)</f>
      </c>
      <c r="W883">
        <f>IF(ISBLANK('Data Entry'!$W$883), "", 'Data Entry'!$W$883)</f>
      </c>
      <c r="X883">
        <f>IF(ISBLANK('Data Entry'!$X$883), "", 'Data Entry'!$X$883)</f>
      </c>
      <c r="Y883">
        <f>IF(ISBLANK('Data Entry'!$Y$883), "", 'Data Entry'!$Y$883)</f>
      </c>
      <c r="Z883">
        <f>IF(ISBLANK('Data Entry'!$Z$883), "", 'Data Entry'!$Z$883)</f>
      </c>
      <c r="AA883">
        <f>IF(ISBLANK('Data Entry'!$[$883), "", 'Data Entry'!$[$883)</f>
      </c>
      <c r="AB883">
        <f>IF(ISBLANK('Data Entry'!$\$883), "", 'Data Entry'!$\$883)</f>
      </c>
      <c r="AC883">
        <f>IF(ISBLANK('Data Entry'!$]$883), "", 'Data Entry'!$]$883)</f>
      </c>
      <c r="AD883">
        <f>IF(ISBLANK('Data Entry'!$^$883), "", 'Data Entry'!$^$883)</f>
      </c>
      <c r="AE883">
        <f>IF(ISBLANK('Data Entry'!$_$883), "", 'Data Entry'!$_$883)</f>
      </c>
      <c r="AF883">
        <f>IF(ISBLANK('Data Entry'!$`$883), "", 'Data Entry'!$`$883)</f>
      </c>
      <c r="AG883">
        <f>IF(ISBLANK('Data Entry'!$a$883), "", 'Data Entry'!$a$883)</f>
      </c>
      <c r="AH883">
        <f>IF(ISBLANK('Data Entry'!$b$883), "", 'Data Entry'!$b$883)</f>
      </c>
      <c r="AI883">
        <f>IF(ISBLANK('Data Entry'!$c$883), "", 'Data Entry'!$c$883)</f>
      </c>
      <c r="AJ883">
        <f>IF(ISBLANK('Data Entry'!$d$883), "", 'Data Entry'!$d$883)</f>
      </c>
      <c r="AK883">
        <f>IF(ISBLANK('Data Entry'!$e$883), "", 'Data Entry'!$e$883)</f>
      </c>
      <c r="AL883">
        <f>IF(ISBLANK('Data Entry'!$f$883), "", 'Data Entry'!$f$883)</f>
      </c>
      <c r="AM883">
        <f>IF(ISBLANK('Data Entry'!$g$883), "", 'Data Entry'!$g$883)</f>
      </c>
      <c r="AN883">
        <f>IF(ISBLANK('Data Entry'!$h$883), "", 'Data Entry'!$h$883)</f>
      </c>
      <c r="AO883">
        <f>IF(ISBLANK('Data Entry'!$i$883), "", 'Data Entry'!$i$883)</f>
      </c>
      <c r="AP883">
        <f>IF(ISBLANK('Data Entry'!$j$883), "", 'Data Entry'!$j$883)</f>
      </c>
      <c r="AQ883">
        <f>IF(ISBLANK('Data Entry'!$k$883), "", 'Data Entry'!$k$883)</f>
      </c>
      <c r="AR883">
        <f>IF(ISBLANK('Data Entry'!$l$883), "", 'Data Entry'!$l$883)</f>
      </c>
      <c r="AS883">
        <f>IF(ISBLANK('Data Entry'!$m$883), "", 'Data Entry'!$m$883)</f>
      </c>
      <c r="AT883">
        <f>IF(ISBLANK('Data Entry'!$n$883), "", 'Data Entry'!$n$883)</f>
      </c>
      <c r="AU883">
        <f>IF(ISBLANK('Data Entry'!$o$883), "", 'Data Entry'!$o$883)</f>
      </c>
      <c r="AV883">
        <f>IF(ISBLANK('Data Entry'!$p$883), "", 'Data Entry'!$p$883)</f>
      </c>
      <c r="AW883">
        <f>IF(ISBLANK('Data Entry'!$q$883), "", 'Data Entry'!$q$883)</f>
      </c>
      <c r="AX883">
        <f>IF(ISBLANK('Data Entry'!$r$883), "", 'Data Entry'!$r$883)</f>
      </c>
      <c r="AY883">
        <f>IF(ISBLANK('Data Entry'!$s$883), "", 'Data Entry'!$s$883)</f>
      </c>
      <c r="AZ883">
        <f>IF(ISBLANK('Data Entry'!$t$883), "", 'Data Entry'!$t$883)</f>
      </c>
      <c r="BA883">
        <f>IF(ISBLANK('Data Entry'!$u$883), "", 'Data Entry'!$u$883)</f>
      </c>
      <c r="BB883">
        <f>IF(ISBLANK('Data Entry'!$v$883), "", 'Data Entry'!$v$883)</f>
      </c>
      <c r="BC883">
        <f>IF(ISBLANK('Data Entry'!$w$883), "", 'Data Entry'!$w$883)</f>
      </c>
      <c r="BD883">
        <f>IF(ISBLANK('Data Entry'!$x$883), "", 'Data Entry'!$x$883)</f>
      </c>
      <c r="BE883">
        <f>IF(ISBLANK('Data Entry'!$y$883), "", 'Data Entry'!$y$883)</f>
      </c>
      <c r="BF883">
        <f>IF(ISBLANK('Data Entry'!$z$883), "", 'Data Entry'!$z$883)</f>
      </c>
      <c r="BG883">
        <f>IF(ISBLANK('Data Entry'!${$883), "", 'Data Entry'!${$883)</f>
      </c>
      <c r="BH883">
        <f>IF(ISBLANK('Data Entry'!$|$883), "", 'Data Entry'!$|$883)</f>
      </c>
      <c r="BI883">
        <f>IF(ISBLANK('Data Entry'!$}$883), "", 'Data Entry'!$}$883)</f>
      </c>
      <c r="BJ883">
        <f>IF(ISBLANK('Data Entry'!$~$883), "", 'Data Entry'!$~$883)</f>
      </c>
      <c r="BK883">
        <f>IF(ISBLANK('Data Entry'!$$883), "", 'Data Entry'!$$883)</f>
      </c>
      <c r="BL883">
        <f>IF(ISBLANK('Data Entry'!$$883), "", 'Data Entry'!$$883)</f>
      </c>
      <c r="BM883">
        <f>IF(ISBLANK('Data Entry'!$$883), "", 'Data Entry'!$$883)</f>
      </c>
      <c r="BN883">
        <f>IF(ISBLANK('Data Entry'!$$883), "", 'Data Entry'!$$883)</f>
      </c>
      <c r="BO883">
        <f>IF(ISBLANK('Data Entry'!$$883), "", 'Data Entry'!$$883)</f>
      </c>
      <c r="BP883">
        <f>IF(ISBLANK('Data Entry'!$$883), "", 'Data Entry'!$$883)</f>
      </c>
      <c r="BQ883">
        <f>IF(ISBLANK('Data Entry'!$$883), "", 'Data Entry'!$$883)</f>
      </c>
      <c r="BR883">
        <f>IF(ISBLANK('Data Entry'!$$883), "", 'Data Entry'!$$883)</f>
      </c>
      <c r="BS883">
        <f>IF(ISBLANK('Data Entry'!$$883), "", 'Data Entry'!$$883)</f>
      </c>
      <c r="BT883">
        <f>IF(ISBLANK('Data Entry'!$$883), "", 'Data Entry'!$$883)</f>
      </c>
      <c r="BU883">
        <f>IF(ISBLANK('Data Entry'!$$883), "", 'Data Entry'!$$883)</f>
      </c>
      <c r="BV883">
        <f>IF(ISBLANK('Data Entry'!$$883), "", 'Data Entry'!$$883)</f>
      </c>
      <c r="BW883">
        <f>IF(ISBLANK('Data Entry'!$$883), "", 'Data Entry'!$$883)</f>
      </c>
      <c r="BX883">
        <f>IF(ISBLANK('Data Entry'!$$883), "", 'Data Entry'!$$883)</f>
      </c>
      <c r="BY883">
        <f>IF(ISBLANK('Data Entry'!$$883), "", 'Data Entry'!$$883)</f>
      </c>
      <c r="BZ883">
        <f>IF(ISBLANK('Data Entry'!$$883), "", 'Data Entry'!$$883)</f>
      </c>
      <c r="CA883">
        <f>IF(ISBLANK('Data Entry'!$$883), "", 'Data Entry'!$$883)</f>
      </c>
      <c r="CB883">
        <f>IF(ISBLANK('Data Entry'!$$883), "", 'Data Entry'!$$883)</f>
      </c>
      <c r="CC883">
        <f>IF(ISBLANK('Data Entry'!$$883), "", 'Data Entry'!$$883)</f>
      </c>
      <c r="CD883">
        <f>IF(ISBLANK('Data Entry'!$$883), "", 'Data Entry'!$$883)</f>
      </c>
      <c r="CE883">
        <f>IF(ISBLANK('Data Entry'!$$883), "", 'Data Entry'!$$883)</f>
      </c>
      <c r="CF883">
        <f>IF(ISBLANK('Data Entry'!$$883), "", 'Data Entry'!$$883)</f>
      </c>
      <c r="CG883">
        <f>IF(ISBLANK('Data Entry'!$$883), "", 'Data Entry'!$$883)</f>
      </c>
      <c r="CH883">
        <f>IF(ISBLANK('Data Entry'!$$883), "", 'Data Entry'!$$883)</f>
      </c>
      <c r="CI883">
        <f>IF(ISBLANK('Data Entry'!$$883), "", 'Data Entry'!$$883)</f>
      </c>
      <c r="CJ883">
        <f>IF(ISBLANK('Data Entry'!$$883), "", 'Data Entry'!$$883)</f>
      </c>
      <c r="CK883">
        <f>IF(ISBLANK('Data Entry'!$$883), "", 'Data Entry'!$$883)</f>
      </c>
      <c r="CL883">
        <f>IF(ISBLANK('Data Entry'!$$883), "", 'Data Entry'!$$883)</f>
      </c>
      <c r="CM883">
        <f>IF(ISBLANK('Data Entry'!$$883), "", 'Data Entry'!$$883)</f>
      </c>
      <c r="CN883">
        <f>IF(ISBLANK('Data Entry'!$$883), "", 'Data Entry'!$$883)</f>
      </c>
      <c r="CO883">
        <f>IF(ISBLANK('Data Entry'!$$883), "", 'Data Entry'!$$883)</f>
      </c>
      <c r="CP883">
        <f>IF(ISBLANK('Data Entry'!$$883), "", 'Data Entry'!$$883)</f>
      </c>
      <c r="CQ883">
        <f>IF(ISBLANK('Data Entry'!$$883), "", 'Data Entry'!$$883)</f>
      </c>
      <c r="CR883">
        <f>IF(ISBLANK('Data Entry'!$ $883), "", 'Data Entry'!$ $883)</f>
      </c>
      <c r="CS883">
        <f>IF(ISBLANK('Data Entry'!$¡$883), "", 'Data Entry'!$¡$883)</f>
      </c>
      <c r="CT883">
        <f>IF(ISBLANK('Data Entry'!$¢$883), "", 'Data Entry'!$¢$883)</f>
      </c>
      <c r="CU883">
        <f>IF(ISBLANK('Data Entry'!$£$883), "", 'Data Entry'!$£$883)</f>
      </c>
      <c r="CV883">
        <f>IF(ISBLANK('Data Entry'!$¤$883), "", 'Data Entry'!$¤$883)</f>
      </c>
      <c r="CW883">
        <f>IF(ISBLANK('Data Entry'!$¥$883), "", 'Data Entry'!$¥$883)</f>
      </c>
      <c r="CX883">
        <f>IF(ISBLANK('Data Entry'!$¦$883), "", 'Data Entry'!$¦$883)</f>
      </c>
      <c r="CY883">
        <f>IF(ISBLANK('Data Entry'!$§$883), "", 'Data Entry'!$§$883)</f>
      </c>
      <c r="CZ883">
        <f>IF(ISBLANK('Data Entry'!$¨$883), "", 'Data Entry'!$¨$883)</f>
      </c>
      <c r="DA883">
        <f>IF(ISBLANK('Data Entry'!$©$883), "", 'Data Entry'!$©$883)</f>
      </c>
      <c r="DB883">
        <f>IF(ISBLANK('Data Entry'!$ª$883), "", 'Data Entry'!$ª$883)</f>
      </c>
      <c r="DC883">
        <f>IF(ISBLANK('Data Entry'!$«$883), "", 'Data Entry'!$«$883)</f>
      </c>
      <c r="DD883">
        <f>IF(ISBLANK('Data Entry'!$¬$883), "", 'Data Entry'!$¬$883)</f>
      </c>
      <c r="DE883">
        <f>IF(ISBLANK('Data Entry'!$­$883), "", 'Data Entry'!$­$883)</f>
      </c>
      <c r="DF883">
        <f>IF(ISBLANK('Data Entry'!$®$883), "", 'Data Entry'!$®$883)</f>
      </c>
      <c r="DG883">
        <f>IF(ISBLANK('Data Entry'!$¯$883), "", 'Data Entry'!$¯$883)</f>
      </c>
      <c r="DH883">
        <f>IF(ISBLANK('Data Entry'!$°$883), "", 'Data Entry'!$°$883)</f>
      </c>
      <c r="DI883">
        <f>IF(ISBLANK('Data Entry'!$±$883), "", 'Data Entry'!$±$883)</f>
      </c>
      <c r="DJ883">
        <f>IF(ISBLANK('Data Entry'!$²$883), "", 'Data Entry'!$²$883)</f>
      </c>
      <c r="DK883">
        <f>IF(ISBLANK('Data Entry'!$³$883), "", 'Data Entry'!$³$883)</f>
      </c>
      <c r="DL883">
        <f>IF(ISBLANK('Data Entry'!$´$883), "", 'Data Entry'!$´$883)</f>
      </c>
      <c r="DM883">
        <f>IF(ISBLANK('Data Entry'!$µ$883), "", 'Data Entry'!$µ$883)</f>
      </c>
      <c r="DN883">
        <f>IF(ISBLANK('Data Entry'!$¶$883), "", 'Data Entry'!$¶$883)</f>
      </c>
      <c r="DO883">
        <f>IF(ISBLANK('Data Entry'!$·$883), "", 'Data Entry'!$·$883)</f>
      </c>
      <c r="DP883">
        <f>IF(ISBLANK('Data Entry'!$¸$883), "", 'Data Entry'!$¸$883)</f>
      </c>
      <c r="DQ883">
        <f>IF(ISBLANK('Data Entry'!$¹$883), "", 'Data Entry'!$¹$883)</f>
      </c>
      <c r="DR883">
        <f>IF(ISBLANK('Data Entry'!$º$883), "", 'Data Entry'!$º$883)</f>
      </c>
      <c r="DS883">
        <f>IF(ISBLANK('Data Entry'!$»$883), "", 'Data Entry'!$»$883)</f>
      </c>
      <c r="DT883">
        <f>IF(ISBLANK('Data Entry'!$¼$883), "", 'Data Entry'!$¼$883)</f>
      </c>
      <c r="DU883">
        <f>IF(ISBLANK('Data Entry'!$½$883), "", 'Data Entry'!$½$883)</f>
      </c>
      <c r="DV883">
        <f>IF(ISBLANK('Data Entry'!$¾$883), "", 'Data Entry'!$¾$883)</f>
      </c>
      <c r="DW883">
        <f>IF(ISBLANK('Data Entry'!$¿$883), "", 'Data Entry'!$¿$883)</f>
      </c>
      <c r="DX883">
        <f>IF(ISBLANK('Data Entry'!$À$883), "", 'Data Entry'!$À$883)</f>
      </c>
      <c r="DY883">
        <f>IF(ISBLANK('Data Entry'!$Á$883), "", 'Data Entry'!$Á$883)</f>
      </c>
      <c r="DZ883">
        <f>IF(ISBLANK('Data Entry'!$Â$883), "", 'Data Entry'!$Â$883)</f>
      </c>
      <c r="EA883">
        <f>IF(ISBLANK('Data Entry'!$Ã$883), "", 'Data Entry'!$Ã$883)</f>
      </c>
      <c r="EB883">
        <f>IF(ISBLANK('Data Entry'!$Ä$883), "", 'Data Entry'!$Ä$883)</f>
      </c>
      <c r="EC883">
        <f>IF(ISBLANK('Data Entry'!$Å$883), "", 'Data Entry'!$Å$883)</f>
      </c>
      <c r="ED883">
        <f>IF(ISBLANK('Data Entry'!$Æ$883), "", 'Data Entry'!$Æ$883)</f>
      </c>
      <c r="EE883">
        <f>IF(ISBLANK('Data Entry'!$Ç$883), "", 'Data Entry'!$Ç$883)</f>
      </c>
      <c r="EF883">
        <f>IF(ISBLANK('Data Entry'!$È$883), "", 'Data Entry'!$È$883)</f>
      </c>
      <c r="EG883">
        <f>IF(ISBLANK('Data Entry'!$É$883), "", 'Data Entry'!$É$883)</f>
      </c>
      <c r="EH883">
        <f>IF(ISBLANK('Data Entry'!$Ê$883), "", 'Data Entry'!$Ê$883)</f>
      </c>
      <c r="EI883">
        <f>IF(ISBLANK('Data Entry'!$Ë$883), "", 'Data Entry'!$Ë$883)</f>
      </c>
      <c r="EJ883">
        <f>IF(ISBLANK('Data Entry'!$Ì$883), "", 'Data Entry'!$Ì$883)</f>
      </c>
      <c r="EK883">
        <f>IF(ISBLANK('Data Entry'!$Í$883), "", 'Data Entry'!$Í$883)</f>
      </c>
      <c r="EL883">
        <f>IF(ISBLANK('Data Entry'!$Î$883), "", 'Data Entry'!$Î$883)</f>
      </c>
      <c r="EM883">
        <f>IF(ISBLANK('Data Entry'!$Ï$883), "", 'Data Entry'!$Ï$883)</f>
      </c>
      <c r="EN883">
        <f>IF(ISBLANK('Data Entry'!$Ð$883), "", 'Data Entry'!$Ð$883)</f>
      </c>
      <c r="EO883">
        <f>IF(ISBLANK('Data Entry'!$Ñ$883), "", 'Data Entry'!$Ñ$883)</f>
      </c>
      <c r="EP883">
        <f>IF(ISBLANK('Data Entry'!$Ò$883), "", 'Data Entry'!$Ò$883)</f>
      </c>
      <c r="EQ883">
        <f>IF(ISBLANK('Data Entry'!$Ó$883), "", 'Data Entry'!$Ó$883)</f>
      </c>
      <c r="ER883">
        <f>IF(ISBLANK('Data Entry'!$Ô$883), "", 'Data Entry'!$Ô$883)</f>
      </c>
      <c r="ES883">
        <f>IF(ISBLANK('Data Entry'!$Õ$883), "", 'Data Entry'!$Õ$883)</f>
      </c>
      <c r="ET883">
        <f>IF(ISBLANK('Data Entry'!$Ö$883), "", 'Data Entry'!$Ö$883)</f>
      </c>
      <c r="EU883">
        <f>IF(ISBLANK('Data Entry'!$×$883), "", 'Data Entry'!$×$883)</f>
      </c>
      <c r="EV883">
        <f>IF(ISBLANK('Data Entry'!$Ø$883), "", 'Data Entry'!$Ø$883)</f>
      </c>
      <c r="EW883">
        <f>IF(ISBLANK('Data Entry'!$Ù$883), "", 'Data Entry'!$Ù$883)</f>
      </c>
      <c r="EX883">
        <f>IF(ISBLANK('Data Entry'!$Ú$883), "", 'Data Entry'!$Ú$883)</f>
      </c>
      <c r="EY883">
        <f>IF(ISBLANK('Data Entry'!$Û$883), "", 'Data Entry'!$Û$883)</f>
      </c>
      <c r="EZ883">
        <f>IF(ISBLANK('Data Entry'!$Ü$883), "", 'Data Entry'!$Ü$883)</f>
      </c>
      <c r="FA883">
        <f>IF(ISBLANK('Data Entry'!$Ý$883), "", 'Data Entry'!$Ý$883)</f>
      </c>
      <c r="FB883">
        <f>IF(ISBLANK('Data Entry'!$Þ$883), "", 'Data Entry'!$Þ$883)</f>
      </c>
      <c r="FC883">
        <f>IF(ISBLANK('Data Entry'!$ß$883), "", 'Data Entry'!$ß$883)</f>
      </c>
      <c r="FD883">
        <f>IF(ISBLANK('Data Entry'!$à$883), "", 'Data Entry'!$à$883)</f>
      </c>
      <c r="FE883">
        <f>IF(ISBLANK('Data Entry'!$á$883), "", 'Data Entry'!$á$883)</f>
      </c>
      <c r="FF883">
        <f>IF(ISBLANK('Data Entry'!$â$883), "", 'Data Entry'!$â$883)</f>
      </c>
      <c r="FG883">
        <f>IF(ISBLANK('Data Entry'!$ã$883), "", 'Data Entry'!$ã$883)</f>
      </c>
      <c r="FH883">
        <f>IF(ISBLANK('Data Entry'!$ä$883), "", 'Data Entry'!$ä$883)</f>
      </c>
      <c r="FI883">
        <f>IF(ISBLANK('Data Entry'!$å$883), "", 'Data Entry'!$å$883)</f>
      </c>
      <c r="FJ883">
        <f>IF(ISBLANK('Data Entry'!$æ$883), "", 'Data Entry'!$æ$883)</f>
      </c>
      <c r="FK883">
        <f>IF(ISBLANK('Data Entry'!$ç$883), "", 'Data Entry'!$ç$883)</f>
      </c>
      <c r="FL883">
        <f>IF(ISBLANK('Data Entry'!$è$883), "", 'Data Entry'!$è$883)</f>
      </c>
      <c r="FM883">
        <f>IF(ISBLANK('Data Entry'!$é$883), "", 'Data Entry'!$é$883)</f>
      </c>
      <c r="FN883">
        <f>IF(ISBLANK('Data Entry'!$ê$883), "", 'Data Entry'!$ê$883)</f>
      </c>
      <c r="FO883">
        <f>IF(ISBLANK('Data Entry'!$ë$883), "", 'Data Entry'!$ë$883)</f>
      </c>
      <c r="FP883">
        <f>IF(ISBLANK('Data Entry'!$ì$883), "", 'Data Entry'!$ì$883)</f>
      </c>
      <c r="FQ883">
        <f>IF(ISBLANK('Data Entry'!$í$883), "", 'Data Entry'!$í$883)</f>
      </c>
      <c r="FR883">
        <f>IF(ISBLANK('Data Entry'!$î$883), "", 'Data Entry'!$î$883)</f>
      </c>
      <c r="FS883">
        <f>IF(ISBLANK('Data Entry'!$ï$883), "", 'Data Entry'!$ï$883)</f>
      </c>
      <c r="FT883">
        <f>IF(ISBLANK('Data Entry'!$ð$883), "", 'Data Entry'!$ð$883)</f>
      </c>
      <c r="FU883">
        <f>IF(ISBLANK('Data Entry'!$ñ$883), "", 'Data Entry'!$ñ$883)</f>
      </c>
      <c r="FV883">
        <f>IF(ISBLANK('Data Entry'!$ò$883), "", 'Data Entry'!$ò$883)</f>
      </c>
      <c r="FW883">
        <f>IF(ISBLANK('Data Entry'!$ó$883), "", 'Data Entry'!$ó$883)</f>
      </c>
      <c r="FX883">
        <f>IF(ISBLANK('Data Entry'!$ô$883), "", 'Data Entry'!$ô$883)</f>
      </c>
      <c r="FY883">
        <f>IF(ISBLANK('Data Entry'!$õ$883), "", 'Data Entry'!$õ$883)</f>
      </c>
      <c r="FZ883">
        <f>IF(ISBLANK('Data Entry'!$ö$883), "", 'Data Entry'!$ö$883)</f>
      </c>
      <c r="GA883">
        <f>IF(ISBLANK('Data Entry'!$÷$883), "", 'Data Entry'!$÷$883)</f>
      </c>
      <c r="GB883">
        <f>IF(ISBLANK('Data Entry'!$ø$883), "", 'Data Entry'!$ø$883)</f>
      </c>
      <c r="GC883">
        <f>IF(ISBLANK('Data Entry'!$ù$883), "", 'Data Entry'!$ù$883)</f>
      </c>
      <c r="GD883">
        <f>IF(ISBLANK('Data Entry'!$ú$883), "", 'Data Entry'!$ú$883)</f>
      </c>
      <c r="GE883">
        <f>IF(ISBLANK('Data Entry'!$û$883), "", 'Data Entry'!$û$883)</f>
      </c>
      <c r="GF883">
        <f>IF(ISBLANK('Data Entry'!$ü$883), "", 'Data Entry'!$ü$883)</f>
      </c>
      <c r="GG883">
        <f>IF(ISBLANK('Data Entry'!$ý$883), "", 'Data Entry'!$ý$883)</f>
      </c>
      <c r="GH883">
        <f>IF(ISBLANK('Data Entry'!$þ$883), "", 'Data Entry'!$þ$883)</f>
      </c>
      <c r="GI883">
        <f>IF(ISBLANK('Data Entry'!$ÿ$883), "", 'Data Entry'!$ÿ$883)</f>
      </c>
      <c r="GJ883">
        <f>IF(ISBLANK('Data Entry'!$Ā$883), "", 'Data Entry'!$Ā$883)</f>
      </c>
      <c r="GK883">
        <f>IF(ISBLANK('Data Entry'!$ā$883), "", 'Data Entry'!$ā$883)</f>
      </c>
      <c r="GL883">
        <f>IF(ISBLANK('Data Entry'!$Ă$883), "", 'Data Entry'!$Ă$883)</f>
      </c>
      <c r="GM883">
        <f>IF(ISBLANK('Data Entry'!$ă$883), "", 'Data Entry'!$ă$883)</f>
      </c>
      <c r="GN883">
        <f>IF(ISBLANK('Data Entry'!$Ą$883), "", 'Data Entry'!$Ą$883)</f>
      </c>
      <c r="GO883">
        <f>IF(ISBLANK('Data Entry'!$ą$883), "", 'Data Entry'!$ą$883)</f>
      </c>
      <c r="GP883">
        <f>IF(ISBLANK('Data Entry'!$Ć$883), "", 'Data Entry'!$Ć$883)</f>
      </c>
      <c r="GQ883">
        <f>IF(ISBLANK('Data Entry'!$ć$883), "", 'Data Entry'!$ć$883)</f>
      </c>
      <c r="GR883">
        <f>IF(ISBLANK('Data Entry'!$Ĉ$883), "", 'Data Entry'!$Ĉ$883)</f>
      </c>
      <c r="GS883">
        <f>IF(ISBLANK('Data Entry'!$ĉ$883), "", 'Data Entry'!$ĉ$883)</f>
      </c>
      <c r="GT883">
        <f>IF(ISBLANK('Data Entry'!$Ċ$883), "", 'Data Entry'!$Ċ$883)</f>
      </c>
      <c r="GU883">
        <f>IF(ISBLANK('Data Entry'!$ċ$883), "", 'Data Entry'!$ċ$883)</f>
      </c>
      <c r="GV883">
        <f>IF(ISBLANK('Data Entry'!$Č$883), "", 'Data Entry'!$Č$883)</f>
      </c>
      <c r="GW883">
        <f>IF(ISBLANK('Data Entry'!$č$883), "", 'Data Entry'!$č$883)</f>
      </c>
      <c r="GX883">
        <f>IF(ISBLANK('Data Entry'!$Ď$883), "", 'Data Entry'!$Ď$883)</f>
      </c>
      <c r="GY883">
        <f>IF(ISBLANK('Data Entry'!$ď$883), "", 'Data Entry'!$ď$883)</f>
      </c>
      <c r="GZ883">
        <f>IF(ISBLANK('Data Entry'!$Đ$883), "", 'Data Entry'!$Đ$883)</f>
      </c>
      <c r="HA883">
        <f>IF(ISBLANK('Data Entry'!$đ$883), "", 'Data Entry'!$đ$883)</f>
      </c>
      <c r="HB883">
        <f>IF(ISBLANK('Data Entry'!$Ē$883), "", 'Data Entry'!$Ē$883)</f>
      </c>
      <c r="HC883">
        <f>IF(ISBLANK('Data Entry'!$ē$883), "", 'Data Entry'!$ē$883)</f>
      </c>
      <c r="HD883">
        <f>IF(ISBLANK('Data Entry'!$Ĕ$883), "", 'Data Entry'!$Ĕ$883)</f>
      </c>
      <c r="HE883">
        <f>IF(ISBLANK('Data Entry'!$ĕ$883), "", 'Data Entry'!$ĕ$883)</f>
      </c>
      <c r="HF883">
        <f>IF(ISBLANK('Data Entry'!$Ė$883), "", 'Data Entry'!$Ė$883)</f>
      </c>
      <c r="HG883">
        <f>IF(ISBLANK('Data Entry'!$ė$883), "", 'Data Entry'!$ė$883)</f>
      </c>
      <c r="HH883">
        <f>IF(ISBLANK('Data Entry'!$Ę$883), "", 'Data Entry'!$Ę$883)</f>
      </c>
      <c r="HI883">
        <f>IF(ISBLANK('Data Entry'!$ę$883), "", 'Data Entry'!$ę$883)</f>
      </c>
      <c r="HJ883">
        <f>IF(ISBLANK('Data Entry'!$Ě$883), "", 'Data Entry'!$Ě$883)</f>
      </c>
      <c r="HK883">
        <f>IF(ISBLANK('Data Entry'!$ě$883), "", 'Data Entry'!$ě$883)</f>
      </c>
      <c r="HL883">
        <f>IF(ISBLANK('Data Entry'!$Ĝ$883), "", 'Data Entry'!$Ĝ$883)</f>
      </c>
      <c r="HM883">
        <f>IF(ISBLANK('Data Entry'!$ĝ$883), "", 'Data Entry'!$ĝ$883)</f>
      </c>
      <c r="HN883">
        <f>IF(ISBLANK('Data Entry'!$Ğ$883), "", 'Data Entry'!$Ğ$883)</f>
      </c>
      <c r="HO883">
        <f>IF(ISBLANK('Data Entry'!$ğ$883), "", 'Data Entry'!$ğ$883)</f>
      </c>
      <c r="HP883">
        <f>IF(ISBLANK('Data Entry'!$Ġ$883), "", 'Data Entry'!$Ġ$883)</f>
      </c>
      <c r="HQ883">
        <f>IF(ISBLANK('Data Entry'!$ġ$883), "", 'Data Entry'!$ġ$883)</f>
      </c>
      <c r="HR883">
        <f>IF(ISBLANK('Data Entry'!$Ģ$883), "", 'Data Entry'!$Ģ$883)</f>
      </c>
      <c r="HS883">
        <f>IF(ISBLANK('Data Entry'!$ģ$883), "", 'Data Entry'!$ģ$883)</f>
      </c>
      <c r="HT883">
        <f>IF(ISBLANK('Data Entry'!$Ĥ$883), "", 'Data Entry'!$Ĥ$883)</f>
      </c>
      <c r="HU883">
        <f>IF(ISBLANK('Data Entry'!$ĥ$883), "", 'Data Entry'!$ĥ$883)</f>
      </c>
      <c r="HV883">
        <f>IF(ISBLANK('Data Entry'!$Ħ$883), "", 'Data Entry'!$Ħ$883)</f>
      </c>
      <c r="HW883">
        <f>IF(ISBLANK('Data Entry'!$ħ$883), "", 'Data Entry'!$ħ$883)</f>
      </c>
      <c r="HX883">
        <f>IF(ISBLANK('Data Entry'!$Ĩ$883), "", 'Data Entry'!$Ĩ$883)</f>
      </c>
      <c r="HY883">
        <f>IF(ISBLANK('Data Entry'!$ĩ$883), "", 'Data Entry'!$ĩ$883)</f>
      </c>
      <c r="HZ883">
        <f>IF(ISBLANK('Data Entry'!$Ī$883), "", 'Data Entry'!$Ī$883)</f>
      </c>
      <c r="IA883">
        <f>IF(ISBLANK('Data Entry'!$ī$883), "", 'Data Entry'!$ī$883)</f>
      </c>
      <c r="IB883">
        <f>IF(ISBLANK('Data Entry'!$Ĭ$883), "", 'Data Entry'!$Ĭ$883)</f>
      </c>
      <c r="IC883">
        <f>IF(ISBLANK('Data Entry'!$ĭ$883), "", 'Data Entry'!$ĭ$883)</f>
      </c>
      <c r="ID883">
        <f>IF(ISBLANK('Data Entry'!$Į$883), "", 'Data Entry'!$Į$883)</f>
      </c>
      <c r="IE883">
        <f>IF(ISBLANK('Data Entry'!$į$883), "", 'Data Entry'!$į$883)</f>
      </c>
      <c r="IF883">
        <f>IF(ISBLANK('Data Entry'!$İ$883), "", 'Data Entry'!$İ$883)</f>
      </c>
      <c r="IG883">
        <f>IF(ISBLANK('Data Entry'!$ı$883), "", 'Data Entry'!$ı$883)</f>
      </c>
      <c r="IH883">
        <f>IF(ISBLANK('Data Entry'!$Ĳ$883), "", 'Data Entry'!$Ĳ$883)</f>
      </c>
      <c r="II883">
        <f>IF(ISBLANK('Data Entry'!$ĳ$883), "", 'Data Entry'!$ĳ$883)</f>
      </c>
      <c r="IJ883">
        <f>IF(ISBLANK('Data Entry'!$Ĵ$883), "", 'Data Entry'!$Ĵ$883)</f>
      </c>
      <c r="IK883">
        <f>IF(ISBLANK('Data Entry'!$ĵ$883), "", 'Data Entry'!$ĵ$883)</f>
      </c>
      <c r="IL883">
        <f>IF(ISBLANK('Data Entry'!$Ķ$883), "", 'Data Entry'!$Ķ$883)</f>
      </c>
      <c r="IM883">
        <f>IF(ISBLANK('Data Entry'!$ķ$883), "", 'Data Entry'!$ķ$883)</f>
      </c>
      <c r="IN883">
        <f>IF(ISBLANK('Data Entry'!$ĸ$883), "", 'Data Entry'!$ĸ$883)</f>
      </c>
      <c r="IO883">
        <f>IF(ISBLANK('Data Entry'!$Ĺ$883), "", 'Data Entry'!$Ĺ$883)</f>
      </c>
      <c r="IP883">
        <f>IF(ISBLANK('Data Entry'!$ĺ$883), "", 'Data Entry'!$ĺ$883)</f>
      </c>
      <c r="IQ883">
        <f>IF(ISBLANK('Data Entry'!$Ļ$883), "", 'Data Entry'!$Ļ$883)</f>
      </c>
      <c r="IR883">
        <f>IF(ISBLANK('Data Entry'!$ļ$883), "", 'Data Entry'!$ļ$883)</f>
      </c>
      <c r="IS883">
        <f>IF(ISBLANK('Data Entry'!$Ľ$883), "", 'Data Entry'!$Ľ$883)</f>
      </c>
      <c r="IT883">
        <f>IF(ISBLANK('Data Entry'!$ľ$883), "", 'Data Entry'!$ľ$883)</f>
      </c>
    </row>
    <row r="884" spans="1:254" x14ac:dyDescent="0.25">
      <c r="A884">
        <f>IF(ISBLANK('Data Entry'!$A$884), "", 'Data Entry'!$A$884)</f>
      </c>
      <c r="B884">
        <f>IF(ISBLANK('Data Entry'!$B$884), "", 'Data Entry'!$B$884)</f>
      </c>
      <c r="C884">
        <f>IF(ISBLANK('Data Entry'!$C$884), "", 'Data Entry'!$C$884)</f>
      </c>
      <c r="D884">
        <f>IF(ISBLANK('Data Entry'!$D$884), "", 'Data Entry'!$D$884)</f>
      </c>
      <c r="E884">
        <f>IF(ISBLANK('Data Entry'!$E$884), "", 'Data Entry'!$E$884)</f>
      </c>
      <c r="F884">
        <f>IF(ISBLANK('Data Entry'!$F$884), "", 'Data Entry'!$F$884)</f>
      </c>
      <c r="G884">
        <f>IF(ISBLANK('Data Entry'!$G$884), "", 'Data Entry'!$G$884)</f>
      </c>
      <c r="H884">
        <f>IF(ISBLANK('Data Entry'!$H$884), "", 'Data Entry'!$H$884)</f>
      </c>
      <c r="I884">
        <f>IF(ISBLANK('Data Entry'!$I$884), "", 'Data Entry'!$I$884)</f>
      </c>
      <c r="J884">
        <f>IF(ISBLANK('Data Entry'!$J$884), "", 'Data Entry'!$J$884)</f>
      </c>
      <c r="K884">
        <f>IF(ISBLANK('Data Entry'!$K$884), "", 'Data Entry'!$K$884)</f>
      </c>
      <c r="L884">
        <f>IF(ISBLANK('Data Entry'!$L$884), "", 'Data Entry'!$L$884)</f>
      </c>
      <c r="M884">
        <f>IF(ISBLANK('Data Entry'!$M$884), "", 'Data Entry'!$M$884)</f>
      </c>
      <c r="N884">
        <f>IF(ISBLANK('Data Entry'!$N$884), "", 'Data Entry'!$N$884)</f>
      </c>
      <c r="O884">
        <f>IF(ISBLANK('Data Entry'!$O$884), "", 'Data Entry'!$O$884)</f>
      </c>
      <c r="P884">
        <f>IF(ISBLANK('Data Entry'!$P$884), "", 'Data Entry'!$P$884)</f>
      </c>
      <c r="Q884">
        <f>IF(ISBLANK('Data Entry'!$Q$884), "", 'Data Entry'!$Q$884)</f>
      </c>
      <c r="R884">
        <f>IF(ISBLANK('Data Entry'!$R$884), "", 'Data Entry'!$R$884)</f>
      </c>
      <c r="S884">
        <f>IF(ISBLANK('Data Entry'!$S$884), "", 'Data Entry'!$S$884)</f>
      </c>
      <c r="T884">
        <f>IF(ISBLANK('Data Entry'!$T$884), "", 'Data Entry'!$T$884)</f>
      </c>
      <c r="U884">
        <f>IF(ISBLANK('Data Entry'!$U$884), "", 'Data Entry'!$U$884)</f>
      </c>
      <c r="V884">
        <f>IF(ISBLANK('Data Entry'!$V$884), "", 'Data Entry'!$V$884)</f>
      </c>
      <c r="W884">
        <f>IF(ISBLANK('Data Entry'!$W$884), "", 'Data Entry'!$W$884)</f>
      </c>
      <c r="X884">
        <f>IF(ISBLANK('Data Entry'!$X$884), "", 'Data Entry'!$X$884)</f>
      </c>
      <c r="Y884">
        <f>IF(ISBLANK('Data Entry'!$Y$884), "", 'Data Entry'!$Y$884)</f>
      </c>
      <c r="Z884">
        <f>IF(ISBLANK('Data Entry'!$Z$884), "", 'Data Entry'!$Z$884)</f>
      </c>
      <c r="AA884">
        <f>IF(ISBLANK('Data Entry'!$[$884), "", 'Data Entry'!$[$884)</f>
      </c>
      <c r="AB884">
        <f>IF(ISBLANK('Data Entry'!$\$884), "", 'Data Entry'!$\$884)</f>
      </c>
      <c r="AC884">
        <f>IF(ISBLANK('Data Entry'!$]$884), "", 'Data Entry'!$]$884)</f>
      </c>
      <c r="AD884">
        <f>IF(ISBLANK('Data Entry'!$^$884), "", 'Data Entry'!$^$884)</f>
      </c>
      <c r="AE884">
        <f>IF(ISBLANK('Data Entry'!$_$884), "", 'Data Entry'!$_$884)</f>
      </c>
      <c r="AF884">
        <f>IF(ISBLANK('Data Entry'!$`$884), "", 'Data Entry'!$`$884)</f>
      </c>
      <c r="AG884">
        <f>IF(ISBLANK('Data Entry'!$a$884), "", 'Data Entry'!$a$884)</f>
      </c>
      <c r="AH884">
        <f>IF(ISBLANK('Data Entry'!$b$884), "", 'Data Entry'!$b$884)</f>
      </c>
      <c r="AI884">
        <f>IF(ISBLANK('Data Entry'!$c$884), "", 'Data Entry'!$c$884)</f>
      </c>
      <c r="AJ884">
        <f>IF(ISBLANK('Data Entry'!$d$884), "", 'Data Entry'!$d$884)</f>
      </c>
      <c r="AK884">
        <f>IF(ISBLANK('Data Entry'!$e$884), "", 'Data Entry'!$e$884)</f>
      </c>
      <c r="AL884">
        <f>IF(ISBLANK('Data Entry'!$f$884), "", 'Data Entry'!$f$884)</f>
      </c>
      <c r="AM884">
        <f>IF(ISBLANK('Data Entry'!$g$884), "", 'Data Entry'!$g$884)</f>
      </c>
      <c r="AN884">
        <f>IF(ISBLANK('Data Entry'!$h$884), "", 'Data Entry'!$h$884)</f>
      </c>
      <c r="AO884">
        <f>IF(ISBLANK('Data Entry'!$i$884), "", 'Data Entry'!$i$884)</f>
      </c>
      <c r="AP884">
        <f>IF(ISBLANK('Data Entry'!$j$884), "", 'Data Entry'!$j$884)</f>
      </c>
      <c r="AQ884">
        <f>IF(ISBLANK('Data Entry'!$k$884), "", 'Data Entry'!$k$884)</f>
      </c>
      <c r="AR884">
        <f>IF(ISBLANK('Data Entry'!$l$884), "", 'Data Entry'!$l$884)</f>
      </c>
      <c r="AS884">
        <f>IF(ISBLANK('Data Entry'!$m$884), "", 'Data Entry'!$m$884)</f>
      </c>
      <c r="AT884">
        <f>IF(ISBLANK('Data Entry'!$n$884), "", 'Data Entry'!$n$884)</f>
      </c>
      <c r="AU884">
        <f>IF(ISBLANK('Data Entry'!$o$884), "", 'Data Entry'!$o$884)</f>
      </c>
      <c r="AV884">
        <f>IF(ISBLANK('Data Entry'!$p$884), "", 'Data Entry'!$p$884)</f>
      </c>
      <c r="AW884">
        <f>IF(ISBLANK('Data Entry'!$q$884), "", 'Data Entry'!$q$884)</f>
      </c>
      <c r="AX884">
        <f>IF(ISBLANK('Data Entry'!$r$884), "", 'Data Entry'!$r$884)</f>
      </c>
      <c r="AY884">
        <f>IF(ISBLANK('Data Entry'!$s$884), "", 'Data Entry'!$s$884)</f>
      </c>
      <c r="AZ884">
        <f>IF(ISBLANK('Data Entry'!$t$884), "", 'Data Entry'!$t$884)</f>
      </c>
      <c r="BA884">
        <f>IF(ISBLANK('Data Entry'!$u$884), "", 'Data Entry'!$u$884)</f>
      </c>
      <c r="BB884">
        <f>IF(ISBLANK('Data Entry'!$v$884), "", 'Data Entry'!$v$884)</f>
      </c>
      <c r="BC884">
        <f>IF(ISBLANK('Data Entry'!$w$884), "", 'Data Entry'!$w$884)</f>
      </c>
      <c r="BD884">
        <f>IF(ISBLANK('Data Entry'!$x$884), "", 'Data Entry'!$x$884)</f>
      </c>
      <c r="BE884">
        <f>IF(ISBLANK('Data Entry'!$y$884), "", 'Data Entry'!$y$884)</f>
      </c>
      <c r="BF884">
        <f>IF(ISBLANK('Data Entry'!$z$884), "", 'Data Entry'!$z$884)</f>
      </c>
      <c r="BG884">
        <f>IF(ISBLANK('Data Entry'!${$884), "", 'Data Entry'!${$884)</f>
      </c>
      <c r="BH884">
        <f>IF(ISBLANK('Data Entry'!$|$884), "", 'Data Entry'!$|$884)</f>
      </c>
      <c r="BI884">
        <f>IF(ISBLANK('Data Entry'!$}$884), "", 'Data Entry'!$}$884)</f>
      </c>
      <c r="BJ884">
        <f>IF(ISBLANK('Data Entry'!$~$884), "", 'Data Entry'!$~$884)</f>
      </c>
      <c r="BK884">
        <f>IF(ISBLANK('Data Entry'!$$884), "", 'Data Entry'!$$884)</f>
      </c>
      <c r="BL884">
        <f>IF(ISBLANK('Data Entry'!$$884), "", 'Data Entry'!$$884)</f>
      </c>
      <c r="BM884">
        <f>IF(ISBLANK('Data Entry'!$$884), "", 'Data Entry'!$$884)</f>
      </c>
      <c r="BN884">
        <f>IF(ISBLANK('Data Entry'!$$884), "", 'Data Entry'!$$884)</f>
      </c>
      <c r="BO884">
        <f>IF(ISBLANK('Data Entry'!$$884), "", 'Data Entry'!$$884)</f>
      </c>
      <c r="BP884">
        <f>IF(ISBLANK('Data Entry'!$$884), "", 'Data Entry'!$$884)</f>
      </c>
      <c r="BQ884">
        <f>IF(ISBLANK('Data Entry'!$$884), "", 'Data Entry'!$$884)</f>
      </c>
      <c r="BR884">
        <f>IF(ISBLANK('Data Entry'!$$884), "", 'Data Entry'!$$884)</f>
      </c>
      <c r="BS884">
        <f>IF(ISBLANK('Data Entry'!$$884), "", 'Data Entry'!$$884)</f>
      </c>
      <c r="BT884">
        <f>IF(ISBLANK('Data Entry'!$$884), "", 'Data Entry'!$$884)</f>
      </c>
      <c r="BU884">
        <f>IF(ISBLANK('Data Entry'!$$884), "", 'Data Entry'!$$884)</f>
      </c>
      <c r="BV884">
        <f>IF(ISBLANK('Data Entry'!$$884), "", 'Data Entry'!$$884)</f>
      </c>
      <c r="BW884">
        <f>IF(ISBLANK('Data Entry'!$$884), "", 'Data Entry'!$$884)</f>
      </c>
      <c r="BX884">
        <f>IF(ISBLANK('Data Entry'!$$884), "", 'Data Entry'!$$884)</f>
      </c>
      <c r="BY884">
        <f>IF(ISBLANK('Data Entry'!$$884), "", 'Data Entry'!$$884)</f>
      </c>
      <c r="BZ884">
        <f>IF(ISBLANK('Data Entry'!$$884), "", 'Data Entry'!$$884)</f>
      </c>
      <c r="CA884">
        <f>IF(ISBLANK('Data Entry'!$$884), "", 'Data Entry'!$$884)</f>
      </c>
      <c r="CB884">
        <f>IF(ISBLANK('Data Entry'!$$884), "", 'Data Entry'!$$884)</f>
      </c>
      <c r="CC884">
        <f>IF(ISBLANK('Data Entry'!$$884), "", 'Data Entry'!$$884)</f>
      </c>
      <c r="CD884">
        <f>IF(ISBLANK('Data Entry'!$$884), "", 'Data Entry'!$$884)</f>
      </c>
      <c r="CE884">
        <f>IF(ISBLANK('Data Entry'!$$884), "", 'Data Entry'!$$884)</f>
      </c>
      <c r="CF884">
        <f>IF(ISBLANK('Data Entry'!$$884), "", 'Data Entry'!$$884)</f>
      </c>
      <c r="CG884">
        <f>IF(ISBLANK('Data Entry'!$$884), "", 'Data Entry'!$$884)</f>
      </c>
      <c r="CH884">
        <f>IF(ISBLANK('Data Entry'!$$884), "", 'Data Entry'!$$884)</f>
      </c>
      <c r="CI884">
        <f>IF(ISBLANK('Data Entry'!$$884), "", 'Data Entry'!$$884)</f>
      </c>
      <c r="CJ884">
        <f>IF(ISBLANK('Data Entry'!$$884), "", 'Data Entry'!$$884)</f>
      </c>
      <c r="CK884">
        <f>IF(ISBLANK('Data Entry'!$$884), "", 'Data Entry'!$$884)</f>
      </c>
      <c r="CL884">
        <f>IF(ISBLANK('Data Entry'!$$884), "", 'Data Entry'!$$884)</f>
      </c>
      <c r="CM884">
        <f>IF(ISBLANK('Data Entry'!$$884), "", 'Data Entry'!$$884)</f>
      </c>
      <c r="CN884">
        <f>IF(ISBLANK('Data Entry'!$$884), "", 'Data Entry'!$$884)</f>
      </c>
      <c r="CO884">
        <f>IF(ISBLANK('Data Entry'!$$884), "", 'Data Entry'!$$884)</f>
      </c>
      <c r="CP884">
        <f>IF(ISBLANK('Data Entry'!$$884), "", 'Data Entry'!$$884)</f>
      </c>
      <c r="CQ884">
        <f>IF(ISBLANK('Data Entry'!$$884), "", 'Data Entry'!$$884)</f>
      </c>
      <c r="CR884">
        <f>IF(ISBLANK('Data Entry'!$ $884), "", 'Data Entry'!$ $884)</f>
      </c>
      <c r="CS884">
        <f>IF(ISBLANK('Data Entry'!$¡$884), "", 'Data Entry'!$¡$884)</f>
      </c>
      <c r="CT884">
        <f>IF(ISBLANK('Data Entry'!$¢$884), "", 'Data Entry'!$¢$884)</f>
      </c>
      <c r="CU884">
        <f>IF(ISBLANK('Data Entry'!$£$884), "", 'Data Entry'!$£$884)</f>
      </c>
      <c r="CV884">
        <f>IF(ISBLANK('Data Entry'!$¤$884), "", 'Data Entry'!$¤$884)</f>
      </c>
      <c r="CW884">
        <f>IF(ISBLANK('Data Entry'!$¥$884), "", 'Data Entry'!$¥$884)</f>
      </c>
      <c r="CX884">
        <f>IF(ISBLANK('Data Entry'!$¦$884), "", 'Data Entry'!$¦$884)</f>
      </c>
      <c r="CY884">
        <f>IF(ISBLANK('Data Entry'!$§$884), "", 'Data Entry'!$§$884)</f>
      </c>
      <c r="CZ884">
        <f>IF(ISBLANK('Data Entry'!$¨$884), "", 'Data Entry'!$¨$884)</f>
      </c>
      <c r="DA884">
        <f>IF(ISBLANK('Data Entry'!$©$884), "", 'Data Entry'!$©$884)</f>
      </c>
      <c r="DB884">
        <f>IF(ISBLANK('Data Entry'!$ª$884), "", 'Data Entry'!$ª$884)</f>
      </c>
      <c r="DC884">
        <f>IF(ISBLANK('Data Entry'!$«$884), "", 'Data Entry'!$«$884)</f>
      </c>
      <c r="DD884">
        <f>IF(ISBLANK('Data Entry'!$¬$884), "", 'Data Entry'!$¬$884)</f>
      </c>
      <c r="DE884">
        <f>IF(ISBLANK('Data Entry'!$­$884), "", 'Data Entry'!$­$884)</f>
      </c>
      <c r="DF884">
        <f>IF(ISBLANK('Data Entry'!$®$884), "", 'Data Entry'!$®$884)</f>
      </c>
      <c r="DG884">
        <f>IF(ISBLANK('Data Entry'!$¯$884), "", 'Data Entry'!$¯$884)</f>
      </c>
      <c r="DH884">
        <f>IF(ISBLANK('Data Entry'!$°$884), "", 'Data Entry'!$°$884)</f>
      </c>
      <c r="DI884">
        <f>IF(ISBLANK('Data Entry'!$±$884), "", 'Data Entry'!$±$884)</f>
      </c>
      <c r="DJ884">
        <f>IF(ISBLANK('Data Entry'!$²$884), "", 'Data Entry'!$²$884)</f>
      </c>
      <c r="DK884">
        <f>IF(ISBLANK('Data Entry'!$³$884), "", 'Data Entry'!$³$884)</f>
      </c>
      <c r="DL884">
        <f>IF(ISBLANK('Data Entry'!$´$884), "", 'Data Entry'!$´$884)</f>
      </c>
      <c r="DM884">
        <f>IF(ISBLANK('Data Entry'!$µ$884), "", 'Data Entry'!$µ$884)</f>
      </c>
      <c r="DN884">
        <f>IF(ISBLANK('Data Entry'!$¶$884), "", 'Data Entry'!$¶$884)</f>
      </c>
      <c r="DO884">
        <f>IF(ISBLANK('Data Entry'!$·$884), "", 'Data Entry'!$·$884)</f>
      </c>
      <c r="DP884">
        <f>IF(ISBLANK('Data Entry'!$¸$884), "", 'Data Entry'!$¸$884)</f>
      </c>
      <c r="DQ884">
        <f>IF(ISBLANK('Data Entry'!$¹$884), "", 'Data Entry'!$¹$884)</f>
      </c>
      <c r="DR884">
        <f>IF(ISBLANK('Data Entry'!$º$884), "", 'Data Entry'!$º$884)</f>
      </c>
      <c r="DS884">
        <f>IF(ISBLANK('Data Entry'!$»$884), "", 'Data Entry'!$»$884)</f>
      </c>
      <c r="DT884">
        <f>IF(ISBLANK('Data Entry'!$¼$884), "", 'Data Entry'!$¼$884)</f>
      </c>
      <c r="DU884">
        <f>IF(ISBLANK('Data Entry'!$½$884), "", 'Data Entry'!$½$884)</f>
      </c>
      <c r="DV884">
        <f>IF(ISBLANK('Data Entry'!$¾$884), "", 'Data Entry'!$¾$884)</f>
      </c>
      <c r="DW884">
        <f>IF(ISBLANK('Data Entry'!$¿$884), "", 'Data Entry'!$¿$884)</f>
      </c>
      <c r="DX884">
        <f>IF(ISBLANK('Data Entry'!$À$884), "", 'Data Entry'!$À$884)</f>
      </c>
      <c r="DY884">
        <f>IF(ISBLANK('Data Entry'!$Á$884), "", 'Data Entry'!$Á$884)</f>
      </c>
      <c r="DZ884">
        <f>IF(ISBLANK('Data Entry'!$Â$884), "", 'Data Entry'!$Â$884)</f>
      </c>
      <c r="EA884">
        <f>IF(ISBLANK('Data Entry'!$Ã$884), "", 'Data Entry'!$Ã$884)</f>
      </c>
      <c r="EB884">
        <f>IF(ISBLANK('Data Entry'!$Ä$884), "", 'Data Entry'!$Ä$884)</f>
      </c>
      <c r="EC884">
        <f>IF(ISBLANK('Data Entry'!$Å$884), "", 'Data Entry'!$Å$884)</f>
      </c>
      <c r="ED884">
        <f>IF(ISBLANK('Data Entry'!$Æ$884), "", 'Data Entry'!$Æ$884)</f>
      </c>
      <c r="EE884">
        <f>IF(ISBLANK('Data Entry'!$Ç$884), "", 'Data Entry'!$Ç$884)</f>
      </c>
      <c r="EF884">
        <f>IF(ISBLANK('Data Entry'!$È$884), "", 'Data Entry'!$È$884)</f>
      </c>
      <c r="EG884">
        <f>IF(ISBLANK('Data Entry'!$É$884), "", 'Data Entry'!$É$884)</f>
      </c>
      <c r="EH884">
        <f>IF(ISBLANK('Data Entry'!$Ê$884), "", 'Data Entry'!$Ê$884)</f>
      </c>
      <c r="EI884">
        <f>IF(ISBLANK('Data Entry'!$Ë$884), "", 'Data Entry'!$Ë$884)</f>
      </c>
      <c r="EJ884">
        <f>IF(ISBLANK('Data Entry'!$Ì$884), "", 'Data Entry'!$Ì$884)</f>
      </c>
      <c r="EK884">
        <f>IF(ISBLANK('Data Entry'!$Í$884), "", 'Data Entry'!$Í$884)</f>
      </c>
      <c r="EL884">
        <f>IF(ISBLANK('Data Entry'!$Î$884), "", 'Data Entry'!$Î$884)</f>
      </c>
      <c r="EM884">
        <f>IF(ISBLANK('Data Entry'!$Ï$884), "", 'Data Entry'!$Ï$884)</f>
      </c>
      <c r="EN884">
        <f>IF(ISBLANK('Data Entry'!$Ð$884), "", 'Data Entry'!$Ð$884)</f>
      </c>
      <c r="EO884">
        <f>IF(ISBLANK('Data Entry'!$Ñ$884), "", 'Data Entry'!$Ñ$884)</f>
      </c>
      <c r="EP884">
        <f>IF(ISBLANK('Data Entry'!$Ò$884), "", 'Data Entry'!$Ò$884)</f>
      </c>
      <c r="EQ884">
        <f>IF(ISBLANK('Data Entry'!$Ó$884), "", 'Data Entry'!$Ó$884)</f>
      </c>
      <c r="ER884">
        <f>IF(ISBLANK('Data Entry'!$Ô$884), "", 'Data Entry'!$Ô$884)</f>
      </c>
      <c r="ES884">
        <f>IF(ISBLANK('Data Entry'!$Õ$884), "", 'Data Entry'!$Õ$884)</f>
      </c>
      <c r="ET884">
        <f>IF(ISBLANK('Data Entry'!$Ö$884), "", 'Data Entry'!$Ö$884)</f>
      </c>
      <c r="EU884">
        <f>IF(ISBLANK('Data Entry'!$×$884), "", 'Data Entry'!$×$884)</f>
      </c>
      <c r="EV884">
        <f>IF(ISBLANK('Data Entry'!$Ø$884), "", 'Data Entry'!$Ø$884)</f>
      </c>
      <c r="EW884">
        <f>IF(ISBLANK('Data Entry'!$Ù$884), "", 'Data Entry'!$Ù$884)</f>
      </c>
      <c r="EX884">
        <f>IF(ISBLANK('Data Entry'!$Ú$884), "", 'Data Entry'!$Ú$884)</f>
      </c>
      <c r="EY884">
        <f>IF(ISBLANK('Data Entry'!$Û$884), "", 'Data Entry'!$Û$884)</f>
      </c>
      <c r="EZ884">
        <f>IF(ISBLANK('Data Entry'!$Ü$884), "", 'Data Entry'!$Ü$884)</f>
      </c>
      <c r="FA884">
        <f>IF(ISBLANK('Data Entry'!$Ý$884), "", 'Data Entry'!$Ý$884)</f>
      </c>
      <c r="FB884">
        <f>IF(ISBLANK('Data Entry'!$Þ$884), "", 'Data Entry'!$Þ$884)</f>
      </c>
      <c r="FC884">
        <f>IF(ISBLANK('Data Entry'!$ß$884), "", 'Data Entry'!$ß$884)</f>
      </c>
      <c r="FD884">
        <f>IF(ISBLANK('Data Entry'!$à$884), "", 'Data Entry'!$à$884)</f>
      </c>
      <c r="FE884">
        <f>IF(ISBLANK('Data Entry'!$á$884), "", 'Data Entry'!$á$884)</f>
      </c>
      <c r="FF884">
        <f>IF(ISBLANK('Data Entry'!$â$884), "", 'Data Entry'!$â$884)</f>
      </c>
      <c r="FG884">
        <f>IF(ISBLANK('Data Entry'!$ã$884), "", 'Data Entry'!$ã$884)</f>
      </c>
      <c r="FH884">
        <f>IF(ISBLANK('Data Entry'!$ä$884), "", 'Data Entry'!$ä$884)</f>
      </c>
      <c r="FI884">
        <f>IF(ISBLANK('Data Entry'!$å$884), "", 'Data Entry'!$å$884)</f>
      </c>
      <c r="FJ884">
        <f>IF(ISBLANK('Data Entry'!$æ$884), "", 'Data Entry'!$æ$884)</f>
      </c>
      <c r="FK884">
        <f>IF(ISBLANK('Data Entry'!$ç$884), "", 'Data Entry'!$ç$884)</f>
      </c>
      <c r="FL884">
        <f>IF(ISBLANK('Data Entry'!$è$884), "", 'Data Entry'!$è$884)</f>
      </c>
      <c r="FM884">
        <f>IF(ISBLANK('Data Entry'!$é$884), "", 'Data Entry'!$é$884)</f>
      </c>
      <c r="FN884">
        <f>IF(ISBLANK('Data Entry'!$ê$884), "", 'Data Entry'!$ê$884)</f>
      </c>
      <c r="FO884">
        <f>IF(ISBLANK('Data Entry'!$ë$884), "", 'Data Entry'!$ë$884)</f>
      </c>
      <c r="FP884">
        <f>IF(ISBLANK('Data Entry'!$ì$884), "", 'Data Entry'!$ì$884)</f>
      </c>
      <c r="FQ884">
        <f>IF(ISBLANK('Data Entry'!$í$884), "", 'Data Entry'!$í$884)</f>
      </c>
      <c r="FR884">
        <f>IF(ISBLANK('Data Entry'!$î$884), "", 'Data Entry'!$î$884)</f>
      </c>
      <c r="FS884">
        <f>IF(ISBLANK('Data Entry'!$ï$884), "", 'Data Entry'!$ï$884)</f>
      </c>
      <c r="FT884">
        <f>IF(ISBLANK('Data Entry'!$ð$884), "", 'Data Entry'!$ð$884)</f>
      </c>
      <c r="FU884">
        <f>IF(ISBLANK('Data Entry'!$ñ$884), "", 'Data Entry'!$ñ$884)</f>
      </c>
      <c r="FV884">
        <f>IF(ISBLANK('Data Entry'!$ò$884), "", 'Data Entry'!$ò$884)</f>
      </c>
      <c r="FW884">
        <f>IF(ISBLANK('Data Entry'!$ó$884), "", 'Data Entry'!$ó$884)</f>
      </c>
      <c r="FX884">
        <f>IF(ISBLANK('Data Entry'!$ô$884), "", 'Data Entry'!$ô$884)</f>
      </c>
      <c r="FY884">
        <f>IF(ISBLANK('Data Entry'!$õ$884), "", 'Data Entry'!$õ$884)</f>
      </c>
      <c r="FZ884">
        <f>IF(ISBLANK('Data Entry'!$ö$884), "", 'Data Entry'!$ö$884)</f>
      </c>
      <c r="GA884">
        <f>IF(ISBLANK('Data Entry'!$÷$884), "", 'Data Entry'!$÷$884)</f>
      </c>
      <c r="GB884">
        <f>IF(ISBLANK('Data Entry'!$ø$884), "", 'Data Entry'!$ø$884)</f>
      </c>
      <c r="GC884">
        <f>IF(ISBLANK('Data Entry'!$ù$884), "", 'Data Entry'!$ù$884)</f>
      </c>
      <c r="GD884">
        <f>IF(ISBLANK('Data Entry'!$ú$884), "", 'Data Entry'!$ú$884)</f>
      </c>
      <c r="GE884">
        <f>IF(ISBLANK('Data Entry'!$û$884), "", 'Data Entry'!$û$884)</f>
      </c>
      <c r="GF884">
        <f>IF(ISBLANK('Data Entry'!$ü$884), "", 'Data Entry'!$ü$884)</f>
      </c>
      <c r="GG884">
        <f>IF(ISBLANK('Data Entry'!$ý$884), "", 'Data Entry'!$ý$884)</f>
      </c>
      <c r="GH884">
        <f>IF(ISBLANK('Data Entry'!$þ$884), "", 'Data Entry'!$þ$884)</f>
      </c>
      <c r="GI884">
        <f>IF(ISBLANK('Data Entry'!$ÿ$884), "", 'Data Entry'!$ÿ$884)</f>
      </c>
      <c r="GJ884">
        <f>IF(ISBLANK('Data Entry'!$Ā$884), "", 'Data Entry'!$Ā$884)</f>
      </c>
      <c r="GK884">
        <f>IF(ISBLANK('Data Entry'!$ā$884), "", 'Data Entry'!$ā$884)</f>
      </c>
      <c r="GL884">
        <f>IF(ISBLANK('Data Entry'!$Ă$884), "", 'Data Entry'!$Ă$884)</f>
      </c>
      <c r="GM884">
        <f>IF(ISBLANK('Data Entry'!$ă$884), "", 'Data Entry'!$ă$884)</f>
      </c>
      <c r="GN884">
        <f>IF(ISBLANK('Data Entry'!$Ą$884), "", 'Data Entry'!$Ą$884)</f>
      </c>
      <c r="GO884">
        <f>IF(ISBLANK('Data Entry'!$ą$884), "", 'Data Entry'!$ą$884)</f>
      </c>
      <c r="GP884">
        <f>IF(ISBLANK('Data Entry'!$Ć$884), "", 'Data Entry'!$Ć$884)</f>
      </c>
      <c r="GQ884">
        <f>IF(ISBLANK('Data Entry'!$ć$884), "", 'Data Entry'!$ć$884)</f>
      </c>
      <c r="GR884">
        <f>IF(ISBLANK('Data Entry'!$Ĉ$884), "", 'Data Entry'!$Ĉ$884)</f>
      </c>
      <c r="GS884">
        <f>IF(ISBLANK('Data Entry'!$ĉ$884), "", 'Data Entry'!$ĉ$884)</f>
      </c>
      <c r="GT884">
        <f>IF(ISBLANK('Data Entry'!$Ċ$884), "", 'Data Entry'!$Ċ$884)</f>
      </c>
      <c r="GU884">
        <f>IF(ISBLANK('Data Entry'!$ċ$884), "", 'Data Entry'!$ċ$884)</f>
      </c>
      <c r="GV884">
        <f>IF(ISBLANK('Data Entry'!$Č$884), "", 'Data Entry'!$Č$884)</f>
      </c>
      <c r="GW884">
        <f>IF(ISBLANK('Data Entry'!$č$884), "", 'Data Entry'!$č$884)</f>
      </c>
      <c r="GX884">
        <f>IF(ISBLANK('Data Entry'!$Ď$884), "", 'Data Entry'!$Ď$884)</f>
      </c>
      <c r="GY884">
        <f>IF(ISBLANK('Data Entry'!$ď$884), "", 'Data Entry'!$ď$884)</f>
      </c>
      <c r="GZ884">
        <f>IF(ISBLANK('Data Entry'!$Đ$884), "", 'Data Entry'!$Đ$884)</f>
      </c>
      <c r="HA884">
        <f>IF(ISBLANK('Data Entry'!$đ$884), "", 'Data Entry'!$đ$884)</f>
      </c>
      <c r="HB884">
        <f>IF(ISBLANK('Data Entry'!$Ē$884), "", 'Data Entry'!$Ē$884)</f>
      </c>
      <c r="HC884">
        <f>IF(ISBLANK('Data Entry'!$ē$884), "", 'Data Entry'!$ē$884)</f>
      </c>
      <c r="HD884">
        <f>IF(ISBLANK('Data Entry'!$Ĕ$884), "", 'Data Entry'!$Ĕ$884)</f>
      </c>
      <c r="HE884">
        <f>IF(ISBLANK('Data Entry'!$ĕ$884), "", 'Data Entry'!$ĕ$884)</f>
      </c>
      <c r="HF884">
        <f>IF(ISBLANK('Data Entry'!$Ė$884), "", 'Data Entry'!$Ė$884)</f>
      </c>
      <c r="HG884">
        <f>IF(ISBLANK('Data Entry'!$ė$884), "", 'Data Entry'!$ė$884)</f>
      </c>
      <c r="HH884">
        <f>IF(ISBLANK('Data Entry'!$Ę$884), "", 'Data Entry'!$Ę$884)</f>
      </c>
      <c r="HI884">
        <f>IF(ISBLANK('Data Entry'!$ę$884), "", 'Data Entry'!$ę$884)</f>
      </c>
      <c r="HJ884">
        <f>IF(ISBLANK('Data Entry'!$Ě$884), "", 'Data Entry'!$Ě$884)</f>
      </c>
      <c r="HK884">
        <f>IF(ISBLANK('Data Entry'!$ě$884), "", 'Data Entry'!$ě$884)</f>
      </c>
      <c r="HL884">
        <f>IF(ISBLANK('Data Entry'!$Ĝ$884), "", 'Data Entry'!$Ĝ$884)</f>
      </c>
      <c r="HM884">
        <f>IF(ISBLANK('Data Entry'!$ĝ$884), "", 'Data Entry'!$ĝ$884)</f>
      </c>
      <c r="HN884">
        <f>IF(ISBLANK('Data Entry'!$Ğ$884), "", 'Data Entry'!$Ğ$884)</f>
      </c>
      <c r="HO884">
        <f>IF(ISBLANK('Data Entry'!$ğ$884), "", 'Data Entry'!$ğ$884)</f>
      </c>
      <c r="HP884">
        <f>IF(ISBLANK('Data Entry'!$Ġ$884), "", 'Data Entry'!$Ġ$884)</f>
      </c>
      <c r="HQ884">
        <f>IF(ISBLANK('Data Entry'!$ġ$884), "", 'Data Entry'!$ġ$884)</f>
      </c>
      <c r="HR884">
        <f>IF(ISBLANK('Data Entry'!$Ģ$884), "", 'Data Entry'!$Ģ$884)</f>
      </c>
      <c r="HS884">
        <f>IF(ISBLANK('Data Entry'!$ģ$884), "", 'Data Entry'!$ģ$884)</f>
      </c>
      <c r="HT884">
        <f>IF(ISBLANK('Data Entry'!$Ĥ$884), "", 'Data Entry'!$Ĥ$884)</f>
      </c>
      <c r="HU884">
        <f>IF(ISBLANK('Data Entry'!$ĥ$884), "", 'Data Entry'!$ĥ$884)</f>
      </c>
      <c r="HV884">
        <f>IF(ISBLANK('Data Entry'!$Ħ$884), "", 'Data Entry'!$Ħ$884)</f>
      </c>
      <c r="HW884">
        <f>IF(ISBLANK('Data Entry'!$ħ$884), "", 'Data Entry'!$ħ$884)</f>
      </c>
      <c r="HX884">
        <f>IF(ISBLANK('Data Entry'!$Ĩ$884), "", 'Data Entry'!$Ĩ$884)</f>
      </c>
      <c r="HY884">
        <f>IF(ISBLANK('Data Entry'!$ĩ$884), "", 'Data Entry'!$ĩ$884)</f>
      </c>
      <c r="HZ884">
        <f>IF(ISBLANK('Data Entry'!$Ī$884), "", 'Data Entry'!$Ī$884)</f>
      </c>
      <c r="IA884">
        <f>IF(ISBLANK('Data Entry'!$ī$884), "", 'Data Entry'!$ī$884)</f>
      </c>
      <c r="IB884">
        <f>IF(ISBLANK('Data Entry'!$Ĭ$884), "", 'Data Entry'!$Ĭ$884)</f>
      </c>
      <c r="IC884">
        <f>IF(ISBLANK('Data Entry'!$ĭ$884), "", 'Data Entry'!$ĭ$884)</f>
      </c>
      <c r="ID884">
        <f>IF(ISBLANK('Data Entry'!$Į$884), "", 'Data Entry'!$Į$884)</f>
      </c>
      <c r="IE884">
        <f>IF(ISBLANK('Data Entry'!$į$884), "", 'Data Entry'!$į$884)</f>
      </c>
      <c r="IF884">
        <f>IF(ISBLANK('Data Entry'!$İ$884), "", 'Data Entry'!$İ$884)</f>
      </c>
      <c r="IG884">
        <f>IF(ISBLANK('Data Entry'!$ı$884), "", 'Data Entry'!$ı$884)</f>
      </c>
      <c r="IH884">
        <f>IF(ISBLANK('Data Entry'!$Ĳ$884), "", 'Data Entry'!$Ĳ$884)</f>
      </c>
      <c r="II884">
        <f>IF(ISBLANK('Data Entry'!$ĳ$884), "", 'Data Entry'!$ĳ$884)</f>
      </c>
      <c r="IJ884">
        <f>IF(ISBLANK('Data Entry'!$Ĵ$884), "", 'Data Entry'!$Ĵ$884)</f>
      </c>
      <c r="IK884">
        <f>IF(ISBLANK('Data Entry'!$ĵ$884), "", 'Data Entry'!$ĵ$884)</f>
      </c>
      <c r="IL884">
        <f>IF(ISBLANK('Data Entry'!$Ķ$884), "", 'Data Entry'!$Ķ$884)</f>
      </c>
      <c r="IM884">
        <f>IF(ISBLANK('Data Entry'!$ķ$884), "", 'Data Entry'!$ķ$884)</f>
      </c>
      <c r="IN884">
        <f>IF(ISBLANK('Data Entry'!$ĸ$884), "", 'Data Entry'!$ĸ$884)</f>
      </c>
      <c r="IO884">
        <f>IF(ISBLANK('Data Entry'!$Ĺ$884), "", 'Data Entry'!$Ĺ$884)</f>
      </c>
      <c r="IP884">
        <f>IF(ISBLANK('Data Entry'!$ĺ$884), "", 'Data Entry'!$ĺ$884)</f>
      </c>
      <c r="IQ884">
        <f>IF(ISBLANK('Data Entry'!$Ļ$884), "", 'Data Entry'!$Ļ$884)</f>
      </c>
      <c r="IR884">
        <f>IF(ISBLANK('Data Entry'!$ļ$884), "", 'Data Entry'!$ļ$884)</f>
      </c>
      <c r="IS884">
        <f>IF(ISBLANK('Data Entry'!$Ľ$884), "", 'Data Entry'!$Ľ$884)</f>
      </c>
      <c r="IT884">
        <f>IF(ISBLANK('Data Entry'!$ľ$884), "", 'Data Entry'!$ľ$884)</f>
      </c>
    </row>
    <row r="885" spans="1:254" x14ac:dyDescent="0.25">
      <c r="A885">
        <f>IF(ISBLANK('Data Entry'!$A$885), "", 'Data Entry'!$A$885)</f>
      </c>
      <c r="B885">
        <f>IF(ISBLANK('Data Entry'!$B$885), "", 'Data Entry'!$B$885)</f>
      </c>
      <c r="C885">
        <f>IF(ISBLANK('Data Entry'!$C$885), "", 'Data Entry'!$C$885)</f>
      </c>
      <c r="D885">
        <f>IF(ISBLANK('Data Entry'!$D$885), "", 'Data Entry'!$D$885)</f>
      </c>
      <c r="E885">
        <f>IF(ISBLANK('Data Entry'!$E$885), "", 'Data Entry'!$E$885)</f>
      </c>
      <c r="F885">
        <f>IF(ISBLANK('Data Entry'!$F$885), "", 'Data Entry'!$F$885)</f>
      </c>
      <c r="G885">
        <f>IF(ISBLANK('Data Entry'!$G$885), "", 'Data Entry'!$G$885)</f>
      </c>
      <c r="H885">
        <f>IF(ISBLANK('Data Entry'!$H$885), "", 'Data Entry'!$H$885)</f>
      </c>
      <c r="I885">
        <f>IF(ISBLANK('Data Entry'!$I$885), "", 'Data Entry'!$I$885)</f>
      </c>
      <c r="J885">
        <f>IF(ISBLANK('Data Entry'!$J$885), "", 'Data Entry'!$J$885)</f>
      </c>
      <c r="K885">
        <f>IF(ISBLANK('Data Entry'!$K$885), "", 'Data Entry'!$K$885)</f>
      </c>
      <c r="L885">
        <f>IF(ISBLANK('Data Entry'!$L$885), "", 'Data Entry'!$L$885)</f>
      </c>
      <c r="M885">
        <f>IF(ISBLANK('Data Entry'!$M$885), "", 'Data Entry'!$M$885)</f>
      </c>
      <c r="N885">
        <f>IF(ISBLANK('Data Entry'!$N$885), "", 'Data Entry'!$N$885)</f>
      </c>
      <c r="O885">
        <f>IF(ISBLANK('Data Entry'!$O$885), "", 'Data Entry'!$O$885)</f>
      </c>
      <c r="P885">
        <f>IF(ISBLANK('Data Entry'!$P$885), "", 'Data Entry'!$P$885)</f>
      </c>
      <c r="Q885">
        <f>IF(ISBLANK('Data Entry'!$Q$885), "", 'Data Entry'!$Q$885)</f>
      </c>
      <c r="R885">
        <f>IF(ISBLANK('Data Entry'!$R$885), "", 'Data Entry'!$R$885)</f>
      </c>
      <c r="S885">
        <f>IF(ISBLANK('Data Entry'!$S$885), "", 'Data Entry'!$S$885)</f>
      </c>
      <c r="T885">
        <f>IF(ISBLANK('Data Entry'!$T$885), "", 'Data Entry'!$T$885)</f>
      </c>
      <c r="U885">
        <f>IF(ISBLANK('Data Entry'!$U$885), "", 'Data Entry'!$U$885)</f>
      </c>
      <c r="V885">
        <f>IF(ISBLANK('Data Entry'!$V$885), "", 'Data Entry'!$V$885)</f>
      </c>
      <c r="W885">
        <f>IF(ISBLANK('Data Entry'!$W$885), "", 'Data Entry'!$W$885)</f>
      </c>
      <c r="X885">
        <f>IF(ISBLANK('Data Entry'!$X$885), "", 'Data Entry'!$X$885)</f>
      </c>
      <c r="Y885">
        <f>IF(ISBLANK('Data Entry'!$Y$885), "", 'Data Entry'!$Y$885)</f>
      </c>
      <c r="Z885">
        <f>IF(ISBLANK('Data Entry'!$Z$885), "", 'Data Entry'!$Z$885)</f>
      </c>
      <c r="AA885">
        <f>IF(ISBLANK('Data Entry'!$[$885), "", 'Data Entry'!$[$885)</f>
      </c>
      <c r="AB885">
        <f>IF(ISBLANK('Data Entry'!$\$885), "", 'Data Entry'!$\$885)</f>
      </c>
      <c r="AC885">
        <f>IF(ISBLANK('Data Entry'!$]$885), "", 'Data Entry'!$]$885)</f>
      </c>
      <c r="AD885">
        <f>IF(ISBLANK('Data Entry'!$^$885), "", 'Data Entry'!$^$885)</f>
      </c>
      <c r="AE885">
        <f>IF(ISBLANK('Data Entry'!$_$885), "", 'Data Entry'!$_$885)</f>
      </c>
      <c r="AF885">
        <f>IF(ISBLANK('Data Entry'!$`$885), "", 'Data Entry'!$`$885)</f>
      </c>
      <c r="AG885">
        <f>IF(ISBLANK('Data Entry'!$a$885), "", 'Data Entry'!$a$885)</f>
      </c>
      <c r="AH885">
        <f>IF(ISBLANK('Data Entry'!$b$885), "", 'Data Entry'!$b$885)</f>
      </c>
      <c r="AI885">
        <f>IF(ISBLANK('Data Entry'!$c$885), "", 'Data Entry'!$c$885)</f>
      </c>
      <c r="AJ885">
        <f>IF(ISBLANK('Data Entry'!$d$885), "", 'Data Entry'!$d$885)</f>
      </c>
      <c r="AK885">
        <f>IF(ISBLANK('Data Entry'!$e$885), "", 'Data Entry'!$e$885)</f>
      </c>
      <c r="AL885">
        <f>IF(ISBLANK('Data Entry'!$f$885), "", 'Data Entry'!$f$885)</f>
      </c>
      <c r="AM885">
        <f>IF(ISBLANK('Data Entry'!$g$885), "", 'Data Entry'!$g$885)</f>
      </c>
      <c r="AN885">
        <f>IF(ISBLANK('Data Entry'!$h$885), "", 'Data Entry'!$h$885)</f>
      </c>
      <c r="AO885">
        <f>IF(ISBLANK('Data Entry'!$i$885), "", 'Data Entry'!$i$885)</f>
      </c>
      <c r="AP885">
        <f>IF(ISBLANK('Data Entry'!$j$885), "", 'Data Entry'!$j$885)</f>
      </c>
      <c r="AQ885">
        <f>IF(ISBLANK('Data Entry'!$k$885), "", 'Data Entry'!$k$885)</f>
      </c>
      <c r="AR885">
        <f>IF(ISBLANK('Data Entry'!$l$885), "", 'Data Entry'!$l$885)</f>
      </c>
      <c r="AS885">
        <f>IF(ISBLANK('Data Entry'!$m$885), "", 'Data Entry'!$m$885)</f>
      </c>
      <c r="AT885">
        <f>IF(ISBLANK('Data Entry'!$n$885), "", 'Data Entry'!$n$885)</f>
      </c>
      <c r="AU885">
        <f>IF(ISBLANK('Data Entry'!$o$885), "", 'Data Entry'!$o$885)</f>
      </c>
      <c r="AV885">
        <f>IF(ISBLANK('Data Entry'!$p$885), "", 'Data Entry'!$p$885)</f>
      </c>
      <c r="AW885">
        <f>IF(ISBLANK('Data Entry'!$q$885), "", 'Data Entry'!$q$885)</f>
      </c>
      <c r="AX885">
        <f>IF(ISBLANK('Data Entry'!$r$885), "", 'Data Entry'!$r$885)</f>
      </c>
      <c r="AY885">
        <f>IF(ISBLANK('Data Entry'!$s$885), "", 'Data Entry'!$s$885)</f>
      </c>
      <c r="AZ885">
        <f>IF(ISBLANK('Data Entry'!$t$885), "", 'Data Entry'!$t$885)</f>
      </c>
      <c r="BA885">
        <f>IF(ISBLANK('Data Entry'!$u$885), "", 'Data Entry'!$u$885)</f>
      </c>
      <c r="BB885">
        <f>IF(ISBLANK('Data Entry'!$v$885), "", 'Data Entry'!$v$885)</f>
      </c>
      <c r="BC885">
        <f>IF(ISBLANK('Data Entry'!$w$885), "", 'Data Entry'!$w$885)</f>
      </c>
      <c r="BD885">
        <f>IF(ISBLANK('Data Entry'!$x$885), "", 'Data Entry'!$x$885)</f>
      </c>
      <c r="BE885">
        <f>IF(ISBLANK('Data Entry'!$y$885), "", 'Data Entry'!$y$885)</f>
      </c>
      <c r="BF885">
        <f>IF(ISBLANK('Data Entry'!$z$885), "", 'Data Entry'!$z$885)</f>
      </c>
      <c r="BG885">
        <f>IF(ISBLANK('Data Entry'!${$885), "", 'Data Entry'!${$885)</f>
      </c>
      <c r="BH885">
        <f>IF(ISBLANK('Data Entry'!$|$885), "", 'Data Entry'!$|$885)</f>
      </c>
      <c r="BI885">
        <f>IF(ISBLANK('Data Entry'!$}$885), "", 'Data Entry'!$}$885)</f>
      </c>
      <c r="BJ885">
        <f>IF(ISBLANK('Data Entry'!$~$885), "", 'Data Entry'!$~$885)</f>
      </c>
      <c r="BK885">
        <f>IF(ISBLANK('Data Entry'!$$885), "", 'Data Entry'!$$885)</f>
      </c>
      <c r="BL885">
        <f>IF(ISBLANK('Data Entry'!$$885), "", 'Data Entry'!$$885)</f>
      </c>
      <c r="BM885">
        <f>IF(ISBLANK('Data Entry'!$$885), "", 'Data Entry'!$$885)</f>
      </c>
      <c r="BN885">
        <f>IF(ISBLANK('Data Entry'!$$885), "", 'Data Entry'!$$885)</f>
      </c>
      <c r="BO885">
        <f>IF(ISBLANK('Data Entry'!$$885), "", 'Data Entry'!$$885)</f>
      </c>
      <c r="BP885">
        <f>IF(ISBLANK('Data Entry'!$$885), "", 'Data Entry'!$$885)</f>
      </c>
      <c r="BQ885">
        <f>IF(ISBLANK('Data Entry'!$$885), "", 'Data Entry'!$$885)</f>
      </c>
      <c r="BR885">
        <f>IF(ISBLANK('Data Entry'!$$885), "", 'Data Entry'!$$885)</f>
      </c>
      <c r="BS885">
        <f>IF(ISBLANK('Data Entry'!$$885), "", 'Data Entry'!$$885)</f>
      </c>
      <c r="BT885">
        <f>IF(ISBLANK('Data Entry'!$$885), "", 'Data Entry'!$$885)</f>
      </c>
      <c r="BU885">
        <f>IF(ISBLANK('Data Entry'!$$885), "", 'Data Entry'!$$885)</f>
      </c>
      <c r="BV885">
        <f>IF(ISBLANK('Data Entry'!$$885), "", 'Data Entry'!$$885)</f>
      </c>
      <c r="BW885">
        <f>IF(ISBLANK('Data Entry'!$$885), "", 'Data Entry'!$$885)</f>
      </c>
      <c r="BX885">
        <f>IF(ISBLANK('Data Entry'!$$885), "", 'Data Entry'!$$885)</f>
      </c>
      <c r="BY885">
        <f>IF(ISBLANK('Data Entry'!$$885), "", 'Data Entry'!$$885)</f>
      </c>
      <c r="BZ885">
        <f>IF(ISBLANK('Data Entry'!$$885), "", 'Data Entry'!$$885)</f>
      </c>
      <c r="CA885">
        <f>IF(ISBLANK('Data Entry'!$$885), "", 'Data Entry'!$$885)</f>
      </c>
      <c r="CB885">
        <f>IF(ISBLANK('Data Entry'!$$885), "", 'Data Entry'!$$885)</f>
      </c>
      <c r="CC885">
        <f>IF(ISBLANK('Data Entry'!$$885), "", 'Data Entry'!$$885)</f>
      </c>
      <c r="CD885">
        <f>IF(ISBLANK('Data Entry'!$$885), "", 'Data Entry'!$$885)</f>
      </c>
      <c r="CE885">
        <f>IF(ISBLANK('Data Entry'!$$885), "", 'Data Entry'!$$885)</f>
      </c>
      <c r="CF885">
        <f>IF(ISBLANK('Data Entry'!$$885), "", 'Data Entry'!$$885)</f>
      </c>
      <c r="CG885">
        <f>IF(ISBLANK('Data Entry'!$$885), "", 'Data Entry'!$$885)</f>
      </c>
      <c r="CH885">
        <f>IF(ISBLANK('Data Entry'!$$885), "", 'Data Entry'!$$885)</f>
      </c>
      <c r="CI885">
        <f>IF(ISBLANK('Data Entry'!$$885), "", 'Data Entry'!$$885)</f>
      </c>
      <c r="CJ885">
        <f>IF(ISBLANK('Data Entry'!$$885), "", 'Data Entry'!$$885)</f>
      </c>
      <c r="CK885">
        <f>IF(ISBLANK('Data Entry'!$$885), "", 'Data Entry'!$$885)</f>
      </c>
      <c r="CL885">
        <f>IF(ISBLANK('Data Entry'!$$885), "", 'Data Entry'!$$885)</f>
      </c>
      <c r="CM885">
        <f>IF(ISBLANK('Data Entry'!$$885), "", 'Data Entry'!$$885)</f>
      </c>
      <c r="CN885">
        <f>IF(ISBLANK('Data Entry'!$$885), "", 'Data Entry'!$$885)</f>
      </c>
      <c r="CO885">
        <f>IF(ISBLANK('Data Entry'!$$885), "", 'Data Entry'!$$885)</f>
      </c>
      <c r="CP885">
        <f>IF(ISBLANK('Data Entry'!$$885), "", 'Data Entry'!$$885)</f>
      </c>
      <c r="CQ885">
        <f>IF(ISBLANK('Data Entry'!$$885), "", 'Data Entry'!$$885)</f>
      </c>
      <c r="CR885">
        <f>IF(ISBLANK('Data Entry'!$ $885), "", 'Data Entry'!$ $885)</f>
      </c>
      <c r="CS885">
        <f>IF(ISBLANK('Data Entry'!$¡$885), "", 'Data Entry'!$¡$885)</f>
      </c>
      <c r="CT885">
        <f>IF(ISBLANK('Data Entry'!$¢$885), "", 'Data Entry'!$¢$885)</f>
      </c>
      <c r="CU885">
        <f>IF(ISBLANK('Data Entry'!$£$885), "", 'Data Entry'!$£$885)</f>
      </c>
      <c r="CV885">
        <f>IF(ISBLANK('Data Entry'!$¤$885), "", 'Data Entry'!$¤$885)</f>
      </c>
      <c r="CW885">
        <f>IF(ISBLANK('Data Entry'!$¥$885), "", 'Data Entry'!$¥$885)</f>
      </c>
      <c r="CX885">
        <f>IF(ISBLANK('Data Entry'!$¦$885), "", 'Data Entry'!$¦$885)</f>
      </c>
      <c r="CY885">
        <f>IF(ISBLANK('Data Entry'!$§$885), "", 'Data Entry'!$§$885)</f>
      </c>
      <c r="CZ885">
        <f>IF(ISBLANK('Data Entry'!$¨$885), "", 'Data Entry'!$¨$885)</f>
      </c>
      <c r="DA885">
        <f>IF(ISBLANK('Data Entry'!$©$885), "", 'Data Entry'!$©$885)</f>
      </c>
      <c r="DB885">
        <f>IF(ISBLANK('Data Entry'!$ª$885), "", 'Data Entry'!$ª$885)</f>
      </c>
      <c r="DC885">
        <f>IF(ISBLANK('Data Entry'!$«$885), "", 'Data Entry'!$«$885)</f>
      </c>
      <c r="DD885">
        <f>IF(ISBLANK('Data Entry'!$¬$885), "", 'Data Entry'!$¬$885)</f>
      </c>
      <c r="DE885">
        <f>IF(ISBLANK('Data Entry'!$­$885), "", 'Data Entry'!$­$885)</f>
      </c>
      <c r="DF885">
        <f>IF(ISBLANK('Data Entry'!$®$885), "", 'Data Entry'!$®$885)</f>
      </c>
      <c r="DG885">
        <f>IF(ISBLANK('Data Entry'!$¯$885), "", 'Data Entry'!$¯$885)</f>
      </c>
      <c r="DH885">
        <f>IF(ISBLANK('Data Entry'!$°$885), "", 'Data Entry'!$°$885)</f>
      </c>
      <c r="DI885">
        <f>IF(ISBLANK('Data Entry'!$±$885), "", 'Data Entry'!$±$885)</f>
      </c>
      <c r="DJ885">
        <f>IF(ISBLANK('Data Entry'!$²$885), "", 'Data Entry'!$²$885)</f>
      </c>
      <c r="DK885">
        <f>IF(ISBLANK('Data Entry'!$³$885), "", 'Data Entry'!$³$885)</f>
      </c>
      <c r="DL885">
        <f>IF(ISBLANK('Data Entry'!$´$885), "", 'Data Entry'!$´$885)</f>
      </c>
      <c r="DM885">
        <f>IF(ISBLANK('Data Entry'!$µ$885), "", 'Data Entry'!$µ$885)</f>
      </c>
      <c r="DN885">
        <f>IF(ISBLANK('Data Entry'!$¶$885), "", 'Data Entry'!$¶$885)</f>
      </c>
      <c r="DO885">
        <f>IF(ISBLANK('Data Entry'!$·$885), "", 'Data Entry'!$·$885)</f>
      </c>
      <c r="DP885">
        <f>IF(ISBLANK('Data Entry'!$¸$885), "", 'Data Entry'!$¸$885)</f>
      </c>
      <c r="DQ885">
        <f>IF(ISBLANK('Data Entry'!$¹$885), "", 'Data Entry'!$¹$885)</f>
      </c>
      <c r="DR885">
        <f>IF(ISBLANK('Data Entry'!$º$885), "", 'Data Entry'!$º$885)</f>
      </c>
      <c r="DS885">
        <f>IF(ISBLANK('Data Entry'!$»$885), "", 'Data Entry'!$»$885)</f>
      </c>
      <c r="DT885">
        <f>IF(ISBLANK('Data Entry'!$¼$885), "", 'Data Entry'!$¼$885)</f>
      </c>
      <c r="DU885">
        <f>IF(ISBLANK('Data Entry'!$½$885), "", 'Data Entry'!$½$885)</f>
      </c>
      <c r="DV885">
        <f>IF(ISBLANK('Data Entry'!$¾$885), "", 'Data Entry'!$¾$885)</f>
      </c>
      <c r="DW885">
        <f>IF(ISBLANK('Data Entry'!$¿$885), "", 'Data Entry'!$¿$885)</f>
      </c>
      <c r="DX885">
        <f>IF(ISBLANK('Data Entry'!$À$885), "", 'Data Entry'!$À$885)</f>
      </c>
      <c r="DY885">
        <f>IF(ISBLANK('Data Entry'!$Á$885), "", 'Data Entry'!$Á$885)</f>
      </c>
      <c r="DZ885">
        <f>IF(ISBLANK('Data Entry'!$Â$885), "", 'Data Entry'!$Â$885)</f>
      </c>
      <c r="EA885">
        <f>IF(ISBLANK('Data Entry'!$Ã$885), "", 'Data Entry'!$Ã$885)</f>
      </c>
      <c r="EB885">
        <f>IF(ISBLANK('Data Entry'!$Ä$885), "", 'Data Entry'!$Ä$885)</f>
      </c>
      <c r="EC885">
        <f>IF(ISBLANK('Data Entry'!$Å$885), "", 'Data Entry'!$Å$885)</f>
      </c>
      <c r="ED885">
        <f>IF(ISBLANK('Data Entry'!$Æ$885), "", 'Data Entry'!$Æ$885)</f>
      </c>
      <c r="EE885">
        <f>IF(ISBLANK('Data Entry'!$Ç$885), "", 'Data Entry'!$Ç$885)</f>
      </c>
      <c r="EF885">
        <f>IF(ISBLANK('Data Entry'!$È$885), "", 'Data Entry'!$È$885)</f>
      </c>
      <c r="EG885">
        <f>IF(ISBLANK('Data Entry'!$É$885), "", 'Data Entry'!$É$885)</f>
      </c>
      <c r="EH885">
        <f>IF(ISBLANK('Data Entry'!$Ê$885), "", 'Data Entry'!$Ê$885)</f>
      </c>
      <c r="EI885">
        <f>IF(ISBLANK('Data Entry'!$Ë$885), "", 'Data Entry'!$Ë$885)</f>
      </c>
      <c r="EJ885">
        <f>IF(ISBLANK('Data Entry'!$Ì$885), "", 'Data Entry'!$Ì$885)</f>
      </c>
      <c r="EK885">
        <f>IF(ISBLANK('Data Entry'!$Í$885), "", 'Data Entry'!$Í$885)</f>
      </c>
      <c r="EL885">
        <f>IF(ISBLANK('Data Entry'!$Î$885), "", 'Data Entry'!$Î$885)</f>
      </c>
      <c r="EM885">
        <f>IF(ISBLANK('Data Entry'!$Ï$885), "", 'Data Entry'!$Ï$885)</f>
      </c>
      <c r="EN885">
        <f>IF(ISBLANK('Data Entry'!$Ð$885), "", 'Data Entry'!$Ð$885)</f>
      </c>
      <c r="EO885">
        <f>IF(ISBLANK('Data Entry'!$Ñ$885), "", 'Data Entry'!$Ñ$885)</f>
      </c>
      <c r="EP885">
        <f>IF(ISBLANK('Data Entry'!$Ò$885), "", 'Data Entry'!$Ò$885)</f>
      </c>
      <c r="EQ885">
        <f>IF(ISBLANK('Data Entry'!$Ó$885), "", 'Data Entry'!$Ó$885)</f>
      </c>
      <c r="ER885">
        <f>IF(ISBLANK('Data Entry'!$Ô$885), "", 'Data Entry'!$Ô$885)</f>
      </c>
      <c r="ES885">
        <f>IF(ISBLANK('Data Entry'!$Õ$885), "", 'Data Entry'!$Õ$885)</f>
      </c>
      <c r="ET885">
        <f>IF(ISBLANK('Data Entry'!$Ö$885), "", 'Data Entry'!$Ö$885)</f>
      </c>
      <c r="EU885">
        <f>IF(ISBLANK('Data Entry'!$×$885), "", 'Data Entry'!$×$885)</f>
      </c>
      <c r="EV885">
        <f>IF(ISBLANK('Data Entry'!$Ø$885), "", 'Data Entry'!$Ø$885)</f>
      </c>
      <c r="EW885">
        <f>IF(ISBLANK('Data Entry'!$Ù$885), "", 'Data Entry'!$Ù$885)</f>
      </c>
      <c r="EX885">
        <f>IF(ISBLANK('Data Entry'!$Ú$885), "", 'Data Entry'!$Ú$885)</f>
      </c>
      <c r="EY885">
        <f>IF(ISBLANK('Data Entry'!$Û$885), "", 'Data Entry'!$Û$885)</f>
      </c>
      <c r="EZ885">
        <f>IF(ISBLANK('Data Entry'!$Ü$885), "", 'Data Entry'!$Ü$885)</f>
      </c>
      <c r="FA885">
        <f>IF(ISBLANK('Data Entry'!$Ý$885), "", 'Data Entry'!$Ý$885)</f>
      </c>
      <c r="FB885">
        <f>IF(ISBLANK('Data Entry'!$Þ$885), "", 'Data Entry'!$Þ$885)</f>
      </c>
      <c r="FC885">
        <f>IF(ISBLANK('Data Entry'!$ß$885), "", 'Data Entry'!$ß$885)</f>
      </c>
      <c r="FD885">
        <f>IF(ISBLANK('Data Entry'!$à$885), "", 'Data Entry'!$à$885)</f>
      </c>
      <c r="FE885">
        <f>IF(ISBLANK('Data Entry'!$á$885), "", 'Data Entry'!$á$885)</f>
      </c>
      <c r="FF885">
        <f>IF(ISBLANK('Data Entry'!$â$885), "", 'Data Entry'!$â$885)</f>
      </c>
      <c r="FG885">
        <f>IF(ISBLANK('Data Entry'!$ã$885), "", 'Data Entry'!$ã$885)</f>
      </c>
      <c r="FH885">
        <f>IF(ISBLANK('Data Entry'!$ä$885), "", 'Data Entry'!$ä$885)</f>
      </c>
      <c r="FI885">
        <f>IF(ISBLANK('Data Entry'!$å$885), "", 'Data Entry'!$å$885)</f>
      </c>
      <c r="FJ885">
        <f>IF(ISBLANK('Data Entry'!$æ$885), "", 'Data Entry'!$æ$885)</f>
      </c>
      <c r="FK885">
        <f>IF(ISBLANK('Data Entry'!$ç$885), "", 'Data Entry'!$ç$885)</f>
      </c>
      <c r="FL885">
        <f>IF(ISBLANK('Data Entry'!$è$885), "", 'Data Entry'!$è$885)</f>
      </c>
      <c r="FM885">
        <f>IF(ISBLANK('Data Entry'!$é$885), "", 'Data Entry'!$é$885)</f>
      </c>
      <c r="FN885">
        <f>IF(ISBLANK('Data Entry'!$ê$885), "", 'Data Entry'!$ê$885)</f>
      </c>
      <c r="FO885">
        <f>IF(ISBLANK('Data Entry'!$ë$885), "", 'Data Entry'!$ë$885)</f>
      </c>
      <c r="FP885">
        <f>IF(ISBLANK('Data Entry'!$ì$885), "", 'Data Entry'!$ì$885)</f>
      </c>
      <c r="FQ885">
        <f>IF(ISBLANK('Data Entry'!$í$885), "", 'Data Entry'!$í$885)</f>
      </c>
      <c r="FR885">
        <f>IF(ISBLANK('Data Entry'!$î$885), "", 'Data Entry'!$î$885)</f>
      </c>
      <c r="FS885">
        <f>IF(ISBLANK('Data Entry'!$ï$885), "", 'Data Entry'!$ï$885)</f>
      </c>
      <c r="FT885">
        <f>IF(ISBLANK('Data Entry'!$ð$885), "", 'Data Entry'!$ð$885)</f>
      </c>
      <c r="FU885">
        <f>IF(ISBLANK('Data Entry'!$ñ$885), "", 'Data Entry'!$ñ$885)</f>
      </c>
      <c r="FV885">
        <f>IF(ISBLANK('Data Entry'!$ò$885), "", 'Data Entry'!$ò$885)</f>
      </c>
      <c r="FW885">
        <f>IF(ISBLANK('Data Entry'!$ó$885), "", 'Data Entry'!$ó$885)</f>
      </c>
      <c r="FX885">
        <f>IF(ISBLANK('Data Entry'!$ô$885), "", 'Data Entry'!$ô$885)</f>
      </c>
      <c r="FY885">
        <f>IF(ISBLANK('Data Entry'!$õ$885), "", 'Data Entry'!$õ$885)</f>
      </c>
      <c r="FZ885">
        <f>IF(ISBLANK('Data Entry'!$ö$885), "", 'Data Entry'!$ö$885)</f>
      </c>
      <c r="GA885">
        <f>IF(ISBLANK('Data Entry'!$÷$885), "", 'Data Entry'!$÷$885)</f>
      </c>
      <c r="GB885">
        <f>IF(ISBLANK('Data Entry'!$ø$885), "", 'Data Entry'!$ø$885)</f>
      </c>
      <c r="GC885">
        <f>IF(ISBLANK('Data Entry'!$ù$885), "", 'Data Entry'!$ù$885)</f>
      </c>
      <c r="GD885">
        <f>IF(ISBLANK('Data Entry'!$ú$885), "", 'Data Entry'!$ú$885)</f>
      </c>
      <c r="GE885">
        <f>IF(ISBLANK('Data Entry'!$û$885), "", 'Data Entry'!$û$885)</f>
      </c>
      <c r="GF885">
        <f>IF(ISBLANK('Data Entry'!$ü$885), "", 'Data Entry'!$ü$885)</f>
      </c>
      <c r="GG885">
        <f>IF(ISBLANK('Data Entry'!$ý$885), "", 'Data Entry'!$ý$885)</f>
      </c>
      <c r="GH885">
        <f>IF(ISBLANK('Data Entry'!$þ$885), "", 'Data Entry'!$þ$885)</f>
      </c>
      <c r="GI885">
        <f>IF(ISBLANK('Data Entry'!$ÿ$885), "", 'Data Entry'!$ÿ$885)</f>
      </c>
      <c r="GJ885">
        <f>IF(ISBLANK('Data Entry'!$Ā$885), "", 'Data Entry'!$Ā$885)</f>
      </c>
      <c r="GK885">
        <f>IF(ISBLANK('Data Entry'!$ā$885), "", 'Data Entry'!$ā$885)</f>
      </c>
      <c r="GL885">
        <f>IF(ISBLANK('Data Entry'!$Ă$885), "", 'Data Entry'!$Ă$885)</f>
      </c>
      <c r="GM885">
        <f>IF(ISBLANK('Data Entry'!$ă$885), "", 'Data Entry'!$ă$885)</f>
      </c>
      <c r="GN885">
        <f>IF(ISBLANK('Data Entry'!$Ą$885), "", 'Data Entry'!$Ą$885)</f>
      </c>
      <c r="GO885">
        <f>IF(ISBLANK('Data Entry'!$ą$885), "", 'Data Entry'!$ą$885)</f>
      </c>
      <c r="GP885">
        <f>IF(ISBLANK('Data Entry'!$Ć$885), "", 'Data Entry'!$Ć$885)</f>
      </c>
      <c r="GQ885">
        <f>IF(ISBLANK('Data Entry'!$ć$885), "", 'Data Entry'!$ć$885)</f>
      </c>
      <c r="GR885">
        <f>IF(ISBLANK('Data Entry'!$Ĉ$885), "", 'Data Entry'!$Ĉ$885)</f>
      </c>
      <c r="GS885">
        <f>IF(ISBLANK('Data Entry'!$ĉ$885), "", 'Data Entry'!$ĉ$885)</f>
      </c>
      <c r="GT885">
        <f>IF(ISBLANK('Data Entry'!$Ċ$885), "", 'Data Entry'!$Ċ$885)</f>
      </c>
      <c r="GU885">
        <f>IF(ISBLANK('Data Entry'!$ċ$885), "", 'Data Entry'!$ċ$885)</f>
      </c>
      <c r="GV885">
        <f>IF(ISBLANK('Data Entry'!$Č$885), "", 'Data Entry'!$Č$885)</f>
      </c>
      <c r="GW885">
        <f>IF(ISBLANK('Data Entry'!$č$885), "", 'Data Entry'!$č$885)</f>
      </c>
      <c r="GX885">
        <f>IF(ISBLANK('Data Entry'!$Ď$885), "", 'Data Entry'!$Ď$885)</f>
      </c>
      <c r="GY885">
        <f>IF(ISBLANK('Data Entry'!$ď$885), "", 'Data Entry'!$ď$885)</f>
      </c>
      <c r="GZ885">
        <f>IF(ISBLANK('Data Entry'!$Đ$885), "", 'Data Entry'!$Đ$885)</f>
      </c>
      <c r="HA885">
        <f>IF(ISBLANK('Data Entry'!$đ$885), "", 'Data Entry'!$đ$885)</f>
      </c>
      <c r="HB885">
        <f>IF(ISBLANK('Data Entry'!$Ē$885), "", 'Data Entry'!$Ē$885)</f>
      </c>
      <c r="HC885">
        <f>IF(ISBLANK('Data Entry'!$ē$885), "", 'Data Entry'!$ē$885)</f>
      </c>
      <c r="HD885">
        <f>IF(ISBLANK('Data Entry'!$Ĕ$885), "", 'Data Entry'!$Ĕ$885)</f>
      </c>
      <c r="HE885">
        <f>IF(ISBLANK('Data Entry'!$ĕ$885), "", 'Data Entry'!$ĕ$885)</f>
      </c>
      <c r="HF885">
        <f>IF(ISBLANK('Data Entry'!$Ė$885), "", 'Data Entry'!$Ė$885)</f>
      </c>
      <c r="HG885">
        <f>IF(ISBLANK('Data Entry'!$ė$885), "", 'Data Entry'!$ė$885)</f>
      </c>
      <c r="HH885">
        <f>IF(ISBLANK('Data Entry'!$Ę$885), "", 'Data Entry'!$Ę$885)</f>
      </c>
      <c r="HI885">
        <f>IF(ISBLANK('Data Entry'!$ę$885), "", 'Data Entry'!$ę$885)</f>
      </c>
      <c r="HJ885">
        <f>IF(ISBLANK('Data Entry'!$Ě$885), "", 'Data Entry'!$Ě$885)</f>
      </c>
      <c r="HK885">
        <f>IF(ISBLANK('Data Entry'!$ě$885), "", 'Data Entry'!$ě$885)</f>
      </c>
      <c r="HL885">
        <f>IF(ISBLANK('Data Entry'!$Ĝ$885), "", 'Data Entry'!$Ĝ$885)</f>
      </c>
      <c r="HM885">
        <f>IF(ISBLANK('Data Entry'!$ĝ$885), "", 'Data Entry'!$ĝ$885)</f>
      </c>
      <c r="HN885">
        <f>IF(ISBLANK('Data Entry'!$Ğ$885), "", 'Data Entry'!$Ğ$885)</f>
      </c>
      <c r="HO885">
        <f>IF(ISBLANK('Data Entry'!$ğ$885), "", 'Data Entry'!$ğ$885)</f>
      </c>
      <c r="HP885">
        <f>IF(ISBLANK('Data Entry'!$Ġ$885), "", 'Data Entry'!$Ġ$885)</f>
      </c>
      <c r="HQ885">
        <f>IF(ISBLANK('Data Entry'!$ġ$885), "", 'Data Entry'!$ġ$885)</f>
      </c>
      <c r="HR885">
        <f>IF(ISBLANK('Data Entry'!$Ģ$885), "", 'Data Entry'!$Ģ$885)</f>
      </c>
      <c r="HS885">
        <f>IF(ISBLANK('Data Entry'!$ģ$885), "", 'Data Entry'!$ģ$885)</f>
      </c>
      <c r="HT885">
        <f>IF(ISBLANK('Data Entry'!$Ĥ$885), "", 'Data Entry'!$Ĥ$885)</f>
      </c>
      <c r="HU885">
        <f>IF(ISBLANK('Data Entry'!$ĥ$885), "", 'Data Entry'!$ĥ$885)</f>
      </c>
      <c r="HV885">
        <f>IF(ISBLANK('Data Entry'!$Ħ$885), "", 'Data Entry'!$Ħ$885)</f>
      </c>
      <c r="HW885">
        <f>IF(ISBLANK('Data Entry'!$ħ$885), "", 'Data Entry'!$ħ$885)</f>
      </c>
      <c r="HX885">
        <f>IF(ISBLANK('Data Entry'!$Ĩ$885), "", 'Data Entry'!$Ĩ$885)</f>
      </c>
      <c r="HY885">
        <f>IF(ISBLANK('Data Entry'!$ĩ$885), "", 'Data Entry'!$ĩ$885)</f>
      </c>
      <c r="HZ885">
        <f>IF(ISBLANK('Data Entry'!$Ī$885), "", 'Data Entry'!$Ī$885)</f>
      </c>
      <c r="IA885">
        <f>IF(ISBLANK('Data Entry'!$ī$885), "", 'Data Entry'!$ī$885)</f>
      </c>
      <c r="IB885">
        <f>IF(ISBLANK('Data Entry'!$Ĭ$885), "", 'Data Entry'!$Ĭ$885)</f>
      </c>
      <c r="IC885">
        <f>IF(ISBLANK('Data Entry'!$ĭ$885), "", 'Data Entry'!$ĭ$885)</f>
      </c>
      <c r="ID885">
        <f>IF(ISBLANK('Data Entry'!$Į$885), "", 'Data Entry'!$Į$885)</f>
      </c>
      <c r="IE885">
        <f>IF(ISBLANK('Data Entry'!$į$885), "", 'Data Entry'!$į$885)</f>
      </c>
      <c r="IF885">
        <f>IF(ISBLANK('Data Entry'!$İ$885), "", 'Data Entry'!$İ$885)</f>
      </c>
      <c r="IG885">
        <f>IF(ISBLANK('Data Entry'!$ı$885), "", 'Data Entry'!$ı$885)</f>
      </c>
      <c r="IH885">
        <f>IF(ISBLANK('Data Entry'!$Ĳ$885), "", 'Data Entry'!$Ĳ$885)</f>
      </c>
      <c r="II885">
        <f>IF(ISBLANK('Data Entry'!$ĳ$885), "", 'Data Entry'!$ĳ$885)</f>
      </c>
      <c r="IJ885">
        <f>IF(ISBLANK('Data Entry'!$Ĵ$885), "", 'Data Entry'!$Ĵ$885)</f>
      </c>
      <c r="IK885">
        <f>IF(ISBLANK('Data Entry'!$ĵ$885), "", 'Data Entry'!$ĵ$885)</f>
      </c>
      <c r="IL885">
        <f>IF(ISBLANK('Data Entry'!$Ķ$885), "", 'Data Entry'!$Ķ$885)</f>
      </c>
      <c r="IM885">
        <f>IF(ISBLANK('Data Entry'!$ķ$885), "", 'Data Entry'!$ķ$885)</f>
      </c>
      <c r="IN885">
        <f>IF(ISBLANK('Data Entry'!$ĸ$885), "", 'Data Entry'!$ĸ$885)</f>
      </c>
      <c r="IO885">
        <f>IF(ISBLANK('Data Entry'!$Ĺ$885), "", 'Data Entry'!$Ĺ$885)</f>
      </c>
      <c r="IP885">
        <f>IF(ISBLANK('Data Entry'!$ĺ$885), "", 'Data Entry'!$ĺ$885)</f>
      </c>
      <c r="IQ885">
        <f>IF(ISBLANK('Data Entry'!$Ļ$885), "", 'Data Entry'!$Ļ$885)</f>
      </c>
      <c r="IR885">
        <f>IF(ISBLANK('Data Entry'!$ļ$885), "", 'Data Entry'!$ļ$885)</f>
      </c>
      <c r="IS885">
        <f>IF(ISBLANK('Data Entry'!$Ľ$885), "", 'Data Entry'!$Ľ$885)</f>
      </c>
      <c r="IT885">
        <f>IF(ISBLANK('Data Entry'!$ľ$885), "", 'Data Entry'!$ľ$885)</f>
      </c>
    </row>
    <row r="886" spans="1:254" x14ac:dyDescent="0.25">
      <c r="A886">
        <f>IF(ISBLANK('Data Entry'!$A$886), "", 'Data Entry'!$A$886)</f>
      </c>
      <c r="B886">
        <f>IF(ISBLANK('Data Entry'!$B$886), "", 'Data Entry'!$B$886)</f>
      </c>
      <c r="C886">
        <f>IF(ISBLANK('Data Entry'!$C$886), "", 'Data Entry'!$C$886)</f>
      </c>
      <c r="D886">
        <f>IF(ISBLANK('Data Entry'!$D$886), "", 'Data Entry'!$D$886)</f>
      </c>
      <c r="E886">
        <f>IF(ISBLANK('Data Entry'!$E$886), "", 'Data Entry'!$E$886)</f>
      </c>
      <c r="F886">
        <f>IF(ISBLANK('Data Entry'!$F$886), "", 'Data Entry'!$F$886)</f>
      </c>
      <c r="G886">
        <f>IF(ISBLANK('Data Entry'!$G$886), "", 'Data Entry'!$G$886)</f>
      </c>
      <c r="H886">
        <f>IF(ISBLANK('Data Entry'!$H$886), "", 'Data Entry'!$H$886)</f>
      </c>
      <c r="I886">
        <f>IF(ISBLANK('Data Entry'!$I$886), "", 'Data Entry'!$I$886)</f>
      </c>
      <c r="J886">
        <f>IF(ISBLANK('Data Entry'!$J$886), "", 'Data Entry'!$J$886)</f>
      </c>
      <c r="K886">
        <f>IF(ISBLANK('Data Entry'!$K$886), "", 'Data Entry'!$K$886)</f>
      </c>
      <c r="L886">
        <f>IF(ISBLANK('Data Entry'!$L$886), "", 'Data Entry'!$L$886)</f>
      </c>
      <c r="M886">
        <f>IF(ISBLANK('Data Entry'!$M$886), "", 'Data Entry'!$M$886)</f>
      </c>
      <c r="N886">
        <f>IF(ISBLANK('Data Entry'!$N$886), "", 'Data Entry'!$N$886)</f>
      </c>
      <c r="O886">
        <f>IF(ISBLANK('Data Entry'!$O$886), "", 'Data Entry'!$O$886)</f>
      </c>
      <c r="P886">
        <f>IF(ISBLANK('Data Entry'!$P$886), "", 'Data Entry'!$P$886)</f>
      </c>
      <c r="Q886">
        <f>IF(ISBLANK('Data Entry'!$Q$886), "", 'Data Entry'!$Q$886)</f>
      </c>
      <c r="R886">
        <f>IF(ISBLANK('Data Entry'!$R$886), "", 'Data Entry'!$R$886)</f>
      </c>
      <c r="S886">
        <f>IF(ISBLANK('Data Entry'!$S$886), "", 'Data Entry'!$S$886)</f>
      </c>
      <c r="T886">
        <f>IF(ISBLANK('Data Entry'!$T$886), "", 'Data Entry'!$T$886)</f>
      </c>
      <c r="U886">
        <f>IF(ISBLANK('Data Entry'!$U$886), "", 'Data Entry'!$U$886)</f>
      </c>
      <c r="V886">
        <f>IF(ISBLANK('Data Entry'!$V$886), "", 'Data Entry'!$V$886)</f>
      </c>
      <c r="W886">
        <f>IF(ISBLANK('Data Entry'!$W$886), "", 'Data Entry'!$W$886)</f>
      </c>
      <c r="X886">
        <f>IF(ISBLANK('Data Entry'!$X$886), "", 'Data Entry'!$X$886)</f>
      </c>
      <c r="Y886">
        <f>IF(ISBLANK('Data Entry'!$Y$886), "", 'Data Entry'!$Y$886)</f>
      </c>
      <c r="Z886">
        <f>IF(ISBLANK('Data Entry'!$Z$886), "", 'Data Entry'!$Z$886)</f>
      </c>
      <c r="AA886">
        <f>IF(ISBLANK('Data Entry'!$[$886), "", 'Data Entry'!$[$886)</f>
      </c>
      <c r="AB886">
        <f>IF(ISBLANK('Data Entry'!$\$886), "", 'Data Entry'!$\$886)</f>
      </c>
      <c r="AC886">
        <f>IF(ISBLANK('Data Entry'!$]$886), "", 'Data Entry'!$]$886)</f>
      </c>
      <c r="AD886">
        <f>IF(ISBLANK('Data Entry'!$^$886), "", 'Data Entry'!$^$886)</f>
      </c>
      <c r="AE886">
        <f>IF(ISBLANK('Data Entry'!$_$886), "", 'Data Entry'!$_$886)</f>
      </c>
      <c r="AF886">
        <f>IF(ISBLANK('Data Entry'!$`$886), "", 'Data Entry'!$`$886)</f>
      </c>
      <c r="AG886">
        <f>IF(ISBLANK('Data Entry'!$a$886), "", 'Data Entry'!$a$886)</f>
      </c>
      <c r="AH886">
        <f>IF(ISBLANK('Data Entry'!$b$886), "", 'Data Entry'!$b$886)</f>
      </c>
      <c r="AI886">
        <f>IF(ISBLANK('Data Entry'!$c$886), "", 'Data Entry'!$c$886)</f>
      </c>
      <c r="AJ886">
        <f>IF(ISBLANK('Data Entry'!$d$886), "", 'Data Entry'!$d$886)</f>
      </c>
      <c r="AK886">
        <f>IF(ISBLANK('Data Entry'!$e$886), "", 'Data Entry'!$e$886)</f>
      </c>
      <c r="AL886">
        <f>IF(ISBLANK('Data Entry'!$f$886), "", 'Data Entry'!$f$886)</f>
      </c>
      <c r="AM886">
        <f>IF(ISBLANK('Data Entry'!$g$886), "", 'Data Entry'!$g$886)</f>
      </c>
      <c r="AN886">
        <f>IF(ISBLANK('Data Entry'!$h$886), "", 'Data Entry'!$h$886)</f>
      </c>
      <c r="AO886">
        <f>IF(ISBLANK('Data Entry'!$i$886), "", 'Data Entry'!$i$886)</f>
      </c>
      <c r="AP886">
        <f>IF(ISBLANK('Data Entry'!$j$886), "", 'Data Entry'!$j$886)</f>
      </c>
      <c r="AQ886">
        <f>IF(ISBLANK('Data Entry'!$k$886), "", 'Data Entry'!$k$886)</f>
      </c>
      <c r="AR886">
        <f>IF(ISBLANK('Data Entry'!$l$886), "", 'Data Entry'!$l$886)</f>
      </c>
      <c r="AS886">
        <f>IF(ISBLANK('Data Entry'!$m$886), "", 'Data Entry'!$m$886)</f>
      </c>
      <c r="AT886">
        <f>IF(ISBLANK('Data Entry'!$n$886), "", 'Data Entry'!$n$886)</f>
      </c>
      <c r="AU886">
        <f>IF(ISBLANK('Data Entry'!$o$886), "", 'Data Entry'!$o$886)</f>
      </c>
      <c r="AV886">
        <f>IF(ISBLANK('Data Entry'!$p$886), "", 'Data Entry'!$p$886)</f>
      </c>
      <c r="AW886">
        <f>IF(ISBLANK('Data Entry'!$q$886), "", 'Data Entry'!$q$886)</f>
      </c>
      <c r="AX886">
        <f>IF(ISBLANK('Data Entry'!$r$886), "", 'Data Entry'!$r$886)</f>
      </c>
      <c r="AY886">
        <f>IF(ISBLANK('Data Entry'!$s$886), "", 'Data Entry'!$s$886)</f>
      </c>
      <c r="AZ886">
        <f>IF(ISBLANK('Data Entry'!$t$886), "", 'Data Entry'!$t$886)</f>
      </c>
      <c r="BA886">
        <f>IF(ISBLANK('Data Entry'!$u$886), "", 'Data Entry'!$u$886)</f>
      </c>
      <c r="BB886">
        <f>IF(ISBLANK('Data Entry'!$v$886), "", 'Data Entry'!$v$886)</f>
      </c>
      <c r="BC886">
        <f>IF(ISBLANK('Data Entry'!$w$886), "", 'Data Entry'!$w$886)</f>
      </c>
      <c r="BD886">
        <f>IF(ISBLANK('Data Entry'!$x$886), "", 'Data Entry'!$x$886)</f>
      </c>
      <c r="BE886">
        <f>IF(ISBLANK('Data Entry'!$y$886), "", 'Data Entry'!$y$886)</f>
      </c>
      <c r="BF886">
        <f>IF(ISBLANK('Data Entry'!$z$886), "", 'Data Entry'!$z$886)</f>
      </c>
      <c r="BG886">
        <f>IF(ISBLANK('Data Entry'!${$886), "", 'Data Entry'!${$886)</f>
      </c>
      <c r="BH886">
        <f>IF(ISBLANK('Data Entry'!$|$886), "", 'Data Entry'!$|$886)</f>
      </c>
      <c r="BI886">
        <f>IF(ISBLANK('Data Entry'!$}$886), "", 'Data Entry'!$}$886)</f>
      </c>
      <c r="BJ886">
        <f>IF(ISBLANK('Data Entry'!$~$886), "", 'Data Entry'!$~$886)</f>
      </c>
      <c r="BK886">
        <f>IF(ISBLANK('Data Entry'!$$886), "", 'Data Entry'!$$886)</f>
      </c>
      <c r="BL886">
        <f>IF(ISBLANK('Data Entry'!$$886), "", 'Data Entry'!$$886)</f>
      </c>
      <c r="BM886">
        <f>IF(ISBLANK('Data Entry'!$$886), "", 'Data Entry'!$$886)</f>
      </c>
      <c r="BN886">
        <f>IF(ISBLANK('Data Entry'!$$886), "", 'Data Entry'!$$886)</f>
      </c>
      <c r="BO886">
        <f>IF(ISBLANK('Data Entry'!$$886), "", 'Data Entry'!$$886)</f>
      </c>
      <c r="BP886">
        <f>IF(ISBLANK('Data Entry'!$$886), "", 'Data Entry'!$$886)</f>
      </c>
      <c r="BQ886">
        <f>IF(ISBLANK('Data Entry'!$$886), "", 'Data Entry'!$$886)</f>
      </c>
      <c r="BR886">
        <f>IF(ISBLANK('Data Entry'!$$886), "", 'Data Entry'!$$886)</f>
      </c>
      <c r="BS886">
        <f>IF(ISBLANK('Data Entry'!$$886), "", 'Data Entry'!$$886)</f>
      </c>
      <c r="BT886">
        <f>IF(ISBLANK('Data Entry'!$$886), "", 'Data Entry'!$$886)</f>
      </c>
      <c r="BU886">
        <f>IF(ISBLANK('Data Entry'!$$886), "", 'Data Entry'!$$886)</f>
      </c>
      <c r="BV886">
        <f>IF(ISBLANK('Data Entry'!$$886), "", 'Data Entry'!$$886)</f>
      </c>
      <c r="BW886">
        <f>IF(ISBLANK('Data Entry'!$$886), "", 'Data Entry'!$$886)</f>
      </c>
      <c r="BX886">
        <f>IF(ISBLANK('Data Entry'!$$886), "", 'Data Entry'!$$886)</f>
      </c>
      <c r="BY886">
        <f>IF(ISBLANK('Data Entry'!$$886), "", 'Data Entry'!$$886)</f>
      </c>
      <c r="BZ886">
        <f>IF(ISBLANK('Data Entry'!$$886), "", 'Data Entry'!$$886)</f>
      </c>
      <c r="CA886">
        <f>IF(ISBLANK('Data Entry'!$$886), "", 'Data Entry'!$$886)</f>
      </c>
      <c r="CB886">
        <f>IF(ISBLANK('Data Entry'!$$886), "", 'Data Entry'!$$886)</f>
      </c>
      <c r="CC886">
        <f>IF(ISBLANK('Data Entry'!$$886), "", 'Data Entry'!$$886)</f>
      </c>
      <c r="CD886">
        <f>IF(ISBLANK('Data Entry'!$$886), "", 'Data Entry'!$$886)</f>
      </c>
      <c r="CE886">
        <f>IF(ISBLANK('Data Entry'!$$886), "", 'Data Entry'!$$886)</f>
      </c>
      <c r="CF886">
        <f>IF(ISBLANK('Data Entry'!$$886), "", 'Data Entry'!$$886)</f>
      </c>
      <c r="CG886">
        <f>IF(ISBLANK('Data Entry'!$$886), "", 'Data Entry'!$$886)</f>
      </c>
      <c r="CH886">
        <f>IF(ISBLANK('Data Entry'!$$886), "", 'Data Entry'!$$886)</f>
      </c>
      <c r="CI886">
        <f>IF(ISBLANK('Data Entry'!$$886), "", 'Data Entry'!$$886)</f>
      </c>
      <c r="CJ886">
        <f>IF(ISBLANK('Data Entry'!$$886), "", 'Data Entry'!$$886)</f>
      </c>
      <c r="CK886">
        <f>IF(ISBLANK('Data Entry'!$$886), "", 'Data Entry'!$$886)</f>
      </c>
      <c r="CL886">
        <f>IF(ISBLANK('Data Entry'!$$886), "", 'Data Entry'!$$886)</f>
      </c>
      <c r="CM886">
        <f>IF(ISBLANK('Data Entry'!$$886), "", 'Data Entry'!$$886)</f>
      </c>
      <c r="CN886">
        <f>IF(ISBLANK('Data Entry'!$$886), "", 'Data Entry'!$$886)</f>
      </c>
      <c r="CO886">
        <f>IF(ISBLANK('Data Entry'!$$886), "", 'Data Entry'!$$886)</f>
      </c>
      <c r="CP886">
        <f>IF(ISBLANK('Data Entry'!$$886), "", 'Data Entry'!$$886)</f>
      </c>
      <c r="CQ886">
        <f>IF(ISBLANK('Data Entry'!$$886), "", 'Data Entry'!$$886)</f>
      </c>
      <c r="CR886">
        <f>IF(ISBLANK('Data Entry'!$ $886), "", 'Data Entry'!$ $886)</f>
      </c>
      <c r="CS886">
        <f>IF(ISBLANK('Data Entry'!$¡$886), "", 'Data Entry'!$¡$886)</f>
      </c>
      <c r="CT886">
        <f>IF(ISBLANK('Data Entry'!$¢$886), "", 'Data Entry'!$¢$886)</f>
      </c>
      <c r="CU886">
        <f>IF(ISBLANK('Data Entry'!$£$886), "", 'Data Entry'!$£$886)</f>
      </c>
      <c r="CV886">
        <f>IF(ISBLANK('Data Entry'!$¤$886), "", 'Data Entry'!$¤$886)</f>
      </c>
      <c r="CW886">
        <f>IF(ISBLANK('Data Entry'!$¥$886), "", 'Data Entry'!$¥$886)</f>
      </c>
      <c r="CX886">
        <f>IF(ISBLANK('Data Entry'!$¦$886), "", 'Data Entry'!$¦$886)</f>
      </c>
      <c r="CY886">
        <f>IF(ISBLANK('Data Entry'!$§$886), "", 'Data Entry'!$§$886)</f>
      </c>
      <c r="CZ886">
        <f>IF(ISBLANK('Data Entry'!$¨$886), "", 'Data Entry'!$¨$886)</f>
      </c>
      <c r="DA886">
        <f>IF(ISBLANK('Data Entry'!$©$886), "", 'Data Entry'!$©$886)</f>
      </c>
      <c r="DB886">
        <f>IF(ISBLANK('Data Entry'!$ª$886), "", 'Data Entry'!$ª$886)</f>
      </c>
      <c r="DC886">
        <f>IF(ISBLANK('Data Entry'!$«$886), "", 'Data Entry'!$«$886)</f>
      </c>
      <c r="DD886">
        <f>IF(ISBLANK('Data Entry'!$¬$886), "", 'Data Entry'!$¬$886)</f>
      </c>
      <c r="DE886">
        <f>IF(ISBLANK('Data Entry'!$­$886), "", 'Data Entry'!$­$886)</f>
      </c>
      <c r="DF886">
        <f>IF(ISBLANK('Data Entry'!$®$886), "", 'Data Entry'!$®$886)</f>
      </c>
      <c r="DG886">
        <f>IF(ISBLANK('Data Entry'!$¯$886), "", 'Data Entry'!$¯$886)</f>
      </c>
      <c r="DH886">
        <f>IF(ISBLANK('Data Entry'!$°$886), "", 'Data Entry'!$°$886)</f>
      </c>
      <c r="DI886">
        <f>IF(ISBLANK('Data Entry'!$±$886), "", 'Data Entry'!$±$886)</f>
      </c>
      <c r="DJ886">
        <f>IF(ISBLANK('Data Entry'!$²$886), "", 'Data Entry'!$²$886)</f>
      </c>
      <c r="DK886">
        <f>IF(ISBLANK('Data Entry'!$³$886), "", 'Data Entry'!$³$886)</f>
      </c>
      <c r="DL886">
        <f>IF(ISBLANK('Data Entry'!$´$886), "", 'Data Entry'!$´$886)</f>
      </c>
      <c r="DM886">
        <f>IF(ISBLANK('Data Entry'!$µ$886), "", 'Data Entry'!$µ$886)</f>
      </c>
      <c r="DN886">
        <f>IF(ISBLANK('Data Entry'!$¶$886), "", 'Data Entry'!$¶$886)</f>
      </c>
      <c r="DO886">
        <f>IF(ISBLANK('Data Entry'!$·$886), "", 'Data Entry'!$·$886)</f>
      </c>
      <c r="DP886">
        <f>IF(ISBLANK('Data Entry'!$¸$886), "", 'Data Entry'!$¸$886)</f>
      </c>
      <c r="DQ886">
        <f>IF(ISBLANK('Data Entry'!$¹$886), "", 'Data Entry'!$¹$886)</f>
      </c>
      <c r="DR886">
        <f>IF(ISBLANK('Data Entry'!$º$886), "", 'Data Entry'!$º$886)</f>
      </c>
      <c r="DS886">
        <f>IF(ISBLANK('Data Entry'!$»$886), "", 'Data Entry'!$»$886)</f>
      </c>
      <c r="DT886">
        <f>IF(ISBLANK('Data Entry'!$¼$886), "", 'Data Entry'!$¼$886)</f>
      </c>
      <c r="DU886">
        <f>IF(ISBLANK('Data Entry'!$½$886), "", 'Data Entry'!$½$886)</f>
      </c>
      <c r="DV886">
        <f>IF(ISBLANK('Data Entry'!$¾$886), "", 'Data Entry'!$¾$886)</f>
      </c>
      <c r="DW886">
        <f>IF(ISBLANK('Data Entry'!$¿$886), "", 'Data Entry'!$¿$886)</f>
      </c>
      <c r="DX886">
        <f>IF(ISBLANK('Data Entry'!$À$886), "", 'Data Entry'!$À$886)</f>
      </c>
      <c r="DY886">
        <f>IF(ISBLANK('Data Entry'!$Á$886), "", 'Data Entry'!$Á$886)</f>
      </c>
      <c r="DZ886">
        <f>IF(ISBLANK('Data Entry'!$Â$886), "", 'Data Entry'!$Â$886)</f>
      </c>
      <c r="EA886">
        <f>IF(ISBLANK('Data Entry'!$Ã$886), "", 'Data Entry'!$Ã$886)</f>
      </c>
      <c r="EB886">
        <f>IF(ISBLANK('Data Entry'!$Ä$886), "", 'Data Entry'!$Ä$886)</f>
      </c>
      <c r="EC886">
        <f>IF(ISBLANK('Data Entry'!$Å$886), "", 'Data Entry'!$Å$886)</f>
      </c>
      <c r="ED886">
        <f>IF(ISBLANK('Data Entry'!$Æ$886), "", 'Data Entry'!$Æ$886)</f>
      </c>
      <c r="EE886">
        <f>IF(ISBLANK('Data Entry'!$Ç$886), "", 'Data Entry'!$Ç$886)</f>
      </c>
      <c r="EF886">
        <f>IF(ISBLANK('Data Entry'!$È$886), "", 'Data Entry'!$È$886)</f>
      </c>
      <c r="EG886">
        <f>IF(ISBLANK('Data Entry'!$É$886), "", 'Data Entry'!$É$886)</f>
      </c>
      <c r="EH886">
        <f>IF(ISBLANK('Data Entry'!$Ê$886), "", 'Data Entry'!$Ê$886)</f>
      </c>
      <c r="EI886">
        <f>IF(ISBLANK('Data Entry'!$Ë$886), "", 'Data Entry'!$Ë$886)</f>
      </c>
      <c r="EJ886">
        <f>IF(ISBLANK('Data Entry'!$Ì$886), "", 'Data Entry'!$Ì$886)</f>
      </c>
      <c r="EK886">
        <f>IF(ISBLANK('Data Entry'!$Í$886), "", 'Data Entry'!$Í$886)</f>
      </c>
      <c r="EL886">
        <f>IF(ISBLANK('Data Entry'!$Î$886), "", 'Data Entry'!$Î$886)</f>
      </c>
      <c r="EM886">
        <f>IF(ISBLANK('Data Entry'!$Ï$886), "", 'Data Entry'!$Ï$886)</f>
      </c>
      <c r="EN886">
        <f>IF(ISBLANK('Data Entry'!$Ð$886), "", 'Data Entry'!$Ð$886)</f>
      </c>
      <c r="EO886">
        <f>IF(ISBLANK('Data Entry'!$Ñ$886), "", 'Data Entry'!$Ñ$886)</f>
      </c>
      <c r="EP886">
        <f>IF(ISBLANK('Data Entry'!$Ò$886), "", 'Data Entry'!$Ò$886)</f>
      </c>
      <c r="EQ886">
        <f>IF(ISBLANK('Data Entry'!$Ó$886), "", 'Data Entry'!$Ó$886)</f>
      </c>
      <c r="ER886">
        <f>IF(ISBLANK('Data Entry'!$Ô$886), "", 'Data Entry'!$Ô$886)</f>
      </c>
      <c r="ES886">
        <f>IF(ISBLANK('Data Entry'!$Õ$886), "", 'Data Entry'!$Õ$886)</f>
      </c>
      <c r="ET886">
        <f>IF(ISBLANK('Data Entry'!$Ö$886), "", 'Data Entry'!$Ö$886)</f>
      </c>
      <c r="EU886">
        <f>IF(ISBLANK('Data Entry'!$×$886), "", 'Data Entry'!$×$886)</f>
      </c>
      <c r="EV886">
        <f>IF(ISBLANK('Data Entry'!$Ø$886), "", 'Data Entry'!$Ø$886)</f>
      </c>
      <c r="EW886">
        <f>IF(ISBLANK('Data Entry'!$Ù$886), "", 'Data Entry'!$Ù$886)</f>
      </c>
      <c r="EX886">
        <f>IF(ISBLANK('Data Entry'!$Ú$886), "", 'Data Entry'!$Ú$886)</f>
      </c>
      <c r="EY886">
        <f>IF(ISBLANK('Data Entry'!$Û$886), "", 'Data Entry'!$Û$886)</f>
      </c>
      <c r="EZ886">
        <f>IF(ISBLANK('Data Entry'!$Ü$886), "", 'Data Entry'!$Ü$886)</f>
      </c>
      <c r="FA886">
        <f>IF(ISBLANK('Data Entry'!$Ý$886), "", 'Data Entry'!$Ý$886)</f>
      </c>
      <c r="FB886">
        <f>IF(ISBLANK('Data Entry'!$Þ$886), "", 'Data Entry'!$Þ$886)</f>
      </c>
      <c r="FC886">
        <f>IF(ISBLANK('Data Entry'!$ß$886), "", 'Data Entry'!$ß$886)</f>
      </c>
      <c r="FD886">
        <f>IF(ISBLANK('Data Entry'!$à$886), "", 'Data Entry'!$à$886)</f>
      </c>
      <c r="FE886">
        <f>IF(ISBLANK('Data Entry'!$á$886), "", 'Data Entry'!$á$886)</f>
      </c>
      <c r="FF886">
        <f>IF(ISBLANK('Data Entry'!$â$886), "", 'Data Entry'!$â$886)</f>
      </c>
      <c r="FG886">
        <f>IF(ISBLANK('Data Entry'!$ã$886), "", 'Data Entry'!$ã$886)</f>
      </c>
      <c r="FH886">
        <f>IF(ISBLANK('Data Entry'!$ä$886), "", 'Data Entry'!$ä$886)</f>
      </c>
      <c r="FI886">
        <f>IF(ISBLANK('Data Entry'!$å$886), "", 'Data Entry'!$å$886)</f>
      </c>
      <c r="FJ886">
        <f>IF(ISBLANK('Data Entry'!$æ$886), "", 'Data Entry'!$æ$886)</f>
      </c>
      <c r="FK886">
        <f>IF(ISBLANK('Data Entry'!$ç$886), "", 'Data Entry'!$ç$886)</f>
      </c>
      <c r="FL886">
        <f>IF(ISBLANK('Data Entry'!$è$886), "", 'Data Entry'!$è$886)</f>
      </c>
      <c r="FM886">
        <f>IF(ISBLANK('Data Entry'!$é$886), "", 'Data Entry'!$é$886)</f>
      </c>
      <c r="FN886">
        <f>IF(ISBLANK('Data Entry'!$ê$886), "", 'Data Entry'!$ê$886)</f>
      </c>
      <c r="FO886">
        <f>IF(ISBLANK('Data Entry'!$ë$886), "", 'Data Entry'!$ë$886)</f>
      </c>
      <c r="FP886">
        <f>IF(ISBLANK('Data Entry'!$ì$886), "", 'Data Entry'!$ì$886)</f>
      </c>
      <c r="FQ886">
        <f>IF(ISBLANK('Data Entry'!$í$886), "", 'Data Entry'!$í$886)</f>
      </c>
      <c r="FR886">
        <f>IF(ISBLANK('Data Entry'!$î$886), "", 'Data Entry'!$î$886)</f>
      </c>
      <c r="FS886">
        <f>IF(ISBLANK('Data Entry'!$ï$886), "", 'Data Entry'!$ï$886)</f>
      </c>
      <c r="FT886">
        <f>IF(ISBLANK('Data Entry'!$ð$886), "", 'Data Entry'!$ð$886)</f>
      </c>
      <c r="FU886">
        <f>IF(ISBLANK('Data Entry'!$ñ$886), "", 'Data Entry'!$ñ$886)</f>
      </c>
      <c r="FV886">
        <f>IF(ISBLANK('Data Entry'!$ò$886), "", 'Data Entry'!$ò$886)</f>
      </c>
      <c r="FW886">
        <f>IF(ISBLANK('Data Entry'!$ó$886), "", 'Data Entry'!$ó$886)</f>
      </c>
      <c r="FX886">
        <f>IF(ISBLANK('Data Entry'!$ô$886), "", 'Data Entry'!$ô$886)</f>
      </c>
      <c r="FY886">
        <f>IF(ISBLANK('Data Entry'!$õ$886), "", 'Data Entry'!$õ$886)</f>
      </c>
      <c r="FZ886">
        <f>IF(ISBLANK('Data Entry'!$ö$886), "", 'Data Entry'!$ö$886)</f>
      </c>
      <c r="GA886">
        <f>IF(ISBLANK('Data Entry'!$÷$886), "", 'Data Entry'!$÷$886)</f>
      </c>
      <c r="GB886">
        <f>IF(ISBLANK('Data Entry'!$ø$886), "", 'Data Entry'!$ø$886)</f>
      </c>
      <c r="GC886">
        <f>IF(ISBLANK('Data Entry'!$ù$886), "", 'Data Entry'!$ù$886)</f>
      </c>
      <c r="GD886">
        <f>IF(ISBLANK('Data Entry'!$ú$886), "", 'Data Entry'!$ú$886)</f>
      </c>
      <c r="GE886">
        <f>IF(ISBLANK('Data Entry'!$û$886), "", 'Data Entry'!$û$886)</f>
      </c>
      <c r="GF886">
        <f>IF(ISBLANK('Data Entry'!$ü$886), "", 'Data Entry'!$ü$886)</f>
      </c>
      <c r="GG886">
        <f>IF(ISBLANK('Data Entry'!$ý$886), "", 'Data Entry'!$ý$886)</f>
      </c>
      <c r="GH886">
        <f>IF(ISBLANK('Data Entry'!$þ$886), "", 'Data Entry'!$þ$886)</f>
      </c>
      <c r="GI886">
        <f>IF(ISBLANK('Data Entry'!$ÿ$886), "", 'Data Entry'!$ÿ$886)</f>
      </c>
      <c r="GJ886">
        <f>IF(ISBLANK('Data Entry'!$Ā$886), "", 'Data Entry'!$Ā$886)</f>
      </c>
      <c r="GK886">
        <f>IF(ISBLANK('Data Entry'!$ā$886), "", 'Data Entry'!$ā$886)</f>
      </c>
      <c r="GL886">
        <f>IF(ISBLANK('Data Entry'!$Ă$886), "", 'Data Entry'!$Ă$886)</f>
      </c>
      <c r="GM886">
        <f>IF(ISBLANK('Data Entry'!$ă$886), "", 'Data Entry'!$ă$886)</f>
      </c>
      <c r="GN886">
        <f>IF(ISBLANK('Data Entry'!$Ą$886), "", 'Data Entry'!$Ą$886)</f>
      </c>
      <c r="GO886">
        <f>IF(ISBLANK('Data Entry'!$ą$886), "", 'Data Entry'!$ą$886)</f>
      </c>
      <c r="GP886">
        <f>IF(ISBLANK('Data Entry'!$Ć$886), "", 'Data Entry'!$Ć$886)</f>
      </c>
      <c r="GQ886">
        <f>IF(ISBLANK('Data Entry'!$ć$886), "", 'Data Entry'!$ć$886)</f>
      </c>
      <c r="GR886">
        <f>IF(ISBLANK('Data Entry'!$Ĉ$886), "", 'Data Entry'!$Ĉ$886)</f>
      </c>
      <c r="GS886">
        <f>IF(ISBLANK('Data Entry'!$ĉ$886), "", 'Data Entry'!$ĉ$886)</f>
      </c>
      <c r="GT886">
        <f>IF(ISBLANK('Data Entry'!$Ċ$886), "", 'Data Entry'!$Ċ$886)</f>
      </c>
      <c r="GU886">
        <f>IF(ISBLANK('Data Entry'!$ċ$886), "", 'Data Entry'!$ċ$886)</f>
      </c>
      <c r="GV886">
        <f>IF(ISBLANK('Data Entry'!$Č$886), "", 'Data Entry'!$Č$886)</f>
      </c>
      <c r="GW886">
        <f>IF(ISBLANK('Data Entry'!$č$886), "", 'Data Entry'!$č$886)</f>
      </c>
      <c r="GX886">
        <f>IF(ISBLANK('Data Entry'!$Ď$886), "", 'Data Entry'!$Ď$886)</f>
      </c>
      <c r="GY886">
        <f>IF(ISBLANK('Data Entry'!$ď$886), "", 'Data Entry'!$ď$886)</f>
      </c>
      <c r="GZ886">
        <f>IF(ISBLANK('Data Entry'!$Đ$886), "", 'Data Entry'!$Đ$886)</f>
      </c>
      <c r="HA886">
        <f>IF(ISBLANK('Data Entry'!$đ$886), "", 'Data Entry'!$đ$886)</f>
      </c>
      <c r="HB886">
        <f>IF(ISBLANK('Data Entry'!$Ē$886), "", 'Data Entry'!$Ē$886)</f>
      </c>
      <c r="HC886">
        <f>IF(ISBLANK('Data Entry'!$ē$886), "", 'Data Entry'!$ē$886)</f>
      </c>
      <c r="HD886">
        <f>IF(ISBLANK('Data Entry'!$Ĕ$886), "", 'Data Entry'!$Ĕ$886)</f>
      </c>
      <c r="HE886">
        <f>IF(ISBLANK('Data Entry'!$ĕ$886), "", 'Data Entry'!$ĕ$886)</f>
      </c>
      <c r="HF886">
        <f>IF(ISBLANK('Data Entry'!$Ė$886), "", 'Data Entry'!$Ė$886)</f>
      </c>
      <c r="HG886">
        <f>IF(ISBLANK('Data Entry'!$ė$886), "", 'Data Entry'!$ė$886)</f>
      </c>
      <c r="HH886">
        <f>IF(ISBLANK('Data Entry'!$Ę$886), "", 'Data Entry'!$Ę$886)</f>
      </c>
      <c r="HI886">
        <f>IF(ISBLANK('Data Entry'!$ę$886), "", 'Data Entry'!$ę$886)</f>
      </c>
      <c r="HJ886">
        <f>IF(ISBLANK('Data Entry'!$Ě$886), "", 'Data Entry'!$Ě$886)</f>
      </c>
      <c r="HK886">
        <f>IF(ISBLANK('Data Entry'!$ě$886), "", 'Data Entry'!$ě$886)</f>
      </c>
      <c r="HL886">
        <f>IF(ISBLANK('Data Entry'!$Ĝ$886), "", 'Data Entry'!$Ĝ$886)</f>
      </c>
      <c r="HM886">
        <f>IF(ISBLANK('Data Entry'!$ĝ$886), "", 'Data Entry'!$ĝ$886)</f>
      </c>
      <c r="HN886">
        <f>IF(ISBLANK('Data Entry'!$Ğ$886), "", 'Data Entry'!$Ğ$886)</f>
      </c>
      <c r="HO886">
        <f>IF(ISBLANK('Data Entry'!$ğ$886), "", 'Data Entry'!$ğ$886)</f>
      </c>
      <c r="HP886">
        <f>IF(ISBLANK('Data Entry'!$Ġ$886), "", 'Data Entry'!$Ġ$886)</f>
      </c>
      <c r="HQ886">
        <f>IF(ISBLANK('Data Entry'!$ġ$886), "", 'Data Entry'!$ġ$886)</f>
      </c>
      <c r="HR886">
        <f>IF(ISBLANK('Data Entry'!$Ģ$886), "", 'Data Entry'!$Ģ$886)</f>
      </c>
      <c r="HS886">
        <f>IF(ISBLANK('Data Entry'!$ģ$886), "", 'Data Entry'!$ģ$886)</f>
      </c>
      <c r="HT886">
        <f>IF(ISBLANK('Data Entry'!$Ĥ$886), "", 'Data Entry'!$Ĥ$886)</f>
      </c>
      <c r="HU886">
        <f>IF(ISBLANK('Data Entry'!$ĥ$886), "", 'Data Entry'!$ĥ$886)</f>
      </c>
      <c r="HV886">
        <f>IF(ISBLANK('Data Entry'!$Ħ$886), "", 'Data Entry'!$Ħ$886)</f>
      </c>
      <c r="HW886">
        <f>IF(ISBLANK('Data Entry'!$ħ$886), "", 'Data Entry'!$ħ$886)</f>
      </c>
      <c r="HX886">
        <f>IF(ISBLANK('Data Entry'!$Ĩ$886), "", 'Data Entry'!$Ĩ$886)</f>
      </c>
      <c r="HY886">
        <f>IF(ISBLANK('Data Entry'!$ĩ$886), "", 'Data Entry'!$ĩ$886)</f>
      </c>
      <c r="HZ886">
        <f>IF(ISBLANK('Data Entry'!$Ī$886), "", 'Data Entry'!$Ī$886)</f>
      </c>
      <c r="IA886">
        <f>IF(ISBLANK('Data Entry'!$ī$886), "", 'Data Entry'!$ī$886)</f>
      </c>
      <c r="IB886">
        <f>IF(ISBLANK('Data Entry'!$Ĭ$886), "", 'Data Entry'!$Ĭ$886)</f>
      </c>
      <c r="IC886">
        <f>IF(ISBLANK('Data Entry'!$ĭ$886), "", 'Data Entry'!$ĭ$886)</f>
      </c>
      <c r="ID886">
        <f>IF(ISBLANK('Data Entry'!$Į$886), "", 'Data Entry'!$Į$886)</f>
      </c>
      <c r="IE886">
        <f>IF(ISBLANK('Data Entry'!$į$886), "", 'Data Entry'!$į$886)</f>
      </c>
      <c r="IF886">
        <f>IF(ISBLANK('Data Entry'!$İ$886), "", 'Data Entry'!$İ$886)</f>
      </c>
      <c r="IG886">
        <f>IF(ISBLANK('Data Entry'!$ı$886), "", 'Data Entry'!$ı$886)</f>
      </c>
      <c r="IH886">
        <f>IF(ISBLANK('Data Entry'!$Ĳ$886), "", 'Data Entry'!$Ĳ$886)</f>
      </c>
      <c r="II886">
        <f>IF(ISBLANK('Data Entry'!$ĳ$886), "", 'Data Entry'!$ĳ$886)</f>
      </c>
      <c r="IJ886">
        <f>IF(ISBLANK('Data Entry'!$Ĵ$886), "", 'Data Entry'!$Ĵ$886)</f>
      </c>
      <c r="IK886">
        <f>IF(ISBLANK('Data Entry'!$ĵ$886), "", 'Data Entry'!$ĵ$886)</f>
      </c>
      <c r="IL886">
        <f>IF(ISBLANK('Data Entry'!$Ķ$886), "", 'Data Entry'!$Ķ$886)</f>
      </c>
      <c r="IM886">
        <f>IF(ISBLANK('Data Entry'!$ķ$886), "", 'Data Entry'!$ķ$886)</f>
      </c>
      <c r="IN886">
        <f>IF(ISBLANK('Data Entry'!$ĸ$886), "", 'Data Entry'!$ĸ$886)</f>
      </c>
      <c r="IO886">
        <f>IF(ISBLANK('Data Entry'!$Ĺ$886), "", 'Data Entry'!$Ĺ$886)</f>
      </c>
      <c r="IP886">
        <f>IF(ISBLANK('Data Entry'!$ĺ$886), "", 'Data Entry'!$ĺ$886)</f>
      </c>
      <c r="IQ886">
        <f>IF(ISBLANK('Data Entry'!$Ļ$886), "", 'Data Entry'!$Ļ$886)</f>
      </c>
      <c r="IR886">
        <f>IF(ISBLANK('Data Entry'!$ļ$886), "", 'Data Entry'!$ļ$886)</f>
      </c>
      <c r="IS886">
        <f>IF(ISBLANK('Data Entry'!$Ľ$886), "", 'Data Entry'!$Ľ$886)</f>
      </c>
      <c r="IT886">
        <f>IF(ISBLANK('Data Entry'!$ľ$886), "", 'Data Entry'!$ľ$886)</f>
      </c>
    </row>
    <row r="887" spans="1:254" x14ac:dyDescent="0.25">
      <c r="A887">
        <f>IF(ISBLANK('Data Entry'!$A$887), "", 'Data Entry'!$A$887)</f>
      </c>
      <c r="B887">
        <f>IF(ISBLANK('Data Entry'!$B$887), "", 'Data Entry'!$B$887)</f>
      </c>
      <c r="C887">
        <f>IF(ISBLANK('Data Entry'!$C$887), "", 'Data Entry'!$C$887)</f>
      </c>
      <c r="D887">
        <f>IF(ISBLANK('Data Entry'!$D$887), "", 'Data Entry'!$D$887)</f>
      </c>
      <c r="E887">
        <f>IF(ISBLANK('Data Entry'!$E$887), "", 'Data Entry'!$E$887)</f>
      </c>
      <c r="F887">
        <f>IF(ISBLANK('Data Entry'!$F$887), "", 'Data Entry'!$F$887)</f>
      </c>
      <c r="G887">
        <f>IF(ISBLANK('Data Entry'!$G$887), "", 'Data Entry'!$G$887)</f>
      </c>
      <c r="H887">
        <f>IF(ISBLANK('Data Entry'!$H$887), "", 'Data Entry'!$H$887)</f>
      </c>
      <c r="I887">
        <f>IF(ISBLANK('Data Entry'!$I$887), "", 'Data Entry'!$I$887)</f>
      </c>
      <c r="J887">
        <f>IF(ISBLANK('Data Entry'!$J$887), "", 'Data Entry'!$J$887)</f>
      </c>
      <c r="K887">
        <f>IF(ISBLANK('Data Entry'!$K$887), "", 'Data Entry'!$K$887)</f>
      </c>
      <c r="L887">
        <f>IF(ISBLANK('Data Entry'!$L$887), "", 'Data Entry'!$L$887)</f>
      </c>
      <c r="M887">
        <f>IF(ISBLANK('Data Entry'!$M$887), "", 'Data Entry'!$M$887)</f>
      </c>
      <c r="N887">
        <f>IF(ISBLANK('Data Entry'!$N$887), "", 'Data Entry'!$N$887)</f>
      </c>
      <c r="O887">
        <f>IF(ISBLANK('Data Entry'!$O$887), "", 'Data Entry'!$O$887)</f>
      </c>
      <c r="P887">
        <f>IF(ISBLANK('Data Entry'!$P$887), "", 'Data Entry'!$P$887)</f>
      </c>
      <c r="Q887">
        <f>IF(ISBLANK('Data Entry'!$Q$887), "", 'Data Entry'!$Q$887)</f>
      </c>
      <c r="R887">
        <f>IF(ISBLANK('Data Entry'!$R$887), "", 'Data Entry'!$R$887)</f>
      </c>
      <c r="S887">
        <f>IF(ISBLANK('Data Entry'!$S$887), "", 'Data Entry'!$S$887)</f>
      </c>
      <c r="T887">
        <f>IF(ISBLANK('Data Entry'!$T$887), "", 'Data Entry'!$T$887)</f>
      </c>
      <c r="U887">
        <f>IF(ISBLANK('Data Entry'!$U$887), "", 'Data Entry'!$U$887)</f>
      </c>
      <c r="V887">
        <f>IF(ISBLANK('Data Entry'!$V$887), "", 'Data Entry'!$V$887)</f>
      </c>
      <c r="W887">
        <f>IF(ISBLANK('Data Entry'!$W$887), "", 'Data Entry'!$W$887)</f>
      </c>
      <c r="X887">
        <f>IF(ISBLANK('Data Entry'!$X$887), "", 'Data Entry'!$X$887)</f>
      </c>
      <c r="Y887">
        <f>IF(ISBLANK('Data Entry'!$Y$887), "", 'Data Entry'!$Y$887)</f>
      </c>
      <c r="Z887">
        <f>IF(ISBLANK('Data Entry'!$Z$887), "", 'Data Entry'!$Z$887)</f>
      </c>
      <c r="AA887">
        <f>IF(ISBLANK('Data Entry'!$[$887), "", 'Data Entry'!$[$887)</f>
      </c>
      <c r="AB887">
        <f>IF(ISBLANK('Data Entry'!$\$887), "", 'Data Entry'!$\$887)</f>
      </c>
      <c r="AC887">
        <f>IF(ISBLANK('Data Entry'!$]$887), "", 'Data Entry'!$]$887)</f>
      </c>
      <c r="AD887">
        <f>IF(ISBLANK('Data Entry'!$^$887), "", 'Data Entry'!$^$887)</f>
      </c>
      <c r="AE887">
        <f>IF(ISBLANK('Data Entry'!$_$887), "", 'Data Entry'!$_$887)</f>
      </c>
      <c r="AF887">
        <f>IF(ISBLANK('Data Entry'!$`$887), "", 'Data Entry'!$`$887)</f>
      </c>
      <c r="AG887">
        <f>IF(ISBLANK('Data Entry'!$a$887), "", 'Data Entry'!$a$887)</f>
      </c>
      <c r="AH887">
        <f>IF(ISBLANK('Data Entry'!$b$887), "", 'Data Entry'!$b$887)</f>
      </c>
      <c r="AI887">
        <f>IF(ISBLANK('Data Entry'!$c$887), "", 'Data Entry'!$c$887)</f>
      </c>
      <c r="AJ887">
        <f>IF(ISBLANK('Data Entry'!$d$887), "", 'Data Entry'!$d$887)</f>
      </c>
      <c r="AK887">
        <f>IF(ISBLANK('Data Entry'!$e$887), "", 'Data Entry'!$e$887)</f>
      </c>
      <c r="AL887">
        <f>IF(ISBLANK('Data Entry'!$f$887), "", 'Data Entry'!$f$887)</f>
      </c>
      <c r="AM887">
        <f>IF(ISBLANK('Data Entry'!$g$887), "", 'Data Entry'!$g$887)</f>
      </c>
      <c r="AN887">
        <f>IF(ISBLANK('Data Entry'!$h$887), "", 'Data Entry'!$h$887)</f>
      </c>
      <c r="AO887">
        <f>IF(ISBLANK('Data Entry'!$i$887), "", 'Data Entry'!$i$887)</f>
      </c>
      <c r="AP887">
        <f>IF(ISBLANK('Data Entry'!$j$887), "", 'Data Entry'!$j$887)</f>
      </c>
      <c r="AQ887">
        <f>IF(ISBLANK('Data Entry'!$k$887), "", 'Data Entry'!$k$887)</f>
      </c>
      <c r="AR887">
        <f>IF(ISBLANK('Data Entry'!$l$887), "", 'Data Entry'!$l$887)</f>
      </c>
      <c r="AS887">
        <f>IF(ISBLANK('Data Entry'!$m$887), "", 'Data Entry'!$m$887)</f>
      </c>
      <c r="AT887">
        <f>IF(ISBLANK('Data Entry'!$n$887), "", 'Data Entry'!$n$887)</f>
      </c>
      <c r="AU887">
        <f>IF(ISBLANK('Data Entry'!$o$887), "", 'Data Entry'!$o$887)</f>
      </c>
      <c r="AV887">
        <f>IF(ISBLANK('Data Entry'!$p$887), "", 'Data Entry'!$p$887)</f>
      </c>
      <c r="AW887">
        <f>IF(ISBLANK('Data Entry'!$q$887), "", 'Data Entry'!$q$887)</f>
      </c>
      <c r="AX887">
        <f>IF(ISBLANK('Data Entry'!$r$887), "", 'Data Entry'!$r$887)</f>
      </c>
      <c r="AY887">
        <f>IF(ISBLANK('Data Entry'!$s$887), "", 'Data Entry'!$s$887)</f>
      </c>
      <c r="AZ887">
        <f>IF(ISBLANK('Data Entry'!$t$887), "", 'Data Entry'!$t$887)</f>
      </c>
      <c r="BA887">
        <f>IF(ISBLANK('Data Entry'!$u$887), "", 'Data Entry'!$u$887)</f>
      </c>
      <c r="BB887">
        <f>IF(ISBLANK('Data Entry'!$v$887), "", 'Data Entry'!$v$887)</f>
      </c>
      <c r="BC887">
        <f>IF(ISBLANK('Data Entry'!$w$887), "", 'Data Entry'!$w$887)</f>
      </c>
      <c r="BD887">
        <f>IF(ISBLANK('Data Entry'!$x$887), "", 'Data Entry'!$x$887)</f>
      </c>
      <c r="BE887">
        <f>IF(ISBLANK('Data Entry'!$y$887), "", 'Data Entry'!$y$887)</f>
      </c>
      <c r="BF887">
        <f>IF(ISBLANK('Data Entry'!$z$887), "", 'Data Entry'!$z$887)</f>
      </c>
      <c r="BG887">
        <f>IF(ISBLANK('Data Entry'!${$887), "", 'Data Entry'!${$887)</f>
      </c>
      <c r="BH887">
        <f>IF(ISBLANK('Data Entry'!$|$887), "", 'Data Entry'!$|$887)</f>
      </c>
      <c r="BI887">
        <f>IF(ISBLANK('Data Entry'!$}$887), "", 'Data Entry'!$}$887)</f>
      </c>
      <c r="BJ887">
        <f>IF(ISBLANK('Data Entry'!$~$887), "", 'Data Entry'!$~$887)</f>
      </c>
      <c r="BK887">
        <f>IF(ISBLANK('Data Entry'!$$887), "", 'Data Entry'!$$887)</f>
      </c>
      <c r="BL887">
        <f>IF(ISBLANK('Data Entry'!$$887), "", 'Data Entry'!$$887)</f>
      </c>
      <c r="BM887">
        <f>IF(ISBLANK('Data Entry'!$$887), "", 'Data Entry'!$$887)</f>
      </c>
      <c r="BN887">
        <f>IF(ISBLANK('Data Entry'!$$887), "", 'Data Entry'!$$887)</f>
      </c>
      <c r="BO887">
        <f>IF(ISBLANK('Data Entry'!$$887), "", 'Data Entry'!$$887)</f>
      </c>
      <c r="BP887">
        <f>IF(ISBLANK('Data Entry'!$$887), "", 'Data Entry'!$$887)</f>
      </c>
      <c r="BQ887">
        <f>IF(ISBLANK('Data Entry'!$$887), "", 'Data Entry'!$$887)</f>
      </c>
      <c r="BR887">
        <f>IF(ISBLANK('Data Entry'!$$887), "", 'Data Entry'!$$887)</f>
      </c>
      <c r="BS887">
        <f>IF(ISBLANK('Data Entry'!$$887), "", 'Data Entry'!$$887)</f>
      </c>
      <c r="BT887">
        <f>IF(ISBLANK('Data Entry'!$$887), "", 'Data Entry'!$$887)</f>
      </c>
      <c r="BU887">
        <f>IF(ISBLANK('Data Entry'!$$887), "", 'Data Entry'!$$887)</f>
      </c>
      <c r="BV887">
        <f>IF(ISBLANK('Data Entry'!$$887), "", 'Data Entry'!$$887)</f>
      </c>
      <c r="BW887">
        <f>IF(ISBLANK('Data Entry'!$$887), "", 'Data Entry'!$$887)</f>
      </c>
      <c r="BX887">
        <f>IF(ISBLANK('Data Entry'!$$887), "", 'Data Entry'!$$887)</f>
      </c>
      <c r="BY887">
        <f>IF(ISBLANK('Data Entry'!$$887), "", 'Data Entry'!$$887)</f>
      </c>
      <c r="BZ887">
        <f>IF(ISBLANK('Data Entry'!$$887), "", 'Data Entry'!$$887)</f>
      </c>
      <c r="CA887">
        <f>IF(ISBLANK('Data Entry'!$$887), "", 'Data Entry'!$$887)</f>
      </c>
      <c r="CB887">
        <f>IF(ISBLANK('Data Entry'!$$887), "", 'Data Entry'!$$887)</f>
      </c>
      <c r="CC887">
        <f>IF(ISBLANK('Data Entry'!$$887), "", 'Data Entry'!$$887)</f>
      </c>
      <c r="CD887">
        <f>IF(ISBLANK('Data Entry'!$$887), "", 'Data Entry'!$$887)</f>
      </c>
      <c r="CE887">
        <f>IF(ISBLANK('Data Entry'!$$887), "", 'Data Entry'!$$887)</f>
      </c>
      <c r="CF887">
        <f>IF(ISBLANK('Data Entry'!$$887), "", 'Data Entry'!$$887)</f>
      </c>
      <c r="CG887">
        <f>IF(ISBLANK('Data Entry'!$$887), "", 'Data Entry'!$$887)</f>
      </c>
      <c r="CH887">
        <f>IF(ISBLANK('Data Entry'!$$887), "", 'Data Entry'!$$887)</f>
      </c>
      <c r="CI887">
        <f>IF(ISBLANK('Data Entry'!$$887), "", 'Data Entry'!$$887)</f>
      </c>
      <c r="CJ887">
        <f>IF(ISBLANK('Data Entry'!$$887), "", 'Data Entry'!$$887)</f>
      </c>
      <c r="CK887">
        <f>IF(ISBLANK('Data Entry'!$$887), "", 'Data Entry'!$$887)</f>
      </c>
      <c r="CL887">
        <f>IF(ISBLANK('Data Entry'!$$887), "", 'Data Entry'!$$887)</f>
      </c>
      <c r="CM887">
        <f>IF(ISBLANK('Data Entry'!$$887), "", 'Data Entry'!$$887)</f>
      </c>
      <c r="CN887">
        <f>IF(ISBLANK('Data Entry'!$$887), "", 'Data Entry'!$$887)</f>
      </c>
      <c r="CO887">
        <f>IF(ISBLANK('Data Entry'!$$887), "", 'Data Entry'!$$887)</f>
      </c>
      <c r="CP887">
        <f>IF(ISBLANK('Data Entry'!$$887), "", 'Data Entry'!$$887)</f>
      </c>
      <c r="CQ887">
        <f>IF(ISBLANK('Data Entry'!$$887), "", 'Data Entry'!$$887)</f>
      </c>
      <c r="CR887">
        <f>IF(ISBLANK('Data Entry'!$ $887), "", 'Data Entry'!$ $887)</f>
      </c>
      <c r="CS887">
        <f>IF(ISBLANK('Data Entry'!$¡$887), "", 'Data Entry'!$¡$887)</f>
      </c>
      <c r="CT887">
        <f>IF(ISBLANK('Data Entry'!$¢$887), "", 'Data Entry'!$¢$887)</f>
      </c>
      <c r="CU887">
        <f>IF(ISBLANK('Data Entry'!$£$887), "", 'Data Entry'!$£$887)</f>
      </c>
      <c r="CV887">
        <f>IF(ISBLANK('Data Entry'!$¤$887), "", 'Data Entry'!$¤$887)</f>
      </c>
      <c r="CW887">
        <f>IF(ISBLANK('Data Entry'!$¥$887), "", 'Data Entry'!$¥$887)</f>
      </c>
      <c r="CX887">
        <f>IF(ISBLANK('Data Entry'!$¦$887), "", 'Data Entry'!$¦$887)</f>
      </c>
      <c r="CY887">
        <f>IF(ISBLANK('Data Entry'!$§$887), "", 'Data Entry'!$§$887)</f>
      </c>
      <c r="CZ887">
        <f>IF(ISBLANK('Data Entry'!$¨$887), "", 'Data Entry'!$¨$887)</f>
      </c>
      <c r="DA887">
        <f>IF(ISBLANK('Data Entry'!$©$887), "", 'Data Entry'!$©$887)</f>
      </c>
      <c r="DB887">
        <f>IF(ISBLANK('Data Entry'!$ª$887), "", 'Data Entry'!$ª$887)</f>
      </c>
      <c r="DC887">
        <f>IF(ISBLANK('Data Entry'!$«$887), "", 'Data Entry'!$«$887)</f>
      </c>
      <c r="DD887">
        <f>IF(ISBLANK('Data Entry'!$¬$887), "", 'Data Entry'!$¬$887)</f>
      </c>
      <c r="DE887">
        <f>IF(ISBLANK('Data Entry'!$­$887), "", 'Data Entry'!$­$887)</f>
      </c>
      <c r="DF887">
        <f>IF(ISBLANK('Data Entry'!$®$887), "", 'Data Entry'!$®$887)</f>
      </c>
      <c r="DG887">
        <f>IF(ISBLANK('Data Entry'!$¯$887), "", 'Data Entry'!$¯$887)</f>
      </c>
      <c r="DH887">
        <f>IF(ISBLANK('Data Entry'!$°$887), "", 'Data Entry'!$°$887)</f>
      </c>
      <c r="DI887">
        <f>IF(ISBLANK('Data Entry'!$±$887), "", 'Data Entry'!$±$887)</f>
      </c>
      <c r="DJ887">
        <f>IF(ISBLANK('Data Entry'!$²$887), "", 'Data Entry'!$²$887)</f>
      </c>
      <c r="DK887">
        <f>IF(ISBLANK('Data Entry'!$³$887), "", 'Data Entry'!$³$887)</f>
      </c>
      <c r="DL887">
        <f>IF(ISBLANK('Data Entry'!$´$887), "", 'Data Entry'!$´$887)</f>
      </c>
      <c r="DM887">
        <f>IF(ISBLANK('Data Entry'!$µ$887), "", 'Data Entry'!$µ$887)</f>
      </c>
      <c r="DN887">
        <f>IF(ISBLANK('Data Entry'!$¶$887), "", 'Data Entry'!$¶$887)</f>
      </c>
      <c r="DO887">
        <f>IF(ISBLANK('Data Entry'!$·$887), "", 'Data Entry'!$·$887)</f>
      </c>
      <c r="DP887">
        <f>IF(ISBLANK('Data Entry'!$¸$887), "", 'Data Entry'!$¸$887)</f>
      </c>
      <c r="DQ887">
        <f>IF(ISBLANK('Data Entry'!$¹$887), "", 'Data Entry'!$¹$887)</f>
      </c>
      <c r="DR887">
        <f>IF(ISBLANK('Data Entry'!$º$887), "", 'Data Entry'!$º$887)</f>
      </c>
      <c r="DS887">
        <f>IF(ISBLANK('Data Entry'!$»$887), "", 'Data Entry'!$»$887)</f>
      </c>
      <c r="DT887">
        <f>IF(ISBLANK('Data Entry'!$¼$887), "", 'Data Entry'!$¼$887)</f>
      </c>
      <c r="DU887">
        <f>IF(ISBLANK('Data Entry'!$½$887), "", 'Data Entry'!$½$887)</f>
      </c>
      <c r="DV887">
        <f>IF(ISBLANK('Data Entry'!$¾$887), "", 'Data Entry'!$¾$887)</f>
      </c>
      <c r="DW887">
        <f>IF(ISBLANK('Data Entry'!$¿$887), "", 'Data Entry'!$¿$887)</f>
      </c>
      <c r="DX887">
        <f>IF(ISBLANK('Data Entry'!$À$887), "", 'Data Entry'!$À$887)</f>
      </c>
      <c r="DY887">
        <f>IF(ISBLANK('Data Entry'!$Á$887), "", 'Data Entry'!$Á$887)</f>
      </c>
      <c r="DZ887">
        <f>IF(ISBLANK('Data Entry'!$Â$887), "", 'Data Entry'!$Â$887)</f>
      </c>
      <c r="EA887">
        <f>IF(ISBLANK('Data Entry'!$Ã$887), "", 'Data Entry'!$Ã$887)</f>
      </c>
      <c r="EB887">
        <f>IF(ISBLANK('Data Entry'!$Ä$887), "", 'Data Entry'!$Ä$887)</f>
      </c>
      <c r="EC887">
        <f>IF(ISBLANK('Data Entry'!$Å$887), "", 'Data Entry'!$Å$887)</f>
      </c>
      <c r="ED887">
        <f>IF(ISBLANK('Data Entry'!$Æ$887), "", 'Data Entry'!$Æ$887)</f>
      </c>
      <c r="EE887">
        <f>IF(ISBLANK('Data Entry'!$Ç$887), "", 'Data Entry'!$Ç$887)</f>
      </c>
      <c r="EF887">
        <f>IF(ISBLANK('Data Entry'!$È$887), "", 'Data Entry'!$È$887)</f>
      </c>
      <c r="EG887">
        <f>IF(ISBLANK('Data Entry'!$É$887), "", 'Data Entry'!$É$887)</f>
      </c>
      <c r="EH887">
        <f>IF(ISBLANK('Data Entry'!$Ê$887), "", 'Data Entry'!$Ê$887)</f>
      </c>
      <c r="EI887">
        <f>IF(ISBLANK('Data Entry'!$Ë$887), "", 'Data Entry'!$Ë$887)</f>
      </c>
      <c r="EJ887">
        <f>IF(ISBLANK('Data Entry'!$Ì$887), "", 'Data Entry'!$Ì$887)</f>
      </c>
      <c r="EK887">
        <f>IF(ISBLANK('Data Entry'!$Í$887), "", 'Data Entry'!$Í$887)</f>
      </c>
      <c r="EL887">
        <f>IF(ISBLANK('Data Entry'!$Î$887), "", 'Data Entry'!$Î$887)</f>
      </c>
      <c r="EM887">
        <f>IF(ISBLANK('Data Entry'!$Ï$887), "", 'Data Entry'!$Ï$887)</f>
      </c>
      <c r="EN887">
        <f>IF(ISBLANK('Data Entry'!$Ð$887), "", 'Data Entry'!$Ð$887)</f>
      </c>
      <c r="EO887">
        <f>IF(ISBLANK('Data Entry'!$Ñ$887), "", 'Data Entry'!$Ñ$887)</f>
      </c>
      <c r="EP887">
        <f>IF(ISBLANK('Data Entry'!$Ò$887), "", 'Data Entry'!$Ò$887)</f>
      </c>
      <c r="EQ887">
        <f>IF(ISBLANK('Data Entry'!$Ó$887), "", 'Data Entry'!$Ó$887)</f>
      </c>
      <c r="ER887">
        <f>IF(ISBLANK('Data Entry'!$Ô$887), "", 'Data Entry'!$Ô$887)</f>
      </c>
      <c r="ES887">
        <f>IF(ISBLANK('Data Entry'!$Õ$887), "", 'Data Entry'!$Õ$887)</f>
      </c>
      <c r="ET887">
        <f>IF(ISBLANK('Data Entry'!$Ö$887), "", 'Data Entry'!$Ö$887)</f>
      </c>
      <c r="EU887">
        <f>IF(ISBLANK('Data Entry'!$×$887), "", 'Data Entry'!$×$887)</f>
      </c>
      <c r="EV887">
        <f>IF(ISBLANK('Data Entry'!$Ø$887), "", 'Data Entry'!$Ø$887)</f>
      </c>
      <c r="EW887">
        <f>IF(ISBLANK('Data Entry'!$Ù$887), "", 'Data Entry'!$Ù$887)</f>
      </c>
      <c r="EX887">
        <f>IF(ISBLANK('Data Entry'!$Ú$887), "", 'Data Entry'!$Ú$887)</f>
      </c>
      <c r="EY887">
        <f>IF(ISBLANK('Data Entry'!$Û$887), "", 'Data Entry'!$Û$887)</f>
      </c>
      <c r="EZ887">
        <f>IF(ISBLANK('Data Entry'!$Ü$887), "", 'Data Entry'!$Ü$887)</f>
      </c>
      <c r="FA887">
        <f>IF(ISBLANK('Data Entry'!$Ý$887), "", 'Data Entry'!$Ý$887)</f>
      </c>
      <c r="FB887">
        <f>IF(ISBLANK('Data Entry'!$Þ$887), "", 'Data Entry'!$Þ$887)</f>
      </c>
      <c r="FC887">
        <f>IF(ISBLANK('Data Entry'!$ß$887), "", 'Data Entry'!$ß$887)</f>
      </c>
      <c r="FD887">
        <f>IF(ISBLANK('Data Entry'!$à$887), "", 'Data Entry'!$à$887)</f>
      </c>
      <c r="FE887">
        <f>IF(ISBLANK('Data Entry'!$á$887), "", 'Data Entry'!$á$887)</f>
      </c>
      <c r="FF887">
        <f>IF(ISBLANK('Data Entry'!$â$887), "", 'Data Entry'!$â$887)</f>
      </c>
      <c r="FG887">
        <f>IF(ISBLANK('Data Entry'!$ã$887), "", 'Data Entry'!$ã$887)</f>
      </c>
      <c r="FH887">
        <f>IF(ISBLANK('Data Entry'!$ä$887), "", 'Data Entry'!$ä$887)</f>
      </c>
      <c r="FI887">
        <f>IF(ISBLANK('Data Entry'!$å$887), "", 'Data Entry'!$å$887)</f>
      </c>
      <c r="FJ887">
        <f>IF(ISBLANK('Data Entry'!$æ$887), "", 'Data Entry'!$æ$887)</f>
      </c>
      <c r="FK887">
        <f>IF(ISBLANK('Data Entry'!$ç$887), "", 'Data Entry'!$ç$887)</f>
      </c>
      <c r="FL887">
        <f>IF(ISBLANK('Data Entry'!$è$887), "", 'Data Entry'!$è$887)</f>
      </c>
      <c r="FM887">
        <f>IF(ISBLANK('Data Entry'!$é$887), "", 'Data Entry'!$é$887)</f>
      </c>
      <c r="FN887">
        <f>IF(ISBLANK('Data Entry'!$ê$887), "", 'Data Entry'!$ê$887)</f>
      </c>
      <c r="FO887">
        <f>IF(ISBLANK('Data Entry'!$ë$887), "", 'Data Entry'!$ë$887)</f>
      </c>
      <c r="FP887">
        <f>IF(ISBLANK('Data Entry'!$ì$887), "", 'Data Entry'!$ì$887)</f>
      </c>
      <c r="FQ887">
        <f>IF(ISBLANK('Data Entry'!$í$887), "", 'Data Entry'!$í$887)</f>
      </c>
      <c r="FR887">
        <f>IF(ISBLANK('Data Entry'!$î$887), "", 'Data Entry'!$î$887)</f>
      </c>
      <c r="FS887">
        <f>IF(ISBLANK('Data Entry'!$ï$887), "", 'Data Entry'!$ï$887)</f>
      </c>
      <c r="FT887">
        <f>IF(ISBLANK('Data Entry'!$ð$887), "", 'Data Entry'!$ð$887)</f>
      </c>
      <c r="FU887">
        <f>IF(ISBLANK('Data Entry'!$ñ$887), "", 'Data Entry'!$ñ$887)</f>
      </c>
      <c r="FV887">
        <f>IF(ISBLANK('Data Entry'!$ò$887), "", 'Data Entry'!$ò$887)</f>
      </c>
      <c r="FW887">
        <f>IF(ISBLANK('Data Entry'!$ó$887), "", 'Data Entry'!$ó$887)</f>
      </c>
      <c r="FX887">
        <f>IF(ISBLANK('Data Entry'!$ô$887), "", 'Data Entry'!$ô$887)</f>
      </c>
      <c r="FY887">
        <f>IF(ISBLANK('Data Entry'!$õ$887), "", 'Data Entry'!$õ$887)</f>
      </c>
      <c r="FZ887">
        <f>IF(ISBLANK('Data Entry'!$ö$887), "", 'Data Entry'!$ö$887)</f>
      </c>
      <c r="GA887">
        <f>IF(ISBLANK('Data Entry'!$÷$887), "", 'Data Entry'!$÷$887)</f>
      </c>
      <c r="GB887">
        <f>IF(ISBLANK('Data Entry'!$ø$887), "", 'Data Entry'!$ø$887)</f>
      </c>
      <c r="GC887">
        <f>IF(ISBLANK('Data Entry'!$ù$887), "", 'Data Entry'!$ù$887)</f>
      </c>
      <c r="GD887">
        <f>IF(ISBLANK('Data Entry'!$ú$887), "", 'Data Entry'!$ú$887)</f>
      </c>
      <c r="GE887">
        <f>IF(ISBLANK('Data Entry'!$û$887), "", 'Data Entry'!$û$887)</f>
      </c>
      <c r="GF887">
        <f>IF(ISBLANK('Data Entry'!$ü$887), "", 'Data Entry'!$ü$887)</f>
      </c>
      <c r="GG887">
        <f>IF(ISBLANK('Data Entry'!$ý$887), "", 'Data Entry'!$ý$887)</f>
      </c>
      <c r="GH887">
        <f>IF(ISBLANK('Data Entry'!$þ$887), "", 'Data Entry'!$þ$887)</f>
      </c>
      <c r="GI887">
        <f>IF(ISBLANK('Data Entry'!$ÿ$887), "", 'Data Entry'!$ÿ$887)</f>
      </c>
      <c r="GJ887">
        <f>IF(ISBLANK('Data Entry'!$Ā$887), "", 'Data Entry'!$Ā$887)</f>
      </c>
      <c r="GK887">
        <f>IF(ISBLANK('Data Entry'!$ā$887), "", 'Data Entry'!$ā$887)</f>
      </c>
      <c r="GL887">
        <f>IF(ISBLANK('Data Entry'!$Ă$887), "", 'Data Entry'!$Ă$887)</f>
      </c>
      <c r="GM887">
        <f>IF(ISBLANK('Data Entry'!$ă$887), "", 'Data Entry'!$ă$887)</f>
      </c>
      <c r="GN887">
        <f>IF(ISBLANK('Data Entry'!$Ą$887), "", 'Data Entry'!$Ą$887)</f>
      </c>
      <c r="GO887">
        <f>IF(ISBLANK('Data Entry'!$ą$887), "", 'Data Entry'!$ą$887)</f>
      </c>
      <c r="GP887">
        <f>IF(ISBLANK('Data Entry'!$Ć$887), "", 'Data Entry'!$Ć$887)</f>
      </c>
      <c r="GQ887">
        <f>IF(ISBLANK('Data Entry'!$ć$887), "", 'Data Entry'!$ć$887)</f>
      </c>
      <c r="GR887">
        <f>IF(ISBLANK('Data Entry'!$Ĉ$887), "", 'Data Entry'!$Ĉ$887)</f>
      </c>
      <c r="GS887">
        <f>IF(ISBLANK('Data Entry'!$ĉ$887), "", 'Data Entry'!$ĉ$887)</f>
      </c>
      <c r="GT887">
        <f>IF(ISBLANK('Data Entry'!$Ċ$887), "", 'Data Entry'!$Ċ$887)</f>
      </c>
      <c r="GU887">
        <f>IF(ISBLANK('Data Entry'!$ċ$887), "", 'Data Entry'!$ċ$887)</f>
      </c>
      <c r="GV887">
        <f>IF(ISBLANK('Data Entry'!$Č$887), "", 'Data Entry'!$Č$887)</f>
      </c>
      <c r="GW887">
        <f>IF(ISBLANK('Data Entry'!$č$887), "", 'Data Entry'!$č$887)</f>
      </c>
      <c r="GX887">
        <f>IF(ISBLANK('Data Entry'!$Ď$887), "", 'Data Entry'!$Ď$887)</f>
      </c>
      <c r="GY887">
        <f>IF(ISBLANK('Data Entry'!$ď$887), "", 'Data Entry'!$ď$887)</f>
      </c>
      <c r="GZ887">
        <f>IF(ISBLANK('Data Entry'!$Đ$887), "", 'Data Entry'!$Đ$887)</f>
      </c>
      <c r="HA887">
        <f>IF(ISBLANK('Data Entry'!$đ$887), "", 'Data Entry'!$đ$887)</f>
      </c>
      <c r="HB887">
        <f>IF(ISBLANK('Data Entry'!$Ē$887), "", 'Data Entry'!$Ē$887)</f>
      </c>
      <c r="HC887">
        <f>IF(ISBLANK('Data Entry'!$ē$887), "", 'Data Entry'!$ē$887)</f>
      </c>
      <c r="HD887">
        <f>IF(ISBLANK('Data Entry'!$Ĕ$887), "", 'Data Entry'!$Ĕ$887)</f>
      </c>
      <c r="HE887">
        <f>IF(ISBLANK('Data Entry'!$ĕ$887), "", 'Data Entry'!$ĕ$887)</f>
      </c>
      <c r="HF887">
        <f>IF(ISBLANK('Data Entry'!$Ė$887), "", 'Data Entry'!$Ė$887)</f>
      </c>
      <c r="HG887">
        <f>IF(ISBLANK('Data Entry'!$ė$887), "", 'Data Entry'!$ė$887)</f>
      </c>
      <c r="HH887">
        <f>IF(ISBLANK('Data Entry'!$Ę$887), "", 'Data Entry'!$Ę$887)</f>
      </c>
      <c r="HI887">
        <f>IF(ISBLANK('Data Entry'!$ę$887), "", 'Data Entry'!$ę$887)</f>
      </c>
      <c r="HJ887">
        <f>IF(ISBLANK('Data Entry'!$Ě$887), "", 'Data Entry'!$Ě$887)</f>
      </c>
      <c r="HK887">
        <f>IF(ISBLANK('Data Entry'!$ě$887), "", 'Data Entry'!$ě$887)</f>
      </c>
      <c r="HL887">
        <f>IF(ISBLANK('Data Entry'!$Ĝ$887), "", 'Data Entry'!$Ĝ$887)</f>
      </c>
      <c r="HM887">
        <f>IF(ISBLANK('Data Entry'!$ĝ$887), "", 'Data Entry'!$ĝ$887)</f>
      </c>
      <c r="HN887">
        <f>IF(ISBLANK('Data Entry'!$Ğ$887), "", 'Data Entry'!$Ğ$887)</f>
      </c>
      <c r="HO887">
        <f>IF(ISBLANK('Data Entry'!$ğ$887), "", 'Data Entry'!$ğ$887)</f>
      </c>
      <c r="HP887">
        <f>IF(ISBLANK('Data Entry'!$Ġ$887), "", 'Data Entry'!$Ġ$887)</f>
      </c>
      <c r="HQ887">
        <f>IF(ISBLANK('Data Entry'!$ġ$887), "", 'Data Entry'!$ġ$887)</f>
      </c>
      <c r="HR887">
        <f>IF(ISBLANK('Data Entry'!$Ģ$887), "", 'Data Entry'!$Ģ$887)</f>
      </c>
      <c r="HS887">
        <f>IF(ISBLANK('Data Entry'!$ģ$887), "", 'Data Entry'!$ģ$887)</f>
      </c>
      <c r="HT887">
        <f>IF(ISBLANK('Data Entry'!$Ĥ$887), "", 'Data Entry'!$Ĥ$887)</f>
      </c>
      <c r="HU887">
        <f>IF(ISBLANK('Data Entry'!$ĥ$887), "", 'Data Entry'!$ĥ$887)</f>
      </c>
      <c r="HV887">
        <f>IF(ISBLANK('Data Entry'!$Ħ$887), "", 'Data Entry'!$Ħ$887)</f>
      </c>
      <c r="HW887">
        <f>IF(ISBLANK('Data Entry'!$ħ$887), "", 'Data Entry'!$ħ$887)</f>
      </c>
      <c r="HX887">
        <f>IF(ISBLANK('Data Entry'!$Ĩ$887), "", 'Data Entry'!$Ĩ$887)</f>
      </c>
      <c r="HY887">
        <f>IF(ISBLANK('Data Entry'!$ĩ$887), "", 'Data Entry'!$ĩ$887)</f>
      </c>
      <c r="HZ887">
        <f>IF(ISBLANK('Data Entry'!$Ī$887), "", 'Data Entry'!$Ī$887)</f>
      </c>
      <c r="IA887">
        <f>IF(ISBLANK('Data Entry'!$ī$887), "", 'Data Entry'!$ī$887)</f>
      </c>
      <c r="IB887">
        <f>IF(ISBLANK('Data Entry'!$Ĭ$887), "", 'Data Entry'!$Ĭ$887)</f>
      </c>
      <c r="IC887">
        <f>IF(ISBLANK('Data Entry'!$ĭ$887), "", 'Data Entry'!$ĭ$887)</f>
      </c>
      <c r="ID887">
        <f>IF(ISBLANK('Data Entry'!$Į$887), "", 'Data Entry'!$Į$887)</f>
      </c>
      <c r="IE887">
        <f>IF(ISBLANK('Data Entry'!$į$887), "", 'Data Entry'!$į$887)</f>
      </c>
      <c r="IF887">
        <f>IF(ISBLANK('Data Entry'!$İ$887), "", 'Data Entry'!$İ$887)</f>
      </c>
      <c r="IG887">
        <f>IF(ISBLANK('Data Entry'!$ı$887), "", 'Data Entry'!$ı$887)</f>
      </c>
      <c r="IH887">
        <f>IF(ISBLANK('Data Entry'!$Ĳ$887), "", 'Data Entry'!$Ĳ$887)</f>
      </c>
      <c r="II887">
        <f>IF(ISBLANK('Data Entry'!$ĳ$887), "", 'Data Entry'!$ĳ$887)</f>
      </c>
      <c r="IJ887">
        <f>IF(ISBLANK('Data Entry'!$Ĵ$887), "", 'Data Entry'!$Ĵ$887)</f>
      </c>
      <c r="IK887">
        <f>IF(ISBLANK('Data Entry'!$ĵ$887), "", 'Data Entry'!$ĵ$887)</f>
      </c>
      <c r="IL887">
        <f>IF(ISBLANK('Data Entry'!$Ķ$887), "", 'Data Entry'!$Ķ$887)</f>
      </c>
      <c r="IM887">
        <f>IF(ISBLANK('Data Entry'!$ķ$887), "", 'Data Entry'!$ķ$887)</f>
      </c>
      <c r="IN887">
        <f>IF(ISBLANK('Data Entry'!$ĸ$887), "", 'Data Entry'!$ĸ$887)</f>
      </c>
      <c r="IO887">
        <f>IF(ISBLANK('Data Entry'!$Ĺ$887), "", 'Data Entry'!$Ĺ$887)</f>
      </c>
      <c r="IP887">
        <f>IF(ISBLANK('Data Entry'!$ĺ$887), "", 'Data Entry'!$ĺ$887)</f>
      </c>
      <c r="IQ887">
        <f>IF(ISBLANK('Data Entry'!$Ļ$887), "", 'Data Entry'!$Ļ$887)</f>
      </c>
      <c r="IR887">
        <f>IF(ISBLANK('Data Entry'!$ļ$887), "", 'Data Entry'!$ļ$887)</f>
      </c>
      <c r="IS887">
        <f>IF(ISBLANK('Data Entry'!$Ľ$887), "", 'Data Entry'!$Ľ$887)</f>
      </c>
      <c r="IT887">
        <f>IF(ISBLANK('Data Entry'!$ľ$887), "", 'Data Entry'!$ľ$887)</f>
      </c>
    </row>
    <row r="888" spans="1:254" x14ac:dyDescent="0.25">
      <c r="A888">
        <f>IF(ISBLANK('Data Entry'!$A$888), "", 'Data Entry'!$A$888)</f>
      </c>
      <c r="B888">
        <f>IF(ISBLANK('Data Entry'!$B$888), "", 'Data Entry'!$B$888)</f>
      </c>
      <c r="C888">
        <f>IF(ISBLANK('Data Entry'!$C$888), "", 'Data Entry'!$C$888)</f>
      </c>
      <c r="D888">
        <f>IF(ISBLANK('Data Entry'!$D$888), "", 'Data Entry'!$D$888)</f>
      </c>
      <c r="E888">
        <f>IF(ISBLANK('Data Entry'!$E$888), "", 'Data Entry'!$E$888)</f>
      </c>
      <c r="F888">
        <f>IF(ISBLANK('Data Entry'!$F$888), "", 'Data Entry'!$F$888)</f>
      </c>
      <c r="G888">
        <f>IF(ISBLANK('Data Entry'!$G$888), "", 'Data Entry'!$G$888)</f>
      </c>
      <c r="H888">
        <f>IF(ISBLANK('Data Entry'!$H$888), "", 'Data Entry'!$H$888)</f>
      </c>
      <c r="I888">
        <f>IF(ISBLANK('Data Entry'!$I$888), "", 'Data Entry'!$I$888)</f>
      </c>
      <c r="J888">
        <f>IF(ISBLANK('Data Entry'!$J$888), "", 'Data Entry'!$J$888)</f>
      </c>
      <c r="K888">
        <f>IF(ISBLANK('Data Entry'!$K$888), "", 'Data Entry'!$K$888)</f>
      </c>
      <c r="L888">
        <f>IF(ISBLANK('Data Entry'!$L$888), "", 'Data Entry'!$L$888)</f>
      </c>
      <c r="M888">
        <f>IF(ISBLANK('Data Entry'!$M$888), "", 'Data Entry'!$M$888)</f>
      </c>
      <c r="N888">
        <f>IF(ISBLANK('Data Entry'!$N$888), "", 'Data Entry'!$N$888)</f>
      </c>
      <c r="O888">
        <f>IF(ISBLANK('Data Entry'!$O$888), "", 'Data Entry'!$O$888)</f>
      </c>
      <c r="P888">
        <f>IF(ISBLANK('Data Entry'!$P$888), "", 'Data Entry'!$P$888)</f>
      </c>
      <c r="Q888">
        <f>IF(ISBLANK('Data Entry'!$Q$888), "", 'Data Entry'!$Q$888)</f>
      </c>
      <c r="R888">
        <f>IF(ISBLANK('Data Entry'!$R$888), "", 'Data Entry'!$R$888)</f>
      </c>
      <c r="S888">
        <f>IF(ISBLANK('Data Entry'!$S$888), "", 'Data Entry'!$S$888)</f>
      </c>
      <c r="T888">
        <f>IF(ISBLANK('Data Entry'!$T$888), "", 'Data Entry'!$T$888)</f>
      </c>
      <c r="U888">
        <f>IF(ISBLANK('Data Entry'!$U$888), "", 'Data Entry'!$U$888)</f>
      </c>
      <c r="V888">
        <f>IF(ISBLANK('Data Entry'!$V$888), "", 'Data Entry'!$V$888)</f>
      </c>
      <c r="W888">
        <f>IF(ISBLANK('Data Entry'!$W$888), "", 'Data Entry'!$W$888)</f>
      </c>
      <c r="X888">
        <f>IF(ISBLANK('Data Entry'!$X$888), "", 'Data Entry'!$X$888)</f>
      </c>
      <c r="Y888">
        <f>IF(ISBLANK('Data Entry'!$Y$888), "", 'Data Entry'!$Y$888)</f>
      </c>
      <c r="Z888">
        <f>IF(ISBLANK('Data Entry'!$Z$888), "", 'Data Entry'!$Z$888)</f>
      </c>
      <c r="AA888">
        <f>IF(ISBLANK('Data Entry'!$[$888), "", 'Data Entry'!$[$888)</f>
      </c>
      <c r="AB888">
        <f>IF(ISBLANK('Data Entry'!$\$888), "", 'Data Entry'!$\$888)</f>
      </c>
      <c r="AC888">
        <f>IF(ISBLANK('Data Entry'!$]$888), "", 'Data Entry'!$]$888)</f>
      </c>
      <c r="AD888">
        <f>IF(ISBLANK('Data Entry'!$^$888), "", 'Data Entry'!$^$888)</f>
      </c>
      <c r="AE888">
        <f>IF(ISBLANK('Data Entry'!$_$888), "", 'Data Entry'!$_$888)</f>
      </c>
      <c r="AF888">
        <f>IF(ISBLANK('Data Entry'!$`$888), "", 'Data Entry'!$`$888)</f>
      </c>
      <c r="AG888">
        <f>IF(ISBLANK('Data Entry'!$a$888), "", 'Data Entry'!$a$888)</f>
      </c>
      <c r="AH888">
        <f>IF(ISBLANK('Data Entry'!$b$888), "", 'Data Entry'!$b$888)</f>
      </c>
      <c r="AI888">
        <f>IF(ISBLANK('Data Entry'!$c$888), "", 'Data Entry'!$c$888)</f>
      </c>
      <c r="AJ888">
        <f>IF(ISBLANK('Data Entry'!$d$888), "", 'Data Entry'!$d$888)</f>
      </c>
      <c r="AK888">
        <f>IF(ISBLANK('Data Entry'!$e$888), "", 'Data Entry'!$e$888)</f>
      </c>
      <c r="AL888">
        <f>IF(ISBLANK('Data Entry'!$f$888), "", 'Data Entry'!$f$888)</f>
      </c>
      <c r="AM888">
        <f>IF(ISBLANK('Data Entry'!$g$888), "", 'Data Entry'!$g$888)</f>
      </c>
      <c r="AN888">
        <f>IF(ISBLANK('Data Entry'!$h$888), "", 'Data Entry'!$h$888)</f>
      </c>
      <c r="AO888">
        <f>IF(ISBLANK('Data Entry'!$i$888), "", 'Data Entry'!$i$888)</f>
      </c>
      <c r="AP888">
        <f>IF(ISBLANK('Data Entry'!$j$888), "", 'Data Entry'!$j$888)</f>
      </c>
      <c r="AQ888">
        <f>IF(ISBLANK('Data Entry'!$k$888), "", 'Data Entry'!$k$888)</f>
      </c>
      <c r="AR888">
        <f>IF(ISBLANK('Data Entry'!$l$888), "", 'Data Entry'!$l$888)</f>
      </c>
      <c r="AS888">
        <f>IF(ISBLANK('Data Entry'!$m$888), "", 'Data Entry'!$m$888)</f>
      </c>
      <c r="AT888">
        <f>IF(ISBLANK('Data Entry'!$n$888), "", 'Data Entry'!$n$888)</f>
      </c>
      <c r="AU888">
        <f>IF(ISBLANK('Data Entry'!$o$888), "", 'Data Entry'!$o$888)</f>
      </c>
      <c r="AV888">
        <f>IF(ISBLANK('Data Entry'!$p$888), "", 'Data Entry'!$p$888)</f>
      </c>
      <c r="AW888">
        <f>IF(ISBLANK('Data Entry'!$q$888), "", 'Data Entry'!$q$888)</f>
      </c>
      <c r="AX888">
        <f>IF(ISBLANK('Data Entry'!$r$888), "", 'Data Entry'!$r$888)</f>
      </c>
      <c r="AY888">
        <f>IF(ISBLANK('Data Entry'!$s$888), "", 'Data Entry'!$s$888)</f>
      </c>
      <c r="AZ888">
        <f>IF(ISBLANK('Data Entry'!$t$888), "", 'Data Entry'!$t$888)</f>
      </c>
      <c r="BA888">
        <f>IF(ISBLANK('Data Entry'!$u$888), "", 'Data Entry'!$u$888)</f>
      </c>
      <c r="BB888">
        <f>IF(ISBLANK('Data Entry'!$v$888), "", 'Data Entry'!$v$888)</f>
      </c>
      <c r="BC888">
        <f>IF(ISBLANK('Data Entry'!$w$888), "", 'Data Entry'!$w$888)</f>
      </c>
      <c r="BD888">
        <f>IF(ISBLANK('Data Entry'!$x$888), "", 'Data Entry'!$x$888)</f>
      </c>
      <c r="BE888">
        <f>IF(ISBLANK('Data Entry'!$y$888), "", 'Data Entry'!$y$888)</f>
      </c>
      <c r="BF888">
        <f>IF(ISBLANK('Data Entry'!$z$888), "", 'Data Entry'!$z$888)</f>
      </c>
      <c r="BG888">
        <f>IF(ISBLANK('Data Entry'!${$888), "", 'Data Entry'!${$888)</f>
      </c>
      <c r="BH888">
        <f>IF(ISBLANK('Data Entry'!$|$888), "", 'Data Entry'!$|$888)</f>
      </c>
      <c r="BI888">
        <f>IF(ISBLANK('Data Entry'!$}$888), "", 'Data Entry'!$}$888)</f>
      </c>
      <c r="BJ888">
        <f>IF(ISBLANK('Data Entry'!$~$888), "", 'Data Entry'!$~$888)</f>
      </c>
      <c r="BK888">
        <f>IF(ISBLANK('Data Entry'!$$888), "", 'Data Entry'!$$888)</f>
      </c>
      <c r="BL888">
        <f>IF(ISBLANK('Data Entry'!$$888), "", 'Data Entry'!$$888)</f>
      </c>
      <c r="BM888">
        <f>IF(ISBLANK('Data Entry'!$$888), "", 'Data Entry'!$$888)</f>
      </c>
      <c r="BN888">
        <f>IF(ISBLANK('Data Entry'!$$888), "", 'Data Entry'!$$888)</f>
      </c>
      <c r="BO888">
        <f>IF(ISBLANK('Data Entry'!$$888), "", 'Data Entry'!$$888)</f>
      </c>
      <c r="BP888">
        <f>IF(ISBLANK('Data Entry'!$$888), "", 'Data Entry'!$$888)</f>
      </c>
      <c r="BQ888">
        <f>IF(ISBLANK('Data Entry'!$$888), "", 'Data Entry'!$$888)</f>
      </c>
      <c r="BR888">
        <f>IF(ISBLANK('Data Entry'!$$888), "", 'Data Entry'!$$888)</f>
      </c>
      <c r="BS888">
        <f>IF(ISBLANK('Data Entry'!$$888), "", 'Data Entry'!$$888)</f>
      </c>
      <c r="BT888">
        <f>IF(ISBLANK('Data Entry'!$$888), "", 'Data Entry'!$$888)</f>
      </c>
      <c r="BU888">
        <f>IF(ISBLANK('Data Entry'!$$888), "", 'Data Entry'!$$888)</f>
      </c>
      <c r="BV888">
        <f>IF(ISBLANK('Data Entry'!$$888), "", 'Data Entry'!$$888)</f>
      </c>
      <c r="BW888">
        <f>IF(ISBLANK('Data Entry'!$$888), "", 'Data Entry'!$$888)</f>
      </c>
      <c r="BX888">
        <f>IF(ISBLANK('Data Entry'!$$888), "", 'Data Entry'!$$888)</f>
      </c>
      <c r="BY888">
        <f>IF(ISBLANK('Data Entry'!$$888), "", 'Data Entry'!$$888)</f>
      </c>
      <c r="BZ888">
        <f>IF(ISBLANK('Data Entry'!$$888), "", 'Data Entry'!$$888)</f>
      </c>
      <c r="CA888">
        <f>IF(ISBLANK('Data Entry'!$$888), "", 'Data Entry'!$$888)</f>
      </c>
      <c r="CB888">
        <f>IF(ISBLANK('Data Entry'!$$888), "", 'Data Entry'!$$888)</f>
      </c>
      <c r="CC888">
        <f>IF(ISBLANK('Data Entry'!$$888), "", 'Data Entry'!$$888)</f>
      </c>
      <c r="CD888">
        <f>IF(ISBLANK('Data Entry'!$$888), "", 'Data Entry'!$$888)</f>
      </c>
      <c r="CE888">
        <f>IF(ISBLANK('Data Entry'!$$888), "", 'Data Entry'!$$888)</f>
      </c>
      <c r="CF888">
        <f>IF(ISBLANK('Data Entry'!$$888), "", 'Data Entry'!$$888)</f>
      </c>
      <c r="CG888">
        <f>IF(ISBLANK('Data Entry'!$$888), "", 'Data Entry'!$$888)</f>
      </c>
      <c r="CH888">
        <f>IF(ISBLANK('Data Entry'!$$888), "", 'Data Entry'!$$888)</f>
      </c>
      <c r="CI888">
        <f>IF(ISBLANK('Data Entry'!$$888), "", 'Data Entry'!$$888)</f>
      </c>
      <c r="CJ888">
        <f>IF(ISBLANK('Data Entry'!$$888), "", 'Data Entry'!$$888)</f>
      </c>
      <c r="CK888">
        <f>IF(ISBLANK('Data Entry'!$$888), "", 'Data Entry'!$$888)</f>
      </c>
      <c r="CL888">
        <f>IF(ISBLANK('Data Entry'!$$888), "", 'Data Entry'!$$888)</f>
      </c>
      <c r="CM888">
        <f>IF(ISBLANK('Data Entry'!$$888), "", 'Data Entry'!$$888)</f>
      </c>
      <c r="CN888">
        <f>IF(ISBLANK('Data Entry'!$$888), "", 'Data Entry'!$$888)</f>
      </c>
      <c r="CO888">
        <f>IF(ISBLANK('Data Entry'!$$888), "", 'Data Entry'!$$888)</f>
      </c>
      <c r="CP888">
        <f>IF(ISBLANK('Data Entry'!$$888), "", 'Data Entry'!$$888)</f>
      </c>
      <c r="CQ888">
        <f>IF(ISBLANK('Data Entry'!$$888), "", 'Data Entry'!$$888)</f>
      </c>
      <c r="CR888">
        <f>IF(ISBLANK('Data Entry'!$ $888), "", 'Data Entry'!$ $888)</f>
      </c>
      <c r="CS888">
        <f>IF(ISBLANK('Data Entry'!$¡$888), "", 'Data Entry'!$¡$888)</f>
      </c>
      <c r="CT888">
        <f>IF(ISBLANK('Data Entry'!$¢$888), "", 'Data Entry'!$¢$888)</f>
      </c>
      <c r="CU888">
        <f>IF(ISBLANK('Data Entry'!$£$888), "", 'Data Entry'!$£$888)</f>
      </c>
      <c r="CV888">
        <f>IF(ISBLANK('Data Entry'!$¤$888), "", 'Data Entry'!$¤$888)</f>
      </c>
      <c r="CW888">
        <f>IF(ISBLANK('Data Entry'!$¥$888), "", 'Data Entry'!$¥$888)</f>
      </c>
      <c r="CX888">
        <f>IF(ISBLANK('Data Entry'!$¦$888), "", 'Data Entry'!$¦$888)</f>
      </c>
      <c r="CY888">
        <f>IF(ISBLANK('Data Entry'!$§$888), "", 'Data Entry'!$§$888)</f>
      </c>
      <c r="CZ888">
        <f>IF(ISBLANK('Data Entry'!$¨$888), "", 'Data Entry'!$¨$888)</f>
      </c>
      <c r="DA888">
        <f>IF(ISBLANK('Data Entry'!$©$888), "", 'Data Entry'!$©$888)</f>
      </c>
      <c r="DB888">
        <f>IF(ISBLANK('Data Entry'!$ª$888), "", 'Data Entry'!$ª$888)</f>
      </c>
      <c r="DC888">
        <f>IF(ISBLANK('Data Entry'!$«$888), "", 'Data Entry'!$«$888)</f>
      </c>
      <c r="DD888">
        <f>IF(ISBLANK('Data Entry'!$¬$888), "", 'Data Entry'!$¬$888)</f>
      </c>
      <c r="DE888">
        <f>IF(ISBLANK('Data Entry'!$­$888), "", 'Data Entry'!$­$888)</f>
      </c>
      <c r="DF888">
        <f>IF(ISBLANK('Data Entry'!$®$888), "", 'Data Entry'!$®$888)</f>
      </c>
      <c r="DG888">
        <f>IF(ISBLANK('Data Entry'!$¯$888), "", 'Data Entry'!$¯$888)</f>
      </c>
      <c r="DH888">
        <f>IF(ISBLANK('Data Entry'!$°$888), "", 'Data Entry'!$°$888)</f>
      </c>
      <c r="DI888">
        <f>IF(ISBLANK('Data Entry'!$±$888), "", 'Data Entry'!$±$888)</f>
      </c>
      <c r="DJ888">
        <f>IF(ISBLANK('Data Entry'!$²$888), "", 'Data Entry'!$²$888)</f>
      </c>
      <c r="DK888">
        <f>IF(ISBLANK('Data Entry'!$³$888), "", 'Data Entry'!$³$888)</f>
      </c>
      <c r="DL888">
        <f>IF(ISBLANK('Data Entry'!$´$888), "", 'Data Entry'!$´$888)</f>
      </c>
      <c r="DM888">
        <f>IF(ISBLANK('Data Entry'!$µ$888), "", 'Data Entry'!$µ$888)</f>
      </c>
      <c r="DN888">
        <f>IF(ISBLANK('Data Entry'!$¶$888), "", 'Data Entry'!$¶$888)</f>
      </c>
      <c r="DO888">
        <f>IF(ISBLANK('Data Entry'!$·$888), "", 'Data Entry'!$·$888)</f>
      </c>
      <c r="DP888">
        <f>IF(ISBLANK('Data Entry'!$¸$888), "", 'Data Entry'!$¸$888)</f>
      </c>
      <c r="DQ888">
        <f>IF(ISBLANK('Data Entry'!$¹$888), "", 'Data Entry'!$¹$888)</f>
      </c>
      <c r="DR888">
        <f>IF(ISBLANK('Data Entry'!$º$888), "", 'Data Entry'!$º$888)</f>
      </c>
      <c r="DS888">
        <f>IF(ISBLANK('Data Entry'!$»$888), "", 'Data Entry'!$»$888)</f>
      </c>
      <c r="DT888">
        <f>IF(ISBLANK('Data Entry'!$¼$888), "", 'Data Entry'!$¼$888)</f>
      </c>
      <c r="DU888">
        <f>IF(ISBLANK('Data Entry'!$½$888), "", 'Data Entry'!$½$888)</f>
      </c>
      <c r="DV888">
        <f>IF(ISBLANK('Data Entry'!$¾$888), "", 'Data Entry'!$¾$888)</f>
      </c>
      <c r="DW888">
        <f>IF(ISBLANK('Data Entry'!$¿$888), "", 'Data Entry'!$¿$888)</f>
      </c>
      <c r="DX888">
        <f>IF(ISBLANK('Data Entry'!$À$888), "", 'Data Entry'!$À$888)</f>
      </c>
      <c r="DY888">
        <f>IF(ISBLANK('Data Entry'!$Á$888), "", 'Data Entry'!$Á$888)</f>
      </c>
      <c r="DZ888">
        <f>IF(ISBLANK('Data Entry'!$Â$888), "", 'Data Entry'!$Â$888)</f>
      </c>
      <c r="EA888">
        <f>IF(ISBLANK('Data Entry'!$Ã$888), "", 'Data Entry'!$Ã$888)</f>
      </c>
      <c r="EB888">
        <f>IF(ISBLANK('Data Entry'!$Ä$888), "", 'Data Entry'!$Ä$888)</f>
      </c>
      <c r="EC888">
        <f>IF(ISBLANK('Data Entry'!$Å$888), "", 'Data Entry'!$Å$888)</f>
      </c>
      <c r="ED888">
        <f>IF(ISBLANK('Data Entry'!$Æ$888), "", 'Data Entry'!$Æ$888)</f>
      </c>
      <c r="EE888">
        <f>IF(ISBLANK('Data Entry'!$Ç$888), "", 'Data Entry'!$Ç$888)</f>
      </c>
      <c r="EF888">
        <f>IF(ISBLANK('Data Entry'!$È$888), "", 'Data Entry'!$È$888)</f>
      </c>
      <c r="EG888">
        <f>IF(ISBLANK('Data Entry'!$É$888), "", 'Data Entry'!$É$888)</f>
      </c>
      <c r="EH888">
        <f>IF(ISBLANK('Data Entry'!$Ê$888), "", 'Data Entry'!$Ê$888)</f>
      </c>
      <c r="EI888">
        <f>IF(ISBLANK('Data Entry'!$Ë$888), "", 'Data Entry'!$Ë$888)</f>
      </c>
      <c r="EJ888">
        <f>IF(ISBLANK('Data Entry'!$Ì$888), "", 'Data Entry'!$Ì$888)</f>
      </c>
      <c r="EK888">
        <f>IF(ISBLANK('Data Entry'!$Í$888), "", 'Data Entry'!$Í$888)</f>
      </c>
      <c r="EL888">
        <f>IF(ISBLANK('Data Entry'!$Î$888), "", 'Data Entry'!$Î$888)</f>
      </c>
      <c r="EM888">
        <f>IF(ISBLANK('Data Entry'!$Ï$888), "", 'Data Entry'!$Ï$888)</f>
      </c>
      <c r="EN888">
        <f>IF(ISBLANK('Data Entry'!$Ð$888), "", 'Data Entry'!$Ð$888)</f>
      </c>
      <c r="EO888">
        <f>IF(ISBLANK('Data Entry'!$Ñ$888), "", 'Data Entry'!$Ñ$888)</f>
      </c>
      <c r="EP888">
        <f>IF(ISBLANK('Data Entry'!$Ò$888), "", 'Data Entry'!$Ò$888)</f>
      </c>
      <c r="EQ888">
        <f>IF(ISBLANK('Data Entry'!$Ó$888), "", 'Data Entry'!$Ó$888)</f>
      </c>
      <c r="ER888">
        <f>IF(ISBLANK('Data Entry'!$Ô$888), "", 'Data Entry'!$Ô$888)</f>
      </c>
      <c r="ES888">
        <f>IF(ISBLANK('Data Entry'!$Õ$888), "", 'Data Entry'!$Õ$888)</f>
      </c>
      <c r="ET888">
        <f>IF(ISBLANK('Data Entry'!$Ö$888), "", 'Data Entry'!$Ö$888)</f>
      </c>
      <c r="EU888">
        <f>IF(ISBLANK('Data Entry'!$×$888), "", 'Data Entry'!$×$888)</f>
      </c>
      <c r="EV888">
        <f>IF(ISBLANK('Data Entry'!$Ø$888), "", 'Data Entry'!$Ø$888)</f>
      </c>
      <c r="EW888">
        <f>IF(ISBLANK('Data Entry'!$Ù$888), "", 'Data Entry'!$Ù$888)</f>
      </c>
      <c r="EX888">
        <f>IF(ISBLANK('Data Entry'!$Ú$888), "", 'Data Entry'!$Ú$888)</f>
      </c>
      <c r="EY888">
        <f>IF(ISBLANK('Data Entry'!$Û$888), "", 'Data Entry'!$Û$888)</f>
      </c>
      <c r="EZ888">
        <f>IF(ISBLANK('Data Entry'!$Ü$888), "", 'Data Entry'!$Ü$888)</f>
      </c>
      <c r="FA888">
        <f>IF(ISBLANK('Data Entry'!$Ý$888), "", 'Data Entry'!$Ý$888)</f>
      </c>
      <c r="FB888">
        <f>IF(ISBLANK('Data Entry'!$Þ$888), "", 'Data Entry'!$Þ$888)</f>
      </c>
      <c r="FC888">
        <f>IF(ISBLANK('Data Entry'!$ß$888), "", 'Data Entry'!$ß$888)</f>
      </c>
      <c r="FD888">
        <f>IF(ISBLANK('Data Entry'!$à$888), "", 'Data Entry'!$à$888)</f>
      </c>
      <c r="FE888">
        <f>IF(ISBLANK('Data Entry'!$á$888), "", 'Data Entry'!$á$888)</f>
      </c>
      <c r="FF888">
        <f>IF(ISBLANK('Data Entry'!$â$888), "", 'Data Entry'!$â$888)</f>
      </c>
      <c r="FG888">
        <f>IF(ISBLANK('Data Entry'!$ã$888), "", 'Data Entry'!$ã$888)</f>
      </c>
      <c r="FH888">
        <f>IF(ISBLANK('Data Entry'!$ä$888), "", 'Data Entry'!$ä$888)</f>
      </c>
      <c r="FI888">
        <f>IF(ISBLANK('Data Entry'!$å$888), "", 'Data Entry'!$å$888)</f>
      </c>
      <c r="FJ888">
        <f>IF(ISBLANK('Data Entry'!$æ$888), "", 'Data Entry'!$æ$888)</f>
      </c>
      <c r="FK888">
        <f>IF(ISBLANK('Data Entry'!$ç$888), "", 'Data Entry'!$ç$888)</f>
      </c>
      <c r="FL888">
        <f>IF(ISBLANK('Data Entry'!$è$888), "", 'Data Entry'!$è$888)</f>
      </c>
      <c r="FM888">
        <f>IF(ISBLANK('Data Entry'!$é$888), "", 'Data Entry'!$é$888)</f>
      </c>
      <c r="FN888">
        <f>IF(ISBLANK('Data Entry'!$ê$888), "", 'Data Entry'!$ê$888)</f>
      </c>
      <c r="FO888">
        <f>IF(ISBLANK('Data Entry'!$ë$888), "", 'Data Entry'!$ë$888)</f>
      </c>
      <c r="FP888">
        <f>IF(ISBLANK('Data Entry'!$ì$888), "", 'Data Entry'!$ì$888)</f>
      </c>
      <c r="FQ888">
        <f>IF(ISBLANK('Data Entry'!$í$888), "", 'Data Entry'!$í$888)</f>
      </c>
      <c r="FR888">
        <f>IF(ISBLANK('Data Entry'!$î$888), "", 'Data Entry'!$î$888)</f>
      </c>
      <c r="FS888">
        <f>IF(ISBLANK('Data Entry'!$ï$888), "", 'Data Entry'!$ï$888)</f>
      </c>
      <c r="FT888">
        <f>IF(ISBLANK('Data Entry'!$ð$888), "", 'Data Entry'!$ð$888)</f>
      </c>
      <c r="FU888">
        <f>IF(ISBLANK('Data Entry'!$ñ$888), "", 'Data Entry'!$ñ$888)</f>
      </c>
      <c r="FV888">
        <f>IF(ISBLANK('Data Entry'!$ò$888), "", 'Data Entry'!$ò$888)</f>
      </c>
      <c r="FW888">
        <f>IF(ISBLANK('Data Entry'!$ó$888), "", 'Data Entry'!$ó$888)</f>
      </c>
      <c r="FX888">
        <f>IF(ISBLANK('Data Entry'!$ô$888), "", 'Data Entry'!$ô$888)</f>
      </c>
      <c r="FY888">
        <f>IF(ISBLANK('Data Entry'!$õ$888), "", 'Data Entry'!$õ$888)</f>
      </c>
      <c r="FZ888">
        <f>IF(ISBLANK('Data Entry'!$ö$888), "", 'Data Entry'!$ö$888)</f>
      </c>
      <c r="GA888">
        <f>IF(ISBLANK('Data Entry'!$÷$888), "", 'Data Entry'!$÷$888)</f>
      </c>
      <c r="GB888">
        <f>IF(ISBLANK('Data Entry'!$ø$888), "", 'Data Entry'!$ø$888)</f>
      </c>
      <c r="GC888">
        <f>IF(ISBLANK('Data Entry'!$ù$888), "", 'Data Entry'!$ù$888)</f>
      </c>
      <c r="GD888">
        <f>IF(ISBLANK('Data Entry'!$ú$888), "", 'Data Entry'!$ú$888)</f>
      </c>
      <c r="GE888">
        <f>IF(ISBLANK('Data Entry'!$û$888), "", 'Data Entry'!$û$888)</f>
      </c>
      <c r="GF888">
        <f>IF(ISBLANK('Data Entry'!$ü$888), "", 'Data Entry'!$ü$888)</f>
      </c>
      <c r="GG888">
        <f>IF(ISBLANK('Data Entry'!$ý$888), "", 'Data Entry'!$ý$888)</f>
      </c>
      <c r="GH888">
        <f>IF(ISBLANK('Data Entry'!$þ$888), "", 'Data Entry'!$þ$888)</f>
      </c>
      <c r="GI888">
        <f>IF(ISBLANK('Data Entry'!$ÿ$888), "", 'Data Entry'!$ÿ$888)</f>
      </c>
      <c r="GJ888">
        <f>IF(ISBLANK('Data Entry'!$Ā$888), "", 'Data Entry'!$Ā$888)</f>
      </c>
      <c r="GK888">
        <f>IF(ISBLANK('Data Entry'!$ā$888), "", 'Data Entry'!$ā$888)</f>
      </c>
      <c r="GL888">
        <f>IF(ISBLANK('Data Entry'!$Ă$888), "", 'Data Entry'!$Ă$888)</f>
      </c>
      <c r="GM888">
        <f>IF(ISBLANK('Data Entry'!$ă$888), "", 'Data Entry'!$ă$888)</f>
      </c>
      <c r="GN888">
        <f>IF(ISBLANK('Data Entry'!$Ą$888), "", 'Data Entry'!$Ą$888)</f>
      </c>
      <c r="GO888">
        <f>IF(ISBLANK('Data Entry'!$ą$888), "", 'Data Entry'!$ą$888)</f>
      </c>
      <c r="GP888">
        <f>IF(ISBLANK('Data Entry'!$Ć$888), "", 'Data Entry'!$Ć$888)</f>
      </c>
      <c r="GQ888">
        <f>IF(ISBLANK('Data Entry'!$ć$888), "", 'Data Entry'!$ć$888)</f>
      </c>
      <c r="GR888">
        <f>IF(ISBLANK('Data Entry'!$Ĉ$888), "", 'Data Entry'!$Ĉ$888)</f>
      </c>
      <c r="GS888">
        <f>IF(ISBLANK('Data Entry'!$ĉ$888), "", 'Data Entry'!$ĉ$888)</f>
      </c>
      <c r="GT888">
        <f>IF(ISBLANK('Data Entry'!$Ċ$888), "", 'Data Entry'!$Ċ$888)</f>
      </c>
      <c r="GU888">
        <f>IF(ISBLANK('Data Entry'!$ċ$888), "", 'Data Entry'!$ċ$888)</f>
      </c>
      <c r="GV888">
        <f>IF(ISBLANK('Data Entry'!$Č$888), "", 'Data Entry'!$Č$888)</f>
      </c>
      <c r="GW888">
        <f>IF(ISBLANK('Data Entry'!$č$888), "", 'Data Entry'!$č$888)</f>
      </c>
      <c r="GX888">
        <f>IF(ISBLANK('Data Entry'!$Ď$888), "", 'Data Entry'!$Ď$888)</f>
      </c>
      <c r="GY888">
        <f>IF(ISBLANK('Data Entry'!$ď$888), "", 'Data Entry'!$ď$888)</f>
      </c>
      <c r="GZ888">
        <f>IF(ISBLANK('Data Entry'!$Đ$888), "", 'Data Entry'!$Đ$888)</f>
      </c>
      <c r="HA888">
        <f>IF(ISBLANK('Data Entry'!$đ$888), "", 'Data Entry'!$đ$888)</f>
      </c>
      <c r="HB888">
        <f>IF(ISBLANK('Data Entry'!$Ē$888), "", 'Data Entry'!$Ē$888)</f>
      </c>
      <c r="HC888">
        <f>IF(ISBLANK('Data Entry'!$ē$888), "", 'Data Entry'!$ē$888)</f>
      </c>
      <c r="HD888">
        <f>IF(ISBLANK('Data Entry'!$Ĕ$888), "", 'Data Entry'!$Ĕ$888)</f>
      </c>
      <c r="HE888">
        <f>IF(ISBLANK('Data Entry'!$ĕ$888), "", 'Data Entry'!$ĕ$888)</f>
      </c>
      <c r="HF888">
        <f>IF(ISBLANK('Data Entry'!$Ė$888), "", 'Data Entry'!$Ė$888)</f>
      </c>
      <c r="HG888">
        <f>IF(ISBLANK('Data Entry'!$ė$888), "", 'Data Entry'!$ė$888)</f>
      </c>
      <c r="HH888">
        <f>IF(ISBLANK('Data Entry'!$Ę$888), "", 'Data Entry'!$Ę$888)</f>
      </c>
      <c r="HI888">
        <f>IF(ISBLANK('Data Entry'!$ę$888), "", 'Data Entry'!$ę$888)</f>
      </c>
      <c r="HJ888">
        <f>IF(ISBLANK('Data Entry'!$Ě$888), "", 'Data Entry'!$Ě$888)</f>
      </c>
      <c r="HK888">
        <f>IF(ISBLANK('Data Entry'!$ě$888), "", 'Data Entry'!$ě$888)</f>
      </c>
      <c r="HL888">
        <f>IF(ISBLANK('Data Entry'!$Ĝ$888), "", 'Data Entry'!$Ĝ$888)</f>
      </c>
      <c r="HM888">
        <f>IF(ISBLANK('Data Entry'!$ĝ$888), "", 'Data Entry'!$ĝ$888)</f>
      </c>
      <c r="HN888">
        <f>IF(ISBLANK('Data Entry'!$Ğ$888), "", 'Data Entry'!$Ğ$888)</f>
      </c>
      <c r="HO888">
        <f>IF(ISBLANK('Data Entry'!$ğ$888), "", 'Data Entry'!$ğ$888)</f>
      </c>
      <c r="HP888">
        <f>IF(ISBLANK('Data Entry'!$Ġ$888), "", 'Data Entry'!$Ġ$888)</f>
      </c>
      <c r="HQ888">
        <f>IF(ISBLANK('Data Entry'!$ġ$888), "", 'Data Entry'!$ġ$888)</f>
      </c>
      <c r="HR888">
        <f>IF(ISBLANK('Data Entry'!$Ģ$888), "", 'Data Entry'!$Ģ$888)</f>
      </c>
      <c r="HS888">
        <f>IF(ISBLANK('Data Entry'!$ģ$888), "", 'Data Entry'!$ģ$888)</f>
      </c>
      <c r="HT888">
        <f>IF(ISBLANK('Data Entry'!$Ĥ$888), "", 'Data Entry'!$Ĥ$888)</f>
      </c>
      <c r="HU888">
        <f>IF(ISBLANK('Data Entry'!$ĥ$888), "", 'Data Entry'!$ĥ$888)</f>
      </c>
      <c r="HV888">
        <f>IF(ISBLANK('Data Entry'!$Ħ$888), "", 'Data Entry'!$Ħ$888)</f>
      </c>
      <c r="HW888">
        <f>IF(ISBLANK('Data Entry'!$ħ$888), "", 'Data Entry'!$ħ$888)</f>
      </c>
      <c r="HX888">
        <f>IF(ISBLANK('Data Entry'!$Ĩ$888), "", 'Data Entry'!$Ĩ$888)</f>
      </c>
      <c r="HY888">
        <f>IF(ISBLANK('Data Entry'!$ĩ$888), "", 'Data Entry'!$ĩ$888)</f>
      </c>
      <c r="HZ888">
        <f>IF(ISBLANK('Data Entry'!$Ī$888), "", 'Data Entry'!$Ī$888)</f>
      </c>
      <c r="IA888">
        <f>IF(ISBLANK('Data Entry'!$ī$888), "", 'Data Entry'!$ī$888)</f>
      </c>
      <c r="IB888">
        <f>IF(ISBLANK('Data Entry'!$Ĭ$888), "", 'Data Entry'!$Ĭ$888)</f>
      </c>
      <c r="IC888">
        <f>IF(ISBLANK('Data Entry'!$ĭ$888), "", 'Data Entry'!$ĭ$888)</f>
      </c>
      <c r="ID888">
        <f>IF(ISBLANK('Data Entry'!$Į$888), "", 'Data Entry'!$Į$888)</f>
      </c>
      <c r="IE888">
        <f>IF(ISBLANK('Data Entry'!$į$888), "", 'Data Entry'!$į$888)</f>
      </c>
      <c r="IF888">
        <f>IF(ISBLANK('Data Entry'!$İ$888), "", 'Data Entry'!$İ$888)</f>
      </c>
      <c r="IG888">
        <f>IF(ISBLANK('Data Entry'!$ı$888), "", 'Data Entry'!$ı$888)</f>
      </c>
      <c r="IH888">
        <f>IF(ISBLANK('Data Entry'!$Ĳ$888), "", 'Data Entry'!$Ĳ$888)</f>
      </c>
      <c r="II888">
        <f>IF(ISBLANK('Data Entry'!$ĳ$888), "", 'Data Entry'!$ĳ$888)</f>
      </c>
      <c r="IJ888">
        <f>IF(ISBLANK('Data Entry'!$Ĵ$888), "", 'Data Entry'!$Ĵ$888)</f>
      </c>
      <c r="IK888">
        <f>IF(ISBLANK('Data Entry'!$ĵ$888), "", 'Data Entry'!$ĵ$888)</f>
      </c>
      <c r="IL888">
        <f>IF(ISBLANK('Data Entry'!$Ķ$888), "", 'Data Entry'!$Ķ$888)</f>
      </c>
      <c r="IM888">
        <f>IF(ISBLANK('Data Entry'!$ķ$888), "", 'Data Entry'!$ķ$888)</f>
      </c>
      <c r="IN888">
        <f>IF(ISBLANK('Data Entry'!$ĸ$888), "", 'Data Entry'!$ĸ$888)</f>
      </c>
      <c r="IO888">
        <f>IF(ISBLANK('Data Entry'!$Ĺ$888), "", 'Data Entry'!$Ĺ$888)</f>
      </c>
      <c r="IP888">
        <f>IF(ISBLANK('Data Entry'!$ĺ$888), "", 'Data Entry'!$ĺ$888)</f>
      </c>
      <c r="IQ888">
        <f>IF(ISBLANK('Data Entry'!$Ļ$888), "", 'Data Entry'!$Ļ$888)</f>
      </c>
      <c r="IR888">
        <f>IF(ISBLANK('Data Entry'!$ļ$888), "", 'Data Entry'!$ļ$888)</f>
      </c>
      <c r="IS888">
        <f>IF(ISBLANK('Data Entry'!$Ľ$888), "", 'Data Entry'!$Ľ$888)</f>
      </c>
      <c r="IT888">
        <f>IF(ISBLANK('Data Entry'!$ľ$888), "", 'Data Entry'!$ľ$888)</f>
      </c>
    </row>
    <row r="889" spans="1:254" x14ac:dyDescent="0.25">
      <c r="A889">
        <f>IF(ISBLANK('Data Entry'!$A$889), "", 'Data Entry'!$A$889)</f>
      </c>
      <c r="B889">
        <f>IF(ISBLANK('Data Entry'!$B$889), "", 'Data Entry'!$B$889)</f>
      </c>
      <c r="C889">
        <f>IF(ISBLANK('Data Entry'!$C$889), "", 'Data Entry'!$C$889)</f>
      </c>
      <c r="D889">
        <f>IF(ISBLANK('Data Entry'!$D$889), "", 'Data Entry'!$D$889)</f>
      </c>
      <c r="E889">
        <f>IF(ISBLANK('Data Entry'!$E$889), "", 'Data Entry'!$E$889)</f>
      </c>
      <c r="F889">
        <f>IF(ISBLANK('Data Entry'!$F$889), "", 'Data Entry'!$F$889)</f>
      </c>
      <c r="G889">
        <f>IF(ISBLANK('Data Entry'!$G$889), "", 'Data Entry'!$G$889)</f>
      </c>
      <c r="H889">
        <f>IF(ISBLANK('Data Entry'!$H$889), "", 'Data Entry'!$H$889)</f>
      </c>
      <c r="I889">
        <f>IF(ISBLANK('Data Entry'!$I$889), "", 'Data Entry'!$I$889)</f>
      </c>
      <c r="J889">
        <f>IF(ISBLANK('Data Entry'!$J$889), "", 'Data Entry'!$J$889)</f>
      </c>
      <c r="K889">
        <f>IF(ISBLANK('Data Entry'!$K$889), "", 'Data Entry'!$K$889)</f>
      </c>
      <c r="L889">
        <f>IF(ISBLANK('Data Entry'!$L$889), "", 'Data Entry'!$L$889)</f>
      </c>
      <c r="M889">
        <f>IF(ISBLANK('Data Entry'!$M$889), "", 'Data Entry'!$M$889)</f>
      </c>
      <c r="N889">
        <f>IF(ISBLANK('Data Entry'!$N$889), "", 'Data Entry'!$N$889)</f>
      </c>
      <c r="O889">
        <f>IF(ISBLANK('Data Entry'!$O$889), "", 'Data Entry'!$O$889)</f>
      </c>
      <c r="P889">
        <f>IF(ISBLANK('Data Entry'!$P$889), "", 'Data Entry'!$P$889)</f>
      </c>
      <c r="Q889">
        <f>IF(ISBLANK('Data Entry'!$Q$889), "", 'Data Entry'!$Q$889)</f>
      </c>
      <c r="R889">
        <f>IF(ISBLANK('Data Entry'!$R$889), "", 'Data Entry'!$R$889)</f>
      </c>
      <c r="S889">
        <f>IF(ISBLANK('Data Entry'!$S$889), "", 'Data Entry'!$S$889)</f>
      </c>
      <c r="T889">
        <f>IF(ISBLANK('Data Entry'!$T$889), "", 'Data Entry'!$T$889)</f>
      </c>
      <c r="U889">
        <f>IF(ISBLANK('Data Entry'!$U$889), "", 'Data Entry'!$U$889)</f>
      </c>
      <c r="V889">
        <f>IF(ISBLANK('Data Entry'!$V$889), "", 'Data Entry'!$V$889)</f>
      </c>
      <c r="W889">
        <f>IF(ISBLANK('Data Entry'!$W$889), "", 'Data Entry'!$W$889)</f>
      </c>
      <c r="X889">
        <f>IF(ISBLANK('Data Entry'!$X$889), "", 'Data Entry'!$X$889)</f>
      </c>
      <c r="Y889">
        <f>IF(ISBLANK('Data Entry'!$Y$889), "", 'Data Entry'!$Y$889)</f>
      </c>
      <c r="Z889">
        <f>IF(ISBLANK('Data Entry'!$Z$889), "", 'Data Entry'!$Z$889)</f>
      </c>
      <c r="AA889">
        <f>IF(ISBLANK('Data Entry'!$[$889), "", 'Data Entry'!$[$889)</f>
      </c>
      <c r="AB889">
        <f>IF(ISBLANK('Data Entry'!$\$889), "", 'Data Entry'!$\$889)</f>
      </c>
      <c r="AC889">
        <f>IF(ISBLANK('Data Entry'!$]$889), "", 'Data Entry'!$]$889)</f>
      </c>
      <c r="AD889">
        <f>IF(ISBLANK('Data Entry'!$^$889), "", 'Data Entry'!$^$889)</f>
      </c>
      <c r="AE889">
        <f>IF(ISBLANK('Data Entry'!$_$889), "", 'Data Entry'!$_$889)</f>
      </c>
      <c r="AF889">
        <f>IF(ISBLANK('Data Entry'!$`$889), "", 'Data Entry'!$`$889)</f>
      </c>
      <c r="AG889">
        <f>IF(ISBLANK('Data Entry'!$a$889), "", 'Data Entry'!$a$889)</f>
      </c>
      <c r="AH889">
        <f>IF(ISBLANK('Data Entry'!$b$889), "", 'Data Entry'!$b$889)</f>
      </c>
      <c r="AI889">
        <f>IF(ISBLANK('Data Entry'!$c$889), "", 'Data Entry'!$c$889)</f>
      </c>
      <c r="AJ889">
        <f>IF(ISBLANK('Data Entry'!$d$889), "", 'Data Entry'!$d$889)</f>
      </c>
      <c r="AK889">
        <f>IF(ISBLANK('Data Entry'!$e$889), "", 'Data Entry'!$e$889)</f>
      </c>
      <c r="AL889">
        <f>IF(ISBLANK('Data Entry'!$f$889), "", 'Data Entry'!$f$889)</f>
      </c>
      <c r="AM889">
        <f>IF(ISBLANK('Data Entry'!$g$889), "", 'Data Entry'!$g$889)</f>
      </c>
      <c r="AN889">
        <f>IF(ISBLANK('Data Entry'!$h$889), "", 'Data Entry'!$h$889)</f>
      </c>
      <c r="AO889">
        <f>IF(ISBLANK('Data Entry'!$i$889), "", 'Data Entry'!$i$889)</f>
      </c>
      <c r="AP889">
        <f>IF(ISBLANK('Data Entry'!$j$889), "", 'Data Entry'!$j$889)</f>
      </c>
      <c r="AQ889">
        <f>IF(ISBLANK('Data Entry'!$k$889), "", 'Data Entry'!$k$889)</f>
      </c>
      <c r="AR889">
        <f>IF(ISBLANK('Data Entry'!$l$889), "", 'Data Entry'!$l$889)</f>
      </c>
      <c r="AS889">
        <f>IF(ISBLANK('Data Entry'!$m$889), "", 'Data Entry'!$m$889)</f>
      </c>
      <c r="AT889">
        <f>IF(ISBLANK('Data Entry'!$n$889), "", 'Data Entry'!$n$889)</f>
      </c>
      <c r="AU889">
        <f>IF(ISBLANK('Data Entry'!$o$889), "", 'Data Entry'!$o$889)</f>
      </c>
      <c r="AV889">
        <f>IF(ISBLANK('Data Entry'!$p$889), "", 'Data Entry'!$p$889)</f>
      </c>
      <c r="AW889">
        <f>IF(ISBLANK('Data Entry'!$q$889), "", 'Data Entry'!$q$889)</f>
      </c>
      <c r="AX889">
        <f>IF(ISBLANK('Data Entry'!$r$889), "", 'Data Entry'!$r$889)</f>
      </c>
      <c r="AY889">
        <f>IF(ISBLANK('Data Entry'!$s$889), "", 'Data Entry'!$s$889)</f>
      </c>
      <c r="AZ889">
        <f>IF(ISBLANK('Data Entry'!$t$889), "", 'Data Entry'!$t$889)</f>
      </c>
      <c r="BA889">
        <f>IF(ISBLANK('Data Entry'!$u$889), "", 'Data Entry'!$u$889)</f>
      </c>
      <c r="BB889">
        <f>IF(ISBLANK('Data Entry'!$v$889), "", 'Data Entry'!$v$889)</f>
      </c>
      <c r="BC889">
        <f>IF(ISBLANK('Data Entry'!$w$889), "", 'Data Entry'!$w$889)</f>
      </c>
      <c r="BD889">
        <f>IF(ISBLANK('Data Entry'!$x$889), "", 'Data Entry'!$x$889)</f>
      </c>
      <c r="BE889">
        <f>IF(ISBLANK('Data Entry'!$y$889), "", 'Data Entry'!$y$889)</f>
      </c>
      <c r="BF889">
        <f>IF(ISBLANK('Data Entry'!$z$889), "", 'Data Entry'!$z$889)</f>
      </c>
      <c r="BG889">
        <f>IF(ISBLANK('Data Entry'!${$889), "", 'Data Entry'!${$889)</f>
      </c>
      <c r="BH889">
        <f>IF(ISBLANK('Data Entry'!$|$889), "", 'Data Entry'!$|$889)</f>
      </c>
      <c r="BI889">
        <f>IF(ISBLANK('Data Entry'!$}$889), "", 'Data Entry'!$}$889)</f>
      </c>
      <c r="BJ889">
        <f>IF(ISBLANK('Data Entry'!$~$889), "", 'Data Entry'!$~$889)</f>
      </c>
      <c r="BK889">
        <f>IF(ISBLANK('Data Entry'!$$889), "", 'Data Entry'!$$889)</f>
      </c>
      <c r="BL889">
        <f>IF(ISBLANK('Data Entry'!$$889), "", 'Data Entry'!$$889)</f>
      </c>
      <c r="BM889">
        <f>IF(ISBLANK('Data Entry'!$$889), "", 'Data Entry'!$$889)</f>
      </c>
      <c r="BN889">
        <f>IF(ISBLANK('Data Entry'!$$889), "", 'Data Entry'!$$889)</f>
      </c>
      <c r="BO889">
        <f>IF(ISBLANK('Data Entry'!$$889), "", 'Data Entry'!$$889)</f>
      </c>
      <c r="BP889">
        <f>IF(ISBLANK('Data Entry'!$$889), "", 'Data Entry'!$$889)</f>
      </c>
      <c r="BQ889">
        <f>IF(ISBLANK('Data Entry'!$$889), "", 'Data Entry'!$$889)</f>
      </c>
      <c r="BR889">
        <f>IF(ISBLANK('Data Entry'!$$889), "", 'Data Entry'!$$889)</f>
      </c>
      <c r="BS889">
        <f>IF(ISBLANK('Data Entry'!$$889), "", 'Data Entry'!$$889)</f>
      </c>
      <c r="BT889">
        <f>IF(ISBLANK('Data Entry'!$$889), "", 'Data Entry'!$$889)</f>
      </c>
      <c r="BU889">
        <f>IF(ISBLANK('Data Entry'!$$889), "", 'Data Entry'!$$889)</f>
      </c>
      <c r="BV889">
        <f>IF(ISBLANK('Data Entry'!$$889), "", 'Data Entry'!$$889)</f>
      </c>
      <c r="BW889">
        <f>IF(ISBLANK('Data Entry'!$$889), "", 'Data Entry'!$$889)</f>
      </c>
      <c r="BX889">
        <f>IF(ISBLANK('Data Entry'!$$889), "", 'Data Entry'!$$889)</f>
      </c>
      <c r="BY889">
        <f>IF(ISBLANK('Data Entry'!$$889), "", 'Data Entry'!$$889)</f>
      </c>
      <c r="BZ889">
        <f>IF(ISBLANK('Data Entry'!$$889), "", 'Data Entry'!$$889)</f>
      </c>
      <c r="CA889">
        <f>IF(ISBLANK('Data Entry'!$$889), "", 'Data Entry'!$$889)</f>
      </c>
      <c r="CB889">
        <f>IF(ISBLANK('Data Entry'!$$889), "", 'Data Entry'!$$889)</f>
      </c>
      <c r="CC889">
        <f>IF(ISBLANK('Data Entry'!$$889), "", 'Data Entry'!$$889)</f>
      </c>
      <c r="CD889">
        <f>IF(ISBLANK('Data Entry'!$$889), "", 'Data Entry'!$$889)</f>
      </c>
      <c r="CE889">
        <f>IF(ISBLANK('Data Entry'!$$889), "", 'Data Entry'!$$889)</f>
      </c>
      <c r="CF889">
        <f>IF(ISBLANK('Data Entry'!$$889), "", 'Data Entry'!$$889)</f>
      </c>
      <c r="CG889">
        <f>IF(ISBLANK('Data Entry'!$$889), "", 'Data Entry'!$$889)</f>
      </c>
      <c r="CH889">
        <f>IF(ISBLANK('Data Entry'!$$889), "", 'Data Entry'!$$889)</f>
      </c>
      <c r="CI889">
        <f>IF(ISBLANK('Data Entry'!$$889), "", 'Data Entry'!$$889)</f>
      </c>
      <c r="CJ889">
        <f>IF(ISBLANK('Data Entry'!$$889), "", 'Data Entry'!$$889)</f>
      </c>
      <c r="CK889">
        <f>IF(ISBLANK('Data Entry'!$$889), "", 'Data Entry'!$$889)</f>
      </c>
      <c r="CL889">
        <f>IF(ISBLANK('Data Entry'!$$889), "", 'Data Entry'!$$889)</f>
      </c>
      <c r="CM889">
        <f>IF(ISBLANK('Data Entry'!$$889), "", 'Data Entry'!$$889)</f>
      </c>
      <c r="CN889">
        <f>IF(ISBLANK('Data Entry'!$$889), "", 'Data Entry'!$$889)</f>
      </c>
      <c r="CO889">
        <f>IF(ISBLANK('Data Entry'!$$889), "", 'Data Entry'!$$889)</f>
      </c>
      <c r="CP889">
        <f>IF(ISBLANK('Data Entry'!$$889), "", 'Data Entry'!$$889)</f>
      </c>
      <c r="CQ889">
        <f>IF(ISBLANK('Data Entry'!$$889), "", 'Data Entry'!$$889)</f>
      </c>
      <c r="CR889">
        <f>IF(ISBLANK('Data Entry'!$ $889), "", 'Data Entry'!$ $889)</f>
      </c>
      <c r="CS889">
        <f>IF(ISBLANK('Data Entry'!$¡$889), "", 'Data Entry'!$¡$889)</f>
      </c>
      <c r="CT889">
        <f>IF(ISBLANK('Data Entry'!$¢$889), "", 'Data Entry'!$¢$889)</f>
      </c>
      <c r="CU889">
        <f>IF(ISBLANK('Data Entry'!$£$889), "", 'Data Entry'!$£$889)</f>
      </c>
      <c r="CV889">
        <f>IF(ISBLANK('Data Entry'!$¤$889), "", 'Data Entry'!$¤$889)</f>
      </c>
      <c r="CW889">
        <f>IF(ISBLANK('Data Entry'!$¥$889), "", 'Data Entry'!$¥$889)</f>
      </c>
      <c r="CX889">
        <f>IF(ISBLANK('Data Entry'!$¦$889), "", 'Data Entry'!$¦$889)</f>
      </c>
      <c r="CY889">
        <f>IF(ISBLANK('Data Entry'!$§$889), "", 'Data Entry'!$§$889)</f>
      </c>
      <c r="CZ889">
        <f>IF(ISBLANK('Data Entry'!$¨$889), "", 'Data Entry'!$¨$889)</f>
      </c>
      <c r="DA889">
        <f>IF(ISBLANK('Data Entry'!$©$889), "", 'Data Entry'!$©$889)</f>
      </c>
      <c r="DB889">
        <f>IF(ISBLANK('Data Entry'!$ª$889), "", 'Data Entry'!$ª$889)</f>
      </c>
      <c r="DC889">
        <f>IF(ISBLANK('Data Entry'!$«$889), "", 'Data Entry'!$«$889)</f>
      </c>
      <c r="DD889">
        <f>IF(ISBLANK('Data Entry'!$¬$889), "", 'Data Entry'!$¬$889)</f>
      </c>
      <c r="DE889">
        <f>IF(ISBLANK('Data Entry'!$­$889), "", 'Data Entry'!$­$889)</f>
      </c>
      <c r="DF889">
        <f>IF(ISBLANK('Data Entry'!$®$889), "", 'Data Entry'!$®$889)</f>
      </c>
      <c r="DG889">
        <f>IF(ISBLANK('Data Entry'!$¯$889), "", 'Data Entry'!$¯$889)</f>
      </c>
      <c r="DH889">
        <f>IF(ISBLANK('Data Entry'!$°$889), "", 'Data Entry'!$°$889)</f>
      </c>
      <c r="DI889">
        <f>IF(ISBLANK('Data Entry'!$±$889), "", 'Data Entry'!$±$889)</f>
      </c>
      <c r="DJ889">
        <f>IF(ISBLANK('Data Entry'!$²$889), "", 'Data Entry'!$²$889)</f>
      </c>
      <c r="DK889">
        <f>IF(ISBLANK('Data Entry'!$³$889), "", 'Data Entry'!$³$889)</f>
      </c>
      <c r="DL889">
        <f>IF(ISBLANK('Data Entry'!$´$889), "", 'Data Entry'!$´$889)</f>
      </c>
      <c r="DM889">
        <f>IF(ISBLANK('Data Entry'!$µ$889), "", 'Data Entry'!$µ$889)</f>
      </c>
      <c r="DN889">
        <f>IF(ISBLANK('Data Entry'!$¶$889), "", 'Data Entry'!$¶$889)</f>
      </c>
      <c r="DO889">
        <f>IF(ISBLANK('Data Entry'!$·$889), "", 'Data Entry'!$·$889)</f>
      </c>
      <c r="DP889">
        <f>IF(ISBLANK('Data Entry'!$¸$889), "", 'Data Entry'!$¸$889)</f>
      </c>
      <c r="DQ889">
        <f>IF(ISBLANK('Data Entry'!$¹$889), "", 'Data Entry'!$¹$889)</f>
      </c>
      <c r="DR889">
        <f>IF(ISBLANK('Data Entry'!$º$889), "", 'Data Entry'!$º$889)</f>
      </c>
      <c r="DS889">
        <f>IF(ISBLANK('Data Entry'!$»$889), "", 'Data Entry'!$»$889)</f>
      </c>
      <c r="DT889">
        <f>IF(ISBLANK('Data Entry'!$¼$889), "", 'Data Entry'!$¼$889)</f>
      </c>
      <c r="DU889">
        <f>IF(ISBLANK('Data Entry'!$½$889), "", 'Data Entry'!$½$889)</f>
      </c>
      <c r="DV889">
        <f>IF(ISBLANK('Data Entry'!$¾$889), "", 'Data Entry'!$¾$889)</f>
      </c>
      <c r="DW889">
        <f>IF(ISBLANK('Data Entry'!$¿$889), "", 'Data Entry'!$¿$889)</f>
      </c>
      <c r="DX889">
        <f>IF(ISBLANK('Data Entry'!$À$889), "", 'Data Entry'!$À$889)</f>
      </c>
      <c r="DY889">
        <f>IF(ISBLANK('Data Entry'!$Á$889), "", 'Data Entry'!$Á$889)</f>
      </c>
      <c r="DZ889">
        <f>IF(ISBLANK('Data Entry'!$Â$889), "", 'Data Entry'!$Â$889)</f>
      </c>
      <c r="EA889">
        <f>IF(ISBLANK('Data Entry'!$Ã$889), "", 'Data Entry'!$Ã$889)</f>
      </c>
      <c r="EB889">
        <f>IF(ISBLANK('Data Entry'!$Ä$889), "", 'Data Entry'!$Ä$889)</f>
      </c>
      <c r="EC889">
        <f>IF(ISBLANK('Data Entry'!$Å$889), "", 'Data Entry'!$Å$889)</f>
      </c>
      <c r="ED889">
        <f>IF(ISBLANK('Data Entry'!$Æ$889), "", 'Data Entry'!$Æ$889)</f>
      </c>
      <c r="EE889">
        <f>IF(ISBLANK('Data Entry'!$Ç$889), "", 'Data Entry'!$Ç$889)</f>
      </c>
      <c r="EF889">
        <f>IF(ISBLANK('Data Entry'!$È$889), "", 'Data Entry'!$È$889)</f>
      </c>
      <c r="EG889">
        <f>IF(ISBLANK('Data Entry'!$É$889), "", 'Data Entry'!$É$889)</f>
      </c>
      <c r="EH889">
        <f>IF(ISBLANK('Data Entry'!$Ê$889), "", 'Data Entry'!$Ê$889)</f>
      </c>
      <c r="EI889">
        <f>IF(ISBLANK('Data Entry'!$Ë$889), "", 'Data Entry'!$Ë$889)</f>
      </c>
      <c r="EJ889">
        <f>IF(ISBLANK('Data Entry'!$Ì$889), "", 'Data Entry'!$Ì$889)</f>
      </c>
      <c r="EK889">
        <f>IF(ISBLANK('Data Entry'!$Í$889), "", 'Data Entry'!$Í$889)</f>
      </c>
      <c r="EL889">
        <f>IF(ISBLANK('Data Entry'!$Î$889), "", 'Data Entry'!$Î$889)</f>
      </c>
      <c r="EM889">
        <f>IF(ISBLANK('Data Entry'!$Ï$889), "", 'Data Entry'!$Ï$889)</f>
      </c>
      <c r="EN889">
        <f>IF(ISBLANK('Data Entry'!$Ð$889), "", 'Data Entry'!$Ð$889)</f>
      </c>
      <c r="EO889">
        <f>IF(ISBLANK('Data Entry'!$Ñ$889), "", 'Data Entry'!$Ñ$889)</f>
      </c>
      <c r="EP889">
        <f>IF(ISBLANK('Data Entry'!$Ò$889), "", 'Data Entry'!$Ò$889)</f>
      </c>
      <c r="EQ889">
        <f>IF(ISBLANK('Data Entry'!$Ó$889), "", 'Data Entry'!$Ó$889)</f>
      </c>
      <c r="ER889">
        <f>IF(ISBLANK('Data Entry'!$Ô$889), "", 'Data Entry'!$Ô$889)</f>
      </c>
      <c r="ES889">
        <f>IF(ISBLANK('Data Entry'!$Õ$889), "", 'Data Entry'!$Õ$889)</f>
      </c>
      <c r="ET889">
        <f>IF(ISBLANK('Data Entry'!$Ö$889), "", 'Data Entry'!$Ö$889)</f>
      </c>
      <c r="EU889">
        <f>IF(ISBLANK('Data Entry'!$×$889), "", 'Data Entry'!$×$889)</f>
      </c>
      <c r="EV889">
        <f>IF(ISBLANK('Data Entry'!$Ø$889), "", 'Data Entry'!$Ø$889)</f>
      </c>
      <c r="EW889">
        <f>IF(ISBLANK('Data Entry'!$Ù$889), "", 'Data Entry'!$Ù$889)</f>
      </c>
      <c r="EX889">
        <f>IF(ISBLANK('Data Entry'!$Ú$889), "", 'Data Entry'!$Ú$889)</f>
      </c>
      <c r="EY889">
        <f>IF(ISBLANK('Data Entry'!$Û$889), "", 'Data Entry'!$Û$889)</f>
      </c>
      <c r="EZ889">
        <f>IF(ISBLANK('Data Entry'!$Ü$889), "", 'Data Entry'!$Ü$889)</f>
      </c>
      <c r="FA889">
        <f>IF(ISBLANK('Data Entry'!$Ý$889), "", 'Data Entry'!$Ý$889)</f>
      </c>
      <c r="FB889">
        <f>IF(ISBLANK('Data Entry'!$Þ$889), "", 'Data Entry'!$Þ$889)</f>
      </c>
      <c r="FC889">
        <f>IF(ISBLANK('Data Entry'!$ß$889), "", 'Data Entry'!$ß$889)</f>
      </c>
      <c r="FD889">
        <f>IF(ISBLANK('Data Entry'!$à$889), "", 'Data Entry'!$à$889)</f>
      </c>
      <c r="FE889">
        <f>IF(ISBLANK('Data Entry'!$á$889), "", 'Data Entry'!$á$889)</f>
      </c>
      <c r="FF889">
        <f>IF(ISBLANK('Data Entry'!$â$889), "", 'Data Entry'!$â$889)</f>
      </c>
      <c r="FG889">
        <f>IF(ISBLANK('Data Entry'!$ã$889), "", 'Data Entry'!$ã$889)</f>
      </c>
      <c r="FH889">
        <f>IF(ISBLANK('Data Entry'!$ä$889), "", 'Data Entry'!$ä$889)</f>
      </c>
      <c r="FI889">
        <f>IF(ISBLANK('Data Entry'!$å$889), "", 'Data Entry'!$å$889)</f>
      </c>
      <c r="FJ889">
        <f>IF(ISBLANK('Data Entry'!$æ$889), "", 'Data Entry'!$æ$889)</f>
      </c>
      <c r="FK889">
        <f>IF(ISBLANK('Data Entry'!$ç$889), "", 'Data Entry'!$ç$889)</f>
      </c>
      <c r="FL889">
        <f>IF(ISBLANK('Data Entry'!$è$889), "", 'Data Entry'!$è$889)</f>
      </c>
      <c r="FM889">
        <f>IF(ISBLANK('Data Entry'!$é$889), "", 'Data Entry'!$é$889)</f>
      </c>
      <c r="FN889">
        <f>IF(ISBLANK('Data Entry'!$ê$889), "", 'Data Entry'!$ê$889)</f>
      </c>
      <c r="FO889">
        <f>IF(ISBLANK('Data Entry'!$ë$889), "", 'Data Entry'!$ë$889)</f>
      </c>
      <c r="FP889">
        <f>IF(ISBLANK('Data Entry'!$ì$889), "", 'Data Entry'!$ì$889)</f>
      </c>
      <c r="FQ889">
        <f>IF(ISBLANK('Data Entry'!$í$889), "", 'Data Entry'!$í$889)</f>
      </c>
      <c r="FR889">
        <f>IF(ISBLANK('Data Entry'!$î$889), "", 'Data Entry'!$î$889)</f>
      </c>
      <c r="FS889">
        <f>IF(ISBLANK('Data Entry'!$ï$889), "", 'Data Entry'!$ï$889)</f>
      </c>
      <c r="FT889">
        <f>IF(ISBLANK('Data Entry'!$ð$889), "", 'Data Entry'!$ð$889)</f>
      </c>
      <c r="FU889">
        <f>IF(ISBLANK('Data Entry'!$ñ$889), "", 'Data Entry'!$ñ$889)</f>
      </c>
      <c r="FV889">
        <f>IF(ISBLANK('Data Entry'!$ò$889), "", 'Data Entry'!$ò$889)</f>
      </c>
      <c r="FW889">
        <f>IF(ISBLANK('Data Entry'!$ó$889), "", 'Data Entry'!$ó$889)</f>
      </c>
      <c r="FX889">
        <f>IF(ISBLANK('Data Entry'!$ô$889), "", 'Data Entry'!$ô$889)</f>
      </c>
      <c r="FY889">
        <f>IF(ISBLANK('Data Entry'!$õ$889), "", 'Data Entry'!$õ$889)</f>
      </c>
      <c r="FZ889">
        <f>IF(ISBLANK('Data Entry'!$ö$889), "", 'Data Entry'!$ö$889)</f>
      </c>
      <c r="GA889">
        <f>IF(ISBLANK('Data Entry'!$÷$889), "", 'Data Entry'!$÷$889)</f>
      </c>
      <c r="GB889">
        <f>IF(ISBLANK('Data Entry'!$ø$889), "", 'Data Entry'!$ø$889)</f>
      </c>
      <c r="GC889">
        <f>IF(ISBLANK('Data Entry'!$ù$889), "", 'Data Entry'!$ù$889)</f>
      </c>
      <c r="GD889">
        <f>IF(ISBLANK('Data Entry'!$ú$889), "", 'Data Entry'!$ú$889)</f>
      </c>
      <c r="GE889">
        <f>IF(ISBLANK('Data Entry'!$û$889), "", 'Data Entry'!$û$889)</f>
      </c>
      <c r="GF889">
        <f>IF(ISBLANK('Data Entry'!$ü$889), "", 'Data Entry'!$ü$889)</f>
      </c>
      <c r="GG889">
        <f>IF(ISBLANK('Data Entry'!$ý$889), "", 'Data Entry'!$ý$889)</f>
      </c>
      <c r="GH889">
        <f>IF(ISBLANK('Data Entry'!$þ$889), "", 'Data Entry'!$þ$889)</f>
      </c>
      <c r="GI889">
        <f>IF(ISBLANK('Data Entry'!$ÿ$889), "", 'Data Entry'!$ÿ$889)</f>
      </c>
      <c r="GJ889">
        <f>IF(ISBLANK('Data Entry'!$Ā$889), "", 'Data Entry'!$Ā$889)</f>
      </c>
      <c r="GK889">
        <f>IF(ISBLANK('Data Entry'!$ā$889), "", 'Data Entry'!$ā$889)</f>
      </c>
      <c r="GL889">
        <f>IF(ISBLANK('Data Entry'!$Ă$889), "", 'Data Entry'!$Ă$889)</f>
      </c>
      <c r="GM889">
        <f>IF(ISBLANK('Data Entry'!$ă$889), "", 'Data Entry'!$ă$889)</f>
      </c>
      <c r="GN889">
        <f>IF(ISBLANK('Data Entry'!$Ą$889), "", 'Data Entry'!$Ą$889)</f>
      </c>
      <c r="GO889">
        <f>IF(ISBLANK('Data Entry'!$ą$889), "", 'Data Entry'!$ą$889)</f>
      </c>
      <c r="GP889">
        <f>IF(ISBLANK('Data Entry'!$Ć$889), "", 'Data Entry'!$Ć$889)</f>
      </c>
      <c r="GQ889">
        <f>IF(ISBLANK('Data Entry'!$ć$889), "", 'Data Entry'!$ć$889)</f>
      </c>
      <c r="GR889">
        <f>IF(ISBLANK('Data Entry'!$Ĉ$889), "", 'Data Entry'!$Ĉ$889)</f>
      </c>
      <c r="GS889">
        <f>IF(ISBLANK('Data Entry'!$ĉ$889), "", 'Data Entry'!$ĉ$889)</f>
      </c>
      <c r="GT889">
        <f>IF(ISBLANK('Data Entry'!$Ċ$889), "", 'Data Entry'!$Ċ$889)</f>
      </c>
      <c r="GU889">
        <f>IF(ISBLANK('Data Entry'!$ċ$889), "", 'Data Entry'!$ċ$889)</f>
      </c>
      <c r="GV889">
        <f>IF(ISBLANK('Data Entry'!$Č$889), "", 'Data Entry'!$Č$889)</f>
      </c>
      <c r="GW889">
        <f>IF(ISBLANK('Data Entry'!$č$889), "", 'Data Entry'!$č$889)</f>
      </c>
      <c r="GX889">
        <f>IF(ISBLANK('Data Entry'!$Ď$889), "", 'Data Entry'!$Ď$889)</f>
      </c>
      <c r="GY889">
        <f>IF(ISBLANK('Data Entry'!$ď$889), "", 'Data Entry'!$ď$889)</f>
      </c>
      <c r="GZ889">
        <f>IF(ISBLANK('Data Entry'!$Đ$889), "", 'Data Entry'!$Đ$889)</f>
      </c>
      <c r="HA889">
        <f>IF(ISBLANK('Data Entry'!$đ$889), "", 'Data Entry'!$đ$889)</f>
      </c>
      <c r="HB889">
        <f>IF(ISBLANK('Data Entry'!$Ē$889), "", 'Data Entry'!$Ē$889)</f>
      </c>
      <c r="HC889">
        <f>IF(ISBLANK('Data Entry'!$ē$889), "", 'Data Entry'!$ē$889)</f>
      </c>
      <c r="HD889">
        <f>IF(ISBLANK('Data Entry'!$Ĕ$889), "", 'Data Entry'!$Ĕ$889)</f>
      </c>
      <c r="HE889">
        <f>IF(ISBLANK('Data Entry'!$ĕ$889), "", 'Data Entry'!$ĕ$889)</f>
      </c>
      <c r="HF889">
        <f>IF(ISBLANK('Data Entry'!$Ė$889), "", 'Data Entry'!$Ė$889)</f>
      </c>
      <c r="HG889">
        <f>IF(ISBLANK('Data Entry'!$ė$889), "", 'Data Entry'!$ė$889)</f>
      </c>
      <c r="HH889">
        <f>IF(ISBLANK('Data Entry'!$Ę$889), "", 'Data Entry'!$Ę$889)</f>
      </c>
      <c r="HI889">
        <f>IF(ISBLANK('Data Entry'!$ę$889), "", 'Data Entry'!$ę$889)</f>
      </c>
      <c r="HJ889">
        <f>IF(ISBLANK('Data Entry'!$Ě$889), "", 'Data Entry'!$Ě$889)</f>
      </c>
      <c r="HK889">
        <f>IF(ISBLANK('Data Entry'!$ě$889), "", 'Data Entry'!$ě$889)</f>
      </c>
      <c r="HL889">
        <f>IF(ISBLANK('Data Entry'!$Ĝ$889), "", 'Data Entry'!$Ĝ$889)</f>
      </c>
      <c r="HM889">
        <f>IF(ISBLANK('Data Entry'!$ĝ$889), "", 'Data Entry'!$ĝ$889)</f>
      </c>
      <c r="HN889">
        <f>IF(ISBLANK('Data Entry'!$Ğ$889), "", 'Data Entry'!$Ğ$889)</f>
      </c>
      <c r="HO889">
        <f>IF(ISBLANK('Data Entry'!$ğ$889), "", 'Data Entry'!$ğ$889)</f>
      </c>
      <c r="HP889">
        <f>IF(ISBLANK('Data Entry'!$Ġ$889), "", 'Data Entry'!$Ġ$889)</f>
      </c>
      <c r="HQ889">
        <f>IF(ISBLANK('Data Entry'!$ġ$889), "", 'Data Entry'!$ġ$889)</f>
      </c>
      <c r="HR889">
        <f>IF(ISBLANK('Data Entry'!$Ģ$889), "", 'Data Entry'!$Ģ$889)</f>
      </c>
      <c r="HS889">
        <f>IF(ISBLANK('Data Entry'!$ģ$889), "", 'Data Entry'!$ģ$889)</f>
      </c>
      <c r="HT889">
        <f>IF(ISBLANK('Data Entry'!$Ĥ$889), "", 'Data Entry'!$Ĥ$889)</f>
      </c>
      <c r="HU889">
        <f>IF(ISBLANK('Data Entry'!$ĥ$889), "", 'Data Entry'!$ĥ$889)</f>
      </c>
      <c r="HV889">
        <f>IF(ISBLANK('Data Entry'!$Ħ$889), "", 'Data Entry'!$Ħ$889)</f>
      </c>
      <c r="HW889">
        <f>IF(ISBLANK('Data Entry'!$ħ$889), "", 'Data Entry'!$ħ$889)</f>
      </c>
      <c r="HX889">
        <f>IF(ISBLANK('Data Entry'!$Ĩ$889), "", 'Data Entry'!$Ĩ$889)</f>
      </c>
      <c r="HY889">
        <f>IF(ISBLANK('Data Entry'!$ĩ$889), "", 'Data Entry'!$ĩ$889)</f>
      </c>
      <c r="HZ889">
        <f>IF(ISBLANK('Data Entry'!$Ī$889), "", 'Data Entry'!$Ī$889)</f>
      </c>
      <c r="IA889">
        <f>IF(ISBLANK('Data Entry'!$ī$889), "", 'Data Entry'!$ī$889)</f>
      </c>
      <c r="IB889">
        <f>IF(ISBLANK('Data Entry'!$Ĭ$889), "", 'Data Entry'!$Ĭ$889)</f>
      </c>
      <c r="IC889">
        <f>IF(ISBLANK('Data Entry'!$ĭ$889), "", 'Data Entry'!$ĭ$889)</f>
      </c>
      <c r="ID889">
        <f>IF(ISBLANK('Data Entry'!$Į$889), "", 'Data Entry'!$Į$889)</f>
      </c>
      <c r="IE889">
        <f>IF(ISBLANK('Data Entry'!$į$889), "", 'Data Entry'!$į$889)</f>
      </c>
      <c r="IF889">
        <f>IF(ISBLANK('Data Entry'!$İ$889), "", 'Data Entry'!$İ$889)</f>
      </c>
      <c r="IG889">
        <f>IF(ISBLANK('Data Entry'!$ı$889), "", 'Data Entry'!$ı$889)</f>
      </c>
      <c r="IH889">
        <f>IF(ISBLANK('Data Entry'!$Ĳ$889), "", 'Data Entry'!$Ĳ$889)</f>
      </c>
      <c r="II889">
        <f>IF(ISBLANK('Data Entry'!$ĳ$889), "", 'Data Entry'!$ĳ$889)</f>
      </c>
      <c r="IJ889">
        <f>IF(ISBLANK('Data Entry'!$Ĵ$889), "", 'Data Entry'!$Ĵ$889)</f>
      </c>
      <c r="IK889">
        <f>IF(ISBLANK('Data Entry'!$ĵ$889), "", 'Data Entry'!$ĵ$889)</f>
      </c>
      <c r="IL889">
        <f>IF(ISBLANK('Data Entry'!$Ķ$889), "", 'Data Entry'!$Ķ$889)</f>
      </c>
      <c r="IM889">
        <f>IF(ISBLANK('Data Entry'!$ķ$889), "", 'Data Entry'!$ķ$889)</f>
      </c>
      <c r="IN889">
        <f>IF(ISBLANK('Data Entry'!$ĸ$889), "", 'Data Entry'!$ĸ$889)</f>
      </c>
      <c r="IO889">
        <f>IF(ISBLANK('Data Entry'!$Ĺ$889), "", 'Data Entry'!$Ĺ$889)</f>
      </c>
      <c r="IP889">
        <f>IF(ISBLANK('Data Entry'!$ĺ$889), "", 'Data Entry'!$ĺ$889)</f>
      </c>
      <c r="IQ889">
        <f>IF(ISBLANK('Data Entry'!$Ļ$889), "", 'Data Entry'!$Ļ$889)</f>
      </c>
      <c r="IR889">
        <f>IF(ISBLANK('Data Entry'!$ļ$889), "", 'Data Entry'!$ļ$889)</f>
      </c>
      <c r="IS889">
        <f>IF(ISBLANK('Data Entry'!$Ľ$889), "", 'Data Entry'!$Ľ$889)</f>
      </c>
      <c r="IT889">
        <f>IF(ISBLANK('Data Entry'!$ľ$889), "", 'Data Entry'!$ľ$889)</f>
      </c>
    </row>
    <row r="890" spans="1:254" x14ac:dyDescent="0.25">
      <c r="A890">
        <f>IF(ISBLANK('Data Entry'!$A$890), "", 'Data Entry'!$A$890)</f>
      </c>
      <c r="B890">
        <f>IF(ISBLANK('Data Entry'!$B$890), "", 'Data Entry'!$B$890)</f>
      </c>
      <c r="C890">
        <f>IF(ISBLANK('Data Entry'!$C$890), "", 'Data Entry'!$C$890)</f>
      </c>
      <c r="D890">
        <f>IF(ISBLANK('Data Entry'!$D$890), "", 'Data Entry'!$D$890)</f>
      </c>
      <c r="E890">
        <f>IF(ISBLANK('Data Entry'!$E$890), "", 'Data Entry'!$E$890)</f>
      </c>
      <c r="F890">
        <f>IF(ISBLANK('Data Entry'!$F$890), "", 'Data Entry'!$F$890)</f>
      </c>
      <c r="G890">
        <f>IF(ISBLANK('Data Entry'!$G$890), "", 'Data Entry'!$G$890)</f>
      </c>
      <c r="H890">
        <f>IF(ISBLANK('Data Entry'!$H$890), "", 'Data Entry'!$H$890)</f>
      </c>
      <c r="I890">
        <f>IF(ISBLANK('Data Entry'!$I$890), "", 'Data Entry'!$I$890)</f>
      </c>
      <c r="J890">
        <f>IF(ISBLANK('Data Entry'!$J$890), "", 'Data Entry'!$J$890)</f>
      </c>
      <c r="K890">
        <f>IF(ISBLANK('Data Entry'!$K$890), "", 'Data Entry'!$K$890)</f>
      </c>
      <c r="L890">
        <f>IF(ISBLANK('Data Entry'!$L$890), "", 'Data Entry'!$L$890)</f>
      </c>
      <c r="M890">
        <f>IF(ISBLANK('Data Entry'!$M$890), "", 'Data Entry'!$M$890)</f>
      </c>
      <c r="N890">
        <f>IF(ISBLANK('Data Entry'!$N$890), "", 'Data Entry'!$N$890)</f>
      </c>
      <c r="O890">
        <f>IF(ISBLANK('Data Entry'!$O$890), "", 'Data Entry'!$O$890)</f>
      </c>
      <c r="P890">
        <f>IF(ISBLANK('Data Entry'!$P$890), "", 'Data Entry'!$P$890)</f>
      </c>
      <c r="Q890">
        <f>IF(ISBLANK('Data Entry'!$Q$890), "", 'Data Entry'!$Q$890)</f>
      </c>
      <c r="R890">
        <f>IF(ISBLANK('Data Entry'!$R$890), "", 'Data Entry'!$R$890)</f>
      </c>
      <c r="S890">
        <f>IF(ISBLANK('Data Entry'!$S$890), "", 'Data Entry'!$S$890)</f>
      </c>
      <c r="T890">
        <f>IF(ISBLANK('Data Entry'!$T$890), "", 'Data Entry'!$T$890)</f>
      </c>
      <c r="U890">
        <f>IF(ISBLANK('Data Entry'!$U$890), "", 'Data Entry'!$U$890)</f>
      </c>
      <c r="V890">
        <f>IF(ISBLANK('Data Entry'!$V$890), "", 'Data Entry'!$V$890)</f>
      </c>
      <c r="W890">
        <f>IF(ISBLANK('Data Entry'!$W$890), "", 'Data Entry'!$W$890)</f>
      </c>
      <c r="X890">
        <f>IF(ISBLANK('Data Entry'!$X$890), "", 'Data Entry'!$X$890)</f>
      </c>
      <c r="Y890">
        <f>IF(ISBLANK('Data Entry'!$Y$890), "", 'Data Entry'!$Y$890)</f>
      </c>
      <c r="Z890">
        <f>IF(ISBLANK('Data Entry'!$Z$890), "", 'Data Entry'!$Z$890)</f>
      </c>
      <c r="AA890">
        <f>IF(ISBLANK('Data Entry'!$[$890), "", 'Data Entry'!$[$890)</f>
      </c>
      <c r="AB890">
        <f>IF(ISBLANK('Data Entry'!$\$890), "", 'Data Entry'!$\$890)</f>
      </c>
      <c r="AC890">
        <f>IF(ISBLANK('Data Entry'!$]$890), "", 'Data Entry'!$]$890)</f>
      </c>
      <c r="AD890">
        <f>IF(ISBLANK('Data Entry'!$^$890), "", 'Data Entry'!$^$890)</f>
      </c>
      <c r="AE890">
        <f>IF(ISBLANK('Data Entry'!$_$890), "", 'Data Entry'!$_$890)</f>
      </c>
      <c r="AF890">
        <f>IF(ISBLANK('Data Entry'!$`$890), "", 'Data Entry'!$`$890)</f>
      </c>
      <c r="AG890">
        <f>IF(ISBLANK('Data Entry'!$a$890), "", 'Data Entry'!$a$890)</f>
      </c>
      <c r="AH890">
        <f>IF(ISBLANK('Data Entry'!$b$890), "", 'Data Entry'!$b$890)</f>
      </c>
      <c r="AI890">
        <f>IF(ISBLANK('Data Entry'!$c$890), "", 'Data Entry'!$c$890)</f>
      </c>
      <c r="AJ890">
        <f>IF(ISBLANK('Data Entry'!$d$890), "", 'Data Entry'!$d$890)</f>
      </c>
      <c r="AK890">
        <f>IF(ISBLANK('Data Entry'!$e$890), "", 'Data Entry'!$e$890)</f>
      </c>
      <c r="AL890">
        <f>IF(ISBLANK('Data Entry'!$f$890), "", 'Data Entry'!$f$890)</f>
      </c>
      <c r="AM890">
        <f>IF(ISBLANK('Data Entry'!$g$890), "", 'Data Entry'!$g$890)</f>
      </c>
      <c r="AN890">
        <f>IF(ISBLANK('Data Entry'!$h$890), "", 'Data Entry'!$h$890)</f>
      </c>
      <c r="AO890">
        <f>IF(ISBLANK('Data Entry'!$i$890), "", 'Data Entry'!$i$890)</f>
      </c>
      <c r="AP890">
        <f>IF(ISBLANK('Data Entry'!$j$890), "", 'Data Entry'!$j$890)</f>
      </c>
      <c r="AQ890">
        <f>IF(ISBLANK('Data Entry'!$k$890), "", 'Data Entry'!$k$890)</f>
      </c>
      <c r="AR890">
        <f>IF(ISBLANK('Data Entry'!$l$890), "", 'Data Entry'!$l$890)</f>
      </c>
      <c r="AS890">
        <f>IF(ISBLANK('Data Entry'!$m$890), "", 'Data Entry'!$m$890)</f>
      </c>
      <c r="AT890">
        <f>IF(ISBLANK('Data Entry'!$n$890), "", 'Data Entry'!$n$890)</f>
      </c>
      <c r="AU890">
        <f>IF(ISBLANK('Data Entry'!$o$890), "", 'Data Entry'!$o$890)</f>
      </c>
      <c r="AV890">
        <f>IF(ISBLANK('Data Entry'!$p$890), "", 'Data Entry'!$p$890)</f>
      </c>
      <c r="AW890">
        <f>IF(ISBLANK('Data Entry'!$q$890), "", 'Data Entry'!$q$890)</f>
      </c>
      <c r="AX890">
        <f>IF(ISBLANK('Data Entry'!$r$890), "", 'Data Entry'!$r$890)</f>
      </c>
      <c r="AY890">
        <f>IF(ISBLANK('Data Entry'!$s$890), "", 'Data Entry'!$s$890)</f>
      </c>
      <c r="AZ890">
        <f>IF(ISBLANK('Data Entry'!$t$890), "", 'Data Entry'!$t$890)</f>
      </c>
      <c r="BA890">
        <f>IF(ISBLANK('Data Entry'!$u$890), "", 'Data Entry'!$u$890)</f>
      </c>
      <c r="BB890">
        <f>IF(ISBLANK('Data Entry'!$v$890), "", 'Data Entry'!$v$890)</f>
      </c>
      <c r="BC890">
        <f>IF(ISBLANK('Data Entry'!$w$890), "", 'Data Entry'!$w$890)</f>
      </c>
      <c r="BD890">
        <f>IF(ISBLANK('Data Entry'!$x$890), "", 'Data Entry'!$x$890)</f>
      </c>
      <c r="BE890">
        <f>IF(ISBLANK('Data Entry'!$y$890), "", 'Data Entry'!$y$890)</f>
      </c>
      <c r="BF890">
        <f>IF(ISBLANK('Data Entry'!$z$890), "", 'Data Entry'!$z$890)</f>
      </c>
      <c r="BG890">
        <f>IF(ISBLANK('Data Entry'!${$890), "", 'Data Entry'!${$890)</f>
      </c>
      <c r="BH890">
        <f>IF(ISBLANK('Data Entry'!$|$890), "", 'Data Entry'!$|$890)</f>
      </c>
      <c r="BI890">
        <f>IF(ISBLANK('Data Entry'!$}$890), "", 'Data Entry'!$}$890)</f>
      </c>
      <c r="BJ890">
        <f>IF(ISBLANK('Data Entry'!$~$890), "", 'Data Entry'!$~$890)</f>
      </c>
      <c r="BK890">
        <f>IF(ISBLANK('Data Entry'!$$890), "", 'Data Entry'!$$890)</f>
      </c>
      <c r="BL890">
        <f>IF(ISBLANK('Data Entry'!$$890), "", 'Data Entry'!$$890)</f>
      </c>
      <c r="BM890">
        <f>IF(ISBLANK('Data Entry'!$$890), "", 'Data Entry'!$$890)</f>
      </c>
      <c r="BN890">
        <f>IF(ISBLANK('Data Entry'!$$890), "", 'Data Entry'!$$890)</f>
      </c>
      <c r="BO890">
        <f>IF(ISBLANK('Data Entry'!$$890), "", 'Data Entry'!$$890)</f>
      </c>
      <c r="BP890">
        <f>IF(ISBLANK('Data Entry'!$$890), "", 'Data Entry'!$$890)</f>
      </c>
      <c r="BQ890">
        <f>IF(ISBLANK('Data Entry'!$$890), "", 'Data Entry'!$$890)</f>
      </c>
      <c r="BR890">
        <f>IF(ISBLANK('Data Entry'!$$890), "", 'Data Entry'!$$890)</f>
      </c>
      <c r="BS890">
        <f>IF(ISBLANK('Data Entry'!$$890), "", 'Data Entry'!$$890)</f>
      </c>
      <c r="BT890">
        <f>IF(ISBLANK('Data Entry'!$$890), "", 'Data Entry'!$$890)</f>
      </c>
      <c r="BU890">
        <f>IF(ISBLANK('Data Entry'!$$890), "", 'Data Entry'!$$890)</f>
      </c>
      <c r="BV890">
        <f>IF(ISBLANK('Data Entry'!$$890), "", 'Data Entry'!$$890)</f>
      </c>
      <c r="BW890">
        <f>IF(ISBLANK('Data Entry'!$$890), "", 'Data Entry'!$$890)</f>
      </c>
      <c r="BX890">
        <f>IF(ISBLANK('Data Entry'!$$890), "", 'Data Entry'!$$890)</f>
      </c>
      <c r="BY890">
        <f>IF(ISBLANK('Data Entry'!$$890), "", 'Data Entry'!$$890)</f>
      </c>
      <c r="BZ890">
        <f>IF(ISBLANK('Data Entry'!$$890), "", 'Data Entry'!$$890)</f>
      </c>
      <c r="CA890">
        <f>IF(ISBLANK('Data Entry'!$$890), "", 'Data Entry'!$$890)</f>
      </c>
      <c r="CB890">
        <f>IF(ISBLANK('Data Entry'!$$890), "", 'Data Entry'!$$890)</f>
      </c>
      <c r="CC890">
        <f>IF(ISBLANK('Data Entry'!$$890), "", 'Data Entry'!$$890)</f>
      </c>
      <c r="CD890">
        <f>IF(ISBLANK('Data Entry'!$$890), "", 'Data Entry'!$$890)</f>
      </c>
      <c r="CE890">
        <f>IF(ISBLANK('Data Entry'!$$890), "", 'Data Entry'!$$890)</f>
      </c>
      <c r="CF890">
        <f>IF(ISBLANK('Data Entry'!$$890), "", 'Data Entry'!$$890)</f>
      </c>
      <c r="CG890">
        <f>IF(ISBLANK('Data Entry'!$$890), "", 'Data Entry'!$$890)</f>
      </c>
      <c r="CH890">
        <f>IF(ISBLANK('Data Entry'!$$890), "", 'Data Entry'!$$890)</f>
      </c>
      <c r="CI890">
        <f>IF(ISBLANK('Data Entry'!$$890), "", 'Data Entry'!$$890)</f>
      </c>
      <c r="CJ890">
        <f>IF(ISBLANK('Data Entry'!$$890), "", 'Data Entry'!$$890)</f>
      </c>
      <c r="CK890">
        <f>IF(ISBLANK('Data Entry'!$$890), "", 'Data Entry'!$$890)</f>
      </c>
      <c r="CL890">
        <f>IF(ISBLANK('Data Entry'!$$890), "", 'Data Entry'!$$890)</f>
      </c>
      <c r="CM890">
        <f>IF(ISBLANK('Data Entry'!$$890), "", 'Data Entry'!$$890)</f>
      </c>
      <c r="CN890">
        <f>IF(ISBLANK('Data Entry'!$$890), "", 'Data Entry'!$$890)</f>
      </c>
      <c r="CO890">
        <f>IF(ISBLANK('Data Entry'!$$890), "", 'Data Entry'!$$890)</f>
      </c>
      <c r="CP890">
        <f>IF(ISBLANK('Data Entry'!$$890), "", 'Data Entry'!$$890)</f>
      </c>
      <c r="CQ890">
        <f>IF(ISBLANK('Data Entry'!$$890), "", 'Data Entry'!$$890)</f>
      </c>
      <c r="CR890">
        <f>IF(ISBLANK('Data Entry'!$ $890), "", 'Data Entry'!$ $890)</f>
      </c>
      <c r="CS890">
        <f>IF(ISBLANK('Data Entry'!$¡$890), "", 'Data Entry'!$¡$890)</f>
      </c>
      <c r="CT890">
        <f>IF(ISBLANK('Data Entry'!$¢$890), "", 'Data Entry'!$¢$890)</f>
      </c>
      <c r="CU890">
        <f>IF(ISBLANK('Data Entry'!$£$890), "", 'Data Entry'!$£$890)</f>
      </c>
      <c r="CV890">
        <f>IF(ISBLANK('Data Entry'!$¤$890), "", 'Data Entry'!$¤$890)</f>
      </c>
      <c r="CW890">
        <f>IF(ISBLANK('Data Entry'!$¥$890), "", 'Data Entry'!$¥$890)</f>
      </c>
      <c r="CX890">
        <f>IF(ISBLANK('Data Entry'!$¦$890), "", 'Data Entry'!$¦$890)</f>
      </c>
      <c r="CY890">
        <f>IF(ISBLANK('Data Entry'!$§$890), "", 'Data Entry'!$§$890)</f>
      </c>
      <c r="CZ890">
        <f>IF(ISBLANK('Data Entry'!$¨$890), "", 'Data Entry'!$¨$890)</f>
      </c>
      <c r="DA890">
        <f>IF(ISBLANK('Data Entry'!$©$890), "", 'Data Entry'!$©$890)</f>
      </c>
      <c r="DB890">
        <f>IF(ISBLANK('Data Entry'!$ª$890), "", 'Data Entry'!$ª$890)</f>
      </c>
      <c r="DC890">
        <f>IF(ISBLANK('Data Entry'!$«$890), "", 'Data Entry'!$«$890)</f>
      </c>
      <c r="DD890">
        <f>IF(ISBLANK('Data Entry'!$¬$890), "", 'Data Entry'!$¬$890)</f>
      </c>
      <c r="DE890">
        <f>IF(ISBLANK('Data Entry'!$­$890), "", 'Data Entry'!$­$890)</f>
      </c>
      <c r="DF890">
        <f>IF(ISBLANK('Data Entry'!$®$890), "", 'Data Entry'!$®$890)</f>
      </c>
      <c r="DG890">
        <f>IF(ISBLANK('Data Entry'!$¯$890), "", 'Data Entry'!$¯$890)</f>
      </c>
      <c r="DH890">
        <f>IF(ISBLANK('Data Entry'!$°$890), "", 'Data Entry'!$°$890)</f>
      </c>
      <c r="DI890">
        <f>IF(ISBLANK('Data Entry'!$±$890), "", 'Data Entry'!$±$890)</f>
      </c>
      <c r="DJ890">
        <f>IF(ISBLANK('Data Entry'!$²$890), "", 'Data Entry'!$²$890)</f>
      </c>
      <c r="DK890">
        <f>IF(ISBLANK('Data Entry'!$³$890), "", 'Data Entry'!$³$890)</f>
      </c>
      <c r="DL890">
        <f>IF(ISBLANK('Data Entry'!$´$890), "", 'Data Entry'!$´$890)</f>
      </c>
      <c r="DM890">
        <f>IF(ISBLANK('Data Entry'!$µ$890), "", 'Data Entry'!$µ$890)</f>
      </c>
      <c r="DN890">
        <f>IF(ISBLANK('Data Entry'!$¶$890), "", 'Data Entry'!$¶$890)</f>
      </c>
      <c r="DO890">
        <f>IF(ISBLANK('Data Entry'!$·$890), "", 'Data Entry'!$·$890)</f>
      </c>
      <c r="DP890">
        <f>IF(ISBLANK('Data Entry'!$¸$890), "", 'Data Entry'!$¸$890)</f>
      </c>
      <c r="DQ890">
        <f>IF(ISBLANK('Data Entry'!$¹$890), "", 'Data Entry'!$¹$890)</f>
      </c>
      <c r="DR890">
        <f>IF(ISBLANK('Data Entry'!$º$890), "", 'Data Entry'!$º$890)</f>
      </c>
      <c r="DS890">
        <f>IF(ISBLANK('Data Entry'!$»$890), "", 'Data Entry'!$»$890)</f>
      </c>
      <c r="DT890">
        <f>IF(ISBLANK('Data Entry'!$¼$890), "", 'Data Entry'!$¼$890)</f>
      </c>
      <c r="DU890">
        <f>IF(ISBLANK('Data Entry'!$½$890), "", 'Data Entry'!$½$890)</f>
      </c>
      <c r="DV890">
        <f>IF(ISBLANK('Data Entry'!$¾$890), "", 'Data Entry'!$¾$890)</f>
      </c>
      <c r="DW890">
        <f>IF(ISBLANK('Data Entry'!$¿$890), "", 'Data Entry'!$¿$890)</f>
      </c>
      <c r="DX890">
        <f>IF(ISBLANK('Data Entry'!$À$890), "", 'Data Entry'!$À$890)</f>
      </c>
      <c r="DY890">
        <f>IF(ISBLANK('Data Entry'!$Á$890), "", 'Data Entry'!$Á$890)</f>
      </c>
      <c r="DZ890">
        <f>IF(ISBLANK('Data Entry'!$Â$890), "", 'Data Entry'!$Â$890)</f>
      </c>
      <c r="EA890">
        <f>IF(ISBLANK('Data Entry'!$Ã$890), "", 'Data Entry'!$Ã$890)</f>
      </c>
      <c r="EB890">
        <f>IF(ISBLANK('Data Entry'!$Ä$890), "", 'Data Entry'!$Ä$890)</f>
      </c>
      <c r="EC890">
        <f>IF(ISBLANK('Data Entry'!$Å$890), "", 'Data Entry'!$Å$890)</f>
      </c>
      <c r="ED890">
        <f>IF(ISBLANK('Data Entry'!$Æ$890), "", 'Data Entry'!$Æ$890)</f>
      </c>
      <c r="EE890">
        <f>IF(ISBLANK('Data Entry'!$Ç$890), "", 'Data Entry'!$Ç$890)</f>
      </c>
      <c r="EF890">
        <f>IF(ISBLANK('Data Entry'!$È$890), "", 'Data Entry'!$È$890)</f>
      </c>
      <c r="EG890">
        <f>IF(ISBLANK('Data Entry'!$É$890), "", 'Data Entry'!$É$890)</f>
      </c>
      <c r="EH890">
        <f>IF(ISBLANK('Data Entry'!$Ê$890), "", 'Data Entry'!$Ê$890)</f>
      </c>
      <c r="EI890">
        <f>IF(ISBLANK('Data Entry'!$Ë$890), "", 'Data Entry'!$Ë$890)</f>
      </c>
      <c r="EJ890">
        <f>IF(ISBLANK('Data Entry'!$Ì$890), "", 'Data Entry'!$Ì$890)</f>
      </c>
      <c r="EK890">
        <f>IF(ISBLANK('Data Entry'!$Í$890), "", 'Data Entry'!$Í$890)</f>
      </c>
      <c r="EL890">
        <f>IF(ISBLANK('Data Entry'!$Î$890), "", 'Data Entry'!$Î$890)</f>
      </c>
      <c r="EM890">
        <f>IF(ISBLANK('Data Entry'!$Ï$890), "", 'Data Entry'!$Ï$890)</f>
      </c>
      <c r="EN890">
        <f>IF(ISBLANK('Data Entry'!$Ð$890), "", 'Data Entry'!$Ð$890)</f>
      </c>
      <c r="EO890">
        <f>IF(ISBLANK('Data Entry'!$Ñ$890), "", 'Data Entry'!$Ñ$890)</f>
      </c>
      <c r="EP890">
        <f>IF(ISBLANK('Data Entry'!$Ò$890), "", 'Data Entry'!$Ò$890)</f>
      </c>
      <c r="EQ890">
        <f>IF(ISBLANK('Data Entry'!$Ó$890), "", 'Data Entry'!$Ó$890)</f>
      </c>
      <c r="ER890">
        <f>IF(ISBLANK('Data Entry'!$Ô$890), "", 'Data Entry'!$Ô$890)</f>
      </c>
      <c r="ES890">
        <f>IF(ISBLANK('Data Entry'!$Õ$890), "", 'Data Entry'!$Õ$890)</f>
      </c>
      <c r="ET890">
        <f>IF(ISBLANK('Data Entry'!$Ö$890), "", 'Data Entry'!$Ö$890)</f>
      </c>
      <c r="EU890">
        <f>IF(ISBLANK('Data Entry'!$×$890), "", 'Data Entry'!$×$890)</f>
      </c>
      <c r="EV890">
        <f>IF(ISBLANK('Data Entry'!$Ø$890), "", 'Data Entry'!$Ø$890)</f>
      </c>
      <c r="EW890">
        <f>IF(ISBLANK('Data Entry'!$Ù$890), "", 'Data Entry'!$Ù$890)</f>
      </c>
      <c r="EX890">
        <f>IF(ISBLANK('Data Entry'!$Ú$890), "", 'Data Entry'!$Ú$890)</f>
      </c>
      <c r="EY890">
        <f>IF(ISBLANK('Data Entry'!$Û$890), "", 'Data Entry'!$Û$890)</f>
      </c>
      <c r="EZ890">
        <f>IF(ISBLANK('Data Entry'!$Ü$890), "", 'Data Entry'!$Ü$890)</f>
      </c>
      <c r="FA890">
        <f>IF(ISBLANK('Data Entry'!$Ý$890), "", 'Data Entry'!$Ý$890)</f>
      </c>
      <c r="FB890">
        <f>IF(ISBLANK('Data Entry'!$Þ$890), "", 'Data Entry'!$Þ$890)</f>
      </c>
      <c r="FC890">
        <f>IF(ISBLANK('Data Entry'!$ß$890), "", 'Data Entry'!$ß$890)</f>
      </c>
      <c r="FD890">
        <f>IF(ISBLANK('Data Entry'!$à$890), "", 'Data Entry'!$à$890)</f>
      </c>
      <c r="FE890">
        <f>IF(ISBLANK('Data Entry'!$á$890), "", 'Data Entry'!$á$890)</f>
      </c>
      <c r="FF890">
        <f>IF(ISBLANK('Data Entry'!$â$890), "", 'Data Entry'!$â$890)</f>
      </c>
      <c r="FG890">
        <f>IF(ISBLANK('Data Entry'!$ã$890), "", 'Data Entry'!$ã$890)</f>
      </c>
      <c r="FH890">
        <f>IF(ISBLANK('Data Entry'!$ä$890), "", 'Data Entry'!$ä$890)</f>
      </c>
      <c r="FI890">
        <f>IF(ISBLANK('Data Entry'!$å$890), "", 'Data Entry'!$å$890)</f>
      </c>
      <c r="FJ890">
        <f>IF(ISBLANK('Data Entry'!$æ$890), "", 'Data Entry'!$æ$890)</f>
      </c>
      <c r="FK890">
        <f>IF(ISBLANK('Data Entry'!$ç$890), "", 'Data Entry'!$ç$890)</f>
      </c>
      <c r="FL890">
        <f>IF(ISBLANK('Data Entry'!$è$890), "", 'Data Entry'!$è$890)</f>
      </c>
      <c r="FM890">
        <f>IF(ISBLANK('Data Entry'!$é$890), "", 'Data Entry'!$é$890)</f>
      </c>
      <c r="FN890">
        <f>IF(ISBLANK('Data Entry'!$ê$890), "", 'Data Entry'!$ê$890)</f>
      </c>
      <c r="FO890">
        <f>IF(ISBLANK('Data Entry'!$ë$890), "", 'Data Entry'!$ë$890)</f>
      </c>
      <c r="FP890">
        <f>IF(ISBLANK('Data Entry'!$ì$890), "", 'Data Entry'!$ì$890)</f>
      </c>
      <c r="FQ890">
        <f>IF(ISBLANK('Data Entry'!$í$890), "", 'Data Entry'!$í$890)</f>
      </c>
      <c r="FR890">
        <f>IF(ISBLANK('Data Entry'!$î$890), "", 'Data Entry'!$î$890)</f>
      </c>
      <c r="FS890">
        <f>IF(ISBLANK('Data Entry'!$ï$890), "", 'Data Entry'!$ï$890)</f>
      </c>
      <c r="FT890">
        <f>IF(ISBLANK('Data Entry'!$ð$890), "", 'Data Entry'!$ð$890)</f>
      </c>
      <c r="FU890">
        <f>IF(ISBLANK('Data Entry'!$ñ$890), "", 'Data Entry'!$ñ$890)</f>
      </c>
      <c r="FV890">
        <f>IF(ISBLANK('Data Entry'!$ò$890), "", 'Data Entry'!$ò$890)</f>
      </c>
      <c r="FW890">
        <f>IF(ISBLANK('Data Entry'!$ó$890), "", 'Data Entry'!$ó$890)</f>
      </c>
      <c r="FX890">
        <f>IF(ISBLANK('Data Entry'!$ô$890), "", 'Data Entry'!$ô$890)</f>
      </c>
      <c r="FY890">
        <f>IF(ISBLANK('Data Entry'!$õ$890), "", 'Data Entry'!$õ$890)</f>
      </c>
      <c r="FZ890">
        <f>IF(ISBLANK('Data Entry'!$ö$890), "", 'Data Entry'!$ö$890)</f>
      </c>
      <c r="GA890">
        <f>IF(ISBLANK('Data Entry'!$÷$890), "", 'Data Entry'!$÷$890)</f>
      </c>
      <c r="GB890">
        <f>IF(ISBLANK('Data Entry'!$ø$890), "", 'Data Entry'!$ø$890)</f>
      </c>
      <c r="GC890">
        <f>IF(ISBLANK('Data Entry'!$ù$890), "", 'Data Entry'!$ù$890)</f>
      </c>
      <c r="GD890">
        <f>IF(ISBLANK('Data Entry'!$ú$890), "", 'Data Entry'!$ú$890)</f>
      </c>
      <c r="GE890">
        <f>IF(ISBLANK('Data Entry'!$û$890), "", 'Data Entry'!$û$890)</f>
      </c>
      <c r="GF890">
        <f>IF(ISBLANK('Data Entry'!$ü$890), "", 'Data Entry'!$ü$890)</f>
      </c>
      <c r="GG890">
        <f>IF(ISBLANK('Data Entry'!$ý$890), "", 'Data Entry'!$ý$890)</f>
      </c>
      <c r="GH890">
        <f>IF(ISBLANK('Data Entry'!$þ$890), "", 'Data Entry'!$þ$890)</f>
      </c>
      <c r="GI890">
        <f>IF(ISBLANK('Data Entry'!$ÿ$890), "", 'Data Entry'!$ÿ$890)</f>
      </c>
      <c r="GJ890">
        <f>IF(ISBLANK('Data Entry'!$Ā$890), "", 'Data Entry'!$Ā$890)</f>
      </c>
      <c r="GK890">
        <f>IF(ISBLANK('Data Entry'!$ā$890), "", 'Data Entry'!$ā$890)</f>
      </c>
      <c r="GL890">
        <f>IF(ISBLANK('Data Entry'!$Ă$890), "", 'Data Entry'!$Ă$890)</f>
      </c>
      <c r="GM890">
        <f>IF(ISBLANK('Data Entry'!$ă$890), "", 'Data Entry'!$ă$890)</f>
      </c>
      <c r="GN890">
        <f>IF(ISBLANK('Data Entry'!$Ą$890), "", 'Data Entry'!$Ą$890)</f>
      </c>
      <c r="GO890">
        <f>IF(ISBLANK('Data Entry'!$ą$890), "", 'Data Entry'!$ą$890)</f>
      </c>
      <c r="GP890">
        <f>IF(ISBLANK('Data Entry'!$Ć$890), "", 'Data Entry'!$Ć$890)</f>
      </c>
      <c r="GQ890">
        <f>IF(ISBLANK('Data Entry'!$ć$890), "", 'Data Entry'!$ć$890)</f>
      </c>
      <c r="GR890">
        <f>IF(ISBLANK('Data Entry'!$Ĉ$890), "", 'Data Entry'!$Ĉ$890)</f>
      </c>
      <c r="GS890">
        <f>IF(ISBLANK('Data Entry'!$ĉ$890), "", 'Data Entry'!$ĉ$890)</f>
      </c>
      <c r="GT890">
        <f>IF(ISBLANK('Data Entry'!$Ċ$890), "", 'Data Entry'!$Ċ$890)</f>
      </c>
      <c r="GU890">
        <f>IF(ISBLANK('Data Entry'!$ċ$890), "", 'Data Entry'!$ċ$890)</f>
      </c>
      <c r="GV890">
        <f>IF(ISBLANK('Data Entry'!$Č$890), "", 'Data Entry'!$Č$890)</f>
      </c>
      <c r="GW890">
        <f>IF(ISBLANK('Data Entry'!$č$890), "", 'Data Entry'!$č$890)</f>
      </c>
      <c r="GX890">
        <f>IF(ISBLANK('Data Entry'!$Ď$890), "", 'Data Entry'!$Ď$890)</f>
      </c>
      <c r="GY890">
        <f>IF(ISBLANK('Data Entry'!$ď$890), "", 'Data Entry'!$ď$890)</f>
      </c>
      <c r="GZ890">
        <f>IF(ISBLANK('Data Entry'!$Đ$890), "", 'Data Entry'!$Đ$890)</f>
      </c>
      <c r="HA890">
        <f>IF(ISBLANK('Data Entry'!$đ$890), "", 'Data Entry'!$đ$890)</f>
      </c>
      <c r="HB890">
        <f>IF(ISBLANK('Data Entry'!$Ē$890), "", 'Data Entry'!$Ē$890)</f>
      </c>
      <c r="HC890">
        <f>IF(ISBLANK('Data Entry'!$ē$890), "", 'Data Entry'!$ē$890)</f>
      </c>
      <c r="HD890">
        <f>IF(ISBLANK('Data Entry'!$Ĕ$890), "", 'Data Entry'!$Ĕ$890)</f>
      </c>
      <c r="HE890">
        <f>IF(ISBLANK('Data Entry'!$ĕ$890), "", 'Data Entry'!$ĕ$890)</f>
      </c>
      <c r="HF890">
        <f>IF(ISBLANK('Data Entry'!$Ė$890), "", 'Data Entry'!$Ė$890)</f>
      </c>
      <c r="HG890">
        <f>IF(ISBLANK('Data Entry'!$ė$890), "", 'Data Entry'!$ė$890)</f>
      </c>
      <c r="HH890">
        <f>IF(ISBLANK('Data Entry'!$Ę$890), "", 'Data Entry'!$Ę$890)</f>
      </c>
      <c r="HI890">
        <f>IF(ISBLANK('Data Entry'!$ę$890), "", 'Data Entry'!$ę$890)</f>
      </c>
      <c r="HJ890">
        <f>IF(ISBLANK('Data Entry'!$Ě$890), "", 'Data Entry'!$Ě$890)</f>
      </c>
      <c r="HK890">
        <f>IF(ISBLANK('Data Entry'!$ě$890), "", 'Data Entry'!$ě$890)</f>
      </c>
      <c r="HL890">
        <f>IF(ISBLANK('Data Entry'!$Ĝ$890), "", 'Data Entry'!$Ĝ$890)</f>
      </c>
      <c r="HM890">
        <f>IF(ISBLANK('Data Entry'!$ĝ$890), "", 'Data Entry'!$ĝ$890)</f>
      </c>
      <c r="HN890">
        <f>IF(ISBLANK('Data Entry'!$Ğ$890), "", 'Data Entry'!$Ğ$890)</f>
      </c>
      <c r="HO890">
        <f>IF(ISBLANK('Data Entry'!$ğ$890), "", 'Data Entry'!$ğ$890)</f>
      </c>
      <c r="HP890">
        <f>IF(ISBLANK('Data Entry'!$Ġ$890), "", 'Data Entry'!$Ġ$890)</f>
      </c>
      <c r="HQ890">
        <f>IF(ISBLANK('Data Entry'!$ġ$890), "", 'Data Entry'!$ġ$890)</f>
      </c>
      <c r="HR890">
        <f>IF(ISBLANK('Data Entry'!$Ģ$890), "", 'Data Entry'!$Ģ$890)</f>
      </c>
      <c r="HS890">
        <f>IF(ISBLANK('Data Entry'!$ģ$890), "", 'Data Entry'!$ģ$890)</f>
      </c>
      <c r="HT890">
        <f>IF(ISBLANK('Data Entry'!$Ĥ$890), "", 'Data Entry'!$Ĥ$890)</f>
      </c>
      <c r="HU890">
        <f>IF(ISBLANK('Data Entry'!$ĥ$890), "", 'Data Entry'!$ĥ$890)</f>
      </c>
      <c r="HV890">
        <f>IF(ISBLANK('Data Entry'!$Ħ$890), "", 'Data Entry'!$Ħ$890)</f>
      </c>
      <c r="HW890">
        <f>IF(ISBLANK('Data Entry'!$ħ$890), "", 'Data Entry'!$ħ$890)</f>
      </c>
      <c r="HX890">
        <f>IF(ISBLANK('Data Entry'!$Ĩ$890), "", 'Data Entry'!$Ĩ$890)</f>
      </c>
      <c r="HY890">
        <f>IF(ISBLANK('Data Entry'!$ĩ$890), "", 'Data Entry'!$ĩ$890)</f>
      </c>
      <c r="HZ890">
        <f>IF(ISBLANK('Data Entry'!$Ī$890), "", 'Data Entry'!$Ī$890)</f>
      </c>
      <c r="IA890">
        <f>IF(ISBLANK('Data Entry'!$ī$890), "", 'Data Entry'!$ī$890)</f>
      </c>
      <c r="IB890">
        <f>IF(ISBLANK('Data Entry'!$Ĭ$890), "", 'Data Entry'!$Ĭ$890)</f>
      </c>
      <c r="IC890">
        <f>IF(ISBLANK('Data Entry'!$ĭ$890), "", 'Data Entry'!$ĭ$890)</f>
      </c>
      <c r="ID890">
        <f>IF(ISBLANK('Data Entry'!$Į$890), "", 'Data Entry'!$Į$890)</f>
      </c>
      <c r="IE890">
        <f>IF(ISBLANK('Data Entry'!$į$890), "", 'Data Entry'!$į$890)</f>
      </c>
      <c r="IF890">
        <f>IF(ISBLANK('Data Entry'!$İ$890), "", 'Data Entry'!$İ$890)</f>
      </c>
      <c r="IG890">
        <f>IF(ISBLANK('Data Entry'!$ı$890), "", 'Data Entry'!$ı$890)</f>
      </c>
      <c r="IH890">
        <f>IF(ISBLANK('Data Entry'!$Ĳ$890), "", 'Data Entry'!$Ĳ$890)</f>
      </c>
      <c r="II890">
        <f>IF(ISBLANK('Data Entry'!$ĳ$890), "", 'Data Entry'!$ĳ$890)</f>
      </c>
      <c r="IJ890">
        <f>IF(ISBLANK('Data Entry'!$Ĵ$890), "", 'Data Entry'!$Ĵ$890)</f>
      </c>
      <c r="IK890">
        <f>IF(ISBLANK('Data Entry'!$ĵ$890), "", 'Data Entry'!$ĵ$890)</f>
      </c>
      <c r="IL890">
        <f>IF(ISBLANK('Data Entry'!$Ķ$890), "", 'Data Entry'!$Ķ$890)</f>
      </c>
      <c r="IM890">
        <f>IF(ISBLANK('Data Entry'!$ķ$890), "", 'Data Entry'!$ķ$890)</f>
      </c>
      <c r="IN890">
        <f>IF(ISBLANK('Data Entry'!$ĸ$890), "", 'Data Entry'!$ĸ$890)</f>
      </c>
      <c r="IO890">
        <f>IF(ISBLANK('Data Entry'!$Ĺ$890), "", 'Data Entry'!$Ĺ$890)</f>
      </c>
      <c r="IP890">
        <f>IF(ISBLANK('Data Entry'!$ĺ$890), "", 'Data Entry'!$ĺ$890)</f>
      </c>
      <c r="IQ890">
        <f>IF(ISBLANK('Data Entry'!$Ļ$890), "", 'Data Entry'!$Ļ$890)</f>
      </c>
      <c r="IR890">
        <f>IF(ISBLANK('Data Entry'!$ļ$890), "", 'Data Entry'!$ļ$890)</f>
      </c>
      <c r="IS890">
        <f>IF(ISBLANK('Data Entry'!$Ľ$890), "", 'Data Entry'!$Ľ$890)</f>
      </c>
      <c r="IT890">
        <f>IF(ISBLANK('Data Entry'!$ľ$890), "", 'Data Entry'!$ľ$890)</f>
      </c>
    </row>
    <row r="891" spans="1:254" x14ac:dyDescent="0.25">
      <c r="A891">
        <f>IF(ISBLANK('Data Entry'!$A$891), "", 'Data Entry'!$A$891)</f>
      </c>
      <c r="B891">
        <f>IF(ISBLANK('Data Entry'!$B$891), "", 'Data Entry'!$B$891)</f>
      </c>
      <c r="C891">
        <f>IF(ISBLANK('Data Entry'!$C$891), "", 'Data Entry'!$C$891)</f>
      </c>
      <c r="D891">
        <f>IF(ISBLANK('Data Entry'!$D$891), "", 'Data Entry'!$D$891)</f>
      </c>
      <c r="E891">
        <f>IF(ISBLANK('Data Entry'!$E$891), "", 'Data Entry'!$E$891)</f>
      </c>
      <c r="F891">
        <f>IF(ISBLANK('Data Entry'!$F$891), "", 'Data Entry'!$F$891)</f>
      </c>
      <c r="G891">
        <f>IF(ISBLANK('Data Entry'!$G$891), "", 'Data Entry'!$G$891)</f>
      </c>
      <c r="H891">
        <f>IF(ISBLANK('Data Entry'!$H$891), "", 'Data Entry'!$H$891)</f>
      </c>
      <c r="I891">
        <f>IF(ISBLANK('Data Entry'!$I$891), "", 'Data Entry'!$I$891)</f>
      </c>
      <c r="J891">
        <f>IF(ISBLANK('Data Entry'!$J$891), "", 'Data Entry'!$J$891)</f>
      </c>
      <c r="K891">
        <f>IF(ISBLANK('Data Entry'!$K$891), "", 'Data Entry'!$K$891)</f>
      </c>
      <c r="L891">
        <f>IF(ISBLANK('Data Entry'!$L$891), "", 'Data Entry'!$L$891)</f>
      </c>
      <c r="M891">
        <f>IF(ISBLANK('Data Entry'!$M$891), "", 'Data Entry'!$M$891)</f>
      </c>
      <c r="N891">
        <f>IF(ISBLANK('Data Entry'!$N$891), "", 'Data Entry'!$N$891)</f>
      </c>
      <c r="O891">
        <f>IF(ISBLANK('Data Entry'!$O$891), "", 'Data Entry'!$O$891)</f>
      </c>
      <c r="P891">
        <f>IF(ISBLANK('Data Entry'!$P$891), "", 'Data Entry'!$P$891)</f>
      </c>
      <c r="Q891">
        <f>IF(ISBLANK('Data Entry'!$Q$891), "", 'Data Entry'!$Q$891)</f>
      </c>
      <c r="R891">
        <f>IF(ISBLANK('Data Entry'!$R$891), "", 'Data Entry'!$R$891)</f>
      </c>
      <c r="S891">
        <f>IF(ISBLANK('Data Entry'!$S$891), "", 'Data Entry'!$S$891)</f>
      </c>
      <c r="T891">
        <f>IF(ISBLANK('Data Entry'!$T$891), "", 'Data Entry'!$T$891)</f>
      </c>
      <c r="U891">
        <f>IF(ISBLANK('Data Entry'!$U$891), "", 'Data Entry'!$U$891)</f>
      </c>
      <c r="V891">
        <f>IF(ISBLANK('Data Entry'!$V$891), "", 'Data Entry'!$V$891)</f>
      </c>
      <c r="W891">
        <f>IF(ISBLANK('Data Entry'!$W$891), "", 'Data Entry'!$W$891)</f>
      </c>
      <c r="X891">
        <f>IF(ISBLANK('Data Entry'!$X$891), "", 'Data Entry'!$X$891)</f>
      </c>
      <c r="Y891">
        <f>IF(ISBLANK('Data Entry'!$Y$891), "", 'Data Entry'!$Y$891)</f>
      </c>
      <c r="Z891">
        <f>IF(ISBLANK('Data Entry'!$Z$891), "", 'Data Entry'!$Z$891)</f>
      </c>
      <c r="AA891">
        <f>IF(ISBLANK('Data Entry'!$[$891), "", 'Data Entry'!$[$891)</f>
      </c>
      <c r="AB891">
        <f>IF(ISBLANK('Data Entry'!$\$891), "", 'Data Entry'!$\$891)</f>
      </c>
      <c r="AC891">
        <f>IF(ISBLANK('Data Entry'!$]$891), "", 'Data Entry'!$]$891)</f>
      </c>
      <c r="AD891">
        <f>IF(ISBLANK('Data Entry'!$^$891), "", 'Data Entry'!$^$891)</f>
      </c>
      <c r="AE891">
        <f>IF(ISBLANK('Data Entry'!$_$891), "", 'Data Entry'!$_$891)</f>
      </c>
      <c r="AF891">
        <f>IF(ISBLANK('Data Entry'!$`$891), "", 'Data Entry'!$`$891)</f>
      </c>
      <c r="AG891">
        <f>IF(ISBLANK('Data Entry'!$a$891), "", 'Data Entry'!$a$891)</f>
      </c>
      <c r="AH891">
        <f>IF(ISBLANK('Data Entry'!$b$891), "", 'Data Entry'!$b$891)</f>
      </c>
      <c r="AI891">
        <f>IF(ISBLANK('Data Entry'!$c$891), "", 'Data Entry'!$c$891)</f>
      </c>
      <c r="AJ891">
        <f>IF(ISBLANK('Data Entry'!$d$891), "", 'Data Entry'!$d$891)</f>
      </c>
      <c r="AK891">
        <f>IF(ISBLANK('Data Entry'!$e$891), "", 'Data Entry'!$e$891)</f>
      </c>
      <c r="AL891">
        <f>IF(ISBLANK('Data Entry'!$f$891), "", 'Data Entry'!$f$891)</f>
      </c>
      <c r="AM891">
        <f>IF(ISBLANK('Data Entry'!$g$891), "", 'Data Entry'!$g$891)</f>
      </c>
      <c r="AN891">
        <f>IF(ISBLANK('Data Entry'!$h$891), "", 'Data Entry'!$h$891)</f>
      </c>
      <c r="AO891">
        <f>IF(ISBLANK('Data Entry'!$i$891), "", 'Data Entry'!$i$891)</f>
      </c>
      <c r="AP891">
        <f>IF(ISBLANK('Data Entry'!$j$891), "", 'Data Entry'!$j$891)</f>
      </c>
      <c r="AQ891">
        <f>IF(ISBLANK('Data Entry'!$k$891), "", 'Data Entry'!$k$891)</f>
      </c>
      <c r="AR891">
        <f>IF(ISBLANK('Data Entry'!$l$891), "", 'Data Entry'!$l$891)</f>
      </c>
      <c r="AS891">
        <f>IF(ISBLANK('Data Entry'!$m$891), "", 'Data Entry'!$m$891)</f>
      </c>
      <c r="AT891">
        <f>IF(ISBLANK('Data Entry'!$n$891), "", 'Data Entry'!$n$891)</f>
      </c>
      <c r="AU891">
        <f>IF(ISBLANK('Data Entry'!$o$891), "", 'Data Entry'!$o$891)</f>
      </c>
      <c r="AV891">
        <f>IF(ISBLANK('Data Entry'!$p$891), "", 'Data Entry'!$p$891)</f>
      </c>
      <c r="AW891">
        <f>IF(ISBLANK('Data Entry'!$q$891), "", 'Data Entry'!$q$891)</f>
      </c>
      <c r="AX891">
        <f>IF(ISBLANK('Data Entry'!$r$891), "", 'Data Entry'!$r$891)</f>
      </c>
      <c r="AY891">
        <f>IF(ISBLANK('Data Entry'!$s$891), "", 'Data Entry'!$s$891)</f>
      </c>
      <c r="AZ891">
        <f>IF(ISBLANK('Data Entry'!$t$891), "", 'Data Entry'!$t$891)</f>
      </c>
      <c r="BA891">
        <f>IF(ISBLANK('Data Entry'!$u$891), "", 'Data Entry'!$u$891)</f>
      </c>
      <c r="BB891">
        <f>IF(ISBLANK('Data Entry'!$v$891), "", 'Data Entry'!$v$891)</f>
      </c>
      <c r="BC891">
        <f>IF(ISBLANK('Data Entry'!$w$891), "", 'Data Entry'!$w$891)</f>
      </c>
      <c r="BD891">
        <f>IF(ISBLANK('Data Entry'!$x$891), "", 'Data Entry'!$x$891)</f>
      </c>
      <c r="BE891">
        <f>IF(ISBLANK('Data Entry'!$y$891), "", 'Data Entry'!$y$891)</f>
      </c>
      <c r="BF891">
        <f>IF(ISBLANK('Data Entry'!$z$891), "", 'Data Entry'!$z$891)</f>
      </c>
      <c r="BG891">
        <f>IF(ISBLANK('Data Entry'!${$891), "", 'Data Entry'!${$891)</f>
      </c>
      <c r="BH891">
        <f>IF(ISBLANK('Data Entry'!$|$891), "", 'Data Entry'!$|$891)</f>
      </c>
      <c r="BI891">
        <f>IF(ISBLANK('Data Entry'!$}$891), "", 'Data Entry'!$}$891)</f>
      </c>
      <c r="BJ891">
        <f>IF(ISBLANK('Data Entry'!$~$891), "", 'Data Entry'!$~$891)</f>
      </c>
      <c r="BK891">
        <f>IF(ISBLANK('Data Entry'!$$891), "", 'Data Entry'!$$891)</f>
      </c>
      <c r="BL891">
        <f>IF(ISBLANK('Data Entry'!$$891), "", 'Data Entry'!$$891)</f>
      </c>
      <c r="BM891">
        <f>IF(ISBLANK('Data Entry'!$$891), "", 'Data Entry'!$$891)</f>
      </c>
      <c r="BN891">
        <f>IF(ISBLANK('Data Entry'!$$891), "", 'Data Entry'!$$891)</f>
      </c>
      <c r="BO891">
        <f>IF(ISBLANK('Data Entry'!$$891), "", 'Data Entry'!$$891)</f>
      </c>
      <c r="BP891">
        <f>IF(ISBLANK('Data Entry'!$$891), "", 'Data Entry'!$$891)</f>
      </c>
      <c r="BQ891">
        <f>IF(ISBLANK('Data Entry'!$$891), "", 'Data Entry'!$$891)</f>
      </c>
      <c r="BR891">
        <f>IF(ISBLANK('Data Entry'!$$891), "", 'Data Entry'!$$891)</f>
      </c>
      <c r="BS891">
        <f>IF(ISBLANK('Data Entry'!$$891), "", 'Data Entry'!$$891)</f>
      </c>
      <c r="BT891">
        <f>IF(ISBLANK('Data Entry'!$$891), "", 'Data Entry'!$$891)</f>
      </c>
      <c r="BU891">
        <f>IF(ISBLANK('Data Entry'!$$891), "", 'Data Entry'!$$891)</f>
      </c>
      <c r="BV891">
        <f>IF(ISBLANK('Data Entry'!$$891), "", 'Data Entry'!$$891)</f>
      </c>
      <c r="BW891">
        <f>IF(ISBLANK('Data Entry'!$$891), "", 'Data Entry'!$$891)</f>
      </c>
      <c r="BX891">
        <f>IF(ISBLANK('Data Entry'!$$891), "", 'Data Entry'!$$891)</f>
      </c>
      <c r="BY891">
        <f>IF(ISBLANK('Data Entry'!$$891), "", 'Data Entry'!$$891)</f>
      </c>
      <c r="BZ891">
        <f>IF(ISBLANK('Data Entry'!$$891), "", 'Data Entry'!$$891)</f>
      </c>
      <c r="CA891">
        <f>IF(ISBLANK('Data Entry'!$$891), "", 'Data Entry'!$$891)</f>
      </c>
      <c r="CB891">
        <f>IF(ISBLANK('Data Entry'!$$891), "", 'Data Entry'!$$891)</f>
      </c>
      <c r="CC891">
        <f>IF(ISBLANK('Data Entry'!$$891), "", 'Data Entry'!$$891)</f>
      </c>
      <c r="CD891">
        <f>IF(ISBLANK('Data Entry'!$$891), "", 'Data Entry'!$$891)</f>
      </c>
      <c r="CE891">
        <f>IF(ISBLANK('Data Entry'!$$891), "", 'Data Entry'!$$891)</f>
      </c>
      <c r="CF891">
        <f>IF(ISBLANK('Data Entry'!$$891), "", 'Data Entry'!$$891)</f>
      </c>
      <c r="CG891">
        <f>IF(ISBLANK('Data Entry'!$$891), "", 'Data Entry'!$$891)</f>
      </c>
      <c r="CH891">
        <f>IF(ISBLANK('Data Entry'!$$891), "", 'Data Entry'!$$891)</f>
      </c>
      <c r="CI891">
        <f>IF(ISBLANK('Data Entry'!$$891), "", 'Data Entry'!$$891)</f>
      </c>
      <c r="CJ891">
        <f>IF(ISBLANK('Data Entry'!$$891), "", 'Data Entry'!$$891)</f>
      </c>
      <c r="CK891">
        <f>IF(ISBLANK('Data Entry'!$$891), "", 'Data Entry'!$$891)</f>
      </c>
      <c r="CL891">
        <f>IF(ISBLANK('Data Entry'!$$891), "", 'Data Entry'!$$891)</f>
      </c>
      <c r="CM891">
        <f>IF(ISBLANK('Data Entry'!$$891), "", 'Data Entry'!$$891)</f>
      </c>
      <c r="CN891">
        <f>IF(ISBLANK('Data Entry'!$$891), "", 'Data Entry'!$$891)</f>
      </c>
      <c r="CO891">
        <f>IF(ISBLANK('Data Entry'!$$891), "", 'Data Entry'!$$891)</f>
      </c>
      <c r="CP891">
        <f>IF(ISBLANK('Data Entry'!$$891), "", 'Data Entry'!$$891)</f>
      </c>
      <c r="CQ891">
        <f>IF(ISBLANK('Data Entry'!$$891), "", 'Data Entry'!$$891)</f>
      </c>
      <c r="CR891">
        <f>IF(ISBLANK('Data Entry'!$ $891), "", 'Data Entry'!$ $891)</f>
      </c>
      <c r="CS891">
        <f>IF(ISBLANK('Data Entry'!$¡$891), "", 'Data Entry'!$¡$891)</f>
      </c>
      <c r="CT891">
        <f>IF(ISBLANK('Data Entry'!$¢$891), "", 'Data Entry'!$¢$891)</f>
      </c>
      <c r="CU891">
        <f>IF(ISBLANK('Data Entry'!$£$891), "", 'Data Entry'!$£$891)</f>
      </c>
      <c r="CV891">
        <f>IF(ISBLANK('Data Entry'!$¤$891), "", 'Data Entry'!$¤$891)</f>
      </c>
      <c r="CW891">
        <f>IF(ISBLANK('Data Entry'!$¥$891), "", 'Data Entry'!$¥$891)</f>
      </c>
      <c r="CX891">
        <f>IF(ISBLANK('Data Entry'!$¦$891), "", 'Data Entry'!$¦$891)</f>
      </c>
      <c r="CY891">
        <f>IF(ISBLANK('Data Entry'!$§$891), "", 'Data Entry'!$§$891)</f>
      </c>
      <c r="CZ891">
        <f>IF(ISBLANK('Data Entry'!$¨$891), "", 'Data Entry'!$¨$891)</f>
      </c>
      <c r="DA891">
        <f>IF(ISBLANK('Data Entry'!$©$891), "", 'Data Entry'!$©$891)</f>
      </c>
      <c r="DB891">
        <f>IF(ISBLANK('Data Entry'!$ª$891), "", 'Data Entry'!$ª$891)</f>
      </c>
      <c r="DC891">
        <f>IF(ISBLANK('Data Entry'!$«$891), "", 'Data Entry'!$«$891)</f>
      </c>
      <c r="DD891">
        <f>IF(ISBLANK('Data Entry'!$¬$891), "", 'Data Entry'!$¬$891)</f>
      </c>
      <c r="DE891">
        <f>IF(ISBLANK('Data Entry'!$­$891), "", 'Data Entry'!$­$891)</f>
      </c>
      <c r="DF891">
        <f>IF(ISBLANK('Data Entry'!$®$891), "", 'Data Entry'!$®$891)</f>
      </c>
      <c r="DG891">
        <f>IF(ISBLANK('Data Entry'!$¯$891), "", 'Data Entry'!$¯$891)</f>
      </c>
      <c r="DH891">
        <f>IF(ISBLANK('Data Entry'!$°$891), "", 'Data Entry'!$°$891)</f>
      </c>
      <c r="DI891">
        <f>IF(ISBLANK('Data Entry'!$±$891), "", 'Data Entry'!$±$891)</f>
      </c>
      <c r="DJ891">
        <f>IF(ISBLANK('Data Entry'!$²$891), "", 'Data Entry'!$²$891)</f>
      </c>
      <c r="DK891">
        <f>IF(ISBLANK('Data Entry'!$³$891), "", 'Data Entry'!$³$891)</f>
      </c>
      <c r="DL891">
        <f>IF(ISBLANK('Data Entry'!$´$891), "", 'Data Entry'!$´$891)</f>
      </c>
      <c r="DM891">
        <f>IF(ISBLANK('Data Entry'!$µ$891), "", 'Data Entry'!$µ$891)</f>
      </c>
      <c r="DN891">
        <f>IF(ISBLANK('Data Entry'!$¶$891), "", 'Data Entry'!$¶$891)</f>
      </c>
      <c r="DO891">
        <f>IF(ISBLANK('Data Entry'!$·$891), "", 'Data Entry'!$·$891)</f>
      </c>
      <c r="DP891">
        <f>IF(ISBLANK('Data Entry'!$¸$891), "", 'Data Entry'!$¸$891)</f>
      </c>
      <c r="DQ891">
        <f>IF(ISBLANK('Data Entry'!$¹$891), "", 'Data Entry'!$¹$891)</f>
      </c>
      <c r="DR891">
        <f>IF(ISBLANK('Data Entry'!$º$891), "", 'Data Entry'!$º$891)</f>
      </c>
      <c r="DS891">
        <f>IF(ISBLANK('Data Entry'!$»$891), "", 'Data Entry'!$»$891)</f>
      </c>
      <c r="DT891">
        <f>IF(ISBLANK('Data Entry'!$¼$891), "", 'Data Entry'!$¼$891)</f>
      </c>
      <c r="DU891">
        <f>IF(ISBLANK('Data Entry'!$½$891), "", 'Data Entry'!$½$891)</f>
      </c>
      <c r="DV891">
        <f>IF(ISBLANK('Data Entry'!$¾$891), "", 'Data Entry'!$¾$891)</f>
      </c>
      <c r="DW891">
        <f>IF(ISBLANK('Data Entry'!$¿$891), "", 'Data Entry'!$¿$891)</f>
      </c>
      <c r="DX891">
        <f>IF(ISBLANK('Data Entry'!$À$891), "", 'Data Entry'!$À$891)</f>
      </c>
      <c r="DY891">
        <f>IF(ISBLANK('Data Entry'!$Á$891), "", 'Data Entry'!$Á$891)</f>
      </c>
      <c r="DZ891">
        <f>IF(ISBLANK('Data Entry'!$Â$891), "", 'Data Entry'!$Â$891)</f>
      </c>
      <c r="EA891">
        <f>IF(ISBLANK('Data Entry'!$Ã$891), "", 'Data Entry'!$Ã$891)</f>
      </c>
      <c r="EB891">
        <f>IF(ISBLANK('Data Entry'!$Ä$891), "", 'Data Entry'!$Ä$891)</f>
      </c>
      <c r="EC891">
        <f>IF(ISBLANK('Data Entry'!$Å$891), "", 'Data Entry'!$Å$891)</f>
      </c>
      <c r="ED891">
        <f>IF(ISBLANK('Data Entry'!$Æ$891), "", 'Data Entry'!$Æ$891)</f>
      </c>
      <c r="EE891">
        <f>IF(ISBLANK('Data Entry'!$Ç$891), "", 'Data Entry'!$Ç$891)</f>
      </c>
      <c r="EF891">
        <f>IF(ISBLANK('Data Entry'!$È$891), "", 'Data Entry'!$È$891)</f>
      </c>
      <c r="EG891">
        <f>IF(ISBLANK('Data Entry'!$É$891), "", 'Data Entry'!$É$891)</f>
      </c>
      <c r="EH891">
        <f>IF(ISBLANK('Data Entry'!$Ê$891), "", 'Data Entry'!$Ê$891)</f>
      </c>
      <c r="EI891">
        <f>IF(ISBLANK('Data Entry'!$Ë$891), "", 'Data Entry'!$Ë$891)</f>
      </c>
      <c r="EJ891">
        <f>IF(ISBLANK('Data Entry'!$Ì$891), "", 'Data Entry'!$Ì$891)</f>
      </c>
      <c r="EK891">
        <f>IF(ISBLANK('Data Entry'!$Í$891), "", 'Data Entry'!$Í$891)</f>
      </c>
      <c r="EL891">
        <f>IF(ISBLANK('Data Entry'!$Î$891), "", 'Data Entry'!$Î$891)</f>
      </c>
      <c r="EM891">
        <f>IF(ISBLANK('Data Entry'!$Ï$891), "", 'Data Entry'!$Ï$891)</f>
      </c>
      <c r="EN891">
        <f>IF(ISBLANK('Data Entry'!$Ð$891), "", 'Data Entry'!$Ð$891)</f>
      </c>
      <c r="EO891">
        <f>IF(ISBLANK('Data Entry'!$Ñ$891), "", 'Data Entry'!$Ñ$891)</f>
      </c>
      <c r="EP891">
        <f>IF(ISBLANK('Data Entry'!$Ò$891), "", 'Data Entry'!$Ò$891)</f>
      </c>
      <c r="EQ891">
        <f>IF(ISBLANK('Data Entry'!$Ó$891), "", 'Data Entry'!$Ó$891)</f>
      </c>
      <c r="ER891">
        <f>IF(ISBLANK('Data Entry'!$Ô$891), "", 'Data Entry'!$Ô$891)</f>
      </c>
      <c r="ES891">
        <f>IF(ISBLANK('Data Entry'!$Õ$891), "", 'Data Entry'!$Õ$891)</f>
      </c>
      <c r="ET891">
        <f>IF(ISBLANK('Data Entry'!$Ö$891), "", 'Data Entry'!$Ö$891)</f>
      </c>
      <c r="EU891">
        <f>IF(ISBLANK('Data Entry'!$×$891), "", 'Data Entry'!$×$891)</f>
      </c>
      <c r="EV891">
        <f>IF(ISBLANK('Data Entry'!$Ø$891), "", 'Data Entry'!$Ø$891)</f>
      </c>
      <c r="EW891">
        <f>IF(ISBLANK('Data Entry'!$Ù$891), "", 'Data Entry'!$Ù$891)</f>
      </c>
      <c r="EX891">
        <f>IF(ISBLANK('Data Entry'!$Ú$891), "", 'Data Entry'!$Ú$891)</f>
      </c>
      <c r="EY891">
        <f>IF(ISBLANK('Data Entry'!$Û$891), "", 'Data Entry'!$Û$891)</f>
      </c>
      <c r="EZ891">
        <f>IF(ISBLANK('Data Entry'!$Ü$891), "", 'Data Entry'!$Ü$891)</f>
      </c>
      <c r="FA891">
        <f>IF(ISBLANK('Data Entry'!$Ý$891), "", 'Data Entry'!$Ý$891)</f>
      </c>
      <c r="FB891">
        <f>IF(ISBLANK('Data Entry'!$Þ$891), "", 'Data Entry'!$Þ$891)</f>
      </c>
      <c r="FC891">
        <f>IF(ISBLANK('Data Entry'!$ß$891), "", 'Data Entry'!$ß$891)</f>
      </c>
      <c r="FD891">
        <f>IF(ISBLANK('Data Entry'!$à$891), "", 'Data Entry'!$à$891)</f>
      </c>
      <c r="FE891">
        <f>IF(ISBLANK('Data Entry'!$á$891), "", 'Data Entry'!$á$891)</f>
      </c>
      <c r="FF891">
        <f>IF(ISBLANK('Data Entry'!$â$891), "", 'Data Entry'!$â$891)</f>
      </c>
      <c r="FG891">
        <f>IF(ISBLANK('Data Entry'!$ã$891), "", 'Data Entry'!$ã$891)</f>
      </c>
      <c r="FH891">
        <f>IF(ISBLANK('Data Entry'!$ä$891), "", 'Data Entry'!$ä$891)</f>
      </c>
      <c r="FI891">
        <f>IF(ISBLANK('Data Entry'!$å$891), "", 'Data Entry'!$å$891)</f>
      </c>
      <c r="FJ891">
        <f>IF(ISBLANK('Data Entry'!$æ$891), "", 'Data Entry'!$æ$891)</f>
      </c>
      <c r="FK891">
        <f>IF(ISBLANK('Data Entry'!$ç$891), "", 'Data Entry'!$ç$891)</f>
      </c>
      <c r="FL891">
        <f>IF(ISBLANK('Data Entry'!$è$891), "", 'Data Entry'!$è$891)</f>
      </c>
      <c r="FM891">
        <f>IF(ISBLANK('Data Entry'!$é$891), "", 'Data Entry'!$é$891)</f>
      </c>
      <c r="FN891">
        <f>IF(ISBLANK('Data Entry'!$ê$891), "", 'Data Entry'!$ê$891)</f>
      </c>
      <c r="FO891">
        <f>IF(ISBLANK('Data Entry'!$ë$891), "", 'Data Entry'!$ë$891)</f>
      </c>
      <c r="FP891">
        <f>IF(ISBLANK('Data Entry'!$ì$891), "", 'Data Entry'!$ì$891)</f>
      </c>
      <c r="FQ891">
        <f>IF(ISBLANK('Data Entry'!$í$891), "", 'Data Entry'!$í$891)</f>
      </c>
      <c r="FR891">
        <f>IF(ISBLANK('Data Entry'!$î$891), "", 'Data Entry'!$î$891)</f>
      </c>
      <c r="FS891">
        <f>IF(ISBLANK('Data Entry'!$ï$891), "", 'Data Entry'!$ï$891)</f>
      </c>
      <c r="FT891">
        <f>IF(ISBLANK('Data Entry'!$ð$891), "", 'Data Entry'!$ð$891)</f>
      </c>
      <c r="FU891">
        <f>IF(ISBLANK('Data Entry'!$ñ$891), "", 'Data Entry'!$ñ$891)</f>
      </c>
      <c r="FV891">
        <f>IF(ISBLANK('Data Entry'!$ò$891), "", 'Data Entry'!$ò$891)</f>
      </c>
      <c r="FW891">
        <f>IF(ISBLANK('Data Entry'!$ó$891), "", 'Data Entry'!$ó$891)</f>
      </c>
      <c r="FX891">
        <f>IF(ISBLANK('Data Entry'!$ô$891), "", 'Data Entry'!$ô$891)</f>
      </c>
      <c r="FY891">
        <f>IF(ISBLANK('Data Entry'!$õ$891), "", 'Data Entry'!$õ$891)</f>
      </c>
      <c r="FZ891">
        <f>IF(ISBLANK('Data Entry'!$ö$891), "", 'Data Entry'!$ö$891)</f>
      </c>
      <c r="GA891">
        <f>IF(ISBLANK('Data Entry'!$÷$891), "", 'Data Entry'!$÷$891)</f>
      </c>
      <c r="GB891">
        <f>IF(ISBLANK('Data Entry'!$ø$891), "", 'Data Entry'!$ø$891)</f>
      </c>
      <c r="GC891">
        <f>IF(ISBLANK('Data Entry'!$ù$891), "", 'Data Entry'!$ù$891)</f>
      </c>
      <c r="GD891">
        <f>IF(ISBLANK('Data Entry'!$ú$891), "", 'Data Entry'!$ú$891)</f>
      </c>
      <c r="GE891">
        <f>IF(ISBLANK('Data Entry'!$û$891), "", 'Data Entry'!$û$891)</f>
      </c>
      <c r="GF891">
        <f>IF(ISBLANK('Data Entry'!$ü$891), "", 'Data Entry'!$ü$891)</f>
      </c>
      <c r="GG891">
        <f>IF(ISBLANK('Data Entry'!$ý$891), "", 'Data Entry'!$ý$891)</f>
      </c>
      <c r="GH891">
        <f>IF(ISBLANK('Data Entry'!$þ$891), "", 'Data Entry'!$þ$891)</f>
      </c>
      <c r="GI891">
        <f>IF(ISBLANK('Data Entry'!$ÿ$891), "", 'Data Entry'!$ÿ$891)</f>
      </c>
      <c r="GJ891">
        <f>IF(ISBLANK('Data Entry'!$Ā$891), "", 'Data Entry'!$Ā$891)</f>
      </c>
      <c r="GK891">
        <f>IF(ISBLANK('Data Entry'!$ā$891), "", 'Data Entry'!$ā$891)</f>
      </c>
      <c r="GL891">
        <f>IF(ISBLANK('Data Entry'!$Ă$891), "", 'Data Entry'!$Ă$891)</f>
      </c>
      <c r="GM891">
        <f>IF(ISBLANK('Data Entry'!$ă$891), "", 'Data Entry'!$ă$891)</f>
      </c>
      <c r="GN891">
        <f>IF(ISBLANK('Data Entry'!$Ą$891), "", 'Data Entry'!$Ą$891)</f>
      </c>
      <c r="GO891">
        <f>IF(ISBLANK('Data Entry'!$ą$891), "", 'Data Entry'!$ą$891)</f>
      </c>
      <c r="GP891">
        <f>IF(ISBLANK('Data Entry'!$Ć$891), "", 'Data Entry'!$Ć$891)</f>
      </c>
      <c r="GQ891">
        <f>IF(ISBLANK('Data Entry'!$ć$891), "", 'Data Entry'!$ć$891)</f>
      </c>
      <c r="GR891">
        <f>IF(ISBLANK('Data Entry'!$Ĉ$891), "", 'Data Entry'!$Ĉ$891)</f>
      </c>
      <c r="GS891">
        <f>IF(ISBLANK('Data Entry'!$ĉ$891), "", 'Data Entry'!$ĉ$891)</f>
      </c>
      <c r="GT891">
        <f>IF(ISBLANK('Data Entry'!$Ċ$891), "", 'Data Entry'!$Ċ$891)</f>
      </c>
      <c r="GU891">
        <f>IF(ISBLANK('Data Entry'!$ċ$891), "", 'Data Entry'!$ċ$891)</f>
      </c>
      <c r="GV891">
        <f>IF(ISBLANK('Data Entry'!$Č$891), "", 'Data Entry'!$Č$891)</f>
      </c>
      <c r="GW891">
        <f>IF(ISBLANK('Data Entry'!$č$891), "", 'Data Entry'!$č$891)</f>
      </c>
      <c r="GX891">
        <f>IF(ISBLANK('Data Entry'!$Ď$891), "", 'Data Entry'!$Ď$891)</f>
      </c>
      <c r="GY891">
        <f>IF(ISBLANK('Data Entry'!$ď$891), "", 'Data Entry'!$ď$891)</f>
      </c>
      <c r="GZ891">
        <f>IF(ISBLANK('Data Entry'!$Đ$891), "", 'Data Entry'!$Đ$891)</f>
      </c>
      <c r="HA891">
        <f>IF(ISBLANK('Data Entry'!$đ$891), "", 'Data Entry'!$đ$891)</f>
      </c>
      <c r="HB891">
        <f>IF(ISBLANK('Data Entry'!$Ē$891), "", 'Data Entry'!$Ē$891)</f>
      </c>
      <c r="HC891">
        <f>IF(ISBLANK('Data Entry'!$ē$891), "", 'Data Entry'!$ē$891)</f>
      </c>
      <c r="HD891">
        <f>IF(ISBLANK('Data Entry'!$Ĕ$891), "", 'Data Entry'!$Ĕ$891)</f>
      </c>
      <c r="HE891">
        <f>IF(ISBLANK('Data Entry'!$ĕ$891), "", 'Data Entry'!$ĕ$891)</f>
      </c>
      <c r="HF891">
        <f>IF(ISBLANK('Data Entry'!$Ė$891), "", 'Data Entry'!$Ė$891)</f>
      </c>
      <c r="HG891">
        <f>IF(ISBLANK('Data Entry'!$ė$891), "", 'Data Entry'!$ė$891)</f>
      </c>
      <c r="HH891">
        <f>IF(ISBLANK('Data Entry'!$Ę$891), "", 'Data Entry'!$Ę$891)</f>
      </c>
      <c r="HI891">
        <f>IF(ISBLANK('Data Entry'!$ę$891), "", 'Data Entry'!$ę$891)</f>
      </c>
      <c r="HJ891">
        <f>IF(ISBLANK('Data Entry'!$Ě$891), "", 'Data Entry'!$Ě$891)</f>
      </c>
      <c r="HK891">
        <f>IF(ISBLANK('Data Entry'!$ě$891), "", 'Data Entry'!$ě$891)</f>
      </c>
      <c r="HL891">
        <f>IF(ISBLANK('Data Entry'!$Ĝ$891), "", 'Data Entry'!$Ĝ$891)</f>
      </c>
      <c r="HM891">
        <f>IF(ISBLANK('Data Entry'!$ĝ$891), "", 'Data Entry'!$ĝ$891)</f>
      </c>
      <c r="HN891">
        <f>IF(ISBLANK('Data Entry'!$Ğ$891), "", 'Data Entry'!$Ğ$891)</f>
      </c>
      <c r="HO891">
        <f>IF(ISBLANK('Data Entry'!$ğ$891), "", 'Data Entry'!$ğ$891)</f>
      </c>
      <c r="HP891">
        <f>IF(ISBLANK('Data Entry'!$Ġ$891), "", 'Data Entry'!$Ġ$891)</f>
      </c>
      <c r="HQ891">
        <f>IF(ISBLANK('Data Entry'!$ġ$891), "", 'Data Entry'!$ġ$891)</f>
      </c>
      <c r="HR891">
        <f>IF(ISBLANK('Data Entry'!$Ģ$891), "", 'Data Entry'!$Ģ$891)</f>
      </c>
      <c r="HS891">
        <f>IF(ISBLANK('Data Entry'!$ģ$891), "", 'Data Entry'!$ģ$891)</f>
      </c>
      <c r="HT891">
        <f>IF(ISBLANK('Data Entry'!$Ĥ$891), "", 'Data Entry'!$Ĥ$891)</f>
      </c>
      <c r="HU891">
        <f>IF(ISBLANK('Data Entry'!$ĥ$891), "", 'Data Entry'!$ĥ$891)</f>
      </c>
      <c r="HV891">
        <f>IF(ISBLANK('Data Entry'!$Ħ$891), "", 'Data Entry'!$Ħ$891)</f>
      </c>
      <c r="HW891">
        <f>IF(ISBLANK('Data Entry'!$ħ$891), "", 'Data Entry'!$ħ$891)</f>
      </c>
      <c r="HX891">
        <f>IF(ISBLANK('Data Entry'!$Ĩ$891), "", 'Data Entry'!$Ĩ$891)</f>
      </c>
      <c r="HY891">
        <f>IF(ISBLANK('Data Entry'!$ĩ$891), "", 'Data Entry'!$ĩ$891)</f>
      </c>
      <c r="HZ891">
        <f>IF(ISBLANK('Data Entry'!$Ī$891), "", 'Data Entry'!$Ī$891)</f>
      </c>
      <c r="IA891">
        <f>IF(ISBLANK('Data Entry'!$ī$891), "", 'Data Entry'!$ī$891)</f>
      </c>
      <c r="IB891">
        <f>IF(ISBLANK('Data Entry'!$Ĭ$891), "", 'Data Entry'!$Ĭ$891)</f>
      </c>
      <c r="IC891">
        <f>IF(ISBLANK('Data Entry'!$ĭ$891), "", 'Data Entry'!$ĭ$891)</f>
      </c>
      <c r="ID891">
        <f>IF(ISBLANK('Data Entry'!$Į$891), "", 'Data Entry'!$Į$891)</f>
      </c>
      <c r="IE891">
        <f>IF(ISBLANK('Data Entry'!$į$891), "", 'Data Entry'!$į$891)</f>
      </c>
      <c r="IF891">
        <f>IF(ISBLANK('Data Entry'!$İ$891), "", 'Data Entry'!$İ$891)</f>
      </c>
      <c r="IG891">
        <f>IF(ISBLANK('Data Entry'!$ı$891), "", 'Data Entry'!$ı$891)</f>
      </c>
      <c r="IH891">
        <f>IF(ISBLANK('Data Entry'!$Ĳ$891), "", 'Data Entry'!$Ĳ$891)</f>
      </c>
      <c r="II891">
        <f>IF(ISBLANK('Data Entry'!$ĳ$891), "", 'Data Entry'!$ĳ$891)</f>
      </c>
      <c r="IJ891">
        <f>IF(ISBLANK('Data Entry'!$Ĵ$891), "", 'Data Entry'!$Ĵ$891)</f>
      </c>
      <c r="IK891">
        <f>IF(ISBLANK('Data Entry'!$ĵ$891), "", 'Data Entry'!$ĵ$891)</f>
      </c>
      <c r="IL891">
        <f>IF(ISBLANK('Data Entry'!$Ķ$891), "", 'Data Entry'!$Ķ$891)</f>
      </c>
      <c r="IM891">
        <f>IF(ISBLANK('Data Entry'!$ķ$891), "", 'Data Entry'!$ķ$891)</f>
      </c>
      <c r="IN891">
        <f>IF(ISBLANK('Data Entry'!$ĸ$891), "", 'Data Entry'!$ĸ$891)</f>
      </c>
      <c r="IO891">
        <f>IF(ISBLANK('Data Entry'!$Ĺ$891), "", 'Data Entry'!$Ĺ$891)</f>
      </c>
      <c r="IP891">
        <f>IF(ISBLANK('Data Entry'!$ĺ$891), "", 'Data Entry'!$ĺ$891)</f>
      </c>
      <c r="IQ891">
        <f>IF(ISBLANK('Data Entry'!$Ļ$891), "", 'Data Entry'!$Ļ$891)</f>
      </c>
      <c r="IR891">
        <f>IF(ISBLANK('Data Entry'!$ļ$891), "", 'Data Entry'!$ļ$891)</f>
      </c>
      <c r="IS891">
        <f>IF(ISBLANK('Data Entry'!$Ľ$891), "", 'Data Entry'!$Ľ$891)</f>
      </c>
      <c r="IT891">
        <f>IF(ISBLANK('Data Entry'!$ľ$891), "", 'Data Entry'!$ľ$891)</f>
      </c>
    </row>
    <row r="892" spans="1:254" x14ac:dyDescent="0.25">
      <c r="A892">
        <f>IF(ISBLANK('Data Entry'!$A$892), "", 'Data Entry'!$A$892)</f>
      </c>
      <c r="B892">
        <f>IF(ISBLANK('Data Entry'!$B$892), "", 'Data Entry'!$B$892)</f>
      </c>
      <c r="C892">
        <f>IF(ISBLANK('Data Entry'!$C$892), "", 'Data Entry'!$C$892)</f>
      </c>
      <c r="D892">
        <f>IF(ISBLANK('Data Entry'!$D$892), "", 'Data Entry'!$D$892)</f>
      </c>
      <c r="E892">
        <f>IF(ISBLANK('Data Entry'!$E$892), "", 'Data Entry'!$E$892)</f>
      </c>
      <c r="F892">
        <f>IF(ISBLANK('Data Entry'!$F$892), "", 'Data Entry'!$F$892)</f>
      </c>
      <c r="G892">
        <f>IF(ISBLANK('Data Entry'!$G$892), "", 'Data Entry'!$G$892)</f>
      </c>
      <c r="H892">
        <f>IF(ISBLANK('Data Entry'!$H$892), "", 'Data Entry'!$H$892)</f>
      </c>
      <c r="I892">
        <f>IF(ISBLANK('Data Entry'!$I$892), "", 'Data Entry'!$I$892)</f>
      </c>
      <c r="J892">
        <f>IF(ISBLANK('Data Entry'!$J$892), "", 'Data Entry'!$J$892)</f>
      </c>
      <c r="K892">
        <f>IF(ISBLANK('Data Entry'!$K$892), "", 'Data Entry'!$K$892)</f>
      </c>
      <c r="L892">
        <f>IF(ISBLANK('Data Entry'!$L$892), "", 'Data Entry'!$L$892)</f>
      </c>
      <c r="M892">
        <f>IF(ISBLANK('Data Entry'!$M$892), "", 'Data Entry'!$M$892)</f>
      </c>
      <c r="N892">
        <f>IF(ISBLANK('Data Entry'!$N$892), "", 'Data Entry'!$N$892)</f>
      </c>
      <c r="O892">
        <f>IF(ISBLANK('Data Entry'!$O$892), "", 'Data Entry'!$O$892)</f>
      </c>
      <c r="P892">
        <f>IF(ISBLANK('Data Entry'!$P$892), "", 'Data Entry'!$P$892)</f>
      </c>
      <c r="Q892">
        <f>IF(ISBLANK('Data Entry'!$Q$892), "", 'Data Entry'!$Q$892)</f>
      </c>
      <c r="R892">
        <f>IF(ISBLANK('Data Entry'!$R$892), "", 'Data Entry'!$R$892)</f>
      </c>
      <c r="S892">
        <f>IF(ISBLANK('Data Entry'!$S$892), "", 'Data Entry'!$S$892)</f>
      </c>
      <c r="T892">
        <f>IF(ISBLANK('Data Entry'!$T$892), "", 'Data Entry'!$T$892)</f>
      </c>
      <c r="U892">
        <f>IF(ISBLANK('Data Entry'!$U$892), "", 'Data Entry'!$U$892)</f>
      </c>
      <c r="V892">
        <f>IF(ISBLANK('Data Entry'!$V$892), "", 'Data Entry'!$V$892)</f>
      </c>
      <c r="W892">
        <f>IF(ISBLANK('Data Entry'!$W$892), "", 'Data Entry'!$W$892)</f>
      </c>
      <c r="X892">
        <f>IF(ISBLANK('Data Entry'!$X$892), "", 'Data Entry'!$X$892)</f>
      </c>
      <c r="Y892">
        <f>IF(ISBLANK('Data Entry'!$Y$892), "", 'Data Entry'!$Y$892)</f>
      </c>
      <c r="Z892">
        <f>IF(ISBLANK('Data Entry'!$Z$892), "", 'Data Entry'!$Z$892)</f>
      </c>
      <c r="AA892">
        <f>IF(ISBLANK('Data Entry'!$[$892), "", 'Data Entry'!$[$892)</f>
      </c>
      <c r="AB892">
        <f>IF(ISBLANK('Data Entry'!$\$892), "", 'Data Entry'!$\$892)</f>
      </c>
      <c r="AC892">
        <f>IF(ISBLANK('Data Entry'!$]$892), "", 'Data Entry'!$]$892)</f>
      </c>
      <c r="AD892">
        <f>IF(ISBLANK('Data Entry'!$^$892), "", 'Data Entry'!$^$892)</f>
      </c>
      <c r="AE892">
        <f>IF(ISBLANK('Data Entry'!$_$892), "", 'Data Entry'!$_$892)</f>
      </c>
      <c r="AF892">
        <f>IF(ISBLANK('Data Entry'!$`$892), "", 'Data Entry'!$`$892)</f>
      </c>
      <c r="AG892">
        <f>IF(ISBLANK('Data Entry'!$a$892), "", 'Data Entry'!$a$892)</f>
      </c>
      <c r="AH892">
        <f>IF(ISBLANK('Data Entry'!$b$892), "", 'Data Entry'!$b$892)</f>
      </c>
      <c r="AI892">
        <f>IF(ISBLANK('Data Entry'!$c$892), "", 'Data Entry'!$c$892)</f>
      </c>
      <c r="AJ892">
        <f>IF(ISBLANK('Data Entry'!$d$892), "", 'Data Entry'!$d$892)</f>
      </c>
      <c r="AK892">
        <f>IF(ISBLANK('Data Entry'!$e$892), "", 'Data Entry'!$e$892)</f>
      </c>
      <c r="AL892">
        <f>IF(ISBLANK('Data Entry'!$f$892), "", 'Data Entry'!$f$892)</f>
      </c>
      <c r="AM892">
        <f>IF(ISBLANK('Data Entry'!$g$892), "", 'Data Entry'!$g$892)</f>
      </c>
      <c r="AN892">
        <f>IF(ISBLANK('Data Entry'!$h$892), "", 'Data Entry'!$h$892)</f>
      </c>
      <c r="AO892">
        <f>IF(ISBLANK('Data Entry'!$i$892), "", 'Data Entry'!$i$892)</f>
      </c>
      <c r="AP892">
        <f>IF(ISBLANK('Data Entry'!$j$892), "", 'Data Entry'!$j$892)</f>
      </c>
      <c r="AQ892">
        <f>IF(ISBLANK('Data Entry'!$k$892), "", 'Data Entry'!$k$892)</f>
      </c>
      <c r="AR892">
        <f>IF(ISBLANK('Data Entry'!$l$892), "", 'Data Entry'!$l$892)</f>
      </c>
      <c r="AS892">
        <f>IF(ISBLANK('Data Entry'!$m$892), "", 'Data Entry'!$m$892)</f>
      </c>
      <c r="AT892">
        <f>IF(ISBLANK('Data Entry'!$n$892), "", 'Data Entry'!$n$892)</f>
      </c>
      <c r="AU892">
        <f>IF(ISBLANK('Data Entry'!$o$892), "", 'Data Entry'!$o$892)</f>
      </c>
      <c r="AV892">
        <f>IF(ISBLANK('Data Entry'!$p$892), "", 'Data Entry'!$p$892)</f>
      </c>
      <c r="AW892">
        <f>IF(ISBLANK('Data Entry'!$q$892), "", 'Data Entry'!$q$892)</f>
      </c>
      <c r="AX892">
        <f>IF(ISBLANK('Data Entry'!$r$892), "", 'Data Entry'!$r$892)</f>
      </c>
      <c r="AY892">
        <f>IF(ISBLANK('Data Entry'!$s$892), "", 'Data Entry'!$s$892)</f>
      </c>
      <c r="AZ892">
        <f>IF(ISBLANK('Data Entry'!$t$892), "", 'Data Entry'!$t$892)</f>
      </c>
      <c r="BA892">
        <f>IF(ISBLANK('Data Entry'!$u$892), "", 'Data Entry'!$u$892)</f>
      </c>
      <c r="BB892">
        <f>IF(ISBLANK('Data Entry'!$v$892), "", 'Data Entry'!$v$892)</f>
      </c>
      <c r="BC892">
        <f>IF(ISBLANK('Data Entry'!$w$892), "", 'Data Entry'!$w$892)</f>
      </c>
      <c r="BD892">
        <f>IF(ISBLANK('Data Entry'!$x$892), "", 'Data Entry'!$x$892)</f>
      </c>
      <c r="BE892">
        <f>IF(ISBLANK('Data Entry'!$y$892), "", 'Data Entry'!$y$892)</f>
      </c>
      <c r="BF892">
        <f>IF(ISBLANK('Data Entry'!$z$892), "", 'Data Entry'!$z$892)</f>
      </c>
      <c r="BG892">
        <f>IF(ISBLANK('Data Entry'!${$892), "", 'Data Entry'!${$892)</f>
      </c>
      <c r="BH892">
        <f>IF(ISBLANK('Data Entry'!$|$892), "", 'Data Entry'!$|$892)</f>
      </c>
      <c r="BI892">
        <f>IF(ISBLANK('Data Entry'!$}$892), "", 'Data Entry'!$}$892)</f>
      </c>
      <c r="BJ892">
        <f>IF(ISBLANK('Data Entry'!$~$892), "", 'Data Entry'!$~$892)</f>
      </c>
      <c r="BK892">
        <f>IF(ISBLANK('Data Entry'!$$892), "", 'Data Entry'!$$892)</f>
      </c>
      <c r="BL892">
        <f>IF(ISBLANK('Data Entry'!$$892), "", 'Data Entry'!$$892)</f>
      </c>
      <c r="BM892">
        <f>IF(ISBLANK('Data Entry'!$$892), "", 'Data Entry'!$$892)</f>
      </c>
      <c r="BN892">
        <f>IF(ISBLANK('Data Entry'!$$892), "", 'Data Entry'!$$892)</f>
      </c>
      <c r="BO892">
        <f>IF(ISBLANK('Data Entry'!$$892), "", 'Data Entry'!$$892)</f>
      </c>
      <c r="BP892">
        <f>IF(ISBLANK('Data Entry'!$$892), "", 'Data Entry'!$$892)</f>
      </c>
      <c r="BQ892">
        <f>IF(ISBLANK('Data Entry'!$$892), "", 'Data Entry'!$$892)</f>
      </c>
      <c r="BR892">
        <f>IF(ISBLANK('Data Entry'!$$892), "", 'Data Entry'!$$892)</f>
      </c>
      <c r="BS892">
        <f>IF(ISBLANK('Data Entry'!$$892), "", 'Data Entry'!$$892)</f>
      </c>
      <c r="BT892">
        <f>IF(ISBLANK('Data Entry'!$$892), "", 'Data Entry'!$$892)</f>
      </c>
      <c r="BU892">
        <f>IF(ISBLANK('Data Entry'!$$892), "", 'Data Entry'!$$892)</f>
      </c>
      <c r="BV892">
        <f>IF(ISBLANK('Data Entry'!$$892), "", 'Data Entry'!$$892)</f>
      </c>
      <c r="BW892">
        <f>IF(ISBLANK('Data Entry'!$$892), "", 'Data Entry'!$$892)</f>
      </c>
      <c r="BX892">
        <f>IF(ISBLANK('Data Entry'!$$892), "", 'Data Entry'!$$892)</f>
      </c>
      <c r="BY892">
        <f>IF(ISBLANK('Data Entry'!$$892), "", 'Data Entry'!$$892)</f>
      </c>
      <c r="BZ892">
        <f>IF(ISBLANK('Data Entry'!$$892), "", 'Data Entry'!$$892)</f>
      </c>
      <c r="CA892">
        <f>IF(ISBLANK('Data Entry'!$$892), "", 'Data Entry'!$$892)</f>
      </c>
      <c r="CB892">
        <f>IF(ISBLANK('Data Entry'!$$892), "", 'Data Entry'!$$892)</f>
      </c>
      <c r="CC892">
        <f>IF(ISBLANK('Data Entry'!$$892), "", 'Data Entry'!$$892)</f>
      </c>
      <c r="CD892">
        <f>IF(ISBLANK('Data Entry'!$$892), "", 'Data Entry'!$$892)</f>
      </c>
      <c r="CE892">
        <f>IF(ISBLANK('Data Entry'!$$892), "", 'Data Entry'!$$892)</f>
      </c>
      <c r="CF892">
        <f>IF(ISBLANK('Data Entry'!$$892), "", 'Data Entry'!$$892)</f>
      </c>
      <c r="CG892">
        <f>IF(ISBLANK('Data Entry'!$$892), "", 'Data Entry'!$$892)</f>
      </c>
      <c r="CH892">
        <f>IF(ISBLANK('Data Entry'!$$892), "", 'Data Entry'!$$892)</f>
      </c>
      <c r="CI892">
        <f>IF(ISBLANK('Data Entry'!$$892), "", 'Data Entry'!$$892)</f>
      </c>
      <c r="CJ892">
        <f>IF(ISBLANK('Data Entry'!$$892), "", 'Data Entry'!$$892)</f>
      </c>
      <c r="CK892">
        <f>IF(ISBLANK('Data Entry'!$$892), "", 'Data Entry'!$$892)</f>
      </c>
      <c r="CL892">
        <f>IF(ISBLANK('Data Entry'!$$892), "", 'Data Entry'!$$892)</f>
      </c>
      <c r="CM892">
        <f>IF(ISBLANK('Data Entry'!$$892), "", 'Data Entry'!$$892)</f>
      </c>
      <c r="CN892">
        <f>IF(ISBLANK('Data Entry'!$$892), "", 'Data Entry'!$$892)</f>
      </c>
      <c r="CO892">
        <f>IF(ISBLANK('Data Entry'!$$892), "", 'Data Entry'!$$892)</f>
      </c>
      <c r="CP892">
        <f>IF(ISBLANK('Data Entry'!$$892), "", 'Data Entry'!$$892)</f>
      </c>
      <c r="CQ892">
        <f>IF(ISBLANK('Data Entry'!$$892), "", 'Data Entry'!$$892)</f>
      </c>
      <c r="CR892">
        <f>IF(ISBLANK('Data Entry'!$ $892), "", 'Data Entry'!$ $892)</f>
      </c>
      <c r="CS892">
        <f>IF(ISBLANK('Data Entry'!$¡$892), "", 'Data Entry'!$¡$892)</f>
      </c>
      <c r="CT892">
        <f>IF(ISBLANK('Data Entry'!$¢$892), "", 'Data Entry'!$¢$892)</f>
      </c>
      <c r="CU892">
        <f>IF(ISBLANK('Data Entry'!$£$892), "", 'Data Entry'!$£$892)</f>
      </c>
      <c r="CV892">
        <f>IF(ISBLANK('Data Entry'!$¤$892), "", 'Data Entry'!$¤$892)</f>
      </c>
      <c r="CW892">
        <f>IF(ISBLANK('Data Entry'!$¥$892), "", 'Data Entry'!$¥$892)</f>
      </c>
      <c r="CX892">
        <f>IF(ISBLANK('Data Entry'!$¦$892), "", 'Data Entry'!$¦$892)</f>
      </c>
      <c r="CY892">
        <f>IF(ISBLANK('Data Entry'!$§$892), "", 'Data Entry'!$§$892)</f>
      </c>
      <c r="CZ892">
        <f>IF(ISBLANK('Data Entry'!$¨$892), "", 'Data Entry'!$¨$892)</f>
      </c>
      <c r="DA892">
        <f>IF(ISBLANK('Data Entry'!$©$892), "", 'Data Entry'!$©$892)</f>
      </c>
      <c r="DB892">
        <f>IF(ISBLANK('Data Entry'!$ª$892), "", 'Data Entry'!$ª$892)</f>
      </c>
      <c r="DC892">
        <f>IF(ISBLANK('Data Entry'!$«$892), "", 'Data Entry'!$«$892)</f>
      </c>
      <c r="DD892">
        <f>IF(ISBLANK('Data Entry'!$¬$892), "", 'Data Entry'!$¬$892)</f>
      </c>
      <c r="DE892">
        <f>IF(ISBLANK('Data Entry'!$­$892), "", 'Data Entry'!$­$892)</f>
      </c>
      <c r="DF892">
        <f>IF(ISBLANK('Data Entry'!$®$892), "", 'Data Entry'!$®$892)</f>
      </c>
      <c r="DG892">
        <f>IF(ISBLANK('Data Entry'!$¯$892), "", 'Data Entry'!$¯$892)</f>
      </c>
      <c r="DH892">
        <f>IF(ISBLANK('Data Entry'!$°$892), "", 'Data Entry'!$°$892)</f>
      </c>
      <c r="DI892">
        <f>IF(ISBLANK('Data Entry'!$±$892), "", 'Data Entry'!$±$892)</f>
      </c>
      <c r="DJ892">
        <f>IF(ISBLANK('Data Entry'!$²$892), "", 'Data Entry'!$²$892)</f>
      </c>
      <c r="DK892">
        <f>IF(ISBLANK('Data Entry'!$³$892), "", 'Data Entry'!$³$892)</f>
      </c>
      <c r="DL892">
        <f>IF(ISBLANK('Data Entry'!$´$892), "", 'Data Entry'!$´$892)</f>
      </c>
      <c r="DM892">
        <f>IF(ISBLANK('Data Entry'!$µ$892), "", 'Data Entry'!$µ$892)</f>
      </c>
      <c r="DN892">
        <f>IF(ISBLANK('Data Entry'!$¶$892), "", 'Data Entry'!$¶$892)</f>
      </c>
      <c r="DO892">
        <f>IF(ISBLANK('Data Entry'!$·$892), "", 'Data Entry'!$·$892)</f>
      </c>
      <c r="DP892">
        <f>IF(ISBLANK('Data Entry'!$¸$892), "", 'Data Entry'!$¸$892)</f>
      </c>
      <c r="DQ892">
        <f>IF(ISBLANK('Data Entry'!$¹$892), "", 'Data Entry'!$¹$892)</f>
      </c>
      <c r="DR892">
        <f>IF(ISBLANK('Data Entry'!$º$892), "", 'Data Entry'!$º$892)</f>
      </c>
      <c r="DS892">
        <f>IF(ISBLANK('Data Entry'!$»$892), "", 'Data Entry'!$»$892)</f>
      </c>
      <c r="DT892">
        <f>IF(ISBLANK('Data Entry'!$¼$892), "", 'Data Entry'!$¼$892)</f>
      </c>
      <c r="DU892">
        <f>IF(ISBLANK('Data Entry'!$½$892), "", 'Data Entry'!$½$892)</f>
      </c>
      <c r="DV892">
        <f>IF(ISBLANK('Data Entry'!$¾$892), "", 'Data Entry'!$¾$892)</f>
      </c>
      <c r="DW892">
        <f>IF(ISBLANK('Data Entry'!$¿$892), "", 'Data Entry'!$¿$892)</f>
      </c>
      <c r="DX892">
        <f>IF(ISBLANK('Data Entry'!$À$892), "", 'Data Entry'!$À$892)</f>
      </c>
      <c r="DY892">
        <f>IF(ISBLANK('Data Entry'!$Á$892), "", 'Data Entry'!$Á$892)</f>
      </c>
      <c r="DZ892">
        <f>IF(ISBLANK('Data Entry'!$Â$892), "", 'Data Entry'!$Â$892)</f>
      </c>
      <c r="EA892">
        <f>IF(ISBLANK('Data Entry'!$Ã$892), "", 'Data Entry'!$Ã$892)</f>
      </c>
      <c r="EB892">
        <f>IF(ISBLANK('Data Entry'!$Ä$892), "", 'Data Entry'!$Ä$892)</f>
      </c>
      <c r="EC892">
        <f>IF(ISBLANK('Data Entry'!$Å$892), "", 'Data Entry'!$Å$892)</f>
      </c>
      <c r="ED892">
        <f>IF(ISBLANK('Data Entry'!$Æ$892), "", 'Data Entry'!$Æ$892)</f>
      </c>
      <c r="EE892">
        <f>IF(ISBLANK('Data Entry'!$Ç$892), "", 'Data Entry'!$Ç$892)</f>
      </c>
      <c r="EF892">
        <f>IF(ISBLANK('Data Entry'!$È$892), "", 'Data Entry'!$È$892)</f>
      </c>
      <c r="EG892">
        <f>IF(ISBLANK('Data Entry'!$É$892), "", 'Data Entry'!$É$892)</f>
      </c>
      <c r="EH892">
        <f>IF(ISBLANK('Data Entry'!$Ê$892), "", 'Data Entry'!$Ê$892)</f>
      </c>
      <c r="EI892">
        <f>IF(ISBLANK('Data Entry'!$Ë$892), "", 'Data Entry'!$Ë$892)</f>
      </c>
      <c r="EJ892">
        <f>IF(ISBLANK('Data Entry'!$Ì$892), "", 'Data Entry'!$Ì$892)</f>
      </c>
      <c r="EK892">
        <f>IF(ISBLANK('Data Entry'!$Í$892), "", 'Data Entry'!$Í$892)</f>
      </c>
      <c r="EL892">
        <f>IF(ISBLANK('Data Entry'!$Î$892), "", 'Data Entry'!$Î$892)</f>
      </c>
      <c r="EM892">
        <f>IF(ISBLANK('Data Entry'!$Ï$892), "", 'Data Entry'!$Ï$892)</f>
      </c>
      <c r="EN892">
        <f>IF(ISBLANK('Data Entry'!$Ð$892), "", 'Data Entry'!$Ð$892)</f>
      </c>
      <c r="EO892">
        <f>IF(ISBLANK('Data Entry'!$Ñ$892), "", 'Data Entry'!$Ñ$892)</f>
      </c>
      <c r="EP892">
        <f>IF(ISBLANK('Data Entry'!$Ò$892), "", 'Data Entry'!$Ò$892)</f>
      </c>
      <c r="EQ892">
        <f>IF(ISBLANK('Data Entry'!$Ó$892), "", 'Data Entry'!$Ó$892)</f>
      </c>
      <c r="ER892">
        <f>IF(ISBLANK('Data Entry'!$Ô$892), "", 'Data Entry'!$Ô$892)</f>
      </c>
      <c r="ES892">
        <f>IF(ISBLANK('Data Entry'!$Õ$892), "", 'Data Entry'!$Õ$892)</f>
      </c>
      <c r="ET892">
        <f>IF(ISBLANK('Data Entry'!$Ö$892), "", 'Data Entry'!$Ö$892)</f>
      </c>
      <c r="EU892">
        <f>IF(ISBLANK('Data Entry'!$×$892), "", 'Data Entry'!$×$892)</f>
      </c>
      <c r="EV892">
        <f>IF(ISBLANK('Data Entry'!$Ø$892), "", 'Data Entry'!$Ø$892)</f>
      </c>
      <c r="EW892">
        <f>IF(ISBLANK('Data Entry'!$Ù$892), "", 'Data Entry'!$Ù$892)</f>
      </c>
      <c r="EX892">
        <f>IF(ISBLANK('Data Entry'!$Ú$892), "", 'Data Entry'!$Ú$892)</f>
      </c>
      <c r="EY892">
        <f>IF(ISBLANK('Data Entry'!$Û$892), "", 'Data Entry'!$Û$892)</f>
      </c>
      <c r="EZ892">
        <f>IF(ISBLANK('Data Entry'!$Ü$892), "", 'Data Entry'!$Ü$892)</f>
      </c>
      <c r="FA892">
        <f>IF(ISBLANK('Data Entry'!$Ý$892), "", 'Data Entry'!$Ý$892)</f>
      </c>
      <c r="FB892">
        <f>IF(ISBLANK('Data Entry'!$Þ$892), "", 'Data Entry'!$Þ$892)</f>
      </c>
      <c r="FC892">
        <f>IF(ISBLANK('Data Entry'!$ß$892), "", 'Data Entry'!$ß$892)</f>
      </c>
      <c r="FD892">
        <f>IF(ISBLANK('Data Entry'!$à$892), "", 'Data Entry'!$à$892)</f>
      </c>
      <c r="FE892">
        <f>IF(ISBLANK('Data Entry'!$á$892), "", 'Data Entry'!$á$892)</f>
      </c>
      <c r="FF892">
        <f>IF(ISBLANK('Data Entry'!$â$892), "", 'Data Entry'!$â$892)</f>
      </c>
      <c r="FG892">
        <f>IF(ISBLANK('Data Entry'!$ã$892), "", 'Data Entry'!$ã$892)</f>
      </c>
      <c r="FH892">
        <f>IF(ISBLANK('Data Entry'!$ä$892), "", 'Data Entry'!$ä$892)</f>
      </c>
      <c r="FI892">
        <f>IF(ISBLANK('Data Entry'!$å$892), "", 'Data Entry'!$å$892)</f>
      </c>
      <c r="FJ892">
        <f>IF(ISBLANK('Data Entry'!$æ$892), "", 'Data Entry'!$æ$892)</f>
      </c>
      <c r="FK892">
        <f>IF(ISBLANK('Data Entry'!$ç$892), "", 'Data Entry'!$ç$892)</f>
      </c>
      <c r="FL892">
        <f>IF(ISBLANK('Data Entry'!$è$892), "", 'Data Entry'!$è$892)</f>
      </c>
      <c r="FM892">
        <f>IF(ISBLANK('Data Entry'!$é$892), "", 'Data Entry'!$é$892)</f>
      </c>
      <c r="FN892">
        <f>IF(ISBLANK('Data Entry'!$ê$892), "", 'Data Entry'!$ê$892)</f>
      </c>
      <c r="FO892">
        <f>IF(ISBLANK('Data Entry'!$ë$892), "", 'Data Entry'!$ë$892)</f>
      </c>
      <c r="FP892">
        <f>IF(ISBLANK('Data Entry'!$ì$892), "", 'Data Entry'!$ì$892)</f>
      </c>
      <c r="FQ892">
        <f>IF(ISBLANK('Data Entry'!$í$892), "", 'Data Entry'!$í$892)</f>
      </c>
      <c r="FR892">
        <f>IF(ISBLANK('Data Entry'!$î$892), "", 'Data Entry'!$î$892)</f>
      </c>
      <c r="FS892">
        <f>IF(ISBLANK('Data Entry'!$ï$892), "", 'Data Entry'!$ï$892)</f>
      </c>
      <c r="FT892">
        <f>IF(ISBLANK('Data Entry'!$ð$892), "", 'Data Entry'!$ð$892)</f>
      </c>
      <c r="FU892">
        <f>IF(ISBLANK('Data Entry'!$ñ$892), "", 'Data Entry'!$ñ$892)</f>
      </c>
      <c r="FV892">
        <f>IF(ISBLANK('Data Entry'!$ò$892), "", 'Data Entry'!$ò$892)</f>
      </c>
      <c r="FW892">
        <f>IF(ISBLANK('Data Entry'!$ó$892), "", 'Data Entry'!$ó$892)</f>
      </c>
      <c r="FX892">
        <f>IF(ISBLANK('Data Entry'!$ô$892), "", 'Data Entry'!$ô$892)</f>
      </c>
      <c r="FY892">
        <f>IF(ISBLANK('Data Entry'!$õ$892), "", 'Data Entry'!$õ$892)</f>
      </c>
      <c r="FZ892">
        <f>IF(ISBLANK('Data Entry'!$ö$892), "", 'Data Entry'!$ö$892)</f>
      </c>
      <c r="GA892">
        <f>IF(ISBLANK('Data Entry'!$÷$892), "", 'Data Entry'!$÷$892)</f>
      </c>
      <c r="GB892">
        <f>IF(ISBLANK('Data Entry'!$ø$892), "", 'Data Entry'!$ø$892)</f>
      </c>
      <c r="GC892">
        <f>IF(ISBLANK('Data Entry'!$ù$892), "", 'Data Entry'!$ù$892)</f>
      </c>
      <c r="GD892">
        <f>IF(ISBLANK('Data Entry'!$ú$892), "", 'Data Entry'!$ú$892)</f>
      </c>
      <c r="GE892">
        <f>IF(ISBLANK('Data Entry'!$û$892), "", 'Data Entry'!$û$892)</f>
      </c>
      <c r="GF892">
        <f>IF(ISBLANK('Data Entry'!$ü$892), "", 'Data Entry'!$ü$892)</f>
      </c>
      <c r="GG892">
        <f>IF(ISBLANK('Data Entry'!$ý$892), "", 'Data Entry'!$ý$892)</f>
      </c>
      <c r="GH892">
        <f>IF(ISBLANK('Data Entry'!$þ$892), "", 'Data Entry'!$þ$892)</f>
      </c>
      <c r="GI892">
        <f>IF(ISBLANK('Data Entry'!$ÿ$892), "", 'Data Entry'!$ÿ$892)</f>
      </c>
      <c r="GJ892">
        <f>IF(ISBLANK('Data Entry'!$Ā$892), "", 'Data Entry'!$Ā$892)</f>
      </c>
      <c r="GK892">
        <f>IF(ISBLANK('Data Entry'!$ā$892), "", 'Data Entry'!$ā$892)</f>
      </c>
      <c r="GL892">
        <f>IF(ISBLANK('Data Entry'!$Ă$892), "", 'Data Entry'!$Ă$892)</f>
      </c>
      <c r="GM892">
        <f>IF(ISBLANK('Data Entry'!$ă$892), "", 'Data Entry'!$ă$892)</f>
      </c>
      <c r="GN892">
        <f>IF(ISBLANK('Data Entry'!$Ą$892), "", 'Data Entry'!$Ą$892)</f>
      </c>
      <c r="GO892">
        <f>IF(ISBLANK('Data Entry'!$ą$892), "", 'Data Entry'!$ą$892)</f>
      </c>
      <c r="GP892">
        <f>IF(ISBLANK('Data Entry'!$Ć$892), "", 'Data Entry'!$Ć$892)</f>
      </c>
      <c r="GQ892">
        <f>IF(ISBLANK('Data Entry'!$ć$892), "", 'Data Entry'!$ć$892)</f>
      </c>
      <c r="GR892">
        <f>IF(ISBLANK('Data Entry'!$Ĉ$892), "", 'Data Entry'!$Ĉ$892)</f>
      </c>
      <c r="GS892">
        <f>IF(ISBLANK('Data Entry'!$ĉ$892), "", 'Data Entry'!$ĉ$892)</f>
      </c>
      <c r="GT892">
        <f>IF(ISBLANK('Data Entry'!$Ċ$892), "", 'Data Entry'!$Ċ$892)</f>
      </c>
      <c r="GU892">
        <f>IF(ISBLANK('Data Entry'!$ċ$892), "", 'Data Entry'!$ċ$892)</f>
      </c>
      <c r="GV892">
        <f>IF(ISBLANK('Data Entry'!$Č$892), "", 'Data Entry'!$Č$892)</f>
      </c>
      <c r="GW892">
        <f>IF(ISBLANK('Data Entry'!$č$892), "", 'Data Entry'!$č$892)</f>
      </c>
      <c r="GX892">
        <f>IF(ISBLANK('Data Entry'!$Ď$892), "", 'Data Entry'!$Ď$892)</f>
      </c>
      <c r="GY892">
        <f>IF(ISBLANK('Data Entry'!$ď$892), "", 'Data Entry'!$ď$892)</f>
      </c>
      <c r="GZ892">
        <f>IF(ISBLANK('Data Entry'!$Đ$892), "", 'Data Entry'!$Đ$892)</f>
      </c>
      <c r="HA892">
        <f>IF(ISBLANK('Data Entry'!$đ$892), "", 'Data Entry'!$đ$892)</f>
      </c>
      <c r="HB892">
        <f>IF(ISBLANK('Data Entry'!$Ē$892), "", 'Data Entry'!$Ē$892)</f>
      </c>
      <c r="HC892">
        <f>IF(ISBLANK('Data Entry'!$ē$892), "", 'Data Entry'!$ē$892)</f>
      </c>
      <c r="HD892">
        <f>IF(ISBLANK('Data Entry'!$Ĕ$892), "", 'Data Entry'!$Ĕ$892)</f>
      </c>
      <c r="HE892">
        <f>IF(ISBLANK('Data Entry'!$ĕ$892), "", 'Data Entry'!$ĕ$892)</f>
      </c>
      <c r="HF892">
        <f>IF(ISBLANK('Data Entry'!$Ė$892), "", 'Data Entry'!$Ė$892)</f>
      </c>
      <c r="HG892">
        <f>IF(ISBLANK('Data Entry'!$ė$892), "", 'Data Entry'!$ė$892)</f>
      </c>
      <c r="HH892">
        <f>IF(ISBLANK('Data Entry'!$Ę$892), "", 'Data Entry'!$Ę$892)</f>
      </c>
      <c r="HI892">
        <f>IF(ISBLANK('Data Entry'!$ę$892), "", 'Data Entry'!$ę$892)</f>
      </c>
      <c r="HJ892">
        <f>IF(ISBLANK('Data Entry'!$Ě$892), "", 'Data Entry'!$Ě$892)</f>
      </c>
      <c r="HK892">
        <f>IF(ISBLANK('Data Entry'!$ě$892), "", 'Data Entry'!$ě$892)</f>
      </c>
      <c r="HL892">
        <f>IF(ISBLANK('Data Entry'!$Ĝ$892), "", 'Data Entry'!$Ĝ$892)</f>
      </c>
      <c r="HM892">
        <f>IF(ISBLANK('Data Entry'!$ĝ$892), "", 'Data Entry'!$ĝ$892)</f>
      </c>
      <c r="HN892">
        <f>IF(ISBLANK('Data Entry'!$Ğ$892), "", 'Data Entry'!$Ğ$892)</f>
      </c>
      <c r="HO892">
        <f>IF(ISBLANK('Data Entry'!$ğ$892), "", 'Data Entry'!$ğ$892)</f>
      </c>
      <c r="HP892">
        <f>IF(ISBLANK('Data Entry'!$Ġ$892), "", 'Data Entry'!$Ġ$892)</f>
      </c>
      <c r="HQ892">
        <f>IF(ISBLANK('Data Entry'!$ġ$892), "", 'Data Entry'!$ġ$892)</f>
      </c>
      <c r="HR892">
        <f>IF(ISBLANK('Data Entry'!$Ģ$892), "", 'Data Entry'!$Ģ$892)</f>
      </c>
      <c r="HS892">
        <f>IF(ISBLANK('Data Entry'!$ģ$892), "", 'Data Entry'!$ģ$892)</f>
      </c>
      <c r="HT892">
        <f>IF(ISBLANK('Data Entry'!$Ĥ$892), "", 'Data Entry'!$Ĥ$892)</f>
      </c>
      <c r="HU892">
        <f>IF(ISBLANK('Data Entry'!$ĥ$892), "", 'Data Entry'!$ĥ$892)</f>
      </c>
      <c r="HV892">
        <f>IF(ISBLANK('Data Entry'!$Ħ$892), "", 'Data Entry'!$Ħ$892)</f>
      </c>
      <c r="HW892">
        <f>IF(ISBLANK('Data Entry'!$ħ$892), "", 'Data Entry'!$ħ$892)</f>
      </c>
      <c r="HX892">
        <f>IF(ISBLANK('Data Entry'!$Ĩ$892), "", 'Data Entry'!$Ĩ$892)</f>
      </c>
      <c r="HY892">
        <f>IF(ISBLANK('Data Entry'!$ĩ$892), "", 'Data Entry'!$ĩ$892)</f>
      </c>
      <c r="HZ892">
        <f>IF(ISBLANK('Data Entry'!$Ī$892), "", 'Data Entry'!$Ī$892)</f>
      </c>
      <c r="IA892">
        <f>IF(ISBLANK('Data Entry'!$ī$892), "", 'Data Entry'!$ī$892)</f>
      </c>
      <c r="IB892">
        <f>IF(ISBLANK('Data Entry'!$Ĭ$892), "", 'Data Entry'!$Ĭ$892)</f>
      </c>
      <c r="IC892">
        <f>IF(ISBLANK('Data Entry'!$ĭ$892), "", 'Data Entry'!$ĭ$892)</f>
      </c>
      <c r="ID892">
        <f>IF(ISBLANK('Data Entry'!$Į$892), "", 'Data Entry'!$Į$892)</f>
      </c>
      <c r="IE892">
        <f>IF(ISBLANK('Data Entry'!$į$892), "", 'Data Entry'!$į$892)</f>
      </c>
      <c r="IF892">
        <f>IF(ISBLANK('Data Entry'!$İ$892), "", 'Data Entry'!$İ$892)</f>
      </c>
      <c r="IG892">
        <f>IF(ISBLANK('Data Entry'!$ı$892), "", 'Data Entry'!$ı$892)</f>
      </c>
      <c r="IH892">
        <f>IF(ISBLANK('Data Entry'!$Ĳ$892), "", 'Data Entry'!$Ĳ$892)</f>
      </c>
      <c r="II892">
        <f>IF(ISBLANK('Data Entry'!$ĳ$892), "", 'Data Entry'!$ĳ$892)</f>
      </c>
      <c r="IJ892">
        <f>IF(ISBLANK('Data Entry'!$Ĵ$892), "", 'Data Entry'!$Ĵ$892)</f>
      </c>
      <c r="IK892">
        <f>IF(ISBLANK('Data Entry'!$ĵ$892), "", 'Data Entry'!$ĵ$892)</f>
      </c>
      <c r="IL892">
        <f>IF(ISBLANK('Data Entry'!$Ķ$892), "", 'Data Entry'!$Ķ$892)</f>
      </c>
      <c r="IM892">
        <f>IF(ISBLANK('Data Entry'!$ķ$892), "", 'Data Entry'!$ķ$892)</f>
      </c>
      <c r="IN892">
        <f>IF(ISBLANK('Data Entry'!$ĸ$892), "", 'Data Entry'!$ĸ$892)</f>
      </c>
      <c r="IO892">
        <f>IF(ISBLANK('Data Entry'!$Ĺ$892), "", 'Data Entry'!$Ĺ$892)</f>
      </c>
      <c r="IP892">
        <f>IF(ISBLANK('Data Entry'!$ĺ$892), "", 'Data Entry'!$ĺ$892)</f>
      </c>
      <c r="IQ892">
        <f>IF(ISBLANK('Data Entry'!$Ļ$892), "", 'Data Entry'!$Ļ$892)</f>
      </c>
      <c r="IR892">
        <f>IF(ISBLANK('Data Entry'!$ļ$892), "", 'Data Entry'!$ļ$892)</f>
      </c>
      <c r="IS892">
        <f>IF(ISBLANK('Data Entry'!$Ľ$892), "", 'Data Entry'!$Ľ$892)</f>
      </c>
      <c r="IT892">
        <f>IF(ISBLANK('Data Entry'!$ľ$892), "", 'Data Entry'!$ľ$892)</f>
      </c>
    </row>
    <row r="893" spans="1:254" x14ac:dyDescent="0.25">
      <c r="A893">
        <f>IF(ISBLANK('Data Entry'!$A$893), "", 'Data Entry'!$A$893)</f>
      </c>
      <c r="B893">
        <f>IF(ISBLANK('Data Entry'!$B$893), "", 'Data Entry'!$B$893)</f>
      </c>
      <c r="C893">
        <f>IF(ISBLANK('Data Entry'!$C$893), "", 'Data Entry'!$C$893)</f>
      </c>
      <c r="D893">
        <f>IF(ISBLANK('Data Entry'!$D$893), "", 'Data Entry'!$D$893)</f>
      </c>
      <c r="E893">
        <f>IF(ISBLANK('Data Entry'!$E$893), "", 'Data Entry'!$E$893)</f>
      </c>
      <c r="F893">
        <f>IF(ISBLANK('Data Entry'!$F$893), "", 'Data Entry'!$F$893)</f>
      </c>
      <c r="G893">
        <f>IF(ISBLANK('Data Entry'!$G$893), "", 'Data Entry'!$G$893)</f>
      </c>
      <c r="H893">
        <f>IF(ISBLANK('Data Entry'!$H$893), "", 'Data Entry'!$H$893)</f>
      </c>
      <c r="I893">
        <f>IF(ISBLANK('Data Entry'!$I$893), "", 'Data Entry'!$I$893)</f>
      </c>
      <c r="J893">
        <f>IF(ISBLANK('Data Entry'!$J$893), "", 'Data Entry'!$J$893)</f>
      </c>
      <c r="K893">
        <f>IF(ISBLANK('Data Entry'!$K$893), "", 'Data Entry'!$K$893)</f>
      </c>
      <c r="L893">
        <f>IF(ISBLANK('Data Entry'!$L$893), "", 'Data Entry'!$L$893)</f>
      </c>
      <c r="M893">
        <f>IF(ISBLANK('Data Entry'!$M$893), "", 'Data Entry'!$M$893)</f>
      </c>
      <c r="N893">
        <f>IF(ISBLANK('Data Entry'!$N$893), "", 'Data Entry'!$N$893)</f>
      </c>
      <c r="O893">
        <f>IF(ISBLANK('Data Entry'!$O$893), "", 'Data Entry'!$O$893)</f>
      </c>
      <c r="P893">
        <f>IF(ISBLANK('Data Entry'!$P$893), "", 'Data Entry'!$P$893)</f>
      </c>
      <c r="Q893">
        <f>IF(ISBLANK('Data Entry'!$Q$893), "", 'Data Entry'!$Q$893)</f>
      </c>
      <c r="R893">
        <f>IF(ISBLANK('Data Entry'!$R$893), "", 'Data Entry'!$R$893)</f>
      </c>
      <c r="S893">
        <f>IF(ISBLANK('Data Entry'!$S$893), "", 'Data Entry'!$S$893)</f>
      </c>
      <c r="T893">
        <f>IF(ISBLANK('Data Entry'!$T$893), "", 'Data Entry'!$T$893)</f>
      </c>
      <c r="U893">
        <f>IF(ISBLANK('Data Entry'!$U$893), "", 'Data Entry'!$U$893)</f>
      </c>
      <c r="V893">
        <f>IF(ISBLANK('Data Entry'!$V$893), "", 'Data Entry'!$V$893)</f>
      </c>
      <c r="W893">
        <f>IF(ISBLANK('Data Entry'!$W$893), "", 'Data Entry'!$W$893)</f>
      </c>
      <c r="X893">
        <f>IF(ISBLANK('Data Entry'!$X$893), "", 'Data Entry'!$X$893)</f>
      </c>
      <c r="Y893">
        <f>IF(ISBLANK('Data Entry'!$Y$893), "", 'Data Entry'!$Y$893)</f>
      </c>
      <c r="Z893">
        <f>IF(ISBLANK('Data Entry'!$Z$893), "", 'Data Entry'!$Z$893)</f>
      </c>
      <c r="AA893">
        <f>IF(ISBLANK('Data Entry'!$[$893), "", 'Data Entry'!$[$893)</f>
      </c>
      <c r="AB893">
        <f>IF(ISBLANK('Data Entry'!$\$893), "", 'Data Entry'!$\$893)</f>
      </c>
      <c r="AC893">
        <f>IF(ISBLANK('Data Entry'!$]$893), "", 'Data Entry'!$]$893)</f>
      </c>
      <c r="AD893">
        <f>IF(ISBLANK('Data Entry'!$^$893), "", 'Data Entry'!$^$893)</f>
      </c>
      <c r="AE893">
        <f>IF(ISBLANK('Data Entry'!$_$893), "", 'Data Entry'!$_$893)</f>
      </c>
      <c r="AF893">
        <f>IF(ISBLANK('Data Entry'!$`$893), "", 'Data Entry'!$`$893)</f>
      </c>
      <c r="AG893">
        <f>IF(ISBLANK('Data Entry'!$a$893), "", 'Data Entry'!$a$893)</f>
      </c>
      <c r="AH893">
        <f>IF(ISBLANK('Data Entry'!$b$893), "", 'Data Entry'!$b$893)</f>
      </c>
      <c r="AI893">
        <f>IF(ISBLANK('Data Entry'!$c$893), "", 'Data Entry'!$c$893)</f>
      </c>
      <c r="AJ893">
        <f>IF(ISBLANK('Data Entry'!$d$893), "", 'Data Entry'!$d$893)</f>
      </c>
      <c r="AK893">
        <f>IF(ISBLANK('Data Entry'!$e$893), "", 'Data Entry'!$e$893)</f>
      </c>
      <c r="AL893">
        <f>IF(ISBLANK('Data Entry'!$f$893), "", 'Data Entry'!$f$893)</f>
      </c>
      <c r="AM893">
        <f>IF(ISBLANK('Data Entry'!$g$893), "", 'Data Entry'!$g$893)</f>
      </c>
      <c r="AN893">
        <f>IF(ISBLANK('Data Entry'!$h$893), "", 'Data Entry'!$h$893)</f>
      </c>
      <c r="AO893">
        <f>IF(ISBLANK('Data Entry'!$i$893), "", 'Data Entry'!$i$893)</f>
      </c>
      <c r="AP893">
        <f>IF(ISBLANK('Data Entry'!$j$893), "", 'Data Entry'!$j$893)</f>
      </c>
      <c r="AQ893">
        <f>IF(ISBLANK('Data Entry'!$k$893), "", 'Data Entry'!$k$893)</f>
      </c>
      <c r="AR893">
        <f>IF(ISBLANK('Data Entry'!$l$893), "", 'Data Entry'!$l$893)</f>
      </c>
      <c r="AS893">
        <f>IF(ISBLANK('Data Entry'!$m$893), "", 'Data Entry'!$m$893)</f>
      </c>
      <c r="AT893">
        <f>IF(ISBLANK('Data Entry'!$n$893), "", 'Data Entry'!$n$893)</f>
      </c>
      <c r="AU893">
        <f>IF(ISBLANK('Data Entry'!$o$893), "", 'Data Entry'!$o$893)</f>
      </c>
      <c r="AV893">
        <f>IF(ISBLANK('Data Entry'!$p$893), "", 'Data Entry'!$p$893)</f>
      </c>
      <c r="AW893">
        <f>IF(ISBLANK('Data Entry'!$q$893), "", 'Data Entry'!$q$893)</f>
      </c>
      <c r="AX893">
        <f>IF(ISBLANK('Data Entry'!$r$893), "", 'Data Entry'!$r$893)</f>
      </c>
      <c r="AY893">
        <f>IF(ISBLANK('Data Entry'!$s$893), "", 'Data Entry'!$s$893)</f>
      </c>
      <c r="AZ893">
        <f>IF(ISBLANK('Data Entry'!$t$893), "", 'Data Entry'!$t$893)</f>
      </c>
      <c r="BA893">
        <f>IF(ISBLANK('Data Entry'!$u$893), "", 'Data Entry'!$u$893)</f>
      </c>
      <c r="BB893">
        <f>IF(ISBLANK('Data Entry'!$v$893), "", 'Data Entry'!$v$893)</f>
      </c>
      <c r="BC893">
        <f>IF(ISBLANK('Data Entry'!$w$893), "", 'Data Entry'!$w$893)</f>
      </c>
      <c r="BD893">
        <f>IF(ISBLANK('Data Entry'!$x$893), "", 'Data Entry'!$x$893)</f>
      </c>
      <c r="BE893">
        <f>IF(ISBLANK('Data Entry'!$y$893), "", 'Data Entry'!$y$893)</f>
      </c>
      <c r="BF893">
        <f>IF(ISBLANK('Data Entry'!$z$893), "", 'Data Entry'!$z$893)</f>
      </c>
      <c r="BG893">
        <f>IF(ISBLANK('Data Entry'!${$893), "", 'Data Entry'!${$893)</f>
      </c>
      <c r="BH893">
        <f>IF(ISBLANK('Data Entry'!$|$893), "", 'Data Entry'!$|$893)</f>
      </c>
      <c r="BI893">
        <f>IF(ISBLANK('Data Entry'!$}$893), "", 'Data Entry'!$}$893)</f>
      </c>
      <c r="BJ893">
        <f>IF(ISBLANK('Data Entry'!$~$893), "", 'Data Entry'!$~$893)</f>
      </c>
      <c r="BK893">
        <f>IF(ISBLANK('Data Entry'!$$893), "", 'Data Entry'!$$893)</f>
      </c>
      <c r="BL893">
        <f>IF(ISBLANK('Data Entry'!$$893), "", 'Data Entry'!$$893)</f>
      </c>
      <c r="BM893">
        <f>IF(ISBLANK('Data Entry'!$$893), "", 'Data Entry'!$$893)</f>
      </c>
      <c r="BN893">
        <f>IF(ISBLANK('Data Entry'!$$893), "", 'Data Entry'!$$893)</f>
      </c>
      <c r="BO893">
        <f>IF(ISBLANK('Data Entry'!$$893), "", 'Data Entry'!$$893)</f>
      </c>
      <c r="BP893">
        <f>IF(ISBLANK('Data Entry'!$$893), "", 'Data Entry'!$$893)</f>
      </c>
      <c r="BQ893">
        <f>IF(ISBLANK('Data Entry'!$$893), "", 'Data Entry'!$$893)</f>
      </c>
      <c r="BR893">
        <f>IF(ISBLANK('Data Entry'!$$893), "", 'Data Entry'!$$893)</f>
      </c>
      <c r="BS893">
        <f>IF(ISBLANK('Data Entry'!$$893), "", 'Data Entry'!$$893)</f>
      </c>
      <c r="BT893">
        <f>IF(ISBLANK('Data Entry'!$$893), "", 'Data Entry'!$$893)</f>
      </c>
      <c r="BU893">
        <f>IF(ISBLANK('Data Entry'!$$893), "", 'Data Entry'!$$893)</f>
      </c>
      <c r="BV893">
        <f>IF(ISBLANK('Data Entry'!$$893), "", 'Data Entry'!$$893)</f>
      </c>
      <c r="BW893">
        <f>IF(ISBLANK('Data Entry'!$$893), "", 'Data Entry'!$$893)</f>
      </c>
      <c r="BX893">
        <f>IF(ISBLANK('Data Entry'!$$893), "", 'Data Entry'!$$893)</f>
      </c>
      <c r="BY893">
        <f>IF(ISBLANK('Data Entry'!$$893), "", 'Data Entry'!$$893)</f>
      </c>
      <c r="BZ893">
        <f>IF(ISBLANK('Data Entry'!$$893), "", 'Data Entry'!$$893)</f>
      </c>
      <c r="CA893">
        <f>IF(ISBLANK('Data Entry'!$$893), "", 'Data Entry'!$$893)</f>
      </c>
      <c r="CB893">
        <f>IF(ISBLANK('Data Entry'!$$893), "", 'Data Entry'!$$893)</f>
      </c>
      <c r="CC893">
        <f>IF(ISBLANK('Data Entry'!$$893), "", 'Data Entry'!$$893)</f>
      </c>
      <c r="CD893">
        <f>IF(ISBLANK('Data Entry'!$$893), "", 'Data Entry'!$$893)</f>
      </c>
      <c r="CE893">
        <f>IF(ISBLANK('Data Entry'!$$893), "", 'Data Entry'!$$893)</f>
      </c>
      <c r="CF893">
        <f>IF(ISBLANK('Data Entry'!$$893), "", 'Data Entry'!$$893)</f>
      </c>
      <c r="CG893">
        <f>IF(ISBLANK('Data Entry'!$$893), "", 'Data Entry'!$$893)</f>
      </c>
      <c r="CH893">
        <f>IF(ISBLANK('Data Entry'!$$893), "", 'Data Entry'!$$893)</f>
      </c>
      <c r="CI893">
        <f>IF(ISBLANK('Data Entry'!$$893), "", 'Data Entry'!$$893)</f>
      </c>
      <c r="CJ893">
        <f>IF(ISBLANK('Data Entry'!$$893), "", 'Data Entry'!$$893)</f>
      </c>
      <c r="CK893">
        <f>IF(ISBLANK('Data Entry'!$$893), "", 'Data Entry'!$$893)</f>
      </c>
      <c r="CL893">
        <f>IF(ISBLANK('Data Entry'!$$893), "", 'Data Entry'!$$893)</f>
      </c>
      <c r="CM893">
        <f>IF(ISBLANK('Data Entry'!$$893), "", 'Data Entry'!$$893)</f>
      </c>
      <c r="CN893">
        <f>IF(ISBLANK('Data Entry'!$$893), "", 'Data Entry'!$$893)</f>
      </c>
      <c r="CO893">
        <f>IF(ISBLANK('Data Entry'!$$893), "", 'Data Entry'!$$893)</f>
      </c>
      <c r="CP893">
        <f>IF(ISBLANK('Data Entry'!$$893), "", 'Data Entry'!$$893)</f>
      </c>
      <c r="CQ893">
        <f>IF(ISBLANK('Data Entry'!$$893), "", 'Data Entry'!$$893)</f>
      </c>
      <c r="CR893">
        <f>IF(ISBLANK('Data Entry'!$ $893), "", 'Data Entry'!$ $893)</f>
      </c>
      <c r="CS893">
        <f>IF(ISBLANK('Data Entry'!$¡$893), "", 'Data Entry'!$¡$893)</f>
      </c>
      <c r="CT893">
        <f>IF(ISBLANK('Data Entry'!$¢$893), "", 'Data Entry'!$¢$893)</f>
      </c>
      <c r="CU893">
        <f>IF(ISBLANK('Data Entry'!$£$893), "", 'Data Entry'!$£$893)</f>
      </c>
      <c r="CV893">
        <f>IF(ISBLANK('Data Entry'!$¤$893), "", 'Data Entry'!$¤$893)</f>
      </c>
      <c r="CW893">
        <f>IF(ISBLANK('Data Entry'!$¥$893), "", 'Data Entry'!$¥$893)</f>
      </c>
      <c r="CX893">
        <f>IF(ISBLANK('Data Entry'!$¦$893), "", 'Data Entry'!$¦$893)</f>
      </c>
      <c r="CY893">
        <f>IF(ISBLANK('Data Entry'!$§$893), "", 'Data Entry'!$§$893)</f>
      </c>
      <c r="CZ893">
        <f>IF(ISBLANK('Data Entry'!$¨$893), "", 'Data Entry'!$¨$893)</f>
      </c>
      <c r="DA893">
        <f>IF(ISBLANK('Data Entry'!$©$893), "", 'Data Entry'!$©$893)</f>
      </c>
      <c r="DB893">
        <f>IF(ISBLANK('Data Entry'!$ª$893), "", 'Data Entry'!$ª$893)</f>
      </c>
      <c r="DC893">
        <f>IF(ISBLANK('Data Entry'!$«$893), "", 'Data Entry'!$«$893)</f>
      </c>
      <c r="DD893">
        <f>IF(ISBLANK('Data Entry'!$¬$893), "", 'Data Entry'!$¬$893)</f>
      </c>
      <c r="DE893">
        <f>IF(ISBLANK('Data Entry'!$­$893), "", 'Data Entry'!$­$893)</f>
      </c>
      <c r="DF893">
        <f>IF(ISBLANK('Data Entry'!$®$893), "", 'Data Entry'!$®$893)</f>
      </c>
      <c r="DG893">
        <f>IF(ISBLANK('Data Entry'!$¯$893), "", 'Data Entry'!$¯$893)</f>
      </c>
      <c r="DH893">
        <f>IF(ISBLANK('Data Entry'!$°$893), "", 'Data Entry'!$°$893)</f>
      </c>
      <c r="DI893">
        <f>IF(ISBLANK('Data Entry'!$±$893), "", 'Data Entry'!$±$893)</f>
      </c>
      <c r="DJ893">
        <f>IF(ISBLANK('Data Entry'!$²$893), "", 'Data Entry'!$²$893)</f>
      </c>
      <c r="DK893">
        <f>IF(ISBLANK('Data Entry'!$³$893), "", 'Data Entry'!$³$893)</f>
      </c>
      <c r="DL893">
        <f>IF(ISBLANK('Data Entry'!$´$893), "", 'Data Entry'!$´$893)</f>
      </c>
      <c r="DM893">
        <f>IF(ISBLANK('Data Entry'!$µ$893), "", 'Data Entry'!$µ$893)</f>
      </c>
      <c r="DN893">
        <f>IF(ISBLANK('Data Entry'!$¶$893), "", 'Data Entry'!$¶$893)</f>
      </c>
      <c r="DO893">
        <f>IF(ISBLANK('Data Entry'!$·$893), "", 'Data Entry'!$·$893)</f>
      </c>
      <c r="DP893">
        <f>IF(ISBLANK('Data Entry'!$¸$893), "", 'Data Entry'!$¸$893)</f>
      </c>
      <c r="DQ893">
        <f>IF(ISBLANK('Data Entry'!$¹$893), "", 'Data Entry'!$¹$893)</f>
      </c>
      <c r="DR893">
        <f>IF(ISBLANK('Data Entry'!$º$893), "", 'Data Entry'!$º$893)</f>
      </c>
      <c r="DS893">
        <f>IF(ISBLANK('Data Entry'!$»$893), "", 'Data Entry'!$»$893)</f>
      </c>
      <c r="DT893">
        <f>IF(ISBLANK('Data Entry'!$¼$893), "", 'Data Entry'!$¼$893)</f>
      </c>
      <c r="DU893">
        <f>IF(ISBLANK('Data Entry'!$½$893), "", 'Data Entry'!$½$893)</f>
      </c>
      <c r="DV893">
        <f>IF(ISBLANK('Data Entry'!$¾$893), "", 'Data Entry'!$¾$893)</f>
      </c>
      <c r="DW893">
        <f>IF(ISBLANK('Data Entry'!$¿$893), "", 'Data Entry'!$¿$893)</f>
      </c>
      <c r="DX893">
        <f>IF(ISBLANK('Data Entry'!$À$893), "", 'Data Entry'!$À$893)</f>
      </c>
      <c r="DY893">
        <f>IF(ISBLANK('Data Entry'!$Á$893), "", 'Data Entry'!$Á$893)</f>
      </c>
      <c r="DZ893">
        <f>IF(ISBLANK('Data Entry'!$Â$893), "", 'Data Entry'!$Â$893)</f>
      </c>
      <c r="EA893">
        <f>IF(ISBLANK('Data Entry'!$Ã$893), "", 'Data Entry'!$Ã$893)</f>
      </c>
      <c r="EB893">
        <f>IF(ISBLANK('Data Entry'!$Ä$893), "", 'Data Entry'!$Ä$893)</f>
      </c>
      <c r="EC893">
        <f>IF(ISBLANK('Data Entry'!$Å$893), "", 'Data Entry'!$Å$893)</f>
      </c>
      <c r="ED893">
        <f>IF(ISBLANK('Data Entry'!$Æ$893), "", 'Data Entry'!$Æ$893)</f>
      </c>
      <c r="EE893">
        <f>IF(ISBLANK('Data Entry'!$Ç$893), "", 'Data Entry'!$Ç$893)</f>
      </c>
      <c r="EF893">
        <f>IF(ISBLANK('Data Entry'!$È$893), "", 'Data Entry'!$È$893)</f>
      </c>
      <c r="EG893">
        <f>IF(ISBLANK('Data Entry'!$É$893), "", 'Data Entry'!$É$893)</f>
      </c>
      <c r="EH893">
        <f>IF(ISBLANK('Data Entry'!$Ê$893), "", 'Data Entry'!$Ê$893)</f>
      </c>
      <c r="EI893">
        <f>IF(ISBLANK('Data Entry'!$Ë$893), "", 'Data Entry'!$Ë$893)</f>
      </c>
      <c r="EJ893">
        <f>IF(ISBLANK('Data Entry'!$Ì$893), "", 'Data Entry'!$Ì$893)</f>
      </c>
      <c r="EK893">
        <f>IF(ISBLANK('Data Entry'!$Í$893), "", 'Data Entry'!$Í$893)</f>
      </c>
      <c r="EL893">
        <f>IF(ISBLANK('Data Entry'!$Î$893), "", 'Data Entry'!$Î$893)</f>
      </c>
      <c r="EM893">
        <f>IF(ISBLANK('Data Entry'!$Ï$893), "", 'Data Entry'!$Ï$893)</f>
      </c>
      <c r="EN893">
        <f>IF(ISBLANK('Data Entry'!$Ð$893), "", 'Data Entry'!$Ð$893)</f>
      </c>
      <c r="EO893">
        <f>IF(ISBLANK('Data Entry'!$Ñ$893), "", 'Data Entry'!$Ñ$893)</f>
      </c>
      <c r="EP893">
        <f>IF(ISBLANK('Data Entry'!$Ò$893), "", 'Data Entry'!$Ò$893)</f>
      </c>
      <c r="EQ893">
        <f>IF(ISBLANK('Data Entry'!$Ó$893), "", 'Data Entry'!$Ó$893)</f>
      </c>
      <c r="ER893">
        <f>IF(ISBLANK('Data Entry'!$Ô$893), "", 'Data Entry'!$Ô$893)</f>
      </c>
      <c r="ES893">
        <f>IF(ISBLANK('Data Entry'!$Õ$893), "", 'Data Entry'!$Õ$893)</f>
      </c>
      <c r="ET893">
        <f>IF(ISBLANK('Data Entry'!$Ö$893), "", 'Data Entry'!$Ö$893)</f>
      </c>
      <c r="EU893">
        <f>IF(ISBLANK('Data Entry'!$×$893), "", 'Data Entry'!$×$893)</f>
      </c>
      <c r="EV893">
        <f>IF(ISBLANK('Data Entry'!$Ø$893), "", 'Data Entry'!$Ø$893)</f>
      </c>
      <c r="EW893">
        <f>IF(ISBLANK('Data Entry'!$Ù$893), "", 'Data Entry'!$Ù$893)</f>
      </c>
      <c r="EX893">
        <f>IF(ISBLANK('Data Entry'!$Ú$893), "", 'Data Entry'!$Ú$893)</f>
      </c>
      <c r="EY893">
        <f>IF(ISBLANK('Data Entry'!$Û$893), "", 'Data Entry'!$Û$893)</f>
      </c>
      <c r="EZ893">
        <f>IF(ISBLANK('Data Entry'!$Ü$893), "", 'Data Entry'!$Ü$893)</f>
      </c>
      <c r="FA893">
        <f>IF(ISBLANK('Data Entry'!$Ý$893), "", 'Data Entry'!$Ý$893)</f>
      </c>
      <c r="FB893">
        <f>IF(ISBLANK('Data Entry'!$Þ$893), "", 'Data Entry'!$Þ$893)</f>
      </c>
      <c r="FC893">
        <f>IF(ISBLANK('Data Entry'!$ß$893), "", 'Data Entry'!$ß$893)</f>
      </c>
      <c r="FD893">
        <f>IF(ISBLANK('Data Entry'!$à$893), "", 'Data Entry'!$à$893)</f>
      </c>
      <c r="FE893">
        <f>IF(ISBLANK('Data Entry'!$á$893), "", 'Data Entry'!$á$893)</f>
      </c>
      <c r="FF893">
        <f>IF(ISBLANK('Data Entry'!$â$893), "", 'Data Entry'!$â$893)</f>
      </c>
      <c r="FG893">
        <f>IF(ISBLANK('Data Entry'!$ã$893), "", 'Data Entry'!$ã$893)</f>
      </c>
      <c r="FH893">
        <f>IF(ISBLANK('Data Entry'!$ä$893), "", 'Data Entry'!$ä$893)</f>
      </c>
      <c r="FI893">
        <f>IF(ISBLANK('Data Entry'!$å$893), "", 'Data Entry'!$å$893)</f>
      </c>
      <c r="FJ893">
        <f>IF(ISBLANK('Data Entry'!$æ$893), "", 'Data Entry'!$æ$893)</f>
      </c>
      <c r="FK893">
        <f>IF(ISBLANK('Data Entry'!$ç$893), "", 'Data Entry'!$ç$893)</f>
      </c>
      <c r="FL893">
        <f>IF(ISBLANK('Data Entry'!$è$893), "", 'Data Entry'!$è$893)</f>
      </c>
      <c r="FM893">
        <f>IF(ISBLANK('Data Entry'!$é$893), "", 'Data Entry'!$é$893)</f>
      </c>
      <c r="FN893">
        <f>IF(ISBLANK('Data Entry'!$ê$893), "", 'Data Entry'!$ê$893)</f>
      </c>
      <c r="FO893">
        <f>IF(ISBLANK('Data Entry'!$ë$893), "", 'Data Entry'!$ë$893)</f>
      </c>
      <c r="FP893">
        <f>IF(ISBLANK('Data Entry'!$ì$893), "", 'Data Entry'!$ì$893)</f>
      </c>
      <c r="FQ893">
        <f>IF(ISBLANK('Data Entry'!$í$893), "", 'Data Entry'!$í$893)</f>
      </c>
      <c r="FR893">
        <f>IF(ISBLANK('Data Entry'!$î$893), "", 'Data Entry'!$î$893)</f>
      </c>
      <c r="FS893">
        <f>IF(ISBLANK('Data Entry'!$ï$893), "", 'Data Entry'!$ï$893)</f>
      </c>
      <c r="FT893">
        <f>IF(ISBLANK('Data Entry'!$ð$893), "", 'Data Entry'!$ð$893)</f>
      </c>
      <c r="FU893">
        <f>IF(ISBLANK('Data Entry'!$ñ$893), "", 'Data Entry'!$ñ$893)</f>
      </c>
      <c r="FV893">
        <f>IF(ISBLANK('Data Entry'!$ò$893), "", 'Data Entry'!$ò$893)</f>
      </c>
      <c r="FW893">
        <f>IF(ISBLANK('Data Entry'!$ó$893), "", 'Data Entry'!$ó$893)</f>
      </c>
      <c r="FX893">
        <f>IF(ISBLANK('Data Entry'!$ô$893), "", 'Data Entry'!$ô$893)</f>
      </c>
      <c r="FY893">
        <f>IF(ISBLANK('Data Entry'!$õ$893), "", 'Data Entry'!$õ$893)</f>
      </c>
      <c r="FZ893">
        <f>IF(ISBLANK('Data Entry'!$ö$893), "", 'Data Entry'!$ö$893)</f>
      </c>
      <c r="GA893">
        <f>IF(ISBLANK('Data Entry'!$÷$893), "", 'Data Entry'!$÷$893)</f>
      </c>
      <c r="GB893">
        <f>IF(ISBLANK('Data Entry'!$ø$893), "", 'Data Entry'!$ø$893)</f>
      </c>
      <c r="GC893">
        <f>IF(ISBLANK('Data Entry'!$ù$893), "", 'Data Entry'!$ù$893)</f>
      </c>
      <c r="GD893">
        <f>IF(ISBLANK('Data Entry'!$ú$893), "", 'Data Entry'!$ú$893)</f>
      </c>
      <c r="GE893">
        <f>IF(ISBLANK('Data Entry'!$û$893), "", 'Data Entry'!$û$893)</f>
      </c>
      <c r="GF893">
        <f>IF(ISBLANK('Data Entry'!$ü$893), "", 'Data Entry'!$ü$893)</f>
      </c>
      <c r="GG893">
        <f>IF(ISBLANK('Data Entry'!$ý$893), "", 'Data Entry'!$ý$893)</f>
      </c>
      <c r="GH893">
        <f>IF(ISBLANK('Data Entry'!$þ$893), "", 'Data Entry'!$þ$893)</f>
      </c>
      <c r="GI893">
        <f>IF(ISBLANK('Data Entry'!$ÿ$893), "", 'Data Entry'!$ÿ$893)</f>
      </c>
      <c r="GJ893">
        <f>IF(ISBLANK('Data Entry'!$Ā$893), "", 'Data Entry'!$Ā$893)</f>
      </c>
      <c r="GK893">
        <f>IF(ISBLANK('Data Entry'!$ā$893), "", 'Data Entry'!$ā$893)</f>
      </c>
      <c r="GL893">
        <f>IF(ISBLANK('Data Entry'!$Ă$893), "", 'Data Entry'!$Ă$893)</f>
      </c>
      <c r="GM893">
        <f>IF(ISBLANK('Data Entry'!$ă$893), "", 'Data Entry'!$ă$893)</f>
      </c>
      <c r="GN893">
        <f>IF(ISBLANK('Data Entry'!$Ą$893), "", 'Data Entry'!$Ą$893)</f>
      </c>
      <c r="GO893">
        <f>IF(ISBLANK('Data Entry'!$ą$893), "", 'Data Entry'!$ą$893)</f>
      </c>
      <c r="GP893">
        <f>IF(ISBLANK('Data Entry'!$Ć$893), "", 'Data Entry'!$Ć$893)</f>
      </c>
      <c r="GQ893">
        <f>IF(ISBLANK('Data Entry'!$ć$893), "", 'Data Entry'!$ć$893)</f>
      </c>
      <c r="GR893">
        <f>IF(ISBLANK('Data Entry'!$Ĉ$893), "", 'Data Entry'!$Ĉ$893)</f>
      </c>
      <c r="GS893">
        <f>IF(ISBLANK('Data Entry'!$ĉ$893), "", 'Data Entry'!$ĉ$893)</f>
      </c>
      <c r="GT893">
        <f>IF(ISBLANK('Data Entry'!$Ċ$893), "", 'Data Entry'!$Ċ$893)</f>
      </c>
      <c r="GU893">
        <f>IF(ISBLANK('Data Entry'!$ċ$893), "", 'Data Entry'!$ċ$893)</f>
      </c>
      <c r="GV893">
        <f>IF(ISBLANK('Data Entry'!$Č$893), "", 'Data Entry'!$Č$893)</f>
      </c>
      <c r="GW893">
        <f>IF(ISBLANK('Data Entry'!$č$893), "", 'Data Entry'!$č$893)</f>
      </c>
      <c r="GX893">
        <f>IF(ISBLANK('Data Entry'!$Ď$893), "", 'Data Entry'!$Ď$893)</f>
      </c>
      <c r="GY893">
        <f>IF(ISBLANK('Data Entry'!$ď$893), "", 'Data Entry'!$ď$893)</f>
      </c>
      <c r="GZ893">
        <f>IF(ISBLANK('Data Entry'!$Đ$893), "", 'Data Entry'!$Đ$893)</f>
      </c>
      <c r="HA893">
        <f>IF(ISBLANK('Data Entry'!$đ$893), "", 'Data Entry'!$đ$893)</f>
      </c>
      <c r="HB893">
        <f>IF(ISBLANK('Data Entry'!$Ē$893), "", 'Data Entry'!$Ē$893)</f>
      </c>
      <c r="HC893">
        <f>IF(ISBLANK('Data Entry'!$ē$893), "", 'Data Entry'!$ē$893)</f>
      </c>
      <c r="HD893">
        <f>IF(ISBLANK('Data Entry'!$Ĕ$893), "", 'Data Entry'!$Ĕ$893)</f>
      </c>
      <c r="HE893">
        <f>IF(ISBLANK('Data Entry'!$ĕ$893), "", 'Data Entry'!$ĕ$893)</f>
      </c>
      <c r="HF893">
        <f>IF(ISBLANK('Data Entry'!$Ė$893), "", 'Data Entry'!$Ė$893)</f>
      </c>
      <c r="HG893">
        <f>IF(ISBLANK('Data Entry'!$ė$893), "", 'Data Entry'!$ė$893)</f>
      </c>
      <c r="HH893">
        <f>IF(ISBLANK('Data Entry'!$Ę$893), "", 'Data Entry'!$Ę$893)</f>
      </c>
      <c r="HI893">
        <f>IF(ISBLANK('Data Entry'!$ę$893), "", 'Data Entry'!$ę$893)</f>
      </c>
      <c r="HJ893">
        <f>IF(ISBLANK('Data Entry'!$Ě$893), "", 'Data Entry'!$Ě$893)</f>
      </c>
      <c r="HK893">
        <f>IF(ISBLANK('Data Entry'!$ě$893), "", 'Data Entry'!$ě$893)</f>
      </c>
      <c r="HL893">
        <f>IF(ISBLANK('Data Entry'!$Ĝ$893), "", 'Data Entry'!$Ĝ$893)</f>
      </c>
      <c r="HM893">
        <f>IF(ISBLANK('Data Entry'!$ĝ$893), "", 'Data Entry'!$ĝ$893)</f>
      </c>
      <c r="HN893">
        <f>IF(ISBLANK('Data Entry'!$Ğ$893), "", 'Data Entry'!$Ğ$893)</f>
      </c>
      <c r="HO893">
        <f>IF(ISBLANK('Data Entry'!$ğ$893), "", 'Data Entry'!$ğ$893)</f>
      </c>
      <c r="HP893">
        <f>IF(ISBLANK('Data Entry'!$Ġ$893), "", 'Data Entry'!$Ġ$893)</f>
      </c>
      <c r="HQ893">
        <f>IF(ISBLANK('Data Entry'!$ġ$893), "", 'Data Entry'!$ġ$893)</f>
      </c>
      <c r="HR893">
        <f>IF(ISBLANK('Data Entry'!$Ģ$893), "", 'Data Entry'!$Ģ$893)</f>
      </c>
      <c r="HS893">
        <f>IF(ISBLANK('Data Entry'!$ģ$893), "", 'Data Entry'!$ģ$893)</f>
      </c>
      <c r="HT893">
        <f>IF(ISBLANK('Data Entry'!$Ĥ$893), "", 'Data Entry'!$Ĥ$893)</f>
      </c>
      <c r="HU893">
        <f>IF(ISBLANK('Data Entry'!$ĥ$893), "", 'Data Entry'!$ĥ$893)</f>
      </c>
      <c r="HV893">
        <f>IF(ISBLANK('Data Entry'!$Ħ$893), "", 'Data Entry'!$Ħ$893)</f>
      </c>
      <c r="HW893">
        <f>IF(ISBLANK('Data Entry'!$ħ$893), "", 'Data Entry'!$ħ$893)</f>
      </c>
      <c r="HX893">
        <f>IF(ISBLANK('Data Entry'!$Ĩ$893), "", 'Data Entry'!$Ĩ$893)</f>
      </c>
      <c r="HY893">
        <f>IF(ISBLANK('Data Entry'!$ĩ$893), "", 'Data Entry'!$ĩ$893)</f>
      </c>
      <c r="HZ893">
        <f>IF(ISBLANK('Data Entry'!$Ī$893), "", 'Data Entry'!$Ī$893)</f>
      </c>
      <c r="IA893">
        <f>IF(ISBLANK('Data Entry'!$ī$893), "", 'Data Entry'!$ī$893)</f>
      </c>
      <c r="IB893">
        <f>IF(ISBLANK('Data Entry'!$Ĭ$893), "", 'Data Entry'!$Ĭ$893)</f>
      </c>
      <c r="IC893">
        <f>IF(ISBLANK('Data Entry'!$ĭ$893), "", 'Data Entry'!$ĭ$893)</f>
      </c>
      <c r="ID893">
        <f>IF(ISBLANK('Data Entry'!$Į$893), "", 'Data Entry'!$Į$893)</f>
      </c>
      <c r="IE893">
        <f>IF(ISBLANK('Data Entry'!$į$893), "", 'Data Entry'!$į$893)</f>
      </c>
      <c r="IF893">
        <f>IF(ISBLANK('Data Entry'!$İ$893), "", 'Data Entry'!$İ$893)</f>
      </c>
      <c r="IG893">
        <f>IF(ISBLANK('Data Entry'!$ı$893), "", 'Data Entry'!$ı$893)</f>
      </c>
      <c r="IH893">
        <f>IF(ISBLANK('Data Entry'!$Ĳ$893), "", 'Data Entry'!$Ĳ$893)</f>
      </c>
      <c r="II893">
        <f>IF(ISBLANK('Data Entry'!$ĳ$893), "", 'Data Entry'!$ĳ$893)</f>
      </c>
      <c r="IJ893">
        <f>IF(ISBLANK('Data Entry'!$Ĵ$893), "", 'Data Entry'!$Ĵ$893)</f>
      </c>
      <c r="IK893">
        <f>IF(ISBLANK('Data Entry'!$ĵ$893), "", 'Data Entry'!$ĵ$893)</f>
      </c>
      <c r="IL893">
        <f>IF(ISBLANK('Data Entry'!$Ķ$893), "", 'Data Entry'!$Ķ$893)</f>
      </c>
      <c r="IM893">
        <f>IF(ISBLANK('Data Entry'!$ķ$893), "", 'Data Entry'!$ķ$893)</f>
      </c>
      <c r="IN893">
        <f>IF(ISBLANK('Data Entry'!$ĸ$893), "", 'Data Entry'!$ĸ$893)</f>
      </c>
      <c r="IO893">
        <f>IF(ISBLANK('Data Entry'!$Ĺ$893), "", 'Data Entry'!$Ĺ$893)</f>
      </c>
      <c r="IP893">
        <f>IF(ISBLANK('Data Entry'!$ĺ$893), "", 'Data Entry'!$ĺ$893)</f>
      </c>
      <c r="IQ893">
        <f>IF(ISBLANK('Data Entry'!$Ļ$893), "", 'Data Entry'!$Ļ$893)</f>
      </c>
      <c r="IR893">
        <f>IF(ISBLANK('Data Entry'!$ļ$893), "", 'Data Entry'!$ļ$893)</f>
      </c>
      <c r="IS893">
        <f>IF(ISBLANK('Data Entry'!$Ľ$893), "", 'Data Entry'!$Ľ$893)</f>
      </c>
      <c r="IT893">
        <f>IF(ISBLANK('Data Entry'!$ľ$893), "", 'Data Entry'!$ľ$893)</f>
      </c>
    </row>
    <row r="894" spans="1:254" x14ac:dyDescent="0.25">
      <c r="A894">
        <f>IF(ISBLANK('Data Entry'!$A$894), "", 'Data Entry'!$A$894)</f>
      </c>
      <c r="B894">
        <f>IF(ISBLANK('Data Entry'!$B$894), "", 'Data Entry'!$B$894)</f>
      </c>
      <c r="C894">
        <f>IF(ISBLANK('Data Entry'!$C$894), "", 'Data Entry'!$C$894)</f>
      </c>
      <c r="D894">
        <f>IF(ISBLANK('Data Entry'!$D$894), "", 'Data Entry'!$D$894)</f>
      </c>
      <c r="E894">
        <f>IF(ISBLANK('Data Entry'!$E$894), "", 'Data Entry'!$E$894)</f>
      </c>
      <c r="F894">
        <f>IF(ISBLANK('Data Entry'!$F$894), "", 'Data Entry'!$F$894)</f>
      </c>
      <c r="G894">
        <f>IF(ISBLANK('Data Entry'!$G$894), "", 'Data Entry'!$G$894)</f>
      </c>
      <c r="H894">
        <f>IF(ISBLANK('Data Entry'!$H$894), "", 'Data Entry'!$H$894)</f>
      </c>
      <c r="I894">
        <f>IF(ISBLANK('Data Entry'!$I$894), "", 'Data Entry'!$I$894)</f>
      </c>
      <c r="J894">
        <f>IF(ISBLANK('Data Entry'!$J$894), "", 'Data Entry'!$J$894)</f>
      </c>
      <c r="K894">
        <f>IF(ISBLANK('Data Entry'!$K$894), "", 'Data Entry'!$K$894)</f>
      </c>
      <c r="L894">
        <f>IF(ISBLANK('Data Entry'!$L$894), "", 'Data Entry'!$L$894)</f>
      </c>
      <c r="M894">
        <f>IF(ISBLANK('Data Entry'!$M$894), "", 'Data Entry'!$M$894)</f>
      </c>
      <c r="N894">
        <f>IF(ISBLANK('Data Entry'!$N$894), "", 'Data Entry'!$N$894)</f>
      </c>
      <c r="O894">
        <f>IF(ISBLANK('Data Entry'!$O$894), "", 'Data Entry'!$O$894)</f>
      </c>
      <c r="P894">
        <f>IF(ISBLANK('Data Entry'!$P$894), "", 'Data Entry'!$P$894)</f>
      </c>
      <c r="Q894">
        <f>IF(ISBLANK('Data Entry'!$Q$894), "", 'Data Entry'!$Q$894)</f>
      </c>
      <c r="R894">
        <f>IF(ISBLANK('Data Entry'!$R$894), "", 'Data Entry'!$R$894)</f>
      </c>
      <c r="S894">
        <f>IF(ISBLANK('Data Entry'!$S$894), "", 'Data Entry'!$S$894)</f>
      </c>
      <c r="T894">
        <f>IF(ISBLANK('Data Entry'!$T$894), "", 'Data Entry'!$T$894)</f>
      </c>
      <c r="U894">
        <f>IF(ISBLANK('Data Entry'!$U$894), "", 'Data Entry'!$U$894)</f>
      </c>
      <c r="V894">
        <f>IF(ISBLANK('Data Entry'!$V$894), "", 'Data Entry'!$V$894)</f>
      </c>
      <c r="W894">
        <f>IF(ISBLANK('Data Entry'!$W$894), "", 'Data Entry'!$W$894)</f>
      </c>
      <c r="X894">
        <f>IF(ISBLANK('Data Entry'!$X$894), "", 'Data Entry'!$X$894)</f>
      </c>
      <c r="Y894">
        <f>IF(ISBLANK('Data Entry'!$Y$894), "", 'Data Entry'!$Y$894)</f>
      </c>
      <c r="Z894">
        <f>IF(ISBLANK('Data Entry'!$Z$894), "", 'Data Entry'!$Z$894)</f>
      </c>
      <c r="AA894">
        <f>IF(ISBLANK('Data Entry'!$[$894), "", 'Data Entry'!$[$894)</f>
      </c>
      <c r="AB894">
        <f>IF(ISBLANK('Data Entry'!$\$894), "", 'Data Entry'!$\$894)</f>
      </c>
      <c r="AC894">
        <f>IF(ISBLANK('Data Entry'!$]$894), "", 'Data Entry'!$]$894)</f>
      </c>
      <c r="AD894">
        <f>IF(ISBLANK('Data Entry'!$^$894), "", 'Data Entry'!$^$894)</f>
      </c>
      <c r="AE894">
        <f>IF(ISBLANK('Data Entry'!$_$894), "", 'Data Entry'!$_$894)</f>
      </c>
      <c r="AF894">
        <f>IF(ISBLANK('Data Entry'!$`$894), "", 'Data Entry'!$`$894)</f>
      </c>
      <c r="AG894">
        <f>IF(ISBLANK('Data Entry'!$a$894), "", 'Data Entry'!$a$894)</f>
      </c>
      <c r="AH894">
        <f>IF(ISBLANK('Data Entry'!$b$894), "", 'Data Entry'!$b$894)</f>
      </c>
      <c r="AI894">
        <f>IF(ISBLANK('Data Entry'!$c$894), "", 'Data Entry'!$c$894)</f>
      </c>
      <c r="AJ894">
        <f>IF(ISBLANK('Data Entry'!$d$894), "", 'Data Entry'!$d$894)</f>
      </c>
      <c r="AK894">
        <f>IF(ISBLANK('Data Entry'!$e$894), "", 'Data Entry'!$e$894)</f>
      </c>
      <c r="AL894">
        <f>IF(ISBLANK('Data Entry'!$f$894), "", 'Data Entry'!$f$894)</f>
      </c>
      <c r="AM894">
        <f>IF(ISBLANK('Data Entry'!$g$894), "", 'Data Entry'!$g$894)</f>
      </c>
      <c r="AN894">
        <f>IF(ISBLANK('Data Entry'!$h$894), "", 'Data Entry'!$h$894)</f>
      </c>
      <c r="AO894">
        <f>IF(ISBLANK('Data Entry'!$i$894), "", 'Data Entry'!$i$894)</f>
      </c>
      <c r="AP894">
        <f>IF(ISBLANK('Data Entry'!$j$894), "", 'Data Entry'!$j$894)</f>
      </c>
      <c r="AQ894">
        <f>IF(ISBLANK('Data Entry'!$k$894), "", 'Data Entry'!$k$894)</f>
      </c>
      <c r="AR894">
        <f>IF(ISBLANK('Data Entry'!$l$894), "", 'Data Entry'!$l$894)</f>
      </c>
      <c r="AS894">
        <f>IF(ISBLANK('Data Entry'!$m$894), "", 'Data Entry'!$m$894)</f>
      </c>
      <c r="AT894">
        <f>IF(ISBLANK('Data Entry'!$n$894), "", 'Data Entry'!$n$894)</f>
      </c>
      <c r="AU894">
        <f>IF(ISBLANK('Data Entry'!$o$894), "", 'Data Entry'!$o$894)</f>
      </c>
      <c r="AV894">
        <f>IF(ISBLANK('Data Entry'!$p$894), "", 'Data Entry'!$p$894)</f>
      </c>
      <c r="AW894">
        <f>IF(ISBLANK('Data Entry'!$q$894), "", 'Data Entry'!$q$894)</f>
      </c>
      <c r="AX894">
        <f>IF(ISBLANK('Data Entry'!$r$894), "", 'Data Entry'!$r$894)</f>
      </c>
      <c r="AY894">
        <f>IF(ISBLANK('Data Entry'!$s$894), "", 'Data Entry'!$s$894)</f>
      </c>
      <c r="AZ894">
        <f>IF(ISBLANK('Data Entry'!$t$894), "", 'Data Entry'!$t$894)</f>
      </c>
      <c r="BA894">
        <f>IF(ISBLANK('Data Entry'!$u$894), "", 'Data Entry'!$u$894)</f>
      </c>
      <c r="BB894">
        <f>IF(ISBLANK('Data Entry'!$v$894), "", 'Data Entry'!$v$894)</f>
      </c>
      <c r="BC894">
        <f>IF(ISBLANK('Data Entry'!$w$894), "", 'Data Entry'!$w$894)</f>
      </c>
      <c r="BD894">
        <f>IF(ISBLANK('Data Entry'!$x$894), "", 'Data Entry'!$x$894)</f>
      </c>
      <c r="BE894">
        <f>IF(ISBLANK('Data Entry'!$y$894), "", 'Data Entry'!$y$894)</f>
      </c>
      <c r="BF894">
        <f>IF(ISBLANK('Data Entry'!$z$894), "", 'Data Entry'!$z$894)</f>
      </c>
      <c r="BG894">
        <f>IF(ISBLANK('Data Entry'!${$894), "", 'Data Entry'!${$894)</f>
      </c>
      <c r="BH894">
        <f>IF(ISBLANK('Data Entry'!$|$894), "", 'Data Entry'!$|$894)</f>
      </c>
      <c r="BI894">
        <f>IF(ISBLANK('Data Entry'!$}$894), "", 'Data Entry'!$}$894)</f>
      </c>
      <c r="BJ894">
        <f>IF(ISBLANK('Data Entry'!$~$894), "", 'Data Entry'!$~$894)</f>
      </c>
      <c r="BK894">
        <f>IF(ISBLANK('Data Entry'!$$894), "", 'Data Entry'!$$894)</f>
      </c>
      <c r="BL894">
        <f>IF(ISBLANK('Data Entry'!$$894), "", 'Data Entry'!$$894)</f>
      </c>
      <c r="BM894">
        <f>IF(ISBLANK('Data Entry'!$$894), "", 'Data Entry'!$$894)</f>
      </c>
      <c r="BN894">
        <f>IF(ISBLANK('Data Entry'!$$894), "", 'Data Entry'!$$894)</f>
      </c>
      <c r="BO894">
        <f>IF(ISBLANK('Data Entry'!$$894), "", 'Data Entry'!$$894)</f>
      </c>
      <c r="BP894">
        <f>IF(ISBLANK('Data Entry'!$$894), "", 'Data Entry'!$$894)</f>
      </c>
      <c r="BQ894">
        <f>IF(ISBLANK('Data Entry'!$$894), "", 'Data Entry'!$$894)</f>
      </c>
      <c r="BR894">
        <f>IF(ISBLANK('Data Entry'!$$894), "", 'Data Entry'!$$894)</f>
      </c>
      <c r="BS894">
        <f>IF(ISBLANK('Data Entry'!$$894), "", 'Data Entry'!$$894)</f>
      </c>
      <c r="BT894">
        <f>IF(ISBLANK('Data Entry'!$$894), "", 'Data Entry'!$$894)</f>
      </c>
      <c r="BU894">
        <f>IF(ISBLANK('Data Entry'!$$894), "", 'Data Entry'!$$894)</f>
      </c>
      <c r="BV894">
        <f>IF(ISBLANK('Data Entry'!$$894), "", 'Data Entry'!$$894)</f>
      </c>
      <c r="BW894">
        <f>IF(ISBLANK('Data Entry'!$$894), "", 'Data Entry'!$$894)</f>
      </c>
      <c r="BX894">
        <f>IF(ISBLANK('Data Entry'!$$894), "", 'Data Entry'!$$894)</f>
      </c>
      <c r="BY894">
        <f>IF(ISBLANK('Data Entry'!$$894), "", 'Data Entry'!$$894)</f>
      </c>
      <c r="BZ894">
        <f>IF(ISBLANK('Data Entry'!$$894), "", 'Data Entry'!$$894)</f>
      </c>
      <c r="CA894">
        <f>IF(ISBLANK('Data Entry'!$$894), "", 'Data Entry'!$$894)</f>
      </c>
      <c r="CB894">
        <f>IF(ISBLANK('Data Entry'!$$894), "", 'Data Entry'!$$894)</f>
      </c>
      <c r="CC894">
        <f>IF(ISBLANK('Data Entry'!$$894), "", 'Data Entry'!$$894)</f>
      </c>
      <c r="CD894">
        <f>IF(ISBLANK('Data Entry'!$$894), "", 'Data Entry'!$$894)</f>
      </c>
      <c r="CE894">
        <f>IF(ISBLANK('Data Entry'!$$894), "", 'Data Entry'!$$894)</f>
      </c>
      <c r="CF894">
        <f>IF(ISBLANK('Data Entry'!$$894), "", 'Data Entry'!$$894)</f>
      </c>
      <c r="CG894">
        <f>IF(ISBLANK('Data Entry'!$$894), "", 'Data Entry'!$$894)</f>
      </c>
      <c r="CH894">
        <f>IF(ISBLANK('Data Entry'!$$894), "", 'Data Entry'!$$894)</f>
      </c>
      <c r="CI894">
        <f>IF(ISBLANK('Data Entry'!$$894), "", 'Data Entry'!$$894)</f>
      </c>
      <c r="CJ894">
        <f>IF(ISBLANK('Data Entry'!$$894), "", 'Data Entry'!$$894)</f>
      </c>
      <c r="CK894">
        <f>IF(ISBLANK('Data Entry'!$$894), "", 'Data Entry'!$$894)</f>
      </c>
      <c r="CL894">
        <f>IF(ISBLANK('Data Entry'!$$894), "", 'Data Entry'!$$894)</f>
      </c>
      <c r="CM894">
        <f>IF(ISBLANK('Data Entry'!$$894), "", 'Data Entry'!$$894)</f>
      </c>
      <c r="CN894">
        <f>IF(ISBLANK('Data Entry'!$$894), "", 'Data Entry'!$$894)</f>
      </c>
      <c r="CO894">
        <f>IF(ISBLANK('Data Entry'!$$894), "", 'Data Entry'!$$894)</f>
      </c>
      <c r="CP894">
        <f>IF(ISBLANK('Data Entry'!$$894), "", 'Data Entry'!$$894)</f>
      </c>
      <c r="CQ894">
        <f>IF(ISBLANK('Data Entry'!$$894), "", 'Data Entry'!$$894)</f>
      </c>
      <c r="CR894">
        <f>IF(ISBLANK('Data Entry'!$ $894), "", 'Data Entry'!$ $894)</f>
      </c>
      <c r="CS894">
        <f>IF(ISBLANK('Data Entry'!$¡$894), "", 'Data Entry'!$¡$894)</f>
      </c>
      <c r="CT894">
        <f>IF(ISBLANK('Data Entry'!$¢$894), "", 'Data Entry'!$¢$894)</f>
      </c>
      <c r="CU894">
        <f>IF(ISBLANK('Data Entry'!$£$894), "", 'Data Entry'!$£$894)</f>
      </c>
      <c r="CV894">
        <f>IF(ISBLANK('Data Entry'!$¤$894), "", 'Data Entry'!$¤$894)</f>
      </c>
      <c r="CW894">
        <f>IF(ISBLANK('Data Entry'!$¥$894), "", 'Data Entry'!$¥$894)</f>
      </c>
      <c r="CX894">
        <f>IF(ISBLANK('Data Entry'!$¦$894), "", 'Data Entry'!$¦$894)</f>
      </c>
      <c r="CY894">
        <f>IF(ISBLANK('Data Entry'!$§$894), "", 'Data Entry'!$§$894)</f>
      </c>
      <c r="CZ894">
        <f>IF(ISBLANK('Data Entry'!$¨$894), "", 'Data Entry'!$¨$894)</f>
      </c>
      <c r="DA894">
        <f>IF(ISBLANK('Data Entry'!$©$894), "", 'Data Entry'!$©$894)</f>
      </c>
      <c r="DB894">
        <f>IF(ISBLANK('Data Entry'!$ª$894), "", 'Data Entry'!$ª$894)</f>
      </c>
      <c r="DC894">
        <f>IF(ISBLANK('Data Entry'!$«$894), "", 'Data Entry'!$«$894)</f>
      </c>
      <c r="DD894">
        <f>IF(ISBLANK('Data Entry'!$¬$894), "", 'Data Entry'!$¬$894)</f>
      </c>
      <c r="DE894">
        <f>IF(ISBLANK('Data Entry'!$­$894), "", 'Data Entry'!$­$894)</f>
      </c>
      <c r="DF894">
        <f>IF(ISBLANK('Data Entry'!$®$894), "", 'Data Entry'!$®$894)</f>
      </c>
      <c r="DG894">
        <f>IF(ISBLANK('Data Entry'!$¯$894), "", 'Data Entry'!$¯$894)</f>
      </c>
      <c r="DH894">
        <f>IF(ISBLANK('Data Entry'!$°$894), "", 'Data Entry'!$°$894)</f>
      </c>
      <c r="DI894">
        <f>IF(ISBLANK('Data Entry'!$±$894), "", 'Data Entry'!$±$894)</f>
      </c>
      <c r="DJ894">
        <f>IF(ISBLANK('Data Entry'!$²$894), "", 'Data Entry'!$²$894)</f>
      </c>
      <c r="DK894">
        <f>IF(ISBLANK('Data Entry'!$³$894), "", 'Data Entry'!$³$894)</f>
      </c>
      <c r="DL894">
        <f>IF(ISBLANK('Data Entry'!$´$894), "", 'Data Entry'!$´$894)</f>
      </c>
      <c r="DM894">
        <f>IF(ISBLANK('Data Entry'!$µ$894), "", 'Data Entry'!$µ$894)</f>
      </c>
      <c r="DN894">
        <f>IF(ISBLANK('Data Entry'!$¶$894), "", 'Data Entry'!$¶$894)</f>
      </c>
      <c r="DO894">
        <f>IF(ISBLANK('Data Entry'!$·$894), "", 'Data Entry'!$·$894)</f>
      </c>
      <c r="DP894">
        <f>IF(ISBLANK('Data Entry'!$¸$894), "", 'Data Entry'!$¸$894)</f>
      </c>
      <c r="DQ894">
        <f>IF(ISBLANK('Data Entry'!$¹$894), "", 'Data Entry'!$¹$894)</f>
      </c>
      <c r="DR894">
        <f>IF(ISBLANK('Data Entry'!$º$894), "", 'Data Entry'!$º$894)</f>
      </c>
      <c r="DS894">
        <f>IF(ISBLANK('Data Entry'!$»$894), "", 'Data Entry'!$»$894)</f>
      </c>
      <c r="DT894">
        <f>IF(ISBLANK('Data Entry'!$¼$894), "", 'Data Entry'!$¼$894)</f>
      </c>
      <c r="DU894">
        <f>IF(ISBLANK('Data Entry'!$½$894), "", 'Data Entry'!$½$894)</f>
      </c>
      <c r="DV894">
        <f>IF(ISBLANK('Data Entry'!$¾$894), "", 'Data Entry'!$¾$894)</f>
      </c>
      <c r="DW894">
        <f>IF(ISBLANK('Data Entry'!$¿$894), "", 'Data Entry'!$¿$894)</f>
      </c>
      <c r="DX894">
        <f>IF(ISBLANK('Data Entry'!$À$894), "", 'Data Entry'!$À$894)</f>
      </c>
      <c r="DY894">
        <f>IF(ISBLANK('Data Entry'!$Á$894), "", 'Data Entry'!$Á$894)</f>
      </c>
      <c r="DZ894">
        <f>IF(ISBLANK('Data Entry'!$Â$894), "", 'Data Entry'!$Â$894)</f>
      </c>
      <c r="EA894">
        <f>IF(ISBLANK('Data Entry'!$Ã$894), "", 'Data Entry'!$Ã$894)</f>
      </c>
      <c r="EB894">
        <f>IF(ISBLANK('Data Entry'!$Ä$894), "", 'Data Entry'!$Ä$894)</f>
      </c>
      <c r="EC894">
        <f>IF(ISBLANK('Data Entry'!$Å$894), "", 'Data Entry'!$Å$894)</f>
      </c>
      <c r="ED894">
        <f>IF(ISBLANK('Data Entry'!$Æ$894), "", 'Data Entry'!$Æ$894)</f>
      </c>
      <c r="EE894">
        <f>IF(ISBLANK('Data Entry'!$Ç$894), "", 'Data Entry'!$Ç$894)</f>
      </c>
      <c r="EF894">
        <f>IF(ISBLANK('Data Entry'!$È$894), "", 'Data Entry'!$È$894)</f>
      </c>
      <c r="EG894">
        <f>IF(ISBLANK('Data Entry'!$É$894), "", 'Data Entry'!$É$894)</f>
      </c>
      <c r="EH894">
        <f>IF(ISBLANK('Data Entry'!$Ê$894), "", 'Data Entry'!$Ê$894)</f>
      </c>
      <c r="EI894">
        <f>IF(ISBLANK('Data Entry'!$Ë$894), "", 'Data Entry'!$Ë$894)</f>
      </c>
      <c r="EJ894">
        <f>IF(ISBLANK('Data Entry'!$Ì$894), "", 'Data Entry'!$Ì$894)</f>
      </c>
      <c r="EK894">
        <f>IF(ISBLANK('Data Entry'!$Í$894), "", 'Data Entry'!$Í$894)</f>
      </c>
      <c r="EL894">
        <f>IF(ISBLANK('Data Entry'!$Î$894), "", 'Data Entry'!$Î$894)</f>
      </c>
      <c r="EM894">
        <f>IF(ISBLANK('Data Entry'!$Ï$894), "", 'Data Entry'!$Ï$894)</f>
      </c>
      <c r="EN894">
        <f>IF(ISBLANK('Data Entry'!$Ð$894), "", 'Data Entry'!$Ð$894)</f>
      </c>
      <c r="EO894">
        <f>IF(ISBLANK('Data Entry'!$Ñ$894), "", 'Data Entry'!$Ñ$894)</f>
      </c>
      <c r="EP894">
        <f>IF(ISBLANK('Data Entry'!$Ò$894), "", 'Data Entry'!$Ò$894)</f>
      </c>
      <c r="EQ894">
        <f>IF(ISBLANK('Data Entry'!$Ó$894), "", 'Data Entry'!$Ó$894)</f>
      </c>
      <c r="ER894">
        <f>IF(ISBLANK('Data Entry'!$Ô$894), "", 'Data Entry'!$Ô$894)</f>
      </c>
      <c r="ES894">
        <f>IF(ISBLANK('Data Entry'!$Õ$894), "", 'Data Entry'!$Õ$894)</f>
      </c>
      <c r="ET894">
        <f>IF(ISBLANK('Data Entry'!$Ö$894), "", 'Data Entry'!$Ö$894)</f>
      </c>
      <c r="EU894">
        <f>IF(ISBLANK('Data Entry'!$×$894), "", 'Data Entry'!$×$894)</f>
      </c>
      <c r="EV894">
        <f>IF(ISBLANK('Data Entry'!$Ø$894), "", 'Data Entry'!$Ø$894)</f>
      </c>
      <c r="EW894">
        <f>IF(ISBLANK('Data Entry'!$Ù$894), "", 'Data Entry'!$Ù$894)</f>
      </c>
      <c r="EX894">
        <f>IF(ISBLANK('Data Entry'!$Ú$894), "", 'Data Entry'!$Ú$894)</f>
      </c>
      <c r="EY894">
        <f>IF(ISBLANK('Data Entry'!$Û$894), "", 'Data Entry'!$Û$894)</f>
      </c>
      <c r="EZ894">
        <f>IF(ISBLANK('Data Entry'!$Ü$894), "", 'Data Entry'!$Ü$894)</f>
      </c>
      <c r="FA894">
        <f>IF(ISBLANK('Data Entry'!$Ý$894), "", 'Data Entry'!$Ý$894)</f>
      </c>
      <c r="FB894">
        <f>IF(ISBLANK('Data Entry'!$Þ$894), "", 'Data Entry'!$Þ$894)</f>
      </c>
      <c r="FC894">
        <f>IF(ISBLANK('Data Entry'!$ß$894), "", 'Data Entry'!$ß$894)</f>
      </c>
      <c r="FD894">
        <f>IF(ISBLANK('Data Entry'!$à$894), "", 'Data Entry'!$à$894)</f>
      </c>
      <c r="FE894">
        <f>IF(ISBLANK('Data Entry'!$á$894), "", 'Data Entry'!$á$894)</f>
      </c>
      <c r="FF894">
        <f>IF(ISBLANK('Data Entry'!$â$894), "", 'Data Entry'!$â$894)</f>
      </c>
      <c r="FG894">
        <f>IF(ISBLANK('Data Entry'!$ã$894), "", 'Data Entry'!$ã$894)</f>
      </c>
      <c r="FH894">
        <f>IF(ISBLANK('Data Entry'!$ä$894), "", 'Data Entry'!$ä$894)</f>
      </c>
      <c r="FI894">
        <f>IF(ISBLANK('Data Entry'!$å$894), "", 'Data Entry'!$å$894)</f>
      </c>
      <c r="FJ894">
        <f>IF(ISBLANK('Data Entry'!$æ$894), "", 'Data Entry'!$æ$894)</f>
      </c>
      <c r="FK894">
        <f>IF(ISBLANK('Data Entry'!$ç$894), "", 'Data Entry'!$ç$894)</f>
      </c>
      <c r="FL894">
        <f>IF(ISBLANK('Data Entry'!$è$894), "", 'Data Entry'!$è$894)</f>
      </c>
      <c r="FM894">
        <f>IF(ISBLANK('Data Entry'!$é$894), "", 'Data Entry'!$é$894)</f>
      </c>
      <c r="FN894">
        <f>IF(ISBLANK('Data Entry'!$ê$894), "", 'Data Entry'!$ê$894)</f>
      </c>
      <c r="FO894">
        <f>IF(ISBLANK('Data Entry'!$ë$894), "", 'Data Entry'!$ë$894)</f>
      </c>
      <c r="FP894">
        <f>IF(ISBLANK('Data Entry'!$ì$894), "", 'Data Entry'!$ì$894)</f>
      </c>
      <c r="FQ894">
        <f>IF(ISBLANK('Data Entry'!$í$894), "", 'Data Entry'!$í$894)</f>
      </c>
      <c r="FR894">
        <f>IF(ISBLANK('Data Entry'!$î$894), "", 'Data Entry'!$î$894)</f>
      </c>
      <c r="FS894">
        <f>IF(ISBLANK('Data Entry'!$ï$894), "", 'Data Entry'!$ï$894)</f>
      </c>
      <c r="FT894">
        <f>IF(ISBLANK('Data Entry'!$ð$894), "", 'Data Entry'!$ð$894)</f>
      </c>
      <c r="FU894">
        <f>IF(ISBLANK('Data Entry'!$ñ$894), "", 'Data Entry'!$ñ$894)</f>
      </c>
      <c r="FV894">
        <f>IF(ISBLANK('Data Entry'!$ò$894), "", 'Data Entry'!$ò$894)</f>
      </c>
      <c r="FW894">
        <f>IF(ISBLANK('Data Entry'!$ó$894), "", 'Data Entry'!$ó$894)</f>
      </c>
      <c r="FX894">
        <f>IF(ISBLANK('Data Entry'!$ô$894), "", 'Data Entry'!$ô$894)</f>
      </c>
      <c r="FY894">
        <f>IF(ISBLANK('Data Entry'!$õ$894), "", 'Data Entry'!$õ$894)</f>
      </c>
      <c r="FZ894">
        <f>IF(ISBLANK('Data Entry'!$ö$894), "", 'Data Entry'!$ö$894)</f>
      </c>
      <c r="GA894">
        <f>IF(ISBLANK('Data Entry'!$÷$894), "", 'Data Entry'!$÷$894)</f>
      </c>
      <c r="GB894">
        <f>IF(ISBLANK('Data Entry'!$ø$894), "", 'Data Entry'!$ø$894)</f>
      </c>
      <c r="GC894">
        <f>IF(ISBLANK('Data Entry'!$ù$894), "", 'Data Entry'!$ù$894)</f>
      </c>
      <c r="GD894">
        <f>IF(ISBLANK('Data Entry'!$ú$894), "", 'Data Entry'!$ú$894)</f>
      </c>
      <c r="GE894">
        <f>IF(ISBLANK('Data Entry'!$û$894), "", 'Data Entry'!$û$894)</f>
      </c>
      <c r="GF894">
        <f>IF(ISBLANK('Data Entry'!$ü$894), "", 'Data Entry'!$ü$894)</f>
      </c>
      <c r="GG894">
        <f>IF(ISBLANK('Data Entry'!$ý$894), "", 'Data Entry'!$ý$894)</f>
      </c>
      <c r="GH894">
        <f>IF(ISBLANK('Data Entry'!$þ$894), "", 'Data Entry'!$þ$894)</f>
      </c>
      <c r="GI894">
        <f>IF(ISBLANK('Data Entry'!$ÿ$894), "", 'Data Entry'!$ÿ$894)</f>
      </c>
      <c r="GJ894">
        <f>IF(ISBLANK('Data Entry'!$Ā$894), "", 'Data Entry'!$Ā$894)</f>
      </c>
      <c r="GK894">
        <f>IF(ISBLANK('Data Entry'!$ā$894), "", 'Data Entry'!$ā$894)</f>
      </c>
      <c r="GL894">
        <f>IF(ISBLANK('Data Entry'!$Ă$894), "", 'Data Entry'!$Ă$894)</f>
      </c>
      <c r="GM894">
        <f>IF(ISBLANK('Data Entry'!$ă$894), "", 'Data Entry'!$ă$894)</f>
      </c>
      <c r="GN894">
        <f>IF(ISBLANK('Data Entry'!$Ą$894), "", 'Data Entry'!$Ą$894)</f>
      </c>
      <c r="GO894">
        <f>IF(ISBLANK('Data Entry'!$ą$894), "", 'Data Entry'!$ą$894)</f>
      </c>
      <c r="GP894">
        <f>IF(ISBLANK('Data Entry'!$Ć$894), "", 'Data Entry'!$Ć$894)</f>
      </c>
      <c r="GQ894">
        <f>IF(ISBLANK('Data Entry'!$ć$894), "", 'Data Entry'!$ć$894)</f>
      </c>
      <c r="GR894">
        <f>IF(ISBLANK('Data Entry'!$Ĉ$894), "", 'Data Entry'!$Ĉ$894)</f>
      </c>
      <c r="GS894">
        <f>IF(ISBLANK('Data Entry'!$ĉ$894), "", 'Data Entry'!$ĉ$894)</f>
      </c>
      <c r="GT894">
        <f>IF(ISBLANK('Data Entry'!$Ċ$894), "", 'Data Entry'!$Ċ$894)</f>
      </c>
      <c r="GU894">
        <f>IF(ISBLANK('Data Entry'!$ċ$894), "", 'Data Entry'!$ċ$894)</f>
      </c>
      <c r="GV894">
        <f>IF(ISBLANK('Data Entry'!$Č$894), "", 'Data Entry'!$Č$894)</f>
      </c>
      <c r="GW894">
        <f>IF(ISBLANK('Data Entry'!$č$894), "", 'Data Entry'!$č$894)</f>
      </c>
      <c r="GX894">
        <f>IF(ISBLANK('Data Entry'!$Ď$894), "", 'Data Entry'!$Ď$894)</f>
      </c>
      <c r="GY894">
        <f>IF(ISBLANK('Data Entry'!$ď$894), "", 'Data Entry'!$ď$894)</f>
      </c>
      <c r="GZ894">
        <f>IF(ISBLANK('Data Entry'!$Đ$894), "", 'Data Entry'!$Đ$894)</f>
      </c>
      <c r="HA894">
        <f>IF(ISBLANK('Data Entry'!$đ$894), "", 'Data Entry'!$đ$894)</f>
      </c>
      <c r="HB894">
        <f>IF(ISBLANK('Data Entry'!$Ē$894), "", 'Data Entry'!$Ē$894)</f>
      </c>
      <c r="HC894">
        <f>IF(ISBLANK('Data Entry'!$ē$894), "", 'Data Entry'!$ē$894)</f>
      </c>
      <c r="HD894">
        <f>IF(ISBLANK('Data Entry'!$Ĕ$894), "", 'Data Entry'!$Ĕ$894)</f>
      </c>
      <c r="HE894">
        <f>IF(ISBLANK('Data Entry'!$ĕ$894), "", 'Data Entry'!$ĕ$894)</f>
      </c>
      <c r="HF894">
        <f>IF(ISBLANK('Data Entry'!$Ė$894), "", 'Data Entry'!$Ė$894)</f>
      </c>
      <c r="HG894">
        <f>IF(ISBLANK('Data Entry'!$ė$894), "", 'Data Entry'!$ė$894)</f>
      </c>
      <c r="HH894">
        <f>IF(ISBLANK('Data Entry'!$Ę$894), "", 'Data Entry'!$Ę$894)</f>
      </c>
      <c r="HI894">
        <f>IF(ISBLANK('Data Entry'!$ę$894), "", 'Data Entry'!$ę$894)</f>
      </c>
      <c r="HJ894">
        <f>IF(ISBLANK('Data Entry'!$Ě$894), "", 'Data Entry'!$Ě$894)</f>
      </c>
      <c r="HK894">
        <f>IF(ISBLANK('Data Entry'!$ě$894), "", 'Data Entry'!$ě$894)</f>
      </c>
      <c r="HL894">
        <f>IF(ISBLANK('Data Entry'!$Ĝ$894), "", 'Data Entry'!$Ĝ$894)</f>
      </c>
      <c r="HM894">
        <f>IF(ISBLANK('Data Entry'!$ĝ$894), "", 'Data Entry'!$ĝ$894)</f>
      </c>
      <c r="HN894">
        <f>IF(ISBLANK('Data Entry'!$Ğ$894), "", 'Data Entry'!$Ğ$894)</f>
      </c>
      <c r="HO894">
        <f>IF(ISBLANK('Data Entry'!$ğ$894), "", 'Data Entry'!$ğ$894)</f>
      </c>
      <c r="HP894">
        <f>IF(ISBLANK('Data Entry'!$Ġ$894), "", 'Data Entry'!$Ġ$894)</f>
      </c>
      <c r="HQ894">
        <f>IF(ISBLANK('Data Entry'!$ġ$894), "", 'Data Entry'!$ġ$894)</f>
      </c>
      <c r="HR894">
        <f>IF(ISBLANK('Data Entry'!$Ģ$894), "", 'Data Entry'!$Ģ$894)</f>
      </c>
      <c r="HS894">
        <f>IF(ISBLANK('Data Entry'!$ģ$894), "", 'Data Entry'!$ģ$894)</f>
      </c>
      <c r="HT894">
        <f>IF(ISBLANK('Data Entry'!$Ĥ$894), "", 'Data Entry'!$Ĥ$894)</f>
      </c>
      <c r="HU894">
        <f>IF(ISBLANK('Data Entry'!$ĥ$894), "", 'Data Entry'!$ĥ$894)</f>
      </c>
      <c r="HV894">
        <f>IF(ISBLANK('Data Entry'!$Ħ$894), "", 'Data Entry'!$Ħ$894)</f>
      </c>
      <c r="HW894">
        <f>IF(ISBLANK('Data Entry'!$ħ$894), "", 'Data Entry'!$ħ$894)</f>
      </c>
      <c r="HX894">
        <f>IF(ISBLANK('Data Entry'!$Ĩ$894), "", 'Data Entry'!$Ĩ$894)</f>
      </c>
      <c r="HY894">
        <f>IF(ISBLANK('Data Entry'!$ĩ$894), "", 'Data Entry'!$ĩ$894)</f>
      </c>
      <c r="HZ894">
        <f>IF(ISBLANK('Data Entry'!$Ī$894), "", 'Data Entry'!$Ī$894)</f>
      </c>
      <c r="IA894">
        <f>IF(ISBLANK('Data Entry'!$ī$894), "", 'Data Entry'!$ī$894)</f>
      </c>
      <c r="IB894">
        <f>IF(ISBLANK('Data Entry'!$Ĭ$894), "", 'Data Entry'!$Ĭ$894)</f>
      </c>
      <c r="IC894">
        <f>IF(ISBLANK('Data Entry'!$ĭ$894), "", 'Data Entry'!$ĭ$894)</f>
      </c>
      <c r="ID894">
        <f>IF(ISBLANK('Data Entry'!$Į$894), "", 'Data Entry'!$Į$894)</f>
      </c>
      <c r="IE894">
        <f>IF(ISBLANK('Data Entry'!$į$894), "", 'Data Entry'!$į$894)</f>
      </c>
      <c r="IF894">
        <f>IF(ISBLANK('Data Entry'!$İ$894), "", 'Data Entry'!$İ$894)</f>
      </c>
      <c r="IG894">
        <f>IF(ISBLANK('Data Entry'!$ı$894), "", 'Data Entry'!$ı$894)</f>
      </c>
      <c r="IH894">
        <f>IF(ISBLANK('Data Entry'!$Ĳ$894), "", 'Data Entry'!$Ĳ$894)</f>
      </c>
      <c r="II894">
        <f>IF(ISBLANK('Data Entry'!$ĳ$894), "", 'Data Entry'!$ĳ$894)</f>
      </c>
      <c r="IJ894">
        <f>IF(ISBLANK('Data Entry'!$Ĵ$894), "", 'Data Entry'!$Ĵ$894)</f>
      </c>
      <c r="IK894">
        <f>IF(ISBLANK('Data Entry'!$ĵ$894), "", 'Data Entry'!$ĵ$894)</f>
      </c>
      <c r="IL894">
        <f>IF(ISBLANK('Data Entry'!$Ķ$894), "", 'Data Entry'!$Ķ$894)</f>
      </c>
      <c r="IM894">
        <f>IF(ISBLANK('Data Entry'!$ķ$894), "", 'Data Entry'!$ķ$894)</f>
      </c>
      <c r="IN894">
        <f>IF(ISBLANK('Data Entry'!$ĸ$894), "", 'Data Entry'!$ĸ$894)</f>
      </c>
      <c r="IO894">
        <f>IF(ISBLANK('Data Entry'!$Ĺ$894), "", 'Data Entry'!$Ĺ$894)</f>
      </c>
      <c r="IP894">
        <f>IF(ISBLANK('Data Entry'!$ĺ$894), "", 'Data Entry'!$ĺ$894)</f>
      </c>
      <c r="IQ894">
        <f>IF(ISBLANK('Data Entry'!$Ļ$894), "", 'Data Entry'!$Ļ$894)</f>
      </c>
      <c r="IR894">
        <f>IF(ISBLANK('Data Entry'!$ļ$894), "", 'Data Entry'!$ļ$894)</f>
      </c>
      <c r="IS894">
        <f>IF(ISBLANK('Data Entry'!$Ľ$894), "", 'Data Entry'!$Ľ$894)</f>
      </c>
      <c r="IT894">
        <f>IF(ISBLANK('Data Entry'!$ľ$894), "", 'Data Entry'!$ľ$894)</f>
      </c>
    </row>
    <row r="895" spans="1:254" x14ac:dyDescent="0.25">
      <c r="A895">
        <f>IF(ISBLANK('Data Entry'!$A$895), "", 'Data Entry'!$A$895)</f>
      </c>
      <c r="B895">
        <f>IF(ISBLANK('Data Entry'!$B$895), "", 'Data Entry'!$B$895)</f>
      </c>
      <c r="C895">
        <f>IF(ISBLANK('Data Entry'!$C$895), "", 'Data Entry'!$C$895)</f>
      </c>
      <c r="D895">
        <f>IF(ISBLANK('Data Entry'!$D$895), "", 'Data Entry'!$D$895)</f>
      </c>
      <c r="E895">
        <f>IF(ISBLANK('Data Entry'!$E$895), "", 'Data Entry'!$E$895)</f>
      </c>
      <c r="F895">
        <f>IF(ISBLANK('Data Entry'!$F$895), "", 'Data Entry'!$F$895)</f>
      </c>
      <c r="G895">
        <f>IF(ISBLANK('Data Entry'!$G$895), "", 'Data Entry'!$G$895)</f>
      </c>
      <c r="H895">
        <f>IF(ISBLANK('Data Entry'!$H$895), "", 'Data Entry'!$H$895)</f>
      </c>
      <c r="I895">
        <f>IF(ISBLANK('Data Entry'!$I$895), "", 'Data Entry'!$I$895)</f>
      </c>
      <c r="J895">
        <f>IF(ISBLANK('Data Entry'!$J$895), "", 'Data Entry'!$J$895)</f>
      </c>
      <c r="K895">
        <f>IF(ISBLANK('Data Entry'!$K$895), "", 'Data Entry'!$K$895)</f>
      </c>
      <c r="L895">
        <f>IF(ISBLANK('Data Entry'!$L$895), "", 'Data Entry'!$L$895)</f>
      </c>
      <c r="M895">
        <f>IF(ISBLANK('Data Entry'!$M$895), "", 'Data Entry'!$M$895)</f>
      </c>
      <c r="N895">
        <f>IF(ISBLANK('Data Entry'!$N$895), "", 'Data Entry'!$N$895)</f>
      </c>
      <c r="O895">
        <f>IF(ISBLANK('Data Entry'!$O$895), "", 'Data Entry'!$O$895)</f>
      </c>
      <c r="P895">
        <f>IF(ISBLANK('Data Entry'!$P$895), "", 'Data Entry'!$P$895)</f>
      </c>
      <c r="Q895">
        <f>IF(ISBLANK('Data Entry'!$Q$895), "", 'Data Entry'!$Q$895)</f>
      </c>
      <c r="R895">
        <f>IF(ISBLANK('Data Entry'!$R$895), "", 'Data Entry'!$R$895)</f>
      </c>
      <c r="S895">
        <f>IF(ISBLANK('Data Entry'!$S$895), "", 'Data Entry'!$S$895)</f>
      </c>
      <c r="T895">
        <f>IF(ISBLANK('Data Entry'!$T$895), "", 'Data Entry'!$T$895)</f>
      </c>
      <c r="U895">
        <f>IF(ISBLANK('Data Entry'!$U$895), "", 'Data Entry'!$U$895)</f>
      </c>
      <c r="V895">
        <f>IF(ISBLANK('Data Entry'!$V$895), "", 'Data Entry'!$V$895)</f>
      </c>
      <c r="W895">
        <f>IF(ISBLANK('Data Entry'!$W$895), "", 'Data Entry'!$W$895)</f>
      </c>
      <c r="X895">
        <f>IF(ISBLANK('Data Entry'!$X$895), "", 'Data Entry'!$X$895)</f>
      </c>
      <c r="Y895">
        <f>IF(ISBLANK('Data Entry'!$Y$895), "", 'Data Entry'!$Y$895)</f>
      </c>
      <c r="Z895">
        <f>IF(ISBLANK('Data Entry'!$Z$895), "", 'Data Entry'!$Z$895)</f>
      </c>
      <c r="AA895">
        <f>IF(ISBLANK('Data Entry'!$[$895), "", 'Data Entry'!$[$895)</f>
      </c>
      <c r="AB895">
        <f>IF(ISBLANK('Data Entry'!$\$895), "", 'Data Entry'!$\$895)</f>
      </c>
      <c r="AC895">
        <f>IF(ISBLANK('Data Entry'!$]$895), "", 'Data Entry'!$]$895)</f>
      </c>
      <c r="AD895">
        <f>IF(ISBLANK('Data Entry'!$^$895), "", 'Data Entry'!$^$895)</f>
      </c>
      <c r="AE895">
        <f>IF(ISBLANK('Data Entry'!$_$895), "", 'Data Entry'!$_$895)</f>
      </c>
      <c r="AF895">
        <f>IF(ISBLANK('Data Entry'!$`$895), "", 'Data Entry'!$`$895)</f>
      </c>
      <c r="AG895">
        <f>IF(ISBLANK('Data Entry'!$a$895), "", 'Data Entry'!$a$895)</f>
      </c>
      <c r="AH895">
        <f>IF(ISBLANK('Data Entry'!$b$895), "", 'Data Entry'!$b$895)</f>
      </c>
      <c r="AI895">
        <f>IF(ISBLANK('Data Entry'!$c$895), "", 'Data Entry'!$c$895)</f>
      </c>
      <c r="AJ895">
        <f>IF(ISBLANK('Data Entry'!$d$895), "", 'Data Entry'!$d$895)</f>
      </c>
      <c r="AK895">
        <f>IF(ISBLANK('Data Entry'!$e$895), "", 'Data Entry'!$e$895)</f>
      </c>
      <c r="AL895">
        <f>IF(ISBLANK('Data Entry'!$f$895), "", 'Data Entry'!$f$895)</f>
      </c>
      <c r="AM895">
        <f>IF(ISBLANK('Data Entry'!$g$895), "", 'Data Entry'!$g$895)</f>
      </c>
      <c r="AN895">
        <f>IF(ISBLANK('Data Entry'!$h$895), "", 'Data Entry'!$h$895)</f>
      </c>
      <c r="AO895">
        <f>IF(ISBLANK('Data Entry'!$i$895), "", 'Data Entry'!$i$895)</f>
      </c>
      <c r="AP895">
        <f>IF(ISBLANK('Data Entry'!$j$895), "", 'Data Entry'!$j$895)</f>
      </c>
      <c r="AQ895">
        <f>IF(ISBLANK('Data Entry'!$k$895), "", 'Data Entry'!$k$895)</f>
      </c>
      <c r="AR895">
        <f>IF(ISBLANK('Data Entry'!$l$895), "", 'Data Entry'!$l$895)</f>
      </c>
      <c r="AS895">
        <f>IF(ISBLANK('Data Entry'!$m$895), "", 'Data Entry'!$m$895)</f>
      </c>
      <c r="AT895">
        <f>IF(ISBLANK('Data Entry'!$n$895), "", 'Data Entry'!$n$895)</f>
      </c>
      <c r="AU895">
        <f>IF(ISBLANK('Data Entry'!$o$895), "", 'Data Entry'!$o$895)</f>
      </c>
      <c r="AV895">
        <f>IF(ISBLANK('Data Entry'!$p$895), "", 'Data Entry'!$p$895)</f>
      </c>
      <c r="AW895">
        <f>IF(ISBLANK('Data Entry'!$q$895), "", 'Data Entry'!$q$895)</f>
      </c>
      <c r="AX895">
        <f>IF(ISBLANK('Data Entry'!$r$895), "", 'Data Entry'!$r$895)</f>
      </c>
      <c r="AY895">
        <f>IF(ISBLANK('Data Entry'!$s$895), "", 'Data Entry'!$s$895)</f>
      </c>
      <c r="AZ895">
        <f>IF(ISBLANK('Data Entry'!$t$895), "", 'Data Entry'!$t$895)</f>
      </c>
      <c r="BA895">
        <f>IF(ISBLANK('Data Entry'!$u$895), "", 'Data Entry'!$u$895)</f>
      </c>
      <c r="BB895">
        <f>IF(ISBLANK('Data Entry'!$v$895), "", 'Data Entry'!$v$895)</f>
      </c>
      <c r="BC895">
        <f>IF(ISBLANK('Data Entry'!$w$895), "", 'Data Entry'!$w$895)</f>
      </c>
      <c r="BD895">
        <f>IF(ISBLANK('Data Entry'!$x$895), "", 'Data Entry'!$x$895)</f>
      </c>
      <c r="BE895">
        <f>IF(ISBLANK('Data Entry'!$y$895), "", 'Data Entry'!$y$895)</f>
      </c>
      <c r="BF895">
        <f>IF(ISBLANK('Data Entry'!$z$895), "", 'Data Entry'!$z$895)</f>
      </c>
      <c r="BG895">
        <f>IF(ISBLANK('Data Entry'!${$895), "", 'Data Entry'!${$895)</f>
      </c>
      <c r="BH895">
        <f>IF(ISBLANK('Data Entry'!$|$895), "", 'Data Entry'!$|$895)</f>
      </c>
      <c r="BI895">
        <f>IF(ISBLANK('Data Entry'!$}$895), "", 'Data Entry'!$}$895)</f>
      </c>
      <c r="BJ895">
        <f>IF(ISBLANK('Data Entry'!$~$895), "", 'Data Entry'!$~$895)</f>
      </c>
      <c r="BK895">
        <f>IF(ISBLANK('Data Entry'!$$895), "", 'Data Entry'!$$895)</f>
      </c>
      <c r="BL895">
        <f>IF(ISBLANK('Data Entry'!$$895), "", 'Data Entry'!$$895)</f>
      </c>
      <c r="BM895">
        <f>IF(ISBLANK('Data Entry'!$$895), "", 'Data Entry'!$$895)</f>
      </c>
      <c r="BN895">
        <f>IF(ISBLANK('Data Entry'!$$895), "", 'Data Entry'!$$895)</f>
      </c>
      <c r="BO895">
        <f>IF(ISBLANK('Data Entry'!$$895), "", 'Data Entry'!$$895)</f>
      </c>
      <c r="BP895">
        <f>IF(ISBLANK('Data Entry'!$$895), "", 'Data Entry'!$$895)</f>
      </c>
      <c r="BQ895">
        <f>IF(ISBLANK('Data Entry'!$$895), "", 'Data Entry'!$$895)</f>
      </c>
      <c r="BR895">
        <f>IF(ISBLANK('Data Entry'!$$895), "", 'Data Entry'!$$895)</f>
      </c>
      <c r="BS895">
        <f>IF(ISBLANK('Data Entry'!$$895), "", 'Data Entry'!$$895)</f>
      </c>
      <c r="BT895">
        <f>IF(ISBLANK('Data Entry'!$$895), "", 'Data Entry'!$$895)</f>
      </c>
      <c r="BU895">
        <f>IF(ISBLANK('Data Entry'!$$895), "", 'Data Entry'!$$895)</f>
      </c>
      <c r="BV895">
        <f>IF(ISBLANK('Data Entry'!$$895), "", 'Data Entry'!$$895)</f>
      </c>
      <c r="BW895">
        <f>IF(ISBLANK('Data Entry'!$$895), "", 'Data Entry'!$$895)</f>
      </c>
      <c r="BX895">
        <f>IF(ISBLANK('Data Entry'!$$895), "", 'Data Entry'!$$895)</f>
      </c>
      <c r="BY895">
        <f>IF(ISBLANK('Data Entry'!$$895), "", 'Data Entry'!$$895)</f>
      </c>
      <c r="BZ895">
        <f>IF(ISBLANK('Data Entry'!$$895), "", 'Data Entry'!$$895)</f>
      </c>
      <c r="CA895">
        <f>IF(ISBLANK('Data Entry'!$$895), "", 'Data Entry'!$$895)</f>
      </c>
      <c r="CB895">
        <f>IF(ISBLANK('Data Entry'!$$895), "", 'Data Entry'!$$895)</f>
      </c>
      <c r="CC895">
        <f>IF(ISBLANK('Data Entry'!$$895), "", 'Data Entry'!$$895)</f>
      </c>
      <c r="CD895">
        <f>IF(ISBLANK('Data Entry'!$$895), "", 'Data Entry'!$$895)</f>
      </c>
      <c r="CE895">
        <f>IF(ISBLANK('Data Entry'!$$895), "", 'Data Entry'!$$895)</f>
      </c>
      <c r="CF895">
        <f>IF(ISBLANK('Data Entry'!$$895), "", 'Data Entry'!$$895)</f>
      </c>
      <c r="CG895">
        <f>IF(ISBLANK('Data Entry'!$$895), "", 'Data Entry'!$$895)</f>
      </c>
      <c r="CH895">
        <f>IF(ISBLANK('Data Entry'!$$895), "", 'Data Entry'!$$895)</f>
      </c>
      <c r="CI895">
        <f>IF(ISBLANK('Data Entry'!$$895), "", 'Data Entry'!$$895)</f>
      </c>
      <c r="CJ895">
        <f>IF(ISBLANK('Data Entry'!$$895), "", 'Data Entry'!$$895)</f>
      </c>
      <c r="CK895">
        <f>IF(ISBLANK('Data Entry'!$$895), "", 'Data Entry'!$$895)</f>
      </c>
      <c r="CL895">
        <f>IF(ISBLANK('Data Entry'!$$895), "", 'Data Entry'!$$895)</f>
      </c>
      <c r="CM895">
        <f>IF(ISBLANK('Data Entry'!$$895), "", 'Data Entry'!$$895)</f>
      </c>
      <c r="CN895">
        <f>IF(ISBLANK('Data Entry'!$$895), "", 'Data Entry'!$$895)</f>
      </c>
      <c r="CO895">
        <f>IF(ISBLANK('Data Entry'!$$895), "", 'Data Entry'!$$895)</f>
      </c>
      <c r="CP895">
        <f>IF(ISBLANK('Data Entry'!$$895), "", 'Data Entry'!$$895)</f>
      </c>
      <c r="CQ895">
        <f>IF(ISBLANK('Data Entry'!$$895), "", 'Data Entry'!$$895)</f>
      </c>
      <c r="CR895">
        <f>IF(ISBLANK('Data Entry'!$ $895), "", 'Data Entry'!$ $895)</f>
      </c>
      <c r="CS895">
        <f>IF(ISBLANK('Data Entry'!$¡$895), "", 'Data Entry'!$¡$895)</f>
      </c>
      <c r="CT895">
        <f>IF(ISBLANK('Data Entry'!$¢$895), "", 'Data Entry'!$¢$895)</f>
      </c>
      <c r="CU895">
        <f>IF(ISBLANK('Data Entry'!$£$895), "", 'Data Entry'!$£$895)</f>
      </c>
      <c r="CV895">
        <f>IF(ISBLANK('Data Entry'!$¤$895), "", 'Data Entry'!$¤$895)</f>
      </c>
      <c r="CW895">
        <f>IF(ISBLANK('Data Entry'!$¥$895), "", 'Data Entry'!$¥$895)</f>
      </c>
      <c r="CX895">
        <f>IF(ISBLANK('Data Entry'!$¦$895), "", 'Data Entry'!$¦$895)</f>
      </c>
      <c r="CY895">
        <f>IF(ISBLANK('Data Entry'!$§$895), "", 'Data Entry'!$§$895)</f>
      </c>
      <c r="CZ895">
        <f>IF(ISBLANK('Data Entry'!$¨$895), "", 'Data Entry'!$¨$895)</f>
      </c>
      <c r="DA895">
        <f>IF(ISBLANK('Data Entry'!$©$895), "", 'Data Entry'!$©$895)</f>
      </c>
      <c r="DB895">
        <f>IF(ISBLANK('Data Entry'!$ª$895), "", 'Data Entry'!$ª$895)</f>
      </c>
      <c r="DC895">
        <f>IF(ISBLANK('Data Entry'!$«$895), "", 'Data Entry'!$«$895)</f>
      </c>
      <c r="DD895">
        <f>IF(ISBLANK('Data Entry'!$¬$895), "", 'Data Entry'!$¬$895)</f>
      </c>
      <c r="DE895">
        <f>IF(ISBLANK('Data Entry'!$­$895), "", 'Data Entry'!$­$895)</f>
      </c>
      <c r="DF895">
        <f>IF(ISBLANK('Data Entry'!$®$895), "", 'Data Entry'!$®$895)</f>
      </c>
      <c r="DG895">
        <f>IF(ISBLANK('Data Entry'!$¯$895), "", 'Data Entry'!$¯$895)</f>
      </c>
      <c r="DH895">
        <f>IF(ISBLANK('Data Entry'!$°$895), "", 'Data Entry'!$°$895)</f>
      </c>
      <c r="DI895">
        <f>IF(ISBLANK('Data Entry'!$±$895), "", 'Data Entry'!$±$895)</f>
      </c>
      <c r="DJ895">
        <f>IF(ISBLANK('Data Entry'!$²$895), "", 'Data Entry'!$²$895)</f>
      </c>
      <c r="DK895">
        <f>IF(ISBLANK('Data Entry'!$³$895), "", 'Data Entry'!$³$895)</f>
      </c>
      <c r="DL895">
        <f>IF(ISBLANK('Data Entry'!$´$895), "", 'Data Entry'!$´$895)</f>
      </c>
      <c r="DM895">
        <f>IF(ISBLANK('Data Entry'!$µ$895), "", 'Data Entry'!$µ$895)</f>
      </c>
      <c r="DN895">
        <f>IF(ISBLANK('Data Entry'!$¶$895), "", 'Data Entry'!$¶$895)</f>
      </c>
      <c r="DO895">
        <f>IF(ISBLANK('Data Entry'!$·$895), "", 'Data Entry'!$·$895)</f>
      </c>
      <c r="DP895">
        <f>IF(ISBLANK('Data Entry'!$¸$895), "", 'Data Entry'!$¸$895)</f>
      </c>
      <c r="DQ895">
        <f>IF(ISBLANK('Data Entry'!$¹$895), "", 'Data Entry'!$¹$895)</f>
      </c>
      <c r="DR895">
        <f>IF(ISBLANK('Data Entry'!$º$895), "", 'Data Entry'!$º$895)</f>
      </c>
      <c r="DS895">
        <f>IF(ISBLANK('Data Entry'!$»$895), "", 'Data Entry'!$»$895)</f>
      </c>
      <c r="DT895">
        <f>IF(ISBLANK('Data Entry'!$¼$895), "", 'Data Entry'!$¼$895)</f>
      </c>
      <c r="DU895">
        <f>IF(ISBLANK('Data Entry'!$½$895), "", 'Data Entry'!$½$895)</f>
      </c>
      <c r="DV895">
        <f>IF(ISBLANK('Data Entry'!$¾$895), "", 'Data Entry'!$¾$895)</f>
      </c>
      <c r="DW895">
        <f>IF(ISBLANK('Data Entry'!$¿$895), "", 'Data Entry'!$¿$895)</f>
      </c>
      <c r="DX895">
        <f>IF(ISBLANK('Data Entry'!$À$895), "", 'Data Entry'!$À$895)</f>
      </c>
      <c r="DY895">
        <f>IF(ISBLANK('Data Entry'!$Á$895), "", 'Data Entry'!$Á$895)</f>
      </c>
      <c r="DZ895">
        <f>IF(ISBLANK('Data Entry'!$Â$895), "", 'Data Entry'!$Â$895)</f>
      </c>
      <c r="EA895">
        <f>IF(ISBLANK('Data Entry'!$Ã$895), "", 'Data Entry'!$Ã$895)</f>
      </c>
      <c r="EB895">
        <f>IF(ISBLANK('Data Entry'!$Ä$895), "", 'Data Entry'!$Ä$895)</f>
      </c>
      <c r="EC895">
        <f>IF(ISBLANK('Data Entry'!$Å$895), "", 'Data Entry'!$Å$895)</f>
      </c>
      <c r="ED895">
        <f>IF(ISBLANK('Data Entry'!$Æ$895), "", 'Data Entry'!$Æ$895)</f>
      </c>
      <c r="EE895">
        <f>IF(ISBLANK('Data Entry'!$Ç$895), "", 'Data Entry'!$Ç$895)</f>
      </c>
      <c r="EF895">
        <f>IF(ISBLANK('Data Entry'!$È$895), "", 'Data Entry'!$È$895)</f>
      </c>
      <c r="EG895">
        <f>IF(ISBLANK('Data Entry'!$É$895), "", 'Data Entry'!$É$895)</f>
      </c>
      <c r="EH895">
        <f>IF(ISBLANK('Data Entry'!$Ê$895), "", 'Data Entry'!$Ê$895)</f>
      </c>
      <c r="EI895">
        <f>IF(ISBLANK('Data Entry'!$Ë$895), "", 'Data Entry'!$Ë$895)</f>
      </c>
      <c r="EJ895">
        <f>IF(ISBLANK('Data Entry'!$Ì$895), "", 'Data Entry'!$Ì$895)</f>
      </c>
      <c r="EK895">
        <f>IF(ISBLANK('Data Entry'!$Í$895), "", 'Data Entry'!$Í$895)</f>
      </c>
      <c r="EL895">
        <f>IF(ISBLANK('Data Entry'!$Î$895), "", 'Data Entry'!$Î$895)</f>
      </c>
      <c r="EM895">
        <f>IF(ISBLANK('Data Entry'!$Ï$895), "", 'Data Entry'!$Ï$895)</f>
      </c>
      <c r="EN895">
        <f>IF(ISBLANK('Data Entry'!$Ð$895), "", 'Data Entry'!$Ð$895)</f>
      </c>
      <c r="EO895">
        <f>IF(ISBLANK('Data Entry'!$Ñ$895), "", 'Data Entry'!$Ñ$895)</f>
      </c>
      <c r="EP895">
        <f>IF(ISBLANK('Data Entry'!$Ò$895), "", 'Data Entry'!$Ò$895)</f>
      </c>
      <c r="EQ895">
        <f>IF(ISBLANK('Data Entry'!$Ó$895), "", 'Data Entry'!$Ó$895)</f>
      </c>
      <c r="ER895">
        <f>IF(ISBLANK('Data Entry'!$Ô$895), "", 'Data Entry'!$Ô$895)</f>
      </c>
      <c r="ES895">
        <f>IF(ISBLANK('Data Entry'!$Õ$895), "", 'Data Entry'!$Õ$895)</f>
      </c>
      <c r="ET895">
        <f>IF(ISBLANK('Data Entry'!$Ö$895), "", 'Data Entry'!$Ö$895)</f>
      </c>
      <c r="EU895">
        <f>IF(ISBLANK('Data Entry'!$×$895), "", 'Data Entry'!$×$895)</f>
      </c>
      <c r="EV895">
        <f>IF(ISBLANK('Data Entry'!$Ø$895), "", 'Data Entry'!$Ø$895)</f>
      </c>
      <c r="EW895">
        <f>IF(ISBLANK('Data Entry'!$Ù$895), "", 'Data Entry'!$Ù$895)</f>
      </c>
      <c r="EX895">
        <f>IF(ISBLANK('Data Entry'!$Ú$895), "", 'Data Entry'!$Ú$895)</f>
      </c>
      <c r="EY895">
        <f>IF(ISBLANK('Data Entry'!$Û$895), "", 'Data Entry'!$Û$895)</f>
      </c>
      <c r="EZ895">
        <f>IF(ISBLANK('Data Entry'!$Ü$895), "", 'Data Entry'!$Ü$895)</f>
      </c>
      <c r="FA895">
        <f>IF(ISBLANK('Data Entry'!$Ý$895), "", 'Data Entry'!$Ý$895)</f>
      </c>
      <c r="FB895">
        <f>IF(ISBLANK('Data Entry'!$Þ$895), "", 'Data Entry'!$Þ$895)</f>
      </c>
      <c r="FC895">
        <f>IF(ISBLANK('Data Entry'!$ß$895), "", 'Data Entry'!$ß$895)</f>
      </c>
      <c r="FD895">
        <f>IF(ISBLANK('Data Entry'!$à$895), "", 'Data Entry'!$à$895)</f>
      </c>
      <c r="FE895">
        <f>IF(ISBLANK('Data Entry'!$á$895), "", 'Data Entry'!$á$895)</f>
      </c>
      <c r="FF895">
        <f>IF(ISBLANK('Data Entry'!$â$895), "", 'Data Entry'!$â$895)</f>
      </c>
      <c r="FG895">
        <f>IF(ISBLANK('Data Entry'!$ã$895), "", 'Data Entry'!$ã$895)</f>
      </c>
      <c r="FH895">
        <f>IF(ISBLANK('Data Entry'!$ä$895), "", 'Data Entry'!$ä$895)</f>
      </c>
      <c r="FI895">
        <f>IF(ISBLANK('Data Entry'!$å$895), "", 'Data Entry'!$å$895)</f>
      </c>
      <c r="FJ895">
        <f>IF(ISBLANK('Data Entry'!$æ$895), "", 'Data Entry'!$æ$895)</f>
      </c>
      <c r="FK895">
        <f>IF(ISBLANK('Data Entry'!$ç$895), "", 'Data Entry'!$ç$895)</f>
      </c>
      <c r="FL895">
        <f>IF(ISBLANK('Data Entry'!$è$895), "", 'Data Entry'!$è$895)</f>
      </c>
      <c r="FM895">
        <f>IF(ISBLANK('Data Entry'!$é$895), "", 'Data Entry'!$é$895)</f>
      </c>
      <c r="FN895">
        <f>IF(ISBLANK('Data Entry'!$ê$895), "", 'Data Entry'!$ê$895)</f>
      </c>
      <c r="FO895">
        <f>IF(ISBLANK('Data Entry'!$ë$895), "", 'Data Entry'!$ë$895)</f>
      </c>
      <c r="FP895">
        <f>IF(ISBLANK('Data Entry'!$ì$895), "", 'Data Entry'!$ì$895)</f>
      </c>
      <c r="FQ895">
        <f>IF(ISBLANK('Data Entry'!$í$895), "", 'Data Entry'!$í$895)</f>
      </c>
      <c r="FR895">
        <f>IF(ISBLANK('Data Entry'!$î$895), "", 'Data Entry'!$î$895)</f>
      </c>
      <c r="FS895">
        <f>IF(ISBLANK('Data Entry'!$ï$895), "", 'Data Entry'!$ï$895)</f>
      </c>
      <c r="FT895">
        <f>IF(ISBLANK('Data Entry'!$ð$895), "", 'Data Entry'!$ð$895)</f>
      </c>
      <c r="FU895">
        <f>IF(ISBLANK('Data Entry'!$ñ$895), "", 'Data Entry'!$ñ$895)</f>
      </c>
      <c r="FV895">
        <f>IF(ISBLANK('Data Entry'!$ò$895), "", 'Data Entry'!$ò$895)</f>
      </c>
      <c r="FW895">
        <f>IF(ISBLANK('Data Entry'!$ó$895), "", 'Data Entry'!$ó$895)</f>
      </c>
      <c r="FX895">
        <f>IF(ISBLANK('Data Entry'!$ô$895), "", 'Data Entry'!$ô$895)</f>
      </c>
      <c r="FY895">
        <f>IF(ISBLANK('Data Entry'!$õ$895), "", 'Data Entry'!$õ$895)</f>
      </c>
      <c r="FZ895">
        <f>IF(ISBLANK('Data Entry'!$ö$895), "", 'Data Entry'!$ö$895)</f>
      </c>
      <c r="GA895">
        <f>IF(ISBLANK('Data Entry'!$÷$895), "", 'Data Entry'!$÷$895)</f>
      </c>
      <c r="GB895">
        <f>IF(ISBLANK('Data Entry'!$ø$895), "", 'Data Entry'!$ø$895)</f>
      </c>
      <c r="GC895">
        <f>IF(ISBLANK('Data Entry'!$ù$895), "", 'Data Entry'!$ù$895)</f>
      </c>
      <c r="GD895">
        <f>IF(ISBLANK('Data Entry'!$ú$895), "", 'Data Entry'!$ú$895)</f>
      </c>
      <c r="GE895">
        <f>IF(ISBLANK('Data Entry'!$û$895), "", 'Data Entry'!$û$895)</f>
      </c>
      <c r="GF895">
        <f>IF(ISBLANK('Data Entry'!$ü$895), "", 'Data Entry'!$ü$895)</f>
      </c>
      <c r="GG895">
        <f>IF(ISBLANK('Data Entry'!$ý$895), "", 'Data Entry'!$ý$895)</f>
      </c>
      <c r="GH895">
        <f>IF(ISBLANK('Data Entry'!$þ$895), "", 'Data Entry'!$þ$895)</f>
      </c>
      <c r="GI895">
        <f>IF(ISBLANK('Data Entry'!$ÿ$895), "", 'Data Entry'!$ÿ$895)</f>
      </c>
      <c r="GJ895">
        <f>IF(ISBLANK('Data Entry'!$Ā$895), "", 'Data Entry'!$Ā$895)</f>
      </c>
      <c r="GK895">
        <f>IF(ISBLANK('Data Entry'!$ā$895), "", 'Data Entry'!$ā$895)</f>
      </c>
      <c r="GL895">
        <f>IF(ISBLANK('Data Entry'!$Ă$895), "", 'Data Entry'!$Ă$895)</f>
      </c>
      <c r="GM895">
        <f>IF(ISBLANK('Data Entry'!$ă$895), "", 'Data Entry'!$ă$895)</f>
      </c>
      <c r="GN895">
        <f>IF(ISBLANK('Data Entry'!$Ą$895), "", 'Data Entry'!$Ą$895)</f>
      </c>
      <c r="GO895">
        <f>IF(ISBLANK('Data Entry'!$ą$895), "", 'Data Entry'!$ą$895)</f>
      </c>
      <c r="GP895">
        <f>IF(ISBLANK('Data Entry'!$Ć$895), "", 'Data Entry'!$Ć$895)</f>
      </c>
      <c r="GQ895">
        <f>IF(ISBLANK('Data Entry'!$ć$895), "", 'Data Entry'!$ć$895)</f>
      </c>
      <c r="GR895">
        <f>IF(ISBLANK('Data Entry'!$Ĉ$895), "", 'Data Entry'!$Ĉ$895)</f>
      </c>
      <c r="GS895">
        <f>IF(ISBLANK('Data Entry'!$ĉ$895), "", 'Data Entry'!$ĉ$895)</f>
      </c>
      <c r="GT895">
        <f>IF(ISBLANK('Data Entry'!$Ċ$895), "", 'Data Entry'!$Ċ$895)</f>
      </c>
      <c r="GU895">
        <f>IF(ISBLANK('Data Entry'!$ċ$895), "", 'Data Entry'!$ċ$895)</f>
      </c>
      <c r="GV895">
        <f>IF(ISBLANK('Data Entry'!$Č$895), "", 'Data Entry'!$Č$895)</f>
      </c>
      <c r="GW895">
        <f>IF(ISBLANK('Data Entry'!$č$895), "", 'Data Entry'!$č$895)</f>
      </c>
      <c r="GX895">
        <f>IF(ISBLANK('Data Entry'!$Ď$895), "", 'Data Entry'!$Ď$895)</f>
      </c>
      <c r="GY895">
        <f>IF(ISBLANK('Data Entry'!$ď$895), "", 'Data Entry'!$ď$895)</f>
      </c>
      <c r="GZ895">
        <f>IF(ISBLANK('Data Entry'!$Đ$895), "", 'Data Entry'!$Đ$895)</f>
      </c>
      <c r="HA895">
        <f>IF(ISBLANK('Data Entry'!$đ$895), "", 'Data Entry'!$đ$895)</f>
      </c>
      <c r="HB895">
        <f>IF(ISBLANK('Data Entry'!$Ē$895), "", 'Data Entry'!$Ē$895)</f>
      </c>
      <c r="HC895">
        <f>IF(ISBLANK('Data Entry'!$ē$895), "", 'Data Entry'!$ē$895)</f>
      </c>
      <c r="HD895">
        <f>IF(ISBLANK('Data Entry'!$Ĕ$895), "", 'Data Entry'!$Ĕ$895)</f>
      </c>
      <c r="HE895">
        <f>IF(ISBLANK('Data Entry'!$ĕ$895), "", 'Data Entry'!$ĕ$895)</f>
      </c>
      <c r="HF895">
        <f>IF(ISBLANK('Data Entry'!$Ė$895), "", 'Data Entry'!$Ė$895)</f>
      </c>
      <c r="HG895">
        <f>IF(ISBLANK('Data Entry'!$ė$895), "", 'Data Entry'!$ė$895)</f>
      </c>
      <c r="HH895">
        <f>IF(ISBLANK('Data Entry'!$Ę$895), "", 'Data Entry'!$Ę$895)</f>
      </c>
      <c r="HI895">
        <f>IF(ISBLANK('Data Entry'!$ę$895), "", 'Data Entry'!$ę$895)</f>
      </c>
      <c r="HJ895">
        <f>IF(ISBLANK('Data Entry'!$Ě$895), "", 'Data Entry'!$Ě$895)</f>
      </c>
      <c r="HK895">
        <f>IF(ISBLANK('Data Entry'!$ě$895), "", 'Data Entry'!$ě$895)</f>
      </c>
      <c r="HL895">
        <f>IF(ISBLANK('Data Entry'!$Ĝ$895), "", 'Data Entry'!$Ĝ$895)</f>
      </c>
      <c r="HM895">
        <f>IF(ISBLANK('Data Entry'!$ĝ$895), "", 'Data Entry'!$ĝ$895)</f>
      </c>
      <c r="HN895">
        <f>IF(ISBLANK('Data Entry'!$Ğ$895), "", 'Data Entry'!$Ğ$895)</f>
      </c>
      <c r="HO895">
        <f>IF(ISBLANK('Data Entry'!$ğ$895), "", 'Data Entry'!$ğ$895)</f>
      </c>
      <c r="HP895">
        <f>IF(ISBLANK('Data Entry'!$Ġ$895), "", 'Data Entry'!$Ġ$895)</f>
      </c>
      <c r="HQ895">
        <f>IF(ISBLANK('Data Entry'!$ġ$895), "", 'Data Entry'!$ġ$895)</f>
      </c>
      <c r="HR895">
        <f>IF(ISBLANK('Data Entry'!$Ģ$895), "", 'Data Entry'!$Ģ$895)</f>
      </c>
      <c r="HS895">
        <f>IF(ISBLANK('Data Entry'!$ģ$895), "", 'Data Entry'!$ģ$895)</f>
      </c>
      <c r="HT895">
        <f>IF(ISBLANK('Data Entry'!$Ĥ$895), "", 'Data Entry'!$Ĥ$895)</f>
      </c>
      <c r="HU895">
        <f>IF(ISBLANK('Data Entry'!$ĥ$895), "", 'Data Entry'!$ĥ$895)</f>
      </c>
      <c r="HV895">
        <f>IF(ISBLANK('Data Entry'!$Ħ$895), "", 'Data Entry'!$Ħ$895)</f>
      </c>
      <c r="HW895">
        <f>IF(ISBLANK('Data Entry'!$ħ$895), "", 'Data Entry'!$ħ$895)</f>
      </c>
      <c r="HX895">
        <f>IF(ISBLANK('Data Entry'!$Ĩ$895), "", 'Data Entry'!$Ĩ$895)</f>
      </c>
      <c r="HY895">
        <f>IF(ISBLANK('Data Entry'!$ĩ$895), "", 'Data Entry'!$ĩ$895)</f>
      </c>
      <c r="HZ895">
        <f>IF(ISBLANK('Data Entry'!$Ī$895), "", 'Data Entry'!$Ī$895)</f>
      </c>
      <c r="IA895">
        <f>IF(ISBLANK('Data Entry'!$ī$895), "", 'Data Entry'!$ī$895)</f>
      </c>
      <c r="IB895">
        <f>IF(ISBLANK('Data Entry'!$Ĭ$895), "", 'Data Entry'!$Ĭ$895)</f>
      </c>
      <c r="IC895">
        <f>IF(ISBLANK('Data Entry'!$ĭ$895), "", 'Data Entry'!$ĭ$895)</f>
      </c>
      <c r="ID895">
        <f>IF(ISBLANK('Data Entry'!$Į$895), "", 'Data Entry'!$Į$895)</f>
      </c>
      <c r="IE895">
        <f>IF(ISBLANK('Data Entry'!$į$895), "", 'Data Entry'!$į$895)</f>
      </c>
      <c r="IF895">
        <f>IF(ISBLANK('Data Entry'!$İ$895), "", 'Data Entry'!$İ$895)</f>
      </c>
      <c r="IG895">
        <f>IF(ISBLANK('Data Entry'!$ı$895), "", 'Data Entry'!$ı$895)</f>
      </c>
      <c r="IH895">
        <f>IF(ISBLANK('Data Entry'!$Ĳ$895), "", 'Data Entry'!$Ĳ$895)</f>
      </c>
      <c r="II895">
        <f>IF(ISBLANK('Data Entry'!$ĳ$895), "", 'Data Entry'!$ĳ$895)</f>
      </c>
      <c r="IJ895">
        <f>IF(ISBLANK('Data Entry'!$Ĵ$895), "", 'Data Entry'!$Ĵ$895)</f>
      </c>
      <c r="IK895">
        <f>IF(ISBLANK('Data Entry'!$ĵ$895), "", 'Data Entry'!$ĵ$895)</f>
      </c>
      <c r="IL895">
        <f>IF(ISBLANK('Data Entry'!$Ķ$895), "", 'Data Entry'!$Ķ$895)</f>
      </c>
      <c r="IM895">
        <f>IF(ISBLANK('Data Entry'!$ķ$895), "", 'Data Entry'!$ķ$895)</f>
      </c>
      <c r="IN895">
        <f>IF(ISBLANK('Data Entry'!$ĸ$895), "", 'Data Entry'!$ĸ$895)</f>
      </c>
      <c r="IO895">
        <f>IF(ISBLANK('Data Entry'!$Ĺ$895), "", 'Data Entry'!$Ĺ$895)</f>
      </c>
      <c r="IP895">
        <f>IF(ISBLANK('Data Entry'!$ĺ$895), "", 'Data Entry'!$ĺ$895)</f>
      </c>
      <c r="IQ895">
        <f>IF(ISBLANK('Data Entry'!$Ļ$895), "", 'Data Entry'!$Ļ$895)</f>
      </c>
      <c r="IR895">
        <f>IF(ISBLANK('Data Entry'!$ļ$895), "", 'Data Entry'!$ļ$895)</f>
      </c>
      <c r="IS895">
        <f>IF(ISBLANK('Data Entry'!$Ľ$895), "", 'Data Entry'!$Ľ$895)</f>
      </c>
      <c r="IT895">
        <f>IF(ISBLANK('Data Entry'!$ľ$895), "", 'Data Entry'!$ľ$895)</f>
      </c>
    </row>
    <row r="896" spans="1:254" x14ac:dyDescent="0.25">
      <c r="A896">
        <f>IF(ISBLANK('Data Entry'!$A$896), "", 'Data Entry'!$A$896)</f>
      </c>
      <c r="B896">
        <f>IF(ISBLANK('Data Entry'!$B$896), "", 'Data Entry'!$B$896)</f>
      </c>
      <c r="C896">
        <f>IF(ISBLANK('Data Entry'!$C$896), "", 'Data Entry'!$C$896)</f>
      </c>
      <c r="D896">
        <f>IF(ISBLANK('Data Entry'!$D$896), "", 'Data Entry'!$D$896)</f>
      </c>
      <c r="E896">
        <f>IF(ISBLANK('Data Entry'!$E$896), "", 'Data Entry'!$E$896)</f>
      </c>
      <c r="F896">
        <f>IF(ISBLANK('Data Entry'!$F$896), "", 'Data Entry'!$F$896)</f>
      </c>
      <c r="G896">
        <f>IF(ISBLANK('Data Entry'!$G$896), "", 'Data Entry'!$G$896)</f>
      </c>
      <c r="H896">
        <f>IF(ISBLANK('Data Entry'!$H$896), "", 'Data Entry'!$H$896)</f>
      </c>
      <c r="I896">
        <f>IF(ISBLANK('Data Entry'!$I$896), "", 'Data Entry'!$I$896)</f>
      </c>
      <c r="J896">
        <f>IF(ISBLANK('Data Entry'!$J$896), "", 'Data Entry'!$J$896)</f>
      </c>
      <c r="K896">
        <f>IF(ISBLANK('Data Entry'!$K$896), "", 'Data Entry'!$K$896)</f>
      </c>
      <c r="L896">
        <f>IF(ISBLANK('Data Entry'!$L$896), "", 'Data Entry'!$L$896)</f>
      </c>
      <c r="M896">
        <f>IF(ISBLANK('Data Entry'!$M$896), "", 'Data Entry'!$M$896)</f>
      </c>
      <c r="N896">
        <f>IF(ISBLANK('Data Entry'!$N$896), "", 'Data Entry'!$N$896)</f>
      </c>
      <c r="O896">
        <f>IF(ISBLANK('Data Entry'!$O$896), "", 'Data Entry'!$O$896)</f>
      </c>
      <c r="P896">
        <f>IF(ISBLANK('Data Entry'!$P$896), "", 'Data Entry'!$P$896)</f>
      </c>
      <c r="Q896">
        <f>IF(ISBLANK('Data Entry'!$Q$896), "", 'Data Entry'!$Q$896)</f>
      </c>
      <c r="R896">
        <f>IF(ISBLANK('Data Entry'!$R$896), "", 'Data Entry'!$R$896)</f>
      </c>
      <c r="S896">
        <f>IF(ISBLANK('Data Entry'!$S$896), "", 'Data Entry'!$S$896)</f>
      </c>
      <c r="T896">
        <f>IF(ISBLANK('Data Entry'!$T$896), "", 'Data Entry'!$T$896)</f>
      </c>
      <c r="U896">
        <f>IF(ISBLANK('Data Entry'!$U$896), "", 'Data Entry'!$U$896)</f>
      </c>
      <c r="V896">
        <f>IF(ISBLANK('Data Entry'!$V$896), "", 'Data Entry'!$V$896)</f>
      </c>
      <c r="W896">
        <f>IF(ISBLANK('Data Entry'!$W$896), "", 'Data Entry'!$W$896)</f>
      </c>
      <c r="X896">
        <f>IF(ISBLANK('Data Entry'!$X$896), "", 'Data Entry'!$X$896)</f>
      </c>
      <c r="Y896">
        <f>IF(ISBLANK('Data Entry'!$Y$896), "", 'Data Entry'!$Y$896)</f>
      </c>
      <c r="Z896">
        <f>IF(ISBLANK('Data Entry'!$Z$896), "", 'Data Entry'!$Z$896)</f>
      </c>
      <c r="AA896">
        <f>IF(ISBLANK('Data Entry'!$[$896), "", 'Data Entry'!$[$896)</f>
      </c>
      <c r="AB896">
        <f>IF(ISBLANK('Data Entry'!$\$896), "", 'Data Entry'!$\$896)</f>
      </c>
      <c r="AC896">
        <f>IF(ISBLANK('Data Entry'!$]$896), "", 'Data Entry'!$]$896)</f>
      </c>
      <c r="AD896">
        <f>IF(ISBLANK('Data Entry'!$^$896), "", 'Data Entry'!$^$896)</f>
      </c>
      <c r="AE896">
        <f>IF(ISBLANK('Data Entry'!$_$896), "", 'Data Entry'!$_$896)</f>
      </c>
      <c r="AF896">
        <f>IF(ISBLANK('Data Entry'!$`$896), "", 'Data Entry'!$`$896)</f>
      </c>
      <c r="AG896">
        <f>IF(ISBLANK('Data Entry'!$a$896), "", 'Data Entry'!$a$896)</f>
      </c>
      <c r="AH896">
        <f>IF(ISBLANK('Data Entry'!$b$896), "", 'Data Entry'!$b$896)</f>
      </c>
      <c r="AI896">
        <f>IF(ISBLANK('Data Entry'!$c$896), "", 'Data Entry'!$c$896)</f>
      </c>
      <c r="AJ896">
        <f>IF(ISBLANK('Data Entry'!$d$896), "", 'Data Entry'!$d$896)</f>
      </c>
      <c r="AK896">
        <f>IF(ISBLANK('Data Entry'!$e$896), "", 'Data Entry'!$e$896)</f>
      </c>
      <c r="AL896">
        <f>IF(ISBLANK('Data Entry'!$f$896), "", 'Data Entry'!$f$896)</f>
      </c>
      <c r="AM896">
        <f>IF(ISBLANK('Data Entry'!$g$896), "", 'Data Entry'!$g$896)</f>
      </c>
      <c r="AN896">
        <f>IF(ISBLANK('Data Entry'!$h$896), "", 'Data Entry'!$h$896)</f>
      </c>
      <c r="AO896">
        <f>IF(ISBLANK('Data Entry'!$i$896), "", 'Data Entry'!$i$896)</f>
      </c>
      <c r="AP896">
        <f>IF(ISBLANK('Data Entry'!$j$896), "", 'Data Entry'!$j$896)</f>
      </c>
      <c r="AQ896">
        <f>IF(ISBLANK('Data Entry'!$k$896), "", 'Data Entry'!$k$896)</f>
      </c>
      <c r="AR896">
        <f>IF(ISBLANK('Data Entry'!$l$896), "", 'Data Entry'!$l$896)</f>
      </c>
      <c r="AS896">
        <f>IF(ISBLANK('Data Entry'!$m$896), "", 'Data Entry'!$m$896)</f>
      </c>
      <c r="AT896">
        <f>IF(ISBLANK('Data Entry'!$n$896), "", 'Data Entry'!$n$896)</f>
      </c>
      <c r="AU896">
        <f>IF(ISBLANK('Data Entry'!$o$896), "", 'Data Entry'!$o$896)</f>
      </c>
      <c r="AV896">
        <f>IF(ISBLANK('Data Entry'!$p$896), "", 'Data Entry'!$p$896)</f>
      </c>
      <c r="AW896">
        <f>IF(ISBLANK('Data Entry'!$q$896), "", 'Data Entry'!$q$896)</f>
      </c>
      <c r="AX896">
        <f>IF(ISBLANK('Data Entry'!$r$896), "", 'Data Entry'!$r$896)</f>
      </c>
      <c r="AY896">
        <f>IF(ISBLANK('Data Entry'!$s$896), "", 'Data Entry'!$s$896)</f>
      </c>
      <c r="AZ896">
        <f>IF(ISBLANK('Data Entry'!$t$896), "", 'Data Entry'!$t$896)</f>
      </c>
      <c r="BA896">
        <f>IF(ISBLANK('Data Entry'!$u$896), "", 'Data Entry'!$u$896)</f>
      </c>
      <c r="BB896">
        <f>IF(ISBLANK('Data Entry'!$v$896), "", 'Data Entry'!$v$896)</f>
      </c>
      <c r="BC896">
        <f>IF(ISBLANK('Data Entry'!$w$896), "", 'Data Entry'!$w$896)</f>
      </c>
      <c r="BD896">
        <f>IF(ISBLANK('Data Entry'!$x$896), "", 'Data Entry'!$x$896)</f>
      </c>
      <c r="BE896">
        <f>IF(ISBLANK('Data Entry'!$y$896), "", 'Data Entry'!$y$896)</f>
      </c>
      <c r="BF896">
        <f>IF(ISBLANK('Data Entry'!$z$896), "", 'Data Entry'!$z$896)</f>
      </c>
      <c r="BG896">
        <f>IF(ISBLANK('Data Entry'!${$896), "", 'Data Entry'!${$896)</f>
      </c>
      <c r="BH896">
        <f>IF(ISBLANK('Data Entry'!$|$896), "", 'Data Entry'!$|$896)</f>
      </c>
      <c r="BI896">
        <f>IF(ISBLANK('Data Entry'!$}$896), "", 'Data Entry'!$}$896)</f>
      </c>
      <c r="BJ896">
        <f>IF(ISBLANK('Data Entry'!$~$896), "", 'Data Entry'!$~$896)</f>
      </c>
      <c r="BK896">
        <f>IF(ISBLANK('Data Entry'!$$896), "", 'Data Entry'!$$896)</f>
      </c>
      <c r="BL896">
        <f>IF(ISBLANK('Data Entry'!$$896), "", 'Data Entry'!$$896)</f>
      </c>
      <c r="BM896">
        <f>IF(ISBLANK('Data Entry'!$$896), "", 'Data Entry'!$$896)</f>
      </c>
      <c r="BN896">
        <f>IF(ISBLANK('Data Entry'!$$896), "", 'Data Entry'!$$896)</f>
      </c>
      <c r="BO896">
        <f>IF(ISBLANK('Data Entry'!$$896), "", 'Data Entry'!$$896)</f>
      </c>
      <c r="BP896">
        <f>IF(ISBLANK('Data Entry'!$$896), "", 'Data Entry'!$$896)</f>
      </c>
      <c r="BQ896">
        <f>IF(ISBLANK('Data Entry'!$$896), "", 'Data Entry'!$$896)</f>
      </c>
      <c r="BR896">
        <f>IF(ISBLANK('Data Entry'!$$896), "", 'Data Entry'!$$896)</f>
      </c>
      <c r="BS896">
        <f>IF(ISBLANK('Data Entry'!$$896), "", 'Data Entry'!$$896)</f>
      </c>
      <c r="BT896">
        <f>IF(ISBLANK('Data Entry'!$$896), "", 'Data Entry'!$$896)</f>
      </c>
      <c r="BU896">
        <f>IF(ISBLANK('Data Entry'!$$896), "", 'Data Entry'!$$896)</f>
      </c>
      <c r="BV896">
        <f>IF(ISBLANK('Data Entry'!$$896), "", 'Data Entry'!$$896)</f>
      </c>
      <c r="BW896">
        <f>IF(ISBLANK('Data Entry'!$$896), "", 'Data Entry'!$$896)</f>
      </c>
      <c r="BX896">
        <f>IF(ISBLANK('Data Entry'!$$896), "", 'Data Entry'!$$896)</f>
      </c>
      <c r="BY896">
        <f>IF(ISBLANK('Data Entry'!$$896), "", 'Data Entry'!$$896)</f>
      </c>
      <c r="BZ896">
        <f>IF(ISBLANK('Data Entry'!$$896), "", 'Data Entry'!$$896)</f>
      </c>
      <c r="CA896">
        <f>IF(ISBLANK('Data Entry'!$$896), "", 'Data Entry'!$$896)</f>
      </c>
      <c r="CB896">
        <f>IF(ISBLANK('Data Entry'!$$896), "", 'Data Entry'!$$896)</f>
      </c>
      <c r="CC896">
        <f>IF(ISBLANK('Data Entry'!$$896), "", 'Data Entry'!$$896)</f>
      </c>
      <c r="CD896">
        <f>IF(ISBLANK('Data Entry'!$$896), "", 'Data Entry'!$$896)</f>
      </c>
      <c r="CE896">
        <f>IF(ISBLANK('Data Entry'!$$896), "", 'Data Entry'!$$896)</f>
      </c>
      <c r="CF896">
        <f>IF(ISBLANK('Data Entry'!$$896), "", 'Data Entry'!$$896)</f>
      </c>
      <c r="CG896">
        <f>IF(ISBLANK('Data Entry'!$$896), "", 'Data Entry'!$$896)</f>
      </c>
      <c r="CH896">
        <f>IF(ISBLANK('Data Entry'!$$896), "", 'Data Entry'!$$896)</f>
      </c>
      <c r="CI896">
        <f>IF(ISBLANK('Data Entry'!$$896), "", 'Data Entry'!$$896)</f>
      </c>
      <c r="CJ896">
        <f>IF(ISBLANK('Data Entry'!$$896), "", 'Data Entry'!$$896)</f>
      </c>
      <c r="CK896">
        <f>IF(ISBLANK('Data Entry'!$$896), "", 'Data Entry'!$$896)</f>
      </c>
      <c r="CL896">
        <f>IF(ISBLANK('Data Entry'!$$896), "", 'Data Entry'!$$896)</f>
      </c>
      <c r="CM896">
        <f>IF(ISBLANK('Data Entry'!$$896), "", 'Data Entry'!$$896)</f>
      </c>
      <c r="CN896">
        <f>IF(ISBLANK('Data Entry'!$$896), "", 'Data Entry'!$$896)</f>
      </c>
      <c r="CO896">
        <f>IF(ISBLANK('Data Entry'!$$896), "", 'Data Entry'!$$896)</f>
      </c>
      <c r="CP896">
        <f>IF(ISBLANK('Data Entry'!$$896), "", 'Data Entry'!$$896)</f>
      </c>
      <c r="CQ896">
        <f>IF(ISBLANK('Data Entry'!$$896), "", 'Data Entry'!$$896)</f>
      </c>
      <c r="CR896">
        <f>IF(ISBLANK('Data Entry'!$ $896), "", 'Data Entry'!$ $896)</f>
      </c>
      <c r="CS896">
        <f>IF(ISBLANK('Data Entry'!$¡$896), "", 'Data Entry'!$¡$896)</f>
      </c>
      <c r="CT896">
        <f>IF(ISBLANK('Data Entry'!$¢$896), "", 'Data Entry'!$¢$896)</f>
      </c>
      <c r="CU896">
        <f>IF(ISBLANK('Data Entry'!$£$896), "", 'Data Entry'!$£$896)</f>
      </c>
      <c r="CV896">
        <f>IF(ISBLANK('Data Entry'!$¤$896), "", 'Data Entry'!$¤$896)</f>
      </c>
      <c r="CW896">
        <f>IF(ISBLANK('Data Entry'!$¥$896), "", 'Data Entry'!$¥$896)</f>
      </c>
      <c r="CX896">
        <f>IF(ISBLANK('Data Entry'!$¦$896), "", 'Data Entry'!$¦$896)</f>
      </c>
      <c r="CY896">
        <f>IF(ISBLANK('Data Entry'!$§$896), "", 'Data Entry'!$§$896)</f>
      </c>
      <c r="CZ896">
        <f>IF(ISBLANK('Data Entry'!$¨$896), "", 'Data Entry'!$¨$896)</f>
      </c>
      <c r="DA896">
        <f>IF(ISBLANK('Data Entry'!$©$896), "", 'Data Entry'!$©$896)</f>
      </c>
      <c r="DB896">
        <f>IF(ISBLANK('Data Entry'!$ª$896), "", 'Data Entry'!$ª$896)</f>
      </c>
      <c r="DC896">
        <f>IF(ISBLANK('Data Entry'!$«$896), "", 'Data Entry'!$«$896)</f>
      </c>
      <c r="DD896">
        <f>IF(ISBLANK('Data Entry'!$¬$896), "", 'Data Entry'!$¬$896)</f>
      </c>
      <c r="DE896">
        <f>IF(ISBLANK('Data Entry'!$­$896), "", 'Data Entry'!$­$896)</f>
      </c>
      <c r="DF896">
        <f>IF(ISBLANK('Data Entry'!$®$896), "", 'Data Entry'!$®$896)</f>
      </c>
      <c r="DG896">
        <f>IF(ISBLANK('Data Entry'!$¯$896), "", 'Data Entry'!$¯$896)</f>
      </c>
      <c r="DH896">
        <f>IF(ISBLANK('Data Entry'!$°$896), "", 'Data Entry'!$°$896)</f>
      </c>
      <c r="DI896">
        <f>IF(ISBLANK('Data Entry'!$±$896), "", 'Data Entry'!$±$896)</f>
      </c>
      <c r="DJ896">
        <f>IF(ISBLANK('Data Entry'!$²$896), "", 'Data Entry'!$²$896)</f>
      </c>
      <c r="DK896">
        <f>IF(ISBLANK('Data Entry'!$³$896), "", 'Data Entry'!$³$896)</f>
      </c>
      <c r="DL896">
        <f>IF(ISBLANK('Data Entry'!$´$896), "", 'Data Entry'!$´$896)</f>
      </c>
      <c r="DM896">
        <f>IF(ISBLANK('Data Entry'!$µ$896), "", 'Data Entry'!$µ$896)</f>
      </c>
      <c r="DN896">
        <f>IF(ISBLANK('Data Entry'!$¶$896), "", 'Data Entry'!$¶$896)</f>
      </c>
      <c r="DO896">
        <f>IF(ISBLANK('Data Entry'!$·$896), "", 'Data Entry'!$·$896)</f>
      </c>
      <c r="DP896">
        <f>IF(ISBLANK('Data Entry'!$¸$896), "", 'Data Entry'!$¸$896)</f>
      </c>
      <c r="DQ896">
        <f>IF(ISBLANK('Data Entry'!$¹$896), "", 'Data Entry'!$¹$896)</f>
      </c>
      <c r="DR896">
        <f>IF(ISBLANK('Data Entry'!$º$896), "", 'Data Entry'!$º$896)</f>
      </c>
      <c r="DS896">
        <f>IF(ISBLANK('Data Entry'!$»$896), "", 'Data Entry'!$»$896)</f>
      </c>
      <c r="DT896">
        <f>IF(ISBLANK('Data Entry'!$¼$896), "", 'Data Entry'!$¼$896)</f>
      </c>
      <c r="DU896">
        <f>IF(ISBLANK('Data Entry'!$½$896), "", 'Data Entry'!$½$896)</f>
      </c>
      <c r="DV896">
        <f>IF(ISBLANK('Data Entry'!$¾$896), "", 'Data Entry'!$¾$896)</f>
      </c>
      <c r="DW896">
        <f>IF(ISBLANK('Data Entry'!$¿$896), "", 'Data Entry'!$¿$896)</f>
      </c>
      <c r="DX896">
        <f>IF(ISBLANK('Data Entry'!$À$896), "", 'Data Entry'!$À$896)</f>
      </c>
      <c r="DY896">
        <f>IF(ISBLANK('Data Entry'!$Á$896), "", 'Data Entry'!$Á$896)</f>
      </c>
      <c r="DZ896">
        <f>IF(ISBLANK('Data Entry'!$Â$896), "", 'Data Entry'!$Â$896)</f>
      </c>
      <c r="EA896">
        <f>IF(ISBLANK('Data Entry'!$Ã$896), "", 'Data Entry'!$Ã$896)</f>
      </c>
      <c r="EB896">
        <f>IF(ISBLANK('Data Entry'!$Ä$896), "", 'Data Entry'!$Ä$896)</f>
      </c>
      <c r="EC896">
        <f>IF(ISBLANK('Data Entry'!$Å$896), "", 'Data Entry'!$Å$896)</f>
      </c>
      <c r="ED896">
        <f>IF(ISBLANK('Data Entry'!$Æ$896), "", 'Data Entry'!$Æ$896)</f>
      </c>
      <c r="EE896">
        <f>IF(ISBLANK('Data Entry'!$Ç$896), "", 'Data Entry'!$Ç$896)</f>
      </c>
      <c r="EF896">
        <f>IF(ISBLANK('Data Entry'!$È$896), "", 'Data Entry'!$È$896)</f>
      </c>
      <c r="EG896">
        <f>IF(ISBLANK('Data Entry'!$É$896), "", 'Data Entry'!$É$896)</f>
      </c>
      <c r="EH896">
        <f>IF(ISBLANK('Data Entry'!$Ê$896), "", 'Data Entry'!$Ê$896)</f>
      </c>
      <c r="EI896">
        <f>IF(ISBLANK('Data Entry'!$Ë$896), "", 'Data Entry'!$Ë$896)</f>
      </c>
      <c r="EJ896">
        <f>IF(ISBLANK('Data Entry'!$Ì$896), "", 'Data Entry'!$Ì$896)</f>
      </c>
      <c r="EK896">
        <f>IF(ISBLANK('Data Entry'!$Í$896), "", 'Data Entry'!$Í$896)</f>
      </c>
      <c r="EL896">
        <f>IF(ISBLANK('Data Entry'!$Î$896), "", 'Data Entry'!$Î$896)</f>
      </c>
      <c r="EM896">
        <f>IF(ISBLANK('Data Entry'!$Ï$896), "", 'Data Entry'!$Ï$896)</f>
      </c>
      <c r="EN896">
        <f>IF(ISBLANK('Data Entry'!$Ð$896), "", 'Data Entry'!$Ð$896)</f>
      </c>
      <c r="EO896">
        <f>IF(ISBLANK('Data Entry'!$Ñ$896), "", 'Data Entry'!$Ñ$896)</f>
      </c>
      <c r="EP896">
        <f>IF(ISBLANK('Data Entry'!$Ò$896), "", 'Data Entry'!$Ò$896)</f>
      </c>
      <c r="EQ896">
        <f>IF(ISBLANK('Data Entry'!$Ó$896), "", 'Data Entry'!$Ó$896)</f>
      </c>
      <c r="ER896">
        <f>IF(ISBLANK('Data Entry'!$Ô$896), "", 'Data Entry'!$Ô$896)</f>
      </c>
      <c r="ES896">
        <f>IF(ISBLANK('Data Entry'!$Õ$896), "", 'Data Entry'!$Õ$896)</f>
      </c>
      <c r="ET896">
        <f>IF(ISBLANK('Data Entry'!$Ö$896), "", 'Data Entry'!$Ö$896)</f>
      </c>
      <c r="EU896">
        <f>IF(ISBLANK('Data Entry'!$×$896), "", 'Data Entry'!$×$896)</f>
      </c>
      <c r="EV896">
        <f>IF(ISBLANK('Data Entry'!$Ø$896), "", 'Data Entry'!$Ø$896)</f>
      </c>
      <c r="EW896">
        <f>IF(ISBLANK('Data Entry'!$Ù$896), "", 'Data Entry'!$Ù$896)</f>
      </c>
      <c r="EX896">
        <f>IF(ISBLANK('Data Entry'!$Ú$896), "", 'Data Entry'!$Ú$896)</f>
      </c>
      <c r="EY896">
        <f>IF(ISBLANK('Data Entry'!$Û$896), "", 'Data Entry'!$Û$896)</f>
      </c>
      <c r="EZ896">
        <f>IF(ISBLANK('Data Entry'!$Ü$896), "", 'Data Entry'!$Ü$896)</f>
      </c>
      <c r="FA896">
        <f>IF(ISBLANK('Data Entry'!$Ý$896), "", 'Data Entry'!$Ý$896)</f>
      </c>
      <c r="FB896">
        <f>IF(ISBLANK('Data Entry'!$Þ$896), "", 'Data Entry'!$Þ$896)</f>
      </c>
      <c r="FC896">
        <f>IF(ISBLANK('Data Entry'!$ß$896), "", 'Data Entry'!$ß$896)</f>
      </c>
      <c r="FD896">
        <f>IF(ISBLANK('Data Entry'!$à$896), "", 'Data Entry'!$à$896)</f>
      </c>
      <c r="FE896">
        <f>IF(ISBLANK('Data Entry'!$á$896), "", 'Data Entry'!$á$896)</f>
      </c>
      <c r="FF896">
        <f>IF(ISBLANK('Data Entry'!$â$896), "", 'Data Entry'!$â$896)</f>
      </c>
      <c r="FG896">
        <f>IF(ISBLANK('Data Entry'!$ã$896), "", 'Data Entry'!$ã$896)</f>
      </c>
      <c r="FH896">
        <f>IF(ISBLANK('Data Entry'!$ä$896), "", 'Data Entry'!$ä$896)</f>
      </c>
      <c r="FI896">
        <f>IF(ISBLANK('Data Entry'!$å$896), "", 'Data Entry'!$å$896)</f>
      </c>
      <c r="FJ896">
        <f>IF(ISBLANK('Data Entry'!$æ$896), "", 'Data Entry'!$æ$896)</f>
      </c>
      <c r="FK896">
        <f>IF(ISBLANK('Data Entry'!$ç$896), "", 'Data Entry'!$ç$896)</f>
      </c>
      <c r="FL896">
        <f>IF(ISBLANK('Data Entry'!$è$896), "", 'Data Entry'!$è$896)</f>
      </c>
      <c r="FM896">
        <f>IF(ISBLANK('Data Entry'!$é$896), "", 'Data Entry'!$é$896)</f>
      </c>
      <c r="FN896">
        <f>IF(ISBLANK('Data Entry'!$ê$896), "", 'Data Entry'!$ê$896)</f>
      </c>
      <c r="FO896">
        <f>IF(ISBLANK('Data Entry'!$ë$896), "", 'Data Entry'!$ë$896)</f>
      </c>
      <c r="FP896">
        <f>IF(ISBLANK('Data Entry'!$ì$896), "", 'Data Entry'!$ì$896)</f>
      </c>
      <c r="FQ896">
        <f>IF(ISBLANK('Data Entry'!$í$896), "", 'Data Entry'!$í$896)</f>
      </c>
      <c r="FR896">
        <f>IF(ISBLANK('Data Entry'!$î$896), "", 'Data Entry'!$î$896)</f>
      </c>
      <c r="FS896">
        <f>IF(ISBLANK('Data Entry'!$ï$896), "", 'Data Entry'!$ï$896)</f>
      </c>
      <c r="FT896">
        <f>IF(ISBLANK('Data Entry'!$ð$896), "", 'Data Entry'!$ð$896)</f>
      </c>
      <c r="FU896">
        <f>IF(ISBLANK('Data Entry'!$ñ$896), "", 'Data Entry'!$ñ$896)</f>
      </c>
      <c r="FV896">
        <f>IF(ISBLANK('Data Entry'!$ò$896), "", 'Data Entry'!$ò$896)</f>
      </c>
      <c r="FW896">
        <f>IF(ISBLANK('Data Entry'!$ó$896), "", 'Data Entry'!$ó$896)</f>
      </c>
      <c r="FX896">
        <f>IF(ISBLANK('Data Entry'!$ô$896), "", 'Data Entry'!$ô$896)</f>
      </c>
      <c r="FY896">
        <f>IF(ISBLANK('Data Entry'!$õ$896), "", 'Data Entry'!$õ$896)</f>
      </c>
      <c r="FZ896">
        <f>IF(ISBLANK('Data Entry'!$ö$896), "", 'Data Entry'!$ö$896)</f>
      </c>
      <c r="GA896">
        <f>IF(ISBLANK('Data Entry'!$÷$896), "", 'Data Entry'!$÷$896)</f>
      </c>
      <c r="GB896">
        <f>IF(ISBLANK('Data Entry'!$ø$896), "", 'Data Entry'!$ø$896)</f>
      </c>
      <c r="GC896">
        <f>IF(ISBLANK('Data Entry'!$ù$896), "", 'Data Entry'!$ù$896)</f>
      </c>
      <c r="GD896">
        <f>IF(ISBLANK('Data Entry'!$ú$896), "", 'Data Entry'!$ú$896)</f>
      </c>
      <c r="GE896">
        <f>IF(ISBLANK('Data Entry'!$û$896), "", 'Data Entry'!$û$896)</f>
      </c>
      <c r="GF896">
        <f>IF(ISBLANK('Data Entry'!$ü$896), "", 'Data Entry'!$ü$896)</f>
      </c>
      <c r="GG896">
        <f>IF(ISBLANK('Data Entry'!$ý$896), "", 'Data Entry'!$ý$896)</f>
      </c>
      <c r="GH896">
        <f>IF(ISBLANK('Data Entry'!$þ$896), "", 'Data Entry'!$þ$896)</f>
      </c>
      <c r="GI896">
        <f>IF(ISBLANK('Data Entry'!$ÿ$896), "", 'Data Entry'!$ÿ$896)</f>
      </c>
      <c r="GJ896">
        <f>IF(ISBLANK('Data Entry'!$Ā$896), "", 'Data Entry'!$Ā$896)</f>
      </c>
      <c r="GK896">
        <f>IF(ISBLANK('Data Entry'!$ā$896), "", 'Data Entry'!$ā$896)</f>
      </c>
      <c r="GL896">
        <f>IF(ISBLANK('Data Entry'!$Ă$896), "", 'Data Entry'!$Ă$896)</f>
      </c>
      <c r="GM896">
        <f>IF(ISBLANK('Data Entry'!$ă$896), "", 'Data Entry'!$ă$896)</f>
      </c>
      <c r="GN896">
        <f>IF(ISBLANK('Data Entry'!$Ą$896), "", 'Data Entry'!$Ą$896)</f>
      </c>
      <c r="GO896">
        <f>IF(ISBLANK('Data Entry'!$ą$896), "", 'Data Entry'!$ą$896)</f>
      </c>
      <c r="GP896">
        <f>IF(ISBLANK('Data Entry'!$Ć$896), "", 'Data Entry'!$Ć$896)</f>
      </c>
      <c r="GQ896">
        <f>IF(ISBLANK('Data Entry'!$ć$896), "", 'Data Entry'!$ć$896)</f>
      </c>
      <c r="GR896">
        <f>IF(ISBLANK('Data Entry'!$Ĉ$896), "", 'Data Entry'!$Ĉ$896)</f>
      </c>
      <c r="GS896">
        <f>IF(ISBLANK('Data Entry'!$ĉ$896), "", 'Data Entry'!$ĉ$896)</f>
      </c>
      <c r="GT896">
        <f>IF(ISBLANK('Data Entry'!$Ċ$896), "", 'Data Entry'!$Ċ$896)</f>
      </c>
      <c r="GU896">
        <f>IF(ISBLANK('Data Entry'!$ċ$896), "", 'Data Entry'!$ċ$896)</f>
      </c>
      <c r="GV896">
        <f>IF(ISBLANK('Data Entry'!$Č$896), "", 'Data Entry'!$Č$896)</f>
      </c>
      <c r="GW896">
        <f>IF(ISBLANK('Data Entry'!$č$896), "", 'Data Entry'!$č$896)</f>
      </c>
      <c r="GX896">
        <f>IF(ISBLANK('Data Entry'!$Ď$896), "", 'Data Entry'!$Ď$896)</f>
      </c>
      <c r="GY896">
        <f>IF(ISBLANK('Data Entry'!$ď$896), "", 'Data Entry'!$ď$896)</f>
      </c>
      <c r="GZ896">
        <f>IF(ISBLANK('Data Entry'!$Đ$896), "", 'Data Entry'!$Đ$896)</f>
      </c>
      <c r="HA896">
        <f>IF(ISBLANK('Data Entry'!$đ$896), "", 'Data Entry'!$đ$896)</f>
      </c>
      <c r="HB896">
        <f>IF(ISBLANK('Data Entry'!$Ē$896), "", 'Data Entry'!$Ē$896)</f>
      </c>
      <c r="HC896">
        <f>IF(ISBLANK('Data Entry'!$ē$896), "", 'Data Entry'!$ē$896)</f>
      </c>
      <c r="HD896">
        <f>IF(ISBLANK('Data Entry'!$Ĕ$896), "", 'Data Entry'!$Ĕ$896)</f>
      </c>
      <c r="HE896">
        <f>IF(ISBLANK('Data Entry'!$ĕ$896), "", 'Data Entry'!$ĕ$896)</f>
      </c>
      <c r="HF896">
        <f>IF(ISBLANK('Data Entry'!$Ė$896), "", 'Data Entry'!$Ė$896)</f>
      </c>
      <c r="HG896">
        <f>IF(ISBLANK('Data Entry'!$ė$896), "", 'Data Entry'!$ė$896)</f>
      </c>
      <c r="HH896">
        <f>IF(ISBLANK('Data Entry'!$Ę$896), "", 'Data Entry'!$Ę$896)</f>
      </c>
      <c r="HI896">
        <f>IF(ISBLANK('Data Entry'!$ę$896), "", 'Data Entry'!$ę$896)</f>
      </c>
      <c r="HJ896">
        <f>IF(ISBLANK('Data Entry'!$Ě$896), "", 'Data Entry'!$Ě$896)</f>
      </c>
      <c r="HK896">
        <f>IF(ISBLANK('Data Entry'!$ě$896), "", 'Data Entry'!$ě$896)</f>
      </c>
      <c r="HL896">
        <f>IF(ISBLANK('Data Entry'!$Ĝ$896), "", 'Data Entry'!$Ĝ$896)</f>
      </c>
      <c r="HM896">
        <f>IF(ISBLANK('Data Entry'!$ĝ$896), "", 'Data Entry'!$ĝ$896)</f>
      </c>
      <c r="HN896">
        <f>IF(ISBLANK('Data Entry'!$Ğ$896), "", 'Data Entry'!$Ğ$896)</f>
      </c>
      <c r="HO896">
        <f>IF(ISBLANK('Data Entry'!$ğ$896), "", 'Data Entry'!$ğ$896)</f>
      </c>
      <c r="HP896">
        <f>IF(ISBLANK('Data Entry'!$Ġ$896), "", 'Data Entry'!$Ġ$896)</f>
      </c>
      <c r="HQ896">
        <f>IF(ISBLANK('Data Entry'!$ġ$896), "", 'Data Entry'!$ġ$896)</f>
      </c>
      <c r="HR896">
        <f>IF(ISBLANK('Data Entry'!$Ģ$896), "", 'Data Entry'!$Ģ$896)</f>
      </c>
      <c r="HS896">
        <f>IF(ISBLANK('Data Entry'!$ģ$896), "", 'Data Entry'!$ģ$896)</f>
      </c>
      <c r="HT896">
        <f>IF(ISBLANK('Data Entry'!$Ĥ$896), "", 'Data Entry'!$Ĥ$896)</f>
      </c>
      <c r="HU896">
        <f>IF(ISBLANK('Data Entry'!$ĥ$896), "", 'Data Entry'!$ĥ$896)</f>
      </c>
      <c r="HV896">
        <f>IF(ISBLANK('Data Entry'!$Ħ$896), "", 'Data Entry'!$Ħ$896)</f>
      </c>
      <c r="HW896">
        <f>IF(ISBLANK('Data Entry'!$ħ$896), "", 'Data Entry'!$ħ$896)</f>
      </c>
      <c r="HX896">
        <f>IF(ISBLANK('Data Entry'!$Ĩ$896), "", 'Data Entry'!$Ĩ$896)</f>
      </c>
      <c r="HY896">
        <f>IF(ISBLANK('Data Entry'!$ĩ$896), "", 'Data Entry'!$ĩ$896)</f>
      </c>
      <c r="HZ896">
        <f>IF(ISBLANK('Data Entry'!$Ī$896), "", 'Data Entry'!$Ī$896)</f>
      </c>
      <c r="IA896">
        <f>IF(ISBLANK('Data Entry'!$ī$896), "", 'Data Entry'!$ī$896)</f>
      </c>
      <c r="IB896">
        <f>IF(ISBLANK('Data Entry'!$Ĭ$896), "", 'Data Entry'!$Ĭ$896)</f>
      </c>
      <c r="IC896">
        <f>IF(ISBLANK('Data Entry'!$ĭ$896), "", 'Data Entry'!$ĭ$896)</f>
      </c>
      <c r="ID896">
        <f>IF(ISBLANK('Data Entry'!$Į$896), "", 'Data Entry'!$Į$896)</f>
      </c>
      <c r="IE896">
        <f>IF(ISBLANK('Data Entry'!$į$896), "", 'Data Entry'!$į$896)</f>
      </c>
      <c r="IF896">
        <f>IF(ISBLANK('Data Entry'!$İ$896), "", 'Data Entry'!$İ$896)</f>
      </c>
      <c r="IG896">
        <f>IF(ISBLANK('Data Entry'!$ı$896), "", 'Data Entry'!$ı$896)</f>
      </c>
      <c r="IH896">
        <f>IF(ISBLANK('Data Entry'!$Ĳ$896), "", 'Data Entry'!$Ĳ$896)</f>
      </c>
      <c r="II896">
        <f>IF(ISBLANK('Data Entry'!$ĳ$896), "", 'Data Entry'!$ĳ$896)</f>
      </c>
      <c r="IJ896">
        <f>IF(ISBLANK('Data Entry'!$Ĵ$896), "", 'Data Entry'!$Ĵ$896)</f>
      </c>
      <c r="IK896">
        <f>IF(ISBLANK('Data Entry'!$ĵ$896), "", 'Data Entry'!$ĵ$896)</f>
      </c>
      <c r="IL896">
        <f>IF(ISBLANK('Data Entry'!$Ķ$896), "", 'Data Entry'!$Ķ$896)</f>
      </c>
      <c r="IM896">
        <f>IF(ISBLANK('Data Entry'!$ķ$896), "", 'Data Entry'!$ķ$896)</f>
      </c>
      <c r="IN896">
        <f>IF(ISBLANK('Data Entry'!$ĸ$896), "", 'Data Entry'!$ĸ$896)</f>
      </c>
      <c r="IO896">
        <f>IF(ISBLANK('Data Entry'!$Ĺ$896), "", 'Data Entry'!$Ĺ$896)</f>
      </c>
      <c r="IP896">
        <f>IF(ISBLANK('Data Entry'!$ĺ$896), "", 'Data Entry'!$ĺ$896)</f>
      </c>
      <c r="IQ896">
        <f>IF(ISBLANK('Data Entry'!$Ļ$896), "", 'Data Entry'!$Ļ$896)</f>
      </c>
      <c r="IR896">
        <f>IF(ISBLANK('Data Entry'!$ļ$896), "", 'Data Entry'!$ļ$896)</f>
      </c>
      <c r="IS896">
        <f>IF(ISBLANK('Data Entry'!$Ľ$896), "", 'Data Entry'!$Ľ$896)</f>
      </c>
      <c r="IT896">
        <f>IF(ISBLANK('Data Entry'!$ľ$896), "", 'Data Entry'!$ľ$896)</f>
      </c>
    </row>
    <row r="897" spans="1:254" x14ac:dyDescent="0.25">
      <c r="A897">
        <f>IF(ISBLANK('Data Entry'!$A$897), "", 'Data Entry'!$A$897)</f>
      </c>
      <c r="B897">
        <f>IF(ISBLANK('Data Entry'!$B$897), "", 'Data Entry'!$B$897)</f>
      </c>
      <c r="C897">
        <f>IF(ISBLANK('Data Entry'!$C$897), "", 'Data Entry'!$C$897)</f>
      </c>
      <c r="D897">
        <f>IF(ISBLANK('Data Entry'!$D$897), "", 'Data Entry'!$D$897)</f>
      </c>
      <c r="E897">
        <f>IF(ISBLANK('Data Entry'!$E$897), "", 'Data Entry'!$E$897)</f>
      </c>
      <c r="F897">
        <f>IF(ISBLANK('Data Entry'!$F$897), "", 'Data Entry'!$F$897)</f>
      </c>
      <c r="G897">
        <f>IF(ISBLANK('Data Entry'!$G$897), "", 'Data Entry'!$G$897)</f>
      </c>
      <c r="H897">
        <f>IF(ISBLANK('Data Entry'!$H$897), "", 'Data Entry'!$H$897)</f>
      </c>
      <c r="I897">
        <f>IF(ISBLANK('Data Entry'!$I$897), "", 'Data Entry'!$I$897)</f>
      </c>
      <c r="J897">
        <f>IF(ISBLANK('Data Entry'!$J$897), "", 'Data Entry'!$J$897)</f>
      </c>
      <c r="K897">
        <f>IF(ISBLANK('Data Entry'!$K$897), "", 'Data Entry'!$K$897)</f>
      </c>
      <c r="L897">
        <f>IF(ISBLANK('Data Entry'!$L$897), "", 'Data Entry'!$L$897)</f>
      </c>
      <c r="M897">
        <f>IF(ISBLANK('Data Entry'!$M$897), "", 'Data Entry'!$M$897)</f>
      </c>
      <c r="N897">
        <f>IF(ISBLANK('Data Entry'!$N$897), "", 'Data Entry'!$N$897)</f>
      </c>
      <c r="O897">
        <f>IF(ISBLANK('Data Entry'!$O$897), "", 'Data Entry'!$O$897)</f>
      </c>
      <c r="P897">
        <f>IF(ISBLANK('Data Entry'!$P$897), "", 'Data Entry'!$P$897)</f>
      </c>
      <c r="Q897">
        <f>IF(ISBLANK('Data Entry'!$Q$897), "", 'Data Entry'!$Q$897)</f>
      </c>
      <c r="R897">
        <f>IF(ISBLANK('Data Entry'!$R$897), "", 'Data Entry'!$R$897)</f>
      </c>
      <c r="S897">
        <f>IF(ISBLANK('Data Entry'!$S$897), "", 'Data Entry'!$S$897)</f>
      </c>
      <c r="T897">
        <f>IF(ISBLANK('Data Entry'!$T$897), "", 'Data Entry'!$T$897)</f>
      </c>
      <c r="U897">
        <f>IF(ISBLANK('Data Entry'!$U$897), "", 'Data Entry'!$U$897)</f>
      </c>
      <c r="V897">
        <f>IF(ISBLANK('Data Entry'!$V$897), "", 'Data Entry'!$V$897)</f>
      </c>
      <c r="W897">
        <f>IF(ISBLANK('Data Entry'!$W$897), "", 'Data Entry'!$W$897)</f>
      </c>
      <c r="X897">
        <f>IF(ISBLANK('Data Entry'!$X$897), "", 'Data Entry'!$X$897)</f>
      </c>
      <c r="Y897">
        <f>IF(ISBLANK('Data Entry'!$Y$897), "", 'Data Entry'!$Y$897)</f>
      </c>
      <c r="Z897">
        <f>IF(ISBLANK('Data Entry'!$Z$897), "", 'Data Entry'!$Z$897)</f>
      </c>
      <c r="AA897">
        <f>IF(ISBLANK('Data Entry'!$[$897), "", 'Data Entry'!$[$897)</f>
      </c>
      <c r="AB897">
        <f>IF(ISBLANK('Data Entry'!$\$897), "", 'Data Entry'!$\$897)</f>
      </c>
      <c r="AC897">
        <f>IF(ISBLANK('Data Entry'!$]$897), "", 'Data Entry'!$]$897)</f>
      </c>
      <c r="AD897">
        <f>IF(ISBLANK('Data Entry'!$^$897), "", 'Data Entry'!$^$897)</f>
      </c>
      <c r="AE897">
        <f>IF(ISBLANK('Data Entry'!$_$897), "", 'Data Entry'!$_$897)</f>
      </c>
      <c r="AF897">
        <f>IF(ISBLANK('Data Entry'!$`$897), "", 'Data Entry'!$`$897)</f>
      </c>
      <c r="AG897">
        <f>IF(ISBLANK('Data Entry'!$a$897), "", 'Data Entry'!$a$897)</f>
      </c>
      <c r="AH897">
        <f>IF(ISBLANK('Data Entry'!$b$897), "", 'Data Entry'!$b$897)</f>
      </c>
      <c r="AI897">
        <f>IF(ISBLANK('Data Entry'!$c$897), "", 'Data Entry'!$c$897)</f>
      </c>
      <c r="AJ897">
        <f>IF(ISBLANK('Data Entry'!$d$897), "", 'Data Entry'!$d$897)</f>
      </c>
      <c r="AK897">
        <f>IF(ISBLANK('Data Entry'!$e$897), "", 'Data Entry'!$e$897)</f>
      </c>
      <c r="AL897">
        <f>IF(ISBLANK('Data Entry'!$f$897), "", 'Data Entry'!$f$897)</f>
      </c>
      <c r="AM897">
        <f>IF(ISBLANK('Data Entry'!$g$897), "", 'Data Entry'!$g$897)</f>
      </c>
      <c r="AN897">
        <f>IF(ISBLANK('Data Entry'!$h$897), "", 'Data Entry'!$h$897)</f>
      </c>
      <c r="AO897">
        <f>IF(ISBLANK('Data Entry'!$i$897), "", 'Data Entry'!$i$897)</f>
      </c>
      <c r="AP897">
        <f>IF(ISBLANK('Data Entry'!$j$897), "", 'Data Entry'!$j$897)</f>
      </c>
      <c r="AQ897">
        <f>IF(ISBLANK('Data Entry'!$k$897), "", 'Data Entry'!$k$897)</f>
      </c>
      <c r="AR897">
        <f>IF(ISBLANK('Data Entry'!$l$897), "", 'Data Entry'!$l$897)</f>
      </c>
      <c r="AS897">
        <f>IF(ISBLANK('Data Entry'!$m$897), "", 'Data Entry'!$m$897)</f>
      </c>
      <c r="AT897">
        <f>IF(ISBLANK('Data Entry'!$n$897), "", 'Data Entry'!$n$897)</f>
      </c>
      <c r="AU897">
        <f>IF(ISBLANK('Data Entry'!$o$897), "", 'Data Entry'!$o$897)</f>
      </c>
      <c r="AV897">
        <f>IF(ISBLANK('Data Entry'!$p$897), "", 'Data Entry'!$p$897)</f>
      </c>
      <c r="AW897">
        <f>IF(ISBLANK('Data Entry'!$q$897), "", 'Data Entry'!$q$897)</f>
      </c>
      <c r="AX897">
        <f>IF(ISBLANK('Data Entry'!$r$897), "", 'Data Entry'!$r$897)</f>
      </c>
      <c r="AY897">
        <f>IF(ISBLANK('Data Entry'!$s$897), "", 'Data Entry'!$s$897)</f>
      </c>
      <c r="AZ897">
        <f>IF(ISBLANK('Data Entry'!$t$897), "", 'Data Entry'!$t$897)</f>
      </c>
      <c r="BA897">
        <f>IF(ISBLANK('Data Entry'!$u$897), "", 'Data Entry'!$u$897)</f>
      </c>
      <c r="BB897">
        <f>IF(ISBLANK('Data Entry'!$v$897), "", 'Data Entry'!$v$897)</f>
      </c>
      <c r="BC897">
        <f>IF(ISBLANK('Data Entry'!$w$897), "", 'Data Entry'!$w$897)</f>
      </c>
      <c r="BD897">
        <f>IF(ISBLANK('Data Entry'!$x$897), "", 'Data Entry'!$x$897)</f>
      </c>
      <c r="BE897">
        <f>IF(ISBLANK('Data Entry'!$y$897), "", 'Data Entry'!$y$897)</f>
      </c>
      <c r="BF897">
        <f>IF(ISBLANK('Data Entry'!$z$897), "", 'Data Entry'!$z$897)</f>
      </c>
      <c r="BG897">
        <f>IF(ISBLANK('Data Entry'!${$897), "", 'Data Entry'!${$897)</f>
      </c>
      <c r="BH897">
        <f>IF(ISBLANK('Data Entry'!$|$897), "", 'Data Entry'!$|$897)</f>
      </c>
      <c r="BI897">
        <f>IF(ISBLANK('Data Entry'!$}$897), "", 'Data Entry'!$}$897)</f>
      </c>
      <c r="BJ897">
        <f>IF(ISBLANK('Data Entry'!$~$897), "", 'Data Entry'!$~$897)</f>
      </c>
      <c r="BK897">
        <f>IF(ISBLANK('Data Entry'!$$897), "", 'Data Entry'!$$897)</f>
      </c>
      <c r="BL897">
        <f>IF(ISBLANK('Data Entry'!$$897), "", 'Data Entry'!$$897)</f>
      </c>
      <c r="BM897">
        <f>IF(ISBLANK('Data Entry'!$$897), "", 'Data Entry'!$$897)</f>
      </c>
      <c r="BN897">
        <f>IF(ISBLANK('Data Entry'!$$897), "", 'Data Entry'!$$897)</f>
      </c>
      <c r="BO897">
        <f>IF(ISBLANK('Data Entry'!$$897), "", 'Data Entry'!$$897)</f>
      </c>
      <c r="BP897">
        <f>IF(ISBLANK('Data Entry'!$$897), "", 'Data Entry'!$$897)</f>
      </c>
      <c r="BQ897">
        <f>IF(ISBLANK('Data Entry'!$$897), "", 'Data Entry'!$$897)</f>
      </c>
      <c r="BR897">
        <f>IF(ISBLANK('Data Entry'!$$897), "", 'Data Entry'!$$897)</f>
      </c>
      <c r="BS897">
        <f>IF(ISBLANK('Data Entry'!$$897), "", 'Data Entry'!$$897)</f>
      </c>
      <c r="BT897">
        <f>IF(ISBLANK('Data Entry'!$$897), "", 'Data Entry'!$$897)</f>
      </c>
      <c r="BU897">
        <f>IF(ISBLANK('Data Entry'!$$897), "", 'Data Entry'!$$897)</f>
      </c>
      <c r="BV897">
        <f>IF(ISBLANK('Data Entry'!$$897), "", 'Data Entry'!$$897)</f>
      </c>
      <c r="BW897">
        <f>IF(ISBLANK('Data Entry'!$$897), "", 'Data Entry'!$$897)</f>
      </c>
      <c r="BX897">
        <f>IF(ISBLANK('Data Entry'!$$897), "", 'Data Entry'!$$897)</f>
      </c>
      <c r="BY897">
        <f>IF(ISBLANK('Data Entry'!$$897), "", 'Data Entry'!$$897)</f>
      </c>
      <c r="BZ897">
        <f>IF(ISBLANK('Data Entry'!$$897), "", 'Data Entry'!$$897)</f>
      </c>
      <c r="CA897">
        <f>IF(ISBLANK('Data Entry'!$$897), "", 'Data Entry'!$$897)</f>
      </c>
      <c r="CB897">
        <f>IF(ISBLANK('Data Entry'!$$897), "", 'Data Entry'!$$897)</f>
      </c>
      <c r="CC897">
        <f>IF(ISBLANK('Data Entry'!$$897), "", 'Data Entry'!$$897)</f>
      </c>
      <c r="CD897">
        <f>IF(ISBLANK('Data Entry'!$$897), "", 'Data Entry'!$$897)</f>
      </c>
      <c r="CE897">
        <f>IF(ISBLANK('Data Entry'!$$897), "", 'Data Entry'!$$897)</f>
      </c>
      <c r="CF897">
        <f>IF(ISBLANK('Data Entry'!$$897), "", 'Data Entry'!$$897)</f>
      </c>
      <c r="CG897">
        <f>IF(ISBLANK('Data Entry'!$$897), "", 'Data Entry'!$$897)</f>
      </c>
      <c r="CH897">
        <f>IF(ISBLANK('Data Entry'!$$897), "", 'Data Entry'!$$897)</f>
      </c>
      <c r="CI897">
        <f>IF(ISBLANK('Data Entry'!$$897), "", 'Data Entry'!$$897)</f>
      </c>
      <c r="CJ897">
        <f>IF(ISBLANK('Data Entry'!$$897), "", 'Data Entry'!$$897)</f>
      </c>
      <c r="CK897">
        <f>IF(ISBLANK('Data Entry'!$$897), "", 'Data Entry'!$$897)</f>
      </c>
      <c r="CL897">
        <f>IF(ISBLANK('Data Entry'!$$897), "", 'Data Entry'!$$897)</f>
      </c>
      <c r="CM897">
        <f>IF(ISBLANK('Data Entry'!$$897), "", 'Data Entry'!$$897)</f>
      </c>
      <c r="CN897">
        <f>IF(ISBLANK('Data Entry'!$$897), "", 'Data Entry'!$$897)</f>
      </c>
      <c r="CO897">
        <f>IF(ISBLANK('Data Entry'!$$897), "", 'Data Entry'!$$897)</f>
      </c>
      <c r="CP897">
        <f>IF(ISBLANK('Data Entry'!$$897), "", 'Data Entry'!$$897)</f>
      </c>
      <c r="CQ897">
        <f>IF(ISBLANK('Data Entry'!$$897), "", 'Data Entry'!$$897)</f>
      </c>
      <c r="CR897">
        <f>IF(ISBLANK('Data Entry'!$ $897), "", 'Data Entry'!$ $897)</f>
      </c>
      <c r="CS897">
        <f>IF(ISBLANK('Data Entry'!$¡$897), "", 'Data Entry'!$¡$897)</f>
      </c>
      <c r="CT897">
        <f>IF(ISBLANK('Data Entry'!$¢$897), "", 'Data Entry'!$¢$897)</f>
      </c>
      <c r="CU897">
        <f>IF(ISBLANK('Data Entry'!$£$897), "", 'Data Entry'!$£$897)</f>
      </c>
      <c r="CV897">
        <f>IF(ISBLANK('Data Entry'!$¤$897), "", 'Data Entry'!$¤$897)</f>
      </c>
      <c r="CW897">
        <f>IF(ISBLANK('Data Entry'!$¥$897), "", 'Data Entry'!$¥$897)</f>
      </c>
      <c r="CX897">
        <f>IF(ISBLANK('Data Entry'!$¦$897), "", 'Data Entry'!$¦$897)</f>
      </c>
      <c r="CY897">
        <f>IF(ISBLANK('Data Entry'!$§$897), "", 'Data Entry'!$§$897)</f>
      </c>
      <c r="CZ897">
        <f>IF(ISBLANK('Data Entry'!$¨$897), "", 'Data Entry'!$¨$897)</f>
      </c>
      <c r="DA897">
        <f>IF(ISBLANK('Data Entry'!$©$897), "", 'Data Entry'!$©$897)</f>
      </c>
      <c r="DB897">
        <f>IF(ISBLANK('Data Entry'!$ª$897), "", 'Data Entry'!$ª$897)</f>
      </c>
      <c r="DC897">
        <f>IF(ISBLANK('Data Entry'!$«$897), "", 'Data Entry'!$«$897)</f>
      </c>
      <c r="DD897">
        <f>IF(ISBLANK('Data Entry'!$¬$897), "", 'Data Entry'!$¬$897)</f>
      </c>
      <c r="DE897">
        <f>IF(ISBLANK('Data Entry'!$­$897), "", 'Data Entry'!$­$897)</f>
      </c>
      <c r="DF897">
        <f>IF(ISBLANK('Data Entry'!$®$897), "", 'Data Entry'!$®$897)</f>
      </c>
      <c r="DG897">
        <f>IF(ISBLANK('Data Entry'!$¯$897), "", 'Data Entry'!$¯$897)</f>
      </c>
      <c r="DH897">
        <f>IF(ISBLANK('Data Entry'!$°$897), "", 'Data Entry'!$°$897)</f>
      </c>
      <c r="DI897">
        <f>IF(ISBLANK('Data Entry'!$±$897), "", 'Data Entry'!$±$897)</f>
      </c>
      <c r="DJ897">
        <f>IF(ISBLANK('Data Entry'!$²$897), "", 'Data Entry'!$²$897)</f>
      </c>
      <c r="DK897">
        <f>IF(ISBLANK('Data Entry'!$³$897), "", 'Data Entry'!$³$897)</f>
      </c>
      <c r="DL897">
        <f>IF(ISBLANK('Data Entry'!$´$897), "", 'Data Entry'!$´$897)</f>
      </c>
      <c r="DM897">
        <f>IF(ISBLANK('Data Entry'!$µ$897), "", 'Data Entry'!$µ$897)</f>
      </c>
      <c r="DN897">
        <f>IF(ISBLANK('Data Entry'!$¶$897), "", 'Data Entry'!$¶$897)</f>
      </c>
      <c r="DO897">
        <f>IF(ISBLANK('Data Entry'!$·$897), "", 'Data Entry'!$·$897)</f>
      </c>
      <c r="DP897">
        <f>IF(ISBLANK('Data Entry'!$¸$897), "", 'Data Entry'!$¸$897)</f>
      </c>
      <c r="DQ897">
        <f>IF(ISBLANK('Data Entry'!$¹$897), "", 'Data Entry'!$¹$897)</f>
      </c>
      <c r="DR897">
        <f>IF(ISBLANK('Data Entry'!$º$897), "", 'Data Entry'!$º$897)</f>
      </c>
      <c r="DS897">
        <f>IF(ISBLANK('Data Entry'!$»$897), "", 'Data Entry'!$»$897)</f>
      </c>
      <c r="DT897">
        <f>IF(ISBLANK('Data Entry'!$¼$897), "", 'Data Entry'!$¼$897)</f>
      </c>
      <c r="DU897">
        <f>IF(ISBLANK('Data Entry'!$½$897), "", 'Data Entry'!$½$897)</f>
      </c>
      <c r="DV897">
        <f>IF(ISBLANK('Data Entry'!$¾$897), "", 'Data Entry'!$¾$897)</f>
      </c>
      <c r="DW897">
        <f>IF(ISBLANK('Data Entry'!$¿$897), "", 'Data Entry'!$¿$897)</f>
      </c>
      <c r="DX897">
        <f>IF(ISBLANK('Data Entry'!$À$897), "", 'Data Entry'!$À$897)</f>
      </c>
      <c r="DY897">
        <f>IF(ISBLANK('Data Entry'!$Á$897), "", 'Data Entry'!$Á$897)</f>
      </c>
      <c r="DZ897">
        <f>IF(ISBLANK('Data Entry'!$Â$897), "", 'Data Entry'!$Â$897)</f>
      </c>
      <c r="EA897">
        <f>IF(ISBLANK('Data Entry'!$Ã$897), "", 'Data Entry'!$Ã$897)</f>
      </c>
      <c r="EB897">
        <f>IF(ISBLANK('Data Entry'!$Ä$897), "", 'Data Entry'!$Ä$897)</f>
      </c>
      <c r="EC897">
        <f>IF(ISBLANK('Data Entry'!$Å$897), "", 'Data Entry'!$Å$897)</f>
      </c>
      <c r="ED897">
        <f>IF(ISBLANK('Data Entry'!$Æ$897), "", 'Data Entry'!$Æ$897)</f>
      </c>
      <c r="EE897">
        <f>IF(ISBLANK('Data Entry'!$Ç$897), "", 'Data Entry'!$Ç$897)</f>
      </c>
      <c r="EF897">
        <f>IF(ISBLANK('Data Entry'!$È$897), "", 'Data Entry'!$È$897)</f>
      </c>
      <c r="EG897">
        <f>IF(ISBLANK('Data Entry'!$É$897), "", 'Data Entry'!$É$897)</f>
      </c>
      <c r="EH897">
        <f>IF(ISBLANK('Data Entry'!$Ê$897), "", 'Data Entry'!$Ê$897)</f>
      </c>
      <c r="EI897">
        <f>IF(ISBLANK('Data Entry'!$Ë$897), "", 'Data Entry'!$Ë$897)</f>
      </c>
      <c r="EJ897">
        <f>IF(ISBLANK('Data Entry'!$Ì$897), "", 'Data Entry'!$Ì$897)</f>
      </c>
      <c r="EK897">
        <f>IF(ISBLANK('Data Entry'!$Í$897), "", 'Data Entry'!$Í$897)</f>
      </c>
      <c r="EL897">
        <f>IF(ISBLANK('Data Entry'!$Î$897), "", 'Data Entry'!$Î$897)</f>
      </c>
      <c r="EM897">
        <f>IF(ISBLANK('Data Entry'!$Ï$897), "", 'Data Entry'!$Ï$897)</f>
      </c>
      <c r="EN897">
        <f>IF(ISBLANK('Data Entry'!$Ð$897), "", 'Data Entry'!$Ð$897)</f>
      </c>
      <c r="EO897">
        <f>IF(ISBLANK('Data Entry'!$Ñ$897), "", 'Data Entry'!$Ñ$897)</f>
      </c>
      <c r="EP897">
        <f>IF(ISBLANK('Data Entry'!$Ò$897), "", 'Data Entry'!$Ò$897)</f>
      </c>
      <c r="EQ897">
        <f>IF(ISBLANK('Data Entry'!$Ó$897), "", 'Data Entry'!$Ó$897)</f>
      </c>
      <c r="ER897">
        <f>IF(ISBLANK('Data Entry'!$Ô$897), "", 'Data Entry'!$Ô$897)</f>
      </c>
      <c r="ES897">
        <f>IF(ISBLANK('Data Entry'!$Õ$897), "", 'Data Entry'!$Õ$897)</f>
      </c>
      <c r="ET897">
        <f>IF(ISBLANK('Data Entry'!$Ö$897), "", 'Data Entry'!$Ö$897)</f>
      </c>
      <c r="EU897">
        <f>IF(ISBLANK('Data Entry'!$×$897), "", 'Data Entry'!$×$897)</f>
      </c>
      <c r="EV897">
        <f>IF(ISBLANK('Data Entry'!$Ø$897), "", 'Data Entry'!$Ø$897)</f>
      </c>
      <c r="EW897">
        <f>IF(ISBLANK('Data Entry'!$Ù$897), "", 'Data Entry'!$Ù$897)</f>
      </c>
      <c r="EX897">
        <f>IF(ISBLANK('Data Entry'!$Ú$897), "", 'Data Entry'!$Ú$897)</f>
      </c>
      <c r="EY897">
        <f>IF(ISBLANK('Data Entry'!$Û$897), "", 'Data Entry'!$Û$897)</f>
      </c>
      <c r="EZ897">
        <f>IF(ISBLANK('Data Entry'!$Ü$897), "", 'Data Entry'!$Ü$897)</f>
      </c>
      <c r="FA897">
        <f>IF(ISBLANK('Data Entry'!$Ý$897), "", 'Data Entry'!$Ý$897)</f>
      </c>
      <c r="FB897">
        <f>IF(ISBLANK('Data Entry'!$Þ$897), "", 'Data Entry'!$Þ$897)</f>
      </c>
      <c r="FC897">
        <f>IF(ISBLANK('Data Entry'!$ß$897), "", 'Data Entry'!$ß$897)</f>
      </c>
      <c r="FD897">
        <f>IF(ISBLANK('Data Entry'!$à$897), "", 'Data Entry'!$à$897)</f>
      </c>
      <c r="FE897">
        <f>IF(ISBLANK('Data Entry'!$á$897), "", 'Data Entry'!$á$897)</f>
      </c>
      <c r="FF897">
        <f>IF(ISBLANK('Data Entry'!$â$897), "", 'Data Entry'!$â$897)</f>
      </c>
      <c r="FG897">
        <f>IF(ISBLANK('Data Entry'!$ã$897), "", 'Data Entry'!$ã$897)</f>
      </c>
      <c r="FH897">
        <f>IF(ISBLANK('Data Entry'!$ä$897), "", 'Data Entry'!$ä$897)</f>
      </c>
      <c r="FI897">
        <f>IF(ISBLANK('Data Entry'!$å$897), "", 'Data Entry'!$å$897)</f>
      </c>
      <c r="FJ897">
        <f>IF(ISBLANK('Data Entry'!$æ$897), "", 'Data Entry'!$æ$897)</f>
      </c>
      <c r="FK897">
        <f>IF(ISBLANK('Data Entry'!$ç$897), "", 'Data Entry'!$ç$897)</f>
      </c>
      <c r="FL897">
        <f>IF(ISBLANK('Data Entry'!$è$897), "", 'Data Entry'!$è$897)</f>
      </c>
      <c r="FM897">
        <f>IF(ISBLANK('Data Entry'!$é$897), "", 'Data Entry'!$é$897)</f>
      </c>
      <c r="FN897">
        <f>IF(ISBLANK('Data Entry'!$ê$897), "", 'Data Entry'!$ê$897)</f>
      </c>
      <c r="FO897">
        <f>IF(ISBLANK('Data Entry'!$ë$897), "", 'Data Entry'!$ë$897)</f>
      </c>
      <c r="FP897">
        <f>IF(ISBLANK('Data Entry'!$ì$897), "", 'Data Entry'!$ì$897)</f>
      </c>
      <c r="FQ897">
        <f>IF(ISBLANK('Data Entry'!$í$897), "", 'Data Entry'!$í$897)</f>
      </c>
      <c r="FR897">
        <f>IF(ISBLANK('Data Entry'!$î$897), "", 'Data Entry'!$î$897)</f>
      </c>
      <c r="FS897">
        <f>IF(ISBLANK('Data Entry'!$ï$897), "", 'Data Entry'!$ï$897)</f>
      </c>
      <c r="FT897">
        <f>IF(ISBLANK('Data Entry'!$ð$897), "", 'Data Entry'!$ð$897)</f>
      </c>
      <c r="FU897">
        <f>IF(ISBLANK('Data Entry'!$ñ$897), "", 'Data Entry'!$ñ$897)</f>
      </c>
      <c r="FV897">
        <f>IF(ISBLANK('Data Entry'!$ò$897), "", 'Data Entry'!$ò$897)</f>
      </c>
      <c r="FW897">
        <f>IF(ISBLANK('Data Entry'!$ó$897), "", 'Data Entry'!$ó$897)</f>
      </c>
      <c r="FX897">
        <f>IF(ISBLANK('Data Entry'!$ô$897), "", 'Data Entry'!$ô$897)</f>
      </c>
      <c r="FY897">
        <f>IF(ISBLANK('Data Entry'!$õ$897), "", 'Data Entry'!$õ$897)</f>
      </c>
      <c r="FZ897">
        <f>IF(ISBLANK('Data Entry'!$ö$897), "", 'Data Entry'!$ö$897)</f>
      </c>
      <c r="GA897">
        <f>IF(ISBLANK('Data Entry'!$÷$897), "", 'Data Entry'!$÷$897)</f>
      </c>
      <c r="GB897">
        <f>IF(ISBLANK('Data Entry'!$ø$897), "", 'Data Entry'!$ø$897)</f>
      </c>
      <c r="GC897">
        <f>IF(ISBLANK('Data Entry'!$ù$897), "", 'Data Entry'!$ù$897)</f>
      </c>
      <c r="GD897">
        <f>IF(ISBLANK('Data Entry'!$ú$897), "", 'Data Entry'!$ú$897)</f>
      </c>
      <c r="GE897">
        <f>IF(ISBLANK('Data Entry'!$û$897), "", 'Data Entry'!$û$897)</f>
      </c>
      <c r="GF897">
        <f>IF(ISBLANK('Data Entry'!$ü$897), "", 'Data Entry'!$ü$897)</f>
      </c>
      <c r="GG897">
        <f>IF(ISBLANK('Data Entry'!$ý$897), "", 'Data Entry'!$ý$897)</f>
      </c>
      <c r="GH897">
        <f>IF(ISBLANK('Data Entry'!$þ$897), "", 'Data Entry'!$þ$897)</f>
      </c>
      <c r="GI897">
        <f>IF(ISBLANK('Data Entry'!$ÿ$897), "", 'Data Entry'!$ÿ$897)</f>
      </c>
      <c r="GJ897">
        <f>IF(ISBLANK('Data Entry'!$Ā$897), "", 'Data Entry'!$Ā$897)</f>
      </c>
      <c r="GK897">
        <f>IF(ISBLANK('Data Entry'!$ā$897), "", 'Data Entry'!$ā$897)</f>
      </c>
      <c r="GL897">
        <f>IF(ISBLANK('Data Entry'!$Ă$897), "", 'Data Entry'!$Ă$897)</f>
      </c>
      <c r="GM897">
        <f>IF(ISBLANK('Data Entry'!$ă$897), "", 'Data Entry'!$ă$897)</f>
      </c>
      <c r="GN897">
        <f>IF(ISBLANK('Data Entry'!$Ą$897), "", 'Data Entry'!$Ą$897)</f>
      </c>
      <c r="GO897">
        <f>IF(ISBLANK('Data Entry'!$ą$897), "", 'Data Entry'!$ą$897)</f>
      </c>
      <c r="GP897">
        <f>IF(ISBLANK('Data Entry'!$Ć$897), "", 'Data Entry'!$Ć$897)</f>
      </c>
      <c r="GQ897">
        <f>IF(ISBLANK('Data Entry'!$ć$897), "", 'Data Entry'!$ć$897)</f>
      </c>
      <c r="GR897">
        <f>IF(ISBLANK('Data Entry'!$Ĉ$897), "", 'Data Entry'!$Ĉ$897)</f>
      </c>
      <c r="GS897">
        <f>IF(ISBLANK('Data Entry'!$ĉ$897), "", 'Data Entry'!$ĉ$897)</f>
      </c>
      <c r="GT897">
        <f>IF(ISBLANK('Data Entry'!$Ċ$897), "", 'Data Entry'!$Ċ$897)</f>
      </c>
      <c r="GU897">
        <f>IF(ISBLANK('Data Entry'!$ċ$897), "", 'Data Entry'!$ċ$897)</f>
      </c>
      <c r="GV897">
        <f>IF(ISBLANK('Data Entry'!$Č$897), "", 'Data Entry'!$Č$897)</f>
      </c>
      <c r="GW897">
        <f>IF(ISBLANK('Data Entry'!$č$897), "", 'Data Entry'!$č$897)</f>
      </c>
      <c r="GX897">
        <f>IF(ISBLANK('Data Entry'!$Ď$897), "", 'Data Entry'!$Ď$897)</f>
      </c>
      <c r="GY897">
        <f>IF(ISBLANK('Data Entry'!$ď$897), "", 'Data Entry'!$ď$897)</f>
      </c>
      <c r="GZ897">
        <f>IF(ISBLANK('Data Entry'!$Đ$897), "", 'Data Entry'!$Đ$897)</f>
      </c>
      <c r="HA897">
        <f>IF(ISBLANK('Data Entry'!$đ$897), "", 'Data Entry'!$đ$897)</f>
      </c>
      <c r="HB897">
        <f>IF(ISBLANK('Data Entry'!$Ē$897), "", 'Data Entry'!$Ē$897)</f>
      </c>
      <c r="HC897">
        <f>IF(ISBLANK('Data Entry'!$ē$897), "", 'Data Entry'!$ē$897)</f>
      </c>
      <c r="HD897">
        <f>IF(ISBLANK('Data Entry'!$Ĕ$897), "", 'Data Entry'!$Ĕ$897)</f>
      </c>
      <c r="HE897">
        <f>IF(ISBLANK('Data Entry'!$ĕ$897), "", 'Data Entry'!$ĕ$897)</f>
      </c>
      <c r="HF897">
        <f>IF(ISBLANK('Data Entry'!$Ė$897), "", 'Data Entry'!$Ė$897)</f>
      </c>
      <c r="HG897">
        <f>IF(ISBLANK('Data Entry'!$ė$897), "", 'Data Entry'!$ė$897)</f>
      </c>
      <c r="HH897">
        <f>IF(ISBLANK('Data Entry'!$Ę$897), "", 'Data Entry'!$Ę$897)</f>
      </c>
      <c r="HI897">
        <f>IF(ISBLANK('Data Entry'!$ę$897), "", 'Data Entry'!$ę$897)</f>
      </c>
      <c r="HJ897">
        <f>IF(ISBLANK('Data Entry'!$Ě$897), "", 'Data Entry'!$Ě$897)</f>
      </c>
      <c r="HK897">
        <f>IF(ISBLANK('Data Entry'!$ě$897), "", 'Data Entry'!$ě$897)</f>
      </c>
      <c r="HL897">
        <f>IF(ISBLANK('Data Entry'!$Ĝ$897), "", 'Data Entry'!$Ĝ$897)</f>
      </c>
      <c r="HM897">
        <f>IF(ISBLANK('Data Entry'!$ĝ$897), "", 'Data Entry'!$ĝ$897)</f>
      </c>
      <c r="HN897">
        <f>IF(ISBLANK('Data Entry'!$Ğ$897), "", 'Data Entry'!$Ğ$897)</f>
      </c>
      <c r="HO897">
        <f>IF(ISBLANK('Data Entry'!$ğ$897), "", 'Data Entry'!$ğ$897)</f>
      </c>
      <c r="HP897">
        <f>IF(ISBLANK('Data Entry'!$Ġ$897), "", 'Data Entry'!$Ġ$897)</f>
      </c>
      <c r="HQ897">
        <f>IF(ISBLANK('Data Entry'!$ġ$897), "", 'Data Entry'!$ġ$897)</f>
      </c>
      <c r="HR897">
        <f>IF(ISBLANK('Data Entry'!$Ģ$897), "", 'Data Entry'!$Ģ$897)</f>
      </c>
      <c r="HS897">
        <f>IF(ISBLANK('Data Entry'!$ģ$897), "", 'Data Entry'!$ģ$897)</f>
      </c>
      <c r="HT897">
        <f>IF(ISBLANK('Data Entry'!$Ĥ$897), "", 'Data Entry'!$Ĥ$897)</f>
      </c>
      <c r="HU897">
        <f>IF(ISBLANK('Data Entry'!$ĥ$897), "", 'Data Entry'!$ĥ$897)</f>
      </c>
      <c r="HV897">
        <f>IF(ISBLANK('Data Entry'!$Ħ$897), "", 'Data Entry'!$Ħ$897)</f>
      </c>
      <c r="HW897">
        <f>IF(ISBLANK('Data Entry'!$ħ$897), "", 'Data Entry'!$ħ$897)</f>
      </c>
      <c r="HX897">
        <f>IF(ISBLANK('Data Entry'!$Ĩ$897), "", 'Data Entry'!$Ĩ$897)</f>
      </c>
      <c r="HY897">
        <f>IF(ISBLANK('Data Entry'!$ĩ$897), "", 'Data Entry'!$ĩ$897)</f>
      </c>
      <c r="HZ897">
        <f>IF(ISBLANK('Data Entry'!$Ī$897), "", 'Data Entry'!$Ī$897)</f>
      </c>
      <c r="IA897">
        <f>IF(ISBLANK('Data Entry'!$ī$897), "", 'Data Entry'!$ī$897)</f>
      </c>
      <c r="IB897">
        <f>IF(ISBLANK('Data Entry'!$Ĭ$897), "", 'Data Entry'!$Ĭ$897)</f>
      </c>
      <c r="IC897">
        <f>IF(ISBLANK('Data Entry'!$ĭ$897), "", 'Data Entry'!$ĭ$897)</f>
      </c>
      <c r="ID897">
        <f>IF(ISBLANK('Data Entry'!$Į$897), "", 'Data Entry'!$Į$897)</f>
      </c>
      <c r="IE897">
        <f>IF(ISBLANK('Data Entry'!$į$897), "", 'Data Entry'!$į$897)</f>
      </c>
      <c r="IF897">
        <f>IF(ISBLANK('Data Entry'!$İ$897), "", 'Data Entry'!$İ$897)</f>
      </c>
      <c r="IG897">
        <f>IF(ISBLANK('Data Entry'!$ı$897), "", 'Data Entry'!$ı$897)</f>
      </c>
      <c r="IH897">
        <f>IF(ISBLANK('Data Entry'!$Ĳ$897), "", 'Data Entry'!$Ĳ$897)</f>
      </c>
      <c r="II897">
        <f>IF(ISBLANK('Data Entry'!$ĳ$897), "", 'Data Entry'!$ĳ$897)</f>
      </c>
      <c r="IJ897">
        <f>IF(ISBLANK('Data Entry'!$Ĵ$897), "", 'Data Entry'!$Ĵ$897)</f>
      </c>
      <c r="IK897">
        <f>IF(ISBLANK('Data Entry'!$ĵ$897), "", 'Data Entry'!$ĵ$897)</f>
      </c>
      <c r="IL897">
        <f>IF(ISBLANK('Data Entry'!$Ķ$897), "", 'Data Entry'!$Ķ$897)</f>
      </c>
      <c r="IM897">
        <f>IF(ISBLANK('Data Entry'!$ķ$897), "", 'Data Entry'!$ķ$897)</f>
      </c>
      <c r="IN897">
        <f>IF(ISBLANK('Data Entry'!$ĸ$897), "", 'Data Entry'!$ĸ$897)</f>
      </c>
      <c r="IO897">
        <f>IF(ISBLANK('Data Entry'!$Ĺ$897), "", 'Data Entry'!$Ĺ$897)</f>
      </c>
      <c r="IP897">
        <f>IF(ISBLANK('Data Entry'!$ĺ$897), "", 'Data Entry'!$ĺ$897)</f>
      </c>
      <c r="IQ897">
        <f>IF(ISBLANK('Data Entry'!$Ļ$897), "", 'Data Entry'!$Ļ$897)</f>
      </c>
      <c r="IR897">
        <f>IF(ISBLANK('Data Entry'!$ļ$897), "", 'Data Entry'!$ļ$897)</f>
      </c>
      <c r="IS897">
        <f>IF(ISBLANK('Data Entry'!$Ľ$897), "", 'Data Entry'!$Ľ$897)</f>
      </c>
      <c r="IT897">
        <f>IF(ISBLANK('Data Entry'!$ľ$897), "", 'Data Entry'!$ľ$897)</f>
      </c>
    </row>
    <row r="898" spans="1:254" x14ac:dyDescent="0.25">
      <c r="A898">
        <f>IF(ISBLANK('Data Entry'!$A$898), "", 'Data Entry'!$A$898)</f>
      </c>
      <c r="B898">
        <f>IF(ISBLANK('Data Entry'!$B$898), "", 'Data Entry'!$B$898)</f>
      </c>
      <c r="C898">
        <f>IF(ISBLANK('Data Entry'!$C$898), "", 'Data Entry'!$C$898)</f>
      </c>
      <c r="D898">
        <f>IF(ISBLANK('Data Entry'!$D$898), "", 'Data Entry'!$D$898)</f>
      </c>
      <c r="E898">
        <f>IF(ISBLANK('Data Entry'!$E$898), "", 'Data Entry'!$E$898)</f>
      </c>
      <c r="F898">
        <f>IF(ISBLANK('Data Entry'!$F$898), "", 'Data Entry'!$F$898)</f>
      </c>
      <c r="G898">
        <f>IF(ISBLANK('Data Entry'!$G$898), "", 'Data Entry'!$G$898)</f>
      </c>
      <c r="H898">
        <f>IF(ISBLANK('Data Entry'!$H$898), "", 'Data Entry'!$H$898)</f>
      </c>
      <c r="I898">
        <f>IF(ISBLANK('Data Entry'!$I$898), "", 'Data Entry'!$I$898)</f>
      </c>
      <c r="J898">
        <f>IF(ISBLANK('Data Entry'!$J$898), "", 'Data Entry'!$J$898)</f>
      </c>
      <c r="K898">
        <f>IF(ISBLANK('Data Entry'!$K$898), "", 'Data Entry'!$K$898)</f>
      </c>
      <c r="L898">
        <f>IF(ISBLANK('Data Entry'!$L$898), "", 'Data Entry'!$L$898)</f>
      </c>
      <c r="M898">
        <f>IF(ISBLANK('Data Entry'!$M$898), "", 'Data Entry'!$M$898)</f>
      </c>
      <c r="N898">
        <f>IF(ISBLANK('Data Entry'!$N$898), "", 'Data Entry'!$N$898)</f>
      </c>
      <c r="O898">
        <f>IF(ISBLANK('Data Entry'!$O$898), "", 'Data Entry'!$O$898)</f>
      </c>
      <c r="P898">
        <f>IF(ISBLANK('Data Entry'!$P$898), "", 'Data Entry'!$P$898)</f>
      </c>
      <c r="Q898">
        <f>IF(ISBLANK('Data Entry'!$Q$898), "", 'Data Entry'!$Q$898)</f>
      </c>
      <c r="R898">
        <f>IF(ISBLANK('Data Entry'!$R$898), "", 'Data Entry'!$R$898)</f>
      </c>
      <c r="S898">
        <f>IF(ISBLANK('Data Entry'!$S$898), "", 'Data Entry'!$S$898)</f>
      </c>
      <c r="T898">
        <f>IF(ISBLANK('Data Entry'!$T$898), "", 'Data Entry'!$T$898)</f>
      </c>
      <c r="U898">
        <f>IF(ISBLANK('Data Entry'!$U$898), "", 'Data Entry'!$U$898)</f>
      </c>
      <c r="V898">
        <f>IF(ISBLANK('Data Entry'!$V$898), "", 'Data Entry'!$V$898)</f>
      </c>
      <c r="W898">
        <f>IF(ISBLANK('Data Entry'!$W$898), "", 'Data Entry'!$W$898)</f>
      </c>
      <c r="X898">
        <f>IF(ISBLANK('Data Entry'!$X$898), "", 'Data Entry'!$X$898)</f>
      </c>
      <c r="Y898">
        <f>IF(ISBLANK('Data Entry'!$Y$898), "", 'Data Entry'!$Y$898)</f>
      </c>
      <c r="Z898">
        <f>IF(ISBLANK('Data Entry'!$Z$898), "", 'Data Entry'!$Z$898)</f>
      </c>
      <c r="AA898">
        <f>IF(ISBLANK('Data Entry'!$[$898), "", 'Data Entry'!$[$898)</f>
      </c>
      <c r="AB898">
        <f>IF(ISBLANK('Data Entry'!$\$898), "", 'Data Entry'!$\$898)</f>
      </c>
      <c r="AC898">
        <f>IF(ISBLANK('Data Entry'!$]$898), "", 'Data Entry'!$]$898)</f>
      </c>
      <c r="AD898">
        <f>IF(ISBLANK('Data Entry'!$^$898), "", 'Data Entry'!$^$898)</f>
      </c>
      <c r="AE898">
        <f>IF(ISBLANK('Data Entry'!$_$898), "", 'Data Entry'!$_$898)</f>
      </c>
      <c r="AF898">
        <f>IF(ISBLANK('Data Entry'!$`$898), "", 'Data Entry'!$`$898)</f>
      </c>
      <c r="AG898">
        <f>IF(ISBLANK('Data Entry'!$a$898), "", 'Data Entry'!$a$898)</f>
      </c>
      <c r="AH898">
        <f>IF(ISBLANK('Data Entry'!$b$898), "", 'Data Entry'!$b$898)</f>
      </c>
      <c r="AI898">
        <f>IF(ISBLANK('Data Entry'!$c$898), "", 'Data Entry'!$c$898)</f>
      </c>
      <c r="AJ898">
        <f>IF(ISBLANK('Data Entry'!$d$898), "", 'Data Entry'!$d$898)</f>
      </c>
      <c r="AK898">
        <f>IF(ISBLANK('Data Entry'!$e$898), "", 'Data Entry'!$e$898)</f>
      </c>
      <c r="AL898">
        <f>IF(ISBLANK('Data Entry'!$f$898), "", 'Data Entry'!$f$898)</f>
      </c>
      <c r="AM898">
        <f>IF(ISBLANK('Data Entry'!$g$898), "", 'Data Entry'!$g$898)</f>
      </c>
      <c r="AN898">
        <f>IF(ISBLANK('Data Entry'!$h$898), "", 'Data Entry'!$h$898)</f>
      </c>
      <c r="AO898">
        <f>IF(ISBLANK('Data Entry'!$i$898), "", 'Data Entry'!$i$898)</f>
      </c>
      <c r="AP898">
        <f>IF(ISBLANK('Data Entry'!$j$898), "", 'Data Entry'!$j$898)</f>
      </c>
      <c r="AQ898">
        <f>IF(ISBLANK('Data Entry'!$k$898), "", 'Data Entry'!$k$898)</f>
      </c>
      <c r="AR898">
        <f>IF(ISBLANK('Data Entry'!$l$898), "", 'Data Entry'!$l$898)</f>
      </c>
      <c r="AS898">
        <f>IF(ISBLANK('Data Entry'!$m$898), "", 'Data Entry'!$m$898)</f>
      </c>
      <c r="AT898">
        <f>IF(ISBLANK('Data Entry'!$n$898), "", 'Data Entry'!$n$898)</f>
      </c>
      <c r="AU898">
        <f>IF(ISBLANK('Data Entry'!$o$898), "", 'Data Entry'!$o$898)</f>
      </c>
      <c r="AV898">
        <f>IF(ISBLANK('Data Entry'!$p$898), "", 'Data Entry'!$p$898)</f>
      </c>
      <c r="AW898">
        <f>IF(ISBLANK('Data Entry'!$q$898), "", 'Data Entry'!$q$898)</f>
      </c>
      <c r="AX898">
        <f>IF(ISBLANK('Data Entry'!$r$898), "", 'Data Entry'!$r$898)</f>
      </c>
      <c r="AY898">
        <f>IF(ISBLANK('Data Entry'!$s$898), "", 'Data Entry'!$s$898)</f>
      </c>
      <c r="AZ898">
        <f>IF(ISBLANK('Data Entry'!$t$898), "", 'Data Entry'!$t$898)</f>
      </c>
      <c r="BA898">
        <f>IF(ISBLANK('Data Entry'!$u$898), "", 'Data Entry'!$u$898)</f>
      </c>
      <c r="BB898">
        <f>IF(ISBLANK('Data Entry'!$v$898), "", 'Data Entry'!$v$898)</f>
      </c>
      <c r="BC898">
        <f>IF(ISBLANK('Data Entry'!$w$898), "", 'Data Entry'!$w$898)</f>
      </c>
      <c r="BD898">
        <f>IF(ISBLANK('Data Entry'!$x$898), "", 'Data Entry'!$x$898)</f>
      </c>
      <c r="BE898">
        <f>IF(ISBLANK('Data Entry'!$y$898), "", 'Data Entry'!$y$898)</f>
      </c>
      <c r="BF898">
        <f>IF(ISBLANK('Data Entry'!$z$898), "", 'Data Entry'!$z$898)</f>
      </c>
      <c r="BG898">
        <f>IF(ISBLANK('Data Entry'!${$898), "", 'Data Entry'!${$898)</f>
      </c>
      <c r="BH898">
        <f>IF(ISBLANK('Data Entry'!$|$898), "", 'Data Entry'!$|$898)</f>
      </c>
      <c r="BI898">
        <f>IF(ISBLANK('Data Entry'!$}$898), "", 'Data Entry'!$}$898)</f>
      </c>
      <c r="BJ898">
        <f>IF(ISBLANK('Data Entry'!$~$898), "", 'Data Entry'!$~$898)</f>
      </c>
      <c r="BK898">
        <f>IF(ISBLANK('Data Entry'!$$898), "", 'Data Entry'!$$898)</f>
      </c>
      <c r="BL898">
        <f>IF(ISBLANK('Data Entry'!$$898), "", 'Data Entry'!$$898)</f>
      </c>
      <c r="BM898">
        <f>IF(ISBLANK('Data Entry'!$$898), "", 'Data Entry'!$$898)</f>
      </c>
      <c r="BN898">
        <f>IF(ISBLANK('Data Entry'!$$898), "", 'Data Entry'!$$898)</f>
      </c>
      <c r="BO898">
        <f>IF(ISBLANK('Data Entry'!$$898), "", 'Data Entry'!$$898)</f>
      </c>
      <c r="BP898">
        <f>IF(ISBLANK('Data Entry'!$$898), "", 'Data Entry'!$$898)</f>
      </c>
      <c r="BQ898">
        <f>IF(ISBLANK('Data Entry'!$$898), "", 'Data Entry'!$$898)</f>
      </c>
      <c r="BR898">
        <f>IF(ISBLANK('Data Entry'!$$898), "", 'Data Entry'!$$898)</f>
      </c>
      <c r="BS898">
        <f>IF(ISBLANK('Data Entry'!$$898), "", 'Data Entry'!$$898)</f>
      </c>
      <c r="BT898">
        <f>IF(ISBLANK('Data Entry'!$$898), "", 'Data Entry'!$$898)</f>
      </c>
      <c r="BU898">
        <f>IF(ISBLANK('Data Entry'!$$898), "", 'Data Entry'!$$898)</f>
      </c>
      <c r="BV898">
        <f>IF(ISBLANK('Data Entry'!$$898), "", 'Data Entry'!$$898)</f>
      </c>
      <c r="BW898">
        <f>IF(ISBLANK('Data Entry'!$$898), "", 'Data Entry'!$$898)</f>
      </c>
      <c r="BX898">
        <f>IF(ISBLANK('Data Entry'!$$898), "", 'Data Entry'!$$898)</f>
      </c>
      <c r="BY898">
        <f>IF(ISBLANK('Data Entry'!$$898), "", 'Data Entry'!$$898)</f>
      </c>
      <c r="BZ898">
        <f>IF(ISBLANK('Data Entry'!$$898), "", 'Data Entry'!$$898)</f>
      </c>
      <c r="CA898">
        <f>IF(ISBLANK('Data Entry'!$$898), "", 'Data Entry'!$$898)</f>
      </c>
      <c r="CB898">
        <f>IF(ISBLANK('Data Entry'!$$898), "", 'Data Entry'!$$898)</f>
      </c>
      <c r="CC898">
        <f>IF(ISBLANK('Data Entry'!$$898), "", 'Data Entry'!$$898)</f>
      </c>
      <c r="CD898">
        <f>IF(ISBLANK('Data Entry'!$$898), "", 'Data Entry'!$$898)</f>
      </c>
      <c r="CE898">
        <f>IF(ISBLANK('Data Entry'!$$898), "", 'Data Entry'!$$898)</f>
      </c>
      <c r="CF898">
        <f>IF(ISBLANK('Data Entry'!$$898), "", 'Data Entry'!$$898)</f>
      </c>
      <c r="CG898">
        <f>IF(ISBLANK('Data Entry'!$$898), "", 'Data Entry'!$$898)</f>
      </c>
      <c r="CH898">
        <f>IF(ISBLANK('Data Entry'!$$898), "", 'Data Entry'!$$898)</f>
      </c>
      <c r="CI898">
        <f>IF(ISBLANK('Data Entry'!$$898), "", 'Data Entry'!$$898)</f>
      </c>
      <c r="CJ898">
        <f>IF(ISBLANK('Data Entry'!$$898), "", 'Data Entry'!$$898)</f>
      </c>
      <c r="CK898">
        <f>IF(ISBLANK('Data Entry'!$$898), "", 'Data Entry'!$$898)</f>
      </c>
      <c r="CL898">
        <f>IF(ISBLANK('Data Entry'!$$898), "", 'Data Entry'!$$898)</f>
      </c>
      <c r="CM898">
        <f>IF(ISBLANK('Data Entry'!$$898), "", 'Data Entry'!$$898)</f>
      </c>
      <c r="CN898">
        <f>IF(ISBLANK('Data Entry'!$$898), "", 'Data Entry'!$$898)</f>
      </c>
      <c r="CO898">
        <f>IF(ISBLANK('Data Entry'!$$898), "", 'Data Entry'!$$898)</f>
      </c>
      <c r="CP898">
        <f>IF(ISBLANK('Data Entry'!$$898), "", 'Data Entry'!$$898)</f>
      </c>
      <c r="CQ898">
        <f>IF(ISBLANK('Data Entry'!$$898), "", 'Data Entry'!$$898)</f>
      </c>
      <c r="CR898">
        <f>IF(ISBLANK('Data Entry'!$ $898), "", 'Data Entry'!$ $898)</f>
      </c>
      <c r="CS898">
        <f>IF(ISBLANK('Data Entry'!$¡$898), "", 'Data Entry'!$¡$898)</f>
      </c>
      <c r="CT898">
        <f>IF(ISBLANK('Data Entry'!$¢$898), "", 'Data Entry'!$¢$898)</f>
      </c>
      <c r="CU898">
        <f>IF(ISBLANK('Data Entry'!$£$898), "", 'Data Entry'!$£$898)</f>
      </c>
      <c r="CV898">
        <f>IF(ISBLANK('Data Entry'!$¤$898), "", 'Data Entry'!$¤$898)</f>
      </c>
      <c r="CW898">
        <f>IF(ISBLANK('Data Entry'!$¥$898), "", 'Data Entry'!$¥$898)</f>
      </c>
      <c r="CX898">
        <f>IF(ISBLANK('Data Entry'!$¦$898), "", 'Data Entry'!$¦$898)</f>
      </c>
      <c r="CY898">
        <f>IF(ISBLANK('Data Entry'!$§$898), "", 'Data Entry'!$§$898)</f>
      </c>
      <c r="CZ898">
        <f>IF(ISBLANK('Data Entry'!$¨$898), "", 'Data Entry'!$¨$898)</f>
      </c>
      <c r="DA898">
        <f>IF(ISBLANK('Data Entry'!$©$898), "", 'Data Entry'!$©$898)</f>
      </c>
      <c r="DB898">
        <f>IF(ISBLANK('Data Entry'!$ª$898), "", 'Data Entry'!$ª$898)</f>
      </c>
      <c r="DC898">
        <f>IF(ISBLANK('Data Entry'!$«$898), "", 'Data Entry'!$«$898)</f>
      </c>
      <c r="DD898">
        <f>IF(ISBLANK('Data Entry'!$¬$898), "", 'Data Entry'!$¬$898)</f>
      </c>
      <c r="DE898">
        <f>IF(ISBLANK('Data Entry'!$­$898), "", 'Data Entry'!$­$898)</f>
      </c>
      <c r="DF898">
        <f>IF(ISBLANK('Data Entry'!$®$898), "", 'Data Entry'!$®$898)</f>
      </c>
      <c r="DG898">
        <f>IF(ISBLANK('Data Entry'!$¯$898), "", 'Data Entry'!$¯$898)</f>
      </c>
      <c r="DH898">
        <f>IF(ISBLANK('Data Entry'!$°$898), "", 'Data Entry'!$°$898)</f>
      </c>
      <c r="DI898">
        <f>IF(ISBLANK('Data Entry'!$±$898), "", 'Data Entry'!$±$898)</f>
      </c>
      <c r="DJ898">
        <f>IF(ISBLANK('Data Entry'!$²$898), "", 'Data Entry'!$²$898)</f>
      </c>
      <c r="DK898">
        <f>IF(ISBLANK('Data Entry'!$³$898), "", 'Data Entry'!$³$898)</f>
      </c>
      <c r="DL898">
        <f>IF(ISBLANK('Data Entry'!$´$898), "", 'Data Entry'!$´$898)</f>
      </c>
      <c r="DM898">
        <f>IF(ISBLANK('Data Entry'!$µ$898), "", 'Data Entry'!$µ$898)</f>
      </c>
      <c r="DN898">
        <f>IF(ISBLANK('Data Entry'!$¶$898), "", 'Data Entry'!$¶$898)</f>
      </c>
      <c r="DO898">
        <f>IF(ISBLANK('Data Entry'!$·$898), "", 'Data Entry'!$·$898)</f>
      </c>
      <c r="DP898">
        <f>IF(ISBLANK('Data Entry'!$¸$898), "", 'Data Entry'!$¸$898)</f>
      </c>
      <c r="DQ898">
        <f>IF(ISBLANK('Data Entry'!$¹$898), "", 'Data Entry'!$¹$898)</f>
      </c>
      <c r="DR898">
        <f>IF(ISBLANK('Data Entry'!$º$898), "", 'Data Entry'!$º$898)</f>
      </c>
      <c r="DS898">
        <f>IF(ISBLANK('Data Entry'!$»$898), "", 'Data Entry'!$»$898)</f>
      </c>
      <c r="DT898">
        <f>IF(ISBLANK('Data Entry'!$¼$898), "", 'Data Entry'!$¼$898)</f>
      </c>
      <c r="DU898">
        <f>IF(ISBLANK('Data Entry'!$½$898), "", 'Data Entry'!$½$898)</f>
      </c>
      <c r="DV898">
        <f>IF(ISBLANK('Data Entry'!$¾$898), "", 'Data Entry'!$¾$898)</f>
      </c>
      <c r="DW898">
        <f>IF(ISBLANK('Data Entry'!$¿$898), "", 'Data Entry'!$¿$898)</f>
      </c>
      <c r="DX898">
        <f>IF(ISBLANK('Data Entry'!$À$898), "", 'Data Entry'!$À$898)</f>
      </c>
      <c r="DY898">
        <f>IF(ISBLANK('Data Entry'!$Á$898), "", 'Data Entry'!$Á$898)</f>
      </c>
      <c r="DZ898">
        <f>IF(ISBLANK('Data Entry'!$Â$898), "", 'Data Entry'!$Â$898)</f>
      </c>
      <c r="EA898">
        <f>IF(ISBLANK('Data Entry'!$Ã$898), "", 'Data Entry'!$Ã$898)</f>
      </c>
      <c r="EB898">
        <f>IF(ISBLANK('Data Entry'!$Ä$898), "", 'Data Entry'!$Ä$898)</f>
      </c>
      <c r="EC898">
        <f>IF(ISBLANK('Data Entry'!$Å$898), "", 'Data Entry'!$Å$898)</f>
      </c>
      <c r="ED898">
        <f>IF(ISBLANK('Data Entry'!$Æ$898), "", 'Data Entry'!$Æ$898)</f>
      </c>
      <c r="EE898">
        <f>IF(ISBLANK('Data Entry'!$Ç$898), "", 'Data Entry'!$Ç$898)</f>
      </c>
      <c r="EF898">
        <f>IF(ISBLANK('Data Entry'!$È$898), "", 'Data Entry'!$È$898)</f>
      </c>
      <c r="EG898">
        <f>IF(ISBLANK('Data Entry'!$É$898), "", 'Data Entry'!$É$898)</f>
      </c>
      <c r="EH898">
        <f>IF(ISBLANK('Data Entry'!$Ê$898), "", 'Data Entry'!$Ê$898)</f>
      </c>
      <c r="EI898">
        <f>IF(ISBLANK('Data Entry'!$Ë$898), "", 'Data Entry'!$Ë$898)</f>
      </c>
      <c r="EJ898">
        <f>IF(ISBLANK('Data Entry'!$Ì$898), "", 'Data Entry'!$Ì$898)</f>
      </c>
      <c r="EK898">
        <f>IF(ISBLANK('Data Entry'!$Í$898), "", 'Data Entry'!$Í$898)</f>
      </c>
      <c r="EL898">
        <f>IF(ISBLANK('Data Entry'!$Î$898), "", 'Data Entry'!$Î$898)</f>
      </c>
      <c r="EM898">
        <f>IF(ISBLANK('Data Entry'!$Ï$898), "", 'Data Entry'!$Ï$898)</f>
      </c>
      <c r="EN898">
        <f>IF(ISBLANK('Data Entry'!$Ð$898), "", 'Data Entry'!$Ð$898)</f>
      </c>
      <c r="EO898">
        <f>IF(ISBLANK('Data Entry'!$Ñ$898), "", 'Data Entry'!$Ñ$898)</f>
      </c>
      <c r="EP898">
        <f>IF(ISBLANK('Data Entry'!$Ò$898), "", 'Data Entry'!$Ò$898)</f>
      </c>
      <c r="EQ898">
        <f>IF(ISBLANK('Data Entry'!$Ó$898), "", 'Data Entry'!$Ó$898)</f>
      </c>
      <c r="ER898">
        <f>IF(ISBLANK('Data Entry'!$Ô$898), "", 'Data Entry'!$Ô$898)</f>
      </c>
      <c r="ES898">
        <f>IF(ISBLANK('Data Entry'!$Õ$898), "", 'Data Entry'!$Õ$898)</f>
      </c>
      <c r="ET898">
        <f>IF(ISBLANK('Data Entry'!$Ö$898), "", 'Data Entry'!$Ö$898)</f>
      </c>
      <c r="EU898">
        <f>IF(ISBLANK('Data Entry'!$×$898), "", 'Data Entry'!$×$898)</f>
      </c>
      <c r="EV898">
        <f>IF(ISBLANK('Data Entry'!$Ø$898), "", 'Data Entry'!$Ø$898)</f>
      </c>
      <c r="EW898">
        <f>IF(ISBLANK('Data Entry'!$Ù$898), "", 'Data Entry'!$Ù$898)</f>
      </c>
      <c r="EX898">
        <f>IF(ISBLANK('Data Entry'!$Ú$898), "", 'Data Entry'!$Ú$898)</f>
      </c>
      <c r="EY898">
        <f>IF(ISBLANK('Data Entry'!$Û$898), "", 'Data Entry'!$Û$898)</f>
      </c>
      <c r="EZ898">
        <f>IF(ISBLANK('Data Entry'!$Ü$898), "", 'Data Entry'!$Ü$898)</f>
      </c>
      <c r="FA898">
        <f>IF(ISBLANK('Data Entry'!$Ý$898), "", 'Data Entry'!$Ý$898)</f>
      </c>
      <c r="FB898">
        <f>IF(ISBLANK('Data Entry'!$Þ$898), "", 'Data Entry'!$Þ$898)</f>
      </c>
      <c r="FC898">
        <f>IF(ISBLANK('Data Entry'!$ß$898), "", 'Data Entry'!$ß$898)</f>
      </c>
      <c r="FD898">
        <f>IF(ISBLANK('Data Entry'!$à$898), "", 'Data Entry'!$à$898)</f>
      </c>
      <c r="FE898">
        <f>IF(ISBLANK('Data Entry'!$á$898), "", 'Data Entry'!$á$898)</f>
      </c>
      <c r="FF898">
        <f>IF(ISBLANK('Data Entry'!$â$898), "", 'Data Entry'!$â$898)</f>
      </c>
      <c r="FG898">
        <f>IF(ISBLANK('Data Entry'!$ã$898), "", 'Data Entry'!$ã$898)</f>
      </c>
      <c r="FH898">
        <f>IF(ISBLANK('Data Entry'!$ä$898), "", 'Data Entry'!$ä$898)</f>
      </c>
      <c r="FI898">
        <f>IF(ISBLANK('Data Entry'!$å$898), "", 'Data Entry'!$å$898)</f>
      </c>
      <c r="FJ898">
        <f>IF(ISBLANK('Data Entry'!$æ$898), "", 'Data Entry'!$æ$898)</f>
      </c>
      <c r="FK898">
        <f>IF(ISBLANK('Data Entry'!$ç$898), "", 'Data Entry'!$ç$898)</f>
      </c>
      <c r="FL898">
        <f>IF(ISBLANK('Data Entry'!$è$898), "", 'Data Entry'!$è$898)</f>
      </c>
      <c r="FM898">
        <f>IF(ISBLANK('Data Entry'!$é$898), "", 'Data Entry'!$é$898)</f>
      </c>
      <c r="FN898">
        <f>IF(ISBLANK('Data Entry'!$ê$898), "", 'Data Entry'!$ê$898)</f>
      </c>
      <c r="FO898">
        <f>IF(ISBLANK('Data Entry'!$ë$898), "", 'Data Entry'!$ë$898)</f>
      </c>
      <c r="FP898">
        <f>IF(ISBLANK('Data Entry'!$ì$898), "", 'Data Entry'!$ì$898)</f>
      </c>
      <c r="FQ898">
        <f>IF(ISBLANK('Data Entry'!$í$898), "", 'Data Entry'!$í$898)</f>
      </c>
      <c r="FR898">
        <f>IF(ISBLANK('Data Entry'!$î$898), "", 'Data Entry'!$î$898)</f>
      </c>
      <c r="FS898">
        <f>IF(ISBLANK('Data Entry'!$ï$898), "", 'Data Entry'!$ï$898)</f>
      </c>
      <c r="FT898">
        <f>IF(ISBLANK('Data Entry'!$ð$898), "", 'Data Entry'!$ð$898)</f>
      </c>
      <c r="FU898">
        <f>IF(ISBLANK('Data Entry'!$ñ$898), "", 'Data Entry'!$ñ$898)</f>
      </c>
      <c r="FV898">
        <f>IF(ISBLANK('Data Entry'!$ò$898), "", 'Data Entry'!$ò$898)</f>
      </c>
      <c r="FW898">
        <f>IF(ISBLANK('Data Entry'!$ó$898), "", 'Data Entry'!$ó$898)</f>
      </c>
      <c r="FX898">
        <f>IF(ISBLANK('Data Entry'!$ô$898), "", 'Data Entry'!$ô$898)</f>
      </c>
      <c r="FY898">
        <f>IF(ISBLANK('Data Entry'!$õ$898), "", 'Data Entry'!$õ$898)</f>
      </c>
      <c r="FZ898">
        <f>IF(ISBLANK('Data Entry'!$ö$898), "", 'Data Entry'!$ö$898)</f>
      </c>
      <c r="GA898">
        <f>IF(ISBLANK('Data Entry'!$÷$898), "", 'Data Entry'!$÷$898)</f>
      </c>
      <c r="GB898">
        <f>IF(ISBLANK('Data Entry'!$ø$898), "", 'Data Entry'!$ø$898)</f>
      </c>
      <c r="GC898">
        <f>IF(ISBLANK('Data Entry'!$ù$898), "", 'Data Entry'!$ù$898)</f>
      </c>
      <c r="GD898">
        <f>IF(ISBLANK('Data Entry'!$ú$898), "", 'Data Entry'!$ú$898)</f>
      </c>
      <c r="GE898">
        <f>IF(ISBLANK('Data Entry'!$û$898), "", 'Data Entry'!$û$898)</f>
      </c>
      <c r="GF898">
        <f>IF(ISBLANK('Data Entry'!$ü$898), "", 'Data Entry'!$ü$898)</f>
      </c>
      <c r="GG898">
        <f>IF(ISBLANK('Data Entry'!$ý$898), "", 'Data Entry'!$ý$898)</f>
      </c>
      <c r="GH898">
        <f>IF(ISBLANK('Data Entry'!$þ$898), "", 'Data Entry'!$þ$898)</f>
      </c>
      <c r="GI898">
        <f>IF(ISBLANK('Data Entry'!$ÿ$898), "", 'Data Entry'!$ÿ$898)</f>
      </c>
      <c r="GJ898">
        <f>IF(ISBLANK('Data Entry'!$Ā$898), "", 'Data Entry'!$Ā$898)</f>
      </c>
      <c r="GK898">
        <f>IF(ISBLANK('Data Entry'!$ā$898), "", 'Data Entry'!$ā$898)</f>
      </c>
      <c r="GL898">
        <f>IF(ISBLANK('Data Entry'!$Ă$898), "", 'Data Entry'!$Ă$898)</f>
      </c>
      <c r="GM898">
        <f>IF(ISBLANK('Data Entry'!$ă$898), "", 'Data Entry'!$ă$898)</f>
      </c>
      <c r="GN898">
        <f>IF(ISBLANK('Data Entry'!$Ą$898), "", 'Data Entry'!$Ą$898)</f>
      </c>
      <c r="GO898">
        <f>IF(ISBLANK('Data Entry'!$ą$898), "", 'Data Entry'!$ą$898)</f>
      </c>
      <c r="GP898">
        <f>IF(ISBLANK('Data Entry'!$Ć$898), "", 'Data Entry'!$Ć$898)</f>
      </c>
      <c r="GQ898">
        <f>IF(ISBLANK('Data Entry'!$ć$898), "", 'Data Entry'!$ć$898)</f>
      </c>
      <c r="GR898">
        <f>IF(ISBLANK('Data Entry'!$Ĉ$898), "", 'Data Entry'!$Ĉ$898)</f>
      </c>
      <c r="GS898">
        <f>IF(ISBLANK('Data Entry'!$ĉ$898), "", 'Data Entry'!$ĉ$898)</f>
      </c>
      <c r="GT898">
        <f>IF(ISBLANK('Data Entry'!$Ċ$898), "", 'Data Entry'!$Ċ$898)</f>
      </c>
      <c r="GU898">
        <f>IF(ISBLANK('Data Entry'!$ċ$898), "", 'Data Entry'!$ċ$898)</f>
      </c>
      <c r="GV898">
        <f>IF(ISBLANK('Data Entry'!$Č$898), "", 'Data Entry'!$Č$898)</f>
      </c>
      <c r="GW898">
        <f>IF(ISBLANK('Data Entry'!$č$898), "", 'Data Entry'!$č$898)</f>
      </c>
      <c r="GX898">
        <f>IF(ISBLANK('Data Entry'!$Ď$898), "", 'Data Entry'!$Ď$898)</f>
      </c>
      <c r="GY898">
        <f>IF(ISBLANK('Data Entry'!$ď$898), "", 'Data Entry'!$ď$898)</f>
      </c>
      <c r="GZ898">
        <f>IF(ISBLANK('Data Entry'!$Đ$898), "", 'Data Entry'!$Đ$898)</f>
      </c>
      <c r="HA898">
        <f>IF(ISBLANK('Data Entry'!$đ$898), "", 'Data Entry'!$đ$898)</f>
      </c>
      <c r="HB898">
        <f>IF(ISBLANK('Data Entry'!$Ē$898), "", 'Data Entry'!$Ē$898)</f>
      </c>
      <c r="HC898">
        <f>IF(ISBLANK('Data Entry'!$ē$898), "", 'Data Entry'!$ē$898)</f>
      </c>
      <c r="HD898">
        <f>IF(ISBLANK('Data Entry'!$Ĕ$898), "", 'Data Entry'!$Ĕ$898)</f>
      </c>
      <c r="HE898">
        <f>IF(ISBLANK('Data Entry'!$ĕ$898), "", 'Data Entry'!$ĕ$898)</f>
      </c>
      <c r="HF898">
        <f>IF(ISBLANK('Data Entry'!$Ė$898), "", 'Data Entry'!$Ė$898)</f>
      </c>
      <c r="HG898">
        <f>IF(ISBLANK('Data Entry'!$ė$898), "", 'Data Entry'!$ė$898)</f>
      </c>
      <c r="HH898">
        <f>IF(ISBLANK('Data Entry'!$Ę$898), "", 'Data Entry'!$Ę$898)</f>
      </c>
      <c r="HI898">
        <f>IF(ISBLANK('Data Entry'!$ę$898), "", 'Data Entry'!$ę$898)</f>
      </c>
      <c r="HJ898">
        <f>IF(ISBLANK('Data Entry'!$Ě$898), "", 'Data Entry'!$Ě$898)</f>
      </c>
      <c r="HK898">
        <f>IF(ISBLANK('Data Entry'!$ě$898), "", 'Data Entry'!$ě$898)</f>
      </c>
      <c r="HL898">
        <f>IF(ISBLANK('Data Entry'!$Ĝ$898), "", 'Data Entry'!$Ĝ$898)</f>
      </c>
      <c r="HM898">
        <f>IF(ISBLANK('Data Entry'!$ĝ$898), "", 'Data Entry'!$ĝ$898)</f>
      </c>
      <c r="HN898">
        <f>IF(ISBLANK('Data Entry'!$Ğ$898), "", 'Data Entry'!$Ğ$898)</f>
      </c>
      <c r="HO898">
        <f>IF(ISBLANK('Data Entry'!$ğ$898), "", 'Data Entry'!$ğ$898)</f>
      </c>
      <c r="HP898">
        <f>IF(ISBLANK('Data Entry'!$Ġ$898), "", 'Data Entry'!$Ġ$898)</f>
      </c>
      <c r="HQ898">
        <f>IF(ISBLANK('Data Entry'!$ġ$898), "", 'Data Entry'!$ġ$898)</f>
      </c>
      <c r="HR898">
        <f>IF(ISBLANK('Data Entry'!$Ģ$898), "", 'Data Entry'!$Ģ$898)</f>
      </c>
      <c r="HS898">
        <f>IF(ISBLANK('Data Entry'!$ģ$898), "", 'Data Entry'!$ģ$898)</f>
      </c>
      <c r="HT898">
        <f>IF(ISBLANK('Data Entry'!$Ĥ$898), "", 'Data Entry'!$Ĥ$898)</f>
      </c>
      <c r="HU898">
        <f>IF(ISBLANK('Data Entry'!$ĥ$898), "", 'Data Entry'!$ĥ$898)</f>
      </c>
      <c r="HV898">
        <f>IF(ISBLANK('Data Entry'!$Ħ$898), "", 'Data Entry'!$Ħ$898)</f>
      </c>
      <c r="HW898">
        <f>IF(ISBLANK('Data Entry'!$ħ$898), "", 'Data Entry'!$ħ$898)</f>
      </c>
      <c r="HX898">
        <f>IF(ISBLANK('Data Entry'!$Ĩ$898), "", 'Data Entry'!$Ĩ$898)</f>
      </c>
      <c r="HY898">
        <f>IF(ISBLANK('Data Entry'!$ĩ$898), "", 'Data Entry'!$ĩ$898)</f>
      </c>
      <c r="HZ898">
        <f>IF(ISBLANK('Data Entry'!$Ī$898), "", 'Data Entry'!$Ī$898)</f>
      </c>
      <c r="IA898">
        <f>IF(ISBLANK('Data Entry'!$ī$898), "", 'Data Entry'!$ī$898)</f>
      </c>
      <c r="IB898">
        <f>IF(ISBLANK('Data Entry'!$Ĭ$898), "", 'Data Entry'!$Ĭ$898)</f>
      </c>
      <c r="IC898">
        <f>IF(ISBLANK('Data Entry'!$ĭ$898), "", 'Data Entry'!$ĭ$898)</f>
      </c>
      <c r="ID898">
        <f>IF(ISBLANK('Data Entry'!$Į$898), "", 'Data Entry'!$Į$898)</f>
      </c>
      <c r="IE898">
        <f>IF(ISBLANK('Data Entry'!$į$898), "", 'Data Entry'!$į$898)</f>
      </c>
      <c r="IF898">
        <f>IF(ISBLANK('Data Entry'!$İ$898), "", 'Data Entry'!$İ$898)</f>
      </c>
      <c r="IG898">
        <f>IF(ISBLANK('Data Entry'!$ı$898), "", 'Data Entry'!$ı$898)</f>
      </c>
      <c r="IH898">
        <f>IF(ISBLANK('Data Entry'!$Ĳ$898), "", 'Data Entry'!$Ĳ$898)</f>
      </c>
      <c r="II898">
        <f>IF(ISBLANK('Data Entry'!$ĳ$898), "", 'Data Entry'!$ĳ$898)</f>
      </c>
      <c r="IJ898">
        <f>IF(ISBLANK('Data Entry'!$Ĵ$898), "", 'Data Entry'!$Ĵ$898)</f>
      </c>
      <c r="IK898">
        <f>IF(ISBLANK('Data Entry'!$ĵ$898), "", 'Data Entry'!$ĵ$898)</f>
      </c>
      <c r="IL898">
        <f>IF(ISBLANK('Data Entry'!$Ķ$898), "", 'Data Entry'!$Ķ$898)</f>
      </c>
      <c r="IM898">
        <f>IF(ISBLANK('Data Entry'!$ķ$898), "", 'Data Entry'!$ķ$898)</f>
      </c>
      <c r="IN898">
        <f>IF(ISBLANK('Data Entry'!$ĸ$898), "", 'Data Entry'!$ĸ$898)</f>
      </c>
      <c r="IO898">
        <f>IF(ISBLANK('Data Entry'!$Ĺ$898), "", 'Data Entry'!$Ĺ$898)</f>
      </c>
      <c r="IP898">
        <f>IF(ISBLANK('Data Entry'!$ĺ$898), "", 'Data Entry'!$ĺ$898)</f>
      </c>
      <c r="IQ898">
        <f>IF(ISBLANK('Data Entry'!$Ļ$898), "", 'Data Entry'!$Ļ$898)</f>
      </c>
      <c r="IR898">
        <f>IF(ISBLANK('Data Entry'!$ļ$898), "", 'Data Entry'!$ļ$898)</f>
      </c>
      <c r="IS898">
        <f>IF(ISBLANK('Data Entry'!$Ľ$898), "", 'Data Entry'!$Ľ$898)</f>
      </c>
      <c r="IT898">
        <f>IF(ISBLANK('Data Entry'!$ľ$898), "", 'Data Entry'!$ľ$898)</f>
      </c>
    </row>
    <row r="899" spans="1:254" x14ac:dyDescent="0.25">
      <c r="A899">
        <f>IF(ISBLANK('Data Entry'!$A$899), "", 'Data Entry'!$A$899)</f>
      </c>
      <c r="B899">
        <f>IF(ISBLANK('Data Entry'!$B$899), "", 'Data Entry'!$B$899)</f>
      </c>
      <c r="C899">
        <f>IF(ISBLANK('Data Entry'!$C$899), "", 'Data Entry'!$C$899)</f>
      </c>
      <c r="D899">
        <f>IF(ISBLANK('Data Entry'!$D$899), "", 'Data Entry'!$D$899)</f>
      </c>
      <c r="E899">
        <f>IF(ISBLANK('Data Entry'!$E$899), "", 'Data Entry'!$E$899)</f>
      </c>
      <c r="F899">
        <f>IF(ISBLANK('Data Entry'!$F$899), "", 'Data Entry'!$F$899)</f>
      </c>
      <c r="G899">
        <f>IF(ISBLANK('Data Entry'!$G$899), "", 'Data Entry'!$G$899)</f>
      </c>
      <c r="H899">
        <f>IF(ISBLANK('Data Entry'!$H$899), "", 'Data Entry'!$H$899)</f>
      </c>
      <c r="I899">
        <f>IF(ISBLANK('Data Entry'!$I$899), "", 'Data Entry'!$I$899)</f>
      </c>
      <c r="J899">
        <f>IF(ISBLANK('Data Entry'!$J$899), "", 'Data Entry'!$J$899)</f>
      </c>
      <c r="K899">
        <f>IF(ISBLANK('Data Entry'!$K$899), "", 'Data Entry'!$K$899)</f>
      </c>
      <c r="L899">
        <f>IF(ISBLANK('Data Entry'!$L$899), "", 'Data Entry'!$L$899)</f>
      </c>
      <c r="M899">
        <f>IF(ISBLANK('Data Entry'!$M$899), "", 'Data Entry'!$M$899)</f>
      </c>
      <c r="N899">
        <f>IF(ISBLANK('Data Entry'!$N$899), "", 'Data Entry'!$N$899)</f>
      </c>
      <c r="O899">
        <f>IF(ISBLANK('Data Entry'!$O$899), "", 'Data Entry'!$O$899)</f>
      </c>
      <c r="P899">
        <f>IF(ISBLANK('Data Entry'!$P$899), "", 'Data Entry'!$P$899)</f>
      </c>
      <c r="Q899">
        <f>IF(ISBLANK('Data Entry'!$Q$899), "", 'Data Entry'!$Q$899)</f>
      </c>
      <c r="R899">
        <f>IF(ISBLANK('Data Entry'!$R$899), "", 'Data Entry'!$R$899)</f>
      </c>
      <c r="S899">
        <f>IF(ISBLANK('Data Entry'!$S$899), "", 'Data Entry'!$S$899)</f>
      </c>
      <c r="T899">
        <f>IF(ISBLANK('Data Entry'!$T$899), "", 'Data Entry'!$T$899)</f>
      </c>
      <c r="U899">
        <f>IF(ISBLANK('Data Entry'!$U$899), "", 'Data Entry'!$U$899)</f>
      </c>
      <c r="V899">
        <f>IF(ISBLANK('Data Entry'!$V$899), "", 'Data Entry'!$V$899)</f>
      </c>
      <c r="W899">
        <f>IF(ISBLANK('Data Entry'!$W$899), "", 'Data Entry'!$W$899)</f>
      </c>
      <c r="X899">
        <f>IF(ISBLANK('Data Entry'!$X$899), "", 'Data Entry'!$X$899)</f>
      </c>
      <c r="Y899">
        <f>IF(ISBLANK('Data Entry'!$Y$899), "", 'Data Entry'!$Y$899)</f>
      </c>
      <c r="Z899">
        <f>IF(ISBLANK('Data Entry'!$Z$899), "", 'Data Entry'!$Z$899)</f>
      </c>
      <c r="AA899">
        <f>IF(ISBLANK('Data Entry'!$[$899), "", 'Data Entry'!$[$899)</f>
      </c>
      <c r="AB899">
        <f>IF(ISBLANK('Data Entry'!$\$899), "", 'Data Entry'!$\$899)</f>
      </c>
      <c r="AC899">
        <f>IF(ISBLANK('Data Entry'!$]$899), "", 'Data Entry'!$]$899)</f>
      </c>
      <c r="AD899">
        <f>IF(ISBLANK('Data Entry'!$^$899), "", 'Data Entry'!$^$899)</f>
      </c>
      <c r="AE899">
        <f>IF(ISBLANK('Data Entry'!$_$899), "", 'Data Entry'!$_$899)</f>
      </c>
      <c r="AF899">
        <f>IF(ISBLANK('Data Entry'!$`$899), "", 'Data Entry'!$`$899)</f>
      </c>
      <c r="AG899">
        <f>IF(ISBLANK('Data Entry'!$a$899), "", 'Data Entry'!$a$899)</f>
      </c>
      <c r="AH899">
        <f>IF(ISBLANK('Data Entry'!$b$899), "", 'Data Entry'!$b$899)</f>
      </c>
      <c r="AI899">
        <f>IF(ISBLANK('Data Entry'!$c$899), "", 'Data Entry'!$c$899)</f>
      </c>
      <c r="AJ899">
        <f>IF(ISBLANK('Data Entry'!$d$899), "", 'Data Entry'!$d$899)</f>
      </c>
      <c r="AK899">
        <f>IF(ISBLANK('Data Entry'!$e$899), "", 'Data Entry'!$e$899)</f>
      </c>
      <c r="AL899">
        <f>IF(ISBLANK('Data Entry'!$f$899), "", 'Data Entry'!$f$899)</f>
      </c>
      <c r="AM899">
        <f>IF(ISBLANK('Data Entry'!$g$899), "", 'Data Entry'!$g$899)</f>
      </c>
      <c r="AN899">
        <f>IF(ISBLANK('Data Entry'!$h$899), "", 'Data Entry'!$h$899)</f>
      </c>
      <c r="AO899">
        <f>IF(ISBLANK('Data Entry'!$i$899), "", 'Data Entry'!$i$899)</f>
      </c>
      <c r="AP899">
        <f>IF(ISBLANK('Data Entry'!$j$899), "", 'Data Entry'!$j$899)</f>
      </c>
      <c r="AQ899">
        <f>IF(ISBLANK('Data Entry'!$k$899), "", 'Data Entry'!$k$899)</f>
      </c>
      <c r="AR899">
        <f>IF(ISBLANK('Data Entry'!$l$899), "", 'Data Entry'!$l$899)</f>
      </c>
      <c r="AS899">
        <f>IF(ISBLANK('Data Entry'!$m$899), "", 'Data Entry'!$m$899)</f>
      </c>
      <c r="AT899">
        <f>IF(ISBLANK('Data Entry'!$n$899), "", 'Data Entry'!$n$899)</f>
      </c>
      <c r="AU899">
        <f>IF(ISBLANK('Data Entry'!$o$899), "", 'Data Entry'!$o$899)</f>
      </c>
      <c r="AV899">
        <f>IF(ISBLANK('Data Entry'!$p$899), "", 'Data Entry'!$p$899)</f>
      </c>
      <c r="AW899">
        <f>IF(ISBLANK('Data Entry'!$q$899), "", 'Data Entry'!$q$899)</f>
      </c>
      <c r="AX899">
        <f>IF(ISBLANK('Data Entry'!$r$899), "", 'Data Entry'!$r$899)</f>
      </c>
      <c r="AY899">
        <f>IF(ISBLANK('Data Entry'!$s$899), "", 'Data Entry'!$s$899)</f>
      </c>
      <c r="AZ899">
        <f>IF(ISBLANK('Data Entry'!$t$899), "", 'Data Entry'!$t$899)</f>
      </c>
      <c r="BA899">
        <f>IF(ISBLANK('Data Entry'!$u$899), "", 'Data Entry'!$u$899)</f>
      </c>
      <c r="BB899">
        <f>IF(ISBLANK('Data Entry'!$v$899), "", 'Data Entry'!$v$899)</f>
      </c>
      <c r="BC899">
        <f>IF(ISBLANK('Data Entry'!$w$899), "", 'Data Entry'!$w$899)</f>
      </c>
      <c r="BD899">
        <f>IF(ISBLANK('Data Entry'!$x$899), "", 'Data Entry'!$x$899)</f>
      </c>
      <c r="BE899">
        <f>IF(ISBLANK('Data Entry'!$y$899), "", 'Data Entry'!$y$899)</f>
      </c>
      <c r="BF899">
        <f>IF(ISBLANK('Data Entry'!$z$899), "", 'Data Entry'!$z$899)</f>
      </c>
      <c r="BG899">
        <f>IF(ISBLANK('Data Entry'!${$899), "", 'Data Entry'!${$899)</f>
      </c>
      <c r="BH899">
        <f>IF(ISBLANK('Data Entry'!$|$899), "", 'Data Entry'!$|$899)</f>
      </c>
      <c r="BI899">
        <f>IF(ISBLANK('Data Entry'!$}$899), "", 'Data Entry'!$}$899)</f>
      </c>
      <c r="BJ899">
        <f>IF(ISBLANK('Data Entry'!$~$899), "", 'Data Entry'!$~$899)</f>
      </c>
      <c r="BK899">
        <f>IF(ISBLANK('Data Entry'!$$899), "", 'Data Entry'!$$899)</f>
      </c>
      <c r="BL899">
        <f>IF(ISBLANK('Data Entry'!$$899), "", 'Data Entry'!$$899)</f>
      </c>
      <c r="BM899">
        <f>IF(ISBLANK('Data Entry'!$$899), "", 'Data Entry'!$$899)</f>
      </c>
      <c r="BN899">
        <f>IF(ISBLANK('Data Entry'!$$899), "", 'Data Entry'!$$899)</f>
      </c>
      <c r="BO899">
        <f>IF(ISBLANK('Data Entry'!$$899), "", 'Data Entry'!$$899)</f>
      </c>
      <c r="BP899">
        <f>IF(ISBLANK('Data Entry'!$$899), "", 'Data Entry'!$$899)</f>
      </c>
      <c r="BQ899">
        <f>IF(ISBLANK('Data Entry'!$$899), "", 'Data Entry'!$$899)</f>
      </c>
      <c r="BR899">
        <f>IF(ISBLANK('Data Entry'!$$899), "", 'Data Entry'!$$899)</f>
      </c>
      <c r="BS899">
        <f>IF(ISBLANK('Data Entry'!$$899), "", 'Data Entry'!$$899)</f>
      </c>
      <c r="BT899">
        <f>IF(ISBLANK('Data Entry'!$$899), "", 'Data Entry'!$$899)</f>
      </c>
      <c r="BU899">
        <f>IF(ISBLANK('Data Entry'!$$899), "", 'Data Entry'!$$899)</f>
      </c>
      <c r="BV899">
        <f>IF(ISBLANK('Data Entry'!$$899), "", 'Data Entry'!$$899)</f>
      </c>
      <c r="BW899">
        <f>IF(ISBLANK('Data Entry'!$$899), "", 'Data Entry'!$$899)</f>
      </c>
      <c r="BX899">
        <f>IF(ISBLANK('Data Entry'!$$899), "", 'Data Entry'!$$899)</f>
      </c>
      <c r="BY899">
        <f>IF(ISBLANK('Data Entry'!$$899), "", 'Data Entry'!$$899)</f>
      </c>
      <c r="BZ899">
        <f>IF(ISBLANK('Data Entry'!$$899), "", 'Data Entry'!$$899)</f>
      </c>
      <c r="CA899">
        <f>IF(ISBLANK('Data Entry'!$$899), "", 'Data Entry'!$$899)</f>
      </c>
      <c r="CB899">
        <f>IF(ISBLANK('Data Entry'!$$899), "", 'Data Entry'!$$899)</f>
      </c>
      <c r="CC899">
        <f>IF(ISBLANK('Data Entry'!$$899), "", 'Data Entry'!$$899)</f>
      </c>
      <c r="CD899">
        <f>IF(ISBLANK('Data Entry'!$$899), "", 'Data Entry'!$$899)</f>
      </c>
      <c r="CE899">
        <f>IF(ISBLANK('Data Entry'!$$899), "", 'Data Entry'!$$899)</f>
      </c>
      <c r="CF899">
        <f>IF(ISBLANK('Data Entry'!$$899), "", 'Data Entry'!$$899)</f>
      </c>
      <c r="CG899">
        <f>IF(ISBLANK('Data Entry'!$$899), "", 'Data Entry'!$$899)</f>
      </c>
      <c r="CH899">
        <f>IF(ISBLANK('Data Entry'!$$899), "", 'Data Entry'!$$899)</f>
      </c>
      <c r="CI899">
        <f>IF(ISBLANK('Data Entry'!$$899), "", 'Data Entry'!$$899)</f>
      </c>
      <c r="CJ899">
        <f>IF(ISBLANK('Data Entry'!$$899), "", 'Data Entry'!$$899)</f>
      </c>
      <c r="CK899">
        <f>IF(ISBLANK('Data Entry'!$$899), "", 'Data Entry'!$$899)</f>
      </c>
      <c r="CL899">
        <f>IF(ISBLANK('Data Entry'!$$899), "", 'Data Entry'!$$899)</f>
      </c>
      <c r="CM899">
        <f>IF(ISBLANK('Data Entry'!$$899), "", 'Data Entry'!$$899)</f>
      </c>
      <c r="CN899">
        <f>IF(ISBLANK('Data Entry'!$$899), "", 'Data Entry'!$$899)</f>
      </c>
      <c r="CO899">
        <f>IF(ISBLANK('Data Entry'!$$899), "", 'Data Entry'!$$899)</f>
      </c>
      <c r="CP899">
        <f>IF(ISBLANK('Data Entry'!$$899), "", 'Data Entry'!$$899)</f>
      </c>
      <c r="CQ899">
        <f>IF(ISBLANK('Data Entry'!$$899), "", 'Data Entry'!$$899)</f>
      </c>
      <c r="CR899">
        <f>IF(ISBLANK('Data Entry'!$ $899), "", 'Data Entry'!$ $899)</f>
      </c>
      <c r="CS899">
        <f>IF(ISBLANK('Data Entry'!$¡$899), "", 'Data Entry'!$¡$899)</f>
      </c>
      <c r="CT899">
        <f>IF(ISBLANK('Data Entry'!$¢$899), "", 'Data Entry'!$¢$899)</f>
      </c>
      <c r="CU899">
        <f>IF(ISBLANK('Data Entry'!$£$899), "", 'Data Entry'!$£$899)</f>
      </c>
      <c r="CV899">
        <f>IF(ISBLANK('Data Entry'!$¤$899), "", 'Data Entry'!$¤$899)</f>
      </c>
      <c r="CW899">
        <f>IF(ISBLANK('Data Entry'!$¥$899), "", 'Data Entry'!$¥$899)</f>
      </c>
      <c r="CX899">
        <f>IF(ISBLANK('Data Entry'!$¦$899), "", 'Data Entry'!$¦$899)</f>
      </c>
      <c r="CY899">
        <f>IF(ISBLANK('Data Entry'!$§$899), "", 'Data Entry'!$§$899)</f>
      </c>
      <c r="CZ899">
        <f>IF(ISBLANK('Data Entry'!$¨$899), "", 'Data Entry'!$¨$899)</f>
      </c>
      <c r="DA899">
        <f>IF(ISBLANK('Data Entry'!$©$899), "", 'Data Entry'!$©$899)</f>
      </c>
      <c r="DB899">
        <f>IF(ISBLANK('Data Entry'!$ª$899), "", 'Data Entry'!$ª$899)</f>
      </c>
      <c r="DC899">
        <f>IF(ISBLANK('Data Entry'!$«$899), "", 'Data Entry'!$«$899)</f>
      </c>
      <c r="DD899">
        <f>IF(ISBLANK('Data Entry'!$¬$899), "", 'Data Entry'!$¬$899)</f>
      </c>
      <c r="DE899">
        <f>IF(ISBLANK('Data Entry'!$­$899), "", 'Data Entry'!$­$899)</f>
      </c>
      <c r="DF899">
        <f>IF(ISBLANK('Data Entry'!$®$899), "", 'Data Entry'!$®$899)</f>
      </c>
      <c r="DG899">
        <f>IF(ISBLANK('Data Entry'!$¯$899), "", 'Data Entry'!$¯$899)</f>
      </c>
      <c r="DH899">
        <f>IF(ISBLANK('Data Entry'!$°$899), "", 'Data Entry'!$°$899)</f>
      </c>
      <c r="DI899">
        <f>IF(ISBLANK('Data Entry'!$±$899), "", 'Data Entry'!$±$899)</f>
      </c>
      <c r="DJ899">
        <f>IF(ISBLANK('Data Entry'!$²$899), "", 'Data Entry'!$²$899)</f>
      </c>
      <c r="DK899">
        <f>IF(ISBLANK('Data Entry'!$³$899), "", 'Data Entry'!$³$899)</f>
      </c>
      <c r="DL899">
        <f>IF(ISBLANK('Data Entry'!$´$899), "", 'Data Entry'!$´$899)</f>
      </c>
      <c r="DM899">
        <f>IF(ISBLANK('Data Entry'!$µ$899), "", 'Data Entry'!$µ$899)</f>
      </c>
      <c r="DN899">
        <f>IF(ISBLANK('Data Entry'!$¶$899), "", 'Data Entry'!$¶$899)</f>
      </c>
      <c r="DO899">
        <f>IF(ISBLANK('Data Entry'!$·$899), "", 'Data Entry'!$·$899)</f>
      </c>
      <c r="DP899">
        <f>IF(ISBLANK('Data Entry'!$¸$899), "", 'Data Entry'!$¸$899)</f>
      </c>
      <c r="DQ899">
        <f>IF(ISBLANK('Data Entry'!$¹$899), "", 'Data Entry'!$¹$899)</f>
      </c>
      <c r="DR899">
        <f>IF(ISBLANK('Data Entry'!$º$899), "", 'Data Entry'!$º$899)</f>
      </c>
      <c r="DS899">
        <f>IF(ISBLANK('Data Entry'!$»$899), "", 'Data Entry'!$»$899)</f>
      </c>
      <c r="DT899">
        <f>IF(ISBLANK('Data Entry'!$¼$899), "", 'Data Entry'!$¼$899)</f>
      </c>
      <c r="DU899">
        <f>IF(ISBLANK('Data Entry'!$½$899), "", 'Data Entry'!$½$899)</f>
      </c>
      <c r="DV899">
        <f>IF(ISBLANK('Data Entry'!$¾$899), "", 'Data Entry'!$¾$899)</f>
      </c>
      <c r="DW899">
        <f>IF(ISBLANK('Data Entry'!$¿$899), "", 'Data Entry'!$¿$899)</f>
      </c>
      <c r="DX899">
        <f>IF(ISBLANK('Data Entry'!$À$899), "", 'Data Entry'!$À$899)</f>
      </c>
      <c r="DY899">
        <f>IF(ISBLANK('Data Entry'!$Á$899), "", 'Data Entry'!$Á$899)</f>
      </c>
      <c r="DZ899">
        <f>IF(ISBLANK('Data Entry'!$Â$899), "", 'Data Entry'!$Â$899)</f>
      </c>
      <c r="EA899">
        <f>IF(ISBLANK('Data Entry'!$Ã$899), "", 'Data Entry'!$Ã$899)</f>
      </c>
      <c r="EB899">
        <f>IF(ISBLANK('Data Entry'!$Ä$899), "", 'Data Entry'!$Ä$899)</f>
      </c>
      <c r="EC899">
        <f>IF(ISBLANK('Data Entry'!$Å$899), "", 'Data Entry'!$Å$899)</f>
      </c>
      <c r="ED899">
        <f>IF(ISBLANK('Data Entry'!$Æ$899), "", 'Data Entry'!$Æ$899)</f>
      </c>
      <c r="EE899">
        <f>IF(ISBLANK('Data Entry'!$Ç$899), "", 'Data Entry'!$Ç$899)</f>
      </c>
      <c r="EF899">
        <f>IF(ISBLANK('Data Entry'!$È$899), "", 'Data Entry'!$È$899)</f>
      </c>
      <c r="EG899">
        <f>IF(ISBLANK('Data Entry'!$É$899), "", 'Data Entry'!$É$899)</f>
      </c>
      <c r="EH899">
        <f>IF(ISBLANK('Data Entry'!$Ê$899), "", 'Data Entry'!$Ê$899)</f>
      </c>
      <c r="EI899">
        <f>IF(ISBLANK('Data Entry'!$Ë$899), "", 'Data Entry'!$Ë$899)</f>
      </c>
      <c r="EJ899">
        <f>IF(ISBLANK('Data Entry'!$Ì$899), "", 'Data Entry'!$Ì$899)</f>
      </c>
      <c r="EK899">
        <f>IF(ISBLANK('Data Entry'!$Í$899), "", 'Data Entry'!$Í$899)</f>
      </c>
      <c r="EL899">
        <f>IF(ISBLANK('Data Entry'!$Î$899), "", 'Data Entry'!$Î$899)</f>
      </c>
      <c r="EM899">
        <f>IF(ISBLANK('Data Entry'!$Ï$899), "", 'Data Entry'!$Ï$899)</f>
      </c>
      <c r="EN899">
        <f>IF(ISBLANK('Data Entry'!$Ð$899), "", 'Data Entry'!$Ð$899)</f>
      </c>
      <c r="EO899">
        <f>IF(ISBLANK('Data Entry'!$Ñ$899), "", 'Data Entry'!$Ñ$899)</f>
      </c>
      <c r="EP899">
        <f>IF(ISBLANK('Data Entry'!$Ò$899), "", 'Data Entry'!$Ò$899)</f>
      </c>
      <c r="EQ899">
        <f>IF(ISBLANK('Data Entry'!$Ó$899), "", 'Data Entry'!$Ó$899)</f>
      </c>
      <c r="ER899">
        <f>IF(ISBLANK('Data Entry'!$Ô$899), "", 'Data Entry'!$Ô$899)</f>
      </c>
      <c r="ES899">
        <f>IF(ISBLANK('Data Entry'!$Õ$899), "", 'Data Entry'!$Õ$899)</f>
      </c>
      <c r="ET899">
        <f>IF(ISBLANK('Data Entry'!$Ö$899), "", 'Data Entry'!$Ö$899)</f>
      </c>
      <c r="EU899">
        <f>IF(ISBLANK('Data Entry'!$×$899), "", 'Data Entry'!$×$899)</f>
      </c>
      <c r="EV899">
        <f>IF(ISBLANK('Data Entry'!$Ø$899), "", 'Data Entry'!$Ø$899)</f>
      </c>
      <c r="EW899">
        <f>IF(ISBLANK('Data Entry'!$Ù$899), "", 'Data Entry'!$Ù$899)</f>
      </c>
      <c r="EX899">
        <f>IF(ISBLANK('Data Entry'!$Ú$899), "", 'Data Entry'!$Ú$899)</f>
      </c>
      <c r="EY899">
        <f>IF(ISBLANK('Data Entry'!$Û$899), "", 'Data Entry'!$Û$899)</f>
      </c>
      <c r="EZ899">
        <f>IF(ISBLANK('Data Entry'!$Ü$899), "", 'Data Entry'!$Ü$899)</f>
      </c>
      <c r="FA899">
        <f>IF(ISBLANK('Data Entry'!$Ý$899), "", 'Data Entry'!$Ý$899)</f>
      </c>
      <c r="FB899">
        <f>IF(ISBLANK('Data Entry'!$Þ$899), "", 'Data Entry'!$Þ$899)</f>
      </c>
      <c r="FC899">
        <f>IF(ISBLANK('Data Entry'!$ß$899), "", 'Data Entry'!$ß$899)</f>
      </c>
      <c r="FD899">
        <f>IF(ISBLANK('Data Entry'!$à$899), "", 'Data Entry'!$à$899)</f>
      </c>
      <c r="FE899">
        <f>IF(ISBLANK('Data Entry'!$á$899), "", 'Data Entry'!$á$899)</f>
      </c>
      <c r="FF899">
        <f>IF(ISBLANK('Data Entry'!$â$899), "", 'Data Entry'!$â$899)</f>
      </c>
      <c r="FG899">
        <f>IF(ISBLANK('Data Entry'!$ã$899), "", 'Data Entry'!$ã$899)</f>
      </c>
      <c r="FH899">
        <f>IF(ISBLANK('Data Entry'!$ä$899), "", 'Data Entry'!$ä$899)</f>
      </c>
      <c r="FI899">
        <f>IF(ISBLANK('Data Entry'!$å$899), "", 'Data Entry'!$å$899)</f>
      </c>
      <c r="FJ899">
        <f>IF(ISBLANK('Data Entry'!$æ$899), "", 'Data Entry'!$æ$899)</f>
      </c>
      <c r="FK899">
        <f>IF(ISBLANK('Data Entry'!$ç$899), "", 'Data Entry'!$ç$899)</f>
      </c>
      <c r="FL899">
        <f>IF(ISBLANK('Data Entry'!$è$899), "", 'Data Entry'!$è$899)</f>
      </c>
      <c r="FM899">
        <f>IF(ISBLANK('Data Entry'!$é$899), "", 'Data Entry'!$é$899)</f>
      </c>
      <c r="FN899">
        <f>IF(ISBLANK('Data Entry'!$ê$899), "", 'Data Entry'!$ê$899)</f>
      </c>
      <c r="FO899">
        <f>IF(ISBLANK('Data Entry'!$ë$899), "", 'Data Entry'!$ë$899)</f>
      </c>
      <c r="FP899">
        <f>IF(ISBLANK('Data Entry'!$ì$899), "", 'Data Entry'!$ì$899)</f>
      </c>
      <c r="FQ899">
        <f>IF(ISBLANK('Data Entry'!$í$899), "", 'Data Entry'!$í$899)</f>
      </c>
      <c r="FR899">
        <f>IF(ISBLANK('Data Entry'!$î$899), "", 'Data Entry'!$î$899)</f>
      </c>
      <c r="FS899">
        <f>IF(ISBLANK('Data Entry'!$ï$899), "", 'Data Entry'!$ï$899)</f>
      </c>
      <c r="FT899">
        <f>IF(ISBLANK('Data Entry'!$ð$899), "", 'Data Entry'!$ð$899)</f>
      </c>
      <c r="FU899">
        <f>IF(ISBLANK('Data Entry'!$ñ$899), "", 'Data Entry'!$ñ$899)</f>
      </c>
      <c r="FV899">
        <f>IF(ISBLANK('Data Entry'!$ò$899), "", 'Data Entry'!$ò$899)</f>
      </c>
      <c r="FW899">
        <f>IF(ISBLANK('Data Entry'!$ó$899), "", 'Data Entry'!$ó$899)</f>
      </c>
      <c r="FX899">
        <f>IF(ISBLANK('Data Entry'!$ô$899), "", 'Data Entry'!$ô$899)</f>
      </c>
      <c r="FY899">
        <f>IF(ISBLANK('Data Entry'!$õ$899), "", 'Data Entry'!$õ$899)</f>
      </c>
      <c r="FZ899">
        <f>IF(ISBLANK('Data Entry'!$ö$899), "", 'Data Entry'!$ö$899)</f>
      </c>
      <c r="GA899">
        <f>IF(ISBLANK('Data Entry'!$÷$899), "", 'Data Entry'!$÷$899)</f>
      </c>
      <c r="GB899">
        <f>IF(ISBLANK('Data Entry'!$ø$899), "", 'Data Entry'!$ø$899)</f>
      </c>
      <c r="GC899">
        <f>IF(ISBLANK('Data Entry'!$ù$899), "", 'Data Entry'!$ù$899)</f>
      </c>
      <c r="GD899">
        <f>IF(ISBLANK('Data Entry'!$ú$899), "", 'Data Entry'!$ú$899)</f>
      </c>
      <c r="GE899">
        <f>IF(ISBLANK('Data Entry'!$û$899), "", 'Data Entry'!$û$899)</f>
      </c>
      <c r="GF899">
        <f>IF(ISBLANK('Data Entry'!$ü$899), "", 'Data Entry'!$ü$899)</f>
      </c>
      <c r="GG899">
        <f>IF(ISBLANK('Data Entry'!$ý$899), "", 'Data Entry'!$ý$899)</f>
      </c>
      <c r="GH899">
        <f>IF(ISBLANK('Data Entry'!$þ$899), "", 'Data Entry'!$þ$899)</f>
      </c>
      <c r="GI899">
        <f>IF(ISBLANK('Data Entry'!$ÿ$899), "", 'Data Entry'!$ÿ$899)</f>
      </c>
      <c r="GJ899">
        <f>IF(ISBLANK('Data Entry'!$Ā$899), "", 'Data Entry'!$Ā$899)</f>
      </c>
      <c r="GK899">
        <f>IF(ISBLANK('Data Entry'!$ā$899), "", 'Data Entry'!$ā$899)</f>
      </c>
      <c r="GL899">
        <f>IF(ISBLANK('Data Entry'!$Ă$899), "", 'Data Entry'!$Ă$899)</f>
      </c>
      <c r="GM899">
        <f>IF(ISBLANK('Data Entry'!$ă$899), "", 'Data Entry'!$ă$899)</f>
      </c>
      <c r="GN899">
        <f>IF(ISBLANK('Data Entry'!$Ą$899), "", 'Data Entry'!$Ą$899)</f>
      </c>
      <c r="GO899">
        <f>IF(ISBLANK('Data Entry'!$ą$899), "", 'Data Entry'!$ą$899)</f>
      </c>
      <c r="GP899">
        <f>IF(ISBLANK('Data Entry'!$Ć$899), "", 'Data Entry'!$Ć$899)</f>
      </c>
      <c r="GQ899">
        <f>IF(ISBLANK('Data Entry'!$ć$899), "", 'Data Entry'!$ć$899)</f>
      </c>
      <c r="GR899">
        <f>IF(ISBLANK('Data Entry'!$Ĉ$899), "", 'Data Entry'!$Ĉ$899)</f>
      </c>
      <c r="GS899">
        <f>IF(ISBLANK('Data Entry'!$ĉ$899), "", 'Data Entry'!$ĉ$899)</f>
      </c>
      <c r="GT899">
        <f>IF(ISBLANK('Data Entry'!$Ċ$899), "", 'Data Entry'!$Ċ$899)</f>
      </c>
      <c r="GU899">
        <f>IF(ISBLANK('Data Entry'!$ċ$899), "", 'Data Entry'!$ċ$899)</f>
      </c>
      <c r="GV899">
        <f>IF(ISBLANK('Data Entry'!$Č$899), "", 'Data Entry'!$Č$899)</f>
      </c>
      <c r="GW899">
        <f>IF(ISBLANK('Data Entry'!$č$899), "", 'Data Entry'!$č$899)</f>
      </c>
      <c r="GX899">
        <f>IF(ISBLANK('Data Entry'!$Ď$899), "", 'Data Entry'!$Ď$899)</f>
      </c>
      <c r="GY899">
        <f>IF(ISBLANK('Data Entry'!$ď$899), "", 'Data Entry'!$ď$899)</f>
      </c>
      <c r="GZ899">
        <f>IF(ISBLANK('Data Entry'!$Đ$899), "", 'Data Entry'!$Đ$899)</f>
      </c>
      <c r="HA899">
        <f>IF(ISBLANK('Data Entry'!$đ$899), "", 'Data Entry'!$đ$899)</f>
      </c>
      <c r="HB899">
        <f>IF(ISBLANK('Data Entry'!$Ē$899), "", 'Data Entry'!$Ē$899)</f>
      </c>
      <c r="HC899">
        <f>IF(ISBLANK('Data Entry'!$ē$899), "", 'Data Entry'!$ē$899)</f>
      </c>
      <c r="HD899">
        <f>IF(ISBLANK('Data Entry'!$Ĕ$899), "", 'Data Entry'!$Ĕ$899)</f>
      </c>
      <c r="HE899">
        <f>IF(ISBLANK('Data Entry'!$ĕ$899), "", 'Data Entry'!$ĕ$899)</f>
      </c>
      <c r="HF899">
        <f>IF(ISBLANK('Data Entry'!$Ė$899), "", 'Data Entry'!$Ė$899)</f>
      </c>
      <c r="HG899">
        <f>IF(ISBLANK('Data Entry'!$ė$899), "", 'Data Entry'!$ė$899)</f>
      </c>
      <c r="HH899">
        <f>IF(ISBLANK('Data Entry'!$Ę$899), "", 'Data Entry'!$Ę$899)</f>
      </c>
      <c r="HI899">
        <f>IF(ISBLANK('Data Entry'!$ę$899), "", 'Data Entry'!$ę$899)</f>
      </c>
      <c r="HJ899">
        <f>IF(ISBLANK('Data Entry'!$Ě$899), "", 'Data Entry'!$Ě$899)</f>
      </c>
      <c r="HK899">
        <f>IF(ISBLANK('Data Entry'!$ě$899), "", 'Data Entry'!$ě$899)</f>
      </c>
      <c r="HL899">
        <f>IF(ISBLANK('Data Entry'!$Ĝ$899), "", 'Data Entry'!$Ĝ$899)</f>
      </c>
      <c r="HM899">
        <f>IF(ISBLANK('Data Entry'!$ĝ$899), "", 'Data Entry'!$ĝ$899)</f>
      </c>
      <c r="HN899">
        <f>IF(ISBLANK('Data Entry'!$Ğ$899), "", 'Data Entry'!$Ğ$899)</f>
      </c>
      <c r="HO899">
        <f>IF(ISBLANK('Data Entry'!$ğ$899), "", 'Data Entry'!$ğ$899)</f>
      </c>
      <c r="HP899">
        <f>IF(ISBLANK('Data Entry'!$Ġ$899), "", 'Data Entry'!$Ġ$899)</f>
      </c>
      <c r="HQ899">
        <f>IF(ISBLANK('Data Entry'!$ġ$899), "", 'Data Entry'!$ġ$899)</f>
      </c>
      <c r="HR899">
        <f>IF(ISBLANK('Data Entry'!$Ģ$899), "", 'Data Entry'!$Ģ$899)</f>
      </c>
      <c r="HS899">
        <f>IF(ISBLANK('Data Entry'!$ģ$899), "", 'Data Entry'!$ģ$899)</f>
      </c>
      <c r="HT899">
        <f>IF(ISBLANK('Data Entry'!$Ĥ$899), "", 'Data Entry'!$Ĥ$899)</f>
      </c>
      <c r="HU899">
        <f>IF(ISBLANK('Data Entry'!$ĥ$899), "", 'Data Entry'!$ĥ$899)</f>
      </c>
      <c r="HV899">
        <f>IF(ISBLANK('Data Entry'!$Ħ$899), "", 'Data Entry'!$Ħ$899)</f>
      </c>
      <c r="HW899">
        <f>IF(ISBLANK('Data Entry'!$ħ$899), "", 'Data Entry'!$ħ$899)</f>
      </c>
      <c r="HX899">
        <f>IF(ISBLANK('Data Entry'!$Ĩ$899), "", 'Data Entry'!$Ĩ$899)</f>
      </c>
      <c r="HY899">
        <f>IF(ISBLANK('Data Entry'!$ĩ$899), "", 'Data Entry'!$ĩ$899)</f>
      </c>
      <c r="HZ899">
        <f>IF(ISBLANK('Data Entry'!$Ī$899), "", 'Data Entry'!$Ī$899)</f>
      </c>
      <c r="IA899">
        <f>IF(ISBLANK('Data Entry'!$ī$899), "", 'Data Entry'!$ī$899)</f>
      </c>
      <c r="IB899">
        <f>IF(ISBLANK('Data Entry'!$Ĭ$899), "", 'Data Entry'!$Ĭ$899)</f>
      </c>
      <c r="IC899">
        <f>IF(ISBLANK('Data Entry'!$ĭ$899), "", 'Data Entry'!$ĭ$899)</f>
      </c>
      <c r="ID899">
        <f>IF(ISBLANK('Data Entry'!$Į$899), "", 'Data Entry'!$Į$899)</f>
      </c>
      <c r="IE899">
        <f>IF(ISBLANK('Data Entry'!$į$899), "", 'Data Entry'!$į$899)</f>
      </c>
      <c r="IF899">
        <f>IF(ISBLANK('Data Entry'!$İ$899), "", 'Data Entry'!$İ$899)</f>
      </c>
      <c r="IG899">
        <f>IF(ISBLANK('Data Entry'!$ı$899), "", 'Data Entry'!$ı$899)</f>
      </c>
      <c r="IH899">
        <f>IF(ISBLANK('Data Entry'!$Ĳ$899), "", 'Data Entry'!$Ĳ$899)</f>
      </c>
      <c r="II899">
        <f>IF(ISBLANK('Data Entry'!$ĳ$899), "", 'Data Entry'!$ĳ$899)</f>
      </c>
      <c r="IJ899">
        <f>IF(ISBLANK('Data Entry'!$Ĵ$899), "", 'Data Entry'!$Ĵ$899)</f>
      </c>
      <c r="IK899">
        <f>IF(ISBLANK('Data Entry'!$ĵ$899), "", 'Data Entry'!$ĵ$899)</f>
      </c>
      <c r="IL899">
        <f>IF(ISBLANK('Data Entry'!$Ķ$899), "", 'Data Entry'!$Ķ$899)</f>
      </c>
      <c r="IM899">
        <f>IF(ISBLANK('Data Entry'!$ķ$899), "", 'Data Entry'!$ķ$899)</f>
      </c>
      <c r="IN899">
        <f>IF(ISBLANK('Data Entry'!$ĸ$899), "", 'Data Entry'!$ĸ$899)</f>
      </c>
      <c r="IO899">
        <f>IF(ISBLANK('Data Entry'!$Ĺ$899), "", 'Data Entry'!$Ĺ$899)</f>
      </c>
      <c r="IP899">
        <f>IF(ISBLANK('Data Entry'!$ĺ$899), "", 'Data Entry'!$ĺ$899)</f>
      </c>
      <c r="IQ899">
        <f>IF(ISBLANK('Data Entry'!$Ļ$899), "", 'Data Entry'!$Ļ$899)</f>
      </c>
      <c r="IR899">
        <f>IF(ISBLANK('Data Entry'!$ļ$899), "", 'Data Entry'!$ļ$899)</f>
      </c>
      <c r="IS899">
        <f>IF(ISBLANK('Data Entry'!$Ľ$899), "", 'Data Entry'!$Ľ$899)</f>
      </c>
      <c r="IT899">
        <f>IF(ISBLANK('Data Entry'!$ľ$899), "", 'Data Entry'!$ľ$899)</f>
      </c>
    </row>
    <row r="900" spans="1:254" x14ac:dyDescent="0.25">
      <c r="A900">
        <f>IF(ISBLANK('Data Entry'!$A$900), "", 'Data Entry'!$A$900)</f>
      </c>
      <c r="B900">
        <f>IF(ISBLANK('Data Entry'!$B$900), "", 'Data Entry'!$B$900)</f>
      </c>
      <c r="C900">
        <f>IF(ISBLANK('Data Entry'!$C$900), "", 'Data Entry'!$C$900)</f>
      </c>
      <c r="D900">
        <f>IF(ISBLANK('Data Entry'!$D$900), "", 'Data Entry'!$D$900)</f>
      </c>
      <c r="E900">
        <f>IF(ISBLANK('Data Entry'!$E$900), "", 'Data Entry'!$E$900)</f>
      </c>
      <c r="F900">
        <f>IF(ISBLANK('Data Entry'!$F$900), "", 'Data Entry'!$F$900)</f>
      </c>
      <c r="G900">
        <f>IF(ISBLANK('Data Entry'!$G$900), "", 'Data Entry'!$G$900)</f>
      </c>
      <c r="H900">
        <f>IF(ISBLANK('Data Entry'!$H$900), "", 'Data Entry'!$H$900)</f>
      </c>
      <c r="I900">
        <f>IF(ISBLANK('Data Entry'!$I$900), "", 'Data Entry'!$I$900)</f>
      </c>
      <c r="J900">
        <f>IF(ISBLANK('Data Entry'!$J$900), "", 'Data Entry'!$J$900)</f>
      </c>
      <c r="K900">
        <f>IF(ISBLANK('Data Entry'!$K$900), "", 'Data Entry'!$K$900)</f>
      </c>
      <c r="L900">
        <f>IF(ISBLANK('Data Entry'!$L$900), "", 'Data Entry'!$L$900)</f>
      </c>
      <c r="M900">
        <f>IF(ISBLANK('Data Entry'!$M$900), "", 'Data Entry'!$M$900)</f>
      </c>
      <c r="N900">
        <f>IF(ISBLANK('Data Entry'!$N$900), "", 'Data Entry'!$N$900)</f>
      </c>
      <c r="O900">
        <f>IF(ISBLANK('Data Entry'!$O$900), "", 'Data Entry'!$O$900)</f>
      </c>
      <c r="P900">
        <f>IF(ISBLANK('Data Entry'!$P$900), "", 'Data Entry'!$P$900)</f>
      </c>
      <c r="Q900">
        <f>IF(ISBLANK('Data Entry'!$Q$900), "", 'Data Entry'!$Q$900)</f>
      </c>
      <c r="R900">
        <f>IF(ISBLANK('Data Entry'!$R$900), "", 'Data Entry'!$R$900)</f>
      </c>
      <c r="S900">
        <f>IF(ISBLANK('Data Entry'!$S$900), "", 'Data Entry'!$S$900)</f>
      </c>
      <c r="T900">
        <f>IF(ISBLANK('Data Entry'!$T$900), "", 'Data Entry'!$T$900)</f>
      </c>
      <c r="U900">
        <f>IF(ISBLANK('Data Entry'!$U$900), "", 'Data Entry'!$U$900)</f>
      </c>
      <c r="V900">
        <f>IF(ISBLANK('Data Entry'!$V$900), "", 'Data Entry'!$V$900)</f>
      </c>
      <c r="W900">
        <f>IF(ISBLANK('Data Entry'!$W$900), "", 'Data Entry'!$W$900)</f>
      </c>
      <c r="X900">
        <f>IF(ISBLANK('Data Entry'!$X$900), "", 'Data Entry'!$X$900)</f>
      </c>
      <c r="Y900">
        <f>IF(ISBLANK('Data Entry'!$Y$900), "", 'Data Entry'!$Y$900)</f>
      </c>
      <c r="Z900">
        <f>IF(ISBLANK('Data Entry'!$Z$900), "", 'Data Entry'!$Z$900)</f>
      </c>
      <c r="AA900">
        <f>IF(ISBLANK('Data Entry'!$[$900), "", 'Data Entry'!$[$900)</f>
      </c>
      <c r="AB900">
        <f>IF(ISBLANK('Data Entry'!$\$900), "", 'Data Entry'!$\$900)</f>
      </c>
      <c r="AC900">
        <f>IF(ISBLANK('Data Entry'!$]$900), "", 'Data Entry'!$]$900)</f>
      </c>
      <c r="AD900">
        <f>IF(ISBLANK('Data Entry'!$^$900), "", 'Data Entry'!$^$900)</f>
      </c>
      <c r="AE900">
        <f>IF(ISBLANK('Data Entry'!$_$900), "", 'Data Entry'!$_$900)</f>
      </c>
      <c r="AF900">
        <f>IF(ISBLANK('Data Entry'!$`$900), "", 'Data Entry'!$`$900)</f>
      </c>
      <c r="AG900">
        <f>IF(ISBLANK('Data Entry'!$a$900), "", 'Data Entry'!$a$900)</f>
      </c>
      <c r="AH900">
        <f>IF(ISBLANK('Data Entry'!$b$900), "", 'Data Entry'!$b$900)</f>
      </c>
      <c r="AI900">
        <f>IF(ISBLANK('Data Entry'!$c$900), "", 'Data Entry'!$c$900)</f>
      </c>
      <c r="AJ900">
        <f>IF(ISBLANK('Data Entry'!$d$900), "", 'Data Entry'!$d$900)</f>
      </c>
      <c r="AK900">
        <f>IF(ISBLANK('Data Entry'!$e$900), "", 'Data Entry'!$e$900)</f>
      </c>
      <c r="AL900">
        <f>IF(ISBLANK('Data Entry'!$f$900), "", 'Data Entry'!$f$900)</f>
      </c>
      <c r="AM900">
        <f>IF(ISBLANK('Data Entry'!$g$900), "", 'Data Entry'!$g$900)</f>
      </c>
      <c r="AN900">
        <f>IF(ISBLANK('Data Entry'!$h$900), "", 'Data Entry'!$h$900)</f>
      </c>
      <c r="AO900">
        <f>IF(ISBLANK('Data Entry'!$i$900), "", 'Data Entry'!$i$900)</f>
      </c>
      <c r="AP900">
        <f>IF(ISBLANK('Data Entry'!$j$900), "", 'Data Entry'!$j$900)</f>
      </c>
      <c r="AQ900">
        <f>IF(ISBLANK('Data Entry'!$k$900), "", 'Data Entry'!$k$900)</f>
      </c>
      <c r="AR900">
        <f>IF(ISBLANK('Data Entry'!$l$900), "", 'Data Entry'!$l$900)</f>
      </c>
      <c r="AS900">
        <f>IF(ISBLANK('Data Entry'!$m$900), "", 'Data Entry'!$m$900)</f>
      </c>
      <c r="AT900">
        <f>IF(ISBLANK('Data Entry'!$n$900), "", 'Data Entry'!$n$900)</f>
      </c>
      <c r="AU900">
        <f>IF(ISBLANK('Data Entry'!$o$900), "", 'Data Entry'!$o$900)</f>
      </c>
      <c r="AV900">
        <f>IF(ISBLANK('Data Entry'!$p$900), "", 'Data Entry'!$p$900)</f>
      </c>
      <c r="AW900">
        <f>IF(ISBLANK('Data Entry'!$q$900), "", 'Data Entry'!$q$900)</f>
      </c>
      <c r="AX900">
        <f>IF(ISBLANK('Data Entry'!$r$900), "", 'Data Entry'!$r$900)</f>
      </c>
      <c r="AY900">
        <f>IF(ISBLANK('Data Entry'!$s$900), "", 'Data Entry'!$s$900)</f>
      </c>
      <c r="AZ900">
        <f>IF(ISBLANK('Data Entry'!$t$900), "", 'Data Entry'!$t$900)</f>
      </c>
      <c r="BA900">
        <f>IF(ISBLANK('Data Entry'!$u$900), "", 'Data Entry'!$u$900)</f>
      </c>
      <c r="BB900">
        <f>IF(ISBLANK('Data Entry'!$v$900), "", 'Data Entry'!$v$900)</f>
      </c>
      <c r="BC900">
        <f>IF(ISBLANK('Data Entry'!$w$900), "", 'Data Entry'!$w$900)</f>
      </c>
      <c r="BD900">
        <f>IF(ISBLANK('Data Entry'!$x$900), "", 'Data Entry'!$x$900)</f>
      </c>
      <c r="BE900">
        <f>IF(ISBLANK('Data Entry'!$y$900), "", 'Data Entry'!$y$900)</f>
      </c>
      <c r="BF900">
        <f>IF(ISBLANK('Data Entry'!$z$900), "", 'Data Entry'!$z$900)</f>
      </c>
      <c r="BG900">
        <f>IF(ISBLANK('Data Entry'!${$900), "", 'Data Entry'!${$900)</f>
      </c>
      <c r="BH900">
        <f>IF(ISBLANK('Data Entry'!$|$900), "", 'Data Entry'!$|$900)</f>
      </c>
      <c r="BI900">
        <f>IF(ISBLANK('Data Entry'!$}$900), "", 'Data Entry'!$}$900)</f>
      </c>
      <c r="BJ900">
        <f>IF(ISBLANK('Data Entry'!$~$900), "", 'Data Entry'!$~$900)</f>
      </c>
      <c r="BK900">
        <f>IF(ISBLANK('Data Entry'!$$900), "", 'Data Entry'!$$900)</f>
      </c>
      <c r="BL900">
        <f>IF(ISBLANK('Data Entry'!$$900), "", 'Data Entry'!$$900)</f>
      </c>
      <c r="BM900">
        <f>IF(ISBLANK('Data Entry'!$$900), "", 'Data Entry'!$$900)</f>
      </c>
      <c r="BN900">
        <f>IF(ISBLANK('Data Entry'!$$900), "", 'Data Entry'!$$900)</f>
      </c>
      <c r="BO900">
        <f>IF(ISBLANK('Data Entry'!$$900), "", 'Data Entry'!$$900)</f>
      </c>
      <c r="BP900">
        <f>IF(ISBLANK('Data Entry'!$$900), "", 'Data Entry'!$$900)</f>
      </c>
      <c r="BQ900">
        <f>IF(ISBLANK('Data Entry'!$$900), "", 'Data Entry'!$$900)</f>
      </c>
      <c r="BR900">
        <f>IF(ISBLANK('Data Entry'!$$900), "", 'Data Entry'!$$900)</f>
      </c>
      <c r="BS900">
        <f>IF(ISBLANK('Data Entry'!$$900), "", 'Data Entry'!$$900)</f>
      </c>
      <c r="BT900">
        <f>IF(ISBLANK('Data Entry'!$$900), "", 'Data Entry'!$$900)</f>
      </c>
      <c r="BU900">
        <f>IF(ISBLANK('Data Entry'!$$900), "", 'Data Entry'!$$900)</f>
      </c>
      <c r="BV900">
        <f>IF(ISBLANK('Data Entry'!$$900), "", 'Data Entry'!$$900)</f>
      </c>
      <c r="BW900">
        <f>IF(ISBLANK('Data Entry'!$$900), "", 'Data Entry'!$$900)</f>
      </c>
      <c r="BX900">
        <f>IF(ISBLANK('Data Entry'!$$900), "", 'Data Entry'!$$900)</f>
      </c>
      <c r="BY900">
        <f>IF(ISBLANK('Data Entry'!$$900), "", 'Data Entry'!$$900)</f>
      </c>
      <c r="BZ900">
        <f>IF(ISBLANK('Data Entry'!$$900), "", 'Data Entry'!$$900)</f>
      </c>
      <c r="CA900">
        <f>IF(ISBLANK('Data Entry'!$$900), "", 'Data Entry'!$$900)</f>
      </c>
      <c r="CB900">
        <f>IF(ISBLANK('Data Entry'!$$900), "", 'Data Entry'!$$900)</f>
      </c>
      <c r="CC900">
        <f>IF(ISBLANK('Data Entry'!$$900), "", 'Data Entry'!$$900)</f>
      </c>
      <c r="CD900">
        <f>IF(ISBLANK('Data Entry'!$$900), "", 'Data Entry'!$$900)</f>
      </c>
      <c r="CE900">
        <f>IF(ISBLANK('Data Entry'!$$900), "", 'Data Entry'!$$900)</f>
      </c>
      <c r="CF900">
        <f>IF(ISBLANK('Data Entry'!$$900), "", 'Data Entry'!$$900)</f>
      </c>
      <c r="CG900">
        <f>IF(ISBLANK('Data Entry'!$$900), "", 'Data Entry'!$$900)</f>
      </c>
      <c r="CH900">
        <f>IF(ISBLANK('Data Entry'!$$900), "", 'Data Entry'!$$900)</f>
      </c>
      <c r="CI900">
        <f>IF(ISBLANK('Data Entry'!$$900), "", 'Data Entry'!$$900)</f>
      </c>
      <c r="CJ900">
        <f>IF(ISBLANK('Data Entry'!$$900), "", 'Data Entry'!$$900)</f>
      </c>
      <c r="CK900">
        <f>IF(ISBLANK('Data Entry'!$$900), "", 'Data Entry'!$$900)</f>
      </c>
      <c r="CL900">
        <f>IF(ISBLANK('Data Entry'!$$900), "", 'Data Entry'!$$900)</f>
      </c>
      <c r="CM900">
        <f>IF(ISBLANK('Data Entry'!$$900), "", 'Data Entry'!$$900)</f>
      </c>
      <c r="CN900">
        <f>IF(ISBLANK('Data Entry'!$$900), "", 'Data Entry'!$$900)</f>
      </c>
      <c r="CO900">
        <f>IF(ISBLANK('Data Entry'!$$900), "", 'Data Entry'!$$900)</f>
      </c>
      <c r="CP900">
        <f>IF(ISBLANK('Data Entry'!$$900), "", 'Data Entry'!$$900)</f>
      </c>
      <c r="CQ900">
        <f>IF(ISBLANK('Data Entry'!$$900), "", 'Data Entry'!$$900)</f>
      </c>
      <c r="CR900">
        <f>IF(ISBLANK('Data Entry'!$ $900), "", 'Data Entry'!$ $900)</f>
      </c>
      <c r="CS900">
        <f>IF(ISBLANK('Data Entry'!$¡$900), "", 'Data Entry'!$¡$900)</f>
      </c>
      <c r="CT900">
        <f>IF(ISBLANK('Data Entry'!$¢$900), "", 'Data Entry'!$¢$900)</f>
      </c>
      <c r="CU900">
        <f>IF(ISBLANK('Data Entry'!$£$900), "", 'Data Entry'!$£$900)</f>
      </c>
      <c r="CV900">
        <f>IF(ISBLANK('Data Entry'!$¤$900), "", 'Data Entry'!$¤$900)</f>
      </c>
      <c r="CW900">
        <f>IF(ISBLANK('Data Entry'!$¥$900), "", 'Data Entry'!$¥$900)</f>
      </c>
      <c r="CX900">
        <f>IF(ISBLANK('Data Entry'!$¦$900), "", 'Data Entry'!$¦$900)</f>
      </c>
      <c r="CY900">
        <f>IF(ISBLANK('Data Entry'!$§$900), "", 'Data Entry'!$§$900)</f>
      </c>
      <c r="CZ900">
        <f>IF(ISBLANK('Data Entry'!$¨$900), "", 'Data Entry'!$¨$900)</f>
      </c>
      <c r="DA900">
        <f>IF(ISBLANK('Data Entry'!$©$900), "", 'Data Entry'!$©$900)</f>
      </c>
      <c r="DB900">
        <f>IF(ISBLANK('Data Entry'!$ª$900), "", 'Data Entry'!$ª$900)</f>
      </c>
      <c r="DC900">
        <f>IF(ISBLANK('Data Entry'!$«$900), "", 'Data Entry'!$«$900)</f>
      </c>
      <c r="DD900">
        <f>IF(ISBLANK('Data Entry'!$¬$900), "", 'Data Entry'!$¬$900)</f>
      </c>
      <c r="DE900">
        <f>IF(ISBLANK('Data Entry'!$­$900), "", 'Data Entry'!$­$900)</f>
      </c>
      <c r="DF900">
        <f>IF(ISBLANK('Data Entry'!$®$900), "", 'Data Entry'!$®$900)</f>
      </c>
      <c r="DG900">
        <f>IF(ISBLANK('Data Entry'!$¯$900), "", 'Data Entry'!$¯$900)</f>
      </c>
      <c r="DH900">
        <f>IF(ISBLANK('Data Entry'!$°$900), "", 'Data Entry'!$°$900)</f>
      </c>
      <c r="DI900">
        <f>IF(ISBLANK('Data Entry'!$±$900), "", 'Data Entry'!$±$900)</f>
      </c>
      <c r="DJ900">
        <f>IF(ISBLANK('Data Entry'!$²$900), "", 'Data Entry'!$²$900)</f>
      </c>
      <c r="DK900">
        <f>IF(ISBLANK('Data Entry'!$³$900), "", 'Data Entry'!$³$900)</f>
      </c>
      <c r="DL900">
        <f>IF(ISBLANK('Data Entry'!$´$900), "", 'Data Entry'!$´$900)</f>
      </c>
      <c r="DM900">
        <f>IF(ISBLANK('Data Entry'!$µ$900), "", 'Data Entry'!$µ$900)</f>
      </c>
      <c r="DN900">
        <f>IF(ISBLANK('Data Entry'!$¶$900), "", 'Data Entry'!$¶$900)</f>
      </c>
      <c r="DO900">
        <f>IF(ISBLANK('Data Entry'!$·$900), "", 'Data Entry'!$·$900)</f>
      </c>
      <c r="DP900">
        <f>IF(ISBLANK('Data Entry'!$¸$900), "", 'Data Entry'!$¸$900)</f>
      </c>
      <c r="DQ900">
        <f>IF(ISBLANK('Data Entry'!$¹$900), "", 'Data Entry'!$¹$900)</f>
      </c>
      <c r="DR900">
        <f>IF(ISBLANK('Data Entry'!$º$900), "", 'Data Entry'!$º$900)</f>
      </c>
      <c r="DS900">
        <f>IF(ISBLANK('Data Entry'!$»$900), "", 'Data Entry'!$»$900)</f>
      </c>
      <c r="DT900">
        <f>IF(ISBLANK('Data Entry'!$¼$900), "", 'Data Entry'!$¼$900)</f>
      </c>
      <c r="DU900">
        <f>IF(ISBLANK('Data Entry'!$½$900), "", 'Data Entry'!$½$900)</f>
      </c>
      <c r="DV900">
        <f>IF(ISBLANK('Data Entry'!$¾$900), "", 'Data Entry'!$¾$900)</f>
      </c>
      <c r="DW900">
        <f>IF(ISBLANK('Data Entry'!$¿$900), "", 'Data Entry'!$¿$900)</f>
      </c>
      <c r="DX900">
        <f>IF(ISBLANK('Data Entry'!$À$900), "", 'Data Entry'!$À$900)</f>
      </c>
      <c r="DY900">
        <f>IF(ISBLANK('Data Entry'!$Á$900), "", 'Data Entry'!$Á$900)</f>
      </c>
      <c r="DZ900">
        <f>IF(ISBLANK('Data Entry'!$Â$900), "", 'Data Entry'!$Â$900)</f>
      </c>
      <c r="EA900">
        <f>IF(ISBLANK('Data Entry'!$Ã$900), "", 'Data Entry'!$Ã$900)</f>
      </c>
      <c r="EB900">
        <f>IF(ISBLANK('Data Entry'!$Ä$900), "", 'Data Entry'!$Ä$900)</f>
      </c>
      <c r="EC900">
        <f>IF(ISBLANK('Data Entry'!$Å$900), "", 'Data Entry'!$Å$900)</f>
      </c>
      <c r="ED900">
        <f>IF(ISBLANK('Data Entry'!$Æ$900), "", 'Data Entry'!$Æ$900)</f>
      </c>
      <c r="EE900">
        <f>IF(ISBLANK('Data Entry'!$Ç$900), "", 'Data Entry'!$Ç$900)</f>
      </c>
      <c r="EF900">
        <f>IF(ISBLANK('Data Entry'!$È$900), "", 'Data Entry'!$È$900)</f>
      </c>
      <c r="EG900">
        <f>IF(ISBLANK('Data Entry'!$É$900), "", 'Data Entry'!$É$900)</f>
      </c>
      <c r="EH900">
        <f>IF(ISBLANK('Data Entry'!$Ê$900), "", 'Data Entry'!$Ê$900)</f>
      </c>
      <c r="EI900">
        <f>IF(ISBLANK('Data Entry'!$Ë$900), "", 'Data Entry'!$Ë$900)</f>
      </c>
      <c r="EJ900">
        <f>IF(ISBLANK('Data Entry'!$Ì$900), "", 'Data Entry'!$Ì$900)</f>
      </c>
      <c r="EK900">
        <f>IF(ISBLANK('Data Entry'!$Í$900), "", 'Data Entry'!$Í$900)</f>
      </c>
      <c r="EL900">
        <f>IF(ISBLANK('Data Entry'!$Î$900), "", 'Data Entry'!$Î$900)</f>
      </c>
      <c r="EM900">
        <f>IF(ISBLANK('Data Entry'!$Ï$900), "", 'Data Entry'!$Ï$900)</f>
      </c>
      <c r="EN900">
        <f>IF(ISBLANK('Data Entry'!$Ð$900), "", 'Data Entry'!$Ð$900)</f>
      </c>
      <c r="EO900">
        <f>IF(ISBLANK('Data Entry'!$Ñ$900), "", 'Data Entry'!$Ñ$900)</f>
      </c>
      <c r="EP900">
        <f>IF(ISBLANK('Data Entry'!$Ò$900), "", 'Data Entry'!$Ò$900)</f>
      </c>
      <c r="EQ900">
        <f>IF(ISBLANK('Data Entry'!$Ó$900), "", 'Data Entry'!$Ó$900)</f>
      </c>
      <c r="ER900">
        <f>IF(ISBLANK('Data Entry'!$Ô$900), "", 'Data Entry'!$Ô$900)</f>
      </c>
      <c r="ES900">
        <f>IF(ISBLANK('Data Entry'!$Õ$900), "", 'Data Entry'!$Õ$900)</f>
      </c>
      <c r="ET900">
        <f>IF(ISBLANK('Data Entry'!$Ö$900), "", 'Data Entry'!$Ö$900)</f>
      </c>
      <c r="EU900">
        <f>IF(ISBLANK('Data Entry'!$×$900), "", 'Data Entry'!$×$900)</f>
      </c>
      <c r="EV900">
        <f>IF(ISBLANK('Data Entry'!$Ø$900), "", 'Data Entry'!$Ø$900)</f>
      </c>
      <c r="EW900">
        <f>IF(ISBLANK('Data Entry'!$Ù$900), "", 'Data Entry'!$Ù$900)</f>
      </c>
      <c r="EX900">
        <f>IF(ISBLANK('Data Entry'!$Ú$900), "", 'Data Entry'!$Ú$900)</f>
      </c>
      <c r="EY900">
        <f>IF(ISBLANK('Data Entry'!$Û$900), "", 'Data Entry'!$Û$900)</f>
      </c>
      <c r="EZ900">
        <f>IF(ISBLANK('Data Entry'!$Ü$900), "", 'Data Entry'!$Ü$900)</f>
      </c>
      <c r="FA900">
        <f>IF(ISBLANK('Data Entry'!$Ý$900), "", 'Data Entry'!$Ý$900)</f>
      </c>
      <c r="FB900">
        <f>IF(ISBLANK('Data Entry'!$Þ$900), "", 'Data Entry'!$Þ$900)</f>
      </c>
      <c r="FC900">
        <f>IF(ISBLANK('Data Entry'!$ß$900), "", 'Data Entry'!$ß$900)</f>
      </c>
      <c r="FD900">
        <f>IF(ISBLANK('Data Entry'!$à$900), "", 'Data Entry'!$à$900)</f>
      </c>
      <c r="FE900">
        <f>IF(ISBLANK('Data Entry'!$á$900), "", 'Data Entry'!$á$900)</f>
      </c>
      <c r="FF900">
        <f>IF(ISBLANK('Data Entry'!$â$900), "", 'Data Entry'!$â$900)</f>
      </c>
      <c r="FG900">
        <f>IF(ISBLANK('Data Entry'!$ã$900), "", 'Data Entry'!$ã$900)</f>
      </c>
      <c r="FH900">
        <f>IF(ISBLANK('Data Entry'!$ä$900), "", 'Data Entry'!$ä$900)</f>
      </c>
      <c r="FI900">
        <f>IF(ISBLANK('Data Entry'!$å$900), "", 'Data Entry'!$å$900)</f>
      </c>
      <c r="FJ900">
        <f>IF(ISBLANK('Data Entry'!$æ$900), "", 'Data Entry'!$æ$900)</f>
      </c>
      <c r="FK900">
        <f>IF(ISBLANK('Data Entry'!$ç$900), "", 'Data Entry'!$ç$900)</f>
      </c>
      <c r="FL900">
        <f>IF(ISBLANK('Data Entry'!$è$900), "", 'Data Entry'!$è$900)</f>
      </c>
      <c r="FM900">
        <f>IF(ISBLANK('Data Entry'!$é$900), "", 'Data Entry'!$é$900)</f>
      </c>
      <c r="FN900">
        <f>IF(ISBLANK('Data Entry'!$ê$900), "", 'Data Entry'!$ê$900)</f>
      </c>
      <c r="FO900">
        <f>IF(ISBLANK('Data Entry'!$ë$900), "", 'Data Entry'!$ë$900)</f>
      </c>
      <c r="FP900">
        <f>IF(ISBLANK('Data Entry'!$ì$900), "", 'Data Entry'!$ì$900)</f>
      </c>
      <c r="FQ900">
        <f>IF(ISBLANK('Data Entry'!$í$900), "", 'Data Entry'!$í$900)</f>
      </c>
      <c r="FR900">
        <f>IF(ISBLANK('Data Entry'!$î$900), "", 'Data Entry'!$î$900)</f>
      </c>
      <c r="FS900">
        <f>IF(ISBLANK('Data Entry'!$ï$900), "", 'Data Entry'!$ï$900)</f>
      </c>
      <c r="FT900">
        <f>IF(ISBLANK('Data Entry'!$ð$900), "", 'Data Entry'!$ð$900)</f>
      </c>
      <c r="FU900">
        <f>IF(ISBLANK('Data Entry'!$ñ$900), "", 'Data Entry'!$ñ$900)</f>
      </c>
      <c r="FV900">
        <f>IF(ISBLANK('Data Entry'!$ò$900), "", 'Data Entry'!$ò$900)</f>
      </c>
      <c r="FW900">
        <f>IF(ISBLANK('Data Entry'!$ó$900), "", 'Data Entry'!$ó$900)</f>
      </c>
      <c r="FX900">
        <f>IF(ISBLANK('Data Entry'!$ô$900), "", 'Data Entry'!$ô$900)</f>
      </c>
      <c r="FY900">
        <f>IF(ISBLANK('Data Entry'!$õ$900), "", 'Data Entry'!$õ$900)</f>
      </c>
      <c r="FZ900">
        <f>IF(ISBLANK('Data Entry'!$ö$900), "", 'Data Entry'!$ö$900)</f>
      </c>
      <c r="GA900">
        <f>IF(ISBLANK('Data Entry'!$÷$900), "", 'Data Entry'!$÷$900)</f>
      </c>
      <c r="GB900">
        <f>IF(ISBLANK('Data Entry'!$ø$900), "", 'Data Entry'!$ø$900)</f>
      </c>
      <c r="GC900">
        <f>IF(ISBLANK('Data Entry'!$ù$900), "", 'Data Entry'!$ù$900)</f>
      </c>
      <c r="GD900">
        <f>IF(ISBLANK('Data Entry'!$ú$900), "", 'Data Entry'!$ú$900)</f>
      </c>
      <c r="GE900">
        <f>IF(ISBLANK('Data Entry'!$û$900), "", 'Data Entry'!$û$900)</f>
      </c>
      <c r="GF900">
        <f>IF(ISBLANK('Data Entry'!$ü$900), "", 'Data Entry'!$ü$900)</f>
      </c>
      <c r="GG900">
        <f>IF(ISBLANK('Data Entry'!$ý$900), "", 'Data Entry'!$ý$900)</f>
      </c>
      <c r="GH900">
        <f>IF(ISBLANK('Data Entry'!$þ$900), "", 'Data Entry'!$þ$900)</f>
      </c>
      <c r="GI900">
        <f>IF(ISBLANK('Data Entry'!$ÿ$900), "", 'Data Entry'!$ÿ$900)</f>
      </c>
      <c r="GJ900">
        <f>IF(ISBLANK('Data Entry'!$Ā$900), "", 'Data Entry'!$Ā$900)</f>
      </c>
      <c r="GK900">
        <f>IF(ISBLANK('Data Entry'!$ā$900), "", 'Data Entry'!$ā$900)</f>
      </c>
      <c r="GL900">
        <f>IF(ISBLANK('Data Entry'!$Ă$900), "", 'Data Entry'!$Ă$900)</f>
      </c>
      <c r="GM900">
        <f>IF(ISBLANK('Data Entry'!$ă$900), "", 'Data Entry'!$ă$900)</f>
      </c>
      <c r="GN900">
        <f>IF(ISBLANK('Data Entry'!$Ą$900), "", 'Data Entry'!$Ą$900)</f>
      </c>
      <c r="GO900">
        <f>IF(ISBLANK('Data Entry'!$ą$900), "", 'Data Entry'!$ą$900)</f>
      </c>
      <c r="GP900">
        <f>IF(ISBLANK('Data Entry'!$Ć$900), "", 'Data Entry'!$Ć$900)</f>
      </c>
      <c r="GQ900">
        <f>IF(ISBLANK('Data Entry'!$ć$900), "", 'Data Entry'!$ć$900)</f>
      </c>
      <c r="GR900">
        <f>IF(ISBLANK('Data Entry'!$Ĉ$900), "", 'Data Entry'!$Ĉ$900)</f>
      </c>
      <c r="GS900">
        <f>IF(ISBLANK('Data Entry'!$ĉ$900), "", 'Data Entry'!$ĉ$900)</f>
      </c>
      <c r="GT900">
        <f>IF(ISBLANK('Data Entry'!$Ċ$900), "", 'Data Entry'!$Ċ$900)</f>
      </c>
      <c r="GU900">
        <f>IF(ISBLANK('Data Entry'!$ċ$900), "", 'Data Entry'!$ċ$900)</f>
      </c>
      <c r="GV900">
        <f>IF(ISBLANK('Data Entry'!$Č$900), "", 'Data Entry'!$Č$900)</f>
      </c>
      <c r="GW900">
        <f>IF(ISBLANK('Data Entry'!$č$900), "", 'Data Entry'!$č$900)</f>
      </c>
      <c r="GX900">
        <f>IF(ISBLANK('Data Entry'!$Ď$900), "", 'Data Entry'!$Ď$900)</f>
      </c>
      <c r="GY900">
        <f>IF(ISBLANK('Data Entry'!$ď$900), "", 'Data Entry'!$ď$900)</f>
      </c>
      <c r="GZ900">
        <f>IF(ISBLANK('Data Entry'!$Đ$900), "", 'Data Entry'!$Đ$900)</f>
      </c>
      <c r="HA900">
        <f>IF(ISBLANK('Data Entry'!$đ$900), "", 'Data Entry'!$đ$900)</f>
      </c>
      <c r="HB900">
        <f>IF(ISBLANK('Data Entry'!$Ē$900), "", 'Data Entry'!$Ē$900)</f>
      </c>
      <c r="HC900">
        <f>IF(ISBLANK('Data Entry'!$ē$900), "", 'Data Entry'!$ē$900)</f>
      </c>
      <c r="HD900">
        <f>IF(ISBLANK('Data Entry'!$Ĕ$900), "", 'Data Entry'!$Ĕ$900)</f>
      </c>
      <c r="HE900">
        <f>IF(ISBLANK('Data Entry'!$ĕ$900), "", 'Data Entry'!$ĕ$900)</f>
      </c>
      <c r="HF900">
        <f>IF(ISBLANK('Data Entry'!$Ė$900), "", 'Data Entry'!$Ė$900)</f>
      </c>
      <c r="HG900">
        <f>IF(ISBLANK('Data Entry'!$ė$900), "", 'Data Entry'!$ė$900)</f>
      </c>
      <c r="HH900">
        <f>IF(ISBLANK('Data Entry'!$Ę$900), "", 'Data Entry'!$Ę$900)</f>
      </c>
      <c r="HI900">
        <f>IF(ISBLANK('Data Entry'!$ę$900), "", 'Data Entry'!$ę$900)</f>
      </c>
      <c r="HJ900">
        <f>IF(ISBLANK('Data Entry'!$Ě$900), "", 'Data Entry'!$Ě$900)</f>
      </c>
      <c r="HK900">
        <f>IF(ISBLANK('Data Entry'!$ě$900), "", 'Data Entry'!$ě$900)</f>
      </c>
      <c r="HL900">
        <f>IF(ISBLANK('Data Entry'!$Ĝ$900), "", 'Data Entry'!$Ĝ$900)</f>
      </c>
      <c r="HM900">
        <f>IF(ISBLANK('Data Entry'!$ĝ$900), "", 'Data Entry'!$ĝ$900)</f>
      </c>
      <c r="HN900">
        <f>IF(ISBLANK('Data Entry'!$Ğ$900), "", 'Data Entry'!$Ğ$900)</f>
      </c>
      <c r="HO900">
        <f>IF(ISBLANK('Data Entry'!$ğ$900), "", 'Data Entry'!$ğ$900)</f>
      </c>
      <c r="HP900">
        <f>IF(ISBLANK('Data Entry'!$Ġ$900), "", 'Data Entry'!$Ġ$900)</f>
      </c>
      <c r="HQ900">
        <f>IF(ISBLANK('Data Entry'!$ġ$900), "", 'Data Entry'!$ġ$900)</f>
      </c>
      <c r="HR900">
        <f>IF(ISBLANK('Data Entry'!$Ģ$900), "", 'Data Entry'!$Ģ$900)</f>
      </c>
      <c r="HS900">
        <f>IF(ISBLANK('Data Entry'!$ģ$900), "", 'Data Entry'!$ģ$900)</f>
      </c>
      <c r="HT900">
        <f>IF(ISBLANK('Data Entry'!$Ĥ$900), "", 'Data Entry'!$Ĥ$900)</f>
      </c>
      <c r="HU900">
        <f>IF(ISBLANK('Data Entry'!$ĥ$900), "", 'Data Entry'!$ĥ$900)</f>
      </c>
      <c r="HV900">
        <f>IF(ISBLANK('Data Entry'!$Ħ$900), "", 'Data Entry'!$Ħ$900)</f>
      </c>
      <c r="HW900">
        <f>IF(ISBLANK('Data Entry'!$ħ$900), "", 'Data Entry'!$ħ$900)</f>
      </c>
      <c r="HX900">
        <f>IF(ISBLANK('Data Entry'!$Ĩ$900), "", 'Data Entry'!$Ĩ$900)</f>
      </c>
      <c r="HY900">
        <f>IF(ISBLANK('Data Entry'!$ĩ$900), "", 'Data Entry'!$ĩ$900)</f>
      </c>
      <c r="HZ900">
        <f>IF(ISBLANK('Data Entry'!$Ī$900), "", 'Data Entry'!$Ī$900)</f>
      </c>
      <c r="IA900">
        <f>IF(ISBLANK('Data Entry'!$ī$900), "", 'Data Entry'!$ī$900)</f>
      </c>
      <c r="IB900">
        <f>IF(ISBLANK('Data Entry'!$Ĭ$900), "", 'Data Entry'!$Ĭ$900)</f>
      </c>
      <c r="IC900">
        <f>IF(ISBLANK('Data Entry'!$ĭ$900), "", 'Data Entry'!$ĭ$900)</f>
      </c>
      <c r="ID900">
        <f>IF(ISBLANK('Data Entry'!$Į$900), "", 'Data Entry'!$Į$900)</f>
      </c>
      <c r="IE900">
        <f>IF(ISBLANK('Data Entry'!$į$900), "", 'Data Entry'!$į$900)</f>
      </c>
      <c r="IF900">
        <f>IF(ISBLANK('Data Entry'!$İ$900), "", 'Data Entry'!$İ$900)</f>
      </c>
      <c r="IG900">
        <f>IF(ISBLANK('Data Entry'!$ı$900), "", 'Data Entry'!$ı$900)</f>
      </c>
      <c r="IH900">
        <f>IF(ISBLANK('Data Entry'!$Ĳ$900), "", 'Data Entry'!$Ĳ$900)</f>
      </c>
      <c r="II900">
        <f>IF(ISBLANK('Data Entry'!$ĳ$900), "", 'Data Entry'!$ĳ$900)</f>
      </c>
      <c r="IJ900">
        <f>IF(ISBLANK('Data Entry'!$Ĵ$900), "", 'Data Entry'!$Ĵ$900)</f>
      </c>
      <c r="IK900">
        <f>IF(ISBLANK('Data Entry'!$ĵ$900), "", 'Data Entry'!$ĵ$900)</f>
      </c>
      <c r="IL900">
        <f>IF(ISBLANK('Data Entry'!$Ķ$900), "", 'Data Entry'!$Ķ$900)</f>
      </c>
      <c r="IM900">
        <f>IF(ISBLANK('Data Entry'!$ķ$900), "", 'Data Entry'!$ķ$900)</f>
      </c>
      <c r="IN900">
        <f>IF(ISBLANK('Data Entry'!$ĸ$900), "", 'Data Entry'!$ĸ$900)</f>
      </c>
      <c r="IO900">
        <f>IF(ISBLANK('Data Entry'!$Ĺ$900), "", 'Data Entry'!$Ĺ$900)</f>
      </c>
      <c r="IP900">
        <f>IF(ISBLANK('Data Entry'!$ĺ$900), "", 'Data Entry'!$ĺ$900)</f>
      </c>
      <c r="IQ900">
        <f>IF(ISBLANK('Data Entry'!$Ļ$900), "", 'Data Entry'!$Ļ$900)</f>
      </c>
      <c r="IR900">
        <f>IF(ISBLANK('Data Entry'!$ļ$900), "", 'Data Entry'!$ļ$900)</f>
      </c>
      <c r="IS900">
        <f>IF(ISBLANK('Data Entry'!$Ľ$900), "", 'Data Entry'!$Ľ$900)</f>
      </c>
      <c r="IT900">
        <f>IF(ISBLANK('Data Entry'!$ľ$900), "", 'Data Entry'!$ľ$900)</f>
      </c>
    </row>
    <row r="901" spans="1:254" x14ac:dyDescent="0.25">
      <c r="A901">
        <f>IF(ISBLANK('Data Entry'!$A$901), "", 'Data Entry'!$A$901)</f>
      </c>
      <c r="B901">
        <f>IF(ISBLANK('Data Entry'!$B$901), "", 'Data Entry'!$B$901)</f>
      </c>
      <c r="C901">
        <f>IF(ISBLANK('Data Entry'!$C$901), "", 'Data Entry'!$C$901)</f>
      </c>
      <c r="D901">
        <f>IF(ISBLANK('Data Entry'!$D$901), "", 'Data Entry'!$D$901)</f>
      </c>
      <c r="E901">
        <f>IF(ISBLANK('Data Entry'!$E$901), "", 'Data Entry'!$E$901)</f>
      </c>
      <c r="F901">
        <f>IF(ISBLANK('Data Entry'!$F$901), "", 'Data Entry'!$F$901)</f>
      </c>
      <c r="G901">
        <f>IF(ISBLANK('Data Entry'!$G$901), "", 'Data Entry'!$G$901)</f>
      </c>
      <c r="H901">
        <f>IF(ISBLANK('Data Entry'!$H$901), "", 'Data Entry'!$H$901)</f>
      </c>
      <c r="I901">
        <f>IF(ISBLANK('Data Entry'!$I$901), "", 'Data Entry'!$I$901)</f>
      </c>
      <c r="J901">
        <f>IF(ISBLANK('Data Entry'!$J$901), "", 'Data Entry'!$J$901)</f>
      </c>
      <c r="K901">
        <f>IF(ISBLANK('Data Entry'!$K$901), "", 'Data Entry'!$K$901)</f>
      </c>
      <c r="L901">
        <f>IF(ISBLANK('Data Entry'!$L$901), "", 'Data Entry'!$L$901)</f>
      </c>
      <c r="M901">
        <f>IF(ISBLANK('Data Entry'!$M$901), "", 'Data Entry'!$M$901)</f>
      </c>
      <c r="N901">
        <f>IF(ISBLANK('Data Entry'!$N$901), "", 'Data Entry'!$N$901)</f>
      </c>
      <c r="O901">
        <f>IF(ISBLANK('Data Entry'!$O$901), "", 'Data Entry'!$O$901)</f>
      </c>
      <c r="P901">
        <f>IF(ISBLANK('Data Entry'!$P$901), "", 'Data Entry'!$P$901)</f>
      </c>
      <c r="Q901">
        <f>IF(ISBLANK('Data Entry'!$Q$901), "", 'Data Entry'!$Q$901)</f>
      </c>
      <c r="R901">
        <f>IF(ISBLANK('Data Entry'!$R$901), "", 'Data Entry'!$R$901)</f>
      </c>
      <c r="S901">
        <f>IF(ISBLANK('Data Entry'!$S$901), "", 'Data Entry'!$S$901)</f>
      </c>
      <c r="T901">
        <f>IF(ISBLANK('Data Entry'!$T$901), "", 'Data Entry'!$T$901)</f>
      </c>
      <c r="U901">
        <f>IF(ISBLANK('Data Entry'!$U$901), "", 'Data Entry'!$U$901)</f>
      </c>
      <c r="V901">
        <f>IF(ISBLANK('Data Entry'!$V$901), "", 'Data Entry'!$V$901)</f>
      </c>
      <c r="W901">
        <f>IF(ISBLANK('Data Entry'!$W$901), "", 'Data Entry'!$W$901)</f>
      </c>
      <c r="X901">
        <f>IF(ISBLANK('Data Entry'!$X$901), "", 'Data Entry'!$X$901)</f>
      </c>
      <c r="Y901">
        <f>IF(ISBLANK('Data Entry'!$Y$901), "", 'Data Entry'!$Y$901)</f>
      </c>
      <c r="Z901">
        <f>IF(ISBLANK('Data Entry'!$Z$901), "", 'Data Entry'!$Z$901)</f>
      </c>
      <c r="AA901">
        <f>IF(ISBLANK('Data Entry'!$[$901), "", 'Data Entry'!$[$901)</f>
      </c>
      <c r="AB901">
        <f>IF(ISBLANK('Data Entry'!$\$901), "", 'Data Entry'!$\$901)</f>
      </c>
      <c r="AC901">
        <f>IF(ISBLANK('Data Entry'!$]$901), "", 'Data Entry'!$]$901)</f>
      </c>
      <c r="AD901">
        <f>IF(ISBLANK('Data Entry'!$^$901), "", 'Data Entry'!$^$901)</f>
      </c>
      <c r="AE901">
        <f>IF(ISBLANK('Data Entry'!$_$901), "", 'Data Entry'!$_$901)</f>
      </c>
      <c r="AF901">
        <f>IF(ISBLANK('Data Entry'!$`$901), "", 'Data Entry'!$`$901)</f>
      </c>
      <c r="AG901">
        <f>IF(ISBLANK('Data Entry'!$a$901), "", 'Data Entry'!$a$901)</f>
      </c>
      <c r="AH901">
        <f>IF(ISBLANK('Data Entry'!$b$901), "", 'Data Entry'!$b$901)</f>
      </c>
      <c r="AI901">
        <f>IF(ISBLANK('Data Entry'!$c$901), "", 'Data Entry'!$c$901)</f>
      </c>
      <c r="AJ901">
        <f>IF(ISBLANK('Data Entry'!$d$901), "", 'Data Entry'!$d$901)</f>
      </c>
      <c r="AK901">
        <f>IF(ISBLANK('Data Entry'!$e$901), "", 'Data Entry'!$e$901)</f>
      </c>
      <c r="AL901">
        <f>IF(ISBLANK('Data Entry'!$f$901), "", 'Data Entry'!$f$901)</f>
      </c>
      <c r="AM901">
        <f>IF(ISBLANK('Data Entry'!$g$901), "", 'Data Entry'!$g$901)</f>
      </c>
      <c r="AN901">
        <f>IF(ISBLANK('Data Entry'!$h$901), "", 'Data Entry'!$h$901)</f>
      </c>
      <c r="AO901">
        <f>IF(ISBLANK('Data Entry'!$i$901), "", 'Data Entry'!$i$901)</f>
      </c>
      <c r="AP901">
        <f>IF(ISBLANK('Data Entry'!$j$901), "", 'Data Entry'!$j$901)</f>
      </c>
      <c r="AQ901">
        <f>IF(ISBLANK('Data Entry'!$k$901), "", 'Data Entry'!$k$901)</f>
      </c>
      <c r="AR901">
        <f>IF(ISBLANK('Data Entry'!$l$901), "", 'Data Entry'!$l$901)</f>
      </c>
      <c r="AS901">
        <f>IF(ISBLANK('Data Entry'!$m$901), "", 'Data Entry'!$m$901)</f>
      </c>
      <c r="AT901">
        <f>IF(ISBLANK('Data Entry'!$n$901), "", 'Data Entry'!$n$901)</f>
      </c>
      <c r="AU901">
        <f>IF(ISBLANK('Data Entry'!$o$901), "", 'Data Entry'!$o$901)</f>
      </c>
      <c r="AV901">
        <f>IF(ISBLANK('Data Entry'!$p$901), "", 'Data Entry'!$p$901)</f>
      </c>
      <c r="AW901">
        <f>IF(ISBLANK('Data Entry'!$q$901), "", 'Data Entry'!$q$901)</f>
      </c>
      <c r="AX901">
        <f>IF(ISBLANK('Data Entry'!$r$901), "", 'Data Entry'!$r$901)</f>
      </c>
      <c r="AY901">
        <f>IF(ISBLANK('Data Entry'!$s$901), "", 'Data Entry'!$s$901)</f>
      </c>
      <c r="AZ901">
        <f>IF(ISBLANK('Data Entry'!$t$901), "", 'Data Entry'!$t$901)</f>
      </c>
      <c r="BA901">
        <f>IF(ISBLANK('Data Entry'!$u$901), "", 'Data Entry'!$u$901)</f>
      </c>
      <c r="BB901">
        <f>IF(ISBLANK('Data Entry'!$v$901), "", 'Data Entry'!$v$901)</f>
      </c>
      <c r="BC901">
        <f>IF(ISBLANK('Data Entry'!$w$901), "", 'Data Entry'!$w$901)</f>
      </c>
      <c r="BD901">
        <f>IF(ISBLANK('Data Entry'!$x$901), "", 'Data Entry'!$x$901)</f>
      </c>
      <c r="BE901">
        <f>IF(ISBLANK('Data Entry'!$y$901), "", 'Data Entry'!$y$901)</f>
      </c>
      <c r="BF901">
        <f>IF(ISBLANK('Data Entry'!$z$901), "", 'Data Entry'!$z$901)</f>
      </c>
      <c r="BG901">
        <f>IF(ISBLANK('Data Entry'!${$901), "", 'Data Entry'!${$901)</f>
      </c>
      <c r="BH901">
        <f>IF(ISBLANK('Data Entry'!$|$901), "", 'Data Entry'!$|$901)</f>
      </c>
      <c r="BI901">
        <f>IF(ISBLANK('Data Entry'!$}$901), "", 'Data Entry'!$}$901)</f>
      </c>
      <c r="BJ901">
        <f>IF(ISBLANK('Data Entry'!$~$901), "", 'Data Entry'!$~$901)</f>
      </c>
      <c r="BK901">
        <f>IF(ISBLANK('Data Entry'!$$901), "", 'Data Entry'!$$901)</f>
      </c>
      <c r="BL901">
        <f>IF(ISBLANK('Data Entry'!$$901), "", 'Data Entry'!$$901)</f>
      </c>
      <c r="BM901">
        <f>IF(ISBLANK('Data Entry'!$$901), "", 'Data Entry'!$$901)</f>
      </c>
      <c r="BN901">
        <f>IF(ISBLANK('Data Entry'!$$901), "", 'Data Entry'!$$901)</f>
      </c>
      <c r="BO901">
        <f>IF(ISBLANK('Data Entry'!$$901), "", 'Data Entry'!$$901)</f>
      </c>
      <c r="BP901">
        <f>IF(ISBLANK('Data Entry'!$$901), "", 'Data Entry'!$$901)</f>
      </c>
      <c r="BQ901">
        <f>IF(ISBLANK('Data Entry'!$$901), "", 'Data Entry'!$$901)</f>
      </c>
      <c r="BR901">
        <f>IF(ISBLANK('Data Entry'!$$901), "", 'Data Entry'!$$901)</f>
      </c>
      <c r="BS901">
        <f>IF(ISBLANK('Data Entry'!$$901), "", 'Data Entry'!$$901)</f>
      </c>
      <c r="BT901">
        <f>IF(ISBLANK('Data Entry'!$$901), "", 'Data Entry'!$$901)</f>
      </c>
      <c r="BU901">
        <f>IF(ISBLANK('Data Entry'!$$901), "", 'Data Entry'!$$901)</f>
      </c>
      <c r="BV901">
        <f>IF(ISBLANK('Data Entry'!$$901), "", 'Data Entry'!$$901)</f>
      </c>
      <c r="BW901">
        <f>IF(ISBLANK('Data Entry'!$$901), "", 'Data Entry'!$$901)</f>
      </c>
      <c r="BX901">
        <f>IF(ISBLANK('Data Entry'!$$901), "", 'Data Entry'!$$901)</f>
      </c>
      <c r="BY901">
        <f>IF(ISBLANK('Data Entry'!$$901), "", 'Data Entry'!$$901)</f>
      </c>
      <c r="BZ901">
        <f>IF(ISBLANK('Data Entry'!$$901), "", 'Data Entry'!$$901)</f>
      </c>
      <c r="CA901">
        <f>IF(ISBLANK('Data Entry'!$$901), "", 'Data Entry'!$$901)</f>
      </c>
      <c r="CB901">
        <f>IF(ISBLANK('Data Entry'!$$901), "", 'Data Entry'!$$901)</f>
      </c>
      <c r="CC901">
        <f>IF(ISBLANK('Data Entry'!$$901), "", 'Data Entry'!$$901)</f>
      </c>
      <c r="CD901">
        <f>IF(ISBLANK('Data Entry'!$$901), "", 'Data Entry'!$$901)</f>
      </c>
      <c r="CE901">
        <f>IF(ISBLANK('Data Entry'!$$901), "", 'Data Entry'!$$901)</f>
      </c>
      <c r="CF901">
        <f>IF(ISBLANK('Data Entry'!$$901), "", 'Data Entry'!$$901)</f>
      </c>
      <c r="CG901">
        <f>IF(ISBLANK('Data Entry'!$$901), "", 'Data Entry'!$$901)</f>
      </c>
      <c r="CH901">
        <f>IF(ISBLANK('Data Entry'!$$901), "", 'Data Entry'!$$901)</f>
      </c>
      <c r="CI901">
        <f>IF(ISBLANK('Data Entry'!$$901), "", 'Data Entry'!$$901)</f>
      </c>
      <c r="CJ901">
        <f>IF(ISBLANK('Data Entry'!$$901), "", 'Data Entry'!$$901)</f>
      </c>
      <c r="CK901">
        <f>IF(ISBLANK('Data Entry'!$$901), "", 'Data Entry'!$$901)</f>
      </c>
      <c r="CL901">
        <f>IF(ISBLANK('Data Entry'!$$901), "", 'Data Entry'!$$901)</f>
      </c>
      <c r="CM901">
        <f>IF(ISBLANK('Data Entry'!$$901), "", 'Data Entry'!$$901)</f>
      </c>
      <c r="CN901">
        <f>IF(ISBLANK('Data Entry'!$$901), "", 'Data Entry'!$$901)</f>
      </c>
      <c r="CO901">
        <f>IF(ISBLANK('Data Entry'!$$901), "", 'Data Entry'!$$901)</f>
      </c>
      <c r="CP901">
        <f>IF(ISBLANK('Data Entry'!$$901), "", 'Data Entry'!$$901)</f>
      </c>
      <c r="CQ901">
        <f>IF(ISBLANK('Data Entry'!$$901), "", 'Data Entry'!$$901)</f>
      </c>
      <c r="CR901">
        <f>IF(ISBLANK('Data Entry'!$ $901), "", 'Data Entry'!$ $901)</f>
      </c>
      <c r="CS901">
        <f>IF(ISBLANK('Data Entry'!$¡$901), "", 'Data Entry'!$¡$901)</f>
      </c>
      <c r="CT901">
        <f>IF(ISBLANK('Data Entry'!$¢$901), "", 'Data Entry'!$¢$901)</f>
      </c>
      <c r="CU901">
        <f>IF(ISBLANK('Data Entry'!$£$901), "", 'Data Entry'!$£$901)</f>
      </c>
      <c r="CV901">
        <f>IF(ISBLANK('Data Entry'!$¤$901), "", 'Data Entry'!$¤$901)</f>
      </c>
      <c r="CW901">
        <f>IF(ISBLANK('Data Entry'!$¥$901), "", 'Data Entry'!$¥$901)</f>
      </c>
      <c r="CX901">
        <f>IF(ISBLANK('Data Entry'!$¦$901), "", 'Data Entry'!$¦$901)</f>
      </c>
      <c r="CY901">
        <f>IF(ISBLANK('Data Entry'!$§$901), "", 'Data Entry'!$§$901)</f>
      </c>
      <c r="CZ901">
        <f>IF(ISBLANK('Data Entry'!$¨$901), "", 'Data Entry'!$¨$901)</f>
      </c>
      <c r="DA901">
        <f>IF(ISBLANK('Data Entry'!$©$901), "", 'Data Entry'!$©$901)</f>
      </c>
      <c r="DB901">
        <f>IF(ISBLANK('Data Entry'!$ª$901), "", 'Data Entry'!$ª$901)</f>
      </c>
      <c r="DC901">
        <f>IF(ISBLANK('Data Entry'!$«$901), "", 'Data Entry'!$«$901)</f>
      </c>
      <c r="DD901">
        <f>IF(ISBLANK('Data Entry'!$¬$901), "", 'Data Entry'!$¬$901)</f>
      </c>
      <c r="DE901">
        <f>IF(ISBLANK('Data Entry'!$­$901), "", 'Data Entry'!$­$901)</f>
      </c>
      <c r="DF901">
        <f>IF(ISBLANK('Data Entry'!$®$901), "", 'Data Entry'!$®$901)</f>
      </c>
      <c r="DG901">
        <f>IF(ISBLANK('Data Entry'!$¯$901), "", 'Data Entry'!$¯$901)</f>
      </c>
      <c r="DH901">
        <f>IF(ISBLANK('Data Entry'!$°$901), "", 'Data Entry'!$°$901)</f>
      </c>
      <c r="DI901">
        <f>IF(ISBLANK('Data Entry'!$±$901), "", 'Data Entry'!$±$901)</f>
      </c>
      <c r="DJ901">
        <f>IF(ISBLANK('Data Entry'!$²$901), "", 'Data Entry'!$²$901)</f>
      </c>
      <c r="DK901">
        <f>IF(ISBLANK('Data Entry'!$³$901), "", 'Data Entry'!$³$901)</f>
      </c>
      <c r="DL901">
        <f>IF(ISBLANK('Data Entry'!$´$901), "", 'Data Entry'!$´$901)</f>
      </c>
      <c r="DM901">
        <f>IF(ISBLANK('Data Entry'!$µ$901), "", 'Data Entry'!$µ$901)</f>
      </c>
      <c r="DN901">
        <f>IF(ISBLANK('Data Entry'!$¶$901), "", 'Data Entry'!$¶$901)</f>
      </c>
      <c r="DO901">
        <f>IF(ISBLANK('Data Entry'!$·$901), "", 'Data Entry'!$·$901)</f>
      </c>
      <c r="DP901">
        <f>IF(ISBLANK('Data Entry'!$¸$901), "", 'Data Entry'!$¸$901)</f>
      </c>
      <c r="DQ901">
        <f>IF(ISBLANK('Data Entry'!$¹$901), "", 'Data Entry'!$¹$901)</f>
      </c>
      <c r="DR901">
        <f>IF(ISBLANK('Data Entry'!$º$901), "", 'Data Entry'!$º$901)</f>
      </c>
      <c r="DS901">
        <f>IF(ISBLANK('Data Entry'!$»$901), "", 'Data Entry'!$»$901)</f>
      </c>
      <c r="DT901">
        <f>IF(ISBLANK('Data Entry'!$¼$901), "", 'Data Entry'!$¼$901)</f>
      </c>
      <c r="DU901">
        <f>IF(ISBLANK('Data Entry'!$½$901), "", 'Data Entry'!$½$901)</f>
      </c>
      <c r="DV901">
        <f>IF(ISBLANK('Data Entry'!$¾$901), "", 'Data Entry'!$¾$901)</f>
      </c>
      <c r="DW901">
        <f>IF(ISBLANK('Data Entry'!$¿$901), "", 'Data Entry'!$¿$901)</f>
      </c>
      <c r="DX901">
        <f>IF(ISBLANK('Data Entry'!$À$901), "", 'Data Entry'!$À$901)</f>
      </c>
      <c r="DY901">
        <f>IF(ISBLANK('Data Entry'!$Á$901), "", 'Data Entry'!$Á$901)</f>
      </c>
      <c r="DZ901">
        <f>IF(ISBLANK('Data Entry'!$Â$901), "", 'Data Entry'!$Â$901)</f>
      </c>
      <c r="EA901">
        <f>IF(ISBLANK('Data Entry'!$Ã$901), "", 'Data Entry'!$Ã$901)</f>
      </c>
      <c r="EB901">
        <f>IF(ISBLANK('Data Entry'!$Ä$901), "", 'Data Entry'!$Ä$901)</f>
      </c>
      <c r="EC901">
        <f>IF(ISBLANK('Data Entry'!$Å$901), "", 'Data Entry'!$Å$901)</f>
      </c>
      <c r="ED901">
        <f>IF(ISBLANK('Data Entry'!$Æ$901), "", 'Data Entry'!$Æ$901)</f>
      </c>
      <c r="EE901">
        <f>IF(ISBLANK('Data Entry'!$Ç$901), "", 'Data Entry'!$Ç$901)</f>
      </c>
      <c r="EF901">
        <f>IF(ISBLANK('Data Entry'!$È$901), "", 'Data Entry'!$È$901)</f>
      </c>
      <c r="EG901">
        <f>IF(ISBLANK('Data Entry'!$É$901), "", 'Data Entry'!$É$901)</f>
      </c>
      <c r="EH901">
        <f>IF(ISBLANK('Data Entry'!$Ê$901), "", 'Data Entry'!$Ê$901)</f>
      </c>
      <c r="EI901">
        <f>IF(ISBLANK('Data Entry'!$Ë$901), "", 'Data Entry'!$Ë$901)</f>
      </c>
      <c r="EJ901">
        <f>IF(ISBLANK('Data Entry'!$Ì$901), "", 'Data Entry'!$Ì$901)</f>
      </c>
      <c r="EK901">
        <f>IF(ISBLANK('Data Entry'!$Í$901), "", 'Data Entry'!$Í$901)</f>
      </c>
      <c r="EL901">
        <f>IF(ISBLANK('Data Entry'!$Î$901), "", 'Data Entry'!$Î$901)</f>
      </c>
      <c r="EM901">
        <f>IF(ISBLANK('Data Entry'!$Ï$901), "", 'Data Entry'!$Ï$901)</f>
      </c>
      <c r="EN901">
        <f>IF(ISBLANK('Data Entry'!$Ð$901), "", 'Data Entry'!$Ð$901)</f>
      </c>
      <c r="EO901">
        <f>IF(ISBLANK('Data Entry'!$Ñ$901), "", 'Data Entry'!$Ñ$901)</f>
      </c>
      <c r="EP901">
        <f>IF(ISBLANK('Data Entry'!$Ò$901), "", 'Data Entry'!$Ò$901)</f>
      </c>
      <c r="EQ901">
        <f>IF(ISBLANK('Data Entry'!$Ó$901), "", 'Data Entry'!$Ó$901)</f>
      </c>
      <c r="ER901">
        <f>IF(ISBLANK('Data Entry'!$Ô$901), "", 'Data Entry'!$Ô$901)</f>
      </c>
      <c r="ES901">
        <f>IF(ISBLANK('Data Entry'!$Õ$901), "", 'Data Entry'!$Õ$901)</f>
      </c>
      <c r="ET901">
        <f>IF(ISBLANK('Data Entry'!$Ö$901), "", 'Data Entry'!$Ö$901)</f>
      </c>
      <c r="EU901">
        <f>IF(ISBLANK('Data Entry'!$×$901), "", 'Data Entry'!$×$901)</f>
      </c>
      <c r="EV901">
        <f>IF(ISBLANK('Data Entry'!$Ø$901), "", 'Data Entry'!$Ø$901)</f>
      </c>
      <c r="EW901">
        <f>IF(ISBLANK('Data Entry'!$Ù$901), "", 'Data Entry'!$Ù$901)</f>
      </c>
      <c r="EX901">
        <f>IF(ISBLANK('Data Entry'!$Ú$901), "", 'Data Entry'!$Ú$901)</f>
      </c>
      <c r="EY901">
        <f>IF(ISBLANK('Data Entry'!$Û$901), "", 'Data Entry'!$Û$901)</f>
      </c>
      <c r="EZ901">
        <f>IF(ISBLANK('Data Entry'!$Ü$901), "", 'Data Entry'!$Ü$901)</f>
      </c>
      <c r="FA901">
        <f>IF(ISBLANK('Data Entry'!$Ý$901), "", 'Data Entry'!$Ý$901)</f>
      </c>
      <c r="FB901">
        <f>IF(ISBLANK('Data Entry'!$Þ$901), "", 'Data Entry'!$Þ$901)</f>
      </c>
      <c r="FC901">
        <f>IF(ISBLANK('Data Entry'!$ß$901), "", 'Data Entry'!$ß$901)</f>
      </c>
      <c r="FD901">
        <f>IF(ISBLANK('Data Entry'!$à$901), "", 'Data Entry'!$à$901)</f>
      </c>
      <c r="FE901">
        <f>IF(ISBLANK('Data Entry'!$á$901), "", 'Data Entry'!$á$901)</f>
      </c>
      <c r="FF901">
        <f>IF(ISBLANK('Data Entry'!$â$901), "", 'Data Entry'!$â$901)</f>
      </c>
      <c r="FG901">
        <f>IF(ISBLANK('Data Entry'!$ã$901), "", 'Data Entry'!$ã$901)</f>
      </c>
      <c r="FH901">
        <f>IF(ISBLANK('Data Entry'!$ä$901), "", 'Data Entry'!$ä$901)</f>
      </c>
      <c r="FI901">
        <f>IF(ISBLANK('Data Entry'!$å$901), "", 'Data Entry'!$å$901)</f>
      </c>
      <c r="FJ901">
        <f>IF(ISBLANK('Data Entry'!$æ$901), "", 'Data Entry'!$æ$901)</f>
      </c>
      <c r="FK901">
        <f>IF(ISBLANK('Data Entry'!$ç$901), "", 'Data Entry'!$ç$901)</f>
      </c>
      <c r="FL901">
        <f>IF(ISBLANK('Data Entry'!$è$901), "", 'Data Entry'!$è$901)</f>
      </c>
      <c r="FM901">
        <f>IF(ISBLANK('Data Entry'!$é$901), "", 'Data Entry'!$é$901)</f>
      </c>
      <c r="FN901">
        <f>IF(ISBLANK('Data Entry'!$ê$901), "", 'Data Entry'!$ê$901)</f>
      </c>
      <c r="FO901">
        <f>IF(ISBLANK('Data Entry'!$ë$901), "", 'Data Entry'!$ë$901)</f>
      </c>
      <c r="FP901">
        <f>IF(ISBLANK('Data Entry'!$ì$901), "", 'Data Entry'!$ì$901)</f>
      </c>
      <c r="FQ901">
        <f>IF(ISBLANK('Data Entry'!$í$901), "", 'Data Entry'!$í$901)</f>
      </c>
      <c r="FR901">
        <f>IF(ISBLANK('Data Entry'!$î$901), "", 'Data Entry'!$î$901)</f>
      </c>
      <c r="FS901">
        <f>IF(ISBLANK('Data Entry'!$ï$901), "", 'Data Entry'!$ï$901)</f>
      </c>
      <c r="FT901">
        <f>IF(ISBLANK('Data Entry'!$ð$901), "", 'Data Entry'!$ð$901)</f>
      </c>
      <c r="FU901">
        <f>IF(ISBLANK('Data Entry'!$ñ$901), "", 'Data Entry'!$ñ$901)</f>
      </c>
      <c r="FV901">
        <f>IF(ISBLANK('Data Entry'!$ò$901), "", 'Data Entry'!$ò$901)</f>
      </c>
      <c r="FW901">
        <f>IF(ISBLANK('Data Entry'!$ó$901), "", 'Data Entry'!$ó$901)</f>
      </c>
      <c r="FX901">
        <f>IF(ISBLANK('Data Entry'!$ô$901), "", 'Data Entry'!$ô$901)</f>
      </c>
      <c r="FY901">
        <f>IF(ISBLANK('Data Entry'!$õ$901), "", 'Data Entry'!$õ$901)</f>
      </c>
      <c r="FZ901">
        <f>IF(ISBLANK('Data Entry'!$ö$901), "", 'Data Entry'!$ö$901)</f>
      </c>
      <c r="GA901">
        <f>IF(ISBLANK('Data Entry'!$÷$901), "", 'Data Entry'!$÷$901)</f>
      </c>
      <c r="GB901">
        <f>IF(ISBLANK('Data Entry'!$ø$901), "", 'Data Entry'!$ø$901)</f>
      </c>
      <c r="GC901">
        <f>IF(ISBLANK('Data Entry'!$ù$901), "", 'Data Entry'!$ù$901)</f>
      </c>
      <c r="GD901">
        <f>IF(ISBLANK('Data Entry'!$ú$901), "", 'Data Entry'!$ú$901)</f>
      </c>
      <c r="GE901">
        <f>IF(ISBLANK('Data Entry'!$û$901), "", 'Data Entry'!$û$901)</f>
      </c>
      <c r="GF901">
        <f>IF(ISBLANK('Data Entry'!$ü$901), "", 'Data Entry'!$ü$901)</f>
      </c>
      <c r="GG901">
        <f>IF(ISBLANK('Data Entry'!$ý$901), "", 'Data Entry'!$ý$901)</f>
      </c>
      <c r="GH901">
        <f>IF(ISBLANK('Data Entry'!$þ$901), "", 'Data Entry'!$þ$901)</f>
      </c>
      <c r="GI901">
        <f>IF(ISBLANK('Data Entry'!$ÿ$901), "", 'Data Entry'!$ÿ$901)</f>
      </c>
      <c r="GJ901">
        <f>IF(ISBLANK('Data Entry'!$Ā$901), "", 'Data Entry'!$Ā$901)</f>
      </c>
      <c r="GK901">
        <f>IF(ISBLANK('Data Entry'!$ā$901), "", 'Data Entry'!$ā$901)</f>
      </c>
      <c r="GL901">
        <f>IF(ISBLANK('Data Entry'!$Ă$901), "", 'Data Entry'!$Ă$901)</f>
      </c>
      <c r="GM901">
        <f>IF(ISBLANK('Data Entry'!$ă$901), "", 'Data Entry'!$ă$901)</f>
      </c>
      <c r="GN901">
        <f>IF(ISBLANK('Data Entry'!$Ą$901), "", 'Data Entry'!$Ą$901)</f>
      </c>
      <c r="GO901">
        <f>IF(ISBLANK('Data Entry'!$ą$901), "", 'Data Entry'!$ą$901)</f>
      </c>
      <c r="GP901">
        <f>IF(ISBLANK('Data Entry'!$Ć$901), "", 'Data Entry'!$Ć$901)</f>
      </c>
      <c r="GQ901">
        <f>IF(ISBLANK('Data Entry'!$ć$901), "", 'Data Entry'!$ć$901)</f>
      </c>
      <c r="GR901">
        <f>IF(ISBLANK('Data Entry'!$Ĉ$901), "", 'Data Entry'!$Ĉ$901)</f>
      </c>
      <c r="GS901">
        <f>IF(ISBLANK('Data Entry'!$ĉ$901), "", 'Data Entry'!$ĉ$901)</f>
      </c>
      <c r="GT901">
        <f>IF(ISBLANK('Data Entry'!$Ċ$901), "", 'Data Entry'!$Ċ$901)</f>
      </c>
      <c r="GU901">
        <f>IF(ISBLANK('Data Entry'!$ċ$901), "", 'Data Entry'!$ċ$901)</f>
      </c>
      <c r="GV901">
        <f>IF(ISBLANK('Data Entry'!$Č$901), "", 'Data Entry'!$Č$901)</f>
      </c>
      <c r="GW901">
        <f>IF(ISBLANK('Data Entry'!$č$901), "", 'Data Entry'!$č$901)</f>
      </c>
      <c r="GX901">
        <f>IF(ISBLANK('Data Entry'!$Ď$901), "", 'Data Entry'!$Ď$901)</f>
      </c>
      <c r="GY901">
        <f>IF(ISBLANK('Data Entry'!$ď$901), "", 'Data Entry'!$ď$901)</f>
      </c>
      <c r="GZ901">
        <f>IF(ISBLANK('Data Entry'!$Đ$901), "", 'Data Entry'!$Đ$901)</f>
      </c>
      <c r="HA901">
        <f>IF(ISBLANK('Data Entry'!$đ$901), "", 'Data Entry'!$đ$901)</f>
      </c>
      <c r="HB901">
        <f>IF(ISBLANK('Data Entry'!$Ē$901), "", 'Data Entry'!$Ē$901)</f>
      </c>
      <c r="HC901">
        <f>IF(ISBLANK('Data Entry'!$ē$901), "", 'Data Entry'!$ē$901)</f>
      </c>
      <c r="HD901">
        <f>IF(ISBLANK('Data Entry'!$Ĕ$901), "", 'Data Entry'!$Ĕ$901)</f>
      </c>
      <c r="HE901">
        <f>IF(ISBLANK('Data Entry'!$ĕ$901), "", 'Data Entry'!$ĕ$901)</f>
      </c>
      <c r="HF901">
        <f>IF(ISBLANK('Data Entry'!$Ė$901), "", 'Data Entry'!$Ė$901)</f>
      </c>
      <c r="HG901">
        <f>IF(ISBLANK('Data Entry'!$ė$901), "", 'Data Entry'!$ė$901)</f>
      </c>
      <c r="HH901">
        <f>IF(ISBLANK('Data Entry'!$Ę$901), "", 'Data Entry'!$Ę$901)</f>
      </c>
      <c r="HI901">
        <f>IF(ISBLANK('Data Entry'!$ę$901), "", 'Data Entry'!$ę$901)</f>
      </c>
      <c r="HJ901">
        <f>IF(ISBLANK('Data Entry'!$Ě$901), "", 'Data Entry'!$Ě$901)</f>
      </c>
      <c r="HK901">
        <f>IF(ISBLANK('Data Entry'!$ě$901), "", 'Data Entry'!$ě$901)</f>
      </c>
      <c r="HL901">
        <f>IF(ISBLANK('Data Entry'!$Ĝ$901), "", 'Data Entry'!$Ĝ$901)</f>
      </c>
      <c r="HM901">
        <f>IF(ISBLANK('Data Entry'!$ĝ$901), "", 'Data Entry'!$ĝ$901)</f>
      </c>
      <c r="HN901">
        <f>IF(ISBLANK('Data Entry'!$Ğ$901), "", 'Data Entry'!$Ğ$901)</f>
      </c>
      <c r="HO901">
        <f>IF(ISBLANK('Data Entry'!$ğ$901), "", 'Data Entry'!$ğ$901)</f>
      </c>
      <c r="HP901">
        <f>IF(ISBLANK('Data Entry'!$Ġ$901), "", 'Data Entry'!$Ġ$901)</f>
      </c>
      <c r="HQ901">
        <f>IF(ISBLANK('Data Entry'!$ġ$901), "", 'Data Entry'!$ġ$901)</f>
      </c>
      <c r="HR901">
        <f>IF(ISBLANK('Data Entry'!$Ģ$901), "", 'Data Entry'!$Ģ$901)</f>
      </c>
      <c r="HS901">
        <f>IF(ISBLANK('Data Entry'!$ģ$901), "", 'Data Entry'!$ģ$901)</f>
      </c>
      <c r="HT901">
        <f>IF(ISBLANK('Data Entry'!$Ĥ$901), "", 'Data Entry'!$Ĥ$901)</f>
      </c>
      <c r="HU901">
        <f>IF(ISBLANK('Data Entry'!$ĥ$901), "", 'Data Entry'!$ĥ$901)</f>
      </c>
      <c r="HV901">
        <f>IF(ISBLANK('Data Entry'!$Ħ$901), "", 'Data Entry'!$Ħ$901)</f>
      </c>
      <c r="HW901">
        <f>IF(ISBLANK('Data Entry'!$ħ$901), "", 'Data Entry'!$ħ$901)</f>
      </c>
      <c r="HX901">
        <f>IF(ISBLANK('Data Entry'!$Ĩ$901), "", 'Data Entry'!$Ĩ$901)</f>
      </c>
      <c r="HY901">
        <f>IF(ISBLANK('Data Entry'!$ĩ$901), "", 'Data Entry'!$ĩ$901)</f>
      </c>
      <c r="HZ901">
        <f>IF(ISBLANK('Data Entry'!$Ī$901), "", 'Data Entry'!$Ī$901)</f>
      </c>
      <c r="IA901">
        <f>IF(ISBLANK('Data Entry'!$ī$901), "", 'Data Entry'!$ī$901)</f>
      </c>
      <c r="IB901">
        <f>IF(ISBLANK('Data Entry'!$Ĭ$901), "", 'Data Entry'!$Ĭ$901)</f>
      </c>
      <c r="IC901">
        <f>IF(ISBLANK('Data Entry'!$ĭ$901), "", 'Data Entry'!$ĭ$901)</f>
      </c>
      <c r="ID901">
        <f>IF(ISBLANK('Data Entry'!$Į$901), "", 'Data Entry'!$Į$901)</f>
      </c>
      <c r="IE901">
        <f>IF(ISBLANK('Data Entry'!$į$901), "", 'Data Entry'!$į$901)</f>
      </c>
      <c r="IF901">
        <f>IF(ISBLANK('Data Entry'!$İ$901), "", 'Data Entry'!$İ$901)</f>
      </c>
      <c r="IG901">
        <f>IF(ISBLANK('Data Entry'!$ı$901), "", 'Data Entry'!$ı$901)</f>
      </c>
      <c r="IH901">
        <f>IF(ISBLANK('Data Entry'!$Ĳ$901), "", 'Data Entry'!$Ĳ$901)</f>
      </c>
      <c r="II901">
        <f>IF(ISBLANK('Data Entry'!$ĳ$901), "", 'Data Entry'!$ĳ$901)</f>
      </c>
      <c r="IJ901">
        <f>IF(ISBLANK('Data Entry'!$Ĵ$901), "", 'Data Entry'!$Ĵ$901)</f>
      </c>
      <c r="IK901">
        <f>IF(ISBLANK('Data Entry'!$ĵ$901), "", 'Data Entry'!$ĵ$901)</f>
      </c>
      <c r="IL901">
        <f>IF(ISBLANK('Data Entry'!$Ķ$901), "", 'Data Entry'!$Ķ$901)</f>
      </c>
      <c r="IM901">
        <f>IF(ISBLANK('Data Entry'!$ķ$901), "", 'Data Entry'!$ķ$901)</f>
      </c>
      <c r="IN901">
        <f>IF(ISBLANK('Data Entry'!$ĸ$901), "", 'Data Entry'!$ĸ$901)</f>
      </c>
      <c r="IO901">
        <f>IF(ISBLANK('Data Entry'!$Ĺ$901), "", 'Data Entry'!$Ĺ$901)</f>
      </c>
      <c r="IP901">
        <f>IF(ISBLANK('Data Entry'!$ĺ$901), "", 'Data Entry'!$ĺ$901)</f>
      </c>
      <c r="IQ901">
        <f>IF(ISBLANK('Data Entry'!$Ļ$901), "", 'Data Entry'!$Ļ$901)</f>
      </c>
      <c r="IR901">
        <f>IF(ISBLANK('Data Entry'!$ļ$901), "", 'Data Entry'!$ļ$901)</f>
      </c>
      <c r="IS901">
        <f>IF(ISBLANK('Data Entry'!$Ľ$901), "", 'Data Entry'!$Ľ$901)</f>
      </c>
      <c r="IT901">
        <f>IF(ISBLANK('Data Entry'!$ľ$901), "", 'Data Entry'!$ľ$901)</f>
      </c>
    </row>
    <row r="902" spans="1:254" x14ac:dyDescent="0.25">
      <c r="A902">
        <f>IF(ISBLANK('Data Entry'!$A$902), "", 'Data Entry'!$A$902)</f>
      </c>
      <c r="B902">
        <f>IF(ISBLANK('Data Entry'!$B$902), "", 'Data Entry'!$B$902)</f>
      </c>
      <c r="C902">
        <f>IF(ISBLANK('Data Entry'!$C$902), "", 'Data Entry'!$C$902)</f>
      </c>
      <c r="D902">
        <f>IF(ISBLANK('Data Entry'!$D$902), "", 'Data Entry'!$D$902)</f>
      </c>
      <c r="E902">
        <f>IF(ISBLANK('Data Entry'!$E$902), "", 'Data Entry'!$E$902)</f>
      </c>
      <c r="F902">
        <f>IF(ISBLANK('Data Entry'!$F$902), "", 'Data Entry'!$F$902)</f>
      </c>
      <c r="G902">
        <f>IF(ISBLANK('Data Entry'!$G$902), "", 'Data Entry'!$G$902)</f>
      </c>
      <c r="H902">
        <f>IF(ISBLANK('Data Entry'!$H$902), "", 'Data Entry'!$H$902)</f>
      </c>
      <c r="I902">
        <f>IF(ISBLANK('Data Entry'!$I$902), "", 'Data Entry'!$I$902)</f>
      </c>
      <c r="J902">
        <f>IF(ISBLANK('Data Entry'!$J$902), "", 'Data Entry'!$J$902)</f>
      </c>
      <c r="K902">
        <f>IF(ISBLANK('Data Entry'!$K$902), "", 'Data Entry'!$K$902)</f>
      </c>
      <c r="L902">
        <f>IF(ISBLANK('Data Entry'!$L$902), "", 'Data Entry'!$L$902)</f>
      </c>
      <c r="M902">
        <f>IF(ISBLANK('Data Entry'!$M$902), "", 'Data Entry'!$M$902)</f>
      </c>
      <c r="N902">
        <f>IF(ISBLANK('Data Entry'!$N$902), "", 'Data Entry'!$N$902)</f>
      </c>
      <c r="O902">
        <f>IF(ISBLANK('Data Entry'!$O$902), "", 'Data Entry'!$O$902)</f>
      </c>
      <c r="P902">
        <f>IF(ISBLANK('Data Entry'!$P$902), "", 'Data Entry'!$P$902)</f>
      </c>
      <c r="Q902">
        <f>IF(ISBLANK('Data Entry'!$Q$902), "", 'Data Entry'!$Q$902)</f>
      </c>
      <c r="R902">
        <f>IF(ISBLANK('Data Entry'!$R$902), "", 'Data Entry'!$R$902)</f>
      </c>
      <c r="S902">
        <f>IF(ISBLANK('Data Entry'!$S$902), "", 'Data Entry'!$S$902)</f>
      </c>
      <c r="T902">
        <f>IF(ISBLANK('Data Entry'!$T$902), "", 'Data Entry'!$T$902)</f>
      </c>
      <c r="U902">
        <f>IF(ISBLANK('Data Entry'!$U$902), "", 'Data Entry'!$U$902)</f>
      </c>
      <c r="V902">
        <f>IF(ISBLANK('Data Entry'!$V$902), "", 'Data Entry'!$V$902)</f>
      </c>
      <c r="W902">
        <f>IF(ISBLANK('Data Entry'!$W$902), "", 'Data Entry'!$W$902)</f>
      </c>
      <c r="X902">
        <f>IF(ISBLANK('Data Entry'!$X$902), "", 'Data Entry'!$X$902)</f>
      </c>
      <c r="Y902">
        <f>IF(ISBLANK('Data Entry'!$Y$902), "", 'Data Entry'!$Y$902)</f>
      </c>
      <c r="Z902">
        <f>IF(ISBLANK('Data Entry'!$Z$902), "", 'Data Entry'!$Z$902)</f>
      </c>
      <c r="AA902">
        <f>IF(ISBLANK('Data Entry'!$[$902), "", 'Data Entry'!$[$902)</f>
      </c>
      <c r="AB902">
        <f>IF(ISBLANK('Data Entry'!$\$902), "", 'Data Entry'!$\$902)</f>
      </c>
      <c r="AC902">
        <f>IF(ISBLANK('Data Entry'!$]$902), "", 'Data Entry'!$]$902)</f>
      </c>
      <c r="AD902">
        <f>IF(ISBLANK('Data Entry'!$^$902), "", 'Data Entry'!$^$902)</f>
      </c>
      <c r="AE902">
        <f>IF(ISBLANK('Data Entry'!$_$902), "", 'Data Entry'!$_$902)</f>
      </c>
      <c r="AF902">
        <f>IF(ISBLANK('Data Entry'!$`$902), "", 'Data Entry'!$`$902)</f>
      </c>
      <c r="AG902">
        <f>IF(ISBLANK('Data Entry'!$a$902), "", 'Data Entry'!$a$902)</f>
      </c>
      <c r="AH902">
        <f>IF(ISBLANK('Data Entry'!$b$902), "", 'Data Entry'!$b$902)</f>
      </c>
      <c r="AI902">
        <f>IF(ISBLANK('Data Entry'!$c$902), "", 'Data Entry'!$c$902)</f>
      </c>
      <c r="AJ902">
        <f>IF(ISBLANK('Data Entry'!$d$902), "", 'Data Entry'!$d$902)</f>
      </c>
      <c r="AK902">
        <f>IF(ISBLANK('Data Entry'!$e$902), "", 'Data Entry'!$e$902)</f>
      </c>
      <c r="AL902">
        <f>IF(ISBLANK('Data Entry'!$f$902), "", 'Data Entry'!$f$902)</f>
      </c>
      <c r="AM902">
        <f>IF(ISBLANK('Data Entry'!$g$902), "", 'Data Entry'!$g$902)</f>
      </c>
      <c r="AN902">
        <f>IF(ISBLANK('Data Entry'!$h$902), "", 'Data Entry'!$h$902)</f>
      </c>
      <c r="AO902">
        <f>IF(ISBLANK('Data Entry'!$i$902), "", 'Data Entry'!$i$902)</f>
      </c>
      <c r="AP902">
        <f>IF(ISBLANK('Data Entry'!$j$902), "", 'Data Entry'!$j$902)</f>
      </c>
      <c r="AQ902">
        <f>IF(ISBLANK('Data Entry'!$k$902), "", 'Data Entry'!$k$902)</f>
      </c>
      <c r="AR902">
        <f>IF(ISBLANK('Data Entry'!$l$902), "", 'Data Entry'!$l$902)</f>
      </c>
      <c r="AS902">
        <f>IF(ISBLANK('Data Entry'!$m$902), "", 'Data Entry'!$m$902)</f>
      </c>
      <c r="AT902">
        <f>IF(ISBLANK('Data Entry'!$n$902), "", 'Data Entry'!$n$902)</f>
      </c>
      <c r="AU902">
        <f>IF(ISBLANK('Data Entry'!$o$902), "", 'Data Entry'!$o$902)</f>
      </c>
      <c r="AV902">
        <f>IF(ISBLANK('Data Entry'!$p$902), "", 'Data Entry'!$p$902)</f>
      </c>
      <c r="AW902">
        <f>IF(ISBLANK('Data Entry'!$q$902), "", 'Data Entry'!$q$902)</f>
      </c>
      <c r="AX902">
        <f>IF(ISBLANK('Data Entry'!$r$902), "", 'Data Entry'!$r$902)</f>
      </c>
      <c r="AY902">
        <f>IF(ISBLANK('Data Entry'!$s$902), "", 'Data Entry'!$s$902)</f>
      </c>
      <c r="AZ902">
        <f>IF(ISBLANK('Data Entry'!$t$902), "", 'Data Entry'!$t$902)</f>
      </c>
      <c r="BA902">
        <f>IF(ISBLANK('Data Entry'!$u$902), "", 'Data Entry'!$u$902)</f>
      </c>
      <c r="BB902">
        <f>IF(ISBLANK('Data Entry'!$v$902), "", 'Data Entry'!$v$902)</f>
      </c>
      <c r="BC902">
        <f>IF(ISBLANK('Data Entry'!$w$902), "", 'Data Entry'!$w$902)</f>
      </c>
      <c r="BD902">
        <f>IF(ISBLANK('Data Entry'!$x$902), "", 'Data Entry'!$x$902)</f>
      </c>
      <c r="BE902">
        <f>IF(ISBLANK('Data Entry'!$y$902), "", 'Data Entry'!$y$902)</f>
      </c>
      <c r="BF902">
        <f>IF(ISBLANK('Data Entry'!$z$902), "", 'Data Entry'!$z$902)</f>
      </c>
      <c r="BG902">
        <f>IF(ISBLANK('Data Entry'!${$902), "", 'Data Entry'!${$902)</f>
      </c>
      <c r="BH902">
        <f>IF(ISBLANK('Data Entry'!$|$902), "", 'Data Entry'!$|$902)</f>
      </c>
      <c r="BI902">
        <f>IF(ISBLANK('Data Entry'!$}$902), "", 'Data Entry'!$}$902)</f>
      </c>
      <c r="BJ902">
        <f>IF(ISBLANK('Data Entry'!$~$902), "", 'Data Entry'!$~$902)</f>
      </c>
      <c r="BK902">
        <f>IF(ISBLANK('Data Entry'!$$902), "", 'Data Entry'!$$902)</f>
      </c>
      <c r="BL902">
        <f>IF(ISBLANK('Data Entry'!$$902), "", 'Data Entry'!$$902)</f>
      </c>
      <c r="BM902">
        <f>IF(ISBLANK('Data Entry'!$$902), "", 'Data Entry'!$$902)</f>
      </c>
      <c r="BN902">
        <f>IF(ISBLANK('Data Entry'!$$902), "", 'Data Entry'!$$902)</f>
      </c>
      <c r="BO902">
        <f>IF(ISBLANK('Data Entry'!$$902), "", 'Data Entry'!$$902)</f>
      </c>
      <c r="BP902">
        <f>IF(ISBLANK('Data Entry'!$$902), "", 'Data Entry'!$$902)</f>
      </c>
      <c r="BQ902">
        <f>IF(ISBLANK('Data Entry'!$$902), "", 'Data Entry'!$$902)</f>
      </c>
      <c r="BR902">
        <f>IF(ISBLANK('Data Entry'!$$902), "", 'Data Entry'!$$902)</f>
      </c>
      <c r="BS902">
        <f>IF(ISBLANK('Data Entry'!$$902), "", 'Data Entry'!$$902)</f>
      </c>
      <c r="BT902">
        <f>IF(ISBLANK('Data Entry'!$$902), "", 'Data Entry'!$$902)</f>
      </c>
      <c r="BU902">
        <f>IF(ISBLANK('Data Entry'!$$902), "", 'Data Entry'!$$902)</f>
      </c>
      <c r="BV902">
        <f>IF(ISBLANK('Data Entry'!$$902), "", 'Data Entry'!$$902)</f>
      </c>
      <c r="BW902">
        <f>IF(ISBLANK('Data Entry'!$$902), "", 'Data Entry'!$$902)</f>
      </c>
      <c r="BX902">
        <f>IF(ISBLANK('Data Entry'!$$902), "", 'Data Entry'!$$902)</f>
      </c>
      <c r="BY902">
        <f>IF(ISBLANK('Data Entry'!$$902), "", 'Data Entry'!$$902)</f>
      </c>
      <c r="BZ902">
        <f>IF(ISBLANK('Data Entry'!$$902), "", 'Data Entry'!$$902)</f>
      </c>
      <c r="CA902">
        <f>IF(ISBLANK('Data Entry'!$$902), "", 'Data Entry'!$$902)</f>
      </c>
      <c r="CB902">
        <f>IF(ISBLANK('Data Entry'!$$902), "", 'Data Entry'!$$902)</f>
      </c>
      <c r="CC902">
        <f>IF(ISBLANK('Data Entry'!$$902), "", 'Data Entry'!$$902)</f>
      </c>
      <c r="CD902">
        <f>IF(ISBLANK('Data Entry'!$$902), "", 'Data Entry'!$$902)</f>
      </c>
      <c r="CE902">
        <f>IF(ISBLANK('Data Entry'!$$902), "", 'Data Entry'!$$902)</f>
      </c>
      <c r="CF902">
        <f>IF(ISBLANK('Data Entry'!$$902), "", 'Data Entry'!$$902)</f>
      </c>
      <c r="CG902">
        <f>IF(ISBLANK('Data Entry'!$$902), "", 'Data Entry'!$$902)</f>
      </c>
      <c r="CH902">
        <f>IF(ISBLANK('Data Entry'!$$902), "", 'Data Entry'!$$902)</f>
      </c>
      <c r="CI902">
        <f>IF(ISBLANK('Data Entry'!$$902), "", 'Data Entry'!$$902)</f>
      </c>
      <c r="CJ902">
        <f>IF(ISBLANK('Data Entry'!$$902), "", 'Data Entry'!$$902)</f>
      </c>
      <c r="CK902">
        <f>IF(ISBLANK('Data Entry'!$$902), "", 'Data Entry'!$$902)</f>
      </c>
      <c r="CL902">
        <f>IF(ISBLANK('Data Entry'!$$902), "", 'Data Entry'!$$902)</f>
      </c>
      <c r="CM902">
        <f>IF(ISBLANK('Data Entry'!$$902), "", 'Data Entry'!$$902)</f>
      </c>
      <c r="CN902">
        <f>IF(ISBLANK('Data Entry'!$$902), "", 'Data Entry'!$$902)</f>
      </c>
      <c r="CO902">
        <f>IF(ISBLANK('Data Entry'!$$902), "", 'Data Entry'!$$902)</f>
      </c>
      <c r="CP902">
        <f>IF(ISBLANK('Data Entry'!$$902), "", 'Data Entry'!$$902)</f>
      </c>
      <c r="CQ902">
        <f>IF(ISBLANK('Data Entry'!$$902), "", 'Data Entry'!$$902)</f>
      </c>
      <c r="CR902">
        <f>IF(ISBLANK('Data Entry'!$ $902), "", 'Data Entry'!$ $902)</f>
      </c>
      <c r="CS902">
        <f>IF(ISBLANK('Data Entry'!$¡$902), "", 'Data Entry'!$¡$902)</f>
      </c>
      <c r="CT902">
        <f>IF(ISBLANK('Data Entry'!$¢$902), "", 'Data Entry'!$¢$902)</f>
      </c>
      <c r="CU902">
        <f>IF(ISBLANK('Data Entry'!$£$902), "", 'Data Entry'!$£$902)</f>
      </c>
      <c r="CV902">
        <f>IF(ISBLANK('Data Entry'!$¤$902), "", 'Data Entry'!$¤$902)</f>
      </c>
      <c r="CW902">
        <f>IF(ISBLANK('Data Entry'!$¥$902), "", 'Data Entry'!$¥$902)</f>
      </c>
      <c r="CX902">
        <f>IF(ISBLANK('Data Entry'!$¦$902), "", 'Data Entry'!$¦$902)</f>
      </c>
      <c r="CY902">
        <f>IF(ISBLANK('Data Entry'!$§$902), "", 'Data Entry'!$§$902)</f>
      </c>
      <c r="CZ902">
        <f>IF(ISBLANK('Data Entry'!$¨$902), "", 'Data Entry'!$¨$902)</f>
      </c>
      <c r="DA902">
        <f>IF(ISBLANK('Data Entry'!$©$902), "", 'Data Entry'!$©$902)</f>
      </c>
      <c r="DB902">
        <f>IF(ISBLANK('Data Entry'!$ª$902), "", 'Data Entry'!$ª$902)</f>
      </c>
      <c r="DC902">
        <f>IF(ISBLANK('Data Entry'!$«$902), "", 'Data Entry'!$«$902)</f>
      </c>
      <c r="DD902">
        <f>IF(ISBLANK('Data Entry'!$¬$902), "", 'Data Entry'!$¬$902)</f>
      </c>
      <c r="DE902">
        <f>IF(ISBLANK('Data Entry'!$­$902), "", 'Data Entry'!$­$902)</f>
      </c>
      <c r="DF902">
        <f>IF(ISBLANK('Data Entry'!$®$902), "", 'Data Entry'!$®$902)</f>
      </c>
      <c r="DG902">
        <f>IF(ISBLANK('Data Entry'!$¯$902), "", 'Data Entry'!$¯$902)</f>
      </c>
      <c r="DH902">
        <f>IF(ISBLANK('Data Entry'!$°$902), "", 'Data Entry'!$°$902)</f>
      </c>
      <c r="DI902">
        <f>IF(ISBLANK('Data Entry'!$±$902), "", 'Data Entry'!$±$902)</f>
      </c>
      <c r="DJ902">
        <f>IF(ISBLANK('Data Entry'!$²$902), "", 'Data Entry'!$²$902)</f>
      </c>
      <c r="DK902">
        <f>IF(ISBLANK('Data Entry'!$³$902), "", 'Data Entry'!$³$902)</f>
      </c>
      <c r="DL902">
        <f>IF(ISBLANK('Data Entry'!$´$902), "", 'Data Entry'!$´$902)</f>
      </c>
      <c r="DM902">
        <f>IF(ISBLANK('Data Entry'!$µ$902), "", 'Data Entry'!$µ$902)</f>
      </c>
      <c r="DN902">
        <f>IF(ISBLANK('Data Entry'!$¶$902), "", 'Data Entry'!$¶$902)</f>
      </c>
      <c r="DO902">
        <f>IF(ISBLANK('Data Entry'!$·$902), "", 'Data Entry'!$·$902)</f>
      </c>
      <c r="DP902">
        <f>IF(ISBLANK('Data Entry'!$¸$902), "", 'Data Entry'!$¸$902)</f>
      </c>
      <c r="DQ902">
        <f>IF(ISBLANK('Data Entry'!$¹$902), "", 'Data Entry'!$¹$902)</f>
      </c>
      <c r="DR902">
        <f>IF(ISBLANK('Data Entry'!$º$902), "", 'Data Entry'!$º$902)</f>
      </c>
      <c r="DS902">
        <f>IF(ISBLANK('Data Entry'!$»$902), "", 'Data Entry'!$»$902)</f>
      </c>
      <c r="DT902">
        <f>IF(ISBLANK('Data Entry'!$¼$902), "", 'Data Entry'!$¼$902)</f>
      </c>
      <c r="DU902">
        <f>IF(ISBLANK('Data Entry'!$½$902), "", 'Data Entry'!$½$902)</f>
      </c>
      <c r="DV902">
        <f>IF(ISBLANK('Data Entry'!$¾$902), "", 'Data Entry'!$¾$902)</f>
      </c>
      <c r="DW902">
        <f>IF(ISBLANK('Data Entry'!$¿$902), "", 'Data Entry'!$¿$902)</f>
      </c>
      <c r="DX902">
        <f>IF(ISBLANK('Data Entry'!$À$902), "", 'Data Entry'!$À$902)</f>
      </c>
      <c r="DY902">
        <f>IF(ISBLANK('Data Entry'!$Á$902), "", 'Data Entry'!$Á$902)</f>
      </c>
      <c r="DZ902">
        <f>IF(ISBLANK('Data Entry'!$Â$902), "", 'Data Entry'!$Â$902)</f>
      </c>
      <c r="EA902">
        <f>IF(ISBLANK('Data Entry'!$Ã$902), "", 'Data Entry'!$Ã$902)</f>
      </c>
      <c r="EB902">
        <f>IF(ISBLANK('Data Entry'!$Ä$902), "", 'Data Entry'!$Ä$902)</f>
      </c>
      <c r="EC902">
        <f>IF(ISBLANK('Data Entry'!$Å$902), "", 'Data Entry'!$Å$902)</f>
      </c>
      <c r="ED902">
        <f>IF(ISBLANK('Data Entry'!$Æ$902), "", 'Data Entry'!$Æ$902)</f>
      </c>
      <c r="EE902">
        <f>IF(ISBLANK('Data Entry'!$Ç$902), "", 'Data Entry'!$Ç$902)</f>
      </c>
      <c r="EF902">
        <f>IF(ISBLANK('Data Entry'!$È$902), "", 'Data Entry'!$È$902)</f>
      </c>
      <c r="EG902">
        <f>IF(ISBLANK('Data Entry'!$É$902), "", 'Data Entry'!$É$902)</f>
      </c>
      <c r="EH902">
        <f>IF(ISBLANK('Data Entry'!$Ê$902), "", 'Data Entry'!$Ê$902)</f>
      </c>
      <c r="EI902">
        <f>IF(ISBLANK('Data Entry'!$Ë$902), "", 'Data Entry'!$Ë$902)</f>
      </c>
      <c r="EJ902">
        <f>IF(ISBLANK('Data Entry'!$Ì$902), "", 'Data Entry'!$Ì$902)</f>
      </c>
      <c r="EK902">
        <f>IF(ISBLANK('Data Entry'!$Í$902), "", 'Data Entry'!$Í$902)</f>
      </c>
      <c r="EL902">
        <f>IF(ISBLANK('Data Entry'!$Î$902), "", 'Data Entry'!$Î$902)</f>
      </c>
      <c r="EM902">
        <f>IF(ISBLANK('Data Entry'!$Ï$902), "", 'Data Entry'!$Ï$902)</f>
      </c>
      <c r="EN902">
        <f>IF(ISBLANK('Data Entry'!$Ð$902), "", 'Data Entry'!$Ð$902)</f>
      </c>
      <c r="EO902">
        <f>IF(ISBLANK('Data Entry'!$Ñ$902), "", 'Data Entry'!$Ñ$902)</f>
      </c>
      <c r="EP902">
        <f>IF(ISBLANK('Data Entry'!$Ò$902), "", 'Data Entry'!$Ò$902)</f>
      </c>
      <c r="EQ902">
        <f>IF(ISBLANK('Data Entry'!$Ó$902), "", 'Data Entry'!$Ó$902)</f>
      </c>
      <c r="ER902">
        <f>IF(ISBLANK('Data Entry'!$Ô$902), "", 'Data Entry'!$Ô$902)</f>
      </c>
      <c r="ES902">
        <f>IF(ISBLANK('Data Entry'!$Õ$902), "", 'Data Entry'!$Õ$902)</f>
      </c>
      <c r="ET902">
        <f>IF(ISBLANK('Data Entry'!$Ö$902), "", 'Data Entry'!$Ö$902)</f>
      </c>
      <c r="EU902">
        <f>IF(ISBLANK('Data Entry'!$×$902), "", 'Data Entry'!$×$902)</f>
      </c>
      <c r="EV902">
        <f>IF(ISBLANK('Data Entry'!$Ø$902), "", 'Data Entry'!$Ø$902)</f>
      </c>
      <c r="EW902">
        <f>IF(ISBLANK('Data Entry'!$Ù$902), "", 'Data Entry'!$Ù$902)</f>
      </c>
      <c r="EX902">
        <f>IF(ISBLANK('Data Entry'!$Ú$902), "", 'Data Entry'!$Ú$902)</f>
      </c>
      <c r="EY902">
        <f>IF(ISBLANK('Data Entry'!$Û$902), "", 'Data Entry'!$Û$902)</f>
      </c>
      <c r="EZ902">
        <f>IF(ISBLANK('Data Entry'!$Ü$902), "", 'Data Entry'!$Ü$902)</f>
      </c>
      <c r="FA902">
        <f>IF(ISBLANK('Data Entry'!$Ý$902), "", 'Data Entry'!$Ý$902)</f>
      </c>
      <c r="FB902">
        <f>IF(ISBLANK('Data Entry'!$Þ$902), "", 'Data Entry'!$Þ$902)</f>
      </c>
      <c r="FC902">
        <f>IF(ISBLANK('Data Entry'!$ß$902), "", 'Data Entry'!$ß$902)</f>
      </c>
      <c r="FD902">
        <f>IF(ISBLANK('Data Entry'!$à$902), "", 'Data Entry'!$à$902)</f>
      </c>
      <c r="FE902">
        <f>IF(ISBLANK('Data Entry'!$á$902), "", 'Data Entry'!$á$902)</f>
      </c>
      <c r="FF902">
        <f>IF(ISBLANK('Data Entry'!$â$902), "", 'Data Entry'!$â$902)</f>
      </c>
      <c r="FG902">
        <f>IF(ISBLANK('Data Entry'!$ã$902), "", 'Data Entry'!$ã$902)</f>
      </c>
      <c r="FH902">
        <f>IF(ISBLANK('Data Entry'!$ä$902), "", 'Data Entry'!$ä$902)</f>
      </c>
      <c r="FI902">
        <f>IF(ISBLANK('Data Entry'!$å$902), "", 'Data Entry'!$å$902)</f>
      </c>
      <c r="FJ902">
        <f>IF(ISBLANK('Data Entry'!$æ$902), "", 'Data Entry'!$æ$902)</f>
      </c>
      <c r="FK902">
        <f>IF(ISBLANK('Data Entry'!$ç$902), "", 'Data Entry'!$ç$902)</f>
      </c>
      <c r="FL902">
        <f>IF(ISBLANK('Data Entry'!$è$902), "", 'Data Entry'!$è$902)</f>
      </c>
      <c r="FM902">
        <f>IF(ISBLANK('Data Entry'!$é$902), "", 'Data Entry'!$é$902)</f>
      </c>
      <c r="FN902">
        <f>IF(ISBLANK('Data Entry'!$ê$902), "", 'Data Entry'!$ê$902)</f>
      </c>
      <c r="FO902">
        <f>IF(ISBLANK('Data Entry'!$ë$902), "", 'Data Entry'!$ë$902)</f>
      </c>
      <c r="FP902">
        <f>IF(ISBLANK('Data Entry'!$ì$902), "", 'Data Entry'!$ì$902)</f>
      </c>
      <c r="FQ902">
        <f>IF(ISBLANK('Data Entry'!$í$902), "", 'Data Entry'!$í$902)</f>
      </c>
      <c r="FR902">
        <f>IF(ISBLANK('Data Entry'!$î$902), "", 'Data Entry'!$î$902)</f>
      </c>
      <c r="FS902">
        <f>IF(ISBLANK('Data Entry'!$ï$902), "", 'Data Entry'!$ï$902)</f>
      </c>
      <c r="FT902">
        <f>IF(ISBLANK('Data Entry'!$ð$902), "", 'Data Entry'!$ð$902)</f>
      </c>
      <c r="FU902">
        <f>IF(ISBLANK('Data Entry'!$ñ$902), "", 'Data Entry'!$ñ$902)</f>
      </c>
      <c r="FV902">
        <f>IF(ISBLANK('Data Entry'!$ò$902), "", 'Data Entry'!$ò$902)</f>
      </c>
      <c r="FW902">
        <f>IF(ISBLANK('Data Entry'!$ó$902), "", 'Data Entry'!$ó$902)</f>
      </c>
      <c r="FX902">
        <f>IF(ISBLANK('Data Entry'!$ô$902), "", 'Data Entry'!$ô$902)</f>
      </c>
      <c r="FY902">
        <f>IF(ISBLANK('Data Entry'!$õ$902), "", 'Data Entry'!$õ$902)</f>
      </c>
      <c r="FZ902">
        <f>IF(ISBLANK('Data Entry'!$ö$902), "", 'Data Entry'!$ö$902)</f>
      </c>
      <c r="GA902">
        <f>IF(ISBLANK('Data Entry'!$÷$902), "", 'Data Entry'!$÷$902)</f>
      </c>
      <c r="GB902">
        <f>IF(ISBLANK('Data Entry'!$ø$902), "", 'Data Entry'!$ø$902)</f>
      </c>
      <c r="GC902">
        <f>IF(ISBLANK('Data Entry'!$ù$902), "", 'Data Entry'!$ù$902)</f>
      </c>
      <c r="GD902">
        <f>IF(ISBLANK('Data Entry'!$ú$902), "", 'Data Entry'!$ú$902)</f>
      </c>
      <c r="GE902">
        <f>IF(ISBLANK('Data Entry'!$û$902), "", 'Data Entry'!$û$902)</f>
      </c>
      <c r="GF902">
        <f>IF(ISBLANK('Data Entry'!$ü$902), "", 'Data Entry'!$ü$902)</f>
      </c>
      <c r="GG902">
        <f>IF(ISBLANK('Data Entry'!$ý$902), "", 'Data Entry'!$ý$902)</f>
      </c>
      <c r="GH902">
        <f>IF(ISBLANK('Data Entry'!$þ$902), "", 'Data Entry'!$þ$902)</f>
      </c>
      <c r="GI902">
        <f>IF(ISBLANK('Data Entry'!$ÿ$902), "", 'Data Entry'!$ÿ$902)</f>
      </c>
      <c r="GJ902">
        <f>IF(ISBLANK('Data Entry'!$Ā$902), "", 'Data Entry'!$Ā$902)</f>
      </c>
      <c r="GK902">
        <f>IF(ISBLANK('Data Entry'!$ā$902), "", 'Data Entry'!$ā$902)</f>
      </c>
      <c r="GL902">
        <f>IF(ISBLANK('Data Entry'!$Ă$902), "", 'Data Entry'!$Ă$902)</f>
      </c>
      <c r="GM902">
        <f>IF(ISBLANK('Data Entry'!$ă$902), "", 'Data Entry'!$ă$902)</f>
      </c>
      <c r="GN902">
        <f>IF(ISBLANK('Data Entry'!$Ą$902), "", 'Data Entry'!$Ą$902)</f>
      </c>
      <c r="GO902">
        <f>IF(ISBLANK('Data Entry'!$ą$902), "", 'Data Entry'!$ą$902)</f>
      </c>
      <c r="GP902">
        <f>IF(ISBLANK('Data Entry'!$Ć$902), "", 'Data Entry'!$Ć$902)</f>
      </c>
      <c r="GQ902">
        <f>IF(ISBLANK('Data Entry'!$ć$902), "", 'Data Entry'!$ć$902)</f>
      </c>
      <c r="GR902">
        <f>IF(ISBLANK('Data Entry'!$Ĉ$902), "", 'Data Entry'!$Ĉ$902)</f>
      </c>
      <c r="GS902">
        <f>IF(ISBLANK('Data Entry'!$ĉ$902), "", 'Data Entry'!$ĉ$902)</f>
      </c>
      <c r="GT902">
        <f>IF(ISBLANK('Data Entry'!$Ċ$902), "", 'Data Entry'!$Ċ$902)</f>
      </c>
      <c r="GU902">
        <f>IF(ISBLANK('Data Entry'!$ċ$902), "", 'Data Entry'!$ċ$902)</f>
      </c>
      <c r="GV902">
        <f>IF(ISBLANK('Data Entry'!$Č$902), "", 'Data Entry'!$Č$902)</f>
      </c>
      <c r="GW902">
        <f>IF(ISBLANK('Data Entry'!$č$902), "", 'Data Entry'!$č$902)</f>
      </c>
      <c r="GX902">
        <f>IF(ISBLANK('Data Entry'!$Ď$902), "", 'Data Entry'!$Ď$902)</f>
      </c>
      <c r="GY902">
        <f>IF(ISBLANK('Data Entry'!$ď$902), "", 'Data Entry'!$ď$902)</f>
      </c>
      <c r="GZ902">
        <f>IF(ISBLANK('Data Entry'!$Đ$902), "", 'Data Entry'!$Đ$902)</f>
      </c>
      <c r="HA902">
        <f>IF(ISBLANK('Data Entry'!$đ$902), "", 'Data Entry'!$đ$902)</f>
      </c>
      <c r="HB902">
        <f>IF(ISBLANK('Data Entry'!$Ē$902), "", 'Data Entry'!$Ē$902)</f>
      </c>
      <c r="HC902">
        <f>IF(ISBLANK('Data Entry'!$ē$902), "", 'Data Entry'!$ē$902)</f>
      </c>
      <c r="HD902">
        <f>IF(ISBLANK('Data Entry'!$Ĕ$902), "", 'Data Entry'!$Ĕ$902)</f>
      </c>
      <c r="HE902">
        <f>IF(ISBLANK('Data Entry'!$ĕ$902), "", 'Data Entry'!$ĕ$902)</f>
      </c>
      <c r="HF902">
        <f>IF(ISBLANK('Data Entry'!$Ė$902), "", 'Data Entry'!$Ė$902)</f>
      </c>
      <c r="HG902">
        <f>IF(ISBLANK('Data Entry'!$ė$902), "", 'Data Entry'!$ė$902)</f>
      </c>
      <c r="HH902">
        <f>IF(ISBLANK('Data Entry'!$Ę$902), "", 'Data Entry'!$Ę$902)</f>
      </c>
      <c r="HI902">
        <f>IF(ISBLANK('Data Entry'!$ę$902), "", 'Data Entry'!$ę$902)</f>
      </c>
      <c r="HJ902">
        <f>IF(ISBLANK('Data Entry'!$Ě$902), "", 'Data Entry'!$Ě$902)</f>
      </c>
      <c r="HK902">
        <f>IF(ISBLANK('Data Entry'!$ě$902), "", 'Data Entry'!$ě$902)</f>
      </c>
      <c r="HL902">
        <f>IF(ISBLANK('Data Entry'!$Ĝ$902), "", 'Data Entry'!$Ĝ$902)</f>
      </c>
      <c r="HM902">
        <f>IF(ISBLANK('Data Entry'!$ĝ$902), "", 'Data Entry'!$ĝ$902)</f>
      </c>
      <c r="HN902">
        <f>IF(ISBLANK('Data Entry'!$Ğ$902), "", 'Data Entry'!$Ğ$902)</f>
      </c>
      <c r="HO902">
        <f>IF(ISBLANK('Data Entry'!$ğ$902), "", 'Data Entry'!$ğ$902)</f>
      </c>
      <c r="HP902">
        <f>IF(ISBLANK('Data Entry'!$Ġ$902), "", 'Data Entry'!$Ġ$902)</f>
      </c>
      <c r="HQ902">
        <f>IF(ISBLANK('Data Entry'!$ġ$902), "", 'Data Entry'!$ġ$902)</f>
      </c>
      <c r="HR902">
        <f>IF(ISBLANK('Data Entry'!$Ģ$902), "", 'Data Entry'!$Ģ$902)</f>
      </c>
      <c r="HS902">
        <f>IF(ISBLANK('Data Entry'!$ģ$902), "", 'Data Entry'!$ģ$902)</f>
      </c>
      <c r="HT902">
        <f>IF(ISBLANK('Data Entry'!$Ĥ$902), "", 'Data Entry'!$Ĥ$902)</f>
      </c>
      <c r="HU902">
        <f>IF(ISBLANK('Data Entry'!$ĥ$902), "", 'Data Entry'!$ĥ$902)</f>
      </c>
      <c r="HV902">
        <f>IF(ISBLANK('Data Entry'!$Ħ$902), "", 'Data Entry'!$Ħ$902)</f>
      </c>
      <c r="HW902">
        <f>IF(ISBLANK('Data Entry'!$ħ$902), "", 'Data Entry'!$ħ$902)</f>
      </c>
      <c r="HX902">
        <f>IF(ISBLANK('Data Entry'!$Ĩ$902), "", 'Data Entry'!$Ĩ$902)</f>
      </c>
      <c r="HY902">
        <f>IF(ISBLANK('Data Entry'!$ĩ$902), "", 'Data Entry'!$ĩ$902)</f>
      </c>
      <c r="HZ902">
        <f>IF(ISBLANK('Data Entry'!$Ī$902), "", 'Data Entry'!$Ī$902)</f>
      </c>
      <c r="IA902">
        <f>IF(ISBLANK('Data Entry'!$ī$902), "", 'Data Entry'!$ī$902)</f>
      </c>
      <c r="IB902">
        <f>IF(ISBLANK('Data Entry'!$Ĭ$902), "", 'Data Entry'!$Ĭ$902)</f>
      </c>
      <c r="IC902">
        <f>IF(ISBLANK('Data Entry'!$ĭ$902), "", 'Data Entry'!$ĭ$902)</f>
      </c>
      <c r="ID902">
        <f>IF(ISBLANK('Data Entry'!$Į$902), "", 'Data Entry'!$Į$902)</f>
      </c>
      <c r="IE902">
        <f>IF(ISBLANK('Data Entry'!$į$902), "", 'Data Entry'!$į$902)</f>
      </c>
      <c r="IF902">
        <f>IF(ISBLANK('Data Entry'!$İ$902), "", 'Data Entry'!$İ$902)</f>
      </c>
      <c r="IG902">
        <f>IF(ISBLANK('Data Entry'!$ı$902), "", 'Data Entry'!$ı$902)</f>
      </c>
      <c r="IH902">
        <f>IF(ISBLANK('Data Entry'!$Ĳ$902), "", 'Data Entry'!$Ĳ$902)</f>
      </c>
      <c r="II902">
        <f>IF(ISBLANK('Data Entry'!$ĳ$902), "", 'Data Entry'!$ĳ$902)</f>
      </c>
      <c r="IJ902">
        <f>IF(ISBLANK('Data Entry'!$Ĵ$902), "", 'Data Entry'!$Ĵ$902)</f>
      </c>
      <c r="IK902">
        <f>IF(ISBLANK('Data Entry'!$ĵ$902), "", 'Data Entry'!$ĵ$902)</f>
      </c>
      <c r="IL902">
        <f>IF(ISBLANK('Data Entry'!$Ķ$902), "", 'Data Entry'!$Ķ$902)</f>
      </c>
      <c r="IM902">
        <f>IF(ISBLANK('Data Entry'!$ķ$902), "", 'Data Entry'!$ķ$902)</f>
      </c>
      <c r="IN902">
        <f>IF(ISBLANK('Data Entry'!$ĸ$902), "", 'Data Entry'!$ĸ$902)</f>
      </c>
      <c r="IO902">
        <f>IF(ISBLANK('Data Entry'!$Ĺ$902), "", 'Data Entry'!$Ĺ$902)</f>
      </c>
      <c r="IP902">
        <f>IF(ISBLANK('Data Entry'!$ĺ$902), "", 'Data Entry'!$ĺ$902)</f>
      </c>
      <c r="IQ902">
        <f>IF(ISBLANK('Data Entry'!$Ļ$902), "", 'Data Entry'!$Ļ$902)</f>
      </c>
      <c r="IR902">
        <f>IF(ISBLANK('Data Entry'!$ļ$902), "", 'Data Entry'!$ļ$902)</f>
      </c>
      <c r="IS902">
        <f>IF(ISBLANK('Data Entry'!$Ľ$902), "", 'Data Entry'!$Ľ$902)</f>
      </c>
      <c r="IT902">
        <f>IF(ISBLANK('Data Entry'!$ľ$902), "", 'Data Entry'!$ľ$902)</f>
      </c>
    </row>
    <row r="903" spans="1:254" x14ac:dyDescent="0.25">
      <c r="A903">
        <f>IF(ISBLANK('Data Entry'!$A$903), "", 'Data Entry'!$A$903)</f>
      </c>
      <c r="B903">
        <f>IF(ISBLANK('Data Entry'!$B$903), "", 'Data Entry'!$B$903)</f>
      </c>
      <c r="C903">
        <f>IF(ISBLANK('Data Entry'!$C$903), "", 'Data Entry'!$C$903)</f>
      </c>
      <c r="D903">
        <f>IF(ISBLANK('Data Entry'!$D$903), "", 'Data Entry'!$D$903)</f>
      </c>
      <c r="E903">
        <f>IF(ISBLANK('Data Entry'!$E$903), "", 'Data Entry'!$E$903)</f>
      </c>
      <c r="F903">
        <f>IF(ISBLANK('Data Entry'!$F$903), "", 'Data Entry'!$F$903)</f>
      </c>
      <c r="G903">
        <f>IF(ISBLANK('Data Entry'!$G$903), "", 'Data Entry'!$G$903)</f>
      </c>
      <c r="H903">
        <f>IF(ISBLANK('Data Entry'!$H$903), "", 'Data Entry'!$H$903)</f>
      </c>
      <c r="I903">
        <f>IF(ISBLANK('Data Entry'!$I$903), "", 'Data Entry'!$I$903)</f>
      </c>
      <c r="J903">
        <f>IF(ISBLANK('Data Entry'!$J$903), "", 'Data Entry'!$J$903)</f>
      </c>
      <c r="K903">
        <f>IF(ISBLANK('Data Entry'!$K$903), "", 'Data Entry'!$K$903)</f>
      </c>
      <c r="L903">
        <f>IF(ISBLANK('Data Entry'!$L$903), "", 'Data Entry'!$L$903)</f>
      </c>
      <c r="M903">
        <f>IF(ISBLANK('Data Entry'!$M$903), "", 'Data Entry'!$M$903)</f>
      </c>
      <c r="N903">
        <f>IF(ISBLANK('Data Entry'!$N$903), "", 'Data Entry'!$N$903)</f>
      </c>
      <c r="O903">
        <f>IF(ISBLANK('Data Entry'!$O$903), "", 'Data Entry'!$O$903)</f>
      </c>
      <c r="P903">
        <f>IF(ISBLANK('Data Entry'!$P$903), "", 'Data Entry'!$P$903)</f>
      </c>
      <c r="Q903">
        <f>IF(ISBLANK('Data Entry'!$Q$903), "", 'Data Entry'!$Q$903)</f>
      </c>
      <c r="R903">
        <f>IF(ISBLANK('Data Entry'!$R$903), "", 'Data Entry'!$R$903)</f>
      </c>
      <c r="S903">
        <f>IF(ISBLANK('Data Entry'!$S$903), "", 'Data Entry'!$S$903)</f>
      </c>
      <c r="T903">
        <f>IF(ISBLANK('Data Entry'!$T$903), "", 'Data Entry'!$T$903)</f>
      </c>
      <c r="U903">
        <f>IF(ISBLANK('Data Entry'!$U$903), "", 'Data Entry'!$U$903)</f>
      </c>
      <c r="V903">
        <f>IF(ISBLANK('Data Entry'!$V$903), "", 'Data Entry'!$V$903)</f>
      </c>
      <c r="W903">
        <f>IF(ISBLANK('Data Entry'!$W$903), "", 'Data Entry'!$W$903)</f>
      </c>
      <c r="X903">
        <f>IF(ISBLANK('Data Entry'!$X$903), "", 'Data Entry'!$X$903)</f>
      </c>
      <c r="Y903">
        <f>IF(ISBLANK('Data Entry'!$Y$903), "", 'Data Entry'!$Y$903)</f>
      </c>
      <c r="Z903">
        <f>IF(ISBLANK('Data Entry'!$Z$903), "", 'Data Entry'!$Z$903)</f>
      </c>
      <c r="AA903">
        <f>IF(ISBLANK('Data Entry'!$[$903), "", 'Data Entry'!$[$903)</f>
      </c>
      <c r="AB903">
        <f>IF(ISBLANK('Data Entry'!$\$903), "", 'Data Entry'!$\$903)</f>
      </c>
      <c r="AC903">
        <f>IF(ISBLANK('Data Entry'!$]$903), "", 'Data Entry'!$]$903)</f>
      </c>
      <c r="AD903">
        <f>IF(ISBLANK('Data Entry'!$^$903), "", 'Data Entry'!$^$903)</f>
      </c>
      <c r="AE903">
        <f>IF(ISBLANK('Data Entry'!$_$903), "", 'Data Entry'!$_$903)</f>
      </c>
      <c r="AF903">
        <f>IF(ISBLANK('Data Entry'!$`$903), "", 'Data Entry'!$`$903)</f>
      </c>
      <c r="AG903">
        <f>IF(ISBLANK('Data Entry'!$a$903), "", 'Data Entry'!$a$903)</f>
      </c>
      <c r="AH903">
        <f>IF(ISBLANK('Data Entry'!$b$903), "", 'Data Entry'!$b$903)</f>
      </c>
      <c r="AI903">
        <f>IF(ISBLANK('Data Entry'!$c$903), "", 'Data Entry'!$c$903)</f>
      </c>
      <c r="AJ903">
        <f>IF(ISBLANK('Data Entry'!$d$903), "", 'Data Entry'!$d$903)</f>
      </c>
      <c r="AK903">
        <f>IF(ISBLANK('Data Entry'!$e$903), "", 'Data Entry'!$e$903)</f>
      </c>
      <c r="AL903">
        <f>IF(ISBLANK('Data Entry'!$f$903), "", 'Data Entry'!$f$903)</f>
      </c>
      <c r="AM903">
        <f>IF(ISBLANK('Data Entry'!$g$903), "", 'Data Entry'!$g$903)</f>
      </c>
      <c r="AN903">
        <f>IF(ISBLANK('Data Entry'!$h$903), "", 'Data Entry'!$h$903)</f>
      </c>
      <c r="AO903">
        <f>IF(ISBLANK('Data Entry'!$i$903), "", 'Data Entry'!$i$903)</f>
      </c>
      <c r="AP903">
        <f>IF(ISBLANK('Data Entry'!$j$903), "", 'Data Entry'!$j$903)</f>
      </c>
      <c r="AQ903">
        <f>IF(ISBLANK('Data Entry'!$k$903), "", 'Data Entry'!$k$903)</f>
      </c>
      <c r="AR903">
        <f>IF(ISBLANK('Data Entry'!$l$903), "", 'Data Entry'!$l$903)</f>
      </c>
      <c r="AS903">
        <f>IF(ISBLANK('Data Entry'!$m$903), "", 'Data Entry'!$m$903)</f>
      </c>
      <c r="AT903">
        <f>IF(ISBLANK('Data Entry'!$n$903), "", 'Data Entry'!$n$903)</f>
      </c>
      <c r="AU903">
        <f>IF(ISBLANK('Data Entry'!$o$903), "", 'Data Entry'!$o$903)</f>
      </c>
      <c r="AV903">
        <f>IF(ISBLANK('Data Entry'!$p$903), "", 'Data Entry'!$p$903)</f>
      </c>
      <c r="AW903">
        <f>IF(ISBLANK('Data Entry'!$q$903), "", 'Data Entry'!$q$903)</f>
      </c>
      <c r="AX903">
        <f>IF(ISBLANK('Data Entry'!$r$903), "", 'Data Entry'!$r$903)</f>
      </c>
      <c r="AY903">
        <f>IF(ISBLANK('Data Entry'!$s$903), "", 'Data Entry'!$s$903)</f>
      </c>
      <c r="AZ903">
        <f>IF(ISBLANK('Data Entry'!$t$903), "", 'Data Entry'!$t$903)</f>
      </c>
      <c r="BA903">
        <f>IF(ISBLANK('Data Entry'!$u$903), "", 'Data Entry'!$u$903)</f>
      </c>
      <c r="BB903">
        <f>IF(ISBLANK('Data Entry'!$v$903), "", 'Data Entry'!$v$903)</f>
      </c>
      <c r="BC903">
        <f>IF(ISBLANK('Data Entry'!$w$903), "", 'Data Entry'!$w$903)</f>
      </c>
      <c r="BD903">
        <f>IF(ISBLANK('Data Entry'!$x$903), "", 'Data Entry'!$x$903)</f>
      </c>
      <c r="BE903">
        <f>IF(ISBLANK('Data Entry'!$y$903), "", 'Data Entry'!$y$903)</f>
      </c>
      <c r="BF903">
        <f>IF(ISBLANK('Data Entry'!$z$903), "", 'Data Entry'!$z$903)</f>
      </c>
      <c r="BG903">
        <f>IF(ISBLANK('Data Entry'!${$903), "", 'Data Entry'!${$903)</f>
      </c>
      <c r="BH903">
        <f>IF(ISBLANK('Data Entry'!$|$903), "", 'Data Entry'!$|$903)</f>
      </c>
      <c r="BI903">
        <f>IF(ISBLANK('Data Entry'!$}$903), "", 'Data Entry'!$}$903)</f>
      </c>
      <c r="BJ903">
        <f>IF(ISBLANK('Data Entry'!$~$903), "", 'Data Entry'!$~$903)</f>
      </c>
      <c r="BK903">
        <f>IF(ISBLANK('Data Entry'!$$903), "", 'Data Entry'!$$903)</f>
      </c>
      <c r="BL903">
        <f>IF(ISBLANK('Data Entry'!$$903), "", 'Data Entry'!$$903)</f>
      </c>
      <c r="BM903">
        <f>IF(ISBLANK('Data Entry'!$$903), "", 'Data Entry'!$$903)</f>
      </c>
      <c r="BN903">
        <f>IF(ISBLANK('Data Entry'!$$903), "", 'Data Entry'!$$903)</f>
      </c>
      <c r="BO903">
        <f>IF(ISBLANK('Data Entry'!$$903), "", 'Data Entry'!$$903)</f>
      </c>
      <c r="BP903">
        <f>IF(ISBLANK('Data Entry'!$$903), "", 'Data Entry'!$$903)</f>
      </c>
      <c r="BQ903">
        <f>IF(ISBLANK('Data Entry'!$$903), "", 'Data Entry'!$$903)</f>
      </c>
      <c r="BR903">
        <f>IF(ISBLANK('Data Entry'!$$903), "", 'Data Entry'!$$903)</f>
      </c>
      <c r="BS903">
        <f>IF(ISBLANK('Data Entry'!$$903), "", 'Data Entry'!$$903)</f>
      </c>
      <c r="BT903">
        <f>IF(ISBLANK('Data Entry'!$$903), "", 'Data Entry'!$$903)</f>
      </c>
      <c r="BU903">
        <f>IF(ISBLANK('Data Entry'!$$903), "", 'Data Entry'!$$903)</f>
      </c>
      <c r="BV903">
        <f>IF(ISBLANK('Data Entry'!$$903), "", 'Data Entry'!$$903)</f>
      </c>
      <c r="BW903">
        <f>IF(ISBLANK('Data Entry'!$$903), "", 'Data Entry'!$$903)</f>
      </c>
      <c r="BX903">
        <f>IF(ISBLANK('Data Entry'!$$903), "", 'Data Entry'!$$903)</f>
      </c>
      <c r="BY903">
        <f>IF(ISBLANK('Data Entry'!$$903), "", 'Data Entry'!$$903)</f>
      </c>
      <c r="BZ903">
        <f>IF(ISBLANK('Data Entry'!$$903), "", 'Data Entry'!$$903)</f>
      </c>
      <c r="CA903">
        <f>IF(ISBLANK('Data Entry'!$$903), "", 'Data Entry'!$$903)</f>
      </c>
      <c r="CB903">
        <f>IF(ISBLANK('Data Entry'!$$903), "", 'Data Entry'!$$903)</f>
      </c>
      <c r="CC903">
        <f>IF(ISBLANK('Data Entry'!$$903), "", 'Data Entry'!$$903)</f>
      </c>
      <c r="CD903">
        <f>IF(ISBLANK('Data Entry'!$$903), "", 'Data Entry'!$$903)</f>
      </c>
      <c r="CE903">
        <f>IF(ISBLANK('Data Entry'!$$903), "", 'Data Entry'!$$903)</f>
      </c>
      <c r="CF903">
        <f>IF(ISBLANK('Data Entry'!$$903), "", 'Data Entry'!$$903)</f>
      </c>
      <c r="CG903">
        <f>IF(ISBLANK('Data Entry'!$$903), "", 'Data Entry'!$$903)</f>
      </c>
      <c r="CH903">
        <f>IF(ISBLANK('Data Entry'!$$903), "", 'Data Entry'!$$903)</f>
      </c>
      <c r="CI903">
        <f>IF(ISBLANK('Data Entry'!$$903), "", 'Data Entry'!$$903)</f>
      </c>
      <c r="CJ903">
        <f>IF(ISBLANK('Data Entry'!$$903), "", 'Data Entry'!$$903)</f>
      </c>
      <c r="CK903">
        <f>IF(ISBLANK('Data Entry'!$$903), "", 'Data Entry'!$$903)</f>
      </c>
      <c r="CL903">
        <f>IF(ISBLANK('Data Entry'!$$903), "", 'Data Entry'!$$903)</f>
      </c>
      <c r="CM903">
        <f>IF(ISBLANK('Data Entry'!$$903), "", 'Data Entry'!$$903)</f>
      </c>
      <c r="CN903">
        <f>IF(ISBLANK('Data Entry'!$$903), "", 'Data Entry'!$$903)</f>
      </c>
      <c r="CO903">
        <f>IF(ISBLANK('Data Entry'!$$903), "", 'Data Entry'!$$903)</f>
      </c>
      <c r="CP903">
        <f>IF(ISBLANK('Data Entry'!$$903), "", 'Data Entry'!$$903)</f>
      </c>
      <c r="CQ903">
        <f>IF(ISBLANK('Data Entry'!$$903), "", 'Data Entry'!$$903)</f>
      </c>
      <c r="CR903">
        <f>IF(ISBLANK('Data Entry'!$ $903), "", 'Data Entry'!$ $903)</f>
      </c>
      <c r="CS903">
        <f>IF(ISBLANK('Data Entry'!$¡$903), "", 'Data Entry'!$¡$903)</f>
      </c>
      <c r="CT903">
        <f>IF(ISBLANK('Data Entry'!$¢$903), "", 'Data Entry'!$¢$903)</f>
      </c>
      <c r="CU903">
        <f>IF(ISBLANK('Data Entry'!$£$903), "", 'Data Entry'!$£$903)</f>
      </c>
      <c r="CV903">
        <f>IF(ISBLANK('Data Entry'!$¤$903), "", 'Data Entry'!$¤$903)</f>
      </c>
      <c r="CW903">
        <f>IF(ISBLANK('Data Entry'!$¥$903), "", 'Data Entry'!$¥$903)</f>
      </c>
      <c r="CX903">
        <f>IF(ISBLANK('Data Entry'!$¦$903), "", 'Data Entry'!$¦$903)</f>
      </c>
      <c r="CY903">
        <f>IF(ISBLANK('Data Entry'!$§$903), "", 'Data Entry'!$§$903)</f>
      </c>
      <c r="CZ903">
        <f>IF(ISBLANK('Data Entry'!$¨$903), "", 'Data Entry'!$¨$903)</f>
      </c>
      <c r="DA903">
        <f>IF(ISBLANK('Data Entry'!$©$903), "", 'Data Entry'!$©$903)</f>
      </c>
      <c r="DB903">
        <f>IF(ISBLANK('Data Entry'!$ª$903), "", 'Data Entry'!$ª$903)</f>
      </c>
      <c r="DC903">
        <f>IF(ISBLANK('Data Entry'!$«$903), "", 'Data Entry'!$«$903)</f>
      </c>
      <c r="DD903">
        <f>IF(ISBLANK('Data Entry'!$¬$903), "", 'Data Entry'!$¬$903)</f>
      </c>
      <c r="DE903">
        <f>IF(ISBLANK('Data Entry'!$­$903), "", 'Data Entry'!$­$903)</f>
      </c>
      <c r="DF903">
        <f>IF(ISBLANK('Data Entry'!$®$903), "", 'Data Entry'!$®$903)</f>
      </c>
      <c r="DG903">
        <f>IF(ISBLANK('Data Entry'!$¯$903), "", 'Data Entry'!$¯$903)</f>
      </c>
      <c r="DH903">
        <f>IF(ISBLANK('Data Entry'!$°$903), "", 'Data Entry'!$°$903)</f>
      </c>
      <c r="DI903">
        <f>IF(ISBLANK('Data Entry'!$±$903), "", 'Data Entry'!$±$903)</f>
      </c>
      <c r="DJ903">
        <f>IF(ISBLANK('Data Entry'!$²$903), "", 'Data Entry'!$²$903)</f>
      </c>
      <c r="DK903">
        <f>IF(ISBLANK('Data Entry'!$³$903), "", 'Data Entry'!$³$903)</f>
      </c>
      <c r="DL903">
        <f>IF(ISBLANK('Data Entry'!$´$903), "", 'Data Entry'!$´$903)</f>
      </c>
      <c r="DM903">
        <f>IF(ISBLANK('Data Entry'!$µ$903), "", 'Data Entry'!$µ$903)</f>
      </c>
      <c r="DN903">
        <f>IF(ISBLANK('Data Entry'!$¶$903), "", 'Data Entry'!$¶$903)</f>
      </c>
      <c r="DO903">
        <f>IF(ISBLANK('Data Entry'!$·$903), "", 'Data Entry'!$·$903)</f>
      </c>
      <c r="DP903">
        <f>IF(ISBLANK('Data Entry'!$¸$903), "", 'Data Entry'!$¸$903)</f>
      </c>
      <c r="DQ903">
        <f>IF(ISBLANK('Data Entry'!$¹$903), "", 'Data Entry'!$¹$903)</f>
      </c>
      <c r="DR903">
        <f>IF(ISBLANK('Data Entry'!$º$903), "", 'Data Entry'!$º$903)</f>
      </c>
      <c r="DS903">
        <f>IF(ISBLANK('Data Entry'!$»$903), "", 'Data Entry'!$»$903)</f>
      </c>
      <c r="DT903">
        <f>IF(ISBLANK('Data Entry'!$¼$903), "", 'Data Entry'!$¼$903)</f>
      </c>
      <c r="DU903">
        <f>IF(ISBLANK('Data Entry'!$½$903), "", 'Data Entry'!$½$903)</f>
      </c>
      <c r="DV903">
        <f>IF(ISBLANK('Data Entry'!$¾$903), "", 'Data Entry'!$¾$903)</f>
      </c>
      <c r="DW903">
        <f>IF(ISBLANK('Data Entry'!$¿$903), "", 'Data Entry'!$¿$903)</f>
      </c>
      <c r="DX903">
        <f>IF(ISBLANK('Data Entry'!$À$903), "", 'Data Entry'!$À$903)</f>
      </c>
      <c r="DY903">
        <f>IF(ISBLANK('Data Entry'!$Á$903), "", 'Data Entry'!$Á$903)</f>
      </c>
      <c r="DZ903">
        <f>IF(ISBLANK('Data Entry'!$Â$903), "", 'Data Entry'!$Â$903)</f>
      </c>
      <c r="EA903">
        <f>IF(ISBLANK('Data Entry'!$Ã$903), "", 'Data Entry'!$Ã$903)</f>
      </c>
      <c r="EB903">
        <f>IF(ISBLANK('Data Entry'!$Ä$903), "", 'Data Entry'!$Ä$903)</f>
      </c>
      <c r="EC903">
        <f>IF(ISBLANK('Data Entry'!$Å$903), "", 'Data Entry'!$Å$903)</f>
      </c>
      <c r="ED903">
        <f>IF(ISBLANK('Data Entry'!$Æ$903), "", 'Data Entry'!$Æ$903)</f>
      </c>
      <c r="EE903">
        <f>IF(ISBLANK('Data Entry'!$Ç$903), "", 'Data Entry'!$Ç$903)</f>
      </c>
      <c r="EF903">
        <f>IF(ISBLANK('Data Entry'!$È$903), "", 'Data Entry'!$È$903)</f>
      </c>
      <c r="EG903">
        <f>IF(ISBLANK('Data Entry'!$É$903), "", 'Data Entry'!$É$903)</f>
      </c>
      <c r="EH903">
        <f>IF(ISBLANK('Data Entry'!$Ê$903), "", 'Data Entry'!$Ê$903)</f>
      </c>
      <c r="EI903">
        <f>IF(ISBLANK('Data Entry'!$Ë$903), "", 'Data Entry'!$Ë$903)</f>
      </c>
      <c r="EJ903">
        <f>IF(ISBLANK('Data Entry'!$Ì$903), "", 'Data Entry'!$Ì$903)</f>
      </c>
      <c r="EK903">
        <f>IF(ISBLANK('Data Entry'!$Í$903), "", 'Data Entry'!$Í$903)</f>
      </c>
      <c r="EL903">
        <f>IF(ISBLANK('Data Entry'!$Î$903), "", 'Data Entry'!$Î$903)</f>
      </c>
      <c r="EM903">
        <f>IF(ISBLANK('Data Entry'!$Ï$903), "", 'Data Entry'!$Ï$903)</f>
      </c>
      <c r="EN903">
        <f>IF(ISBLANK('Data Entry'!$Ð$903), "", 'Data Entry'!$Ð$903)</f>
      </c>
      <c r="EO903">
        <f>IF(ISBLANK('Data Entry'!$Ñ$903), "", 'Data Entry'!$Ñ$903)</f>
      </c>
      <c r="EP903">
        <f>IF(ISBLANK('Data Entry'!$Ò$903), "", 'Data Entry'!$Ò$903)</f>
      </c>
      <c r="EQ903">
        <f>IF(ISBLANK('Data Entry'!$Ó$903), "", 'Data Entry'!$Ó$903)</f>
      </c>
      <c r="ER903">
        <f>IF(ISBLANK('Data Entry'!$Ô$903), "", 'Data Entry'!$Ô$903)</f>
      </c>
      <c r="ES903">
        <f>IF(ISBLANK('Data Entry'!$Õ$903), "", 'Data Entry'!$Õ$903)</f>
      </c>
      <c r="ET903">
        <f>IF(ISBLANK('Data Entry'!$Ö$903), "", 'Data Entry'!$Ö$903)</f>
      </c>
      <c r="EU903">
        <f>IF(ISBLANK('Data Entry'!$×$903), "", 'Data Entry'!$×$903)</f>
      </c>
      <c r="EV903">
        <f>IF(ISBLANK('Data Entry'!$Ø$903), "", 'Data Entry'!$Ø$903)</f>
      </c>
      <c r="EW903">
        <f>IF(ISBLANK('Data Entry'!$Ù$903), "", 'Data Entry'!$Ù$903)</f>
      </c>
      <c r="EX903">
        <f>IF(ISBLANK('Data Entry'!$Ú$903), "", 'Data Entry'!$Ú$903)</f>
      </c>
      <c r="EY903">
        <f>IF(ISBLANK('Data Entry'!$Û$903), "", 'Data Entry'!$Û$903)</f>
      </c>
      <c r="EZ903">
        <f>IF(ISBLANK('Data Entry'!$Ü$903), "", 'Data Entry'!$Ü$903)</f>
      </c>
      <c r="FA903">
        <f>IF(ISBLANK('Data Entry'!$Ý$903), "", 'Data Entry'!$Ý$903)</f>
      </c>
      <c r="FB903">
        <f>IF(ISBLANK('Data Entry'!$Þ$903), "", 'Data Entry'!$Þ$903)</f>
      </c>
      <c r="FC903">
        <f>IF(ISBLANK('Data Entry'!$ß$903), "", 'Data Entry'!$ß$903)</f>
      </c>
      <c r="FD903">
        <f>IF(ISBLANK('Data Entry'!$à$903), "", 'Data Entry'!$à$903)</f>
      </c>
      <c r="FE903">
        <f>IF(ISBLANK('Data Entry'!$á$903), "", 'Data Entry'!$á$903)</f>
      </c>
      <c r="FF903">
        <f>IF(ISBLANK('Data Entry'!$â$903), "", 'Data Entry'!$â$903)</f>
      </c>
      <c r="FG903">
        <f>IF(ISBLANK('Data Entry'!$ã$903), "", 'Data Entry'!$ã$903)</f>
      </c>
      <c r="FH903">
        <f>IF(ISBLANK('Data Entry'!$ä$903), "", 'Data Entry'!$ä$903)</f>
      </c>
      <c r="FI903">
        <f>IF(ISBLANK('Data Entry'!$å$903), "", 'Data Entry'!$å$903)</f>
      </c>
      <c r="FJ903">
        <f>IF(ISBLANK('Data Entry'!$æ$903), "", 'Data Entry'!$æ$903)</f>
      </c>
      <c r="FK903">
        <f>IF(ISBLANK('Data Entry'!$ç$903), "", 'Data Entry'!$ç$903)</f>
      </c>
      <c r="FL903">
        <f>IF(ISBLANK('Data Entry'!$è$903), "", 'Data Entry'!$è$903)</f>
      </c>
      <c r="FM903">
        <f>IF(ISBLANK('Data Entry'!$é$903), "", 'Data Entry'!$é$903)</f>
      </c>
      <c r="FN903">
        <f>IF(ISBLANK('Data Entry'!$ê$903), "", 'Data Entry'!$ê$903)</f>
      </c>
      <c r="FO903">
        <f>IF(ISBLANK('Data Entry'!$ë$903), "", 'Data Entry'!$ë$903)</f>
      </c>
      <c r="FP903">
        <f>IF(ISBLANK('Data Entry'!$ì$903), "", 'Data Entry'!$ì$903)</f>
      </c>
      <c r="FQ903">
        <f>IF(ISBLANK('Data Entry'!$í$903), "", 'Data Entry'!$í$903)</f>
      </c>
      <c r="FR903">
        <f>IF(ISBLANK('Data Entry'!$î$903), "", 'Data Entry'!$î$903)</f>
      </c>
      <c r="FS903">
        <f>IF(ISBLANK('Data Entry'!$ï$903), "", 'Data Entry'!$ï$903)</f>
      </c>
      <c r="FT903">
        <f>IF(ISBLANK('Data Entry'!$ð$903), "", 'Data Entry'!$ð$903)</f>
      </c>
      <c r="FU903">
        <f>IF(ISBLANK('Data Entry'!$ñ$903), "", 'Data Entry'!$ñ$903)</f>
      </c>
      <c r="FV903">
        <f>IF(ISBLANK('Data Entry'!$ò$903), "", 'Data Entry'!$ò$903)</f>
      </c>
      <c r="FW903">
        <f>IF(ISBLANK('Data Entry'!$ó$903), "", 'Data Entry'!$ó$903)</f>
      </c>
      <c r="FX903">
        <f>IF(ISBLANK('Data Entry'!$ô$903), "", 'Data Entry'!$ô$903)</f>
      </c>
      <c r="FY903">
        <f>IF(ISBLANK('Data Entry'!$õ$903), "", 'Data Entry'!$õ$903)</f>
      </c>
      <c r="FZ903">
        <f>IF(ISBLANK('Data Entry'!$ö$903), "", 'Data Entry'!$ö$903)</f>
      </c>
      <c r="GA903">
        <f>IF(ISBLANK('Data Entry'!$÷$903), "", 'Data Entry'!$÷$903)</f>
      </c>
      <c r="GB903">
        <f>IF(ISBLANK('Data Entry'!$ø$903), "", 'Data Entry'!$ø$903)</f>
      </c>
      <c r="GC903">
        <f>IF(ISBLANK('Data Entry'!$ù$903), "", 'Data Entry'!$ù$903)</f>
      </c>
      <c r="GD903">
        <f>IF(ISBLANK('Data Entry'!$ú$903), "", 'Data Entry'!$ú$903)</f>
      </c>
      <c r="GE903">
        <f>IF(ISBLANK('Data Entry'!$û$903), "", 'Data Entry'!$û$903)</f>
      </c>
      <c r="GF903">
        <f>IF(ISBLANK('Data Entry'!$ü$903), "", 'Data Entry'!$ü$903)</f>
      </c>
      <c r="GG903">
        <f>IF(ISBLANK('Data Entry'!$ý$903), "", 'Data Entry'!$ý$903)</f>
      </c>
      <c r="GH903">
        <f>IF(ISBLANK('Data Entry'!$þ$903), "", 'Data Entry'!$þ$903)</f>
      </c>
      <c r="GI903">
        <f>IF(ISBLANK('Data Entry'!$ÿ$903), "", 'Data Entry'!$ÿ$903)</f>
      </c>
      <c r="GJ903">
        <f>IF(ISBLANK('Data Entry'!$Ā$903), "", 'Data Entry'!$Ā$903)</f>
      </c>
      <c r="GK903">
        <f>IF(ISBLANK('Data Entry'!$ā$903), "", 'Data Entry'!$ā$903)</f>
      </c>
      <c r="GL903">
        <f>IF(ISBLANK('Data Entry'!$Ă$903), "", 'Data Entry'!$Ă$903)</f>
      </c>
      <c r="GM903">
        <f>IF(ISBLANK('Data Entry'!$ă$903), "", 'Data Entry'!$ă$903)</f>
      </c>
      <c r="GN903">
        <f>IF(ISBLANK('Data Entry'!$Ą$903), "", 'Data Entry'!$Ą$903)</f>
      </c>
      <c r="GO903">
        <f>IF(ISBLANK('Data Entry'!$ą$903), "", 'Data Entry'!$ą$903)</f>
      </c>
      <c r="GP903">
        <f>IF(ISBLANK('Data Entry'!$Ć$903), "", 'Data Entry'!$Ć$903)</f>
      </c>
      <c r="GQ903">
        <f>IF(ISBLANK('Data Entry'!$ć$903), "", 'Data Entry'!$ć$903)</f>
      </c>
      <c r="GR903">
        <f>IF(ISBLANK('Data Entry'!$Ĉ$903), "", 'Data Entry'!$Ĉ$903)</f>
      </c>
      <c r="GS903">
        <f>IF(ISBLANK('Data Entry'!$ĉ$903), "", 'Data Entry'!$ĉ$903)</f>
      </c>
      <c r="GT903">
        <f>IF(ISBLANK('Data Entry'!$Ċ$903), "", 'Data Entry'!$Ċ$903)</f>
      </c>
      <c r="GU903">
        <f>IF(ISBLANK('Data Entry'!$ċ$903), "", 'Data Entry'!$ċ$903)</f>
      </c>
      <c r="GV903">
        <f>IF(ISBLANK('Data Entry'!$Č$903), "", 'Data Entry'!$Č$903)</f>
      </c>
      <c r="GW903">
        <f>IF(ISBLANK('Data Entry'!$č$903), "", 'Data Entry'!$č$903)</f>
      </c>
      <c r="GX903">
        <f>IF(ISBLANK('Data Entry'!$Ď$903), "", 'Data Entry'!$Ď$903)</f>
      </c>
      <c r="GY903">
        <f>IF(ISBLANK('Data Entry'!$ď$903), "", 'Data Entry'!$ď$903)</f>
      </c>
      <c r="GZ903">
        <f>IF(ISBLANK('Data Entry'!$Đ$903), "", 'Data Entry'!$Đ$903)</f>
      </c>
      <c r="HA903">
        <f>IF(ISBLANK('Data Entry'!$đ$903), "", 'Data Entry'!$đ$903)</f>
      </c>
      <c r="HB903">
        <f>IF(ISBLANK('Data Entry'!$Ē$903), "", 'Data Entry'!$Ē$903)</f>
      </c>
      <c r="HC903">
        <f>IF(ISBLANK('Data Entry'!$ē$903), "", 'Data Entry'!$ē$903)</f>
      </c>
      <c r="HD903">
        <f>IF(ISBLANK('Data Entry'!$Ĕ$903), "", 'Data Entry'!$Ĕ$903)</f>
      </c>
      <c r="HE903">
        <f>IF(ISBLANK('Data Entry'!$ĕ$903), "", 'Data Entry'!$ĕ$903)</f>
      </c>
      <c r="HF903">
        <f>IF(ISBLANK('Data Entry'!$Ė$903), "", 'Data Entry'!$Ė$903)</f>
      </c>
      <c r="HG903">
        <f>IF(ISBLANK('Data Entry'!$ė$903), "", 'Data Entry'!$ė$903)</f>
      </c>
      <c r="HH903">
        <f>IF(ISBLANK('Data Entry'!$Ę$903), "", 'Data Entry'!$Ę$903)</f>
      </c>
      <c r="HI903">
        <f>IF(ISBLANK('Data Entry'!$ę$903), "", 'Data Entry'!$ę$903)</f>
      </c>
      <c r="HJ903">
        <f>IF(ISBLANK('Data Entry'!$Ě$903), "", 'Data Entry'!$Ě$903)</f>
      </c>
      <c r="HK903">
        <f>IF(ISBLANK('Data Entry'!$ě$903), "", 'Data Entry'!$ě$903)</f>
      </c>
      <c r="HL903">
        <f>IF(ISBLANK('Data Entry'!$Ĝ$903), "", 'Data Entry'!$Ĝ$903)</f>
      </c>
      <c r="HM903">
        <f>IF(ISBLANK('Data Entry'!$ĝ$903), "", 'Data Entry'!$ĝ$903)</f>
      </c>
      <c r="HN903">
        <f>IF(ISBLANK('Data Entry'!$Ğ$903), "", 'Data Entry'!$Ğ$903)</f>
      </c>
      <c r="HO903">
        <f>IF(ISBLANK('Data Entry'!$ğ$903), "", 'Data Entry'!$ğ$903)</f>
      </c>
      <c r="HP903">
        <f>IF(ISBLANK('Data Entry'!$Ġ$903), "", 'Data Entry'!$Ġ$903)</f>
      </c>
      <c r="HQ903">
        <f>IF(ISBLANK('Data Entry'!$ġ$903), "", 'Data Entry'!$ġ$903)</f>
      </c>
      <c r="HR903">
        <f>IF(ISBLANK('Data Entry'!$Ģ$903), "", 'Data Entry'!$Ģ$903)</f>
      </c>
      <c r="HS903">
        <f>IF(ISBLANK('Data Entry'!$ģ$903), "", 'Data Entry'!$ģ$903)</f>
      </c>
      <c r="HT903">
        <f>IF(ISBLANK('Data Entry'!$Ĥ$903), "", 'Data Entry'!$Ĥ$903)</f>
      </c>
      <c r="HU903">
        <f>IF(ISBLANK('Data Entry'!$ĥ$903), "", 'Data Entry'!$ĥ$903)</f>
      </c>
      <c r="HV903">
        <f>IF(ISBLANK('Data Entry'!$Ħ$903), "", 'Data Entry'!$Ħ$903)</f>
      </c>
      <c r="HW903">
        <f>IF(ISBLANK('Data Entry'!$ħ$903), "", 'Data Entry'!$ħ$903)</f>
      </c>
      <c r="HX903">
        <f>IF(ISBLANK('Data Entry'!$Ĩ$903), "", 'Data Entry'!$Ĩ$903)</f>
      </c>
      <c r="HY903">
        <f>IF(ISBLANK('Data Entry'!$ĩ$903), "", 'Data Entry'!$ĩ$903)</f>
      </c>
      <c r="HZ903">
        <f>IF(ISBLANK('Data Entry'!$Ī$903), "", 'Data Entry'!$Ī$903)</f>
      </c>
      <c r="IA903">
        <f>IF(ISBLANK('Data Entry'!$ī$903), "", 'Data Entry'!$ī$903)</f>
      </c>
      <c r="IB903">
        <f>IF(ISBLANK('Data Entry'!$Ĭ$903), "", 'Data Entry'!$Ĭ$903)</f>
      </c>
      <c r="IC903">
        <f>IF(ISBLANK('Data Entry'!$ĭ$903), "", 'Data Entry'!$ĭ$903)</f>
      </c>
      <c r="ID903">
        <f>IF(ISBLANK('Data Entry'!$Į$903), "", 'Data Entry'!$Į$903)</f>
      </c>
      <c r="IE903">
        <f>IF(ISBLANK('Data Entry'!$į$903), "", 'Data Entry'!$į$903)</f>
      </c>
      <c r="IF903">
        <f>IF(ISBLANK('Data Entry'!$İ$903), "", 'Data Entry'!$İ$903)</f>
      </c>
      <c r="IG903">
        <f>IF(ISBLANK('Data Entry'!$ı$903), "", 'Data Entry'!$ı$903)</f>
      </c>
      <c r="IH903">
        <f>IF(ISBLANK('Data Entry'!$Ĳ$903), "", 'Data Entry'!$Ĳ$903)</f>
      </c>
      <c r="II903">
        <f>IF(ISBLANK('Data Entry'!$ĳ$903), "", 'Data Entry'!$ĳ$903)</f>
      </c>
      <c r="IJ903">
        <f>IF(ISBLANK('Data Entry'!$Ĵ$903), "", 'Data Entry'!$Ĵ$903)</f>
      </c>
      <c r="IK903">
        <f>IF(ISBLANK('Data Entry'!$ĵ$903), "", 'Data Entry'!$ĵ$903)</f>
      </c>
      <c r="IL903">
        <f>IF(ISBLANK('Data Entry'!$Ķ$903), "", 'Data Entry'!$Ķ$903)</f>
      </c>
      <c r="IM903">
        <f>IF(ISBLANK('Data Entry'!$ķ$903), "", 'Data Entry'!$ķ$903)</f>
      </c>
      <c r="IN903">
        <f>IF(ISBLANK('Data Entry'!$ĸ$903), "", 'Data Entry'!$ĸ$903)</f>
      </c>
      <c r="IO903">
        <f>IF(ISBLANK('Data Entry'!$Ĺ$903), "", 'Data Entry'!$Ĺ$903)</f>
      </c>
      <c r="IP903">
        <f>IF(ISBLANK('Data Entry'!$ĺ$903), "", 'Data Entry'!$ĺ$903)</f>
      </c>
      <c r="IQ903">
        <f>IF(ISBLANK('Data Entry'!$Ļ$903), "", 'Data Entry'!$Ļ$903)</f>
      </c>
      <c r="IR903">
        <f>IF(ISBLANK('Data Entry'!$ļ$903), "", 'Data Entry'!$ļ$903)</f>
      </c>
      <c r="IS903">
        <f>IF(ISBLANK('Data Entry'!$Ľ$903), "", 'Data Entry'!$Ľ$903)</f>
      </c>
      <c r="IT903">
        <f>IF(ISBLANK('Data Entry'!$ľ$903), "", 'Data Entry'!$ľ$903)</f>
      </c>
    </row>
    <row r="904" spans="1:254" x14ac:dyDescent="0.25">
      <c r="A904">
        <f>IF(ISBLANK('Data Entry'!$A$904), "", 'Data Entry'!$A$904)</f>
      </c>
      <c r="B904">
        <f>IF(ISBLANK('Data Entry'!$B$904), "", 'Data Entry'!$B$904)</f>
      </c>
      <c r="C904">
        <f>IF(ISBLANK('Data Entry'!$C$904), "", 'Data Entry'!$C$904)</f>
      </c>
      <c r="D904">
        <f>IF(ISBLANK('Data Entry'!$D$904), "", 'Data Entry'!$D$904)</f>
      </c>
      <c r="E904">
        <f>IF(ISBLANK('Data Entry'!$E$904), "", 'Data Entry'!$E$904)</f>
      </c>
      <c r="F904">
        <f>IF(ISBLANK('Data Entry'!$F$904), "", 'Data Entry'!$F$904)</f>
      </c>
      <c r="G904">
        <f>IF(ISBLANK('Data Entry'!$G$904), "", 'Data Entry'!$G$904)</f>
      </c>
      <c r="H904">
        <f>IF(ISBLANK('Data Entry'!$H$904), "", 'Data Entry'!$H$904)</f>
      </c>
      <c r="I904">
        <f>IF(ISBLANK('Data Entry'!$I$904), "", 'Data Entry'!$I$904)</f>
      </c>
      <c r="J904">
        <f>IF(ISBLANK('Data Entry'!$J$904), "", 'Data Entry'!$J$904)</f>
      </c>
      <c r="K904">
        <f>IF(ISBLANK('Data Entry'!$K$904), "", 'Data Entry'!$K$904)</f>
      </c>
      <c r="L904">
        <f>IF(ISBLANK('Data Entry'!$L$904), "", 'Data Entry'!$L$904)</f>
      </c>
      <c r="M904">
        <f>IF(ISBLANK('Data Entry'!$M$904), "", 'Data Entry'!$M$904)</f>
      </c>
      <c r="N904">
        <f>IF(ISBLANK('Data Entry'!$N$904), "", 'Data Entry'!$N$904)</f>
      </c>
      <c r="O904">
        <f>IF(ISBLANK('Data Entry'!$O$904), "", 'Data Entry'!$O$904)</f>
      </c>
      <c r="P904">
        <f>IF(ISBLANK('Data Entry'!$P$904), "", 'Data Entry'!$P$904)</f>
      </c>
      <c r="Q904">
        <f>IF(ISBLANK('Data Entry'!$Q$904), "", 'Data Entry'!$Q$904)</f>
      </c>
      <c r="R904">
        <f>IF(ISBLANK('Data Entry'!$R$904), "", 'Data Entry'!$R$904)</f>
      </c>
      <c r="S904">
        <f>IF(ISBLANK('Data Entry'!$S$904), "", 'Data Entry'!$S$904)</f>
      </c>
      <c r="T904">
        <f>IF(ISBLANK('Data Entry'!$T$904), "", 'Data Entry'!$T$904)</f>
      </c>
      <c r="U904">
        <f>IF(ISBLANK('Data Entry'!$U$904), "", 'Data Entry'!$U$904)</f>
      </c>
      <c r="V904">
        <f>IF(ISBLANK('Data Entry'!$V$904), "", 'Data Entry'!$V$904)</f>
      </c>
      <c r="W904">
        <f>IF(ISBLANK('Data Entry'!$W$904), "", 'Data Entry'!$W$904)</f>
      </c>
      <c r="X904">
        <f>IF(ISBLANK('Data Entry'!$X$904), "", 'Data Entry'!$X$904)</f>
      </c>
      <c r="Y904">
        <f>IF(ISBLANK('Data Entry'!$Y$904), "", 'Data Entry'!$Y$904)</f>
      </c>
      <c r="Z904">
        <f>IF(ISBLANK('Data Entry'!$Z$904), "", 'Data Entry'!$Z$904)</f>
      </c>
      <c r="AA904">
        <f>IF(ISBLANK('Data Entry'!$[$904), "", 'Data Entry'!$[$904)</f>
      </c>
      <c r="AB904">
        <f>IF(ISBLANK('Data Entry'!$\$904), "", 'Data Entry'!$\$904)</f>
      </c>
      <c r="AC904">
        <f>IF(ISBLANK('Data Entry'!$]$904), "", 'Data Entry'!$]$904)</f>
      </c>
      <c r="AD904">
        <f>IF(ISBLANK('Data Entry'!$^$904), "", 'Data Entry'!$^$904)</f>
      </c>
      <c r="AE904">
        <f>IF(ISBLANK('Data Entry'!$_$904), "", 'Data Entry'!$_$904)</f>
      </c>
      <c r="AF904">
        <f>IF(ISBLANK('Data Entry'!$`$904), "", 'Data Entry'!$`$904)</f>
      </c>
      <c r="AG904">
        <f>IF(ISBLANK('Data Entry'!$a$904), "", 'Data Entry'!$a$904)</f>
      </c>
      <c r="AH904">
        <f>IF(ISBLANK('Data Entry'!$b$904), "", 'Data Entry'!$b$904)</f>
      </c>
      <c r="AI904">
        <f>IF(ISBLANK('Data Entry'!$c$904), "", 'Data Entry'!$c$904)</f>
      </c>
      <c r="AJ904">
        <f>IF(ISBLANK('Data Entry'!$d$904), "", 'Data Entry'!$d$904)</f>
      </c>
      <c r="AK904">
        <f>IF(ISBLANK('Data Entry'!$e$904), "", 'Data Entry'!$e$904)</f>
      </c>
      <c r="AL904">
        <f>IF(ISBLANK('Data Entry'!$f$904), "", 'Data Entry'!$f$904)</f>
      </c>
      <c r="AM904">
        <f>IF(ISBLANK('Data Entry'!$g$904), "", 'Data Entry'!$g$904)</f>
      </c>
      <c r="AN904">
        <f>IF(ISBLANK('Data Entry'!$h$904), "", 'Data Entry'!$h$904)</f>
      </c>
      <c r="AO904">
        <f>IF(ISBLANK('Data Entry'!$i$904), "", 'Data Entry'!$i$904)</f>
      </c>
      <c r="AP904">
        <f>IF(ISBLANK('Data Entry'!$j$904), "", 'Data Entry'!$j$904)</f>
      </c>
      <c r="AQ904">
        <f>IF(ISBLANK('Data Entry'!$k$904), "", 'Data Entry'!$k$904)</f>
      </c>
      <c r="AR904">
        <f>IF(ISBLANK('Data Entry'!$l$904), "", 'Data Entry'!$l$904)</f>
      </c>
      <c r="AS904">
        <f>IF(ISBLANK('Data Entry'!$m$904), "", 'Data Entry'!$m$904)</f>
      </c>
      <c r="AT904">
        <f>IF(ISBLANK('Data Entry'!$n$904), "", 'Data Entry'!$n$904)</f>
      </c>
      <c r="AU904">
        <f>IF(ISBLANK('Data Entry'!$o$904), "", 'Data Entry'!$o$904)</f>
      </c>
      <c r="AV904">
        <f>IF(ISBLANK('Data Entry'!$p$904), "", 'Data Entry'!$p$904)</f>
      </c>
      <c r="AW904">
        <f>IF(ISBLANK('Data Entry'!$q$904), "", 'Data Entry'!$q$904)</f>
      </c>
      <c r="AX904">
        <f>IF(ISBLANK('Data Entry'!$r$904), "", 'Data Entry'!$r$904)</f>
      </c>
      <c r="AY904">
        <f>IF(ISBLANK('Data Entry'!$s$904), "", 'Data Entry'!$s$904)</f>
      </c>
      <c r="AZ904">
        <f>IF(ISBLANK('Data Entry'!$t$904), "", 'Data Entry'!$t$904)</f>
      </c>
      <c r="BA904">
        <f>IF(ISBLANK('Data Entry'!$u$904), "", 'Data Entry'!$u$904)</f>
      </c>
      <c r="BB904">
        <f>IF(ISBLANK('Data Entry'!$v$904), "", 'Data Entry'!$v$904)</f>
      </c>
      <c r="BC904">
        <f>IF(ISBLANK('Data Entry'!$w$904), "", 'Data Entry'!$w$904)</f>
      </c>
      <c r="BD904">
        <f>IF(ISBLANK('Data Entry'!$x$904), "", 'Data Entry'!$x$904)</f>
      </c>
      <c r="BE904">
        <f>IF(ISBLANK('Data Entry'!$y$904), "", 'Data Entry'!$y$904)</f>
      </c>
      <c r="BF904">
        <f>IF(ISBLANK('Data Entry'!$z$904), "", 'Data Entry'!$z$904)</f>
      </c>
      <c r="BG904">
        <f>IF(ISBLANK('Data Entry'!${$904), "", 'Data Entry'!${$904)</f>
      </c>
      <c r="BH904">
        <f>IF(ISBLANK('Data Entry'!$|$904), "", 'Data Entry'!$|$904)</f>
      </c>
      <c r="BI904">
        <f>IF(ISBLANK('Data Entry'!$}$904), "", 'Data Entry'!$}$904)</f>
      </c>
      <c r="BJ904">
        <f>IF(ISBLANK('Data Entry'!$~$904), "", 'Data Entry'!$~$904)</f>
      </c>
      <c r="BK904">
        <f>IF(ISBLANK('Data Entry'!$$904), "", 'Data Entry'!$$904)</f>
      </c>
      <c r="BL904">
        <f>IF(ISBLANK('Data Entry'!$$904), "", 'Data Entry'!$$904)</f>
      </c>
      <c r="BM904">
        <f>IF(ISBLANK('Data Entry'!$$904), "", 'Data Entry'!$$904)</f>
      </c>
      <c r="BN904">
        <f>IF(ISBLANK('Data Entry'!$$904), "", 'Data Entry'!$$904)</f>
      </c>
      <c r="BO904">
        <f>IF(ISBLANK('Data Entry'!$$904), "", 'Data Entry'!$$904)</f>
      </c>
      <c r="BP904">
        <f>IF(ISBLANK('Data Entry'!$$904), "", 'Data Entry'!$$904)</f>
      </c>
      <c r="BQ904">
        <f>IF(ISBLANK('Data Entry'!$$904), "", 'Data Entry'!$$904)</f>
      </c>
      <c r="BR904">
        <f>IF(ISBLANK('Data Entry'!$$904), "", 'Data Entry'!$$904)</f>
      </c>
      <c r="BS904">
        <f>IF(ISBLANK('Data Entry'!$$904), "", 'Data Entry'!$$904)</f>
      </c>
      <c r="BT904">
        <f>IF(ISBLANK('Data Entry'!$$904), "", 'Data Entry'!$$904)</f>
      </c>
      <c r="BU904">
        <f>IF(ISBLANK('Data Entry'!$$904), "", 'Data Entry'!$$904)</f>
      </c>
      <c r="BV904">
        <f>IF(ISBLANK('Data Entry'!$$904), "", 'Data Entry'!$$904)</f>
      </c>
      <c r="BW904">
        <f>IF(ISBLANK('Data Entry'!$$904), "", 'Data Entry'!$$904)</f>
      </c>
      <c r="BX904">
        <f>IF(ISBLANK('Data Entry'!$$904), "", 'Data Entry'!$$904)</f>
      </c>
      <c r="BY904">
        <f>IF(ISBLANK('Data Entry'!$$904), "", 'Data Entry'!$$904)</f>
      </c>
      <c r="BZ904">
        <f>IF(ISBLANK('Data Entry'!$$904), "", 'Data Entry'!$$904)</f>
      </c>
      <c r="CA904">
        <f>IF(ISBLANK('Data Entry'!$$904), "", 'Data Entry'!$$904)</f>
      </c>
      <c r="CB904">
        <f>IF(ISBLANK('Data Entry'!$$904), "", 'Data Entry'!$$904)</f>
      </c>
      <c r="CC904">
        <f>IF(ISBLANK('Data Entry'!$$904), "", 'Data Entry'!$$904)</f>
      </c>
      <c r="CD904">
        <f>IF(ISBLANK('Data Entry'!$$904), "", 'Data Entry'!$$904)</f>
      </c>
      <c r="CE904">
        <f>IF(ISBLANK('Data Entry'!$$904), "", 'Data Entry'!$$904)</f>
      </c>
      <c r="CF904">
        <f>IF(ISBLANK('Data Entry'!$$904), "", 'Data Entry'!$$904)</f>
      </c>
      <c r="CG904">
        <f>IF(ISBLANK('Data Entry'!$$904), "", 'Data Entry'!$$904)</f>
      </c>
      <c r="CH904">
        <f>IF(ISBLANK('Data Entry'!$$904), "", 'Data Entry'!$$904)</f>
      </c>
      <c r="CI904">
        <f>IF(ISBLANK('Data Entry'!$$904), "", 'Data Entry'!$$904)</f>
      </c>
      <c r="CJ904">
        <f>IF(ISBLANK('Data Entry'!$$904), "", 'Data Entry'!$$904)</f>
      </c>
      <c r="CK904">
        <f>IF(ISBLANK('Data Entry'!$$904), "", 'Data Entry'!$$904)</f>
      </c>
      <c r="CL904">
        <f>IF(ISBLANK('Data Entry'!$$904), "", 'Data Entry'!$$904)</f>
      </c>
      <c r="CM904">
        <f>IF(ISBLANK('Data Entry'!$$904), "", 'Data Entry'!$$904)</f>
      </c>
      <c r="CN904">
        <f>IF(ISBLANK('Data Entry'!$$904), "", 'Data Entry'!$$904)</f>
      </c>
      <c r="CO904">
        <f>IF(ISBLANK('Data Entry'!$$904), "", 'Data Entry'!$$904)</f>
      </c>
      <c r="CP904">
        <f>IF(ISBLANK('Data Entry'!$$904), "", 'Data Entry'!$$904)</f>
      </c>
      <c r="CQ904">
        <f>IF(ISBLANK('Data Entry'!$$904), "", 'Data Entry'!$$904)</f>
      </c>
      <c r="CR904">
        <f>IF(ISBLANK('Data Entry'!$ $904), "", 'Data Entry'!$ $904)</f>
      </c>
      <c r="CS904">
        <f>IF(ISBLANK('Data Entry'!$¡$904), "", 'Data Entry'!$¡$904)</f>
      </c>
      <c r="CT904">
        <f>IF(ISBLANK('Data Entry'!$¢$904), "", 'Data Entry'!$¢$904)</f>
      </c>
      <c r="CU904">
        <f>IF(ISBLANK('Data Entry'!$£$904), "", 'Data Entry'!$£$904)</f>
      </c>
      <c r="CV904">
        <f>IF(ISBLANK('Data Entry'!$¤$904), "", 'Data Entry'!$¤$904)</f>
      </c>
      <c r="CW904">
        <f>IF(ISBLANK('Data Entry'!$¥$904), "", 'Data Entry'!$¥$904)</f>
      </c>
      <c r="CX904">
        <f>IF(ISBLANK('Data Entry'!$¦$904), "", 'Data Entry'!$¦$904)</f>
      </c>
      <c r="CY904">
        <f>IF(ISBLANK('Data Entry'!$§$904), "", 'Data Entry'!$§$904)</f>
      </c>
      <c r="CZ904">
        <f>IF(ISBLANK('Data Entry'!$¨$904), "", 'Data Entry'!$¨$904)</f>
      </c>
      <c r="DA904">
        <f>IF(ISBLANK('Data Entry'!$©$904), "", 'Data Entry'!$©$904)</f>
      </c>
      <c r="DB904">
        <f>IF(ISBLANK('Data Entry'!$ª$904), "", 'Data Entry'!$ª$904)</f>
      </c>
      <c r="DC904">
        <f>IF(ISBLANK('Data Entry'!$«$904), "", 'Data Entry'!$«$904)</f>
      </c>
      <c r="DD904">
        <f>IF(ISBLANK('Data Entry'!$¬$904), "", 'Data Entry'!$¬$904)</f>
      </c>
      <c r="DE904">
        <f>IF(ISBLANK('Data Entry'!$­$904), "", 'Data Entry'!$­$904)</f>
      </c>
      <c r="DF904">
        <f>IF(ISBLANK('Data Entry'!$®$904), "", 'Data Entry'!$®$904)</f>
      </c>
      <c r="DG904">
        <f>IF(ISBLANK('Data Entry'!$¯$904), "", 'Data Entry'!$¯$904)</f>
      </c>
      <c r="DH904">
        <f>IF(ISBLANK('Data Entry'!$°$904), "", 'Data Entry'!$°$904)</f>
      </c>
      <c r="DI904">
        <f>IF(ISBLANK('Data Entry'!$±$904), "", 'Data Entry'!$±$904)</f>
      </c>
      <c r="DJ904">
        <f>IF(ISBLANK('Data Entry'!$²$904), "", 'Data Entry'!$²$904)</f>
      </c>
      <c r="DK904">
        <f>IF(ISBLANK('Data Entry'!$³$904), "", 'Data Entry'!$³$904)</f>
      </c>
      <c r="DL904">
        <f>IF(ISBLANK('Data Entry'!$´$904), "", 'Data Entry'!$´$904)</f>
      </c>
      <c r="DM904">
        <f>IF(ISBLANK('Data Entry'!$µ$904), "", 'Data Entry'!$µ$904)</f>
      </c>
      <c r="DN904">
        <f>IF(ISBLANK('Data Entry'!$¶$904), "", 'Data Entry'!$¶$904)</f>
      </c>
      <c r="DO904">
        <f>IF(ISBLANK('Data Entry'!$·$904), "", 'Data Entry'!$·$904)</f>
      </c>
      <c r="DP904">
        <f>IF(ISBLANK('Data Entry'!$¸$904), "", 'Data Entry'!$¸$904)</f>
      </c>
      <c r="DQ904">
        <f>IF(ISBLANK('Data Entry'!$¹$904), "", 'Data Entry'!$¹$904)</f>
      </c>
      <c r="DR904">
        <f>IF(ISBLANK('Data Entry'!$º$904), "", 'Data Entry'!$º$904)</f>
      </c>
      <c r="DS904">
        <f>IF(ISBLANK('Data Entry'!$»$904), "", 'Data Entry'!$»$904)</f>
      </c>
      <c r="DT904">
        <f>IF(ISBLANK('Data Entry'!$¼$904), "", 'Data Entry'!$¼$904)</f>
      </c>
      <c r="DU904">
        <f>IF(ISBLANK('Data Entry'!$½$904), "", 'Data Entry'!$½$904)</f>
      </c>
      <c r="DV904">
        <f>IF(ISBLANK('Data Entry'!$¾$904), "", 'Data Entry'!$¾$904)</f>
      </c>
      <c r="DW904">
        <f>IF(ISBLANK('Data Entry'!$¿$904), "", 'Data Entry'!$¿$904)</f>
      </c>
      <c r="DX904">
        <f>IF(ISBLANK('Data Entry'!$À$904), "", 'Data Entry'!$À$904)</f>
      </c>
      <c r="DY904">
        <f>IF(ISBLANK('Data Entry'!$Á$904), "", 'Data Entry'!$Á$904)</f>
      </c>
      <c r="DZ904">
        <f>IF(ISBLANK('Data Entry'!$Â$904), "", 'Data Entry'!$Â$904)</f>
      </c>
      <c r="EA904">
        <f>IF(ISBLANK('Data Entry'!$Ã$904), "", 'Data Entry'!$Ã$904)</f>
      </c>
      <c r="EB904">
        <f>IF(ISBLANK('Data Entry'!$Ä$904), "", 'Data Entry'!$Ä$904)</f>
      </c>
      <c r="EC904">
        <f>IF(ISBLANK('Data Entry'!$Å$904), "", 'Data Entry'!$Å$904)</f>
      </c>
      <c r="ED904">
        <f>IF(ISBLANK('Data Entry'!$Æ$904), "", 'Data Entry'!$Æ$904)</f>
      </c>
      <c r="EE904">
        <f>IF(ISBLANK('Data Entry'!$Ç$904), "", 'Data Entry'!$Ç$904)</f>
      </c>
      <c r="EF904">
        <f>IF(ISBLANK('Data Entry'!$È$904), "", 'Data Entry'!$È$904)</f>
      </c>
      <c r="EG904">
        <f>IF(ISBLANK('Data Entry'!$É$904), "", 'Data Entry'!$É$904)</f>
      </c>
      <c r="EH904">
        <f>IF(ISBLANK('Data Entry'!$Ê$904), "", 'Data Entry'!$Ê$904)</f>
      </c>
      <c r="EI904">
        <f>IF(ISBLANK('Data Entry'!$Ë$904), "", 'Data Entry'!$Ë$904)</f>
      </c>
      <c r="EJ904">
        <f>IF(ISBLANK('Data Entry'!$Ì$904), "", 'Data Entry'!$Ì$904)</f>
      </c>
      <c r="EK904">
        <f>IF(ISBLANK('Data Entry'!$Í$904), "", 'Data Entry'!$Í$904)</f>
      </c>
      <c r="EL904">
        <f>IF(ISBLANK('Data Entry'!$Î$904), "", 'Data Entry'!$Î$904)</f>
      </c>
      <c r="EM904">
        <f>IF(ISBLANK('Data Entry'!$Ï$904), "", 'Data Entry'!$Ï$904)</f>
      </c>
      <c r="EN904">
        <f>IF(ISBLANK('Data Entry'!$Ð$904), "", 'Data Entry'!$Ð$904)</f>
      </c>
      <c r="EO904">
        <f>IF(ISBLANK('Data Entry'!$Ñ$904), "", 'Data Entry'!$Ñ$904)</f>
      </c>
      <c r="EP904">
        <f>IF(ISBLANK('Data Entry'!$Ò$904), "", 'Data Entry'!$Ò$904)</f>
      </c>
      <c r="EQ904">
        <f>IF(ISBLANK('Data Entry'!$Ó$904), "", 'Data Entry'!$Ó$904)</f>
      </c>
      <c r="ER904">
        <f>IF(ISBLANK('Data Entry'!$Ô$904), "", 'Data Entry'!$Ô$904)</f>
      </c>
      <c r="ES904">
        <f>IF(ISBLANK('Data Entry'!$Õ$904), "", 'Data Entry'!$Õ$904)</f>
      </c>
      <c r="ET904">
        <f>IF(ISBLANK('Data Entry'!$Ö$904), "", 'Data Entry'!$Ö$904)</f>
      </c>
      <c r="EU904">
        <f>IF(ISBLANK('Data Entry'!$×$904), "", 'Data Entry'!$×$904)</f>
      </c>
      <c r="EV904">
        <f>IF(ISBLANK('Data Entry'!$Ø$904), "", 'Data Entry'!$Ø$904)</f>
      </c>
      <c r="EW904">
        <f>IF(ISBLANK('Data Entry'!$Ù$904), "", 'Data Entry'!$Ù$904)</f>
      </c>
      <c r="EX904">
        <f>IF(ISBLANK('Data Entry'!$Ú$904), "", 'Data Entry'!$Ú$904)</f>
      </c>
      <c r="EY904">
        <f>IF(ISBLANK('Data Entry'!$Û$904), "", 'Data Entry'!$Û$904)</f>
      </c>
      <c r="EZ904">
        <f>IF(ISBLANK('Data Entry'!$Ü$904), "", 'Data Entry'!$Ü$904)</f>
      </c>
      <c r="FA904">
        <f>IF(ISBLANK('Data Entry'!$Ý$904), "", 'Data Entry'!$Ý$904)</f>
      </c>
      <c r="FB904">
        <f>IF(ISBLANK('Data Entry'!$Þ$904), "", 'Data Entry'!$Þ$904)</f>
      </c>
      <c r="FC904">
        <f>IF(ISBLANK('Data Entry'!$ß$904), "", 'Data Entry'!$ß$904)</f>
      </c>
      <c r="FD904">
        <f>IF(ISBLANK('Data Entry'!$à$904), "", 'Data Entry'!$à$904)</f>
      </c>
      <c r="FE904">
        <f>IF(ISBLANK('Data Entry'!$á$904), "", 'Data Entry'!$á$904)</f>
      </c>
      <c r="FF904">
        <f>IF(ISBLANK('Data Entry'!$â$904), "", 'Data Entry'!$â$904)</f>
      </c>
      <c r="FG904">
        <f>IF(ISBLANK('Data Entry'!$ã$904), "", 'Data Entry'!$ã$904)</f>
      </c>
      <c r="FH904">
        <f>IF(ISBLANK('Data Entry'!$ä$904), "", 'Data Entry'!$ä$904)</f>
      </c>
      <c r="FI904">
        <f>IF(ISBLANK('Data Entry'!$å$904), "", 'Data Entry'!$å$904)</f>
      </c>
      <c r="FJ904">
        <f>IF(ISBLANK('Data Entry'!$æ$904), "", 'Data Entry'!$æ$904)</f>
      </c>
      <c r="FK904">
        <f>IF(ISBLANK('Data Entry'!$ç$904), "", 'Data Entry'!$ç$904)</f>
      </c>
      <c r="FL904">
        <f>IF(ISBLANK('Data Entry'!$è$904), "", 'Data Entry'!$è$904)</f>
      </c>
      <c r="FM904">
        <f>IF(ISBLANK('Data Entry'!$é$904), "", 'Data Entry'!$é$904)</f>
      </c>
      <c r="FN904">
        <f>IF(ISBLANK('Data Entry'!$ê$904), "", 'Data Entry'!$ê$904)</f>
      </c>
      <c r="FO904">
        <f>IF(ISBLANK('Data Entry'!$ë$904), "", 'Data Entry'!$ë$904)</f>
      </c>
      <c r="FP904">
        <f>IF(ISBLANK('Data Entry'!$ì$904), "", 'Data Entry'!$ì$904)</f>
      </c>
      <c r="FQ904">
        <f>IF(ISBLANK('Data Entry'!$í$904), "", 'Data Entry'!$í$904)</f>
      </c>
      <c r="FR904">
        <f>IF(ISBLANK('Data Entry'!$î$904), "", 'Data Entry'!$î$904)</f>
      </c>
      <c r="FS904">
        <f>IF(ISBLANK('Data Entry'!$ï$904), "", 'Data Entry'!$ï$904)</f>
      </c>
      <c r="FT904">
        <f>IF(ISBLANK('Data Entry'!$ð$904), "", 'Data Entry'!$ð$904)</f>
      </c>
      <c r="FU904">
        <f>IF(ISBLANK('Data Entry'!$ñ$904), "", 'Data Entry'!$ñ$904)</f>
      </c>
      <c r="FV904">
        <f>IF(ISBLANK('Data Entry'!$ò$904), "", 'Data Entry'!$ò$904)</f>
      </c>
      <c r="FW904">
        <f>IF(ISBLANK('Data Entry'!$ó$904), "", 'Data Entry'!$ó$904)</f>
      </c>
      <c r="FX904">
        <f>IF(ISBLANK('Data Entry'!$ô$904), "", 'Data Entry'!$ô$904)</f>
      </c>
      <c r="FY904">
        <f>IF(ISBLANK('Data Entry'!$õ$904), "", 'Data Entry'!$õ$904)</f>
      </c>
      <c r="FZ904">
        <f>IF(ISBLANK('Data Entry'!$ö$904), "", 'Data Entry'!$ö$904)</f>
      </c>
      <c r="GA904">
        <f>IF(ISBLANK('Data Entry'!$÷$904), "", 'Data Entry'!$÷$904)</f>
      </c>
      <c r="GB904">
        <f>IF(ISBLANK('Data Entry'!$ø$904), "", 'Data Entry'!$ø$904)</f>
      </c>
      <c r="GC904">
        <f>IF(ISBLANK('Data Entry'!$ù$904), "", 'Data Entry'!$ù$904)</f>
      </c>
      <c r="GD904">
        <f>IF(ISBLANK('Data Entry'!$ú$904), "", 'Data Entry'!$ú$904)</f>
      </c>
      <c r="GE904">
        <f>IF(ISBLANK('Data Entry'!$û$904), "", 'Data Entry'!$û$904)</f>
      </c>
      <c r="GF904">
        <f>IF(ISBLANK('Data Entry'!$ü$904), "", 'Data Entry'!$ü$904)</f>
      </c>
      <c r="GG904">
        <f>IF(ISBLANK('Data Entry'!$ý$904), "", 'Data Entry'!$ý$904)</f>
      </c>
      <c r="GH904">
        <f>IF(ISBLANK('Data Entry'!$þ$904), "", 'Data Entry'!$þ$904)</f>
      </c>
      <c r="GI904">
        <f>IF(ISBLANK('Data Entry'!$ÿ$904), "", 'Data Entry'!$ÿ$904)</f>
      </c>
      <c r="GJ904">
        <f>IF(ISBLANK('Data Entry'!$Ā$904), "", 'Data Entry'!$Ā$904)</f>
      </c>
      <c r="GK904">
        <f>IF(ISBLANK('Data Entry'!$ā$904), "", 'Data Entry'!$ā$904)</f>
      </c>
      <c r="GL904">
        <f>IF(ISBLANK('Data Entry'!$Ă$904), "", 'Data Entry'!$Ă$904)</f>
      </c>
      <c r="GM904">
        <f>IF(ISBLANK('Data Entry'!$ă$904), "", 'Data Entry'!$ă$904)</f>
      </c>
      <c r="GN904">
        <f>IF(ISBLANK('Data Entry'!$Ą$904), "", 'Data Entry'!$Ą$904)</f>
      </c>
      <c r="GO904">
        <f>IF(ISBLANK('Data Entry'!$ą$904), "", 'Data Entry'!$ą$904)</f>
      </c>
      <c r="GP904">
        <f>IF(ISBLANK('Data Entry'!$Ć$904), "", 'Data Entry'!$Ć$904)</f>
      </c>
      <c r="GQ904">
        <f>IF(ISBLANK('Data Entry'!$ć$904), "", 'Data Entry'!$ć$904)</f>
      </c>
      <c r="GR904">
        <f>IF(ISBLANK('Data Entry'!$Ĉ$904), "", 'Data Entry'!$Ĉ$904)</f>
      </c>
      <c r="GS904">
        <f>IF(ISBLANK('Data Entry'!$ĉ$904), "", 'Data Entry'!$ĉ$904)</f>
      </c>
      <c r="GT904">
        <f>IF(ISBLANK('Data Entry'!$Ċ$904), "", 'Data Entry'!$Ċ$904)</f>
      </c>
      <c r="GU904">
        <f>IF(ISBLANK('Data Entry'!$ċ$904), "", 'Data Entry'!$ċ$904)</f>
      </c>
      <c r="GV904">
        <f>IF(ISBLANK('Data Entry'!$Č$904), "", 'Data Entry'!$Č$904)</f>
      </c>
      <c r="GW904">
        <f>IF(ISBLANK('Data Entry'!$č$904), "", 'Data Entry'!$č$904)</f>
      </c>
      <c r="GX904">
        <f>IF(ISBLANK('Data Entry'!$Ď$904), "", 'Data Entry'!$Ď$904)</f>
      </c>
      <c r="GY904">
        <f>IF(ISBLANK('Data Entry'!$ď$904), "", 'Data Entry'!$ď$904)</f>
      </c>
      <c r="GZ904">
        <f>IF(ISBLANK('Data Entry'!$Đ$904), "", 'Data Entry'!$Đ$904)</f>
      </c>
      <c r="HA904">
        <f>IF(ISBLANK('Data Entry'!$đ$904), "", 'Data Entry'!$đ$904)</f>
      </c>
      <c r="HB904">
        <f>IF(ISBLANK('Data Entry'!$Ē$904), "", 'Data Entry'!$Ē$904)</f>
      </c>
      <c r="HC904">
        <f>IF(ISBLANK('Data Entry'!$ē$904), "", 'Data Entry'!$ē$904)</f>
      </c>
      <c r="HD904">
        <f>IF(ISBLANK('Data Entry'!$Ĕ$904), "", 'Data Entry'!$Ĕ$904)</f>
      </c>
      <c r="HE904">
        <f>IF(ISBLANK('Data Entry'!$ĕ$904), "", 'Data Entry'!$ĕ$904)</f>
      </c>
      <c r="HF904">
        <f>IF(ISBLANK('Data Entry'!$Ė$904), "", 'Data Entry'!$Ė$904)</f>
      </c>
      <c r="HG904">
        <f>IF(ISBLANK('Data Entry'!$ė$904), "", 'Data Entry'!$ė$904)</f>
      </c>
      <c r="HH904">
        <f>IF(ISBLANK('Data Entry'!$Ę$904), "", 'Data Entry'!$Ę$904)</f>
      </c>
      <c r="HI904">
        <f>IF(ISBLANK('Data Entry'!$ę$904), "", 'Data Entry'!$ę$904)</f>
      </c>
      <c r="HJ904">
        <f>IF(ISBLANK('Data Entry'!$Ě$904), "", 'Data Entry'!$Ě$904)</f>
      </c>
      <c r="HK904">
        <f>IF(ISBLANK('Data Entry'!$ě$904), "", 'Data Entry'!$ě$904)</f>
      </c>
      <c r="HL904">
        <f>IF(ISBLANK('Data Entry'!$Ĝ$904), "", 'Data Entry'!$Ĝ$904)</f>
      </c>
      <c r="HM904">
        <f>IF(ISBLANK('Data Entry'!$ĝ$904), "", 'Data Entry'!$ĝ$904)</f>
      </c>
      <c r="HN904">
        <f>IF(ISBLANK('Data Entry'!$Ğ$904), "", 'Data Entry'!$Ğ$904)</f>
      </c>
      <c r="HO904">
        <f>IF(ISBLANK('Data Entry'!$ğ$904), "", 'Data Entry'!$ğ$904)</f>
      </c>
      <c r="HP904">
        <f>IF(ISBLANK('Data Entry'!$Ġ$904), "", 'Data Entry'!$Ġ$904)</f>
      </c>
      <c r="HQ904">
        <f>IF(ISBLANK('Data Entry'!$ġ$904), "", 'Data Entry'!$ġ$904)</f>
      </c>
      <c r="HR904">
        <f>IF(ISBLANK('Data Entry'!$Ģ$904), "", 'Data Entry'!$Ģ$904)</f>
      </c>
      <c r="HS904">
        <f>IF(ISBLANK('Data Entry'!$ģ$904), "", 'Data Entry'!$ģ$904)</f>
      </c>
      <c r="HT904">
        <f>IF(ISBLANK('Data Entry'!$Ĥ$904), "", 'Data Entry'!$Ĥ$904)</f>
      </c>
      <c r="HU904">
        <f>IF(ISBLANK('Data Entry'!$ĥ$904), "", 'Data Entry'!$ĥ$904)</f>
      </c>
      <c r="HV904">
        <f>IF(ISBLANK('Data Entry'!$Ħ$904), "", 'Data Entry'!$Ħ$904)</f>
      </c>
      <c r="HW904">
        <f>IF(ISBLANK('Data Entry'!$ħ$904), "", 'Data Entry'!$ħ$904)</f>
      </c>
      <c r="HX904">
        <f>IF(ISBLANK('Data Entry'!$Ĩ$904), "", 'Data Entry'!$Ĩ$904)</f>
      </c>
      <c r="HY904">
        <f>IF(ISBLANK('Data Entry'!$ĩ$904), "", 'Data Entry'!$ĩ$904)</f>
      </c>
      <c r="HZ904">
        <f>IF(ISBLANK('Data Entry'!$Ī$904), "", 'Data Entry'!$Ī$904)</f>
      </c>
      <c r="IA904">
        <f>IF(ISBLANK('Data Entry'!$ī$904), "", 'Data Entry'!$ī$904)</f>
      </c>
      <c r="IB904">
        <f>IF(ISBLANK('Data Entry'!$Ĭ$904), "", 'Data Entry'!$Ĭ$904)</f>
      </c>
      <c r="IC904">
        <f>IF(ISBLANK('Data Entry'!$ĭ$904), "", 'Data Entry'!$ĭ$904)</f>
      </c>
      <c r="ID904">
        <f>IF(ISBLANK('Data Entry'!$Į$904), "", 'Data Entry'!$Į$904)</f>
      </c>
      <c r="IE904">
        <f>IF(ISBLANK('Data Entry'!$į$904), "", 'Data Entry'!$į$904)</f>
      </c>
      <c r="IF904">
        <f>IF(ISBLANK('Data Entry'!$İ$904), "", 'Data Entry'!$İ$904)</f>
      </c>
      <c r="IG904">
        <f>IF(ISBLANK('Data Entry'!$ı$904), "", 'Data Entry'!$ı$904)</f>
      </c>
      <c r="IH904">
        <f>IF(ISBLANK('Data Entry'!$Ĳ$904), "", 'Data Entry'!$Ĳ$904)</f>
      </c>
      <c r="II904">
        <f>IF(ISBLANK('Data Entry'!$ĳ$904), "", 'Data Entry'!$ĳ$904)</f>
      </c>
      <c r="IJ904">
        <f>IF(ISBLANK('Data Entry'!$Ĵ$904), "", 'Data Entry'!$Ĵ$904)</f>
      </c>
      <c r="IK904">
        <f>IF(ISBLANK('Data Entry'!$ĵ$904), "", 'Data Entry'!$ĵ$904)</f>
      </c>
      <c r="IL904">
        <f>IF(ISBLANK('Data Entry'!$Ķ$904), "", 'Data Entry'!$Ķ$904)</f>
      </c>
      <c r="IM904">
        <f>IF(ISBLANK('Data Entry'!$ķ$904), "", 'Data Entry'!$ķ$904)</f>
      </c>
      <c r="IN904">
        <f>IF(ISBLANK('Data Entry'!$ĸ$904), "", 'Data Entry'!$ĸ$904)</f>
      </c>
      <c r="IO904">
        <f>IF(ISBLANK('Data Entry'!$Ĺ$904), "", 'Data Entry'!$Ĺ$904)</f>
      </c>
      <c r="IP904">
        <f>IF(ISBLANK('Data Entry'!$ĺ$904), "", 'Data Entry'!$ĺ$904)</f>
      </c>
      <c r="IQ904">
        <f>IF(ISBLANK('Data Entry'!$Ļ$904), "", 'Data Entry'!$Ļ$904)</f>
      </c>
      <c r="IR904">
        <f>IF(ISBLANK('Data Entry'!$ļ$904), "", 'Data Entry'!$ļ$904)</f>
      </c>
      <c r="IS904">
        <f>IF(ISBLANK('Data Entry'!$Ľ$904), "", 'Data Entry'!$Ľ$904)</f>
      </c>
      <c r="IT904">
        <f>IF(ISBLANK('Data Entry'!$ľ$904), "", 'Data Entry'!$ľ$904)</f>
      </c>
    </row>
    <row r="905" spans="1:254" x14ac:dyDescent="0.25">
      <c r="A905">
        <f>IF(ISBLANK('Data Entry'!$A$905), "", 'Data Entry'!$A$905)</f>
      </c>
      <c r="B905">
        <f>IF(ISBLANK('Data Entry'!$B$905), "", 'Data Entry'!$B$905)</f>
      </c>
      <c r="C905">
        <f>IF(ISBLANK('Data Entry'!$C$905), "", 'Data Entry'!$C$905)</f>
      </c>
      <c r="D905">
        <f>IF(ISBLANK('Data Entry'!$D$905), "", 'Data Entry'!$D$905)</f>
      </c>
      <c r="E905">
        <f>IF(ISBLANK('Data Entry'!$E$905), "", 'Data Entry'!$E$905)</f>
      </c>
      <c r="F905">
        <f>IF(ISBLANK('Data Entry'!$F$905), "", 'Data Entry'!$F$905)</f>
      </c>
      <c r="G905">
        <f>IF(ISBLANK('Data Entry'!$G$905), "", 'Data Entry'!$G$905)</f>
      </c>
      <c r="H905">
        <f>IF(ISBLANK('Data Entry'!$H$905), "", 'Data Entry'!$H$905)</f>
      </c>
      <c r="I905">
        <f>IF(ISBLANK('Data Entry'!$I$905), "", 'Data Entry'!$I$905)</f>
      </c>
      <c r="J905">
        <f>IF(ISBLANK('Data Entry'!$J$905), "", 'Data Entry'!$J$905)</f>
      </c>
      <c r="K905">
        <f>IF(ISBLANK('Data Entry'!$K$905), "", 'Data Entry'!$K$905)</f>
      </c>
      <c r="L905">
        <f>IF(ISBLANK('Data Entry'!$L$905), "", 'Data Entry'!$L$905)</f>
      </c>
      <c r="M905">
        <f>IF(ISBLANK('Data Entry'!$M$905), "", 'Data Entry'!$M$905)</f>
      </c>
      <c r="N905">
        <f>IF(ISBLANK('Data Entry'!$N$905), "", 'Data Entry'!$N$905)</f>
      </c>
      <c r="O905">
        <f>IF(ISBLANK('Data Entry'!$O$905), "", 'Data Entry'!$O$905)</f>
      </c>
      <c r="P905">
        <f>IF(ISBLANK('Data Entry'!$P$905), "", 'Data Entry'!$P$905)</f>
      </c>
      <c r="Q905">
        <f>IF(ISBLANK('Data Entry'!$Q$905), "", 'Data Entry'!$Q$905)</f>
      </c>
      <c r="R905">
        <f>IF(ISBLANK('Data Entry'!$R$905), "", 'Data Entry'!$R$905)</f>
      </c>
      <c r="S905">
        <f>IF(ISBLANK('Data Entry'!$S$905), "", 'Data Entry'!$S$905)</f>
      </c>
      <c r="T905">
        <f>IF(ISBLANK('Data Entry'!$T$905), "", 'Data Entry'!$T$905)</f>
      </c>
      <c r="U905">
        <f>IF(ISBLANK('Data Entry'!$U$905), "", 'Data Entry'!$U$905)</f>
      </c>
      <c r="V905">
        <f>IF(ISBLANK('Data Entry'!$V$905), "", 'Data Entry'!$V$905)</f>
      </c>
      <c r="W905">
        <f>IF(ISBLANK('Data Entry'!$W$905), "", 'Data Entry'!$W$905)</f>
      </c>
      <c r="X905">
        <f>IF(ISBLANK('Data Entry'!$X$905), "", 'Data Entry'!$X$905)</f>
      </c>
      <c r="Y905">
        <f>IF(ISBLANK('Data Entry'!$Y$905), "", 'Data Entry'!$Y$905)</f>
      </c>
      <c r="Z905">
        <f>IF(ISBLANK('Data Entry'!$Z$905), "", 'Data Entry'!$Z$905)</f>
      </c>
      <c r="AA905">
        <f>IF(ISBLANK('Data Entry'!$[$905), "", 'Data Entry'!$[$905)</f>
      </c>
      <c r="AB905">
        <f>IF(ISBLANK('Data Entry'!$\$905), "", 'Data Entry'!$\$905)</f>
      </c>
      <c r="AC905">
        <f>IF(ISBLANK('Data Entry'!$]$905), "", 'Data Entry'!$]$905)</f>
      </c>
      <c r="AD905">
        <f>IF(ISBLANK('Data Entry'!$^$905), "", 'Data Entry'!$^$905)</f>
      </c>
      <c r="AE905">
        <f>IF(ISBLANK('Data Entry'!$_$905), "", 'Data Entry'!$_$905)</f>
      </c>
      <c r="AF905">
        <f>IF(ISBLANK('Data Entry'!$`$905), "", 'Data Entry'!$`$905)</f>
      </c>
      <c r="AG905">
        <f>IF(ISBLANK('Data Entry'!$a$905), "", 'Data Entry'!$a$905)</f>
      </c>
      <c r="AH905">
        <f>IF(ISBLANK('Data Entry'!$b$905), "", 'Data Entry'!$b$905)</f>
      </c>
      <c r="AI905">
        <f>IF(ISBLANK('Data Entry'!$c$905), "", 'Data Entry'!$c$905)</f>
      </c>
      <c r="AJ905">
        <f>IF(ISBLANK('Data Entry'!$d$905), "", 'Data Entry'!$d$905)</f>
      </c>
      <c r="AK905">
        <f>IF(ISBLANK('Data Entry'!$e$905), "", 'Data Entry'!$e$905)</f>
      </c>
      <c r="AL905">
        <f>IF(ISBLANK('Data Entry'!$f$905), "", 'Data Entry'!$f$905)</f>
      </c>
      <c r="AM905">
        <f>IF(ISBLANK('Data Entry'!$g$905), "", 'Data Entry'!$g$905)</f>
      </c>
      <c r="AN905">
        <f>IF(ISBLANK('Data Entry'!$h$905), "", 'Data Entry'!$h$905)</f>
      </c>
      <c r="AO905">
        <f>IF(ISBLANK('Data Entry'!$i$905), "", 'Data Entry'!$i$905)</f>
      </c>
      <c r="AP905">
        <f>IF(ISBLANK('Data Entry'!$j$905), "", 'Data Entry'!$j$905)</f>
      </c>
      <c r="AQ905">
        <f>IF(ISBLANK('Data Entry'!$k$905), "", 'Data Entry'!$k$905)</f>
      </c>
      <c r="AR905">
        <f>IF(ISBLANK('Data Entry'!$l$905), "", 'Data Entry'!$l$905)</f>
      </c>
      <c r="AS905">
        <f>IF(ISBLANK('Data Entry'!$m$905), "", 'Data Entry'!$m$905)</f>
      </c>
      <c r="AT905">
        <f>IF(ISBLANK('Data Entry'!$n$905), "", 'Data Entry'!$n$905)</f>
      </c>
      <c r="AU905">
        <f>IF(ISBLANK('Data Entry'!$o$905), "", 'Data Entry'!$o$905)</f>
      </c>
      <c r="AV905">
        <f>IF(ISBLANK('Data Entry'!$p$905), "", 'Data Entry'!$p$905)</f>
      </c>
      <c r="AW905">
        <f>IF(ISBLANK('Data Entry'!$q$905), "", 'Data Entry'!$q$905)</f>
      </c>
      <c r="AX905">
        <f>IF(ISBLANK('Data Entry'!$r$905), "", 'Data Entry'!$r$905)</f>
      </c>
      <c r="AY905">
        <f>IF(ISBLANK('Data Entry'!$s$905), "", 'Data Entry'!$s$905)</f>
      </c>
      <c r="AZ905">
        <f>IF(ISBLANK('Data Entry'!$t$905), "", 'Data Entry'!$t$905)</f>
      </c>
      <c r="BA905">
        <f>IF(ISBLANK('Data Entry'!$u$905), "", 'Data Entry'!$u$905)</f>
      </c>
      <c r="BB905">
        <f>IF(ISBLANK('Data Entry'!$v$905), "", 'Data Entry'!$v$905)</f>
      </c>
      <c r="BC905">
        <f>IF(ISBLANK('Data Entry'!$w$905), "", 'Data Entry'!$w$905)</f>
      </c>
      <c r="BD905">
        <f>IF(ISBLANK('Data Entry'!$x$905), "", 'Data Entry'!$x$905)</f>
      </c>
      <c r="BE905">
        <f>IF(ISBLANK('Data Entry'!$y$905), "", 'Data Entry'!$y$905)</f>
      </c>
      <c r="BF905">
        <f>IF(ISBLANK('Data Entry'!$z$905), "", 'Data Entry'!$z$905)</f>
      </c>
      <c r="BG905">
        <f>IF(ISBLANK('Data Entry'!${$905), "", 'Data Entry'!${$905)</f>
      </c>
      <c r="BH905">
        <f>IF(ISBLANK('Data Entry'!$|$905), "", 'Data Entry'!$|$905)</f>
      </c>
      <c r="BI905">
        <f>IF(ISBLANK('Data Entry'!$}$905), "", 'Data Entry'!$}$905)</f>
      </c>
      <c r="BJ905">
        <f>IF(ISBLANK('Data Entry'!$~$905), "", 'Data Entry'!$~$905)</f>
      </c>
      <c r="BK905">
        <f>IF(ISBLANK('Data Entry'!$$905), "", 'Data Entry'!$$905)</f>
      </c>
      <c r="BL905">
        <f>IF(ISBLANK('Data Entry'!$$905), "", 'Data Entry'!$$905)</f>
      </c>
      <c r="BM905">
        <f>IF(ISBLANK('Data Entry'!$$905), "", 'Data Entry'!$$905)</f>
      </c>
      <c r="BN905">
        <f>IF(ISBLANK('Data Entry'!$$905), "", 'Data Entry'!$$905)</f>
      </c>
      <c r="BO905">
        <f>IF(ISBLANK('Data Entry'!$$905), "", 'Data Entry'!$$905)</f>
      </c>
      <c r="BP905">
        <f>IF(ISBLANK('Data Entry'!$$905), "", 'Data Entry'!$$905)</f>
      </c>
      <c r="BQ905">
        <f>IF(ISBLANK('Data Entry'!$$905), "", 'Data Entry'!$$905)</f>
      </c>
      <c r="BR905">
        <f>IF(ISBLANK('Data Entry'!$$905), "", 'Data Entry'!$$905)</f>
      </c>
      <c r="BS905">
        <f>IF(ISBLANK('Data Entry'!$$905), "", 'Data Entry'!$$905)</f>
      </c>
      <c r="BT905">
        <f>IF(ISBLANK('Data Entry'!$$905), "", 'Data Entry'!$$905)</f>
      </c>
      <c r="BU905">
        <f>IF(ISBLANK('Data Entry'!$$905), "", 'Data Entry'!$$905)</f>
      </c>
      <c r="BV905">
        <f>IF(ISBLANK('Data Entry'!$$905), "", 'Data Entry'!$$905)</f>
      </c>
      <c r="BW905">
        <f>IF(ISBLANK('Data Entry'!$$905), "", 'Data Entry'!$$905)</f>
      </c>
      <c r="BX905">
        <f>IF(ISBLANK('Data Entry'!$$905), "", 'Data Entry'!$$905)</f>
      </c>
      <c r="BY905">
        <f>IF(ISBLANK('Data Entry'!$$905), "", 'Data Entry'!$$905)</f>
      </c>
      <c r="BZ905">
        <f>IF(ISBLANK('Data Entry'!$$905), "", 'Data Entry'!$$905)</f>
      </c>
      <c r="CA905">
        <f>IF(ISBLANK('Data Entry'!$$905), "", 'Data Entry'!$$905)</f>
      </c>
      <c r="CB905">
        <f>IF(ISBLANK('Data Entry'!$$905), "", 'Data Entry'!$$905)</f>
      </c>
      <c r="CC905">
        <f>IF(ISBLANK('Data Entry'!$$905), "", 'Data Entry'!$$905)</f>
      </c>
      <c r="CD905">
        <f>IF(ISBLANK('Data Entry'!$$905), "", 'Data Entry'!$$905)</f>
      </c>
      <c r="CE905">
        <f>IF(ISBLANK('Data Entry'!$$905), "", 'Data Entry'!$$905)</f>
      </c>
      <c r="CF905">
        <f>IF(ISBLANK('Data Entry'!$$905), "", 'Data Entry'!$$905)</f>
      </c>
      <c r="CG905">
        <f>IF(ISBLANK('Data Entry'!$$905), "", 'Data Entry'!$$905)</f>
      </c>
      <c r="CH905">
        <f>IF(ISBLANK('Data Entry'!$$905), "", 'Data Entry'!$$905)</f>
      </c>
      <c r="CI905">
        <f>IF(ISBLANK('Data Entry'!$$905), "", 'Data Entry'!$$905)</f>
      </c>
      <c r="CJ905">
        <f>IF(ISBLANK('Data Entry'!$$905), "", 'Data Entry'!$$905)</f>
      </c>
      <c r="CK905">
        <f>IF(ISBLANK('Data Entry'!$$905), "", 'Data Entry'!$$905)</f>
      </c>
      <c r="CL905">
        <f>IF(ISBLANK('Data Entry'!$$905), "", 'Data Entry'!$$905)</f>
      </c>
      <c r="CM905">
        <f>IF(ISBLANK('Data Entry'!$$905), "", 'Data Entry'!$$905)</f>
      </c>
      <c r="CN905">
        <f>IF(ISBLANK('Data Entry'!$$905), "", 'Data Entry'!$$905)</f>
      </c>
      <c r="CO905">
        <f>IF(ISBLANK('Data Entry'!$$905), "", 'Data Entry'!$$905)</f>
      </c>
      <c r="CP905">
        <f>IF(ISBLANK('Data Entry'!$$905), "", 'Data Entry'!$$905)</f>
      </c>
      <c r="CQ905">
        <f>IF(ISBLANK('Data Entry'!$$905), "", 'Data Entry'!$$905)</f>
      </c>
      <c r="CR905">
        <f>IF(ISBLANK('Data Entry'!$ $905), "", 'Data Entry'!$ $905)</f>
      </c>
      <c r="CS905">
        <f>IF(ISBLANK('Data Entry'!$¡$905), "", 'Data Entry'!$¡$905)</f>
      </c>
      <c r="CT905">
        <f>IF(ISBLANK('Data Entry'!$¢$905), "", 'Data Entry'!$¢$905)</f>
      </c>
      <c r="CU905">
        <f>IF(ISBLANK('Data Entry'!$£$905), "", 'Data Entry'!$£$905)</f>
      </c>
      <c r="CV905">
        <f>IF(ISBLANK('Data Entry'!$¤$905), "", 'Data Entry'!$¤$905)</f>
      </c>
      <c r="CW905">
        <f>IF(ISBLANK('Data Entry'!$¥$905), "", 'Data Entry'!$¥$905)</f>
      </c>
      <c r="CX905">
        <f>IF(ISBLANK('Data Entry'!$¦$905), "", 'Data Entry'!$¦$905)</f>
      </c>
      <c r="CY905">
        <f>IF(ISBLANK('Data Entry'!$§$905), "", 'Data Entry'!$§$905)</f>
      </c>
      <c r="CZ905">
        <f>IF(ISBLANK('Data Entry'!$¨$905), "", 'Data Entry'!$¨$905)</f>
      </c>
      <c r="DA905">
        <f>IF(ISBLANK('Data Entry'!$©$905), "", 'Data Entry'!$©$905)</f>
      </c>
      <c r="DB905">
        <f>IF(ISBLANK('Data Entry'!$ª$905), "", 'Data Entry'!$ª$905)</f>
      </c>
      <c r="DC905">
        <f>IF(ISBLANK('Data Entry'!$«$905), "", 'Data Entry'!$«$905)</f>
      </c>
      <c r="DD905">
        <f>IF(ISBLANK('Data Entry'!$¬$905), "", 'Data Entry'!$¬$905)</f>
      </c>
      <c r="DE905">
        <f>IF(ISBLANK('Data Entry'!$­$905), "", 'Data Entry'!$­$905)</f>
      </c>
      <c r="DF905">
        <f>IF(ISBLANK('Data Entry'!$®$905), "", 'Data Entry'!$®$905)</f>
      </c>
      <c r="DG905">
        <f>IF(ISBLANK('Data Entry'!$¯$905), "", 'Data Entry'!$¯$905)</f>
      </c>
      <c r="DH905">
        <f>IF(ISBLANK('Data Entry'!$°$905), "", 'Data Entry'!$°$905)</f>
      </c>
      <c r="DI905">
        <f>IF(ISBLANK('Data Entry'!$±$905), "", 'Data Entry'!$±$905)</f>
      </c>
      <c r="DJ905">
        <f>IF(ISBLANK('Data Entry'!$²$905), "", 'Data Entry'!$²$905)</f>
      </c>
      <c r="DK905">
        <f>IF(ISBLANK('Data Entry'!$³$905), "", 'Data Entry'!$³$905)</f>
      </c>
      <c r="DL905">
        <f>IF(ISBLANK('Data Entry'!$´$905), "", 'Data Entry'!$´$905)</f>
      </c>
      <c r="DM905">
        <f>IF(ISBLANK('Data Entry'!$µ$905), "", 'Data Entry'!$µ$905)</f>
      </c>
      <c r="DN905">
        <f>IF(ISBLANK('Data Entry'!$¶$905), "", 'Data Entry'!$¶$905)</f>
      </c>
      <c r="DO905">
        <f>IF(ISBLANK('Data Entry'!$·$905), "", 'Data Entry'!$·$905)</f>
      </c>
      <c r="DP905">
        <f>IF(ISBLANK('Data Entry'!$¸$905), "", 'Data Entry'!$¸$905)</f>
      </c>
      <c r="DQ905">
        <f>IF(ISBLANK('Data Entry'!$¹$905), "", 'Data Entry'!$¹$905)</f>
      </c>
      <c r="DR905">
        <f>IF(ISBLANK('Data Entry'!$º$905), "", 'Data Entry'!$º$905)</f>
      </c>
      <c r="DS905">
        <f>IF(ISBLANK('Data Entry'!$»$905), "", 'Data Entry'!$»$905)</f>
      </c>
      <c r="DT905">
        <f>IF(ISBLANK('Data Entry'!$¼$905), "", 'Data Entry'!$¼$905)</f>
      </c>
      <c r="DU905">
        <f>IF(ISBLANK('Data Entry'!$½$905), "", 'Data Entry'!$½$905)</f>
      </c>
      <c r="DV905">
        <f>IF(ISBLANK('Data Entry'!$¾$905), "", 'Data Entry'!$¾$905)</f>
      </c>
      <c r="DW905">
        <f>IF(ISBLANK('Data Entry'!$¿$905), "", 'Data Entry'!$¿$905)</f>
      </c>
      <c r="DX905">
        <f>IF(ISBLANK('Data Entry'!$À$905), "", 'Data Entry'!$À$905)</f>
      </c>
      <c r="DY905">
        <f>IF(ISBLANK('Data Entry'!$Á$905), "", 'Data Entry'!$Á$905)</f>
      </c>
      <c r="DZ905">
        <f>IF(ISBLANK('Data Entry'!$Â$905), "", 'Data Entry'!$Â$905)</f>
      </c>
      <c r="EA905">
        <f>IF(ISBLANK('Data Entry'!$Ã$905), "", 'Data Entry'!$Ã$905)</f>
      </c>
      <c r="EB905">
        <f>IF(ISBLANK('Data Entry'!$Ä$905), "", 'Data Entry'!$Ä$905)</f>
      </c>
      <c r="EC905">
        <f>IF(ISBLANK('Data Entry'!$Å$905), "", 'Data Entry'!$Å$905)</f>
      </c>
      <c r="ED905">
        <f>IF(ISBLANK('Data Entry'!$Æ$905), "", 'Data Entry'!$Æ$905)</f>
      </c>
      <c r="EE905">
        <f>IF(ISBLANK('Data Entry'!$Ç$905), "", 'Data Entry'!$Ç$905)</f>
      </c>
      <c r="EF905">
        <f>IF(ISBLANK('Data Entry'!$È$905), "", 'Data Entry'!$È$905)</f>
      </c>
      <c r="EG905">
        <f>IF(ISBLANK('Data Entry'!$É$905), "", 'Data Entry'!$É$905)</f>
      </c>
      <c r="EH905">
        <f>IF(ISBLANK('Data Entry'!$Ê$905), "", 'Data Entry'!$Ê$905)</f>
      </c>
      <c r="EI905">
        <f>IF(ISBLANK('Data Entry'!$Ë$905), "", 'Data Entry'!$Ë$905)</f>
      </c>
      <c r="EJ905">
        <f>IF(ISBLANK('Data Entry'!$Ì$905), "", 'Data Entry'!$Ì$905)</f>
      </c>
      <c r="EK905">
        <f>IF(ISBLANK('Data Entry'!$Í$905), "", 'Data Entry'!$Í$905)</f>
      </c>
      <c r="EL905">
        <f>IF(ISBLANK('Data Entry'!$Î$905), "", 'Data Entry'!$Î$905)</f>
      </c>
      <c r="EM905">
        <f>IF(ISBLANK('Data Entry'!$Ï$905), "", 'Data Entry'!$Ï$905)</f>
      </c>
      <c r="EN905">
        <f>IF(ISBLANK('Data Entry'!$Ð$905), "", 'Data Entry'!$Ð$905)</f>
      </c>
      <c r="EO905">
        <f>IF(ISBLANK('Data Entry'!$Ñ$905), "", 'Data Entry'!$Ñ$905)</f>
      </c>
      <c r="EP905">
        <f>IF(ISBLANK('Data Entry'!$Ò$905), "", 'Data Entry'!$Ò$905)</f>
      </c>
      <c r="EQ905">
        <f>IF(ISBLANK('Data Entry'!$Ó$905), "", 'Data Entry'!$Ó$905)</f>
      </c>
      <c r="ER905">
        <f>IF(ISBLANK('Data Entry'!$Ô$905), "", 'Data Entry'!$Ô$905)</f>
      </c>
      <c r="ES905">
        <f>IF(ISBLANK('Data Entry'!$Õ$905), "", 'Data Entry'!$Õ$905)</f>
      </c>
      <c r="ET905">
        <f>IF(ISBLANK('Data Entry'!$Ö$905), "", 'Data Entry'!$Ö$905)</f>
      </c>
      <c r="EU905">
        <f>IF(ISBLANK('Data Entry'!$×$905), "", 'Data Entry'!$×$905)</f>
      </c>
      <c r="EV905">
        <f>IF(ISBLANK('Data Entry'!$Ø$905), "", 'Data Entry'!$Ø$905)</f>
      </c>
      <c r="EW905">
        <f>IF(ISBLANK('Data Entry'!$Ù$905), "", 'Data Entry'!$Ù$905)</f>
      </c>
      <c r="EX905">
        <f>IF(ISBLANK('Data Entry'!$Ú$905), "", 'Data Entry'!$Ú$905)</f>
      </c>
      <c r="EY905">
        <f>IF(ISBLANK('Data Entry'!$Û$905), "", 'Data Entry'!$Û$905)</f>
      </c>
      <c r="EZ905">
        <f>IF(ISBLANK('Data Entry'!$Ü$905), "", 'Data Entry'!$Ü$905)</f>
      </c>
      <c r="FA905">
        <f>IF(ISBLANK('Data Entry'!$Ý$905), "", 'Data Entry'!$Ý$905)</f>
      </c>
      <c r="FB905">
        <f>IF(ISBLANK('Data Entry'!$Þ$905), "", 'Data Entry'!$Þ$905)</f>
      </c>
      <c r="FC905">
        <f>IF(ISBLANK('Data Entry'!$ß$905), "", 'Data Entry'!$ß$905)</f>
      </c>
      <c r="FD905">
        <f>IF(ISBLANK('Data Entry'!$à$905), "", 'Data Entry'!$à$905)</f>
      </c>
      <c r="FE905">
        <f>IF(ISBLANK('Data Entry'!$á$905), "", 'Data Entry'!$á$905)</f>
      </c>
      <c r="FF905">
        <f>IF(ISBLANK('Data Entry'!$â$905), "", 'Data Entry'!$â$905)</f>
      </c>
      <c r="FG905">
        <f>IF(ISBLANK('Data Entry'!$ã$905), "", 'Data Entry'!$ã$905)</f>
      </c>
      <c r="FH905">
        <f>IF(ISBLANK('Data Entry'!$ä$905), "", 'Data Entry'!$ä$905)</f>
      </c>
      <c r="FI905">
        <f>IF(ISBLANK('Data Entry'!$å$905), "", 'Data Entry'!$å$905)</f>
      </c>
      <c r="FJ905">
        <f>IF(ISBLANK('Data Entry'!$æ$905), "", 'Data Entry'!$æ$905)</f>
      </c>
      <c r="FK905">
        <f>IF(ISBLANK('Data Entry'!$ç$905), "", 'Data Entry'!$ç$905)</f>
      </c>
      <c r="FL905">
        <f>IF(ISBLANK('Data Entry'!$è$905), "", 'Data Entry'!$è$905)</f>
      </c>
      <c r="FM905">
        <f>IF(ISBLANK('Data Entry'!$é$905), "", 'Data Entry'!$é$905)</f>
      </c>
      <c r="FN905">
        <f>IF(ISBLANK('Data Entry'!$ê$905), "", 'Data Entry'!$ê$905)</f>
      </c>
      <c r="FO905">
        <f>IF(ISBLANK('Data Entry'!$ë$905), "", 'Data Entry'!$ë$905)</f>
      </c>
      <c r="FP905">
        <f>IF(ISBLANK('Data Entry'!$ì$905), "", 'Data Entry'!$ì$905)</f>
      </c>
      <c r="FQ905">
        <f>IF(ISBLANK('Data Entry'!$í$905), "", 'Data Entry'!$í$905)</f>
      </c>
      <c r="FR905">
        <f>IF(ISBLANK('Data Entry'!$î$905), "", 'Data Entry'!$î$905)</f>
      </c>
      <c r="FS905">
        <f>IF(ISBLANK('Data Entry'!$ï$905), "", 'Data Entry'!$ï$905)</f>
      </c>
      <c r="FT905">
        <f>IF(ISBLANK('Data Entry'!$ð$905), "", 'Data Entry'!$ð$905)</f>
      </c>
      <c r="FU905">
        <f>IF(ISBLANK('Data Entry'!$ñ$905), "", 'Data Entry'!$ñ$905)</f>
      </c>
      <c r="FV905">
        <f>IF(ISBLANK('Data Entry'!$ò$905), "", 'Data Entry'!$ò$905)</f>
      </c>
      <c r="FW905">
        <f>IF(ISBLANK('Data Entry'!$ó$905), "", 'Data Entry'!$ó$905)</f>
      </c>
      <c r="FX905">
        <f>IF(ISBLANK('Data Entry'!$ô$905), "", 'Data Entry'!$ô$905)</f>
      </c>
      <c r="FY905">
        <f>IF(ISBLANK('Data Entry'!$õ$905), "", 'Data Entry'!$õ$905)</f>
      </c>
      <c r="FZ905">
        <f>IF(ISBLANK('Data Entry'!$ö$905), "", 'Data Entry'!$ö$905)</f>
      </c>
      <c r="GA905">
        <f>IF(ISBLANK('Data Entry'!$÷$905), "", 'Data Entry'!$÷$905)</f>
      </c>
      <c r="GB905">
        <f>IF(ISBLANK('Data Entry'!$ø$905), "", 'Data Entry'!$ø$905)</f>
      </c>
      <c r="GC905">
        <f>IF(ISBLANK('Data Entry'!$ù$905), "", 'Data Entry'!$ù$905)</f>
      </c>
      <c r="GD905">
        <f>IF(ISBLANK('Data Entry'!$ú$905), "", 'Data Entry'!$ú$905)</f>
      </c>
      <c r="GE905">
        <f>IF(ISBLANK('Data Entry'!$û$905), "", 'Data Entry'!$û$905)</f>
      </c>
      <c r="GF905">
        <f>IF(ISBLANK('Data Entry'!$ü$905), "", 'Data Entry'!$ü$905)</f>
      </c>
      <c r="GG905">
        <f>IF(ISBLANK('Data Entry'!$ý$905), "", 'Data Entry'!$ý$905)</f>
      </c>
      <c r="GH905">
        <f>IF(ISBLANK('Data Entry'!$þ$905), "", 'Data Entry'!$þ$905)</f>
      </c>
      <c r="GI905">
        <f>IF(ISBLANK('Data Entry'!$ÿ$905), "", 'Data Entry'!$ÿ$905)</f>
      </c>
      <c r="GJ905">
        <f>IF(ISBLANK('Data Entry'!$Ā$905), "", 'Data Entry'!$Ā$905)</f>
      </c>
      <c r="GK905">
        <f>IF(ISBLANK('Data Entry'!$ā$905), "", 'Data Entry'!$ā$905)</f>
      </c>
      <c r="GL905">
        <f>IF(ISBLANK('Data Entry'!$Ă$905), "", 'Data Entry'!$Ă$905)</f>
      </c>
      <c r="GM905">
        <f>IF(ISBLANK('Data Entry'!$ă$905), "", 'Data Entry'!$ă$905)</f>
      </c>
      <c r="GN905">
        <f>IF(ISBLANK('Data Entry'!$Ą$905), "", 'Data Entry'!$Ą$905)</f>
      </c>
      <c r="GO905">
        <f>IF(ISBLANK('Data Entry'!$ą$905), "", 'Data Entry'!$ą$905)</f>
      </c>
      <c r="GP905">
        <f>IF(ISBLANK('Data Entry'!$Ć$905), "", 'Data Entry'!$Ć$905)</f>
      </c>
      <c r="GQ905">
        <f>IF(ISBLANK('Data Entry'!$ć$905), "", 'Data Entry'!$ć$905)</f>
      </c>
      <c r="GR905">
        <f>IF(ISBLANK('Data Entry'!$Ĉ$905), "", 'Data Entry'!$Ĉ$905)</f>
      </c>
      <c r="GS905">
        <f>IF(ISBLANK('Data Entry'!$ĉ$905), "", 'Data Entry'!$ĉ$905)</f>
      </c>
      <c r="GT905">
        <f>IF(ISBLANK('Data Entry'!$Ċ$905), "", 'Data Entry'!$Ċ$905)</f>
      </c>
      <c r="GU905">
        <f>IF(ISBLANK('Data Entry'!$ċ$905), "", 'Data Entry'!$ċ$905)</f>
      </c>
      <c r="GV905">
        <f>IF(ISBLANK('Data Entry'!$Č$905), "", 'Data Entry'!$Č$905)</f>
      </c>
      <c r="GW905">
        <f>IF(ISBLANK('Data Entry'!$č$905), "", 'Data Entry'!$č$905)</f>
      </c>
      <c r="GX905">
        <f>IF(ISBLANK('Data Entry'!$Ď$905), "", 'Data Entry'!$Ď$905)</f>
      </c>
      <c r="GY905">
        <f>IF(ISBLANK('Data Entry'!$ď$905), "", 'Data Entry'!$ď$905)</f>
      </c>
      <c r="GZ905">
        <f>IF(ISBLANK('Data Entry'!$Đ$905), "", 'Data Entry'!$Đ$905)</f>
      </c>
      <c r="HA905">
        <f>IF(ISBLANK('Data Entry'!$đ$905), "", 'Data Entry'!$đ$905)</f>
      </c>
      <c r="HB905">
        <f>IF(ISBLANK('Data Entry'!$Ē$905), "", 'Data Entry'!$Ē$905)</f>
      </c>
      <c r="HC905">
        <f>IF(ISBLANK('Data Entry'!$ē$905), "", 'Data Entry'!$ē$905)</f>
      </c>
      <c r="HD905">
        <f>IF(ISBLANK('Data Entry'!$Ĕ$905), "", 'Data Entry'!$Ĕ$905)</f>
      </c>
      <c r="HE905">
        <f>IF(ISBLANK('Data Entry'!$ĕ$905), "", 'Data Entry'!$ĕ$905)</f>
      </c>
      <c r="HF905">
        <f>IF(ISBLANK('Data Entry'!$Ė$905), "", 'Data Entry'!$Ė$905)</f>
      </c>
      <c r="HG905">
        <f>IF(ISBLANK('Data Entry'!$ė$905), "", 'Data Entry'!$ė$905)</f>
      </c>
      <c r="HH905">
        <f>IF(ISBLANK('Data Entry'!$Ę$905), "", 'Data Entry'!$Ę$905)</f>
      </c>
      <c r="HI905">
        <f>IF(ISBLANK('Data Entry'!$ę$905), "", 'Data Entry'!$ę$905)</f>
      </c>
      <c r="HJ905">
        <f>IF(ISBLANK('Data Entry'!$Ě$905), "", 'Data Entry'!$Ě$905)</f>
      </c>
      <c r="HK905">
        <f>IF(ISBLANK('Data Entry'!$ě$905), "", 'Data Entry'!$ě$905)</f>
      </c>
      <c r="HL905">
        <f>IF(ISBLANK('Data Entry'!$Ĝ$905), "", 'Data Entry'!$Ĝ$905)</f>
      </c>
      <c r="HM905">
        <f>IF(ISBLANK('Data Entry'!$ĝ$905), "", 'Data Entry'!$ĝ$905)</f>
      </c>
      <c r="HN905">
        <f>IF(ISBLANK('Data Entry'!$Ğ$905), "", 'Data Entry'!$Ğ$905)</f>
      </c>
      <c r="HO905">
        <f>IF(ISBLANK('Data Entry'!$ğ$905), "", 'Data Entry'!$ğ$905)</f>
      </c>
      <c r="HP905">
        <f>IF(ISBLANK('Data Entry'!$Ġ$905), "", 'Data Entry'!$Ġ$905)</f>
      </c>
      <c r="HQ905">
        <f>IF(ISBLANK('Data Entry'!$ġ$905), "", 'Data Entry'!$ġ$905)</f>
      </c>
      <c r="HR905">
        <f>IF(ISBLANK('Data Entry'!$Ģ$905), "", 'Data Entry'!$Ģ$905)</f>
      </c>
      <c r="HS905">
        <f>IF(ISBLANK('Data Entry'!$ģ$905), "", 'Data Entry'!$ģ$905)</f>
      </c>
      <c r="HT905">
        <f>IF(ISBLANK('Data Entry'!$Ĥ$905), "", 'Data Entry'!$Ĥ$905)</f>
      </c>
      <c r="HU905">
        <f>IF(ISBLANK('Data Entry'!$ĥ$905), "", 'Data Entry'!$ĥ$905)</f>
      </c>
      <c r="HV905">
        <f>IF(ISBLANK('Data Entry'!$Ħ$905), "", 'Data Entry'!$Ħ$905)</f>
      </c>
      <c r="HW905">
        <f>IF(ISBLANK('Data Entry'!$ħ$905), "", 'Data Entry'!$ħ$905)</f>
      </c>
      <c r="HX905">
        <f>IF(ISBLANK('Data Entry'!$Ĩ$905), "", 'Data Entry'!$Ĩ$905)</f>
      </c>
      <c r="HY905">
        <f>IF(ISBLANK('Data Entry'!$ĩ$905), "", 'Data Entry'!$ĩ$905)</f>
      </c>
      <c r="HZ905">
        <f>IF(ISBLANK('Data Entry'!$Ī$905), "", 'Data Entry'!$Ī$905)</f>
      </c>
      <c r="IA905">
        <f>IF(ISBLANK('Data Entry'!$ī$905), "", 'Data Entry'!$ī$905)</f>
      </c>
      <c r="IB905">
        <f>IF(ISBLANK('Data Entry'!$Ĭ$905), "", 'Data Entry'!$Ĭ$905)</f>
      </c>
      <c r="IC905">
        <f>IF(ISBLANK('Data Entry'!$ĭ$905), "", 'Data Entry'!$ĭ$905)</f>
      </c>
      <c r="ID905">
        <f>IF(ISBLANK('Data Entry'!$Į$905), "", 'Data Entry'!$Į$905)</f>
      </c>
      <c r="IE905">
        <f>IF(ISBLANK('Data Entry'!$į$905), "", 'Data Entry'!$į$905)</f>
      </c>
      <c r="IF905">
        <f>IF(ISBLANK('Data Entry'!$İ$905), "", 'Data Entry'!$İ$905)</f>
      </c>
      <c r="IG905">
        <f>IF(ISBLANK('Data Entry'!$ı$905), "", 'Data Entry'!$ı$905)</f>
      </c>
      <c r="IH905">
        <f>IF(ISBLANK('Data Entry'!$Ĳ$905), "", 'Data Entry'!$Ĳ$905)</f>
      </c>
      <c r="II905">
        <f>IF(ISBLANK('Data Entry'!$ĳ$905), "", 'Data Entry'!$ĳ$905)</f>
      </c>
      <c r="IJ905">
        <f>IF(ISBLANK('Data Entry'!$Ĵ$905), "", 'Data Entry'!$Ĵ$905)</f>
      </c>
      <c r="IK905">
        <f>IF(ISBLANK('Data Entry'!$ĵ$905), "", 'Data Entry'!$ĵ$905)</f>
      </c>
      <c r="IL905">
        <f>IF(ISBLANK('Data Entry'!$Ķ$905), "", 'Data Entry'!$Ķ$905)</f>
      </c>
      <c r="IM905">
        <f>IF(ISBLANK('Data Entry'!$ķ$905), "", 'Data Entry'!$ķ$905)</f>
      </c>
      <c r="IN905">
        <f>IF(ISBLANK('Data Entry'!$ĸ$905), "", 'Data Entry'!$ĸ$905)</f>
      </c>
      <c r="IO905">
        <f>IF(ISBLANK('Data Entry'!$Ĺ$905), "", 'Data Entry'!$Ĺ$905)</f>
      </c>
      <c r="IP905">
        <f>IF(ISBLANK('Data Entry'!$ĺ$905), "", 'Data Entry'!$ĺ$905)</f>
      </c>
      <c r="IQ905">
        <f>IF(ISBLANK('Data Entry'!$Ļ$905), "", 'Data Entry'!$Ļ$905)</f>
      </c>
      <c r="IR905">
        <f>IF(ISBLANK('Data Entry'!$ļ$905), "", 'Data Entry'!$ļ$905)</f>
      </c>
      <c r="IS905">
        <f>IF(ISBLANK('Data Entry'!$Ľ$905), "", 'Data Entry'!$Ľ$905)</f>
      </c>
      <c r="IT905">
        <f>IF(ISBLANK('Data Entry'!$ľ$905), "", 'Data Entry'!$ľ$905)</f>
      </c>
    </row>
    <row r="906" spans="1:254" x14ac:dyDescent="0.25">
      <c r="A906">
        <f>IF(ISBLANK('Data Entry'!$A$906), "", 'Data Entry'!$A$906)</f>
      </c>
      <c r="B906">
        <f>IF(ISBLANK('Data Entry'!$B$906), "", 'Data Entry'!$B$906)</f>
      </c>
      <c r="C906">
        <f>IF(ISBLANK('Data Entry'!$C$906), "", 'Data Entry'!$C$906)</f>
      </c>
      <c r="D906">
        <f>IF(ISBLANK('Data Entry'!$D$906), "", 'Data Entry'!$D$906)</f>
      </c>
      <c r="E906">
        <f>IF(ISBLANK('Data Entry'!$E$906), "", 'Data Entry'!$E$906)</f>
      </c>
      <c r="F906">
        <f>IF(ISBLANK('Data Entry'!$F$906), "", 'Data Entry'!$F$906)</f>
      </c>
      <c r="G906">
        <f>IF(ISBLANK('Data Entry'!$G$906), "", 'Data Entry'!$G$906)</f>
      </c>
      <c r="H906">
        <f>IF(ISBLANK('Data Entry'!$H$906), "", 'Data Entry'!$H$906)</f>
      </c>
      <c r="I906">
        <f>IF(ISBLANK('Data Entry'!$I$906), "", 'Data Entry'!$I$906)</f>
      </c>
      <c r="J906">
        <f>IF(ISBLANK('Data Entry'!$J$906), "", 'Data Entry'!$J$906)</f>
      </c>
      <c r="K906">
        <f>IF(ISBLANK('Data Entry'!$K$906), "", 'Data Entry'!$K$906)</f>
      </c>
      <c r="L906">
        <f>IF(ISBLANK('Data Entry'!$L$906), "", 'Data Entry'!$L$906)</f>
      </c>
      <c r="M906">
        <f>IF(ISBLANK('Data Entry'!$M$906), "", 'Data Entry'!$M$906)</f>
      </c>
      <c r="N906">
        <f>IF(ISBLANK('Data Entry'!$N$906), "", 'Data Entry'!$N$906)</f>
      </c>
      <c r="O906">
        <f>IF(ISBLANK('Data Entry'!$O$906), "", 'Data Entry'!$O$906)</f>
      </c>
      <c r="P906">
        <f>IF(ISBLANK('Data Entry'!$P$906), "", 'Data Entry'!$P$906)</f>
      </c>
      <c r="Q906">
        <f>IF(ISBLANK('Data Entry'!$Q$906), "", 'Data Entry'!$Q$906)</f>
      </c>
      <c r="R906">
        <f>IF(ISBLANK('Data Entry'!$R$906), "", 'Data Entry'!$R$906)</f>
      </c>
      <c r="S906">
        <f>IF(ISBLANK('Data Entry'!$S$906), "", 'Data Entry'!$S$906)</f>
      </c>
      <c r="T906">
        <f>IF(ISBLANK('Data Entry'!$T$906), "", 'Data Entry'!$T$906)</f>
      </c>
      <c r="U906">
        <f>IF(ISBLANK('Data Entry'!$U$906), "", 'Data Entry'!$U$906)</f>
      </c>
      <c r="V906">
        <f>IF(ISBLANK('Data Entry'!$V$906), "", 'Data Entry'!$V$906)</f>
      </c>
      <c r="W906">
        <f>IF(ISBLANK('Data Entry'!$W$906), "", 'Data Entry'!$W$906)</f>
      </c>
      <c r="X906">
        <f>IF(ISBLANK('Data Entry'!$X$906), "", 'Data Entry'!$X$906)</f>
      </c>
      <c r="Y906">
        <f>IF(ISBLANK('Data Entry'!$Y$906), "", 'Data Entry'!$Y$906)</f>
      </c>
      <c r="Z906">
        <f>IF(ISBLANK('Data Entry'!$Z$906), "", 'Data Entry'!$Z$906)</f>
      </c>
      <c r="AA906">
        <f>IF(ISBLANK('Data Entry'!$[$906), "", 'Data Entry'!$[$906)</f>
      </c>
      <c r="AB906">
        <f>IF(ISBLANK('Data Entry'!$\$906), "", 'Data Entry'!$\$906)</f>
      </c>
      <c r="AC906">
        <f>IF(ISBLANK('Data Entry'!$]$906), "", 'Data Entry'!$]$906)</f>
      </c>
      <c r="AD906">
        <f>IF(ISBLANK('Data Entry'!$^$906), "", 'Data Entry'!$^$906)</f>
      </c>
      <c r="AE906">
        <f>IF(ISBLANK('Data Entry'!$_$906), "", 'Data Entry'!$_$906)</f>
      </c>
      <c r="AF906">
        <f>IF(ISBLANK('Data Entry'!$`$906), "", 'Data Entry'!$`$906)</f>
      </c>
      <c r="AG906">
        <f>IF(ISBLANK('Data Entry'!$a$906), "", 'Data Entry'!$a$906)</f>
      </c>
      <c r="AH906">
        <f>IF(ISBLANK('Data Entry'!$b$906), "", 'Data Entry'!$b$906)</f>
      </c>
      <c r="AI906">
        <f>IF(ISBLANK('Data Entry'!$c$906), "", 'Data Entry'!$c$906)</f>
      </c>
      <c r="AJ906">
        <f>IF(ISBLANK('Data Entry'!$d$906), "", 'Data Entry'!$d$906)</f>
      </c>
      <c r="AK906">
        <f>IF(ISBLANK('Data Entry'!$e$906), "", 'Data Entry'!$e$906)</f>
      </c>
      <c r="AL906">
        <f>IF(ISBLANK('Data Entry'!$f$906), "", 'Data Entry'!$f$906)</f>
      </c>
      <c r="AM906">
        <f>IF(ISBLANK('Data Entry'!$g$906), "", 'Data Entry'!$g$906)</f>
      </c>
      <c r="AN906">
        <f>IF(ISBLANK('Data Entry'!$h$906), "", 'Data Entry'!$h$906)</f>
      </c>
      <c r="AO906">
        <f>IF(ISBLANK('Data Entry'!$i$906), "", 'Data Entry'!$i$906)</f>
      </c>
      <c r="AP906">
        <f>IF(ISBLANK('Data Entry'!$j$906), "", 'Data Entry'!$j$906)</f>
      </c>
      <c r="AQ906">
        <f>IF(ISBLANK('Data Entry'!$k$906), "", 'Data Entry'!$k$906)</f>
      </c>
      <c r="AR906">
        <f>IF(ISBLANK('Data Entry'!$l$906), "", 'Data Entry'!$l$906)</f>
      </c>
      <c r="AS906">
        <f>IF(ISBLANK('Data Entry'!$m$906), "", 'Data Entry'!$m$906)</f>
      </c>
      <c r="AT906">
        <f>IF(ISBLANK('Data Entry'!$n$906), "", 'Data Entry'!$n$906)</f>
      </c>
      <c r="AU906">
        <f>IF(ISBLANK('Data Entry'!$o$906), "", 'Data Entry'!$o$906)</f>
      </c>
      <c r="AV906">
        <f>IF(ISBLANK('Data Entry'!$p$906), "", 'Data Entry'!$p$906)</f>
      </c>
      <c r="AW906">
        <f>IF(ISBLANK('Data Entry'!$q$906), "", 'Data Entry'!$q$906)</f>
      </c>
      <c r="AX906">
        <f>IF(ISBLANK('Data Entry'!$r$906), "", 'Data Entry'!$r$906)</f>
      </c>
      <c r="AY906">
        <f>IF(ISBLANK('Data Entry'!$s$906), "", 'Data Entry'!$s$906)</f>
      </c>
      <c r="AZ906">
        <f>IF(ISBLANK('Data Entry'!$t$906), "", 'Data Entry'!$t$906)</f>
      </c>
      <c r="BA906">
        <f>IF(ISBLANK('Data Entry'!$u$906), "", 'Data Entry'!$u$906)</f>
      </c>
      <c r="BB906">
        <f>IF(ISBLANK('Data Entry'!$v$906), "", 'Data Entry'!$v$906)</f>
      </c>
      <c r="BC906">
        <f>IF(ISBLANK('Data Entry'!$w$906), "", 'Data Entry'!$w$906)</f>
      </c>
      <c r="BD906">
        <f>IF(ISBLANK('Data Entry'!$x$906), "", 'Data Entry'!$x$906)</f>
      </c>
      <c r="BE906">
        <f>IF(ISBLANK('Data Entry'!$y$906), "", 'Data Entry'!$y$906)</f>
      </c>
      <c r="BF906">
        <f>IF(ISBLANK('Data Entry'!$z$906), "", 'Data Entry'!$z$906)</f>
      </c>
      <c r="BG906">
        <f>IF(ISBLANK('Data Entry'!${$906), "", 'Data Entry'!${$906)</f>
      </c>
      <c r="BH906">
        <f>IF(ISBLANK('Data Entry'!$|$906), "", 'Data Entry'!$|$906)</f>
      </c>
      <c r="BI906">
        <f>IF(ISBLANK('Data Entry'!$}$906), "", 'Data Entry'!$}$906)</f>
      </c>
      <c r="BJ906">
        <f>IF(ISBLANK('Data Entry'!$~$906), "", 'Data Entry'!$~$906)</f>
      </c>
      <c r="BK906">
        <f>IF(ISBLANK('Data Entry'!$$906), "", 'Data Entry'!$$906)</f>
      </c>
      <c r="BL906">
        <f>IF(ISBLANK('Data Entry'!$$906), "", 'Data Entry'!$$906)</f>
      </c>
      <c r="BM906">
        <f>IF(ISBLANK('Data Entry'!$$906), "", 'Data Entry'!$$906)</f>
      </c>
      <c r="BN906">
        <f>IF(ISBLANK('Data Entry'!$$906), "", 'Data Entry'!$$906)</f>
      </c>
      <c r="BO906">
        <f>IF(ISBLANK('Data Entry'!$$906), "", 'Data Entry'!$$906)</f>
      </c>
      <c r="BP906">
        <f>IF(ISBLANK('Data Entry'!$$906), "", 'Data Entry'!$$906)</f>
      </c>
      <c r="BQ906">
        <f>IF(ISBLANK('Data Entry'!$$906), "", 'Data Entry'!$$906)</f>
      </c>
      <c r="BR906">
        <f>IF(ISBLANK('Data Entry'!$$906), "", 'Data Entry'!$$906)</f>
      </c>
      <c r="BS906">
        <f>IF(ISBLANK('Data Entry'!$$906), "", 'Data Entry'!$$906)</f>
      </c>
      <c r="BT906">
        <f>IF(ISBLANK('Data Entry'!$$906), "", 'Data Entry'!$$906)</f>
      </c>
      <c r="BU906">
        <f>IF(ISBLANK('Data Entry'!$$906), "", 'Data Entry'!$$906)</f>
      </c>
      <c r="BV906">
        <f>IF(ISBLANK('Data Entry'!$$906), "", 'Data Entry'!$$906)</f>
      </c>
      <c r="BW906">
        <f>IF(ISBLANK('Data Entry'!$$906), "", 'Data Entry'!$$906)</f>
      </c>
      <c r="BX906">
        <f>IF(ISBLANK('Data Entry'!$$906), "", 'Data Entry'!$$906)</f>
      </c>
      <c r="BY906">
        <f>IF(ISBLANK('Data Entry'!$$906), "", 'Data Entry'!$$906)</f>
      </c>
      <c r="BZ906">
        <f>IF(ISBLANK('Data Entry'!$$906), "", 'Data Entry'!$$906)</f>
      </c>
      <c r="CA906">
        <f>IF(ISBLANK('Data Entry'!$$906), "", 'Data Entry'!$$906)</f>
      </c>
      <c r="CB906">
        <f>IF(ISBLANK('Data Entry'!$$906), "", 'Data Entry'!$$906)</f>
      </c>
      <c r="CC906">
        <f>IF(ISBLANK('Data Entry'!$$906), "", 'Data Entry'!$$906)</f>
      </c>
      <c r="CD906">
        <f>IF(ISBLANK('Data Entry'!$$906), "", 'Data Entry'!$$906)</f>
      </c>
      <c r="CE906">
        <f>IF(ISBLANK('Data Entry'!$$906), "", 'Data Entry'!$$906)</f>
      </c>
      <c r="CF906">
        <f>IF(ISBLANK('Data Entry'!$$906), "", 'Data Entry'!$$906)</f>
      </c>
      <c r="CG906">
        <f>IF(ISBLANK('Data Entry'!$$906), "", 'Data Entry'!$$906)</f>
      </c>
      <c r="CH906">
        <f>IF(ISBLANK('Data Entry'!$$906), "", 'Data Entry'!$$906)</f>
      </c>
      <c r="CI906">
        <f>IF(ISBLANK('Data Entry'!$$906), "", 'Data Entry'!$$906)</f>
      </c>
      <c r="CJ906">
        <f>IF(ISBLANK('Data Entry'!$$906), "", 'Data Entry'!$$906)</f>
      </c>
      <c r="CK906">
        <f>IF(ISBLANK('Data Entry'!$$906), "", 'Data Entry'!$$906)</f>
      </c>
      <c r="CL906">
        <f>IF(ISBLANK('Data Entry'!$$906), "", 'Data Entry'!$$906)</f>
      </c>
      <c r="CM906">
        <f>IF(ISBLANK('Data Entry'!$$906), "", 'Data Entry'!$$906)</f>
      </c>
      <c r="CN906">
        <f>IF(ISBLANK('Data Entry'!$$906), "", 'Data Entry'!$$906)</f>
      </c>
      <c r="CO906">
        <f>IF(ISBLANK('Data Entry'!$$906), "", 'Data Entry'!$$906)</f>
      </c>
      <c r="CP906">
        <f>IF(ISBLANK('Data Entry'!$$906), "", 'Data Entry'!$$906)</f>
      </c>
      <c r="CQ906">
        <f>IF(ISBLANK('Data Entry'!$$906), "", 'Data Entry'!$$906)</f>
      </c>
      <c r="CR906">
        <f>IF(ISBLANK('Data Entry'!$ $906), "", 'Data Entry'!$ $906)</f>
      </c>
      <c r="CS906">
        <f>IF(ISBLANK('Data Entry'!$¡$906), "", 'Data Entry'!$¡$906)</f>
      </c>
      <c r="CT906">
        <f>IF(ISBLANK('Data Entry'!$¢$906), "", 'Data Entry'!$¢$906)</f>
      </c>
      <c r="CU906">
        <f>IF(ISBLANK('Data Entry'!$£$906), "", 'Data Entry'!$£$906)</f>
      </c>
      <c r="CV906">
        <f>IF(ISBLANK('Data Entry'!$¤$906), "", 'Data Entry'!$¤$906)</f>
      </c>
      <c r="CW906">
        <f>IF(ISBLANK('Data Entry'!$¥$906), "", 'Data Entry'!$¥$906)</f>
      </c>
      <c r="CX906">
        <f>IF(ISBLANK('Data Entry'!$¦$906), "", 'Data Entry'!$¦$906)</f>
      </c>
      <c r="CY906">
        <f>IF(ISBLANK('Data Entry'!$§$906), "", 'Data Entry'!$§$906)</f>
      </c>
      <c r="CZ906">
        <f>IF(ISBLANK('Data Entry'!$¨$906), "", 'Data Entry'!$¨$906)</f>
      </c>
      <c r="DA906">
        <f>IF(ISBLANK('Data Entry'!$©$906), "", 'Data Entry'!$©$906)</f>
      </c>
      <c r="DB906">
        <f>IF(ISBLANK('Data Entry'!$ª$906), "", 'Data Entry'!$ª$906)</f>
      </c>
      <c r="DC906">
        <f>IF(ISBLANK('Data Entry'!$«$906), "", 'Data Entry'!$«$906)</f>
      </c>
      <c r="DD906">
        <f>IF(ISBLANK('Data Entry'!$¬$906), "", 'Data Entry'!$¬$906)</f>
      </c>
      <c r="DE906">
        <f>IF(ISBLANK('Data Entry'!$­$906), "", 'Data Entry'!$­$906)</f>
      </c>
      <c r="DF906">
        <f>IF(ISBLANK('Data Entry'!$®$906), "", 'Data Entry'!$®$906)</f>
      </c>
      <c r="DG906">
        <f>IF(ISBLANK('Data Entry'!$¯$906), "", 'Data Entry'!$¯$906)</f>
      </c>
      <c r="DH906">
        <f>IF(ISBLANK('Data Entry'!$°$906), "", 'Data Entry'!$°$906)</f>
      </c>
      <c r="DI906">
        <f>IF(ISBLANK('Data Entry'!$±$906), "", 'Data Entry'!$±$906)</f>
      </c>
      <c r="DJ906">
        <f>IF(ISBLANK('Data Entry'!$²$906), "", 'Data Entry'!$²$906)</f>
      </c>
      <c r="DK906">
        <f>IF(ISBLANK('Data Entry'!$³$906), "", 'Data Entry'!$³$906)</f>
      </c>
      <c r="DL906">
        <f>IF(ISBLANK('Data Entry'!$´$906), "", 'Data Entry'!$´$906)</f>
      </c>
      <c r="DM906">
        <f>IF(ISBLANK('Data Entry'!$µ$906), "", 'Data Entry'!$µ$906)</f>
      </c>
      <c r="DN906">
        <f>IF(ISBLANK('Data Entry'!$¶$906), "", 'Data Entry'!$¶$906)</f>
      </c>
      <c r="DO906">
        <f>IF(ISBLANK('Data Entry'!$·$906), "", 'Data Entry'!$·$906)</f>
      </c>
      <c r="DP906">
        <f>IF(ISBLANK('Data Entry'!$¸$906), "", 'Data Entry'!$¸$906)</f>
      </c>
      <c r="DQ906">
        <f>IF(ISBLANK('Data Entry'!$¹$906), "", 'Data Entry'!$¹$906)</f>
      </c>
      <c r="DR906">
        <f>IF(ISBLANK('Data Entry'!$º$906), "", 'Data Entry'!$º$906)</f>
      </c>
      <c r="DS906">
        <f>IF(ISBLANK('Data Entry'!$»$906), "", 'Data Entry'!$»$906)</f>
      </c>
      <c r="DT906">
        <f>IF(ISBLANK('Data Entry'!$¼$906), "", 'Data Entry'!$¼$906)</f>
      </c>
      <c r="DU906">
        <f>IF(ISBLANK('Data Entry'!$½$906), "", 'Data Entry'!$½$906)</f>
      </c>
      <c r="DV906">
        <f>IF(ISBLANK('Data Entry'!$¾$906), "", 'Data Entry'!$¾$906)</f>
      </c>
      <c r="DW906">
        <f>IF(ISBLANK('Data Entry'!$¿$906), "", 'Data Entry'!$¿$906)</f>
      </c>
      <c r="DX906">
        <f>IF(ISBLANK('Data Entry'!$À$906), "", 'Data Entry'!$À$906)</f>
      </c>
      <c r="DY906">
        <f>IF(ISBLANK('Data Entry'!$Á$906), "", 'Data Entry'!$Á$906)</f>
      </c>
      <c r="DZ906">
        <f>IF(ISBLANK('Data Entry'!$Â$906), "", 'Data Entry'!$Â$906)</f>
      </c>
      <c r="EA906">
        <f>IF(ISBLANK('Data Entry'!$Ã$906), "", 'Data Entry'!$Ã$906)</f>
      </c>
      <c r="EB906">
        <f>IF(ISBLANK('Data Entry'!$Ä$906), "", 'Data Entry'!$Ä$906)</f>
      </c>
      <c r="EC906">
        <f>IF(ISBLANK('Data Entry'!$Å$906), "", 'Data Entry'!$Å$906)</f>
      </c>
      <c r="ED906">
        <f>IF(ISBLANK('Data Entry'!$Æ$906), "", 'Data Entry'!$Æ$906)</f>
      </c>
      <c r="EE906">
        <f>IF(ISBLANK('Data Entry'!$Ç$906), "", 'Data Entry'!$Ç$906)</f>
      </c>
      <c r="EF906">
        <f>IF(ISBLANK('Data Entry'!$È$906), "", 'Data Entry'!$È$906)</f>
      </c>
      <c r="EG906">
        <f>IF(ISBLANK('Data Entry'!$É$906), "", 'Data Entry'!$É$906)</f>
      </c>
      <c r="EH906">
        <f>IF(ISBLANK('Data Entry'!$Ê$906), "", 'Data Entry'!$Ê$906)</f>
      </c>
      <c r="EI906">
        <f>IF(ISBLANK('Data Entry'!$Ë$906), "", 'Data Entry'!$Ë$906)</f>
      </c>
      <c r="EJ906">
        <f>IF(ISBLANK('Data Entry'!$Ì$906), "", 'Data Entry'!$Ì$906)</f>
      </c>
      <c r="EK906">
        <f>IF(ISBLANK('Data Entry'!$Í$906), "", 'Data Entry'!$Í$906)</f>
      </c>
      <c r="EL906">
        <f>IF(ISBLANK('Data Entry'!$Î$906), "", 'Data Entry'!$Î$906)</f>
      </c>
      <c r="EM906">
        <f>IF(ISBLANK('Data Entry'!$Ï$906), "", 'Data Entry'!$Ï$906)</f>
      </c>
      <c r="EN906">
        <f>IF(ISBLANK('Data Entry'!$Ð$906), "", 'Data Entry'!$Ð$906)</f>
      </c>
      <c r="EO906">
        <f>IF(ISBLANK('Data Entry'!$Ñ$906), "", 'Data Entry'!$Ñ$906)</f>
      </c>
      <c r="EP906">
        <f>IF(ISBLANK('Data Entry'!$Ò$906), "", 'Data Entry'!$Ò$906)</f>
      </c>
      <c r="EQ906">
        <f>IF(ISBLANK('Data Entry'!$Ó$906), "", 'Data Entry'!$Ó$906)</f>
      </c>
      <c r="ER906">
        <f>IF(ISBLANK('Data Entry'!$Ô$906), "", 'Data Entry'!$Ô$906)</f>
      </c>
      <c r="ES906">
        <f>IF(ISBLANK('Data Entry'!$Õ$906), "", 'Data Entry'!$Õ$906)</f>
      </c>
      <c r="ET906">
        <f>IF(ISBLANK('Data Entry'!$Ö$906), "", 'Data Entry'!$Ö$906)</f>
      </c>
      <c r="EU906">
        <f>IF(ISBLANK('Data Entry'!$×$906), "", 'Data Entry'!$×$906)</f>
      </c>
      <c r="EV906">
        <f>IF(ISBLANK('Data Entry'!$Ø$906), "", 'Data Entry'!$Ø$906)</f>
      </c>
      <c r="EW906">
        <f>IF(ISBLANK('Data Entry'!$Ù$906), "", 'Data Entry'!$Ù$906)</f>
      </c>
      <c r="EX906">
        <f>IF(ISBLANK('Data Entry'!$Ú$906), "", 'Data Entry'!$Ú$906)</f>
      </c>
      <c r="EY906">
        <f>IF(ISBLANK('Data Entry'!$Û$906), "", 'Data Entry'!$Û$906)</f>
      </c>
      <c r="EZ906">
        <f>IF(ISBLANK('Data Entry'!$Ü$906), "", 'Data Entry'!$Ü$906)</f>
      </c>
      <c r="FA906">
        <f>IF(ISBLANK('Data Entry'!$Ý$906), "", 'Data Entry'!$Ý$906)</f>
      </c>
      <c r="FB906">
        <f>IF(ISBLANK('Data Entry'!$Þ$906), "", 'Data Entry'!$Þ$906)</f>
      </c>
      <c r="FC906">
        <f>IF(ISBLANK('Data Entry'!$ß$906), "", 'Data Entry'!$ß$906)</f>
      </c>
      <c r="FD906">
        <f>IF(ISBLANK('Data Entry'!$à$906), "", 'Data Entry'!$à$906)</f>
      </c>
      <c r="FE906">
        <f>IF(ISBLANK('Data Entry'!$á$906), "", 'Data Entry'!$á$906)</f>
      </c>
      <c r="FF906">
        <f>IF(ISBLANK('Data Entry'!$â$906), "", 'Data Entry'!$â$906)</f>
      </c>
      <c r="FG906">
        <f>IF(ISBLANK('Data Entry'!$ã$906), "", 'Data Entry'!$ã$906)</f>
      </c>
      <c r="FH906">
        <f>IF(ISBLANK('Data Entry'!$ä$906), "", 'Data Entry'!$ä$906)</f>
      </c>
      <c r="FI906">
        <f>IF(ISBLANK('Data Entry'!$å$906), "", 'Data Entry'!$å$906)</f>
      </c>
      <c r="FJ906">
        <f>IF(ISBLANK('Data Entry'!$æ$906), "", 'Data Entry'!$æ$906)</f>
      </c>
      <c r="FK906">
        <f>IF(ISBLANK('Data Entry'!$ç$906), "", 'Data Entry'!$ç$906)</f>
      </c>
      <c r="FL906">
        <f>IF(ISBLANK('Data Entry'!$è$906), "", 'Data Entry'!$è$906)</f>
      </c>
      <c r="FM906">
        <f>IF(ISBLANK('Data Entry'!$é$906), "", 'Data Entry'!$é$906)</f>
      </c>
      <c r="FN906">
        <f>IF(ISBLANK('Data Entry'!$ê$906), "", 'Data Entry'!$ê$906)</f>
      </c>
      <c r="FO906">
        <f>IF(ISBLANK('Data Entry'!$ë$906), "", 'Data Entry'!$ë$906)</f>
      </c>
      <c r="FP906">
        <f>IF(ISBLANK('Data Entry'!$ì$906), "", 'Data Entry'!$ì$906)</f>
      </c>
      <c r="FQ906">
        <f>IF(ISBLANK('Data Entry'!$í$906), "", 'Data Entry'!$í$906)</f>
      </c>
      <c r="FR906">
        <f>IF(ISBLANK('Data Entry'!$î$906), "", 'Data Entry'!$î$906)</f>
      </c>
      <c r="FS906">
        <f>IF(ISBLANK('Data Entry'!$ï$906), "", 'Data Entry'!$ï$906)</f>
      </c>
      <c r="FT906">
        <f>IF(ISBLANK('Data Entry'!$ð$906), "", 'Data Entry'!$ð$906)</f>
      </c>
      <c r="FU906">
        <f>IF(ISBLANK('Data Entry'!$ñ$906), "", 'Data Entry'!$ñ$906)</f>
      </c>
      <c r="FV906">
        <f>IF(ISBLANK('Data Entry'!$ò$906), "", 'Data Entry'!$ò$906)</f>
      </c>
      <c r="FW906">
        <f>IF(ISBLANK('Data Entry'!$ó$906), "", 'Data Entry'!$ó$906)</f>
      </c>
      <c r="FX906">
        <f>IF(ISBLANK('Data Entry'!$ô$906), "", 'Data Entry'!$ô$906)</f>
      </c>
      <c r="FY906">
        <f>IF(ISBLANK('Data Entry'!$õ$906), "", 'Data Entry'!$õ$906)</f>
      </c>
      <c r="FZ906">
        <f>IF(ISBLANK('Data Entry'!$ö$906), "", 'Data Entry'!$ö$906)</f>
      </c>
      <c r="GA906">
        <f>IF(ISBLANK('Data Entry'!$÷$906), "", 'Data Entry'!$÷$906)</f>
      </c>
      <c r="GB906">
        <f>IF(ISBLANK('Data Entry'!$ø$906), "", 'Data Entry'!$ø$906)</f>
      </c>
      <c r="GC906">
        <f>IF(ISBLANK('Data Entry'!$ù$906), "", 'Data Entry'!$ù$906)</f>
      </c>
      <c r="GD906">
        <f>IF(ISBLANK('Data Entry'!$ú$906), "", 'Data Entry'!$ú$906)</f>
      </c>
      <c r="GE906">
        <f>IF(ISBLANK('Data Entry'!$û$906), "", 'Data Entry'!$û$906)</f>
      </c>
      <c r="GF906">
        <f>IF(ISBLANK('Data Entry'!$ü$906), "", 'Data Entry'!$ü$906)</f>
      </c>
      <c r="GG906">
        <f>IF(ISBLANK('Data Entry'!$ý$906), "", 'Data Entry'!$ý$906)</f>
      </c>
      <c r="GH906">
        <f>IF(ISBLANK('Data Entry'!$þ$906), "", 'Data Entry'!$þ$906)</f>
      </c>
      <c r="GI906">
        <f>IF(ISBLANK('Data Entry'!$ÿ$906), "", 'Data Entry'!$ÿ$906)</f>
      </c>
      <c r="GJ906">
        <f>IF(ISBLANK('Data Entry'!$Ā$906), "", 'Data Entry'!$Ā$906)</f>
      </c>
      <c r="GK906">
        <f>IF(ISBLANK('Data Entry'!$ā$906), "", 'Data Entry'!$ā$906)</f>
      </c>
      <c r="GL906">
        <f>IF(ISBLANK('Data Entry'!$Ă$906), "", 'Data Entry'!$Ă$906)</f>
      </c>
      <c r="GM906">
        <f>IF(ISBLANK('Data Entry'!$ă$906), "", 'Data Entry'!$ă$906)</f>
      </c>
      <c r="GN906">
        <f>IF(ISBLANK('Data Entry'!$Ą$906), "", 'Data Entry'!$Ą$906)</f>
      </c>
      <c r="GO906">
        <f>IF(ISBLANK('Data Entry'!$ą$906), "", 'Data Entry'!$ą$906)</f>
      </c>
      <c r="GP906">
        <f>IF(ISBLANK('Data Entry'!$Ć$906), "", 'Data Entry'!$Ć$906)</f>
      </c>
      <c r="GQ906">
        <f>IF(ISBLANK('Data Entry'!$ć$906), "", 'Data Entry'!$ć$906)</f>
      </c>
      <c r="GR906">
        <f>IF(ISBLANK('Data Entry'!$Ĉ$906), "", 'Data Entry'!$Ĉ$906)</f>
      </c>
      <c r="GS906">
        <f>IF(ISBLANK('Data Entry'!$ĉ$906), "", 'Data Entry'!$ĉ$906)</f>
      </c>
      <c r="GT906">
        <f>IF(ISBLANK('Data Entry'!$Ċ$906), "", 'Data Entry'!$Ċ$906)</f>
      </c>
      <c r="GU906">
        <f>IF(ISBLANK('Data Entry'!$ċ$906), "", 'Data Entry'!$ċ$906)</f>
      </c>
      <c r="GV906">
        <f>IF(ISBLANK('Data Entry'!$Č$906), "", 'Data Entry'!$Č$906)</f>
      </c>
      <c r="GW906">
        <f>IF(ISBLANK('Data Entry'!$č$906), "", 'Data Entry'!$č$906)</f>
      </c>
      <c r="GX906">
        <f>IF(ISBLANK('Data Entry'!$Ď$906), "", 'Data Entry'!$Ď$906)</f>
      </c>
      <c r="GY906">
        <f>IF(ISBLANK('Data Entry'!$ď$906), "", 'Data Entry'!$ď$906)</f>
      </c>
      <c r="GZ906">
        <f>IF(ISBLANK('Data Entry'!$Đ$906), "", 'Data Entry'!$Đ$906)</f>
      </c>
      <c r="HA906">
        <f>IF(ISBLANK('Data Entry'!$đ$906), "", 'Data Entry'!$đ$906)</f>
      </c>
      <c r="HB906">
        <f>IF(ISBLANK('Data Entry'!$Ē$906), "", 'Data Entry'!$Ē$906)</f>
      </c>
      <c r="HC906">
        <f>IF(ISBLANK('Data Entry'!$ē$906), "", 'Data Entry'!$ē$906)</f>
      </c>
      <c r="HD906">
        <f>IF(ISBLANK('Data Entry'!$Ĕ$906), "", 'Data Entry'!$Ĕ$906)</f>
      </c>
      <c r="HE906">
        <f>IF(ISBLANK('Data Entry'!$ĕ$906), "", 'Data Entry'!$ĕ$906)</f>
      </c>
      <c r="HF906">
        <f>IF(ISBLANK('Data Entry'!$Ė$906), "", 'Data Entry'!$Ė$906)</f>
      </c>
      <c r="HG906">
        <f>IF(ISBLANK('Data Entry'!$ė$906), "", 'Data Entry'!$ė$906)</f>
      </c>
      <c r="HH906">
        <f>IF(ISBLANK('Data Entry'!$Ę$906), "", 'Data Entry'!$Ę$906)</f>
      </c>
      <c r="HI906">
        <f>IF(ISBLANK('Data Entry'!$ę$906), "", 'Data Entry'!$ę$906)</f>
      </c>
      <c r="HJ906">
        <f>IF(ISBLANK('Data Entry'!$Ě$906), "", 'Data Entry'!$Ě$906)</f>
      </c>
      <c r="HK906">
        <f>IF(ISBLANK('Data Entry'!$ě$906), "", 'Data Entry'!$ě$906)</f>
      </c>
      <c r="HL906">
        <f>IF(ISBLANK('Data Entry'!$Ĝ$906), "", 'Data Entry'!$Ĝ$906)</f>
      </c>
      <c r="HM906">
        <f>IF(ISBLANK('Data Entry'!$ĝ$906), "", 'Data Entry'!$ĝ$906)</f>
      </c>
      <c r="HN906">
        <f>IF(ISBLANK('Data Entry'!$Ğ$906), "", 'Data Entry'!$Ğ$906)</f>
      </c>
      <c r="HO906">
        <f>IF(ISBLANK('Data Entry'!$ğ$906), "", 'Data Entry'!$ğ$906)</f>
      </c>
      <c r="HP906">
        <f>IF(ISBLANK('Data Entry'!$Ġ$906), "", 'Data Entry'!$Ġ$906)</f>
      </c>
      <c r="HQ906">
        <f>IF(ISBLANK('Data Entry'!$ġ$906), "", 'Data Entry'!$ġ$906)</f>
      </c>
      <c r="HR906">
        <f>IF(ISBLANK('Data Entry'!$Ģ$906), "", 'Data Entry'!$Ģ$906)</f>
      </c>
      <c r="HS906">
        <f>IF(ISBLANK('Data Entry'!$ģ$906), "", 'Data Entry'!$ģ$906)</f>
      </c>
      <c r="HT906">
        <f>IF(ISBLANK('Data Entry'!$Ĥ$906), "", 'Data Entry'!$Ĥ$906)</f>
      </c>
      <c r="HU906">
        <f>IF(ISBLANK('Data Entry'!$ĥ$906), "", 'Data Entry'!$ĥ$906)</f>
      </c>
      <c r="HV906">
        <f>IF(ISBLANK('Data Entry'!$Ħ$906), "", 'Data Entry'!$Ħ$906)</f>
      </c>
      <c r="HW906">
        <f>IF(ISBLANK('Data Entry'!$ħ$906), "", 'Data Entry'!$ħ$906)</f>
      </c>
      <c r="HX906">
        <f>IF(ISBLANK('Data Entry'!$Ĩ$906), "", 'Data Entry'!$Ĩ$906)</f>
      </c>
      <c r="HY906">
        <f>IF(ISBLANK('Data Entry'!$ĩ$906), "", 'Data Entry'!$ĩ$906)</f>
      </c>
      <c r="HZ906">
        <f>IF(ISBLANK('Data Entry'!$Ī$906), "", 'Data Entry'!$Ī$906)</f>
      </c>
      <c r="IA906">
        <f>IF(ISBLANK('Data Entry'!$ī$906), "", 'Data Entry'!$ī$906)</f>
      </c>
      <c r="IB906">
        <f>IF(ISBLANK('Data Entry'!$Ĭ$906), "", 'Data Entry'!$Ĭ$906)</f>
      </c>
      <c r="IC906">
        <f>IF(ISBLANK('Data Entry'!$ĭ$906), "", 'Data Entry'!$ĭ$906)</f>
      </c>
      <c r="ID906">
        <f>IF(ISBLANK('Data Entry'!$Į$906), "", 'Data Entry'!$Į$906)</f>
      </c>
      <c r="IE906">
        <f>IF(ISBLANK('Data Entry'!$į$906), "", 'Data Entry'!$į$906)</f>
      </c>
      <c r="IF906">
        <f>IF(ISBLANK('Data Entry'!$İ$906), "", 'Data Entry'!$İ$906)</f>
      </c>
      <c r="IG906">
        <f>IF(ISBLANK('Data Entry'!$ı$906), "", 'Data Entry'!$ı$906)</f>
      </c>
      <c r="IH906">
        <f>IF(ISBLANK('Data Entry'!$Ĳ$906), "", 'Data Entry'!$Ĳ$906)</f>
      </c>
      <c r="II906">
        <f>IF(ISBLANK('Data Entry'!$ĳ$906), "", 'Data Entry'!$ĳ$906)</f>
      </c>
      <c r="IJ906">
        <f>IF(ISBLANK('Data Entry'!$Ĵ$906), "", 'Data Entry'!$Ĵ$906)</f>
      </c>
      <c r="IK906">
        <f>IF(ISBLANK('Data Entry'!$ĵ$906), "", 'Data Entry'!$ĵ$906)</f>
      </c>
      <c r="IL906">
        <f>IF(ISBLANK('Data Entry'!$Ķ$906), "", 'Data Entry'!$Ķ$906)</f>
      </c>
      <c r="IM906">
        <f>IF(ISBLANK('Data Entry'!$ķ$906), "", 'Data Entry'!$ķ$906)</f>
      </c>
      <c r="IN906">
        <f>IF(ISBLANK('Data Entry'!$ĸ$906), "", 'Data Entry'!$ĸ$906)</f>
      </c>
      <c r="IO906">
        <f>IF(ISBLANK('Data Entry'!$Ĺ$906), "", 'Data Entry'!$Ĺ$906)</f>
      </c>
      <c r="IP906">
        <f>IF(ISBLANK('Data Entry'!$ĺ$906), "", 'Data Entry'!$ĺ$906)</f>
      </c>
      <c r="IQ906">
        <f>IF(ISBLANK('Data Entry'!$Ļ$906), "", 'Data Entry'!$Ļ$906)</f>
      </c>
      <c r="IR906">
        <f>IF(ISBLANK('Data Entry'!$ļ$906), "", 'Data Entry'!$ļ$906)</f>
      </c>
      <c r="IS906">
        <f>IF(ISBLANK('Data Entry'!$Ľ$906), "", 'Data Entry'!$Ľ$906)</f>
      </c>
      <c r="IT906">
        <f>IF(ISBLANK('Data Entry'!$ľ$906), "", 'Data Entry'!$ľ$906)</f>
      </c>
    </row>
    <row r="907" spans="1:254" x14ac:dyDescent="0.25">
      <c r="A907">
        <f>IF(ISBLANK('Data Entry'!$A$907), "", 'Data Entry'!$A$907)</f>
      </c>
      <c r="B907">
        <f>IF(ISBLANK('Data Entry'!$B$907), "", 'Data Entry'!$B$907)</f>
      </c>
      <c r="C907">
        <f>IF(ISBLANK('Data Entry'!$C$907), "", 'Data Entry'!$C$907)</f>
      </c>
      <c r="D907">
        <f>IF(ISBLANK('Data Entry'!$D$907), "", 'Data Entry'!$D$907)</f>
      </c>
      <c r="E907">
        <f>IF(ISBLANK('Data Entry'!$E$907), "", 'Data Entry'!$E$907)</f>
      </c>
      <c r="F907">
        <f>IF(ISBLANK('Data Entry'!$F$907), "", 'Data Entry'!$F$907)</f>
      </c>
      <c r="G907">
        <f>IF(ISBLANK('Data Entry'!$G$907), "", 'Data Entry'!$G$907)</f>
      </c>
      <c r="H907">
        <f>IF(ISBLANK('Data Entry'!$H$907), "", 'Data Entry'!$H$907)</f>
      </c>
      <c r="I907">
        <f>IF(ISBLANK('Data Entry'!$I$907), "", 'Data Entry'!$I$907)</f>
      </c>
      <c r="J907">
        <f>IF(ISBLANK('Data Entry'!$J$907), "", 'Data Entry'!$J$907)</f>
      </c>
      <c r="K907">
        <f>IF(ISBLANK('Data Entry'!$K$907), "", 'Data Entry'!$K$907)</f>
      </c>
      <c r="L907">
        <f>IF(ISBLANK('Data Entry'!$L$907), "", 'Data Entry'!$L$907)</f>
      </c>
      <c r="M907">
        <f>IF(ISBLANK('Data Entry'!$M$907), "", 'Data Entry'!$M$907)</f>
      </c>
      <c r="N907">
        <f>IF(ISBLANK('Data Entry'!$N$907), "", 'Data Entry'!$N$907)</f>
      </c>
      <c r="O907">
        <f>IF(ISBLANK('Data Entry'!$O$907), "", 'Data Entry'!$O$907)</f>
      </c>
      <c r="P907">
        <f>IF(ISBLANK('Data Entry'!$P$907), "", 'Data Entry'!$P$907)</f>
      </c>
      <c r="Q907">
        <f>IF(ISBLANK('Data Entry'!$Q$907), "", 'Data Entry'!$Q$907)</f>
      </c>
      <c r="R907">
        <f>IF(ISBLANK('Data Entry'!$R$907), "", 'Data Entry'!$R$907)</f>
      </c>
      <c r="S907">
        <f>IF(ISBLANK('Data Entry'!$S$907), "", 'Data Entry'!$S$907)</f>
      </c>
      <c r="T907">
        <f>IF(ISBLANK('Data Entry'!$T$907), "", 'Data Entry'!$T$907)</f>
      </c>
      <c r="U907">
        <f>IF(ISBLANK('Data Entry'!$U$907), "", 'Data Entry'!$U$907)</f>
      </c>
      <c r="V907">
        <f>IF(ISBLANK('Data Entry'!$V$907), "", 'Data Entry'!$V$907)</f>
      </c>
      <c r="W907">
        <f>IF(ISBLANK('Data Entry'!$W$907), "", 'Data Entry'!$W$907)</f>
      </c>
      <c r="X907">
        <f>IF(ISBLANK('Data Entry'!$X$907), "", 'Data Entry'!$X$907)</f>
      </c>
      <c r="Y907">
        <f>IF(ISBLANK('Data Entry'!$Y$907), "", 'Data Entry'!$Y$907)</f>
      </c>
      <c r="Z907">
        <f>IF(ISBLANK('Data Entry'!$Z$907), "", 'Data Entry'!$Z$907)</f>
      </c>
      <c r="AA907">
        <f>IF(ISBLANK('Data Entry'!$[$907), "", 'Data Entry'!$[$907)</f>
      </c>
      <c r="AB907">
        <f>IF(ISBLANK('Data Entry'!$\$907), "", 'Data Entry'!$\$907)</f>
      </c>
      <c r="AC907">
        <f>IF(ISBLANK('Data Entry'!$]$907), "", 'Data Entry'!$]$907)</f>
      </c>
      <c r="AD907">
        <f>IF(ISBLANK('Data Entry'!$^$907), "", 'Data Entry'!$^$907)</f>
      </c>
      <c r="AE907">
        <f>IF(ISBLANK('Data Entry'!$_$907), "", 'Data Entry'!$_$907)</f>
      </c>
      <c r="AF907">
        <f>IF(ISBLANK('Data Entry'!$`$907), "", 'Data Entry'!$`$907)</f>
      </c>
      <c r="AG907">
        <f>IF(ISBLANK('Data Entry'!$a$907), "", 'Data Entry'!$a$907)</f>
      </c>
      <c r="AH907">
        <f>IF(ISBLANK('Data Entry'!$b$907), "", 'Data Entry'!$b$907)</f>
      </c>
      <c r="AI907">
        <f>IF(ISBLANK('Data Entry'!$c$907), "", 'Data Entry'!$c$907)</f>
      </c>
      <c r="AJ907">
        <f>IF(ISBLANK('Data Entry'!$d$907), "", 'Data Entry'!$d$907)</f>
      </c>
      <c r="AK907">
        <f>IF(ISBLANK('Data Entry'!$e$907), "", 'Data Entry'!$e$907)</f>
      </c>
      <c r="AL907">
        <f>IF(ISBLANK('Data Entry'!$f$907), "", 'Data Entry'!$f$907)</f>
      </c>
      <c r="AM907">
        <f>IF(ISBLANK('Data Entry'!$g$907), "", 'Data Entry'!$g$907)</f>
      </c>
      <c r="AN907">
        <f>IF(ISBLANK('Data Entry'!$h$907), "", 'Data Entry'!$h$907)</f>
      </c>
      <c r="AO907">
        <f>IF(ISBLANK('Data Entry'!$i$907), "", 'Data Entry'!$i$907)</f>
      </c>
      <c r="AP907">
        <f>IF(ISBLANK('Data Entry'!$j$907), "", 'Data Entry'!$j$907)</f>
      </c>
      <c r="AQ907">
        <f>IF(ISBLANK('Data Entry'!$k$907), "", 'Data Entry'!$k$907)</f>
      </c>
      <c r="AR907">
        <f>IF(ISBLANK('Data Entry'!$l$907), "", 'Data Entry'!$l$907)</f>
      </c>
      <c r="AS907">
        <f>IF(ISBLANK('Data Entry'!$m$907), "", 'Data Entry'!$m$907)</f>
      </c>
      <c r="AT907">
        <f>IF(ISBLANK('Data Entry'!$n$907), "", 'Data Entry'!$n$907)</f>
      </c>
      <c r="AU907">
        <f>IF(ISBLANK('Data Entry'!$o$907), "", 'Data Entry'!$o$907)</f>
      </c>
      <c r="AV907">
        <f>IF(ISBLANK('Data Entry'!$p$907), "", 'Data Entry'!$p$907)</f>
      </c>
      <c r="AW907">
        <f>IF(ISBLANK('Data Entry'!$q$907), "", 'Data Entry'!$q$907)</f>
      </c>
      <c r="AX907">
        <f>IF(ISBLANK('Data Entry'!$r$907), "", 'Data Entry'!$r$907)</f>
      </c>
      <c r="AY907">
        <f>IF(ISBLANK('Data Entry'!$s$907), "", 'Data Entry'!$s$907)</f>
      </c>
      <c r="AZ907">
        <f>IF(ISBLANK('Data Entry'!$t$907), "", 'Data Entry'!$t$907)</f>
      </c>
      <c r="BA907">
        <f>IF(ISBLANK('Data Entry'!$u$907), "", 'Data Entry'!$u$907)</f>
      </c>
      <c r="BB907">
        <f>IF(ISBLANK('Data Entry'!$v$907), "", 'Data Entry'!$v$907)</f>
      </c>
      <c r="BC907">
        <f>IF(ISBLANK('Data Entry'!$w$907), "", 'Data Entry'!$w$907)</f>
      </c>
      <c r="BD907">
        <f>IF(ISBLANK('Data Entry'!$x$907), "", 'Data Entry'!$x$907)</f>
      </c>
      <c r="BE907">
        <f>IF(ISBLANK('Data Entry'!$y$907), "", 'Data Entry'!$y$907)</f>
      </c>
      <c r="BF907">
        <f>IF(ISBLANK('Data Entry'!$z$907), "", 'Data Entry'!$z$907)</f>
      </c>
      <c r="BG907">
        <f>IF(ISBLANK('Data Entry'!${$907), "", 'Data Entry'!${$907)</f>
      </c>
      <c r="BH907">
        <f>IF(ISBLANK('Data Entry'!$|$907), "", 'Data Entry'!$|$907)</f>
      </c>
      <c r="BI907">
        <f>IF(ISBLANK('Data Entry'!$}$907), "", 'Data Entry'!$}$907)</f>
      </c>
      <c r="BJ907">
        <f>IF(ISBLANK('Data Entry'!$~$907), "", 'Data Entry'!$~$907)</f>
      </c>
      <c r="BK907">
        <f>IF(ISBLANK('Data Entry'!$$907), "", 'Data Entry'!$$907)</f>
      </c>
      <c r="BL907">
        <f>IF(ISBLANK('Data Entry'!$$907), "", 'Data Entry'!$$907)</f>
      </c>
      <c r="BM907">
        <f>IF(ISBLANK('Data Entry'!$$907), "", 'Data Entry'!$$907)</f>
      </c>
      <c r="BN907">
        <f>IF(ISBLANK('Data Entry'!$$907), "", 'Data Entry'!$$907)</f>
      </c>
      <c r="BO907">
        <f>IF(ISBLANK('Data Entry'!$$907), "", 'Data Entry'!$$907)</f>
      </c>
      <c r="BP907">
        <f>IF(ISBLANK('Data Entry'!$$907), "", 'Data Entry'!$$907)</f>
      </c>
      <c r="BQ907">
        <f>IF(ISBLANK('Data Entry'!$$907), "", 'Data Entry'!$$907)</f>
      </c>
      <c r="BR907">
        <f>IF(ISBLANK('Data Entry'!$$907), "", 'Data Entry'!$$907)</f>
      </c>
      <c r="BS907">
        <f>IF(ISBLANK('Data Entry'!$$907), "", 'Data Entry'!$$907)</f>
      </c>
      <c r="BT907">
        <f>IF(ISBLANK('Data Entry'!$$907), "", 'Data Entry'!$$907)</f>
      </c>
      <c r="BU907">
        <f>IF(ISBLANK('Data Entry'!$$907), "", 'Data Entry'!$$907)</f>
      </c>
      <c r="BV907">
        <f>IF(ISBLANK('Data Entry'!$$907), "", 'Data Entry'!$$907)</f>
      </c>
      <c r="BW907">
        <f>IF(ISBLANK('Data Entry'!$$907), "", 'Data Entry'!$$907)</f>
      </c>
      <c r="BX907">
        <f>IF(ISBLANK('Data Entry'!$$907), "", 'Data Entry'!$$907)</f>
      </c>
      <c r="BY907">
        <f>IF(ISBLANK('Data Entry'!$$907), "", 'Data Entry'!$$907)</f>
      </c>
      <c r="BZ907">
        <f>IF(ISBLANK('Data Entry'!$$907), "", 'Data Entry'!$$907)</f>
      </c>
      <c r="CA907">
        <f>IF(ISBLANK('Data Entry'!$$907), "", 'Data Entry'!$$907)</f>
      </c>
      <c r="CB907">
        <f>IF(ISBLANK('Data Entry'!$$907), "", 'Data Entry'!$$907)</f>
      </c>
      <c r="CC907">
        <f>IF(ISBLANK('Data Entry'!$$907), "", 'Data Entry'!$$907)</f>
      </c>
      <c r="CD907">
        <f>IF(ISBLANK('Data Entry'!$$907), "", 'Data Entry'!$$907)</f>
      </c>
      <c r="CE907">
        <f>IF(ISBLANK('Data Entry'!$$907), "", 'Data Entry'!$$907)</f>
      </c>
      <c r="CF907">
        <f>IF(ISBLANK('Data Entry'!$$907), "", 'Data Entry'!$$907)</f>
      </c>
      <c r="CG907">
        <f>IF(ISBLANK('Data Entry'!$$907), "", 'Data Entry'!$$907)</f>
      </c>
      <c r="CH907">
        <f>IF(ISBLANK('Data Entry'!$$907), "", 'Data Entry'!$$907)</f>
      </c>
      <c r="CI907">
        <f>IF(ISBLANK('Data Entry'!$$907), "", 'Data Entry'!$$907)</f>
      </c>
      <c r="CJ907">
        <f>IF(ISBLANK('Data Entry'!$$907), "", 'Data Entry'!$$907)</f>
      </c>
      <c r="CK907">
        <f>IF(ISBLANK('Data Entry'!$$907), "", 'Data Entry'!$$907)</f>
      </c>
      <c r="CL907">
        <f>IF(ISBLANK('Data Entry'!$$907), "", 'Data Entry'!$$907)</f>
      </c>
      <c r="CM907">
        <f>IF(ISBLANK('Data Entry'!$$907), "", 'Data Entry'!$$907)</f>
      </c>
      <c r="CN907">
        <f>IF(ISBLANK('Data Entry'!$$907), "", 'Data Entry'!$$907)</f>
      </c>
      <c r="CO907">
        <f>IF(ISBLANK('Data Entry'!$$907), "", 'Data Entry'!$$907)</f>
      </c>
      <c r="CP907">
        <f>IF(ISBLANK('Data Entry'!$$907), "", 'Data Entry'!$$907)</f>
      </c>
      <c r="CQ907">
        <f>IF(ISBLANK('Data Entry'!$$907), "", 'Data Entry'!$$907)</f>
      </c>
      <c r="CR907">
        <f>IF(ISBLANK('Data Entry'!$ $907), "", 'Data Entry'!$ $907)</f>
      </c>
      <c r="CS907">
        <f>IF(ISBLANK('Data Entry'!$¡$907), "", 'Data Entry'!$¡$907)</f>
      </c>
      <c r="CT907">
        <f>IF(ISBLANK('Data Entry'!$¢$907), "", 'Data Entry'!$¢$907)</f>
      </c>
      <c r="CU907">
        <f>IF(ISBLANK('Data Entry'!$£$907), "", 'Data Entry'!$£$907)</f>
      </c>
      <c r="CV907">
        <f>IF(ISBLANK('Data Entry'!$¤$907), "", 'Data Entry'!$¤$907)</f>
      </c>
      <c r="CW907">
        <f>IF(ISBLANK('Data Entry'!$¥$907), "", 'Data Entry'!$¥$907)</f>
      </c>
      <c r="CX907">
        <f>IF(ISBLANK('Data Entry'!$¦$907), "", 'Data Entry'!$¦$907)</f>
      </c>
      <c r="CY907">
        <f>IF(ISBLANK('Data Entry'!$§$907), "", 'Data Entry'!$§$907)</f>
      </c>
      <c r="CZ907">
        <f>IF(ISBLANK('Data Entry'!$¨$907), "", 'Data Entry'!$¨$907)</f>
      </c>
      <c r="DA907">
        <f>IF(ISBLANK('Data Entry'!$©$907), "", 'Data Entry'!$©$907)</f>
      </c>
      <c r="DB907">
        <f>IF(ISBLANK('Data Entry'!$ª$907), "", 'Data Entry'!$ª$907)</f>
      </c>
      <c r="DC907">
        <f>IF(ISBLANK('Data Entry'!$«$907), "", 'Data Entry'!$«$907)</f>
      </c>
      <c r="DD907">
        <f>IF(ISBLANK('Data Entry'!$¬$907), "", 'Data Entry'!$¬$907)</f>
      </c>
      <c r="DE907">
        <f>IF(ISBLANK('Data Entry'!$­$907), "", 'Data Entry'!$­$907)</f>
      </c>
      <c r="DF907">
        <f>IF(ISBLANK('Data Entry'!$®$907), "", 'Data Entry'!$®$907)</f>
      </c>
      <c r="DG907">
        <f>IF(ISBLANK('Data Entry'!$¯$907), "", 'Data Entry'!$¯$907)</f>
      </c>
      <c r="DH907">
        <f>IF(ISBLANK('Data Entry'!$°$907), "", 'Data Entry'!$°$907)</f>
      </c>
      <c r="DI907">
        <f>IF(ISBLANK('Data Entry'!$±$907), "", 'Data Entry'!$±$907)</f>
      </c>
      <c r="DJ907">
        <f>IF(ISBLANK('Data Entry'!$²$907), "", 'Data Entry'!$²$907)</f>
      </c>
      <c r="DK907">
        <f>IF(ISBLANK('Data Entry'!$³$907), "", 'Data Entry'!$³$907)</f>
      </c>
      <c r="DL907">
        <f>IF(ISBLANK('Data Entry'!$´$907), "", 'Data Entry'!$´$907)</f>
      </c>
      <c r="DM907">
        <f>IF(ISBLANK('Data Entry'!$µ$907), "", 'Data Entry'!$µ$907)</f>
      </c>
      <c r="DN907">
        <f>IF(ISBLANK('Data Entry'!$¶$907), "", 'Data Entry'!$¶$907)</f>
      </c>
      <c r="DO907">
        <f>IF(ISBLANK('Data Entry'!$·$907), "", 'Data Entry'!$·$907)</f>
      </c>
      <c r="DP907">
        <f>IF(ISBLANK('Data Entry'!$¸$907), "", 'Data Entry'!$¸$907)</f>
      </c>
      <c r="DQ907">
        <f>IF(ISBLANK('Data Entry'!$¹$907), "", 'Data Entry'!$¹$907)</f>
      </c>
      <c r="DR907">
        <f>IF(ISBLANK('Data Entry'!$º$907), "", 'Data Entry'!$º$907)</f>
      </c>
      <c r="DS907">
        <f>IF(ISBLANK('Data Entry'!$»$907), "", 'Data Entry'!$»$907)</f>
      </c>
      <c r="DT907">
        <f>IF(ISBLANK('Data Entry'!$¼$907), "", 'Data Entry'!$¼$907)</f>
      </c>
      <c r="DU907">
        <f>IF(ISBLANK('Data Entry'!$½$907), "", 'Data Entry'!$½$907)</f>
      </c>
      <c r="DV907">
        <f>IF(ISBLANK('Data Entry'!$¾$907), "", 'Data Entry'!$¾$907)</f>
      </c>
      <c r="DW907">
        <f>IF(ISBLANK('Data Entry'!$¿$907), "", 'Data Entry'!$¿$907)</f>
      </c>
      <c r="DX907">
        <f>IF(ISBLANK('Data Entry'!$À$907), "", 'Data Entry'!$À$907)</f>
      </c>
      <c r="DY907">
        <f>IF(ISBLANK('Data Entry'!$Á$907), "", 'Data Entry'!$Á$907)</f>
      </c>
      <c r="DZ907">
        <f>IF(ISBLANK('Data Entry'!$Â$907), "", 'Data Entry'!$Â$907)</f>
      </c>
      <c r="EA907">
        <f>IF(ISBLANK('Data Entry'!$Ã$907), "", 'Data Entry'!$Ã$907)</f>
      </c>
      <c r="EB907">
        <f>IF(ISBLANK('Data Entry'!$Ä$907), "", 'Data Entry'!$Ä$907)</f>
      </c>
      <c r="EC907">
        <f>IF(ISBLANK('Data Entry'!$Å$907), "", 'Data Entry'!$Å$907)</f>
      </c>
      <c r="ED907">
        <f>IF(ISBLANK('Data Entry'!$Æ$907), "", 'Data Entry'!$Æ$907)</f>
      </c>
      <c r="EE907">
        <f>IF(ISBLANK('Data Entry'!$Ç$907), "", 'Data Entry'!$Ç$907)</f>
      </c>
      <c r="EF907">
        <f>IF(ISBLANK('Data Entry'!$È$907), "", 'Data Entry'!$È$907)</f>
      </c>
      <c r="EG907">
        <f>IF(ISBLANK('Data Entry'!$É$907), "", 'Data Entry'!$É$907)</f>
      </c>
      <c r="EH907">
        <f>IF(ISBLANK('Data Entry'!$Ê$907), "", 'Data Entry'!$Ê$907)</f>
      </c>
      <c r="EI907">
        <f>IF(ISBLANK('Data Entry'!$Ë$907), "", 'Data Entry'!$Ë$907)</f>
      </c>
      <c r="EJ907">
        <f>IF(ISBLANK('Data Entry'!$Ì$907), "", 'Data Entry'!$Ì$907)</f>
      </c>
      <c r="EK907">
        <f>IF(ISBLANK('Data Entry'!$Í$907), "", 'Data Entry'!$Í$907)</f>
      </c>
      <c r="EL907">
        <f>IF(ISBLANK('Data Entry'!$Î$907), "", 'Data Entry'!$Î$907)</f>
      </c>
      <c r="EM907">
        <f>IF(ISBLANK('Data Entry'!$Ï$907), "", 'Data Entry'!$Ï$907)</f>
      </c>
      <c r="EN907">
        <f>IF(ISBLANK('Data Entry'!$Ð$907), "", 'Data Entry'!$Ð$907)</f>
      </c>
      <c r="EO907">
        <f>IF(ISBLANK('Data Entry'!$Ñ$907), "", 'Data Entry'!$Ñ$907)</f>
      </c>
      <c r="EP907">
        <f>IF(ISBLANK('Data Entry'!$Ò$907), "", 'Data Entry'!$Ò$907)</f>
      </c>
      <c r="EQ907">
        <f>IF(ISBLANK('Data Entry'!$Ó$907), "", 'Data Entry'!$Ó$907)</f>
      </c>
      <c r="ER907">
        <f>IF(ISBLANK('Data Entry'!$Ô$907), "", 'Data Entry'!$Ô$907)</f>
      </c>
      <c r="ES907">
        <f>IF(ISBLANK('Data Entry'!$Õ$907), "", 'Data Entry'!$Õ$907)</f>
      </c>
      <c r="ET907">
        <f>IF(ISBLANK('Data Entry'!$Ö$907), "", 'Data Entry'!$Ö$907)</f>
      </c>
      <c r="EU907">
        <f>IF(ISBLANK('Data Entry'!$×$907), "", 'Data Entry'!$×$907)</f>
      </c>
      <c r="EV907">
        <f>IF(ISBLANK('Data Entry'!$Ø$907), "", 'Data Entry'!$Ø$907)</f>
      </c>
      <c r="EW907">
        <f>IF(ISBLANK('Data Entry'!$Ù$907), "", 'Data Entry'!$Ù$907)</f>
      </c>
      <c r="EX907">
        <f>IF(ISBLANK('Data Entry'!$Ú$907), "", 'Data Entry'!$Ú$907)</f>
      </c>
      <c r="EY907">
        <f>IF(ISBLANK('Data Entry'!$Û$907), "", 'Data Entry'!$Û$907)</f>
      </c>
      <c r="EZ907">
        <f>IF(ISBLANK('Data Entry'!$Ü$907), "", 'Data Entry'!$Ü$907)</f>
      </c>
      <c r="FA907">
        <f>IF(ISBLANK('Data Entry'!$Ý$907), "", 'Data Entry'!$Ý$907)</f>
      </c>
      <c r="FB907">
        <f>IF(ISBLANK('Data Entry'!$Þ$907), "", 'Data Entry'!$Þ$907)</f>
      </c>
      <c r="FC907">
        <f>IF(ISBLANK('Data Entry'!$ß$907), "", 'Data Entry'!$ß$907)</f>
      </c>
      <c r="FD907">
        <f>IF(ISBLANK('Data Entry'!$à$907), "", 'Data Entry'!$à$907)</f>
      </c>
      <c r="FE907">
        <f>IF(ISBLANK('Data Entry'!$á$907), "", 'Data Entry'!$á$907)</f>
      </c>
      <c r="FF907">
        <f>IF(ISBLANK('Data Entry'!$â$907), "", 'Data Entry'!$â$907)</f>
      </c>
      <c r="FG907">
        <f>IF(ISBLANK('Data Entry'!$ã$907), "", 'Data Entry'!$ã$907)</f>
      </c>
      <c r="FH907">
        <f>IF(ISBLANK('Data Entry'!$ä$907), "", 'Data Entry'!$ä$907)</f>
      </c>
      <c r="FI907">
        <f>IF(ISBLANK('Data Entry'!$å$907), "", 'Data Entry'!$å$907)</f>
      </c>
      <c r="FJ907">
        <f>IF(ISBLANK('Data Entry'!$æ$907), "", 'Data Entry'!$æ$907)</f>
      </c>
      <c r="FK907">
        <f>IF(ISBLANK('Data Entry'!$ç$907), "", 'Data Entry'!$ç$907)</f>
      </c>
      <c r="FL907">
        <f>IF(ISBLANK('Data Entry'!$è$907), "", 'Data Entry'!$è$907)</f>
      </c>
      <c r="FM907">
        <f>IF(ISBLANK('Data Entry'!$é$907), "", 'Data Entry'!$é$907)</f>
      </c>
      <c r="FN907">
        <f>IF(ISBLANK('Data Entry'!$ê$907), "", 'Data Entry'!$ê$907)</f>
      </c>
      <c r="FO907">
        <f>IF(ISBLANK('Data Entry'!$ë$907), "", 'Data Entry'!$ë$907)</f>
      </c>
      <c r="FP907">
        <f>IF(ISBLANK('Data Entry'!$ì$907), "", 'Data Entry'!$ì$907)</f>
      </c>
      <c r="FQ907">
        <f>IF(ISBLANK('Data Entry'!$í$907), "", 'Data Entry'!$í$907)</f>
      </c>
      <c r="FR907">
        <f>IF(ISBLANK('Data Entry'!$î$907), "", 'Data Entry'!$î$907)</f>
      </c>
      <c r="FS907">
        <f>IF(ISBLANK('Data Entry'!$ï$907), "", 'Data Entry'!$ï$907)</f>
      </c>
      <c r="FT907">
        <f>IF(ISBLANK('Data Entry'!$ð$907), "", 'Data Entry'!$ð$907)</f>
      </c>
      <c r="FU907">
        <f>IF(ISBLANK('Data Entry'!$ñ$907), "", 'Data Entry'!$ñ$907)</f>
      </c>
      <c r="FV907">
        <f>IF(ISBLANK('Data Entry'!$ò$907), "", 'Data Entry'!$ò$907)</f>
      </c>
      <c r="FW907">
        <f>IF(ISBLANK('Data Entry'!$ó$907), "", 'Data Entry'!$ó$907)</f>
      </c>
      <c r="FX907">
        <f>IF(ISBLANK('Data Entry'!$ô$907), "", 'Data Entry'!$ô$907)</f>
      </c>
      <c r="FY907">
        <f>IF(ISBLANK('Data Entry'!$õ$907), "", 'Data Entry'!$õ$907)</f>
      </c>
      <c r="FZ907">
        <f>IF(ISBLANK('Data Entry'!$ö$907), "", 'Data Entry'!$ö$907)</f>
      </c>
      <c r="GA907">
        <f>IF(ISBLANK('Data Entry'!$÷$907), "", 'Data Entry'!$÷$907)</f>
      </c>
      <c r="GB907">
        <f>IF(ISBLANK('Data Entry'!$ø$907), "", 'Data Entry'!$ø$907)</f>
      </c>
      <c r="GC907">
        <f>IF(ISBLANK('Data Entry'!$ù$907), "", 'Data Entry'!$ù$907)</f>
      </c>
      <c r="GD907">
        <f>IF(ISBLANK('Data Entry'!$ú$907), "", 'Data Entry'!$ú$907)</f>
      </c>
      <c r="GE907">
        <f>IF(ISBLANK('Data Entry'!$û$907), "", 'Data Entry'!$û$907)</f>
      </c>
      <c r="GF907">
        <f>IF(ISBLANK('Data Entry'!$ü$907), "", 'Data Entry'!$ü$907)</f>
      </c>
      <c r="GG907">
        <f>IF(ISBLANK('Data Entry'!$ý$907), "", 'Data Entry'!$ý$907)</f>
      </c>
      <c r="GH907">
        <f>IF(ISBLANK('Data Entry'!$þ$907), "", 'Data Entry'!$þ$907)</f>
      </c>
      <c r="GI907">
        <f>IF(ISBLANK('Data Entry'!$ÿ$907), "", 'Data Entry'!$ÿ$907)</f>
      </c>
      <c r="GJ907">
        <f>IF(ISBLANK('Data Entry'!$Ā$907), "", 'Data Entry'!$Ā$907)</f>
      </c>
      <c r="GK907">
        <f>IF(ISBLANK('Data Entry'!$ā$907), "", 'Data Entry'!$ā$907)</f>
      </c>
      <c r="GL907">
        <f>IF(ISBLANK('Data Entry'!$Ă$907), "", 'Data Entry'!$Ă$907)</f>
      </c>
      <c r="GM907">
        <f>IF(ISBLANK('Data Entry'!$ă$907), "", 'Data Entry'!$ă$907)</f>
      </c>
      <c r="GN907">
        <f>IF(ISBLANK('Data Entry'!$Ą$907), "", 'Data Entry'!$Ą$907)</f>
      </c>
      <c r="GO907">
        <f>IF(ISBLANK('Data Entry'!$ą$907), "", 'Data Entry'!$ą$907)</f>
      </c>
      <c r="GP907">
        <f>IF(ISBLANK('Data Entry'!$Ć$907), "", 'Data Entry'!$Ć$907)</f>
      </c>
      <c r="GQ907">
        <f>IF(ISBLANK('Data Entry'!$ć$907), "", 'Data Entry'!$ć$907)</f>
      </c>
      <c r="GR907">
        <f>IF(ISBLANK('Data Entry'!$Ĉ$907), "", 'Data Entry'!$Ĉ$907)</f>
      </c>
      <c r="GS907">
        <f>IF(ISBLANK('Data Entry'!$ĉ$907), "", 'Data Entry'!$ĉ$907)</f>
      </c>
      <c r="GT907">
        <f>IF(ISBLANK('Data Entry'!$Ċ$907), "", 'Data Entry'!$Ċ$907)</f>
      </c>
      <c r="GU907">
        <f>IF(ISBLANK('Data Entry'!$ċ$907), "", 'Data Entry'!$ċ$907)</f>
      </c>
      <c r="GV907">
        <f>IF(ISBLANK('Data Entry'!$Č$907), "", 'Data Entry'!$Č$907)</f>
      </c>
      <c r="GW907">
        <f>IF(ISBLANK('Data Entry'!$č$907), "", 'Data Entry'!$č$907)</f>
      </c>
      <c r="GX907">
        <f>IF(ISBLANK('Data Entry'!$Ď$907), "", 'Data Entry'!$Ď$907)</f>
      </c>
      <c r="GY907">
        <f>IF(ISBLANK('Data Entry'!$ď$907), "", 'Data Entry'!$ď$907)</f>
      </c>
      <c r="GZ907">
        <f>IF(ISBLANK('Data Entry'!$Đ$907), "", 'Data Entry'!$Đ$907)</f>
      </c>
      <c r="HA907">
        <f>IF(ISBLANK('Data Entry'!$đ$907), "", 'Data Entry'!$đ$907)</f>
      </c>
      <c r="HB907">
        <f>IF(ISBLANK('Data Entry'!$Ē$907), "", 'Data Entry'!$Ē$907)</f>
      </c>
      <c r="HC907">
        <f>IF(ISBLANK('Data Entry'!$ē$907), "", 'Data Entry'!$ē$907)</f>
      </c>
      <c r="HD907">
        <f>IF(ISBLANK('Data Entry'!$Ĕ$907), "", 'Data Entry'!$Ĕ$907)</f>
      </c>
      <c r="HE907">
        <f>IF(ISBLANK('Data Entry'!$ĕ$907), "", 'Data Entry'!$ĕ$907)</f>
      </c>
      <c r="HF907">
        <f>IF(ISBLANK('Data Entry'!$Ė$907), "", 'Data Entry'!$Ė$907)</f>
      </c>
      <c r="HG907">
        <f>IF(ISBLANK('Data Entry'!$ė$907), "", 'Data Entry'!$ė$907)</f>
      </c>
      <c r="HH907">
        <f>IF(ISBLANK('Data Entry'!$Ę$907), "", 'Data Entry'!$Ę$907)</f>
      </c>
      <c r="HI907">
        <f>IF(ISBLANK('Data Entry'!$ę$907), "", 'Data Entry'!$ę$907)</f>
      </c>
      <c r="HJ907">
        <f>IF(ISBLANK('Data Entry'!$Ě$907), "", 'Data Entry'!$Ě$907)</f>
      </c>
      <c r="HK907">
        <f>IF(ISBLANK('Data Entry'!$ě$907), "", 'Data Entry'!$ě$907)</f>
      </c>
      <c r="HL907">
        <f>IF(ISBLANK('Data Entry'!$Ĝ$907), "", 'Data Entry'!$Ĝ$907)</f>
      </c>
      <c r="HM907">
        <f>IF(ISBLANK('Data Entry'!$ĝ$907), "", 'Data Entry'!$ĝ$907)</f>
      </c>
      <c r="HN907">
        <f>IF(ISBLANK('Data Entry'!$Ğ$907), "", 'Data Entry'!$Ğ$907)</f>
      </c>
      <c r="HO907">
        <f>IF(ISBLANK('Data Entry'!$ğ$907), "", 'Data Entry'!$ğ$907)</f>
      </c>
      <c r="HP907">
        <f>IF(ISBLANK('Data Entry'!$Ġ$907), "", 'Data Entry'!$Ġ$907)</f>
      </c>
      <c r="HQ907">
        <f>IF(ISBLANK('Data Entry'!$ġ$907), "", 'Data Entry'!$ġ$907)</f>
      </c>
      <c r="HR907">
        <f>IF(ISBLANK('Data Entry'!$Ģ$907), "", 'Data Entry'!$Ģ$907)</f>
      </c>
      <c r="HS907">
        <f>IF(ISBLANK('Data Entry'!$ģ$907), "", 'Data Entry'!$ģ$907)</f>
      </c>
      <c r="HT907">
        <f>IF(ISBLANK('Data Entry'!$Ĥ$907), "", 'Data Entry'!$Ĥ$907)</f>
      </c>
      <c r="HU907">
        <f>IF(ISBLANK('Data Entry'!$ĥ$907), "", 'Data Entry'!$ĥ$907)</f>
      </c>
      <c r="HV907">
        <f>IF(ISBLANK('Data Entry'!$Ħ$907), "", 'Data Entry'!$Ħ$907)</f>
      </c>
      <c r="HW907">
        <f>IF(ISBLANK('Data Entry'!$ħ$907), "", 'Data Entry'!$ħ$907)</f>
      </c>
      <c r="HX907">
        <f>IF(ISBLANK('Data Entry'!$Ĩ$907), "", 'Data Entry'!$Ĩ$907)</f>
      </c>
      <c r="HY907">
        <f>IF(ISBLANK('Data Entry'!$ĩ$907), "", 'Data Entry'!$ĩ$907)</f>
      </c>
      <c r="HZ907">
        <f>IF(ISBLANK('Data Entry'!$Ī$907), "", 'Data Entry'!$Ī$907)</f>
      </c>
      <c r="IA907">
        <f>IF(ISBLANK('Data Entry'!$ī$907), "", 'Data Entry'!$ī$907)</f>
      </c>
      <c r="IB907">
        <f>IF(ISBLANK('Data Entry'!$Ĭ$907), "", 'Data Entry'!$Ĭ$907)</f>
      </c>
      <c r="IC907">
        <f>IF(ISBLANK('Data Entry'!$ĭ$907), "", 'Data Entry'!$ĭ$907)</f>
      </c>
      <c r="ID907">
        <f>IF(ISBLANK('Data Entry'!$Į$907), "", 'Data Entry'!$Į$907)</f>
      </c>
      <c r="IE907">
        <f>IF(ISBLANK('Data Entry'!$į$907), "", 'Data Entry'!$į$907)</f>
      </c>
      <c r="IF907">
        <f>IF(ISBLANK('Data Entry'!$İ$907), "", 'Data Entry'!$İ$907)</f>
      </c>
      <c r="IG907">
        <f>IF(ISBLANK('Data Entry'!$ı$907), "", 'Data Entry'!$ı$907)</f>
      </c>
      <c r="IH907">
        <f>IF(ISBLANK('Data Entry'!$Ĳ$907), "", 'Data Entry'!$Ĳ$907)</f>
      </c>
      <c r="II907">
        <f>IF(ISBLANK('Data Entry'!$ĳ$907), "", 'Data Entry'!$ĳ$907)</f>
      </c>
      <c r="IJ907">
        <f>IF(ISBLANK('Data Entry'!$Ĵ$907), "", 'Data Entry'!$Ĵ$907)</f>
      </c>
      <c r="IK907">
        <f>IF(ISBLANK('Data Entry'!$ĵ$907), "", 'Data Entry'!$ĵ$907)</f>
      </c>
      <c r="IL907">
        <f>IF(ISBLANK('Data Entry'!$Ķ$907), "", 'Data Entry'!$Ķ$907)</f>
      </c>
      <c r="IM907">
        <f>IF(ISBLANK('Data Entry'!$ķ$907), "", 'Data Entry'!$ķ$907)</f>
      </c>
      <c r="IN907">
        <f>IF(ISBLANK('Data Entry'!$ĸ$907), "", 'Data Entry'!$ĸ$907)</f>
      </c>
      <c r="IO907">
        <f>IF(ISBLANK('Data Entry'!$Ĺ$907), "", 'Data Entry'!$Ĺ$907)</f>
      </c>
      <c r="IP907">
        <f>IF(ISBLANK('Data Entry'!$ĺ$907), "", 'Data Entry'!$ĺ$907)</f>
      </c>
      <c r="IQ907">
        <f>IF(ISBLANK('Data Entry'!$Ļ$907), "", 'Data Entry'!$Ļ$907)</f>
      </c>
      <c r="IR907">
        <f>IF(ISBLANK('Data Entry'!$ļ$907), "", 'Data Entry'!$ļ$907)</f>
      </c>
      <c r="IS907">
        <f>IF(ISBLANK('Data Entry'!$Ľ$907), "", 'Data Entry'!$Ľ$907)</f>
      </c>
      <c r="IT907">
        <f>IF(ISBLANK('Data Entry'!$ľ$907), "", 'Data Entry'!$ľ$907)</f>
      </c>
    </row>
    <row r="908" spans="1:254" x14ac:dyDescent="0.25">
      <c r="A908">
        <f>IF(ISBLANK('Data Entry'!$A$908), "", 'Data Entry'!$A$908)</f>
      </c>
      <c r="B908">
        <f>IF(ISBLANK('Data Entry'!$B$908), "", 'Data Entry'!$B$908)</f>
      </c>
      <c r="C908">
        <f>IF(ISBLANK('Data Entry'!$C$908), "", 'Data Entry'!$C$908)</f>
      </c>
      <c r="D908">
        <f>IF(ISBLANK('Data Entry'!$D$908), "", 'Data Entry'!$D$908)</f>
      </c>
      <c r="E908">
        <f>IF(ISBLANK('Data Entry'!$E$908), "", 'Data Entry'!$E$908)</f>
      </c>
      <c r="F908">
        <f>IF(ISBLANK('Data Entry'!$F$908), "", 'Data Entry'!$F$908)</f>
      </c>
      <c r="G908">
        <f>IF(ISBLANK('Data Entry'!$G$908), "", 'Data Entry'!$G$908)</f>
      </c>
      <c r="H908">
        <f>IF(ISBLANK('Data Entry'!$H$908), "", 'Data Entry'!$H$908)</f>
      </c>
      <c r="I908">
        <f>IF(ISBLANK('Data Entry'!$I$908), "", 'Data Entry'!$I$908)</f>
      </c>
      <c r="J908">
        <f>IF(ISBLANK('Data Entry'!$J$908), "", 'Data Entry'!$J$908)</f>
      </c>
      <c r="K908">
        <f>IF(ISBLANK('Data Entry'!$K$908), "", 'Data Entry'!$K$908)</f>
      </c>
      <c r="L908">
        <f>IF(ISBLANK('Data Entry'!$L$908), "", 'Data Entry'!$L$908)</f>
      </c>
      <c r="M908">
        <f>IF(ISBLANK('Data Entry'!$M$908), "", 'Data Entry'!$M$908)</f>
      </c>
      <c r="N908">
        <f>IF(ISBLANK('Data Entry'!$N$908), "", 'Data Entry'!$N$908)</f>
      </c>
      <c r="O908">
        <f>IF(ISBLANK('Data Entry'!$O$908), "", 'Data Entry'!$O$908)</f>
      </c>
      <c r="P908">
        <f>IF(ISBLANK('Data Entry'!$P$908), "", 'Data Entry'!$P$908)</f>
      </c>
      <c r="Q908">
        <f>IF(ISBLANK('Data Entry'!$Q$908), "", 'Data Entry'!$Q$908)</f>
      </c>
      <c r="R908">
        <f>IF(ISBLANK('Data Entry'!$R$908), "", 'Data Entry'!$R$908)</f>
      </c>
      <c r="S908">
        <f>IF(ISBLANK('Data Entry'!$S$908), "", 'Data Entry'!$S$908)</f>
      </c>
      <c r="T908">
        <f>IF(ISBLANK('Data Entry'!$T$908), "", 'Data Entry'!$T$908)</f>
      </c>
      <c r="U908">
        <f>IF(ISBLANK('Data Entry'!$U$908), "", 'Data Entry'!$U$908)</f>
      </c>
      <c r="V908">
        <f>IF(ISBLANK('Data Entry'!$V$908), "", 'Data Entry'!$V$908)</f>
      </c>
      <c r="W908">
        <f>IF(ISBLANK('Data Entry'!$W$908), "", 'Data Entry'!$W$908)</f>
      </c>
      <c r="X908">
        <f>IF(ISBLANK('Data Entry'!$X$908), "", 'Data Entry'!$X$908)</f>
      </c>
      <c r="Y908">
        <f>IF(ISBLANK('Data Entry'!$Y$908), "", 'Data Entry'!$Y$908)</f>
      </c>
      <c r="Z908">
        <f>IF(ISBLANK('Data Entry'!$Z$908), "", 'Data Entry'!$Z$908)</f>
      </c>
      <c r="AA908">
        <f>IF(ISBLANK('Data Entry'!$[$908), "", 'Data Entry'!$[$908)</f>
      </c>
      <c r="AB908">
        <f>IF(ISBLANK('Data Entry'!$\$908), "", 'Data Entry'!$\$908)</f>
      </c>
      <c r="AC908">
        <f>IF(ISBLANK('Data Entry'!$]$908), "", 'Data Entry'!$]$908)</f>
      </c>
      <c r="AD908">
        <f>IF(ISBLANK('Data Entry'!$^$908), "", 'Data Entry'!$^$908)</f>
      </c>
      <c r="AE908">
        <f>IF(ISBLANK('Data Entry'!$_$908), "", 'Data Entry'!$_$908)</f>
      </c>
      <c r="AF908">
        <f>IF(ISBLANK('Data Entry'!$`$908), "", 'Data Entry'!$`$908)</f>
      </c>
      <c r="AG908">
        <f>IF(ISBLANK('Data Entry'!$a$908), "", 'Data Entry'!$a$908)</f>
      </c>
      <c r="AH908">
        <f>IF(ISBLANK('Data Entry'!$b$908), "", 'Data Entry'!$b$908)</f>
      </c>
      <c r="AI908">
        <f>IF(ISBLANK('Data Entry'!$c$908), "", 'Data Entry'!$c$908)</f>
      </c>
      <c r="AJ908">
        <f>IF(ISBLANK('Data Entry'!$d$908), "", 'Data Entry'!$d$908)</f>
      </c>
      <c r="AK908">
        <f>IF(ISBLANK('Data Entry'!$e$908), "", 'Data Entry'!$e$908)</f>
      </c>
      <c r="AL908">
        <f>IF(ISBLANK('Data Entry'!$f$908), "", 'Data Entry'!$f$908)</f>
      </c>
      <c r="AM908">
        <f>IF(ISBLANK('Data Entry'!$g$908), "", 'Data Entry'!$g$908)</f>
      </c>
      <c r="AN908">
        <f>IF(ISBLANK('Data Entry'!$h$908), "", 'Data Entry'!$h$908)</f>
      </c>
      <c r="AO908">
        <f>IF(ISBLANK('Data Entry'!$i$908), "", 'Data Entry'!$i$908)</f>
      </c>
      <c r="AP908">
        <f>IF(ISBLANK('Data Entry'!$j$908), "", 'Data Entry'!$j$908)</f>
      </c>
      <c r="AQ908">
        <f>IF(ISBLANK('Data Entry'!$k$908), "", 'Data Entry'!$k$908)</f>
      </c>
      <c r="AR908">
        <f>IF(ISBLANK('Data Entry'!$l$908), "", 'Data Entry'!$l$908)</f>
      </c>
      <c r="AS908">
        <f>IF(ISBLANK('Data Entry'!$m$908), "", 'Data Entry'!$m$908)</f>
      </c>
      <c r="AT908">
        <f>IF(ISBLANK('Data Entry'!$n$908), "", 'Data Entry'!$n$908)</f>
      </c>
      <c r="AU908">
        <f>IF(ISBLANK('Data Entry'!$o$908), "", 'Data Entry'!$o$908)</f>
      </c>
      <c r="AV908">
        <f>IF(ISBLANK('Data Entry'!$p$908), "", 'Data Entry'!$p$908)</f>
      </c>
      <c r="AW908">
        <f>IF(ISBLANK('Data Entry'!$q$908), "", 'Data Entry'!$q$908)</f>
      </c>
      <c r="AX908">
        <f>IF(ISBLANK('Data Entry'!$r$908), "", 'Data Entry'!$r$908)</f>
      </c>
      <c r="AY908">
        <f>IF(ISBLANK('Data Entry'!$s$908), "", 'Data Entry'!$s$908)</f>
      </c>
      <c r="AZ908">
        <f>IF(ISBLANK('Data Entry'!$t$908), "", 'Data Entry'!$t$908)</f>
      </c>
      <c r="BA908">
        <f>IF(ISBLANK('Data Entry'!$u$908), "", 'Data Entry'!$u$908)</f>
      </c>
      <c r="BB908">
        <f>IF(ISBLANK('Data Entry'!$v$908), "", 'Data Entry'!$v$908)</f>
      </c>
      <c r="BC908">
        <f>IF(ISBLANK('Data Entry'!$w$908), "", 'Data Entry'!$w$908)</f>
      </c>
      <c r="BD908">
        <f>IF(ISBLANK('Data Entry'!$x$908), "", 'Data Entry'!$x$908)</f>
      </c>
      <c r="BE908">
        <f>IF(ISBLANK('Data Entry'!$y$908), "", 'Data Entry'!$y$908)</f>
      </c>
      <c r="BF908">
        <f>IF(ISBLANK('Data Entry'!$z$908), "", 'Data Entry'!$z$908)</f>
      </c>
      <c r="BG908">
        <f>IF(ISBLANK('Data Entry'!${$908), "", 'Data Entry'!${$908)</f>
      </c>
      <c r="BH908">
        <f>IF(ISBLANK('Data Entry'!$|$908), "", 'Data Entry'!$|$908)</f>
      </c>
      <c r="BI908">
        <f>IF(ISBLANK('Data Entry'!$}$908), "", 'Data Entry'!$}$908)</f>
      </c>
      <c r="BJ908">
        <f>IF(ISBLANK('Data Entry'!$~$908), "", 'Data Entry'!$~$908)</f>
      </c>
      <c r="BK908">
        <f>IF(ISBLANK('Data Entry'!$$908), "", 'Data Entry'!$$908)</f>
      </c>
      <c r="BL908">
        <f>IF(ISBLANK('Data Entry'!$$908), "", 'Data Entry'!$$908)</f>
      </c>
      <c r="BM908">
        <f>IF(ISBLANK('Data Entry'!$$908), "", 'Data Entry'!$$908)</f>
      </c>
      <c r="BN908">
        <f>IF(ISBLANK('Data Entry'!$$908), "", 'Data Entry'!$$908)</f>
      </c>
      <c r="BO908">
        <f>IF(ISBLANK('Data Entry'!$$908), "", 'Data Entry'!$$908)</f>
      </c>
      <c r="BP908">
        <f>IF(ISBLANK('Data Entry'!$$908), "", 'Data Entry'!$$908)</f>
      </c>
      <c r="BQ908">
        <f>IF(ISBLANK('Data Entry'!$$908), "", 'Data Entry'!$$908)</f>
      </c>
      <c r="BR908">
        <f>IF(ISBLANK('Data Entry'!$$908), "", 'Data Entry'!$$908)</f>
      </c>
      <c r="BS908">
        <f>IF(ISBLANK('Data Entry'!$$908), "", 'Data Entry'!$$908)</f>
      </c>
      <c r="BT908">
        <f>IF(ISBLANK('Data Entry'!$$908), "", 'Data Entry'!$$908)</f>
      </c>
      <c r="BU908">
        <f>IF(ISBLANK('Data Entry'!$$908), "", 'Data Entry'!$$908)</f>
      </c>
      <c r="BV908">
        <f>IF(ISBLANK('Data Entry'!$$908), "", 'Data Entry'!$$908)</f>
      </c>
      <c r="BW908">
        <f>IF(ISBLANK('Data Entry'!$$908), "", 'Data Entry'!$$908)</f>
      </c>
      <c r="BX908">
        <f>IF(ISBLANK('Data Entry'!$$908), "", 'Data Entry'!$$908)</f>
      </c>
      <c r="BY908">
        <f>IF(ISBLANK('Data Entry'!$$908), "", 'Data Entry'!$$908)</f>
      </c>
      <c r="BZ908">
        <f>IF(ISBLANK('Data Entry'!$$908), "", 'Data Entry'!$$908)</f>
      </c>
      <c r="CA908">
        <f>IF(ISBLANK('Data Entry'!$$908), "", 'Data Entry'!$$908)</f>
      </c>
      <c r="CB908">
        <f>IF(ISBLANK('Data Entry'!$$908), "", 'Data Entry'!$$908)</f>
      </c>
      <c r="CC908">
        <f>IF(ISBLANK('Data Entry'!$$908), "", 'Data Entry'!$$908)</f>
      </c>
      <c r="CD908">
        <f>IF(ISBLANK('Data Entry'!$$908), "", 'Data Entry'!$$908)</f>
      </c>
      <c r="CE908">
        <f>IF(ISBLANK('Data Entry'!$$908), "", 'Data Entry'!$$908)</f>
      </c>
      <c r="CF908">
        <f>IF(ISBLANK('Data Entry'!$$908), "", 'Data Entry'!$$908)</f>
      </c>
      <c r="CG908">
        <f>IF(ISBLANK('Data Entry'!$$908), "", 'Data Entry'!$$908)</f>
      </c>
      <c r="CH908">
        <f>IF(ISBLANK('Data Entry'!$$908), "", 'Data Entry'!$$908)</f>
      </c>
      <c r="CI908">
        <f>IF(ISBLANK('Data Entry'!$$908), "", 'Data Entry'!$$908)</f>
      </c>
      <c r="CJ908">
        <f>IF(ISBLANK('Data Entry'!$$908), "", 'Data Entry'!$$908)</f>
      </c>
      <c r="CK908">
        <f>IF(ISBLANK('Data Entry'!$$908), "", 'Data Entry'!$$908)</f>
      </c>
      <c r="CL908">
        <f>IF(ISBLANK('Data Entry'!$$908), "", 'Data Entry'!$$908)</f>
      </c>
      <c r="CM908">
        <f>IF(ISBLANK('Data Entry'!$$908), "", 'Data Entry'!$$908)</f>
      </c>
      <c r="CN908">
        <f>IF(ISBLANK('Data Entry'!$$908), "", 'Data Entry'!$$908)</f>
      </c>
      <c r="CO908">
        <f>IF(ISBLANK('Data Entry'!$$908), "", 'Data Entry'!$$908)</f>
      </c>
      <c r="CP908">
        <f>IF(ISBLANK('Data Entry'!$$908), "", 'Data Entry'!$$908)</f>
      </c>
      <c r="CQ908">
        <f>IF(ISBLANK('Data Entry'!$$908), "", 'Data Entry'!$$908)</f>
      </c>
      <c r="CR908">
        <f>IF(ISBLANK('Data Entry'!$ $908), "", 'Data Entry'!$ $908)</f>
      </c>
      <c r="CS908">
        <f>IF(ISBLANK('Data Entry'!$¡$908), "", 'Data Entry'!$¡$908)</f>
      </c>
      <c r="CT908">
        <f>IF(ISBLANK('Data Entry'!$¢$908), "", 'Data Entry'!$¢$908)</f>
      </c>
      <c r="CU908">
        <f>IF(ISBLANK('Data Entry'!$£$908), "", 'Data Entry'!$£$908)</f>
      </c>
      <c r="CV908">
        <f>IF(ISBLANK('Data Entry'!$¤$908), "", 'Data Entry'!$¤$908)</f>
      </c>
      <c r="CW908">
        <f>IF(ISBLANK('Data Entry'!$¥$908), "", 'Data Entry'!$¥$908)</f>
      </c>
      <c r="CX908">
        <f>IF(ISBLANK('Data Entry'!$¦$908), "", 'Data Entry'!$¦$908)</f>
      </c>
      <c r="CY908">
        <f>IF(ISBLANK('Data Entry'!$§$908), "", 'Data Entry'!$§$908)</f>
      </c>
      <c r="CZ908">
        <f>IF(ISBLANK('Data Entry'!$¨$908), "", 'Data Entry'!$¨$908)</f>
      </c>
      <c r="DA908">
        <f>IF(ISBLANK('Data Entry'!$©$908), "", 'Data Entry'!$©$908)</f>
      </c>
      <c r="DB908">
        <f>IF(ISBLANK('Data Entry'!$ª$908), "", 'Data Entry'!$ª$908)</f>
      </c>
      <c r="DC908">
        <f>IF(ISBLANK('Data Entry'!$«$908), "", 'Data Entry'!$«$908)</f>
      </c>
      <c r="DD908">
        <f>IF(ISBLANK('Data Entry'!$¬$908), "", 'Data Entry'!$¬$908)</f>
      </c>
      <c r="DE908">
        <f>IF(ISBLANK('Data Entry'!$­$908), "", 'Data Entry'!$­$908)</f>
      </c>
      <c r="DF908">
        <f>IF(ISBLANK('Data Entry'!$®$908), "", 'Data Entry'!$®$908)</f>
      </c>
      <c r="DG908">
        <f>IF(ISBLANK('Data Entry'!$¯$908), "", 'Data Entry'!$¯$908)</f>
      </c>
      <c r="DH908">
        <f>IF(ISBLANK('Data Entry'!$°$908), "", 'Data Entry'!$°$908)</f>
      </c>
      <c r="DI908">
        <f>IF(ISBLANK('Data Entry'!$±$908), "", 'Data Entry'!$±$908)</f>
      </c>
      <c r="DJ908">
        <f>IF(ISBLANK('Data Entry'!$²$908), "", 'Data Entry'!$²$908)</f>
      </c>
      <c r="DK908">
        <f>IF(ISBLANK('Data Entry'!$³$908), "", 'Data Entry'!$³$908)</f>
      </c>
      <c r="DL908">
        <f>IF(ISBLANK('Data Entry'!$´$908), "", 'Data Entry'!$´$908)</f>
      </c>
      <c r="DM908">
        <f>IF(ISBLANK('Data Entry'!$µ$908), "", 'Data Entry'!$µ$908)</f>
      </c>
      <c r="DN908">
        <f>IF(ISBLANK('Data Entry'!$¶$908), "", 'Data Entry'!$¶$908)</f>
      </c>
      <c r="DO908">
        <f>IF(ISBLANK('Data Entry'!$·$908), "", 'Data Entry'!$·$908)</f>
      </c>
      <c r="DP908">
        <f>IF(ISBLANK('Data Entry'!$¸$908), "", 'Data Entry'!$¸$908)</f>
      </c>
      <c r="DQ908">
        <f>IF(ISBLANK('Data Entry'!$¹$908), "", 'Data Entry'!$¹$908)</f>
      </c>
      <c r="DR908">
        <f>IF(ISBLANK('Data Entry'!$º$908), "", 'Data Entry'!$º$908)</f>
      </c>
      <c r="DS908">
        <f>IF(ISBLANK('Data Entry'!$»$908), "", 'Data Entry'!$»$908)</f>
      </c>
      <c r="DT908">
        <f>IF(ISBLANK('Data Entry'!$¼$908), "", 'Data Entry'!$¼$908)</f>
      </c>
      <c r="DU908">
        <f>IF(ISBLANK('Data Entry'!$½$908), "", 'Data Entry'!$½$908)</f>
      </c>
      <c r="DV908">
        <f>IF(ISBLANK('Data Entry'!$¾$908), "", 'Data Entry'!$¾$908)</f>
      </c>
      <c r="DW908">
        <f>IF(ISBLANK('Data Entry'!$¿$908), "", 'Data Entry'!$¿$908)</f>
      </c>
      <c r="DX908">
        <f>IF(ISBLANK('Data Entry'!$À$908), "", 'Data Entry'!$À$908)</f>
      </c>
      <c r="DY908">
        <f>IF(ISBLANK('Data Entry'!$Á$908), "", 'Data Entry'!$Á$908)</f>
      </c>
      <c r="DZ908">
        <f>IF(ISBLANK('Data Entry'!$Â$908), "", 'Data Entry'!$Â$908)</f>
      </c>
      <c r="EA908">
        <f>IF(ISBLANK('Data Entry'!$Ã$908), "", 'Data Entry'!$Ã$908)</f>
      </c>
      <c r="EB908">
        <f>IF(ISBLANK('Data Entry'!$Ä$908), "", 'Data Entry'!$Ä$908)</f>
      </c>
      <c r="EC908">
        <f>IF(ISBLANK('Data Entry'!$Å$908), "", 'Data Entry'!$Å$908)</f>
      </c>
      <c r="ED908">
        <f>IF(ISBLANK('Data Entry'!$Æ$908), "", 'Data Entry'!$Æ$908)</f>
      </c>
      <c r="EE908">
        <f>IF(ISBLANK('Data Entry'!$Ç$908), "", 'Data Entry'!$Ç$908)</f>
      </c>
      <c r="EF908">
        <f>IF(ISBLANK('Data Entry'!$È$908), "", 'Data Entry'!$È$908)</f>
      </c>
      <c r="EG908">
        <f>IF(ISBLANK('Data Entry'!$É$908), "", 'Data Entry'!$É$908)</f>
      </c>
      <c r="EH908">
        <f>IF(ISBLANK('Data Entry'!$Ê$908), "", 'Data Entry'!$Ê$908)</f>
      </c>
      <c r="EI908">
        <f>IF(ISBLANK('Data Entry'!$Ë$908), "", 'Data Entry'!$Ë$908)</f>
      </c>
      <c r="EJ908">
        <f>IF(ISBLANK('Data Entry'!$Ì$908), "", 'Data Entry'!$Ì$908)</f>
      </c>
      <c r="EK908">
        <f>IF(ISBLANK('Data Entry'!$Í$908), "", 'Data Entry'!$Í$908)</f>
      </c>
      <c r="EL908">
        <f>IF(ISBLANK('Data Entry'!$Î$908), "", 'Data Entry'!$Î$908)</f>
      </c>
      <c r="EM908">
        <f>IF(ISBLANK('Data Entry'!$Ï$908), "", 'Data Entry'!$Ï$908)</f>
      </c>
      <c r="EN908">
        <f>IF(ISBLANK('Data Entry'!$Ð$908), "", 'Data Entry'!$Ð$908)</f>
      </c>
      <c r="EO908">
        <f>IF(ISBLANK('Data Entry'!$Ñ$908), "", 'Data Entry'!$Ñ$908)</f>
      </c>
      <c r="EP908">
        <f>IF(ISBLANK('Data Entry'!$Ò$908), "", 'Data Entry'!$Ò$908)</f>
      </c>
      <c r="EQ908">
        <f>IF(ISBLANK('Data Entry'!$Ó$908), "", 'Data Entry'!$Ó$908)</f>
      </c>
      <c r="ER908">
        <f>IF(ISBLANK('Data Entry'!$Ô$908), "", 'Data Entry'!$Ô$908)</f>
      </c>
      <c r="ES908">
        <f>IF(ISBLANK('Data Entry'!$Õ$908), "", 'Data Entry'!$Õ$908)</f>
      </c>
      <c r="ET908">
        <f>IF(ISBLANK('Data Entry'!$Ö$908), "", 'Data Entry'!$Ö$908)</f>
      </c>
      <c r="EU908">
        <f>IF(ISBLANK('Data Entry'!$×$908), "", 'Data Entry'!$×$908)</f>
      </c>
      <c r="EV908">
        <f>IF(ISBLANK('Data Entry'!$Ø$908), "", 'Data Entry'!$Ø$908)</f>
      </c>
      <c r="EW908">
        <f>IF(ISBLANK('Data Entry'!$Ù$908), "", 'Data Entry'!$Ù$908)</f>
      </c>
      <c r="EX908">
        <f>IF(ISBLANK('Data Entry'!$Ú$908), "", 'Data Entry'!$Ú$908)</f>
      </c>
      <c r="EY908">
        <f>IF(ISBLANK('Data Entry'!$Û$908), "", 'Data Entry'!$Û$908)</f>
      </c>
      <c r="EZ908">
        <f>IF(ISBLANK('Data Entry'!$Ü$908), "", 'Data Entry'!$Ü$908)</f>
      </c>
      <c r="FA908">
        <f>IF(ISBLANK('Data Entry'!$Ý$908), "", 'Data Entry'!$Ý$908)</f>
      </c>
      <c r="FB908">
        <f>IF(ISBLANK('Data Entry'!$Þ$908), "", 'Data Entry'!$Þ$908)</f>
      </c>
      <c r="FC908">
        <f>IF(ISBLANK('Data Entry'!$ß$908), "", 'Data Entry'!$ß$908)</f>
      </c>
      <c r="FD908">
        <f>IF(ISBLANK('Data Entry'!$à$908), "", 'Data Entry'!$à$908)</f>
      </c>
      <c r="FE908">
        <f>IF(ISBLANK('Data Entry'!$á$908), "", 'Data Entry'!$á$908)</f>
      </c>
      <c r="FF908">
        <f>IF(ISBLANK('Data Entry'!$â$908), "", 'Data Entry'!$â$908)</f>
      </c>
      <c r="FG908">
        <f>IF(ISBLANK('Data Entry'!$ã$908), "", 'Data Entry'!$ã$908)</f>
      </c>
      <c r="FH908">
        <f>IF(ISBLANK('Data Entry'!$ä$908), "", 'Data Entry'!$ä$908)</f>
      </c>
      <c r="FI908">
        <f>IF(ISBLANK('Data Entry'!$å$908), "", 'Data Entry'!$å$908)</f>
      </c>
      <c r="FJ908">
        <f>IF(ISBLANK('Data Entry'!$æ$908), "", 'Data Entry'!$æ$908)</f>
      </c>
      <c r="FK908">
        <f>IF(ISBLANK('Data Entry'!$ç$908), "", 'Data Entry'!$ç$908)</f>
      </c>
      <c r="FL908">
        <f>IF(ISBLANK('Data Entry'!$è$908), "", 'Data Entry'!$è$908)</f>
      </c>
      <c r="FM908">
        <f>IF(ISBLANK('Data Entry'!$é$908), "", 'Data Entry'!$é$908)</f>
      </c>
      <c r="FN908">
        <f>IF(ISBLANK('Data Entry'!$ê$908), "", 'Data Entry'!$ê$908)</f>
      </c>
      <c r="FO908">
        <f>IF(ISBLANK('Data Entry'!$ë$908), "", 'Data Entry'!$ë$908)</f>
      </c>
      <c r="FP908">
        <f>IF(ISBLANK('Data Entry'!$ì$908), "", 'Data Entry'!$ì$908)</f>
      </c>
      <c r="FQ908">
        <f>IF(ISBLANK('Data Entry'!$í$908), "", 'Data Entry'!$í$908)</f>
      </c>
      <c r="FR908">
        <f>IF(ISBLANK('Data Entry'!$î$908), "", 'Data Entry'!$î$908)</f>
      </c>
      <c r="FS908">
        <f>IF(ISBLANK('Data Entry'!$ï$908), "", 'Data Entry'!$ï$908)</f>
      </c>
      <c r="FT908">
        <f>IF(ISBLANK('Data Entry'!$ð$908), "", 'Data Entry'!$ð$908)</f>
      </c>
      <c r="FU908">
        <f>IF(ISBLANK('Data Entry'!$ñ$908), "", 'Data Entry'!$ñ$908)</f>
      </c>
      <c r="FV908">
        <f>IF(ISBLANK('Data Entry'!$ò$908), "", 'Data Entry'!$ò$908)</f>
      </c>
      <c r="FW908">
        <f>IF(ISBLANK('Data Entry'!$ó$908), "", 'Data Entry'!$ó$908)</f>
      </c>
      <c r="FX908">
        <f>IF(ISBLANK('Data Entry'!$ô$908), "", 'Data Entry'!$ô$908)</f>
      </c>
      <c r="FY908">
        <f>IF(ISBLANK('Data Entry'!$õ$908), "", 'Data Entry'!$õ$908)</f>
      </c>
      <c r="FZ908">
        <f>IF(ISBLANK('Data Entry'!$ö$908), "", 'Data Entry'!$ö$908)</f>
      </c>
      <c r="GA908">
        <f>IF(ISBLANK('Data Entry'!$÷$908), "", 'Data Entry'!$÷$908)</f>
      </c>
      <c r="GB908">
        <f>IF(ISBLANK('Data Entry'!$ø$908), "", 'Data Entry'!$ø$908)</f>
      </c>
      <c r="GC908">
        <f>IF(ISBLANK('Data Entry'!$ù$908), "", 'Data Entry'!$ù$908)</f>
      </c>
      <c r="GD908">
        <f>IF(ISBLANK('Data Entry'!$ú$908), "", 'Data Entry'!$ú$908)</f>
      </c>
      <c r="GE908">
        <f>IF(ISBLANK('Data Entry'!$û$908), "", 'Data Entry'!$û$908)</f>
      </c>
      <c r="GF908">
        <f>IF(ISBLANK('Data Entry'!$ü$908), "", 'Data Entry'!$ü$908)</f>
      </c>
      <c r="GG908">
        <f>IF(ISBLANK('Data Entry'!$ý$908), "", 'Data Entry'!$ý$908)</f>
      </c>
      <c r="GH908">
        <f>IF(ISBLANK('Data Entry'!$þ$908), "", 'Data Entry'!$þ$908)</f>
      </c>
      <c r="GI908">
        <f>IF(ISBLANK('Data Entry'!$ÿ$908), "", 'Data Entry'!$ÿ$908)</f>
      </c>
      <c r="GJ908">
        <f>IF(ISBLANK('Data Entry'!$Ā$908), "", 'Data Entry'!$Ā$908)</f>
      </c>
      <c r="GK908">
        <f>IF(ISBLANK('Data Entry'!$ā$908), "", 'Data Entry'!$ā$908)</f>
      </c>
      <c r="GL908">
        <f>IF(ISBLANK('Data Entry'!$Ă$908), "", 'Data Entry'!$Ă$908)</f>
      </c>
      <c r="GM908">
        <f>IF(ISBLANK('Data Entry'!$ă$908), "", 'Data Entry'!$ă$908)</f>
      </c>
      <c r="GN908">
        <f>IF(ISBLANK('Data Entry'!$Ą$908), "", 'Data Entry'!$Ą$908)</f>
      </c>
      <c r="GO908">
        <f>IF(ISBLANK('Data Entry'!$ą$908), "", 'Data Entry'!$ą$908)</f>
      </c>
      <c r="GP908">
        <f>IF(ISBLANK('Data Entry'!$Ć$908), "", 'Data Entry'!$Ć$908)</f>
      </c>
      <c r="GQ908">
        <f>IF(ISBLANK('Data Entry'!$ć$908), "", 'Data Entry'!$ć$908)</f>
      </c>
      <c r="GR908">
        <f>IF(ISBLANK('Data Entry'!$Ĉ$908), "", 'Data Entry'!$Ĉ$908)</f>
      </c>
      <c r="GS908">
        <f>IF(ISBLANK('Data Entry'!$ĉ$908), "", 'Data Entry'!$ĉ$908)</f>
      </c>
      <c r="GT908">
        <f>IF(ISBLANK('Data Entry'!$Ċ$908), "", 'Data Entry'!$Ċ$908)</f>
      </c>
      <c r="GU908">
        <f>IF(ISBLANK('Data Entry'!$ċ$908), "", 'Data Entry'!$ċ$908)</f>
      </c>
      <c r="GV908">
        <f>IF(ISBLANK('Data Entry'!$Č$908), "", 'Data Entry'!$Č$908)</f>
      </c>
      <c r="GW908">
        <f>IF(ISBLANK('Data Entry'!$č$908), "", 'Data Entry'!$č$908)</f>
      </c>
      <c r="GX908">
        <f>IF(ISBLANK('Data Entry'!$Ď$908), "", 'Data Entry'!$Ď$908)</f>
      </c>
      <c r="GY908">
        <f>IF(ISBLANK('Data Entry'!$ď$908), "", 'Data Entry'!$ď$908)</f>
      </c>
      <c r="GZ908">
        <f>IF(ISBLANK('Data Entry'!$Đ$908), "", 'Data Entry'!$Đ$908)</f>
      </c>
      <c r="HA908">
        <f>IF(ISBLANK('Data Entry'!$đ$908), "", 'Data Entry'!$đ$908)</f>
      </c>
      <c r="HB908">
        <f>IF(ISBLANK('Data Entry'!$Ē$908), "", 'Data Entry'!$Ē$908)</f>
      </c>
      <c r="HC908">
        <f>IF(ISBLANK('Data Entry'!$ē$908), "", 'Data Entry'!$ē$908)</f>
      </c>
      <c r="HD908">
        <f>IF(ISBLANK('Data Entry'!$Ĕ$908), "", 'Data Entry'!$Ĕ$908)</f>
      </c>
      <c r="HE908">
        <f>IF(ISBLANK('Data Entry'!$ĕ$908), "", 'Data Entry'!$ĕ$908)</f>
      </c>
      <c r="HF908">
        <f>IF(ISBLANK('Data Entry'!$Ė$908), "", 'Data Entry'!$Ė$908)</f>
      </c>
      <c r="HG908">
        <f>IF(ISBLANK('Data Entry'!$ė$908), "", 'Data Entry'!$ė$908)</f>
      </c>
      <c r="HH908">
        <f>IF(ISBLANK('Data Entry'!$Ę$908), "", 'Data Entry'!$Ę$908)</f>
      </c>
      <c r="HI908">
        <f>IF(ISBLANK('Data Entry'!$ę$908), "", 'Data Entry'!$ę$908)</f>
      </c>
      <c r="HJ908">
        <f>IF(ISBLANK('Data Entry'!$Ě$908), "", 'Data Entry'!$Ě$908)</f>
      </c>
      <c r="HK908">
        <f>IF(ISBLANK('Data Entry'!$ě$908), "", 'Data Entry'!$ě$908)</f>
      </c>
      <c r="HL908">
        <f>IF(ISBLANK('Data Entry'!$Ĝ$908), "", 'Data Entry'!$Ĝ$908)</f>
      </c>
      <c r="HM908">
        <f>IF(ISBLANK('Data Entry'!$ĝ$908), "", 'Data Entry'!$ĝ$908)</f>
      </c>
      <c r="HN908">
        <f>IF(ISBLANK('Data Entry'!$Ğ$908), "", 'Data Entry'!$Ğ$908)</f>
      </c>
      <c r="HO908">
        <f>IF(ISBLANK('Data Entry'!$ğ$908), "", 'Data Entry'!$ğ$908)</f>
      </c>
      <c r="HP908">
        <f>IF(ISBLANK('Data Entry'!$Ġ$908), "", 'Data Entry'!$Ġ$908)</f>
      </c>
      <c r="HQ908">
        <f>IF(ISBLANK('Data Entry'!$ġ$908), "", 'Data Entry'!$ġ$908)</f>
      </c>
      <c r="HR908">
        <f>IF(ISBLANK('Data Entry'!$Ģ$908), "", 'Data Entry'!$Ģ$908)</f>
      </c>
      <c r="HS908">
        <f>IF(ISBLANK('Data Entry'!$ģ$908), "", 'Data Entry'!$ģ$908)</f>
      </c>
      <c r="HT908">
        <f>IF(ISBLANK('Data Entry'!$Ĥ$908), "", 'Data Entry'!$Ĥ$908)</f>
      </c>
      <c r="HU908">
        <f>IF(ISBLANK('Data Entry'!$ĥ$908), "", 'Data Entry'!$ĥ$908)</f>
      </c>
      <c r="HV908">
        <f>IF(ISBLANK('Data Entry'!$Ħ$908), "", 'Data Entry'!$Ħ$908)</f>
      </c>
      <c r="HW908">
        <f>IF(ISBLANK('Data Entry'!$ħ$908), "", 'Data Entry'!$ħ$908)</f>
      </c>
      <c r="HX908">
        <f>IF(ISBLANK('Data Entry'!$Ĩ$908), "", 'Data Entry'!$Ĩ$908)</f>
      </c>
      <c r="HY908">
        <f>IF(ISBLANK('Data Entry'!$ĩ$908), "", 'Data Entry'!$ĩ$908)</f>
      </c>
      <c r="HZ908">
        <f>IF(ISBLANK('Data Entry'!$Ī$908), "", 'Data Entry'!$Ī$908)</f>
      </c>
      <c r="IA908">
        <f>IF(ISBLANK('Data Entry'!$ī$908), "", 'Data Entry'!$ī$908)</f>
      </c>
      <c r="IB908">
        <f>IF(ISBLANK('Data Entry'!$Ĭ$908), "", 'Data Entry'!$Ĭ$908)</f>
      </c>
      <c r="IC908">
        <f>IF(ISBLANK('Data Entry'!$ĭ$908), "", 'Data Entry'!$ĭ$908)</f>
      </c>
      <c r="ID908">
        <f>IF(ISBLANK('Data Entry'!$Į$908), "", 'Data Entry'!$Į$908)</f>
      </c>
      <c r="IE908">
        <f>IF(ISBLANK('Data Entry'!$į$908), "", 'Data Entry'!$į$908)</f>
      </c>
      <c r="IF908">
        <f>IF(ISBLANK('Data Entry'!$İ$908), "", 'Data Entry'!$İ$908)</f>
      </c>
      <c r="IG908">
        <f>IF(ISBLANK('Data Entry'!$ı$908), "", 'Data Entry'!$ı$908)</f>
      </c>
      <c r="IH908">
        <f>IF(ISBLANK('Data Entry'!$Ĳ$908), "", 'Data Entry'!$Ĳ$908)</f>
      </c>
      <c r="II908">
        <f>IF(ISBLANK('Data Entry'!$ĳ$908), "", 'Data Entry'!$ĳ$908)</f>
      </c>
      <c r="IJ908">
        <f>IF(ISBLANK('Data Entry'!$Ĵ$908), "", 'Data Entry'!$Ĵ$908)</f>
      </c>
      <c r="IK908">
        <f>IF(ISBLANK('Data Entry'!$ĵ$908), "", 'Data Entry'!$ĵ$908)</f>
      </c>
      <c r="IL908">
        <f>IF(ISBLANK('Data Entry'!$Ķ$908), "", 'Data Entry'!$Ķ$908)</f>
      </c>
      <c r="IM908">
        <f>IF(ISBLANK('Data Entry'!$ķ$908), "", 'Data Entry'!$ķ$908)</f>
      </c>
      <c r="IN908">
        <f>IF(ISBLANK('Data Entry'!$ĸ$908), "", 'Data Entry'!$ĸ$908)</f>
      </c>
      <c r="IO908">
        <f>IF(ISBLANK('Data Entry'!$Ĺ$908), "", 'Data Entry'!$Ĺ$908)</f>
      </c>
      <c r="IP908">
        <f>IF(ISBLANK('Data Entry'!$ĺ$908), "", 'Data Entry'!$ĺ$908)</f>
      </c>
      <c r="IQ908">
        <f>IF(ISBLANK('Data Entry'!$Ļ$908), "", 'Data Entry'!$Ļ$908)</f>
      </c>
      <c r="IR908">
        <f>IF(ISBLANK('Data Entry'!$ļ$908), "", 'Data Entry'!$ļ$908)</f>
      </c>
      <c r="IS908">
        <f>IF(ISBLANK('Data Entry'!$Ľ$908), "", 'Data Entry'!$Ľ$908)</f>
      </c>
      <c r="IT908">
        <f>IF(ISBLANK('Data Entry'!$ľ$908), "", 'Data Entry'!$ľ$908)</f>
      </c>
    </row>
    <row r="909" spans="1:254" x14ac:dyDescent="0.25">
      <c r="A909">
        <f>IF(ISBLANK('Data Entry'!$A$909), "", 'Data Entry'!$A$909)</f>
      </c>
      <c r="B909">
        <f>IF(ISBLANK('Data Entry'!$B$909), "", 'Data Entry'!$B$909)</f>
      </c>
      <c r="C909">
        <f>IF(ISBLANK('Data Entry'!$C$909), "", 'Data Entry'!$C$909)</f>
      </c>
      <c r="D909">
        <f>IF(ISBLANK('Data Entry'!$D$909), "", 'Data Entry'!$D$909)</f>
      </c>
      <c r="E909">
        <f>IF(ISBLANK('Data Entry'!$E$909), "", 'Data Entry'!$E$909)</f>
      </c>
      <c r="F909">
        <f>IF(ISBLANK('Data Entry'!$F$909), "", 'Data Entry'!$F$909)</f>
      </c>
      <c r="G909">
        <f>IF(ISBLANK('Data Entry'!$G$909), "", 'Data Entry'!$G$909)</f>
      </c>
      <c r="H909">
        <f>IF(ISBLANK('Data Entry'!$H$909), "", 'Data Entry'!$H$909)</f>
      </c>
      <c r="I909">
        <f>IF(ISBLANK('Data Entry'!$I$909), "", 'Data Entry'!$I$909)</f>
      </c>
      <c r="J909">
        <f>IF(ISBLANK('Data Entry'!$J$909), "", 'Data Entry'!$J$909)</f>
      </c>
      <c r="K909">
        <f>IF(ISBLANK('Data Entry'!$K$909), "", 'Data Entry'!$K$909)</f>
      </c>
      <c r="L909">
        <f>IF(ISBLANK('Data Entry'!$L$909), "", 'Data Entry'!$L$909)</f>
      </c>
      <c r="M909">
        <f>IF(ISBLANK('Data Entry'!$M$909), "", 'Data Entry'!$M$909)</f>
      </c>
      <c r="N909">
        <f>IF(ISBLANK('Data Entry'!$N$909), "", 'Data Entry'!$N$909)</f>
      </c>
      <c r="O909">
        <f>IF(ISBLANK('Data Entry'!$O$909), "", 'Data Entry'!$O$909)</f>
      </c>
      <c r="P909">
        <f>IF(ISBLANK('Data Entry'!$P$909), "", 'Data Entry'!$P$909)</f>
      </c>
      <c r="Q909">
        <f>IF(ISBLANK('Data Entry'!$Q$909), "", 'Data Entry'!$Q$909)</f>
      </c>
      <c r="R909">
        <f>IF(ISBLANK('Data Entry'!$R$909), "", 'Data Entry'!$R$909)</f>
      </c>
      <c r="S909">
        <f>IF(ISBLANK('Data Entry'!$S$909), "", 'Data Entry'!$S$909)</f>
      </c>
      <c r="T909">
        <f>IF(ISBLANK('Data Entry'!$T$909), "", 'Data Entry'!$T$909)</f>
      </c>
      <c r="U909">
        <f>IF(ISBLANK('Data Entry'!$U$909), "", 'Data Entry'!$U$909)</f>
      </c>
      <c r="V909">
        <f>IF(ISBLANK('Data Entry'!$V$909), "", 'Data Entry'!$V$909)</f>
      </c>
      <c r="W909">
        <f>IF(ISBLANK('Data Entry'!$W$909), "", 'Data Entry'!$W$909)</f>
      </c>
      <c r="X909">
        <f>IF(ISBLANK('Data Entry'!$X$909), "", 'Data Entry'!$X$909)</f>
      </c>
      <c r="Y909">
        <f>IF(ISBLANK('Data Entry'!$Y$909), "", 'Data Entry'!$Y$909)</f>
      </c>
      <c r="Z909">
        <f>IF(ISBLANK('Data Entry'!$Z$909), "", 'Data Entry'!$Z$909)</f>
      </c>
      <c r="AA909">
        <f>IF(ISBLANK('Data Entry'!$[$909), "", 'Data Entry'!$[$909)</f>
      </c>
      <c r="AB909">
        <f>IF(ISBLANK('Data Entry'!$\$909), "", 'Data Entry'!$\$909)</f>
      </c>
      <c r="AC909">
        <f>IF(ISBLANK('Data Entry'!$]$909), "", 'Data Entry'!$]$909)</f>
      </c>
      <c r="AD909">
        <f>IF(ISBLANK('Data Entry'!$^$909), "", 'Data Entry'!$^$909)</f>
      </c>
      <c r="AE909">
        <f>IF(ISBLANK('Data Entry'!$_$909), "", 'Data Entry'!$_$909)</f>
      </c>
      <c r="AF909">
        <f>IF(ISBLANK('Data Entry'!$`$909), "", 'Data Entry'!$`$909)</f>
      </c>
      <c r="AG909">
        <f>IF(ISBLANK('Data Entry'!$a$909), "", 'Data Entry'!$a$909)</f>
      </c>
      <c r="AH909">
        <f>IF(ISBLANK('Data Entry'!$b$909), "", 'Data Entry'!$b$909)</f>
      </c>
      <c r="AI909">
        <f>IF(ISBLANK('Data Entry'!$c$909), "", 'Data Entry'!$c$909)</f>
      </c>
      <c r="AJ909">
        <f>IF(ISBLANK('Data Entry'!$d$909), "", 'Data Entry'!$d$909)</f>
      </c>
      <c r="AK909">
        <f>IF(ISBLANK('Data Entry'!$e$909), "", 'Data Entry'!$e$909)</f>
      </c>
      <c r="AL909">
        <f>IF(ISBLANK('Data Entry'!$f$909), "", 'Data Entry'!$f$909)</f>
      </c>
      <c r="AM909">
        <f>IF(ISBLANK('Data Entry'!$g$909), "", 'Data Entry'!$g$909)</f>
      </c>
      <c r="AN909">
        <f>IF(ISBLANK('Data Entry'!$h$909), "", 'Data Entry'!$h$909)</f>
      </c>
      <c r="AO909">
        <f>IF(ISBLANK('Data Entry'!$i$909), "", 'Data Entry'!$i$909)</f>
      </c>
      <c r="AP909">
        <f>IF(ISBLANK('Data Entry'!$j$909), "", 'Data Entry'!$j$909)</f>
      </c>
      <c r="AQ909">
        <f>IF(ISBLANK('Data Entry'!$k$909), "", 'Data Entry'!$k$909)</f>
      </c>
      <c r="AR909">
        <f>IF(ISBLANK('Data Entry'!$l$909), "", 'Data Entry'!$l$909)</f>
      </c>
      <c r="AS909">
        <f>IF(ISBLANK('Data Entry'!$m$909), "", 'Data Entry'!$m$909)</f>
      </c>
      <c r="AT909">
        <f>IF(ISBLANK('Data Entry'!$n$909), "", 'Data Entry'!$n$909)</f>
      </c>
      <c r="AU909">
        <f>IF(ISBLANK('Data Entry'!$o$909), "", 'Data Entry'!$o$909)</f>
      </c>
      <c r="AV909">
        <f>IF(ISBLANK('Data Entry'!$p$909), "", 'Data Entry'!$p$909)</f>
      </c>
      <c r="AW909">
        <f>IF(ISBLANK('Data Entry'!$q$909), "", 'Data Entry'!$q$909)</f>
      </c>
      <c r="AX909">
        <f>IF(ISBLANK('Data Entry'!$r$909), "", 'Data Entry'!$r$909)</f>
      </c>
      <c r="AY909">
        <f>IF(ISBLANK('Data Entry'!$s$909), "", 'Data Entry'!$s$909)</f>
      </c>
      <c r="AZ909">
        <f>IF(ISBLANK('Data Entry'!$t$909), "", 'Data Entry'!$t$909)</f>
      </c>
      <c r="BA909">
        <f>IF(ISBLANK('Data Entry'!$u$909), "", 'Data Entry'!$u$909)</f>
      </c>
      <c r="BB909">
        <f>IF(ISBLANK('Data Entry'!$v$909), "", 'Data Entry'!$v$909)</f>
      </c>
      <c r="BC909">
        <f>IF(ISBLANK('Data Entry'!$w$909), "", 'Data Entry'!$w$909)</f>
      </c>
      <c r="BD909">
        <f>IF(ISBLANK('Data Entry'!$x$909), "", 'Data Entry'!$x$909)</f>
      </c>
      <c r="BE909">
        <f>IF(ISBLANK('Data Entry'!$y$909), "", 'Data Entry'!$y$909)</f>
      </c>
      <c r="BF909">
        <f>IF(ISBLANK('Data Entry'!$z$909), "", 'Data Entry'!$z$909)</f>
      </c>
      <c r="BG909">
        <f>IF(ISBLANK('Data Entry'!${$909), "", 'Data Entry'!${$909)</f>
      </c>
      <c r="BH909">
        <f>IF(ISBLANK('Data Entry'!$|$909), "", 'Data Entry'!$|$909)</f>
      </c>
      <c r="BI909">
        <f>IF(ISBLANK('Data Entry'!$}$909), "", 'Data Entry'!$}$909)</f>
      </c>
      <c r="BJ909">
        <f>IF(ISBLANK('Data Entry'!$~$909), "", 'Data Entry'!$~$909)</f>
      </c>
      <c r="BK909">
        <f>IF(ISBLANK('Data Entry'!$$909), "", 'Data Entry'!$$909)</f>
      </c>
      <c r="BL909">
        <f>IF(ISBLANK('Data Entry'!$$909), "", 'Data Entry'!$$909)</f>
      </c>
      <c r="BM909">
        <f>IF(ISBLANK('Data Entry'!$$909), "", 'Data Entry'!$$909)</f>
      </c>
      <c r="BN909">
        <f>IF(ISBLANK('Data Entry'!$$909), "", 'Data Entry'!$$909)</f>
      </c>
      <c r="BO909">
        <f>IF(ISBLANK('Data Entry'!$$909), "", 'Data Entry'!$$909)</f>
      </c>
      <c r="BP909">
        <f>IF(ISBLANK('Data Entry'!$$909), "", 'Data Entry'!$$909)</f>
      </c>
      <c r="BQ909">
        <f>IF(ISBLANK('Data Entry'!$$909), "", 'Data Entry'!$$909)</f>
      </c>
      <c r="BR909">
        <f>IF(ISBLANK('Data Entry'!$$909), "", 'Data Entry'!$$909)</f>
      </c>
      <c r="BS909">
        <f>IF(ISBLANK('Data Entry'!$$909), "", 'Data Entry'!$$909)</f>
      </c>
      <c r="BT909">
        <f>IF(ISBLANK('Data Entry'!$$909), "", 'Data Entry'!$$909)</f>
      </c>
      <c r="BU909">
        <f>IF(ISBLANK('Data Entry'!$$909), "", 'Data Entry'!$$909)</f>
      </c>
      <c r="BV909">
        <f>IF(ISBLANK('Data Entry'!$$909), "", 'Data Entry'!$$909)</f>
      </c>
      <c r="BW909">
        <f>IF(ISBLANK('Data Entry'!$$909), "", 'Data Entry'!$$909)</f>
      </c>
      <c r="BX909">
        <f>IF(ISBLANK('Data Entry'!$$909), "", 'Data Entry'!$$909)</f>
      </c>
      <c r="BY909">
        <f>IF(ISBLANK('Data Entry'!$$909), "", 'Data Entry'!$$909)</f>
      </c>
      <c r="BZ909">
        <f>IF(ISBLANK('Data Entry'!$$909), "", 'Data Entry'!$$909)</f>
      </c>
      <c r="CA909">
        <f>IF(ISBLANK('Data Entry'!$$909), "", 'Data Entry'!$$909)</f>
      </c>
      <c r="CB909">
        <f>IF(ISBLANK('Data Entry'!$$909), "", 'Data Entry'!$$909)</f>
      </c>
      <c r="CC909">
        <f>IF(ISBLANK('Data Entry'!$$909), "", 'Data Entry'!$$909)</f>
      </c>
      <c r="CD909">
        <f>IF(ISBLANK('Data Entry'!$$909), "", 'Data Entry'!$$909)</f>
      </c>
      <c r="CE909">
        <f>IF(ISBLANK('Data Entry'!$$909), "", 'Data Entry'!$$909)</f>
      </c>
      <c r="CF909">
        <f>IF(ISBLANK('Data Entry'!$$909), "", 'Data Entry'!$$909)</f>
      </c>
      <c r="CG909">
        <f>IF(ISBLANK('Data Entry'!$$909), "", 'Data Entry'!$$909)</f>
      </c>
      <c r="CH909">
        <f>IF(ISBLANK('Data Entry'!$$909), "", 'Data Entry'!$$909)</f>
      </c>
      <c r="CI909">
        <f>IF(ISBLANK('Data Entry'!$$909), "", 'Data Entry'!$$909)</f>
      </c>
      <c r="CJ909">
        <f>IF(ISBLANK('Data Entry'!$$909), "", 'Data Entry'!$$909)</f>
      </c>
      <c r="CK909">
        <f>IF(ISBLANK('Data Entry'!$$909), "", 'Data Entry'!$$909)</f>
      </c>
      <c r="CL909">
        <f>IF(ISBLANK('Data Entry'!$$909), "", 'Data Entry'!$$909)</f>
      </c>
      <c r="CM909">
        <f>IF(ISBLANK('Data Entry'!$$909), "", 'Data Entry'!$$909)</f>
      </c>
      <c r="CN909">
        <f>IF(ISBLANK('Data Entry'!$$909), "", 'Data Entry'!$$909)</f>
      </c>
      <c r="CO909">
        <f>IF(ISBLANK('Data Entry'!$$909), "", 'Data Entry'!$$909)</f>
      </c>
      <c r="CP909">
        <f>IF(ISBLANK('Data Entry'!$$909), "", 'Data Entry'!$$909)</f>
      </c>
      <c r="CQ909">
        <f>IF(ISBLANK('Data Entry'!$$909), "", 'Data Entry'!$$909)</f>
      </c>
      <c r="CR909">
        <f>IF(ISBLANK('Data Entry'!$ $909), "", 'Data Entry'!$ $909)</f>
      </c>
      <c r="CS909">
        <f>IF(ISBLANK('Data Entry'!$¡$909), "", 'Data Entry'!$¡$909)</f>
      </c>
      <c r="CT909">
        <f>IF(ISBLANK('Data Entry'!$¢$909), "", 'Data Entry'!$¢$909)</f>
      </c>
      <c r="CU909">
        <f>IF(ISBLANK('Data Entry'!$£$909), "", 'Data Entry'!$£$909)</f>
      </c>
      <c r="CV909">
        <f>IF(ISBLANK('Data Entry'!$¤$909), "", 'Data Entry'!$¤$909)</f>
      </c>
      <c r="CW909">
        <f>IF(ISBLANK('Data Entry'!$¥$909), "", 'Data Entry'!$¥$909)</f>
      </c>
      <c r="CX909">
        <f>IF(ISBLANK('Data Entry'!$¦$909), "", 'Data Entry'!$¦$909)</f>
      </c>
      <c r="CY909">
        <f>IF(ISBLANK('Data Entry'!$§$909), "", 'Data Entry'!$§$909)</f>
      </c>
      <c r="CZ909">
        <f>IF(ISBLANK('Data Entry'!$¨$909), "", 'Data Entry'!$¨$909)</f>
      </c>
      <c r="DA909">
        <f>IF(ISBLANK('Data Entry'!$©$909), "", 'Data Entry'!$©$909)</f>
      </c>
      <c r="DB909">
        <f>IF(ISBLANK('Data Entry'!$ª$909), "", 'Data Entry'!$ª$909)</f>
      </c>
      <c r="DC909">
        <f>IF(ISBLANK('Data Entry'!$«$909), "", 'Data Entry'!$«$909)</f>
      </c>
      <c r="DD909">
        <f>IF(ISBLANK('Data Entry'!$¬$909), "", 'Data Entry'!$¬$909)</f>
      </c>
      <c r="DE909">
        <f>IF(ISBLANK('Data Entry'!$­$909), "", 'Data Entry'!$­$909)</f>
      </c>
      <c r="DF909">
        <f>IF(ISBLANK('Data Entry'!$®$909), "", 'Data Entry'!$®$909)</f>
      </c>
      <c r="DG909">
        <f>IF(ISBLANK('Data Entry'!$¯$909), "", 'Data Entry'!$¯$909)</f>
      </c>
      <c r="DH909">
        <f>IF(ISBLANK('Data Entry'!$°$909), "", 'Data Entry'!$°$909)</f>
      </c>
      <c r="DI909">
        <f>IF(ISBLANK('Data Entry'!$±$909), "", 'Data Entry'!$±$909)</f>
      </c>
      <c r="DJ909">
        <f>IF(ISBLANK('Data Entry'!$²$909), "", 'Data Entry'!$²$909)</f>
      </c>
      <c r="DK909">
        <f>IF(ISBLANK('Data Entry'!$³$909), "", 'Data Entry'!$³$909)</f>
      </c>
      <c r="DL909">
        <f>IF(ISBLANK('Data Entry'!$´$909), "", 'Data Entry'!$´$909)</f>
      </c>
      <c r="DM909">
        <f>IF(ISBLANK('Data Entry'!$µ$909), "", 'Data Entry'!$µ$909)</f>
      </c>
      <c r="DN909">
        <f>IF(ISBLANK('Data Entry'!$¶$909), "", 'Data Entry'!$¶$909)</f>
      </c>
      <c r="DO909">
        <f>IF(ISBLANK('Data Entry'!$·$909), "", 'Data Entry'!$·$909)</f>
      </c>
      <c r="DP909">
        <f>IF(ISBLANK('Data Entry'!$¸$909), "", 'Data Entry'!$¸$909)</f>
      </c>
      <c r="DQ909">
        <f>IF(ISBLANK('Data Entry'!$¹$909), "", 'Data Entry'!$¹$909)</f>
      </c>
      <c r="DR909">
        <f>IF(ISBLANK('Data Entry'!$º$909), "", 'Data Entry'!$º$909)</f>
      </c>
      <c r="DS909">
        <f>IF(ISBLANK('Data Entry'!$»$909), "", 'Data Entry'!$»$909)</f>
      </c>
      <c r="DT909">
        <f>IF(ISBLANK('Data Entry'!$¼$909), "", 'Data Entry'!$¼$909)</f>
      </c>
      <c r="DU909">
        <f>IF(ISBLANK('Data Entry'!$½$909), "", 'Data Entry'!$½$909)</f>
      </c>
      <c r="DV909">
        <f>IF(ISBLANK('Data Entry'!$¾$909), "", 'Data Entry'!$¾$909)</f>
      </c>
      <c r="DW909">
        <f>IF(ISBLANK('Data Entry'!$¿$909), "", 'Data Entry'!$¿$909)</f>
      </c>
      <c r="DX909">
        <f>IF(ISBLANK('Data Entry'!$À$909), "", 'Data Entry'!$À$909)</f>
      </c>
      <c r="DY909">
        <f>IF(ISBLANK('Data Entry'!$Á$909), "", 'Data Entry'!$Á$909)</f>
      </c>
      <c r="DZ909">
        <f>IF(ISBLANK('Data Entry'!$Â$909), "", 'Data Entry'!$Â$909)</f>
      </c>
      <c r="EA909">
        <f>IF(ISBLANK('Data Entry'!$Ã$909), "", 'Data Entry'!$Ã$909)</f>
      </c>
      <c r="EB909">
        <f>IF(ISBLANK('Data Entry'!$Ä$909), "", 'Data Entry'!$Ä$909)</f>
      </c>
      <c r="EC909">
        <f>IF(ISBLANK('Data Entry'!$Å$909), "", 'Data Entry'!$Å$909)</f>
      </c>
      <c r="ED909">
        <f>IF(ISBLANK('Data Entry'!$Æ$909), "", 'Data Entry'!$Æ$909)</f>
      </c>
      <c r="EE909">
        <f>IF(ISBLANK('Data Entry'!$Ç$909), "", 'Data Entry'!$Ç$909)</f>
      </c>
      <c r="EF909">
        <f>IF(ISBLANK('Data Entry'!$È$909), "", 'Data Entry'!$È$909)</f>
      </c>
      <c r="EG909">
        <f>IF(ISBLANK('Data Entry'!$É$909), "", 'Data Entry'!$É$909)</f>
      </c>
      <c r="EH909">
        <f>IF(ISBLANK('Data Entry'!$Ê$909), "", 'Data Entry'!$Ê$909)</f>
      </c>
      <c r="EI909">
        <f>IF(ISBLANK('Data Entry'!$Ë$909), "", 'Data Entry'!$Ë$909)</f>
      </c>
      <c r="EJ909">
        <f>IF(ISBLANK('Data Entry'!$Ì$909), "", 'Data Entry'!$Ì$909)</f>
      </c>
      <c r="EK909">
        <f>IF(ISBLANK('Data Entry'!$Í$909), "", 'Data Entry'!$Í$909)</f>
      </c>
      <c r="EL909">
        <f>IF(ISBLANK('Data Entry'!$Î$909), "", 'Data Entry'!$Î$909)</f>
      </c>
      <c r="EM909">
        <f>IF(ISBLANK('Data Entry'!$Ï$909), "", 'Data Entry'!$Ï$909)</f>
      </c>
      <c r="EN909">
        <f>IF(ISBLANK('Data Entry'!$Ð$909), "", 'Data Entry'!$Ð$909)</f>
      </c>
      <c r="EO909">
        <f>IF(ISBLANK('Data Entry'!$Ñ$909), "", 'Data Entry'!$Ñ$909)</f>
      </c>
      <c r="EP909">
        <f>IF(ISBLANK('Data Entry'!$Ò$909), "", 'Data Entry'!$Ò$909)</f>
      </c>
      <c r="EQ909">
        <f>IF(ISBLANK('Data Entry'!$Ó$909), "", 'Data Entry'!$Ó$909)</f>
      </c>
      <c r="ER909">
        <f>IF(ISBLANK('Data Entry'!$Ô$909), "", 'Data Entry'!$Ô$909)</f>
      </c>
      <c r="ES909">
        <f>IF(ISBLANK('Data Entry'!$Õ$909), "", 'Data Entry'!$Õ$909)</f>
      </c>
      <c r="ET909">
        <f>IF(ISBLANK('Data Entry'!$Ö$909), "", 'Data Entry'!$Ö$909)</f>
      </c>
      <c r="EU909">
        <f>IF(ISBLANK('Data Entry'!$×$909), "", 'Data Entry'!$×$909)</f>
      </c>
      <c r="EV909">
        <f>IF(ISBLANK('Data Entry'!$Ø$909), "", 'Data Entry'!$Ø$909)</f>
      </c>
      <c r="EW909">
        <f>IF(ISBLANK('Data Entry'!$Ù$909), "", 'Data Entry'!$Ù$909)</f>
      </c>
      <c r="EX909">
        <f>IF(ISBLANK('Data Entry'!$Ú$909), "", 'Data Entry'!$Ú$909)</f>
      </c>
      <c r="EY909">
        <f>IF(ISBLANK('Data Entry'!$Û$909), "", 'Data Entry'!$Û$909)</f>
      </c>
      <c r="EZ909">
        <f>IF(ISBLANK('Data Entry'!$Ü$909), "", 'Data Entry'!$Ü$909)</f>
      </c>
      <c r="FA909">
        <f>IF(ISBLANK('Data Entry'!$Ý$909), "", 'Data Entry'!$Ý$909)</f>
      </c>
      <c r="FB909">
        <f>IF(ISBLANK('Data Entry'!$Þ$909), "", 'Data Entry'!$Þ$909)</f>
      </c>
      <c r="FC909">
        <f>IF(ISBLANK('Data Entry'!$ß$909), "", 'Data Entry'!$ß$909)</f>
      </c>
      <c r="FD909">
        <f>IF(ISBLANK('Data Entry'!$à$909), "", 'Data Entry'!$à$909)</f>
      </c>
      <c r="FE909">
        <f>IF(ISBLANK('Data Entry'!$á$909), "", 'Data Entry'!$á$909)</f>
      </c>
      <c r="FF909">
        <f>IF(ISBLANK('Data Entry'!$â$909), "", 'Data Entry'!$â$909)</f>
      </c>
      <c r="FG909">
        <f>IF(ISBLANK('Data Entry'!$ã$909), "", 'Data Entry'!$ã$909)</f>
      </c>
      <c r="FH909">
        <f>IF(ISBLANK('Data Entry'!$ä$909), "", 'Data Entry'!$ä$909)</f>
      </c>
      <c r="FI909">
        <f>IF(ISBLANK('Data Entry'!$å$909), "", 'Data Entry'!$å$909)</f>
      </c>
      <c r="FJ909">
        <f>IF(ISBLANK('Data Entry'!$æ$909), "", 'Data Entry'!$æ$909)</f>
      </c>
      <c r="FK909">
        <f>IF(ISBLANK('Data Entry'!$ç$909), "", 'Data Entry'!$ç$909)</f>
      </c>
      <c r="FL909">
        <f>IF(ISBLANK('Data Entry'!$è$909), "", 'Data Entry'!$è$909)</f>
      </c>
      <c r="FM909">
        <f>IF(ISBLANK('Data Entry'!$é$909), "", 'Data Entry'!$é$909)</f>
      </c>
      <c r="FN909">
        <f>IF(ISBLANK('Data Entry'!$ê$909), "", 'Data Entry'!$ê$909)</f>
      </c>
      <c r="FO909">
        <f>IF(ISBLANK('Data Entry'!$ë$909), "", 'Data Entry'!$ë$909)</f>
      </c>
      <c r="FP909">
        <f>IF(ISBLANK('Data Entry'!$ì$909), "", 'Data Entry'!$ì$909)</f>
      </c>
      <c r="FQ909">
        <f>IF(ISBLANK('Data Entry'!$í$909), "", 'Data Entry'!$í$909)</f>
      </c>
      <c r="FR909">
        <f>IF(ISBLANK('Data Entry'!$î$909), "", 'Data Entry'!$î$909)</f>
      </c>
      <c r="FS909">
        <f>IF(ISBLANK('Data Entry'!$ï$909), "", 'Data Entry'!$ï$909)</f>
      </c>
      <c r="FT909">
        <f>IF(ISBLANK('Data Entry'!$ð$909), "", 'Data Entry'!$ð$909)</f>
      </c>
      <c r="FU909">
        <f>IF(ISBLANK('Data Entry'!$ñ$909), "", 'Data Entry'!$ñ$909)</f>
      </c>
      <c r="FV909">
        <f>IF(ISBLANK('Data Entry'!$ò$909), "", 'Data Entry'!$ò$909)</f>
      </c>
      <c r="FW909">
        <f>IF(ISBLANK('Data Entry'!$ó$909), "", 'Data Entry'!$ó$909)</f>
      </c>
      <c r="FX909">
        <f>IF(ISBLANK('Data Entry'!$ô$909), "", 'Data Entry'!$ô$909)</f>
      </c>
      <c r="FY909">
        <f>IF(ISBLANK('Data Entry'!$õ$909), "", 'Data Entry'!$õ$909)</f>
      </c>
      <c r="FZ909">
        <f>IF(ISBLANK('Data Entry'!$ö$909), "", 'Data Entry'!$ö$909)</f>
      </c>
      <c r="GA909">
        <f>IF(ISBLANK('Data Entry'!$÷$909), "", 'Data Entry'!$÷$909)</f>
      </c>
      <c r="GB909">
        <f>IF(ISBLANK('Data Entry'!$ø$909), "", 'Data Entry'!$ø$909)</f>
      </c>
      <c r="GC909">
        <f>IF(ISBLANK('Data Entry'!$ù$909), "", 'Data Entry'!$ù$909)</f>
      </c>
      <c r="GD909">
        <f>IF(ISBLANK('Data Entry'!$ú$909), "", 'Data Entry'!$ú$909)</f>
      </c>
      <c r="GE909">
        <f>IF(ISBLANK('Data Entry'!$û$909), "", 'Data Entry'!$û$909)</f>
      </c>
      <c r="GF909">
        <f>IF(ISBLANK('Data Entry'!$ü$909), "", 'Data Entry'!$ü$909)</f>
      </c>
      <c r="GG909">
        <f>IF(ISBLANK('Data Entry'!$ý$909), "", 'Data Entry'!$ý$909)</f>
      </c>
      <c r="GH909">
        <f>IF(ISBLANK('Data Entry'!$þ$909), "", 'Data Entry'!$þ$909)</f>
      </c>
      <c r="GI909">
        <f>IF(ISBLANK('Data Entry'!$ÿ$909), "", 'Data Entry'!$ÿ$909)</f>
      </c>
      <c r="GJ909">
        <f>IF(ISBLANK('Data Entry'!$Ā$909), "", 'Data Entry'!$Ā$909)</f>
      </c>
      <c r="GK909">
        <f>IF(ISBLANK('Data Entry'!$ā$909), "", 'Data Entry'!$ā$909)</f>
      </c>
      <c r="GL909">
        <f>IF(ISBLANK('Data Entry'!$Ă$909), "", 'Data Entry'!$Ă$909)</f>
      </c>
      <c r="GM909">
        <f>IF(ISBLANK('Data Entry'!$ă$909), "", 'Data Entry'!$ă$909)</f>
      </c>
      <c r="GN909">
        <f>IF(ISBLANK('Data Entry'!$Ą$909), "", 'Data Entry'!$Ą$909)</f>
      </c>
      <c r="GO909">
        <f>IF(ISBLANK('Data Entry'!$ą$909), "", 'Data Entry'!$ą$909)</f>
      </c>
      <c r="GP909">
        <f>IF(ISBLANK('Data Entry'!$Ć$909), "", 'Data Entry'!$Ć$909)</f>
      </c>
      <c r="GQ909">
        <f>IF(ISBLANK('Data Entry'!$ć$909), "", 'Data Entry'!$ć$909)</f>
      </c>
      <c r="GR909">
        <f>IF(ISBLANK('Data Entry'!$Ĉ$909), "", 'Data Entry'!$Ĉ$909)</f>
      </c>
      <c r="GS909">
        <f>IF(ISBLANK('Data Entry'!$ĉ$909), "", 'Data Entry'!$ĉ$909)</f>
      </c>
      <c r="GT909">
        <f>IF(ISBLANK('Data Entry'!$Ċ$909), "", 'Data Entry'!$Ċ$909)</f>
      </c>
      <c r="GU909">
        <f>IF(ISBLANK('Data Entry'!$ċ$909), "", 'Data Entry'!$ċ$909)</f>
      </c>
      <c r="GV909">
        <f>IF(ISBLANK('Data Entry'!$Č$909), "", 'Data Entry'!$Č$909)</f>
      </c>
      <c r="GW909">
        <f>IF(ISBLANK('Data Entry'!$č$909), "", 'Data Entry'!$č$909)</f>
      </c>
      <c r="GX909">
        <f>IF(ISBLANK('Data Entry'!$Ď$909), "", 'Data Entry'!$Ď$909)</f>
      </c>
      <c r="GY909">
        <f>IF(ISBLANK('Data Entry'!$ď$909), "", 'Data Entry'!$ď$909)</f>
      </c>
      <c r="GZ909">
        <f>IF(ISBLANK('Data Entry'!$Đ$909), "", 'Data Entry'!$Đ$909)</f>
      </c>
      <c r="HA909">
        <f>IF(ISBLANK('Data Entry'!$đ$909), "", 'Data Entry'!$đ$909)</f>
      </c>
      <c r="HB909">
        <f>IF(ISBLANK('Data Entry'!$Ē$909), "", 'Data Entry'!$Ē$909)</f>
      </c>
      <c r="HC909">
        <f>IF(ISBLANK('Data Entry'!$ē$909), "", 'Data Entry'!$ē$909)</f>
      </c>
      <c r="HD909">
        <f>IF(ISBLANK('Data Entry'!$Ĕ$909), "", 'Data Entry'!$Ĕ$909)</f>
      </c>
      <c r="HE909">
        <f>IF(ISBLANK('Data Entry'!$ĕ$909), "", 'Data Entry'!$ĕ$909)</f>
      </c>
      <c r="HF909">
        <f>IF(ISBLANK('Data Entry'!$Ė$909), "", 'Data Entry'!$Ė$909)</f>
      </c>
      <c r="HG909">
        <f>IF(ISBLANK('Data Entry'!$ė$909), "", 'Data Entry'!$ė$909)</f>
      </c>
      <c r="HH909">
        <f>IF(ISBLANK('Data Entry'!$Ę$909), "", 'Data Entry'!$Ę$909)</f>
      </c>
      <c r="HI909">
        <f>IF(ISBLANK('Data Entry'!$ę$909), "", 'Data Entry'!$ę$909)</f>
      </c>
      <c r="HJ909">
        <f>IF(ISBLANK('Data Entry'!$Ě$909), "", 'Data Entry'!$Ě$909)</f>
      </c>
      <c r="HK909">
        <f>IF(ISBLANK('Data Entry'!$ě$909), "", 'Data Entry'!$ě$909)</f>
      </c>
      <c r="HL909">
        <f>IF(ISBLANK('Data Entry'!$Ĝ$909), "", 'Data Entry'!$Ĝ$909)</f>
      </c>
      <c r="HM909">
        <f>IF(ISBLANK('Data Entry'!$ĝ$909), "", 'Data Entry'!$ĝ$909)</f>
      </c>
      <c r="HN909">
        <f>IF(ISBLANK('Data Entry'!$Ğ$909), "", 'Data Entry'!$Ğ$909)</f>
      </c>
      <c r="HO909">
        <f>IF(ISBLANK('Data Entry'!$ğ$909), "", 'Data Entry'!$ğ$909)</f>
      </c>
      <c r="HP909">
        <f>IF(ISBLANK('Data Entry'!$Ġ$909), "", 'Data Entry'!$Ġ$909)</f>
      </c>
      <c r="HQ909">
        <f>IF(ISBLANK('Data Entry'!$ġ$909), "", 'Data Entry'!$ġ$909)</f>
      </c>
      <c r="HR909">
        <f>IF(ISBLANK('Data Entry'!$Ģ$909), "", 'Data Entry'!$Ģ$909)</f>
      </c>
      <c r="HS909">
        <f>IF(ISBLANK('Data Entry'!$ģ$909), "", 'Data Entry'!$ģ$909)</f>
      </c>
      <c r="HT909">
        <f>IF(ISBLANK('Data Entry'!$Ĥ$909), "", 'Data Entry'!$Ĥ$909)</f>
      </c>
      <c r="HU909">
        <f>IF(ISBLANK('Data Entry'!$ĥ$909), "", 'Data Entry'!$ĥ$909)</f>
      </c>
      <c r="HV909">
        <f>IF(ISBLANK('Data Entry'!$Ħ$909), "", 'Data Entry'!$Ħ$909)</f>
      </c>
      <c r="HW909">
        <f>IF(ISBLANK('Data Entry'!$ħ$909), "", 'Data Entry'!$ħ$909)</f>
      </c>
      <c r="HX909">
        <f>IF(ISBLANK('Data Entry'!$Ĩ$909), "", 'Data Entry'!$Ĩ$909)</f>
      </c>
      <c r="HY909">
        <f>IF(ISBLANK('Data Entry'!$ĩ$909), "", 'Data Entry'!$ĩ$909)</f>
      </c>
      <c r="HZ909">
        <f>IF(ISBLANK('Data Entry'!$Ī$909), "", 'Data Entry'!$Ī$909)</f>
      </c>
      <c r="IA909">
        <f>IF(ISBLANK('Data Entry'!$ī$909), "", 'Data Entry'!$ī$909)</f>
      </c>
      <c r="IB909">
        <f>IF(ISBLANK('Data Entry'!$Ĭ$909), "", 'Data Entry'!$Ĭ$909)</f>
      </c>
      <c r="IC909">
        <f>IF(ISBLANK('Data Entry'!$ĭ$909), "", 'Data Entry'!$ĭ$909)</f>
      </c>
      <c r="ID909">
        <f>IF(ISBLANK('Data Entry'!$Į$909), "", 'Data Entry'!$Į$909)</f>
      </c>
      <c r="IE909">
        <f>IF(ISBLANK('Data Entry'!$į$909), "", 'Data Entry'!$į$909)</f>
      </c>
      <c r="IF909">
        <f>IF(ISBLANK('Data Entry'!$İ$909), "", 'Data Entry'!$İ$909)</f>
      </c>
      <c r="IG909">
        <f>IF(ISBLANK('Data Entry'!$ı$909), "", 'Data Entry'!$ı$909)</f>
      </c>
      <c r="IH909">
        <f>IF(ISBLANK('Data Entry'!$Ĳ$909), "", 'Data Entry'!$Ĳ$909)</f>
      </c>
      <c r="II909">
        <f>IF(ISBLANK('Data Entry'!$ĳ$909), "", 'Data Entry'!$ĳ$909)</f>
      </c>
      <c r="IJ909">
        <f>IF(ISBLANK('Data Entry'!$Ĵ$909), "", 'Data Entry'!$Ĵ$909)</f>
      </c>
      <c r="IK909">
        <f>IF(ISBLANK('Data Entry'!$ĵ$909), "", 'Data Entry'!$ĵ$909)</f>
      </c>
      <c r="IL909">
        <f>IF(ISBLANK('Data Entry'!$Ķ$909), "", 'Data Entry'!$Ķ$909)</f>
      </c>
      <c r="IM909">
        <f>IF(ISBLANK('Data Entry'!$ķ$909), "", 'Data Entry'!$ķ$909)</f>
      </c>
      <c r="IN909">
        <f>IF(ISBLANK('Data Entry'!$ĸ$909), "", 'Data Entry'!$ĸ$909)</f>
      </c>
      <c r="IO909">
        <f>IF(ISBLANK('Data Entry'!$Ĺ$909), "", 'Data Entry'!$Ĺ$909)</f>
      </c>
      <c r="IP909">
        <f>IF(ISBLANK('Data Entry'!$ĺ$909), "", 'Data Entry'!$ĺ$909)</f>
      </c>
      <c r="IQ909">
        <f>IF(ISBLANK('Data Entry'!$Ļ$909), "", 'Data Entry'!$Ļ$909)</f>
      </c>
      <c r="IR909">
        <f>IF(ISBLANK('Data Entry'!$ļ$909), "", 'Data Entry'!$ļ$909)</f>
      </c>
      <c r="IS909">
        <f>IF(ISBLANK('Data Entry'!$Ľ$909), "", 'Data Entry'!$Ľ$909)</f>
      </c>
      <c r="IT909">
        <f>IF(ISBLANK('Data Entry'!$ľ$909), "", 'Data Entry'!$ľ$909)</f>
      </c>
    </row>
    <row r="910" spans="1:254" x14ac:dyDescent="0.25">
      <c r="A910">
        <f>IF(ISBLANK('Data Entry'!$A$910), "", 'Data Entry'!$A$910)</f>
      </c>
      <c r="B910">
        <f>IF(ISBLANK('Data Entry'!$B$910), "", 'Data Entry'!$B$910)</f>
      </c>
      <c r="C910">
        <f>IF(ISBLANK('Data Entry'!$C$910), "", 'Data Entry'!$C$910)</f>
      </c>
      <c r="D910">
        <f>IF(ISBLANK('Data Entry'!$D$910), "", 'Data Entry'!$D$910)</f>
      </c>
      <c r="E910">
        <f>IF(ISBLANK('Data Entry'!$E$910), "", 'Data Entry'!$E$910)</f>
      </c>
      <c r="F910">
        <f>IF(ISBLANK('Data Entry'!$F$910), "", 'Data Entry'!$F$910)</f>
      </c>
      <c r="G910">
        <f>IF(ISBLANK('Data Entry'!$G$910), "", 'Data Entry'!$G$910)</f>
      </c>
      <c r="H910">
        <f>IF(ISBLANK('Data Entry'!$H$910), "", 'Data Entry'!$H$910)</f>
      </c>
      <c r="I910">
        <f>IF(ISBLANK('Data Entry'!$I$910), "", 'Data Entry'!$I$910)</f>
      </c>
      <c r="J910">
        <f>IF(ISBLANK('Data Entry'!$J$910), "", 'Data Entry'!$J$910)</f>
      </c>
      <c r="K910">
        <f>IF(ISBLANK('Data Entry'!$K$910), "", 'Data Entry'!$K$910)</f>
      </c>
      <c r="L910">
        <f>IF(ISBLANK('Data Entry'!$L$910), "", 'Data Entry'!$L$910)</f>
      </c>
      <c r="M910">
        <f>IF(ISBLANK('Data Entry'!$M$910), "", 'Data Entry'!$M$910)</f>
      </c>
      <c r="N910">
        <f>IF(ISBLANK('Data Entry'!$N$910), "", 'Data Entry'!$N$910)</f>
      </c>
      <c r="O910">
        <f>IF(ISBLANK('Data Entry'!$O$910), "", 'Data Entry'!$O$910)</f>
      </c>
      <c r="P910">
        <f>IF(ISBLANK('Data Entry'!$P$910), "", 'Data Entry'!$P$910)</f>
      </c>
      <c r="Q910">
        <f>IF(ISBLANK('Data Entry'!$Q$910), "", 'Data Entry'!$Q$910)</f>
      </c>
      <c r="R910">
        <f>IF(ISBLANK('Data Entry'!$R$910), "", 'Data Entry'!$R$910)</f>
      </c>
      <c r="S910">
        <f>IF(ISBLANK('Data Entry'!$S$910), "", 'Data Entry'!$S$910)</f>
      </c>
      <c r="T910">
        <f>IF(ISBLANK('Data Entry'!$T$910), "", 'Data Entry'!$T$910)</f>
      </c>
      <c r="U910">
        <f>IF(ISBLANK('Data Entry'!$U$910), "", 'Data Entry'!$U$910)</f>
      </c>
      <c r="V910">
        <f>IF(ISBLANK('Data Entry'!$V$910), "", 'Data Entry'!$V$910)</f>
      </c>
      <c r="W910">
        <f>IF(ISBLANK('Data Entry'!$W$910), "", 'Data Entry'!$W$910)</f>
      </c>
      <c r="X910">
        <f>IF(ISBLANK('Data Entry'!$X$910), "", 'Data Entry'!$X$910)</f>
      </c>
      <c r="Y910">
        <f>IF(ISBLANK('Data Entry'!$Y$910), "", 'Data Entry'!$Y$910)</f>
      </c>
      <c r="Z910">
        <f>IF(ISBLANK('Data Entry'!$Z$910), "", 'Data Entry'!$Z$910)</f>
      </c>
      <c r="AA910">
        <f>IF(ISBLANK('Data Entry'!$[$910), "", 'Data Entry'!$[$910)</f>
      </c>
      <c r="AB910">
        <f>IF(ISBLANK('Data Entry'!$\$910), "", 'Data Entry'!$\$910)</f>
      </c>
      <c r="AC910">
        <f>IF(ISBLANK('Data Entry'!$]$910), "", 'Data Entry'!$]$910)</f>
      </c>
      <c r="AD910">
        <f>IF(ISBLANK('Data Entry'!$^$910), "", 'Data Entry'!$^$910)</f>
      </c>
      <c r="AE910">
        <f>IF(ISBLANK('Data Entry'!$_$910), "", 'Data Entry'!$_$910)</f>
      </c>
      <c r="AF910">
        <f>IF(ISBLANK('Data Entry'!$`$910), "", 'Data Entry'!$`$910)</f>
      </c>
      <c r="AG910">
        <f>IF(ISBLANK('Data Entry'!$a$910), "", 'Data Entry'!$a$910)</f>
      </c>
      <c r="AH910">
        <f>IF(ISBLANK('Data Entry'!$b$910), "", 'Data Entry'!$b$910)</f>
      </c>
      <c r="AI910">
        <f>IF(ISBLANK('Data Entry'!$c$910), "", 'Data Entry'!$c$910)</f>
      </c>
      <c r="AJ910">
        <f>IF(ISBLANK('Data Entry'!$d$910), "", 'Data Entry'!$d$910)</f>
      </c>
      <c r="AK910">
        <f>IF(ISBLANK('Data Entry'!$e$910), "", 'Data Entry'!$e$910)</f>
      </c>
      <c r="AL910">
        <f>IF(ISBLANK('Data Entry'!$f$910), "", 'Data Entry'!$f$910)</f>
      </c>
      <c r="AM910">
        <f>IF(ISBLANK('Data Entry'!$g$910), "", 'Data Entry'!$g$910)</f>
      </c>
      <c r="AN910">
        <f>IF(ISBLANK('Data Entry'!$h$910), "", 'Data Entry'!$h$910)</f>
      </c>
      <c r="AO910">
        <f>IF(ISBLANK('Data Entry'!$i$910), "", 'Data Entry'!$i$910)</f>
      </c>
      <c r="AP910">
        <f>IF(ISBLANK('Data Entry'!$j$910), "", 'Data Entry'!$j$910)</f>
      </c>
      <c r="AQ910">
        <f>IF(ISBLANK('Data Entry'!$k$910), "", 'Data Entry'!$k$910)</f>
      </c>
      <c r="AR910">
        <f>IF(ISBLANK('Data Entry'!$l$910), "", 'Data Entry'!$l$910)</f>
      </c>
      <c r="AS910">
        <f>IF(ISBLANK('Data Entry'!$m$910), "", 'Data Entry'!$m$910)</f>
      </c>
      <c r="AT910">
        <f>IF(ISBLANK('Data Entry'!$n$910), "", 'Data Entry'!$n$910)</f>
      </c>
      <c r="AU910">
        <f>IF(ISBLANK('Data Entry'!$o$910), "", 'Data Entry'!$o$910)</f>
      </c>
      <c r="AV910">
        <f>IF(ISBLANK('Data Entry'!$p$910), "", 'Data Entry'!$p$910)</f>
      </c>
      <c r="AW910">
        <f>IF(ISBLANK('Data Entry'!$q$910), "", 'Data Entry'!$q$910)</f>
      </c>
      <c r="AX910">
        <f>IF(ISBLANK('Data Entry'!$r$910), "", 'Data Entry'!$r$910)</f>
      </c>
      <c r="AY910">
        <f>IF(ISBLANK('Data Entry'!$s$910), "", 'Data Entry'!$s$910)</f>
      </c>
      <c r="AZ910">
        <f>IF(ISBLANK('Data Entry'!$t$910), "", 'Data Entry'!$t$910)</f>
      </c>
      <c r="BA910">
        <f>IF(ISBLANK('Data Entry'!$u$910), "", 'Data Entry'!$u$910)</f>
      </c>
      <c r="BB910">
        <f>IF(ISBLANK('Data Entry'!$v$910), "", 'Data Entry'!$v$910)</f>
      </c>
      <c r="BC910">
        <f>IF(ISBLANK('Data Entry'!$w$910), "", 'Data Entry'!$w$910)</f>
      </c>
      <c r="BD910">
        <f>IF(ISBLANK('Data Entry'!$x$910), "", 'Data Entry'!$x$910)</f>
      </c>
      <c r="BE910">
        <f>IF(ISBLANK('Data Entry'!$y$910), "", 'Data Entry'!$y$910)</f>
      </c>
      <c r="BF910">
        <f>IF(ISBLANK('Data Entry'!$z$910), "", 'Data Entry'!$z$910)</f>
      </c>
      <c r="BG910">
        <f>IF(ISBLANK('Data Entry'!${$910), "", 'Data Entry'!${$910)</f>
      </c>
      <c r="BH910">
        <f>IF(ISBLANK('Data Entry'!$|$910), "", 'Data Entry'!$|$910)</f>
      </c>
      <c r="BI910">
        <f>IF(ISBLANK('Data Entry'!$}$910), "", 'Data Entry'!$}$910)</f>
      </c>
      <c r="BJ910">
        <f>IF(ISBLANK('Data Entry'!$~$910), "", 'Data Entry'!$~$910)</f>
      </c>
      <c r="BK910">
        <f>IF(ISBLANK('Data Entry'!$$910), "", 'Data Entry'!$$910)</f>
      </c>
      <c r="BL910">
        <f>IF(ISBLANK('Data Entry'!$$910), "", 'Data Entry'!$$910)</f>
      </c>
      <c r="BM910">
        <f>IF(ISBLANK('Data Entry'!$$910), "", 'Data Entry'!$$910)</f>
      </c>
      <c r="BN910">
        <f>IF(ISBLANK('Data Entry'!$$910), "", 'Data Entry'!$$910)</f>
      </c>
      <c r="BO910">
        <f>IF(ISBLANK('Data Entry'!$$910), "", 'Data Entry'!$$910)</f>
      </c>
      <c r="BP910">
        <f>IF(ISBLANK('Data Entry'!$$910), "", 'Data Entry'!$$910)</f>
      </c>
      <c r="BQ910">
        <f>IF(ISBLANK('Data Entry'!$$910), "", 'Data Entry'!$$910)</f>
      </c>
      <c r="BR910">
        <f>IF(ISBLANK('Data Entry'!$$910), "", 'Data Entry'!$$910)</f>
      </c>
      <c r="BS910">
        <f>IF(ISBLANK('Data Entry'!$$910), "", 'Data Entry'!$$910)</f>
      </c>
      <c r="BT910">
        <f>IF(ISBLANK('Data Entry'!$$910), "", 'Data Entry'!$$910)</f>
      </c>
      <c r="BU910">
        <f>IF(ISBLANK('Data Entry'!$$910), "", 'Data Entry'!$$910)</f>
      </c>
      <c r="BV910">
        <f>IF(ISBLANK('Data Entry'!$$910), "", 'Data Entry'!$$910)</f>
      </c>
      <c r="BW910">
        <f>IF(ISBLANK('Data Entry'!$$910), "", 'Data Entry'!$$910)</f>
      </c>
      <c r="BX910">
        <f>IF(ISBLANK('Data Entry'!$$910), "", 'Data Entry'!$$910)</f>
      </c>
      <c r="BY910">
        <f>IF(ISBLANK('Data Entry'!$$910), "", 'Data Entry'!$$910)</f>
      </c>
      <c r="BZ910">
        <f>IF(ISBLANK('Data Entry'!$$910), "", 'Data Entry'!$$910)</f>
      </c>
      <c r="CA910">
        <f>IF(ISBLANK('Data Entry'!$$910), "", 'Data Entry'!$$910)</f>
      </c>
      <c r="CB910">
        <f>IF(ISBLANK('Data Entry'!$$910), "", 'Data Entry'!$$910)</f>
      </c>
      <c r="CC910">
        <f>IF(ISBLANK('Data Entry'!$$910), "", 'Data Entry'!$$910)</f>
      </c>
      <c r="CD910">
        <f>IF(ISBLANK('Data Entry'!$$910), "", 'Data Entry'!$$910)</f>
      </c>
      <c r="CE910">
        <f>IF(ISBLANK('Data Entry'!$$910), "", 'Data Entry'!$$910)</f>
      </c>
      <c r="CF910">
        <f>IF(ISBLANK('Data Entry'!$$910), "", 'Data Entry'!$$910)</f>
      </c>
      <c r="CG910">
        <f>IF(ISBLANK('Data Entry'!$$910), "", 'Data Entry'!$$910)</f>
      </c>
      <c r="CH910">
        <f>IF(ISBLANK('Data Entry'!$$910), "", 'Data Entry'!$$910)</f>
      </c>
      <c r="CI910">
        <f>IF(ISBLANK('Data Entry'!$$910), "", 'Data Entry'!$$910)</f>
      </c>
      <c r="CJ910">
        <f>IF(ISBLANK('Data Entry'!$$910), "", 'Data Entry'!$$910)</f>
      </c>
      <c r="CK910">
        <f>IF(ISBLANK('Data Entry'!$$910), "", 'Data Entry'!$$910)</f>
      </c>
      <c r="CL910">
        <f>IF(ISBLANK('Data Entry'!$$910), "", 'Data Entry'!$$910)</f>
      </c>
      <c r="CM910">
        <f>IF(ISBLANK('Data Entry'!$$910), "", 'Data Entry'!$$910)</f>
      </c>
      <c r="CN910">
        <f>IF(ISBLANK('Data Entry'!$$910), "", 'Data Entry'!$$910)</f>
      </c>
      <c r="CO910">
        <f>IF(ISBLANK('Data Entry'!$$910), "", 'Data Entry'!$$910)</f>
      </c>
      <c r="CP910">
        <f>IF(ISBLANK('Data Entry'!$$910), "", 'Data Entry'!$$910)</f>
      </c>
      <c r="CQ910">
        <f>IF(ISBLANK('Data Entry'!$$910), "", 'Data Entry'!$$910)</f>
      </c>
      <c r="CR910">
        <f>IF(ISBLANK('Data Entry'!$ $910), "", 'Data Entry'!$ $910)</f>
      </c>
      <c r="CS910">
        <f>IF(ISBLANK('Data Entry'!$¡$910), "", 'Data Entry'!$¡$910)</f>
      </c>
      <c r="CT910">
        <f>IF(ISBLANK('Data Entry'!$¢$910), "", 'Data Entry'!$¢$910)</f>
      </c>
      <c r="CU910">
        <f>IF(ISBLANK('Data Entry'!$£$910), "", 'Data Entry'!$£$910)</f>
      </c>
      <c r="CV910">
        <f>IF(ISBLANK('Data Entry'!$¤$910), "", 'Data Entry'!$¤$910)</f>
      </c>
      <c r="CW910">
        <f>IF(ISBLANK('Data Entry'!$¥$910), "", 'Data Entry'!$¥$910)</f>
      </c>
      <c r="CX910">
        <f>IF(ISBLANK('Data Entry'!$¦$910), "", 'Data Entry'!$¦$910)</f>
      </c>
      <c r="CY910">
        <f>IF(ISBLANK('Data Entry'!$§$910), "", 'Data Entry'!$§$910)</f>
      </c>
      <c r="CZ910">
        <f>IF(ISBLANK('Data Entry'!$¨$910), "", 'Data Entry'!$¨$910)</f>
      </c>
      <c r="DA910">
        <f>IF(ISBLANK('Data Entry'!$©$910), "", 'Data Entry'!$©$910)</f>
      </c>
      <c r="DB910">
        <f>IF(ISBLANK('Data Entry'!$ª$910), "", 'Data Entry'!$ª$910)</f>
      </c>
      <c r="DC910">
        <f>IF(ISBLANK('Data Entry'!$«$910), "", 'Data Entry'!$«$910)</f>
      </c>
      <c r="DD910">
        <f>IF(ISBLANK('Data Entry'!$¬$910), "", 'Data Entry'!$¬$910)</f>
      </c>
      <c r="DE910">
        <f>IF(ISBLANK('Data Entry'!$­$910), "", 'Data Entry'!$­$910)</f>
      </c>
      <c r="DF910">
        <f>IF(ISBLANK('Data Entry'!$®$910), "", 'Data Entry'!$®$910)</f>
      </c>
      <c r="DG910">
        <f>IF(ISBLANK('Data Entry'!$¯$910), "", 'Data Entry'!$¯$910)</f>
      </c>
      <c r="DH910">
        <f>IF(ISBLANK('Data Entry'!$°$910), "", 'Data Entry'!$°$910)</f>
      </c>
      <c r="DI910">
        <f>IF(ISBLANK('Data Entry'!$±$910), "", 'Data Entry'!$±$910)</f>
      </c>
      <c r="DJ910">
        <f>IF(ISBLANK('Data Entry'!$²$910), "", 'Data Entry'!$²$910)</f>
      </c>
      <c r="DK910">
        <f>IF(ISBLANK('Data Entry'!$³$910), "", 'Data Entry'!$³$910)</f>
      </c>
      <c r="DL910">
        <f>IF(ISBLANK('Data Entry'!$´$910), "", 'Data Entry'!$´$910)</f>
      </c>
      <c r="DM910">
        <f>IF(ISBLANK('Data Entry'!$µ$910), "", 'Data Entry'!$µ$910)</f>
      </c>
      <c r="DN910">
        <f>IF(ISBLANK('Data Entry'!$¶$910), "", 'Data Entry'!$¶$910)</f>
      </c>
      <c r="DO910">
        <f>IF(ISBLANK('Data Entry'!$·$910), "", 'Data Entry'!$·$910)</f>
      </c>
      <c r="DP910">
        <f>IF(ISBLANK('Data Entry'!$¸$910), "", 'Data Entry'!$¸$910)</f>
      </c>
      <c r="DQ910">
        <f>IF(ISBLANK('Data Entry'!$¹$910), "", 'Data Entry'!$¹$910)</f>
      </c>
      <c r="DR910">
        <f>IF(ISBLANK('Data Entry'!$º$910), "", 'Data Entry'!$º$910)</f>
      </c>
      <c r="DS910">
        <f>IF(ISBLANK('Data Entry'!$»$910), "", 'Data Entry'!$»$910)</f>
      </c>
      <c r="DT910">
        <f>IF(ISBLANK('Data Entry'!$¼$910), "", 'Data Entry'!$¼$910)</f>
      </c>
      <c r="DU910">
        <f>IF(ISBLANK('Data Entry'!$½$910), "", 'Data Entry'!$½$910)</f>
      </c>
      <c r="DV910">
        <f>IF(ISBLANK('Data Entry'!$¾$910), "", 'Data Entry'!$¾$910)</f>
      </c>
      <c r="DW910">
        <f>IF(ISBLANK('Data Entry'!$¿$910), "", 'Data Entry'!$¿$910)</f>
      </c>
      <c r="DX910">
        <f>IF(ISBLANK('Data Entry'!$À$910), "", 'Data Entry'!$À$910)</f>
      </c>
      <c r="DY910">
        <f>IF(ISBLANK('Data Entry'!$Á$910), "", 'Data Entry'!$Á$910)</f>
      </c>
      <c r="DZ910">
        <f>IF(ISBLANK('Data Entry'!$Â$910), "", 'Data Entry'!$Â$910)</f>
      </c>
      <c r="EA910">
        <f>IF(ISBLANK('Data Entry'!$Ã$910), "", 'Data Entry'!$Ã$910)</f>
      </c>
      <c r="EB910">
        <f>IF(ISBLANK('Data Entry'!$Ä$910), "", 'Data Entry'!$Ä$910)</f>
      </c>
      <c r="EC910">
        <f>IF(ISBLANK('Data Entry'!$Å$910), "", 'Data Entry'!$Å$910)</f>
      </c>
      <c r="ED910">
        <f>IF(ISBLANK('Data Entry'!$Æ$910), "", 'Data Entry'!$Æ$910)</f>
      </c>
      <c r="EE910">
        <f>IF(ISBLANK('Data Entry'!$Ç$910), "", 'Data Entry'!$Ç$910)</f>
      </c>
      <c r="EF910">
        <f>IF(ISBLANK('Data Entry'!$È$910), "", 'Data Entry'!$È$910)</f>
      </c>
      <c r="EG910">
        <f>IF(ISBLANK('Data Entry'!$É$910), "", 'Data Entry'!$É$910)</f>
      </c>
      <c r="EH910">
        <f>IF(ISBLANK('Data Entry'!$Ê$910), "", 'Data Entry'!$Ê$910)</f>
      </c>
      <c r="EI910">
        <f>IF(ISBLANK('Data Entry'!$Ë$910), "", 'Data Entry'!$Ë$910)</f>
      </c>
      <c r="EJ910">
        <f>IF(ISBLANK('Data Entry'!$Ì$910), "", 'Data Entry'!$Ì$910)</f>
      </c>
      <c r="EK910">
        <f>IF(ISBLANK('Data Entry'!$Í$910), "", 'Data Entry'!$Í$910)</f>
      </c>
      <c r="EL910">
        <f>IF(ISBLANK('Data Entry'!$Î$910), "", 'Data Entry'!$Î$910)</f>
      </c>
      <c r="EM910">
        <f>IF(ISBLANK('Data Entry'!$Ï$910), "", 'Data Entry'!$Ï$910)</f>
      </c>
      <c r="EN910">
        <f>IF(ISBLANK('Data Entry'!$Ð$910), "", 'Data Entry'!$Ð$910)</f>
      </c>
      <c r="EO910">
        <f>IF(ISBLANK('Data Entry'!$Ñ$910), "", 'Data Entry'!$Ñ$910)</f>
      </c>
      <c r="EP910">
        <f>IF(ISBLANK('Data Entry'!$Ò$910), "", 'Data Entry'!$Ò$910)</f>
      </c>
      <c r="EQ910">
        <f>IF(ISBLANK('Data Entry'!$Ó$910), "", 'Data Entry'!$Ó$910)</f>
      </c>
      <c r="ER910">
        <f>IF(ISBLANK('Data Entry'!$Ô$910), "", 'Data Entry'!$Ô$910)</f>
      </c>
      <c r="ES910">
        <f>IF(ISBLANK('Data Entry'!$Õ$910), "", 'Data Entry'!$Õ$910)</f>
      </c>
      <c r="ET910">
        <f>IF(ISBLANK('Data Entry'!$Ö$910), "", 'Data Entry'!$Ö$910)</f>
      </c>
      <c r="EU910">
        <f>IF(ISBLANK('Data Entry'!$×$910), "", 'Data Entry'!$×$910)</f>
      </c>
      <c r="EV910">
        <f>IF(ISBLANK('Data Entry'!$Ø$910), "", 'Data Entry'!$Ø$910)</f>
      </c>
      <c r="EW910">
        <f>IF(ISBLANK('Data Entry'!$Ù$910), "", 'Data Entry'!$Ù$910)</f>
      </c>
      <c r="EX910">
        <f>IF(ISBLANK('Data Entry'!$Ú$910), "", 'Data Entry'!$Ú$910)</f>
      </c>
      <c r="EY910">
        <f>IF(ISBLANK('Data Entry'!$Û$910), "", 'Data Entry'!$Û$910)</f>
      </c>
      <c r="EZ910">
        <f>IF(ISBLANK('Data Entry'!$Ü$910), "", 'Data Entry'!$Ü$910)</f>
      </c>
      <c r="FA910">
        <f>IF(ISBLANK('Data Entry'!$Ý$910), "", 'Data Entry'!$Ý$910)</f>
      </c>
      <c r="FB910">
        <f>IF(ISBLANK('Data Entry'!$Þ$910), "", 'Data Entry'!$Þ$910)</f>
      </c>
      <c r="FC910">
        <f>IF(ISBLANK('Data Entry'!$ß$910), "", 'Data Entry'!$ß$910)</f>
      </c>
      <c r="FD910">
        <f>IF(ISBLANK('Data Entry'!$à$910), "", 'Data Entry'!$à$910)</f>
      </c>
      <c r="FE910">
        <f>IF(ISBLANK('Data Entry'!$á$910), "", 'Data Entry'!$á$910)</f>
      </c>
      <c r="FF910">
        <f>IF(ISBLANK('Data Entry'!$â$910), "", 'Data Entry'!$â$910)</f>
      </c>
      <c r="FG910">
        <f>IF(ISBLANK('Data Entry'!$ã$910), "", 'Data Entry'!$ã$910)</f>
      </c>
      <c r="FH910">
        <f>IF(ISBLANK('Data Entry'!$ä$910), "", 'Data Entry'!$ä$910)</f>
      </c>
      <c r="FI910">
        <f>IF(ISBLANK('Data Entry'!$å$910), "", 'Data Entry'!$å$910)</f>
      </c>
      <c r="FJ910">
        <f>IF(ISBLANK('Data Entry'!$æ$910), "", 'Data Entry'!$æ$910)</f>
      </c>
      <c r="FK910">
        <f>IF(ISBLANK('Data Entry'!$ç$910), "", 'Data Entry'!$ç$910)</f>
      </c>
      <c r="FL910">
        <f>IF(ISBLANK('Data Entry'!$è$910), "", 'Data Entry'!$è$910)</f>
      </c>
      <c r="FM910">
        <f>IF(ISBLANK('Data Entry'!$é$910), "", 'Data Entry'!$é$910)</f>
      </c>
      <c r="FN910">
        <f>IF(ISBLANK('Data Entry'!$ê$910), "", 'Data Entry'!$ê$910)</f>
      </c>
      <c r="FO910">
        <f>IF(ISBLANK('Data Entry'!$ë$910), "", 'Data Entry'!$ë$910)</f>
      </c>
      <c r="FP910">
        <f>IF(ISBLANK('Data Entry'!$ì$910), "", 'Data Entry'!$ì$910)</f>
      </c>
      <c r="FQ910">
        <f>IF(ISBLANK('Data Entry'!$í$910), "", 'Data Entry'!$í$910)</f>
      </c>
      <c r="FR910">
        <f>IF(ISBLANK('Data Entry'!$î$910), "", 'Data Entry'!$î$910)</f>
      </c>
      <c r="FS910">
        <f>IF(ISBLANK('Data Entry'!$ï$910), "", 'Data Entry'!$ï$910)</f>
      </c>
      <c r="FT910">
        <f>IF(ISBLANK('Data Entry'!$ð$910), "", 'Data Entry'!$ð$910)</f>
      </c>
      <c r="FU910">
        <f>IF(ISBLANK('Data Entry'!$ñ$910), "", 'Data Entry'!$ñ$910)</f>
      </c>
      <c r="FV910">
        <f>IF(ISBLANK('Data Entry'!$ò$910), "", 'Data Entry'!$ò$910)</f>
      </c>
      <c r="FW910">
        <f>IF(ISBLANK('Data Entry'!$ó$910), "", 'Data Entry'!$ó$910)</f>
      </c>
      <c r="FX910">
        <f>IF(ISBLANK('Data Entry'!$ô$910), "", 'Data Entry'!$ô$910)</f>
      </c>
      <c r="FY910">
        <f>IF(ISBLANK('Data Entry'!$õ$910), "", 'Data Entry'!$õ$910)</f>
      </c>
      <c r="FZ910">
        <f>IF(ISBLANK('Data Entry'!$ö$910), "", 'Data Entry'!$ö$910)</f>
      </c>
      <c r="GA910">
        <f>IF(ISBLANK('Data Entry'!$÷$910), "", 'Data Entry'!$÷$910)</f>
      </c>
      <c r="GB910">
        <f>IF(ISBLANK('Data Entry'!$ø$910), "", 'Data Entry'!$ø$910)</f>
      </c>
      <c r="GC910">
        <f>IF(ISBLANK('Data Entry'!$ù$910), "", 'Data Entry'!$ù$910)</f>
      </c>
      <c r="GD910">
        <f>IF(ISBLANK('Data Entry'!$ú$910), "", 'Data Entry'!$ú$910)</f>
      </c>
      <c r="GE910">
        <f>IF(ISBLANK('Data Entry'!$û$910), "", 'Data Entry'!$û$910)</f>
      </c>
      <c r="GF910">
        <f>IF(ISBLANK('Data Entry'!$ü$910), "", 'Data Entry'!$ü$910)</f>
      </c>
      <c r="GG910">
        <f>IF(ISBLANK('Data Entry'!$ý$910), "", 'Data Entry'!$ý$910)</f>
      </c>
      <c r="GH910">
        <f>IF(ISBLANK('Data Entry'!$þ$910), "", 'Data Entry'!$þ$910)</f>
      </c>
      <c r="GI910">
        <f>IF(ISBLANK('Data Entry'!$ÿ$910), "", 'Data Entry'!$ÿ$910)</f>
      </c>
      <c r="GJ910">
        <f>IF(ISBLANK('Data Entry'!$Ā$910), "", 'Data Entry'!$Ā$910)</f>
      </c>
      <c r="GK910">
        <f>IF(ISBLANK('Data Entry'!$ā$910), "", 'Data Entry'!$ā$910)</f>
      </c>
      <c r="GL910">
        <f>IF(ISBLANK('Data Entry'!$Ă$910), "", 'Data Entry'!$Ă$910)</f>
      </c>
      <c r="GM910">
        <f>IF(ISBLANK('Data Entry'!$ă$910), "", 'Data Entry'!$ă$910)</f>
      </c>
      <c r="GN910">
        <f>IF(ISBLANK('Data Entry'!$Ą$910), "", 'Data Entry'!$Ą$910)</f>
      </c>
      <c r="GO910">
        <f>IF(ISBLANK('Data Entry'!$ą$910), "", 'Data Entry'!$ą$910)</f>
      </c>
      <c r="GP910">
        <f>IF(ISBLANK('Data Entry'!$Ć$910), "", 'Data Entry'!$Ć$910)</f>
      </c>
      <c r="GQ910">
        <f>IF(ISBLANK('Data Entry'!$ć$910), "", 'Data Entry'!$ć$910)</f>
      </c>
      <c r="GR910">
        <f>IF(ISBLANK('Data Entry'!$Ĉ$910), "", 'Data Entry'!$Ĉ$910)</f>
      </c>
      <c r="GS910">
        <f>IF(ISBLANK('Data Entry'!$ĉ$910), "", 'Data Entry'!$ĉ$910)</f>
      </c>
      <c r="GT910">
        <f>IF(ISBLANK('Data Entry'!$Ċ$910), "", 'Data Entry'!$Ċ$910)</f>
      </c>
      <c r="GU910">
        <f>IF(ISBLANK('Data Entry'!$ċ$910), "", 'Data Entry'!$ċ$910)</f>
      </c>
      <c r="GV910">
        <f>IF(ISBLANK('Data Entry'!$Č$910), "", 'Data Entry'!$Č$910)</f>
      </c>
      <c r="GW910">
        <f>IF(ISBLANK('Data Entry'!$č$910), "", 'Data Entry'!$č$910)</f>
      </c>
      <c r="GX910">
        <f>IF(ISBLANK('Data Entry'!$Ď$910), "", 'Data Entry'!$Ď$910)</f>
      </c>
      <c r="GY910">
        <f>IF(ISBLANK('Data Entry'!$ď$910), "", 'Data Entry'!$ď$910)</f>
      </c>
      <c r="GZ910">
        <f>IF(ISBLANK('Data Entry'!$Đ$910), "", 'Data Entry'!$Đ$910)</f>
      </c>
      <c r="HA910">
        <f>IF(ISBLANK('Data Entry'!$đ$910), "", 'Data Entry'!$đ$910)</f>
      </c>
      <c r="HB910">
        <f>IF(ISBLANK('Data Entry'!$Ē$910), "", 'Data Entry'!$Ē$910)</f>
      </c>
      <c r="HC910">
        <f>IF(ISBLANK('Data Entry'!$ē$910), "", 'Data Entry'!$ē$910)</f>
      </c>
      <c r="HD910">
        <f>IF(ISBLANK('Data Entry'!$Ĕ$910), "", 'Data Entry'!$Ĕ$910)</f>
      </c>
      <c r="HE910">
        <f>IF(ISBLANK('Data Entry'!$ĕ$910), "", 'Data Entry'!$ĕ$910)</f>
      </c>
      <c r="HF910">
        <f>IF(ISBLANK('Data Entry'!$Ė$910), "", 'Data Entry'!$Ė$910)</f>
      </c>
      <c r="HG910">
        <f>IF(ISBLANK('Data Entry'!$ė$910), "", 'Data Entry'!$ė$910)</f>
      </c>
      <c r="HH910">
        <f>IF(ISBLANK('Data Entry'!$Ę$910), "", 'Data Entry'!$Ę$910)</f>
      </c>
      <c r="HI910">
        <f>IF(ISBLANK('Data Entry'!$ę$910), "", 'Data Entry'!$ę$910)</f>
      </c>
      <c r="HJ910">
        <f>IF(ISBLANK('Data Entry'!$Ě$910), "", 'Data Entry'!$Ě$910)</f>
      </c>
      <c r="HK910">
        <f>IF(ISBLANK('Data Entry'!$ě$910), "", 'Data Entry'!$ě$910)</f>
      </c>
      <c r="HL910">
        <f>IF(ISBLANK('Data Entry'!$Ĝ$910), "", 'Data Entry'!$Ĝ$910)</f>
      </c>
      <c r="HM910">
        <f>IF(ISBLANK('Data Entry'!$ĝ$910), "", 'Data Entry'!$ĝ$910)</f>
      </c>
      <c r="HN910">
        <f>IF(ISBLANK('Data Entry'!$Ğ$910), "", 'Data Entry'!$Ğ$910)</f>
      </c>
      <c r="HO910">
        <f>IF(ISBLANK('Data Entry'!$ğ$910), "", 'Data Entry'!$ğ$910)</f>
      </c>
      <c r="HP910">
        <f>IF(ISBLANK('Data Entry'!$Ġ$910), "", 'Data Entry'!$Ġ$910)</f>
      </c>
      <c r="HQ910">
        <f>IF(ISBLANK('Data Entry'!$ġ$910), "", 'Data Entry'!$ġ$910)</f>
      </c>
      <c r="HR910">
        <f>IF(ISBLANK('Data Entry'!$Ģ$910), "", 'Data Entry'!$Ģ$910)</f>
      </c>
      <c r="HS910">
        <f>IF(ISBLANK('Data Entry'!$ģ$910), "", 'Data Entry'!$ģ$910)</f>
      </c>
      <c r="HT910">
        <f>IF(ISBLANK('Data Entry'!$Ĥ$910), "", 'Data Entry'!$Ĥ$910)</f>
      </c>
      <c r="HU910">
        <f>IF(ISBLANK('Data Entry'!$ĥ$910), "", 'Data Entry'!$ĥ$910)</f>
      </c>
      <c r="HV910">
        <f>IF(ISBLANK('Data Entry'!$Ħ$910), "", 'Data Entry'!$Ħ$910)</f>
      </c>
      <c r="HW910">
        <f>IF(ISBLANK('Data Entry'!$ħ$910), "", 'Data Entry'!$ħ$910)</f>
      </c>
      <c r="HX910">
        <f>IF(ISBLANK('Data Entry'!$Ĩ$910), "", 'Data Entry'!$Ĩ$910)</f>
      </c>
      <c r="HY910">
        <f>IF(ISBLANK('Data Entry'!$ĩ$910), "", 'Data Entry'!$ĩ$910)</f>
      </c>
      <c r="HZ910">
        <f>IF(ISBLANK('Data Entry'!$Ī$910), "", 'Data Entry'!$Ī$910)</f>
      </c>
      <c r="IA910">
        <f>IF(ISBLANK('Data Entry'!$ī$910), "", 'Data Entry'!$ī$910)</f>
      </c>
      <c r="IB910">
        <f>IF(ISBLANK('Data Entry'!$Ĭ$910), "", 'Data Entry'!$Ĭ$910)</f>
      </c>
      <c r="IC910">
        <f>IF(ISBLANK('Data Entry'!$ĭ$910), "", 'Data Entry'!$ĭ$910)</f>
      </c>
      <c r="ID910">
        <f>IF(ISBLANK('Data Entry'!$Į$910), "", 'Data Entry'!$Į$910)</f>
      </c>
      <c r="IE910">
        <f>IF(ISBLANK('Data Entry'!$į$910), "", 'Data Entry'!$į$910)</f>
      </c>
      <c r="IF910">
        <f>IF(ISBLANK('Data Entry'!$İ$910), "", 'Data Entry'!$İ$910)</f>
      </c>
      <c r="IG910">
        <f>IF(ISBLANK('Data Entry'!$ı$910), "", 'Data Entry'!$ı$910)</f>
      </c>
      <c r="IH910">
        <f>IF(ISBLANK('Data Entry'!$Ĳ$910), "", 'Data Entry'!$Ĳ$910)</f>
      </c>
      <c r="II910">
        <f>IF(ISBLANK('Data Entry'!$ĳ$910), "", 'Data Entry'!$ĳ$910)</f>
      </c>
      <c r="IJ910">
        <f>IF(ISBLANK('Data Entry'!$Ĵ$910), "", 'Data Entry'!$Ĵ$910)</f>
      </c>
      <c r="IK910">
        <f>IF(ISBLANK('Data Entry'!$ĵ$910), "", 'Data Entry'!$ĵ$910)</f>
      </c>
      <c r="IL910">
        <f>IF(ISBLANK('Data Entry'!$Ķ$910), "", 'Data Entry'!$Ķ$910)</f>
      </c>
      <c r="IM910">
        <f>IF(ISBLANK('Data Entry'!$ķ$910), "", 'Data Entry'!$ķ$910)</f>
      </c>
      <c r="IN910">
        <f>IF(ISBLANK('Data Entry'!$ĸ$910), "", 'Data Entry'!$ĸ$910)</f>
      </c>
      <c r="IO910">
        <f>IF(ISBLANK('Data Entry'!$Ĺ$910), "", 'Data Entry'!$Ĺ$910)</f>
      </c>
      <c r="IP910">
        <f>IF(ISBLANK('Data Entry'!$ĺ$910), "", 'Data Entry'!$ĺ$910)</f>
      </c>
      <c r="IQ910">
        <f>IF(ISBLANK('Data Entry'!$Ļ$910), "", 'Data Entry'!$Ļ$910)</f>
      </c>
      <c r="IR910">
        <f>IF(ISBLANK('Data Entry'!$ļ$910), "", 'Data Entry'!$ļ$910)</f>
      </c>
      <c r="IS910">
        <f>IF(ISBLANK('Data Entry'!$Ľ$910), "", 'Data Entry'!$Ľ$910)</f>
      </c>
      <c r="IT910">
        <f>IF(ISBLANK('Data Entry'!$ľ$910), "", 'Data Entry'!$ľ$910)</f>
      </c>
    </row>
    <row r="911" spans="1:254" x14ac:dyDescent="0.25">
      <c r="A911">
        <f>IF(ISBLANK('Data Entry'!$A$911), "", 'Data Entry'!$A$911)</f>
      </c>
      <c r="B911">
        <f>IF(ISBLANK('Data Entry'!$B$911), "", 'Data Entry'!$B$911)</f>
      </c>
      <c r="C911">
        <f>IF(ISBLANK('Data Entry'!$C$911), "", 'Data Entry'!$C$911)</f>
      </c>
      <c r="D911">
        <f>IF(ISBLANK('Data Entry'!$D$911), "", 'Data Entry'!$D$911)</f>
      </c>
      <c r="E911">
        <f>IF(ISBLANK('Data Entry'!$E$911), "", 'Data Entry'!$E$911)</f>
      </c>
      <c r="F911">
        <f>IF(ISBLANK('Data Entry'!$F$911), "", 'Data Entry'!$F$911)</f>
      </c>
      <c r="G911">
        <f>IF(ISBLANK('Data Entry'!$G$911), "", 'Data Entry'!$G$911)</f>
      </c>
      <c r="H911">
        <f>IF(ISBLANK('Data Entry'!$H$911), "", 'Data Entry'!$H$911)</f>
      </c>
      <c r="I911">
        <f>IF(ISBLANK('Data Entry'!$I$911), "", 'Data Entry'!$I$911)</f>
      </c>
      <c r="J911">
        <f>IF(ISBLANK('Data Entry'!$J$911), "", 'Data Entry'!$J$911)</f>
      </c>
      <c r="K911">
        <f>IF(ISBLANK('Data Entry'!$K$911), "", 'Data Entry'!$K$911)</f>
      </c>
      <c r="L911">
        <f>IF(ISBLANK('Data Entry'!$L$911), "", 'Data Entry'!$L$911)</f>
      </c>
      <c r="M911">
        <f>IF(ISBLANK('Data Entry'!$M$911), "", 'Data Entry'!$M$911)</f>
      </c>
      <c r="N911">
        <f>IF(ISBLANK('Data Entry'!$N$911), "", 'Data Entry'!$N$911)</f>
      </c>
      <c r="O911">
        <f>IF(ISBLANK('Data Entry'!$O$911), "", 'Data Entry'!$O$911)</f>
      </c>
      <c r="P911">
        <f>IF(ISBLANK('Data Entry'!$P$911), "", 'Data Entry'!$P$911)</f>
      </c>
      <c r="Q911">
        <f>IF(ISBLANK('Data Entry'!$Q$911), "", 'Data Entry'!$Q$911)</f>
      </c>
      <c r="R911">
        <f>IF(ISBLANK('Data Entry'!$R$911), "", 'Data Entry'!$R$911)</f>
      </c>
      <c r="S911">
        <f>IF(ISBLANK('Data Entry'!$S$911), "", 'Data Entry'!$S$911)</f>
      </c>
      <c r="T911">
        <f>IF(ISBLANK('Data Entry'!$T$911), "", 'Data Entry'!$T$911)</f>
      </c>
      <c r="U911">
        <f>IF(ISBLANK('Data Entry'!$U$911), "", 'Data Entry'!$U$911)</f>
      </c>
      <c r="V911">
        <f>IF(ISBLANK('Data Entry'!$V$911), "", 'Data Entry'!$V$911)</f>
      </c>
      <c r="W911">
        <f>IF(ISBLANK('Data Entry'!$W$911), "", 'Data Entry'!$W$911)</f>
      </c>
      <c r="X911">
        <f>IF(ISBLANK('Data Entry'!$X$911), "", 'Data Entry'!$X$911)</f>
      </c>
      <c r="Y911">
        <f>IF(ISBLANK('Data Entry'!$Y$911), "", 'Data Entry'!$Y$911)</f>
      </c>
      <c r="Z911">
        <f>IF(ISBLANK('Data Entry'!$Z$911), "", 'Data Entry'!$Z$911)</f>
      </c>
      <c r="AA911">
        <f>IF(ISBLANK('Data Entry'!$[$911), "", 'Data Entry'!$[$911)</f>
      </c>
      <c r="AB911">
        <f>IF(ISBLANK('Data Entry'!$\$911), "", 'Data Entry'!$\$911)</f>
      </c>
      <c r="AC911">
        <f>IF(ISBLANK('Data Entry'!$]$911), "", 'Data Entry'!$]$911)</f>
      </c>
      <c r="AD911">
        <f>IF(ISBLANK('Data Entry'!$^$911), "", 'Data Entry'!$^$911)</f>
      </c>
      <c r="AE911">
        <f>IF(ISBLANK('Data Entry'!$_$911), "", 'Data Entry'!$_$911)</f>
      </c>
      <c r="AF911">
        <f>IF(ISBLANK('Data Entry'!$`$911), "", 'Data Entry'!$`$911)</f>
      </c>
      <c r="AG911">
        <f>IF(ISBLANK('Data Entry'!$a$911), "", 'Data Entry'!$a$911)</f>
      </c>
      <c r="AH911">
        <f>IF(ISBLANK('Data Entry'!$b$911), "", 'Data Entry'!$b$911)</f>
      </c>
      <c r="AI911">
        <f>IF(ISBLANK('Data Entry'!$c$911), "", 'Data Entry'!$c$911)</f>
      </c>
      <c r="AJ911">
        <f>IF(ISBLANK('Data Entry'!$d$911), "", 'Data Entry'!$d$911)</f>
      </c>
      <c r="AK911">
        <f>IF(ISBLANK('Data Entry'!$e$911), "", 'Data Entry'!$e$911)</f>
      </c>
      <c r="AL911">
        <f>IF(ISBLANK('Data Entry'!$f$911), "", 'Data Entry'!$f$911)</f>
      </c>
      <c r="AM911">
        <f>IF(ISBLANK('Data Entry'!$g$911), "", 'Data Entry'!$g$911)</f>
      </c>
      <c r="AN911">
        <f>IF(ISBLANK('Data Entry'!$h$911), "", 'Data Entry'!$h$911)</f>
      </c>
      <c r="AO911">
        <f>IF(ISBLANK('Data Entry'!$i$911), "", 'Data Entry'!$i$911)</f>
      </c>
      <c r="AP911">
        <f>IF(ISBLANK('Data Entry'!$j$911), "", 'Data Entry'!$j$911)</f>
      </c>
      <c r="AQ911">
        <f>IF(ISBLANK('Data Entry'!$k$911), "", 'Data Entry'!$k$911)</f>
      </c>
      <c r="AR911">
        <f>IF(ISBLANK('Data Entry'!$l$911), "", 'Data Entry'!$l$911)</f>
      </c>
      <c r="AS911">
        <f>IF(ISBLANK('Data Entry'!$m$911), "", 'Data Entry'!$m$911)</f>
      </c>
      <c r="AT911">
        <f>IF(ISBLANK('Data Entry'!$n$911), "", 'Data Entry'!$n$911)</f>
      </c>
      <c r="AU911">
        <f>IF(ISBLANK('Data Entry'!$o$911), "", 'Data Entry'!$o$911)</f>
      </c>
      <c r="AV911">
        <f>IF(ISBLANK('Data Entry'!$p$911), "", 'Data Entry'!$p$911)</f>
      </c>
      <c r="AW911">
        <f>IF(ISBLANK('Data Entry'!$q$911), "", 'Data Entry'!$q$911)</f>
      </c>
      <c r="AX911">
        <f>IF(ISBLANK('Data Entry'!$r$911), "", 'Data Entry'!$r$911)</f>
      </c>
      <c r="AY911">
        <f>IF(ISBLANK('Data Entry'!$s$911), "", 'Data Entry'!$s$911)</f>
      </c>
      <c r="AZ911">
        <f>IF(ISBLANK('Data Entry'!$t$911), "", 'Data Entry'!$t$911)</f>
      </c>
      <c r="BA911">
        <f>IF(ISBLANK('Data Entry'!$u$911), "", 'Data Entry'!$u$911)</f>
      </c>
      <c r="BB911">
        <f>IF(ISBLANK('Data Entry'!$v$911), "", 'Data Entry'!$v$911)</f>
      </c>
      <c r="BC911">
        <f>IF(ISBLANK('Data Entry'!$w$911), "", 'Data Entry'!$w$911)</f>
      </c>
      <c r="BD911">
        <f>IF(ISBLANK('Data Entry'!$x$911), "", 'Data Entry'!$x$911)</f>
      </c>
      <c r="BE911">
        <f>IF(ISBLANK('Data Entry'!$y$911), "", 'Data Entry'!$y$911)</f>
      </c>
      <c r="BF911">
        <f>IF(ISBLANK('Data Entry'!$z$911), "", 'Data Entry'!$z$911)</f>
      </c>
      <c r="BG911">
        <f>IF(ISBLANK('Data Entry'!${$911), "", 'Data Entry'!${$911)</f>
      </c>
      <c r="BH911">
        <f>IF(ISBLANK('Data Entry'!$|$911), "", 'Data Entry'!$|$911)</f>
      </c>
      <c r="BI911">
        <f>IF(ISBLANK('Data Entry'!$}$911), "", 'Data Entry'!$}$911)</f>
      </c>
      <c r="BJ911">
        <f>IF(ISBLANK('Data Entry'!$~$911), "", 'Data Entry'!$~$911)</f>
      </c>
      <c r="BK911">
        <f>IF(ISBLANK('Data Entry'!$$911), "", 'Data Entry'!$$911)</f>
      </c>
      <c r="BL911">
        <f>IF(ISBLANK('Data Entry'!$$911), "", 'Data Entry'!$$911)</f>
      </c>
      <c r="BM911">
        <f>IF(ISBLANK('Data Entry'!$$911), "", 'Data Entry'!$$911)</f>
      </c>
      <c r="BN911">
        <f>IF(ISBLANK('Data Entry'!$$911), "", 'Data Entry'!$$911)</f>
      </c>
      <c r="BO911">
        <f>IF(ISBLANK('Data Entry'!$$911), "", 'Data Entry'!$$911)</f>
      </c>
      <c r="BP911">
        <f>IF(ISBLANK('Data Entry'!$$911), "", 'Data Entry'!$$911)</f>
      </c>
      <c r="BQ911">
        <f>IF(ISBLANK('Data Entry'!$$911), "", 'Data Entry'!$$911)</f>
      </c>
      <c r="BR911">
        <f>IF(ISBLANK('Data Entry'!$$911), "", 'Data Entry'!$$911)</f>
      </c>
      <c r="BS911">
        <f>IF(ISBLANK('Data Entry'!$$911), "", 'Data Entry'!$$911)</f>
      </c>
      <c r="BT911">
        <f>IF(ISBLANK('Data Entry'!$$911), "", 'Data Entry'!$$911)</f>
      </c>
      <c r="BU911">
        <f>IF(ISBLANK('Data Entry'!$$911), "", 'Data Entry'!$$911)</f>
      </c>
      <c r="BV911">
        <f>IF(ISBLANK('Data Entry'!$$911), "", 'Data Entry'!$$911)</f>
      </c>
      <c r="BW911">
        <f>IF(ISBLANK('Data Entry'!$$911), "", 'Data Entry'!$$911)</f>
      </c>
      <c r="BX911">
        <f>IF(ISBLANK('Data Entry'!$$911), "", 'Data Entry'!$$911)</f>
      </c>
      <c r="BY911">
        <f>IF(ISBLANK('Data Entry'!$$911), "", 'Data Entry'!$$911)</f>
      </c>
      <c r="BZ911">
        <f>IF(ISBLANK('Data Entry'!$$911), "", 'Data Entry'!$$911)</f>
      </c>
      <c r="CA911">
        <f>IF(ISBLANK('Data Entry'!$$911), "", 'Data Entry'!$$911)</f>
      </c>
      <c r="CB911">
        <f>IF(ISBLANK('Data Entry'!$$911), "", 'Data Entry'!$$911)</f>
      </c>
      <c r="CC911">
        <f>IF(ISBLANK('Data Entry'!$$911), "", 'Data Entry'!$$911)</f>
      </c>
      <c r="CD911">
        <f>IF(ISBLANK('Data Entry'!$$911), "", 'Data Entry'!$$911)</f>
      </c>
      <c r="CE911">
        <f>IF(ISBLANK('Data Entry'!$$911), "", 'Data Entry'!$$911)</f>
      </c>
      <c r="CF911">
        <f>IF(ISBLANK('Data Entry'!$$911), "", 'Data Entry'!$$911)</f>
      </c>
      <c r="CG911">
        <f>IF(ISBLANK('Data Entry'!$$911), "", 'Data Entry'!$$911)</f>
      </c>
      <c r="CH911">
        <f>IF(ISBLANK('Data Entry'!$$911), "", 'Data Entry'!$$911)</f>
      </c>
      <c r="CI911">
        <f>IF(ISBLANK('Data Entry'!$$911), "", 'Data Entry'!$$911)</f>
      </c>
      <c r="CJ911">
        <f>IF(ISBLANK('Data Entry'!$$911), "", 'Data Entry'!$$911)</f>
      </c>
      <c r="CK911">
        <f>IF(ISBLANK('Data Entry'!$$911), "", 'Data Entry'!$$911)</f>
      </c>
      <c r="CL911">
        <f>IF(ISBLANK('Data Entry'!$$911), "", 'Data Entry'!$$911)</f>
      </c>
      <c r="CM911">
        <f>IF(ISBLANK('Data Entry'!$$911), "", 'Data Entry'!$$911)</f>
      </c>
      <c r="CN911">
        <f>IF(ISBLANK('Data Entry'!$$911), "", 'Data Entry'!$$911)</f>
      </c>
      <c r="CO911">
        <f>IF(ISBLANK('Data Entry'!$$911), "", 'Data Entry'!$$911)</f>
      </c>
      <c r="CP911">
        <f>IF(ISBLANK('Data Entry'!$$911), "", 'Data Entry'!$$911)</f>
      </c>
      <c r="CQ911">
        <f>IF(ISBLANK('Data Entry'!$$911), "", 'Data Entry'!$$911)</f>
      </c>
      <c r="CR911">
        <f>IF(ISBLANK('Data Entry'!$ $911), "", 'Data Entry'!$ $911)</f>
      </c>
      <c r="CS911">
        <f>IF(ISBLANK('Data Entry'!$¡$911), "", 'Data Entry'!$¡$911)</f>
      </c>
      <c r="CT911">
        <f>IF(ISBLANK('Data Entry'!$¢$911), "", 'Data Entry'!$¢$911)</f>
      </c>
      <c r="CU911">
        <f>IF(ISBLANK('Data Entry'!$£$911), "", 'Data Entry'!$£$911)</f>
      </c>
      <c r="CV911">
        <f>IF(ISBLANK('Data Entry'!$¤$911), "", 'Data Entry'!$¤$911)</f>
      </c>
      <c r="CW911">
        <f>IF(ISBLANK('Data Entry'!$¥$911), "", 'Data Entry'!$¥$911)</f>
      </c>
      <c r="CX911">
        <f>IF(ISBLANK('Data Entry'!$¦$911), "", 'Data Entry'!$¦$911)</f>
      </c>
      <c r="CY911">
        <f>IF(ISBLANK('Data Entry'!$§$911), "", 'Data Entry'!$§$911)</f>
      </c>
      <c r="CZ911">
        <f>IF(ISBLANK('Data Entry'!$¨$911), "", 'Data Entry'!$¨$911)</f>
      </c>
      <c r="DA911">
        <f>IF(ISBLANK('Data Entry'!$©$911), "", 'Data Entry'!$©$911)</f>
      </c>
      <c r="DB911">
        <f>IF(ISBLANK('Data Entry'!$ª$911), "", 'Data Entry'!$ª$911)</f>
      </c>
      <c r="DC911">
        <f>IF(ISBLANK('Data Entry'!$«$911), "", 'Data Entry'!$«$911)</f>
      </c>
      <c r="DD911">
        <f>IF(ISBLANK('Data Entry'!$¬$911), "", 'Data Entry'!$¬$911)</f>
      </c>
      <c r="DE911">
        <f>IF(ISBLANK('Data Entry'!$­$911), "", 'Data Entry'!$­$911)</f>
      </c>
      <c r="DF911">
        <f>IF(ISBLANK('Data Entry'!$®$911), "", 'Data Entry'!$®$911)</f>
      </c>
      <c r="DG911">
        <f>IF(ISBLANK('Data Entry'!$¯$911), "", 'Data Entry'!$¯$911)</f>
      </c>
      <c r="DH911">
        <f>IF(ISBLANK('Data Entry'!$°$911), "", 'Data Entry'!$°$911)</f>
      </c>
      <c r="DI911">
        <f>IF(ISBLANK('Data Entry'!$±$911), "", 'Data Entry'!$±$911)</f>
      </c>
      <c r="DJ911">
        <f>IF(ISBLANK('Data Entry'!$²$911), "", 'Data Entry'!$²$911)</f>
      </c>
      <c r="DK911">
        <f>IF(ISBLANK('Data Entry'!$³$911), "", 'Data Entry'!$³$911)</f>
      </c>
      <c r="DL911">
        <f>IF(ISBLANK('Data Entry'!$´$911), "", 'Data Entry'!$´$911)</f>
      </c>
      <c r="DM911">
        <f>IF(ISBLANK('Data Entry'!$µ$911), "", 'Data Entry'!$µ$911)</f>
      </c>
      <c r="DN911">
        <f>IF(ISBLANK('Data Entry'!$¶$911), "", 'Data Entry'!$¶$911)</f>
      </c>
      <c r="DO911">
        <f>IF(ISBLANK('Data Entry'!$·$911), "", 'Data Entry'!$·$911)</f>
      </c>
      <c r="DP911">
        <f>IF(ISBLANK('Data Entry'!$¸$911), "", 'Data Entry'!$¸$911)</f>
      </c>
      <c r="DQ911">
        <f>IF(ISBLANK('Data Entry'!$¹$911), "", 'Data Entry'!$¹$911)</f>
      </c>
      <c r="DR911">
        <f>IF(ISBLANK('Data Entry'!$º$911), "", 'Data Entry'!$º$911)</f>
      </c>
      <c r="DS911">
        <f>IF(ISBLANK('Data Entry'!$»$911), "", 'Data Entry'!$»$911)</f>
      </c>
      <c r="DT911">
        <f>IF(ISBLANK('Data Entry'!$¼$911), "", 'Data Entry'!$¼$911)</f>
      </c>
      <c r="DU911">
        <f>IF(ISBLANK('Data Entry'!$½$911), "", 'Data Entry'!$½$911)</f>
      </c>
      <c r="DV911">
        <f>IF(ISBLANK('Data Entry'!$¾$911), "", 'Data Entry'!$¾$911)</f>
      </c>
      <c r="DW911">
        <f>IF(ISBLANK('Data Entry'!$¿$911), "", 'Data Entry'!$¿$911)</f>
      </c>
      <c r="DX911">
        <f>IF(ISBLANK('Data Entry'!$À$911), "", 'Data Entry'!$À$911)</f>
      </c>
      <c r="DY911">
        <f>IF(ISBLANK('Data Entry'!$Á$911), "", 'Data Entry'!$Á$911)</f>
      </c>
      <c r="DZ911">
        <f>IF(ISBLANK('Data Entry'!$Â$911), "", 'Data Entry'!$Â$911)</f>
      </c>
      <c r="EA911">
        <f>IF(ISBLANK('Data Entry'!$Ã$911), "", 'Data Entry'!$Ã$911)</f>
      </c>
      <c r="EB911">
        <f>IF(ISBLANK('Data Entry'!$Ä$911), "", 'Data Entry'!$Ä$911)</f>
      </c>
      <c r="EC911">
        <f>IF(ISBLANK('Data Entry'!$Å$911), "", 'Data Entry'!$Å$911)</f>
      </c>
      <c r="ED911">
        <f>IF(ISBLANK('Data Entry'!$Æ$911), "", 'Data Entry'!$Æ$911)</f>
      </c>
      <c r="EE911">
        <f>IF(ISBLANK('Data Entry'!$Ç$911), "", 'Data Entry'!$Ç$911)</f>
      </c>
      <c r="EF911">
        <f>IF(ISBLANK('Data Entry'!$È$911), "", 'Data Entry'!$È$911)</f>
      </c>
      <c r="EG911">
        <f>IF(ISBLANK('Data Entry'!$É$911), "", 'Data Entry'!$É$911)</f>
      </c>
      <c r="EH911">
        <f>IF(ISBLANK('Data Entry'!$Ê$911), "", 'Data Entry'!$Ê$911)</f>
      </c>
      <c r="EI911">
        <f>IF(ISBLANK('Data Entry'!$Ë$911), "", 'Data Entry'!$Ë$911)</f>
      </c>
      <c r="EJ911">
        <f>IF(ISBLANK('Data Entry'!$Ì$911), "", 'Data Entry'!$Ì$911)</f>
      </c>
      <c r="EK911">
        <f>IF(ISBLANK('Data Entry'!$Í$911), "", 'Data Entry'!$Í$911)</f>
      </c>
      <c r="EL911">
        <f>IF(ISBLANK('Data Entry'!$Î$911), "", 'Data Entry'!$Î$911)</f>
      </c>
      <c r="EM911">
        <f>IF(ISBLANK('Data Entry'!$Ï$911), "", 'Data Entry'!$Ï$911)</f>
      </c>
      <c r="EN911">
        <f>IF(ISBLANK('Data Entry'!$Ð$911), "", 'Data Entry'!$Ð$911)</f>
      </c>
      <c r="EO911">
        <f>IF(ISBLANK('Data Entry'!$Ñ$911), "", 'Data Entry'!$Ñ$911)</f>
      </c>
      <c r="EP911">
        <f>IF(ISBLANK('Data Entry'!$Ò$911), "", 'Data Entry'!$Ò$911)</f>
      </c>
      <c r="EQ911">
        <f>IF(ISBLANK('Data Entry'!$Ó$911), "", 'Data Entry'!$Ó$911)</f>
      </c>
      <c r="ER911">
        <f>IF(ISBLANK('Data Entry'!$Ô$911), "", 'Data Entry'!$Ô$911)</f>
      </c>
      <c r="ES911">
        <f>IF(ISBLANK('Data Entry'!$Õ$911), "", 'Data Entry'!$Õ$911)</f>
      </c>
      <c r="ET911">
        <f>IF(ISBLANK('Data Entry'!$Ö$911), "", 'Data Entry'!$Ö$911)</f>
      </c>
      <c r="EU911">
        <f>IF(ISBLANK('Data Entry'!$×$911), "", 'Data Entry'!$×$911)</f>
      </c>
      <c r="EV911">
        <f>IF(ISBLANK('Data Entry'!$Ø$911), "", 'Data Entry'!$Ø$911)</f>
      </c>
      <c r="EW911">
        <f>IF(ISBLANK('Data Entry'!$Ù$911), "", 'Data Entry'!$Ù$911)</f>
      </c>
      <c r="EX911">
        <f>IF(ISBLANK('Data Entry'!$Ú$911), "", 'Data Entry'!$Ú$911)</f>
      </c>
      <c r="EY911">
        <f>IF(ISBLANK('Data Entry'!$Û$911), "", 'Data Entry'!$Û$911)</f>
      </c>
      <c r="EZ911">
        <f>IF(ISBLANK('Data Entry'!$Ü$911), "", 'Data Entry'!$Ü$911)</f>
      </c>
      <c r="FA911">
        <f>IF(ISBLANK('Data Entry'!$Ý$911), "", 'Data Entry'!$Ý$911)</f>
      </c>
      <c r="FB911">
        <f>IF(ISBLANK('Data Entry'!$Þ$911), "", 'Data Entry'!$Þ$911)</f>
      </c>
      <c r="FC911">
        <f>IF(ISBLANK('Data Entry'!$ß$911), "", 'Data Entry'!$ß$911)</f>
      </c>
      <c r="FD911">
        <f>IF(ISBLANK('Data Entry'!$à$911), "", 'Data Entry'!$à$911)</f>
      </c>
      <c r="FE911">
        <f>IF(ISBLANK('Data Entry'!$á$911), "", 'Data Entry'!$á$911)</f>
      </c>
      <c r="FF911">
        <f>IF(ISBLANK('Data Entry'!$â$911), "", 'Data Entry'!$â$911)</f>
      </c>
      <c r="FG911">
        <f>IF(ISBLANK('Data Entry'!$ã$911), "", 'Data Entry'!$ã$911)</f>
      </c>
      <c r="FH911">
        <f>IF(ISBLANK('Data Entry'!$ä$911), "", 'Data Entry'!$ä$911)</f>
      </c>
      <c r="FI911">
        <f>IF(ISBLANK('Data Entry'!$å$911), "", 'Data Entry'!$å$911)</f>
      </c>
      <c r="FJ911">
        <f>IF(ISBLANK('Data Entry'!$æ$911), "", 'Data Entry'!$æ$911)</f>
      </c>
      <c r="FK911">
        <f>IF(ISBLANK('Data Entry'!$ç$911), "", 'Data Entry'!$ç$911)</f>
      </c>
      <c r="FL911">
        <f>IF(ISBLANK('Data Entry'!$è$911), "", 'Data Entry'!$è$911)</f>
      </c>
      <c r="FM911">
        <f>IF(ISBLANK('Data Entry'!$é$911), "", 'Data Entry'!$é$911)</f>
      </c>
      <c r="FN911">
        <f>IF(ISBLANK('Data Entry'!$ê$911), "", 'Data Entry'!$ê$911)</f>
      </c>
      <c r="FO911">
        <f>IF(ISBLANK('Data Entry'!$ë$911), "", 'Data Entry'!$ë$911)</f>
      </c>
      <c r="FP911">
        <f>IF(ISBLANK('Data Entry'!$ì$911), "", 'Data Entry'!$ì$911)</f>
      </c>
      <c r="FQ911">
        <f>IF(ISBLANK('Data Entry'!$í$911), "", 'Data Entry'!$í$911)</f>
      </c>
      <c r="FR911">
        <f>IF(ISBLANK('Data Entry'!$î$911), "", 'Data Entry'!$î$911)</f>
      </c>
      <c r="FS911">
        <f>IF(ISBLANK('Data Entry'!$ï$911), "", 'Data Entry'!$ï$911)</f>
      </c>
      <c r="FT911">
        <f>IF(ISBLANK('Data Entry'!$ð$911), "", 'Data Entry'!$ð$911)</f>
      </c>
      <c r="FU911">
        <f>IF(ISBLANK('Data Entry'!$ñ$911), "", 'Data Entry'!$ñ$911)</f>
      </c>
      <c r="FV911">
        <f>IF(ISBLANK('Data Entry'!$ò$911), "", 'Data Entry'!$ò$911)</f>
      </c>
      <c r="FW911">
        <f>IF(ISBLANK('Data Entry'!$ó$911), "", 'Data Entry'!$ó$911)</f>
      </c>
      <c r="FX911">
        <f>IF(ISBLANK('Data Entry'!$ô$911), "", 'Data Entry'!$ô$911)</f>
      </c>
      <c r="FY911">
        <f>IF(ISBLANK('Data Entry'!$õ$911), "", 'Data Entry'!$õ$911)</f>
      </c>
      <c r="FZ911">
        <f>IF(ISBLANK('Data Entry'!$ö$911), "", 'Data Entry'!$ö$911)</f>
      </c>
      <c r="GA911">
        <f>IF(ISBLANK('Data Entry'!$÷$911), "", 'Data Entry'!$÷$911)</f>
      </c>
      <c r="GB911">
        <f>IF(ISBLANK('Data Entry'!$ø$911), "", 'Data Entry'!$ø$911)</f>
      </c>
      <c r="GC911">
        <f>IF(ISBLANK('Data Entry'!$ù$911), "", 'Data Entry'!$ù$911)</f>
      </c>
      <c r="GD911">
        <f>IF(ISBLANK('Data Entry'!$ú$911), "", 'Data Entry'!$ú$911)</f>
      </c>
      <c r="GE911">
        <f>IF(ISBLANK('Data Entry'!$û$911), "", 'Data Entry'!$û$911)</f>
      </c>
      <c r="GF911">
        <f>IF(ISBLANK('Data Entry'!$ü$911), "", 'Data Entry'!$ü$911)</f>
      </c>
      <c r="GG911">
        <f>IF(ISBLANK('Data Entry'!$ý$911), "", 'Data Entry'!$ý$911)</f>
      </c>
      <c r="GH911">
        <f>IF(ISBLANK('Data Entry'!$þ$911), "", 'Data Entry'!$þ$911)</f>
      </c>
      <c r="GI911">
        <f>IF(ISBLANK('Data Entry'!$ÿ$911), "", 'Data Entry'!$ÿ$911)</f>
      </c>
      <c r="GJ911">
        <f>IF(ISBLANK('Data Entry'!$Ā$911), "", 'Data Entry'!$Ā$911)</f>
      </c>
      <c r="GK911">
        <f>IF(ISBLANK('Data Entry'!$ā$911), "", 'Data Entry'!$ā$911)</f>
      </c>
      <c r="GL911">
        <f>IF(ISBLANK('Data Entry'!$Ă$911), "", 'Data Entry'!$Ă$911)</f>
      </c>
      <c r="GM911">
        <f>IF(ISBLANK('Data Entry'!$ă$911), "", 'Data Entry'!$ă$911)</f>
      </c>
      <c r="GN911">
        <f>IF(ISBLANK('Data Entry'!$Ą$911), "", 'Data Entry'!$Ą$911)</f>
      </c>
      <c r="GO911">
        <f>IF(ISBLANK('Data Entry'!$ą$911), "", 'Data Entry'!$ą$911)</f>
      </c>
      <c r="GP911">
        <f>IF(ISBLANK('Data Entry'!$Ć$911), "", 'Data Entry'!$Ć$911)</f>
      </c>
      <c r="GQ911">
        <f>IF(ISBLANK('Data Entry'!$ć$911), "", 'Data Entry'!$ć$911)</f>
      </c>
      <c r="GR911">
        <f>IF(ISBLANK('Data Entry'!$Ĉ$911), "", 'Data Entry'!$Ĉ$911)</f>
      </c>
      <c r="GS911">
        <f>IF(ISBLANK('Data Entry'!$ĉ$911), "", 'Data Entry'!$ĉ$911)</f>
      </c>
      <c r="GT911">
        <f>IF(ISBLANK('Data Entry'!$Ċ$911), "", 'Data Entry'!$Ċ$911)</f>
      </c>
      <c r="GU911">
        <f>IF(ISBLANK('Data Entry'!$ċ$911), "", 'Data Entry'!$ċ$911)</f>
      </c>
      <c r="GV911">
        <f>IF(ISBLANK('Data Entry'!$Č$911), "", 'Data Entry'!$Č$911)</f>
      </c>
      <c r="GW911">
        <f>IF(ISBLANK('Data Entry'!$č$911), "", 'Data Entry'!$č$911)</f>
      </c>
      <c r="GX911">
        <f>IF(ISBLANK('Data Entry'!$Ď$911), "", 'Data Entry'!$Ď$911)</f>
      </c>
      <c r="GY911">
        <f>IF(ISBLANK('Data Entry'!$ď$911), "", 'Data Entry'!$ď$911)</f>
      </c>
      <c r="GZ911">
        <f>IF(ISBLANK('Data Entry'!$Đ$911), "", 'Data Entry'!$Đ$911)</f>
      </c>
      <c r="HA911">
        <f>IF(ISBLANK('Data Entry'!$đ$911), "", 'Data Entry'!$đ$911)</f>
      </c>
      <c r="HB911">
        <f>IF(ISBLANK('Data Entry'!$Ē$911), "", 'Data Entry'!$Ē$911)</f>
      </c>
      <c r="HC911">
        <f>IF(ISBLANK('Data Entry'!$ē$911), "", 'Data Entry'!$ē$911)</f>
      </c>
      <c r="HD911">
        <f>IF(ISBLANK('Data Entry'!$Ĕ$911), "", 'Data Entry'!$Ĕ$911)</f>
      </c>
      <c r="HE911">
        <f>IF(ISBLANK('Data Entry'!$ĕ$911), "", 'Data Entry'!$ĕ$911)</f>
      </c>
      <c r="HF911">
        <f>IF(ISBLANK('Data Entry'!$Ė$911), "", 'Data Entry'!$Ė$911)</f>
      </c>
      <c r="HG911">
        <f>IF(ISBLANK('Data Entry'!$ė$911), "", 'Data Entry'!$ė$911)</f>
      </c>
      <c r="HH911">
        <f>IF(ISBLANK('Data Entry'!$Ę$911), "", 'Data Entry'!$Ę$911)</f>
      </c>
      <c r="HI911">
        <f>IF(ISBLANK('Data Entry'!$ę$911), "", 'Data Entry'!$ę$911)</f>
      </c>
      <c r="HJ911">
        <f>IF(ISBLANK('Data Entry'!$Ě$911), "", 'Data Entry'!$Ě$911)</f>
      </c>
      <c r="HK911">
        <f>IF(ISBLANK('Data Entry'!$ě$911), "", 'Data Entry'!$ě$911)</f>
      </c>
      <c r="HL911">
        <f>IF(ISBLANK('Data Entry'!$Ĝ$911), "", 'Data Entry'!$Ĝ$911)</f>
      </c>
      <c r="HM911">
        <f>IF(ISBLANK('Data Entry'!$ĝ$911), "", 'Data Entry'!$ĝ$911)</f>
      </c>
      <c r="HN911">
        <f>IF(ISBLANK('Data Entry'!$Ğ$911), "", 'Data Entry'!$Ğ$911)</f>
      </c>
      <c r="HO911">
        <f>IF(ISBLANK('Data Entry'!$ğ$911), "", 'Data Entry'!$ğ$911)</f>
      </c>
      <c r="HP911">
        <f>IF(ISBLANK('Data Entry'!$Ġ$911), "", 'Data Entry'!$Ġ$911)</f>
      </c>
      <c r="HQ911">
        <f>IF(ISBLANK('Data Entry'!$ġ$911), "", 'Data Entry'!$ġ$911)</f>
      </c>
      <c r="HR911">
        <f>IF(ISBLANK('Data Entry'!$Ģ$911), "", 'Data Entry'!$Ģ$911)</f>
      </c>
      <c r="HS911">
        <f>IF(ISBLANK('Data Entry'!$ģ$911), "", 'Data Entry'!$ģ$911)</f>
      </c>
      <c r="HT911">
        <f>IF(ISBLANK('Data Entry'!$Ĥ$911), "", 'Data Entry'!$Ĥ$911)</f>
      </c>
      <c r="HU911">
        <f>IF(ISBLANK('Data Entry'!$ĥ$911), "", 'Data Entry'!$ĥ$911)</f>
      </c>
      <c r="HV911">
        <f>IF(ISBLANK('Data Entry'!$Ħ$911), "", 'Data Entry'!$Ħ$911)</f>
      </c>
      <c r="HW911">
        <f>IF(ISBLANK('Data Entry'!$ħ$911), "", 'Data Entry'!$ħ$911)</f>
      </c>
      <c r="HX911">
        <f>IF(ISBLANK('Data Entry'!$Ĩ$911), "", 'Data Entry'!$Ĩ$911)</f>
      </c>
      <c r="HY911">
        <f>IF(ISBLANK('Data Entry'!$ĩ$911), "", 'Data Entry'!$ĩ$911)</f>
      </c>
      <c r="HZ911">
        <f>IF(ISBLANK('Data Entry'!$Ī$911), "", 'Data Entry'!$Ī$911)</f>
      </c>
      <c r="IA911">
        <f>IF(ISBLANK('Data Entry'!$ī$911), "", 'Data Entry'!$ī$911)</f>
      </c>
      <c r="IB911">
        <f>IF(ISBLANK('Data Entry'!$Ĭ$911), "", 'Data Entry'!$Ĭ$911)</f>
      </c>
      <c r="IC911">
        <f>IF(ISBLANK('Data Entry'!$ĭ$911), "", 'Data Entry'!$ĭ$911)</f>
      </c>
      <c r="ID911">
        <f>IF(ISBLANK('Data Entry'!$Į$911), "", 'Data Entry'!$Į$911)</f>
      </c>
      <c r="IE911">
        <f>IF(ISBLANK('Data Entry'!$į$911), "", 'Data Entry'!$į$911)</f>
      </c>
      <c r="IF911">
        <f>IF(ISBLANK('Data Entry'!$İ$911), "", 'Data Entry'!$İ$911)</f>
      </c>
      <c r="IG911">
        <f>IF(ISBLANK('Data Entry'!$ı$911), "", 'Data Entry'!$ı$911)</f>
      </c>
      <c r="IH911">
        <f>IF(ISBLANK('Data Entry'!$Ĳ$911), "", 'Data Entry'!$Ĳ$911)</f>
      </c>
      <c r="II911">
        <f>IF(ISBLANK('Data Entry'!$ĳ$911), "", 'Data Entry'!$ĳ$911)</f>
      </c>
      <c r="IJ911">
        <f>IF(ISBLANK('Data Entry'!$Ĵ$911), "", 'Data Entry'!$Ĵ$911)</f>
      </c>
      <c r="IK911">
        <f>IF(ISBLANK('Data Entry'!$ĵ$911), "", 'Data Entry'!$ĵ$911)</f>
      </c>
      <c r="IL911">
        <f>IF(ISBLANK('Data Entry'!$Ķ$911), "", 'Data Entry'!$Ķ$911)</f>
      </c>
      <c r="IM911">
        <f>IF(ISBLANK('Data Entry'!$ķ$911), "", 'Data Entry'!$ķ$911)</f>
      </c>
      <c r="IN911">
        <f>IF(ISBLANK('Data Entry'!$ĸ$911), "", 'Data Entry'!$ĸ$911)</f>
      </c>
      <c r="IO911">
        <f>IF(ISBLANK('Data Entry'!$Ĺ$911), "", 'Data Entry'!$Ĺ$911)</f>
      </c>
      <c r="IP911">
        <f>IF(ISBLANK('Data Entry'!$ĺ$911), "", 'Data Entry'!$ĺ$911)</f>
      </c>
      <c r="IQ911">
        <f>IF(ISBLANK('Data Entry'!$Ļ$911), "", 'Data Entry'!$Ļ$911)</f>
      </c>
      <c r="IR911">
        <f>IF(ISBLANK('Data Entry'!$ļ$911), "", 'Data Entry'!$ļ$911)</f>
      </c>
      <c r="IS911">
        <f>IF(ISBLANK('Data Entry'!$Ľ$911), "", 'Data Entry'!$Ľ$911)</f>
      </c>
      <c r="IT911">
        <f>IF(ISBLANK('Data Entry'!$ľ$911), "", 'Data Entry'!$ľ$911)</f>
      </c>
    </row>
    <row r="912" spans="1:254" x14ac:dyDescent="0.25">
      <c r="A912">
        <f>IF(ISBLANK('Data Entry'!$A$912), "", 'Data Entry'!$A$912)</f>
      </c>
      <c r="B912">
        <f>IF(ISBLANK('Data Entry'!$B$912), "", 'Data Entry'!$B$912)</f>
      </c>
      <c r="C912">
        <f>IF(ISBLANK('Data Entry'!$C$912), "", 'Data Entry'!$C$912)</f>
      </c>
      <c r="D912">
        <f>IF(ISBLANK('Data Entry'!$D$912), "", 'Data Entry'!$D$912)</f>
      </c>
      <c r="E912">
        <f>IF(ISBLANK('Data Entry'!$E$912), "", 'Data Entry'!$E$912)</f>
      </c>
      <c r="F912">
        <f>IF(ISBLANK('Data Entry'!$F$912), "", 'Data Entry'!$F$912)</f>
      </c>
      <c r="G912">
        <f>IF(ISBLANK('Data Entry'!$G$912), "", 'Data Entry'!$G$912)</f>
      </c>
      <c r="H912">
        <f>IF(ISBLANK('Data Entry'!$H$912), "", 'Data Entry'!$H$912)</f>
      </c>
      <c r="I912">
        <f>IF(ISBLANK('Data Entry'!$I$912), "", 'Data Entry'!$I$912)</f>
      </c>
      <c r="J912">
        <f>IF(ISBLANK('Data Entry'!$J$912), "", 'Data Entry'!$J$912)</f>
      </c>
      <c r="K912">
        <f>IF(ISBLANK('Data Entry'!$K$912), "", 'Data Entry'!$K$912)</f>
      </c>
      <c r="L912">
        <f>IF(ISBLANK('Data Entry'!$L$912), "", 'Data Entry'!$L$912)</f>
      </c>
      <c r="M912">
        <f>IF(ISBLANK('Data Entry'!$M$912), "", 'Data Entry'!$M$912)</f>
      </c>
      <c r="N912">
        <f>IF(ISBLANK('Data Entry'!$N$912), "", 'Data Entry'!$N$912)</f>
      </c>
      <c r="O912">
        <f>IF(ISBLANK('Data Entry'!$O$912), "", 'Data Entry'!$O$912)</f>
      </c>
      <c r="P912">
        <f>IF(ISBLANK('Data Entry'!$P$912), "", 'Data Entry'!$P$912)</f>
      </c>
      <c r="Q912">
        <f>IF(ISBLANK('Data Entry'!$Q$912), "", 'Data Entry'!$Q$912)</f>
      </c>
      <c r="R912">
        <f>IF(ISBLANK('Data Entry'!$R$912), "", 'Data Entry'!$R$912)</f>
      </c>
      <c r="S912">
        <f>IF(ISBLANK('Data Entry'!$S$912), "", 'Data Entry'!$S$912)</f>
      </c>
      <c r="T912">
        <f>IF(ISBLANK('Data Entry'!$T$912), "", 'Data Entry'!$T$912)</f>
      </c>
      <c r="U912">
        <f>IF(ISBLANK('Data Entry'!$U$912), "", 'Data Entry'!$U$912)</f>
      </c>
      <c r="V912">
        <f>IF(ISBLANK('Data Entry'!$V$912), "", 'Data Entry'!$V$912)</f>
      </c>
      <c r="W912">
        <f>IF(ISBLANK('Data Entry'!$W$912), "", 'Data Entry'!$W$912)</f>
      </c>
      <c r="X912">
        <f>IF(ISBLANK('Data Entry'!$X$912), "", 'Data Entry'!$X$912)</f>
      </c>
      <c r="Y912">
        <f>IF(ISBLANK('Data Entry'!$Y$912), "", 'Data Entry'!$Y$912)</f>
      </c>
      <c r="Z912">
        <f>IF(ISBLANK('Data Entry'!$Z$912), "", 'Data Entry'!$Z$912)</f>
      </c>
      <c r="AA912">
        <f>IF(ISBLANK('Data Entry'!$[$912), "", 'Data Entry'!$[$912)</f>
      </c>
      <c r="AB912">
        <f>IF(ISBLANK('Data Entry'!$\$912), "", 'Data Entry'!$\$912)</f>
      </c>
      <c r="AC912">
        <f>IF(ISBLANK('Data Entry'!$]$912), "", 'Data Entry'!$]$912)</f>
      </c>
      <c r="AD912">
        <f>IF(ISBLANK('Data Entry'!$^$912), "", 'Data Entry'!$^$912)</f>
      </c>
      <c r="AE912">
        <f>IF(ISBLANK('Data Entry'!$_$912), "", 'Data Entry'!$_$912)</f>
      </c>
      <c r="AF912">
        <f>IF(ISBLANK('Data Entry'!$`$912), "", 'Data Entry'!$`$912)</f>
      </c>
      <c r="AG912">
        <f>IF(ISBLANK('Data Entry'!$a$912), "", 'Data Entry'!$a$912)</f>
      </c>
      <c r="AH912">
        <f>IF(ISBLANK('Data Entry'!$b$912), "", 'Data Entry'!$b$912)</f>
      </c>
      <c r="AI912">
        <f>IF(ISBLANK('Data Entry'!$c$912), "", 'Data Entry'!$c$912)</f>
      </c>
      <c r="AJ912">
        <f>IF(ISBLANK('Data Entry'!$d$912), "", 'Data Entry'!$d$912)</f>
      </c>
      <c r="AK912">
        <f>IF(ISBLANK('Data Entry'!$e$912), "", 'Data Entry'!$e$912)</f>
      </c>
      <c r="AL912">
        <f>IF(ISBLANK('Data Entry'!$f$912), "", 'Data Entry'!$f$912)</f>
      </c>
      <c r="AM912">
        <f>IF(ISBLANK('Data Entry'!$g$912), "", 'Data Entry'!$g$912)</f>
      </c>
      <c r="AN912">
        <f>IF(ISBLANK('Data Entry'!$h$912), "", 'Data Entry'!$h$912)</f>
      </c>
      <c r="AO912">
        <f>IF(ISBLANK('Data Entry'!$i$912), "", 'Data Entry'!$i$912)</f>
      </c>
      <c r="AP912">
        <f>IF(ISBLANK('Data Entry'!$j$912), "", 'Data Entry'!$j$912)</f>
      </c>
      <c r="AQ912">
        <f>IF(ISBLANK('Data Entry'!$k$912), "", 'Data Entry'!$k$912)</f>
      </c>
      <c r="AR912">
        <f>IF(ISBLANK('Data Entry'!$l$912), "", 'Data Entry'!$l$912)</f>
      </c>
      <c r="AS912">
        <f>IF(ISBLANK('Data Entry'!$m$912), "", 'Data Entry'!$m$912)</f>
      </c>
      <c r="AT912">
        <f>IF(ISBLANK('Data Entry'!$n$912), "", 'Data Entry'!$n$912)</f>
      </c>
      <c r="AU912">
        <f>IF(ISBLANK('Data Entry'!$o$912), "", 'Data Entry'!$o$912)</f>
      </c>
      <c r="AV912">
        <f>IF(ISBLANK('Data Entry'!$p$912), "", 'Data Entry'!$p$912)</f>
      </c>
      <c r="AW912">
        <f>IF(ISBLANK('Data Entry'!$q$912), "", 'Data Entry'!$q$912)</f>
      </c>
      <c r="AX912">
        <f>IF(ISBLANK('Data Entry'!$r$912), "", 'Data Entry'!$r$912)</f>
      </c>
      <c r="AY912">
        <f>IF(ISBLANK('Data Entry'!$s$912), "", 'Data Entry'!$s$912)</f>
      </c>
      <c r="AZ912">
        <f>IF(ISBLANK('Data Entry'!$t$912), "", 'Data Entry'!$t$912)</f>
      </c>
      <c r="BA912">
        <f>IF(ISBLANK('Data Entry'!$u$912), "", 'Data Entry'!$u$912)</f>
      </c>
      <c r="BB912">
        <f>IF(ISBLANK('Data Entry'!$v$912), "", 'Data Entry'!$v$912)</f>
      </c>
      <c r="BC912">
        <f>IF(ISBLANK('Data Entry'!$w$912), "", 'Data Entry'!$w$912)</f>
      </c>
      <c r="BD912">
        <f>IF(ISBLANK('Data Entry'!$x$912), "", 'Data Entry'!$x$912)</f>
      </c>
      <c r="BE912">
        <f>IF(ISBLANK('Data Entry'!$y$912), "", 'Data Entry'!$y$912)</f>
      </c>
      <c r="BF912">
        <f>IF(ISBLANK('Data Entry'!$z$912), "", 'Data Entry'!$z$912)</f>
      </c>
      <c r="BG912">
        <f>IF(ISBLANK('Data Entry'!${$912), "", 'Data Entry'!${$912)</f>
      </c>
      <c r="BH912">
        <f>IF(ISBLANK('Data Entry'!$|$912), "", 'Data Entry'!$|$912)</f>
      </c>
      <c r="BI912">
        <f>IF(ISBLANK('Data Entry'!$}$912), "", 'Data Entry'!$}$912)</f>
      </c>
      <c r="BJ912">
        <f>IF(ISBLANK('Data Entry'!$~$912), "", 'Data Entry'!$~$912)</f>
      </c>
      <c r="BK912">
        <f>IF(ISBLANK('Data Entry'!$$912), "", 'Data Entry'!$$912)</f>
      </c>
      <c r="BL912">
        <f>IF(ISBLANK('Data Entry'!$$912), "", 'Data Entry'!$$912)</f>
      </c>
      <c r="BM912">
        <f>IF(ISBLANK('Data Entry'!$$912), "", 'Data Entry'!$$912)</f>
      </c>
      <c r="BN912">
        <f>IF(ISBLANK('Data Entry'!$$912), "", 'Data Entry'!$$912)</f>
      </c>
      <c r="BO912">
        <f>IF(ISBLANK('Data Entry'!$$912), "", 'Data Entry'!$$912)</f>
      </c>
      <c r="BP912">
        <f>IF(ISBLANK('Data Entry'!$$912), "", 'Data Entry'!$$912)</f>
      </c>
      <c r="BQ912">
        <f>IF(ISBLANK('Data Entry'!$$912), "", 'Data Entry'!$$912)</f>
      </c>
      <c r="BR912">
        <f>IF(ISBLANK('Data Entry'!$$912), "", 'Data Entry'!$$912)</f>
      </c>
      <c r="BS912">
        <f>IF(ISBLANK('Data Entry'!$$912), "", 'Data Entry'!$$912)</f>
      </c>
      <c r="BT912">
        <f>IF(ISBLANK('Data Entry'!$$912), "", 'Data Entry'!$$912)</f>
      </c>
      <c r="BU912">
        <f>IF(ISBLANK('Data Entry'!$$912), "", 'Data Entry'!$$912)</f>
      </c>
      <c r="BV912">
        <f>IF(ISBLANK('Data Entry'!$$912), "", 'Data Entry'!$$912)</f>
      </c>
      <c r="BW912">
        <f>IF(ISBLANK('Data Entry'!$$912), "", 'Data Entry'!$$912)</f>
      </c>
      <c r="BX912">
        <f>IF(ISBLANK('Data Entry'!$$912), "", 'Data Entry'!$$912)</f>
      </c>
      <c r="BY912">
        <f>IF(ISBLANK('Data Entry'!$$912), "", 'Data Entry'!$$912)</f>
      </c>
      <c r="BZ912">
        <f>IF(ISBLANK('Data Entry'!$$912), "", 'Data Entry'!$$912)</f>
      </c>
      <c r="CA912">
        <f>IF(ISBLANK('Data Entry'!$$912), "", 'Data Entry'!$$912)</f>
      </c>
      <c r="CB912">
        <f>IF(ISBLANK('Data Entry'!$$912), "", 'Data Entry'!$$912)</f>
      </c>
      <c r="CC912">
        <f>IF(ISBLANK('Data Entry'!$$912), "", 'Data Entry'!$$912)</f>
      </c>
      <c r="CD912">
        <f>IF(ISBLANK('Data Entry'!$$912), "", 'Data Entry'!$$912)</f>
      </c>
      <c r="CE912">
        <f>IF(ISBLANK('Data Entry'!$$912), "", 'Data Entry'!$$912)</f>
      </c>
      <c r="CF912">
        <f>IF(ISBLANK('Data Entry'!$$912), "", 'Data Entry'!$$912)</f>
      </c>
      <c r="CG912">
        <f>IF(ISBLANK('Data Entry'!$$912), "", 'Data Entry'!$$912)</f>
      </c>
      <c r="CH912">
        <f>IF(ISBLANK('Data Entry'!$$912), "", 'Data Entry'!$$912)</f>
      </c>
      <c r="CI912">
        <f>IF(ISBLANK('Data Entry'!$$912), "", 'Data Entry'!$$912)</f>
      </c>
      <c r="CJ912">
        <f>IF(ISBLANK('Data Entry'!$$912), "", 'Data Entry'!$$912)</f>
      </c>
      <c r="CK912">
        <f>IF(ISBLANK('Data Entry'!$$912), "", 'Data Entry'!$$912)</f>
      </c>
      <c r="CL912">
        <f>IF(ISBLANK('Data Entry'!$$912), "", 'Data Entry'!$$912)</f>
      </c>
      <c r="CM912">
        <f>IF(ISBLANK('Data Entry'!$$912), "", 'Data Entry'!$$912)</f>
      </c>
      <c r="CN912">
        <f>IF(ISBLANK('Data Entry'!$$912), "", 'Data Entry'!$$912)</f>
      </c>
      <c r="CO912">
        <f>IF(ISBLANK('Data Entry'!$$912), "", 'Data Entry'!$$912)</f>
      </c>
      <c r="CP912">
        <f>IF(ISBLANK('Data Entry'!$$912), "", 'Data Entry'!$$912)</f>
      </c>
      <c r="CQ912">
        <f>IF(ISBLANK('Data Entry'!$$912), "", 'Data Entry'!$$912)</f>
      </c>
      <c r="CR912">
        <f>IF(ISBLANK('Data Entry'!$ $912), "", 'Data Entry'!$ $912)</f>
      </c>
      <c r="CS912">
        <f>IF(ISBLANK('Data Entry'!$¡$912), "", 'Data Entry'!$¡$912)</f>
      </c>
      <c r="CT912">
        <f>IF(ISBLANK('Data Entry'!$¢$912), "", 'Data Entry'!$¢$912)</f>
      </c>
      <c r="CU912">
        <f>IF(ISBLANK('Data Entry'!$£$912), "", 'Data Entry'!$£$912)</f>
      </c>
      <c r="CV912">
        <f>IF(ISBLANK('Data Entry'!$¤$912), "", 'Data Entry'!$¤$912)</f>
      </c>
      <c r="CW912">
        <f>IF(ISBLANK('Data Entry'!$¥$912), "", 'Data Entry'!$¥$912)</f>
      </c>
      <c r="CX912">
        <f>IF(ISBLANK('Data Entry'!$¦$912), "", 'Data Entry'!$¦$912)</f>
      </c>
      <c r="CY912">
        <f>IF(ISBLANK('Data Entry'!$§$912), "", 'Data Entry'!$§$912)</f>
      </c>
      <c r="CZ912">
        <f>IF(ISBLANK('Data Entry'!$¨$912), "", 'Data Entry'!$¨$912)</f>
      </c>
      <c r="DA912">
        <f>IF(ISBLANK('Data Entry'!$©$912), "", 'Data Entry'!$©$912)</f>
      </c>
      <c r="DB912">
        <f>IF(ISBLANK('Data Entry'!$ª$912), "", 'Data Entry'!$ª$912)</f>
      </c>
      <c r="DC912">
        <f>IF(ISBLANK('Data Entry'!$«$912), "", 'Data Entry'!$«$912)</f>
      </c>
      <c r="DD912">
        <f>IF(ISBLANK('Data Entry'!$¬$912), "", 'Data Entry'!$¬$912)</f>
      </c>
      <c r="DE912">
        <f>IF(ISBLANK('Data Entry'!$­$912), "", 'Data Entry'!$­$912)</f>
      </c>
      <c r="DF912">
        <f>IF(ISBLANK('Data Entry'!$®$912), "", 'Data Entry'!$®$912)</f>
      </c>
      <c r="DG912">
        <f>IF(ISBLANK('Data Entry'!$¯$912), "", 'Data Entry'!$¯$912)</f>
      </c>
      <c r="DH912">
        <f>IF(ISBLANK('Data Entry'!$°$912), "", 'Data Entry'!$°$912)</f>
      </c>
      <c r="DI912">
        <f>IF(ISBLANK('Data Entry'!$±$912), "", 'Data Entry'!$±$912)</f>
      </c>
      <c r="DJ912">
        <f>IF(ISBLANK('Data Entry'!$²$912), "", 'Data Entry'!$²$912)</f>
      </c>
      <c r="DK912">
        <f>IF(ISBLANK('Data Entry'!$³$912), "", 'Data Entry'!$³$912)</f>
      </c>
      <c r="DL912">
        <f>IF(ISBLANK('Data Entry'!$´$912), "", 'Data Entry'!$´$912)</f>
      </c>
      <c r="DM912">
        <f>IF(ISBLANK('Data Entry'!$µ$912), "", 'Data Entry'!$µ$912)</f>
      </c>
      <c r="DN912">
        <f>IF(ISBLANK('Data Entry'!$¶$912), "", 'Data Entry'!$¶$912)</f>
      </c>
      <c r="DO912">
        <f>IF(ISBLANK('Data Entry'!$·$912), "", 'Data Entry'!$·$912)</f>
      </c>
      <c r="DP912">
        <f>IF(ISBLANK('Data Entry'!$¸$912), "", 'Data Entry'!$¸$912)</f>
      </c>
      <c r="DQ912">
        <f>IF(ISBLANK('Data Entry'!$¹$912), "", 'Data Entry'!$¹$912)</f>
      </c>
      <c r="DR912">
        <f>IF(ISBLANK('Data Entry'!$º$912), "", 'Data Entry'!$º$912)</f>
      </c>
      <c r="DS912">
        <f>IF(ISBLANK('Data Entry'!$»$912), "", 'Data Entry'!$»$912)</f>
      </c>
      <c r="DT912">
        <f>IF(ISBLANK('Data Entry'!$¼$912), "", 'Data Entry'!$¼$912)</f>
      </c>
      <c r="DU912">
        <f>IF(ISBLANK('Data Entry'!$½$912), "", 'Data Entry'!$½$912)</f>
      </c>
      <c r="DV912">
        <f>IF(ISBLANK('Data Entry'!$¾$912), "", 'Data Entry'!$¾$912)</f>
      </c>
      <c r="DW912">
        <f>IF(ISBLANK('Data Entry'!$¿$912), "", 'Data Entry'!$¿$912)</f>
      </c>
      <c r="DX912">
        <f>IF(ISBLANK('Data Entry'!$À$912), "", 'Data Entry'!$À$912)</f>
      </c>
      <c r="DY912">
        <f>IF(ISBLANK('Data Entry'!$Á$912), "", 'Data Entry'!$Á$912)</f>
      </c>
      <c r="DZ912">
        <f>IF(ISBLANK('Data Entry'!$Â$912), "", 'Data Entry'!$Â$912)</f>
      </c>
      <c r="EA912">
        <f>IF(ISBLANK('Data Entry'!$Ã$912), "", 'Data Entry'!$Ã$912)</f>
      </c>
      <c r="EB912">
        <f>IF(ISBLANK('Data Entry'!$Ä$912), "", 'Data Entry'!$Ä$912)</f>
      </c>
      <c r="EC912">
        <f>IF(ISBLANK('Data Entry'!$Å$912), "", 'Data Entry'!$Å$912)</f>
      </c>
      <c r="ED912">
        <f>IF(ISBLANK('Data Entry'!$Æ$912), "", 'Data Entry'!$Æ$912)</f>
      </c>
      <c r="EE912">
        <f>IF(ISBLANK('Data Entry'!$Ç$912), "", 'Data Entry'!$Ç$912)</f>
      </c>
      <c r="EF912">
        <f>IF(ISBLANK('Data Entry'!$È$912), "", 'Data Entry'!$È$912)</f>
      </c>
      <c r="EG912">
        <f>IF(ISBLANK('Data Entry'!$É$912), "", 'Data Entry'!$É$912)</f>
      </c>
      <c r="EH912">
        <f>IF(ISBLANK('Data Entry'!$Ê$912), "", 'Data Entry'!$Ê$912)</f>
      </c>
      <c r="EI912">
        <f>IF(ISBLANK('Data Entry'!$Ë$912), "", 'Data Entry'!$Ë$912)</f>
      </c>
      <c r="EJ912">
        <f>IF(ISBLANK('Data Entry'!$Ì$912), "", 'Data Entry'!$Ì$912)</f>
      </c>
      <c r="EK912">
        <f>IF(ISBLANK('Data Entry'!$Í$912), "", 'Data Entry'!$Í$912)</f>
      </c>
      <c r="EL912">
        <f>IF(ISBLANK('Data Entry'!$Î$912), "", 'Data Entry'!$Î$912)</f>
      </c>
      <c r="EM912">
        <f>IF(ISBLANK('Data Entry'!$Ï$912), "", 'Data Entry'!$Ï$912)</f>
      </c>
      <c r="EN912">
        <f>IF(ISBLANK('Data Entry'!$Ð$912), "", 'Data Entry'!$Ð$912)</f>
      </c>
      <c r="EO912">
        <f>IF(ISBLANK('Data Entry'!$Ñ$912), "", 'Data Entry'!$Ñ$912)</f>
      </c>
      <c r="EP912">
        <f>IF(ISBLANK('Data Entry'!$Ò$912), "", 'Data Entry'!$Ò$912)</f>
      </c>
      <c r="EQ912">
        <f>IF(ISBLANK('Data Entry'!$Ó$912), "", 'Data Entry'!$Ó$912)</f>
      </c>
      <c r="ER912">
        <f>IF(ISBLANK('Data Entry'!$Ô$912), "", 'Data Entry'!$Ô$912)</f>
      </c>
      <c r="ES912">
        <f>IF(ISBLANK('Data Entry'!$Õ$912), "", 'Data Entry'!$Õ$912)</f>
      </c>
      <c r="ET912">
        <f>IF(ISBLANK('Data Entry'!$Ö$912), "", 'Data Entry'!$Ö$912)</f>
      </c>
      <c r="EU912">
        <f>IF(ISBLANK('Data Entry'!$×$912), "", 'Data Entry'!$×$912)</f>
      </c>
      <c r="EV912">
        <f>IF(ISBLANK('Data Entry'!$Ø$912), "", 'Data Entry'!$Ø$912)</f>
      </c>
      <c r="EW912">
        <f>IF(ISBLANK('Data Entry'!$Ù$912), "", 'Data Entry'!$Ù$912)</f>
      </c>
      <c r="EX912">
        <f>IF(ISBLANK('Data Entry'!$Ú$912), "", 'Data Entry'!$Ú$912)</f>
      </c>
      <c r="EY912">
        <f>IF(ISBLANK('Data Entry'!$Û$912), "", 'Data Entry'!$Û$912)</f>
      </c>
      <c r="EZ912">
        <f>IF(ISBLANK('Data Entry'!$Ü$912), "", 'Data Entry'!$Ü$912)</f>
      </c>
      <c r="FA912">
        <f>IF(ISBLANK('Data Entry'!$Ý$912), "", 'Data Entry'!$Ý$912)</f>
      </c>
      <c r="FB912">
        <f>IF(ISBLANK('Data Entry'!$Þ$912), "", 'Data Entry'!$Þ$912)</f>
      </c>
      <c r="FC912">
        <f>IF(ISBLANK('Data Entry'!$ß$912), "", 'Data Entry'!$ß$912)</f>
      </c>
      <c r="FD912">
        <f>IF(ISBLANK('Data Entry'!$à$912), "", 'Data Entry'!$à$912)</f>
      </c>
      <c r="FE912">
        <f>IF(ISBLANK('Data Entry'!$á$912), "", 'Data Entry'!$á$912)</f>
      </c>
      <c r="FF912">
        <f>IF(ISBLANK('Data Entry'!$â$912), "", 'Data Entry'!$â$912)</f>
      </c>
      <c r="FG912">
        <f>IF(ISBLANK('Data Entry'!$ã$912), "", 'Data Entry'!$ã$912)</f>
      </c>
      <c r="FH912">
        <f>IF(ISBLANK('Data Entry'!$ä$912), "", 'Data Entry'!$ä$912)</f>
      </c>
      <c r="FI912">
        <f>IF(ISBLANK('Data Entry'!$å$912), "", 'Data Entry'!$å$912)</f>
      </c>
      <c r="FJ912">
        <f>IF(ISBLANK('Data Entry'!$æ$912), "", 'Data Entry'!$æ$912)</f>
      </c>
      <c r="FK912">
        <f>IF(ISBLANK('Data Entry'!$ç$912), "", 'Data Entry'!$ç$912)</f>
      </c>
      <c r="FL912">
        <f>IF(ISBLANK('Data Entry'!$è$912), "", 'Data Entry'!$è$912)</f>
      </c>
      <c r="FM912">
        <f>IF(ISBLANK('Data Entry'!$é$912), "", 'Data Entry'!$é$912)</f>
      </c>
      <c r="FN912">
        <f>IF(ISBLANK('Data Entry'!$ê$912), "", 'Data Entry'!$ê$912)</f>
      </c>
      <c r="FO912">
        <f>IF(ISBLANK('Data Entry'!$ë$912), "", 'Data Entry'!$ë$912)</f>
      </c>
      <c r="FP912">
        <f>IF(ISBLANK('Data Entry'!$ì$912), "", 'Data Entry'!$ì$912)</f>
      </c>
      <c r="FQ912">
        <f>IF(ISBLANK('Data Entry'!$í$912), "", 'Data Entry'!$í$912)</f>
      </c>
      <c r="FR912">
        <f>IF(ISBLANK('Data Entry'!$î$912), "", 'Data Entry'!$î$912)</f>
      </c>
      <c r="FS912">
        <f>IF(ISBLANK('Data Entry'!$ï$912), "", 'Data Entry'!$ï$912)</f>
      </c>
      <c r="FT912">
        <f>IF(ISBLANK('Data Entry'!$ð$912), "", 'Data Entry'!$ð$912)</f>
      </c>
      <c r="FU912">
        <f>IF(ISBLANK('Data Entry'!$ñ$912), "", 'Data Entry'!$ñ$912)</f>
      </c>
      <c r="FV912">
        <f>IF(ISBLANK('Data Entry'!$ò$912), "", 'Data Entry'!$ò$912)</f>
      </c>
      <c r="FW912">
        <f>IF(ISBLANK('Data Entry'!$ó$912), "", 'Data Entry'!$ó$912)</f>
      </c>
      <c r="FX912">
        <f>IF(ISBLANK('Data Entry'!$ô$912), "", 'Data Entry'!$ô$912)</f>
      </c>
      <c r="FY912">
        <f>IF(ISBLANK('Data Entry'!$õ$912), "", 'Data Entry'!$õ$912)</f>
      </c>
      <c r="FZ912">
        <f>IF(ISBLANK('Data Entry'!$ö$912), "", 'Data Entry'!$ö$912)</f>
      </c>
      <c r="GA912">
        <f>IF(ISBLANK('Data Entry'!$÷$912), "", 'Data Entry'!$÷$912)</f>
      </c>
      <c r="GB912">
        <f>IF(ISBLANK('Data Entry'!$ø$912), "", 'Data Entry'!$ø$912)</f>
      </c>
      <c r="GC912">
        <f>IF(ISBLANK('Data Entry'!$ù$912), "", 'Data Entry'!$ù$912)</f>
      </c>
      <c r="GD912">
        <f>IF(ISBLANK('Data Entry'!$ú$912), "", 'Data Entry'!$ú$912)</f>
      </c>
      <c r="GE912">
        <f>IF(ISBLANK('Data Entry'!$û$912), "", 'Data Entry'!$û$912)</f>
      </c>
      <c r="GF912">
        <f>IF(ISBLANK('Data Entry'!$ü$912), "", 'Data Entry'!$ü$912)</f>
      </c>
      <c r="GG912">
        <f>IF(ISBLANK('Data Entry'!$ý$912), "", 'Data Entry'!$ý$912)</f>
      </c>
      <c r="GH912">
        <f>IF(ISBLANK('Data Entry'!$þ$912), "", 'Data Entry'!$þ$912)</f>
      </c>
      <c r="GI912">
        <f>IF(ISBLANK('Data Entry'!$ÿ$912), "", 'Data Entry'!$ÿ$912)</f>
      </c>
      <c r="GJ912">
        <f>IF(ISBLANK('Data Entry'!$Ā$912), "", 'Data Entry'!$Ā$912)</f>
      </c>
      <c r="GK912">
        <f>IF(ISBLANK('Data Entry'!$ā$912), "", 'Data Entry'!$ā$912)</f>
      </c>
      <c r="GL912">
        <f>IF(ISBLANK('Data Entry'!$Ă$912), "", 'Data Entry'!$Ă$912)</f>
      </c>
      <c r="GM912">
        <f>IF(ISBLANK('Data Entry'!$ă$912), "", 'Data Entry'!$ă$912)</f>
      </c>
      <c r="GN912">
        <f>IF(ISBLANK('Data Entry'!$Ą$912), "", 'Data Entry'!$Ą$912)</f>
      </c>
      <c r="GO912">
        <f>IF(ISBLANK('Data Entry'!$ą$912), "", 'Data Entry'!$ą$912)</f>
      </c>
      <c r="GP912">
        <f>IF(ISBLANK('Data Entry'!$Ć$912), "", 'Data Entry'!$Ć$912)</f>
      </c>
      <c r="GQ912">
        <f>IF(ISBLANK('Data Entry'!$ć$912), "", 'Data Entry'!$ć$912)</f>
      </c>
      <c r="GR912">
        <f>IF(ISBLANK('Data Entry'!$Ĉ$912), "", 'Data Entry'!$Ĉ$912)</f>
      </c>
      <c r="GS912">
        <f>IF(ISBLANK('Data Entry'!$ĉ$912), "", 'Data Entry'!$ĉ$912)</f>
      </c>
      <c r="GT912">
        <f>IF(ISBLANK('Data Entry'!$Ċ$912), "", 'Data Entry'!$Ċ$912)</f>
      </c>
      <c r="GU912">
        <f>IF(ISBLANK('Data Entry'!$ċ$912), "", 'Data Entry'!$ċ$912)</f>
      </c>
      <c r="GV912">
        <f>IF(ISBLANK('Data Entry'!$Č$912), "", 'Data Entry'!$Č$912)</f>
      </c>
      <c r="GW912">
        <f>IF(ISBLANK('Data Entry'!$č$912), "", 'Data Entry'!$č$912)</f>
      </c>
      <c r="GX912">
        <f>IF(ISBLANK('Data Entry'!$Ď$912), "", 'Data Entry'!$Ď$912)</f>
      </c>
      <c r="GY912">
        <f>IF(ISBLANK('Data Entry'!$ď$912), "", 'Data Entry'!$ď$912)</f>
      </c>
      <c r="GZ912">
        <f>IF(ISBLANK('Data Entry'!$Đ$912), "", 'Data Entry'!$Đ$912)</f>
      </c>
      <c r="HA912">
        <f>IF(ISBLANK('Data Entry'!$đ$912), "", 'Data Entry'!$đ$912)</f>
      </c>
      <c r="HB912">
        <f>IF(ISBLANK('Data Entry'!$Ē$912), "", 'Data Entry'!$Ē$912)</f>
      </c>
      <c r="HC912">
        <f>IF(ISBLANK('Data Entry'!$ē$912), "", 'Data Entry'!$ē$912)</f>
      </c>
      <c r="HD912">
        <f>IF(ISBLANK('Data Entry'!$Ĕ$912), "", 'Data Entry'!$Ĕ$912)</f>
      </c>
      <c r="HE912">
        <f>IF(ISBLANK('Data Entry'!$ĕ$912), "", 'Data Entry'!$ĕ$912)</f>
      </c>
      <c r="HF912">
        <f>IF(ISBLANK('Data Entry'!$Ė$912), "", 'Data Entry'!$Ė$912)</f>
      </c>
      <c r="HG912">
        <f>IF(ISBLANK('Data Entry'!$ė$912), "", 'Data Entry'!$ė$912)</f>
      </c>
      <c r="HH912">
        <f>IF(ISBLANK('Data Entry'!$Ę$912), "", 'Data Entry'!$Ę$912)</f>
      </c>
      <c r="HI912">
        <f>IF(ISBLANK('Data Entry'!$ę$912), "", 'Data Entry'!$ę$912)</f>
      </c>
      <c r="HJ912">
        <f>IF(ISBLANK('Data Entry'!$Ě$912), "", 'Data Entry'!$Ě$912)</f>
      </c>
      <c r="HK912">
        <f>IF(ISBLANK('Data Entry'!$ě$912), "", 'Data Entry'!$ě$912)</f>
      </c>
      <c r="HL912">
        <f>IF(ISBLANK('Data Entry'!$Ĝ$912), "", 'Data Entry'!$Ĝ$912)</f>
      </c>
      <c r="HM912">
        <f>IF(ISBLANK('Data Entry'!$ĝ$912), "", 'Data Entry'!$ĝ$912)</f>
      </c>
      <c r="HN912">
        <f>IF(ISBLANK('Data Entry'!$Ğ$912), "", 'Data Entry'!$Ğ$912)</f>
      </c>
      <c r="HO912">
        <f>IF(ISBLANK('Data Entry'!$ğ$912), "", 'Data Entry'!$ğ$912)</f>
      </c>
      <c r="HP912">
        <f>IF(ISBLANK('Data Entry'!$Ġ$912), "", 'Data Entry'!$Ġ$912)</f>
      </c>
      <c r="HQ912">
        <f>IF(ISBLANK('Data Entry'!$ġ$912), "", 'Data Entry'!$ġ$912)</f>
      </c>
      <c r="HR912">
        <f>IF(ISBLANK('Data Entry'!$Ģ$912), "", 'Data Entry'!$Ģ$912)</f>
      </c>
      <c r="HS912">
        <f>IF(ISBLANK('Data Entry'!$ģ$912), "", 'Data Entry'!$ģ$912)</f>
      </c>
      <c r="HT912">
        <f>IF(ISBLANK('Data Entry'!$Ĥ$912), "", 'Data Entry'!$Ĥ$912)</f>
      </c>
      <c r="HU912">
        <f>IF(ISBLANK('Data Entry'!$ĥ$912), "", 'Data Entry'!$ĥ$912)</f>
      </c>
      <c r="HV912">
        <f>IF(ISBLANK('Data Entry'!$Ħ$912), "", 'Data Entry'!$Ħ$912)</f>
      </c>
      <c r="HW912">
        <f>IF(ISBLANK('Data Entry'!$ħ$912), "", 'Data Entry'!$ħ$912)</f>
      </c>
      <c r="HX912">
        <f>IF(ISBLANK('Data Entry'!$Ĩ$912), "", 'Data Entry'!$Ĩ$912)</f>
      </c>
      <c r="HY912">
        <f>IF(ISBLANK('Data Entry'!$ĩ$912), "", 'Data Entry'!$ĩ$912)</f>
      </c>
      <c r="HZ912">
        <f>IF(ISBLANK('Data Entry'!$Ī$912), "", 'Data Entry'!$Ī$912)</f>
      </c>
      <c r="IA912">
        <f>IF(ISBLANK('Data Entry'!$ī$912), "", 'Data Entry'!$ī$912)</f>
      </c>
      <c r="IB912">
        <f>IF(ISBLANK('Data Entry'!$Ĭ$912), "", 'Data Entry'!$Ĭ$912)</f>
      </c>
      <c r="IC912">
        <f>IF(ISBLANK('Data Entry'!$ĭ$912), "", 'Data Entry'!$ĭ$912)</f>
      </c>
      <c r="ID912">
        <f>IF(ISBLANK('Data Entry'!$Į$912), "", 'Data Entry'!$Į$912)</f>
      </c>
      <c r="IE912">
        <f>IF(ISBLANK('Data Entry'!$į$912), "", 'Data Entry'!$į$912)</f>
      </c>
      <c r="IF912">
        <f>IF(ISBLANK('Data Entry'!$İ$912), "", 'Data Entry'!$İ$912)</f>
      </c>
      <c r="IG912">
        <f>IF(ISBLANK('Data Entry'!$ı$912), "", 'Data Entry'!$ı$912)</f>
      </c>
      <c r="IH912">
        <f>IF(ISBLANK('Data Entry'!$Ĳ$912), "", 'Data Entry'!$Ĳ$912)</f>
      </c>
      <c r="II912">
        <f>IF(ISBLANK('Data Entry'!$ĳ$912), "", 'Data Entry'!$ĳ$912)</f>
      </c>
      <c r="IJ912">
        <f>IF(ISBLANK('Data Entry'!$Ĵ$912), "", 'Data Entry'!$Ĵ$912)</f>
      </c>
      <c r="IK912">
        <f>IF(ISBLANK('Data Entry'!$ĵ$912), "", 'Data Entry'!$ĵ$912)</f>
      </c>
      <c r="IL912">
        <f>IF(ISBLANK('Data Entry'!$Ķ$912), "", 'Data Entry'!$Ķ$912)</f>
      </c>
      <c r="IM912">
        <f>IF(ISBLANK('Data Entry'!$ķ$912), "", 'Data Entry'!$ķ$912)</f>
      </c>
      <c r="IN912">
        <f>IF(ISBLANK('Data Entry'!$ĸ$912), "", 'Data Entry'!$ĸ$912)</f>
      </c>
      <c r="IO912">
        <f>IF(ISBLANK('Data Entry'!$Ĺ$912), "", 'Data Entry'!$Ĺ$912)</f>
      </c>
      <c r="IP912">
        <f>IF(ISBLANK('Data Entry'!$ĺ$912), "", 'Data Entry'!$ĺ$912)</f>
      </c>
      <c r="IQ912">
        <f>IF(ISBLANK('Data Entry'!$Ļ$912), "", 'Data Entry'!$Ļ$912)</f>
      </c>
      <c r="IR912">
        <f>IF(ISBLANK('Data Entry'!$ļ$912), "", 'Data Entry'!$ļ$912)</f>
      </c>
      <c r="IS912">
        <f>IF(ISBLANK('Data Entry'!$Ľ$912), "", 'Data Entry'!$Ľ$912)</f>
      </c>
      <c r="IT912">
        <f>IF(ISBLANK('Data Entry'!$ľ$912), "", 'Data Entry'!$ľ$912)</f>
      </c>
    </row>
    <row r="913" spans="1:254" x14ac:dyDescent="0.25">
      <c r="A913">
        <f>IF(ISBLANK('Data Entry'!$A$913), "", 'Data Entry'!$A$913)</f>
      </c>
      <c r="B913">
        <f>IF(ISBLANK('Data Entry'!$B$913), "", 'Data Entry'!$B$913)</f>
      </c>
      <c r="C913">
        <f>IF(ISBLANK('Data Entry'!$C$913), "", 'Data Entry'!$C$913)</f>
      </c>
      <c r="D913">
        <f>IF(ISBLANK('Data Entry'!$D$913), "", 'Data Entry'!$D$913)</f>
      </c>
      <c r="E913">
        <f>IF(ISBLANK('Data Entry'!$E$913), "", 'Data Entry'!$E$913)</f>
      </c>
      <c r="F913">
        <f>IF(ISBLANK('Data Entry'!$F$913), "", 'Data Entry'!$F$913)</f>
      </c>
      <c r="G913">
        <f>IF(ISBLANK('Data Entry'!$G$913), "", 'Data Entry'!$G$913)</f>
      </c>
      <c r="H913">
        <f>IF(ISBLANK('Data Entry'!$H$913), "", 'Data Entry'!$H$913)</f>
      </c>
      <c r="I913">
        <f>IF(ISBLANK('Data Entry'!$I$913), "", 'Data Entry'!$I$913)</f>
      </c>
      <c r="J913">
        <f>IF(ISBLANK('Data Entry'!$J$913), "", 'Data Entry'!$J$913)</f>
      </c>
      <c r="K913">
        <f>IF(ISBLANK('Data Entry'!$K$913), "", 'Data Entry'!$K$913)</f>
      </c>
      <c r="L913">
        <f>IF(ISBLANK('Data Entry'!$L$913), "", 'Data Entry'!$L$913)</f>
      </c>
      <c r="M913">
        <f>IF(ISBLANK('Data Entry'!$M$913), "", 'Data Entry'!$M$913)</f>
      </c>
      <c r="N913">
        <f>IF(ISBLANK('Data Entry'!$N$913), "", 'Data Entry'!$N$913)</f>
      </c>
      <c r="O913">
        <f>IF(ISBLANK('Data Entry'!$O$913), "", 'Data Entry'!$O$913)</f>
      </c>
      <c r="P913">
        <f>IF(ISBLANK('Data Entry'!$P$913), "", 'Data Entry'!$P$913)</f>
      </c>
      <c r="Q913">
        <f>IF(ISBLANK('Data Entry'!$Q$913), "", 'Data Entry'!$Q$913)</f>
      </c>
      <c r="R913">
        <f>IF(ISBLANK('Data Entry'!$R$913), "", 'Data Entry'!$R$913)</f>
      </c>
      <c r="S913">
        <f>IF(ISBLANK('Data Entry'!$S$913), "", 'Data Entry'!$S$913)</f>
      </c>
      <c r="T913">
        <f>IF(ISBLANK('Data Entry'!$T$913), "", 'Data Entry'!$T$913)</f>
      </c>
      <c r="U913">
        <f>IF(ISBLANK('Data Entry'!$U$913), "", 'Data Entry'!$U$913)</f>
      </c>
      <c r="V913">
        <f>IF(ISBLANK('Data Entry'!$V$913), "", 'Data Entry'!$V$913)</f>
      </c>
      <c r="W913">
        <f>IF(ISBLANK('Data Entry'!$W$913), "", 'Data Entry'!$W$913)</f>
      </c>
      <c r="X913">
        <f>IF(ISBLANK('Data Entry'!$X$913), "", 'Data Entry'!$X$913)</f>
      </c>
      <c r="Y913">
        <f>IF(ISBLANK('Data Entry'!$Y$913), "", 'Data Entry'!$Y$913)</f>
      </c>
      <c r="Z913">
        <f>IF(ISBLANK('Data Entry'!$Z$913), "", 'Data Entry'!$Z$913)</f>
      </c>
      <c r="AA913">
        <f>IF(ISBLANK('Data Entry'!$[$913), "", 'Data Entry'!$[$913)</f>
      </c>
      <c r="AB913">
        <f>IF(ISBLANK('Data Entry'!$\$913), "", 'Data Entry'!$\$913)</f>
      </c>
      <c r="AC913">
        <f>IF(ISBLANK('Data Entry'!$]$913), "", 'Data Entry'!$]$913)</f>
      </c>
      <c r="AD913">
        <f>IF(ISBLANK('Data Entry'!$^$913), "", 'Data Entry'!$^$913)</f>
      </c>
      <c r="AE913">
        <f>IF(ISBLANK('Data Entry'!$_$913), "", 'Data Entry'!$_$913)</f>
      </c>
      <c r="AF913">
        <f>IF(ISBLANK('Data Entry'!$`$913), "", 'Data Entry'!$`$913)</f>
      </c>
      <c r="AG913">
        <f>IF(ISBLANK('Data Entry'!$a$913), "", 'Data Entry'!$a$913)</f>
      </c>
      <c r="AH913">
        <f>IF(ISBLANK('Data Entry'!$b$913), "", 'Data Entry'!$b$913)</f>
      </c>
      <c r="AI913">
        <f>IF(ISBLANK('Data Entry'!$c$913), "", 'Data Entry'!$c$913)</f>
      </c>
      <c r="AJ913">
        <f>IF(ISBLANK('Data Entry'!$d$913), "", 'Data Entry'!$d$913)</f>
      </c>
      <c r="AK913">
        <f>IF(ISBLANK('Data Entry'!$e$913), "", 'Data Entry'!$e$913)</f>
      </c>
      <c r="AL913">
        <f>IF(ISBLANK('Data Entry'!$f$913), "", 'Data Entry'!$f$913)</f>
      </c>
      <c r="AM913">
        <f>IF(ISBLANK('Data Entry'!$g$913), "", 'Data Entry'!$g$913)</f>
      </c>
      <c r="AN913">
        <f>IF(ISBLANK('Data Entry'!$h$913), "", 'Data Entry'!$h$913)</f>
      </c>
      <c r="AO913">
        <f>IF(ISBLANK('Data Entry'!$i$913), "", 'Data Entry'!$i$913)</f>
      </c>
      <c r="AP913">
        <f>IF(ISBLANK('Data Entry'!$j$913), "", 'Data Entry'!$j$913)</f>
      </c>
      <c r="AQ913">
        <f>IF(ISBLANK('Data Entry'!$k$913), "", 'Data Entry'!$k$913)</f>
      </c>
      <c r="AR913">
        <f>IF(ISBLANK('Data Entry'!$l$913), "", 'Data Entry'!$l$913)</f>
      </c>
      <c r="AS913">
        <f>IF(ISBLANK('Data Entry'!$m$913), "", 'Data Entry'!$m$913)</f>
      </c>
      <c r="AT913">
        <f>IF(ISBLANK('Data Entry'!$n$913), "", 'Data Entry'!$n$913)</f>
      </c>
      <c r="AU913">
        <f>IF(ISBLANK('Data Entry'!$o$913), "", 'Data Entry'!$o$913)</f>
      </c>
      <c r="AV913">
        <f>IF(ISBLANK('Data Entry'!$p$913), "", 'Data Entry'!$p$913)</f>
      </c>
      <c r="AW913">
        <f>IF(ISBLANK('Data Entry'!$q$913), "", 'Data Entry'!$q$913)</f>
      </c>
      <c r="AX913">
        <f>IF(ISBLANK('Data Entry'!$r$913), "", 'Data Entry'!$r$913)</f>
      </c>
      <c r="AY913">
        <f>IF(ISBLANK('Data Entry'!$s$913), "", 'Data Entry'!$s$913)</f>
      </c>
      <c r="AZ913">
        <f>IF(ISBLANK('Data Entry'!$t$913), "", 'Data Entry'!$t$913)</f>
      </c>
      <c r="BA913">
        <f>IF(ISBLANK('Data Entry'!$u$913), "", 'Data Entry'!$u$913)</f>
      </c>
      <c r="BB913">
        <f>IF(ISBLANK('Data Entry'!$v$913), "", 'Data Entry'!$v$913)</f>
      </c>
      <c r="BC913">
        <f>IF(ISBLANK('Data Entry'!$w$913), "", 'Data Entry'!$w$913)</f>
      </c>
      <c r="BD913">
        <f>IF(ISBLANK('Data Entry'!$x$913), "", 'Data Entry'!$x$913)</f>
      </c>
      <c r="BE913">
        <f>IF(ISBLANK('Data Entry'!$y$913), "", 'Data Entry'!$y$913)</f>
      </c>
      <c r="BF913">
        <f>IF(ISBLANK('Data Entry'!$z$913), "", 'Data Entry'!$z$913)</f>
      </c>
      <c r="BG913">
        <f>IF(ISBLANK('Data Entry'!${$913), "", 'Data Entry'!${$913)</f>
      </c>
      <c r="BH913">
        <f>IF(ISBLANK('Data Entry'!$|$913), "", 'Data Entry'!$|$913)</f>
      </c>
      <c r="BI913">
        <f>IF(ISBLANK('Data Entry'!$}$913), "", 'Data Entry'!$}$913)</f>
      </c>
      <c r="BJ913">
        <f>IF(ISBLANK('Data Entry'!$~$913), "", 'Data Entry'!$~$913)</f>
      </c>
      <c r="BK913">
        <f>IF(ISBLANK('Data Entry'!$$913), "", 'Data Entry'!$$913)</f>
      </c>
      <c r="BL913">
        <f>IF(ISBLANK('Data Entry'!$$913), "", 'Data Entry'!$$913)</f>
      </c>
      <c r="BM913">
        <f>IF(ISBLANK('Data Entry'!$$913), "", 'Data Entry'!$$913)</f>
      </c>
      <c r="BN913">
        <f>IF(ISBLANK('Data Entry'!$$913), "", 'Data Entry'!$$913)</f>
      </c>
      <c r="BO913">
        <f>IF(ISBLANK('Data Entry'!$$913), "", 'Data Entry'!$$913)</f>
      </c>
      <c r="BP913">
        <f>IF(ISBLANK('Data Entry'!$$913), "", 'Data Entry'!$$913)</f>
      </c>
      <c r="BQ913">
        <f>IF(ISBLANK('Data Entry'!$$913), "", 'Data Entry'!$$913)</f>
      </c>
      <c r="BR913">
        <f>IF(ISBLANK('Data Entry'!$$913), "", 'Data Entry'!$$913)</f>
      </c>
      <c r="BS913">
        <f>IF(ISBLANK('Data Entry'!$$913), "", 'Data Entry'!$$913)</f>
      </c>
      <c r="BT913">
        <f>IF(ISBLANK('Data Entry'!$$913), "", 'Data Entry'!$$913)</f>
      </c>
      <c r="BU913">
        <f>IF(ISBLANK('Data Entry'!$$913), "", 'Data Entry'!$$913)</f>
      </c>
      <c r="BV913">
        <f>IF(ISBLANK('Data Entry'!$$913), "", 'Data Entry'!$$913)</f>
      </c>
      <c r="BW913">
        <f>IF(ISBLANK('Data Entry'!$$913), "", 'Data Entry'!$$913)</f>
      </c>
      <c r="BX913">
        <f>IF(ISBLANK('Data Entry'!$$913), "", 'Data Entry'!$$913)</f>
      </c>
      <c r="BY913">
        <f>IF(ISBLANK('Data Entry'!$$913), "", 'Data Entry'!$$913)</f>
      </c>
      <c r="BZ913">
        <f>IF(ISBLANK('Data Entry'!$$913), "", 'Data Entry'!$$913)</f>
      </c>
      <c r="CA913">
        <f>IF(ISBLANK('Data Entry'!$$913), "", 'Data Entry'!$$913)</f>
      </c>
      <c r="CB913">
        <f>IF(ISBLANK('Data Entry'!$$913), "", 'Data Entry'!$$913)</f>
      </c>
      <c r="CC913">
        <f>IF(ISBLANK('Data Entry'!$$913), "", 'Data Entry'!$$913)</f>
      </c>
      <c r="CD913">
        <f>IF(ISBLANK('Data Entry'!$$913), "", 'Data Entry'!$$913)</f>
      </c>
      <c r="CE913">
        <f>IF(ISBLANK('Data Entry'!$$913), "", 'Data Entry'!$$913)</f>
      </c>
      <c r="CF913">
        <f>IF(ISBLANK('Data Entry'!$$913), "", 'Data Entry'!$$913)</f>
      </c>
      <c r="CG913">
        <f>IF(ISBLANK('Data Entry'!$$913), "", 'Data Entry'!$$913)</f>
      </c>
      <c r="CH913">
        <f>IF(ISBLANK('Data Entry'!$$913), "", 'Data Entry'!$$913)</f>
      </c>
      <c r="CI913">
        <f>IF(ISBLANK('Data Entry'!$$913), "", 'Data Entry'!$$913)</f>
      </c>
      <c r="CJ913">
        <f>IF(ISBLANK('Data Entry'!$$913), "", 'Data Entry'!$$913)</f>
      </c>
      <c r="CK913">
        <f>IF(ISBLANK('Data Entry'!$$913), "", 'Data Entry'!$$913)</f>
      </c>
      <c r="CL913">
        <f>IF(ISBLANK('Data Entry'!$$913), "", 'Data Entry'!$$913)</f>
      </c>
      <c r="CM913">
        <f>IF(ISBLANK('Data Entry'!$$913), "", 'Data Entry'!$$913)</f>
      </c>
      <c r="CN913">
        <f>IF(ISBLANK('Data Entry'!$$913), "", 'Data Entry'!$$913)</f>
      </c>
      <c r="CO913">
        <f>IF(ISBLANK('Data Entry'!$$913), "", 'Data Entry'!$$913)</f>
      </c>
      <c r="CP913">
        <f>IF(ISBLANK('Data Entry'!$$913), "", 'Data Entry'!$$913)</f>
      </c>
      <c r="CQ913">
        <f>IF(ISBLANK('Data Entry'!$$913), "", 'Data Entry'!$$913)</f>
      </c>
      <c r="CR913">
        <f>IF(ISBLANK('Data Entry'!$ $913), "", 'Data Entry'!$ $913)</f>
      </c>
      <c r="CS913">
        <f>IF(ISBLANK('Data Entry'!$¡$913), "", 'Data Entry'!$¡$913)</f>
      </c>
      <c r="CT913">
        <f>IF(ISBLANK('Data Entry'!$¢$913), "", 'Data Entry'!$¢$913)</f>
      </c>
      <c r="CU913">
        <f>IF(ISBLANK('Data Entry'!$£$913), "", 'Data Entry'!$£$913)</f>
      </c>
      <c r="CV913">
        <f>IF(ISBLANK('Data Entry'!$¤$913), "", 'Data Entry'!$¤$913)</f>
      </c>
      <c r="CW913">
        <f>IF(ISBLANK('Data Entry'!$¥$913), "", 'Data Entry'!$¥$913)</f>
      </c>
      <c r="CX913">
        <f>IF(ISBLANK('Data Entry'!$¦$913), "", 'Data Entry'!$¦$913)</f>
      </c>
      <c r="CY913">
        <f>IF(ISBLANK('Data Entry'!$§$913), "", 'Data Entry'!$§$913)</f>
      </c>
      <c r="CZ913">
        <f>IF(ISBLANK('Data Entry'!$¨$913), "", 'Data Entry'!$¨$913)</f>
      </c>
      <c r="DA913">
        <f>IF(ISBLANK('Data Entry'!$©$913), "", 'Data Entry'!$©$913)</f>
      </c>
      <c r="DB913">
        <f>IF(ISBLANK('Data Entry'!$ª$913), "", 'Data Entry'!$ª$913)</f>
      </c>
      <c r="DC913">
        <f>IF(ISBLANK('Data Entry'!$«$913), "", 'Data Entry'!$«$913)</f>
      </c>
      <c r="DD913">
        <f>IF(ISBLANK('Data Entry'!$¬$913), "", 'Data Entry'!$¬$913)</f>
      </c>
      <c r="DE913">
        <f>IF(ISBLANK('Data Entry'!$­$913), "", 'Data Entry'!$­$913)</f>
      </c>
      <c r="DF913">
        <f>IF(ISBLANK('Data Entry'!$®$913), "", 'Data Entry'!$®$913)</f>
      </c>
      <c r="DG913">
        <f>IF(ISBLANK('Data Entry'!$¯$913), "", 'Data Entry'!$¯$913)</f>
      </c>
      <c r="DH913">
        <f>IF(ISBLANK('Data Entry'!$°$913), "", 'Data Entry'!$°$913)</f>
      </c>
      <c r="DI913">
        <f>IF(ISBLANK('Data Entry'!$±$913), "", 'Data Entry'!$±$913)</f>
      </c>
      <c r="DJ913">
        <f>IF(ISBLANK('Data Entry'!$²$913), "", 'Data Entry'!$²$913)</f>
      </c>
      <c r="DK913">
        <f>IF(ISBLANK('Data Entry'!$³$913), "", 'Data Entry'!$³$913)</f>
      </c>
      <c r="DL913">
        <f>IF(ISBLANK('Data Entry'!$´$913), "", 'Data Entry'!$´$913)</f>
      </c>
      <c r="DM913">
        <f>IF(ISBLANK('Data Entry'!$µ$913), "", 'Data Entry'!$µ$913)</f>
      </c>
      <c r="DN913">
        <f>IF(ISBLANK('Data Entry'!$¶$913), "", 'Data Entry'!$¶$913)</f>
      </c>
      <c r="DO913">
        <f>IF(ISBLANK('Data Entry'!$·$913), "", 'Data Entry'!$·$913)</f>
      </c>
      <c r="DP913">
        <f>IF(ISBLANK('Data Entry'!$¸$913), "", 'Data Entry'!$¸$913)</f>
      </c>
      <c r="DQ913">
        <f>IF(ISBLANK('Data Entry'!$¹$913), "", 'Data Entry'!$¹$913)</f>
      </c>
      <c r="DR913">
        <f>IF(ISBLANK('Data Entry'!$º$913), "", 'Data Entry'!$º$913)</f>
      </c>
      <c r="DS913">
        <f>IF(ISBLANK('Data Entry'!$»$913), "", 'Data Entry'!$»$913)</f>
      </c>
      <c r="DT913">
        <f>IF(ISBLANK('Data Entry'!$¼$913), "", 'Data Entry'!$¼$913)</f>
      </c>
      <c r="DU913">
        <f>IF(ISBLANK('Data Entry'!$½$913), "", 'Data Entry'!$½$913)</f>
      </c>
      <c r="DV913">
        <f>IF(ISBLANK('Data Entry'!$¾$913), "", 'Data Entry'!$¾$913)</f>
      </c>
      <c r="DW913">
        <f>IF(ISBLANK('Data Entry'!$¿$913), "", 'Data Entry'!$¿$913)</f>
      </c>
      <c r="DX913">
        <f>IF(ISBLANK('Data Entry'!$À$913), "", 'Data Entry'!$À$913)</f>
      </c>
      <c r="DY913">
        <f>IF(ISBLANK('Data Entry'!$Á$913), "", 'Data Entry'!$Á$913)</f>
      </c>
      <c r="DZ913">
        <f>IF(ISBLANK('Data Entry'!$Â$913), "", 'Data Entry'!$Â$913)</f>
      </c>
      <c r="EA913">
        <f>IF(ISBLANK('Data Entry'!$Ã$913), "", 'Data Entry'!$Ã$913)</f>
      </c>
      <c r="EB913">
        <f>IF(ISBLANK('Data Entry'!$Ä$913), "", 'Data Entry'!$Ä$913)</f>
      </c>
      <c r="EC913">
        <f>IF(ISBLANK('Data Entry'!$Å$913), "", 'Data Entry'!$Å$913)</f>
      </c>
      <c r="ED913">
        <f>IF(ISBLANK('Data Entry'!$Æ$913), "", 'Data Entry'!$Æ$913)</f>
      </c>
      <c r="EE913">
        <f>IF(ISBLANK('Data Entry'!$Ç$913), "", 'Data Entry'!$Ç$913)</f>
      </c>
      <c r="EF913">
        <f>IF(ISBLANK('Data Entry'!$È$913), "", 'Data Entry'!$È$913)</f>
      </c>
      <c r="EG913">
        <f>IF(ISBLANK('Data Entry'!$É$913), "", 'Data Entry'!$É$913)</f>
      </c>
      <c r="EH913">
        <f>IF(ISBLANK('Data Entry'!$Ê$913), "", 'Data Entry'!$Ê$913)</f>
      </c>
      <c r="EI913">
        <f>IF(ISBLANK('Data Entry'!$Ë$913), "", 'Data Entry'!$Ë$913)</f>
      </c>
      <c r="EJ913">
        <f>IF(ISBLANK('Data Entry'!$Ì$913), "", 'Data Entry'!$Ì$913)</f>
      </c>
      <c r="EK913">
        <f>IF(ISBLANK('Data Entry'!$Í$913), "", 'Data Entry'!$Í$913)</f>
      </c>
      <c r="EL913">
        <f>IF(ISBLANK('Data Entry'!$Î$913), "", 'Data Entry'!$Î$913)</f>
      </c>
      <c r="EM913">
        <f>IF(ISBLANK('Data Entry'!$Ï$913), "", 'Data Entry'!$Ï$913)</f>
      </c>
      <c r="EN913">
        <f>IF(ISBLANK('Data Entry'!$Ð$913), "", 'Data Entry'!$Ð$913)</f>
      </c>
      <c r="EO913">
        <f>IF(ISBLANK('Data Entry'!$Ñ$913), "", 'Data Entry'!$Ñ$913)</f>
      </c>
      <c r="EP913">
        <f>IF(ISBLANK('Data Entry'!$Ò$913), "", 'Data Entry'!$Ò$913)</f>
      </c>
      <c r="EQ913">
        <f>IF(ISBLANK('Data Entry'!$Ó$913), "", 'Data Entry'!$Ó$913)</f>
      </c>
      <c r="ER913">
        <f>IF(ISBLANK('Data Entry'!$Ô$913), "", 'Data Entry'!$Ô$913)</f>
      </c>
      <c r="ES913">
        <f>IF(ISBLANK('Data Entry'!$Õ$913), "", 'Data Entry'!$Õ$913)</f>
      </c>
      <c r="ET913">
        <f>IF(ISBLANK('Data Entry'!$Ö$913), "", 'Data Entry'!$Ö$913)</f>
      </c>
      <c r="EU913">
        <f>IF(ISBLANK('Data Entry'!$×$913), "", 'Data Entry'!$×$913)</f>
      </c>
      <c r="EV913">
        <f>IF(ISBLANK('Data Entry'!$Ø$913), "", 'Data Entry'!$Ø$913)</f>
      </c>
      <c r="EW913">
        <f>IF(ISBLANK('Data Entry'!$Ù$913), "", 'Data Entry'!$Ù$913)</f>
      </c>
      <c r="EX913">
        <f>IF(ISBLANK('Data Entry'!$Ú$913), "", 'Data Entry'!$Ú$913)</f>
      </c>
      <c r="EY913">
        <f>IF(ISBLANK('Data Entry'!$Û$913), "", 'Data Entry'!$Û$913)</f>
      </c>
      <c r="EZ913">
        <f>IF(ISBLANK('Data Entry'!$Ü$913), "", 'Data Entry'!$Ü$913)</f>
      </c>
      <c r="FA913">
        <f>IF(ISBLANK('Data Entry'!$Ý$913), "", 'Data Entry'!$Ý$913)</f>
      </c>
      <c r="FB913">
        <f>IF(ISBLANK('Data Entry'!$Þ$913), "", 'Data Entry'!$Þ$913)</f>
      </c>
      <c r="FC913">
        <f>IF(ISBLANK('Data Entry'!$ß$913), "", 'Data Entry'!$ß$913)</f>
      </c>
      <c r="FD913">
        <f>IF(ISBLANK('Data Entry'!$à$913), "", 'Data Entry'!$à$913)</f>
      </c>
      <c r="FE913">
        <f>IF(ISBLANK('Data Entry'!$á$913), "", 'Data Entry'!$á$913)</f>
      </c>
      <c r="FF913">
        <f>IF(ISBLANK('Data Entry'!$â$913), "", 'Data Entry'!$â$913)</f>
      </c>
      <c r="FG913">
        <f>IF(ISBLANK('Data Entry'!$ã$913), "", 'Data Entry'!$ã$913)</f>
      </c>
      <c r="FH913">
        <f>IF(ISBLANK('Data Entry'!$ä$913), "", 'Data Entry'!$ä$913)</f>
      </c>
      <c r="FI913">
        <f>IF(ISBLANK('Data Entry'!$å$913), "", 'Data Entry'!$å$913)</f>
      </c>
      <c r="FJ913">
        <f>IF(ISBLANK('Data Entry'!$æ$913), "", 'Data Entry'!$æ$913)</f>
      </c>
      <c r="FK913">
        <f>IF(ISBLANK('Data Entry'!$ç$913), "", 'Data Entry'!$ç$913)</f>
      </c>
      <c r="FL913">
        <f>IF(ISBLANK('Data Entry'!$è$913), "", 'Data Entry'!$è$913)</f>
      </c>
      <c r="FM913">
        <f>IF(ISBLANK('Data Entry'!$é$913), "", 'Data Entry'!$é$913)</f>
      </c>
      <c r="FN913">
        <f>IF(ISBLANK('Data Entry'!$ê$913), "", 'Data Entry'!$ê$913)</f>
      </c>
      <c r="FO913">
        <f>IF(ISBLANK('Data Entry'!$ë$913), "", 'Data Entry'!$ë$913)</f>
      </c>
      <c r="FP913">
        <f>IF(ISBLANK('Data Entry'!$ì$913), "", 'Data Entry'!$ì$913)</f>
      </c>
      <c r="FQ913">
        <f>IF(ISBLANK('Data Entry'!$í$913), "", 'Data Entry'!$í$913)</f>
      </c>
      <c r="FR913">
        <f>IF(ISBLANK('Data Entry'!$î$913), "", 'Data Entry'!$î$913)</f>
      </c>
      <c r="FS913">
        <f>IF(ISBLANK('Data Entry'!$ï$913), "", 'Data Entry'!$ï$913)</f>
      </c>
      <c r="FT913">
        <f>IF(ISBLANK('Data Entry'!$ð$913), "", 'Data Entry'!$ð$913)</f>
      </c>
      <c r="FU913">
        <f>IF(ISBLANK('Data Entry'!$ñ$913), "", 'Data Entry'!$ñ$913)</f>
      </c>
      <c r="FV913">
        <f>IF(ISBLANK('Data Entry'!$ò$913), "", 'Data Entry'!$ò$913)</f>
      </c>
      <c r="FW913">
        <f>IF(ISBLANK('Data Entry'!$ó$913), "", 'Data Entry'!$ó$913)</f>
      </c>
      <c r="FX913">
        <f>IF(ISBLANK('Data Entry'!$ô$913), "", 'Data Entry'!$ô$913)</f>
      </c>
      <c r="FY913">
        <f>IF(ISBLANK('Data Entry'!$õ$913), "", 'Data Entry'!$õ$913)</f>
      </c>
      <c r="FZ913">
        <f>IF(ISBLANK('Data Entry'!$ö$913), "", 'Data Entry'!$ö$913)</f>
      </c>
      <c r="GA913">
        <f>IF(ISBLANK('Data Entry'!$÷$913), "", 'Data Entry'!$÷$913)</f>
      </c>
      <c r="GB913">
        <f>IF(ISBLANK('Data Entry'!$ø$913), "", 'Data Entry'!$ø$913)</f>
      </c>
      <c r="GC913">
        <f>IF(ISBLANK('Data Entry'!$ù$913), "", 'Data Entry'!$ù$913)</f>
      </c>
      <c r="GD913">
        <f>IF(ISBLANK('Data Entry'!$ú$913), "", 'Data Entry'!$ú$913)</f>
      </c>
      <c r="GE913">
        <f>IF(ISBLANK('Data Entry'!$û$913), "", 'Data Entry'!$û$913)</f>
      </c>
      <c r="GF913">
        <f>IF(ISBLANK('Data Entry'!$ü$913), "", 'Data Entry'!$ü$913)</f>
      </c>
      <c r="GG913">
        <f>IF(ISBLANK('Data Entry'!$ý$913), "", 'Data Entry'!$ý$913)</f>
      </c>
      <c r="GH913">
        <f>IF(ISBLANK('Data Entry'!$þ$913), "", 'Data Entry'!$þ$913)</f>
      </c>
      <c r="GI913">
        <f>IF(ISBLANK('Data Entry'!$ÿ$913), "", 'Data Entry'!$ÿ$913)</f>
      </c>
      <c r="GJ913">
        <f>IF(ISBLANK('Data Entry'!$Ā$913), "", 'Data Entry'!$Ā$913)</f>
      </c>
      <c r="GK913">
        <f>IF(ISBLANK('Data Entry'!$ā$913), "", 'Data Entry'!$ā$913)</f>
      </c>
      <c r="GL913">
        <f>IF(ISBLANK('Data Entry'!$Ă$913), "", 'Data Entry'!$Ă$913)</f>
      </c>
      <c r="GM913">
        <f>IF(ISBLANK('Data Entry'!$ă$913), "", 'Data Entry'!$ă$913)</f>
      </c>
      <c r="GN913">
        <f>IF(ISBLANK('Data Entry'!$Ą$913), "", 'Data Entry'!$Ą$913)</f>
      </c>
      <c r="GO913">
        <f>IF(ISBLANK('Data Entry'!$ą$913), "", 'Data Entry'!$ą$913)</f>
      </c>
      <c r="GP913">
        <f>IF(ISBLANK('Data Entry'!$Ć$913), "", 'Data Entry'!$Ć$913)</f>
      </c>
      <c r="GQ913">
        <f>IF(ISBLANK('Data Entry'!$ć$913), "", 'Data Entry'!$ć$913)</f>
      </c>
      <c r="GR913">
        <f>IF(ISBLANK('Data Entry'!$Ĉ$913), "", 'Data Entry'!$Ĉ$913)</f>
      </c>
      <c r="GS913">
        <f>IF(ISBLANK('Data Entry'!$ĉ$913), "", 'Data Entry'!$ĉ$913)</f>
      </c>
      <c r="GT913">
        <f>IF(ISBLANK('Data Entry'!$Ċ$913), "", 'Data Entry'!$Ċ$913)</f>
      </c>
      <c r="GU913">
        <f>IF(ISBLANK('Data Entry'!$ċ$913), "", 'Data Entry'!$ċ$913)</f>
      </c>
      <c r="GV913">
        <f>IF(ISBLANK('Data Entry'!$Č$913), "", 'Data Entry'!$Č$913)</f>
      </c>
      <c r="GW913">
        <f>IF(ISBLANK('Data Entry'!$č$913), "", 'Data Entry'!$č$913)</f>
      </c>
      <c r="GX913">
        <f>IF(ISBLANK('Data Entry'!$Ď$913), "", 'Data Entry'!$Ď$913)</f>
      </c>
      <c r="GY913">
        <f>IF(ISBLANK('Data Entry'!$ď$913), "", 'Data Entry'!$ď$913)</f>
      </c>
      <c r="GZ913">
        <f>IF(ISBLANK('Data Entry'!$Đ$913), "", 'Data Entry'!$Đ$913)</f>
      </c>
      <c r="HA913">
        <f>IF(ISBLANK('Data Entry'!$đ$913), "", 'Data Entry'!$đ$913)</f>
      </c>
      <c r="HB913">
        <f>IF(ISBLANK('Data Entry'!$Ē$913), "", 'Data Entry'!$Ē$913)</f>
      </c>
      <c r="HC913">
        <f>IF(ISBLANK('Data Entry'!$ē$913), "", 'Data Entry'!$ē$913)</f>
      </c>
      <c r="HD913">
        <f>IF(ISBLANK('Data Entry'!$Ĕ$913), "", 'Data Entry'!$Ĕ$913)</f>
      </c>
      <c r="HE913">
        <f>IF(ISBLANK('Data Entry'!$ĕ$913), "", 'Data Entry'!$ĕ$913)</f>
      </c>
      <c r="HF913">
        <f>IF(ISBLANK('Data Entry'!$Ė$913), "", 'Data Entry'!$Ė$913)</f>
      </c>
      <c r="HG913">
        <f>IF(ISBLANK('Data Entry'!$ė$913), "", 'Data Entry'!$ė$913)</f>
      </c>
      <c r="HH913">
        <f>IF(ISBLANK('Data Entry'!$Ę$913), "", 'Data Entry'!$Ę$913)</f>
      </c>
      <c r="HI913">
        <f>IF(ISBLANK('Data Entry'!$ę$913), "", 'Data Entry'!$ę$913)</f>
      </c>
      <c r="HJ913">
        <f>IF(ISBLANK('Data Entry'!$Ě$913), "", 'Data Entry'!$Ě$913)</f>
      </c>
      <c r="HK913">
        <f>IF(ISBLANK('Data Entry'!$ě$913), "", 'Data Entry'!$ě$913)</f>
      </c>
      <c r="HL913">
        <f>IF(ISBLANK('Data Entry'!$Ĝ$913), "", 'Data Entry'!$Ĝ$913)</f>
      </c>
      <c r="HM913">
        <f>IF(ISBLANK('Data Entry'!$ĝ$913), "", 'Data Entry'!$ĝ$913)</f>
      </c>
      <c r="HN913">
        <f>IF(ISBLANK('Data Entry'!$Ğ$913), "", 'Data Entry'!$Ğ$913)</f>
      </c>
      <c r="HO913">
        <f>IF(ISBLANK('Data Entry'!$ğ$913), "", 'Data Entry'!$ğ$913)</f>
      </c>
      <c r="HP913">
        <f>IF(ISBLANK('Data Entry'!$Ġ$913), "", 'Data Entry'!$Ġ$913)</f>
      </c>
      <c r="HQ913">
        <f>IF(ISBLANK('Data Entry'!$ġ$913), "", 'Data Entry'!$ġ$913)</f>
      </c>
      <c r="HR913">
        <f>IF(ISBLANK('Data Entry'!$Ģ$913), "", 'Data Entry'!$Ģ$913)</f>
      </c>
      <c r="HS913">
        <f>IF(ISBLANK('Data Entry'!$ģ$913), "", 'Data Entry'!$ģ$913)</f>
      </c>
      <c r="HT913">
        <f>IF(ISBLANK('Data Entry'!$Ĥ$913), "", 'Data Entry'!$Ĥ$913)</f>
      </c>
      <c r="HU913">
        <f>IF(ISBLANK('Data Entry'!$ĥ$913), "", 'Data Entry'!$ĥ$913)</f>
      </c>
      <c r="HV913">
        <f>IF(ISBLANK('Data Entry'!$Ħ$913), "", 'Data Entry'!$Ħ$913)</f>
      </c>
      <c r="HW913">
        <f>IF(ISBLANK('Data Entry'!$ħ$913), "", 'Data Entry'!$ħ$913)</f>
      </c>
      <c r="HX913">
        <f>IF(ISBLANK('Data Entry'!$Ĩ$913), "", 'Data Entry'!$Ĩ$913)</f>
      </c>
      <c r="HY913">
        <f>IF(ISBLANK('Data Entry'!$ĩ$913), "", 'Data Entry'!$ĩ$913)</f>
      </c>
      <c r="HZ913">
        <f>IF(ISBLANK('Data Entry'!$Ī$913), "", 'Data Entry'!$Ī$913)</f>
      </c>
      <c r="IA913">
        <f>IF(ISBLANK('Data Entry'!$ī$913), "", 'Data Entry'!$ī$913)</f>
      </c>
      <c r="IB913">
        <f>IF(ISBLANK('Data Entry'!$Ĭ$913), "", 'Data Entry'!$Ĭ$913)</f>
      </c>
      <c r="IC913">
        <f>IF(ISBLANK('Data Entry'!$ĭ$913), "", 'Data Entry'!$ĭ$913)</f>
      </c>
      <c r="ID913">
        <f>IF(ISBLANK('Data Entry'!$Į$913), "", 'Data Entry'!$Į$913)</f>
      </c>
      <c r="IE913">
        <f>IF(ISBLANK('Data Entry'!$į$913), "", 'Data Entry'!$į$913)</f>
      </c>
      <c r="IF913">
        <f>IF(ISBLANK('Data Entry'!$İ$913), "", 'Data Entry'!$İ$913)</f>
      </c>
      <c r="IG913">
        <f>IF(ISBLANK('Data Entry'!$ı$913), "", 'Data Entry'!$ı$913)</f>
      </c>
      <c r="IH913">
        <f>IF(ISBLANK('Data Entry'!$Ĳ$913), "", 'Data Entry'!$Ĳ$913)</f>
      </c>
      <c r="II913">
        <f>IF(ISBLANK('Data Entry'!$ĳ$913), "", 'Data Entry'!$ĳ$913)</f>
      </c>
      <c r="IJ913">
        <f>IF(ISBLANK('Data Entry'!$Ĵ$913), "", 'Data Entry'!$Ĵ$913)</f>
      </c>
      <c r="IK913">
        <f>IF(ISBLANK('Data Entry'!$ĵ$913), "", 'Data Entry'!$ĵ$913)</f>
      </c>
      <c r="IL913">
        <f>IF(ISBLANK('Data Entry'!$Ķ$913), "", 'Data Entry'!$Ķ$913)</f>
      </c>
      <c r="IM913">
        <f>IF(ISBLANK('Data Entry'!$ķ$913), "", 'Data Entry'!$ķ$913)</f>
      </c>
      <c r="IN913">
        <f>IF(ISBLANK('Data Entry'!$ĸ$913), "", 'Data Entry'!$ĸ$913)</f>
      </c>
      <c r="IO913">
        <f>IF(ISBLANK('Data Entry'!$Ĺ$913), "", 'Data Entry'!$Ĺ$913)</f>
      </c>
      <c r="IP913">
        <f>IF(ISBLANK('Data Entry'!$ĺ$913), "", 'Data Entry'!$ĺ$913)</f>
      </c>
      <c r="IQ913">
        <f>IF(ISBLANK('Data Entry'!$Ļ$913), "", 'Data Entry'!$Ļ$913)</f>
      </c>
      <c r="IR913">
        <f>IF(ISBLANK('Data Entry'!$ļ$913), "", 'Data Entry'!$ļ$913)</f>
      </c>
      <c r="IS913">
        <f>IF(ISBLANK('Data Entry'!$Ľ$913), "", 'Data Entry'!$Ľ$913)</f>
      </c>
      <c r="IT913">
        <f>IF(ISBLANK('Data Entry'!$ľ$913), "", 'Data Entry'!$ľ$913)</f>
      </c>
    </row>
    <row r="914" spans="1:254" x14ac:dyDescent="0.25">
      <c r="A914">
        <f>IF(ISBLANK('Data Entry'!$A$914), "", 'Data Entry'!$A$914)</f>
      </c>
      <c r="B914">
        <f>IF(ISBLANK('Data Entry'!$B$914), "", 'Data Entry'!$B$914)</f>
      </c>
      <c r="C914">
        <f>IF(ISBLANK('Data Entry'!$C$914), "", 'Data Entry'!$C$914)</f>
      </c>
      <c r="D914">
        <f>IF(ISBLANK('Data Entry'!$D$914), "", 'Data Entry'!$D$914)</f>
      </c>
      <c r="E914">
        <f>IF(ISBLANK('Data Entry'!$E$914), "", 'Data Entry'!$E$914)</f>
      </c>
      <c r="F914">
        <f>IF(ISBLANK('Data Entry'!$F$914), "", 'Data Entry'!$F$914)</f>
      </c>
      <c r="G914">
        <f>IF(ISBLANK('Data Entry'!$G$914), "", 'Data Entry'!$G$914)</f>
      </c>
      <c r="H914">
        <f>IF(ISBLANK('Data Entry'!$H$914), "", 'Data Entry'!$H$914)</f>
      </c>
      <c r="I914">
        <f>IF(ISBLANK('Data Entry'!$I$914), "", 'Data Entry'!$I$914)</f>
      </c>
      <c r="J914">
        <f>IF(ISBLANK('Data Entry'!$J$914), "", 'Data Entry'!$J$914)</f>
      </c>
      <c r="K914">
        <f>IF(ISBLANK('Data Entry'!$K$914), "", 'Data Entry'!$K$914)</f>
      </c>
      <c r="L914">
        <f>IF(ISBLANK('Data Entry'!$L$914), "", 'Data Entry'!$L$914)</f>
      </c>
      <c r="M914">
        <f>IF(ISBLANK('Data Entry'!$M$914), "", 'Data Entry'!$M$914)</f>
      </c>
      <c r="N914">
        <f>IF(ISBLANK('Data Entry'!$N$914), "", 'Data Entry'!$N$914)</f>
      </c>
      <c r="O914">
        <f>IF(ISBLANK('Data Entry'!$O$914), "", 'Data Entry'!$O$914)</f>
      </c>
      <c r="P914">
        <f>IF(ISBLANK('Data Entry'!$P$914), "", 'Data Entry'!$P$914)</f>
      </c>
      <c r="Q914">
        <f>IF(ISBLANK('Data Entry'!$Q$914), "", 'Data Entry'!$Q$914)</f>
      </c>
      <c r="R914">
        <f>IF(ISBLANK('Data Entry'!$R$914), "", 'Data Entry'!$R$914)</f>
      </c>
      <c r="S914">
        <f>IF(ISBLANK('Data Entry'!$S$914), "", 'Data Entry'!$S$914)</f>
      </c>
      <c r="T914">
        <f>IF(ISBLANK('Data Entry'!$T$914), "", 'Data Entry'!$T$914)</f>
      </c>
      <c r="U914">
        <f>IF(ISBLANK('Data Entry'!$U$914), "", 'Data Entry'!$U$914)</f>
      </c>
      <c r="V914">
        <f>IF(ISBLANK('Data Entry'!$V$914), "", 'Data Entry'!$V$914)</f>
      </c>
      <c r="W914">
        <f>IF(ISBLANK('Data Entry'!$W$914), "", 'Data Entry'!$W$914)</f>
      </c>
      <c r="X914">
        <f>IF(ISBLANK('Data Entry'!$X$914), "", 'Data Entry'!$X$914)</f>
      </c>
      <c r="Y914">
        <f>IF(ISBLANK('Data Entry'!$Y$914), "", 'Data Entry'!$Y$914)</f>
      </c>
      <c r="Z914">
        <f>IF(ISBLANK('Data Entry'!$Z$914), "", 'Data Entry'!$Z$914)</f>
      </c>
      <c r="AA914">
        <f>IF(ISBLANK('Data Entry'!$[$914), "", 'Data Entry'!$[$914)</f>
      </c>
      <c r="AB914">
        <f>IF(ISBLANK('Data Entry'!$\$914), "", 'Data Entry'!$\$914)</f>
      </c>
      <c r="AC914">
        <f>IF(ISBLANK('Data Entry'!$]$914), "", 'Data Entry'!$]$914)</f>
      </c>
      <c r="AD914">
        <f>IF(ISBLANK('Data Entry'!$^$914), "", 'Data Entry'!$^$914)</f>
      </c>
      <c r="AE914">
        <f>IF(ISBLANK('Data Entry'!$_$914), "", 'Data Entry'!$_$914)</f>
      </c>
      <c r="AF914">
        <f>IF(ISBLANK('Data Entry'!$`$914), "", 'Data Entry'!$`$914)</f>
      </c>
      <c r="AG914">
        <f>IF(ISBLANK('Data Entry'!$a$914), "", 'Data Entry'!$a$914)</f>
      </c>
      <c r="AH914">
        <f>IF(ISBLANK('Data Entry'!$b$914), "", 'Data Entry'!$b$914)</f>
      </c>
      <c r="AI914">
        <f>IF(ISBLANK('Data Entry'!$c$914), "", 'Data Entry'!$c$914)</f>
      </c>
      <c r="AJ914">
        <f>IF(ISBLANK('Data Entry'!$d$914), "", 'Data Entry'!$d$914)</f>
      </c>
      <c r="AK914">
        <f>IF(ISBLANK('Data Entry'!$e$914), "", 'Data Entry'!$e$914)</f>
      </c>
      <c r="AL914">
        <f>IF(ISBLANK('Data Entry'!$f$914), "", 'Data Entry'!$f$914)</f>
      </c>
      <c r="AM914">
        <f>IF(ISBLANK('Data Entry'!$g$914), "", 'Data Entry'!$g$914)</f>
      </c>
      <c r="AN914">
        <f>IF(ISBLANK('Data Entry'!$h$914), "", 'Data Entry'!$h$914)</f>
      </c>
      <c r="AO914">
        <f>IF(ISBLANK('Data Entry'!$i$914), "", 'Data Entry'!$i$914)</f>
      </c>
      <c r="AP914">
        <f>IF(ISBLANK('Data Entry'!$j$914), "", 'Data Entry'!$j$914)</f>
      </c>
      <c r="AQ914">
        <f>IF(ISBLANK('Data Entry'!$k$914), "", 'Data Entry'!$k$914)</f>
      </c>
      <c r="AR914">
        <f>IF(ISBLANK('Data Entry'!$l$914), "", 'Data Entry'!$l$914)</f>
      </c>
      <c r="AS914">
        <f>IF(ISBLANK('Data Entry'!$m$914), "", 'Data Entry'!$m$914)</f>
      </c>
      <c r="AT914">
        <f>IF(ISBLANK('Data Entry'!$n$914), "", 'Data Entry'!$n$914)</f>
      </c>
      <c r="AU914">
        <f>IF(ISBLANK('Data Entry'!$o$914), "", 'Data Entry'!$o$914)</f>
      </c>
      <c r="AV914">
        <f>IF(ISBLANK('Data Entry'!$p$914), "", 'Data Entry'!$p$914)</f>
      </c>
      <c r="AW914">
        <f>IF(ISBLANK('Data Entry'!$q$914), "", 'Data Entry'!$q$914)</f>
      </c>
      <c r="AX914">
        <f>IF(ISBLANK('Data Entry'!$r$914), "", 'Data Entry'!$r$914)</f>
      </c>
      <c r="AY914">
        <f>IF(ISBLANK('Data Entry'!$s$914), "", 'Data Entry'!$s$914)</f>
      </c>
      <c r="AZ914">
        <f>IF(ISBLANK('Data Entry'!$t$914), "", 'Data Entry'!$t$914)</f>
      </c>
      <c r="BA914">
        <f>IF(ISBLANK('Data Entry'!$u$914), "", 'Data Entry'!$u$914)</f>
      </c>
      <c r="BB914">
        <f>IF(ISBLANK('Data Entry'!$v$914), "", 'Data Entry'!$v$914)</f>
      </c>
      <c r="BC914">
        <f>IF(ISBLANK('Data Entry'!$w$914), "", 'Data Entry'!$w$914)</f>
      </c>
      <c r="BD914">
        <f>IF(ISBLANK('Data Entry'!$x$914), "", 'Data Entry'!$x$914)</f>
      </c>
      <c r="BE914">
        <f>IF(ISBLANK('Data Entry'!$y$914), "", 'Data Entry'!$y$914)</f>
      </c>
      <c r="BF914">
        <f>IF(ISBLANK('Data Entry'!$z$914), "", 'Data Entry'!$z$914)</f>
      </c>
      <c r="BG914">
        <f>IF(ISBLANK('Data Entry'!${$914), "", 'Data Entry'!${$914)</f>
      </c>
      <c r="BH914">
        <f>IF(ISBLANK('Data Entry'!$|$914), "", 'Data Entry'!$|$914)</f>
      </c>
      <c r="BI914">
        <f>IF(ISBLANK('Data Entry'!$}$914), "", 'Data Entry'!$}$914)</f>
      </c>
      <c r="BJ914">
        <f>IF(ISBLANK('Data Entry'!$~$914), "", 'Data Entry'!$~$914)</f>
      </c>
      <c r="BK914">
        <f>IF(ISBLANK('Data Entry'!$$914), "", 'Data Entry'!$$914)</f>
      </c>
      <c r="BL914">
        <f>IF(ISBLANK('Data Entry'!$$914), "", 'Data Entry'!$$914)</f>
      </c>
      <c r="BM914">
        <f>IF(ISBLANK('Data Entry'!$$914), "", 'Data Entry'!$$914)</f>
      </c>
      <c r="BN914">
        <f>IF(ISBLANK('Data Entry'!$$914), "", 'Data Entry'!$$914)</f>
      </c>
      <c r="BO914">
        <f>IF(ISBLANK('Data Entry'!$$914), "", 'Data Entry'!$$914)</f>
      </c>
      <c r="BP914">
        <f>IF(ISBLANK('Data Entry'!$$914), "", 'Data Entry'!$$914)</f>
      </c>
      <c r="BQ914">
        <f>IF(ISBLANK('Data Entry'!$$914), "", 'Data Entry'!$$914)</f>
      </c>
      <c r="BR914">
        <f>IF(ISBLANK('Data Entry'!$$914), "", 'Data Entry'!$$914)</f>
      </c>
      <c r="BS914">
        <f>IF(ISBLANK('Data Entry'!$$914), "", 'Data Entry'!$$914)</f>
      </c>
      <c r="BT914">
        <f>IF(ISBLANK('Data Entry'!$$914), "", 'Data Entry'!$$914)</f>
      </c>
      <c r="BU914">
        <f>IF(ISBLANK('Data Entry'!$$914), "", 'Data Entry'!$$914)</f>
      </c>
      <c r="BV914">
        <f>IF(ISBLANK('Data Entry'!$$914), "", 'Data Entry'!$$914)</f>
      </c>
      <c r="BW914">
        <f>IF(ISBLANK('Data Entry'!$$914), "", 'Data Entry'!$$914)</f>
      </c>
      <c r="BX914">
        <f>IF(ISBLANK('Data Entry'!$$914), "", 'Data Entry'!$$914)</f>
      </c>
      <c r="BY914">
        <f>IF(ISBLANK('Data Entry'!$$914), "", 'Data Entry'!$$914)</f>
      </c>
      <c r="BZ914">
        <f>IF(ISBLANK('Data Entry'!$$914), "", 'Data Entry'!$$914)</f>
      </c>
      <c r="CA914">
        <f>IF(ISBLANK('Data Entry'!$$914), "", 'Data Entry'!$$914)</f>
      </c>
      <c r="CB914">
        <f>IF(ISBLANK('Data Entry'!$$914), "", 'Data Entry'!$$914)</f>
      </c>
      <c r="CC914">
        <f>IF(ISBLANK('Data Entry'!$$914), "", 'Data Entry'!$$914)</f>
      </c>
      <c r="CD914">
        <f>IF(ISBLANK('Data Entry'!$$914), "", 'Data Entry'!$$914)</f>
      </c>
      <c r="CE914">
        <f>IF(ISBLANK('Data Entry'!$$914), "", 'Data Entry'!$$914)</f>
      </c>
      <c r="CF914">
        <f>IF(ISBLANK('Data Entry'!$$914), "", 'Data Entry'!$$914)</f>
      </c>
      <c r="CG914">
        <f>IF(ISBLANK('Data Entry'!$$914), "", 'Data Entry'!$$914)</f>
      </c>
      <c r="CH914">
        <f>IF(ISBLANK('Data Entry'!$$914), "", 'Data Entry'!$$914)</f>
      </c>
      <c r="CI914">
        <f>IF(ISBLANK('Data Entry'!$$914), "", 'Data Entry'!$$914)</f>
      </c>
      <c r="CJ914">
        <f>IF(ISBLANK('Data Entry'!$$914), "", 'Data Entry'!$$914)</f>
      </c>
      <c r="CK914">
        <f>IF(ISBLANK('Data Entry'!$$914), "", 'Data Entry'!$$914)</f>
      </c>
      <c r="CL914">
        <f>IF(ISBLANK('Data Entry'!$$914), "", 'Data Entry'!$$914)</f>
      </c>
      <c r="CM914">
        <f>IF(ISBLANK('Data Entry'!$$914), "", 'Data Entry'!$$914)</f>
      </c>
      <c r="CN914">
        <f>IF(ISBLANK('Data Entry'!$$914), "", 'Data Entry'!$$914)</f>
      </c>
      <c r="CO914">
        <f>IF(ISBLANK('Data Entry'!$$914), "", 'Data Entry'!$$914)</f>
      </c>
      <c r="CP914">
        <f>IF(ISBLANK('Data Entry'!$$914), "", 'Data Entry'!$$914)</f>
      </c>
      <c r="CQ914">
        <f>IF(ISBLANK('Data Entry'!$$914), "", 'Data Entry'!$$914)</f>
      </c>
      <c r="CR914">
        <f>IF(ISBLANK('Data Entry'!$ $914), "", 'Data Entry'!$ $914)</f>
      </c>
      <c r="CS914">
        <f>IF(ISBLANK('Data Entry'!$¡$914), "", 'Data Entry'!$¡$914)</f>
      </c>
      <c r="CT914">
        <f>IF(ISBLANK('Data Entry'!$¢$914), "", 'Data Entry'!$¢$914)</f>
      </c>
      <c r="CU914">
        <f>IF(ISBLANK('Data Entry'!$£$914), "", 'Data Entry'!$£$914)</f>
      </c>
      <c r="CV914">
        <f>IF(ISBLANK('Data Entry'!$¤$914), "", 'Data Entry'!$¤$914)</f>
      </c>
      <c r="CW914">
        <f>IF(ISBLANK('Data Entry'!$¥$914), "", 'Data Entry'!$¥$914)</f>
      </c>
      <c r="CX914">
        <f>IF(ISBLANK('Data Entry'!$¦$914), "", 'Data Entry'!$¦$914)</f>
      </c>
      <c r="CY914">
        <f>IF(ISBLANK('Data Entry'!$§$914), "", 'Data Entry'!$§$914)</f>
      </c>
      <c r="CZ914">
        <f>IF(ISBLANK('Data Entry'!$¨$914), "", 'Data Entry'!$¨$914)</f>
      </c>
      <c r="DA914">
        <f>IF(ISBLANK('Data Entry'!$©$914), "", 'Data Entry'!$©$914)</f>
      </c>
      <c r="DB914">
        <f>IF(ISBLANK('Data Entry'!$ª$914), "", 'Data Entry'!$ª$914)</f>
      </c>
      <c r="DC914">
        <f>IF(ISBLANK('Data Entry'!$«$914), "", 'Data Entry'!$«$914)</f>
      </c>
      <c r="DD914">
        <f>IF(ISBLANK('Data Entry'!$¬$914), "", 'Data Entry'!$¬$914)</f>
      </c>
      <c r="DE914">
        <f>IF(ISBLANK('Data Entry'!$­$914), "", 'Data Entry'!$­$914)</f>
      </c>
      <c r="DF914">
        <f>IF(ISBLANK('Data Entry'!$®$914), "", 'Data Entry'!$®$914)</f>
      </c>
      <c r="DG914">
        <f>IF(ISBLANK('Data Entry'!$¯$914), "", 'Data Entry'!$¯$914)</f>
      </c>
      <c r="DH914">
        <f>IF(ISBLANK('Data Entry'!$°$914), "", 'Data Entry'!$°$914)</f>
      </c>
      <c r="DI914">
        <f>IF(ISBLANK('Data Entry'!$±$914), "", 'Data Entry'!$±$914)</f>
      </c>
      <c r="DJ914">
        <f>IF(ISBLANK('Data Entry'!$²$914), "", 'Data Entry'!$²$914)</f>
      </c>
      <c r="DK914">
        <f>IF(ISBLANK('Data Entry'!$³$914), "", 'Data Entry'!$³$914)</f>
      </c>
      <c r="DL914">
        <f>IF(ISBLANK('Data Entry'!$´$914), "", 'Data Entry'!$´$914)</f>
      </c>
      <c r="DM914">
        <f>IF(ISBLANK('Data Entry'!$µ$914), "", 'Data Entry'!$µ$914)</f>
      </c>
      <c r="DN914">
        <f>IF(ISBLANK('Data Entry'!$¶$914), "", 'Data Entry'!$¶$914)</f>
      </c>
      <c r="DO914">
        <f>IF(ISBLANK('Data Entry'!$·$914), "", 'Data Entry'!$·$914)</f>
      </c>
      <c r="DP914">
        <f>IF(ISBLANK('Data Entry'!$¸$914), "", 'Data Entry'!$¸$914)</f>
      </c>
      <c r="DQ914">
        <f>IF(ISBLANK('Data Entry'!$¹$914), "", 'Data Entry'!$¹$914)</f>
      </c>
      <c r="DR914">
        <f>IF(ISBLANK('Data Entry'!$º$914), "", 'Data Entry'!$º$914)</f>
      </c>
      <c r="DS914">
        <f>IF(ISBLANK('Data Entry'!$»$914), "", 'Data Entry'!$»$914)</f>
      </c>
      <c r="DT914">
        <f>IF(ISBLANK('Data Entry'!$¼$914), "", 'Data Entry'!$¼$914)</f>
      </c>
      <c r="DU914">
        <f>IF(ISBLANK('Data Entry'!$½$914), "", 'Data Entry'!$½$914)</f>
      </c>
      <c r="DV914">
        <f>IF(ISBLANK('Data Entry'!$¾$914), "", 'Data Entry'!$¾$914)</f>
      </c>
      <c r="DW914">
        <f>IF(ISBLANK('Data Entry'!$¿$914), "", 'Data Entry'!$¿$914)</f>
      </c>
      <c r="DX914">
        <f>IF(ISBLANK('Data Entry'!$À$914), "", 'Data Entry'!$À$914)</f>
      </c>
      <c r="DY914">
        <f>IF(ISBLANK('Data Entry'!$Á$914), "", 'Data Entry'!$Á$914)</f>
      </c>
      <c r="DZ914">
        <f>IF(ISBLANK('Data Entry'!$Â$914), "", 'Data Entry'!$Â$914)</f>
      </c>
      <c r="EA914">
        <f>IF(ISBLANK('Data Entry'!$Ã$914), "", 'Data Entry'!$Ã$914)</f>
      </c>
      <c r="EB914">
        <f>IF(ISBLANK('Data Entry'!$Ä$914), "", 'Data Entry'!$Ä$914)</f>
      </c>
      <c r="EC914">
        <f>IF(ISBLANK('Data Entry'!$Å$914), "", 'Data Entry'!$Å$914)</f>
      </c>
      <c r="ED914">
        <f>IF(ISBLANK('Data Entry'!$Æ$914), "", 'Data Entry'!$Æ$914)</f>
      </c>
      <c r="EE914">
        <f>IF(ISBLANK('Data Entry'!$Ç$914), "", 'Data Entry'!$Ç$914)</f>
      </c>
      <c r="EF914">
        <f>IF(ISBLANK('Data Entry'!$È$914), "", 'Data Entry'!$È$914)</f>
      </c>
      <c r="EG914">
        <f>IF(ISBLANK('Data Entry'!$É$914), "", 'Data Entry'!$É$914)</f>
      </c>
      <c r="EH914">
        <f>IF(ISBLANK('Data Entry'!$Ê$914), "", 'Data Entry'!$Ê$914)</f>
      </c>
      <c r="EI914">
        <f>IF(ISBLANK('Data Entry'!$Ë$914), "", 'Data Entry'!$Ë$914)</f>
      </c>
      <c r="EJ914">
        <f>IF(ISBLANK('Data Entry'!$Ì$914), "", 'Data Entry'!$Ì$914)</f>
      </c>
      <c r="EK914">
        <f>IF(ISBLANK('Data Entry'!$Í$914), "", 'Data Entry'!$Í$914)</f>
      </c>
      <c r="EL914">
        <f>IF(ISBLANK('Data Entry'!$Î$914), "", 'Data Entry'!$Î$914)</f>
      </c>
      <c r="EM914">
        <f>IF(ISBLANK('Data Entry'!$Ï$914), "", 'Data Entry'!$Ï$914)</f>
      </c>
      <c r="EN914">
        <f>IF(ISBLANK('Data Entry'!$Ð$914), "", 'Data Entry'!$Ð$914)</f>
      </c>
      <c r="EO914">
        <f>IF(ISBLANK('Data Entry'!$Ñ$914), "", 'Data Entry'!$Ñ$914)</f>
      </c>
      <c r="EP914">
        <f>IF(ISBLANK('Data Entry'!$Ò$914), "", 'Data Entry'!$Ò$914)</f>
      </c>
      <c r="EQ914">
        <f>IF(ISBLANK('Data Entry'!$Ó$914), "", 'Data Entry'!$Ó$914)</f>
      </c>
      <c r="ER914">
        <f>IF(ISBLANK('Data Entry'!$Ô$914), "", 'Data Entry'!$Ô$914)</f>
      </c>
      <c r="ES914">
        <f>IF(ISBLANK('Data Entry'!$Õ$914), "", 'Data Entry'!$Õ$914)</f>
      </c>
      <c r="ET914">
        <f>IF(ISBLANK('Data Entry'!$Ö$914), "", 'Data Entry'!$Ö$914)</f>
      </c>
      <c r="EU914">
        <f>IF(ISBLANK('Data Entry'!$×$914), "", 'Data Entry'!$×$914)</f>
      </c>
      <c r="EV914">
        <f>IF(ISBLANK('Data Entry'!$Ø$914), "", 'Data Entry'!$Ø$914)</f>
      </c>
      <c r="EW914">
        <f>IF(ISBLANK('Data Entry'!$Ù$914), "", 'Data Entry'!$Ù$914)</f>
      </c>
      <c r="EX914">
        <f>IF(ISBLANK('Data Entry'!$Ú$914), "", 'Data Entry'!$Ú$914)</f>
      </c>
      <c r="EY914">
        <f>IF(ISBLANK('Data Entry'!$Û$914), "", 'Data Entry'!$Û$914)</f>
      </c>
      <c r="EZ914">
        <f>IF(ISBLANK('Data Entry'!$Ü$914), "", 'Data Entry'!$Ü$914)</f>
      </c>
      <c r="FA914">
        <f>IF(ISBLANK('Data Entry'!$Ý$914), "", 'Data Entry'!$Ý$914)</f>
      </c>
      <c r="FB914">
        <f>IF(ISBLANK('Data Entry'!$Þ$914), "", 'Data Entry'!$Þ$914)</f>
      </c>
      <c r="FC914">
        <f>IF(ISBLANK('Data Entry'!$ß$914), "", 'Data Entry'!$ß$914)</f>
      </c>
      <c r="FD914">
        <f>IF(ISBLANK('Data Entry'!$à$914), "", 'Data Entry'!$à$914)</f>
      </c>
      <c r="FE914">
        <f>IF(ISBLANK('Data Entry'!$á$914), "", 'Data Entry'!$á$914)</f>
      </c>
      <c r="FF914">
        <f>IF(ISBLANK('Data Entry'!$â$914), "", 'Data Entry'!$â$914)</f>
      </c>
      <c r="FG914">
        <f>IF(ISBLANK('Data Entry'!$ã$914), "", 'Data Entry'!$ã$914)</f>
      </c>
      <c r="FH914">
        <f>IF(ISBLANK('Data Entry'!$ä$914), "", 'Data Entry'!$ä$914)</f>
      </c>
      <c r="FI914">
        <f>IF(ISBLANK('Data Entry'!$å$914), "", 'Data Entry'!$å$914)</f>
      </c>
      <c r="FJ914">
        <f>IF(ISBLANK('Data Entry'!$æ$914), "", 'Data Entry'!$æ$914)</f>
      </c>
      <c r="FK914">
        <f>IF(ISBLANK('Data Entry'!$ç$914), "", 'Data Entry'!$ç$914)</f>
      </c>
      <c r="FL914">
        <f>IF(ISBLANK('Data Entry'!$è$914), "", 'Data Entry'!$è$914)</f>
      </c>
      <c r="FM914">
        <f>IF(ISBLANK('Data Entry'!$é$914), "", 'Data Entry'!$é$914)</f>
      </c>
      <c r="FN914">
        <f>IF(ISBLANK('Data Entry'!$ê$914), "", 'Data Entry'!$ê$914)</f>
      </c>
      <c r="FO914">
        <f>IF(ISBLANK('Data Entry'!$ë$914), "", 'Data Entry'!$ë$914)</f>
      </c>
      <c r="FP914">
        <f>IF(ISBLANK('Data Entry'!$ì$914), "", 'Data Entry'!$ì$914)</f>
      </c>
      <c r="FQ914">
        <f>IF(ISBLANK('Data Entry'!$í$914), "", 'Data Entry'!$í$914)</f>
      </c>
      <c r="FR914">
        <f>IF(ISBLANK('Data Entry'!$î$914), "", 'Data Entry'!$î$914)</f>
      </c>
      <c r="FS914">
        <f>IF(ISBLANK('Data Entry'!$ï$914), "", 'Data Entry'!$ï$914)</f>
      </c>
      <c r="FT914">
        <f>IF(ISBLANK('Data Entry'!$ð$914), "", 'Data Entry'!$ð$914)</f>
      </c>
      <c r="FU914">
        <f>IF(ISBLANK('Data Entry'!$ñ$914), "", 'Data Entry'!$ñ$914)</f>
      </c>
      <c r="FV914">
        <f>IF(ISBLANK('Data Entry'!$ò$914), "", 'Data Entry'!$ò$914)</f>
      </c>
      <c r="FW914">
        <f>IF(ISBLANK('Data Entry'!$ó$914), "", 'Data Entry'!$ó$914)</f>
      </c>
      <c r="FX914">
        <f>IF(ISBLANK('Data Entry'!$ô$914), "", 'Data Entry'!$ô$914)</f>
      </c>
      <c r="FY914">
        <f>IF(ISBLANK('Data Entry'!$õ$914), "", 'Data Entry'!$õ$914)</f>
      </c>
      <c r="FZ914">
        <f>IF(ISBLANK('Data Entry'!$ö$914), "", 'Data Entry'!$ö$914)</f>
      </c>
      <c r="GA914">
        <f>IF(ISBLANK('Data Entry'!$÷$914), "", 'Data Entry'!$÷$914)</f>
      </c>
      <c r="GB914">
        <f>IF(ISBLANK('Data Entry'!$ø$914), "", 'Data Entry'!$ø$914)</f>
      </c>
      <c r="GC914">
        <f>IF(ISBLANK('Data Entry'!$ù$914), "", 'Data Entry'!$ù$914)</f>
      </c>
      <c r="GD914">
        <f>IF(ISBLANK('Data Entry'!$ú$914), "", 'Data Entry'!$ú$914)</f>
      </c>
      <c r="GE914">
        <f>IF(ISBLANK('Data Entry'!$û$914), "", 'Data Entry'!$û$914)</f>
      </c>
      <c r="GF914">
        <f>IF(ISBLANK('Data Entry'!$ü$914), "", 'Data Entry'!$ü$914)</f>
      </c>
      <c r="GG914">
        <f>IF(ISBLANK('Data Entry'!$ý$914), "", 'Data Entry'!$ý$914)</f>
      </c>
      <c r="GH914">
        <f>IF(ISBLANK('Data Entry'!$þ$914), "", 'Data Entry'!$þ$914)</f>
      </c>
      <c r="GI914">
        <f>IF(ISBLANK('Data Entry'!$ÿ$914), "", 'Data Entry'!$ÿ$914)</f>
      </c>
      <c r="GJ914">
        <f>IF(ISBLANK('Data Entry'!$Ā$914), "", 'Data Entry'!$Ā$914)</f>
      </c>
      <c r="GK914">
        <f>IF(ISBLANK('Data Entry'!$ā$914), "", 'Data Entry'!$ā$914)</f>
      </c>
      <c r="GL914">
        <f>IF(ISBLANK('Data Entry'!$Ă$914), "", 'Data Entry'!$Ă$914)</f>
      </c>
      <c r="GM914">
        <f>IF(ISBLANK('Data Entry'!$ă$914), "", 'Data Entry'!$ă$914)</f>
      </c>
      <c r="GN914">
        <f>IF(ISBLANK('Data Entry'!$Ą$914), "", 'Data Entry'!$Ą$914)</f>
      </c>
      <c r="GO914">
        <f>IF(ISBLANK('Data Entry'!$ą$914), "", 'Data Entry'!$ą$914)</f>
      </c>
      <c r="GP914">
        <f>IF(ISBLANK('Data Entry'!$Ć$914), "", 'Data Entry'!$Ć$914)</f>
      </c>
      <c r="GQ914">
        <f>IF(ISBLANK('Data Entry'!$ć$914), "", 'Data Entry'!$ć$914)</f>
      </c>
      <c r="GR914">
        <f>IF(ISBLANK('Data Entry'!$Ĉ$914), "", 'Data Entry'!$Ĉ$914)</f>
      </c>
      <c r="GS914">
        <f>IF(ISBLANK('Data Entry'!$ĉ$914), "", 'Data Entry'!$ĉ$914)</f>
      </c>
      <c r="GT914">
        <f>IF(ISBLANK('Data Entry'!$Ċ$914), "", 'Data Entry'!$Ċ$914)</f>
      </c>
      <c r="GU914">
        <f>IF(ISBLANK('Data Entry'!$ċ$914), "", 'Data Entry'!$ċ$914)</f>
      </c>
      <c r="GV914">
        <f>IF(ISBLANK('Data Entry'!$Č$914), "", 'Data Entry'!$Č$914)</f>
      </c>
      <c r="GW914">
        <f>IF(ISBLANK('Data Entry'!$č$914), "", 'Data Entry'!$č$914)</f>
      </c>
      <c r="GX914">
        <f>IF(ISBLANK('Data Entry'!$Ď$914), "", 'Data Entry'!$Ď$914)</f>
      </c>
      <c r="GY914">
        <f>IF(ISBLANK('Data Entry'!$ď$914), "", 'Data Entry'!$ď$914)</f>
      </c>
      <c r="GZ914">
        <f>IF(ISBLANK('Data Entry'!$Đ$914), "", 'Data Entry'!$Đ$914)</f>
      </c>
      <c r="HA914">
        <f>IF(ISBLANK('Data Entry'!$đ$914), "", 'Data Entry'!$đ$914)</f>
      </c>
      <c r="HB914">
        <f>IF(ISBLANK('Data Entry'!$Ē$914), "", 'Data Entry'!$Ē$914)</f>
      </c>
      <c r="HC914">
        <f>IF(ISBLANK('Data Entry'!$ē$914), "", 'Data Entry'!$ē$914)</f>
      </c>
      <c r="HD914">
        <f>IF(ISBLANK('Data Entry'!$Ĕ$914), "", 'Data Entry'!$Ĕ$914)</f>
      </c>
      <c r="HE914">
        <f>IF(ISBLANK('Data Entry'!$ĕ$914), "", 'Data Entry'!$ĕ$914)</f>
      </c>
      <c r="HF914">
        <f>IF(ISBLANK('Data Entry'!$Ė$914), "", 'Data Entry'!$Ė$914)</f>
      </c>
      <c r="HG914">
        <f>IF(ISBLANK('Data Entry'!$ė$914), "", 'Data Entry'!$ė$914)</f>
      </c>
      <c r="HH914">
        <f>IF(ISBLANK('Data Entry'!$Ę$914), "", 'Data Entry'!$Ę$914)</f>
      </c>
      <c r="HI914">
        <f>IF(ISBLANK('Data Entry'!$ę$914), "", 'Data Entry'!$ę$914)</f>
      </c>
      <c r="HJ914">
        <f>IF(ISBLANK('Data Entry'!$Ě$914), "", 'Data Entry'!$Ě$914)</f>
      </c>
      <c r="HK914">
        <f>IF(ISBLANK('Data Entry'!$ě$914), "", 'Data Entry'!$ě$914)</f>
      </c>
      <c r="HL914">
        <f>IF(ISBLANK('Data Entry'!$Ĝ$914), "", 'Data Entry'!$Ĝ$914)</f>
      </c>
      <c r="HM914">
        <f>IF(ISBLANK('Data Entry'!$ĝ$914), "", 'Data Entry'!$ĝ$914)</f>
      </c>
      <c r="HN914">
        <f>IF(ISBLANK('Data Entry'!$Ğ$914), "", 'Data Entry'!$Ğ$914)</f>
      </c>
      <c r="HO914">
        <f>IF(ISBLANK('Data Entry'!$ğ$914), "", 'Data Entry'!$ğ$914)</f>
      </c>
      <c r="HP914">
        <f>IF(ISBLANK('Data Entry'!$Ġ$914), "", 'Data Entry'!$Ġ$914)</f>
      </c>
      <c r="HQ914">
        <f>IF(ISBLANK('Data Entry'!$ġ$914), "", 'Data Entry'!$ġ$914)</f>
      </c>
      <c r="HR914">
        <f>IF(ISBLANK('Data Entry'!$Ģ$914), "", 'Data Entry'!$Ģ$914)</f>
      </c>
      <c r="HS914">
        <f>IF(ISBLANK('Data Entry'!$ģ$914), "", 'Data Entry'!$ģ$914)</f>
      </c>
      <c r="HT914">
        <f>IF(ISBLANK('Data Entry'!$Ĥ$914), "", 'Data Entry'!$Ĥ$914)</f>
      </c>
      <c r="HU914">
        <f>IF(ISBLANK('Data Entry'!$ĥ$914), "", 'Data Entry'!$ĥ$914)</f>
      </c>
      <c r="HV914">
        <f>IF(ISBLANK('Data Entry'!$Ħ$914), "", 'Data Entry'!$Ħ$914)</f>
      </c>
      <c r="HW914">
        <f>IF(ISBLANK('Data Entry'!$ħ$914), "", 'Data Entry'!$ħ$914)</f>
      </c>
      <c r="HX914">
        <f>IF(ISBLANK('Data Entry'!$Ĩ$914), "", 'Data Entry'!$Ĩ$914)</f>
      </c>
      <c r="HY914">
        <f>IF(ISBLANK('Data Entry'!$ĩ$914), "", 'Data Entry'!$ĩ$914)</f>
      </c>
      <c r="HZ914">
        <f>IF(ISBLANK('Data Entry'!$Ī$914), "", 'Data Entry'!$Ī$914)</f>
      </c>
      <c r="IA914">
        <f>IF(ISBLANK('Data Entry'!$ī$914), "", 'Data Entry'!$ī$914)</f>
      </c>
      <c r="IB914">
        <f>IF(ISBLANK('Data Entry'!$Ĭ$914), "", 'Data Entry'!$Ĭ$914)</f>
      </c>
      <c r="IC914">
        <f>IF(ISBLANK('Data Entry'!$ĭ$914), "", 'Data Entry'!$ĭ$914)</f>
      </c>
      <c r="ID914">
        <f>IF(ISBLANK('Data Entry'!$Į$914), "", 'Data Entry'!$Į$914)</f>
      </c>
      <c r="IE914">
        <f>IF(ISBLANK('Data Entry'!$į$914), "", 'Data Entry'!$į$914)</f>
      </c>
      <c r="IF914">
        <f>IF(ISBLANK('Data Entry'!$İ$914), "", 'Data Entry'!$İ$914)</f>
      </c>
      <c r="IG914">
        <f>IF(ISBLANK('Data Entry'!$ı$914), "", 'Data Entry'!$ı$914)</f>
      </c>
      <c r="IH914">
        <f>IF(ISBLANK('Data Entry'!$Ĳ$914), "", 'Data Entry'!$Ĳ$914)</f>
      </c>
      <c r="II914">
        <f>IF(ISBLANK('Data Entry'!$ĳ$914), "", 'Data Entry'!$ĳ$914)</f>
      </c>
      <c r="IJ914">
        <f>IF(ISBLANK('Data Entry'!$Ĵ$914), "", 'Data Entry'!$Ĵ$914)</f>
      </c>
      <c r="IK914">
        <f>IF(ISBLANK('Data Entry'!$ĵ$914), "", 'Data Entry'!$ĵ$914)</f>
      </c>
      <c r="IL914">
        <f>IF(ISBLANK('Data Entry'!$Ķ$914), "", 'Data Entry'!$Ķ$914)</f>
      </c>
      <c r="IM914">
        <f>IF(ISBLANK('Data Entry'!$ķ$914), "", 'Data Entry'!$ķ$914)</f>
      </c>
      <c r="IN914">
        <f>IF(ISBLANK('Data Entry'!$ĸ$914), "", 'Data Entry'!$ĸ$914)</f>
      </c>
      <c r="IO914">
        <f>IF(ISBLANK('Data Entry'!$Ĺ$914), "", 'Data Entry'!$Ĺ$914)</f>
      </c>
      <c r="IP914">
        <f>IF(ISBLANK('Data Entry'!$ĺ$914), "", 'Data Entry'!$ĺ$914)</f>
      </c>
      <c r="IQ914">
        <f>IF(ISBLANK('Data Entry'!$Ļ$914), "", 'Data Entry'!$Ļ$914)</f>
      </c>
      <c r="IR914">
        <f>IF(ISBLANK('Data Entry'!$ļ$914), "", 'Data Entry'!$ļ$914)</f>
      </c>
      <c r="IS914">
        <f>IF(ISBLANK('Data Entry'!$Ľ$914), "", 'Data Entry'!$Ľ$914)</f>
      </c>
      <c r="IT914">
        <f>IF(ISBLANK('Data Entry'!$ľ$914), "", 'Data Entry'!$ľ$914)</f>
      </c>
    </row>
    <row r="915" spans="1:254" x14ac:dyDescent="0.25">
      <c r="A915">
        <f>IF(ISBLANK('Data Entry'!$A$915), "", 'Data Entry'!$A$915)</f>
      </c>
      <c r="B915">
        <f>IF(ISBLANK('Data Entry'!$B$915), "", 'Data Entry'!$B$915)</f>
      </c>
      <c r="C915">
        <f>IF(ISBLANK('Data Entry'!$C$915), "", 'Data Entry'!$C$915)</f>
      </c>
      <c r="D915">
        <f>IF(ISBLANK('Data Entry'!$D$915), "", 'Data Entry'!$D$915)</f>
      </c>
      <c r="E915">
        <f>IF(ISBLANK('Data Entry'!$E$915), "", 'Data Entry'!$E$915)</f>
      </c>
      <c r="F915">
        <f>IF(ISBLANK('Data Entry'!$F$915), "", 'Data Entry'!$F$915)</f>
      </c>
      <c r="G915">
        <f>IF(ISBLANK('Data Entry'!$G$915), "", 'Data Entry'!$G$915)</f>
      </c>
      <c r="H915">
        <f>IF(ISBLANK('Data Entry'!$H$915), "", 'Data Entry'!$H$915)</f>
      </c>
      <c r="I915">
        <f>IF(ISBLANK('Data Entry'!$I$915), "", 'Data Entry'!$I$915)</f>
      </c>
      <c r="J915">
        <f>IF(ISBLANK('Data Entry'!$J$915), "", 'Data Entry'!$J$915)</f>
      </c>
      <c r="K915">
        <f>IF(ISBLANK('Data Entry'!$K$915), "", 'Data Entry'!$K$915)</f>
      </c>
      <c r="L915">
        <f>IF(ISBLANK('Data Entry'!$L$915), "", 'Data Entry'!$L$915)</f>
      </c>
      <c r="M915">
        <f>IF(ISBLANK('Data Entry'!$M$915), "", 'Data Entry'!$M$915)</f>
      </c>
      <c r="N915">
        <f>IF(ISBLANK('Data Entry'!$N$915), "", 'Data Entry'!$N$915)</f>
      </c>
      <c r="O915">
        <f>IF(ISBLANK('Data Entry'!$O$915), "", 'Data Entry'!$O$915)</f>
      </c>
      <c r="P915">
        <f>IF(ISBLANK('Data Entry'!$P$915), "", 'Data Entry'!$P$915)</f>
      </c>
      <c r="Q915">
        <f>IF(ISBLANK('Data Entry'!$Q$915), "", 'Data Entry'!$Q$915)</f>
      </c>
      <c r="R915">
        <f>IF(ISBLANK('Data Entry'!$R$915), "", 'Data Entry'!$R$915)</f>
      </c>
      <c r="S915">
        <f>IF(ISBLANK('Data Entry'!$S$915), "", 'Data Entry'!$S$915)</f>
      </c>
      <c r="T915">
        <f>IF(ISBLANK('Data Entry'!$T$915), "", 'Data Entry'!$T$915)</f>
      </c>
      <c r="U915">
        <f>IF(ISBLANK('Data Entry'!$U$915), "", 'Data Entry'!$U$915)</f>
      </c>
      <c r="V915">
        <f>IF(ISBLANK('Data Entry'!$V$915), "", 'Data Entry'!$V$915)</f>
      </c>
      <c r="W915">
        <f>IF(ISBLANK('Data Entry'!$W$915), "", 'Data Entry'!$W$915)</f>
      </c>
      <c r="X915">
        <f>IF(ISBLANK('Data Entry'!$X$915), "", 'Data Entry'!$X$915)</f>
      </c>
      <c r="Y915">
        <f>IF(ISBLANK('Data Entry'!$Y$915), "", 'Data Entry'!$Y$915)</f>
      </c>
      <c r="Z915">
        <f>IF(ISBLANK('Data Entry'!$Z$915), "", 'Data Entry'!$Z$915)</f>
      </c>
      <c r="AA915">
        <f>IF(ISBLANK('Data Entry'!$[$915), "", 'Data Entry'!$[$915)</f>
      </c>
      <c r="AB915">
        <f>IF(ISBLANK('Data Entry'!$\$915), "", 'Data Entry'!$\$915)</f>
      </c>
      <c r="AC915">
        <f>IF(ISBLANK('Data Entry'!$]$915), "", 'Data Entry'!$]$915)</f>
      </c>
      <c r="AD915">
        <f>IF(ISBLANK('Data Entry'!$^$915), "", 'Data Entry'!$^$915)</f>
      </c>
      <c r="AE915">
        <f>IF(ISBLANK('Data Entry'!$_$915), "", 'Data Entry'!$_$915)</f>
      </c>
      <c r="AF915">
        <f>IF(ISBLANK('Data Entry'!$`$915), "", 'Data Entry'!$`$915)</f>
      </c>
      <c r="AG915">
        <f>IF(ISBLANK('Data Entry'!$a$915), "", 'Data Entry'!$a$915)</f>
      </c>
      <c r="AH915">
        <f>IF(ISBLANK('Data Entry'!$b$915), "", 'Data Entry'!$b$915)</f>
      </c>
      <c r="AI915">
        <f>IF(ISBLANK('Data Entry'!$c$915), "", 'Data Entry'!$c$915)</f>
      </c>
      <c r="AJ915">
        <f>IF(ISBLANK('Data Entry'!$d$915), "", 'Data Entry'!$d$915)</f>
      </c>
      <c r="AK915">
        <f>IF(ISBLANK('Data Entry'!$e$915), "", 'Data Entry'!$e$915)</f>
      </c>
      <c r="AL915">
        <f>IF(ISBLANK('Data Entry'!$f$915), "", 'Data Entry'!$f$915)</f>
      </c>
      <c r="AM915">
        <f>IF(ISBLANK('Data Entry'!$g$915), "", 'Data Entry'!$g$915)</f>
      </c>
      <c r="AN915">
        <f>IF(ISBLANK('Data Entry'!$h$915), "", 'Data Entry'!$h$915)</f>
      </c>
      <c r="AO915">
        <f>IF(ISBLANK('Data Entry'!$i$915), "", 'Data Entry'!$i$915)</f>
      </c>
      <c r="AP915">
        <f>IF(ISBLANK('Data Entry'!$j$915), "", 'Data Entry'!$j$915)</f>
      </c>
      <c r="AQ915">
        <f>IF(ISBLANK('Data Entry'!$k$915), "", 'Data Entry'!$k$915)</f>
      </c>
      <c r="AR915">
        <f>IF(ISBLANK('Data Entry'!$l$915), "", 'Data Entry'!$l$915)</f>
      </c>
      <c r="AS915">
        <f>IF(ISBLANK('Data Entry'!$m$915), "", 'Data Entry'!$m$915)</f>
      </c>
      <c r="AT915">
        <f>IF(ISBLANK('Data Entry'!$n$915), "", 'Data Entry'!$n$915)</f>
      </c>
      <c r="AU915">
        <f>IF(ISBLANK('Data Entry'!$o$915), "", 'Data Entry'!$o$915)</f>
      </c>
      <c r="AV915">
        <f>IF(ISBLANK('Data Entry'!$p$915), "", 'Data Entry'!$p$915)</f>
      </c>
      <c r="AW915">
        <f>IF(ISBLANK('Data Entry'!$q$915), "", 'Data Entry'!$q$915)</f>
      </c>
      <c r="AX915">
        <f>IF(ISBLANK('Data Entry'!$r$915), "", 'Data Entry'!$r$915)</f>
      </c>
      <c r="AY915">
        <f>IF(ISBLANK('Data Entry'!$s$915), "", 'Data Entry'!$s$915)</f>
      </c>
      <c r="AZ915">
        <f>IF(ISBLANK('Data Entry'!$t$915), "", 'Data Entry'!$t$915)</f>
      </c>
      <c r="BA915">
        <f>IF(ISBLANK('Data Entry'!$u$915), "", 'Data Entry'!$u$915)</f>
      </c>
      <c r="BB915">
        <f>IF(ISBLANK('Data Entry'!$v$915), "", 'Data Entry'!$v$915)</f>
      </c>
      <c r="BC915">
        <f>IF(ISBLANK('Data Entry'!$w$915), "", 'Data Entry'!$w$915)</f>
      </c>
      <c r="BD915">
        <f>IF(ISBLANK('Data Entry'!$x$915), "", 'Data Entry'!$x$915)</f>
      </c>
      <c r="BE915">
        <f>IF(ISBLANK('Data Entry'!$y$915), "", 'Data Entry'!$y$915)</f>
      </c>
      <c r="BF915">
        <f>IF(ISBLANK('Data Entry'!$z$915), "", 'Data Entry'!$z$915)</f>
      </c>
      <c r="BG915">
        <f>IF(ISBLANK('Data Entry'!${$915), "", 'Data Entry'!${$915)</f>
      </c>
      <c r="BH915">
        <f>IF(ISBLANK('Data Entry'!$|$915), "", 'Data Entry'!$|$915)</f>
      </c>
      <c r="BI915">
        <f>IF(ISBLANK('Data Entry'!$}$915), "", 'Data Entry'!$}$915)</f>
      </c>
      <c r="BJ915">
        <f>IF(ISBLANK('Data Entry'!$~$915), "", 'Data Entry'!$~$915)</f>
      </c>
      <c r="BK915">
        <f>IF(ISBLANK('Data Entry'!$$915), "", 'Data Entry'!$$915)</f>
      </c>
      <c r="BL915">
        <f>IF(ISBLANK('Data Entry'!$$915), "", 'Data Entry'!$$915)</f>
      </c>
      <c r="BM915">
        <f>IF(ISBLANK('Data Entry'!$$915), "", 'Data Entry'!$$915)</f>
      </c>
      <c r="BN915">
        <f>IF(ISBLANK('Data Entry'!$$915), "", 'Data Entry'!$$915)</f>
      </c>
      <c r="BO915">
        <f>IF(ISBLANK('Data Entry'!$$915), "", 'Data Entry'!$$915)</f>
      </c>
      <c r="BP915">
        <f>IF(ISBLANK('Data Entry'!$$915), "", 'Data Entry'!$$915)</f>
      </c>
      <c r="BQ915">
        <f>IF(ISBLANK('Data Entry'!$$915), "", 'Data Entry'!$$915)</f>
      </c>
      <c r="BR915">
        <f>IF(ISBLANK('Data Entry'!$$915), "", 'Data Entry'!$$915)</f>
      </c>
      <c r="BS915">
        <f>IF(ISBLANK('Data Entry'!$$915), "", 'Data Entry'!$$915)</f>
      </c>
      <c r="BT915">
        <f>IF(ISBLANK('Data Entry'!$$915), "", 'Data Entry'!$$915)</f>
      </c>
      <c r="BU915">
        <f>IF(ISBLANK('Data Entry'!$$915), "", 'Data Entry'!$$915)</f>
      </c>
      <c r="BV915">
        <f>IF(ISBLANK('Data Entry'!$$915), "", 'Data Entry'!$$915)</f>
      </c>
      <c r="BW915">
        <f>IF(ISBLANK('Data Entry'!$$915), "", 'Data Entry'!$$915)</f>
      </c>
      <c r="BX915">
        <f>IF(ISBLANK('Data Entry'!$$915), "", 'Data Entry'!$$915)</f>
      </c>
      <c r="BY915">
        <f>IF(ISBLANK('Data Entry'!$$915), "", 'Data Entry'!$$915)</f>
      </c>
      <c r="BZ915">
        <f>IF(ISBLANK('Data Entry'!$$915), "", 'Data Entry'!$$915)</f>
      </c>
      <c r="CA915">
        <f>IF(ISBLANK('Data Entry'!$$915), "", 'Data Entry'!$$915)</f>
      </c>
      <c r="CB915">
        <f>IF(ISBLANK('Data Entry'!$$915), "", 'Data Entry'!$$915)</f>
      </c>
      <c r="CC915">
        <f>IF(ISBLANK('Data Entry'!$$915), "", 'Data Entry'!$$915)</f>
      </c>
      <c r="CD915">
        <f>IF(ISBLANK('Data Entry'!$$915), "", 'Data Entry'!$$915)</f>
      </c>
      <c r="CE915">
        <f>IF(ISBLANK('Data Entry'!$$915), "", 'Data Entry'!$$915)</f>
      </c>
      <c r="CF915">
        <f>IF(ISBLANK('Data Entry'!$$915), "", 'Data Entry'!$$915)</f>
      </c>
      <c r="CG915">
        <f>IF(ISBLANK('Data Entry'!$$915), "", 'Data Entry'!$$915)</f>
      </c>
      <c r="CH915">
        <f>IF(ISBLANK('Data Entry'!$$915), "", 'Data Entry'!$$915)</f>
      </c>
      <c r="CI915">
        <f>IF(ISBLANK('Data Entry'!$$915), "", 'Data Entry'!$$915)</f>
      </c>
      <c r="CJ915">
        <f>IF(ISBLANK('Data Entry'!$$915), "", 'Data Entry'!$$915)</f>
      </c>
      <c r="CK915">
        <f>IF(ISBLANK('Data Entry'!$$915), "", 'Data Entry'!$$915)</f>
      </c>
      <c r="CL915">
        <f>IF(ISBLANK('Data Entry'!$$915), "", 'Data Entry'!$$915)</f>
      </c>
      <c r="CM915">
        <f>IF(ISBLANK('Data Entry'!$$915), "", 'Data Entry'!$$915)</f>
      </c>
      <c r="CN915">
        <f>IF(ISBLANK('Data Entry'!$$915), "", 'Data Entry'!$$915)</f>
      </c>
      <c r="CO915">
        <f>IF(ISBLANK('Data Entry'!$$915), "", 'Data Entry'!$$915)</f>
      </c>
      <c r="CP915">
        <f>IF(ISBLANK('Data Entry'!$$915), "", 'Data Entry'!$$915)</f>
      </c>
      <c r="CQ915">
        <f>IF(ISBLANK('Data Entry'!$$915), "", 'Data Entry'!$$915)</f>
      </c>
      <c r="CR915">
        <f>IF(ISBLANK('Data Entry'!$ $915), "", 'Data Entry'!$ $915)</f>
      </c>
      <c r="CS915">
        <f>IF(ISBLANK('Data Entry'!$¡$915), "", 'Data Entry'!$¡$915)</f>
      </c>
      <c r="CT915">
        <f>IF(ISBLANK('Data Entry'!$¢$915), "", 'Data Entry'!$¢$915)</f>
      </c>
      <c r="CU915">
        <f>IF(ISBLANK('Data Entry'!$£$915), "", 'Data Entry'!$£$915)</f>
      </c>
      <c r="CV915">
        <f>IF(ISBLANK('Data Entry'!$¤$915), "", 'Data Entry'!$¤$915)</f>
      </c>
      <c r="CW915">
        <f>IF(ISBLANK('Data Entry'!$¥$915), "", 'Data Entry'!$¥$915)</f>
      </c>
      <c r="CX915">
        <f>IF(ISBLANK('Data Entry'!$¦$915), "", 'Data Entry'!$¦$915)</f>
      </c>
      <c r="CY915">
        <f>IF(ISBLANK('Data Entry'!$§$915), "", 'Data Entry'!$§$915)</f>
      </c>
      <c r="CZ915">
        <f>IF(ISBLANK('Data Entry'!$¨$915), "", 'Data Entry'!$¨$915)</f>
      </c>
      <c r="DA915">
        <f>IF(ISBLANK('Data Entry'!$©$915), "", 'Data Entry'!$©$915)</f>
      </c>
      <c r="DB915">
        <f>IF(ISBLANK('Data Entry'!$ª$915), "", 'Data Entry'!$ª$915)</f>
      </c>
      <c r="DC915">
        <f>IF(ISBLANK('Data Entry'!$«$915), "", 'Data Entry'!$«$915)</f>
      </c>
      <c r="DD915">
        <f>IF(ISBLANK('Data Entry'!$¬$915), "", 'Data Entry'!$¬$915)</f>
      </c>
      <c r="DE915">
        <f>IF(ISBLANK('Data Entry'!$­$915), "", 'Data Entry'!$­$915)</f>
      </c>
      <c r="DF915">
        <f>IF(ISBLANK('Data Entry'!$®$915), "", 'Data Entry'!$®$915)</f>
      </c>
      <c r="DG915">
        <f>IF(ISBLANK('Data Entry'!$¯$915), "", 'Data Entry'!$¯$915)</f>
      </c>
      <c r="DH915">
        <f>IF(ISBLANK('Data Entry'!$°$915), "", 'Data Entry'!$°$915)</f>
      </c>
      <c r="DI915">
        <f>IF(ISBLANK('Data Entry'!$±$915), "", 'Data Entry'!$±$915)</f>
      </c>
      <c r="DJ915">
        <f>IF(ISBLANK('Data Entry'!$²$915), "", 'Data Entry'!$²$915)</f>
      </c>
      <c r="DK915">
        <f>IF(ISBLANK('Data Entry'!$³$915), "", 'Data Entry'!$³$915)</f>
      </c>
      <c r="DL915">
        <f>IF(ISBLANK('Data Entry'!$´$915), "", 'Data Entry'!$´$915)</f>
      </c>
      <c r="DM915">
        <f>IF(ISBLANK('Data Entry'!$µ$915), "", 'Data Entry'!$µ$915)</f>
      </c>
      <c r="DN915">
        <f>IF(ISBLANK('Data Entry'!$¶$915), "", 'Data Entry'!$¶$915)</f>
      </c>
      <c r="DO915">
        <f>IF(ISBLANK('Data Entry'!$·$915), "", 'Data Entry'!$·$915)</f>
      </c>
      <c r="DP915">
        <f>IF(ISBLANK('Data Entry'!$¸$915), "", 'Data Entry'!$¸$915)</f>
      </c>
      <c r="DQ915">
        <f>IF(ISBLANK('Data Entry'!$¹$915), "", 'Data Entry'!$¹$915)</f>
      </c>
      <c r="DR915">
        <f>IF(ISBLANK('Data Entry'!$º$915), "", 'Data Entry'!$º$915)</f>
      </c>
      <c r="DS915">
        <f>IF(ISBLANK('Data Entry'!$»$915), "", 'Data Entry'!$»$915)</f>
      </c>
      <c r="DT915">
        <f>IF(ISBLANK('Data Entry'!$¼$915), "", 'Data Entry'!$¼$915)</f>
      </c>
      <c r="DU915">
        <f>IF(ISBLANK('Data Entry'!$½$915), "", 'Data Entry'!$½$915)</f>
      </c>
      <c r="DV915">
        <f>IF(ISBLANK('Data Entry'!$¾$915), "", 'Data Entry'!$¾$915)</f>
      </c>
      <c r="DW915">
        <f>IF(ISBLANK('Data Entry'!$¿$915), "", 'Data Entry'!$¿$915)</f>
      </c>
      <c r="DX915">
        <f>IF(ISBLANK('Data Entry'!$À$915), "", 'Data Entry'!$À$915)</f>
      </c>
      <c r="DY915">
        <f>IF(ISBLANK('Data Entry'!$Á$915), "", 'Data Entry'!$Á$915)</f>
      </c>
      <c r="DZ915">
        <f>IF(ISBLANK('Data Entry'!$Â$915), "", 'Data Entry'!$Â$915)</f>
      </c>
      <c r="EA915">
        <f>IF(ISBLANK('Data Entry'!$Ã$915), "", 'Data Entry'!$Ã$915)</f>
      </c>
      <c r="EB915">
        <f>IF(ISBLANK('Data Entry'!$Ä$915), "", 'Data Entry'!$Ä$915)</f>
      </c>
      <c r="EC915">
        <f>IF(ISBLANK('Data Entry'!$Å$915), "", 'Data Entry'!$Å$915)</f>
      </c>
      <c r="ED915">
        <f>IF(ISBLANK('Data Entry'!$Æ$915), "", 'Data Entry'!$Æ$915)</f>
      </c>
      <c r="EE915">
        <f>IF(ISBLANK('Data Entry'!$Ç$915), "", 'Data Entry'!$Ç$915)</f>
      </c>
      <c r="EF915">
        <f>IF(ISBLANK('Data Entry'!$È$915), "", 'Data Entry'!$È$915)</f>
      </c>
      <c r="EG915">
        <f>IF(ISBLANK('Data Entry'!$É$915), "", 'Data Entry'!$É$915)</f>
      </c>
      <c r="EH915">
        <f>IF(ISBLANK('Data Entry'!$Ê$915), "", 'Data Entry'!$Ê$915)</f>
      </c>
      <c r="EI915">
        <f>IF(ISBLANK('Data Entry'!$Ë$915), "", 'Data Entry'!$Ë$915)</f>
      </c>
      <c r="EJ915">
        <f>IF(ISBLANK('Data Entry'!$Ì$915), "", 'Data Entry'!$Ì$915)</f>
      </c>
      <c r="EK915">
        <f>IF(ISBLANK('Data Entry'!$Í$915), "", 'Data Entry'!$Í$915)</f>
      </c>
      <c r="EL915">
        <f>IF(ISBLANK('Data Entry'!$Î$915), "", 'Data Entry'!$Î$915)</f>
      </c>
      <c r="EM915">
        <f>IF(ISBLANK('Data Entry'!$Ï$915), "", 'Data Entry'!$Ï$915)</f>
      </c>
      <c r="EN915">
        <f>IF(ISBLANK('Data Entry'!$Ð$915), "", 'Data Entry'!$Ð$915)</f>
      </c>
      <c r="EO915">
        <f>IF(ISBLANK('Data Entry'!$Ñ$915), "", 'Data Entry'!$Ñ$915)</f>
      </c>
      <c r="EP915">
        <f>IF(ISBLANK('Data Entry'!$Ò$915), "", 'Data Entry'!$Ò$915)</f>
      </c>
      <c r="EQ915">
        <f>IF(ISBLANK('Data Entry'!$Ó$915), "", 'Data Entry'!$Ó$915)</f>
      </c>
      <c r="ER915">
        <f>IF(ISBLANK('Data Entry'!$Ô$915), "", 'Data Entry'!$Ô$915)</f>
      </c>
      <c r="ES915">
        <f>IF(ISBLANK('Data Entry'!$Õ$915), "", 'Data Entry'!$Õ$915)</f>
      </c>
      <c r="ET915">
        <f>IF(ISBLANK('Data Entry'!$Ö$915), "", 'Data Entry'!$Ö$915)</f>
      </c>
      <c r="EU915">
        <f>IF(ISBLANK('Data Entry'!$×$915), "", 'Data Entry'!$×$915)</f>
      </c>
      <c r="EV915">
        <f>IF(ISBLANK('Data Entry'!$Ø$915), "", 'Data Entry'!$Ø$915)</f>
      </c>
      <c r="EW915">
        <f>IF(ISBLANK('Data Entry'!$Ù$915), "", 'Data Entry'!$Ù$915)</f>
      </c>
      <c r="EX915">
        <f>IF(ISBLANK('Data Entry'!$Ú$915), "", 'Data Entry'!$Ú$915)</f>
      </c>
      <c r="EY915">
        <f>IF(ISBLANK('Data Entry'!$Û$915), "", 'Data Entry'!$Û$915)</f>
      </c>
      <c r="EZ915">
        <f>IF(ISBLANK('Data Entry'!$Ü$915), "", 'Data Entry'!$Ü$915)</f>
      </c>
      <c r="FA915">
        <f>IF(ISBLANK('Data Entry'!$Ý$915), "", 'Data Entry'!$Ý$915)</f>
      </c>
      <c r="FB915">
        <f>IF(ISBLANK('Data Entry'!$Þ$915), "", 'Data Entry'!$Þ$915)</f>
      </c>
      <c r="FC915">
        <f>IF(ISBLANK('Data Entry'!$ß$915), "", 'Data Entry'!$ß$915)</f>
      </c>
      <c r="FD915">
        <f>IF(ISBLANK('Data Entry'!$à$915), "", 'Data Entry'!$à$915)</f>
      </c>
      <c r="FE915">
        <f>IF(ISBLANK('Data Entry'!$á$915), "", 'Data Entry'!$á$915)</f>
      </c>
      <c r="FF915">
        <f>IF(ISBLANK('Data Entry'!$â$915), "", 'Data Entry'!$â$915)</f>
      </c>
      <c r="FG915">
        <f>IF(ISBLANK('Data Entry'!$ã$915), "", 'Data Entry'!$ã$915)</f>
      </c>
      <c r="FH915">
        <f>IF(ISBLANK('Data Entry'!$ä$915), "", 'Data Entry'!$ä$915)</f>
      </c>
      <c r="FI915">
        <f>IF(ISBLANK('Data Entry'!$å$915), "", 'Data Entry'!$å$915)</f>
      </c>
      <c r="FJ915">
        <f>IF(ISBLANK('Data Entry'!$æ$915), "", 'Data Entry'!$æ$915)</f>
      </c>
      <c r="FK915">
        <f>IF(ISBLANK('Data Entry'!$ç$915), "", 'Data Entry'!$ç$915)</f>
      </c>
      <c r="FL915">
        <f>IF(ISBLANK('Data Entry'!$è$915), "", 'Data Entry'!$è$915)</f>
      </c>
      <c r="FM915">
        <f>IF(ISBLANK('Data Entry'!$é$915), "", 'Data Entry'!$é$915)</f>
      </c>
      <c r="FN915">
        <f>IF(ISBLANK('Data Entry'!$ê$915), "", 'Data Entry'!$ê$915)</f>
      </c>
      <c r="FO915">
        <f>IF(ISBLANK('Data Entry'!$ë$915), "", 'Data Entry'!$ë$915)</f>
      </c>
      <c r="FP915">
        <f>IF(ISBLANK('Data Entry'!$ì$915), "", 'Data Entry'!$ì$915)</f>
      </c>
      <c r="FQ915">
        <f>IF(ISBLANK('Data Entry'!$í$915), "", 'Data Entry'!$í$915)</f>
      </c>
      <c r="FR915">
        <f>IF(ISBLANK('Data Entry'!$î$915), "", 'Data Entry'!$î$915)</f>
      </c>
      <c r="FS915">
        <f>IF(ISBLANK('Data Entry'!$ï$915), "", 'Data Entry'!$ï$915)</f>
      </c>
      <c r="FT915">
        <f>IF(ISBLANK('Data Entry'!$ð$915), "", 'Data Entry'!$ð$915)</f>
      </c>
      <c r="FU915">
        <f>IF(ISBLANK('Data Entry'!$ñ$915), "", 'Data Entry'!$ñ$915)</f>
      </c>
      <c r="FV915">
        <f>IF(ISBLANK('Data Entry'!$ò$915), "", 'Data Entry'!$ò$915)</f>
      </c>
      <c r="FW915">
        <f>IF(ISBLANK('Data Entry'!$ó$915), "", 'Data Entry'!$ó$915)</f>
      </c>
      <c r="FX915">
        <f>IF(ISBLANK('Data Entry'!$ô$915), "", 'Data Entry'!$ô$915)</f>
      </c>
      <c r="FY915">
        <f>IF(ISBLANK('Data Entry'!$õ$915), "", 'Data Entry'!$õ$915)</f>
      </c>
      <c r="FZ915">
        <f>IF(ISBLANK('Data Entry'!$ö$915), "", 'Data Entry'!$ö$915)</f>
      </c>
      <c r="GA915">
        <f>IF(ISBLANK('Data Entry'!$÷$915), "", 'Data Entry'!$÷$915)</f>
      </c>
      <c r="GB915">
        <f>IF(ISBLANK('Data Entry'!$ø$915), "", 'Data Entry'!$ø$915)</f>
      </c>
      <c r="GC915">
        <f>IF(ISBLANK('Data Entry'!$ù$915), "", 'Data Entry'!$ù$915)</f>
      </c>
      <c r="GD915">
        <f>IF(ISBLANK('Data Entry'!$ú$915), "", 'Data Entry'!$ú$915)</f>
      </c>
      <c r="GE915">
        <f>IF(ISBLANK('Data Entry'!$û$915), "", 'Data Entry'!$û$915)</f>
      </c>
      <c r="GF915">
        <f>IF(ISBLANK('Data Entry'!$ü$915), "", 'Data Entry'!$ü$915)</f>
      </c>
      <c r="GG915">
        <f>IF(ISBLANK('Data Entry'!$ý$915), "", 'Data Entry'!$ý$915)</f>
      </c>
      <c r="GH915">
        <f>IF(ISBLANK('Data Entry'!$þ$915), "", 'Data Entry'!$þ$915)</f>
      </c>
      <c r="GI915">
        <f>IF(ISBLANK('Data Entry'!$ÿ$915), "", 'Data Entry'!$ÿ$915)</f>
      </c>
      <c r="GJ915">
        <f>IF(ISBLANK('Data Entry'!$Ā$915), "", 'Data Entry'!$Ā$915)</f>
      </c>
      <c r="GK915">
        <f>IF(ISBLANK('Data Entry'!$ā$915), "", 'Data Entry'!$ā$915)</f>
      </c>
      <c r="GL915">
        <f>IF(ISBLANK('Data Entry'!$Ă$915), "", 'Data Entry'!$Ă$915)</f>
      </c>
      <c r="GM915">
        <f>IF(ISBLANK('Data Entry'!$ă$915), "", 'Data Entry'!$ă$915)</f>
      </c>
      <c r="GN915">
        <f>IF(ISBLANK('Data Entry'!$Ą$915), "", 'Data Entry'!$Ą$915)</f>
      </c>
      <c r="GO915">
        <f>IF(ISBLANK('Data Entry'!$ą$915), "", 'Data Entry'!$ą$915)</f>
      </c>
      <c r="GP915">
        <f>IF(ISBLANK('Data Entry'!$Ć$915), "", 'Data Entry'!$Ć$915)</f>
      </c>
      <c r="GQ915">
        <f>IF(ISBLANK('Data Entry'!$ć$915), "", 'Data Entry'!$ć$915)</f>
      </c>
      <c r="GR915">
        <f>IF(ISBLANK('Data Entry'!$Ĉ$915), "", 'Data Entry'!$Ĉ$915)</f>
      </c>
      <c r="GS915">
        <f>IF(ISBLANK('Data Entry'!$ĉ$915), "", 'Data Entry'!$ĉ$915)</f>
      </c>
      <c r="GT915">
        <f>IF(ISBLANK('Data Entry'!$Ċ$915), "", 'Data Entry'!$Ċ$915)</f>
      </c>
      <c r="GU915">
        <f>IF(ISBLANK('Data Entry'!$ċ$915), "", 'Data Entry'!$ċ$915)</f>
      </c>
      <c r="GV915">
        <f>IF(ISBLANK('Data Entry'!$Č$915), "", 'Data Entry'!$Č$915)</f>
      </c>
      <c r="GW915">
        <f>IF(ISBLANK('Data Entry'!$č$915), "", 'Data Entry'!$č$915)</f>
      </c>
      <c r="GX915">
        <f>IF(ISBLANK('Data Entry'!$Ď$915), "", 'Data Entry'!$Ď$915)</f>
      </c>
      <c r="GY915">
        <f>IF(ISBLANK('Data Entry'!$ď$915), "", 'Data Entry'!$ď$915)</f>
      </c>
      <c r="GZ915">
        <f>IF(ISBLANK('Data Entry'!$Đ$915), "", 'Data Entry'!$Đ$915)</f>
      </c>
      <c r="HA915">
        <f>IF(ISBLANK('Data Entry'!$đ$915), "", 'Data Entry'!$đ$915)</f>
      </c>
      <c r="HB915">
        <f>IF(ISBLANK('Data Entry'!$Ē$915), "", 'Data Entry'!$Ē$915)</f>
      </c>
      <c r="HC915">
        <f>IF(ISBLANK('Data Entry'!$ē$915), "", 'Data Entry'!$ē$915)</f>
      </c>
      <c r="HD915">
        <f>IF(ISBLANK('Data Entry'!$Ĕ$915), "", 'Data Entry'!$Ĕ$915)</f>
      </c>
      <c r="HE915">
        <f>IF(ISBLANK('Data Entry'!$ĕ$915), "", 'Data Entry'!$ĕ$915)</f>
      </c>
      <c r="HF915">
        <f>IF(ISBLANK('Data Entry'!$Ė$915), "", 'Data Entry'!$Ė$915)</f>
      </c>
      <c r="HG915">
        <f>IF(ISBLANK('Data Entry'!$ė$915), "", 'Data Entry'!$ė$915)</f>
      </c>
      <c r="HH915">
        <f>IF(ISBLANK('Data Entry'!$Ę$915), "", 'Data Entry'!$Ę$915)</f>
      </c>
      <c r="HI915">
        <f>IF(ISBLANK('Data Entry'!$ę$915), "", 'Data Entry'!$ę$915)</f>
      </c>
      <c r="HJ915">
        <f>IF(ISBLANK('Data Entry'!$Ě$915), "", 'Data Entry'!$Ě$915)</f>
      </c>
      <c r="HK915">
        <f>IF(ISBLANK('Data Entry'!$ě$915), "", 'Data Entry'!$ě$915)</f>
      </c>
      <c r="HL915">
        <f>IF(ISBLANK('Data Entry'!$Ĝ$915), "", 'Data Entry'!$Ĝ$915)</f>
      </c>
      <c r="HM915">
        <f>IF(ISBLANK('Data Entry'!$ĝ$915), "", 'Data Entry'!$ĝ$915)</f>
      </c>
      <c r="HN915">
        <f>IF(ISBLANK('Data Entry'!$Ğ$915), "", 'Data Entry'!$Ğ$915)</f>
      </c>
      <c r="HO915">
        <f>IF(ISBLANK('Data Entry'!$ğ$915), "", 'Data Entry'!$ğ$915)</f>
      </c>
      <c r="HP915">
        <f>IF(ISBLANK('Data Entry'!$Ġ$915), "", 'Data Entry'!$Ġ$915)</f>
      </c>
      <c r="HQ915">
        <f>IF(ISBLANK('Data Entry'!$ġ$915), "", 'Data Entry'!$ġ$915)</f>
      </c>
      <c r="HR915">
        <f>IF(ISBLANK('Data Entry'!$Ģ$915), "", 'Data Entry'!$Ģ$915)</f>
      </c>
      <c r="HS915">
        <f>IF(ISBLANK('Data Entry'!$ģ$915), "", 'Data Entry'!$ģ$915)</f>
      </c>
      <c r="HT915">
        <f>IF(ISBLANK('Data Entry'!$Ĥ$915), "", 'Data Entry'!$Ĥ$915)</f>
      </c>
      <c r="HU915">
        <f>IF(ISBLANK('Data Entry'!$ĥ$915), "", 'Data Entry'!$ĥ$915)</f>
      </c>
      <c r="HV915">
        <f>IF(ISBLANK('Data Entry'!$Ħ$915), "", 'Data Entry'!$Ħ$915)</f>
      </c>
      <c r="HW915">
        <f>IF(ISBLANK('Data Entry'!$ħ$915), "", 'Data Entry'!$ħ$915)</f>
      </c>
      <c r="HX915">
        <f>IF(ISBLANK('Data Entry'!$Ĩ$915), "", 'Data Entry'!$Ĩ$915)</f>
      </c>
      <c r="HY915">
        <f>IF(ISBLANK('Data Entry'!$ĩ$915), "", 'Data Entry'!$ĩ$915)</f>
      </c>
      <c r="HZ915">
        <f>IF(ISBLANK('Data Entry'!$Ī$915), "", 'Data Entry'!$Ī$915)</f>
      </c>
      <c r="IA915">
        <f>IF(ISBLANK('Data Entry'!$ī$915), "", 'Data Entry'!$ī$915)</f>
      </c>
      <c r="IB915">
        <f>IF(ISBLANK('Data Entry'!$Ĭ$915), "", 'Data Entry'!$Ĭ$915)</f>
      </c>
      <c r="IC915">
        <f>IF(ISBLANK('Data Entry'!$ĭ$915), "", 'Data Entry'!$ĭ$915)</f>
      </c>
      <c r="ID915">
        <f>IF(ISBLANK('Data Entry'!$Į$915), "", 'Data Entry'!$Į$915)</f>
      </c>
      <c r="IE915">
        <f>IF(ISBLANK('Data Entry'!$į$915), "", 'Data Entry'!$į$915)</f>
      </c>
      <c r="IF915">
        <f>IF(ISBLANK('Data Entry'!$İ$915), "", 'Data Entry'!$İ$915)</f>
      </c>
      <c r="IG915">
        <f>IF(ISBLANK('Data Entry'!$ı$915), "", 'Data Entry'!$ı$915)</f>
      </c>
      <c r="IH915">
        <f>IF(ISBLANK('Data Entry'!$Ĳ$915), "", 'Data Entry'!$Ĳ$915)</f>
      </c>
      <c r="II915">
        <f>IF(ISBLANK('Data Entry'!$ĳ$915), "", 'Data Entry'!$ĳ$915)</f>
      </c>
      <c r="IJ915">
        <f>IF(ISBLANK('Data Entry'!$Ĵ$915), "", 'Data Entry'!$Ĵ$915)</f>
      </c>
      <c r="IK915">
        <f>IF(ISBLANK('Data Entry'!$ĵ$915), "", 'Data Entry'!$ĵ$915)</f>
      </c>
      <c r="IL915">
        <f>IF(ISBLANK('Data Entry'!$Ķ$915), "", 'Data Entry'!$Ķ$915)</f>
      </c>
      <c r="IM915">
        <f>IF(ISBLANK('Data Entry'!$ķ$915), "", 'Data Entry'!$ķ$915)</f>
      </c>
      <c r="IN915">
        <f>IF(ISBLANK('Data Entry'!$ĸ$915), "", 'Data Entry'!$ĸ$915)</f>
      </c>
      <c r="IO915">
        <f>IF(ISBLANK('Data Entry'!$Ĺ$915), "", 'Data Entry'!$Ĺ$915)</f>
      </c>
      <c r="IP915">
        <f>IF(ISBLANK('Data Entry'!$ĺ$915), "", 'Data Entry'!$ĺ$915)</f>
      </c>
      <c r="IQ915">
        <f>IF(ISBLANK('Data Entry'!$Ļ$915), "", 'Data Entry'!$Ļ$915)</f>
      </c>
      <c r="IR915">
        <f>IF(ISBLANK('Data Entry'!$ļ$915), "", 'Data Entry'!$ļ$915)</f>
      </c>
      <c r="IS915">
        <f>IF(ISBLANK('Data Entry'!$Ľ$915), "", 'Data Entry'!$Ľ$915)</f>
      </c>
      <c r="IT915">
        <f>IF(ISBLANK('Data Entry'!$ľ$915), "", 'Data Entry'!$ľ$915)</f>
      </c>
    </row>
    <row r="916" spans="1:254" x14ac:dyDescent="0.25">
      <c r="A916">
        <f>IF(ISBLANK('Data Entry'!$A$916), "", 'Data Entry'!$A$916)</f>
      </c>
      <c r="B916">
        <f>IF(ISBLANK('Data Entry'!$B$916), "", 'Data Entry'!$B$916)</f>
      </c>
      <c r="C916">
        <f>IF(ISBLANK('Data Entry'!$C$916), "", 'Data Entry'!$C$916)</f>
      </c>
      <c r="D916">
        <f>IF(ISBLANK('Data Entry'!$D$916), "", 'Data Entry'!$D$916)</f>
      </c>
      <c r="E916">
        <f>IF(ISBLANK('Data Entry'!$E$916), "", 'Data Entry'!$E$916)</f>
      </c>
      <c r="F916">
        <f>IF(ISBLANK('Data Entry'!$F$916), "", 'Data Entry'!$F$916)</f>
      </c>
      <c r="G916">
        <f>IF(ISBLANK('Data Entry'!$G$916), "", 'Data Entry'!$G$916)</f>
      </c>
      <c r="H916">
        <f>IF(ISBLANK('Data Entry'!$H$916), "", 'Data Entry'!$H$916)</f>
      </c>
      <c r="I916">
        <f>IF(ISBLANK('Data Entry'!$I$916), "", 'Data Entry'!$I$916)</f>
      </c>
      <c r="J916">
        <f>IF(ISBLANK('Data Entry'!$J$916), "", 'Data Entry'!$J$916)</f>
      </c>
      <c r="K916">
        <f>IF(ISBLANK('Data Entry'!$K$916), "", 'Data Entry'!$K$916)</f>
      </c>
      <c r="L916">
        <f>IF(ISBLANK('Data Entry'!$L$916), "", 'Data Entry'!$L$916)</f>
      </c>
      <c r="M916">
        <f>IF(ISBLANK('Data Entry'!$M$916), "", 'Data Entry'!$M$916)</f>
      </c>
      <c r="N916">
        <f>IF(ISBLANK('Data Entry'!$N$916), "", 'Data Entry'!$N$916)</f>
      </c>
      <c r="O916">
        <f>IF(ISBLANK('Data Entry'!$O$916), "", 'Data Entry'!$O$916)</f>
      </c>
      <c r="P916">
        <f>IF(ISBLANK('Data Entry'!$P$916), "", 'Data Entry'!$P$916)</f>
      </c>
      <c r="Q916">
        <f>IF(ISBLANK('Data Entry'!$Q$916), "", 'Data Entry'!$Q$916)</f>
      </c>
      <c r="R916">
        <f>IF(ISBLANK('Data Entry'!$R$916), "", 'Data Entry'!$R$916)</f>
      </c>
      <c r="S916">
        <f>IF(ISBLANK('Data Entry'!$S$916), "", 'Data Entry'!$S$916)</f>
      </c>
      <c r="T916">
        <f>IF(ISBLANK('Data Entry'!$T$916), "", 'Data Entry'!$T$916)</f>
      </c>
      <c r="U916">
        <f>IF(ISBLANK('Data Entry'!$U$916), "", 'Data Entry'!$U$916)</f>
      </c>
      <c r="V916">
        <f>IF(ISBLANK('Data Entry'!$V$916), "", 'Data Entry'!$V$916)</f>
      </c>
      <c r="W916">
        <f>IF(ISBLANK('Data Entry'!$W$916), "", 'Data Entry'!$W$916)</f>
      </c>
      <c r="X916">
        <f>IF(ISBLANK('Data Entry'!$X$916), "", 'Data Entry'!$X$916)</f>
      </c>
      <c r="Y916">
        <f>IF(ISBLANK('Data Entry'!$Y$916), "", 'Data Entry'!$Y$916)</f>
      </c>
      <c r="Z916">
        <f>IF(ISBLANK('Data Entry'!$Z$916), "", 'Data Entry'!$Z$916)</f>
      </c>
      <c r="AA916">
        <f>IF(ISBLANK('Data Entry'!$[$916), "", 'Data Entry'!$[$916)</f>
      </c>
      <c r="AB916">
        <f>IF(ISBLANK('Data Entry'!$\$916), "", 'Data Entry'!$\$916)</f>
      </c>
      <c r="AC916">
        <f>IF(ISBLANK('Data Entry'!$]$916), "", 'Data Entry'!$]$916)</f>
      </c>
      <c r="AD916">
        <f>IF(ISBLANK('Data Entry'!$^$916), "", 'Data Entry'!$^$916)</f>
      </c>
      <c r="AE916">
        <f>IF(ISBLANK('Data Entry'!$_$916), "", 'Data Entry'!$_$916)</f>
      </c>
      <c r="AF916">
        <f>IF(ISBLANK('Data Entry'!$`$916), "", 'Data Entry'!$`$916)</f>
      </c>
      <c r="AG916">
        <f>IF(ISBLANK('Data Entry'!$a$916), "", 'Data Entry'!$a$916)</f>
      </c>
      <c r="AH916">
        <f>IF(ISBLANK('Data Entry'!$b$916), "", 'Data Entry'!$b$916)</f>
      </c>
      <c r="AI916">
        <f>IF(ISBLANK('Data Entry'!$c$916), "", 'Data Entry'!$c$916)</f>
      </c>
      <c r="AJ916">
        <f>IF(ISBLANK('Data Entry'!$d$916), "", 'Data Entry'!$d$916)</f>
      </c>
      <c r="AK916">
        <f>IF(ISBLANK('Data Entry'!$e$916), "", 'Data Entry'!$e$916)</f>
      </c>
      <c r="AL916">
        <f>IF(ISBLANK('Data Entry'!$f$916), "", 'Data Entry'!$f$916)</f>
      </c>
      <c r="AM916">
        <f>IF(ISBLANK('Data Entry'!$g$916), "", 'Data Entry'!$g$916)</f>
      </c>
      <c r="AN916">
        <f>IF(ISBLANK('Data Entry'!$h$916), "", 'Data Entry'!$h$916)</f>
      </c>
      <c r="AO916">
        <f>IF(ISBLANK('Data Entry'!$i$916), "", 'Data Entry'!$i$916)</f>
      </c>
      <c r="AP916">
        <f>IF(ISBLANK('Data Entry'!$j$916), "", 'Data Entry'!$j$916)</f>
      </c>
      <c r="AQ916">
        <f>IF(ISBLANK('Data Entry'!$k$916), "", 'Data Entry'!$k$916)</f>
      </c>
      <c r="AR916">
        <f>IF(ISBLANK('Data Entry'!$l$916), "", 'Data Entry'!$l$916)</f>
      </c>
      <c r="AS916">
        <f>IF(ISBLANK('Data Entry'!$m$916), "", 'Data Entry'!$m$916)</f>
      </c>
      <c r="AT916">
        <f>IF(ISBLANK('Data Entry'!$n$916), "", 'Data Entry'!$n$916)</f>
      </c>
      <c r="AU916">
        <f>IF(ISBLANK('Data Entry'!$o$916), "", 'Data Entry'!$o$916)</f>
      </c>
      <c r="AV916">
        <f>IF(ISBLANK('Data Entry'!$p$916), "", 'Data Entry'!$p$916)</f>
      </c>
      <c r="AW916">
        <f>IF(ISBLANK('Data Entry'!$q$916), "", 'Data Entry'!$q$916)</f>
      </c>
      <c r="AX916">
        <f>IF(ISBLANK('Data Entry'!$r$916), "", 'Data Entry'!$r$916)</f>
      </c>
      <c r="AY916">
        <f>IF(ISBLANK('Data Entry'!$s$916), "", 'Data Entry'!$s$916)</f>
      </c>
      <c r="AZ916">
        <f>IF(ISBLANK('Data Entry'!$t$916), "", 'Data Entry'!$t$916)</f>
      </c>
      <c r="BA916">
        <f>IF(ISBLANK('Data Entry'!$u$916), "", 'Data Entry'!$u$916)</f>
      </c>
      <c r="BB916">
        <f>IF(ISBLANK('Data Entry'!$v$916), "", 'Data Entry'!$v$916)</f>
      </c>
      <c r="BC916">
        <f>IF(ISBLANK('Data Entry'!$w$916), "", 'Data Entry'!$w$916)</f>
      </c>
      <c r="BD916">
        <f>IF(ISBLANK('Data Entry'!$x$916), "", 'Data Entry'!$x$916)</f>
      </c>
      <c r="BE916">
        <f>IF(ISBLANK('Data Entry'!$y$916), "", 'Data Entry'!$y$916)</f>
      </c>
      <c r="BF916">
        <f>IF(ISBLANK('Data Entry'!$z$916), "", 'Data Entry'!$z$916)</f>
      </c>
      <c r="BG916">
        <f>IF(ISBLANK('Data Entry'!${$916), "", 'Data Entry'!${$916)</f>
      </c>
      <c r="BH916">
        <f>IF(ISBLANK('Data Entry'!$|$916), "", 'Data Entry'!$|$916)</f>
      </c>
      <c r="BI916">
        <f>IF(ISBLANK('Data Entry'!$}$916), "", 'Data Entry'!$}$916)</f>
      </c>
      <c r="BJ916">
        <f>IF(ISBLANK('Data Entry'!$~$916), "", 'Data Entry'!$~$916)</f>
      </c>
      <c r="BK916">
        <f>IF(ISBLANK('Data Entry'!$$916), "", 'Data Entry'!$$916)</f>
      </c>
      <c r="BL916">
        <f>IF(ISBLANK('Data Entry'!$$916), "", 'Data Entry'!$$916)</f>
      </c>
      <c r="BM916">
        <f>IF(ISBLANK('Data Entry'!$$916), "", 'Data Entry'!$$916)</f>
      </c>
      <c r="BN916">
        <f>IF(ISBLANK('Data Entry'!$$916), "", 'Data Entry'!$$916)</f>
      </c>
      <c r="BO916">
        <f>IF(ISBLANK('Data Entry'!$$916), "", 'Data Entry'!$$916)</f>
      </c>
      <c r="BP916">
        <f>IF(ISBLANK('Data Entry'!$$916), "", 'Data Entry'!$$916)</f>
      </c>
      <c r="BQ916">
        <f>IF(ISBLANK('Data Entry'!$$916), "", 'Data Entry'!$$916)</f>
      </c>
      <c r="BR916">
        <f>IF(ISBLANK('Data Entry'!$$916), "", 'Data Entry'!$$916)</f>
      </c>
      <c r="BS916">
        <f>IF(ISBLANK('Data Entry'!$$916), "", 'Data Entry'!$$916)</f>
      </c>
      <c r="BT916">
        <f>IF(ISBLANK('Data Entry'!$$916), "", 'Data Entry'!$$916)</f>
      </c>
      <c r="BU916">
        <f>IF(ISBLANK('Data Entry'!$$916), "", 'Data Entry'!$$916)</f>
      </c>
      <c r="BV916">
        <f>IF(ISBLANK('Data Entry'!$$916), "", 'Data Entry'!$$916)</f>
      </c>
      <c r="BW916">
        <f>IF(ISBLANK('Data Entry'!$$916), "", 'Data Entry'!$$916)</f>
      </c>
      <c r="BX916">
        <f>IF(ISBLANK('Data Entry'!$$916), "", 'Data Entry'!$$916)</f>
      </c>
      <c r="BY916">
        <f>IF(ISBLANK('Data Entry'!$$916), "", 'Data Entry'!$$916)</f>
      </c>
      <c r="BZ916">
        <f>IF(ISBLANK('Data Entry'!$$916), "", 'Data Entry'!$$916)</f>
      </c>
      <c r="CA916">
        <f>IF(ISBLANK('Data Entry'!$$916), "", 'Data Entry'!$$916)</f>
      </c>
      <c r="CB916">
        <f>IF(ISBLANK('Data Entry'!$$916), "", 'Data Entry'!$$916)</f>
      </c>
      <c r="CC916">
        <f>IF(ISBLANK('Data Entry'!$$916), "", 'Data Entry'!$$916)</f>
      </c>
      <c r="CD916">
        <f>IF(ISBLANK('Data Entry'!$$916), "", 'Data Entry'!$$916)</f>
      </c>
      <c r="CE916">
        <f>IF(ISBLANK('Data Entry'!$$916), "", 'Data Entry'!$$916)</f>
      </c>
      <c r="CF916">
        <f>IF(ISBLANK('Data Entry'!$$916), "", 'Data Entry'!$$916)</f>
      </c>
      <c r="CG916">
        <f>IF(ISBLANK('Data Entry'!$$916), "", 'Data Entry'!$$916)</f>
      </c>
      <c r="CH916">
        <f>IF(ISBLANK('Data Entry'!$$916), "", 'Data Entry'!$$916)</f>
      </c>
      <c r="CI916">
        <f>IF(ISBLANK('Data Entry'!$$916), "", 'Data Entry'!$$916)</f>
      </c>
      <c r="CJ916">
        <f>IF(ISBLANK('Data Entry'!$$916), "", 'Data Entry'!$$916)</f>
      </c>
      <c r="CK916">
        <f>IF(ISBLANK('Data Entry'!$$916), "", 'Data Entry'!$$916)</f>
      </c>
      <c r="CL916">
        <f>IF(ISBLANK('Data Entry'!$$916), "", 'Data Entry'!$$916)</f>
      </c>
      <c r="CM916">
        <f>IF(ISBLANK('Data Entry'!$$916), "", 'Data Entry'!$$916)</f>
      </c>
      <c r="CN916">
        <f>IF(ISBLANK('Data Entry'!$$916), "", 'Data Entry'!$$916)</f>
      </c>
      <c r="CO916">
        <f>IF(ISBLANK('Data Entry'!$$916), "", 'Data Entry'!$$916)</f>
      </c>
      <c r="CP916">
        <f>IF(ISBLANK('Data Entry'!$$916), "", 'Data Entry'!$$916)</f>
      </c>
      <c r="CQ916">
        <f>IF(ISBLANK('Data Entry'!$$916), "", 'Data Entry'!$$916)</f>
      </c>
      <c r="CR916">
        <f>IF(ISBLANK('Data Entry'!$ $916), "", 'Data Entry'!$ $916)</f>
      </c>
      <c r="CS916">
        <f>IF(ISBLANK('Data Entry'!$¡$916), "", 'Data Entry'!$¡$916)</f>
      </c>
      <c r="CT916">
        <f>IF(ISBLANK('Data Entry'!$¢$916), "", 'Data Entry'!$¢$916)</f>
      </c>
      <c r="CU916">
        <f>IF(ISBLANK('Data Entry'!$£$916), "", 'Data Entry'!$£$916)</f>
      </c>
      <c r="CV916">
        <f>IF(ISBLANK('Data Entry'!$¤$916), "", 'Data Entry'!$¤$916)</f>
      </c>
      <c r="CW916">
        <f>IF(ISBLANK('Data Entry'!$¥$916), "", 'Data Entry'!$¥$916)</f>
      </c>
      <c r="CX916">
        <f>IF(ISBLANK('Data Entry'!$¦$916), "", 'Data Entry'!$¦$916)</f>
      </c>
      <c r="CY916">
        <f>IF(ISBLANK('Data Entry'!$§$916), "", 'Data Entry'!$§$916)</f>
      </c>
      <c r="CZ916">
        <f>IF(ISBLANK('Data Entry'!$¨$916), "", 'Data Entry'!$¨$916)</f>
      </c>
      <c r="DA916">
        <f>IF(ISBLANK('Data Entry'!$©$916), "", 'Data Entry'!$©$916)</f>
      </c>
      <c r="DB916">
        <f>IF(ISBLANK('Data Entry'!$ª$916), "", 'Data Entry'!$ª$916)</f>
      </c>
      <c r="DC916">
        <f>IF(ISBLANK('Data Entry'!$«$916), "", 'Data Entry'!$«$916)</f>
      </c>
      <c r="DD916">
        <f>IF(ISBLANK('Data Entry'!$¬$916), "", 'Data Entry'!$¬$916)</f>
      </c>
      <c r="DE916">
        <f>IF(ISBLANK('Data Entry'!$­$916), "", 'Data Entry'!$­$916)</f>
      </c>
      <c r="DF916">
        <f>IF(ISBLANK('Data Entry'!$®$916), "", 'Data Entry'!$®$916)</f>
      </c>
      <c r="DG916">
        <f>IF(ISBLANK('Data Entry'!$¯$916), "", 'Data Entry'!$¯$916)</f>
      </c>
      <c r="DH916">
        <f>IF(ISBLANK('Data Entry'!$°$916), "", 'Data Entry'!$°$916)</f>
      </c>
      <c r="DI916">
        <f>IF(ISBLANK('Data Entry'!$±$916), "", 'Data Entry'!$±$916)</f>
      </c>
      <c r="DJ916">
        <f>IF(ISBLANK('Data Entry'!$²$916), "", 'Data Entry'!$²$916)</f>
      </c>
      <c r="DK916">
        <f>IF(ISBLANK('Data Entry'!$³$916), "", 'Data Entry'!$³$916)</f>
      </c>
      <c r="DL916">
        <f>IF(ISBLANK('Data Entry'!$´$916), "", 'Data Entry'!$´$916)</f>
      </c>
      <c r="DM916">
        <f>IF(ISBLANK('Data Entry'!$µ$916), "", 'Data Entry'!$µ$916)</f>
      </c>
      <c r="DN916">
        <f>IF(ISBLANK('Data Entry'!$¶$916), "", 'Data Entry'!$¶$916)</f>
      </c>
      <c r="DO916">
        <f>IF(ISBLANK('Data Entry'!$·$916), "", 'Data Entry'!$·$916)</f>
      </c>
      <c r="DP916">
        <f>IF(ISBLANK('Data Entry'!$¸$916), "", 'Data Entry'!$¸$916)</f>
      </c>
      <c r="DQ916">
        <f>IF(ISBLANK('Data Entry'!$¹$916), "", 'Data Entry'!$¹$916)</f>
      </c>
      <c r="DR916">
        <f>IF(ISBLANK('Data Entry'!$º$916), "", 'Data Entry'!$º$916)</f>
      </c>
      <c r="DS916">
        <f>IF(ISBLANK('Data Entry'!$»$916), "", 'Data Entry'!$»$916)</f>
      </c>
      <c r="DT916">
        <f>IF(ISBLANK('Data Entry'!$¼$916), "", 'Data Entry'!$¼$916)</f>
      </c>
      <c r="DU916">
        <f>IF(ISBLANK('Data Entry'!$½$916), "", 'Data Entry'!$½$916)</f>
      </c>
      <c r="DV916">
        <f>IF(ISBLANK('Data Entry'!$¾$916), "", 'Data Entry'!$¾$916)</f>
      </c>
      <c r="DW916">
        <f>IF(ISBLANK('Data Entry'!$¿$916), "", 'Data Entry'!$¿$916)</f>
      </c>
      <c r="DX916">
        <f>IF(ISBLANK('Data Entry'!$À$916), "", 'Data Entry'!$À$916)</f>
      </c>
      <c r="DY916">
        <f>IF(ISBLANK('Data Entry'!$Á$916), "", 'Data Entry'!$Á$916)</f>
      </c>
      <c r="DZ916">
        <f>IF(ISBLANK('Data Entry'!$Â$916), "", 'Data Entry'!$Â$916)</f>
      </c>
      <c r="EA916">
        <f>IF(ISBLANK('Data Entry'!$Ã$916), "", 'Data Entry'!$Ã$916)</f>
      </c>
      <c r="EB916">
        <f>IF(ISBLANK('Data Entry'!$Ä$916), "", 'Data Entry'!$Ä$916)</f>
      </c>
      <c r="EC916">
        <f>IF(ISBLANK('Data Entry'!$Å$916), "", 'Data Entry'!$Å$916)</f>
      </c>
      <c r="ED916">
        <f>IF(ISBLANK('Data Entry'!$Æ$916), "", 'Data Entry'!$Æ$916)</f>
      </c>
      <c r="EE916">
        <f>IF(ISBLANK('Data Entry'!$Ç$916), "", 'Data Entry'!$Ç$916)</f>
      </c>
      <c r="EF916">
        <f>IF(ISBLANK('Data Entry'!$È$916), "", 'Data Entry'!$È$916)</f>
      </c>
      <c r="EG916">
        <f>IF(ISBLANK('Data Entry'!$É$916), "", 'Data Entry'!$É$916)</f>
      </c>
      <c r="EH916">
        <f>IF(ISBLANK('Data Entry'!$Ê$916), "", 'Data Entry'!$Ê$916)</f>
      </c>
      <c r="EI916">
        <f>IF(ISBLANK('Data Entry'!$Ë$916), "", 'Data Entry'!$Ë$916)</f>
      </c>
      <c r="EJ916">
        <f>IF(ISBLANK('Data Entry'!$Ì$916), "", 'Data Entry'!$Ì$916)</f>
      </c>
      <c r="EK916">
        <f>IF(ISBLANK('Data Entry'!$Í$916), "", 'Data Entry'!$Í$916)</f>
      </c>
      <c r="EL916">
        <f>IF(ISBLANK('Data Entry'!$Î$916), "", 'Data Entry'!$Î$916)</f>
      </c>
      <c r="EM916">
        <f>IF(ISBLANK('Data Entry'!$Ï$916), "", 'Data Entry'!$Ï$916)</f>
      </c>
      <c r="EN916">
        <f>IF(ISBLANK('Data Entry'!$Ð$916), "", 'Data Entry'!$Ð$916)</f>
      </c>
      <c r="EO916">
        <f>IF(ISBLANK('Data Entry'!$Ñ$916), "", 'Data Entry'!$Ñ$916)</f>
      </c>
      <c r="EP916">
        <f>IF(ISBLANK('Data Entry'!$Ò$916), "", 'Data Entry'!$Ò$916)</f>
      </c>
      <c r="EQ916">
        <f>IF(ISBLANK('Data Entry'!$Ó$916), "", 'Data Entry'!$Ó$916)</f>
      </c>
      <c r="ER916">
        <f>IF(ISBLANK('Data Entry'!$Ô$916), "", 'Data Entry'!$Ô$916)</f>
      </c>
      <c r="ES916">
        <f>IF(ISBLANK('Data Entry'!$Õ$916), "", 'Data Entry'!$Õ$916)</f>
      </c>
      <c r="ET916">
        <f>IF(ISBLANK('Data Entry'!$Ö$916), "", 'Data Entry'!$Ö$916)</f>
      </c>
      <c r="EU916">
        <f>IF(ISBLANK('Data Entry'!$×$916), "", 'Data Entry'!$×$916)</f>
      </c>
      <c r="EV916">
        <f>IF(ISBLANK('Data Entry'!$Ø$916), "", 'Data Entry'!$Ø$916)</f>
      </c>
      <c r="EW916">
        <f>IF(ISBLANK('Data Entry'!$Ù$916), "", 'Data Entry'!$Ù$916)</f>
      </c>
      <c r="EX916">
        <f>IF(ISBLANK('Data Entry'!$Ú$916), "", 'Data Entry'!$Ú$916)</f>
      </c>
      <c r="EY916">
        <f>IF(ISBLANK('Data Entry'!$Û$916), "", 'Data Entry'!$Û$916)</f>
      </c>
      <c r="EZ916">
        <f>IF(ISBLANK('Data Entry'!$Ü$916), "", 'Data Entry'!$Ü$916)</f>
      </c>
      <c r="FA916">
        <f>IF(ISBLANK('Data Entry'!$Ý$916), "", 'Data Entry'!$Ý$916)</f>
      </c>
      <c r="FB916">
        <f>IF(ISBLANK('Data Entry'!$Þ$916), "", 'Data Entry'!$Þ$916)</f>
      </c>
      <c r="FC916">
        <f>IF(ISBLANK('Data Entry'!$ß$916), "", 'Data Entry'!$ß$916)</f>
      </c>
      <c r="FD916">
        <f>IF(ISBLANK('Data Entry'!$à$916), "", 'Data Entry'!$à$916)</f>
      </c>
      <c r="FE916">
        <f>IF(ISBLANK('Data Entry'!$á$916), "", 'Data Entry'!$á$916)</f>
      </c>
      <c r="FF916">
        <f>IF(ISBLANK('Data Entry'!$â$916), "", 'Data Entry'!$â$916)</f>
      </c>
      <c r="FG916">
        <f>IF(ISBLANK('Data Entry'!$ã$916), "", 'Data Entry'!$ã$916)</f>
      </c>
      <c r="FH916">
        <f>IF(ISBLANK('Data Entry'!$ä$916), "", 'Data Entry'!$ä$916)</f>
      </c>
      <c r="FI916">
        <f>IF(ISBLANK('Data Entry'!$å$916), "", 'Data Entry'!$å$916)</f>
      </c>
      <c r="FJ916">
        <f>IF(ISBLANK('Data Entry'!$æ$916), "", 'Data Entry'!$æ$916)</f>
      </c>
      <c r="FK916">
        <f>IF(ISBLANK('Data Entry'!$ç$916), "", 'Data Entry'!$ç$916)</f>
      </c>
      <c r="FL916">
        <f>IF(ISBLANK('Data Entry'!$è$916), "", 'Data Entry'!$è$916)</f>
      </c>
      <c r="FM916">
        <f>IF(ISBLANK('Data Entry'!$é$916), "", 'Data Entry'!$é$916)</f>
      </c>
      <c r="FN916">
        <f>IF(ISBLANK('Data Entry'!$ê$916), "", 'Data Entry'!$ê$916)</f>
      </c>
      <c r="FO916">
        <f>IF(ISBLANK('Data Entry'!$ë$916), "", 'Data Entry'!$ë$916)</f>
      </c>
      <c r="FP916">
        <f>IF(ISBLANK('Data Entry'!$ì$916), "", 'Data Entry'!$ì$916)</f>
      </c>
      <c r="FQ916">
        <f>IF(ISBLANK('Data Entry'!$í$916), "", 'Data Entry'!$í$916)</f>
      </c>
      <c r="FR916">
        <f>IF(ISBLANK('Data Entry'!$î$916), "", 'Data Entry'!$î$916)</f>
      </c>
      <c r="FS916">
        <f>IF(ISBLANK('Data Entry'!$ï$916), "", 'Data Entry'!$ï$916)</f>
      </c>
      <c r="FT916">
        <f>IF(ISBLANK('Data Entry'!$ð$916), "", 'Data Entry'!$ð$916)</f>
      </c>
      <c r="FU916">
        <f>IF(ISBLANK('Data Entry'!$ñ$916), "", 'Data Entry'!$ñ$916)</f>
      </c>
      <c r="FV916">
        <f>IF(ISBLANK('Data Entry'!$ò$916), "", 'Data Entry'!$ò$916)</f>
      </c>
      <c r="FW916">
        <f>IF(ISBLANK('Data Entry'!$ó$916), "", 'Data Entry'!$ó$916)</f>
      </c>
      <c r="FX916">
        <f>IF(ISBLANK('Data Entry'!$ô$916), "", 'Data Entry'!$ô$916)</f>
      </c>
      <c r="FY916">
        <f>IF(ISBLANK('Data Entry'!$õ$916), "", 'Data Entry'!$õ$916)</f>
      </c>
      <c r="FZ916">
        <f>IF(ISBLANK('Data Entry'!$ö$916), "", 'Data Entry'!$ö$916)</f>
      </c>
      <c r="GA916">
        <f>IF(ISBLANK('Data Entry'!$÷$916), "", 'Data Entry'!$÷$916)</f>
      </c>
      <c r="GB916">
        <f>IF(ISBLANK('Data Entry'!$ø$916), "", 'Data Entry'!$ø$916)</f>
      </c>
      <c r="GC916">
        <f>IF(ISBLANK('Data Entry'!$ù$916), "", 'Data Entry'!$ù$916)</f>
      </c>
      <c r="GD916">
        <f>IF(ISBLANK('Data Entry'!$ú$916), "", 'Data Entry'!$ú$916)</f>
      </c>
      <c r="GE916">
        <f>IF(ISBLANK('Data Entry'!$û$916), "", 'Data Entry'!$û$916)</f>
      </c>
      <c r="GF916">
        <f>IF(ISBLANK('Data Entry'!$ü$916), "", 'Data Entry'!$ü$916)</f>
      </c>
      <c r="GG916">
        <f>IF(ISBLANK('Data Entry'!$ý$916), "", 'Data Entry'!$ý$916)</f>
      </c>
      <c r="GH916">
        <f>IF(ISBLANK('Data Entry'!$þ$916), "", 'Data Entry'!$þ$916)</f>
      </c>
      <c r="GI916">
        <f>IF(ISBLANK('Data Entry'!$ÿ$916), "", 'Data Entry'!$ÿ$916)</f>
      </c>
      <c r="GJ916">
        <f>IF(ISBLANK('Data Entry'!$Ā$916), "", 'Data Entry'!$Ā$916)</f>
      </c>
      <c r="GK916">
        <f>IF(ISBLANK('Data Entry'!$ā$916), "", 'Data Entry'!$ā$916)</f>
      </c>
      <c r="GL916">
        <f>IF(ISBLANK('Data Entry'!$Ă$916), "", 'Data Entry'!$Ă$916)</f>
      </c>
      <c r="GM916">
        <f>IF(ISBLANK('Data Entry'!$ă$916), "", 'Data Entry'!$ă$916)</f>
      </c>
      <c r="GN916">
        <f>IF(ISBLANK('Data Entry'!$Ą$916), "", 'Data Entry'!$Ą$916)</f>
      </c>
      <c r="GO916">
        <f>IF(ISBLANK('Data Entry'!$ą$916), "", 'Data Entry'!$ą$916)</f>
      </c>
      <c r="GP916">
        <f>IF(ISBLANK('Data Entry'!$Ć$916), "", 'Data Entry'!$Ć$916)</f>
      </c>
      <c r="GQ916">
        <f>IF(ISBLANK('Data Entry'!$ć$916), "", 'Data Entry'!$ć$916)</f>
      </c>
      <c r="GR916">
        <f>IF(ISBLANK('Data Entry'!$Ĉ$916), "", 'Data Entry'!$Ĉ$916)</f>
      </c>
      <c r="GS916">
        <f>IF(ISBLANK('Data Entry'!$ĉ$916), "", 'Data Entry'!$ĉ$916)</f>
      </c>
      <c r="GT916">
        <f>IF(ISBLANK('Data Entry'!$Ċ$916), "", 'Data Entry'!$Ċ$916)</f>
      </c>
      <c r="GU916">
        <f>IF(ISBLANK('Data Entry'!$ċ$916), "", 'Data Entry'!$ċ$916)</f>
      </c>
      <c r="GV916">
        <f>IF(ISBLANK('Data Entry'!$Č$916), "", 'Data Entry'!$Č$916)</f>
      </c>
      <c r="GW916">
        <f>IF(ISBLANK('Data Entry'!$č$916), "", 'Data Entry'!$č$916)</f>
      </c>
      <c r="GX916">
        <f>IF(ISBLANK('Data Entry'!$Ď$916), "", 'Data Entry'!$Ď$916)</f>
      </c>
      <c r="GY916">
        <f>IF(ISBLANK('Data Entry'!$ď$916), "", 'Data Entry'!$ď$916)</f>
      </c>
      <c r="GZ916">
        <f>IF(ISBLANK('Data Entry'!$Đ$916), "", 'Data Entry'!$Đ$916)</f>
      </c>
      <c r="HA916">
        <f>IF(ISBLANK('Data Entry'!$đ$916), "", 'Data Entry'!$đ$916)</f>
      </c>
      <c r="HB916">
        <f>IF(ISBLANK('Data Entry'!$Ē$916), "", 'Data Entry'!$Ē$916)</f>
      </c>
      <c r="HC916">
        <f>IF(ISBLANK('Data Entry'!$ē$916), "", 'Data Entry'!$ē$916)</f>
      </c>
      <c r="HD916">
        <f>IF(ISBLANK('Data Entry'!$Ĕ$916), "", 'Data Entry'!$Ĕ$916)</f>
      </c>
      <c r="HE916">
        <f>IF(ISBLANK('Data Entry'!$ĕ$916), "", 'Data Entry'!$ĕ$916)</f>
      </c>
      <c r="HF916">
        <f>IF(ISBLANK('Data Entry'!$Ė$916), "", 'Data Entry'!$Ė$916)</f>
      </c>
      <c r="HG916">
        <f>IF(ISBLANK('Data Entry'!$ė$916), "", 'Data Entry'!$ė$916)</f>
      </c>
      <c r="HH916">
        <f>IF(ISBLANK('Data Entry'!$Ę$916), "", 'Data Entry'!$Ę$916)</f>
      </c>
      <c r="HI916">
        <f>IF(ISBLANK('Data Entry'!$ę$916), "", 'Data Entry'!$ę$916)</f>
      </c>
      <c r="HJ916">
        <f>IF(ISBLANK('Data Entry'!$Ě$916), "", 'Data Entry'!$Ě$916)</f>
      </c>
      <c r="HK916">
        <f>IF(ISBLANK('Data Entry'!$ě$916), "", 'Data Entry'!$ě$916)</f>
      </c>
      <c r="HL916">
        <f>IF(ISBLANK('Data Entry'!$Ĝ$916), "", 'Data Entry'!$Ĝ$916)</f>
      </c>
      <c r="HM916">
        <f>IF(ISBLANK('Data Entry'!$ĝ$916), "", 'Data Entry'!$ĝ$916)</f>
      </c>
      <c r="HN916">
        <f>IF(ISBLANK('Data Entry'!$Ğ$916), "", 'Data Entry'!$Ğ$916)</f>
      </c>
      <c r="HO916">
        <f>IF(ISBLANK('Data Entry'!$ğ$916), "", 'Data Entry'!$ğ$916)</f>
      </c>
      <c r="HP916">
        <f>IF(ISBLANK('Data Entry'!$Ġ$916), "", 'Data Entry'!$Ġ$916)</f>
      </c>
      <c r="HQ916">
        <f>IF(ISBLANK('Data Entry'!$ġ$916), "", 'Data Entry'!$ġ$916)</f>
      </c>
      <c r="HR916">
        <f>IF(ISBLANK('Data Entry'!$Ģ$916), "", 'Data Entry'!$Ģ$916)</f>
      </c>
      <c r="HS916">
        <f>IF(ISBLANK('Data Entry'!$ģ$916), "", 'Data Entry'!$ģ$916)</f>
      </c>
      <c r="HT916">
        <f>IF(ISBLANK('Data Entry'!$Ĥ$916), "", 'Data Entry'!$Ĥ$916)</f>
      </c>
      <c r="HU916">
        <f>IF(ISBLANK('Data Entry'!$ĥ$916), "", 'Data Entry'!$ĥ$916)</f>
      </c>
      <c r="HV916">
        <f>IF(ISBLANK('Data Entry'!$Ħ$916), "", 'Data Entry'!$Ħ$916)</f>
      </c>
      <c r="HW916">
        <f>IF(ISBLANK('Data Entry'!$ħ$916), "", 'Data Entry'!$ħ$916)</f>
      </c>
      <c r="HX916">
        <f>IF(ISBLANK('Data Entry'!$Ĩ$916), "", 'Data Entry'!$Ĩ$916)</f>
      </c>
      <c r="HY916">
        <f>IF(ISBLANK('Data Entry'!$ĩ$916), "", 'Data Entry'!$ĩ$916)</f>
      </c>
      <c r="HZ916">
        <f>IF(ISBLANK('Data Entry'!$Ī$916), "", 'Data Entry'!$Ī$916)</f>
      </c>
      <c r="IA916">
        <f>IF(ISBLANK('Data Entry'!$ī$916), "", 'Data Entry'!$ī$916)</f>
      </c>
      <c r="IB916">
        <f>IF(ISBLANK('Data Entry'!$Ĭ$916), "", 'Data Entry'!$Ĭ$916)</f>
      </c>
      <c r="IC916">
        <f>IF(ISBLANK('Data Entry'!$ĭ$916), "", 'Data Entry'!$ĭ$916)</f>
      </c>
      <c r="ID916">
        <f>IF(ISBLANK('Data Entry'!$Į$916), "", 'Data Entry'!$Į$916)</f>
      </c>
      <c r="IE916">
        <f>IF(ISBLANK('Data Entry'!$į$916), "", 'Data Entry'!$į$916)</f>
      </c>
      <c r="IF916">
        <f>IF(ISBLANK('Data Entry'!$İ$916), "", 'Data Entry'!$İ$916)</f>
      </c>
      <c r="IG916">
        <f>IF(ISBLANK('Data Entry'!$ı$916), "", 'Data Entry'!$ı$916)</f>
      </c>
      <c r="IH916">
        <f>IF(ISBLANK('Data Entry'!$Ĳ$916), "", 'Data Entry'!$Ĳ$916)</f>
      </c>
      <c r="II916">
        <f>IF(ISBLANK('Data Entry'!$ĳ$916), "", 'Data Entry'!$ĳ$916)</f>
      </c>
      <c r="IJ916">
        <f>IF(ISBLANK('Data Entry'!$Ĵ$916), "", 'Data Entry'!$Ĵ$916)</f>
      </c>
      <c r="IK916">
        <f>IF(ISBLANK('Data Entry'!$ĵ$916), "", 'Data Entry'!$ĵ$916)</f>
      </c>
      <c r="IL916">
        <f>IF(ISBLANK('Data Entry'!$Ķ$916), "", 'Data Entry'!$Ķ$916)</f>
      </c>
      <c r="IM916">
        <f>IF(ISBLANK('Data Entry'!$ķ$916), "", 'Data Entry'!$ķ$916)</f>
      </c>
      <c r="IN916">
        <f>IF(ISBLANK('Data Entry'!$ĸ$916), "", 'Data Entry'!$ĸ$916)</f>
      </c>
      <c r="IO916">
        <f>IF(ISBLANK('Data Entry'!$Ĺ$916), "", 'Data Entry'!$Ĺ$916)</f>
      </c>
      <c r="IP916">
        <f>IF(ISBLANK('Data Entry'!$ĺ$916), "", 'Data Entry'!$ĺ$916)</f>
      </c>
      <c r="IQ916">
        <f>IF(ISBLANK('Data Entry'!$Ļ$916), "", 'Data Entry'!$Ļ$916)</f>
      </c>
      <c r="IR916">
        <f>IF(ISBLANK('Data Entry'!$ļ$916), "", 'Data Entry'!$ļ$916)</f>
      </c>
      <c r="IS916">
        <f>IF(ISBLANK('Data Entry'!$Ľ$916), "", 'Data Entry'!$Ľ$916)</f>
      </c>
      <c r="IT916">
        <f>IF(ISBLANK('Data Entry'!$ľ$916), "", 'Data Entry'!$ľ$916)</f>
      </c>
    </row>
    <row r="917" spans="1:254" x14ac:dyDescent="0.25">
      <c r="A917">
        <f>IF(ISBLANK('Data Entry'!$A$917), "", 'Data Entry'!$A$917)</f>
      </c>
      <c r="B917">
        <f>IF(ISBLANK('Data Entry'!$B$917), "", 'Data Entry'!$B$917)</f>
      </c>
      <c r="C917">
        <f>IF(ISBLANK('Data Entry'!$C$917), "", 'Data Entry'!$C$917)</f>
      </c>
      <c r="D917">
        <f>IF(ISBLANK('Data Entry'!$D$917), "", 'Data Entry'!$D$917)</f>
      </c>
      <c r="E917">
        <f>IF(ISBLANK('Data Entry'!$E$917), "", 'Data Entry'!$E$917)</f>
      </c>
      <c r="F917">
        <f>IF(ISBLANK('Data Entry'!$F$917), "", 'Data Entry'!$F$917)</f>
      </c>
      <c r="G917">
        <f>IF(ISBLANK('Data Entry'!$G$917), "", 'Data Entry'!$G$917)</f>
      </c>
      <c r="H917">
        <f>IF(ISBLANK('Data Entry'!$H$917), "", 'Data Entry'!$H$917)</f>
      </c>
      <c r="I917">
        <f>IF(ISBLANK('Data Entry'!$I$917), "", 'Data Entry'!$I$917)</f>
      </c>
      <c r="J917">
        <f>IF(ISBLANK('Data Entry'!$J$917), "", 'Data Entry'!$J$917)</f>
      </c>
      <c r="K917">
        <f>IF(ISBLANK('Data Entry'!$K$917), "", 'Data Entry'!$K$917)</f>
      </c>
      <c r="L917">
        <f>IF(ISBLANK('Data Entry'!$L$917), "", 'Data Entry'!$L$917)</f>
      </c>
      <c r="M917">
        <f>IF(ISBLANK('Data Entry'!$M$917), "", 'Data Entry'!$M$917)</f>
      </c>
      <c r="N917">
        <f>IF(ISBLANK('Data Entry'!$N$917), "", 'Data Entry'!$N$917)</f>
      </c>
      <c r="O917">
        <f>IF(ISBLANK('Data Entry'!$O$917), "", 'Data Entry'!$O$917)</f>
      </c>
      <c r="P917">
        <f>IF(ISBLANK('Data Entry'!$P$917), "", 'Data Entry'!$P$917)</f>
      </c>
      <c r="Q917">
        <f>IF(ISBLANK('Data Entry'!$Q$917), "", 'Data Entry'!$Q$917)</f>
      </c>
      <c r="R917">
        <f>IF(ISBLANK('Data Entry'!$R$917), "", 'Data Entry'!$R$917)</f>
      </c>
      <c r="S917">
        <f>IF(ISBLANK('Data Entry'!$S$917), "", 'Data Entry'!$S$917)</f>
      </c>
      <c r="T917">
        <f>IF(ISBLANK('Data Entry'!$T$917), "", 'Data Entry'!$T$917)</f>
      </c>
      <c r="U917">
        <f>IF(ISBLANK('Data Entry'!$U$917), "", 'Data Entry'!$U$917)</f>
      </c>
      <c r="V917">
        <f>IF(ISBLANK('Data Entry'!$V$917), "", 'Data Entry'!$V$917)</f>
      </c>
      <c r="W917">
        <f>IF(ISBLANK('Data Entry'!$W$917), "", 'Data Entry'!$W$917)</f>
      </c>
      <c r="X917">
        <f>IF(ISBLANK('Data Entry'!$X$917), "", 'Data Entry'!$X$917)</f>
      </c>
      <c r="Y917">
        <f>IF(ISBLANK('Data Entry'!$Y$917), "", 'Data Entry'!$Y$917)</f>
      </c>
      <c r="Z917">
        <f>IF(ISBLANK('Data Entry'!$Z$917), "", 'Data Entry'!$Z$917)</f>
      </c>
      <c r="AA917">
        <f>IF(ISBLANK('Data Entry'!$[$917), "", 'Data Entry'!$[$917)</f>
      </c>
      <c r="AB917">
        <f>IF(ISBLANK('Data Entry'!$\$917), "", 'Data Entry'!$\$917)</f>
      </c>
      <c r="AC917">
        <f>IF(ISBLANK('Data Entry'!$]$917), "", 'Data Entry'!$]$917)</f>
      </c>
      <c r="AD917">
        <f>IF(ISBLANK('Data Entry'!$^$917), "", 'Data Entry'!$^$917)</f>
      </c>
      <c r="AE917">
        <f>IF(ISBLANK('Data Entry'!$_$917), "", 'Data Entry'!$_$917)</f>
      </c>
      <c r="AF917">
        <f>IF(ISBLANK('Data Entry'!$`$917), "", 'Data Entry'!$`$917)</f>
      </c>
      <c r="AG917">
        <f>IF(ISBLANK('Data Entry'!$a$917), "", 'Data Entry'!$a$917)</f>
      </c>
      <c r="AH917">
        <f>IF(ISBLANK('Data Entry'!$b$917), "", 'Data Entry'!$b$917)</f>
      </c>
      <c r="AI917">
        <f>IF(ISBLANK('Data Entry'!$c$917), "", 'Data Entry'!$c$917)</f>
      </c>
      <c r="AJ917">
        <f>IF(ISBLANK('Data Entry'!$d$917), "", 'Data Entry'!$d$917)</f>
      </c>
      <c r="AK917">
        <f>IF(ISBLANK('Data Entry'!$e$917), "", 'Data Entry'!$e$917)</f>
      </c>
      <c r="AL917">
        <f>IF(ISBLANK('Data Entry'!$f$917), "", 'Data Entry'!$f$917)</f>
      </c>
      <c r="AM917">
        <f>IF(ISBLANK('Data Entry'!$g$917), "", 'Data Entry'!$g$917)</f>
      </c>
      <c r="AN917">
        <f>IF(ISBLANK('Data Entry'!$h$917), "", 'Data Entry'!$h$917)</f>
      </c>
      <c r="AO917">
        <f>IF(ISBLANK('Data Entry'!$i$917), "", 'Data Entry'!$i$917)</f>
      </c>
      <c r="AP917">
        <f>IF(ISBLANK('Data Entry'!$j$917), "", 'Data Entry'!$j$917)</f>
      </c>
      <c r="AQ917">
        <f>IF(ISBLANK('Data Entry'!$k$917), "", 'Data Entry'!$k$917)</f>
      </c>
      <c r="AR917">
        <f>IF(ISBLANK('Data Entry'!$l$917), "", 'Data Entry'!$l$917)</f>
      </c>
      <c r="AS917">
        <f>IF(ISBLANK('Data Entry'!$m$917), "", 'Data Entry'!$m$917)</f>
      </c>
      <c r="AT917">
        <f>IF(ISBLANK('Data Entry'!$n$917), "", 'Data Entry'!$n$917)</f>
      </c>
      <c r="AU917">
        <f>IF(ISBLANK('Data Entry'!$o$917), "", 'Data Entry'!$o$917)</f>
      </c>
      <c r="AV917">
        <f>IF(ISBLANK('Data Entry'!$p$917), "", 'Data Entry'!$p$917)</f>
      </c>
      <c r="AW917">
        <f>IF(ISBLANK('Data Entry'!$q$917), "", 'Data Entry'!$q$917)</f>
      </c>
      <c r="AX917">
        <f>IF(ISBLANK('Data Entry'!$r$917), "", 'Data Entry'!$r$917)</f>
      </c>
      <c r="AY917">
        <f>IF(ISBLANK('Data Entry'!$s$917), "", 'Data Entry'!$s$917)</f>
      </c>
      <c r="AZ917">
        <f>IF(ISBLANK('Data Entry'!$t$917), "", 'Data Entry'!$t$917)</f>
      </c>
      <c r="BA917">
        <f>IF(ISBLANK('Data Entry'!$u$917), "", 'Data Entry'!$u$917)</f>
      </c>
      <c r="BB917">
        <f>IF(ISBLANK('Data Entry'!$v$917), "", 'Data Entry'!$v$917)</f>
      </c>
      <c r="BC917">
        <f>IF(ISBLANK('Data Entry'!$w$917), "", 'Data Entry'!$w$917)</f>
      </c>
      <c r="BD917">
        <f>IF(ISBLANK('Data Entry'!$x$917), "", 'Data Entry'!$x$917)</f>
      </c>
      <c r="BE917">
        <f>IF(ISBLANK('Data Entry'!$y$917), "", 'Data Entry'!$y$917)</f>
      </c>
      <c r="BF917">
        <f>IF(ISBLANK('Data Entry'!$z$917), "", 'Data Entry'!$z$917)</f>
      </c>
      <c r="BG917">
        <f>IF(ISBLANK('Data Entry'!${$917), "", 'Data Entry'!${$917)</f>
      </c>
      <c r="BH917">
        <f>IF(ISBLANK('Data Entry'!$|$917), "", 'Data Entry'!$|$917)</f>
      </c>
      <c r="BI917">
        <f>IF(ISBLANK('Data Entry'!$}$917), "", 'Data Entry'!$}$917)</f>
      </c>
      <c r="BJ917">
        <f>IF(ISBLANK('Data Entry'!$~$917), "", 'Data Entry'!$~$917)</f>
      </c>
      <c r="BK917">
        <f>IF(ISBLANK('Data Entry'!$$917), "", 'Data Entry'!$$917)</f>
      </c>
      <c r="BL917">
        <f>IF(ISBLANK('Data Entry'!$$917), "", 'Data Entry'!$$917)</f>
      </c>
      <c r="BM917">
        <f>IF(ISBLANK('Data Entry'!$$917), "", 'Data Entry'!$$917)</f>
      </c>
      <c r="BN917">
        <f>IF(ISBLANK('Data Entry'!$$917), "", 'Data Entry'!$$917)</f>
      </c>
      <c r="BO917">
        <f>IF(ISBLANK('Data Entry'!$$917), "", 'Data Entry'!$$917)</f>
      </c>
      <c r="BP917">
        <f>IF(ISBLANK('Data Entry'!$$917), "", 'Data Entry'!$$917)</f>
      </c>
      <c r="BQ917">
        <f>IF(ISBLANK('Data Entry'!$$917), "", 'Data Entry'!$$917)</f>
      </c>
      <c r="BR917">
        <f>IF(ISBLANK('Data Entry'!$$917), "", 'Data Entry'!$$917)</f>
      </c>
      <c r="BS917">
        <f>IF(ISBLANK('Data Entry'!$$917), "", 'Data Entry'!$$917)</f>
      </c>
      <c r="BT917">
        <f>IF(ISBLANK('Data Entry'!$$917), "", 'Data Entry'!$$917)</f>
      </c>
      <c r="BU917">
        <f>IF(ISBLANK('Data Entry'!$$917), "", 'Data Entry'!$$917)</f>
      </c>
      <c r="BV917">
        <f>IF(ISBLANK('Data Entry'!$$917), "", 'Data Entry'!$$917)</f>
      </c>
      <c r="BW917">
        <f>IF(ISBLANK('Data Entry'!$$917), "", 'Data Entry'!$$917)</f>
      </c>
      <c r="BX917">
        <f>IF(ISBLANK('Data Entry'!$$917), "", 'Data Entry'!$$917)</f>
      </c>
      <c r="BY917">
        <f>IF(ISBLANK('Data Entry'!$$917), "", 'Data Entry'!$$917)</f>
      </c>
      <c r="BZ917">
        <f>IF(ISBLANK('Data Entry'!$$917), "", 'Data Entry'!$$917)</f>
      </c>
      <c r="CA917">
        <f>IF(ISBLANK('Data Entry'!$$917), "", 'Data Entry'!$$917)</f>
      </c>
      <c r="CB917">
        <f>IF(ISBLANK('Data Entry'!$$917), "", 'Data Entry'!$$917)</f>
      </c>
      <c r="CC917">
        <f>IF(ISBLANK('Data Entry'!$$917), "", 'Data Entry'!$$917)</f>
      </c>
      <c r="CD917">
        <f>IF(ISBLANK('Data Entry'!$$917), "", 'Data Entry'!$$917)</f>
      </c>
      <c r="CE917">
        <f>IF(ISBLANK('Data Entry'!$$917), "", 'Data Entry'!$$917)</f>
      </c>
      <c r="CF917">
        <f>IF(ISBLANK('Data Entry'!$$917), "", 'Data Entry'!$$917)</f>
      </c>
      <c r="CG917">
        <f>IF(ISBLANK('Data Entry'!$$917), "", 'Data Entry'!$$917)</f>
      </c>
      <c r="CH917">
        <f>IF(ISBLANK('Data Entry'!$$917), "", 'Data Entry'!$$917)</f>
      </c>
      <c r="CI917">
        <f>IF(ISBLANK('Data Entry'!$$917), "", 'Data Entry'!$$917)</f>
      </c>
      <c r="CJ917">
        <f>IF(ISBLANK('Data Entry'!$$917), "", 'Data Entry'!$$917)</f>
      </c>
      <c r="CK917">
        <f>IF(ISBLANK('Data Entry'!$$917), "", 'Data Entry'!$$917)</f>
      </c>
      <c r="CL917">
        <f>IF(ISBLANK('Data Entry'!$$917), "", 'Data Entry'!$$917)</f>
      </c>
      <c r="CM917">
        <f>IF(ISBLANK('Data Entry'!$$917), "", 'Data Entry'!$$917)</f>
      </c>
      <c r="CN917">
        <f>IF(ISBLANK('Data Entry'!$$917), "", 'Data Entry'!$$917)</f>
      </c>
      <c r="CO917">
        <f>IF(ISBLANK('Data Entry'!$$917), "", 'Data Entry'!$$917)</f>
      </c>
      <c r="CP917">
        <f>IF(ISBLANK('Data Entry'!$$917), "", 'Data Entry'!$$917)</f>
      </c>
      <c r="CQ917">
        <f>IF(ISBLANK('Data Entry'!$$917), "", 'Data Entry'!$$917)</f>
      </c>
      <c r="CR917">
        <f>IF(ISBLANK('Data Entry'!$ $917), "", 'Data Entry'!$ $917)</f>
      </c>
      <c r="CS917">
        <f>IF(ISBLANK('Data Entry'!$¡$917), "", 'Data Entry'!$¡$917)</f>
      </c>
      <c r="CT917">
        <f>IF(ISBLANK('Data Entry'!$¢$917), "", 'Data Entry'!$¢$917)</f>
      </c>
      <c r="CU917">
        <f>IF(ISBLANK('Data Entry'!$£$917), "", 'Data Entry'!$£$917)</f>
      </c>
      <c r="CV917">
        <f>IF(ISBLANK('Data Entry'!$¤$917), "", 'Data Entry'!$¤$917)</f>
      </c>
      <c r="CW917">
        <f>IF(ISBLANK('Data Entry'!$¥$917), "", 'Data Entry'!$¥$917)</f>
      </c>
      <c r="CX917">
        <f>IF(ISBLANK('Data Entry'!$¦$917), "", 'Data Entry'!$¦$917)</f>
      </c>
      <c r="CY917">
        <f>IF(ISBLANK('Data Entry'!$§$917), "", 'Data Entry'!$§$917)</f>
      </c>
      <c r="CZ917">
        <f>IF(ISBLANK('Data Entry'!$¨$917), "", 'Data Entry'!$¨$917)</f>
      </c>
      <c r="DA917">
        <f>IF(ISBLANK('Data Entry'!$©$917), "", 'Data Entry'!$©$917)</f>
      </c>
      <c r="DB917">
        <f>IF(ISBLANK('Data Entry'!$ª$917), "", 'Data Entry'!$ª$917)</f>
      </c>
      <c r="DC917">
        <f>IF(ISBLANK('Data Entry'!$«$917), "", 'Data Entry'!$«$917)</f>
      </c>
      <c r="DD917">
        <f>IF(ISBLANK('Data Entry'!$¬$917), "", 'Data Entry'!$¬$917)</f>
      </c>
      <c r="DE917">
        <f>IF(ISBLANK('Data Entry'!$­$917), "", 'Data Entry'!$­$917)</f>
      </c>
      <c r="DF917">
        <f>IF(ISBLANK('Data Entry'!$®$917), "", 'Data Entry'!$®$917)</f>
      </c>
      <c r="DG917">
        <f>IF(ISBLANK('Data Entry'!$¯$917), "", 'Data Entry'!$¯$917)</f>
      </c>
      <c r="DH917">
        <f>IF(ISBLANK('Data Entry'!$°$917), "", 'Data Entry'!$°$917)</f>
      </c>
      <c r="DI917">
        <f>IF(ISBLANK('Data Entry'!$±$917), "", 'Data Entry'!$±$917)</f>
      </c>
      <c r="DJ917">
        <f>IF(ISBLANK('Data Entry'!$²$917), "", 'Data Entry'!$²$917)</f>
      </c>
      <c r="DK917">
        <f>IF(ISBLANK('Data Entry'!$³$917), "", 'Data Entry'!$³$917)</f>
      </c>
      <c r="DL917">
        <f>IF(ISBLANK('Data Entry'!$´$917), "", 'Data Entry'!$´$917)</f>
      </c>
      <c r="DM917">
        <f>IF(ISBLANK('Data Entry'!$µ$917), "", 'Data Entry'!$µ$917)</f>
      </c>
      <c r="DN917">
        <f>IF(ISBLANK('Data Entry'!$¶$917), "", 'Data Entry'!$¶$917)</f>
      </c>
      <c r="DO917">
        <f>IF(ISBLANK('Data Entry'!$·$917), "", 'Data Entry'!$·$917)</f>
      </c>
      <c r="DP917">
        <f>IF(ISBLANK('Data Entry'!$¸$917), "", 'Data Entry'!$¸$917)</f>
      </c>
      <c r="DQ917">
        <f>IF(ISBLANK('Data Entry'!$¹$917), "", 'Data Entry'!$¹$917)</f>
      </c>
      <c r="DR917">
        <f>IF(ISBLANK('Data Entry'!$º$917), "", 'Data Entry'!$º$917)</f>
      </c>
      <c r="DS917">
        <f>IF(ISBLANK('Data Entry'!$»$917), "", 'Data Entry'!$»$917)</f>
      </c>
      <c r="DT917">
        <f>IF(ISBLANK('Data Entry'!$¼$917), "", 'Data Entry'!$¼$917)</f>
      </c>
      <c r="DU917">
        <f>IF(ISBLANK('Data Entry'!$½$917), "", 'Data Entry'!$½$917)</f>
      </c>
      <c r="DV917">
        <f>IF(ISBLANK('Data Entry'!$¾$917), "", 'Data Entry'!$¾$917)</f>
      </c>
      <c r="DW917">
        <f>IF(ISBLANK('Data Entry'!$¿$917), "", 'Data Entry'!$¿$917)</f>
      </c>
      <c r="DX917">
        <f>IF(ISBLANK('Data Entry'!$À$917), "", 'Data Entry'!$À$917)</f>
      </c>
      <c r="DY917">
        <f>IF(ISBLANK('Data Entry'!$Á$917), "", 'Data Entry'!$Á$917)</f>
      </c>
      <c r="DZ917">
        <f>IF(ISBLANK('Data Entry'!$Â$917), "", 'Data Entry'!$Â$917)</f>
      </c>
      <c r="EA917">
        <f>IF(ISBLANK('Data Entry'!$Ã$917), "", 'Data Entry'!$Ã$917)</f>
      </c>
      <c r="EB917">
        <f>IF(ISBLANK('Data Entry'!$Ä$917), "", 'Data Entry'!$Ä$917)</f>
      </c>
      <c r="EC917">
        <f>IF(ISBLANK('Data Entry'!$Å$917), "", 'Data Entry'!$Å$917)</f>
      </c>
      <c r="ED917">
        <f>IF(ISBLANK('Data Entry'!$Æ$917), "", 'Data Entry'!$Æ$917)</f>
      </c>
      <c r="EE917">
        <f>IF(ISBLANK('Data Entry'!$Ç$917), "", 'Data Entry'!$Ç$917)</f>
      </c>
      <c r="EF917">
        <f>IF(ISBLANK('Data Entry'!$È$917), "", 'Data Entry'!$È$917)</f>
      </c>
      <c r="EG917">
        <f>IF(ISBLANK('Data Entry'!$É$917), "", 'Data Entry'!$É$917)</f>
      </c>
      <c r="EH917">
        <f>IF(ISBLANK('Data Entry'!$Ê$917), "", 'Data Entry'!$Ê$917)</f>
      </c>
      <c r="EI917">
        <f>IF(ISBLANK('Data Entry'!$Ë$917), "", 'Data Entry'!$Ë$917)</f>
      </c>
      <c r="EJ917">
        <f>IF(ISBLANK('Data Entry'!$Ì$917), "", 'Data Entry'!$Ì$917)</f>
      </c>
      <c r="EK917">
        <f>IF(ISBLANK('Data Entry'!$Í$917), "", 'Data Entry'!$Í$917)</f>
      </c>
      <c r="EL917">
        <f>IF(ISBLANK('Data Entry'!$Î$917), "", 'Data Entry'!$Î$917)</f>
      </c>
      <c r="EM917">
        <f>IF(ISBLANK('Data Entry'!$Ï$917), "", 'Data Entry'!$Ï$917)</f>
      </c>
      <c r="EN917">
        <f>IF(ISBLANK('Data Entry'!$Ð$917), "", 'Data Entry'!$Ð$917)</f>
      </c>
      <c r="EO917">
        <f>IF(ISBLANK('Data Entry'!$Ñ$917), "", 'Data Entry'!$Ñ$917)</f>
      </c>
      <c r="EP917">
        <f>IF(ISBLANK('Data Entry'!$Ò$917), "", 'Data Entry'!$Ò$917)</f>
      </c>
      <c r="EQ917">
        <f>IF(ISBLANK('Data Entry'!$Ó$917), "", 'Data Entry'!$Ó$917)</f>
      </c>
      <c r="ER917">
        <f>IF(ISBLANK('Data Entry'!$Ô$917), "", 'Data Entry'!$Ô$917)</f>
      </c>
      <c r="ES917">
        <f>IF(ISBLANK('Data Entry'!$Õ$917), "", 'Data Entry'!$Õ$917)</f>
      </c>
      <c r="ET917">
        <f>IF(ISBLANK('Data Entry'!$Ö$917), "", 'Data Entry'!$Ö$917)</f>
      </c>
      <c r="EU917">
        <f>IF(ISBLANK('Data Entry'!$×$917), "", 'Data Entry'!$×$917)</f>
      </c>
      <c r="EV917">
        <f>IF(ISBLANK('Data Entry'!$Ø$917), "", 'Data Entry'!$Ø$917)</f>
      </c>
      <c r="EW917">
        <f>IF(ISBLANK('Data Entry'!$Ù$917), "", 'Data Entry'!$Ù$917)</f>
      </c>
      <c r="EX917">
        <f>IF(ISBLANK('Data Entry'!$Ú$917), "", 'Data Entry'!$Ú$917)</f>
      </c>
      <c r="EY917">
        <f>IF(ISBLANK('Data Entry'!$Û$917), "", 'Data Entry'!$Û$917)</f>
      </c>
      <c r="EZ917">
        <f>IF(ISBLANK('Data Entry'!$Ü$917), "", 'Data Entry'!$Ü$917)</f>
      </c>
      <c r="FA917">
        <f>IF(ISBLANK('Data Entry'!$Ý$917), "", 'Data Entry'!$Ý$917)</f>
      </c>
      <c r="FB917">
        <f>IF(ISBLANK('Data Entry'!$Þ$917), "", 'Data Entry'!$Þ$917)</f>
      </c>
      <c r="FC917">
        <f>IF(ISBLANK('Data Entry'!$ß$917), "", 'Data Entry'!$ß$917)</f>
      </c>
      <c r="FD917">
        <f>IF(ISBLANK('Data Entry'!$à$917), "", 'Data Entry'!$à$917)</f>
      </c>
      <c r="FE917">
        <f>IF(ISBLANK('Data Entry'!$á$917), "", 'Data Entry'!$á$917)</f>
      </c>
      <c r="FF917">
        <f>IF(ISBLANK('Data Entry'!$â$917), "", 'Data Entry'!$â$917)</f>
      </c>
      <c r="FG917">
        <f>IF(ISBLANK('Data Entry'!$ã$917), "", 'Data Entry'!$ã$917)</f>
      </c>
      <c r="FH917">
        <f>IF(ISBLANK('Data Entry'!$ä$917), "", 'Data Entry'!$ä$917)</f>
      </c>
      <c r="FI917">
        <f>IF(ISBLANK('Data Entry'!$å$917), "", 'Data Entry'!$å$917)</f>
      </c>
      <c r="FJ917">
        <f>IF(ISBLANK('Data Entry'!$æ$917), "", 'Data Entry'!$æ$917)</f>
      </c>
      <c r="FK917">
        <f>IF(ISBLANK('Data Entry'!$ç$917), "", 'Data Entry'!$ç$917)</f>
      </c>
      <c r="FL917">
        <f>IF(ISBLANK('Data Entry'!$è$917), "", 'Data Entry'!$è$917)</f>
      </c>
      <c r="FM917">
        <f>IF(ISBLANK('Data Entry'!$é$917), "", 'Data Entry'!$é$917)</f>
      </c>
      <c r="FN917">
        <f>IF(ISBLANK('Data Entry'!$ê$917), "", 'Data Entry'!$ê$917)</f>
      </c>
      <c r="FO917">
        <f>IF(ISBLANK('Data Entry'!$ë$917), "", 'Data Entry'!$ë$917)</f>
      </c>
      <c r="FP917">
        <f>IF(ISBLANK('Data Entry'!$ì$917), "", 'Data Entry'!$ì$917)</f>
      </c>
      <c r="FQ917">
        <f>IF(ISBLANK('Data Entry'!$í$917), "", 'Data Entry'!$í$917)</f>
      </c>
      <c r="FR917">
        <f>IF(ISBLANK('Data Entry'!$î$917), "", 'Data Entry'!$î$917)</f>
      </c>
      <c r="FS917">
        <f>IF(ISBLANK('Data Entry'!$ï$917), "", 'Data Entry'!$ï$917)</f>
      </c>
      <c r="FT917">
        <f>IF(ISBLANK('Data Entry'!$ð$917), "", 'Data Entry'!$ð$917)</f>
      </c>
      <c r="FU917">
        <f>IF(ISBLANK('Data Entry'!$ñ$917), "", 'Data Entry'!$ñ$917)</f>
      </c>
      <c r="FV917">
        <f>IF(ISBLANK('Data Entry'!$ò$917), "", 'Data Entry'!$ò$917)</f>
      </c>
      <c r="FW917">
        <f>IF(ISBLANK('Data Entry'!$ó$917), "", 'Data Entry'!$ó$917)</f>
      </c>
      <c r="FX917">
        <f>IF(ISBLANK('Data Entry'!$ô$917), "", 'Data Entry'!$ô$917)</f>
      </c>
      <c r="FY917">
        <f>IF(ISBLANK('Data Entry'!$õ$917), "", 'Data Entry'!$õ$917)</f>
      </c>
      <c r="FZ917">
        <f>IF(ISBLANK('Data Entry'!$ö$917), "", 'Data Entry'!$ö$917)</f>
      </c>
      <c r="GA917">
        <f>IF(ISBLANK('Data Entry'!$÷$917), "", 'Data Entry'!$÷$917)</f>
      </c>
      <c r="GB917">
        <f>IF(ISBLANK('Data Entry'!$ø$917), "", 'Data Entry'!$ø$917)</f>
      </c>
      <c r="GC917">
        <f>IF(ISBLANK('Data Entry'!$ù$917), "", 'Data Entry'!$ù$917)</f>
      </c>
      <c r="GD917">
        <f>IF(ISBLANK('Data Entry'!$ú$917), "", 'Data Entry'!$ú$917)</f>
      </c>
      <c r="GE917">
        <f>IF(ISBLANK('Data Entry'!$û$917), "", 'Data Entry'!$û$917)</f>
      </c>
      <c r="GF917">
        <f>IF(ISBLANK('Data Entry'!$ü$917), "", 'Data Entry'!$ü$917)</f>
      </c>
      <c r="GG917">
        <f>IF(ISBLANK('Data Entry'!$ý$917), "", 'Data Entry'!$ý$917)</f>
      </c>
      <c r="GH917">
        <f>IF(ISBLANK('Data Entry'!$þ$917), "", 'Data Entry'!$þ$917)</f>
      </c>
      <c r="GI917">
        <f>IF(ISBLANK('Data Entry'!$ÿ$917), "", 'Data Entry'!$ÿ$917)</f>
      </c>
      <c r="GJ917">
        <f>IF(ISBLANK('Data Entry'!$Ā$917), "", 'Data Entry'!$Ā$917)</f>
      </c>
      <c r="GK917">
        <f>IF(ISBLANK('Data Entry'!$ā$917), "", 'Data Entry'!$ā$917)</f>
      </c>
      <c r="GL917">
        <f>IF(ISBLANK('Data Entry'!$Ă$917), "", 'Data Entry'!$Ă$917)</f>
      </c>
      <c r="GM917">
        <f>IF(ISBLANK('Data Entry'!$ă$917), "", 'Data Entry'!$ă$917)</f>
      </c>
      <c r="GN917">
        <f>IF(ISBLANK('Data Entry'!$Ą$917), "", 'Data Entry'!$Ą$917)</f>
      </c>
      <c r="GO917">
        <f>IF(ISBLANK('Data Entry'!$ą$917), "", 'Data Entry'!$ą$917)</f>
      </c>
      <c r="GP917">
        <f>IF(ISBLANK('Data Entry'!$Ć$917), "", 'Data Entry'!$Ć$917)</f>
      </c>
      <c r="GQ917">
        <f>IF(ISBLANK('Data Entry'!$ć$917), "", 'Data Entry'!$ć$917)</f>
      </c>
      <c r="GR917">
        <f>IF(ISBLANK('Data Entry'!$Ĉ$917), "", 'Data Entry'!$Ĉ$917)</f>
      </c>
      <c r="GS917">
        <f>IF(ISBLANK('Data Entry'!$ĉ$917), "", 'Data Entry'!$ĉ$917)</f>
      </c>
      <c r="GT917">
        <f>IF(ISBLANK('Data Entry'!$Ċ$917), "", 'Data Entry'!$Ċ$917)</f>
      </c>
      <c r="GU917">
        <f>IF(ISBLANK('Data Entry'!$ċ$917), "", 'Data Entry'!$ċ$917)</f>
      </c>
      <c r="GV917">
        <f>IF(ISBLANK('Data Entry'!$Č$917), "", 'Data Entry'!$Č$917)</f>
      </c>
      <c r="GW917">
        <f>IF(ISBLANK('Data Entry'!$č$917), "", 'Data Entry'!$č$917)</f>
      </c>
      <c r="GX917">
        <f>IF(ISBLANK('Data Entry'!$Ď$917), "", 'Data Entry'!$Ď$917)</f>
      </c>
      <c r="GY917">
        <f>IF(ISBLANK('Data Entry'!$ď$917), "", 'Data Entry'!$ď$917)</f>
      </c>
      <c r="GZ917">
        <f>IF(ISBLANK('Data Entry'!$Đ$917), "", 'Data Entry'!$Đ$917)</f>
      </c>
      <c r="HA917">
        <f>IF(ISBLANK('Data Entry'!$đ$917), "", 'Data Entry'!$đ$917)</f>
      </c>
      <c r="HB917">
        <f>IF(ISBLANK('Data Entry'!$Ē$917), "", 'Data Entry'!$Ē$917)</f>
      </c>
      <c r="HC917">
        <f>IF(ISBLANK('Data Entry'!$ē$917), "", 'Data Entry'!$ē$917)</f>
      </c>
      <c r="HD917">
        <f>IF(ISBLANK('Data Entry'!$Ĕ$917), "", 'Data Entry'!$Ĕ$917)</f>
      </c>
      <c r="HE917">
        <f>IF(ISBLANK('Data Entry'!$ĕ$917), "", 'Data Entry'!$ĕ$917)</f>
      </c>
      <c r="HF917">
        <f>IF(ISBLANK('Data Entry'!$Ė$917), "", 'Data Entry'!$Ė$917)</f>
      </c>
      <c r="HG917">
        <f>IF(ISBLANK('Data Entry'!$ė$917), "", 'Data Entry'!$ė$917)</f>
      </c>
      <c r="HH917">
        <f>IF(ISBLANK('Data Entry'!$Ę$917), "", 'Data Entry'!$Ę$917)</f>
      </c>
      <c r="HI917">
        <f>IF(ISBLANK('Data Entry'!$ę$917), "", 'Data Entry'!$ę$917)</f>
      </c>
      <c r="HJ917">
        <f>IF(ISBLANK('Data Entry'!$Ě$917), "", 'Data Entry'!$Ě$917)</f>
      </c>
      <c r="HK917">
        <f>IF(ISBLANK('Data Entry'!$ě$917), "", 'Data Entry'!$ě$917)</f>
      </c>
      <c r="HL917">
        <f>IF(ISBLANK('Data Entry'!$Ĝ$917), "", 'Data Entry'!$Ĝ$917)</f>
      </c>
      <c r="HM917">
        <f>IF(ISBLANK('Data Entry'!$ĝ$917), "", 'Data Entry'!$ĝ$917)</f>
      </c>
      <c r="HN917">
        <f>IF(ISBLANK('Data Entry'!$Ğ$917), "", 'Data Entry'!$Ğ$917)</f>
      </c>
      <c r="HO917">
        <f>IF(ISBLANK('Data Entry'!$ğ$917), "", 'Data Entry'!$ğ$917)</f>
      </c>
      <c r="HP917">
        <f>IF(ISBLANK('Data Entry'!$Ġ$917), "", 'Data Entry'!$Ġ$917)</f>
      </c>
      <c r="HQ917">
        <f>IF(ISBLANK('Data Entry'!$ġ$917), "", 'Data Entry'!$ġ$917)</f>
      </c>
      <c r="HR917">
        <f>IF(ISBLANK('Data Entry'!$Ģ$917), "", 'Data Entry'!$Ģ$917)</f>
      </c>
      <c r="HS917">
        <f>IF(ISBLANK('Data Entry'!$ģ$917), "", 'Data Entry'!$ģ$917)</f>
      </c>
      <c r="HT917">
        <f>IF(ISBLANK('Data Entry'!$Ĥ$917), "", 'Data Entry'!$Ĥ$917)</f>
      </c>
      <c r="HU917">
        <f>IF(ISBLANK('Data Entry'!$ĥ$917), "", 'Data Entry'!$ĥ$917)</f>
      </c>
      <c r="HV917">
        <f>IF(ISBLANK('Data Entry'!$Ħ$917), "", 'Data Entry'!$Ħ$917)</f>
      </c>
      <c r="HW917">
        <f>IF(ISBLANK('Data Entry'!$ħ$917), "", 'Data Entry'!$ħ$917)</f>
      </c>
      <c r="HX917">
        <f>IF(ISBLANK('Data Entry'!$Ĩ$917), "", 'Data Entry'!$Ĩ$917)</f>
      </c>
      <c r="HY917">
        <f>IF(ISBLANK('Data Entry'!$ĩ$917), "", 'Data Entry'!$ĩ$917)</f>
      </c>
      <c r="HZ917">
        <f>IF(ISBLANK('Data Entry'!$Ī$917), "", 'Data Entry'!$Ī$917)</f>
      </c>
      <c r="IA917">
        <f>IF(ISBLANK('Data Entry'!$ī$917), "", 'Data Entry'!$ī$917)</f>
      </c>
      <c r="IB917">
        <f>IF(ISBLANK('Data Entry'!$Ĭ$917), "", 'Data Entry'!$Ĭ$917)</f>
      </c>
      <c r="IC917">
        <f>IF(ISBLANK('Data Entry'!$ĭ$917), "", 'Data Entry'!$ĭ$917)</f>
      </c>
      <c r="ID917">
        <f>IF(ISBLANK('Data Entry'!$Į$917), "", 'Data Entry'!$Į$917)</f>
      </c>
      <c r="IE917">
        <f>IF(ISBLANK('Data Entry'!$į$917), "", 'Data Entry'!$į$917)</f>
      </c>
      <c r="IF917">
        <f>IF(ISBLANK('Data Entry'!$İ$917), "", 'Data Entry'!$İ$917)</f>
      </c>
      <c r="IG917">
        <f>IF(ISBLANK('Data Entry'!$ı$917), "", 'Data Entry'!$ı$917)</f>
      </c>
      <c r="IH917">
        <f>IF(ISBLANK('Data Entry'!$Ĳ$917), "", 'Data Entry'!$Ĳ$917)</f>
      </c>
      <c r="II917">
        <f>IF(ISBLANK('Data Entry'!$ĳ$917), "", 'Data Entry'!$ĳ$917)</f>
      </c>
      <c r="IJ917">
        <f>IF(ISBLANK('Data Entry'!$Ĵ$917), "", 'Data Entry'!$Ĵ$917)</f>
      </c>
      <c r="IK917">
        <f>IF(ISBLANK('Data Entry'!$ĵ$917), "", 'Data Entry'!$ĵ$917)</f>
      </c>
      <c r="IL917">
        <f>IF(ISBLANK('Data Entry'!$Ķ$917), "", 'Data Entry'!$Ķ$917)</f>
      </c>
      <c r="IM917">
        <f>IF(ISBLANK('Data Entry'!$ķ$917), "", 'Data Entry'!$ķ$917)</f>
      </c>
      <c r="IN917">
        <f>IF(ISBLANK('Data Entry'!$ĸ$917), "", 'Data Entry'!$ĸ$917)</f>
      </c>
      <c r="IO917">
        <f>IF(ISBLANK('Data Entry'!$Ĺ$917), "", 'Data Entry'!$Ĺ$917)</f>
      </c>
      <c r="IP917">
        <f>IF(ISBLANK('Data Entry'!$ĺ$917), "", 'Data Entry'!$ĺ$917)</f>
      </c>
      <c r="IQ917">
        <f>IF(ISBLANK('Data Entry'!$Ļ$917), "", 'Data Entry'!$Ļ$917)</f>
      </c>
      <c r="IR917">
        <f>IF(ISBLANK('Data Entry'!$ļ$917), "", 'Data Entry'!$ļ$917)</f>
      </c>
      <c r="IS917">
        <f>IF(ISBLANK('Data Entry'!$Ľ$917), "", 'Data Entry'!$Ľ$917)</f>
      </c>
      <c r="IT917">
        <f>IF(ISBLANK('Data Entry'!$ľ$917), "", 'Data Entry'!$ľ$917)</f>
      </c>
    </row>
    <row r="918" spans="1:254" x14ac:dyDescent="0.25">
      <c r="A918">
        <f>IF(ISBLANK('Data Entry'!$A$918), "", 'Data Entry'!$A$918)</f>
      </c>
      <c r="B918">
        <f>IF(ISBLANK('Data Entry'!$B$918), "", 'Data Entry'!$B$918)</f>
      </c>
      <c r="C918">
        <f>IF(ISBLANK('Data Entry'!$C$918), "", 'Data Entry'!$C$918)</f>
      </c>
      <c r="D918">
        <f>IF(ISBLANK('Data Entry'!$D$918), "", 'Data Entry'!$D$918)</f>
      </c>
      <c r="E918">
        <f>IF(ISBLANK('Data Entry'!$E$918), "", 'Data Entry'!$E$918)</f>
      </c>
      <c r="F918">
        <f>IF(ISBLANK('Data Entry'!$F$918), "", 'Data Entry'!$F$918)</f>
      </c>
      <c r="G918">
        <f>IF(ISBLANK('Data Entry'!$G$918), "", 'Data Entry'!$G$918)</f>
      </c>
      <c r="H918">
        <f>IF(ISBLANK('Data Entry'!$H$918), "", 'Data Entry'!$H$918)</f>
      </c>
      <c r="I918">
        <f>IF(ISBLANK('Data Entry'!$I$918), "", 'Data Entry'!$I$918)</f>
      </c>
      <c r="J918">
        <f>IF(ISBLANK('Data Entry'!$J$918), "", 'Data Entry'!$J$918)</f>
      </c>
      <c r="K918">
        <f>IF(ISBLANK('Data Entry'!$K$918), "", 'Data Entry'!$K$918)</f>
      </c>
      <c r="L918">
        <f>IF(ISBLANK('Data Entry'!$L$918), "", 'Data Entry'!$L$918)</f>
      </c>
      <c r="M918">
        <f>IF(ISBLANK('Data Entry'!$M$918), "", 'Data Entry'!$M$918)</f>
      </c>
      <c r="N918">
        <f>IF(ISBLANK('Data Entry'!$N$918), "", 'Data Entry'!$N$918)</f>
      </c>
      <c r="O918">
        <f>IF(ISBLANK('Data Entry'!$O$918), "", 'Data Entry'!$O$918)</f>
      </c>
      <c r="P918">
        <f>IF(ISBLANK('Data Entry'!$P$918), "", 'Data Entry'!$P$918)</f>
      </c>
      <c r="Q918">
        <f>IF(ISBLANK('Data Entry'!$Q$918), "", 'Data Entry'!$Q$918)</f>
      </c>
      <c r="R918">
        <f>IF(ISBLANK('Data Entry'!$R$918), "", 'Data Entry'!$R$918)</f>
      </c>
      <c r="S918">
        <f>IF(ISBLANK('Data Entry'!$S$918), "", 'Data Entry'!$S$918)</f>
      </c>
      <c r="T918">
        <f>IF(ISBLANK('Data Entry'!$T$918), "", 'Data Entry'!$T$918)</f>
      </c>
      <c r="U918">
        <f>IF(ISBLANK('Data Entry'!$U$918), "", 'Data Entry'!$U$918)</f>
      </c>
      <c r="V918">
        <f>IF(ISBLANK('Data Entry'!$V$918), "", 'Data Entry'!$V$918)</f>
      </c>
      <c r="W918">
        <f>IF(ISBLANK('Data Entry'!$W$918), "", 'Data Entry'!$W$918)</f>
      </c>
      <c r="X918">
        <f>IF(ISBLANK('Data Entry'!$X$918), "", 'Data Entry'!$X$918)</f>
      </c>
      <c r="Y918">
        <f>IF(ISBLANK('Data Entry'!$Y$918), "", 'Data Entry'!$Y$918)</f>
      </c>
      <c r="Z918">
        <f>IF(ISBLANK('Data Entry'!$Z$918), "", 'Data Entry'!$Z$918)</f>
      </c>
      <c r="AA918">
        <f>IF(ISBLANK('Data Entry'!$[$918), "", 'Data Entry'!$[$918)</f>
      </c>
      <c r="AB918">
        <f>IF(ISBLANK('Data Entry'!$\$918), "", 'Data Entry'!$\$918)</f>
      </c>
      <c r="AC918">
        <f>IF(ISBLANK('Data Entry'!$]$918), "", 'Data Entry'!$]$918)</f>
      </c>
      <c r="AD918">
        <f>IF(ISBLANK('Data Entry'!$^$918), "", 'Data Entry'!$^$918)</f>
      </c>
      <c r="AE918">
        <f>IF(ISBLANK('Data Entry'!$_$918), "", 'Data Entry'!$_$918)</f>
      </c>
      <c r="AF918">
        <f>IF(ISBLANK('Data Entry'!$`$918), "", 'Data Entry'!$`$918)</f>
      </c>
      <c r="AG918">
        <f>IF(ISBLANK('Data Entry'!$a$918), "", 'Data Entry'!$a$918)</f>
      </c>
      <c r="AH918">
        <f>IF(ISBLANK('Data Entry'!$b$918), "", 'Data Entry'!$b$918)</f>
      </c>
      <c r="AI918">
        <f>IF(ISBLANK('Data Entry'!$c$918), "", 'Data Entry'!$c$918)</f>
      </c>
      <c r="AJ918">
        <f>IF(ISBLANK('Data Entry'!$d$918), "", 'Data Entry'!$d$918)</f>
      </c>
      <c r="AK918">
        <f>IF(ISBLANK('Data Entry'!$e$918), "", 'Data Entry'!$e$918)</f>
      </c>
      <c r="AL918">
        <f>IF(ISBLANK('Data Entry'!$f$918), "", 'Data Entry'!$f$918)</f>
      </c>
      <c r="AM918">
        <f>IF(ISBLANK('Data Entry'!$g$918), "", 'Data Entry'!$g$918)</f>
      </c>
      <c r="AN918">
        <f>IF(ISBLANK('Data Entry'!$h$918), "", 'Data Entry'!$h$918)</f>
      </c>
      <c r="AO918">
        <f>IF(ISBLANK('Data Entry'!$i$918), "", 'Data Entry'!$i$918)</f>
      </c>
      <c r="AP918">
        <f>IF(ISBLANK('Data Entry'!$j$918), "", 'Data Entry'!$j$918)</f>
      </c>
      <c r="AQ918">
        <f>IF(ISBLANK('Data Entry'!$k$918), "", 'Data Entry'!$k$918)</f>
      </c>
      <c r="AR918">
        <f>IF(ISBLANK('Data Entry'!$l$918), "", 'Data Entry'!$l$918)</f>
      </c>
      <c r="AS918">
        <f>IF(ISBLANK('Data Entry'!$m$918), "", 'Data Entry'!$m$918)</f>
      </c>
      <c r="AT918">
        <f>IF(ISBLANK('Data Entry'!$n$918), "", 'Data Entry'!$n$918)</f>
      </c>
      <c r="AU918">
        <f>IF(ISBLANK('Data Entry'!$o$918), "", 'Data Entry'!$o$918)</f>
      </c>
      <c r="AV918">
        <f>IF(ISBLANK('Data Entry'!$p$918), "", 'Data Entry'!$p$918)</f>
      </c>
      <c r="AW918">
        <f>IF(ISBLANK('Data Entry'!$q$918), "", 'Data Entry'!$q$918)</f>
      </c>
      <c r="AX918">
        <f>IF(ISBLANK('Data Entry'!$r$918), "", 'Data Entry'!$r$918)</f>
      </c>
      <c r="AY918">
        <f>IF(ISBLANK('Data Entry'!$s$918), "", 'Data Entry'!$s$918)</f>
      </c>
      <c r="AZ918">
        <f>IF(ISBLANK('Data Entry'!$t$918), "", 'Data Entry'!$t$918)</f>
      </c>
      <c r="BA918">
        <f>IF(ISBLANK('Data Entry'!$u$918), "", 'Data Entry'!$u$918)</f>
      </c>
      <c r="BB918">
        <f>IF(ISBLANK('Data Entry'!$v$918), "", 'Data Entry'!$v$918)</f>
      </c>
      <c r="BC918">
        <f>IF(ISBLANK('Data Entry'!$w$918), "", 'Data Entry'!$w$918)</f>
      </c>
      <c r="BD918">
        <f>IF(ISBLANK('Data Entry'!$x$918), "", 'Data Entry'!$x$918)</f>
      </c>
      <c r="BE918">
        <f>IF(ISBLANK('Data Entry'!$y$918), "", 'Data Entry'!$y$918)</f>
      </c>
      <c r="BF918">
        <f>IF(ISBLANK('Data Entry'!$z$918), "", 'Data Entry'!$z$918)</f>
      </c>
      <c r="BG918">
        <f>IF(ISBLANK('Data Entry'!${$918), "", 'Data Entry'!${$918)</f>
      </c>
      <c r="BH918">
        <f>IF(ISBLANK('Data Entry'!$|$918), "", 'Data Entry'!$|$918)</f>
      </c>
      <c r="BI918">
        <f>IF(ISBLANK('Data Entry'!$}$918), "", 'Data Entry'!$}$918)</f>
      </c>
      <c r="BJ918">
        <f>IF(ISBLANK('Data Entry'!$~$918), "", 'Data Entry'!$~$918)</f>
      </c>
      <c r="BK918">
        <f>IF(ISBLANK('Data Entry'!$$918), "", 'Data Entry'!$$918)</f>
      </c>
      <c r="BL918">
        <f>IF(ISBLANK('Data Entry'!$$918), "", 'Data Entry'!$$918)</f>
      </c>
      <c r="BM918">
        <f>IF(ISBLANK('Data Entry'!$$918), "", 'Data Entry'!$$918)</f>
      </c>
      <c r="BN918">
        <f>IF(ISBLANK('Data Entry'!$$918), "", 'Data Entry'!$$918)</f>
      </c>
      <c r="BO918">
        <f>IF(ISBLANK('Data Entry'!$$918), "", 'Data Entry'!$$918)</f>
      </c>
      <c r="BP918">
        <f>IF(ISBLANK('Data Entry'!$$918), "", 'Data Entry'!$$918)</f>
      </c>
      <c r="BQ918">
        <f>IF(ISBLANK('Data Entry'!$$918), "", 'Data Entry'!$$918)</f>
      </c>
      <c r="BR918">
        <f>IF(ISBLANK('Data Entry'!$$918), "", 'Data Entry'!$$918)</f>
      </c>
      <c r="BS918">
        <f>IF(ISBLANK('Data Entry'!$$918), "", 'Data Entry'!$$918)</f>
      </c>
      <c r="BT918">
        <f>IF(ISBLANK('Data Entry'!$$918), "", 'Data Entry'!$$918)</f>
      </c>
      <c r="BU918">
        <f>IF(ISBLANK('Data Entry'!$$918), "", 'Data Entry'!$$918)</f>
      </c>
      <c r="BV918">
        <f>IF(ISBLANK('Data Entry'!$$918), "", 'Data Entry'!$$918)</f>
      </c>
      <c r="BW918">
        <f>IF(ISBLANK('Data Entry'!$$918), "", 'Data Entry'!$$918)</f>
      </c>
      <c r="BX918">
        <f>IF(ISBLANK('Data Entry'!$$918), "", 'Data Entry'!$$918)</f>
      </c>
      <c r="BY918">
        <f>IF(ISBLANK('Data Entry'!$$918), "", 'Data Entry'!$$918)</f>
      </c>
      <c r="BZ918">
        <f>IF(ISBLANK('Data Entry'!$$918), "", 'Data Entry'!$$918)</f>
      </c>
      <c r="CA918">
        <f>IF(ISBLANK('Data Entry'!$$918), "", 'Data Entry'!$$918)</f>
      </c>
      <c r="CB918">
        <f>IF(ISBLANK('Data Entry'!$$918), "", 'Data Entry'!$$918)</f>
      </c>
      <c r="CC918">
        <f>IF(ISBLANK('Data Entry'!$$918), "", 'Data Entry'!$$918)</f>
      </c>
      <c r="CD918">
        <f>IF(ISBLANK('Data Entry'!$$918), "", 'Data Entry'!$$918)</f>
      </c>
      <c r="CE918">
        <f>IF(ISBLANK('Data Entry'!$$918), "", 'Data Entry'!$$918)</f>
      </c>
      <c r="CF918">
        <f>IF(ISBLANK('Data Entry'!$$918), "", 'Data Entry'!$$918)</f>
      </c>
      <c r="CG918">
        <f>IF(ISBLANK('Data Entry'!$$918), "", 'Data Entry'!$$918)</f>
      </c>
      <c r="CH918">
        <f>IF(ISBLANK('Data Entry'!$$918), "", 'Data Entry'!$$918)</f>
      </c>
      <c r="CI918">
        <f>IF(ISBLANK('Data Entry'!$$918), "", 'Data Entry'!$$918)</f>
      </c>
      <c r="CJ918">
        <f>IF(ISBLANK('Data Entry'!$$918), "", 'Data Entry'!$$918)</f>
      </c>
      <c r="CK918">
        <f>IF(ISBLANK('Data Entry'!$$918), "", 'Data Entry'!$$918)</f>
      </c>
      <c r="CL918">
        <f>IF(ISBLANK('Data Entry'!$$918), "", 'Data Entry'!$$918)</f>
      </c>
      <c r="CM918">
        <f>IF(ISBLANK('Data Entry'!$$918), "", 'Data Entry'!$$918)</f>
      </c>
      <c r="CN918">
        <f>IF(ISBLANK('Data Entry'!$$918), "", 'Data Entry'!$$918)</f>
      </c>
      <c r="CO918">
        <f>IF(ISBLANK('Data Entry'!$$918), "", 'Data Entry'!$$918)</f>
      </c>
      <c r="CP918">
        <f>IF(ISBLANK('Data Entry'!$$918), "", 'Data Entry'!$$918)</f>
      </c>
      <c r="CQ918">
        <f>IF(ISBLANK('Data Entry'!$$918), "", 'Data Entry'!$$918)</f>
      </c>
      <c r="CR918">
        <f>IF(ISBLANK('Data Entry'!$ $918), "", 'Data Entry'!$ $918)</f>
      </c>
      <c r="CS918">
        <f>IF(ISBLANK('Data Entry'!$¡$918), "", 'Data Entry'!$¡$918)</f>
      </c>
      <c r="CT918">
        <f>IF(ISBLANK('Data Entry'!$¢$918), "", 'Data Entry'!$¢$918)</f>
      </c>
      <c r="CU918">
        <f>IF(ISBLANK('Data Entry'!$£$918), "", 'Data Entry'!$£$918)</f>
      </c>
      <c r="CV918">
        <f>IF(ISBLANK('Data Entry'!$¤$918), "", 'Data Entry'!$¤$918)</f>
      </c>
      <c r="CW918">
        <f>IF(ISBLANK('Data Entry'!$¥$918), "", 'Data Entry'!$¥$918)</f>
      </c>
      <c r="CX918">
        <f>IF(ISBLANK('Data Entry'!$¦$918), "", 'Data Entry'!$¦$918)</f>
      </c>
      <c r="CY918">
        <f>IF(ISBLANK('Data Entry'!$§$918), "", 'Data Entry'!$§$918)</f>
      </c>
      <c r="CZ918">
        <f>IF(ISBLANK('Data Entry'!$¨$918), "", 'Data Entry'!$¨$918)</f>
      </c>
      <c r="DA918">
        <f>IF(ISBLANK('Data Entry'!$©$918), "", 'Data Entry'!$©$918)</f>
      </c>
      <c r="DB918">
        <f>IF(ISBLANK('Data Entry'!$ª$918), "", 'Data Entry'!$ª$918)</f>
      </c>
      <c r="DC918">
        <f>IF(ISBLANK('Data Entry'!$«$918), "", 'Data Entry'!$«$918)</f>
      </c>
      <c r="DD918">
        <f>IF(ISBLANK('Data Entry'!$¬$918), "", 'Data Entry'!$¬$918)</f>
      </c>
      <c r="DE918">
        <f>IF(ISBLANK('Data Entry'!$­$918), "", 'Data Entry'!$­$918)</f>
      </c>
      <c r="DF918">
        <f>IF(ISBLANK('Data Entry'!$®$918), "", 'Data Entry'!$®$918)</f>
      </c>
      <c r="DG918">
        <f>IF(ISBLANK('Data Entry'!$¯$918), "", 'Data Entry'!$¯$918)</f>
      </c>
      <c r="DH918">
        <f>IF(ISBLANK('Data Entry'!$°$918), "", 'Data Entry'!$°$918)</f>
      </c>
      <c r="DI918">
        <f>IF(ISBLANK('Data Entry'!$±$918), "", 'Data Entry'!$±$918)</f>
      </c>
      <c r="DJ918">
        <f>IF(ISBLANK('Data Entry'!$²$918), "", 'Data Entry'!$²$918)</f>
      </c>
      <c r="DK918">
        <f>IF(ISBLANK('Data Entry'!$³$918), "", 'Data Entry'!$³$918)</f>
      </c>
      <c r="DL918">
        <f>IF(ISBLANK('Data Entry'!$´$918), "", 'Data Entry'!$´$918)</f>
      </c>
      <c r="DM918">
        <f>IF(ISBLANK('Data Entry'!$µ$918), "", 'Data Entry'!$µ$918)</f>
      </c>
      <c r="DN918">
        <f>IF(ISBLANK('Data Entry'!$¶$918), "", 'Data Entry'!$¶$918)</f>
      </c>
      <c r="DO918">
        <f>IF(ISBLANK('Data Entry'!$·$918), "", 'Data Entry'!$·$918)</f>
      </c>
      <c r="DP918">
        <f>IF(ISBLANK('Data Entry'!$¸$918), "", 'Data Entry'!$¸$918)</f>
      </c>
      <c r="DQ918">
        <f>IF(ISBLANK('Data Entry'!$¹$918), "", 'Data Entry'!$¹$918)</f>
      </c>
      <c r="DR918">
        <f>IF(ISBLANK('Data Entry'!$º$918), "", 'Data Entry'!$º$918)</f>
      </c>
      <c r="DS918">
        <f>IF(ISBLANK('Data Entry'!$»$918), "", 'Data Entry'!$»$918)</f>
      </c>
      <c r="DT918">
        <f>IF(ISBLANK('Data Entry'!$¼$918), "", 'Data Entry'!$¼$918)</f>
      </c>
      <c r="DU918">
        <f>IF(ISBLANK('Data Entry'!$½$918), "", 'Data Entry'!$½$918)</f>
      </c>
      <c r="DV918">
        <f>IF(ISBLANK('Data Entry'!$¾$918), "", 'Data Entry'!$¾$918)</f>
      </c>
      <c r="DW918">
        <f>IF(ISBLANK('Data Entry'!$¿$918), "", 'Data Entry'!$¿$918)</f>
      </c>
      <c r="DX918">
        <f>IF(ISBLANK('Data Entry'!$À$918), "", 'Data Entry'!$À$918)</f>
      </c>
      <c r="DY918">
        <f>IF(ISBLANK('Data Entry'!$Á$918), "", 'Data Entry'!$Á$918)</f>
      </c>
      <c r="DZ918">
        <f>IF(ISBLANK('Data Entry'!$Â$918), "", 'Data Entry'!$Â$918)</f>
      </c>
      <c r="EA918">
        <f>IF(ISBLANK('Data Entry'!$Ã$918), "", 'Data Entry'!$Ã$918)</f>
      </c>
      <c r="EB918">
        <f>IF(ISBLANK('Data Entry'!$Ä$918), "", 'Data Entry'!$Ä$918)</f>
      </c>
      <c r="EC918">
        <f>IF(ISBLANK('Data Entry'!$Å$918), "", 'Data Entry'!$Å$918)</f>
      </c>
      <c r="ED918">
        <f>IF(ISBLANK('Data Entry'!$Æ$918), "", 'Data Entry'!$Æ$918)</f>
      </c>
      <c r="EE918">
        <f>IF(ISBLANK('Data Entry'!$Ç$918), "", 'Data Entry'!$Ç$918)</f>
      </c>
      <c r="EF918">
        <f>IF(ISBLANK('Data Entry'!$È$918), "", 'Data Entry'!$È$918)</f>
      </c>
      <c r="EG918">
        <f>IF(ISBLANK('Data Entry'!$É$918), "", 'Data Entry'!$É$918)</f>
      </c>
      <c r="EH918">
        <f>IF(ISBLANK('Data Entry'!$Ê$918), "", 'Data Entry'!$Ê$918)</f>
      </c>
      <c r="EI918">
        <f>IF(ISBLANK('Data Entry'!$Ë$918), "", 'Data Entry'!$Ë$918)</f>
      </c>
      <c r="EJ918">
        <f>IF(ISBLANK('Data Entry'!$Ì$918), "", 'Data Entry'!$Ì$918)</f>
      </c>
      <c r="EK918">
        <f>IF(ISBLANK('Data Entry'!$Í$918), "", 'Data Entry'!$Í$918)</f>
      </c>
      <c r="EL918">
        <f>IF(ISBLANK('Data Entry'!$Î$918), "", 'Data Entry'!$Î$918)</f>
      </c>
      <c r="EM918">
        <f>IF(ISBLANK('Data Entry'!$Ï$918), "", 'Data Entry'!$Ï$918)</f>
      </c>
      <c r="EN918">
        <f>IF(ISBLANK('Data Entry'!$Ð$918), "", 'Data Entry'!$Ð$918)</f>
      </c>
      <c r="EO918">
        <f>IF(ISBLANK('Data Entry'!$Ñ$918), "", 'Data Entry'!$Ñ$918)</f>
      </c>
      <c r="EP918">
        <f>IF(ISBLANK('Data Entry'!$Ò$918), "", 'Data Entry'!$Ò$918)</f>
      </c>
      <c r="EQ918">
        <f>IF(ISBLANK('Data Entry'!$Ó$918), "", 'Data Entry'!$Ó$918)</f>
      </c>
      <c r="ER918">
        <f>IF(ISBLANK('Data Entry'!$Ô$918), "", 'Data Entry'!$Ô$918)</f>
      </c>
      <c r="ES918">
        <f>IF(ISBLANK('Data Entry'!$Õ$918), "", 'Data Entry'!$Õ$918)</f>
      </c>
      <c r="ET918">
        <f>IF(ISBLANK('Data Entry'!$Ö$918), "", 'Data Entry'!$Ö$918)</f>
      </c>
      <c r="EU918">
        <f>IF(ISBLANK('Data Entry'!$×$918), "", 'Data Entry'!$×$918)</f>
      </c>
      <c r="EV918">
        <f>IF(ISBLANK('Data Entry'!$Ø$918), "", 'Data Entry'!$Ø$918)</f>
      </c>
      <c r="EW918">
        <f>IF(ISBLANK('Data Entry'!$Ù$918), "", 'Data Entry'!$Ù$918)</f>
      </c>
      <c r="EX918">
        <f>IF(ISBLANK('Data Entry'!$Ú$918), "", 'Data Entry'!$Ú$918)</f>
      </c>
      <c r="EY918">
        <f>IF(ISBLANK('Data Entry'!$Û$918), "", 'Data Entry'!$Û$918)</f>
      </c>
      <c r="EZ918">
        <f>IF(ISBLANK('Data Entry'!$Ü$918), "", 'Data Entry'!$Ü$918)</f>
      </c>
      <c r="FA918">
        <f>IF(ISBLANK('Data Entry'!$Ý$918), "", 'Data Entry'!$Ý$918)</f>
      </c>
      <c r="FB918">
        <f>IF(ISBLANK('Data Entry'!$Þ$918), "", 'Data Entry'!$Þ$918)</f>
      </c>
      <c r="FC918">
        <f>IF(ISBLANK('Data Entry'!$ß$918), "", 'Data Entry'!$ß$918)</f>
      </c>
      <c r="FD918">
        <f>IF(ISBLANK('Data Entry'!$à$918), "", 'Data Entry'!$à$918)</f>
      </c>
      <c r="FE918">
        <f>IF(ISBLANK('Data Entry'!$á$918), "", 'Data Entry'!$á$918)</f>
      </c>
      <c r="FF918">
        <f>IF(ISBLANK('Data Entry'!$â$918), "", 'Data Entry'!$â$918)</f>
      </c>
      <c r="FG918">
        <f>IF(ISBLANK('Data Entry'!$ã$918), "", 'Data Entry'!$ã$918)</f>
      </c>
      <c r="FH918">
        <f>IF(ISBLANK('Data Entry'!$ä$918), "", 'Data Entry'!$ä$918)</f>
      </c>
      <c r="FI918">
        <f>IF(ISBLANK('Data Entry'!$å$918), "", 'Data Entry'!$å$918)</f>
      </c>
      <c r="FJ918">
        <f>IF(ISBLANK('Data Entry'!$æ$918), "", 'Data Entry'!$æ$918)</f>
      </c>
      <c r="FK918">
        <f>IF(ISBLANK('Data Entry'!$ç$918), "", 'Data Entry'!$ç$918)</f>
      </c>
      <c r="FL918">
        <f>IF(ISBLANK('Data Entry'!$è$918), "", 'Data Entry'!$è$918)</f>
      </c>
      <c r="FM918">
        <f>IF(ISBLANK('Data Entry'!$é$918), "", 'Data Entry'!$é$918)</f>
      </c>
      <c r="FN918">
        <f>IF(ISBLANK('Data Entry'!$ê$918), "", 'Data Entry'!$ê$918)</f>
      </c>
      <c r="FO918">
        <f>IF(ISBLANK('Data Entry'!$ë$918), "", 'Data Entry'!$ë$918)</f>
      </c>
      <c r="FP918">
        <f>IF(ISBLANK('Data Entry'!$ì$918), "", 'Data Entry'!$ì$918)</f>
      </c>
      <c r="FQ918">
        <f>IF(ISBLANK('Data Entry'!$í$918), "", 'Data Entry'!$í$918)</f>
      </c>
      <c r="FR918">
        <f>IF(ISBLANK('Data Entry'!$î$918), "", 'Data Entry'!$î$918)</f>
      </c>
      <c r="FS918">
        <f>IF(ISBLANK('Data Entry'!$ï$918), "", 'Data Entry'!$ï$918)</f>
      </c>
      <c r="FT918">
        <f>IF(ISBLANK('Data Entry'!$ð$918), "", 'Data Entry'!$ð$918)</f>
      </c>
      <c r="FU918">
        <f>IF(ISBLANK('Data Entry'!$ñ$918), "", 'Data Entry'!$ñ$918)</f>
      </c>
      <c r="FV918">
        <f>IF(ISBLANK('Data Entry'!$ò$918), "", 'Data Entry'!$ò$918)</f>
      </c>
      <c r="FW918">
        <f>IF(ISBLANK('Data Entry'!$ó$918), "", 'Data Entry'!$ó$918)</f>
      </c>
      <c r="FX918">
        <f>IF(ISBLANK('Data Entry'!$ô$918), "", 'Data Entry'!$ô$918)</f>
      </c>
      <c r="FY918">
        <f>IF(ISBLANK('Data Entry'!$õ$918), "", 'Data Entry'!$õ$918)</f>
      </c>
      <c r="FZ918">
        <f>IF(ISBLANK('Data Entry'!$ö$918), "", 'Data Entry'!$ö$918)</f>
      </c>
      <c r="GA918">
        <f>IF(ISBLANK('Data Entry'!$÷$918), "", 'Data Entry'!$÷$918)</f>
      </c>
      <c r="GB918">
        <f>IF(ISBLANK('Data Entry'!$ø$918), "", 'Data Entry'!$ø$918)</f>
      </c>
      <c r="GC918">
        <f>IF(ISBLANK('Data Entry'!$ù$918), "", 'Data Entry'!$ù$918)</f>
      </c>
      <c r="GD918">
        <f>IF(ISBLANK('Data Entry'!$ú$918), "", 'Data Entry'!$ú$918)</f>
      </c>
      <c r="GE918">
        <f>IF(ISBLANK('Data Entry'!$û$918), "", 'Data Entry'!$û$918)</f>
      </c>
      <c r="GF918">
        <f>IF(ISBLANK('Data Entry'!$ü$918), "", 'Data Entry'!$ü$918)</f>
      </c>
      <c r="GG918">
        <f>IF(ISBLANK('Data Entry'!$ý$918), "", 'Data Entry'!$ý$918)</f>
      </c>
      <c r="GH918">
        <f>IF(ISBLANK('Data Entry'!$þ$918), "", 'Data Entry'!$þ$918)</f>
      </c>
      <c r="GI918">
        <f>IF(ISBLANK('Data Entry'!$ÿ$918), "", 'Data Entry'!$ÿ$918)</f>
      </c>
      <c r="GJ918">
        <f>IF(ISBLANK('Data Entry'!$Ā$918), "", 'Data Entry'!$Ā$918)</f>
      </c>
      <c r="GK918">
        <f>IF(ISBLANK('Data Entry'!$ā$918), "", 'Data Entry'!$ā$918)</f>
      </c>
      <c r="GL918">
        <f>IF(ISBLANK('Data Entry'!$Ă$918), "", 'Data Entry'!$Ă$918)</f>
      </c>
      <c r="GM918">
        <f>IF(ISBLANK('Data Entry'!$ă$918), "", 'Data Entry'!$ă$918)</f>
      </c>
      <c r="GN918">
        <f>IF(ISBLANK('Data Entry'!$Ą$918), "", 'Data Entry'!$Ą$918)</f>
      </c>
      <c r="GO918">
        <f>IF(ISBLANK('Data Entry'!$ą$918), "", 'Data Entry'!$ą$918)</f>
      </c>
      <c r="GP918">
        <f>IF(ISBLANK('Data Entry'!$Ć$918), "", 'Data Entry'!$Ć$918)</f>
      </c>
      <c r="GQ918">
        <f>IF(ISBLANK('Data Entry'!$ć$918), "", 'Data Entry'!$ć$918)</f>
      </c>
      <c r="GR918">
        <f>IF(ISBLANK('Data Entry'!$Ĉ$918), "", 'Data Entry'!$Ĉ$918)</f>
      </c>
      <c r="GS918">
        <f>IF(ISBLANK('Data Entry'!$ĉ$918), "", 'Data Entry'!$ĉ$918)</f>
      </c>
      <c r="GT918">
        <f>IF(ISBLANK('Data Entry'!$Ċ$918), "", 'Data Entry'!$Ċ$918)</f>
      </c>
      <c r="GU918">
        <f>IF(ISBLANK('Data Entry'!$ċ$918), "", 'Data Entry'!$ċ$918)</f>
      </c>
      <c r="GV918">
        <f>IF(ISBLANK('Data Entry'!$Č$918), "", 'Data Entry'!$Č$918)</f>
      </c>
      <c r="GW918">
        <f>IF(ISBLANK('Data Entry'!$č$918), "", 'Data Entry'!$č$918)</f>
      </c>
      <c r="GX918">
        <f>IF(ISBLANK('Data Entry'!$Ď$918), "", 'Data Entry'!$Ď$918)</f>
      </c>
      <c r="GY918">
        <f>IF(ISBLANK('Data Entry'!$ď$918), "", 'Data Entry'!$ď$918)</f>
      </c>
      <c r="GZ918">
        <f>IF(ISBLANK('Data Entry'!$Đ$918), "", 'Data Entry'!$Đ$918)</f>
      </c>
      <c r="HA918">
        <f>IF(ISBLANK('Data Entry'!$đ$918), "", 'Data Entry'!$đ$918)</f>
      </c>
      <c r="HB918">
        <f>IF(ISBLANK('Data Entry'!$Ē$918), "", 'Data Entry'!$Ē$918)</f>
      </c>
      <c r="HC918">
        <f>IF(ISBLANK('Data Entry'!$ē$918), "", 'Data Entry'!$ē$918)</f>
      </c>
      <c r="HD918">
        <f>IF(ISBLANK('Data Entry'!$Ĕ$918), "", 'Data Entry'!$Ĕ$918)</f>
      </c>
      <c r="HE918">
        <f>IF(ISBLANK('Data Entry'!$ĕ$918), "", 'Data Entry'!$ĕ$918)</f>
      </c>
      <c r="HF918">
        <f>IF(ISBLANK('Data Entry'!$Ė$918), "", 'Data Entry'!$Ė$918)</f>
      </c>
      <c r="HG918">
        <f>IF(ISBLANK('Data Entry'!$ė$918), "", 'Data Entry'!$ė$918)</f>
      </c>
      <c r="HH918">
        <f>IF(ISBLANK('Data Entry'!$Ę$918), "", 'Data Entry'!$Ę$918)</f>
      </c>
      <c r="HI918">
        <f>IF(ISBLANK('Data Entry'!$ę$918), "", 'Data Entry'!$ę$918)</f>
      </c>
      <c r="HJ918">
        <f>IF(ISBLANK('Data Entry'!$Ě$918), "", 'Data Entry'!$Ě$918)</f>
      </c>
      <c r="HK918">
        <f>IF(ISBLANK('Data Entry'!$ě$918), "", 'Data Entry'!$ě$918)</f>
      </c>
      <c r="HL918">
        <f>IF(ISBLANK('Data Entry'!$Ĝ$918), "", 'Data Entry'!$Ĝ$918)</f>
      </c>
      <c r="HM918">
        <f>IF(ISBLANK('Data Entry'!$ĝ$918), "", 'Data Entry'!$ĝ$918)</f>
      </c>
      <c r="HN918">
        <f>IF(ISBLANK('Data Entry'!$Ğ$918), "", 'Data Entry'!$Ğ$918)</f>
      </c>
      <c r="HO918">
        <f>IF(ISBLANK('Data Entry'!$ğ$918), "", 'Data Entry'!$ğ$918)</f>
      </c>
      <c r="HP918">
        <f>IF(ISBLANK('Data Entry'!$Ġ$918), "", 'Data Entry'!$Ġ$918)</f>
      </c>
      <c r="HQ918">
        <f>IF(ISBLANK('Data Entry'!$ġ$918), "", 'Data Entry'!$ġ$918)</f>
      </c>
      <c r="HR918">
        <f>IF(ISBLANK('Data Entry'!$Ģ$918), "", 'Data Entry'!$Ģ$918)</f>
      </c>
      <c r="HS918">
        <f>IF(ISBLANK('Data Entry'!$ģ$918), "", 'Data Entry'!$ģ$918)</f>
      </c>
      <c r="HT918">
        <f>IF(ISBLANK('Data Entry'!$Ĥ$918), "", 'Data Entry'!$Ĥ$918)</f>
      </c>
      <c r="HU918">
        <f>IF(ISBLANK('Data Entry'!$ĥ$918), "", 'Data Entry'!$ĥ$918)</f>
      </c>
      <c r="HV918">
        <f>IF(ISBLANK('Data Entry'!$Ħ$918), "", 'Data Entry'!$Ħ$918)</f>
      </c>
      <c r="HW918">
        <f>IF(ISBLANK('Data Entry'!$ħ$918), "", 'Data Entry'!$ħ$918)</f>
      </c>
      <c r="HX918">
        <f>IF(ISBLANK('Data Entry'!$Ĩ$918), "", 'Data Entry'!$Ĩ$918)</f>
      </c>
      <c r="HY918">
        <f>IF(ISBLANK('Data Entry'!$ĩ$918), "", 'Data Entry'!$ĩ$918)</f>
      </c>
      <c r="HZ918">
        <f>IF(ISBLANK('Data Entry'!$Ī$918), "", 'Data Entry'!$Ī$918)</f>
      </c>
      <c r="IA918">
        <f>IF(ISBLANK('Data Entry'!$ī$918), "", 'Data Entry'!$ī$918)</f>
      </c>
      <c r="IB918">
        <f>IF(ISBLANK('Data Entry'!$Ĭ$918), "", 'Data Entry'!$Ĭ$918)</f>
      </c>
      <c r="IC918">
        <f>IF(ISBLANK('Data Entry'!$ĭ$918), "", 'Data Entry'!$ĭ$918)</f>
      </c>
      <c r="ID918">
        <f>IF(ISBLANK('Data Entry'!$Į$918), "", 'Data Entry'!$Į$918)</f>
      </c>
      <c r="IE918">
        <f>IF(ISBLANK('Data Entry'!$į$918), "", 'Data Entry'!$į$918)</f>
      </c>
      <c r="IF918">
        <f>IF(ISBLANK('Data Entry'!$İ$918), "", 'Data Entry'!$İ$918)</f>
      </c>
      <c r="IG918">
        <f>IF(ISBLANK('Data Entry'!$ı$918), "", 'Data Entry'!$ı$918)</f>
      </c>
      <c r="IH918">
        <f>IF(ISBLANK('Data Entry'!$Ĳ$918), "", 'Data Entry'!$Ĳ$918)</f>
      </c>
      <c r="II918">
        <f>IF(ISBLANK('Data Entry'!$ĳ$918), "", 'Data Entry'!$ĳ$918)</f>
      </c>
      <c r="IJ918">
        <f>IF(ISBLANK('Data Entry'!$Ĵ$918), "", 'Data Entry'!$Ĵ$918)</f>
      </c>
      <c r="IK918">
        <f>IF(ISBLANK('Data Entry'!$ĵ$918), "", 'Data Entry'!$ĵ$918)</f>
      </c>
      <c r="IL918">
        <f>IF(ISBLANK('Data Entry'!$Ķ$918), "", 'Data Entry'!$Ķ$918)</f>
      </c>
      <c r="IM918">
        <f>IF(ISBLANK('Data Entry'!$ķ$918), "", 'Data Entry'!$ķ$918)</f>
      </c>
      <c r="IN918">
        <f>IF(ISBLANK('Data Entry'!$ĸ$918), "", 'Data Entry'!$ĸ$918)</f>
      </c>
      <c r="IO918">
        <f>IF(ISBLANK('Data Entry'!$Ĺ$918), "", 'Data Entry'!$Ĺ$918)</f>
      </c>
      <c r="IP918">
        <f>IF(ISBLANK('Data Entry'!$ĺ$918), "", 'Data Entry'!$ĺ$918)</f>
      </c>
      <c r="IQ918">
        <f>IF(ISBLANK('Data Entry'!$Ļ$918), "", 'Data Entry'!$Ļ$918)</f>
      </c>
      <c r="IR918">
        <f>IF(ISBLANK('Data Entry'!$ļ$918), "", 'Data Entry'!$ļ$918)</f>
      </c>
      <c r="IS918">
        <f>IF(ISBLANK('Data Entry'!$Ľ$918), "", 'Data Entry'!$Ľ$918)</f>
      </c>
      <c r="IT918">
        <f>IF(ISBLANK('Data Entry'!$ľ$918), "", 'Data Entry'!$ľ$918)</f>
      </c>
    </row>
    <row r="919" spans="1:254" x14ac:dyDescent="0.25">
      <c r="A919">
        <f>IF(ISBLANK('Data Entry'!$A$919), "", 'Data Entry'!$A$919)</f>
      </c>
      <c r="B919">
        <f>IF(ISBLANK('Data Entry'!$B$919), "", 'Data Entry'!$B$919)</f>
      </c>
      <c r="C919">
        <f>IF(ISBLANK('Data Entry'!$C$919), "", 'Data Entry'!$C$919)</f>
      </c>
      <c r="D919">
        <f>IF(ISBLANK('Data Entry'!$D$919), "", 'Data Entry'!$D$919)</f>
      </c>
      <c r="E919">
        <f>IF(ISBLANK('Data Entry'!$E$919), "", 'Data Entry'!$E$919)</f>
      </c>
      <c r="F919">
        <f>IF(ISBLANK('Data Entry'!$F$919), "", 'Data Entry'!$F$919)</f>
      </c>
      <c r="G919">
        <f>IF(ISBLANK('Data Entry'!$G$919), "", 'Data Entry'!$G$919)</f>
      </c>
      <c r="H919">
        <f>IF(ISBLANK('Data Entry'!$H$919), "", 'Data Entry'!$H$919)</f>
      </c>
      <c r="I919">
        <f>IF(ISBLANK('Data Entry'!$I$919), "", 'Data Entry'!$I$919)</f>
      </c>
      <c r="J919">
        <f>IF(ISBLANK('Data Entry'!$J$919), "", 'Data Entry'!$J$919)</f>
      </c>
      <c r="K919">
        <f>IF(ISBLANK('Data Entry'!$K$919), "", 'Data Entry'!$K$919)</f>
      </c>
      <c r="L919">
        <f>IF(ISBLANK('Data Entry'!$L$919), "", 'Data Entry'!$L$919)</f>
      </c>
      <c r="M919">
        <f>IF(ISBLANK('Data Entry'!$M$919), "", 'Data Entry'!$M$919)</f>
      </c>
      <c r="N919">
        <f>IF(ISBLANK('Data Entry'!$N$919), "", 'Data Entry'!$N$919)</f>
      </c>
      <c r="O919">
        <f>IF(ISBLANK('Data Entry'!$O$919), "", 'Data Entry'!$O$919)</f>
      </c>
      <c r="P919">
        <f>IF(ISBLANK('Data Entry'!$P$919), "", 'Data Entry'!$P$919)</f>
      </c>
      <c r="Q919">
        <f>IF(ISBLANK('Data Entry'!$Q$919), "", 'Data Entry'!$Q$919)</f>
      </c>
      <c r="R919">
        <f>IF(ISBLANK('Data Entry'!$R$919), "", 'Data Entry'!$R$919)</f>
      </c>
      <c r="S919">
        <f>IF(ISBLANK('Data Entry'!$S$919), "", 'Data Entry'!$S$919)</f>
      </c>
      <c r="T919">
        <f>IF(ISBLANK('Data Entry'!$T$919), "", 'Data Entry'!$T$919)</f>
      </c>
      <c r="U919">
        <f>IF(ISBLANK('Data Entry'!$U$919), "", 'Data Entry'!$U$919)</f>
      </c>
      <c r="V919">
        <f>IF(ISBLANK('Data Entry'!$V$919), "", 'Data Entry'!$V$919)</f>
      </c>
      <c r="W919">
        <f>IF(ISBLANK('Data Entry'!$W$919), "", 'Data Entry'!$W$919)</f>
      </c>
      <c r="X919">
        <f>IF(ISBLANK('Data Entry'!$X$919), "", 'Data Entry'!$X$919)</f>
      </c>
      <c r="Y919">
        <f>IF(ISBLANK('Data Entry'!$Y$919), "", 'Data Entry'!$Y$919)</f>
      </c>
      <c r="Z919">
        <f>IF(ISBLANK('Data Entry'!$Z$919), "", 'Data Entry'!$Z$919)</f>
      </c>
      <c r="AA919">
        <f>IF(ISBLANK('Data Entry'!$[$919), "", 'Data Entry'!$[$919)</f>
      </c>
      <c r="AB919">
        <f>IF(ISBLANK('Data Entry'!$\$919), "", 'Data Entry'!$\$919)</f>
      </c>
      <c r="AC919">
        <f>IF(ISBLANK('Data Entry'!$]$919), "", 'Data Entry'!$]$919)</f>
      </c>
      <c r="AD919">
        <f>IF(ISBLANK('Data Entry'!$^$919), "", 'Data Entry'!$^$919)</f>
      </c>
      <c r="AE919">
        <f>IF(ISBLANK('Data Entry'!$_$919), "", 'Data Entry'!$_$919)</f>
      </c>
      <c r="AF919">
        <f>IF(ISBLANK('Data Entry'!$`$919), "", 'Data Entry'!$`$919)</f>
      </c>
      <c r="AG919">
        <f>IF(ISBLANK('Data Entry'!$a$919), "", 'Data Entry'!$a$919)</f>
      </c>
      <c r="AH919">
        <f>IF(ISBLANK('Data Entry'!$b$919), "", 'Data Entry'!$b$919)</f>
      </c>
      <c r="AI919">
        <f>IF(ISBLANK('Data Entry'!$c$919), "", 'Data Entry'!$c$919)</f>
      </c>
      <c r="AJ919">
        <f>IF(ISBLANK('Data Entry'!$d$919), "", 'Data Entry'!$d$919)</f>
      </c>
      <c r="AK919">
        <f>IF(ISBLANK('Data Entry'!$e$919), "", 'Data Entry'!$e$919)</f>
      </c>
      <c r="AL919">
        <f>IF(ISBLANK('Data Entry'!$f$919), "", 'Data Entry'!$f$919)</f>
      </c>
      <c r="AM919">
        <f>IF(ISBLANK('Data Entry'!$g$919), "", 'Data Entry'!$g$919)</f>
      </c>
      <c r="AN919">
        <f>IF(ISBLANK('Data Entry'!$h$919), "", 'Data Entry'!$h$919)</f>
      </c>
      <c r="AO919">
        <f>IF(ISBLANK('Data Entry'!$i$919), "", 'Data Entry'!$i$919)</f>
      </c>
      <c r="AP919">
        <f>IF(ISBLANK('Data Entry'!$j$919), "", 'Data Entry'!$j$919)</f>
      </c>
      <c r="AQ919">
        <f>IF(ISBLANK('Data Entry'!$k$919), "", 'Data Entry'!$k$919)</f>
      </c>
      <c r="AR919">
        <f>IF(ISBLANK('Data Entry'!$l$919), "", 'Data Entry'!$l$919)</f>
      </c>
      <c r="AS919">
        <f>IF(ISBLANK('Data Entry'!$m$919), "", 'Data Entry'!$m$919)</f>
      </c>
      <c r="AT919">
        <f>IF(ISBLANK('Data Entry'!$n$919), "", 'Data Entry'!$n$919)</f>
      </c>
      <c r="AU919">
        <f>IF(ISBLANK('Data Entry'!$o$919), "", 'Data Entry'!$o$919)</f>
      </c>
      <c r="AV919">
        <f>IF(ISBLANK('Data Entry'!$p$919), "", 'Data Entry'!$p$919)</f>
      </c>
      <c r="AW919">
        <f>IF(ISBLANK('Data Entry'!$q$919), "", 'Data Entry'!$q$919)</f>
      </c>
      <c r="AX919">
        <f>IF(ISBLANK('Data Entry'!$r$919), "", 'Data Entry'!$r$919)</f>
      </c>
      <c r="AY919">
        <f>IF(ISBLANK('Data Entry'!$s$919), "", 'Data Entry'!$s$919)</f>
      </c>
      <c r="AZ919">
        <f>IF(ISBLANK('Data Entry'!$t$919), "", 'Data Entry'!$t$919)</f>
      </c>
      <c r="BA919">
        <f>IF(ISBLANK('Data Entry'!$u$919), "", 'Data Entry'!$u$919)</f>
      </c>
      <c r="BB919">
        <f>IF(ISBLANK('Data Entry'!$v$919), "", 'Data Entry'!$v$919)</f>
      </c>
      <c r="BC919">
        <f>IF(ISBLANK('Data Entry'!$w$919), "", 'Data Entry'!$w$919)</f>
      </c>
      <c r="BD919">
        <f>IF(ISBLANK('Data Entry'!$x$919), "", 'Data Entry'!$x$919)</f>
      </c>
      <c r="BE919">
        <f>IF(ISBLANK('Data Entry'!$y$919), "", 'Data Entry'!$y$919)</f>
      </c>
      <c r="BF919">
        <f>IF(ISBLANK('Data Entry'!$z$919), "", 'Data Entry'!$z$919)</f>
      </c>
      <c r="BG919">
        <f>IF(ISBLANK('Data Entry'!${$919), "", 'Data Entry'!${$919)</f>
      </c>
      <c r="BH919">
        <f>IF(ISBLANK('Data Entry'!$|$919), "", 'Data Entry'!$|$919)</f>
      </c>
      <c r="BI919">
        <f>IF(ISBLANK('Data Entry'!$}$919), "", 'Data Entry'!$}$919)</f>
      </c>
      <c r="BJ919">
        <f>IF(ISBLANK('Data Entry'!$~$919), "", 'Data Entry'!$~$919)</f>
      </c>
      <c r="BK919">
        <f>IF(ISBLANK('Data Entry'!$$919), "", 'Data Entry'!$$919)</f>
      </c>
      <c r="BL919">
        <f>IF(ISBLANK('Data Entry'!$$919), "", 'Data Entry'!$$919)</f>
      </c>
      <c r="BM919">
        <f>IF(ISBLANK('Data Entry'!$$919), "", 'Data Entry'!$$919)</f>
      </c>
      <c r="BN919">
        <f>IF(ISBLANK('Data Entry'!$$919), "", 'Data Entry'!$$919)</f>
      </c>
      <c r="BO919">
        <f>IF(ISBLANK('Data Entry'!$$919), "", 'Data Entry'!$$919)</f>
      </c>
      <c r="BP919">
        <f>IF(ISBLANK('Data Entry'!$$919), "", 'Data Entry'!$$919)</f>
      </c>
      <c r="BQ919">
        <f>IF(ISBLANK('Data Entry'!$$919), "", 'Data Entry'!$$919)</f>
      </c>
      <c r="BR919">
        <f>IF(ISBLANK('Data Entry'!$$919), "", 'Data Entry'!$$919)</f>
      </c>
      <c r="BS919">
        <f>IF(ISBLANK('Data Entry'!$$919), "", 'Data Entry'!$$919)</f>
      </c>
      <c r="BT919">
        <f>IF(ISBLANK('Data Entry'!$$919), "", 'Data Entry'!$$919)</f>
      </c>
      <c r="BU919">
        <f>IF(ISBLANK('Data Entry'!$$919), "", 'Data Entry'!$$919)</f>
      </c>
      <c r="BV919">
        <f>IF(ISBLANK('Data Entry'!$$919), "", 'Data Entry'!$$919)</f>
      </c>
      <c r="BW919">
        <f>IF(ISBLANK('Data Entry'!$$919), "", 'Data Entry'!$$919)</f>
      </c>
      <c r="BX919">
        <f>IF(ISBLANK('Data Entry'!$$919), "", 'Data Entry'!$$919)</f>
      </c>
      <c r="BY919">
        <f>IF(ISBLANK('Data Entry'!$$919), "", 'Data Entry'!$$919)</f>
      </c>
      <c r="BZ919">
        <f>IF(ISBLANK('Data Entry'!$$919), "", 'Data Entry'!$$919)</f>
      </c>
      <c r="CA919">
        <f>IF(ISBLANK('Data Entry'!$$919), "", 'Data Entry'!$$919)</f>
      </c>
      <c r="CB919">
        <f>IF(ISBLANK('Data Entry'!$$919), "", 'Data Entry'!$$919)</f>
      </c>
      <c r="CC919">
        <f>IF(ISBLANK('Data Entry'!$$919), "", 'Data Entry'!$$919)</f>
      </c>
      <c r="CD919">
        <f>IF(ISBLANK('Data Entry'!$$919), "", 'Data Entry'!$$919)</f>
      </c>
      <c r="CE919">
        <f>IF(ISBLANK('Data Entry'!$$919), "", 'Data Entry'!$$919)</f>
      </c>
      <c r="CF919">
        <f>IF(ISBLANK('Data Entry'!$$919), "", 'Data Entry'!$$919)</f>
      </c>
      <c r="CG919">
        <f>IF(ISBLANK('Data Entry'!$$919), "", 'Data Entry'!$$919)</f>
      </c>
      <c r="CH919">
        <f>IF(ISBLANK('Data Entry'!$$919), "", 'Data Entry'!$$919)</f>
      </c>
      <c r="CI919">
        <f>IF(ISBLANK('Data Entry'!$$919), "", 'Data Entry'!$$919)</f>
      </c>
      <c r="CJ919">
        <f>IF(ISBLANK('Data Entry'!$$919), "", 'Data Entry'!$$919)</f>
      </c>
      <c r="CK919">
        <f>IF(ISBLANK('Data Entry'!$$919), "", 'Data Entry'!$$919)</f>
      </c>
      <c r="CL919">
        <f>IF(ISBLANK('Data Entry'!$$919), "", 'Data Entry'!$$919)</f>
      </c>
      <c r="CM919">
        <f>IF(ISBLANK('Data Entry'!$$919), "", 'Data Entry'!$$919)</f>
      </c>
      <c r="CN919">
        <f>IF(ISBLANK('Data Entry'!$$919), "", 'Data Entry'!$$919)</f>
      </c>
      <c r="CO919">
        <f>IF(ISBLANK('Data Entry'!$$919), "", 'Data Entry'!$$919)</f>
      </c>
      <c r="CP919">
        <f>IF(ISBLANK('Data Entry'!$$919), "", 'Data Entry'!$$919)</f>
      </c>
      <c r="CQ919">
        <f>IF(ISBLANK('Data Entry'!$$919), "", 'Data Entry'!$$919)</f>
      </c>
      <c r="CR919">
        <f>IF(ISBLANK('Data Entry'!$ $919), "", 'Data Entry'!$ $919)</f>
      </c>
      <c r="CS919">
        <f>IF(ISBLANK('Data Entry'!$¡$919), "", 'Data Entry'!$¡$919)</f>
      </c>
      <c r="CT919">
        <f>IF(ISBLANK('Data Entry'!$¢$919), "", 'Data Entry'!$¢$919)</f>
      </c>
      <c r="CU919">
        <f>IF(ISBLANK('Data Entry'!$£$919), "", 'Data Entry'!$£$919)</f>
      </c>
      <c r="CV919">
        <f>IF(ISBLANK('Data Entry'!$¤$919), "", 'Data Entry'!$¤$919)</f>
      </c>
      <c r="CW919">
        <f>IF(ISBLANK('Data Entry'!$¥$919), "", 'Data Entry'!$¥$919)</f>
      </c>
      <c r="CX919">
        <f>IF(ISBLANK('Data Entry'!$¦$919), "", 'Data Entry'!$¦$919)</f>
      </c>
      <c r="CY919">
        <f>IF(ISBLANK('Data Entry'!$§$919), "", 'Data Entry'!$§$919)</f>
      </c>
      <c r="CZ919">
        <f>IF(ISBLANK('Data Entry'!$¨$919), "", 'Data Entry'!$¨$919)</f>
      </c>
      <c r="DA919">
        <f>IF(ISBLANK('Data Entry'!$©$919), "", 'Data Entry'!$©$919)</f>
      </c>
      <c r="DB919">
        <f>IF(ISBLANK('Data Entry'!$ª$919), "", 'Data Entry'!$ª$919)</f>
      </c>
      <c r="DC919">
        <f>IF(ISBLANK('Data Entry'!$«$919), "", 'Data Entry'!$«$919)</f>
      </c>
      <c r="DD919">
        <f>IF(ISBLANK('Data Entry'!$¬$919), "", 'Data Entry'!$¬$919)</f>
      </c>
      <c r="DE919">
        <f>IF(ISBLANK('Data Entry'!$­$919), "", 'Data Entry'!$­$919)</f>
      </c>
      <c r="DF919">
        <f>IF(ISBLANK('Data Entry'!$®$919), "", 'Data Entry'!$®$919)</f>
      </c>
      <c r="DG919">
        <f>IF(ISBLANK('Data Entry'!$¯$919), "", 'Data Entry'!$¯$919)</f>
      </c>
      <c r="DH919">
        <f>IF(ISBLANK('Data Entry'!$°$919), "", 'Data Entry'!$°$919)</f>
      </c>
      <c r="DI919">
        <f>IF(ISBLANK('Data Entry'!$±$919), "", 'Data Entry'!$±$919)</f>
      </c>
      <c r="DJ919">
        <f>IF(ISBLANK('Data Entry'!$²$919), "", 'Data Entry'!$²$919)</f>
      </c>
      <c r="DK919">
        <f>IF(ISBLANK('Data Entry'!$³$919), "", 'Data Entry'!$³$919)</f>
      </c>
      <c r="DL919">
        <f>IF(ISBLANK('Data Entry'!$´$919), "", 'Data Entry'!$´$919)</f>
      </c>
      <c r="DM919">
        <f>IF(ISBLANK('Data Entry'!$µ$919), "", 'Data Entry'!$µ$919)</f>
      </c>
      <c r="DN919">
        <f>IF(ISBLANK('Data Entry'!$¶$919), "", 'Data Entry'!$¶$919)</f>
      </c>
      <c r="DO919">
        <f>IF(ISBLANK('Data Entry'!$·$919), "", 'Data Entry'!$·$919)</f>
      </c>
      <c r="DP919">
        <f>IF(ISBLANK('Data Entry'!$¸$919), "", 'Data Entry'!$¸$919)</f>
      </c>
      <c r="DQ919">
        <f>IF(ISBLANK('Data Entry'!$¹$919), "", 'Data Entry'!$¹$919)</f>
      </c>
      <c r="DR919">
        <f>IF(ISBLANK('Data Entry'!$º$919), "", 'Data Entry'!$º$919)</f>
      </c>
      <c r="DS919">
        <f>IF(ISBLANK('Data Entry'!$»$919), "", 'Data Entry'!$»$919)</f>
      </c>
      <c r="DT919">
        <f>IF(ISBLANK('Data Entry'!$¼$919), "", 'Data Entry'!$¼$919)</f>
      </c>
      <c r="DU919">
        <f>IF(ISBLANK('Data Entry'!$½$919), "", 'Data Entry'!$½$919)</f>
      </c>
      <c r="DV919">
        <f>IF(ISBLANK('Data Entry'!$¾$919), "", 'Data Entry'!$¾$919)</f>
      </c>
      <c r="DW919">
        <f>IF(ISBLANK('Data Entry'!$¿$919), "", 'Data Entry'!$¿$919)</f>
      </c>
      <c r="DX919">
        <f>IF(ISBLANK('Data Entry'!$À$919), "", 'Data Entry'!$À$919)</f>
      </c>
      <c r="DY919">
        <f>IF(ISBLANK('Data Entry'!$Á$919), "", 'Data Entry'!$Á$919)</f>
      </c>
      <c r="DZ919">
        <f>IF(ISBLANK('Data Entry'!$Â$919), "", 'Data Entry'!$Â$919)</f>
      </c>
      <c r="EA919">
        <f>IF(ISBLANK('Data Entry'!$Ã$919), "", 'Data Entry'!$Ã$919)</f>
      </c>
      <c r="EB919">
        <f>IF(ISBLANK('Data Entry'!$Ä$919), "", 'Data Entry'!$Ä$919)</f>
      </c>
      <c r="EC919">
        <f>IF(ISBLANK('Data Entry'!$Å$919), "", 'Data Entry'!$Å$919)</f>
      </c>
      <c r="ED919">
        <f>IF(ISBLANK('Data Entry'!$Æ$919), "", 'Data Entry'!$Æ$919)</f>
      </c>
      <c r="EE919">
        <f>IF(ISBLANK('Data Entry'!$Ç$919), "", 'Data Entry'!$Ç$919)</f>
      </c>
      <c r="EF919">
        <f>IF(ISBLANK('Data Entry'!$È$919), "", 'Data Entry'!$È$919)</f>
      </c>
      <c r="EG919">
        <f>IF(ISBLANK('Data Entry'!$É$919), "", 'Data Entry'!$É$919)</f>
      </c>
      <c r="EH919">
        <f>IF(ISBLANK('Data Entry'!$Ê$919), "", 'Data Entry'!$Ê$919)</f>
      </c>
      <c r="EI919">
        <f>IF(ISBLANK('Data Entry'!$Ë$919), "", 'Data Entry'!$Ë$919)</f>
      </c>
      <c r="EJ919">
        <f>IF(ISBLANK('Data Entry'!$Ì$919), "", 'Data Entry'!$Ì$919)</f>
      </c>
      <c r="EK919">
        <f>IF(ISBLANK('Data Entry'!$Í$919), "", 'Data Entry'!$Í$919)</f>
      </c>
      <c r="EL919">
        <f>IF(ISBLANK('Data Entry'!$Î$919), "", 'Data Entry'!$Î$919)</f>
      </c>
      <c r="EM919">
        <f>IF(ISBLANK('Data Entry'!$Ï$919), "", 'Data Entry'!$Ï$919)</f>
      </c>
      <c r="EN919">
        <f>IF(ISBLANK('Data Entry'!$Ð$919), "", 'Data Entry'!$Ð$919)</f>
      </c>
      <c r="EO919">
        <f>IF(ISBLANK('Data Entry'!$Ñ$919), "", 'Data Entry'!$Ñ$919)</f>
      </c>
      <c r="EP919">
        <f>IF(ISBLANK('Data Entry'!$Ò$919), "", 'Data Entry'!$Ò$919)</f>
      </c>
      <c r="EQ919">
        <f>IF(ISBLANK('Data Entry'!$Ó$919), "", 'Data Entry'!$Ó$919)</f>
      </c>
      <c r="ER919">
        <f>IF(ISBLANK('Data Entry'!$Ô$919), "", 'Data Entry'!$Ô$919)</f>
      </c>
      <c r="ES919">
        <f>IF(ISBLANK('Data Entry'!$Õ$919), "", 'Data Entry'!$Õ$919)</f>
      </c>
      <c r="ET919">
        <f>IF(ISBLANK('Data Entry'!$Ö$919), "", 'Data Entry'!$Ö$919)</f>
      </c>
      <c r="EU919">
        <f>IF(ISBLANK('Data Entry'!$×$919), "", 'Data Entry'!$×$919)</f>
      </c>
      <c r="EV919">
        <f>IF(ISBLANK('Data Entry'!$Ø$919), "", 'Data Entry'!$Ø$919)</f>
      </c>
      <c r="EW919">
        <f>IF(ISBLANK('Data Entry'!$Ù$919), "", 'Data Entry'!$Ù$919)</f>
      </c>
      <c r="EX919">
        <f>IF(ISBLANK('Data Entry'!$Ú$919), "", 'Data Entry'!$Ú$919)</f>
      </c>
      <c r="EY919">
        <f>IF(ISBLANK('Data Entry'!$Û$919), "", 'Data Entry'!$Û$919)</f>
      </c>
      <c r="EZ919">
        <f>IF(ISBLANK('Data Entry'!$Ü$919), "", 'Data Entry'!$Ü$919)</f>
      </c>
      <c r="FA919">
        <f>IF(ISBLANK('Data Entry'!$Ý$919), "", 'Data Entry'!$Ý$919)</f>
      </c>
      <c r="FB919">
        <f>IF(ISBLANK('Data Entry'!$Þ$919), "", 'Data Entry'!$Þ$919)</f>
      </c>
      <c r="FC919">
        <f>IF(ISBLANK('Data Entry'!$ß$919), "", 'Data Entry'!$ß$919)</f>
      </c>
      <c r="FD919">
        <f>IF(ISBLANK('Data Entry'!$à$919), "", 'Data Entry'!$à$919)</f>
      </c>
      <c r="FE919">
        <f>IF(ISBLANK('Data Entry'!$á$919), "", 'Data Entry'!$á$919)</f>
      </c>
      <c r="FF919">
        <f>IF(ISBLANK('Data Entry'!$â$919), "", 'Data Entry'!$â$919)</f>
      </c>
      <c r="FG919">
        <f>IF(ISBLANK('Data Entry'!$ã$919), "", 'Data Entry'!$ã$919)</f>
      </c>
      <c r="FH919">
        <f>IF(ISBLANK('Data Entry'!$ä$919), "", 'Data Entry'!$ä$919)</f>
      </c>
      <c r="FI919">
        <f>IF(ISBLANK('Data Entry'!$å$919), "", 'Data Entry'!$å$919)</f>
      </c>
      <c r="FJ919">
        <f>IF(ISBLANK('Data Entry'!$æ$919), "", 'Data Entry'!$æ$919)</f>
      </c>
      <c r="FK919">
        <f>IF(ISBLANK('Data Entry'!$ç$919), "", 'Data Entry'!$ç$919)</f>
      </c>
      <c r="FL919">
        <f>IF(ISBLANK('Data Entry'!$è$919), "", 'Data Entry'!$è$919)</f>
      </c>
      <c r="FM919">
        <f>IF(ISBLANK('Data Entry'!$é$919), "", 'Data Entry'!$é$919)</f>
      </c>
      <c r="FN919">
        <f>IF(ISBLANK('Data Entry'!$ê$919), "", 'Data Entry'!$ê$919)</f>
      </c>
      <c r="FO919">
        <f>IF(ISBLANK('Data Entry'!$ë$919), "", 'Data Entry'!$ë$919)</f>
      </c>
      <c r="FP919">
        <f>IF(ISBLANK('Data Entry'!$ì$919), "", 'Data Entry'!$ì$919)</f>
      </c>
      <c r="FQ919">
        <f>IF(ISBLANK('Data Entry'!$í$919), "", 'Data Entry'!$í$919)</f>
      </c>
      <c r="FR919">
        <f>IF(ISBLANK('Data Entry'!$î$919), "", 'Data Entry'!$î$919)</f>
      </c>
      <c r="FS919">
        <f>IF(ISBLANK('Data Entry'!$ï$919), "", 'Data Entry'!$ï$919)</f>
      </c>
      <c r="FT919">
        <f>IF(ISBLANK('Data Entry'!$ð$919), "", 'Data Entry'!$ð$919)</f>
      </c>
      <c r="FU919">
        <f>IF(ISBLANK('Data Entry'!$ñ$919), "", 'Data Entry'!$ñ$919)</f>
      </c>
      <c r="FV919">
        <f>IF(ISBLANK('Data Entry'!$ò$919), "", 'Data Entry'!$ò$919)</f>
      </c>
      <c r="FW919">
        <f>IF(ISBLANK('Data Entry'!$ó$919), "", 'Data Entry'!$ó$919)</f>
      </c>
      <c r="FX919">
        <f>IF(ISBLANK('Data Entry'!$ô$919), "", 'Data Entry'!$ô$919)</f>
      </c>
      <c r="FY919">
        <f>IF(ISBLANK('Data Entry'!$õ$919), "", 'Data Entry'!$õ$919)</f>
      </c>
      <c r="FZ919">
        <f>IF(ISBLANK('Data Entry'!$ö$919), "", 'Data Entry'!$ö$919)</f>
      </c>
      <c r="GA919">
        <f>IF(ISBLANK('Data Entry'!$÷$919), "", 'Data Entry'!$÷$919)</f>
      </c>
      <c r="GB919">
        <f>IF(ISBLANK('Data Entry'!$ø$919), "", 'Data Entry'!$ø$919)</f>
      </c>
      <c r="GC919">
        <f>IF(ISBLANK('Data Entry'!$ù$919), "", 'Data Entry'!$ù$919)</f>
      </c>
      <c r="GD919">
        <f>IF(ISBLANK('Data Entry'!$ú$919), "", 'Data Entry'!$ú$919)</f>
      </c>
      <c r="GE919">
        <f>IF(ISBLANK('Data Entry'!$û$919), "", 'Data Entry'!$û$919)</f>
      </c>
      <c r="GF919">
        <f>IF(ISBLANK('Data Entry'!$ü$919), "", 'Data Entry'!$ü$919)</f>
      </c>
      <c r="GG919">
        <f>IF(ISBLANK('Data Entry'!$ý$919), "", 'Data Entry'!$ý$919)</f>
      </c>
      <c r="GH919">
        <f>IF(ISBLANK('Data Entry'!$þ$919), "", 'Data Entry'!$þ$919)</f>
      </c>
      <c r="GI919">
        <f>IF(ISBLANK('Data Entry'!$ÿ$919), "", 'Data Entry'!$ÿ$919)</f>
      </c>
      <c r="GJ919">
        <f>IF(ISBLANK('Data Entry'!$Ā$919), "", 'Data Entry'!$Ā$919)</f>
      </c>
      <c r="GK919">
        <f>IF(ISBLANK('Data Entry'!$ā$919), "", 'Data Entry'!$ā$919)</f>
      </c>
      <c r="GL919">
        <f>IF(ISBLANK('Data Entry'!$Ă$919), "", 'Data Entry'!$Ă$919)</f>
      </c>
      <c r="GM919">
        <f>IF(ISBLANK('Data Entry'!$ă$919), "", 'Data Entry'!$ă$919)</f>
      </c>
      <c r="GN919">
        <f>IF(ISBLANK('Data Entry'!$Ą$919), "", 'Data Entry'!$Ą$919)</f>
      </c>
      <c r="GO919">
        <f>IF(ISBLANK('Data Entry'!$ą$919), "", 'Data Entry'!$ą$919)</f>
      </c>
      <c r="GP919">
        <f>IF(ISBLANK('Data Entry'!$Ć$919), "", 'Data Entry'!$Ć$919)</f>
      </c>
      <c r="GQ919">
        <f>IF(ISBLANK('Data Entry'!$ć$919), "", 'Data Entry'!$ć$919)</f>
      </c>
      <c r="GR919">
        <f>IF(ISBLANK('Data Entry'!$Ĉ$919), "", 'Data Entry'!$Ĉ$919)</f>
      </c>
      <c r="GS919">
        <f>IF(ISBLANK('Data Entry'!$ĉ$919), "", 'Data Entry'!$ĉ$919)</f>
      </c>
      <c r="GT919">
        <f>IF(ISBLANK('Data Entry'!$Ċ$919), "", 'Data Entry'!$Ċ$919)</f>
      </c>
      <c r="GU919">
        <f>IF(ISBLANK('Data Entry'!$ċ$919), "", 'Data Entry'!$ċ$919)</f>
      </c>
      <c r="GV919">
        <f>IF(ISBLANK('Data Entry'!$Č$919), "", 'Data Entry'!$Č$919)</f>
      </c>
      <c r="GW919">
        <f>IF(ISBLANK('Data Entry'!$č$919), "", 'Data Entry'!$č$919)</f>
      </c>
      <c r="GX919">
        <f>IF(ISBLANK('Data Entry'!$Ď$919), "", 'Data Entry'!$Ď$919)</f>
      </c>
      <c r="GY919">
        <f>IF(ISBLANK('Data Entry'!$ď$919), "", 'Data Entry'!$ď$919)</f>
      </c>
      <c r="GZ919">
        <f>IF(ISBLANK('Data Entry'!$Đ$919), "", 'Data Entry'!$Đ$919)</f>
      </c>
      <c r="HA919">
        <f>IF(ISBLANK('Data Entry'!$đ$919), "", 'Data Entry'!$đ$919)</f>
      </c>
      <c r="HB919">
        <f>IF(ISBLANK('Data Entry'!$Ē$919), "", 'Data Entry'!$Ē$919)</f>
      </c>
      <c r="HC919">
        <f>IF(ISBLANK('Data Entry'!$ē$919), "", 'Data Entry'!$ē$919)</f>
      </c>
      <c r="HD919">
        <f>IF(ISBLANK('Data Entry'!$Ĕ$919), "", 'Data Entry'!$Ĕ$919)</f>
      </c>
      <c r="HE919">
        <f>IF(ISBLANK('Data Entry'!$ĕ$919), "", 'Data Entry'!$ĕ$919)</f>
      </c>
      <c r="HF919">
        <f>IF(ISBLANK('Data Entry'!$Ė$919), "", 'Data Entry'!$Ė$919)</f>
      </c>
      <c r="HG919">
        <f>IF(ISBLANK('Data Entry'!$ė$919), "", 'Data Entry'!$ė$919)</f>
      </c>
      <c r="HH919">
        <f>IF(ISBLANK('Data Entry'!$Ę$919), "", 'Data Entry'!$Ę$919)</f>
      </c>
      <c r="HI919">
        <f>IF(ISBLANK('Data Entry'!$ę$919), "", 'Data Entry'!$ę$919)</f>
      </c>
      <c r="HJ919">
        <f>IF(ISBLANK('Data Entry'!$Ě$919), "", 'Data Entry'!$Ě$919)</f>
      </c>
      <c r="HK919">
        <f>IF(ISBLANK('Data Entry'!$ě$919), "", 'Data Entry'!$ě$919)</f>
      </c>
      <c r="HL919">
        <f>IF(ISBLANK('Data Entry'!$Ĝ$919), "", 'Data Entry'!$Ĝ$919)</f>
      </c>
      <c r="HM919">
        <f>IF(ISBLANK('Data Entry'!$ĝ$919), "", 'Data Entry'!$ĝ$919)</f>
      </c>
      <c r="HN919">
        <f>IF(ISBLANK('Data Entry'!$Ğ$919), "", 'Data Entry'!$Ğ$919)</f>
      </c>
      <c r="HO919">
        <f>IF(ISBLANK('Data Entry'!$ğ$919), "", 'Data Entry'!$ğ$919)</f>
      </c>
      <c r="HP919">
        <f>IF(ISBLANK('Data Entry'!$Ġ$919), "", 'Data Entry'!$Ġ$919)</f>
      </c>
      <c r="HQ919">
        <f>IF(ISBLANK('Data Entry'!$ġ$919), "", 'Data Entry'!$ġ$919)</f>
      </c>
      <c r="HR919">
        <f>IF(ISBLANK('Data Entry'!$Ģ$919), "", 'Data Entry'!$Ģ$919)</f>
      </c>
      <c r="HS919">
        <f>IF(ISBLANK('Data Entry'!$ģ$919), "", 'Data Entry'!$ģ$919)</f>
      </c>
      <c r="HT919">
        <f>IF(ISBLANK('Data Entry'!$Ĥ$919), "", 'Data Entry'!$Ĥ$919)</f>
      </c>
      <c r="HU919">
        <f>IF(ISBLANK('Data Entry'!$ĥ$919), "", 'Data Entry'!$ĥ$919)</f>
      </c>
      <c r="HV919">
        <f>IF(ISBLANK('Data Entry'!$Ħ$919), "", 'Data Entry'!$Ħ$919)</f>
      </c>
      <c r="HW919">
        <f>IF(ISBLANK('Data Entry'!$ħ$919), "", 'Data Entry'!$ħ$919)</f>
      </c>
      <c r="HX919">
        <f>IF(ISBLANK('Data Entry'!$Ĩ$919), "", 'Data Entry'!$Ĩ$919)</f>
      </c>
      <c r="HY919">
        <f>IF(ISBLANK('Data Entry'!$ĩ$919), "", 'Data Entry'!$ĩ$919)</f>
      </c>
      <c r="HZ919">
        <f>IF(ISBLANK('Data Entry'!$Ī$919), "", 'Data Entry'!$Ī$919)</f>
      </c>
      <c r="IA919">
        <f>IF(ISBLANK('Data Entry'!$ī$919), "", 'Data Entry'!$ī$919)</f>
      </c>
      <c r="IB919">
        <f>IF(ISBLANK('Data Entry'!$Ĭ$919), "", 'Data Entry'!$Ĭ$919)</f>
      </c>
      <c r="IC919">
        <f>IF(ISBLANK('Data Entry'!$ĭ$919), "", 'Data Entry'!$ĭ$919)</f>
      </c>
      <c r="ID919">
        <f>IF(ISBLANK('Data Entry'!$Į$919), "", 'Data Entry'!$Į$919)</f>
      </c>
      <c r="IE919">
        <f>IF(ISBLANK('Data Entry'!$į$919), "", 'Data Entry'!$į$919)</f>
      </c>
      <c r="IF919">
        <f>IF(ISBLANK('Data Entry'!$İ$919), "", 'Data Entry'!$İ$919)</f>
      </c>
      <c r="IG919">
        <f>IF(ISBLANK('Data Entry'!$ı$919), "", 'Data Entry'!$ı$919)</f>
      </c>
      <c r="IH919">
        <f>IF(ISBLANK('Data Entry'!$Ĳ$919), "", 'Data Entry'!$Ĳ$919)</f>
      </c>
      <c r="II919">
        <f>IF(ISBLANK('Data Entry'!$ĳ$919), "", 'Data Entry'!$ĳ$919)</f>
      </c>
      <c r="IJ919">
        <f>IF(ISBLANK('Data Entry'!$Ĵ$919), "", 'Data Entry'!$Ĵ$919)</f>
      </c>
      <c r="IK919">
        <f>IF(ISBLANK('Data Entry'!$ĵ$919), "", 'Data Entry'!$ĵ$919)</f>
      </c>
      <c r="IL919">
        <f>IF(ISBLANK('Data Entry'!$Ķ$919), "", 'Data Entry'!$Ķ$919)</f>
      </c>
      <c r="IM919">
        <f>IF(ISBLANK('Data Entry'!$ķ$919), "", 'Data Entry'!$ķ$919)</f>
      </c>
      <c r="IN919">
        <f>IF(ISBLANK('Data Entry'!$ĸ$919), "", 'Data Entry'!$ĸ$919)</f>
      </c>
      <c r="IO919">
        <f>IF(ISBLANK('Data Entry'!$Ĺ$919), "", 'Data Entry'!$Ĺ$919)</f>
      </c>
      <c r="IP919">
        <f>IF(ISBLANK('Data Entry'!$ĺ$919), "", 'Data Entry'!$ĺ$919)</f>
      </c>
      <c r="IQ919">
        <f>IF(ISBLANK('Data Entry'!$Ļ$919), "", 'Data Entry'!$Ļ$919)</f>
      </c>
      <c r="IR919">
        <f>IF(ISBLANK('Data Entry'!$ļ$919), "", 'Data Entry'!$ļ$919)</f>
      </c>
      <c r="IS919">
        <f>IF(ISBLANK('Data Entry'!$Ľ$919), "", 'Data Entry'!$Ľ$919)</f>
      </c>
      <c r="IT919">
        <f>IF(ISBLANK('Data Entry'!$ľ$919), "", 'Data Entry'!$ľ$919)</f>
      </c>
    </row>
    <row r="920" spans="1:254" x14ac:dyDescent="0.25">
      <c r="A920">
        <f>IF(ISBLANK('Data Entry'!$A$920), "", 'Data Entry'!$A$920)</f>
      </c>
      <c r="B920">
        <f>IF(ISBLANK('Data Entry'!$B$920), "", 'Data Entry'!$B$920)</f>
      </c>
      <c r="C920">
        <f>IF(ISBLANK('Data Entry'!$C$920), "", 'Data Entry'!$C$920)</f>
      </c>
      <c r="D920">
        <f>IF(ISBLANK('Data Entry'!$D$920), "", 'Data Entry'!$D$920)</f>
      </c>
      <c r="E920">
        <f>IF(ISBLANK('Data Entry'!$E$920), "", 'Data Entry'!$E$920)</f>
      </c>
      <c r="F920">
        <f>IF(ISBLANK('Data Entry'!$F$920), "", 'Data Entry'!$F$920)</f>
      </c>
      <c r="G920">
        <f>IF(ISBLANK('Data Entry'!$G$920), "", 'Data Entry'!$G$920)</f>
      </c>
      <c r="H920">
        <f>IF(ISBLANK('Data Entry'!$H$920), "", 'Data Entry'!$H$920)</f>
      </c>
      <c r="I920">
        <f>IF(ISBLANK('Data Entry'!$I$920), "", 'Data Entry'!$I$920)</f>
      </c>
      <c r="J920">
        <f>IF(ISBLANK('Data Entry'!$J$920), "", 'Data Entry'!$J$920)</f>
      </c>
      <c r="K920">
        <f>IF(ISBLANK('Data Entry'!$K$920), "", 'Data Entry'!$K$920)</f>
      </c>
      <c r="L920">
        <f>IF(ISBLANK('Data Entry'!$L$920), "", 'Data Entry'!$L$920)</f>
      </c>
      <c r="M920">
        <f>IF(ISBLANK('Data Entry'!$M$920), "", 'Data Entry'!$M$920)</f>
      </c>
      <c r="N920">
        <f>IF(ISBLANK('Data Entry'!$N$920), "", 'Data Entry'!$N$920)</f>
      </c>
      <c r="O920">
        <f>IF(ISBLANK('Data Entry'!$O$920), "", 'Data Entry'!$O$920)</f>
      </c>
      <c r="P920">
        <f>IF(ISBLANK('Data Entry'!$P$920), "", 'Data Entry'!$P$920)</f>
      </c>
      <c r="Q920">
        <f>IF(ISBLANK('Data Entry'!$Q$920), "", 'Data Entry'!$Q$920)</f>
      </c>
      <c r="R920">
        <f>IF(ISBLANK('Data Entry'!$R$920), "", 'Data Entry'!$R$920)</f>
      </c>
      <c r="S920">
        <f>IF(ISBLANK('Data Entry'!$S$920), "", 'Data Entry'!$S$920)</f>
      </c>
      <c r="T920">
        <f>IF(ISBLANK('Data Entry'!$T$920), "", 'Data Entry'!$T$920)</f>
      </c>
      <c r="U920">
        <f>IF(ISBLANK('Data Entry'!$U$920), "", 'Data Entry'!$U$920)</f>
      </c>
      <c r="V920">
        <f>IF(ISBLANK('Data Entry'!$V$920), "", 'Data Entry'!$V$920)</f>
      </c>
      <c r="W920">
        <f>IF(ISBLANK('Data Entry'!$W$920), "", 'Data Entry'!$W$920)</f>
      </c>
      <c r="X920">
        <f>IF(ISBLANK('Data Entry'!$X$920), "", 'Data Entry'!$X$920)</f>
      </c>
      <c r="Y920">
        <f>IF(ISBLANK('Data Entry'!$Y$920), "", 'Data Entry'!$Y$920)</f>
      </c>
      <c r="Z920">
        <f>IF(ISBLANK('Data Entry'!$Z$920), "", 'Data Entry'!$Z$920)</f>
      </c>
      <c r="AA920">
        <f>IF(ISBLANK('Data Entry'!$[$920), "", 'Data Entry'!$[$920)</f>
      </c>
      <c r="AB920">
        <f>IF(ISBLANK('Data Entry'!$\$920), "", 'Data Entry'!$\$920)</f>
      </c>
      <c r="AC920">
        <f>IF(ISBLANK('Data Entry'!$]$920), "", 'Data Entry'!$]$920)</f>
      </c>
      <c r="AD920">
        <f>IF(ISBLANK('Data Entry'!$^$920), "", 'Data Entry'!$^$920)</f>
      </c>
      <c r="AE920">
        <f>IF(ISBLANK('Data Entry'!$_$920), "", 'Data Entry'!$_$920)</f>
      </c>
      <c r="AF920">
        <f>IF(ISBLANK('Data Entry'!$`$920), "", 'Data Entry'!$`$920)</f>
      </c>
      <c r="AG920">
        <f>IF(ISBLANK('Data Entry'!$a$920), "", 'Data Entry'!$a$920)</f>
      </c>
      <c r="AH920">
        <f>IF(ISBLANK('Data Entry'!$b$920), "", 'Data Entry'!$b$920)</f>
      </c>
      <c r="AI920">
        <f>IF(ISBLANK('Data Entry'!$c$920), "", 'Data Entry'!$c$920)</f>
      </c>
      <c r="AJ920">
        <f>IF(ISBLANK('Data Entry'!$d$920), "", 'Data Entry'!$d$920)</f>
      </c>
      <c r="AK920">
        <f>IF(ISBLANK('Data Entry'!$e$920), "", 'Data Entry'!$e$920)</f>
      </c>
      <c r="AL920">
        <f>IF(ISBLANK('Data Entry'!$f$920), "", 'Data Entry'!$f$920)</f>
      </c>
      <c r="AM920">
        <f>IF(ISBLANK('Data Entry'!$g$920), "", 'Data Entry'!$g$920)</f>
      </c>
      <c r="AN920">
        <f>IF(ISBLANK('Data Entry'!$h$920), "", 'Data Entry'!$h$920)</f>
      </c>
      <c r="AO920">
        <f>IF(ISBLANK('Data Entry'!$i$920), "", 'Data Entry'!$i$920)</f>
      </c>
      <c r="AP920">
        <f>IF(ISBLANK('Data Entry'!$j$920), "", 'Data Entry'!$j$920)</f>
      </c>
      <c r="AQ920">
        <f>IF(ISBLANK('Data Entry'!$k$920), "", 'Data Entry'!$k$920)</f>
      </c>
      <c r="AR920">
        <f>IF(ISBLANK('Data Entry'!$l$920), "", 'Data Entry'!$l$920)</f>
      </c>
      <c r="AS920">
        <f>IF(ISBLANK('Data Entry'!$m$920), "", 'Data Entry'!$m$920)</f>
      </c>
      <c r="AT920">
        <f>IF(ISBLANK('Data Entry'!$n$920), "", 'Data Entry'!$n$920)</f>
      </c>
      <c r="AU920">
        <f>IF(ISBLANK('Data Entry'!$o$920), "", 'Data Entry'!$o$920)</f>
      </c>
      <c r="AV920">
        <f>IF(ISBLANK('Data Entry'!$p$920), "", 'Data Entry'!$p$920)</f>
      </c>
      <c r="AW920">
        <f>IF(ISBLANK('Data Entry'!$q$920), "", 'Data Entry'!$q$920)</f>
      </c>
      <c r="AX920">
        <f>IF(ISBLANK('Data Entry'!$r$920), "", 'Data Entry'!$r$920)</f>
      </c>
      <c r="AY920">
        <f>IF(ISBLANK('Data Entry'!$s$920), "", 'Data Entry'!$s$920)</f>
      </c>
      <c r="AZ920">
        <f>IF(ISBLANK('Data Entry'!$t$920), "", 'Data Entry'!$t$920)</f>
      </c>
      <c r="BA920">
        <f>IF(ISBLANK('Data Entry'!$u$920), "", 'Data Entry'!$u$920)</f>
      </c>
      <c r="BB920">
        <f>IF(ISBLANK('Data Entry'!$v$920), "", 'Data Entry'!$v$920)</f>
      </c>
      <c r="BC920">
        <f>IF(ISBLANK('Data Entry'!$w$920), "", 'Data Entry'!$w$920)</f>
      </c>
      <c r="BD920">
        <f>IF(ISBLANK('Data Entry'!$x$920), "", 'Data Entry'!$x$920)</f>
      </c>
      <c r="BE920">
        <f>IF(ISBLANK('Data Entry'!$y$920), "", 'Data Entry'!$y$920)</f>
      </c>
      <c r="BF920">
        <f>IF(ISBLANK('Data Entry'!$z$920), "", 'Data Entry'!$z$920)</f>
      </c>
      <c r="BG920">
        <f>IF(ISBLANK('Data Entry'!${$920), "", 'Data Entry'!${$920)</f>
      </c>
      <c r="BH920">
        <f>IF(ISBLANK('Data Entry'!$|$920), "", 'Data Entry'!$|$920)</f>
      </c>
      <c r="BI920">
        <f>IF(ISBLANK('Data Entry'!$}$920), "", 'Data Entry'!$}$920)</f>
      </c>
      <c r="BJ920">
        <f>IF(ISBLANK('Data Entry'!$~$920), "", 'Data Entry'!$~$920)</f>
      </c>
      <c r="BK920">
        <f>IF(ISBLANK('Data Entry'!$$920), "", 'Data Entry'!$$920)</f>
      </c>
      <c r="BL920">
        <f>IF(ISBLANK('Data Entry'!$$920), "", 'Data Entry'!$$920)</f>
      </c>
      <c r="BM920">
        <f>IF(ISBLANK('Data Entry'!$$920), "", 'Data Entry'!$$920)</f>
      </c>
      <c r="BN920">
        <f>IF(ISBLANK('Data Entry'!$$920), "", 'Data Entry'!$$920)</f>
      </c>
      <c r="BO920">
        <f>IF(ISBLANK('Data Entry'!$$920), "", 'Data Entry'!$$920)</f>
      </c>
      <c r="BP920">
        <f>IF(ISBLANK('Data Entry'!$$920), "", 'Data Entry'!$$920)</f>
      </c>
      <c r="BQ920">
        <f>IF(ISBLANK('Data Entry'!$$920), "", 'Data Entry'!$$920)</f>
      </c>
      <c r="BR920">
        <f>IF(ISBLANK('Data Entry'!$$920), "", 'Data Entry'!$$920)</f>
      </c>
      <c r="BS920">
        <f>IF(ISBLANK('Data Entry'!$$920), "", 'Data Entry'!$$920)</f>
      </c>
      <c r="BT920">
        <f>IF(ISBLANK('Data Entry'!$$920), "", 'Data Entry'!$$920)</f>
      </c>
      <c r="BU920">
        <f>IF(ISBLANK('Data Entry'!$$920), "", 'Data Entry'!$$920)</f>
      </c>
      <c r="BV920">
        <f>IF(ISBLANK('Data Entry'!$$920), "", 'Data Entry'!$$920)</f>
      </c>
      <c r="BW920">
        <f>IF(ISBLANK('Data Entry'!$$920), "", 'Data Entry'!$$920)</f>
      </c>
      <c r="BX920">
        <f>IF(ISBLANK('Data Entry'!$$920), "", 'Data Entry'!$$920)</f>
      </c>
      <c r="BY920">
        <f>IF(ISBLANK('Data Entry'!$$920), "", 'Data Entry'!$$920)</f>
      </c>
      <c r="BZ920">
        <f>IF(ISBLANK('Data Entry'!$$920), "", 'Data Entry'!$$920)</f>
      </c>
      <c r="CA920">
        <f>IF(ISBLANK('Data Entry'!$$920), "", 'Data Entry'!$$920)</f>
      </c>
      <c r="CB920">
        <f>IF(ISBLANK('Data Entry'!$$920), "", 'Data Entry'!$$920)</f>
      </c>
      <c r="CC920">
        <f>IF(ISBLANK('Data Entry'!$$920), "", 'Data Entry'!$$920)</f>
      </c>
      <c r="CD920">
        <f>IF(ISBLANK('Data Entry'!$$920), "", 'Data Entry'!$$920)</f>
      </c>
      <c r="CE920">
        <f>IF(ISBLANK('Data Entry'!$$920), "", 'Data Entry'!$$920)</f>
      </c>
      <c r="CF920">
        <f>IF(ISBLANK('Data Entry'!$$920), "", 'Data Entry'!$$920)</f>
      </c>
      <c r="CG920">
        <f>IF(ISBLANK('Data Entry'!$$920), "", 'Data Entry'!$$920)</f>
      </c>
      <c r="CH920">
        <f>IF(ISBLANK('Data Entry'!$$920), "", 'Data Entry'!$$920)</f>
      </c>
      <c r="CI920">
        <f>IF(ISBLANK('Data Entry'!$$920), "", 'Data Entry'!$$920)</f>
      </c>
      <c r="CJ920">
        <f>IF(ISBLANK('Data Entry'!$$920), "", 'Data Entry'!$$920)</f>
      </c>
      <c r="CK920">
        <f>IF(ISBLANK('Data Entry'!$$920), "", 'Data Entry'!$$920)</f>
      </c>
      <c r="CL920">
        <f>IF(ISBLANK('Data Entry'!$$920), "", 'Data Entry'!$$920)</f>
      </c>
      <c r="CM920">
        <f>IF(ISBLANK('Data Entry'!$$920), "", 'Data Entry'!$$920)</f>
      </c>
      <c r="CN920">
        <f>IF(ISBLANK('Data Entry'!$$920), "", 'Data Entry'!$$920)</f>
      </c>
      <c r="CO920">
        <f>IF(ISBLANK('Data Entry'!$$920), "", 'Data Entry'!$$920)</f>
      </c>
      <c r="CP920">
        <f>IF(ISBLANK('Data Entry'!$$920), "", 'Data Entry'!$$920)</f>
      </c>
      <c r="CQ920">
        <f>IF(ISBLANK('Data Entry'!$$920), "", 'Data Entry'!$$920)</f>
      </c>
      <c r="CR920">
        <f>IF(ISBLANK('Data Entry'!$ $920), "", 'Data Entry'!$ $920)</f>
      </c>
      <c r="CS920">
        <f>IF(ISBLANK('Data Entry'!$¡$920), "", 'Data Entry'!$¡$920)</f>
      </c>
      <c r="CT920">
        <f>IF(ISBLANK('Data Entry'!$¢$920), "", 'Data Entry'!$¢$920)</f>
      </c>
      <c r="CU920">
        <f>IF(ISBLANK('Data Entry'!$£$920), "", 'Data Entry'!$£$920)</f>
      </c>
      <c r="CV920">
        <f>IF(ISBLANK('Data Entry'!$¤$920), "", 'Data Entry'!$¤$920)</f>
      </c>
      <c r="CW920">
        <f>IF(ISBLANK('Data Entry'!$¥$920), "", 'Data Entry'!$¥$920)</f>
      </c>
      <c r="CX920">
        <f>IF(ISBLANK('Data Entry'!$¦$920), "", 'Data Entry'!$¦$920)</f>
      </c>
      <c r="CY920">
        <f>IF(ISBLANK('Data Entry'!$§$920), "", 'Data Entry'!$§$920)</f>
      </c>
      <c r="CZ920">
        <f>IF(ISBLANK('Data Entry'!$¨$920), "", 'Data Entry'!$¨$920)</f>
      </c>
      <c r="DA920">
        <f>IF(ISBLANK('Data Entry'!$©$920), "", 'Data Entry'!$©$920)</f>
      </c>
      <c r="DB920">
        <f>IF(ISBLANK('Data Entry'!$ª$920), "", 'Data Entry'!$ª$920)</f>
      </c>
      <c r="DC920">
        <f>IF(ISBLANK('Data Entry'!$«$920), "", 'Data Entry'!$«$920)</f>
      </c>
      <c r="DD920">
        <f>IF(ISBLANK('Data Entry'!$¬$920), "", 'Data Entry'!$¬$920)</f>
      </c>
      <c r="DE920">
        <f>IF(ISBLANK('Data Entry'!$­$920), "", 'Data Entry'!$­$920)</f>
      </c>
      <c r="DF920">
        <f>IF(ISBLANK('Data Entry'!$®$920), "", 'Data Entry'!$®$920)</f>
      </c>
      <c r="DG920">
        <f>IF(ISBLANK('Data Entry'!$¯$920), "", 'Data Entry'!$¯$920)</f>
      </c>
      <c r="DH920">
        <f>IF(ISBLANK('Data Entry'!$°$920), "", 'Data Entry'!$°$920)</f>
      </c>
      <c r="DI920">
        <f>IF(ISBLANK('Data Entry'!$±$920), "", 'Data Entry'!$±$920)</f>
      </c>
      <c r="DJ920">
        <f>IF(ISBLANK('Data Entry'!$²$920), "", 'Data Entry'!$²$920)</f>
      </c>
      <c r="DK920">
        <f>IF(ISBLANK('Data Entry'!$³$920), "", 'Data Entry'!$³$920)</f>
      </c>
      <c r="DL920">
        <f>IF(ISBLANK('Data Entry'!$´$920), "", 'Data Entry'!$´$920)</f>
      </c>
      <c r="DM920">
        <f>IF(ISBLANK('Data Entry'!$µ$920), "", 'Data Entry'!$µ$920)</f>
      </c>
      <c r="DN920">
        <f>IF(ISBLANK('Data Entry'!$¶$920), "", 'Data Entry'!$¶$920)</f>
      </c>
      <c r="DO920">
        <f>IF(ISBLANK('Data Entry'!$·$920), "", 'Data Entry'!$·$920)</f>
      </c>
      <c r="DP920">
        <f>IF(ISBLANK('Data Entry'!$¸$920), "", 'Data Entry'!$¸$920)</f>
      </c>
      <c r="DQ920">
        <f>IF(ISBLANK('Data Entry'!$¹$920), "", 'Data Entry'!$¹$920)</f>
      </c>
      <c r="DR920">
        <f>IF(ISBLANK('Data Entry'!$º$920), "", 'Data Entry'!$º$920)</f>
      </c>
      <c r="DS920">
        <f>IF(ISBLANK('Data Entry'!$»$920), "", 'Data Entry'!$»$920)</f>
      </c>
      <c r="DT920">
        <f>IF(ISBLANK('Data Entry'!$¼$920), "", 'Data Entry'!$¼$920)</f>
      </c>
      <c r="DU920">
        <f>IF(ISBLANK('Data Entry'!$½$920), "", 'Data Entry'!$½$920)</f>
      </c>
      <c r="DV920">
        <f>IF(ISBLANK('Data Entry'!$¾$920), "", 'Data Entry'!$¾$920)</f>
      </c>
      <c r="DW920">
        <f>IF(ISBLANK('Data Entry'!$¿$920), "", 'Data Entry'!$¿$920)</f>
      </c>
      <c r="DX920">
        <f>IF(ISBLANK('Data Entry'!$À$920), "", 'Data Entry'!$À$920)</f>
      </c>
      <c r="DY920">
        <f>IF(ISBLANK('Data Entry'!$Á$920), "", 'Data Entry'!$Á$920)</f>
      </c>
      <c r="DZ920">
        <f>IF(ISBLANK('Data Entry'!$Â$920), "", 'Data Entry'!$Â$920)</f>
      </c>
      <c r="EA920">
        <f>IF(ISBLANK('Data Entry'!$Ã$920), "", 'Data Entry'!$Ã$920)</f>
      </c>
      <c r="EB920">
        <f>IF(ISBLANK('Data Entry'!$Ä$920), "", 'Data Entry'!$Ä$920)</f>
      </c>
      <c r="EC920">
        <f>IF(ISBLANK('Data Entry'!$Å$920), "", 'Data Entry'!$Å$920)</f>
      </c>
      <c r="ED920">
        <f>IF(ISBLANK('Data Entry'!$Æ$920), "", 'Data Entry'!$Æ$920)</f>
      </c>
      <c r="EE920">
        <f>IF(ISBLANK('Data Entry'!$Ç$920), "", 'Data Entry'!$Ç$920)</f>
      </c>
      <c r="EF920">
        <f>IF(ISBLANK('Data Entry'!$È$920), "", 'Data Entry'!$È$920)</f>
      </c>
      <c r="EG920">
        <f>IF(ISBLANK('Data Entry'!$É$920), "", 'Data Entry'!$É$920)</f>
      </c>
      <c r="EH920">
        <f>IF(ISBLANK('Data Entry'!$Ê$920), "", 'Data Entry'!$Ê$920)</f>
      </c>
      <c r="EI920">
        <f>IF(ISBLANK('Data Entry'!$Ë$920), "", 'Data Entry'!$Ë$920)</f>
      </c>
      <c r="EJ920">
        <f>IF(ISBLANK('Data Entry'!$Ì$920), "", 'Data Entry'!$Ì$920)</f>
      </c>
      <c r="EK920">
        <f>IF(ISBLANK('Data Entry'!$Í$920), "", 'Data Entry'!$Í$920)</f>
      </c>
      <c r="EL920">
        <f>IF(ISBLANK('Data Entry'!$Î$920), "", 'Data Entry'!$Î$920)</f>
      </c>
      <c r="EM920">
        <f>IF(ISBLANK('Data Entry'!$Ï$920), "", 'Data Entry'!$Ï$920)</f>
      </c>
      <c r="EN920">
        <f>IF(ISBLANK('Data Entry'!$Ð$920), "", 'Data Entry'!$Ð$920)</f>
      </c>
      <c r="EO920">
        <f>IF(ISBLANK('Data Entry'!$Ñ$920), "", 'Data Entry'!$Ñ$920)</f>
      </c>
      <c r="EP920">
        <f>IF(ISBLANK('Data Entry'!$Ò$920), "", 'Data Entry'!$Ò$920)</f>
      </c>
      <c r="EQ920">
        <f>IF(ISBLANK('Data Entry'!$Ó$920), "", 'Data Entry'!$Ó$920)</f>
      </c>
      <c r="ER920">
        <f>IF(ISBLANK('Data Entry'!$Ô$920), "", 'Data Entry'!$Ô$920)</f>
      </c>
      <c r="ES920">
        <f>IF(ISBLANK('Data Entry'!$Õ$920), "", 'Data Entry'!$Õ$920)</f>
      </c>
      <c r="ET920">
        <f>IF(ISBLANK('Data Entry'!$Ö$920), "", 'Data Entry'!$Ö$920)</f>
      </c>
      <c r="EU920">
        <f>IF(ISBLANK('Data Entry'!$×$920), "", 'Data Entry'!$×$920)</f>
      </c>
      <c r="EV920">
        <f>IF(ISBLANK('Data Entry'!$Ø$920), "", 'Data Entry'!$Ø$920)</f>
      </c>
      <c r="EW920">
        <f>IF(ISBLANK('Data Entry'!$Ù$920), "", 'Data Entry'!$Ù$920)</f>
      </c>
      <c r="EX920">
        <f>IF(ISBLANK('Data Entry'!$Ú$920), "", 'Data Entry'!$Ú$920)</f>
      </c>
      <c r="EY920">
        <f>IF(ISBLANK('Data Entry'!$Û$920), "", 'Data Entry'!$Û$920)</f>
      </c>
      <c r="EZ920">
        <f>IF(ISBLANK('Data Entry'!$Ü$920), "", 'Data Entry'!$Ü$920)</f>
      </c>
      <c r="FA920">
        <f>IF(ISBLANK('Data Entry'!$Ý$920), "", 'Data Entry'!$Ý$920)</f>
      </c>
      <c r="FB920">
        <f>IF(ISBLANK('Data Entry'!$Þ$920), "", 'Data Entry'!$Þ$920)</f>
      </c>
      <c r="FC920">
        <f>IF(ISBLANK('Data Entry'!$ß$920), "", 'Data Entry'!$ß$920)</f>
      </c>
      <c r="FD920">
        <f>IF(ISBLANK('Data Entry'!$à$920), "", 'Data Entry'!$à$920)</f>
      </c>
      <c r="FE920">
        <f>IF(ISBLANK('Data Entry'!$á$920), "", 'Data Entry'!$á$920)</f>
      </c>
      <c r="FF920">
        <f>IF(ISBLANK('Data Entry'!$â$920), "", 'Data Entry'!$â$920)</f>
      </c>
      <c r="FG920">
        <f>IF(ISBLANK('Data Entry'!$ã$920), "", 'Data Entry'!$ã$920)</f>
      </c>
      <c r="FH920">
        <f>IF(ISBLANK('Data Entry'!$ä$920), "", 'Data Entry'!$ä$920)</f>
      </c>
      <c r="FI920">
        <f>IF(ISBLANK('Data Entry'!$å$920), "", 'Data Entry'!$å$920)</f>
      </c>
      <c r="FJ920">
        <f>IF(ISBLANK('Data Entry'!$æ$920), "", 'Data Entry'!$æ$920)</f>
      </c>
      <c r="FK920">
        <f>IF(ISBLANK('Data Entry'!$ç$920), "", 'Data Entry'!$ç$920)</f>
      </c>
      <c r="FL920">
        <f>IF(ISBLANK('Data Entry'!$è$920), "", 'Data Entry'!$è$920)</f>
      </c>
      <c r="FM920">
        <f>IF(ISBLANK('Data Entry'!$é$920), "", 'Data Entry'!$é$920)</f>
      </c>
      <c r="FN920">
        <f>IF(ISBLANK('Data Entry'!$ê$920), "", 'Data Entry'!$ê$920)</f>
      </c>
      <c r="FO920">
        <f>IF(ISBLANK('Data Entry'!$ë$920), "", 'Data Entry'!$ë$920)</f>
      </c>
      <c r="FP920">
        <f>IF(ISBLANK('Data Entry'!$ì$920), "", 'Data Entry'!$ì$920)</f>
      </c>
      <c r="FQ920">
        <f>IF(ISBLANK('Data Entry'!$í$920), "", 'Data Entry'!$í$920)</f>
      </c>
      <c r="FR920">
        <f>IF(ISBLANK('Data Entry'!$î$920), "", 'Data Entry'!$î$920)</f>
      </c>
      <c r="FS920">
        <f>IF(ISBLANK('Data Entry'!$ï$920), "", 'Data Entry'!$ï$920)</f>
      </c>
      <c r="FT920">
        <f>IF(ISBLANK('Data Entry'!$ð$920), "", 'Data Entry'!$ð$920)</f>
      </c>
      <c r="FU920">
        <f>IF(ISBLANK('Data Entry'!$ñ$920), "", 'Data Entry'!$ñ$920)</f>
      </c>
      <c r="FV920">
        <f>IF(ISBLANK('Data Entry'!$ò$920), "", 'Data Entry'!$ò$920)</f>
      </c>
      <c r="FW920">
        <f>IF(ISBLANK('Data Entry'!$ó$920), "", 'Data Entry'!$ó$920)</f>
      </c>
      <c r="FX920">
        <f>IF(ISBLANK('Data Entry'!$ô$920), "", 'Data Entry'!$ô$920)</f>
      </c>
      <c r="FY920">
        <f>IF(ISBLANK('Data Entry'!$õ$920), "", 'Data Entry'!$õ$920)</f>
      </c>
      <c r="FZ920">
        <f>IF(ISBLANK('Data Entry'!$ö$920), "", 'Data Entry'!$ö$920)</f>
      </c>
      <c r="GA920">
        <f>IF(ISBLANK('Data Entry'!$÷$920), "", 'Data Entry'!$÷$920)</f>
      </c>
      <c r="GB920">
        <f>IF(ISBLANK('Data Entry'!$ø$920), "", 'Data Entry'!$ø$920)</f>
      </c>
      <c r="GC920">
        <f>IF(ISBLANK('Data Entry'!$ù$920), "", 'Data Entry'!$ù$920)</f>
      </c>
      <c r="GD920">
        <f>IF(ISBLANK('Data Entry'!$ú$920), "", 'Data Entry'!$ú$920)</f>
      </c>
      <c r="GE920">
        <f>IF(ISBLANK('Data Entry'!$û$920), "", 'Data Entry'!$û$920)</f>
      </c>
      <c r="GF920">
        <f>IF(ISBLANK('Data Entry'!$ü$920), "", 'Data Entry'!$ü$920)</f>
      </c>
      <c r="GG920">
        <f>IF(ISBLANK('Data Entry'!$ý$920), "", 'Data Entry'!$ý$920)</f>
      </c>
      <c r="GH920">
        <f>IF(ISBLANK('Data Entry'!$þ$920), "", 'Data Entry'!$þ$920)</f>
      </c>
      <c r="GI920">
        <f>IF(ISBLANK('Data Entry'!$ÿ$920), "", 'Data Entry'!$ÿ$920)</f>
      </c>
      <c r="GJ920">
        <f>IF(ISBLANK('Data Entry'!$Ā$920), "", 'Data Entry'!$Ā$920)</f>
      </c>
      <c r="GK920">
        <f>IF(ISBLANK('Data Entry'!$ā$920), "", 'Data Entry'!$ā$920)</f>
      </c>
      <c r="GL920">
        <f>IF(ISBLANK('Data Entry'!$Ă$920), "", 'Data Entry'!$Ă$920)</f>
      </c>
      <c r="GM920">
        <f>IF(ISBLANK('Data Entry'!$ă$920), "", 'Data Entry'!$ă$920)</f>
      </c>
      <c r="GN920">
        <f>IF(ISBLANK('Data Entry'!$Ą$920), "", 'Data Entry'!$Ą$920)</f>
      </c>
      <c r="GO920">
        <f>IF(ISBLANK('Data Entry'!$ą$920), "", 'Data Entry'!$ą$920)</f>
      </c>
      <c r="GP920">
        <f>IF(ISBLANK('Data Entry'!$Ć$920), "", 'Data Entry'!$Ć$920)</f>
      </c>
      <c r="GQ920">
        <f>IF(ISBLANK('Data Entry'!$ć$920), "", 'Data Entry'!$ć$920)</f>
      </c>
      <c r="GR920">
        <f>IF(ISBLANK('Data Entry'!$Ĉ$920), "", 'Data Entry'!$Ĉ$920)</f>
      </c>
      <c r="GS920">
        <f>IF(ISBLANK('Data Entry'!$ĉ$920), "", 'Data Entry'!$ĉ$920)</f>
      </c>
      <c r="GT920">
        <f>IF(ISBLANK('Data Entry'!$Ċ$920), "", 'Data Entry'!$Ċ$920)</f>
      </c>
      <c r="GU920">
        <f>IF(ISBLANK('Data Entry'!$ċ$920), "", 'Data Entry'!$ċ$920)</f>
      </c>
      <c r="GV920">
        <f>IF(ISBLANK('Data Entry'!$Č$920), "", 'Data Entry'!$Č$920)</f>
      </c>
      <c r="GW920">
        <f>IF(ISBLANK('Data Entry'!$č$920), "", 'Data Entry'!$č$920)</f>
      </c>
      <c r="GX920">
        <f>IF(ISBLANK('Data Entry'!$Ď$920), "", 'Data Entry'!$Ď$920)</f>
      </c>
      <c r="GY920">
        <f>IF(ISBLANK('Data Entry'!$ď$920), "", 'Data Entry'!$ď$920)</f>
      </c>
      <c r="GZ920">
        <f>IF(ISBLANK('Data Entry'!$Đ$920), "", 'Data Entry'!$Đ$920)</f>
      </c>
      <c r="HA920">
        <f>IF(ISBLANK('Data Entry'!$đ$920), "", 'Data Entry'!$đ$920)</f>
      </c>
      <c r="HB920">
        <f>IF(ISBLANK('Data Entry'!$Ē$920), "", 'Data Entry'!$Ē$920)</f>
      </c>
      <c r="HC920">
        <f>IF(ISBLANK('Data Entry'!$ē$920), "", 'Data Entry'!$ē$920)</f>
      </c>
      <c r="HD920">
        <f>IF(ISBLANK('Data Entry'!$Ĕ$920), "", 'Data Entry'!$Ĕ$920)</f>
      </c>
      <c r="HE920">
        <f>IF(ISBLANK('Data Entry'!$ĕ$920), "", 'Data Entry'!$ĕ$920)</f>
      </c>
      <c r="HF920">
        <f>IF(ISBLANK('Data Entry'!$Ė$920), "", 'Data Entry'!$Ė$920)</f>
      </c>
      <c r="HG920">
        <f>IF(ISBLANK('Data Entry'!$ė$920), "", 'Data Entry'!$ė$920)</f>
      </c>
      <c r="HH920">
        <f>IF(ISBLANK('Data Entry'!$Ę$920), "", 'Data Entry'!$Ę$920)</f>
      </c>
      <c r="HI920">
        <f>IF(ISBLANK('Data Entry'!$ę$920), "", 'Data Entry'!$ę$920)</f>
      </c>
      <c r="HJ920">
        <f>IF(ISBLANK('Data Entry'!$Ě$920), "", 'Data Entry'!$Ě$920)</f>
      </c>
      <c r="HK920">
        <f>IF(ISBLANK('Data Entry'!$ě$920), "", 'Data Entry'!$ě$920)</f>
      </c>
      <c r="HL920">
        <f>IF(ISBLANK('Data Entry'!$Ĝ$920), "", 'Data Entry'!$Ĝ$920)</f>
      </c>
      <c r="HM920">
        <f>IF(ISBLANK('Data Entry'!$ĝ$920), "", 'Data Entry'!$ĝ$920)</f>
      </c>
      <c r="HN920">
        <f>IF(ISBLANK('Data Entry'!$Ğ$920), "", 'Data Entry'!$Ğ$920)</f>
      </c>
      <c r="HO920">
        <f>IF(ISBLANK('Data Entry'!$ğ$920), "", 'Data Entry'!$ğ$920)</f>
      </c>
      <c r="HP920">
        <f>IF(ISBLANK('Data Entry'!$Ġ$920), "", 'Data Entry'!$Ġ$920)</f>
      </c>
      <c r="HQ920">
        <f>IF(ISBLANK('Data Entry'!$ġ$920), "", 'Data Entry'!$ġ$920)</f>
      </c>
      <c r="HR920">
        <f>IF(ISBLANK('Data Entry'!$Ģ$920), "", 'Data Entry'!$Ģ$920)</f>
      </c>
      <c r="HS920">
        <f>IF(ISBLANK('Data Entry'!$ģ$920), "", 'Data Entry'!$ģ$920)</f>
      </c>
      <c r="HT920">
        <f>IF(ISBLANK('Data Entry'!$Ĥ$920), "", 'Data Entry'!$Ĥ$920)</f>
      </c>
      <c r="HU920">
        <f>IF(ISBLANK('Data Entry'!$ĥ$920), "", 'Data Entry'!$ĥ$920)</f>
      </c>
      <c r="HV920">
        <f>IF(ISBLANK('Data Entry'!$Ħ$920), "", 'Data Entry'!$Ħ$920)</f>
      </c>
      <c r="HW920">
        <f>IF(ISBLANK('Data Entry'!$ħ$920), "", 'Data Entry'!$ħ$920)</f>
      </c>
      <c r="HX920">
        <f>IF(ISBLANK('Data Entry'!$Ĩ$920), "", 'Data Entry'!$Ĩ$920)</f>
      </c>
      <c r="HY920">
        <f>IF(ISBLANK('Data Entry'!$ĩ$920), "", 'Data Entry'!$ĩ$920)</f>
      </c>
      <c r="HZ920">
        <f>IF(ISBLANK('Data Entry'!$Ī$920), "", 'Data Entry'!$Ī$920)</f>
      </c>
      <c r="IA920">
        <f>IF(ISBLANK('Data Entry'!$ī$920), "", 'Data Entry'!$ī$920)</f>
      </c>
      <c r="IB920">
        <f>IF(ISBLANK('Data Entry'!$Ĭ$920), "", 'Data Entry'!$Ĭ$920)</f>
      </c>
      <c r="IC920">
        <f>IF(ISBLANK('Data Entry'!$ĭ$920), "", 'Data Entry'!$ĭ$920)</f>
      </c>
      <c r="ID920">
        <f>IF(ISBLANK('Data Entry'!$Į$920), "", 'Data Entry'!$Į$920)</f>
      </c>
      <c r="IE920">
        <f>IF(ISBLANK('Data Entry'!$į$920), "", 'Data Entry'!$į$920)</f>
      </c>
      <c r="IF920">
        <f>IF(ISBLANK('Data Entry'!$İ$920), "", 'Data Entry'!$İ$920)</f>
      </c>
      <c r="IG920">
        <f>IF(ISBLANK('Data Entry'!$ı$920), "", 'Data Entry'!$ı$920)</f>
      </c>
      <c r="IH920">
        <f>IF(ISBLANK('Data Entry'!$Ĳ$920), "", 'Data Entry'!$Ĳ$920)</f>
      </c>
      <c r="II920">
        <f>IF(ISBLANK('Data Entry'!$ĳ$920), "", 'Data Entry'!$ĳ$920)</f>
      </c>
      <c r="IJ920">
        <f>IF(ISBLANK('Data Entry'!$Ĵ$920), "", 'Data Entry'!$Ĵ$920)</f>
      </c>
      <c r="IK920">
        <f>IF(ISBLANK('Data Entry'!$ĵ$920), "", 'Data Entry'!$ĵ$920)</f>
      </c>
      <c r="IL920">
        <f>IF(ISBLANK('Data Entry'!$Ķ$920), "", 'Data Entry'!$Ķ$920)</f>
      </c>
      <c r="IM920">
        <f>IF(ISBLANK('Data Entry'!$ķ$920), "", 'Data Entry'!$ķ$920)</f>
      </c>
      <c r="IN920">
        <f>IF(ISBLANK('Data Entry'!$ĸ$920), "", 'Data Entry'!$ĸ$920)</f>
      </c>
      <c r="IO920">
        <f>IF(ISBLANK('Data Entry'!$Ĺ$920), "", 'Data Entry'!$Ĺ$920)</f>
      </c>
      <c r="IP920">
        <f>IF(ISBLANK('Data Entry'!$ĺ$920), "", 'Data Entry'!$ĺ$920)</f>
      </c>
      <c r="IQ920">
        <f>IF(ISBLANK('Data Entry'!$Ļ$920), "", 'Data Entry'!$Ļ$920)</f>
      </c>
      <c r="IR920">
        <f>IF(ISBLANK('Data Entry'!$ļ$920), "", 'Data Entry'!$ļ$920)</f>
      </c>
      <c r="IS920">
        <f>IF(ISBLANK('Data Entry'!$Ľ$920), "", 'Data Entry'!$Ľ$920)</f>
      </c>
      <c r="IT920">
        <f>IF(ISBLANK('Data Entry'!$ľ$920), "", 'Data Entry'!$ľ$920)</f>
      </c>
    </row>
    <row r="921" spans="1:254" x14ac:dyDescent="0.25">
      <c r="A921">
        <f>IF(ISBLANK('Data Entry'!$A$921), "", 'Data Entry'!$A$921)</f>
      </c>
      <c r="B921">
        <f>IF(ISBLANK('Data Entry'!$B$921), "", 'Data Entry'!$B$921)</f>
      </c>
      <c r="C921">
        <f>IF(ISBLANK('Data Entry'!$C$921), "", 'Data Entry'!$C$921)</f>
      </c>
      <c r="D921">
        <f>IF(ISBLANK('Data Entry'!$D$921), "", 'Data Entry'!$D$921)</f>
      </c>
      <c r="E921">
        <f>IF(ISBLANK('Data Entry'!$E$921), "", 'Data Entry'!$E$921)</f>
      </c>
      <c r="F921">
        <f>IF(ISBLANK('Data Entry'!$F$921), "", 'Data Entry'!$F$921)</f>
      </c>
      <c r="G921">
        <f>IF(ISBLANK('Data Entry'!$G$921), "", 'Data Entry'!$G$921)</f>
      </c>
      <c r="H921">
        <f>IF(ISBLANK('Data Entry'!$H$921), "", 'Data Entry'!$H$921)</f>
      </c>
      <c r="I921">
        <f>IF(ISBLANK('Data Entry'!$I$921), "", 'Data Entry'!$I$921)</f>
      </c>
      <c r="J921">
        <f>IF(ISBLANK('Data Entry'!$J$921), "", 'Data Entry'!$J$921)</f>
      </c>
      <c r="K921">
        <f>IF(ISBLANK('Data Entry'!$K$921), "", 'Data Entry'!$K$921)</f>
      </c>
      <c r="L921">
        <f>IF(ISBLANK('Data Entry'!$L$921), "", 'Data Entry'!$L$921)</f>
      </c>
      <c r="M921">
        <f>IF(ISBLANK('Data Entry'!$M$921), "", 'Data Entry'!$M$921)</f>
      </c>
      <c r="N921">
        <f>IF(ISBLANK('Data Entry'!$N$921), "", 'Data Entry'!$N$921)</f>
      </c>
      <c r="O921">
        <f>IF(ISBLANK('Data Entry'!$O$921), "", 'Data Entry'!$O$921)</f>
      </c>
      <c r="P921">
        <f>IF(ISBLANK('Data Entry'!$P$921), "", 'Data Entry'!$P$921)</f>
      </c>
      <c r="Q921">
        <f>IF(ISBLANK('Data Entry'!$Q$921), "", 'Data Entry'!$Q$921)</f>
      </c>
      <c r="R921">
        <f>IF(ISBLANK('Data Entry'!$R$921), "", 'Data Entry'!$R$921)</f>
      </c>
      <c r="S921">
        <f>IF(ISBLANK('Data Entry'!$S$921), "", 'Data Entry'!$S$921)</f>
      </c>
      <c r="T921">
        <f>IF(ISBLANK('Data Entry'!$T$921), "", 'Data Entry'!$T$921)</f>
      </c>
      <c r="U921">
        <f>IF(ISBLANK('Data Entry'!$U$921), "", 'Data Entry'!$U$921)</f>
      </c>
      <c r="V921">
        <f>IF(ISBLANK('Data Entry'!$V$921), "", 'Data Entry'!$V$921)</f>
      </c>
      <c r="W921">
        <f>IF(ISBLANK('Data Entry'!$W$921), "", 'Data Entry'!$W$921)</f>
      </c>
      <c r="X921">
        <f>IF(ISBLANK('Data Entry'!$X$921), "", 'Data Entry'!$X$921)</f>
      </c>
      <c r="Y921">
        <f>IF(ISBLANK('Data Entry'!$Y$921), "", 'Data Entry'!$Y$921)</f>
      </c>
      <c r="Z921">
        <f>IF(ISBLANK('Data Entry'!$Z$921), "", 'Data Entry'!$Z$921)</f>
      </c>
      <c r="AA921">
        <f>IF(ISBLANK('Data Entry'!$[$921), "", 'Data Entry'!$[$921)</f>
      </c>
      <c r="AB921">
        <f>IF(ISBLANK('Data Entry'!$\$921), "", 'Data Entry'!$\$921)</f>
      </c>
      <c r="AC921">
        <f>IF(ISBLANK('Data Entry'!$]$921), "", 'Data Entry'!$]$921)</f>
      </c>
      <c r="AD921">
        <f>IF(ISBLANK('Data Entry'!$^$921), "", 'Data Entry'!$^$921)</f>
      </c>
      <c r="AE921">
        <f>IF(ISBLANK('Data Entry'!$_$921), "", 'Data Entry'!$_$921)</f>
      </c>
      <c r="AF921">
        <f>IF(ISBLANK('Data Entry'!$`$921), "", 'Data Entry'!$`$921)</f>
      </c>
      <c r="AG921">
        <f>IF(ISBLANK('Data Entry'!$a$921), "", 'Data Entry'!$a$921)</f>
      </c>
      <c r="AH921">
        <f>IF(ISBLANK('Data Entry'!$b$921), "", 'Data Entry'!$b$921)</f>
      </c>
      <c r="AI921">
        <f>IF(ISBLANK('Data Entry'!$c$921), "", 'Data Entry'!$c$921)</f>
      </c>
      <c r="AJ921">
        <f>IF(ISBLANK('Data Entry'!$d$921), "", 'Data Entry'!$d$921)</f>
      </c>
      <c r="AK921">
        <f>IF(ISBLANK('Data Entry'!$e$921), "", 'Data Entry'!$e$921)</f>
      </c>
      <c r="AL921">
        <f>IF(ISBLANK('Data Entry'!$f$921), "", 'Data Entry'!$f$921)</f>
      </c>
      <c r="AM921">
        <f>IF(ISBLANK('Data Entry'!$g$921), "", 'Data Entry'!$g$921)</f>
      </c>
      <c r="AN921">
        <f>IF(ISBLANK('Data Entry'!$h$921), "", 'Data Entry'!$h$921)</f>
      </c>
      <c r="AO921">
        <f>IF(ISBLANK('Data Entry'!$i$921), "", 'Data Entry'!$i$921)</f>
      </c>
      <c r="AP921">
        <f>IF(ISBLANK('Data Entry'!$j$921), "", 'Data Entry'!$j$921)</f>
      </c>
      <c r="AQ921">
        <f>IF(ISBLANK('Data Entry'!$k$921), "", 'Data Entry'!$k$921)</f>
      </c>
      <c r="AR921">
        <f>IF(ISBLANK('Data Entry'!$l$921), "", 'Data Entry'!$l$921)</f>
      </c>
      <c r="AS921">
        <f>IF(ISBLANK('Data Entry'!$m$921), "", 'Data Entry'!$m$921)</f>
      </c>
      <c r="AT921">
        <f>IF(ISBLANK('Data Entry'!$n$921), "", 'Data Entry'!$n$921)</f>
      </c>
      <c r="AU921">
        <f>IF(ISBLANK('Data Entry'!$o$921), "", 'Data Entry'!$o$921)</f>
      </c>
      <c r="AV921">
        <f>IF(ISBLANK('Data Entry'!$p$921), "", 'Data Entry'!$p$921)</f>
      </c>
      <c r="AW921">
        <f>IF(ISBLANK('Data Entry'!$q$921), "", 'Data Entry'!$q$921)</f>
      </c>
      <c r="AX921">
        <f>IF(ISBLANK('Data Entry'!$r$921), "", 'Data Entry'!$r$921)</f>
      </c>
      <c r="AY921">
        <f>IF(ISBLANK('Data Entry'!$s$921), "", 'Data Entry'!$s$921)</f>
      </c>
      <c r="AZ921">
        <f>IF(ISBLANK('Data Entry'!$t$921), "", 'Data Entry'!$t$921)</f>
      </c>
      <c r="BA921">
        <f>IF(ISBLANK('Data Entry'!$u$921), "", 'Data Entry'!$u$921)</f>
      </c>
      <c r="BB921">
        <f>IF(ISBLANK('Data Entry'!$v$921), "", 'Data Entry'!$v$921)</f>
      </c>
      <c r="BC921">
        <f>IF(ISBLANK('Data Entry'!$w$921), "", 'Data Entry'!$w$921)</f>
      </c>
      <c r="BD921">
        <f>IF(ISBLANK('Data Entry'!$x$921), "", 'Data Entry'!$x$921)</f>
      </c>
      <c r="BE921">
        <f>IF(ISBLANK('Data Entry'!$y$921), "", 'Data Entry'!$y$921)</f>
      </c>
      <c r="BF921">
        <f>IF(ISBLANK('Data Entry'!$z$921), "", 'Data Entry'!$z$921)</f>
      </c>
      <c r="BG921">
        <f>IF(ISBLANK('Data Entry'!${$921), "", 'Data Entry'!${$921)</f>
      </c>
      <c r="BH921">
        <f>IF(ISBLANK('Data Entry'!$|$921), "", 'Data Entry'!$|$921)</f>
      </c>
      <c r="BI921">
        <f>IF(ISBLANK('Data Entry'!$}$921), "", 'Data Entry'!$}$921)</f>
      </c>
      <c r="BJ921">
        <f>IF(ISBLANK('Data Entry'!$~$921), "", 'Data Entry'!$~$921)</f>
      </c>
      <c r="BK921">
        <f>IF(ISBLANK('Data Entry'!$$921), "", 'Data Entry'!$$921)</f>
      </c>
      <c r="BL921">
        <f>IF(ISBLANK('Data Entry'!$$921), "", 'Data Entry'!$$921)</f>
      </c>
      <c r="BM921">
        <f>IF(ISBLANK('Data Entry'!$$921), "", 'Data Entry'!$$921)</f>
      </c>
      <c r="BN921">
        <f>IF(ISBLANK('Data Entry'!$$921), "", 'Data Entry'!$$921)</f>
      </c>
      <c r="BO921">
        <f>IF(ISBLANK('Data Entry'!$$921), "", 'Data Entry'!$$921)</f>
      </c>
      <c r="BP921">
        <f>IF(ISBLANK('Data Entry'!$$921), "", 'Data Entry'!$$921)</f>
      </c>
      <c r="BQ921">
        <f>IF(ISBLANK('Data Entry'!$$921), "", 'Data Entry'!$$921)</f>
      </c>
      <c r="BR921">
        <f>IF(ISBLANK('Data Entry'!$$921), "", 'Data Entry'!$$921)</f>
      </c>
      <c r="BS921">
        <f>IF(ISBLANK('Data Entry'!$$921), "", 'Data Entry'!$$921)</f>
      </c>
      <c r="BT921">
        <f>IF(ISBLANK('Data Entry'!$$921), "", 'Data Entry'!$$921)</f>
      </c>
      <c r="BU921">
        <f>IF(ISBLANK('Data Entry'!$$921), "", 'Data Entry'!$$921)</f>
      </c>
      <c r="BV921">
        <f>IF(ISBLANK('Data Entry'!$$921), "", 'Data Entry'!$$921)</f>
      </c>
      <c r="BW921">
        <f>IF(ISBLANK('Data Entry'!$$921), "", 'Data Entry'!$$921)</f>
      </c>
      <c r="BX921">
        <f>IF(ISBLANK('Data Entry'!$$921), "", 'Data Entry'!$$921)</f>
      </c>
      <c r="BY921">
        <f>IF(ISBLANK('Data Entry'!$$921), "", 'Data Entry'!$$921)</f>
      </c>
      <c r="BZ921">
        <f>IF(ISBLANK('Data Entry'!$$921), "", 'Data Entry'!$$921)</f>
      </c>
      <c r="CA921">
        <f>IF(ISBLANK('Data Entry'!$$921), "", 'Data Entry'!$$921)</f>
      </c>
      <c r="CB921">
        <f>IF(ISBLANK('Data Entry'!$$921), "", 'Data Entry'!$$921)</f>
      </c>
      <c r="CC921">
        <f>IF(ISBLANK('Data Entry'!$$921), "", 'Data Entry'!$$921)</f>
      </c>
      <c r="CD921">
        <f>IF(ISBLANK('Data Entry'!$$921), "", 'Data Entry'!$$921)</f>
      </c>
      <c r="CE921">
        <f>IF(ISBLANK('Data Entry'!$$921), "", 'Data Entry'!$$921)</f>
      </c>
      <c r="CF921">
        <f>IF(ISBLANK('Data Entry'!$$921), "", 'Data Entry'!$$921)</f>
      </c>
      <c r="CG921">
        <f>IF(ISBLANK('Data Entry'!$$921), "", 'Data Entry'!$$921)</f>
      </c>
      <c r="CH921">
        <f>IF(ISBLANK('Data Entry'!$$921), "", 'Data Entry'!$$921)</f>
      </c>
      <c r="CI921">
        <f>IF(ISBLANK('Data Entry'!$$921), "", 'Data Entry'!$$921)</f>
      </c>
      <c r="CJ921">
        <f>IF(ISBLANK('Data Entry'!$$921), "", 'Data Entry'!$$921)</f>
      </c>
      <c r="CK921">
        <f>IF(ISBLANK('Data Entry'!$$921), "", 'Data Entry'!$$921)</f>
      </c>
      <c r="CL921">
        <f>IF(ISBLANK('Data Entry'!$$921), "", 'Data Entry'!$$921)</f>
      </c>
      <c r="CM921">
        <f>IF(ISBLANK('Data Entry'!$$921), "", 'Data Entry'!$$921)</f>
      </c>
      <c r="CN921">
        <f>IF(ISBLANK('Data Entry'!$$921), "", 'Data Entry'!$$921)</f>
      </c>
      <c r="CO921">
        <f>IF(ISBLANK('Data Entry'!$$921), "", 'Data Entry'!$$921)</f>
      </c>
      <c r="CP921">
        <f>IF(ISBLANK('Data Entry'!$$921), "", 'Data Entry'!$$921)</f>
      </c>
      <c r="CQ921">
        <f>IF(ISBLANK('Data Entry'!$$921), "", 'Data Entry'!$$921)</f>
      </c>
      <c r="CR921">
        <f>IF(ISBLANK('Data Entry'!$ $921), "", 'Data Entry'!$ $921)</f>
      </c>
      <c r="CS921">
        <f>IF(ISBLANK('Data Entry'!$¡$921), "", 'Data Entry'!$¡$921)</f>
      </c>
      <c r="CT921">
        <f>IF(ISBLANK('Data Entry'!$¢$921), "", 'Data Entry'!$¢$921)</f>
      </c>
      <c r="CU921">
        <f>IF(ISBLANK('Data Entry'!$£$921), "", 'Data Entry'!$£$921)</f>
      </c>
      <c r="CV921">
        <f>IF(ISBLANK('Data Entry'!$¤$921), "", 'Data Entry'!$¤$921)</f>
      </c>
      <c r="CW921">
        <f>IF(ISBLANK('Data Entry'!$¥$921), "", 'Data Entry'!$¥$921)</f>
      </c>
      <c r="CX921">
        <f>IF(ISBLANK('Data Entry'!$¦$921), "", 'Data Entry'!$¦$921)</f>
      </c>
      <c r="CY921">
        <f>IF(ISBLANK('Data Entry'!$§$921), "", 'Data Entry'!$§$921)</f>
      </c>
      <c r="CZ921">
        <f>IF(ISBLANK('Data Entry'!$¨$921), "", 'Data Entry'!$¨$921)</f>
      </c>
      <c r="DA921">
        <f>IF(ISBLANK('Data Entry'!$©$921), "", 'Data Entry'!$©$921)</f>
      </c>
      <c r="DB921">
        <f>IF(ISBLANK('Data Entry'!$ª$921), "", 'Data Entry'!$ª$921)</f>
      </c>
      <c r="DC921">
        <f>IF(ISBLANK('Data Entry'!$«$921), "", 'Data Entry'!$«$921)</f>
      </c>
      <c r="DD921">
        <f>IF(ISBLANK('Data Entry'!$¬$921), "", 'Data Entry'!$¬$921)</f>
      </c>
      <c r="DE921">
        <f>IF(ISBLANK('Data Entry'!$­$921), "", 'Data Entry'!$­$921)</f>
      </c>
      <c r="DF921">
        <f>IF(ISBLANK('Data Entry'!$®$921), "", 'Data Entry'!$®$921)</f>
      </c>
      <c r="DG921">
        <f>IF(ISBLANK('Data Entry'!$¯$921), "", 'Data Entry'!$¯$921)</f>
      </c>
      <c r="DH921">
        <f>IF(ISBLANK('Data Entry'!$°$921), "", 'Data Entry'!$°$921)</f>
      </c>
      <c r="DI921">
        <f>IF(ISBLANK('Data Entry'!$±$921), "", 'Data Entry'!$±$921)</f>
      </c>
      <c r="DJ921">
        <f>IF(ISBLANK('Data Entry'!$²$921), "", 'Data Entry'!$²$921)</f>
      </c>
      <c r="DK921">
        <f>IF(ISBLANK('Data Entry'!$³$921), "", 'Data Entry'!$³$921)</f>
      </c>
      <c r="DL921">
        <f>IF(ISBLANK('Data Entry'!$´$921), "", 'Data Entry'!$´$921)</f>
      </c>
      <c r="DM921">
        <f>IF(ISBLANK('Data Entry'!$µ$921), "", 'Data Entry'!$µ$921)</f>
      </c>
      <c r="DN921">
        <f>IF(ISBLANK('Data Entry'!$¶$921), "", 'Data Entry'!$¶$921)</f>
      </c>
      <c r="DO921">
        <f>IF(ISBLANK('Data Entry'!$·$921), "", 'Data Entry'!$·$921)</f>
      </c>
      <c r="DP921">
        <f>IF(ISBLANK('Data Entry'!$¸$921), "", 'Data Entry'!$¸$921)</f>
      </c>
      <c r="DQ921">
        <f>IF(ISBLANK('Data Entry'!$¹$921), "", 'Data Entry'!$¹$921)</f>
      </c>
      <c r="DR921">
        <f>IF(ISBLANK('Data Entry'!$º$921), "", 'Data Entry'!$º$921)</f>
      </c>
      <c r="DS921">
        <f>IF(ISBLANK('Data Entry'!$»$921), "", 'Data Entry'!$»$921)</f>
      </c>
      <c r="DT921">
        <f>IF(ISBLANK('Data Entry'!$¼$921), "", 'Data Entry'!$¼$921)</f>
      </c>
      <c r="DU921">
        <f>IF(ISBLANK('Data Entry'!$½$921), "", 'Data Entry'!$½$921)</f>
      </c>
      <c r="DV921">
        <f>IF(ISBLANK('Data Entry'!$¾$921), "", 'Data Entry'!$¾$921)</f>
      </c>
      <c r="DW921">
        <f>IF(ISBLANK('Data Entry'!$¿$921), "", 'Data Entry'!$¿$921)</f>
      </c>
      <c r="DX921">
        <f>IF(ISBLANK('Data Entry'!$À$921), "", 'Data Entry'!$À$921)</f>
      </c>
      <c r="DY921">
        <f>IF(ISBLANK('Data Entry'!$Á$921), "", 'Data Entry'!$Á$921)</f>
      </c>
      <c r="DZ921">
        <f>IF(ISBLANK('Data Entry'!$Â$921), "", 'Data Entry'!$Â$921)</f>
      </c>
      <c r="EA921">
        <f>IF(ISBLANK('Data Entry'!$Ã$921), "", 'Data Entry'!$Ã$921)</f>
      </c>
      <c r="EB921">
        <f>IF(ISBLANK('Data Entry'!$Ä$921), "", 'Data Entry'!$Ä$921)</f>
      </c>
      <c r="EC921">
        <f>IF(ISBLANK('Data Entry'!$Å$921), "", 'Data Entry'!$Å$921)</f>
      </c>
      <c r="ED921">
        <f>IF(ISBLANK('Data Entry'!$Æ$921), "", 'Data Entry'!$Æ$921)</f>
      </c>
      <c r="EE921">
        <f>IF(ISBLANK('Data Entry'!$Ç$921), "", 'Data Entry'!$Ç$921)</f>
      </c>
      <c r="EF921">
        <f>IF(ISBLANK('Data Entry'!$È$921), "", 'Data Entry'!$È$921)</f>
      </c>
      <c r="EG921">
        <f>IF(ISBLANK('Data Entry'!$É$921), "", 'Data Entry'!$É$921)</f>
      </c>
      <c r="EH921">
        <f>IF(ISBLANK('Data Entry'!$Ê$921), "", 'Data Entry'!$Ê$921)</f>
      </c>
      <c r="EI921">
        <f>IF(ISBLANK('Data Entry'!$Ë$921), "", 'Data Entry'!$Ë$921)</f>
      </c>
      <c r="EJ921">
        <f>IF(ISBLANK('Data Entry'!$Ì$921), "", 'Data Entry'!$Ì$921)</f>
      </c>
      <c r="EK921">
        <f>IF(ISBLANK('Data Entry'!$Í$921), "", 'Data Entry'!$Í$921)</f>
      </c>
      <c r="EL921">
        <f>IF(ISBLANK('Data Entry'!$Î$921), "", 'Data Entry'!$Î$921)</f>
      </c>
      <c r="EM921">
        <f>IF(ISBLANK('Data Entry'!$Ï$921), "", 'Data Entry'!$Ï$921)</f>
      </c>
      <c r="EN921">
        <f>IF(ISBLANK('Data Entry'!$Ð$921), "", 'Data Entry'!$Ð$921)</f>
      </c>
      <c r="EO921">
        <f>IF(ISBLANK('Data Entry'!$Ñ$921), "", 'Data Entry'!$Ñ$921)</f>
      </c>
      <c r="EP921">
        <f>IF(ISBLANK('Data Entry'!$Ò$921), "", 'Data Entry'!$Ò$921)</f>
      </c>
      <c r="EQ921">
        <f>IF(ISBLANK('Data Entry'!$Ó$921), "", 'Data Entry'!$Ó$921)</f>
      </c>
      <c r="ER921">
        <f>IF(ISBLANK('Data Entry'!$Ô$921), "", 'Data Entry'!$Ô$921)</f>
      </c>
      <c r="ES921">
        <f>IF(ISBLANK('Data Entry'!$Õ$921), "", 'Data Entry'!$Õ$921)</f>
      </c>
      <c r="ET921">
        <f>IF(ISBLANK('Data Entry'!$Ö$921), "", 'Data Entry'!$Ö$921)</f>
      </c>
      <c r="EU921">
        <f>IF(ISBLANK('Data Entry'!$×$921), "", 'Data Entry'!$×$921)</f>
      </c>
      <c r="EV921">
        <f>IF(ISBLANK('Data Entry'!$Ø$921), "", 'Data Entry'!$Ø$921)</f>
      </c>
      <c r="EW921">
        <f>IF(ISBLANK('Data Entry'!$Ù$921), "", 'Data Entry'!$Ù$921)</f>
      </c>
      <c r="EX921">
        <f>IF(ISBLANK('Data Entry'!$Ú$921), "", 'Data Entry'!$Ú$921)</f>
      </c>
      <c r="EY921">
        <f>IF(ISBLANK('Data Entry'!$Û$921), "", 'Data Entry'!$Û$921)</f>
      </c>
      <c r="EZ921">
        <f>IF(ISBLANK('Data Entry'!$Ü$921), "", 'Data Entry'!$Ü$921)</f>
      </c>
      <c r="FA921">
        <f>IF(ISBLANK('Data Entry'!$Ý$921), "", 'Data Entry'!$Ý$921)</f>
      </c>
      <c r="FB921">
        <f>IF(ISBLANK('Data Entry'!$Þ$921), "", 'Data Entry'!$Þ$921)</f>
      </c>
      <c r="FC921">
        <f>IF(ISBLANK('Data Entry'!$ß$921), "", 'Data Entry'!$ß$921)</f>
      </c>
      <c r="FD921">
        <f>IF(ISBLANK('Data Entry'!$à$921), "", 'Data Entry'!$à$921)</f>
      </c>
      <c r="FE921">
        <f>IF(ISBLANK('Data Entry'!$á$921), "", 'Data Entry'!$á$921)</f>
      </c>
      <c r="FF921">
        <f>IF(ISBLANK('Data Entry'!$â$921), "", 'Data Entry'!$â$921)</f>
      </c>
      <c r="FG921">
        <f>IF(ISBLANK('Data Entry'!$ã$921), "", 'Data Entry'!$ã$921)</f>
      </c>
      <c r="FH921">
        <f>IF(ISBLANK('Data Entry'!$ä$921), "", 'Data Entry'!$ä$921)</f>
      </c>
      <c r="FI921">
        <f>IF(ISBLANK('Data Entry'!$å$921), "", 'Data Entry'!$å$921)</f>
      </c>
      <c r="FJ921">
        <f>IF(ISBLANK('Data Entry'!$æ$921), "", 'Data Entry'!$æ$921)</f>
      </c>
      <c r="FK921">
        <f>IF(ISBLANK('Data Entry'!$ç$921), "", 'Data Entry'!$ç$921)</f>
      </c>
      <c r="FL921">
        <f>IF(ISBLANK('Data Entry'!$è$921), "", 'Data Entry'!$è$921)</f>
      </c>
      <c r="FM921">
        <f>IF(ISBLANK('Data Entry'!$é$921), "", 'Data Entry'!$é$921)</f>
      </c>
      <c r="FN921">
        <f>IF(ISBLANK('Data Entry'!$ê$921), "", 'Data Entry'!$ê$921)</f>
      </c>
      <c r="FO921">
        <f>IF(ISBLANK('Data Entry'!$ë$921), "", 'Data Entry'!$ë$921)</f>
      </c>
      <c r="FP921">
        <f>IF(ISBLANK('Data Entry'!$ì$921), "", 'Data Entry'!$ì$921)</f>
      </c>
      <c r="FQ921">
        <f>IF(ISBLANK('Data Entry'!$í$921), "", 'Data Entry'!$í$921)</f>
      </c>
      <c r="FR921">
        <f>IF(ISBLANK('Data Entry'!$î$921), "", 'Data Entry'!$î$921)</f>
      </c>
      <c r="FS921">
        <f>IF(ISBLANK('Data Entry'!$ï$921), "", 'Data Entry'!$ï$921)</f>
      </c>
      <c r="FT921">
        <f>IF(ISBLANK('Data Entry'!$ð$921), "", 'Data Entry'!$ð$921)</f>
      </c>
      <c r="FU921">
        <f>IF(ISBLANK('Data Entry'!$ñ$921), "", 'Data Entry'!$ñ$921)</f>
      </c>
      <c r="FV921">
        <f>IF(ISBLANK('Data Entry'!$ò$921), "", 'Data Entry'!$ò$921)</f>
      </c>
      <c r="FW921">
        <f>IF(ISBLANK('Data Entry'!$ó$921), "", 'Data Entry'!$ó$921)</f>
      </c>
      <c r="FX921">
        <f>IF(ISBLANK('Data Entry'!$ô$921), "", 'Data Entry'!$ô$921)</f>
      </c>
      <c r="FY921">
        <f>IF(ISBLANK('Data Entry'!$õ$921), "", 'Data Entry'!$õ$921)</f>
      </c>
      <c r="FZ921">
        <f>IF(ISBLANK('Data Entry'!$ö$921), "", 'Data Entry'!$ö$921)</f>
      </c>
      <c r="GA921">
        <f>IF(ISBLANK('Data Entry'!$÷$921), "", 'Data Entry'!$÷$921)</f>
      </c>
      <c r="GB921">
        <f>IF(ISBLANK('Data Entry'!$ø$921), "", 'Data Entry'!$ø$921)</f>
      </c>
      <c r="GC921">
        <f>IF(ISBLANK('Data Entry'!$ù$921), "", 'Data Entry'!$ù$921)</f>
      </c>
      <c r="GD921">
        <f>IF(ISBLANK('Data Entry'!$ú$921), "", 'Data Entry'!$ú$921)</f>
      </c>
      <c r="GE921">
        <f>IF(ISBLANK('Data Entry'!$û$921), "", 'Data Entry'!$û$921)</f>
      </c>
      <c r="GF921">
        <f>IF(ISBLANK('Data Entry'!$ü$921), "", 'Data Entry'!$ü$921)</f>
      </c>
      <c r="GG921">
        <f>IF(ISBLANK('Data Entry'!$ý$921), "", 'Data Entry'!$ý$921)</f>
      </c>
      <c r="GH921">
        <f>IF(ISBLANK('Data Entry'!$þ$921), "", 'Data Entry'!$þ$921)</f>
      </c>
      <c r="GI921">
        <f>IF(ISBLANK('Data Entry'!$ÿ$921), "", 'Data Entry'!$ÿ$921)</f>
      </c>
      <c r="GJ921">
        <f>IF(ISBLANK('Data Entry'!$Ā$921), "", 'Data Entry'!$Ā$921)</f>
      </c>
      <c r="GK921">
        <f>IF(ISBLANK('Data Entry'!$ā$921), "", 'Data Entry'!$ā$921)</f>
      </c>
      <c r="GL921">
        <f>IF(ISBLANK('Data Entry'!$Ă$921), "", 'Data Entry'!$Ă$921)</f>
      </c>
      <c r="GM921">
        <f>IF(ISBLANK('Data Entry'!$ă$921), "", 'Data Entry'!$ă$921)</f>
      </c>
      <c r="GN921">
        <f>IF(ISBLANK('Data Entry'!$Ą$921), "", 'Data Entry'!$Ą$921)</f>
      </c>
      <c r="GO921">
        <f>IF(ISBLANK('Data Entry'!$ą$921), "", 'Data Entry'!$ą$921)</f>
      </c>
      <c r="GP921">
        <f>IF(ISBLANK('Data Entry'!$Ć$921), "", 'Data Entry'!$Ć$921)</f>
      </c>
      <c r="GQ921">
        <f>IF(ISBLANK('Data Entry'!$ć$921), "", 'Data Entry'!$ć$921)</f>
      </c>
      <c r="GR921">
        <f>IF(ISBLANK('Data Entry'!$Ĉ$921), "", 'Data Entry'!$Ĉ$921)</f>
      </c>
      <c r="GS921">
        <f>IF(ISBLANK('Data Entry'!$ĉ$921), "", 'Data Entry'!$ĉ$921)</f>
      </c>
      <c r="GT921">
        <f>IF(ISBLANK('Data Entry'!$Ċ$921), "", 'Data Entry'!$Ċ$921)</f>
      </c>
      <c r="GU921">
        <f>IF(ISBLANK('Data Entry'!$ċ$921), "", 'Data Entry'!$ċ$921)</f>
      </c>
      <c r="GV921">
        <f>IF(ISBLANK('Data Entry'!$Č$921), "", 'Data Entry'!$Č$921)</f>
      </c>
      <c r="GW921">
        <f>IF(ISBLANK('Data Entry'!$č$921), "", 'Data Entry'!$č$921)</f>
      </c>
      <c r="GX921">
        <f>IF(ISBLANK('Data Entry'!$Ď$921), "", 'Data Entry'!$Ď$921)</f>
      </c>
      <c r="GY921">
        <f>IF(ISBLANK('Data Entry'!$ď$921), "", 'Data Entry'!$ď$921)</f>
      </c>
      <c r="GZ921">
        <f>IF(ISBLANK('Data Entry'!$Đ$921), "", 'Data Entry'!$Đ$921)</f>
      </c>
      <c r="HA921">
        <f>IF(ISBLANK('Data Entry'!$đ$921), "", 'Data Entry'!$đ$921)</f>
      </c>
      <c r="HB921">
        <f>IF(ISBLANK('Data Entry'!$Ē$921), "", 'Data Entry'!$Ē$921)</f>
      </c>
      <c r="HC921">
        <f>IF(ISBLANK('Data Entry'!$ē$921), "", 'Data Entry'!$ē$921)</f>
      </c>
      <c r="HD921">
        <f>IF(ISBLANK('Data Entry'!$Ĕ$921), "", 'Data Entry'!$Ĕ$921)</f>
      </c>
      <c r="HE921">
        <f>IF(ISBLANK('Data Entry'!$ĕ$921), "", 'Data Entry'!$ĕ$921)</f>
      </c>
      <c r="HF921">
        <f>IF(ISBLANK('Data Entry'!$Ė$921), "", 'Data Entry'!$Ė$921)</f>
      </c>
      <c r="HG921">
        <f>IF(ISBLANK('Data Entry'!$ė$921), "", 'Data Entry'!$ė$921)</f>
      </c>
      <c r="HH921">
        <f>IF(ISBLANK('Data Entry'!$Ę$921), "", 'Data Entry'!$Ę$921)</f>
      </c>
      <c r="HI921">
        <f>IF(ISBLANK('Data Entry'!$ę$921), "", 'Data Entry'!$ę$921)</f>
      </c>
      <c r="HJ921">
        <f>IF(ISBLANK('Data Entry'!$Ě$921), "", 'Data Entry'!$Ě$921)</f>
      </c>
      <c r="HK921">
        <f>IF(ISBLANK('Data Entry'!$ě$921), "", 'Data Entry'!$ě$921)</f>
      </c>
      <c r="HL921">
        <f>IF(ISBLANK('Data Entry'!$Ĝ$921), "", 'Data Entry'!$Ĝ$921)</f>
      </c>
      <c r="HM921">
        <f>IF(ISBLANK('Data Entry'!$ĝ$921), "", 'Data Entry'!$ĝ$921)</f>
      </c>
      <c r="HN921">
        <f>IF(ISBLANK('Data Entry'!$Ğ$921), "", 'Data Entry'!$Ğ$921)</f>
      </c>
      <c r="HO921">
        <f>IF(ISBLANK('Data Entry'!$ğ$921), "", 'Data Entry'!$ğ$921)</f>
      </c>
      <c r="HP921">
        <f>IF(ISBLANK('Data Entry'!$Ġ$921), "", 'Data Entry'!$Ġ$921)</f>
      </c>
      <c r="HQ921">
        <f>IF(ISBLANK('Data Entry'!$ġ$921), "", 'Data Entry'!$ġ$921)</f>
      </c>
      <c r="HR921">
        <f>IF(ISBLANK('Data Entry'!$Ģ$921), "", 'Data Entry'!$Ģ$921)</f>
      </c>
      <c r="HS921">
        <f>IF(ISBLANK('Data Entry'!$ģ$921), "", 'Data Entry'!$ģ$921)</f>
      </c>
      <c r="HT921">
        <f>IF(ISBLANK('Data Entry'!$Ĥ$921), "", 'Data Entry'!$Ĥ$921)</f>
      </c>
      <c r="HU921">
        <f>IF(ISBLANK('Data Entry'!$ĥ$921), "", 'Data Entry'!$ĥ$921)</f>
      </c>
      <c r="HV921">
        <f>IF(ISBLANK('Data Entry'!$Ħ$921), "", 'Data Entry'!$Ħ$921)</f>
      </c>
      <c r="HW921">
        <f>IF(ISBLANK('Data Entry'!$ħ$921), "", 'Data Entry'!$ħ$921)</f>
      </c>
      <c r="HX921">
        <f>IF(ISBLANK('Data Entry'!$Ĩ$921), "", 'Data Entry'!$Ĩ$921)</f>
      </c>
      <c r="HY921">
        <f>IF(ISBLANK('Data Entry'!$ĩ$921), "", 'Data Entry'!$ĩ$921)</f>
      </c>
      <c r="HZ921">
        <f>IF(ISBLANK('Data Entry'!$Ī$921), "", 'Data Entry'!$Ī$921)</f>
      </c>
      <c r="IA921">
        <f>IF(ISBLANK('Data Entry'!$ī$921), "", 'Data Entry'!$ī$921)</f>
      </c>
      <c r="IB921">
        <f>IF(ISBLANK('Data Entry'!$Ĭ$921), "", 'Data Entry'!$Ĭ$921)</f>
      </c>
      <c r="IC921">
        <f>IF(ISBLANK('Data Entry'!$ĭ$921), "", 'Data Entry'!$ĭ$921)</f>
      </c>
      <c r="ID921">
        <f>IF(ISBLANK('Data Entry'!$Į$921), "", 'Data Entry'!$Į$921)</f>
      </c>
      <c r="IE921">
        <f>IF(ISBLANK('Data Entry'!$į$921), "", 'Data Entry'!$į$921)</f>
      </c>
      <c r="IF921">
        <f>IF(ISBLANK('Data Entry'!$İ$921), "", 'Data Entry'!$İ$921)</f>
      </c>
      <c r="IG921">
        <f>IF(ISBLANK('Data Entry'!$ı$921), "", 'Data Entry'!$ı$921)</f>
      </c>
      <c r="IH921">
        <f>IF(ISBLANK('Data Entry'!$Ĳ$921), "", 'Data Entry'!$Ĳ$921)</f>
      </c>
      <c r="II921">
        <f>IF(ISBLANK('Data Entry'!$ĳ$921), "", 'Data Entry'!$ĳ$921)</f>
      </c>
      <c r="IJ921">
        <f>IF(ISBLANK('Data Entry'!$Ĵ$921), "", 'Data Entry'!$Ĵ$921)</f>
      </c>
      <c r="IK921">
        <f>IF(ISBLANK('Data Entry'!$ĵ$921), "", 'Data Entry'!$ĵ$921)</f>
      </c>
      <c r="IL921">
        <f>IF(ISBLANK('Data Entry'!$Ķ$921), "", 'Data Entry'!$Ķ$921)</f>
      </c>
      <c r="IM921">
        <f>IF(ISBLANK('Data Entry'!$ķ$921), "", 'Data Entry'!$ķ$921)</f>
      </c>
      <c r="IN921">
        <f>IF(ISBLANK('Data Entry'!$ĸ$921), "", 'Data Entry'!$ĸ$921)</f>
      </c>
      <c r="IO921">
        <f>IF(ISBLANK('Data Entry'!$Ĺ$921), "", 'Data Entry'!$Ĺ$921)</f>
      </c>
      <c r="IP921">
        <f>IF(ISBLANK('Data Entry'!$ĺ$921), "", 'Data Entry'!$ĺ$921)</f>
      </c>
      <c r="IQ921">
        <f>IF(ISBLANK('Data Entry'!$Ļ$921), "", 'Data Entry'!$Ļ$921)</f>
      </c>
      <c r="IR921">
        <f>IF(ISBLANK('Data Entry'!$ļ$921), "", 'Data Entry'!$ļ$921)</f>
      </c>
      <c r="IS921">
        <f>IF(ISBLANK('Data Entry'!$Ľ$921), "", 'Data Entry'!$Ľ$921)</f>
      </c>
      <c r="IT921">
        <f>IF(ISBLANK('Data Entry'!$ľ$921), "", 'Data Entry'!$ľ$921)</f>
      </c>
    </row>
    <row r="922" spans="1:254" x14ac:dyDescent="0.25">
      <c r="A922">
        <f>IF(ISBLANK('Data Entry'!$A$922), "", 'Data Entry'!$A$922)</f>
      </c>
      <c r="B922">
        <f>IF(ISBLANK('Data Entry'!$B$922), "", 'Data Entry'!$B$922)</f>
      </c>
      <c r="C922">
        <f>IF(ISBLANK('Data Entry'!$C$922), "", 'Data Entry'!$C$922)</f>
      </c>
      <c r="D922">
        <f>IF(ISBLANK('Data Entry'!$D$922), "", 'Data Entry'!$D$922)</f>
      </c>
      <c r="E922">
        <f>IF(ISBLANK('Data Entry'!$E$922), "", 'Data Entry'!$E$922)</f>
      </c>
      <c r="F922">
        <f>IF(ISBLANK('Data Entry'!$F$922), "", 'Data Entry'!$F$922)</f>
      </c>
      <c r="G922">
        <f>IF(ISBLANK('Data Entry'!$G$922), "", 'Data Entry'!$G$922)</f>
      </c>
      <c r="H922">
        <f>IF(ISBLANK('Data Entry'!$H$922), "", 'Data Entry'!$H$922)</f>
      </c>
      <c r="I922">
        <f>IF(ISBLANK('Data Entry'!$I$922), "", 'Data Entry'!$I$922)</f>
      </c>
      <c r="J922">
        <f>IF(ISBLANK('Data Entry'!$J$922), "", 'Data Entry'!$J$922)</f>
      </c>
      <c r="K922">
        <f>IF(ISBLANK('Data Entry'!$K$922), "", 'Data Entry'!$K$922)</f>
      </c>
      <c r="L922">
        <f>IF(ISBLANK('Data Entry'!$L$922), "", 'Data Entry'!$L$922)</f>
      </c>
      <c r="M922">
        <f>IF(ISBLANK('Data Entry'!$M$922), "", 'Data Entry'!$M$922)</f>
      </c>
      <c r="N922">
        <f>IF(ISBLANK('Data Entry'!$N$922), "", 'Data Entry'!$N$922)</f>
      </c>
      <c r="O922">
        <f>IF(ISBLANK('Data Entry'!$O$922), "", 'Data Entry'!$O$922)</f>
      </c>
      <c r="P922">
        <f>IF(ISBLANK('Data Entry'!$P$922), "", 'Data Entry'!$P$922)</f>
      </c>
      <c r="Q922">
        <f>IF(ISBLANK('Data Entry'!$Q$922), "", 'Data Entry'!$Q$922)</f>
      </c>
      <c r="R922">
        <f>IF(ISBLANK('Data Entry'!$R$922), "", 'Data Entry'!$R$922)</f>
      </c>
      <c r="S922">
        <f>IF(ISBLANK('Data Entry'!$S$922), "", 'Data Entry'!$S$922)</f>
      </c>
      <c r="T922">
        <f>IF(ISBLANK('Data Entry'!$T$922), "", 'Data Entry'!$T$922)</f>
      </c>
      <c r="U922">
        <f>IF(ISBLANK('Data Entry'!$U$922), "", 'Data Entry'!$U$922)</f>
      </c>
      <c r="V922">
        <f>IF(ISBLANK('Data Entry'!$V$922), "", 'Data Entry'!$V$922)</f>
      </c>
      <c r="W922">
        <f>IF(ISBLANK('Data Entry'!$W$922), "", 'Data Entry'!$W$922)</f>
      </c>
      <c r="X922">
        <f>IF(ISBLANK('Data Entry'!$X$922), "", 'Data Entry'!$X$922)</f>
      </c>
      <c r="Y922">
        <f>IF(ISBLANK('Data Entry'!$Y$922), "", 'Data Entry'!$Y$922)</f>
      </c>
      <c r="Z922">
        <f>IF(ISBLANK('Data Entry'!$Z$922), "", 'Data Entry'!$Z$922)</f>
      </c>
      <c r="AA922">
        <f>IF(ISBLANK('Data Entry'!$[$922), "", 'Data Entry'!$[$922)</f>
      </c>
      <c r="AB922">
        <f>IF(ISBLANK('Data Entry'!$\$922), "", 'Data Entry'!$\$922)</f>
      </c>
      <c r="AC922">
        <f>IF(ISBLANK('Data Entry'!$]$922), "", 'Data Entry'!$]$922)</f>
      </c>
      <c r="AD922">
        <f>IF(ISBLANK('Data Entry'!$^$922), "", 'Data Entry'!$^$922)</f>
      </c>
      <c r="AE922">
        <f>IF(ISBLANK('Data Entry'!$_$922), "", 'Data Entry'!$_$922)</f>
      </c>
      <c r="AF922">
        <f>IF(ISBLANK('Data Entry'!$`$922), "", 'Data Entry'!$`$922)</f>
      </c>
      <c r="AG922">
        <f>IF(ISBLANK('Data Entry'!$a$922), "", 'Data Entry'!$a$922)</f>
      </c>
      <c r="AH922">
        <f>IF(ISBLANK('Data Entry'!$b$922), "", 'Data Entry'!$b$922)</f>
      </c>
      <c r="AI922">
        <f>IF(ISBLANK('Data Entry'!$c$922), "", 'Data Entry'!$c$922)</f>
      </c>
      <c r="AJ922">
        <f>IF(ISBLANK('Data Entry'!$d$922), "", 'Data Entry'!$d$922)</f>
      </c>
      <c r="AK922">
        <f>IF(ISBLANK('Data Entry'!$e$922), "", 'Data Entry'!$e$922)</f>
      </c>
      <c r="AL922">
        <f>IF(ISBLANK('Data Entry'!$f$922), "", 'Data Entry'!$f$922)</f>
      </c>
      <c r="AM922">
        <f>IF(ISBLANK('Data Entry'!$g$922), "", 'Data Entry'!$g$922)</f>
      </c>
      <c r="AN922">
        <f>IF(ISBLANK('Data Entry'!$h$922), "", 'Data Entry'!$h$922)</f>
      </c>
      <c r="AO922">
        <f>IF(ISBLANK('Data Entry'!$i$922), "", 'Data Entry'!$i$922)</f>
      </c>
      <c r="AP922">
        <f>IF(ISBLANK('Data Entry'!$j$922), "", 'Data Entry'!$j$922)</f>
      </c>
      <c r="AQ922">
        <f>IF(ISBLANK('Data Entry'!$k$922), "", 'Data Entry'!$k$922)</f>
      </c>
      <c r="AR922">
        <f>IF(ISBLANK('Data Entry'!$l$922), "", 'Data Entry'!$l$922)</f>
      </c>
      <c r="AS922">
        <f>IF(ISBLANK('Data Entry'!$m$922), "", 'Data Entry'!$m$922)</f>
      </c>
      <c r="AT922">
        <f>IF(ISBLANK('Data Entry'!$n$922), "", 'Data Entry'!$n$922)</f>
      </c>
      <c r="AU922">
        <f>IF(ISBLANK('Data Entry'!$o$922), "", 'Data Entry'!$o$922)</f>
      </c>
      <c r="AV922">
        <f>IF(ISBLANK('Data Entry'!$p$922), "", 'Data Entry'!$p$922)</f>
      </c>
      <c r="AW922">
        <f>IF(ISBLANK('Data Entry'!$q$922), "", 'Data Entry'!$q$922)</f>
      </c>
      <c r="AX922">
        <f>IF(ISBLANK('Data Entry'!$r$922), "", 'Data Entry'!$r$922)</f>
      </c>
      <c r="AY922">
        <f>IF(ISBLANK('Data Entry'!$s$922), "", 'Data Entry'!$s$922)</f>
      </c>
      <c r="AZ922">
        <f>IF(ISBLANK('Data Entry'!$t$922), "", 'Data Entry'!$t$922)</f>
      </c>
      <c r="BA922">
        <f>IF(ISBLANK('Data Entry'!$u$922), "", 'Data Entry'!$u$922)</f>
      </c>
      <c r="BB922">
        <f>IF(ISBLANK('Data Entry'!$v$922), "", 'Data Entry'!$v$922)</f>
      </c>
      <c r="BC922">
        <f>IF(ISBLANK('Data Entry'!$w$922), "", 'Data Entry'!$w$922)</f>
      </c>
      <c r="BD922">
        <f>IF(ISBLANK('Data Entry'!$x$922), "", 'Data Entry'!$x$922)</f>
      </c>
      <c r="BE922">
        <f>IF(ISBLANK('Data Entry'!$y$922), "", 'Data Entry'!$y$922)</f>
      </c>
      <c r="BF922">
        <f>IF(ISBLANK('Data Entry'!$z$922), "", 'Data Entry'!$z$922)</f>
      </c>
      <c r="BG922">
        <f>IF(ISBLANK('Data Entry'!${$922), "", 'Data Entry'!${$922)</f>
      </c>
      <c r="BH922">
        <f>IF(ISBLANK('Data Entry'!$|$922), "", 'Data Entry'!$|$922)</f>
      </c>
      <c r="BI922">
        <f>IF(ISBLANK('Data Entry'!$}$922), "", 'Data Entry'!$}$922)</f>
      </c>
      <c r="BJ922">
        <f>IF(ISBLANK('Data Entry'!$~$922), "", 'Data Entry'!$~$922)</f>
      </c>
      <c r="BK922">
        <f>IF(ISBLANK('Data Entry'!$$922), "", 'Data Entry'!$$922)</f>
      </c>
      <c r="BL922">
        <f>IF(ISBLANK('Data Entry'!$$922), "", 'Data Entry'!$$922)</f>
      </c>
      <c r="BM922">
        <f>IF(ISBLANK('Data Entry'!$$922), "", 'Data Entry'!$$922)</f>
      </c>
      <c r="BN922">
        <f>IF(ISBLANK('Data Entry'!$$922), "", 'Data Entry'!$$922)</f>
      </c>
      <c r="BO922">
        <f>IF(ISBLANK('Data Entry'!$$922), "", 'Data Entry'!$$922)</f>
      </c>
      <c r="BP922">
        <f>IF(ISBLANK('Data Entry'!$$922), "", 'Data Entry'!$$922)</f>
      </c>
      <c r="BQ922">
        <f>IF(ISBLANK('Data Entry'!$$922), "", 'Data Entry'!$$922)</f>
      </c>
      <c r="BR922">
        <f>IF(ISBLANK('Data Entry'!$$922), "", 'Data Entry'!$$922)</f>
      </c>
      <c r="BS922">
        <f>IF(ISBLANK('Data Entry'!$$922), "", 'Data Entry'!$$922)</f>
      </c>
      <c r="BT922">
        <f>IF(ISBLANK('Data Entry'!$$922), "", 'Data Entry'!$$922)</f>
      </c>
      <c r="BU922">
        <f>IF(ISBLANK('Data Entry'!$$922), "", 'Data Entry'!$$922)</f>
      </c>
      <c r="BV922">
        <f>IF(ISBLANK('Data Entry'!$$922), "", 'Data Entry'!$$922)</f>
      </c>
      <c r="BW922">
        <f>IF(ISBLANK('Data Entry'!$$922), "", 'Data Entry'!$$922)</f>
      </c>
      <c r="BX922">
        <f>IF(ISBLANK('Data Entry'!$$922), "", 'Data Entry'!$$922)</f>
      </c>
      <c r="BY922">
        <f>IF(ISBLANK('Data Entry'!$$922), "", 'Data Entry'!$$922)</f>
      </c>
      <c r="BZ922">
        <f>IF(ISBLANK('Data Entry'!$$922), "", 'Data Entry'!$$922)</f>
      </c>
      <c r="CA922">
        <f>IF(ISBLANK('Data Entry'!$$922), "", 'Data Entry'!$$922)</f>
      </c>
      <c r="CB922">
        <f>IF(ISBLANK('Data Entry'!$$922), "", 'Data Entry'!$$922)</f>
      </c>
      <c r="CC922">
        <f>IF(ISBLANK('Data Entry'!$$922), "", 'Data Entry'!$$922)</f>
      </c>
      <c r="CD922">
        <f>IF(ISBLANK('Data Entry'!$$922), "", 'Data Entry'!$$922)</f>
      </c>
      <c r="CE922">
        <f>IF(ISBLANK('Data Entry'!$$922), "", 'Data Entry'!$$922)</f>
      </c>
      <c r="CF922">
        <f>IF(ISBLANK('Data Entry'!$$922), "", 'Data Entry'!$$922)</f>
      </c>
      <c r="CG922">
        <f>IF(ISBLANK('Data Entry'!$$922), "", 'Data Entry'!$$922)</f>
      </c>
      <c r="CH922">
        <f>IF(ISBLANK('Data Entry'!$$922), "", 'Data Entry'!$$922)</f>
      </c>
      <c r="CI922">
        <f>IF(ISBLANK('Data Entry'!$$922), "", 'Data Entry'!$$922)</f>
      </c>
      <c r="CJ922">
        <f>IF(ISBLANK('Data Entry'!$$922), "", 'Data Entry'!$$922)</f>
      </c>
      <c r="CK922">
        <f>IF(ISBLANK('Data Entry'!$$922), "", 'Data Entry'!$$922)</f>
      </c>
      <c r="CL922">
        <f>IF(ISBLANK('Data Entry'!$$922), "", 'Data Entry'!$$922)</f>
      </c>
      <c r="CM922">
        <f>IF(ISBLANK('Data Entry'!$$922), "", 'Data Entry'!$$922)</f>
      </c>
      <c r="CN922">
        <f>IF(ISBLANK('Data Entry'!$$922), "", 'Data Entry'!$$922)</f>
      </c>
      <c r="CO922">
        <f>IF(ISBLANK('Data Entry'!$$922), "", 'Data Entry'!$$922)</f>
      </c>
      <c r="CP922">
        <f>IF(ISBLANK('Data Entry'!$$922), "", 'Data Entry'!$$922)</f>
      </c>
      <c r="CQ922">
        <f>IF(ISBLANK('Data Entry'!$$922), "", 'Data Entry'!$$922)</f>
      </c>
      <c r="CR922">
        <f>IF(ISBLANK('Data Entry'!$ $922), "", 'Data Entry'!$ $922)</f>
      </c>
      <c r="CS922">
        <f>IF(ISBLANK('Data Entry'!$¡$922), "", 'Data Entry'!$¡$922)</f>
      </c>
      <c r="CT922">
        <f>IF(ISBLANK('Data Entry'!$¢$922), "", 'Data Entry'!$¢$922)</f>
      </c>
      <c r="CU922">
        <f>IF(ISBLANK('Data Entry'!$£$922), "", 'Data Entry'!$£$922)</f>
      </c>
      <c r="CV922">
        <f>IF(ISBLANK('Data Entry'!$¤$922), "", 'Data Entry'!$¤$922)</f>
      </c>
      <c r="CW922">
        <f>IF(ISBLANK('Data Entry'!$¥$922), "", 'Data Entry'!$¥$922)</f>
      </c>
      <c r="CX922">
        <f>IF(ISBLANK('Data Entry'!$¦$922), "", 'Data Entry'!$¦$922)</f>
      </c>
      <c r="CY922">
        <f>IF(ISBLANK('Data Entry'!$§$922), "", 'Data Entry'!$§$922)</f>
      </c>
      <c r="CZ922">
        <f>IF(ISBLANK('Data Entry'!$¨$922), "", 'Data Entry'!$¨$922)</f>
      </c>
      <c r="DA922">
        <f>IF(ISBLANK('Data Entry'!$©$922), "", 'Data Entry'!$©$922)</f>
      </c>
      <c r="DB922">
        <f>IF(ISBLANK('Data Entry'!$ª$922), "", 'Data Entry'!$ª$922)</f>
      </c>
      <c r="DC922">
        <f>IF(ISBLANK('Data Entry'!$«$922), "", 'Data Entry'!$«$922)</f>
      </c>
      <c r="DD922">
        <f>IF(ISBLANK('Data Entry'!$¬$922), "", 'Data Entry'!$¬$922)</f>
      </c>
      <c r="DE922">
        <f>IF(ISBLANK('Data Entry'!$­$922), "", 'Data Entry'!$­$922)</f>
      </c>
      <c r="DF922">
        <f>IF(ISBLANK('Data Entry'!$®$922), "", 'Data Entry'!$®$922)</f>
      </c>
      <c r="DG922">
        <f>IF(ISBLANK('Data Entry'!$¯$922), "", 'Data Entry'!$¯$922)</f>
      </c>
      <c r="DH922">
        <f>IF(ISBLANK('Data Entry'!$°$922), "", 'Data Entry'!$°$922)</f>
      </c>
      <c r="DI922">
        <f>IF(ISBLANK('Data Entry'!$±$922), "", 'Data Entry'!$±$922)</f>
      </c>
      <c r="DJ922">
        <f>IF(ISBLANK('Data Entry'!$²$922), "", 'Data Entry'!$²$922)</f>
      </c>
      <c r="DK922">
        <f>IF(ISBLANK('Data Entry'!$³$922), "", 'Data Entry'!$³$922)</f>
      </c>
      <c r="DL922">
        <f>IF(ISBLANK('Data Entry'!$´$922), "", 'Data Entry'!$´$922)</f>
      </c>
      <c r="DM922">
        <f>IF(ISBLANK('Data Entry'!$µ$922), "", 'Data Entry'!$µ$922)</f>
      </c>
      <c r="DN922">
        <f>IF(ISBLANK('Data Entry'!$¶$922), "", 'Data Entry'!$¶$922)</f>
      </c>
      <c r="DO922">
        <f>IF(ISBLANK('Data Entry'!$·$922), "", 'Data Entry'!$·$922)</f>
      </c>
      <c r="DP922">
        <f>IF(ISBLANK('Data Entry'!$¸$922), "", 'Data Entry'!$¸$922)</f>
      </c>
      <c r="DQ922">
        <f>IF(ISBLANK('Data Entry'!$¹$922), "", 'Data Entry'!$¹$922)</f>
      </c>
      <c r="DR922">
        <f>IF(ISBLANK('Data Entry'!$º$922), "", 'Data Entry'!$º$922)</f>
      </c>
      <c r="DS922">
        <f>IF(ISBLANK('Data Entry'!$»$922), "", 'Data Entry'!$»$922)</f>
      </c>
      <c r="DT922">
        <f>IF(ISBLANK('Data Entry'!$¼$922), "", 'Data Entry'!$¼$922)</f>
      </c>
      <c r="DU922">
        <f>IF(ISBLANK('Data Entry'!$½$922), "", 'Data Entry'!$½$922)</f>
      </c>
      <c r="DV922">
        <f>IF(ISBLANK('Data Entry'!$¾$922), "", 'Data Entry'!$¾$922)</f>
      </c>
      <c r="DW922">
        <f>IF(ISBLANK('Data Entry'!$¿$922), "", 'Data Entry'!$¿$922)</f>
      </c>
      <c r="DX922">
        <f>IF(ISBLANK('Data Entry'!$À$922), "", 'Data Entry'!$À$922)</f>
      </c>
      <c r="DY922">
        <f>IF(ISBLANK('Data Entry'!$Á$922), "", 'Data Entry'!$Á$922)</f>
      </c>
      <c r="DZ922">
        <f>IF(ISBLANK('Data Entry'!$Â$922), "", 'Data Entry'!$Â$922)</f>
      </c>
      <c r="EA922">
        <f>IF(ISBLANK('Data Entry'!$Ã$922), "", 'Data Entry'!$Ã$922)</f>
      </c>
      <c r="EB922">
        <f>IF(ISBLANK('Data Entry'!$Ä$922), "", 'Data Entry'!$Ä$922)</f>
      </c>
      <c r="EC922">
        <f>IF(ISBLANK('Data Entry'!$Å$922), "", 'Data Entry'!$Å$922)</f>
      </c>
      <c r="ED922">
        <f>IF(ISBLANK('Data Entry'!$Æ$922), "", 'Data Entry'!$Æ$922)</f>
      </c>
      <c r="EE922">
        <f>IF(ISBLANK('Data Entry'!$Ç$922), "", 'Data Entry'!$Ç$922)</f>
      </c>
      <c r="EF922">
        <f>IF(ISBLANK('Data Entry'!$È$922), "", 'Data Entry'!$È$922)</f>
      </c>
      <c r="EG922">
        <f>IF(ISBLANK('Data Entry'!$É$922), "", 'Data Entry'!$É$922)</f>
      </c>
      <c r="EH922">
        <f>IF(ISBLANK('Data Entry'!$Ê$922), "", 'Data Entry'!$Ê$922)</f>
      </c>
      <c r="EI922">
        <f>IF(ISBLANK('Data Entry'!$Ë$922), "", 'Data Entry'!$Ë$922)</f>
      </c>
      <c r="EJ922">
        <f>IF(ISBLANK('Data Entry'!$Ì$922), "", 'Data Entry'!$Ì$922)</f>
      </c>
      <c r="EK922">
        <f>IF(ISBLANK('Data Entry'!$Í$922), "", 'Data Entry'!$Í$922)</f>
      </c>
      <c r="EL922">
        <f>IF(ISBLANK('Data Entry'!$Î$922), "", 'Data Entry'!$Î$922)</f>
      </c>
      <c r="EM922">
        <f>IF(ISBLANK('Data Entry'!$Ï$922), "", 'Data Entry'!$Ï$922)</f>
      </c>
      <c r="EN922">
        <f>IF(ISBLANK('Data Entry'!$Ð$922), "", 'Data Entry'!$Ð$922)</f>
      </c>
      <c r="EO922">
        <f>IF(ISBLANK('Data Entry'!$Ñ$922), "", 'Data Entry'!$Ñ$922)</f>
      </c>
      <c r="EP922">
        <f>IF(ISBLANK('Data Entry'!$Ò$922), "", 'Data Entry'!$Ò$922)</f>
      </c>
      <c r="EQ922">
        <f>IF(ISBLANK('Data Entry'!$Ó$922), "", 'Data Entry'!$Ó$922)</f>
      </c>
      <c r="ER922">
        <f>IF(ISBLANK('Data Entry'!$Ô$922), "", 'Data Entry'!$Ô$922)</f>
      </c>
      <c r="ES922">
        <f>IF(ISBLANK('Data Entry'!$Õ$922), "", 'Data Entry'!$Õ$922)</f>
      </c>
      <c r="ET922">
        <f>IF(ISBLANK('Data Entry'!$Ö$922), "", 'Data Entry'!$Ö$922)</f>
      </c>
      <c r="EU922">
        <f>IF(ISBLANK('Data Entry'!$×$922), "", 'Data Entry'!$×$922)</f>
      </c>
      <c r="EV922">
        <f>IF(ISBLANK('Data Entry'!$Ø$922), "", 'Data Entry'!$Ø$922)</f>
      </c>
      <c r="EW922">
        <f>IF(ISBLANK('Data Entry'!$Ù$922), "", 'Data Entry'!$Ù$922)</f>
      </c>
      <c r="EX922">
        <f>IF(ISBLANK('Data Entry'!$Ú$922), "", 'Data Entry'!$Ú$922)</f>
      </c>
      <c r="EY922">
        <f>IF(ISBLANK('Data Entry'!$Û$922), "", 'Data Entry'!$Û$922)</f>
      </c>
      <c r="EZ922">
        <f>IF(ISBLANK('Data Entry'!$Ü$922), "", 'Data Entry'!$Ü$922)</f>
      </c>
      <c r="FA922">
        <f>IF(ISBLANK('Data Entry'!$Ý$922), "", 'Data Entry'!$Ý$922)</f>
      </c>
      <c r="FB922">
        <f>IF(ISBLANK('Data Entry'!$Þ$922), "", 'Data Entry'!$Þ$922)</f>
      </c>
      <c r="FC922">
        <f>IF(ISBLANK('Data Entry'!$ß$922), "", 'Data Entry'!$ß$922)</f>
      </c>
      <c r="FD922">
        <f>IF(ISBLANK('Data Entry'!$à$922), "", 'Data Entry'!$à$922)</f>
      </c>
      <c r="FE922">
        <f>IF(ISBLANK('Data Entry'!$á$922), "", 'Data Entry'!$á$922)</f>
      </c>
      <c r="FF922">
        <f>IF(ISBLANK('Data Entry'!$â$922), "", 'Data Entry'!$â$922)</f>
      </c>
      <c r="FG922">
        <f>IF(ISBLANK('Data Entry'!$ã$922), "", 'Data Entry'!$ã$922)</f>
      </c>
      <c r="FH922">
        <f>IF(ISBLANK('Data Entry'!$ä$922), "", 'Data Entry'!$ä$922)</f>
      </c>
      <c r="FI922">
        <f>IF(ISBLANK('Data Entry'!$å$922), "", 'Data Entry'!$å$922)</f>
      </c>
      <c r="FJ922">
        <f>IF(ISBLANK('Data Entry'!$æ$922), "", 'Data Entry'!$æ$922)</f>
      </c>
      <c r="FK922">
        <f>IF(ISBLANK('Data Entry'!$ç$922), "", 'Data Entry'!$ç$922)</f>
      </c>
      <c r="FL922">
        <f>IF(ISBLANK('Data Entry'!$è$922), "", 'Data Entry'!$è$922)</f>
      </c>
      <c r="FM922">
        <f>IF(ISBLANK('Data Entry'!$é$922), "", 'Data Entry'!$é$922)</f>
      </c>
      <c r="FN922">
        <f>IF(ISBLANK('Data Entry'!$ê$922), "", 'Data Entry'!$ê$922)</f>
      </c>
      <c r="FO922">
        <f>IF(ISBLANK('Data Entry'!$ë$922), "", 'Data Entry'!$ë$922)</f>
      </c>
      <c r="FP922">
        <f>IF(ISBLANK('Data Entry'!$ì$922), "", 'Data Entry'!$ì$922)</f>
      </c>
      <c r="FQ922">
        <f>IF(ISBLANK('Data Entry'!$í$922), "", 'Data Entry'!$í$922)</f>
      </c>
      <c r="FR922">
        <f>IF(ISBLANK('Data Entry'!$î$922), "", 'Data Entry'!$î$922)</f>
      </c>
      <c r="FS922">
        <f>IF(ISBLANK('Data Entry'!$ï$922), "", 'Data Entry'!$ï$922)</f>
      </c>
      <c r="FT922">
        <f>IF(ISBLANK('Data Entry'!$ð$922), "", 'Data Entry'!$ð$922)</f>
      </c>
      <c r="FU922">
        <f>IF(ISBLANK('Data Entry'!$ñ$922), "", 'Data Entry'!$ñ$922)</f>
      </c>
      <c r="FV922">
        <f>IF(ISBLANK('Data Entry'!$ò$922), "", 'Data Entry'!$ò$922)</f>
      </c>
      <c r="FW922">
        <f>IF(ISBLANK('Data Entry'!$ó$922), "", 'Data Entry'!$ó$922)</f>
      </c>
      <c r="FX922">
        <f>IF(ISBLANK('Data Entry'!$ô$922), "", 'Data Entry'!$ô$922)</f>
      </c>
      <c r="FY922">
        <f>IF(ISBLANK('Data Entry'!$õ$922), "", 'Data Entry'!$õ$922)</f>
      </c>
      <c r="FZ922">
        <f>IF(ISBLANK('Data Entry'!$ö$922), "", 'Data Entry'!$ö$922)</f>
      </c>
      <c r="GA922">
        <f>IF(ISBLANK('Data Entry'!$÷$922), "", 'Data Entry'!$÷$922)</f>
      </c>
      <c r="GB922">
        <f>IF(ISBLANK('Data Entry'!$ø$922), "", 'Data Entry'!$ø$922)</f>
      </c>
      <c r="GC922">
        <f>IF(ISBLANK('Data Entry'!$ù$922), "", 'Data Entry'!$ù$922)</f>
      </c>
      <c r="GD922">
        <f>IF(ISBLANK('Data Entry'!$ú$922), "", 'Data Entry'!$ú$922)</f>
      </c>
      <c r="GE922">
        <f>IF(ISBLANK('Data Entry'!$û$922), "", 'Data Entry'!$û$922)</f>
      </c>
      <c r="GF922">
        <f>IF(ISBLANK('Data Entry'!$ü$922), "", 'Data Entry'!$ü$922)</f>
      </c>
      <c r="GG922">
        <f>IF(ISBLANK('Data Entry'!$ý$922), "", 'Data Entry'!$ý$922)</f>
      </c>
      <c r="GH922">
        <f>IF(ISBLANK('Data Entry'!$þ$922), "", 'Data Entry'!$þ$922)</f>
      </c>
      <c r="GI922">
        <f>IF(ISBLANK('Data Entry'!$ÿ$922), "", 'Data Entry'!$ÿ$922)</f>
      </c>
      <c r="GJ922">
        <f>IF(ISBLANK('Data Entry'!$Ā$922), "", 'Data Entry'!$Ā$922)</f>
      </c>
      <c r="GK922">
        <f>IF(ISBLANK('Data Entry'!$ā$922), "", 'Data Entry'!$ā$922)</f>
      </c>
      <c r="GL922">
        <f>IF(ISBLANK('Data Entry'!$Ă$922), "", 'Data Entry'!$Ă$922)</f>
      </c>
      <c r="GM922">
        <f>IF(ISBLANK('Data Entry'!$ă$922), "", 'Data Entry'!$ă$922)</f>
      </c>
      <c r="GN922">
        <f>IF(ISBLANK('Data Entry'!$Ą$922), "", 'Data Entry'!$Ą$922)</f>
      </c>
      <c r="GO922">
        <f>IF(ISBLANK('Data Entry'!$ą$922), "", 'Data Entry'!$ą$922)</f>
      </c>
      <c r="GP922">
        <f>IF(ISBLANK('Data Entry'!$Ć$922), "", 'Data Entry'!$Ć$922)</f>
      </c>
      <c r="GQ922">
        <f>IF(ISBLANK('Data Entry'!$ć$922), "", 'Data Entry'!$ć$922)</f>
      </c>
      <c r="GR922">
        <f>IF(ISBLANK('Data Entry'!$Ĉ$922), "", 'Data Entry'!$Ĉ$922)</f>
      </c>
      <c r="GS922">
        <f>IF(ISBLANK('Data Entry'!$ĉ$922), "", 'Data Entry'!$ĉ$922)</f>
      </c>
      <c r="GT922">
        <f>IF(ISBLANK('Data Entry'!$Ċ$922), "", 'Data Entry'!$Ċ$922)</f>
      </c>
      <c r="GU922">
        <f>IF(ISBLANK('Data Entry'!$ċ$922), "", 'Data Entry'!$ċ$922)</f>
      </c>
      <c r="GV922">
        <f>IF(ISBLANK('Data Entry'!$Č$922), "", 'Data Entry'!$Č$922)</f>
      </c>
      <c r="GW922">
        <f>IF(ISBLANK('Data Entry'!$č$922), "", 'Data Entry'!$č$922)</f>
      </c>
      <c r="GX922">
        <f>IF(ISBLANK('Data Entry'!$Ď$922), "", 'Data Entry'!$Ď$922)</f>
      </c>
      <c r="GY922">
        <f>IF(ISBLANK('Data Entry'!$ď$922), "", 'Data Entry'!$ď$922)</f>
      </c>
      <c r="GZ922">
        <f>IF(ISBLANK('Data Entry'!$Đ$922), "", 'Data Entry'!$Đ$922)</f>
      </c>
      <c r="HA922">
        <f>IF(ISBLANK('Data Entry'!$đ$922), "", 'Data Entry'!$đ$922)</f>
      </c>
      <c r="HB922">
        <f>IF(ISBLANK('Data Entry'!$Ē$922), "", 'Data Entry'!$Ē$922)</f>
      </c>
      <c r="HC922">
        <f>IF(ISBLANK('Data Entry'!$ē$922), "", 'Data Entry'!$ē$922)</f>
      </c>
      <c r="HD922">
        <f>IF(ISBLANK('Data Entry'!$Ĕ$922), "", 'Data Entry'!$Ĕ$922)</f>
      </c>
      <c r="HE922">
        <f>IF(ISBLANK('Data Entry'!$ĕ$922), "", 'Data Entry'!$ĕ$922)</f>
      </c>
      <c r="HF922">
        <f>IF(ISBLANK('Data Entry'!$Ė$922), "", 'Data Entry'!$Ė$922)</f>
      </c>
      <c r="HG922">
        <f>IF(ISBLANK('Data Entry'!$ė$922), "", 'Data Entry'!$ė$922)</f>
      </c>
      <c r="HH922">
        <f>IF(ISBLANK('Data Entry'!$Ę$922), "", 'Data Entry'!$Ę$922)</f>
      </c>
      <c r="HI922">
        <f>IF(ISBLANK('Data Entry'!$ę$922), "", 'Data Entry'!$ę$922)</f>
      </c>
      <c r="HJ922">
        <f>IF(ISBLANK('Data Entry'!$Ě$922), "", 'Data Entry'!$Ě$922)</f>
      </c>
      <c r="HK922">
        <f>IF(ISBLANK('Data Entry'!$ě$922), "", 'Data Entry'!$ě$922)</f>
      </c>
      <c r="HL922">
        <f>IF(ISBLANK('Data Entry'!$Ĝ$922), "", 'Data Entry'!$Ĝ$922)</f>
      </c>
      <c r="HM922">
        <f>IF(ISBLANK('Data Entry'!$ĝ$922), "", 'Data Entry'!$ĝ$922)</f>
      </c>
      <c r="HN922">
        <f>IF(ISBLANK('Data Entry'!$Ğ$922), "", 'Data Entry'!$Ğ$922)</f>
      </c>
      <c r="HO922">
        <f>IF(ISBLANK('Data Entry'!$ğ$922), "", 'Data Entry'!$ğ$922)</f>
      </c>
      <c r="HP922">
        <f>IF(ISBLANK('Data Entry'!$Ġ$922), "", 'Data Entry'!$Ġ$922)</f>
      </c>
      <c r="HQ922">
        <f>IF(ISBLANK('Data Entry'!$ġ$922), "", 'Data Entry'!$ġ$922)</f>
      </c>
      <c r="HR922">
        <f>IF(ISBLANK('Data Entry'!$Ģ$922), "", 'Data Entry'!$Ģ$922)</f>
      </c>
      <c r="HS922">
        <f>IF(ISBLANK('Data Entry'!$ģ$922), "", 'Data Entry'!$ģ$922)</f>
      </c>
      <c r="HT922">
        <f>IF(ISBLANK('Data Entry'!$Ĥ$922), "", 'Data Entry'!$Ĥ$922)</f>
      </c>
      <c r="HU922">
        <f>IF(ISBLANK('Data Entry'!$ĥ$922), "", 'Data Entry'!$ĥ$922)</f>
      </c>
      <c r="HV922">
        <f>IF(ISBLANK('Data Entry'!$Ħ$922), "", 'Data Entry'!$Ħ$922)</f>
      </c>
      <c r="HW922">
        <f>IF(ISBLANK('Data Entry'!$ħ$922), "", 'Data Entry'!$ħ$922)</f>
      </c>
      <c r="HX922">
        <f>IF(ISBLANK('Data Entry'!$Ĩ$922), "", 'Data Entry'!$Ĩ$922)</f>
      </c>
      <c r="HY922">
        <f>IF(ISBLANK('Data Entry'!$ĩ$922), "", 'Data Entry'!$ĩ$922)</f>
      </c>
      <c r="HZ922">
        <f>IF(ISBLANK('Data Entry'!$Ī$922), "", 'Data Entry'!$Ī$922)</f>
      </c>
      <c r="IA922">
        <f>IF(ISBLANK('Data Entry'!$ī$922), "", 'Data Entry'!$ī$922)</f>
      </c>
      <c r="IB922">
        <f>IF(ISBLANK('Data Entry'!$Ĭ$922), "", 'Data Entry'!$Ĭ$922)</f>
      </c>
      <c r="IC922">
        <f>IF(ISBLANK('Data Entry'!$ĭ$922), "", 'Data Entry'!$ĭ$922)</f>
      </c>
      <c r="ID922">
        <f>IF(ISBLANK('Data Entry'!$Į$922), "", 'Data Entry'!$Į$922)</f>
      </c>
      <c r="IE922">
        <f>IF(ISBLANK('Data Entry'!$į$922), "", 'Data Entry'!$į$922)</f>
      </c>
      <c r="IF922">
        <f>IF(ISBLANK('Data Entry'!$İ$922), "", 'Data Entry'!$İ$922)</f>
      </c>
      <c r="IG922">
        <f>IF(ISBLANK('Data Entry'!$ı$922), "", 'Data Entry'!$ı$922)</f>
      </c>
      <c r="IH922">
        <f>IF(ISBLANK('Data Entry'!$Ĳ$922), "", 'Data Entry'!$Ĳ$922)</f>
      </c>
      <c r="II922">
        <f>IF(ISBLANK('Data Entry'!$ĳ$922), "", 'Data Entry'!$ĳ$922)</f>
      </c>
      <c r="IJ922">
        <f>IF(ISBLANK('Data Entry'!$Ĵ$922), "", 'Data Entry'!$Ĵ$922)</f>
      </c>
      <c r="IK922">
        <f>IF(ISBLANK('Data Entry'!$ĵ$922), "", 'Data Entry'!$ĵ$922)</f>
      </c>
      <c r="IL922">
        <f>IF(ISBLANK('Data Entry'!$Ķ$922), "", 'Data Entry'!$Ķ$922)</f>
      </c>
      <c r="IM922">
        <f>IF(ISBLANK('Data Entry'!$ķ$922), "", 'Data Entry'!$ķ$922)</f>
      </c>
      <c r="IN922">
        <f>IF(ISBLANK('Data Entry'!$ĸ$922), "", 'Data Entry'!$ĸ$922)</f>
      </c>
      <c r="IO922">
        <f>IF(ISBLANK('Data Entry'!$Ĺ$922), "", 'Data Entry'!$Ĺ$922)</f>
      </c>
      <c r="IP922">
        <f>IF(ISBLANK('Data Entry'!$ĺ$922), "", 'Data Entry'!$ĺ$922)</f>
      </c>
      <c r="IQ922">
        <f>IF(ISBLANK('Data Entry'!$Ļ$922), "", 'Data Entry'!$Ļ$922)</f>
      </c>
      <c r="IR922">
        <f>IF(ISBLANK('Data Entry'!$ļ$922), "", 'Data Entry'!$ļ$922)</f>
      </c>
      <c r="IS922">
        <f>IF(ISBLANK('Data Entry'!$Ľ$922), "", 'Data Entry'!$Ľ$922)</f>
      </c>
      <c r="IT922">
        <f>IF(ISBLANK('Data Entry'!$ľ$922), "", 'Data Entry'!$ľ$922)</f>
      </c>
    </row>
    <row r="923" spans="1:254" x14ac:dyDescent="0.25">
      <c r="A923">
        <f>IF(ISBLANK('Data Entry'!$A$923), "", 'Data Entry'!$A$923)</f>
      </c>
      <c r="B923">
        <f>IF(ISBLANK('Data Entry'!$B$923), "", 'Data Entry'!$B$923)</f>
      </c>
      <c r="C923">
        <f>IF(ISBLANK('Data Entry'!$C$923), "", 'Data Entry'!$C$923)</f>
      </c>
      <c r="D923">
        <f>IF(ISBLANK('Data Entry'!$D$923), "", 'Data Entry'!$D$923)</f>
      </c>
      <c r="E923">
        <f>IF(ISBLANK('Data Entry'!$E$923), "", 'Data Entry'!$E$923)</f>
      </c>
      <c r="F923">
        <f>IF(ISBLANK('Data Entry'!$F$923), "", 'Data Entry'!$F$923)</f>
      </c>
      <c r="G923">
        <f>IF(ISBLANK('Data Entry'!$G$923), "", 'Data Entry'!$G$923)</f>
      </c>
      <c r="H923">
        <f>IF(ISBLANK('Data Entry'!$H$923), "", 'Data Entry'!$H$923)</f>
      </c>
      <c r="I923">
        <f>IF(ISBLANK('Data Entry'!$I$923), "", 'Data Entry'!$I$923)</f>
      </c>
      <c r="J923">
        <f>IF(ISBLANK('Data Entry'!$J$923), "", 'Data Entry'!$J$923)</f>
      </c>
      <c r="K923">
        <f>IF(ISBLANK('Data Entry'!$K$923), "", 'Data Entry'!$K$923)</f>
      </c>
      <c r="L923">
        <f>IF(ISBLANK('Data Entry'!$L$923), "", 'Data Entry'!$L$923)</f>
      </c>
      <c r="M923">
        <f>IF(ISBLANK('Data Entry'!$M$923), "", 'Data Entry'!$M$923)</f>
      </c>
      <c r="N923">
        <f>IF(ISBLANK('Data Entry'!$N$923), "", 'Data Entry'!$N$923)</f>
      </c>
      <c r="O923">
        <f>IF(ISBLANK('Data Entry'!$O$923), "", 'Data Entry'!$O$923)</f>
      </c>
      <c r="P923">
        <f>IF(ISBLANK('Data Entry'!$P$923), "", 'Data Entry'!$P$923)</f>
      </c>
      <c r="Q923">
        <f>IF(ISBLANK('Data Entry'!$Q$923), "", 'Data Entry'!$Q$923)</f>
      </c>
      <c r="R923">
        <f>IF(ISBLANK('Data Entry'!$R$923), "", 'Data Entry'!$R$923)</f>
      </c>
      <c r="S923">
        <f>IF(ISBLANK('Data Entry'!$S$923), "", 'Data Entry'!$S$923)</f>
      </c>
      <c r="T923">
        <f>IF(ISBLANK('Data Entry'!$T$923), "", 'Data Entry'!$T$923)</f>
      </c>
      <c r="U923">
        <f>IF(ISBLANK('Data Entry'!$U$923), "", 'Data Entry'!$U$923)</f>
      </c>
      <c r="V923">
        <f>IF(ISBLANK('Data Entry'!$V$923), "", 'Data Entry'!$V$923)</f>
      </c>
      <c r="W923">
        <f>IF(ISBLANK('Data Entry'!$W$923), "", 'Data Entry'!$W$923)</f>
      </c>
      <c r="X923">
        <f>IF(ISBLANK('Data Entry'!$X$923), "", 'Data Entry'!$X$923)</f>
      </c>
      <c r="Y923">
        <f>IF(ISBLANK('Data Entry'!$Y$923), "", 'Data Entry'!$Y$923)</f>
      </c>
      <c r="Z923">
        <f>IF(ISBLANK('Data Entry'!$Z$923), "", 'Data Entry'!$Z$923)</f>
      </c>
      <c r="AA923">
        <f>IF(ISBLANK('Data Entry'!$[$923), "", 'Data Entry'!$[$923)</f>
      </c>
      <c r="AB923">
        <f>IF(ISBLANK('Data Entry'!$\$923), "", 'Data Entry'!$\$923)</f>
      </c>
      <c r="AC923">
        <f>IF(ISBLANK('Data Entry'!$]$923), "", 'Data Entry'!$]$923)</f>
      </c>
      <c r="AD923">
        <f>IF(ISBLANK('Data Entry'!$^$923), "", 'Data Entry'!$^$923)</f>
      </c>
      <c r="AE923">
        <f>IF(ISBLANK('Data Entry'!$_$923), "", 'Data Entry'!$_$923)</f>
      </c>
      <c r="AF923">
        <f>IF(ISBLANK('Data Entry'!$`$923), "", 'Data Entry'!$`$923)</f>
      </c>
      <c r="AG923">
        <f>IF(ISBLANK('Data Entry'!$a$923), "", 'Data Entry'!$a$923)</f>
      </c>
      <c r="AH923">
        <f>IF(ISBLANK('Data Entry'!$b$923), "", 'Data Entry'!$b$923)</f>
      </c>
      <c r="AI923">
        <f>IF(ISBLANK('Data Entry'!$c$923), "", 'Data Entry'!$c$923)</f>
      </c>
      <c r="AJ923">
        <f>IF(ISBLANK('Data Entry'!$d$923), "", 'Data Entry'!$d$923)</f>
      </c>
      <c r="AK923">
        <f>IF(ISBLANK('Data Entry'!$e$923), "", 'Data Entry'!$e$923)</f>
      </c>
      <c r="AL923">
        <f>IF(ISBLANK('Data Entry'!$f$923), "", 'Data Entry'!$f$923)</f>
      </c>
      <c r="AM923">
        <f>IF(ISBLANK('Data Entry'!$g$923), "", 'Data Entry'!$g$923)</f>
      </c>
      <c r="AN923">
        <f>IF(ISBLANK('Data Entry'!$h$923), "", 'Data Entry'!$h$923)</f>
      </c>
      <c r="AO923">
        <f>IF(ISBLANK('Data Entry'!$i$923), "", 'Data Entry'!$i$923)</f>
      </c>
      <c r="AP923">
        <f>IF(ISBLANK('Data Entry'!$j$923), "", 'Data Entry'!$j$923)</f>
      </c>
      <c r="AQ923">
        <f>IF(ISBLANK('Data Entry'!$k$923), "", 'Data Entry'!$k$923)</f>
      </c>
      <c r="AR923">
        <f>IF(ISBLANK('Data Entry'!$l$923), "", 'Data Entry'!$l$923)</f>
      </c>
      <c r="AS923">
        <f>IF(ISBLANK('Data Entry'!$m$923), "", 'Data Entry'!$m$923)</f>
      </c>
      <c r="AT923">
        <f>IF(ISBLANK('Data Entry'!$n$923), "", 'Data Entry'!$n$923)</f>
      </c>
      <c r="AU923">
        <f>IF(ISBLANK('Data Entry'!$o$923), "", 'Data Entry'!$o$923)</f>
      </c>
      <c r="AV923">
        <f>IF(ISBLANK('Data Entry'!$p$923), "", 'Data Entry'!$p$923)</f>
      </c>
      <c r="AW923">
        <f>IF(ISBLANK('Data Entry'!$q$923), "", 'Data Entry'!$q$923)</f>
      </c>
      <c r="AX923">
        <f>IF(ISBLANK('Data Entry'!$r$923), "", 'Data Entry'!$r$923)</f>
      </c>
      <c r="AY923">
        <f>IF(ISBLANK('Data Entry'!$s$923), "", 'Data Entry'!$s$923)</f>
      </c>
      <c r="AZ923">
        <f>IF(ISBLANK('Data Entry'!$t$923), "", 'Data Entry'!$t$923)</f>
      </c>
      <c r="BA923">
        <f>IF(ISBLANK('Data Entry'!$u$923), "", 'Data Entry'!$u$923)</f>
      </c>
      <c r="BB923">
        <f>IF(ISBLANK('Data Entry'!$v$923), "", 'Data Entry'!$v$923)</f>
      </c>
      <c r="BC923">
        <f>IF(ISBLANK('Data Entry'!$w$923), "", 'Data Entry'!$w$923)</f>
      </c>
      <c r="BD923">
        <f>IF(ISBLANK('Data Entry'!$x$923), "", 'Data Entry'!$x$923)</f>
      </c>
      <c r="BE923">
        <f>IF(ISBLANK('Data Entry'!$y$923), "", 'Data Entry'!$y$923)</f>
      </c>
      <c r="BF923">
        <f>IF(ISBLANK('Data Entry'!$z$923), "", 'Data Entry'!$z$923)</f>
      </c>
      <c r="BG923">
        <f>IF(ISBLANK('Data Entry'!${$923), "", 'Data Entry'!${$923)</f>
      </c>
      <c r="BH923">
        <f>IF(ISBLANK('Data Entry'!$|$923), "", 'Data Entry'!$|$923)</f>
      </c>
      <c r="BI923">
        <f>IF(ISBLANK('Data Entry'!$}$923), "", 'Data Entry'!$}$923)</f>
      </c>
      <c r="BJ923">
        <f>IF(ISBLANK('Data Entry'!$~$923), "", 'Data Entry'!$~$923)</f>
      </c>
      <c r="BK923">
        <f>IF(ISBLANK('Data Entry'!$$923), "", 'Data Entry'!$$923)</f>
      </c>
      <c r="BL923">
        <f>IF(ISBLANK('Data Entry'!$$923), "", 'Data Entry'!$$923)</f>
      </c>
      <c r="BM923">
        <f>IF(ISBLANK('Data Entry'!$$923), "", 'Data Entry'!$$923)</f>
      </c>
      <c r="BN923">
        <f>IF(ISBLANK('Data Entry'!$$923), "", 'Data Entry'!$$923)</f>
      </c>
      <c r="BO923">
        <f>IF(ISBLANK('Data Entry'!$$923), "", 'Data Entry'!$$923)</f>
      </c>
      <c r="BP923">
        <f>IF(ISBLANK('Data Entry'!$$923), "", 'Data Entry'!$$923)</f>
      </c>
      <c r="BQ923">
        <f>IF(ISBLANK('Data Entry'!$$923), "", 'Data Entry'!$$923)</f>
      </c>
      <c r="BR923">
        <f>IF(ISBLANK('Data Entry'!$$923), "", 'Data Entry'!$$923)</f>
      </c>
      <c r="BS923">
        <f>IF(ISBLANK('Data Entry'!$$923), "", 'Data Entry'!$$923)</f>
      </c>
      <c r="BT923">
        <f>IF(ISBLANK('Data Entry'!$$923), "", 'Data Entry'!$$923)</f>
      </c>
      <c r="BU923">
        <f>IF(ISBLANK('Data Entry'!$$923), "", 'Data Entry'!$$923)</f>
      </c>
      <c r="BV923">
        <f>IF(ISBLANK('Data Entry'!$$923), "", 'Data Entry'!$$923)</f>
      </c>
      <c r="BW923">
        <f>IF(ISBLANK('Data Entry'!$$923), "", 'Data Entry'!$$923)</f>
      </c>
      <c r="BX923">
        <f>IF(ISBLANK('Data Entry'!$$923), "", 'Data Entry'!$$923)</f>
      </c>
      <c r="BY923">
        <f>IF(ISBLANK('Data Entry'!$$923), "", 'Data Entry'!$$923)</f>
      </c>
      <c r="BZ923">
        <f>IF(ISBLANK('Data Entry'!$$923), "", 'Data Entry'!$$923)</f>
      </c>
      <c r="CA923">
        <f>IF(ISBLANK('Data Entry'!$$923), "", 'Data Entry'!$$923)</f>
      </c>
      <c r="CB923">
        <f>IF(ISBLANK('Data Entry'!$$923), "", 'Data Entry'!$$923)</f>
      </c>
      <c r="CC923">
        <f>IF(ISBLANK('Data Entry'!$$923), "", 'Data Entry'!$$923)</f>
      </c>
      <c r="CD923">
        <f>IF(ISBLANK('Data Entry'!$$923), "", 'Data Entry'!$$923)</f>
      </c>
      <c r="CE923">
        <f>IF(ISBLANK('Data Entry'!$$923), "", 'Data Entry'!$$923)</f>
      </c>
      <c r="CF923">
        <f>IF(ISBLANK('Data Entry'!$$923), "", 'Data Entry'!$$923)</f>
      </c>
      <c r="CG923">
        <f>IF(ISBLANK('Data Entry'!$$923), "", 'Data Entry'!$$923)</f>
      </c>
      <c r="CH923">
        <f>IF(ISBLANK('Data Entry'!$$923), "", 'Data Entry'!$$923)</f>
      </c>
      <c r="CI923">
        <f>IF(ISBLANK('Data Entry'!$$923), "", 'Data Entry'!$$923)</f>
      </c>
      <c r="CJ923">
        <f>IF(ISBLANK('Data Entry'!$$923), "", 'Data Entry'!$$923)</f>
      </c>
      <c r="CK923">
        <f>IF(ISBLANK('Data Entry'!$$923), "", 'Data Entry'!$$923)</f>
      </c>
      <c r="CL923">
        <f>IF(ISBLANK('Data Entry'!$$923), "", 'Data Entry'!$$923)</f>
      </c>
      <c r="CM923">
        <f>IF(ISBLANK('Data Entry'!$$923), "", 'Data Entry'!$$923)</f>
      </c>
      <c r="CN923">
        <f>IF(ISBLANK('Data Entry'!$$923), "", 'Data Entry'!$$923)</f>
      </c>
      <c r="CO923">
        <f>IF(ISBLANK('Data Entry'!$$923), "", 'Data Entry'!$$923)</f>
      </c>
      <c r="CP923">
        <f>IF(ISBLANK('Data Entry'!$$923), "", 'Data Entry'!$$923)</f>
      </c>
      <c r="CQ923">
        <f>IF(ISBLANK('Data Entry'!$$923), "", 'Data Entry'!$$923)</f>
      </c>
      <c r="CR923">
        <f>IF(ISBLANK('Data Entry'!$ $923), "", 'Data Entry'!$ $923)</f>
      </c>
      <c r="CS923">
        <f>IF(ISBLANK('Data Entry'!$¡$923), "", 'Data Entry'!$¡$923)</f>
      </c>
      <c r="CT923">
        <f>IF(ISBLANK('Data Entry'!$¢$923), "", 'Data Entry'!$¢$923)</f>
      </c>
      <c r="CU923">
        <f>IF(ISBLANK('Data Entry'!$£$923), "", 'Data Entry'!$£$923)</f>
      </c>
      <c r="CV923">
        <f>IF(ISBLANK('Data Entry'!$¤$923), "", 'Data Entry'!$¤$923)</f>
      </c>
      <c r="CW923">
        <f>IF(ISBLANK('Data Entry'!$¥$923), "", 'Data Entry'!$¥$923)</f>
      </c>
      <c r="CX923">
        <f>IF(ISBLANK('Data Entry'!$¦$923), "", 'Data Entry'!$¦$923)</f>
      </c>
      <c r="CY923">
        <f>IF(ISBLANK('Data Entry'!$§$923), "", 'Data Entry'!$§$923)</f>
      </c>
      <c r="CZ923">
        <f>IF(ISBLANK('Data Entry'!$¨$923), "", 'Data Entry'!$¨$923)</f>
      </c>
      <c r="DA923">
        <f>IF(ISBLANK('Data Entry'!$©$923), "", 'Data Entry'!$©$923)</f>
      </c>
      <c r="DB923">
        <f>IF(ISBLANK('Data Entry'!$ª$923), "", 'Data Entry'!$ª$923)</f>
      </c>
      <c r="DC923">
        <f>IF(ISBLANK('Data Entry'!$«$923), "", 'Data Entry'!$«$923)</f>
      </c>
      <c r="DD923">
        <f>IF(ISBLANK('Data Entry'!$¬$923), "", 'Data Entry'!$¬$923)</f>
      </c>
      <c r="DE923">
        <f>IF(ISBLANK('Data Entry'!$­$923), "", 'Data Entry'!$­$923)</f>
      </c>
      <c r="DF923">
        <f>IF(ISBLANK('Data Entry'!$®$923), "", 'Data Entry'!$®$923)</f>
      </c>
      <c r="DG923">
        <f>IF(ISBLANK('Data Entry'!$¯$923), "", 'Data Entry'!$¯$923)</f>
      </c>
      <c r="DH923">
        <f>IF(ISBLANK('Data Entry'!$°$923), "", 'Data Entry'!$°$923)</f>
      </c>
      <c r="DI923">
        <f>IF(ISBLANK('Data Entry'!$±$923), "", 'Data Entry'!$±$923)</f>
      </c>
      <c r="DJ923">
        <f>IF(ISBLANK('Data Entry'!$²$923), "", 'Data Entry'!$²$923)</f>
      </c>
      <c r="DK923">
        <f>IF(ISBLANK('Data Entry'!$³$923), "", 'Data Entry'!$³$923)</f>
      </c>
      <c r="DL923">
        <f>IF(ISBLANK('Data Entry'!$´$923), "", 'Data Entry'!$´$923)</f>
      </c>
      <c r="DM923">
        <f>IF(ISBLANK('Data Entry'!$µ$923), "", 'Data Entry'!$µ$923)</f>
      </c>
      <c r="DN923">
        <f>IF(ISBLANK('Data Entry'!$¶$923), "", 'Data Entry'!$¶$923)</f>
      </c>
      <c r="DO923">
        <f>IF(ISBLANK('Data Entry'!$·$923), "", 'Data Entry'!$·$923)</f>
      </c>
      <c r="DP923">
        <f>IF(ISBLANK('Data Entry'!$¸$923), "", 'Data Entry'!$¸$923)</f>
      </c>
      <c r="DQ923">
        <f>IF(ISBLANK('Data Entry'!$¹$923), "", 'Data Entry'!$¹$923)</f>
      </c>
      <c r="DR923">
        <f>IF(ISBLANK('Data Entry'!$º$923), "", 'Data Entry'!$º$923)</f>
      </c>
      <c r="DS923">
        <f>IF(ISBLANK('Data Entry'!$»$923), "", 'Data Entry'!$»$923)</f>
      </c>
      <c r="DT923">
        <f>IF(ISBLANK('Data Entry'!$¼$923), "", 'Data Entry'!$¼$923)</f>
      </c>
      <c r="DU923">
        <f>IF(ISBLANK('Data Entry'!$½$923), "", 'Data Entry'!$½$923)</f>
      </c>
      <c r="DV923">
        <f>IF(ISBLANK('Data Entry'!$¾$923), "", 'Data Entry'!$¾$923)</f>
      </c>
      <c r="DW923">
        <f>IF(ISBLANK('Data Entry'!$¿$923), "", 'Data Entry'!$¿$923)</f>
      </c>
      <c r="DX923">
        <f>IF(ISBLANK('Data Entry'!$À$923), "", 'Data Entry'!$À$923)</f>
      </c>
      <c r="DY923">
        <f>IF(ISBLANK('Data Entry'!$Á$923), "", 'Data Entry'!$Á$923)</f>
      </c>
      <c r="DZ923">
        <f>IF(ISBLANK('Data Entry'!$Â$923), "", 'Data Entry'!$Â$923)</f>
      </c>
      <c r="EA923">
        <f>IF(ISBLANK('Data Entry'!$Ã$923), "", 'Data Entry'!$Ã$923)</f>
      </c>
      <c r="EB923">
        <f>IF(ISBLANK('Data Entry'!$Ä$923), "", 'Data Entry'!$Ä$923)</f>
      </c>
      <c r="EC923">
        <f>IF(ISBLANK('Data Entry'!$Å$923), "", 'Data Entry'!$Å$923)</f>
      </c>
      <c r="ED923">
        <f>IF(ISBLANK('Data Entry'!$Æ$923), "", 'Data Entry'!$Æ$923)</f>
      </c>
      <c r="EE923">
        <f>IF(ISBLANK('Data Entry'!$Ç$923), "", 'Data Entry'!$Ç$923)</f>
      </c>
      <c r="EF923">
        <f>IF(ISBLANK('Data Entry'!$È$923), "", 'Data Entry'!$È$923)</f>
      </c>
      <c r="EG923">
        <f>IF(ISBLANK('Data Entry'!$É$923), "", 'Data Entry'!$É$923)</f>
      </c>
      <c r="EH923">
        <f>IF(ISBLANK('Data Entry'!$Ê$923), "", 'Data Entry'!$Ê$923)</f>
      </c>
      <c r="EI923">
        <f>IF(ISBLANK('Data Entry'!$Ë$923), "", 'Data Entry'!$Ë$923)</f>
      </c>
      <c r="EJ923">
        <f>IF(ISBLANK('Data Entry'!$Ì$923), "", 'Data Entry'!$Ì$923)</f>
      </c>
      <c r="EK923">
        <f>IF(ISBLANK('Data Entry'!$Í$923), "", 'Data Entry'!$Í$923)</f>
      </c>
      <c r="EL923">
        <f>IF(ISBLANK('Data Entry'!$Î$923), "", 'Data Entry'!$Î$923)</f>
      </c>
      <c r="EM923">
        <f>IF(ISBLANK('Data Entry'!$Ï$923), "", 'Data Entry'!$Ï$923)</f>
      </c>
      <c r="EN923">
        <f>IF(ISBLANK('Data Entry'!$Ð$923), "", 'Data Entry'!$Ð$923)</f>
      </c>
      <c r="EO923">
        <f>IF(ISBLANK('Data Entry'!$Ñ$923), "", 'Data Entry'!$Ñ$923)</f>
      </c>
      <c r="EP923">
        <f>IF(ISBLANK('Data Entry'!$Ò$923), "", 'Data Entry'!$Ò$923)</f>
      </c>
      <c r="EQ923">
        <f>IF(ISBLANK('Data Entry'!$Ó$923), "", 'Data Entry'!$Ó$923)</f>
      </c>
      <c r="ER923">
        <f>IF(ISBLANK('Data Entry'!$Ô$923), "", 'Data Entry'!$Ô$923)</f>
      </c>
      <c r="ES923">
        <f>IF(ISBLANK('Data Entry'!$Õ$923), "", 'Data Entry'!$Õ$923)</f>
      </c>
      <c r="ET923">
        <f>IF(ISBLANK('Data Entry'!$Ö$923), "", 'Data Entry'!$Ö$923)</f>
      </c>
      <c r="EU923">
        <f>IF(ISBLANK('Data Entry'!$×$923), "", 'Data Entry'!$×$923)</f>
      </c>
      <c r="EV923">
        <f>IF(ISBLANK('Data Entry'!$Ø$923), "", 'Data Entry'!$Ø$923)</f>
      </c>
      <c r="EW923">
        <f>IF(ISBLANK('Data Entry'!$Ù$923), "", 'Data Entry'!$Ù$923)</f>
      </c>
      <c r="EX923">
        <f>IF(ISBLANK('Data Entry'!$Ú$923), "", 'Data Entry'!$Ú$923)</f>
      </c>
      <c r="EY923">
        <f>IF(ISBLANK('Data Entry'!$Û$923), "", 'Data Entry'!$Û$923)</f>
      </c>
      <c r="EZ923">
        <f>IF(ISBLANK('Data Entry'!$Ü$923), "", 'Data Entry'!$Ü$923)</f>
      </c>
      <c r="FA923">
        <f>IF(ISBLANK('Data Entry'!$Ý$923), "", 'Data Entry'!$Ý$923)</f>
      </c>
      <c r="FB923">
        <f>IF(ISBLANK('Data Entry'!$Þ$923), "", 'Data Entry'!$Þ$923)</f>
      </c>
      <c r="FC923">
        <f>IF(ISBLANK('Data Entry'!$ß$923), "", 'Data Entry'!$ß$923)</f>
      </c>
      <c r="FD923">
        <f>IF(ISBLANK('Data Entry'!$à$923), "", 'Data Entry'!$à$923)</f>
      </c>
      <c r="FE923">
        <f>IF(ISBLANK('Data Entry'!$á$923), "", 'Data Entry'!$á$923)</f>
      </c>
      <c r="FF923">
        <f>IF(ISBLANK('Data Entry'!$â$923), "", 'Data Entry'!$â$923)</f>
      </c>
      <c r="FG923">
        <f>IF(ISBLANK('Data Entry'!$ã$923), "", 'Data Entry'!$ã$923)</f>
      </c>
      <c r="FH923">
        <f>IF(ISBLANK('Data Entry'!$ä$923), "", 'Data Entry'!$ä$923)</f>
      </c>
      <c r="FI923">
        <f>IF(ISBLANK('Data Entry'!$å$923), "", 'Data Entry'!$å$923)</f>
      </c>
      <c r="FJ923">
        <f>IF(ISBLANK('Data Entry'!$æ$923), "", 'Data Entry'!$æ$923)</f>
      </c>
      <c r="FK923">
        <f>IF(ISBLANK('Data Entry'!$ç$923), "", 'Data Entry'!$ç$923)</f>
      </c>
      <c r="FL923">
        <f>IF(ISBLANK('Data Entry'!$è$923), "", 'Data Entry'!$è$923)</f>
      </c>
      <c r="FM923">
        <f>IF(ISBLANK('Data Entry'!$é$923), "", 'Data Entry'!$é$923)</f>
      </c>
      <c r="FN923">
        <f>IF(ISBLANK('Data Entry'!$ê$923), "", 'Data Entry'!$ê$923)</f>
      </c>
      <c r="FO923">
        <f>IF(ISBLANK('Data Entry'!$ë$923), "", 'Data Entry'!$ë$923)</f>
      </c>
      <c r="FP923">
        <f>IF(ISBLANK('Data Entry'!$ì$923), "", 'Data Entry'!$ì$923)</f>
      </c>
      <c r="FQ923">
        <f>IF(ISBLANK('Data Entry'!$í$923), "", 'Data Entry'!$í$923)</f>
      </c>
      <c r="FR923">
        <f>IF(ISBLANK('Data Entry'!$î$923), "", 'Data Entry'!$î$923)</f>
      </c>
      <c r="FS923">
        <f>IF(ISBLANK('Data Entry'!$ï$923), "", 'Data Entry'!$ï$923)</f>
      </c>
      <c r="FT923">
        <f>IF(ISBLANK('Data Entry'!$ð$923), "", 'Data Entry'!$ð$923)</f>
      </c>
      <c r="FU923">
        <f>IF(ISBLANK('Data Entry'!$ñ$923), "", 'Data Entry'!$ñ$923)</f>
      </c>
      <c r="FV923">
        <f>IF(ISBLANK('Data Entry'!$ò$923), "", 'Data Entry'!$ò$923)</f>
      </c>
      <c r="FW923">
        <f>IF(ISBLANK('Data Entry'!$ó$923), "", 'Data Entry'!$ó$923)</f>
      </c>
      <c r="FX923">
        <f>IF(ISBLANK('Data Entry'!$ô$923), "", 'Data Entry'!$ô$923)</f>
      </c>
      <c r="FY923">
        <f>IF(ISBLANK('Data Entry'!$õ$923), "", 'Data Entry'!$õ$923)</f>
      </c>
      <c r="FZ923">
        <f>IF(ISBLANK('Data Entry'!$ö$923), "", 'Data Entry'!$ö$923)</f>
      </c>
      <c r="GA923">
        <f>IF(ISBLANK('Data Entry'!$÷$923), "", 'Data Entry'!$÷$923)</f>
      </c>
      <c r="GB923">
        <f>IF(ISBLANK('Data Entry'!$ø$923), "", 'Data Entry'!$ø$923)</f>
      </c>
      <c r="GC923">
        <f>IF(ISBLANK('Data Entry'!$ù$923), "", 'Data Entry'!$ù$923)</f>
      </c>
      <c r="GD923">
        <f>IF(ISBLANK('Data Entry'!$ú$923), "", 'Data Entry'!$ú$923)</f>
      </c>
      <c r="GE923">
        <f>IF(ISBLANK('Data Entry'!$û$923), "", 'Data Entry'!$û$923)</f>
      </c>
      <c r="GF923">
        <f>IF(ISBLANK('Data Entry'!$ü$923), "", 'Data Entry'!$ü$923)</f>
      </c>
      <c r="GG923">
        <f>IF(ISBLANK('Data Entry'!$ý$923), "", 'Data Entry'!$ý$923)</f>
      </c>
      <c r="GH923">
        <f>IF(ISBLANK('Data Entry'!$þ$923), "", 'Data Entry'!$þ$923)</f>
      </c>
      <c r="GI923">
        <f>IF(ISBLANK('Data Entry'!$ÿ$923), "", 'Data Entry'!$ÿ$923)</f>
      </c>
      <c r="GJ923">
        <f>IF(ISBLANK('Data Entry'!$Ā$923), "", 'Data Entry'!$Ā$923)</f>
      </c>
      <c r="GK923">
        <f>IF(ISBLANK('Data Entry'!$ā$923), "", 'Data Entry'!$ā$923)</f>
      </c>
      <c r="GL923">
        <f>IF(ISBLANK('Data Entry'!$Ă$923), "", 'Data Entry'!$Ă$923)</f>
      </c>
      <c r="GM923">
        <f>IF(ISBLANK('Data Entry'!$ă$923), "", 'Data Entry'!$ă$923)</f>
      </c>
      <c r="GN923">
        <f>IF(ISBLANK('Data Entry'!$Ą$923), "", 'Data Entry'!$Ą$923)</f>
      </c>
      <c r="GO923">
        <f>IF(ISBLANK('Data Entry'!$ą$923), "", 'Data Entry'!$ą$923)</f>
      </c>
      <c r="GP923">
        <f>IF(ISBLANK('Data Entry'!$Ć$923), "", 'Data Entry'!$Ć$923)</f>
      </c>
      <c r="GQ923">
        <f>IF(ISBLANK('Data Entry'!$ć$923), "", 'Data Entry'!$ć$923)</f>
      </c>
      <c r="GR923">
        <f>IF(ISBLANK('Data Entry'!$Ĉ$923), "", 'Data Entry'!$Ĉ$923)</f>
      </c>
      <c r="GS923">
        <f>IF(ISBLANK('Data Entry'!$ĉ$923), "", 'Data Entry'!$ĉ$923)</f>
      </c>
      <c r="GT923">
        <f>IF(ISBLANK('Data Entry'!$Ċ$923), "", 'Data Entry'!$Ċ$923)</f>
      </c>
      <c r="GU923">
        <f>IF(ISBLANK('Data Entry'!$ċ$923), "", 'Data Entry'!$ċ$923)</f>
      </c>
      <c r="GV923">
        <f>IF(ISBLANK('Data Entry'!$Č$923), "", 'Data Entry'!$Č$923)</f>
      </c>
      <c r="GW923">
        <f>IF(ISBLANK('Data Entry'!$č$923), "", 'Data Entry'!$č$923)</f>
      </c>
      <c r="GX923">
        <f>IF(ISBLANK('Data Entry'!$Ď$923), "", 'Data Entry'!$Ď$923)</f>
      </c>
      <c r="GY923">
        <f>IF(ISBLANK('Data Entry'!$ď$923), "", 'Data Entry'!$ď$923)</f>
      </c>
      <c r="GZ923">
        <f>IF(ISBLANK('Data Entry'!$Đ$923), "", 'Data Entry'!$Đ$923)</f>
      </c>
      <c r="HA923">
        <f>IF(ISBLANK('Data Entry'!$đ$923), "", 'Data Entry'!$đ$923)</f>
      </c>
      <c r="HB923">
        <f>IF(ISBLANK('Data Entry'!$Ē$923), "", 'Data Entry'!$Ē$923)</f>
      </c>
      <c r="HC923">
        <f>IF(ISBLANK('Data Entry'!$ē$923), "", 'Data Entry'!$ē$923)</f>
      </c>
      <c r="HD923">
        <f>IF(ISBLANK('Data Entry'!$Ĕ$923), "", 'Data Entry'!$Ĕ$923)</f>
      </c>
      <c r="HE923">
        <f>IF(ISBLANK('Data Entry'!$ĕ$923), "", 'Data Entry'!$ĕ$923)</f>
      </c>
      <c r="HF923">
        <f>IF(ISBLANK('Data Entry'!$Ė$923), "", 'Data Entry'!$Ė$923)</f>
      </c>
      <c r="HG923">
        <f>IF(ISBLANK('Data Entry'!$ė$923), "", 'Data Entry'!$ė$923)</f>
      </c>
      <c r="HH923">
        <f>IF(ISBLANK('Data Entry'!$Ę$923), "", 'Data Entry'!$Ę$923)</f>
      </c>
      <c r="HI923">
        <f>IF(ISBLANK('Data Entry'!$ę$923), "", 'Data Entry'!$ę$923)</f>
      </c>
      <c r="HJ923">
        <f>IF(ISBLANK('Data Entry'!$Ě$923), "", 'Data Entry'!$Ě$923)</f>
      </c>
      <c r="HK923">
        <f>IF(ISBLANK('Data Entry'!$ě$923), "", 'Data Entry'!$ě$923)</f>
      </c>
      <c r="HL923">
        <f>IF(ISBLANK('Data Entry'!$Ĝ$923), "", 'Data Entry'!$Ĝ$923)</f>
      </c>
      <c r="HM923">
        <f>IF(ISBLANK('Data Entry'!$ĝ$923), "", 'Data Entry'!$ĝ$923)</f>
      </c>
      <c r="HN923">
        <f>IF(ISBLANK('Data Entry'!$Ğ$923), "", 'Data Entry'!$Ğ$923)</f>
      </c>
      <c r="HO923">
        <f>IF(ISBLANK('Data Entry'!$ğ$923), "", 'Data Entry'!$ğ$923)</f>
      </c>
      <c r="HP923">
        <f>IF(ISBLANK('Data Entry'!$Ġ$923), "", 'Data Entry'!$Ġ$923)</f>
      </c>
      <c r="HQ923">
        <f>IF(ISBLANK('Data Entry'!$ġ$923), "", 'Data Entry'!$ġ$923)</f>
      </c>
      <c r="HR923">
        <f>IF(ISBLANK('Data Entry'!$Ģ$923), "", 'Data Entry'!$Ģ$923)</f>
      </c>
      <c r="HS923">
        <f>IF(ISBLANK('Data Entry'!$ģ$923), "", 'Data Entry'!$ģ$923)</f>
      </c>
      <c r="HT923">
        <f>IF(ISBLANK('Data Entry'!$Ĥ$923), "", 'Data Entry'!$Ĥ$923)</f>
      </c>
      <c r="HU923">
        <f>IF(ISBLANK('Data Entry'!$ĥ$923), "", 'Data Entry'!$ĥ$923)</f>
      </c>
      <c r="HV923">
        <f>IF(ISBLANK('Data Entry'!$Ħ$923), "", 'Data Entry'!$Ħ$923)</f>
      </c>
      <c r="HW923">
        <f>IF(ISBLANK('Data Entry'!$ħ$923), "", 'Data Entry'!$ħ$923)</f>
      </c>
      <c r="HX923">
        <f>IF(ISBLANK('Data Entry'!$Ĩ$923), "", 'Data Entry'!$Ĩ$923)</f>
      </c>
      <c r="HY923">
        <f>IF(ISBLANK('Data Entry'!$ĩ$923), "", 'Data Entry'!$ĩ$923)</f>
      </c>
      <c r="HZ923">
        <f>IF(ISBLANK('Data Entry'!$Ī$923), "", 'Data Entry'!$Ī$923)</f>
      </c>
      <c r="IA923">
        <f>IF(ISBLANK('Data Entry'!$ī$923), "", 'Data Entry'!$ī$923)</f>
      </c>
      <c r="IB923">
        <f>IF(ISBLANK('Data Entry'!$Ĭ$923), "", 'Data Entry'!$Ĭ$923)</f>
      </c>
      <c r="IC923">
        <f>IF(ISBLANK('Data Entry'!$ĭ$923), "", 'Data Entry'!$ĭ$923)</f>
      </c>
      <c r="ID923">
        <f>IF(ISBLANK('Data Entry'!$Į$923), "", 'Data Entry'!$Į$923)</f>
      </c>
      <c r="IE923">
        <f>IF(ISBLANK('Data Entry'!$į$923), "", 'Data Entry'!$į$923)</f>
      </c>
      <c r="IF923">
        <f>IF(ISBLANK('Data Entry'!$İ$923), "", 'Data Entry'!$İ$923)</f>
      </c>
      <c r="IG923">
        <f>IF(ISBLANK('Data Entry'!$ı$923), "", 'Data Entry'!$ı$923)</f>
      </c>
      <c r="IH923">
        <f>IF(ISBLANK('Data Entry'!$Ĳ$923), "", 'Data Entry'!$Ĳ$923)</f>
      </c>
      <c r="II923">
        <f>IF(ISBLANK('Data Entry'!$ĳ$923), "", 'Data Entry'!$ĳ$923)</f>
      </c>
      <c r="IJ923">
        <f>IF(ISBLANK('Data Entry'!$Ĵ$923), "", 'Data Entry'!$Ĵ$923)</f>
      </c>
      <c r="IK923">
        <f>IF(ISBLANK('Data Entry'!$ĵ$923), "", 'Data Entry'!$ĵ$923)</f>
      </c>
      <c r="IL923">
        <f>IF(ISBLANK('Data Entry'!$Ķ$923), "", 'Data Entry'!$Ķ$923)</f>
      </c>
      <c r="IM923">
        <f>IF(ISBLANK('Data Entry'!$ķ$923), "", 'Data Entry'!$ķ$923)</f>
      </c>
      <c r="IN923">
        <f>IF(ISBLANK('Data Entry'!$ĸ$923), "", 'Data Entry'!$ĸ$923)</f>
      </c>
      <c r="IO923">
        <f>IF(ISBLANK('Data Entry'!$Ĺ$923), "", 'Data Entry'!$Ĺ$923)</f>
      </c>
      <c r="IP923">
        <f>IF(ISBLANK('Data Entry'!$ĺ$923), "", 'Data Entry'!$ĺ$923)</f>
      </c>
      <c r="IQ923">
        <f>IF(ISBLANK('Data Entry'!$Ļ$923), "", 'Data Entry'!$Ļ$923)</f>
      </c>
      <c r="IR923">
        <f>IF(ISBLANK('Data Entry'!$ļ$923), "", 'Data Entry'!$ļ$923)</f>
      </c>
      <c r="IS923">
        <f>IF(ISBLANK('Data Entry'!$Ľ$923), "", 'Data Entry'!$Ľ$923)</f>
      </c>
      <c r="IT923">
        <f>IF(ISBLANK('Data Entry'!$ľ$923), "", 'Data Entry'!$ľ$923)</f>
      </c>
    </row>
    <row r="924" spans="1:254" x14ac:dyDescent="0.25">
      <c r="A924">
        <f>IF(ISBLANK('Data Entry'!$A$924), "", 'Data Entry'!$A$924)</f>
      </c>
      <c r="B924">
        <f>IF(ISBLANK('Data Entry'!$B$924), "", 'Data Entry'!$B$924)</f>
      </c>
      <c r="C924">
        <f>IF(ISBLANK('Data Entry'!$C$924), "", 'Data Entry'!$C$924)</f>
      </c>
      <c r="D924">
        <f>IF(ISBLANK('Data Entry'!$D$924), "", 'Data Entry'!$D$924)</f>
      </c>
      <c r="E924">
        <f>IF(ISBLANK('Data Entry'!$E$924), "", 'Data Entry'!$E$924)</f>
      </c>
      <c r="F924">
        <f>IF(ISBLANK('Data Entry'!$F$924), "", 'Data Entry'!$F$924)</f>
      </c>
      <c r="G924">
        <f>IF(ISBLANK('Data Entry'!$G$924), "", 'Data Entry'!$G$924)</f>
      </c>
      <c r="H924">
        <f>IF(ISBLANK('Data Entry'!$H$924), "", 'Data Entry'!$H$924)</f>
      </c>
      <c r="I924">
        <f>IF(ISBLANK('Data Entry'!$I$924), "", 'Data Entry'!$I$924)</f>
      </c>
      <c r="J924">
        <f>IF(ISBLANK('Data Entry'!$J$924), "", 'Data Entry'!$J$924)</f>
      </c>
      <c r="K924">
        <f>IF(ISBLANK('Data Entry'!$K$924), "", 'Data Entry'!$K$924)</f>
      </c>
      <c r="L924">
        <f>IF(ISBLANK('Data Entry'!$L$924), "", 'Data Entry'!$L$924)</f>
      </c>
      <c r="M924">
        <f>IF(ISBLANK('Data Entry'!$M$924), "", 'Data Entry'!$M$924)</f>
      </c>
      <c r="N924">
        <f>IF(ISBLANK('Data Entry'!$N$924), "", 'Data Entry'!$N$924)</f>
      </c>
      <c r="O924">
        <f>IF(ISBLANK('Data Entry'!$O$924), "", 'Data Entry'!$O$924)</f>
      </c>
      <c r="P924">
        <f>IF(ISBLANK('Data Entry'!$P$924), "", 'Data Entry'!$P$924)</f>
      </c>
      <c r="Q924">
        <f>IF(ISBLANK('Data Entry'!$Q$924), "", 'Data Entry'!$Q$924)</f>
      </c>
      <c r="R924">
        <f>IF(ISBLANK('Data Entry'!$R$924), "", 'Data Entry'!$R$924)</f>
      </c>
      <c r="S924">
        <f>IF(ISBLANK('Data Entry'!$S$924), "", 'Data Entry'!$S$924)</f>
      </c>
      <c r="T924">
        <f>IF(ISBLANK('Data Entry'!$T$924), "", 'Data Entry'!$T$924)</f>
      </c>
      <c r="U924">
        <f>IF(ISBLANK('Data Entry'!$U$924), "", 'Data Entry'!$U$924)</f>
      </c>
      <c r="V924">
        <f>IF(ISBLANK('Data Entry'!$V$924), "", 'Data Entry'!$V$924)</f>
      </c>
      <c r="W924">
        <f>IF(ISBLANK('Data Entry'!$W$924), "", 'Data Entry'!$W$924)</f>
      </c>
      <c r="X924">
        <f>IF(ISBLANK('Data Entry'!$X$924), "", 'Data Entry'!$X$924)</f>
      </c>
      <c r="Y924">
        <f>IF(ISBLANK('Data Entry'!$Y$924), "", 'Data Entry'!$Y$924)</f>
      </c>
      <c r="Z924">
        <f>IF(ISBLANK('Data Entry'!$Z$924), "", 'Data Entry'!$Z$924)</f>
      </c>
      <c r="AA924">
        <f>IF(ISBLANK('Data Entry'!$[$924), "", 'Data Entry'!$[$924)</f>
      </c>
      <c r="AB924">
        <f>IF(ISBLANK('Data Entry'!$\$924), "", 'Data Entry'!$\$924)</f>
      </c>
      <c r="AC924">
        <f>IF(ISBLANK('Data Entry'!$]$924), "", 'Data Entry'!$]$924)</f>
      </c>
      <c r="AD924">
        <f>IF(ISBLANK('Data Entry'!$^$924), "", 'Data Entry'!$^$924)</f>
      </c>
      <c r="AE924">
        <f>IF(ISBLANK('Data Entry'!$_$924), "", 'Data Entry'!$_$924)</f>
      </c>
      <c r="AF924">
        <f>IF(ISBLANK('Data Entry'!$`$924), "", 'Data Entry'!$`$924)</f>
      </c>
      <c r="AG924">
        <f>IF(ISBLANK('Data Entry'!$a$924), "", 'Data Entry'!$a$924)</f>
      </c>
      <c r="AH924">
        <f>IF(ISBLANK('Data Entry'!$b$924), "", 'Data Entry'!$b$924)</f>
      </c>
      <c r="AI924">
        <f>IF(ISBLANK('Data Entry'!$c$924), "", 'Data Entry'!$c$924)</f>
      </c>
      <c r="AJ924">
        <f>IF(ISBLANK('Data Entry'!$d$924), "", 'Data Entry'!$d$924)</f>
      </c>
      <c r="AK924">
        <f>IF(ISBLANK('Data Entry'!$e$924), "", 'Data Entry'!$e$924)</f>
      </c>
      <c r="AL924">
        <f>IF(ISBLANK('Data Entry'!$f$924), "", 'Data Entry'!$f$924)</f>
      </c>
      <c r="AM924">
        <f>IF(ISBLANK('Data Entry'!$g$924), "", 'Data Entry'!$g$924)</f>
      </c>
      <c r="AN924">
        <f>IF(ISBLANK('Data Entry'!$h$924), "", 'Data Entry'!$h$924)</f>
      </c>
      <c r="AO924">
        <f>IF(ISBLANK('Data Entry'!$i$924), "", 'Data Entry'!$i$924)</f>
      </c>
      <c r="AP924">
        <f>IF(ISBLANK('Data Entry'!$j$924), "", 'Data Entry'!$j$924)</f>
      </c>
      <c r="AQ924">
        <f>IF(ISBLANK('Data Entry'!$k$924), "", 'Data Entry'!$k$924)</f>
      </c>
      <c r="AR924">
        <f>IF(ISBLANK('Data Entry'!$l$924), "", 'Data Entry'!$l$924)</f>
      </c>
      <c r="AS924">
        <f>IF(ISBLANK('Data Entry'!$m$924), "", 'Data Entry'!$m$924)</f>
      </c>
      <c r="AT924">
        <f>IF(ISBLANK('Data Entry'!$n$924), "", 'Data Entry'!$n$924)</f>
      </c>
      <c r="AU924">
        <f>IF(ISBLANK('Data Entry'!$o$924), "", 'Data Entry'!$o$924)</f>
      </c>
      <c r="AV924">
        <f>IF(ISBLANK('Data Entry'!$p$924), "", 'Data Entry'!$p$924)</f>
      </c>
      <c r="AW924">
        <f>IF(ISBLANK('Data Entry'!$q$924), "", 'Data Entry'!$q$924)</f>
      </c>
      <c r="AX924">
        <f>IF(ISBLANK('Data Entry'!$r$924), "", 'Data Entry'!$r$924)</f>
      </c>
      <c r="AY924">
        <f>IF(ISBLANK('Data Entry'!$s$924), "", 'Data Entry'!$s$924)</f>
      </c>
      <c r="AZ924">
        <f>IF(ISBLANK('Data Entry'!$t$924), "", 'Data Entry'!$t$924)</f>
      </c>
      <c r="BA924">
        <f>IF(ISBLANK('Data Entry'!$u$924), "", 'Data Entry'!$u$924)</f>
      </c>
      <c r="BB924">
        <f>IF(ISBLANK('Data Entry'!$v$924), "", 'Data Entry'!$v$924)</f>
      </c>
      <c r="BC924">
        <f>IF(ISBLANK('Data Entry'!$w$924), "", 'Data Entry'!$w$924)</f>
      </c>
      <c r="BD924">
        <f>IF(ISBLANK('Data Entry'!$x$924), "", 'Data Entry'!$x$924)</f>
      </c>
      <c r="BE924">
        <f>IF(ISBLANK('Data Entry'!$y$924), "", 'Data Entry'!$y$924)</f>
      </c>
      <c r="BF924">
        <f>IF(ISBLANK('Data Entry'!$z$924), "", 'Data Entry'!$z$924)</f>
      </c>
      <c r="BG924">
        <f>IF(ISBLANK('Data Entry'!${$924), "", 'Data Entry'!${$924)</f>
      </c>
      <c r="BH924">
        <f>IF(ISBLANK('Data Entry'!$|$924), "", 'Data Entry'!$|$924)</f>
      </c>
      <c r="BI924">
        <f>IF(ISBLANK('Data Entry'!$}$924), "", 'Data Entry'!$}$924)</f>
      </c>
      <c r="BJ924">
        <f>IF(ISBLANK('Data Entry'!$~$924), "", 'Data Entry'!$~$924)</f>
      </c>
      <c r="BK924">
        <f>IF(ISBLANK('Data Entry'!$$924), "", 'Data Entry'!$$924)</f>
      </c>
      <c r="BL924">
        <f>IF(ISBLANK('Data Entry'!$$924), "", 'Data Entry'!$$924)</f>
      </c>
      <c r="BM924">
        <f>IF(ISBLANK('Data Entry'!$$924), "", 'Data Entry'!$$924)</f>
      </c>
      <c r="BN924">
        <f>IF(ISBLANK('Data Entry'!$$924), "", 'Data Entry'!$$924)</f>
      </c>
      <c r="BO924">
        <f>IF(ISBLANK('Data Entry'!$$924), "", 'Data Entry'!$$924)</f>
      </c>
      <c r="BP924">
        <f>IF(ISBLANK('Data Entry'!$$924), "", 'Data Entry'!$$924)</f>
      </c>
      <c r="BQ924">
        <f>IF(ISBLANK('Data Entry'!$$924), "", 'Data Entry'!$$924)</f>
      </c>
      <c r="BR924">
        <f>IF(ISBLANK('Data Entry'!$$924), "", 'Data Entry'!$$924)</f>
      </c>
      <c r="BS924">
        <f>IF(ISBLANK('Data Entry'!$$924), "", 'Data Entry'!$$924)</f>
      </c>
      <c r="BT924">
        <f>IF(ISBLANK('Data Entry'!$$924), "", 'Data Entry'!$$924)</f>
      </c>
      <c r="BU924">
        <f>IF(ISBLANK('Data Entry'!$$924), "", 'Data Entry'!$$924)</f>
      </c>
      <c r="BV924">
        <f>IF(ISBLANK('Data Entry'!$$924), "", 'Data Entry'!$$924)</f>
      </c>
      <c r="BW924">
        <f>IF(ISBLANK('Data Entry'!$$924), "", 'Data Entry'!$$924)</f>
      </c>
      <c r="BX924">
        <f>IF(ISBLANK('Data Entry'!$$924), "", 'Data Entry'!$$924)</f>
      </c>
      <c r="BY924">
        <f>IF(ISBLANK('Data Entry'!$$924), "", 'Data Entry'!$$924)</f>
      </c>
      <c r="BZ924">
        <f>IF(ISBLANK('Data Entry'!$$924), "", 'Data Entry'!$$924)</f>
      </c>
      <c r="CA924">
        <f>IF(ISBLANK('Data Entry'!$$924), "", 'Data Entry'!$$924)</f>
      </c>
      <c r="CB924">
        <f>IF(ISBLANK('Data Entry'!$$924), "", 'Data Entry'!$$924)</f>
      </c>
      <c r="CC924">
        <f>IF(ISBLANK('Data Entry'!$$924), "", 'Data Entry'!$$924)</f>
      </c>
      <c r="CD924">
        <f>IF(ISBLANK('Data Entry'!$$924), "", 'Data Entry'!$$924)</f>
      </c>
      <c r="CE924">
        <f>IF(ISBLANK('Data Entry'!$$924), "", 'Data Entry'!$$924)</f>
      </c>
      <c r="CF924">
        <f>IF(ISBLANK('Data Entry'!$$924), "", 'Data Entry'!$$924)</f>
      </c>
      <c r="CG924">
        <f>IF(ISBLANK('Data Entry'!$$924), "", 'Data Entry'!$$924)</f>
      </c>
      <c r="CH924">
        <f>IF(ISBLANK('Data Entry'!$$924), "", 'Data Entry'!$$924)</f>
      </c>
      <c r="CI924">
        <f>IF(ISBLANK('Data Entry'!$$924), "", 'Data Entry'!$$924)</f>
      </c>
      <c r="CJ924">
        <f>IF(ISBLANK('Data Entry'!$$924), "", 'Data Entry'!$$924)</f>
      </c>
      <c r="CK924">
        <f>IF(ISBLANK('Data Entry'!$$924), "", 'Data Entry'!$$924)</f>
      </c>
      <c r="CL924">
        <f>IF(ISBLANK('Data Entry'!$$924), "", 'Data Entry'!$$924)</f>
      </c>
      <c r="CM924">
        <f>IF(ISBLANK('Data Entry'!$$924), "", 'Data Entry'!$$924)</f>
      </c>
      <c r="CN924">
        <f>IF(ISBLANK('Data Entry'!$$924), "", 'Data Entry'!$$924)</f>
      </c>
      <c r="CO924">
        <f>IF(ISBLANK('Data Entry'!$$924), "", 'Data Entry'!$$924)</f>
      </c>
      <c r="CP924">
        <f>IF(ISBLANK('Data Entry'!$$924), "", 'Data Entry'!$$924)</f>
      </c>
      <c r="CQ924">
        <f>IF(ISBLANK('Data Entry'!$$924), "", 'Data Entry'!$$924)</f>
      </c>
      <c r="CR924">
        <f>IF(ISBLANK('Data Entry'!$ $924), "", 'Data Entry'!$ $924)</f>
      </c>
      <c r="CS924">
        <f>IF(ISBLANK('Data Entry'!$¡$924), "", 'Data Entry'!$¡$924)</f>
      </c>
      <c r="CT924">
        <f>IF(ISBLANK('Data Entry'!$¢$924), "", 'Data Entry'!$¢$924)</f>
      </c>
      <c r="CU924">
        <f>IF(ISBLANK('Data Entry'!$£$924), "", 'Data Entry'!$£$924)</f>
      </c>
      <c r="CV924">
        <f>IF(ISBLANK('Data Entry'!$¤$924), "", 'Data Entry'!$¤$924)</f>
      </c>
      <c r="CW924">
        <f>IF(ISBLANK('Data Entry'!$¥$924), "", 'Data Entry'!$¥$924)</f>
      </c>
      <c r="CX924">
        <f>IF(ISBLANK('Data Entry'!$¦$924), "", 'Data Entry'!$¦$924)</f>
      </c>
      <c r="CY924">
        <f>IF(ISBLANK('Data Entry'!$§$924), "", 'Data Entry'!$§$924)</f>
      </c>
      <c r="CZ924">
        <f>IF(ISBLANK('Data Entry'!$¨$924), "", 'Data Entry'!$¨$924)</f>
      </c>
      <c r="DA924">
        <f>IF(ISBLANK('Data Entry'!$©$924), "", 'Data Entry'!$©$924)</f>
      </c>
      <c r="DB924">
        <f>IF(ISBLANK('Data Entry'!$ª$924), "", 'Data Entry'!$ª$924)</f>
      </c>
      <c r="DC924">
        <f>IF(ISBLANK('Data Entry'!$«$924), "", 'Data Entry'!$«$924)</f>
      </c>
      <c r="DD924">
        <f>IF(ISBLANK('Data Entry'!$¬$924), "", 'Data Entry'!$¬$924)</f>
      </c>
      <c r="DE924">
        <f>IF(ISBLANK('Data Entry'!$­$924), "", 'Data Entry'!$­$924)</f>
      </c>
      <c r="DF924">
        <f>IF(ISBLANK('Data Entry'!$®$924), "", 'Data Entry'!$®$924)</f>
      </c>
      <c r="DG924">
        <f>IF(ISBLANK('Data Entry'!$¯$924), "", 'Data Entry'!$¯$924)</f>
      </c>
      <c r="DH924">
        <f>IF(ISBLANK('Data Entry'!$°$924), "", 'Data Entry'!$°$924)</f>
      </c>
      <c r="DI924">
        <f>IF(ISBLANK('Data Entry'!$±$924), "", 'Data Entry'!$±$924)</f>
      </c>
      <c r="DJ924">
        <f>IF(ISBLANK('Data Entry'!$²$924), "", 'Data Entry'!$²$924)</f>
      </c>
      <c r="DK924">
        <f>IF(ISBLANK('Data Entry'!$³$924), "", 'Data Entry'!$³$924)</f>
      </c>
      <c r="DL924">
        <f>IF(ISBLANK('Data Entry'!$´$924), "", 'Data Entry'!$´$924)</f>
      </c>
      <c r="DM924">
        <f>IF(ISBLANK('Data Entry'!$µ$924), "", 'Data Entry'!$µ$924)</f>
      </c>
      <c r="DN924">
        <f>IF(ISBLANK('Data Entry'!$¶$924), "", 'Data Entry'!$¶$924)</f>
      </c>
      <c r="DO924">
        <f>IF(ISBLANK('Data Entry'!$·$924), "", 'Data Entry'!$·$924)</f>
      </c>
      <c r="DP924">
        <f>IF(ISBLANK('Data Entry'!$¸$924), "", 'Data Entry'!$¸$924)</f>
      </c>
      <c r="DQ924">
        <f>IF(ISBLANK('Data Entry'!$¹$924), "", 'Data Entry'!$¹$924)</f>
      </c>
      <c r="DR924">
        <f>IF(ISBLANK('Data Entry'!$º$924), "", 'Data Entry'!$º$924)</f>
      </c>
      <c r="DS924">
        <f>IF(ISBLANK('Data Entry'!$»$924), "", 'Data Entry'!$»$924)</f>
      </c>
      <c r="DT924">
        <f>IF(ISBLANK('Data Entry'!$¼$924), "", 'Data Entry'!$¼$924)</f>
      </c>
      <c r="DU924">
        <f>IF(ISBLANK('Data Entry'!$½$924), "", 'Data Entry'!$½$924)</f>
      </c>
      <c r="DV924">
        <f>IF(ISBLANK('Data Entry'!$¾$924), "", 'Data Entry'!$¾$924)</f>
      </c>
      <c r="DW924">
        <f>IF(ISBLANK('Data Entry'!$¿$924), "", 'Data Entry'!$¿$924)</f>
      </c>
      <c r="DX924">
        <f>IF(ISBLANK('Data Entry'!$À$924), "", 'Data Entry'!$À$924)</f>
      </c>
      <c r="DY924">
        <f>IF(ISBLANK('Data Entry'!$Á$924), "", 'Data Entry'!$Á$924)</f>
      </c>
      <c r="DZ924">
        <f>IF(ISBLANK('Data Entry'!$Â$924), "", 'Data Entry'!$Â$924)</f>
      </c>
      <c r="EA924">
        <f>IF(ISBLANK('Data Entry'!$Ã$924), "", 'Data Entry'!$Ã$924)</f>
      </c>
      <c r="EB924">
        <f>IF(ISBLANK('Data Entry'!$Ä$924), "", 'Data Entry'!$Ä$924)</f>
      </c>
      <c r="EC924">
        <f>IF(ISBLANK('Data Entry'!$Å$924), "", 'Data Entry'!$Å$924)</f>
      </c>
      <c r="ED924">
        <f>IF(ISBLANK('Data Entry'!$Æ$924), "", 'Data Entry'!$Æ$924)</f>
      </c>
      <c r="EE924">
        <f>IF(ISBLANK('Data Entry'!$Ç$924), "", 'Data Entry'!$Ç$924)</f>
      </c>
      <c r="EF924">
        <f>IF(ISBLANK('Data Entry'!$È$924), "", 'Data Entry'!$È$924)</f>
      </c>
      <c r="EG924">
        <f>IF(ISBLANK('Data Entry'!$É$924), "", 'Data Entry'!$É$924)</f>
      </c>
      <c r="EH924">
        <f>IF(ISBLANK('Data Entry'!$Ê$924), "", 'Data Entry'!$Ê$924)</f>
      </c>
      <c r="EI924">
        <f>IF(ISBLANK('Data Entry'!$Ë$924), "", 'Data Entry'!$Ë$924)</f>
      </c>
      <c r="EJ924">
        <f>IF(ISBLANK('Data Entry'!$Ì$924), "", 'Data Entry'!$Ì$924)</f>
      </c>
      <c r="EK924">
        <f>IF(ISBLANK('Data Entry'!$Í$924), "", 'Data Entry'!$Í$924)</f>
      </c>
      <c r="EL924">
        <f>IF(ISBLANK('Data Entry'!$Î$924), "", 'Data Entry'!$Î$924)</f>
      </c>
      <c r="EM924">
        <f>IF(ISBLANK('Data Entry'!$Ï$924), "", 'Data Entry'!$Ï$924)</f>
      </c>
      <c r="EN924">
        <f>IF(ISBLANK('Data Entry'!$Ð$924), "", 'Data Entry'!$Ð$924)</f>
      </c>
      <c r="EO924">
        <f>IF(ISBLANK('Data Entry'!$Ñ$924), "", 'Data Entry'!$Ñ$924)</f>
      </c>
      <c r="EP924">
        <f>IF(ISBLANK('Data Entry'!$Ò$924), "", 'Data Entry'!$Ò$924)</f>
      </c>
      <c r="EQ924">
        <f>IF(ISBLANK('Data Entry'!$Ó$924), "", 'Data Entry'!$Ó$924)</f>
      </c>
      <c r="ER924">
        <f>IF(ISBLANK('Data Entry'!$Ô$924), "", 'Data Entry'!$Ô$924)</f>
      </c>
      <c r="ES924">
        <f>IF(ISBLANK('Data Entry'!$Õ$924), "", 'Data Entry'!$Õ$924)</f>
      </c>
      <c r="ET924">
        <f>IF(ISBLANK('Data Entry'!$Ö$924), "", 'Data Entry'!$Ö$924)</f>
      </c>
      <c r="EU924">
        <f>IF(ISBLANK('Data Entry'!$×$924), "", 'Data Entry'!$×$924)</f>
      </c>
      <c r="EV924">
        <f>IF(ISBLANK('Data Entry'!$Ø$924), "", 'Data Entry'!$Ø$924)</f>
      </c>
      <c r="EW924">
        <f>IF(ISBLANK('Data Entry'!$Ù$924), "", 'Data Entry'!$Ù$924)</f>
      </c>
      <c r="EX924">
        <f>IF(ISBLANK('Data Entry'!$Ú$924), "", 'Data Entry'!$Ú$924)</f>
      </c>
      <c r="EY924">
        <f>IF(ISBLANK('Data Entry'!$Û$924), "", 'Data Entry'!$Û$924)</f>
      </c>
      <c r="EZ924">
        <f>IF(ISBLANK('Data Entry'!$Ü$924), "", 'Data Entry'!$Ü$924)</f>
      </c>
      <c r="FA924">
        <f>IF(ISBLANK('Data Entry'!$Ý$924), "", 'Data Entry'!$Ý$924)</f>
      </c>
      <c r="FB924">
        <f>IF(ISBLANK('Data Entry'!$Þ$924), "", 'Data Entry'!$Þ$924)</f>
      </c>
      <c r="FC924">
        <f>IF(ISBLANK('Data Entry'!$ß$924), "", 'Data Entry'!$ß$924)</f>
      </c>
      <c r="FD924">
        <f>IF(ISBLANK('Data Entry'!$à$924), "", 'Data Entry'!$à$924)</f>
      </c>
      <c r="FE924">
        <f>IF(ISBLANK('Data Entry'!$á$924), "", 'Data Entry'!$á$924)</f>
      </c>
      <c r="FF924">
        <f>IF(ISBLANK('Data Entry'!$â$924), "", 'Data Entry'!$â$924)</f>
      </c>
      <c r="FG924">
        <f>IF(ISBLANK('Data Entry'!$ã$924), "", 'Data Entry'!$ã$924)</f>
      </c>
      <c r="FH924">
        <f>IF(ISBLANK('Data Entry'!$ä$924), "", 'Data Entry'!$ä$924)</f>
      </c>
      <c r="FI924">
        <f>IF(ISBLANK('Data Entry'!$å$924), "", 'Data Entry'!$å$924)</f>
      </c>
      <c r="FJ924">
        <f>IF(ISBLANK('Data Entry'!$æ$924), "", 'Data Entry'!$æ$924)</f>
      </c>
      <c r="FK924">
        <f>IF(ISBLANK('Data Entry'!$ç$924), "", 'Data Entry'!$ç$924)</f>
      </c>
      <c r="FL924">
        <f>IF(ISBLANK('Data Entry'!$è$924), "", 'Data Entry'!$è$924)</f>
      </c>
      <c r="FM924">
        <f>IF(ISBLANK('Data Entry'!$é$924), "", 'Data Entry'!$é$924)</f>
      </c>
      <c r="FN924">
        <f>IF(ISBLANK('Data Entry'!$ê$924), "", 'Data Entry'!$ê$924)</f>
      </c>
      <c r="FO924">
        <f>IF(ISBLANK('Data Entry'!$ë$924), "", 'Data Entry'!$ë$924)</f>
      </c>
      <c r="FP924">
        <f>IF(ISBLANK('Data Entry'!$ì$924), "", 'Data Entry'!$ì$924)</f>
      </c>
      <c r="FQ924">
        <f>IF(ISBLANK('Data Entry'!$í$924), "", 'Data Entry'!$í$924)</f>
      </c>
      <c r="FR924">
        <f>IF(ISBLANK('Data Entry'!$î$924), "", 'Data Entry'!$î$924)</f>
      </c>
      <c r="FS924">
        <f>IF(ISBLANK('Data Entry'!$ï$924), "", 'Data Entry'!$ï$924)</f>
      </c>
      <c r="FT924">
        <f>IF(ISBLANK('Data Entry'!$ð$924), "", 'Data Entry'!$ð$924)</f>
      </c>
      <c r="FU924">
        <f>IF(ISBLANK('Data Entry'!$ñ$924), "", 'Data Entry'!$ñ$924)</f>
      </c>
      <c r="FV924">
        <f>IF(ISBLANK('Data Entry'!$ò$924), "", 'Data Entry'!$ò$924)</f>
      </c>
      <c r="FW924">
        <f>IF(ISBLANK('Data Entry'!$ó$924), "", 'Data Entry'!$ó$924)</f>
      </c>
      <c r="FX924">
        <f>IF(ISBLANK('Data Entry'!$ô$924), "", 'Data Entry'!$ô$924)</f>
      </c>
      <c r="FY924">
        <f>IF(ISBLANK('Data Entry'!$õ$924), "", 'Data Entry'!$õ$924)</f>
      </c>
      <c r="FZ924">
        <f>IF(ISBLANK('Data Entry'!$ö$924), "", 'Data Entry'!$ö$924)</f>
      </c>
      <c r="GA924">
        <f>IF(ISBLANK('Data Entry'!$÷$924), "", 'Data Entry'!$÷$924)</f>
      </c>
      <c r="GB924">
        <f>IF(ISBLANK('Data Entry'!$ø$924), "", 'Data Entry'!$ø$924)</f>
      </c>
      <c r="GC924">
        <f>IF(ISBLANK('Data Entry'!$ù$924), "", 'Data Entry'!$ù$924)</f>
      </c>
      <c r="GD924">
        <f>IF(ISBLANK('Data Entry'!$ú$924), "", 'Data Entry'!$ú$924)</f>
      </c>
      <c r="GE924">
        <f>IF(ISBLANK('Data Entry'!$û$924), "", 'Data Entry'!$û$924)</f>
      </c>
      <c r="GF924">
        <f>IF(ISBLANK('Data Entry'!$ü$924), "", 'Data Entry'!$ü$924)</f>
      </c>
      <c r="GG924">
        <f>IF(ISBLANK('Data Entry'!$ý$924), "", 'Data Entry'!$ý$924)</f>
      </c>
      <c r="GH924">
        <f>IF(ISBLANK('Data Entry'!$þ$924), "", 'Data Entry'!$þ$924)</f>
      </c>
      <c r="GI924">
        <f>IF(ISBLANK('Data Entry'!$ÿ$924), "", 'Data Entry'!$ÿ$924)</f>
      </c>
      <c r="GJ924">
        <f>IF(ISBLANK('Data Entry'!$Ā$924), "", 'Data Entry'!$Ā$924)</f>
      </c>
      <c r="GK924">
        <f>IF(ISBLANK('Data Entry'!$ā$924), "", 'Data Entry'!$ā$924)</f>
      </c>
      <c r="GL924">
        <f>IF(ISBLANK('Data Entry'!$Ă$924), "", 'Data Entry'!$Ă$924)</f>
      </c>
      <c r="GM924">
        <f>IF(ISBLANK('Data Entry'!$ă$924), "", 'Data Entry'!$ă$924)</f>
      </c>
      <c r="GN924">
        <f>IF(ISBLANK('Data Entry'!$Ą$924), "", 'Data Entry'!$Ą$924)</f>
      </c>
      <c r="GO924">
        <f>IF(ISBLANK('Data Entry'!$ą$924), "", 'Data Entry'!$ą$924)</f>
      </c>
      <c r="GP924">
        <f>IF(ISBLANK('Data Entry'!$Ć$924), "", 'Data Entry'!$Ć$924)</f>
      </c>
      <c r="GQ924">
        <f>IF(ISBLANK('Data Entry'!$ć$924), "", 'Data Entry'!$ć$924)</f>
      </c>
      <c r="GR924">
        <f>IF(ISBLANK('Data Entry'!$Ĉ$924), "", 'Data Entry'!$Ĉ$924)</f>
      </c>
      <c r="GS924">
        <f>IF(ISBLANK('Data Entry'!$ĉ$924), "", 'Data Entry'!$ĉ$924)</f>
      </c>
      <c r="GT924">
        <f>IF(ISBLANK('Data Entry'!$Ċ$924), "", 'Data Entry'!$Ċ$924)</f>
      </c>
      <c r="GU924">
        <f>IF(ISBLANK('Data Entry'!$ċ$924), "", 'Data Entry'!$ċ$924)</f>
      </c>
      <c r="GV924">
        <f>IF(ISBLANK('Data Entry'!$Č$924), "", 'Data Entry'!$Č$924)</f>
      </c>
      <c r="GW924">
        <f>IF(ISBLANK('Data Entry'!$č$924), "", 'Data Entry'!$č$924)</f>
      </c>
      <c r="GX924">
        <f>IF(ISBLANK('Data Entry'!$Ď$924), "", 'Data Entry'!$Ď$924)</f>
      </c>
      <c r="GY924">
        <f>IF(ISBLANK('Data Entry'!$ď$924), "", 'Data Entry'!$ď$924)</f>
      </c>
      <c r="GZ924">
        <f>IF(ISBLANK('Data Entry'!$Đ$924), "", 'Data Entry'!$Đ$924)</f>
      </c>
      <c r="HA924">
        <f>IF(ISBLANK('Data Entry'!$đ$924), "", 'Data Entry'!$đ$924)</f>
      </c>
      <c r="HB924">
        <f>IF(ISBLANK('Data Entry'!$Ē$924), "", 'Data Entry'!$Ē$924)</f>
      </c>
      <c r="HC924">
        <f>IF(ISBLANK('Data Entry'!$ē$924), "", 'Data Entry'!$ē$924)</f>
      </c>
      <c r="HD924">
        <f>IF(ISBLANK('Data Entry'!$Ĕ$924), "", 'Data Entry'!$Ĕ$924)</f>
      </c>
      <c r="HE924">
        <f>IF(ISBLANK('Data Entry'!$ĕ$924), "", 'Data Entry'!$ĕ$924)</f>
      </c>
      <c r="HF924">
        <f>IF(ISBLANK('Data Entry'!$Ė$924), "", 'Data Entry'!$Ė$924)</f>
      </c>
      <c r="HG924">
        <f>IF(ISBLANK('Data Entry'!$ė$924), "", 'Data Entry'!$ė$924)</f>
      </c>
      <c r="HH924">
        <f>IF(ISBLANK('Data Entry'!$Ę$924), "", 'Data Entry'!$Ę$924)</f>
      </c>
      <c r="HI924">
        <f>IF(ISBLANK('Data Entry'!$ę$924), "", 'Data Entry'!$ę$924)</f>
      </c>
      <c r="HJ924">
        <f>IF(ISBLANK('Data Entry'!$Ě$924), "", 'Data Entry'!$Ě$924)</f>
      </c>
      <c r="HK924">
        <f>IF(ISBLANK('Data Entry'!$ě$924), "", 'Data Entry'!$ě$924)</f>
      </c>
      <c r="HL924">
        <f>IF(ISBLANK('Data Entry'!$Ĝ$924), "", 'Data Entry'!$Ĝ$924)</f>
      </c>
      <c r="HM924">
        <f>IF(ISBLANK('Data Entry'!$ĝ$924), "", 'Data Entry'!$ĝ$924)</f>
      </c>
      <c r="HN924">
        <f>IF(ISBLANK('Data Entry'!$Ğ$924), "", 'Data Entry'!$Ğ$924)</f>
      </c>
      <c r="HO924">
        <f>IF(ISBLANK('Data Entry'!$ğ$924), "", 'Data Entry'!$ğ$924)</f>
      </c>
      <c r="HP924">
        <f>IF(ISBLANK('Data Entry'!$Ġ$924), "", 'Data Entry'!$Ġ$924)</f>
      </c>
      <c r="HQ924">
        <f>IF(ISBLANK('Data Entry'!$ġ$924), "", 'Data Entry'!$ġ$924)</f>
      </c>
      <c r="HR924">
        <f>IF(ISBLANK('Data Entry'!$Ģ$924), "", 'Data Entry'!$Ģ$924)</f>
      </c>
      <c r="HS924">
        <f>IF(ISBLANK('Data Entry'!$ģ$924), "", 'Data Entry'!$ģ$924)</f>
      </c>
      <c r="HT924">
        <f>IF(ISBLANK('Data Entry'!$Ĥ$924), "", 'Data Entry'!$Ĥ$924)</f>
      </c>
      <c r="HU924">
        <f>IF(ISBLANK('Data Entry'!$ĥ$924), "", 'Data Entry'!$ĥ$924)</f>
      </c>
      <c r="HV924">
        <f>IF(ISBLANK('Data Entry'!$Ħ$924), "", 'Data Entry'!$Ħ$924)</f>
      </c>
      <c r="HW924">
        <f>IF(ISBLANK('Data Entry'!$ħ$924), "", 'Data Entry'!$ħ$924)</f>
      </c>
      <c r="HX924">
        <f>IF(ISBLANK('Data Entry'!$Ĩ$924), "", 'Data Entry'!$Ĩ$924)</f>
      </c>
      <c r="HY924">
        <f>IF(ISBLANK('Data Entry'!$ĩ$924), "", 'Data Entry'!$ĩ$924)</f>
      </c>
      <c r="HZ924">
        <f>IF(ISBLANK('Data Entry'!$Ī$924), "", 'Data Entry'!$Ī$924)</f>
      </c>
      <c r="IA924">
        <f>IF(ISBLANK('Data Entry'!$ī$924), "", 'Data Entry'!$ī$924)</f>
      </c>
      <c r="IB924">
        <f>IF(ISBLANK('Data Entry'!$Ĭ$924), "", 'Data Entry'!$Ĭ$924)</f>
      </c>
      <c r="IC924">
        <f>IF(ISBLANK('Data Entry'!$ĭ$924), "", 'Data Entry'!$ĭ$924)</f>
      </c>
      <c r="ID924">
        <f>IF(ISBLANK('Data Entry'!$Į$924), "", 'Data Entry'!$Į$924)</f>
      </c>
      <c r="IE924">
        <f>IF(ISBLANK('Data Entry'!$į$924), "", 'Data Entry'!$į$924)</f>
      </c>
      <c r="IF924">
        <f>IF(ISBLANK('Data Entry'!$İ$924), "", 'Data Entry'!$İ$924)</f>
      </c>
      <c r="IG924">
        <f>IF(ISBLANK('Data Entry'!$ı$924), "", 'Data Entry'!$ı$924)</f>
      </c>
      <c r="IH924">
        <f>IF(ISBLANK('Data Entry'!$Ĳ$924), "", 'Data Entry'!$Ĳ$924)</f>
      </c>
      <c r="II924">
        <f>IF(ISBLANK('Data Entry'!$ĳ$924), "", 'Data Entry'!$ĳ$924)</f>
      </c>
      <c r="IJ924">
        <f>IF(ISBLANK('Data Entry'!$Ĵ$924), "", 'Data Entry'!$Ĵ$924)</f>
      </c>
      <c r="IK924">
        <f>IF(ISBLANK('Data Entry'!$ĵ$924), "", 'Data Entry'!$ĵ$924)</f>
      </c>
      <c r="IL924">
        <f>IF(ISBLANK('Data Entry'!$Ķ$924), "", 'Data Entry'!$Ķ$924)</f>
      </c>
      <c r="IM924">
        <f>IF(ISBLANK('Data Entry'!$ķ$924), "", 'Data Entry'!$ķ$924)</f>
      </c>
      <c r="IN924">
        <f>IF(ISBLANK('Data Entry'!$ĸ$924), "", 'Data Entry'!$ĸ$924)</f>
      </c>
      <c r="IO924">
        <f>IF(ISBLANK('Data Entry'!$Ĺ$924), "", 'Data Entry'!$Ĺ$924)</f>
      </c>
      <c r="IP924">
        <f>IF(ISBLANK('Data Entry'!$ĺ$924), "", 'Data Entry'!$ĺ$924)</f>
      </c>
      <c r="IQ924">
        <f>IF(ISBLANK('Data Entry'!$Ļ$924), "", 'Data Entry'!$Ļ$924)</f>
      </c>
      <c r="IR924">
        <f>IF(ISBLANK('Data Entry'!$ļ$924), "", 'Data Entry'!$ļ$924)</f>
      </c>
      <c r="IS924">
        <f>IF(ISBLANK('Data Entry'!$Ľ$924), "", 'Data Entry'!$Ľ$924)</f>
      </c>
      <c r="IT924">
        <f>IF(ISBLANK('Data Entry'!$ľ$924), "", 'Data Entry'!$ľ$924)</f>
      </c>
    </row>
    <row r="925" spans="1:254" x14ac:dyDescent="0.25">
      <c r="A925">
        <f>IF(ISBLANK('Data Entry'!$A$925), "", 'Data Entry'!$A$925)</f>
      </c>
      <c r="B925">
        <f>IF(ISBLANK('Data Entry'!$B$925), "", 'Data Entry'!$B$925)</f>
      </c>
      <c r="C925">
        <f>IF(ISBLANK('Data Entry'!$C$925), "", 'Data Entry'!$C$925)</f>
      </c>
      <c r="D925">
        <f>IF(ISBLANK('Data Entry'!$D$925), "", 'Data Entry'!$D$925)</f>
      </c>
      <c r="E925">
        <f>IF(ISBLANK('Data Entry'!$E$925), "", 'Data Entry'!$E$925)</f>
      </c>
      <c r="F925">
        <f>IF(ISBLANK('Data Entry'!$F$925), "", 'Data Entry'!$F$925)</f>
      </c>
      <c r="G925">
        <f>IF(ISBLANK('Data Entry'!$G$925), "", 'Data Entry'!$G$925)</f>
      </c>
      <c r="H925">
        <f>IF(ISBLANK('Data Entry'!$H$925), "", 'Data Entry'!$H$925)</f>
      </c>
      <c r="I925">
        <f>IF(ISBLANK('Data Entry'!$I$925), "", 'Data Entry'!$I$925)</f>
      </c>
      <c r="J925">
        <f>IF(ISBLANK('Data Entry'!$J$925), "", 'Data Entry'!$J$925)</f>
      </c>
      <c r="K925">
        <f>IF(ISBLANK('Data Entry'!$K$925), "", 'Data Entry'!$K$925)</f>
      </c>
      <c r="L925">
        <f>IF(ISBLANK('Data Entry'!$L$925), "", 'Data Entry'!$L$925)</f>
      </c>
      <c r="M925">
        <f>IF(ISBLANK('Data Entry'!$M$925), "", 'Data Entry'!$M$925)</f>
      </c>
      <c r="N925">
        <f>IF(ISBLANK('Data Entry'!$N$925), "", 'Data Entry'!$N$925)</f>
      </c>
      <c r="O925">
        <f>IF(ISBLANK('Data Entry'!$O$925), "", 'Data Entry'!$O$925)</f>
      </c>
      <c r="P925">
        <f>IF(ISBLANK('Data Entry'!$P$925), "", 'Data Entry'!$P$925)</f>
      </c>
      <c r="Q925">
        <f>IF(ISBLANK('Data Entry'!$Q$925), "", 'Data Entry'!$Q$925)</f>
      </c>
      <c r="R925">
        <f>IF(ISBLANK('Data Entry'!$R$925), "", 'Data Entry'!$R$925)</f>
      </c>
      <c r="S925">
        <f>IF(ISBLANK('Data Entry'!$S$925), "", 'Data Entry'!$S$925)</f>
      </c>
      <c r="T925">
        <f>IF(ISBLANK('Data Entry'!$T$925), "", 'Data Entry'!$T$925)</f>
      </c>
      <c r="U925">
        <f>IF(ISBLANK('Data Entry'!$U$925), "", 'Data Entry'!$U$925)</f>
      </c>
      <c r="V925">
        <f>IF(ISBLANK('Data Entry'!$V$925), "", 'Data Entry'!$V$925)</f>
      </c>
      <c r="W925">
        <f>IF(ISBLANK('Data Entry'!$W$925), "", 'Data Entry'!$W$925)</f>
      </c>
      <c r="X925">
        <f>IF(ISBLANK('Data Entry'!$X$925), "", 'Data Entry'!$X$925)</f>
      </c>
      <c r="Y925">
        <f>IF(ISBLANK('Data Entry'!$Y$925), "", 'Data Entry'!$Y$925)</f>
      </c>
      <c r="Z925">
        <f>IF(ISBLANK('Data Entry'!$Z$925), "", 'Data Entry'!$Z$925)</f>
      </c>
      <c r="AA925">
        <f>IF(ISBLANK('Data Entry'!$[$925), "", 'Data Entry'!$[$925)</f>
      </c>
      <c r="AB925">
        <f>IF(ISBLANK('Data Entry'!$\$925), "", 'Data Entry'!$\$925)</f>
      </c>
      <c r="AC925">
        <f>IF(ISBLANK('Data Entry'!$]$925), "", 'Data Entry'!$]$925)</f>
      </c>
      <c r="AD925">
        <f>IF(ISBLANK('Data Entry'!$^$925), "", 'Data Entry'!$^$925)</f>
      </c>
      <c r="AE925">
        <f>IF(ISBLANK('Data Entry'!$_$925), "", 'Data Entry'!$_$925)</f>
      </c>
      <c r="AF925">
        <f>IF(ISBLANK('Data Entry'!$`$925), "", 'Data Entry'!$`$925)</f>
      </c>
      <c r="AG925">
        <f>IF(ISBLANK('Data Entry'!$a$925), "", 'Data Entry'!$a$925)</f>
      </c>
      <c r="AH925">
        <f>IF(ISBLANK('Data Entry'!$b$925), "", 'Data Entry'!$b$925)</f>
      </c>
      <c r="AI925">
        <f>IF(ISBLANK('Data Entry'!$c$925), "", 'Data Entry'!$c$925)</f>
      </c>
      <c r="AJ925">
        <f>IF(ISBLANK('Data Entry'!$d$925), "", 'Data Entry'!$d$925)</f>
      </c>
      <c r="AK925">
        <f>IF(ISBLANK('Data Entry'!$e$925), "", 'Data Entry'!$e$925)</f>
      </c>
      <c r="AL925">
        <f>IF(ISBLANK('Data Entry'!$f$925), "", 'Data Entry'!$f$925)</f>
      </c>
      <c r="AM925">
        <f>IF(ISBLANK('Data Entry'!$g$925), "", 'Data Entry'!$g$925)</f>
      </c>
      <c r="AN925">
        <f>IF(ISBLANK('Data Entry'!$h$925), "", 'Data Entry'!$h$925)</f>
      </c>
      <c r="AO925">
        <f>IF(ISBLANK('Data Entry'!$i$925), "", 'Data Entry'!$i$925)</f>
      </c>
      <c r="AP925">
        <f>IF(ISBLANK('Data Entry'!$j$925), "", 'Data Entry'!$j$925)</f>
      </c>
      <c r="AQ925">
        <f>IF(ISBLANK('Data Entry'!$k$925), "", 'Data Entry'!$k$925)</f>
      </c>
      <c r="AR925">
        <f>IF(ISBLANK('Data Entry'!$l$925), "", 'Data Entry'!$l$925)</f>
      </c>
      <c r="AS925">
        <f>IF(ISBLANK('Data Entry'!$m$925), "", 'Data Entry'!$m$925)</f>
      </c>
      <c r="AT925">
        <f>IF(ISBLANK('Data Entry'!$n$925), "", 'Data Entry'!$n$925)</f>
      </c>
      <c r="AU925">
        <f>IF(ISBLANK('Data Entry'!$o$925), "", 'Data Entry'!$o$925)</f>
      </c>
      <c r="AV925">
        <f>IF(ISBLANK('Data Entry'!$p$925), "", 'Data Entry'!$p$925)</f>
      </c>
      <c r="AW925">
        <f>IF(ISBLANK('Data Entry'!$q$925), "", 'Data Entry'!$q$925)</f>
      </c>
      <c r="AX925">
        <f>IF(ISBLANK('Data Entry'!$r$925), "", 'Data Entry'!$r$925)</f>
      </c>
      <c r="AY925">
        <f>IF(ISBLANK('Data Entry'!$s$925), "", 'Data Entry'!$s$925)</f>
      </c>
      <c r="AZ925">
        <f>IF(ISBLANK('Data Entry'!$t$925), "", 'Data Entry'!$t$925)</f>
      </c>
      <c r="BA925">
        <f>IF(ISBLANK('Data Entry'!$u$925), "", 'Data Entry'!$u$925)</f>
      </c>
      <c r="BB925">
        <f>IF(ISBLANK('Data Entry'!$v$925), "", 'Data Entry'!$v$925)</f>
      </c>
      <c r="BC925">
        <f>IF(ISBLANK('Data Entry'!$w$925), "", 'Data Entry'!$w$925)</f>
      </c>
      <c r="BD925">
        <f>IF(ISBLANK('Data Entry'!$x$925), "", 'Data Entry'!$x$925)</f>
      </c>
      <c r="BE925">
        <f>IF(ISBLANK('Data Entry'!$y$925), "", 'Data Entry'!$y$925)</f>
      </c>
      <c r="BF925">
        <f>IF(ISBLANK('Data Entry'!$z$925), "", 'Data Entry'!$z$925)</f>
      </c>
      <c r="BG925">
        <f>IF(ISBLANK('Data Entry'!${$925), "", 'Data Entry'!${$925)</f>
      </c>
      <c r="BH925">
        <f>IF(ISBLANK('Data Entry'!$|$925), "", 'Data Entry'!$|$925)</f>
      </c>
      <c r="BI925">
        <f>IF(ISBLANK('Data Entry'!$}$925), "", 'Data Entry'!$}$925)</f>
      </c>
      <c r="BJ925">
        <f>IF(ISBLANK('Data Entry'!$~$925), "", 'Data Entry'!$~$925)</f>
      </c>
      <c r="BK925">
        <f>IF(ISBLANK('Data Entry'!$$925), "", 'Data Entry'!$$925)</f>
      </c>
      <c r="BL925">
        <f>IF(ISBLANK('Data Entry'!$$925), "", 'Data Entry'!$$925)</f>
      </c>
      <c r="BM925">
        <f>IF(ISBLANK('Data Entry'!$$925), "", 'Data Entry'!$$925)</f>
      </c>
      <c r="BN925">
        <f>IF(ISBLANK('Data Entry'!$$925), "", 'Data Entry'!$$925)</f>
      </c>
      <c r="BO925">
        <f>IF(ISBLANK('Data Entry'!$$925), "", 'Data Entry'!$$925)</f>
      </c>
      <c r="BP925">
        <f>IF(ISBLANK('Data Entry'!$$925), "", 'Data Entry'!$$925)</f>
      </c>
      <c r="BQ925">
        <f>IF(ISBLANK('Data Entry'!$$925), "", 'Data Entry'!$$925)</f>
      </c>
      <c r="BR925">
        <f>IF(ISBLANK('Data Entry'!$$925), "", 'Data Entry'!$$925)</f>
      </c>
      <c r="BS925">
        <f>IF(ISBLANK('Data Entry'!$$925), "", 'Data Entry'!$$925)</f>
      </c>
      <c r="BT925">
        <f>IF(ISBLANK('Data Entry'!$$925), "", 'Data Entry'!$$925)</f>
      </c>
      <c r="BU925">
        <f>IF(ISBLANK('Data Entry'!$$925), "", 'Data Entry'!$$925)</f>
      </c>
      <c r="BV925">
        <f>IF(ISBLANK('Data Entry'!$$925), "", 'Data Entry'!$$925)</f>
      </c>
      <c r="BW925">
        <f>IF(ISBLANK('Data Entry'!$$925), "", 'Data Entry'!$$925)</f>
      </c>
      <c r="BX925">
        <f>IF(ISBLANK('Data Entry'!$$925), "", 'Data Entry'!$$925)</f>
      </c>
      <c r="BY925">
        <f>IF(ISBLANK('Data Entry'!$$925), "", 'Data Entry'!$$925)</f>
      </c>
      <c r="BZ925">
        <f>IF(ISBLANK('Data Entry'!$$925), "", 'Data Entry'!$$925)</f>
      </c>
      <c r="CA925">
        <f>IF(ISBLANK('Data Entry'!$$925), "", 'Data Entry'!$$925)</f>
      </c>
      <c r="CB925">
        <f>IF(ISBLANK('Data Entry'!$$925), "", 'Data Entry'!$$925)</f>
      </c>
      <c r="CC925">
        <f>IF(ISBLANK('Data Entry'!$$925), "", 'Data Entry'!$$925)</f>
      </c>
      <c r="CD925">
        <f>IF(ISBLANK('Data Entry'!$$925), "", 'Data Entry'!$$925)</f>
      </c>
      <c r="CE925">
        <f>IF(ISBLANK('Data Entry'!$$925), "", 'Data Entry'!$$925)</f>
      </c>
      <c r="CF925">
        <f>IF(ISBLANK('Data Entry'!$$925), "", 'Data Entry'!$$925)</f>
      </c>
      <c r="CG925">
        <f>IF(ISBLANK('Data Entry'!$$925), "", 'Data Entry'!$$925)</f>
      </c>
      <c r="CH925">
        <f>IF(ISBLANK('Data Entry'!$$925), "", 'Data Entry'!$$925)</f>
      </c>
      <c r="CI925">
        <f>IF(ISBLANK('Data Entry'!$$925), "", 'Data Entry'!$$925)</f>
      </c>
      <c r="CJ925">
        <f>IF(ISBLANK('Data Entry'!$$925), "", 'Data Entry'!$$925)</f>
      </c>
      <c r="CK925">
        <f>IF(ISBLANK('Data Entry'!$$925), "", 'Data Entry'!$$925)</f>
      </c>
      <c r="CL925">
        <f>IF(ISBLANK('Data Entry'!$$925), "", 'Data Entry'!$$925)</f>
      </c>
      <c r="CM925">
        <f>IF(ISBLANK('Data Entry'!$$925), "", 'Data Entry'!$$925)</f>
      </c>
      <c r="CN925">
        <f>IF(ISBLANK('Data Entry'!$$925), "", 'Data Entry'!$$925)</f>
      </c>
      <c r="CO925">
        <f>IF(ISBLANK('Data Entry'!$$925), "", 'Data Entry'!$$925)</f>
      </c>
      <c r="CP925">
        <f>IF(ISBLANK('Data Entry'!$$925), "", 'Data Entry'!$$925)</f>
      </c>
      <c r="CQ925">
        <f>IF(ISBLANK('Data Entry'!$$925), "", 'Data Entry'!$$925)</f>
      </c>
      <c r="CR925">
        <f>IF(ISBLANK('Data Entry'!$ $925), "", 'Data Entry'!$ $925)</f>
      </c>
      <c r="CS925">
        <f>IF(ISBLANK('Data Entry'!$¡$925), "", 'Data Entry'!$¡$925)</f>
      </c>
      <c r="CT925">
        <f>IF(ISBLANK('Data Entry'!$¢$925), "", 'Data Entry'!$¢$925)</f>
      </c>
      <c r="CU925">
        <f>IF(ISBLANK('Data Entry'!$£$925), "", 'Data Entry'!$£$925)</f>
      </c>
      <c r="CV925">
        <f>IF(ISBLANK('Data Entry'!$¤$925), "", 'Data Entry'!$¤$925)</f>
      </c>
      <c r="CW925">
        <f>IF(ISBLANK('Data Entry'!$¥$925), "", 'Data Entry'!$¥$925)</f>
      </c>
      <c r="CX925">
        <f>IF(ISBLANK('Data Entry'!$¦$925), "", 'Data Entry'!$¦$925)</f>
      </c>
      <c r="CY925">
        <f>IF(ISBLANK('Data Entry'!$§$925), "", 'Data Entry'!$§$925)</f>
      </c>
      <c r="CZ925">
        <f>IF(ISBLANK('Data Entry'!$¨$925), "", 'Data Entry'!$¨$925)</f>
      </c>
      <c r="DA925">
        <f>IF(ISBLANK('Data Entry'!$©$925), "", 'Data Entry'!$©$925)</f>
      </c>
      <c r="DB925">
        <f>IF(ISBLANK('Data Entry'!$ª$925), "", 'Data Entry'!$ª$925)</f>
      </c>
      <c r="DC925">
        <f>IF(ISBLANK('Data Entry'!$«$925), "", 'Data Entry'!$«$925)</f>
      </c>
      <c r="DD925">
        <f>IF(ISBLANK('Data Entry'!$¬$925), "", 'Data Entry'!$¬$925)</f>
      </c>
      <c r="DE925">
        <f>IF(ISBLANK('Data Entry'!$­$925), "", 'Data Entry'!$­$925)</f>
      </c>
      <c r="DF925">
        <f>IF(ISBLANK('Data Entry'!$®$925), "", 'Data Entry'!$®$925)</f>
      </c>
      <c r="DG925">
        <f>IF(ISBLANK('Data Entry'!$¯$925), "", 'Data Entry'!$¯$925)</f>
      </c>
      <c r="DH925">
        <f>IF(ISBLANK('Data Entry'!$°$925), "", 'Data Entry'!$°$925)</f>
      </c>
      <c r="DI925">
        <f>IF(ISBLANK('Data Entry'!$±$925), "", 'Data Entry'!$±$925)</f>
      </c>
      <c r="DJ925">
        <f>IF(ISBLANK('Data Entry'!$²$925), "", 'Data Entry'!$²$925)</f>
      </c>
      <c r="DK925">
        <f>IF(ISBLANK('Data Entry'!$³$925), "", 'Data Entry'!$³$925)</f>
      </c>
      <c r="DL925">
        <f>IF(ISBLANK('Data Entry'!$´$925), "", 'Data Entry'!$´$925)</f>
      </c>
      <c r="DM925">
        <f>IF(ISBLANK('Data Entry'!$µ$925), "", 'Data Entry'!$µ$925)</f>
      </c>
      <c r="DN925">
        <f>IF(ISBLANK('Data Entry'!$¶$925), "", 'Data Entry'!$¶$925)</f>
      </c>
      <c r="DO925">
        <f>IF(ISBLANK('Data Entry'!$·$925), "", 'Data Entry'!$·$925)</f>
      </c>
      <c r="DP925">
        <f>IF(ISBLANK('Data Entry'!$¸$925), "", 'Data Entry'!$¸$925)</f>
      </c>
      <c r="DQ925">
        <f>IF(ISBLANK('Data Entry'!$¹$925), "", 'Data Entry'!$¹$925)</f>
      </c>
      <c r="DR925">
        <f>IF(ISBLANK('Data Entry'!$º$925), "", 'Data Entry'!$º$925)</f>
      </c>
      <c r="DS925">
        <f>IF(ISBLANK('Data Entry'!$»$925), "", 'Data Entry'!$»$925)</f>
      </c>
      <c r="DT925">
        <f>IF(ISBLANK('Data Entry'!$¼$925), "", 'Data Entry'!$¼$925)</f>
      </c>
      <c r="DU925">
        <f>IF(ISBLANK('Data Entry'!$½$925), "", 'Data Entry'!$½$925)</f>
      </c>
      <c r="DV925">
        <f>IF(ISBLANK('Data Entry'!$¾$925), "", 'Data Entry'!$¾$925)</f>
      </c>
      <c r="DW925">
        <f>IF(ISBLANK('Data Entry'!$¿$925), "", 'Data Entry'!$¿$925)</f>
      </c>
      <c r="DX925">
        <f>IF(ISBLANK('Data Entry'!$À$925), "", 'Data Entry'!$À$925)</f>
      </c>
      <c r="DY925">
        <f>IF(ISBLANK('Data Entry'!$Á$925), "", 'Data Entry'!$Á$925)</f>
      </c>
      <c r="DZ925">
        <f>IF(ISBLANK('Data Entry'!$Â$925), "", 'Data Entry'!$Â$925)</f>
      </c>
      <c r="EA925">
        <f>IF(ISBLANK('Data Entry'!$Ã$925), "", 'Data Entry'!$Ã$925)</f>
      </c>
      <c r="EB925">
        <f>IF(ISBLANK('Data Entry'!$Ä$925), "", 'Data Entry'!$Ä$925)</f>
      </c>
      <c r="EC925">
        <f>IF(ISBLANK('Data Entry'!$Å$925), "", 'Data Entry'!$Å$925)</f>
      </c>
      <c r="ED925">
        <f>IF(ISBLANK('Data Entry'!$Æ$925), "", 'Data Entry'!$Æ$925)</f>
      </c>
      <c r="EE925">
        <f>IF(ISBLANK('Data Entry'!$Ç$925), "", 'Data Entry'!$Ç$925)</f>
      </c>
      <c r="EF925">
        <f>IF(ISBLANK('Data Entry'!$È$925), "", 'Data Entry'!$È$925)</f>
      </c>
      <c r="EG925">
        <f>IF(ISBLANK('Data Entry'!$É$925), "", 'Data Entry'!$É$925)</f>
      </c>
      <c r="EH925">
        <f>IF(ISBLANK('Data Entry'!$Ê$925), "", 'Data Entry'!$Ê$925)</f>
      </c>
      <c r="EI925">
        <f>IF(ISBLANK('Data Entry'!$Ë$925), "", 'Data Entry'!$Ë$925)</f>
      </c>
      <c r="EJ925">
        <f>IF(ISBLANK('Data Entry'!$Ì$925), "", 'Data Entry'!$Ì$925)</f>
      </c>
      <c r="EK925">
        <f>IF(ISBLANK('Data Entry'!$Í$925), "", 'Data Entry'!$Í$925)</f>
      </c>
      <c r="EL925">
        <f>IF(ISBLANK('Data Entry'!$Î$925), "", 'Data Entry'!$Î$925)</f>
      </c>
      <c r="EM925">
        <f>IF(ISBLANK('Data Entry'!$Ï$925), "", 'Data Entry'!$Ï$925)</f>
      </c>
      <c r="EN925">
        <f>IF(ISBLANK('Data Entry'!$Ð$925), "", 'Data Entry'!$Ð$925)</f>
      </c>
      <c r="EO925">
        <f>IF(ISBLANK('Data Entry'!$Ñ$925), "", 'Data Entry'!$Ñ$925)</f>
      </c>
      <c r="EP925">
        <f>IF(ISBLANK('Data Entry'!$Ò$925), "", 'Data Entry'!$Ò$925)</f>
      </c>
      <c r="EQ925">
        <f>IF(ISBLANK('Data Entry'!$Ó$925), "", 'Data Entry'!$Ó$925)</f>
      </c>
      <c r="ER925">
        <f>IF(ISBLANK('Data Entry'!$Ô$925), "", 'Data Entry'!$Ô$925)</f>
      </c>
      <c r="ES925">
        <f>IF(ISBLANK('Data Entry'!$Õ$925), "", 'Data Entry'!$Õ$925)</f>
      </c>
      <c r="ET925">
        <f>IF(ISBLANK('Data Entry'!$Ö$925), "", 'Data Entry'!$Ö$925)</f>
      </c>
      <c r="EU925">
        <f>IF(ISBLANK('Data Entry'!$×$925), "", 'Data Entry'!$×$925)</f>
      </c>
      <c r="EV925">
        <f>IF(ISBLANK('Data Entry'!$Ø$925), "", 'Data Entry'!$Ø$925)</f>
      </c>
      <c r="EW925">
        <f>IF(ISBLANK('Data Entry'!$Ù$925), "", 'Data Entry'!$Ù$925)</f>
      </c>
      <c r="EX925">
        <f>IF(ISBLANK('Data Entry'!$Ú$925), "", 'Data Entry'!$Ú$925)</f>
      </c>
      <c r="EY925">
        <f>IF(ISBLANK('Data Entry'!$Û$925), "", 'Data Entry'!$Û$925)</f>
      </c>
      <c r="EZ925">
        <f>IF(ISBLANK('Data Entry'!$Ü$925), "", 'Data Entry'!$Ü$925)</f>
      </c>
      <c r="FA925">
        <f>IF(ISBLANK('Data Entry'!$Ý$925), "", 'Data Entry'!$Ý$925)</f>
      </c>
      <c r="FB925">
        <f>IF(ISBLANK('Data Entry'!$Þ$925), "", 'Data Entry'!$Þ$925)</f>
      </c>
      <c r="FC925">
        <f>IF(ISBLANK('Data Entry'!$ß$925), "", 'Data Entry'!$ß$925)</f>
      </c>
      <c r="FD925">
        <f>IF(ISBLANK('Data Entry'!$à$925), "", 'Data Entry'!$à$925)</f>
      </c>
      <c r="FE925">
        <f>IF(ISBLANK('Data Entry'!$á$925), "", 'Data Entry'!$á$925)</f>
      </c>
      <c r="FF925">
        <f>IF(ISBLANK('Data Entry'!$â$925), "", 'Data Entry'!$â$925)</f>
      </c>
      <c r="FG925">
        <f>IF(ISBLANK('Data Entry'!$ã$925), "", 'Data Entry'!$ã$925)</f>
      </c>
      <c r="FH925">
        <f>IF(ISBLANK('Data Entry'!$ä$925), "", 'Data Entry'!$ä$925)</f>
      </c>
      <c r="FI925">
        <f>IF(ISBLANK('Data Entry'!$å$925), "", 'Data Entry'!$å$925)</f>
      </c>
      <c r="FJ925">
        <f>IF(ISBLANK('Data Entry'!$æ$925), "", 'Data Entry'!$æ$925)</f>
      </c>
      <c r="FK925">
        <f>IF(ISBLANK('Data Entry'!$ç$925), "", 'Data Entry'!$ç$925)</f>
      </c>
      <c r="FL925">
        <f>IF(ISBLANK('Data Entry'!$è$925), "", 'Data Entry'!$è$925)</f>
      </c>
      <c r="FM925">
        <f>IF(ISBLANK('Data Entry'!$é$925), "", 'Data Entry'!$é$925)</f>
      </c>
      <c r="FN925">
        <f>IF(ISBLANK('Data Entry'!$ê$925), "", 'Data Entry'!$ê$925)</f>
      </c>
      <c r="FO925">
        <f>IF(ISBLANK('Data Entry'!$ë$925), "", 'Data Entry'!$ë$925)</f>
      </c>
      <c r="FP925">
        <f>IF(ISBLANK('Data Entry'!$ì$925), "", 'Data Entry'!$ì$925)</f>
      </c>
      <c r="FQ925">
        <f>IF(ISBLANK('Data Entry'!$í$925), "", 'Data Entry'!$í$925)</f>
      </c>
      <c r="FR925">
        <f>IF(ISBLANK('Data Entry'!$î$925), "", 'Data Entry'!$î$925)</f>
      </c>
      <c r="FS925">
        <f>IF(ISBLANK('Data Entry'!$ï$925), "", 'Data Entry'!$ï$925)</f>
      </c>
      <c r="FT925">
        <f>IF(ISBLANK('Data Entry'!$ð$925), "", 'Data Entry'!$ð$925)</f>
      </c>
      <c r="FU925">
        <f>IF(ISBLANK('Data Entry'!$ñ$925), "", 'Data Entry'!$ñ$925)</f>
      </c>
      <c r="FV925">
        <f>IF(ISBLANK('Data Entry'!$ò$925), "", 'Data Entry'!$ò$925)</f>
      </c>
      <c r="FW925">
        <f>IF(ISBLANK('Data Entry'!$ó$925), "", 'Data Entry'!$ó$925)</f>
      </c>
      <c r="FX925">
        <f>IF(ISBLANK('Data Entry'!$ô$925), "", 'Data Entry'!$ô$925)</f>
      </c>
      <c r="FY925">
        <f>IF(ISBLANK('Data Entry'!$õ$925), "", 'Data Entry'!$õ$925)</f>
      </c>
      <c r="FZ925">
        <f>IF(ISBLANK('Data Entry'!$ö$925), "", 'Data Entry'!$ö$925)</f>
      </c>
      <c r="GA925">
        <f>IF(ISBLANK('Data Entry'!$÷$925), "", 'Data Entry'!$÷$925)</f>
      </c>
      <c r="GB925">
        <f>IF(ISBLANK('Data Entry'!$ø$925), "", 'Data Entry'!$ø$925)</f>
      </c>
      <c r="GC925">
        <f>IF(ISBLANK('Data Entry'!$ù$925), "", 'Data Entry'!$ù$925)</f>
      </c>
      <c r="GD925">
        <f>IF(ISBLANK('Data Entry'!$ú$925), "", 'Data Entry'!$ú$925)</f>
      </c>
      <c r="GE925">
        <f>IF(ISBLANK('Data Entry'!$û$925), "", 'Data Entry'!$û$925)</f>
      </c>
      <c r="GF925">
        <f>IF(ISBLANK('Data Entry'!$ü$925), "", 'Data Entry'!$ü$925)</f>
      </c>
      <c r="GG925">
        <f>IF(ISBLANK('Data Entry'!$ý$925), "", 'Data Entry'!$ý$925)</f>
      </c>
      <c r="GH925">
        <f>IF(ISBLANK('Data Entry'!$þ$925), "", 'Data Entry'!$þ$925)</f>
      </c>
      <c r="GI925">
        <f>IF(ISBLANK('Data Entry'!$ÿ$925), "", 'Data Entry'!$ÿ$925)</f>
      </c>
      <c r="GJ925">
        <f>IF(ISBLANK('Data Entry'!$Ā$925), "", 'Data Entry'!$Ā$925)</f>
      </c>
      <c r="GK925">
        <f>IF(ISBLANK('Data Entry'!$ā$925), "", 'Data Entry'!$ā$925)</f>
      </c>
      <c r="GL925">
        <f>IF(ISBLANK('Data Entry'!$Ă$925), "", 'Data Entry'!$Ă$925)</f>
      </c>
      <c r="GM925">
        <f>IF(ISBLANK('Data Entry'!$ă$925), "", 'Data Entry'!$ă$925)</f>
      </c>
      <c r="GN925">
        <f>IF(ISBLANK('Data Entry'!$Ą$925), "", 'Data Entry'!$Ą$925)</f>
      </c>
      <c r="GO925">
        <f>IF(ISBLANK('Data Entry'!$ą$925), "", 'Data Entry'!$ą$925)</f>
      </c>
      <c r="GP925">
        <f>IF(ISBLANK('Data Entry'!$Ć$925), "", 'Data Entry'!$Ć$925)</f>
      </c>
      <c r="GQ925">
        <f>IF(ISBLANK('Data Entry'!$ć$925), "", 'Data Entry'!$ć$925)</f>
      </c>
      <c r="GR925">
        <f>IF(ISBLANK('Data Entry'!$Ĉ$925), "", 'Data Entry'!$Ĉ$925)</f>
      </c>
      <c r="GS925">
        <f>IF(ISBLANK('Data Entry'!$ĉ$925), "", 'Data Entry'!$ĉ$925)</f>
      </c>
      <c r="GT925">
        <f>IF(ISBLANK('Data Entry'!$Ċ$925), "", 'Data Entry'!$Ċ$925)</f>
      </c>
      <c r="GU925">
        <f>IF(ISBLANK('Data Entry'!$ċ$925), "", 'Data Entry'!$ċ$925)</f>
      </c>
      <c r="GV925">
        <f>IF(ISBLANK('Data Entry'!$Č$925), "", 'Data Entry'!$Č$925)</f>
      </c>
      <c r="GW925">
        <f>IF(ISBLANK('Data Entry'!$č$925), "", 'Data Entry'!$č$925)</f>
      </c>
      <c r="GX925">
        <f>IF(ISBLANK('Data Entry'!$Ď$925), "", 'Data Entry'!$Ď$925)</f>
      </c>
      <c r="GY925">
        <f>IF(ISBLANK('Data Entry'!$ď$925), "", 'Data Entry'!$ď$925)</f>
      </c>
      <c r="GZ925">
        <f>IF(ISBLANK('Data Entry'!$Đ$925), "", 'Data Entry'!$Đ$925)</f>
      </c>
      <c r="HA925">
        <f>IF(ISBLANK('Data Entry'!$đ$925), "", 'Data Entry'!$đ$925)</f>
      </c>
      <c r="HB925">
        <f>IF(ISBLANK('Data Entry'!$Ē$925), "", 'Data Entry'!$Ē$925)</f>
      </c>
      <c r="HC925">
        <f>IF(ISBLANK('Data Entry'!$ē$925), "", 'Data Entry'!$ē$925)</f>
      </c>
      <c r="HD925">
        <f>IF(ISBLANK('Data Entry'!$Ĕ$925), "", 'Data Entry'!$Ĕ$925)</f>
      </c>
      <c r="HE925">
        <f>IF(ISBLANK('Data Entry'!$ĕ$925), "", 'Data Entry'!$ĕ$925)</f>
      </c>
      <c r="HF925">
        <f>IF(ISBLANK('Data Entry'!$Ė$925), "", 'Data Entry'!$Ė$925)</f>
      </c>
      <c r="HG925">
        <f>IF(ISBLANK('Data Entry'!$ė$925), "", 'Data Entry'!$ė$925)</f>
      </c>
      <c r="HH925">
        <f>IF(ISBLANK('Data Entry'!$Ę$925), "", 'Data Entry'!$Ę$925)</f>
      </c>
      <c r="HI925">
        <f>IF(ISBLANK('Data Entry'!$ę$925), "", 'Data Entry'!$ę$925)</f>
      </c>
      <c r="HJ925">
        <f>IF(ISBLANK('Data Entry'!$Ě$925), "", 'Data Entry'!$Ě$925)</f>
      </c>
      <c r="HK925">
        <f>IF(ISBLANK('Data Entry'!$ě$925), "", 'Data Entry'!$ě$925)</f>
      </c>
      <c r="HL925">
        <f>IF(ISBLANK('Data Entry'!$Ĝ$925), "", 'Data Entry'!$Ĝ$925)</f>
      </c>
      <c r="HM925">
        <f>IF(ISBLANK('Data Entry'!$ĝ$925), "", 'Data Entry'!$ĝ$925)</f>
      </c>
      <c r="HN925">
        <f>IF(ISBLANK('Data Entry'!$Ğ$925), "", 'Data Entry'!$Ğ$925)</f>
      </c>
      <c r="HO925">
        <f>IF(ISBLANK('Data Entry'!$ğ$925), "", 'Data Entry'!$ğ$925)</f>
      </c>
      <c r="HP925">
        <f>IF(ISBLANK('Data Entry'!$Ġ$925), "", 'Data Entry'!$Ġ$925)</f>
      </c>
      <c r="HQ925">
        <f>IF(ISBLANK('Data Entry'!$ġ$925), "", 'Data Entry'!$ġ$925)</f>
      </c>
      <c r="HR925">
        <f>IF(ISBLANK('Data Entry'!$Ģ$925), "", 'Data Entry'!$Ģ$925)</f>
      </c>
      <c r="HS925">
        <f>IF(ISBLANK('Data Entry'!$ģ$925), "", 'Data Entry'!$ģ$925)</f>
      </c>
      <c r="HT925">
        <f>IF(ISBLANK('Data Entry'!$Ĥ$925), "", 'Data Entry'!$Ĥ$925)</f>
      </c>
      <c r="HU925">
        <f>IF(ISBLANK('Data Entry'!$ĥ$925), "", 'Data Entry'!$ĥ$925)</f>
      </c>
      <c r="HV925">
        <f>IF(ISBLANK('Data Entry'!$Ħ$925), "", 'Data Entry'!$Ħ$925)</f>
      </c>
      <c r="HW925">
        <f>IF(ISBLANK('Data Entry'!$ħ$925), "", 'Data Entry'!$ħ$925)</f>
      </c>
      <c r="HX925">
        <f>IF(ISBLANK('Data Entry'!$Ĩ$925), "", 'Data Entry'!$Ĩ$925)</f>
      </c>
      <c r="HY925">
        <f>IF(ISBLANK('Data Entry'!$ĩ$925), "", 'Data Entry'!$ĩ$925)</f>
      </c>
      <c r="HZ925">
        <f>IF(ISBLANK('Data Entry'!$Ī$925), "", 'Data Entry'!$Ī$925)</f>
      </c>
      <c r="IA925">
        <f>IF(ISBLANK('Data Entry'!$ī$925), "", 'Data Entry'!$ī$925)</f>
      </c>
      <c r="IB925">
        <f>IF(ISBLANK('Data Entry'!$Ĭ$925), "", 'Data Entry'!$Ĭ$925)</f>
      </c>
      <c r="IC925">
        <f>IF(ISBLANK('Data Entry'!$ĭ$925), "", 'Data Entry'!$ĭ$925)</f>
      </c>
      <c r="ID925">
        <f>IF(ISBLANK('Data Entry'!$Į$925), "", 'Data Entry'!$Į$925)</f>
      </c>
      <c r="IE925">
        <f>IF(ISBLANK('Data Entry'!$į$925), "", 'Data Entry'!$į$925)</f>
      </c>
      <c r="IF925">
        <f>IF(ISBLANK('Data Entry'!$İ$925), "", 'Data Entry'!$İ$925)</f>
      </c>
      <c r="IG925">
        <f>IF(ISBLANK('Data Entry'!$ı$925), "", 'Data Entry'!$ı$925)</f>
      </c>
      <c r="IH925">
        <f>IF(ISBLANK('Data Entry'!$Ĳ$925), "", 'Data Entry'!$Ĳ$925)</f>
      </c>
      <c r="II925">
        <f>IF(ISBLANK('Data Entry'!$ĳ$925), "", 'Data Entry'!$ĳ$925)</f>
      </c>
      <c r="IJ925">
        <f>IF(ISBLANK('Data Entry'!$Ĵ$925), "", 'Data Entry'!$Ĵ$925)</f>
      </c>
      <c r="IK925">
        <f>IF(ISBLANK('Data Entry'!$ĵ$925), "", 'Data Entry'!$ĵ$925)</f>
      </c>
      <c r="IL925">
        <f>IF(ISBLANK('Data Entry'!$Ķ$925), "", 'Data Entry'!$Ķ$925)</f>
      </c>
      <c r="IM925">
        <f>IF(ISBLANK('Data Entry'!$ķ$925), "", 'Data Entry'!$ķ$925)</f>
      </c>
      <c r="IN925">
        <f>IF(ISBLANK('Data Entry'!$ĸ$925), "", 'Data Entry'!$ĸ$925)</f>
      </c>
      <c r="IO925">
        <f>IF(ISBLANK('Data Entry'!$Ĺ$925), "", 'Data Entry'!$Ĺ$925)</f>
      </c>
      <c r="IP925">
        <f>IF(ISBLANK('Data Entry'!$ĺ$925), "", 'Data Entry'!$ĺ$925)</f>
      </c>
      <c r="IQ925">
        <f>IF(ISBLANK('Data Entry'!$Ļ$925), "", 'Data Entry'!$Ļ$925)</f>
      </c>
      <c r="IR925">
        <f>IF(ISBLANK('Data Entry'!$ļ$925), "", 'Data Entry'!$ļ$925)</f>
      </c>
      <c r="IS925">
        <f>IF(ISBLANK('Data Entry'!$Ľ$925), "", 'Data Entry'!$Ľ$925)</f>
      </c>
      <c r="IT925">
        <f>IF(ISBLANK('Data Entry'!$ľ$925), "", 'Data Entry'!$ľ$925)</f>
      </c>
    </row>
    <row r="926" spans="1:254" x14ac:dyDescent="0.25">
      <c r="A926">
        <f>IF(ISBLANK('Data Entry'!$A$926), "", 'Data Entry'!$A$926)</f>
      </c>
      <c r="B926">
        <f>IF(ISBLANK('Data Entry'!$B$926), "", 'Data Entry'!$B$926)</f>
      </c>
      <c r="C926">
        <f>IF(ISBLANK('Data Entry'!$C$926), "", 'Data Entry'!$C$926)</f>
      </c>
      <c r="D926">
        <f>IF(ISBLANK('Data Entry'!$D$926), "", 'Data Entry'!$D$926)</f>
      </c>
      <c r="E926">
        <f>IF(ISBLANK('Data Entry'!$E$926), "", 'Data Entry'!$E$926)</f>
      </c>
      <c r="F926">
        <f>IF(ISBLANK('Data Entry'!$F$926), "", 'Data Entry'!$F$926)</f>
      </c>
      <c r="G926">
        <f>IF(ISBLANK('Data Entry'!$G$926), "", 'Data Entry'!$G$926)</f>
      </c>
      <c r="H926">
        <f>IF(ISBLANK('Data Entry'!$H$926), "", 'Data Entry'!$H$926)</f>
      </c>
      <c r="I926">
        <f>IF(ISBLANK('Data Entry'!$I$926), "", 'Data Entry'!$I$926)</f>
      </c>
      <c r="J926">
        <f>IF(ISBLANK('Data Entry'!$J$926), "", 'Data Entry'!$J$926)</f>
      </c>
      <c r="K926">
        <f>IF(ISBLANK('Data Entry'!$K$926), "", 'Data Entry'!$K$926)</f>
      </c>
      <c r="L926">
        <f>IF(ISBLANK('Data Entry'!$L$926), "", 'Data Entry'!$L$926)</f>
      </c>
      <c r="M926">
        <f>IF(ISBLANK('Data Entry'!$M$926), "", 'Data Entry'!$M$926)</f>
      </c>
      <c r="N926">
        <f>IF(ISBLANK('Data Entry'!$N$926), "", 'Data Entry'!$N$926)</f>
      </c>
      <c r="O926">
        <f>IF(ISBLANK('Data Entry'!$O$926), "", 'Data Entry'!$O$926)</f>
      </c>
      <c r="P926">
        <f>IF(ISBLANK('Data Entry'!$P$926), "", 'Data Entry'!$P$926)</f>
      </c>
      <c r="Q926">
        <f>IF(ISBLANK('Data Entry'!$Q$926), "", 'Data Entry'!$Q$926)</f>
      </c>
      <c r="R926">
        <f>IF(ISBLANK('Data Entry'!$R$926), "", 'Data Entry'!$R$926)</f>
      </c>
      <c r="S926">
        <f>IF(ISBLANK('Data Entry'!$S$926), "", 'Data Entry'!$S$926)</f>
      </c>
      <c r="T926">
        <f>IF(ISBLANK('Data Entry'!$T$926), "", 'Data Entry'!$T$926)</f>
      </c>
      <c r="U926">
        <f>IF(ISBLANK('Data Entry'!$U$926), "", 'Data Entry'!$U$926)</f>
      </c>
      <c r="V926">
        <f>IF(ISBLANK('Data Entry'!$V$926), "", 'Data Entry'!$V$926)</f>
      </c>
      <c r="W926">
        <f>IF(ISBLANK('Data Entry'!$W$926), "", 'Data Entry'!$W$926)</f>
      </c>
      <c r="X926">
        <f>IF(ISBLANK('Data Entry'!$X$926), "", 'Data Entry'!$X$926)</f>
      </c>
      <c r="Y926">
        <f>IF(ISBLANK('Data Entry'!$Y$926), "", 'Data Entry'!$Y$926)</f>
      </c>
      <c r="Z926">
        <f>IF(ISBLANK('Data Entry'!$Z$926), "", 'Data Entry'!$Z$926)</f>
      </c>
      <c r="AA926">
        <f>IF(ISBLANK('Data Entry'!$[$926), "", 'Data Entry'!$[$926)</f>
      </c>
      <c r="AB926">
        <f>IF(ISBLANK('Data Entry'!$\$926), "", 'Data Entry'!$\$926)</f>
      </c>
      <c r="AC926">
        <f>IF(ISBLANK('Data Entry'!$]$926), "", 'Data Entry'!$]$926)</f>
      </c>
      <c r="AD926">
        <f>IF(ISBLANK('Data Entry'!$^$926), "", 'Data Entry'!$^$926)</f>
      </c>
      <c r="AE926">
        <f>IF(ISBLANK('Data Entry'!$_$926), "", 'Data Entry'!$_$926)</f>
      </c>
      <c r="AF926">
        <f>IF(ISBLANK('Data Entry'!$`$926), "", 'Data Entry'!$`$926)</f>
      </c>
      <c r="AG926">
        <f>IF(ISBLANK('Data Entry'!$a$926), "", 'Data Entry'!$a$926)</f>
      </c>
      <c r="AH926">
        <f>IF(ISBLANK('Data Entry'!$b$926), "", 'Data Entry'!$b$926)</f>
      </c>
      <c r="AI926">
        <f>IF(ISBLANK('Data Entry'!$c$926), "", 'Data Entry'!$c$926)</f>
      </c>
      <c r="AJ926">
        <f>IF(ISBLANK('Data Entry'!$d$926), "", 'Data Entry'!$d$926)</f>
      </c>
      <c r="AK926">
        <f>IF(ISBLANK('Data Entry'!$e$926), "", 'Data Entry'!$e$926)</f>
      </c>
      <c r="AL926">
        <f>IF(ISBLANK('Data Entry'!$f$926), "", 'Data Entry'!$f$926)</f>
      </c>
      <c r="AM926">
        <f>IF(ISBLANK('Data Entry'!$g$926), "", 'Data Entry'!$g$926)</f>
      </c>
      <c r="AN926">
        <f>IF(ISBLANK('Data Entry'!$h$926), "", 'Data Entry'!$h$926)</f>
      </c>
      <c r="AO926">
        <f>IF(ISBLANK('Data Entry'!$i$926), "", 'Data Entry'!$i$926)</f>
      </c>
      <c r="AP926">
        <f>IF(ISBLANK('Data Entry'!$j$926), "", 'Data Entry'!$j$926)</f>
      </c>
      <c r="AQ926">
        <f>IF(ISBLANK('Data Entry'!$k$926), "", 'Data Entry'!$k$926)</f>
      </c>
      <c r="AR926">
        <f>IF(ISBLANK('Data Entry'!$l$926), "", 'Data Entry'!$l$926)</f>
      </c>
      <c r="AS926">
        <f>IF(ISBLANK('Data Entry'!$m$926), "", 'Data Entry'!$m$926)</f>
      </c>
      <c r="AT926">
        <f>IF(ISBLANK('Data Entry'!$n$926), "", 'Data Entry'!$n$926)</f>
      </c>
      <c r="AU926">
        <f>IF(ISBLANK('Data Entry'!$o$926), "", 'Data Entry'!$o$926)</f>
      </c>
      <c r="AV926">
        <f>IF(ISBLANK('Data Entry'!$p$926), "", 'Data Entry'!$p$926)</f>
      </c>
      <c r="AW926">
        <f>IF(ISBLANK('Data Entry'!$q$926), "", 'Data Entry'!$q$926)</f>
      </c>
      <c r="AX926">
        <f>IF(ISBLANK('Data Entry'!$r$926), "", 'Data Entry'!$r$926)</f>
      </c>
      <c r="AY926">
        <f>IF(ISBLANK('Data Entry'!$s$926), "", 'Data Entry'!$s$926)</f>
      </c>
      <c r="AZ926">
        <f>IF(ISBLANK('Data Entry'!$t$926), "", 'Data Entry'!$t$926)</f>
      </c>
      <c r="BA926">
        <f>IF(ISBLANK('Data Entry'!$u$926), "", 'Data Entry'!$u$926)</f>
      </c>
      <c r="BB926">
        <f>IF(ISBLANK('Data Entry'!$v$926), "", 'Data Entry'!$v$926)</f>
      </c>
      <c r="BC926">
        <f>IF(ISBLANK('Data Entry'!$w$926), "", 'Data Entry'!$w$926)</f>
      </c>
      <c r="BD926">
        <f>IF(ISBLANK('Data Entry'!$x$926), "", 'Data Entry'!$x$926)</f>
      </c>
      <c r="BE926">
        <f>IF(ISBLANK('Data Entry'!$y$926), "", 'Data Entry'!$y$926)</f>
      </c>
      <c r="BF926">
        <f>IF(ISBLANK('Data Entry'!$z$926), "", 'Data Entry'!$z$926)</f>
      </c>
      <c r="BG926">
        <f>IF(ISBLANK('Data Entry'!${$926), "", 'Data Entry'!${$926)</f>
      </c>
      <c r="BH926">
        <f>IF(ISBLANK('Data Entry'!$|$926), "", 'Data Entry'!$|$926)</f>
      </c>
      <c r="BI926">
        <f>IF(ISBLANK('Data Entry'!$}$926), "", 'Data Entry'!$}$926)</f>
      </c>
      <c r="BJ926">
        <f>IF(ISBLANK('Data Entry'!$~$926), "", 'Data Entry'!$~$926)</f>
      </c>
      <c r="BK926">
        <f>IF(ISBLANK('Data Entry'!$$926), "", 'Data Entry'!$$926)</f>
      </c>
      <c r="BL926">
        <f>IF(ISBLANK('Data Entry'!$$926), "", 'Data Entry'!$$926)</f>
      </c>
      <c r="BM926">
        <f>IF(ISBLANK('Data Entry'!$$926), "", 'Data Entry'!$$926)</f>
      </c>
      <c r="BN926">
        <f>IF(ISBLANK('Data Entry'!$$926), "", 'Data Entry'!$$926)</f>
      </c>
      <c r="BO926">
        <f>IF(ISBLANK('Data Entry'!$$926), "", 'Data Entry'!$$926)</f>
      </c>
      <c r="BP926">
        <f>IF(ISBLANK('Data Entry'!$$926), "", 'Data Entry'!$$926)</f>
      </c>
      <c r="BQ926">
        <f>IF(ISBLANK('Data Entry'!$$926), "", 'Data Entry'!$$926)</f>
      </c>
      <c r="BR926">
        <f>IF(ISBLANK('Data Entry'!$$926), "", 'Data Entry'!$$926)</f>
      </c>
      <c r="BS926">
        <f>IF(ISBLANK('Data Entry'!$$926), "", 'Data Entry'!$$926)</f>
      </c>
      <c r="BT926">
        <f>IF(ISBLANK('Data Entry'!$$926), "", 'Data Entry'!$$926)</f>
      </c>
      <c r="BU926">
        <f>IF(ISBLANK('Data Entry'!$$926), "", 'Data Entry'!$$926)</f>
      </c>
      <c r="BV926">
        <f>IF(ISBLANK('Data Entry'!$$926), "", 'Data Entry'!$$926)</f>
      </c>
      <c r="BW926">
        <f>IF(ISBLANK('Data Entry'!$$926), "", 'Data Entry'!$$926)</f>
      </c>
      <c r="BX926">
        <f>IF(ISBLANK('Data Entry'!$$926), "", 'Data Entry'!$$926)</f>
      </c>
      <c r="BY926">
        <f>IF(ISBLANK('Data Entry'!$$926), "", 'Data Entry'!$$926)</f>
      </c>
      <c r="BZ926">
        <f>IF(ISBLANK('Data Entry'!$$926), "", 'Data Entry'!$$926)</f>
      </c>
      <c r="CA926">
        <f>IF(ISBLANK('Data Entry'!$$926), "", 'Data Entry'!$$926)</f>
      </c>
      <c r="CB926">
        <f>IF(ISBLANK('Data Entry'!$$926), "", 'Data Entry'!$$926)</f>
      </c>
      <c r="CC926">
        <f>IF(ISBLANK('Data Entry'!$$926), "", 'Data Entry'!$$926)</f>
      </c>
      <c r="CD926">
        <f>IF(ISBLANK('Data Entry'!$$926), "", 'Data Entry'!$$926)</f>
      </c>
      <c r="CE926">
        <f>IF(ISBLANK('Data Entry'!$$926), "", 'Data Entry'!$$926)</f>
      </c>
      <c r="CF926">
        <f>IF(ISBLANK('Data Entry'!$$926), "", 'Data Entry'!$$926)</f>
      </c>
      <c r="CG926">
        <f>IF(ISBLANK('Data Entry'!$$926), "", 'Data Entry'!$$926)</f>
      </c>
      <c r="CH926">
        <f>IF(ISBLANK('Data Entry'!$$926), "", 'Data Entry'!$$926)</f>
      </c>
      <c r="CI926">
        <f>IF(ISBLANK('Data Entry'!$$926), "", 'Data Entry'!$$926)</f>
      </c>
      <c r="CJ926">
        <f>IF(ISBLANK('Data Entry'!$$926), "", 'Data Entry'!$$926)</f>
      </c>
      <c r="CK926">
        <f>IF(ISBLANK('Data Entry'!$$926), "", 'Data Entry'!$$926)</f>
      </c>
      <c r="CL926">
        <f>IF(ISBLANK('Data Entry'!$$926), "", 'Data Entry'!$$926)</f>
      </c>
      <c r="CM926">
        <f>IF(ISBLANK('Data Entry'!$$926), "", 'Data Entry'!$$926)</f>
      </c>
      <c r="CN926">
        <f>IF(ISBLANK('Data Entry'!$$926), "", 'Data Entry'!$$926)</f>
      </c>
      <c r="CO926">
        <f>IF(ISBLANK('Data Entry'!$$926), "", 'Data Entry'!$$926)</f>
      </c>
      <c r="CP926">
        <f>IF(ISBLANK('Data Entry'!$$926), "", 'Data Entry'!$$926)</f>
      </c>
      <c r="CQ926">
        <f>IF(ISBLANK('Data Entry'!$$926), "", 'Data Entry'!$$926)</f>
      </c>
      <c r="CR926">
        <f>IF(ISBLANK('Data Entry'!$ $926), "", 'Data Entry'!$ $926)</f>
      </c>
      <c r="CS926">
        <f>IF(ISBLANK('Data Entry'!$¡$926), "", 'Data Entry'!$¡$926)</f>
      </c>
      <c r="CT926">
        <f>IF(ISBLANK('Data Entry'!$¢$926), "", 'Data Entry'!$¢$926)</f>
      </c>
      <c r="CU926">
        <f>IF(ISBLANK('Data Entry'!$£$926), "", 'Data Entry'!$£$926)</f>
      </c>
      <c r="CV926">
        <f>IF(ISBLANK('Data Entry'!$¤$926), "", 'Data Entry'!$¤$926)</f>
      </c>
      <c r="CW926">
        <f>IF(ISBLANK('Data Entry'!$¥$926), "", 'Data Entry'!$¥$926)</f>
      </c>
      <c r="CX926">
        <f>IF(ISBLANK('Data Entry'!$¦$926), "", 'Data Entry'!$¦$926)</f>
      </c>
      <c r="CY926">
        <f>IF(ISBLANK('Data Entry'!$§$926), "", 'Data Entry'!$§$926)</f>
      </c>
      <c r="CZ926">
        <f>IF(ISBLANK('Data Entry'!$¨$926), "", 'Data Entry'!$¨$926)</f>
      </c>
      <c r="DA926">
        <f>IF(ISBLANK('Data Entry'!$©$926), "", 'Data Entry'!$©$926)</f>
      </c>
      <c r="DB926">
        <f>IF(ISBLANK('Data Entry'!$ª$926), "", 'Data Entry'!$ª$926)</f>
      </c>
      <c r="DC926">
        <f>IF(ISBLANK('Data Entry'!$«$926), "", 'Data Entry'!$«$926)</f>
      </c>
      <c r="DD926">
        <f>IF(ISBLANK('Data Entry'!$¬$926), "", 'Data Entry'!$¬$926)</f>
      </c>
      <c r="DE926">
        <f>IF(ISBLANK('Data Entry'!$­$926), "", 'Data Entry'!$­$926)</f>
      </c>
      <c r="DF926">
        <f>IF(ISBLANK('Data Entry'!$®$926), "", 'Data Entry'!$®$926)</f>
      </c>
      <c r="DG926">
        <f>IF(ISBLANK('Data Entry'!$¯$926), "", 'Data Entry'!$¯$926)</f>
      </c>
      <c r="DH926">
        <f>IF(ISBLANK('Data Entry'!$°$926), "", 'Data Entry'!$°$926)</f>
      </c>
      <c r="DI926">
        <f>IF(ISBLANK('Data Entry'!$±$926), "", 'Data Entry'!$±$926)</f>
      </c>
      <c r="DJ926">
        <f>IF(ISBLANK('Data Entry'!$²$926), "", 'Data Entry'!$²$926)</f>
      </c>
      <c r="DK926">
        <f>IF(ISBLANK('Data Entry'!$³$926), "", 'Data Entry'!$³$926)</f>
      </c>
      <c r="DL926">
        <f>IF(ISBLANK('Data Entry'!$´$926), "", 'Data Entry'!$´$926)</f>
      </c>
      <c r="DM926">
        <f>IF(ISBLANK('Data Entry'!$µ$926), "", 'Data Entry'!$µ$926)</f>
      </c>
      <c r="DN926">
        <f>IF(ISBLANK('Data Entry'!$¶$926), "", 'Data Entry'!$¶$926)</f>
      </c>
      <c r="DO926">
        <f>IF(ISBLANK('Data Entry'!$·$926), "", 'Data Entry'!$·$926)</f>
      </c>
      <c r="DP926">
        <f>IF(ISBLANK('Data Entry'!$¸$926), "", 'Data Entry'!$¸$926)</f>
      </c>
      <c r="DQ926">
        <f>IF(ISBLANK('Data Entry'!$¹$926), "", 'Data Entry'!$¹$926)</f>
      </c>
      <c r="DR926">
        <f>IF(ISBLANK('Data Entry'!$º$926), "", 'Data Entry'!$º$926)</f>
      </c>
      <c r="DS926">
        <f>IF(ISBLANK('Data Entry'!$»$926), "", 'Data Entry'!$»$926)</f>
      </c>
      <c r="DT926">
        <f>IF(ISBLANK('Data Entry'!$¼$926), "", 'Data Entry'!$¼$926)</f>
      </c>
      <c r="DU926">
        <f>IF(ISBLANK('Data Entry'!$½$926), "", 'Data Entry'!$½$926)</f>
      </c>
      <c r="DV926">
        <f>IF(ISBLANK('Data Entry'!$¾$926), "", 'Data Entry'!$¾$926)</f>
      </c>
      <c r="DW926">
        <f>IF(ISBLANK('Data Entry'!$¿$926), "", 'Data Entry'!$¿$926)</f>
      </c>
      <c r="DX926">
        <f>IF(ISBLANK('Data Entry'!$À$926), "", 'Data Entry'!$À$926)</f>
      </c>
      <c r="DY926">
        <f>IF(ISBLANK('Data Entry'!$Á$926), "", 'Data Entry'!$Á$926)</f>
      </c>
      <c r="DZ926">
        <f>IF(ISBLANK('Data Entry'!$Â$926), "", 'Data Entry'!$Â$926)</f>
      </c>
      <c r="EA926">
        <f>IF(ISBLANK('Data Entry'!$Ã$926), "", 'Data Entry'!$Ã$926)</f>
      </c>
      <c r="EB926">
        <f>IF(ISBLANK('Data Entry'!$Ä$926), "", 'Data Entry'!$Ä$926)</f>
      </c>
      <c r="EC926">
        <f>IF(ISBLANK('Data Entry'!$Å$926), "", 'Data Entry'!$Å$926)</f>
      </c>
      <c r="ED926">
        <f>IF(ISBLANK('Data Entry'!$Æ$926), "", 'Data Entry'!$Æ$926)</f>
      </c>
      <c r="EE926">
        <f>IF(ISBLANK('Data Entry'!$Ç$926), "", 'Data Entry'!$Ç$926)</f>
      </c>
      <c r="EF926">
        <f>IF(ISBLANK('Data Entry'!$È$926), "", 'Data Entry'!$È$926)</f>
      </c>
      <c r="EG926">
        <f>IF(ISBLANK('Data Entry'!$É$926), "", 'Data Entry'!$É$926)</f>
      </c>
      <c r="EH926">
        <f>IF(ISBLANK('Data Entry'!$Ê$926), "", 'Data Entry'!$Ê$926)</f>
      </c>
      <c r="EI926">
        <f>IF(ISBLANK('Data Entry'!$Ë$926), "", 'Data Entry'!$Ë$926)</f>
      </c>
      <c r="EJ926">
        <f>IF(ISBLANK('Data Entry'!$Ì$926), "", 'Data Entry'!$Ì$926)</f>
      </c>
      <c r="EK926">
        <f>IF(ISBLANK('Data Entry'!$Í$926), "", 'Data Entry'!$Í$926)</f>
      </c>
      <c r="EL926">
        <f>IF(ISBLANK('Data Entry'!$Î$926), "", 'Data Entry'!$Î$926)</f>
      </c>
      <c r="EM926">
        <f>IF(ISBLANK('Data Entry'!$Ï$926), "", 'Data Entry'!$Ï$926)</f>
      </c>
      <c r="EN926">
        <f>IF(ISBLANK('Data Entry'!$Ð$926), "", 'Data Entry'!$Ð$926)</f>
      </c>
      <c r="EO926">
        <f>IF(ISBLANK('Data Entry'!$Ñ$926), "", 'Data Entry'!$Ñ$926)</f>
      </c>
      <c r="EP926">
        <f>IF(ISBLANK('Data Entry'!$Ò$926), "", 'Data Entry'!$Ò$926)</f>
      </c>
      <c r="EQ926">
        <f>IF(ISBLANK('Data Entry'!$Ó$926), "", 'Data Entry'!$Ó$926)</f>
      </c>
      <c r="ER926">
        <f>IF(ISBLANK('Data Entry'!$Ô$926), "", 'Data Entry'!$Ô$926)</f>
      </c>
      <c r="ES926">
        <f>IF(ISBLANK('Data Entry'!$Õ$926), "", 'Data Entry'!$Õ$926)</f>
      </c>
      <c r="ET926">
        <f>IF(ISBLANK('Data Entry'!$Ö$926), "", 'Data Entry'!$Ö$926)</f>
      </c>
      <c r="EU926">
        <f>IF(ISBLANK('Data Entry'!$×$926), "", 'Data Entry'!$×$926)</f>
      </c>
      <c r="EV926">
        <f>IF(ISBLANK('Data Entry'!$Ø$926), "", 'Data Entry'!$Ø$926)</f>
      </c>
      <c r="EW926">
        <f>IF(ISBLANK('Data Entry'!$Ù$926), "", 'Data Entry'!$Ù$926)</f>
      </c>
      <c r="EX926">
        <f>IF(ISBLANK('Data Entry'!$Ú$926), "", 'Data Entry'!$Ú$926)</f>
      </c>
      <c r="EY926">
        <f>IF(ISBLANK('Data Entry'!$Û$926), "", 'Data Entry'!$Û$926)</f>
      </c>
      <c r="EZ926">
        <f>IF(ISBLANK('Data Entry'!$Ü$926), "", 'Data Entry'!$Ü$926)</f>
      </c>
      <c r="FA926">
        <f>IF(ISBLANK('Data Entry'!$Ý$926), "", 'Data Entry'!$Ý$926)</f>
      </c>
      <c r="FB926">
        <f>IF(ISBLANK('Data Entry'!$Þ$926), "", 'Data Entry'!$Þ$926)</f>
      </c>
      <c r="FC926">
        <f>IF(ISBLANK('Data Entry'!$ß$926), "", 'Data Entry'!$ß$926)</f>
      </c>
      <c r="FD926">
        <f>IF(ISBLANK('Data Entry'!$à$926), "", 'Data Entry'!$à$926)</f>
      </c>
      <c r="FE926">
        <f>IF(ISBLANK('Data Entry'!$á$926), "", 'Data Entry'!$á$926)</f>
      </c>
      <c r="FF926">
        <f>IF(ISBLANK('Data Entry'!$â$926), "", 'Data Entry'!$â$926)</f>
      </c>
      <c r="FG926">
        <f>IF(ISBLANK('Data Entry'!$ã$926), "", 'Data Entry'!$ã$926)</f>
      </c>
      <c r="FH926">
        <f>IF(ISBLANK('Data Entry'!$ä$926), "", 'Data Entry'!$ä$926)</f>
      </c>
      <c r="FI926">
        <f>IF(ISBLANK('Data Entry'!$å$926), "", 'Data Entry'!$å$926)</f>
      </c>
      <c r="FJ926">
        <f>IF(ISBLANK('Data Entry'!$æ$926), "", 'Data Entry'!$æ$926)</f>
      </c>
      <c r="FK926">
        <f>IF(ISBLANK('Data Entry'!$ç$926), "", 'Data Entry'!$ç$926)</f>
      </c>
      <c r="FL926">
        <f>IF(ISBLANK('Data Entry'!$è$926), "", 'Data Entry'!$è$926)</f>
      </c>
      <c r="FM926">
        <f>IF(ISBLANK('Data Entry'!$é$926), "", 'Data Entry'!$é$926)</f>
      </c>
      <c r="FN926">
        <f>IF(ISBLANK('Data Entry'!$ê$926), "", 'Data Entry'!$ê$926)</f>
      </c>
      <c r="FO926">
        <f>IF(ISBLANK('Data Entry'!$ë$926), "", 'Data Entry'!$ë$926)</f>
      </c>
      <c r="FP926">
        <f>IF(ISBLANK('Data Entry'!$ì$926), "", 'Data Entry'!$ì$926)</f>
      </c>
      <c r="FQ926">
        <f>IF(ISBLANK('Data Entry'!$í$926), "", 'Data Entry'!$í$926)</f>
      </c>
      <c r="FR926">
        <f>IF(ISBLANK('Data Entry'!$î$926), "", 'Data Entry'!$î$926)</f>
      </c>
      <c r="FS926">
        <f>IF(ISBLANK('Data Entry'!$ï$926), "", 'Data Entry'!$ï$926)</f>
      </c>
      <c r="FT926">
        <f>IF(ISBLANK('Data Entry'!$ð$926), "", 'Data Entry'!$ð$926)</f>
      </c>
      <c r="FU926">
        <f>IF(ISBLANK('Data Entry'!$ñ$926), "", 'Data Entry'!$ñ$926)</f>
      </c>
      <c r="FV926">
        <f>IF(ISBLANK('Data Entry'!$ò$926), "", 'Data Entry'!$ò$926)</f>
      </c>
      <c r="FW926">
        <f>IF(ISBLANK('Data Entry'!$ó$926), "", 'Data Entry'!$ó$926)</f>
      </c>
      <c r="FX926">
        <f>IF(ISBLANK('Data Entry'!$ô$926), "", 'Data Entry'!$ô$926)</f>
      </c>
      <c r="FY926">
        <f>IF(ISBLANK('Data Entry'!$õ$926), "", 'Data Entry'!$õ$926)</f>
      </c>
      <c r="FZ926">
        <f>IF(ISBLANK('Data Entry'!$ö$926), "", 'Data Entry'!$ö$926)</f>
      </c>
      <c r="GA926">
        <f>IF(ISBLANK('Data Entry'!$÷$926), "", 'Data Entry'!$÷$926)</f>
      </c>
      <c r="GB926">
        <f>IF(ISBLANK('Data Entry'!$ø$926), "", 'Data Entry'!$ø$926)</f>
      </c>
      <c r="GC926">
        <f>IF(ISBLANK('Data Entry'!$ù$926), "", 'Data Entry'!$ù$926)</f>
      </c>
      <c r="GD926">
        <f>IF(ISBLANK('Data Entry'!$ú$926), "", 'Data Entry'!$ú$926)</f>
      </c>
      <c r="GE926">
        <f>IF(ISBLANK('Data Entry'!$û$926), "", 'Data Entry'!$û$926)</f>
      </c>
      <c r="GF926">
        <f>IF(ISBLANK('Data Entry'!$ü$926), "", 'Data Entry'!$ü$926)</f>
      </c>
      <c r="GG926">
        <f>IF(ISBLANK('Data Entry'!$ý$926), "", 'Data Entry'!$ý$926)</f>
      </c>
      <c r="GH926">
        <f>IF(ISBLANK('Data Entry'!$þ$926), "", 'Data Entry'!$þ$926)</f>
      </c>
      <c r="GI926">
        <f>IF(ISBLANK('Data Entry'!$ÿ$926), "", 'Data Entry'!$ÿ$926)</f>
      </c>
      <c r="GJ926">
        <f>IF(ISBLANK('Data Entry'!$Ā$926), "", 'Data Entry'!$Ā$926)</f>
      </c>
      <c r="GK926">
        <f>IF(ISBLANK('Data Entry'!$ā$926), "", 'Data Entry'!$ā$926)</f>
      </c>
      <c r="GL926">
        <f>IF(ISBLANK('Data Entry'!$Ă$926), "", 'Data Entry'!$Ă$926)</f>
      </c>
      <c r="GM926">
        <f>IF(ISBLANK('Data Entry'!$ă$926), "", 'Data Entry'!$ă$926)</f>
      </c>
      <c r="GN926">
        <f>IF(ISBLANK('Data Entry'!$Ą$926), "", 'Data Entry'!$Ą$926)</f>
      </c>
      <c r="GO926">
        <f>IF(ISBLANK('Data Entry'!$ą$926), "", 'Data Entry'!$ą$926)</f>
      </c>
      <c r="GP926">
        <f>IF(ISBLANK('Data Entry'!$Ć$926), "", 'Data Entry'!$Ć$926)</f>
      </c>
      <c r="GQ926">
        <f>IF(ISBLANK('Data Entry'!$ć$926), "", 'Data Entry'!$ć$926)</f>
      </c>
      <c r="GR926">
        <f>IF(ISBLANK('Data Entry'!$Ĉ$926), "", 'Data Entry'!$Ĉ$926)</f>
      </c>
      <c r="GS926">
        <f>IF(ISBLANK('Data Entry'!$ĉ$926), "", 'Data Entry'!$ĉ$926)</f>
      </c>
      <c r="GT926">
        <f>IF(ISBLANK('Data Entry'!$Ċ$926), "", 'Data Entry'!$Ċ$926)</f>
      </c>
      <c r="GU926">
        <f>IF(ISBLANK('Data Entry'!$ċ$926), "", 'Data Entry'!$ċ$926)</f>
      </c>
      <c r="GV926">
        <f>IF(ISBLANK('Data Entry'!$Č$926), "", 'Data Entry'!$Č$926)</f>
      </c>
      <c r="GW926">
        <f>IF(ISBLANK('Data Entry'!$č$926), "", 'Data Entry'!$č$926)</f>
      </c>
      <c r="GX926">
        <f>IF(ISBLANK('Data Entry'!$Ď$926), "", 'Data Entry'!$Ď$926)</f>
      </c>
      <c r="GY926">
        <f>IF(ISBLANK('Data Entry'!$ď$926), "", 'Data Entry'!$ď$926)</f>
      </c>
      <c r="GZ926">
        <f>IF(ISBLANK('Data Entry'!$Đ$926), "", 'Data Entry'!$Đ$926)</f>
      </c>
      <c r="HA926">
        <f>IF(ISBLANK('Data Entry'!$đ$926), "", 'Data Entry'!$đ$926)</f>
      </c>
      <c r="HB926">
        <f>IF(ISBLANK('Data Entry'!$Ē$926), "", 'Data Entry'!$Ē$926)</f>
      </c>
      <c r="HC926">
        <f>IF(ISBLANK('Data Entry'!$ē$926), "", 'Data Entry'!$ē$926)</f>
      </c>
      <c r="HD926">
        <f>IF(ISBLANK('Data Entry'!$Ĕ$926), "", 'Data Entry'!$Ĕ$926)</f>
      </c>
      <c r="HE926">
        <f>IF(ISBLANK('Data Entry'!$ĕ$926), "", 'Data Entry'!$ĕ$926)</f>
      </c>
      <c r="HF926">
        <f>IF(ISBLANK('Data Entry'!$Ė$926), "", 'Data Entry'!$Ė$926)</f>
      </c>
      <c r="HG926">
        <f>IF(ISBLANK('Data Entry'!$ė$926), "", 'Data Entry'!$ė$926)</f>
      </c>
      <c r="HH926">
        <f>IF(ISBLANK('Data Entry'!$Ę$926), "", 'Data Entry'!$Ę$926)</f>
      </c>
      <c r="HI926">
        <f>IF(ISBLANK('Data Entry'!$ę$926), "", 'Data Entry'!$ę$926)</f>
      </c>
      <c r="HJ926">
        <f>IF(ISBLANK('Data Entry'!$Ě$926), "", 'Data Entry'!$Ě$926)</f>
      </c>
      <c r="HK926">
        <f>IF(ISBLANK('Data Entry'!$ě$926), "", 'Data Entry'!$ě$926)</f>
      </c>
      <c r="HL926">
        <f>IF(ISBLANK('Data Entry'!$Ĝ$926), "", 'Data Entry'!$Ĝ$926)</f>
      </c>
      <c r="HM926">
        <f>IF(ISBLANK('Data Entry'!$ĝ$926), "", 'Data Entry'!$ĝ$926)</f>
      </c>
      <c r="HN926">
        <f>IF(ISBLANK('Data Entry'!$Ğ$926), "", 'Data Entry'!$Ğ$926)</f>
      </c>
      <c r="HO926">
        <f>IF(ISBLANK('Data Entry'!$ğ$926), "", 'Data Entry'!$ğ$926)</f>
      </c>
      <c r="HP926">
        <f>IF(ISBLANK('Data Entry'!$Ġ$926), "", 'Data Entry'!$Ġ$926)</f>
      </c>
      <c r="HQ926">
        <f>IF(ISBLANK('Data Entry'!$ġ$926), "", 'Data Entry'!$ġ$926)</f>
      </c>
      <c r="HR926">
        <f>IF(ISBLANK('Data Entry'!$Ģ$926), "", 'Data Entry'!$Ģ$926)</f>
      </c>
      <c r="HS926">
        <f>IF(ISBLANK('Data Entry'!$ģ$926), "", 'Data Entry'!$ģ$926)</f>
      </c>
      <c r="HT926">
        <f>IF(ISBLANK('Data Entry'!$Ĥ$926), "", 'Data Entry'!$Ĥ$926)</f>
      </c>
      <c r="HU926">
        <f>IF(ISBLANK('Data Entry'!$ĥ$926), "", 'Data Entry'!$ĥ$926)</f>
      </c>
      <c r="HV926">
        <f>IF(ISBLANK('Data Entry'!$Ħ$926), "", 'Data Entry'!$Ħ$926)</f>
      </c>
      <c r="HW926">
        <f>IF(ISBLANK('Data Entry'!$ħ$926), "", 'Data Entry'!$ħ$926)</f>
      </c>
      <c r="HX926">
        <f>IF(ISBLANK('Data Entry'!$Ĩ$926), "", 'Data Entry'!$Ĩ$926)</f>
      </c>
      <c r="HY926">
        <f>IF(ISBLANK('Data Entry'!$ĩ$926), "", 'Data Entry'!$ĩ$926)</f>
      </c>
      <c r="HZ926">
        <f>IF(ISBLANK('Data Entry'!$Ī$926), "", 'Data Entry'!$Ī$926)</f>
      </c>
      <c r="IA926">
        <f>IF(ISBLANK('Data Entry'!$ī$926), "", 'Data Entry'!$ī$926)</f>
      </c>
      <c r="IB926">
        <f>IF(ISBLANK('Data Entry'!$Ĭ$926), "", 'Data Entry'!$Ĭ$926)</f>
      </c>
      <c r="IC926">
        <f>IF(ISBLANK('Data Entry'!$ĭ$926), "", 'Data Entry'!$ĭ$926)</f>
      </c>
      <c r="ID926">
        <f>IF(ISBLANK('Data Entry'!$Į$926), "", 'Data Entry'!$Į$926)</f>
      </c>
      <c r="IE926">
        <f>IF(ISBLANK('Data Entry'!$į$926), "", 'Data Entry'!$į$926)</f>
      </c>
      <c r="IF926">
        <f>IF(ISBLANK('Data Entry'!$İ$926), "", 'Data Entry'!$İ$926)</f>
      </c>
      <c r="IG926">
        <f>IF(ISBLANK('Data Entry'!$ı$926), "", 'Data Entry'!$ı$926)</f>
      </c>
      <c r="IH926">
        <f>IF(ISBLANK('Data Entry'!$Ĳ$926), "", 'Data Entry'!$Ĳ$926)</f>
      </c>
      <c r="II926">
        <f>IF(ISBLANK('Data Entry'!$ĳ$926), "", 'Data Entry'!$ĳ$926)</f>
      </c>
      <c r="IJ926">
        <f>IF(ISBLANK('Data Entry'!$Ĵ$926), "", 'Data Entry'!$Ĵ$926)</f>
      </c>
      <c r="IK926">
        <f>IF(ISBLANK('Data Entry'!$ĵ$926), "", 'Data Entry'!$ĵ$926)</f>
      </c>
      <c r="IL926">
        <f>IF(ISBLANK('Data Entry'!$Ķ$926), "", 'Data Entry'!$Ķ$926)</f>
      </c>
      <c r="IM926">
        <f>IF(ISBLANK('Data Entry'!$ķ$926), "", 'Data Entry'!$ķ$926)</f>
      </c>
      <c r="IN926">
        <f>IF(ISBLANK('Data Entry'!$ĸ$926), "", 'Data Entry'!$ĸ$926)</f>
      </c>
      <c r="IO926">
        <f>IF(ISBLANK('Data Entry'!$Ĺ$926), "", 'Data Entry'!$Ĺ$926)</f>
      </c>
      <c r="IP926">
        <f>IF(ISBLANK('Data Entry'!$ĺ$926), "", 'Data Entry'!$ĺ$926)</f>
      </c>
      <c r="IQ926">
        <f>IF(ISBLANK('Data Entry'!$Ļ$926), "", 'Data Entry'!$Ļ$926)</f>
      </c>
      <c r="IR926">
        <f>IF(ISBLANK('Data Entry'!$ļ$926), "", 'Data Entry'!$ļ$926)</f>
      </c>
      <c r="IS926">
        <f>IF(ISBLANK('Data Entry'!$Ľ$926), "", 'Data Entry'!$Ľ$926)</f>
      </c>
      <c r="IT926">
        <f>IF(ISBLANK('Data Entry'!$ľ$926), "", 'Data Entry'!$ľ$926)</f>
      </c>
    </row>
    <row r="927" spans="1:254" x14ac:dyDescent="0.25">
      <c r="A927">
        <f>IF(ISBLANK('Data Entry'!$A$927), "", 'Data Entry'!$A$927)</f>
      </c>
      <c r="B927">
        <f>IF(ISBLANK('Data Entry'!$B$927), "", 'Data Entry'!$B$927)</f>
      </c>
      <c r="C927">
        <f>IF(ISBLANK('Data Entry'!$C$927), "", 'Data Entry'!$C$927)</f>
      </c>
      <c r="D927">
        <f>IF(ISBLANK('Data Entry'!$D$927), "", 'Data Entry'!$D$927)</f>
      </c>
      <c r="E927">
        <f>IF(ISBLANK('Data Entry'!$E$927), "", 'Data Entry'!$E$927)</f>
      </c>
      <c r="F927">
        <f>IF(ISBLANK('Data Entry'!$F$927), "", 'Data Entry'!$F$927)</f>
      </c>
      <c r="G927">
        <f>IF(ISBLANK('Data Entry'!$G$927), "", 'Data Entry'!$G$927)</f>
      </c>
      <c r="H927">
        <f>IF(ISBLANK('Data Entry'!$H$927), "", 'Data Entry'!$H$927)</f>
      </c>
      <c r="I927">
        <f>IF(ISBLANK('Data Entry'!$I$927), "", 'Data Entry'!$I$927)</f>
      </c>
      <c r="J927">
        <f>IF(ISBLANK('Data Entry'!$J$927), "", 'Data Entry'!$J$927)</f>
      </c>
      <c r="K927">
        <f>IF(ISBLANK('Data Entry'!$K$927), "", 'Data Entry'!$K$927)</f>
      </c>
      <c r="L927">
        <f>IF(ISBLANK('Data Entry'!$L$927), "", 'Data Entry'!$L$927)</f>
      </c>
      <c r="M927">
        <f>IF(ISBLANK('Data Entry'!$M$927), "", 'Data Entry'!$M$927)</f>
      </c>
      <c r="N927">
        <f>IF(ISBLANK('Data Entry'!$N$927), "", 'Data Entry'!$N$927)</f>
      </c>
      <c r="O927">
        <f>IF(ISBLANK('Data Entry'!$O$927), "", 'Data Entry'!$O$927)</f>
      </c>
      <c r="P927">
        <f>IF(ISBLANK('Data Entry'!$P$927), "", 'Data Entry'!$P$927)</f>
      </c>
      <c r="Q927">
        <f>IF(ISBLANK('Data Entry'!$Q$927), "", 'Data Entry'!$Q$927)</f>
      </c>
      <c r="R927">
        <f>IF(ISBLANK('Data Entry'!$R$927), "", 'Data Entry'!$R$927)</f>
      </c>
      <c r="S927">
        <f>IF(ISBLANK('Data Entry'!$S$927), "", 'Data Entry'!$S$927)</f>
      </c>
      <c r="T927">
        <f>IF(ISBLANK('Data Entry'!$T$927), "", 'Data Entry'!$T$927)</f>
      </c>
      <c r="U927">
        <f>IF(ISBLANK('Data Entry'!$U$927), "", 'Data Entry'!$U$927)</f>
      </c>
      <c r="V927">
        <f>IF(ISBLANK('Data Entry'!$V$927), "", 'Data Entry'!$V$927)</f>
      </c>
      <c r="W927">
        <f>IF(ISBLANK('Data Entry'!$W$927), "", 'Data Entry'!$W$927)</f>
      </c>
      <c r="X927">
        <f>IF(ISBLANK('Data Entry'!$X$927), "", 'Data Entry'!$X$927)</f>
      </c>
      <c r="Y927">
        <f>IF(ISBLANK('Data Entry'!$Y$927), "", 'Data Entry'!$Y$927)</f>
      </c>
      <c r="Z927">
        <f>IF(ISBLANK('Data Entry'!$Z$927), "", 'Data Entry'!$Z$927)</f>
      </c>
      <c r="AA927">
        <f>IF(ISBLANK('Data Entry'!$[$927), "", 'Data Entry'!$[$927)</f>
      </c>
      <c r="AB927">
        <f>IF(ISBLANK('Data Entry'!$\$927), "", 'Data Entry'!$\$927)</f>
      </c>
      <c r="AC927">
        <f>IF(ISBLANK('Data Entry'!$]$927), "", 'Data Entry'!$]$927)</f>
      </c>
      <c r="AD927">
        <f>IF(ISBLANK('Data Entry'!$^$927), "", 'Data Entry'!$^$927)</f>
      </c>
      <c r="AE927">
        <f>IF(ISBLANK('Data Entry'!$_$927), "", 'Data Entry'!$_$927)</f>
      </c>
      <c r="AF927">
        <f>IF(ISBLANK('Data Entry'!$`$927), "", 'Data Entry'!$`$927)</f>
      </c>
      <c r="AG927">
        <f>IF(ISBLANK('Data Entry'!$a$927), "", 'Data Entry'!$a$927)</f>
      </c>
      <c r="AH927">
        <f>IF(ISBLANK('Data Entry'!$b$927), "", 'Data Entry'!$b$927)</f>
      </c>
      <c r="AI927">
        <f>IF(ISBLANK('Data Entry'!$c$927), "", 'Data Entry'!$c$927)</f>
      </c>
      <c r="AJ927">
        <f>IF(ISBLANK('Data Entry'!$d$927), "", 'Data Entry'!$d$927)</f>
      </c>
      <c r="AK927">
        <f>IF(ISBLANK('Data Entry'!$e$927), "", 'Data Entry'!$e$927)</f>
      </c>
      <c r="AL927">
        <f>IF(ISBLANK('Data Entry'!$f$927), "", 'Data Entry'!$f$927)</f>
      </c>
      <c r="AM927">
        <f>IF(ISBLANK('Data Entry'!$g$927), "", 'Data Entry'!$g$927)</f>
      </c>
      <c r="AN927">
        <f>IF(ISBLANK('Data Entry'!$h$927), "", 'Data Entry'!$h$927)</f>
      </c>
      <c r="AO927">
        <f>IF(ISBLANK('Data Entry'!$i$927), "", 'Data Entry'!$i$927)</f>
      </c>
      <c r="AP927">
        <f>IF(ISBLANK('Data Entry'!$j$927), "", 'Data Entry'!$j$927)</f>
      </c>
      <c r="AQ927">
        <f>IF(ISBLANK('Data Entry'!$k$927), "", 'Data Entry'!$k$927)</f>
      </c>
      <c r="AR927">
        <f>IF(ISBLANK('Data Entry'!$l$927), "", 'Data Entry'!$l$927)</f>
      </c>
      <c r="AS927">
        <f>IF(ISBLANK('Data Entry'!$m$927), "", 'Data Entry'!$m$927)</f>
      </c>
      <c r="AT927">
        <f>IF(ISBLANK('Data Entry'!$n$927), "", 'Data Entry'!$n$927)</f>
      </c>
      <c r="AU927">
        <f>IF(ISBLANK('Data Entry'!$o$927), "", 'Data Entry'!$o$927)</f>
      </c>
      <c r="AV927">
        <f>IF(ISBLANK('Data Entry'!$p$927), "", 'Data Entry'!$p$927)</f>
      </c>
      <c r="AW927">
        <f>IF(ISBLANK('Data Entry'!$q$927), "", 'Data Entry'!$q$927)</f>
      </c>
      <c r="AX927">
        <f>IF(ISBLANK('Data Entry'!$r$927), "", 'Data Entry'!$r$927)</f>
      </c>
      <c r="AY927">
        <f>IF(ISBLANK('Data Entry'!$s$927), "", 'Data Entry'!$s$927)</f>
      </c>
      <c r="AZ927">
        <f>IF(ISBLANK('Data Entry'!$t$927), "", 'Data Entry'!$t$927)</f>
      </c>
      <c r="BA927">
        <f>IF(ISBLANK('Data Entry'!$u$927), "", 'Data Entry'!$u$927)</f>
      </c>
      <c r="BB927">
        <f>IF(ISBLANK('Data Entry'!$v$927), "", 'Data Entry'!$v$927)</f>
      </c>
      <c r="BC927">
        <f>IF(ISBLANK('Data Entry'!$w$927), "", 'Data Entry'!$w$927)</f>
      </c>
      <c r="BD927">
        <f>IF(ISBLANK('Data Entry'!$x$927), "", 'Data Entry'!$x$927)</f>
      </c>
      <c r="BE927">
        <f>IF(ISBLANK('Data Entry'!$y$927), "", 'Data Entry'!$y$927)</f>
      </c>
      <c r="BF927">
        <f>IF(ISBLANK('Data Entry'!$z$927), "", 'Data Entry'!$z$927)</f>
      </c>
      <c r="BG927">
        <f>IF(ISBLANK('Data Entry'!${$927), "", 'Data Entry'!${$927)</f>
      </c>
      <c r="BH927">
        <f>IF(ISBLANK('Data Entry'!$|$927), "", 'Data Entry'!$|$927)</f>
      </c>
      <c r="BI927">
        <f>IF(ISBLANK('Data Entry'!$}$927), "", 'Data Entry'!$}$927)</f>
      </c>
      <c r="BJ927">
        <f>IF(ISBLANK('Data Entry'!$~$927), "", 'Data Entry'!$~$927)</f>
      </c>
      <c r="BK927">
        <f>IF(ISBLANK('Data Entry'!$$927), "", 'Data Entry'!$$927)</f>
      </c>
      <c r="BL927">
        <f>IF(ISBLANK('Data Entry'!$$927), "", 'Data Entry'!$$927)</f>
      </c>
      <c r="BM927">
        <f>IF(ISBLANK('Data Entry'!$$927), "", 'Data Entry'!$$927)</f>
      </c>
      <c r="BN927">
        <f>IF(ISBLANK('Data Entry'!$$927), "", 'Data Entry'!$$927)</f>
      </c>
      <c r="BO927">
        <f>IF(ISBLANK('Data Entry'!$$927), "", 'Data Entry'!$$927)</f>
      </c>
      <c r="BP927">
        <f>IF(ISBLANK('Data Entry'!$$927), "", 'Data Entry'!$$927)</f>
      </c>
      <c r="BQ927">
        <f>IF(ISBLANK('Data Entry'!$$927), "", 'Data Entry'!$$927)</f>
      </c>
      <c r="BR927">
        <f>IF(ISBLANK('Data Entry'!$$927), "", 'Data Entry'!$$927)</f>
      </c>
      <c r="BS927">
        <f>IF(ISBLANK('Data Entry'!$$927), "", 'Data Entry'!$$927)</f>
      </c>
      <c r="BT927">
        <f>IF(ISBLANK('Data Entry'!$$927), "", 'Data Entry'!$$927)</f>
      </c>
      <c r="BU927">
        <f>IF(ISBLANK('Data Entry'!$$927), "", 'Data Entry'!$$927)</f>
      </c>
      <c r="BV927">
        <f>IF(ISBLANK('Data Entry'!$$927), "", 'Data Entry'!$$927)</f>
      </c>
      <c r="BW927">
        <f>IF(ISBLANK('Data Entry'!$$927), "", 'Data Entry'!$$927)</f>
      </c>
      <c r="BX927">
        <f>IF(ISBLANK('Data Entry'!$$927), "", 'Data Entry'!$$927)</f>
      </c>
      <c r="BY927">
        <f>IF(ISBLANK('Data Entry'!$$927), "", 'Data Entry'!$$927)</f>
      </c>
      <c r="BZ927">
        <f>IF(ISBLANK('Data Entry'!$$927), "", 'Data Entry'!$$927)</f>
      </c>
      <c r="CA927">
        <f>IF(ISBLANK('Data Entry'!$$927), "", 'Data Entry'!$$927)</f>
      </c>
      <c r="CB927">
        <f>IF(ISBLANK('Data Entry'!$$927), "", 'Data Entry'!$$927)</f>
      </c>
      <c r="CC927">
        <f>IF(ISBLANK('Data Entry'!$$927), "", 'Data Entry'!$$927)</f>
      </c>
      <c r="CD927">
        <f>IF(ISBLANK('Data Entry'!$$927), "", 'Data Entry'!$$927)</f>
      </c>
      <c r="CE927">
        <f>IF(ISBLANK('Data Entry'!$$927), "", 'Data Entry'!$$927)</f>
      </c>
      <c r="CF927">
        <f>IF(ISBLANK('Data Entry'!$$927), "", 'Data Entry'!$$927)</f>
      </c>
      <c r="CG927">
        <f>IF(ISBLANK('Data Entry'!$$927), "", 'Data Entry'!$$927)</f>
      </c>
      <c r="CH927">
        <f>IF(ISBLANK('Data Entry'!$$927), "", 'Data Entry'!$$927)</f>
      </c>
      <c r="CI927">
        <f>IF(ISBLANK('Data Entry'!$$927), "", 'Data Entry'!$$927)</f>
      </c>
      <c r="CJ927">
        <f>IF(ISBLANK('Data Entry'!$$927), "", 'Data Entry'!$$927)</f>
      </c>
      <c r="CK927">
        <f>IF(ISBLANK('Data Entry'!$$927), "", 'Data Entry'!$$927)</f>
      </c>
      <c r="CL927">
        <f>IF(ISBLANK('Data Entry'!$$927), "", 'Data Entry'!$$927)</f>
      </c>
      <c r="CM927">
        <f>IF(ISBLANK('Data Entry'!$$927), "", 'Data Entry'!$$927)</f>
      </c>
      <c r="CN927">
        <f>IF(ISBLANK('Data Entry'!$$927), "", 'Data Entry'!$$927)</f>
      </c>
      <c r="CO927">
        <f>IF(ISBLANK('Data Entry'!$$927), "", 'Data Entry'!$$927)</f>
      </c>
      <c r="CP927">
        <f>IF(ISBLANK('Data Entry'!$$927), "", 'Data Entry'!$$927)</f>
      </c>
      <c r="CQ927">
        <f>IF(ISBLANK('Data Entry'!$$927), "", 'Data Entry'!$$927)</f>
      </c>
      <c r="CR927">
        <f>IF(ISBLANK('Data Entry'!$ $927), "", 'Data Entry'!$ $927)</f>
      </c>
      <c r="CS927">
        <f>IF(ISBLANK('Data Entry'!$¡$927), "", 'Data Entry'!$¡$927)</f>
      </c>
      <c r="CT927">
        <f>IF(ISBLANK('Data Entry'!$¢$927), "", 'Data Entry'!$¢$927)</f>
      </c>
      <c r="CU927">
        <f>IF(ISBLANK('Data Entry'!$£$927), "", 'Data Entry'!$£$927)</f>
      </c>
      <c r="CV927">
        <f>IF(ISBLANK('Data Entry'!$¤$927), "", 'Data Entry'!$¤$927)</f>
      </c>
      <c r="CW927">
        <f>IF(ISBLANK('Data Entry'!$¥$927), "", 'Data Entry'!$¥$927)</f>
      </c>
      <c r="CX927">
        <f>IF(ISBLANK('Data Entry'!$¦$927), "", 'Data Entry'!$¦$927)</f>
      </c>
      <c r="CY927">
        <f>IF(ISBLANK('Data Entry'!$§$927), "", 'Data Entry'!$§$927)</f>
      </c>
      <c r="CZ927">
        <f>IF(ISBLANK('Data Entry'!$¨$927), "", 'Data Entry'!$¨$927)</f>
      </c>
      <c r="DA927">
        <f>IF(ISBLANK('Data Entry'!$©$927), "", 'Data Entry'!$©$927)</f>
      </c>
      <c r="DB927">
        <f>IF(ISBLANK('Data Entry'!$ª$927), "", 'Data Entry'!$ª$927)</f>
      </c>
      <c r="DC927">
        <f>IF(ISBLANK('Data Entry'!$«$927), "", 'Data Entry'!$«$927)</f>
      </c>
      <c r="DD927">
        <f>IF(ISBLANK('Data Entry'!$¬$927), "", 'Data Entry'!$¬$927)</f>
      </c>
      <c r="DE927">
        <f>IF(ISBLANK('Data Entry'!$­$927), "", 'Data Entry'!$­$927)</f>
      </c>
      <c r="DF927">
        <f>IF(ISBLANK('Data Entry'!$®$927), "", 'Data Entry'!$®$927)</f>
      </c>
      <c r="DG927">
        <f>IF(ISBLANK('Data Entry'!$¯$927), "", 'Data Entry'!$¯$927)</f>
      </c>
      <c r="DH927">
        <f>IF(ISBLANK('Data Entry'!$°$927), "", 'Data Entry'!$°$927)</f>
      </c>
      <c r="DI927">
        <f>IF(ISBLANK('Data Entry'!$±$927), "", 'Data Entry'!$±$927)</f>
      </c>
      <c r="DJ927">
        <f>IF(ISBLANK('Data Entry'!$²$927), "", 'Data Entry'!$²$927)</f>
      </c>
      <c r="DK927">
        <f>IF(ISBLANK('Data Entry'!$³$927), "", 'Data Entry'!$³$927)</f>
      </c>
      <c r="DL927">
        <f>IF(ISBLANK('Data Entry'!$´$927), "", 'Data Entry'!$´$927)</f>
      </c>
      <c r="DM927">
        <f>IF(ISBLANK('Data Entry'!$µ$927), "", 'Data Entry'!$µ$927)</f>
      </c>
      <c r="DN927">
        <f>IF(ISBLANK('Data Entry'!$¶$927), "", 'Data Entry'!$¶$927)</f>
      </c>
      <c r="DO927">
        <f>IF(ISBLANK('Data Entry'!$·$927), "", 'Data Entry'!$·$927)</f>
      </c>
      <c r="DP927">
        <f>IF(ISBLANK('Data Entry'!$¸$927), "", 'Data Entry'!$¸$927)</f>
      </c>
      <c r="DQ927">
        <f>IF(ISBLANK('Data Entry'!$¹$927), "", 'Data Entry'!$¹$927)</f>
      </c>
      <c r="DR927">
        <f>IF(ISBLANK('Data Entry'!$º$927), "", 'Data Entry'!$º$927)</f>
      </c>
      <c r="DS927">
        <f>IF(ISBLANK('Data Entry'!$»$927), "", 'Data Entry'!$»$927)</f>
      </c>
      <c r="DT927">
        <f>IF(ISBLANK('Data Entry'!$¼$927), "", 'Data Entry'!$¼$927)</f>
      </c>
      <c r="DU927">
        <f>IF(ISBLANK('Data Entry'!$½$927), "", 'Data Entry'!$½$927)</f>
      </c>
      <c r="DV927">
        <f>IF(ISBLANK('Data Entry'!$¾$927), "", 'Data Entry'!$¾$927)</f>
      </c>
      <c r="DW927">
        <f>IF(ISBLANK('Data Entry'!$¿$927), "", 'Data Entry'!$¿$927)</f>
      </c>
      <c r="DX927">
        <f>IF(ISBLANK('Data Entry'!$À$927), "", 'Data Entry'!$À$927)</f>
      </c>
      <c r="DY927">
        <f>IF(ISBLANK('Data Entry'!$Á$927), "", 'Data Entry'!$Á$927)</f>
      </c>
      <c r="DZ927">
        <f>IF(ISBLANK('Data Entry'!$Â$927), "", 'Data Entry'!$Â$927)</f>
      </c>
      <c r="EA927">
        <f>IF(ISBLANK('Data Entry'!$Ã$927), "", 'Data Entry'!$Ã$927)</f>
      </c>
      <c r="EB927">
        <f>IF(ISBLANK('Data Entry'!$Ä$927), "", 'Data Entry'!$Ä$927)</f>
      </c>
      <c r="EC927">
        <f>IF(ISBLANK('Data Entry'!$Å$927), "", 'Data Entry'!$Å$927)</f>
      </c>
      <c r="ED927">
        <f>IF(ISBLANK('Data Entry'!$Æ$927), "", 'Data Entry'!$Æ$927)</f>
      </c>
      <c r="EE927">
        <f>IF(ISBLANK('Data Entry'!$Ç$927), "", 'Data Entry'!$Ç$927)</f>
      </c>
      <c r="EF927">
        <f>IF(ISBLANK('Data Entry'!$È$927), "", 'Data Entry'!$È$927)</f>
      </c>
      <c r="EG927">
        <f>IF(ISBLANK('Data Entry'!$É$927), "", 'Data Entry'!$É$927)</f>
      </c>
      <c r="EH927">
        <f>IF(ISBLANK('Data Entry'!$Ê$927), "", 'Data Entry'!$Ê$927)</f>
      </c>
      <c r="EI927">
        <f>IF(ISBLANK('Data Entry'!$Ë$927), "", 'Data Entry'!$Ë$927)</f>
      </c>
      <c r="EJ927">
        <f>IF(ISBLANK('Data Entry'!$Ì$927), "", 'Data Entry'!$Ì$927)</f>
      </c>
      <c r="EK927">
        <f>IF(ISBLANK('Data Entry'!$Í$927), "", 'Data Entry'!$Í$927)</f>
      </c>
      <c r="EL927">
        <f>IF(ISBLANK('Data Entry'!$Î$927), "", 'Data Entry'!$Î$927)</f>
      </c>
      <c r="EM927">
        <f>IF(ISBLANK('Data Entry'!$Ï$927), "", 'Data Entry'!$Ï$927)</f>
      </c>
      <c r="EN927">
        <f>IF(ISBLANK('Data Entry'!$Ð$927), "", 'Data Entry'!$Ð$927)</f>
      </c>
      <c r="EO927">
        <f>IF(ISBLANK('Data Entry'!$Ñ$927), "", 'Data Entry'!$Ñ$927)</f>
      </c>
      <c r="EP927">
        <f>IF(ISBLANK('Data Entry'!$Ò$927), "", 'Data Entry'!$Ò$927)</f>
      </c>
      <c r="EQ927">
        <f>IF(ISBLANK('Data Entry'!$Ó$927), "", 'Data Entry'!$Ó$927)</f>
      </c>
      <c r="ER927">
        <f>IF(ISBLANK('Data Entry'!$Ô$927), "", 'Data Entry'!$Ô$927)</f>
      </c>
      <c r="ES927">
        <f>IF(ISBLANK('Data Entry'!$Õ$927), "", 'Data Entry'!$Õ$927)</f>
      </c>
      <c r="ET927">
        <f>IF(ISBLANK('Data Entry'!$Ö$927), "", 'Data Entry'!$Ö$927)</f>
      </c>
      <c r="EU927">
        <f>IF(ISBLANK('Data Entry'!$×$927), "", 'Data Entry'!$×$927)</f>
      </c>
      <c r="EV927">
        <f>IF(ISBLANK('Data Entry'!$Ø$927), "", 'Data Entry'!$Ø$927)</f>
      </c>
      <c r="EW927">
        <f>IF(ISBLANK('Data Entry'!$Ù$927), "", 'Data Entry'!$Ù$927)</f>
      </c>
      <c r="EX927">
        <f>IF(ISBLANK('Data Entry'!$Ú$927), "", 'Data Entry'!$Ú$927)</f>
      </c>
      <c r="EY927">
        <f>IF(ISBLANK('Data Entry'!$Û$927), "", 'Data Entry'!$Û$927)</f>
      </c>
      <c r="EZ927">
        <f>IF(ISBLANK('Data Entry'!$Ü$927), "", 'Data Entry'!$Ü$927)</f>
      </c>
      <c r="FA927">
        <f>IF(ISBLANK('Data Entry'!$Ý$927), "", 'Data Entry'!$Ý$927)</f>
      </c>
      <c r="FB927">
        <f>IF(ISBLANK('Data Entry'!$Þ$927), "", 'Data Entry'!$Þ$927)</f>
      </c>
      <c r="FC927">
        <f>IF(ISBLANK('Data Entry'!$ß$927), "", 'Data Entry'!$ß$927)</f>
      </c>
      <c r="FD927">
        <f>IF(ISBLANK('Data Entry'!$à$927), "", 'Data Entry'!$à$927)</f>
      </c>
      <c r="FE927">
        <f>IF(ISBLANK('Data Entry'!$á$927), "", 'Data Entry'!$á$927)</f>
      </c>
      <c r="FF927">
        <f>IF(ISBLANK('Data Entry'!$â$927), "", 'Data Entry'!$â$927)</f>
      </c>
      <c r="FG927">
        <f>IF(ISBLANK('Data Entry'!$ã$927), "", 'Data Entry'!$ã$927)</f>
      </c>
      <c r="FH927">
        <f>IF(ISBLANK('Data Entry'!$ä$927), "", 'Data Entry'!$ä$927)</f>
      </c>
      <c r="FI927">
        <f>IF(ISBLANK('Data Entry'!$å$927), "", 'Data Entry'!$å$927)</f>
      </c>
      <c r="FJ927">
        <f>IF(ISBLANK('Data Entry'!$æ$927), "", 'Data Entry'!$æ$927)</f>
      </c>
      <c r="FK927">
        <f>IF(ISBLANK('Data Entry'!$ç$927), "", 'Data Entry'!$ç$927)</f>
      </c>
      <c r="FL927">
        <f>IF(ISBLANK('Data Entry'!$è$927), "", 'Data Entry'!$è$927)</f>
      </c>
      <c r="FM927">
        <f>IF(ISBLANK('Data Entry'!$é$927), "", 'Data Entry'!$é$927)</f>
      </c>
      <c r="FN927">
        <f>IF(ISBLANK('Data Entry'!$ê$927), "", 'Data Entry'!$ê$927)</f>
      </c>
      <c r="FO927">
        <f>IF(ISBLANK('Data Entry'!$ë$927), "", 'Data Entry'!$ë$927)</f>
      </c>
      <c r="FP927">
        <f>IF(ISBLANK('Data Entry'!$ì$927), "", 'Data Entry'!$ì$927)</f>
      </c>
      <c r="FQ927">
        <f>IF(ISBLANK('Data Entry'!$í$927), "", 'Data Entry'!$í$927)</f>
      </c>
      <c r="FR927">
        <f>IF(ISBLANK('Data Entry'!$î$927), "", 'Data Entry'!$î$927)</f>
      </c>
      <c r="FS927">
        <f>IF(ISBLANK('Data Entry'!$ï$927), "", 'Data Entry'!$ï$927)</f>
      </c>
      <c r="FT927">
        <f>IF(ISBLANK('Data Entry'!$ð$927), "", 'Data Entry'!$ð$927)</f>
      </c>
      <c r="FU927">
        <f>IF(ISBLANK('Data Entry'!$ñ$927), "", 'Data Entry'!$ñ$927)</f>
      </c>
      <c r="FV927">
        <f>IF(ISBLANK('Data Entry'!$ò$927), "", 'Data Entry'!$ò$927)</f>
      </c>
      <c r="FW927">
        <f>IF(ISBLANK('Data Entry'!$ó$927), "", 'Data Entry'!$ó$927)</f>
      </c>
      <c r="FX927">
        <f>IF(ISBLANK('Data Entry'!$ô$927), "", 'Data Entry'!$ô$927)</f>
      </c>
      <c r="FY927">
        <f>IF(ISBLANK('Data Entry'!$õ$927), "", 'Data Entry'!$õ$927)</f>
      </c>
      <c r="FZ927">
        <f>IF(ISBLANK('Data Entry'!$ö$927), "", 'Data Entry'!$ö$927)</f>
      </c>
      <c r="GA927">
        <f>IF(ISBLANK('Data Entry'!$÷$927), "", 'Data Entry'!$÷$927)</f>
      </c>
      <c r="GB927">
        <f>IF(ISBLANK('Data Entry'!$ø$927), "", 'Data Entry'!$ø$927)</f>
      </c>
      <c r="GC927">
        <f>IF(ISBLANK('Data Entry'!$ù$927), "", 'Data Entry'!$ù$927)</f>
      </c>
      <c r="GD927">
        <f>IF(ISBLANK('Data Entry'!$ú$927), "", 'Data Entry'!$ú$927)</f>
      </c>
      <c r="GE927">
        <f>IF(ISBLANK('Data Entry'!$û$927), "", 'Data Entry'!$û$927)</f>
      </c>
      <c r="GF927">
        <f>IF(ISBLANK('Data Entry'!$ü$927), "", 'Data Entry'!$ü$927)</f>
      </c>
      <c r="GG927">
        <f>IF(ISBLANK('Data Entry'!$ý$927), "", 'Data Entry'!$ý$927)</f>
      </c>
      <c r="GH927">
        <f>IF(ISBLANK('Data Entry'!$þ$927), "", 'Data Entry'!$þ$927)</f>
      </c>
      <c r="GI927">
        <f>IF(ISBLANK('Data Entry'!$ÿ$927), "", 'Data Entry'!$ÿ$927)</f>
      </c>
      <c r="GJ927">
        <f>IF(ISBLANK('Data Entry'!$Ā$927), "", 'Data Entry'!$Ā$927)</f>
      </c>
      <c r="GK927">
        <f>IF(ISBLANK('Data Entry'!$ā$927), "", 'Data Entry'!$ā$927)</f>
      </c>
      <c r="GL927">
        <f>IF(ISBLANK('Data Entry'!$Ă$927), "", 'Data Entry'!$Ă$927)</f>
      </c>
      <c r="GM927">
        <f>IF(ISBLANK('Data Entry'!$ă$927), "", 'Data Entry'!$ă$927)</f>
      </c>
      <c r="GN927">
        <f>IF(ISBLANK('Data Entry'!$Ą$927), "", 'Data Entry'!$Ą$927)</f>
      </c>
      <c r="GO927">
        <f>IF(ISBLANK('Data Entry'!$ą$927), "", 'Data Entry'!$ą$927)</f>
      </c>
      <c r="GP927">
        <f>IF(ISBLANK('Data Entry'!$Ć$927), "", 'Data Entry'!$Ć$927)</f>
      </c>
      <c r="GQ927">
        <f>IF(ISBLANK('Data Entry'!$ć$927), "", 'Data Entry'!$ć$927)</f>
      </c>
      <c r="GR927">
        <f>IF(ISBLANK('Data Entry'!$Ĉ$927), "", 'Data Entry'!$Ĉ$927)</f>
      </c>
      <c r="GS927">
        <f>IF(ISBLANK('Data Entry'!$ĉ$927), "", 'Data Entry'!$ĉ$927)</f>
      </c>
      <c r="GT927">
        <f>IF(ISBLANK('Data Entry'!$Ċ$927), "", 'Data Entry'!$Ċ$927)</f>
      </c>
      <c r="GU927">
        <f>IF(ISBLANK('Data Entry'!$ċ$927), "", 'Data Entry'!$ċ$927)</f>
      </c>
      <c r="GV927">
        <f>IF(ISBLANK('Data Entry'!$Č$927), "", 'Data Entry'!$Č$927)</f>
      </c>
      <c r="GW927">
        <f>IF(ISBLANK('Data Entry'!$č$927), "", 'Data Entry'!$č$927)</f>
      </c>
      <c r="GX927">
        <f>IF(ISBLANK('Data Entry'!$Ď$927), "", 'Data Entry'!$Ď$927)</f>
      </c>
      <c r="GY927">
        <f>IF(ISBLANK('Data Entry'!$ď$927), "", 'Data Entry'!$ď$927)</f>
      </c>
      <c r="GZ927">
        <f>IF(ISBLANK('Data Entry'!$Đ$927), "", 'Data Entry'!$Đ$927)</f>
      </c>
      <c r="HA927">
        <f>IF(ISBLANK('Data Entry'!$đ$927), "", 'Data Entry'!$đ$927)</f>
      </c>
      <c r="HB927">
        <f>IF(ISBLANK('Data Entry'!$Ē$927), "", 'Data Entry'!$Ē$927)</f>
      </c>
      <c r="HC927">
        <f>IF(ISBLANK('Data Entry'!$ē$927), "", 'Data Entry'!$ē$927)</f>
      </c>
      <c r="HD927">
        <f>IF(ISBLANK('Data Entry'!$Ĕ$927), "", 'Data Entry'!$Ĕ$927)</f>
      </c>
      <c r="HE927">
        <f>IF(ISBLANK('Data Entry'!$ĕ$927), "", 'Data Entry'!$ĕ$927)</f>
      </c>
      <c r="HF927">
        <f>IF(ISBLANK('Data Entry'!$Ė$927), "", 'Data Entry'!$Ė$927)</f>
      </c>
      <c r="HG927">
        <f>IF(ISBLANK('Data Entry'!$ė$927), "", 'Data Entry'!$ė$927)</f>
      </c>
      <c r="HH927">
        <f>IF(ISBLANK('Data Entry'!$Ę$927), "", 'Data Entry'!$Ę$927)</f>
      </c>
      <c r="HI927">
        <f>IF(ISBLANK('Data Entry'!$ę$927), "", 'Data Entry'!$ę$927)</f>
      </c>
      <c r="HJ927">
        <f>IF(ISBLANK('Data Entry'!$Ě$927), "", 'Data Entry'!$Ě$927)</f>
      </c>
      <c r="HK927">
        <f>IF(ISBLANK('Data Entry'!$ě$927), "", 'Data Entry'!$ě$927)</f>
      </c>
      <c r="HL927">
        <f>IF(ISBLANK('Data Entry'!$Ĝ$927), "", 'Data Entry'!$Ĝ$927)</f>
      </c>
      <c r="HM927">
        <f>IF(ISBLANK('Data Entry'!$ĝ$927), "", 'Data Entry'!$ĝ$927)</f>
      </c>
      <c r="HN927">
        <f>IF(ISBLANK('Data Entry'!$Ğ$927), "", 'Data Entry'!$Ğ$927)</f>
      </c>
      <c r="HO927">
        <f>IF(ISBLANK('Data Entry'!$ğ$927), "", 'Data Entry'!$ğ$927)</f>
      </c>
      <c r="HP927">
        <f>IF(ISBLANK('Data Entry'!$Ġ$927), "", 'Data Entry'!$Ġ$927)</f>
      </c>
      <c r="HQ927">
        <f>IF(ISBLANK('Data Entry'!$ġ$927), "", 'Data Entry'!$ġ$927)</f>
      </c>
      <c r="HR927">
        <f>IF(ISBLANK('Data Entry'!$Ģ$927), "", 'Data Entry'!$Ģ$927)</f>
      </c>
      <c r="HS927">
        <f>IF(ISBLANK('Data Entry'!$ģ$927), "", 'Data Entry'!$ģ$927)</f>
      </c>
      <c r="HT927">
        <f>IF(ISBLANK('Data Entry'!$Ĥ$927), "", 'Data Entry'!$Ĥ$927)</f>
      </c>
      <c r="HU927">
        <f>IF(ISBLANK('Data Entry'!$ĥ$927), "", 'Data Entry'!$ĥ$927)</f>
      </c>
      <c r="HV927">
        <f>IF(ISBLANK('Data Entry'!$Ħ$927), "", 'Data Entry'!$Ħ$927)</f>
      </c>
      <c r="HW927">
        <f>IF(ISBLANK('Data Entry'!$ħ$927), "", 'Data Entry'!$ħ$927)</f>
      </c>
      <c r="HX927">
        <f>IF(ISBLANK('Data Entry'!$Ĩ$927), "", 'Data Entry'!$Ĩ$927)</f>
      </c>
      <c r="HY927">
        <f>IF(ISBLANK('Data Entry'!$ĩ$927), "", 'Data Entry'!$ĩ$927)</f>
      </c>
      <c r="HZ927">
        <f>IF(ISBLANK('Data Entry'!$Ī$927), "", 'Data Entry'!$Ī$927)</f>
      </c>
      <c r="IA927">
        <f>IF(ISBLANK('Data Entry'!$ī$927), "", 'Data Entry'!$ī$927)</f>
      </c>
      <c r="IB927">
        <f>IF(ISBLANK('Data Entry'!$Ĭ$927), "", 'Data Entry'!$Ĭ$927)</f>
      </c>
      <c r="IC927">
        <f>IF(ISBLANK('Data Entry'!$ĭ$927), "", 'Data Entry'!$ĭ$927)</f>
      </c>
      <c r="ID927">
        <f>IF(ISBLANK('Data Entry'!$Į$927), "", 'Data Entry'!$Į$927)</f>
      </c>
      <c r="IE927">
        <f>IF(ISBLANK('Data Entry'!$į$927), "", 'Data Entry'!$į$927)</f>
      </c>
      <c r="IF927">
        <f>IF(ISBLANK('Data Entry'!$İ$927), "", 'Data Entry'!$İ$927)</f>
      </c>
      <c r="IG927">
        <f>IF(ISBLANK('Data Entry'!$ı$927), "", 'Data Entry'!$ı$927)</f>
      </c>
      <c r="IH927">
        <f>IF(ISBLANK('Data Entry'!$Ĳ$927), "", 'Data Entry'!$Ĳ$927)</f>
      </c>
      <c r="II927">
        <f>IF(ISBLANK('Data Entry'!$ĳ$927), "", 'Data Entry'!$ĳ$927)</f>
      </c>
      <c r="IJ927">
        <f>IF(ISBLANK('Data Entry'!$Ĵ$927), "", 'Data Entry'!$Ĵ$927)</f>
      </c>
      <c r="IK927">
        <f>IF(ISBLANK('Data Entry'!$ĵ$927), "", 'Data Entry'!$ĵ$927)</f>
      </c>
      <c r="IL927">
        <f>IF(ISBLANK('Data Entry'!$Ķ$927), "", 'Data Entry'!$Ķ$927)</f>
      </c>
      <c r="IM927">
        <f>IF(ISBLANK('Data Entry'!$ķ$927), "", 'Data Entry'!$ķ$927)</f>
      </c>
      <c r="IN927">
        <f>IF(ISBLANK('Data Entry'!$ĸ$927), "", 'Data Entry'!$ĸ$927)</f>
      </c>
      <c r="IO927">
        <f>IF(ISBLANK('Data Entry'!$Ĺ$927), "", 'Data Entry'!$Ĺ$927)</f>
      </c>
      <c r="IP927">
        <f>IF(ISBLANK('Data Entry'!$ĺ$927), "", 'Data Entry'!$ĺ$927)</f>
      </c>
      <c r="IQ927">
        <f>IF(ISBLANK('Data Entry'!$Ļ$927), "", 'Data Entry'!$Ļ$927)</f>
      </c>
      <c r="IR927">
        <f>IF(ISBLANK('Data Entry'!$ļ$927), "", 'Data Entry'!$ļ$927)</f>
      </c>
      <c r="IS927">
        <f>IF(ISBLANK('Data Entry'!$Ľ$927), "", 'Data Entry'!$Ľ$927)</f>
      </c>
      <c r="IT927">
        <f>IF(ISBLANK('Data Entry'!$ľ$927), "", 'Data Entry'!$ľ$927)</f>
      </c>
    </row>
    <row r="928" spans="1:254" x14ac:dyDescent="0.25">
      <c r="A928">
        <f>IF(ISBLANK('Data Entry'!$A$928), "", 'Data Entry'!$A$928)</f>
      </c>
      <c r="B928">
        <f>IF(ISBLANK('Data Entry'!$B$928), "", 'Data Entry'!$B$928)</f>
      </c>
      <c r="C928">
        <f>IF(ISBLANK('Data Entry'!$C$928), "", 'Data Entry'!$C$928)</f>
      </c>
      <c r="D928">
        <f>IF(ISBLANK('Data Entry'!$D$928), "", 'Data Entry'!$D$928)</f>
      </c>
      <c r="E928">
        <f>IF(ISBLANK('Data Entry'!$E$928), "", 'Data Entry'!$E$928)</f>
      </c>
      <c r="F928">
        <f>IF(ISBLANK('Data Entry'!$F$928), "", 'Data Entry'!$F$928)</f>
      </c>
      <c r="G928">
        <f>IF(ISBLANK('Data Entry'!$G$928), "", 'Data Entry'!$G$928)</f>
      </c>
      <c r="H928">
        <f>IF(ISBLANK('Data Entry'!$H$928), "", 'Data Entry'!$H$928)</f>
      </c>
      <c r="I928">
        <f>IF(ISBLANK('Data Entry'!$I$928), "", 'Data Entry'!$I$928)</f>
      </c>
      <c r="J928">
        <f>IF(ISBLANK('Data Entry'!$J$928), "", 'Data Entry'!$J$928)</f>
      </c>
      <c r="K928">
        <f>IF(ISBLANK('Data Entry'!$K$928), "", 'Data Entry'!$K$928)</f>
      </c>
      <c r="L928">
        <f>IF(ISBLANK('Data Entry'!$L$928), "", 'Data Entry'!$L$928)</f>
      </c>
      <c r="M928">
        <f>IF(ISBLANK('Data Entry'!$M$928), "", 'Data Entry'!$M$928)</f>
      </c>
      <c r="N928">
        <f>IF(ISBLANK('Data Entry'!$N$928), "", 'Data Entry'!$N$928)</f>
      </c>
      <c r="O928">
        <f>IF(ISBLANK('Data Entry'!$O$928), "", 'Data Entry'!$O$928)</f>
      </c>
      <c r="P928">
        <f>IF(ISBLANK('Data Entry'!$P$928), "", 'Data Entry'!$P$928)</f>
      </c>
      <c r="Q928">
        <f>IF(ISBLANK('Data Entry'!$Q$928), "", 'Data Entry'!$Q$928)</f>
      </c>
      <c r="R928">
        <f>IF(ISBLANK('Data Entry'!$R$928), "", 'Data Entry'!$R$928)</f>
      </c>
      <c r="S928">
        <f>IF(ISBLANK('Data Entry'!$S$928), "", 'Data Entry'!$S$928)</f>
      </c>
      <c r="T928">
        <f>IF(ISBLANK('Data Entry'!$T$928), "", 'Data Entry'!$T$928)</f>
      </c>
      <c r="U928">
        <f>IF(ISBLANK('Data Entry'!$U$928), "", 'Data Entry'!$U$928)</f>
      </c>
      <c r="V928">
        <f>IF(ISBLANK('Data Entry'!$V$928), "", 'Data Entry'!$V$928)</f>
      </c>
      <c r="W928">
        <f>IF(ISBLANK('Data Entry'!$W$928), "", 'Data Entry'!$W$928)</f>
      </c>
      <c r="X928">
        <f>IF(ISBLANK('Data Entry'!$X$928), "", 'Data Entry'!$X$928)</f>
      </c>
      <c r="Y928">
        <f>IF(ISBLANK('Data Entry'!$Y$928), "", 'Data Entry'!$Y$928)</f>
      </c>
      <c r="Z928">
        <f>IF(ISBLANK('Data Entry'!$Z$928), "", 'Data Entry'!$Z$928)</f>
      </c>
      <c r="AA928">
        <f>IF(ISBLANK('Data Entry'!$[$928), "", 'Data Entry'!$[$928)</f>
      </c>
      <c r="AB928">
        <f>IF(ISBLANK('Data Entry'!$\$928), "", 'Data Entry'!$\$928)</f>
      </c>
      <c r="AC928">
        <f>IF(ISBLANK('Data Entry'!$]$928), "", 'Data Entry'!$]$928)</f>
      </c>
      <c r="AD928">
        <f>IF(ISBLANK('Data Entry'!$^$928), "", 'Data Entry'!$^$928)</f>
      </c>
      <c r="AE928">
        <f>IF(ISBLANK('Data Entry'!$_$928), "", 'Data Entry'!$_$928)</f>
      </c>
      <c r="AF928">
        <f>IF(ISBLANK('Data Entry'!$`$928), "", 'Data Entry'!$`$928)</f>
      </c>
      <c r="AG928">
        <f>IF(ISBLANK('Data Entry'!$a$928), "", 'Data Entry'!$a$928)</f>
      </c>
      <c r="AH928">
        <f>IF(ISBLANK('Data Entry'!$b$928), "", 'Data Entry'!$b$928)</f>
      </c>
      <c r="AI928">
        <f>IF(ISBLANK('Data Entry'!$c$928), "", 'Data Entry'!$c$928)</f>
      </c>
      <c r="AJ928">
        <f>IF(ISBLANK('Data Entry'!$d$928), "", 'Data Entry'!$d$928)</f>
      </c>
      <c r="AK928">
        <f>IF(ISBLANK('Data Entry'!$e$928), "", 'Data Entry'!$e$928)</f>
      </c>
      <c r="AL928">
        <f>IF(ISBLANK('Data Entry'!$f$928), "", 'Data Entry'!$f$928)</f>
      </c>
      <c r="AM928">
        <f>IF(ISBLANK('Data Entry'!$g$928), "", 'Data Entry'!$g$928)</f>
      </c>
      <c r="AN928">
        <f>IF(ISBLANK('Data Entry'!$h$928), "", 'Data Entry'!$h$928)</f>
      </c>
      <c r="AO928">
        <f>IF(ISBLANK('Data Entry'!$i$928), "", 'Data Entry'!$i$928)</f>
      </c>
      <c r="AP928">
        <f>IF(ISBLANK('Data Entry'!$j$928), "", 'Data Entry'!$j$928)</f>
      </c>
      <c r="AQ928">
        <f>IF(ISBLANK('Data Entry'!$k$928), "", 'Data Entry'!$k$928)</f>
      </c>
      <c r="AR928">
        <f>IF(ISBLANK('Data Entry'!$l$928), "", 'Data Entry'!$l$928)</f>
      </c>
      <c r="AS928">
        <f>IF(ISBLANK('Data Entry'!$m$928), "", 'Data Entry'!$m$928)</f>
      </c>
      <c r="AT928">
        <f>IF(ISBLANK('Data Entry'!$n$928), "", 'Data Entry'!$n$928)</f>
      </c>
      <c r="AU928">
        <f>IF(ISBLANK('Data Entry'!$o$928), "", 'Data Entry'!$o$928)</f>
      </c>
      <c r="AV928">
        <f>IF(ISBLANK('Data Entry'!$p$928), "", 'Data Entry'!$p$928)</f>
      </c>
      <c r="AW928">
        <f>IF(ISBLANK('Data Entry'!$q$928), "", 'Data Entry'!$q$928)</f>
      </c>
      <c r="AX928">
        <f>IF(ISBLANK('Data Entry'!$r$928), "", 'Data Entry'!$r$928)</f>
      </c>
      <c r="AY928">
        <f>IF(ISBLANK('Data Entry'!$s$928), "", 'Data Entry'!$s$928)</f>
      </c>
      <c r="AZ928">
        <f>IF(ISBLANK('Data Entry'!$t$928), "", 'Data Entry'!$t$928)</f>
      </c>
      <c r="BA928">
        <f>IF(ISBLANK('Data Entry'!$u$928), "", 'Data Entry'!$u$928)</f>
      </c>
      <c r="BB928">
        <f>IF(ISBLANK('Data Entry'!$v$928), "", 'Data Entry'!$v$928)</f>
      </c>
      <c r="BC928">
        <f>IF(ISBLANK('Data Entry'!$w$928), "", 'Data Entry'!$w$928)</f>
      </c>
      <c r="BD928">
        <f>IF(ISBLANK('Data Entry'!$x$928), "", 'Data Entry'!$x$928)</f>
      </c>
      <c r="BE928">
        <f>IF(ISBLANK('Data Entry'!$y$928), "", 'Data Entry'!$y$928)</f>
      </c>
      <c r="BF928">
        <f>IF(ISBLANK('Data Entry'!$z$928), "", 'Data Entry'!$z$928)</f>
      </c>
      <c r="BG928">
        <f>IF(ISBLANK('Data Entry'!${$928), "", 'Data Entry'!${$928)</f>
      </c>
      <c r="BH928">
        <f>IF(ISBLANK('Data Entry'!$|$928), "", 'Data Entry'!$|$928)</f>
      </c>
      <c r="BI928">
        <f>IF(ISBLANK('Data Entry'!$}$928), "", 'Data Entry'!$}$928)</f>
      </c>
      <c r="BJ928">
        <f>IF(ISBLANK('Data Entry'!$~$928), "", 'Data Entry'!$~$928)</f>
      </c>
      <c r="BK928">
        <f>IF(ISBLANK('Data Entry'!$$928), "", 'Data Entry'!$$928)</f>
      </c>
      <c r="BL928">
        <f>IF(ISBLANK('Data Entry'!$$928), "", 'Data Entry'!$$928)</f>
      </c>
      <c r="BM928">
        <f>IF(ISBLANK('Data Entry'!$$928), "", 'Data Entry'!$$928)</f>
      </c>
      <c r="BN928">
        <f>IF(ISBLANK('Data Entry'!$$928), "", 'Data Entry'!$$928)</f>
      </c>
      <c r="BO928">
        <f>IF(ISBLANK('Data Entry'!$$928), "", 'Data Entry'!$$928)</f>
      </c>
      <c r="BP928">
        <f>IF(ISBLANK('Data Entry'!$$928), "", 'Data Entry'!$$928)</f>
      </c>
      <c r="BQ928">
        <f>IF(ISBLANK('Data Entry'!$$928), "", 'Data Entry'!$$928)</f>
      </c>
      <c r="BR928">
        <f>IF(ISBLANK('Data Entry'!$$928), "", 'Data Entry'!$$928)</f>
      </c>
      <c r="BS928">
        <f>IF(ISBLANK('Data Entry'!$$928), "", 'Data Entry'!$$928)</f>
      </c>
      <c r="BT928">
        <f>IF(ISBLANK('Data Entry'!$$928), "", 'Data Entry'!$$928)</f>
      </c>
      <c r="BU928">
        <f>IF(ISBLANK('Data Entry'!$$928), "", 'Data Entry'!$$928)</f>
      </c>
      <c r="BV928">
        <f>IF(ISBLANK('Data Entry'!$$928), "", 'Data Entry'!$$928)</f>
      </c>
      <c r="BW928">
        <f>IF(ISBLANK('Data Entry'!$$928), "", 'Data Entry'!$$928)</f>
      </c>
      <c r="BX928">
        <f>IF(ISBLANK('Data Entry'!$$928), "", 'Data Entry'!$$928)</f>
      </c>
      <c r="BY928">
        <f>IF(ISBLANK('Data Entry'!$$928), "", 'Data Entry'!$$928)</f>
      </c>
      <c r="BZ928">
        <f>IF(ISBLANK('Data Entry'!$$928), "", 'Data Entry'!$$928)</f>
      </c>
      <c r="CA928">
        <f>IF(ISBLANK('Data Entry'!$$928), "", 'Data Entry'!$$928)</f>
      </c>
      <c r="CB928">
        <f>IF(ISBLANK('Data Entry'!$$928), "", 'Data Entry'!$$928)</f>
      </c>
      <c r="CC928">
        <f>IF(ISBLANK('Data Entry'!$$928), "", 'Data Entry'!$$928)</f>
      </c>
      <c r="CD928">
        <f>IF(ISBLANK('Data Entry'!$$928), "", 'Data Entry'!$$928)</f>
      </c>
      <c r="CE928">
        <f>IF(ISBLANK('Data Entry'!$$928), "", 'Data Entry'!$$928)</f>
      </c>
      <c r="CF928">
        <f>IF(ISBLANK('Data Entry'!$$928), "", 'Data Entry'!$$928)</f>
      </c>
      <c r="CG928">
        <f>IF(ISBLANK('Data Entry'!$$928), "", 'Data Entry'!$$928)</f>
      </c>
      <c r="CH928">
        <f>IF(ISBLANK('Data Entry'!$$928), "", 'Data Entry'!$$928)</f>
      </c>
      <c r="CI928">
        <f>IF(ISBLANK('Data Entry'!$$928), "", 'Data Entry'!$$928)</f>
      </c>
      <c r="CJ928">
        <f>IF(ISBLANK('Data Entry'!$$928), "", 'Data Entry'!$$928)</f>
      </c>
      <c r="CK928">
        <f>IF(ISBLANK('Data Entry'!$$928), "", 'Data Entry'!$$928)</f>
      </c>
      <c r="CL928">
        <f>IF(ISBLANK('Data Entry'!$$928), "", 'Data Entry'!$$928)</f>
      </c>
      <c r="CM928">
        <f>IF(ISBLANK('Data Entry'!$$928), "", 'Data Entry'!$$928)</f>
      </c>
      <c r="CN928">
        <f>IF(ISBLANK('Data Entry'!$$928), "", 'Data Entry'!$$928)</f>
      </c>
      <c r="CO928">
        <f>IF(ISBLANK('Data Entry'!$$928), "", 'Data Entry'!$$928)</f>
      </c>
      <c r="CP928">
        <f>IF(ISBLANK('Data Entry'!$$928), "", 'Data Entry'!$$928)</f>
      </c>
      <c r="CQ928">
        <f>IF(ISBLANK('Data Entry'!$$928), "", 'Data Entry'!$$928)</f>
      </c>
      <c r="CR928">
        <f>IF(ISBLANK('Data Entry'!$ $928), "", 'Data Entry'!$ $928)</f>
      </c>
      <c r="CS928">
        <f>IF(ISBLANK('Data Entry'!$¡$928), "", 'Data Entry'!$¡$928)</f>
      </c>
      <c r="CT928">
        <f>IF(ISBLANK('Data Entry'!$¢$928), "", 'Data Entry'!$¢$928)</f>
      </c>
      <c r="CU928">
        <f>IF(ISBLANK('Data Entry'!$£$928), "", 'Data Entry'!$£$928)</f>
      </c>
      <c r="CV928">
        <f>IF(ISBLANK('Data Entry'!$¤$928), "", 'Data Entry'!$¤$928)</f>
      </c>
      <c r="CW928">
        <f>IF(ISBLANK('Data Entry'!$¥$928), "", 'Data Entry'!$¥$928)</f>
      </c>
      <c r="CX928">
        <f>IF(ISBLANK('Data Entry'!$¦$928), "", 'Data Entry'!$¦$928)</f>
      </c>
      <c r="CY928">
        <f>IF(ISBLANK('Data Entry'!$§$928), "", 'Data Entry'!$§$928)</f>
      </c>
      <c r="CZ928">
        <f>IF(ISBLANK('Data Entry'!$¨$928), "", 'Data Entry'!$¨$928)</f>
      </c>
      <c r="DA928">
        <f>IF(ISBLANK('Data Entry'!$©$928), "", 'Data Entry'!$©$928)</f>
      </c>
      <c r="DB928">
        <f>IF(ISBLANK('Data Entry'!$ª$928), "", 'Data Entry'!$ª$928)</f>
      </c>
      <c r="DC928">
        <f>IF(ISBLANK('Data Entry'!$«$928), "", 'Data Entry'!$«$928)</f>
      </c>
      <c r="DD928">
        <f>IF(ISBLANK('Data Entry'!$¬$928), "", 'Data Entry'!$¬$928)</f>
      </c>
      <c r="DE928">
        <f>IF(ISBLANK('Data Entry'!$­$928), "", 'Data Entry'!$­$928)</f>
      </c>
      <c r="DF928">
        <f>IF(ISBLANK('Data Entry'!$®$928), "", 'Data Entry'!$®$928)</f>
      </c>
      <c r="DG928">
        <f>IF(ISBLANK('Data Entry'!$¯$928), "", 'Data Entry'!$¯$928)</f>
      </c>
      <c r="DH928">
        <f>IF(ISBLANK('Data Entry'!$°$928), "", 'Data Entry'!$°$928)</f>
      </c>
      <c r="DI928">
        <f>IF(ISBLANK('Data Entry'!$±$928), "", 'Data Entry'!$±$928)</f>
      </c>
      <c r="DJ928">
        <f>IF(ISBLANK('Data Entry'!$²$928), "", 'Data Entry'!$²$928)</f>
      </c>
      <c r="DK928">
        <f>IF(ISBLANK('Data Entry'!$³$928), "", 'Data Entry'!$³$928)</f>
      </c>
      <c r="DL928">
        <f>IF(ISBLANK('Data Entry'!$´$928), "", 'Data Entry'!$´$928)</f>
      </c>
      <c r="DM928">
        <f>IF(ISBLANK('Data Entry'!$µ$928), "", 'Data Entry'!$µ$928)</f>
      </c>
      <c r="DN928">
        <f>IF(ISBLANK('Data Entry'!$¶$928), "", 'Data Entry'!$¶$928)</f>
      </c>
      <c r="DO928">
        <f>IF(ISBLANK('Data Entry'!$·$928), "", 'Data Entry'!$·$928)</f>
      </c>
      <c r="DP928">
        <f>IF(ISBLANK('Data Entry'!$¸$928), "", 'Data Entry'!$¸$928)</f>
      </c>
      <c r="DQ928">
        <f>IF(ISBLANK('Data Entry'!$¹$928), "", 'Data Entry'!$¹$928)</f>
      </c>
      <c r="DR928">
        <f>IF(ISBLANK('Data Entry'!$º$928), "", 'Data Entry'!$º$928)</f>
      </c>
      <c r="DS928">
        <f>IF(ISBLANK('Data Entry'!$»$928), "", 'Data Entry'!$»$928)</f>
      </c>
      <c r="DT928">
        <f>IF(ISBLANK('Data Entry'!$¼$928), "", 'Data Entry'!$¼$928)</f>
      </c>
      <c r="DU928">
        <f>IF(ISBLANK('Data Entry'!$½$928), "", 'Data Entry'!$½$928)</f>
      </c>
      <c r="DV928">
        <f>IF(ISBLANK('Data Entry'!$¾$928), "", 'Data Entry'!$¾$928)</f>
      </c>
      <c r="DW928">
        <f>IF(ISBLANK('Data Entry'!$¿$928), "", 'Data Entry'!$¿$928)</f>
      </c>
      <c r="DX928">
        <f>IF(ISBLANK('Data Entry'!$À$928), "", 'Data Entry'!$À$928)</f>
      </c>
      <c r="DY928">
        <f>IF(ISBLANK('Data Entry'!$Á$928), "", 'Data Entry'!$Á$928)</f>
      </c>
      <c r="DZ928">
        <f>IF(ISBLANK('Data Entry'!$Â$928), "", 'Data Entry'!$Â$928)</f>
      </c>
      <c r="EA928">
        <f>IF(ISBLANK('Data Entry'!$Ã$928), "", 'Data Entry'!$Ã$928)</f>
      </c>
      <c r="EB928">
        <f>IF(ISBLANK('Data Entry'!$Ä$928), "", 'Data Entry'!$Ä$928)</f>
      </c>
      <c r="EC928">
        <f>IF(ISBLANK('Data Entry'!$Å$928), "", 'Data Entry'!$Å$928)</f>
      </c>
      <c r="ED928">
        <f>IF(ISBLANK('Data Entry'!$Æ$928), "", 'Data Entry'!$Æ$928)</f>
      </c>
      <c r="EE928">
        <f>IF(ISBLANK('Data Entry'!$Ç$928), "", 'Data Entry'!$Ç$928)</f>
      </c>
      <c r="EF928">
        <f>IF(ISBLANK('Data Entry'!$È$928), "", 'Data Entry'!$È$928)</f>
      </c>
      <c r="EG928">
        <f>IF(ISBLANK('Data Entry'!$É$928), "", 'Data Entry'!$É$928)</f>
      </c>
      <c r="EH928">
        <f>IF(ISBLANK('Data Entry'!$Ê$928), "", 'Data Entry'!$Ê$928)</f>
      </c>
      <c r="EI928">
        <f>IF(ISBLANK('Data Entry'!$Ë$928), "", 'Data Entry'!$Ë$928)</f>
      </c>
      <c r="EJ928">
        <f>IF(ISBLANK('Data Entry'!$Ì$928), "", 'Data Entry'!$Ì$928)</f>
      </c>
      <c r="EK928">
        <f>IF(ISBLANK('Data Entry'!$Í$928), "", 'Data Entry'!$Í$928)</f>
      </c>
      <c r="EL928">
        <f>IF(ISBLANK('Data Entry'!$Î$928), "", 'Data Entry'!$Î$928)</f>
      </c>
      <c r="EM928">
        <f>IF(ISBLANK('Data Entry'!$Ï$928), "", 'Data Entry'!$Ï$928)</f>
      </c>
      <c r="EN928">
        <f>IF(ISBLANK('Data Entry'!$Ð$928), "", 'Data Entry'!$Ð$928)</f>
      </c>
      <c r="EO928">
        <f>IF(ISBLANK('Data Entry'!$Ñ$928), "", 'Data Entry'!$Ñ$928)</f>
      </c>
      <c r="EP928">
        <f>IF(ISBLANK('Data Entry'!$Ò$928), "", 'Data Entry'!$Ò$928)</f>
      </c>
      <c r="EQ928">
        <f>IF(ISBLANK('Data Entry'!$Ó$928), "", 'Data Entry'!$Ó$928)</f>
      </c>
      <c r="ER928">
        <f>IF(ISBLANK('Data Entry'!$Ô$928), "", 'Data Entry'!$Ô$928)</f>
      </c>
      <c r="ES928">
        <f>IF(ISBLANK('Data Entry'!$Õ$928), "", 'Data Entry'!$Õ$928)</f>
      </c>
      <c r="ET928">
        <f>IF(ISBLANK('Data Entry'!$Ö$928), "", 'Data Entry'!$Ö$928)</f>
      </c>
      <c r="EU928">
        <f>IF(ISBLANK('Data Entry'!$×$928), "", 'Data Entry'!$×$928)</f>
      </c>
      <c r="EV928">
        <f>IF(ISBLANK('Data Entry'!$Ø$928), "", 'Data Entry'!$Ø$928)</f>
      </c>
      <c r="EW928">
        <f>IF(ISBLANK('Data Entry'!$Ù$928), "", 'Data Entry'!$Ù$928)</f>
      </c>
      <c r="EX928">
        <f>IF(ISBLANK('Data Entry'!$Ú$928), "", 'Data Entry'!$Ú$928)</f>
      </c>
      <c r="EY928">
        <f>IF(ISBLANK('Data Entry'!$Û$928), "", 'Data Entry'!$Û$928)</f>
      </c>
      <c r="EZ928">
        <f>IF(ISBLANK('Data Entry'!$Ü$928), "", 'Data Entry'!$Ü$928)</f>
      </c>
      <c r="FA928">
        <f>IF(ISBLANK('Data Entry'!$Ý$928), "", 'Data Entry'!$Ý$928)</f>
      </c>
      <c r="FB928">
        <f>IF(ISBLANK('Data Entry'!$Þ$928), "", 'Data Entry'!$Þ$928)</f>
      </c>
      <c r="FC928">
        <f>IF(ISBLANK('Data Entry'!$ß$928), "", 'Data Entry'!$ß$928)</f>
      </c>
      <c r="FD928">
        <f>IF(ISBLANK('Data Entry'!$à$928), "", 'Data Entry'!$à$928)</f>
      </c>
      <c r="FE928">
        <f>IF(ISBLANK('Data Entry'!$á$928), "", 'Data Entry'!$á$928)</f>
      </c>
      <c r="FF928">
        <f>IF(ISBLANK('Data Entry'!$â$928), "", 'Data Entry'!$â$928)</f>
      </c>
      <c r="FG928">
        <f>IF(ISBLANK('Data Entry'!$ã$928), "", 'Data Entry'!$ã$928)</f>
      </c>
      <c r="FH928">
        <f>IF(ISBLANK('Data Entry'!$ä$928), "", 'Data Entry'!$ä$928)</f>
      </c>
      <c r="FI928">
        <f>IF(ISBLANK('Data Entry'!$å$928), "", 'Data Entry'!$å$928)</f>
      </c>
      <c r="FJ928">
        <f>IF(ISBLANK('Data Entry'!$æ$928), "", 'Data Entry'!$æ$928)</f>
      </c>
      <c r="FK928">
        <f>IF(ISBLANK('Data Entry'!$ç$928), "", 'Data Entry'!$ç$928)</f>
      </c>
      <c r="FL928">
        <f>IF(ISBLANK('Data Entry'!$è$928), "", 'Data Entry'!$è$928)</f>
      </c>
      <c r="FM928">
        <f>IF(ISBLANK('Data Entry'!$é$928), "", 'Data Entry'!$é$928)</f>
      </c>
      <c r="FN928">
        <f>IF(ISBLANK('Data Entry'!$ê$928), "", 'Data Entry'!$ê$928)</f>
      </c>
      <c r="FO928">
        <f>IF(ISBLANK('Data Entry'!$ë$928), "", 'Data Entry'!$ë$928)</f>
      </c>
      <c r="FP928">
        <f>IF(ISBLANK('Data Entry'!$ì$928), "", 'Data Entry'!$ì$928)</f>
      </c>
      <c r="FQ928">
        <f>IF(ISBLANK('Data Entry'!$í$928), "", 'Data Entry'!$í$928)</f>
      </c>
      <c r="FR928">
        <f>IF(ISBLANK('Data Entry'!$î$928), "", 'Data Entry'!$î$928)</f>
      </c>
      <c r="FS928">
        <f>IF(ISBLANK('Data Entry'!$ï$928), "", 'Data Entry'!$ï$928)</f>
      </c>
      <c r="FT928">
        <f>IF(ISBLANK('Data Entry'!$ð$928), "", 'Data Entry'!$ð$928)</f>
      </c>
      <c r="FU928">
        <f>IF(ISBLANK('Data Entry'!$ñ$928), "", 'Data Entry'!$ñ$928)</f>
      </c>
      <c r="FV928">
        <f>IF(ISBLANK('Data Entry'!$ò$928), "", 'Data Entry'!$ò$928)</f>
      </c>
      <c r="FW928">
        <f>IF(ISBLANK('Data Entry'!$ó$928), "", 'Data Entry'!$ó$928)</f>
      </c>
      <c r="FX928">
        <f>IF(ISBLANK('Data Entry'!$ô$928), "", 'Data Entry'!$ô$928)</f>
      </c>
      <c r="FY928">
        <f>IF(ISBLANK('Data Entry'!$õ$928), "", 'Data Entry'!$õ$928)</f>
      </c>
      <c r="FZ928">
        <f>IF(ISBLANK('Data Entry'!$ö$928), "", 'Data Entry'!$ö$928)</f>
      </c>
      <c r="GA928">
        <f>IF(ISBLANK('Data Entry'!$÷$928), "", 'Data Entry'!$÷$928)</f>
      </c>
      <c r="GB928">
        <f>IF(ISBLANK('Data Entry'!$ø$928), "", 'Data Entry'!$ø$928)</f>
      </c>
      <c r="GC928">
        <f>IF(ISBLANK('Data Entry'!$ù$928), "", 'Data Entry'!$ù$928)</f>
      </c>
      <c r="GD928">
        <f>IF(ISBLANK('Data Entry'!$ú$928), "", 'Data Entry'!$ú$928)</f>
      </c>
      <c r="GE928">
        <f>IF(ISBLANK('Data Entry'!$û$928), "", 'Data Entry'!$û$928)</f>
      </c>
      <c r="GF928">
        <f>IF(ISBLANK('Data Entry'!$ü$928), "", 'Data Entry'!$ü$928)</f>
      </c>
      <c r="GG928">
        <f>IF(ISBLANK('Data Entry'!$ý$928), "", 'Data Entry'!$ý$928)</f>
      </c>
      <c r="GH928">
        <f>IF(ISBLANK('Data Entry'!$þ$928), "", 'Data Entry'!$þ$928)</f>
      </c>
      <c r="GI928">
        <f>IF(ISBLANK('Data Entry'!$ÿ$928), "", 'Data Entry'!$ÿ$928)</f>
      </c>
      <c r="GJ928">
        <f>IF(ISBLANK('Data Entry'!$Ā$928), "", 'Data Entry'!$Ā$928)</f>
      </c>
      <c r="GK928">
        <f>IF(ISBLANK('Data Entry'!$ā$928), "", 'Data Entry'!$ā$928)</f>
      </c>
      <c r="GL928">
        <f>IF(ISBLANK('Data Entry'!$Ă$928), "", 'Data Entry'!$Ă$928)</f>
      </c>
      <c r="GM928">
        <f>IF(ISBLANK('Data Entry'!$ă$928), "", 'Data Entry'!$ă$928)</f>
      </c>
      <c r="GN928">
        <f>IF(ISBLANK('Data Entry'!$Ą$928), "", 'Data Entry'!$Ą$928)</f>
      </c>
      <c r="GO928">
        <f>IF(ISBLANK('Data Entry'!$ą$928), "", 'Data Entry'!$ą$928)</f>
      </c>
      <c r="GP928">
        <f>IF(ISBLANK('Data Entry'!$Ć$928), "", 'Data Entry'!$Ć$928)</f>
      </c>
      <c r="GQ928">
        <f>IF(ISBLANK('Data Entry'!$ć$928), "", 'Data Entry'!$ć$928)</f>
      </c>
      <c r="GR928">
        <f>IF(ISBLANK('Data Entry'!$Ĉ$928), "", 'Data Entry'!$Ĉ$928)</f>
      </c>
      <c r="GS928">
        <f>IF(ISBLANK('Data Entry'!$ĉ$928), "", 'Data Entry'!$ĉ$928)</f>
      </c>
      <c r="GT928">
        <f>IF(ISBLANK('Data Entry'!$Ċ$928), "", 'Data Entry'!$Ċ$928)</f>
      </c>
      <c r="GU928">
        <f>IF(ISBLANK('Data Entry'!$ċ$928), "", 'Data Entry'!$ċ$928)</f>
      </c>
      <c r="GV928">
        <f>IF(ISBLANK('Data Entry'!$Č$928), "", 'Data Entry'!$Č$928)</f>
      </c>
      <c r="GW928">
        <f>IF(ISBLANK('Data Entry'!$č$928), "", 'Data Entry'!$č$928)</f>
      </c>
      <c r="GX928">
        <f>IF(ISBLANK('Data Entry'!$Ď$928), "", 'Data Entry'!$Ď$928)</f>
      </c>
      <c r="GY928">
        <f>IF(ISBLANK('Data Entry'!$ď$928), "", 'Data Entry'!$ď$928)</f>
      </c>
      <c r="GZ928">
        <f>IF(ISBLANK('Data Entry'!$Đ$928), "", 'Data Entry'!$Đ$928)</f>
      </c>
      <c r="HA928">
        <f>IF(ISBLANK('Data Entry'!$đ$928), "", 'Data Entry'!$đ$928)</f>
      </c>
      <c r="HB928">
        <f>IF(ISBLANK('Data Entry'!$Ē$928), "", 'Data Entry'!$Ē$928)</f>
      </c>
      <c r="HC928">
        <f>IF(ISBLANK('Data Entry'!$ē$928), "", 'Data Entry'!$ē$928)</f>
      </c>
      <c r="HD928">
        <f>IF(ISBLANK('Data Entry'!$Ĕ$928), "", 'Data Entry'!$Ĕ$928)</f>
      </c>
      <c r="HE928">
        <f>IF(ISBLANK('Data Entry'!$ĕ$928), "", 'Data Entry'!$ĕ$928)</f>
      </c>
      <c r="HF928">
        <f>IF(ISBLANK('Data Entry'!$Ė$928), "", 'Data Entry'!$Ė$928)</f>
      </c>
      <c r="HG928">
        <f>IF(ISBLANK('Data Entry'!$ė$928), "", 'Data Entry'!$ė$928)</f>
      </c>
      <c r="HH928">
        <f>IF(ISBLANK('Data Entry'!$Ę$928), "", 'Data Entry'!$Ę$928)</f>
      </c>
      <c r="HI928">
        <f>IF(ISBLANK('Data Entry'!$ę$928), "", 'Data Entry'!$ę$928)</f>
      </c>
      <c r="HJ928">
        <f>IF(ISBLANK('Data Entry'!$Ě$928), "", 'Data Entry'!$Ě$928)</f>
      </c>
      <c r="HK928">
        <f>IF(ISBLANK('Data Entry'!$ě$928), "", 'Data Entry'!$ě$928)</f>
      </c>
      <c r="HL928">
        <f>IF(ISBLANK('Data Entry'!$Ĝ$928), "", 'Data Entry'!$Ĝ$928)</f>
      </c>
      <c r="HM928">
        <f>IF(ISBLANK('Data Entry'!$ĝ$928), "", 'Data Entry'!$ĝ$928)</f>
      </c>
      <c r="HN928">
        <f>IF(ISBLANK('Data Entry'!$Ğ$928), "", 'Data Entry'!$Ğ$928)</f>
      </c>
      <c r="HO928">
        <f>IF(ISBLANK('Data Entry'!$ğ$928), "", 'Data Entry'!$ğ$928)</f>
      </c>
      <c r="HP928">
        <f>IF(ISBLANK('Data Entry'!$Ġ$928), "", 'Data Entry'!$Ġ$928)</f>
      </c>
      <c r="HQ928">
        <f>IF(ISBLANK('Data Entry'!$ġ$928), "", 'Data Entry'!$ġ$928)</f>
      </c>
      <c r="HR928">
        <f>IF(ISBLANK('Data Entry'!$Ģ$928), "", 'Data Entry'!$Ģ$928)</f>
      </c>
      <c r="HS928">
        <f>IF(ISBLANK('Data Entry'!$ģ$928), "", 'Data Entry'!$ģ$928)</f>
      </c>
      <c r="HT928">
        <f>IF(ISBLANK('Data Entry'!$Ĥ$928), "", 'Data Entry'!$Ĥ$928)</f>
      </c>
      <c r="HU928">
        <f>IF(ISBLANK('Data Entry'!$ĥ$928), "", 'Data Entry'!$ĥ$928)</f>
      </c>
      <c r="HV928">
        <f>IF(ISBLANK('Data Entry'!$Ħ$928), "", 'Data Entry'!$Ħ$928)</f>
      </c>
      <c r="HW928">
        <f>IF(ISBLANK('Data Entry'!$ħ$928), "", 'Data Entry'!$ħ$928)</f>
      </c>
      <c r="HX928">
        <f>IF(ISBLANK('Data Entry'!$Ĩ$928), "", 'Data Entry'!$Ĩ$928)</f>
      </c>
      <c r="HY928">
        <f>IF(ISBLANK('Data Entry'!$ĩ$928), "", 'Data Entry'!$ĩ$928)</f>
      </c>
      <c r="HZ928">
        <f>IF(ISBLANK('Data Entry'!$Ī$928), "", 'Data Entry'!$Ī$928)</f>
      </c>
      <c r="IA928">
        <f>IF(ISBLANK('Data Entry'!$ī$928), "", 'Data Entry'!$ī$928)</f>
      </c>
      <c r="IB928">
        <f>IF(ISBLANK('Data Entry'!$Ĭ$928), "", 'Data Entry'!$Ĭ$928)</f>
      </c>
      <c r="IC928">
        <f>IF(ISBLANK('Data Entry'!$ĭ$928), "", 'Data Entry'!$ĭ$928)</f>
      </c>
      <c r="ID928">
        <f>IF(ISBLANK('Data Entry'!$Į$928), "", 'Data Entry'!$Į$928)</f>
      </c>
      <c r="IE928">
        <f>IF(ISBLANK('Data Entry'!$į$928), "", 'Data Entry'!$į$928)</f>
      </c>
      <c r="IF928">
        <f>IF(ISBLANK('Data Entry'!$İ$928), "", 'Data Entry'!$İ$928)</f>
      </c>
      <c r="IG928">
        <f>IF(ISBLANK('Data Entry'!$ı$928), "", 'Data Entry'!$ı$928)</f>
      </c>
      <c r="IH928">
        <f>IF(ISBLANK('Data Entry'!$Ĳ$928), "", 'Data Entry'!$Ĳ$928)</f>
      </c>
      <c r="II928">
        <f>IF(ISBLANK('Data Entry'!$ĳ$928), "", 'Data Entry'!$ĳ$928)</f>
      </c>
      <c r="IJ928">
        <f>IF(ISBLANK('Data Entry'!$Ĵ$928), "", 'Data Entry'!$Ĵ$928)</f>
      </c>
      <c r="IK928">
        <f>IF(ISBLANK('Data Entry'!$ĵ$928), "", 'Data Entry'!$ĵ$928)</f>
      </c>
      <c r="IL928">
        <f>IF(ISBLANK('Data Entry'!$Ķ$928), "", 'Data Entry'!$Ķ$928)</f>
      </c>
      <c r="IM928">
        <f>IF(ISBLANK('Data Entry'!$ķ$928), "", 'Data Entry'!$ķ$928)</f>
      </c>
      <c r="IN928">
        <f>IF(ISBLANK('Data Entry'!$ĸ$928), "", 'Data Entry'!$ĸ$928)</f>
      </c>
      <c r="IO928">
        <f>IF(ISBLANK('Data Entry'!$Ĺ$928), "", 'Data Entry'!$Ĺ$928)</f>
      </c>
      <c r="IP928">
        <f>IF(ISBLANK('Data Entry'!$ĺ$928), "", 'Data Entry'!$ĺ$928)</f>
      </c>
      <c r="IQ928">
        <f>IF(ISBLANK('Data Entry'!$Ļ$928), "", 'Data Entry'!$Ļ$928)</f>
      </c>
      <c r="IR928">
        <f>IF(ISBLANK('Data Entry'!$ļ$928), "", 'Data Entry'!$ļ$928)</f>
      </c>
      <c r="IS928">
        <f>IF(ISBLANK('Data Entry'!$Ľ$928), "", 'Data Entry'!$Ľ$928)</f>
      </c>
      <c r="IT928">
        <f>IF(ISBLANK('Data Entry'!$ľ$928), "", 'Data Entry'!$ľ$928)</f>
      </c>
    </row>
    <row r="929" spans="1:254" x14ac:dyDescent="0.25">
      <c r="A929">
        <f>IF(ISBLANK('Data Entry'!$A$929), "", 'Data Entry'!$A$929)</f>
      </c>
      <c r="B929">
        <f>IF(ISBLANK('Data Entry'!$B$929), "", 'Data Entry'!$B$929)</f>
      </c>
      <c r="C929">
        <f>IF(ISBLANK('Data Entry'!$C$929), "", 'Data Entry'!$C$929)</f>
      </c>
      <c r="D929">
        <f>IF(ISBLANK('Data Entry'!$D$929), "", 'Data Entry'!$D$929)</f>
      </c>
      <c r="E929">
        <f>IF(ISBLANK('Data Entry'!$E$929), "", 'Data Entry'!$E$929)</f>
      </c>
      <c r="F929">
        <f>IF(ISBLANK('Data Entry'!$F$929), "", 'Data Entry'!$F$929)</f>
      </c>
      <c r="G929">
        <f>IF(ISBLANK('Data Entry'!$G$929), "", 'Data Entry'!$G$929)</f>
      </c>
      <c r="H929">
        <f>IF(ISBLANK('Data Entry'!$H$929), "", 'Data Entry'!$H$929)</f>
      </c>
      <c r="I929">
        <f>IF(ISBLANK('Data Entry'!$I$929), "", 'Data Entry'!$I$929)</f>
      </c>
      <c r="J929">
        <f>IF(ISBLANK('Data Entry'!$J$929), "", 'Data Entry'!$J$929)</f>
      </c>
      <c r="K929">
        <f>IF(ISBLANK('Data Entry'!$K$929), "", 'Data Entry'!$K$929)</f>
      </c>
      <c r="L929">
        <f>IF(ISBLANK('Data Entry'!$L$929), "", 'Data Entry'!$L$929)</f>
      </c>
      <c r="M929">
        <f>IF(ISBLANK('Data Entry'!$M$929), "", 'Data Entry'!$M$929)</f>
      </c>
      <c r="N929">
        <f>IF(ISBLANK('Data Entry'!$N$929), "", 'Data Entry'!$N$929)</f>
      </c>
      <c r="O929">
        <f>IF(ISBLANK('Data Entry'!$O$929), "", 'Data Entry'!$O$929)</f>
      </c>
      <c r="P929">
        <f>IF(ISBLANK('Data Entry'!$P$929), "", 'Data Entry'!$P$929)</f>
      </c>
      <c r="Q929">
        <f>IF(ISBLANK('Data Entry'!$Q$929), "", 'Data Entry'!$Q$929)</f>
      </c>
      <c r="R929">
        <f>IF(ISBLANK('Data Entry'!$R$929), "", 'Data Entry'!$R$929)</f>
      </c>
      <c r="S929">
        <f>IF(ISBLANK('Data Entry'!$S$929), "", 'Data Entry'!$S$929)</f>
      </c>
      <c r="T929">
        <f>IF(ISBLANK('Data Entry'!$T$929), "", 'Data Entry'!$T$929)</f>
      </c>
      <c r="U929">
        <f>IF(ISBLANK('Data Entry'!$U$929), "", 'Data Entry'!$U$929)</f>
      </c>
      <c r="V929">
        <f>IF(ISBLANK('Data Entry'!$V$929), "", 'Data Entry'!$V$929)</f>
      </c>
      <c r="W929">
        <f>IF(ISBLANK('Data Entry'!$W$929), "", 'Data Entry'!$W$929)</f>
      </c>
      <c r="X929">
        <f>IF(ISBLANK('Data Entry'!$X$929), "", 'Data Entry'!$X$929)</f>
      </c>
      <c r="Y929">
        <f>IF(ISBLANK('Data Entry'!$Y$929), "", 'Data Entry'!$Y$929)</f>
      </c>
      <c r="Z929">
        <f>IF(ISBLANK('Data Entry'!$Z$929), "", 'Data Entry'!$Z$929)</f>
      </c>
      <c r="AA929">
        <f>IF(ISBLANK('Data Entry'!$[$929), "", 'Data Entry'!$[$929)</f>
      </c>
      <c r="AB929">
        <f>IF(ISBLANK('Data Entry'!$\$929), "", 'Data Entry'!$\$929)</f>
      </c>
      <c r="AC929">
        <f>IF(ISBLANK('Data Entry'!$]$929), "", 'Data Entry'!$]$929)</f>
      </c>
      <c r="AD929">
        <f>IF(ISBLANK('Data Entry'!$^$929), "", 'Data Entry'!$^$929)</f>
      </c>
      <c r="AE929">
        <f>IF(ISBLANK('Data Entry'!$_$929), "", 'Data Entry'!$_$929)</f>
      </c>
      <c r="AF929">
        <f>IF(ISBLANK('Data Entry'!$`$929), "", 'Data Entry'!$`$929)</f>
      </c>
      <c r="AG929">
        <f>IF(ISBLANK('Data Entry'!$a$929), "", 'Data Entry'!$a$929)</f>
      </c>
      <c r="AH929">
        <f>IF(ISBLANK('Data Entry'!$b$929), "", 'Data Entry'!$b$929)</f>
      </c>
      <c r="AI929">
        <f>IF(ISBLANK('Data Entry'!$c$929), "", 'Data Entry'!$c$929)</f>
      </c>
      <c r="AJ929">
        <f>IF(ISBLANK('Data Entry'!$d$929), "", 'Data Entry'!$d$929)</f>
      </c>
      <c r="AK929">
        <f>IF(ISBLANK('Data Entry'!$e$929), "", 'Data Entry'!$e$929)</f>
      </c>
      <c r="AL929">
        <f>IF(ISBLANK('Data Entry'!$f$929), "", 'Data Entry'!$f$929)</f>
      </c>
      <c r="AM929">
        <f>IF(ISBLANK('Data Entry'!$g$929), "", 'Data Entry'!$g$929)</f>
      </c>
      <c r="AN929">
        <f>IF(ISBLANK('Data Entry'!$h$929), "", 'Data Entry'!$h$929)</f>
      </c>
      <c r="AO929">
        <f>IF(ISBLANK('Data Entry'!$i$929), "", 'Data Entry'!$i$929)</f>
      </c>
      <c r="AP929">
        <f>IF(ISBLANK('Data Entry'!$j$929), "", 'Data Entry'!$j$929)</f>
      </c>
      <c r="AQ929">
        <f>IF(ISBLANK('Data Entry'!$k$929), "", 'Data Entry'!$k$929)</f>
      </c>
      <c r="AR929">
        <f>IF(ISBLANK('Data Entry'!$l$929), "", 'Data Entry'!$l$929)</f>
      </c>
      <c r="AS929">
        <f>IF(ISBLANK('Data Entry'!$m$929), "", 'Data Entry'!$m$929)</f>
      </c>
      <c r="AT929">
        <f>IF(ISBLANK('Data Entry'!$n$929), "", 'Data Entry'!$n$929)</f>
      </c>
      <c r="AU929">
        <f>IF(ISBLANK('Data Entry'!$o$929), "", 'Data Entry'!$o$929)</f>
      </c>
      <c r="AV929">
        <f>IF(ISBLANK('Data Entry'!$p$929), "", 'Data Entry'!$p$929)</f>
      </c>
      <c r="AW929">
        <f>IF(ISBLANK('Data Entry'!$q$929), "", 'Data Entry'!$q$929)</f>
      </c>
      <c r="AX929">
        <f>IF(ISBLANK('Data Entry'!$r$929), "", 'Data Entry'!$r$929)</f>
      </c>
      <c r="AY929">
        <f>IF(ISBLANK('Data Entry'!$s$929), "", 'Data Entry'!$s$929)</f>
      </c>
      <c r="AZ929">
        <f>IF(ISBLANK('Data Entry'!$t$929), "", 'Data Entry'!$t$929)</f>
      </c>
      <c r="BA929">
        <f>IF(ISBLANK('Data Entry'!$u$929), "", 'Data Entry'!$u$929)</f>
      </c>
      <c r="BB929">
        <f>IF(ISBLANK('Data Entry'!$v$929), "", 'Data Entry'!$v$929)</f>
      </c>
      <c r="BC929">
        <f>IF(ISBLANK('Data Entry'!$w$929), "", 'Data Entry'!$w$929)</f>
      </c>
      <c r="BD929">
        <f>IF(ISBLANK('Data Entry'!$x$929), "", 'Data Entry'!$x$929)</f>
      </c>
      <c r="BE929">
        <f>IF(ISBLANK('Data Entry'!$y$929), "", 'Data Entry'!$y$929)</f>
      </c>
      <c r="BF929">
        <f>IF(ISBLANK('Data Entry'!$z$929), "", 'Data Entry'!$z$929)</f>
      </c>
      <c r="BG929">
        <f>IF(ISBLANK('Data Entry'!${$929), "", 'Data Entry'!${$929)</f>
      </c>
      <c r="BH929">
        <f>IF(ISBLANK('Data Entry'!$|$929), "", 'Data Entry'!$|$929)</f>
      </c>
      <c r="BI929">
        <f>IF(ISBLANK('Data Entry'!$}$929), "", 'Data Entry'!$}$929)</f>
      </c>
      <c r="BJ929">
        <f>IF(ISBLANK('Data Entry'!$~$929), "", 'Data Entry'!$~$929)</f>
      </c>
      <c r="BK929">
        <f>IF(ISBLANK('Data Entry'!$$929), "", 'Data Entry'!$$929)</f>
      </c>
      <c r="BL929">
        <f>IF(ISBLANK('Data Entry'!$$929), "", 'Data Entry'!$$929)</f>
      </c>
      <c r="BM929">
        <f>IF(ISBLANK('Data Entry'!$$929), "", 'Data Entry'!$$929)</f>
      </c>
      <c r="BN929">
        <f>IF(ISBLANK('Data Entry'!$$929), "", 'Data Entry'!$$929)</f>
      </c>
      <c r="BO929">
        <f>IF(ISBLANK('Data Entry'!$$929), "", 'Data Entry'!$$929)</f>
      </c>
      <c r="BP929">
        <f>IF(ISBLANK('Data Entry'!$$929), "", 'Data Entry'!$$929)</f>
      </c>
      <c r="BQ929">
        <f>IF(ISBLANK('Data Entry'!$$929), "", 'Data Entry'!$$929)</f>
      </c>
      <c r="BR929">
        <f>IF(ISBLANK('Data Entry'!$$929), "", 'Data Entry'!$$929)</f>
      </c>
      <c r="BS929">
        <f>IF(ISBLANK('Data Entry'!$$929), "", 'Data Entry'!$$929)</f>
      </c>
      <c r="BT929">
        <f>IF(ISBLANK('Data Entry'!$$929), "", 'Data Entry'!$$929)</f>
      </c>
      <c r="BU929">
        <f>IF(ISBLANK('Data Entry'!$$929), "", 'Data Entry'!$$929)</f>
      </c>
      <c r="BV929">
        <f>IF(ISBLANK('Data Entry'!$$929), "", 'Data Entry'!$$929)</f>
      </c>
      <c r="BW929">
        <f>IF(ISBLANK('Data Entry'!$$929), "", 'Data Entry'!$$929)</f>
      </c>
      <c r="BX929">
        <f>IF(ISBLANK('Data Entry'!$$929), "", 'Data Entry'!$$929)</f>
      </c>
      <c r="BY929">
        <f>IF(ISBLANK('Data Entry'!$$929), "", 'Data Entry'!$$929)</f>
      </c>
      <c r="BZ929">
        <f>IF(ISBLANK('Data Entry'!$$929), "", 'Data Entry'!$$929)</f>
      </c>
      <c r="CA929">
        <f>IF(ISBLANK('Data Entry'!$$929), "", 'Data Entry'!$$929)</f>
      </c>
      <c r="CB929">
        <f>IF(ISBLANK('Data Entry'!$$929), "", 'Data Entry'!$$929)</f>
      </c>
      <c r="CC929">
        <f>IF(ISBLANK('Data Entry'!$$929), "", 'Data Entry'!$$929)</f>
      </c>
      <c r="CD929">
        <f>IF(ISBLANK('Data Entry'!$$929), "", 'Data Entry'!$$929)</f>
      </c>
      <c r="CE929">
        <f>IF(ISBLANK('Data Entry'!$$929), "", 'Data Entry'!$$929)</f>
      </c>
      <c r="CF929">
        <f>IF(ISBLANK('Data Entry'!$$929), "", 'Data Entry'!$$929)</f>
      </c>
      <c r="CG929">
        <f>IF(ISBLANK('Data Entry'!$$929), "", 'Data Entry'!$$929)</f>
      </c>
      <c r="CH929">
        <f>IF(ISBLANK('Data Entry'!$$929), "", 'Data Entry'!$$929)</f>
      </c>
      <c r="CI929">
        <f>IF(ISBLANK('Data Entry'!$$929), "", 'Data Entry'!$$929)</f>
      </c>
      <c r="CJ929">
        <f>IF(ISBLANK('Data Entry'!$$929), "", 'Data Entry'!$$929)</f>
      </c>
      <c r="CK929">
        <f>IF(ISBLANK('Data Entry'!$$929), "", 'Data Entry'!$$929)</f>
      </c>
      <c r="CL929">
        <f>IF(ISBLANK('Data Entry'!$$929), "", 'Data Entry'!$$929)</f>
      </c>
      <c r="CM929">
        <f>IF(ISBLANK('Data Entry'!$$929), "", 'Data Entry'!$$929)</f>
      </c>
      <c r="CN929">
        <f>IF(ISBLANK('Data Entry'!$$929), "", 'Data Entry'!$$929)</f>
      </c>
      <c r="CO929">
        <f>IF(ISBLANK('Data Entry'!$$929), "", 'Data Entry'!$$929)</f>
      </c>
      <c r="CP929">
        <f>IF(ISBLANK('Data Entry'!$$929), "", 'Data Entry'!$$929)</f>
      </c>
      <c r="CQ929">
        <f>IF(ISBLANK('Data Entry'!$$929), "", 'Data Entry'!$$929)</f>
      </c>
      <c r="CR929">
        <f>IF(ISBLANK('Data Entry'!$ $929), "", 'Data Entry'!$ $929)</f>
      </c>
      <c r="CS929">
        <f>IF(ISBLANK('Data Entry'!$¡$929), "", 'Data Entry'!$¡$929)</f>
      </c>
      <c r="CT929">
        <f>IF(ISBLANK('Data Entry'!$¢$929), "", 'Data Entry'!$¢$929)</f>
      </c>
      <c r="CU929">
        <f>IF(ISBLANK('Data Entry'!$£$929), "", 'Data Entry'!$£$929)</f>
      </c>
      <c r="CV929">
        <f>IF(ISBLANK('Data Entry'!$¤$929), "", 'Data Entry'!$¤$929)</f>
      </c>
      <c r="CW929">
        <f>IF(ISBLANK('Data Entry'!$¥$929), "", 'Data Entry'!$¥$929)</f>
      </c>
      <c r="CX929">
        <f>IF(ISBLANK('Data Entry'!$¦$929), "", 'Data Entry'!$¦$929)</f>
      </c>
      <c r="CY929">
        <f>IF(ISBLANK('Data Entry'!$§$929), "", 'Data Entry'!$§$929)</f>
      </c>
      <c r="CZ929">
        <f>IF(ISBLANK('Data Entry'!$¨$929), "", 'Data Entry'!$¨$929)</f>
      </c>
      <c r="DA929">
        <f>IF(ISBLANK('Data Entry'!$©$929), "", 'Data Entry'!$©$929)</f>
      </c>
      <c r="DB929">
        <f>IF(ISBLANK('Data Entry'!$ª$929), "", 'Data Entry'!$ª$929)</f>
      </c>
      <c r="DC929">
        <f>IF(ISBLANK('Data Entry'!$«$929), "", 'Data Entry'!$«$929)</f>
      </c>
      <c r="DD929">
        <f>IF(ISBLANK('Data Entry'!$¬$929), "", 'Data Entry'!$¬$929)</f>
      </c>
      <c r="DE929">
        <f>IF(ISBLANK('Data Entry'!$­$929), "", 'Data Entry'!$­$929)</f>
      </c>
      <c r="DF929">
        <f>IF(ISBLANK('Data Entry'!$®$929), "", 'Data Entry'!$®$929)</f>
      </c>
      <c r="DG929">
        <f>IF(ISBLANK('Data Entry'!$¯$929), "", 'Data Entry'!$¯$929)</f>
      </c>
      <c r="DH929">
        <f>IF(ISBLANK('Data Entry'!$°$929), "", 'Data Entry'!$°$929)</f>
      </c>
      <c r="DI929">
        <f>IF(ISBLANK('Data Entry'!$±$929), "", 'Data Entry'!$±$929)</f>
      </c>
      <c r="DJ929">
        <f>IF(ISBLANK('Data Entry'!$²$929), "", 'Data Entry'!$²$929)</f>
      </c>
      <c r="DK929">
        <f>IF(ISBLANK('Data Entry'!$³$929), "", 'Data Entry'!$³$929)</f>
      </c>
      <c r="DL929">
        <f>IF(ISBLANK('Data Entry'!$´$929), "", 'Data Entry'!$´$929)</f>
      </c>
      <c r="DM929">
        <f>IF(ISBLANK('Data Entry'!$µ$929), "", 'Data Entry'!$µ$929)</f>
      </c>
      <c r="DN929">
        <f>IF(ISBLANK('Data Entry'!$¶$929), "", 'Data Entry'!$¶$929)</f>
      </c>
      <c r="DO929">
        <f>IF(ISBLANK('Data Entry'!$·$929), "", 'Data Entry'!$·$929)</f>
      </c>
      <c r="DP929">
        <f>IF(ISBLANK('Data Entry'!$¸$929), "", 'Data Entry'!$¸$929)</f>
      </c>
      <c r="DQ929">
        <f>IF(ISBLANK('Data Entry'!$¹$929), "", 'Data Entry'!$¹$929)</f>
      </c>
      <c r="DR929">
        <f>IF(ISBLANK('Data Entry'!$º$929), "", 'Data Entry'!$º$929)</f>
      </c>
      <c r="DS929">
        <f>IF(ISBLANK('Data Entry'!$»$929), "", 'Data Entry'!$»$929)</f>
      </c>
      <c r="DT929">
        <f>IF(ISBLANK('Data Entry'!$¼$929), "", 'Data Entry'!$¼$929)</f>
      </c>
      <c r="DU929">
        <f>IF(ISBLANK('Data Entry'!$½$929), "", 'Data Entry'!$½$929)</f>
      </c>
      <c r="DV929">
        <f>IF(ISBLANK('Data Entry'!$¾$929), "", 'Data Entry'!$¾$929)</f>
      </c>
      <c r="DW929">
        <f>IF(ISBLANK('Data Entry'!$¿$929), "", 'Data Entry'!$¿$929)</f>
      </c>
      <c r="DX929">
        <f>IF(ISBLANK('Data Entry'!$À$929), "", 'Data Entry'!$À$929)</f>
      </c>
      <c r="DY929">
        <f>IF(ISBLANK('Data Entry'!$Á$929), "", 'Data Entry'!$Á$929)</f>
      </c>
      <c r="DZ929">
        <f>IF(ISBLANK('Data Entry'!$Â$929), "", 'Data Entry'!$Â$929)</f>
      </c>
      <c r="EA929">
        <f>IF(ISBLANK('Data Entry'!$Ã$929), "", 'Data Entry'!$Ã$929)</f>
      </c>
      <c r="EB929">
        <f>IF(ISBLANK('Data Entry'!$Ä$929), "", 'Data Entry'!$Ä$929)</f>
      </c>
      <c r="EC929">
        <f>IF(ISBLANK('Data Entry'!$Å$929), "", 'Data Entry'!$Å$929)</f>
      </c>
      <c r="ED929">
        <f>IF(ISBLANK('Data Entry'!$Æ$929), "", 'Data Entry'!$Æ$929)</f>
      </c>
      <c r="EE929">
        <f>IF(ISBLANK('Data Entry'!$Ç$929), "", 'Data Entry'!$Ç$929)</f>
      </c>
      <c r="EF929">
        <f>IF(ISBLANK('Data Entry'!$È$929), "", 'Data Entry'!$È$929)</f>
      </c>
      <c r="EG929">
        <f>IF(ISBLANK('Data Entry'!$É$929), "", 'Data Entry'!$É$929)</f>
      </c>
      <c r="EH929">
        <f>IF(ISBLANK('Data Entry'!$Ê$929), "", 'Data Entry'!$Ê$929)</f>
      </c>
      <c r="EI929">
        <f>IF(ISBLANK('Data Entry'!$Ë$929), "", 'Data Entry'!$Ë$929)</f>
      </c>
      <c r="EJ929">
        <f>IF(ISBLANK('Data Entry'!$Ì$929), "", 'Data Entry'!$Ì$929)</f>
      </c>
      <c r="EK929">
        <f>IF(ISBLANK('Data Entry'!$Í$929), "", 'Data Entry'!$Í$929)</f>
      </c>
      <c r="EL929">
        <f>IF(ISBLANK('Data Entry'!$Î$929), "", 'Data Entry'!$Î$929)</f>
      </c>
      <c r="EM929">
        <f>IF(ISBLANK('Data Entry'!$Ï$929), "", 'Data Entry'!$Ï$929)</f>
      </c>
      <c r="EN929">
        <f>IF(ISBLANK('Data Entry'!$Ð$929), "", 'Data Entry'!$Ð$929)</f>
      </c>
      <c r="EO929">
        <f>IF(ISBLANK('Data Entry'!$Ñ$929), "", 'Data Entry'!$Ñ$929)</f>
      </c>
      <c r="EP929">
        <f>IF(ISBLANK('Data Entry'!$Ò$929), "", 'Data Entry'!$Ò$929)</f>
      </c>
      <c r="EQ929">
        <f>IF(ISBLANK('Data Entry'!$Ó$929), "", 'Data Entry'!$Ó$929)</f>
      </c>
      <c r="ER929">
        <f>IF(ISBLANK('Data Entry'!$Ô$929), "", 'Data Entry'!$Ô$929)</f>
      </c>
      <c r="ES929">
        <f>IF(ISBLANK('Data Entry'!$Õ$929), "", 'Data Entry'!$Õ$929)</f>
      </c>
      <c r="ET929">
        <f>IF(ISBLANK('Data Entry'!$Ö$929), "", 'Data Entry'!$Ö$929)</f>
      </c>
      <c r="EU929">
        <f>IF(ISBLANK('Data Entry'!$×$929), "", 'Data Entry'!$×$929)</f>
      </c>
      <c r="EV929">
        <f>IF(ISBLANK('Data Entry'!$Ø$929), "", 'Data Entry'!$Ø$929)</f>
      </c>
      <c r="EW929">
        <f>IF(ISBLANK('Data Entry'!$Ù$929), "", 'Data Entry'!$Ù$929)</f>
      </c>
      <c r="EX929">
        <f>IF(ISBLANK('Data Entry'!$Ú$929), "", 'Data Entry'!$Ú$929)</f>
      </c>
      <c r="EY929">
        <f>IF(ISBLANK('Data Entry'!$Û$929), "", 'Data Entry'!$Û$929)</f>
      </c>
      <c r="EZ929">
        <f>IF(ISBLANK('Data Entry'!$Ü$929), "", 'Data Entry'!$Ü$929)</f>
      </c>
      <c r="FA929">
        <f>IF(ISBLANK('Data Entry'!$Ý$929), "", 'Data Entry'!$Ý$929)</f>
      </c>
      <c r="FB929">
        <f>IF(ISBLANK('Data Entry'!$Þ$929), "", 'Data Entry'!$Þ$929)</f>
      </c>
      <c r="FC929">
        <f>IF(ISBLANK('Data Entry'!$ß$929), "", 'Data Entry'!$ß$929)</f>
      </c>
      <c r="FD929">
        <f>IF(ISBLANK('Data Entry'!$à$929), "", 'Data Entry'!$à$929)</f>
      </c>
      <c r="FE929">
        <f>IF(ISBLANK('Data Entry'!$á$929), "", 'Data Entry'!$á$929)</f>
      </c>
      <c r="FF929">
        <f>IF(ISBLANK('Data Entry'!$â$929), "", 'Data Entry'!$â$929)</f>
      </c>
      <c r="FG929">
        <f>IF(ISBLANK('Data Entry'!$ã$929), "", 'Data Entry'!$ã$929)</f>
      </c>
      <c r="FH929">
        <f>IF(ISBLANK('Data Entry'!$ä$929), "", 'Data Entry'!$ä$929)</f>
      </c>
      <c r="FI929">
        <f>IF(ISBLANK('Data Entry'!$å$929), "", 'Data Entry'!$å$929)</f>
      </c>
      <c r="FJ929">
        <f>IF(ISBLANK('Data Entry'!$æ$929), "", 'Data Entry'!$æ$929)</f>
      </c>
      <c r="FK929">
        <f>IF(ISBLANK('Data Entry'!$ç$929), "", 'Data Entry'!$ç$929)</f>
      </c>
      <c r="FL929">
        <f>IF(ISBLANK('Data Entry'!$è$929), "", 'Data Entry'!$è$929)</f>
      </c>
      <c r="FM929">
        <f>IF(ISBLANK('Data Entry'!$é$929), "", 'Data Entry'!$é$929)</f>
      </c>
      <c r="FN929">
        <f>IF(ISBLANK('Data Entry'!$ê$929), "", 'Data Entry'!$ê$929)</f>
      </c>
      <c r="FO929">
        <f>IF(ISBLANK('Data Entry'!$ë$929), "", 'Data Entry'!$ë$929)</f>
      </c>
      <c r="FP929">
        <f>IF(ISBLANK('Data Entry'!$ì$929), "", 'Data Entry'!$ì$929)</f>
      </c>
      <c r="FQ929">
        <f>IF(ISBLANK('Data Entry'!$í$929), "", 'Data Entry'!$í$929)</f>
      </c>
      <c r="FR929">
        <f>IF(ISBLANK('Data Entry'!$î$929), "", 'Data Entry'!$î$929)</f>
      </c>
      <c r="FS929">
        <f>IF(ISBLANK('Data Entry'!$ï$929), "", 'Data Entry'!$ï$929)</f>
      </c>
      <c r="FT929">
        <f>IF(ISBLANK('Data Entry'!$ð$929), "", 'Data Entry'!$ð$929)</f>
      </c>
      <c r="FU929">
        <f>IF(ISBLANK('Data Entry'!$ñ$929), "", 'Data Entry'!$ñ$929)</f>
      </c>
      <c r="FV929">
        <f>IF(ISBLANK('Data Entry'!$ò$929), "", 'Data Entry'!$ò$929)</f>
      </c>
      <c r="FW929">
        <f>IF(ISBLANK('Data Entry'!$ó$929), "", 'Data Entry'!$ó$929)</f>
      </c>
      <c r="FX929">
        <f>IF(ISBLANK('Data Entry'!$ô$929), "", 'Data Entry'!$ô$929)</f>
      </c>
      <c r="FY929">
        <f>IF(ISBLANK('Data Entry'!$õ$929), "", 'Data Entry'!$õ$929)</f>
      </c>
      <c r="FZ929">
        <f>IF(ISBLANK('Data Entry'!$ö$929), "", 'Data Entry'!$ö$929)</f>
      </c>
      <c r="GA929">
        <f>IF(ISBLANK('Data Entry'!$÷$929), "", 'Data Entry'!$÷$929)</f>
      </c>
      <c r="GB929">
        <f>IF(ISBLANK('Data Entry'!$ø$929), "", 'Data Entry'!$ø$929)</f>
      </c>
      <c r="GC929">
        <f>IF(ISBLANK('Data Entry'!$ù$929), "", 'Data Entry'!$ù$929)</f>
      </c>
      <c r="GD929">
        <f>IF(ISBLANK('Data Entry'!$ú$929), "", 'Data Entry'!$ú$929)</f>
      </c>
      <c r="GE929">
        <f>IF(ISBLANK('Data Entry'!$û$929), "", 'Data Entry'!$û$929)</f>
      </c>
      <c r="GF929">
        <f>IF(ISBLANK('Data Entry'!$ü$929), "", 'Data Entry'!$ü$929)</f>
      </c>
      <c r="GG929">
        <f>IF(ISBLANK('Data Entry'!$ý$929), "", 'Data Entry'!$ý$929)</f>
      </c>
      <c r="GH929">
        <f>IF(ISBLANK('Data Entry'!$þ$929), "", 'Data Entry'!$þ$929)</f>
      </c>
      <c r="GI929">
        <f>IF(ISBLANK('Data Entry'!$ÿ$929), "", 'Data Entry'!$ÿ$929)</f>
      </c>
      <c r="GJ929">
        <f>IF(ISBLANK('Data Entry'!$Ā$929), "", 'Data Entry'!$Ā$929)</f>
      </c>
      <c r="GK929">
        <f>IF(ISBLANK('Data Entry'!$ā$929), "", 'Data Entry'!$ā$929)</f>
      </c>
      <c r="GL929">
        <f>IF(ISBLANK('Data Entry'!$Ă$929), "", 'Data Entry'!$Ă$929)</f>
      </c>
      <c r="GM929">
        <f>IF(ISBLANK('Data Entry'!$ă$929), "", 'Data Entry'!$ă$929)</f>
      </c>
      <c r="GN929">
        <f>IF(ISBLANK('Data Entry'!$Ą$929), "", 'Data Entry'!$Ą$929)</f>
      </c>
      <c r="GO929">
        <f>IF(ISBLANK('Data Entry'!$ą$929), "", 'Data Entry'!$ą$929)</f>
      </c>
      <c r="GP929">
        <f>IF(ISBLANK('Data Entry'!$Ć$929), "", 'Data Entry'!$Ć$929)</f>
      </c>
      <c r="GQ929">
        <f>IF(ISBLANK('Data Entry'!$ć$929), "", 'Data Entry'!$ć$929)</f>
      </c>
      <c r="GR929">
        <f>IF(ISBLANK('Data Entry'!$Ĉ$929), "", 'Data Entry'!$Ĉ$929)</f>
      </c>
      <c r="GS929">
        <f>IF(ISBLANK('Data Entry'!$ĉ$929), "", 'Data Entry'!$ĉ$929)</f>
      </c>
      <c r="GT929">
        <f>IF(ISBLANK('Data Entry'!$Ċ$929), "", 'Data Entry'!$Ċ$929)</f>
      </c>
      <c r="GU929">
        <f>IF(ISBLANK('Data Entry'!$ċ$929), "", 'Data Entry'!$ċ$929)</f>
      </c>
      <c r="GV929">
        <f>IF(ISBLANK('Data Entry'!$Č$929), "", 'Data Entry'!$Č$929)</f>
      </c>
      <c r="GW929">
        <f>IF(ISBLANK('Data Entry'!$č$929), "", 'Data Entry'!$č$929)</f>
      </c>
      <c r="GX929">
        <f>IF(ISBLANK('Data Entry'!$Ď$929), "", 'Data Entry'!$Ď$929)</f>
      </c>
      <c r="GY929">
        <f>IF(ISBLANK('Data Entry'!$ď$929), "", 'Data Entry'!$ď$929)</f>
      </c>
      <c r="GZ929">
        <f>IF(ISBLANK('Data Entry'!$Đ$929), "", 'Data Entry'!$Đ$929)</f>
      </c>
      <c r="HA929">
        <f>IF(ISBLANK('Data Entry'!$đ$929), "", 'Data Entry'!$đ$929)</f>
      </c>
      <c r="HB929">
        <f>IF(ISBLANK('Data Entry'!$Ē$929), "", 'Data Entry'!$Ē$929)</f>
      </c>
      <c r="HC929">
        <f>IF(ISBLANK('Data Entry'!$ē$929), "", 'Data Entry'!$ē$929)</f>
      </c>
      <c r="HD929">
        <f>IF(ISBLANK('Data Entry'!$Ĕ$929), "", 'Data Entry'!$Ĕ$929)</f>
      </c>
      <c r="HE929">
        <f>IF(ISBLANK('Data Entry'!$ĕ$929), "", 'Data Entry'!$ĕ$929)</f>
      </c>
      <c r="HF929">
        <f>IF(ISBLANK('Data Entry'!$Ė$929), "", 'Data Entry'!$Ė$929)</f>
      </c>
      <c r="HG929">
        <f>IF(ISBLANK('Data Entry'!$ė$929), "", 'Data Entry'!$ė$929)</f>
      </c>
      <c r="HH929">
        <f>IF(ISBLANK('Data Entry'!$Ę$929), "", 'Data Entry'!$Ę$929)</f>
      </c>
      <c r="HI929">
        <f>IF(ISBLANK('Data Entry'!$ę$929), "", 'Data Entry'!$ę$929)</f>
      </c>
      <c r="HJ929">
        <f>IF(ISBLANK('Data Entry'!$Ě$929), "", 'Data Entry'!$Ě$929)</f>
      </c>
      <c r="HK929">
        <f>IF(ISBLANK('Data Entry'!$ě$929), "", 'Data Entry'!$ě$929)</f>
      </c>
      <c r="HL929">
        <f>IF(ISBLANK('Data Entry'!$Ĝ$929), "", 'Data Entry'!$Ĝ$929)</f>
      </c>
      <c r="HM929">
        <f>IF(ISBLANK('Data Entry'!$ĝ$929), "", 'Data Entry'!$ĝ$929)</f>
      </c>
      <c r="HN929">
        <f>IF(ISBLANK('Data Entry'!$Ğ$929), "", 'Data Entry'!$Ğ$929)</f>
      </c>
      <c r="HO929">
        <f>IF(ISBLANK('Data Entry'!$ğ$929), "", 'Data Entry'!$ğ$929)</f>
      </c>
      <c r="HP929">
        <f>IF(ISBLANK('Data Entry'!$Ġ$929), "", 'Data Entry'!$Ġ$929)</f>
      </c>
      <c r="HQ929">
        <f>IF(ISBLANK('Data Entry'!$ġ$929), "", 'Data Entry'!$ġ$929)</f>
      </c>
      <c r="HR929">
        <f>IF(ISBLANK('Data Entry'!$Ģ$929), "", 'Data Entry'!$Ģ$929)</f>
      </c>
      <c r="HS929">
        <f>IF(ISBLANK('Data Entry'!$ģ$929), "", 'Data Entry'!$ģ$929)</f>
      </c>
      <c r="HT929">
        <f>IF(ISBLANK('Data Entry'!$Ĥ$929), "", 'Data Entry'!$Ĥ$929)</f>
      </c>
      <c r="HU929">
        <f>IF(ISBLANK('Data Entry'!$ĥ$929), "", 'Data Entry'!$ĥ$929)</f>
      </c>
      <c r="HV929">
        <f>IF(ISBLANK('Data Entry'!$Ħ$929), "", 'Data Entry'!$Ħ$929)</f>
      </c>
      <c r="HW929">
        <f>IF(ISBLANK('Data Entry'!$ħ$929), "", 'Data Entry'!$ħ$929)</f>
      </c>
      <c r="HX929">
        <f>IF(ISBLANK('Data Entry'!$Ĩ$929), "", 'Data Entry'!$Ĩ$929)</f>
      </c>
      <c r="HY929">
        <f>IF(ISBLANK('Data Entry'!$ĩ$929), "", 'Data Entry'!$ĩ$929)</f>
      </c>
      <c r="HZ929">
        <f>IF(ISBLANK('Data Entry'!$Ī$929), "", 'Data Entry'!$Ī$929)</f>
      </c>
      <c r="IA929">
        <f>IF(ISBLANK('Data Entry'!$ī$929), "", 'Data Entry'!$ī$929)</f>
      </c>
      <c r="IB929">
        <f>IF(ISBLANK('Data Entry'!$Ĭ$929), "", 'Data Entry'!$Ĭ$929)</f>
      </c>
      <c r="IC929">
        <f>IF(ISBLANK('Data Entry'!$ĭ$929), "", 'Data Entry'!$ĭ$929)</f>
      </c>
      <c r="ID929">
        <f>IF(ISBLANK('Data Entry'!$Į$929), "", 'Data Entry'!$Į$929)</f>
      </c>
      <c r="IE929">
        <f>IF(ISBLANK('Data Entry'!$į$929), "", 'Data Entry'!$į$929)</f>
      </c>
      <c r="IF929">
        <f>IF(ISBLANK('Data Entry'!$İ$929), "", 'Data Entry'!$İ$929)</f>
      </c>
      <c r="IG929">
        <f>IF(ISBLANK('Data Entry'!$ı$929), "", 'Data Entry'!$ı$929)</f>
      </c>
      <c r="IH929">
        <f>IF(ISBLANK('Data Entry'!$Ĳ$929), "", 'Data Entry'!$Ĳ$929)</f>
      </c>
      <c r="II929">
        <f>IF(ISBLANK('Data Entry'!$ĳ$929), "", 'Data Entry'!$ĳ$929)</f>
      </c>
      <c r="IJ929">
        <f>IF(ISBLANK('Data Entry'!$Ĵ$929), "", 'Data Entry'!$Ĵ$929)</f>
      </c>
      <c r="IK929">
        <f>IF(ISBLANK('Data Entry'!$ĵ$929), "", 'Data Entry'!$ĵ$929)</f>
      </c>
      <c r="IL929">
        <f>IF(ISBLANK('Data Entry'!$Ķ$929), "", 'Data Entry'!$Ķ$929)</f>
      </c>
      <c r="IM929">
        <f>IF(ISBLANK('Data Entry'!$ķ$929), "", 'Data Entry'!$ķ$929)</f>
      </c>
      <c r="IN929">
        <f>IF(ISBLANK('Data Entry'!$ĸ$929), "", 'Data Entry'!$ĸ$929)</f>
      </c>
      <c r="IO929">
        <f>IF(ISBLANK('Data Entry'!$Ĺ$929), "", 'Data Entry'!$Ĺ$929)</f>
      </c>
      <c r="IP929">
        <f>IF(ISBLANK('Data Entry'!$ĺ$929), "", 'Data Entry'!$ĺ$929)</f>
      </c>
      <c r="IQ929">
        <f>IF(ISBLANK('Data Entry'!$Ļ$929), "", 'Data Entry'!$Ļ$929)</f>
      </c>
      <c r="IR929">
        <f>IF(ISBLANK('Data Entry'!$ļ$929), "", 'Data Entry'!$ļ$929)</f>
      </c>
      <c r="IS929">
        <f>IF(ISBLANK('Data Entry'!$Ľ$929), "", 'Data Entry'!$Ľ$929)</f>
      </c>
      <c r="IT929">
        <f>IF(ISBLANK('Data Entry'!$ľ$929), "", 'Data Entry'!$ľ$929)</f>
      </c>
    </row>
    <row r="930" spans="1:254" x14ac:dyDescent="0.25">
      <c r="A930">
        <f>IF(ISBLANK('Data Entry'!$A$930), "", 'Data Entry'!$A$930)</f>
      </c>
      <c r="B930">
        <f>IF(ISBLANK('Data Entry'!$B$930), "", 'Data Entry'!$B$930)</f>
      </c>
      <c r="C930">
        <f>IF(ISBLANK('Data Entry'!$C$930), "", 'Data Entry'!$C$930)</f>
      </c>
      <c r="D930">
        <f>IF(ISBLANK('Data Entry'!$D$930), "", 'Data Entry'!$D$930)</f>
      </c>
      <c r="E930">
        <f>IF(ISBLANK('Data Entry'!$E$930), "", 'Data Entry'!$E$930)</f>
      </c>
      <c r="F930">
        <f>IF(ISBLANK('Data Entry'!$F$930), "", 'Data Entry'!$F$930)</f>
      </c>
      <c r="G930">
        <f>IF(ISBLANK('Data Entry'!$G$930), "", 'Data Entry'!$G$930)</f>
      </c>
      <c r="H930">
        <f>IF(ISBLANK('Data Entry'!$H$930), "", 'Data Entry'!$H$930)</f>
      </c>
      <c r="I930">
        <f>IF(ISBLANK('Data Entry'!$I$930), "", 'Data Entry'!$I$930)</f>
      </c>
      <c r="J930">
        <f>IF(ISBLANK('Data Entry'!$J$930), "", 'Data Entry'!$J$930)</f>
      </c>
      <c r="K930">
        <f>IF(ISBLANK('Data Entry'!$K$930), "", 'Data Entry'!$K$930)</f>
      </c>
      <c r="L930">
        <f>IF(ISBLANK('Data Entry'!$L$930), "", 'Data Entry'!$L$930)</f>
      </c>
      <c r="M930">
        <f>IF(ISBLANK('Data Entry'!$M$930), "", 'Data Entry'!$M$930)</f>
      </c>
      <c r="N930">
        <f>IF(ISBLANK('Data Entry'!$N$930), "", 'Data Entry'!$N$930)</f>
      </c>
      <c r="O930">
        <f>IF(ISBLANK('Data Entry'!$O$930), "", 'Data Entry'!$O$930)</f>
      </c>
      <c r="P930">
        <f>IF(ISBLANK('Data Entry'!$P$930), "", 'Data Entry'!$P$930)</f>
      </c>
      <c r="Q930">
        <f>IF(ISBLANK('Data Entry'!$Q$930), "", 'Data Entry'!$Q$930)</f>
      </c>
      <c r="R930">
        <f>IF(ISBLANK('Data Entry'!$R$930), "", 'Data Entry'!$R$930)</f>
      </c>
      <c r="S930">
        <f>IF(ISBLANK('Data Entry'!$S$930), "", 'Data Entry'!$S$930)</f>
      </c>
      <c r="T930">
        <f>IF(ISBLANK('Data Entry'!$T$930), "", 'Data Entry'!$T$930)</f>
      </c>
      <c r="U930">
        <f>IF(ISBLANK('Data Entry'!$U$930), "", 'Data Entry'!$U$930)</f>
      </c>
      <c r="V930">
        <f>IF(ISBLANK('Data Entry'!$V$930), "", 'Data Entry'!$V$930)</f>
      </c>
      <c r="W930">
        <f>IF(ISBLANK('Data Entry'!$W$930), "", 'Data Entry'!$W$930)</f>
      </c>
      <c r="X930">
        <f>IF(ISBLANK('Data Entry'!$X$930), "", 'Data Entry'!$X$930)</f>
      </c>
      <c r="Y930">
        <f>IF(ISBLANK('Data Entry'!$Y$930), "", 'Data Entry'!$Y$930)</f>
      </c>
      <c r="Z930">
        <f>IF(ISBLANK('Data Entry'!$Z$930), "", 'Data Entry'!$Z$930)</f>
      </c>
      <c r="AA930">
        <f>IF(ISBLANK('Data Entry'!$[$930), "", 'Data Entry'!$[$930)</f>
      </c>
      <c r="AB930">
        <f>IF(ISBLANK('Data Entry'!$\$930), "", 'Data Entry'!$\$930)</f>
      </c>
      <c r="AC930">
        <f>IF(ISBLANK('Data Entry'!$]$930), "", 'Data Entry'!$]$930)</f>
      </c>
      <c r="AD930">
        <f>IF(ISBLANK('Data Entry'!$^$930), "", 'Data Entry'!$^$930)</f>
      </c>
      <c r="AE930">
        <f>IF(ISBLANK('Data Entry'!$_$930), "", 'Data Entry'!$_$930)</f>
      </c>
      <c r="AF930">
        <f>IF(ISBLANK('Data Entry'!$`$930), "", 'Data Entry'!$`$930)</f>
      </c>
      <c r="AG930">
        <f>IF(ISBLANK('Data Entry'!$a$930), "", 'Data Entry'!$a$930)</f>
      </c>
      <c r="AH930">
        <f>IF(ISBLANK('Data Entry'!$b$930), "", 'Data Entry'!$b$930)</f>
      </c>
      <c r="AI930">
        <f>IF(ISBLANK('Data Entry'!$c$930), "", 'Data Entry'!$c$930)</f>
      </c>
      <c r="AJ930">
        <f>IF(ISBLANK('Data Entry'!$d$930), "", 'Data Entry'!$d$930)</f>
      </c>
      <c r="AK930">
        <f>IF(ISBLANK('Data Entry'!$e$930), "", 'Data Entry'!$e$930)</f>
      </c>
      <c r="AL930">
        <f>IF(ISBLANK('Data Entry'!$f$930), "", 'Data Entry'!$f$930)</f>
      </c>
      <c r="AM930">
        <f>IF(ISBLANK('Data Entry'!$g$930), "", 'Data Entry'!$g$930)</f>
      </c>
      <c r="AN930">
        <f>IF(ISBLANK('Data Entry'!$h$930), "", 'Data Entry'!$h$930)</f>
      </c>
      <c r="AO930">
        <f>IF(ISBLANK('Data Entry'!$i$930), "", 'Data Entry'!$i$930)</f>
      </c>
      <c r="AP930">
        <f>IF(ISBLANK('Data Entry'!$j$930), "", 'Data Entry'!$j$930)</f>
      </c>
      <c r="AQ930">
        <f>IF(ISBLANK('Data Entry'!$k$930), "", 'Data Entry'!$k$930)</f>
      </c>
      <c r="AR930">
        <f>IF(ISBLANK('Data Entry'!$l$930), "", 'Data Entry'!$l$930)</f>
      </c>
      <c r="AS930">
        <f>IF(ISBLANK('Data Entry'!$m$930), "", 'Data Entry'!$m$930)</f>
      </c>
      <c r="AT930">
        <f>IF(ISBLANK('Data Entry'!$n$930), "", 'Data Entry'!$n$930)</f>
      </c>
      <c r="AU930">
        <f>IF(ISBLANK('Data Entry'!$o$930), "", 'Data Entry'!$o$930)</f>
      </c>
      <c r="AV930">
        <f>IF(ISBLANK('Data Entry'!$p$930), "", 'Data Entry'!$p$930)</f>
      </c>
      <c r="AW930">
        <f>IF(ISBLANK('Data Entry'!$q$930), "", 'Data Entry'!$q$930)</f>
      </c>
      <c r="AX930">
        <f>IF(ISBLANK('Data Entry'!$r$930), "", 'Data Entry'!$r$930)</f>
      </c>
      <c r="AY930">
        <f>IF(ISBLANK('Data Entry'!$s$930), "", 'Data Entry'!$s$930)</f>
      </c>
      <c r="AZ930">
        <f>IF(ISBLANK('Data Entry'!$t$930), "", 'Data Entry'!$t$930)</f>
      </c>
      <c r="BA930">
        <f>IF(ISBLANK('Data Entry'!$u$930), "", 'Data Entry'!$u$930)</f>
      </c>
      <c r="BB930">
        <f>IF(ISBLANK('Data Entry'!$v$930), "", 'Data Entry'!$v$930)</f>
      </c>
      <c r="BC930">
        <f>IF(ISBLANK('Data Entry'!$w$930), "", 'Data Entry'!$w$930)</f>
      </c>
      <c r="BD930">
        <f>IF(ISBLANK('Data Entry'!$x$930), "", 'Data Entry'!$x$930)</f>
      </c>
      <c r="BE930">
        <f>IF(ISBLANK('Data Entry'!$y$930), "", 'Data Entry'!$y$930)</f>
      </c>
      <c r="BF930">
        <f>IF(ISBLANK('Data Entry'!$z$930), "", 'Data Entry'!$z$930)</f>
      </c>
      <c r="BG930">
        <f>IF(ISBLANK('Data Entry'!${$930), "", 'Data Entry'!${$930)</f>
      </c>
      <c r="BH930">
        <f>IF(ISBLANK('Data Entry'!$|$930), "", 'Data Entry'!$|$930)</f>
      </c>
      <c r="BI930">
        <f>IF(ISBLANK('Data Entry'!$}$930), "", 'Data Entry'!$}$930)</f>
      </c>
      <c r="BJ930">
        <f>IF(ISBLANK('Data Entry'!$~$930), "", 'Data Entry'!$~$930)</f>
      </c>
      <c r="BK930">
        <f>IF(ISBLANK('Data Entry'!$$930), "", 'Data Entry'!$$930)</f>
      </c>
      <c r="BL930">
        <f>IF(ISBLANK('Data Entry'!$$930), "", 'Data Entry'!$$930)</f>
      </c>
      <c r="BM930">
        <f>IF(ISBLANK('Data Entry'!$$930), "", 'Data Entry'!$$930)</f>
      </c>
      <c r="BN930">
        <f>IF(ISBLANK('Data Entry'!$$930), "", 'Data Entry'!$$930)</f>
      </c>
      <c r="BO930">
        <f>IF(ISBLANK('Data Entry'!$$930), "", 'Data Entry'!$$930)</f>
      </c>
      <c r="BP930">
        <f>IF(ISBLANK('Data Entry'!$$930), "", 'Data Entry'!$$930)</f>
      </c>
      <c r="BQ930">
        <f>IF(ISBLANK('Data Entry'!$$930), "", 'Data Entry'!$$930)</f>
      </c>
      <c r="BR930">
        <f>IF(ISBLANK('Data Entry'!$$930), "", 'Data Entry'!$$930)</f>
      </c>
      <c r="BS930">
        <f>IF(ISBLANK('Data Entry'!$$930), "", 'Data Entry'!$$930)</f>
      </c>
      <c r="BT930">
        <f>IF(ISBLANK('Data Entry'!$$930), "", 'Data Entry'!$$930)</f>
      </c>
      <c r="BU930">
        <f>IF(ISBLANK('Data Entry'!$$930), "", 'Data Entry'!$$930)</f>
      </c>
      <c r="BV930">
        <f>IF(ISBLANK('Data Entry'!$$930), "", 'Data Entry'!$$930)</f>
      </c>
      <c r="BW930">
        <f>IF(ISBLANK('Data Entry'!$$930), "", 'Data Entry'!$$930)</f>
      </c>
      <c r="BX930">
        <f>IF(ISBLANK('Data Entry'!$$930), "", 'Data Entry'!$$930)</f>
      </c>
      <c r="BY930">
        <f>IF(ISBLANK('Data Entry'!$$930), "", 'Data Entry'!$$930)</f>
      </c>
      <c r="BZ930">
        <f>IF(ISBLANK('Data Entry'!$$930), "", 'Data Entry'!$$930)</f>
      </c>
      <c r="CA930">
        <f>IF(ISBLANK('Data Entry'!$$930), "", 'Data Entry'!$$930)</f>
      </c>
      <c r="CB930">
        <f>IF(ISBLANK('Data Entry'!$$930), "", 'Data Entry'!$$930)</f>
      </c>
      <c r="CC930">
        <f>IF(ISBLANK('Data Entry'!$$930), "", 'Data Entry'!$$930)</f>
      </c>
      <c r="CD930">
        <f>IF(ISBLANK('Data Entry'!$$930), "", 'Data Entry'!$$930)</f>
      </c>
      <c r="CE930">
        <f>IF(ISBLANK('Data Entry'!$$930), "", 'Data Entry'!$$930)</f>
      </c>
      <c r="CF930">
        <f>IF(ISBLANK('Data Entry'!$$930), "", 'Data Entry'!$$930)</f>
      </c>
      <c r="CG930">
        <f>IF(ISBLANK('Data Entry'!$$930), "", 'Data Entry'!$$930)</f>
      </c>
      <c r="CH930">
        <f>IF(ISBLANK('Data Entry'!$$930), "", 'Data Entry'!$$930)</f>
      </c>
      <c r="CI930">
        <f>IF(ISBLANK('Data Entry'!$$930), "", 'Data Entry'!$$930)</f>
      </c>
      <c r="CJ930">
        <f>IF(ISBLANK('Data Entry'!$$930), "", 'Data Entry'!$$930)</f>
      </c>
      <c r="CK930">
        <f>IF(ISBLANK('Data Entry'!$$930), "", 'Data Entry'!$$930)</f>
      </c>
      <c r="CL930">
        <f>IF(ISBLANK('Data Entry'!$$930), "", 'Data Entry'!$$930)</f>
      </c>
      <c r="CM930">
        <f>IF(ISBLANK('Data Entry'!$$930), "", 'Data Entry'!$$930)</f>
      </c>
      <c r="CN930">
        <f>IF(ISBLANK('Data Entry'!$$930), "", 'Data Entry'!$$930)</f>
      </c>
      <c r="CO930">
        <f>IF(ISBLANK('Data Entry'!$$930), "", 'Data Entry'!$$930)</f>
      </c>
      <c r="CP930">
        <f>IF(ISBLANK('Data Entry'!$$930), "", 'Data Entry'!$$930)</f>
      </c>
      <c r="CQ930">
        <f>IF(ISBLANK('Data Entry'!$$930), "", 'Data Entry'!$$930)</f>
      </c>
      <c r="CR930">
        <f>IF(ISBLANK('Data Entry'!$ $930), "", 'Data Entry'!$ $930)</f>
      </c>
      <c r="CS930">
        <f>IF(ISBLANK('Data Entry'!$¡$930), "", 'Data Entry'!$¡$930)</f>
      </c>
      <c r="CT930">
        <f>IF(ISBLANK('Data Entry'!$¢$930), "", 'Data Entry'!$¢$930)</f>
      </c>
      <c r="CU930">
        <f>IF(ISBLANK('Data Entry'!$£$930), "", 'Data Entry'!$£$930)</f>
      </c>
      <c r="CV930">
        <f>IF(ISBLANK('Data Entry'!$¤$930), "", 'Data Entry'!$¤$930)</f>
      </c>
      <c r="CW930">
        <f>IF(ISBLANK('Data Entry'!$¥$930), "", 'Data Entry'!$¥$930)</f>
      </c>
      <c r="CX930">
        <f>IF(ISBLANK('Data Entry'!$¦$930), "", 'Data Entry'!$¦$930)</f>
      </c>
      <c r="CY930">
        <f>IF(ISBLANK('Data Entry'!$§$930), "", 'Data Entry'!$§$930)</f>
      </c>
      <c r="CZ930">
        <f>IF(ISBLANK('Data Entry'!$¨$930), "", 'Data Entry'!$¨$930)</f>
      </c>
      <c r="DA930">
        <f>IF(ISBLANK('Data Entry'!$©$930), "", 'Data Entry'!$©$930)</f>
      </c>
      <c r="DB930">
        <f>IF(ISBLANK('Data Entry'!$ª$930), "", 'Data Entry'!$ª$930)</f>
      </c>
      <c r="DC930">
        <f>IF(ISBLANK('Data Entry'!$«$930), "", 'Data Entry'!$«$930)</f>
      </c>
      <c r="DD930">
        <f>IF(ISBLANK('Data Entry'!$¬$930), "", 'Data Entry'!$¬$930)</f>
      </c>
      <c r="DE930">
        <f>IF(ISBLANK('Data Entry'!$­$930), "", 'Data Entry'!$­$930)</f>
      </c>
      <c r="DF930">
        <f>IF(ISBLANK('Data Entry'!$®$930), "", 'Data Entry'!$®$930)</f>
      </c>
      <c r="DG930">
        <f>IF(ISBLANK('Data Entry'!$¯$930), "", 'Data Entry'!$¯$930)</f>
      </c>
      <c r="DH930">
        <f>IF(ISBLANK('Data Entry'!$°$930), "", 'Data Entry'!$°$930)</f>
      </c>
      <c r="DI930">
        <f>IF(ISBLANK('Data Entry'!$±$930), "", 'Data Entry'!$±$930)</f>
      </c>
      <c r="DJ930">
        <f>IF(ISBLANK('Data Entry'!$²$930), "", 'Data Entry'!$²$930)</f>
      </c>
      <c r="DK930">
        <f>IF(ISBLANK('Data Entry'!$³$930), "", 'Data Entry'!$³$930)</f>
      </c>
      <c r="DL930">
        <f>IF(ISBLANK('Data Entry'!$´$930), "", 'Data Entry'!$´$930)</f>
      </c>
      <c r="DM930">
        <f>IF(ISBLANK('Data Entry'!$µ$930), "", 'Data Entry'!$µ$930)</f>
      </c>
      <c r="DN930">
        <f>IF(ISBLANK('Data Entry'!$¶$930), "", 'Data Entry'!$¶$930)</f>
      </c>
      <c r="DO930">
        <f>IF(ISBLANK('Data Entry'!$·$930), "", 'Data Entry'!$·$930)</f>
      </c>
      <c r="DP930">
        <f>IF(ISBLANK('Data Entry'!$¸$930), "", 'Data Entry'!$¸$930)</f>
      </c>
      <c r="DQ930">
        <f>IF(ISBLANK('Data Entry'!$¹$930), "", 'Data Entry'!$¹$930)</f>
      </c>
      <c r="DR930">
        <f>IF(ISBLANK('Data Entry'!$º$930), "", 'Data Entry'!$º$930)</f>
      </c>
      <c r="DS930">
        <f>IF(ISBLANK('Data Entry'!$»$930), "", 'Data Entry'!$»$930)</f>
      </c>
      <c r="DT930">
        <f>IF(ISBLANK('Data Entry'!$¼$930), "", 'Data Entry'!$¼$930)</f>
      </c>
      <c r="DU930">
        <f>IF(ISBLANK('Data Entry'!$½$930), "", 'Data Entry'!$½$930)</f>
      </c>
      <c r="DV930">
        <f>IF(ISBLANK('Data Entry'!$¾$930), "", 'Data Entry'!$¾$930)</f>
      </c>
      <c r="DW930">
        <f>IF(ISBLANK('Data Entry'!$¿$930), "", 'Data Entry'!$¿$930)</f>
      </c>
      <c r="DX930">
        <f>IF(ISBLANK('Data Entry'!$À$930), "", 'Data Entry'!$À$930)</f>
      </c>
      <c r="DY930">
        <f>IF(ISBLANK('Data Entry'!$Á$930), "", 'Data Entry'!$Á$930)</f>
      </c>
      <c r="DZ930">
        <f>IF(ISBLANK('Data Entry'!$Â$930), "", 'Data Entry'!$Â$930)</f>
      </c>
      <c r="EA930">
        <f>IF(ISBLANK('Data Entry'!$Ã$930), "", 'Data Entry'!$Ã$930)</f>
      </c>
      <c r="EB930">
        <f>IF(ISBLANK('Data Entry'!$Ä$930), "", 'Data Entry'!$Ä$930)</f>
      </c>
      <c r="EC930">
        <f>IF(ISBLANK('Data Entry'!$Å$930), "", 'Data Entry'!$Å$930)</f>
      </c>
      <c r="ED930">
        <f>IF(ISBLANK('Data Entry'!$Æ$930), "", 'Data Entry'!$Æ$930)</f>
      </c>
      <c r="EE930">
        <f>IF(ISBLANK('Data Entry'!$Ç$930), "", 'Data Entry'!$Ç$930)</f>
      </c>
      <c r="EF930">
        <f>IF(ISBLANK('Data Entry'!$È$930), "", 'Data Entry'!$È$930)</f>
      </c>
      <c r="EG930">
        <f>IF(ISBLANK('Data Entry'!$É$930), "", 'Data Entry'!$É$930)</f>
      </c>
      <c r="EH930">
        <f>IF(ISBLANK('Data Entry'!$Ê$930), "", 'Data Entry'!$Ê$930)</f>
      </c>
      <c r="EI930">
        <f>IF(ISBLANK('Data Entry'!$Ë$930), "", 'Data Entry'!$Ë$930)</f>
      </c>
      <c r="EJ930">
        <f>IF(ISBLANK('Data Entry'!$Ì$930), "", 'Data Entry'!$Ì$930)</f>
      </c>
      <c r="EK930">
        <f>IF(ISBLANK('Data Entry'!$Í$930), "", 'Data Entry'!$Í$930)</f>
      </c>
      <c r="EL930">
        <f>IF(ISBLANK('Data Entry'!$Î$930), "", 'Data Entry'!$Î$930)</f>
      </c>
      <c r="EM930">
        <f>IF(ISBLANK('Data Entry'!$Ï$930), "", 'Data Entry'!$Ï$930)</f>
      </c>
      <c r="EN930">
        <f>IF(ISBLANK('Data Entry'!$Ð$930), "", 'Data Entry'!$Ð$930)</f>
      </c>
      <c r="EO930">
        <f>IF(ISBLANK('Data Entry'!$Ñ$930), "", 'Data Entry'!$Ñ$930)</f>
      </c>
      <c r="EP930">
        <f>IF(ISBLANK('Data Entry'!$Ò$930), "", 'Data Entry'!$Ò$930)</f>
      </c>
      <c r="EQ930">
        <f>IF(ISBLANK('Data Entry'!$Ó$930), "", 'Data Entry'!$Ó$930)</f>
      </c>
      <c r="ER930">
        <f>IF(ISBLANK('Data Entry'!$Ô$930), "", 'Data Entry'!$Ô$930)</f>
      </c>
      <c r="ES930">
        <f>IF(ISBLANK('Data Entry'!$Õ$930), "", 'Data Entry'!$Õ$930)</f>
      </c>
      <c r="ET930">
        <f>IF(ISBLANK('Data Entry'!$Ö$930), "", 'Data Entry'!$Ö$930)</f>
      </c>
      <c r="EU930">
        <f>IF(ISBLANK('Data Entry'!$×$930), "", 'Data Entry'!$×$930)</f>
      </c>
      <c r="EV930">
        <f>IF(ISBLANK('Data Entry'!$Ø$930), "", 'Data Entry'!$Ø$930)</f>
      </c>
      <c r="EW930">
        <f>IF(ISBLANK('Data Entry'!$Ù$930), "", 'Data Entry'!$Ù$930)</f>
      </c>
      <c r="EX930">
        <f>IF(ISBLANK('Data Entry'!$Ú$930), "", 'Data Entry'!$Ú$930)</f>
      </c>
      <c r="EY930">
        <f>IF(ISBLANK('Data Entry'!$Û$930), "", 'Data Entry'!$Û$930)</f>
      </c>
      <c r="EZ930">
        <f>IF(ISBLANK('Data Entry'!$Ü$930), "", 'Data Entry'!$Ü$930)</f>
      </c>
      <c r="FA930">
        <f>IF(ISBLANK('Data Entry'!$Ý$930), "", 'Data Entry'!$Ý$930)</f>
      </c>
      <c r="FB930">
        <f>IF(ISBLANK('Data Entry'!$Þ$930), "", 'Data Entry'!$Þ$930)</f>
      </c>
      <c r="FC930">
        <f>IF(ISBLANK('Data Entry'!$ß$930), "", 'Data Entry'!$ß$930)</f>
      </c>
      <c r="FD930">
        <f>IF(ISBLANK('Data Entry'!$à$930), "", 'Data Entry'!$à$930)</f>
      </c>
      <c r="FE930">
        <f>IF(ISBLANK('Data Entry'!$á$930), "", 'Data Entry'!$á$930)</f>
      </c>
      <c r="FF930">
        <f>IF(ISBLANK('Data Entry'!$â$930), "", 'Data Entry'!$â$930)</f>
      </c>
      <c r="FG930">
        <f>IF(ISBLANK('Data Entry'!$ã$930), "", 'Data Entry'!$ã$930)</f>
      </c>
      <c r="FH930">
        <f>IF(ISBLANK('Data Entry'!$ä$930), "", 'Data Entry'!$ä$930)</f>
      </c>
      <c r="FI930">
        <f>IF(ISBLANK('Data Entry'!$å$930), "", 'Data Entry'!$å$930)</f>
      </c>
      <c r="FJ930">
        <f>IF(ISBLANK('Data Entry'!$æ$930), "", 'Data Entry'!$æ$930)</f>
      </c>
      <c r="FK930">
        <f>IF(ISBLANK('Data Entry'!$ç$930), "", 'Data Entry'!$ç$930)</f>
      </c>
      <c r="FL930">
        <f>IF(ISBLANK('Data Entry'!$è$930), "", 'Data Entry'!$è$930)</f>
      </c>
      <c r="FM930">
        <f>IF(ISBLANK('Data Entry'!$é$930), "", 'Data Entry'!$é$930)</f>
      </c>
      <c r="FN930">
        <f>IF(ISBLANK('Data Entry'!$ê$930), "", 'Data Entry'!$ê$930)</f>
      </c>
      <c r="FO930">
        <f>IF(ISBLANK('Data Entry'!$ë$930), "", 'Data Entry'!$ë$930)</f>
      </c>
      <c r="FP930">
        <f>IF(ISBLANK('Data Entry'!$ì$930), "", 'Data Entry'!$ì$930)</f>
      </c>
      <c r="FQ930">
        <f>IF(ISBLANK('Data Entry'!$í$930), "", 'Data Entry'!$í$930)</f>
      </c>
      <c r="FR930">
        <f>IF(ISBLANK('Data Entry'!$î$930), "", 'Data Entry'!$î$930)</f>
      </c>
      <c r="FS930">
        <f>IF(ISBLANK('Data Entry'!$ï$930), "", 'Data Entry'!$ï$930)</f>
      </c>
      <c r="FT930">
        <f>IF(ISBLANK('Data Entry'!$ð$930), "", 'Data Entry'!$ð$930)</f>
      </c>
      <c r="FU930">
        <f>IF(ISBLANK('Data Entry'!$ñ$930), "", 'Data Entry'!$ñ$930)</f>
      </c>
      <c r="FV930">
        <f>IF(ISBLANK('Data Entry'!$ò$930), "", 'Data Entry'!$ò$930)</f>
      </c>
      <c r="FW930">
        <f>IF(ISBLANK('Data Entry'!$ó$930), "", 'Data Entry'!$ó$930)</f>
      </c>
      <c r="FX930">
        <f>IF(ISBLANK('Data Entry'!$ô$930), "", 'Data Entry'!$ô$930)</f>
      </c>
      <c r="FY930">
        <f>IF(ISBLANK('Data Entry'!$õ$930), "", 'Data Entry'!$õ$930)</f>
      </c>
      <c r="FZ930">
        <f>IF(ISBLANK('Data Entry'!$ö$930), "", 'Data Entry'!$ö$930)</f>
      </c>
      <c r="GA930">
        <f>IF(ISBLANK('Data Entry'!$÷$930), "", 'Data Entry'!$÷$930)</f>
      </c>
      <c r="GB930">
        <f>IF(ISBLANK('Data Entry'!$ø$930), "", 'Data Entry'!$ø$930)</f>
      </c>
      <c r="GC930">
        <f>IF(ISBLANK('Data Entry'!$ù$930), "", 'Data Entry'!$ù$930)</f>
      </c>
      <c r="GD930">
        <f>IF(ISBLANK('Data Entry'!$ú$930), "", 'Data Entry'!$ú$930)</f>
      </c>
      <c r="GE930">
        <f>IF(ISBLANK('Data Entry'!$û$930), "", 'Data Entry'!$û$930)</f>
      </c>
      <c r="GF930">
        <f>IF(ISBLANK('Data Entry'!$ü$930), "", 'Data Entry'!$ü$930)</f>
      </c>
      <c r="GG930">
        <f>IF(ISBLANK('Data Entry'!$ý$930), "", 'Data Entry'!$ý$930)</f>
      </c>
      <c r="GH930">
        <f>IF(ISBLANK('Data Entry'!$þ$930), "", 'Data Entry'!$þ$930)</f>
      </c>
      <c r="GI930">
        <f>IF(ISBLANK('Data Entry'!$ÿ$930), "", 'Data Entry'!$ÿ$930)</f>
      </c>
      <c r="GJ930">
        <f>IF(ISBLANK('Data Entry'!$Ā$930), "", 'Data Entry'!$Ā$930)</f>
      </c>
      <c r="GK930">
        <f>IF(ISBLANK('Data Entry'!$ā$930), "", 'Data Entry'!$ā$930)</f>
      </c>
      <c r="GL930">
        <f>IF(ISBLANK('Data Entry'!$Ă$930), "", 'Data Entry'!$Ă$930)</f>
      </c>
      <c r="GM930">
        <f>IF(ISBLANK('Data Entry'!$ă$930), "", 'Data Entry'!$ă$930)</f>
      </c>
      <c r="GN930">
        <f>IF(ISBLANK('Data Entry'!$Ą$930), "", 'Data Entry'!$Ą$930)</f>
      </c>
      <c r="GO930">
        <f>IF(ISBLANK('Data Entry'!$ą$930), "", 'Data Entry'!$ą$930)</f>
      </c>
      <c r="GP930">
        <f>IF(ISBLANK('Data Entry'!$Ć$930), "", 'Data Entry'!$Ć$930)</f>
      </c>
      <c r="GQ930">
        <f>IF(ISBLANK('Data Entry'!$ć$930), "", 'Data Entry'!$ć$930)</f>
      </c>
      <c r="GR930">
        <f>IF(ISBLANK('Data Entry'!$Ĉ$930), "", 'Data Entry'!$Ĉ$930)</f>
      </c>
      <c r="GS930">
        <f>IF(ISBLANK('Data Entry'!$ĉ$930), "", 'Data Entry'!$ĉ$930)</f>
      </c>
      <c r="GT930">
        <f>IF(ISBLANK('Data Entry'!$Ċ$930), "", 'Data Entry'!$Ċ$930)</f>
      </c>
      <c r="GU930">
        <f>IF(ISBLANK('Data Entry'!$ċ$930), "", 'Data Entry'!$ċ$930)</f>
      </c>
      <c r="GV930">
        <f>IF(ISBLANK('Data Entry'!$Č$930), "", 'Data Entry'!$Č$930)</f>
      </c>
      <c r="GW930">
        <f>IF(ISBLANK('Data Entry'!$č$930), "", 'Data Entry'!$č$930)</f>
      </c>
      <c r="GX930">
        <f>IF(ISBLANK('Data Entry'!$Ď$930), "", 'Data Entry'!$Ď$930)</f>
      </c>
      <c r="GY930">
        <f>IF(ISBLANK('Data Entry'!$ď$930), "", 'Data Entry'!$ď$930)</f>
      </c>
      <c r="GZ930">
        <f>IF(ISBLANK('Data Entry'!$Đ$930), "", 'Data Entry'!$Đ$930)</f>
      </c>
      <c r="HA930">
        <f>IF(ISBLANK('Data Entry'!$đ$930), "", 'Data Entry'!$đ$930)</f>
      </c>
      <c r="HB930">
        <f>IF(ISBLANK('Data Entry'!$Ē$930), "", 'Data Entry'!$Ē$930)</f>
      </c>
      <c r="HC930">
        <f>IF(ISBLANK('Data Entry'!$ē$930), "", 'Data Entry'!$ē$930)</f>
      </c>
      <c r="HD930">
        <f>IF(ISBLANK('Data Entry'!$Ĕ$930), "", 'Data Entry'!$Ĕ$930)</f>
      </c>
      <c r="HE930">
        <f>IF(ISBLANK('Data Entry'!$ĕ$930), "", 'Data Entry'!$ĕ$930)</f>
      </c>
      <c r="HF930">
        <f>IF(ISBLANK('Data Entry'!$Ė$930), "", 'Data Entry'!$Ė$930)</f>
      </c>
      <c r="HG930">
        <f>IF(ISBLANK('Data Entry'!$ė$930), "", 'Data Entry'!$ė$930)</f>
      </c>
      <c r="HH930">
        <f>IF(ISBLANK('Data Entry'!$Ę$930), "", 'Data Entry'!$Ę$930)</f>
      </c>
      <c r="HI930">
        <f>IF(ISBLANK('Data Entry'!$ę$930), "", 'Data Entry'!$ę$930)</f>
      </c>
      <c r="HJ930">
        <f>IF(ISBLANK('Data Entry'!$Ě$930), "", 'Data Entry'!$Ě$930)</f>
      </c>
      <c r="HK930">
        <f>IF(ISBLANK('Data Entry'!$ě$930), "", 'Data Entry'!$ě$930)</f>
      </c>
      <c r="HL930">
        <f>IF(ISBLANK('Data Entry'!$Ĝ$930), "", 'Data Entry'!$Ĝ$930)</f>
      </c>
      <c r="HM930">
        <f>IF(ISBLANK('Data Entry'!$ĝ$930), "", 'Data Entry'!$ĝ$930)</f>
      </c>
      <c r="HN930">
        <f>IF(ISBLANK('Data Entry'!$Ğ$930), "", 'Data Entry'!$Ğ$930)</f>
      </c>
      <c r="HO930">
        <f>IF(ISBLANK('Data Entry'!$ğ$930), "", 'Data Entry'!$ğ$930)</f>
      </c>
      <c r="HP930">
        <f>IF(ISBLANK('Data Entry'!$Ġ$930), "", 'Data Entry'!$Ġ$930)</f>
      </c>
      <c r="HQ930">
        <f>IF(ISBLANK('Data Entry'!$ġ$930), "", 'Data Entry'!$ġ$930)</f>
      </c>
      <c r="HR930">
        <f>IF(ISBLANK('Data Entry'!$Ģ$930), "", 'Data Entry'!$Ģ$930)</f>
      </c>
      <c r="HS930">
        <f>IF(ISBLANK('Data Entry'!$ģ$930), "", 'Data Entry'!$ģ$930)</f>
      </c>
      <c r="HT930">
        <f>IF(ISBLANK('Data Entry'!$Ĥ$930), "", 'Data Entry'!$Ĥ$930)</f>
      </c>
      <c r="HU930">
        <f>IF(ISBLANK('Data Entry'!$ĥ$930), "", 'Data Entry'!$ĥ$930)</f>
      </c>
      <c r="HV930">
        <f>IF(ISBLANK('Data Entry'!$Ħ$930), "", 'Data Entry'!$Ħ$930)</f>
      </c>
      <c r="HW930">
        <f>IF(ISBLANK('Data Entry'!$ħ$930), "", 'Data Entry'!$ħ$930)</f>
      </c>
      <c r="HX930">
        <f>IF(ISBLANK('Data Entry'!$Ĩ$930), "", 'Data Entry'!$Ĩ$930)</f>
      </c>
      <c r="HY930">
        <f>IF(ISBLANK('Data Entry'!$ĩ$930), "", 'Data Entry'!$ĩ$930)</f>
      </c>
      <c r="HZ930">
        <f>IF(ISBLANK('Data Entry'!$Ī$930), "", 'Data Entry'!$Ī$930)</f>
      </c>
      <c r="IA930">
        <f>IF(ISBLANK('Data Entry'!$ī$930), "", 'Data Entry'!$ī$930)</f>
      </c>
      <c r="IB930">
        <f>IF(ISBLANK('Data Entry'!$Ĭ$930), "", 'Data Entry'!$Ĭ$930)</f>
      </c>
      <c r="IC930">
        <f>IF(ISBLANK('Data Entry'!$ĭ$930), "", 'Data Entry'!$ĭ$930)</f>
      </c>
      <c r="ID930">
        <f>IF(ISBLANK('Data Entry'!$Į$930), "", 'Data Entry'!$Į$930)</f>
      </c>
      <c r="IE930">
        <f>IF(ISBLANK('Data Entry'!$į$930), "", 'Data Entry'!$į$930)</f>
      </c>
      <c r="IF930">
        <f>IF(ISBLANK('Data Entry'!$İ$930), "", 'Data Entry'!$İ$930)</f>
      </c>
      <c r="IG930">
        <f>IF(ISBLANK('Data Entry'!$ı$930), "", 'Data Entry'!$ı$930)</f>
      </c>
      <c r="IH930">
        <f>IF(ISBLANK('Data Entry'!$Ĳ$930), "", 'Data Entry'!$Ĳ$930)</f>
      </c>
      <c r="II930">
        <f>IF(ISBLANK('Data Entry'!$ĳ$930), "", 'Data Entry'!$ĳ$930)</f>
      </c>
      <c r="IJ930">
        <f>IF(ISBLANK('Data Entry'!$Ĵ$930), "", 'Data Entry'!$Ĵ$930)</f>
      </c>
      <c r="IK930">
        <f>IF(ISBLANK('Data Entry'!$ĵ$930), "", 'Data Entry'!$ĵ$930)</f>
      </c>
      <c r="IL930">
        <f>IF(ISBLANK('Data Entry'!$Ķ$930), "", 'Data Entry'!$Ķ$930)</f>
      </c>
      <c r="IM930">
        <f>IF(ISBLANK('Data Entry'!$ķ$930), "", 'Data Entry'!$ķ$930)</f>
      </c>
      <c r="IN930">
        <f>IF(ISBLANK('Data Entry'!$ĸ$930), "", 'Data Entry'!$ĸ$930)</f>
      </c>
      <c r="IO930">
        <f>IF(ISBLANK('Data Entry'!$Ĺ$930), "", 'Data Entry'!$Ĺ$930)</f>
      </c>
      <c r="IP930">
        <f>IF(ISBLANK('Data Entry'!$ĺ$930), "", 'Data Entry'!$ĺ$930)</f>
      </c>
      <c r="IQ930">
        <f>IF(ISBLANK('Data Entry'!$Ļ$930), "", 'Data Entry'!$Ļ$930)</f>
      </c>
      <c r="IR930">
        <f>IF(ISBLANK('Data Entry'!$ļ$930), "", 'Data Entry'!$ļ$930)</f>
      </c>
      <c r="IS930">
        <f>IF(ISBLANK('Data Entry'!$Ľ$930), "", 'Data Entry'!$Ľ$930)</f>
      </c>
      <c r="IT930">
        <f>IF(ISBLANK('Data Entry'!$ľ$930), "", 'Data Entry'!$ľ$930)</f>
      </c>
    </row>
    <row r="931" spans="1:254" x14ac:dyDescent="0.25">
      <c r="A931">
        <f>IF(ISBLANK('Data Entry'!$A$931), "", 'Data Entry'!$A$931)</f>
      </c>
      <c r="B931">
        <f>IF(ISBLANK('Data Entry'!$B$931), "", 'Data Entry'!$B$931)</f>
      </c>
      <c r="C931">
        <f>IF(ISBLANK('Data Entry'!$C$931), "", 'Data Entry'!$C$931)</f>
      </c>
      <c r="D931">
        <f>IF(ISBLANK('Data Entry'!$D$931), "", 'Data Entry'!$D$931)</f>
      </c>
      <c r="E931">
        <f>IF(ISBLANK('Data Entry'!$E$931), "", 'Data Entry'!$E$931)</f>
      </c>
      <c r="F931">
        <f>IF(ISBLANK('Data Entry'!$F$931), "", 'Data Entry'!$F$931)</f>
      </c>
      <c r="G931">
        <f>IF(ISBLANK('Data Entry'!$G$931), "", 'Data Entry'!$G$931)</f>
      </c>
      <c r="H931">
        <f>IF(ISBLANK('Data Entry'!$H$931), "", 'Data Entry'!$H$931)</f>
      </c>
      <c r="I931">
        <f>IF(ISBLANK('Data Entry'!$I$931), "", 'Data Entry'!$I$931)</f>
      </c>
      <c r="J931">
        <f>IF(ISBLANK('Data Entry'!$J$931), "", 'Data Entry'!$J$931)</f>
      </c>
      <c r="K931">
        <f>IF(ISBLANK('Data Entry'!$K$931), "", 'Data Entry'!$K$931)</f>
      </c>
      <c r="L931">
        <f>IF(ISBLANK('Data Entry'!$L$931), "", 'Data Entry'!$L$931)</f>
      </c>
      <c r="M931">
        <f>IF(ISBLANK('Data Entry'!$M$931), "", 'Data Entry'!$M$931)</f>
      </c>
      <c r="N931">
        <f>IF(ISBLANK('Data Entry'!$N$931), "", 'Data Entry'!$N$931)</f>
      </c>
      <c r="O931">
        <f>IF(ISBLANK('Data Entry'!$O$931), "", 'Data Entry'!$O$931)</f>
      </c>
      <c r="P931">
        <f>IF(ISBLANK('Data Entry'!$P$931), "", 'Data Entry'!$P$931)</f>
      </c>
      <c r="Q931">
        <f>IF(ISBLANK('Data Entry'!$Q$931), "", 'Data Entry'!$Q$931)</f>
      </c>
      <c r="R931">
        <f>IF(ISBLANK('Data Entry'!$R$931), "", 'Data Entry'!$R$931)</f>
      </c>
      <c r="S931">
        <f>IF(ISBLANK('Data Entry'!$S$931), "", 'Data Entry'!$S$931)</f>
      </c>
      <c r="T931">
        <f>IF(ISBLANK('Data Entry'!$T$931), "", 'Data Entry'!$T$931)</f>
      </c>
      <c r="U931">
        <f>IF(ISBLANK('Data Entry'!$U$931), "", 'Data Entry'!$U$931)</f>
      </c>
      <c r="V931">
        <f>IF(ISBLANK('Data Entry'!$V$931), "", 'Data Entry'!$V$931)</f>
      </c>
      <c r="W931">
        <f>IF(ISBLANK('Data Entry'!$W$931), "", 'Data Entry'!$W$931)</f>
      </c>
      <c r="X931">
        <f>IF(ISBLANK('Data Entry'!$X$931), "", 'Data Entry'!$X$931)</f>
      </c>
      <c r="Y931">
        <f>IF(ISBLANK('Data Entry'!$Y$931), "", 'Data Entry'!$Y$931)</f>
      </c>
      <c r="Z931">
        <f>IF(ISBLANK('Data Entry'!$Z$931), "", 'Data Entry'!$Z$931)</f>
      </c>
      <c r="AA931">
        <f>IF(ISBLANK('Data Entry'!$[$931), "", 'Data Entry'!$[$931)</f>
      </c>
      <c r="AB931">
        <f>IF(ISBLANK('Data Entry'!$\$931), "", 'Data Entry'!$\$931)</f>
      </c>
      <c r="AC931">
        <f>IF(ISBLANK('Data Entry'!$]$931), "", 'Data Entry'!$]$931)</f>
      </c>
      <c r="AD931">
        <f>IF(ISBLANK('Data Entry'!$^$931), "", 'Data Entry'!$^$931)</f>
      </c>
      <c r="AE931">
        <f>IF(ISBLANK('Data Entry'!$_$931), "", 'Data Entry'!$_$931)</f>
      </c>
      <c r="AF931">
        <f>IF(ISBLANK('Data Entry'!$`$931), "", 'Data Entry'!$`$931)</f>
      </c>
      <c r="AG931">
        <f>IF(ISBLANK('Data Entry'!$a$931), "", 'Data Entry'!$a$931)</f>
      </c>
      <c r="AH931">
        <f>IF(ISBLANK('Data Entry'!$b$931), "", 'Data Entry'!$b$931)</f>
      </c>
      <c r="AI931">
        <f>IF(ISBLANK('Data Entry'!$c$931), "", 'Data Entry'!$c$931)</f>
      </c>
      <c r="AJ931">
        <f>IF(ISBLANK('Data Entry'!$d$931), "", 'Data Entry'!$d$931)</f>
      </c>
      <c r="AK931">
        <f>IF(ISBLANK('Data Entry'!$e$931), "", 'Data Entry'!$e$931)</f>
      </c>
      <c r="AL931">
        <f>IF(ISBLANK('Data Entry'!$f$931), "", 'Data Entry'!$f$931)</f>
      </c>
      <c r="AM931">
        <f>IF(ISBLANK('Data Entry'!$g$931), "", 'Data Entry'!$g$931)</f>
      </c>
      <c r="AN931">
        <f>IF(ISBLANK('Data Entry'!$h$931), "", 'Data Entry'!$h$931)</f>
      </c>
      <c r="AO931">
        <f>IF(ISBLANK('Data Entry'!$i$931), "", 'Data Entry'!$i$931)</f>
      </c>
      <c r="AP931">
        <f>IF(ISBLANK('Data Entry'!$j$931), "", 'Data Entry'!$j$931)</f>
      </c>
      <c r="AQ931">
        <f>IF(ISBLANK('Data Entry'!$k$931), "", 'Data Entry'!$k$931)</f>
      </c>
      <c r="AR931">
        <f>IF(ISBLANK('Data Entry'!$l$931), "", 'Data Entry'!$l$931)</f>
      </c>
      <c r="AS931">
        <f>IF(ISBLANK('Data Entry'!$m$931), "", 'Data Entry'!$m$931)</f>
      </c>
      <c r="AT931">
        <f>IF(ISBLANK('Data Entry'!$n$931), "", 'Data Entry'!$n$931)</f>
      </c>
      <c r="AU931">
        <f>IF(ISBLANK('Data Entry'!$o$931), "", 'Data Entry'!$o$931)</f>
      </c>
      <c r="AV931">
        <f>IF(ISBLANK('Data Entry'!$p$931), "", 'Data Entry'!$p$931)</f>
      </c>
      <c r="AW931">
        <f>IF(ISBLANK('Data Entry'!$q$931), "", 'Data Entry'!$q$931)</f>
      </c>
      <c r="AX931">
        <f>IF(ISBLANK('Data Entry'!$r$931), "", 'Data Entry'!$r$931)</f>
      </c>
      <c r="AY931">
        <f>IF(ISBLANK('Data Entry'!$s$931), "", 'Data Entry'!$s$931)</f>
      </c>
      <c r="AZ931">
        <f>IF(ISBLANK('Data Entry'!$t$931), "", 'Data Entry'!$t$931)</f>
      </c>
      <c r="BA931">
        <f>IF(ISBLANK('Data Entry'!$u$931), "", 'Data Entry'!$u$931)</f>
      </c>
      <c r="BB931">
        <f>IF(ISBLANK('Data Entry'!$v$931), "", 'Data Entry'!$v$931)</f>
      </c>
      <c r="BC931">
        <f>IF(ISBLANK('Data Entry'!$w$931), "", 'Data Entry'!$w$931)</f>
      </c>
      <c r="BD931">
        <f>IF(ISBLANK('Data Entry'!$x$931), "", 'Data Entry'!$x$931)</f>
      </c>
      <c r="BE931">
        <f>IF(ISBLANK('Data Entry'!$y$931), "", 'Data Entry'!$y$931)</f>
      </c>
      <c r="BF931">
        <f>IF(ISBLANK('Data Entry'!$z$931), "", 'Data Entry'!$z$931)</f>
      </c>
      <c r="BG931">
        <f>IF(ISBLANK('Data Entry'!${$931), "", 'Data Entry'!${$931)</f>
      </c>
      <c r="BH931">
        <f>IF(ISBLANK('Data Entry'!$|$931), "", 'Data Entry'!$|$931)</f>
      </c>
      <c r="BI931">
        <f>IF(ISBLANK('Data Entry'!$}$931), "", 'Data Entry'!$}$931)</f>
      </c>
      <c r="BJ931">
        <f>IF(ISBLANK('Data Entry'!$~$931), "", 'Data Entry'!$~$931)</f>
      </c>
      <c r="BK931">
        <f>IF(ISBLANK('Data Entry'!$$931), "", 'Data Entry'!$$931)</f>
      </c>
      <c r="BL931">
        <f>IF(ISBLANK('Data Entry'!$$931), "", 'Data Entry'!$$931)</f>
      </c>
      <c r="BM931">
        <f>IF(ISBLANK('Data Entry'!$$931), "", 'Data Entry'!$$931)</f>
      </c>
      <c r="BN931">
        <f>IF(ISBLANK('Data Entry'!$$931), "", 'Data Entry'!$$931)</f>
      </c>
      <c r="BO931">
        <f>IF(ISBLANK('Data Entry'!$$931), "", 'Data Entry'!$$931)</f>
      </c>
      <c r="BP931">
        <f>IF(ISBLANK('Data Entry'!$$931), "", 'Data Entry'!$$931)</f>
      </c>
      <c r="BQ931">
        <f>IF(ISBLANK('Data Entry'!$$931), "", 'Data Entry'!$$931)</f>
      </c>
      <c r="BR931">
        <f>IF(ISBLANK('Data Entry'!$$931), "", 'Data Entry'!$$931)</f>
      </c>
      <c r="BS931">
        <f>IF(ISBLANK('Data Entry'!$$931), "", 'Data Entry'!$$931)</f>
      </c>
      <c r="BT931">
        <f>IF(ISBLANK('Data Entry'!$$931), "", 'Data Entry'!$$931)</f>
      </c>
      <c r="BU931">
        <f>IF(ISBLANK('Data Entry'!$$931), "", 'Data Entry'!$$931)</f>
      </c>
      <c r="BV931">
        <f>IF(ISBLANK('Data Entry'!$$931), "", 'Data Entry'!$$931)</f>
      </c>
      <c r="BW931">
        <f>IF(ISBLANK('Data Entry'!$$931), "", 'Data Entry'!$$931)</f>
      </c>
      <c r="BX931">
        <f>IF(ISBLANK('Data Entry'!$$931), "", 'Data Entry'!$$931)</f>
      </c>
      <c r="BY931">
        <f>IF(ISBLANK('Data Entry'!$$931), "", 'Data Entry'!$$931)</f>
      </c>
      <c r="BZ931">
        <f>IF(ISBLANK('Data Entry'!$$931), "", 'Data Entry'!$$931)</f>
      </c>
      <c r="CA931">
        <f>IF(ISBLANK('Data Entry'!$$931), "", 'Data Entry'!$$931)</f>
      </c>
      <c r="CB931">
        <f>IF(ISBLANK('Data Entry'!$$931), "", 'Data Entry'!$$931)</f>
      </c>
      <c r="CC931">
        <f>IF(ISBLANK('Data Entry'!$$931), "", 'Data Entry'!$$931)</f>
      </c>
      <c r="CD931">
        <f>IF(ISBLANK('Data Entry'!$$931), "", 'Data Entry'!$$931)</f>
      </c>
      <c r="CE931">
        <f>IF(ISBLANK('Data Entry'!$$931), "", 'Data Entry'!$$931)</f>
      </c>
      <c r="CF931">
        <f>IF(ISBLANK('Data Entry'!$$931), "", 'Data Entry'!$$931)</f>
      </c>
      <c r="CG931">
        <f>IF(ISBLANK('Data Entry'!$$931), "", 'Data Entry'!$$931)</f>
      </c>
      <c r="CH931">
        <f>IF(ISBLANK('Data Entry'!$$931), "", 'Data Entry'!$$931)</f>
      </c>
      <c r="CI931">
        <f>IF(ISBLANK('Data Entry'!$$931), "", 'Data Entry'!$$931)</f>
      </c>
      <c r="CJ931">
        <f>IF(ISBLANK('Data Entry'!$$931), "", 'Data Entry'!$$931)</f>
      </c>
      <c r="CK931">
        <f>IF(ISBLANK('Data Entry'!$$931), "", 'Data Entry'!$$931)</f>
      </c>
      <c r="CL931">
        <f>IF(ISBLANK('Data Entry'!$$931), "", 'Data Entry'!$$931)</f>
      </c>
      <c r="CM931">
        <f>IF(ISBLANK('Data Entry'!$$931), "", 'Data Entry'!$$931)</f>
      </c>
      <c r="CN931">
        <f>IF(ISBLANK('Data Entry'!$$931), "", 'Data Entry'!$$931)</f>
      </c>
      <c r="CO931">
        <f>IF(ISBLANK('Data Entry'!$$931), "", 'Data Entry'!$$931)</f>
      </c>
      <c r="CP931">
        <f>IF(ISBLANK('Data Entry'!$$931), "", 'Data Entry'!$$931)</f>
      </c>
      <c r="CQ931">
        <f>IF(ISBLANK('Data Entry'!$$931), "", 'Data Entry'!$$931)</f>
      </c>
      <c r="CR931">
        <f>IF(ISBLANK('Data Entry'!$ $931), "", 'Data Entry'!$ $931)</f>
      </c>
      <c r="CS931">
        <f>IF(ISBLANK('Data Entry'!$¡$931), "", 'Data Entry'!$¡$931)</f>
      </c>
      <c r="CT931">
        <f>IF(ISBLANK('Data Entry'!$¢$931), "", 'Data Entry'!$¢$931)</f>
      </c>
      <c r="CU931">
        <f>IF(ISBLANK('Data Entry'!$£$931), "", 'Data Entry'!$£$931)</f>
      </c>
      <c r="CV931">
        <f>IF(ISBLANK('Data Entry'!$¤$931), "", 'Data Entry'!$¤$931)</f>
      </c>
      <c r="CW931">
        <f>IF(ISBLANK('Data Entry'!$¥$931), "", 'Data Entry'!$¥$931)</f>
      </c>
      <c r="CX931">
        <f>IF(ISBLANK('Data Entry'!$¦$931), "", 'Data Entry'!$¦$931)</f>
      </c>
      <c r="CY931">
        <f>IF(ISBLANK('Data Entry'!$§$931), "", 'Data Entry'!$§$931)</f>
      </c>
      <c r="CZ931">
        <f>IF(ISBLANK('Data Entry'!$¨$931), "", 'Data Entry'!$¨$931)</f>
      </c>
      <c r="DA931">
        <f>IF(ISBLANK('Data Entry'!$©$931), "", 'Data Entry'!$©$931)</f>
      </c>
      <c r="DB931">
        <f>IF(ISBLANK('Data Entry'!$ª$931), "", 'Data Entry'!$ª$931)</f>
      </c>
      <c r="DC931">
        <f>IF(ISBLANK('Data Entry'!$«$931), "", 'Data Entry'!$«$931)</f>
      </c>
      <c r="DD931">
        <f>IF(ISBLANK('Data Entry'!$¬$931), "", 'Data Entry'!$¬$931)</f>
      </c>
      <c r="DE931">
        <f>IF(ISBLANK('Data Entry'!$­$931), "", 'Data Entry'!$­$931)</f>
      </c>
      <c r="DF931">
        <f>IF(ISBLANK('Data Entry'!$®$931), "", 'Data Entry'!$®$931)</f>
      </c>
      <c r="DG931">
        <f>IF(ISBLANK('Data Entry'!$¯$931), "", 'Data Entry'!$¯$931)</f>
      </c>
      <c r="DH931">
        <f>IF(ISBLANK('Data Entry'!$°$931), "", 'Data Entry'!$°$931)</f>
      </c>
      <c r="DI931">
        <f>IF(ISBLANK('Data Entry'!$±$931), "", 'Data Entry'!$±$931)</f>
      </c>
      <c r="DJ931">
        <f>IF(ISBLANK('Data Entry'!$²$931), "", 'Data Entry'!$²$931)</f>
      </c>
      <c r="DK931">
        <f>IF(ISBLANK('Data Entry'!$³$931), "", 'Data Entry'!$³$931)</f>
      </c>
      <c r="DL931">
        <f>IF(ISBLANK('Data Entry'!$´$931), "", 'Data Entry'!$´$931)</f>
      </c>
      <c r="DM931">
        <f>IF(ISBLANK('Data Entry'!$µ$931), "", 'Data Entry'!$µ$931)</f>
      </c>
      <c r="DN931">
        <f>IF(ISBLANK('Data Entry'!$¶$931), "", 'Data Entry'!$¶$931)</f>
      </c>
      <c r="DO931">
        <f>IF(ISBLANK('Data Entry'!$·$931), "", 'Data Entry'!$·$931)</f>
      </c>
      <c r="DP931">
        <f>IF(ISBLANK('Data Entry'!$¸$931), "", 'Data Entry'!$¸$931)</f>
      </c>
      <c r="DQ931">
        <f>IF(ISBLANK('Data Entry'!$¹$931), "", 'Data Entry'!$¹$931)</f>
      </c>
      <c r="DR931">
        <f>IF(ISBLANK('Data Entry'!$º$931), "", 'Data Entry'!$º$931)</f>
      </c>
      <c r="DS931">
        <f>IF(ISBLANK('Data Entry'!$»$931), "", 'Data Entry'!$»$931)</f>
      </c>
      <c r="DT931">
        <f>IF(ISBLANK('Data Entry'!$¼$931), "", 'Data Entry'!$¼$931)</f>
      </c>
      <c r="DU931">
        <f>IF(ISBLANK('Data Entry'!$½$931), "", 'Data Entry'!$½$931)</f>
      </c>
      <c r="DV931">
        <f>IF(ISBLANK('Data Entry'!$¾$931), "", 'Data Entry'!$¾$931)</f>
      </c>
      <c r="DW931">
        <f>IF(ISBLANK('Data Entry'!$¿$931), "", 'Data Entry'!$¿$931)</f>
      </c>
      <c r="DX931">
        <f>IF(ISBLANK('Data Entry'!$À$931), "", 'Data Entry'!$À$931)</f>
      </c>
      <c r="DY931">
        <f>IF(ISBLANK('Data Entry'!$Á$931), "", 'Data Entry'!$Á$931)</f>
      </c>
      <c r="DZ931">
        <f>IF(ISBLANK('Data Entry'!$Â$931), "", 'Data Entry'!$Â$931)</f>
      </c>
      <c r="EA931">
        <f>IF(ISBLANK('Data Entry'!$Ã$931), "", 'Data Entry'!$Ã$931)</f>
      </c>
      <c r="EB931">
        <f>IF(ISBLANK('Data Entry'!$Ä$931), "", 'Data Entry'!$Ä$931)</f>
      </c>
      <c r="EC931">
        <f>IF(ISBLANK('Data Entry'!$Å$931), "", 'Data Entry'!$Å$931)</f>
      </c>
      <c r="ED931">
        <f>IF(ISBLANK('Data Entry'!$Æ$931), "", 'Data Entry'!$Æ$931)</f>
      </c>
      <c r="EE931">
        <f>IF(ISBLANK('Data Entry'!$Ç$931), "", 'Data Entry'!$Ç$931)</f>
      </c>
      <c r="EF931">
        <f>IF(ISBLANK('Data Entry'!$È$931), "", 'Data Entry'!$È$931)</f>
      </c>
      <c r="EG931">
        <f>IF(ISBLANK('Data Entry'!$É$931), "", 'Data Entry'!$É$931)</f>
      </c>
      <c r="EH931">
        <f>IF(ISBLANK('Data Entry'!$Ê$931), "", 'Data Entry'!$Ê$931)</f>
      </c>
      <c r="EI931">
        <f>IF(ISBLANK('Data Entry'!$Ë$931), "", 'Data Entry'!$Ë$931)</f>
      </c>
      <c r="EJ931">
        <f>IF(ISBLANK('Data Entry'!$Ì$931), "", 'Data Entry'!$Ì$931)</f>
      </c>
      <c r="EK931">
        <f>IF(ISBLANK('Data Entry'!$Í$931), "", 'Data Entry'!$Í$931)</f>
      </c>
      <c r="EL931">
        <f>IF(ISBLANK('Data Entry'!$Î$931), "", 'Data Entry'!$Î$931)</f>
      </c>
      <c r="EM931">
        <f>IF(ISBLANK('Data Entry'!$Ï$931), "", 'Data Entry'!$Ï$931)</f>
      </c>
      <c r="EN931">
        <f>IF(ISBLANK('Data Entry'!$Ð$931), "", 'Data Entry'!$Ð$931)</f>
      </c>
      <c r="EO931">
        <f>IF(ISBLANK('Data Entry'!$Ñ$931), "", 'Data Entry'!$Ñ$931)</f>
      </c>
      <c r="EP931">
        <f>IF(ISBLANK('Data Entry'!$Ò$931), "", 'Data Entry'!$Ò$931)</f>
      </c>
      <c r="EQ931">
        <f>IF(ISBLANK('Data Entry'!$Ó$931), "", 'Data Entry'!$Ó$931)</f>
      </c>
      <c r="ER931">
        <f>IF(ISBLANK('Data Entry'!$Ô$931), "", 'Data Entry'!$Ô$931)</f>
      </c>
      <c r="ES931">
        <f>IF(ISBLANK('Data Entry'!$Õ$931), "", 'Data Entry'!$Õ$931)</f>
      </c>
      <c r="ET931">
        <f>IF(ISBLANK('Data Entry'!$Ö$931), "", 'Data Entry'!$Ö$931)</f>
      </c>
      <c r="EU931">
        <f>IF(ISBLANK('Data Entry'!$×$931), "", 'Data Entry'!$×$931)</f>
      </c>
      <c r="EV931">
        <f>IF(ISBLANK('Data Entry'!$Ø$931), "", 'Data Entry'!$Ø$931)</f>
      </c>
      <c r="EW931">
        <f>IF(ISBLANK('Data Entry'!$Ù$931), "", 'Data Entry'!$Ù$931)</f>
      </c>
      <c r="EX931">
        <f>IF(ISBLANK('Data Entry'!$Ú$931), "", 'Data Entry'!$Ú$931)</f>
      </c>
      <c r="EY931">
        <f>IF(ISBLANK('Data Entry'!$Û$931), "", 'Data Entry'!$Û$931)</f>
      </c>
      <c r="EZ931">
        <f>IF(ISBLANK('Data Entry'!$Ü$931), "", 'Data Entry'!$Ü$931)</f>
      </c>
      <c r="FA931">
        <f>IF(ISBLANK('Data Entry'!$Ý$931), "", 'Data Entry'!$Ý$931)</f>
      </c>
      <c r="FB931">
        <f>IF(ISBLANK('Data Entry'!$Þ$931), "", 'Data Entry'!$Þ$931)</f>
      </c>
      <c r="FC931">
        <f>IF(ISBLANK('Data Entry'!$ß$931), "", 'Data Entry'!$ß$931)</f>
      </c>
      <c r="FD931">
        <f>IF(ISBLANK('Data Entry'!$à$931), "", 'Data Entry'!$à$931)</f>
      </c>
      <c r="FE931">
        <f>IF(ISBLANK('Data Entry'!$á$931), "", 'Data Entry'!$á$931)</f>
      </c>
      <c r="FF931">
        <f>IF(ISBLANK('Data Entry'!$â$931), "", 'Data Entry'!$â$931)</f>
      </c>
      <c r="FG931">
        <f>IF(ISBLANK('Data Entry'!$ã$931), "", 'Data Entry'!$ã$931)</f>
      </c>
      <c r="FH931">
        <f>IF(ISBLANK('Data Entry'!$ä$931), "", 'Data Entry'!$ä$931)</f>
      </c>
      <c r="FI931">
        <f>IF(ISBLANK('Data Entry'!$å$931), "", 'Data Entry'!$å$931)</f>
      </c>
      <c r="FJ931">
        <f>IF(ISBLANK('Data Entry'!$æ$931), "", 'Data Entry'!$æ$931)</f>
      </c>
      <c r="FK931">
        <f>IF(ISBLANK('Data Entry'!$ç$931), "", 'Data Entry'!$ç$931)</f>
      </c>
      <c r="FL931">
        <f>IF(ISBLANK('Data Entry'!$è$931), "", 'Data Entry'!$è$931)</f>
      </c>
      <c r="FM931">
        <f>IF(ISBLANK('Data Entry'!$é$931), "", 'Data Entry'!$é$931)</f>
      </c>
      <c r="FN931">
        <f>IF(ISBLANK('Data Entry'!$ê$931), "", 'Data Entry'!$ê$931)</f>
      </c>
      <c r="FO931">
        <f>IF(ISBLANK('Data Entry'!$ë$931), "", 'Data Entry'!$ë$931)</f>
      </c>
      <c r="FP931">
        <f>IF(ISBLANK('Data Entry'!$ì$931), "", 'Data Entry'!$ì$931)</f>
      </c>
      <c r="FQ931">
        <f>IF(ISBLANK('Data Entry'!$í$931), "", 'Data Entry'!$í$931)</f>
      </c>
      <c r="FR931">
        <f>IF(ISBLANK('Data Entry'!$î$931), "", 'Data Entry'!$î$931)</f>
      </c>
      <c r="FS931">
        <f>IF(ISBLANK('Data Entry'!$ï$931), "", 'Data Entry'!$ï$931)</f>
      </c>
      <c r="FT931">
        <f>IF(ISBLANK('Data Entry'!$ð$931), "", 'Data Entry'!$ð$931)</f>
      </c>
      <c r="FU931">
        <f>IF(ISBLANK('Data Entry'!$ñ$931), "", 'Data Entry'!$ñ$931)</f>
      </c>
      <c r="FV931">
        <f>IF(ISBLANK('Data Entry'!$ò$931), "", 'Data Entry'!$ò$931)</f>
      </c>
      <c r="FW931">
        <f>IF(ISBLANK('Data Entry'!$ó$931), "", 'Data Entry'!$ó$931)</f>
      </c>
      <c r="FX931">
        <f>IF(ISBLANK('Data Entry'!$ô$931), "", 'Data Entry'!$ô$931)</f>
      </c>
      <c r="FY931">
        <f>IF(ISBLANK('Data Entry'!$õ$931), "", 'Data Entry'!$õ$931)</f>
      </c>
      <c r="FZ931">
        <f>IF(ISBLANK('Data Entry'!$ö$931), "", 'Data Entry'!$ö$931)</f>
      </c>
      <c r="GA931">
        <f>IF(ISBLANK('Data Entry'!$÷$931), "", 'Data Entry'!$÷$931)</f>
      </c>
      <c r="GB931">
        <f>IF(ISBLANK('Data Entry'!$ø$931), "", 'Data Entry'!$ø$931)</f>
      </c>
      <c r="GC931">
        <f>IF(ISBLANK('Data Entry'!$ù$931), "", 'Data Entry'!$ù$931)</f>
      </c>
      <c r="GD931">
        <f>IF(ISBLANK('Data Entry'!$ú$931), "", 'Data Entry'!$ú$931)</f>
      </c>
      <c r="GE931">
        <f>IF(ISBLANK('Data Entry'!$û$931), "", 'Data Entry'!$û$931)</f>
      </c>
      <c r="GF931">
        <f>IF(ISBLANK('Data Entry'!$ü$931), "", 'Data Entry'!$ü$931)</f>
      </c>
      <c r="GG931">
        <f>IF(ISBLANK('Data Entry'!$ý$931), "", 'Data Entry'!$ý$931)</f>
      </c>
      <c r="GH931">
        <f>IF(ISBLANK('Data Entry'!$þ$931), "", 'Data Entry'!$þ$931)</f>
      </c>
      <c r="GI931">
        <f>IF(ISBLANK('Data Entry'!$ÿ$931), "", 'Data Entry'!$ÿ$931)</f>
      </c>
      <c r="GJ931">
        <f>IF(ISBLANK('Data Entry'!$Ā$931), "", 'Data Entry'!$Ā$931)</f>
      </c>
      <c r="GK931">
        <f>IF(ISBLANK('Data Entry'!$ā$931), "", 'Data Entry'!$ā$931)</f>
      </c>
      <c r="GL931">
        <f>IF(ISBLANK('Data Entry'!$Ă$931), "", 'Data Entry'!$Ă$931)</f>
      </c>
      <c r="GM931">
        <f>IF(ISBLANK('Data Entry'!$ă$931), "", 'Data Entry'!$ă$931)</f>
      </c>
      <c r="GN931">
        <f>IF(ISBLANK('Data Entry'!$Ą$931), "", 'Data Entry'!$Ą$931)</f>
      </c>
      <c r="GO931">
        <f>IF(ISBLANK('Data Entry'!$ą$931), "", 'Data Entry'!$ą$931)</f>
      </c>
      <c r="GP931">
        <f>IF(ISBLANK('Data Entry'!$Ć$931), "", 'Data Entry'!$Ć$931)</f>
      </c>
      <c r="GQ931">
        <f>IF(ISBLANK('Data Entry'!$ć$931), "", 'Data Entry'!$ć$931)</f>
      </c>
      <c r="GR931">
        <f>IF(ISBLANK('Data Entry'!$Ĉ$931), "", 'Data Entry'!$Ĉ$931)</f>
      </c>
      <c r="GS931">
        <f>IF(ISBLANK('Data Entry'!$ĉ$931), "", 'Data Entry'!$ĉ$931)</f>
      </c>
      <c r="GT931">
        <f>IF(ISBLANK('Data Entry'!$Ċ$931), "", 'Data Entry'!$Ċ$931)</f>
      </c>
      <c r="GU931">
        <f>IF(ISBLANK('Data Entry'!$ċ$931), "", 'Data Entry'!$ċ$931)</f>
      </c>
      <c r="GV931">
        <f>IF(ISBLANK('Data Entry'!$Č$931), "", 'Data Entry'!$Č$931)</f>
      </c>
      <c r="GW931">
        <f>IF(ISBLANK('Data Entry'!$č$931), "", 'Data Entry'!$č$931)</f>
      </c>
      <c r="GX931">
        <f>IF(ISBLANK('Data Entry'!$Ď$931), "", 'Data Entry'!$Ď$931)</f>
      </c>
      <c r="GY931">
        <f>IF(ISBLANK('Data Entry'!$ď$931), "", 'Data Entry'!$ď$931)</f>
      </c>
      <c r="GZ931">
        <f>IF(ISBLANK('Data Entry'!$Đ$931), "", 'Data Entry'!$Đ$931)</f>
      </c>
      <c r="HA931">
        <f>IF(ISBLANK('Data Entry'!$đ$931), "", 'Data Entry'!$đ$931)</f>
      </c>
      <c r="HB931">
        <f>IF(ISBLANK('Data Entry'!$Ē$931), "", 'Data Entry'!$Ē$931)</f>
      </c>
      <c r="HC931">
        <f>IF(ISBLANK('Data Entry'!$ē$931), "", 'Data Entry'!$ē$931)</f>
      </c>
      <c r="HD931">
        <f>IF(ISBLANK('Data Entry'!$Ĕ$931), "", 'Data Entry'!$Ĕ$931)</f>
      </c>
      <c r="HE931">
        <f>IF(ISBLANK('Data Entry'!$ĕ$931), "", 'Data Entry'!$ĕ$931)</f>
      </c>
      <c r="HF931">
        <f>IF(ISBLANK('Data Entry'!$Ė$931), "", 'Data Entry'!$Ė$931)</f>
      </c>
      <c r="HG931">
        <f>IF(ISBLANK('Data Entry'!$ė$931), "", 'Data Entry'!$ė$931)</f>
      </c>
      <c r="HH931">
        <f>IF(ISBLANK('Data Entry'!$Ę$931), "", 'Data Entry'!$Ę$931)</f>
      </c>
      <c r="HI931">
        <f>IF(ISBLANK('Data Entry'!$ę$931), "", 'Data Entry'!$ę$931)</f>
      </c>
      <c r="HJ931">
        <f>IF(ISBLANK('Data Entry'!$Ě$931), "", 'Data Entry'!$Ě$931)</f>
      </c>
      <c r="HK931">
        <f>IF(ISBLANK('Data Entry'!$ě$931), "", 'Data Entry'!$ě$931)</f>
      </c>
      <c r="HL931">
        <f>IF(ISBLANK('Data Entry'!$Ĝ$931), "", 'Data Entry'!$Ĝ$931)</f>
      </c>
      <c r="HM931">
        <f>IF(ISBLANK('Data Entry'!$ĝ$931), "", 'Data Entry'!$ĝ$931)</f>
      </c>
      <c r="HN931">
        <f>IF(ISBLANK('Data Entry'!$Ğ$931), "", 'Data Entry'!$Ğ$931)</f>
      </c>
      <c r="HO931">
        <f>IF(ISBLANK('Data Entry'!$ğ$931), "", 'Data Entry'!$ğ$931)</f>
      </c>
      <c r="HP931">
        <f>IF(ISBLANK('Data Entry'!$Ġ$931), "", 'Data Entry'!$Ġ$931)</f>
      </c>
      <c r="HQ931">
        <f>IF(ISBLANK('Data Entry'!$ġ$931), "", 'Data Entry'!$ġ$931)</f>
      </c>
      <c r="HR931">
        <f>IF(ISBLANK('Data Entry'!$Ģ$931), "", 'Data Entry'!$Ģ$931)</f>
      </c>
      <c r="HS931">
        <f>IF(ISBLANK('Data Entry'!$ģ$931), "", 'Data Entry'!$ģ$931)</f>
      </c>
      <c r="HT931">
        <f>IF(ISBLANK('Data Entry'!$Ĥ$931), "", 'Data Entry'!$Ĥ$931)</f>
      </c>
      <c r="HU931">
        <f>IF(ISBLANK('Data Entry'!$ĥ$931), "", 'Data Entry'!$ĥ$931)</f>
      </c>
      <c r="HV931">
        <f>IF(ISBLANK('Data Entry'!$Ħ$931), "", 'Data Entry'!$Ħ$931)</f>
      </c>
      <c r="HW931">
        <f>IF(ISBLANK('Data Entry'!$ħ$931), "", 'Data Entry'!$ħ$931)</f>
      </c>
      <c r="HX931">
        <f>IF(ISBLANK('Data Entry'!$Ĩ$931), "", 'Data Entry'!$Ĩ$931)</f>
      </c>
      <c r="HY931">
        <f>IF(ISBLANK('Data Entry'!$ĩ$931), "", 'Data Entry'!$ĩ$931)</f>
      </c>
      <c r="HZ931">
        <f>IF(ISBLANK('Data Entry'!$Ī$931), "", 'Data Entry'!$Ī$931)</f>
      </c>
      <c r="IA931">
        <f>IF(ISBLANK('Data Entry'!$ī$931), "", 'Data Entry'!$ī$931)</f>
      </c>
      <c r="IB931">
        <f>IF(ISBLANK('Data Entry'!$Ĭ$931), "", 'Data Entry'!$Ĭ$931)</f>
      </c>
      <c r="IC931">
        <f>IF(ISBLANK('Data Entry'!$ĭ$931), "", 'Data Entry'!$ĭ$931)</f>
      </c>
      <c r="ID931">
        <f>IF(ISBLANK('Data Entry'!$Į$931), "", 'Data Entry'!$Į$931)</f>
      </c>
      <c r="IE931">
        <f>IF(ISBLANK('Data Entry'!$į$931), "", 'Data Entry'!$į$931)</f>
      </c>
      <c r="IF931">
        <f>IF(ISBLANK('Data Entry'!$İ$931), "", 'Data Entry'!$İ$931)</f>
      </c>
      <c r="IG931">
        <f>IF(ISBLANK('Data Entry'!$ı$931), "", 'Data Entry'!$ı$931)</f>
      </c>
      <c r="IH931">
        <f>IF(ISBLANK('Data Entry'!$Ĳ$931), "", 'Data Entry'!$Ĳ$931)</f>
      </c>
      <c r="II931">
        <f>IF(ISBLANK('Data Entry'!$ĳ$931), "", 'Data Entry'!$ĳ$931)</f>
      </c>
      <c r="IJ931">
        <f>IF(ISBLANK('Data Entry'!$Ĵ$931), "", 'Data Entry'!$Ĵ$931)</f>
      </c>
      <c r="IK931">
        <f>IF(ISBLANK('Data Entry'!$ĵ$931), "", 'Data Entry'!$ĵ$931)</f>
      </c>
      <c r="IL931">
        <f>IF(ISBLANK('Data Entry'!$Ķ$931), "", 'Data Entry'!$Ķ$931)</f>
      </c>
      <c r="IM931">
        <f>IF(ISBLANK('Data Entry'!$ķ$931), "", 'Data Entry'!$ķ$931)</f>
      </c>
      <c r="IN931">
        <f>IF(ISBLANK('Data Entry'!$ĸ$931), "", 'Data Entry'!$ĸ$931)</f>
      </c>
      <c r="IO931">
        <f>IF(ISBLANK('Data Entry'!$Ĺ$931), "", 'Data Entry'!$Ĺ$931)</f>
      </c>
      <c r="IP931">
        <f>IF(ISBLANK('Data Entry'!$ĺ$931), "", 'Data Entry'!$ĺ$931)</f>
      </c>
      <c r="IQ931">
        <f>IF(ISBLANK('Data Entry'!$Ļ$931), "", 'Data Entry'!$Ļ$931)</f>
      </c>
      <c r="IR931">
        <f>IF(ISBLANK('Data Entry'!$ļ$931), "", 'Data Entry'!$ļ$931)</f>
      </c>
      <c r="IS931">
        <f>IF(ISBLANK('Data Entry'!$Ľ$931), "", 'Data Entry'!$Ľ$931)</f>
      </c>
      <c r="IT931">
        <f>IF(ISBLANK('Data Entry'!$ľ$931), "", 'Data Entry'!$ľ$931)</f>
      </c>
    </row>
    <row r="932" spans="1:254" x14ac:dyDescent="0.25">
      <c r="A932">
        <f>IF(ISBLANK('Data Entry'!$A$932), "", 'Data Entry'!$A$932)</f>
      </c>
      <c r="B932">
        <f>IF(ISBLANK('Data Entry'!$B$932), "", 'Data Entry'!$B$932)</f>
      </c>
      <c r="C932">
        <f>IF(ISBLANK('Data Entry'!$C$932), "", 'Data Entry'!$C$932)</f>
      </c>
      <c r="D932">
        <f>IF(ISBLANK('Data Entry'!$D$932), "", 'Data Entry'!$D$932)</f>
      </c>
      <c r="E932">
        <f>IF(ISBLANK('Data Entry'!$E$932), "", 'Data Entry'!$E$932)</f>
      </c>
      <c r="F932">
        <f>IF(ISBLANK('Data Entry'!$F$932), "", 'Data Entry'!$F$932)</f>
      </c>
      <c r="G932">
        <f>IF(ISBLANK('Data Entry'!$G$932), "", 'Data Entry'!$G$932)</f>
      </c>
      <c r="H932">
        <f>IF(ISBLANK('Data Entry'!$H$932), "", 'Data Entry'!$H$932)</f>
      </c>
      <c r="I932">
        <f>IF(ISBLANK('Data Entry'!$I$932), "", 'Data Entry'!$I$932)</f>
      </c>
      <c r="J932">
        <f>IF(ISBLANK('Data Entry'!$J$932), "", 'Data Entry'!$J$932)</f>
      </c>
      <c r="K932">
        <f>IF(ISBLANK('Data Entry'!$K$932), "", 'Data Entry'!$K$932)</f>
      </c>
      <c r="L932">
        <f>IF(ISBLANK('Data Entry'!$L$932), "", 'Data Entry'!$L$932)</f>
      </c>
      <c r="M932">
        <f>IF(ISBLANK('Data Entry'!$M$932), "", 'Data Entry'!$M$932)</f>
      </c>
      <c r="N932">
        <f>IF(ISBLANK('Data Entry'!$N$932), "", 'Data Entry'!$N$932)</f>
      </c>
      <c r="O932">
        <f>IF(ISBLANK('Data Entry'!$O$932), "", 'Data Entry'!$O$932)</f>
      </c>
      <c r="P932">
        <f>IF(ISBLANK('Data Entry'!$P$932), "", 'Data Entry'!$P$932)</f>
      </c>
      <c r="Q932">
        <f>IF(ISBLANK('Data Entry'!$Q$932), "", 'Data Entry'!$Q$932)</f>
      </c>
      <c r="R932">
        <f>IF(ISBLANK('Data Entry'!$R$932), "", 'Data Entry'!$R$932)</f>
      </c>
      <c r="S932">
        <f>IF(ISBLANK('Data Entry'!$S$932), "", 'Data Entry'!$S$932)</f>
      </c>
      <c r="T932">
        <f>IF(ISBLANK('Data Entry'!$T$932), "", 'Data Entry'!$T$932)</f>
      </c>
      <c r="U932">
        <f>IF(ISBLANK('Data Entry'!$U$932), "", 'Data Entry'!$U$932)</f>
      </c>
      <c r="V932">
        <f>IF(ISBLANK('Data Entry'!$V$932), "", 'Data Entry'!$V$932)</f>
      </c>
      <c r="W932">
        <f>IF(ISBLANK('Data Entry'!$W$932), "", 'Data Entry'!$W$932)</f>
      </c>
      <c r="X932">
        <f>IF(ISBLANK('Data Entry'!$X$932), "", 'Data Entry'!$X$932)</f>
      </c>
      <c r="Y932">
        <f>IF(ISBLANK('Data Entry'!$Y$932), "", 'Data Entry'!$Y$932)</f>
      </c>
      <c r="Z932">
        <f>IF(ISBLANK('Data Entry'!$Z$932), "", 'Data Entry'!$Z$932)</f>
      </c>
      <c r="AA932">
        <f>IF(ISBLANK('Data Entry'!$[$932), "", 'Data Entry'!$[$932)</f>
      </c>
      <c r="AB932">
        <f>IF(ISBLANK('Data Entry'!$\$932), "", 'Data Entry'!$\$932)</f>
      </c>
      <c r="AC932">
        <f>IF(ISBLANK('Data Entry'!$]$932), "", 'Data Entry'!$]$932)</f>
      </c>
      <c r="AD932">
        <f>IF(ISBLANK('Data Entry'!$^$932), "", 'Data Entry'!$^$932)</f>
      </c>
      <c r="AE932">
        <f>IF(ISBLANK('Data Entry'!$_$932), "", 'Data Entry'!$_$932)</f>
      </c>
      <c r="AF932">
        <f>IF(ISBLANK('Data Entry'!$`$932), "", 'Data Entry'!$`$932)</f>
      </c>
      <c r="AG932">
        <f>IF(ISBLANK('Data Entry'!$a$932), "", 'Data Entry'!$a$932)</f>
      </c>
      <c r="AH932">
        <f>IF(ISBLANK('Data Entry'!$b$932), "", 'Data Entry'!$b$932)</f>
      </c>
      <c r="AI932">
        <f>IF(ISBLANK('Data Entry'!$c$932), "", 'Data Entry'!$c$932)</f>
      </c>
      <c r="AJ932">
        <f>IF(ISBLANK('Data Entry'!$d$932), "", 'Data Entry'!$d$932)</f>
      </c>
      <c r="AK932">
        <f>IF(ISBLANK('Data Entry'!$e$932), "", 'Data Entry'!$e$932)</f>
      </c>
      <c r="AL932">
        <f>IF(ISBLANK('Data Entry'!$f$932), "", 'Data Entry'!$f$932)</f>
      </c>
      <c r="AM932">
        <f>IF(ISBLANK('Data Entry'!$g$932), "", 'Data Entry'!$g$932)</f>
      </c>
      <c r="AN932">
        <f>IF(ISBLANK('Data Entry'!$h$932), "", 'Data Entry'!$h$932)</f>
      </c>
      <c r="AO932">
        <f>IF(ISBLANK('Data Entry'!$i$932), "", 'Data Entry'!$i$932)</f>
      </c>
      <c r="AP932">
        <f>IF(ISBLANK('Data Entry'!$j$932), "", 'Data Entry'!$j$932)</f>
      </c>
      <c r="AQ932">
        <f>IF(ISBLANK('Data Entry'!$k$932), "", 'Data Entry'!$k$932)</f>
      </c>
      <c r="AR932">
        <f>IF(ISBLANK('Data Entry'!$l$932), "", 'Data Entry'!$l$932)</f>
      </c>
      <c r="AS932">
        <f>IF(ISBLANK('Data Entry'!$m$932), "", 'Data Entry'!$m$932)</f>
      </c>
      <c r="AT932">
        <f>IF(ISBLANK('Data Entry'!$n$932), "", 'Data Entry'!$n$932)</f>
      </c>
      <c r="AU932">
        <f>IF(ISBLANK('Data Entry'!$o$932), "", 'Data Entry'!$o$932)</f>
      </c>
      <c r="AV932">
        <f>IF(ISBLANK('Data Entry'!$p$932), "", 'Data Entry'!$p$932)</f>
      </c>
      <c r="AW932">
        <f>IF(ISBLANK('Data Entry'!$q$932), "", 'Data Entry'!$q$932)</f>
      </c>
      <c r="AX932">
        <f>IF(ISBLANK('Data Entry'!$r$932), "", 'Data Entry'!$r$932)</f>
      </c>
      <c r="AY932">
        <f>IF(ISBLANK('Data Entry'!$s$932), "", 'Data Entry'!$s$932)</f>
      </c>
      <c r="AZ932">
        <f>IF(ISBLANK('Data Entry'!$t$932), "", 'Data Entry'!$t$932)</f>
      </c>
      <c r="BA932">
        <f>IF(ISBLANK('Data Entry'!$u$932), "", 'Data Entry'!$u$932)</f>
      </c>
      <c r="BB932">
        <f>IF(ISBLANK('Data Entry'!$v$932), "", 'Data Entry'!$v$932)</f>
      </c>
      <c r="BC932">
        <f>IF(ISBLANK('Data Entry'!$w$932), "", 'Data Entry'!$w$932)</f>
      </c>
      <c r="BD932">
        <f>IF(ISBLANK('Data Entry'!$x$932), "", 'Data Entry'!$x$932)</f>
      </c>
      <c r="BE932">
        <f>IF(ISBLANK('Data Entry'!$y$932), "", 'Data Entry'!$y$932)</f>
      </c>
      <c r="BF932">
        <f>IF(ISBLANK('Data Entry'!$z$932), "", 'Data Entry'!$z$932)</f>
      </c>
      <c r="BG932">
        <f>IF(ISBLANK('Data Entry'!${$932), "", 'Data Entry'!${$932)</f>
      </c>
      <c r="BH932">
        <f>IF(ISBLANK('Data Entry'!$|$932), "", 'Data Entry'!$|$932)</f>
      </c>
      <c r="BI932">
        <f>IF(ISBLANK('Data Entry'!$}$932), "", 'Data Entry'!$}$932)</f>
      </c>
      <c r="BJ932">
        <f>IF(ISBLANK('Data Entry'!$~$932), "", 'Data Entry'!$~$932)</f>
      </c>
      <c r="BK932">
        <f>IF(ISBLANK('Data Entry'!$$932), "", 'Data Entry'!$$932)</f>
      </c>
      <c r="BL932">
        <f>IF(ISBLANK('Data Entry'!$$932), "", 'Data Entry'!$$932)</f>
      </c>
      <c r="BM932">
        <f>IF(ISBLANK('Data Entry'!$$932), "", 'Data Entry'!$$932)</f>
      </c>
      <c r="BN932">
        <f>IF(ISBLANK('Data Entry'!$$932), "", 'Data Entry'!$$932)</f>
      </c>
      <c r="BO932">
        <f>IF(ISBLANK('Data Entry'!$$932), "", 'Data Entry'!$$932)</f>
      </c>
      <c r="BP932">
        <f>IF(ISBLANK('Data Entry'!$$932), "", 'Data Entry'!$$932)</f>
      </c>
      <c r="BQ932">
        <f>IF(ISBLANK('Data Entry'!$$932), "", 'Data Entry'!$$932)</f>
      </c>
      <c r="BR932">
        <f>IF(ISBLANK('Data Entry'!$$932), "", 'Data Entry'!$$932)</f>
      </c>
      <c r="BS932">
        <f>IF(ISBLANK('Data Entry'!$$932), "", 'Data Entry'!$$932)</f>
      </c>
      <c r="BT932">
        <f>IF(ISBLANK('Data Entry'!$$932), "", 'Data Entry'!$$932)</f>
      </c>
      <c r="BU932">
        <f>IF(ISBLANK('Data Entry'!$$932), "", 'Data Entry'!$$932)</f>
      </c>
      <c r="BV932">
        <f>IF(ISBLANK('Data Entry'!$$932), "", 'Data Entry'!$$932)</f>
      </c>
      <c r="BW932">
        <f>IF(ISBLANK('Data Entry'!$$932), "", 'Data Entry'!$$932)</f>
      </c>
      <c r="BX932">
        <f>IF(ISBLANK('Data Entry'!$$932), "", 'Data Entry'!$$932)</f>
      </c>
      <c r="BY932">
        <f>IF(ISBLANK('Data Entry'!$$932), "", 'Data Entry'!$$932)</f>
      </c>
      <c r="BZ932">
        <f>IF(ISBLANK('Data Entry'!$$932), "", 'Data Entry'!$$932)</f>
      </c>
      <c r="CA932">
        <f>IF(ISBLANK('Data Entry'!$$932), "", 'Data Entry'!$$932)</f>
      </c>
      <c r="CB932">
        <f>IF(ISBLANK('Data Entry'!$$932), "", 'Data Entry'!$$932)</f>
      </c>
      <c r="CC932">
        <f>IF(ISBLANK('Data Entry'!$$932), "", 'Data Entry'!$$932)</f>
      </c>
      <c r="CD932">
        <f>IF(ISBLANK('Data Entry'!$$932), "", 'Data Entry'!$$932)</f>
      </c>
      <c r="CE932">
        <f>IF(ISBLANK('Data Entry'!$$932), "", 'Data Entry'!$$932)</f>
      </c>
      <c r="CF932">
        <f>IF(ISBLANK('Data Entry'!$$932), "", 'Data Entry'!$$932)</f>
      </c>
      <c r="CG932">
        <f>IF(ISBLANK('Data Entry'!$$932), "", 'Data Entry'!$$932)</f>
      </c>
      <c r="CH932">
        <f>IF(ISBLANK('Data Entry'!$$932), "", 'Data Entry'!$$932)</f>
      </c>
      <c r="CI932">
        <f>IF(ISBLANK('Data Entry'!$$932), "", 'Data Entry'!$$932)</f>
      </c>
      <c r="CJ932">
        <f>IF(ISBLANK('Data Entry'!$$932), "", 'Data Entry'!$$932)</f>
      </c>
      <c r="CK932">
        <f>IF(ISBLANK('Data Entry'!$$932), "", 'Data Entry'!$$932)</f>
      </c>
      <c r="CL932">
        <f>IF(ISBLANK('Data Entry'!$$932), "", 'Data Entry'!$$932)</f>
      </c>
      <c r="CM932">
        <f>IF(ISBLANK('Data Entry'!$$932), "", 'Data Entry'!$$932)</f>
      </c>
      <c r="CN932">
        <f>IF(ISBLANK('Data Entry'!$$932), "", 'Data Entry'!$$932)</f>
      </c>
      <c r="CO932">
        <f>IF(ISBLANK('Data Entry'!$$932), "", 'Data Entry'!$$932)</f>
      </c>
      <c r="CP932">
        <f>IF(ISBLANK('Data Entry'!$$932), "", 'Data Entry'!$$932)</f>
      </c>
      <c r="CQ932">
        <f>IF(ISBLANK('Data Entry'!$$932), "", 'Data Entry'!$$932)</f>
      </c>
      <c r="CR932">
        <f>IF(ISBLANK('Data Entry'!$ $932), "", 'Data Entry'!$ $932)</f>
      </c>
      <c r="CS932">
        <f>IF(ISBLANK('Data Entry'!$¡$932), "", 'Data Entry'!$¡$932)</f>
      </c>
      <c r="CT932">
        <f>IF(ISBLANK('Data Entry'!$¢$932), "", 'Data Entry'!$¢$932)</f>
      </c>
      <c r="CU932">
        <f>IF(ISBLANK('Data Entry'!$£$932), "", 'Data Entry'!$£$932)</f>
      </c>
      <c r="CV932">
        <f>IF(ISBLANK('Data Entry'!$¤$932), "", 'Data Entry'!$¤$932)</f>
      </c>
      <c r="CW932">
        <f>IF(ISBLANK('Data Entry'!$¥$932), "", 'Data Entry'!$¥$932)</f>
      </c>
      <c r="CX932">
        <f>IF(ISBLANK('Data Entry'!$¦$932), "", 'Data Entry'!$¦$932)</f>
      </c>
      <c r="CY932">
        <f>IF(ISBLANK('Data Entry'!$§$932), "", 'Data Entry'!$§$932)</f>
      </c>
      <c r="CZ932">
        <f>IF(ISBLANK('Data Entry'!$¨$932), "", 'Data Entry'!$¨$932)</f>
      </c>
      <c r="DA932">
        <f>IF(ISBLANK('Data Entry'!$©$932), "", 'Data Entry'!$©$932)</f>
      </c>
      <c r="DB932">
        <f>IF(ISBLANK('Data Entry'!$ª$932), "", 'Data Entry'!$ª$932)</f>
      </c>
      <c r="DC932">
        <f>IF(ISBLANK('Data Entry'!$«$932), "", 'Data Entry'!$«$932)</f>
      </c>
      <c r="DD932">
        <f>IF(ISBLANK('Data Entry'!$¬$932), "", 'Data Entry'!$¬$932)</f>
      </c>
      <c r="DE932">
        <f>IF(ISBLANK('Data Entry'!$­$932), "", 'Data Entry'!$­$932)</f>
      </c>
      <c r="DF932">
        <f>IF(ISBLANK('Data Entry'!$®$932), "", 'Data Entry'!$®$932)</f>
      </c>
      <c r="DG932">
        <f>IF(ISBLANK('Data Entry'!$¯$932), "", 'Data Entry'!$¯$932)</f>
      </c>
      <c r="DH932">
        <f>IF(ISBLANK('Data Entry'!$°$932), "", 'Data Entry'!$°$932)</f>
      </c>
      <c r="DI932">
        <f>IF(ISBLANK('Data Entry'!$±$932), "", 'Data Entry'!$±$932)</f>
      </c>
      <c r="DJ932">
        <f>IF(ISBLANK('Data Entry'!$²$932), "", 'Data Entry'!$²$932)</f>
      </c>
      <c r="DK932">
        <f>IF(ISBLANK('Data Entry'!$³$932), "", 'Data Entry'!$³$932)</f>
      </c>
      <c r="DL932">
        <f>IF(ISBLANK('Data Entry'!$´$932), "", 'Data Entry'!$´$932)</f>
      </c>
      <c r="DM932">
        <f>IF(ISBLANK('Data Entry'!$µ$932), "", 'Data Entry'!$µ$932)</f>
      </c>
      <c r="DN932">
        <f>IF(ISBLANK('Data Entry'!$¶$932), "", 'Data Entry'!$¶$932)</f>
      </c>
      <c r="DO932">
        <f>IF(ISBLANK('Data Entry'!$·$932), "", 'Data Entry'!$·$932)</f>
      </c>
      <c r="DP932">
        <f>IF(ISBLANK('Data Entry'!$¸$932), "", 'Data Entry'!$¸$932)</f>
      </c>
      <c r="DQ932">
        <f>IF(ISBLANK('Data Entry'!$¹$932), "", 'Data Entry'!$¹$932)</f>
      </c>
      <c r="DR932">
        <f>IF(ISBLANK('Data Entry'!$º$932), "", 'Data Entry'!$º$932)</f>
      </c>
      <c r="DS932">
        <f>IF(ISBLANK('Data Entry'!$»$932), "", 'Data Entry'!$»$932)</f>
      </c>
      <c r="DT932">
        <f>IF(ISBLANK('Data Entry'!$¼$932), "", 'Data Entry'!$¼$932)</f>
      </c>
      <c r="DU932">
        <f>IF(ISBLANK('Data Entry'!$½$932), "", 'Data Entry'!$½$932)</f>
      </c>
      <c r="DV932">
        <f>IF(ISBLANK('Data Entry'!$¾$932), "", 'Data Entry'!$¾$932)</f>
      </c>
      <c r="DW932">
        <f>IF(ISBLANK('Data Entry'!$¿$932), "", 'Data Entry'!$¿$932)</f>
      </c>
      <c r="DX932">
        <f>IF(ISBLANK('Data Entry'!$À$932), "", 'Data Entry'!$À$932)</f>
      </c>
      <c r="DY932">
        <f>IF(ISBLANK('Data Entry'!$Á$932), "", 'Data Entry'!$Á$932)</f>
      </c>
      <c r="DZ932">
        <f>IF(ISBLANK('Data Entry'!$Â$932), "", 'Data Entry'!$Â$932)</f>
      </c>
      <c r="EA932">
        <f>IF(ISBLANK('Data Entry'!$Ã$932), "", 'Data Entry'!$Ã$932)</f>
      </c>
      <c r="EB932">
        <f>IF(ISBLANK('Data Entry'!$Ä$932), "", 'Data Entry'!$Ä$932)</f>
      </c>
      <c r="EC932">
        <f>IF(ISBLANK('Data Entry'!$Å$932), "", 'Data Entry'!$Å$932)</f>
      </c>
      <c r="ED932">
        <f>IF(ISBLANK('Data Entry'!$Æ$932), "", 'Data Entry'!$Æ$932)</f>
      </c>
      <c r="EE932">
        <f>IF(ISBLANK('Data Entry'!$Ç$932), "", 'Data Entry'!$Ç$932)</f>
      </c>
      <c r="EF932">
        <f>IF(ISBLANK('Data Entry'!$È$932), "", 'Data Entry'!$È$932)</f>
      </c>
      <c r="EG932">
        <f>IF(ISBLANK('Data Entry'!$É$932), "", 'Data Entry'!$É$932)</f>
      </c>
      <c r="EH932">
        <f>IF(ISBLANK('Data Entry'!$Ê$932), "", 'Data Entry'!$Ê$932)</f>
      </c>
      <c r="EI932">
        <f>IF(ISBLANK('Data Entry'!$Ë$932), "", 'Data Entry'!$Ë$932)</f>
      </c>
      <c r="EJ932">
        <f>IF(ISBLANK('Data Entry'!$Ì$932), "", 'Data Entry'!$Ì$932)</f>
      </c>
      <c r="EK932">
        <f>IF(ISBLANK('Data Entry'!$Í$932), "", 'Data Entry'!$Í$932)</f>
      </c>
      <c r="EL932">
        <f>IF(ISBLANK('Data Entry'!$Î$932), "", 'Data Entry'!$Î$932)</f>
      </c>
      <c r="EM932">
        <f>IF(ISBLANK('Data Entry'!$Ï$932), "", 'Data Entry'!$Ï$932)</f>
      </c>
      <c r="EN932">
        <f>IF(ISBLANK('Data Entry'!$Ð$932), "", 'Data Entry'!$Ð$932)</f>
      </c>
      <c r="EO932">
        <f>IF(ISBLANK('Data Entry'!$Ñ$932), "", 'Data Entry'!$Ñ$932)</f>
      </c>
      <c r="EP932">
        <f>IF(ISBLANK('Data Entry'!$Ò$932), "", 'Data Entry'!$Ò$932)</f>
      </c>
      <c r="EQ932">
        <f>IF(ISBLANK('Data Entry'!$Ó$932), "", 'Data Entry'!$Ó$932)</f>
      </c>
      <c r="ER932">
        <f>IF(ISBLANK('Data Entry'!$Ô$932), "", 'Data Entry'!$Ô$932)</f>
      </c>
      <c r="ES932">
        <f>IF(ISBLANK('Data Entry'!$Õ$932), "", 'Data Entry'!$Õ$932)</f>
      </c>
      <c r="ET932">
        <f>IF(ISBLANK('Data Entry'!$Ö$932), "", 'Data Entry'!$Ö$932)</f>
      </c>
      <c r="EU932">
        <f>IF(ISBLANK('Data Entry'!$×$932), "", 'Data Entry'!$×$932)</f>
      </c>
      <c r="EV932">
        <f>IF(ISBLANK('Data Entry'!$Ø$932), "", 'Data Entry'!$Ø$932)</f>
      </c>
      <c r="EW932">
        <f>IF(ISBLANK('Data Entry'!$Ù$932), "", 'Data Entry'!$Ù$932)</f>
      </c>
      <c r="EX932">
        <f>IF(ISBLANK('Data Entry'!$Ú$932), "", 'Data Entry'!$Ú$932)</f>
      </c>
      <c r="EY932">
        <f>IF(ISBLANK('Data Entry'!$Û$932), "", 'Data Entry'!$Û$932)</f>
      </c>
      <c r="EZ932">
        <f>IF(ISBLANK('Data Entry'!$Ü$932), "", 'Data Entry'!$Ü$932)</f>
      </c>
      <c r="FA932">
        <f>IF(ISBLANK('Data Entry'!$Ý$932), "", 'Data Entry'!$Ý$932)</f>
      </c>
      <c r="FB932">
        <f>IF(ISBLANK('Data Entry'!$Þ$932), "", 'Data Entry'!$Þ$932)</f>
      </c>
      <c r="FC932">
        <f>IF(ISBLANK('Data Entry'!$ß$932), "", 'Data Entry'!$ß$932)</f>
      </c>
      <c r="FD932">
        <f>IF(ISBLANK('Data Entry'!$à$932), "", 'Data Entry'!$à$932)</f>
      </c>
      <c r="FE932">
        <f>IF(ISBLANK('Data Entry'!$á$932), "", 'Data Entry'!$á$932)</f>
      </c>
      <c r="FF932">
        <f>IF(ISBLANK('Data Entry'!$â$932), "", 'Data Entry'!$â$932)</f>
      </c>
      <c r="FG932">
        <f>IF(ISBLANK('Data Entry'!$ã$932), "", 'Data Entry'!$ã$932)</f>
      </c>
      <c r="FH932">
        <f>IF(ISBLANK('Data Entry'!$ä$932), "", 'Data Entry'!$ä$932)</f>
      </c>
      <c r="FI932">
        <f>IF(ISBLANK('Data Entry'!$å$932), "", 'Data Entry'!$å$932)</f>
      </c>
      <c r="FJ932">
        <f>IF(ISBLANK('Data Entry'!$æ$932), "", 'Data Entry'!$æ$932)</f>
      </c>
      <c r="FK932">
        <f>IF(ISBLANK('Data Entry'!$ç$932), "", 'Data Entry'!$ç$932)</f>
      </c>
      <c r="FL932">
        <f>IF(ISBLANK('Data Entry'!$è$932), "", 'Data Entry'!$è$932)</f>
      </c>
      <c r="FM932">
        <f>IF(ISBLANK('Data Entry'!$é$932), "", 'Data Entry'!$é$932)</f>
      </c>
      <c r="FN932">
        <f>IF(ISBLANK('Data Entry'!$ê$932), "", 'Data Entry'!$ê$932)</f>
      </c>
      <c r="FO932">
        <f>IF(ISBLANK('Data Entry'!$ë$932), "", 'Data Entry'!$ë$932)</f>
      </c>
      <c r="FP932">
        <f>IF(ISBLANK('Data Entry'!$ì$932), "", 'Data Entry'!$ì$932)</f>
      </c>
      <c r="FQ932">
        <f>IF(ISBLANK('Data Entry'!$í$932), "", 'Data Entry'!$í$932)</f>
      </c>
      <c r="FR932">
        <f>IF(ISBLANK('Data Entry'!$î$932), "", 'Data Entry'!$î$932)</f>
      </c>
      <c r="FS932">
        <f>IF(ISBLANK('Data Entry'!$ï$932), "", 'Data Entry'!$ï$932)</f>
      </c>
      <c r="FT932">
        <f>IF(ISBLANK('Data Entry'!$ð$932), "", 'Data Entry'!$ð$932)</f>
      </c>
      <c r="FU932">
        <f>IF(ISBLANK('Data Entry'!$ñ$932), "", 'Data Entry'!$ñ$932)</f>
      </c>
      <c r="FV932">
        <f>IF(ISBLANK('Data Entry'!$ò$932), "", 'Data Entry'!$ò$932)</f>
      </c>
      <c r="FW932">
        <f>IF(ISBLANK('Data Entry'!$ó$932), "", 'Data Entry'!$ó$932)</f>
      </c>
      <c r="FX932">
        <f>IF(ISBLANK('Data Entry'!$ô$932), "", 'Data Entry'!$ô$932)</f>
      </c>
      <c r="FY932">
        <f>IF(ISBLANK('Data Entry'!$õ$932), "", 'Data Entry'!$õ$932)</f>
      </c>
      <c r="FZ932">
        <f>IF(ISBLANK('Data Entry'!$ö$932), "", 'Data Entry'!$ö$932)</f>
      </c>
      <c r="GA932">
        <f>IF(ISBLANK('Data Entry'!$÷$932), "", 'Data Entry'!$÷$932)</f>
      </c>
      <c r="GB932">
        <f>IF(ISBLANK('Data Entry'!$ø$932), "", 'Data Entry'!$ø$932)</f>
      </c>
      <c r="GC932">
        <f>IF(ISBLANK('Data Entry'!$ù$932), "", 'Data Entry'!$ù$932)</f>
      </c>
      <c r="GD932">
        <f>IF(ISBLANK('Data Entry'!$ú$932), "", 'Data Entry'!$ú$932)</f>
      </c>
      <c r="GE932">
        <f>IF(ISBLANK('Data Entry'!$û$932), "", 'Data Entry'!$û$932)</f>
      </c>
      <c r="GF932">
        <f>IF(ISBLANK('Data Entry'!$ü$932), "", 'Data Entry'!$ü$932)</f>
      </c>
      <c r="GG932">
        <f>IF(ISBLANK('Data Entry'!$ý$932), "", 'Data Entry'!$ý$932)</f>
      </c>
      <c r="GH932">
        <f>IF(ISBLANK('Data Entry'!$þ$932), "", 'Data Entry'!$þ$932)</f>
      </c>
      <c r="GI932">
        <f>IF(ISBLANK('Data Entry'!$ÿ$932), "", 'Data Entry'!$ÿ$932)</f>
      </c>
      <c r="GJ932">
        <f>IF(ISBLANK('Data Entry'!$Ā$932), "", 'Data Entry'!$Ā$932)</f>
      </c>
      <c r="GK932">
        <f>IF(ISBLANK('Data Entry'!$ā$932), "", 'Data Entry'!$ā$932)</f>
      </c>
      <c r="GL932">
        <f>IF(ISBLANK('Data Entry'!$Ă$932), "", 'Data Entry'!$Ă$932)</f>
      </c>
      <c r="GM932">
        <f>IF(ISBLANK('Data Entry'!$ă$932), "", 'Data Entry'!$ă$932)</f>
      </c>
      <c r="GN932">
        <f>IF(ISBLANK('Data Entry'!$Ą$932), "", 'Data Entry'!$Ą$932)</f>
      </c>
      <c r="GO932">
        <f>IF(ISBLANK('Data Entry'!$ą$932), "", 'Data Entry'!$ą$932)</f>
      </c>
      <c r="GP932">
        <f>IF(ISBLANK('Data Entry'!$Ć$932), "", 'Data Entry'!$Ć$932)</f>
      </c>
      <c r="GQ932">
        <f>IF(ISBLANK('Data Entry'!$ć$932), "", 'Data Entry'!$ć$932)</f>
      </c>
      <c r="GR932">
        <f>IF(ISBLANK('Data Entry'!$Ĉ$932), "", 'Data Entry'!$Ĉ$932)</f>
      </c>
      <c r="GS932">
        <f>IF(ISBLANK('Data Entry'!$ĉ$932), "", 'Data Entry'!$ĉ$932)</f>
      </c>
      <c r="GT932">
        <f>IF(ISBLANK('Data Entry'!$Ċ$932), "", 'Data Entry'!$Ċ$932)</f>
      </c>
      <c r="GU932">
        <f>IF(ISBLANK('Data Entry'!$ċ$932), "", 'Data Entry'!$ċ$932)</f>
      </c>
      <c r="GV932">
        <f>IF(ISBLANK('Data Entry'!$Č$932), "", 'Data Entry'!$Č$932)</f>
      </c>
      <c r="GW932">
        <f>IF(ISBLANK('Data Entry'!$č$932), "", 'Data Entry'!$č$932)</f>
      </c>
      <c r="GX932">
        <f>IF(ISBLANK('Data Entry'!$Ď$932), "", 'Data Entry'!$Ď$932)</f>
      </c>
      <c r="GY932">
        <f>IF(ISBLANK('Data Entry'!$ď$932), "", 'Data Entry'!$ď$932)</f>
      </c>
      <c r="GZ932">
        <f>IF(ISBLANK('Data Entry'!$Đ$932), "", 'Data Entry'!$Đ$932)</f>
      </c>
      <c r="HA932">
        <f>IF(ISBLANK('Data Entry'!$đ$932), "", 'Data Entry'!$đ$932)</f>
      </c>
      <c r="HB932">
        <f>IF(ISBLANK('Data Entry'!$Ē$932), "", 'Data Entry'!$Ē$932)</f>
      </c>
      <c r="HC932">
        <f>IF(ISBLANK('Data Entry'!$ē$932), "", 'Data Entry'!$ē$932)</f>
      </c>
      <c r="HD932">
        <f>IF(ISBLANK('Data Entry'!$Ĕ$932), "", 'Data Entry'!$Ĕ$932)</f>
      </c>
      <c r="HE932">
        <f>IF(ISBLANK('Data Entry'!$ĕ$932), "", 'Data Entry'!$ĕ$932)</f>
      </c>
      <c r="HF932">
        <f>IF(ISBLANK('Data Entry'!$Ė$932), "", 'Data Entry'!$Ė$932)</f>
      </c>
      <c r="HG932">
        <f>IF(ISBLANK('Data Entry'!$ė$932), "", 'Data Entry'!$ė$932)</f>
      </c>
      <c r="HH932">
        <f>IF(ISBLANK('Data Entry'!$Ę$932), "", 'Data Entry'!$Ę$932)</f>
      </c>
      <c r="HI932">
        <f>IF(ISBLANK('Data Entry'!$ę$932), "", 'Data Entry'!$ę$932)</f>
      </c>
      <c r="HJ932">
        <f>IF(ISBLANK('Data Entry'!$Ě$932), "", 'Data Entry'!$Ě$932)</f>
      </c>
      <c r="HK932">
        <f>IF(ISBLANK('Data Entry'!$ě$932), "", 'Data Entry'!$ě$932)</f>
      </c>
      <c r="HL932">
        <f>IF(ISBLANK('Data Entry'!$Ĝ$932), "", 'Data Entry'!$Ĝ$932)</f>
      </c>
      <c r="HM932">
        <f>IF(ISBLANK('Data Entry'!$ĝ$932), "", 'Data Entry'!$ĝ$932)</f>
      </c>
      <c r="HN932">
        <f>IF(ISBLANK('Data Entry'!$Ğ$932), "", 'Data Entry'!$Ğ$932)</f>
      </c>
      <c r="HO932">
        <f>IF(ISBLANK('Data Entry'!$ğ$932), "", 'Data Entry'!$ğ$932)</f>
      </c>
      <c r="HP932">
        <f>IF(ISBLANK('Data Entry'!$Ġ$932), "", 'Data Entry'!$Ġ$932)</f>
      </c>
      <c r="HQ932">
        <f>IF(ISBLANK('Data Entry'!$ġ$932), "", 'Data Entry'!$ġ$932)</f>
      </c>
      <c r="HR932">
        <f>IF(ISBLANK('Data Entry'!$Ģ$932), "", 'Data Entry'!$Ģ$932)</f>
      </c>
      <c r="HS932">
        <f>IF(ISBLANK('Data Entry'!$ģ$932), "", 'Data Entry'!$ģ$932)</f>
      </c>
      <c r="HT932">
        <f>IF(ISBLANK('Data Entry'!$Ĥ$932), "", 'Data Entry'!$Ĥ$932)</f>
      </c>
      <c r="HU932">
        <f>IF(ISBLANK('Data Entry'!$ĥ$932), "", 'Data Entry'!$ĥ$932)</f>
      </c>
      <c r="HV932">
        <f>IF(ISBLANK('Data Entry'!$Ħ$932), "", 'Data Entry'!$Ħ$932)</f>
      </c>
      <c r="HW932">
        <f>IF(ISBLANK('Data Entry'!$ħ$932), "", 'Data Entry'!$ħ$932)</f>
      </c>
      <c r="HX932">
        <f>IF(ISBLANK('Data Entry'!$Ĩ$932), "", 'Data Entry'!$Ĩ$932)</f>
      </c>
      <c r="HY932">
        <f>IF(ISBLANK('Data Entry'!$ĩ$932), "", 'Data Entry'!$ĩ$932)</f>
      </c>
      <c r="HZ932">
        <f>IF(ISBLANK('Data Entry'!$Ī$932), "", 'Data Entry'!$Ī$932)</f>
      </c>
      <c r="IA932">
        <f>IF(ISBLANK('Data Entry'!$ī$932), "", 'Data Entry'!$ī$932)</f>
      </c>
      <c r="IB932">
        <f>IF(ISBLANK('Data Entry'!$Ĭ$932), "", 'Data Entry'!$Ĭ$932)</f>
      </c>
      <c r="IC932">
        <f>IF(ISBLANK('Data Entry'!$ĭ$932), "", 'Data Entry'!$ĭ$932)</f>
      </c>
      <c r="ID932">
        <f>IF(ISBLANK('Data Entry'!$Į$932), "", 'Data Entry'!$Į$932)</f>
      </c>
      <c r="IE932">
        <f>IF(ISBLANK('Data Entry'!$į$932), "", 'Data Entry'!$į$932)</f>
      </c>
      <c r="IF932">
        <f>IF(ISBLANK('Data Entry'!$İ$932), "", 'Data Entry'!$İ$932)</f>
      </c>
      <c r="IG932">
        <f>IF(ISBLANK('Data Entry'!$ı$932), "", 'Data Entry'!$ı$932)</f>
      </c>
      <c r="IH932">
        <f>IF(ISBLANK('Data Entry'!$Ĳ$932), "", 'Data Entry'!$Ĳ$932)</f>
      </c>
      <c r="II932">
        <f>IF(ISBLANK('Data Entry'!$ĳ$932), "", 'Data Entry'!$ĳ$932)</f>
      </c>
      <c r="IJ932">
        <f>IF(ISBLANK('Data Entry'!$Ĵ$932), "", 'Data Entry'!$Ĵ$932)</f>
      </c>
      <c r="IK932">
        <f>IF(ISBLANK('Data Entry'!$ĵ$932), "", 'Data Entry'!$ĵ$932)</f>
      </c>
      <c r="IL932">
        <f>IF(ISBLANK('Data Entry'!$Ķ$932), "", 'Data Entry'!$Ķ$932)</f>
      </c>
      <c r="IM932">
        <f>IF(ISBLANK('Data Entry'!$ķ$932), "", 'Data Entry'!$ķ$932)</f>
      </c>
      <c r="IN932">
        <f>IF(ISBLANK('Data Entry'!$ĸ$932), "", 'Data Entry'!$ĸ$932)</f>
      </c>
      <c r="IO932">
        <f>IF(ISBLANK('Data Entry'!$Ĺ$932), "", 'Data Entry'!$Ĺ$932)</f>
      </c>
      <c r="IP932">
        <f>IF(ISBLANK('Data Entry'!$ĺ$932), "", 'Data Entry'!$ĺ$932)</f>
      </c>
      <c r="IQ932">
        <f>IF(ISBLANK('Data Entry'!$Ļ$932), "", 'Data Entry'!$Ļ$932)</f>
      </c>
      <c r="IR932">
        <f>IF(ISBLANK('Data Entry'!$ļ$932), "", 'Data Entry'!$ļ$932)</f>
      </c>
      <c r="IS932">
        <f>IF(ISBLANK('Data Entry'!$Ľ$932), "", 'Data Entry'!$Ľ$932)</f>
      </c>
      <c r="IT932">
        <f>IF(ISBLANK('Data Entry'!$ľ$932), "", 'Data Entry'!$ľ$932)</f>
      </c>
    </row>
    <row r="933" spans="1:254" x14ac:dyDescent="0.25">
      <c r="A933">
        <f>IF(ISBLANK('Data Entry'!$A$933), "", 'Data Entry'!$A$933)</f>
      </c>
      <c r="B933">
        <f>IF(ISBLANK('Data Entry'!$B$933), "", 'Data Entry'!$B$933)</f>
      </c>
      <c r="C933">
        <f>IF(ISBLANK('Data Entry'!$C$933), "", 'Data Entry'!$C$933)</f>
      </c>
      <c r="D933">
        <f>IF(ISBLANK('Data Entry'!$D$933), "", 'Data Entry'!$D$933)</f>
      </c>
      <c r="E933">
        <f>IF(ISBLANK('Data Entry'!$E$933), "", 'Data Entry'!$E$933)</f>
      </c>
      <c r="F933">
        <f>IF(ISBLANK('Data Entry'!$F$933), "", 'Data Entry'!$F$933)</f>
      </c>
      <c r="G933">
        <f>IF(ISBLANK('Data Entry'!$G$933), "", 'Data Entry'!$G$933)</f>
      </c>
      <c r="H933">
        <f>IF(ISBLANK('Data Entry'!$H$933), "", 'Data Entry'!$H$933)</f>
      </c>
      <c r="I933">
        <f>IF(ISBLANK('Data Entry'!$I$933), "", 'Data Entry'!$I$933)</f>
      </c>
      <c r="J933">
        <f>IF(ISBLANK('Data Entry'!$J$933), "", 'Data Entry'!$J$933)</f>
      </c>
      <c r="K933">
        <f>IF(ISBLANK('Data Entry'!$K$933), "", 'Data Entry'!$K$933)</f>
      </c>
      <c r="L933">
        <f>IF(ISBLANK('Data Entry'!$L$933), "", 'Data Entry'!$L$933)</f>
      </c>
      <c r="M933">
        <f>IF(ISBLANK('Data Entry'!$M$933), "", 'Data Entry'!$M$933)</f>
      </c>
      <c r="N933">
        <f>IF(ISBLANK('Data Entry'!$N$933), "", 'Data Entry'!$N$933)</f>
      </c>
      <c r="O933">
        <f>IF(ISBLANK('Data Entry'!$O$933), "", 'Data Entry'!$O$933)</f>
      </c>
      <c r="P933">
        <f>IF(ISBLANK('Data Entry'!$P$933), "", 'Data Entry'!$P$933)</f>
      </c>
      <c r="Q933">
        <f>IF(ISBLANK('Data Entry'!$Q$933), "", 'Data Entry'!$Q$933)</f>
      </c>
      <c r="R933">
        <f>IF(ISBLANK('Data Entry'!$R$933), "", 'Data Entry'!$R$933)</f>
      </c>
      <c r="S933">
        <f>IF(ISBLANK('Data Entry'!$S$933), "", 'Data Entry'!$S$933)</f>
      </c>
      <c r="T933">
        <f>IF(ISBLANK('Data Entry'!$T$933), "", 'Data Entry'!$T$933)</f>
      </c>
      <c r="U933">
        <f>IF(ISBLANK('Data Entry'!$U$933), "", 'Data Entry'!$U$933)</f>
      </c>
      <c r="V933">
        <f>IF(ISBLANK('Data Entry'!$V$933), "", 'Data Entry'!$V$933)</f>
      </c>
      <c r="W933">
        <f>IF(ISBLANK('Data Entry'!$W$933), "", 'Data Entry'!$W$933)</f>
      </c>
      <c r="X933">
        <f>IF(ISBLANK('Data Entry'!$X$933), "", 'Data Entry'!$X$933)</f>
      </c>
      <c r="Y933">
        <f>IF(ISBLANK('Data Entry'!$Y$933), "", 'Data Entry'!$Y$933)</f>
      </c>
      <c r="Z933">
        <f>IF(ISBLANK('Data Entry'!$Z$933), "", 'Data Entry'!$Z$933)</f>
      </c>
      <c r="AA933">
        <f>IF(ISBLANK('Data Entry'!$[$933), "", 'Data Entry'!$[$933)</f>
      </c>
      <c r="AB933">
        <f>IF(ISBLANK('Data Entry'!$\$933), "", 'Data Entry'!$\$933)</f>
      </c>
      <c r="AC933">
        <f>IF(ISBLANK('Data Entry'!$]$933), "", 'Data Entry'!$]$933)</f>
      </c>
      <c r="AD933">
        <f>IF(ISBLANK('Data Entry'!$^$933), "", 'Data Entry'!$^$933)</f>
      </c>
      <c r="AE933">
        <f>IF(ISBLANK('Data Entry'!$_$933), "", 'Data Entry'!$_$933)</f>
      </c>
      <c r="AF933">
        <f>IF(ISBLANK('Data Entry'!$`$933), "", 'Data Entry'!$`$933)</f>
      </c>
      <c r="AG933">
        <f>IF(ISBLANK('Data Entry'!$a$933), "", 'Data Entry'!$a$933)</f>
      </c>
      <c r="AH933">
        <f>IF(ISBLANK('Data Entry'!$b$933), "", 'Data Entry'!$b$933)</f>
      </c>
      <c r="AI933">
        <f>IF(ISBLANK('Data Entry'!$c$933), "", 'Data Entry'!$c$933)</f>
      </c>
      <c r="AJ933">
        <f>IF(ISBLANK('Data Entry'!$d$933), "", 'Data Entry'!$d$933)</f>
      </c>
      <c r="AK933">
        <f>IF(ISBLANK('Data Entry'!$e$933), "", 'Data Entry'!$e$933)</f>
      </c>
      <c r="AL933">
        <f>IF(ISBLANK('Data Entry'!$f$933), "", 'Data Entry'!$f$933)</f>
      </c>
      <c r="AM933">
        <f>IF(ISBLANK('Data Entry'!$g$933), "", 'Data Entry'!$g$933)</f>
      </c>
      <c r="AN933">
        <f>IF(ISBLANK('Data Entry'!$h$933), "", 'Data Entry'!$h$933)</f>
      </c>
      <c r="AO933">
        <f>IF(ISBLANK('Data Entry'!$i$933), "", 'Data Entry'!$i$933)</f>
      </c>
      <c r="AP933">
        <f>IF(ISBLANK('Data Entry'!$j$933), "", 'Data Entry'!$j$933)</f>
      </c>
      <c r="AQ933">
        <f>IF(ISBLANK('Data Entry'!$k$933), "", 'Data Entry'!$k$933)</f>
      </c>
      <c r="AR933">
        <f>IF(ISBLANK('Data Entry'!$l$933), "", 'Data Entry'!$l$933)</f>
      </c>
      <c r="AS933">
        <f>IF(ISBLANK('Data Entry'!$m$933), "", 'Data Entry'!$m$933)</f>
      </c>
      <c r="AT933">
        <f>IF(ISBLANK('Data Entry'!$n$933), "", 'Data Entry'!$n$933)</f>
      </c>
      <c r="AU933">
        <f>IF(ISBLANK('Data Entry'!$o$933), "", 'Data Entry'!$o$933)</f>
      </c>
      <c r="AV933">
        <f>IF(ISBLANK('Data Entry'!$p$933), "", 'Data Entry'!$p$933)</f>
      </c>
      <c r="AW933">
        <f>IF(ISBLANK('Data Entry'!$q$933), "", 'Data Entry'!$q$933)</f>
      </c>
      <c r="AX933">
        <f>IF(ISBLANK('Data Entry'!$r$933), "", 'Data Entry'!$r$933)</f>
      </c>
      <c r="AY933">
        <f>IF(ISBLANK('Data Entry'!$s$933), "", 'Data Entry'!$s$933)</f>
      </c>
      <c r="AZ933">
        <f>IF(ISBLANK('Data Entry'!$t$933), "", 'Data Entry'!$t$933)</f>
      </c>
      <c r="BA933">
        <f>IF(ISBLANK('Data Entry'!$u$933), "", 'Data Entry'!$u$933)</f>
      </c>
      <c r="BB933">
        <f>IF(ISBLANK('Data Entry'!$v$933), "", 'Data Entry'!$v$933)</f>
      </c>
      <c r="BC933">
        <f>IF(ISBLANK('Data Entry'!$w$933), "", 'Data Entry'!$w$933)</f>
      </c>
      <c r="BD933">
        <f>IF(ISBLANK('Data Entry'!$x$933), "", 'Data Entry'!$x$933)</f>
      </c>
      <c r="BE933">
        <f>IF(ISBLANK('Data Entry'!$y$933), "", 'Data Entry'!$y$933)</f>
      </c>
      <c r="BF933">
        <f>IF(ISBLANK('Data Entry'!$z$933), "", 'Data Entry'!$z$933)</f>
      </c>
      <c r="BG933">
        <f>IF(ISBLANK('Data Entry'!${$933), "", 'Data Entry'!${$933)</f>
      </c>
      <c r="BH933">
        <f>IF(ISBLANK('Data Entry'!$|$933), "", 'Data Entry'!$|$933)</f>
      </c>
      <c r="BI933">
        <f>IF(ISBLANK('Data Entry'!$}$933), "", 'Data Entry'!$}$933)</f>
      </c>
      <c r="BJ933">
        <f>IF(ISBLANK('Data Entry'!$~$933), "", 'Data Entry'!$~$933)</f>
      </c>
      <c r="BK933">
        <f>IF(ISBLANK('Data Entry'!$$933), "", 'Data Entry'!$$933)</f>
      </c>
      <c r="BL933">
        <f>IF(ISBLANK('Data Entry'!$$933), "", 'Data Entry'!$$933)</f>
      </c>
      <c r="BM933">
        <f>IF(ISBLANK('Data Entry'!$$933), "", 'Data Entry'!$$933)</f>
      </c>
      <c r="BN933">
        <f>IF(ISBLANK('Data Entry'!$$933), "", 'Data Entry'!$$933)</f>
      </c>
      <c r="BO933">
        <f>IF(ISBLANK('Data Entry'!$$933), "", 'Data Entry'!$$933)</f>
      </c>
      <c r="BP933">
        <f>IF(ISBLANK('Data Entry'!$$933), "", 'Data Entry'!$$933)</f>
      </c>
      <c r="BQ933">
        <f>IF(ISBLANK('Data Entry'!$$933), "", 'Data Entry'!$$933)</f>
      </c>
      <c r="BR933">
        <f>IF(ISBLANK('Data Entry'!$$933), "", 'Data Entry'!$$933)</f>
      </c>
      <c r="BS933">
        <f>IF(ISBLANK('Data Entry'!$$933), "", 'Data Entry'!$$933)</f>
      </c>
      <c r="BT933">
        <f>IF(ISBLANK('Data Entry'!$$933), "", 'Data Entry'!$$933)</f>
      </c>
      <c r="BU933">
        <f>IF(ISBLANK('Data Entry'!$$933), "", 'Data Entry'!$$933)</f>
      </c>
      <c r="BV933">
        <f>IF(ISBLANK('Data Entry'!$$933), "", 'Data Entry'!$$933)</f>
      </c>
      <c r="BW933">
        <f>IF(ISBLANK('Data Entry'!$$933), "", 'Data Entry'!$$933)</f>
      </c>
      <c r="BX933">
        <f>IF(ISBLANK('Data Entry'!$$933), "", 'Data Entry'!$$933)</f>
      </c>
      <c r="BY933">
        <f>IF(ISBLANK('Data Entry'!$$933), "", 'Data Entry'!$$933)</f>
      </c>
      <c r="BZ933">
        <f>IF(ISBLANK('Data Entry'!$$933), "", 'Data Entry'!$$933)</f>
      </c>
      <c r="CA933">
        <f>IF(ISBLANK('Data Entry'!$$933), "", 'Data Entry'!$$933)</f>
      </c>
      <c r="CB933">
        <f>IF(ISBLANK('Data Entry'!$$933), "", 'Data Entry'!$$933)</f>
      </c>
      <c r="CC933">
        <f>IF(ISBLANK('Data Entry'!$$933), "", 'Data Entry'!$$933)</f>
      </c>
      <c r="CD933">
        <f>IF(ISBLANK('Data Entry'!$$933), "", 'Data Entry'!$$933)</f>
      </c>
      <c r="CE933">
        <f>IF(ISBLANK('Data Entry'!$$933), "", 'Data Entry'!$$933)</f>
      </c>
      <c r="CF933">
        <f>IF(ISBLANK('Data Entry'!$$933), "", 'Data Entry'!$$933)</f>
      </c>
      <c r="CG933">
        <f>IF(ISBLANK('Data Entry'!$$933), "", 'Data Entry'!$$933)</f>
      </c>
      <c r="CH933">
        <f>IF(ISBLANK('Data Entry'!$$933), "", 'Data Entry'!$$933)</f>
      </c>
      <c r="CI933">
        <f>IF(ISBLANK('Data Entry'!$$933), "", 'Data Entry'!$$933)</f>
      </c>
      <c r="CJ933">
        <f>IF(ISBLANK('Data Entry'!$$933), "", 'Data Entry'!$$933)</f>
      </c>
      <c r="CK933">
        <f>IF(ISBLANK('Data Entry'!$$933), "", 'Data Entry'!$$933)</f>
      </c>
      <c r="CL933">
        <f>IF(ISBLANK('Data Entry'!$$933), "", 'Data Entry'!$$933)</f>
      </c>
      <c r="CM933">
        <f>IF(ISBLANK('Data Entry'!$$933), "", 'Data Entry'!$$933)</f>
      </c>
      <c r="CN933">
        <f>IF(ISBLANK('Data Entry'!$$933), "", 'Data Entry'!$$933)</f>
      </c>
      <c r="CO933">
        <f>IF(ISBLANK('Data Entry'!$$933), "", 'Data Entry'!$$933)</f>
      </c>
      <c r="CP933">
        <f>IF(ISBLANK('Data Entry'!$$933), "", 'Data Entry'!$$933)</f>
      </c>
      <c r="CQ933">
        <f>IF(ISBLANK('Data Entry'!$$933), "", 'Data Entry'!$$933)</f>
      </c>
      <c r="CR933">
        <f>IF(ISBLANK('Data Entry'!$ $933), "", 'Data Entry'!$ $933)</f>
      </c>
      <c r="CS933">
        <f>IF(ISBLANK('Data Entry'!$¡$933), "", 'Data Entry'!$¡$933)</f>
      </c>
      <c r="CT933">
        <f>IF(ISBLANK('Data Entry'!$¢$933), "", 'Data Entry'!$¢$933)</f>
      </c>
      <c r="CU933">
        <f>IF(ISBLANK('Data Entry'!$£$933), "", 'Data Entry'!$£$933)</f>
      </c>
      <c r="CV933">
        <f>IF(ISBLANK('Data Entry'!$¤$933), "", 'Data Entry'!$¤$933)</f>
      </c>
      <c r="CW933">
        <f>IF(ISBLANK('Data Entry'!$¥$933), "", 'Data Entry'!$¥$933)</f>
      </c>
      <c r="CX933">
        <f>IF(ISBLANK('Data Entry'!$¦$933), "", 'Data Entry'!$¦$933)</f>
      </c>
      <c r="CY933">
        <f>IF(ISBLANK('Data Entry'!$§$933), "", 'Data Entry'!$§$933)</f>
      </c>
      <c r="CZ933">
        <f>IF(ISBLANK('Data Entry'!$¨$933), "", 'Data Entry'!$¨$933)</f>
      </c>
      <c r="DA933">
        <f>IF(ISBLANK('Data Entry'!$©$933), "", 'Data Entry'!$©$933)</f>
      </c>
      <c r="DB933">
        <f>IF(ISBLANK('Data Entry'!$ª$933), "", 'Data Entry'!$ª$933)</f>
      </c>
      <c r="DC933">
        <f>IF(ISBLANK('Data Entry'!$«$933), "", 'Data Entry'!$«$933)</f>
      </c>
      <c r="DD933">
        <f>IF(ISBLANK('Data Entry'!$¬$933), "", 'Data Entry'!$¬$933)</f>
      </c>
      <c r="DE933">
        <f>IF(ISBLANK('Data Entry'!$­$933), "", 'Data Entry'!$­$933)</f>
      </c>
      <c r="DF933">
        <f>IF(ISBLANK('Data Entry'!$®$933), "", 'Data Entry'!$®$933)</f>
      </c>
      <c r="DG933">
        <f>IF(ISBLANK('Data Entry'!$¯$933), "", 'Data Entry'!$¯$933)</f>
      </c>
      <c r="DH933">
        <f>IF(ISBLANK('Data Entry'!$°$933), "", 'Data Entry'!$°$933)</f>
      </c>
      <c r="DI933">
        <f>IF(ISBLANK('Data Entry'!$±$933), "", 'Data Entry'!$±$933)</f>
      </c>
      <c r="DJ933">
        <f>IF(ISBLANK('Data Entry'!$²$933), "", 'Data Entry'!$²$933)</f>
      </c>
      <c r="DK933">
        <f>IF(ISBLANK('Data Entry'!$³$933), "", 'Data Entry'!$³$933)</f>
      </c>
      <c r="DL933">
        <f>IF(ISBLANK('Data Entry'!$´$933), "", 'Data Entry'!$´$933)</f>
      </c>
      <c r="DM933">
        <f>IF(ISBLANK('Data Entry'!$µ$933), "", 'Data Entry'!$µ$933)</f>
      </c>
      <c r="DN933">
        <f>IF(ISBLANK('Data Entry'!$¶$933), "", 'Data Entry'!$¶$933)</f>
      </c>
      <c r="DO933">
        <f>IF(ISBLANK('Data Entry'!$·$933), "", 'Data Entry'!$·$933)</f>
      </c>
      <c r="DP933">
        <f>IF(ISBLANK('Data Entry'!$¸$933), "", 'Data Entry'!$¸$933)</f>
      </c>
      <c r="DQ933">
        <f>IF(ISBLANK('Data Entry'!$¹$933), "", 'Data Entry'!$¹$933)</f>
      </c>
      <c r="DR933">
        <f>IF(ISBLANK('Data Entry'!$º$933), "", 'Data Entry'!$º$933)</f>
      </c>
      <c r="DS933">
        <f>IF(ISBLANK('Data Entry'!$»$933), "", 'Data Entry'!$»$933)</f>
      </c>
      <c r="DT933">
        <f>IF(ISBLANK('Data Entry'!$¼$933), "", 'Data Entry'!$¼$933)</f>
      </c>
      <c r="DU933">
        <f>IF(ISBLANK('Data Entry'!$½$933), "", 'Data Entry'!$½$933)</f>
      </c>
      <c r="DV933">
        <f>IF(ISBLANK('Data Entry'!$¾$933), "", 'Data Entry'!$¾$933)</f>
      </c>
      <c r="DW933">
        <f>IF(ISBLANK('Data Entry'!$¿$933), "", 'Data Entry'!$¿$933)</f>
      </c>
      <c r="DX933">
        <f>IF(ISBLANK('Data Entry'!$À$933), "", 'Data Entry'!$À$933)</f>
      </c>
      <c r="DY933">
        <f>IF(ISBLANK('Data Entry'!$Á$933), "", 'Data Entry'!$Á$933)</f>
      </c>
      <c r="DZ933">
        <f>IF(ISBLANK('Data Entry'!$Â$933), "", 'Data Entry'!$Â$933)</f>
      </c>
      <c r="EA933">
        <f>IF(ISBLANK('Data Entry'!$Ã$933), "", 'Data Entry'!$Ã$933)</f>
      </c>
      <c r="EB933">
        <f>IF(ISBLANK('Data Entry'!$Ä$933), "", 'Data Entry'!$Ä$933)</f>
      </c>
      <c r="EC933">
        <f>IF(ISBLANK('Data Entry'!$Å$933), "", 'Data Entry'!$Å$933)</f>
      </c>
      <c r="ED933">
        <f>IF(ISBLANK('Data Entry'!$Æ$933), "", 'Data Entry'!$Æ$933)</f>
      </c>
      <c r="EE933">
        <f>IF(ISBLANK('Data Entry'!$Ç$933), "", 'Data Entry'!$Ç$933)</f>
      </c>
      <c r="EF933">
        <f>IF(ISBLANK('Data Entry'!$È$933), "", 'Data Entry'!$È$933)</f>
      </c>
      <c r="EG933">
        <f>IF(ISBLANK('Data Entry'!$É$933), "", 'Data Entry'!$É$933)</f>
      </c>
      <c r="EH933">
        <f>IF(ISBLANK('Data Entry'!$Ê$933), "", 'Data Entry'!$Ê$933)</f>
      </c>
      <c r="EI933">
        <f>IF(ISBLANK('Data Entry'!$Ë$933), "", 'Data Entry'!$Ë$933)</f>
      </c>
      <c r="EJ933">
        <f>IF(ISBLANK('Data Entry'!$Ì$933), "", 'Data Entry'!$Ì$933)</f>
      </c>
      <c r="EK933">
        <f>IF(ISBLANK('Data Entry'!$Í$933), "", 'Data Entry'!$Í$933)</f>
      </c>
      <c r="EL933">
        <f>IF(ISBLANK('Data Entry'!$Î$933), "", 'Data Entry'!$Î$933)</f>
      </c>
      <c r="EM933">
        <f>IF(ISBLANK('Data Entry'!$Ï$933), "", 'Data Entry'!$Ï$933)</f>
      </c>
      <c r="EN933">
        <f>IF(ISBLANK('Data Entry'!$Ð$933), "", 'Data Entry'!$Ð$933)</f>
      </c>
      <c r="EO933">
        <f>IF(ISBLANK('Data Entry'!$Ñ$933), "", 'Data Entry'!$Ñ$933)</f>
      </c>
      <c r="EP933">
        <f>IF(ISBLANK('Data Entry'!$Ò$933), "", 'Data Entry'!$Ò$933)</f>
      </c>
      <c r="EQ933">
        <f>IF(ISBLANK('Data Entry'!$Ó$933), "", 'Data Entry'!$Ó$933)</f>
      </c>
      <c r="ER933">
        <f>IF(ISBLANK('Data Entry'!$Ô$933), "", 'Data Entry'!$Ô$933)</f>
      </c>
      <c r="ES933">
        <f>IF(ISBLANK('Data Entry'!$Õ$933), "", 'Data Entry'!$Õ$933)</f>
      </c>
      <c r="ET933">
        <f>IF(ISBLANK('Data Entry'!$Ö$933), "", 'Data Entry'!$Ö$933)</f>
      </c>
      <c r="EU933">
        <f>IF(ISBLANK('Data Entry'!$×$933), "", 'Data Entry'!$×$933)</f>
      </c>
      <c r="EV933">
        <f>IF(ISBLANK('Data Entry'!$Ø$933), "", 'Data Entry'!$Ø$933)</f>
      </c>
      <c r="EW933">
        <f>IF(ISBLANK('Data Entry'!$Ù$933), "", 'Data Entry'!$Ù$933)</f>
      </c>
      <c r="EX933">
        <f>IF(ISBLANK('Data Entry'!$Ú$933), "", 'Data Entry'!$Ú$933)</f>
      </c>
      <c r="EY933">
        <f>IF(ISBLANK('Data Entry'!$Û$933), "", 'Data Entry'!$Û$933)</f>
      </c>
      <c r="EZ933">
        <f>IF(ISBLANK('Data Entry'!$Ü$933), "", 'Data Entry'!$Ü$933)</f>
      </c>
      <c r="FA933">
        <f>IF(ISBLANK('Data Entry'!$Ý$933), "", 'Data Entry'!$Ý$933)</f>
      </c>
      <c r="FB933">
        <f>IF(ISBLANK('Data Entry'!$Þ$933), "", 'Data Entry'!$Þ$933)</f>
      </c>
      <c r="FC933">
        <f>IF(ISBLANK('Data Entry'!$ß$933), "", 'Data Entry'!$ß$933)</f>
      </c>
      <c r="FD933">
        <f>IF(ISBLANK('Data Entry'!$à$933), "", 'Data Entry'!$à$933)</f>
      </c>
      <c r="FE933">
        <f>IF(ISBLANK('Data Entry'!$á$933), "", 'Data Entry'!$á$933)</f>
      </c>
      <c r="FF933">
        <f>IF(ISBLANK('Data Entry'!$â$933), "", 'Data Entry'!$â$933)</f>
      </c>
      <c r="FG933">
        <f>IF(ISBLANK('Data Entry'!$ã$933), "", 'Data Entry'!$ã$933)</f>
      </c>
      <c r="FH933">
        <f>IF(ISBLANK('Data Entry'!$ä$933), "", 'Data Entry'!$ä$933)</f>
      </c>
      <c r="FI933">
        <f>IF(ISBLANK('Data Entry'!$å$933), "", 'Data Entry'!$å$933)</f>
      </c>
      <c r="FJ933">
        <f>IF(ISBLANK('Data Entry'!$æ$933), "", 'Data Entry'!$æ$933)</f>
      </c>
      <c r="FK933">
        <f>IF(ISBLANK('Data Entry'!$ç$933), "", 'Data Entry'!$ç$933)</f>
      </c>
      <c r="FL933">
        <f>IF(ISBLANK('Data Entry'!$è$933), "", 'Data Entry'!$è$933)</f>
      </c>
      <c r="FM933">
        <f>IF(ISBLANK('Data Entry'!$é$933), "", 'Data Entry'!$é$933)</f>
      </c>
      <c r="FN933">
        <f>IF(ISBLANK('Data Entry'!$ê$933), "", 'Data Entry'!$ê$933)</f>
      </c>
      <c r="FO933">
        <f>IF(ISBLANK('Data Entry'!$ë$933), "", 'Data Entry'!$ë$933)</f>
      </c>
      <c r="FP933">
        <f>IF(ISBLANK('Data Entry'!$ì$933), "", 'Data Entry'!$ì$933)</f>
      </c>
      <c r="FQ933">
        <f>IF(ISBLANK('Data Entry'!$í$933), "", 'Data Entry'!$í$933)</f>
      </c>
      <c r="FR933">
        <f>IF(ISBLANK('Data Entry'!$î$933), "", 'Data Entry'!$î$933)</f>
      </c>
      <c r="FS933">
        <f>IF(ISBLANK('Data Entry'!$ï$933), "", 'Data Entry'!$ï$933)</f>
      </c>
      <c r="FT933">
        <f>IF(ISBLANK('Data Entry'!$ð$933), "", 'Data Entry'!$ð$933)</f>
      </c>
      <c r="FU933">
        <f>IF(ISBLANK('Data Entry'!$ñ$933), "", 'Data Entry'!$ñ$933)</f>
      </c>
      <c r="FV933">
        <f>IF(ISBLANK('Data Entry'!$ò$933), "", 'Data Entry'!$ò$933)</f>
      </c>
      <c r="FW933">
        <f>IF(ISBLANK('Data Entry'!$ó$933), "", 'Data Entry'!$ó$933)</f>
      </c>
      <c r="FX933">
        <f>IF(ISBLANK('Data Entry'!$ô$933), "", 'Data Entry'!$ô$933)</f>
      </c>
      <c r="FY933">
        <f>IF(ISBLANK('Data Entry'!$õ$933), "", 'Data Entry'!$õ$933)</f>
      </c>
      <c r="FZ933">
        <f>IF(ISBLANK('Data Entry'!$ö$933), "", 'Data Entry'!$ö$933)</f>
      </c>
      <c r="GA933">
        <f>IF(ISBLANK('Data Entry'!$÷$933), "", 'Data Entry'!$÷$933)</f>
      </c>
      <c r="GB933">
        <f>IF(ISBLANK('Data Entry'!$ø$933), "", 'Data Entry'!$ø$933)</f>
      </c>
      <c r="GC933">
        <f>IF(ISBLANK('Data Entry'!$ù$933), "", 'Data Entry'!$ù$933)</f>
      </c>
      <c r="GD933">
        <f>IF(ISBLANK('Data Entry'!$ú$933), "", 'Data Entry'!$ú$933)</f>
      </c>
      <c r="GE933">
        <f>IF(ISBLANK('Data Entry'!$û$933), "", 'Data Entry'!$û$933)</f>
      </c>
      <c r="GF933">
        <f>IF(ISBLANK('Data Entry'!$ü$933), "", 'Data Entry'!$ü$933)</f>
      </c>
      <c r="GG933">
        <f>IF(ISBLANK('Data Entry'!$ý$933), "", 'Data Entry'!$ý$933)</f>
      </c>
      <c r="GH933">
        <f>IF(ISBLANK('Data Entry'!$þ$933), "", 'Data Entry'!$þ$933)</f>
      </c>
      <c r="GI933">
        <f>IF(ISBLANK('Data Entry'!$ÿ$933), "", 'Data Entry'!$ÿ$933)</f>
      </c>
      <c r="GJ933">
        <f>IF(ISBLANK('Data Entry'!$Ā$933), "", 'Data Entry'!$Ā$933)</f>
      </c>
      <c r="GK933">
        <f>IF(ISBLANK('Data Entry'!$ā$933), "", 'Data Entry'!$ā$933)</f>
      </c>
      <c r="GL933">
        <f>IF(ISBLANK('Data Entry'!$Ă$933), "", 'Data Entry'!$Ă$933)</f>
      </c>
      <c r="GM933">
        <f>IF(ISBLANK('Data Entry'!$ă$933), "", 'Data Entry'!$ă$933)</f>
      </c>
      <c r="GN933">
        <f>IF(ISBLANK('Data Entry'!$Ą$933), "", 'Data Entry'!$Ą$933)</f>
      </c>
      <c r="GO933">
        <f>IF(ISBLANK('Data Entry'!$ą$933), "", 'Data Entry'!$ą$933)</f>
      </c>
      <c r="GP933">
        <f>IF(ISBLANK('Data Entry'!$Ć$933), "", 'Data Entry'!$Ć$933)</f>
      </c>
      <c r="GQ933">
        <f>IF(ISBLANK('Data Entry'!$ć$933), "", 'Data Entry'!$ć$933)</f>
      </c>
      <c r="GR933">
        <f>IF(ISBLANK('Data Entry'!$Ĉ$933), "", 'Data Entry'!$Ĉ$933)</f>
      </c>
      <c r="GS933">
        <f>IF(ISBLANK('Data Entry'!$ĉ$933), "", 'Data Entry'!$ĉ$933)</f>
      </c>
      <c r="GT933">
        <f>IF(ISBLANK('Data Entry'!$Ċ$933), "", 'Data Entry'!$Ċ$933)</f>
      </c>
      <c r="GU933">
        <f>IF(ISBLANK('Data Entry'!$ċ$933), "", 'Data Entry'!$ċ$933)</f>
      </c>
      <c r="GV933">
        <f>IF(ISBLANK('Data Entry'!$Č$933), "", 'Data Entry'!$Č$933)</f>
      </c>
      <c r="GW933">
        <f>IF(ISBLANK('Data Entry'!$č$933), "", 'Data Entry'!$č$933)</f>
      </c>
      <c r="GX933">
        <f>IF(ISBLANK('Data Entry'!$Ď$933), "", 'Data Entry'!$Ď$933)</f>
      </c>
      <c r="GY933">
        <f>IF(ISBLANK('Data Entry'!$ď$933), "", 'Data Entry'!$ď$933)</f>
      </c>
      <c r="GZ933">
        <f>IF(ISBLANK('Data Entry'!$Đ$933), "", 'Data Entry'!$Đ$933)</f>
      </c>
      <c r="HA933">
        <f>IF(ISBLANK('Data Entry'!$đ$933), "", 'Data Entry'!$đ$933)</f>
      </c>
      <c r="HB933">
        <f>IF(ISBLANK('Data Entry'!$Ē$933), "", 'Data Entry'!$Ē$933)</f>
      </c>
      <c r="HC933">
        <f>IF(ISBLANK('Data Entry'!$ē$933), "", 'Data Entry'!$ē$933)</f>
      </c>
      <c r="HD933">
        <f>IF(ISBLANK('Data Entry'!$Ĕ$933), "", 'Data Entry'!$Ĕ$933)</f>
      </c>
      <c r="HE933">
        <f>IF(ISBLANK('Data Entry'!$ĕ$933), "", 'Data Entry'!$ĕ$933)</f>
      </c>
      <c r="HF933">
        <f>IF(ISBLANK('Data Entry'!$Ė$933), "", 'Data Entry'!$Ė$933)</f>
      </c>
      <c r="HG933">
        <f>IF(ISBLANK('Data Entry'!$ė$933), "", 'Data Entry'!$ė$933)</f>
      </c>
      <c r="HH933">
        <f>IF(ISBLANK('Data Entry'!$Ę$933), "", 'Data Entry'!$Ę$933)</f>
      </c>
      <c r="HI933">
        <f>IF(ISBLANK('Data Entry'!$ę$933), "", 'Data Entry'!$ę$933)</f>
      </c>
      <c r="HJ933">
        <f>IF(ISBLANK('Data Entry'!$Ě$933), "", 'Data Entry'!$Ě$933)</f>
      </c>
      <c r="HK933">
        <f>IF(ISBLANK('Data Entry'!$ě$933), "", 'Data Entry'!$ě$933)</f>
      </c>
      <c r="HL933">
        <f>IF(ISBLANK('Data Entry'!$Ĝ$933), "", 'Data Entry'!$Ĝ$933)</f>
      </c>
      <c r="HM933">
        <f>IF(ISBLANK('Data Entry'!$ĝ$933), "", 'Data Entry'!$ĝ$933)</f>
      </c>
      <c r="HN933">
        <f>IF(ISBLANK('Data Entry'!$Ğ$933), "", 'Data Entry'!$Ğ$933)</f>
      </c>
      <c r="HO933">
        <f>IF(ISBLANK('Data Entry'!$ğ$933), "", 'Data Entry'!$ğ$933)</f>
      </c>
      <c r="HP933">
        <f>IF(ISBLANK('Data Entry'!$Ġ$933), "", 'Data Entry'!$Ġ$933)</f>
      </c>
      <c r="HQ933">
        <f>IF(ISBLANK('Data Entry'!$ġ$933), "", 'Data Entry'!$ġ$933)</f>
      </c>
      <c r="HR933">
        <f>IF(ISBLANK('Data Entry'!$Ģ$933), "", 'Data Entry'!$Ģ$933)</f>
      </c>
      <c r="HS933">
        <f>IF(ISBLANK('Data Entry'!$ģ$933), "", 'Data Entry'!$ģ$933)</f>
      </c>
      <c r="HT933">
        <f>IF(ISBLANK('Data Entry'!$Ĥ$933), "", 'Data Entry'!$Ĥ$933)</f>
      </c>
      <c r="HU933">
        <f>IF(ISBLANK('Data Entry'!$ĥ$933), "", 'Data Entry'!$ĥ$933)</f>
      </c>
      <c r="HV933">
        <f>IF(ISBLANK('Data Entry'!$Ħ$933), "", 'Data Entry'!$Ħ$933)</f>
      </c>
      <c r="HW933">
        <f>IF(ISBLANK('Data Entry'!$ħ$933), "", 'Data Entry'!$ħ$933)</f>
      </c>
      <c r="HX933">
        <f>IF(ISBLANK('Data Entry'!$Ĩ$933), "", 'Data Entry'!$Ĩ$933)</f>
      </c>
      <c r="HY933">
        <f>IF(ISBLANK('Data Entry'!$ĩ$933), "", 'Data Entry'!$ĩ$933)</f>
      </c>
      <c r="HZ933">
        <f>IF(ISBLANK('Data Entry'!$Ī$933), "", 'Data Entry'!$Ī$933)</f>
      </c>
      <c r="IA933">
        <f>IF(ISBLANK('Data Entry'!$ī$933), "", 'Data Entry'!$ī$933)</f>
      </c>
      <c r="IB933">
        <f>IF(ISBLANK('Data Entry'!$Ĭ$933), "", 'Data Entry'!$Ĭ$933)</f>
      </c>
      <c r="IC933">
        <f>IF(ISBLANK('Data Entry'!$ĭ$933), "", 'Data Entry'!$ĭ$933)</f>
      </c>
      <c r="ID933">
        <f>IF(ISBLANK('Data Entry'!$Į$933), "", 'Data Entry'!$Į$933)</f>
      </c>
      <c r="IE933">
        <f>IF(ISBLANK('Data Entry'!$į$933), "", 'Data Entry'!$į$933)</f>
      </c>
      <c r="IF933">
        <f>IF(ISBLANK('Data Entry'!$İ$933), "", 'Data Entry'!$İ$933)</f>
      </c>
      <c r="IG933">
        <f>IF(ISBLANK('Data Entry'!$ı$933), "", 'Data Entry'!$ı$933)</f>
      </c>
      <c r="IH933">
        <f>IF(ISBLANK('Data Entry'!$Ĳ$933), "", 'Data Entry'!$Ĳ$933)</f>
      </c>
      <c r="II933">
        <f>IF(ISBLANK('Data Entry'!$ĳ$933), "", 'Data Entry'!$ĳ$933)</f>
      </c>
      <c r="IJ933">
        <f>IF(ISBLANK('Data Entry'!$Ĵ$933), "", 'Data Entry'!$Ĵ$933)</f>
      </c>
      <c r="IK933">
        <f>IF(ISBLANK('Data Entry'!$ĵ$933), "", 'Data Entry'!$ĵ$933)</f>
      </c>
      <c r="IL933">
        <f>IF(ISBLANK('Data Entry'!$Ķ$933), "", 'Data Entry'!$Ķ$933)</f>
      </c>
      <c r="IM933">
        <f>IF(ISBLANK('Data Entry'!$ķ$933), "", 'Data Entry'!$ķ$933)</f>
      </c>
      <c r="IN933">
        <f>IF(ISBLANK('Data Entry'!$ĸ$933), "", 'Data Entry'!$ĸ$933)</f>
      </c>
      <c r="IO933">
        <f>IF(ISBLANK('Data Entry'!$Ĺ$933), "", 'Data Entry'!$Ĺ$933)</f>
      </c>
      <c r="IP933">
        <f>IF(ISBLANK('Data Entry'!$ĺ$933), "", 'Data Entry'!$ĺ$933)</f>
      </c>
      <c r="IQ933">
        <f>IF(ISBLANK('Data Entry'!$Ļ$933), "", 'Data Entry'!$Ļ$933)</f>
      </c>
      <c r="IR933">
        <f>IF(ISBLANK('Data Entry'!$ļ$933), "", 'Data Entry'!$ļ$933)</f>
      </c>
      <c r="IS933">
        <f>IF(ISBLANK('Data Entry'!$Ľ$933), "", 'Data Entry'!$Ľ$933)</f>
      </c>
      <c r="IT933">
        <f>IF(ISBLANK('Data Entry'!$ľ$933), "", 'Data Entry'!$ľ$933)</f>
      </c>
    </row>
    <row r="934" spans="1:254" x14ac:dyDescent="0.25">
      <c r="A934">
        <f>IF(ISBLANK('Data Entry'!$A$934), "", 'Data Entry'!$A$934)</f>
      </c>
      <c r="B934">
        <f>IF(ISBLANK('Data Entry'!$B$934), "", 'Data Entry'!$B$934)</f>
      </c>
      <c r="C934">
        <f>IF(ISBLANK('Data Entry'!$C$934), "", 'Data Entry'!$C$934)</f>
      </c>
      <c r="D934">
        <f>IF(ISBLANK('Data Entry'!$D$934), "", 'Data Entry'!$D$934)</f>
      </c>
      <c r="E934">
        <f>IF(ISBLANK('Data Entry'!$E$934), "", 'Data Entry'!$E$934)</f>
      </c>
      <c r="F934">
        <f>IF(ISBLANK('Data Entry'!$F$934), "", 'Data Entry'!$F$934)</f>
      </c>
      <c r="G934">
        <f>IF(ISBLANK('Data Entry'!$G$934), "", 'Data Entry'!$G$934)</f>
      </c>
      <c r="H934">
        <f>IF(ISBLANK('Data Entry'!$H$934), "", 'Data Entry'!$H$934)</f>
      </c>
      <c r="I934">
        <f>IF(ISBLANK('Data Entry'!$I$934), "", 'Data Entry'!$I$934)</f>
      </c>
      <c r="J934">
        <f>IF(ISBLANK('Data Entry'!$J$934), "", 'Data Entry'!$J$934)</f>
      </c>
      <c r="K934">
        <f>IF(ISBLANK('Data Entry'!$K$934), "", 'Data Entry'!$K$934)</f>
      </c>
      <c r="L934">
        <f>IF(ISBLANK('Data Entry'!$L$934), "", 'Data Entry'!$L$934)</f>
      </c>
      <c r="M934">
        <f>IF(ISBLANK('Data Entry'!$M$934), "", 'Data Entry'!$M$934)</f>
      </c>
      <c r="N934">
        <f>IF(ISBLANK('Data Entry'!$N$934), "", 'Data Entry'!$N$934)</f>
      </c>
      <c r="O934">
        <f>IF(ISBLANK('Data Entry'!$O$934), "", 'Data Entry'!$O$934)</f>
      </c>
      <c r="P934">
        <f>IF(ISBLANK('Data Entry'!$P$934), "", 'Data Entry'!$P$934)</f>
      </c>
      <c r="Q934">
        <f>IF(ISBLANK('Data Entry'!$Q$934), "", 'Data Entry'!$Q$934)</f>
      </c>
      <c r="R934">
        <f>IF(ISBLANK('Data Entry'!$R$934), "", 'Data Entry'!$R$934)</f>
      </c>
      <c r="S934">
        <f>IF(ISBLANK('Data Entry'!$S$934), "", 'Data Entry'!$S$934)</f>
      </c>
      <c r="T934">
        <f>IF(ISBLANK('Data Entry'!$T$934), "", 'Data Entry'!$T$934)</f>
      </c>
      <c r="U934">
        <f>IF(ISBLANK('Data Entry'!$U$934), "", 'Data Entry'!$U$934)</f>
      </c>
      <c r="V934">
        <f>IF(ISBLANK('Data Entry'!$V$934), "", 'Data Entry'!$V$934)</f>
      </c>
      <c r="W934">
        <f>IF(ISBLANK('Data Entry'!$W$934), "", 'Data Entry'!$W$934)</f>
      </c>
      <c r="X934">
        <f>IF(ISBLANK('Data Entry'!$X$934), "", 'Data Entry'!$X$934)</f>
      </c>
      <c r="Y934">
        <f>IF(ISBLANK('Data Entry'!$Y$934), "", 'Data Entry'!$Y$934)</f>
      </c>
      <c r="Z934">
        <f>IF(ISBLANK('Data Entry'!$Z$934), "", 'Data Entry'!$Z$934)</f>
      </c>
      <c r="AA934">
        <f>IF(ISBLANK('Data Entry'!$[$934), "", 'Data Entry'!$[$934)</f>
      </c>
      <c r="AB934">
        <f>IF(ISBLANK('Data Entry'!$\$934), "", 'Data Entry'!$\$934)</f>
      </c>
      <c r="AC934">
        <f>IF(ISBLANK('Data Entry'!$]$934), "", 'Data Entry'!$]$934)</f>
      </c>
      <c r="AD934">
        <f>IF(ISBLANK('Data Entry'!$^$934), "", 'Data Entry'!$^$934)</f>
      </c>
      <c r="AE934">
        <f>IF(ISBLANK('Data Entry'!$_$934), "", 'Data Entry'!$_$934)</f>
      </c>
      <c r="AF934">
        <f>IF(ISBLANK('Data Entry'!$`$934), "", 'Data Entry'!$`$934)</f>
      </c>
      <c r="AG934">
        <f>IF(ISBLANK('Data Entry'!$a$934), "", 'Data Entry'!$a$934)</f>
      </c>
      <c r="AH934">
        <f>IF(ISBLANK('Data Entry'!$b$934), "", 'Data Entry'!$b$934)</f>
      </c>
      <c r="AI934">
        <f>IF(ISBLANK('Data Entry'!$c$934), "", 'Data Entry'!$c$934)</f>
      </c>
      <c r="AJ934">
        <f>IF(ISBLANK('Data Entry'!$d$934), "", 'Data Entry'!$d$934)</f>
      </c>
      <c r="AK934">
        <f>IF(ISBLANK('Data Entry'!$e$934), "", 'Data Entry'!$e$934)</f>
      </c>
      <c r="AL934">
        <f>IF(ISBLANK('Data Entry'!$f$934), "", 'Data Entry'!$f$934)</f>
      </c>
      <c r="AM934">
        <f>IF(ISBLANK('Data Entry'!$g$934), "", 'Data Entry'!$g$934)</f>
      </c>
      <c r="AN934">
        <f>IF(ISBLANK('Data Entry'!$h$934), "", 'Data Entry'!$h$934)</f>
      </c>
      <c r="AO934">
        <f>IF(ISBLANK('Data Entry'!$i$934), "", 'Data Entry'!$i$934)</f>
      </c>
      <c r="AP934">
        <f>IF(ISBLANK('Data Entry'!$j$934), "", 'Data Entry'!$j$934)</f>
      </c>
      <c r="AQ934">
        <f>IF(ISBLANK('Data Entry'!$k$934), "", 'Data Entry'!$k$934)</f>
      </c>
      <c r="AR934">
        <f>IF(ISBLANK('Data Entry'!$l$934), "", 'Data Entry'!$l$934)</f>
      </c>
      <c r="AS934">
        <f>IF(ISBLANK('Data Entry'!$m$934), "", 'Data Entry'!$m$934)</f>
      </c>
      <c r="AT934">
        <f>IF(ISBLANK('Data Entry'!$n$934), "", 'Data Entry'!$n$934)</f>
      </c>
      <c r="AU934">
        <f>IF(ISBLANK('Data Entry'!$o$934), "", 'Data Entry'!$o$934)</f>
      </c>
      <c r="AV934">
        <f>IF(ISBLANK('Data Entry'!$p$934), "", 'Data Entry'!$p$934)</f>
      </c>
      <c r="AW934">
        <f>IF(ISBLANK('Data Entry'!$q$934), "", 'Data Entry'!$q$934)</f>
      </c>
      <c r="AX934">
        <f>IF(ISBLANK('Data Entry'!$r$934), "", 'Data Entry'!$r$934)</f>
      </c>
      <c r="AY934">
        <f>IF(ISBLANK('Data Entry'!$s$934), "", 'Data Entry'!$s$934)</f>
      </c>
      <c r="AZ934">
        <f>IF(ISBLANK('Data Entry'!$t$934), "", 'Data Entry'!$t$934)</f>
      </c>
      <c r="BA934">
        <f>IF(ISBLANK('Data Entry'!$u$934), "", 'Data Entry'!$u$934)</f>
      </c>
      <c r="BB934">
        <f>IF(ISBLANK('Data Entry'!$v$934), "", 'Data Entry'!$v$934)</f>
      </c>
      <c r="BC934">
        <f>IF(ISBLANK('Data Entry'!$w$934), "", 'Data Entry'!$w$934)</f>
      </c>
      <c r="BD934">
        <f>IF(ISBLANK('Data Entry'!$x$934), "", 'Data Entry'!$x$934)</f>
      </c>
      <c r="BE934">
        <f>IF(ISBLANK('Data Entry'!$y$934), "", 'Data Entry'!$y$934)</f>
      </c>
      <c r="BF934">
        <f>IF(ISBLANK('Data Entry'!$z$934), "", 'Data Entry'!$z$934)</f>
      </c>
      <c r="BG934">
        <f>IF(ISBLANK('Data Entry'!${$934), "", 'Data Entry'!${$934)</f>
      </c>
      <c r="BH934">
        <f>IF(ISBLANK('Data Entry'!$|$934), "", 'Data Entry'!$|$934)</f>
      </c>
      <c r="BI934">
        <f>IF(ISBLANK('Data Entry'!$}$934), "", 'Data Entry'!$}$934)</f>
      </c>
      <c r="BJ934">
        <f>IF(ISBLANK('Data Entry'!$~$934), "", 'Data Entry'!$~$934)</f>
      </c>
      <c r="BK934">
        <f>IF(ISBLANK('Data Entry'!$$934), "", 'Data Entry'!$$934)</f>
      </c>
      <c r="BL934">
        <f>IF(ISBLANK('Data Entry'!$$934), "", 'Data Entry'!$$934)</f>
      </c>
      <c r="BM934">
        <f>IF(ISBLANK('Data Entry'!$$934), "", 'Data Entry'!$$934)</f>
      </c>
      <c r="BN934">
        <f>IF(ISBLANK('Data Entry'!$$934), "", 'Data Entry'!$$934)</f>
      </c>
      <c r="BO934">
        <f>IF(ISBLANK('Data Entry'!$$934), "", 'Data Entry'!$$934)</f>
      </c>
      <c r="BP934">
        <f>IF(ISBLANK('Data Entry'!$$934), "", 'Data Entry'!$$934)</f>
      </c>
      <c r="BQ934">
        <f>IF(ISBLANK('Data Entry'!$$934), "", 'Data Entry'!$$934)</f>
      </c>
      <c r="BR934">
        <f>IF(ISBLANK('Data Entry'!$$934), "", 'Data Entry'!$$934)</f>
      </c>
      <c r="BS934">
        <f>IF(ISBLANK('Data Entry'!$$934), "", 'Data Entry'!$$934)</f>
      </c>
      <c r="BT934">
        <f>IF(ISBLANK('Data Entry'!$$934), "", 'Data Entry'!$$934)</f>
      </c>
      <c r="BU934">
        <f>IF(ISBLANK('Data Entry'!$$934), "", 'Data Entry'!$$934)</f>
      </c>
      <c r="BV934">
        <f>IF(ISBLANK('Data Entry'!$$934), "", 'Data Entry'!$$934)</f>
      </c>
      <c r="BW934">
        <f>IF(ISBLANK('Data Entry'!$$934), "", 'Data Entry'!$$934)</f>
      </c>
      <c r="BX934">
        <f>IF(ISBLANK('Data Entry'!$$934), "", 'Data Entry'!$$934)</f>
      </c>
      <c r="BY934">
        <f>IF(ISBLANK('Data Entry'!$$934), "", 'Data Entry'!$$934)</f>
      </c>
      <c r="BZ934">
        <f>IF(ISBLANK('Data Entry'!$$934), "", 'Data Entry'!$$934)</f>
      </c>
      <c r="CA934">
        <f>IF(ISBLANK('Data Entry'!$$934), "", 'Data Entry'!$$934)</f>
      </c>
      <c r="CB934">
        <f>IF(ISBLANK('Data Entry'!$$934), "", 'Data Entry'!$$934)</f>
      </c>
      <c r="CC934">
        <f>IF(ISBLANK('Data Entry'!$$934), "", 'Data Entry'!$$934)</f>
      </c>
      <c r="CD934">
        <f>IF(ISBLANK('Data Entry'!$$934), "", 'Data Entry'!$$934)</f>
      </c>
      <c r="CE934">
        <f>IF(ISBLANK('Data Entry'!$$934), "", 'Data Entry'!$$934)</f>
      </c>
      <c r="CF934">
        <f>IF(ISBLANK('Data Entry'!$$934), "", 'Data Entry'!$$934)</f>
      </c>
      <c r="CG934">
        <f>IF(ISBLANK('Data Entry'!$$934), "", 'Data Entry'!$$934)</f>
      </c>
      <c r="CH934">
        <f>IF(ISBLANK('Data Entry'!$$934), "", 'Data Entry'!$$934)</f>
      </c>
      <c r="CI934">
        <f>IF(ISBLANK('Data Entry'!$$934), "", 'Data Entry'!$$934)</f>
      </c>
      <c r="CJ934">
        <f>IF(ISBLANK('Data Entry'!$$934), "", 'Data Entry'!$$934)</f>
      </c>
      <c r="CK934">
        <f>IF(ISBLANK('Data Entry'!$$934), "", 'Data Entry'!$$934)</f>
      </c>
      <c r="CL934">
        <f>IF(ISBLANK('Data Entry'!$$934), "", 'Data Entry'!$$934)</f>
      </c>
      <c r="CM934">
        <f>IF(ISBLANK('Data Entry'!$$934), "", 'Data Entry'!$$934)</f>
      </c>
      <c r="CN934">
        <f>IF(ISBLANK('Data Entry'!$$934), "", 'Data Entry'!$$934)</f>
      </c>
      <c r="CO934">
        <f>IF(ISBLANK('Data Entry'!$$934), "", 'Data Entry'!$$934)</f>
      </c>
      <c r="CP934">
        <f>IF(ISBLANK('Data Entry'!$$934), "", 'Data Entry'!$$934)</f>
      </c>
      <c r="CQ934">
        <f>IF(ISBLANK('Data Entry'!$$934), "", 'Data Entry'!$$934)</f>
      </c>
      <c r="CR934">
        <f>IF(ISBLANK('Data Entry'!$ $934), "", 'Data Entry'!$ $934)</f>
      </c>
      <c r="CS934">
        <f>IF(ISBLANK('Data Entry'!$¡$934), "", 'Data Entry'!$¡$934)</f>
      </c>
      <c r="CT934">
        <f>IF(ISBLANK('Data Entry'!$¢$934), "", 'Data Entry'!$¢$934)</f>
      </c>
      <c r="CU934">
        <f>IF(ISBLANK('Data Entry'!$£$934), "", 'Data Entry'!$£$934)</f>
      </c>
      <c r="CV934">
        <f>IF(ISBLANK('Data Entry'!$¤$934), "", 'Data Entry'!$¤$934)</f>
      </c>
      <c r="CW934">
        <f>IF(ISBLANK('Data Entry'!$¥$934), "", 'Data Entry'!$¥$934)</f>
      </c>
      <c r="CX934">
        <f>IF(ISBLANK('Data Entry'!$¦$934), "", 'Data Entry'!$¦$934)</f>
      </c>
      <c r="CY934">
        <f>IF(ISBLANK('Data Entry'!$§$934), "", 'Data Entry'!$§$934)</f>
      </c>
      <c r="CZ934">
        <f>IF(ISBLANK('Data Entry'!$¨$934), "", 'Data Entry'!$¨$934)</f>
      </c>
      <c r="DA934">
        <f>IF(ISBLANK('Data Entry'!$©$934), "", 'Data Entry'!$©$934)</f>
      </c>
      <c r="DB934">
        <f>IF(ISBLANK('Data Entry'!$ª$934), "", 'Data Entry'!$ª$934)</f>
      </c>
      <c r="DC934">
        <f>IF(ISBLANK('Data Entry'!$«$934), "", 'Data Entry'!$«$934)</f>
      </c>
      <c r="DD934">
        <f>IF(ISBLANK('Data Entry'!$¬$934), "", 'Data Entry'!$¬$934)</f>
      </c>
      <c r="DE934">
        <f>IF(ISBLANK('Data Entry'!$­$934), "", 'Data Entry'!$­$934)</f>
      </c>
      <c r="DF934">
        <f>IF(ISBLANK('Data Entry'!$®$934), "", 'Data Entry'!$®$934)</f>
      </c>
      <c r="DG934">
        <f>IF(ISBLANK('Data Entry'!$¯$934), "", 'Data Entry'!$¯$934)</f>
      </c>
      <c r="DH934">
        <f>IF(ISBLANK('Data Entry'!$°$934), "", 'Data Entry'!$°$934)</f>
      </c>
      <c r="DI934">
        <f>IF(ISBLANK('Data Entry'!$±$934), "", 'Data Entry'!$±$934)</f>
      </c>
      <c r="DJ934">
        <f>IF(ISBLANK('Data Entry'!$²$934), "", 'Data Entry'!$²$934)</f>
      </c>
      <c r="DK934">
        <f>IF(ISBLANK('Data Entry'!$³$934), "", 'Data Entry'!$³$934)</f>
      </c>
      <c r="DL934">
        <f>IF(ISBLANK('Data Entry'!$´$934), "", 'Data Entry'!$´$934)</f>
      </c>
      <c r="DM934">
        <f>IF(ISBLANK('Data Entry'!$µ$934), "", 'Data Entry'!$µ$934)</f>
      </c>
      <c r="DN934">
        <f>IF(ISBLANK('Data Entry'!$¶$934), "", 'Data Entry'!$¶$934)</f>
      </c>
      <c r="DO934">
        <f>IF(ISBLANK('Data Entry'!$·$934), "", 'Data Entry'!$·$934)</f>
      </c>
      <c r="DP934">
        <f>IF(ISBLANK('Data Entry'!$¸$934), "", 'Data Entry'!$¸$934)</f>
      </c>
      <c r="DQ934">
        <f>IF(ISBLANK('Data Entry'!$¹$934), "", 'Data Entry'!$¹$934)</f>
      </c>
      <c r="DR934">
        <f>IF(ISBLANK('Data Entry'!$º$934), "", 'Data Entry'!$º$934)</f>
      </c>
      <c r="DS934">
        <f>IF(ISBLANK('Data Entry'!$»$934), "", 'Data Entry'!$»$934)</f>
      </c>
      <c r="DT934">
        <f>IF(ISBLANK('Data Entry'!$¼$934), "", 'Data Entry'!$¼$934)</f>
      </c>
      <c r="DU934">
        <f>IF(ISBLANK('Data Entry'!$½$934), "", 'Data Entry'!$½$934)</f>
      </c>
      <c r="DV934">
        <f>IF(ISBLANK('Data Entry'!$¾$934), "", 'Data Entry'!$¾$934)</f>
      </c>
      <c r="DW934">
        <f>IF(ISBLANK('Data Entry'!$¿$934), "", 'Data Entry'!$¿$934)</f>
      </c>
      <c r="DX934">
        <f>IF(ISBLANK('Data Entry'!$À$934), "", 'Data Entry'!$À$934)</f>
      </c>
      <c r="DY934">
        <f>IF(ISBLANK('Data Entry'!$Á$934), "", 'Data Entry'!$Á$934)</f>
      </c>
      <c r="DZ934">
        <f>IF(ISBLANK('Data Entry'!$Â$934), "", 'Data Entry'!$Â$934)</f>
      </c>
      <c r="EA934">
        <f>IF(ISBLANK('Data Entry'!$Ã$934), "", 'Data Entry'!$Ã$934)</f>
      </c>
      <c r="EB934">
        <f>IF(ISBLANK('Data Entry'!$Ä$934), "", 'Data Entry'!$Ä$934)</f>
      </c>
      <c r="EC934">
        <f>IF(ISBLANK('Data Entry'!$Å$934), "", 'Data Entry'!$Å$934)</f>
      </c>
      <c r="ED934">
        <f>IF(ISBLANK('Data Entry'!$Æ$934), "", 'Data Entry'!$Æ$934)</f>
      </c>
      <c r="EE934">
        <f>IF(ISBLANK('Data Entry'!$Ç$934), "", 'Data Entry'!$Ç$934)</f>
      </c>
      <c r="EF934">
        <f>IF(ISBLANK('Data Entry'!$È$934), "", 'Data Entry'!$È$934)</f>
      </c>
      <c r="EG934">
        <f>IF(ISBLANK('Data Entry'!$É$934), "", 'Data Entry'!$É$934)</f>
      </c>
      <c r="EH934">
        <f>IF(ISBLANK('Data Entry'!$Ê$934), "", 'Data Entry'!$Ê$934)</f>
      </c>
      <c r="EI934">
        <f>IF(ISBLANK('Data Entry'!$Ë$934), "", 'Data Entry'!$Ë$934)</f>
      </c>
      <c r="EJ934">
        <f>IF(ISBLANK('Data Entry'!$Ì$934), "", 'Data Entry'!$Ì$934)</f>
      </c>
      <c r="EK934">
        <f>IF(ISBLANK('Data Entry'!$Í$934), "", 'Data Entry'!$Í$934)</f>
      </c>
      <c r="EL934">
        <f>IF(ISBLANK('Data Entry'!$Î$934), "", 'Data Entry'!$Î$934)</f>
      </c>
      <c r="EM934">
        <f>IF(ISBLANK('Data Entry'!$Ï$934), "", 'Data Entry'!$Ï$934)</f>
      </c>
      <c r="EN934">
        <f>IF(ISBLANK('Data Entry'!$Ð$934), "", 'Data Entry'!$Ð$934)</f>
      </c>
      <c r="EO934">
        <f>IF(ISBLANK('Data Entry'!$Ñ$934), "", 'Data Entry'!$Ñ$934)</f>
      </c>
      <c r="EP934">
        <f>IF(ISBLANK('Data Entry'!$Ò$934), "", 'Data Entry'!$Ò$934)</f>
      </c>
      <c r="EQ934">
        <f>IF(ISBLANK('Data Entry'!$Ó$934), "", 'Data Entry'!$Ó$934)</f>
      </c>
      <c r="ER934">
        <f>IF(ISBLANK('Data Entry'!$Ô$934), "", 'Data Entry'!$Ô$934)</f>
      </c>
      <c r="ES934">
        <f>IF(ISBLANK('Data Entry'!$Õ$934), "", 'Data Entry'!$Õ$934)</f>
      </c>
      <c r="ET934">
        <f>IF(ISBLANK('Data Entry'!$Ö$934), "", 'Data Entry'!$Ö$934)</f>
      </c>
      <c r="EU934">
        <f>IF(ISBLANK('Data Entry'!$×$934), "", 'Data Entry'!$×$934)</f>
      </c>
      <c r="EV934">
        <f>IF(ISBLANK('Data Entry'!$Ø$934), "", 'Data Entry'!$Ø$934)</f>
      </c>
      <c r="EW934">
        <f>IF(ISBLANK('Data Entry'!$Ù$934), "", 'Data Entry'!$Ù$934)</f>
      </c>
      <c r="EX934">
        <f>IF(ISBLANK('Data Entry'!$Ú$934), "", 'Data Entry'!$Ú$934)</f>
      </c>
      <c r="EY934">
        <f>IF(ISBLANK('Data Entry'!$Û$934), "", 'Data Entry'!$Û$934)</f>
      </c>
      <c r="EZ934">
        <f>IF(ISBLANK('Data Entry'!$Ü$934), "", 'Data Entry'!$Ü$934)</f>
      </c>
      <c r="FA934">
        <f>IF(ISBLANK('Data Entry'!$Ý$934), "", 'Data Entry'!$Ý$934)</f>
      </c>
      <c r="FB934">
        <f>IF(ISBLANK('Data Entry'!$Þ$934), "", 'Data Entry'!$Þ$934)</f>
      </c>
      <c r="FC934">
        <f>IF(ISBLANK('Data Entry'!$ß$934), "", 'Data Entry'!$ß$934)</f>
      </c>
      <c r="FD934">
        <f>IF(ISBLANK('Data Entry'!$à$934), "", 'Data Entry'!$à$934)</f>
      </c>
      <c r="FE934">
        <f>IF(ISBLANK('Data Entry'!$á$934), "", 'Data Entry'!$á$934)</f>
      </c>
      <c r="FF934">
        <f>IF(ISBLANK('Data Entry'!$â$934), "", 'Data Entry'!$â$934)</f>
      </c>
      <c r="FG934">
        <f>IF(ISBLANK('Data Entry'!$ã$934), "", 'Data Entry'!$ã$934)</f>
      </c>
      <c r="FH934">
        <f>IF(ISBLANK('Data Entry'!$ä$934), "", 'Data Entry'!$ä$934)</f>
      </c>
      <c r="FI934">
        <f>IF(ISBLANK('Data Entry'!$å$934), "", 'Data Entry'!$å$934)</f>
      </c>
      <c r="FJ934">
        <f>IF(ISBLANK('Data Entry'!$æ$934), "", 'Data Entry'!$æ$934)</f>
      </c>
      <c r="FK934">
        <f>IF(ISBLANK('Data Entry'!$ç$934), "", 'Data Entry'!$ç$934)</f>
      </c>
      <c r="FL934">
        <f>IF(ISBLANK('Data Entry'!$è$934), "", 'Data Entry'!$è$934)</f>
      </c>
      <c r="FM934">
        <f>IF(ISBLANK('Data Entry'!$é$934), "", 'Data Entry'!$é$934)</f>
      </c>
      <c r="FN934">
        <f>IF(ISBLANK('Data Entry'!$ê$934), "", 'Data Entry'!$ê$934)</f>
      </c>
      <c r="FO934">
        <f>IF(ISBLANK('Data Entry'!$ë$934), "", 'Data Entry'!$ë$934)</f>
      </c>
      <c r="FP934">
        <f>IF(ISBLANK('Data Entry'!$ì$934), "", 'Data Entry'!$ì$934)</f>
      </c>
      <c r="FQ934">
        <f>IF(ISBLANK('Data Entry'!$í$934), "", 'Data Entry'!$í$934)</f>
      </c>
      <c r="FR934">
        <f>IF(ISBLANK('Data Entry'!$î$934), "", 'Data Entry'!$î$934)</f>
      </c>
      <c r="FS934">
        <f>IF(ISBLANK('Data Entry'!$ï$934), "", 'Data Entry'!$ï$934)</f>
      </c>
      <c r="FT934">
        <f>IF(ISBLANK('Data Entry'!$ð$934), "", 'Data Entry'!$ð$934)</f>
      </c>
      <c r="FU934">
        <f>IF(ISBLANK('Data Entry'!$ñ$934), "", 'Data Entry'!$ñ$934)</f>
      </c>
      <c r="FV934">
        <f>IF(ISBLANK('Data Entry'!$ò$934), "", 'Data Entry'!$ò$934)</f>
      </c>
      <c r="FW934">
        <f>IF(ISBLANK('Data Entry'!$ó$934), "", 'Data Entry'!$ó$934)</f>
      </c>
      <c r="FX934">
        <f>IF(ISBLANK('Data Entry'!$ô$934), "", 'Data Entry'!$ô$934)</f>
      </c>
      <c r="FY934">
        <f>IF(ISBLANK('Data Entry'!$õ$934), "", 'Data Entry'!$õ$934)</f>
      </c>
      <c r="FZ934">
        <f>IF(ISBLANK('Data Entry'!$ö$934), "", 'Data Entry'!$ö$934)</f>
      </c>
      <c r="GA934">
        <f>IF(ISBLANK('Data Entry'!$÷$934), "", 'Data Entry'!$÷$934)</f>
      </c>
      <c r="GB934">
        <f>IF(ISBLANK('Data Entry'!$ø$934), "", 'Data Entry'!$ø$934)</f>
      </c>
      <c r="GC934">
        <f>IF(ISBLANK('Data Entry'!$ù$934), "", 'Data Entry'!$ù$934)</f>
      </c>
      <c r="GD934">
        <f>IF(ISBLANK('Data Entry'!$ú$934), "", 'Data Entry'!$ú$934)</f>
      </c>
      <c r="GE934">
        <f>IF(ISBLANK('Data Entry'!$û$934), "", 'Data Entry'!$û$934)</f>
      </c>
      <c r="GF934">
        <f>IF(ISBLANK('Data Entry'!$ü$934), "", 'Data Entry'!$ü$934)</f>
      </c>
      <c r="GG934">
        <f>IF(ISBLANK('Data Entry'!$ý$934), "", 'Data Entry'!$ý$934)</f>
      </c>
      <c r="GH934">
        <f>IF(ISBLANK('Data Entry'!$þ$934), "", 'Data Entry'!$þ$934)</f>
      </c>
      <c r="GI934">
        <f>IF(ISBLANK('Data Entry'!$ÿ$934), "", 'Data Entry'!$ÿ$934)</f>
      </c>
      <c r="GJ934">
        <f>IF(ISBLANK('Data Entry'!$Ā$934), "", 'Data Entry'!$Ā$934)</f>
      </c>
      <c r="GK934">
        <f>IF(ISBLANK('Data Entry'!$ā$934), "", 'Data Entry'!$ā$934)</f>
      </c>
      <c r="GL934">
        <f>IF(ISBLANK('Data Entry'!$Ă$934), "", 'Data Entry'!$Ă$934)</f>
      </c>
      <c r="GM934">
        <f>IF(ISBLANK('Data Entry'!$ă$934), "", 'Data Entry'!$ă$934)</f>
      </c>
      <c r="GN934">
        <f>IF(ISBLANK('Data Entry'!$Ą$934), "", 'Data Entry'!$Ą$934)</f>
      </c>
      <c r="GO934">
        <f>IF(ISBLANK('Data Entry'!$ą$934), "", 'Data Entry'!$ą$934)</f>
      </c>
      <c r="GP934">
        <f>IF(ISBLANK('Data Entry'!$Ć$934), "", 'Data Entry'!$Ć$934)</f>
      </c>
      <c r="GQ934">
        <f>IF(ISBLANK('Data Entry'!$ć$934), "", 'Data Entry'!$ć$934)</f>
      </c>
      <c r="GR934">
        <f>IF(ISBLANK('Data Entry'!$Ĉ$934), "", 'Data Entry'!$Ĉ$934)</f>
      </c>
      <c r="GS934">
        <f>IF(ISBLANK('Data Entry'!$ĉ$934), "", 'Data Entry'!$ĉ$934)</f>
      </c>
      <c r="GT934">
        <f>IF(ISBLANK('Data Entry'!$Ċ$934), "", 'Data Entry'!$Ċ$934)</f>
      </c>
      <c r="GU934">
        <f>IF(ISBLANK('Data Entry'!$ċ$934), "", 'Data Entry'!$ċ$934)</f>
      </c>
      <c r="GV934">
        <f>IF(ISBLANK('Data Entry'!$Č$934), "", 'Data Entry'!$Č$934)</f>
      </c>
      <c r="GW934">
        <f>IF(ISBLANK('Data Entry'!$č$934), "", 'Data Entry'!$č$934)</f>
      </c>
      <c r="GX934">
        <f>IF(ISBLANK('Data Entry'!$Ď$934), "", 'Data Entry'!$Ď$934)</f>
      </c>
      <c r="GY934">
        <f>IF(ISBLANK('Data Entry'!$ď$934), "", 'Data Entry'!$ď$934)</f>
      </c>
      <c r="GZ934">
        <f>IF(ISBLANK('Data Entry'!$Đ$934), "", 'Data Entry'!$Đ$934)</f>
      </c>
      <c r="HA934">
        <f>IF(ISBLANK('Data Entry'!$đ$934), "", 'Data Entry'!$đ$934)</f>
      </c>
      <c r="HB934">
        <f>IF(ISBLANK('Data Entry'!$Ē$934), "", 'Data Entry'!$Ē$934)</f>
      </c>
      <c r="HC934">
        <f>IF(ISBLANK('Data Entry'!$ē$934), "", 'Data Entry'!$ē$934)</f>
      </c>
      <c r="HD934">
        <f>IF(ISBLANK('Data Entry'!$Ĕ$934), "", 'Data Entry'!$Ĕ$934)</f>
      </c>
      <c r="HE934">
        <f>IF(ISBLANK('Data Entry'!$ĕ$934), "", 'Data Entry'!$ĕ$934)</f>
      </c>
      <c r="HF934">
        <f>IF(ISBLANK('Data Entry'!$Ė$934), "", 'Data Entry'!$Ė$934)</f>
      </c>
      <c r="HG934">
        <f>IF(ISBLANK('Data Entry'!$ė$934), "", 'Data Entry'!$ė$934)</f>
      </c>
      <c r="HH934">
        <f>IF(ISBLANK('Data Entry'!$Ę$934), "", 'Data Entry'!$Ę$934)</f>
      </c>
      <c r="HI934">
        <f>IF(ISBLANK('Data Entry'!$ę$934), "", 'Data Entry'!$ę$934)</f>
      </c>
      <c r="HJ934">
        <f>IF(ISBLANK('Data Entry'!$Ě$934), "", 'Data Entry'!$Ě$934)</f>
      </c>
      <c r="HK934">
        <f>IF(ISBLANK('Data Entry'!$ě$934), "", 'Data Entry'!$ě$934)</f>
      </c>
      <c r="HL934">
        <f>IF(ISBLANK('Data Entry'!$Ĝ$934), "", 'Data Entry'!$Ĝ$934)</f>
      </c>
      <c r="HM934">
        <f>IF(ISBLANK('Data Entry'!$ĝ$934), "", 'Data Entry'!$ĝ$934)</f>
      </c>
      <c r="HN934">
        <f>IF(ISBLANK('Data Entry'!$Ğ$934), "", 'Data Entry'!$Ğ$934)</f>
      </c>
      <c r="HO934">
        <f>IF(ISBLANK('Data Entry'!$ğ$934), "", 'Data Entry'!$ğ$934)</f>
      </c>
      <c r="HP934">
        <f>IF(ISBLANK('Data Entry'!$Ġ$934), "", 'Data Entry'!$Ġ$934)</f>
      </c>
      <c r="HQ934">
        <f>IF(ISBLANK('Data Entry'!$ġ$934), "", 'Data Entry'!$ġ$934)</f>
      </c>
      <c r="HR934">
        <f>IF(ISBLANK('Data Entry'!$Ģ$934), "", 'Data Entry'!$Ģ$934)</f>
      </c>
      <c r="HS934">
        <f>IF(ISBLANK('Data Entry'!$ģ$934), "", 'Data Entry'!$ģ$934)</f>
      </c>
      <c r="HT934">
        <f>IF(ISBLANK('Data Entry'!$Ĥ$934), "", 'Data Entry'!$Ĥ$934)</f>
      </c>
      <c r="HU934">
        <f>IF(ISBLANK('Data Entry'!$ĥ$934), "", 'Data Entry'!$ĥ$934)</f>
      </c>
      <c r="HV934">
        <f>IF(ISBLANK('Data Entry'!$Ħ$934), "", 'Data Entry'!$Ħ$934)</f>
      </c>
      <c r="HW934">
        <f>IF(ISBLANK('Data Entry'!$ħ$934), "", 'Data Entry'!$ħ$934)</f>
      </c>
      <c r="HX934">
        <f>IF(ISBLANK('Data Entry'!$Ĩ$934), "", 'Data Entry'!$Ĩ$934)</f>
      </c>
      <c r="HY934">
        <f>IF(ISBLANK('Data Entry'!$ĩ$934), "", 'Data Entry'!$ĩ$934)</f>
      </c>
      <c r="HZ934">
        <f>IF(ISBLANK('Data Entry'!$Ī$934), "", 'Data Entry'!$Ī$934)</f>
      </c>
      <c r="IA934">
        <f>IF(ISBLANK('Data Entry'!$ī$934), "", 'Data Entry'!$ī$934)</f>
      </c>
      <c r="IB934">
        <f>IF(ISBLANK('Data Entry'!$Ĭ$934), "", 'Data Entry'!$Ĭ$934)</f>
      </c>
      <c r="IC934">
        <f>IF(ISBLANK('Data Entry'!$ĭ$934), "", 'Data Entry'!$ĭ$934)</f>
      </c>
      <c r="ID934">
        <f>IF(ISBLANK('Data Entry'!$Į$934), "", 'Data Entry'!$Į$934)</f>
      </c>
      <c r="IE934">
        <f>IF(ISBLANK('Data Entry'!$į$934), "", 'Data Entry'!$į$934)</f>
      </c>
      <c r="IF934">
        <f>IF(ISBLANK('Data Entry'!$İ$934), "", 'Data Entry'!$İ$934)</f>
      </c>
      <c r="IG934">
        <f>IF(ISBLANK('Data Entry'!$ı$934), "", 'Data Entry'!$ı$934)</f>
      </c>
      <c r="IH934">
        <f>IF(ISBLANK('Data Entry'!$Ĳ$934), "", 'Data Entry'!$Ĳ$934)</f>
      </c>
      <c r="II934">
        <f>IF(ISBLANK('Data Entry'!$ĳ$934), "", 'Data Entry'!$ĳ$934)</f>
      </c>
      <c r="IJ934">
        <f>IF(ISBLANK('Data Entry'!$Ĵ$934), "", 'Data Entry'!$Ĵ$934)</f>
      </c>
      <c r="IK934">
        <f>IF(ISBLANK('Data Entry'!$ĵ$934), "", 'Data Entry'!$ĵ$934)</f>
      </c>
      <c r="IL934">
        <f>IF(ISBLANK('Data Entry'!$Ķ$934), "", 'Data Entry'!$Ķ$934)</f>
      </c>
      <c r="IM934">
        <f>IF(ISBLANK('Data Entry'!$ķ$934), "", 'Data Entry'!$ķ$934)</f>
      </c>
      <c r="IN934">
        <f>IF(ISBLANK('Data Entry'!$ĸ$934), "", 'Data Entry'!$ĸ$934)</f>
      </c>
      <c r="IO934">
        <f>IF(ISBLANK('Data Entry'!$Ĺ$934), "", 'Data Entry'!$Ĺ$934)</f>
      </c>
      <c r="IP934">
        <f>IF(ISBLANK('Data Entry'!$ĺ$934), "", 'Data Entry'!$ĺ$934)</f>
      </c>
      <c r="IQ934">
        <f>IF(ISBLANK('Data Entry'!$Ļ$934), "", 'Data Entry'!$Ļ$934)</f>
      </c>
      <c r="IR934">
        <f>IF(ISBLANK('Data Entry'!$ļ$934), "", 'Data Entry'!$ļ$934)</f>
      </c>
      <c r="IS934">
        <f>IF(ISBLANK('Data Entry'!$Ľ$934), "", 'Data Entry'!$Ľ$934)</f>
      </c>
      <c r="IT934">
        <f>IF(ISBLANK('Data Entry'!$ľ$934), "", 'Data Entry'!$ľ$934)</f>
      </c>
    </row>
    <row r="935" spans="1:254" x14ac:dyDescent="0.25">
      <c r="A935">
        <f>IF(ISBLANK('Data Entry'!$A$935), "", 'Data Entry'!$A$935)</f>
      </c>
      <c r="B935">
        <f>IF(ISBLANK('Data Entry'!$B$935), "", 'Data Entry'!$B$935)</f>
      </c>
      <c r="C935">
        <f>IF(ISBLANK('Data Entry'!$C$935), "", 'Data Entry'!$C$935)</f>
      </c>
      <c r="D935">
        <f>IF(ISBLANK('Data Entry'!$D$935), "", 'Data Entry'!$D$935)</f>
      </c>
      <c r="E935">
        <f>IF(ISBLANK('Data Entry'!$E$935), "", 'Data Entry'!$E$935)</f>
      </c>
      <c r="F935">
        <f>IF(ISBLANK('Data Entry'!$F$935), "", 'Data Entry'!$F$935)</f>
      </c>
      <c r="G935">
        <f>IF(ISBLANK('Data Entry'!$G$935), "", 'Data Entry'!$G$935)</f>
      </c>
      <c r="H935">
        <f>IF(ISBLANK('Data Entry'!$H$935), "", 'Data Entry'!$H$935)</f>
      </c>
      <c r="I935">
        <f>IF(ISBLANK('Data Entry'!$I$935), "", 'Data Entry'!$I$935)</f>
      </c>
      <c r="J935">
        <f>IF(ISBLANK('Data Entry'!$J$935), "", 'Data Entry'!$J$935)</f>
      </c>
      <c r="K935">
        <f>IF(ISBLANK('Data Entry'!$K$935), "", 'Data Entry'!$K$935)</f>
      </c>
      <c r="L935">
        <f>IF(ISBLANK('Data Entry'!$L$935), "", 'Data Entry'!$L$935)</f>
      </c>
      <c r="M935">
        <f>IF(ISBLANK('Data Entry'!$M$935), "", 'Data Entry'!$M$935)</f>
      </c>
      <c r="N935">
        <f>IF(ISBLANK('Data Entry'!$N$935), "", 'Data Entry'!$N$935)</f>
      </c>
      <c r="O935">
        <f>IF(ISBLANK('Data Entry'!$O$935), "", 'Data Entry'!$O$935)</f>
      </c>
      <c r="P935">
        <f>IF(ISBLANK('Data Entry'!$P$935), "", 'Data Entry'!$P$935)</f>
      </c>
      <c r="Q935">
        <f>IF(ISBLANK('Data Entry'!$Q$935), "", 'Data Entry'!$Q$935)</f>
      </c>
      <c r="R935">
        <f>IF(ISBLANK('Data Entry'!$R$935), "", 'Data Entry'!$R$935)</f>
      </c>
      <c r="S935">
        <f>IF(ISBLANK('Data Entry'!$S$935), "", 'Data Entry'!$S$935)</f>
      </c>
      <c r="T935">
        <f>IF(ISBLANK('Data Entry'!$T$935), "", 'Data Entry'!$T$935)</f>
      </c>
      <c r="U935">
        <f>IF(ISBLANK('Data Entry'!$U$935), "", 'Data Entry'!$U$935)</f>
      </c>
      <c r="V935">
        <f>IF(ISBLANK('Data Entry'!$V$935), "", 'Data Entry'!$V$935)</f>
      </c>
      <c r="W935">
        <f>IF(ISBLANK('Data Entry'!$W$935), "", 'Data Entry'!$W$935)</f>
      </c>
      <c r="X935">
        <f>IF(ISBLANK('Data Entry'!$X$935), "", 'Data Entry'!$X$935)</f>
      </c>
      <c r="Y935">
        <f>IF(ISBLANK('Data Entry'!$Y$935), "", 'Data Entry'!$Y$935)</f>
      </c>
      <c r="Z935">
        <f>IF(ISBLANK('Data Entry'!$Z$935), "", 'Data Entry'!$Z$935)</f>
      </c>
      <c r="AA935">
        <f>IF(ISBLANK('Data Entry'!$[$935), "", 'Data Entry'!$[$935)</f>
      </c>
      <c r="AB935">
        <f>IF(ISBLANK('Data Entry'!$\$935), "", 'Data Entry'!$\$935)</f>
      </c>
      <c r="AC935">
        <f>IF(ISBLANK('Data Entry'!$]$935), "", 'Data Entry'!$]$935)</f>
      </c>
      <c r="AD935">
        <f>IF(ISBLANK('Data Entry'!$^$935), "", 'Data Entry'!$^$935)</f>
      </c>
      <c r="AE935">
        <f>IF(ISBLANK('Data Entry'!$_$935), "", 'Data Entry'!$_$935)</f>
      </c>
      <c r="AF935">
        <f>IF(ISBLANK('Data Entry'!$`$935), "", 'Data Entry'!$`$935)</f>
      </c>
      <c r="AG935">
        <f>IF(ISBLANK('Data Entry'!$a$935), "", 'Data Entry'!$a$935)</f>
      </c>
      <c r="AH935">
        <f>IF(ISBLANK('Data Entry'!$b$935), "", 'Data Entry'!$b$935)</f>
      </c>
      <c r="AI935">
        <f>IF(ISBLANK('Data Entry'!$c$935), "", 'Data Entry'!$c$935)</f>
      </c>
      <c r="AJ935">
        <f>IF(ISBLANK('Data Entry'!$d$935), "", 'Data Entry'!$d$935)</f>
      </c>
      <c r="AK935">
        <f>IF(ISBLANK('Data Entry'!$e$935), "", 'Data Entry'!$e$935)</f>
      </c>
      <c r="AL935">
        <f>IF(ISBLANK('Data Entry'!$f$935), "", 'Data Entry'!$f$935)</f>
      </c>
      <c r="AM935">
        <f>IF(ISBLANK('Data Entry'!$g$935), "", 'Data Entry'!$g$935)</f>
      </c>
      <c r="AN935">
        <f>IF(ISBLANK('Data Entry'!$h$935), "", 'Data Entry'!$h$935)</f>
      </c>
      <c r="AO935">
        <f>IF(ISBLANK('Data Entry'!$i$935), "", 'Data Entry'!$i$935)</f>
      </c>
      <c r="AP935">
        <f>IF(ISBLANK('Data Entry'!$j$935), "", 'Data Entry'!$j$935)</f>
      </c>
      <c r="AQ935">
        <f>IF(ISBLANK('Data Entry'!$k$935), "", 'Data Entry'!$k$935)</f>
      </c>
      <c r="AR935">
        <f>IF(ISBLANK('Data Entry'!$l$935), "", 'Data Entry'!$l$935)</f>
      </c>
      <c r="AS935">
        <f>IF(ISBLANK('Data Entry'!$m$935), "", 'Data Entry'!$m$935)</f>
      </c>
      <c r="AT935">
        <f>IF(ISBLANK('Data Entry'!$n$935), "", 'Data Entry'!$n$935)</f>
      </c>
      <c r="AU935">
        <f>IF(ISBLANK('Data Entry'!$o$935), "", 'Data Entry'!$o$935)</f>
      </c>
      <c r="AV935">
        <f>IF(ISBLANK('Data Entry'!$p$935), "", 'Data Entry'!$p$935)</f>
      </c>
      <c r="AW935">
        <f>IF(ISBLANK('Data Entry'!$q$935), "", 'Data Entry'!$q$935)</f>
      </c>
      <c r="AX935">
        <f>IF(ISBLANK('Data Entry'!$r$935), "", 'Data Entry'!$r$935)</f>
      </c>
      <c r="AY935">
        <f>IF(ISBLANK('Data Entry'!$s$935), "", 'Data Entry'!$s$935)</f>
      </c>
      <c r="AZ935">
        <f>IF(ISBLANK('Data Entry'!$t$935), "", 'Data Entry'!$t$935)</f>
      </c>
      <c r="BA935">
        <f>IF(ISBLANK('Data Entry'!$u$935), "", 'Data Entry'!$u$935)</f>
      </c>
      <c r="BB935">
        <f>IF(ISBLANK('Data Entry'!$v$935), "", 'Data Entry'!$v$935)</f>
      </c>
      <c r="BC935">
        <f>IF(ISBLANK('Data Entry'!$w$935), "", 'Data Entry'!$w$935)</f>
      </c>
      <c r="BD935">
        <f>IF(ISBLANK('Data Entry'!$x$935), "", 'Data Entry'!$x$935)</f>
      </c>
      <c r="BE935">
        <f>IF(ISBLANK('Data Entry'!$y$935), "", 'Data Entry'!$y$935)</f>
      </c>
      <c r="BF935">
        <f>IF(ISBLANK('Data Entry'!$z$935), "", 'Data Entry'!$z$935)</f>
      </c>
      <c r="BG935">
        <f>IF(ISBLANK('Data Entry'!${$935), "", 'Data Entry'!${$935)</f>
      </c>
      <c r="BH935">
        <f>IF(ISBLANK('Data Entry'!$|$935), "", 'Data Entry'!$|$935)</f>
      </c>
      <c r="BI935">
        <f>IF(ISBLANK('Data Entry'!$}$935), "", 'Data Entry'!$}$935)</f>
      </c>
      <c r="BJ935">
        <f>IF(ISBLANK('Data Entry'!$~$935), "", 'Data Entry'!$~$935)</f>
      </c>
      <c r="BK935">
        <f>IF(ISBLANK('Data Entry'!$$935), "", 'Data Entry'!$$935)</f>
      </c>
      <c r="BL935">
        <f>IF(ISBLANK('Data Entry'!$$935), "", 'Data Entry'!$$935)</f>
      </c>
      <c r="BM935">
        <f>IF(ISBLANK('Data Entry'!$$935), "", 'Data Entry'!$$935)</f>
      </c>
      <c r="BN935">
        <f>IF(ISBLANK('Data Entry'!$$935), "", 'Data Entry'!$$935)</f>
      </c>
      <c r="BO935">
        <f>IF(ISBLANK('Data Entry'!$$935), "", 'Data Entry'!$$935)</f>
      </c>
      <c r="BP935">
        <f>IF(ISBLANK('Data Entry'!$$935), "", 'Data Entry'!$$935)</f>
      </c>
      <c r="BQ935">
        <f>IF(ISBLANK('Data Entry'!$$935), "", 'Data Entry'!$$935)</f>
      </c>
      <c r="BR935">
        <f>IF(ISBLANK('Data Entry'!$$935), "", 'Data Entry'!$$935)</f>
      </c>
      <c r="BS935">
        <f>IF(ISBLANK('Data Entry'!$$935), "", 'Data Entry'!$$935)</f>
      </c>
      <c r="BT935">
        <f>IF(ISBLANK('Data Entry'!$$935), "", 'Data Entry'!$$935)</f>
      </c>
      <c r="BU935">
        <f>IF(ISBLANK('Data Entry'!$$935), "", 'Data Entry'!$$935)</f>
      </c>
      <c r="BV935">
        <f>IF(ISBLANK('Data Entry'!$$935), "", 'Data Entry'!$$935)</f>
      </c>
      <c r="BW935">
        <f>IF(ISBLANK('Data Entry'!$$935), "", 'Data Entry'!$$935)</f>
      </c>
      <c r="BX935">
        <f>IF(ISBLANK('Data Entry'!$$935), "", 'Data Entry'!$$935)</f>
      </c>
      <c r="BY935">
        <f>IF(ISBLANK('Data Entry'!$$935), "", 'Data Entry'!$$935)</f>
      </c>
      <c r="BZ935">
        <f>IF(ISBLANK('Data Entry'!$$935), "", 'Data Entry'!$$935)</f>
      </c>
      <c r="CA935">
        <f>IF(ISBLANK('Data Entry'!$$935), "", 'Data Entry'!$$935)</f>
      </c>
      <c r="CB935">
        <f>IF(ISBLANK('Data Entry'!$$935), "", 'Data Entry'!$$935)</f>
      </c>
      <c r="CC935">
        <f>IF(ISBLANK('Data Entry'!$$935), "", 'Data Entry'!$$935)</f>
      </c>
      <c r="CD935">
        <f>IF(ISBLANK('Data Entry'!$$935), "", 'Data Entry'!$$935)</f>
      </c>
      <c r="CE935">
        <f>IF(ISBLANK('Data Entry'!$$935), "", 'Data Entry'!$$935)</f>
      </c>
      <c r="CF935">
        <f>IF(ISBLANK('Data Entry'!$$935), "", 'Data Entry'!$$935)</f>
      </c>
      <c r="CG935">
        <f>IF(ISBLANK('Data Entry'!$$935), "", 'Data Entry'!$$935)</f>
      </c>
      <c r="CH935">
        <f>IF(ISBLANK('Data Entry'!$$935), "", 'Data Entry'!$$935)</f>
      </c>
      <c r="CI935">
        <f>IF(ISBLANK('Data Entry'!$$935), "", 'Data Entry'!$$935)</f>
      </c>
      <c r="CJ935">
        <f>IF(ISBLANK('Data Entry'!$$935), "", 'Data Entry'!$$935)</f>
      </c>
      <c r="CK935">
        <f>IF(ISBLANK('Data Entry'!$$935), "", 'Data Entry'!$$935)</f>
      </c>
      <c r="CL935">
        <f>IF(ISBLANK('Data Entry'!$$935), "", 'Data Entry'!$$935)</f>
      </c>
      <c r="CM935">
        <f>IF(ISBLANK('Data Entry'!$$935), "", 'Data Entry'!$$935)</f>
      </c>
      <c r="CN935">
        <f>IF(ISBLANK('Data Entry'!$$935), "", 'Data Entry'!$$935)</f>
      </c>
      <c r="CO935">
        <f>IF(ISBLANK('Data Entry'!$$935), "", 'Data Entry'!$$935)</f>
      </c>
      <c r="CP935">
        <f>IF(ISBLANK('Data Entry'!$$935), "", 'Data Entry'!$$935)</f>
      </c>
      <c r="CQ935">
        <f>IF(ISBLANK('Data Entry'!$$935), "", 'Data Entry'!$$935)</f>
      </c>
      <c r="CR935">
        <f>IF(ISBLANK('Data Entry'!$ $935), "", 'Data Entry'!$ $935)</f>
      </c>
      <c r="CS935">
        <f>IF(ISBLANK('Data Entry'!$¡$935), "", 'Data Entry'!$¡$935)</f>
      </c>
      <c r="CT935">
        <f>IF(ISBLANK('Data Entry'!$¢$935), "", 'Data Entry'!$¢$935)</f>
      </c>
      <c r="CU935">
        <f>IF(ISBLANK('Data Entry'!$£$935), "", 'Data Entry'!$£$935)</f>
      </c>
      <c r="CV935">
        <f>IF(ISBLANK('Data Entry'!$¤$935), "", 'Data Entry'!$¤$935)</f>
      </c>
      <c r="CW935">
        <f>IF(ISBLANK('Data Entry'!$¥$935), "", 'Data Entry'!$¥$935)</f>
      </c>
      <c r="CX935">
        <f>IF(ISBLANK('Data Entry'!$¦$935), "", 'Data Entry'!$¦$935)</f>
      </c>
      <c r="CY935">
        <f>IF(ISBLANK('Data Entry'!$§$935), "", 'Data Entry'!$§$935)</f>
      </c>
      <c r="CZ935">
        <f>IF(ISBLANK('Data Entry'!$¨$935), "", 'Data Entry'!$¨$935)</f>
      </c>
      <c r="DA935">
        <f>IF(ISBLANK('Data Entry'!$©$935), "", 'Data Entry'!$©$935)</f>
      </c>
      <c r="DB935">
        <f>IF(ISBLANK('Data Entry'!$ª$935), "", 'Data Entry'!$ª$935)</f>
      </c>
      <c r="DC935">
        <f>IF(ISBLANK('Data Entry'!$«$935), "", 'Data Entry'!$«$935)</f>
      </c>
      <c r="DD935">
        <f>IF(ISBLANK('Data Entry'!$¬$935), "", 'Data Entry'!$¬$935)</f>
      </c>
      <c r="DE935">
        <f>IF(ISBLANK('Data Entry'!$­$935), "", 'Data Entry'!$­$935)</f>
      </c>
      <c r="DF935">
        <f>IF(ISBLANK('Data Entry'!$®$935), "", 'Data Entry'!$®$935)</f>
      </c>
      <c r="DG935">
        <f>IF(ISBLANK('Data Entry'!$¯$935), "", 'Data Entry'!$¯$935)</f>
      </c>
      <c r="DH935">
        <f>IF(ISBLANK('Data Entry'!$°$935), "", 'Data Entry'!$°$935)</f>
      </c>
      <c r="DI935">
        <f>IF(ISBLANK('Data Entry'!$±$935), "", 'Data Entry'!$±$935)</f>
      </c>
      <c r="DJ935">
        <f>IF(ISBLANK('Data Entry'!$²$935), "", 'Data Entry'!$²$935)</f>
      </c>
      <c r="DK935">
        <f>IF(ISBLANK('Data Entry'!$³$935), "", 'Data Entry'!$³$935)</f>
      </c>
      <c r="DL935">
        <f>IF(ISBLANK('Data Entry'!$´$935), "", 'Data Entry'!$´$935)</f>
      </c>
      <c r="DM935">
        <f>IF(ISBLANK('Data Entry'!$µ$935), "", 'Data Entry'!$µ$935)</f>
      </c>
      <c r="DN935">
        <f>IF(ISBLANK('Data Entry'!$¶$935), "", 'Data Entry'!$¶$935)</f>
      </c>
      <c r="DO935">
        <f>IF(ISBLANK('Data Entry'!$·$935), "", 'Data Entry'!$·$935)</f>
      </c>
      <c r="DP935">
        <f>IF(ISBLANK('Data Entry'!$¸$935), "", 'Data Entry'!$¸$935)</f>
      </c>
      <c r="DQ935">
        <f>IF(ISBLANK('Data Entry'!$¹$935), "", 'Data Entry'!$¹$935)</f>
      </c>
      <c r="DR935">
        <f>IF(ISBLANK('Data Entry'!$º$935), "", 'Data Entry'!$º$935)</f>
      </c>
      <c r="DS935">
        <f>IF(ISBLANK('Data Entry'!$»$935), "", 'Data Entry'!$»$935)</f>
      </c>
      <c r="DT935">
        <f>IF(ISBLANK('Data Entry'!$¼$935), "", 'Data Entry'!$¼$935)</f>
      </c>
      <c r="DU935">
        <f>IF(ISBLANK('Data Entry'!$½$935), "", 'Data Entry'!$½$935)</f>
      </c>
      <c r="DV935">
        <f>IF(ISBLANK('Data Entry'!$¾$935), "", 'Data Entry'!$¾$935)</f>
      </c>
      <c r="DW935">
        <f>IF(ISBLANK('Data Entry'!$¿$935), "", 'Data Entry'!$¿$935)</f>
      </c>
      <c r="DX935">
        <f>IF(ISBLANK('Data Entry'!$À$935), "", 'Data Entry'!$À$935)</f>
      </c>
      <c r="DY935">
        <f>IF(ISBLANK('Data Entry'!$Á$935), "", 'Data Entry'!$Á$935)</f>
      </c>
      <c r="DZ935">
        <f>IF(ISBLANK('Data Entry'!$Â$935), "", 'Data Entry'!$Â$935)</f>
      </c>
      <c r="EA935">
        <f>IF(ISBLANK('Data Entry'!$Ã$935), "", 'Data Entry'!$Ã$935)</f>
      </c>
      <c r="EB935">
        <f>IF(ISBLANK('Data Entry'!$Ä$935), "", 'Data Entry'!$Ä$935)</f>
      </c>
      <c r="EC935">
        <f>IF(ISBLANK('Data Entry'!$Å$935), "", 'Data Entry'!$Å$935)</f>
      </c>
      <c r="ED935">
        <f>IF(ISBLANK('Data Entry'!$Æ$935), "", 'Data Entry'!$Æ$935)</f>
      </c>
      <c r="EE935">
        <f>IF(ISBLANK('Data Entry'!$Ç$935), "", 'Data Entry'!$Ç$935)</f>
      </c>
      <c r="EF935">
        <f>IF(ISBLANK('Data Entry'!$È$935), "", 'Data Entry'!$È$935)</f>
      </c>
      <c r="EG935">
        <f>IF(ISBLANK('Data Entry'!$É$935), "", 'Data Entry'!$É$935)</f>
      </c>
      <c r="EH935">
        <f>IF(ISBLANK('Data Entry'!$Ê$935), "", 'Data Entry'!$Ê$935)</f>
      </c>
      <c r="EI935">
        <f>IF(ISBLANK('Data Entry'!$Ë$935), "", 'Data Entry'!$Ë$935)</f>
      </c>
      <c r="EJ935">
        <f>IF(ISBLANK('Data Entry'!$Ì$935), "", 'Data Entry'!$Ì$935)</f>
      </c>
      <c r="EK935">
        <f>IF(ISBLANK('Data Entry'!$Í$935), "", 'Data Entry'!$Í$935)</f>
      </c>
      <c r="EL935">
        <f>IF(ISBLANK('Data Entry'!$Î$935), "", 'Data Entry'!$Î$935)</f>
      </c>
      <c r="EM935">
        <f>IF(ISBLANK('Data Entry'!$Ï$935), "", 'Data Entry'!$Ï$935)</f>
      </c>
      <c r="EN935">
        <f>IF(ISBLANK('Data Entry'!$Ð$935), "", 'Data Entry'!$Ð$935)</f>
      </c>
      <c r="EO935">
        <f>IF(ISBLANK('Data Entry'!$Ñ$935), "", 'Data Entry'!$Ñ$935)</f>
      </c>
      <c r="EP935">
        <f>IF(ISBLANK('Data Entry'!$Ò$935), "", 'Data Entry'!$Ò$935)</f>
      </c>
      <c r="EQ935">
        <f>IF(ISBLANK('Data Entry'!$Ó$935), "", 'Data Entry'!$Ó$935)</f>
      </c>
      <c r="ER935">
        <f>IF(ISBLANK('Data Entry'!$Ô$935), "", 'Data Entry'!$Ô$935)</f>
      </c>
      <c r="ES935">
        <f>IF(ISBLANK('Data Entry'!$Õ$935), "", 'Data Entry'!$Õ$935)</f>
      </c>
      <c r="ET935">
        <f>IF(ISBLANK('Data Entry'!$Ö$935), "", 'Data Entry'!$Ö$935)</f>
      </c>
      <c r="EU935">
        <f>IF(ISBLANK('Data Entry'!$×$935), "", 'Data Entry'!$×$935)</f>
      </c>
      <c r="EV935">
        <f>IF(ISBLANK('Data Entry'!$Ø$935), "", 'Data Entry'!$Ø$935)</f>
      </c>
      <c r="EW935">
        <f>IF(ISBLANK('Data Entry'!$Ù$935), "", 'Data Entry'!$Ù$935)</f>
      </c>
      <c r="EX935">
        <f>IF(ISBLANK('Data Entry'!$Ú$935), "", 'Data Entry'!$Ú$935)</f>
      </c>
      <c r="EY935">
        <f>IF(ISBLANK('Data Entry'!$Û$935), "", 'Data Entry'!$Û$935)</f>
      </c>
      <c r="EZ935">
        <f>IF(ISBLANK('Data Entry'!$Ü$935), "", 'Data Entry'!$Ü$935)</f>
      </c>
      <c r="FA935">
        <f>IF(ISBLANK('Data Entry'!$Ý$935), "", 'Data Entry'!$Ý$935)</f>
      </c>
      <c r="FB935">
        <f>IF(ISBLANK('Data Entry'!$Þ$935), "", 'Data Entry'!$Þ$935)</f>
      </c>
      <c r="FC935">
        <f>IF(ISBLANK('Data Entry'!$ß$935), "", 'Data Entry'!$ß$935)</f>
      </c>
      <c r="FD935">
        <f>IF(ISBLANK('Data Entry'!$à$935), "", 'Data Entry'!$à$935)</f>
      </c>
      <c r="FE935">
        <f>IF(ISBLANK('Data Entry'!$á$935), "", 'Data Entry'!$á$935)</f>
      </c>
      <c r="FF935">
        <f>IF(ISBLANK('Data Entry'!$â$935), "", 'Data Entry'!$â$935)</f>
      </c>
      <c r="FG935">
        <f>IF(ISBLANK('Data Entry'!$ã$935), "", 'Data Entry'!$ã$935)</f>
      </c>
      <c r="FH935">
        <f>IF(ISBLANK('Data Entry'!$ä$935), "", 'Data Entry'!$ä$935)</f>
      </c>
      <c r="FI935">
        <f>IF(ISBLANK('Data Entry'!$å$935), "", 'Data Entry'!$å$935)</f>
      </c>
      <c r="FJ935">
        <f>IF(ISBLANK('Data Entry'!$æ$935), "", 'Data Entry'!$æ$935)</f>
      </c>
      <c r="FK935">
        <f>IF(ISBLANK('Data Entry'!$ç$935), "", 'Data Entry'!$ç$935)</f>
      </c>
      <c r="FL935">
        <f>IF(ISBLANK('Data Entry'!$è$935), "", 'Data Entry'!$è$935)</f>
      </c>
      <c r="FM935">
        <f>IF(ISBLANK('Data Entry'!$é$935), "", 'Data Entry'!$é$935)</f>
      </c>
      <c r="FN935">
        <f>IF(ISBLANK('Data Entry'!$ê$935), "", 'Data Entry'!$ê$935)</f>
      </c>
      <c r="FO935">
        <f>IF(ISBLANK('Data Entry'!$ë$935), "", 'Data Entry'!$ë$935)</f>
      </c>
      <c r="FP935">
        <f>IF(ISBLANK('Data Entry'!$ì$935), "", 'Data Entry'!$ì$935)</f>
      </c>
      <c r="FQ935">
        <f>IF(ISBLANK('Data Entry'!$í$935), "", 'Data Entry'!$í$935)</f>
      </c>
      <c r="FR935">
        <f>IF(ISBLANK('Data Entry'!$î$935), "", 'Data Entry'!$î$935)</f>
      </c>
      <c r="FS935">
        <f>IF(ISBLANK('Data Entry'!$ï$935), "", 'Data Entry'!$ï$935)</f>
      </c>
      <c r="FT935">
        <f>IF(ISBLANK('Data Entry'!$ð$935), "", 'Data Entry'!$ð$935)</f>
      </c>
      <c r="FU935">
        <f>IF(ISBLANK('Data Entry'!$ñ$935), "", 'Data Entry'!$ñ$935)</f>
      </c>
      <c r="FV935">
        <f>IF(ISBLANK('Data Entry'!$ò$935), "", 'Data Entry'!$ò$935)</f>
      </c>
      <c r="FW935">
        <f>IF(ISBLANK('Data Entry'!$ó$935), "", 'Data Entry'!$ó$935)</f>
      </c>
      <c r="FX935">
        <f>IF(ISBLANK('Data Entry'!$ô$935), "", 'Data Entry'!$ô$935)</f>
      </c>
      <c r="FY935">
        <f>IF(ISBLANK('Data Entry'!$õ$935), "", 'Data Entry'!$õ$935)</f>
      </c>
      <c r="FZ935">
        <f>IF(ISBLANK('Data Entry'!$ö$935), "", 'Data Entry'!$ö$935)</f>
      </c>
      <c r="GA935">
        <f>IF(ISBLANK('Data Entry'!$÷$935), "", 'Data Entry'!$÷$935)</f>
      </c>
      <c r="GB935">
        <f>IF(ISBLANK('Data Entry'!$ø$935), "", 'Data Entry'!$ø$935)</f>
      </c>
      <c r="GC935">
        <f>IF(ISBLANK('Data Entry'!$ù$935), "", 'Data Entry'!$ù$935)</f>
      </c>
      <c r="GD935">
        <f>IF(ISBLANK('Data Entry'!$ú$935), "", 'Data Entry'!$ú$935)</f>
      </c>
      <c r="GE935">
        <f>IF(ISBLANK('Data Entry'!$û$935), "", 'Data Entry'!$û$935)</f>
      </c>
      <c r="GF935">
        <f>IF(ISBLANK('Data Entry'!$ü$935), "", 'Data Entry'!$ü$935)</f>
      </c>
      <c r="GG935">
        <f>IF(ISBLANK('Data Entry'!$ý$935), "", 'Data Entry'!$ý$935)</f>
      </c>
      <c r="GH935">
        <f>IF(ISBLANK('Data Entry'!$þ$935), "", 'Data Entry'!$þ$935)</f>
      </c>
      <c r="GI935">
        <f>IF(ISBLANK('Data Entry'!$ÿ$935), "", 'Data Entry'!$ÿ$935)</f>
      </c>
      <c r="GJ935">
        <f>IF(ISBLANK('Data Entry'!$Ā$935), "", 'Data Entry'!$Ā$935)</f>
      </c>
      <c r="GK935">
        <f>IF(ISBLANK('Data Entry'!$ā$935), "", 'Data Entry'!$ā$935)</f>
      </c>
      <c r="GL935">
        <f>IF(ISBLANK('Data Entry'!$Ă$935), "", 'Data Entry'!$Ă$935)</f>
      </c>
      <c r="GM935">
        <f>IF(ISBLANK('Data Entry'!$ă$935), "", 'Data Entry'!$ă$935)</f>
      </c>
      <c r="GN935">
        <f>IF(ISBLANK('Data Entry'!$Ą$935), "", 'Data Entry'!$Ą$935)</f>
      </c>
      <c r="GO935">
        <f>IF(ISBLANK('Data Entry'!$ą$935), "", 'Data Entry'!$ą$935)</f>
      </c>
      <c r="GP935">
        <f>IF(ISBLANK('Data Entry'!$Ć$935), "", 'Data Entry'!$Ć$935)</f>
      </c>
      <c r="GQ935">
        <f>IF(ISBLANK('Data Entry'!$ć$935), "", 'Data Entry'!$ć$935)</f>
      </c>
      <c r="GR935">
        <f>IF(ISBLANK('Data Entry'!$Ĉ$935), "", 'Data Entry'!$Ĉ$935)</f>
      </c>
      <c r="GS935">
        <f>IF(ISBLANK('Data Entry'!$ĉ$935), "", 'Data Entry'!$ĉ$935)</f>
      </c>
      <c r="GT935">
        <f>IF(ISBLANK('Data Entry'!$Ċ$935), "", 'Data Entry'!$Ċ$935)</f>
      </c>
      <c r="GU935">
        <f>IF(ISBLANK('Data Entry'!$ċ$935), "", 'Data Entry'!$ċ$935)</f>
      </c>
      <c r="GV935">
        <f>IF(ISBLANK('Data Entry'!$Č$935), "", 'Data Entry'!$Č$935)</f>
      </c>
      <c r="GW935">
        <f>IF(ISBLANK('Data Entry'!$č$935), "", 'Data Entry'!$č$935)</f>
      </c>
      <c r="GX935">
        <f>IF(ISBLANK('Data Entry'!$Ď$935), "", 'Data Entry'!$Ď$935)</f>
      </c>
      <c r="GY935">
        <f>IF(ISBLANK('Data Entry'!$ď$935), "", 'Data Entry'!$ď$935)</f>
      </c>
      <c r="GZ935">
        <f>IF(ISBLANK('Data Entry'!$Đ$935), "", 'Data Entry'!$Đ$935)</f>
      </c>
      <c r="HA935">
        <f>IF(ISBLANK('Data Entry'!$đ$935), "", 'Data Entry'!$đ$935)</f>
      </c>
      <c r="HB935">
        <f>IF(ISBLANK('Data Entry'!$Ē$935), "", 'Data Entry'!$Ē$935)</f>
      </c>
      <c r="HC935">
        <f>IF(ISBLANK('Data Entry'!$ē$935), "", 'Data Entry'!$ē$935)</f>
      </c>
      <c r="HD935">
        <f>IF(ISBLANK('Data Entry'!$Ĕ$935), "", 'Data Entry'!$Ĕ$935)</f>
      </c>
      <c r="HE935">
        <f>IF(ISBLANK('Data Entry'!$ĕ$935), "", 'Data Entry'!$ĕ$935)</f>
      </c>
      <c r="HF935">
        <f>IF(ISBLANK('Data Entry'!$Ė$935), "", 'Data Entry'!$Ė$935)</f>
      </c>
      <c r="HG935">
        <f>IF(ISBLANK('Data Entry'!$ė$935), "", 'Data Entry'!$ė$935)</f>
      </c>
      <c r="HH935">
        <f>IF(ISBLANK('Data Entry'!$Ę$935), "", 'Data Entry'!$Ę$935)</f>
      </c>
      <c r="HI935">
        <f>IF(ISBLANK('Data Entry'!$ę$935), "", 'Data Entry'!$ę$935)</f>
      </c>
      <c r="HJ935">
        <f>IF(ISBLANK('Data Entry'!$Ě$935), "", 'Data Entry'!$Ě$935)</f>
      </c>
      <c r="HK935">
        <f>IF(ISBLANK('Data Entry'!$ě$935), "", 'Data Entry'!$ě$935)</f>
      </c>
      <c r="HL935">
        <f>IF(ISBLANK('Data Entry'!$Ĝ$935), "", 'Data Entry'!$Ĝ$935)</f>
      </c>
      <c r="HM935">
        <f>IF(ISBLANK('Data Entry'!$ĝ$935), "", 'Data Entry'!$ĝ$935)</f>
      </c>
      <c r="HN935">
        <f>IF(ISBLANK('Data Entry'!$Ğ$935), "", 'Data Entry'!$Ğ$935)</f>
      </c>
      <c r="HO935">
        <f>IF(ISBLANK('Data Entry'!$ğ$935), "", 'Data Entry'!$ğ$935)</f>
      </c>
      <c r="HP935">
        <f>IF(ISBLANK('Data Entry'!$Ġ$935), "", 'Data Entry'!$Ġ$935)</f>
      </c>
      <c r="HQ935">
        <f>IF(ISBLANK('Data Entry'!$ġ$935), "", 'Data Entry'!$ġ$935)</f>
      </c>
      <c r="HR935">
        <f>IF(ISBLANK('Data Entry'!$Ģ$935), "", 'Data Entry'!$Ģ$935)</f>
      </c>
      <c r="HS935">
        <f>IF(ISBLANK('Data Entry'!$ģ$935), "", 'Data Entry'!$ģ$935)</f>
      </c>
      <c r="HT935">
        <f>IF(ISBLANK('Data Entry'!$Ĥ$935), "", 'Data Entry'!$Ĥ$935)</f>
      </c>
      <c r="HU935">
        <f>IF(ISBLANK('Data Entry'!$ĥ$935), "", 'Data Entry'!$ĥ$935)</f>
      </c>
      <c r="HV935">
        <f>IF(ISBLANK('Data Entry'!$Ħ$935), "", 'Data Entry'!$Ħ$935)</f>
      </c>
      <c r="HW935">
        <f>IF(ISBLANK('Data Entry'!$ħ$935), "", 'Data Entry'!$ħ$935)</f>
      </c>
      <c r="HX935">
        <f>IF(ISBLANK('Data Entry'!$Ĩ$935), "", 'Data Entry'!$Ĩ$935)</f>
      </c>
      <c r="HY935">
        <f>IF(ISBLANK('Data Entry'!$ĩ$935), "", 'Data Entry'!$ĩ$935)</f>
      </c>
      <c r="HZ935">
        <f>IF(ISBLANK('Data Entry'!$Ī$935), "", 'Data Entry'!$Ī$935)</f>
      </c>
      <c r="IA935">
        <f>IF(ISBLANK('Data Entry'!$ī$935), "", 'Data Entry'!$ī$935)</f>
      </c>
      <c r="IB935">
        <f>IF(ISBLANK('Data Entry'!$Ĭ$935), "", 'Data Entry'!$Ĭ$935)</f>
      </c>
      <c r="IC935">
        <f>IF(ISBLANK('Data Entry'!$ĭ$935), "", 'Data Entry'!$ĭ$935)</f>
      </c>
      <c r="ID935">
        <f>IF(ISBLANK('Data Entry'!$Į$935), "", 'Data Entry'!$Į$935)</f>
      </c>
      <c r="IE935">
        <f>IF(ISBLANK('Data Entry'!$į$935), "", 'Data Entry'!$į$935)</f>
      </c>
      <c r="IF935">
        <f>IF(ISBLANK('Data Entry'!$İ$935), "", 'Data Entry'!$İ$935)</f>
      </c>
      <c r="IG935">
        <f>IF(ISBLANK('Data Entry'!$ı$935), "", 'Data Entry'!$ı$935)</f>
      </c>
      <c r="IH935">
        <f>IF(ISBLANK('Data Entry'!$Ĳ$935), "", 'Data Entry'!$Ĳ$935)</f>
      </c>
      <c r="II935">
        <f>IF(ISBLANK('Data Entry'!$ĳ$935), "", 'Data Entry'!$ĳ$935)</f>
      </c>
      <c r="IJ935">
        <f>IF(ISBLANK('Data Entry'!$Ĵ$935), "", 'Data Entry'!$Ĵ$935)</f>
      </c>
      <c r="IK935">
        <f>IF(ISBLANK('Data Entry'!$ĵ$935), "", 'Data Entry'!$ĵ$935)</f>
      </c>
      <c r="IL935">
        <f>IF(ISBLANK('Data Entry'!$Ķ$935), "", 'Data Entry'!$Ķ$935)</f>
      </c>
      <c r="IM935">
        <f>IF(ISBLANK('Data Entry'!$ķ$935), "", 'Data Entry'!$ķ$935)</f>
      </c>
      <c r="IN935">
        <f>IF(ISBLANK('Data Entry'!$ĸ$935), "", 'Data Entry'!$ĸ$935)</f>
      </c>
      <c r="IO935">
        <f>IF(ISBLANK('Data Entry'!$Ĺ$935), "", 'Data Entry'!$Ĺ$935)</f>
      </c>
      <c r="IP935">
        <f>IF(ISBLANK('Data Entry'!$ĺ$935), "", 'Data Entry'!$ĺ$935)</f>
      </c>
      <c r="IQ935">
        <f>IF(ISBLANK('Data Entry'!$Ļ$935), "", 'Data Entry'!$Ļ$935)</f>
      </c>
      <c r="IR935">
        <f>IF(ISBLANK('Data Entry'!$ļ$935), "", 'Data Entry'!$ļ$935)</f>
      </c>
      <c r="IS935">
        <f>IF(ISBLANK('Data Entry'!$Ľ$935), "", 'Data Entry'!$Ľ$935)</f>
      </c>
      <c r="IT935">
        <f>IF(ISBLANK('Data Entry'!$ľ$935), "", 'Data Entry'!$ľ$935)</f>
      </c>
    </row>
    <row r="936" spans="1:254" x14ac:dyDescent="0.25">
      <c r="A936">
        <f>IF(ISBLANK('Data Entry'!$A$936), "", 'Data Entry'!$A$936)</f>
      </c>
      <c r="B936">
        <f>IF(ISBLANK('Data Entry'!$B$936), "", 'Data Entry'!$B$936)</f>
      </c>
      <c r="C936">
        <f>IF(ISBLANK('Data Entry'!$C$936), "", 'Data Entry'!$C$936)</f>
      </c>
      <c r="D936">
        <f>IF(ISBLANK('Data Entry'!$D$936), "", 'Data Entry'!$D$936)</f>
      </c>
      <c r="E936">
        <f>IF(ISBLANK('Data Entry'!$E$936), "", 'Data Entry'!$E$936)</f>
      </c>
      <c r="F936">
        <f>IF(ISBLANK('Data Entry'!$F$936), "", 'Data Entry'!$F$936)</f>
      </c>
      <c r="G936">
        <f>IF(ISBLANK('Data Entry'!$G$936), "", 'Data Entry'!$G$936)</f>
      </c>
      <c r="H936">
        <f>IF(ISBLANK('Data Entry'!$H$936), "", 'Data Entry'!$H$936)</f>
      </c>
      <c r="I936">
        <f>IF(ISBLANK('Data Entry'!$I$936), "", 'Data Entry'!$I$936)</f>
      </c>
      <c r="J936">
        <f>IF(ISBLANK('Data Entry'!$J$936), "", 'Data Entry'!$J$936)</f>
      </c>
      <c r="K936">
        <f>IF(ISBLANK('Data Entry'!$K$936), "", 'Data Entry'!$K$936)</f>
      </c>
      <c r="L936">
        <f>IF(ISBLANK('Data Entry'!$L$936), "", 'Data Entry'!$L$936)</f>
      </c>
      <c r="M936">
        <f>IF(ISBLANK('Data Entry'!$M$936), "", 'Data Entry'!$M$936)</f>
      </c>
      <c r="N936">
        <f>IF(ISBLANK('Data Entry'!$N$936), "", 'Data Entry'!$N$936)</f>
      </c>
      <c r="O936">
        <f>IF(ISBLANK('Data Entry'!$O$936), "", 'Data Entry'!$O$936)</f>
      </c>
      <c r="P936">
        <f>IF(ISBLANK('Data Entry'!$P$936), "", 'Data Entry'!$P$936)</f>
      </c>
      <c r="Q936">
        <f>IF(ISBLANK('Data Entry'!$Q$936), "", 'Data Entry'!$Q$936)</f>
      </c>
      <c r="R936">
        <f>IF(ISBLANK('Data Entry'!$R$936), "", 'Data Entry'!$R$936)</f>
      </c>
      <c r="S936">
        <f>IF(ISBLANK('Data Entry'!$S$936), "", 'Data Entry'!$S$936)</f>
      </c>
      <c r="T936">
        <f>IF(ISBLANK('Data Entry'!$T$936), "", 'Data Entry'!$T$936)</f>
      </c>
      <c r="U936">
        <f>IF(ISBLANK('Data Entry'!$U$936), "", 'Data Entry'!$U$936)</f>
      </c>
      <c r="V936">
        <f>IF(ISBLANK('Data Entry'!$V$936), "", 'Data Entry'!$V$936)</f>
      </c>
      <c r="W936">
        <f>IF(ISBLANK('Data Entry'!$W$936), "", 'Data Entry'!$W$936)</f>
      </c>
      <c r="X936">
        <f>IF(ISBLANK('Data Entry'!$X$936), "", 'Data Entry'!$X$936)</f>
      </c>
      <c r="Y936">
        <f>IF(ISBLANK('Data Entry'!$Y$936), "", 'Data Entry'!$Y$936)</f>
      </c>
      <c r="Z936">
        <f>IF(ISBLANK('Data Entry'!$Z$936), "", 'Data Entry'!$Z$936)</f>
      </c>
      <c r="AA936">
        <f>IF(ISBLANK('Data Entry'!$[$936), "", 'Data Entry'!$[$936)</f>
      </c>
      <c r="AB936">
        <f>IF(ISBLANK('Data Entry'!$\$936), "", 'Data Entry'!$\$936)</f>
      </c>
      <c r="AC936">
        <f>IF(ISBLANK('Data Entry'!$]$936), "", 'Data Entry'!$]$936)</f>
      </c>
      <c r="AD936">
        <f>IF(ISBLANK('Data Entry'!$^$936), "", 'Data Entry'!$^$936)</f>
      </c>
      <c r="AE936">
        <f>IF(ISBLANK('Data Entry'!$_$936), "", 'Data Entry'!$_$936)</f>
      </c>
      <c r="AF936">
        <f>IF(ISBLANK('Data Entry'!$`$936), "", 'Data Entry'!$`$936)</f>
      </c>
      <c r="AG936">
        <f>IF(ISBLANK('Data Entry'!$a$936), "", 'Data Entry'!$a$936)</f>
      </c>
      <c r="AH936">
        <f>IF(ISBLANK('Data Entry'!$b$936), "", 'Data Entry'!$b$936)</f>
      </c>
      <c r="AI936">
        <f>IF(ISBLANK('Data Entry'!$c$936), "", 'Data Entry'!$c$936)</f>
      </c>
      <c r="AJ936">
        <f>IF(ISBLANK('Data Entry'!$d$936), "", 'Data Entry'!$d$936)</f>
      </c>
      <c r="AK936">
        <f>IF(ISBLANK('Data Entry'!$e$936), "", 'Data Entry'!$e$936)</f>
      </c>
      <c r="AL936">
        <f>IF(ISBLANK('Data Entry'!$f$936), "", 'Data Entry'!$f$936)</f>
      </c>
      <c r="AM936">
        <f>IF(ISBLANK('Data Entry'!$g$936), "", 'Data Entry'!$g$936)</f>
      </c>
      <c r="AN936">
        <f>IF(ISBLANK('Data Entry'!$h$936), "", 'Data Entry'!$h$936)</f>
      </c>
      <c r="AO936">
        <f>IF(ISBLANK('Data Entry'!$i$936), "", 'Data Entry'!$i$936)</f>
      </c>
      <c r="AP936">
        <f>IF(ISBLANK('Data Entry'!$j$936), "", 'Data Entry'!$j$936)</f>
      </c>
      <c r="AQ936">
        <f>IF(ISBLANK('Data Entry'!$k$936), "", 'Data Entry'!$k$936)</f>
      </c>
      <c r="AR936">
        <f>IF(ISBLANK('Data Entry'!$l$936), "", 'Data Entry'!$l$936)</f>
      </c>
      <c r="AS936">
        <f>IF(ISBLANK('Data Entry'!$m$936), "", 'Data Entry'!$m$936)</f>
      </c>
      <c r="AT936">
        <f>IF(ISBLANK('Data Entry'!$n$936), "", 'Data Entry'!$n$936)</f>
      </c>
      <c r="AU936">
        <f>IF(ISBLANK('Data Entry'!$o$936), "", 'Data Entry'!$o$936)</f>
      </c>
      <c r="AV936">
        <f>IF(ISBLANK('Data Entry'!$p$936), "", 'Data Entry'!$p$936)</f>
      </c>
      <c r="AW936">
        <f>IF(ISBLANK('Data Entry'!$q$936), "", 'Data Entry'!$q$936)</f>
      </c>
      <c r="AX936">
        <f>IF(ISBLANK('Data Entry'!$r$936), "", 'Data Entry'!$r$936)</f>
      </c>
      <c r="AY936">
        <f>IF(ISBLANK('Data Entry'!$s$936), "", 'Data Entry'!$s$936)</f>
      </c>
      <c r="AZ936">
        <f>IF(ISBLANK('Data Entry'!$t$936), "", 'Data Entry'!$t$936)</f>
      </c>
      <c r="BA936">
        <f>IF(ISBLANK('Data Entry'!$u$936), "", 'Data Entry'!$u$936)</f>
      </c>
      <c r="BB936">
        <f>IF(ISBLANK('Data Entry'!$v$936), "", 'Data Entry'!$v$936)</f>
      </c>
      <c r="BC936">
        <f>IF(ISBLANK('Data Entry'!$w$936), "", 'Data Entry'!$w$936)</f>
      </c>
      <c r="BD936">
        <f>IF(ISBLANK('Data Entry'!$x$936), "", 'Data Entry'!$x$936)</f>
      </c>
      <c r="BE936">
        <f>IF(ISBLANK('Data Entry'!$y$936), "", 'Data Entry'!$y$936)</f>
      </c>
      <c r="BF936">
        <f>IF(ISBLANK('Data Entry'!$z$936), "", 'Data Entry'!$z$936)</f>
      </c>
      <c r="BG936">
        <f>IF(ISBLANK('Data Entry'!${$936), "", 'Data Entry'!${$936)</f>
      </c>
      <c r="BH936">
        <f>IF(ISBLANK('Data Entry'!$|$936), "", 'Data Entry'!$|$936)</f>
      </c>
      <c r="BI936">
        <f>IF(ISBLANK('Data Entry'!$}$936), "", 'Data Entry'!$}$936)</f>
      </c>
      <c r="BJ936">
        <f>IF(ISBLANK('Data Entry'!$~$936), "", 'Data Entry'!$~$936)</f>
      </c>
      <c r="BK936">
        <f>IF(ISBLANK('Data Entry'!$$936), "", 'Data Entry'!$$936)</f>
      </c>
      <c r="BL936">
        <f>IF(ISBLANK('Data Entry'!$$936), "", 'Data Entry'!$$936)</f>
      </c>
      <c r="BM936">
        <f>IF(ISBLANK('Data Entry'!$$936), "", 'Data Entry'!$$936)</f>
      </c>
      <c r="BN936">
        <f>IF(ISBLANK('Data Entry'!$$936), "", 'Data Entry'!$$936)</f>
      </c>
      <c r="BO936">
        <f>IF(ISBLANK('Data Entry'!$$936), "", 'Data Entry'!$$936)</f>
      </c>
      <c r="BP936">
        <f>IF(ISBLANK('Data Entry'!$$936), "", 'Data Entry'!$$936)</f>
      </c>
      <c r="BQ936">
        <f>IF(ISBLANK('Data Entry'!$$936), "", 'Data Entry'!$$936)</f>
      </c>
      <c r="BR936">
        <f>IF(ISBLANK('Data Entry'!$$936), "", 'Data Entry'!$$936)</f>
      </c>
      <c r="BS936">
        <f>IF(ISBLANK('Data Entry'!$$936), "", 'Data Entry'!$$936)</f>
      </c>
      <c r="BT936">
        <f>IF(ISBLANK('Data Entry'!$$936), "", 'Data Entry'!$$936)</f>
      </c>
      <c r="BU936">
        <f>IF(ISBLANK('Data Entry'!$$936), "", 'Data Entry'!$$936)</f>
      </c>
      <c r="BV936">
        <f>IF(ISBLANK('Data Entry'!$$936), "", 'Data Entry'!$$936)</f>
      </c>
      <c r="BW936">
        <f>IF(ISBLANK('Data Entry'!$$936), "", 'Data Entry'!$$936)</f>
      </c>
      <c r="BX936">
        <f>IF(ISBLANK('Data Entry'!$$936), "", 'Data Entry'!$$936)</f>
      </c>
      <c r="BY936">
        <f>IF(ISBLANK('Data Entry'!$$936), "", 'Data Entry'!$$936)</f>
      </c>
      <c r="BZ936">
        <f>IF(ISBLANK('Data Entry'!$$936), "", 'Data Entry'!$$936)</f>
      </c>
      <c r="CA936">
        <f>IF(ISBLANK('Data Entry'!$$936), "", 'Data Entry'!$$936)</f>
      </c>
      <c r="CB936">
        <f>IF(ISBLANK('Data Entry'!$$936), "", 'Data Entry'!$$936)</f>
      </c>
      <c r="CC936">
        <f>IF(ISBLANK('Data Entry'!$$936), "", 'Data Entry'!$$936)</f>
      </c>
      <c r="CD936">
        <f>IF(ISBLANK('Data Entry'!$$936), "", 'Data Entry'!$$936)</f>
      </c>
      <c r="CE936">
        <f>IF(ISBLANK('Data Entry'!$$936), "", 'Data Entry'!$$936)</f>
      </c>
      <c r="CF936">
        <f>IF(ISBLANK('Data Entry'!$$936), "", 'Data Entry'!$$936)</f>
      </c>
      <c r="CG936">
        <f>IF(ISBLANK('Data Entry'!$$936), "", 'Data Entry'!$$936)</f>
      </c>
      <c r="CH936">
        <f>IF(ISBLANK('Data Entry'!$$936), "", 'Data Entry'!$$936)</f>
      </c>
      <c r="CI936">
        <f>IF(ISBLANK('Data Entry'!$$936), "", 'Data Entry'!$$936)</f>
      </c>
      <c r="CJ936">
        <f>IF(ISBLANK('Data Entry'!$$936), "", 'Data Entry'!$$936)</f>
      </c>
      <c r="CK936">
        <f>IF(ISBLANK('Data Entry'!$$936), "", 'Data Entry'!$$936)</f>
      </c>
      <c r="CL936">
        <f>IF(ISBLANK('Data Entry'!$$936), "", 'Data Entry'!$$936)</f>
      </c>
      <c r="CM936">
        <f>IF(ISBLANK('Data Entry'!$$936), "", 'Data Entry'!$$936)</f>
      </c>
      <c r="CN936">
        <f>IF(ISBLANK('Data Entry'!$$936), "", 'Data Entry'!$$936)</f>
      </c>
      <c r="CO936">
        <f>IF(ISBLANK('Data Entry'!$$936), "", 'Data Entry'!$$936)</f>
      </c>
      <c r="CP936">
        <f>IF(ISBLANK('Data Entry'!$$936), "", 'Data Entry'!$$936)</f>
      </c>
      <c r="CQ936">
        <f>IF(ISBLANK('Data Entry'!$$936), "", 'Data Entry'!$$936)</f>
      </c>
      <c r="CR936">
        <f>IF(ISBLANK('Data Entry'!$ $936), "", 'Data Entry'!$ $936)</f>
      </c>
      <c r="CS936">
        <f>IF(ISBLANK('Data Entry'!$¡$936), "", 'Data Entry'!$¡$936)</f>
      </c>
      <c r="CT936">
        <f>IF(ISBLANK('Data Entry'!$¢$936), "", 'Data Entry'!$¢$936)</f>
      </c>
      <c r="CU936">
        <f>IF(ISBLANK('Data Entry'!$£$936), "", 'Data Entry'!$£$936)</f>
      </c>
      <c r="CV936">
        <f>IF(ISBLANK('Data Entry'!$¤$936), "", 'Data Entry'!$¤$936)</f>
      </c>
      <c r="CW936">
        <f>IF(ISBLANK('Data Entry'!$¥$936), "", 'Data Entry'!$¥$936)</f>
      </c>
      <c r="CX936">
        <f>IF(ISBLANK('Data Entry'!$¦$936), "", 'Data Entry'!$¦$936)</f>
      </c>
      <c r="CY936">
        <f>IF(ISBLANK('Data Entry'!$§$936), "", 'Data Entry'!$§$936)</f>
      </c>
      <c r="CZ936">
        <f>IF(ISBLANK('Data Entry'!$¨$936), "", 'Data Entry'!$¨$936)</f>
      </c>
      <c r="DA936">
        <f>IF(ISBLANK('Data Entry'!$©$936), "", 'Data Entry'!$©$936)</f>
      </c>
      <c r="DB936">
        <f>IF(ISBLANK('Data Entry'!$ª$936), "", 'Data Entry'!$ª$936)</f>
      </c>
      <c r="DC936">
        <f>IF(ISBLANK('Data Entry'!$«$936), "", 'Data Entry'!$«$936)</f>
      </c>
      <c r="DD936">
        <f>IF(ISBLANK('Data Entry'!$¬$936), "", 'Data Entry'!$¬$936)</f>
      </c>
      <c r="DE936">
        <f>IF(ISBLANK('Data Entry'!$­$936), "", 'Data Entry'!$­$936)</f>
      </c>
      <c r="DF936">
        <f>IF(ISBLANK('Data Entry'!$®$936), "", 'Data Entry'!$®$936)</f>
      </c>
      <c r="DG936">
        <f>IF(ISBLANK('Data Entry'!$¯$936), "", 'Data Entry'!$¯$936)</f>
      </c>
      <c r="DH936">
        <f>IF(ISBLANK('Data Entry'!$°$936), "", 'Data Entry'!$°$936)</f>
      </c>
      <c r="DI936">
        <f>IF(ISBLANK('Data Entry'!$±$936), "", 'Data Entry'!$±$936)</f>
      </c>
      <c r="DJ936">
        <f>IF(ISBLANK('Data Entry'!$²$936), "", 'Data Entry'!$²$936)</f>
      </c>
      <c r="DK936">
        <f>IF(ISBLANK('Data Entry'!$³$936), "", 'Data Entry'!$³$936)</f>
      </c>
      <c r="DL936">
        <f>IF(ISBLANK('Data Entry'!$´$936), "", 'Data Entry'!$´$936)</f>
      </c>
      <c r="DM936">
        <f>IF(ISBLANK('Data Entry'!$µ$936), "", 'Data Entry'!$µ$936)</f>
      </c>
      <c r="DN936">
        <f>IF(ISBLANK('Data Entry'!$¶$936), "", 'Data Entry'!$¶$936)</f>
      </c>
      <c r="DO936">
        <f>IF(ISBLANK('Data Entry'!$·$936), "", 'Data Entry'!$·$936)</f>
      </c>
      <c r="DP936">
        <f>IF(ISBLANK('Data Entry'!$¸$936), "", 'Data Entry'!$¸$936)</f>
      </c>
      <c r="DQ936">
        <f>IF(ISBLANK('Data Entry'!$¹$936), "", 'Data Entry'!$¹$936)</f>
      </c>
      <c r="DR936">
        <f>IF(ISBLANK('Data Entry'!$º$936), "", 'Data Entry'!$º$936)</f>
      </c>
      <c r="DS936">
        <f>IF(ISBLANK('Data Entry'!$»$936), "", 'Data Entry'!$»$936)</f>
      </c>
      <c r="DT936">
        <f>IF(ISBLANK('Data Entry'!$¼$936), "", 'Data Entry'!$¼$936)</f>
      </c>
      <c r="DU936">
        <f>IF(ISBLANK('Data Entry'!$½$936), "", 'Data Entry'!$½$936)</f>
      </c>
      <c r="DV936">
        <f>IF(ISBLANK('Data Entry'!$¾$936), "", 'Data Entry'!$¾$936)</f>
      </c>
      <c r="DW936">
        <f>IF(ISBLANK('Data Entry'!$¿$936), "", 'Data Entry'!$¿$936)</f>
      </c>
      <c r="DX936">
        <f>IF(ISBLANK('Data Entry'!$À$936), "", 'Data Entry'!$À$936)</f>
      </c>
      <c r="DY936">
        <f>IF(ISBLANK('Data Entry'!$Á$936), "", 'Data Entry'!$Á$936)</f>
      </c>
      <c r="DZ936">
        <f>IF(ISBLANK('Data Entry'!$Â$936), "", 'Data Entry'!$Â$936)</f>
      </c>
      <c r="EA936">
        <f>IF(ISBLANK('Data Entry'!$Ã$936), "", 'Data Entry'!$Ã$936)</f>
      </c>
      <c r="EB936">
        <f>IF(ISBLANK('Data Entry'!$Ä$936), "", 'Data Entry'!$Ä$936)</f>
      </c>
      <c r="EC936">
        <f>IF(ISBLANK('Data Entry'!$Å$936), "", 'Data Entry'!$Å$936)</f>
      </c>
      <c r="ED936">
        <f>IF(ISBLANK('Data Entry'!$Æ$936), "", 'Data Entry'!$Æ$936)</f>
      </c>
      <c r="EE936">
        <f>IF(ISBLANK('Data Entry'!$Ç$936), "", 'Data Entry'!$Ç$936)</f>
      </c>
      <c r="EF936">
        <f>IF(ISBLANK('Data Entry'!$È$936), "", 'Data Entry'!$È$936)</f>
      </c>
      <c r="EG936">
        <f>IF(ISBLANK('Data Entry'!$É$936), "", 'Data Entry'!$É$936)</f>
      </c>
      <c r="EH936">
        <f>IF(ISBLANK('Data Entry'!$Ê$936), "", 'Data Entry'!$Ê$936)</f>
      </c>
      <c r="EI936">
        <f>IF(ISBLANK('Data Entry'!$Ë$936), "", 'Data Entry'!$Ë$936)</f>
      </c>
      <c r="EJ936">
        <f>IF(ISBLANK('Data Entry'!$Ì$936), "", 'Data Entry'!$Ì$936)</f>
      </c>
      <c r="EK936">
        <f>IF(ISBLANK('Data Entry'!$Í$936), "", 'Data Entry'!$Í$936)</f>
      </c>
      <c r="EL936">
        <f>IF(ISBLANK('Data Entry'!$Î$936), "", 'Data Entry'!$Î$936)</f>
      </c>
      <c r="EM936">
        <f>IF(ISBLANK('Data Entry'!$Ï$936), "", 'Data Entry'!$Ï$936)</f>
      </c>
      <c r="EN936">
        <f>IF(ISBLANK('Data Entry'!$Ð$936), "", 'Data Entry'!$Ð$936)</f>
      </c>
      <c r="EO936">
        <f>IF(ISBLANK('Data Entry'!$Ñ$936), "", 'Data Entry'!$Ñ$936)</f>
      </c>
      <c r="EP936">
        <f>IF(ISBLANK('Data Entry'!$Ò$936), "", 'Data Entry'!$Ò$936)</f>
      </c>
      <c r="EQ936">
        <f>IF(ISBLANK('Data Entry'!$Ó$936), "", 'Data Entry'!$Ó$936)</f>
      </c>
      <c r="ER936">
        <f>IF(ISBLANK('Data Entry'!$Ô$936), "", 'Data Entry'!$Ô$936)</f>
      </c>
      <c r="ES936">
        <f>IF(ISBLANK('Data Entry'!$Õ$936), "", 'Data Entry'!$Õ$936)</f>
      </c>
      <c r="ET936">
        <f>IF(ISBLANK('Data Entry'!$Ö$936), "", 'Data Entry'!$Ö$936)</f>
      </c>
      <c r="EU936">
        <f>IF(ISBLANK('Data Entry'!$×$936), "", 'Data Entry'!$×$936)</f>
      </c>
      <c r="EV936">
        <f>IF(ISBLANK('Data Entry'!$Ø$936), "", 'Data Entry'!$Ø$936)</f>
      </c>
      <c r="EW936">
        <f>IF(ISBLANK('Data Entry'!$Ù$936), "", 'Data Entry'!$Ù$936)</f>
      </c>
      <c r="EX936">
        <f>IF(ISBLANK('Data Entry'!$Ú$936), "", 'Data Entry'!$Ú$936)</f>
      </c>
      <c r="EY936">
        <f>IF(ISBLANK('Data Entry'!$Û$936), "", 'Data Entry'!$Û$936)</f>
      </c>
      <c r="EZ936">
        <f>IF(ISBLANK('Data Entry'!$Ü$936), "", 'Data Entry'!$Ü$936)</f>
      </c>
      <c r="FA936">
        <f>IF(ISBLANK('Data Entry'!$Ý$936), "", 'Data Entry'!$Ý$936)</f>
      </c>
      <c r="FB936">
        <f>IF(ISBLANK('Data Entry'!$Þ$936), "", 'Data Entry'!$Þ$936)</f>
      </c>
      <c r="FC936">
        <f>IF(ISBLANK('Data Entry'!$ß$936), "", 'Data Entry'!$ß$936)</f>
      </c>
      <c r="FD936">
        <f>IF(ISBLANK('Data Entry'!$à$936), "", 'Data Entry'!$à$936)</f>
      </c>
      <c r="FE936">
        <f>IF(ISBLANK('Data Entry'!$á$936), "", 'Data Entry'!$á$936)</f>
      </c>
      <c r="FF936">
        <f>IF(ISBLANK('Data Entry'!$â$936), "", 'Data Entry'!$â$936)</f>
      </c>
      <c r="FG936">
        <f>IF(ISBLANK('Data Entry'!$ã$936), "", 'Data Entry'!$ã$936)</f>
      </c>
      <c r="FH936">
        <f>IF(ISBLANK('Data Entry'!$ä$936), "", 'Data Entry'!$ä$936)</f>
      </c>
      <c r="FI936">
        <f>IF(ISBLANK('Data Entry'!$å$936), "", 'Data Entry'!$å$936)</f>
      </c>
      <c r="FJ936">
        <f>IF(ISBLANK('Data Entry'!$æ$936), "", 'Data Entry'!$æ$936)</f>
      </c>
      <c r="FK936">
        <f>IF(ISBLANK('Data Entry'!$ç$936), "", 'Data Entry'!$ç$936)</f>
      </c>
      <c r="FL936">
        <f>IF(ISBLANK('Data Entry'!$è$936), "", 'Data Entry'!$è$936)</f>
      </c>
      <c r="FM936">
        <f>IF(ISBLANK('Data Entry'!$é$936), "", 'Data Entry'!$é$936)</f>
      </c>
      <c r="FN936">
        <f>IF(ISBLANK('Data Entry'!$ê$936), "", 'Data Entry'!$ê$936)</f>
      </c>
      <c r="FO936">
        <f>IF(ISBLANK('Data Entry'!$ë$936), "", 'Data Entry'!$ë$936)</f>
      </c>
      <c r="FP936">
        <f>IF(ISBLANK('Data Entry'!$ì$936), "", 'Data Entry'!$ì$936)</f>
      </c>
      <c r="FQ936">
        <f>IF(ISBLANK('Data Entry'!$í$936), "", 'Data Entry'!$í$936)</f>
      </c>
      <c r="FR936">
        <f>IF(ISBLANK('Data Entry'!$î$936), "", 'Data Entry'!$î$936)</f>
      </c>
      <c r="FS936">
        <f>IF(ISBLANK('Data Entry'!$ï$936), "", 'Data Entry'!$ï$936)</f>
      </c>
      <c r="FT936">
        <f>IF(ISBLANK('Data Entry'!$ð$936), "", 'Data Entry'!$ð$936)</f>
      </c>
      <c r="FU936">
        <f>IF(ISBLANK('Data Entry'!$ñ$936), "", 'Data Entry'!$ñ$936)</f>
      </c>
      <c r="FV936">
        <f>IF(ISBLANK('Data Entry'!$ò$936), "", 'Data Entry'!$ò$936)</f>
      </c>
      <c r="FW936">
        <f>IF(ISBLANK('Data Entry'!$ó$936), "", 'Data Entry'!$ó$936)</f>
      </c>
      <c r="FX936">
        <f>IF(ISBLANK('Data Entry'!$ô$936), "", 'Data Entry'!$ô$936)</f>
      </c>
      <c r="FY936">
        <f>IF(ISBLANK('Data Entry'!$õ$936), "", 'Data Entry'!$õ$936)</f>
      </c>
      <c r="FZ936">
        <f>IF(ISBLANK('Data Entry'!$ö$936), "", 'Data Entry'!$ö$936)</f>
      </c>
      <c r="GA936">
        <f>IF(ISBLANK('Data Entry'!$÷$936), "", 'Data Entry'!$÷$936)</f>
      </c>
      <c r="GB936">
        <f>IF(ISBLANK('Data Entry'!$ø$936), "", 'Data Entry'!$ø$936)</f>
      </c>
      <c r="GC936">
        <f>IF(ISBLANK('Data Entry'!$ù$936), "", 'Data Entry'!$ù$936)</f>
      </c>
      <c r="GD936">
        <f>IF(ISBLANK('Data Entry'!$ú$936), "", 'Data Entry'!$ú$936)</f>
      </c>
      <c r="GE936">
        <f>IF(ISBLANK('Data Entry'!$û$936), "", 'Data Entry'!$û$936)</f>
      </c>
      <c r="GF936">
        <f>IF(ISBLANK('Data Entry'!$ü$936), "", 'Data Entry'!$ü$936)</f>
      </c>
      <c r="GG936">
        <f>IF(ISBLANK('Data Entry'!$ý$936), "", 'Data Entry'!$ý$936)</f>
      </c>
      <c r="GH936">
        <f>IF(ISBLANK('Data Entry'!$þ$936), "", 'Data Entry'!$þ$936)</f>
      </c>
      <c r="GI936">
        <f>IF(ISBLANK('Data Entry'!$ÿ$936), "", 'Data Entry'!$ÿ$936)</f>
      </c>
      <c r="GJ936">
        <f>IF(ISBLANK('Data Entry'!$Ā$936), "", 'Data Entry'!$Ā$936)</f>
      </c>
      <c r="GK936">
        <f>IF(ISBLANK('Data Entry'!$ā$936), "", 'Data Entry'!$ā$936)</f>
      </c>
      <c r="GL936">
        <f>IF(ISBLANK('Data Entry'!$Ă$936), "", 'Data Entry'!$Ă$936)</f>
      </c>
      <c r="GM936">
        <f>IF(ISBLANK('Data Entry'!$ă$936), "", 'Data Entry'!$ă$936)</f>
      </c>
      <c r="GN936">
        <f>IF(ISBLANK('Data Entry'!$Ą$936), "", 'Data Entry'!$Ą$936)</f>
      </c>
      <c r="GO936">
        <f>IF(ISBLANK('Data Entry'!$ą$936), "", 'Data Entry'!$ą$936)</f>
      </c>
      <c r="GP936">
        <f>IF(ISBLANK('Data Entry'!$Ć$936), "", 'Data Entry'!$Ć$936)</f>
      </c>
      <c r="GQ936">
        <f>IF(ISBLANK('Data Entry'!$ć$936), "", 'Data Entry'!$ć$936)</f>
      </c>
      <c r="GR936">
        <f>IF(ISBLANK('Data Entry'!$Ĉ$936), "", 'Data Entry'!$Ĉ$936)</f>
      </c>
      <c r="GS936">
        <f>IF(ISBLANK('Data Entry'!$ĉ$936), "", 'Data Entry'!$ĉ$936)</f>
      </c>
      <c r="GT936">
        <f>IF(ISBLANK('Data Entry'!$Ċ$936), "", 'Data Entry'!$Ċ$936)</f>
      </c>
      <c r="GU936">
        <f>IF(ISBLANK('Data Entry'!$ċ$936), "", 'Data Entry'!$ċ$936)</f>
      </c>
      <c r="GV936">
        <f>IF(ISBLANK('Data Entry'!$Č$936), "", 'Data Entry'!$Č$936)</f>
      </c>
      <c r="GW936">
        <f>IF(ISBLANK('Data Entry'!$č$936), "", 'Data Entry'!$č$936)</f>
      </c>
      <c r="GX936">
        <f>IF(ISBLANK('Data Entry'!$Ď$936), "", 'Data Entry'!$Ď$936)</f>
      </c>
      <c r="GY936">
        <f>IF(ISBLANK('Data Entry'!$ď$936), "", 'Data Entry'!$ď$936)</f>
      </c>
      <c r="GZ936">
        <f>IF(ISBLANK('Data Entry'!$Đ$936), "", 'Data Entry'!$Đ$936)</f>
      </c>
      <c r="HA936">
        <f>IF(ISBLANK('Data Entry'!$đ$936), "", 'Data Entry'!$đ$936)</f>
      </c>
      <c r="HB936">
        <f>IF(ISBLANK('Data Entry'!$Ē$936), "", 'Data Entry'!$Ē$936)</f>
      </c>
      <c r="HC936">
        <f>IF(ISBLANK('Data Entry'!$ē$936), "", 'Data Entry'!$ē$936)</f>
      </c>
      <c r="HD936">
        <f>IF(ISBLANK('Data Entry'!$Ĕ$936), "", 'Data Entry'!$Ĕ$936)</f>
      </c>
      <c r="HE936">
        <f>IF(ISBLANK('Data Entry'!$ĕ$936), "", 'Data Entry'!$ĕ$936)</f>
      </c>
      <c r="HF936">
        <f>IF(ISBLANK('Data Entry'!$Ė$936), "", 'Data Entry'!$Ė$936)</f>
      </c>
      <c r="HG936">
        <f>IF(ISBLANK('Data Entry'!$ė$936), "", 'Data Entry'!$ė$936)</f>
      </c>
      <c r="HH936">
        <f>IF(ISBLANK('Data Entry'!$Ę$936), "", 'Data Entry'!$Ę$936)</f>
      </c>
      <c r="HI936">
        <f>IF(ISBLANK('Data Entry'!$ę$936), "", 'Data Entry'!$ę$936)</f>
      </c>
      <c r="HJ936">
        <f>IF(ISBLANK('Data Entry'!$Ě$936), "", 'Data Entry'!$Ě$936)</f>
      </c>
      <c r="HK936">
        <f>IF(ISBLANK('Data Entry'!$ě$936), "", 'Data Entry'!$ě$936)</f>
      </c>
      <c r="HL936">
        <f>IF(ISBLANK('Data Entry'!$Ĝ$936), "", 'Data Entry'!$Ĝ$936)</f>
      </c>
      <c r="HM936">
        <f>IF(ISBLANK('Data Entry'!$ĝ$936), "", 'Data Entry'!$ĝ$936)</f>
      </c>
      <c r="HN936">
        <f>IF(ISBLANK('Data Entry'!$Ğ$936), "", 'Data Entry'!$Ğ$936)</f>
      </c>
      <c r="HO936">
        <f>IF(ISBLANK('Data Entry'!$ğ$936), "", 'Data Entry'!$ğ$936)</f>
      </c>
      <c r="HP936">
        <f>IF(ISBLANK('Data Entry'!$Ġ$936), "", 'Data Entry'!$Ġ$936)</f>
      </c>
      <c r="HQ936">
        <f>IF(ISBLANK('Data Entry'!$ġ$936), "", 'Data Entry'!$ġ$936)</f>
      </c>
      <c r="HR936">
        <f>IF(ISBLANK('Data Entry'!$Ģ$936), "", 'Data Entry'!$Ģ$936)</f>
      </c>
      <c r="HS936">
        <f>IF(ISBLANK('Data Entry'!$ģ$936), "", 'Data Entry'!$ģ$936)</f>
      </c>
      <c r="HT936">
        <f>IF(ISBLANK('Data Entry'!$Ĥ$936), "", 'Data Entry'!$Ĥ$936)</f>
      </c>
      <c r="HU936">
        <f>IF(ISBLANK('Data Entry'!$ĥ$936), "", 'Data Entry'!$ĥ$936)</f>
      </c>
      <c r="HV936">
        <f>IF(ISBLANK('Data Entry'!$Ħ$936), "", 'Data Entry'!$Ħ$936)</f>
      </c>
      <c r="HW936">
        <f>IF(ISBLANK('Data Entry'!$ħ$936), "", 'Data Entry'!$ħ$936)</f>
      </c>
      <c r="HX936">
        <f>IF(ISBLANK('Data Entry'!$Ĩ$936), "", 'Data Entry'!$Ĩ$936)</f>
      </c>
      <c r="HY936">
        <f>IF(ISBLANK('Data Entry'!$ĩ$936), "", 'Data Entry'!$ĩ$936)</f>
      </c>
      <c r="HZ936">
        <f>IF(ISBLANK('Data Entry'!$Ī$936), "", 'Data Entry'!$Ī$936)</f>
      </c>
      <c r="IA936">
        <f>IF(ISBLANK('Data Entry'!$ī$936), "", 'Data Entry'!$ī$936)</f>
      </c>
      <c r="IB936">
        <f>IF(ISBLANK('Data Entry'!$Ĭ$936), "", 'Data Entry'!$Ĭ$936)</f>
      </c>
      <c r="IC936">
        <f>IF(ISBLANK('Data Entry'!$ĭ$936), "", 'Data Entry'!$ĭ$936)</f>
      </c>
      <c r="ID936">
        <f>IF(ISBLANK('Data Entry'!$Į$936), "", 'Data Entry'!$Į$936)</f>
      </c>
      <c r="IE936">
        <f>IF(ISBLANK('Data Entry'!$į$936), "", 'Data Entry'!$į$936)</f>
      </c>
      <c r="IF936">
        <f>IF(ISBLANK('Data Entry'!$İ$936), "", 'Data Entry'!$İ$936)</f>
      </c>
      <c r="IG936">
        <f>IF(ISBLANK('Data Entry'!$ı$936), "", 'Data Entry'!$ı$936)</f>
      </c>
      <c r="IH936">
        <f>IF(ISBLANK('Data Entry'!$Ĳ$936), "", 'Data Entry'!$Ĳ$936)</f>
      </c>
      <c r="II936">
        <f>IF(ISBLANK('Data Entry'!$ĳ$936), "", 'Data Entry'!$ĳ$936)</f>
      </c>
      <c r="IJ936">
        <f>IF(ISBLANK('Data Entry'!$Ĵ$936), "", 'Data Entry'!$Ĵ$936)</f>
      </c>
      <c r="IK936">
        <f>IF(ISBLANK('Data Entry'!$ĵ$936), "", 'Data Entry'!$ĵ$936)</f>
      </c>
      <c r="IL936">
        <f>IF(ISBLANK('Data Entry'!$Ķ$936), "", 'Data Entry'!$Ķ$936)</f>
      </c>
      <c r="IM936">
        <f>IF(ISBLANK('Data Entry'!$ķ$936), "", 'Data Entry'!$ķ$936)</f>
      </c>
      <c r="IN936">
        <f>IF(ISBLANK('Data Entry'!$ĸ$936), "", 'Data Entry'!$ĸ$936)</f>
      </c>
      <c r="IO936">
        <f>IF(ISBLANK('Data Entry'!$Ĺ$936), "", 'Data Entry'!$Ĺ$936)</f>
      </c>
      <c r="IP936">
        <f>IF(ISBLANK('Data Entry'!$ĺ$936), "", 'Data Entry'!$ĺ$936)</f>
      </c>
      <c r="IQ936">
        <f>IF(ISBLANK('Data Entry'!$Ļ$936), "", 'Data Entry'!$Ļ$936)</f>
      </c>
      <c r="IR936">
        <f>IF(ISBLANK('Data Entry'!$ļ$936), "", 'Data Entry'!$ļ$936)</f>
      </c>
      <c r="IS936">
        <f>IF(ISBLANK('Data Entry'!$Ľ$936), "", 'Data Entry'!$Ľ$936)</f>
      </c>
      <c r="IT936">
        <f>IF(ISBLANK('Data Entry'!$ľ$936), "", 'Data Entry'!$ľ$936)</f>
      </c>
    </row>
    <row r="937" spans="1:254" x14ac:dyDescent="0.25">
      <c r="A937">
        <f>IF(ISBLANK('Data Entry'!$A$937), "", 'Data Entry'!$A$937)</f>
      </c>
      <c r="B937">
        <f>IF(ISBLANK('Data Entry'!$B$937), "", 'Data Entry'!$B$937)</f>
      </c>
      <c r="C937">
        <f>IF(ISBLANK('Data Entry'!$C$937), "", 'Data Entry'!$C$937)</f>
      </c>
      <c r="D937">
        <f>IF(ISBLANK('Data Entry'!$D$937), "", 'Data Entry'!$D$937)</f>
      </c>
      <c r="E937">
        <f>IF(ISBLANK('Data Entry'!$E$937), "", 'Data Entry'!$E$937)</f>
      </c>
      <c r="F937">
        <f>IF(ISBLANK('Data Entry'!$F$937), "", 'Data Entry'!$F$937)</f>
      </c>
      <c r="G937">
        <f>IF(ISBLANK('Data Entry'!$G$937), "", 'Data Entry'!$G$937)</f>
      </c>
      <c r="H937">
        <f>IF(ISBLANK('Data Entry'!$H$937), "", 'Data Entry'!$H$937)</f>
      </c>
      <c r="I937">
        <f>IF(ISBLANK('Data Entry'!$I$937), "", 'Data Entry'!$I$937)</f>
      </c>
      <c r="J937">
        <f>IF(ISBLANK('Data Entry'!$J$937), "", 'Data Entry'!$J$937)</f>
      </c>
      <c r="K937">
        <f>IF(ISBLANK('Data Entry'!$K$937), "", 'Data Entry'!$K$937)</f>
      </c>
      <c r="L937">
        <f>IF(ISBLANK('Data Entry'!$L$937), "", 'Data Entry'!$L$937)</f>
      </c>
      <c r="M937">
        <f>IF(ISBLANK('Data Entry'!$M$937), "", 'Data Entry'!$M$937)</f>
      </c>
      <c r="N937">
        <f>IF(ISBLANK('Data Entry'!$N$937), "", 'Data Entry'!$N$937)</f>
      </c>
      <c r="O937">
        <f>IF(ISBLANK('Data Entry'!$O$937), "", 'Data Entry'!$O$937)</f>
      </c>
      <c r="P937">
        <f>IF(ISBLANK('Data Entry'!$P$937), "", 'Data Entry'!$P$937)</f>
      </c>
      <c r="Q937">
        <f>IF(ISBLANK('Data Entry'!$Q$937), "", 'Data Entry'!$Q$937)</f>
      </c>
      <c r="R937">
        <f>IF(ISBLANK('Data Entry'!$R$937), "", 'Data Entry'!$R$937)</f>
      </c>
      <c r="S937">
        <f>IF(ISBLANK('Data Entry'!$S$937), "", 'Data Entry'!$S$937)</f>
      </c>
      <c r="T937">
        <f>IF(ISBLANK('Data Entry'!$T$937), "", 'Data Entry'!$T$937)</f>
      </c>
      <c r="U937">
        <f>IF(ISBLANK('Data Entry'!$U$937), "", 'Data Entry'!$U$937)</f>
      </c>
      <c r="V937">
        <f>IF(ISBLANK('Data Entry'!$V$937), "", 'Data Entry'!$V$937)</f>
      </c>
      <c r="W937">
        <f>IF(ISBLANK('Data Entry'!$W$937), "", 'Data Entry'!$W$937)</f>
      </c>
      <c r="X937">
        <f>IF(ISBLANK('Data Entry'!$X$937), "", 'Data Entry'!$X$937)</f>
      </c>
      <c r="Y937">
        <f>IF(ISBLANK('Data Entry'!$Y$937), "", 'Data Entry'!$Y$937)</f>
      </c>
      <c r="Z937">
        <f>IF(ISBLANK('Data Entry'!$Z$937), "", 'Data Entry'!$Z$937)</f>
      </c>
      <c r="AA937">
        <f>IF(ISBLANK('Data Entry'!$[$937), "", 'Data Entry'!$[$937)</f>
      </c>
      <c r="AB937">
        <f>IF(ISBLANK('Data Entry'!$\$937), "", 'Data Entry'!$\$937)</f>
      </c>
      <c r="AC937">
        <f>IF(ISBLANK('Data Entry'!$]$937), "", 'Data Entry'!$]$937)</f>
      </c>
      <c r="AD937">
        <f>IF(ISBLANK('Data Entry'!$^$937), "", 'Data Entry'!$^$937)</f>
      </c>
      <c r="AE937">
        <f>IF(ISBLANK('Data Entry'!$_$937), "", 'Data Entry'!$_$937)</f>
      </c>
      <c r="AF937">
        <f>IF(ISBLANK('Data Entry'!$`$937), "", 'Data Entry'!$`$937)</f>
      </c>
      <c r="AG937">
        <f>IF(ISBLANK('Data Entry'!$a$937), "", 'Data Entry'!$a$937)</f>
      </c>
      <c r="AH937">
        <f>IF(ISBLANK('Data Entry'!$b$937), "", 'Data Entry'!$b$937)</f>
      </c>
      <c r="AI937">
        <f>IF(ISBLANK('Data Entry'!$c$937), "", 'Data Entry'!$c$937)</f>
      </c>
      <c r="AJ937">
        <f>IF(ISBLANK('Data Entry'!$d$937), "", 'Data Entry'!$d$937)</f>
      </c>
      <c r="AK937">
        <f>IF(ISBLANK('Data Entry'!$e$937), "", 'Data Entry'!$e$937)</f>
      </c>
      <c r="AL937">
        <f>IF(ISBLANK('Data Entry'!$f$937), "", 'Data Entry'!$f$937)</f>
      </c>
      <c r="AM937">
        <f>IF(ISBLANK('Data Entry'!$g$937), "", 'Data Entry'!$g$937)</f>
      </c>
      <c r="AN937">
        <f>IF(ISBLANK('Data Entry'!$h$937), "", 'Data Entry'!$h$937)</f>
      </c>
      <c r="AO937">
        <f>IF(ISBLANK('Data Entry'!$i$937), "", 'Data Entry'!$i$937)</f>
      </c>
      <c r="AP937">
        <f>IF(ISBLANK('Data Entry'!$j$937), "", 'Data Entry'!$j$937)</f>
      </c>
      <c r="AQ937">
        <f>IF(ISBLANK('Data Entry'!$k$937), "", 'Data Entry'!$k$937)</f>
      </c>
      <c r="AR937">
        <f>IF(ISBLANK('Data Entry'!$l$937), "", 'Data Entry'!$l$937)</f>
      </c>
      <c r="AS937">
        <f>IF(ISBLANK('Data Entry'!$m$937), "", 'Data Entry'!$m$937)</f>
      </c>
      <c r="AT937">
        <f>IF(ISBLANK('Data Entry'!$n$937), "", 'Data Entry'!$n$937)</f>
      </c>
      <c r="AU937">
        <f>IF(ISBLANK('Data Entry'!$o$937), "", 'Data Entry'!$o$937)</f>
      </c>
      <c r="AV937">
        <f>IF(ISBLANK('Data Entry'!$p$937), "", 'Data Entry'!$p$937)</f>
      </c>
      <c r="AW937">
        <f>IF(ISBLANK('Data Entry'!$q$937), "", 'Data Entry'!$q$937)</f>
      </c>
      <c r="AX937">
        <f>IF(ISBLANK('Data Entry'!$r$937), "", 'Data Entry'!$r$937)</f>
      </c>
      <c r="AY937">
        <f>IF(ISBLANK('Data Entry'!$s$937), "", 'Data Entry'!$s$937)</f>
      </c>
      <c r="AZ937">
        <f>IF(ISBLANK('Data Entry'!$t$937), "", 'Data Entry'!$t$937)</f>
      </c>
      <c r="BA937">
        <f>IF(ISBLANK('Data Entry'!$u$937), "", 'Data Entry'!$u$937)</f>
      </c>
      <c r="BB937">
        <f>IF(ISBLANK('Data Entry'!$v$937), "", 'Data Entry'!$v$937)</f>
      </c>
      <c r="BC937">
        <f>IF(ISBLANK('Data Entry'!$w$937), "", 'Data Entry'!$w$937)</f>
      </c>
      <c r="BD937">
        <f>IF(ISBLANK('Data Entry'!$x$937), "", 'Data Entry'!$x$937)</f>
      </c>
      <c r="BE937">
        <f>IF(ISBLANK('Data Entry'!$y$937), "", 'Data Entry'!$y$937)</f>
      </c>
      <c r="BF937">
        <f>IF(ISBLANK('Data Entry'!$z$937), "", 'Data Entry'!$z$937)</f>
      </c>
      <c r="BG937">
        <f>IF(ISBLANK('Data Entry'!${$937), "", 'Data Entry'!${$937)</f>
      </c>
      <c r="BH937">
        <f>IF(ISBLANK('Data Entry'!$|$937), "", 'Data Entry'!$|$937)</f>
      </c>
      <c r="BI937">
        <f>IF(ISBLANK('Data Entry'!$}$937), "", 'Data Entry'!$}$937)</f>
      </c>
      <c r="BJ937">
        <f>IF(ISBLANK('Data Entry'!$~$937), "", 'Data Entry'!$~$937)</f>
      </c>
      <c r="BK937">
        <f>IF(ISBLANK('Data Entry'!$$937), "", 'Data Entry'!$$937)</f>
      </c>
      <c r="BL937">
        <f>IF(ISBLANK('Data Entry'!$$937), "", 'Data Entry'!$$937)</f>
      </c>
      <c r="BM937">
        <f>IF(ISBLANK('Data Entry'!$$937), "", 'Data Entry'!$$937)</f>
      </c>
      <c r="BN937">
        <f>IF(ISBLANK('Data Entry'!$$937), "", 'Data Entry'!$$937)</f>
      </c>
      <c r="BO937">
        <f>IF(ISBLANK('Data Entry'!$$937), "", 'Data Entry'!$$937)</f>
      </c>
      <c r="BP937">
        <f>IF(ISBLANK('Data Entry'!$$937), "", 'Data Entry'!$$937)</f>
      </c>
      <c r="BQ937">
        <f>IF(ISBLANK('Data Entry'!$$937), "", 'Data Entry'!$$937)</f>
      </c>
      <c r="BR937">
        <f>IF(ISBLANK('Data Entry'!$$937), "", 'Data Entry'!$$937)</f>
      </c>
      <c r="BS937">
        <f>IF(ISBLANK('Data Entry'!$$937), "", 'Data Entry'!$$937)</f>
      </c>
      <c r="BT937">
        <f>IF(ISBLANK('Data Entry'!$$937), "", 'Data Entry'!$$937)</f>
      </c>
      <c r="BU937">
        <f>IF(ISBLANK('Data Entry'!$$937), "", 'Data Entry'!$$937)</f>
      </c>
      <c r="BV937">
        <f>IF(ISBLANK('Data Entry'!$$937), "", 'Data Entry'!$$937)</f>
      </c>
      <c r="BW937">
        <f>IF(ISBLANK('Data Entry'!$$937), "", 'Data Entry'!$$937)</f>
      </c>
      <c r="BX937">
        <f>IF(ISBLANK('Data Entry'!$$937), "", 'Data Entry'!$$937)</f>
      </c>
      <c r="BY937">
        <f>IF(ISBLANK('Data Entry'!$$937), "", 'Data Entry'!$$937)</f>
      </c>
      <c r="BZ937">
        <f>IF(ISBLANK('Data Entry'!$$937), "", 'Data Entry'!$$937)</f>
      </c>
      <c r="CA937">
        <f>IF(ISBLANK('Data Entry'!$$937), "", 'Data Entry'!$$937)</f>
      </c>
      <c r="CB937">
        <f>IF(ISBLANK('Data Entry'!$$937), "", 'Data Entry'!$$937)</f>
      </c>
      <c r="CC937">
        <f>IF(ISBLANK('Data Entry'!$$937), "", 'Data Entry'!$$937)</f>
      </c>
      <c r="CD937">
        <f>IF(ISBLANK('Data Entry'!$$937), "", 'Data Entry'!$$937)</f>
      </c>
      <c r="CE937">
        <f>IF(ISBLANK('Data Entry'!$$937), "", 'Data Entry'!$$937)</f>
      </c>
      <c r="CF937">
        <f>IF(ISBLANK('Data Entry'!$$937), "", 'Data Entry'!$$937)</f>
      </c>
      <c r="CG937">
        <f>IF(ISBLANK('Data Entry'!$$937), "", 'Data Entry'!$$937)</f>
      </c>
      <c r="CH937">
        <f>IF(ISBLANK('Data Entry'!$$937), "", 'Data Entry'!$$937)</f>
      </c>
      <c r="CI937">
        <f>IF(ISBLANK('Data Entry'!$$937), "", 'Data Entry'!$$937)</f>
      </c>
      <c r="CJ937">
        <f>IF(ISBLANK('Data Entry'!$$937), "", 'Data Entry'!$$937)</f>
      </c>
      <c r="CK937">
        <f>IF(ISBLANK('Data Entry'!$$937), "", 'Data Entry'!$$937)</f>
      </c>
      <c r="CL937">
        <f>IF(ISBLANK('Data Entry'!$$937), "", 'Data Entry'!$$937)</f>
      </c>
      <c r="CM937">
        <f>IF(ISBLANK('Data Entry'!$$937), "", 'Data Entry'!$$937)</f>
      </c>
      <c r="CN937">
        <f>IF(ISBLANK('Data Entry'!$$937), "", 'Data Entry'!$$937)</f>
      </c>
      <c r="CO937">
        <f>IF(ISBLANK('Data Entry'!$$937), "", 'Data Entry'!$$937)</f>
      </c>
      <c r="CP937">
        <f>IF(ISBLANK('Data Entry'!$$937), "", 'Data Entry'!$$937)</f>
      </c>
      <c r="CQ937">
        <f>IF(ISBLANK('Data Entry'!$$937), "", 'Data Entry'!$$937)</f>
      </c>
      <c r="CR937">
        <f>IF(ISBLANK('Data Entry'!$ $937), "", 'Data Entry'!$ $937)</f>
      </c>
      <c r="CS937">
        <f>IF(ISBLANK('Data Entry'!$¡$937), "", 'Data Entry'!$¡$937)</f>
      </c>
      <c r="CT937">
        <f>IF(ISBLANK('Data Entry'!$¢$937), "", 'Data Entry'!$¢$937)</f>
      </c>
      <c r="CU937">
        <f>IF(ISBLANK('Data Entry'!$£$937), "", 'Data Entry'!$£$937)</f>
      </c>
      <c r="CV937">
        <f>IF(ISBLANK('Data Entry'!$¤$937), "", 'Data Entry'!$¤$937)</f>
      </c>
      <c r="CW937">
        <f>IF(ISBLANK('Data Entry'!$¥$937), "", 'Data Entry'!$¥$937)</f>
      </c>
      <c r="CX937">
        <f>IF(ISBLANK('Data Entry'!$¦$937), "", 'Data Entry'!$¦$937)</f>
      </c>
      <c r="CY937">
        <f>IF(ISBLANK('Data Entry'!$§$937), "", 'Data Entry'!$§$937)</f>
      </c>
      <c r="CZ937">
        <f>IF(ISBLANK('Data Entry'!$¨$937), "", 'Data Entry'!$¨$937)</f>
      </c>
      <c r="DA937">
        <f>IF(ISBLANK('Data Entry'!$©$937), "", 'Data Entry'!$©$937)</f>
      </c>
      <c r="DB937">
        <f>IF(ISBLANK('Data Entry'!$ª$937), "", 'Data Entry'!$ª$937)</f>
      </c>
      <c r="DC937">
        <f>IF(ISBLANK('Data Entry'!$«$937), "", 'Data Entry'!$«$937)</f>
      </c>
      <c r="DD937">
        <f>IF(ISBLANK('Data Entry'!$¬$937), "", 'Data Entry'!$¬$937)</f>
      </c>
      <c r="DE937">
        <f>IF(ISBLANK('Data Entry'!$­$937), "", 'Data Entry'!$­$937)</f>
      </c>
      <c r="DF937">
        <f>IF(ISBLANK('Data Entry'!$®$937), "", 'Data Entry'!$®$937)</f>
      </c>
      <c r="DG937">
        <f>IF(ISBLANK('Data Entry'!$¯$937), "", 'Data Entry'!$¯$937)</f>
      </c>
      <c r="DH937">
        <f>IF(ISBLANK('Data Entry'!$°$937), "", 'Data Entry'!$°$937)</f>
      </c>
      <c r="DI937">
        <f>IF(ISBLANK('Data Entry'!$±$937), "", 'Data Entry'!$±$937)</f>
      </c>
      <c r="DJ937">
        <f>IF(ISBLANK('Data Entry'!$²$937), "", 'Data Entry'!$²$937)</f>
      </c>
      <c r="DK937">
        <f>IF(ISBLANK('Data Entry'!$³$937), "", 'Data Entry'!$³$937)</f>
      </c>
      <c r="DL937">
        <f>IF(ISBLANK('Data Entry'!$´$937), "", 'Data Entry'!$´$937)</f>
      </c>
      <c r="DM937">
        <f>IF(ISBLANK('Data Entry'!$µ$937), "", 'Data Entry'!$µ$937)</f>
      </c>
      <c r="DN937">
        <f>IF(ISBLANK('Data Entry'!$¶$937), "", 'Data Entry'!$¶$937)</f>
      </c>
      <c r="DO937">
        <f>IF(ISBLANK('Data Entry'!$·$937), "", 'Data Entry'!$·$937)</f>
      </c>
      <c r="DP937">
        <f>IF(ISBLANK('Data Entry'!$¸$937), "", 'Data Entry'!$¸$937)</f>
      </c>
      <c r="DQ937">
        <f>IF(ISBLANK('Data Entry'!$¹$937), "", 'Data Entry'!$¹$937)</f>
      </c>
      <c r="DR937">
        <f>IF(ISBLANK('Data Entry'!$º$937), "", 'Data Entry'!$º$937)</f>
      </c>
      <c r="DS937">
        <f>IF(ISBLANK('Data Entry'!$»$937), "", 'Data Entry'!$»$937)</f>
      </c>
      <c r="DT937">
        <f>IF(ISBLANK('Data Entry'!$¼$937), "", 'Data Entry'!$¼$937)</f>
      </c>
      <c r="DU937">
        <f>IF(ISBLANK('Data Entry'!$½$937), "", 'Data Entry'!$½$937)</f>
      </c>
      <c r="DV937">
        <f>IF(ISBLANK('Data Entry'!$¾$937), "", 'Data Entry'!$¾$937)</f>
      </c>
      <c r="DW937">
        <f>IF(ISBLANK('Data Entry'!$¿$937), "", 'Data Entry'!$¿$937)</f>
      </c>
      <c r="DX937">
        <f>IF(ISBLANK('Data Entry'!$À$937), "", 'Data Entry'!$À$937)</f>
      </c>
      <c r="DY937">
        <f>IF(ISBLANK('Data Entry'!$Á$937), "", 'Data Entry'!$Á$937)</f>
      </c>
      <c r="DZ937">
        <f>IF(ISBLANK('Data Entry'!$Â$937), "", 'Data Entry'!$Â$937)</f>
      </c>
      <c r="EA937">
        <f>IF(ISBLANK('Data Entry'!$Ã$937), "", 'Data Entry'!$Ã$937)</f>
      </c>
      <c r="EB937">
        <f>IF(ISBLANK('Data Entry'!$Ä$937), "", 'Data Entry'!$Ä$937)</f>
      </c>
      <c r="EC937">
        <f>IF(ISBLANK('Data Entry'!$Å$937), "", 'Data Entry'!$Å$937)</f>
      </c>
      <c r="ED937">
        <f>IF(ISBLANK('Data Entry'!$Æ$937), "", 'Data Entry'!$Æ$937)</f>
      </c>
      <c r="EE937">
        <f>IF(ISBLANK('Data Entry'!$Ç$937), "", 'Data Entry'!$Ç$937)</f>
      </c>
      <c r="EF937">
        <f>IF(ISBLANK('Data Entry'!$È$937), "", 'Data Entry'!$È$937)</f>
      </c>
      <c r="EG937">
        <f>IF(ISBLANK('Data Entry'!$É$937), "", 'Data Entry'!$É$937)</f>
      </c>
      <c r="EH937">
        <f>IF(ISBLANK('Data Entry'!$Ê$937), "", 'Data Entry'!$Ê$937)</f>
      </c>
      <c r="EI937">
        <f>IF(ISBLANK('Data Entry'!$Ë$937), "", 'Data Entry'!$Ë$937)</f>
      </c>
      <c r="EJ937">
        <f>IF(ISBLANK('Data Entry'!$Ì$937), "", 'Data Entry'!$Ì$937)</f>
      </c>
      <c r="EK937">
        <f>IF(ISBLANK('Data Entry'!$Í$937), "", 'Data Entry'!$Í$937)</f>
      </c>
      <c r="EL937">
        <f>IF(ISBLANK('Data Entry'!$Î$937), "", 'Data Entry'!$Î$937)</f>
      </c>
      <c r="EM937">
        <f>IF(ISBLANK('Data Entry'!$Ï$937), "", 'Data Entry'!$Ï$937)</f>
      </c>
      <c r="EN937">
        <f>IF(ISBLANK('Data Entry'!$Ð$937), "", 'Data Entry'!$Ð$937)</f>
      </c>
      <c r="EO937">
        <f>IF(ISBLANK('Data Entry'!$Ñ$937), "", 'Data Entry'!$Ñ$937)</f>
      </c>
      <c r="EP937">
        <f>IF(ISBLANK('Data Entry'!$Ò$937), "", 'Data Entry'!$Ò$937)</f>
      </c>
      <c r="EQ937">
        <f>IF(ISBLANK('Data Entry'!$Ó$937), "", 'Data Entry'!$Ó$937)</f>
      </c>
      <c r="ER937">
        <f>IF(ISBLANK('Data Entry'!$Ô$937), "", 'Data Entry'!$Ô$937)</f>
      </c>
      <c r="ES937">
        <f>IF(ISBLANK('Data Entry'!$Õ$937), "", 'Data Entry'!$Õ$937)</f>
      </c>
      <c r="ET937">
        <f>IF(ISBLANK('Data Entry'!$Ö$937), "", 'Data Entry'!$Ö$937)</f>
      </c>
      <c r="EU937">
        <f>IF(ISBLANK('Data Entry'!$×$937), "", 'Data Entry'!$×$937)</f>
      </c>
      <c r="EV937">
        <f>IF(ISBLANK('Data Entry'!$Ø$937), "", 'Data Entry'!$Ø$937)</f>
      </c>
      <c r="EW937">
        <f>IF(ISBLANK('Data Entry'!$Ù$937), "", 'Data Entry'!$Ù$937)</f>
      </c>
      <c r="EX937">
        <f>IF(ISBLANK('Data Entry'!$Ú$937), "", 'Data Entry'!$Ú$937)</f>
      </c>
      <c r="EY937">
        <f>IF(ISBLANK('Data Entry'!$Û$937), "", 'Data Entry'!$Û$937)</f>
      </c>
      <c r="EZ937">
        <f>IF(ISBLANK('Data Entry'!$Ü$937), "", 'Data Entry'!$Ü$937)</f>
      </c>
      <c r="FA937">
        <f>IF(ISBLANK('Data Entry'!$Ý$937), "", 'Data Entry'!$Ý$937)</f>
      </c>
      <c r="FB937">
        <f>IF(ISBLANK('Data Entry'!$Þ$937), "", 'Data Entry'!$Þ$937)</f>
      </c>
      <c r="FC937">
        <f>IF(ISBLANK('Data Entry'!$ß$937), "", 'Data Entry'!$ß$937)</f>
      </c>
      <c r="FD937">
        <f>IF(ISBLANK('Data Entry'!$à$937), "", 'Data Entry'!$à$937)</f>
      </c>
      <c r="FE937">
        <f>IF(ISBLANK('Data Entry'!$á$937), "", 'Data Entry'!$á$937)</f>
      </c>
      <c r="FF937">
        <f>IF(ISBLANK('Data Entry'!$â$937), "", 'Data Entry'!$â$937)</f>
      </c>
      <c r="FG937">
        <f>IF(ISBLANK('Data Entry'!$ã$937), "", 'Data Entry'!$ã$937)</f>
      </c>
      <c r="FH937">
        <f>IF(ISBLANK('Data Entry'!$ä$937), "", 'Data Entry'!$ä$937)</f>
      </c>
      <c r="FI937">
        <f>IF(ISBLANK('Data Entry'!$å$937), "", 'Data Entry'!$å$937)</f>
      </c>
      <c r="FJ937">
        <f>IF(ISBLANK('Data Entry'!$æ$937), "", 'Data Entry'!$æ$937)</f>
      </c>
      <c r="FK937">
        <f>IF(ISBLANK('Data Entry'!$ç$937), "", 'Data Entry'!$ç$937)</f>
      </c>
      <c r="FL937">
        <f>IF(ISBLANK('Data Entry'!$è$937), "", 'Data Entry'!$è$937)</f>
      </c>
      <c r="FM937">
        <f>IF(ISBLANK('Data Entry'!$é$937), "", 'Data Entry'!$é$937)</f>
      </c>
      <c r="FN937">
        <f>IF(ISBLANK('Data Entry'!$ê$937), "", 'Data Entry'!$ê$937)</f>
      </c>
      <c r="FO937">
        <f>IF(ISBLANK('Data Entry'!$ë$937), "", 'Data Entry'!$ë$937)</f>
      </c>
      <c r="FP937">
        <f>IF(ISBLANK('Data Entry'!$ì$937), "", 'Data Entry'!$ì$937)</f>
      </c>
      <c r="FQ937">
        <f>IF(ISBLANK('Data Entry'!$í$937), "", 'Data Entry'!$í$937)</f>
      </c>
      <c r="FR937">
        <f>IF(ISBLANK('Data Entry'!$î$937), "", 'Data Entry'!$î$937)</f>
      </c>
      <c r="FS937">
        <f>IF(ISBLANK('Data Entry'!$ï$937), "", 'Data Entry'!$ï$937)</f>
      </c>
      <c r="FT937">
        <f>IF(ISBLANK('Data Entry'!$ð$937), "", 'Data Entry'!$ð$937)</f>
      </c>
      <c r="FU937">
        <f>IF(ISBLANK('Data Entry'!$ñ$937), "", 'Data Entry'!$ñ$937)</f>
      </c>
      <c r="FV937">
        <f>IF(ISBLANK('Data Entry'!$ò$937), "", 'Data Entry'!$ò$937)</f>
      </c>
      <c r="FW937">
        <f>IF(ISBLANK('Data Entry'!$ó$937), "", 'Data Entry'!$ó$937)</f>
      </c>
      <c r="FX937">
        <f>IF(ISBLANK('Data Entry'!$ô$937), "", 'Data Entry'!$ô$937)</f>
      </c>
      <c r="FY937">
        <f>IF(ISBLANK('Data Entry'!$õ$937), "", 'Data Entry'!$õ$937)</f>
      </c>
      <c r="FZ937">
        <f>IF(ISBLANK('Data Entry'!$ö$937), "", 'Data Entry'!$ö$937)</f>
      </c>
      <c r="GA937">
        <f>IF(ISBLANK('Data Entry'!$÷$937), "", 'Data Entry'!$÷$937)</f>
      </c>
      <c r="GB937">
        <f>IF(ISBLANK('Data Entry'!$ø$937), "", 'Data Entry'!$ø$937)</f>
      </c>
      <c r="GC937">
        <f>IF(ISBLANK('Data Entry'!$ù$937), "", 'Data Entry'!$ù$937)</f>
      </c>
      <c r="GD937">
        <f>IF(ISBLANK('Data Entry'!$ú$937), "", 'Data Entry'!$ú$937)</f>
      </c>
      <c r="GE937">
        <f>IF(ISBLANK('Data Entry'!$û$937), "", 'Data Entry'!$û$937)</f>
      </c>
      <c r="GF937">
        <f>IF(ISBLANK('Data Entry'!$ü$937), "", 'Data Entry'!$ü$937)</f>
      </c>
      <c r="GG937">
        <f>IF(ISBLANK('Data Entry'!$ý$937), "", 'Data Entry'!$ý$937)</f>
      </c>
      <c r="GH937">
        <f>IF(ISBLANK('Data Entry'!$þ$937), "", 'Data Entry'!$þ$937)</f>
      </c>
      <c r="GI937">
        <f>IF(ISBLANK('Data Entry'!$ÿ$937), "", 'Data Entry'!$ÿ$937)</f>
      </c>
      <c r="GJ937">
        <f>IF(ISBLANK('Data Entry'!$Ā$937), "", 'Data Entry'!$Ā$937)</f>
      </c>
      <c r="GK937">
        <f>IF(ISBLANK('Data Entry'!$ā$937), "", 'Data Entry'!$ā$937)</f>
      </c>
      <c r="GL937">
        <f>IF(ISBLANK('Data Entry'!$Ă$937), "", 'Data Entry'!$Ă$937)</f>
      </c>
      <c r="GM937">
        <f>IF(ISBLANK('Data Entry'!$ă$937), "", 'Data Entry'!$ă$937)</f>
      </c>
      <c r="GN937">
        <f>IF(ISBLANK('Data Entry'!$Ą$937), "", 'Data Entry'!$Ą$937)</f>
      </c>
      <c r="GO937">
        <f>IF(ISBLANK('Data Entry'!$ą$937), "", 'Data Entry'!$ą$937)</f>
      </c>
      <c r="GP937">
        <f>IF(ISBLANK('Data Entry'!$Ć$937), "", 'Data Entry'!$Ć$937)</f>
      </c>
      <c r="GQ937">
        <f>IF(ISBLANK('Data Entry'!$ć$937), "", 'Data Entry'!$ć$937)</f>
      </c>
      <c r="GR937">
        <f>IF(ISBLANK('Data Entry'!$Ĉ$937), "", 'Data Entry'!$Ĉ$937)</f>
      </c>
      <c r="GS937">
        <f>IF(ISBLANK('Data Entry'!$ĉ$937), "", 'Data Entry'!$ĉ$937)</f>
      </c>
      <c r="GT937">
        <f>IF(ISBLANK('Data Entry'!$Ċ$937), "", 'Data Entry'!$Ċ$937)</f>
      </c>
      <c r="GU937">
        <f>IF(ISBLANK('Data Entry'!$ċ$937), "", 'Data Entry'!$ċ$937)</f>
      </c>
      <c r="GV937">
        <f>IF(ISBLANK('Data Entry'!$Č$937), "", 'Data Entry'!$Č$937)</f>
      </c>
      <c r="GW937">
        <f>IF(ISBLANK('Data Entry'!$č$937), "", 'Data Entry'!$č$937)</f>
      </c>
      <c r="GX937">
        <f>IF(ISBLANK('Data Entry'!$Ď$937), "", 'Data Entry'!$Ď$937)</f>
      </c>
      <c r="GY937">
        <f>IF(ISBLANK('Data Entry'!$ď$937), "", 'Data Entry'!$ď$937)</f>
      </c>
      <c r="GZ937">
        <f>IF(ISBLANK('Data Entry'!$Đ$937), "", 'Data Entry'!$Đ$937)</f>
      </c>
      <c r="HA937">
        <f>IF(ISBLANK('Data Entry'!$đ$937), "", 'Data Entry'!$đ$937)</f>
      </c>
      <c r="HB937">
        <f>IF(ISBLANK('Data Entry'!$Ē$937), "", 'Data Entry'!$Ē$937)</f>
      </c>
      <c r="HC937">
        <f>IF(ISBLANK('Data Entry'!$ē$937), "", 'Data Entry'!$ē$937)</f>
      </c>
      <c r="HD937">
        <f>IF(ISBLANK('Data Entry'!$Ĕ$937), "", 'Data Entry'!$Ĕ$937)</f>
      </c>
      <c r="HE937">
        <f>IF(ISBLANK('Data Entry'!$ĕ$937), "", 'Data Entry'!$ĕ$937)</f>
      </c>
      <c r="HF937">
        <f>IF(ISBLANK('Data Entry'!$Ė$937), "", 'Data Entry'!$Ė$937)</f>
      </c>
      <c r="HG937">
        <f>IF(ISBLANK('Data Entry'!$ė$937), "", 'Data Entry'!$ė$937)</f>
      </c>
      <c r="HH937">
        <f>IF(ISBLANK('Data Entry'!$Ę$937), "", 'Data Entry'!$Ę$937)</f>
      </c>
      <c r="HI937">
        <f>IF(ISBLANK('Data Entry'!$ę$937), "", 'Data Entry'!$ę$937)</f>
      </c>
      <c r="HJ937">
        <f>IF(ISBLANK('Data Entry'!$Ě$937), "", 'Data Entry'!$Ě$937)</f>
      </c>
      <c r="HK937">
        <f>IF(ISBLANK('Data Entry'!$ě$937), "", 'Data Entry'!$ě$937)</f>
      </c>
      <c r="HL937">
        <f>IF(ISBLANK('Data Entry'!$Ĝ$937), "", 'Data Entry'!$Ĝ$937)</f>
      </c>
      <c r="HM937">
        <f>IF(ISBLANK('Data Entry'!$ĝ$937), "", 'Data Entry'!$ĝ$937)</f>
      </c>
      <c r="HN937">
        <f>IF(ISBLANK('Data Entry'!$Ğ$937), "", 'Data Entry'!$Ğ$937)</f>
      </c>
      <c r="HO937">
        <f>IF(ISBLANK('Data Entry'!$ğ$937), "", 'Data Entry'!$ğ$937)</f>
      </c>
      <c r="HP937">
        <f>IF(ISBLANK('Data Entry'!$Ġ$937), "", 'Data Entry'!$Ġ$937)</f>
      </c>
      <c r="HQ937">
        <f>IF(ISBLANK('Data Entry'!$ġ$937), "", 'Data Entry'!$ġ$937)</f>
      </c>
      <c r="HR937">
        <f>IF(ISBLANK('Data Entry'!$Ģ$937), "", 'Data Entry'!$Ģ$937)</f>
      </c>
      <c r="HS937">
        <f>IF(ISBLANK('Data Entry'!$ģ$937), "", 'Data Entry'!$ģ$937)</f>
      </c>
      <c r="HT937">
        <f>IF(ISBLANK('Data Entry'!$Ĥ$937), "", 'Data Entry'!$Ĥ$937)</f>
      </c>
      <c r="HU937">
        <f>IF(ISBLANK('Data Entry'!$ĥ$937), "", 'Data Entry'!$ĥ$937)</f>
      </c>
      <c r="HV937">
        <f>IF(ISBLANK('Data Entry'!$Ħ$937), "", 'Data Entry'!$Ħ$937)</f>
      </c>
      <c r="HW937">
        <f>IF(ISBLANK('Data Entry'!$ħ$937), "", 'Data Entry'!$ħ$937)</f>
      </c>
      <c r="HX937">
        <f>IF(ISBLANK('Data Entry'!$Ĩ$937), "", 'Data Entry'!$Ĩ$937)</f>
      </c>
      <c r="HY937">
        <f>IF(ISBLANK('Data Entry'!$ĩ$937), "", 'Data Entry'!$ĩ$937)</f>
      </c>
      <c r="HZ937">
        <f>IF(ISBLANK('Data Entry'!$Ī$937), "", 'Data Entry'!$Ī$937)</f>
      </c>
      <c r="IA937">
        <f>IF(ISBLANK('Data Entry'!$ī$937), "", 'Data Entry'!$ī$937)</f>
      </c>
      <c r="IB937">
        <f>IF(ISBLANK('Data Entry'!$Ĭ$937), "", 'Data Entry'!$Ĭ$937)</f>
      </c>
      <c r="IC937">
        <f>IF(ISBLANK('Data Entry'!$ĭ$937), "", 'Data Entry'!$ĭ$937)</f>
      </c>
      <c r="ID937">
        <f>IF(ISBLANK('Data Entry'!$Į$937), "", 'Data Entry'!$Į$937)</f>
      </c>
      <c r="IE937">
        <f>IF(ISBLANK('Data Entry'!$į$937), "", 'Data Entry'!$į$937)</f>
      </c>
      <c r="IF937">
        <f>IF(ISBLANK('Data Entry'!$İ$937), "", 'Data Entry'!$İ$937)</f>
      </c>
      <c r="IG937">
        <f>IF(ISBLANK('Data Entry'!$ı$937), "", 'Data Entry'!$ı$937)</f>
      </c>
      <c r="IH937">
        <f>IF(ISBLANK('Data Entry'!$Ĳ$937), "", 'Data Entry'!$Ĳ$937)</f>
      </c>
      <c r="II937">
        <f>IF(ISBLANK('Data Entry'!$ĳ$937), "", 'Data Entry'!$ĳ$937)</f>
      </c>
      <c r="IJ937">
        <f>IF(ISBLANK('Data Entry'!$Ĵ$937), "", 'Data Entry'!$Ĵ$937)</f>
      </c>
      <c r="IK937">
        <f>IF(ISBLANK('Data Entry'!$ĵ$937), "", 'Data Entry'!$ĵ$937)</f>
      </c>
      <c r="IL937">
        <f>IF(ISBLANK('Data Entry'!$Ķ$937), "", 'Data Entry'!$Ķ$937)</f>
      </c>
      <c r="IM937">
        <f>IF(ISBLANK('Data Entry'!$ķ$937), "", 'Data Entry'!$ķ$937)</f>
      </c>
      <c r="IN937">
        <f>IF(ISBLANK('Data Entry'!$ĸ$937), "", 'Data Entry'!$ĸ$937)</f>
      </c>
      <c r="IO937">
        <f>IF(ISBLANK('Data Entry'!$Ĺ$937), "", 'Data Entry'!$Ĺ$937)</f>
      </c>
      <c r="IP937">
        <f>IF(ISBLANK('Data Entry'!$ĺ$937), "", 'Data Entry'!$ĺ$937)</f>
      </c>
      <c r="IQ937">
        <f>IF(ISBLANK('Data Entry'!$Ļ$937), "", 'Data Entry'!$Ļ$937)</f>
      </c>
      <c r="IR937">
        <f>IF(ISBLANK('Data Entry'!$ļ$937), "", 'Data Entry'!$ļ$937)</f>
      </c>
      <c r="IS937">
        <f>IF(ISBLANK('Data Entry'!$Ľ$937), "", 'Data Entry'!$Ľ$937)</f>
      </c>
      <c r="IT937">
        <f>IF(ISBLANK('Data Entry'!$ľ$937), "", 'Data Entry'!$ľ$937)</f>
      </c>
    </row>
    <row r="938" spans="1:254" x14ac:dyDescent="0.25">
      <c r="A938">
        <f>IF(ISBLANK('Data Entry'!$A$938), "", 'Data Entry'!$A$938)</f>
      </c>
      <c r="B938">
        <f>IF(ISBLANK('Data Entry'!$B$938), "", 'Data Entry'!$B$938)</f>
      </c>
      <c r="C938">
        <f>IF(ISBLANK('Data Entry'!$C$938), "", 'Data Entry'!$C$938)</f>
      </c>
      <c r="D938">
        <f>IF(ISBLANK('Data Entry'!$D$938), "", 'Data Entry'!$D$938)</f>
      </c>
      <c r="E938">
        <f>IF(ISBLANK('Data Entry'!$E$938), "", 'Data Entry'!$E$938)</f>
      </c>
      <c r="F938">
        <f>IF(ISBLANK('Data Entry'!$F$938), "", 'Data Entry'!$F$938)</f>
      </c>
      <c r="G938">
        <f>IF(ISBLANK('Data Entry'!$G$938), "", 'Data Entry'!$G$938)</f>
      </c>
      <c r="H938">
        <f>IF(ISBLANK('Data Entry'!$H$938), "", 'Data Entry'!$H$938)</f>
      </c>
      <c r="I938">
        <f>IF(ISBLANK('Data Entry'!$I$938), "", 'Data Entry'!$I$938)</f>
      </c>
      <c r="J938">
        <f>IF(ISBLANK('Data Entry'!$J$938), "", 'Data Entry'!$J$938)</f>
      </c>
      <c r="K938">
        <f>IF(ISBLANK('Data Entry'!$K$938), "", 'Data Entry'!$K$938)</f>
      </c>
      <c r="L938">
        <f>IF(ISBLANK('Data Entry'!$L$938), "", 'Data Entry'!$L$938)</f>
      </c>
      <c r="M938">
        <f>IF(ISBLANK('Data Entry'!$M$938), "", 'Data Entry'!$M$938)</f>
      </c>
      <c r="N938">
        <f>IF(ISBLANK('Data Entry'!$N$938), "", 'Data Entry'!$N$938)</f>
      </c>
      <c r="O938">
        <f>IF(ISBLANK('Data Entry'!$O$938), "", 'Data Entry'!$O$938)</f>
      </c>
      <c r="P938">
        <f>IF(ISBLANK('Data Entry'!$P$938), "", 'Data Entry'!$P$938)</f>
      </c>
      <c r="Q938">
        <f>IF(ISBLANK('Data Entry'!$Q$938), "", 'Data Entry'!$Q$938)</f>
      </c>
      <c r="R938">
        <f>IF(ISBLANK('Data Entry'!$R$938), "", 'Data Entry'!$R$938)</f>
      </c>
      <c r="S938">
        <f>IF(ISBLANK('Data Entry'!$S$938), "", 'Data Entry'!$S$938)</f>
      </c>
      <c r="T938">
        <f>IF(ISBLANK('Data Entry'!$T$938), "", 'Data Entry'!$T$938)</f>
      </c>
      <c r="U938">
        <f>IF(ISBLANK('Data Entry'!$U$938), "", 'Data Entry'!$U$938)</f>
      </c>
      <c r="V938">
        <f>IF(ISBLANK('Data Entry'!$V$938), "", 'Data Entry'!$V$938)</f>
      </c>
      <c r="W938">
        <f>IF(ISBLANK('Data Entry'!$W$938), "", 'Data Entry'!$W$938)</f>
      </c>
      <c r="X938">
        <f>IF(ISBLANK('Data Entry'!$X$938), "", 'Data Entry'!$X$938)</f>
      </c>
      <c r="Y938">
        <f>IF(ISBLANK('Data Entry'!$Y$938), "", 'Data Entry'!$Y$938)</f>
      </c>
      <c r="Z938">
        <f>IF(ISBLANK('Data Entry'!$Z$938), "", 'Data Entry'!$Z$938)</f>
      </c>
      <c r="AA938">
        <f>IF(ISBLANK('Data Entry'!$[$938), "", 'Data Entry'!$[$938)</f>
      </c>
      <c r="AB938">
        <f>IF(ISBLANK('Data Entry'!$\$938), "", 'Data Entry'!$\$938)</f>
      </c>
      <c r="AC938">
        <f>IF(ISBLANK('Data Entry'!$]$938), "", 'Data Entry'!$]$938)</f>
      </c>
      <c r="AD938">
        <f>IF(ISBLANK('Data Entry'!$^$938), "", 'Data Entry'!$^$938)</f>
      </c>
      <c r="AE938">
        <f>IF(ISBLANK('Data Entry'!$_$938), "", 'Data Entry'!$_$938)</f>
      </c>
      <c r="AF938">
        <f>IF(ISBLANK('Data Entry'!$`$938), "", 'Data Entry'!$`$938)</f>
      </c>
      <c r="AG938">
        <f>IF(ISBLANK('Data Entry'!$a$938), "", 'Data Entry'!$a$938)</f>
      </c>
      <c r="AH938">
        <f>IF(ISBLANK('Data Entry'!$b$938), "", 'Data Entry'!$b$938)</f>
      </c>
      <c r="AI938">
        <f>IF(ISBLANK('Data Entry'!$c$938), "", 'Data Entry'!$c$938)</f>
      </c>
      <c r="AJ938">
        <f>IF(ISBLANK('Data Entry'!$d$938), "", 'Data Entry'!$d$938)</f>
      </c>
      <c r="AK938">
        <f>IF(ISBLANK('Data Entry'!$e$938), "", 'Data Entry'!$e$938)</f>
      </c>
      <c r="AL938">
        <f>IF(ISBLANK('Data Entry'!$f$938), "", 'Data Entry'!$f$938)</f>
      </c>
      <c r="AM938">
        <f>IF(ISBLANK('Data Entry'!$g$938), "", 'Data Entry'!$g$938)</f>
      </c>
      <c r="AN938">
        <f>IF(ISBLANK('Data Entry'!$h$938), "", 'Data Entry'!$h$938)</f>
      </c>
      <c r="AO938">
        <f>IF(ISBLANK('Data Entry'!$i$938), "", 'Data Entry'!$i$938)</f>
      </c>
      <c r="AP938">
        <f>IF(ISBLANK('Data Entry'!$j$938), "", 'Data Entry'!$j$938)</f>
      </c>
      <c r="AQ938">
        <f>IF(ISBLANK('Data Entry'!$k$938), "", 'Data Entry'!$k$938)</f>
      </c>
      <c r="AR938">
        <f>IF(ISBLANK('Data Entry'!$l$938), "", 'Data Entry'!$l$938)</f>
      </c>
      <c r="AS938">
        <f>IF(ISBLANK('Data Entry'!$m$938), "", 'Data Entry'!$m$938)</f>
      </c>
      <c r="AT938">
        <f>IF(ISBLANK('Data Entry'!$n$938), "", 'Data Entry'!$n$938)</f>
      </c>
      <c r="AU938">
        <f>IF(ISBLANK('Data Entry'!$o$938), "", 'Data Entry'!$o$938)</f>
      </c>
      <c r="AV938">
        <f>IF(ISBLANK('Data Entry'!$p$938), "", 'Data Entry'!$p$938)</f>
      </c>
      <c r="AW938">
        <f>IF(ISBLANK('Data Entry'!$q$938), "", 'Data Entry'!$q$938)</f>
      </c>
      <c r="AX938">
        <f>IF(ISBLANK('Data Entry'!$r$938), "", 'Data Entry'!$r$938)</f>
      </c>
      <c r="AY938">
        <f>IF(ISBLANK('Data Entry'!$s$938), "", 'Data Entry'!$s$938)</f>
      </c>
      <c r="AZ938">
        <f>IF(ISBLANK('Data Entry'!$t$938), "", 'Data Entry'!$t$938)</f>
      </c>
      <c r="BA938">
        <f>IF(ISBLANK('Data Entry'!$u$938), "", 'Data Entry'!$u$938)</f>
      </c>
      <c r="BB938">
        <f>IF(ISBLANK('Data Entry'!$v$938), "", 'Data Entry'!$v$938)</f>
      </c>
      <c r="BC938">
        <f>IF(ISBLANK('Data Entry'!$w$938), "", 'Data Entry'!$w$938)</f>
      </c>
      <c r="BD938">
        <f>IF(ISBLANK('Data Entry'!$x$938), "", 'Data Entry'!$x$938)</f>
      </c>
      <c r="BE938">
        <f>IF(ISBLANK('Data Entry'!$y$938), "", 'Data Entry'!$y$938)</f>
      </c>
      <c r="BF938">
        <f>IF(ISBLANK('Data Entry'!$z$938), "", 'Data Entry'!$z$938)</f>
      </c>
      <c r="BG938">
        <f>IF(ISBLANK('Data Entry'!${$938), "", 'Data Entry'!${$938)</f>
      </c>
      <c r="BH938">
        <f>IF(ISBLANK('Data Entry'!$|$938), "", 'Data Entry'!$|$938)</f>
      </c>
      <c r="BI938">
        <f>IF(ISBLANK('Data Entry'!$}$938), "", 'Data Entry'!$}$938)</f>
      </c>
      <c r="BJ938">
        <f>IF(ISBLANK('Data Entry'!$~$938), "", 'Data Entry'!$~$938)</f>
      </c>
      <c r="BK938">
        <f>IF(ISBLANK('Data Entry'!$$938), "", 'Data Entry'!$$938)</f>
      </c>
      <c r="BL938">
        <f>IF(ISBLANK('Data Entry'!$$938), "", 'Data Entry'!$$938)</f>
      </c>
      <c r="BM938">
        <f>IF(ISBLANK('Data Entry'!$$938), "", 'Data Entry'!$$938)</f>
      </c>
      <c r="BN938">
        <f>IF(ISBLANK('Data Entry'!$$938), "", 'Data Entry'!$$938)</f>
      </c>
      <c r="BO938">
        <f>IF(ISBLANK('Data Entry'!$$938), "", 'Data Entry'!$$938)</f>
      </c>
      <c r="BP938">
        <f>IF(ISBLANK('Data Entry'!$$938), "", 'Data Entry'!$$938)</f>
      </c>
      <c r="BQ938">
        <f>IF(ISBLANK('Data Entry'!$$938), "", 'Data Entry'!$$938)</f>
      </c>
      <c r="BR938">
        <f>IF(ISBLANK('Data Entry'!$$938), "", 'Data Entry'!$$938)</f>
      </c>
      <c r="BS938">
        <f>IF(ISBLANK('Data Entry'!$$938), "", 'Data Entry'!$$938)</f>
      </c>
      <c r="BT938">
        <f>IF(ISBLANK('Data Entry'!$$938), "", 'Data Entry'!$$938)</f>
      </c>
      <c r="BU938">
        <f>IF(ISBLANK('Data Entry'!$$938), "", 'Data Entry'!$$938)</f>
      </c>
      <c r="BV938">
        <f>IF(ISBLANK('Data Entry'!$$938), "", 'Data Entry'!$$938)</f>
      </c>
      <c r="BW938">
        <f>IF(ISBLANK('Data Entry'!$$938), "", 'Data Entry'!$$938)</f>
      </c>
      <c r="BX938">
        <f>IF(ISBLANK('Data Entry'!$$938), "", 'Data Entry'!$$938)</f>
      </c>
      <c r="BY938">
        <f>IF(ISBLANK('Data Entry'!$$938), "", 'Data Entry'!$$938)</f>
      </c>
      <c r="BZ938">
        <f>IF(ISBLANK('Data Entry'!$$938), "", 'Data Entry'!$$938)</f>
      </c>
      <c r="CA938">
        <f>IF(ISBLANK('Data Entry'!$$938), "", 'Data Entry'!$$938)</f>
      </c>
      <c r="CB938">
        <f>IF(ISBLANK('Data Entry'!$$938), "", 'Data Entry'!$$938)</f>
      </c>
      <c r="CC938">
        <f>IF(ISBLANK('Data Entry'!$$938), "", 'Data Entry'!$$938)</f>
      </c>
      <c r="CD938">
        <f>IF(ISBLANK('Data Entry'!$$938), "", 'Data Entry'!$$938)</f>
      </c>
      <c r="CE938">
        <f>IF(ISBLANK('Data Entry'!$$938), "", 'Data Entry'!$$938)</f>
      </c>
      <c r="CF938">
        <f>IF(ISBLANK('Data Entry'!$$938), "", 'Data Entry'!$$938)</f>
      </c>
      <c r="CG938">
        <f>IF(ISBLANK('Data Entry'!$$938), "", 'Data Entry'!$$938)</f>
      </c>
      <c r="CH938">
        <f>IF(ISBLANK('Data Entry'!$$938), "", 'Data Entry'!$$938)</f>
      </c>
      <c r="CI938">
        <f>IF(ISBLANK('Data Entry'!$$938), "", 'Data Entry'!$$938)</f>
      </c>
      <c r="CJ938">
        <f>IF(ISBLANK('Data Entry'!$$938), "", 'Data Entry'!$$938)</f>
      </c>
      <c r="CK938">
        <f>IF(ISBLANK('Data Entry'!$$938), "", 'Data Entry'!$$938)</f>
      </c>
      <c r="CL938">
        <f>IF(ISBLANK('Data Entry'!$$938), "", 'Data Entry'!$$938)</f>
      </c>
      <c r="CM938">
        <f>IF(ISBLANK('Data Entry'!$$938), "", 'Data Entry'!$$938)</f>
      </c>
      <c r="CN938">
        <f>IF(ISBLANK('Data Entry'!$$938), "", 'Data Entry'!$$938)</f>
      </c>
      <c r="CO938">
        <f>IF(ISBLANK('Data Entry'!$$938), "", 'Data Entry'!$$938)</f>
      </c>
      <c r="CP938">
        <f>IF(ISBLANK('Data Entry'!$$938), "", 'Data Entry'!$$938)</f>
      </c>
      <c r="CQ938">
        <f>IF(ISBLANK('Data Entry'!$$938), "", 'Data Entry'!$$938)</f>
      </c>
      <c r="CR938">
        <f>IF(ISBLANK('Data Entry'!$ $938), "", 'Data Entry'!$ $938)</f>
      </c>
      <c r="CS938">
        <f>IF(ISBLANK('Data Entry'!$¡$938), "", 'Data Entry'!$¡$938)</f>
      </c>
      <c r="CT938">
        <f>IF(ISBLANK('Data Entry'!$¢$938), "", 'Data Entry'!$¢$938)</f>
      </c>
      <c r="CU938">
        <f>IF(ISBLANK('Data Entry'!$£$938), "", 'Data Entry'!$£$938)</f>
      </c>
      <c r="CV938">
        <f>IF(ISBLANK('Data Entry'!$¤$938), "", 'Data Entry'!$¤$938)</f>
      </c>
      <c r="CW938">
        <f>IF(ISBLANK('Data Entry'!$¥$938), "", 'Data Entry'!$¥$938)</f>
      </c>
      <c r="CX938">
        <f>IF(ISBLANK('Data Entry'!$¦$938), "", 'Data Entry'!$¦$938)</f>
      </c>
      <c r="CY938">
        <f>IF(ISBLANK('Data Entry'!$§$938), "", 'Data Entry'!$§$938)</f>
      </c>
      <c r="CZ938">
        <f>IF(ISBLANK('Data Entry'!$¨$938), "", 'Data Entry'!$¨$938)</f>
      </c>
      <c r="DA938">
        <f>IF(ISBLANK('Data Entry'!$©$938), "", 'Data Entry'!$©$938)</f>
      </c>
      <c r="DB938">
        <f>IF(ISBLANK('Data Entry'!$ª$938), "", 'Data Entry'!$ª$938)</f>
      </c>
      <c r="DC938">
        <f>IF(ISBLANK('Data Entry'!$«$938), "", 'Data Entry'!$«$938)</f>
      </c>
      <c r="DD938">
        <f>IF(ISBLANK('Data Entry'!$¬$938), "", 'Data Entry'!$¬$938)</f>
      </c>
      <c r="DE938">
        <f>IF(ISBLANK('Data Entry'!$­$938), "", 'Data Entry'!$­$938)</f>
      </c>
      <c r="DF938">
        <f>IF(ISBLANK('Data Entry'!$®$938), "", 'Data Entry'!$®$938)</f>
      </c>
      <c r="DG938">
        <f>IF(ISBLANK('Data Entry'!$¯$938), "", 'Data Entry'!$¯$938)</f>
      </c>
      <c r="DH938">
        <f>IF(ISBLANK('Data Entry'!$°$938), "", 'Data Entry'!$°$938)</f>
      </c>
      <c r="DI938">
        <f>IF(ISBLANK('Data Entry'!$±$938), "", 'Data Entry'!$±$938)</f>
      </c>
      <c r="DJ938">
        <f>IF(ISBLANK('Data Entry'!$²$938), "", 'Data Entry'!$²$938)</f>
      </c>
      <c r="DK938">
        <f>IF(ISBLANK('Data Entry'!$³$938), "", 'Data Entry'!$³$938)</f>
      </c>
      <c r="DL938">
        <f>IF(ISBLANK('Data Entry'!$´$938), "", 'Data Entry'!$´$938)</f>
      </c>
      <c r="DM938">
        <f>IF(ISBLANK('Data Entry'!$µ$938), "", 'Data Entry'!$µ$938)</f>
      </c>
      <c r="DN938">
        <f>IF(ISBLANK('Data Entry'!$¶$938), "", 'Data Entry'!$¶$938)</f>
      </c>
      <c r="DO938">
        <f>IF(ISBLANK('Data Entry'!$·$938), "", 'Data Entry'!$·$938)</f>
      </c>
      <c r="DP938">
        <f>IF(ISBLANK('Data Entry'!$¸$938), "", 'Data Entry'!$¸$938)</f>
      </c>
      <c r="DQ938">
        <f>IF(ISBLANK('Data Entry'!$¹$938), "", 'Data Entry'!$¹$938)</f>
      </c>
      <c r="DR938">
        <f>IF(ISBLANK('Data Entry'!$º$938), "", 'Data Entry'!$º$938)</f>
      </c>
      <c r="DS938">
        <f>IF(ISBLANK('Data Entry'!$»$938), "", 'Data Entry'!$»$938)</f>
      </c>
      <c r="DT938">
        <f>IF(ISBLANK('Data Entry'!$¼$938), "", 'Data Entry'!$¼$938)</f>
      </c>
      <c r="DU938">
        <f>IF(ISBLANK('Data Entry'!$½$938), "", 'Data Entry'!$½$938)</f>
      </c>
      <c r="DV938">
        <f>IF(ISBLANK('Data Entry'!$¾$938), "", 'Data Entry'!$¾$938)</f>
      </c>
      <c r="DW938">
        <f>IF(ISBLANK('Data Entry'!$¿$938), "", 'Data Entry'!$¿$938)</f>
      </c>
      <c r="DX938">
        <f>IF(ISBLANK('Data Entry'!$À$938), "", 'Data Entry'!$À$938)</f>
      </c>
      <c r="DY938">
        <f>IF(ISBLANK('Data Entry'!$Á$938), "", 'Data Entry'!$Á$938)</f>
      </c>
      <c r="DZ938">
        <f>IF(ISBLANK('Data Entry'!$Â$938), "", 'Data Entry'!$Â$938)</f>
      </c>
      <c r="EA938">
        <f>IF(ISBLANK('Data Entry'!$Ã$938), "", 'Data Entry'!$Ã$938)</f>
      </c>
      <c r="EB938">
        <f>IF(ISBLANK('Data Entry'!$Ä$938), "", 'Data Entry'!$Ä$938)</f>
      </c>
      <c r="EC938">
        <f>IF(ISBLANK('Data Entry'!$Å$938), "", 'Data Entry'!$Å$938)</f>
      </c>
      <c r="ED938">
        <f>IF(ISBLANK('Data Entry'!$Æ$938), "", 'Data Entry'!$Æ$938)</f>
      </c>
      <c r="EE938">
        <f>IF(ISBLANK('Data Entry'!$Ç$938), "", 'Data Entry'!$Ç$938)</f>
      </c>
      <c r="EF938">
        <f>IF(ISBLANK('Data Entry'!$È$938), "", 'Data Entry'!$È$938)</f>
      </c>
      <c r="EG938">
        <f>IF(ISBLANK('Data Entry'!$É$938), "", 'Data Entry'!$É$938)</f>
      </c>
      <c r="EH938">
        <f>IF(ISBLANK('Data Entry'!$Ê$938), "", 'Data Entry'!$Ê$938)</f>
      </c>
      <c r="EI938">
        <f>IF(ISBLANK('Data Entry'!$Ë$938), "", 'Data Entry'!$Ë$938)</f>
      </c>
      <c r="EJ938">
        <f>IF(ISBLANK('Data Entry'!$Ì$938), "", 'Data Entry'!$Ì$938)</f>
      </c>
      <c r="EK938">
        <f>IF(ISBLANK('Data Entry'!$Í$938), "", 'Data Entry'!$Í$938)</f>
      </c>
      <c r="EL938">
        <f>IF(ISBLANK('Data Entry'!$Î$938), "", 'Data Entry'!$Î$938)</f>
      </c>
      <c r="EM938">
        <f>IF(ISBLANK('Data Entry'!$Ï$938), "", 'Data Entry'!$Ï$938)</f>
      </c>
      <c r="EN938">
        <f>IF(ISBLANK('Data Entry'!$Ð$938), "", 'Data Entry'!$Ð$938)</f>
      </c>
      <c r="EO938">
        <f>IF(ISBLANK('Data Entry'!$Ñ$938), "", 'Data Entry'!$Ñ$938)</f>
      </c>
      <c r="EP938">
        <f>IF(ISBLANK('Data Entry'!$Ò$938), "", 'Data Entry'!$Ò$938)</f>
      </c>
      <c r="EQ938">
        <f>IF(ISBLANK('Data Entry'!$Ó$938), "", 'Data Entry'!$Ó$938)</f>
      </c>
      <c r="ER938">
        <f>IF(ISBLANK('Data Entry'!$Ô$938), "", 'Data Entry'!$Ô$938)</f>
      </c>
      <c r="ES938">
        <f>IF(ISBLANK('Data Entry'!$Õ$938), "", 'Data Entry'!$Õ$938)</f>
      </c>
      <c r="ET938">
        <f>IF(ISBLANK('Data Entry'!$Ö$938), "", 'Data Entry'!$Ö$938)</f>
      </c>
      <c r="EU938">
        <f>IF(ISBLANK('Data Entry'!$×$938), "", 'Data Entry'!$×$938)</f>
      </c>
      <c r="EV938">
        <f>IF(ISBLANK('Data Entry'!$Ø$938), "", 'Data Entry'!$Ø$938)</f>
      </c>
      <c r="EW938">
        <f>IF(ISBLANK('Data Entry'!$Ù$938), "", 'Data Entry'!$Ù$938)</f>
      </c>
      <c r="EX938">
        <f>IF(ISBLANK('Data Entry'!$Ú$938), "", 'Data Entry'!$Ú$938)</f>
      </c>
      <c r="EY938">
        <f>IF(ISBLANK('Data Entry'!$Û$938), "", 'Data Entry'!$Û$938)</f>
      </c>
      <c r="EZ938">
        <f>IF(ISBLANK('Data Entry'!$Ü$938), "", 'Data Entry'!$Ü$938)</f>
      </c>
      <c r="FA938">
        <f>IF(ISBLANK('Data Entry'!$Ý$938), "", 'Data Entry'!$Ý$938)</f>
      </c>
      <c r="FB938">
        <f>IF(ISBLANK('Data Entry'!$Þ$938), "", 'Data Entry'!$Þ$938)</f>
      </c>
      <c r="FC938">
        <f>IF(ISBLANK('Data Entry'!$ß$938), "", 'Data Entry'!$ß$938)</f>
      </c>
      <c r="FD938">
        <f>IF(ISBLANK('Data Entry'!$à$938), "", 'Data Entry'!$à$938)</f>
      </c>
      <c r="FE938">
        <f>IF(ISBLANK('Data Entry'!$á$938), "", 'Data Entry'!$á$938)</f>
      </c>
      <c r="FF938">
        <f>IF(ISBLANK('Data Entry'!$â$938), "", 'Data Entry'!$â$938)</f>
      </c>
      <c r="FG938">
        <f>IF(ISBLANK('Data Entry'!$ã$938), "", 'Data Entry'!$ã$938)</f>
      </c>
      <c r="FH938">
        <f>IF(ISBLANK('Data Entry'!$ä$938), "", 'Data Entry'!$ä$938)</f>
      </c>
      <c r="FI938">
        <f>IF(ISBLANK('Data Entry'!$å$938), "", 'Data Entry'!$å$938)</f>
      </c>
      <c r="FJ938">
        <f>IF(ISBLANK('Data Entry'!$æ$938), "", 'Data Entry'!$æ$938)</f>
      </c>
      <c r="FK938">
        <f>IF(ISBLANK('Data Entry'!$ç$938), "", 'Data Entry'!$ç$938)</f>
      </c>
      <c r="FL938">
        <f>IF(ISBLANK('Data Entry'!$è$938), "", 'Data Entry'!$è$938)</f>
      </c>
      <c r="FM938">
        <f>IF(ISBLANK('Data Entry'!$é$938), "", 'Data Entry'!$é$938)</f>
      </c>
      <c r="FN938">
        <f>IF(ISBLANK('Data Entry'!$ê$938), "", 'Data Entry'!$ê$938)</f>
      </c>
      <c r="FO938">
        <f>IF(ISBLANK('Data Entry'!$ë$938), "", 'Data Entry'!$ë$938)</f>
      </c>
      <c r="FP938">
        <f>IF(ISBLANK('Data Entry'!$ì$938), "", 'Data Entry'!$ì$938)</f>
      </c>
      <c r="FQ938">
        <f>IF(ISBLANK('Data Entry'!$í$938), "", 'Data Entry'!$í$938)</f>
      </c>
      <c r="FR938">
        <f>IF(ISBLANK('Data Entry'!$î$938), "", 'Data Entry'!$î$938)</f>
      </c>
      <c r="FS938">
        <f>IF(ISBLANK('Data Entry'!$ï$938), "", 'Data Entry'!$ï$938)</f>
      </c>
      <c r="FT938">
        <f>IF(ISBLANK('Data Entry'!$ð$938), "", 'Data Entry'!$ð$938)</f>
      </c>
      <c r="FU938">
        <f>IF(ISBLANK('Data Entry'!$ñ$938), "", 'Data Entry'!$ñ$938)</f>
      </c>
      <c r="FV938">
        <f>IF(ISBLANK('Data Entry'!$ò$938), "", 'Data Entry'!$ò$938)</f>
      </c>
      <c r="FW938">
        <f>IF(ISBLANK('Data Entry'!$ó$938), "", 'Data Entry'!$ó$938)</f>
      </c>
      <c r="FX938">
        <f>IF(ISBLANK('Data Entry'!$ô$938), "", 'Data Entry'!$ô$938)</f>
      </c>
      <c r="FY938">
        <f>IF(ISBLANK('Data Entry'!$õ$938), "", 'Data Entry'!$õ$938)</f>
      </c>
      <c r="FZ938">
        <f>IF(ISBLANK('Data Entry'!$ö$938), "", 'Data Entry'!$ö$938)</f>
      </c>
      <c r="GA938">
        <f>IF(ISBLANK('Data Entry'!$÷$938), "", 'Data Entry'!$÷$938)</f>
      </c>
      <c r="GB938">
        <f>IF(ISBLANK('Data Entry'!$ø$938), "", 'Data Entry'!$ø$938)</f>
      </c>
      <c r="GC938">
        <f>IF(ISBLANK('Data Entry'!$ù$938), "", 'Data Entry'!$ù$938)</f>
      </c>
      <c r="GD938">
        <f>IF(ISBLANK('Data Entry'!$ú$938), "", 'Data Entry'!$ú$938)</f>
      </c>
      <c r="GE938">
        <f>IF(ISBLANK('Data Entry'!$û$938), "", 'Data Entry'!$û$938)</f>
      </c>
      <c r="GF938">
        <f>IF(ISBLANK('Data Entry'!$ü$938), "", 'Data Entry'!$ü$938)</f>
      </c>
      <c r="GG938">
        <f>IF(ISBLANK('Data Entry'!$ý$938), "", 'Data Entry'!$ý$938)</f>
      </c>
      <c r="GH938">
        <f>IF(ISBLANK('Data Entry'!$þ$938), "", 'Data Entry'!$þ$938)</f>
      </c>
      <c r="GI938">
        <f>IF(ISBLANK('Data Entry'!$ÿ$938), "", 'Data Entry'!$ÿ$938)</f>
      </c>
      <c r="GJ938">
        <f>IF(ISBLANK('Data Entry'!$Ā$938), "", 'Data Entry'!$Ā$938)</f>
      </c>
      <c r="GK938">
        <f>IF(ISBLANK('Data Entry'!$ā$938), "", 'Data Entry'!$ā$938)</f>
      </c>
      <c r="GL938">
        <f>IF(ISBLANK('Data Entry'!$Ă$938), "", 'Data Entry'!$Ă$938)</f>
      </c>
      <c r="GM938">
        <f>IF(ISBLANK('Data Entry'!$ă$938), "", 'Data Entry'!$ă$938)</f>
      </c>
      <c r="GN938">
        <f>IF(ISBLANK('Data Entry'!$Ą$938), "", 'Data Entry'!$Ą$938)</f>
      </c>
      <c r="GO938">
        <f>IF(ISBLANK('Data Entry'!$ą$938), "", 'Data Entry'!$ą$938)</f>
      </c>
      <c r="GP938">
        <f>IF(ISBLANK('Data Entry'!$Ć$938), "", 'Data Entry'!$Ć$938)</f>
      </c>
      <c r="GQ938">
        <f>IF(ISBLANK('Data Entry'!$ć$938), "", 'Data Entry'!$ć$938)</f>
      </c>
      <c r="GR938">
        <f>IF(ISBLANK('Data Entry'!$Ĉ$938), "", 'Data Entry'!$Ĉ$938)</f>
      </c>
      <c r="GS938">
        <f>IF(ISBLANK('Data Entry'!$ĉ$938), "", 'Data Entry'!$ĉ$938)</f>
      </c>
      <c r="GT938">
        <f>IF(ISBLANK('Data Entry'!$Ċ$938), "", 'Data Entry'!$Ċ$938)</f>
      </c>
      <c r="GU938">
        <f>IF(ISBLANK('Data Entry'!$ċ$938), "", 'Data Entry'!$ċ$938)</f>
      </c>
      <c r="GV938">
        <f>IF(ISBLANK('Data Entry'!$Č$938), "", 'Data Entry'!$Č$938)</f>
      </c>
      <c r="GW938">
        <f>IF(ISBLANK('Data Entry'!$č$938), "", 'Data Entry'!$č$938)</f>
      </c>
      <c r="GX938">
        <f>IF(ISBLANK('Data Entry'!$Ď$938), "", 'Data Entry'!$Ď$938)</f>
      </c>
      <c r="GY938">
        <f>IF(ISBLANK('Data Entry'!$ď$938), "", 'Data Entry'!$ď$938)</f>
      </c>
      <c r="GZ938">
        <f>IF(ISBLANK('Data Entry'!$Đ$938), "", 'Data Entry'!$Đ$938)</f>
      </c>
      <c r="HA938">
        <f>IF(ISBLANK('Data Entry'!$đ$938), "", 'Data Entry'!$đ$938)</f>
      </c>
      <c r="HB938">
        <f>IF(ISBLANK('Data Entry'!$Ē$938), "", 'Data Entry'!$Ē$938)</f>
      </c>
      <c r="HC938">
        <f>IF(ISBLANK('Data Entry'!$ē$938), "", 'Data Entry'!$ē$938)</f>
      </c>
      <c r="HD938">
        <f>IF(ISBLANK('Data Entry'!$Ĕ$938), "", 'Data Entry'!$Ĕ$938)</f>
      </c>
      <c r="HE938">
        <f>IF(ISBLANK('Data Entry'!$ĕ$938), "", 'Data Entry'!$ĕ$938)</f>
      </c>
      <c r="HF938">
        <f>IF(ISBLANK('Data Entry'!$Ė$938), "", 'Data Entry'!$Ė$938)</f>
      </c>
      <c r="HG938">
        <f>IF(ISBLANK('Data Entry'!$ė$938), "", 'Data Entry'!$ė$938)</f>
      </c>
      <c r="HH938">
        <f>IF(ISBLANK('Data Entry'!$Ę$938), "", 'Data Entry'!$Ę$938)</f>
      </c>
      <c r="HI938">
        <f>IF(ISBLANK('Data Entry'!$ę$938), "", 'Data Entry'!$ę$938)</f>
      </c>
      <c r="HJ938">
        <f>IF(ISBLANK('Data Entry'!$Ě$938), "", 'Data Entry'!$Ě$938)</f>
      </c>
      <c r="HK938">
        <f>IF(ISBLANK('Data Entry'!$ě$938), "", 'Data Entry'!$ě$938)</f>
      </c>
      <c r="HL938">
        <f>IF(ISBLANK('Data Entry'!$Ĝ$938), "", 'Data Entry'!$Ĝ$938)</f>
      </c>
      <c r="HM938">
        <f>IF(ISBLANK('Data Entry'!$ĝ$938), "", 'Data Entry'!$ĝ$938)</f>
      </c>
      <c r="HN938">
        <f>IF(ISBLANK('Data Entry'!$Ğ$938), "", 'Data Entry'!$Ğ$938)</f>
      </c>
      <c r="HO938">
        <f>IF(ISBLANK('Data Entry'!$ğ$938), "", 'Data Entry'!$ğ$938)</f>
      </c>
      <c r="HP938">
        <f>IF(ISBLANK('Data Entry'!$Ġ$938), "", 'Data Entry'!$Ġ$938)</f>
      </c>
      <c r="HQ938">
        <f>IF(ISBLANK('Data Entry'!$ġ$938), "", 'Data Entry'!$ġ$938)</f>
      </c>
      <c r="HR938">
        <f>IF(ISBLANK('Data Entry'!$Ģ$938), "", 'Data Entry'!$Ģ$938)</f>
      </c>
      <c r="HS938">
        <f>IF(ISBLANK('Data Entry'!$ģ$938), "", 'Data Entry'!$ģ$938)</f>
      </c>
      <c r="HT938">
        <f>IF(ISBLANK('Data Entry'!$Ĥ$938), "", 'Data Entry'!$Ĥ$938)</f>
      </c>
      <c r="HU938">
        <f>IF(ISBLANK('Data Entry'!$ĥ$938), "", 'Data Entry'!$ĥ$938)</f>
      </c>
      <c r="HV938">
        <f>IF(ISBLANK('Data Entry'!$Ħ$938), "", 'Data Entry'!$Ħ$938)</f>
      </c>
      <c r="HW938">
        <f>IF(ISBLANK('Data Entry'!$ħ$938), "", 'Data Entry'!$ħ$938)</f>
      </c>
      <c r="HX938">
        <f>IF(ISBLANK('Data Entry'!$Ĩ$938), "", 'Data Entry'!$Ĩ$938)</f>
      </c>
      <c r="HY938">
        <f>IF(ISBLANK('Data Entry'!$ĩ$938), "", 'Data Entry'!$ĩ$938)</f>
      </c>
      <c r="HZ938">
        <f>IF(ISBLANK('Data Entry'!$Ī$938), "", 'Data Entry'!$Ī$938)</f>
      </c>
      <c r="IA938">
        <f>IF(ISBLANK('Data Entry'!$ī$938), "", 'Data Entry'!$ī$938)</f>
      </c>
      <c r="IB938">
        <f>IF(ISBLANK('Data Entry'!$Ĭ$938), "", 'Data Entry'!$Ĭ$938)</f>
      </c>
      <c r="IC938">
        <f>IF(ISBLANK('Data Entry'!$ĭ$938), "", 'Data Entry'!$ĭ$938)</f>
      </c>
      <c r="ID938">
        <f>IF(ISBLANK('Data Entry'!$Į$938), "", 'Data Entry'!$Į$938)</f>
      </c>
      <c r="IE938">
        <f>IF(ISBLANK('Data Entry'!$į$938), "", 'Data Entry'!$į$938)</f>
      </c>
      <c r="IF938">
        <f>IF(ISBLANK('Data Entry'!$İ$938), "", 'Data Entry'!$İ$938)</f>
      </c>
      <c r="IG938">
        <f>IF(ISBLANK('Data Entry'!$ı$938), "", 'Data Entry'!$ı$938)</f>
      </c>
      <c r="IH938">
        <f>IF(ISBLANK('Data Entry'!$Ĳ$938), "", 'Data Entry'!$Ĳ$938)</f>
      </c>
      <c r="II938">
        <f>IF(ISBLANK('Data Entry'!$ĳ$938), "", 'Data Entry'!$ĳ$938)</f>
      </c>
      <c r="IJ938">
        <f>IF(ISBLANK('Data Entry'!$Ĵ$938), "", 'Data Entry'!$Ĵ$938)</f>
      </c>
      <c r="IK938">
        <f>IF(ISBLANK('Data Entry'!$ĵ$938), "", 'Data Entry'!$ĵ$938)</f>
      </c>
      <c r="IL938">
        <f>IF(ISBLANK('Data Entry'!$Ķ$938), "", 'Data Entry'!$Ķ$938)</f>
      </c>
      <c r="IM938">
        <f>IF(ISBLANK('Data Entry'!$ķ$938), "", 'Data Entry'!$ķ$938)</f>
      </c>
      <c r="IN938">
        <f>IF(ISBLANK('Data Entry'!$ĸ$938), "", 'Data Entry'!$ĸ$938)</f>
      </c>
      <c r="IO938">
        <f>IF(ISBLANK('Data Entry'!$Ĺ$938), "", 'Data Entry'!$Ĺ$938)</f>
      </c>
      <c r="IP938">
        <f>IF(ISBLANK('Data Entry'!$ĺ$938), "", 'Data Entry'!$ĺ$938)</f>
      </c>
      <c r="IQ938">
        <f>IF(ISBLANK('Data Entry'!$Ļ$938), "", 'Data Entry'!$Ļ$938)</f>
      </c>
      <c r="IR938">
        <f>IF(ISBLANK('Data Entry'!$ļ$938), "", 'Data Entry'!$ļ$938)</f>
      </c>
      <c r="IS938">
        <f>IF(ISBLANK('Data Entry'!$Ľ$938), "", 'Data Entry'!$Ľ$938)</f>
      </c>
      <c r="IT938">
        <f>IF(ISBLANK('Data Entry'!$ľ$938), "", 'Data Entry'!$ľ$938)</f>
      </c>
    </row>
    <row r="939" spans="1:254" x14ac:dyDescent="0.25">
      <c r="A939">
        <f>IF(ISBLANK('Data Entry'!$A$939), "", 'Data Entry'!$A$939)</f>
      </c>
      <c r="B939">
        <f>IF(ISBLANK('Data Entry'!$B$939), "", 'Data Entry'!$B$939)</f>
      </c>
      <c r="C939">
        <f>IF(ISBLANK('Data Entry'!$C$939), "", 'Data Entry'!$C$939)</f>
      </c>
      <c r="D939">
        <f>IF(ISBLANK('Data Entry'!$D$939), "", 'Data Entry'!$D$939)</f>
      </c>
      <c r="E939">
        <f>IF(ISBLANK('Data Entry'!$E$939), "", 'Data Entry'!$E$939)</f>
      </c>
      <c r="F939">
        <f>IF(ISBLANK('Data Entry'!$F$939), "", 'Data Entry'!$F$939)</f>
      </c>
      <c r="G939">
        <f>IF(ISBLANK('Data Entry'!$G$939), "", 'Data Entry'!$G$939)</f>
      </c>
      <c r="H939">
        <f>IF(ISBLANK('Data Entry'!$H$939), "", 'Data Entry'!$H$939)</f>
      </c>
      <c r="I939">
        <f>IF(ISBLANK('Data Entry'!$I$939), "", 'Data Entry'!$I$939)</f>
      </c>
      <c r="J939">
        <f>IF(ISBLANK('Data Entry'!$J$939), "", 'Data Entry'!$J$939)</f>
      </c>
      <c r="K939">
        <f>IF(ISBLANK('Data Entry'!$K$939), "", 'Data Entry'!$K$939)</f>
      </c>
      <c r="L939">
        <f>IF(ISBLANK('Data Entry'!$L$939), "", 'Data Entry'!$L$939)</f>
      </c>
      <c r="M939">
        <f>IF(ISBLANK('Data Entry'!$M$939), "", 'Data Entry'!$M$939)</f>
      </c>
      <c r="N939">
        <f>IF(ISBLANK('Data Entry'!$N$939), "", 'Data Entry'!$N$939)</f>
      </c>
      <c r="O939">
        <f>IF(ISBLANK('Data Entry'!$O$939), "", 'Data Entry'!$O$939)</f>
      </c>
      <c r="P939">
        <f>IF(ISBLANK('Data Entry'!$P$939), "", 'Data Entry'!$P$939)</f>
      </c>
      <c r="Q939">
        <f>IF(ISBLANK('Data Entry'!$Q$939), "", 'Data Entry'!$Q$939)</f>
      </c>
      <c r="R939">
        <f>IF(ISBLANK('Data Entry'!$R$939), "", 'Data Entry'!$R$939)</f>
      </c>
      <c r="S939">
        <f>IF(ISBLANK('Data Entry'!$S$939), "", 'Data Entry'!$S$939)</f>
      </c>
      <c r="T939">
        <f>IF(ISBLANK('Data Entry'!$T$939), "", 'Data Entry'!$T$939)</f>
      </c>
      <c r="U939">
        <f>IF(ISBLANK('Data Entry'!$U$939), "", 'Data Entry'!$U$939)</f>
      </c>
      <c r="V939">
        <f>IF(ISBLANK('Data Entry'!$V$939), "", 'Data Entry'!$V$939)</f>
      </c>
      <c r="W939">
        <f>IF(ISBLANK('Data Entry'!$W$939), "", 'Data Entry'!$W$939)</f>
      </c>
      <c r="X939">
        <f>IF(ISBLANK('Data Entry'!$X$939), "", 'Data Entry'!$X$939)</f>
      </c>
      <c r="Y939">
        <f>IF(ISBLANK('Data Entry'!$Y$939), "", 'Data Entry'!$Y$939)</f>
      </c>
      <c r="Z939">
        <f>IF(ISBLANK('Data Entry'!$Z$939), "", 'Data Entry'!$Z$939)</f>
      </c>
      <c r="AA939">
        <f>IF(ISBLANK('Data Entry'!$[$939), "", 'Data Entry'!$[$939)</f>
      </c>
      <c r="AB939">
        <f>IF(ISBLANK('Data Entry'!$\$939), "", 'Data Entry'!$\$939)</f>
      </c>
      <c r="AC939">
        <f>IF(ISBLANK('Data Entry'!$]$939), "", 'Data Entry'!$]$939)</f>
      </c>
      <c r="AD939">
        <f>IF(ISBLANK('Data Entry'!$^$939), "", 'Data Entry'!$^$939)</f>
      </c>
      <c r="AE939">
        <f>IF(ISBLANK('Data Entry'!$_$939), "", 'Data Entry'!$_$939)</f>
      </c>
      <c r="AF939">
        <f>IF(ISBLANK('Data Entry'!$`$939), "", 'Data Entry'!$`$939)</f>
      </c>
      <c r="AG939">
        <f>IF(ISBLANK('Data Entry'!$a$939), "", 'Data Entry'!$a$939)</f>
      </c>
      <c r="AH939">
        <f>IF(ISBLANK('Data Entry'!$b$939), "", 'Data Entry'!$b$939)</f>
      </c>
      <c r="AI939">
        <f>IF(ISBLANK('Data Entry'!$c$939), "", 'Data Entry'!$c$939)</f>
      </c>
      <c r="AJ939">
        <f>IF(ISBLANK('Data Entry'!$d$939), "", 'Data Entry'!$d$939)</f>
      </c>
      <c r="AK939">
        <f>IF(ISBLANK('Data Entry'!$e$939), "", 'Data Entry'!$e$939)</f>
      </c>
      <c r="AL939">
        <f>IF(ISBLANK('Data Entry'!$f$939), "", 'Data Entry'!$f$939)</f>
      </c>
      <c r="AM939">
        <f>IF(ISBLANK('Data Entry'!$g$939), "", 'Data Entry'!$g$939)</f>
      </c>
      <c r="AN939">
        <f>IF(ISBLANK('Data Entry'!$h$939), "", 'Data Entry'!$h$939)</f>
      </c>
      <c r="AO939">
        <f>IF(ISBLANK('Data Entry'!$i$939), "", 'Data Entry'!$i$939)</f>
      </c>
      <c r="AP939">
        <f>IF(ISBLANK('Data Entry'!$j$939), "", 'Data Entry'!$j$939)</f>
      </c>
      <c r="AQ939">
        <f>IF(ISBLANK('Data Entry'!$k$939), "", 'Data Entry'!$k$939)</f>
      </c>
      <c r="AR939">
        <f>IF(ISBLANK('Data Entry'!$l$939), "", 'Data Entry'!$l$939)</f>
      </c>
      <c r="AS939">
        <f>IF(ISBLANK('Data Entry'!$m$939), "", 'Data Entry'!$m$939)</f>
      </c>
      <c r="AT939">
        <f>IF(ISBLANK('Data Entry'!$n$939), "", 'Data Entry'!$n$939)</f>
      </c>
      <c r="AU939">
        <f>IF(ISBLANK('Data Entry'!$o$939), "", 'Data Entry'!$o$939)</f>
      </c>
      <c r="AV939">
        <f>IF(ISBLANK('Data Entry'!$p$939), "", 'Data Entry'!$p$939)</f>
      </c>
      <c r="AW939">
        <f>IF(ISBLANK('Data Entry'!$q$939), "", 'Data Entry'!$q$939)</f>
      </c>
      <c r="AX939">
        <f>IF(ISBLANK('Data Entry'!$r$939), "", 'Data Entry'!$r$939)</f>
      </c>
      <c r="AY939">
        <f>IF(ISBLANK('Data Entry'!$s$939), "", 'Data Entry'!$s$939)</f>
      </c>
      <c r="AZ939">
        <f>IF(ISBLANK('Data Entry'!$t$939), "", 'Data Entry'!$t$939)</f>
      </c>
      <c r="BA939">
        <f>IF(ISBLANK('Data Entry'!$u$939), "", 'Data Entry'!$u$939)</f>
      </c>
      <c r="BB939">
        <f>IF(ISBLANK('Data Entry'!$v$939), "", 'Data Entry'!$v$939)</f>
      </c>
      <c r="BC939">
        <f>IF(ISBLANK('Data Entry'!$w$939), "", 'Data Entry'!$w$939)</f>
      </c>
      <c r="BD939">
        <f>IF(ISBLANK('Data Entry'!$x$939), "", 'Data Entry'!$x$939)</f>
      </c>
      <c r="BE939">
        <f>IF(ISBLANK('Data Entry'!$y$939), "", 'Data Entry'!$y$939)</f>
      </c>
      <c r="BF939">
        <f>IF(ISBLANK('Data Entry'!$z$939), "", 'Data Entry'!$z$939)</f>
      </c>
      <c r="BG939">
        <f>IF(ISBLANK('Data Entry'!${$939), "", 'Data Entry'!${$939)</f>
      </c>
      <c r="BH939">
        <f>IF(ISBLANK('Data Entry'!$|$939), "", 'Data Entry'!$|$939)</f>
      </c>
      <c r="BI939">
        <f>IF(ISBLANK('Data Entry'!$}$939), "", 'Data Entry'!$}$939)</f>
      </c>
      <c r="BJ939">
        <f>IF(ISBLANK('Data Entry'!$~$939), "", 'Data Entry'!$~$939)</f>
      </c>
      <c r="BK939">
        <f>IF(ISBLANK('Data Entry'!$$939), "", 'Data Entry'!$$939)</f>
      </c>
      <c r="BL939">
        <f>IF(ISBLANK('Data Entry'!$$939), "", 'Data Entry'!$$939)</f>
      </c>
      <c r="BM939">
        <f>IF(ISBLANK('Data Entry'!$$939), "", 'Data Entry'!$$939)</f>
      </c>
      <c r="BN939">
        <f>IF(ISBLANK('Data Entry'!$$939), "", 'Data Entry'!$$939)</f>
      </c>
      <c r="BO939">
        <f>IF(ISBLANK('Data Entry'!$$939), "", 'Data Entry'!$$939)</f>
      </c>
      <c r="BP939">
        <f>IF(ISBLANK('Data Entry'!$$939), "", 'Data Entry'!$$939)</f>
      </c>
      <c r="BQ939">
        <f>IF(ISBLANK('Data Entry'!$$939), "", 'Data Entry'!$$939)</f>
      </c>
      <c r="BR939">
        <f>IF(ISBLANK('Data Entry'!$$939), "", 'Data Entry'!$$939)</f>
      </c>
      <c r="BS939">
        <f>IF(ISBLANK('Data Entry'!$$939), "", 'Data Entry'!$$939)</f>
      </c>
      <c r="BT939">
        <f>IF(ISBLANK('Data Entry'!$$939), "", 'Data Entry'!$$939)</f>
      </c>
      <c r="BU939">
        <f>IF(ISBLANK('Data Entry'!$$939), "", 'Data Entry'!$$939)</f>
      </c>
      <c r="BV939">
        <f>IF(ISBLANK('Data Entry'!$$939), "", 'Data Entry'!$$939)</f>
      </c>
      <c r="BW939">
        <f>IF(ISBLANK('Data Entry'!$$939), "", 'Data Entry'!$$939)</f>
      </c>
      <c r="BX939">
        <f>IF(ISBLANK('Data Entry'!$$939), "", 'Data Entry'!$$939)</f>
      </c>
      <c r="BY939">
        <f>IF(ISBLANK('Data Entry'!$$939), "", 'Data Entry'!$$939)</f>
      </c>
      <c r="BZ939">
        <f>IF(ISBLANK('Data Entry'!$$939), "", 'Data Entry'!$$939)</f>
      </c>
      <c r="CA939">
        <f>IF(ISBLANK('Data Entry'!$$939), "", 'Data Entry'!$$939)</f>
      </c>
      <c r="CB939">
        <f>IF(ISBLANK('Data Entry'!$$939), "", 'Data Entry'!$$939)</f>
      </c>
      <c r="CC939">
        <f>IF(ISBLANK('Data Entry'!$$939), "", 'Data Entry'!$$939)</f>
      </c>
      <c r="CD939">
        <f>IF(ISBLANK('Data Entry'!$$939), "", 'Data Entry'!$$939)</f>
      </c>
      <c r="CE939">
        <f>IF(ISBLANK('Data Entry'!$$939), "", 'Data Entry'!$$939)</f>
      </c>
      <c r="CF939">
        <f>IF(ISBLANK('Data Entry'!$$939), "", 'Data Entry'!$$939)</f>
      </c>
      <c r="CG939">
        <f>IF(ISBLANK('Data Entry'!$$939), "", 'Data Entry'!$$939)</f>
      </c>
      <c r="CH939">
        <f>IF(ISBLANK('Data Entry'!$$939), "", 'Data Entry'!$$939)</f>
      </c>
      <c r="CI939">
        <f>IF(ISBLANK('Data Entry'!$$939), "", 'Data Entry'!$$939)</f>
      </c>
      <c r="CJ939">
        <f>IF(ISBLANK('Data Entry'!$$939), "", 'Data Entry'!$$939)</f>
      </c>
      <c r="CK939">
        <f>IF(ISBLANK('Data Entry'!$$939), "", 'Data Entry'!$$939)</f>
      </c>
      <c r="CL939">
        <f>IF(ISBLANK('Data Entry'!$$939), "", 'Data Entry'!$$939)</f>
      </c>
      <c r="CM939">
        <f>IF(ISBLANK('Data Entry'!$$939), "", 'Data Entry'!$$939)</f>
      </c>
      <c r="CN939">
        <f>IF(ISBLANK('Data Entry'!$$939), "", 'Data Entry'!$$939)</f>
      </c>
      <c r="CO939">
        <f>IF(ISBLANK('Data Entry'!$$939), "", 'Data Entry'!$$939)</f>
      </c>
      <c r="CP939">
        <f>IF(ISBLANK('Data Entry'!$$939), "", 'Data Entry'!$$939)</f>
      </c>
      <c r="CQ939">
        <f>IF(ISBLANK('Data Entry'!$$939), "", 'Data Entry'!$$939)</f>
      </c>
      <c r="CR939">
        <f>IF(ISBLANK('Data Entry'!$ $939), "", 'Data Entry'!$ $939)</f>
      </c>
      <c r="CS939">
        <f>IF(ISBLANK('Data Entry'!$¡$939), "", 'Data Entry'!$¡$939)</f>
      </c>
      <c r="CT939">
        <f>IF(ISBLANK('Data Entry'!$¢$939), "", 'Data Entry'!$¢$939)</f>
      </c>
      <c r="CU939">
        <f>IF(ISBLANK('Data Entry'!$£$939), "", 'Data Entry'!$£$939)</f>
      </c>
      <c r="CV939">
        <f>IF(ISBLANK('Data Entry'!$¤$939), "", 'Data Entry'!$¤$939)</f>
      </c>
      <c r="CW939">
        <f>IF(ISBLANK('Data Entry'!$¥$939), "", 'Data Entry'!$¥$939)</f>
      </c>
      <c r="CX939">
        <f>IF(ISBLANK('Data Entry'!$¦$939), "", 'Data Entry'!$¦$939)</f>
      </c>
      <c r="CY939">
        <f>IF(ISBLANK('Data Entry'!$§$939), "", 'Data Entry'!$§$939)</f>
      </c>
      <c r="CZ939">
        <f>IF(ISBLANK('Data Entry'!$¨$939), "", 'Data Entry'!$¨$939)</f>
      </c>
      <c r="DA939">
        <f>IF(ISBLANK('Data Entry'!$©$939), "", 'Data Entry'!$©$939)</f>
      </c>
      <c r="DB939">
        <f>IF(ISBLANK('Data Entry'!$ª$939), "", 'Data Entry'!$ª$939)</f>
      </c>
      <c r="DC939">
        <f>IF(ISBLANK('Data Entry'!$«$939), "", 'Data Entry'!$«$939)</f>
      </c>
      <c r="DD939">
        <f>IF(ISBLANK('Data Entry'!$¬$939), "", 'Data Entry'!$¬$939)</f>
      </c>
      <c r="DE939">
        <f>IF(ISBLANK('Data Entry'!$­$939), "", 'Data Entry'!$­$939)</f>
      </c>
      <c r="DF939">
        <f>IF(ISBLANK('Data Entry'!$®$939), "", 'Data Entry'!$®$939)</f>
      </c>
      <c r="DG939">
        <f>IF(ISBLANK('Data Entry'!$¯$939), "", 'Data Entry'!$¯$939)</f>
      </c>
      <c r="DH939">
        <f>IF(ISBLANK('Data Entry'!$°$939), "", 'Data Entry'!$°$939)</f>
      </c>
      <c r="DI939">
        <f>IF(ISBLANK('Data Entry'!$±$939), "", 'Data Entry'!$±$939)</f>
      </c>
      <c r="DJ939">
        <f>IF(ISBLANK('Data Entry'!$²$939), "", 'Data Entry'!$²$939)</f>
      </c>
      <c r="DK939">
        <f>IF(ISBLANK('Data Entry'!$³$939), "", 'Data Entry'!$³$939)</f>
      </c>
      <c r="DL939">
        <f>IF(ISBLANK('Data Entry'!$´$939), "", 'Data Entry'!$´$939)</f>
      </c>
      <c r="DM939">
        <f>IF(ISBLANK('Data Entry'!$µ$939), "", 'Data Entry'!$µ$939)</f>
      </c>
      <c r="DN939">
        <f>IF(ISBLANK('Data Entry'!$¶$939), "", 'Data Entry'!$¶$939)</f>
      </c>
      <c r="DO939">
        <f>IF(ISBLANK('Data Entry'!$·$939), "", 'Data Entry'!$·$939)</f>
      </c>
      <c r="DP939">
        <f>IF(ISBLANK('Data Entry'!$¸$939), "", 'Data Entry'!$¸$939)</f>
      </c>
      <c r="DQ939">
        <f>IF(ISBLANK('Data Entry'!$¹$939), "", 'Data Entry'!$¹$939)</f>
      </c>
      <c r="DR939">
        <f>IF(ISBLANK('Data Entry'!$º$939), "", 'Data Entry'!$º$939)</f>
      </c>
      <c r="DS939">
        <f>IF(ISBLANK('Data Entry'!$»$939), "", 'Data Entry'!$»$939)</f>
      </c>
      <c r="DT939">
        <f>IF(ISBLANK('Data Entry'!$¼$939), "", 'Data Entry'!$¼$939)</f>
      </c>
      <c r="DU939">
        <f>IF(ISBLANK('Data Entry'!$½$939), "", 'Data Entry'!$½$939)</f>
      </c>
      <c r="DV939">
        <f>IF(ISBLANK('Data Entry'!$¾$939), "", 'Data Entry'!$¾$939)</f>
      </c>
      <c r="DW939">
        <f>IF(ISBLANK('Data Entry'!$¿$939), "", 'Data Entry'!$¿$939)</f>
      </c>
      <c r="DX939">
        <f>IF(ISBLANK('Data Entry'!$À$939), "", 'Data Entry'!$À$939)</f>
      </c>
      <c r="DY939">
        <f>IF(ISBLANK('Data Entry'!$Á$939), "", 'Data Entry'!$Á$939)</f>
      </c>
      <c r="DZ939">
        <f>IF(ISBLANK('Data Entry'!$Â$939), "", 'Data Entry'!$Â$939)</f>
      </c>
      <c r="EA939">
        <f>IF(ISBLANK('Data Entry'!$Ã$939), "", 'Data Entry'!$Ã$939)</f>
      </c>
      <c r="EB939">
        <f>IF(ISBLANK('Data Entry'!$Ä$939), "", 'Data Entry'!$Ä$939)</f>
      </c>
      <c r="EC939">
        <f>IF(ISBLANK('Data Entry'!$Å$939), "", 'Data Entry'!$Å$939)</f>
      </c>
      <c r="ED939">
        <f>IF(ISBLANK('Data Entry'!$Æ$939), "", 'Data Entry'!$Æ$939)</f>
      </c>
      <c r="EE939">
        <f>IF(ISBLANK('Data Entry'!$Ç$939), "", 'Data Entry'!$Ç$939)</f>
      </c>
      <c r="EF939">
        <f>IF(ISBLANK('Data Entry'!$È$939), "", 'Data Entry'!$È$939)</f>
      </c>
      <c r="EG939">
        <f>IF(ISBLANK('Data Entry'!$É$939), "", 'Data Entry'!$É$939)</f>
      </c>
      <c r="EH939">
        <f>IF(ISBLANK('Data Entry'!$Ê$939), "", 'Data Entry'!$Ê$939)</f>
      </c>
      <c r="EI939">
        <f>IF(ISBLANK('Data Entry'!$Ë$939), "", 'Data Entry'!$Ë$939)</f>
      </c>
      <c r="EJ939">
        <f>IF(ISBLANK('Data Entry'!$Ì$939), "", 'Data Entry'!$Ì$939)</f>
      </c>
      <c r="EK939">
        <f>IF(ISBLANK('Data Entry'!$Í$939), "", 'Data Entry'!$Í$939)</f>
      </c>
      <c r="EL939">
        <f>IF(ISBLANK('Data Entry'!$Î$939), "", 'Data Entry'!$Î$939)</f>
      </c>
      <c r="EM939">
        <f>IF(ISBLANK('Data Entry'!$Ï$939), "", 'Data Entry'!$Ï$939)</f>
      </c>
      <c r="EN939">
        <f>IF(ISBLANK('Data Entry'!$Ð$939), "", 'Data Entry'!$Ð$939)</f>
      </c>
      <c r="EO939">
        <f>IF(ISBLANK('Data Entry'!$Ñ$939), "", 'Data Entry'!$Ñ$939)</f>
      </c>
      <c r="EP939">
        <f>IF(ISBLANK('Data Entry'!$Ò$939), "", 'Data Entry'!$Ò$939)</f>
      </c>
      <c r="EQ939">
        <f>IF(ISBLANK('Data Entry'!$Ó$939), "", 'Data Entry'!$Ó$939)</f>
      </c>
      <c r="ER939">
        <f>IF(ISBLANK('Data Entry'!$Ô$939), "", 'Data Entry'!$Ô$939)</f>
      </c>
      <c r="ES939">
        <f>IF(ISBLANK('Data Entry'!$Õ$939), "", 'Data Entry'!$Õ$939)</f>
      </c>
      <c r="ET939">
        <f>IF(ISBLANK('Data Entry'!$Ö$939), "", 'Data Entry'!$Ö$939)</f>
      </c>
      <c r="EU939">
        <f>IF(ISBLANK('Data Entry'!$×$939), "", 'Data Entry'!$×$939)</f>
      </c>
      <c r="EV939">
        <f>IF(ISBLANK('Data Entry'!$Ø$939), "", 'Data Entry'!$Ø$939)</f>
      </c>
      <c r="EW939">
        <f>IF(ISBLANK('Data Entry'!$Ù$939), "", 'Data Entry'!$Ù$939)</f>
      </c>
      <c r="EX939">
        <f>IF(ISBLANK('Data Entry'!$Ú$939), "", 'Data Entry'!$Ú$939)</f>
      </c>
      <c r="EY939">
        <f>IF(ISBLANK('Data Entry'!$Û$939), "", 'Data Entry'!$Û$939)</f>
      </c>
      <c r="EZ939">
        <f>IF(ISBLANK('Data Entry'!$Ü$939), "", 'Data Entry'!$Ü$939)</f>
      </c>
      <c r="FA939">
        <f>IF(ISBLANK('Data Entry'!$Ý$939), "", 'Data Entry'!$Ý$939)</f>
      </c>
      <c r="FB939">
        <f>IF(ISBLANK('Data Entry'!$Þ$939), "", 'Data Entry'!$Þ$939)</f>
      </c>
      <c r="FC939">
        <f>IF(ISBLANK('Data Entry'!$ß$939), "", 'Data Entry'!$ß$939)</f>
      </c>
      <c r="FD939">
        <f>IF(ISBLANK('Data Entry'!$à$939), "", 'Data Entry'!$à$939)</f>
      </c>
      <c r="FE939">
        <f>IF(ISBLANK('Data Entry'!$á$939), "", 'Data Entry'!$á$939)</f>
      </c>
      <c r="FF939">
        <f>IF(ISBLANK('Data Entry'!$â$939), "", 'Data Entry'!$â$939)</f>
      </c>
      <c r="FG939">
        <f>IF(ISBLANK('Data Entry'!$ã$939), "", 'Data Entry'!$ã$939)</f>
      </c>
      <c r="FH939">
        <f>IF(ISBLANK('Data Entry'!$ä$939), "", 'Data Entry'!$ä$939)</f>
      </c>
      <c r="FI939">
        <f>IF(ISBLANK('Data Entry'!$å$939), "", 'Data Entry'!$å$939)</f>
      </c>
      <c r="FJ939">
        <f>IF(ISBLANK('Data Entry'!$æ$939), "", 'Data Entry'!$æ$939)</f>
      </c>
      <c r="FK939">
        <f>IF(ISBLANK('Data Entry'!$ç$939), "", 'Data Entry'!$ç$939)</f>
      </c>
      <c r="FL939">
        <f>IF(ISBLANK('Data Entry'!$è$939), "", 'Data Entry'!$è$939)</f>
      </c>
      <c r="FM939">
        <f>IF(ISBLANK('Data Entry'!$é$939), "", 'Data Entry'!$é$939)</f>
      </c>
      <c r="FN939">
        <f>IF(ISBLANK('Data Entry'!$ê$939), "", 'Data Entry'!$ê$939)</f>
      </c>
      <c r="FO939">
        <f>IF(ISBLANK('Data Entry'!$ë$939), "", 'Data Entry'!$ë$939)</f>
      </c>
      <c r="FP939">
        <f>IF(ISBLANK('Data Entry'!$ì$939), "", 'Data Entry'!$ì$939)</f>
      </c>
      <c r="FQ939">
        <f>IF(ISBLANK('Data Entry'!$í$939), "", 'Data Entry'!$í$939)</f>
      </c>
      <c r="FR939">
        <f>IF(ISBLANK('Data Entry'!$î$939), "", 'Data Entry'!$î$939)</f>
      </c>
      <c r="FS939">
        <f>IF(ISBLANK('Data Entry'!$ï$939), "", 'Data Entry'!$ï$939)</f>
      </c>
      <c r="FT939">
        <f>IF(ISBLANK('Data Entry'!$ð$939), "", 'Data Entry'!$ð$939)</f>
      </c>
      <c r="FU939">
        <f>IF(ISBLANK('Data Entry'!$ñ$939), "", 'Data Entry'!$ñ$939)</f>
      </c>
      <c r="FV939">
        <f>IF(ISBLANK('Data Entry'!$ò$939), "", 'Data Entry'!$ò$939)</f>
      </c>
      <c r="FW939">
        <f>IF(ISBLANK('Data Entry'!$ó$939), "", 'Data Entry'!$ó$939)</f>
      </c>
      <c r="FX939">
        <f>IF(ISBLANK('Data Entry'!$ô$939), "", 'Data Entry'!$ô$939)</f>
      </c>
      <c r="FY939">
        <f>IF(ISBLANK('Data Entry'!$õ$939), "", 'Data Entry'!$õ$939)</f>
      </c>
      <c r="FZ939">
        <f>IF(ISBLANK('Data Entry'!$ö$939), "", 'Data Entry'!$ö$939)</f>
      </c>
      <c r="GA939">
        <f>IF(ISBLANK('Data Entry'!$÷$939), "", 'Data Entry'!$÷$939)</f>
      </c>
      <c r="GB939">
        <f>IF(ISBLANK('Data Entry'!$ø$939), "", 'Data Entry'!$ø$939)</f>
      </c>
      <c r="GC939">
        <f>IF(ISBLANK('Data Entry'!$ù$939), "", 'Data Entry'!$ù$939)</f>
      </c>
      <c r="GD939">
        <f>IF(ISBLANK('Data Entry'!$ú$939), "", 'Data Entry'!$ú$939)</f>
      </c>
      <c r="GE939">
        <f>IF(ISBLANK('Data Entry'!$û$939), "", 'Data Entry'!$û$939)</f>
      </c>
      <c r="GF939">
        <f>IF(ISBLANK('Data Entry'!$ü$939), "", 'Data Entry'!$ü$939)</f>
      </c>
      <c r="GG939">
        <f>IF(ISBLANK('Data Entry'!$ý$939), "", 'Data Entry'!$ý$939)</f>
      </c>
      <c r="GH939">
        <f>IF(ISBLANK('Data Entry'!$þ$939), "", 'Data Entry'!$þ$939)</f>
      </c>
      <c r="GI939">
        <f>IF(ISBLANK('Data Entry'!$ÿ$939), "", 'Data Entry'!$ÿ$939)</f>
      </c>
      <c r="GJ939">
        <f>IF(ISBLANK('Data Entry'!$Ā$939), "", 'Data Entry'!$Ā$939)</f>
      </c>
      <c r="GK939">
        <f>IF(ISBLANK('Data Entry'!$ā$939), "", 'Data Entry'!$ā$939)</f>
      </c>
      <c r="GL939">
        <f>IF(ISBLANK('Data Entry'!$Ă$939), "", 'Data Entry'!$Ă$939)</f>
      </c>
      <c r="GM939">
        <f>IF(ISBLANK('Data Entry'!$ă$939), "", 'Data Entry'!$ă$939)</f>
      </c>
      <c r="GN939">
        <f>IF(ISBLANK('Data Entry'!$Ą$939), "", 'Data Entry'!$Ą$939)</f>
      </c>
      <c r="GO939">
        <f>IF(ISBLANK('Data Entry'!$ą$939), "", 'Data Entry'!$ą$939)</f>
      </c>
      <c r="GP939">
        <f>IF(ISBLANK('Data Entry'!$Ć$939), "", 'Data Entry'!$Ć$939)</f>
      </c>
      <c r="GQ939">
        <f>IF(ISBLANK('Data Entry'!$ć$939), "", 'Data Entry'!$ć$939)</f>
      </c>
      <c r="GR939">
        <f>IF(ISBLANK('Data Entry'!$Ĉ$939), "", 'Data Entry'!$Ĉ$939)</f>
      </c>
      <c r="GS939">
        <f>IF(ISBLANK('Data Entry'!$ĉ$939), "", 'Data Entry'!$ĉ$939)</f>
      </c>
      <c r="GT939">
        <f>IF(ISBLANK('Data Entry'!$Ċ$939), "", 'Data Entry'!$Ċ$939)</f>
      </c>
      <c r="GU939">
        <f>IF(ISBLANK('Data Entry'!$ċ$939), "", 'Data Entry'!$ċ$939)</f>
      </c>
      <c r="GV939">
        <f>IF(ISBLANK('Data Entry'!$Č$939), "", 'Data Entry'!$Č$939)</f>
      </c>
      <c r="GW939">
        <f>IF(ISBLANK('Data Entry'!$č$939), "", 'Data Entry'!$č$939)</f>
      </c>
      <c r="GX939">
        <f>IF(ISBLANK('Data Entry'!$Ď$939), "", 'Data Entry'!$Ď$939)</f>
      </c>
      <c r="GY939">
        <f>IF(ISBLANK('Data Entry'!$ď$939), "", 'Data Entry'!$ď$939)</f>
      </c>
      <c r="GZ939">
        <f>IF(ISBLANK('Data Entry'!$Đ$939), "", 'Data Entry'!$Đ$939)</f>
      </c>
      <c r="HA939">
        <f>IF(ISBLANK('Data Entry'!$đ$939), "", 'Data Entry'!$đ$939)</f>
      </c>
      <c r="HB939">
        <f>IF(ISBLANK('Data Entry'!$Ē$939), "", 'Data Entry'!$Ē$939)</f>
      </c>
      <c r="HC939">
        <f>IF(ISBLANK('Data Entry'!$ē$939), "", 'Data Entry'!$ē$939)</f>
      </c>
      <c r="HD939">
        <f>IF(ISBLANK('Data Entry'!$Ĕ$939), "", 'Data Entry'!$Ĕ$939)</f>
      </c>
      <c r="HE939">
        <f>IF(ISBLANK('Data Entry'!$ĕ$939), "", 'Data Entry'!$ĕ$939)</f>
      </c>
      <c r="HF939">
        <f>IF(ISBLANK('Data Entry'!$Ė$939), "", 'Data Entry'!$Ė$939)</f>
      </c>
      <c r="HG939">
        <f>IF(ISBLANK('Data Entry'!$ė$939), "", 'Data Entry'!$ė$939)</f>
      </c>
      <c r="HH939">
        <f>IF(ISBLANK('Data Entry'!$Ę$939), "", 'Data Entry'!$Ę$939)</f>
      </c>
      <c r="HI939">
        <f>IF(ISBLANK('Data Entry'!$ę$939), "", 'Data Entry'!$ę$939)</f>
      </c>
      <c r="HJ939">
        <f>IF(ISBLANK('Data Entry'!$Ě$939), "", 'Data Entry'!$Ě$939)</f>
      </c>
      <c r="HK939">
        <f>IF(ISBLANK('Data Entry'!$ě$939), "", 'Data Entry'!$ě$939)</f>
      </c>
      <c r="HL939">
        <f>IF(ISBLANK('Data Entry'!$Ĝ$939), "", 'Data Entry'!$Ĝ$939)</f>
      </c>
      <c r="HM939">
        <f>IF(ISBLANK('Data Entry'!$ĝ$939), "", 'Data Entry'!$ĝ$939)</f>
      </c>
      <c r="HN939">
        <f>IF(ISBLANK('Data Entry'!$Ğ$939), "", 'Data Entry'!$Ğ$939)</f>
      </c>
      <c r="HO939">
        <f>IF(ISBLANK('Data Entry'!$ğ$939), "", 'Data Entry'!$ğ$939)</f>
      </c>
      <c r="HP939">
        <f>IF(ISBLANK('Data Entry'!$Ġ$939), "", 'Data Entry'!$Ġ$939)</f>
      </c>
      <c r="HQ939">
        <f>IF(ISBLANK('Data Entry'!$ġ$939), "", 'Data Entry'!$ġ$939)</f>
      </c>
      <c r="HR939">
        <f>IF(ISBLANK('Data Entry'!$Ģ$939), "", 'Data Entry'!$Ģ$939)</f>
      </c>
      <c r="HS939">
        <f>IF(ISBLANK('Data Entry'!$ģ$939), "", 'Data Entry'!$ģ$939)</f>
      </c>
      <c r="HT939">
        <f>IF(ISBLANK('Data Entry'!$Ĥ$939), "", 'Data Entry'!$Ĥ$939)</f>
      </c>
      <c r="HU939">
        <f>IF(ISBLANK('Data Entry'!$ĥ$939), "", 'Data Entry'!$ĥ$939)</f>
      </c>
      <c r="HV939">
        <f>IF(ISBLANK('Data Entry'!$Ħ$939), "", 'Data Entry'!$Ħ$939)</f>
      </c>
      <c r="HW939">
        <f>IF(ISBLANK('Data Entry'!$ħ$939), "", 'Data Entry'!$ħ$939)</f>
      </c>
      <c r="HX939">
        <f>IF(ISBLANK('Data Entry'!$Ĩ$939), "", 'Data Entry'!$Ĩ$939)</f>
      </c>
      <c r="HY939">
        <f>IF(ISBLANK('Data Entry'!$ĩ$939), "", 'Data Entry'!$ĩ$939)</f>
      </c>
      <c r="HZ939">
        <f>IF(ISBLANK('Data Entry'!$Ī$939), "", 'Data Entry'!$Ī$939)</f>
      </c>
      <c r="IA939">
        <f>IF(ISBLANK('Data Entry'!$ī$939), "", 'Data Entry'!$ī$939)</f>
      </c>
      <c r="IB939">
        <f>IF(ISBLANK('Data Entry'!$Ĭ$939), "", 'Data Entry'!$Ĭ$939)</f>
      </c>
      <c r="IC939">
        <f>IF(ISBLANK('Data Entry'!$ĭ$939), "", 'Data Entry'!$ĭ$939)</f>
      </c>
      <c r="ID939">
        <f>IF(ISBLANK('Data Entry'!$Į$939), "", 'Data Entry'!$Į$939)</f>
      </c>
      <c r="IE939">
        <f>IF(ISBLANK('Data Entry'!$į$939), "", 'Data Entry'!$į$939)</f>
      </c>
      <c r="IF939">
        <f>IF(ISBLANK('Data Entry'!$İ$939), "", 'Data Entry'!$İ$939)</f>
      </c>
      <c r="IG939">
        <f>IF(ISBLANK('Data Entry'!$ı$939), "", 'Data Entry'!$ı$939)</f>
      </c>
      <c r="IH939">
        <f>IF(ISBLANK('Data Entry'!$Ĳ$939), "", 'Data Entry'!$Ĳ$939)</f>
      </c>
      <c r="II939">
        <f>IF(ISBLANK('Data Entry'!$ĳ$939), "", 'Data Entry'!$ĳ$939)</f>
      </c>
      <c r="IJ939">
        <f>IF(ISBLANK('Data Entry'!$Ĵ$939), "", 'Data Entry'!$Ĵ$939)</f>
      </c>
      <c r="IK939">
        <f>IF(ISBLANK('Data Entry'!$ĵ$939), "", 'Data Entry'!$ĵ$939)</f>
      </c>
      <c r="IL939">
        <f>IF(ISBLANK('Data Entry'!$Ķ$939), "", 'Data Entry'!$Ķ$939)</f>
      </c>
      <c r="IM939">
        <f>IF(ISBLANK('Data Entry'!$ķ$939), "", 'Data Entry'!$ķ$939)</f>
      </c>
      <c r="IN939">
        <f>IF(ISBLANK('Data Entry'!$ĸ$939), "", 'Data Entry'!$ĸ$939)</f>
      </c>
      <c r="IO939">
        <f>IF(ISBLANK('Data Entry'!$Ĺ$939), "", 'Data Entry'!$Ĺ$939)</f>
      </c>
      <c r="IP939">
        <f>IF(ISBLANK('Data Entry'!$ĺ$939), "", 'Data Entry'!$ĺ$939)</f>
      </c>
      <c r="IQ939">
        <f>IF(ISBLANK('Data Entry'!$Ļ$939), "", 'Data Entry'!$Ļ$939)</f>
      </c>
      <c r="IR939">
        <f>IF(ISBLANK('Data Entry'!$ļ$939), "", 'Data Entry'!$ļ$939)</f>
      </c>
      <c r="IS939">
        <f>IF(ISBLANK('Data Entry'!$Ľ$939), "", 'Data Entry'!$Ľ$939)</f>
      </c>
      <c r="IT939">
        <f>IF(ISBLANK('Data Entry'!$ľ$939), "", 'Data Entry'!$ľ$939)</f>
      </c>
    </row>
    <row r="940" spans="1:254" x14ac:dyDescent="0.25">
      <c r="A940">
        <f>IF(ISBLANK('Data Entry'!$A$940), "", 'Data Entry'!$A$940)</f>
      </c>
      <c r="B940">
        <f>IF(ISBLANK('Data Entry'!$B$940), "", 'Data Entry'!$B$940)</f>
      </c>
      <c r="C940">
        <f>IF(ISBLANK('Data Entry'!$C$940), "", 'Data Entry'!$C$940)</f>
      </c>
      <c r="D940">
        <f>IF(ISBLANK('Data Entry'!$D$940), "", 'Data Entry'!$D$940)</f>
      </c>
      <c r="E940">
        <f>IF(ISBLANK('Data Entry'!$E$940), "", 'Data Entry'!$E$940)</f>
      </c>
      <c r="F940">
        <f>IF(ISBLANK('Data Entry'!$F$940), "", 'Data Entry'!$F$940)</f>
      </c>
      <c r="G940">
        <f>IF(ISBLANK('Data Entry'!$G$940), "", 'Data Entry'!$G$940)</f>
      </c>
      <c r="H940">
        <f>IF(ISBLANK('Data Entry'!$H$940), "", 'Data Entry'!$H$940)</f>
      </c>
      <c r="I940">
        <f>IF(ISBLANK('Data Entry'!$I$940), "", 'Data Entry'!$I$940)</f>
      </c>
      <c r="J940">
        <f>IF(ISBLANK('Data Entry'!$J$940), "", 'Data Entry'!$J$940)</f>
      </c>
      <c r="K940">
        <f>IF(ISBLANK('Data Entry'!$K$940), "", 'Data Entry'!$K$940)</f>
      </c>
      <c r="L940">
        <f>IF(ISBLANK('Data Entry'!$L$940), "", 'Data Entry'!$L$940)</f>
      </c>
      <c r="M940">
        <f>IF(ISBLANK('Data Entry'!$M$940), "", 'Data Entry'!$M$940)</f>
      </c>
      <c r="N940">
        <f>IF(ISBLANK('Data Entry'!$N$940), "", 'Data Entry'!$N$940)</f>
      </c>
      <c r="O940">
        <f>IF(ISBLANK('Data Entry'!$O$940), "", 'Data Entry'!$O$940)</f>
      </c>
      <c r="P940">
        <f>IF(ISBLANK('Data Entry'!$P$940), "", 'Data Entry'!$P$940)</f>
      </c>
      <c r="Q940">
        <f>IF(ISBLANK('Data Entry'!$Q$940), "", 'Data Entry'!$Q$940)</f>
      </c>
      <c r="R940">
        <f>IF(ISBLANK('Data Entry'!$R$940), "", 'Data Entry'!$R$940)</f>
      </c>
      <c r="S940">
        <f>IF(ISBLANK('Data Entry'!$S$940), "", 'Data Entry'!$S$940)</f>
      </c>
      <c r="T940">
        <f>IF(ISBLANK('Data Entry'!$T$940), "", 'Data Entry'!$T$940)</f>
      </c>
      <c r="U940">
        <f>IF(ISBLANK('Data Entry'!$U$940), "", 'Data Entry'!$U$940)</f>
      </c>
      <c r="V940">
        <f>IF(ISBLANK('Data Entry'!$V$940), "", 'Data Entry'!$V$940)</f>
      </c>
      <c r="W940">
        <f>IF(ISBLANK('Data Entry'!$W$940), "", 'Data Entry'!$W$940)</f>
      </c>
      <c r="X940">
        <f>IF(ISBLANK('Data Entry'!$X$940), "", 'Data Entry'!$X$940)</f>
      </c>
      <c r="Y940">
        <f>IF(ISBLANK('Data Entry'!$Y$940), "", 'Data Entry'!$Y$940)</f>
      </c>
      <c r="Z940">
        <f>IF(ISBLANK('Data Entry'!$Z$940), "", 'Data Entry'!$Z$940)</f>
      </c>
      <c r="AA940">
        <f>IF(ISBLANK('Data Entry'!$[$940), "", 'Data Entry'!$[$940)</f>
      </c>
      <c r="AB940">
        <f>IF(ISBLANK('Data Entry'!$\$940), "", 'Data Entry'!$\$940)</f>
      </c>
      <c r="AC940">
        <f>IF(ISBLANK('Data Entry'!$]$940), "", 'Data Entry'!$]$940)</f>
      </c>
      <c r="AD940">
        <f>IF(ISBLANK('Data Entry'!$^$940), "", 'Data Entry'!$^$940)</f>
      </c>
      <c r="AE940">
        <f>IF(ISBLANK('Data Entry'!$_$940), "", 'Data Entry'!$_$940)</f>
      </c>
      <c r="AF940">
        <f>IF(ISBLANK('Data Entry'!$`$940), "", 'Data Entry'!$`$940)</f>
      </c>
      <c r="AG940">
        <f>IF(ISBLANK('Data Entry'!$a$940), "", 'Data Entry'!$a$940)</f>
      </c>
      <c r="AH940">
        <f>IF(ISBLANK('Data Entry'!$b$940), "", 'Data Entry'!$b$940)</f>
      </c>
      <c r="AI940">
        <f>IF(ISBLANK('Data Entry'!$c$940), "", 'Data Entry'!$c$940)</f>
      </c>
      <c r="AJ940">
        <f>IF(ISBLANK('Data Entry'!$d$940), "", 'Data Entry'!$d$940)</f>
      </c>
      <c r="AK940">
        <f>IF(ISBLANK('Data Entry'!$e$940), "", 'Data Entry'!$e$940)</f>
      </c>
      <c r="AL940">
        <f>IF(ISBLANK('Data Entry'!$f$940), "", 'Data Entry'!$f$940)</f>
      </c>
      <c r="AM940">
        <f>IF(ISBLANK('Data Entry'!$g$940), "", 'Data Entry'!$g$940)</f>
      </c>
      <c r="AN940">
        <f>IF(ISBLANK('Data Entry'!$h$940), "", 'Data Entry'!$h$940)</f>
      </c>
      <c r="AO940">
        <f>IF(ISBLANK('Data Entry'!$i$940), "", 'Data Entry'!$i$940)</f>
      </c>
      <c r="AP940">
        <f>IF(ISBLANK('Data Entry'!$j$940), "", 'Data Entry'!$j$940)</f>
      </c>
      <c r="AQ940">
        <f>IF(ISBLANK('Data Entry'!$k$940), "", 'Data Entry'!$k$940)</f>
      </c>
      <c r="AR940">
        <f>IF(ISBLANK('Data Entry'!$l$940), "", 'Data Entry'!$l$940)</f>
      </c>
      <c r="AS940">
        <f>IF(ISBLANK('Data Entry'!$m$940), "", 'Data Entry'!$m$940)</f>
      </c>
      <c r="AT940">
        <f>IF(ISBLANK('Data Entry'!$n$940), "", 'Data Entry'!$n$940)</f>
      </c>
      <c r="AU940">
        <f>IF(ISBLANK('Data Entry'!$o$940), "", 'Data Entry'!$o$940)</f>
      </c>
      <c r="AV940">
        <f>IF(ISBLANK('Data Entry'!$p$940), "", 'Data Entry'!$p$940)</f>
      </c>
      <c r="AW940">
        <f>IF(ISBLANK('Data Entry'!$q$940), "", 'Data Entry'!$q$940)</f>
      </c>
      <c r="AX940">
        <f>IF(ISBLANK('Data Entry'!$r$940), "", 'Data Entry'!$r$940)</f>
      </c>
      <c r="AY940">
        <f>IF(ISBLANK('Data Entry'!$s$940), "", 'Data Entry'!$s$940)</f>
      </c>
      <c r="AZ940">
        <f>IF(ISBLANK('Data Entry'!$t$940), "", 'Data Entry'!$t$940)</f>
      </c>
      <c r="BA940">
        <f>IF(ISBLANK('Data Entry'!$u$940), "", 'Data Entry'!$u$940)</f>
      </c>
      <c r="BB940">
        <f>IF(ISBLANK('Data Entry'!$v$940), "", 'Data Entry'!$v$940)</f>
      </c>
      <c r="BC940">
        <f>IF(ISBLANK('Data Entry'!$w$940), "", 'Data Entry'!$w$940)</f>
      </c>
      <c r="BD940">
        <f>IF(ISBLANK('Data Entry'!$x$940), "", 'Data Entry'!$x$940)</f>
      </c>
      <c r="BE940">
        <f>IF(ISBLANK('Data Entry'!$y$940), "", 'Data Entry'!$y$940)</f>
      </c>
      <c r="BF940">
        <f>IF(ISBLANK('Data Entry'!$z$940), "", 'Data Entry'!$z$940)</f>
      </c>
      <c r="BG940">
        <f>IF(ISBLANK('Data Entry'!${$940), "", 'Data Entry'!${$940)</f>
      </c>
      <c r="BH940">
        <f>IF(ISBLANK('Data Entry'!$|$940), "", 'Data Entry'!$|$940)</f>
      </c>
      <c r="BI940">
        <f>IF(ISBLANK('Data Entry'!$}$940), "", 'Data Entry'!$}$940)</f>
      </c>
      <c r="BJ940">
        <f>IF(ISBLANK('Data Entry'!$~$940), "", 'Data Entry'!$~$940)</f>
      </c>
      <c r="BK940">
        <f>IF(ISBLANK('Data Entry'!$$940), "", 'Data Entry'!$$940)</f>
      </c>
      <c r="BL940">
        <f>IF(ISBLANK('Data Entry'!$$940), "", 'Data Entry'!$$940)</f>
      </c>
      <c r="BM940">
        <f>IF(ISBLANK('Data Entry'!$$940), "", 'Data Entry'!$$940)</f>
      </c>
      <c r="BN940">
        <f>IF(ISBLANK('Data Entry'!$$940), "", 'Data Entry'!$$940)</f>
      </c>
      <c r="BO940">
        <f>IF(ISBLANK('Data Entry'!$$940), "", 'Data Entry'!$$940)</f>
      </c>
      <c r="BP940">
        <f>IF(ISBLANK('Data Entry'!$$940), "", 'Data Entry'!$$940)</f>
      </c>
      <c r="BQ940">
        <f>IF(ISBLANK('Data Entry'!$$940), "", 'Data Entry'!$$940)</f>
      </c>
      <c r="BR940">
        <f>IF(ISBLANK('Data Entry'!$$940), "", 'Data Entry'!$$940)</f>
      </c>
      <c r="BS940">
        <f>IF(ISBLANK('Data Entry'!$$940), "", 'Data Entry'!$$940)</f>
      </c>
      <c r="BT940">
        <f>IF(ISBLANK('Data Entry'!$$940), "", 'Data Entry'!$$940)</f>
      </c>
      <c r="BU940">
        <f>IF(ISBLANK('Data Entry'!$$940), "", 'Data Entry'!$$940)</f>
      </c>
      <c r="BV940">
        <f>IF(ISBLANK('Data Entry'!$$940), "", 'Data Entry'!$$940)</f>
      </c>
      <c r="BW940">
        <f>IF(ISBLANK('Data Entry'!$$940), "", 'Data Entry'!$$940)</f>
      </c>
      <c r="BX940">
        <f>IF(ISBLANK('Data Entry'!$$940), "", 'Data Entry'!$$940)</f>
      </c>
      <c r="BY940">
        <f>IF(ISBLANK('Data Entry'!$$940), "", 'Data Entry'!$$940)</f>
      </c>
      <c r="BZ940">
        <f>IF(ISBLANK('Data Entry'!$$940), "", 'Data Entry'!$$940)</f>
      </c>
      <c r="CA940">
        <f>IF(ISBLANK('Data Entry'!$$940), "", 'Data Entry'!$$940)</f>
      </c>
      <c r="CB940">
        <f>IF(ISBLANK('Data Entry'!$$940), "", 'Data Entry'!$$940)</f>
      </c>
      <c r="CC940">
        <f>IF(ISBLANK('Data Entry'!$$940), "", 'Data Entry'!$$940)</f>
      </c>
      <c r="CD940">
        <f>IF(ISBLANK('Data Entry'!$$940), "", 'Data Entry'!$$940)</f>
      </c>
      <c r="CE940">
        <f>IF(ISBLANK('Data Entry'!$$940), "", 'Data Entry'!$$940)</f>
      </c>
      <c r="CF940">
        <f>IF(ISBLANK('Data Entry'!$$940), "", 'Data Entry'!$$940)</f>
      </c>
      <c r="CG940">
        <f>IF(ISBLANK('Data Entry'!$$940), "", 'Data Entry'!$$940)</f>
      </c>
      <c r="CH940">
        <f>IF(ISBLANK('Data Entry'!$$940), "", 'Data Entry'!$$940)</f>
      </c>
      <c r="CI940">
        <f>IF(ISBLANK('Data Entry'!$$940), "", 'Data Entry'!$$940)</f>
      </c>
      <c r="CJ940">
        <f>IF(ISBLANK('Data Entry'!$$940), "", 'Data Entry'!$$940)</f>
      </c>
      <c r="CK940">
        <f>IF(ISBLANK('Data Entry'!$$940), "", 'Data Entry'!$$940)</f>
      </c>
      <c r="CL940">
        <f>IF(ISBLANK('Data Entry'!$$940), "", 'Data Entry'!$$940)</f>
      </c>
      <c r="CM940">
        <f>IF(ISBLANK('Data Entry'!$$940), "", 'Data Entry'!$$940)</f>
      </c>
      <c r="CN940">
        <f>IF(ISBLANK('Data Entry'!$$940), "", 'Data Entry'!$$940)</f>
      </c>
      <c r="CO940">
        <f>IF(ISBLANK('Data Entry'!$$940), "", 'Data Entry'!$$940)</f>
      </c>
      <c r="CP940">
        <f>IF(ISBLANK('Data Entry'!$$940), "", 'Data Entry'!$$940)</f>
      </c>
      <c r="CQ940">
        <f>IF(ISBLANK('Data Entry'!$$940), "", 'Data Entry'!$$940)</f>
      </c>
      <c r="CR940">
        <f>IF(ISBLANK('Data Entry'!$ $940), "", 'Data Entry'!$ $940)</f>
      </c>
      <c r="CS940">
        <f>IF(ISBLANK('Data Entry'!$¡$940), "", 'Data Entry'!$¡$940)</f>
      </c>
      <c r="CT940">
        <f>IF(ISBLANK('Data Entry'!$¢$940), "", 'Data Entry'!$¢$940)</f>
      </c>
      <c r="CU940">
        <f>IF(ISBLANK('Data Entry'!$£$940), "", 'Data Entry'!$£$940)</f>
      </c>
      <c r="CV940">
        <f>IF(ISBLANK('Data Entry'!$¤$940), "", 'Data Entry'!$¤$940)</f>
      </c>
      <c r="CW940">
        <f>IF(ISBLANK('Data Entry'!$¥$940), "", 'Data Entry'!$¥$940)</f>
      </c>
      <c r="CX940">
        <f>IF(ISBLANK('Data Entry'!$¦$940), "", 'Data Entry'!$¦$940)</f>
      </c>
      <c r="CY940">
        <f>IF(ISBLANK('Data Entry'!$§$940), "", 'Data Entry'!$§$940)</f>
      </c>
      <c r="CZ940">
        <f>IF(ISBLANK('Data Entry'!$¨$940), "", 'Data Entry'!$¨$940)</f>
      </c>
      <c r="DA940">
        <f>IF(ISBLANK('Data Entry'!$©$940), "", 'Data Entry'!$©$940)</f>
      </c>
      <c r="DB940">
        <f>IF(ISBLANK('Data Entry'!$ª$940), "", 'Data Entry'!$ª$940)</f>
      </c>
      <c r="DC940">
        <f>IF(ISBLANK('Data Entry'!$«$940), "", 'Data Entry'!$«$940)</f>
      </c>
      <c r="DD940">
        <f>IF(ISBLANK('Data Entry'!$¬$940), "", 'Data Entry'!$¬$940)</f>
      </c>
      <c r="DE940">
        <f>IF(ISBLANK('Data Entry'!$­$940), "", 'Data Entry'!$­$940)</f>
      </c>
      <c r="DF940">
        <f>IF(ISBLANK('Data Entry'!$®$940), "", 'Data Entry'!$®$940)</f>
      </c>
      <c r="DG940">
        <f>IF(ISBLANK('Data Entry'!$¯$940), "", 'Data Entry'!$¯$940)</f>
      </c>
      <c r="DH940">
        <f>IF(ISBLANK('Data Entry'!$°$940), "", 'Data Entry'!$°$940)</f>
      </c>
      <c r="DI940">
        <f>IF(ISBLANK('Data Entry'!$±$940), "", 'Data Entry'!$±$940)</f>
      </c>
      <c r="DJ940">
        <f>IF(ISBLANK('Data Entry'!$²$940), "", 'Data Entry'!$²$940)</f>
      </c>
      <c r="DK940">
        <f>IF(ISBLANK('Data Entry'!$³$940), "", 'Data Entry'!$³$940)</f>
      </c>
      <c r="DL940">
        <f>IF(ISBLANK('Data Entry'!$´$940), "", 'Data Entry'!$´$940)</f>
      </c>
      <c r="DM940">
        <f>IF(ISBLANK('Data Entry'!$µ$940), "", 'Data Entry'!$µ$940)</f>
      </c>
      <c r="DN940">
        <f>IF(ISBLANK('Data Entry'!$¶$940), "", 'Data Entry'!$¶$940)</f>
      </c>
      <c r="DO940">
        <f>IF(ISBLANK('Data Entry'!$·$940), "", 'Data Entry'!$·$940)</f>
      </c>
      <c r="DP940">
        <f>IF(ISBLANK('Data Entry'!$¸$940), "", 'Data Entry'!$¸$940)</f>
      </c>
      <c r="DQ940">
        <f>IF(ISBLANK('Data Entry'!$¹$940), "", 'Data Entry'!$¹$940)</f>
      </c>
      <c r="DR940">
        <f>IF(ISBLANK('Data Entry'!$º$940), "", 'Data Entry'!$º$940)</f>
      </c>
      <c r="DS940">
        <f>IF(ISBLANK('Data Entry'!$»$940), "", 'Data Entry'!$»$940)</f>
      </c>
      <c r="DT940">
        <f>IF(ISBLANK('Data Entry'!$¼$940), "", 'Data Entry'!$¼$940)</f>
      </c>
      <c r="DU940">
        <f>IF(ISBLANK('Data Entry'!$½$940), "", 'Data Entry'!$½$940)</f>
      </c>
      <c r="DV940">
        <f>IF(ISBLANK('Data Entry'!$¾$940), "", 'Data Entry'!$¾$940)</f>
      </c>
      <c r="DW940">
        <f>IF(ISBLANK('Data Entry'!$¿$940), "", 'Data Entry'!$¿$940)</f>
      </c>
      <c r="DX940">
        <f>IF(ISBLANK('Data Entry'!$À$940), "", 'Data Entry'!$À$940)</f>
      </c>
      <c r="DY940">
        <f>IF(ISBLANK('Data Entry'!$Á$940), "", 'Data Entry'!$Á$940)</f>
      </c>
      <c r="DZ940">
        <f>IF(ISBLANK('Data Entry'!$Â$940), "", 'Data Entry'!$Â$940)</f>
      </c>
      <c r="EA940">
        <f>IF(ISBLANK('Data Entry'!$Ã$940), "", 'Data Entry'!$Ã$940)</f>
      </c>
      <c r="EB940">
        <f>IF(ISBLANK('Data Entry'!$Ä$940), "", 'Data Entry'!$Ä$940)</f>
      </c>
      <c r="EC940">
        <f>IF(ISBLANK('Data Entry'!$Å$940), "", 'Data Entry'!$Å$940)</f>
      </c>
      <c r="ED940">
        <f>IF(ISBLANK('Data Entry'!$Æ$940), "", 'Data Entry'!$Æ$940)</f>
      </c>
      <c r="EE940">
        <f>IF(ISBLANK('Data Entry'!$Ç$940), "", 'Data Entry'!$Ç$940)</f>
      </c>
      <c r="EF940">
        <f>IF(ISBLANK('Data Entry'!$È$940), "", 'Data Entry'!$È$940)</f>
      </c>
      <c r="EG940">
        <f>IF(ISBLANK('Data Entry'!$É$940), "", 'Data Entry'!$É$940)</f>
      </c>
      <c r="EH940">
        <f>IF(ISBLANK('Data Entry'!$Ê$940), "", 'Data Entry'!$Ê$940)</f>
      </c>
      <c r="EI940">
        <f>IF(ISBLANK('Data Entry'!$Ë$940), "", 'Data Entry'!$Ë$940)</f>
      </c>
      <c r="EJ940">
        <f>IF(ISBLANK('Data Entry'!$Ì$940), "", 'Data Entry'!$Ì$940)</f>
      </c>
      <c r="EK940">
        <f>IF(ISBLANK('Data Entry'!$Í$940), "", 'Data Entry'!$Í$940)</f>
      </c>
      <c r="EL940">
        <f>IF(ISBLANK('Data Entry'!$Î$940), "", 'Data Entry'!$Î$940)</f>
      </c>
      <c r="EM940">
        <f>IF(ISBLANK('Data Entry'!$Ï$940), "", 'Data Entry'!$Ï$940)</f>
      </c>
      <c r="EN940">
        <f>IF(ISBLANK('Data Entry'!$Ð$940), "", 'Data Entry'!$Ð$940)</f>
      </c>
      <c r="EO940">
        <f>IF(ISBLANK('Data Entry'!$Ñ$940), "", 'Data Entry'!$Ñ$940)</f>
      </c>
      <c r="EP940">
        <f>IF(ISBLANK('Data Entry'!$Ò$940), "", 'Data Entry'!$Ò$940)</f>
      </c>
      <c r="EQ940">
        <f>IF(ISBLANK('Data Entry'!$Ó$940), "", 'Data Entry'!$Ó$940)</f>
      </c>
      <c r="ER940">
        <f>IF(ISBLANK('Data Entry'!$Ô$940), "", 'Data Entry'!$Ô$940)</f>
      </c>
      <c r="ES940">
        <f>IF(ISBLANK('Data Entry'!$Õ$940), "", 'Data Entry'!$Õ$940)</f>
      </c>
      <c r="ET940">
        <f>IF(ISBLANK('Data Entry'!$Ö$940), "", 'Data Entry'!$Ö$940)</f>
      </c>
      <c r="EU940">
        <f>IF(ISBLANK('Data Entry'!$×$940), "", 'Data Entry'!$×$940)</f>
      </c>
      <c r="EV940">
        <f>IF(ISBLANK('Data Entry'!$Ø$940), "", 'Data Entry'!$Ø$940)</f>
      </c>
      <c r="EW940">
        <f>IF(ISBLANK('Data Entry'!$Ù$940), "", 'Data Entry'!$Ù$940)</f>
      </c>
      <c r="EX940">
        <f>IF(ISBLANK('Data Entry'!$Ú$940), "", 'Data Entry'!$Ú$940)</f>
      </c>
      <c r="EY940">
        <f>IF(ISBLANK('Data Entry'!$Û$940), "", 'Data Entry'!$Û$940)</f>
      </c>
      <c r="EZ940">
        <f>IF(ISBLANK('Data Entry'!$Ü$940), "", 'Data Entry'!$Ü$940)</f>
      </c>
      <c r="FA940">
        <f>IF(ISBLANK('Data Entry'!$Ý$940), "", 'Data Entry'!$Ý$940)</f>
      </c>
      <c r="FB940">
        <f>IF(ISBLANK('Data Entry'!$Þ$940), "", 'Data Entry'!$Þ$940)</f>
      </c>
      <c r="FC940">
        <f>IF(ISBLANK('Data Entry'!$ß$940), "", 'Data Entry'!$ß$940)</f>
      </c>
      <c r="FD940">
        <f>IF(ISBLANK('Data Entry'!$à$940), "", 'Data Entry'!$à$940)</f>
      </c>
      <c r="FE940">
        <f>IF(ISBLANK('Data Entry'!$á$940), "", 'Data Entry'!$á$940)</f>
      </c>
      <c r="FF940">
        <f>IF(ISBLANK('Data Entry'!$â$940), "", 'Data Entry'!$â$940)</f>
      </c>
      <c r="FG940">
        <f>IF(ISBLANK('Data Entry'!$ã$940), "", 'Data Entry'!$ã$940)</f>
      </c>
      <c r="FH940">
        <f>IF(ISBLANK('Data Entry'!$ä$940), "", 'Data Entry'!$ä$940)</f>
      </c>
      <c r="FI940">
        <f>IF(ISBLANK('Data Entry'!$å$940), "", 'Data Entry'!$å$940)</f>
      </c>
      <c r="FJ940">
        <f>IF(ISBLANK('Data Entry'!$æ$940), "", 'Data Entry'!$æ$940)</f>
      </c>
      <c r="FK940">
        <f>IF(ISBLANK('Data Entry'!$ç$940), "", 'Data Entry'!$ç$940)</f>
      </c>
      <c r="FL940">
        <f>IF(ISBLANK('Data Entry'!$è$940), "", 'Data Entry'!$è$940)</f>
      </c>
      <c r="FM940">
        <f>IF(ISBLANK('Data Entry'!$é$940), "", 'Data Entry'!$é$940)</f>
      </c>
      <c r="FN940">
        <f>IF(ISBLANK('Data Entry'!$ê$940), "", 'Data Entry'!$ê$940)</f>
      </c>
      <c r="FO940">
        <f>IF(ISBLANK('Data Entry'!$ë$940), "", 'Data Entry'!$ë$940)</f>
      </c>
      <c r="FP940">
        <f>IF(ISBLANK('Data Entry'!$ì$940), "", 'Data Entry'!$ì$940)</f>
      </c>
      <c r="FQ940">
        <f>IF(ISBLANK('Data Entry'!$í$940), "", 'Data Entry'!$í$940)</f>
      </c>
      <c r="FR940">
        <f>IF(ISBLANK('Data Entry'!$î$940), "", 'Data Entry'!$î$940)</f>
      </c>
      <c r="FS940">
        <f>IF(ISBLANK('Data Entry'!$ï$940), "", 'Data Entry'!$ï$940)</f>
      </c>
      <c r="FT940">
        <f>IF(ISBLANK('Data Entry'!$ð$940), "", 'Data Entry'!$ð$940)</f>
      </c>
      <c r="FU940">
        <f>IF(ISBLANK('Data Entry'!$ñ$940), "", 'Data Entry'!$ñ$940)</f>
      </c>
      <c r="FV940">
        <f>IF(ISBLANK('Data Entry'!$ò$940), "", 'Data Entry'!$ò$940)</f>
      </c>
      <c r="FW940">
        <f>IF(ISBLANK('Data Entry'!$ó$940), "", 'Data Entry'!$ó$940)</f>
      </c>
      <c r="FX940">
        <f>IF(ISBLANK('Data Entry'!$ô$940), "", 'Data Entry'!$ô$940)</f>
      </c>
      <c r="FY940">
        <f>IF(ISBLANK('Data Entry'!$õ$940), "", 'Data Entry'!$õ$940)</f>
      </c>
      <c r="FZ940">
        <f>IF(ISBLANK('Data Entry'!$ö$940), "", 'Data Entry'!$ö$940)</f>
      </c>
      <c r="GA940">
        <f>IF(ISBLANK('Data Entry'!$÷$940), "", 'Data Entry'!$÷$940)</f>
      </c>
      <c r="GB940">
        <f>IF(ISBLANK('Data Entry'!$ø$940), "", 'Data Entry'!$ø$940)</f>
      </c>
      <c r="GC940">
        <f>IF(ISBLANK('Data Entry'!$ù$940), "", 'Data Entry'!$ù$940)</f>
      </c>
      <c r="GD940">
        <f>IF(ISBLANK('Data Entry'!$ú$940), "", 'Data Entry'!$ú$940)</f>
      </c>
      <c r="GE940">
        <f>IF(ISBLANK('Data Entry'!$û$940), "", 'Data Entry'!$û$940)</f>
      </c>
      <c r="GF940">
        <f>IF(ISBLANK('Data Entry'!$ü$940), "", 'Data Entry'!$ü$940)</f>
      </c>
      <c r="GG940">
        <f>IF(ISBLANK('Data Entry'!$ý$940), "", 'Data Entry'!$ý$940)</f>
      </c>
      <c r="GH940">
        <f>IF(ISBLANK('Data Entry'!$þ$940), "", 'Data Entry'!$þ$940)</f>
      </c>
      <c r="GI940">
        <f>IF(ISBLANK('Data Entry'!$ÿ$940), "", 'Data Entry'!$ÿ$940)</f>
      </c>
      <c r="GJ940">
        <f>IF(ISBLANK('Data Entry'!$Ā$940), "", 'Data Entry'!$Ā$940)</f>
      </c>
      <c r="GK940">
        <f>IF(ISBLANK('Data Entry'!$ā$940), "", 'Data Entry'!$ā$940)</f>
      </c>
      <c r="GL940">
        <f>IF(ISBLANK('Data Entry'!$Ă$940), "", 'Data Entry'!$Ă$940)</f>
      </c>
      <c r="GM940">
        <f>IF(ISBLANK('Data Entry'!$ă$940), "", 'Data Entry'!$ă$940)</f>
      </c>
      <c r="GN940">
        <f>IF(ISBLANK('Data Entry'!$Ą$940), "", 'Data Entry'!$Ą$940)</f>
      </c>
      <c r="GO940">
        <f>IF(ISBLANK('Data Entry'!$ą$940), "", 'Data Entry'!$ą$940)</f>
      </c>
      <c r="GP940">
        <f>IF(ISBLANK('Data Entry'!$Ć$940), "", 'Data Entry'!$Ć$940)</f>
      </c>
      <c r="GQ940">
        <f>IF(ISBLANK('Data Entry'!$ć$940), "", 'Data Entry'!$ć$940)</f>
      </c>
      <c r="GR940">
        <f>IF(ISBLANK('Data Entry'!$Ĉ$940), "", 'Data Entry'!$Ĉ$940)</f>
      </c>
      <c r="GS940">
        <f>IF(ISBLANK('Data Entry'!$ĉ$940), "", 'Data Entry'!$ĉ$940)</f>
      </c>
      <c r="GT940">
        <f>IF(ISBLANK('Data Entry'!$Ċ$940), "", 'Data Entry'!$Ċ$940)</f>
      </c>
      <c r="GU940">
        <f>IF(ISBLANK('Data Entry'!$ċ$940), "", 'Data Entry'!$ċ$940)</f>
      </c>
      <c r="GV940">
        <f>IF(ISBLANK('Data Entry'!$Č$940), "", 'Data Entry'!$Č$940)</f>
      </c>
      <c r="GW940">
        <f>IF(ISBLANK('Data Entry'!$č$940), "", 'Data Entry'!$č$940)</f>
      </c>
      <c r="GX940">
        <f>IF(ISBLANK('Data Entry'!$Ď$940), "", 'Data Entry'!$Ď$940)</f>
      </c>
      <c r="GY940">
        <f>IF(ISBLANK('Data Entry'!$ď$940), "", 'Data Entry'!$ď$940)</f>
      </c>
      <c r="GZ940">
        <f>IF(ISBLANK('Data Entry'!$Đ$940), "", 'Data Entry'!$Đ$940)</f>
      </c>
      <c r="HA940">
        <f>IF(ISBLANK('Data Entry'!$đ$940), "", 'Data Entry'!$đ$940)</f>
      </c>
      <c r="HB940">
        <f>IF(ISBLANK('Data Entry'!$Ē$940), "", 'Data Entry'!$Ē$940)</f>
      </c>
      <c r="HC940">
        <f>IF(ISBLANK('Data Entry'!$ē$940), "", 'Data Entry'!$ē$940)</f>
      </c>
      <c r="HD940">
        <f>IF(ISBLANK('Data Entry'!$Ĕ$940), "", 'Data Entry'!$Ĕ$940)</f>
      </c>
      <c r="HE940">
        <f>IF(ISBLANK('Data Entry'!$ĕ$940), "", 'Data Entry'!$ĕ$940)</f>
      </c>
      <c r="HF940">
        <f>IF(ISBLANK('Data Entry'!$Ė$940), "", 'Data Entry'!$Ė$940)</f>
      </c>
      <c r="HG940">
        <f>IF(ISBLANK('Data Entry'!$ė$940), "", 'Data Entry'!$ė$940)</f>
      </c>
      <c r="HH940">
        <f>IF(ISBLANK('Data Entry'!$Ę$940), "", 'Data Entry'!$Ę$940)</f>
      </c>
      <c r="HI940">
        <f>IF(ISBLANK('Data Entry'!$ę$940), "", 'Data Entry'!$ę$940)</f>
      </c>
      <c r="HJ940">
        <f>IF(ISBLANK('Data Entry'!$Ě$940), "", 'Data Entry'!$Ě$940)</f>
      </c>
      <c r="HK940">
        <f>IF(ISBLANK('Data Entry'!$ě$940), "", 'Data Entry'!$ě$940)</f>
      </c>
      <c r="HL940">
        <f>IF(ISBLANK('Data Entry'!$Ĝ$940), "", 'Data Entry'!$Ĝ$940)</f>
      </c>
      <c r="HM940">
        <f>IF(ISBLANK('Data Entry'!$ĝ$940), "", 'Data Entry'!$ĝ$940)</f>
      </c>
      <c r="HN940">
        <f>IF(ISBLANK('Data Entry'!$Ğ$940), "", 'Data Entry'!$Ğ$940)</f>
      </c>
      <c r="HO940">
        <f>IF(ISBLANK('Data Entry'!$ğ$940), "", 'Data Entry'!$ğ$940)</f>
      </c>
      <c r="HP940">
        <f>IF(ISBLANK('Data Entry'!$Ġ$940), "", 'Data Entry'!$Ġ$940)</f>
      </c>
      <c r="HQ940">
        <f>IF(ISBLANK('Data Entry'!$ġ$940), "", 'Data Entry'!$ġ$940)</f>
      </c>
      <c r="HR940">
        <f>IF(ISBLANK('Data Entry'!$Ģ$940), "", 'Data Entry'!$Ģ$940)</f>
      </c>
      <c r="HS940">
        <f>IF(ISBLANK('Data Entry'!$ģ$940), "", 'Data Entry'!$ģ$940)</f>
      </c>
      <c r="HT940">
        <f>IF(ISBLANK('Data Entry'!$Ĥ$940), "", 'Data Entry'!$Ĥ$940)</f>
      </c>
      <c r="HU940">
        <f>IF(ISBLANK('Data Entry'!$ĥ$940), "", 'Data Entry'!$ĥ$940)</f>
      </c>
      <c r="HV940">
        <f>IF(ISBLANK('Data Entry'!$Ħ$940), "", 'Data Entry'!$Ħ$940)</f>
      </c>
      <c r="HW940">
        <f>IF(ISBLANK('Data Entry'!$ħ$940), "", 'Data Entry'!$ħ$940)</f>
      </c>
      <c r="HX940">
        <f>IF(ISBLANK('Data Entry'!$Ĩ$940), "", 'Data Entry'!$Ĩ$940)</f>
      </c>
      <c r="HY940">
        <f>IF(ISBLANK('Data Entry'!$ĩ$940), "", 'Data Entry'!$ĩ$940)</f>
      </c>
      <c r="HZ940">
        <f>IF(ISBLANK('Data Entry'!$Ī$940), "", 'Data Entry'!$Ī$940)</f>
      </c>
      <c r="IA940">
        <f>IF(ISBLANK('Data Entry'!$ī$940), "", 'Data Entry'!$ī$940)</f>
      </c>
      <c r="IB940">
        <f>IF(ISBLANK('Data Entry'!$Ĭ$940), "", 'Data Entry'!$Ĭ$940)</f>
      </c>
      <c r="IC940">
        <f>IF(ISBLANK('Data Entry'!$ĭ$940), "", 'Data Entry'!$ĭ$940)</f>
      </c>
      <c r="ID940">
        <f>IF(ISBLANK('Data Entry'!$Į$940), "", 'Data Entry'!$Į$940)</f>
      </c>
      <c r="IE940">
        <f>IF(ISBLANK('Data Entry'!$į$940), "", 'Data Entry'!$į$940)</f>
      </c>
      <c r="IF940">
        <f>IF(ISBLANK('Data Entry'!$İ$940), "", 'Data Entry'!$İ$940)</f>
      </c>
      <c r="IG940">
        <f>IF(ISBLANK('Data Entry'!$ı$940), "", 'Data Entry'!$ı$940)</f>
      </c>
      <c r="IH940">
        <f>IF(ISBLANK('Data Entry'!$Ĳ$940), "", 'Data Entry'!$Ĳ$940)</f>
      </c>
      <c r="II940">
        <f>IF(ISBLANK('Data Entry'!$ĳ$940), "", 'Data Entry'!$ĳ$940)</f>
      </c>
      <c r="IJ940">
        <f>IF(ISBLANK('Data Entry'!$Ĵ$940), "", 'Data Entry'!$Ĵ$940)</f>
      </c>
      <c r="IK940">
        <f>IF(ISBLANK('Data Entry'!$ĵ$940), "", 'Data Entry'!$ĵ$940)</f>
      </c>
      <c r="IL940">
        <f>IF(ISBLANK('Data Entry'!$Ķ$940), "", 'Data Entry'!$Ķ$940)</f>
      </c>
      <c r="IM940">
        <f>IF(ISBLANK('Data Entry'!$ķ$940), "", 'Data Entry'!$ķ$940)</f>
      </c>
      <c r="IN940">
        <f>IF(ISBLANK('Data Entry'!$ĸ$940), "", 'Data Entry'!$ĸ$940)</f>
      </c>
      <c r="IO940">
        <f>IF(ISBLANK('Data Entry'!$Ĺ$940), "", 'Data Entry'!$Ĺ$940)</f>
      </c>
      <c r="IP940">
        <f>IF(ISBLANK('Data Entry'!$ĺ$940), "", 'Data Entry'!$ĺ$940)</f>
      </c>
      <c r="IQ940">
        <f>IF(ISBLANK('Data Entry'!$Ļ$940), "", 'Data Entry'!$Ļ$940)</f>
      </c>
      <c r="IR940">
        <f>IF(ISBLANK('Data Entry'!$ļ$940), "", 'Data Entry'!$ļ$940)</f>
      </c>
      <c r="IS940">
        <f>IF(ISBLANK('Data Entry'!$Ľ$940), "", 'Data Entry'!$Ľ$940)</f>
      </c>
      <c r="IT940">
        <f>IF(ISBLANK('Data Entry'!$ľ$940), "", 'Data Entry'!$ľ$940)</f>
      </c>
    </row>
    <row r="941" spans="1:254" x14ac:dyDescent="0.25">
      <c r="A941">
        <f>IF(ISBLANK('Data Entry'!$A$941), "", 'Data Entry'!$A$941)</f>
      </c>
      <c r="B941">
        <f>IF(ISBLANK('Data Entry'!$B$941), "", 'Data Entry'!$B$941)</f>
      </c>
      <c r="C941">
        <f>IF(ISBLANK('Data Entry'!$C$941), "", 'Data Entry'!$C$941)</f>
      </c>
      <c r="D941">
        <f>IF(ISBLANK('Data Entry'!$D$941), "", 'Data Entry'!$D$941)</f>
      </c>
      <c r="E941">
        <f>IF(ISBLANK('Data Entry'!$E$941), "", 'Data Entry'!$E$941)</f>
      </c>
      <c r="F941">
        <f>IF(ISBLANK('Data Entry'!$F$941), "", 'Data Entry'!$F$941)</f>
      </c>
      <c r="G941">
        <f>IF(ISBLANK('Data Entry'!$G$941), "", 'Data Entry'!$G$941)</f>
      </c>
      <c r="H941">
        <f>IF(ISBLANK('Data Entry'!$H$941), "", 'Data Entry'!$H$941)</f>
      </c>
      <c r="I941">
        <f>IF(ISBLANK('Data Entry'!$I$941), "", 'Data Entry'!$I$941)</f>
      </c>
      <c r="J941">
        <f>IF(ISBLANK('Data Entry'!$J$941), "", 'Data Entry'!$J$941)</f>
      </c>
      <c r="K941">
        <f>IF(ISBLANK('Data Entry'!$K$941), "", 'Data Entry'!$K$941)</f>
      </c>
      <c r="L941">
        <f>IF(ISBLANK('Data Entry'!$L$941), "", 'Data Entry'!$L$941)</f>
      </c>
      <c r="M941">
        <f>IF(ISBLANK('Data Entry'!$M$941), "", 'Data Entry'!$M$941)</f>
      </c>
      <c r="N941">
        <f>IF(ISBLANK('Data Entry'!$N$941), "", 'Data Entry'!$N$941)</f>
      </c>
      <c r="O941">
        <f>IF(ISBLANK('Data Entry'!$O$941), "", 'Data Entry'!$O$941)</f>
      </c>
      <c r="P941">
        <f>IF(ISBLANK('Data Entry'!$P$941), "", 'Data Entry'!$P$941)</f>
      </c>
      <c r="Q941">
        <f>IF(ISBLANK('Data Entry'!$Q$941), "", 'Data Entry'!$Q$941)</f>
      </c>
      <c r="R941">
        <f>IF(ISBLANK('Data Entry'!$R$941), "", 'Data Entry'!$R$941)</f>
      </c>
      <c r="S941">
        <f>IF(ISBLANK('Data Entry'!$S$941), "", 'Data Entry'!$S$941)</f>
      </c>
      <c r="T941">
        <f>IF(ISBLANK('Data Entry'!$T$941), "", 'Data Entry'!$T$941)</f>
      </c>
      <c r="U941">
        <f>IF(ISBLANK('Data Entry'!$U$941), "", 'Data Entry'!$U$941)</f>
      </c>
      <c r="V941">
        <f>IF(ISBLANK('Data Entry'!$V$941), "", 'Data Entry'!$V$941)</f>
      </c>
      <c r="W941">
        <f>IF(ISBLANK('Data Entry'!$W$941), "", 'Data Entry'!$W$941)</f>
      </c>
      <c r="X941">
        <f>IF(ISBLANK('Data Entry'!$X$941), "", 'Data Entry'!$X$941)</f>
      </c>
      <c r="Y941">
        <f>IF(ISBLANK('Data Entry'!$Y$941), "", 'Data Entry'!$Y$941)</f>
      </c>
      <c r="Z941">
        <f>IF(ISBLANK('Data Entry'!$Z$941), "", 'Data Entry'!$Z$941)</f>
      </c>
      <c r="AA941">
        <f>IF(ISBLANK('Data Entry'!$[$941), "", 'Data Entry'!$[$941)</f>
      </c>
      <c r="AB941">
        <f>IF(ISBLANK('Data Entry'!$\$941), "", 'Data Entry'!$\$941)</f>
      </c>
      <c r="AC941">
        <f>IF(ISBLANK('Data Entry'!$]$941), "", 'Data Entry'!$]$941)</f>
      </c>
      <c r="AD941">
        <f>IF(ISBLANK('Data Entry'!$^$941), "", 'Data Entry'!$^$941)</f>
      </c>
      <c r="AE941">
        <f>IF(ISBLANK('Data Entry'!$_$941), "", 'Data Entry'!$_$941)</f>
      </c>
      <c r="AF941">
        <f>IF(ISBLANK('Data Entry'!$`$941), "", 'Data Entry'!$`$941)</f>
      </c>
      <c r="AG941">
        <f>IF(ISBLANK('Data Entry'!$a$941), "", 'Data Entry'!$a$941)</f>
      </c>
      <c r="AH941">
        <f>IF(ISBLANK('Data Entry'!$b$941), "", 'Data Entry'!$b$941)</f>
      </c>
      <c r="AI941">
        <f>IF(ISBLANK('Data Entry'!$c$941), "", 'Data Entry'!$c$941)</f>
      </c>
      <c r="AJ941">
        <f>IF(ISBLANK('Data Entry'!$d$941), "", 'Data Entry'!$d$941)</f>
      </c>
      <c r="AK941">
        <f>IF(ISBLANK('Data Entry'!$e$941), "", 'Data Entry'!$e$941)</f>
      </c>
      <c r="AL941">
        <f>IF(ISBLANK('Data Entry'!$f$941), "", 'Data Entry'!$f$941)</f>
      </c>
      <c r="AM941">
        <f>IF(ISBLANK('Data Entry'!$g$941), "", 'Data Entry'!$g$941)</f>
      </c>
      <c r="AN941">
        <f>IF(ISBLANK('Data Entry'!$h$941), "", 'Data Entry'!$h$941)</f>
      </c>
      <c r="AO941">
        <f>IF(ISBLANK('Data Entry'!$i$941), "", 'Data Entry'!$i$941)</f>
      </c>
      <c r="AP941">
        <f>IF(ISBLANK('Data Entry'!$j$941), "", 'Data Entry'!$j$941)</f>
      </c>
      <c r="AQ941">
        <f>IF(ISBLANK('Data Entry'!$k$941), "", 'Data Entry'!$k$941)</f>
      </c>
      <c r="AR941">
        <f>IF(ISBLANK('Data Entry'!$l$941), "", 'Data Entry'!$l$941)</f>
      </c>
      <c r="AS941">
        <f>IF(ISBLANK('Data Entry'!$m$941), "", 'Data Entry'!$m$941)</f>
      </c>
      <c r="AT941">
        <f>IF(ISBLANK('Data Entry'!$n$941), "", 'Data Entry'!$n$941)</f>
      </c>
      <c r="AU941">
        <f>IF(ISBLANK('Data Entry'!$o$941), "", 'Data Entry'!$o$941)</f>
      </c>
      <c r="AV941">
        <f>IF(ISBLANK('Data Entry'!$p$941), "", 'Data Entry'!$p$941)</f>
      </c>
      <c r="AW941">
        <f>IF(ISBLANK('Data Entry'!$q$941), "", 'Data Entry'!$q$941)</f>
      </c>
      <c r="AX941">
        <f>IF(ISBLANK('Data Entry'!$r$941), "", 'Data Entry'!$r$941)</f>
      </c>
      <c r="AY941">
        <f>IF(ISBLANK('Data Entry'!$s$941), "", 'Data Entry'!$s$941)</f>
      </c>
      <c r="AZ941">
        <f>IF(ISBLANK('Data Entry'!$t$941), "", 'Data Entry'!$t$941)</f>
      </c>
      <c r="BA941">
        <f>IF(ISBLANK('Data Entry'!$u$941), "", 'Data Entry'!$u$941)</f>
      </c>
      <c r="BB941">
        <f>IF(ISBLANK('Data Entry'!$v$941), "", 'Data Entry'!$v$941)</f>
      </c>
      <c r="BC941">
        <f>IF(ISBLANK('Data Entry'!$w$941), "", 'Data Entry'!$w$941)</f>
      </c>
      <c r="BD941">
        <f>IF(ISBLANK('Data Entry'!$x$941), "", 'Data Entry'!$x$941)</f>
      </c>
      <c r="BE941">
        <f>IF(ISBLANK('Data Entry'!$y$941), "", 'Data Entry'!$y$941)</f>
      </c>
      <c r="BF941">
        <f>IF(ISBLANK('Data Entry'!$z$941), "", 'Data Entry'!$z$941)</f>
      </c>
      <c r="BG941">
        <f>IF(ISBLANK('Data Entry'!${$941), "", 'Data Entry'!${$941)</f>
      </c>
      <c r="BH941">
        <f>IF(ISBLANK('Data Entry'!$|$941), "", 'Data Entry'!$|$941)</f>
      </c>
      <c r="BI941">
        <f>IF(ISBLANK('Data Entry'!$}$941), "", 'Data Entry'!$}$941)</f>
      </c>
      <c r="BJ941">
        <f>IF(ISBLANK('Data Entry'!$~$941), "", 'Data Entry'!$~$941)</f>
      </c>
      <c r="BK941">
        <f>IF(ISBLANK('Data Entry'!$$941), "", 'Data Entry'!$$941)</f>
      </c>
      <c r="BL941">
        <f>IF(ISBLANK('Data Entry'!$$941), "", 'Data Entry'!$$941)</f>
      </c>
      <c r="BM941">
        <f>IF(ISBLANK('Data Entry'!$$941), "", 'Data Entry'!$$941)</f>
      </c>
      <c r="BN941">
        <f>IF(ISBLANK('Data Entry'!$$941), "", 'Data Entry'!$$941)</f>
      </c>
      <c r="BO941">
        <f>IF(ISBLANK('Data Entry'!$$941), "", 'Data Entry'!$$941)</f>
      </c>
      <c r="BP941">
        <f>IF(ISBLANK('Data Entry'!$$941), "", 'Data Entry'!$$941)</f>
      </c>
      <c r="BQ941">
        <f>IF(ISBLANK('Data Entry'!$$941), "", 'Data Entry'!$$941)</f>
      </c>
      <c r="BR941">
        <f>IF(ISBLANK('Data Entry'!$$941), "", 'Data Entry'!$$941)</f>
      </c>
      <c r="BS941">
        <f>IF(ISBLANK('Data Entry'!$$941), "", 'Data Entry'!$$941)</f>
      </c>
      <c r="BT941">
        <f>IF(ISBLANK('Data Entry'!$$941), "", 'Data Entry'!$$941)</f>
      </c>
      <c r="BU941">
        <f>IF(ISBLANK('Data Entry'!$$941), "", 'Data Entry'!$$941)</f>
      </c>
      <c r="BV941">
        <f>IF(ISBLANK('Data Entry'!$$941), "", 'Data Entry'!$$941)</f>
      </c>
      <c r="BW941">
        <f>IF(ISBLANK('Data Entry'!$$941), "", 'Data Entry'!$$941)</f>
      </c>
      <c r="BX941">
        <f>IF(ISBLANK('Data Entry'!$$941), "", 'Data Entry'!$$941)</f>
      </c>
      <c r="BY941">
        <f>IF(ISBLANK('Data Entry'!$$941), "", 'Data Entry'!$$941)</f>
      </c>
      <c r="BZ941">
        <f>IF(ISBLANK('Data Entry'!$$941), "", 'Data Entry'!$$941)</f>
      </c>
      <c r="CA941">
        <f>IF(ISBLANK('Data Entry'!$$941), "", 'Data Entry'!$$941)</f>
      </c>
      <c r="CB941">
        <f>IF(ISBLANK('Data Entry'!$$941), "", 'Data Entry'!$$941)</f>
      </c>
      <c r="CC941">
        <f>IF(ISBLANK('Data Entry'!$$941), "", 'Data Entry'!$$941)</f>
      </c>
      <c r="CD941">
        <f>IF(ISBLANK('Data Entry'!$$941), "", 'Data Entry'!$$941)</f>
      </c>
      <c r="CE941">
        <f>IF(ISBLANK('Data Entry'!$$941), "", 'Data Entry'!$$941)</f>
      </c>
      <c r="CF941">
        <f>IF(ISBLANK('Data Entry'!$$941), "", 'Data Entry'!$$941)</f>
      </c>
      <c r="CG941">
        <f>IF(ISBLANK('Data Entry'!$$941), "", 'Data Entry'!$$941)</f>
      </c>
      <c r="CH941">
        <f>IF(ISBLANK('Data Entry'!$$941), "", 'Data Entry'!$$941)</f>
      </c>
      <c r="CI941">
        <f>IF(ISBLANK('Data Entry'!$$941), "", 'Data Entry'!$$941)</f>
      </c>
      <c r="CJ941">
        <f>IF(ISBLANK('Data Entry'!$$941), "", 'Data Entry'!$$941)</f>
      </c>
      <c r="CK941">
        <f>IF(ISBLANK('Data Entry'!$$941), "", 'Data Entry'!$$941)</f>
      </c>
      <c r="CL941">
        <f>IF(ISBLANK('Data Entry'!$$941), "", 'Data Entry'!$$941)</f>
      </c>
      <c r="CM941">
        <f>IF(ISBLANK('Data Entry'!$$941), "", 'Data Entry'!$$941)</f>
      </c>
      <c r="CN941">
        <f>IF(ISBLANK('Data Entry'!$$941), "", 'Data Entry'!$$941)</f>
      </c>
      <c r="CO941">
        <f>IF(ISBLANK('Data Entry'!$$941), "", 'Data Entry'!$$941)</f>
      </c>
      <c r="CP941">
        <f>IF(ISBLANK('Data Entry'!$$941), "", 'Data Entry'!$$941)</f>
      </c>
      <c r="CQ941">
        <f>IF(ISBLANK('Data Entry'!$$941), "", 'Data Entry'!$$941)</f>
      </c>
      <c r="CR941">
        <f>IF(ISBLANK('Data Entry'!$ $941), "", 'Data Entry'!$ $941)</f>
      </c>
      <c r="CS941">
        <f>IF(ISBLANK('Data Entry'!$¡$941), "", 'Data Entry'!$¡$941)</f>
      </c>
      <c r="CT941">
        <f>IF(ISBLANK('Data Entry'!$¢$941), "", 'Data Entry'!$¢$941)</f>
      </c>
      <c r="CU941">
        <f>IF(ISBLANK('Data Entry'!$£$941), "", 'Data Entry'!$£$941)</f>
      </c>
      <c r="CV941">
        <f>IF(ISBLANK('Data Entry'!$¤$941), "", 'Data Entry'!$¤$941)</f>
      </c>
      <c r="CW941">
        <f>IF(ISBLANK('Data Entry'!$¥$941), "", 'Data Entry'!$¥$941)</f>
      </c>
      <c r="CX941">
        <f>IF(ISBLANK('Data Entry'!$¦$941), "", 'Data Entry'!$¦$941)</f>
      </c>
      <c r="CY941">
        <f>IF(ISBLANK('Data Entry'!$§$941), "", 'Data Entry'!$§$941)</f>
      </c>
      <c r="CZ941">
        <f>IF(ISBLANK('Data Entry'!$¨$941), "", 'Data Entry'!$¨$941)</f>
      </c>
      <c r="DA941">
        <f>IF(ISBLANK('Data Entry'!$©$941), "", 'Data Entry'!$©$941)</f>
      </c>
      <c r="DB941">
        <f>IF(ISBLANK('Data Entry'!$ª$941), "", 'Data Entry'!$ª$941)</f>
      </c>
      <c r="DC941">
        <f>IF(ISBLANK('Data Entry'!$«$941), "", 'Data Entry'!$«$941)</f>
      </c>
      <c r="DD941">
        <f>IF(ISBLANK('Data Entry'!$¬$941), "", 'Data Entry'!$¬$941)</f>
      </c>
      <c r="DE941">
        <f>IF(ISBLANK('Data Entry'!$­$941), "", 'Data Entry'!$­$941)</f>
      </c>
      <c r="DF941">
        <f>IF(ISBLANK('Data Entry'!$®$941), "", 'Data Entry'!$®$941)</f>
      </c>
      <c r="DG941">
        <f>IF(ISBLANK('Data Entry'!$¯$941), "", 'Data Entry'!$¯$941)</f>
      </c>
      <c r="DH941">
        <f>IF(ISBLANK('Data Entry'!$°$941), "", 'Data Entry'!$°$941)</f>
      </c>
      <c r="DI941">
        <f>IF(ISBLANK('Data Entry'!$±$941), "", 'Data Entry'!$±$941)</f>
      </c>
      <c r="DJ941">
        <f>IF(ISBLANK('Data Entry'!$²$941), "", 'Data Entry'!$²$941)</f>
      </c>
      <c r="DK941">
        <f>IF(ISBLANK('Data Entry'!$³$941), "", 'Data Entry'!$³$941)</f>
      </c>
      <c r="DL941">
        <f>IF(ISBLANK('Data Entry'!$´$941), "", 'Data Entry'!$´$941)</f>
      </c>
      <c r="DM941">
        <f>IF(ISBLANK('Data Entry'!$µ$941), "", 'Data Entry'!$µ$941)</f>
      </c>
      <c r="DN941">
        <f>IF(ISBLANK('Data Entry'!$¶$941), "", 'Data Entry'!$¶$941)</f>
      </c>
      <c r="DO941">
        <f>IF(ISBLANK('Data Entry'!$·$941), "", 'Data Entry'!$·$941)</f>
      </c>
      <c r="DP941">
        <f>IF(ISBLANK('Data Entry'!$¸$941), "", 'Data Entry'!$¸$941)</f>
      </c>
      <c r="DQ941">
        <f>IF(ISBLANK('Data Entry'!$¹$941), "", 'Data Entry'!$¹$941)</f>
      </c>
      <c r="DR941">
        <f>IF(ISBLANK('Data Entry'!$º$941), "", 'Data Entry'!$º$941)</f>
      </c>
      <c r="DS941">
        <f>IF(ISBLANK('Data Entry'!$»$941), "", 'Data Entry'!$»$941)</f>
      </c>
      <c r="DT941">
        <f>IF(ISBLANK('Data Entry'!$¼$941), "", 'Data Entry'!$¼$941)</f>
      </c>
      <c r="DU941">
        <f>IF(ISBLANK('Data Entry'!$½$941), "", 'Data Entry'!$½$941)</f>
      </c>
      <c r="DV941">
        <f>IF(ISBLANK('Data Entry'!$¾$941), "", 'Data Entry'!$¾$941)</f>
      </c>
      <c r="DW941">
        <f>IF(ISBLANK('Data Entry'!$¿$941), "", 'Data Entry'!$¿$941)</f>
      </c>
      <c r="DX941">
        <f>IF(ISBLANK('Data Entry'!$À$941), "", 'Data Entry'!$À$941)</f>
      </c>
      <c r="DY941">
        <f>IF(ISBLANK('Data Entry'!$Á$941), "", 'Data Entry'!$Á$941)</f>
      </c>
      <c r="DZ941">
        <f>IF(ISBLANK('Data Entry'!$Â$941), "", 'Data Entry'!$Â$941)</f>
      </c>
      <c r="EA941">
        <f>IF(ISBLANK('Data Entry'!$Ã$941), "", 'Data Entry'!$Ã$941)</f>
      </c>
      <c r="EB941">
        <f>IF(ISBLANK('Data Entry'!$Ä$941), "", 'Data Entry'!$Ä$941)</f>
      </c>
      <c r="EC941">
        <f>IF(ISBLANK('Data Entry'!$Å$941), "", 'Data Entry'!$Å$941)</f>
      </c>
      <c r="ED941">
        <f>IF(ISBLANK('Data Entry'!$Æ$941), "", 'Data Entry'!$Æ$941)</f>
      </c>
      <c r="EE941">
        <f>IF(ISBLANK('Data Entry'!$Ç$941), "", 'Data Entry'!$Ç$941)</f>
      </c>
      <c r="EF941">
        <f>IF(ISBLANK('Data Entry'!$È$941), "", 'Data Entry'!$È$941)</f>
      </c>
      <c r="EG941">
        <f>IF(ISBLANK('Data Entry'!$É$941), "", 'Data Entry'!$É$941)</f>
      </c>
      <c r="EH941">
        <f>IF(ISBLANK('Data Entry'!$Ê$941), "", 'Data Entry'!$Ê$941)</f>
      </c>
      <c r="EI941">
        <f>IF(ISBLANK('Data Entry'!$Ë$941), "", 'Data Entry'!$Ë$941)</f>
      </c>
      <c r="EJ941">
        <f>IF(ISBLANK('Data Entry'!$Ì$941), "", 'Data Entry'!$Ì$941)</f>
      </c>
      <c r="EK941">
        <f>IF(ISBLANK('Data Entry'!$Í$941), "", 'Data Entry'!$Í$941)</f>
      </c>
      <c r="EL941">
        <f>IF(ISBLANK('Data Entry'!$Î$941), "", 'Data Entry'!$Î$941)</f>
      </c>
      <c r="EM941">
        <f>IF(ISBLANK('Data Entry'!$Ï$941), "", 'Data Entry'!$Ï$941)</f>
      </c>
      <c r="EN941">
        <f>IF(ISBLANK('Data Entry'!$Ð$941), "", 'Data Entry'!$Ð$941)</f>
      </c>
      <c r="EO941">
        <f>IF(ISBLANK('Data Entry'!$Ñ$941), "", 'Data Entry'!$Ñ$941)</f>
      </c>
      <c r="EP941">
        <f>IF(ISBLANK('Data Entry'!$Ò$941), "", 'Data Entry'!$Ò$941)</f>
      </c>
      <c r="EQ941">
        <f>IF(ISBLANK('Data Entry'!$Ó$941), "", 'Data Entry'!$Ó$941)</f>
      </c>
      <c r="ER941">
        <f>IF(ISBLANK('Data Entry'!$Ô$941), "", 'Data Entry'!$Ô$941)</f>
      </c>
      <c r="ES941">
        <f>IF(ISBLANK('Data Entry'!$Õ$941), "", 'Data Entry'!$Õ$941)</f>
      </c>
      <c r="ET941">
        <f>IF(ISBLANK('Data Entry'!$Ö$941), "", 'Data Entry'!$Ö$941)</f>
      </c>
      <c r="EU941">
        <f>IF(ISBLANK('Data Entry'!$×$941), "", 'Data Entry'!$×$941)</f>
      </c>
      <c r="EV941">
        <f>IF(ISBLANK('Data Entry'!$Ø$941), "", 'Data Entry'!$Ø$941)</f>
      </c>
      <c r="EW941">
        <f>IF(ISBLANK('Data Entry'!$Ù$941), "", 'Data Entry'!$Ù$941)</f>
      </c>
      <c r="EX941">
        <f>IF(ISBLANK('Data Entry'!$Ú$941), "", 'Data Entry'!$Ú$941)</f>
      </c>
      <c r="EY941">
        <f>IF(ISBLANK('Data Entry'!$Û$941), "", 'Data Entry'!$Û$941)</f>
      </c>
      <c r="EZ941">
        <f>IF(ISBLANK('Data Entry'!$Ü$941), "", 'Data Entry'!$Ü$941)</f>
      </c>
      <c r="FA941">
        <f>IF(ISBLANK('Data Entry'!$Ý$941), "", 'Data Entry'!$Ý$941)</f>
      </c>
      <c r="FB941">
        <f>IF(ISBLANK('Data Entry'!$Þ$941), "", 'Data Entry'!$Þ$941)</f>
      </c>
      <c r="FC941">
        <f>IF(ISBLANK('Data Entry'!$ß$941), "", 'Data Entry'!$ß$941)</f>
      </c>
      <c r="FD941">
        <f>IF(ISBLANK('Data Entry'!$à$941), "", 'Data Entry'!$à$941)</f>
      </c>
      <c r="FE941">
        <f>IF(ISBLANK('Data Entry'!$á$941), "", 'Data Entry'!$á$941)</f>
      </c>
      <c r="FF941">
        <f>IF(ISBLANK('Data Entry'!$â$941), "", 'Data Entry'!$â$941)</f>
      </c>
      <c r="FG941">
        <f>IF(ISBLANK('Data Entry'!$ã$941), "", 'Data Entry'!$ã$941)</f>
      </c>
      <c r="FH941">
        <f>IF(ISBLANK('Data Entry'!$ä$941), "", 'Data Entry'!$ä$941)</f>
      </c>
      <c r="FI941">
        <f>IF(ISBLANK('Data Entry'!$å$941), "", 'Data Entry'!$å$941)</f>
      </c>
      <c r="FJ941">
        <f>IF(ISBLANK('Data Entry'!$æ$941), "", 'Data Entry'!$æ$941)</f>
      </c>
      <c r="FK941">
        <f>IF(ISBLANK('Data Entry'!$ç$941), "", 'Data Entry'!$ç$941)</f>
      </c>
      <c r="FL941">
        <f>IF(ISBLANK('Data Entry'!$è$941), "", 'Data Entry'!$è$941)</f>
      </c>
      <c r="FM941">
        <f>IF(ISBLANK('Data Entry'!$é$941), "", 'Data Entry'!$é$941)</f>
      </c>
      <c r="FN941">
        <f>IF(ISBLANK('Data Entry'!$ê$941), "", 'Data Entry'!$ê$941)</f>
      </c>
      <c r="FO941">
        <f>IF(ISBLANK('Data Entry'!$ë$941), "", 'Data Entry'!$ë$941)</f>
      </c>
      <c r="FP941">
        <f>IF(ISBLANK('Data Entry'!$ì$941), "", 'Data Entry'!$ì$941)</f>
      </c>
      <c r="FQ941">
        <f>IF(ISBLANK('Data Entry'!$í$941), "", 'Data Entry'!$í$941)</f>
      </c>
      <c r="FR941">
        <f>IF(ISBLANK('Data Entry'!$î$941), "", 'Data Entry'!$î$941)</f>
      </c>
      <c r="FS941">
        <f>IF(ISBLANK('Data Entry'!$ï$941), "", 'Data Entry'!$ï$941)</f>
      </c>
      <c r="FT941">
        <f>IF(ISBLANK('Data Entry'!$ð$941), "", 'Data Entry'!$ð$941)</f>
      </c>
      <c r="FU941">
        <f>IF(ISBLANK('Data Entry'!$ñ$941), "", 'Data Entry'!$ñ$941)</f>
      </c>
      <c r="FV941">
        <f>IF(ISBLANK('Data Entry'!$ò$941), "", 'Data Entry'!$ò$941)</f>
      </c>
      <c r="FW941">
        <f>IF(ISBLANK('Data Entry'!$ó$941), "", 'Data Entry'!$ó$941)</f>
      </c>
      <c r="FX941">
        <f>IF(ISBLANK('Data Entry'!$ô$941), "", 'Data Entry'!$ô$941)</f>
      </c>
      <c r="FY941">
        <f>IF(ISBLANK('Data Entry'!$õ$941), "", 'Data Entry'!$õ$941)</f>
      </c>
      <c r="FZ941">
        <f>IF(ISBLANK('Data Entry'!$ö$941), "", 'Data Entry'!$ö$941)</f>
      </c>
      <c r="GA941">
        <f>IF(ISBLANK('Data Entry'!$÷$941), "", 'Data Entry'!$÷$941)</f>
      </c>
      <c r="GB941">
        <f>IF(ISBLANK('Data Entry'!$ø$941), "", 'Data Entry'!$ø$941)</f>
      </c>
      <c r="GC941">
        <f>IF(ISBLANK('Data Entry'!$ù$941), "", 'Data Entry'!$ù$941)</f>
      </c>
      <c r="GD941">
        <f>IF(ISBLANK('Data Entry'!$ú$941), "", 'Data Entry'!$ú$941)</f>
      </c>
      <c r="GE941">
        <f>IF(ISBLANK('Data Entry'!$û$941), "", 'Data Entry'!$û$941)</f>
      </c>
      <c r="GF941">
        <f>IF(ISBLANK('Data Entry'!$ü$941), "", 'Data Entry'!$ü$941)</f>
      </c>
      <c r="GG941">
        <f>IF(ISBLANK('Data Entry'!$ý$941), "", 'Data Entry'!$ý$941)</f>
      </c>
      <c r="GH941">
        <f>IF(ISBLANK('Data Entry'!$þ$941), "", 'Data Entry'!$þ$941)</f>
      </c>
      <c r="GI941">
        <f>IF(ISBLANK('Data Entry'!$ÿ$941), "", 'Data Entry'!$ÿ$941)</f>
      </c>
      <c r="GJ941">
        <f>IF(ISBLANK('Data Entry'!$Ā$941), "", 'Data Entry'!$Ā$941)</f>
      </c>
      <c r="GK941">
        <f>IF(ISBLANK('Data Entry'!$ā$941), "", 'Data Entry'!$ā$941)</f>
      </c>
      <c r="GL941">
        <f>IF(ISBLANK('Data Entry'!$Ă$941), "", 'Data Entry'!$Ă$941)</f>
      </c>
      <c r="GM941">
        <f>IF(ISBLANK('Data Entry'!$ă$941), "", 'Data Entry'!$ă$941)</f>
      </c>
      <c r="GN941">
        <f>IF(ISBLANK('Data Entry'!$Ą$941), "", 'Data Entry'!$Ą$941)</f>
      </c>
      <c r="GO941">
        <f>IF(ISBLANK('Data Entry'!$ą$941), "", 'Data Entry'!$ą$941)</f>
      </c>
      <c r="GP941">
        <f>IF(ISBLANK('Data Entry'!$Ć$941), "", 'Data Entry'!$Ć$941)</f>
      </c>
      <c r="GQ941">
        <f>IF(ISBLANK('Data Entry'!$ć$941), "", 'Data Entry'!$ć$941)</f>
      </c>
      <c r="GR941">
        <f>IF(ISBLANK('Data Entry'!$Ĉ$941), "", 'Data Entry'!$Ĉ$941)</f>
      </c>
      <c r="GS941">
        <f>IF(ISBLANK('Data Entry'!$ĉ$941), "", 'Data Entry'!$ĉ$941)</f>
      </c>
      <c r="GT941">
        <f>IF(ISBLANK('Data Entry'!$Ċ$941), "", 'Data Entry'!$Ċ$941)</f>
      </c>
      <c r="GU941">
        <f>IF(ISBLANK('Data Entry'!$ċ$941), "", 'Data Entry'!$ċ$941)</f>
      </c>
      <c r="GV941">
        <f>IF(ISBLANK('Data Entry'!$Č$941), "", 'Data Entry'!$Č$941)</f>
      </c>
      <c r="GW941">
        <f>IF(ISBLANK('Data Entry'!$č$941), "", 'Data Entry'!$č$941)</f>
      </c>
      <c r="GX941">
        <f>IF(ISBLANK('Data Entry'!$Ď$941), "", 'Data Entry'!$Ď$941)</f>
      </c>
      <c r="GY941">
        <f>IF(ISBLANK('Data Entry'!$ď$941), "", 'Data Entry'!$ď$941)</f>
      </c>
      <c r="GZ941">
        <f>IF(ISBLANK('Data Entry'!$Đ$941), "", 'Data Entry'!$Đ$941)</f>
      </c>
      <c r="HA941">
        <f>IF(ISBLANK('Data Entry'!$đ$941), "", 'Data Entry'!$đ$941)</f>
      </c>
      <c r="HB941">
        <f>IF(ISBLANK('Data Entry'!$Ē$941), "", 'Data Entry'!$Ē$941)</f>
      </c>
      <c r="HC941">
        <f>IF(ISBLANK('Data Entry'!$ē$941), "", 'Data Entry'!$ē$941)</f>
      </c>
      <c r="HD941">
        <f>IF(ISBLANK('Data Entry'!$Ĕ$941), "", 'Data Entry'!$Ĕ$941)</f>
      </c>
      <c r="HE941">
        <f>IF(ISBLANK('Data Entry'!$ĕ$941), "", 'Data Entry'!$ĕ$941)</f>
      </c>
      <c r="HF941">
        <f>IF(ISBLANK('Data Entry'!$Ė$941), "", 'Data Entry'!$Ė$941)</f>
      </c>
      <c r="HG941">
        <f>IF(ISBLANK('Data Entry'!$ė$941), "", 'Data Entry'!$ė$941)</f>
      </c>
      <c r="HH941">
        <f>IF(ISBLANK('Data Entry'!$Ę$941), "", 'Data Entry'!$Ę$941)</f>
      </c>
      <c r="HI941">
        <f>IF(ISBLANK('Data Entry'!$ę$941), "", 'Data Entry'!$ę$941)</f>
      </c>
      <c r="HJ941">
        <f>IF(ISBLANK('Data Entry'!$Ě$941), "", 'Data Entry'!$Ě$941)</f>
      </c>
      <c r="HK941">
        <f>IF(ISBLANK('Data Entry'!$ě$941), "", 'Data Entry'!$ě$941)</f>
      </c>
      <c r="HL941">
        <f>IF(ISBLANK('Data Entry'!$Ĝ$941), "", 'Data Entry'!$Ĝ$941)</f>
      </c>
      <c r="HM941">
        <f>IF(ISBLANK('Data Entry'!$ĝ$941), "", 'Data Entry'!$ĝ$941)</f>
      </c>
      <c r="HN941">
        <f>IF(ISBLANK('Data Entry'!$Ğ$941), "", 'Data Entry'!$Ğ$941)</f>
      </c>
      <c r="HO941">
        <f>IF(ISBLANK('Data Entry'!$ğ$941), "", 'Data Entry'!$ğ$941)</f>
      </c>
      <c r="HP941">
        <f>IF(ISBLANK('Data Entry'!$Ġ$941), "", 'Data Entry'!$Ġ$941)</f>
      </c>
      <c r="HQ941">
        <f>IF(ISBLANK('Data Entry'!$ġ$941), "", 'Data Entry'!$ġ$941)</f>
      </c>
      <c r="HR941">
        <f>IF(ISBLANK('Data Entry'!$Ģ$941), "", 'Data Entry'!$Ģ$941)</f>
      </c>
      <c r="HS941">
        <f>IF(ISBLANK('Data Entry'!$ģ$941), "", 'Data Entry'!$ģ$941)</f>
      </c>
      <c r="HT941">
        <f>IF(ISBLANK('Data Entry'!$Ĥ$941), "", 'Data Entry'!$Ĥ$941)</f>
      </c>
      <c r="HU941">
        <f>IF(ISBLANK('Data Entry'!$ĥ$941), "", 'Data Entry'!$ĥ$941)</f>
      </c>
      <c r="HV941">
        <f>IF(ISBLANK('Data Entry'!$Ħ$941), "", 'Data Entry'!$Ħ$941)</f>
      </c>
      <c r="HW941">
        <f>IF(ISBLANK('Data Entry'!$ħ$941), "", 'Data Entry'!$ħ$941)</f>
      </c>
      <c r="HX941">
        <f>IF(ISBLANK('Data Entry'!$Ĩ$941), "", 'Data Entry'!$Ĩ$941)</f>
      </c>
      <c r="HY941">
        <f>IF(ISBLANK('Data Entry'!$ĩ$941), "", 'Data Entry'!$ĩ$941)</f>
      </c>
      <c r="HZ941">
        <f>IF(ISBLANK('Data Entry'!$Ī$941), "", 'Data Entry'!$Ī$941)</f>
      </c>
      <c r="IA941">
        <f>IF(ISBLANK('Data Entry'!$ī$941), "", 'Data Entry'!$ī$941)</f>
      </c>
      <c r="IB941">
        <f>IF(ISBLANK('Data Entry'!$Ĭ$941), "", 'Data Entry'!$Ĭ$941)</f>
      </c>
      <c r="IC941">
        <f>IF(ISBLANK('Data Entry'!$ĭ$941), "", 'Data Entry'!$ĭ$941)</f>
      </c>
      <c r="ID941">
        <f>IF(ISBLANK('Data Entry'!$Į$941), "", 'Data Entry'!$Į$941)</f>
      </c>
      <c r="IE941">
        <f>IF(ISBLANK('Data Entry'!$į$941), "", 'Data Entry'!$į$941)</f>
      </c>
      <c r="IF941">
        <f>IF(ISBLANK('Data Entry'!$İ$941), "", 'Data Entry'!$İ$941)</f>
      </c>
      <c r="IG941">
        <f>IF(ISBLANK('Data Entry'!$ı$941), "", 'Data Entry'!$ı$941)</f>
      </c>
      <c r="IH941">
        <f>IF(ISBLANK('Data Entry'!$Ĳ$941), "", 'Data Entry'!$Ĳ$941)</f>
      </c>
      <c r="II941">
        <f>IF(ISBLANK('Data Entry'!$ĳ$941), "", 'Data Entry'!$ĳ$941)</f>
      </c>
      <c r="IJ941">
        <f>IF(ISBLANK('Data Entry'!$Ĵ$941), "", 'Data Entry'!$Ĵ$941)</f>
      </c>
      <c r="IK941">
        <f>IF(ISBLANK('Data Entry'!$ĵ$941), "", 'Data Entry'!$ĵ$941)</f>
      </c>
      <c r="IL941">
        <f>IF(ISBLANK('Data Entry'!$Ķ$941), "", 'Data Entry'!$Ķ$941)</f>
      </c>
      <c r="IM941">
        <f>IF(ISBLANK('Data Entry'!$ķ$941), "", 'Data Entry'!$ķ$941)</f>
      </c>
      <c r="IN941">
        <f>IF(ISBLANK('Data Entry'!$ĸ$941), "", 'Data Entry'!$ĸ$941)</f>
      </c>
      <c r="IO941">
        <f>IF(ISBLANK('Data Entry'!$Ĺ$941), "", 'Data Entry'!$Ĺ$941)</f>
      </c>
      <c r="IP941">
        <f>IF(ISBLANK('Data Entry'!$ĺ$941), "", 'Data Entry'!$ĺ$941)</f>
      </c>
      <c r="IQ941">
        <f>IF(ISBLANK('Data Entry'!$Ļ$941), "", 'Data Entry'!$Ļ$941)</f>
      </c>
      <c r="IR941">
        <f>IF(ISBLANK('Data Entry'!$ļ$941), "", 'Data Entry'!$ļ$941)</f>
      </c>
      <c r="IS941">
        <f>IF(ISBLANK('Data Entry'!$Ľ$941), "", 'Data Entry'!$Ľ$941)</f>
      </c>
      <c r="IT941">
        <f>IF(ISBLANK('Data Entry'!$ľ$941), "", 'Data Entry'!$ľ$941)</f>
      </c>
    </row>
    <row r="942" spans="1:254" x14ac:dyDescent="0.25">
      <c r="A942">
        <f>IF(ISBLANK('Data Entry'!$A$942), "", 'Data Entry'!$A$942)</f>
      </c>
      <c r="B942">
        <f>IF(ISBLANK('Data Entry'!$B$942), "", 'Data Entry'!$B$942)</f>
      </c>
      <c r="C942">
        <f>IF(ISBLANK('Data Entry'!$C$942), "", 'Data Entry'!$C$942)</f>
      </c>
      <c r="D942">
        <f>IF(ISBLANK('Data Entry'!$D$942), "", 'Data Entry'!$D$942)</f>
      </c>
      <c r="E942">
        <f>IF(ISBLANK('Data Entry'!$E$942), "", 'Data Entry'!$E$942)</f>
      </c>
      <c r="F942">
        <f>IF(ISBLANK('Data Entry'!$F$942), "", 'Data Entry'!$F$942)</f>
      </c>
      <c r="G942">
        <f>IF(ISBLANK('Data Entry'!$G$942), "", 'Data Entry'!$G$942)</f>
      </c>
      <c r="H942">
        <f>IF(ISBLANK('Data Entry'!$H$942), "", 'Data Entry'!$H$942)</f>
      </c>
      <c r="I942">
        <f>IF(ISBLANK('Data Entry'!$I$942), "", 'Data Entry'!$I$942)</f>
      </c>
      <c r="J942">
        <f>IF(ISBLANK('Data Entry'!$J$942), "", 'Data Entry'!$J$942)</f>
      </c>
      <c r="K942">
        <f>IF(ISBLANK('Data Entry'!$K$942), "", 'Data Entry'!$K$942)</f>
      </c>
      <c r="L942">
        <f>IF(ISBLANK('Data Entry'!$L$942), "", 'Data Entry'!$L$942)</f>
      </c>
      <c r="M942">
        <f>IF(ISBLANK('Data Entry'!$M$942), "", 'Data Entry'!$M$942)</f>
      </c>
      <c r="N942">
        <f>IF(ISBLANK('Data Entry'!$N$942), "", 'Data Entry'!$N$942)</f>
      </c>
      <c r="O942">
        <f>IF(ISBLANK('Data Entry'!$O$942), "", 'Data Entry'!$O$942)</f>
      </c>
      <c r="P942">
        <f>IF(ISBLANK('Data Entry'!$P$942), "", 'Data Entry'!$P$942)</f>
      </c>
      <c r="Q942">
        <f>IF(ISBLANK('Data Entry'!$Q$942), "", 'Data Entry'!$Q$942)</f>
      </c>
      <c r="R942">
        <f>IF(ISBLANK('Data Entry'!$R$942), "", 'Data Entry'!$R$942)</f>
      </c>
      <c r="S942">
        <f>IF(ISBLANK('Data Entry'!$S$942), "", 'Data Entry'!$S$942)</f>
      </c>
      <c r="T942">
        <f>IF(ISBLANK('Data Entry'!$T$942), "", 'Data Entry'!$T$942)</f>
      </c>
      <c r="U942">
        <f>IF(ISBLANK('Data Entry'!$U$942), "", 'Data Entry'!$U$942)</f>
      </c>
      <c r="V942">
        <f>IF(ISBLANK('Data Entry'!$V$942), "", 'Data Entry'!$V$942)</f>
      </c>
      <c r="W942">
        <f>IF(ISBLANK('Data Entry'!$W$942), "", 'Data Entry'!$W$942)</f>
      </c>
      <c r="X942">
        <f>IF(ISBLANK('Data Entry'!$X$942), "", 'Data Entry'!$X$942)</f>
      </c>
      <c r="Y942">
        <f>IF(ISBLANK('Data Entry'!$Y$942), "", 'Data Entry'!$Y$942)</f>
      </c>
      <c r="Z942">
        <f>IF(ISBLANK('Data Entry'!$Z$942), "", 'Data Entry'!$Z$942)</f>
      </c>
      <c r="AA942">
        <f>IF(ISBLANK('Data Entry'!$[$942), "", 'Data Entry'!$[$942)</f>
      </c>
      <c r="AB942">
        <f>IF(ISBLANK('Data Entry'!$\$942), "", 'Data Entry'!$\$942)</f>
      </c>
      <c r="AC942">
        <f>IF(ISBLANK('Data Entry'!$]$942), "", 'Data Entry'!$]$942)</f>
      </c>
      <c r="AD942">
        <f>IF(ISBLANK('Data Entry'!$^$942), "", 'Data Entry'!$^$942)</f>
      </c>
      <c r="AE942">
        <f>IF(ISBLANK('Data Entry'!$_$942), "", 'Data Entry'!$_$942)</f>
      </c>
      <c r="AF942">
        <f>IF(ISBLANK('Data Entry'!$`$942), "", 'Data Entry'!$`$942)</f>
      </c>
      <c r="AG942">
        <f>IF(ISBLANK('Data Entry'!$a$942), "", 'Data Entry'!$a$942)</f>
      </c>
      <c r="AH942">
        <f>IF(ISBLANK('Data Entry'!$b$942), "", 'Data Entry'!$b$942)</f>
      </c>
      <c r="AI942">
        <f>IF(ISBLANK('Data Entry'!$c$942), "", 'Data Entry'!$c$942)</f>
      </c>
      <c r="AJ942">
        <f>IF(ISBLANK('Data Entry'!$d$942), "", 'Data Entry'!$d$942)</f>
      </c>
      <c r="AK942">
        <f>IF(ISBLANK('Data Entry'!$e$942), "", 'Data Entry'!$e$942)</f>
      </c>
      <c r="AL942">
        <f>IF(ISBLANK('Data Entry'!$f$942), "", 'Data Entry'!$f$942)</f>
      </c>
      <c r="AM942">
        <f>IF(ISBLANK('Data Entry'!$g$942), "", 'Data Entry'!$g$942)</f>
      </c>
      <c r="AN942">
        <f>IF(ISBLANK('Data Entry'!$h$942), "", 'Data Entry'!$h$942)</f>
      </c>
      <c r="AO942">
        <f>IF(ISBLANK('Data Entry'!$i$942), "", 'Data Entry'!$i$942)</f>
      </c>
      <c r="AP942">
        <f>IF(ISBLANK('Data Entry'!$j$942), "", 'Data Entry'!$j$942)</f>
      </c>
      <c r="AQ942">
        <f>IF(ISBLANK('Data Entry'!$k$942), "", 'Data Entry'!$k$942)</f>
      </c>
      <c r="AR942">
        <f>IF(ISBLANK('Data Entry'!$l$942), "", 'Data Entry'!$l$942)</f>
      </c>
      <c r="AS942">
        <f>IF(ISBLANK('Data Entry'!$m$942), "", 'Data Entry'!$m$942)</f>
      </c>
      <c r="AT942">
        <f>IF(ISBLANK('Data Entry'!$n$942), "", 'Data Entry'!$n$942)</f>
      </c>
      <c r="AU942">
        <f>IF(ISBLANK('Data Entry'!$o$942), "", 'Data Entry'!$o$942)</f>
      </c>
      <c r="AV942">
        <f>IF(ISBLANK('Data Entry'!$p$942), "", 'Data Entry'!$p$942)</f>
      </c>
      <c r="AW942">
        <f>IF(ISBLANK('Data Entry'!$q$942), "", 'Data Entry'!$q$942)</f>
      </c>
      <c r="AX942">
        <f>IF(ISBLANK('Data Entry'!$r$942), "", 'Data Entry'!$r$942)</f>
      </c>
      <c r="AY942">
        <f>IF(ISBLANK('Data Entry'!$s$942), "", 'Data Entry'!$s$942)</f>
      </c>
      <c r="AZ942">
        <f>IF(ISBLANK('Data Entry'!$t$942), "", 'Data Entry'!$t$942)</f>
      </c>
      <c r="BA942">
        <f>IF(ISBLANK('Data Entry'!$u$942), "", 'Data Entry'!$u$942)</f>
      </c>
      <c r="BB942">
        <f>IF(ISBLANK('Data Entry'!$v$942), "", 'Data Entry'!$v$942)</f>
      </c>
      <c r="BC942">
        <f>IF(ISBLANK('Data Entry'!$w$942), "", 'Data Entry'!$w$942)</f>
      </c>
      <c r="BD942">
        <f>IF(ISBLANK('Data Entry'!$x$942), "", 'Data Entry'!$x$942)</f>
      </c>
      <c r="BE942">
        <f>IF(ISBLANK('Data Entry'!$y$942), "", 'Data Entry'!$y$942)</f>
      </c>
      <c r="BF942">
        <f>IF(ISBLANK('Data Entry'!$z$942), "", 'Data Entry'!$z$942)</f>
      </c>
      <c r="BG942">
        <f>IF(ISBLANK('Data Entry'!${$942), "", 'Data Entry'!${$942)</f>
      </c>
      <c r="BH942">
        <f>IF(ISBLANK('Data Entry'!$|$942), "", 'Data Entry'!$|$942)</f>
      </c>
      <c r="BI942">
        <f>IF(ISBLANK('Data Entry'!$}$942), "", 'Data Entry'!$}$942)</f>
      </c>
      <c r="BJ942">
        <f>IF(ISBLANK('Data Entry'!$~$942), "", 'Data Entry'!$~$942)</f>
      </c>
      <c r="BK942">
        <f>IF(ISBLANK('Data Entry'!$$942), "", 'Data Entry'!$$942)</f>
      </c>
      <c r="BL942">
        <f>IF(ISBLANK('Data Entry'!$$942), "", 'Data Entry'!$$942)</f>
      </c>
      <c r="BM942">
        <f>IF(ISBLANK('Data Entry'!$$942), "", 'Data Entry'!$$942)</f>
      </c>
      <c r="BN942">
        <f>IF(ISBLANK('Data Entry'!$$942), "", 'Data Entry'!$$942)</f>
      </c>
      <c r="BO942">
        <f>IF(ISBLANK('Data Entry'!$$942), "", 'Data Entry'!$$942)</f>
      </c>
      <c r="BP942">
        <f>IF(ISBLANK('Data Entry'!$$942), "", 'Data Entry'!$$942)</f>
      </c>
      <c r="BQ942">
        <f>IF(ISBLANK('Data Entry'!$$942), "", 'Data Entry'!$$942)</f>
      </c>
      <c r="BR942">
        <f>IF(ISBLANK('Data Entry'!$$942), "", 'Data Entry'!$$942)</f>
      </c>
      <c r="BS942">
        <f>IF(ISBLANK('Data Entry'!$$942), "", 'Data Entry'!$$942)</f>
      </c>
      <c r="BT942">
        <f>IF(ISBLANK('Data Entry'!$$942), "", 'Data Entry'!$$942)</f>
      </c>
      <c r="BU942">
        <f>IF(ISBLANK('Data Entry'!$$942), "", 'Data Entry'!$$942)</f>
      </c>
      <c r="BV942">
        <f>IF(ISBLANK('Data Entry'!$$942), "", 'Data Entry'!$$942)</f>
      </c>
      <c r="BW942">
        <f>IF(ISBLANK('Data Entry'!$$942), "", 'Data Entry'!$$942)</f>
      </c>
      <c r="BX942">
        <f>IF(ISBLANK('Data Entry'!$$942), "", 'Data Entry'!$$942)</f>
      </c>
      <c r="BY942">
        <f>IF(ISBLANK('Data Entry'!$$942), "", 'Data Entry'!$$942)</f>
      </c>
      <c r="BZ942">
        <f>IF(ISBLANK('Data Entry'!$$942), "", 'Data Entry'!$$942)</f>
      </c>
      <c r="CA942">
        <f>IF(ISBLANK('Data Entry'!$$942), "", 'Data Entry'!$$942)</f>
      </c>
      <c r="CB942">
        <f>IF(ISBLANK('Data Entry'!$$942), "", 'Data Entry'!$$942)</f>
      </c>
      <c r="CC942">
        <f>IF(ISBLANK('Data Entry'!$$942), "", 'Data Entry'!$$942)</f>
      </c>
      <c r="CD942">
        <f>IF(ISBLANK('Data Entry'!$$942), "", 'Data Entry'!$$942)</f>
      </c>
      <c r="CE942">
        <f>IF(ISBLANK('Data Entry'!$$942), "", 'Data Entry'!$$942)</f>
      </c>
      <c r="CF942">
        <f>IF(ISBLANK('Data Entry'!$$942), "", 'Data Entry'!$$942)</f>
      </c>
      <c r="CG942">
        <f>IF(ISBLANK('Data Entry'!$$942), "", 'Data Entry'!$$942)</f>
      </c>
      <c r="CH942">
        <f>IF(ISBLANK('Data Entry'!$$942), "", 'Data Entry'!$$942)</f>
      </c>
      <c r="CI942">
        <f>IF(ISBLANK('Data Entry'!$$942), "", 'Data Entry'!$$942)</f>
      </c>
      <c r="CJ942">
        <f>IF(ISBLANK('Data Entry'!$$942), "", 'Data Entry'!$$942)</f>
      </c>
      <c r="CK942">
        <f>IF(ISBLANK('Data Entry'!$$942), "", 'Data Entry'!$$942)</f>
      </c>
      <c r="CL942">
        <f>IF(ISBLANK('Data Entry'!$$942), "", 'Data Entry'!$$942)</f>
      </c>
      <c r="CM942">
        <f>IF(ISBLANK('Data Entry'!$$942), "", 'Data Entry'!$$942)</f>
      </c>
      <c r="CN942">
        <f>IF(ISBLANK('Data Entry'!$$942), "", 'Data Entry'!$$942)</f>
      </c>
      <c r="CO942">
        <f>IF(ISBLANK('Data Entry'!$$942), "", 'Data Entry'!$$942)</f>
      </c>
      <c r="CP942">
        <f>IF(ISBLANK('Data Entry'!$$942), "", 'Data Entry'!$$942)</f>
      </c>
      <c r="CQ942">
        <f>IF(ISBLANK('Data Entry'!$$942), "", 'Data Entry'!$$942)</f>
      </c>
      <c r="CR942">
        <f>IF(ISBLANK('Data Entry'!$ $942), "", 'Data Entry'!$ $942)</f>
      </c>
      <c r="CS942">
        <f>IF(ISBLANK('Data Entry'!$¡$942), "", 'Data Entry'!$¡$942)</f>
      </c>
      <c r="CT942">
        <f>IF(ISBLANK('Data Entry'!$¢$942), "", 'Data Entry'!$¢$942)</f>
      </c>
      <c r="CU942">
        <f>IF(ISBLANK('Data Entry'!$£$942), "", 'Data Entry'!$£$942)</f>
      </c>
      <c r="CV942">
        <f>IF(ISBLANK('Data Entry'!$¤$942), "", 'Data Entry'!$¤$942)</f>
      </c>
      <c r="CW942">
        <f>IF(ISBLANK('Data Entry'!$¥$942), "", 'Data Entry'!$¥$942)</f>
      </c>
      <c r="CX942">
        <f>IF(ISBLANK('Data Entry'!$¦$942), "", 'Data Entry'!$¦$942)</f>
      </c>
      <c r="CY942">
        <f>IF(ISBLANK('Data Entry'!$§$942), "", 'Data Entry'!$§$942)</f>
      </c>
      <c r="CZ942">
        <f>IF(ISBLANK('Data Entry'!$¨$942), "", 'Data Entry'!$¨$942)</f>
      </c>
      <c r="DA942">
        <f>IF(ISBLANK('Data Entry'!$©$942), "", 'Data Entry'!$©$942)</f>
      </c>
      <c r="DB942">
        <f>IF(ISBLANK('Data Entry'!$ª$942), "", 'Data Entry'!$ª$942)</f>
      </c>
      <c r="DC942">
        <f>IF(ISBLANK('Data Entry'!$«$942), "", 'Data Entry'!$«$942)</f>
      </c>
      <c r="DD942">
        <f>IF(ISBLANK('Data Entry'!$¬$942), "", 'Data Entry'!$¬$942)</f>
      </c>
      <c r="DE942">
        <f>IF(ISBLANK('Data Entry'!$­$942), "", 'Data Entry'!$­$942)</f>
      </c>
      <c r="DF942">
        <f>IF(ISBLANK('Data Entry'!$®$942), "", 'Data Entry'!$®$942)</f>
      </c>
      <c r="DG942">
        <f>IF(ISBLANK('Data Entry'!$¯$942), "", 'Data Entry'!$¯$942)</f>
      </c>
      <c r="DH942">
        <f>IF(ISBLANK('Data Entry'!$°$942), "", 'Data Entry'!$°$942)</f>
      </c>
      <c r="DI942">
        <f>IF(ISBLANK('Data Entry'!$±$942), "", 'Data Entry'!$±$942)</f>
      </c>
      <c r="DJ942">
        <f>IF(ISBLANK('Data Entry'!$²$942), "", 'Data Entry'!$²$942)</f>
      </c>
      <c r="DK942">
        <f>IF(ISBLANK('Data Entry'!$³$942), "", 'Data Entry'!$³$942)</f>
      </c>
      <c r="DL942">
        <f>IF(ISBLANK('Data Entry'!$´$942), "", 'Data Entry'!$´$942)</f>
      </c>
      <c r="DM942">
        <f>IF(ISBLANK('Data Entry'!$µ$942), "", 'Data Entry'!$µ$942)</f>
      </c>
      <c r="DN942">
        <f>IF(ISBLANK('Data Entry'!$¶$942), "", 'Data Entry'!$¶$942)</f>
      </c>
      <c r="DO942">
        <f>IF(ISBLANK('Data Entry'!$·$942), "", 'Data Entry'!$·$942)</f>
      </c>
      <c r="DP942">
        <f>IF(ISBLANK('Data Entry'!$¸$942), "", 'Data Entry'!$¸$942)</f>
      </c>
      <c r="DQ942">
        <f>IF(ISBLANK('Data Entry'!$¹$942), "", 'Data Entry'!$¹$942)</f>
      </c>
      <c r="DR942">
        <f>IF(ISBLANK('Data Entry'!$º$942), "", 'Data Entry'!$º$942)</f>
      </c>
      <c r="DS942">
        <f>IF(ISBLANK('Data Entry'!$»$942), "", 'Data Entry'!$»$942)</f>
      </c>
      <c r="DT942">
        <f>IF(ISBLANK('Data Entry'!$¼$942), "", 'Data Entry'!$¼$942)</f>
      </c>
      <c r="DU942">
        <f>IF(ISBLANK('Data Entry'!$½$942), "", 'Data Entry'!$½$942)</f>
      </c>
      <c r="DV942">
        <f>IF(ISBLANK('Data Entry'!$¾$942), "", 'Data Entry'!$¾$942)</f>
      </c>
      <c r="DW942">
        <f>IF(ISBLANK('Data Entry'!$¿$942), "", 'Data Entry'!$¿$942)</f>
      </c>
      <c r="DX942">
        <f>IF(ISBLANK('Data Entry'!$À$942), "", 'Data Entry'!$À$942)</f>
      </c>
      <c r="DY942">
        <f>IF(ISBLANK('Data Entry'!$Á$942), "", 'Data Entry'!$Á$942)</f>
      </c>
      <c r="DZ942">
        <f>IF(ISBLANK('Data Entry'!$Â$942), "", 'Data Entry'!$Â$942)</f>
      </c>
      <c r="EA942">
        <f>IF(ISBLANK('Data Entry'!$Ã$942), "", 'Data Entry'!$Ã$942)</f>
      </c>
      <c r="EB942">
        <f>IF(ISBLANK('Data Entry'!$Ä$942), "", 'Data Entry'!$Ä$942)</f>
      </c>
      <c r="EC942">
        <f>IF(ISBLANK('Data Entry'!$Å$942), "", 'Data Entry'!$Å$942)</f>
      </c>
      <c r="ED942">
        <f>IF(ISBLANK('Data Entry'!$Æ$942), "", 'Data Entry'!$Æ$942)</f>
      </c>
      <c r="EE942">
        <f>IF(ISBLANK('Data Entry'!$Ç$942), "", 'Data Entry'!$Ç$942)</f>
      </c>
      <c r="EF942">
        <f>IF(ISBLANK('Data Entry'!$È$942), "", 'Data Entry'!$È$942)</f>
      </c>
      <c r="EG942">
        <f>IF(ISBLANK('Data Entry'!$É$942), "", 'Data Entry'!$É$942)</f>
      </c>
      <c r="EH942">
        <f>IF(ISBLANK('Data Entry'!$Ê$942), "", 'Data Entry'!$Ê$942)</f>
      </c>
      <c r="EI942">
        <f>IF(ISBLANK('Data Entry'!$Ë$942), "", 'Data Entry'!$Ë$942)</f>
      </c>
      <c r="EJ942">
        <f>IF(ISBLANK('Data Entry'!$Ì$942), "", 'Data Entry'!$Ì$942)</f>
      </c>
      <c r="EK942">
        <f>IF(ISBLANK('Data Entry'!$Í$942), "", 'Data Entry'!$Í$942)</f>
      </c>
      <c r="EL942">
        <f>IF(ISBLANK('Data Entry'!$Î$942), "", 'Data Entry'!$Î$942)</f>
      </c>
      <c r="EM942">
        <f>IF(ISBLANK('Data Entry'!$Ï$942), "", 'Data Entry'!$Ï$942)</f>
      </c>
      <c r="EN942">
        <f>IF(ISBLANK('Data Entry'!$Ð$942), "", 'Data Entry'!$Ð$942)</f>
      </c>
      <c r="EO942">
        <f>IF(ISBLANK('Data Entry'!$Ñ$942), "", 'Data Entry'!$Ñ$942)</f>
      </c>
      <c r="EP942">
        <f>IF(ISBLANK('Data Entry'!$Ò$942), "", 'Data Entry'!$Ò$942)</f>
      </c>
      <c r="EQ942">
        <f>IF(ISBLANK('Data Entry'!$Ó$942), "", 'Data Entry'!$Ó$942)</f>
      </c>
      <c r="ER942">
        <f>IF(ISBLANK('Data Entry'!$Ô$942), "", 'Data Entry'!$Ô$942)</f>
      </c>
      <c r="ES942">
        <f>IF(ISBLANK('Data Entry'!$Õ$942), "", 'Data Entry'!$Õ$942)</f>
      </c>
      <c r="ET942">
        <f>IF(ISBLANK('Data Entry'!$Ö$942), "", 'Data Entry'!$Ö$942)</f>
      </c>
      <c r="EU942">
        <f>IF(ISBLANK('Data Entry'!$×$942), "", 'Data Entry'!$×$942)</f>
      </c>
      <c r="EV942">
        <f>IF(ISBLANK('Data Entry'!$Ø$942), "", 'Data Entry'!$Ø$942)</f>
      </c>
      <c r="EW942">
        <f>IF(ISBLANK('Data Entry'!$Ù$942), "", 'Data Entry'!$Ù$942)</f>
      </c>
      <c r="EX942">
        <f>IF(ISBLANK('Data Entry'!$Ú$942), "", 'Data Entry'!$Ú$942)</f>
      </c>
      <c r="EY942">
        <f>IF(ISBLANK('Data Entry'!$Û$942), "", 'Data Entry'!$Û$942)</f>
      </c>
      <c r="EZ942">
        <f>IF(ISBLANK('Data Entry'!$Ü$942), "", 'Data Entry'!$Ü$942)</f>
      </c>
      <c r="FA942">
        <f>IF(ISBLANK('Data Entry'!$Ý$942), "", 'Data Entry'!$Ý$942)</f>
      </c>
      <c r="FB942">
        <f>IF(ISBLANK('Data Entry'!$Þ$942), "", 'Data Entry'!$Þ$942)</f>
      </c>
      <c r="FC942">
        <f>IF(ISBLANK('Data Entry'!$ß$942), "", 'Data Entry'!$ß$942)</f>
      </c>
      <c r="FD942">
        <f>IF(ISBLANK('Data Entry'!$à$942), "", 'Data Entry'!$à$942)</f>
      </c>
      <c r="FE942">
        <f>IF(ISBLANK('Data Entry'!$á$942), "", 'Data Entry'!$á$942)</f>
      </c>
      <c r="FF942">
        <f>IF(ISBLANK('Data Entry'!$â$942), "", 'Data Entry'!$â$942)</f>
      </c>
      <c r="FG942">
        <f>IF(ISBLANK('Data Entry'!$ã$942), "", 'Data Entry'!$ã$942)</f>
      </c>
      <c r="FH942">
        <f>IF(ISBLANK('Data Entry'!$ä$942), "", 'Data Entry'!$ä$942)</f>
      </c>
      <c r="FI942">
        <f>IF(ISBLANK('Data Entry'!$å$942), "", 'Data Entry'!$å$942)</f>
      </c>
      <c r="FJ942">
        <f>IF(ISBLANK('Data Entry'!$æ$942), "", 'Data Entry'!$æ$942)</f>
      </c>
      <c r="FK942">
        <f>IF(ISBLANK('Data Entry'!$ç$942), "", 'Data Entry'!$ç$942)</f>
      </c>
      <c r="FL942">
        <f>IF(ISBLANK('Data Entry'!$è$942), "", 'Data Entry'!$è$942)</f>
      </c>
      <c r="FM942">
        <f>IF(ISBLANK('Data Entry'!$é$942), "", 'Data Entry'!$é$942)</f>
      </c>
      <c r="FN942">
        <f>IF(ISBLANK('Data Entry'!$ê$942), "", 'Data Entry'!$ê$942)</f>
      </c>
      <c r="FO942">
        <f>IF(ISBLANK('Data Entry'!$ë$942), "", 'Data Entry'!$ë$942)</f>
      </c>
      <c r="FP942">
        <f>IF(ISBLANK('Data Entry'!$ì$942), "", 'Data Entry'!$ì$942)</f>
      </c>
      <c r="FQ942">
        <f>IF(ISBLANK('Data Entry'!$í$942), "", 'Data Entry'!$í$942)</f>
      </c>
      <c r="FR942">
        <f>IF(ISBLANK('Data Entry'!$î$942), "", 'Data Entry'!$î$942)</f>
      </c>
      <c r="FS942">
        <f>IF(ISBLANK('Data Entry'!$ï$942), "", 'Data Entry'!$ï$942)</f>
      </c>
      <c r="FT942">
        <f>IF(ISBLANK('Data Entry'!$ð$942), "", 'Data Entry'!$ð$942)</f>
      </c>
      <c r="FU942">
        <f>IF(ISBLANK('Data Entry'!$ñ$942), "", 'Data Entry'!$ñ$942)</f>
      </c>
      <c r="FV942">
        <f>IF(ISBLANK('Data Entry'!$ò$942), "", 'Data Entry'!$ò$942)</f>
      </c>
      <c r="FW942">
        <f>IF(ISBLANK('Data Entry'!$ó$942), "", 'Data Entry'!$ó$942)</f>
      </c>
      <c r="FX942">
        <f>IF(ISBLANK('Data Entry'!$ô$942), "", 'Data Entry'!$ô$942)</f>
      </c>
      <c r="FY942">
        <f>IF(ISBLANK('Data Entry'!$õ$942), "", 'Data Entry'!$õ$942)</f>
      </c>
      <c r="FZ942">
        <f>IF(ISBLANK('Data Entry'!$ö$942), "", 'Data Entry'!$ö$942)</f>
      </c>
      <c r="GA942">
        <f>IF(ISBLANK('Data Entry'!$÷$942), "", 'Data Entry'!$÷$942)</f>
      </c>
      <c r="GB942">
        <f>IF(ISBLANK('Data Entry'!$ø$942), "", 'Data Entry'!$ø$942)</f>
      </c>
      <c r="GC942">
        <f>IF(ISBLANK('Data Entry'!$ù$942), "", 'Data Entry'!$ù$942)</f>
      </c>
      <c r="GD942">
        <f>IF(ISBLANK('Data Entry'!$ú$942), "", 'Data Entry'!$ú$942)</f>
      </c>
      <c r="GE942">
        <f>IF(ISBLANK('Data Entry'!$û$942), "", 'Data Entry'!$û$942)</f>
      </c>
      <c r="GF942">
        <f>IF(ISBLANK('Data Entry'!$ü$942), "", 'Data Entry'!$ü$942)</f>
      </c>
      <c r="GG942">
        <f>IF(ISBLANK('Data Entry'!$ý$942), "", 'Data Entry'!$ý$942)</f>
      </c>
      <c r="GH942">
        <f>IF(ISBLANK('Data Entry'!$þ$942), "", 'Data Entry'!$þ$942)</f>
      </c>
      <c r="GI942">
        <f>IF(ISBLANK('Data Entry'!$ÿ$942), "", 'Data Entry'!$ÿ$942)</f>
      </c>
      <c r="GJ942">
        <f>IF(ISBLANK('Data Entry'!$Ā$942), "", 'Data Entry'!$Ā$942)</f>
      </c>
      <c r="GK942">
        <f>IF(ISBLANK('Data Entry'!$ā$942), "", 'Data Entry'!$ā$942)</f>
      </c>
      <c r="GL942">
        <f>IF(ISBLANK('Data Entry'!$Ă$942), "", 'Data Entry'!$Ă$942)</f>
      </c>
      <c r="GM942">
        <f>IF(ISBLANK('Data Entry'!$ă$942), "", 'Data Entry'!$ă$942)</f>
      </c>
      <c r="GN942">
        <f>IF(ISBLANK('Data Entry'!$Ą$942), "", 'Data Entry'!$Ą$942)</f>
      </c>
      <c r="GO942">
        <f>IF(ISBLANK('Data Entry'!$ą$942), "", 'Data Entry'!$ą$942)</f>
      </c>
      <c r="GP942">
        <f>IF(ISBLANK('Data Entry'!$Ć$942), "", 'Data Entry'!$Ć$942)</f>
      </c>
      <c r="GQ942">
        <f>IF(ISBLANK('Data Entry'!$ć$942), "", 'Data Entry'!$ć$942)</f>
      </c>
      <c r="GR942">
        <f>IF(ISBLANK('Data Entry'!$Ĉ$942), "", 'Data Entry'!$Ĉ$942)</f>
      </c>
      <c r="GS942">
        <f>IF(ISBLANK('Data Entry'!$ĉ$942), "", 'Data Entry'!$ĉ$942)</f>
      </c>
      <c r="GT942">
        <f>IF(ISBLANK('Data Entry'!$Ċ$942), "", 'Data Entry'!$Ċ$942)</f>
      </c>
      <c r="GU942">
        <f>IF(ISBLANK('Data Entry'!$ċ$942), "", 'Data Entry'!$ċ$942)</f>
      </c>
      <c r="GV942">
        <f>IF(ISBLANK('Data Entry'!$Č$942), "", 'Data Entry'!$Č$942)</f>
      </c>
      <c r="GW942">
        <f>IF(ISBLANK('Data Entry'!$č$942), "", 'Data Entry'!$č$942)</f>
      </c>
      <c r="GX942">
        <f>IF(ISBLANK('Data Entry'!$Ď$942), "", 'Data Entry'!$Ď$942)</f>
      </c>
      <c r="GY942">
        <f>IF(ISBLANK('Data Entry'!$ď$942), "", 'Data Entry'!$ď$942)</f>
      </c>
      <c r="GZ942">
        <f>IF(ISBLANK('Data Entry'!$Đ$942), "", 'Data Entry'!$Đ$942)</f>
      </c>
      <c r="HA942">
        <f>IF(ISBLANK('Data Entry'!$đ$942), "", 'Data Entry'!$đ$942)</f>
      </c>
      <c r="HB942">
        <f>IF(ISBLANK('Data Entry'!$Ē$942), "", 'Data Entry'!$Ē$942)</f>
      </c>
      <c r="HC942">
        <f>IF(ISBLANK('Data Entry'!$ē$942), "", 'Data Entry'!$ē$942)</f>
      </c>
      <c r="HD942">
        <f>IF(ISBLANK('Data Entry'!$Ĕ$942), "", 'Data Entry'!$Ĕ$942)</f>
      </c>
      <c r="HE942">
        <f>IF(ISBLANK('Data Entry'!$ĕ$942), "", 'Data Entry'!$ĕ$942)</f>
      </c>
      <c r="HF942">
        <f>IF(ISBLANK('Data Entry'!$Ė$942), "", 'Data Entry'!$Ė$942)</f>
      </c>
      <c r="HG942">
        <f>IF(ISBLANK('Data Entry'!$ė$942), "", 'Data Entry'!$ė$942)</f>
      </c>
      <c r="HH942">
        <f>IF(ISBLANK('Data Entry'!$Ę$942), "", 'Data Entry'!$Ę$942)</f>
      </c>
      <c r="HI942">
        <f>IF(ISBLANK('Data Entry'!$ę$942), "", 'Data Entry'!$ę$942)</f>
      </c>
      <c r="HJ942">
        <f>IF(ISBLANK('Data Entry'!$Ě$942), "", 'Data Entry'!$Ě$942)</f>
      </c>
      <c r="HK942">
        <f>IF(ISBLANK('Data Entry'!$ě$942), "", 'Data Entry'!$ě$942)</f>
      </c>
      <c r="HL942">
        <f>IF(ISBLANK('Data Entry'!$Ĝ$942), "", 'Data Entry'!$Ĝ$942)</f>
      </c>
      <c r="HM942">
        <f>IF(ISBLANK('Data Entry'!$ĝ$942), "", 'Data Entry'!$ĝ$942)</f>
      </c>
      <c r="HN942">
        <f>IF(ISBLANK('Data Entry'!$Ğ$942), "", 'Data Entry'!$Ğ$942)</f>
      </c>
      <c r="HO942">
        <f>IF(ISBLANK('Data Entry'!$ğ$942), "", 'Data Entry'!$ğ$942)</f>
      </c>
      <c r="HP942">
        <f>IF(ISBLANK('Data Entry'!$Ġ$942), "", 'Data Entry'!$Ġ$942)</f>
      </c>
      <c r="HQ942">
        <f>IF(ISBLANK('Data Entry'!$ġ$942), "", 'Data Entry'!$ġ$942)</f>
      </c>
      <c r="HR942">
        <f>IF(ISBLANK('Data Entry'!$Ģ$942), "", 'Data Entry'!$Ģ$942)</f>
      </c>
      <c r="HS942">
        <f>IF(ISBLANK('Data Entry'!$ģ$942), "", 'Data Entry'!$ģ$942)</f>
      </c>
      <c r="HT942">
        <f>IF(ISBLANK('Data Entry'!$Ĥ$942), "", 'Data Entry'!$Ĥ$942)</f>
      </c>
      <c r="HU942">
        <f>IF(ISBLANK('Data Entry'!$ĥ$942), "", 'Data Entry'!$ĥ$942)</f>
      </c>
      <c r="HV942">
        <f>IF(ISBLANK('Data Entry'!$Ħ$942), "", 'Data Entry'!$Ħ$942)</f>
      </c>
      <c r="HW942">
        <f>IF(ISBLANK('Data Entry'!$ħ$942), "", 'Data Entry'!$ħ$942)</f>
      </c>
      <c r="HX942">
        <f>IF(ISBLANK('Data Entry'!$Ĩ$942), "", 'Data Entry'!$Ĩ$942)</f>
      </c>
      <c r="HY942">
        <f>IF(ISBLANK('Data Entry'!$ĩ$942), "", 'Data Entry'!$ĩ$942)</f>
      </c>
      <c r="HZ942">
        <f>IF(ISBLANK('Data Entry'!$Ī$942), "", 'Data Entry'!$Ī$942)</f>
      </c>
      <c r="IA942">
        <f>IF(ISBLANK('Data Entry'!$ī$942), "", 'Data Entry'!$ī$942)</f>
      </c>
      <c r="IB942">
        <f>IF(ISBLANK('Data Entry'!$Ĭ$942), "", 'Data Entry'!$Ĭ$942)</f>
      </c>
      <c r="IC942">
        <f>IF(ISBLANK('Data Entry'!$ĭ$942), "", 'Data Entry'!$ĭ$942)</f>
      </c>
      <c r="ID942">
        <f>IF(ISBLANK('Data Entry'!$Į$942), "", 'Data Entry'!$Į$942)</f>
      </c>
      <c r="IE942">
        <f>IF(ISBLANK('Data Entry'!$į$942), "", 'Data Entry'!$į$942)</f>
      </c>
      <c r="IF942">
        <f>IF(ISBLANK('Data Entry'!$İ$942), "", 'Data Entry'!$İ$942)</f>
      </c>
      <c r="IG942">
        <f>IF(ISBLANK('Data Entry'!$ı$942), "", 'Data Entry'!$ı$942)</f>
      </c>
      <c r="IH942">
        <f>IF(ISBLANK('Data Entry'!$Ĳ$942), "", 'Data Entry'!$Ĳ$942)</f>
      </c>
      <c r="II942">
        <f>IF(ISBLANK('Data Entry'!$ĳ$942), "", 'Data Entry'!$ĳ$942)</f>
      </c>
      <c r="IJ942">
        <f>IF(ISBLANK('Data Entry'!$Ĵ$942), "", 'Data Entry'!$Ĵ$942)</f>
      </c>
      <c r="IK942">
        <f>IF(ISBLANK('Data Entry'!$ĵ$942), "", 'Data Entry'!$ĵ$942)</f>
      </c>
      <c r="IL942">
        <f>IF(ISBLANK('Data Entry'!$Ķ$942), "", 'Data Entry'!$Ķ$942)</f>
      </c>
      <c r="IM942">
        <f>IF(ISBLANK('Data Entry'!$ķ$942), "", 'Data Entry'!$ķ$942)</f>
      </c>
      <c r="IN942">
        <f>IF(ISBLANK('Data Entry'!$ĸ$942), "", 'Data Entry'!$ĸ$942)</f>
      </c>
      <c r="IO942">
        <f>IF(ISBLANK('Data Entry'!$Ĺ$942), "", 'Data Entry'!$Ĺ$942)</f>
      </c>
      <c r="IP942">
        <f>IF(ISBLANK('Data Entry'!$ĺ$942), "", 'Data Entry'!$ĺ$942)</f>
      </c>
      <c r="IQ942">
        <f>IF(ISBLANK('Data Entry'!$Ļ$942), "", 'Data Entry'!$Ļ$942)</f>
      </c>
      <c r="IR942">
        <f>IF(ISBLANK('Data Entry'!$ļ$942), "", 'Data Entry'!$ļ$942)</f>
      </c>
      <c r="IS942">
        <f>IF(ISBLANK('Data Entry'!$Ľ$942), "", 'Data Entry'!$Ľ$942)</f>
      </c>
      <c r="IT942">
        <f>IF(ISBLANK('Data Entry'!$ľ$942), "", 'Data Entry'!$ľ$942)</f>
      </c>
    </row>
    <row r="943" spans="1:254" x14ac:dyDescent="0.25">
      <c r="A943">
        <f>IF(ISBLANK('Data Entry'!$A$943), "", 'Data Entry'!$A$943)</f>
      </c>
      <c r="B943">
        <f>IF(ISBLANK('Data Entry'!$B$943), "", 'Data Entry'!$B$943)</f>
      </c>
      <c r="C943">
        <f>IF(ISBLANK('Data Entry'!$C$943), "", 'Data Entry'!$C$943)</f>
      </c>
      <c r="D943">
        <f>IF(ISBLANK('Data Entry'!$D$943), "", 'Data Entry'!$D$943)</f>
      </c>
      <c r="E943">
        <f>IF(ISBLANK('Data Entry'!$E$943), "", 'Data Entry'!$E$943)</f>
      </c>
      <c r="F943">
        <f>IF(ISBLANK('Data Entry'!$F$943), "", 'Data Entry'!$F$943)</f>
      </c>
      <c r="G943">
        <f>IF(ISBLANK('Data Entry'!$G$943), "", 'Data Entry'!$G$943)</f>
      </c>
      <c r="H943">
        <f>IF(ISBLANK('Data Entry'!$H$943), "", 'Data Entry'!$H$943)</f>
      </c>
      <c r="I943">
        <f>IF(ISBLANK('Data Entry'!$I$943), "", 'Data Entry'!$I$943)</f>
      </c>
      <c r="J943">
        <f>IF(ISBLANK('Data Entry'!$J$943), "", 'Data Entry'!$J$943)</f>
      </c>
      <c r="K943">
        <f>IF(ISBLANK('Data Entry'!$K$943), "", 'Data Entry'!$K$943)</f>
      </c>
      <c r="L943">
        <f>IF(ISBLANK('Data Entry'!$L$943), "", 'Data Entry'!$L$943)</f>
      </c>
      <c r="M943">
        <f>IF(ISBLANK('Data Entry'!$M$943), "", 'Data Entry'!$M$943)</f>
      </c>
      <c r="N943">
        <f>IF(ISBLANK('Data Entry'!$N$943), "", 'Data Entry'!$N$943)</f>
      </c>
      <c r="O943">
        <f>IF(ISBLANK('Data Entry'!$O$943), "", 'Data Entry'!$O$943)</f>
      </c>
      <c r="P943">
        <f>IF(ISBLANK('Data Entry'!$P$943), "", 'Data Entry'!$P$943)</f>
      </c>
      <c r="Q943">
        <f>IF(ISBLANK('Data Entry'!$Q$943), "", 'Data Entry'!$Q$943)</f>
      </c>
      <c r="R943">
        <f>IF(ISBLANK('Data Entry'!$R$943), "", 'Data Entry'!$R$943)</f>
      </c>
      <c r="S943">
        <f>IF(ISBLANK('Data Entry'!$S$943), "", 'Data Entry'!$S$943)</f>
      </c>
      <c r="T943">
        <f>IF(ISBLANK('Data Entry'!$T$943), "", 'Data Entry'!$T$943)</f>
      </c>
      <c r="U943">
        <f>IF(ISBLANK('Data Entry'!$U$943), "", 'Data Entry'!$U$943)</f>
      </c>
      <c r="V943">
        <f>IF(ISBLANK('Data Entry'!$V$943), "", 'Data Entry'!$V$943)</f>
      </c>
      <c r="W943">
        <f>IF(ISBLANK('Data Entry'!$W$943), "", 'Data Entry'!$W$943)</f>
      </c>
      <c r="X943">
        <f>IF(ISBLANK('Data Entry'!$X$943), "", 'Data Entry'!$X$943)</f>
      </c>
      <c r="Y943">
        <f>IF(ISBLANK('Data Entry'!$Y$943), "", 'Data Entry'!$Y$943)</f>
      </c>
      <c r="Z943">
        <f>IF(ISBLANK('Data Entry'!$Z$943), "", 'Data Entry'!$Z$943)</f>
      </c>
      <c r="AA943">
        <f>IF(ISBLANK('Data Entry'!$[$943), "", 'Data Entry'!$[$943)</f>
      </c>
      <c r="AB943">
        <f>IF(ISBLANK('Data Entry'!$\$943), "", 'Data Entry'!$\$943)</f>
      </c>
      <c r="AC943">
        <f>IF(ISBLANK('Data Entry'!$]$943), "", 'Data Entry'!$]$943)</f>
      </c>
      <c r="AD943">
        <f>IF(ISBLANK('Data Entry'!$^$943), "", 'Data Entry'!$^$943)</f>
      </c>
      <c r="AE943">
        <f>IF(ISBLANK('Data Entry'!$_$943), "", 'Data Entry'!$_$943)</f>
      </c>
      <c r="AF943">
        <f>IF(ISBLANK('Data Entry'!$`$943), "", 'Data Entry'!$`$943)</f>
      </c>
      <c r="AG943">
        <f>IF(ISBLANK('Data Entry'!$a$943), "", 'Data Entry'!$a$943)</f>
      </c>
      <c r="AH943">
        <f>IF(ISBLANK('Data Entry'!$b$943), "", 'Data Entry'!$b$943)</f>
      </c>
      <c r="AI943">
        <f>IF(ISBLANK('Data Entry'!$c$943), "", 'Data Entry'!$c$943)</f>
      </c>
      <c r="AJ943">
        <f>IF(ISBLANK('Data Entry'!$d$943), "", 'Data Entry'!$d$943)</f>
      </c>
      <c r="AK943">
        <f>IF(ISBLANK('Data Entry'!$e$943), "", 'Data Entry'!$e$943)</f>
      </c>
      <c r="AL943">
        <f>IF(ISBLANK('Data Entry'!$f$943), "", 'Data Entry'!$f$943)</f>
      </c>
      <c r="AM943">
        <f>IF(ISBLANK('Data Entry'!$g$943), "", 'Data Entry'!$g$943)</f>
      </c>
      <c r="AN943">
        <f>IF(ISBLANK('Data Entry'!$h$943), "", 'Data Entry'!$h$943)</f>
      </c>
      <c r="AO943">
        <f>IF(ISBLANK('Data Entry'!$i$943), "", 'Data Entry'!$i$943)</f>
      </c>
      <c r="AP943">
        <f>IF(ISBLANK('Data Entry'!$j$943), "", 'Data Entry'!$j$943)</f>
      </c>
      <c r="AQ943">
        <f>IF(ISBLANK('Data Entry'!$k$943), "", 'Data Entry'!$k$943)</f>
      </c>
      <c r="AR943">
        <f>IF(ISBLANK('Data Entry'!$l$943), "", 'Data Entry'!$l$943)</f>
      </c>
      <c r="AS943">
        <f>IF(ISBLANK('Data Entry'!$m$943), "", 'Data Entry'!$m$943)</f>
      </c>
      <c r="AT943">
        <f>IF(ISBLANK('Data Entry'!$n$943), "", 'Data Entry'!$n$943)</f>
      </c>
      <c r="AU943">
        <f>IF(ISBLANK('Data Entry'!$o$943), "", 'Data Entry'!$o$943)</f>
      </c>
      <c r="AV943">
        <f>IF(ISBLANK('Data Entry'!$p$943), "", 'Data Entry'!$p$943)</f>
      </c>
      <c r="AW943">
        <f>IF(ISBLANK('Data Entry'!$q$943), "", 'Data Entry'!$q$943)</f>
      </c>
      <c r="AX943">
        <f>IF(ISBLANK('Data Entry'!$r$943), "", 'Data Entry'!$r$943)</f>
      </c>
      <c r="AY943">
        <f>IF(ISBLANK('Data Entry'!$s$943), "", 'Data Entry'!$s$943)</f>
      </c>
      <c r="AZ943">
        <f>IF(ISBLANK('Data Entry'!$t$943), "", 'Data Entry'!$t$943)</f>
      </c>
      <c r="BA943">
        <f>IF(ISBLANK('Data Entry'!$u$943), "", 'Data Entry'!$u$943)</f>
      </c>
      <c r="BB943">
        <f>IF(ISBLANK('Data Entry'!$v$943), "", 'Data Entry'!$v$943)</f>
      </c>
      <c r="BC943">
        <f>IF(ISBLANK('Data Entry'!$w$943), "", 'Data Entry'!$w$943)</f>
      </c>
      <c r="BD943">
        <f>IF(ISBLANK('Data Entry'!$x$943), "", 'Data Entry'!$x$943)</f>
      </c>
      <c r="BE943">
        <f>IF(ISBLANK('Data Entry'!$y$943), "", 'Data Entry'!$y$943)</f>
      </c>
      <c r="BF943">
        <f>IF(ISBLANK('Data Entry'!$z$943), "", 'Data Entry'!$z$943)</f>
      </c>
      <c r="BG943">
        <f>IF(ISBLANK('Data Entry'!${$943), "", 'Data Entry'!${$943)</f>
      </c>
      <c r="BH943">
        <f>IF(ISBLANK('Data Entry'!$|$943), "", 'Data Entry'!$|$943)</f>
      </c>
      <c r="BI943">
        <f>IF(ISBLANK('Data Entry'!$}$943), "", 'Data Entry'!$}$943)</f>
      </c>
      <c r="BJ943">
        <f>IF(ISBLANK('Data Entry'!$~$943), "", 'Data Entry'!$~$943)</f>
      </c>
      <c r="BK943">
        <f>IF(ISBLANK('Data Entry'!$$943), "", 'Data Entry'!$$943)</f>
      </c>
      <c r="BL943">
        <f>IF(ISBLANK('Data Entry'!$$943), "", 'Data Entry'!$$943)</f>
      </c>
      <c r="BM943">
        <f>IF(ISBLANK('Data Entry'!$$943), "", 'Data Entry'!$$943)</f>
      </c>
      <c r="BN943">
        <f>IF(ISBLANK('Data Entry'!$$943), "", 'Data Entry'!$$943)</f>
      </c>
      <c r="BO943">
        <f>IF(ISBLANK('Data Entry'!$$943), "", 'Data Entry'!$$943)</f>
      </c>
      <c r="BP943">
        <f>IF(ISBLANK('Data Entry'!$$943), "", 'Data Entry'!$$943)</f>
      </c>
      <c r="BQ943">
        <f>IF(ISBLANK('Data Entry'!$$943), "", 'Data Entry'!$$943)</f>
      </c>
      <c r="BR943">
        <f>IF(ISBLANK('Data Entry'!$$943), "", 'Data Entry'!$$943)</f>
      </c>
      <c r="BS943">
        <f>IF(ISBLANK('Data Entry'!$$943), "", 'Data Entry'!$$943)</f>
      </c>
      <c r="BT943">
        <f>IF(ISBLANK('Data Entry'!$$943), "", 'Data Entry'!$$943)</f>
      </c>
      <c r="BU943">
        <f>IF(ISBLANK('Data Entry'!$$943), "", 'Data Entry'!$$943)</f>
      </c>
      <c r="BV943">
        <f>IF(ISBLANK('Data Entry'!$$943), "", 'Data Entry'!$$943)</f>
      </c>
      <c r="BW943">
        <f>IF(ISBLANK('Data Entry'!$$943), "", 'Data Entry'!$$943)</f>
      </c>
      <c r="BX943">
        <f>IF(ISBLANK('Data Entry'!$$943), "", 'Data Entry'!$$943)</f>
      </c>
      <c r="BY943">
        <f>IF(ISBLANK('Data Entry'!$$943), "", 'Data Entry'!$$943)</f>
      </c>
      <c r="BZ943">
        <f>IF(ISBLANK('Data Entry'!$$943), "", 'Data Entry'!$$943)</f>
      </c>
      <c r="CA943">
        <f>IF(ISBLANK('Data Entry'!$$943), "", 'Data Entry'!$$943)</f>
      </c>
      <c r="CB943">
        <f>IF(ISBLANK('Data Entry'!$$943), "", 'Data Entry'!$$943)</f>
      </c>
      <c r="CC943">
        <f>IF(ISBLANK('Data Entry'!$$943), "", 'Data Entry'!$$943)</f>
      </c>
      <c r="CD943">
        <f>IF(ISBLANK('Data Entry'!$$943), "", 'Data Entry'!$$943)</f>
      </c>
      <c r="CE943">
        <f>IF(ISBLANK('Data Entry'!$$943), "", 'Data Entry'!$$943)</f>
      </c>
      <c r="CF943">
        <f>IF(ISBLANK('Data Entry'!$$943), "", 'Data Entry'!$$943)</f>
      </c>
      <c r="CG943">
        <f>IF(ISBLANK('Data Entry'!$$943), "", 'Data Entry'!$$943)</f>
      </c>
      <c r="CH943">
        <f>IF(ISBLANK('Data Entry'!$$943), "", 'Data Entry'!$$943)</f>
      </c>
      <c r="CI943">
        <f>IF(ISBLANK('Data Entry'!$$943), "", 'Data Entry'!$$943)</f>
      </c>
      <c r="CJ943">
        <f>IF(ISBLANK('Data Entry'!$$943), "", 'Data Entry'!$$943)</f>
      </c>
      <c r="CK943">
        <f>IF(ISBLANK('Data Entry'!$$943), "", 'Data Entry'!$$943)</f>
      </c>
      <c r="CL943">
        <f>IF(ISBLANK('Data Entry'!$$943), "", 'Data Entry'!$$943)</f>
      </c>
      <c r="CM943">
        <f>IF(ISBLANK('Data Entry'!$$943), "", 'Data Entry'!$$943)</f>
      </c>
      <c r="CN943">
        <f>IF(ISBLANK('Data Entry'!$$943), "", 'Data Entry'!$$943)</f>
      </c>
      <c r="CO943">
        <f>IF(ISBLANK('Data Entry'!$$943), "", 'Data Entry'!$$943)</f>
      </c>
      <c r="CP943">
        <f>IF(ISBLANK('Data Entry'!$$943), "", 'Data Entry'!$$943)</f>
      </c>
      <c r="CQ943">
        <f>IF(ISBLANK('Data Entry'!$$943), "", 'Data Entry'!$$943)</f>
      </c>
      <c r="CR943">
        <f>IF(ISBLANK('Data Entry'!$ $943), "", 'Data Entry'!$ $943)</f>
      </c>
      <c r="CS943">
        <f>IF(ISBLANK('Data Entry'!$¡$943), "", 'Data Entry'!$¡$943)</f>
      </c>
      <c r="CT943">
        <f>IF(ISBLANK('Data Entry'!$¢$943), "", 'Data Entry'!$¢$943)</f>
      </c>
      <c r="CU943">
        <f>IF(ISBLANK('Data Entry'!$£$943), "", 'Data Entry'!$£$943)</f>
      </c>
      <c r="CV943">
        <f>IF(ISBLANK('Data Entry'!$¤$943), "", 'Data Entry'!$¤$943)</f>
      </c>
      <c r="CW943">
        <f>IF(ISBLANK('Data Entry'!$¥$943), "", 'Data Entry'!$¥$943)</f>
      </c>
      <c r="CX943">
        <f>IF(ISBLANK('Data Entry'!$¦$943), "", 'Data Entry'!$¦$943)</f>
      </c>
      <c r="CY943">
        <f>IF(ISBLANK('Data Entry'!$§$943), "", 'Data Entry'!$§$943)</f>
      </c>
      <c r="CZ943">
        <f>IF(ISBLANK('Data Entry'!$¨$943), "", 'Data Entry'!$¨$943)</f>
      </c>
      <c r="DA943">
        <f>IF(ISBLANK('Data Entry'!$©$943), "", 'Data Entry'!$©$943)</f>
      </c>
      <c r="DB943">
        <f>IF(ISBLANK('Data Entry'!$ª$943), "", 'Data Entry'!$ª$943)</f>
      </c>
      <c r="DC943">
        <f>IF(ISBLANK('Data Entry'!$«$943), "", 'Data Entry'!$«$943)</f>
      </c>
      <c r="DD943">
        <f>IF(ISBLANK('Data Entry'!$¬$943), "", 'Data Entry'!$¬$943)</f>
      </c>
      <c r="DE943">
        <f>IF(ISBLANK('Data Entry'!$­$943), "", 'Data Entry'!$­$943)</f>
      </c>
      <c r="DF943">
        <f>IF(ISBLANK('Data Entry'!$®$943), "", 'Data Entry'!$®$943)</f>
      </c>
      <c r="DG943">
        <f>IF(ISBLANK('Data Entry'!$¯$943), "", 'Data Entry'!$¯$943)</f>
      </c>
      <c r="DH943">
        <f>IF(ISBLANK('Data Entry'!$°$943), "", 'Data Entry'!$°$943)</f>
      </c>
      <c r="DI943">
        <f>IF(ISBLANK('Data Entry'!$±$943), "", 'Data Entry'!$±$943)</f>
      </c>
      <c r="DJ943">
        <f>IF(ISBLANK('Data Entry'!$²$943), "", 'Data Entry'!$²$943)</f>
      </c>
      <c r="DK943">
        <f>IF(ISBLANK('Data Entry'!$³$943), "", 'Data Entry'!$³$943)</f>
      </c>
      <c r="DL943">
        <f>IF(ISBLANK('Data Entry'!$´$943), "", 'Data Entry'!$´$943)</f>
      </c>
      <c r="DM943">
        <f>IF(ISBLANK('Data Entry'!$µ$943), "", 'Data Entry'!$µ$943)</f>
      </c>
      <c r="DN943">
        <f>IF(ISBLANK('Data Entry'!$¶$943), "", 'Data Entry'!$¶$943)</f>
      </c>
      <c r="DO943">
        <f>IF(ISBLANK('Data Entry'!$·$943), "", 'Data Entry'!$·$943)</f>
      </c>
      <c r="DP943">
        <f>IF(ISBLANK('Data Entry'!$¸$943), "", 'Data Entry'!$¸$943)</f>
      </c>
      <c r="DQ943">
        <f>IF(ISBLANK('Data Entry'!$¹$943), "", 'Data Entry'!$¹$943)</f>
      </c>
      <c r="DR943">
        <f>IF(ISBLANK('Data Entry'!$º$943), "", 'Data Entry'!$º$943)</f>
      </c>
      <c r="DS943">
        <f>IF(ISBLANK('Data Entry'!$»$943), "", 'Data Entry'!$»$943)</f>
      </c>
      <c r="DT943">
        <f>IF(ISBLANK('Data Entry'!$¼$943), "", 'Data Entry'!$¼$943)</f>
      </c>
      <c r="DU943">
        <f>IF(ISBLANK('Data Entry'!$½$943), "", 'Data Entry'!$½$943)</f>
      </c>
      <c r="DV943">
        <f>IF(ISBLANK('Data Entry'!$¾$943), "", 'Data Entry'!$¾$943)</f>
      </c>
      <c r="DW943">
        <f>IF(ISBLANK('Data Entry'!$¿$943), "", 'Data Entry'!$¿$943)</f>
      </c>
      <c r="DX943">
        <f>IF(ISBLANK('Data Entry'!$À$943), "", 'Data Entry'!$À$943)</f>
      </c>
      <c r="DY943">
        <f>IF(ISBLANK('Data Entry'!$Á$943), "", 'Data Entry'!$Á$943)</f>
      </c>
      <c r="DZ943">
        <f>IF(ISBLANK('Data Entry'!$Â$943), "", 'Data Entry'!$Â$943)</f>
      </c>
      <c r="EA943">
        <f>IF(ISBLANK('Data Entry'!$Ã$943), "", 'Data Entry'!$Ã$943)</f>
      </c>
      <c r="EB943">
        <f>IF(ISBLANK('Data Entry'!$Ä$943), "", 'Data Entry'!$Ä$943)</f>
      </c>
      <c r="EC943">
        <f>IF(ISBLANK('Data Entry'!$Å$943), "", 'Data Entry'!$Å$943)</f>
      </c>
      <c r="ED943">
        <f>IF(ISBLANK('Data Entry'!$Æ$943), "", 'Data Entry'!$Æ$943)</f>
      </c>
      <c r="EE943">
        <f>IF(ISBLANK('Data Entry'!$Ç$943), "", 'Data Entry'!$Ç$943)</f>
      </c>
      <c r="EF943">
        <f>IF(ISBLANK('Data Entry'!$È$943), "", 'Data Entry'!$È$943)</f>
      </c>
      <c r="EG943">
        <f>IF(ISBLANK('Data Entry'!$É$943), "", 'Data Entry'!$É$943)</f>
      </c>
      <c r="EH943">
        <f>IF(ISBLANK('Data Entry'!$Ê$943), "", 'Data Entry'!$Ê$943)</f>
      </c>
      <c r="EI943">
        <f>IF(ISBLANK('Data Entry'!$Ë$943), "", 'Data Entry'!$Ë$943)</f>
      </c>
      <c r="EJ943">
        <f>IF(ISBLANK('Data Entry'!$Ì$943), "", 'Data Entry'!$Ì$943)</f>
      </c>
      <c r="EK943">
        <f>IF(ISBLANK('Data Entry'!$Í$943), "", 'Data Entry'!$Í$943)</f>
      </c>
      <c r="EL943">
        <f>IF(ISBLANK('Data Entry'!$Î$943), "", 'Data Entry'!$Î$943)</f>
      </c>
      <c r="EM943">
        <f>IF(ISBLANK('Data Entry'!$Ï$943), "", 'Data Entry'!$Ï$943)</f>
      </c>
      <c r="EN943">
        <f>IF(ISBLANK('Data Entry'!$Ð$943), "", 'Data Entry'!$Ð$943)</f>
      </c>
      <c r="EO943">
        <f>IF(ISBLANK('Data Entry'!$Ñ$943), "", 'Data Entry'!$Ñ$943)</f>
      </c>
      <c r="EP943">
        <f>IF(ISBLANK('Data Entry'!$Ò$943), "", 'Data Entry'!$Ò$943)</f>
      </c>
      <c r="EQ943">
        <f>IF(ISBLANK('Data Entry'!$Ó$943), "", 'Data Entry'!$Ó$943)</f>
      </c>
      <c r="ER943">
        <f>IF(ISBLANK('Data Entry'!$Ô$943), "", 'Data Entry'!$Ô$943)</f>
      </c>
      <c r="ES943">
        <f>IF(ISBLANK('Data Entry'!$Õ$943), "", 'Data Entry'!$Õ$943)</f>
      </c>
      <c r="ET943">
        <f>IF(ISBLANK('Data Entry'!$Ö$943), "", 'Data Entry'!$Ö$943)</f>
      </c>
      <c r="EU943">
        <f>IF(ISBLANK('Data Entry'!$×$943), "", 'Data Entry'!$×$943)</f>
      </c>
      <c r="EV943">
        <f>IF(ISBLANK('Data Entry'!$Ø$943), "", 'Data Entry'!$Ø$943)</f>
      </c>
      <c r="EW943">
        <f>IF(ISBLANK('Data Entry'!$Ù$943), "", 'Data Entry'!$Ù$943)</f>
      </c>
      <c r="EX943">
        <f>IF(ISBLANK('Data Entry'!$Ú$943), "", 'Data Entry'!$Ú$943)</f>
      </c>
      <c r="EY943">
        <f>IF(ISBLANK('Data Entry'!$Û$943), "", 'Data Entry'!$Û$943)</f>
      </c>
      <c r="EZ943">
        <f>IF(ISBLANK('Data Entry'!$Ü$943), "", 'Data Entry'!$Ü$943)</f>
      </c>
      <c r="FA943">
        <f>IF(ISBLANK('Data Entry'!$Ý$943), "", 'Data Entry'!$Ý$943)</f>
      </c>
      <c r="FB943">
        <f>IF(ISBLANK('Data Entry'!$Þ$943), "", 'Data Entry'!$Þ$943)</f>
      </c>
      <c r="FC943">
        <f>IF(ISBLANK('Data Entry'!$ß$943), "", 'Data Entry'!$ß$943)</f>
      </c>
      <c r="FD943">
        <f>IF(ISBLANK('Data Entry'!$à$943), "", 'Data Entry'!$à$943)</f>
      </c>
      <c r="FE943">
        <f>IF(ISBLANK('Data Entry'!$á$943), "", 'Data Entry'!$á$943)</f>
      </c>
      <c r="FF943">
        <f>IF(ISBLANK('Data Entry'!$â$943), "", 'Data Entry'!$â$943)</f>
      </c>
      <c r="FG943">
        <f>IF(ISBLANK('Data Entry'!$ã$943), "", 'Data Entry'!$ã$943)</f>
      </c>
      <c r="FH943">
        <f>IF(ISBLANK('Data Entry'!$ä$943), "", 'Data Entry'!$ä$943)</f>
      </c>
      <c r="FI943">
        <f>IF(ISBLANK('Data Entry'!$å$943), "", 'Data Entry'!$å$943)</f>
      </c>
      <c r="FJ943">
        <f>IF(ISBLANK('Data Entry'!$æ$943), "", 'Data Entry'!$æ$943)</f>
      </c>
      <c r="FK943">
        <f>IF(ISBLANK('Data Entry'!$ç$943), "", 'Data Entry'!$ç$943)</f>
      </c>
      <c r="FL943">
        <f>IF(ISBLANK('Data Entry'!$è$943), "", 'Data Entry'!$è$943)</f>
      </c>
      <c r="FM943">
        <f>IF(ISBLANK('Data Entry'!$é$943), "", 'Data Entry'!$é$943)</f>
      </c>
      <c r="FN943">
        <f>IF(ISBLANK('Data Entry'!$ê$943), "", 'Data Entry'!$ê$943)</f>
      </c>
      <c r="FO943">
        <f>IF(ISBLANK('Data Entry'!$ë$943), "", 'Data Entry'!$ë$943)</f>
      </c>
      <c r="FP943">
        <f>IF(ISBLANK('Data Entry'!$ì$943), "", 'Data Entry'!$ì$943)</f>
      </c>
      <c r="FQ943">
        <f>IF(ISBLANK('Data Entry'!$í$943), "", 'Data Entry'!$í$943)</f>
      </c>
      <c r="FR943">
        <f>IF(ISBLANK('Data Entry'!$î$943), "", 'Data Entry'!$î$943)</f>
      </c>
      <c r="FS943">
        <f>IF(ISBLANK('Data Entry'!$ï$943), "", 'Data Entry'!$ï$943)</f>
      </c>
      <c r="FT943">
        <f>IF(ISBLANK('Data Entry'!$ð$943), "", 'Data Entry'!$ð$943)</f>
      </c>
      <c r="FU943">
        <f>IF(ISBLANK('Data Entry'!$ñ$943), "", 'Data Entry'!$ñ$943)</f>
      </c>
      <c r="FV943">
        <f>IF(ISBLANK('Data Entry'!$ò$943), "", 'Data Entry'!$ò$943)</f>
      </c>
      <c r="FW943">
        <f>IF(ISBLANK('Data Entry'!$ó$943), "", 'Data Entry'!$ó$943)</f>
      </c>
      <c r="FX943">
        <f>IF(ISBLANK('Data Entry'!$ô$943), "", 'Data Entry'!$ô$943)</f>
      </c>
      <c r="FY943">
        <f>IF(ISBLANK('Data Entry'!$õ$943), "", 'Data Entry'!$õ$943)</f>
      </c>
      <c r="FZ943">
        <f>IF(ISBLANK('Data Entry'!$ö$943), "", 'Data Entry'!$ö$943)</f>
      </c>
      <c r="GA943">
        <f>IF(ISBLANK('Data Entry'!$÷$943), "", 'Data Entry'!$÷$943)</f>
      </c>
      <c r="GB943">
        <f>IF(ISBLANK('Data Entry'!$ø$943), "", 'Data Entry'!$ø$943)</f>
      </c>
      <c r="GC943">
        <f>IF(ISBLANK('Data Entry'!$ù$943), "", 'Data Entry'!$ù$943)</f>
      </c>
      <c r="GD943">
        <f>IF(ISBLANK('Data Entry'!$ú$943), "", 'Data Entry'!$ú$943)</f>
      </c>
      <c r="GE943">
        <f>IF(ISBLANK('Data Entry'!$û$943), "", 'Data Entry'!$û$943)</f>
      </c>
      <c r="GF943">
        <f>IF(ISBLANK('Data Entry'!$ü$943), "", 'Data Entry'!$ü$943)</f>
      </c>
      <c r="GG943">
        <f>IF(ISBLANK('Data Entry'!$ý$943), "", 'Data Entry'!$ý$943)</f>
      </c>
      <c r="GH943">
        <f>IF(ISBLANK('Data Entry'!$þ$943), "", 'Data Entry'!$þ$943)</f>
      </c>
      <c r="GI943">
        <f>IF(ISBLANK('Data Entry'!$ÿ$943), "", 'Data Entry'!$ÿ$943)</f>
      </c>
      <c r="GJ943">
        <f>IF(ISBLANK('Data Entry'!$Ā$943), "", 'Data Entry'!$Ā$943)</f>
      </c>
      <c r="GK943">
        <f>IF(ISBLANK('Data Entry'!$ā$943), "", 'Data Entry'!$ā$943)</f>
      </c>
      <c r="GL943">
        <f>IF(ISBLANK('Data Entry'!$Ă$943), "", 'Data Entry'!$Ă$943)</f>
      </c>
      <c r="GM943">
        <f>IF(ISBLANK('Data Entry'!$ă$943), "", 'Data Entry'!$ă$943)</f>
      </c>
      <c r="GN943">
        <f>IF(ISBLANK('Data Entry'!$Ą$943), "", 'Data Entry'!$Ą$943)</f>
      </c>
      <c r="GO943">
        <f>IF(ISBLANK('Data Entry'!$ą$943), "", 'Data Entry'!$ą$943)</f>
      </c>
      <c r="GP943">
        <f>IF(ISBLANK('Data Entry'!$Ć$943), "", 'Data Entry'!$Ć$943)</f>
      </c>
      <c r="GQ943">
        <f>IF(ISBLANK('Data Entry'!$ć$943), "", 'Data Entry'!$ć$943)</f>
      </c>
      <c r="GR943">
        <f>IF(ISBLANK('Data Entry'!$Ĉ$943), "", 'Data Entry'!$Ĉ$943)</f>
      </c>
      <c r="GS943">
        <f>IF(ISBLANK('Data Entry'!$ĉ$943), "", 'Data Entry'!$ĉ$943)</f>
      </c>
      <c r="GT943">
        <f>IF(ISBLANK('Data Entry'!$Ċ$943), "", 'Data Entry'!$Ċ$943)</f>
      </c>
      <c r="GU943">
        <f>IF(ISBLANK('Data Entry'!$ċ$943), "", 'Data Entry'!$ċ$943)</f>
      </c>
      <c r="GV943">
        <f>IF(ISBLANK('Data Entry'!$Č$943), "", 'Data Entry'!$Č$943)</f>
      </c>
      <c r="GW943">
        <f>IF(ISBLANK('Data Entry'!$č$943), "", 'Data Entry'!$č$943)</f>
      </c>
      <c r="GX943">
        <f>IF(ISBLANK('Data Entry'!$Ď$943), "", 'Data Entry'!$Ď$943)</f>
      </c>
      <c r="GY943">
        <f>IF(ISBLANK('Data Entry'!$ď$943), "", 'Data Entry'!$ď$943)</f>
      </c>
      <c r="GZ943">
        <f>IF(ISBLANK('Data Entry'!$Đ$943), "", 'Data Entry'!$Đ$943)</f>
      </c>
      <c r="HA943">
        <f>IF(ISBLANK('Data Entry'!$đ$943), "", 'Data Entry'!$đ$943)</f>
      </c>
      <c r="HB943">
        <f>IF(ISBLANK('Data Entry'!$Ē$943), "", 'Data Entry'!$Ē$943)</f>
      </c>
      <c r="HC943">
        <f>IF(ISBLANK('Data Entry'!$ē$943), "", 'Data Entry'!$ē$943)</f>
      </c>
      <c r="HD943">
        <f>IF(ISBLANK('Data Entry'!$Ĕ$943), "", 'Data Entry'!$Ĕ$943)</f>
      </c>
      <c r="HE943">
        <f>IF(ISBLANK('Data Entry'!$ĕ$943), "", 'Data Entry'!$ĕ$943)</f>
      </c>
      <c r="HF943">
        <f>IF(ISBLANK('Data Entry'!$Ė$943), "", 'Data Entry'!$Ė$943)</f>
      </c>
      <c r="HG943">
        <f>IF(ISBLANK('Data Entry'!$ė$943), "", 'Data Entry'!$ė$943)</f>
      </c>
      <c r="HH943">
        <f>IF(ISBLANK('Data Entry'!$Ę$943), "", 'Data Entry'!$Ę$943)</f>
      </c>
      <c r="HI943">
        <f>IF(ISBLANK('Data Entry'!$ę$943), "", 'Data Entry'!$ę$943)</f>
      </c>
      <c r="HJ943">
        <f>IF(ISBLANK('Data Entry'!$Ě$943), "", 'Data Entry'!$Ě$943)</f>
      </c>
      <c r="HK943">
        <f>IF(ISBLANK('Data Entry'!$ě$943), "", 'Data Entry'!$ě$943)</f>
      </c>
      <c r="HL943">
        <f>IF(ISBLANK('Data Entry'!$Ĝ$943), "", 'Data Entry'!$Ĝ$943)</f>
      </c>
      <c r="HM943">
        <f>IF(ISBLANK('Data Entry'!$ĝ$943), "", 'Data Entry'!$ĝ$943)</f>
      </c>
      <c r="HN943">
        <f>IF(ISBLANK('Data Entry'!$Ğ$943), "", 'Data Entry'!$Ğ$943)</f>
      </c>
      <c r="HO943">
        <f>IF(ISBLANK('Data Entry'!$ğ$943), "", 'Data Entry'!$ğ$943)</f>
      </c>
      <c r="HP943">
        <f>IF(ISBLANK('Data Entry'!$Ġ$943), "", 'Data Entry'!$Ġ$943)</f>
      </c>
      <c r="HQ943">
        <f>IF(ISBLANK('Data Entry'!$ġ$943), "", 'Data Entry'!$ġ$943)</f>
      </c>
      <c r="HR943">
        <f>IF(ISBLANK('Data Entry'!$Ģ$943), "", 'Data Entry'!$Ģ$943)</f>
      </c>
      <c r="HS943">
        <f>IF(ISBLANK('Data Entry'!$ģ$943), "", 'Data Entry'!$ģ$943)</f>
      </c>
      <c r="HT943">
        <f>IF(ISBLANK('Data Entry'!$Ĥ$943), "", 'Data Entry'!$Ĥ$943)</f>
      </c>
      <c r="HU943">
        <f>IF(ISBLANK('Data Entry'!$ĥ$943), "", 'Data Entry'!$ĥ$943)</f>
      </c>
      <c r="HV943">
        <f>IF(ISBLANK('Data Entry'!$Ħ$943), "", 'Data Entry'!$Ħ$943)</f>
      </c>
      <c r="HW943">
        <f>IF(ISBLANK('Data Entry'!$ħ$943), "", 'Data Entry'!$ħ$943)</f>
      </c>
      <c r="HX943">
        <f>IF(ISBLANK('Data Entry'!$Ĩ$943), "", 'Data Entry'!$Ĩ$943)</f>
      </c>
      <c r="HY943">
        <f>IF(ISBLANK('Data Entry'!$ĩ$943), "", 'Data Entry'!$ĩ$943)</f>
      </c>
      <c r="HZ943">
        <f>IF(ISBLANK('Data Entry'!$Ī$943), "", 'Data Entry'!$Ī$943)</f>
      </c>
      <c r="IA943">
        <f>IF(ISBLANK('Data Entry'!$ī$943), "", 'Data Entry'!$ī$943)</f>
      </c>
      <c r="IB943">
        <f>IF(ISBLANK('Data Entry'!$Ĭ$943), "", 'Data Entry'!$Ĭ$943)</f>
      </c>
      <c r="IC943">
        <f>IF(ISBLANK('Data Entry'!$ĭ$943), "", 'Data Entry'!$ĭ$943)</f>
      </c>
      <c r="ID943">
        <f>IF(ISBLANK('Data Entry'!$Į$943), "", 'Data Entry'!$Į$943)</f>
      </c>
      <c r="IE943">
        <f>IF(ISBLANK('Data Entry'!$į$943), "", 'Data Entry'!$į$943)</f>
      </c>
      <c r="IF943">
        <f>IF(ISBLANK('Data Entry'!$İ$943), "", 'Data Entry'!$İ$943)</f>
      </c>
      <c r="IG943">
        <f>IF(ISBLANK('Data Entry'!$ı$943), "", 'Data Entry'!$ı$943)</f>
      </c>
      <c r="IH943">
        <f>IF(ISBLANK('Data Entry'!$Ĳ$943), "", 'Data Entry'!$Ĳ$943)</f>
      </c>
      <c r="II943">
        <f>IF(ISBLANK('Data Entry'!$ĳ$943), "", 'Data Entry'!$ĳ$943)</f>
      </c>
      <c r="IJ943">
        <f>IF(ISBLANK('Data Entry'!$Ĵ$943), "", 'Data Entry'!$Ĵ$943)</f>
      </c>
      <c r="IK943">
        <f>IF(ISBLANK('Data Entry'!$ĵ$943), "", 'Data Entry'!$ĵ$943)</f>
      </c>
      <c r="IL943">
        <f>IF(ISBLANK('Data Entry'!$Ķ$943), "", 'Data Entry'!$Ķ$943)</f>
      </c>
      <c r="IM943">
        <f>IF(ISBLANK('Data Entry'!$ķ$943), "", 'Data Entry'!$ķ$943)</f>
      </c>
      <c r="IN943">
        <f>IF(ISBLANK('Data Entry'!$ĸ$943), "", 'Data Entry'!$ĸ$943)</f>
      </c>
      <c r="IO943">
        <f>IF(ISBLANK('Data Entry'!$Ĺ$943), "", 'Data Entry'!$Ĺ$943)</f>
      </c>
      <c r="IP943">
        <f>IF(ISBLANK('Data Entry'!$ĺ$943), "", 'Data Entry'!$ĺ$943)</f>
      </c>
      <c r="IQ943">
        <f>IF(ISBLANK('Data Entry'!$Ļ$943), "", 'Data Entry'!$Ļ$943)</f>
      </c>
      <c r="IR943">
        <f>IF(ISBLANK('Data Entry'!$ļ$943), "", 'Data Entry'!$ļ$943)</f>
      </c>
      <c r="IS943">
        <f>IF(ISBLANK('Data Entry'!$Ľ$943), "", 'Data Entry'!$Ľ$943)</f>
      </c>
      <c r="IT943">
        <f>IF(ISBLANK('Data Entry'!$ľ$943), "", 'Data Entry'!$ľ$943)</f>
      </c>
    </row>
    <row r="944" spans="1:254" x14ac:dyDescent="0.25">
      <c r="A944">
        <f>IF(ISBLANK('Data Entry'!$A$944), "", 'Data Entry'!$A$944)</f>
      </c>
      <c r="B944">
        <f>IF(ISBLANK('Data Entry'!$B$944), "", 'Data Entry'!$B$944)</f>
      </c>
      <c r="C944">
        <f>IF(ISBLANK('Data Entry'!$C$944), "", 'Data Entry'!$C$944)</f>
      </c>
      <c r="D944">
        <f>IF(ISBLANK('Data Entry'!$D$944), "", 'Data Entry'!$D$944)</f>
      </c>
      <c r="E944">
        <f>IF(ISBLANK('Data Entry'!$E$944), "", 'Data Entry'!$E$944)</f>
      </c>
      <c r="F944">
        <f>IF(ISBLANK('Data Entry'!$F$944), "", 'Data Entry'!$F$944)</f>
      </c>
      <c r="G944">
        <f>IF(ISBLANK('Data Entry'!$G$944), "", 'Data Entry'!$G$944)</f>
      </c>
      <c r="H944">
        <f>IF(ISBLANK('Data Entry'!$H$944), "", 'Data Entry'!$H$944)</f>
      </c>
      <c r="I944">
        <f>IF(ISBLANK('Data Entry'!$I$944), "", 'Data Entry'!$I$944)</f>
      </c>
      <c r="J944">
        <f>IF(ISBLANK('Data Entry'!$J$944), "", 'Data Entry'!$J$944)</f>
      </c>
      <c r="K944">
        <f>IF(ISBLANK('Data Entry'!$K$944), "", 'Data Entry'!$K$944)</f>
      </c>
      <c r="L944">
        <f>IF(ISBLANK('Data Entry'!$L$944), "", 'Data Entry'!$L$944)</f>
      </c>
      <c r="M944">
        <f>IF(ISBLANK('Data Entry'!$M$944), "", 'Data Entry'!$M$944)</f>
      </c>
      <c r="N944">
        <f>IF(ISBLANK('Data Entry'!$N$944), "", 'Data Entry'!$N$944)</f>
      </c>
      <c r="O944">
        <f>IF(ISBLANK('Data Entry'!$O$944), "", 'Data Entry'!$O$944)</f>
      </c>
      <c r="P944">
        <f>IF(ISBLANK('Data Entry'!$P$944), "", 'Data Entry'!$P$944)</f>
      </c>
      <c r="Q944">
        <f>IF(ISBLANK('Data Entry'!$Q$944), "", 'Data Entry'!$Q$944)</f>
      </c>
      <c r="R944">
        <f>IF(ISBLANK('Data Entry'!$R$944), "", 'Data Entry'!$R$944)</f>
      </c>
      <c r="S944">
        <f>IF(ISBLANK('Data Entry'!$S$944), "", 'Data Entry'!$S$944)</f>
      </c>
      <c r="T944">
        <f>IF(ISBLANK('Data Entry'!$T$944), "", 'Data Entry'!$T$944)</f>
      </c>
      <c r="U944">
        <f>IF(ISBLANK('Data Entry'!$U$944), "", 'Data Entry'!$U$944)</f>
      </c>
      <c r="V944">
        <f>IF(ISBLANK('Data Entry'!$V$944), "", 'Data Entry'!$V$944)</f>
      </c>
      <c r="W944">
        <f>IF(ISBLANK('Data Entry'!$W$944), "", 'Data Entry'!$W$944)</f>
      </c>
      <c r="X944">
        <f>IF(ISBLANK('Data Entry'!$X$944), "", 'Data Entry'!$X$944)</f>
      </c>
      <c r="Y944">
        <f>IF(ISBLANK('Data Entry'!$Y$944), "", 'Data Entry'!$Y$944)</f>
      </c>
      <c r="Z944">
        <f>IF(ISBLANK('Data Entry'!$Z$944), "", 'Data Entry'!$Z$944)</f>
      </c>
      <c r="AA944">
        <f>IF(ISBLANK('Data Entry'!$[$944), "", 'Data Entry'!$[$944)</f>
      </c>
      <c r="AB944">
        <f>IF(ISBLANK('Data Entry'!$\$944), "", 'Data Entry'!$\$944)</f>
      </c>
      <c r="AC944">
        <f>IF(ISBLANK('Data Entry'!$]$944), "", 'Data Entry'!$]$944)</f>
      </c>
      <c r="AD944">
        <f>IF(ISBLANK('Data Entry'!$^$944), "", 'Data Entry'!$^$944)</f>
      </c>
      <c r="AE944">
        <f>IF(ISBLANK('Data Entry'!$_$944), "", 'Data Entry'!$_$944)</f>
      </c>
      <c r="AF944">
        <f>IF(ISBLANK('Data Entry'!$`$944), "", 'Data Entry'!$`$944)</f>
      </c>
      <c r="AG944">
        <f>IF(ISBLANK('Data Entry'!$a$944), "", 'Data Entry'!$a$944)</f>
      </c>
      <c r="AH944">
        <f>IF(ISBLANK('Data Entry'!$b$944), "", 'Data Entry'!$b$944)</f>
      </c>
      <c r="AI944">
        <f>IF(ISBLANK('Data Entry'!$c$944), "", 'Data Entry'!$c$944)</f>
      </c>
      <c r="AJ944">
        <f>IF(ISBLANK('Data Entry'!$d$944), "", 'Data Entry'!$d$944)</f>
      </c>
      <c r="AK944">
        <f>IF(ISBLANK('Data Entry'!$e$944), "", 'Data Entry'!$e$944)</f>
      </c>
      <c r="AL944">
        <f>IF(ISBLANK('Data Entry'!$f$944), "", 'Data Entry'!$f$944)</f>
      </c>
      <c r="AM944">
        <f>IF(ISBLANK('Data Entry'!$g$944), "", 'Data Entry'!$g$944)</f>
      </c>
      <c r="AN944">
        <f>IF(ISBLANK('Data Entry'!$h$944), "", 'Data Entry'!$h$944)</f>
      </c>
      <c r="AO944">
        <f>IF(ISBLANK('Data Entry'!$i$944), "", 'Data Entry'!$i$944)</f>
      </c>
      <c r="AP944">
        <f>IF(ISBLANK('Data Entry'!$j$944), "", 'Data Entry'!$j$944)</f>
      </c>
      <c r="AQ944">
        <f>IF(ISBLANK('Data Entry'!$k$944), "", 'Data Entry'!$k$944)</f>
      </c>
      <c r="AR944">
        <f>IF(ISBLANK('Data Entry'!$l$944), "", 'Data Entry'!$l$944)</f>
      </c>
      <c r="AS944">
        <f>IF(ISBLANK('Data Entry'!$m$944), "", 'Data Entry'!$m$944)</f>
      </c>
      <c r="AT944">
        <f>IF(ISBLANK('Data Entry'!$n$944), "", 'Data Entry'!$n$944)</f>
      </c>
      <c r="AU944">
        <f>IF(ISBLANK('Data Entry'!$o$944), "", 'Data Entry'!$o$944)</f>
      </c>
      <c r="AV944">
        <f>IF(ISBLANK('Data Entry'!$p$944), "", 'Data Entry'!$p$944)</f>
      </c>
      <c r="AW944">
        <f>IF(ISBLANK('Data Entry'!$q$944), "", 'Data Entry'!$q$944)</f>
      </c>
      <c r="AX944">
        <f>IF(ISBLANK('Data Entry'!$r$944), "", 'Data Entry'!$r$944)</f>
      </c>
      <c r="AY944">
        <f>IF(ISBLANK('Data Entry'!$s$944), "", 'Data Entry'!$s$944)</f>
      </c>
      <c r="AZ944">
        <f>IF(ISBLANK('Data Entry'!$t$944), "", 'Data Entry'!$t$944)</f>
      </c>
      <c r="BA944">
        <f>IF(ISBLANK('Data Entry'!$u$944), "", 'Data Entry'!$u$944)</f>
      </c>
      <c r="BB944">
        <f>IF(ISBLANK('Data Entry'!$v$944), "", 'Data Entry'!$v$944)</f>
      </c>
      <c r="BC944">
        <f>IF(ISBLANK('Data Entry'!$w$944), "", 'Data Entry'!$w$944)</f>
      </c>
      <c r="BD944">
        <f>IF(ISBLANK('Data Entry'!$x$944), "", 'Data Entry'!$x$944)</f>
      </c>
      <c r="BE944">
        <f>IF(ISBLANK('Data Entry'!$y$944), "", 'Data Entry'!$y$944)</f>
      </c>
      <c r="BF944">
        <f>IF(ISBLANK('Data Entry'!$z$944), "", 'Data Entry'!$z$944)</f>
      </c>
      <c r="BG944">
        <f>IF(ISBLANK('Data Entry'!${$944), "", 'Data Entry'!${$944)</f>
      </c>
      <c r="BH944">
        <f>IF(ISBLANK('Data Entry'!$|$944), "", 'Data Entry'!$|$944)</f>
      </c>
      <c r="BI944">
        <f>IF(ISBLANK('Data Entry'!$}$944), "", 'Data Entry'!$}$944)</f>
      </c>
      <c r="BJ944">
        <f>IF(ISBLANK('Data Entry'!$~$944), "", 'Data Entry'!$~$944)</f>
      </c>
      <c r="BK944">
        <f>IF(ISBLANK('Data Entry'!$$944), "", 'Data Entry'!$$944)</f>
      </c>
      <c r="BL944">
        <f>IF(ISBLANK('Data Entry'!$$944), "", 'Data Entry'!$$944)</f>
      </c>
      <c r="BM944">
        <f>IF(ISBLANK('Data Entry'!$$944), "", 'Data Entry'!$$944)</f>
      </c>
      <c r="BN944">
        <f>IF(ISBLANK('Data Entry'!$$944), "", 'Data Entry'!$$944)</f>
      </c>
      <c r="BO944">
        <f>IF(ISBLANK('Data Entry'!$$944), "", 'Data Entry'!$$944)</f>
      </c>
      <c r="BP944">
        <f>IF(ISBLANK('Data Entry'!$$944), "", 'Data Entry'!$$944)</f>
      </c>
      <c r="BQ944">
        <f>IF(ISBLANK('Data Entry'!$$944), "", 'Data Entry'!$$944)</f>
      </c>
      <c r="BR944">
        <f>IF(ISBLANK('Data Entry'!$$944), "", 'Data Entry'!$$944)</f>
      </c>
      <c r="BS944">
        <f>IF(ISBLANK('Data Entry'!$$944), "", 'Data Entry'!$$944)</f>
      </c>
      <c r="BT944">
        <f>IF(ISBLANK('Data Entry'!$$944), "", 'Data Entry'!$$944)</f>
      </c>
      <c r="BU944">
        <f>IF(ISBLANK('Data Entry'!$$944), "", 'Data Entry'!$$944)</f>
      </c>
      <c r="BV944">
        <f>IF(ISBLANK('Data Entry'!$$944), "", 'Data Entry'!$$944)</f>
      </c>
      <c r="BW944">
        <f>IF(ISBLANK('Data Entry'!$$944), "", 'Data Entry'!$$944)</f>
      </c>
      <c r="BX944">
        <f>IF(ISBLANK('Data Entry'!$$944), "", 'Data Entry'!$$944)</f>
      </c>
      <c r="BY944">
        <f>IF(ISBLANK('Data Entry'!$$944), "", 'Data Entry'!$$944)</f>
      </c>
      <c r="BZ944">
        <f>IF(ISBLANK('Data Entry'!$$944), "", 'Data Entry'!$$944)</f>
      </c>
      <c r="CA944">
        <f>IF(ISBLANK('Data Entry'!$$944), "", 'Data Entry'!$$944)</f>
      </c>
      <c r="CB944">
        <f>IF(ISBLANK('Data Entry'!$$944), "", 'Data Entry'!$$944)</f>
      </c>
      <c r="CC944">
        <f>IF(ISBLANK('Data Entry'!$$944), "", 'Data Entry'!$$944)</f>
      </c>
      <c r="CD944">
        <f>IF(ISBLANK('Data Entry'!$$944), "", 'Data Entry'!$$944)</f>
      </c>
      <c r="CE944">
        <f>IF(ISBLANK('Data Entry'!$$944), "", 'Data Entry'!$$944)</f>
      </c>
      <c r="CF944">
        <f>IF(ISBLANK('Data Entry'!$$944), "", 'Data Entry'!$$944)</f>
      </c>
      <c r="CG944">
        <f>IF(ISBLANK('Data Entry'!$$944), "", 'Data Entry'!$$944)</f>
      </c>
      <c r="CH944">
        <f>IF(ISBLANK('Data Entry'!$$944), "", 'Data Entry'!$$944)</f>
      </c>
      <c r="CI944">
        <f>IF(ISBLANK('Data Entry'!$$944), "", 'Data Entry'!$$944)</f>
      </c>
      <c r="CJ944">
        <f>IF(ISBLANK('Data Entry'!$$944), "", 'Data Entry'!$$944)</f>
      </c>
      <c r="CK944">
        <f>IF(ISBLANK('Data Entry'!$$944), "", 'Data Entry'!$$944)</f>
      </c>
      <c r="CL944">
        <f>IF(ISBLANK('Data Entry'!$$944), "", 'Data Entry'!$$944)</f>
      </c>
      <c r="CM944">
        <f>IF(ISBLANK('Data Entry'!$$944), "", 'Data Entry'!$$944)</f>
      </c>
      <c r="CN944">
        <f>IF(ISBLANK('Data Entry'!$$944), "", 'Data Entry'!$$944)</f>
      </c>
      <c r="CO944">
        <f>IF(ISBLANK('Data Entry'!$$944), "", 'Data Entry'!$$944)</f>
      </c>
      <c r="CP944">
        <f>IF(ISBLANK('Data Entry'!$$944), "", 'Data Entry'!$$944)</f>
      </c>
      <c r="CQ944">
        <f>IF(ISBLANK('Data Entry'!$$944), "", 'Data Entry'!$$944)</f>
      </c>
      <c r="CR944">
        <f>IF(ISBLANK('Data Entry'!$ $944), "", 'Data Entry'!$ $944)</f>
      </c>
      <c r="CS944">
        <f>IF(ISBLANK('Data Entry'!$¡$944), "", 'Data Entry'!$¡$944)</f>
      </c>
      <c r="CT944">
        <f>IF(ISBLANK('Data Entry'!$¢$944), "", 'Data Entry'!$¢$944)</f>
      </c>
      <c r="CU944">
        <f>IF(ISBLANK('Data Entry'!$£$944), "", 'Data Entry'!$£$944)</f>
      </c>
      <c r="CV944">
        <f>IF(ISBLANK('Data Entry'!$¤$944), "", 'Data Entry'!$¤$944)</f>
      </c>
      <c r="CW944">
        <f>IF(ISBLANK('Data Entry'!$¥$944), "", 'Data Entry'!$¥$944)</f>
      </c>
      <c r="CX944">
        <f>IF(ISBLANK('Data Entry'!$¦$944), "", 'Data Entry'!$¦$944)</f>
      </c>
      <c r="CY944">
        <f>IF(ISBLANK('Data Entry'!$§$944), "", 'Data Entry'!$§$944)</f>
      </c>
      <c r="CZ944">
        <f>IF(ISBLANK('Data Entry'!$¨$944), "", 'Data Entry'!$¨$944)</f>
      </c>
      <c r="DA944">
        <f>IF(ISBLANK('Data Entry'!$©$944), "", 'Data Entry'!$©$944)</f>
      </c>
      <c r="DB944">
        <f>IF(ISBLANK('Data Entry'!$ª$944), "", 'Data Entry'!$ª$944)</f>
      </c>
      <c r="DC944">
        <f>IF(ISBLANK('Data Entry'!$«$944), "", 'Data Entry'!$«$944)</f>
      </c>
      <c r="DD944">
        <f>IF(ISBLANK('Data Entry'!$¬$944), "", 'Data Entry'!$¬$944)</f>
      </c>
      <c r="DE944">
        <f>IF(ISBLANK('Data Entry'!$­$944), "", 'Data Entry'!$­$944)</f>
      </c>
      <c r="DF944">
        <f>IF(ISBLANK('Data Entry'!$®$944), "", 'Data Entry'!$®$944)</f>
      </c>
      <c r="DG944">
        <f>IF(ISBLANK('Data Entry'!$¯$944), "", 'Data Entry'!$¯$944)</f>
      </c>
      <c r="DH944">
        <f>IF(ISBLANK('Data Entry'!$°$944), "", 'Data Entry'!$°$944)</f>
      </c>
      <c r="DI944">
        <f>IF(ISBLANK('Data Entry'!$±$944), "", 'Data Entry'!$±$944)</f>
      </c>
      <c r="DJ944">
        <f>IF(ISBLANK('Data Entry'!$²$944), "", 'Data Entry'!$²$944)</f>
      </c>
      <c r="DK944">
        <f>IF(ISBLANK('Data Entry'!$³$944), "", 'Data Entry'!$³$944)</f>
      </c>
      <c r="DL944">
        <f>IF(ISBLANK('Data Entry'!$´$944), "", 'Data Entry'!$´$944)</f>
      </c>
      <c r="DM944">
        <f>IF(ISBLANK('Data Entry'!$µ$944), "", 'Data Entry'!$µ$944)</f>
      </c>
      <c r="DN944">
        <f>IF(ISBLANK('Data Entry'!$¶$944), "", 'Data Entry'!$¶$944)</f>
      </c>
      <c r="DO944">
        <f>IF(ISBLANK('Data Entry'!$·$944), "", 'Data Entry'!$·$944)</f>
      </c>
      <c r="DP944">
        <f>IF(ISBLANK('Data Entry'!$¸$944), "", 'Data Entry'!$¸$944)</f>
      </c>
      <c r="DQ944">
        <f>IF(ISBLANK('Data Entry'!$¹$944), "", 'Data Entry'!$¹$944)</f>
      </c>
      <c r="DR944">
        <f>IF(ISBLANK('Data Entry'!$º$944), "", 'Data Entry'!$º$944)</f>
      </c>
      <c r="DS944">
        <f>IF(ISBLANK('Data Entry'!$»$944), "", 'Data Entry'!$»$944)</f>
      </c>
      <c r="DT944">
        <f>IF(ISBLANK('Data Entry'!$¼$944), "", 'Data Entry'!$¼$944)</f>
      </c>
      <c r="DU944">
        <f>IF(ISBLANK('Data Entry'!$½$944), "", 'Data Entry'!$½$944)</f>
      </c>
      <c r="DV944">
        <f>IF(ISBLANK('Data Entry'!$¾$944), "", 'Data Entry'!$¾$944)</f>
      </c>
      <c r="DW944">
        <f>IF(ISBLANK('Data Entry'!$¿$944), "", 'Data Entry'!$¿$944)</f>
      </c>
      <c r="DX944">
        <f>IF(ISBLANK('Data Entry'!$À$944), "", 'Data Entry'!$À$944)</f>
      </c>
      <c r="DY944">
        <f>IF(ISBLANK('Data Entry'!$Á$944), "", 'Data Entry'!$Á$944)</f>
      </c>
      <c r="DZ944">
        <f>IF(ISBLANK('Data Entry'!$Â$944), "", 'Data Entry'!$Â$944)</f>
      </c>
      <c r="EA944">
        <f>IF(ISBLANK('Data Entry'!$Ã$944), "", 'Data Entry'!$Ã$944)</f>
      </c>
      <c r="EB944">
        <f>IF(ISBLANK('Data Entry'!$Ä$944), "", 'Data Entry'!$Ä$944)</f>
      </c>
      <c r="EC944">
        <f>IF(ISBLANK('Data Entry'!$Å$944), "", 'Data Entry'!$Å$944)</f>
      </c>
      <c r="ED944">
        <f>IF(ISBLANK('Data Entry'!$Æ$944), "", 'Data Entry'!$Æ$944)</f>
      </c>
      <c r="EE944">
        <f>IF(ISBLANK('Data Entry'!$Ç$944), "", 'Data Entry'!$Ç$944)</f>
      </c>
      <c r="EF944">
        <f>IF(ISBLANK('Data Entry'!$È$944), "", 'Data Entry'!$È$944)</f>
      </c>
      <c r="EG944">
        <f>IF(ISBLANK('Data Entry'!$É$944), "", 'Data Entry'!$É$944)</f>
      </c>
      <c r="EH944">
        <f>IF(ISBLANK('Data Entry'!$Ê$944), "", 'Data Entry'!$Ê$944)</f>
      </c>
      <c r="EI944">
        <f>IF(ISBLANK('Data Entry'!$Ë$944), "", 'Data Entry'!$Ë$944)</f>
      </c>
      <c r="EJ944">
        <f>IF(ISBLANK('Data Entry'!$Ì$944), "", 'Data Entry'!$Ì$944)</f>
      </c>
      <c r="EK944">
        <f>IF(ISBLANK('Data Entry'!$Í$944), "", 'Data Entry'!$Í$944)</f>
      </c>
      <c r="EL944">
        <f>IF(ISBLANK('Data Entry'!$Î$944), "", 'Data Entry'!$Î$944)</f>
      </c>
      <c r="EM944">
        <f>IF(ISBLANK('Data Entry'!$Ï$944), "", 'Data Entry'!$Ï$944)</f>
      </c>
      <c r="EN944">
        <f>IF(ISBLANK('Data Entry'!$Ð$944), "", 'Data Entry'!$Ð$944)</f>
      </c>
      <c r="EO944">
        <f>IF(ISBLANK('Data Entry'!$Ñ$944), "", 'Data Entry'!$Ñ$944)</f>
      </c>
      <c r="EP944">
        <f>IF(ISBLANK('Data Entry'!$Ò$944), "", 'Data Entry'!$Ò$944)</f>
      </c>
      <c r="EQ944">
        <f>IF(ISBLANK('Data Entry'!$Ó$944), "", 'Data Entry'!$Ó$944)</f>
      </c>
      <c r="ER944">
        <f>IF(ISBLANK('Data Entry'!$Ô$944), "", 'Data Entry'!$Ô$944)</f>
      </c>
      <c r="ES944">
        <f>IF(ISBLANK('Data Entry'!$Õ$944), "", 'Data Entry'!$Õ$944)</f>
      </c>
      <c r="ET944">
        <f>IF(ISBLANK('Data Entry'!$Ö$944), "", 'Data Entry'!$Ö$944)</f>
      </c>
      <c r="EU944">
        <f>IF(ISBLANK('Data Entry'!$×$944), "", 'Data Entry'!$×$944)</f>
      </c>
      <c r="EV944">
        <f>IF(ISBLANK('Data Entry'!$Ø$944), "", 'Data Entry'!$Ø$944)</f>
      </c>
      <c r="EW944">
        <f>IF(ISBLANK('Data Entry'!$Ù$944), "", 'Data Entry'!$Ù$944)</f>
      </c>
      <c r="EX944">
        <f>IF(ISBLANK('Data Entry'!$Ú$944), "", 'Data Entry'!$Ú$944)</f>
      </c>
      <c r="EY944">
        <f>IF(ISBLANK('Data Entry'!$Û$944), "", 'Data Entry'!$Û$944)</f>
      </c>
      <c r="EZ944">
        <f>IF(ISBLANK('Data Entry'!$Ü$944), "", 'Data Entry'!$Ü$944)</f>
      </c>
      <c r="FA944">
        <f>IF(ISBLANK('Data Entry'!$Ý$944), "", 'Data Entry'!$Ý$944)</f>
      </c>
      <c r="FB944">
        <f>IF(ISBLANK('Data Entry'!$Þ$944), "", 'Data Entry'!$Þ$944)</f>
      </c>
      <c r="FC944">
        <f>IF(ISBLANK('Data Entry'!$ß$944), "", 'Data Entry'!$ß$944)</f>
      </c>
      <c r="FD944">
        <f>IF(ISBLANK('Data Entry'!$à$944), "", 'Data Entry'!$à$944)</f>
      </c>
      <c r="FE944">
        <f>IF(ISBLANK('Data Entry'!$á$944), "", 'Data Entry'!$á$944)</f>
      </c>
      <c r="FF944">
        <f>IF(ISBLANK('Data Entry'!$â$944), "", 'Data Entry'!$â$944)</f>
      </c>
      <c r="FG944">
        <f>IF(ISBLANK('Data Entry'!$ã$944), "", 'Data Entry'!$ã$944)</f>
      </c>
      <c r="FH944">
        <f>IF(ISBLANK('Data Entry'!$ä$944), "", 'Data Entry'!$ä$944)</f>
      </c>
      <c r="FI944">
        <f>IF(ISBLANK('Data Entry'!$å$944), "", 'Data Entry'!$å$944)</f>
      </c>
      <c r="FJ944">
        <f>IF(ISBLANK('Data Entry'!$æ$944), "", 'Data Entry'!$æ$944)</f>
      </c>
      <c r="FK944">
        <f>IF(ISBLANK('Data Entry'!$ç$944), "", 'Data Entry'!$ç$944)</f>
      </c>
      <c r="FL944">
        <f>IF(ISBLANK('Data Entry'!$è$944), "", 'Data Entry'!$è$944)</f>
      </c>
      <c r="FM944">
        <f>IF(ISBLANK('Data Entry'!$é$944), "", 'Data Entry'!$é$944)</f>
      </c>
      <c r="FN944">
        <f>IF(ISBLANK('Data Entry'!$ê$944), "", 'Data Entry'!$ê$944)</f>
      </c>
      <c r="FO944">
        <f>IF(ISBLANK('Data Entry'!$ë$944), "", 'Data Entry'!$ë$944)</f>
      </c>
      <c r="FP944">
        <f>IF(ISBLANK('Data Entry'!$ì$944), "", 'Data Entry'!$ì$944)</f>
      </c>
      <c r="FQ944">
        <f>IF(ISBLANK('Data Entry'!$í$944), "", 'Data Entry'!$í$944)</f>
      </c>
      <c r="FR944">
        <f>IF(ISBLANK('Data Entry'!$î$944), "", 'Data Entry'!$î$944)</f>
      </c>
      <c r="FS944">
        <f>IF(ISBLANK('Data Entry'!$ï$944), "", 'Data Entry'!$ï$944)</f>
      </c>
      <c r="FT944">
        <f>IF(ISBLANK('Data Entry'!$ð$944), "", 'Data Entry'!$ð$944)</f>
      </c>
      <c r="FU944">
        <f>IF(ISBLANK('Data Entry'!$ñ$944), "", 'Data Entry'!$ñ$944)</f>
      </c>
      <c r="FV944">
        <f>IF(ISBLANK('Data Entry'!$ò$944), "", 'Data Entry'!$ò$944)</f>
      </c>
      <c r="FW944">
        <f>IF(ISBLANK('Data Entry'!$ó$944), "", 'Data Entry'!$ó$944)</f>
      </c>
      <c r="FX944">
        <f>IF(ISBLANK('Data Entry'!$ô$944), "", 'Data Entry'!$ô$944)</f>
      </c>
      <c r="FY944">
        <f>IF(ISBLANK('Data Entry'!$õ$944), "", 'Data Entry'!$õ$944)</f>
      </c>
      <c r="FZ944">
        <f>IF(ISBLANK('Data Entry'!$ö$944), "", 'Data Entry'!$ö$944)</f>
      </c>
      <c r="GA944">
        <f>IF(ISBLANK('Data Entry'!$÷$944), "", 'Data Entry'!$÷$944)</f>
      </c>
      <c r="GB944">
        <f>IF(ISBLANK('Data Entry'!$ø$944), "", 'Data Entry'!$ø$944)</f>
      </c>
      <c r="GC944">
        <f>IF(ISBLANK('Data Entry'!$ù$944), "", 'Data Entry'!$ù$944)</f>
      </c>
      <c r="GD944">
        <f>IF(ISBLANK('Data Entry'!$ú$944), "", 'Data Entry'!$ú$944)</f>
      </c>
      <c r="GE944">
        <f>IF(ISBLANK('Data Entry'!$û$944), "", 'Data Entry'!$û$944)</f>
      </c>
      <c r="GF944">
        <f>IF(ISBLANK('Data Entry'!$ü$944), "", 'Data Entry'!$ü$944)</f>
      </c>
      <c r="GG944">
        <f>IF(ISBLANK('Data Entry'!$ý$944), "", 'Data Entry'!$ý$944)</f>
      </c>
      <c r="GH944">
        <f>IF(ISBLANK('Data Entry'!$þ$944), "", 'Data Entry'!$þ$944)</f>
      </c>
      <c r="GI944">
        <f>IF(ISBLANK('Data Entry'!$ÿ$944), "", 'Data Entry'!$ÿ$944)</f>
      </c>
      <c r="GJ944">
        <f>IF(ISBLANK('Data Entry'!$Ā$944), "", 'Data Entry'!$Ā$944)</f>
      </c>
      <c r="GK944">
        <f>IF(ISBLANK('Data Entry'!$ā$944), "", 'Data Entry'!$ā$944)</f>
      </c>
      <c r="GL944">
        <f>IF(ISBLANK('Data Entry'!$Ă$944), "", 'Data Entry'!$Ă$944)</f>
      </c>
      <c r="GM944">
        <f>IF(ISBLANK('Data Entry'!$ă$944), "", 'Data Entry'!$ă$944)</f>
      </c>
      <c r="GN944">
        <f>IF(ISBLANK('Data Entry'!$Ą$944), "", 'Data Entry'!$Ą$944)</f>
      </c>
      <c r="GO944">
        <f>IF(ISBLANK('Data Entry'!$ą$944), "", 'Data Entry'!$ą$944)</f>
      </c>
      <c r="GP944">
        <f>IF(ISBLANK('Data Entry'!$Ć$944), "", 'Data Entry'!$Ć$944)</f>
      </c>
      <c r="GQ944">
        <f>IF(ISBLANK('Data Entry'!$ć$944), "", 'Data Entry'!$ć$944)</f>
      </c>
      <c r="GR944">
        <f>IF(ISBLANK('Data Entry'!$Ĉ$944), "", 'Data Entry'!$Ĉ$944)</f>
      </c>
      <c r="GS944">
        <f>IF(ISBLANK('Data Entry'!$ĉ$944), "", 'Data Entry'!$ĉ$944)</f>
      </c>
      <c r="GT944">
        <f>IF(ISBLANK('Data Entry'!$Ċ$944), "", 'Data Entry'!$Ċ$944)</f>
      </c>
      <c r="GU944">
        <f>IF(ISBLANK('Data Entry'!$ċ$944), "", 'Data Entry'!$ċ$944)</f>
      </c>
      <c r="GV944">
        <f>IF(ISBLANK('Data Entry'!$Č$944), "", 'Data Entry'!$Č$944)</f>
      </c>
      <c r="GW944">
        <f>IF(ISBLANK('Data Entry'!$č$944), "", 'Data Entry'!$č$944)</f>
      </c>
      <c r="GX944">
        <f>IF(ISBLANK('Data Entry'!$Ď$944), "", 'Data Entry'!$Ď$944)</f>
      </c>
      <c r="GY944">
        <f>IF(ISBLANK('Data Entry'!$ď$944), "", 'Data Entry'!$ď$944)</f>
      </c>
      <c r="GZ944">
        <f>IF(ISBLANK('Data Entry'!$Đ$944), "", 'Data Entry'!$Đ$944)</f>
      </c>
      <c r="HA944">
        <f>IF(ISBLANK('Data Entry'!$đ$944), "", 'Data Entry'!$đ$944)</f>
      </c>
      <c r="HB944">
        <f>IF(ISBLANK('Data Entry'!$Ē$944), "", 'Data Entry'!$Ē$944)</f>
      </c>
      <c r="HC944">
        <f>IF(ISBLANK('Data Entry'!$ē$944), "", 'Data Entry'!$ē$944)</f>
      </c>
      <c r="HD944">
        <f>IF(ISBLANK('Data Entry'!$Ĕ$944), "", 'Data Entry'!$Ĕ$944)</f>
      </c>
      <c r="HE944">
        <f>IF(ISBLANK('Data Entry'!$ĕ$944), "", 'Data Entry'!$ĕ$944)</f>
      </c>
      <c r="HF944">
        <f>IF(ISBLANK('Data Entry'!$Ė$944), "", 'Data Entry'!$Ė$944)</f>
      </c>
      <c r="HG944">
        <f>IF(ISBLANK('Data Entry'!$ė$944), "", 'Data Entry'!$ė$944)</f>
      </c>
      <c r="HH944">
        <f>IF(ISBLANK('Data Entry'!$Ę$944), "", 'Data Entry'!$Ę$944)</f>
      </c>
      <c r="HI944">
        <f>IF(ISBLANK('Data Entry'!$ę$944), "", 'Data Entry'!$ę$944)</f>
      </c>
      <c r="HJ944">
        <f>IF(ISBLANK('Data Entry'!$Ě$944), "", 'Data Entry'!$Ě$944)</f>
      </c>
      <c r="HK944">
        <f>IF(ISBLANK('Data Entry'!$ě$944), "", 'Data Entry'!$ě$944)</f>
      </c>
      <c r="HL944">
        <f>IF(ISBLANK('Data Entry'!$Ĝ$944), "", 'Data Entry'!$Ĝ$944)</f>
      </c>
      <c r="HM944">
        <f>IF(ISBLANK('Data Entry'!$ĝ$944), "", 'Data Entry'!$ĝ$944)</f>
      </c>
      <c r="HN944">
        <f>IF(ISBLANK('Data Entry'!$Ğ$944), "", 'Data Entry'!$Ğ$944)</f>
      </c>
      <c r="HO944">
        <f>IF(ISBLANK('Data Entry'!$ğ$944), "", 'Data Entry'!$ğ$944)</f>
      </c>
      <c r="HP944">
        <f>IF(ISBLANK('Data Entry'!$Ġ$944), "", 'Data Entry'!$Ġ$944)</f>
      </c>
      <c r="HQ944">
        <f>IF(ISBLANK('Data Entry'!$ġ$944), "", 'Data Entry'!$ġ$944)</f>
      </c>
      <c r="HR944">
        <f>IF(ISBLANK('Data Entry'!$Ģ$944), "", 'Data Entry'!$Ģ$944)</f>
      </c>
      <c r="HS944">
        <f>IF(ISBLANK('Data Entry'!$ģ$944), "", 'Data Entry'!$ģ$944)</f>
      </c>
      <c r="HT944">
        <f>IF(ISBLANK('Data Entry'!$Ĥ$944), "", 'Data Entry'!$Ĥ$944)</f>
      </c>
      <c r="HU944">
        <f>IF(ISBLANK('Data Entry'!$ĥ$944), "", 'Data Entry'!$ĥ$944)</f>
      </c>
      <c r="HV944">
        <f>IF(ISBLANK('Data Entry'!$Ħ$944), "", 'Data Entry'!$Ħ$944)</f>
      </c>
      <c r="HW944">
        <f>IF(ISBLANK('Data Entry'!$ħ$944), "", 'Data Entry'!$ħ$944)</f>
      </c>
      <c r="HX944">
        <f>IF(ISBLANK('Data Entry'!$Ĩ$944), "", 'Data Entry'!$Ĩ$944)</f>
      </c>
      <c r="HY944">
        <f>IF(ISBLANK('Data Entry'!$ĩ$944), "", 'Data Entry'!$ĩ$944)</f>
      </c>
      <c r="HZ944">
        <f>IF(ISBLANK('Data Entry'!$Ī$944), "", 'Data Entry'!$Ī$944)</f>
      </c>
      <c r="IA944">
        <f>IF(ISBLANK('Data Entry'!$ī$944), "", 'Data Entry'!$ī$944)</f>
      </c>
      <c r="IB944">
        <f>IF(ISBLANK('Data Entry'!$Ĭ$944), "", 'Data Entry'!$Ĭ$944)</f>
      </c>
      <c r="IC944">
        <f>IF(ISBLANK('Data Entry'!$ĭ$944), "", 'Data Entry'!$ĭ$944)</f>
      </c>
      <c r="ID944">
        <f>IF(ISBLANK('Data Entry'!$Į$944), "", 'Data Entry'!$Į$944)</f>
      </c>
      <c r="IE944">
        <f>IF(ISBLANK('Data Entry'!$į$944), "", 'Data Entry'!$į$944)</f>
      </c>
      <c r="IF944">
        <f>IF(ISBLANK('Data Entry'!$İ$944), "", 'Data Entry'!$İ$944)</f>
      </c>
      <c r="IG944">
        <f>IF(ISBLANK('Data Entry'!$ı$944), "", 'Data Entry'!$ı$944)</f>
      </c>
      <c r="IH944">
        <f>IF(ISBLANK('Data Entry'!$Ĳ$944), "", 'Data Entry'!$Ĳ$944)</f>
      </c>
      <c r="II944">
        <f>IF(ISBLANK('Data Entry'!$ĳ$944), "", 'Data Entry'!$ĳ$944)</f>
      </c>
      <c r="IJ944">
        <f>IF(ISBLANK('Data Entry'!$Ĵ$944), "", 'Data Entry'!$Ĵ$944)</f>
      </c>
      <c r="IK944">
        <f>IF(ISBLANK('Data Entry'!$ĵ$944), "", 'Data Entry'!$ĵ$944)</f>
      </c>
      <c r="IL944">
        <f>IF(ISBLANK('Data Entry'!$Ķ$944), "", 'Data Entry'!$Ķ$944)</f>
      </c>
      <c r="IM944">
        <f>IF(ISBLANK('Data Entry'!$ķ$944), "", 'Data Entry'!$ķ$944)</f>
      </c>
      <c r="IN944">
        <f>IF(ISBLANK('Data Entry'!$ĸ$944), "", 'Data Entry'!$ĸ$944)</f>
      </c>
      <c r="IO944">
        <f>IF(ISBLANK('Data Entry'!$Ĺ$944), "", 'Data Entry'!$Ĺ$944)</f>
      </c>
      <c r="IP944">
        <f>IF(ISBLANK('Data Entry'!$ĺ$944), "", 'Data Entry'!$ĺ$944)</f>
      </c>
      <c r="IQ944">
        <f>IF(ISBLANK('Data Entry'!$Ļ$944), "", 'Data Entry'!$Ļ$944)</f>
      </c>
      <c r="IR944">
        <f>IF(ISBLANK('Data Entry'!$ļ$944), "", 'Data Entry'!$ļ$944)</f>
      </c>
      <c r="IS944">
        <f>IF(ISBLANK('Data Entry'!$Ľ$944), "", 'Data Entry'!$Ľ$944)</f>
      </c>
      <c r="IT944">
        <f>IF(ISBLANK('Data Entry'!$ľ$944), "", 'Data Entry'!$ľ$944)</f>
      </c>
    </row>
    <row r="945" spans="1:254" x14ac:dyDescent="0.25">
      <c r="A945">
        <f>IF(ISBLANK('Data Entry'!$A$945), "", 'Data Entry'!$A$945)</f>
      </c>
      <c r="B945">
        <f>IF(ISBLANK('Data Entry'!$B$945), "", 'Data Entry'!$B$945)</f>
      </c>
      <c r="C945">
        <f>IF(ISBLANK('Data Entry'!$C$945), "", 'Data Entry'!$C$945)</f>
      </c>
      <c r="D945">
        <f>IF(ISBLANK('Data Entry'!$D$945), "", 'Data Entry'!$D$945)</f>
      </c>
      <c r="E945">
        <f>IF(ISBLANK('Data Entry'!$E$945), "", 'Data Entry'!$E$945)</f>
      </c>
      <c r="F945">
        <f>IF(ISBLANK('Data Entry'!$F$945), "", 'Data Entry'!$F$945)</f>
      </c>
      <c r="G945">
        <f>IF(ISBLANK('Data Entry'!$G$945), "", 'Data Entry'!$G$945)</f>
      </c>
      <c r="H945">
        <f>IF(ISBLANK('Data Entry'!$H$945), "", 'Data Entry'!$H$945)</f>
      </c>
      <c r="I945">
        <f>IF(ISBLANK('Data Entry'!$I$945), "", 'Data Entry'!$I$945)</f>
      </c>
      <c r="J945">
        <f>IF(ISBLANK('Data Entry'!$J$945), "", 'Data Entry'!$J$945)</f>
      </c>
      <c r="K945">
        <f>IF(ISBLANK('Data Entry'!$K$945), "", 'Data Entry'!$K$945)</f>
      </c>
      <c r="L945">
        <f>IF(ISBLANK('Data Entry'!$L$945), "", 'Data Entry'!$L$945)</f>
      </c>
      <c r="M945">
        <f>IF(ISBLANK('Data Entry'!$M$945), "", 'Data Entry'!$M$945)</f>
      </c>
      <c r="N945">
        <f>IF(ISBLANK('Data Entry'!$N$945), "", 'Data Entry'!$N$945)</f>
      </c>
      <c r="O945">
        <f>IF(ISBLANK('Data Entry'!$O$945), "", 'Data Entry'!$O$945)</f>
      </c>
      <c r="P945">
        <f>IF(ISBLANK('Data Entry'!$P$945), "", 'Data Entry'!$P$945)</f>
      </c>
      <c r="Q945">
        <f>IF(ISBLANK('Data Entry'!$Q$945), "", 'Data Entry'!$Q$945)</f>
      </c>
      <c r="R945">
        <f>IF(ISBLANK('Data Entry'!$R$945), "", 'Data Entry'!$R$945)</f>
      </c>
      <c r="S945">
        <f>IF(ISBLANK('Data Entry'!$S$945), "", 'Data Entry'!$S$945)</f>
      </c>
      <c r="T945">
        <f>IF(ISBLANK('Data Entry'!$T$945), "", 'Data Entry'!$T$945)</f>
      </c>
      <c r="U945">
        <f>IF(ISBLANK('Data Entry'!$U$945), "", 'Data Entry'!$U$945)</f>
      </c>
      <c r="V945">
        <f>IF(ISBLANK('Data Entry'!$V$945), "", 'Data Entry'!$V$945)</f>
      </c>
      <c r="W945">
        <f>IF(ISBLANK('Data Entry'!$W$945), "", 'Data Entry'!$W$945)</f>
      </c>
      <c r="X945">
        <f>IF(ISBLANK('Data Entry'!$X$945), "", 'Data Entry'!$X$945)</f>
      </c>
      <c r="Y945">
        <f>IF(ISBLANK('Data Entry'!$Y$945), "", 'Data Entry'!$Y$945)</f>
      </c>
      <c r="Z945">
        <f>IF(ISBLANK('Data Entry'!$Z$945), "", 'Data Entry'!$Z$945)</f>
      </c>
      <c r="AA945">
        <f>IF(ISBLANK('Data Entry'!$[$945), "", 'Data Entry'!$[$945)</f>
      </c>
      <c r="AB945">
        <f>IF(ISBLANK('Data Entry'!$\$945), "", 'Data Entry'!$\$945)</f>
      </c>
      <c r="AC945">
        <f>IF(ISBLANK('Data Entry'!$]$945), "", 'Data Entry'!$]$945)</f>
      </c>
      <c r="AD945">
        <f>IF(ISBLANK('Data Entry'!$^$945), "", 'Data Entry'!$^$945)</f>
      </c>
      <c r="AE945">
        <f>IF(ISBLANK('Data Entry'!$_$945), "", 'Data Entry'!$_$945)</f>
      </c>
      <c r="AF945">
        <f>IF(ISBLANK('Data Entry'!$`$945), "", 'Data Entry'!$`$945)</f>
      </c>
      <c r="AG945">
        <f>IF(ISBLANK('Data Entry'!$a$945), "", 'Data Entry'!$a$945)</f>
      </c>
      <c r="AH945">
        <f>IF(ISBLANK('Data Entry'!$b$945), "", 'Data Entry'!$b$945)</f>
      </c>
      <c r="AI945">
        <f>IF(ISBLANK('Data Entry'!$c$945), "", 'Data Entry'!$c$945)</f>
      </c>
      <c r="AJ945">
        <f>IF(ISBLANK('Data Entry'!$d$945), "", 'Data Entry'!$d$945)</f>
      </c>
      <c r="AK945">
        <f>IF(ISBLANK('Data Entry'!$e$945), "", 'Data Entry'!$e$945)</f>
      </c>
      <c r="AL945">
        <f>IF(ISBLANK('Data Entry'!$f$945), "", 'Data Entry'!$f$945)</f>
      </c>
      <c r="AM945">
        <f>IF(ISBLANK('Data Entry'!$g$945), "", 'Data Entry'!$g$945)</f>
      </c>
      <c r="AN945">
        <f>IF(ISBLANK('Data Entry'!$h$945), "", 'Data Entry'!$h$945)</f>
      </c>
      <c r="AO945">
        <f>IF(ISBLANK('Data Entry'!$i$945), "", 'Data Entry'!$i$945)</f>
      </c>
      <c r="AP945">
        <f>IF(ISBLANK('Data Entry'!$j$945), "", 'Data Entry'!$j$945)</f>
      </c>
      <c r="AQ945">
        <f>IF(ISBLANK('Data Entry'!$k$945), "", 'Data Entry'!$k$945)</f>
      </c>
      <c r="AR945">
        <f>IF(ISBLANK('Data Entry'!$l$945), "", 'Data Entry'!$l$945)</f>
      </c>
      <c r="AS945">
        <f>IF(ISBLANK('Data Entry'!$m$945), "", 'Data Entry'!$m$945)</f>
      </c>
      <c r="AT945">
        <f>IF(ISBLANK('Data Entry'!$n$945), "", 'Data Entry'!$n$945)</f>
      </c>
      <c r="AU945">
        <f>IF(ISBLANK('Data Entry'!$o$945), "", 'Data Entry'!$o$945)</f>
      </c>
      <c r="AV945">
        <f>IF(ISBLANK('Data Entry'!$p$945), "", 'Data Entry'!$p$945)</f>
      </c>
      <c r="AW945">
        <f>IF(ISBLANK('Data Entry'!$q$945), "", 'Data Entry'!$q$945)</f>
      </c>
      <c r="AX945">
        <f>IF(ISBLANK('Data Entry'!$r$945), "", 'Data Entry'!$r$945)</f>
      </c>
      <c r="AY945">
        <f>IF(ISBLANK('Data Entry'!$s$945), "", 'Data Entry'!$s$945)</f>
      </c>
      <c r="AZ945">
        <f>IF(ISBLANK('Data Entry'!$t$945), "", 'Data Entry'!$t$945)</f>
      </c>
      <c r="BA945">
        <f>IF(ISBLANK('Data Entry'!$u$945), "", 'Data Entry'!$u$945)</f>
      </c>
      <c r="BB945">
        <f>IF(ISBLANK('Data Entry'!$v$945), "", 'Data Entry'!$v$945)</f>
      </c>
      <c r="BC945">
        <f>IF(ISBLANK('Data Entry'!$w$945), "", 'Data Entry'!$w$945)</f>
      </c>
      <c r="BD945">
        <f>IF(ISBLANK('Data Entry'!$x$945), "", 'Data Entry'!$x$945)</f>
      </c>
      <c r="BE945">
        <f>IF(ISBLANK('Data Entry'!$y$945), "", 'Data Entry'!$y$945)</f>
      </c>
      <c r="BF945">
        <f>IF(ISBLANK('Data Entry'!$z$945), "", 'Data Entry'!$z$945)</f>
      </c>
      <c r="BG945">
        <f>IF(ISBLANK('Data Entry'!${$945), "", 'Data Entry'!${$945)</f>
      </c>
      <c r="BH945">
        <f>IF(ISBLANK('Data Entry'!$|$945), "", 'Data Entry'!$|$945)</f>
      </c>
      <c r="BI945">
        <f>IF(ISBLANK('Data Entry'!$}$945), "", 'Data Entry'!$}$945)</f>
      </c>
      <c r="BJ945">
        <f>IF(ISBLANK('Data Entry'!$~$945), "", 'Data Entry'!$~$945)</f>
      </c>
      <c r="BK945">
        <f>IF(ISBLANK('Data Entry'!$$945), "", 'Data Entry'!$$945)</f>
      </c>
      <c r="BL945">
        <f>IF(ISBLANK('Data Entry'!$$945), "", 'Data Entry'!$$945)</f>
      </c>
      <c r="BM945">
        <f>IF(ISBLANK('Data Entry'!$$945), "", 'Data Entry'!$$945)</f>
      </c>
      <c r="BN945">
        <f>IF(ISBLANK('Data Entry'!$$945), "", 'Data Entry'!$$945)</f>
      </c>
      <c r="BO945">
        <f>IF(ISBLANK('Data Entry'!$$945), "", 'Data Entry'!$$945)</f>
      </c>
      <c r="BP945">
        <f>IF(ISBLANK('Data Entry'!$$945), "", 'Data Entry'!$$945)</f>
      </c>
      <c r="BQ945">
        <f>IF(ISBLANK('Data Entry'!$$945), "", 'Data Entry'!$$945)</f>
      </c>
      <c r="BR945">
        <f>IF(ISBLANK('Data Entry'!$$945), "", 'Data Entry'!$$945)</f>
      </c>
      <c r="BS945">
        <f>IF(ISBLANK('Data Entry'!$$945), "", 'Data Entry'!$$945)</f>
      </c>
      <c r="BT945">
        <f>IF(ISBLANK('Data Entry'!$$945), "", 'Data Entry'!$$945)</f>
      </c>
      <c r="BU945">
        <f>IF(ISBLANK('Data Entry'!$$945), "", 'Data Entry'!$$945)</f>
      </c>
      <c r="BV945">
        <f>IF(ISBLANK('Data Entry'!$$945), "", 'Data Entry'!$$945)</f>
      </c>
      <c r="BW945">
        <f>IF(ISBLANK('Data Entry'!$$945), "", 'Data Entry'!$$945)</f>
      </c>
      <c r="BX945">
        <f>IF(ISBLANK('Data Entry'!$$945), "", 'Data Entry'!$$945)</f>
      </c>
      <c r="BY945">
        <f>IF(ISBLANK('Data Entry'!$$945), "", 'Data Entry'!$$945)</f>
      </c>
      <c r="BZ945">
        <f>IF(ISBLANK('Data Entry'!$$945), "", 'Data Entry'!$$945)</f>
      </c>
      <c r="CA945">
        <f>IF(ISBLANK('Data Entry'!$$945), "", 'Data Entry'!$$945)</f>
      </c>
      <c r="CB945">
        <f>IF(ISBLANK('Data Entry'!$$945), "", 'Data Entry'!$$945)</f>
      </c>
      <c r="CC945">
        <f>IF(ISBLANK('Data Entry'!$$945), "", 'Data Entry'!$$945)</f>
      </c>
      <c r="CD945">
        <f>IF(ISBLANK('Data Entry'!$$945), "", 'Data Entry'!$$945)</f>
      </c>
      <c r="CE945">
        <f>IF(ISBLANK('Data Entry'!$$945), "", 'Data Entry'!$$945)</f>
      </c>
      <c r="CF945">
        <f>IF(ISBLANK('Data Entry'!$$945), "", 'Data Entry'!$$945)</f>
      </c>
      <c r="CG945">
        <f>IF(ISBLANK('Data Entry'!$$945), "", 'Data Entry'!$$945)</f>
      </c>
      <c r="CH945">
        <f>IF(ISBLANK('Data Entry'!$$945), "", 'Data Entry'!$$945)</f>
      </c>
      <c r="CI945">
        <f>IF(ISBLANK('Data Entry'!$$945), "", 'Data Entry'!$$945)</f>
      </c>
      <c r="CJ945">
        <f>IF(ISBLANK('Data Entry'!$$945), "", 'Data Entry'!$$945)</f>
      </c>
      <c r="CK945">
        <f>IF(ISBLANK('Data Entry'!$$945), "", 'Data Entry'!$$945)</f>
      </c>
      <c r="CL945">
        <f>IF(ISBLANK('Data Entry'!$$945), "", 'Data Entry'!$$945)</f>
      </c>
      <c r="CM945">
        <f>IF(ISBLANK('Data Entry'!$$945), "", 'Data Entry'!$$945)</f>
      </c>
      <c r="CN945">
        <f>IF(ISBLANK('Data Entry'!$$945), "", 'Data Entry'!$$945)</f>
      </c>
      <c r="CO945">
        <f>IF(ISBLANK('Data Entry'!$$945), "", 'Data Entry'!$$945)</f>
      </c>
      <c r="CP945">
        <f>IF(ISBLANK('Data Entry'!$$945), "", 'Data Entry'!$$945)</f>
      </c>
      <c r="CQ945">
        <f>IF(ISBLANK('Data Entry'!$$945), "", 'Data Entry'!$$945)</f>
      </c>
      <c r="CR945">
        <f>IF(ISBLANK('Data Entry'!$ $945), "", 'Data Entry'!$ $945)</f>
      </c>
      <c r="CS945">
        <f>IF(ISBLANK('Data Entry'!$¡$945), "", 'Data Entry'!$¡$945)</f>
      </c>
      <c r="CT945">
        <f>IF(ISBLANK('Data Entry'!$¢$945), "", 'Data Entry'!$¢$945)</f>
      </c>
      <c r="CU945">
        <f>IF(ISBLANK('Data Entry'!$£$945), "", 'Data Entry'!$£$945)</f>
      </c>
      <c r="CV945">
        <f>IF(ISBLANK('Data Entry'!$¤$945), "", 'Data Entry'!$¤$945)</f>
      </c>
      <c r="CW945">
        <f>IF(ISBLANK('Data Entry'!$¥$945), "", 'Data Entry'!$¥$945)</f>
      </c>
      <c r="CX945">
        <f>IF(ISBLANK('Data Entry'!$¦$945), "", 'Data Entry'!$¦$945)</f>
      </c>
      <c r="CY945">
        <f>IF(ISBLANK('Data Entry'!$§$945), "", 'Data Entry'!$§$945)</f>
      </c>
      <c r="CZ945">
        <f>IF(ISBLANK('Data Entry'!$¨$945), "", 'Data Entry'!$¨$945)</f>
      </c>
      <c r="DA945">
        <f>IF(ISBLANK('Data Entry'!$©$945), "", 'Data Entry'!$©$945)</f>
      </c>
      <c r="DB945">
        <f>IF(ISBLANK('Data Entry'!$ª$945), "", 'Data Entry'!$ª$945)</f>
      </c>
      <c r="DC945">
        <f>IF(ISBLANK('Data Entry'!$«$945), "", 'Data Entry'!$«$945)</f>
      </c>
      <c r="DD945">
        <f>IF(ISBLANK('Data Entry'!$¬$945), "", 'Data Entry'!$¬$945)</f>
      </c>
      <c r="DE945">
        <f>IF(ISBLANK('Data Entry'!$­$945), "", 'Data Entry'!$­$945)</f>
      </c>
      <c r="DF945">
        <f>IF(ISBLANK('Data Entry'!$®$945), "", 'Data Entry'!$®$945)</f>
      </c>
      <c r="DG945">
        <f>IF(ISBLANK('Data Entry'!$¯$945), "", 'Data Entry'!$¯$945)</f>
      </c>
      <c r="DH945">
        <f>IF(ISBLANK('Data Entry'!$°$945), "", 'Data Entry'!$°$945)</f>
      </c>
      <c r="DI945">
        <f>IF(ISBLANK('Data Entry'!$±$945), "", 'Data Entry'!$±$945)</f>
      </c>
      <c r="DJ945">
        <f>IF(ISBLANK('Data Entry'!$²$945), "", 'Data Entry'!$²$945)</f>
      </c>
      <c r="DK945">
        <f>IF(ISBLANK('Data Entry'!$³$945), "", 'Data Entry'!$³$945)</f>
      </c>
      <c r="DL945">
        <f>IF(ISBLANK('Data Entry'!$´$945), "", 'Data Entry'!$´$945)</f>
      </c>
      <c r="DM945">
        <f>IF(ISBLANK('Data Entry'!$µ$945), "", 'Data Entry'!$µ$945)</f>
      </c>
      <c r="DN945">
        <f>IF(ISBLANK('Data Entry'!$¶$945), "", 'Data Entry'!$¶$945)</f>
      </c>
      <c r="DO945">
        <f>IF(ISBLANK('Data Entry'!$·$945), "", 'Data Entry'!$·$945)</f>
      </c>
      <c r="DP945">
        <f>IF(ISBLANK('Data Entry'!$¸$945), "", 'Data Entry'!$¸$945)</f>
      </c>
      <c r="DQ945">
        <f>IF(ISBLANK('Data Entry'!$¹$945), "", 'Data Entry'!$¹$945)</f>
      </c>
      <c r="DR945">
        <f>IF(ISBLANK('Data Entry'!$º$945), "", 'Data Entry'!$º$945)</f>
      </c>
      <c r="DS945">
        <f>IF(ISBLANK('Data Entry'!$»$945), "", 'Data Entry'!$»$945)</f>
      </c>
      <c r="DT945">
        <f>IF(ISBLANK('Data Entry'!$¼$945), "", 'Data Entry'!$¼$945)</f>
      </c>
      <c r="DU945">
        <f>IF(ISBLANK('Data Entry'!$½$945), "", 'Data Entry'!$½$945)</f>
      </c>
      <c r="DV945">
        <f>IF(ISBLANK('Data Entry'!$¾$945), "", 'Data Entry'!$¾$945)</f>
      </c>
      <c r="DW945">
        <f>IF(ISBLANK('Data Entry'!$¿$945), "", 'Data Entry'!$¿$945)</f>
      </c>
      <c r="DX945">
        <f>IF(ISBLANK('Data Entry'!$À$945), "", 'Data Entry'!$À$945)</f>
      </c>
      <c r="DY945">
        <f>IF(ISBLANK('Data Entry'!$Á$945), "", 'Data Entry'!$Á$945)</f>
      </c>
      <c r="DZ945">
        <f>IF(ISBLANK('Data Entry'!$Â$945), "", 'Data Entry'!$Â$945)</f>
      </c>
      <c r="EA945">
        <f>IF(ISBLANK('Data Entry'!$Ã$945), "", 'Data Entry'!$Ã$945)</f>
      </c>
      <c r="EB945">
        <f>IF(ISBLANK('Data Entry'!$Ä$945), "", 'Data Entry'!$Ä$945)</f>
      </c>
      <c r="EC945">
        <f>IF(ISBLANK('Data Entry'!$Å$945), "", 'Data Entry'!$Å$945)</f>
      </c>
      <c r="ED945">
        <f>IF(ISBLANK('Data Entry'!$Æ$945), "", 'Data Entry'!$Æ$945)</f>
      </c>
      <c r="EE945">
        <f>IF(ISBLANK('Data Entry'!$Ç$945), "", 'Data Entry'!$Ç$945)</f>
      </c>
      <c r="EF945">
        <f>IF(ISBLANK('Data Entry'!$È$945), "", 'Data Entry'!$È$945)</f>
      </c>
      <c r="EG945">
        <f>IF(ISBLANK('Data Entry'!$É$945), "", 'Data Entry'!$É$945)</f>
      </c>
      <c r="EH945">
        <f>IF(ISBLANK('Data Entry'!$Ê$945), "", 'Data Entry'!$Ê$945)</f>
      </c>
      <c r="EI945">
        <f>IF(ISBLANK('Data Entry'!$Ë$945), "", 'Data Entry'!$Ë$945)</f>
      </c>
      <c r="EJ945">
        <f>IF(ISBLANK('Data Entry'!$Ì$945), "", 'Data Entry'!$Ì$945)</f>
      </c>
      <c r="EK945">
        <f>IF(ISBLANK('Data Entry'!$Í$945), "", 'Data Entry'!$Í$945)</f>
      </c>
      <c r="EL945">
        <f>IF(ISBLANK('Data Entry'!$Î$945), "", 'Data Entry'!$Î$945)</f>
      </c>
      <c r="EM945">
        <f>IF(ISBLANK('Data Entry'!$Ï$945), "", 'Data Entry'!$Ï$945)</f>
      </c>
      <c r="EN945">
        <f>IF(ISBLANK('Data Entry'!$Ð$945), "", 'Data Entry'!$Ð$945)</f>
      </c>
      <c r="EO945">
        <f>IF(ISBLANK('Data Entry'!$Ñ$945), "", 'Data Entry'!$Ñ$945)</f>
      </c>
      <c r="EP945">
        <f>IF(ISBLANK('Data Entry'!$Ò$945), "", 'Data Entry'!$Ò$945)</f>
      </c>
      <c r="EQ945">
        <f>IF(ISBLANK('Data Entry'!$Ó$945), "", 'Data Entry'!$Ó$945)</f>
      </c>
      <c r="ER945">
        <f>IF(ISBLANK('Data Entry'!$Ô$945), "", 'Data Entry'!$Ô$945)</f>
      </c>
      <c r="ES945">
        <f>IF(ISBLANK('Data Entry'!$Õ$945), "", 'Data Entry'!$Õ$945)</f>
      </c>
      <c r="ET945">
        <f>IF(ISBLANK('Data Entry'!$Ö$945), "", 'Data Entry'!$Ö$945)</f>
      </c>
      <c r="EU945">
        <f>IF(ISBLANK('Data Entry'!$×$945), "", 'Data Entry'!$×$945)</f>
      </c>
      <c r="EV945">
        <f>IF(ISBLANK('Data Entry'!$Ø$945), "", 'Data Entry'!$Ø$945)</f>
      </c>
      <c r="EW945">
        <f>IF(ISBLANK('Data Entry'!$Ù$945), "", 'Data Entry'!$Ù$945)</f>
      </c>
      <c r="EX945">
        <f>IF(ISBLANK('Data Entry'!$Ú$945), "", 'Data Entry'!$Ú$945)</f>
      </c>
      <c r="EY945">
        <f>IF(ISBLANK('Data Entry'!$Û$945), "", 'Data Entry'!$Û$945)</f>
      </c>
      <c r="EZ945">
        <f>IF(ISBLANK('Data Entry'!$Ü$945), "", 'Data Entry'!$Ü$945)</f>
      </c>
      <c r="FA945">
        <f>IF(ISBLANK('Data Entry'!$Ý$945), "", 'Data Entry'!$Ý$945)</f>
      </c>
      <c r="FB945">
        <f>IF(ISBLANK('Data Entry'!$Þ$945), "", 'Data Entry'!$Þ$945)</f>
      </c>
      <c r="FC945">
        <f>IF(ISBLANK('Data Entry'!$ß$945), "", 'Data Entry'!$ß$945)</f>
      </c>
      <c r="FD945">
        <f>IF(ISBLANK('Data Entry'!$à$945), "", 'Data Entry'!$à$945)</f>
      </c>
      <c r="FE945">
        <f>IF(ISBLANK('Data Entry'!$á$945), "", 'Data Entry'!$á$945)</f>
      </c>
      <c r="FF945">
        <f>IF(ISBLANK('Data Entry'!$â$945), "", 'Data Entry'!$â$945)</f>
      </c>
      <c r="FG945">
        <f>IF(ISBLANK('Data Entry'!$ã$945), "", 'Data Entry'!$ã$945)</f>
      </c>
      <c r="FH945">
        <f>IF(ISBLANK('Data Entry'!$ä$945), "", 'Data Entry'!$ä$945)</f>
      </c>
      <c r="FI945">
        <f>IF(ISBLANK('Data Entry'!$å$945), "", 'Data Entry'!$å$945)</f>
      </c>
      <c r="FJ945">
        <f>IF(ISBLANK('Data Entry'!$æ$945), "", 'Data Entry'!$æ$945)</f>
      </c>
      <c r="FK945">
        <f>IF(ISBLANK('Data Entry'!$ç$945), "", 'Data Entry'!$ç$945)</f>
      </c>
      <c r="FL945">
        <f>IF(ISBLANK('Data Entry'!$è$945), "", 'Data Entry'!$è$945)</f>
      </c>
      <c r="FM945">
        <f>IF(ISBLANK('Data Entry'!$é$945), "", 'Data Entry'!$é$945)</f>
      </c>
      <c r="FN945">
        <f>IF(ISBLANK('Data Entry'!$ê$945), "", 'Data Entry'!$ê$945)</f>
      </c>
      <c r="FO945">
        <f>IF(ISBLANK('Data Entry'!$ë$945), "", 'Data Entry'!$ë$945)</f>
      </c>
      <c r="FP945">
        <f>IF(ISBLANK('Data Entry'!$ì$945), "", 'Data Entry'!$ì$945)</f>
      </c>
      <c r="FQ945">
        <f>IF(ISBLANK('Data Entry'!$í$945), "", 'Data Entry'!$í$945)</f>
      </c>
      <c r="FR945">
        <f>IF(ISBLANK('Data Entry'!$î$945), "", 'Data Entry'!$î$945)</f>
      </c>
      <c r="FS945">
        <f>IF(ISBLANK('Data Entry'!$ï$945), "", 'Data Entry'!$ï$945)</f>
      </c>
      <c r="FT945">
        <f>IF(ISBLANK('Data Entry'!$ð$945), "", 'Data Entry'!$ð$945)</f>
      </c>
      <c r="FU945">
        <f>IF(ISBLANK('Data Entry'!$ñ$945), "", 'Data Entry'!$ñ$945)</f>
      </c>
      <c r="FV945">
        <f>IF(ISBLANK('Data Entry'!$ò$945), "", 'Data Entry'!$ò$945)</f>
      </c>
      <c r="FW945">
        <f>IF(ISBLANK('Data Entry'!$ó$945), "", 'Data Entry'!$ó$945)</f>
      </c>
      <c r="FX945">
        <f>IF(ISBLANK('Data Entry'!$ô$945), "", 'Data Entry'!$ô$945)</f>
      </c>
      <c r="FY945">
        <f>IF(ISBLANK('Data Entry'!$õ$945), "", 'Data Entry'!$õ$945)</f>
      </c>
      <c r="FZ945">
        <f>IF(ISBLANK('Data Entry'!$ö$945), "", 'Data Entry'!$ö$945)</f>
      </c>
      <c r="GA945">
        <f>IF(ISBLANK('Data Entry'!$÷$945), "", 'Data Entry'!$÷$945)</f>
      </c>
      <c r="GB945">
        <f>IF(ISBLANK('Data Entry'!$ø$945), "", 'Data Entry'!$ø$945)</f>
      </c>
      <c r="GC945">
        <f>IF(ISBLANK('Data Entry'!$ù$945), "", 'Data Entry'!$ù$945)</f>
      </c>
      <c r="GD945">
        <f>IF(ISBLANK('Data Entry'!$ú$945), "", 'Data Entry'!$ú$945)</f>
      </c>
      <c r="GE945">
        <f>IF(ISBLANK('Data Entry'!$û$945), "", 'Data Entry'!$û$945)</f>
      </c>
      <c r="GF945">
        <f>IF(ISBLANK('Data Entry'!$ü$945), "", 'Data Entry'!$ü$945)</f>
      </c>
      <c r="GG945">
        <f>IF(ISBLANK('Data Entry'!$ý$945), "", 'Data Entry'!$ý$945)</f>
      </c>
      <c r="GH945">
        <f>IF(ISBLANK('Data Entry'!$þ$945), "", 'Data Entry'!$þ$945)</f>
      </c>
      <c r="GI945">
        <f>IF(ISBLANK('Data Entry'!$ÿ$945), "", 'Data Entry'!$ÿ$945)</f>
      </c>
      <c r="GJ945">
        <f>IF(ISBLANK('Data Entry'!$Ā$945), "", 'Data Entry'!$Ā$945)</f>
      </c>
      <c r="GK945">
        <f>IF(ISBLANK('Data Entry'!$ā$945), "", 'Data Entry'!$ā$945)</f>
      </c>
      <c r="GL945">
        <f>IF(ISBLANK('Data Entry'!$Ă$945), "", 'Data Entry'!$Ă$945)</f>
      </c>
      <c r="GM945">
        <f>IF(ISBLANK('Data Entry'!$ă$945), "", 'Data Entry'!$ă$945)</f>
      </c>
      <c r="GN945">
        <f>IF(ISBLANK('Data Entry'!$Ą$945), "", 'Data Entry'!$Ą$945)</f>
      </c>
      <c r="GO945">
        <f>IF(ISBLANK('Data Entry'!$ą$945), "", 'Data Entry'!$ą$945)</f>
      </c>
      <c r="GP945">
        <f>IF(ISBLANK('Data Entry'!$Ć$945), "", 'Data Entry'!$Ć$945)</f>
      </c>
      <c r="GQ945">
        <f>IF(ISBLANK('Data Entry'!$ć$945), "", 'Data Entry'!$ć$945)</f>
      </c>
      <c r="GR945">
        <f>IF(ISBLANK('Data Entry'!$Ĉ$945), "", 'Data Entry'!$Ĉ$945)</f>
      </c>
      <c r="GS945">
        <f>IF(ISBLANK('Data Entry'!$ĉ$945), "", 'Data Entry'!$ĉ$945)</f>
      </c>
      <c r="GT945">
        <f>IF(ISBLANK('Data Entry'!$Ċ$945), "", 'Data Entry'!$Ċ$945)</f>
      </c>
      <c r="GU945">
        <f>IF(ISBLANK('Data Entry'!$ċ$945), "", 'Data Entry'!$ċ$945)</f>
      </c>
      <c r="GV945">
        <f>IF(ISBLANK('Data Entry'!$Č$945), "", 'Data Entry'!$Č$945)</f>
      </c>
      <c r="GW945">
        <f>IF(ISBLANK('Data Entry'!$č$945), "", 'Data Entry'!$č$945)</f>
      </c>
      <c r="GX945">
        <f>IF(ISBLANK('Data Entry'!$Ď$945), "", 'Data Entry'!$Ď$945)</f>
      </c>
      <c r="GY945">
        <f>IF(ISBLANK('Data Entry'!$ď$945), "", 'Data Entry'!$ď$945)</f>
      </c>
      <c r="GZ945">
        <f>IF(ISBLANK('Data Entry'!$Đ$945), "", 'Data Entry'!$Đ$945)</f>
      </c>
      <c r="HA945">
        <f>IF(ISBLANK('Data Entry'!$đ$945), "", 'Data Entry'!$đ$945)</f>
      </c>
      <c r="HB945">
        <f>IF(ISBLANK('Data Entry'!$Ē$945), "", 'Data Entry'!$Ē$945)</f>
      </c>
      <c r="HC945">
        <f>IF(ISBLANK('Data Entry'!$ē$945), "", 'Data Entry'!$ē$945)</f>
      </c>
      <c r="HD945">
        <f>IF(ISBLANK('Data Entry'!$Ĕ$945), "", 'Data Entry'!$Ĕ$945)</f>
      </c>
      <c r="HE945">
        <f>IF(ISBLANK('Data Entry'!$ĕ$945), "", 'Data Entry'!$ĕ$945)</f>
      </c>
      <c r="HF945">
        <f>IF(ISBLANK('Data Entry'!$Ė$945), "", 'Data Entry'!$Ė$945)</f>
      </c>
      <c r="HG945">
        <f>IF(ISBLANK('Data Entry'!$ė$945), "", 'Data Entry'!$ė$945)</f>
      </c>
      <c r="HH945">
        <f>IF(ISBLANK('Data Entry'!$Ę$945), "", 'Data Entry'!$Ę$945)</f>
      </c>
      <c r="HI945">
        <f>IF(ISBLANK('Data Entry'!$ę$945), "", 'Data Entry'!$ę$945)</f>
      </c>
      <c r="HJ945">
        <f>IF(ISBLANK('Data Entry'!$Ě$945), "", 'Data Entry'!$Ě$945)</f>
      </c>
      <c r="HK945">
        <f>IF(ISBLANK('Data Entry'!$ě$945), "", 'Data Entry'!$ě$945)</f>
      </c>
      <c r="HL945">
        <f>IF(ISBLANK('Data Entry'!$Ĝ$945), "", 'Data Entry'!$Ĝ$945)</f>
      </c>
      <c r="HM945">
        <f>IF(ISBLANK('Data Entry'!$ĝ$945), "", 'Data Entry'!$ĝ$945)</f>
      </c>
      <c r="HN945">
        <f>IF(ISBLANK('Data Entry'!$Ğ$945), "", 'Data Entry'!$Ğ$945)</f>
      </c>
      <c r="HO945">
        <f>IF(ISBLANK('Data Entry'!$ğ$945), "", 'Data Entry'!$ğ$945)</f>
      </c>
      <c r="HP945">
        <f>IF(ISBLANK('Data Entry'!$Ġ$945), "", 'Data Entry'!$Ġ$945)</f>
      </c>
      <c r="HQ945">
        <f>IF(ISBLANK('Data Entry'!$ġ$945), "", 'Data Entry'!$ġ$945)</f>
      </c>
      <c r="HR945">
        <f>IF(ISBLANK('Data Entry'!$Ģ$945), "", 'Data Entry'!$Ģ$945)</f>
      </c>
      <c r="HS945">
        <f>IF(ISBLANK('Data Entry'!$ģ$945), "", 'Data Entry'!$ģ$945)</f>
      </c>
      <c r="HT945">
        <f>IF(ISBLANK('Data Entry'!$Ĥ$945), "", 'Data Entry'!$Ĥ$945)</f>
      </c>
      <c r="HU945">
        <f>IF(ISBLANK('Data Entry'!$ĥ$945), "", 'Data Entry'!$ĥ$945)</f>
      </c>
      <c r="HV945">
        <f>IF(ISBLANK('Data Entry'!$Ħ$945), "", 'Data Entry'!$Ħ$945)</f>
      </c>
      <c r="HW945">
        <f>IF(ISBLANK('Data Entry'!$ħ$945), "", 'Data Entry'!$ħ$945)</f>
      </c>
      <c r="HX945">
        <f>IF(ISBLANK('Data Entry'!$Ĩ$945), "", 'Data Entry'!$Ĩ$945)</f>
      </c>
      <c r="HY945">
        <f>IF(ISBLANK('Data Entry'!$ĩ$945), "", 'Data Entry'!$ĩ$945)</f>
      </c>
      <c r="HZ945">
        <f>IF(ISBLANK('Data Entry'!$Ī$945), "", 'Data Entry'!$Ī$945)</f>
      </c>
      <c r="IA945">
        <f>IF(ISBLANK('Data Entry'!$ī$945), "", 'Data Entry'!$ī$945)</f>
      </c>
      <c r="IB945">
        <f>IF(ISBLANK('Data Entry'!$Ĭ$945), "", 'Data Entry'!$Ĭ$945)</f>
      </c>
      <c r="IC945">
        <f>IF(ISBLANK('Data Entry'!$ĭ$945), "", 'Data Entry'!$ĭ$945)</f>
      </c>
      <c r="ID945">
        <f>IF(ISBLANK('Data Entry'!$Į$945), "", 'Data Entry'!$Į$945)</f>
      </c>
      <c r="IE945">
        <f>IF(ISBLANK('Data Entry'!$į$945), "", 'Data Entry'!$į$945)</f>
      </c>
      <c r="IF945">
        <f>IF(ISBLANK('Data Entry'!$İ$945), "", 'Data Entry'!$İ$945)</f>
      </c>
      <c r="IG945">
        <f>IF(ISBLANK('Data Entry'!$ı$945), "", 'Data Entry'!$ı$945)</f>
      </c>
      <c r="IH945">
        <f>IF(ISBLANK('Data Entry'!$Ĳ$945), "", 'Data Entry'!$Ĳ$945)</f>
      </c>
      <c r="II945">
        <f>IF(ISBLANK('Data Entry'!$ĳ$945), "", 'Data Entry'!$ĳ$945)</f>
      </c>
      <c r="IJ945">
        <f>IF(ISBLANK('Data Entry'!$Ĵ$945), "", 'Data Entry'!$Ĵ$945)</f>
      </c>
      <c r="IK945">
        <f>IF(ISBLANK('Data Entry'!$ĵ$945), "", 'Data Entry'!$ĵ$945)</f>
      </c>
      <c r="IL945">
        <f>IF(ISBLANK('Data Entry'!$Ķ$945), "", 'Data Entry'!$Ķ$945)</f>
      </c>
      <c r="IM945">
        <f>IF(ISBLANK('Data Entry'!$ķ$945), "", 'Data Entry'!$ķ$945)</f>
      </c>
      <c r="IN945">
        <f>IF(ISBLANK('Data Entry'!$ĸ$945), "", 'Data Entry'!$ĸ$945)</f>
      </c>
      <c r="IO945">
        <f>IF(ISBLANK('Data Entry'!$Ĺ$945), "", 'Data Entry'!$Ĺ$945)</f>
      </c>
      <c r="IP945">
        <f>IF(ISBLANK('Data Entry'!$ĺ$945), "", 'Data Entry'!$ĺ$945)</f>
      </c>
      <c r="IQ945">
        <f>IF(ISBLANK('Data Entry'!$Ļ$945), "", 'Data Entry'!$Ļ$945)</f>
      </c>
      <c r="IR945">
        <f>IF(ISBLANK('Data Entry'!$ļ$945), "", 'Data Entry'!$ļ$945)</f>
      </c>
      <c r="IS945">
        <f>IF(ISBLANK('Data Entry'!$Ľ$945), "", 'Data Entry'!$Ľ$945)</f>
      </c>
      <c r="IT945">
        <f>IF(ISBLANK('Data Entry'!$ľ$945), "", 'Data Entry'!$ľ$945)</f>
      </c>
    </row>
    <row r="946" spans="1:254" x14ac:dyDescent="0.25">
      <c r="A946">
        <f>IF(ISBLANK('Data Entry'!$A$946), "", 'Data Entry'!$A$946)</f>
      </c>
      <c r="B946">
        <f>IF(ISBLANK('Data Entry'!$B$946), "", 'Data Entry'!$B$946)</f>
      </c>
      <c r="C946">
        <f>IF(ISBLANK('Data Entry'!$C$946), "", 'Data Entry'!$C$946)</f>
      </c>
      <c r="D946">
        <f>IF(ISBLANK('Data Entry'!$D$946), "", 'Data Entry'!$D$946)</f>
      </c>
      <c r="E946">
        <f>IF(ISBLANK('Data Entry'!$E$946), "", 'Data Entry'!$E$946)</f>
      </c>
      <c r="F946">
        <f>IF(ISBLANK('Data Entry'!$F$946), "", 'Data Entry'!$F$946)</f>
      </c>
      <c r="G946">
        <f>IF(ISBLANK('Data Entry'!$G$946), "", 'Data Entry'!$G$946)</f>
      </c>
      <c r="H946">
        <f>IF(ISBLANK('Data Entry'!$H$946), "", 'Data Entry'!$H$946)</f>
      </c>
      <c r="I946">
        <f>IF(ISBLANK('Data Entry'!$I$946), "", 'Data Entry'!$I$946)</f>
      </c>
      <c r="J946">
        <f>IF(ISBLANK('Data Entry'!$J$946), "", 'Data Entry'!$J$946)</f>
      </c>
      <c r="K946">
        <f>IF(ISBLANK('Data Entry'!$K$946), "", 'Data Entry'!$K$946)</f>
      </c>
      <c r="L946">
        <f>IF(ISBLANK('Data Entry'!$L$946), "", 'Data Entry'!$L$946)</f>
      </c>
      <c r="M946">
        <f>IF(ISBLANK('Data Entry'!$M$946), "", 'Data Entry'!$M$946)</f>
      </c>
      <c r="N946">
        <f>IF(ISBLANK('Data Entry'!$N$946), "", 'Data Entry'!$N$946)</f>
      </c>
      <c r="O946">
        <f>IF(ISBLANK('Data Entry'!$O$946), "", 'Data Entry'!$O$946)</f>
      </c>
      <c r="P946">
        <f>IF(ISBLANK('Data Entry'!$P$946), "", 'Data Entry'!$P$946)</f>
      </c>
      <c r="Q946">
        <f>IF(ISBLANK('Data Entry'!$Q$946), "", 'Data Entry'!$Q$946)</f>
      </c>
      <c r="R946">
        <f>IF(ISBLANK('Data Entry'!$R$946), "", 'Data Entry'!$R$946)</f>
      </c>
      <c r="S946">
        <f>IF(ISBLANK('Data Entry'!$S$946), "", 'Data Entry'!$S$946)</f>
      </c>
      <c r="T946">
        <f>IF(ISBLANK('Data Entry'!$T$946), "", 'Data Entry'!$T$946)</f>
      </c>
      <c r="U946">
        <f>IF(ISBLANK('Data Entry'!$U$946), "", 'Data Entry'!$U$946)</f>
      </c>
      <c r="V946">
        <f>IF(ISBLANK('Data Entry'!$V$946), "", 'Data Entry'!$V$946)</f>
      </c>
      <c r="W946">
        <f>IF(ISBLANK('Data Entry'!$W$946), "", 'Data Entry'!$W$946)</f>
      </c>
      <c r="X946">
        <f>IF(ISBLANK('Data Entry'!$X$946), "", 'Data Entry'!$X$946)</f>
      </c>
      <c r="Y946">
        <f>IF(ISBLANK('Data Entry'!$Y$946), "", 'Data Entry'!$Y$946)</f>
      </c>
      <c r="Z946">
        <f>IF(ISBLANK('Data Entry'!$Z$946), "", 'Data Entry'!$Z$946)</f>
      </c>
      <c r="AA946">
        <f>IF(ISBLANK('Data Entry'!$[$946), "", 'Data Entry'!$[$946)</f>
      </c>
      <c r="AB946">
        <f>IF(ISBLANK('Data Entry'!$\$946), "", 'Data Entry'!$\$946)</f>
      </c>
      <c r="AC946">
        <f>IF(ISBLANK('Data Entry'!$]$946), "", 'Data Entry'!$]$946)</f>
      </c>
      <c r="AD946">
        <f>IF(ISBLANK('Data Entry'!$^$946), "", 'Data Entry'!$^$946)</f>
      </c>
      <c r="AE946">
        <f>IF(ISBLANK('Data Entry'!$_$946), "", 'Data Entry'!$_$946)</f>
      </c>
      <c r="AF946">
        <f>IF(ISBLANK('Data Entry'!$`$946), "", 'Data Entry'!$`$946)</f>
      </c>
      <c r="AG946">
        <f>IF(ISBLANK('Data Entry'!$a$946), "", 'Data Entry'!$a$946)</f>
      </c>
      <c r="AH946">
        <f>IF(ISBLANK('Data Entry'!$b$946), "", 'Data Entry'!$b$946)</f>
      </c>
      <c r="AI946">
        <f>IF(ISBLANK('Data Entry'!$c$946), "", 'Data Entry'!$c$946)</f>
      </c>
      <c r="AJ946">
        <f>IF(ISBLANK('Data Entry'!$d$946), "", 'Data Entry'!$d$946)</f>
      </c>
      <c r="AK946">
        <f>IF(ISBLANK('Data Entry'!$e$946), "", 'Data Entry'!$e$946)</f>
      </c>
      <c r="AL946">
        <f>IF(ISBLANK('Data Entry'!$f$946), "", 'Data Entry'!$f$946)</f>
      </c>
      <c r="AM946">
        <f>IF(ISBLANK('Data Entry'!$g$946), "", 'Data Entry'!$g$946)</f>
      </c>
      <c r="AN946">
        <f>IF(ISBLANK('Data Entry'!$h$946), "", 'Data Entry'!$h$946)</f>
      </c>
      <c r="AO946">
        <f>IF(ISBLANK('Data Entry'!$i$946), "", 'Data Entry'!$i$946)</f>
      </c>
      <c r="AP946">
        <f>IF(ISBLANK('Data Entry'!$j$946), "", 'Data Entry'!$j$946)</f>
      </c>
      <c r="AQ946">
        <f>IF(ISBLANK('Data Entry'!$k$946), "", 'Data Entry'!$k$946)</f>
      </c>
      <c r="AR946">
        <f>IF(ISBLANK('Data Entry'!$l$946), "", 'Data Entry'!$l$946)</f>
      </c>
      <c r="AS946">
        <f>IF(ISBLANK('Data Entry'!$m$946), "", 'Data Entry'!$m$946)</f>
      </c>
      <c r="AT946">
        <f>IF(ISBLANK('Data Entry'!$n$946), "", 'Data Entry'!$n$946)</f>
      </c>
      <c r="AU946">
        <f>IF(ISBLANK('Data Entry'!$o$946), "", 'Data Entry'!$o$946)</f>
      </c>
      <c r="AV946">
        <f>IF(ISBLANK('Data Entry'!$p$946), "", 'Data Entry'!$p$946)</f>
      </c>
      <c r="AW946">
        <f>IF(ISBLANK('Data Entry'!$q$946), "", 'Data Entry'!$q$946)</f>
      </c>
      <c r="AX946">
        <f>IF(ISBLANK('Data Entry'!$r$946), "", 'Data Entry'!$r$946)</f>
      </c>
      <c r="AY946">
        <f>IF(ISBLANK('Data Entry'!$s$946), "", 'Data Entry'!$s$946)</f>
      </c>
      <c r="AZ946">
        <f>IF(ISBLANK('Data Entry'!$t$946), "", 'Data Entry'!$t$946)</f>
      </c>
      <c r="BA946">
        <f>IF(ISBLANK('Data Entry'!$u$946), "", 'Data Entry'!$u$946)</f>
      </c>
      <c r="BB946">
        <f>IF(ISBLANK('Data Entry'!$v$946), "", 'Data Entry'!$v$946)</f>
      </c>
      <c r="BC946">
        <f>IF(ISBLANK('Data Entry'!$w$946), "", 'Data Entry'!$w$946)</f>
      </c>
      <c r="BD946">
        <f>IF(ISBLANK('Data Entry'!$x$946), "", 'Data Entry'!$x$946)</f>
      </c>
      <c r="BE946">
        <f>IF(ISBLANK('Data Entry'!$y$946), "", 'Data Entry'!$y$946)</f>
      </c>
      <c r="BF946">
        <f>IF(ISBLANK('Data Entry'!$z$946), "", 'Data Entry'!$z$946)</f>
      </c>
      <c r="BG946">
        <f>IF(ISBLANK('Data Entry'!${$946), "", 'Data Entry'!${$946)</f>
      </c>
      <c r="BH946">
        <f>IF(ISBLANK('Data Entry'!$|$946), "", 'Data Entry'!$|$946)</f>
      </c>
      <c r="BI946">
        <f>IF(ISBLANK('Data Entry'!$}$946), "", 'Data Entry'!$}$946)</f>
      </c>
      <c r="BJ946">
        <f>IF(ISBLANK('Data Entry'!$~$946), "", 'Data Entry'!$~$946)</f>
      </c>
      <c r="BK946">
        <f>IF(ISBLANK('Data Entry'!$$946), "", 'Data Entry'!$$946)</f>
      </c>
      <c r="BL946">
        <f>IF(ISBLANK('Data Entry'!$$946), "", 'Data Entry'!$$946)</f>
      </c>
      <c r="BM946">
        <f>IF(ISBLANK('Data Entry'!$$946), "", 'Data Entry'!$$946)</f>
      </c>
      <c r="BN946">
        <f>IF(ISBLANK('Data Entry'!$$946), "", 'Data Entry'!$$946)</f>
      </c>
      <c r="BO946">
        <f>IF(ISBLANK('Data Entry'!$$946), "", 'Data Entry'!$$946)</f>
      </c>
      <c r="BP946">
        <f>IF(ISBLANK('Data Entry'!$$946), "", 'Data Entry'!$$946)</f>
      </c>
      <c r="BQ946">
        <f>IF(ISBLANK('Data Entry'!$$946), "", 'Data Entry'!$$946)</f>
      </c>
      <c r="BR946">
        <f>IF(ISBLANK('Data Entry'!$$946), "", 'Data Entry'!$$946)</f>
      </c>
      <c r="BS946">
        <f>IF(ISBLANK('Data Entry'!$$946), "", 'Data Entry'!$$946)</f>
      </c>
      <c r="BT946">
        <f>IF(ISBLANK('Data Entry'!$$946), "", 'Data Entry'!$$946)</f>
      </c>
      <c r="BU946">
        <f>IF(ISBLANK('Data Entry'!$$946), "", 'Data Entry'!$$946)</f>
      </c>
      <c r="BV946">
        <f>IF(ISBLANK('Data Entry'!$$946), "", 'Data Entry'!$$946)</f>
      </c>
      <c r="BW946">
        <f>IF(ISBLANK('Data Entry'!$$946), "", 'Data Entry'!$$946)</f>
      </c>
      <c r="BX946">
        <f>IF(ISBLANK('Data Entry'!$$946), "", 'Data Entry'!$$946)</f>
      </c>
      <c r="BY946">
        <f>IF(ISBLANK('Data Entry'!$$946), "", 'Data Entry'!$$946)</f>
      </c>
      <c r="BZ946">
        <f>IF(ISBLANK('Data Entry'!$$946), "", 'Data Entry'!$$946)</f>
      </c>
      <c r="CA946">
        <f>IF(ISBLANK('Data Entry'!$$946), "", 'Data Entry'!$$946)</f>
      </c>
      <c r="CB946">
        <f>IF(ISBLANK('Data Entry'!$$946), "", 'Data Entry'!$$946)</f>
      </c>
      <c r="CC946">
        <f>IF(ISBLANK('Data Entry'!$$946), "", 'Data Entry'!$$946)</f>
      </c>
      <c r="CD946">
        <f>IF(ISBLANK('Data Entry'!$$946), "", 'Data Entry'!$$946)</f>
      </c>
      <c r="CE946">
        <f>IF(ISBLANK('Data Entry'!$$946), "", 'Data Entry'!$$946)</f>
      </c>
      <c r="CF946">
        <f>IF(ISBLANK('Data Entry'!$$946), "", 'Data Entry'!$$946)</f>
      </c>
      <c r="CG946">
        <f>IF(ISBLANK('Data Entry'!$$946), "", 'Data Entry'!$$946)</f>
      </c>
      <c r="CH946">
        <f>IF(ISBLANK('Data Entry'!$$946), "", 'Data Entry'!$$946)</f>
      </c>
      <c r="CI946">
        <f>IF(ISBLANK('Data Entry'!$$946), "", 'Data Entry'!$$946)</f>
      </c>
      <c r="CJ946">
        <f>IF(ISBLANK('Data Entry'!$$946), "", 'Data Entry'!$$946)</f>
      </c>
      <c r="CK946">
        <f>IF(ISBLANK('Data Entry'!$$946), "", 'Data Entry'!$$946)</f>
      </c>
      <c r="CL946">
        <f>IF(ISBLANK('Data Entry'!$$946), "", 'Data Entry'!$$946)</f>
      </c>
      <c r="CM946">
        <f>IF(ISBLANK('Data Entry'!$$946), "", 'Data Entry'!$$946)</f>
      </c>
      <c r="CN946">
        <f>IF(ISBLANK('Data Entry'!$$946), "", 'Data Entry'!$$946)</f>
      </c>
      <c r="CO946">
        <f>IF(ISBLANK('Data Entry'!$$946), "", 'Data Entry'!$$946)</f>
      </c>
      <c r="CP946">
        <f>IF(ISBLANK('Data Entry'!$$946), "", 'Data Entry'!$$946)</f>
      </c>
      <c r="CQ946">
        <f>IF(ISBLANK('Data Entry'!$$946), "", 'Data Entry'!$$946)</f>
      </c>
      <c r="CR946">
        <f>IF(ISBLANK('Data Entry'!$ $946), "", 'Data Entry'!$ $946)</f>
      </c>
      <c r="CS946">
        <f>IF(ISBLANK('Data Entry'!$¡$946), "", 'Data Entry'!$¡$946)</f>
      </c>
      <c r="CT946">
        <f>IF(ISBLANK('Data Entry'!$¢$946), "", 'Data Entry'!$¢$946)</f>
      </c>
      <c r="CU946">
        <f>IF(ISBLANK('Data Entry'!$£$946), "", 'Data Entry'!$£$946)</f>
      </c>
      <c r="CV946">
        <f>IF(ISBLANK('Data Entry'!$¤$946), "", 'Data Entry'!$¤$946)</f>
      </c>
      <c r="CW946">
        <f>IF(ISBLANK('Data Entry'!$¥$946), "", 'Data Entry'!$¥$946)</f>
      </c>
      <c r="CX946">
        <f>IF(ISBLANK('Data Entry'!$¦$946), "", 'Data Entry'!$¦$946)</f>
      </c>
      <c r="CY946">
        <f>IF(ISBLANK('Data Entry'!$§$946), "", 'Data Entry'!$§$946)</f>
      </c>
      <c r="CZ946">
        <f>IF(ISBLANK('Data Entry'!$¨$946), "", 'Data Entry'!$¨$946)</f>
      </c>
      <c r="DA946">
        <f>IF(ISBLANK('Data Entry'!$©$946), "", 'Data Entry'!$©$946)</f>
      </c>
      <c r="DB946">
        <f>IF(ISBLANK('Data Entry'!$ª$946), "", 'Data Entry'!$ª$946)</f>
      </c>
      <c r="DC946">
        <f>IF(ISBLANK('Data Entry'!$«$946), "", 'Data Entry'!$«$946)</f>
      </c>
      <c r="DD946">
        <f>IF(ISBLANK('Data Entry'!$¬$946), "", 'Data Entry'!$¬$946)</f>
      </c>
      <c r="DE946">
        <f>IF(ISBLANK('Data Entry'!$­$946), "", 'Data Entry'!$­$946)</f>
      </c>
      <c r="DF946">
        <f>IF(ISBLANK('Data Entry'!$®$946), "", 'Data Entry'!$®$946)</f>
      </c>
      <c r="DG946">
        <f>IF(ISBLANK('Data Entry'!$¯$946), "", 'Data Entry'!$¯$946)</f>
      </c>
      <c r="DH946">
        <f>IF(ISBLANK('Data Entry'!$°$946), "", 'Data Entry'!$°$946)</f>
      </c>
      <c r="DI946">
        <f>IF(ISBLANK('Data Entry'!$±$946), "", 'Data Entry'!$±$946)</f>
      </c>
      <c r="DJ946">
        <f>IF(ISBLANK('Data Entry'!$²$946), "", 'Data Entry'!$²$946)</f>
      </c>
      <c r="DK946">
        <f>IF(ISBLANK('Data Entry'!$³$946), "", 'Data Entry'!$³$946)</f>
      </c>
      <c r="DL946">
        <f>IF(ISBLANK('Data Entry'!$´$946), "", 'Data Entry'!$´$946)</f>
      </c>
      <c r="DM946">
        <f>IF(ISBLANK('Data Entry'!$µ$946), "", 'Data Entry'!$µ$946)</f>
      </c>
      <c r="DN946">
        <f>IF(ISBLANK('Data Entry'!$¶$946), "", 'Data Entry'!$¶$946)</f>
      </c>
      <c r="DO946">
        <f>IF(ISBLANK('Data Entry'!$·$946), "", 'Data Entry'!$·$946)</f>
      </c>
      <c r="DP946">
        <f>IF(ISBLANK('Data Entry'!$¸$946), "", 'Data Entry'!$¸$946)</f>
      </c>
      <c r="DQ946">
        <f>IF(ISBLANK('Data Entry'!$¹$946), "", 'Data Entry'!$¹$946)</f>
      </c>
      <c r="DR946">
        <f>IF(ISBLANK('Data Entry'!$º$946), "", 'Data Entry'!$º$946)</f>
      </c>
      <c r="DS946">
        <f>IF(ISBLANK('Data Entry'!$»$946), "", 'Data Entry'!$»$946)</f>
      </c>
      <c r="DT946">
        <f>IF(ISBLANK('Data Entry'!$¼$946), "", 'Data Entry'!$¼$946)</f>
      </c>
      <c r="DU946">
        <f>IF(ISBLANK('Data Entry'!$½$946), "", 'Data Entry'!$½$946)</f>
      </c>
      <c r="DV946">
        <f>IF(ISBLANK('Data Entry'!$¾$946), "", 'Data Entry'!$¾$946)</f>
      </c>
      <c r="DW946">
        <f>IF(ISBLANK('Data Entry'!$¿$946), "", 'Data Entry'!$¿$946)</f>
      </c>
      <c r="DX946">
        <f>IF(ISBLANK('Data Entry'!$À$946), "", 'Data Entry'!$À$946)</f>
      </c>
      <c r="DY946">
        <f>IF(ISBLANK('Data Entry'!$Á$946), "", 'Data Entry'!$Á$946)</f>
      </c>
      <c r="DZ946">
        <f>IF(ISBLANK('Data Entry'!$Â$946), "", 'Data Entry'!$Â$946)</f>
      </c>
      <c r="EA946">
        <f>IF(ISBLANK('Data Entry'!$Ã$946), "", 'Data Entry'!$Ã$946)</f>
      </c>
      <c r="EB946">
        <f>IF(ISBLANK('Data Entry'!$Ä$946), "", 'Data Entry'!$Ä$946)</f>
      </c>
      <c r="EC946">
        <f>IF(ISBLANK('Data Entry'!$Å$946), "", 'Data Entry'!$Å$946)</f>
      </c>
      <c r="ED946">
        <f>IF(ISBLANK('Data Entry'!$Æ$946), "", 'Data Entry'!$Æ$946)</f>
      </c>
      <c r="EE946">
        <f>IF(ISBLANK('Data Entry'!$Ç$946), "", 'Data Entry'!$Ç$946)</f>
      </c>
      <c r="EF946">
        <f>IF(ISBLANK('Data Entry'!$È$946), "", 'Data Entry'!$È$946)</f>
      </c>
      <c r="EG946">
        <f>IF(ISBLANK('Data Entry'!$É$946), "", 'Data Entry'!$É$946)</f>
      </c>
      <c r="EH946">
        <f>IF(ISBLANK('Data Entry'!$Ê$946), "", 'Data Entry'!$Ê$946)</f>
      </c>
      <c r="EI946">
        <f>IF(ISBLANK('Data Entry'!$Ë$946), "", 'Data Entry'!$Ë$946)</f>
      </c>
      <c r="EJ946">
        <f>IF(ISBLANK('Data Entry'!$Ì$946), "", 'Data Entry'!$Ì$946)</f>
      </c>
      <c r="EK946">
        <f>IF(ISBLANK('Data Entry'!$Í$946), "", 'Data Entry'!$Í$946)</f>
      </c>
      <c r="EL946">
        <f>IF(ISBLANK('Data Entry'!$Î$946), "", 'Data Entry'!$Î$946)</f>
      </c>
      <c r="EM946">
        <f>IF(ISBLANK('Data Entry'!$Ï$946), "", 'Data Entry'!$Ï$946)</f>
      </c>
      <c r="EN946">
        <f>IF(ISBLANK('Data Entry'!$Ð$946), "", 'Data Entry'!$Ð$946)</f>
      </c>
      <c r="EO946">
        <f>IF(ISBLANK('Data Entry'!$Ñ$946), "", 'Data Entry'!$Ñ$946)</f>
      </c>
      <c r="EP946">
        <f>IF(ISBLANK('Data Entry'!$Ò$946), "", 'Data Entry'!$Ò$946)</f>
      </c>
      <c r="EQ946">
        <f>IF(ISBLANK('Data Entry'!$Ó$946), "", 'Data Entry'!$Ó$946)</f>
      </c>
      <c r="ER946">
        <f>IF(ISBLANK('Data Entry'!$Ô$946), "", 'Data Entry'!$Ô$946)</f>
      </c>
      <c r="ES946">
        <f>IF(ISBLANK('Data Entry'!$Õ$946), "", 'Data Entry'!$Õ$946)</f>
      </c>
      <c r="ET946">
        <f>IF(ISBLANK('Data Entry'!$Ö$946), "", 'Data Entry'!$Ö$946)</f>
      </c>
      <c r="EU946">
        <f>IF(ISBLANK('Data Entry'!$×$946), "", 'Data Entry'!$×$946)</f>
      </c>
      <c r="EV946">
        <f>IF(ISBLANK('Data Entry'!$Ø$946), "", 'Data Entry'!$Ø$946)</f>
      </c>
      <c r="EW946">
        <f>IF(ISBLANK('Data Entry'!$Ù$946), "", 'Data Entry'!$Ù$946)</f>
      </c>
      <c r="EX946">
        <f>IF(ISBLANK('Data Entry'!$Ú$946), "", 'Data Entry'!$Ú$946)</f>
      </c>
      <c r="EY946">
        <f>IF(ISBLANK('Data Entry'!$Û$946), "", 'Data Entry'!$Û$946)</f>
      </c>
      <c r="EZ946">
        <f>IF(ISBLANK('Data Entry'!$Ü$946), "", 'Data Entry'!$Ü$946)</f>
      </c>
      <c r="FA946">
        <f>IF(ISBLANK('Data Entry'!$Ý$946), "", 'Data Entry'!$Ý$946)</f>
      </c>
      <c r="FB946">
        <f>IF(ISBLANK('Data Entry'!$Þ$946), "", 'Data Entry'!$Þ$946)</f>
      </c>
      <c r="FC946">
        <f>IF(ISBLANK('Data Entry'!$ß$946), "", 'Data Entry'!$ß$946)</f>
      </c>
      <c r="FD946">
        <f>IF(ISBLANK('Data Entry'!$à$946), "", 'Data Entry'!$à$946)</f>
      </c>
      <c r="FE946">
        <f>IF(ISBLANK('Data Entry'!$á$946), "", 'Data Entry'!$á$946)</f>
      </c>
      <c r="FF946">
        <f>IF(ISBLANK('Data Entry'!$â$946), "", 'Data Entry'!$â$946)</f>
      </c>
      <c r="FG946">
        <f>IF(ISBLANK('Data Entry'!$ã$946), "", 'Data Entry'!$ã$946)</f>
      </c>
      <c r="FH946">
        <f>IF(ISBLANK('Data Entry'!$ä$946), "", 'Data Entry'!$ä$946)</f>
      </c>
      <c r="FI946">
        <f>IF(ISBLANK('Data Entry'!$å$946), "", 'Data Entry'!$å$946)</f>
      </c>
      <c r="FJ946">
        <f>IF(ISBLANK('Data Entry'!$æ$946), "", 'Data Entry'!$æ$946)</f>
      </c>
      <c r="FK946">
        <f>IF(ISBLANK('Data Entry'!$ç$946), "", 'Data Entry'!$ç$946)</f>
      </c>
      <c r="FL946">
        <f>IF(ISBLANK('Data Entry'!$è$946), "", 'Data Entry'!$è$946)</f>
      </c>
      <c r="FM946">
        <f>IF(ISBLANK('Data Entry'!$é$946), "", 'Data Entry'!$é$946)</f>
      </c>
      <c r="FN946">
        <f>IF(ISBLANK('Data Entry'!$ê$946), "", 'Data Entry'!$ê$946)</f>
      </c>
      <c r="FO946">
        <f>IF(ISBLANK('Data Entry'!$ë$946), "", 'Data Entry'!$ë$946)</f>
      </c>
      <c r="FP946">
        <f>IF(ISBLANK('Data Entry'!$ì$946), "", 'Data Entry'!$ì$946)</f>
      </c>
      <c r="FQ946">
        <f>IF(ISBLANK('Data Entry'!$í$946), "", 'Data Entry'!$í$946)</f>
      </c>
      <c r="FR946">
        <f>IF(ISBLANK('Data Entry'!$î$946), "", 'Data Entry'!$î$946)</f>
      </c>
      <c r="FS946">
        <f>IF(ISBLANK('Data Entry'!$ï$946), "", 'Data Entry'!$ï$946)</f>
      </c>
      <c r="FT946">
        <f>IF(ISBLANK('Data Entry'!$ð$946), "", 'Data Entry'!$ð$946)</f>
      </c>
      <c r="FU946">
        <f>IF(ISBLANK('Data Entry'!$ñ$946), "", 'Data Entry'!$ñ$946)</f>
      </c>
      <c r="FV946">
        <f>IF(ISBLANK('Data Entry'!$ò$946), "", 'Data Entry'!$ò$946)</f>
      </c>
      <c r="FW946">
        <f>IF(ISBLANK('Data Entry'!$ó$946), "", 'Data Entry'!$ó$946)</f>
      </c>
      <c r="FX946">
        <f>IF(ISBLANK('Data Entry'!$ô$946), "", 'Data Entry'!$ô$946)</f>
      </c>
      <c r="FY946">
        <f>IF(ISBLANK('Data Entry'!$õ$946), "", 'Data Entry'!$õ$946)</f>
      </c>
      <c r="FZ946">
        <f>IF(ISBLANK('Data Entry'!$ö$946), "", 'Data Entry'!$ö$946)</f>
      </c>
      <c r="GA946">
        <f>IF(ISBLANK('Data Entry'!$÷$946), "", 'Data Entry'!$÷$946)</f>
      </c>
      <c r="GB946">
        <f>IF(ISBLANK('Data Entry'!$ø$946), "", 'Data Entry'!$ø$946)</f>
      </c>
      <c r="GC946">
        <f>IF(ISBLANK('Data Entry'!$ù$946), "", 'Data Entry'!$ù$946)</f>
      </c>
      <c r="GD946">
        <f>IF(ISBLANK('Data Entry'!$ú$946), "", 'Data Entry'!$ú$946)</f>
      </c>
      <c r="GE946">
        <f>IF(ISBLANK('Data Entry'!$û$946), "", 'Data Entry'!$û$946)</f>
      </c>
      <c r="GF946">
        <f>IF(ISBLANK('Data Entry'!$ü$946), "", 'Data Entry'!$ü$946)</f>
      </c>
      <c r="GG946">
        <f>IF(ISBLANK('Data Entry'!$ý$946), "", 'Data Entry'!$ý$946)</f>
      </c>
      <c r="GH946">
        <f>IF(ISBLANK('Data Entry'!$þ$946), "", 'Data Entry'!$þ$946)</f>
      </c>
      <c r="GI946">
        <f>IF(ISBLANK('Data Entry'!$ÿ$946), "", 'Data Entry'!$ÿ$946)</f>
      </c>
      <c r="GJ946">
        <f>IF(ISBLANK('Data Entry'!$Ā$946), "", 'Data Entry'!$Ā$946)</f>
      </c>
      <c r="GK946">
        <f>IF(ISBLANK('Data Entry'!$ā$946), "", 'Data Entry'!$ā$946)</f>
      </c>
      <c r="GL946">
        <f>IF(ISBLANK('Data Entry'!$Ă$946), "", 'Data Entry'!$Ă$946)</f>
      </c>
      <c r="GM946">
        <f>IF(ISBLANK('Data Entry'!$ă$946), "", 'Data Entry'!$ă$946)</f>
      </c>
      <c r="GN946">
        <f>IF(ISBLANK('Data Entry'!$Ą$946), "", 'Data Entry'!$Ą$946)</f>
      </c>
      <c r="GO946">
        <f>IF(ISBLANK('Data Entry'!$ą$946), "", 'Data Entry'!$ą$946)</f>
      </c>
      <c r="GP946">
        <f>IF(ISBLANK('Data Entry'!$Ć$946), "", 'Data Entry'!$Ć$946)</f>
      </c>
      <c r="GQ946">
        <f>IF(ISBLANK('Data Entry'!$ć$946), "", 'Data Entry'!$ć$946)</f>
      </c>
      <c r="GR946">
        <f>IF(ISBLANK('Data Entry'!$Ĉ$946), "", 'Data Entry'!$Ĉ$946)</f>
      </c>
      <c r="GS946">
        <f>IF(ISBLANK('Data Entry'!$ĉ$946), "", 'Data Entry'!$ĉ$946)</f>
      </c>
      <c r="GT946">
        <f>IF(ISBLANK('Data Entry'!$Ċ$946), "", 'Data Entry'!$Ċ$946)</f>
      </c>
      <c r="GU946">
        <f>IF(ISBLANK('Data Entry'!$ċ$946), "", 'Data Entry'!$ċ$946)</f>
      </c>
      <c r="GV946">
        <f>IF(ISBLANK('Data Entry'!$Č$946), "", 'Data Entry'!$Č$946)</f>
      </c>
      <c r="GW946">
        <f>IF(ISBLANK('Data Entry'!$č$946), "", 'Data Entry'!$č$946)</f>
      </c>
      <c r="GX946">
        <f>IF(ISBLANK('Data Entry'!$Ď$946), "", 'Data Entry'!$Ď$946)</f>
      </c>
      <c r="GY946">
        <f>IF(ISBLANK('Data Entry'!$ď$946), "", 'Data Entry'!$ď$946)</f>
      </c>
      <c r="GZ946">
        <f>IF(ISBLANK('Data Entry'!$Đ$946), "", 'Data Entry'!$Đ$946)</f>
      </c>
      <c r="HA946">
        <f>IF(ISBLANK('Data Entry'!$đ$946), "", 'Data Entry'!$đ$946)</f>
      </c>
      <c r="HB946">
        <f>IF(ISBLANK('Data Entry'!$Ē$946), "", 'Data Entry'!$Ē$946)</f>
      </c>
      <c r="HC946">
        <f>IF(ISBLANK('Data Entry'!$ē$946), "", 'Data Entry'!$ē$946)</f>
      </c>
      <c r="HD946">
        <f>IF(ISBLANK('Data Entry'!$Ĕ$946), "", 'Data Entry'!$Ĕ$946)</f>
      </c>
      <c r="HE946">
        <f>IF(ISBLANK('Data Entry'!$ĕ$946), "", 'Data Entry'!$ĕ$946)</f>
      </c>
      <c r="HF946">
        <f>IF(ISBLANK('Data Entry'!$Ė$946), "", 'Data Entry'!$Ė$946)</f>
      </c>
      <c r="HG946">
        <f>IF(ISBLANK('Data Entry'!$ė$946), "", 'Data Entry'!$ė$946)</f>
      </c>
      <c r="HH946">
        <f>IF(ISBLANK('Data Entry'!$Ę$946), "", 'Data Entry'!$Ę$946)</f>
      </c>
      <c r="HI946">
        <f>IF(ISBLANK('Data Entry'!$ę$946), "", 'Data Entry'!$ę$946)</f>
      </c>
      <c r="HJ946">
        <f>IF(ISBLANK('Data Entry'!$Ě$946), "", 'Data Entry'!$Ě$946)</f>
      </c>
      <c r="HK946">
        <f>IF(ISBLANK('Data Entry'!$ě$946), "", 'Data Entry'!$ě$946)</f>
      </c>
      <c r="HL946">
        <f>IF(ISBLANK('Data Entry'!$Ĝ$946), "", 'Data Entry'!$Ĝ$946)</f>
      </c>
      <c r="HM946">
        <f>IF(ISBLANK('Data Entry'!$ĝ$946), "", 'Data Entry'!$ĝ$946)</f>
      </c>
      <c r="HN946">
        <f>IF(ISBLANK('Data Entry'!$Ğ$946), "", 'Data Entry'!$Ğ$946)</f>
      </c>
      <c r="HO946">
        <f>IF(ISBLANK('Data Entry'!$ğ$946), "", 'Data Entry'!$ğ$946)</f>
      </c>
      <c r="HP946">
        <f>IF(ISBLANK('Data Entry'!$Ġ$946), "", 'Data Entry'!$Ġ$946)</f>
      </c>
      <c r="HQ946">
        <f>IF(ISBLANK('Data Entry'!$ġ$946), "", 'Data Entry'!$ġ$946)</f>
      </c>
      <c r="HR946">
        <f>IF(ISBLANK('Data Entry'!$Ģ$946), "", 'Data Entry'!$Ģ$946)</f>
      </c>
      <c r="HS946">
        <f>IF(ISBLANK('Data Entry'!$ģ$946), "", 'Data Entry'!$ģ$946)</f>
      </c>
      <c r="HT946">
        <f>IF(ISBLANK('Data Entry'!$Ĥ$946), "", 'Data Entry'!$Ĥ$946)</f>
      </c>
      <c r="HU946">
        <f>IF(ISBLANK('Data Entry'!$ĥ$946), "", 'Data Entry'!$ĥ$946)</f>
      </c>
      <c r="HV946">
        <f>IF(ISBLANK('Data Entry'!$Ħ$946), "", 'Data Entry'!$Ħ$946)</f>
      </c>
      <c r="HW946">
        <f>IF(ISBLANK('Data Entry'!$ħ$946), "", 'Data Entry'!$ħ$946)</f>
      </c>
      <c r="HX946">
        <f>IF(ISBLANK('Data Entry'!$Ĩ$946), "", 'Data Entry'!$Ĩ$946)</f>
      </c>
      <c r="HY946">
        <f>IF(ISBLANK('Data Entry'!$ĩ$946), "", 'Data Entry'!$ĩ$946)</f>
      </c>
      <c r="HZ946">
        <f>IF(ISBLANK('Data Entry'!$Ī$946), "", 'Data Entry'!$Ī$946)</f>
      </c>
      <c r="IA946">
        <f>IF(ISBLANK('Data Entry'!$ī$946), "", 'Data Entry'!$ī$946)</f>
      </c>
      <c r="IB946">
        <f>IF(ISBLANK('Data Entry'!$Ĭ$946), "", 'Data Entry'!$Ĭ$946)</f>
      </c>
      <c r="IC946">
        <f>IF(ISBLANK('Data Entry'!$ĭ$946), "", 'Data Entry'!$ĭ$946)</f>
      </c>
      <c r="ID946">
        <f>IF(ISBLANK('Data Entry'!$Į$946), "", 'Data Entry'!$Į$946)</f>
      </c>
      <c r="IE946">
        <f>IF(ISBLANK('Data Entry'!$į$946), "", 'Data Entry'!$į$946)</f>
      </c>
      <c r="IF946">
        <f>IF(ISBLANK('Data Entry'!$İ$946), "", 'Data Entry'!$İ$946)</f>
      </c>
      <c r="IG946">
        <f>IF(ISBLANK('Data Entry'!$ı$946), "", 'Data Entry'!$ı$946)</f>
      </c>
      <c r="IH946">
        <f>IF(ISBLANK('Data Entry'!$Ĳ$946), "", 'Data Entry'!$Ĳ$946)</f>
      </c>
      <c r="II946">
        <f>IF(ISBLANK('Data Entry'!$ĳ$946), "", 'Data Entry'!$ĳ$946)</f>
      </c>
      <c r="IJ946">
        <f>IF(ISBLANK('Data Entry'!$Ĵ$946), "", 'Data Entry'!$Ĵ$946)</f>
      </c>
      <c r="IK946">
        <f>IF(ISBLANK('Data Entry'!$ĵ$946), "", 'Data Entry'!$ĵ$946)</f>
      </c>
      <c r="IL946">
        <f>IF(ISBLANK('Data Entry'!$Ķ$946), "", 'Data Entry'!$Ķ$946)</f>
      </c>
      <c r="IM946">
        <f>IF(ISBLANK('Data Entry'!$ķ$946), "", 'Data Entry'!$ķ$946)</f>
      </c>
      <c r="IN946">
        <f>IF(ISBLANK('Data Entry'!$ĸ$946), "", 'Data Entry'!$ĸ$946)</f>
      </c>
      <c r="IO946">
        <f>IF(ISBLANK('Data Entry'!$Ĺ$946), "", 'Data Entry'!$Ĺ$946)</f>
      </c>
      <c r="IP946">
        <f>IF(ISBLANK('Data Entry'!$ĺ$946), "", 'Data Entry'!$ĺ$946)</f>
      </c>
      <c r="IQ946">
        <f>IF(ISBLANK('Data Entry'!$Ļ$946), "", 'Data Entry'!$Ļ$946)</f>
      </c>
      <c r="IR946">
        <f>IF(ISBLANK('Data Entry'!$ļ$946), "", 'Data Entry'!$ļ$946)</f>
      </c>
      <c r="IS946">
        <f>IF(ISBLANK('Data Entry'!$Ľ$946), "", 'Data Entry'!$Ľ$946)</f>
      </c>
      <c r="IT946">
        <f>IF(ISBLANK('Data Entry'!$ľ$946), "", 'Data Entry'!$ľ$946)</f>
      </c>
    </row>
    <row r="947" spans="1:254" x14ac:dyDescent="0.25">
      <c r="A947">
        <f>IF(ISBLANK('Data Entry'!$A$947), "", 'Data Entry'!$A$947)</f>
      </c>
      <c r="B947">
        <f>IF(ISBLANK('Data Entry'!$B$947), "", 'Data Entry'!$B$947)</f>
      </c>
      <c r="C947">
        <f>IF(ISBLANK('Data Entry'!$C$947), "", 'Data Entry'!$C$947)</f>
      </c>
      <c r="D947">
        <f>IF(ISBLANK('Data Entry'!$D$947), "", 'Data Entry'!$D$947)</f>
      </c>
      <c r="E947">
        <f>IF(ISBLANK('Data Entry'!$E$947), "", 'Data Entry'!$E$947)</f>
      </c>
      <c r="F947">
        <f>IF(ISBLANK('Data Entry'!$F$947), "", 'Data Entry'!$F$947)</f>
      </c>
      <c r="G947">
        <f>IF(ISBLANK('Data Entry'!$G$947), "", 'Data Entry'!$G$947)</f>
      </c>
      <c r="H947">
        <f>IF(ISBLANK('Data Entry'!$H$947), "", 'Data Entry'!$H$947)</f>
      </c>
      <c r="I947">
        <f>IF(ISBLANK('Data Entry'!$I$947), "", 'Data Entry'!$I$947)</f>
      </c>
      <c r="J947">
        <f>IF(ISBLANK('Data Entry'!$J$947), "", 'Data Entry'!$J$947)</f>
      </c>
      <c r="K947">
        <f>IF(ISBLANK('Data Entry'!$K$947), "", 'Data Entry'!$K$947)</f>
      </c>
      <c r="L947">
        <f>IF(ISBLANK('Data Entry'!$L$947), "", 'Data Entry'!$L$947)</f>
      </c>
      <c r="M947">
        <f>IF(ISBLANK('Data Entry'!$M$947), "", 'Data Entry'!$M$947)</f>
      </c>
      <c r="N947">
        <f>IF(ISBLANK('Data Entry'!$N$947), "", 'Data Entry'!$N$947)</f>
      </c>
      <c r="O947">
        <f>IF(ISBLANK('Data Entry'!$O$947), "", 'Data Entry'!$O$947)</f>
      </c>
      <c r="P947">
        <f>IF(ISBLANK('Data Entry'!$P$947), "", 'Data Entry'!$P$947)</f>
      </c>
      <c r="Q947">
        <f>IF(ISBLANK('Data Entry'!$Q$947), "", 'Data Entry'!$Q$947)</f>
      </c>
      <c r="R947">
        <f>IF(ISBLANK('Data Entry'!$R$947), "", 'Data Entry'!$R$947)</f>
      </c>
      <c r="S947">
        <f>IF(ISBLANK('Data Entry'!$S$947), "", 'Data Entry'!$S$947)</f>
      </c>
      <c r="T947">
        <f>IF(ISBLANK('Data Entry'!$T$947), "", 'Data Entry'!$T$947)</f>
      </c>
      <c r="U947">
        <f>IF(ISBLANK('Data Entry'!$U$947), "", 'Data Entry'!$U$947)</f>
      </c>
      <c r="V947">
        <f>IF(ISBLANK('Data Entry'!$V$947), "", 'Data Entry'!$V$947)</f>
      </c>
      <c r="W947">
        <f>IF(ISBLANK('Data Entry'!$W$947), "", 'Data Entry'!$W$947)</f>
      </c>
      <c r="X947">
        <f>IF(ISBLANK('Data Entry'!$X$947), "", 'Data Entry'!$X$947)</f>
      </c>
      <c r="Y947">
        <f>IF(ISBLANK('Data Entry'!$Y$947), "", 'Data Entry'!$Y$947)</f>
      </c>
      <c r="Z947">
        <f>IF(ISBLANK('Data Entry'!$Z$947), "", 'Data Entry'!$Z$947)</f>
      </c>
      <c r="AA947">
        <f>IF(ISBLANK('Data Entry'!$[$947), "", 'Data Entry'!$[$947)</f>
      </c>
      <c r="AB947">
        <f>IF(ISBLANK('Data Entry'!$\$947), "", 'Data Entry'!$\$947)</f>
      </c>
      <c r="AC947">
        <f>IF(ISBLANK('Data Entry'!$]$947), "", 'Data Entry'!$]$947)</f>
      </c>
      <c r="AD947">
        <f>IF(ISBLANK('Data Entry'!$^$947), "", 'Data Entry'!$^$947)</f>
      </c>
      <c r="AE947">
        <f>IF(ISBLANK('Data Entry'!$_$947), "", 'Data Entry'!$_$947)</f>
      </c>
      <c r="AF947">
        <f>IF(ISBLANK('Data Entry'!$`$947), "", 'Data Entry'!$`$947)</f>
      </c>
      <c r="AG947">
        <f>IF(ISBLANK('Data Entry'!$a$947), "", 'Data Entry'!$a$947)</f>
      </c>
      <c r="AH947">
        <f>IF(ISBLANK('Data Entry'!$b$947), "", 'Data Entry'!$b$947)</f>
      </c>
      <c r="AI947">
        <f>IF(ISBLANK('Data Entry'!$c$947), "", 'Data Entry'!$c$947)</f>
      </c>
      <c r="AJ947">
        <f>IF(ISBLANK('Data Entry'!$d$947), "", 'Data Entry'!$d$947)</f>
      </c>
      <c r="AK947">
        <f>IF(ISBLANK('Data Entry'!$e$947), "", 'Data Entry'!$e$947)</f>
      </c>
      <c r="AL947">
        <f>IF(ISBLANK('Data Entry'!$f$947), "", 'Data Entry'!$f$947)</f>
      </c>
      <c r="AM947">
        <f>IF(ISBLANK('Data Entry'!$g$947), "", 'Data Entry'!$g$947)</f>
      </c>
      <c r="AN947">
        <f>IF(ISBLANK('Data Entry'!$h$947), "", 'Data Entry'!$h$947)</f>
      </c>
      <c r="AO947">
        <f>IF(ISBLANK('Data Entry'!$i$947), "", 'Data Entry'!$i$947)</f>
      </c>
      <c r="AP947">
        <f>IF(ISBLANK('Data Entry'!$j$947), "", 'Data Entry'!$j$947)</f>
      </c>
      <c r="AQ947">
        <f>IF(ISBLANK('Data Entry'!$k$947), "", 'Data Entry'!$k$947)</f>
      </c>
      <c r="AR947">
        <f>IF(ISBLANK('Data Entry'!$l$947), "", 'Data Entry'!$l$947)</f>
      </c>
      <c r="AS947">
        <f>IF(ISBLANK('Data Entry'!$m$947), "", 'Data Entry'!$m$947)</f>
      </c>
      <c r="AT947">
        <f>IF(ISBLANK('Data Entry'!$n$947), "", 'Data Entry'!$n$947)</f>
      </c>
      <c r="AU947">
        <f>IF(ISBLANK('Data Entry'!$o$947), "", 'Data Entry'!$o$947)</f>
      </c>
      <c r="AV947">
        <f>IF(ISBLANK('Data Entry'!$p$947), "", 'Data Entry'!$p$947)</f>
      </c>
      <c r="AW947">
        <f>IF(ISBLANK('Data Entry'!$q$947), "", 'Data Entry'!$q$947)</f>
      </c>
      <c r="AX947">
        <f>IF(ISBLANK('Data Entry'!$r$947), "", 'Data Entry'!$r$947)</f>
      </c>
      <c r="AY947">
        <f>IF(ISBLANK('Data Entry'!$s$947), "", 'Data Entry'!$s$947)</f>
      </c>
      <c r="AZ947">
        <f>IF(ISBLANK('Data Entry'!$t$947), "", 'Data Entry'!$t$947)</f>
      </c>
      <c r="BA947">
        <f>IF(ISBLANK('Data Entry'!$u$947), "", 'Data Entry'!$u$947)</f>
      </c>
      <c r="BB947">
        <f>IF(ISBLANK('Data Entry'!$v$947), "", 'Data Entry'!$v$947)</f>
      </c>
      <c r="BC947">
        <f>IF(ISBLANK('Data Entry'!$w$947), "", 'Data Entry'!$w$947)</f>
      </c>
      <c r="BD947">
        <f>IF(ISBLANK('Data Entry'!$x$947), "", 'Data Entry'!$x$947)</f>
      </c>
      <c r="BE947">
        <f>IF(ISBLANK('Data Entry'!$y$947), "", 'Data Entry'!$y$947)</f>
      </c>
      <c r="BF947">
        <f>IF(ISBLANK('Data Entry'!$z$947), "", 'Data Entry'!$z$947)</f>
      </c>
      <c r="BG947">
        <f>IF(ISBLANK('Data Entry'!${$947), "", 'Data Entry'!${$947)</f>
      </c>
      <c r="BH947">
        <f>IF(ISBLANK('Data Entry'!$|$947), "", 'Data Entry'!$|$947)</f>
      </c>
      <c r="BI947">
        <f>IF(ISBLANK('Data Entry'!$}$947), "", 'Data Entry'!$}$947)</f>
      </c>
      <c r="BJ947">
        <f>IF(ISBLANK('Data Entry'!$~$947), "", 'Data Entry'!$~$947)</f>
      </c>
      <c r="BK947">
        <f>IF(ISBLANK('Data Entry'!$$947), "", 'Data Entry'!$$947)</f>
      </c>
      <c r="BL947">
        <f>IF(ISBLANK('Data Entry'!$$947), "", 'Data Entry'!$$947)</f>
      </c>
      <c r="BM947">
        <f>IF(ISBLANK('Data Entry'!$$947), "", 'Data Entry'!$$947)</f>
      </c>
      <c r="BN947">
        <f>IF(ISBLANK('Data Entry'!$$947), "", 'Data Entry'!$$947)</f>
      </c>
      <c r="BO947">
        <f>IF(ISBLANK('Data Entry'!$$947), "", 'Data Entry'!$$947)</f>
      </c>
      <c r="BP947">
        <f>IF(ISBLANK('Data Entry'!$$947), "", 'Data Entry'!$$947)</f>
      </c>
      <c r="BQ947">
        <f>IF(ISBLANK('Data Entry'!$$947), "", 'Data Entry'!$$947)</f>
      </c>
      <c r="BR947">
        <f>IF(ISBLANK('Data Entry'!$$947), "", 'Data Entry'!$$947)</f>
      </c>
      <c r="BS947">
        <f>IF(ISBLANK('Data Entry'!$$947), "", 'Data Entry'!$$947)</f>
      </c>
      <c r="BT947">
        <f>IF(ISBLANK('Data Entry'!$$947), "", 'Data Entry'!$$947)</f>
      </c>
      <c r="BU947">
        <f>IF(ISBLANK('Data Entry'!$$947), "", 'Data Entry'!$$947)</f>
      </c>
      <c r="BV947">
        <f>IF(ISBLANK('Data Entry'!$$947), "", 'Data Entry'!$$947)</f>
      </c>
      <c r="BW947">
        <f>IF(ISBLANK('Data Entry'!$$947), "", 'Data Entry'!$$947)</f>
      </c>
      <c r="BX947">
        <f>IF(ISBLANK('Data Entry'!$$947), "", 'Data Entry'!$$947)</f>
      </c>
      <c r="BY947">
        <f>IF(ISBLANK('Data Entry'!$$947), "", 'Data Entry'!$$947)</f>
      </c>
      <c r="BZ947">
        <f>IF(ISBLANK('Data Entry'!$$947), "", 'Data Entry'!$$947)</f>
      </c>
      <c r="CA947">
        <f>IF(ISBLANK('Data Entry'!$$947), "", 'Data Entry'!$$947)</f>
      </c>
      <c r="CB947">
        <f>IF(ISBLANK('Data Entry'!$$947), "", 'Data Entry'!$$947)</f>
      </c>
      <c r="CC947">
        <f>IF(ISBLANK('Data Entry'!$$947), "", 'Data Entry'!$$947)</f>
      </c>
      <c r="CD947">
        <f>IF(ISBLANK('Data Entry'!$$947), "", 'Data Entry'!$$947)</f>
      </c>
      <c r="CE947">
        <f>IF(ISBLANK('Data Entry'!$$947), "", 'Data Entry'!$$947)</f>
      </c>
      <c r="CF947">
        <f>IF(ISBLANK('Data Entry'!$$947), "", 'Data Entry'!$$947)</f>
      </c>
      <c r="CG947">
        <f>IF(ISBLANK('Data Entry'!$$947), "", 'Data Entry'!$$947)</f>
      </c>
      <c r="CH947">
        <f>IF(ISBLANK('Data Entry'!$$947), "", 'Data Entry'!$$947)</f>
      </c>
      <c r="CI947">
        <f>IF(ISBLANK('Data Entry'!$$947), "", 'Data Entry'!$$947)</f>
      </c>
      <c r="CJ947">
        <f>IF(ISBLANK('Data Entry'!$$947), "", 'Data Entry'!$$947)</f>
      </c>
      <c r="CK947">
        <f>IF(ISBLANK('Data Entry'!$$947), "", 'Data Entry'!$$947)</f>
      </c>
      <c r="CL947">
        <f>IF(ISBLANK('Data Entry'!$$947), "", 'Data Entry'!$$947)</f>
      </c>
      <c r="CM947">
        <f>IF(ISBLANK('Data Entry'!$$947), "", 'Data Entry'!$$947)</f>
      </c>
      <c r="CN947">
        <f>IF(ISBLANK('Data Entry'!$$947), "", 'Data Entry'!$$947)</f>
      </c>
      <c r="CO947">
        <f>IF(ISBLANK('Data Entry'!$$947), "", 'Data Entry'!$$947)</f>
      </c>
      <c r="CP947">
        <f>IF(ISBLANK('Data Entry'!$$947), "", 'Data Entry'!$$947)</f>
      </c>
      <c r="CQ947">
        <f>IF(ISBLANK('Data Entry'!$$947), "", 'Data Entry'!$$947)</f>
      </c>
      <c r="CR947">
        <f>IF(ISBLANK('Data Entry'!$ $947), "", 'Data Entry'!$ $947)</f>
      </c>
      <c r="CS947">
        <f>IF(ISBLANK('Data Entry'!$¡$947), "", 'Data Entry'!$¡$947)</f>
      </c>
      <c r="CT947">
        <f>IF(ISBLANK('Data Entry'!$¢$947), "", 'Data Entry'!$¢$947)</f>
      </c>
      <c r="CU947">
        <f>IF(ISBLANK('Data Entry'!$£$947), "", 'Data Entry'!$£$947)</f>
      </c>
      <c r="CV947">
        <f>IF(ISBLANK('Data Entry'!$¤$947), "", 'Data Entry'!$¤$947)</f>
      </c>
      <c r="CW947">
        <f>IF(ISBLANK('Data Entry'!$¥$947), "", 'Data Entry'!$¥$947)</f>
      </c>
      <c r="CX947">
        <f>IF(ISBLANK('Data Entry'!$¦$947), "", 'Data Entry'!$¦$947)</f>
      </c>
      <c r="CY947">
        <f>IF(ISBLANK('Data Entry'!$§$947), "", 'Data Entry'!$§$947)</f>
      </c>
      <c r="CZ947">
        <f>IF(ISBLANK('Data Entry'!$¨$947), "", 'Data Entry'!$¨$947)</f>
      </c>
      <c r="DA947">
        <f>IF(ISBLANK('Data Entry'!$©$947), "", 'Data Entry'!$©$947)</f>
      </c>
      <c r="DB947">
        <f>IF(ISBLANK('Data Entry'!$ª$947), "", 'Data Entry'!$ª$947)</f>
      </c>
      <c r="DC947">
        <f>IF(ISBLANK('Data Entry'!$«$947), "", 'Data Entry'!$«$947)</f>
      </c>
      <c r="DD947">
        <f>IF(ISBLANK('Data Entry'!$¬$947), "", 'Data Entry'!$¬$947)</f>
      </c>
      <c r="DE947">
        <f>IF(ISBLANK('Data Entry'!$­$947), "", 'Data Entry'!$­$947)</f>
      </c>
      <c r="DF947">
        <f>IF(ISBLANK('Data Entry'!$®$947), "", 'Data Entry'!$®$947)</f>
      </c>
      <c r="DG947">
        <f>IF(ISBLANK('Data Entry'!$¯$947), "", 'Data Entry'!$¯$947)</f>
      </c>
      <c r="DH947">
        <f>IF(ISBLANK('Data Entry'!$°$947), "", 'Data Entry'!$°$947)</f>
      </c>
      <c r="DI947">
        <f>IF(ISBLANK('Data Entry'!$±$947), "", 'Data Entry'!$±$947)</f>
      </c>
      <c r="DJ947">
        <f>IF(ISBLANK('Data Entry'!$²$947), "", 'Data Entry'!$²$947)</f>
      </c>
      <c r="DK947">
        <f>IF(ISBLANK('Data Entry'!$³$947), "", 'Data Entry'!$³$947)</f>
      </c>
      <c r="DL947">
        <f>IF(ISBLANK('Data Entry'!$´$947), "", 'Data Entry'!$´$947)</f>
      </c>
      <c r="DM947">
        <f>IF(ISBLANK('Data Entry'!$µ$947), "", 'Data Entry'!$µ$947)</f>
      </c>
      <c r="DN947">
        <f>IF(ISBLANK('Data Entry'!$¶$947), "", 'Data Entry'!$¶$947)</f>
      </c>
      <c r="DO947">
        <f>IF(ISBLANK('Data Entry'!$·$947), "", 'Data Entry'!$·$947)</f>
      </c>
      <c r="DP947">
        <f>IF(ISBLANK('Data Entry'!$¸$947), "", 'Data Entry'!$¸$947)</f>
      </c>
      <c r="DQ947">
        <f>IF(ISBLANK('Data Entry'!$¹$947), "", 'Data Entry'!$¹$947)</f>
      </c>
      <c r="DR947">
        <f>IF(ISBLANK('Data Entry'!$º$947), "", 'Data Entry'!$º$947)</f>
      </c>
      <c r="DS947">
        <f>IF(ISBLANK('Data Entry'!$»$947), "", 'Data Entry'!$»$947)</f>
      </c>
      <c r="DT947">
        <f>IF(ISBLANK('Data Entry'!$¼$947), "", 'Data Entry'!$¼$947)</f>
      </c>
      <c r="DU947">
        <f>IF(ISBLANK('Data Entry'!$½$947), "", 'Data Entry'!$½$947)</f>
      </c>
      <c r="DV947">
        <f>IF(ISBLANK('Data Entry'!$¾$947), "", 'Data Entry'!$¾$947)</f>
      </c>
      <c r="DW947">
        <f>IF(ISBLANK('Data Entry'!$¿$947), "", 'Data Entry'!$¿$947)</f>
      </c>
      <c r="DX947">
        <f>IF(ISBLANK('Data Entry'!$À$947), "", 'Data Entry'!$À$947)</f>
      </c>
      <c r="DY947">
        <f>IF(ISBLANK('Data Entry'!$Á$947), "", 'Data Entry'!$Á$947)</f>
      </c>
      <c r="DZ947">
        <f>IF(ISBLANK('Data Entry'!$Â$947), "", 'Data Entry'!$Â$947)</f>
      </c>
      <c r="EA947">
        <f>IF(ISBLANK('Data Entry'!$Ã$947), "", 'Data Entry'!$Ã$947)</f>
      </c>
      <c r="EB947">
        <f>IF(ISBLANK('Data Entry'!$Ä$947), "", 'Data Entry'!$Ä$947)</f>
      </c>
      <c r="EC947">
        <f>IF(ISBLANK('Data Entry'!$Å$947), "", 'Data Entry'!$Å$947)</f>
      </c>
      <c r="ED947">
        <f>IF(ISBLANK('Data Entry'!$Æ$947), "", 'Data Entry'!$Æ$947)</f>
      </c>
      <c r="EE947">
        <f>IF(ISBLANK('Data Entry'!$Ç$947), "", 'Data Entry'!$Ç$947)</f>
      </c>
      <c r="EF947">
        <f>IF(ISBLANK('Data Entry'!$È$947), "", 'Data Entry'!$È$947)</f>
      </c>
      <c r="EG947">
        <f>IF(ISBLANK('Data Entry'!$É$947), "", 'Data Entry'!$É$947)</f>
      </c>
      <c r="EH947">
        <f>IF(ISBLANK('Data Entry'!$Ê$947), "", 'Data Entry'!$Ê$947)</f>
      </c>
      <c r="EI947">
        <f>IF(ISBLANK('Data Entry'!$Ë$947), "", 'Data Entry'!$Ë$947)</f>
      </c>
      <c r="EJ947">
        <f>IF(ISBLANK('Data Entry'!$Ì$947), "", 'Data Entry'!$Ì$947)</f>
      </c>
      <c r="EK947">
        <f>IF(ISBLANK('Data Entry'!$Í$947), "", 'Data Entry'!$Í$947)</f>
      </c>
      <c r="EL947">
        <f>IF(ISBLANK('Data Entry'!$Î$947), "", 'Data Entry'!$Î$947)</f>
      </c>
      <c r="EM947">
        <f>IF(ISBLANK('Data Entry'!$Ï$947), "", 'Data Entry'!$Ï$947)</f>
      </c>
      <c r="EN947">
        <f>IF(ISBLANK('Data Entry'!$Ð$947), "", 'Data Entry'!$Ð$947)</f>
      </c>
      <c r="EO947">
        <f>IF(ISBLANK('Data Entry'!$Ñ$947), "", 'Data Entry'!$Ñ$947)</f>
      </c>
      <c r="EP947">
        <f>IF(ISBLANK('Data Entry'!$Ò$947), "", 'Data Entry'!$Ò$947)</f>
      </c>
      <c r="EQ947">
        <f>IF(ISBLANK('Data Entry'!$Ó$947), "", 'Data Entry'!$Ó$947)</f>
      </c>
      <c r="ER947">
        <f>IF(ISBLANK('Data Entry'!$Ô$947), "", 'Data Entry'!$Ô$947)</f>
      </c>
      <c r="ES947">
        <f>IF(ISBLANK('Data Entry'!$Õ$947), "", 'Data Entry'!$Õ$947)</f>
      </c>
      <c r="ET947">
        <f>IF(ISBLANK('Data Entry'!$Ö$947), "", 'Data Entry'!$Ö$947)</f>
      </c>
      <c r="EU947">
        <f>IF(ISBLANK('Data Entry'!$×$947), "", 'Data Entry'!$×$947)</f>
      </c>
      <c r="EV947">
        <f>IF(ISBLANK('Data Entry'!$Ø$947), "", 'Data Entry'!$Ø$947)</f>
      </c>
      <c r="EW947">
        <f>IF(ISBLANK('Data Entry'!$Ù$947), "", 'Data Entry'!$Ù$947)</f>
      </c>
      <c r="EX947">
        <f>IF(ISBLANK('Data Entry'!$Ú$947), "", 'Data Entry'!$Ú$947)</f>
      </c>
      <c r="EY947">
        <f>IF(ISBLANK('Data Entry'!$Û$947), "", 'Data Entry'!$Û$947)</f>
      </c>
      <c r="EZ947">
        <f>IF(ISBLANK('Data Entry'!$Ü$947), "", 'Data Entry'!$Ü$947)</f>
      </c>
      <c r="FA947">
        <f>IF(ISBLANK('Data Entry'!$Ý$947), "", 'Data Entry'!$Ý$947)</f>
      </c>
      <c r="FB947">
        <f>IF(ISBLANK('Data Entry'!$Þ$947), "", 'Data Entry'!$Þ$947)</f>
      </c>
      <c r="FC947">
        <f>IF(ISBLANK('Data Entry'!$ß$947), "", 'Data Entry'!$ß$947)</f>
      </c>
      <c r="FD947">
        <f>IF(ISBLANK('Data Entry'!$à$947), "", 'Data Entry'!$à$947)</f>
      </c>
      <c r="FE947">
        <f>IF(ISBLANK('Data Entry'!$á$947), "", 'Data Entry'!$á$947)</f>
      </c>
      <c r="FF947">
        <f>IF(ISBLANK('Data Entry'!$â$947), "", 'Data Entry'!$â$947)</f>
      </c>
      <c r="FG947">
        <f>IF(ISBLANK('Data Entry'!$ã$947), "", 'Data Entry'!$ã$947)</f>
      </c>
      <c r="FH947">
        <f>IF(ISBLANK('Data Entry'!$ä$947), "", 'Data Entry'!$ä$947)</f>
      </c>
      <c r="FI947">
        <f>IF(ISBLANK('Data Entry'!$å$947), "", 'Data Entry'!$å$947)</f>
      </c>
      <c r="FJ947">
        <f>IF(ISBLANK('Data Entry'!$æ$947), "", 'Data Entry'!$æ$947)</f>
      </c>
      <c r="FK947">
        <f>IF(ISBLANK('Data Entry'!$ç$947), "", 'Data Entry'!$ç$947)</f>
      </c>
      <c r="FL947">
        <f>IF(ISBLANK('Data Entry'!$è$947), "", 'Data Entry'!$è$947)</f>
      </c>
      <c r="FM947">
        <f>IF(ISBLANK('Data Entry'!$é$947), "", 'Data Entry'!$é$947)</f>
      </c>
      <c r="FN947">
        <f>IF(ISBLANK('Data Entry'!$ê$947), "", 'Data Entry'!$ê$947)</f>
      </c>
      <c r="FO947">
        <f>IF(ISBLANK('Data Entry'!$ë$947), "", 'Data Entry'!$ë$947)</f>
      </c>
      <c r="FP947">
        <f>IF(ISBLANK('Data Entry'!$ì$947), "", 'Data Entry'!$ì$947)</f>
      </c>
      <c r="FQ947">
        <f>IF(ISBLANK('Data Entry'!$í$947), "", 'Data Entry'!$í$947)</f>
      </c>
      <c r="FR947">
        <f>IF(ISBLANK('Data Entry'!$î$947), "", 'Data Entry'!$î$947)</f>
      </c>
      <c r="FS947">
        <f>IF(ISBLANK('Data Entry'!$ï$947), "", 'Data Entry'!$ï$947)</f>
      </c>
      <c r="FT947">
        <f>IF(ISBLANK('Data Entry'!$ð$947), "", 'Data Entry'!$ð$947)</f>
      </c>
      <c r="FU947">
        <f>IF(ISBLANK('Data Entry'!$ñ$947), "", 'Data Entry'!$ñ$947)</f>
      </c>
      <c r="FV947">
        <f>IF(ISBLANK('Data Entry'!$ò$947), "", 'Data Entry'!$ò$947)</f>
      </c>
      <c r="FW947">
        <f>IF(ISBLANK('Data Entry'!$ó$947), "", 'Data Entry'!$ó$947)</f>
      </c>
      <c r="FX947">
        <f>IF(ISBLANK('Data Entry'!$ô$947), "", 'Data Entry'!$ô$947)</f>
      </c>
      <c r="FY947">
        <f>IF(ISBLANK('Data Entry'!$õ$947), "", 'Data Entry'!$õ$947)</f>
      </c>
      <c r="FZ947">
        <f>IF(ISBLANK('Data Entry'!$ö$947), "", 'Data Entry'!$ö$947)</f>
      </c>
      <c r="GA947">
        <f>IF(ISBLANK('Data Entry'!$÷$947), "", 'Data Entry'!$÷$947)</f>
      </c>
      <c r="GB947">
        <f>IF(ISBLANK('Data Entry'!$ø$947), "", 'Data Entry'!$ø$947)</f>
      </c>
      <c r="GC947">
        <f>IF(ISBLANK('Data Entry'!$ù$947), "", 'Data Entry'!$ù$947)</f>
      </c>
      <c r="GD947">
        <f>IF(ISBLANK('Data Entry'!$ú$947), "", 'Data Entry'!$ú$947)</f>
      </c>
      <c r="GE947">
        <f>IF(ISBLANK('Data Entry'!$û$947), "", 'Data Entry'!$û$947)</f>
      </c>
      <c r="GF947">
        <f>IF(ISBLANK('Data Entry'!$ü$947), "", 'Data Entry'!$ü$947)</f>
      </c>
      <c r="GG947">
        <f>IF(ISBLANK('Data Entry'!$ý$947), "", 'Data Entry'!$ý$947)</f>
      </c>
      <c r="GH947">
        <f>IF(ISBLANK('Data Entry'!$þ$947), "", 'Data Entry'!$þ$947)</f>
      </c>
      <c r="GI947">
        <f>IF(ISBLANK('Data Entry'!$ÿ$947), "", 'Data Entry'!$ÿ$947)</f>
      </c>
      <c r="GJ947">
        <f>IF(ISBLANK('Data Entry'!$Ā$947), "", 'Data Entry'!$Ā$947)</f>
      </c>
      <c r="GK947">
        <f>IF(ISBLANK('Data Entry'!$ā$947), "", 'Data Entry'!$ā$947)</f>
      </c>
      <c r="GL947">
        <f>IF(ISBLANK('Data Entry'!$Ă$947), "", 'Data Entry'!$Ă$947)</f>
      </c>
      <c r="GM947">
        <f>IF(ISBLANK('Data Entry'!$ă$947), "", 'Data Entry'!$ă$947)</f>
      </c>
      <c r="GN947">
        <f>IF(ISBLANK('Data Entry'!$Ą$947), "", 'Data Entry'!$Ą$947)</f>
      </c>
      <c r="GO947">
        <f>IF(ISBLANK('Data Entry'!$ą$947), "", 'Data Entry'!$ą$947)</f>
      </c>
      <c r="GP947">
        <f>IF(ISBLANK('Data Entry'!$Ć$947), "", 'Data Entry'!$Ć$947)</f>
      </c>
      <c r="GQ947">
        <f>IF(ISBLANK('Data Entry'!$ć$947), "", 'Data Entry'!$ć$947)</f>
      </c>
      <c r="GR947">
        <f>IF(ISBLANK('Data Entry'!$Ĉ$947), "", 'Data Entry'!$Ĉ$947)</f>
      </c>
      <c r="GS947">
        <f>IF(ISBLANK('Data Entry'!$ĉ$947), "", 'Data Entry'!$ĉ$947)</f>
      </c>
      <c r="GT947">
        <f>IF(ISBLANK('Data Entry'!$Ċ$947), "", 'Data Entry'!$Ċ$947)</f>
      </c>
      <c r="GU947">
        <f>IF(ISBLANK('Data Entry'!$ċ$947), "", 'Data Entry'!$ċ$947)</f>
      </c>
      <c r="GV947">
        <f>IF(ISBLANK('Data Entry'!$Č$947), "", 'Data Entry'!$Č$947)</f>
      </c>
      <c r="GW947">
        <f>IF(ISBLANK('Data Entry'!$č$947), "", 'Data Entry'!$č$947)</f>
      </c>
      <c r="GX947">
        <f>IF(ISBLANK('Data Entry'!$Ď$947), "", 'Data Entry'!$Ď$947)</f>
      </c>
      <c r="GY947">
        <f>IF(ISBLANK('Data Entry'!$ď$947), "", 'Data Entry'!$ď$947)</f>
      </c>
      <c r="GZ947">
        <f>IF(ISBLANK('Data Entry'!$Đ$947), "", 'Data Entry'!$Đ$947)</f>
      </c>
      <c r="HA947">
        <f>IF(ISBLANK('Data Entry'!$đ$947), "", 'Data Entry'!$đ$947)</f>
      </c>
      <c r="HB947">
        <f>IF(ISBLANK('Data Entry'!$Ē$947), "", 'Data Entry'!$Ē$947)</f>
      </c>
      <c r="HC947">
        <f>IF(ISBLANK('Data Entry'!$ē$947), "", 'Data Entry'!$ē$947)</f>
      </c>
      <c r="HD947">
        <f>IF(ISBLANK('Data Entry'!$Ĕ$947), "", 'Data Entry'!$Ĕ$947)</f>
      </c>
      <c r="HE947">
        <f>IF(ISBLANK('Data Entry'!$ĕ$947), "", 'Data Entry'!$ĕ$947)</f>
      </c>
      <c r="HF947">
        <f>IF(ISBLANK('Data Entry'!$Ė$947), "", 'Data Entry'!$Ė$947)</f>
      </c>
      <c r="HG947">
        <f>IF(ISBLANK('Data Entry'!$ė$947), "", 'Data Entry'!$ė$947)</f>
      </c>
      <c r="HH947">
        <f>IF(ISBLANK('Data Entry'!$Ę$947), "", 'Data Entry'!$Ę$947)</f>
      </c>
      <c r="HI947">
        <f>IF(ISBLANK('Data Entry'!$ę$947), "", 'Data Entry'!$ę$947)</f>
      </c>
      <c r="HJ947">
        <f>IF(ISBLANK('Data Entry'!$Ě$947), "", 'Data Entry'!$Ě$947)</f>
      </c>
      <c r="HK947">
        <f>IF(ISBLANK('Data Entry'!$ě$947), "", 'Data Entry'!$ě$947)</f>
      </c>
      <c r="HL947">
        <f>IF(ISBLANK('Data Entry'!$Ĝ$947), "", 'Data Entry'!$Ĝ$947)</f>
      </c>
      <c r="HM947">
        <f>IF(ISBLANK('Data Entry'!$ĝ$947), "", 'Data Entry'!$ĝ$947)</f>
      </c>
      <c r="HN947">
        <f>IF(ISBLANK('Data Entry'!$Ğ$947), "", 'Data Entry'!$Ğ$947)</f>
      </c>
      <c r="HO947">
        <f>IF(ISBLANK('Data Entry'!$ğ$947), "", 'Data Entry'!$ğ$947)</f>
      </c>
      <c r="HP947">
        <f>IF(ISBLANK('Data Entry'!$Ġ$947), "", 'Data Entry'!$Ġ$947)</f>
      </c>
      <c r="HQ947">
        <f>IF(ISBLANK('Data Entry'!$ġ$947), "", 'Data Entry'!$ġ$947)</f>
      </c>
      <c r="HR947">
        <f>IF(ISBLANK('Data Entry'!$Ģ$947), "", 'Data Entry'!$Ģ$947)</f>
      </c>
      <c r="HS947">
        <f>IF(ISBLANK('Data Entry'!$ģ$947), "", 'Data Entry'!$ģ$947)</f>
      </c>
      <c r="HT947">
        <f>IF(ISBLANK('Data Entry'!$Ĥ$947), "", 'Data Entry'!$Ĥ$947)</f>
      </c>
      <c r="HU947">
        <f>IF(ISBLANK('Data Entry'!$ĥ$947), "", 'Data Entry'!$ĥ$947)</f>
      </c>
      <c r="HV947">
        <f>IF(ISBLANK('Data Entry'!$Ħ$947), "", 'Data Entry'!$Ħ$947)</f>
      </c>
      <c r="HW947">
        <f>IF(ISBLANK('Data Entry'!$ħ$947), "", 'Data Entry'!$ħ$947)</f>
      </c>
      <c r="HX947">
        <f>IF(ISBLANK('Data Entry'!$Ĩ$947), "", 'Data Entry'!$Ĩ$947)</f>
      </c>
      <c r="HY947">
        <f>IF(ISBLANK('Data Entry'!$ĩ$947), "", 'Data Entry'!$ĩ$947)</f>
      </c>
      <c r="HZ947">
        <f>IF(ISBLANK('Data Entry'!$Ī$947), "", 'Data Entry'!$Ī$947)</f>
      </c>
      <c r="IA947">
        <f>IF(ISBLANK('Data Entry'!$ī$947), "", 'Data Entry'!$ī$947)</f>
      </c>
      <c r="IB947">
        <f>IF(ISBLANK('Data Entry'!$Ĭ$947), "", 'Data Entry'!$Ĭ$947)</f>
      </c>
      <c r="IC947">
        <f>IF(ISBLANK('Data Entry'!$ĭ$947), "", 'Data Entry'!$ĭ$947)</f>
      </c>
      <c r="ID947">
        <f>IF(ISBLANK('Data Entry'!$Į$947), "", 'Data Entry'!$Į$947)</f>
      </c>
      <c r="IE947">
        <f>IF(ISBLANK('Data Entry'!$į$947), "", 'Data Entry'!$į$947)</f>
      </c>
      <c r="IF947">
        <f>IF(ISBLANK('Data Entry'!$İ$947), "", 'Data Entry'!$İ$947)</f>
      </c>
      <c r="IG947">
        <f>IF(ISBLANK('Data Entry'!$ı$947), "", 'Data Entry'!$ı$947)</f>
      </c>
      <c r="IH947">
        <f>IF(ISBLANK('Data Entry'!$Ĳ$947), "", 'Data Entry'!$Ĳ$947)</f>
      </c>
      <c r="II947">
        <f>IF(ISBLANK('Data Entry'!$ĳ$947), "", 'Data Entry'!$ĳ$947)</f>
      </c>
      <c r="IJ947">
        <f>IF(ISBLANK('Data Entry'!$Ĵ$947), "", 'Data Entry'!$Ĵ$947)</f>
      </c>
      <c r="IK947">
        <f>IF(ISBLANK('Data Entry'!$ĵ$947), "", 'Data Entry'!$ĵ$947)</f>
      </c>
      <c r="IL947">
        <f>IF(ISBLANK('Data Entry'!$Ķ$947), "", 'Data Entry'!$Ķ$947)</f>
      </c>
      <c r="IM947">
        <f>IF(ISBLANK('Data Entry'!$ķ$947), "", 'Data Entry'!$ķ$947)</f>
      </c>
      <c r="IN947">
        <f>IF(ISBLANK('Data Entry'!$ĸ$947), "", 'Data Entry'!$ĸ$947)</f>
      </c>
      <c r="IO947">
        <f>IF(ISBLANK('Data Entry'!$Ĺ$947), "", 'Data Entry'!$Ĺ$947)</f>
      </c>
      <c r="IP947">
        <f>IF(ISBLANK('Data Entry'!$ĺ$947), "", 'Data Entry'!$ĺ$947)</f>
      </c>
      <c r="IQ947">
        <f>IF(ISBLANK('Data Entry'!$Ļ$947), "", 'Data Entry'!$Ļ$947)</f>
      </c>
      <c r="IR947">
        <f>IF(ISBLANK('Data Entry'!$ļ$947), "", 'Data Entry'!$ļ$947)</f>
      </c>
      <c r="IS947">
        <f>IF(ISBLANK('Data Entry'!$Ľ$947), "", 'Data Entry'!$Ľ$947)</f>
      </c>
      <c r="IT947">
        <f>IF(ISBLANK('Data Entry'!$ľ$947), "", 'Data Entry'!$ľ$947)</f>
      </c>
    </row>
    <row r="948" spans="1:254" x14ac:dyDescent="0.25">
      <c r="A948">
        <f>IF(ISBLANK('Data Entry'!$A$948), "", 'Data Entry'!$A$948)</f>
      </c>
      <c r="B948">
        <f>IF(ISBLANK('Data Entry'!$B$948), "", 'Data Entry'!$B$948)</f>
      </c>
      <c r="C948">
        <f>IF(ISBLANK('Data Entry'!$C$948), "", 'Data Entry'!$C$948)</f>
      </c>
      <c r="D948">
        <f>IF(ISBLANK('Data Entry'!$D$948), "", 'Data Entry'!$D$948)</f>
      </c>
      <c r="E948">
        <f>IF(ISBLANK('Data Entry'!$E$948), "", 'Data Entry'!$E$948)</f>
      </c>
      <c r="F948">
        <f>IF(ISBLANK('Data Entry'!$F$948), "", 'Data Entry'!$F$948)</f>
      </c>
      <c r="G948">
        <f>IF(ISBLANK('Data Entry'!$G$948), "", 'Data Entry'!$G$948)</f>
      </c>
      <c r="H948">
        <f>IF(ISBLANK('Data Entry'!$H$948), "", 'Data Entry'!$H$948)</f>
      </c>
      <c r="I948">
        <f>IF(ISBLANK('Data Entry'!$I$948), "", 'Data Entry'!$I$948)</f>
      </c>
      <c r="J948">
        <f>IF(ISBLANK('Data Entry'!$J$948), "", 'Data Entry'!$J$948)</f>
      </c>
      <c r="K948">
        <f>IF(ISBLANK('Data Entry'!$K$948), "", 'Data Entry'!$K$948)</f>
      </c>
      <c r="L948">
        <f>IF(ISBLANK('Data Entry'!$L$948), "", 'Data Entry'!$L$948)</f>
      </c>
      <c r="M948">
        <f>IF(ISBLANK('Data Entry'!$M$948), "", 'Data Entry'!$M$948)</f>
      </c>
      <c r="N948">
        <f>IF(ISBLANK('Data Entry'!$N$948), "", 'Data Entry'!$N$948)</f>
      </c>
      <c r="O948">
        <f>IF(ISBLANK('Data Entry'!$O$948), "", 'Data Entry'!$O$948)</f>
      </c>
      <c r="P948">
        <f>IF(ISBLANK('Data Entry'!$P$948), "", 'Data Entry'!$P$948)</f>
      </c>
      <c r="Q948">
        <f>IF(ISBLANK('Data Entry'!$Q$948), "", 'Data Entry'!$Q$948)</f>
      </c>
      <c r="R948">
        <f>IF(ISBLANK('Data Entry'!$R$948), "", 'Data Entry'!$R$948)</f>
      </c>
      <c r="S948">
        <f>IF(ISBLANK('Data Entry'!$S$948), "", 'Data Entry'!$S$948)</f>
      </c>
      <c r="T948">
        <f>IF(ISBLANK('Data Entry'!$T$948), "", 'Data Entry'!$T$948)</f>
      </c>
      <c r="U948">
        <f>IF(ISBLANK('Data Entry'!$U$948), "", 'Data Entry'!$U$948)</f>
      </c>
      <c r="V948">
        <f>IF(ISBLANK('Data Entry'!$V$948), "", 'Data Entry'!$V$948)</f>
      </c>
      <c r="W948">
        <f>IF(ISBLANK('Data Entry'!$W$948), "", 'Data Entry'!$W$948)</f>
      </c>
      <c r="X948">
        <f>IF(ISBLANK('Data Entry'!$X$948), "", 'Data Entry'!$X$948)</f>
      </c>
      <c r="Y948">
        <f>IF(ISBLANK('Data Entry'!$Y$948), "", 'Data Entry'!$Y$948)</f>
      </c>
      <c r="Z948">
        <f>IF(ISBLANK('Data Entry'!$Z$948), "", 'Data Entry'!$Z$948)</f>
      </c>
      <c r="AA948">
        <f>IF(ISBLANK('Data Entry'!$[$948), "", 'Data Entry'!$[$948)</f>
      </c>
      <c r="AB948">
        <f>IF(ISBLANK('Data Entry'!$\$948), "", 'Data Entry'!$\$948)</f>
      </c>
      <c r="AC948">
        <f>IF(ISBLANK('Data Entry'!$]$948), "", 'Data Entry'!$]$948)</f>
      </c>
      <c r="AD948">
        <f>IF(ISBLANK('Data Entry'!$^$948), "", 'Data Entry'!$^$948)</f>
      </c>
      <c r="AE948">
        <f>IF(ISBLANK('Data Entry'!$_$948), "", 'Data Entry'!$_$948)</f>
      </c>
      <c r="AF948">
        <f>IF(ISBLANK('Data Entry'!$`$948), "", 'Data Entry'!$`$948)</f>
      </c>
      <c r="AG948">
        <f>IF(ISBLANK('Data Entry'!$a$948), "", 'Data Entry'!$a$948)</f>
      </c>
      <c r="AH948">
        <f>IF(ISBLANK('Data Entry'!$b$948), "", 'Data Entry'!$b$948)</f>
      </c>
      <c r="AI948">
        <f>IF(ISBLANK('Data Entry'!$c$948), "", 'Data Entry'!$c$948)</f>
      </c>
      <c r="AJ948">
        <f>IF(ISBLANK('Data Entry'!$d$948), "", 'Data Entry'!$d$948)</f>
      </c>
      <c r="AK948">
        <f>IF(ISBLANK('Data Entry'!$e$948), "", 'Data Entry'!$e$948)</f>
      </c>
      <c r="AL948">
        <f>IF(ISBLANK('Data Entry'!$f$948), "", 'Data Entry'!$f$948)</f>
      </c>
      <c r="AM948">
        <f>IF(ISBLANK('Data Entry'!$g$948), "", 'Data Entry'!$g$948)</f>
      </c>
      <c r="AN948">
        <f>IF(ISBLANK('Data Entry'!$h$948), "", 'Data Entry'!$h$948)</f>
      </c>
      <c r="AO948">
        <f>IF(ISBLANK('Data Entry'!$i$948), "", 'Data Entry'!$i$948)</f>
      </c>
      <c r="AP948">
        <f>IF(ISBLANK('Data Entry'!$j$948), "", 'Data Entry'!$j$948)</f>
      </c>
      <c r="AQ948">
        <f>IF(ISBLANK('Data Entry'!$k$948), "", 'Data Entry'!$k$948)</f>
      </c>
      <c r="AR948">
        <f>IF(ISBLANK('Data Entry'!$l$948), "", 'Data Entry'!$l$948)</f>
      </c>
      <c r="AS948">
        <f>IF(ISBLANK('Data Entry'!$m$948), "", 'Data Entry'!$m$948)</f>
      </c>
      <c r="AT948">
        <f>IF(ISBLANK('Data Entry'!$n$948), "", 'Data Entry'!$n$948)</f>
      </c>
      <c r="AU948">
        <f>IF(ISBLANK('Data Entry'!$o$948), "", 'Data Entry'!$o$948)</f>
      </c>
      <c r="AV948">
        <f>IF(ISBLANK('Data Entry'!$p$948), "", 'Data Entry'!$p$948)</f>
      </c>
      <c r="AW948">
        <f>IF(ISBLANK('Data Entry'!$q$948), "", 'Data Entry'!$q$948)</f>
      </c>
      <c r="AX948">
        <f>IF(ISBLANK('Data Entry'!$r$948), "", 'Data Entry'!$r$948)</f>
      </c>
      <c r="AY948">
        <f>IF(ISBLANK('Data Entry'!$s$948), "", 'Data Entry'!$s$948)</f>
      </c>
      <c r="AZ948">
        <f>IF(ISBLANK('Data Entry'!$t$948), "", 'Data Entry'!$t$948)</f>
      </c>
      <c r="BA948">
        <f>IF(ISBLANK('Data Entry'!$u$948), "", 'Data Entry'!$u$948)</f>
      </c>
      <c r="BB948">
        <f>IF(ISBLANK('Data Entry'!$v$948), "", 'Data Entry'!$v$948)</f>
      </c>
      <c r="BC948">
        <f>IF(ISBLANK('Data Entry'!$w$948), "", 'Data Entry'!$w$948)</f>
      </c>
      <c r="BD948">
        <f>IF(ISBLANK('Data Entry'!$x$948), "", 'Data Entry'!$x$948)</f>
      </c>
      <c r="BE948">
        <f>IF(ISBLANK('Data Entry'!$y$948), "", 'Data Entry'!$y$948)</f>
      </c>
      <c r="BF948">
        <f>IF(ISBLANK('Data Entry'!$z$948), "", 'Data Entry'!$z$948)</f>
      </c>
      <c r="BG948">
        <f>IF(ISBLANK('Data Entry'!${$948), "", 'Data Entry'!${$948)</f>
      </c>
      <c r="BH948">
        <f>IF(ISBLANK('Data Entry'!$|$948), "", 'Data Entry'!$|$948)</f>
      </c>
      <c r="BI948">
        <f>IF(ISBLANK('Data Entry'!$}$948), "", 'Data Entry'!$}$948)</f>
      </c>
      <c r="BJ948">
        <f>IF(ISBLANK('Data Entry'!$~$948), "", 'Data Entry'!$~$948)</f>
      </c>
      <c r="BK948">
        <f>IF(ISBLANK('Data Entry'!$$948), "", 'Data Entry'!$$948)</f>
      </c>
      <c r="BL948">
        <f>IF(ISBLANK('Data Entry'!$$948), "", 'Data Entry'!$$948)</f>
      </c>
      <c r="BM948">
        <f>IF(ISBLANK('Data Entry'!$$948), "", 'Data Entry'!$$948)</f>
      </c>
      <c r="BN948">
        <f>IF(ISBLANK('Data Entry'!$$948), "", 'Data Entry'!$$948)</f>
      </c>
      <c r="BO948">
        <f>IF(ISBLANK('Data Entry'!$$948), "", 'Data Entry'!$$948)</f>
      </c>
      <c r="BP948">
        <f>IF(ISBLANK('Data Entry'!$$948), "", 'Data Entry'!$$948)</f>
      </c>
      <c r="BQ948">
        <f>IF(ISBLANK('Data Entry'!$$948), "", 'Data Entry'!$$948)</f>
      </c>
      <c r="BR948">
        <f>IF(ISBLANK('Data Entry'!$$948), "", 'Data Entry'!$$948)</f>
      </c>
      <c r="BS948">
        <f>IF(ISBLANK('Data Entry'!$$948), "", 'Data Entry'!$$948)</f>
      </c>
      <c r="BT948">
        <f>IF(ISBLANK('Data Entry'!$$948), "", 'Data Entry'!$$948)</f>
      </c>
      <c r="BU948">
        <f>IF(ISBLANK('Data Entry'!$$948), "", 'Data Entry'!$$948)</f>
      </c>
      <c r="BV948">
        <f>IF(ISBLANK('Data Entry'!$$948), "", 'Data Entry'!$$948)</f>
      </c>
      <c r="BW948">
        <f>IF(ISBLANK('Data Entry'!$$948), "", 'Data Entry'!$$948)</f>
      </c>
      <c r="BX948">
        <f>IF(ISBLANK('Data Entry'!$$948), "", 'Data Entry'!$$948)</f>
      </c>
      <c r="BY948">
        <f>IF(ISBLANK('Data Entry'!$$948), "", 'Data Entry'!$$948)</f>
      </c>
      <c r="BZ948">
        <f>IF(ISBLANK('Data Entry'!$$948), "", 'Data Entry'!$$948)</f>
      </c>
      <c r="CA948">
        <f>IF(ISBLANK('Data Entry'!$$948), "", 'Data Entry'!$$948)</f>
      </c>
      <c r="CB948">
        <f>IF(ISBLANK('Data Entry'!$$948), "", 'Data Entry'!$$948)</f>
      </c>
      <c r="CC948">
        <f>IF(ISBLANK('Data Entry'!$$948), "", 'Data Entry'!$$948)</f>
      </c>
      <c r="CD948">
        <f>IF(ISBLANK('Data Entry'!$$948), "", 'Data Entry'!$$948)</f>
      </c>
      <c r="CE948">
        <f>IF(ISBLANK('Data Entry'!$$948), "", 'Data Entry'!$$948)</f>
      </c>
      <c r="CF948">
        <f>IF(ISBLANK('Data Entry'!$$948), "", 'Data Entry'!$$948)</f>
      </c>
      <c r="CG948">
        <f>IF(ISBLANK('Data Entry'!$$948), "", 'Data Entry'!$$948)</f>
      </c>
      <c r="CH948">
        <f>IF(ISBLANK('Data Entry'!$$948), "", 'Data Entry'!$$948)</f>
      </c>
      <c r="CI948">
        <f>IF(ISBLANK('Data Entry'!$$948), "", 'Data Entry'!$$948)</f>
      </c>
      <c r="CJ948">
        <f>IF(ISBLANK('Data Entry'!$$948), "", 'Data Entry'!$$948)</f>
      </c>
      <c r="CK948">
        <f>IF(ISBLANK('Data Entry'!$$948), "", 'Data Entry'!$$948)</f>
      </c>
      <c r="CL948">
        <f>IF(ISBLANK('Data Entry'!$$948), "", 'Data Entry'!$$948)</f>
      </c>
      <c r="CM948">
        <f>IF(ISBLANK('Data Entry'!$$948), "", 'Data Entry'!$$948)</f>
      </c>
      <c r="CN948">
        <f>IF(ISBLANK('Data Entry'!$$948), "", 'Data Entry'!$$948)</f>
      </c>
      <c r="CO948">
        <f>IF(ISBLANK('Data Entry'!$$948), "", 'Data Entry'!$$948)</f>
      </c>
      <c r="CP948">
        <f>IF(ISBLANK('Data Entry'!$$948), "", 'Data Entry'!$$948)</f>
      </c>
      <c r="CQ948">
        <f>IF(ISBLANK('Data Entry'!$$948), "", 'Data Entry'!$$948)</f>
      </c>
      <c r="CR948">
        <f>IF(ISBLANK('Data Entry'!$ $948), "", 'Data Entry'!$ $948)</f>
      </c>
      <c r="CS948">
        <f>IF(ISBLANK('Data Entry'!$¡$948), "", 'Data Entry'!$¡$948)</f>
      </c>
      <c r="CT948">
        <f>IF(ISBLANK('Data Entry'!$¢$948), "", 'Data Entry'!$¢$948)</f>
      </c>
      <c r="CU948">
        <f>IF(ISBLANK('Data Entry'!$£$948), "", 'Data Entry'!$£$948)</f>
      </c>
      <c r="CV948">
        <f>IF(ISBLANK('Data Entry'!$¤$948), "", 'Data Entry'!$¤$948)</f>
      </c>
      <c r="CW948">
        <f>IF(ISBLANK('Data Entry'!$¥$948), "", 'Data Entry'!$¥$948)</f>
      </c>
      <c r="CX948">
        <f>IF(ISBLANK('Data Entry'!$¦$948), "", 'Data Entry'!$¦$948)</f>
      </c>
      <c r="CY948">
        <f>IF(ISBLANK('Data Entry'!$§$948), "", 'Data Entry'!$§$948)</f>
      </c>
      <c r="CZ948">
        <f>IF(ISBLANK('Data Entry'!$¨$948), "", 'Data Entry'!$¨$948)</f>
      </c>
      <c r="DA948">
        <f>IF(ISBLANK('Data Entry'!$©$948), "", 'Data Entry'!$©$948)</f>
      </c>
      <c r="DB948">
        <f>IF(ISBLANK('Data Entry'!$ª$948), "", 'Data Entry'!$ª$948)</f>
      </c>
      <c r="DC948">
        <f>IF(ISBLANK('Data Entry'!$«$948), "", 'Data Entry'!$«$948)</f>
      </c>
      <c r="DD948">
        <f>IF(ISBLANK('Data Entry'!$¬$948), "", 'Data Entry'!$¬$948)</f>
      </c>
      <c r="DE948">
        <f>IF(ISBLANK('Data Entry'!$­$948), "", 'Data Entry'!$­$948)</f>
      </c>
      <c r="DF948">
        <f>IF(ISBLANK('Data Entry'!$®$948), "", 'Data Entry'!$®$948)</f>
      </c>
      <c r="DG948">
        <f>IF(ISBLANK('Data Entry'!$¯$948), "", 'Data Entry'!$¯$948)</f>
      </c>
      <c r="DH948">
        <f>IF(ISBLANK('Data Entry'!$°$948), "", 'Data Entry'!$°$948)</f>
      </c>
      <c r="DI948">
        <f>IF(ISBLANK('Data Entry'!$±$948), "", 'Data Entry'!$±$948)</f>
      </c>
      <c r="DJ948">
        <f>IF(ISBLANK('Data Entry'!$²$948), "", 'Data Entry'!$²$948)</f>
      </c>
      <c r="DK948">
        <f>IF(ISBLANK('Data Entry'!$³$948), "", 'Data Entry'!$³$948)</f>
      </c>
      <c r="DL948">
        <f>IF(ISBLANK('Data Entry'!$´$948), "", 'Data Entry'!$´$948)</f>
      </c>
      <c r="DM948">
        <f>IF(ISBLANK('Data Entry'!$µ$948), "", 'Data Entry'!$µ$948)</f>
      </c>
      <c r="DN948">
        <f>IF(ISBLANK('Data Entry'!$¶$948), "", 'Data Entry'!$¶$948)</f>
      </c>
      <c r="DO948">
        <f>IF(ISBLANK('Data Entry'!$·$948), "", 'Data Entry'!$·$948)</f>
      </c>
      <c r="DP948">
        <f>IF(ISBLANK('Data Entry'!$¸$948), "", 'Data Entry'!$¸$948)</f>
      </c>
      <c r="DQ948">
        <f>IF(ISBLANK('Data Entry'!$¹$948), "", 'Data Entry'!$¹$948)</f>
      </c>
      <c r="DR948">
        <f>IF(ISBLANK('Data Entry'!$º$948), "", 'Data Entry'!$º$948)</f>
      </c>
      <c r="DS948">
        <f>IF(ISBLANK('Data Entry'!$»$948), "", 'Data Entry'!$»$948)</f>
      </c>
      <c r="DT948">
        <f>IF(ISBLANK('Data Entry'!$¼$948), "", 'Data Entry'!$¼$948)</f>
      </c>
      <c r="DU948">
        <f>IF(ISBLANK('Data Entry'!$½$948), "", 'Data Entry'!$½$948)</f>
      </c>
      <c r="DV948">
        <f>IF(ISBLANK('Data Entry'!$¾$948), "", 'Data Entry'!$¾$948)</f>
      </c>
      <c r="DW948">
        <f>IF(ISBLANK('Data Entry'!$¿$948), "", 'Data Entry'!$¿$948)</f>
      </c>
      <c r="DX948">
        <f>IF(ISBLANK('Data Entry'!$À$948), "", 'Data Entry'!$À$948)</f>
      </c>
      <c r="DY948">
        <f>IF(ISBLANK('Data Entry'!$Á$948), "", 'Data Entry'!$Á$948)</f>
      </c>
      <c r="DZ948">
        <f>IF(ISBLANK('Data Entry'!$Â$948), "", 'Data Entry'!$Â$948)</f>
      </c>
      <c r="EA948">
        <f>IF(ISBLANK('Data Entry'!$Ã$948), "", 'Data Entry'!$Ã$948)</f>
      </c>
      <c r="EB948">
        <f>IF(ISBLANK('Data Entry'!$Ä$948), "", 'Data Entry'!$Ä$948)</f>
      </c>
      <c r="EC948">
        <f>IF(ISBLANK('Data Entry'!$Å$948), "", 'Data Entry'!$Å$948)</f>
      </c>
      <c r="ED948">
        <f>IF(ISBLANK('Data Entry'!$Æ$948), "", 'Data Entry'!$Æ$948)</f>
      </c>
      <c r="EE948">
        <f>IF(ISBLANK('Data Entry'!$Ç$948), "", 'Data Entry'!$Ç$948)</f>
      </c>
      <c r="EF948">
        <f>IF(ISBLANK('Data Entry'!$È$948), "", 'Data Entry'!$È$948)</f>
      </c>
      <c r="EG948">
        <f>IF(ISBLANK('Data Entry'!$É$948), "", 'Data Entry'!$É$948)</f>
      </c>
      <c r="EH948">
        <f>IF(ISBLANK('Data Entry'!$Ê$948), "", 'Data Entry'!$Ê$948)</f>
      </c>
      <c r="EI948">
        <f>IF(ISBLANK('Data Entry'!$Ë$948), "", 'Data Entry'!$Ë$948)</f>
      </c>
      <c r="EJ948">
        <f>IF(ISBLANK('Data Entry'!$Ì$948), "", 'Data Entry'!$Ì$948)</f>
      </c>
      <c r="EK948">
        <f>IF(ISBLANK('Data Entry'!$Í$948), "", 'Data Entry'!$Í$948)</f>
      </c>
      <c r="EL948">
        <f>IF(ISBLANK('Data Entry'!$Î$948), "", 'Data Entry'!$Î$948)</f>
      </c>
      <c r="EM948">
        <f>IF(ISBLANK('Data Entry'!$Ï$948), "", 'Data Entry'!$Ï$948)</f>
      </c>
      <c r="EN948">
        <f>IF(ISBLANK('Data Entry'!$Ð$948), "", 'Data Entry'!$Ð$948)</f>
      </c>
      <c r="EO948">
        <f>IF(ISBLANK('Data Entry'!$Ñ$948), "", 'Data Entry'!$Ñ$948)</f>
      </c>
      <c r="EP948">
        <f>IF(ISBLANK('Data Entry'!$Ò$948), "", 'Data Entry'!$Ò$948)</f>
      </c>
      <c r="EQ948">
        <f>IF(ISBLANK('Data Entry'!$Ó$948), "", 'Data Entry'!$Ó$948)</f>
      </c>
      <c r="ER948">
        <f>IF(ISBLANK('Data Entry'!$Ô$948), "", 'Data Entry'!$Ô$948)</f>
      </c>
      <c r="ES948">
        <f>IF(ISBLANK('Data Entry'!$Õ$948), "", 'Data Entry'!$Õ$948)</f>
      </c>
      <c r="ET948">
        <f>IF(ISBLANK('Data Entry'!$Ö$948), "", 'Data Entry'!$Ö$948)</f>
      </c>
      <c r="EU948">
        <f>IF(ISBLANK('Data Entry'!$×$948), "", 'Data Entry'!$×$948)</f>
      </c>
      <c r="EV948">
        <f>IF(ISBLANK('Data Entry'!$Ø$948), "", 'Data Entry'!$Ø$948)</f>
      </c>
      <c r="EW948">
        <f>IF(ISBLANK('Data Entry'!$Ù$948), "", 'Data Entry'!$Ù$948)</f>
      </c>
      <c r="EX948">
        <f>IF(ISBLANK('Data Entry'!$Ú$948), "", 'Data Entry'!$Ú$948)</f>
      </c>
      <c r="EY948">
        <f>IF(ISBLANK('Data Entry'!$Û$948), "", 'Data Entry'!$Û$948)</f>
      </c>
      <c r="EZ948">
        <f>IF(ISBLANK('Data Entry'!$Ü$948), "", 'Data Entry'!$Ü$948)</f>
      </c>
      <c r="FA948">
        <f>IF(ISBLANK('Data Entry'!$Ý$948), "", 'Data Entry'!$Ý$948)</f>
      </c>
      <c r="FB948">
        <f>IF(ISBLANK('Data Entry'!$Þ$948), "", 'Data Entry'!$Þ$948)</f>
      </c>
      <c r="FC948">
        <f>IF(ISBLANK('Data Entry'!$ß$948), "", 'Data Entry'!$ß$948)</f>
      </c>
      <c r="FD948">
        <f>IF(ISBLANK('Data Entry'!$à$948), "", 'Data Entry'!$à$948)</f>
      </c>
      <c r="FE948">
        <f>IF(ISBLANK('Data Entry'!$á$948), "", 'Data Entry'!$á$948)</f>
      </c>
      <c r="FF948">
        <f>IF(ISBLANK('Data Entry'!$â$948), "", 'Data Entry'!$â$948)</f>
      </c>
      <c r="FG948">
        <f>IF(ISBLANK('Data Entry'!$ã$948), "", 'Data Entry'!$ã$948)</f>
      </c>
      <c r="FH948">
        <f>IF(ISBLANK('Data Entry'!$ä$948), "", 'Data Entry'!$ä$948)</f>
      </c>
      <c r="FI948">
        <f>IF(ISBLANK('Data Entry'!$å$948), "", 'Data Entry'!$å$948)</f>
      </c>
      <c r="FJ948">
        <f>IF(ISBLANK('Data Entry'!$æ$948), "", 'Data Entry'!$æ$948)</f>
      </c>
      <c r="FK948">
        <f>IF(ISBLANK('Data Entry'!$ç$948), "", 'Data Entry'!$ç$948)</f>
      </c>
      <c r="FL948">
        <f>IF(ISBLANK('Data Entry'!$è$948), "", 'Data Entry'!$è$948)</f>
      </c>
      <c r="FM948">
        <f>IF(ISBLANK('Data Entry'!$é$948), "", 'Data Entry'!$é$948)</f>
      </c>
      <c r="FN948">
        <f>IF(ISBLANK('Data Entry'!$ê$948), "", 'Data Entry'!$ê$948)</f>
      </c>
      <c r="FO948">
        <f>IF(ISBLANK('Data Entry'!$ë$948), "", 'Data Entry'!$ë$948)</f>
      </c>
      <c r="FP948">
        <f>IF(ISBLANK('Data Entry'!$ì$948), "", 'Data Entry'!$ì$948)</f>
      </c>
      <c r="FQ948">
        <f>IF(ISBLANK('Data Entry'!$í$948), "", 'Data Entry'!$í$948)</f>
      </c>
      <c r="FR948">
        <f>IF(ISBLANK('Data Entry'!$î$948), "", 'Data Entry'!$î$948)</f>
      </c>
      <c r="FS948">
        <f>IF(ISBLANK('Data Entry'!$ï$948), "", 'Data Entry'!$ï$948)</f>
      </c>
      <c r="FT948">
        <f>IF(ISBLANK('Data Entry'!$ð$948), "", 'Data Entry'!$ð$948)</f>
      </c>
      <c r="FU948">
        <f>IF(ISBLANK('Data Entry'!$ñ$948), "", 'Data Entry'!$ñ$948)</f>
      </c>
      <c r="FV948">
        <f>IF(ISBLANK('Data Entry'!$ò$948), "", 'Data Entry'!$ò$948)</f>
      </c>
      <c r="FW948">
        <f>IF(ISBLANK('Data Entry'!$ó$948), "", 'Data Entry'!$ó$948)</f>
      </c>
      <c r="FX948">
        <f>IF(ISBLANK('Data Entry'!$ô$948), "", 'Data Entry'!$ô$948)</f>
      </c>
      <c r="FY948">
        <f>IF(ISBLANK('Data Entry'!$õ$948), "", 'Data Entry'!$õ$948)</f>
      </c>
      <c r="FZ948">
        <f>IF(ISBLANK('Data Entry'!$ö$948), "", 'Data Entry'!$ö$948)</f>
      </c>
      <c r="GA948">
        <f>IF(ISBLANK('Data Entry'!$÷$948), "", 'Data Entry'!$÷$948)</f>
      </c>
      <c r="GB948">
        <f>IF(ISBLANK('Data Entry'!$ø$948), "", 'Data Entry'!$ø$948)</f>
      </c>
      <c r="GC948">
        <f>IF(ISBLANK('Data Entry'!$ù$948), "", 'Data Entry'!$ù$948)</f>
      </c>
      <c r="GD948">
        <f>IF(ISBLANK('Data Entry'!$ú$948), "", 'Data Entry'!$ú$948)</f>
      </c>
      <c r="GE948">
        <f>IF(ISBLANK('Data Entry'!$û$948), "", 'Data Entry'!$û$948)</f>
      </c>
      <c r="GF948">
        <f>IF(ISBLANK('Data Entry'!$ü$948), "", 'Data Entry'!$ü$948)</f>
      </c>
      <c r="GG948">
        <f>IF(ISBLANK('Data Entry'!$ý$948), "", 'Data Entry'!$ý$948)</f>
      </c>
      <c r="GH948">
        <f>IF(ISBLANK('Data Entry'!$þ$948), "", 'Data Entry'!$þ$948)</f>
      </c>
      <c r="GI948">
        <f>IF(ISBLANK('Data Entry'!$ÿ$948), "", 'Data Entry'!$ÿ$948)</f>
      </c>
      <c r="GJ948">
        <f>IF(ISBLANK('Data Entry'!$Ā$948), "", 'Data Entry'!$Ā$948)</f>
      </c>
      <c r="GK948">
        <f>IF(ISBLANK('Data Entry'!$ā$948), "", 'Data Entry'!$ā$948)</f>
      </c>
      <c r="GL948">
        <f>IF(ISBLANK('Data Entry'!$Ă$948), "", 'Data Entry'!$Ă$948)</f>
      </c>
      <c r="GM948">
        <f>IF(ISBLANK('Data Entry'!$ă$948), "", 'Data Entry'!$ă$948)</f>
      </c>
      <c r="GN948">
        <f>IF(ISBLANK('Data Entry'!$Ą$948), "", 'Data Entry'!$Ą$948)</f>
      </c>
      <c r="GO948">
        <f>IF(ISBLANK('Data Entry'!$ą$948), "", 'Data Entry'!$ą$948)</f>
      </c>
      <c r="GP948">
        <f>IF(ISBLANK('Data Entry'!$Ć$948), "", 'Data Entry'!$Ć$948)</f>
      </c>
      <c r="GQ948">
        <f>IF(ISBLANK('Data Entry'!$ć$948), "", 'Data Entry'!$ć$948)</f>
      </c>
      <c r="GR948">
        <f>IF(ISBLANK('Data Entry'!$Ĉ$948), "", 'Data Entry'!$Ĉ$948)</f>
      </c>
      <c r="GS948">
        <f>IF(ISBLANK('Data Entry'!$ĉ$948), "", 'Data Entry'!$ĉ$948)</f>
      </c>
      <c r="GT948">
        <f>IF(ISBLANK('Data Entry'!$Ċ$948), "", 'Data Entry'!$Ċ$948)</f>
      </c>
      <c r="GU948">
        <f>IF(ISBLANK('Data Entry'!$ċ$948), "", 'Data Entry'!$ċ$948)</f>
      </c>
      <c r="GV948">
        <f>IF(ISBLANK('Data Entry'!$Č$948), "", 'Data Entry'!$Č$948)</f>
      </c>
      <c r="GW948">
        <f>IF(ISBLANK('Data Entry'!$č$948), "", 'Data Entry'!$č$948)</f>
      </c>
      <c r="GX948">
        <f>IF(ISBLANK('Data Entry'!$Ď$948), "", 'Data Entry'!$Ď$948)</f>
      </c>
      <c r="GY948">
        <f>IF(ISBLANK('Data Entry'!$ď$948), "", 'Data Entry'!$ď$948)</f>
      </c>
      <c r="GZ948">
        <f>IF(ISBLANK('Data Entry'!$Đ$948), "", 'Data Entry'!$Đ$948)</f>
      </c>
      <c r="HA948">
        <f>IF(ISBLANK('Data Entry'!$đ$948), "", 'Data Entry'!$đ$948)</f>
      </c>
      <c r="HB948">
        <f>IF(ISBLANK('Data Entry'!$Ē$948), "", 'Data Entry'!$Ē$948)</f>
      </c>
      <c r="HC948">
        <f>IF(ISBLANK('Data Entry'!$ē$948), "", 'Data Entry'!$ē$948)</f>
      </c>
      <c r="HD948">
        <f>IF(ISBLANK('Data Entry'!$Ĕ$948), "", 'Data Entry'!$Ĕ$948)</f>
      </c>
      <c r="HE948">
        <f>IF(ISBLANK('Data Entry'!$ĕ$948), "", 'Data Entry'!$ĕ$948)</f>
      </c>
      <c r="HF948">
        <f>IF(ISBLANK('Data Entry'!$Ė$948), "", 'Data Entry'!$Ė$948)</f>
      </c>
      <c r="HG948">
        <f>IF(ISBLANK('Data Entry'!$ė$948), "", 'Data Entry'!$ė$948)</f>
      </c>
      <c r="HH948">
        <f>IF(ISBLANK('Data Entry'!$Ę$948), "", 'Data Entry'!$Ę$948)</f>
      </c>
      <c r="HI948">
        <f>IF(ISBLANK('Data Entry'!$ę$948), "", 'Data Entry'!$ę$948)</f>
      </c>
      <c r="HJ948">
        <f>IF(ISBLANK('Data Entry'!$Ě$948), "", 'Data Entry'!$Ě$948)</f>
      </c>
      <c r="HK948">
        <f>IF(ISBLANK('Data Entry'!$ě$948), "", 'Data Entry'!$ě$948)</f>
      </c>
      <c r="HL948">
        <f>IF(ISBLANK('Data Entry'!$Ĝ$948), "", 'Data Entry'!$Ĝ$948)</f>
      </c>
      <c r="HM948">
        <f>IF(ISBLANK('Data Entry'!$ĝ$948), "", 'Data Entry'!$ĝ$948)</f>
      </c>
      <c r="HN948">
        <f>IF(ISBLANK('Data Entry'!$Ğ$948), "", 'Data Entry'!$Ğ$948)</f>
      </c>
      <c r="HO948">
        <f>IF(ISBLANK('Data Entry'!$ğ$948), "", 'Data Entry'!$ğ$948)</f>
      </c>
      <c r="HP948">
        <f>IF(ISBLANK('Data Entry'!$Ġ$948), "", 'Data Entry'!$Ġ$948)</f>
      </c>
      <c r="HQ948">
        <f>IF(ISBLANK('Data Entry'!$ġ$948), "", 'Data Entry'!$ġ$948)</f>
      </c>
      <c r="HR948">
        <f>IF(ISBLANK('Data Entry'!$Ģ$948), "", 'Data Entry'!$Ģ$948)</f>
      </c>
      <c r="HS948">
        <f>IF(ISBLANK('Data Entry'!$ģ$948), "", 'Data Entry'!$ģ$948)</f>
      </c>
      <c r="HT948">
        <f>IF(ISBLANK('Data Entry'!$Ĥ$948), "", 'Data Entry'!$Ĥ$948)</f>
      </c>
      <c r="HU948">
        <f>IF(ISBLANK('Data Entry'!$ĥ$948), "", 'Data Entry'!$ĥ$948)</f>
      </c>
      <c r="HV948">
        <f>IF(ISBLANK('Data Entry'!$Ħ$948), "", 'Data Entry'!$Ħ$948)</f>
      </c>
      <c r="HW948">
        <f>IF(ISBLANK('Data Entry'!$ħ$948), "", 'Data Entry'!$ħ$948)</f>
      </c>
      <c r="HX948">
        <f>IF(ISBLANK('Data Entry'!$Ĩ$948), "", 'Data Entry'!$Ĩ$948)</f>
      </c>
      <c r="HY948">
        <f>IF(ISBLANK('Data Entry'!$ĩ$948), "", 'Data Entry'!$ĩ$948)</f>
      </c>
      <c r="HZ948">
        <f>IF(ISBLANK('Data Entry'!$Ī$948), "", 'Data Entry'!$Ī$948)</f>
      </c>
      <c r="IA948">
        <f>IF(ISBLANK('Data Entry'!$ī$948), "", 'Data Entry'!$ī$948)</f>
      </c>
      <c r="IB948">
        <f>IF(ISBLANK('Data Entry'!$Ĭ$948), "", 'Data Entry'!$Ĭ$948)</f>
      </c>
      <c r="IC948">
        <f>IF(ISBLANK('Data Entry'!$ĭ$948), "", 'Data Entry'!$ĭ$948)</f>
      </c>
      <c r="ID948">
        <f>IF(ISBLANK('Data Entry'!$Į$948), "", 'Data Entry'!$Į$948)</f>
      </c>
      <c r="IE948">
        <f>IF(ISBLANK('Data Entry'!$į$948), "", 'Data Entry'!$į$948)</f>
      </c>
      <c r="IF948">
        <f>IF(ISBLANK('Data Entry'!$İ$948), "", 'Data Entry'!$İ$948)</f>
      </c>
      <c r="IG948">
        <f>IF(ISBLANK('Data Entry'!$ı$948), "", 'Data Entry'!$ı$948)</f>
      </c>
      <c r="IH948">
        <f>IF(ISBLANK('Data Entry'!$Ĳ$948), "", 'Data Entry'!$Ĳ$948)</f>
      </c>
      <c r="II948">
        <f>IF(ISBLANK('Data Entry'!$ĳ$948), "", 'Data Entry'!$ĳ$948)</f>
      </c>
      <c r="IJ948">
        <f>IF(ISBLANK('Data Entry'!$Ĵ$948), "", 'Data Entry'!$Ĵ$948)</f>
      </c>
      <c r="IK948">
        <f>IF(ISBLANK('Data Entry'!$ĵ$948), "", 'Data Entry'!$ĵ$948)</f>
      </c>
      <c r="IL948">
        <f>IF(ISBLANK('Data Entry'!$Ķ$948), "", 'Data Entry'!$Ķ$948)</f>
      </c>
      <c r="IM948">
        <f>IF(ISBLANK('Data Entry'!$ķ$948), "", 'Data Entry'!$ķ$948)</f>
      </c>
      <c r="IN948">
        <f>IF(ISBLANK('Data Entry'!$ĸ$948), "", 'Data Entry'!$ĸ$948)</f>
      </c>
      <c r="IO948">
        <f>IF(ISBLANK('Data Entry'!$Ĺ$948), "", 'Data Entry'!$Ĺ$948)</f>
      </c>
      <c r="IP948">
        <f>IF(ISBLANK('Data Entry'!$ĺ$948), "", 'Data Entry'!$ĺ$948)</f>
      </c>
      <c r="IQ948">
        <f>IF(ISBLANK('Data Entry'!$Ļ$948), "", 'Data Entry'!$Ļ$948)</f>
      </c>
      <c r="IR948">
        <f>IF(ISBLANK('Data Entry'!$ļ$948), "", 'Data Entry'!$ļ$948)</f>
      </c>
      <c r="IS948">
        <f>IF(ISBLANK('Data Entry'!$Ľ$948), "", 'Data Entry'!$Ľ$948)</f>
      </c>
      <c r="IT948">
        <f>IF(ISBLANK('Data Entry'!$ľ$948), "", 'Data Entry'!$ľ$948)</f>
      </c>
    </row>
    <row r="949" spans="1:254" x14ac:dyDescent="0.25">
      <c r="A949">
        <f>IF(ISBLANK('Data Entry'!$A$949), "", 'Data Entry'!$A$949)</f>
      </c>
      <c r="B949">
        <f>IF(ISBLANK('Data Entry'!$B$949), "", 'Data Entry'!$B$949)</f>
      </c>
      <c r="C949">
        <f>IF(ISBLANK('Data Entry'!$C$949), "", 'Data Entry'!$C$949)</f>
      </c>
      <c r="D949">
        <f>IF(ISBLANK('Data Entry'!$D$949), "", 'Data Entry'!$D$949)</f>
      </c>
      <c r="E949">
        <f>IF(ISBLANK('Data Entry'!$E$949), "", 'Data Entry'!$E$949)</f>
      </c>
      <c r="F949">
        <f>IF(ISBLANK('Data Entry'!$F$949), "", 'Data Entry'!$F$949)</f>
      </c>
      <c r="G949">
        <f>IF(ISBLANK('Data Entry'!$G$949), "", 'Data Entry'!$G$949)</f>
      </c>
      <c r="H949">
        <f>IF(ISBLANK('Data Entry'!$H$949), "", 'Data Entry'!$H$949)</f>
      </c>
      <c r="I949">
        <f>IF(ISBLANK('Data Entry'!$I$949), "", 'Data Entry'!$I$949)</f>
      </c>
      <c r="J949">
        <f>IF(ISBLANK('Data Entry'!$J$949), "", 'Data Entry'!$J$949)</f>
      </c>
      <c r="K949">
        <f>IF(ISBLANK('Data Entry'!$K$949), "", 'Data Entry'!$K$949)</f>
      </c>
      <c r="L949">
        <f>IF(ISBLANK('Data Entry'!$L$949), "", 'Data Entry'!$L$949)</f>
      </c>
      <c r="M949">
        <f>IF(ISBLANK('Data Entry'!$M$949), "", 'Data Entry'!$M$949)</f>
      </c>
      <c r="N949">
        <f>IF(ISBLANK('Data Entry'!$N$949), "", 'Data Entry'!$N$949)</f>
      </c>
      <c r="O949">
        <f>IF(ISBLANK('Data Entry'!$O$949), "", 'Data Entry'!$O$949)</f>
      </c>
      <c r="P949">
        <f>IF(ISBLANK('Data Entry'!$P$949), "", 'Data Entry'!$P$949)</f>
      </c>
      <c r="Q949">
        <f>IF(ISBLANK('Data Entry'!$Q$949), "", 'Data Entry'!$Q$949)</f>
      </c>
      <c r="R949">
        <f>IF(ISBLANK('Data Entry'!$R$949), "", 'Data Entry'!$R$949)</f>
      </c>
      <c r="S949">
        <f>IF(ISBLANK('Data Entry'!$S$949), "", 'Data Entry'!$S$949)</f>
      </c>
      <c r="T949">
        <f>IF(ISBLANK('Data Entry'!$T$949), "", 'Data Entry'!$T$949)</f>
      </c>
      <c r="U949">
        <f>IF(ISBLANK('Data Entry'!$U$949), "", 'Data Entry'!$U$949)</f>
      </c>
      <c r="V949">
        <f>IF(ISBLANK('Data Entry'!$V$949), "", 'Data Entry'!$V$949)</f>
      </c>
      <c r="W949">
        <f>IF(ISBLANK('Data Entry'!$W$949), "", 'Data Entry'!$W$949)</f>
      </c>
      <c r="X949">
        <f>IF(ISBLANK('Data Entry'!$X$949), "", 'Data Entry'!$X$949)</f>
      </c>
      <c r="Y949">
        <f>IF(ISBLANK('Data Entry'!$Y$949), "", 'Data Entry'!$Y$949)</f>
      </c>
      <c r="Z949">
        <f>IF(ISBLANK('Data Entry'!$Z$949), "", 'Data Entry'!$Z$949)</f>
      </c>
      <c r="AA949">
        <f>IF(ISBLANK('Data Entry'!$[$949), "", 'Data Entry'!$[$949)</f>
      </c>
      <c r="AB949">
        <f>IF(ISBLANK('Data Entry'!$\$949), "", 'Data Entry'!$\$949)</f>
      </c>
      <c r="AC949">
        <f>IF(ISBLANK('Data Entry'!$]$949), "", 'Data Entry'!$]$949)</f>
      </c>
      <c r="AD949">
        <f>IF(ISBLANK('Data Entry'!$^$949), "", 'Data Entry'!$^$949)</f>
      </c>
      <c r="AE949">
        <f>IF(ISBLANK('Data Entry'!$_$949), "", 'Data Entry'!$_$949)</f>
      </c>
      <c r="AF949">
        <f>IF(ISBLANK('Data Entry'!$`$949), "", 'Data Entry'!$`$949)</f>
      </c>
      <c r="AG949">
        <f>IF(ISBLANK('Data Entry'!$a$949), "", 'Data Entry'!$a$949)</f>
      </c>
      <c r="AH949">
        <f>IF(ISBLANK('Data Entry'!$b$949), "", 'Data Entry'!$b$949)</f>
      </c>
      <c r="AI949">
        <f>IF(ISBLANK('Data Entry'!$c$949), "", 'Data Entry'!$c$949)</f>
      </c>
      <c r="AJ949">
        <f>IF(ISBLANK('Data Entry'!$d$949), "", 'Data Entry'!$d$949)</f>
      </c>
      <c r="AK949">
        <f>IF(ISBLANK('Data Entry'!$e$949), "", 'Data Entry'!$e$949)</f>
      </c>
      <c r="AL949">
        <f>IF(ISBLANK('Data Entry'!$f$949), "", 'Data Entry'!$f$949)</f>
      </c>
      <c r="AM949">
        <f>IF(ISBLANK('Data Entry'!$g$949), "", 'Data Entry'!$g$949)</f>
      </c>
      <c r="AN949">
        <f>IF(ISBLANK('Data Entry'!$h$949), "", 'Data Entry'!$h$949)</f>
      </c>
      <c r="AO949">
        <f>IF(ISBLANK('Data Entry'!$i$949), "", 'Data Entry'!$i$949)</f>
      </c>
      <c r="AP949">
        <f>IF(ISBLANK('Data Entry'!$j$949), "", 'Data Entry'!$j$949)</f>
      </c>
      <c r="AQ949">
        <f>IF(ISBLANK('Data Entry'!$k$949), "", 'Data Entry'!$k$949)</f>
      </c>
      <c r="AR949">
        <f>IF(ISBLANK('Data Entry'!$l$949), "", 'Data Entry'!$l$949)</f>
      </c>
      <c r="AS949">
        <f>IF(ISBLANK('Data Entry'!$m$949), "", 'Data Entry'!$m$949)</f>
      </c>
      <c r="AT949">
        <f>IF(ISBLANK('Data Entry'!$n$949), "", 'Data Entry'!$n$949)</f>
      </c>
      <c r="AU949">
        <f>IF(ISBLANK('Data Entry'!$o$949), "", 'Data Entry'!$o$949)</f>
      </c>
      <c r="AV949">
        <f>IF(ISBLANK('Data Entry'!$p$949), "", 'Data Entry'!$p$949)</f>
      </c>
      <c r="AW949">
        <f>IF(ISBLANK('Data Entry'!$q$949), "", 'Data Entry'!$q$949)</f>
      </c>
      <c r="AX949">
        <f>IF(ISBLANK('Data Entry'!$r$949), "", 'Data Entry'!$r$949)</f>
      </c>
      <c r="AY949">
        <f>IF(ISBLANK('Data Entry'!$s$949), "", 'Data Entry'!$s$949)</f>
      </c>
      <c r="AZ949">
        <f>IF(ISBLANK('Data Entry'!$t$949), "", 'Data Entry'!$t$949)</f>
      </c>
      <c r="BA949">
        <f>IF(ISBLANK('Data Entry'!$u$949), "", 'Data Entry'!$u$949)</f>
      </c>
      <c r="BB949">
        <f>IF(ISBLANK('Data Entry'!$v$949), "", 'Data Entry'!$v$949)</f>
      </c>
      <c r="BC949">
        <f>IF(ISBLANK('Data Entry'!$w$949), "", 'Data Entry'!$w$949)</f>
      </c>
      <c r="BD949">
        <f>IF(ISBLANK('Data Entry'!$x$949), "", 'Data Entry'!$x$949)</f>
      </c>
      <c r="BE949">
        <f>IF(ISBLANK('Data Entry'!$y$949), "", 'Data Entry'!$y$949)</f>
      </c>
      <c r="BF949">
        <f>IF(ISBLANK('Data Entry'!$z$949), "", 'Data Entry'!$z$949)</f>
      </c>
      <c r="BG949">
        <f>IF(ISBLANK('Data Entry'!${$949), "", 'Data Entry'!${$949)</f>
      </c>
      <c r="BH949">
        <f>IF(ISBLANK('Data Entry'!$|$949), "", 'Data Entry'!$|$949)</f>
      </c>
      <c r="BI949">
        <f>IF(ISBLANK('Data Entry'!$}$949), "", 'Data Entry'!$}$949)</f>
      </c>
      <c r="BJ949">
        <f>IF(ISBLANK('Data Entry'!$~$949), "", 'Data Entry'!$~$949)</f>
      </c>
      <c r="BK949">
        <f>IF(ISBLANK('Data Entry'!$$949), "", 'Data Entry'!$$949)</f>
      </c>
      <c r="BL949">
        <f>IF(ISBLANK('Data Entry'!$$949), "", 'Data Entry'!$$949)</f>
      </c>
      <c r="BM949">
        <f>IF(ISBLANK('Data Entry'!$$949), "", 'Data Entry'!$$949)</f>
      </c>
      <c r="BN949">
        <f>IF(ISBLANK('Data Entry'!$$949), "", 'Data Entry'!$$949)</f>
      </c>
      <c r="BO949">
        <f>IF(ISBLANK('Data Entry'!$$949), "", 'Data Entry'!$$949)</f>
      </c>
      <c r="BP949">
        <f>IF(ISBLANK('Data Entry'!$$949), "", 'Data Entry'!$$949)</f>
      </c>
      <c r="BQ949">
        <f>IF(ISBLANK('Data Entry'!$$949), "", 'Data Entry'!$$949)</f>
      </c>
      <c r="BR949">
        <f>IF(ISBLANK('Data Entry'!$$949), "", 'Data Entry'!$$949)</f>
      </c>
      <c r="BS949">
        <f>IF(ISBLANK('Data Entry'!$$949), "", 'Data Entry'!$$949)</f>
      </c>
      <c r="BT949">
        <f>IF(ISBLANK('Data Entry'!$$949), "", 'Data Entry'!$$949)</f>
      </c>
      <c r="BU949">
        <f>IF(ISBLANK('Data Entry'!$$949), "", 'Data Entry'!$$949)</f>
      </c>
      <c r="BV949">
        <f>IF(ISBLANK('Data Entry'!$$949), "", 'Data Entry'!$$949)</f>
      </c>
      <c r="BW949">
        <f>IF(ISBLANK('Data Entry'!$$949), "", 'Data Entry'!$$949)</f>
      </c>
      <c r="BX949">
        <f>IF(ISBLANK('Data Entry'!$$949), "", 'Data Entry'!$$949)</f>
      </c>
      <c r="BY949">
        <f>IF(ISBLANK('Data Entry'!$$949), "", 'Data Entry'!$$949)</f>
      </c>
      <c r="BZ949">
        <f>IF(ISBLANK('Data Entry'!$$949), "", 'Data Entry'!$$949)</f>
      </c>
      <c r="CA949">
        <f>IF(ISBLANK('Data Entry'!$$949), "", 'Data Entry'!$$949)</f>
      </c>
      <c r="CB949">
        <f>IF(ISBLANK('Data Entry'!$$949), "", 'Data Entry'!$$949)</f>
      </c>
      <c r="CC949">
        <f>IF(ISBLANK('Data Entry'!$$949), "", 'Data Entry'!$$949)</f>
      </c>
      <c r="CD949">
        <f>IF(ISBLANK('Data Entry'!$$949), "", 'Data Entry'!$$949)</f>
      </c>
      <c r="CE949">
        <f>IF(ISBLANK('Data Entry'!$$949), "", 'Data Entry'!$$949)</f>
      </c>
      <c r="CF949">
        <f>IF(ISBLANK('Data Entry'!$$949), "", 'Data Entry'!$$949)</f>
      </c>
      <c r="CG949">
        <f>IF(ISBLANK('Data Entry'!$$949), "", 'Data Entry'!$$949)</f>
      </c>
      <c r="CH949">
        <f>IF(ISBLANK('Data Entry'!$$949), "", 'Data Entry'!$$949)</f>
      </c>
      <c r="CI949">
        <f>IF(ISBLANK('Data Entry'!$$949), "", 'Data Entry'!$$949)</f>
      </c>
      <c r="CJ949">
        <f>IF(ISBLANK('Data Entry'!$$949), "", 'Data Entry'!$$949)</f>
      </c>
      <c r="CK949">
        <f>IF(ISBLANK('Data Entry'!$$949), "", 'Data Entry'!$$949)</f>
      </c>
      <c r="CL949">
        <f>IF(ISBLANK('Data Entry'!$$949), "", 'Data Entry'!$$949)</f>
      </c>
      <c r="CM949">
        <f>IF(ISBLANK('Data Entry'!$$949), "", 'Data Entry'!$$949)</f>
      </c>
      <c r="CN949">
        <f>IF(ISBLANK('Data Entry'!$$949), "", 'Data Entry'!$$949)</f>
      </c>
      <c r="CO949">
        <f>IF(ISBLANK('Data Entry'!$$949), "", 'Data Entry'!$$949)</f>
      </c>
      <c r="CP949">
        <f>IF(ISBLANK('Data Entry'!$$949), "", 'Data Entry'!$$949)</f>
      </c>
      <c r="CQ949">
        <f>IF(ISBLANK('Data Entry'!$$949), "", 'Data Entry'!$$949)</f>
      </c>
      <c r="CR949">
        <f>IF(ISBLANK('Data Entry'!$ $949), "", 'Data Entry'!$ $949)</f>
      </c>
      <c r="CS949">
        <f>IF(ISBLANK('Data Entry'!$¡$949), "", 'Data Entry'!$¡$949)</f>
      </c>
      <c r="CT949">
        <f>IF(ISBLANK('Data Entry'!$¢$949), "", 'Data Entry'!$¢$949)</f>
      </c>
      <c r="CU949">
        <f>IF(ISBLANK('Data Entry'!$£$949), "", 'Data Entry'!$£$949)</f>
      </c>
      <c r="CV949">
        <f>IF(ISBLANK('Data Entry'!$¤$949), "", 'Data Entry'!$¤$949)</f>
      </c>
      <c r="CW949">
        <f>IF(ISBLANK('Data Entry'!$¥$949), "", 'Data Entry'!$¥$949)</f>
      </c>
      <c r="CX949">
        <f>IF(ISBLANK('Data Entry'!$¦$949), "", 'Data Entry'!$¦$949)</f>
      </c>
      <c r="CY949">
        <f>IF(ISBLANK('Data Entry'!$§$949), "", 'Data Entry'!$§$949)</f>
      </c>
      <c r="CZ949">
        <f>IF(ISBLANK('Data Entry'!$¨$949), "", 'Data Entry'!$¨$949)</f>
      </c>
      <c r="DA949">
        <f>IF(ISBLANK('Data Entry'!$©$949), "", 'Data Entry'!$©$949)</f>
      </c>
      <c r="DB949">
        <f>IF(ISBLANK('Data Entry'!$ª$949), "", 'Data Entry'!$ª$949)</f>
      </c>
      <c r="DC949">
        <f>IF(ISBLANK('Data Entry'!$«$949), "", 'Data Entry'!$«$949)</f>
      </c>
      <c r="DD949">
        <f>IF(ISBLANK('Data Entry'!$¬$949), "", 'Data Entry'!$¬$949)</f>
      </c>
      <c r="DE949">
        <f>IF(ISBLANK('Data Entry'!$­$949), "", 'Data Entry'!$­$949)</f>
      </c>
      <c r="DF949">
        <f>IF(ISBLANK('Data Entry'!$®$949), "", 'Data Entry'!$®$949)</f>
      </c>
      <c r="DG949">
        <f>IF(ISBLANK('Data Entry'!$¯$949), "", 'Data Entry'!$¯$949)</f>
      </c>
      <c r="DH949">
        <f>IF(ISBLANK('Data Entry'!$°$949), "", 'Data Entry'!$°$949)</f>
      </c>
      <c r="DI949">
        <f>IF(ISBLANK('Data Entry'!$±$949), "", 'Data Entry'!$±$949)</f>
      </c>
      <c r="DJ949">
        <f>IF(ISBLANK('Data Entry'!$²$949), "", 'Data Entry'!$²$949)</f>
      </c>
      <c r="DK949">
        <f>IF(ISBLANK('Data Entry'!$³$949), "", 'Data Entry'!$³$949)</f>
      </c>
      <c r="DL949">
        <f>IF(ISBLANK('Data Entry'!$´$949), "", 'Data Entry'!$´$949)</f>
      </c>
      <c r="DM949">
        <f>IF(ISBLANK('Data Entry'!$µ$949), "", 'Data Entry'!$µ$949)</f>
      </c>
      <c r="DN949">
        <f>IF(ISBLANK('Data Entry'!$¶$949), "", 'Data Entry'!$¶$949)</f>
      </c>
      <c r="DO949">
        <f>IF(ISBLANK('Data Entry'!$·$949), "", 'Data Entry'!$·$949)</f>
      </c>
      <c r="DP949">
        <f>IF(ISBLANK('Data Entry'!$¸$949), "", 'Data Entry'!$¸$949)</f>
      </c>
      <c r="DQ949">
        <f>IF(ISBLANK('Data Entry'!$¹$949), "", 'Data Entry'!$¹$949)</f>
      </c>
      <c r="DR949">
        <f>IF(ISBLANK('Data Entry'!$º$949), "", 'Data Entry'!$º$949)</f>
      </c>
      <c r="DS949">
        <f>IF(ISBLANK('Data Entry'!$»$949), "", 'Data Entry'!$»$949)</f>
      </c>
      <c r="DT949">
        <f>IF(ISBLANK('Data Entry'!$¼$949), "", 'Data Entry'!$¼$949)</f>
      </c>
      <c r="DU949">
        <f>IF(ISBLANK('Data Entry'!$½$949), "", 'Data Entry'!$½$949)</f>
      </c>
      <c r="DV949">
        <f>IF(ISBLANK('Data Entry'!$¾$949), "", 'Data Entry'!$¾$949)</f>
      </c>
      <c r="DW949">
        <f>IF(ISBLANK('Data Entry'!$¿$949), "", 'Data Entry'!$¿$949)</f>
      </c>
      <c r="DX949">
        <f>IF(ISBLANK('Data Entry'!$À$949), "", 'Data Entry'!$À$949)</f>
      </c>
      <c r="DY949">
        <f>IF(ISBLANK('Data Entry'!$Á$949), "", 'Data Entry'!$Á$949)</f>
      </c>
      <c r="DZ949">
        <f>IF(ISBLANK('Data Entry'!$Â$949), "", 'Data Entry'!$Â$949)</f>
      </c>
      <c r="EA949">
        <f>IF(ISBLANK('Data Entry'!$Ã$949), "", 'Data Entry'!$Ã$949)</f>
      </c>
      <c r="EB949">
        <f>IF(ISBLANK('Data Entry'!$Ä$949), "", 'Data Entry'!$Ä$949)</f>
      </c>
      <c r="EC949">
        <f>IF(ISBLANK('Data Entry'!$Å$949), "", 'Data Entry'!$Å$949)</f>
      </c>
      <c r="ED949">
        <f>IF(ISBLANK('Data Entry'!$Æ$949), "", 'Data Entry'!$Æ$949)</f>
      </c>
      <c r="EE949">
        <f>IF(ISBLANK('Data Entry'!$Ç$949), "", 'Data Entry'!$Ç$949)</f>
      </c>
      <c r="EF949">
        <f>IF(ISBLANK('Data Entry'!$È$949), "", 'Data Entry'!$È$949)</f>
      </c>
      <c r="EG949">
        <f>IF(ISBLANK('Data Entry'!$É$949), "", 'Data Entry'!$É$949)</f>
      </c>
      <c r="EH949">
        <f>IF(ISBLANK('Data Entry'!$Ê$949), "", 'Data Entry'!$Ê$949)</f>
      </c>
      <c r="EI949">
        <f>IF(ISBLANK('Data Entry'!$Ë$949), "", 'Data Entry'!$Ë$949)</f>
      </c>
      <c r="EJ949">
        <f>IF(ISBLANK('Data Entry'!$Ì$949), "", 'Data Entry'!$Ì$949)</f>
      </c>
      <c r="EK949">
        <f>IF(ISBLANK('Data Entry'!$Í$949), "", 'Data Entry'!$Í$949)</f>
      </c>
      <c r="EL949">
        <f>IF(ISBLANK('Data Entry'!$Î$949), "", 'Data Entry'!$Î$949)</f>
      </c>
      <c r="EM949">
        <f>IF(ISBLANK('Data Entry'!$Ï$949), "", 'Data Entry'!$Ï$949)</f>
      </c>
      <c r="EN949">
        <f>IF(ISBLANK('Data Entry'!$Ð$949), "", 'Data Entry'!$Ð$949)</f>
      </c>
      <c r="EO949">
        <f>IF(ISBLANK('Data Entry'!$Ñ$949), "", 'Data Entry'!$Ñ$949)</f>
      </c>
      <c r="EP949">
        <f>IF(ISBLANK('Data Entry'!$Ò$949), "", 'Data Entry'!$Ò$949)</f>
      </c>
      <c r="EQ949">
        <f>IF(ISBLANK('Data Entry'!$Ó$949), "", 'Data Entry'!$Ó$949)</f>
      </c>
      <c r="ER949">
        <f>IF(ISBLANK('Data Entry'!$Ô$949), "", 'Data Entry'!$Ô$949)</f>
      </c>
      <c r="ES949">
        <f>IF(ISBLANK('Data Entry'!$Õ$949), "", 'Data Entry'!$Õ$949)</f>
      </c>
      <c r="ET949">
        <f>IF(ISBLANK('Data Entry'!$Ö$949), "", 'Data Entry'!$Ö$949)</f>
      </c>
      <c r="EU949">
        <f>IF(ISBLANK('Data Entry'!$×$949), "", 'Data Entry'!$×$949)</f>
      </c>
      <c r="EV949">
        <f>IF(ISBLANK('Data Entry'!$Ø$949), "", 'Data Entry'!$Ø$949)</f>
      </c>
      <c r="EW949">
        <f>IF(ISBLANK('Data Entry'!$Ù$949), "", 'Data Entry'!$Ù$949)</f>
      </c>
      <c r="EX949">
        <f>IF(ISBLANK('Data Entry'!$Ú$949), "", 'Data Entry'!$Ú$949)</f>
      </c>
      <c r="EY949">
        <f>IF(ISBLANK('Data Entry'!$Û$949), "", 'Data Entry'!$Û$949)</f>
      </c>
      <c r="EZ949">
        <f>IF(ISBLANK('Data Entry'!$Ü$949), "", 'Data Entry'!$Ü$949)</f>
      </c>
      <c r="FA949">
        <f>IF(ISBLANK('Data Entry'!$Ý$949), "", 'Data Entry'!$Ý$949)</f>
      </c>
      <c r="FB949">
        <f>IF(ISBLANK('Data Entry'!$Þ$949), "", 'Data Entry'!$Þ$949)</f>
      </c>
      <c r="FC949">
        <f>IF(ISBLANK('Data Entry'!$ß$949), "", 'Data Entry'!$ß$949)</f>
      </c>
      <c r="FD949">
        <f>IF(ISBLANK('Data Entry'!$à$949), "", 'Data Entry'!$à$949)</f>
      </c>
      <c r="FE949">
        <f>IF(ISBLANK('Data Entry'!$á$949), "", 'Data Entry'!$á$949)</f>
      </c>
      <c r="FF949">
        <f>IF(ISBLANK('Data Entry'!$â$949), "", 'Data Entry'!$â$949)</f>
      </c>
      <c r="FG949">
        <f>IF(ISBLANK('Data Entry'!$ã$949), "", 'Data Entry'!$ã$949)</f>
      </c>
      <c r="FH949">
        <f>IF(ISBLANK('Data Entry'!$ä$949), "", 'Data Entry'!$ä$949)</f>
      </c>
      <c r="FI949">
        <f>IF(ISBLANK('Data Entry'!$å$949), "", 'Data Entry'!$å$949)</f>
      </c>
      <c r="FJ949">
        <f>IF(ISBLANK('Data Entry'!$æ$949), "", 'Data Entry'!$æ$949)</f>
      </c>
      <c r="FK949">
        <f>IF(ISBLANK('Data Entry'!$ç$949), "", 'Data Entry'!$ç$949)</f>
      </c>
      <c r="FL949">
        <f>IF(ISBLANK('Data Entry'!$è$949), "", 'Data Entry'!$è$949)</f>
      </c>
      <c r="FM949">
        <f>IF(ISBLANK('Data Entry'!$é$949), "", 'Data Entry'!$é$949)</f>
      </c>
      <c r="FN949">
        <f>IF(ISBLANK('Data Entry'!$ê$949), "", 'Data Entry'!$ê$949)</f>
      </c>
      <c r="FO949">
        <f>IF(ISBLANK('Data Entry'!$ë$949), "", 'Data Entry'!$ë$949)</f>
      </c>
      <c r="FP949">
        <f>IF(ISBLANK('Data Entry'!$ì$949), "", 'Data Entry'!$ì$949)</f>
      </c>
      <c r="FQ949">
        <f>IF(ISBLANK('Data Entry'!$í$949), "", 'Data Entry'!$í$949)</f>
      </c>
      <c r="FR949">
        <f>IF(ISBLANK('Data Entry'!$î$949), "", 'Data Entry'!$î$949)</f>
      </c>
      <c r="FS949">
        <f>IF(ISBLANK('Data Entry'!$ï$949), "", 'Data Entry'!$ï$949)</f>
      </c>
      <c r="FT949">
        <f>IF(ISBLANK('Data Entry'!$ð$949), "", 'Data Entry'!$ð$949)</f>
      </c>
      <c r="FU949">
        <f>IF(ISBLANK('Data Entry'!$ñ$949), "", 'Data Entry'!$ñ$949)</f>
      </c>
      <c r="FV949">
        <f>IF(ISBLANK('Data Entry'!$ò$949), "", 'Data Entry'!$ò$949)</f>
      </c>
      <c r="FW949">
        <f>IF(ISBLANK('Data Entry'!$ó$949), "", 'Data Entry'!$ó$949)</f>
      </c>
      <c r="FX949">
        <f>IF(ISBLANK('Data Entry'!$ô$949), "", 'Data Entry'!$ô$949)</f>
      </c>
      <c r="FY949">
        <f>IF(ISBLANK('Data Entry'!$õ$949), "", 'Data Entry'!$õ$949)</f>
      </c>
      <c r="FZ949">
        <f>IF(ISBLANK('Data Entry'!$ö$949), "", 'Data Entry'!$ö$949)</f>
      </c>
      <c r="GA949">
        <f>IF(ISBLANK('Data Entry'!$÷$949), "", 'Data Entry'!$÷$949)</f>
      </c>
      <c r="GB949">
        <f>IF(ISBLANK('Data Entry'!$ø$949), "", 'Data Entry'!$ø$949)</f>
      </c>
      <c r="GC949">
        <f>IF(ISBLANK('Data Entry'!$ù$949), "", 'Data Entry'!$ù$949)</f>
      </c>
      <c r="GD949">
        <f>IF(ISBLANK('Data Entry'!$ú$949), "", 'Data Entry'!$ú$949)</f>
      </c>
      <c r="GE949">
        <f>IF(ISBLANK('Data Entry'!$û$949), "", 'Data Entry'!$û$949)</f>
      </c>
      <c r="GF949">
        <f>IF(ISBLANK('Data Entry'!$ü$949), "", 'Data Entry'!$ü$949)</f>
      </c>
      <c r="GG949">
        <f>IF(ISBLANK('Data Entry'!$ý$949), "", 'Data Entry'!$ý$949)</f>
      </c>
      <c r="GH949">
        <f>IF(ISBLANK('Data Entry'!$þ$949), "", 'Data Entry'!$þ$949)</f>
      </c>
      <c r="GI949">
        <f>IF(ISBLANK('Data Entry'!$ÿ$949), "", 'Data Entry'!$ÿ$949)</f>
      </c>
      <c r="GJ949">
        <f>IF(ISBLANK('Data Entry'!$Ā$949), "", 'Data Entry'!$Ā$949)</f>
      </c>
      <c r="GK949">
        <f>IF(ISBLANK('Data Entry'!$ā$949), "", 'Data Entry'!$ā$949)</f>
      </c>
      <c r="GL949">
        <f>IF(ISBLANK('Data Entry'!$Ă$949), "", 'Data Entry'!$Ă$949)</f>
      </c>
      <c r="GM949">
        <f>IF(ISBLANK('Data Entry'!$ă$949), "", 'Data Entry'!$ă$949)</f>
      </c>
      <c r="GN949">
        <f>IF(ISBLANK('Data Entry'!$Ą$949), "", 'Data Entry'!$Ą$949)</f>
      </c>
      <c r="GO949">
        <f>IF(ISBLANK('Data Entry'!$ą$949), "", 'Data Entry'!$ą$949)</f>
      </c>
      <c r="GP949">
        <f>IF(ISBLANK('Data Entry'!$Ć$949), "", 'Data Entry'!$Ć$949)</f>
      </c>
      <c r="GQ949">
        <f>IF(ISBLANK('Data Entry'!$ć$949), "", 'Data Entry'!$ć$949)</f>
      </c>
      <c r="GR949">
        <f>IF(ISBLANK('Data Entry'!$Ĉ$949), "", 'Data Entry'!$Ĉ$949)</f>
      </c>
      <c r="GS949">
        <f>IF(ISBLANK('Data Entry'!$ĉ$949), "", 'Data Entry'!$ĉ$949)</f>
      </c>
      <c r="GT949">
        <f>IF(ISBLANK('Data Entry'!$Ċ$949), "", 'Data Entry'!$Ċ$949)</f>
      </c>
      <c r="GU949">
        <f>IF(ISBLANK('Data Entry'!$ċ$949), "", 'Data Entry'!$ċ$949)</f>
      </c>
      <c r="GV949">
        <f>IF(ISBLANK('Data Entry'!$Č$949), "", 'Data Entry'!$Č$949)</f>
      </c>
      <c r="GW949">
        <f>IF(ISBLANK('Data Entry'!$č$949), "", 'Data Entry'!$č$949)</f>
      </c>
      <c r="GX949">
        <f>IF(ISBLANK('Data Entry'!$Ď$949), "", 'Data Entry'!$Ď$949)</f>
      </c>
      <c r="GY949">
        <f>IF(ISBLANK('Data Entry'!$ď$949), "", 'Data Entry'!$ď$949)</f>
      </c>
      <c r="GZ949">
        <f>IF(ISBLANK('Data Entry'!$Đ$949), "", 'Data Entry'!$Đ$949)</f>
      </c>
      <c r="HA949">
        <f>IF(ISBLANK('Data Entry'!$đ$949), "", 'Data Entry'!$đ$949)</f>
      </c>
      <c r="HB949">
        <f>IF(ISBLANK('Data Entry'!$Ē$949), "", 'Data Entry'!$Ē$949)</f>
      </c>
      <c r="HC949">
        <f>IF(ISBLANK('Data Entry'!$ē$949), "", 'Data Entry'!$ē$949)</f>
      </c>
      <c r="HD949">
        <f>IF(ISBLANK('Data Entry'!$Ĕ$949), "", 'Data Entry'!$Ĕ$949)</f>
      </c>
      <c r="HE949">
        <f>IF(ISBLANK('Data Entry'!$ĕ$949), "", 'Data Entry'!$ĕ$949)</f>
      </c>
      <c r="HF949">
        <f>IF(ISBLANK('Data Entry'!$Ė$949), "", 'Data Entry'!$Ė$949)</f>
      </c>
      <c r="HG949">
        <f>IF(ISBLANK('Data Entry'!$ė$949), "", 'Data Entry'!$ė$949)</f>
      </c>
      <c r="HH949">
        <f>IF(ISBLANK('Data Entry'!$Ę$949), "", 'Data Entry'!$Ę$949)</f>
      </c>
      <c r="HI949">
        <f>IF(ISBLANK('Data Entry'!$ę$949), "", 'Data Entry'!$ę$949)</f>
      </c>
      <c r="HJ949">
        <f>IF(ISBLANK('Data Entry'!$Ě$949), "", 'Data Entry'!$Ě$949)</f>
      </c>
      <c r="HK949">
        <f>IF(ISBLANK('Data Entry'!$ě$949), "", 'Data Entry'!$ě$949)</f>
      </c>
      <c r="HL949">
        <f>IF(ISBLANK('Data Entry'!$Ĝ$949), "", 'Data Entry'!$Ĝ$949)</f>
      </c>
      <c r="HM949">
        <f>IF(ISBLANK('Data Entry'!$ĝ$949), "", 'Data Entry'!$ĝ$949)</f>
      </c>
      <c r="HN949">
        <f>IF(ISBLANK('Data Entry'!$Ğ$949), "", 'Data Entry'!$Ğ$949)</f>
      </c>
      <c r="HO949">
        <f>IF(ISBLANK('Data Entry'!$ğ$949), "", 'Data Entry'!$ğ$949)</f>
      </c>
      <c r="HP949">
        <f>IF(ISBLANK('Data Entry'!$Ġ$949), "", 'Data Entry'!$Ġ$949)</f>
      </c>
      <c r="HQ949">
        <f>IF(ISBLANK('Data Entry'!$ġ$949), "", 'Data Entry'!$ġ$949)</f>
      </c>
      <c r="HR949">
        <f>IF(ISBLANK('Data Entry'!$Ģ$949), "", 'Data Entry'!$Ģ$949)</f>
      </c>
      <c r="HS949">
        <f>IF(ISBLANK('Data Entry'!$ģ$949), "", 'Data Entry'!$ģ$949)</f>
      </c>
      <c r="HT949">
        <f>IF(ISBLANK('Data Entry'!$Ĥ$949), "", 'Data Entry'!$Ĥ$949)</f>
      </c>
      <c r="HU949">
        <f>IF(ISBLANK('Data Entry'!$ĥ$949), "", 'Data Entry'!$ĥ$949)</f>
      </c>
      <c r="HV949">
        <f>IF(ISBLANK('Data Entry'!$Ħ$949), "", 'Data Entry'!$Ħ$949)</f>
      </c>
      <c r="HW949">
        <f>IF(ISBLANK('Data Entry'!$ħ$949), "", 'Data Entry'!$ħ$949)</f>
      </c>
      <c r="HX949">
        <f>IF(ISBLANK('Data Entry'!$Ĩ$949), "", 'Data Entry'!$Ĩ$949)</f>
      </c>
      <c r="HY949">
        <f>IF(ISBLANK('Data Entry'!$ĩ$949), "", 'Data Entry'!$ĩ$949)</f>
      </c>
      <c r="HZ949">
        <f>IF(ISBLANK('Data Entry'!$Ī$949), "", 'Data Entry'!$Ī$949)</f>
      </c>
      <c r="IA949">
        <f>IF(ISBLANK('Data Entry'!$ī$949), "", 'Data Entry'!$ī$949)</f>
      </c>
      <c r="IB949">
        <f>IF(ISBLANK('Data Entry'!$Ĭ$949), "", 'Data Entry'!$Ĭ$949)</f>
      </c>
      <c r="IC949">
        <f>IF(ISBLANK('Data Entry'!$ĭ$949), "", 'Data Entry'!$ĭ$949)</f>
      </c>
      <c r="ID949">
        <f>IF(ISBLANK('Data Entry'!$Į$949), "", 'Data Entry'!$Į$949)</f>
      </c>
      <c r="IE949">
        <f>IF(ISBLANK('Data Entry'!$į$949), "", 'Data Entry'!$į$949)</f>
      </c>
      <c r="IF949">
        <f>IF(ISBLANK('Data Entry'!$İ$949), "", 'Data Entry'!$İ$949)</f>
      </c>
      <c r="IG949">
        <f>IF(ISBLANK('Data Entry'!$ı$949), "", 'Data Entry'!$ı$949)</f>
      </c>
      <c r="IH949">
        <f>IF(ISBLANK('Data Entry'!$Ĳ$949), "", 'Data Entry'!$Ĳ$949)</f>
      </c>
      <c r="II949">
        <f>IF(ISBLANK('Data Entry'!$ĳ$949), "", 'Data Entry'!$ĳ$949)</f>
      </c>
      <c r="IJ949">
        <f>IF(ISBLANK('Data Entry'!$Ĵ$949), "", 'Data Entry'!$Ĵ$949)</f>
      </c>
      <c r="IK949">
        <f>IF(ISBLANK('Data Entry'!$ĵ$949), "", 'Data Entry'!$ĵ$949)</f>
      </c>
      <c r="IL949">
        <f>IF(ISBLANK('Data Entry'!$Ķ$949), "", 'Data Entry'!$Ķ$949)</f>
      </c>
      <c r="IM949">
        <f>IF(ISBLANK('Data Entry'!$ķ$949), "", 'Data Entry'!$ķ$949)</f>
      </c>
      <c r="IN949">
        <f>IF(ISBLANK('Data Entry'!$ĸ$949), "", 'Data Entry'!$ĸ$949)</f>
      </c>
      <c r="IO949">
        <f>IF(ISBLANK('Data Entry'!$Ĺ$949), "", 'Data Entry'!$Ĺ$949)</f>
      </c>
      <c r="IP949">
        <f>IF(ISBLANK('Data Entry'!$ĺ$949), "", 'Data Entry'!$ĺ$949)</f>
      </c>
      <c r="IQ949">
        <f>IF(ISBLANK('Data Entry'!$Ļ$949), "", 'Data Entry'!$Ļ$949)</f>
      </c>
      <c r="IR949">
        <f>IF(ISBLANK('Data Entry'!$ļ$949), "", 'Data Entry'!$ļ$949)</f>
      </c>
      <c r="IS949">
        <f>IF(ISBLANK('Data Entry'!$Ľ$949), "", 'Data Entry'!$Ľ$949)</f>
      </c>
      <c r="IT949">
        <f>IF(ISBLANK('Data Entry'!$ľ$949), "", 'Data Entry'!$ľ$949)</f>
      </c>
    </row>
    <row r="950" spans="1:254" x14ac:dyDescent="0.25">
      <c r="A950">
        <f>IF(ISBLANK('Data Entry'!$A$950), "", 'Data Entry'!$A$950)</f>
      </c>
      <c r="B950">
        <f>IF(ISBLANK('Data Entry'!$B$950), "", 'Data Entry'!$B$950)</f>
      </c>
      <c r="C950">
        <f>IF(ISBLANK('Data Entry'!$C$950), "", 'Data Entry'!$C$950)</f>
      </c>
      <c r="D950">
        <f>IF(ISBLANK('Data Entry'!$D$950), "", 'Data Entry'!$D$950)</f>
      </c>
      <c r="E950">
        <f>IF(ISBLANK('Data Entry'!$E$950), "", 'Data Entry'!$E$950)</f>
      </c>
      <c r="F950">
        <f>IF(ISBLANK('Data Entry'!$F$950), "", 'Data Entry'!$F$950)</f>
      </c>
      <c r="G950">
        <f>IF(ISBLANK('Data Entry'!$G$950), "", 'Data Entry'!$G$950)</f>
      </c>
      <c r="H950">
        <f>IF(ISBLANK('Data Entry'!$H$950), "", 'Data Entry'!$H$950)</f>
      </c>
      <c r="I950">
        <f>IF(ISBLANK('Data Entry'!$I$950), "", 'Data Entry'!$I$950)</f>
      </c>
      <c r="J950">
        <f>IF(ISBLANK('Data Entry'!$J$950), "", 'Data Entry'!$J$950)</f>
      </c>
      <c r="K950">
        <f>IF(ISBLANK('Data Entry'!$K$950), "", 'Data Entry'!$K$950)</f>
      </c>
      <c r="L950">
        <f>IF(ISBLANK('Data Entry'!$L$950), "", 'Data Entry'!$L$950)</f>
      </c>
      <c r="M950">
        <f>IF(ISBLANK('Data Entry'!$M$950), "", 'Data Entry'!$M$950)</f>
      </c>
      <c r="N950">
        <f>IF(ISBLANK('Data Entry'!$N$950), "", 'Data Entry'!$N$950)</f>
      </c>
      <c r="O950">
        <f>IF(ISBLANK('Data Entry'!$O$950), "", 'Data Entry'!$O$950)</f>
      </c>
      <c r="P950">
        <f>IF(ISBLANK('Data Entry'!$P$950), "", 'Data Entry'!$P$950)</f>
      </c>
      <c r="Q950">
        <f>IF(ISBLANK('Data Entry'!$Q$950), "", 'Data Entry'!$Q$950)</f>
      </c>
      <c r="R950">
        <f>IF(ISBLANK('Data Entry'!$R$950), "", 'Data Entry'!$R$950)</f>
      </c>
      <c r="S950">
        <f>IF(ISBLANK('Data Entry'!$S$950), "", 'Data Entry'!$S$950)</f>
      </c>
      <c r="T950">
        <f>IF(ISBLANK('Data Entry'!$T$950), "", 'Data Entry'!$T$950)</f>
      </c>
      <c r="U950">
        <f>IF(ISBLANK('Data Entry'!$U$950), "", 'Data Entry'!$U$950)</f>
      </c>
      <c r="V950">
        <f>IF(ISBLANK('Data Entry'!$V$950), "", 'Data Entry'!$V$950)</f>
      </c>
      <c r="W950">
        <f>IF(ISBLANK('Data Entry'!$W$950), "", 'Data Entry'!$W$950)</f>
      </c>
      <c r="X950">
        <f>IF(ISBLANK('Data Entry'!$X$950), "", 'Data Entry'!$X$950)</f>
      </c>
      <c r="Y950">
        <f>IF(ISBLANK('Data Entry'!$Y$950), "", 'Data Entry'!$Y$950)</f>
      </c>
      <c r="Z950">
        <f>IF(ISBLANK('Data Entry'!$Z$950), "", 'Data Entry'!$Z$950)</f>
      </c>
      <c r="AA950">
        <f>IF(ISBLANK('Data Entry'!$[$950), "", 'Data Entry'!$[$950)</f>
      </c>
      <c r="AB950">
        <f>IF(ISBLANK('Data Entry'!$\$950), "", 'Data Entry'!$\$950)</f>
      </c>
      <c r="AC950">
        <f>IF(ISBLANK('Data Entry'!$]$950), "", 'Data Entry'!$]$950)</f>
      </c>
      <c r="AD950">
        <f>IF(ISBLANK('Data Entry'!$^$950), "", 'Data Entry'!$^$950)</f>
      </c>
      <c r="AE950">
        <f>IF(ISBLANK('Data Entry'!$_$950), "", 'Data Entry'!$_$950)</f>
      </c>
      <c r="AF950">
        <f>IF(ISBLANK('Data Entry'!$`$950), "", 'Data Entry'!$`$950)</f>
      </c>
      <c r="AG950">
        <f>IF(ISBLANK('Data Entry'!$a$950), "", 'Data Entry'!$a$950)</f>
      </c>
      <c r="AH950">
        <f>IF(ISBLANK('Data Entry'!$b$950), "", 'Data Entry'!$b$950)</f>
      </c>
      <c r="AI950">
        <f>IF(ISBLANK('Data Entry'!$c$950), "", 'Data Entry'!$c$950)</f>
      </c>
      <c r="AJ950">
        <f>IF(ISBLANK('Data Entry'!$d$950), "", 'Data Entry'!$d$950)</f>
      </c>
      <c r="AK950">
        <f>IF(ISBLANK('Data Entry'!$e$950), "", 'Data Entry'!$e$950)</f>
      </c>
      <c r="AL950">
        <f>IF(ISBLANK('Data Entry'!$f$950), "", 'Data Entry'!$f$950)</f>
      </c>
      <c r="AM950">
        <f>IF(ISBLANK('Data Entry'!$g$950), "", 'Data Entry'!$g$950)</f>
      </c>
      <c r="AN950">
        <f>IF(ISBLANK('Data Entry'!$h$950), "", 'Data Entry'!$h$950)</f>
      </c>
      <c r="AO950">
        <f>IF(ISBLANK('Data Entry'!$i$950), "", 'Data Entry'!$i$950)</f>
      </c>
      <c r="AP950">
        <f>IF(ISBLANK('Data Entry'!$j$950), "", 'Data Entry'!$j$950)</f>
      </c>
      <c r="AQ950">
        <f>IF(ISBLANK('Data Entry'!$k$950), "", 'Data Entry'!$k$950)</f>
      </c>
      <c r="AR950">
        <f>IF(ISBLANK('Data Entry'!$l$950), "", 'Data Entry'!$l$950)</f>
      </c>
      <c r="AS950">
        <f>IF(ISBLANK('Data Entry'!$m$950), "", 'Data Entry'!$m$950)</f>
      </c>
      <c r="AT950">
        <f>IF(ISBLANK('Data Entry'!$n$950), "", 'Data Entry'!$n$950)</f>
      </c>
      <c r="AU950">
        <f>IF(ISBLANK('Data Entry'!$o$950), "", 'Data Entry'!$o$950)</f>
      </c>
      <c r="AV950">
        <f>IF(ISBLANK('Data Entry'!$p$950), "", 'Data Entry'!$p$950)</f>
      </c>
      <c r="AW950">
        <f>IF(ISBLANK('Data Entry'!$q$950), "", 'Data Entry'!$q$950)</f>
      </c>
      <c r="AX950">
        <f>IF(ISBLANK('Data Entry'!$r$950), "", 'Data Entry'!$r$950)</f>
      </c>
      <c r="AY950">
        <f>IF(ISBLANK('Data Entry'!$s$950), "", 'Data Entry'!$s$950)</f>
      </c>
      <c r="AZ950">
        <f>IF(ISBLANK('Data Entry'!$t$950), "", 'Data Entry'!$t$950)</f>
      </c>
      <c r="BA950">
        <f>IF(ISBLANK('Data Entry'!$u$950), "", 'Data Entry'!$u$950)</f>
      </c>
      <c r="BB950">
        <f>IF(ISBLANK('Data Entry'!$v$950), "", 'Data Entry'!$v$950)</f>
      </c>
      <c r="BC950">
        <f>IF(ISBLANK('Data Entry'!$w$950), "", 'Data Entry'!$w$950)</f>
      </c>
      <c r="BD950">
        <f>IF(ISBLANK('Data Entry'!$x$950), "", 'Data Entry'!$x$950)</f>
      </c>
      <c r="BE950">
        <f>IF(ISBLANK('Data Entry'!$y$950), "", 'Data Entry'!$y$950)</f>
      </c>
      <c r="BF950">
        <f>IF(ISBLANK('Data Entry'!$z$950), "", 'Data Entry'!$z$950)</f>
      </c>
      <c r="BG950">
        <f>IF(ISBLANK('Data Entry'!${$950), "", 'Data Entry'!${$950)</f>
      </c>
      <c r="BH950">
        <f>IF(ISBLANK('Data Entry'!$|$950), "", 'Data Entry'!$|$950)</f>
      </c>
      <c r="BI950">
        <f>IF(ISBLANK('Data Entry'!$}$950), "", 'Data Entry'!$}$950)</f>
      </c>
      <c r="BJ950">
        <f>IF(ISBLANK('Data Entry'!$~$950), "", 'Data Entry'!$~$950)</f>
      </c>
      <c r="BK950">
        <f>IF(ISBLANK('Data Entry'!$$950), "", 'Data Entry'!$$950)</f>
      </c>
      <c r="BL950">
        <f>IF(ISBLANK('Data Entry'!$$950), "", 'Data Entry'!$$950)</f>
      </c>
      <c r="BM950">
        <f>IF(ISBLANK('Data Entry'!$$950), "", 'Data Entry'!$$950)</f>
      </c>
      <c r="BN950">
        <f>IF(ISBLANK('Data Entry'!$$950), "", 'Data Entry'!$$950)</f>
      </c>
      <c r="BO950">
        <f>IF(ISBLANK('Data Entry'!$$950), "", 'Data Entry'!$$950)</f>
      </c>
      <c r="BP950">
        <f>IF(ISBLANK('Data Entry'!$$950), "", 'Data Entry'!$$950)</f>
      </c>
      <c r="BQ950">
        <f>IF(ISBLANK('Data Entry'!$$950), "", 'Data Entry'!$$950)</f>
      </c>
      <c r="BR950">
        <f>IF(ISBLANK('Data Entry'!$$950), "", 'Data Entry'!$$950)</f>
      </c>
      <c r="BS950">
        <f>IF(ISBLANK('Data Entry'!$$950), "", 'Data Entry'!$$950)</f>
      </c>
      <c r="BT950">
        <f>IF(ISBLANK('Data Entry'!$$950), "", 'Data Entry'!$$950)</f>
      </c>
      <c r="BU950">
        <f>IF(ISBLANK('Data Entry'!$$950), "", 'Data Entry'!$$950)</f>
      </c>
      <c r="BV950">
        <f>IF(ISBLANK('Data Entry'!$$950), "", 'Data Entry'!$$950)</f>
      </c>
      <c r="BW950">
        <f>IF(ISBLANK('Data Entry'!$$950), "", 'Data Entry'!$$950)</f>
      </c>
      <c r="BX950">
        <f>IF(ISBLANK('Data Entry'!$$950), "", 'Data Entry'!$$950)</f>
      </c>
      <c r="BY950">
        <f>IF(ISBLANK('Data Entry'!$$950), "", 'Data Entry'!$$950)</f>
      </c>
      <c r="BZ950">
        <f>IF(ISBLANK('Data Entry'!$$950), "", 'Data Entry'!$$950)</f>
      </c>
      <c r="CA950">
        <f>IF(ISBLANK('Data Entry'!$$950), "", 'Data Entry'!$$950)</f>
      </c>
      <c r="CB950">
        <f>IF(ISBLANK('Data Entry'!$$950), "", 'Data Entry'!$$950)</f>
      </c>
      <c r="CC950">
        <f>IF(ISBLANK('Data Entry'!$$950), "", 'Data Entry'!$$950)</f>
      </c>
      <c r="CD950">
        <f>IF(ISBLANK('Data Entry'!$$950), "", 'Data Entry'!$$950)</f>
      </c>
      <c r="CE950">
        <f>IF(ISBLANK('Data Entry'!$$950), "", 'Data Entry'!$$950)</f>
      </c>
      <c r="CF950">
        <f>IF(ISBLANK('Data Entry'!$$950), "", 'Data Entry'!$$950)</f>
      </c>
      <c r="CG950">
        <f>IF(ISBLANK('Data Entry'!$$950), "", 'Data Entry'!$$950)</f>
      </c>
      <c r="CH950">
        <f>IF(ISBLANK('Data Entry'!$$950), "", 'Data Entry'!$$950)</f>
      </c>
      <c r="CI950">
        <f>IF(ISBLANK('Data Entry'!$$950), "", 'Data Entry'!$$950)</f>
      </c>
      <c r="CJ950">
        <f>IF(ISBLANK('Data Entry'!$$950), "", 'Data Entry'!$$950)</f>
      </c>
      <c r="CK950">
        <f>IF(ISBLANK('Data Entry'!$$950), "", 'Data Entry'!$$950)</f>
      </c>
      <c r="CL950">
        <f>IF(ISBLANK('Data Entry'!$$950), "", 'Data Entry'!$$950)</f>
      </c>
      <c r="CM950">
        <f>IF(ISBLANK('Data Entry'!$$950), "", 'Data Entry'!$$950)</f>
      </c>
      <c r="CN950">
        <f>IF(ISBLANK('Data Entry'!$$950), "", 'Data Entry'!$$950)</f>
      </c>
      <c r="CO950">
        <f>IF(ISBLANK('Data Entry'!$$950), "", 'Data Entry'!$$950)</f>
      </c>
      <c r="CP950">
        <f>IF(ISBLANK('Data Entry'!$$950), "", 'Data Entry'!$$950)</f>
      </c>
      <c r="CQ950">
        <f>IF(ISBLANK('Data Entry'!$$950), "", 'Data Entry'!$$950)</f>
      </c>
      <c r="CR950">
        <f>IF(ISBLANK('Data Entry'!$ $950), "", 'Data Entry'!$ $950)</f>
      </c>
      <c r="CS950">
        <f>IF(ISBLANK('Data Entry'!$¡$950), "", 'Data Entry'!$¡$950)</f>
      </c>
      <c r="CT950">
        <f>IF(ISBLANK('Data Entry'!$¢$950), "", 'Data Entry'!$¢$950)</f>
      </c>
      <c r="CU950">
        <f>IF(ISBLANK('Data Entry'!$£$950), "", 'Data Entry'!$£$950)</f>
      </c>
      <c r="CV950">
        <f>IF(ISBLANK('Data Entry'!$¤$950), "", 'Data Entry'!$¤$950)</f>
      </c>
      <c r="CW950">
        <f>IF(ISBLANK('Data Entry'!$¥$950), "", 'Data Entry'!$¥$950)</f>
      </c>
      <c r="CX950">
        <f>IF(ISBLANK('Data Entry'!$¦$950), "", 'Data Entry'!$¦$950)</f>
      </c>
      <c r="CY950">
        <f>IF(ISBLANK('Data Entry'!$§$950), "", 'Data Entry'!$§$950)</f>
      </c>
      <c r="CZ950">
        <f>IF(ISBLANK('Data Entry'!$¨$950), "", 'Data Entry'!$¨$950)</f>
      </c>
      <c r="DA950">
        <f>IF(ISBLANK('Data Entry'!$©$950), "", 'Data Entry'!$©$950)</f>
      </c>
      <c r="DB950">
        <f>IF(ISBLANK('Data Entry'!$ª$950), "", 'Data Entry'!$ª$950)</f>
      </c>
      <c r="DC950">
        <f>IF(ISBLANK('Data Entry'!$«$950), "", 'Data Entry'!$«$950)</f>
      </c>
      <c r="DD950">
        <f>IF(ISBLANK('Data Entry'!$¬$950), "", 'Data Entry'!$¬$950)</f>
      </c>
      <c r="DE950">
        <f>IF(ISBLANK('Data Entry'!$­$950), "", 'Data Entry'!$­$950)</f>
      </c>
      <c r="DF950">
        <f>IF(ISBLANK('Data Entry'!$®$950), "", 'Data Entry'!$®$950)</f>
      </c>
      <c r="DG950">
        <f>IF(ISBLANK('Data Entry'!$¯$950), "", 'Data Entry'!$¯$950)</f>
      </c>
      <c r="DH950">
        <f>IF(ISBLANK('Data Entry'!$°$950), "", 'Data Entry'!$°$950)</f>
      </c>
      <c r="DI950">
        <f>IF(ISBLANK('Data Entry'!$±$950), "", 'Data Entry'!$±$950)</f>
      </c>
      <c r="DJ950">
        <f>IF(ISBLANK('Data Entry'!$²$950), "", 'Data Entry'!$²$950)</f>
      </c>
      <c r="DK950">
        <f>IF(ISBLANK('Data Entry'!$³$950), "", 'Data Entry'!$³$950)</f>
      </c>
      <c r="DL950">
        <f>IF(ISBLANK('Data Entry'!$´$950), "", 'Data Entry'!$´$950)</f>
      </c>
      <c r="DM950">
        <f>IF(ISBLANK('Data Entry'!$µ$950), "", 'Data Entry'!$µ$950)</f>
      </c>
      <c r="DN950">
        <f>IF(ISBLANK('Data Entry'!$¶$950), "", 'Data Entry'!$¶$950)</f>
      </c>
      <c r="DO950">
        <f>IF(ISBLANK('Data Entry'!$·$950), "", 'Data Entry'!$·$950)</f>
      </c>
      <c r="DP950">
        <f>IF(ISBLANK('Data Entry'!$¸$950), "", 'Data Entry'!$¸$950)</f>
      </c>
      <c r="DQ950">
        <f>IF(ISBLANK('Data Entry'!$¹$950), "", 'Data Entry'!$¹$950)</f>
      </c>
      <c r="DR950">
        <f>IF(ISBLANK('Data Entry'!$º$950), "", 'Data Entry'!$º$950)</f>
      </c>
      <c r="DS950">
        <f>IF(ISBLANK('Data Entry'!$»$950), "", 'Data Entry'!$»$950)</f>
      </c>
      <c r="DT950">
        <f>IF(ISBLANK('Data Entry'!$¼$950), "", 'Data Entry'!$¼$950)</f>
      </c>
      <c r="DU950">
        <f>IF(ISBLANK('Data Entry'!$½$950), "", 'Data Entry'!$½$950)</f>
      </c>
      <c r="DV950">
        <f>IF(ISBLANK('Data Entry'!$¾$950), "", 'Data Entry'!$¾$950)</f>
      </c>
      <c r="DW950">
        <f>IF(ISBLANK('Data Entry'!$¿$950), "", 'Data Entry'!$¿$950)</f>
      </c>
      <c r="DX950">
        <f>IF(ISBLANK('Data Entry'!$À$950), "", 'Data Entry'!$À$950)</f>
      </c>
      <c r="DY950">
        <f>IF(ISBLANK('Data Entry'!$Á$950), "", 'Data Entry'!$Á$950)</f>
      </c>
      <c r="DZ950">
        <f>IF(ISBLANK('Data Entry'!$Â$950), "", 'Data Entry'!$Â$950)</f>
      </c>
      <c r="EA950">
        <f>IF(ISBLANK('Data Entry'!$Ã$950), "", 'Data Entry'!$Ã$950)</f>
      </c>
      <c r="EB950">
        <f>IF(ISBLANK('Data Entry'!$Ä$950), "", 'Data Entry'!$Ä$950)</f>
      </c>
      <c r="EC950">
        <f>IF(ISBLANK('Data Entry'!$Å$950), "", 'Data Entry'!$Å$950)</f>
      </c>
      <c r="ED950">
        <f>IF(ISBLANK('Data Entry'!$Æ$950), "", 'Data Entry'!$Æ$950)</f>
      </c>
      <c r="EE950">
        <f>IF(ISBLANK('Data Entry'!$Ç$950), "", 'Data Entry'!$Ç$950)</f>
      </c>
      <c r="EF950">
        <f>IF(ISBLANK('Data Entry'!$È$950), "", 'Data Entry'!$È$950)</f>
      </c>
      <c r="EG950">
        <f>IF(ISBLANK('Data Entry'!$É$950), "", 'Data Entry'!$É$950)</f>
      </c>
      <c r="EH950">
        <f>IF(ISBLANK('Data Entry'!$Ê$950), "", 'Data Entry'!$Ê$950)</f>
      </c>
      <c r="EI950">
        <f>IF(ISBLANK('Data Entry'!$Ë$950), "", 'Data Entry'!$Ë$950)</f>
      </c>
      <c r="EJ950">
        <f>IF(ISBLANK('Data Entry'!$Ì$950), "", 'Data Entry'!$Ì$950)</f>
      </c>
      <c r="EK950">
        <f>IF(ISBLANK('Data Entry'!$Í$950), "", 'Data Entry'!$Í$950)</f>
      </c>
      <c r="EL950">
        <f>IF(ISBLANK('Data Entry'!$Î$950), "", 'Data Entry'!$Î$950)</f>
      </c>
      <c r="EM950">
        <f>IF(ISBLANK('Data Entry'!$Ï$950), "", 'Data Entry'!$Ï$950)</f>
      </c>
      <c r="EN950">
        <f>IF(ISBLANK('Data Entry'!$Ð$950), "", 'Data Entry'!$Ð$950)</f>
      </c>
      <c r="EO950">
        <f>IF(ISBLANK('Data Entry'!$Ñ$950), "", 'Data Entry'!$Ñ$950)</f>
      </c>
      <c r="EP950">
        <f>IF(ISBLANK('Data Entry'!$Ò$950), "", 'Data Entry'!$Ò$950)</f>
      </c>
      <c r="EQ950">
        <f>IF(ISBLANK('Data Entry'!$Ó$950), "", 'Data Entry'!$Ó$950)</f>
      </c>
      <c r="ER950">
        <f>IF(ISBLANK('Data Entry'!$Ô$950), "", 'Data Entry'!$Ô$950)</f>
      </c>
      <c r="ES950">
        <f>IF(ISBLANK('Data Entry'!$Õ$950), "", 'Data Entry'!$Õ$950)</f>
      </c>
      <c r="ET950">
        <f>IF(ISBLANK('Data Entry'!$Ö$950), "", 'Data Entry'!$Ö$950)</f>
      </c>
      <c r="EU950">
        <f>IF(ISBLANK('Data Entry'!$×$950), "", 'Data Entry'!$×$950)</f>
      </c>
      <c r="EV950">
        <f>IF(ISBLANK('Data Entry'!$Ø$950), "", 'Data Entry'!$Ø$950)</f>
      </c>
      <c r="EW950">
        <f>IF(ISBLANK('Data Entry'!$Ù$950), "", 'Data Entry'!$Ù$950)</f>
      </c>
      <c r="EX950">
        <f>IF(ISBLANK('Data Entry'!$Ú$950), "", 'Data Entry'!$Ú$950)</f>
      </c>
      <c r="EY950">
        <f>IF(ISBLANK('Data Entry'!$Û$950), "", 'Data Entry'!$Û$950)</f>
      </c>
      <c r="EZ950">
        <f>IF(ISBLANK('Data Entry'!$Ü$950), "", 'Data Entry'!$Ü$950)</f>
      </c>
      <c r="FA950">
        <f>IF(ISBLANK('Data Entry'!$Ý$950), "", 'Data Entry'!$Ý$950)</f>
      </c>
      <c r="FB950">
        <f>IF(ISBLANK('Data Entry'!$Þ$950), "", 'Data Entry'!$Þ$950)</f>
      </c>
      <c r="FC950">
        <f>IF(ISBLANK('Data Entry'!$ß$950), "", 'Data Entry'!$ß$950)</f>
      </c>
      <c r="FD950">
        <f>IF(ISBLANK('Data Entry'!$à$950), "", 'Data Entry'!$à$950)</f>
      </c>
      <c r="FE950">
        <f>IF(ISBLANK('Data Entry'!$á$950), "", 'Data Entry'!$á$950)</f>
      </c>
      <c r="FF950">
        <f>IF(ISBLANK('Data Entry'!$â$950), "", 'Data Entry'!$â$950)</f>
      </c>
      <c r="FG950">
        <f>IF(ISBLANK('Data Entry'!$ã$950), "", 'Data Entry'!$ã$950)</f>
      </c>
      <c r="FH950">
        <f>IF(ISBLANK('Data Entry'!$ä$950), "", 'Data Entry'!$ä$950)</f>
      </c>
      <c r="FI950">
        <f>IF(ISBLANK('Data Entry'!$å$950), "", 'Data Entry'!$å$950)</f>
      </c>
      <c r="FJ950">
        <f>IF(ISBLANK('Data Entry'!$æ$950), "", 'Data Entry'!$æ$950)</f>
      </c>
      <c r="FK950">
        <f>IF(ISBLANK('Data Entry'!$ç$950), "", 'Data Entry'!$ç$950)</f>
      </c>
      <c r="FL950">
        <f>IF(ISBLANK('Data Entry'!$è$950), "", 'Data Entry'!$è$950)</f>
      </c>
      <c r="FM950">
        <f>IF(ISBLANK('Data Entry'!$é$950), "", 'Data Entry'!$é$950)</f>
      </c>
      <c r="FN950">
        <f>IF(ISBLANK('Data Entry'!$ê$950), "", 'Data Entry'!$ê$950)</f>
      </c>
      <c r="FO950">
        <f>IF(ISBLANK('Data Entry'!$ë$950), "", 'Data Entry'!$ë$950)</f>
      </c>
      <c r="FP950">
        <f>IF(ISBLANK('Data Entry'!$ì$950), "", 'Data Entry'!$ì$950)</f>
      </c>
      <c r="FQ950">
        <f>IF(ISBLANK('Data Entry'!$í$950), "", 'Data Entry'!$í$950)</f>
      </c>
      <c r="FR950">
        <f>IF(ISBLANK('Data Entry'!$î$950), "", 'Data Entry'!$î$950)</f>
      </c>
      <c r="FS950">
        <f>IF(ISBLANK('Data Entry'!$ï$950), "", 'Data Entry'!$ï$950)</f>
      </c>
      <c r="FT950">
        <f>IF(ISBLANK('Data Entry'!$ð$950), "", 'Data Entry'!$ð$950)</f>
      </c>
      <c r="FU950">
        <f>IF(ISBLANK('Data Entry'!$ñ$950), "", 'Data Entry'!$ñ$950)</f>
      </c>
      <c r="FV950">
        <f>IF(ISBLANK('Data Entry'!$ò$950), "", 'Data Entry'!$ò$950)</f>
      </c>
      <c r="FW950">
        <f>IF(ISBLANK('Data Entry'!$ó$950), "", 'Data Entry'!$ó$950)</f>
      </c>
      <c r="FX950">
        <f>IF(ISBLANK('Data Entry'!$ô$950), "", 'Data Entry'!$ô$950)</f>
      </c>
      <c r="FY950">
        <f>IF(ISBLANK('Data Entry'!$õ$950), "", 'Data Entry'!$õ$950)</f>
      </c>
      <c r="FZ950">
        <f>IF(ISBLANK('Data Entry'!$ö$950), "", 'Data Entry'!$ö$950)</f>
      </c>
      <c r="GA950">
        <f>IF(ISBLANK('Data Entry'!$÷$950), "", 'Data Entry'!$÷$950)</f>
      </c>
      <c r="GB950">
        <f>IF(ISBLANK('Data Entry'!$ø$950), "", 'Data Entry'!$ø$950)</f>
      </c>
      <c r="GC950">
        <f>IF(ISBLANK('Data Entry'!$ù$950), "", 'Data Entry'!$ù$950)</f>
      </c>
      <c r="GD950">
        <f>IF(ISBLANK('Data Entry'!$ú$950), "", 'Data Entry'!$ú$950)</f>
      </c>
      <c r="GE950">
        <f>IF(ISBLANK('Data Entry'!$û$950), "", 'Data Entry'!$û$950)</f>
      </c>
      <c r="GF950">
        <f>IF(ISBLANK('Data Entry'!$ü$950), "", 'Data Entry'!$ü$950)</f>
      </c>
      <c r="GG950">
        <f>IF(ISBLANK('Data Entry'!$ý$950), "", 'Data Entry'!$ý$950)</f>
      </c>
      <c r="GH950">
        <f>IF(ISBLANK('Data Entry'!$þ$950), "", 'Data Entry'!$þ$950)</f>
      </c>
      <c r="GI950">
        <f>IF(ISBLANK('Data Entry'!$ÿ$950), "", 'Data Entry'!$ÿ$950)</f>
      </c>
      <c r="GJ950">
        <f>IF(ISBLANK('Data Entry'!$Ā$950), "", 'Data Entry'!$Ā$950)</f>
      </c>
      <c r="GK950">
        <f>IF(ISBLANK('Data Entry'!$ā$950), "", 'Data Entry'!$ā$950)</f>
      </c>
      <c r="GL950">
        <f>IF(ISBLANK('Data Entry'!$Ă$950), "", 'Data Entry'!$Ă$950)</f>
      </c>
      <c r="GM950">
        <f>IF(ISBLANK('Data Entry'!$ă$950), "", 'Data Entry'!$ă$950)</f>
      </c>
      <c r="GN950">
        <f>IF(ISBLANK('Data Entry'!$Ą$950), "", 'Data Entry'!$Ą$950)</f>
      </c>
      <c r="GO950">
        <f>IF(ISBLANK('Data Entry'!$ą$950), "", 'Data Entry'!$ą$950)</f>
      </c>
      <c r="GP950">
        <f>IF(ISBLANK('Data Entry'!$Ć$950), "", 'Data Entry'!$Ć$950)</f>
      </c>
      <c r="GQ950">
        <f>IF(ISBLANK('Data Entry'!$ć$950), "", 'Data Entry'!$ć$950)</f>
      </c>
      <c r="GR950">
        <f>IF(ISBLANK('Data Entry'!$Ĉ$950), "", 'Data Entry'!$Ĉ$950)</f>
      </c>
      <c r="GS950">
        <f>IF(ISBLANK('Data Entry'!$ĉ$950), "", 'Data Entry'!$ĉ$950)</f>
      </c>
      <c r="GT950">
        <f>IF(ISBLANK('Data Entry'!$Ċ$950), "", 'Data Entry'!$Ċ$950)</f>
      </c>
      <c r="GU950">
        <f>IF(ISBLANK('Data Entry'!$ċ$950), "", 'Data Entry'!$ċ$950)</f>
      </c>
      <c r="GV950">
        <f>IF(ISBLANK('Data Entry'!$Č$950), "", 'Data Entry'!$Č$950)</f>
      </c>
      <c r="GW950">
        <f>IF(ISBLANK('Data Entry'!$č$950), "", 'Data Entry'!$č$950)</f>
      </c>
      <c r="GX950">
        <f>IF(ISBLANK('Data Entry'!$Ď$950), "", 'Data Entry'!$Ď$950)</f>
      </c>
      <c r="GY950">
        <f>IF(ISBLANK('Data Entry'!$ď$950), "", 'Data Entry'!$ď$950)</f>
      </c>
      <c r="GZ950">
        <f>IF(ISBLANK('Data Entry'!$Đ$950), "", 'Data Entry'!$Đ$950)</f>
      </c>
      <c r="HA950">
        <f>IF(ISBLANK('Data Entry'!$đ$950), "", 'Data Entry'!$đ$950)</f>
      </c>
      <c r="HB950">
        <f>IF(ISBLANK('Data Entry'!$Ē$950), "", 'Data Entry'!$Ē$950)</f>
      </c>
      <c r="HC950">
        <f>IF(ISBLANK('Data Entry'!$ē$950), "", 'Data Entry'!$ē$950)</f>
      </c>
      <c r="HD950">
        <f>IF(ISBLANK('Data Entry'!$Ĕ$950), "", 'Data Entry'!$Ĕ$950)</f>
      </c>
      <c r="HE950">
        <f>IF(ISBLANK('Data Entry'!$ĕ$950), "", 'Data Entry'!$ĕ$950)</f>
      </c>
      <c r="HF950">
        <f>IF(ISBLANK('Data Entry'!$Ė$950), "", 'Data Entry'!$Ė$950)</f>
      </c>
      <c r="HG950">
        <f>IF(ISBLANK('Data Entry'!$ė$950), "", 'Data Entry'!$ė$950)</f>
      </c>
      <c r="HH950">
        <f>IF(ISBLANK('Data Entry'!$Ę$950), "", 'Data Entry'!$Ę$950)</f>
      </c>
      <c r="HI950">
        <f>IF(ISBLANK('Data Entry'!$ę$950), "", 'Data Entry'!$ę$950)</f>
      </c>
      <c r="HJ950">
        <f>IF(ISBLANK('Data Entry'!$Ě$950), "", 'Data Entry'!$Ě$950)</f>
      </c>
      <c r="HK950">
        <f>IF(ISBLANK('Data Entry'!$ě$950), "", 'Data Entry'!$ě$950)</f>
      </c>
      <c r="HL950">
        <f>IF(ISBLANK('Data Entry'!$Ĝ$950), "", 'Data Entry'!$Ĝ$950)</f>
      </c>
      <c r="HM950">
        <f>IF(ISBLANK('Data Entry'!$ĝ$950), "", 'Data Entry'!$ĝ$950)</f>
      </c>
      <c r="HN950">
        <f>IF(ISBLANK('Data Entry'!$Ğ$950), "", 'Data Entry'!$Ğ$950)</f>
      </c>
      <c r="HO950">
        <f>IF(ISBLANK('Data Entry'!$ğ$950), "", 'Data Entry'!$ğ$950)</f>
      </c>
      <c r="HP950">
        <f>IF(ISBLANK('Data Entry'!$Ġ$950), "", 'Data Entry'!$Ġ$950)</f>
      </c>
      <c r="HQ950">
        <f>IF(ISBLANK('Data Entry'!$ġ$950), "", 'Data Entry'!$ġ$950)</f>
      </c>
      <c r="HR950">
        <f>IF(ISBLANK('Data Entry'!$Ģ$950), "", 'Data Entry'!$Ģ$950)</f>
      </c>
      <c r="HS950">
        <f>IF(ISBLANK('Data Entry'!$ģ$950), "", 'Data Entry'!$ģ$950)</f>
      </c>
      <c r="HT950">
        <f>IF(ISBLANK('Data Entry'!$Ĥ$950), "", 'Data Entry'!$Ĥ$950)</f>
      </c>
      <c r="HU950">
        <f>IF(ISBLANK('Data Entry'!$ĥ$950), "", 'Data Entry'!$ĥ$950)</f>
      </c>
      <c r="HV950">
        <f>IF(ISBLANK('Data Entry'!$Ħ$950), "", 'Data Entry'!$Ħ$950)</f>
      </c>
      <c r="HW950">
        <f>IF(ISBLANK('Data Entry'!$ħ$950), "", 'Data Entry'!$ħ$950)</f>
      </c>
      <c r="HX950">
        <f>IF(ISBLANK('Data Entry'!$Ĩ$950), "", 'Data Entry'!$Ĩ$950)</f>
      </c>
      <c r="HY950">
        <f>IF(ISBLANK('Data Entry'!$ĩ$950), "", 'Data Entry'!$ĩ$950)</f>
      </c>
      <c r="HZ950">
        <f>IF(ISBLANK('Data Entry'!$Ī$950), "", 'Data Entry'!$Ī$950)</f>
      </c>
      <c r="IA950">
        <f>IF(ISBLANK('Data Entry'!$ī$950), "", 'Data Entry'!$ī$950)</f>
      </c>
      <c r="IB950">
        <f>IF(ISBLANK('Data Entry'!$Ĭ$950), "", 'Data Entry'!$Ĭ$950)</f>
      </c>
      <c r="IC950">
        <f>IF(ISBLANK('Data Entry'!$ĭ$950), "", 'Data Entry'!$ĭ$950)</f>
      </c>
      <c r="ID950">
        <f>IF(ISBLANK('Data Entry'!$Į$950), "", 'Data Entry'!$Į$950)</f>
      </c>
      <c r="IE950">
        <f>IF(ISBLANK('Data Entry'!$į$950), "", 'Data Entry'!$į$950)</f>
      </c>
      <c r="IF950">
        <f>IF(ISBLANK('Data Entry'!$İ$950), "", 'Data Entry'!$İ$950)</f>
      </c>
      <c r="IG950">
        <f>IF(ISBLANK('Data Entry'!$ı$950), "", 'Data Entry'!$ı$950)</f>
      </c>
      <c r="IH950">
        <f>IF(ISBLANK('Data Entry'!$Ĳ$950), "", 'Data Entry'!$Ĳ$950)</f>
      </c>
      <c r="II950">
        <f>IF(ISBLANK('Data Entry'!$ĳ$950), "", 'Data Entry'!$ĳ$950)</f>
      </c>
      <c r="IJ950">
        <f>IF(ISBLANK('Data Entry'!$Ĵ$950), "", 'Data Entry'!$Ĵ$950)</f>
      </c>
      <c r="IK950">
        <f>IF(ISBLANK('Data Entry'!$ĵ$950), "", 'Data Entry'!$ĵ$950)</f>
      </c>
      <c r="IL950">
        <f>IF(ISBLANK('Data Entry'!$Ķ$950), "", 'Data Entry'!$Ķ$950)</f>
      </c>
      <c r="IM950">
        <f>IF(ISBLANK('Data Entry'!$ķ$950), "", 'Data Entry'!$ķ$950)</f>
      </c>
      <c r="IN950">
        <f>IF(ISBLANK('Data Entry'!$ĸ$950), "", 'Data Entry'!$ĸ$950)</f>
      </c>
      <c r="IO950">
        <f>IF(ISBLANK('Data Entry'!$Ĺ$950), "", 'Data Entry'!$Ĺ$950)</f>
      </c>
      <c r="IP950">
        <f>IF(ISBLANK('Data Entry'!$ĺ$950), "", 'Data Entry'!$ĺ$950)</f>
      </c>
      <c r="IQ950">
        <f>IF(ISBLANK('Data Entry'!$Ļ$950), "", 'Data Entry'!$Ļ$950)</f>
      </c>
      <c r="IR950">
        <f>IF(ISBLANK('Data Entry'!$ļ$950), "", 'Data Entry'!$ļ$950)</f>
      </c>
      <c r="IS950">
        <f>IF(ISBLANK('Data Entry'!$Ľ$950), "", 'Data Entry'!$Ľ$950)</f>
      </c>
      <c r="IT950">
        <f>IF(ISBLANK('Data Entry'!$ľ$950), "", 'Data Entry'!$ľ$950)</f>
      </c>
    </row>
    <row r="951" spans="1:254" x14ac:dyDescent="0.25">
      <c r="A951">
        <f>IF(ISBLANK('Data Entry'!$A$951), "", 'Data Entry'!$A$951)</f>
      </c>
      <c r="B951">
        <f>IF(ISBLANK('Data Entry'!$B$951), "", 'Data Entry'!$B$951)</f>
      </c>
      <c r="C951">
        <f>IF(ISBLANK('Data Entry'!$C$951), "", 'Data Entry'!$C$951)</f>
      </c>
      <c r="D951">
        <f>IF(ISBLANK('Data Entry'!$D$951), "", 'Data Entry'!$D$951)</f>
      </c>
      <c r="E951">
        <f>IF(ISBLANK('Data Entry'!$E$951), "", 'Data Entry'!$E$951)</f>
      </c>
      <c r="F951">
        <f>IF(ISBLANK('Data Entry'!$F$951), "", 'Data Entry'!$F$951)</f>
      </c>
      <c r="G951">
        <f>IF(ISBLANK('Data Entry'!$G$951), "", 'Data Entry'!$G$951)</f>
      </c>
      <c r="H951">
        <f>IF(ISBLANK('Data Entry'!$H$951), "", 'Data Entry'!$H$951)</f>
      </c>
      <c r="I951">
        <f>IF(ISBLANK('Data Entry'!$I$951), "", 'Data Entry'!$I$951)</f>
      </c>
      <c r="J951">
        <f>IF(ISBLANK('Data Entry'!$J$951), "", 'Data Entry'!$J$951)</f>
      </c>
      <c r="K951">
        <f>IF(ISBLANK('Data Entry'!$K$951), "", 'Data Entry'!$K$951)</f>
      </c>
      <c r="L951">
        <f>IF(ISBLANK('Data Entry'!$L$951), "", 'Data Entry'!$L$951)</f>
      </c>
      <c r="M951">
        <f>IF(ISBLANK('Data Entry'!$M$951), "", 'Data Entry'!$M$951)</f>
      </c>
      <c r="N951">
        <f>IF(ISBLANK('Data Entry'!$N$951), "", 'Data Entry'!$N$951)</f>
      </c>
      <c r="O951">
        <f>IF(ISBLANK('Data Entry'!$O$951), "", 'Data Entry'!$O$951)</f>
      </c>
      <c r="P951">
        <f>IF(ISBLANK('Data Entry'!$P$951), "", 'Data Entry'!$P$951)</f>
      </c>
      <c r="Q951">
        <f>IF(ISBLANK('Data Entry'!$Q$951), "", 'Data Entry'!$Q$951)</f>
      </c>
      <c r="R951">
        <f>IF(ISBLANK('Data Entry'!$R$951), "", 'Data Entry'!$R$951)</f>
      </c>
      <c r="S951">
        <f>IF(ISBLANK('Data Entry'!$S$951), "", 'Data Entry'!$S$951)</f>
      </c>
      <c r="T951">
        <f>IF(ISBLANK('Data Entry'!$T$951), "", 'Data Entry'!$T$951)</f>
      </c>
      <c r="U951">
        <f>IF(ISBLANK('Data Entry'!$U$951), "", 'Data Entry'!$U$951)</f>
      </c>
      <c r="V951">
        <f>IF(ISBLANK('Data Entry'!$V$951), "", 'Data Entry'!$V$951)</f>
      </c>
      <c r="W951">
        <f>IF(ISBLANK('Data Entry'!$W$951), "", 'Data Entry'!$W$951)</f>
      </c>
      <c r="X951">
        <f>IF(ISBLANK('Data Entry'!$X$951), "", 'Data Entry'!$X$951)</f>
      </c>
      <c r="Y951">
        <f>IF(ISBLANK('Data Entry'!$Y$951), "", 'Data Entry'!$Y$951)</f>
      </c>
      <c r="Z951">
        <f>IF(ISBLANK('Data Entry'!$Z$951), "", 'Data Entry'!$Z$951)</f>
      </c>
      <c r="AA951">
        <f>IF(ISBLANK('Data Entry'!$[$951), "", 'Data Entry'!$[$951)</f>
      </c>
      <c r="AB951">
        <f>IF(ISBLANK('Data Entry'!$\$951), "", 'Data Entry'!$\$951)</f>
      </c>
      <c r="AC951">
        <f>IF(ISBLANK('Data Entry'!$]$951), "", 'Data Entry'!$]$951)</f>
      </c>
      <c r="AD951">
        <f>IF(ISBLANK('Data Entry'!$^$951), "", 'Data Entry'!$^$951)</f>
      </c>
      <c r="AE951">
        <f>IF(ISBLANK('Data Entry'!$_$951), "", 'Data Entry'!$_$951)</f>
      </c>
      <c r="AF951">
        <f>IF(ISBLANK('Data Entry'!$`$951), "", 'Data Entry'!$`$951)</f>
      </c>
      <c r="AG951">
        <f>IF(ISBLANK('Data Entry'!$a$951), "", 'Data Entry'!$a$951)</f>
      </c>
      <c r="AH951">
        <f>IF(ISBLANK('Data Entry'!$b$951), "", 'Data Entry'!$b$951)</f>
      </c>
      <c r="AI951">
        <f>IF(ISBLANK('Data Entry'!$c$951), "", 'Data Entry'!$c$951)</f>
      </c>
      <c r="AJ951">
        <f>IF(ISBLANK('Data Entry'!$d$951), "", 'Data Entry'!$d$951)</f>
      </c>
      <c r="AK951">
        <f>IF(ISBLANK('Data Entry'!$e$951), "", 'Data Entry'!$e$951)</f>
      </c>
      <c r="AL951">
        <f>IF(ISBLANK('Data Entry'!$f$951), "", 'Data Entry'!$f$951)</f>
      </c>
      <c r="AM951">
        <f>IF(ISBLANK('Data Entry'!$g$951), "", 'Data Entry'!$g$951)</f>
      </c>
      <c r="AN951">
        <f>IF(ISBLANK('Data Entry'!$h$951), "", 'Data Entry'!$h$951)</f>
      </c>
      <c r="AO951">
        <f>IF(ISBLANK('Data Entry'!$i$951), "", 'Data Entry'!$i$951)</f>
      </c>
      <c r="AP951">
        <f>IF(ISBLANK('Data Entry'!$j$951), "", 'Data Entry'!$j$951)</f>
      </c>
      <c r="AQ951">
        <f>IF(ISBLANK('Data Entry'!$k$951), "", 'Data Entry'!$k$951)</f>
      </c>
      <c r="AR951">
        <f>IF(ISBLANK('Data Entry'!$l$951), "", 'Data Entry'!$l$951)</f>
      </c>
      <c r="AS951">
        <f>IF(ISBLANK('Data Entry'!$m$951), "", 'Data Entry'!$m$951)</f>
      </c>
      <c r="AT951">
        <f>IF(ISBLANK('Data Entry'!$n$951), "", 'Data Entry'!$n$951)</f>
      </c>
      <c r="AU951">
        <f>IF(ISBLANK('Data Entry'!$o$951), "", 'Data Entry'!$o$951)</f>
      </c>
      <c r="AV951">
        <f>IF(ISBLANK('Data Entry'!$p$951), "", 'Data Entry'!$p$951)</f>
      </c>
      <c r="AW951">
        <f>IF(ISBLANK('Data Entry'!$q$951), "", 'Data Entry'!$q$951)</f>
      </c>
      <c r="AX951">
        <f>IF(ISBLANK('Data Entry'!$r$951), "", 'Data Entry'!$r$951)</f>
      </c>
      <c r="AY951">
        <f>IF(ISBLANK('Data Entry'!$s$951), "", 'Data Entry'!$s$951)</f>
      </c>
      <c r="AZ951">
        <f>IF(ISBLANK('Data Entry'!$t$951), "", 'Data Entry'!$t$951)</f>
      </c>
      <c r="BA951">
        <f>IF(ISBLANK('Data Entry'!$u$951), "", 'Data Entry'!$u$951)</f>
      </c>
      <c r="BB951">
        <f>IF(ISBLANK('Data Entry'!$v$951), "", 'Data Entry'!$v$951)</f>
      </c>
      <c r="BC951">
        <f>IF(ISBLANK('Data Entry'!$w$951), "", 'Data Entry'!$w$951)</f>
      </c>
      <c r="BD951">
        <f>IF(ISBLANK('Data Entry'!$x$951), "", 'Data Entry'!$x$951)</f>
      </c>
      <c r="BE951">
        <f>IF(ISBLANK('Data Entry'!$y$951), "", 'Data Entry'!$y$951)</f>
      </c>
      <c r="BF951">
        <f>IF(ISBLANK('Data Entry'!$z$951), "", 'Data Entry'!$z$951)</f>
      </c>
      <c r="BG951">
        <f>IF(ISBLANK('Data Entry'!${$951), "", 'Data Entry'!${$951)</f>
      </c>
      <c r="BH951">
        <f>IF(ISBLANK('Data Entry'!$|$951), "", 'Data Entry'!$|$951)</f>
      </c>
      <c r="BI951">
        <f>IF(ISBLANK('Data Entry'!$}$951), "", 'Data Entry'!$}$951)</f>
      </c>
      <c r="BJ951">
        <f>IF(ISBLANK('Data Entry'!$~$951), "", 'Data Entry'!$~$951)</f>
      </c>
      <c r="BK951">
        <f>IF(ISBLANK('Data Entry'!$$951), "", 'Data Entry'!$$951)</f>
      </c>
      <c r="BL951">
        <f>IF(ISBLANK('Data Entry'!$$951), "", 'Data Entry'!$$951)</f>
      </c>
      <c r="BM951">
        <f>IF(ISBLANK('Data Entry'!$$951), "", 'Data Entry'!$$951)</f>
      </c>
      <c r="BN951">
        <f>IF(ISBLANK('Data Entry'!$$951), "", 'Data Entry'!$$951)</f>
      </c>
      <c r="BO951">
        <f>IF(ISBLANK('Data Entry'!$$951), "", 'Data Entry'!$$951)</f>
      </c>
      <c r="BP951">
        <f>IF(ISBLANK('Data Entry'!$$951), "", 'Data Entry'!$$951)</f>
      </c>
      <c r="BQ951">
        <f>IF(ISBLANK('Data Entry'!$$951), "", 'Data Entry'!$$951)</f>
      </c>
      <c r="BR951">
        <f>IF(ISBLANK('Data Entry'!$$951), "", 'Data Entry'!$$951)</f>
      </c>
      <c r="BS951">
        <f>IF(ISBLANK('Data Entry'!$$951), "", 'Data Entry'!$$951)</f>
      </c>
      <c r="BT951">
        <f>IF(ISBLANK('Data Entry'!$$951), "", 'Data Entry'!$$951)</f>
      </c>
      <c r="BU951">
        <f>IF(ISBLANK('Data Entry'!$$951), "", 'Data Entry'!$$951)</f>
      </c>
      <c r="BV951">
        <f>IF(ISBLANK('Data Entry'!$$951), "", 'Data Entry'!$$951)</f>
      </c>
      <c r="BW951">
        <f>IF(ISBLANK('Data Entry'!$$951), "", 'Data Entry'!$$951)</f>
      </c>
      <c r="BX951">
        <f>IF(ISBLANK('Data Entry'!$$951), "", 'Data Entry'!$$951)</f>
      </c>
      <c r="BY951">
        <f>IF(ISBLANK('Data Entry'!$$951), "", 'Data Entry'!$$951)</f>
      </c>
      <c r="BZ951">
        <f>IF(ISBLANK('Data Entry'!$$951), "", 'Data Entry'!$$951)</f>
      </c>
      <c r="CA951">
        <f>IF(ISBLANK('Data Entry'!$$951), "", 'Data Entry'!$$951)</f>
      </c>
      <c r="CB951">
        <f>IF(ISBLANK('Data Entry'!$$951), "", 'Data Entry'!$$951)</f>
      </c>
      <c r="CC951">
        <f>IF(ISBLANK('Data Entry'!$$951), "", 'Data Entry'!$$951)</f>
      </c>
      <c r="CD951">
        <f>IF(ISBLANK('Data Entry'!$$951), "", 'Data Entry'!$$951)</f>
      </c>
      <c r="CE951">
        <f>IF(ISBLANK('Data Entry'!$$951), "", 'Data Entry'!$$951)</f>
      </c>
      <c r="CF951">
        <f>IF(ISBLANK('Data Entry'!$$951), "", 'Data Entry'!$$951)</f>
      </c>
      <c r="CG951">
        <f>IF(ISBLANK('Data Entry'!$$951), "", 'Data Entry'!$$951)</f>
      </c>
      <c r="CH951">
        <f>IF(ISBLANK('Data Entry'!$$951), "", 'Data Entry'!$$951)</f>
      </c>
      <c r="CI951">
        <f>IF(ISBLANK('Data Entry'!$$951), "", 'Data Entry'!$$951)</f>
      </c>
      <c r="CJ951">
        <f>IF(ISBLANK('Data Entry'!$$951), "", 'Data Entry'!$$951)</f>
      </c>
      <c r="CK951">
        <f>IF(ISBLANK('Data Entry'!$$951), "", 'Data Entry'!$$951)</f>
      </c>
      <c r="CL951">
        <f>IF(ISBLANK('Data Entry'!$$951), "", 'Data Entry'!$$951)</f>
      </c>
      <c r="CM951">
        <f>IF(ISBLANK('Data Entry'!$$951), "", 'Data Entry'!$$951)</f>
      </c>
      <c r="CN951">
        <f>IF(ISBLANK('Data Entry'!$$951), "", 'Data Entry'!$$951)</f>
      </c>
      <c r="CO951">
        <f>IF(ISBLANK('Data Entry'!$$951), "", 'Data Entry'!$$951)</f>
      </c>
      <c r="CP951">
        <f>IF(ISBLANK('Data Entry'!$$951), "", 'Data Entry'!$$951)</f>
      </c>
      <c r="CQ951">
        <f>IF(ISBLANK('Data Entry'!$$951), "", 'Data Entry'!$$951)</f>
      </c>
      <c r="CR951">
        <f>IF(ISBLANK('Data Entry'!$ $951), "", 'Data Entry'!$ $951)</f>
      </c>
      <c r="CS951">
        <f>IF(ISBLANK('Data Entry'!$¡$951), "", 'Data Entry'!$¡$951)</f>
      </c>
      <c r="CT951">
        <f>IF(ISBLANK('Data Entry'!$¢$951), "", 'Data Entry'!$¢$951)</f>
      </c>
      <c r="CU951">
        <f>IF(ISBLANK('Data Entry'!$£$951), "", 'Data Entry'!$£$951)</f>
      </c>
      <c r="CV951">
        <f>IF(ISBLANK('Data Entry'!$¤$951), "", 'Data Entry'!$¤$951)</f>
      </c>
      <c r="CW951">
        <f>IF(ISBLANK('Data Entry'!$¥$951), "", 'Data Entry'!$¥$951)</f>
      </c>
      <c r="CX951">
        <f>IF(ISBLANK('Data Entry'!$¦$951), "", 'Data Entry'!$¦$951)</f>
      </c>
      <c r="CY951">
        <f>IF(ISBLANK('Data Entry'!$§$951), "", 'Data Entry'!$§$951)</f>
      </c>
      <c r="CZ951">
        <f>IF(ISBLANK('Data Entry'!$¨$951), "", 'Data Entry'!$¨$951)</f>
      </c>
      <c r="DA951">
        <f>IF(ISBLANK('Data Entry'!$©$951), "", 'Data Entry'!$©$951)</f>
      </c>
      <c r="DB951">
        <f>IF(ISBLANK('Data Entry'!$ª$951), "", 'Data Entry'!$ª$951)</f>
      </c>
      <c r="DC951">
        <f>IF(ISBLANK('Data Entry'!$«$951), "", 'Data Entry'!$«$951)</f>
      </c>
      <c r="DD951">
        <f>IF(ISBLANK('Data Entry'!$¬$951), "", 'Data Entry'!$¬$951)</f>
      </c>
      <c r="DE951">
        <f>IF(ISBLANK('Data Entry'!$­$951), "", 'Data Entry'!$­$951)</f>
      </c>
      <c r="DF951">
        <f>IF(ISBLANK('Data Entry'!$®$951), "", 'Data Entry'!$®$951)</f>
      </c>
      <c r="DG951">
        <f>IF(ISBLANK('Data Entry'!$¯$951), "", 'Data Entry'!$¯$951)</f>
      </c>
      <c r="DH951">
        <f>IF(ISBLANK('Data Entry'!$°$951), "", 'Data Entry'!$°$951)</f>
      </c>
      <c r="DI951">
        <f>IF(ISBLANK('Data Entry'!$±$951), "", 'Data Entry'!$±$951)</f>
      </c>
      <c r="DJ951">
        <f>IF(ISBLANK('Data Entry'!$²$951), "", 'Data Entry'!$²$951)</f>
      </c>
      <c r="DK951">
        <f>IF(ISBLANK('Data Entry'!$³$951), "", 'Data Entry'!$³$951)</f>
      </c>
      <c r="DL951">
        <f>IF(ISBLANK('Data Entry'!$´$951), "", 'Data Entry'!$´$951)</f>
      </c>
      <c r="DM951">
        <f>IF(ISBLANK('Data Entry'!$µ$951), "", 'Data Entry'!$µ$951)</f>
      </c>
      <c r="DN951">
        <f>IF(ISBLANK('Data Entry'!$¶$951), "", 'Data Entry'!$¶$951)</f>
      </c>
      <c r="DO951">
        <f>IF(ISBLANK('Data Entry'!$·$951), "", 'Data Entry'!$·$951)</f>
      </c>
      <c r="DP951">
        <f>IF(ISBLANK('Data Entry'!$¸$951), "", 'Data Entry'!$¸$951)</f>
      </c>
      <c r="DQ951">
        <f>IF(ISBLANK('Data Entry'!$¹$951), "", 'Data Entry'!$¹$951)</f>
      </c>
      <c r="DR951">
        <f>IF(ISBLANK('Data Entry'!$º$951), "", 'Data Entry'!$º$951)</f>
      </c>
      <c r="DS951">
        <f>IF(ISBLANK('Data Entry'!$»$951), "", 'Data Entry'!$»$951)</f>
      </c>
      <c r="DT951">
        <f>IF(ISBLANK('Data Entry'!$¼$951), "", 'Data Entry'!$¼$951)</f>
      </c>
      <c r="DU951">
        <f>IF(ISBLANK('Data Entry'!$½$951), "", 'Data Entry'!$½$951)</f>
      </c>
      <c r="DV951">
        <f>IF(ISBLANK('Data Entry'!$¾$951), "", 'Data Entry'!$¾$951)</f>
      </c>
      <c r="DW951">
        <f>IF(ISBLANK('Data Entry'!$¿$951), "", 'Data Entry'!$¿$951)</f>
      </c>
      <c r="DX951">
        <f>IF(ISBLANK('Data Entry'!$À$951), "", 'Data Entry'!$À$951)</f>
      </c>
      <c r="DY951">
        <f>IF(ISBLANK('Data Entry'!$Á$951), "", 'Data Entry'!$Á$951)</f>
      </c>
      <c r="DZ951">
        <f>IF(ISBLANK('Data Entry'!$Â$951), "", 'Data Entry'!$Â$951)</f>
      </c>
      <c r="EA951">
        <f>IF(ISBLANK('Data Entry'!$Ã$951), "", 'Data Entry'!$Ã$951)</f>
      </c>
      <c r="EB951">
        <f>IF(ISBLANK('Data Entry'!$Ä$951), "", 'Data Entry'!$Ä$951)</f>
      </c>
      <c r="EC951">
        <f>IF(ISBLANK('Data Entry'!$Å$951), "", 'Data Entry'!$Å$951)</f>
      </c>
      <c r="ED951">
        <f>IF(ISBLANK('Data Entry'!$Æ$951), "", 'Data Entry'!$Æ$951)</f>
      </c>
      <c r="EE951">
        <f>IF(ISBLANK('Data Entry'!$Ç$951), "", 'Data Entry'!$Ç$951)</f>
      </c>
      <c r="EF951">
        <f>IF(ISBLANK('Data Entry'!$È$951), "", 'Data Entry'!$È$951)</f>
      </c>
      <c r="EG951">
        <f>IF(ISBLANK('Data Entry'!$É$951), "", 'Data Entry'!$É$951)</f>
      </c>
      <c r="EH951">
        <f>IF(ISBLANK('Data Entry'!$Ê$951), "", 'Data Entry'!$Ê$951)</f>
      </c>
      <c r="EI951">
        <f>IF(ISBLANK('Data Entry'!$Ë$951), "", 'Data Entry'!$Ë$951)</f>
      </c>
      <c r="EJ951">
        <f>IF(ISBLANK('Data Entry'!$Ì$951), "", 'Data Entry'!$Ì$951)</f>
      </c>
      <c r="EK951">
        <f>IF(ISBLANK('Data Entry'!$Í$951), "", 'Data Entry'!$Í$951)</f>
      </c>
      <c r="EL951">
        <f>IF(ISBLANK('Data Entry'!$Î$951), "", 'Data Entry'!$Î$951)</f>
      </c>
      <c r="EM951">
        <f>IF(ISBLANK('Data Entry'!$Ï$951), "", 'Data Entry'!$Ï$951)</f>
      </c>
      <c r="EN951">
        <f>IF(ISBLANK('Data Entry'!$Ð$951), "", 'Data Entry'!$Ð$951)</f>
      </c>
      <c r="EO951">
        <f>IF(ISBLANK('Data Entry'!$Ñ$951), "", 'Data Entry'!$Ñ$951)</f>
      </c>
      <c r="EP951">
        <f>IF(ISBLANK('Data Entry'!$Ò$951), "", 'Data Entry'!$Ò$951)</f>
      </c>
      <c r="EQ951">
        <f>IF(ISBLANK('Data Entry'!$Ó$951), "", 'Data Entry'!$Ó$951)</f>
      </c>
      <c r="ER951">
        <f>IF(ISBLANK('Data Entry'!$Ô$951), "", 'Data Entry'!$Ô$951)</f>
      </c>
      <c r="ES951">
        <f>IF(ISBLANK('Data Entry'!$Õ$951), "", 'Data Entry'!$Õ$951)</f>
      </c>
      <c r="ET951">
        <f>IF(ISBLANK('Data Entry'!$Ö$951), "", 'Data Entry'!$Ö$951)</f>
      </c>
      <c r="EU951">
        <f>IF(ISBLANK('Data Entry'!$×$951), "", 'Data Entry'!$×$951)</f>
      </c>
      <c r="EV951">
        <f>IF(ISBLANK('Data Entry'!$Ø$951), "", 'Data Entry'!$Ø$951)</f>
      </c>
      <c r="EW951">
        <f>IF(ISBLANK('Data Entry'!$Ù$951), "", 'Data Entry'!$Ù$951)</f>
      </c>
      <c r="EX951">
        <f>IF(ISBLANK('Data Entry'!$Ú$951), "", 'Data Entry'!$Ú$951)</f>
      </c>
      <c r="EY951">
        <f>IF(ISBLANK('Data Entry'!$Û$951), "", 'Data Entry'!$Û$951)</f>
      </c>
      <c r="EZ951">
        <f>IF(ISBLANK('Data Entry'!$Ü$951), "", 'Data Entry'!$Ü$951)</f>
      </c>
      <c r="FA951">
        <f>IF(ISBLANK('Data Entry'!$Ý$951), "", 'Data Entry'!$Ý$951)</f>
      </c>
      <c r="FB951">
        <f>IF(ISBLANK('Data Entry'!$Þ$951), "", 'Data Entry'!$Þ$951)</f>
      </c>
      <c r="FC951">
        <f>IF(ISBLANK('Data Entry'!$ß$951), "", 'Data Entry'!$ß$951)</f>
      </c>
      <c r="FD951">
        <f>IF(ISBLANK('Data Entry'!$à$951), "", 'Data Entry'!$à$951)</f>
      </c>
      <c r="FE951">
        <f>IF(ISBLANK('Data Entry'!$á$951), "", 'Data Entry'!$á$951)</f>
      </c>
      <c r="FF951">
        <f>IF(ISBLANK('Data Entry'!$â$951), "", 'Data Entry'!$â$951)</f>
      </c>
      <c r="FG951">
        <f>IF(ISBLANK('Data Entry'!$ã$951), "", 'Data Entry'!$ã$951)</f>
      </c>
      <c r="FH951">
        <f>IF(ISBLANK('Data Entry'!$ä$951), "", 'Data Entry'!$ä$951)</f>
      </c>
      <c r="FI951">
        <f>IF(ISBLANK('Data Entry'!$å$951), "", 'Data Entry'!$å$951)</f>
      </c>
      <c r="FJ951">
        <f>IF(ISBLANK('Data Entry'!$æ$951), "", 'Data Entry'!$æ$951)</f>
      </c>
      <c r="FK951">
        <f>IF(ISBLANK('Data Entry'!$ç$951), "", 'Data Entry'!$ç$951)</f>
      </c>
      <c r="FL951">
        <f>IF(ISBLANK('Data Entry'!$è$951), "", 'Data Entry'!$è$951)</f>
      </c>
      <c r="FM951">
        <f>IF(ISBLANK('Data Entry'!$é$951), "", 'Data Entry'!$é$951)</f>
      </c>
      <c r="FN951">
        <f>IF(ISBLANK('Data Entry'!$ê$951), "", 'Data Entry'!$ê$951)</f>
      </c>
      <c r="FO951">
        <f>IF(ISBLANK('Data Entry'!$ë$951), "", 'Data Entry'!$ë$951)</f>
      </c>
      <c r="FP951">
        <f>IF(ISBLANK('Data Entry'!$ì$951), "", 'Data Entry'!$ì$951)</f>
      </c>
      <c r="FQ951">
        <f>IF(ISBLANK('Data Entry'!$í$951), "", 'Data Entry'!$í$951)</f>
      </c>
      <c r="FR951">
        <f>IF(ISBLANK('Data Entry'!$î$951), "", 'Data Entry'!$î$951)</f>
      </c>
      <c r="FS951">
        <f>IF(ISBLANK('Data Entry'!$ï$951), "", 'Data Entry'!$ï$951)</f>
      </c>
      <c r="FT951">
        <f>IF(ISBLANK('Data Entry'!$ð$951), "", 'Data Entry'!$ð$951)</f>
      </c>
      <c r="FU951">
        <f>IF(ISBLANK('Data Entry'!$ñ$951), "", 'Data Entry'!$ñ$951)</f>
      </c>
      <c r="FV951">
        <f>IF(ISBLANK('Data Entry'!$ò$951), "", 'Data Entry'!$ò$951)</f>
      </c>
      <c r="FW951">
        <f>IF(ISBLANK('Data Entry'!$ó$951), "", 'Data Entry'!$ó$951)</f>
      </c>
      <c r="FX951">
        <f>IF(ISBLANK('Data Entry'!$ô$951), "", 'Data Entry'!$ô$951)</f>
      </c>
      <c r="FY951">
        <f>IF(ISBLANK('Data Entry'!$õ$951), "", 'Data Entry'!$õ$951)</f>
      </c>
      <c r="FZ951">
        <f>IF(ISBLANK('Data Entry'!$ö$951), "", 'Data Entry'!$ö$951)</f>
      </c>
      <c r="GA951">
        <f>IF(ISBLANK('Data Entry'!$÷$951), "", 'Data Entry'!$÷$951)</f>
      </c>
      <c r="GB951">
        <f>IF(ISBLANK('Data Entry'!$ø$951), "", 'Data Entry'!$ø$951)</f>
      </c>
      <c r="GC951">
        <f>IF(ISBLANK('Data Entry'!$ù$951), "", 'Data Entry'!$ù$951)</f>
      </c>
      <c r="GD951">
        <f>IF(ISBLANK('Data Entry'!$ú$951), "", 'Data Entry'!$ú$951)</f>
      </c>
      <c r="GE951">
        <f>IF(ISBLANK('Data Entry'!$û$951), "", 'Data Entry'!$û$951)</f>
      </c>
      <c r="GF951">
        <f>IF(ISBLANK('Data Entry'!$ü$951), "", 'Data Entry'!$ü$951)</f>
      </c>
      <c r="GG951">
        <f>IF(ISBLANK('Data Entry'!$ý$951), "", 'Data Entry'!$ý$951)</f>
      </c>
      <c r="GH951">
        <f>IF(ISBLANK('Data Entry'!$þ$951), "", 'Data Entry'!$þ$951)</f>
      </c>
      <c r="GI951">
        <f>IF(ISBLANK('Data Entry'!$ÿ$951), "", 'Data Entry'!$ÿ$951)</f>
      </c>
      <c r="GJ951">
        <f>IF(ISBLANK('Data Entry'!$Ā$951), "", 'Data Entry'!$Ā$951)</f>
      </c>
      <c r="GK951">
        <f>IF(ISBLANK('Data Entry'!$ā$951), "", 'Data Entry'!$ā$951)</f>
      </c>
      <c r="GL951">
        <f>IF(ISBLANK('Data Entry'!$Ă$951), "", 'Data Entry'!$Ă$951)</f>
      </c>
      <c r="GM951">
        <f>IF(ISBLANK('Data Entry'!$ă$951), "", 'Data Entry'!$ă$951)</f>
      </c>
      <c r="GN951">
        <f>IF(ISBLANK('Data Entry'!$Ą$951), "", 'Data Entry'!$Ą$951)</f>
      </c>
      <c r="GO951">
        <f>IF(ISBLANK('Data Entry'!$ą$951), "", 'Data Entry'!$ą$951)</f>
      </c>
      <c r="GP951">
        <f>IF(ISBLANK('Data Entry'!$Ć$951), "", 'Data Entry'!$Ć$951)</f>
      </c>
      <c r="GQ951">
        <f>IF(ISBLANK('Data Entry'!$ć$951), "", 'Data Entry'!$ć$951)</f>
      </c>
      <c r="GR951">
        <f>IF(ISBLANK('Data Entry'!$Ĉ$951), "", 'Data Entry'!$Ĉ$951)</f>
      </c>
      <c r="GS951">
        <f>IF(ISBLANK('Data Entry'!$ĉ$951), "", 'Data Entry'!$ĉ$951)</f>
      </c>
      <c r="GT951">
        <f>IF(ISBLANK('Data Entry'!$Ċ$951), "", 'Data Entry'!$Ċ$951)</f>
      </c>
      <c r="GU951">
        <f>IF(ISBLANK('Data Entry'!$ċ$951), "", 'Data Entry'!$ċ$951)</f>
      </c>
      <c r="GV951">
        <f>IF(ISBLANK('Data Entry'!$Č$951), "", 'Data Entry'!$Č$951)</f>
      </c>
      <c r="GW951">
        <f>IF(ISBLANK('Data Entry'!$č$951), "", 'Data Entry'!$č$951)</f>
      </c>
      <c r="GX951">
        <f>IF(ISBLANK('Data Entry'!$Ď$951), "", 'Data Entry'!$Ď$951)</f>
      </c>
      <c r="GY951">
        <f>IF(ISBLANK('Data Entry'!$ď$951), "", 'Data Entry'!$ď$951)</f>
      </c>
      <c r="GZ951">
        <f>IF(ISBLANK('Data Entry'!$Đ$951), "", 'Data Entry'!$Đ$951)</f>
      </c>
      <c r="HA951">
        <f>IF(ISBLANK('Data Entry'!$đ$951), "", 'Data Entry'!$đ$951)</f>
      </c>
      <c r="HB951">
        <f>IF(ISBLANK('Data Entry'!$Ē$951), "", 'Data Entry'!$Ē$951)</f>
      </c>
      <c r="HC951">
        <f>IF(ISBLANK('Data Entry'!$ē$951), "", 'Data Entry'!$ē$951)</f>
      </c>
      <c r="HD951">
        <f>IF(ISBLANK('Data Entry'!$Ĕ$951), "", 'Data Entry'!$Ĕ$951)</f>
      </c>
      <c r="HE951">
        <f>IF(ISBLANK('Data Entry'!$ĕ$951), "", 'Data Entry'!$ĕ$951)</f>
      </c>
      <c r="HF951">
        <f>IF(ISBLANK('Data Entry'!$Ė$951), "", 'Data Entry'!$Ė$951)</f>
      </c>
      <c r="HG951">
        <f>IF(ISBLANK('Data Entry'!$ė$951), "", 'Data Entry'!$ė$951)</f>
      </c>
      <c r="HH951">
        <f>IF(ISBLANK('Data Entry'!$Ę$951), "", 'Data Entry'!$Ę$951)</f>
      </c>
      <c r="HI951">
        <f>IF(ISBLANK('Data Entry'!$ę$951), "", 'Data Entry'!$ę$951)</f>
      </c>
      <c r="HJ951">
        <f>IF(ISBLANK('Data Entry'!$Ě$951), "", 'Data Entry'!$Ě$951)</f>
      </c>
      <c r="HK951">
        <f>IF(ISBLANK('Data Entry'!$ě$951), "", 'Data Entry'!$ě$951)</f>
      </c>
      <c r="HL951">
        <f>IF(ISBLANK('Data Entry'!$Ĝ$951), "", 'Data Entry'!$Ĝ$951)</f>
      </c>
      <c r="HM951">
        <f>IF(ISBLANK('Data Entry'!$ĝ$951), "", 'Data Entry'!$ĝ$951)</f>
      </c>
      <c r="HN951">
        <f>IF(ISBLANK('Data Entry'!$Ğ$951), "", 'Data Entry'!$Ğ$951)</f>
      </c>
      <c r="HO951">
        <f>IF(ISBLANK('Data Entry'!$ğ$951), "", 'Data Entry'!$ğ$951)</f>
      </c>
      <c r="HP951">
        <f>IF(ISBLANK('Data Entry'!$Ġ$951), "", 'Data Entry'!$Ġ$951)</f>
      </c>
      <c r="HQ951">
        <f>IF(ISBLANK('Data Entry'!$ġ$951), "", 'Data Entry'!$ġ$951)</f>
      </c>
      <c r="HR951">
        <f>IF(ISBLANK('Data Entry'!$Ģ$951), "", 'Data Entry'!$Ģ$951)</f>
      </c>
      <c r="HS951">
        <f>IF(ISBLANK('Data Entry'!$ģ$951), "", 'Data Entry'!$ģ$951)</f>
      </c>
      <c r="HT951">
        <f>IF(ISBLANK('Data Entry'!$Ĥ$951), "", 'Data Entry'!$Ĥ$951)</f>
      </c>
      <c r="HU951">
        <f>IF(ISBLANK('Data Entry'!$ĥ$951), "", 'Data Entry'!$ĥ$951)</f>
      </c>
      <c r="HV951">
        <f>IF(ISBLANK('Data Entry'!$Ħ$951), "", 'Data Entry'!$Ħ$951)</f>
      </c>
      <c r="HW951">
        <f>IF(ISBLANK('Data Entry'!$ħ$951), "", 'Data Entry'!$ħ$951)</f>
      </c>
      <c r="HX951">
        <f>IF(ISBLANK('Data Entry'!$Ĩ$951), "", 'Data Entry'!$Ĩ$951)</f>
      </c>
      <c r="HY951">
        <f>IF(ISBLANK('Data Entry'!$ĩ$951), "", 'Data Entry'!$ĩ$951)</f>
      </c>
      <c r="HZ951">
        <f>IF(ISBLANK('Data Entry'!$Ī$951), "", 'Data Entry'!$Ī$951)</f>
      </c>
      <c r="IA951">
        <f>IF(ISBLANK('Data Entry'!$ī$951), "", 'Data Entry'!$ī$951)</f>
      </c>
      <c r="IB951">
        <f>IF(ISBLANK('Data Entry'!$Ĭ$951), "", 'Data Entry'!$Ĭ$951)</f>
      </c>
      <c r="IC951">
        <f>IF(ISBLANK('Data Entry'!$ĭ$951), "", 'Data Entry'!$ĭ$951)</f>
      </c>
      <c r="ID951">
        <f>IF(ISBLANK('Data Entry'!$Į$951), "", 'Data Entry'!$Į$951)</f>
      </c>
      <c r="IE951">
        <f>IF(ISBLANK('Data Entry'!$į$951), "", 'Data Entry'!$į$951)</f>
      </c>
      <c r="IF951">
        <f>IF(ISBLANK('Data Entry'!$İ$951), "", 'Data Entry'!$İ$951)</f>
      </c>
      <c r="IG951">
        <f>IF(ISBLANK('Data Entry'!$ı$951), "", 'Data Entry'!$ı$951)</f>
      </c>
      <c r="IH951">
        <f>IF(ISBLANK('Data Entry'!$Ĳ$951), "", 'Data Entry'!$Ĳ$951)</f>
      </c>
      <c r="II951">
        <f>IF(ISBLANK('Data Entry'!$ĳ$951), "", 'Data Entry'!$ĳ$951)</f>
      </c>
      <c r="IJ951">
        <f>IF(ISBLANK('Data Entry'!$Ĵ$951), "", 'Data Entry'!$Ĵ$951)</f>
      </c>
      <c r="IK951">
        <f>IF(ISBLANK('Data Entry'!$ĵ$951), "", 'Data Entry'!$ĵ$951)</f>
      </c>
      <c r="IL951">
        <f>IF(ISBLANK('Data Entry'!$Ķ$951), "", 'Data Entry'!$Ķ$951)</f>
      </c>
      <c r="IM951">
        <f>IF(ISBLANK('Data Entry'!$ķ$951), "", 'Data Entry'!$ķ$951)</f>
      </c>
      <c r="IN951">
        <f>IF(ISBLANK('Data Entry'!$ĸ$951), "", 'Data Entry'!$ĸ$951)</f>
      </c>
      <c r="IO951">
        <f>IF(ISBLANK('Data Entry'!$Ĺ$951), "", 'Data Entry'!$Ĺ$951)</f>
      </c>
      <c r="IP951">
        <f>IF(ISBLANK('Data Entry'!$ĺ$951), "", 'Data Entry'!$ĺ$951)</f>
      </c>
      <c r="IQ951">
        <f>IF(ISBLANK('Data Entry'!$Ļ$951), "", 'Data Entry'!$Ļ$951)</f>
      </c>
      <c r="IR951">
        <f>IF(ISBLANK('Data Entry'!$ļ$951), "", 'Data Entry'!$ļ$951)</f>
      </c>
      <c r="IS951">
        <f>IF(ISBLANK('Data Entry'!$Ľ$951), "", 'Data Entry'!$Ľ$951)</f>
      </c>
      <c r="IT951">
        <f>IF(ISBLANK('Data Entry'!$ľ$951), "", 'Data Entry'!$ľ$951)</f>
      </c>
    </row>
    <row r="952" spans="1:254" x14ac:dyDescent="0.25">
      <c r="A952">
        <f>IF(ISBLANK('Data Entry'!$A$952), "", 'Data Entry'!$A$952)</f>
      </c>
      <c r="B952">
        <f>IF(ISBLANK('Data Entry'!$B$952), "", 'Data Entry'!$B$952)</f>
      </c>
      <c r="C952">
        <f>IF(ISBLANK('Data Entry'!$C$952), "", 'Data Entry'!$C$952)</f>
      </c>
      <c r="D952">
        <f>IF(ISBLANK('Data Entry'!$D$952), "", 'Data Entry'!$D$952)</f>
      </c>
      <c r="E952">
        <f>IF(ISBLANK('Data Entry'!$E$952), "", 'Data Entry'!$E$952)</f>
      </c>
      <c r="F952">
        <f>IF(ISBLANK('Data Entry'!$F$952), "", 'Data Entry'!$F$952)</f>
      </c>
      <c r="G952">
        <f>IF(ISBLANK('Data Entry'!$G$952), "", 'Data Entry'!$G$952)</f>
      </c>
      <c r="H952">
        <f>IF(ISBLANK('Data Entry'!$H$952), "", 'Data Entry'!$H$952)</f>
      </c>
      <c r="I952">
        <f>IF(ISBLANK('Data Entry'!$I$952), "", 'Data Entry'!$I$952)</f>
      </c>
      <c r="J952">
        <f>IF(ISBLANK('Data Entry'!$J$952), "", 'Data Entry'!$J$952)</f>
      </c>
      <c r="K952">
        <f>IF(ISBLANK('Data Entry'!$K$952), "", 'Data Entry'!$K$952)</f>
      </c>
      <c r="L952">
        <f>IF(ISBLANK('Data Entry'!$L$952), "", 'Data Entry'!$L$952)</f>
      </c>
      <c r="M952">
        <f>IF(ISBLANK('Data Entry'!$M$952), "", 'Data Entry'!$M$952)</f>
      </c>
      <c r="N952">
        <f>IF(ISBLANK('Data Entry'!$N$952), "", 'Data Entry'!$N$952)</f>
      </c>
      <c r="O952">
        <f>IF(ISBLANK('Data Entry'!$O$952), "", 'Data Entry'!$O$952)</f>
      </c>
      <c r="P952">
        <f>IF(ISBLANK('Data Entry'!$P$952), "", 'Data Entry'!$P$952)</f>
      </c>
      <c r="Q952">
        <f>IF(ISBLANK('Data Entry'!$Q$952), "", 'Data Entry'!$Q$952)</f>
      </c>
      <c r="R952">
        <f>IF(ISBLANK('Data Entry'!$R$952), "", 'Data Entry'!$R$952)</f>
      </c>
      <c r="S952">
        <f>IF(ISBLANK('Data Entry'!$S$952), "", 'Data Entry'!$S$952)</f>
      </c>
      <c r="T952">
        <f>IF(ISBLANK('Data Entry'!$T$952), "", 'Data Entry'!$T$952)</f>
      </c>
      <c r="U952">
        <f>IF(ISBLANK('Data Entry'!$U$952), "", 'Data Entry'!$U$952)</f>
      </c>
      <c r="V952">
        <f>IF(ISBLANK('Data Entry'!$V$952), "", 'Data Entry'!$V$952)</f>
      </c>
      <c r="W952">
        <f>IF(ISBLANK('Data Entry'!$W$952), "", 'Data Entry'!$W$952)</f>
      </c>
      <c r="X952">
        <f>IF(ISBLANK('Data Entry'!$X$952), "", 'Data Entry'!$X$952)</f>
      </c>
      <c r="Y952">
        <f>IF(ISBLANK('Data Entry'!$Y$952), "", 'Data Entry'!$Y$952)</f>
      </c>
      <c r="Z952">
        <f>IF(ISBLANK('Data Entry'!$Z$952), "", 'Data Entry'!$Z$952)</f>
      </c>
      <c r="AA952">
        <f>IF(ISBLANK('Data Entry'!$[$952), "", 'Data Entry'!$[$952)</f>
      </c>
      <c r="AB952">
        <f>IF(ISBLANK('Data Entry'!$\$952), "", 'Data Entry'!$\$952)</f>
      </c>
      <c r="AC952">
        <f>IF(ISBLANK('Data Entry'!$]$952), "", 'Data Entry'!$]$952)</f>
      </c>
      <c r="AD952">
        <f>IF(ISBLANK('Data Entry'!$^$952), "", 'Data Entry'!$^$952)</f>
      </c>
      <c r="AE952">
        <f>IF(ISBLANK('Data Entry'!$_$952), "", 'Data Entry'!$_$952)</f>
      </c>
      <c r="AF952">
        <f>IF(ISBLANK('Data Entry'!$`$952), "", 'Data Entry'!$`$952)</f>
      </c>
      <c r="AG952">
        <f>IF(ISBLANK('Data Entry'!$a$952), "", 'Data Entry'!$a$952)</f>
      </c>
      <c r="AH952">
        <f>IF(ISBLANK('Data Entry'!$b$952), "", 'Data Entry'!$b$952)</f>
      </c>
      <c r="AI952">
        <f>IF(ISBLANK('Data Entry'!$c$952), "", 'Data Entry'!$c$952)</f>
      </c>
      <c r="AJ952">
        <f>IF(ISBLANK('Data Entry'!$d$952), "", 'Data Entry'!$d$952)</f>
      </c>
      <c r="AK952">
        <f>IF(ISBLANK('Data Entry'!$e$952), "", 'Data Entry'!$e$952)</f>
      </c>
      <c r="AL952">
        <f>IF(ISBLANK('Data Entry'!$f$952), "", 'Data Entry'!$f$952)</f>
      </c>
      <c r="AM952">
        <f>IF(ISBLANK('Data Entry'!$g$952), "", 'Data Entry'!$g$952)</f>
      </c>
      <c r="AN952">
        <f>IF(ISBLANK('Data Entry'!$h$952), "", 'Data Entry'!$h$952)</f>
      </c>
      <c r="AO952">
        <f>IF(ISBLANK('Data Entry'!$i$952), "", 'Data Entry'!$i$952)</f>
      </c>
      <c r="AP952">
        <f>IF(ISBLANK('Data Entry'!$j$952), "", 'Data Entry'!$j$952)</f>
      </c>
      <c r="AQ952">
        <f>IF(ISBLANK('Data Entry'!$k$952), "", 'Data Entry'!$k$952)</f>
      </c>
      <c r="AR952">
        <f>IF(ISBLANK('Data Entry'!$l$952), "", 'Data Entry'!$l$952)</f>
      </c>
      <c r="AS952">
        <f>IF(ISBLANK('Data Entry'!$m$952), "", 'Data Entry'!$m$952)</f>
      </c>
      <c r="AT952">
        <f>IF(ISBLANK('Data Entry'!$n$952), "", 'Data Entry'!$n$952)</f>
      </c>
      <c r="AU952">
        <f>IF(ISBLANK('Data Entry'!$o$952), "", 'Data Entry'!$o$952)</f>
      </c>
      <c r="AV952">
        <f>IF(ISBLANK('Data Entry'!$p$952), "", 'Data Entry'!$p$952)</f>
      </c>
      <c r="AW952">
        <f>IF(ISBLANK('Data Entry'!$q$952), "", 'Data Entry'!$q$952)</f>
      </c>
      <c r="AX952">
        <f>IF(ISBLANK('Data Entry'!$r$952), "", 'Data Entry'!$r$952)</f>
      </c>
      <c r="AY952">
        <f>IF(ISBLANK('Data Entry'!$s$952), "", 'Data Entry'!$s$952)</f>
      </c>
      <c r="AZ952">
        <f>IF(ISBLANK('Data Entry'!$t$952), "", 'Data Entry'!$t$952)</f>
      </c>
      <c r="BA952">
        <f>IF(ISBLANK('Data Entry'!$u$952), "", 'Data Entry'!$u$952)</f>
      </c>
      <c r="BB952">
        <f>IF(ISBLANK('Data Entry'!$v$952), "", 'Data Entry'!$v$952)</f>
      </c>
      <c r="BC952">
        <f>IF(ISBLANK('Data Entry'!$w$952), "", 'Data Entry'!$w$952)</f>
      </c>
      <c r="BD952">
        <f>IF(ISBLANK('Data Entry'!$x$952), "", 'Data Entry'!$x$952)</f>
      </c>
      <c r="BE952">
        <f>IF(ISBLANK('Data Entry'!$y$952), "", 'Data Entry'!$y$952)</f>
      </c>
      <c r="BF952">
        <f>IF(ISBLANK('Data Entry'!$z$952), "", 'Data Entry'!$z$952)</f>
      </c>
      <c r="BG952">
        <f>IF(ISBLANK('Data Entry'!${$952), "", 'Data Entry'!${$952)</f>
      </c>
      <c r="BH952">
        <f>IF(ISBLANK('Data Entry'!$|$952), "", 'Data Entry'!$|$952)</f>
      </c>
      <c r="BI952">
        <f>IF(ISBLANK('Data Entry'!$}$952), "", 'Data Entry'!$}$952)</f>
      </c>
      <c r="BJ952">
        <f>IF(ISBLANK('Data Entry'!$~$952), "", 'Data Entry'!$~$952)</f>
      </c>
      <c r="BK952">
        <f>IF(ISBLANK('Data Entry'!$$952), "", 'Data Entry'!$$952)</f>
      </c>
      <c r="BL952">
        <f>IF(ISBLANK('Data Entry'!$$952), "", 'Data Entry'!$$952)</f>
      </c>
      <c r="BM952">
        <f>IF(ISBLANK('Data Entry'!$$952), "", 'Data Entry'!$$952)</f>
      </c>
      <c r="BN952">
        <f>IF(ISBLANK('Data Entry'!$$952), "", 'Data Entry'!$$952)</f>
      </c>
      <c r="BO952">
        <f>IF(ISBLANK('Data Entry'!$$952), "", 'Data Entry'!$$952)</f>
      </c>
      <c r="BP952">
        <f>IF(ISBLANK('Data Entry'!$$952), "", 'Data Entry'!$$952)</f>
      </c>
      <c r="BQ952">
        <f>IF(ISBLANK('Data Entry'!$$952), "", 'Data Entry'!$$952)</f>
      </c>
      <c r="BR952">
        <f>IF(ISBLANK('Data Entry'!$$952), "", 'Data Entry'!$$952)</f>
      </c>
      <c r="BS952">
        <f>IF(ISBLANK('Data Entry'!$$952), "", 'Data Entry'!$$952)</f>
      </c>
      <c r="BT952">
        <f>IF(ISBLANK('Data Entry'!$$952), "", 'Data Entry'!$$952)</f>
      </c>
      <c r="BU952">
        <f>IF(ISBLANK('Data Entry'!$$952), "", 'Data Entry'!$$952)</f>
      </c>
      <c r="BV952">
        <f>IF(ISBLANK('Data Entry'!$$952), "", 'Data Entry'!$$952)</f>
      </c>
      <c r="BW952">
        <f>IF(ISBLANK('Data Entry'!$$952), "", 'Data Entry'!$$952)</f>
      </c>
      <c r="BX952">
        <f>IF(ISBLANK('Data Entry'!$$952), "", 'Data Entry'!$$952)</f>
      </c>
      <c r="BY952">
        <f>IF(ISBLANK('Data Entry'!$$952), "", 'Data Entry'!$$952)</f>
      </c>
      <c r="BZ952">
        <f>IF(ISBLANK('Data Entry'!$$952), "", 'Data Entry'!$$952)</f>
      </c>
      <c r="CA952">
        <f>IF(ISBLANK('Data Entry'!$$952), "", 'Data Entry'!$$952)</f>
      </c>
      <c r="CB952">
        <f>IF(ISBLANK('Data Entry'!$$952), "", 'Data Entry'!$$952)</f>
      </c>
      <c r="CC952">
        <f>IF(ISBLANK('Data Entry'!$$952), "", 'Data Entry'!$$952)</f>
      </c>
      <c r="CD952">
        <f>IF(ISBLANK('Data Entry'!$$952), "", 'Data Entry'!$$952)</f>
      </c>
      <c r="CE952">
        <f>IF(ISBLANK('Data Entry'!$$952), "", 'Data Entry'!$$952)</f>
      </c>
      <c r="CF952">
        <f>IF(ISBLANK('Data Entry'!$$952), "", 'Data Entry'!$$952)</f>
      </c>
      <c r="CG952">
        <f>IF(ISBLANK('Data Entry'!$$952), "", 'Data Entry'!$$952)</f>
      </c>
      <c r="CH952">
        <f>IF(ISBLANK('Data Entry'!$$952), "", 'Data Entry'!$$952)</f>
      </c>
      <c r="CI952">
        <f>IF(ISBLANK('Data Entry'!$$952), "", 'Data Entry'!$$952)</f>
      </c>
      <c r="CJ952">
        <f>IF(ISBLANK('Data Entry'!$$952), "", 'Data Entry'!$$952)</f>
      </c>
      <c r="CK952">
        <f>IF(ISBLANK('Data Entry'!$$952), "", 'Data Entry'!$$952)</f>
      </c>
      <c r="CL952">
        <f>IF(ISBLANK('Data Entry'!$$952), "", 'Data Entry'!$$952)</f>
      </c>
      <c r="CM952">
        <f>IF(ISBLANK('Data Entry'!$$952), "", 'Data Entry'!$$952)</f>
      </c>
      <c r="CN952">
        <f>IF(ISBLANK('Data Entry'!$$952), "", 'Data Entry'!$$952)</f>
      </c>
      <c r="CO952">
        <f>IF(ISBLANK('Data Entry'!$$952), "", 'Data Entry'!$$952)</f>
      </c>
      <c r="CP952">
        <f>IF(ISBLANK('Data Entry'!$$952), "", 'Data Entry'!$$952)</f>
      </c>
      <c r="CQ952">
        <f>IF(ISBLANK('Data Entry'!$$952), "", 'Data Entry'!$$952)</f>
      </c>
      <c r="CR952">
        <f>IF(ISBLANK('Data Entry'!$ $952), "", 'Data Entry'!$ $952)</f>
      </c>
      <c r="CS952">
        <f>IF(ISBLANK('Data Entry'!$¡$952), "", 'Data Entry'!$¡$952)</f>
      </c>
      <c r="CT952">
        <f>IF(ISBLANK('Data Entry'!$¢$952), "", 'Data Entry'!$¢$952)</f>
      </c>
      <c r="CU952">
        <f>IF(ISBLANK('Data Entry'!$£$952), "", 'Data Entry'!$£$952)</f>
      </c>
      <c r="CV952">
        <f>IF(ISBLANK('Data Entry'!$¤$952), "", 'Data Entry'!$¤$952)</f>
      </c>
      <c r="CW952">
        <f>IF(ISBLANK('Data Entry'!$¥$952), "", 'Data Entry'!$¥$952)</f>
      </c>
      <c r="CX952">
        <f>IF(ISBLANK('Data Entry'!$¦$952), "", 'Data Entry'!$¦$952)</f>
      </c>
      <c r="CY952">
        <f>IF(ISBLANK('Data Entry'!$§$952), "", 'Data Entry'!$§$952)</f>
      </c>
      <c r="CZ952">
        <f>IF(ISBLANK('Data Entry'!$¨$952), "", 'Data Entry'!$¨$952)</f>
      </c>
      <c r="DA952">
        <f>IF(ISBLANK('Data Entry'!$©$952), "", 'Data Entry'!$©$952)</f>
      </c>
      <c r="DB952">
        <f>IF(ISBLANK('Data Entry'!$ª$952), "", 'Data Entry'!$ª$952)</f>
      </c>
      <c r="DC952">
        <f>IF(ISBLANK('Data Entry'!$«$952), "", 'Data Entry'!$«$952)</f>
      </c>
      <c r="DD952">
        <f>IF(ISBLANK('Data Entry'!$¬$952), "", 'Data Entry'!$¬$952)</f>
      </c>
      <c r="DE952">
        <f>IF(ISBLANK('Data Entry'!$­$952), "", 'Data Entry'!$­$952)</f>
      </c>
      <c r="DF952">
        <f>IF(ISBLANK('Data Entry'!$®$952), "", 'Data Entry'!$®$952)</f>
      </c>
      <c r="DG952">
        <f>IF(ISBLANK('Data Entry'!$¯$952), "", 'Data Entry'!$¯$952)</f>
      </c>
      <c r="DH952">
        <f>IF(ISBLANK('Data Entry'!$°$952), "", 'Data Entry'!$°$952)</f>
      </c>
      <c r="DI952">
        <f>IF(ISBLANK('Data Entry'!$±$952), "", 'Data Entry'!$±$952)</f>
      </c>
      <c r="DJ952">
        <f>IF(ISBLANK('Data Entry'!$²$952), "", 'Data Entry'!$²$952)</f>
      </c>
      <c r="DK952">
        <f>IF(ISBLANK('Data Entry'!$³$952), "", 'Data Entry'!$³$952)</f>
      </c>
      <c r="DL952">
        <f>IF(ISBLANK('Data Entry'!$´$952), "", 'Data Entry'!$´$952)</f>
      </c>
      <c r="DM952">
        <f>IF(ISBLANK('Data Entry'!$µ$952), "", 'Data Entry'!$µ$952)</f>
      </c>
      <c r="DN952">
        <f>IF(ISBLANK('Data Entry'!$¶$952), "", 'Data Entry'!$¶$952)</f>
      </c>
      <c r="DO952">
        <f>IF(ISBLANK('Data Entry'!$·$952), "", 'Data Entry'!$·$952)</f>
      </c>
      <c r="DP952">
        <f>IF(ISBLANK('Data Entry'!$¸$952), "", 'Data Entry'!$¸$952)</f>
      </c>
      <c r="DQ952">
        <f>IF(ISBLANK('Data Entry'!$¹$952), "", 'Data Entry'!$¹$952)</f>
      </c>
      <c r="DR952">
        <f>IF(ISBLANK('Data Entry'!$º$952), "", 'Data Entry'!$º$952)</f>
      </c>
      <c r="DS952">
        <f>IF(ISBLANK('Data Entry'!$»$952), "", 'Data Entry'!$»$952)</f>
      </c>
      <c r="DT952">
        <f>IF(ISBLANK('Data Entry'!$¼$952), "", 'Data Entry'!$¼$952)</f>
      </c>
      <c r="DU952">
        <f>IF(ISBLANK('Data Entry'!$½$952), "", 'Data Entry'!$½$952)</f>
      </c>
      <c r="DV952">
        <f>IF(ISBLANK('Data Entry'!$¾$952), "", 'Data Entry'!$¾$952)</f>
      </c>
      <c r="DW952">
        <f>IF(ISBLANK('Data Entry'!$¿$952), "", 'Data Entry'!$¿$952)</f>
      </c>
      <c r="DX952">
        <f>IF(ISBLANK('Data Entry'!$À$952), "", 'Data Entry'!$À$952)</f>
      </c>
      <c r="DY952">
        <f>IF(ISBLANK('Data Entry'!$Á$952), "", 'Data Entry'!$Á$952)</f>
      </c>
      <c r="DZ952">
        <f>IF(ISBLANK('Data Entry'!$Â$952), "", 'Data Entry'!$Â$952)</f>
      </c>
      <c r="EA952">
        <f>IF(ISBLANK('Data Entry'!$Ã$952), "", 'Data Entry'!$Ã$952)</f>
      </c>
      <c r="EB952">
        <f>IF(ISBLANK('Data Entry'!$Ä$952), "", 'Data Entry'!$Ä$952)</f>
      </c>
      <c r="EC952">
        <f>IF(ISBLANK('Data Entry'!$Å$952), "", 'Data Entry'!$Å$952)</f>
      </c>
      <c r="ED952">
        <f>IF(ISBLANK('Data Entry'!$Æ$952), "", 'Data Entry'!$Æ$952)</f>
      </c>
      <c r="EE952">
        <f>IF(ISBLANK('Data Entry'!$Ç$952), "", 'Data Entry'!$Ç$952)</f>
      </c>
      <c r="EF952">
        <f>IF(ISBLANK('Data Entry'!$È$952), "", 'Data Entry'!$È$952)</f>
      </c>
      <c r="EG952">
        <f>IF(ISBLANK('Data Entry'!$É$952), "", 'Data Entry'!$É$952)</f>
      </c>
      <c r="EH952">
        <f>IF(ISBLANK('Data Entry'!$Ê$952), "", 'Data Entry'!$Ê$952)</f>
      </c>
      <c r="EI952">
        <f>IF(ISBLANK('Data Entry'!$Ë$952), "", 'Data Entry'!$Ë$952)</f>
      </c>
      <c r="EJ952">
        <f>IF(ISBLANK('Data Entry'!$Ì$952), "", 'Data Entry'!$Ì$952)</f>
      </c>
      <c r="EK952">
        <f>IF(ISBLANK('Data Entry'!$Í$952), "", 'Data Entry'!$Í$952)</f>
      </c>
      <c r="EL952">
        <f>IF(ISBLANK('Data Entry'!$Î$952), "", 'Data Entry'!$Î$952)</f>
      </c>
      <c r="EM952">
        <f>IF(ISBLANK('Data Entry'!$Ï$952), "", 'Data Entry'!$Ï$952)</f>
      </c>
      <c r="EN952">
        <f>IF(ISBLANK('Data Entry'!$Ð$952), "", 'Data Entry'!$Ð$952)</f>
      </c>
      <c r="EO952">
        <f>IF(ISBLANK('Data Entry'!$Ñ$952), "", 'Data Entry'!$Ñ$952)</f>
      </c>
      <c r="EP952">
        <f>IF(ISBLANK('Data Entry'!$Ò$952), "", 'Data Entry'!$Ò$952)</f>
      </c>
      <c r="EQ952">
        <f>IF(ISBLANK('Data Entry'!$Ó$952), "", 'Data Entry'!$Ó$952)</f>
      </c>
      <c r="ER952">
        <f>IF(ISBLANK('Data Entry'!$Ô$952), "", 'Data Entry'!$Ô$952)</f>
      </c>
      <c r="ES952">
        <f>IF(ISBLANK('Data Entry'!$Õ$952), "", 'Data Entry'!$Õ$952)</f>
      </c>
      <c r="ET952">
        <f>IF(ISBLANK('Data Entry'!$Ö$952), "", 'Data Entry'!$Ö$952)</f>
      </c>
      <c r="EU952">
        <f>IF(ISBLANK('Data Entry'!$×$952), "", 'Data Entry'!$×$952)</f>
      </c>
      <c r="EV952">
        <f>IF(ISBLANK('Data Entry'!$Ø$952), "", 'Data Entry'!$Ø$952)</f>
      </c>
      <c r="EW952">
        <f>IF(ISBLANK('Data Entry'!$Ù$952), "", 'Data Entry'!$Ù$952)</f>
      </c>
      <c r="EX952">
        <f>IF(ISBLANK('Data Entry'!$Ú$952), "", 'Data Entry'!$Ú$952)</f>
      </c>
      <c r="EY952">
        <f>IF(ISBLANK('Data Entry'!$Û$952), "", 'Data Entry'!$Û$952)</f>
      </c>
      <c r="EZ952">
        <f>IF(ISBLANK('Data Entry'!$Ü$952), "", 'Data Entry'!$Ü$952)</f>
      </c>
      <c r="FA952">
        <f>IF(ISBLANK('Data Entry'!$Ý$952), "", 'Data Entry'!$Ý$952)</f>
      </c>
      <c r="FB952">
        <f>IF(ISBLANK('Data Entry'!$Þ$952), "", 'Data Entry'!$Þ$952)</f>
      </c>
      <c r="FC952">
        <f>IF(ISBLANK('Data Entry'!$ß$952), "", 'Data Entry'!$ß$952)</f>
      </c>
      <c r="FD952">
        <f>IF(ISBLANK('Data Entry'!$à$952), "", 'Data Entry'!$à$952)</f>
      </c>
      <c r="FE952">
        <f>IF(ISBLANK('Data Entry'!$á$952), "", 'Data Entry'!$á$952)</f>
      </c>
      <c r="FF952">
        <f>IF(ISBLANK('Data Entry'!$â$952), "", 'Data Entry'!$â$952)</f>
      </c>
      <c r="FG952">
        <f>IF(ISBLANK('Data Entry'!$ã$952), "", 'Data Entry'!$ã$952)</f>
      </c>
      <c r="FH952">
        <f>IF(ISBLANK('Data Entry'!$ä$952), "", 'Data Entry'!$ä$952)</f>
      </c>
      <c r="FI952">
        <f>IF(ISBLANK('Data Entry'!$å$952), "", 'Data Entry'!$å$952)</f>
      </c>
      <c r="FJ952">
        <f>IF(ISBLANK('Data Entry'!$æ$952), "", 'Data Entry'!$æ$952)</f>
      </c>
      <c r="FK952">
        <f>IF(ISBLANK('Data Entry'!$ç$952), "", 'Data Entry'!$ç$952)</f>
      </c>
      <c r="FL952">
        <f>IF(ISBLANK('Data Entry'!$è$952), "", 'Data Entry'!$è$952)</f>
      </c>
      <c r="FM952">
        <f>IF(ISBLANK('Data Entry'!$é$952), "", 'Data Entry'!$é$952)</f>
      </c>
      <c r="FN952">
        <f>IF(ISBLANK('Data Entry'!$ê$952), "", 'Data Entry'!$ê$952)</f>
      </c>
      <c r="FO952">
        <f>IF(ISBLANK('Data Entry'!$ë$952), "", 'Data Entry'!$ë$952)</f>
      </c>
      <c r="FP952">
        <f>IF(ISBLANK('Data Entry'!$ì$952), "", 'Data Entry'!$ì$952)</f>
      </c>
      <c r="FQ952">
        <f>IF(ISBLANK('Data Entry'!$í$952), "", 'Data Entry'!$í$952)</f>
      </c>
      <c r="FR952">
        <f>IF(ISBLANK('Data Entry'!$î$952), "", 'Data Entry'!$î$952)</f>
      </c>
      <c r="FS952">
        <f>IF(ISBLANK('Data Entry'!$ï$952), "", 'Data Entry'!$ï$952)</f>
      </c>
      <c r="FT952">
        <f>IF(ISBLANK('Data Entry'!$ð$952), "", 'Data Entry'!$ð$952)</f>
      </c>
      <c r="FU952">
        <f>IF(ISBLANK('Data Entry'!$ñ$952), "", 'Data Entry'!$ñ$952)</f>
      </c>
      <c r="FV952">
        <f>IF(ISBLANK('Data Entry'!$ò$952), "", 'Data Entry'!$ò$952)</f>
      </c>
      <c r="FW952">
        <f>IF(ISBLANK('Data Entry'!$ó$952), "", 'Data Entry'!$ó$952)</f>
      </c>
      <c r="FX952">
        <f>IF(ISBLANK('Data Entry'!$ô$952), "", 'Data Entry'!$ô$952)</f>
      </c>
      <c r="FY952">
        <f>IF(ISBLANK('Data Entry'!$õ$952), "", 'Data Entry'!$õ$952)</f>
      </c>
      <c r="FZ952">
        <f>IF(ISBLANK('Data Entry'!$ö$952), "", 'Data Entry'!$ö$952)</f>
      </c>
      <c r="GA952">
        <f>IF(ISBLANK('Data Entry'!$÷$952), "", 'Data Entry'!$÷$952)</f>
      </c>
      <c r="GB952">
        <f>IF(ISBLANK('Data Entry'!$ø$952), "", 'Data Entry'!$ø$952)</f>
      </c>
      <c r="GC952">
        <f>IF(ISBLANK('Data Entry'!$ù$952), "", 'Data Entry'!$ù$952)</f>
      </c>
      <c r="GD952">
        <f>IF(ISBLANK('Data Entry'!$ú$952), "", 'Data Entry'!$ú$952)</f>
      </c>
      <c r="GE952">
        <f>IF(ISBLANK('Data Entry'!$û$952), "", 'Data Entry'!$û$952)</f>
      </c>
      <c r="GF952">
        <f>IF(ISBLANK('Data Entry'!$ü$952), "", 'Data Entry'!$ü$952)</f>
      </c>
      <c r="GG952">
        <f>IF(ISBLANK('Data Entry'!$ý$952), "", 'Data Entry'!$ý$952)</f>
      </c>
      <c r="GH952">
        <f>IF(ISBLANK('Data Entry'!$þ$952), "", 'Data Entry'!$þ$952)</f>
      </c>
      <c r="GI952">
        <f>IF(ISBLANK('Data Entry'!$ÿ$952), "", 'Data Entry'!$ÿ$952)</f>
      </c>
      <c r="GJ952">
        <f>IF(ISBLANK('Data Entry'!$Ā$952), "", 'Data Entry'!$Ā$952)</f>
      </c>
      <c r="GK952">
        <f>IF(ISBLANK('Data Entry'!$ā$952), "", 'Data Entry'!$ā$952)</f>
      </c>
      <c r="GL952">
        <f>IF(ISBLANK('Data Entry'!$Ă$952), "", 'Data Entry'!$Ă$952)</f>
      </c>
      <c r="GM952">
        <f>IF(ISBLANK('Data Entry'!$ă$952), "", 'Data Entry'!$ă$952)</f>
      </c>
      <c r="GN952">
        <f>IF(ISBLANK('Data Entry'!$Ą$952), "", 'Data Entry'!$Ą$952)</f>
      </c>
      <c r="GO952">
        <f>IF(ISBLANK('Data Entry'!$ą$952), "", 'Data Entry'!$ą$952)</f>
      </c>
      <c r="GP952">
        <f>IF(ISBLANK('Data Entry'!$Ć$952), "", 'Data Entry'!$Ć$952)</f>
      </c>
      <c r="GQ952">
        <f>IF(ISBLANK('Data Entry'!$ć$952), "", 'Data Entry'!$ć$952)</f>
      </c>
      <c r="GR952">
        <f>IF(ISBLANK('Data Entry'!$Ĉ$952), "", 'Data Entry'!$Ĉ$952)</f>
      </c>
      <c r="GS952">
        <f>IF(ISBLANK('Data Entry'!$ĉ$952), "", 'Data Entry'!$ĉ$952)</f>
      </c>
      <c r="GT952">
        <f>IF(ISBLANK('Data Entry'!$Ċ$952), "", 'Data Entry'!$Ċ$952)</f>
      </c>
      <c r="GU952">
        <f>IF(ISBLANK('Data Entry'!$ċ$952), "", 'Data Entry'!$ċ$952)</f>
      </c>
      <c r="GV952">
        <f>IF(ISBLANK('Data Entry'!$Č$952), "", 'Data Entry'!$Č$952)</f>
      </c>
      <c r="GW952">
        <f>IF(ISBLANK('Data Entry'!$č$952), "", 'Data Entry'!$č$952)</f>
      </c>
      <c r="GX952">
        <f>IF(ISBLANK('Data Entry'!$Ď$952), "", 'Data Entry'!$Ď$952)</f>
      </c>
      <c r="GY952">
        <f>IF(ISBLANK('Data Entry'!$ď$952), "", 'Data Entry'!$ď$952)</f>
      </c>
      <c r="GZ952">
        <f>IF(ISBLANK('Data Entry'!$Đ$952), "", 'Data Entry'!$Đ$952)</f>
      </c>
      <c r="HA952">
        <f>IF(ISBLANK('Data Entry'!$đ$952), "", 'Data Entry'!$đ$952)</f>
      </c>
      <c r="HB952">
        <f>IF(ISBLANK('Data Entry'!$Ē$952), "", 'Data Entry'!$Ē$952)</f>
      </c>
      <c r="HC952">
        <f>IF(ISBLANK('Data Entry'!$ē$952), "", 'Data Entry'!$ē$952)</f>
      </c>
      <c r="HD952">
        <f>IF(ISBLANK('Data Entry'!$Ĕ$952), "", 'Data Entry'!$Ĕ$952)</f>
      </c>
      <c r="HE952">
        <f>IF(ISBLANK('Data Entry'!$ĕ$952), "", 'Data Entry'!$ĕ$952)</f>
      </c>
      <c r="HF952">
        <f>IF(ISBLANK('Data Entry'!$Ė$952), "", 'Data Entry'!$Ė$952)</f>
      </c>
      <c r="HG952">
        <f>IF(ISBLANK('Data Entry'!$ė$952), "", 'Data Entry'!$ė$952)</f>
      </c>
      <c r="HH952">
        <f>IF(ISBLANK('Data Entry'!$Ę$952), "", 'Data Entry'!$Ę$952)</f>
      </c>
      <c r="HI952">
        <f>IF(ISBLANK('Data Entry'!$ę$952), "", 'Data Entry'!$ę$952)</f>
      </c>
      <c r="HJ952">
        <f>IF(ISBLANK('Data Entry'!$Ě$952), "", 'Data Entry'!$Ě$952)</f>
      </c>
      <c r="HK952">
        <f>IF(ISBLANK('Data Entry'!$ě$952), "", 'Data Entry'!$ě$952)</f>
      </c>
      <c r="HL952">
        <f>IF(ISBLANK('Data Entry'!$Ĝ$952), "", 'Data Entry'!$Ĝ$952)</f>
      </c>
      <c r="HM952">
        <f>IF(ISBLANK('Data Entry'!$ĝ$952), "", 'Data Entry'!$ĝ$952)</f>
      </c>
      <c r="HN952">
        <f>IF(ISBLANK('Data Entry'!$Ğ$952), "", 'Data Entry'!$Ğ$952)</f>
      </c>
      <c r="HO952">
        <f>IF(ISBLANK('Data Entry'!$ğ$952), "", 'Data Entry'!$ğ$952)</f>
      </c>
      <c r="HP952">
        <f>IF(ISBLANK('Data Entry'!$Ġ$952), "", 'Data Entry'!$Ġ$952)</f>
      </c>
      <c r="HQ952">
        <f>IF(ISBLANK('Data Entry'!$ġ$952), "", 'Data Entry'!$ġ$952)</f>
      </c>
      <c r="HR952">
        <f>IF(ISBLANK('Data Entry'!$Ģ$952), "", 'Data Entry'!$Ģ$952)</f>
      </c>
      <c r="HS952">
        <f>IF(ISBLANK('Data Entry'!$ģ$952), "", 'Data Entry'!$ģ$952)</f>
      </c>
      <c r="HT952">
        <f>IF(ISBLANK('Data Entry'!$Ĥ$952), "", 'Data Entry'!$Ĥ$952)</f>
      </c>
      <c r="HU952">
        <f>IF(ISBLANK('Data Entry'!$ĥ$952), "", 'Data Entry'!$ĥ$952)</f>
      </c>
      <c r="HV952">
        <f>IF(ISBLANK('Data Entry'!$Ħ$952), "", 'Data Entry'!$Ħ$952)</f>
      </c>
      <c r="HW952">
        <f>IF(ISBLANK('Data Entry'!$ħ$952), "", 'Data Entry'!$ħ$952)</f>
      </c>
      <c r="HX952">
        <f>IF(ISBLANK('Data Entry'!$Ĩ$952), "", 'Data Entry'!$Ĩ$952)</f>
      </c>
      <c r="HY952">
        <f>IF(ISBLANK('Data Entry'!$ĩ$952), "", 'Data Entry'!$ĩ$952)</f>
      </c>
      <c r="HZ952">
        <f>IF(ISBLANK('Data Entry'!$Ī$952), "", 'Data Entry'!$Ī$952)</f>
      </c>
      <c r="IA952">
        <f>IF(ISBLANK('Data Entry'!$ī$952), "", 'Data Entry'!$ī$952)</f>
      </c>
      <c r="IB952">
        <f>IF(ISBLANK('Data Entry'!$Ĭ$952), "", 'Data Entry'!$Ĭ$952)</f>
      </c>
      <c r="IC952">
        <f>IF(ISBLANK('Data Entry'!$ĭ$952), "", 'Data Entry'!$ĭ$952)</f>
      </c>
      <c r="ID952">
        <f>IF(ISBLANK('Data Entry'!$Į$952), "", 'Data Entry'!$Į$952)</f>
      </c>
      <c r="IE952">
        <f>IF(ISBLANK('Data Entry'!$į$952), "", 'Data Entry'!$į$952)</f>
      </c>
      <c r="IF952">
        <f>IF(ISBLANK('Data Entry'!$İ$952), "", 'Data Entry'!$İ$952)</f>
      </c>
      <c r="IG952">
        <f>IF(ISBLANK('Data Entry'!$ı$952), "", 'Data Entry'!$ı$952)</f>
      </c>
      <c r="IH952">
        <f>IF(ISBLANK('Data Entry'!$Ĳ$952), "", 'Data Entry'!$Ĳ$952)</f>
      </c>
      <c r="II952">
        <f>IF(ISBLANK('Data Entry'!$ĳ$952), "", 'Data Entry'!$ĳ$952)</f>
      </c>
      <c r="IJ952">
        <f>IF(ISBLANK('Data Entry'!$Ĵ$952), "", 'Data Entry'!$Ĵ$952)</f>
      </c>
      <c r="IK952">
        <f>IF(ISBLANK('Data Entry'!$ĵ$952), "", 'Data Entry'!$ĵ$952)</f>
      </c>
      <c r="IL952">
        <f>IF(ISBLANK('Data Entry'!$Ķ$952), "", 'Data Entry'!$Ķ$952)</f>
      </c>
      <c r="IM952">
        <f>IF(ISBLANK('Data Entry'!$ķ$952), "", 'Data Entry'!$ķ$952)</f>
      </c>
      <c r="IN952">
        <f>IF(ISBLANK('Data Entry'!$ĸ$952), "", 'Data Entry'!$ĸ$952)</f>
      </c>
      <c r="IO952">
        <f>IF(ISBLANK('Data Entry'!$Ĺ$952), "", 'Data Entry'!$Ĺ$952)</f>
      </c>
      <c r="IP952">
        <f>IF(ISBLANK('Data Entry'!$ĺ$952), "", 'Data Entry'!$ĺ$952)</f>
      </c>
      <c r="IQ952">
        <f>IF(ISBLANK('Data Entry'!$Ļ$952), "", 'Data Entry'!$Ļ$952)</f>
      </c>
      <c r="IR952">
        <f>IF(ISBLANK('Data Entry'!$ļ$952), "", 'Data Entry'!$ļ$952)</f>
      </c>
      <c r="IS952">
        <f>IF(ISBLANK('Data Entry'!$Ľ$952), "", 'Data Entry'!$Ľ$952)</f>
      </c>
      <c r="IT952">
        <f>IF(ISBLANK('Data Entry'!$ľ$952), "", 'Data Entry'!$ľ$952)</f>
      </c>
    </row>
    <row r="953" spans="1:254" x14ac:dyDescent="0.25">
      <c r="A953">
        <f>IF(ISBLANK('Data Entry'!$A$953), "", 'Data Entry'!$A$953)</f>
      </c>
      <c r="B953">
        <f>IF(ISBLANK('Data Entry'!$B$953), "", 'Data Entry'!$B$953)</f>
      </c>
      <c r="C953">
        <f>IF(ISBLANK('Data Entry'!$C$953), "", 'Data Entry'!$C$953)</f>
      </c>
      <c r="D953">
        <f>IF(ISBLANK('Data Entry'!$D$953), "", 'Data Entry'!$D$953)</f>
      </c>
      <c r="E953">
        <f>IF(ISBLANK('Data Entry'!$E$953), "", 'Data Entry'!$E$953)</f>
      </c>
      <c r="F953">
        <f>IF(ISBLANK('Data Entry'!$F$953), "", 'Data Entry'!$F$953)</f>
      </c>
      <c r="G953">
        <f>IF(ISBLANK('Data Entry'!$G$953), "", 'Data Entry'!$G$953)</f>
      </c>
      <c r="H953">
        <f>IF(ISBLANK('Data Entry'!$H$953), "", 'Data Entry'!$H$953)</f>
      </c>
      <c r="I953">
        <f>IF(ISBLANK('Data Entry'!$I$953), "", 'Data Entry'!$I$953)</f>
      </c>
      <c r="J953">
        <f>IF(ISBLANK('Data Entry'!$J$953), "", 'Data Entry'!$J$953)</f>
      </c>
      <c r="K953">
        <f>IF(ISBLANK('Data Entry'!$K$953), "", 'Data Entry'!$K$953)</f>
      </c>
      <c r="L953">
        <f>IF(ISBLANK('Data Entry'!$L$953), "", 'Data Entry'!$L$953)</f>
      </c>
      <c r="M953">
        <f>IF(ISBLANK('Data Entry'!$M$953), "", 'Data Entry'!$M$953)</f>
      </c>
      <c r="N953">
        <f>IF(ISBLANK('Data Entry'!$N$953), "", 'Data Entry'!$N$953)</f>
      </c>
      <c r="O953">
        <f>IF(ISBLANK('Data Entry'!$O$953), "", 'Data Entry'!$O$953)</f>
      </c>
      <c r="P953">
        <f>IF(ISBLANK('Data Entry'!$P$953), "", 'Data Entry'!$P$953)</f>
      </c>
      <c r="Q953">
        <f>IF(ISBLANK('Data Entry'!$Q$953), "", 'Data Entry'!$Q$953)</f>
      </c>
      <c r="R953">
        <f>IF(ISBLANK('Data Entry'!$R$953), "", 'Data Entry'!$R$953)</f>
      </c>
      <c r="S953">
        <f>IF(ISBLANK('Data Entry'!$S$953), "", 'Data Entry'!$S$953)</f>
      </c>
      <c r="T953">
        <f>IF(ISBLANK('Data Entry'!$T$953), "", 'Data Entry'!$T$953)</f>
      </c>
      <c r="U953">
        <f>IF(ISBLANK('Data Entry'!$U$953), "", 'Data Entry'!$U$953)</f>
      </c>
      <c r="V953">
        <f>IF(ISBLANK('Data Entry'!$V$953), "", 'Data Entry'!$V$953)</f>
      </c>
      <c r="W953">
        <f>IF(ISBLANK('Data Entry'!$W$953), "", 'Data Entry'!$W$953)</f>
      </c>
      <c r="X953">
        <f>IF(ISBLANK('Data Entry'!$X$953), "", 'Data Entry'!$X$953)</f>
      </c>
      <c r="Y953">
        <f>IF(ISBLANK('Data Entry'!$Y$953), "", 'Data Entry'!$Y$953)</f>
      </c>
      <c r="Z953">
        <f>IF(ISBLANK('Data Entry'!$Z$953), "", 'Data Entry'!$Z$953)</f>
      </c>
      <c r="AA953">
        <f>IF(ISBLANK('Data Entry'!$[$953), "", 'Data Entry'!$[$953)</f>
      </c>
      <c r="AB953">
        <f>IF(ISBLANK('Data Entry'!$\$953), "", 'Data Entry'!$\$953)</f>
      </c>
      <c r="AC953">
        <f>IF(ISBLANK('Data Entry'!$]$953), "", 'Data Entry'!$]$953)</f>
      </c>
      <c r="AD953">
        <f>IF(ISBLANK('Data Entry'!$^$953), "", 'Data Entry'!$^$953)</f>
      </c>
      <c r="AE953">
        <f>IF(ISBLANK('Data Entry'!$_$953), "", 'Data Entry'!$_$953)</f>
      </c>
      <c r="AF953">
        <f>IF(ISBLANK('Data Entry'!$`$953), "", 'Data Entry'!$`$953)</f>
      </c>
      <c r="AG953">
        <f>IF(ISBLANK('Data Entry'!$a$953), "", 'Data Entry'!$a$953)</f>
      </c>
      <c r="AH953">
        <f>IF(ISBLANK('Data Entry'!$b$953), "", 'Data Entry'!$b$953)</f>
      </c>
      <c r="AI953">
        <f>IF(ISBLANK('Data Entry'!$c$953), "", 'Data Entry'!$c$953)</f>
      </c>
      <c r="AJ953">
        <f>IF(ISBLANK('Data Entry'!$d$953), "", 'Data Entry'!$d$953)</f>
      </c>
      <c r="AK953">
        <f>IF(ISBLANK('Data Entry'!$e$953), "", 'Data Entry'!$e$953)</f>
      </c>
      <c r="AL953">
        <f>IF(ISBLANK('Data Entry'!$f$953), "", 'Data Entry'!$f$953)</f>
      </c>
      <c r="AM953">
        <f>IF(ISBLANK('Data Entry'!$g$953), "", 'Data Entry'!$g$953)</f>
      </c>
      <c r="AN953">
        <f>IF(ISBLANK('Data Entry'!$h$953), "", 'Data Entry'!$h$953)</f>
      </c>
      <c r="AO953">
        <f>IF(ISBLANK('Data Entry'!$i$953), "", 'Data Entry'!$i$953)</f>
      </c>
      <c r="AP953">
        <f>IF(ISBLANK('Data Entry'!$j$953), "", 'Data Entry'!$j$953)</f>
      </c>
      <c r="AQ953">
        <f>IF(ISBLANK('Data Entry'!$k$953), "", 'Data Entry'!$k$953)</f>
      </c>
      <c r="AR953">
        <f>IF(ISBLANK('Data Entry'!$l$953), "", 'Data Entry'!$l$953)</f>
      </c>
      <c r="AS953">
        <f>IF(ISBLANK('Data Entry'!$m$953), "", 'Data Entry'!$m$953)</f>
      </c>
      <c r="AT953">
        <f>IF(ISBLANK('Data Entry'!$n$953), "", 'Data Entry'!$n$953)</f>
      </c>
      <c r="AU953">
        <f>IF(ISBLANK('Data Entry'!$o$953), "", 'Data Entry'!$o$953)</f>
      </c>
      <c r="AV953">
        <f>IF(ISBLANK('Data Entry'!$p$953), "", 'Data Entry'!$p$953)</f>
      </c>
      <c r="AW953">
        <f>IF(ISBLANK('Data Entry'!$q$953), "", 'Data Entry'!$q$953)</f>
      </c>
      <c r="AX953">
        <f>IF(ISBLANK('Data Entry'!$r$953), "", 'Data Entry'!$r$953)</f>
      </c>
      <c r="AY953">
        <f>IF(ISBLANK('Data Entry'!$s$953), "", 'Data Entry'!$s$953)</f>
      </c>
      <c r="AZ953">
        <f>IF(ISBLANK('Data Entry'!$t$953), "", 'Data Entry'!$t$953)</f>
      </c>
      <c r="BA953">
        <f>IF(ISBLANK('Data Entry'!$u$953), "", 'Data Entry'!$u$953)</f>
      </c>
      <c r="BB953">
        <f>IF(ISBLANK('Data Entry'!$v$953), "", 'Data Entry'!$v$953)</f>
      </c>
      <c r="BC953">
        <f>IF(ISBLANK('Data Entry'!$w$953), "", 'Data Entry'!$w$953)</f>
      </c>
      <c r="BD953">
        <f>IF(ISBLANK('Data Entry'!$x$953), "", 'Data Entry'!$x$953)</f>
      </c>
      <c r="BE953">
        <f>IF(ISBLANK('Data Entry'!$y$953), "", 'Data Entry'!$y$953)</f>
      </c>
      <c r="BF953">
        <f>IF(ISBLANK('Data Entry'!$z$953), "", 'Data Entry'!$z$953)</f>
      </c>
      <c r="BG953">
        <f>IF(ISBLANK('Data Entry'!${$953), "", 'Data Entry'!${$953)</f>
      </c>
      <c r="BH953">
        <f>IF(ISBLANK('Data Entry'!$|$953), "", 'Data Entry'!$|$953)</f>
      </c>
      <c r="BI953">
        <f>IF(ISBLANK('Data Entry'!$}$953), "", 'Data Entry'!$}$953)</f>
      </c>
      <c r="BJ953">
        <f>IF(ISBLANK('Data Entry'!$~$953), "", 'Data Entry'!$~$953)</f>
      </c>
      <c r="BK953">
        <f>IF(ISBLANK('Data Entry'!$$953), "", 'Data Entry'!$$953)</f>
      </c>
      <c r="BL953">
        <f>IF(ISBLANK('Data Entry'!$$953), "", 'Data Entry'!$$953)</f>
      </c>
      <c r="BM953">
        <f>IF(ISBLANK('Data Entry'!$$953), "", 'Data Entry'!$$953)</f>
      </c>
      <c r="BN953">
        <f>IF(ISBLANK('Data Entry'!$$953), "", 'Data Entry'!$$953)</f>
      </c>
      <c r="BO953">
        <f>IF(ISBLANK('Data Entry'!$$953), "", 'Data Entry'!$$953)</f>
      </c>
      <c r="BP953">
        <f>IF(ISBLANK('Data Entry'!$$953), "", 'Data Entry'!$$953)</f>
      </c>
      <c r="BQ953">
        <f>IF(ISBLANK('Data Entry'!$$953), "", 'Data Entry'!$$953)</f>
      </c>
      <c r="BR953">
        <f>IF(ISBLANK('Data Entry'!$$953), "", 'Data Entry'!$$953)</f>
      </c>
      <c r="BS953">
        <f>IF(ISBLANK('Data Entry'!$$953), "", 'Data Entry'!$$953)</f>
      </c>
      <c r="BT953">
        <f>IF(ISBLANK('Data Entry'!$$953), "", 'Data Entry'!$$953)</f>
      </c>
      <c r="BU953">
        <f>IF(ISBLANK('Data Entry'!$$953), "", 'Data Entry'!$$953)</f>
      </c>
      <c r="BV953">
        <f>IF(ISBLANK('Data Entry'!$$953), "", 'Data Entry'!$$953)</f>
      </c>
      <c r="BW953">
        <f>IF(ISBLANK('Data Entry'!$$953), "", 'Data Entry'!$$953)</f>
      </c>
      <c r="BX953">
        <f>IF(ISBLANK('Data Entry'!$$953), "", 'Data Entry'!$$953)</f>
      </c>
      <c r="BY953">
        <f>IF(ISBLANK('Data Entry'!$$953), "", 'Data Entry'!$$953)</f>
      </c>
      <c r="BZ953">
        <f>IF(ISBLANK('Data Entry'!$$953), "", 'Data Entry'!$$953)</f>
      </c>
      <c r="CA953">
        <f>IF(ISBLANK('Data Entry'!$$953), "", 'Data Entry'!$$953)</f>
      </c>
      <c r="CB953">
        <f>IF(ISBLANK('Data Entry'!$$953), "", 'Data Entry'!$$953)</f>
      </c>
      <c r="CC953">
        <f>IF(ISBLANK('Data Entry'!$$953), "", 'Data Entry'!$$953)</f>
      </c>
      <c r="CD953">
        <f>IF(ISBLANK('Data Entry'!$$953), "", 'Data Entry'!$$953)</f>
      </c>
      <c r="CE953">
        <f>IF(ISBLANK('Data Entry'!$$953), "", 'Data Entry'!$$953)</f>
      </c>
      <c r="CF953">
        <f>IF(ISBLANK('Data Entry'!$$953), "", 'Data Entry'!$$953)</f>
      </c>
      <c r="CG953">
        <f>IF(ISBLANK('Data Entry'!$$953), "", 'Data Entry'!$$953)</f>
      </c>
      <c r="CH953">
        <f>IF(ISBLANK('Data Entry'!$$953), "", 'Data Entry'!$$953)</f>
      </c>
      <c r="CI953">
        <f>IF(ISBLANK('Data Entry'!$$953), "", 'Data Entry'!$$953)</f>
      </c>
      <c r="CJ953">
        <f>IF(ISBLANK('Data Entry'!$$953), "", 'Data Entry'!$$953)</f>
      </c>
      <c r="CK953">
        <f>IF(ISBLANK('Data Entry'!$$953), "", 'Data Entry'!$$953)</f>
      </c>
      <c r="CL953">
        <f>IF(ISBLANK('Data Entry'!$$953), "", 'Data Entry'!$$953)</f>
      </c>
      <c r="CM953">
        <f>IF(ISBLANK('Data Entry'!$$953), "", 'Data Entry'!$$953)</f>
      </c>
      <c r="CN953">
        <f>IF(ISBLANK('Data Entry'!$$953), "", 'Data Entry'!$$953)</f>
      </c>
      <c r="CO953">
        <f>IF(ISBLANK('Data Entry'!$$953), "", 'Data Entry'!$$953)</f>
      </c>
      <c r="CP953">
        <f>IF(ISBLANK('Data Entry'!$$953), "", 'Data Entry'!$$953)</f>
      </c>
      <c r="CQ953">
        <f>IF(ISBLANK('Data Entry'!$$953), "", 'Data Entry'!$$953)</f>
      </c>
      <c r="CR953">
        <f>IF(ISBLANK('Data Entry'!$ $953), "", 'Data Entry'!$ $953)</f>
      </c>
      <c r="CS953">
        <f>IF(ISBLANK('Data Entry'!$¡$953), "", 'Data Entry'!$¡$953)</f>
      </c>
      <c r="CT953">
        <f>IF(ISBLANK('Data Entry'!$¢$953), "", 'Data Entry'!$¢$953)</f>
      </c>
      <c r="CU953">
        <f>IF(ISBLANK('Data Entry'!$£$953), "", 'Data Entry'!$£$953)</f>
      </c>
      <c r="CV953">
        <f>IF(ISBLANK('Data Entry'!$¤$953), "", 'Data Entry'!$¤$953)</f>
      </c>
      <c r="CW953">
        <f>IF(ISBLANK('Data Entry'!$¥$953), "", 'Data Entry'!$¥$953)</f>
      </c>
      <c r="CX953">
        <f>IF(ISBLANK('Data Entry'!$¦$953), "", 'Data Entry'!$¦$953)</f>
      </c>
      <c r="CY953">
        <f>IF(ISBLANK('Data Entry'!$§$953), "", 'Data Entry'!$§$953)</f>
      </c>
      <c r="CZ953">
        <f>IF(ISBLANK('Data Entry'!$¨$953), "", 'Data Entry'!$¨$953)</f>
      </c>
      <c r="DA953">
        <f>IF(ISBLANK('Data Entry'!$©$953), "", 'Data Entry'!$©$953)</f>
      </c>
      <c r="DB953">
        <f>IF(ISBLANK('Data Entry'!$ª$953), "", 'Data Entry'!$ª$953)</f>
      </c>
      <c r="DC953">
        <f>IF(ISBLANK('Data Entry'!$«$953), "", 'Data Entry'!$«$953)</f>
      </c>
      <c r="DD953">
        <f>IF(ISBLANK('Data Entry'!$¬$953), "", 'Data Entry'!$¬$953)</f>
      </c>
      <c r="DE953">
        <f>IF(ISBLANK('Data Entry'!$­$953), "", 'Data Entry'!$­$953)</f>
      </c>
      <c r="DF953">
        <f>IF(ISBLANK('Data Entry'!$®$953), "", 'Data Entry'!$®$953)</f>
      </c>
      <c r="DG953">
        <f>IF(ISBLANK('Data Entry'!$¯$953), "", 'Data Entry'!$¯$953)</f>
      </c>
      <c r="DH953">
        <f>IF(ISBLANK('Data Entry'!$°$953), "", 'Data Entry'!$°$953)</f>
      </c>
      <c r="DI953">
        <f>IF(ISBLANK('Data Entry'!$±$953), "", 'Data Entry'!$±$953)</f>
      </c>
      <c r="DJ953">
        <f>IF(ISBLANK('Data Entry'!$²$953), "", 'Data Entry'!$²$953)</f>
      </c>
      <c r="DK953">
        <f>IF(ISBLANK('Data Entry'!$³$953), "", 'Data Entry'!$³$953)</f>
      </c>
      <c r="DL953">
        <f>IF(ISBLANK('Data Entry'!$´$953), "", 'Data Entry'!$´$953)</f>
      </c>
      <c r="DM953">
        <f>IF(ISBLANK('Data Entry'!$µ$953), "", 'Data Entry'!$µ$953)</f>
      </c>
      <c r="DN953">
        <f>IF(ISBLANK('Data Entry'!$¶$953), "", 'Data Entry'!$¶$953)</f>
      </c>
      <c r="DO953">
        <f>IF(ISBLANK('Data Entry'!$·$953), "", 'Data Entry'!$·$953)</f>
      </c>
      <c r="DP953">
        <f>IF(ISBLANK('Data Entry'!$¸$953), "", 'Data Entry'!$¸$953)</f>
      </c>
      <c r="DQ953">
        <f>IF(ISBLANK('Data Entry'!$¹$953), "", 'Data Entry'!$¹$953)</f>
      </c>
      <c r="DR953">
        <f>IF(ISBLANK('Data Entry'!$º$953), "", 'Data Entry'!$º$953)</f>
      </c>
      <c r="DS953">
        <f>IF(ISBLANK('Data Entry'!$»$953), "", 'Data Entry'!$»$953)</f>
      </c>
      <c r="DT953">
        <f>IF(ISBLANK('Data Entry'!$¼$953), "", 'Data Entry'!$¼$953)</f>
      </c>
      <c r="DU953">
        <f>IF(ISBLANK('Data Entry'!$½$953), "", 'Data Entry'!$½$953)</f>
      </c>
      <c r="DV953">
        <f>IF(ISBLANK('Data Entry'!$¾$953), "", 'Data Entry'!$¾$953)</f>
      </c>
      <c r="DW953">
        <f>IF(ISBLANK('Data Entry'!$¿$953), "", 'Data Entry'!$¿$953)</f>
      </c>
      <c r="DX953">
        <f>IF(ISBLANK('Data Entry'!$À$953), "", 'Data Entry'!$À$953)</f>
      </c>
      <c r="DY953">
        <f>IF(ISBLANK('Data Entry'!$Á$953), "", 'Data Entry'!$Á$953)</f>
      </c>
      <c r="DZ953">
        <f>IF(ISBLANK('Data Entry'!$Â$953), "", 'Data Entry'!$Â$953)</f>
      </c>
      <c r="EA953">
        <f>IF(ISBLANK('Data Entry'!$Ã$953), "", 'Data Entry'!$Ã$953)</f>
      </c>
      <c r="EB953">
        <f>IF(ISBLANK('Data Entry'!$Ä$953), "", 'Data Entry'!$Ä$953)</f>
      </c>
      <c r="EC953">
        <f>IF(ISBLANK('Data Entry'!$Å$953), "", 'Data Entry'!$Å$953)</f>
      </c>
      <c r="ED953">
        <f>IF(ISBLANK('Data Entry'!$Æ$953), "", 'Data Entry'!$Æ$953)</f>
      </c>
      <c r="EE953">
        <f>IF(ISBLANK('Data Entry'!$Ç$953), "", 'Data Entry'!$Ç$953)</f>
      </c>
      <c r="EF953">
        <f>IF(ISBLANK('Data Entry'!$È$953), "", 'Data Entry'!$È$953)</f>
      </c>
      <c r="EG953">
        <f>IF(ISBLANK('Data Entry'!$É$953), "", 'Data Entry'!$É$953)</f>
      </c>
      <c r="EH953">
        <f>IF(ISBLANK('Data Entry'!$Ê$953), "", 'Data Entry'!$Ê$953)</f>
      </c>
      <c r="EI953">
        <f>IF(ISBLANK('Data Entry'!$Ë$953), "", 'Data Entry'!$Ë$953)</f>
      </c>
      <c r="EJ953">
        <f>IF(ISBLANK('Data Entry'!$Ì$953), "", 'Data Entry'!$Ì$953)</f>
      </c>
      <c r="EK953">
        <f>IF(ISBLANK('Data Entry'!$Í$953), "", 'Data Entry'!$Í$953)</f>
      </c>
      <c r="EL953">
        <f>IF(ISBLANK('Data Entry'!$Î$953), "", 'Data Entry'!$Î$953)</f>
      </c>
      <c r="EM953">
        <f>IF(ISBLANK('Data Entry'!$Ï$953), "", 'Data Entry'!$Ï$953)</f>
      </c>
      <c r="EN953">
        <f>IF(ISBLANK('Data Entry'!$Ð$953), "", 'Data Entry'!$Ð$953)</f>
      </c>
      <c r="EO953">
        <f>IF(ISBLANK('Data Entry'!$Ñ$953), "", 'Data Entry'!$Ñ$953)</f>
      </c>
      <c r="EP953">
        <f>IF(ISBLANK('Data Entry'!$Ò$953), "", 'Data Entry'!$Ò$953)</f>
      </c>
      <c r="EQ953">
        <f>IF(ISBLANK('Data Entry'!$Ó$953), "", 'Data Entry'!$Ó$953)</f>
      </c>
      <c r="ER953">
        <f>IF(ISBLANK('Data Entry'!$Ô$953), "", 'Data Entry'!$Ô$953)</f>
      </c>
      <c r="ES953">
        <f>IF(ISBLANK('Data Entry'!$Õ$953), "", 'Data Entry'!$Õ$953)</f>
      </c>
      <c r="ET953">
        <f>IF(ISBLANK('Data Entry'!$Ö$953), "", 'Data Entry'!$Ö$953)</f>
      </c>
      <c r="EU953">
        <f>IF(ISBLANK('Data Entry'!$×$953), "", 'Data Entry'!$×$953)</f>
      </c>
      <c r="EV953">
        <f>IF(ISBLANK('Data Entry'!$Ø$953), "", 'Data Entry'!$Ø$953)</f>
      </c>
      <c r="EW953">
        <f>IF(ISBLANK('Data Entry'!$Ù$953), "", 'Data Entry'!$Ù$953)</f>
      </c>
      <c r="EX953">
        <f>IF(ISBLANK('Data Entry'!$Ú$953), "", 'Data Entry'!$Ú$953)</f>
      </c>
      <c r="EY953">
        <f>IF(ISBLANK('Data Entry'!$Û$953), "", 'Data Entry'!$Û$953)</f>
      </c>
      <c r="EZ953">
        <f>IF(ISBLANK('Data Entry'!$Ü$953), "", 'Data Entry'!$Ü$953)</f>
      </c>
      <c r="FA953">
        <f>IF(ISBLANK('Data Entry'!$Ý$953), "", 'Data Entry'!$Ý$953)</f>
      </c>
      <c r="FB953">
        <f>IF(ISBLANK('Data Entry'!$Þ$953), "", 'Data Entry'!$Þ$953)</f>
      </c>
      <c r="FC953">
        <f>IF(ISBLANK('Data Entry'!$ß$953), "", 'Data Entry'!$ß$953)</f>
      </c>
      <c r="FD953">
        <f>IF(ISBLANK('Data Entry'!$à$953), "", 'Data Entry'!$à$953)</f>
      </c>
      <c r="FE953">
        <f>IF(ISBLANK('Data Entry'!$á$953), "", 'Data Entry'!$á$953)</f>
      </c>
      <c r="FF953">
        <f>IF(ISBLANK('Data Entry'!$â$953), "", 'Data Entry'!$â$953)</f>
      </c>
      <c r="FG953">
        <f>IF(ISBLANK('Data Entry'!$ã$953), "", 'Data Entry'!$ã$953)</f>
      </c>
      <c r="FH953">
        <f>IF(ISBLANK('Data Entry'!$ä$953), "", 'Data Entry'!$ä$953)</f>
      </c>
      <c r="FI953">
        <f>IF(ISBLANK('Data Entry'!$å$953), "", 'Data Entry'!$å$953)</f>
      </c>
      <c r="FJ953">
        <f>IF(ISBLANK('Data Entry'!$æ$953), "", 'Data Entry'!$æ$953)</f>
      </c>
      <c r="FK953">
        <f>IF(ISBLANK('Data Entry'!$ç$953), "", 'Data Entry'!$ç$953)</f>
      </c>
      <c r="FL953">
        <f>IF(ISBLANK('Data Entry'!$è$953), "", 'Data Entry'!$è$953)</f>
      </c>
      <c r="FM953">
        <f>IF(ISBLANK('Data Entry'!$é$953), "", 'Data Entry'!$é$953)</f>
      </c>
      <c r="FN953">
        <f>IF(ISBLANK('Data Entry'!$ê$953), "", 'Data Entry'!$ê$953)</f>
      </c>
      <c r="FO953">
        <f>IF(ISBLANK('Data Entry'!$ë$953), "", 'Data Entry'!$ë$953)</f>
      </c>
      <c r="FP953">
        <f>IF(ISBLANK('Data Entry'!$ì$953), "", 'Data Entry'!$ì$953)</f>
      </c>
      <c r="FQ953">
        <f>IF(ISBLANK('Data Entry'!$í$953), "", 'Data Entry'!$í$953)</f>
      </c>
      <c r="FR953">
        <f>IF(ISBLANK('Data Entry'!$î$953), "", 'Data Entry'!$î$953)</f>
      </c>
      <c r="FS953">
        <f>IF(ISBLANK('Data Entry'!$ï$953), "", 'Data Entry'!$ï$953)</f>
      </c>
      <c r="FT953">
        <f>IF(ISBLANK('Data Entry'!$ð$953), "", 'Data Entry'!$ð$953)</f>
      </c>
      <c r="FU953">
        <f>IF(ISBLANK('Data Entry'!$ñ$953), "", 'Data Entry'!$ñ$953)</f>
      </c>
      <c r="FV953">
        <f>IF(ISBLANK('Data Entry'!$ò$953), "", 'Data Entry'!$ò$953)</f>
      </c>
      <c r="FW953">
        <f>IF(ISBLANK('Data Entry'!$ó$953), "", 'Data Entry'!$ó$953)</f>
      </c>
      <c r="FX953">
        <f>IF(ISBLANK('Data Entry'!$ô$953), "", 'Data Entry'!$ô$953)</f>
      </c>
      <c r="FY953">
        <f>IF(ISBLANK('Data Entry'!$õ$953), "", 'Data Entry'!$õ$953)</f>
      </c>
      <c r="FZ953">
        <f>IF(ISBLANK('Data Entry'!$ö$953), "", 'Data Entry'!$ö$953)</f>
      </c>
      <c r="GA953">
        <f>IF(ISBLANK('Data Entry'!$÷$953), "", 'Data Entry'!$÷$953)</f>
      </c>
      <c r="GB953">
        <f>IF(ISBLANK('Data Entry'!$ø$953), "", 'Data Entry'!$ø$953)</f>
      </c>
      <c r="GC953">
        <f>IF(ISBLANK('Data Entry'!$ù$953), "", 'Data Entry'!$ù$953)</f>
      </c>
      <c r="GD953">
        <f>IF(ISBLANK('Data Entry'!$ú$953), "", 'Data Entry'!$ú$953)</f>
      </c>
      <c r="GE953">
        <f>IF(ISBLANK('Data Entry'!$û$953), "", 'Data Entry'!$û$953)</f>
      </c>
      <c r="GF953">
        <f>IF(ISBLANK('Data Entry'!$ü$953), "", 'Data Entry'!$ü$953)</f>
      </c>
      <c r="GG953">
        <f>IF(ISBLANK('Data Entry'!$ý$953), "", 'Data Entry'!$ý$953)</f>
      </c>
      <c r="GH953">
        <f>IF(ISBLANK('Data Entry'!$þ$953), "", 'Data Entry'!$þ$953)</f>
      </c>
      <c r="GI953">
        <f>IF(ISBLANK('Data Entry'!$ÿ$953), "", 'Data Entry'!$ÿ$953)</f>
      </c>
      <c r="GJ953">
        <f>IF(ISBLANK('Data Entry'!$Ā$953), "", 'Data Entry'!$Ā$953)</f>
      </c>
      <c r="GK953">
        <f>IF(ISBLANK('Data Entry'!$ā$953), "", 'Data Entry'!$ā$953)</f>
      </c>
      <c r="GL953">
        <f>IF(ISBLANK('Data Entry'!$Ă$953), "", 'Data Entry'!$Ă$953)</f>
      </c>
      <c r="GM953">
        <f>IF(ISBLANK('Data Entry'!$ă$953), "", 'Data Entry'!$ă$953)</f>
      </c>
      <c r="GN953">
        <f>IF(ISBLANK('Data Entry'!$Ą$953), "", 'Data Entry'!$Ą$953)</f>
      </c>
      <c r="GO953">
        <f>IF(ISBLANK('Data Entry'!$ą$953), "", 'Data Entry'!$ą$953)</f>
      </c>
      <c r="GP953">
        <f>IF(ISBLANK('Data Entry'!$Ć$953), "", 'Data Entry'!$Ć$953)</f>
      </c>
      <c r="GQ953">
        <f>IF(ISBLANK('Data Entry'!$ć$953), "", 'Data Entry'!$ć$953)</f>
      </c>
      <c r="GR953">
        <f>IF(ISBLANK('Data Entry'!$Ĉ$953), "", 'Data Entry'!$Ĉ$953)</f>
      </c>
      <c r="GS953">
        <f>IF(ISBLANK('Data Entry'!$ĉ$953), "", 'Data Entry'!$ĉ$953)</f>
      </c>
      <c r="GT953">
        <f>IF(ISBLANK('Data Entry'!$Ċ$953), "", 'Data Entry'!$Ċ$953)</f>
      </c>
      <c r="GU953">
        <f>IF(ISBLANK('Data Entry'!$ċ$953), "", 'Data Entry'!$ċ$953)</f>
      </c>
      <c r="GV953">
        <f>IF(ISBLANK('Data Entry'!$Č$953), "", 'Data Entry'!$Č$953)</f>
      </c>
      <c r="GW953">
        <f>IF(ISBLANK('Data Entry'!$č$953), "", 'Data Entry'!$č$953)</f>
      </c>
      <c r="GX953">
        <f>IF(ISBLANK('Data Entry'!$Ď$953), "", 'Data Entry'!$Ď$953)</f>
      </c>
      <c r="GY953">
        <f>IF(ISBLANK('Data Entry'!$ď$953), "", 'Data Entry'!$ď$953)</f>
      </c>
      <c r="GZ953">
        <f>IF(ISBLANK('Data Entry'!$Đ$953), "", 'Data Entry'!$Đ$953)</f>
      </c>
      <c r="HA953">
        <f>IF(ISBLANK('Data Entry'!$đ$953), "", 'Data Entry'!$đ$953)</f>
      </c>
      <c r="HB953">
        <f>IF(ISBLANK('Data Entry'!$Ē$953), "", 'Data Entry'!$Ē$953)</f>
      </c>
      <c r="HC953">
        <f>IF(ISBLANK('Data Entry'!$ē$953), "", 'Data Entry'!$ē$953)</f>
      </c>
      <c r="HD953">
        <f>IF(ISBLANK('Data Entry'!$Ĕ$953), "", 'Data Entry'!$Ĕ$953)</f>
      </c>
      <c r="HE953">
        <f>IF(ISBLANK('Data Entry'!$ĕ$953), "", 'Data Entry'!$ĕ$953)</f>
      </c>
      <c r="HF953">
        <f>IF(ISBLANK('Data Entry'!$Ė$953), "", 'Data Entry'!$Ė$953)</f>
      </c>
      <c r="HG953">
        <f>IF(ISBLANK('Data Entry'!$ė$953), "", 'Data Entry'!$ė$953)</f>
      </c>
      <c r="HH953">
        <f>IF(ISBLANK('Data Entry'!$Ę$953), "", 'Data Entry'!$Ę$953)</f>
      </c>
      <c r="HI953">
        <f>IF(ISBLANK('Data Entry'!$ę$953), "", 'Data Entry'!$ę$953)</f>
      </c>
      <c r="HJ953">
        <f>IF(ISBLANK('Data Entry'!$Ě$953), "", 'Data Entry'!$Ě$953)</f>
      </c>
      <c r="HK953">
        <f>IF(ISBLANK('Data Entry'!$ě$953), "", 'Data Entry'!$ě$953)</f>
      </c>
      <c r="HL953">
        <f>IF(ISBLANK('Data Entry'!$Ĝ$953), "", 'Data Entry'!$Ĝ$953)</f>
      </c>
      <c r="HM953">
        <f>IF(ISBLANK('Data Entry'!$ĝ$953), "", 'Data Entry'!$ĝ$953)</f>
      </c>
      <c r="HN953">
        <f>IF(ISBLANK('Data Entry'!$Ğ$953), "", 'Data Entry'!$Ğ$953)</f>
      </c>
      <c r="HO953">
        <f>IF(ISBLANK('Data Entry'!$ğ$953), "", 'Data Entry'!$ğ$953)</f>
      </c>
      <c r="HP953">
        <f>IF(ISBLANK('Data Entry'!$Ġ$953), "", 'Data Entry'!$Ġ$953)</f>
      </c>
      <c r="HQ953">
        <f>IF(ISBLANK('Data Entry'!$ġ$953), "", 'Data Entry'!$ġ$953)</f>
      </c>
      <c r="HR953">
        <f>IF(ISBLANK('Data Entry'!$Ģ$953), "", 'Data Entry'!$Ģ$953)</f>
      </c>
      <c r="HS953">
        <f>IF(ISBLANK('Data Entry'!$ģ$953), "", 'Data Entry'!$ģ$953)</f>
      </c>
      <c r="HT953">
        <f>IF(ISBLANK('Data Entry'!$Ĥ$953), "", 'Data Entry'!$Ĥ$953)</f>
      </c>
      <c r="HU953">
        <f>IF(ISBLANK('Data Entry'!$ĥ$953), "", 'Data Entry'!$ĥ$953)</f>
      </c>
      <c r="HV953">
        <f>IF(ISBLANK('Data Entry'!$Ħ$953), "", 'Data Entry'!$Ħ$953)</f>
      </c>
      <c r="HW953">
        <f>IF(ISBLANK('Data Entry'!$ħ$953), "", 'Data Entry'!$ħ$953)</f>
      </c>
      <c r="HX953">
        <f>IF(ISBLANK('Data Entry'!$Ĩ$953), "", 'Data Entry'!$Ĩ$953)</f>
      </c>
      <c r="HY953">
        <f>IF(ISBLANK('Data Entry'!$ĩ$953), "", 'Data Entry'!$ĩ$953)</f>
      </c>
      <c r="HZ953">
        <f>IF(ISBLANK('Data Entry'!$Ī$953), "", 'Data Entry'!$Ī$953)</f>
      </c>
      <c r="IA953">
        <f>IF(ISBLANK('Data Entry'!$ī$953), "", 'Data Entry'!$ī$953)</f>
      </c>
      <c r="IB953">
        <f>IF(ISBLANK('Data Entry'!$Ĭ$953), "", 'Data Entry'!$Ĭ$953)</f>
      </c>
      <c r="IC953">
        <f>IF(ISBLANK('Data Entry'!$ĭ$953), "", 'Data Entry'!$ĭ$953)</f>
      </c>
      <c r="ID953">
        <f>IF(ISBLANK('Data Entry'!$Į$953), "", 'Data Entry'!$Į$953)</f>
      </c>
      <c r="IE953">
        <f>IF(ISBLANK('Data Entry'!$į$953), "", 'Data Entry'!$į$953)</f>
      </c>
      <c r="IF953">
        <f>IF(ISBLANK('Data Entry'!$İ$953), "", 'Data Entry'!$İ$953)</f>
      </c>
      <c r="IG953">
        <f>IF(ISBLANK('Data Entry'!$ı$953), "", 'Data Entry'!$ı$953)</f>
      </c>
      <c r="IH953">
        <f>IF(ISBLANK('Data Entry'!$Ĳ$953), "", 'Data Entry'!$Ĳ$953)</f>
      </c>
      <c r="II953">
        <f>IF(ISBLANK('Data Entry'!$ĳ$953), "", 'Data Entry'!$ĳ$953)</f>
      </c>
      <c r="IJ953">
        <f>IF(ISBLANK('Data Entry'!$Ĵ$953), "", 'Data Entry'!$Ĵ$953)</f>
      </c>
      <c r="IK953">
        <f>IF(ISBLANK('Data Entry'!$ĵ$953), "", 'Data Entry'!$ĵ$953)</f>
      </c>
      <c r="IL953">
        <f>IF(ISBLANK('Data Entry'!$Ķ$953), "", 'Data Entry'!$Ķ$953)</f>
      </c>
      <c r="IM953">
        <f>IF(ISBLANK('Data Entry'!$ķ$953), "", 'Data Entry'!$ķ$953)</f>
      </c>
      <c r="IN953">
        <f>IF(ISBLANK('Data Entry'!$ĸ$953), "", 'Data Entry'!$ĸ$953)</f>
      </c>
      <c r="IO953">
        <f>IF(ISBLANK('Data Entry'!$Ĺ$953), "", 'Data Entry'!$Ĺ$953)</f>
      </c>
      <c r="IP953">
        <f>IF(ISBLANK('Data Entry'!$ĺ$953), "", 'Data Entry'!$ĺ$953)</f>
      </c>
      <c r="IQ953">
        <f>IF(ISBLANK('Data Entry'!$Ļ$953), "", 'Data Entry'!$Ļ$953)</f>
      </c>
      <c r="IR953">
        <f>IF(ISBLANK('Data Entry'!$ļ$953), "", 'Data Entry'!$ļ$953)</f>
      </c>
      <c r="IS953">
        <f>IF(ISBLANK('Data Entry'!$Ľ$953), "", 'Data Entry'!$Ľ$953)</f>
      </c>
      <c r="IT953">
        <f>IF(ISBLANK('Data Entry'!$ľ$953), "", 'Data Entry'!$ľ$953)</f>
      </c>
    </row>
    <row r="954" spans="1:254" x14ac:dyDescent="0.25">
      <c r="A954">
        <f>IF(ISBLANK('Data Entry'!$A$954), "", 'Data Entry'!$A$954)</f>
      </c>
      <c r="B954">
        <f>IF(ISBLANK('Data Entry'!$B$954), "", 'Data Entry'!$B$954)</f>
      </c>
      <c r="C954">
        <f>IF(ISBLANK('Data Entry'!$C$954), "", 'Data Entry'!$C$954)</f>
      </c>
      <c r="D954">
        <f>IF(ISBLANK('Data Entry'!$D$954), "", 'Data Entry'!$D$954)</f>
      </c>
      <c r="E954">
        <f>IF(ISBLANK('Data Entry'!$E$954), "", 'Data Entry'!$E$954)</f>
      </c>
      <c r="F954">
        <f>IF(ISBLANK('Data Entry'!$F$954), "", 'Data Entry'!$F$954)</f>
      </c>
      <c r="G954">
        <f>IF(ISBLANK('Data Entry'!$G$954), "", 'Data Entry'!$G$954)</f>
      </c>
      <c r="H954">
        <f>IF(ISBLANK('Data Entry'!$H$954), "", 'Data Entry'!$H$954)</f>
      </c>
      <c r="I954">
        <f>IF(ISBLANK('Data Entry'!$I$954), "", 'Data Entry'!$I$954)</f>
      </c>
      <c r="J954">
        <f>IF(ISBLANK('Data Entry'!$J$954), "", 'Data Entry'!$J$954)</f>
      </c>
      <c r="K954">
        <f>IF(ISBLANK('Data Entry'!$K$954), "", 'Data Entry'!$K$954)</f>
      </c>
      <c r="L954">
        <f>IF(ISBLANK('Data Entry'!$L$954), "", 'Data Entry'!$L$954)</f>
      </c>
      <c r="M954">
        <f>IF(ISBLANK('Data Entry'!$M$954), "", 'Data Entry'!$M$954)</f>
      </c>
      <c r="N954">
        <f>IF(ISBLANK('Data Entry'!$N$954), "", 'Data Entry'!$N$954)</f>
      </c>
      <c r="O954">
        <f>IF(ISBLANK('Data Entry'!$O$954), "", 'Data Entry'!$O$954)</f>
      </c>
      <c r="P954">
        <f>IF(ISBLANK('Data Entry'!$P$954), "", 'Data Entry'!$P$954)</f>
      </c>
      <c r="Q954">
        <f>IF(ISBLANK('Data Entry'!$Q$954), "", 'Data Entry'!$Q$954)</f>
      </c>
      <c r="R954">
        <f>IF(ISBLANK('Data Entry'!$R$954), "", 'Data Entry'!$R$954)</f>
      </c>
      <c r="S954">
        <f>IF(ISBLANK('Data Entry'!$S$954), "", 'Data Entry'!$S$954)</f>
      </c>
      <c r="T954">
        <f>IF(ISBLANK('Data Entry'!$T$954), "", 'Data Entry'!$T$954)</f>
      </c>
      <c r="U954">
        <f>IF(ISBLANK('Data Entry'!$U$954), "", 'Data Entry'!$U$954)</f>
      </c>
      <c r="V954">
        <f>IF(ISBLANK('Data Entry'!$V$954), "", 'Data Entry'!$V$954)</f>
      </c>
      <c r="W954">
        <f>IF(ISBLANK('Data Entry'!$W$954), "", 'Data Entry'!$W$954)</f>
      </c>
      <c r="X954">
        <f>IF(ISBLANK('Data Entry'!$X$954), "", 'Data Entry'!$X$954)</f>
      </c>
      <c r="Y954">
        <f>IF(ISBLANK('Data Entry'!$Y$954), "", 'Data Entry'!$Y$954)</f>
      </c>
      <c r="Z954">
        <f>IF(ISBLANK('Data Entry'!$Z$954), "", 'Data Entry'!$Z$954)</f>
      </c>
      <c r="AA954">
        <f>IF(ISBLANK('Data Entry'!$[$954), "", 'Data Entry'!$[$954)</f>
      </c>
      <c r="AB954">
        <f>IF(ISBLANK('Data Entry'!$\$954), "", 'Data Entry'!$\$954)</f>
      </c>
      <c r="AC954">
        <f>IF(ISBLANK('Data Entry'!$]$954), "", 'Data Entry'!$]$954)</f>
      </c>
      <c r="AD954">
        <f>IF(ISBLANK('Data Entry'!$^$954), "", 'Data Entry'!$^$954)</f>
      </c>
      <c r="AE954">
        <f>IF(ISBLANK('Data Entry'!$_$954), "", 'Data Entry'!$_$954)</f>
      </c>
      <c r="AF954">
        <f>IF(ISBLANK('Data Entry'!$`$954), "", 'Data Entry'!$`$954)</f>
      </c>
      <c r="AG954">
        <f>IF(ISBLANK('Data Entry'!$a$954), "", 'Data Entry'!$a$954)</f>
      </c>
      <c r="AH954">
        <f>IF(ISBLANK('Data Entry'!$b$954), "", 'Data Entry'!$b$954)</f>
      </c>
      <c r="AI954">
        <f>IF(ISBLANK('Data Entry'!$c$954), "", 'Data Entry'!$c$954)</f>
      </c>
      <c r="AJ954">
        <f>IF(ISBLANK('Data Entry'!$d$954), "", 'Data Entry'!$d$954)</f>
      </c>
      <c r="AK954">
        <f>IF(ISBLANK('Data Entry'!$e$954), "", 'Data Entry'!$e$954)</f>
      </c>
      <c r="AL954">
        <f>IF(ISBLANK('Data Entry'!$f$954), "", 'Data Entry'!$f$954)</f>
      </c>
      <c r="AM954">
        <f>IF(ISBLANK('Data Entry'!$g$954), "", 'Data Entry'!$g$954)</f>
      </c>
      <c r="AN954">
        <f>IF(ISBLANK('Data Entry'!$h$954), "", 'Data Entry'!$h$954)</f>
      </c>
      <c r="AO954">
        <f>IF(ISBLANK('Data Entry'!$i$954), "", 'Data Entry'!$i$954)</f>
      </c>
      <c r="AP954">
        <f>IF(ISBLANK('Data Entry'!$j$954), "", 'Data Entry'!$j$954)</f>
      </c>
      <c r="AQ954">
        <f>IF(ISBLANK('Data Entry'!$k$954), "", 'Data Entry'!$k$954)</f>
      </c>
      <c r="AR954">
        <f>IF(ISBLANK('Data Entry'!$l$954), "", 'Data Entry'!$l$954)</f>
      </c>
      <c r="AS954">
        <f>IF(ISBLANK('Data Entry'!$m$954), "", 'Data Entry'!$m$954)</f>
      </c>
      <c r="AT954">
        <f>IF(ISBLANK('Data Entry'!$n$954), "", 'Data Entry'!$n$954)</f>
      </c>
      <c r="AU954">
        <f>IF(ISBLANK('Data Entry'!$o$954), "", 'Data Entry'!$o$954)</f>
      </c>
      <c r="AV954">
        <f>IF(ISBLANK('Data Entry'!$p$954), "", 'Data Entry'!$p$954)</f>
      </c>
      <c r="AW954">
        <f>IF(ISBLANK('Data Entry'!$q$954), "", 'Data Entry'!$q$954)</f>
      </c>
      <c r="AX954">
        <f>IF(ISBLANK('Data Entry'!$r$954), "", 'Data Entry'!$r$954)</f>
      </c>
      <c r="AY954">
        <f>IF(ISBLANK('Data Entry'!$s$954), "", 'Data Entry'!$s$954)</f>
      </c>
      <c r="AZ954">
        <f>IF(ISBLANK('Data Entry'!$t$954), "", 'Data Entry'!$t$954)</f>
      </c>
      <c r="BA954">
        <f>IF(ISBLANK('Data Entry'!$u$954), "", 'Data Entry'!$u$954)</f>
      </c>
      <c r="BB954">
        <f>IF(ISBLANK('Data Entry'!$v$954), "", 'Data Entry'!$v$954)</f>
      </c>
      <c r="BC954">
        <f>IF(ISBLANK('Data Entry'!$w$954), "", 'Data Entry'!$w$954)</f>
      </c>
      <c r="BD954">
        <f>IF(ISBLANK('Data Entry'!$x$954), "", 'Data Entry'!$x$954)</f>
      </c>
      <c r="BE954">
        <f>IF(ISBLANK('Data Entry'!$y$954), "", 'Data Entry'!$y$954)</f>
      </c>
      <c r="BF954">
        <f>IF(ISBLANK('Data Entry'!$z$954), "", 'Data Entry'!$z$954)</f>
      </c>
      <c r="BG954">
        <f>IF(ISBLANK('Data Entry'!${$954), "", 'Data Entry'!${$954)</f>
      </c>
      <c r="BH954">
        <f>IF(ISBLANK('Data Entry'!$|$954), "", 'Data Entry'!$|$954)</f>
      </c>
      <c r="BI954">
        <f>IF(ISBLANK('Data Entry'!$}$954), "", 'Data Entry'!$}$954)</f>
      </c>
      <c r="BJ954">
        <f>IF(ISBLANK('Data Entry'!$~$954), "", 'Data Entry'!$~$954)</f>
      </c>
      <c r="BK954">
        <f>IF(ISBLANK('Data Entry'!$$954), "", 'Data Entry'!$$954)</f>
      </c>
      <c r="BL954">
        <f>IF(ISBLANK('Data Entry'!$$954), "", 'Data Entry'!$$954)</f>
      </c>
      <c r="BM954">
        <f>IF(ISBLANK('Data Entry'!$$954), "", 'Data Entry'!$$954)</f>
      </c>
      <c r="BN954">
        <f>IF(ISBLANK('Data Entry'!$$954), "", 'Data Entry'!$$954)</f>
      </c>
      <c r="BO954">
        <f>IF(ISBLANK('Data Entry'!$$954), "", 'Data Entry'!$$954)</f>
      </c>
      <c r="BP954">
        <f>IF(ISBLANK('Data Entry'!$$954), "", 'Data Entry'!$$954)</f>
      </c>
      <c r="BQ954">
        <f>IF(ISBLANK('Data Entry'!$$954), "", 'Data Entry'!$$954)</f>
      </c>
      <c r="BR954">
        <f>IF(ISBLANK('Data Entry'!$$954), "", 'Data Entry'!$$954)</f>
      </c>
      <c r="BS954">
        <f>IF(ISBLANK('Data Entry'!$$954), "", 'Data Entry'!$$954)</f>
      </c>
      <c r="BT954">
        <f>IF(ISBLANK('Data Entry'!$$954), "", 'Data Entry'!$$954)</f>
      </c>
      <c r="BU954">
        <f>IF(ISBLANK('Data Entry'!$$954), "", 'Data Entry'!$$954)</f>
      </c>
      <c r="BV954">
        <f>IF(ISBLANK('Data Entry'!$$954), "", 'Data Entry'!$$954)</f>
      </c>
      <c r="BW954">
        <f>IF(ISBLANK('Data Entry'!$$954), "", 'Data Entry'!$$954)</f>
      </c>
      <c r="BX954">
        <f>IF(ISBLANK('Data Entry'!$$954), "", 'Data Entry'!$$954)</f>
      </c>
      <c r="BY954">
        <f>IF(ISBLANK('Data Entry'!$$954), "", 'Data Entry'!$$954)</f>
      </c>
      <c r="BZ954">
        <f>IF(ISBLANK('Data Entry'!$$954), "", 'Data Entry'!$$954)</f>
      </c>
      <c r="CA954">
        <f>IF(ISBLANK('Data Entry'!$$954), "", 'Data Entry'!$$954)</f>
      </c>
      <c r="CB954">
        <f>IF(ISBLANK('Data Entry'!$$954), "", 'Data Entry'!$$954)</f>
      </c>
      <c r="CC954">
        <f>IF(ISBLANK('Data Entry'!$$954), "", 'Data Entry'!$$954)</f>
      </c>
      <c r="CD954">
        <f>IF(ISBLANK('Data Entry'!$$954), "", 'Data Entry'!$$954)</f>
      </c>
      <c r="CE954">
        <f>IF(ISBLANK('Data Entry'!$$954), "", 'Data Entry'!$$954)</f>
      </c>
      <c r="CF954">
        <f>IF(ISBLANK('Data Entry'!$$954), "", 'Data Entry'!$$954)</f>
      </c>
      <c r="CG954">
        <f>IF(ISBLANK('Data Entry'!$$954), "", 'Data Entry'!$$954)</f>
      </c>
      <c r="CH954">
        <f>IF(ISBLANK('Data Entry'!$$954), "", 'Data Entry'!$$954)</f>
      </c>
      <c r="CI954">
        <f>IF(ISBLANK('Data Entry'!$$954), "", 'Data Entry'!$$954)</f>
      </c>
      <c r="CJ954">
        <f>IF(ISBLANK('Data Entry'!$$954), "", 'Data Entry'!$$954)</f>
      </c>
      <c r="CK954">
        <f>IF(ISBLANK('Data Entry'!$$954), "", 'Data Entry'!$$954)</f>
      </c>
      <c r="CL954">
        <f>IF(ISBLANK('Data Entry'!$$954), "", 'Data Entry'!$$954)</f>
      </c>
      <c r="CM954">
        <f>IF(ISBLANK('Data Entry'!$$954), "", 'Data Entry'!$$954)</f>
      </c>
      <c r="CN954">
        <f>IF(ISBLANK('Data Entry'!$$954), "", 'Data Entry'!$$954)</f>
      </c>
      <c r="CO954">
        <f>IF(ISBLANK('Data Entry'!$$954), "", 'Data Entry'!$$954)</f>
      </c>
      <c r="CP954">
        <f>IF(ISBLANK('Data Entry'!$$954), "", 'Data Entry'!$$954)</f>
      </c>
      <c r="CQ954">
        <f>IF(ISBLANK('Data Entry'!$$954), "", 'Data Entry'!$$954)</f>
      </c>
      <c r="CR954">
        <f>IF(ISBLANK('Data Entry'!$ $954), "", 'Data Entry'!$ $954)</f>
      </c>
      <c r="CS954">
        <f>IF(ISBLANK('Data Entry'!$¡$954), "", 'Data Entry'!$¡$954)</f>
      </c>
      <c r="CT954">
        <f>IF(ISBLANK('Data Entry'!$¢$954), "", 'Data Entry'!$¢$954)</f>
      </c>
      <c r="CU954">
        <f>IF(ISBLANK('Data Entry'!$£$954), "", 'Data Entry'!$£$954)</f>
      </c>
      <c r="CV954">
        <f>IF(ISBLANK('Data Entry'!$¤$954), "", 'Data Entry'!$¤$954)</f>
      </c>
      <c r="CW954">
        <f>IF(ISBLANK('Data Entry'!$¥$954), "", 'Data Entry'!$¥$954)</f>
      </c>
      <c r="CX954">
        <f>IF(ISBLANK('Data Entry'!$¦$954), "", 'Data Entry'!$¦$954)</f>
      </c>
      <c r="CY954">
        <f>IF(ISBLANK('Data Entry'!$§$954), "", 'Data Entry'!$§$954)</f>
      </c>
      <c r="CZ954">
        <f>IF(ISBLANK('Data Entry'!$¨$954), "", 'Data Entry'!$¨$954)</f>
      </c>
      <c r="DA954">
        <f>IF(ISBLANK('Data Entry'!$©$954), "", 'Data Entry'!$©$954)</f>
      </c>
      <c r="DB954">
        <f>IF(ISBLANK('Data Entry'!$ª$954), "", 'Data Entry'!$ª$954)</f>
      </c>
      <c r="DC954">
        <f>IF(ISBLANK('Data Entry'!$«$954), "", 'Data Entry'!$«$954)</f>
      </c>
      <c r="DD954">
        <f>IF(ISBLANK('Data Entry'!$¬$954), "", 'Data Entry'!$¬$954)</f>
      </c>
      <c r="DE954">
        <f>IF(ISBLANK('Data Entry'!$­$954), "", 'Data Entry'!$­$954)</f>
      </c>
      <c r="DF954">
        <f>IF(ISBLANK('Data Entry'!$®$954), "", 'Data Entry'!$®$954)</f>
      </c>
      <c r="DG954">
        <f>IF(ISBLANK('Data Entry'!$¯$954), "", 'Data Entry'!$¯$954)</f>
      </c>
      <c r="DH954">
        <f>IF(ISBLANK('Data Entry'!$°$954), "", 'Data Entry'!$°$954)</f>
      </c>
      <c r="DI954">
        <f>IF(ISBLANK('Data Entry'!$±$954), "", 'Data Entry'!$±$954)</f>
      </c>
      <c r="DJ954">
        <f>IF(ISBLANK('Data Entry'!$²$954), "", 'Data Entry'!$²$954)</f>
      </c>
      <c r="DK954">
        <f>IF(ISBLANK('Data Entry'!$³$954), "", 'Data Entry'!$³$954)</f>
      </c>
      <c r="DL954">
        <f>IF(ISBLANK('Data Entry'!$´$954), "", 'Data Entry'!$´$954)</f>
      </c>
      <c r="DM954">
        <f>IF(ISBLANK('Data Entry'!$µ$954), "", 'Data Entry'!$µ$954)</f>
      </c>
      <c r="DN954">
        <f>IF(ISBLANK('Data Entry'!$¶$954), "", 'Data Entry'!$¶$954)</f>
      </c>
      <c r="DO954">
        <f>IF(ISBLANK('Data Entry'!$·$954), "", 'Data Entry'!$·$954)</f>
      </c>
      <c r="DP954">
        <f>IF(ISBLANK('Data Entry'!$¸$954), "", 'Data Entry'!$¸$954)</f>
      </c>
      <c r="DQ954">
        <f>IF(ISBLANK('Data Entry'!$¹$954), "", 'Data Entry'!$¹$954)</f>
      </c>
      <c r="DR954">
        <f>IF(ISBLANK('Data Entry'!$º$954), "", 'Data Entry'!$º$954)</f>
      </c>
      <c r="DS954">
        <f>IF(ISBLANK('Data Entry'!$»$954), "", 'Data Entry'!$»$954)</f>
      </c>
      <c r="DT954">
        <f>IF(ISBLANK('Data Entry'!$¼$954), "", 'Data Entry'!$¼$954)</f>
      </c>
      <c r="DU954">
        <f>IF(ISBLANK('Data Entry'!$½$954), "", 'Data Entry'!$½$954)</f>
      </c>
      <c r="DV954">
        <f>IF(ISBLANK('Data Entry'!$¾$954), "", 'Data Entry'!$¾$954)</f>
      </c>
      <c r="DW954">
        <f>IF(ISBLANK('Data Entry'!$¿$954), "", 'Data Entry'!$¿$954)</f>
      </c>
      <c r="DX954">
        <f>IF(ISBLANK('Data Entry'!$À$954), "", 'Data Entry'!$À$954)</f>
      </c>
      <c r="DY954">
        <f>IF(ISBLANK('Data Entry'!$Á$954), "", 'Data Entry'!$Á$954)</f>
      </c>
      <c r="DZ954">
        <f>IF(ISBLANK('Data Entry'!$Â$954), "", 'Data Entry'!$Â$954)</f>
      </c>
      <c r="EA954">
        <f>IF(ISBLANK('Data Entry'!$Ã$954), "", 'Data Entry'!$Ã$954)</f>
      </c>
      <c r="EB954">
        <f>IF(ISBLANK('Data Entry'!$Ä$954), "", 'Data Entry'!$Ä$954)</f>
      </c>
      <c r="EC954">
        <f>IF(ISBLANK('Data Entry'!$Å$954), "", 'Data Entry'!$Å$954)</f>
      </c>
      <c r="ED954">
        <f>IF(ISBLANK('Data Entry'!$Æ$954), "", 'Data Entry'!$Æ$954)</f>
      </c>
      <c r="EE954">
        <f>IF(ISBLANK('Data Entry'!$Ç$954), "", 'Data Entry'!$Ç$954)</f>
      </c>
      <c r="EF954">
        <f>IF(ISBLANK('Data Entry'!$È$954), "", 'Data Entry'!$È$954)</f>
      </c>
      <c r="EG954">
        <f>IF(ISBLANK('Data Entry'!$É$954), "", 'Data Entry'!$É$954)</f>
      </c>
      <c r="EH954">
        <f>IF(ISBLANK('Data Entry'!$Ê$954), "", 'Data Entry'!$Ê$954)</f>
      </c>
      <c r="EI954">
        <f>IF(ISBLANK('Data Entry'!$Ë$954), "", 'Data Entry'!$Ë$954)</f>
      </c>
      <c r="EJ954">
        <f>IF(ISBLANK('Data Entry'!$Ì$954), "", 'Data Entry'!$Ì$954)</f>
      </c>
      <c r="EK954">
        <f>IF(ISBLANK('Data Entry'!$Í$954), "", 'Data Entry'!$Í$954)</f>
      </c>
      <c r="EL954">
        <f>IF(ISBLANK('Data Entry'!$Î$954), "", 'Data Entry'!$Î$954)</f>
      </c>
      <c r="EM954">
        <f>IF(ISBLANK('Data Entry'!$Ï$954), "", 'Data Entry'!$Ï$954)</f>
      </c>
      <c r="EN954">
        <f>IF(ISBLANK('Data Entry'!$Ð$954), "", 'Data Entry'!$Ð$954)</f>
      </c>
      <c r="EO954">
        <f>IF(ISBLANK('Data Entry'!$Ñ$954), "", 'Data Entry'!$Ñ$954)</f>
      </c>
      <c r="EP954">
        <f>IF(ISBLANK('Data Entry'!$Ò$954), "", 'Data Entry'!$Ò$954)</f>
      </c>
      <c r="EQ954">
        <f>IF(ISBLANK('Data Entry'!$Ó$954), "", 'Data Entry'!$Ó$954)</f>
      </c>
      <c r="ER954">
        <f>IF(ISBLANK('Data Entry'!$Ô$954), "", 'Data Entry'!$Ô$954)</f>
      </c>
      <c r="ES954">
        <f>IF(ISBLANK('Data Entry'!$Õ$954), "", 'Data Entry'!$Õ$954)</f>
      </c>
      <c r="ET954">
        <f>IF(ISBLANK('Data Entry'!$Ö$954), "", 'Data Entry'!$Ö$954)</f>
      </c>
      <c r="EU954">
        <f>IF(ISBLANK('Data Entry'!$×$954), "", 'Data Entry'!$×$954)</f>
      </c>
      <c r="EV954">
        <f>IF(ISBLANK('Data Entry'!$Ø$954), "", 'Data Entry'!$Ø$954)</f>
      </c>
      <c r="EW954">
        <f>IF(ISBLANK('Data Entry'!$Ù$954), "", 'Data Entry'!$Ù$954)</f>
      </c>
      <c r="EX954">
        <f>IF(ISBLANK('Data Entry'!$Ú$954), "", 'Data Entry'!$Ú$954)</f>
      </c>
      <c r="EY954">
        <f>IF(ISBLANK('Data Entry'!$Û$954), "", 'Data Entry'!$Û$954)</f>
      </c>
      <c r="EZ954">
        <f>IF(ISBLANK('Data Entry'!$Ü$954), "", 'Data Entry'!$Ü$954)</f>
      </c>
      <c r="FA954">
        <f>IF(ISBLANK('Data Entry'!$Ý$954), "", 'Data Entry'!$Ý$954)</f>
      </c>
      <c r="FB954">
        <f>IF(ISBLANK('Data Entry'!$Þ$954), "", 'Data Entry'!$Þ$954)</f>
      </c>
      <c r="FC954">
        <f>IF(ISBLANK('Data Entry'!$ß$954), "", 'Data Entry'!$ß$954)</f>
      </c>
      <c r="FD954">
        <f>IF(ISBLANK('Data Entry'!$à$954), "", 'Data Entry'!$à$954)</f>
      </c>
      <c r="FE954">
        <f>IF(ISBLANK('Data Entry'!$á$954), "", 'Data Entry'!$á$954)</f>
      </c>
      <c r="FF954">
        <f>IF(ISBLANK('Data Entry'!$â$954), "", 'Data Entry'!$â$954)</f>
      </c>
      <c r="FG954">
        <f>IF(ISBLANK('Data Entry'!$ã$954), "", 'Data Entry'!$ã$954)</f>
      </c>
      <c r="FH954">
        <f>IF(ISBLANK('Data Entry'!$ä$954), "", 'Data Entry'!$ä$954)</f>
      </c>
      <c r="FI954">
        <f>IF(ISBLANK('Data Entry'!$å$954), "", 'Data Entry'!$å$954)</f>
      </c>
      <c r="FJ954">
        <f>IF(ISBLANK('Data Entry'!$æ$954), "", 'Data Entry'!$æ$954)</f>
      </c>
      <c r="FK954">
        <f>IF(ISBLANK('Data Entry'!$ç$954), "", 'Data Entry'!$ç$954)</f>
      </c>
      <c r="FL954">
        <f>IF(ISBLANK('Data Entry'!$è$954), "", 'Data Entry'!$è$954)</f>
      </c>
      <c r="FM954">
        <f>IF(ISBLANK('Data Entry'!$é$954), "", 'Data Entry'!$é$954)</f>
      </c>
      <c r="FN954">
        <f>IF(ISBLANK('Data Entry'!$ê$954), "", 'Data Entry'!$ê$954)</f>
      </c>
      <c r="FO954">
        <f>IF(ISBLANK('Data Entry'!$ë$954), "", 'Data Entry'!$ë$954)</f>
      </c>
      <c r="FP954">
        <f>IF(ISBLANK('Data Entry'!$ì$954), "", 'Data Entry'!$ì$954)</f>
      </c>
      <c r="FQ954">
        <f>IF(ISBLANK('Data Entry'!$í$954), "", 'Data Entry'!$í$954)</f>
      </c>
      <c r="FR954">
        <f>IF(ISBLANK('Data Entry'!$î$954), "", 'Data Entry'!$î$954)</f>
      </c>
      <c r="FS954">
        <f>IF(ISBLANK('Data Entry'!$ï$954), "", 'Data Entry'!$ï$954)</f>
      </c>
      <c r="FT954">
        <f>IF(ISBLANK('Data Entry'!$ð$954), "", 'Data Entry'!$ð$954)</f>
      </c>
      <c r="FU954">
        <f>IF(ISBLANK('Data Entry'!$ñ$954), "", 'Data Entry'!$ñ$954)</f>
      </c>
      <c r="FV954">
        <f>IF(ISBLANK('Data Entry'!$ò$954), "", 'Data Entry'!$ò$954)</f>
      </c>
      <c r="FW954">
        <f>IF(ISBLANK('Data Entry'!$ó$954), "", 'Data Entry'!$ó$954)</f>
      </c>
      <c r="FX954">
        <f>IF(ISBLANK('Data Entry'!$ô$954), "", 'Data Entry'!$ô$954)</f>
      </c>
      <c r="FY954">
        <f>IF(ISBLANK('Data Entry'!$õ$954), "", 'Data Entry'!$õ$954)</f>
      </c>
      <c r="FZ954">
        <f>IF(ISBLANK('Data Entry'!$ö$954), "", 'Data Entry'!$ö$954)</f>
      </c>
      <c r="GA954">
        <f>IF(ISBLANK('Data Entry'!$÷$954), "", 'Data Entry'!$÷$954)</f>
      </c>
      <c r="GB954">
        <f>IF(ISBLANK('Data Entry'!$ø$954), "", 'Data Entry'!$ø$954)</f>
      </c>
      <c r="GC954">
        <f>IF(ISBLANK('Data Entry'!$ù$954), "", 'Data Entry'!$ù$954)</f>
      </c>
      <c r="GD954">
        <f>IF(ISBLANK('Data Entry'!$ú$954), "", 'Data Entry'!$ú$954)</f>
      </c>
      <c r="GE954">
        <f>IF(ISBLANK('Data Entry'!$û$954), "", 'Data Entry'!$û$954)</f>
      </c>
      <c r="GF954">
        <f>IF(ISBLANK('Data Entry'!$ü$954), "", 'Data Entry'!$ü$954)</f>
      </c>
      <c r="GG954">
        <f>IF(ISBLANK('Data Entry'!$ý$954), "", 'Data Entry'!$ý$954)</f>
      </c>
      <c r="GH954">
        <f>IF(ISBLANK('Data Entry'!$þ$954), "", 'Data Entry'!$þ$954)</f>
      </c>
      <c r="GI954">
        <f>IF(ISBLANK('Data Entry'!$ÿ$954), "", 'Data Entry'!$ÿ$954)</f>
      </c>
      <c r="GJ954">
        <f>IF(ISBLANK('Data Entry'!$Ā$954), "", 'Data Entry'!$Ā$954)</f>
      </c>
      <c r="GK954">
        <f>IF(ISBLANK('Data Entry'!$ā$954), "", 'Data Entry'!$ā$954)</f>
      </c>
      <c r="GL954">
        <f>IF(ISBLANK('Data Entry'!$Ă$954), "", 'Data Entry'!$Ă$954)</f>
      </c>
      <c r="GM954">
        <f>IF(ISBLANK('Data Entry'!$ă$954), "", 'Data Entry'!$ă$954)</f>
      </c>
      <c r="GN954">
        <f>IF(ISBLANK('Data Entry'!$Ą$954), "", 'Data Entry'!$Ą$954)</f>
      </c>
      <c r="GO954">
        <f>IF(ISBLANK('Data Entry'!$ą$954), "", 'Data Entry'!$ą$954)</f>
      </c>
      <c r="GP954">
        <f>IF(ISBLANK('Data Entry'!$Ć$954), "", 'Data Entry'!$Ć$954)</f>
      </c>
      <c r="GQ954">
        <f>IF(ISBLANK('Data Entry'!$ć$954), "", 'Data Entry'!$ć$954)</f>
      </c>
      <c r="GR954">
        <f>IF(ISBLANK('Data Entry'!$Ĉ$954), "", 'Data Entry'!$Ĉ$954)</f>
      </c>
      <c r="GS954">
        <f>IF(ISBLANK('Data Entry'!$ĉ$954), "", 'Data Entry'!$ĉ$954)</f>
      </c>
      <c r="GT954">
        <f>IF(ISBLANK('Data Entry'!$Ċ$954), "", 'Data Entry'!$Ċ$954)</f>
      </c>
      <c r="GU954">
        <f>IF(ISBLANK('Data Entry'!$ċ$954), "", 'Data Entry'!$ċ$954)</f>
      </c>
      <c r="GV954">
        <f>IF(ISBLANK('Data Entry'!$Č$954), "", 'Data Entry'!$Č$954)</f>
      </c>
      <c r="GW954">
        <f>IF(ISBLANK('Data Entry'!$č$954), "", 'Data Entry'!$č$954)</f>
      </c>
      <c r="GX954">
        <f>IF(ISBLANK('Data Entry'!$Ď$954), "", 'Data Entry'!$Ď$954)</f>
      </c>
      <c r="GY954">
        <f>IF(ISBLANK('Data Entry'!$ď$954), "", 'Data Entry'!$ď$954)</f>
      </c>
      <c r="GZ954">
        <f>IF(ISBLANK('Data Entry'!$Đ$954), "", 'Data Entry'!$Đ$954)</f>
      </c>
      <c r="HA954">
        <f>IF(ISBLANK('Data Entry'!$đ$954), "", 'Data Entry'!$đ$954)</f>
      </c>
      <c r="HB954">
        <f>IF(ISBLANK('Data Entry'!$Ē$954), "", 'Data Entry'!$Ē$954)</f>
      </c>
      <c r="HC954">
        <f>IF(ISBLANK('Data Entry'!$ē$954), "", 'Data Entry'!$ē$954)</f>
      </c>
      <c r="HD954">
        <f>IF(ISBLANK('Data Entry'!$Ĕ$954), "", 'Data Entry'!$Ĕ$954)</f>
      </c>
      <c r="HE954">
        <f>IF(ISBLANK('Data Entry'!$ĕ$954), "", 'Data Entry'!$ĕ$954)</f>
      </c>
      <c r="HF954">
        <f>IF(ISBLANK('Data Entry'!$Ė$954), "", 'Data Entry'!$Ė$954)</f>
      </c>
      <c r="HG954">
        <f>IF(ISBLANK('Data Entry'!$ė$954), "", 'Data Entry'!$ė$954)</f>
      </c>
      <c r="HH954">
        <f>IF(ISBLANK('Data Entry'!$Ę$954), "", 'Data Entry'!$Ę$954)</f>
      </c>
      <c r="HI954">
        <f>IF(ISBLANK('Data Entry'!$ę$954), "", 'Data Entry'!$ę$954)</f>
      </c>
      <c r="HJ954">
        <f>IF(ISBLANK('Data Entry'!$Ě$954), "", 'Data Entry'!$Ě$954)</f>
      </c>
      <c r="HK954">
        <f>IF(ISBLANK('Data Entry'!$ě$954), "", 'Data Entry'!$ě$954)</f>
      </c>
      <c r="HL954">
        <f>IF(ISBLANK('Data Entry'!$Ĝ$954), "", 'Data Entry'!$Ĝ$954)</f>
      </c>
      <c r="HM954">
        <f>IF(ISBLANK('Data Entry'!$ĝ$954), "", 'Data Entry'!$ĝ$954)</f>
      </c>
      <c r="HN954">
        <f>IF(ISBLANK('Data Entry'!$Ğ$954), "", 'Data Entry'!$Ğ$954)</f>
      </c>
      <c r="HO954">
        <f>IF(ISBLANK('Data Entry'!$ğ$954), "", 'Data Entry'!$ğ$954)</f>
      </c>
      <c r="HP954">
        <f>IF(ISBLANK('Data Entry'!$Ġ$954), "", 'Data Entry'!$Ġ$954)</f>
      </c>
      <c r="HQ954">
        <f>IF(ISBLANK('Data Entry'!$ġ$954), "", 'Data Entry'!$ġ$954)</f>
      </c>
      <c r="HR954">
        <f>IF(ISBLANK('Data Entry'!$Ģ$954), "", 'Data Entry'!$Ģ$954)</f>
      </c>
      <c r="HS954">
        <f>IF(ISBLANK('Data Entry'!$ģ$954), "", 'Data Entry'!$ģ$954)</f>
      </c>
      <c r="HT954">
        <f>IF(ISBLANK('Data Entry'!$Ĥ$954), "", 'Data Entry'!$Ĥ$954)</f>
      </c>
      <c r="HU954">
        <f>IF(ISBLANK('Data Entry'!$ĥ$954), "", 'Data Entry'!$ĥ$954)</f>
      </c>
      <c r="HV954">
        <f>IF(ISBLANK('Data Entry'!$Ħ$954), "", 'Data Entry'!$Ħ$954)</f>
      </c>
      <c r="HW954">
        <f>IF(ISBLANK('Data Entry'!$ħ$954), "", 'Data Entry'!$ħ$954)</f>
      </c>
      <c r="HX954">
        <f>IF(ISBLANK('Data Entry'!$Ĩ$954), "", 'Data Entry'!$Ĩ$954)</f>
      </c>
      <c r="HY954">
        <f>IF(ISBLANK('Data Entry'!$ĩ$954), "", 'Data Entry'!$ĩ$954)</f>
      </c>
      <c r="HZ954">
        <f>IF(ISBLANK('Data Entry'!$Ī$954), "", 'Data Entry'!$Ī$954)</f>
      </c>
      <c r="IA954">
        <f>IF(ISBLANK('Data Entry'!$ī$954), "", 'Data Entry'!$ī$954)</f>
      </c>
      <c r="IB954">
        <f>IF(ISBLANK('Data Entry'!$Ĭ$954), "", 'Data Entry'!$Ĭ$954)</f>
      </c>
      <c r="IC954">
        <f>IF(ISBLANK('Data Entry'!$ĭ$954), "", 'Data Entry'!$ĭ$954)</f>
      </c>
      <c r="ID954">
        <f>IF(ISBLANK('Data Entry'!$Į$954), "", 'Data Entry'!$Į$954)</f>
      </c>
      <c r="IE954">
        <f>IF(ISBLANK('Data Entry'!$į$954), "", 'Data Entry'!$į$954)</f>
      </c>
      <c r="IF954">
        <f>IF(ISBLANK('Data Entry'!$İ$954), "", 'Data Entry'!$İ$954)</f>
      </c>
      <c r="IG954">
        <f>IF(ISBLANK('Data Entry'!$ı$954), "", 'Data Entry'!$ı$954)</f>
      </c>
      <c r="IH954">
        <f>IF(ISBLANK('Data Entry'!$Ĳ$954), "", 'Data Entry'!$Ĳ$954)</f>
      </c>
      <c r="II954">
        <f>IF(ISBLANK('Data Entry'!$ĳ$954), "", 'Data Entry'!$ĳ$954)</f>
      </c>
      <c r="IJ954">
        <f>IF(ISBLANK('Data Entry'!$Ĵ$954), "", 'Data Entry'!$Ĵ$954)</f>
      </c>
      <c r="IK954">
        <f>IF(ISBLANK('Data Entry'!$ĵ$954), "", 'Data Entry'!$ĵ$954)</f>
      </c>
      <c r="IL954">
        <f>IF(ISBLANK('Data Entry'!$Ķ$954), "", 'Data Entry'!$Ķ$954)</f>
      </c>
      <c r="IM954">
        <f>IF(ISBLANK('Data Entry'!$ķ$954), "", 'Data Entry'!$ķ$954)</f>
      </c>
      <c r="IN954">
        <f>IF(ISBLANK('Data Entry'!$ĸ$954), "", 'Data Entry'!$ĸ$954)</f>
      </c>
      <c r="IO954">
        <f>IF(ISBLANK('Data Entry'!$Ĺ$954), "", 'Data Entry'!$Ĺ$954)</f>
      </c>
      <c r="IP954">
        <f>IF(ISBLANK('Data Entry'!$ĺ$954), "", 'Data Entry'!$ĺ$954)</f>
      </c>
      <c r="IQ954">
        <f>IF(ISBLANK('Data Entry'!$Ļ$954), "", 'Data Entry'!$Ļ$954)</f>
      </c>
      <c r="IR954">
        <f>IF(ISBLANK('Data Entry'!$ļ$954), "", 'Data Entry'!$ļ$954)</f>
      </c>
      <c r="IS954">
        <f>IF(ISBLANK('Data Entry'!$Ľ$954), "", 'Data Entry'!$Ľ$954)</f>
      </c>
      <c r="IT954">
        <f>IF(ISBLANK('Data Entry'!$ľ$954), "", 'Data Entry'!$ľ$954)</f>
      </c>
    </row>
    <row r="955" spans="1:254" x14ac:dyDescent="0.25">
      <c r="A955">
        <f>IF(ISBLANK('Data Entry'!$A$955), "", 'Data Entry'!$A$955)</f>
      </c>
      <c r="B955">
        <f>IF(ISBLANK('Data Entry'!$B$955), "", 'Data Entry'!$B$955)</f>
      </c>
      <c r="C955">
        <f>IF(ISBLANK('Data Entry'!$C$955), "", 'Data Entry'!$C$955)</f>
      </c>
      <c r="D955">
        <f>IF(ISBLANK('Data Entry'!$D$955), "", 'Data Entry'!$D$955)</f>
      </c>
      <c r="E955">
        <f>IF(ISBLANK('Data Entry'!$E$955), "", 'Data Entry'!$E$955)</f>
      </c>
      <c r="F955">
        <f>IF(ISBLANK('Data Entry'!$F$955), "", 'Data Entry'!$F$955)</f>
      </c>
      <c r="G955">
        <f>IF(ISBLANK('Data Entry'!$G$955), "", 'Data Entry'!$G$955)</f>
      </c>
      <c r="H955">
        <f>IF(ISBLANK('Data Entry'!$H$955), "", 'Data Entry'!$H$955)</f>
      </c>
      <c r="I955">
        <f>IF(ISBLANK('Data Entry'!$I$955), "", 'Data Entry'!$I$955)</f>
      </c>
      <c r="J955">
        <f>IF(ISBLANK('Data Entry'!$J$955), "", 'Data Entry'!$J$955)</f>
      </c>
      <c r="K955">
        <f>IF(ISBLANK('Data Entry'!$K$955), "", 'Data Entry'!$K$955)</f>
      </c>
      <c r="L955">
        <f>IF(ISBLANK('Data Entry'!$L$955), "", 'Data Entry'!$L$955)</f>
      </c>
      <c r="M955">
        <f>IF(ISBLANK('Data Entry'!$M$955), "", 'Data Entry'!$M$955)</f>
      </c>
      <c r="N955">
        <f>IF(ISBLANK('Data Entry'!$N$955), "", 'Data Entry'!$N$955)</f>
      </c>
      <c r="O955">
        <f>IF(ISBLANK('Data Entry'!$O$955), "", 'Data Entry'!$O$955)</f>
      </c>
      <c r="P955">
        <f>IF(ISBLANK('Data Entry'!$P$955), "", 'Data Entry'!$P$955)</f>
      </c>
      <c r="Q955">
        <f>IF(ISBLANK('Data Entry'!$Q$955), "", 'Data Entry'!$Q$955)</f>
      </c>
      <c r="R955">
        <f>IF(ISBLANK('Data Entry'!$R$955), "", 'Data Entry'!$R$955)</f>
      </c>
      <c r="S955">
        <f>IF(ISBLANK('Data Entry'!$S$955), "", 'Data Entry'!$S$955)</f>
      </c>
      <c r="T955">
        <f>IF(ISBLANK('Data Entry'!$T$955), "", 'Data Entry'!$T$955)</f>
      </c>
      <c r="U955">
        <f>IF(ISBLANK('Data Entry'!$U$955), "", 'Data Entry'!$U$955)</f>
      </c>
      <c r="V955">
        <f>IF(ISBLANK('Data Entry'!$V$955), "", 'Data Entry'!$V$955)</f>
      </c>
      <c r="W955">
        <f>IF(ISBLANK('Data Entry'!$W$955), "", 'Data Entry'!$W$955)</f>
      </c>
      <c r="X955">
        <f>IF(ISBLANK('Data Entry'!$X$955), "", 'Data Entry'!$X$955)</f>
      </c>
      <c r="Y955">
        <f>IF(ISBLANK('Data Entry'!$Y$955), "", 'Data Entry'!$Y$955)</f>
      </c>
      <c r="Z955">
        <f>IF(ISBLANK('Data Entry'!$Z$955), "", 'Data Entry'!$Z$955)</f>
      </c>
      <c r="AA955">
        <f>IF(ISBLANK('Data Entry'!$[$955), "", 'Data Entry'!$[$955)</f>
      </c>
      <c r="AB955">
        <f>IF(ISBLANK('Data Entry'!$\$955), "", 'Data Entry'!$\$955)</f>
      </c>
      <c r="AC955">
        <f>IF(ISBLANK('Data Entry'!$]$955), "", 'Data Entry'!$]$955)</f>
      </c>
      <c r="AD955">
        <f>IF(ISBLANK('Data Entry'!$^$955), "", 'Data Entry'!$^$955)</f>
      </c>
      <c r="AE955">
        <f>IF(ISBLANK('Data Entry'!$_$955), "", 'Data Entry'!$_$955)</f>
      </c>
      <c r="AF955">
        <f>IF(ISBLANK('Data Entry'!$`$955), "", 'Data Entry'!$`$955)</f>
      </c>
      <c r="AG955">
        <f>IF(ISBLANK('Data Entry'!$a$955), "", 'Data Entry'!$a$955)</f>
      </c>
      <c r="AH955">
        <f>IF(ISBLANK('Data Entry'!$b$955), "", 'Data Entry'!$b$955)</f>
      </c>
      <c r="AI955">
        <f>IF(ISBLANK('Data Entry'!$c$955), "", 'Data Entry'!$c$955)</f>
      </c>
      <c r="AJ955">
        <f>IF(ISBLANK('Data Entry'!$d$955), "", 'Data Entry'!$d$955)</f>
      </c>
      <c r="AK955">
        <f>IF(ISBLANK('Data Entry'!$e$955), "", 'Data Entry'!$e$955)</f>
      </c>
      <c r="AL955">
        <f>IF(ISBLANK('Data Entry'!$f$955), "", 'Data Entry'!$f$955)</f>
      </c>
      <c r="AM955">
        <f>IF(ISBLANK('Data Entry'!$g$955), "", 'Data Entry'!$g$955)</f>
      </c>
      <c r="AN955">
        <f>IF(ISBLANK('Data Entry'!$h$955), "", 'Data Entry'!$h$955)</f>
      </c>
      <c r="AO955">
        <f>IF(ISBLANK('Data Entry'!$i$955), "", 'Data Entry'!$i$955)</f>
      </c>
      <c r="AP955">
        <f>IF(ISBLANK('Data Entry'!$j$955), "", 'Data Entry'!$j$955)</f>
      </c>
      <c r="AQ955">
        <f>IF(ISBLANK('Data Entry'!$k$955), "", 'Data Entry'!$k$955)</f>
      </c>
      <c r="AR955">
        <f>IF(ISBLANK('Data Entry'!$l$955), "", 'Data Entry'!$l$955)</f>
      </c>
      <c r="AS955">
        <f>IF(ISBLANK('Data Entry'!$m$955), "", 'Data Entry'!$m$955)</f>
      </c>
      <c r="AT955">
        <f>IF(ISBLANK('Data Entry'!$n$955), "", 'Data Entry'!$n$955)</f>
      </c>
      <c r="AU955">
        <f>IF(ISBLANK('Data Entry'!$o$955), "", 'Data Entry'!$o$955)</f>
      </c>
      <c r="AV955">
        <f>IF(ISBLANK('Data Entry'!$p$955), "", 'Data Entry'!$p$955)</f>
      </c>
      <c r="AW955">
        <f>IF(ISBLANK('Data Entry'!$q$955), "", 'Data Entry'!$q$955)</f>
      </c>
      <c r="AX955">
        <f>IF(ISBLANK('Data Entry'!$r$955), "", 'Data Entry'!$r$955)</f>
      </c>
      <c r="AY955">
        <f>IF(ISBLANK('Data Entry'!$s$955), "", 'Data Entry'!$s$955)</f>
      </c>
      <c r="AZ955">
        <f>IF(ISBLANK('Data Entry'!$t$955), "", 'Data Entry'!$t$955)</f>
      </c>
      <c r="BA955">
        <f>IF(ISBLANK('Data Entry'!$u$955), "", 'Data Entry'!$u$955)</f>
      </c>
      <c r="BB955">
        <f>IF(ISBLANK('Data Entry'!$v$955), "", 'Data Entry'!$v$955)</f>
      </c>
      <c r="BC955">
        <f>IF(ISBLANK('Data Entry'!$w$955), "", 'Data Entry'!$w$955)</f>
      </c>
      <c r="BD955">
        <f>IF(ISBLANK('Data Entry'!$x$955), "", 'Data Entry'!$x$955)</f>
      </c>
      <c r="BE955">
        <f>IF(ISBLANK('Data Entry'!$y$955), "", 'Data Entry'!$y$955)</f>
      </c>
      <c r="BF955">
        <f>IF(ISBLANK('Data Entry'!$z$955), "", 'Data Entry'!$z$955)</f>
      </c>
      <c r="BG955">
        <f>IF(ISBLANK('Data Entry'!${$955), "", 'Data Entry'!${$955)</f>
      </c>
      <c r="BH955">
        <f>IF(ISBLANK('Data Entry'!$|$955), "", 'Data Entry'!$|$955)</f>
      </c>
      <c r="BI955">
        <f>IF(ISBLANK('Data Entry'!$}$955), "", 'Data Entry'!$}$955)</f>
      </c>
      <c r="BJ955">
        <f>IF(ISBLANK('Data Entry'!$~$955), "", 'Data Entry'!$~$955)</f>
      </c>
      <c r="BK955">
        <f>IF(ISBLANK('Data Entry'!$$955), "", 'Data Entry'!$$955)</f>
      </c>
      <c r="BL955">
        <f>IF(ISBLANK('Data Entry'!$$955), "", 'Data Entry'!$$955)</f>
      </c>
      <c r="BM955">
        <f>IF(ISBLANK('Data Entry'!$$955), "", 'Data Entry'!$$955)</f>
      </c>
      <c r="BN955">
        <f>IF(ISBLANK('Data Entry'!$$955), "", 'Data Entry'!$$955)</f>
      </c>
      <c r="BO955">
        <f>IF(ISBLANK('Data Entry'!$$955), "", 'Data Entry'!$$955)</f>
      </c>
      <c r="BP955">
        <f>IF(ISBLANK('Data Entry'!$$955), "", 'Data Entry'!$$955)</f>
      </c>
      <c r="BQ955">
        <f>IF(ISBLANK('Data Entry'!$$955), "", 'Data Entry'!$$955)</f>
      </c>
      <c r="BR955">
        <f>IF(ISBLANK('Data Entry'!$$955), "", 'Data Entry'!$$955)</f>
      </c>
      <c r="BS955">
        <f>IF(ISBLANK('Data Entry'!$$955), "", 'Data Entry'!$$955)</f>
      </c>
      <c r="BT955">
        <f>IF(ISBLANK('Data Entry'!$$955), "", 'Data Entry'!$$955)</f>
      </c>
      <c r="BU955">
        <f>IF(ISBLANK('Data Entry'!$$955), "", 'Data Entry'!$$955)</f>
      </c>
      <c r="BV955">
        <f>IF(ISBLANK('Data Entry'!$$955), "", 'Data Entry'!$$955)</f>
      </c>
      <c r="BW955">
        <f>IF(ISBLANK('Data Entry'!$$955), "", 'Data Entry'!$$955)</f>
      </c>
      <c r="BX955">
        <f>IF(ISBLANK('Data Entry'!$$955), "", 'Data Entry'!$$955)</f>
      </c>
      <c r="BY955">
        <f>IF(ISBLANK('Data Entry'!$$955), "", 'Data Entry'!$$955)</f>
      </c>
      <c r="BZ955">
        <f>IF(ISBLANK('Data Entry'!$$955), "", 'Data Entry'!$$955)</f>
      </c>
      <c r="CA955">
        <f>IF(ISBLANK('Data Entry'!$$955), "", 'Data Entry'!$$955)</f>
      </c>
      <c r="CB955">
        <f>IF(ISBLANK('Data Entry'!$$955), "", 'Data Entry'!$$955)</f>
      </c>
      <c r="CC955">
        <f>IF(ISBLANK('Data Entry'!$$955), "", 'Data Entry'!$$955)</f>
      </c>
      <c r="CD955">
        <f>IF(ISBLANK('Data Entry'!$$955), "", 'Data Entry'!$$955)</f>
      </c>
      <c r="CE955">
        <f>IF(ISBLANK('Data Entry'!$$955), "", 'Data Entry'!$$955)</f>
      </c>
      <c r="CF955">
        <f>IF(ISBLANK('Data Entry'!$$955), "", 'Data Entry'!$$955)</f>
      </c>
      <c r="CG955">
        <f>IF(ISBLANK('Data Entry'!$$955), "", 'Data Entry'!$$955)</f>
      </c>
      <c r="CH955">
        <f>IF(ISBLANK('Data Entry'!$$955), "", 'Data Entry'!$$955)</f>
      </c>
      <c r="CI955">
        <f>IF(ISBLANK('Data Entry'!$$955), "", 'Data Entry'!$$955)</f>
      </c>
      <c r="CJ955">
        <f>IF(ISBLANK('Data Entry'!$$955), "", 'Data Entry'!$$955)</f>
      </c>
      <c r="CK955">
        <f>IF(ISBLANK('Data Entry'!$$955), "", 'Data Entry'!$$955)</f>
      </c>
      <c r="CL955">
        <f>IF(ISBLANK('Data Entry'!$$955), "", 'Data Entry'!$$955)</f>
      </c>
      <c r="CM955">
        <f>IF(ISBLANK('Data Entry'!$$955), "", 'Data Entry'!$$955)</f>
      </c>
      <c r="CN955">
        <f>IF(ISBLANK('Data Entry'!$$955), "", 'Data Entry'!$$955)</f>
      </c>
      <c r="CO955">
        <f>IF(ISBLANK('Data Entry'!$$955), "", 'Data Entry'!$$955)</f>
      </c>
      <c r="CP955">
        <f>IF(ISBLANK('Data Entry'!$$955), "", 'Data Entry'!$$955)</f>
      </c>
      <c r="CQ955">
        <f>IF(ISBLANK('Data Entry'!$$955), "", 'Data Entry'!$$955)</f>
      </c>
      <c r="CR955">
        <f>IF(ISBLANK('Data Entry'!$ $955), "", 'Data Entry'!$ $955)</f>
      </c>
      <c r="CS955">
        <f>IF(ISBLANK('Data Entry'!$¡$955), "", 'Data Entry'!$¡$955)</f>
      </c>
      <c r="CT955">
        <f>IF(ISBLANK('Data Entry'!$¢$955), "", 'Data Entry'!$¢$955)</f>
      </c>
      <c r="CU955">
        <f>IF(ISBLANK('Data Entry'!$£$955), "", 'Data Entry'!$£$955)</f>
      </c>
      <c r="CV955">
        <f>IF(ISBLANK('Data Entry'!$¤$955), "", 'Data Entry'!$¤$955)</f>
      </c>
      <c r="CW955">
        <f>IF(ISBLANK('Data Entry'!$¥$955), "", 'Data Entry'!$¥$955)</f>
      </c>
      <c r="CX955">
        <f>IF(ISBLANK('Data Entry'!$¦$955), "", 'Data Entry'!$¦$955)</f>
      </c>
      <c r="CY955">
        <f>IF(ISBLANK('Data Entry'!$§$955), "", 'Data Entry'!$§$955)</f>
      </c>
      <c r="CZ955">
        <f>IF(ISBLANK('Data Entry'!$¨$955), "", 'Data Entry'!$¨$955)</f>
      </c>
      <c r="DA955">
        <f>IF(ISBLANK('Data Entry'!$©$955), "", 'Data Entry'!$©$955)</f>
      </c>
      <c r="DB955">
        <f>IF(ISBLANK('Data Entry'!$ª$955), "", 'Data Entry'!$ª$955)</f>
      </c>
      <c r="DC955">
        <f>IF(ISBLANK('Data Entry'!$«$955), "", 'Data Entry'!$«$955)</f>
      </c>
      <c r="DD955">
        <f>IF(ISBLANK('Data Entry'!$¬$955), "", 'Data Entry'!$¬$955)</f>
      </c>
      <c r="DE955">
        <f>IF(ISBLANK('Data Entry'!$­$955), "", 'Data Entry'!$­$955)</f>
      </c>
      <c r="DF955">
        <f>IF(ISBLANK('Data Entry'!$®$955), "", 'Data Entry'!$®$955)</f>
      </c>
      <c r="DG955">
        <f>IF(ISBLANK('Data Entry'!$¯$955), "", 'Data Entry'!$¯$955)</f>
      </c>
      <c r="DH955">
        <f>IF(ISBLANK('Data Entry'!$°$955), "", 'Data Entry'!$°$955)</f>
      </c>
      <c r="DI955">
        <f>IF(ISBLANK('Data Entry'!$±$955), "", 'Data Entry'!$±$955)</f>
      </c>
      <c r="DJ955">
        <f>IF(ISBLANK('Data Entry'!$²$955), "", 'Data Entry'!$²$955)</f>
      </c>
      <c r="DK955">
        <f>IF(ISBLANK('Data Entry'!$³$955), "", 'Data Entry'!$³$955)</f>
      </c>
      <c r="DL955">
        <f>IF(ISBLANK('Data Entry'!$´$955), "", 'Data Entry'!$´$955)</f>
      </c>
      <c r="DM955">
        <f>IF(ISBLANK('Data Entry'!$µ$955), "", 'Data Entry'!$µ$955)</f>
      </c>
      <c r="DN955">
        <f>IF(ISBLANK('Data Entry'!$¶$955), "", 'Data Entry'!$¶$955)</f>
      </c>
      <c r="DO955">
        <f>IF(ISBLANK('Data Entry'!$·$955), "", 'Data Entry'!$·$955)</f>
      </c>
      <c r="DP955">
        <f>IF(ISBLANK('Data Entry'!$¸$955), "", 'Data Entry'!$¸$955)</f>
      </c>
      <c r="DQ955">
        <f>IF(ISBLANK('Data Entry'!$¹$955), "", 'Data Entry'!$¹$955)</f>
      </c>
      <c r="DR955">
        <f>IF(ISBLANK('Data Entry'!$º$955), "", 'Data Entry'!$º$955)</f>
      </c>
      <c r="DS955">
        <f>IF(ISBLANK('Data Entry'!$»$955), "", 'Data Entry'!$»$955)</f>
      </c>
      <c r="DT955">
        <f>IF(ISBLANK('Data Entry'!$¼$955), "", 'Data Entry'!$¼$955)</f>
      </c>
      <c r="DU955">
        <f>IF(ISBLANK('Data Entry'!$½$955), "", 'Data Entry'!$½$955)</f>
      </c>
      <c r="DV955">
        <f>IF(ISBLANK('Data Entry'!$¾$955), "", 'Data Entry'!$¾$955)</f>
      </c>
      <c r="DW955">
        <f>IF(ISBLANK('Data Entry'!$¿$955), "", 'Data Entry'!$¿$955)</f>
      </c>
      <c r="DX955">
        <f>IF(ISBLANK('Data Entry'!$À$955), "", 'Data Entry'!$À$955)</f>
      </c>
      <c r="DY955">
        <f>IF(ISBLANK('Data Entry'!$Á$955), "", 'Data Entry'!$Á$955)</f>
      </c>
      <c r="DZ955">
        <f>IF(ISBLANK('Data Entry'!$Â$955), "", 'Data Entry'!$Â$955)</f>
      </c>
      <c r="EA955">
        <f>IF(ISBLANK('Data Entry'!$Ã$955), "", 'Data Entry'!$Ã$955)</f>
      </c>
      <c r="EB955">
        <f>IF(ISBLANK('Data Entry'!$Ä$955), "", 'Data Entry'!$Ä$955)</f>
      </c>
      <c r="EC955">
        <f>IF(ISBLANK('Data Entry'!$Å$955), "", 'Data Entry'!$Å$955)</f>
      </c>
      <c r="ED955">
        <f>IF(ISBLANK('Data Entry'!$Æ$955), "", 'Data Entry'!$Æ$955)</f>
      </c>
      <c r="EE955">
        <f>IF(ISBLANK('Data Entry'!$Ç$955), "", 'Data Entry'!$Ç$955)</f>
      </c>
      <c r="EF955">
        <f>IF(ISBLANK('Data Entry'!$È$955), "", 'Data Entry'!$È$955)</f>
      </c>
      <c r="EG955">
        <f>IF(ISBLANK('Data Entry'!$É$955), "", 'Data Entry'!$É$955)</f>
      </c>
      <c r="EH955">
        <f>IF(ISBLANK('Data Entry'!$Ê$955), "", 'Data Entry'!$Ê$955)</f>
      </c>
      <c r="EI955">
        <f>IF(ISBLANK('Data Entry'!$Ë$955), "", 'Data Entry'!$Ë$955)</f>
      </c>
      <c r="EJ955">
        <f>IF(ISBLANK('Data Entry'!$Ì$955), "", 'Data Entry'!$Ì$955)</f>
      </c>
      <c r="EK955">
        <f>IF(ISBLANK('Data Entry'!$Í$955), "", 'Data Entry'!$Í$955)</f>
      </c>
      <c r="EL955">
        <f>IF(ISBLANK('Data Entry'!$Î$955), "", 'Data Entry'!$Î$955)</f>
      </c>
      <c r="EM955">
        <f>IF(ISBLANK('Data Entry'!$Ï$955), "", 'Data Entry'!$Ï$955)</f>
      </c>
      <c r="EN955">
        <f>IF(ISBLANK('Data Entry'!$Ð$955), "", 'Data Entry'!$Ð$955)</f>
      </c>
      <c r="EO955">
        <f>IF(ISBLANK('Data Entry'!$Ñ$955), "", 'Data Entry'!$Ñ$955)</f>
      </c>
      <c r="EP955">
        <f>IF(ISBLANK('Data Entry'!$Ò$955), "", 'Data Entry'!$Ò$955)</f>
      </c>
      <c r="EQ955">
        <f>IF(ISBLANK('Data Entry'!$Ó$955), "", 'Data Entry'!$Ó$955)</f>
      </c>
      <c r="ER955">
        <f>IF(ISBLANK('Data Entry'!$Ô$955), "", 'Data Entry'!$Ô$955)</f>
      </c>
      <c r="ES955">
        <f>IF(ISBLANK('Data Entry'!$Õ$955), "", 'Data Entry'!$Õ$955)</f>
      </c>
      <c r="ET955">
        <f>IF(ISBLANK('Data Entry'!$Ö$955), "", 'Data Entry'!$Ö$955)</f>
      </c>
      <c r="EU955">
        <f>IF(ISBLANK('Data Entry'!$×$955), "", 'Data Entry'!$×$955)</f>
      </c>
      <c r="EV955">
        <f>IF(ISBLANK('Data Entry'!$Ø$955), "", 'Data Entry'!$Ø$955)</f>
      </c>
      <c r="EW955">
        <f>IF(ISBLANK('Data Entry'!$Ù$955), "", 'Data Entry'!$Ù$955)</f>
      </c>
      <c r="EX955">
        <f>IF(ISBLANK('Data Entry'!$Ú$955), "", 'Data Entry'!$Ú$955)</f>
      </c>
      <c r="EY955">
        <f>IF(ISBLANK('Data Entry'!$Û$955), "", 'Data Entry'!$Û$955)</f>
      </c>
      <c r="EZ955">
        <f>IF(ISBLANK('Data Entry'!$Ü$955), "", 'Data Entry'!$Ü$955)</f>
      </c>
      <c r="FA955">
        <f>IF(ISBLANK('Data Entry'!$Ý$955), "", 'Data Entry'!$Ý$955)</f>
      </c>
      <c r="FB955">
        <f>IF(ISBLANK('Data Entry'!$Þ$955), "", 'Data Entry'!$Þ$955)</f>
      </c>
      <c r="FC955">
        <f>IF(ISBLANK('Data Entry'!$ß$955), "", 'Data Entry'!$ß$955)</f>
      </c>
      <c r="FD955">
        <f>IF(ISBLANK('Data Entry'!$à$955), "", 'Data Entry'!$à$955)</f>
      </c>
      <c r="FE955">
        <f>IF(ISBLANK('Data Entry'!$á$955), "", 'Data Entry'!$á$955)</f>
      </c>
      <c r="FF955">
        <f>IF(ISBLANK('Data Entry'!$â$955), "", 'Data Entry'!$â$955)</f>
      </c>
      <c r="FG955">
        <f>IF(ISBLANK('Data Entry'!$ã$955), "", 'Data Entry'!$ã$955)</f>
      </c>
      <c r="FH955">
        <f>IF(ISBLANK('Data Entry'!$ä$955), "", 'Data Entry'!$ä$955)</f>
      </c>
      <c r="FI955">
        <f>IF(ISBLANK('Data Entry'!$å$955), "", 'Data Entry'!$å$955)</f>
      </c>
      <c r="FJ955">
        <f>IF(ISBLANK('Data Entry'!$æ$955), "", 'Data Entry'!$æ$955)</f>
      </c>
      <c r="FK955">
        <f>IF(ISBLANK('Data Entry'!$ç$955), "", 'Data Entry'!$ç$955)</f>
      </c>
      <c r="FL955">
        <f>IF(ISBLANK('Data Entry'!$è$955), "", 'Data Entry'!$è$955)</f>
      </c>
      <c r="FM955">
        <f>IF(ISBLANK('Data Entry'!$é$955), "", 'Data Entry'!$é$955)</f>
      </c>
      <c r="FN955">
        <f>IF(ISBLANK('Data Entry'!$ê$955), "", 'Data Entry'!$ê$955)</f>
      </c>
      <c r="FO955">
        <f>IF(ISBLANK('Data Entry'!$ë$955), "", 'Data Entry'!$ë$955)</f>
      </c>
      <c r="FP955">
        <f>IF(ISBLANK('Data Entry'!$ì$955), "", 'Data Entry'!$ì$955)</f>
      </c>
      <c r="FQ955">
        <f>IF(ISBLANK('Data Entry'!$í$955), "", 'Data Entry'!$í$955)</f>
      </c>
      <c r="FR955">
        <f>IF(ISBLANK('Data Entry'!$î$955), "", 'Data Entry'!$î$955)</f>
      </c>
      <c r="FS955">
        <f>IF(ISBLANK('Data Entry'!$ï$955), "", 'Data Entry'!$ï$955)</f>
      </c>
      <c r="FT955">
        <f>IF(ISBLANK('Data Entry'!$ð$955), "", 'Data Entry'!$ð$955)</f>
      </c>
      <c r="FU955">
        <f>IF(ISBLANK('Data Entry'!$ñ$955), "", 'Data Entry'!$ñ$955)</f>
      </c>
      <c r="FV955">
        <f>IF(ISBLANK('Data Entry'!$ò$955), "", 'Data Entry'!$ò$955)</f>
      </c>
      <c r="FW955">
        <f>IF(ISBLANK('Data Entry'!$ó$955), "", 'Data Entry'!$ó$955)</f>
      </c>
      <c r="FX955">
        <f>IF(ISBLANK('Data Entry'!$ô$955), "", 'Data Entry'!$ô$955)</f>
      </c>
      <c r="FY955">
        <f>IF(ISBLANK('Data Entry'!$õ$955), "", 'Data Entry'!$õ$955)</f>
      </c>
      <c r="FZ955">
        <f>IF(ISBLANK('Data Entry'!$ö$955), "", 'Data Entry'!$ö$955)</f>
      </c>
      <c r="GA955">
        <f>IF(ISBLANK('Data Entry'!$÷$955), "", 'Data Entry'!$÷$955)</f>
      </c>
      <c r="GB955">
        <f>IF(ISBLANK('Data Entry'!$ø$955), "", 'Data Entry'!$ø$955)</f>
      </c>
      <c r="GC955">
        <f>IF(ISBLANK('Data Entry'!$ù$955), "", 'Data Entry'!$ù$955)</f>
      </c>
      <c r="GD955">
        <f>IF(ISBLANK('Data Entry'!$ú$955), "", 'Data Entry'!$ú$955)</f>
      </c>
      <c r="GE955">
        <f>IF(ISBLANK('Data Entry'!$û$955), "", 'Data Entry'!$û$955)</f>
      </c>
      <c r="GF955">
        <f>IF(ISBLANK('Data Entry'!$ü$955), "", 'Data Entry'!$ü$955)</f>
      </c>
      <c r="GG955">
        <f>IF(ISBLANK('Data Entry'!$ý$955), "", 'Data Entry'!$ý$955)</f>
      </c>
      <c r="GH955">
        <f>IF(ISBLANK('Data Entry'!$þ$955), "", 'Data Entry'!$þ$955)</f>
      </c>
      <c r="GI955">
        <f>IF(ISBLANK('Data Entry'!$ÿ$955), "", 'Data Entry'!$ÿ$955)</f>
      </c>
      <c r="GJ955">
        <f>IF(ISBLANK('Data Entry'!$Ā$955), "", 'Data Entry'!$Ā$955)</f>
      </c>
      <c r="GK955">
        <f>IF(ISBLANK('Data Entry'!$ā$955), "", 'Data Entry'!$ā$955)</f>
      </c>
      <c r="GL955">
        <f>IF(ISBLANK('Data Entry'!$Ă$955), "", 'Data Entry'!$Ă$955)</f>
      </c>
      <c r="GM955">
        <f>IF(ISBLANK('Data Entry'!$ă$955), "", 'Data Entry'!$ă$955)</f>
      </c>
      <c r="GN955">
        <f>IF(ISBLANK('Data Entry'!$Ą$955), "", 'Data Entry'!$Ą$955)</f>
      </c>
      <c r="GO955">
        <f>IF(ISBLANK('Data Entry'!$ą$955), "", 'Data Entry'!$ą$955)</f>
      </c>
      <c r="GP955">
        <f>IF(ISBLANK('Data Entry'!$Ć$955), "", 'Data Entry'!$Ć$955)</f>
      </c>
      <c r="GQ955">
        <f>IF(ISBLANK('Data Entry'!$ć$955), "", 'Data Entry'!$ć$955)</f>
      </c>
      <c r="GR955">
        <f>IF(ISBLANK('Data Entry'!$Ĉ$955), "", 'Data Entry'!$Ĉ$955)</f>
      </c>
      <c r="GS955">
        <f>IF(ISBLANK('Data Entry'!$ĉ$955), "", 'Data Entry'!$ĉ$955)</f>
      </c>
      <c r="GT955">
        <f>IF(ISBLANK('Data Entry'!$Ċ$955), "", 'Data Entry'!$Ċ$955)</f>
      </c>
      <c r="GU955">
        <f>IF(ISBLANK('Data Entry'!$ċ$955), "", 'Data Entry'!$ċ$955)</f>
      </c>
      <c r="GV955">
        <f>IF(ISBLANK('Data Entry'!$Č$955), "", 'Data Entry'!$Č$955)</f>
      </c>
      <c r="GW955">
        <f>IF(ISBLANK('Data Entry'!$č$955), "", 'Data Entry'!$č$955)</f>
      </c>
      <c r="GX955">
        <f>IF(ISBLANK('Data Entry'!$Ď$955), "", 'Data Entry'!$Ď$955)</f>
      </c>
      <c r="GY955">
        <f>IF(ISBLANK('Data Entry'!$ď$955), "", 'Data Entry'!$ď$955)</f>
      </c>
      <c r="GZ955">
        <f>IF(ISBLANK('Data Entry'!$Đ$955), "", 'Data Entry'!$Đ$955)</f>
      </c>
      <c r="HA955">
        <f>IF(ISBLANK('Data Entry'!$đ$955), "", 'Data Entry'!$đ$955)</f>
      </c>
      <c r="HB955">
        <f>IF(ISBLANK('Data Entry'!$Ē$955), "", 'Data Entry'!$Ē$955)</f>
      </c>
      <c r="HC955">
        <f>IF(ISBLANK('Data Entry'!$ē$955), "", 'Data Entry'!$ē$955)</f>
      </c>
      <c r="HD955">
        <f>IF(ISBLANK('Data Entry'!$Ĕ$955), "", 'Data Entry'!$Ĕ$955)</f>
      </c>
      <c r="HE955">
        <f>IF(ISBLANK('Data Entry'!$ĕ$955), "", 'Data Entry'!$ĕ$955)</f>
      </c>
      <c r="HF955">
        <f>IF(ISBLANK('Data Entry'!$Ė$955), "", 'Data Entry'!$Ė$955)</f>
      </c>
      <c r="HG955">
        <f>IF(ISBLANK('Data Entry'!$ė$955), "", 'Data Entry'!$ė$955)</f>
      </c>
      <c r="HH955">
        <f>IF(ISBLANK('Data Entry'!$Ę$955), "", 'Data Entry'!$Ę$955)</f>
      </c>
      <c r="HI955">
        <f>IF(ISBLANK('Data Entry'!$ę$955), "", 'Data Entry'!$ę$955)</f>
      </c>
      <c r="HJ955">
        <f>IF(ISBLANK('Data Entry'!$Ě$955), "", 'Data Entry'!$Ě$955)</f>
      </c>
      <c r="HK955">
        <f>IF(ISBLANK('Data Entry'!$ě$955), "", 'Data Entry'!$ě$955)</f>
      </c>
      <c r="HL955">
        <f>IF(ISBLANK('Data Entry'!$Ĝ$955), "", 'Data Entry'!$Ĝ$955)</f>
      </c>
      <c r="HM955">
        <f>IF(ISBLANK('Data Entry'!$ĝ$955), "", 'Data Entry'!$ĝ$955)</f>
      </c>
      <c r="HN955">
        <f>IF(ISBLANK('Data Entry'!$Ğ$955), "", 'Data Entry'!$Ğ$955)</f>
      </c>
      <c r="HO955">
        <f>IF(ISBLANK('Data Entry'!$ğ$955), "", 'Data Entry'!$ğ$955)</f>
      </c>
      <c r="HP955">
        <f>IF(ISBLANK('Data Entry'!$Ġ$955), "", 'Data Entry'!$Ġ$955)</f>
      </c>
      <c r="HQ955">
        <f>IF(ISBLANK('Data Entry'!$ġ$955), "", 'Data Entry'!$ġ$955)</f>
      </c>
      <c r="HR955">
        <f>IF(ISBLANK('Data Entry'!$Ģ$955), "", 'Data Entry'!$Ģ$955)</f>
      </c>
      <c r="HS955">
        <f>IF(ISBLANK('Data Entry'!$ģ$955), "", 'Data Entry'!$ģ$955)</f>
      </c>
      <c r="HT955">
        <f>IF(ISBLANK('Data Entry'!$Ĥ$955), "", 'Data Entry'!$Ĥ$955)</f>
      </c>
      <c r="HU955">
        <f>IF(ISBLANK('Data Entry'!$ĥ$955), "", 'Data Entry'!$ĥ$955)</f>
      </c>
      <c r="HV955">
        <f>IF(ISBLANK('Data Entry'!$Ħ$955), "", 'Data Entry'!$Ħ$955)</f>
      </c>
      <c r="HW955">
        <f>IF(ISBLANK('Data Entry'!$ħ$955), "", 'Data Entry'!$ħ$955)</f>
      </c>
      <c r="HX955">
        <f>IF(ISBLANK('Data Entry'!$Ĩ$955), "", 'Data Entry'!$Ĩ$955)</f>
      </c>
      <c r="HY955">
        <f>IF(ISBLANK('Data Entry'!$ĩ$955), "", 'Data Entry'!$ĩ$955)</f>
      </c>
      <c r="HZ955">
        <f>IF(ISBLANK('Data Entry'!$Ī$955), "", 'Data Entry'!$Ī$955)</f>
      </c>
      <c r="IA955">
        <f>IF(ISBLANK('Data Entry'!$ī$955), "", 'Data Entry'!$ī$955)</f>
      </c>
      <c r="IB955">
        <f>IF(ISBLANK('Data Entry'!$Ĭ$955), "", 'Data Entry'!$Ĭ$955)</f>
      </c>
      <c r="IC955">
        <f>IF(ISBLANK('Data Entry'!$ĭ$955), "", 'Data Entry'!$ĭ$955)</f>
      </c>
      <c r="ID955">
        <f>IF(ISBLANK('Data Entry'!$Į$955), "", 'Data Entry'!$Į$955)</f>
      </c>
      <c r="IE955">
        <f>IF(ISBLANK('Data Entry'!$į$955), "", 'Data Entry'!$į$955)</f>
      </c>
      <c r="IF955">
        <f>IF(ISBLANK('Data Entry'!$İ$955), "", 'Data Entry'!$İ$955)</f>
      </c>
      <c r="IG955">
        <f>IF(ISBLANK('Data Entry'!$ı$955), "", 'Data Entry'!$ı$955)</f>
      </c>
      <c r="IH955">
        <f>IF(ISBLANK('Data Entry'!$Ĳ$955), "", 'Data Entry'!$Ĳ$955)</f>
      </c>
      <c r="II955">
        <f>IF(ISBLANK('Data Entry'!$ĳ$955), "", 'Data Entry'!$ĳ$955)</f>
      </c>
      <c r="IJ955">
        <f>IF(ISBLANK('Data Entry'!$Ĵ$955), "", 'Data Entry'!$Ĵ$955)</f>
      </c>
      <c r="IK955">
        <f>IF(ISBLANK('Data Entry'!$ĵ$955), "", 'Data Entry'!$ĵ$955)</f>
      </c>
      <c r="IL955">
        <f>IF(ISBLANK('Data Entry'!$Ķ$955), "", 'Data Entry'!$Ķ$955)</f>
      </c>
      <c r="IM955">
        <f>IF(ISBLANK('Data Entry'!$ķ$955), "", 'Data Entry'!$ķ$955)</f>
      </c>
      <c r="IN955">
        <f>IF(ISBLANK('Data Entry'!$ĸ$955), "", 'Data Entry'!$ĸ$955)</f>
      </c>
      <c r="IO955">
        <f>IF(ISBLANK('Data Entry'!$Ĺ$955), "", 'Data Entry'!$Ĺ$955)</f>
      </c>
      <c r="IP955">
        <f>IF(ISBLANK('Data Entry'!$ĺ$955), "", 'Data Entry'!$ĺ$955)</f>
      </c>
      <c r="IQ955">
        <f>IF(ISBLANK('Data Entry'!$Ļ$955), "", 'Data Entry'!$Ļ$955)</f>
      </c>
      <c r="IR955">
        <f>IF(ISBLANK('Data Entry'!$ļ$955), "", 'Data Entry'!$ļ$955)</f>
      </c>
      <c r="IS955">
        <f>IF(ISBLANK('Data Entry'!$Ľ$955), "", 'Data Entry'!$Ľ$955)</f>
      </c>
      <c r="IT955">
        <f>IF(ISBLANK('Data Entry'!$ľ$955), "", 'Data Entry'!$ľ$955)</f>
      </c>
    </row>
    <row r="956" spans="1:254" x14ac:dyDescent="0.25">
      <c r="A956">
        <f>IF(ISBLANK('Data Entry'!$A$956), "", 'Data Entry'!$A$956)</f>
      </c>
      <c r="B956">
        <f>IF(ISBLANK('Data Entry'!$B$956), "", 'Data Entry'!$B$956)</f>
      </c>
      <c r="C956">
        <f>IF(ISBLANK('Data Entry'!$C$956), "", 'Data Entry'!$C$956)</f>
      </c>
      <c r="D956">
        <f>IF(ISBLANK('Data Entry'!$D$956), "", 'Data Entry'!$D$956)</f>
      </c>
      <c r="E956">
        <f>IF(ISBLANK('Data Entry'!$E$956), "", 'Data Entry'!$E$956)</f>
      </c>
      <c r="F956">
        <f>IF(ISBLANK('Data Entry'!$F$956), "", 'Data Entry'!$F$956)</f>
      </c>
      <c r="G956">
        <f>IF(ISBLANK('Data Entry'!$G$956), "", 'Data Entry'!$G$956)</f>
      </c>
      <c r="H956">
        <f>IF(ISBLANK('Data Entry'!$H$956), "", 'Data Entry'!$H$956)</f>
      </c>
      <c r="I956">
        <f>IF(ISBLANK('Data Entry'!$I$956), "", 'Data Entry'!$I$956)</f>
      </c>
      <c r="J956">
        <f>IF(ISBLANK('Data Entry'!$J$956), "", 'Data Entry'!$J$956)</f>
      </c>
      <c r="K956">
        <f>IF(ISBLANK('Data Entry'!$K$956), "", 'Data Entry'!$K$956)</f>
      </c>
      <c r="L956">
        <f>IF(ISBLANK('Data Entry'!$L$956), "", 'Data Entry'!$L$956)</f>
      </c>
      <c r="M956">
        <f>IF(ISBLANK('Data Entry'!$M$956), "", 'Data Entry'!$M$956)</f>
      </c>
      <c r="N956">
        <f>IF(ISBLANK('Data Entry'!$N$956), "", 'Data Entry'!$N$956)</f>
      </c>
      <c r="O956">
        <f>IF(ISBLANK('Data Entry'!$O$956), "", 'Data Entry'!$O$956)</f>
      </c>
      <c r="P956">
        <f>IF(ISBLANK('Data Entry'!$P$956), "", 'Data Entry'!$P$956)</f>
      </c>
      <c r="Q956">
        <f>IF(ISBLANK('Data Entry'!$Q$956), "", 'Data Entry'!$Q$956)</f>
      </c>
      <c r="R956">
        <f>IF(ISBLANK('Data Entry'!$R$956), "", 'Data Entry'!$R$956)</f>
      </c>
      <c r="S956">
        <f>IF(ISBLANK('Data Entry'!$S$956), "", 'Data Entry'!$S$956)</f>
      </c>
      <c r="T956">
        <f>IF(ISBLANK('Data Entry'!$T$956), "", 'Data Entry'!$T$956)</f>
      </c>
      <c r="U956">
        <f>IF(ISBLANK('Data Entry'!$U$956), "", 'Data Entry'!$U$956)</f>
      </c>
      <c r="V956">
        <f>IF(ISBLANK('Data Entry'!$V$956), "", 'Data Entry'!$V$956)</f>
      </c>
      <c r="W956">
        <f>IF(ISBLANK('Data Entry'!$W$956), "", 'Data Entry'!$W$956)</f>
      </c>
      <c r="X956">
        <f>IF(ISBLANK('Data Entry'!$X$956), "", 'Data Entry'!$X$956)</f>
      </c>
      <c r="Y956">
        <f>IF(ISBLANK('Data Entry'!$Y$956), "", 'Data Entry'!$Y$956)</f>
      </c>
      <c r="Z956">
        <f>IF(ISBLANK('Data Entry'!$Z$956), "", 'Data Entry'!$Z$956)</f>
      </c>
      <c r="AA956">
        <f>IF(ISBLANK('Data Entry'!$[$956), "", 'Data Entry'!$[$956)</f>
      </c>
      <c r="AB956">
        <f>IF(ISBLANK('Data Entry'!$\$956), "", 'Data Entry'!$\$956)</f>
      </c>
      <c r="AC956">
        <f>IF(ISBLANK('Data Entry'!$]$956), "", 'Data Entry'!$]$956)</f>
      </c>
      <c r="AD956">
        <f>IF(ISBLANK('Data Entry'!$^$956), "", 'Data Entry'!$^$956)</f>
      </c>
      <c r="AE956">
        <f>IF(ISBLANK('Data Entry'!$_$956), "", 'Data Entry'!$_$956)</f>
      </c>
      <c r="AF956">
        <f>IF(ISBLANK('Data Entry'!$`$956), "", 'Data Entry'!$`$956)</f>
      </c>
      <c r="AG956">
        <f>IF(ISBLANK('Data Entry'!$a$956), "", 'Data Entry'!$a$956)</f>
      </c>
      <c r="AH956">
        <f>IF(ISBLANK('Data Entry'!$b$956), "", 'Data Entry'!$b$956)</f>
      </c>
      <c r="AI956">
        <f>IF(ISBLANK('Data Entry'!$c$956), "", 'Data Entry'!$c$956)</f>
      </c>
      <c r="AJ956">
        <f>IF(ISBLANK('Data Entry'!$d$956), "", 'Data Entry'!$d$956)</f>
      </c>
      <c r="AK956">
        <f>IF(ISBLANK('Data Entry'!$e$956), "", 'Data Entry'!$e$956)</f>
      </c>
      <c r="AL956">
        <f>IF(ISBLANK('Data Entry'!$f$956), "", 'Data Entry'!$f$956)</f>
      </c>
      <c r="AM956">
        <f>IF(ISBLANK('Data Entry'!$g$956), "", 'Data Entry'!$g$956)</f>
      </c>
      <c r="AN956">
        <f>IF(ISBLANK('Data Entry'!$h$956), "", 'Data Entry'!$h$956)</f>
      </c>
      <c r="AO956">
        <f>IF(ISBLANK('Data Entry'!$i$956), "", 'Data Entry'!$i$956)</f>
      </c>
      <c r="AP956">
        <f>IF(ISBLANK('Data Entry'!$j$956), "", 'Data Entry'!$j$956)</f>
      </c>
      <c r="AQ956">
        <f>IF(ISBLANK('Data Entry'!$k$956), "", 'Data Entry'!$k$956)</f>
      </c>
      <c r="AR956">
        <f>IF(ISBLANK('Data Entry'!$l$956), "", 'Data Entry'!$l$956)</f>
      </c>
      <c r="AS956">
        <f>IF(ISBLANK('Data Entry'!$m$956), "", 'Data Entry'!$m$956)</f>
      </c>
      <c r="AT956">
        <f>IF(ISBLANK('Data Entry'!$n$956), "", 'Data Entry'!$n$956)</f>
      </c>
      <c r="AU956">
        <f>IF(ISBLANK('Data Entry'!$o$956), "", 'Data Entry'!$o$956)</f>
      </c>
      <c r="AV956">
        <f>IF(ISBLANK('Data Entry'!$p$956), "", 'Data Entry'!$p$956)</f>
      </c>
      <c r="AW956">
        <f>IF(ISBLANK('Data Entry'!$q$956), "", 'Data Entry'!$q$956)</f>
      </c>
      <c r="AX956">
        <f>IF(ISBLANK('Data Entry'!$r$956), "", 'Data Entry'!$r$956)</f>
      </c>
      <c r="AY956">
        <f>IF(ISBLANK('Data Entry'!$s$956), "", 'Data Entry'!$s$956)</f>
      </c>
      <c r="AZ956">
        <f>IF(ISBLANK('Data Entry'!$t$956), "", 'Data Entry'!$t$956)</f>
      </c>
      <c r="BA956">
        <f>IF(ISBLANK('Data Entry'!$u$956), "", 'Data Entry'!$u$956)</f>
      </c>
      <c r="BB956">
        <f>IF(ISBLANK('Data Entry'!$v$956), "", 'Data Entry'!$v$956)</f>
      </c>
      <c r="BC956">
        <f>IF(ISBLANK('Data Entry'!$w$956), "", 'Data Entry'!$w$956)</f>
      </c>
      <c r="BD956">
        <f>IF(ISBLANK('Data Entry'!$x$956), "", 'Data Entry'!$x$956)</f>
      </c>
      <c r="BE956">
        <f>IF(ISBLANK('Data Entry'!$y$956), "", 'Data Entry'!$y$956)</f>
      </c>
      <c r="BF956">
        <f>IF(ISBLANK('Data Entry'!$z$956), "", 'Data Entry'!$z$956)</f>
      </c>
      <c r="BG956">
        <f>IF(ISBLANK('Data Entry'!${$956), "", 'Data Entry'!${$956)</f>
      </c>
      <c r="BH956">
        <f>IF(ISBLANK('Data Entry'!$|$956), "", 'Data Entry'!$|$956)</f>
      </c>
      <c r="BI956">
        <f>IF(ISBLANK('Data Entry'!$}$956), "", 'Data Entry'!$}$956)</f>
      </c>
      <c r="BJ956">
        <f>IF(ISBLANK('Data Entry'!$~$956), "", 'Data Entry'!$~$956)</f>
      </c>
      <c r="BK956">
        <f>IF(ISBLANK('Data Entry'!$$956), "", 'Data Entry'!$$956)</f>
      </c>
      <c r="BL956">
        <f>IF(ISBLANK('Data Entry'!$$956), "", 'Data Entry'!$$956)</f>
      </c>
      <c r="BM956">
        <f>IF(ISBLANK('Data Entry'!$$956), "", 'Data Entry'!$$956)</f>
      </c>
      <c r="BN956">
        <f>IF(ISBLANK('Data Entry'!$$956), "", 'Data Entry'!$$956)</f>
      </c>
      <c r="BO956">
        <f>IF(ISBLANK('Data Entry'!$$956), "", 'Data Entry'!$$956)</f>
      </c>
      <c r="BP956">
        <f>IF(ISBLANK('Data Entry'!$$956), "", 'Data Entry'!$$956)</f>
      </c>
      <c r="BQ956">
        <f>IF(ISBLANK('Data Entry'!$$956), "", 'Data Entry'!$$956)</f>
      </c>
      <c r="BR956">
        <f>IF(ISBLANK('Data Entry'!$$956), "", 'Data Entry'!$$956)</f>
      </c>
      <c r="BS956">
        <f>IF(ISBLANK('Data Entry'!$$956), "", 'Data Entry'!$$956)</f>
      </c>
      <c r="BT956">
        <f>IF(ISBLANK('Data Entry'!$$956), "", 'Data Entry'!$$956)</f>
      </c>
      <c r="BU956">
        <f>IF(ISBLANK('Data Entry'!$$956), "", 'Data Entry'!$$956)</f>
      </c>
      <c r="BV956">
        <f>IF(ISBLANK('Data Entry'!$$956), "", 'Data Entry'!$$956)</f>
      </c>
      <c r="BW956">
        <f>IF(ISBLANK('Data Entry'!$$956), "", 'Data Entry'!$$956)</f>
      </c>
      <c r="BX956">
        <f>IF(ISBLANK('Data Entry'!$$956), "", 'Data Entry'!$$956)</f>
      </c>
      <c r="BY956">
        <f>IF(ISBLANK('Data Entry'!$$956), "", 'Data Entry'!$$956)</f>
      </c>
      <c r="BZ956">
        <f>IF(ISBLANK('Data Entry'!$$956), "", 'Data Entry'!$$956)</f>
      </c>
      <c r="CA956">
        <f>IF(ISBLANK('Data Entry'!$$956), "", 'Data Entry'!$$956)</f>
      </c>
      <c r="CB956">
        <f>IF(ISBLANK('Data Entry'!$$956), "", 'Data Entry'!$$956)</f>
      </c>
      <c r="CC956">
        <f>IF(ISBLANK('Data Entry'!$$956), "", 'Data Entry'!$$956)</f>
      </c>
      <c r="CD956">
        <f>IF(ISBLANK('Data Entry'!$$956), "", 'Data Entry'!$$956)</f>
      </c>
      <c r="CE956">
        <f>IF(ISBLANK('Data Entry'!$$956), "", 'Data Entry'!$$956)</f>
      </c>
      <c r="CF956">
        <f>IF(ISBLANK('Data Entry'!$$956), "", 'Data Entry'!$$956)</f>
      </c>
      <c r="CG956">
        <f>IF(ISBLANK('Data Entry'!$$956), "", 'Data Entry'!$$956)</f>
      </c>
      <c r="CH956">
        <f>IF(ISBLANK('Data Entry'!$$956), "", 'Data Entry'!$$956)</f>
      </c>
      <c r="CI956">
        <f>IF(ISBLANK('Data Entry'!$$956), "", 'Data Entry'!$$956)</f>
      </c>
      <c r="CJ956">
        <f>IF(ISBLANK('Data Entry'!$$956), "", 'Data Entry'!$$956)</f>
      </c>
      <c r="CK956">
        <f>IF(ISBLANK('Data Entry'!$$956), "", 'Data Entry'!$$956)</f>
      </c>
      <c r="CL956">
        <f>IF(ISBLANK('Data Entry'!$$956), "", 'Data Entry'!$$956)</f>
      </c>
      <c r="CM956">
        <f>IF(ISBLANK('Data Entry'!$$956), "", 'Data Entry'!$$956)</f>
      </c>
      <c r="CN956">
        <f>IF(ISBLANK('Data Entry'!$$956), "", 'Data Entry'!$$956)</f>
      </c>
      <c r="CO956">
        <f>IF(ISBLANK('Data Entry'!$$956), "", 'Data Entry'!$$956)</f>
      </c>
      <c r="CP956">
        <f>IF(ISBLANK('Data Entry'!$$956), "", 'Data Entry'!$$956)</f>
      </c>
      <c r="CQ956">
        <f>IF(ISBLANK('Data Entry'!$$956), "", 'Data Entry'!$$956)</f>
      </c>
      <c r="CR956">
        <f>IF(ISBLANK('Data Entry'!$ $956), "", 'Data Entry'!$ $956)</f>
      </c>
      <c r="CS956">
        <f>IF(ISBLANK('Data Entry'!$¡$956), "", 'Data Entry'!$¡$956)</f>
      </c>
      <c r="CT956">
        <f>IF(ISBLANK('Data Entry'!$¢$956), "", 'Data Entry'!$¢$956)</f>
      </c>
      <c r="CU956">
        <f>IF(ISBLANK('Data Entry'!$£$956), "", 'Data Entry'!$£$956)</f>
      </c>
      <c r="CV956">
        <f>IF(ISBLANK('Data Entry'!$¤$956), "", 'Data Entry'!$¤$956)</f>
      </c>
      <c r="CW956">
        <f>IF(ISBLANK('Data Entry'!$¥$956), "", 'Data Entry'!$¥$956)</f>
      </c>
      <c r="CX956">
        <f>IF(ISBLANK('Data Entry'!$¦$956), "", 'Data Entry'!$¦$956)</f>
      </c>
      <c r="CY956">
        <f>IF(ISBLANK('Data Entry'!$§$956), "", 'Data Entry'!$§$956)</f>
      </c>
      <c r="CZ956">
        <f>IF(ISBLANK('Data Entry'!$¨$956), "", 'Data Entry'!$¨$956)</f>
      </c>
      <c r="DA956">
        <f>IF(ISBLANK('Data Entry'!$©$956), "", 'Data Entry'!$©$956)</f>
      </c>
      <c r="DB956">
        <f>IF(ISBLANK('Data Entry'!$ª$956), "", 'Data Entry'!$ª$956)</f>
      </c>
      <c r="DC956">
        <f>IF(ISBLANK('Data Entry'!$«$956), "", 'Data Entry'!$«$956)</f>
      </c>
      <c r="DD956">
        <f>IF(ISBLANK('Data Entry'!$¬$956), "", 'Data Entry'!$¬$956)</f>
      </c>
      <c r="DE956">
        <f>IF(ISBLANK('Data Entry'!$­$956), "", 'Data Entry'!$­$956)</f>
      </c>
      <c r="DF956">
        <f>IF(ISBLANK('Data Entry'!$®$956), "", 'Data Entry'!$®$956)</f>
      </c>
      <c r="DG956">
        <f>IF(ISBLANK('Data Entry'!$¯$956), "", 'Data Entry'!$¯$956)</f>
      </c>
      <c r="DH956">
        <f>IF(ISBLANK('Data Entry'!$°$956), "", 'Data Entry'!$°$956)</f>
      </c>
      <c r="DI956">
        <f>IF(ISBLANK('Data Entry'!$±$956), "", 'Data Entry'!$±$956)</f>
      </c>
      <c r="DJ956">
        <f>IF(ISBLANK('Data Entry'!$²$956), "", 'Data Entry'!$²$956)</f>
      </c>
      <c r="DK956">
        <f>IF(ISBLANK('Data Entry'!$³$956), "", 'Data Entry'!$³$956)</f>
      </c>
      <c r="DL956">
        <f>IF(ISBLANK('Data Entry'!$´$956), "", 'Data Entry'!$´$956)</f>
      </c>
      <c r="DM956">
        <f>IF(ISBLANK('Data Entry'!$µ$956), "", 'Data Entry'!$µ$956)</f>
      </c>
      <c r="DN956">
        <f>IF(ISBLANK('Data Entry'!$¶$956), "", 'Data Entry'!$¶$956)</f>
      </c>
      <c r="DO956">
        <f>IF(ISBLANK('Data Entry'!$·$956), "", 'Data Entry'!$·$956)</f>
      </c>
      <c r="DP956">
        <f>IF(ISBLANK('Data Entry'!$¸$956), "", 'Data Entry'!$¸$956)</f>
      </c>
      <c r="DQ956">
        <f>IF(ISBLANK('Data Entry'!$¹$956), "", 'Data Entry'!$¹$956)</f>
      </c>
      <c r="DR956">
        <f>IF(ISBLANK('Data Entry'!$º$956), "", 'Data Entry'!$º$956)</f>
      </c>
      <c r="DS956">
        <f>IF(ISBLANK('Data Entry'!$»$956), "", 'Data Entry'!$»$956)</f>
      </c>
      <c r="DT956">
        <f>IF(ISBLANK('Data Entry'!$¼$956), "", 'Data Entry'!$¼$956)</f>
      </c>
      <c r="DU956">
        <f>IF(ISBLANK('Data Entry'!$½$956), "", 'Data Entry'!$½$956)</f>
      </c>
      <c r="DV956">
        <f>IF(ISBLANK('Data Entry'!$¾$956), "", 'Data Entry'!$¾$956)</f>
      </c>
      <c r="DW956">
        <f>IF(ISBLANK('Data Entry'!$¿$956), "", 'Data Entry'!$¿$956)</f>
      </c>
      <c r="DX956">
        <f>IF(ISBLANK('Data Entry'!$À$956), "", 'Data Entry'!$À$956)</f>
      </c>
      <c r="DY956">
        <f>IF(ISBLANK('Data Entry'!$Á$956), "", 'Data Entry'!$Á$956)</f>
      </c>
      <c r="DZ956">
        <f>IF(ISBLANK('Data Entry'!$Â$956), "", 'Data Entry'!$Â$956)</f>
      </c>
      <c r="EA956">
        <f>IF(ISBLANK('Data Entry'!$Ã$956), "", 'Data Entry'!$Ã$956)</f>
      </c>
      <c r="EB956">
        <f>IF(ISBLANK('Data Entry'!$Ä$956), "", 'Data Entry'!$Ä$956)</f>
      </c>
      <c r="EC956">
        <f>IF(ISBLANK('Data Entry'!$Å$956), "", 'Data Entry'!$Å$956)</f>
      </c>
      <c r="ED956">
        <f>IF(ISBLANK('Data Entry'!$Æ$956), "", 'Data Entry'!$Æ$956)</f>
      </c>
      <c r="EE956">
        <f>IF(ISBLANK('Data Entry'!$Ç$956), "", 'Data Entry'!$Ç$956)</f>
      </c>
      <c r="EF956">
        <f>IF(ISBLANK('Data Entry'!$È$956), "", 'Data Entry'!$È$956)</f>
      </c>
      <c r="EG956">
        <f>IF(ISBLANK('Data Entry'!$É$956), "", 'Data Entry'!$É$956)</f>
      </c>
      <c r="EH956">
        <f>IF(ISBLANK('Data Entry'!$Ê$956), "", 'Data Entry'!$Ê$956)</f>
      </c>
      <c r="EI956">
        <f>IF(ISBLANK('Data Entry'!$Ë$956), "", 'Data Entry'!$Ë$956)</f>
      </c>
      <c r="EJ956">
        <f>IF(ISBLANK('Data Entry'!$Ì$956), "", 'Data Entry'!$Ì$956)</f>
      </c>
      <c r="EK956">
        <f>IF(ISBLANK('Data Entry'!$Í$956), "", 'Data Entry'!$Í$956)</f>
      </c>
      <c r="EL956">
        <f>IF(ISBLANK('Data Entry'!$Î$956), "", 'Data Entry'!$Î$956)</f>
      </c>
      <c r="EM956">
        <f>IF(ISBLANK('Data Entry'!$Ï$956), "", 'Data Entry'!$Ï$956)</f>
      </c>
      <c r="EN956">
        <f>IF(ISBLANK('Data Entry'!$Ð$956), "", 'Data Entry'!$Ð$956)</f>
      </c>
      <c r="EO956">
        <f>IF(ISBLANK('Data Entry'!$Ñ$956), "", 'Data Entry'!$Ñ$956)</f>
      </c>
      <c r="EP956">
        <f>IF(ISBLANK('Data Entry'!$Ò$956), "", 'Data Entry'!$Ò$956)</f>
      </c>
      <c r="EQ956">
        <f>IF(ISBLANK('Data Entry'!$Ó$956), "", 'Data Entry'!$Ó$956)</f>
      </c>
      <c r="ER956">
        <f>IF(ISBLANK('Data Entry'!$Ô$956), "", 'Data Entry'!$Ô$956)</f>
      </c>
      <c r="ES956">
        <f>IF(ISBLANK('Data Entry'!$Õ$956), "", 'Data Entry'!$Õ$956)</f>
      </c>
      <c r="ET956">
        <f>IF(ISBLANK('Data Entry'!$Ö$956), "", 'Data Entry'!$Ö$956)</f>
      </c>
      <c r="EU956">
        <f>IF(ISBLANK('Data Entry'!$×$956), "", 'Data Entry'!$×$956)</f>
      </c>
      <c r="EV956">
        <f>IF(ISBLANK('Data Entry'!$Ø$956), "", 'Data Entry'!$Ø$956)</f>
      </c>
      <c r="EW956">
        <f>IF(ISBLANK('Data Entry'!$Ù$956), "", 'Data Entry'!$Ù$956)</f>
      </c>
      <c r="EX956">
        <f>IF(ISBLANK('Data Entry'!$Ú$956), "", 'Data Entry'!$Ú$956)</f>
      </c>
      <c r="EY956">
        <f>IF(ISBLANK('Data Entry'!$Û$956), "", 'Data Entry'!$Û$956)</f>
      </c>
      <c r="EZ956">
        <f>IF(ISBLANK('Data Entry'!$Ü$956), "", 'Data Entry'!$Ü$956)</f>
      </c>
      <c r="FA956">
        <f>IF(ISBLANK('Data Entry'!$Ý$956), "", 'Data Entry'!$Ý$956)</f>
      </c>
      <c r="FB956">
        <f>IF(ISBLANK('Data Entry'!$Þ$956), "", 'Data Entry'!$Þ$956)</f>
      </c>
      <c r="FC956">
        <f>IF(ISBLANK('Data Entry'!$ß$956), "", 'Data Entry'!$ß$956)</f>
      </c>
      <c r="FD956">
        <f>IF(ISBLANK('Data Entry'!$à$956), "", 'Data Entry'!$à$956)</f>
      </c>
      <c r="FE956">
        <f>IF(ISBLANK('Data Entry'!$á$956), "", 'Data Entry'!$á$956)</f>
      </c>
      <c r="FF956">
        <f>IF(ISBLANK('Data Entry'!$â$956), "", 'Data Entry'!$â$956)</f>
      </c>
      <c r="FG956">
        <f>IF(ISBLANK('Data Entry'!$ã$956), "", 'Data Entry'!$ã$956)</f>
      </c>
      <c r="FH956">
        <f>IF(ISBLANK('Data Entry'!$ä$956), "", 'Data Entry'!$ä$956)</f>
      </c>
      <c r="FI956">
        <f>IF(ISBLANK('Data Entry'!$å$956), "", 'Data Entry'!$å$956)</f>
      </c>
      <c r="FJ956">
        <f>IF(ISBLANK('Data Entry'!$æ$956), "", 'Data Entry'!$æ$956)</f>
      </c>
      <c r="FK956">
        <f>IF(ISBLANK('Data Entry'!$ç$956), "", 'Data Entry'!$ç$956)</f>
      </c>
      <c r="FL956">
        <f>IF(ISBLANK('Data Entry'!$è$956), "", 'Data Entry'!$è$956)</f>
      </c>
      <c r="FM956">
        <f>IF(ISBLANK('Data Entry'!$é$956), "", 'Data Entry'!$é$956)</f>
      </c>
      <c r="FN956">
        <f>IF(ISBLANK('Data Entry'!$ê$956), "", 'Data Entry'!$ê$956)</f>
      </c>
      <c r="FO956">
        <f>IF(ISBLANK('Data Entry'!$ë$956), "", 'Data Entry'!$ë$956)</f>
      </c>
      <c r="FP956">
        <f>IF(ISBLANK('Data Entry'!$ì$956), "", 'Data Entry'!$ì$956)</f>
      </c>
      <c r="FQ956">
        <f>IF(ISBLANK('Data Entry'!$í$956), "", 'Data Entry'!$í$956)</f>
      </c>
      <c r="FR956">
        <f>IF(ISBLANK('Data Entry'!$î$956), "", 'Data Entry'!$î$956)</f>
      </c>
      <c r="FS956">
        <f>IF(ISBLANK('Data Entry'!$ï$956), "", 'Data Entry'!$ï$956)</f>
      </c>
      <c r="FT956">
        <f>IF(ISBLANK('Data Entry'!$ð$956), "", 'Data Entry'!$ð$956)</f>
      </c>
      <c r="FU956">
        <f>IF(ISBLANK('Data Entry'!$ñ$956), "", 'Data Entry'!$ñ$956)</f>
      </c>
      <c r="FV956">
        <f>IF(ISBLANK('Data Entry'!$ò$956), "", 'Data Entry'!$ò$956)</f>
      </c>
      <c r="FW956">
        <f>IF(ISBLANK('Data Entry'!$ó$956), "", 'Data Entry'!$ó$956)</f>
      </c>
      <c r="FX956">
        <f>IF(ISBLANK('Data Entry'!$ô$956), "", 'Data Entry'!$ô$956)</f>
      </c>
      <c r="FY956">
        <f>IF(ISBLANK('Data Entry'!$õ$956), "", 'Data Entry'!$õ$956)</f>
      </c>
      <c r="FZ956">
        <f>IF(ISBLANK('Data Entry'!$ö$956), "", 'Data Entry'!$ö$956)</f>
      </c>
      <c r="GA956">
        <f>IF(ISBLANK('Data Entry'!$÷$956), "", 'Data Entry'!$÷$956)</f>
      </c>
      <c r="GB956">
        <f>IF(ISBLANK('Data Entry'!$ø$956), "", 'Data Entry'!$ø$956)</f>
      </c>
      <c r="GC956">
        <f>IF(ISBLANK('Data Entry'!$ù$956), "", 'Data Entry'!$ù$956)</f>
      </c>
      <c r="GD956">
        <f>IF(ISBLANK('Data Entry'!$ú$956), "", 'Data Entry'!$ú$956)</f>
      </c>
      <c r="GE956">
        <f>IF(ISBLANK('Data Entry'!$û$956), "", 'Data Entry'!$û$956)</f>
      </c>
      <c r="GF956">
        <f>IF(ISBLANK('Data Entry'!$ü$956), "", 'Data Entry'!$ü$956)</f>
      </c>
      <c r="GG956">
        <f>IF(ISBLANK('Data Entry'!$ý$956), "", 'Data Entry'!$ý$956)</f>
      </c>
      <c r="GH956">
        <f>IF(ISBLANK('Data Entry'!$þ$956), "", 'Data Entry'!$þ$956)</f>
      </c>
      <c r="GI956">
        <f>IF(ISBLANK('Data Entry'!$ÿ$956), "", 'Data Entry'!$ÿ$956)</f>
      </c>
      <c r="GJ956">
        <f>IF(ISBLANK('Data Entry'!$Ā$956), "", 'Data Entry'!$Ā$956)</f>
      </c>
      <c r="GK956">
        <f>IF(ISBLANK('Data Entry'!$ā$956), "", 'Data Entry'!$ā$956)</f>
      </c>
      <c r="GL956">
        <f>IF(ISBLANK('Data Entry'!$Ă$956), "", 'Data Entry'!$Ă$956)</f>
      </c>
      <c r="GM956">
        <f>IF(ISBLANK('Data Entry'!$ă$956), "", 'Data Entry'!$ă$956)</f>
      </c>
      <c r="GN956">
        <f>IF(ISBLANK('Data Entry'!$Ą$956), "", 'Data Entry'!$Ą$956)</f>
      </c>
      <c r="GO956">
        <f>IF(ISBLANK('Data Entry'!$ą$956), "", 'Data Entry'!$ą$956)</f>
      </c>
      <c r="GP956">
        <f>IF(ISBLANK('Data Entry'!$Ć$956), "", 'Data Entry'!$Ć$956)</f>
      </c>
      <c r="GQ956">
        <f>IF(ISBLANK('Data Entry'!$ć$956), "", 'Data Entry'!$ć$956)</f>
      </c>
      <c r="GR956">
        <f>IF(ISBLANK('Data Entry'!$Ĉ$956), "", 'Data Entry'!$Ĉ$956)</f>
      </c>
      <c r="GS956">
        <f>IF(ISBLANK('Data Entry'!$ĉ$956), "", 'Data Entry'!$ĉ$956)</f>
      </c>
      <c r="GT956">
        <f>IF(ISBLANK('Data Entry'!$Ċ$956), "", 'Data Entry'!$Ċ$956)</f>
      </c>
      <c r="GU956">
        <f>IF(ISBLANK('Data Entry'!$ċ$956), "", 'Data Entry'!$ċ$956)</f>
      </c>
      <c r="GV956">
        <f>IF(ISBLANK('Data Entry'!$Č$956), "", 'Data Entry'!$Č$956)</f>
      </c>
      <c r="GW956">
        <f>IF(ISBLANK('Data Entry'!$č$956), "", 'Data Entry'!$č$956)</f>
      </c>
      <c r="GX956">
        <f>IF(ISBLANK('Data Entry'!$Ď$956), "", 'Data Entry'!$Ď$956)</f>
      </c>
      <c r="GY956">
        <f>IF(ISBLANK('Data Entry'!$ď$956), "", 'Data Entry'!$ď$956)</f>
      </c>
      <c r="GZ956">
        <f>IF(ISBLANK('Data Entry'!$Đ$956), "", 'Data Entry'!$Đ$956)</f>
      </c>
      <c r="HA956">
        <f>IF(ISBLANK('Data Entry'!$đ$956), "", 'Data Entry'!$đ$956)</f>
      </c>
      <c r="HB956">
        <f>IF(ISBLANK('Data Entry'!$Ē$956), "", 'Data Entry'!$Ē$956)</f>
      </c>
      <c r="HC956">
        <f>IF(ISBLANK('Data Entry'!$ē$956), "", 'Data Entry'!$ē$956)</f>
      </c>
      <c r="HD956">
        <f>IF(ISBLANK('Data Entry'!$Ĕ$956), "", 'Data Entry'!$Ĕ$956)</f>
      </c>
      <c r="HE956">
        <f>IF(ISBLANK('Data Entry'!$ĕ$956), "", 'Data Entry'!$ĕ$956)</f>
      </c>
      <c r="HF956">
        <f>IF(ISBLANK('Data Entry'!$Ė$956), "", 'Data Entry'!$Ė$956)</f>
      </c>
      <c r="HG956">
        <f>IF(ISBLANK('Data Entry'!$ė$956), "", 'Data Entry'!$ė$956)</f>
      </c>
      <c r="HH956">
        <f>IF(ISBLANK('Data Entry'!$Ę$956), "", 'Data Entry'!$Ę$956)</f>
      </c>
      <c r="HI956">
        <f>IF(ISBLANK('Data Entry'!$ę$956), "", 'Data Entry'!$ę$956)</f>
      </c>
      <c r="HJ956">
        <f>IF(ISBLANK('Data Entry'!$Ě$956), "", 'Data Entry'!$Ě$956)</f>
      </c>
      <c r="HK956">
        <f>IF(ISBLANK('Data Entry'!$ě$956), "", 'Data Entry'!$ě$956)</f>
      </c>
      <c r="HL956">
        <f>IF(ISBLANK('Data Entry'!$Ĝ$956), "", 'Data Entry'!$Ĝ$956)</f>
      </c>
      <c r="HM956">
        <f>IF(ISBLANK('Data Entry'!$ĝ$956), "", 'Data Entry'!$ĝ$956)</f>
      </c>
      <c r="HN956">
        <f>IF(ISBLANK('Data Entry'!$Ğ$956), "", 'Data Entry'!$Ğ$956)</f>
      </c>
      <c r="HO956">
        <f>IF(ISBLANK('Data Entry'!$ğ$956), "", 'Data Entry'!$ğ$956)</f>
      </c>
      <c r="HP956">
        <f>IF(ISBLANK('Data Entry'!$Ġ$956), "", 'Data Entry'!$Ġ$956)</f>
      </c>
      <c r="HQ956">
        <f>IF(ISBLANK('Data Entry'!$ġ$956), "", 'Data Entry'!$ġ$956)</f>
      </c>
      <c r="HR956">
        <f>IF(ISBLANK('Data Entry'!$Ģ$956), "", 'Data Entry'!$Ģ$956)</f>
      </c>
      <c r="HS956">
        <f>IF(ISBLANK('Data Entry'!$ģ$956), "", 'Data Entry'!$ģ$956)</f>
      </c>
      <c r="HT956">
        <f>IF(ISBLANK('Data Entry'!$Ĥ$956), "", 'Data Entry'!$Ĥ$956)</f>
      </c>
      <c r="HU956">
        <f>IF(ISBLANK('Data Entry'!$ĥ$956), "", 'Data Entry'!$ĥ$956)</f>
      </c>
      <c r="HV956">
        <f>IF(ISBLANK('Data Entry'!$Ħ$956), "", 'Data Entry'!$Ħ$956)</f>
      </c>
      <c r="HW956">
        <f>IF(ISBLANK('Data Entry'!$ħ$956), "", 'Data Entry'!$ħ$956)</f>
      </c>
      <c r="HX956">
        <f>IF(ISBLANK('Data Entry'!$Ĩ$956), "", 'Data Entry'!$Ĩ$956)</f>
      </c>
      <c r="HY956">
        <f>IF(ISBLANK('Data Entry'!$ĩ$956), "", 'Data Entry'!$ĩ$956)</f>
      </c>
      <c r="HZ956">
        <f>IF(ISBLANK('Data Entry'!$Ī$956), "", 'Data Entry'!$Ī$956)</f>
      </c>
      <c r="IA956">
        <f>IF(ISBLANK('Data Entry'!$ī$956), "", 'Data Entry'!$ī$956)</f>
      </c>
      <c r="IB956">
        <f>IF(ISBLANK('Data Entry'!$Ĭ$956), "", 'Data Entry'!$Ĭ$956)</f>
      </c>
      <c r="IC956">
        <f>IF(ISBLANK('Data Entry'!$ĭ$956), "", 'Data Entry'!$ĭ$956)</f>
      </c>
      <c r="ID956">
        <f>IF(ISBLANK('Data Entry'!$Į$956), "", 'Data Entry'!$Į$956)</f>
      </c>
      <c r="IE956">
        <f>IF(ISBLANK('Data Entry'!$į$956), "", 'Data Entry'!$į$956)</f>
      </c>
      <c r="IF956">
        <f>IF(ISBLANK('Data Entry'!$İ$956), "", 'Data Entry'!$İ$956)</f>
      </c>
      <c r="IG956">
        <f>IF(ISBLANK('Data Entry'!$ı$956), "", 'Data Entry'!$ı$956)</f>
      </c>
      <c r="IH956">
        <f>IF(ISBLANK('Data Entry'!$Ĳ$956), "", 'Data Entry'!$Ĳ$956)</f>
      </c>
      <c r="II956">
        <f>IF(ISBLANK('Data Entry'!$ĳ$956), "", 'Data Entry'!$ĳ$956)</f>
      </c>
      <c r="IJ956">
        <f>IF(ISBLANK('Data Entry'!$Ĵ$956), "", 'Data Entry'!$Ĵ$956)</f>
      </c>
      <c r="IK956">
        <f>IF(ISBLANK('Data Entry'!$ĵ$956), "", 'Data Entry'!$ĵ$956)</f>
      </c>
      <c r="IL956">
        <f>IF(ISBLANK('Data Entry'!$Ķ$956), "", 'Data Entry'!$Ķ$956)</f>
      </c>
      <c r="IM956">
        <f>IF(ISBLANK('Data Entry'!$ķ$956), "", 'Data Entry'!$ķ$956)</f>
      </c>
      <c r="IN956">
        <f>IF(ISBLANK('Data Entry'!$ĸ$956), "", 'Data Entry'!$ĸ$956)</f>
      </c>
      <c r="IO956">
        <f>IF(ISBLANK('Data Entry'!$Ĺ$956), "", 'Data Entry'!$Ĺ$956)</f>
      </c>
      <c r="IP956">
        <f>IF(ISBLANK('Data Entry'!$ĺ$956), "", 'Data Entry'!$ĺ$956)</f>
      </c>
      <c r="IQ956">
        <f>IF(ISBLANK('Data Entry'!$Ļ$956), "", 'Data Entry'!$Ļ$956)</f>
      </c>
      <c r="IR956">
        <f>IF(ISBLANK('Data Entry'!$ļ$956), "", 'Data Entry'!$ļ$956)</f>
      </c>
      <c r="IS956">
        <f>IF(ISBLANK('Data Entry'!$Ľ$956), "", 'Data Entry'!$Ľ$956)</f>
      </c>
      <c r="IT956">
        <f>IF(ISBLANK('Data Entry'!$ľ$956), "", 'Data Entry'!$ľ$956)</f>
      </c>
    </row>
    <row r="957" spans="1:254" x14ac:dyDescent="0.25">
      <c r="A957">
        <f>IF(ISBLANK('Data Entry'!$A$957), "", 'Data Entry'!$A$957)</f>
      </c>
      <c r="B957">
        <f>IF(ISBLANK('Data Entry'!$B$957), "", 'Data Entry'!$B$957)</f>
      </c>
      <c r="C957">
        <f>IF(ISBLANK('Data Entry'!$C$957), "", 'Data Entry'!$C$957)</f>
      </c>
      <c r="D957">
        <f>IF(ISBLANK('Data Entry'!$D$957), "", 'Data Entry'!$D$957)</f>
      </c>
      <c r="E957">
        <f>IF(ISBLANK('Data Entry'!$E$957), "", 'Data Entry'!$E$957)</f>
      </c>
      <c r="F957">
        <f>IF(ISBLANK('Data Entry'!$F$957), "", 'Data Entry'!$F$957)</f>
      </c>
      <c r="G957">
        <f>IF(ISBLANK('Data Entry'!$G$957), "", 'Data Entry'!$G$957)</f>
      </c>
      <c r="H957">
        <f>IF(ISBLANK('Data Entry'!$H$957), "", 'Data Entry'!$H$957)</f>
      </c>
      <c r="I957">
        <f>IF(ISBLANK('Data Entry'!$I$957), "", 'Data Entry'!$I$957)</f>
      </c>
      <c r="J957">
        <f>IF(ISBLANK('Data Entry'!$J$957), "", 'Data Entry'!$J$957)</f>
      </c>
      <c r="K957">
        <f>IF(ISBLANK('Data Entry'!$K$957), "", 'Data Entry'!$K$957)</f>
      </c>
      <c r="L957">
        <f>IF(ISBLANK('Data Entry'!$L$957), "", 'Data Entry'!$L$957)</f>
      </c>
      <c r="M957">
        <f>IF(ISBLANK('Data Entry'!$M$957), "", 'Data Entry'!$M$957)</f>
      </c>
      <c r="N957">
        <f>IF(ISBLANK('Data Entry'!$N$957), "", 'Data Entry'!$N$957)</f>
      </c>
      <c r="O957">
        <f>IF(ISBLANK('Data Entry'!$O$957), "", 'Data Entry'!$O$957)</f>
      </c>
      <c r="P957">
        <f>IF(ISBLANK('Data Entry'!$P$957), "", 'Data Entry'!$P$957)</f>
      </c>
      <c r="Q957">
        <f>IF(ISBLANK('Data Entry'!$Q$957), "", 'Data Entry'!$Q$957)</f>
      </c>
      <c r="R957">
        <f>IF(ISBLANK('Data Entry'!$R$957), "", 'Data Entry'!$R$957)</f>
      </c>
      <c r="S957">
        <f>IF(ISBLANK('Data Entry'!$S$957), "", 'Data Entry'!$S$957)</f>
      </c>
      <c r="T957">
        <f>IF(ISBLANK('Data Entry'!$T$957), "", 'Data Entry'!$T$957)</f>
      </c>
      <c r="U957">
        <f>IF(ISBLANK('Data Entry'!$U$957), "", 'Data Entry'!$U$957)</f>
      </c>
      <c r="V957">
        <f>IF(ISBLANK('Data Entry'!$V$957), "", 'Data Entry'!$V$957)</f>
      </c>
      <c r="W957">
        <f>IF(ISBLANK('Data Entry'!$W$957), "", 'Data Entry'!$W$957)</f>
      </c>
      <c r="X957">
        <f>IF(ISBLANK('Data Entry'!$X$957), "", 'Data Entry'!$X$957)</f>
      </c>
      <c r="Y957">
        <f>IF(ISBLANK('Data Entry'!$Y$957), "", 'Data Entry'!$Y$957)</f>
      </c>
      <c r="Z957">
        <f>IF(ISBLANK('Data Entry'!$Z$957), "", 'Data Entry'!$Z$957)</f>
      </c>
      <c r="AA957">
        <f>IF(ISBLANK('Data Entry'!$[$957), "", 'Data Entry'!$[$957)</f>
      </c>
      <c r="AB957">
        <f>IF(ISBLANK('Data Entry'!$\$957), "", 'Data Entry'!$\$957)</f>
      </c>
      <c r="AC957">
        <f>IF(ISBLANK('Data Entry'!$]$957), "", 'Data Entry'!$]$957)</f>
      </c>
      <c r="AD957">
        <f>IF(ISBLANK('Data Entry'!$^$957), "", 'Data Entry'!$^$957)</f>
      </c>
      <c r="AE957">
        <f>IF(ISBLANK('Data Entry'!$_$957), "", 'Data Entry'!$_$957)</f>
      </c>
      <c r="AF957">
        <f>IF(ISBLANK('Data Entry'!$`$957), "", 'Data Entry'!$`$957)</f>
      </c>
      <c r="AG957">
        <f>IF(ISBLANK('Data Entry'!$a$957), "", 'Data Entry'!$a$957)</f>
      </c>
      <c r="AH957">
        <f>IF(ISBLANK('Data Entry'!$b$957), "", 'Data Entry'!$b$957)</f>
      </c>
      <c r="AI957">
        <f>IF(ISBLANK('Data Entry'!$c$957), "", 'Data Entry'!$c$957)</f>
      </c>
      <c r="AJ957">
        <f>IF(ISBLANK('Data Entry'!$d$957), "", 'Data Entry'!$d$957)</f>
      </c>
      <c r="AK957">
        <f>IF(ISBLANK('Data Entry'!$e$957), "", 'Data Entry'!$e$957)</f>
      </c>
      <c r="AL957">
        <f>IF(ISBLANK('Data Entry'!$f$957), "", 'Data Entry'!$f$957)</f>
      </c>
      <c r="AM957">
        <f>IF(ISBLANK('Data Entry'!$g$957), "", 'Data Entry'!$g$957)</f>
      </c>
      <c r="AN957">
        <f>IF(ISBLANK('Data Entry'!$h$957), "", 'Data Entry'!$h$957)</f>
      </c>
      <c r="AO957">
        <f>IF(ISBLANK('Data Entry'!$i$957), "", 'Data Entry'!$i$957)</f>
      </c>
      <c r="AP957">
        <f>IF(ISBLANK('Data Entry'!$j$957), "", 'Data Entry'!$j$957)</f>
      </c>
      <c r="AQ957">
        <f>IF(ISBLANK('Data Entry'!$k$957), "", 'Data Entry'!$k$957)</f>
      </c>
      <c r="AR957">
        <f>IF(ISBLANK('Data Entry'!$l$957), "", 'Data Entry'!$l$957)</f>
      </c>
      <c r="AS957">
        <f>IF(ISBLANK('Data Entry'!$m$957), "", 'Data Entry'!$m$957)</f>
      </c>
      <c r="AT957">
        <f>IF(ISBLANK('Data Entry'!$n$957), "", 'Data Entry'!$n$957)</f>
      </c>
      <c r="AU957">
        <f>IF(ISBLANK('Data Entry'!$o$957), "", 'Data Entry'!$o$957)</f>
      </c>
      <c r="AV957">
        <f>IF(ISBLANK('Data Entry'!$p$957), "", 'Data Entry'!$p$957)</f>
      </c>
      <c r="AW957">
        <f>IF(ISBLANK('Data Entry'!$q$957), "", 'Data Entry'!$q$957)</f>
      </c>
      <c r="AX957">
        <f>IF(ISBLANK('Data Entry'!$r$957), "", 'Data Entry'!$r$957)</f>
      </c>
      <c r="AY957">
        <f>IF(ISBLANK('Data Entry'!$s$957), "", 'Data Entry'!$s$957)</f>
      </c>
      <c r="AZ957">
        <f>IF(ISBLANK('Data Entry'!$t$957), "", 'Data Entry'!$t$957)</f>
      </c>
      <c r="BA957">
        <f>IF(ISBLANK('Data Entry'!$u$957), "", 'Data Entry'!$u$957)</f>
      </c>
      <c r="BB957">
        <f>IF(ISBLANK('Data Entry'!$v$957), "", 'Data Entry'!$v$957)</f>
      </c>
      <c r="BC957">
        <f>IF(ISBLANK('Data Entry'!$w$957), "", 'Data Entry'!$w$957)</f>
      </c>
      <c r="BD957">
        <f>IF(ISBLANK('Data Entry'!$x$957), "", 'Data Entry'!$x$957)</f>
      </c>
      <c r="BE957">
        <f>IF(ISBLANK('Data Entry'!$y$957), "", 'Data Entry'!$y$957)</f>
      </c>
      <c r="BF957">
        <f>IF(ISBLANK('Data Entry'!$z$957), "", 'Data Entry'!$z$957)</f>
      </c>
      <c r="BG957">
        <f>IF(ISBLANK('Data Entry'!${$957), "", 'Data Entry'!${$957)</f>
      </c>
      <c r="BH957">
        <f>IF(ISBLANK('Data Entry'!$|$957), "", 'Data Entry'!$|$957)</f>
      </c>
      <c r="BI957">
        <f>IF(ISBLANK('Data Entry'!$}$957), "", 'Data Entry'!$}$957)</f>
      </c>
      <c r="BJ957">
        <f>IF(ISBLANK('Data Entry'!$~$957), "", 'Data Entry'!$~$957)</f>
      </c>
      <c r="BK957">
        <f>IF(ISBLANK('Data Entry'!$$957), "", 'Data Entry'!$$957)</f>
      </c>
      <c r="BL957">
        <f>IF(ISBLANK('Data Entry'!$$957), "", 'Data Entry'!$$957)</f>
      </c>
      <c r="BM957">
        <f>IF(ISBLANK('Data Entry'!$$957), "", 'Data Entry'!$$957)</f>
      </c>
      <c r="BN957">
        <f>IF(ISBLANK('Data Entry'!$$957), "", 'Data Entry'!$$957)</f>
      </c>
      <c r="BO957">
        <f>IF(ISBLANK('Data Entry'!$$957), "", 'Data Entry'!$$957)</f>
      </c>
      <c r="BP957">
        <f>IF(ISBLANK('Data Entry'!$$957), "", 'Data Entry'!$$957)</f>
      </c>
      <c r="BQ957">
        <f>IF(ISBLANK('Data Entry'!$$957), "", 'Data Entry'!$$957)</f>
      </c>
      <c r="BR957">
        <f>IF(ISBLANK('Data Entry'!$$957), "", 'Data Entry'!$$957)</f>
      </c>
      <c r="BS957">
        <f>IF(ISBLANK('Data Entry'!$$957), "", 'Data Entry'!$$957)</f>
      </c>
      <c r="BT957">
        <f>IF(ISBLANK('Data Entry'!$$957), "", 'Data Entry'!$$957)</f>
      </c>
      <c r="BU957">
        <f>IF(ISBLANK('Data Entry'!$$957), "", 'Data Entry'!$$957)</f>
      </c>
      <c r="BV957">
        <f>IF(ISBLANK('Data Entry'!$$957), "", 'Data Entry'!$$957)</f>
      </c>
      <c r="BW957">
        <f>IF(ISBLANK('Data Entry'!$$957), "", 'Data Entry'!$$957)</f>
      </c>
      <c r="BX957">
        <f>IF(ISBLANK('Data Entry'!$$957), "", 'Data Entry'!$$957)</f>
      </c>
      <c r="BY957">
        <f>IF(ISBLANK('Data Entry'!$$957), "", 'Data Entry'!$$957)</f>
      </c>
      <c r="BZ957">
        <f>IF(ISBLANK('Data Entry'!$$957), "", 'Data Entry'!$$957)</f>
      </c>
      <c r="CA957">
        <f>IF(ISBLANK('Data Entry'!$$957), "", 'Data Entry'!$$957)</f>
      </c>
      <c r="CB957">
        <f>IF(ISBLANK('Data Entry'!$$957), "", 'Data Entry'!$$957)</f>
      </c>
      <c r="CC957">
        <f>IF(ISBLANK('Data Entry'!$$957), "", 'Data Entry'!$$957)</f>
      </c>
      <c r="CD957">
        <f>IF(ISBLANK('Data Entry'!$$957), "", 'Data Entry'!$$957)</f>
      </c>
      <c r="CE957">
        <f>IF(ISBLANK('Data Entry'!$$957), "", 'Data Entry'!$$957)</f>
      </c>
      <c r="CF957">
        <f>IF(ISBLANK('Data Entry'!$$957), "", 'Data Entry'!$$957)</f>
      </c>
      <c r="CG957">
        <f>IF(ISBLANK('Data Entry'!$$957), "", 'Data Entry'!$$957)</f>
      </c>
      <c r="CH957">
        <f>IF(ISBLANK('Data Entry'!$$957), "", 'Data Entry'!$$957)</f>
      </c>
      <c r="CI957">
        <f>IF(ISBLANK('Data Entry'!$$957), "", 'Data Entry'!$$957)</f>
      </c>
      <c r="CJ957">
        <f>IF(ISBLANK('Data Entry'!$$957), "", 'Data Entry'!$$957)</f>
      </c>
      <c r="CK957">
        <f>IF(ISBLANK('Data Entry'!$$957), "", 'Data Entry'!$$957)</f>
      </c>
      <c r="CL957">
        <f>IF(ISBLANK('Data Entry'!$$957), "", 'Data Entry'!$$957)</f>
      </c>
      <c r="CM957">
        <f>IF(ISBLANK('Data Entry'!$$957), "", 'Data Entry'!$$957)</f>
      </c>
      <c r="CN957">
        <f>IF(ISBLANK('Data Entry'!$$957), "", 'Data Entry'!$$957)</f>
      </c>
      <c r="CO957">
        <f>IF(ISBLANK('Data Entry'!$$957), "", 'Data Entry'!$$957)</f>
      </c>
      <c r="CP957">
        <f>IF(ISBLANK('Data Entry'!$$957), "", 'Data Entry'!$$957)</f>
      </c>
      <c r="CQ957">
        <f>IF(ISBLANK('Data Entry'!$$957), "", 'Data Entry'!$$957)</f>
      </c>
      <c r="CR957">
        <f>IF(ISBLANK('Data Entry'!$ $957), "", 'Data Entry'!$ $957)</f>
      </c>
      <c r="CS957">
        <f>IF(ISBLANK('Data Entry'!$¡$957), "", 'Data Entry'!$¡$957)</f>
      </c>
      <c r="CT957">
        <f>IF(ISBLANK('Data Entry'!$¢$957), "", 'Data Entry'!$¢$957)</f>
      </c>
      <c r="CU957">
        <f>IF(ISBLANK('Data Entry'!$£$957), "", 'Data Entry'!$£$957)</f>
      </c>
      <c r="CV957">
        <f>IF(ISBLANK('Data Entry'!$¤$957), "", 'Data Entry'!$¤$957)</f>
      </c>
      <c r="CW957">
        <f>IF(ISBLANK('Data Entry'!$¥$957), "", 'Data Entry'!$¥$957)</f>
      </c>
      <c r="CX957">
        <f>IF(ISBLANK('Data Entry'!$¦$957), "", 'Data Entry'!$¦$957)</f>
      </c>
      <c r="CY957">
        <f>IF(ISBLANK('Data Entry'!$§$957), "", 'Data Entry'!$§$957)</f>
      </c>
      <c r="CZ957">
        <f>IF(ISBLANK('Data Entry'!$¨$957), "", 'Data Entry'!$¨$957)</f>
      </c>
      <c r="DA957">
        <f>IF(ISBLANK('Data Entry'!$©$957), "", 'Data Entry'!$©$957)</f>
      </c>
      <c r="DB957">
        <f>IF(ISBLANK('Data Entry'!$ª$957), "", 'Data Entry'!$ª$957)</f>
      </c>
      <c r="DC957">
        <f>IF(ISBLANK('Data Entry'!$«$957), "", 'Data Entry'!$«$957)</f>
      </c>
      <c r="DD957">
        <f>IF(ISBLANK('Data Entry'!$¬$957), "", 'Data Entry'!$¬$957)</f>
      </c>
      <c r="DE957">
        <f>IF(ISBLANK('Data Entry'!$­$957), "", 'Data Entry'!$­$957)</f>
      </c>
      <c r="DF957">
        <f>IF(ISBLANK('Data Entry'!$®$957), "", 'Data Entry'!$®$957)</f>
      </c>
      <c r="DG957">
        <f>IF(ISBLANK('Data Entry'!$¯$957), "", 'Data Entry'!$¯$957)</f>
      </c>
      <c r="DH957">
        <f>IF(ISBLANK('Data Entry'!$°$957), "", 'Data Entry'!$°$957)</f>
      </c>
      <c r="DI957">
        <f>IF(ISBLANK('Data Entry'!$±$957), "", 'Data Entry'!$±$957)</f>
      </c>
      <c r="DJ957">
        <f>IF(ISBLANK('Data Entry'!$²$957), "", 'Data Entry'!$²$957)</f>
      </c>
      <c r="DK957">
        <f>IF(ISBLANK('Data Entry'!$³$957), "", 'Data Entry'!$³$957)</f>
      </c>
      <c r="DL957">
        <f>IF(ISBLANK('Data Entry'!$´$957), "", 'Data Entry'!$´$957)</f>
      </c>
      <c r="DM957">
        <f>IF(ISBLANK('Data Entry'!$µ$957), "", 'Data Entry'!$µ$957)</f>
      </c>
      <c r="DN957">
        <f>IF(ISBLANK('Data Entry'!$¶$957), "", 'Data Entry'!$¶$957)</f>
      </c>
      <c r="DO957">
        <f>IF(ISBLANK('Data Entry'!$·$957), "", 'Data Entry'!$·$957)</f>
      </c>
      <c r="DP957">
        <f>IF(ISBLANK('Data Entry'!$¸$957), "", 'Data Entry'!$¸$957)</f>
      </c>
      <c r="DQ957">
        <f>IF(ISBLANK('Data Entry'!$¹$957), "", 'Data Entry'!$¹$957)</f>
      </c>
      <c r="DR957">
        <f>IF(ISBLANK('Data Entry'!$º$957), "", 'Data Entry'!$º$957)</f>
      </c>
      <c r="DS957">
        <f>IF(ISBLANK('Data Entry'!$»$957), "", 'Data Entry'!$»$957)</f>
      </c>
      <c r="DT957">
        <f>IF(ISBLANK('Data Entry'!$¼$957), "", 'Data Entry'!$¼$957)</f>
      </c>
      <c r="DU957">
        <f>IF(ISBLANK('Data Entry'!$½$957), "", 'Data Entry'!$½$957)</f>
      </c>
      <c r="DV957">
        <f>IF(ISBLANK('Data Entry'!$¾$957), "", 'Data Entry'!$¾$957)</f>
      </c>
      <c r="DW957">
        <f>IF(ISBLANK('Data Entry'!$¿$957), "", 'Data Entry'!$¿$957)</f>
      </c>
      <c r="DX957">
        <f>IF(ISBLANK('Data Entry'!$À$957), "", 'Data Entry'!$À$957)</f>
      </c>
      <c r="DY957">
        <f>IF(ISBLANK('Data Entry'!$Á$957), "", 'Data Entry'!$Á$957)</f>
      </c>
      <c r="DZ957">
        <f>IF(ISBLANK('Data Entry'!$Â$957), "", 'Data Entry'!$Â$957)</f>
      </c>
      <c r="EA957">
        <f>IF(ISBLANK('Data Entry'!$Ã$957), "", 'Data Entry'!$Ã$957)</f>
      </c>
      <c r="EB957">
        <f>IF(ISBLANK('Data Entry'!$Ä$957), "", 'Data Entry'!$Ä$957)</f>
      </c>
      <c r="EC957">
        <f>IF(ISBLANK('Data Entry'!$Å$957), "", 'Data Entry'!$Å$957)</f>
      </c>
      <c r="ED957">
        <f>IF(ISBLANK('Data Entry'!$Æ$957), "", 'Data Entry'!$Æ$957)</f>
      </c>
      <c r="EE957">
        <f>IF(ISBLANK('Data Entry'!$Ç$957), "", 'Data Entry'!$Ç$957)</f>
      </c>
      <c r="EF957">
        <f>IF(ISBLANK('Data Entry'!$È$957), "", 'Data Entry'!$È$957)</f>
      </c>
      <c r="EG957">
        <f>IF(ISBLANK('Data Entry'!$É$957), "", 'Data Entry'!$É$957)</f>
      </c>
      <c r="EH957">
        <f>IF(ISBLANK('Data Entry'!$Ê$957), "", 'Data Entry'!$Ê$957)</f>
      </c>
      <c r="EI957">
        <f>IF(ISBLANK('Data Entry'!$Ë$957), "", 'Data Entry'!$Ë$957)</f>
      </c>
      <c r="EJ957">
        <f>IF(ISBLANK('Data Entry'!$Ì$957), "", 'Data Entry'!$Ì$957)</f>
      </c>
      <c r="EK957">
        <f>IF(ISBLANK('Data Entry'!$Í$957), "", 'Data Entry'!$Í$957)</f>
      </c>
      <c r="EL957">
        <f>IF(ISBLANK('Data Entry'!$Î$957), "", 'Data Entry'!$Î$957)</f>
      </c>
      <c r="EM957">
        <f>IF(ISBLANK('Data Entry'!$Ï$957), "", 'Data Entry'!$Ï$957)</f>
      </c>
      <c r="EN957">
        <f>IF(ISBLANK('Data Entry'!$Ð$957), "", 'Data Entry'!$Ð$957)</f>
      </c>
      <c r="EO957">
        <f>IF(ISBLANK('Data Entry'!$Ñ$957), "", 'Data Entry'!$Ñ$957)</f>
      </c>
      <c r="EP957">
        <f>IF(ISBLANK('Data Entry'!$Ò$957), "", 'Data Entry'!$Ò$957)</f>
      </c>
      <c r="EQ957">
        <f>IF(ISBLANK('Data Entry'!$Ó$957), "", 'Data Entry'!$Ó$957)</f>
      </c>
      <c r="ER957">
        <f>IF(ISBLANK('Data Entry'!$Ô$957), "", 'Data Entry'!$Ô$957)</f>
      </c>
      <c r="ES957">
        <f>IF(ISBLANK('Data Entry'!$Õ$957), "", 'Data Entry'!$Õ$957)</f>
      </c>
      <c r="ET957">
        <f>IF(ISBLANK('Data Entry'!$Ö$957), "", 'Data Entry'!$Ö$957)</f>
      </c>
      <c r="EU957">
        <f>IF(ISBLANK('Data Entry'!$×$957), "", 'Data Entry'!$×$957)</f>
      </c>
      <c r="EV957">
        <f>IF(ISBLANK('Data Entry'!$Ø$957), "", 'Data Entry'!$Ø$957)</f>
      </c>
      <c r="EW957">
        <f>IF(ISBLANK('Data Entry'!$Ù$957), "", 'Data Entry'!$Ù$957)</f>
      </c>
      <c r="EX957">
        <f>IF(ISBLANK('Data Entry'!$Ú$957), "", 'Data Entry'!$Ú$957)</f>
      </c>
      <c r="EY957">
        <f>IF(ISBLANK('Data Entry'!$Û$957), "", 'Data Entry'!$Û$957)</f>
      </c>
      <c r="EZ957">
        <f>IF(ISBLANK('Data Entry'!$Ü$957), "", 'Data Entry'!$Ü$957)</f>
      </c>
      <c r="FA957">
        <f>IF(ISBLANK('Data Entry'!$Ý$957), "", 'Data Entry'!$Ý$957)</f>
      </c>
      <c r="FB957">
        <f>IF(ISBLANK('Data Entry'!$Þ$957), "", 'Data Entry'!$Þ$957)</f>
      </c>
      <c r="FC957">
        <f>IF(ISBLANK('Data Entry'!$ß$957), "", 'Data Entry'!$ß$957)</f>
      </c>
      <c r="FD957">
        <f>IF(ISBLANK('Data Entry'!$à$957), "", 'Data Entry'!$à$957)</f>
      </c>
      <c r="FE957">
        <f>IF(ISBLANK('Data Entry'!$á$957), "", 'Data Entry'!$á$957)</f>
      </c>
      <c r="FF957">
        <f>IF(ISBLANK('Data Entry'!$â$957), "", 'Data Entry'!$â$957)</f>
      </c>
      <c r="FG957">
        <f>IF(ISBLANK('Data Entry'!$ã$957), "", 'Data Entry'!$ã$957)</f>
      </c>
      <c r="FH957">
        <f>IF(ISBLANK('Data Entry'!$ä$957), "", 'Data Entry'!$ä$957)</f>
      </c>
      <c r="FI957">
        <f>IF(ISBLANK('Data Entry'!$å$957), "", 'Data Entry'!$å$957)</f>
      </c>
      <c r="FJ957">
        <f>IF(ISBLANK('Data Entry'!$æ$957), "", 'Data Entry'!$æ$957)</f>
      </c>
      <c r="FK957">
        <f>IF(ISBLANK('Data Entry'!$ç$957), "", 'Data Entry'!$ç$957)</f>
      </c>
      <c r="FL957">
        <f>IF(ISBLANK('Data Entry'!$è$957), "", 'Data Entry'!$è$957)</f>
      </c>
      <c r="FM957">
        <f>IF(ISBLANK('Data Entry'!$é$957), "", 'Data Entry'!$é$957)</f>
      </c>
      <c r="FN957">
        <f>IF(ISBLANK('Data Entry'!$ê$957), "", 'Data Entry'!$ê$957)</f>
      </c>
      <c r="FO957">
        <f>IF(ISBLANK('Data Entry'!$ë$957), "", 'Data Entry'!$ë$957)</f>
      </c>
      <c r="FP957">
        <f>IF(ISBLANK('Data Entry'!$ì$957), "", 'Data Entry'!$ì$957)</f>
      </c>
      <c r="FQ957">
        <f>IF(ISBLANK('Data Entry'!$í$957), "", 'Data Entry'!$í$957)</f>
      </c>
      <c r="FR957">
        <f>IF(ISBLANK('Data Entry'!$î$957), "", 'Data Entry'!$î$957)</f>
      </c>
      <c r="FS957">
        <f>IF(ISBLANK('Data Entry'!$ï$957), "", 'Data Entry'!$ï$957)</f>
      </c>
      <c r="FT957">
        <f>IF(ISBLANK('Data Entry'!$ð$957), "", 'Data Entry'!$ð$957)</f>
      </c>
      <c r="FU957">
        <f>IF(ISBLANK('Data Entry'!$ñ$957), "", 'Data Entry'!$ñ$957)</f>
      </c>
      <c r="FV957">
        <f>IF(ISBLANK('Data Entry'!$ò$957), "", 'Data Entry'!$ò$957)</f>
      </c>
      <c r="FW957">
        <f>IF(ISBLANK('Data Entry'!$ó$957), "", 'Data Entry'!$ó$957)</f>
      </c>
      <c r="FX957">
        <f>IF(ISBLANK('Data Entry'!$ô$957), "", 'Data Entry'!$ô$957)</f>
      </c>
      <c r="FY957">
        <f>IF(ISBLANK('Data Entry'!$õ$957), "", 'Data Entry'!$õ$957)</f>
      </c>
      <c r="FZ957">
        <f>IF(ISBLANK('Data Entry'!$ö$957), "", 'Data Entry'!$ö$957)</f>
      </c>
      <c r="GA957">
        <f>IF(ISBLANK('Data Entry'!$÷$957), "", 'Data Entry'!$÷$957)</f>
      </c>
      <c r="GB957">
        <f>IF(ISBLANK('Data Entry'!$ø$957), "", 'Data Entry'!$ø$957)</f>
      </c>
      <c r="GC957">
        <f>IF(ISBLANK('Data Entry'!$ù$957), "", 'Data Entry'!$ù$957)</f>
      </c>
      <c r="GD957">
        <f>IF(ISBLANK('Data Entry'!$ú$957), "", 'Data Entry'!$ú$957)</f>
      </c>
      <c r="GE957">
        <f>IF(ISBLANK('Data Entry'!$û$957), "", 'Data Entry'!$û$957)</f>
      </c>
      <c r="GF957">
        <f>IF(ISBLANK('Data Entry'!$ü$957), "", 'Data Entry'!$ü$957)</f>
      </c>
      <c r="GG957">
        <f>IF(ISBLANK('Data Entry'!$ý$957), "", 'Data Entry'!$ý$957)</f>
      </c>
      <c r="GH957">
        <f>IF(ISBLANK('Data Entry'!$þ$957), "", 'Data Entry'!$þ$957)</f>
      </c>
      <c r="GI957">
        <f>IF(ISBLANK('Data Entry'!$ÿ$957), "", 'Data Entry'!$ÿ$957)</f>
      </c>
      <c r="GJ957">
        <f>IF(ISBLANK('Data Entry'!$Ā$957), "", 'Data Entry'!$Ā$957)</f>
      </c>
      <c r="GK957">
        <f>IF(ISBLANK('Data Entry'!$ā$957), "", 'Data Entry'!$ā$957)</f>
      </c>
      <c r="GL957">
        <f>IF(ISBLANK('Data Entry'!$Ă$957), "", 'Data Entry'!$Ă$957)</f>
      </c>
      <c r="GM957">
        <f>IF(ISBLANK('Data Entry'!$ă$957), "", 'Data Entry'!$ă$957)</f>
      </c>
      <c r="GN957">
        <f>IF(ISBLANK('Data Entry'!$Ą$957), "", 'Data Entry'!$Ą$957)</f>
      </c>
      <c r="GO957">
        <f>IF(ISBLANK('Data Entry'!$ą$957), "", 'Data Entry'!$ą$957)</f>
      </c>
      <c r="GP957">
        <f>IF(ISBLANK('Data Entry'!$Ć$957), "", 'Data Entry'!$Ć$957)</f>
      </c>
      <c r="GQ957">
        <f>IF(ISBLANK('Data Entry'!$ć$957), "", 'Data Entry'!$ć$957)</f>
      </c>
      <c r="GR957">
        <f>IF(ISBLANK('Data Entry'!$Ĉ$957), "", 'Data Entry'!$Ĉ$957)</f>
      </c>
      <c r="GS957">
        <f>IF(ISBLANK('Data Entry'!$ĉ$957), "", 'Data Entry'!$ĉ$957)</f>
      </c>
      <c r="GT957">
        <f>IF(ISBLANK('Data Entry'!$Ċ$957), "", 'Data Entry'!$Ċ$957)</f>
      </c>
      <c r="GU957">
        <f>IF(ISBLANK('Data Entry'!$ċ$957), "", 'Data Entry'!$ċ$957)</f>
      </c>
      <c r="GV957">
        <f>IF(ISBLANK('Data Entry'!$Č$957), "", 'Data Entry'!$Č$957)</f>
      </c>
      <c r="GW957">
        <f>IF(ISBLANK('Data Entry'!$č$957), "", 'Data Entry'!$č$957)</f>
      </c>
      <c r="GX957">
        <f>IF(ISBLANK('Data Entry'!$Ď$957), "", 'Data Entry'!$Ď$957)</f>
      </c>
      <c r="GY957">
        <f>IF(ISBLANK('Data Entry'!$ď$957), "", 'Data Entry'!$ď$957)</f>
      </c>
      <c r="GZ957">
        <f>IF(ISBLANK('Data Entry'!$Đ$957), "", 'Data Entry'!$Đ$957)</f>
      </c>
      <c r="HA957">
        <f>IF(ISBLANK('Data Entry'!$đ$957), "", 'Data Entry'!$đ$957)</f>
      </c>
      <c r="HB957">
        <f>IF(ISBLANK('Data Entry'!$Ē$957), "", 'Data Entry'!$Ē$957)</f>
      </c>
      <c r="HC957">
        <f>IF(ISBLANK('Data Entry'!$ē$957), "", 'Data Entry'!$ē$957)</f>
      </c>
      <c r="HD957">
        <f>IF(ISBLANK('Data Entry'!$Ĕ$957), "", 'Data Entry'!$Ĕ$957)</f>
      </c>
      <c r="HE957">
        <f>IF(ISBLANK('Data Entry'!$ĕ$957), "", 'Data Entry'!$ĕ$957)</f>
      </c>
      <c r="HF957">
        <f>IF(ISBLANK('Data Entry'!$Ė$957), "", 'Data Entry'!$Ė$957)</f>
      </c>
      <c r="HG957">
        <f>IF(ISBLANK('Data Entry'!$ė$957), "", 'Data Entry'!$ė$957)</f>
      </c>
      <c r="HH957">
        <f>IF(ISBLANK('Data Entry'!$Ę$957), "", 'Data Entry'!$Ę$957)</f>
      </c>
      <c r="HI957">
        <f>IF(ISBLANK('Data Entry'!$ę$957), "", 'Data Entry'!$ę$957)</f>
      </c>
      <c r="HJ957">
        <f>IF(ISBLANK('Data Entry'!$Ě$957), "", 'Data Entry'!$Ě$957)</f>
      </c>
      <c r="HK957">
        <f>IF(ISBLANK('Data Entry'!$ě$957), "", 'Data Entry'!$ě$957)</f>
      </c>
      <c r="HL957">
        <f>IF(ISBLANK('Data Entry'!$Ĝ$957), "", 'Data Entry'!$Ĝ$957)</f>
      </c>
      <c r="HM957">
        <f>IF(ISBLANK('Data Entry'!$ĝ$957), "", 'Data Entry'!$ĝ$957)</f>
      </c>
      <c r="HN957">
        <f>IF(ISBLANK('Data Entry'!$Ğ$957), "", 'Data Entry'!$Ğ$957)</f>
      </c>
      <c r="HO957">
        <f>IF(ISBLANK('Data Entry'!$ğ$957), "", 'Data Entry'!$ğ$957)</f>
      </c>
      <c r="HP957">
        <f>IF(ISBLANK('Data Entry'!$Ġ$957), "", 'Data Entry'!$Ġ$957)</f>
      </c>
      <c r="HQ957">
        <f>IF(ISBLANK('Data Entry'!$ġ$957), "", 'Data Entry'!$ġ$957)</f>
      </c>
      <c r="HR957">
        <f>IF(ISBLANK('Data Entry'!$Ģ$957), "", 'Data Entry'!$Ģ$957)</f>
      </c>
      <c r="HS957">
        <f>IF(ISBLANK('Data Entry'!$ģ$957), "", 'Data Entry'!$ģ$957)</f>
      </c>
      <c r="HT957">
        <f>IF(ISBLANK('Data Entry'!$Ĥ$957), "", 'Data Entry'!$Ĥ$957)</f>
      </c>
      <c r="HU957">
        <f>IF(ISBLANK('Data Entry'!$ĥ$957), "", 'Data Entry'!$ĥ$957)</f>
      </c>
      <c r="HV957">
        <f>IF(ISBLANK('Data Entry'!$Ħ$957), "", 'Data Entry'!$Ħ$957)</f>
      </c>
      <c r="HW957">
        <f>IF(ISBLANK('Data Entry'!$ħ$957), "", 'Data Entry'!$ħ$957)</f>
      </c>
      <c r="HX957">
        <f>IF(ISBLANK('Data Entry'!$Ĩ$957), "", 'Data Entry'!$Ĩ$957)</f>
      </c>
      <c r="HY957">
        <f>IF(ISBLANK('Data Entry'!$ĩ$957), "", 'Data Entry'!$ĩ$957)</f>
      </c>
      <c r="HZ957">
        <f>IF(ISBLANK('Data Entry'!$Ī$957), "", 'Data Entry'!$Ī$957)</f>
      </c>
      <c r="IA957">
        <f>IF(ISBLANK('Data Entry'!$ī$957), "", 'Data Entry'!$ī$957)</f>
      </c>
      <c r="IB957">
        <f>IF(ISBLANK('Data Entry'!$Ĭ$957), "", 'Data Entry'!$Ĭ$957)</f>
      </c>
      <c r="IC957">
        <f>IF(ISBLANK('Data Entry'!$ĭ$957), "", 'Data Entry'!$ĭ$957)</f>
      </c>
      <c r="ID957">
        <f>IF(ISBLANK('Data Entry'!$Į$957), "", 'Data Entry'!$Į$957)</f>
      </c>
      <c r="IE957">
        <f>IF(ISBLANK('Data Entry'!$į$957), "", 'Data Entry'!$į$957)</f>
      </c>
      <c r="IF957">
        <f>IF(ISBLANK('Data Entry'!$İ$957), "", 'Data Entry'!$İ$957)</f>
      </c>
      <c r="IG957">
        <f>IF(ISBLANK('Data Entry'!$ı$957), "", 'Data Entry'!$ı$957)</f>
      </c>
      <c r="IH957">
        <f>IF(ISBLANK('Data Entry'!$Ĳ$957), "", 'Data Entry'!$Ĳ$957)</f>
      </c>
      <c r="II957">
        <f>IF(ISBLANK('Data Entry'!$ĳ$957), "", 'Data Entry'!$ĳ$957)</f>
      </c>
      <c r="IJ957">
        <f>IF(ISBLANK('Data Entry'!$Ĵ$957), "", 'Data Entry'!$Ĵ$957)</f>
      </c>
      <c r="IK957">
        <f>IF(ISBLANK('Data Entry'!$ĵ$957), "", 'Data Entry'!$ĵ$957)</f>
      </c>
      <c r="IL957">
        <f>IF(ISBLANK('Data Entry'!$Ķ$957), "", 'Data Entry'!$Ķ$957)</f>
      </c>
      <c r="IM957">
        <f>IF(ISBLANK('Data Entry'!$ķ$957), "", 'Data Entry'!$ķ$957)</f>
      </c>
      <c r="IN957">
        <f>IF(ISBLANK('Data Entry'!$ĸ$957), "", 'Data Entry'!$ĸ$957)</f>
      </c>
      <c r="IO957">
        <f>IF(ISBLANK('Data Entry'!$Ĺ$957), "", 'Data Entry'!$Ĺ$957)</f>
      </c>
      <c r="IP957">
        <f>IF(ISBLANK('Data Entry'!$ĺ$957), "", 'Data Entry'!$ĺ$957)</f>
      </c>
      <c r="IQ957">
        <f>IF(ISBLANK('Data Entry'!$Ļ$957), "", 'Data Entry'!$Ļ$957)</f>
      </c>
      <c r="IR957">
        <f>IF(ISBLANK('Data Entry'!$ļ$957), "", 'Data Entry'!$ļ$957)</f>
      </c>
      <c r="IS957">
        <f>IF(ISBLANK('Data Entry'!$Ľ$957), "", 'Data Entry'!$Ľ$957)</f>
      </c>
      <c r="IT957">
        <f>IF(ISBLANK('Data Entry'!$ľ$957), "", 'Data Entry'!$ľ$957)</f>
      </c>
    </row>
    <row r="958" spans="1:254" x14ac:dyDescent="0.25">
      <c r="A958">
        <f>IF(ISBLANK('Data Entry'!$A$958), "", 'Data Entry'!$A$958)</f>
      </c>
      <c r="B958">
        <f>IF(ISBLANK('Data Entry'!$B$958), "", 'Data Entry'!$B$958)</f>
      </c>
      <c r="C958">
        <f>IF(ISBLANK('Data Entry'!$C$958), "", 'Data Entry'!$C$958)</f>
      </c>
      <c r="D958">
        <f>IF(ISBLANK('Data Entry'!$D$958), "", 'Data Entry'!$D$958)</f>
      </c>
      <c r="E958">
        <f>IF(ISBLANK('Data Entry'!$E$958), "", 'Data Entry'!$E$958)</f>
      </c>
      <c r="F958">
        <f>IF(ISBLANK('Data Entry'!$F$958), "", 'Data Entry'!$F$958)</f>
      </c>
      <c r="G958">
        <f>IF(ISBLANK('Data Entry'!$G$958), "", 'Data Entry'!$G$958)</f>
      </c>
      <c r="H958">
        <f>IF(ISBLANK('Data Entry'!$H$958), "", 'Data Entry'!$H$958)</f>
      </c>
      <c r="I958">
        <f>IF(ISBLANK('Data Entry'!$I$958), "", 'Data Entry'!$I$958)</f>
      </c>
      <c r="J958">
        <f>IF(ISBLANK('Data Entry'!$J$958), "", 'Data Entry'!$J$958)</f>
      </c>
      <c r="K958">
        <f>IF(ISBLANK('Data Entry'!$K$958), "", 'Data Entry'!$K$958)</f>
      </c>
      <c r="L958">
        <f>IF(ISBLANK('Data Entry'!$L$958), "", 'Data Entry'!$L$958)</f>
      </c>
      <c r="M958">
        <f>IF(ISBLANK('Data Entry'!$M$958), "", 'Data Entry'!$M$958)</f>
      </c>
      <c r="N958">
        <f>IF(ISBLANK('Data Entry'!$N$958), "", 'Data Entry'!$N$958)</f>
      </c>
      <c r="O958">
        <f>IF(ISBLANK('Data Entry'!$O$958), "", 'Data Entry'!$O$958)</f>
      </c>
      <c r="P958">
        <f>IF(ISBLANK('Data Entry'!$P$958), "", 'Data Entry'!$P$958)</f>
      </c>
      <c r="Q958">
        <f>IF(ISBLANK('Data Entry'!$Q$958), "", 'Data Entry'!$Q$958)</f>
      </c>
      <c r="R958">
        <f>IF(ISBLANK('Data Entry'!$R$958), "", 'Data Entry'!$R$958)</f>
      </c>
      <c r="S958">
        <f>IF(ISBLANK('Data Entry'!$S$958), "", 'Data Entry'!$S$958)</f>
      </c>
      <c r="T958">
        <f>IF(ISBLANK('Data Entry'!$T$958), "", 'Data Entry'!$T$958)</f>
      </c>
      <c r="U958">
        <f>IF(ISBLANK('Data Entry'!$U$958), "", 'Data Entry'!$U$958)</f>
      </c>
      <c r="V958">
        <f>IF(ISBLANK('Data Entry'!$V$958), "", 'Data Entry'!$V$958)</f>
      </c>
      <c r="W958">
        <f>IF(ISBLANK('Data Entry'!$W$958), "", 'Data Entry'!$W$958)</f>
      </c>
      <c r="X958">
        <f>IF(ISBLANK('Data Entry'!$X$958), "", 'Data Entry'!$X$958)</f>
      </c>
      <c r="Y958">
        <f>IF(ISBLANK('Data Entry'!$Y$958), "", 'Data Entry'!$Y$958)</f>
      </c>
      <c r="Z958">
        <f>IF(ISBLANK('Data Entry'!$Z$958), "", 'Data Entry'!$Z$958)</f>
      </c>
      <c r="AA958">
        <f>IF(ISBLANK('Data Entry'!$[$958), "", 'Data Entry'!$[$958)</f>
      </c>
      <c r="AB958">
        <f>IF(ISBLANK('Data Entry'!$\$958), "", 'Data Entry'!$\$958)</f>
      </c>
      <c r="AC958">
        <f>IF(ISBLANK('Data Entry'!$]$958), "", 'Data Entry'!$]$958)</f>
      </c>
      <c r="AD958">
        <f>IF(ISBLANK('Data Entry'!$^$958), "", 'Data Entry'!$^$958)</f>
      </c>
      <c r="AE958">
        <f>IF(ISBLANK('Data Entry'!$_$958), "", 'Data Entry'!$_$958)</f>
      </c>
      <c r="AF958">
        <f>IF(ISBLANK('Data Entry'!$`$958), "", 'Data Entry'!$`$958)</f>
      </c>
      <c r="AG958">
        <f>IF(ISBLANK('Data Entry'!$a$958), "", 'Data Entry'!$a$958)</f>
      </c>
      <c r="AH958">
        <f>IF(ISBLANK('Data Entry'!$b$958), "", 'Data Entry'!$b$958)</f>
      </c>
      <c r="AI958">
        <f>IF(ISBLANK('Data Entry'!$c$958), "", 'Data Entry'!$c$958)</f>
      </c>
      <c r="AJ958">
        <f>IF(ISBLANK('Data Entry'!$d$958), "", 'Data Entry'!$d$958)</f>
      </c>
      <c r="AK958">
        <f>IF(ISBLANK('Data Entry'!$e$958), "", 'Data Entry'!$e$958)</f>
      </c>
      <c r="AL958">
        <f>IF(ISBLANK('Data Entry'!$f$958), "", 'Data Entry'!$f$958)</f>
      </c>
      <c r="AM958">
        <f>IF(ISBLANK('Data Entry'!$g$958), "", 'Data Entry'!$g$958)</f>
      </c>
      <c r="AN958">
        <f>IF(ISBLANK('Data Entry'!$h$958), "", 'Data Entry'!$h$958)</f>
      </c>
      <c r="AO958">
        <f>IF(ISBLANK('Data Entry'!$i$958), "", 'Data Entry'!$i$958)</f>
      </c>
      <c r="AP958">
        <f>IF(ISBLANK('Data Entry'!$j$958), "", 'Data Entry'!$j$958)</f>
      </c>
      <c r="AQ958">
        <f>IF(ISBLANK('Data Entry'!$k$958), "", 'Data Entry'!$k$958)</f>
      </c>
      <c r="AR958">
        <f>IF(ISBLANK('Data Entry'!$l$958), "", 'Data Entry'!$l$958)</f>
      </c>
      <c r="AS958">
        <f>IF(ISBLANK('Data Entry'!$m$958), "", 'Data Entry'!$m$958)</f>
      </c>
      <c r="AT958">
        <f>IF(ISBLANK('Data Entry'!$n$958), "", 'Data Entry'!$n$958)</f>
      </c>
      <c r="AU958">
        <f>IF(ISBLANK('Data Entry'!$o$958), "", 'Data Entry'!$o$958)</f>
      </c>
      <c r="AV958">
        <f>IF(ISBLANK('Data Entry'!$p$958), "", 'Data Entry'!$p$958)</f>
      </c>
      <c r="AW958">
        <f>IF(ISBLANK('Data Entry'!$q$958), "", 'Data Entry'!$q$958)</f>
      </c>
      <c r="AX958">
        <f>IF(ISBLANK('Data Entry'!$r$958), "", 'Data Entry'!$r$958)</f>
      </c>
      <c r="AY958">
        <f>IF(ISBLANK('Data Entry'!$s$958), "", 'Data Entry'!$s$958)</f>
      </c>
      <c r="AZ958">
        <f>IF(ISBLANK('Data Entry'!$t$958), "", 'Data Entry'!$t$958)</f>
      </c>
      <c r="BA958">
        <f>IF(ISBLANK('Data Entry'!$u$958), "", 'Data Entry'!$u$958)</f>
      </c>
      <c r="BB958">
        <f>IF(ISBLANK('Data Entry'!$v$958), "", 'Data Entry'!$v$958)</f>
      </c>
      <c r="BC958">
        <f>IF(ISBLANK('Data Entry'!$w$958), "", 'Data Entry'!$w$958)</f>
      </c>
      <c r="BD958">
        <f>IF(ISBLANK('Data Entry'!$x$958), "", 'Data Entry'!$x$958)</f>
      </c>
      <c r="BE958">
        <f>IF(ISBLANK('Data Entry'!$y$958), "", 'Data Entry'!$y$958)</f>
      </c>
      <c r="BF958">
        <f>IF(ISBLANK('Data Entry'!$z$958), "", 'Data Entry'!$z$958)</f>
      </c>
      <c r="BG958">
        <f>IF(ISBLANK('Data Entry'!${$958), "", 'Data Entry'!${$958)</f>
      </c>
      <c r="BH958">
        <f>IF(ISBLANK('Data Entry'!$|$958), "", 'Data Entry'!$|$958)</f>
      </c>
      <c r="BI958">
        <f>IF(ISBLANK('Data Entry'!$}$958), "", 'Data Entry'!$}$958)</f>
      </c>
      <c r="BJ958">
        <f>IF(ISBLANK('Data Entry'!$~$958), "", 'Data Entry'!$~$958)</f>
      </c>
      <c r="BK958">
        <f>IF(ISBLANK('Data Entry'!$$958), "", 'Data Entry'!$$958)</f>
      </c>
      <c r="BL958">
        <f>IF(ISBLANK('Data Entry'!$$958), "", 'Data Entry'!$$958)</f>
      </c>
      <c r="BM958">
        <f>IF(ISBLANK('Data Entry'!$$958), "", 'Data Entry'!$$958)</f>
      </c>
      <c r="BN958">
        <f>IF(ISBLANK('Data Entry'!$$958), "", 'Data Entry'!$$958)</f>
      </c>
      <c r="BO958">
        <f>IF(ISBLANK('Data Entry'!$$958), "", 'Data Entry'!$$958)</f>
      </c>
      <c r="BP958">
        <f>IF(ISBLANK('Data Entry'!$$958), "", 'Data Entry'!$$958)</f>
      </c>
      <c r="BQ958">
        <f>IF(ISBLANK('Data Entry'!$$958), "", 'Data Entry'!$$958)</f>
      </c>
      <c r="BR958">
        <f>IF(ISBLANK('Data Entry'!$$958), "", 'Data Entry'!$$958)</f>
      </c>
      <c r="BS958">
        <f>IF(ISBLANK('Data Entry'!$$958), "", 'Data Entry'!$$958)</f>
      </c>
      <c r="BT958">
        <f>IF(ISBLANK('Data Entry'!$$958), "", 'Data Entry'!$$958)</f>
      </c>
      <c r="BU958">
        <f>IF(ISBLANK('Data Entry'!$$958), "", 'Data Entry'!$$958)</f>
      </c>
      <c r="BV958">
        <f>IF(ISBLANK('Data Entry'!$$958), "", 'Data Entry'!$$958)</f>
      </c>
      <c r="BW958">
        <f>IF(ISBLANK('Data Entry'!$$958), "", 'Data Entry'!$$958)</f>
      </c>
      <c r="BX958">
        <f>IF(ISBLANK('Data Entry'!$$958), "", 'Data Entry'!$$958)</f>
      </c>
      <c r="BY958">
        <f>IF(ISBLANK('Data Entry'!$$958), "", 'Data Entry'!$$958)</f>
      </c>
      <c r="BZ958">
        <f>IF(ISBLANK('Data Entry'!$$958), "", 'Data Entry'!$$958)</f>
      </c>
      <c r="CA958">
        <f>IF(ISBLANK('Data Entry'!$$958), "", 'Data Entry'!$$958)</f>
      </c>
      <c r="CB958">
        <f>IF(ISBLANK('Data Entry'!$$958), "", 'Data Entry'!$$958)</f>
      </c>
      <c r="CC958">
        <f>IF(ISBLANK('Data Entry'!$$958), "", 'Data Entry'!$$958)</f>
      </c>
      <c r="CD958">
        <f>IF(ISBLANK('Data Entry'!$$958), "", 'Data Entry'!$$958)</f>
      </c>
      <c r="CE958">
        <f>IF(ISBLANK('Data Entry'!$$958), "", 'Data Entry'!$$958)</f>
      </c>
      <c r="CF958">
        <f>IF(ISBLANK('Data Entry'!$$958), "", 'Data Entry'!$$958)</f>
      </c>
      <c r="CG958">
        <f>IF(ISBLANK('Data Entry'!$$958), "", 'Data Entry'!$$958)</f>
      </c>
      <c r="CH958">
        <f>IF(ISBLANK('Data Entry'!$$958), "", 'Data Entry'!$$958)</f>
      </c>
      <c r="CI958">
        <f>IF(ISBLANK('Data Entry'!$$958), "", 'Data Entry'!$$958)</f>
      </c>
      <c r="CJ958">
        <f>IF(ISBLANK('Data Entry'!$$958), "", 'Data Entry'!$$958)</f>
      </c>
      <c r="CK958">
        <f>IF(ISBLANK('Data Entry'!$$958), "", 'Data Entry'!$$958)</f>
      </c>
      <c r="CL958">
        <f>IF(ISBLANK('Data Entry'!$$958), "", 'Data Entry'!$$958)</f>
      </c>
      <c r="CM958">
        <f>IF(ISBLANK('Data Entry'!$$958), "", 'Data Entry'!$$958)</f>
      </c>
      <c r="CN958">
        <f>IF(ISBLANK('Data Entry'!$$958), "", 'Data Entry'!$$958)</f>
      </c>
      <c r="CO958">
        <f>IF(ISBLANK('Data Entry'!$$958), "", 'Data Entry'!$$958)</f>
      </c>
      <c r="CP958">
        <f>IF(ISBLANK('Data Entry'!$$958), "", 'Data Entry'!$$958)</f>
      </c>
      <c r="CQ958">
        <f>IF(ISBLANK('Data Entry'!$$958), "", 'Data Entry'!$$958)</f>
      </c>
      <c r="CR958">
        <f>IF(ISBLANK('Data Entry'!$ $958), "", 'Data Entry'!$ $958)</f>
      </c>
      <c r="CS958">
        <f>IF(ISBLANK('Data Entry'!$¡$958), "", 'Data Entry'!$¡$958)</f>
      </c>
      <c r="CT958">
        <f>IF(ISBLANK('Data Entry'!$¢$958), "", 'Data Entry'!$¢$958)</f>
      </c>
      <c r="CU958">
        <f>IF(ISBLANK('Data Entry'!$£$958), "", 'Data Entry'!$£$958)</f>
      </c>
      <c r="CV958">
        <f>IF(ISBLANK('Data Entry'!$¤$958), "", 'Data Entry'!$¤$958)</f>
      </c>
      <c r="CW958">
        <f>IF(ISBLANK('Data Entry'!$¥$958), "", 'Data Entry'!$¥$958)</f>
      </c>
      <c r="CX958">
        <f>IF(ISBLANK('Data Entry'!$¦$958), "", 'Data Entry'!$¦$958)</f>
      </c>
      <c r="CY958">
        <f>IF(ISBLANK('Data Entry'!$§$958), "", 'Data Entry'!$§$958)</f>
      </c>
      <c r="CZ958">
        <f>IF(ISBLANK('Data Entry'!$¨$958), "", 'Data Entry'!$¨$958)</f>
      </c>
      <c r="DA958">
        <f>IF(ISBLANK('Data Entry'!$©$958), "", 'Data Entry'!$©$958)</f>
      </c>
      <c r="DB958">
        <f>IF(ISBLANK('Data Entry'!$ª$958), "", 'Data Entry'!$ª$958)</f>
      </c>
      <c r="DC958">
        <f>IF(ISBLANK('Data Entry'!$«$958), "", 'Data Entry'!$«$958)</f>
      </c>
      <c r="DD958">
        <f>IF(ISBLANK('Data Entry'!$¬$958), "", 'Data Entry'!$¬$958)</f>
      </c>
      <c r="DE958">
        <f>IF(ISBLANK('Data Entry'!$­$958), "", 'Data Entry'!$­$958)</f>
      </c>
      <c r="DF958">
        <f>IF(ISBLANK('Data Entry'!$®$958), "", 'Data Entry'!$®$958)</f>
      </c>
      <c r="DG958">
        <f>IF(ISBLANK('Data Entry'!$¯$958), "", 'Data Entry'!$¯$958)</f>
      </c>
      <c r="DH958">
        <f>IF(ISBLANK('Data Entry'!$°$958), "", 'Data Entry'!$°$958)</f>
      </c>
      <c r="DI958">
        <f>IF(ISBLANK('Data Entry'!$±$958), "", 'Data Entry'!$±$958)</f>
      </c>
      <c r="DJ958">
        <f>IF(ISBLANK('Data Entry'!$²$958), "", 'Data Entry'!$²$958)</f>
      </c>
      <c r="DK958">
        <f>IF(ISBLANK('Data Entry'!$³$958), "", 'Data Entry'!$³$958)</f>
      </c>
      <c r="DL958">
        <f>IF(ISBLANK('Data Entry'!$´$958), "", 'Data Entry'!$´$958)</f>
      </c>
      <c r="DM958">
        <f>IF(ISBLANK('Data Entry'!$µ$958), "", 'Data Entry'!$µ$958)</f>
      </c>
      <c r="DN958">
        <f>IF(ISBLANK('Data Entry'!$¶$958), "", 'Data Entry'!$¶$958)</f>
      </c>
      <c r="DO958">
        <f>IF(ISBLANK('Data Entry'!$·$958), "", 'Data Entry'!$·$958)</f>
      </c>
      <c r="DP958">
        <f>IF(ISBLANK('Data Entry'!$¸$958), "", 'Data Entry'!$¸$958)</f>
      </c>
      <c r="DQ958">
        <f>IF(ISBLANK('Data Entry'!$¹$958), "", 'Data Entry'!$¹$958)</f>
      </c>
      <c r="DR958">
        <f>IF(ISBLANK('Data Entry'!$º$958), "", 'Data Entry'!$º$958)</f>
      </c>
      <c r="DS958">
        <f>IF(ISBLANK('Data Entry'!$»$958), "", 'Data Entry'!$»$958)</f>
      </c>
      <c r="DT958">
        <f>IF(ISBLANK('Data Entry'!$¼$958), "", 'Data Entry'!$¼$958)</f>
      </c>
      <c r="DU958">
        <f>IF(ISBLANK('Data Entry'!$½$958), "", 'Data Entry'!$½$958)</f>
      </c>
      <c r="DV958">
        <f>IF(ISBLANK('Data Entry'!$¾$958), "", 'Data Entry'!$¾$958)</f>
      </c>
      <c r="DW958">
        <f>IF(ISBLANK('Data Entry'!$¿$958), "", 'Data Entry'!$¿$958)</f>
      </c>
      <c r="DX958">
        <f>IF(ISBLANK('Data Entry'!$À$958), "", 'Data Entry'!$À$958)</f>
      </c>
      <c r="DY958">
        <f>IF(ISBLANK('Data Entry'!$Á$958), "", 'Data Entry'!$Á$958)</f>
      </c>
      <c r="DZ958">
        <f>IF(ISBLANK('Data Entry'!$Â$958), "", 'Data Entry'!$Â$958)</f>
      </c>
      <c r="EA958">
        <f>IF(ISBLANK('Data Entry'!$Ã$958), "", 'Data Entry'!$Ã$958)</f>
      </c>
      <c r="EB958">
        <f>IF(ISBLANK('Data Entry'!$Ä$958), "", 'Data Entry'!$Ä$958)</f>
      </c>
      <c r="EC958">
        <f>IF(ISBLANK('Data Entry'!$Å$958), "", 'Data Entry'!$Å$958)</f>
      </c>
      <c r="ED958">
        <f>IF(ISBLANK('Data Entry'!$Æ$958), "", 'Data Entry'!$Æ$958)</f>
      </c>
      <c r="EE958">
        <f>IF(ISBLANK('Data Entry'!$Ç$958), "", 'Data Entry'!$Ç$958)</f>
      </c>
      <c r="EF958">
        <f>IF(ISBLANK('Data Entry'!$È$958), "", 'Data Entry'!$È$958)</f>
      </c>
      <c r="EG958">
        <f>IF(ISBLANK('Data Entry'!$É$958), "", 'Data Entry'!$É$958)</f>
      </c>
      <c r="EH958">
        <f>IF(ISBLANK('Data Entry'!$Ê$958), "", 'Data Entry'!$Ê$958)</f>
      </c>
      <c r="EI958">
        <f>IF(ISBLANK('Data Entry'!$Ë$958), "", 'Data Entry'!$Ë$958)</f>
      </c>
      <c r="EJ958">
        <f>IF(ISBLANK('Data Entry'!$Ì$958), "", 'Data Entry'!$Ì$958)</f>
      </c>
      <c r="EK958">
        <f>IF(ISBLANK('Data Entry'!$Í$958), "", 'Data Entry'!$Í$958)</f>
      </c>
      <c r="EL958">
        <f>IF(ISBLANK('Data Entry'!$Î$958), "", 'Data Entry'!$Î$958)</f>
      </c>
      <c r="EM958">
        <f>IF(ISBLANK('Data Entry'!$Ï$958), "", 'Data Entry'!$Ï$958)</f>
      </c>
      <c r="EN958">
        <f>IF(ISBLANK('Data Entry'!$Ð$958), "", 'Data Entry'!$Ð$958)</f>
      </c>
      <c r="EO958">
        <f>IF(ISBLANK('Data Entry'!$Ñ$958), "", 'Data Entry'!$Ñ$958)</f>
      </c>
      <c r="EP958">
        <f>IF(ISBLANK('Data Entry'!$Ò$958), "", 'Data Entry'!$Ò$958)</f>
      </c>
      <c r="EQ958">
        <f>IF(ISBLANK('Data Entry'!$Ó$958), "", 'Data Entry'!$Ó$958)</f>
      </c>
      <c r="ER958">
        <f>IF(ISBLANK('Data Entry'!$Ô$958), "", 'Data Entry'!$Ô$958)</f>
      </c>
      <c r="ES958">
        <f>IF(ISBLANK('Data Entry'!$Õ$958), "", 'Data Entry'!$Õ$958)</f>
      </c>
      <c r="ET958">
        <f>IF(ISBLANK('Data Entry'!$Ö$958), "", 'Data Entry'!$Ö$958)</f>
      </c>
      <c r="EU958">
        <f>IF(ISBLANK('Data Entry'!$×$958), "", 'Data Entry'!$×$958)</f>
      </c>
      <c r="EV958">
        <f>IF(ISBLANK('Data Entry'!$Ø$958), "", 'Data Entry'!$Ø$958)</f>
      </c>
      <c r="EW958">
        <f>IF(ISBLANK('Data Entry'!$Ù$958), "", 'Data Entry'!$Ù$958)</f>
      </c>
      <c r="EX958">
        <f>IF(ISBLANK('Data Entry'!$Ú$958), "", 'Data Entry'!$Ú$958)</f>
      </c>
      <c r="EY958">
        <f>IF(ISBLANK('Data Entry'!$Û$958), "", 'Data Entry'!$Û$958)</f>
      </c>
      <c r="EZ958">
        <f>IF(ISBLANK('Data Entry'!$Ü$958), "", 'Data Entry'!$Ü$958)</f>
      </c>
      <c r="FA958">
        <f>IF(ISBLANK('Data Entry'!$Ý$958), "", 'Data Entry'!$Ý$958)</f>
      </c>
      <c r="FB958">
        <f>IF(ISBLANK('Data Entry'!$Þ$958), "", 'Data Entry'!$Þ$958)</f>
      </c>
      <c r="FC958">
        <f>IF(ISBLANK('Data Entry'!$ß$958), "", 'Data Entry'!$ß$958)</f>
      </c>
      <c r="FD958">
        <f>IF(ISBLANK('Data Entry'!$à$958), "", 'Data Entry'!$à$958)</f>
      </c>
      <c r="FE958">
        <f>IF(ISBLANK('Data Entry'!$á$958), "", 'Data Entry'!$á$958)</f>
      </c>
      <c r="FF958">
        <f>IF(ISBLANK('Data Entry'!$â$958), "", 'Data Entry'!$â$958)</f>
      </c>
      <c r="FG958">
        <f>IF(ISBLANK('Data Entry'!$ã$958), "", 'Data Entry'!$ã$958)</f>
      </c>
      <c r="FH958">
        <f>IF(ISBLANK('Data Entry'!$ä$958), "", 'Data Entry'!$ä$958)</f>
      </c>
      <c r="FI958">
        <f>IF(ISBLANK('Data Entry'!$å$958), "", 'Data Entry'!$å$958)</f>
      </c>
      <c r="FJ958">
        <f>IF(ISBLANK('Data Entry'!$æ$958), "", 'Data Entry'!$æ$958)</f>
      </c>
      <c r="FK958">
        <f>IF(ISBLANK('Data Entry'!$ç$958), "", 'Data Entry'!$ç$958)</f>
      </c>
      <c r="FL958">
        <f>IF(ISBLANK('Data Entry'!$è$958), "", 'Data Entry'!$è$958)</f>
      </c>
      <c r="FM958">
        <f>IF(ISBLANK('Data Entry'!$é$958), "", 'Data Entry'!$é$958)</f>
      </c>
      <c r="FN958">
        <f>IF(ISBLANK('Data Entry'!$ê$958), "", 'Data Entry'!$ê$958)</f>
      </c>
      <c r="FO958">
        <f>IF(ISBLANK('Data Entry'!$ë$958), "", 'Data Entry'!$ë$958)</f>
      </c>
      <c r="FP958">
        <f>IF(ISBLANK('Data Entry'!$ì$958), "", 'Data Entry'!$ì$958)</f>
      </c>
      <c r="FQ958">
        <f>IF(ISBLANK('Data Entry'!$í$958), "", 'Data Entry'!$í$958)</f>
      </c>
      <c r="FR958">
        <f>IF(ISBLANK('Data Entry'!$î$958), "", 'Data Entry'!$î$958)</f>
      </c>
      <c r="FS958">
        <f>IF(ISBLANK('Data Entry'!$ï$958), "", 'Data Entry'!$ï$958)</f>
      </c>
      <c r="FT958">
        <f>IF(ISBLANK('Data Entry'!$ð$958), "", 'Data Entry'!$ð$958)</f>
      </c>
      <c r="FU958">
        <f>IF(ISBLANK('Data Entry'!$ñ$958), "", 'Data Entry'!$ñ$958)</f>
      </c>
      <c r="FV958">
        <f>IF(ISBLANK('Data Entry'!$ò$958), "", 'Data Entry'!$ò$958)</f>
      </c>
      <c r="FW958">
        <f>IF(ISBLANK('Data Entry'!$ó$958), "", 'Data Entry'!$ó$958)</f>
      </c>
      <c r="FX958">
        <f>IF(ISBLANK('Data Entry'!$ô$958), "", 'Data Entry'!$ô$958)</f>
      </c>
      <c r="FY958">
        <f>IF(ISBLANK('Data Entry'!$õ$958), "", 'Data Entry'!$õ$958)</f>
      </c>
      <c r="FZ958">
        <f>IF(ISBLANK('Data Entry'!$ö$958), "", 'Data Entry'!$ö$958)</f>
      </c>
      <c r="GA958">
        <f>IF(ISBLANK('Data Entry'!$÷$958), "", 'Data Entry'!$÷$958)</f>
      </c>
      <c r="GB958">
        <f>IF(ISBLANK('Data Entry'!$ø$958), "", 'Data Entry'!$ø$958)</f>
      </c>
      <c r="GC958">
        <f>IF(ISBLANK('Data Entry'!$ù$958), "", 'Data Entry'!$ù$958)</f>
      </c>
      <c r="GD958">
        <f>IF(ISBLANK('Data Entry'!$ú$958), "", 'Data Entry'!$ú$958)</f>
      </c>
      <c r="GE958">
        <f>IF(ISBLANK('Data Entry'!$û$958), "", 'Data Entry'!$û$958)</f>
      </c>
      <c r="GF958">
        <f>IF(ISBLANK('Data Entry'!$ü$958), "", 'Data Entry'!$ü$958)</f>
      </c>
      <c r="GG958">
        <f>IF(ISBLANK('Data Entry'!$ý$958), "", 'Data Entry'!$ý$958)</f>
      </c>
      <c r="GH958">
        <f>IF(ISBLANK('Data Entry'!$þ$958), "", 'Data Entry'!$þ$958)</f>
      </c>
      <c r="GI958">
        <f>IF(ISBLANK('Data Entry'!$ÿ$958), "", 'Data Entry'!$ÿ$958)</f>
      </c>
      <c r="GJ958">
        <f>IF(ISBLANK('Data Entry'!$Ā$958), "", 'Data Entry'!$Ā$958)</f>
      </c>
      <c r="GK958">
        <f>IF(ISBLANK('Data Entry'!$ā$958), "", 'Data Entry'!$ā$958)</f>
      </c>
      <c r="GL958">
        <f>IF(ISBLANK('Data Entry'!$Ă$958), "", 'Data Entry'!$Ă$958)</f>
      </c>
      <c r="GM958">
        <f>IF(ISBLANK('Data Entry'!$ă$958), "", 'Data Entry'!$ă$958)</f>
      </c>
      <c r="GN958">
        <f>IF(ISBLANK('Data Entry'!$Ą$958), "", 'Data Entry'!$Ą$958)</f>
      </c>
      <c r="GO958">
        <f>IF(ISBLANK('Data Entry'!$ą$958), "", 'Data Entry'!$ą$958)</f>
      </c>
      <c r="GP958">
        <f>IF(ISBLANK('Data Entry'!$Ć$958), "", 'Data Entry'!$Ć$958)</f>
      </c>
      <c r="GQ958">
        <f>IF(ISBLANK('Data Entry'!$ć$958), "", 'Data Entry'!$ć$958)</f>
      </c>
      <c r="GR958">
        <f>IF(ISBLANK('Data Entry'!$Ĉ$958), "", 'Data Entry'!$Ĉ$958)</f>
      </c>
      <c r="GS958">
        <f>IF(ISBLANK('Data Entry'!$ĉ$958), "", 'Data Entry'!$ĉ$958)</f>
      </c>
      <c r="GT958">
        <f>IF(ISBLANK('Data Entry'!$Ċ$958), "", 'Data Entry'!$Ċ$958)</f>
      </c>
      <c r="GU958">
        <f>IF(ISBLANK('Data Entry'!$ċ$958), "", 'Data Entry'!$ċ$958)</f>
      </c>
      <c r="GV958">
        <f>IF(ISBLANK('Data Entry'!$Č$958), "", 'Data Entry'!$Č$958)</f>
      </c>
      <c r="GW958">
        <f>IF(ISBLANK('Data Entry'!$č$958), "", 'Data Entry'!$č$958)</f>
      </c>
      <c r="GX958">
        <f>IF(ISBLANK('Data Entry'!$Ď$958), "", 'Data Entry'!$Ď$958)</f>
      </c>
      <c r="GY958">
        <f>IF(ISBLANK('Data Entry'!$ď$958), "", 'Data Entry'!$ď$958)</f>
      </c>
      <c r="GZ958">
        <f>IF(ISBLANK('Data Entry'!$Đ$958), "", 'Data Entry'!$Đ$958)</f>
      </c>
      <c r="HA958">
        <f>IF(ISBLANK('Data Entry'!$đ$958), "", 'Data Entry'!$đ$958)</f>
      </c>
      <c r="HB958">
        <f>IF(ISBLANK('Data Entry'!$Ē$958), "", 'Data Entry'!$Ē$958)</f>
      </c>
      <c r="HC958">
        <f>IF(ISBLANK('Data Entry'!$ē$958), "", 'Data Entry'!$ē$958)</f>
      </c>
      <c r="HD958">
        <f>IF(ISBLANK('Data Entry'!$Ĕ$958), "", 'Data Entry'!$Ĕ$958)</f>
      </c>
      <c r="HE958">
        <f>IF(ISBLANK('Data Entry'!$ĕ$958), "", 'Data Entry'!$ĕ$958)</f>
      </c>
      <c r="HF958">
        <f>IF(ISBLANK('Data Entry'!$Ė$958), "", 'Data Entry'!$Ė$958)</f>
      </c>
      <c r="HG958">
        <f>IF(ISBLANK('Data Entry'!$ė$958), "", 'Data Entry'!$ė$958)</f>
      </c>
      <c r="HH958">
        <f>IF(ISBLANK('Data Entry'!$Ę$958), "", 'Data Entry'!$Ę$958)</f>
      </c>
      <c r="HI958">
        <f>IF(ISBLANK('Data Entry'!$ę$958), "", 'Data Entry'!$ę$958)</f>
      </c>
      <c r="HJ958">
        <f>IF(ISBLANK('Data Entry'!$Ě$958), "", 'Data Entry'!$Ě$958)</f>
      </c>
      <c r="HK958">
        <f>IF(ISBLANK('Data Entry'!$ě$958), "", 'Data Entry'!$ě$958)</f>
      </c>
      <c r="HL958">
        <f>IF(ISBLANK('Data Entry'!$Ĝ$958), "", 'Data Entry'!$Ĝ$958)</f>
      </c>
      <c r="HM958">
        <f>IF(ISBLANK('Data Entry'!$ĝ$958), "", 'Data Entry'!$ĝ$958)</f>
      </c>
      <c r="HN958">
        <f>IF(ISBLANK('Data Entry'!$Ğ$958), "", 'Data Entry'!$Ğ$958)</f>
      </c>
      <c r="HO958">
        <f>IF(ISBLANK('Data Entry'!$ğ$958), "", 'Data Entry'!$ğ$958)</f>
      </c>
      <c r="HP958">
        <f>IF(ISBLANK('Data Entry'!$Ġ$958), "", 'Data Entry'!$Ġ$958)</f>
      </c>
      <c r="HQ958">
        <f>IF(ISBLANK('Data Entry'!$ġ$958), "", 'Data Entry'!$ġ$958)</f>
      </c>
      <c r="HR958">
        <f>IF(ISBLANK('Data Entry'!$Ģ$958), "", 'Data Entry'!$Ģ$958)</f>
      </c>
      <c r="HS958">
        <f>IF(ISBLANK('Data Entry'!$ģ$958), "", 'Data Entry'!$ģ$958)</f>
      </c>
      <c r="HT958">
        <f>IF(ISBLANK('Data Entry'!$Ĥ$958), "", 'Data Entry'!$Ĥ$958)</f>
      </c>
      <c r="HU958">
        <f>IF(ISBLANK('Data Entry'!$ĥ$958), "", 'Data Entry'!$ĥ$958)</f>
      </c>
      <c r="HV958">
        <f>IF(ISBLANK('Data Entry'!$Ħ$958), "", 'Data Entry'!$Ħ$958)</f>
      </c>
      <c r="HW958">
        <f>IF(ISBLANK('Data Entry'!$ħ$958), "", 'Data Entry'!$ħ$958)</f>
      </c>
      <c r="HX958">
        <f>IF(ISBLANK('Data Entry'!$Ĩ$958), "", 'Data Entry'!$Ĩ$958)</f>
      </c>
      <c r="HY958">
        <f>IF(ISBLANK('Data Entry'!$ĩ$958), "", 'Data Entry'!$ĩ$958)</f>
      </c>
      <c r="HZ958">
        <f>IF(ISBLANK('Data Entry'!$Ī$958), "", 'Data Entry'!$Ī$958)</f>
      </c>
      <c r="IA958">
        <f>IF(ISBLANK('Data Entry'!$ī$958), "", 'Data Entry'!$ī$958)</f>
      </c>
      <c r="IB958">
        <f>IF(ISBLANK('Data Entry'!$Ĭ$958), "", 'Data Entry'!$Ĭ$958)</f>
      </c>
      <c r="IC958">
        <f>IF(ISBLANK('Data Entry'!$ĭ$958), "", 'Data Entry'!$ĭ$958)</f>
      </c>
      <c r="ID958">
        <f>IF(ISBLANK('Data Entry'!$Į$958), "", 'Data Entry'!$Į$958)</f>
      </c>
      <c r="IE958">
        <f>IF(ISBLANK('Data Entry'!$į$958), "", 'Data Entry'!$į$958)</f>
      </c>
      <c r="IF958">
        <f>IF(ISBLANK('Data Entry'!$İ$958), "", 'Data Entry'!$İ$958)</f>
      </c>
      <c r="IG958">
        <f>IF(ISBLANK('Data Entry'!$ı$958), "", 'Data Entry'!$ı$958)</f>
      </c>
      <c r="IH958">
        <f>IF(ISBLANK('Data Entry'!$Ĳ$958), "", 'Data Entry'!$Ĳ$958)</f>
      </c>
      <c r="II958">
        <f>IF(ISBLANK('Data Entry'!$ĳ$958), "", 'Data Entry'!$ĳ$958)</f>
      </c>
      <c r="IJ958">
        <f>IF(ISBLANK('Data Entry'!$Ĵ$958), "", 'Data Entry'!$Ĵ$958)</f>
      </c>
      <c r="IK958">
        <f>IF(ISBLANK('Data Entry'!$ĵ$958), "", 'Data Entry'!$ĵ$958)</f>
      </c>
      <c r="IL958">
        <f>IF(ISBLANK('Data Entry'!$Ķ$958), "", 'Data Entry'!$Ķ$958)</f>
      </c>
      <c r="IM958">
        <f>IF(ISBLANK('Data Entry'!$ķ$958), "", 'Data Entry'!$ķ$958)</f>
      </c>
      <c r="IN958">
        <f>IF(ISBLANK('Data Entry'!$ĸ$958), "", 'Data Entry'!$ĸ$958)</f>
      </c>
      <c r="IO958">
        <f>IF(ISBLANK('Data Entry'!$Ĺ$958), "", 'Data Entry'!$Ĺ$958)</f>
      </c>
      <c r="IP958">
        <f>IF(ISBLANK('Data Entry'!$ĺ$958), "", 'Data Entry'!$ĺ$958)</f>
      </c>
      <c r="IQ958">
        <f>IF(ISBLANK('Data Entry'!$Ļ$958), "", 'Data Entry'!$Ļ$958)</f>
      </c>
      <c r="IR958">
        <f>IF(ISBLANK('Data Entry'!$ļ$958), "", 'Data Entry'!$ļ$958)</f>
      </c>
      <c r="IS958">
        <f>IF(ISBLANK('Data Entry'!$Ľ$958), "", 'Data Entry'!$Ľ$958)</f>
      </c>
      <c r="IT958">
        <f>IF(ISBLANK('Data Entry'!$ľ$958), "", 'Data Entry'!$ľ$958)</f>
      </c>
    </row>
    <row r="959" spans="1:254" x14ac:dyDescent="0.25">
      <c r="A959">
        <f>IF(ISBLANK('Data Entry'!$A$959), "", 'Data Entry'!$A$959)</f>
      </c>
      <c r="B959">
        <f>IF(ISBLANK('Data Entry'!$B$959), "", 'Data Entry'!$B$959)</f>
      </c>
      <c r="C959">
        <f>IF(ISBLANK('Data Entry'!$C$959), "", 'Data Entry'!$C$959)</f>
      </c>
      <c r="D959">
        <f>IF(ISBLANK('Data Entry'!$D$959), "", 'Data Entry'!$D$959)</f>
      </c>
      <c r="E959">
        <f>IF(ISBLANK('Data Entry'!$E$959), "", 'Data Entry'!$E$959)</f>
      </c>
      <c r="F959">
        <f>IF(ISBLANK('Data Entry'!$F$959), "", 'Data Entry'!$F$959)</f>
      </c>
      <c r="G959">
        <f>IF(ISBLANK('Data Entry'!$G$959), "", 'Data Entry'!$G$959)</f>
      </c>
      <c r="H959">
        <f>IF(ISBLANK('Data Entry'!$H$959), "", 'Data Entry'!$H$959)</f>
      </c>
      <c r="I959">
        <f>IF(ISBLANK('Data Entry'!$I$959), "", 'Data Entry'!$I$959)</f>
      </c>
      <c r="J959">
        <f>IF(ISBLANK('Data Entry'!$J$959), "", 'Data Entry'!$J$959)</f>
      </c>
      <c r="K959">
        <f>IF(ISBLANK('Data Entry'!$K$959), "", 'Data Entry'!$K$959)</f>
      </c>
      <c r="L959">
        <f>IF(ISBLANK('Data Entry'!$L$959), "", 'Data Entry'!$L$959)</f>
      </c>
      <c r="M959">
        <f>IF(ISBLANK('Data Entry'!$M$959), "", 'Data Entry'!$M$959)</f>
      </c>
      <c r="N959">
        <f>IF(ISBLANK('Data Entry'!$N$959), "", 'Data Entry'!$N$959)</f>
      </c>
      <c r="O959">
        <f>IF(ISBLANK('Data Entry'!$O$959), "", 'Data Entry'!$O$959)</f>
      </c>
      <c r="P959">
        <f>IF(ISBLANK('Data Entry'!$P$959), "", 'Data Entry'!$P$959)</f>
      </c>
      <c r="Q959">
        <f>IF(ISBLANK('Data Entry'!$Q$959), "", 'Data Entry'!$Q$959)</f>
      </c>
      <c r="R959">
        <f>IF(ISBLANK('Data Entry'!$R$959), "", 'Data Entry'!$R$959)</f>
      </c>
      <c r="S959">
        <f>IF(ISBLANK('Data Entry'!$S$959), "", 'Data Entry'!$S$959)</f>
      </c>
      <c r="T959">
        <f>IF(ISBLANK('Data Entry'!$T$959), "", 'Data Entry'!$T$959)</f>
      </c>
      <c r="U959">
        <f>IF(ISBLANK('Data Entry'!$U$959), "", 'Data Entry'!$U$959)</f>
      </c>
      <c r="V959">
        <f>IF(ISBLANK('Data Entry'!$V$959), "", 'Data Entry'!$V$959)</f>
      </c>
      <c r="W959">
        <f>IF(ISBLANK('Data Entry'!$W$959), "", 'Data Entry'!$W$959)</f>
      </c>
      <c r="X959">
        <f>IF(ISBLANK('Data Entry'!$X$959), "", 'Data Entry'!$X$959)</f>
      </c>
      <c r="Y959">
        <f>IF(ISBLANK('Data Entry'!$Y$959), "", 'Data Entry'!$Y$959)</f>
      </c>
      <c r="Z959">
        <f>IF(ISBLANK('Data Entry'!$Z$959), "", 'Data Entry'!$Z$959)</f>
      </c>
      <c r="AA959">
        <f>IF(ISBLANK('Data Entry'!$[$959), "", 'Data Entry'!$[$959)</f>
      </c>
      <c r="AB959">
        <f>IF(ISBLANK('Data Entry'!$\$959), "", 'Data Entry'!$\$959)</f>
      </c>
      <c r="AC959">
        <f>IF(ISBLANK('Data Entry'!$]$959), "", 'Data Entry'!$]$959)</f>
      </c>
      <c r="AD959">
        <f>IF(ISBLANK('Data Entry'!$^$959), "", 'Data Entry'!$^$959)</f>
      </c>
      <c r="AE959">
        <f>IF(ISBLANK('Data Entry'!$_$959), "", 'Data Entry'!$_$959)</f>
      </c>
      <c r="AF959">
        <f>IF(ISBLANK('Data Entry'!$`$959), "", 'Data Entry'!$`$959)</f>
      </c>
      <c r="AG959">
        <f>IF(ISBLANK('Data Entry'!$a$959), "", 'Data Entry'!$a$959)</f>
      </c>
      <c r="AH959">
        <f>IF(ISBLANK('Data Entry'!$b$959), "", 'Data Entry'!$b$959)</f>
      </c>
      <c r="AI959">
        <f>IF(ISBLANK('Data Entry'!$c$959), "", 'Data Entry'!$c$959)</f>
      </c>
      <c r="AJ959">
        <f>IF(ISBLANK('Data Entry'!$d$959), "", 'Data Entry'!$d$959)</f>
      </c>
      <c r="AK959">
        <f>IF(ISBLANK('Data Entry'!$e$959), "", 'Data Entry'!$e$959)</f>
      </c>
      <c r="AL959">
        <f>IF(ISBLANK('Data Entry'!$f$959), "", 'Data Entry'!$f$959)</f>
      </c>
      <c r="AM959">
        <f>IF(ISBLANK('Data Entry'!$g$959), "", 'Data Entry'!$g$959)</f>
      </c>
      <c r="AN959">
        <f>IF(ISBLANK('Data Entry'!$h$959), "", 'Data Entry'!$h$959)</f>
      </c>
      <c r="AO959">
        <f>IF(ISBLANK('Data Entry'!$i$959), "", 'Data Entry'!$i$959)</f>
      </c>
      <c r="AP959">
        <f>IF(ISBLANK('Data Entry'!$j$959), "", 'Data Entry'!$j$959)</f>
      </c>
      <c r="AQ959">
        <f>IF(ISBLANK('Data Entry'!$k$959), "", 'Data Entry'!$k$959)</f>
      </c>
      <c r="AR959">
        <f>IF(ISBLANK('Data Entry'!$l$959), "", 'Data Entry'!$l$959)</f>
      </c>
      <c r="AS959">
        <f>IF(ISBLANK('Data Entry'!$m$959), "", 'Data Entry'!$m$959)</f>
      </c>
      <c r="AT959">
        <f>IF(ISBLANK('Data Entry'!$n$959), "", 'Data Entry'!$n$959)</f>
      </c>
      <c r="AU959">
        <f>IF(ISBLANK('Data Entry'!$o$959), "", 'Data Entry'!$o$959)</f>
      </c>
      <c r="AV959">
        <f>IF(ISBLANK('Data Entry'!$p$959), "", 'Data Entry'!$p$959)</f>
      </c>
      <c r="AW959">
        <f>IF(ISBLANK('Data Entry'!$q$959), "", 'Data Entry'!$q$959)</f>
      </c>
      <c r="AX959">
        <f>IF(ISBLANK('Data Entry'!$r$959), "", 'Data Entry'!$r$959)</f>
      </c>
      <c r="AY959">
        <f>IF(ISBLANK('Data Entry'!$s$959), "", 'Data Entry'!$s$959)</f>
      </c>
      <c r="AZ959">
        <f>IF(ISBLANK('Data Entry'!$t$959), "", 'Data Entry'!$t$959)</f>
      </c>
      <c r="BA959">
        <f>IF(ISBLANK('Data Entry'!$u$959), "", 'Data Entry'!$u$959)</f>
      </c>
      <c r="BB959">
        <f>IF(ISBLANK('Data Entry'!$v$959), "", 'Data Entry'!$v$959)</f>
      </c>
      <c r="BC959">
        <f>IF(ISBLANK('Data Entry'!$w$959), "", 'Data Entry'!$w$959)</f>
      </c>
      <c r="BD959">
        <f>IF(ISBLANK('Data Entry'!$x$959), "", 'Data Entry'!$x$959)</f>
      </c>
      <c r="BE959">
        <f>IF(ISBLANK('Data Entry'!$y$959), "", 'Data Entry'!$y$959)</f>
      </c>
      <c r="BF959">
        <f>IF(ISBLANK('Data Entry'!$z$959), "", 'Data Entry'!$z$959)</f>
      </c>
      <c r="BG959">
        <f>IF(ISBLANK('Data Entry'!${$959), "", 'Data Entry'!${$959)</f>
      </c>
      <c r="BH959">
        <f>IF(ISBLANK('Data Entry'!$|$959), "", 'Data Entry'!$|$959)</f>
      </c>
      <c r="BI959">
        <f>IF(ISBLANK('Data Entry'!$}$959), "", 'Data Entry'!$}$959)</f>
      </c>
      <c r="BJ959">
        <f>IF(ISBLANK('Data Entry'!$~$959), "", 'Data Entry'!$~$959)</f>
      </c>
      <c r="BK959">
        <f>IF(ISBLANK('Data Entry'!$$959), "", 'Data Entry'!$$959)</f>
      </c>
      <c r="BL959">
        <f>IF(ISBLANK('Data Entry'!$$959), "", 'Data Entry'!$$959)</f>
      </c>
      <c r="BM959">
        <f>IF(ISBLANK('Data Entry'!$$959), "", 'Data Entry'!$$959)</f>
      </c>
      <c r="BN959">
        <f>IF(ISBLANK('Data Entry'!$$959), "", 'Data Entry'!$$959)</f>
      </c>
      <c r="BO959">
        <f>IF(ISBLANK('Data Entry'!$$959), "", 'Data Entry'!$$959)</f>
      </c>
      <c r="BP959">
        <f>IF(ISBLANK('Data Entry'!$$959), "", 'Data Entry'!$$959)</f>
      </c>
      <c r="BQ959">
        <f>IF(ISBLANK('Data Entry'!$$959), "", 'Data Entry'!$$959)</f>
      </c>
      <c r="BR959">
        <f>IF(ISBLANK('Data Entry'!$$959), "", 'Data Entry'!$$959)</f>
      </c>
      <c r="BS959">
        <f>IF(ISBLANK('Data Entry'!$$959), "", 'Data Entry'!$$959)</f>
      </c>
      <c r="BT959">
        <f>IF(ISBLANK('Data Entry'!$$959), "", 'Data Entry'!$$959)</f>
      </c>
      <c r="BU959">
        <f>IF(ISBLANK('Data Entry'!$$959), "", 'Data Entry'!$$959)</f>
      </c>
      <c r="BV959">
        <f>IF(ISBLANK('Data Entry'!$$959), "", 'Data Entry'!$$959)</f>
      </c>
      <c r="BW959">
        <f>IF(ISBLANK('Data Entry'!$$959), "", 'Data Entry'!$$959)</f>
      </c>
      <c r="BX959">
        <f>IF(ISBLANK('Data Entry'!$$959), "", 'Data Entry'!$$959)</f>
      </c>
      <c r="BY959">
        <f>IF(ISBLANK('Data Entry'!$$959), "", 'Data Entry'!$$959)</f>
      </c>
      <c r="BZ959">
        <f>IF(ISBLANK('Data Entry'!$$959), "", 'Data Entry'!$$959)</f>
      </c>
      <c r="CA959">
        <f>IF(ISBLANK('Data Entry'!$$959), "", 'Data Entry'!$$959)</f>
      </c>
      <c r="CB959">
        <f>IF(ISBLANK('Data Entry'!$$959), "", 'Data Entry'!$$959)</f>
      </c>
      <c r="CC959">
        <f>IF(ISBLANK('Data Entry'!$$959), "", 'Data Entry'!$$959)</f>
      </c>
      <c r="CD959">
        <f>IF(ISBLANK('Data Entry'!$$959), "", 'Data Entry'!$$959)</f>
      </c>
      <c r="CE959">
        <f>IF(ISBLANK('Data Entry'!$$959), "", 'Data Entry'!$$959)</f>
      </c>
      <c r="CF959">
        <f>IF(ISBLANK('Data Entry'!$$959), "", 'Data Entry'!$$959)</f>
      </c>
      <c r="CG959">
        <f>IF(ISBLANK('Data Entry'!$$959), "", 'Data Entry'!$$959)</f>
      </c>
      <c r="CH959">
        <f>IF(ISBLANK('Data Entry'!$$959), "", 'Data Entry'!$$959)</f>
      </c>
      <c r="CI959">
        <f>IF(ISBLANK('Data Entry'!$$959), "", 'Data Entry'!$$959)</f>
      </c>
      <c r="CJ959">
        <f>IF(ISBLANK('Data Entry'!$$959), "", 'Data Entry'!$$959)</f>
      </c>
      <c r="CK959">
        <f>IF(ISBLANK('Data Entry'!$$959), "", 'Data Entry'!$$959)</f>
      </c>
      <c r="CL959">
        <f>IF(ISBLANK('Data Entry'!$$959), "", 'Data Entry'!$$959)</f>
      </c>
      <c r="CM959">
        <f>IF(ISBLANK('Data Entry'!$$959), "", 'Data Entry'!$$959)</f>
      </c>
      <c r="CN959">
        <f>IF(ISBLANK('Data Entry'!$$959), "", 'Data Entry'!$$959)</f>
      </c>
      <c r="CO959">
        <f>IF(ISBLANK('Data Entry'!$$959), "", 'Data Entry'!$$959)</f>
      </c>
      <c r="CP959">
        <f>IF(ISBLANK('Data Entry'!$$959), "", 'Data Entry'!$$959)</f>
      </c>
      <c r="CQ959">
        <f>IF(ISBLANK('Data Entry'!$$959), "", 'Data Entry'!$$959)</f>
      </c>
      <c r="CR959">
        <f>IF(ISBLANK('Data Entry'!$ $959), "", 'Data Entry'!$ $959)</f>
      </c>
      <c r="CS959">
        <f>IF(ISBLANK('Data Entry'!$¡$959), "", 'Data Entry'!$¡$959)</f>
      </c>
      <c r="CT959">
        <f>IF(ISBLANK('Data Entry'!$¢$959), "", 'Data Entry'!$¢$959)</f>
      </c>
      <c r="CU959">
        <f>IF(ISBLANK('Data Entry'!$£$959), "", 'Data Entry'!$£$959)</f>
      </c>
      <c r="CV959">
        <f>IF(ISBLANK('Data Entry'!$¤$959), "", 'Data Entry'!$¤$959)</f>
      </c>
      <c r="CW959">
        <f>IF(ISBLANK('Data Entry'!$¥$959), "", 'Data Entry'!$¥$959)</f>
      </c>
      <c r="CX959">
        <f>IF(ISBLANK('Data Entry'!$¦$959), "", 'Data Entry'!$¦$959)</f>
      </c>
      <c r="CY959">
        <f>IF(ISBLANK('Data Entry'!$§$959), "", 'Data Entry'!$§$959)</f>
      </c>
      <c r="CZ959">
        <f>IF(ISBLANK('Data Entry'!$¨$959), "", 'Data Entry'!$¨$959)</f>
      </c>
      <c r="DA959">
        <f>IF(ISBLANK('Data Entry'!$©$959), "", 'Data Entry'!$©$959)</f>
      </c>
      <c r="DB959">
        <f>IF(ISBLANK('Data Entry'!$ª$959), "", 'Data Entry'!$ª$959)</f>
      </c>
      <c r="DC959">
        <f>IF(ISBLANK('Data Entry'!$«$959), "", 'Data Entry'!$«$959)</f>
      </c>
      <c r="DD959">
        <f>IF(ISBLANK('Data Entry'!$¬$959), "", 'Data Entry'!$¬$959)</f>
      </c>
      <c r="DE959">
        <f>IF(ISBLANK('Data Entry'!$­$959), "", 'Data Entry'!$­$959)</f>
      </c>
      <c r="DF959">
        <f>IF(ISBLANK('Data Entry'!$®$959), "", 'Data Entry'!$®$959)</f>
      </c>
      <c r="DG959">
        <f>IF(ISBLANK('Data Entry'!$¯$959), "", 'Data Entry'!$¯$959)</f>
      </c>
      <c r="DH959">
        <f>IF(ISBLANK('Data Entry'!$°$959), "", 'Data Entry'!$°$959)</f>
      </c>
      <c r="DI959">
        <f>IF(ISBLANK('Data Entry'!$±$959), "", 'Data Entry'!$±$959)</f>
      </c>
      <c r="DJ959">
        <f>IF(ISBLANK('Data Entry'!$²$959), "", 'Data Entry'!$²$959)</f>
      </c>
      <c r="DK959">
        <f>IF(ISBLANK('Data Entry'!$³$959), "", 'Data Entry'!$³$959)</f>
      </c>
      <c r="DL959">
        <f>IF(ISBLANK('Data Entry'!$´$959), "", 'Data Entry'!$´$959)</f>
      </c>
      <c r="DM959">
        <f>IF(ISBLANK('Data Entry'!$µ$959), "", 'Data Entry'!$µ$959)</f>
      </c>
      <c r="DN959">
        <f>IF(ISBLANK('Data Entry'!$¶$959), "", 'Data Entry'!$¶$959)</f>
      </c>
      <c r="DO959">
        <f>IF(ISBLANK('Data Entry'!$·$959), "", 'Data Entry'!$·$959)</f>
      </c>
      <c r="DP959">
        <f>IF(ISBLANK('Data Entry'!$¸$959), "", 'Data Entry'!$¸$959)</f>
      </c>
      <c r="DQ959">
        <f>IF(ISBLANK('Data Entry'!$¹$959), "", 'Data Entry'!$¹$959)</f>
      </c>
      <c r="DR959">
        <f>IF(ISBLANK('Data Entry'!$º$959), "", 'Data Entry'!$º$959)</f>
      </c>
      <c r="DS959">
        <f>IF(ISBLANK('Data Entry'!$»$959), "", 'Data Entry'!$»$959)</f>
      </c>
      <c r="DT959">
        <f>IF(ISBLANK('Data Entry'!$¼$959), "", 'Data Entry'!$¼$959)</f>
      </c>
      <c r="DU959">
        <f>IF(ISBLANK('Data Entry'!$½$959), "", 'Data Entry'!$½$959)</f>
      </c>
      <c r="DV959">
        <f>IF(ISBLANK('Data Entry'!$¾$959), "", 'Data Entry'!$¾$959)</f>
      </c>
      <c r="DW959">
        <f>IF(ISBLANK('Data Entry'!$¿$959), "", 'Data Entry'!$¿$959)</f>
      </c>
      <c r="DX959">
        <f>IF(ISBLANK('Data Entry'!$À$959), "", 'Data Entry'!$À$959)</f>
      </c>
      <c r="DY959">
        <f>IF(ISBLANK('Data Entry'!$Á$959), "", 'Data Entry'!$Á$959)</f>
      </c>
      <c r="DZ959">
        <f>IF(ISBLANK('Data Entry'!$Â$959), "", 'Data Entry'!$Â$959)</f>
      </c>
      <c r="EA959">
        <f>IF(ISBLANK('Data Entry'!$Ã$959), "", 'Data Entry'!$Ã$959)</f>
      </c>
      <c r="EB959">
        <f>IF(ISBLANK('Data Entry'!$Ä$959), "", 'Data Entry'!$Ä$959)</f>
      </c>
      <c r="EC959">
        <f>IF(ISBLANK('Data Entry'!$Å$959), "", 'Data Entry'!$Å$959)</f>
      </c>
      <c r="ED959">
        <f>IF(ISBLANK('Data Entry'!$Æ$959), "", 'Data Entry'!$Æ$959)</f>
      </c>
      <c r="EE959">
        <f>IF(ISBLANK('Data Entry'!$Ç$959), "", 'Data Entry'!$Ç$959)</f>
      </c>
      <c r="EF959">
        <f>IF(ISBLANK('Data Entry'!$È$959), "", 'Data Entry'!$È$959)</f>
      </c>
      <c r="EG959">
        <f>IF(ISBLANK('Data Entry'!$É$959), "", 'Data Entry'!$É$959)</f>
      </c>
      <c r="EH959">
        <f>IF(ISBLANK('Data Entry'!$Ê$959), "", 'Data Entry'!$Ê$959)</f>
      </c>
      <c r="EI959">
        <f>IF(ISBLANK('Data Entry'!$Ë$959), "", 'Data Entry'!$Ë$959)</f>
      </c>
      <c r="EJ959">
        <f>IF(ISBLANK('Data Entry'!$Ì$959), "", 'Data Entry'!$Ì$959)</f>
      </c>
      <c r="EK959">
        <f>IF(ISBLANK('Data Entry'!$Í$959), "", 'Data Entry'!$Í$959)</f>
      </c>
      <c r="EL959">
        <f>IF(ISBLANK('Data Entry'!$Î$959), "", 'Data Entry'!$Î$959)</f>
      </c>
      <c r="EM959">
        <f>IF(ISBLANK('Data Entry'!$Ï$959), "", 'Data Entry'!$Ï$959)</f>
      </c>
      <c r="EN959">
        <f>IF(ISBLANK('Data Entry'!$Ð$959), "", 'Data Entry'!$Ð$959)</f>
      </c>
      <c r="EO959">
        <f>IF(ISBLANK('Data Entry'!$Ñ$959), "", 'Data Entry'!$Ñ$959)</f>
      </c>
      <c r="EP959">
        <f>IF(ISBLANK('Data Entry'!$Ò$959), "", 'Data Entry'!$Ò$959)</f>
      </c>
      <c r="EQ959">
        <f>IF(ISBLANK('Data Entry'!$Ó$959), "", 'Data Entry'!$Ó$959)</f>
      </c>
      <c r="ER959">
        <f>IF(ISBLANK('Data Entry'!$Ô$959), "", 'Data Entry'!$Ô$959)</f>
      </c>
      <c r="ES959">
        <f>IF(ISBLANK('Data Entry'!$Õ$959), "", 'Data Entry'!$Õ$959)</f>
      </c>
      <c r="ET959">
        <f>IF(ISBLANK('Data Entry'!$Ö$959), "", 'Data Entry'!$Ö$959)</f>
      </c>
      <c r="EU959">
        <f>IF(ISBLANK('Data Entry'!$×$959), "", 'Data Entry'!$×$959)</f>
      </c>
      <c r="EV959">
        <f>IF(ISBLANK('Data Entry'!$Ø$959), "", 'Data Entry'!$Ø$959)</f>
      </c>
      <c r="EW959">
        <f>IF(ISBLANK('Data Entry'!$Ù$959), "", 'Data Entry'!$Ù$959)</f>
      </c>
      <c r="EX959">
        <f>IF(ISBLANK('Data Entry'!$Ú$959), "", 'Data Entry'!$Ú$959)</f>
      </c>
      <c r="EY959">
        <f>IF(ISBLANK('Data Entry'!$Û$959), "", 'Data Entry'!$Û$959)</f>
      </c>
      <c r="EZ959">
        <f>IF(ISBLANK('Data Entry'!$Ü$959), "", 'Data Entry'!$Ü$959)</f>
      </c>
      <c r="FA959">
        <f>IF(ISBLANK('Data Entry'!$Ý$959), "", 'Data Entry'!$Ý$959)</f>
      </c>
      <c r="FB959">
        <f>IF(ISBLANK('Data Entry'!$Þ$959), "", 'Data Entry'!$Þ$959)</f>
      </c>
      <c r="FC959">
        <f>IF(ISBLANK('Data Entry'!$ß$959), "", 'Data Entry'!$ß$959)</f>
      </c>
      <c r="FD959">
        <f>IF(ISBLANK('Data Entry'!$à$959), "", 'Data Entry'!$à$959)</f>
      </c>
      <c r="FE959">
        <f>IF(ISBLANK('Data Entry'!$á$959), "", 'Data Entry'!$á$959)</f>
      </c>
      <c r="FF959">
        <f>IF(ISBLANK('Data Entry'!$â$959), "", 'Data Entry'!$â$959)</f>
      </c>
      <c r="FG959">
        <f>IF(ISBLANK('Data Entry'!$ã$959), "", 'Data Entry'!$ã$959)</f>
      </c>
      <c r="FH959">
        <f>IF(ISBLANK('Data Entry'!$ä$959), "", 'Data Entry'!$ä$959)</f>
      </c>
      <c r="FI959">
        <f>IF(ISBLANK('Data Entry'!$å$959), "", 'Data Entry'!$å$959)</f>
      </c>
      <c r="FJ959">
        <f>IF(ISBLANK('Data Entry'!$æ$959), "", 'Data Entry'!$æ$959)</f>
      </c>
      <c r="FK959">
        <f>IF(ISBLANK('Data Entry'!$ç$959), "", 'Data Entry'!$ç$959)</f>
      </c>
      <c r="FL959">
        <f>IF(ISBLANK('Data Entry'!$è$959), "", 'Data Entry'!$è$959)</f>
      </c>
      <c r="FM959">
        <f>IF(ISBLANK('Data Entry'!$é$959), "", 'Data Entry'!$é$959)</f>
      </c>
      <c r="FN959">
        <f>IF(ISBLANK('Data Entry'!$ê$959), "", 'Data Entry'!$ê$959)</f>
      </c>
      <c r="FO959">
        <f>IF(ISBLANK('Data Entry'!$ë$959), "", 'Data Entry'!$ë$959)</f>
      </c>
      <c r="FP959">
        <f>IF(ISBLANK('Data Entry'!$ì$959), "", 'Data Entry'!$ì$959)</f>
      </c>
      <c r="FQ959">
        <f>IF(ISBLANK('Data Entry'!$í$959), "", 'Data Entry'!$í$959)</f>
      </c>
      <c r="FR959">
        <f>IF(ISBLANK('Data Entry'!$î$959), "", 'Data Entry'!$î$959)</f>
      </c>
      <c r="FS959">
        <f>IF(ISBLANK('Data Entry'!$ï$959), "", 'Data Entry'!$ï$959)</f>
      </c>
      <c r="FT959">
        <f>IF(ISBLANK('Data Entry'!$ð$959), "", 'Data Entry'!$ð$959)</f>
      </c>
      <c r="FU959">
        <f>IF(ISBLANK('Data Entry'!$ñ$959), "", 'Data Entry'!$ñ$959)</f>
      </c>
      <c r="FV959">
        <f>IF(ISBLANK('Data Entry'!$ò$959), "", 'Data Entry'!$ò$959)</f>
      </c>
      <c r="FW959">
        <f>IF(ISBLANK('Data Entry'!$ó$959), "", 'Data Entry'!$ó$959)</f>
      </c>
      <c r="FX959">
        <f>IF(ISBLANK('Data Entry'!$ô$959), "", 'Data Entry'!$ô$959)</f>
      </c>
      <c r="FY959">
        <f>IF(ISBLANK('Data Entry'!$õ$959), "", 'Data Entry'!$õ$959)</f>
      </c>
      <c r="FZ959">
        <f>IF(ISBLANK('Data Entry'!$ö$959), "", 'Data Entry'!$ö$959)</f>
      </c>
      <c r="GA959">
        <f>IF(ISBLANK('Data Entry'!$÷$959), "", 'Data Entry'!$÷$959)</f>
      </c>
      <c r="GB959">
        <f>IF(ISBLANK('Data Entry'!$ø$959), "", 'Data Entry'!$ø$959)</f>
      </c>
      <c r="GC959">
        <f>IF(ISBLANK('Data Entry'!$ù$959), "", 'Data Entry'!$ù$959)</f>
      </c>
      <c r="GD959">
        <f>IF(ISBLANK('Data Entry'!$ú$959), "", 'Data Entry'!$ú$959)</f>
      </c>
      <c r="GE959">
        <f>IF(ISBLANK('Data Entry'!$û$959), "", 'Data Entry'!$û$959)</f>
      </c>
      <c r="GF959">
        <f>IF(ISBLANK('Data Entry'!$ü$959), "", 'Data Entry'!$ü$959)</f>
      </c>
      <c r="GG959">
        <f>IF(ISBLANK('Data Entry'!$ý$959), "", 'Data Entry'!$ý$959)</f>
      </c>
      <c r="GH959">
        <f>IF(ISBLANK('Data Entry'!$þ$959), "", 'Data Entry'!$þ$959)</f>
      </c>
      <c r="GI959">
        <f>IF(ISBLANK('Data Entry'!$ÿ$959), "", 'Data Entry'!$ÿ$959)</f>
      </c>
      <c r="GJ959">
        <f>IF(ISBLANK('Data Entry'!$Ā$959), "", 'Data Entry'!$Ā$959)</f>
      </c>
      <c r="GK959">
        <f>IF(ISBLANK('Data Entry'!$ā$959), "", 'Data Entry'!$ā$959)</f>
      </c>
      <c r="GL959">
        <f>IF(ISBLANK('Data Entry'!$Ă$959), "", 'Data Entry'!$Ă$959)</f>
      </c>
      <c r="GM959">
        <f>IF(ISBLANK('Data Entry'!$ă$959), "", 'Data Entry'!$ă$959)</f>
      </c>
      <c r="GN959">
        <f>IF(ISBLANK('Data Entry'!$Ą$959), "", 'Data Entry'!$Ą$959)</f>
      </c>
      <c r="GO959">
        <f>IF(ISBLANK('Data Entry'!$ą$959), "", 'Data Entry'!$ą$959)</f>
      </c>
      <c r="GP959">
        <f>IF(ISBLANK('Data Entry'!$Ć$959), "", 'Data Entry'!$Ć$959)</f>
      </c>
      <c r="GQ959">
        <f>IF(ISBLANK('Data Entry'!$ć$959), "", 'Data Entry'!$ć$959)</f>
      </c>
      <c r="GR959">
        <f>IF(ISBLANK('Data Entry'!$Ĉ$959), "", 'Data Entry'!$Ĉ$959)</f>
      </c>
      <c r="GS959">
        <f>IF(ISBLANK('Data Entry'!$ĉ$959), "", 'Data Entry'!$ĉ$959)</f>
      </c>
      <c r="GT959">
        <f>IF(ISBLANK('Data Entry'!$Ċ$959), "", 'Data Entry'!$Ċ$959)</f>
      </c>
      <c r="GU959">
        <f>IF(ISBLANK('Data Entry'!$ċ$959), "", 'Data Entry'!$ċ$959)</f>
      </c>
      <c r="GV959">
        <f>IF(ISBLANK('Data Entry'!$Č$959), "", 'Data Entry'!$Č$959)</f>
      </c>
      <c r="GW959">
        <f>IF(ISBLANK('Data Entry'!$č$959), "", 'Data Entry'!$č$959)</f>
      </c>
      <c r="GX959">
        <f>IF(ISBLANK('Data Entry'!$Ď$959), "", 'Data Entry'!$Ď$959)</f>
      </c>
      <c r="GY959">
        <f>IF(ISBLANK('Data Entry'!$ď$959), "", 'Data Entry'!$ď$959)</f>
      </c>
      <c r="GZ959">
        <f>IF(ISBLANK('Data Entry'!$Đ$959), "", 'Data Entry'!$Đ$959)</f>
      </c>
      <c r="HA959">
        <f>IF(ISBLANK('Data Entry'!$đ$959), "", 'Data Entry'!$đ$959)</f>
      </c>
      <c r="HB959">
        <f>IF(ISBLANK('Data Entry'!$Ē$959), "", 'Data Entry'!$Ē$959)</f>
      </c>
      <c r="HC959">
        <f>IF(ISBLANK('Data Entry'!$ē$959), "", 'Data Entry'!$ē$959)</f>
      </c>
      <c r="HD959">
        <f>IF(ISBLANK('Data Entry'!$Ĕ$959), "", 'Data Entry'!$Ĕ$959)</f>
      </c>
      <c r="HE959">
        <f>IF(ISBLANK('Data Entry'!$ĕ$959), "", 'Data Entry'!$ĕ$959)</f>
      </c>
      <c r="HF959">
        <f>IF(ISBLANK('Data Entry'!$Ė$959), "", 'Data Entry'!$Ė$959)</f>
      </c>
      <c r="HG959">
        <f>IF(ISBLANK('Data Entry'!$ė$959), "", 'Data Entry'!$ė$959)</f>
      </c>
      <c r="HH959">
        <f>IF(ISBLANK('Data Entry'!$Ę$959), "", 'Data Entry'!$Ę$959)</f>
      </c>
      <c r="HI959">
        <f>IF(ISBLANK('Data Entry'!$ę$959), "", 'Data Entry'!$ę$959)</f>
      </c>
      <c r="HJ959">
        <f>IF(ISBLANK('Data Entry'!$Ě$959), "", 'Data Entry'!$Ě$959)</f>
      </c>
      <c r="HK959">
        <f>IF(ISBLANK('Data Entry'!$ě$959), "", 'Data Entry'!$ě$959)</f>
      </c>
      <c r="HL959">
        <f>IF(ISBLANK('Data Entry'!$Ĝ$959), "", 'Data Entry'!$Ĝ$959)</f>
      </c>
      <c r="HM959">
        <f>IF(ISBLANK('Data Entry'!$ĝ$959), "", 'Data Entry'!$ĝ$959)</f>
      </c>
      <c r="HN959">
        <f>IF(ISBLANK('Data Entry'!$Ğ$959), "", 'Data Entry'!$Ğ$959)</f>
      </c>
      <c r="HO959">
        <f>IF(ISBLANK('Data Entry'!$ğ$959), "", 'Data Entry'!$ğ$959)</f>
      </c>
      <c r="HP959">
        <f>IF(ISBLANK('Data Entry'!$Ġ$959), "", 'Data Entry'!$Ġ$959)</f>
      </c>
      <c r="HQ959">
        <f>IF(ISBLANK('Data Entry'!$ġ$959), "", 'Data Entry'!$ġ$959)</f>
      </c>
      <c r="HR959">
        <f>IF(ISBLANK('Data Entry'!$Ģ$959), "", 'Data Entry'!$Ģ$959)</f>
      </c>
      <c r="HS959">
        <f>IF(ISBLANK('Data Entry'!$ģ$959), "", 'Data Entry'!$ģ$959)</f>
      </c>
      <c r="HT959">
        <f>IF(ISBLANK('Data Entry'!$Ĥ$959), "", 'Data Entry'!$Ĥ$959)</f>
      </c>
      <c r="HU959">
        <f>IF(ISBLANK('Data Entry'!$ĥ$959), "", 'Data Entry'!$ĥ$959)</f>
      </c>
      <c r="HV959">
        <f>IF(ISBLANK('Data Entry'!$Ħ$959), "", 'Data Entry'!$Ħ$959)</f>
      </c>
      <c r="HW959">
        <f>IF(ISBLANK('Data Entry'!$ħ$959), "", 'Data Entry'!$ħ$959)</f>
      </c>
      <c r="HX959">
        <f>IF(ISBLANK('Data Entry'!$Ĩ$959), "", 'Data Entry'!$Ĩ$959)</f>
      </c>
      <c r="HY959">
        <f>IF(ISBLANK('Data Entry'!$ĩ$959), "", 'Data Entry'!$ĩ$959)</f>
      </c>
      <c r="HZ959">
        <f>IF(ISBLANK('Data Entry'!$Ī$959), "", 'Data Entry'!$Ī$959)</f>
      </c>
      <c r="IA959">
        <f>IF(ISBLANK('Data Entry'!$ī$959), "", 'Data Entry'!$ī$959)</f>
      </c>
      <c r="IB959">
        <f>IF(ISBLANK('Data Entry'!$Ĭ$959), "", 'Data Entry'!$Ĭ$959)</f>
      </c>
      <c r="IC959">
        <f>IF(ISBLANK('Data Entry'!$ĭ$959), "", 'Data Entry'!$ĭ$959)</f>
      </c>
      <c r="ID959">
        <f>IF(ISBLANK('Data Entry'!$Į$959), "", 'Data Entry'!$Į$959)</f>
      </c>
      <c r="IE959">
        <f>IF(ISBLANK('Data Entry'!$į$959), "", 'Data Entry'!$į$959)</f>
      </c>
      <c r="IF959">
        <f>IF(ISBLANK('Data Entry'!$İ$959), "", 'Data Entry'!$İ$959)</f>
      </c>
      <c r="IG959">
        <f>IF(ISBLANK('Data Entry'!$ı$959), "", 'Data Entry'!$ı$959)</f>
      </c>
      <c r="IH959">
        <f>IF(ISBLANK('Data Entry'!$Ĳ$959), "", 'Data Entry'!$Ĳ$959)</f>
      </c>
      <c r="II959">
        <f>IF(ISBLANK('Data Entry'!$ĳ$959), "", 'Data Entry'!$ĳ$959)</f>
      </c>
      <c r="IJ959">
        <f>IF(ISBLANK('Data Entry'!$Ĵ$959), "", 'Data Entry'!$Ĵ$959)</f>
      </c>
      <c r="IK959">
        <f>IF(ISBLANK('Data Entry'!$ĵ$959), "", 'Data Entry'!$ĵ$959)</f>
      </c>
      <c r="IL959">
        <f>IF(ISBLANK('Data Entry'!$Ķ$959), "", 'Data Entry'!$Ķ$959)</f>
      </c>
      <c r="IM959">
        <f>IF(ISBLANK('Data Entry'!$ķ$959), "", 'Data Entry'!$ķ$959)</f>
      </c>
      <c r="IN959">
        <f>IF(ISBLANK('Data Entry'!$ĸ$959), "", 'Data Entry'!$ĸ$959)</f>
      </c>
      <c r="IO959">
        <f>IF(ISBLANK('Data Entry'!$Ĺ$959), "", 'Data Entry'!$Ĺ$959)</f>
      </c>
      <c r="IP959">
        <f>IF(ISBLANK('Data Entry'!$ĺ$959), "", 'Data Entry'!$ĺ$959)</f>
      </c>
      <c r="IQ959">
        <f>IF(ISBLANK('Data Entry'!$Ļ$959), "", 'Data Entry'!$Ļ$959)</f>
      </c>
      <c r="IR959">
        <f>IF(ISBLANK('Data Entry'!$ļ$959), "", 'Data Entry'!$ļ$959)</f>
      </c>
      <c r="IS959">
        <f>IF(ISBLANK('Data Entry'!$Ľ$959), "", 'Data Entry'!$Ľ$959)</f>
      </c>
      <c r="IT959">
        <f>IF(ISBLANK('Data Entry'!$ľ$959), "", 'Data Entry'!$ľ$959)</f>
      </c>
    </row>
    <row r="960" spans="1:254" x14ac:dyDescent="0.25">
      <c r="A960">
        <f>IF(ISBLANK('Data Entry'!$A$960), "", 'Data Entry'!$A$960)</f>
      </c>
      <c r="B960">
        <f>IF(ISBLANK('Data Entry'!$B$960), "", 'Data Entry'!$B$960)</f>
      </c>
      <c r="C960">
        <f>IF(ISBLANK('Data Entry'!$C$960), "", 'Data Entry'!$C$960)</f>
      </c>
      <c r="D960">
        <f>IF(ISBLANK('Data Entry'!$D$960), "", 'Data Entry'!$D$960)</f>
      </c>
      <c r="E960">
        <f>IF(ISBLANK('Data Entry'!$E$960), "", 'Data Entry'!$E$960)</f>
      </c>
      <c r="F960">
        <f>IF(ISBLANK('Data Entry'!$F$960), "", 'Data Entry'!$F$960)</f>
      </c>
      <c r="G960">
        <f>IF(ISBLANK('Data Entry'!$G$960), "", 'Data Entry'!$G$960)</f>
      </c>
      <c r="H960">
        <f>IF(ISBLANK('Data Entry'!$H$960), "", 'Data Entry'!$H$960)</f>
      </c>
      <c r="I960">
        <f>IF(ISBLANK('Data Entry'!$I$960), "", 'Data Entry'!$I$960)</f>
      </c>
      <c r="J960">
        <f>IF(ISBLANK('Data Entry'!$J$960), "", 'Data Entry'!$J$960)</f>
      </c>
      <c r="K960">
        <f>IF(ISBLANK('Data Entry'!$K$960), "", 'Data Entry'!$K$960)</f>
      </c>
      <c r="L960">
        <f>IF(ISBLANK('Data Entry'!$L$960), "", 'Data Entry'!$L$960)</f>
      </c>
      <c r="M960">
        <f>IF(ISBLANK('Data Entry'!$M$960), "", 'Data Entry'!$M$960)</f>
      </c>
      <c r="N960">
        <f>IF(ISBLANK('Data Entry'!$N$960), "", 'Data Entry'!$N$960)</f>
      </c>
      <c r="O960">
        <f>IF(ISBLANK('Data Entry'!$O$960), "", 'Data Entry'!$O$960)</f>
      </c>
      <c r="P960">
        <f>IF(ISBLANK('Data Entry'!$P$960), "", 'Data Entry'!$P$960)</f>
      </c>
      <c r="Q960">
        <f>IF(ISBLANK('Data Entry'!$Q$960), "", 'Data Entry'!$Q$960)</f>
      </c>
      <c r="R960">
        <f>IF(ISBLANK('Data Entry'!$R$960), "", 'Data Entry'!$R$960)</f>
      </c>
      <c r="S960">
        <f>IF(ISBLANK('Data Entry'!$S$960), "", 'Data Entry'!$S$960)</f>
      </c>
      <c r="T960">
        <f>IF(ISBLANK('Data Entry'!$T$960), "", 'Data Entry'!$T$960)</f>
      </c>
      <c r="U960">
        <f>IF(ISBLANK('Data Entry'!$U$960), "", 'Data Entry'!$U$960)</f>
      </c>
      <c r="V960">
        <f>IF(ISBLANK('Data Entry'!$V$960), "", 'Data Entry'!$V$960)</f>
      </c>
      <c r="W960">
        <f>IF(ISBLANK('Data Entry'!$W$960), "", 'Data Entry'!$W$960)</f>
      </c>
      <c r="X960">
        <f>IF(ISBLANK('Data Entry'!$X$960), "", 'Data Entry'!$X$960)</f>
      </c>
      <c r="Y960">
        <f>IF(ISBLANK('Data Entry'!$Y$960), "", 'Data Entry'!$Y$960)</f>
      </c>
      <c r="Z960">
        <f>IF(ISBLANK('Data Entry'!$Z$960), "", 'Data Entry'!$Z$960)</f>
      </c>
      <c r="AA960">
        <f>IF(ISBLANK('Data Entry'!$[$960), "", 'Data Entry'!$[$960)</f>
      </c>
      <c r="AB960">
        <f>IF(ISBLANK('Data Entry'!$\$960), "", 'Data Entry'!$\$960)</f>
      </c>
      <c r="AC960">
        <f>IF(ISBLANK('Data Entry'!$]$960), "", 'Data Entry'!$]$960)</f>
      </c>
      <c r="AD960">
        <f>IF(ISBLANK('Data Entry'!$^$960), "", 'Data Entry'!$^$960)</f>
      </c>
      <c r="AE960">
        <f>IF(ISBLANK('Data Entry'!$_$960), "", 'Data Entry'!$_$960)</f>
      </c>
      <c r="AF960">
        <f>IF(ISBLANK('Data Entry'!$`$960), "", 'Data Entry'!$`$960)</f>
      </c>
      <c r="AG960">
        <f>IF(ISBLANK('Data Entry'!$a$960), "", 'Data Entry'!$a$960)</f>
      </c>
      <c r="AH960">
        <f>IF(ISBLANK('Data Entry'!$b$960), "", 'Data Entry'!$b$960)</f>
      </c>
      <c r="AI960">
        <f>IF(ISBLANK('Data Entry'!$c$960), "", 'Data Entry'!$c$960)</f>
      </c>
      <c r="AJ960">
        <f>IF(ISBLANK('Data Entry'!$d$960), "", 'Data Entry'!$d$960)</f>
      </c>
      <c r="AK960">
        <f>IF(ISBLANK('Data Entry'!$e$960), "", 'Data Entry'!$e$960)</f>
      </c>
      <c r="AL960">
        <f>IF(ISBLANK('Data Entry'!$f$960), "", 'Data Entry'!$f$960)</f>
      </c>
      <c r="AM960">
        <f>IF(ISBLANK('Data Entry'!$g$960), "", 'Data Entry'!$g$960)</f>
      </c>
      <c r="AN960">
        <f>IF(ISBLANK('Data Entry'!$h$960), "", 'Data Entry'!$h$960)</f>
      </c>
      <c r="AO960">
        <f>IF(ISBLANK('Data Entry'!$i$960), "", 'Data Entry'!$i$960)</f>
      </c>
      <c r="AP960">
        <f>IF(ISBLANK('Data Entry'!$j$960), "", 'Data Entry'!$j$960)</f>
      </c>
      <c r="AQ960">
        <f>IF(ISBLANK('Data Entry'!$k$960), "", 'Data Entry'!$k$960)</f>
      </c>
      <c r="AR960">
        <f>IF(ISBLANK('Data Entry'!$l$960), "", 'Data Entry'!$l$960)</f>
      </c>
      <c r="AS960">
        <f>IF(ISBLANK('Data Entry'!$m$960), "", 'Data Entry'!$m$960)</f>
      </c>
      <c r="AT960">
        <f>IF(ISBLANK('Data Entry'!$n$960), "", 'Data Entry'!$n$960)</f>
      </c>
      <c r="AU960">
        <f>IF(ISBLANK('Data Entry'!$o$960), "", 'Data Entry'!$o$960)</f>
      </c>
      <c r="AV960">
        <f>IF(ISBLANK('Data Entry'!$p$960), "", 'Data Entry'!$p$960)</f>
      </c>
      <c r="AW960">
        <f>IF(ISBLANK('Data Entry'!$q$960), "", 'Data Entry'!$q$960)</f>
      </c>
      <c r="AX960">
        <f>IF(ISBLANK('Data Entry'!$r$960), "", 'Data Entry'!$r$960)</f>
      </c>
      <c r="AY960">
        <f>IF(ISBLANK('Data Entry'!$s$960), "", 'Data Entry'!$s$960)</f>
      </c>
      <c r="AZ960">
        <f>IF(ISBLANK('Data Entry'!$t$960), "", 'Data Entry'!$t$960)</f>
      </c>
      <c r="BA960">
        <f>IF(ISBLANK('Data Entry'!$u$960), "", 'Data Entry'!$u$960)</f>
      </c>
      <c r="BB960">
        <f>IF(ISBLANK('Data Entry'!$v$960), "", 'Data Entry'!$v$960)</f>
      </c>
      <c r="BC960">
        <f>IF(ISBLANK('Data Entry'!$w$960), "", 'Data Entry'!$w$960)</f>
      </c>
      <c r="BD960">
        <f>IF(ISBLANK('Data Entry'!$x$960), "", 'Data Entry'!$x$960)</f>
      </c>
      <c r="BE960">
        <f>IF(ISBLANK('Data Entry'!$y$960), "", 'Data Entry'!$y$960)</f>
      </c>
      <c r="BF960">
        <f>IF(ISBLANK('Data Entry'!$z$960), "", 'Data Entry'!$z$960)</f>
      </c>
      <c r="BG960">
        <f>IF(ISBLANK('Data Entry'!${$960), "", 'Data Entry'!${$960)</f>
      </c>
      <c r="BH960">
        <f>IF(ISBLANK('Data Entry'!$|$960), "", 'Data Entry'!$|$960)</f>
      </c>
      <c r="BI960">
        <f>IF(ISBLANK('Data Entry'!$}$960), "", 'Data Entry'!$}$960)</f>
      </c>
      <c r="BJ960">
        <f>IF(ISBLANK('Data Entry'!$~$960), "", 'Data Entry'!$~$960)</f>
      </c>
      <c r="BK960">
        <f>IF(ISBLANK('Data Entry'!$$960), "", 'Data Entry'!$$960)</f>
      </c>
      <c r="BL960">
        <f>IF(ISBLANK('Data Entry'!$$960), "", 'Data Entry'!$$960)</f>
      </c>
      <c r="BM960">
        <f>IF(ISBLANK('Data Entry'!$$960), "", 'Data Entry'!$$960)</f>
      </c>
      <c r="BN960">
        <f>IF(ISBLANK('Data Entry'!$$960), "", 'Data Entry'!$$960)</f>
      </c>
      <c r="BO960">
        <f>IF(ISBLANK('Data Entry'!$$960), "", 'Data Entry'!$$960)</f>
      </c>
      <c r="BP960">
        <f>IF(ISBLANK('Data Entry'!$$960), "", 'Data Entry'!$$960)</f>
      </c>
      <c r="BQ960">
        <f>IF(ISBLANK('Data Entry'!$$960), "", 'Data Entry'!$$960)</f>
      </c>
      <c r="BR960">
        <f>IF(ISBLANK('Data Entry'!$$960), "", 'Data Entry'!$$960)</f>
      </c>
      <c r="BS960">
        <f>IF(ISBLANK('Data Entry'!$$960), "", 'Data Entry'!$$960)</f>
      </c>
      <c r="BT960">
        <f>IF(ISBLANK('Data Entry'!$$960), "", 'Data Entry'!$$960)</f>
      </c>
      <c r="BU960">
        <f>IF(ISBLANK('Data Entry'!$$960), "", 'Data Entry'!$$960)</f>
      </c>
      <c r="BV960">
        <f>IF(ISBLANK('Data Entry'!$$960), "", 'Data Entry'!$$960)</f>
      </c>
      <c r="BW960">
        <f>IF(ISBLANK('Data Entry'!$$960), "", 'Data Entry'!$$960)</f>
      </c>
      <c r="BX960">
        <f>IF(ISBLANK('Data Entry'!$$960), "", 'Data Entry'!$$960)</f>
      </c>
      <c r="BY960">
        <f>IF(ISBLANK('Data Entry'!$$960), "", 'Data Entry'!$$960)</f>
      </c>
      <c r="BZ960">
        <f>IF(ISBLANK('Data Entry'!$$960), "", 'Data Entry'!$$960)</f>
      </c>
      <c r="CA960">
        <f>IF(ISBLANK('Data Entry'!$$960), "", 'Data Entry'!$$960)</f>
      </c>
      <c r="CB960">
        <f>IF(ISBLANK('Data Entry'!$$960), "", 'Data Entry'!$$960)</f>
      </c>
      <c r="CC960">
        <f>IF(ISBLANK('Data Entry'!$$960), "", 'Data Entry'!$$960)</f>
      </c>
      <c r="CD960">
        <f>IF(ISBLANK('Data Entry'!$$960), "", 'Data Entry'!$$960)</f>
      </c>
      <c r="CE960">
        <f>IF(ISBLANK('Data Entry'!$$960), "", 'Data Entry'!$$960)</f>
      </c>
      <c r="CF960">
        <f>IF(ISBLANK('Data Entry'!$$960), "", 'Data Entry'!$$960)</f>
      </c>
      <c r="CG960">
        <f>IF(ISBLANK('Data Entry'!$$960), "", 'Data Entry'!$$960)</f>
      </c>
      <c r="CH960">
        <f>IF(ISBLANK('Data Entry'!$$960), "", 'Data Entry'!$$960)</f>
      </c>
      <c r="CI960">
        <f>IF(ISBLANK('Data Entry'!$$960), "", 'Data Entry'!$$960)</f>
      </c>
      <c r="CJ960">
        <f>IF(ISBLANK('Data Entry'!$$960), "", 'Data Entry'!$$960)</f>
      </c>
      <c r="CK960">
        <f>IF(ISBLANK('Data Entry'!$$960), "", 'Data Entry'!$$960)</f>
      </c>
      <c r="CL960">
        <f>IF(ISBLANK('Data Entry'!$$960), "", 'Data Entry'!$$960)</f>
      </c>
      <c r="CM960">
        <f>IF(ISBLANK('Data Entry'!$$960), "", 'Data Entry'!$$960)</f>
      </c>
      <c r="CN960">
        <f>IF(ISBLANK('Data Entry'!$$960), "", 'Data Entry'!$$960)</f>
      </c>
      <c r="CO960">
        <f>IF(ISBLANK('Data Entry'!$$960), "", 'Data Entry'!$$960)</f>
      </c>
      <c r="CP960">
        <f>IF(ISBLANK('Data Entry'!$$960), "", 'Data Entry'!$$960)</f>
      </c>
      <c r="CQ960">
        <f>IF(ISBLANK('Data Entry'!$$960), "", 'Data Entry'!$$960)</f>
      </c>
      <c r="CR960">
        <f>IF(ISBLANK('Data Entry'!$ $960), "", 'Data Entry'!$ $960)</f>
      </c>
      <c r="CS960">
        <f>IF(ISBLANK('Data Entry'!$¡$960), "", 'Data Entry'!$¡$960)</f>
      </c>
      <c r="CT960">
        <f>IF(ISBLANK('Data Entry'!$¢$960), "", 'Data Entry'!$¢$960)</f>
      </c>
      <c r="CU960">
        <f>IF(ISBLANK('Data Entry'!$£$960), "", 'Data Entry'!$£$960)</f>
      </c>
      <c r="CV960">
        <f>IF(ISBLANK('Data Entry'!$¤$960), "", 'Data Entry'!$¤$960)</f>
      </c>
      <c r="CW960">
        <f>IF(ISBLANK('Data Entry'!$¥$960), "", 'Data Entry'!$¥$960)</f>
      </c>
      <c r="CX960">
        <f>IF(ISBLANK('Data Entry'!$¦$960), "", 'Data Entry'!$¦$960)</f>
      </c>
      <c r="CY960">
        <f>IF(ISBLANK('Data Entry'!$§$960), "", 'Data Entry'!$§$960)</f>
      </c>
      <c r="CZ960">
        <f>IF(ISBLANK('Data Entry'!$¨$960), "", 'Data Entry'!$¨$960)</f>
      </c>
      <c r="DA960">
        <f>IF(ISBLANK('Data Entry'!$©$960), "", 'Data Entry'!$©$960)</f>
      </c>
      <c r="DB960">
        <f>IF(ISBLANK('Data Entry'!$ª$960), "", 'Data Entry'!$ª$960)</f>
      </c>
      <c r="DC960">
        <f>IF(ISBLANK('Data Entry'!$«$960), "", 'Data Entry'!$«$960)</f>
      </c>
      <c r="DD960">
        <f>IF(ISBLANK('Data Entry'!$¬$960), "", 'Data Entry'!$¬$960)</f>
      </c>
      <c r="DE960">
        <f>IF(ISBLANK('Data Entry'!$­$960), "", 'Data Entry'!$­$960)</f>
      </c>
      <c r="DF960">
        <f>IF(ISBLANK('Data Entry'!$®$960), "", 'Data Entry'!$®$960)</f>
      </c>
      <c r="DG960">
        <f>IF(ISBLANK('Data Entry'!$¯$960), "", 'Data Entry'!$¯$960)</f>
      </c>
      <c r="DH960">
        <f>IF(ISBLANK('Data Entry'!$°$960), "", 'Data Entry'!$°$960)</f>
      </c>
      <c r="DI960">
        <f>IF(ISBLANK('Data Entry'!$±$960), "", 'Data Entry'!$±$960)</f>
      </c>
      <c r="DJ960">
        <f>IF(ISBLANK('Data Entry'!$²$960), "", 'Data Entry'!$²$960)</f>
      </c>
      <c r="DK960">
        <f>IF(ISBLANK('Data Entry'!$³$960), "", 'Data Entry'!$³$960)</f>
      </c>
      <c r="DL960">
        <f>IF(ISBLANK('Data Entry'!$´$960), "", 'Data Entry'!$´$960)</f>
      </c>
      <c r="DM960">
        <f>IF(ISBLANK('Data Entry'!$µ$960), "", 'Data Entry'!$µ$960)</f>
      </c>
      <c r="DN960">
        <f>IF(ISBLANK('Data Entry'!$¶$960), "", 'Data Entry'!$¶$960)</f>
      </c>
      <c r="DO960">
        <f>IF(ISBLANK('Data Entry'!$·$960), "", 'Data Entry'!$·$960)</f>
      </c>
      <c r="DP960">
        <f>IF(ISBLANK('Data Entry'!$¸$960), "", 'Data Entry'!$¸$960)</f>
      </c>
      <c r="DQ960">
        <f>IF(ISBLANK('Data Entry'!$¹$960), "", 'Data Entry'!$¹$960)</f>
      </c>
      <c r="DR960">
        <f>IF(ISBLANK('Data Entry'!$º$960), "", 'Data Entry'!$º$960)</f>
      </c>
      <c r="DS960">
        <f>IF(ISBLANK('Data Entry'!$»$960), "", 'Data Entry'!$»$960)</f>
      </c>
      <c r="DT960">
        <f>IF(ISBLANK('Data Entry'!$¼$960), "", 'Data Entry'!$¼$960)</f>
      </c>
      <c r="DU960">
        <f>IF(ISBLANK('Data Entry'!$½$960), "", 'Data Entry'!$½$960)</f>
      </c>
      <c r="DV960">
        <f>IF(ISBLANK('Data Entry'!$¾$960), "", 'Data Entry'!$¾$960)</f>
      </c>
      <c r="DW960">
        <f>IF(ISBLANK('Data Entry'!$¿$960), "", 'Data Entry'!$¿$960)</f>
      </c>
      <c r="DX960">
        <f>IF(ISBLANK('Data Entry'!$À$960), "", 'Data Entry'!$À$960)</f>
      </c>
      <c r="DY960">
        <f>IF(ISBLANK('Data Entry'!$Á$960), "", 'Data Entry'!$Á$960)</f>
      </c>
      <c r="DZ960">
        <f>IF(ISBLANK('Data Entry'!$Â$960), "", 'Data Entry'!$Â$960)</f>
      </c>
      <c r="EA960">
        <f>IF(ISBLANK('Data Entry'!$Ã$960), "", 'Data Entry'!$Ã$960)</f>
      </c>
      <c r="EB960">
        <f>IF(ISBLANK('Data Entry'!$Ä$960), "", 'Data Entry'!$Ä$960)</f>
      </c>
      <c r="EC960">
        <f>IF(ISBLANK('Data Entry'!$Å$960), "", 'Data Entry'!$Å$960)</f>
      </c>
      <c r="ED960">
        <f>IF(ISBLANK('Data Entry'!$Æ$960), "", 'Data Entry'!$Æ$960)</f>
      </c>
      <c r="EE960">
        <f>IF(ISBLANK('Data Entry'!$Ç$960), "", 'Data Entry'!$Ç$960)</f>
      </c>
      <c r="EF960">
        <f>IF(ISBLANK('Data Entry'!$È$960), "", 'Data Entry'!$È$960)</f>
      </c>
      <c r="EG960">
        <f>IF(ISBLANK('Data Entry'!$É$960), "", 'Data Entry'!$É$960)</f>
      </c>
      <c r="EH960">
        <f>IF(ISBLANK('Data Entry'!$Ê$960), "", 'Data Entry'!$Ê$960)</f>
      </c>
      <c r="EI960">
        <f>IF(ISBLANK('Data Entry'!$Ë$960), "", 'Data Entry'!$Ë$960)</f>
      </c>
      <c r="EJ960">
        <f>IF(ISBLANK('Data Entry'!$Ì$960), "", 'Data Entry'!$Ì$960)</f>
      </c>
      <c r="EK960">
        <f>IF(ISBLANK('Data Entry'!$Í$960), "", 'Data Entry'!$Í$960)</f>
      </c>
      <c r="EL960">
        <f>IF(ISBLANK('Data Entry'!$Î$960), "", 'Data Entry'!$Î$960)</f>
      </c>
      <c r="EM960">
        <f>IF(ISBLANK('Data Entry'!$Ï$960), "", 'Data Entry'!$Ï$960)</f>
      </c>
      <c r="EN960">
        <f>IF(ISBLANK('Data Entry'!$Ð$960), "", 'Data Entry'!$Ð$960)</f>
      </c>
      <c r="EO960">
        <f>IF(ISBLANK('Data Entry'!$Ñ$960), "", 'Data Entry'!$Ñ$960)</f>
      </c>
      <c r="EP960">
        <f>IF(ISBLANK('Data Entry'!$Ò$960), "", 'Data Entry'!$Ò$960)</f>
      </c>
      <c r="EQ960">
        <f>IF(ISBLANK('Data Entry'!$Ó$960), "", 'Data Entry'!$Ó$960)</f>
      </c>
      <c r="ER960">
        <f>IF(ISBLANK('Data Entry'!$Ô$960), "", 'Data Entry'!$Ô$960)</f>
      </c>
      <c r="ES960">
        <f>IF(ISBLANK('Data Entry'!$Õ$960), "", 'Data Entry'!$Õ$960)</f>
      </c>
      <c r="ET960">
        <f>IF(ISBLANK('Data Entry'!$Ö$960), "", 'Data Entry'!$Ö$960)</f>
      </c>
      <c r="EU960">
        <f>IF(ISBLANK('Data Entry'!$×$960), "", 'Data Entry'!$×$960)</f>
      </c>
      <c r="EV960">
        <f>IF(ISBLANK('Data Entry'!$Ø$960), "", 'Data Entry'!$Ø$960)</f>
      </c>
      <c r="EW960">
        <f>IF(ISBLANK('Data Entry'!$Ù$960), "", 'Data Entry'!$Ù$960)</f>
      </c>
      <c r="EX960">
        <f>IF(ISBLANK('Data Entry'!$Ú$960), "", 'Data Entry'!$Ú$960)</f>
      </c>
      <c r="EY960">
        <f>IF(ISBLANK('Data Entry'!$Û$960), "", 'Data Entry'!$Û$960)</f>
      </c>
      <c r="EZ960">
        <f>IF(ISBLANK('Data Entry'!$Ü$960), "", 'Data Entry'!$Ü$960)</f>
      </c>
      <c r="FA960">
        <f>IF(ISBLANK('Data Entry'!$Ý$960), "", 'Data Entry'!$Ý$960)</f>
      </c>
      <c r="FB960">
        <f>IF(ISBLANK('Data Entry'!$Þ$960), "", 'Data Entry'!$Þ$960)</f>
      </c>
      <c r="FC960">
        <f>IF(ISBLANK('Data Entry'!$ß$960), "", 'Data Entry'!$ß$960)</f>
      </c>
      <c r="FD960">
        <f>IF(ISBLANK('Data Entry'!$à$960), "", 'Data Entry'!$à$960)</f>
      </c>
      <c r="FE960">
        <f>IF(ISBLANK('Data Entry'!$á$960), "", 'Data Entry'!$á$960)</f>
      </c>
      <c r="FF960">
        <f>IF(ISBLANK('Data Entry'!$â$960), "", 'Data Entry'!$â$960)</f>
      </c>
      <c r="FG960">
        <f>IF(ISBLANK('Data Entry'!$ã$960), "", 'Data Entry'!$ã$960)</f>
      </c>
      <c r="FH960">
        <f>IF(ISBLANK('Data Entry'!$ä$960), "", 'Data Entry'!$ä$960)</f>
      </c>
      <c r="FI960">
        <f>IF(ISBLANK('Data Entry'!$å$960), "", 'Data Entry'!$å$960)</f>
      </c>
      <c r="FJ960">
        <f>IF(ISBLANK('Data Entry'!$æ$960), "", 'Data Entry'!$æ$960)</f>
      </c>
      <c r="FK960">
        <f>IF(ISBLANK('Data Entry'!$ç$960), "", 'Data Entry'!$ç$960)</f>
      </c>
      <c r="FL960">
        <f>IF(ISBLANK('Data Entry'!$è$960), "", 'Data Entry'!$è$960)</f>
      </c>
      <c r="FM960">
        <f>IF(ISBLANK('Data Entry'!$é$960), "", 'Data Entry'!$é$960)</f>
      </c>
      <c r="FN960">
        <f>IF(ISBLANK('Data Entry'!$ê$960), "", 'Data Entry'!$ê$960)</f>
      </c>
      <c r="FO960">
        <f>IF(ISBLANK('Data Entry'!$ë$960), "", 'Data Entry'!$ë$960)</f>
      </c>
      <c r="FP960">
        <f>IF(ISBLANK('Data Entry'!$ì$960), "", 'Data Entry'!$ì$960)</f>
      </c>
      <c r="FQ960">
        <f>IF(ISBLANK('Data Entry'!$í$960), "", 'Data Entry'!$í$960)</f>
      </c>
      <c r="FR960">
        <f>IF(ISBLANK('Data Entry'!$î$960), "", 'Data Entry'!$î$960)</f>
      </c>
      <c r="FS960">
        <f>IF(ISBLANK('Data Entry'!$ï$960), "", 'Data Entry'!$ï$960)</f>
      </c>
      <c r="FT960">
        <f>IF(ISBLANK('Data Entry'!$ð$960), "", 'Data Entry'!$ð$960)</f>
      </c>
      <c r="FU960">
        <f>IF(ISBLANK('Data Entry'!$ñ$960), "", 'Data Entry'!$ñ$960)</f>
      </c>
      <c r="FV960">
        <f>IF(ISBLANK('Data Entry'!$ò$960), "", 'Data Entry'!$ò$960)</f>
      </c>
      <c r="FW960">
        <f>IF(ISBLANK('Data Entry'!$ó$960), "", 'Data Entry'!$ó$960)</f>
      </c>
      <c r="FX960">
        <f>IF(ISBLANK('Data Entry'!$ô$960), "", 'Data Entry'!$ô$960)</f>
      </c>
      <c r="FY960">
        <f>IF(ISBLANK('Data Entry'!$õ$960), "", 'Data Entry'!$õ$960)</f>
      </c>
      <c r="FZ960">
        <f>IF(ISBLANK('Data Entry'!$ö$960), "", 'Data Entry'!$ö$960)</f>
      </c>
      <c r="GA960">
        <f>IF(ISBLANK('Data Entry'!$÷$960), "", 'Data Entry'!$÷$960)</f>
      </c>
      <c r="GB960">
        <f>IF(ISBLANK('Data Entry'!$ø$960), "", 'Data Entry'!$ø$960)</f>
      </c>
      <c r="GC960">
        <f>IF(ISBLANK('Data Entry'!$ù$960), "", 'Data Entry'!$ù$960)</f>
      </c>
      <c r="GD960">
        <f>IF(ISBLANK('Data Entry'!$ú$960), "", 'Data Entry'!$ú$960)</f>
      </c>
      <c r="GE960">
        <f>IF(ISBLANK('Data Entry'!$û$960), "", 'Data Entry'!$û$960)</f>
      </c>
      <c r="GF960">
        <f>IF(ISBLANK('Data Entry'!$ü$960), "", 'Data Entry'!$ü$960)</f>
      </c>
      <c r="GG960">
        <f>IF(ISBLANK('Data Entry'!$ý$960), "", 'Data Entry'!$ý$960)</f>
      </c>
      <c r="GH960">
        <f>IF(ISBLANK('Data Entry'!$þ$960), "", 'Data Entry'!$þ$960)</f>
      </c>
      <c r="GI960">
        <f>IF(ISBLANK('Data Entry'!$ÿ$960), "", 'Data Entry'!$ÿ$960)</f>
      </c>
      <c r="GJ960">
        <f>IF(ISBLANK('Data Entry'!$Ā$960), "", 'Data Entry'!$Ā$960)</f>
      </c>
      <c r="GK960">
        <f>IF(ISBLANK('Data Entry'!$ā$960), "", 'Data Entry'!$ā$960)</f>
      </c>
      <c r="GL960">
        <f>IF(ISBLANK('Data Entry'!$Ă$960), "", 'Data Entry'!$Ă$960)</f>
      </c>
      <c r="GM960">
        <f>IF(ISBLANK('Data Entry'!$ă$960), "", 'Data Entry'!$ă$960)</f>
      </c>
      <c r="GN960">
        <f>IF(ISBLANK('Data Entry'!$Ą$960), "", 'Data Entry'!$Ą$960)</f>
      </c>
      <c r="GO960">
        <f>IF(ISBLANK('Data Entry'!$ą$960), "", 'Data Entry'!$ą$960)</f>
      </c>
      <c r="GP960">
        <f>IF(ISBLANK('Data Entry'!$Ć$960), "", 'Data Entry'!$Ć$960)</f>
      </c>
      <c r="GQ960">
        <f>IF(ISBLANK('Data Entry'!$ć$960), "", 'Data Entry'!$ć$960)</f>
      </c>
      <c r="GR960">
        <f>IF(ISBLANK('Data Entry'!$Ĉ$960), "", 'Data Entry'!$Ĉ$960)</f>
      </c>
      <c r="GS960">
        <f>IF(ISBLANK('Data Entry'!$ĉ$960), "", 'Data Entry'!$ĉ$960)</f>
      </c>
      <c r="GT960">
        <f>IF(ISBLANK('Data Entry'!$Ċ$960), "", 'Data Entry'!$Ċ$960)</f>
      </c>
      <c r="GU960">
        <f>IF(ISBLANK('Data Entry'!$ċ$960), "", 'Data Entry'!$ċ$960)</f>
      </c>
      <c r="GV960">
        <f>IF(ISBLANK('Data Entry'!$Č$960), "", 'Data Entry'!$Č$960)</f>
      </c>
      <c r="GW960">
        <f>IF(ISBLANK('Data Entry'!$č$960), "", 'Data Entry'!$č$960)</f>
      </c>
      <c r="GX960">
        <f>IF(ISBLANK('Data Entry'!$Ď$960), "", 'Data Entry'!$Ď$960)</f>
      </c>
      <c r="GY960">
        <f>IF(ISBLANK('Data Entry'!$ď$960), "", 'Data Entry'!$ď$960)</f>
      </c>
      <c r="GZ960">
        <f>IF(ISBLANK('Data Entry'!$Đ$960), "", 'Data Entry'!$Đ$960)</f>
      </c>
      <c r="HA960">
        <f>IF(ISBLANK('Data Entry'!$đ$960), "", 'Data Entry'!$đ$960)</f>
      </c>
      <c r="HB960">
        <f>IF(ISBLANK('Data Entry'!$Ē$960), "", 'Data Entry'!$Ē$960)</f>
      </c>
      <c r="HC960">
        <f>IF(ISBLANK('Data Entry'!$ē$960), "", 'Data Entry'!$ē$960)</f>
      </c>
      <c r="HD960">
        <f>IF(ISBLANK('Data Entry'!$Ĕ$960), "", 'Data Entry'!$Ĕ$960)</f>
      </c>
      <c r="HE960">
        <f>IF(ISBLANK('Data Entry'!$ĕ$960), "", 'Data Entry'!$ĕ$960)</f>
      </c>
      <c r="HF960">
        <f>IF(ISBLANK('Data Entry'!$Ė$960), "", 'Data Entry'!$Ė$960)</f>
      </c>
      <c r="HG960">
        <f>IF(ISBLANK('Data Entry'!$ė$960), "", 'Data Entry'!$ė$960)</f>
      </c>
      <c r="HH960">
        <f>IF(ISBLANK('Data Entry'!$Ę$960), "", 'Data Entry'!$Ę$960)</f>
      </c>
      <c r="HI960">
        <f>IF(ISBLANK('Data Entry'!$ę$960), "", 'Data Entry'!$ę$960)</f>
      </c>
      <c r="HJ960">
        <f>IF(ISBLANK('Data Entry'!$Ě$960), "", 'Data Entry'!$Ě$960)</f>
      </c>
      <c r="HK960">
        <f>IF(ISBLANK('Data Entry'!$ě$960), "", 'Data Entry'!$ě$960)</f>
      </c>
      <c r="HL960">
        <f>IF(ISBLANK('Data Entry'!$Ĝ$960), "", 'Data Entry'!$Ĝ$960)</f>
      </c>
      <c r="HM960">
        <f>IF(ISBLANK('Data Entry'!$ĝ$960), "", 'Data Entry'!$ĝ$960)</f>
      </c>
      <c r="HN960">
        <f>IF(ISBLANK('Data Entry'!$Ğ$960), "", 'Data Entry'!$Ğ$960)</f>
      </c>
      <c r="HO960">
        <f>IF(ISBLANK('Data Entry'!$ğ$960), "", 'Data Entry'!$ğ$960)</f>
      </c>
      <c r="HP960">
        <f>IF(ISBLANK('Data Entry'!$Ġ$960), "", 'Data Entry'!$Ġ$960)</f>
      </c>
      <c r="HQ960">
        <f>IF(ISBLANK('Data Entry'!$ġ$960), "", 'Data Entry'!$ġ$960)</f>
      </c>
      <c r="HR960">
        <f>IF(ISBLANK('Data Entry'!$Ģ$960), "", 'Data Entry'!$Ģ$960)</f>
      </c>
      <c r="HS960">
        <f>IF(ISBLANK('Data Entry'!$ģ$960), "", 'Data Entry'!$ģ$960)</f>
      </c>
      <c r="HT960">
        <f>IF(ISBLANK('Data Entry'!$Ĥ$960), "", 'Data Entry'!$Ĥ$960)</f>
      </c>
      <c r="HU960">
        <f>IF(ISBLANK('Data Entry'!$ĥ$960), "", 'Data Entry'!$ĥ$960)</f>
      </c>
      <c r="HV960">
        <f>IF(ISBLANK('Data Entry'!$Ħ$960), "", 'Data Entry'!$Ħ$960)</f>
      </c>
      <c r="HW960">
        <f>IF(ISBLANK('Data Entry'!$ħ$960), "", 'Data Entry'!$ħ$960)</f>
      </c>
      <c r="HX960">
        <f>IF(ISBLANK('Data Entry'!$Ĩ$960), "", 'Data Entry'!$Ĩ$960)</f>
      </c>
      <c r="HY960">
        <f>IF(ISBLANK('Data Entry'!$ĩ$960), "", 'Data Entry'!$ĩ$960)</f>
      </c>
      <c r="HZ960">
        <f>IF(ISBLANK('Data Entry'!$Ī$960), "", 'Data Entry'!$Ī$960)</f>
      </c>
      <c r="IA960">
        <f>IF(ISBLANK('Data Entry'!$ī$960), "", 'Data Entry'!$ī$960)</f>
      </c>
      <c r="IB960">
        <f>IF(ISBLANK('Data Entry'!$Ĭ$960), "", 'Data Entry'!$Ĭ$960)</f>
      </c>
      <c r="IC960">
        <f>IF(ISBLANK('Data Entry'!$ĭ$960), "", 'Data Entry'!$ĭ$960)</f>
      </c>
      <c r="ID960">
        <f>IF(ISBLANK('Data Entry'!$Į$960), "", 'Data Entry'!$Į$960)</f>
      </c>
      <c r="IE960">
        <f>IF(ISBLANK('Data Entry'!$į$960), "", 'Data Entry'!$į$960)</f>
      </c>
      <c r="IF960">
        <f>IF(ISBLANK('Data Entry'!$İ$960), "", 'Data Entry'!$İ$960)</f>
      </c>
      <c r="IG960">
        <f>IF(ISBLANK('Data Entry'!$ı$960), "", 'Data Entry'!$ı$960)</f>
      </c>
      <c r="IH960">
        <f>IF(ISBLANK('Data Entry'!$Ĳ$960), "", 'Data Entry'!$Ĳ$960)</f>
      </c>
      <c r="II960">
        <f>IF(ISBLANK('Data Entry'!$ĳ$960), "", 'Data Entry'!$ĳ$960)</f>
      </c>
      <c r="IJ960">
        <f>IF(ISBLANK('Data Entry'!$Ĵ$960), "", 'Data Entry'!$Ĵ$960)</f>
      </c>
      <c r="IK960">
        <f>IF(ISBLANK('Data Entry'!$ĵ$960), "", 'Data Entry'!$ĵ$960)</f>
      </c>
      <c r="IL960">
        <f>IF(ISBLANK('Data Entry'!$Ķ$960), "", 'Data Entry'!$Ķ$960)</f>
      </c>
      <c r="IM960">
        <f>IF(ISBLANK('Data Entry'!$ķ$960), "", 'Data Entry'!$ķ$960)</f>
      </c>
      <c r="IN960">
        <f>IF(ISBLANK('Data Entry'!$ĸ$960), "", 'Data Entry'!$ĸ$960)</f>
      </c>
      <c r="IO960">
        <f>IF(ISBLANK('Data Entry'!$Ĺ$960), "", 'Data Entry'!$Ĺ$960)</f>
      </c>
      <c r="IP960">
        <f>IF(ISBLANK('Data Entry'!$ĺ$960), "", 'Data Entry'!$ĺ$960)</f>
      </c>
      <c r="IQ960">
        <f>IF(ISBLANK('Data Entry'!$Ļ$960), "", 'Data Entry'!$Ļ$960)</f>
      </c>
      <c r="IR960">
        <f>IF(ISBLANK('Data Entry'!$ļ$960), "", 'Data Entry'!$ļ$960)</f>
      </c>
      <c r="IS960">
        <f>IF(ISBLANK('Data Entry'!$Ľ$960), "", 'Data Entry'!$Ľ$960)</f>
      </c>
      <c r="IT960">
        <f>IF(ISBLANK('Data Entry'!$ľ$960), "", 'Data Entry'!$ľ$960)</f>
      </c>
    </row>
    <row r="961" spans="1:254" x14ac:dyDescent="0.25">
      <c r="A961">
        <f>IF(ISBLANK('Data Entry'!$A$961), "", 'Data Entry'!$A$961)</f>
      </c>
      <c r="B961">
        <f>IF(ISBLANK('Data Entry'!$B$961), "", 'Data Entry'!$B$961)</f>
      </c>
      <c r="C961">
        <f>IF(ISBLANK('Data Entry'!$C$961), "", 'Data Entry'!$C$961)</f>
      </c>
      <c r="D961">
        <f>IF(ISBLANK('Data Entry'!$D$961), "", 'Data Entry'!$D$961)</f>
      </c>
      <c r="E961">
        <f>IF(ISBLANK('Data Entry'!$E$961), "", 'Data Entry'!$E$961)</f>
      </c>
      <c r="F961">
        <f>IF(ISBLANK('Data Entry'!$F$961), "", 'Data Entry'!$F$961)</f>
      </c>
      <c r="G961">
        <f>IF(ISBLANK('Data Entry'!$G$961), "", 'Data Entry'!$G$961)</f>
      </c>
      <c r="H961">
        <f>IF(ISBLANK('Data Entry'!$H$961), "", 'Data Entry'!$H$961)</f>
      </c>
      <c r="I961">
        <f>IF(ISBLANK('Data Entry'!$I$961), "", 'Data Entry'!$I$961)</f>
      </c>
      <c r="J961">
        <f>IF(ISBLANK('Data Entry'!$J$961), "", 'Data Entry'!$J$961)</f>
      </c>
      <c r="K961">
        <f>IF(ISBLANK('Data Entry'!$K$961), "", 'Data Entry'!$K$961)</f>
      </c>
      <c r="L961">
        <f>IF(ISBLANK('Data Entry'!$L$961), "", 'Data Entry'!$L$961)</f>
      </c>
      <c r="M961">
        <f>IF(ISBLANK('Data Entry'!$M$961), "", 'Data Entry'!$M$961)</f>
      </c>
      <c r="N961">
        <f>IF(ISBLANK('Data Entry'!$N$961), "", 'Data Entry'!$N$961)</f>
      </c>
      <c r="O961">
        <f>IF(ISBLANK('Data Entry'!$O$961), "", 'Data Entry'!$O$961)</f>
      </c>
      <c r="P961">
        <f>IF(ISBLANK('Data Entry'!$P$961), "", 'Data Entry'!$P$961)</f>
      </c>
      <c r="Q961">
        <f>IF(ISBLANK('Data Entry'!$Q$961), "", 'Data Entry'!$Q$961)</f>
      </c>
      <c r="R961">
        <f>IF(ISBLANK('Data Entry'!$R$961), "", 'Data Entry'!$R$961)</f>
      </c>
      <c r="S961">
        <f>IF(ISBLANK('Data Entry'!$S$961), "", 'Data Entry'!$S$961)</f>
      </c>
      <c r="T961">
        <f>IF(ISBLANK('Data Entry'!$T$961), "", 'Data Entry'!$T$961)</f>
      </c>
      <c r="U961">
        <f>IF(ISBLANK('Data Entry'!$U$961), "", 'Data Entry'!$U$961)</f>
      </c>
      <c r="V961">
        <f>IF(ISBLANK('Data Entry'!$V$961), "", 'Data Entry'!$V$961)</f>
      </c>
      <c r="W961">
        <f>IF(ISBLANK('Data Entry'!$W$961), "", 'Data Entry'!$W$961)</f>
      </c>
      <c r="X961">
        <f>IF(ISBLANK('Data Entry'!$X$961), "", 'Data Entry'!$X$961)</f>
      </c>
      <c r="Y961">
        <f>IF(ISBLANK('Data Entry'!$Y$961), "", 'Data Entry'!$Y$961)</f>
      </c>
      <c r="Z961">
        <f>IF(ISBLANK('Data Entry'!$Z$961), "", 'Data Entry'!$Z$961)</f>
      </c>
      <c r="AA961">
        <f>IF(ISBLANK('Data Entry'!$[$961), "", 'Data Entry'!$[$961)</f>
      </c>
      <c r="AB961">
        <f>IF(ISBLANK('Data Entry'!$\$961), "", 'Data Entry'!$\$961)</f>
      </c>
      <c r="AC961">
        <f>IF(ISBLANK('Data Entry'!$]$961), "", 'Data Entry'!$]$961)</f>
      </c>
      <c r="AD961">
        <f>IF(ISBLANK('Data Entry'!$^$961), "", 'Data Entry'!$^$961)</f>
      </c>
      <c r="AE961">
        <f>IF(ISBLANK('Data Entry'!$_$961), "", 'Data Entry'!$_$961)</f>
      </c>
      <c r="AF961">
        <f>IF(ISBLANK('Data Entry'!$`$961), "", 'Data Entry'!$`$961)</f>
      </c>
      <c r="AG961">
        <f>IF(ISBLANK('Data Entry'!$a$961), "", 'Data Entry'!$a$961)</f>
      </c>
      <c r="AH961">
        <f>IF(ISBLANK('Data Entry'!$b$961), "", 'Data Entry'!$b$961)</f>
      </c>
      <c r="AI961">
        <f>IF(ISBLANK('Data Entry'!$c$961), "", 'Data Entry'!$c$961)</f>
      </c>
      <c r="AJ961">
        <f>IF(ISBLANK('Data Entry'!$d$961), "", 'Data Entry'!$d$961)</f>
      </c>
      <c r="AK961">
        <f>IF(ISBLANK('Data Entry'!$e$961), "", 'Data Entry'!$e$961)</f>
      </c>
      <c r="AL961">
        <f>IF(ISBLANK('Data Entry'!$f$961), "", 'Data Entry'!$f$961)</f>
      </c>
      <c r="AM961">
        <f>IF(ISBLANK('Data Entry'!$g$961), "", 'Data Entry'!$g$961)</f>
      </c>
      <c r="AN961">
        <f>IF(ISBLANK('Data Entry'!$h$961), "", 'Data Entry'!$h$961)</f>
      </c>
      <c r="AO961">
        <f>IF(ISBLANK('Data Entry'!$i$961), "", 'Data Entry'!$i$961)</f>
      </c>
      <c r="AP961">
        <f>IF(ISBLANK('Data Entry'!$j$961), "", 'Data Entry'!$j$961)</f>
      </c>
      <c r="AQ961">
        <f>IF(ISBLANK('Data Entry'!$k$961), "", 'Data Entry'!$k$961)</f>
      </c>
      <c r="AR961">
        <f>IF(ISBLANK('Data Entry'!$l$961), "", 'Data Entry'!$l$961)</f>
      </c>
      <c r="AS961">
        <f>IF(ISBLANK('Data Entry'!$m$961), "", 'Data Entry'!$m$961)</f>
      </c>
      <c r="AT961">
        <f>IF(ISBLANK('Data Entry'!$n$961), "", 'Data Entry'!$n$961)</f>
      </c>
      <c r="AU961">
        <f>IF(ISBLANK('Data Entry'!$o$961), "", 'Data Entry'!$o$961)</f>
      </c>
      <c r="AV961">
        <f>IF(ISBLANK('Data Entry'!$p$961), "", 'Data Entry'!$p$961)</f>
      </c>
      <c r="AW961">
        <f>IF(ISBLANK('Data Entry'!$q$961), "", 'Data Entry'!$q$961)</f>
      </c>
      <c r="AX961">
        <f>IF(ISBLANK('Data Entry'!$r$961), "", 'Data Entry'!$r$961)</f>
      </c>
      <c r="AY961">
        <f>IF(ISBLANK('Data Entry'!$s$961), "", 'Data Entry'!$s$961)</f>
      </c>
      <c r="AZ961">
        <f>IF(ISBLANK('Data Entry'!$t$961), "", 'Data Entry'!$t$961)</f>
      </c>
      <c r="BA961">
        <f>IF(ISBLANK('Data Entry'!$u$961), "", 'Data Entry'!$u$961)</f>
      </c>
      <c r="BB961">
        <f>IF(ISBLANK('Data Entry'!$v$961), "", 'Data Entry'!$v$961)</f>
      </c>
      <c r="BC961">
        <f>IF(ISBLANK('Data Entry'!$w$961), "", 'Data Entry'!$w$961)</f>
      </c>
      <c r="BD961">
        <f>IF(ISBLANK('Data Entry'!$x$961), "", 'Data Entry'!$x$961)</f>
      </c>
      <c r="BE961">
        <f>IF(ISBLANK('Data Entry'!$y$961), "", 'Data Entry'!$y$961)</f>
      </c>
      <c r="BF961">
        <f>IF(ISBLANK('Data Entry'!$z$961), "", 'Data Entry'!$z$961)</f>
      </c>
      <c r="BG961">
        <f>IF(ISBLANK('Data Entry'!${$961), "", 'Data Entry'!${$961)</f>
      </c>
      <c r="BH961">
        <f>IF(ISBLANK('Data Entry'!$|$961), "", 'Data Entry'!$|$961)</f>
      </c>
      <c r="BI961">
        <f>IF(ISBLANK('Data Entry'!$}$961), "", 'Data Entry'!$}$961)</f>
      </c>
      <c r="BJ961">
        <f>IF(ISBLANK('Data Entry'!$~$961), "", 'Data Entry'!$~$961)</f>
      </c>
      <c r="BK961">
        <f>IF(ISBLANK('Data Entry'!$$961), "", 'Data Entry'!$$961)</f>
      </c>
      <c r="BL961">
        <f>IF(ISBLANK('Data Entry'!$$961), "", 'Data Entry'!$$961)</f>
      </c>
      <c r="BM961">
        <f>IF(ISBLANK('Data Entry'!$$961), "", 'Data Entry'!$$961)</f>
      </c>
      <c r="BN961">
        <f>IF(ISBLANK('Data Entry'!$$961), "", 'Data Entry'!$$961)</f>
      </c>
      <c r="BO961">
        <f>IF(ISBLANK('Data Entry'!$$961), "", 'Data Entry'!$$961)</f>
      </c>
      <c r="BP961">
        <f>IF(ISBLANK('Data Entry'!$$961), "", 'Data Entry'!$$961)</f>
      </c>
      <c r="BQ961">
        <f>IF(ISBLANK('Data Entry'!$$961), "", 'Data Entry'!$$961)</f>
      </c>
      <c r="BR961">
        <f>IF(ISBLANK('Data Entry'!$$961), "", 'Data Entry'!$$961)</f>
      </c>
      <c r="BS961">
        <f>IF(ISBLANK('Data Entry'!$$961), "", 'Data Entry'!$$961)</f>
      </c>
      <c r="BT961">
        <f>IF(ISBLANK('Data Entry'!$$961), "", 'Data Entry'!$$961)</f>
      </c>
      <c r="BU961">
        <f>IF(ISBLANK('Data Entry'!$$961), "", 'Data Entry'!$$961)</f>
      </c>
      <c r="BV961">
        <f>IF(ISBLANK('Data Entry'!$$961), "", 'Data Entry'!$$961)</f>
      </c>
      <c r="BW961">
        <f>IF(ISBLANK('Data Entry'!$$961), "", 'Data Entry'!$$961)</f>
      </c>
      <c r="BX961">
        <f>IF(ISBLANK('Data Entry'!$$961), "", 'Data Entry'!$$961)</f>
      </c>
      <c r="BY961">
        <f>IF(ISBLANK('Data Entry'!$$961), "", 'Data Entry'!$$961)</f>
      </c>
      <c r="BZ961">
        <f>IF(ISBLANK('Data Entry'!$$961), "", 'Data Entry'!$$961)</f>
      </c>
      <c r="CA961">
        <f>IF(ISBLANK('Data Entry'!$$961), "", 'Data Entry'!$$961)</f>
      </c>
      <c r="CB961">
        <f>IF(ISBLANK('Data Entry'!$$961), "", 'Data Entry'!$$961)</f>
      </c>
      <c r="CC961">
        <f>IF(ISBLANK('Data Entry'!$$961), "", 'Data Entry'!$$961)</f>
      </c>
      <c r="CD961">
        <f>IF(ISBLANK('Data Entry'!$$961), "", 'Data Entry'!$$961)</f>
      </c>
      <c r="CE961">
        <f>IF(ISBLANK('Data Entry'!$$961), "", 'Data Entry'!$$961)</f>
      </c>
      <c r="CF961">
        <f>IF(ISBLANK('Data Entry'!$$961), "", 'Data Entry'!$$961)</f>
      </c>
      <c r="CG961">
        <f>IF(ISBLANK('Data Entry'!$$961), "", 'Data Entry'!$$961)</f>
      </c>
      <c r="CH961">
        <f>IF(ISBLANK('Data Entry'!$$961), "", 'Data Entry'!$$961)</f>
      </c>
      <c r="CI961">
        <f>IF(ISBLANK('Data Entry'!$$961), "", 'Data Entry'!$$961)</f>
      </c>
      <c r="CJ961">
        <f>IF(ISBLANK('Data Entry'!$$961), "", 'Data Entry'!$$961)</f>
      </c>
      <c r="CK961">
        <f>IF(ISBLANK('Data Entry'!$$961), "", 'Data Entry'!$$961)</f>
      </c>
      <c r="CL961">
        <f>IF(ISBLANK('Data Entry'!$$961), "", 'Data Entry'!$$961)</f>
      </c>
      <c r="CM961">
        <f>IF(ISBLANK('Data Entry'!$$961), "", 'Data Entry'!$$961)</f>
      </c>
      <c r="CN961">
        <f>IF(ISBLANK('Data Entry'!$$961), "", 'Data Entry'!$$961)</f>
      </c>
      <c r="CO961">
        <f>IF(ISBLANK('Data Entry'!$$961), "", 'Data Entry'!$$961)</f>
      </c>
      <c r="CP961">
        <f>IF(ISBLANK('Data Entry'!$$961), "", 'Data Entry'!$$961)</f>
      </c>
      <c r="CQ961">
        <f>IF(ISBLANK('Data Entry'!$$961), "", 'Data Entry'!$$961)</f>
      </c>
      <c r="CR961">
        <f>IF(ISBLANK('Data Entry'!$ $961), "", 'Data Entry'!$ $961)</f>
      </c>
      <c r="CS961">
        <f>IF(ISBLANK('Data Entry'!$¡$961), "", 'Data Entry'!$¡$961)</f>
      </c>
      <c r="CT961">
        <f>IF(ISBLANK('Data Entry'!$¢$961), "", 'Data Entry'!$¢$961)</f>
      </c>
      <c r="CU961">
        <f>IF(ISBLANK('Data Entry'!$£$961), "", 'Data Entry'!$£$961)</f>
      </c>
      <c r="CV961">
        <f>IF(ISBLANK('Data Entry'!$¤$961), "", 'Data Entry'!$¤$961)</f>
      </c>
      <c r="CW961">
        <f>IF(ISBLANK('Data Entry'!$¥$961), "", 'Data Entry'!$¥$961)</f>
      </c>
      <c r="CX961">
        <f>IF(ISBLANK('Data Entry'!$¦$961), "", 'Data Entry'!$¦$961)</f>
      </c>
      <c r="CY961">
        <f>IF(ISBLANK('Data Entry'!$§$961), "", 'Data Entry'!$§$961)</f>
      </c>
      <c r="CZ961">
        <f>IF(ISBLANK('Data Entry'!$¨$961), "", 'Data Entry'!$¨$961)</f>
      </c>
      <c r="DA961">
        <f>IF(ISBLANK('Data Entry'!$©$961), "", 'Data Entry'!$©$961)</f>
      </c>
      <c r="DB961">
        <f>IF(ISBLANK('Data Entry'!$ª$961), "", 'Data Entry'!$ª$961)</f>
      </c>
      <c r="DC961">
        <f>IF(ISBLANK('Data Entry'!$«$961), "", 'Data Entry'!$«$961)</f>
      </c>
      <c r="DD961">
        <f>IF(ISBLANK('Data Entry'!$¬$961), "", 'Data Entry'!$¬$961)</f>
      </c>
      <c r="DE961">
        <f>IF(ISBLANK('Data Entry'!$­$961), "", 'Data Entry'!$­$961)</f>
      </c>
      <c r="DF961">
        <f>IF(ISBLANK('Data Entry'!$®$961), "", 'Data Entry'!$®$961)</f>
      </c>
      <c r="DG961">
        <f>IF(ISBLANK('Data Entry'!$¯$961), "", 'Data Entry'!$¯$961)</f>
      </c>
      <c r="DH961">
        <f>IF(ISBLANK('Data Entry'!$°$961), "", 'Data Entry'!$°$961)</f>
      </c>
      <c r="DI961">
        <f>IF(ISBLANK('Data Entry'!$±$961), "", 'Data Entry'!$±$961)</f>
      </c>
      <c r="DJ961">
        <f>IF(ISBLANK('Data Entry'!$²$961), "", 'Data Entry'!$²$961)</f>
      </c>
      <c r="DK961">
        <f>IF(ISBLANK('Data Entry'!$³$961), "", 'Data Entry'!$³$961)</f>
      </c>
      <c r="DL961">
        <f>IF(ISBLANK('Data Entry'!$´$961), "", 'Data Entry'!$´$961)</f>
      </c>
      <c r="DM961">
        <f>IF(ISBLANK('Data Entry'!$µ$961), "", 'Data Entry'!$µ$961)</f>
      </c>
      <c r="DN961">
        <f>IF(ISBLANK('Data Entry'!$¶$961), "", 'Data Entry'!$¶$961)</f>
      </c>
      <c r="DO961">
        <f>IF(ISBLANK('Data Entry'!$·$961), "", 'Data Entry'!$·$961)</f>
      </c>
      <c r="DP961">
        <f>IF(ISBLANK('Data Entry'!$¸$961), "", 'Data Entry'!$¸$961)</f>
      </c>
      <c r="DQ961">
        <f>IF(ISBLANK('Data Entry'!$¹$961), "", 'Data Entry'!$¹$961)</f>
      </c>
      <c r="DR961">
        <f>IF(ISBLANK('Data Entry'!$º$961), "", 'Data Entry'!$º$961)</f>
      </c>
      <c r="DS961">
        <f>IF(ISBLANK('Data Entry'!$»$961), "", 'Data Entry'!$»$961)</f>
      </c>
      <c r="DT961">
        <f>IF(ISBLANK('Data Entry'!$¼$961), "", 'Data Entry'!$¼$961)</f>
      </c>
      <c r="DU961">
        <f>IF(ISBLANK('Data Entry'!$½$961), "", 'Data Entry'!$½$961)</f>
      </c>
      <c r="DV961">
        <f>IF(ISBLANK('Data Entry'!$¾$961), "", 'Data Entry'!$¾$961)</f>
      </c>
      <c r="DW961">
        <f>IF(ISBLANK('Data Entry'!$¿$961), "", 'Data Entry'!$¿$961)</f>
      </c>
      <c r="DX961">
        <f>IF(ISBLANK('Data Entry'!$À$961), "", 'Data Entry'!$À$961)</f>
      </c>
      <c r="DY961">
        <f>IF(ISBLANK('Data Entry'!$Á$961), "", 'Data Entry'!$Á$961)</f>
      </c>
      <c r="DZ961">
        <f>IF(ISBLANK('Data Entry'!$Â$961), "", 'Data Entry'!$Â$961)</f>
      </c>
      <c r="EA961">
        <f>IF(ISBLANK('Data Entry'!$Ã$961), "", 'Data Entry'!$Ã$961)</f>
      </c>
      <c r="EB961">
        <f>IF(ISBLANK('Data Entry'!$Ä$961), "", 'Data Entry'!$Ä$961)</f>
      </c>
      <c r="EC961">
        <f>IF(ISBLANK('Data Entry'!$Å$961), "", 'Data Entry'!$Å$961)</f>
      </c>
      <c r="ED961">
        <f>IF(ISBLANK('Data Entry'!$Æ$961), "", 'Data Entry'!$Æ$961)</f>
      </c>
      <c r="EE961">
        <f>IF(ISBLANK('Data Entry'!$Ç$961), "", 'Data Entry'!$Ç$961)</f>
      </c>
      <c r="EF961">
        <f>IF(ISBLANK('Data Entry'!$È$961), "", 'Data Entry'!$È$961)</f>
      </c>
      <c r="EG961">
        <f>IF(ISBLANK('Data Entry'!$É$961), "", 'Data Entry'!$É$961)</f>
      </c>
      <c r="EH961">
        <f>IF(ISBLANK('Data Entry'!$Ê$961), "", 'Data Entry'!$Ê$961)</f>
      </c>
      <c r="EI961">
        <f>IF(ISBLANK('Data Entry'!$Ë$961), "", 'Data Entry'!$Ë$961)</f>
      </c>
      <c r="EJ961">
        <f>IF(ISBLANK('Data Entry'!$Ì$961), "", 'Data Entry'!$Ì$961)</f>
      </c>
      <c r="EK961">
        <f>IF(ISBLANK('Data Entry'!$Í$961), "", 'Data Entry'!$Í$961)</f>
      </c>
      <c r="EL961">
        <f>IF(ISBLANK('Data Entry'!$Î$961), "", 'Data Entry'!$Î$961)</f>
      </c>
      <c r="EM961">
        <f>IF(ISBLANK('Data Entry'!$Ï$961), "", 'Data Entry'!$Ï$961)</f>
      </c>
      <c r="EN961">
        <f>IF(ISBLANK('Data Entry'!$Ð$961), "", 'Data Entry'!$Ð$961)</f>
      </c>
      <c r="EO961">
        <f>IF(ISBLANK('Data Entry'!$Ñ$961), "", 'Data Entry'!$Ñ$961)</f>
      </c>
      <c r="EP961">
        <f>IF(ISBLANK('Data Entry'!$Ò$961), "", 'Data Entry'!$Ò$961)</f>
      </c>
      <c r="EQ961">
        <f>IF(ISBLANK('Data Entry'!$Ó$961), "", 'Data Entry'!$Ó$961)</f>
      </c>
      <c r="ER961">
        <f>IF(ISBLANK('Data Entry'!$Ô$961), "", 'Data Entry'!$Ô$961)</f>
      </c>
      <c r="ES961">
        <f>IF(ISBLANK('Data Entry'!$Õ$961), "", 'Data Entry'!$Õ$961)</f>
      </c>
      <c r="ET961">
        <f>IF(ISBLANK('Data Entry'!$Ö$961), "", 'Data Entry'!$Ö$961)</f>
      </c>
      <c r="EU961">
        <f>IF(ISBLANK('Data Entry'!$×$961), "", 'Data Entry'!$×$961)</f>
      </c>
      <c r="EV961">
        <f>IF(ISBLANK('Data Entry'!$Ø$961), "", 'Data Entry'!$Ø$961)</f>
      </c>
      <c r="EW961">
        <f>IF(ISBLANK('Data Entry'!$Ù$961), "", 'Data Entry'!$Ù$961)</f>
      </c>
      <c r="EX961">
        <f>IF(ISBLANK('Data Entry'!$Ú$961), "", 'Data Entry'!$Ú$961)</f>
      </c>
      <c r="EY961">
        <f>IF(ISBLANK('Data Entry'!$Û$961), "", 'Data Entry'!$Û$961)</f>
      </c>
      <c r="EZ961">
        <f>IF(ISBLANK('Data Entry'!$Ü$961), "", 'Data Entry'!$Ü$961)</f>
      </c>
      <c r="FA961">
        <f>IF(ISBLANK('Data Entry'!$Ý$961), "", 'Data Entry'!$Ý$961)</f>
      </c>
      <c r="FB961">
        <f>IF(ISBLANK('Data Entry'!$Þ$961), "", 'Data Entry'!$Þ$961)</f>
      </c>
      <c r="FC961">
        <f>IF(ISBLANK('Data Entry'!$ß$961), "", 'Data Entry'!$ß$961)</f>
      </c>
      <c r="FD961">
        <f>IF(ISBLANK('Data Entry'!$à$961), "", 'Data Entry'!$à$961)</f>
      </c>
      <c r="FE961">
        <f>IF(ISBLANK('Data Entry'!$á$961), "", 'Data Entry'!$á$961)</f>
      </c>
      <c r="FF961">
        <f>IF(ISBLANK('Data Entry'!$â$961), "", 'Data Entry'!$â$961)</f>
      </c>
      <c r="FG961">
        <f>IF(ISBLANK('Data Entry'!$ã$961), "", 'Data Entry'!$ã$961)</f>
      </c>
      <c r="FH961">
        <f>IF(ISBLANK('Data Entry'!$ä$961), "", 'Data Entry'!$ä$961)</f>
      </c>
      <c r="FI961">
        <f>IF(ISBLANK('Data Entry'!$å$961), "", 'Data Entry'!$å$961)</f>
      </c>
      <c r="FJ961">
        <f>IF(ISBLANK('Data Entry'!$æ$961), "", 'Data Entry'!$æ$961)</f>
      </c>
      <c r="FK961">
        <f>IF(ISBLANK('Data Entry'!$ç$961), "", 'Data Entry'!$ç$961)</f>
      </c>
      <c r="FL961">
        <f>IF(ISBLANK('Data Entry'!$è$961), "", 'Data Entry'!$è$961)</f>
      </c>
      <c r="FM961">
        <f>IF(ISBLANK('Data Entry'!$é$961), "", 'Data Entry'!$é$961)</f>
      </c>
      <c r="FN961">
        <f>IF(ISBLANK('Data Entry'!$ê$961), "", 'Data Entry'!$ê$961)</f>
      </c>
      <c r="FO961">
        <f>IF(ISBLANK('Data Entry'!$ë$961), "", 'Data Entry'!$ë$961)</f>
      </c>
      <c r="FP961">
        <f>IF(ISBLANK('Data Entry'!$ì$961), "", 'Data Entry'!$ì$961)</f>
      </c>
      <c r="FQ961">
        <f>IF(ISBLANK('Data Entry'!$í$961), "", 'Data Entry'!$í$961)</f>
      </c>
      <c r="FR961">
        <f>IF(ISBLANK('Data Entry'!$î$961), "", 'Data Entry'!$î$961)</f>
      </c>
      <c r="FS961">
        <f>IF(ISBLANK('Data Entry'!$ï$961), "", 'Data Entry'!$ï$961)</f>
      </c>
      <c r="FT961">
        <f>IF(ISBLANK('Data Entry'!$ð$961), "", 'Data Entry'!$ð$961)</f>
      </c>
      <c r="FU961">
        <f>IF(ISBLANK('Data Entry'!$ñ$961), "", 'Data Entry'!$ñ$961)</f>
      </c>
      <c r="FV961">
        <f>IF(ISBLANK('Data Entry'!$ò$961), "", 'Data Entry'!$ò$961)</f>
      </c>
      <c r="FW961">
        <f>IF(ISBLANK('Data Entry'!$ó$961), "", 'Data Entry'!$ó$961)</f>
      </c>
      <c r="FX961">
        <f>IF(ISBLANK('Data Entry'!$ô$961), "", 'Data Entry'!$ô$961)</f>
      </c>
      <c r="FY961">
        <f>IF(ISBLANK('Data Entry'!$õ$961), "", 'Data Entry'!$õ$961)</f>
      </c>
      <c r="FZ961">
        <f>IF(ISBLANK('Data Entry'!$ö$961), "", 'Data Entry'!$ö$961)</f>
      </c>
      <c r="GA961">
        <f>IF(ISBLANK('Data Entry'!$÷$961), "", 'Data Entry'!$÷$961)</f>
      </c>
      <c r="GB961">
        <f>IF(ISBLANK('Data Entry'!$ø$961), "", 'Data Entry'!$ø$961)</f>
      </c>
      <c r="GC961">
        <f>IF(ISBLANK('Data Entry'!$ù$961), "", 'Data Entry'!$ù$961)</f>
      </c>
      <c r="GD961">
        <f>IF(ISBLANK('Data Entry'!$ú$961), "", 'Data Entry'!$ú$961)</f>
      </c>
      <c r="GE961">
        <f>IF(ISBLANK('Data Entry'!$û$961), "", 'Data Entry'!$û$961)</f>
      </c>
      <c r="GF961">
        <f>IF(ISBLANK('Data Entry'!$ü$961), "", 'Data Entry'!$ü$961)</f>
      </c>
      <c r="GG961">
        <f>IF(ISBLANK('Data Entry'!$ý$961), "", 'Data Entry'!$ý$961)</f>
      </c>
      <c r="GH961">
        <f>IF(ISBLANK('Data Entry'!$þ$961), "", 'Data Entry'!$þ$961)</f>
      </c>
      <c r="GI961">
        <f>IF(ISBLANK('Data Entry'!$ÿ$961), "", 'Data Entry'!$ÿ$961)</f>
      </c>
      <c r="GJ961">
        <f>IF(ISBLANK('Data Entry'!$Ā$961), "", 'Data Entry'!$Ā$961)</f>
      </c>
      <c r="GK961">
        <f>IF(ISBLANK('Data Entry'!$ā$961), "", 'Data Entry'!$ā$961)</f>
      </c>
      <c r="GL961">
        <f>IF(ISBLANK('Data Entry'!$Ă$961), "", 'Data Entry'!$Ă$961)</f>
      </c>
      <c r="GM961">
        <f>IF(ISBLANK('Data Entry'!$ă$961), "", 'Data Entry'!$ă$961)</f>
      </c>
      <c r="GN961">
        <f>IF(ISBLANK('Data Entry'!$Ą$961), "", 'Data Entry'!$Ą$961)</f>
      </c>
      <c r="GO961">
        <f>IF(ISBLANK('Data Entry'!$ą$961), "", 'Data Entry'!$ą$961)</f>
      </c>
      <c r="GP961">
        <f>IF(ISBLANK('Data Entry'!$Ć$961), "", 'Data Entry'!$Ć$961)</f>
      </c>
      <c r="GQ961">
        <f>IF(ISBLANK('Data Entry'!$ć$961), "", 'Data Entry'!$ć$961)</f>
      </c>
      <c r="GR961">
        <f>IF(ISBLANK('Data Entry'!$Ĉ$961), "", 'Data Entry'!$Ĉ$961)</f>
      </c>
      <c r="GS961">
        <f>IF(ISBLANK('Data Entry'!$ĉ$961), "", 'Data Entry'!$ĉ$961)</f>
      </c>
      <c r="GT961">
        <f>IF(ISBLANK('Data Entry'!$Ċ$961), "", 'Data Entry'!$Ċ$961)</f>
      </c>
      <c r="GU961">
        <f>IF(ISBLANK('Data Entry'!$ċ$961), "", 'Data Entry'!$ċ$961)</f>
      </c>
      <c r="GV961">
        <f>IF(ISBLANK('Data Entry'!$Č$961), "", 'Data Entry'!$Č$961)</f>
      </c>
      <c r="GW961">
        <f>IF(ISBLANK('Data Entry'!$č$961), "", 'Data Entry'!$č$961)</f>
      </c>
      <c r="GX961">
        <f>IF(ISBLANK('Data Entry'!$Ď$961), "", 'Data Entry'!$Ď$961)</f>
      </c>
      <c r="GY961">
        <f>IF(ISBLANK('Data Entry'!$ď$961), "", 'Data Entry'!$ď$961)</f>
      </c>
      <c r="GZ961">
        <f>IF(ISBLANK('Data Entry'!$Đ$961), "", 'Data Entry'!$Đ$961)</f>
      </c>
      <c r="HA961">
        <f>IF(ISBLANK('Data Entry'!$đ$961), "", 'Data Entry'!$đ$961)</f>
      </c>
      <c r="HB961">
        <f>IF(ISBLANK('Data Entry'!$Ē$961), "", 'Data Entry'!$Ē$961)</f>
      </c>
      <c r="HC961">
        <f>IF(ISBLANK('Data Entry'!$ē$961), "", 'Data Entry'!$ē$961)</f>
      </c>
      <c r="HD961">
        <f>IF(ISBLANK('Data Entry'!$Ĕ$961), "", 'Data Entry'!$Ĕ$961)</f>
      </c>
      <c r="HE961">
        <f>IF(ISBLANK('Data Entry'!$ĕ$961), "", 'Data Entry'!$ĕ$961)</f>
      </c>
      <c r="HF961">
        <f>IF(ISBLANK('Data Entry'!$Ė$961), "", 'Data Entry'!$Ė$961)</f>
      </c>
      <c r="HG961">
        <f>IF(ISBLANK('Data Entry'!$ė$961), "", 'Data Entry'!$ė$961)</f>
      </c>
      <c r="HH961">
        <f>IF(ISBLANK('Data Entry'!$Ę$961), "", 'Data Entry'!$Ę$961)</f>
      </c>
      <c r="HI961">
        <f>IF(ISBLANK('Data Entry'!$ę$961), "", 'Data Entry'!$ę$961)</f>
      </c>
      <c r="HJ961">
        <f>IF(ISBLANK('Data Entry'!$Ě$961), "", 'Data Entry'!$Ě$961)</f>
      </c>
      <c r="HK961">
        <f>IF(ISBLANK('Data Entry'!$ě$961), "", 'Data Entry'!$ě$961)</f>
      </c>
      <c r="HL961">
        <f>IF(ISBLANK('Data Entry'!$Ĝ$961), "", 'Data Entry'!$Ĝ$961)</f>
      </c>
      <c r="HM961">
        <f>IF(ISBLANK('Data Entry'!$ĝ$961), "", 'Data Entry'!$ĝ$961)</f>
      </c>
      <c r="HN961">
        <f>IF(ISBLANK('Data Entry'!$Ğ$961), "", 'Data Entry'!$Ğ$961)</f>
      </c>
      <c r="HO961">
        <f>IF(ISBLANK('Data Entry'!$ğ$961), "", 'Data Entry'!$ğ$961)</f>
      </c>
      <c r="HP961">
        <f>IF(ISBLANK('Data Entry'!$Ġ$961), "", 'Data Entry'!$Ġ$961)</f>
      </c>
      <c r="HQ961">
        <f>IF(ISBLANK('Data Entry'!$ġ$961), "", 'Data Entry'!$ġ$961)</f>
      </c>
      <c r="HR961">
        <f>IF(ISBLANK('Data Entry'!$Ģ$961), "", 'Data Entry'!$Ģ$961)</f>
      </c>
      <c r="HS961">
        <f>IF(ISBLANK('Data Entry'!$ģ$961), "", 'Data Entry'!$ģ$961)</f>
      </c>
      <c r="HT961">
        <f>IF(ISBLANK('Data Entry'!$Ĥ$961), "", 'Data Entry'!$Ĥ$961)</f>
      </c>
      <c r="HU961">
        <f>IF(ISBLANK('Data Entry'!$ĥ$961), "", 'Data Entry'!$ĥ$961)</f>
      </c>
      <c r="HV961">
        <f>IF(ISBLANK('Data Entry'!$Ħ$961), "", 'Data Entry'!$Ħ$961)</f>
      </c>
      <c r="HW961">
        <f>IF(ISBLANK('Data Entry'!$ħ$961), "", 'Data Entry'!$ħ$961)</f>
      </c>
      <c r="HX961">
        <f>IF(ISBLANK('Data Entry'!$Ĩ$961), "", 'Data Entry'!$Ĩ$961)</f>
      </c>
      <c r="HY961">
        <f>IF(ISBLANK('Data Entry'!$ĩ$961), "", 'Data Entry'!$ĩ$961)</f>
      </c>
      <c r="HZ961">
        <f>IF(ISBLANK('Data Entry'!$Ī$961), "", 'Data Entry'!$Ī$961)</f>
      </c>
      <c r="IA961">
        <f>IF(ISBLANK('Data Entry'!$ī$961), "", 'Data Entry'!$ī$961)</f>
      </c>
      <c r="IB961">
        <f>IF(ISBLANK('Data Entry'!$Ĭ$961), "", 'Data Entry'!$Ĭ$961)</f>
      </c>
      <c r="IC961">
        <f>IF(ISBLANK('Data Entry'!$ĭ$961), "", 'Data Entry'!$ĭ$961)</f>
      </c>
      <c r="ID961">
        <f>IF(ISBLANK('Data Entry'!$Į$961), "", 'Data Entry'!$Į$961)</f>
      </c>
      <c r="IE961">
        <f>IF(ISBLANK('Data Entry'!$į$961), "", 'Data Entry'!$į$961)</f>
      </c>
      <c r="IF961">
        <f>IF(ISBLANK('Data Entry'!$İ$961), "", 'Data Entry'!$İ$961)</f>
      </c>
      <c r="IG961">
        <f>IF(ISBLANK('Data Entry'!$ı$961), "", 'Data Entry'!$ı$961)</f>
      </c>
      <c r="IH961">
        <f>IF(ISBLANK('Data Entry'!$Ĳ$961), "", 'Data Entry'!$Ĳ$961)</f>
      </c>
      <c r="II961">
        <f>IF(ISBLANK('Data Entry'!$ĳ$961), "", 'Data Entry'!$ĳ$961)</f>
      </c>
      <c r="IJ961">
        <f>IF(ISBLANK('Data Entry'!$Ĵ$961), "", 'Data Entry'!$Ĵ$961)</f>
      </c>
      <c r="IK961">
        <f>IF(ISBLANK('Data Entry'!$ĵ$961), "", 'Data Entry'!$ĵ$961)</f>
      </c>
      <c r="IL961">
        <f>IF(ISBLANK('Data Entry'!$Ķ$961), "", 'Data Entry'!$Ķ$961)</f>
      </c>
      <c r="IM961">
        <f>IF(ISBLANK('Data Entry'!$ķ$961), "", 'Data Entry'!$ķ$961)</f>
      </c>
      <c r="IN961">
        <f>IF(ISBLANK('Data Entry'!$ĸ$961), "", 'Data Entry'!$ĸ$961)</f>
      </c>
      <c r="IO961">
        <f>IF(ISBLANK('Data Entry'!$Ĺ$961), "", 'Data Entry'!$Ĺ$961)</f>
      </c>
      <c r="IP961">
        <f>IF(ISBLANK('Data Entry'!$ĺ$961), "", 'Data Entry'!$ĺ$961)</f>
      </c>
      <c r="IQ961">
        <f>IF(ISBLANK('Data Entry'!$Ļ$961), "", 'Data Entry'!$Ļ$961)</f>
      </c>
      <c r="IR961">
        <f>IF(ISBLANK('Data Entry'!$ļ$961), "", 'Data Entry'!$ļ$961)</f>
      </c>
      <c r="IS961">
        <f>IF(ISBLANK('Data Entry'!$Ľ$961), "", 'Data Entry'!$Ľ$961)</f>
      </c>
      <c r="IT961">
        <f>IF(ISBLANK('Data Entry'!$ľ$961), "", 'Data Entry'!$ľ$961)</f>
      </c>
    </row>
    <row r="962" spans="1:254" x14ac:dyDescent="0.25">
      <c r="A962">
        <f>IF(ISBLANK('Data Entry'!$A$962), "", 'Data Entry'!$A$962)</f>
      </c>
      <c r="B962">
        <f>IF(ISBLANK('Data Entry'!$B$962), "", 'Data Entry'!$B$962)</f>
      </c>
      <c r="C962">
        <f>IF(ISBLANK('Data Entry'!$C$962), "", 'Data Entry'!$C$962)</f>
      </c>
      <c r="D962">
        <f>IF(ISBLANK('Data Entry'!$D$962), "", 'Data Entry'!$D$962)</f>
      </c>
      <c r="E962">
        <f>IF(ISBLANK('Data Entry'!$E$962), "", 'Data Entry'!$E$962)</f>
      </c>
      <c r="F962">
        <f>IF(ISBLANK('Data Entry'!$F$962), "", 'Data Entry'!$F$962)</f>
      </c>
      <c r="G962">
        <f>IF(ISBLANK('Data Entry'!$G$962), "", 'Data Entry'!$G$962)</f>
      </c>
      <c r="H962">
        <f>IF(ISBLANK('Data Entry'!$H$962), "", 'Data Entry'!$H$962)</f>
      </c>
      <c r="I962">
        <f>IF(ISBLANK('Data Entry'!$I$962), "", 'Data Entry'!$I$962)</f>
      </c>
      <c r="J962">
        <f>IF(ISBLANK('Data Entry'!$J$962), "", 'Data Entry'!$J$962)</f>
      </c>
      <c r="K962">
        <f>IF(ISBLANK('Data Entry'!$K$962), "", 'Data Entry'!$K$962)</f>
      </c>
      <c r="L962">
        <f>IF(ISBLANK('Data Entry'!$L$962), "", 'Data Entry'!$L$962)</f>
      </c>
      <c r="M962">
        <f>IF(ISBLANK('Data Entry'!$M$962), "", 'Data Entry'!$M$962)</f>
      </c>
      <c r="N962">
        <f>IF(ISBLANK('Data Entry'!$N$962), "", 'Data Entry'!$N$962)</f>
      </c>
      <c r="O962">
        <f>IF(ISBLANK('Data Entry'!$O$962), "", 'Data Entry'!$O$962)</f>
      </c>
      <c r="P962">
        <f>IF(ISBLANK('Data Entry'!$P$962), "", 'Data Entry'!$P$962)</f>
      </c>
      <c r="Q962">
        <f>IF(ISBLANK('Data Entry'!$Q$962), "", 'Data Entry'!$Q$962)</f>
      </c>
      <c r="R962">
        <f>IF(ISBLANK('Data Entry'!$R$962), "", 'Data Entry'!$R$962)</f>
      </c>
      <c r="S962">
        <f>IF(ISBLANK('Data Entry'!$S$962), "", 'Data Entry'!$S$962)</f>
      </c>
      <c r="T962">
        <f>IF(ISBLANK('Data Entry'!$T$962), "", 'Data Entry'!$T$962)</f>
      </c>
      <c r="U962">
        <f>IF(ISBLANK('Data Entry'!$U$962), "", 'Data Entry'!$U$962)</f>
      </c>
      <c r="V962">
        <f>IF(ISBLANK('Data Entry'!$V$962), "", 'Data Entry'!$V$962)</f>
      </c>
      <c r="W962">
        <f>IF(ISBLANK('Data Entry'!$W$962), "", 'Data Entry'!$W$962)</f>
      </c>
      <c r="X962">
        <f>IF(ISBLANK('Data Entry'!$X$962), "", 'Data Entry'!$X$962)</f>
      </c>
      <c r="Y962">
        <f>IF(ISBLANK('Data Entry'!$Y$962), "", 'Data Entry'!$Y$962)</f>
      </c>
      <c r="Z962">
        <f>IF(ISBLANK('Data Entry'!$Z$962), "", 'Data Entry'!$Z$962)</f>
      </c>
      <c r="AA962">
        <f>IF(ISBLANK('Data Entry'!$[$962), "", 'Data Entry'!$[$962)</f>
      </c>
      <c r="AB962">
        <f>IF(ISBLANK('Data Entry'!$\$962), "", 'Data Entry'!$\$962)</f>
      </c>
      <c r="AC962">
        <f>IF(ISBLANK('Data Entry'!$]$962), "", 'Data Entry'!$]$962)</f>
      </c>
      <c r="AD962">
        <f>IF(ISBLANK('Data Entry'!$^$962), "", 'Data Entry'!$^$962)</f>
      </c>
      <c r="AE962">
        <f>IF(ISBLANK('Data Entry'!$_$962), "", 'Data Entry'!$_$962)</f>
      </c>
      <c r="AF962">
        <f>IF(ISBLANK('Data Entry'!$`$962), "", 'Data Entry'!$`$962)</f>
      </c>
      <c r="AG962">
        <f>IF(ISBLANK('Data Entry'!$a$962), "", 'Data Entry'!$a$962)</f>
      </c>
      <c r="AH962">
        <f>IF(ISBLANK('Data Entry'!$b$962), "", 'Data Entry'!$b$962)</f>
      </c>
      <c r="AI962">
        <f>IF(ISBLANK('Data Entry'!$c$962), "", 'Data Entry'!$c$962)</f>
      </c>
      <c r="AJ962">
        <f>IF(ISBLANK('Data Entry'!$d$962), "", 'Data Entry'!$d$962)</f>
      </c>
      <c r="AK962">
        <f>IF(ISBLANK('Data Entry'!$e$962), "", 'Data Entry'!$e$962)</f>
      </c>
      <c r="AL962">
        <f>IF(ISBLANK('Data Entry'!$f$962), "", 'Data Entry'!$f$962)</f>
      </c>
      <c r="AM962">
        <f>IF(ISBLANK('Data Entry'!$g$962), "", 'Data Entry'!$g$962)</f>
      </c>
      <c r="AN962">
        <f>IF(ISBLANK('Data Entry'!$h$962), "", 'Data Entry'!$h$962)</f>
      </c>
      <c r="AO962">
        <f>IF(ISBLANK('Data Entry'!$i$962), "", 'Data Entry'!$i$962)</f>
      </c>
      <c r="AP962">
        <f>IF(ISBLANK('Data Entry'!$j$962), "", 'Data Entry'!$j$962)</f>
      </c>
      <c r="AQ962">
        <f>IF(ISBLANK('Data Entry'!$k$962), "", 'Data Entry'!$k$962)</f>
      </c>
      <c r="AR962">
        <f>IF(ISBLANK('Data Entry'!$l$962), "", 'Data Entry'!$l$962)</f>
      </c>
      <c r="AS962">
        <f>IF(ISBLANK('Data Entry'!$m$962), "", 'Data Entry'!$m$962)</f>
      </c>
      <c r="AT962">
        <f>IF(ISBLANK('Data Entry'!$n$962), "", 'Data Entry'!$n$962)</f>
      </c>
      <c r="AU962">
        <f>IF(ISBLANK('Data Entry'!$o$962), "", 'Data Entry'!$o$962)</f>
      </c>
      <c r="AV962">
        <f>IF(ISBLANK('Data Entry'!$p$962), "", 'Data Entry'!$p$962)</f>
      </c>
      <c r="AW962">
        <f>IF(ISBLANK('Data Entry'!$q$962), "", 'Data Entry'!$q$962)</f>
      </c>
      <c r="AX962">
        <f>IF(ISBLANK('Data Entry'!$r$962), "", 'Data Entry'!$r$962)</f>
      </c>
      <c r="AY962">
        <f>IF(ISBLANK('Data Entry'!$s$962), "", 'Data Entry'!$s$962)</f>
      </c>
      <c r="AZ962">
        <f>IF(ISBLANK('Data Entry'!$t$962), "", 'Data Entry'!$t$962)</f>
      </c>
      <c r="BA962">
        <f>IF(ISBLANK('Data Entry'!$u$962), "", 'Data Entry'!$u$962)</f>
      </c>
      <c r="BB962">
        <f>IF(ISBLANK('Data Entry'!$v$962), "", 'Data Entry'!$v$962)</f>
      </c>
      <c r="BC962">
        <f>IF(ISBLANK('Data Entry'!$w$962), "", 'Data Entry'!$w$962)</f>
      </c>
      <c r="BD962">
        <f>IF(ISBLANK('Data Entry'!$x$962), "", 'Data Entry'!$x$962)</f>
      </c>
      <c r="BE962">
        <f>IF(ISBLANK('Data Entry'!$y$962), "", 'Data Entry'!$y$962)</f>
      </c>
      <c r="BF962">
        <f>IF(ISBLANK('Data Entry'!$z$962), "", 'Data Entry'!$z$962)</f>
      </c>
      <c r="BG962">
        <f>IF(ISBLANK('Data Entry'!${$962), "", 'Data Entry'!${$962)</f>
      </c>
      <c r="BH962">
        <f>IF(ISBLANK('Data Entry'!$|$962), "", 'Data Entry'!$|$962)</f>
      </c>
      <c r="BI962">
        <f>IF(ISBLANK('Data Entry'!$}$962), "", 'Data Entry'!$}$962)</f>
      </c>
      <c r="BJ962">
        <f>IF(ISBLANK('Data Entry'!$~$962), "", 'Data Entry'!$~$962)</f>
      </c>
      <c r="BK962">
        <f>IF(ISBLANK('Data Entry'!$$962), "", 'Data Entry'!$$962)</f>
      </c>
      <c r="BL962">
        <f>IF(ISBLANK('Data Entry'!$$962), "", 'Data Entry'!$$962)</f>
      </c>
      <c r="BM962">
        <f>IF(ISBLANK('Data Entry'!$$962), "", 'Data Entry'!$$962)</f>
      </c>
      <c r="BN962">
        <f>IF(ISBLANK('Data Entry'!$$962), "", 'Data Entry'!$$962)</f>
      </c>
      <c r="BO962">
        <f>IF(ISBLANK('Data Entry'!$$962), "", 'Data Entry'!$$962)</f>
      </c>
      <c r="BP962">
        <f>IF(ISBLANK('Data Entry'!$$962), "", 'Data Entry'!$$962)</f>
      </c>
      <c r="BQ962">
        <f>IF(ISBLANK('Data Entry'!$$962), "", 'Data Entry'!$$962)</f>
      </c>
      <c r="BR962">
        <f>IF(ISBLANK('Data Entry'!$$962), "", 'Data Entry'!$$962)</f>
      </c>
      <c r="BS962">
        <f>IF(ISBLANK('Data Entry'!$$962), "", 'Data Entry'!$$962)</f>
      </c>
      <c r="BT962">
        <f>IF(ISBLANK('Data Entry'!$$962), "", 'Data Entry'!$$962)</f>
      </c>
      <c r="BU962">
        <f>IF(ISBLANK('Data Entry'!$$962), "", 'Data Entry'!$$962)</f>
      </c>
      <c r="BV962">
        <f>IF(ISBLANK('Data Entry'!$$962), "", 'Data Entry'!$$962)</f>
      </c>
      <c r="BW962">
        <f>IF(ISBLANK('Data Entry'!$$962), "", 'Data Entry'!$$962)</f>
      </c>
      <c r="BX962">
        <f>IF(ISBLANK('Data Entry'!$$962), "", 'Data Entry'!$$962)</f>
      </c>
      <c r="BY962">
        <f>IF(ISBLANK('Data Entry'!$$962), "", 'Data Entry'!$$962)</f>
      </c>
      <c r="BZ962">
        <f>IF(ISBLANK('Data Entry'!$$962), "", 'Data Entry'!$$962)</f>
      </c>
      <c r="CA962">
        <f>IF(ISBLANK('Data Entry'!$$962), "", 'Data Entry'!$$962)</f>
      </c>
      <c r="CB962">
        <f>IF(ISBLANK('Data Entry'!$$962), "", 'Data Entry'!$$962)</f>
      </c>
      <c r="CC962">
        <f>IF(ISBLANK('Data Entry'!$$962), "", 'Data Entry'!$$962)</f>
      </c>
      <c r="CD962">
        <f>IF(ISBLANK('Data Entry'!$$962), "", 'Data Entry'!$$962)</f>
      </c>
      <c r="CE962">
        <f>IF(ISBLANK('Data Entry'!$$962), "", 'Data Entry'!$$962)</f>
      </c>
      <c r="CF962">
        <f>IF(ISBLANK('Data Entry'!$$962), "", 'Data Entry'!$$962)</f>
      </c>
      <c r="CG962">
        <f>IF(ISBLANK('Data Entry'!$$962), "", 'Data Entry'!$$962)</f>
      </c>
      <c r="CH962">
        <f>IF(ISBLANK('Data Entry'!$$962), "", 'Data Entry'!$$962)</f>
      </c>
      <c r="CI962">
        <f>IF(ISBLANK('Data Entry'!$$962), "", 'Data Entry'!$$962)</f>
      </c>
      <c r="CJ962">
        <f>IF(ISBLANK('Data Entry'!$$962), "", 'Data Entry'!$$962)</f>
      </c>
      <c r="CK962">
        <f>IF(ISBLANK('Data Entry'!$$962), "", 'Data Entry'!$$962)</f>
      </c>
      <c r="CL962">
        <f>IF(ISBLANK('Data Entry'!$$962), "", 'Data Entry'!$$962)</f>
      </c>
      <c r="CM962">
        <f>IF(ISBLANK('Data Entry'!$$962), "", 'Data Entry'!$$962)</f>
      </c>
      <c r="CN962">
        <f>IF(ISBLANK('Data Entry'!$$962), "", 'Data Entry'!$$962)</f>
      </c>
      <c r="CO962">
        <f>IF(ISBLANK('Data Entry'!$$962), "", 'Data Entry'!$$962)</f>
      </c>
      <c r="CP962">
        <f>IF(ISBLANK('Data Entry'!$$962), "", 'Data Entry'!$$962)</f>
      </c>
      <c r="CQ962">
        <f>IF(ISBLANK('Data Entry'!$$962), "", 'Data Entry'!$$962)</f>
      </c>
      <c r="CR962">
        <f>IF(ISBLANK('Data Entry'!$ $962), "", 'Data Entry'!$ $962)</f>
      </c>
      <c r="CS962">
        <f>IF(ISBLANK('Data Entry'!$¡$962), "", 'Data Entry'!$¡$962)</f>
      </c>
      <c r="CT962">
        <f>IF(ISBLANK('Data Entry'!$¢$962), "", 'Data Entry'!$¢$962)</f>
      </c>
      <c r="CU962">
        <f>IF(ISBLANK('Data Entry'!$£$962), "", 'Data Entry'!$£$962)</f>
      </c>
      <c r="CV962">
        <f>IF(ISBLANK('Data Entry'!$¤$962), "", 'Data Entry'!$¤$962)</f>
      </c>
      <c r="CW962">
        <f>IF(ISBLANK('Data Entry'!$¥$962), "", 'Data Entry'!$¥$962)</f>
      </c>
      <c r="CX962">
        <f>IF(ISBLANK('Data Entry'!$¦$962), "", 'Data Entry'!$¦$962)</f>
      </c>
      <c r="CY962">
        <f>IF(ISBLANK('Data Entry'!$§$962), "", 'Data Entry'!$§$962)</f>
      </c>
      <c r="CZ962">
        <f>IF(ISBLANK('Data Entry'!$¨$962), "", 'Data Entry'!$¨$962)</f>
      </c>
      <c r="DA962">
        <f>IF(ISBLANK('Data Entry'!$©$962), "", 'Data Entry'!$©$962)</f>
      </c>
      <c r="DB962">
        <f>IF(ISBLANK('Data Entry'!$ª$962), "", 'Data Entry'!$ª$962)</f>
      </c>
      <c r="DC962">
        <f>IF(ISBLANK('Data Entry'!$«$962), "", 'Data Entry'!$«$962)</f>
      </c>
      <c r="DD962">
        <f>IF(ISBLANK('Data Entry'!$¬$962), "", 'Data Entry'!$¬$962)</f>
      </c>
      <c r="DE962">
        <f>IF(ISBLANK('Data Entry'!$­$962), "", 'Data Entry'!$­$962)</f>
      </c>
      <c r="DF962">
        <f>IF(ISBLANK('Data Entry'!$®$962), "", 'Data Entry'!$®$962)</f>
      </c>
      <c r="DG962">
        <f>IF(ISBLANK('Data Entry'!$¯$962), "", 'Data Entry'!$¯$962)</f>
      </c>
      <c r="DH962">
        <f>IF(ISBLANK('Data Entry'!$°$962), "", 'Data Entry'!$°$962)</f>
      </c>
      <c r="DI962">
        <f>IF(ISBLANK('Data Entry'!$±$962), "", 'Data Entry'!$±$962)</f>
      </c>
      <c r="DJ962">
        <f>IF(ISBLANK('Data Entry'!$²$962), "", 'Data Entry'!$²$962)</f>
      </c>
      <c r="DK962">
        <f>IF(ISBLANK('Data Entry'!$³$962), "", 'Data Entry'!$³$962)</f>
      </c>
      <c r="DL962">
        <f>IF(ISBLANK('Data Entry'!$´$962), "", 'Data Entry'!$´$962)</f>
      </c>
      <c r="DM962">
        <f>IF(ISBLANK('Data Entry'!$µ$962), "", 'Data Entry'!$µ$962)</f>
      </c>
      <c r="DN962">
        <f>IF(ISBLANK('Data Entry'!$¶$962), "", 'Data Entry'!$¶$962)</f>
      </c>
      <c r="DO962">
        <f>IF(ISBLANK('Data Entry'!$·$962), "", 'Data Entry'!$·$962)</f>
      </c>
      <c r="DP962">
        <f>IF(ISBLANK('Data Entry'!$¸$962), "", 'Data Entry'!$¸$962)</f>
      </c>
      <c r="DQ962">
        <f>IF(ISBLANK('Data Entry'!$¹$962), "", 'Data Entry'!$¹$962)</f>
      </c>
      <c r="DR962">
        <f>IF(ISBLANK('Data Entry'!$º$962), "", 'Data Entry'!$º$962)</f>
      </c>
      <c r="DS962">
        <f>IF(ISBLANK('Data Entry'!$»$962), "", 'Data Entry'!$»$962)</f>
      </c>
      <c r="DT962">
        <f>IF(ISBLANK('Data Entry'!$¼$962), "", 'Data Entry'!$¼$962)</f>
      </c>
      <c r="DU962">
        <f>IF(ISBLANK('Data Entry'!$½$962), "", 'Data Entry'!$½$962)</f>
      </c>
      <c r="DV962">
        <f>IF(ISBLANK('Data Entry'!$¾$962), "", 'Data Entry'!$¾$962)</f>
      </c>
      <c r="DW962">
        <f>IF(ISBLANK('Data Entry'!$¿$962), "", 'Data Entry'!$¿$962)</f>
      </c>
      <c r="DX962">
        <f>IF(ISBLANK('Data Entry'!$À$962), "", 'Data Entry'!$À$962)</f>
      </c>
      <c r="DY962">
        <f>IF(ISBLANK('Data Entry'!$Á$962), "", 'Data Entry'!$Á$962)</f>
      </c>
      <c r="DZ962">
        <f>IF(ISBLANK('Data Entry'!$Â$962), "", 'Data Entry'!$Â$962)</f>
      </c>
      <c r="EA962">
        <f>IF(ISBLANK('Data Entry'!$Ã$962), "", 'Data Entry'!$Ã$962)</f>
      </c>
      <c r="EB962">
        <f>IF(ISBLANK('Data Entry'!$Ä$962), "", 'Data Entry'!$Ä$962)</f>
      </c>
      <c r="EC962">
        <f>IF(ISBLANK('Data Entry'!$Å$962), "", 'Data Entry'!$Å$962)</f>
      </c>
      <c r="ED962">
        <f>IF(ISBLANK('Data Entry'!$Æ$962), "", 'Data Entry'!$Æ$962)</f>
      </c>
      <c r="EE962">
        <f>IF(ISBLANK('Data Entry'!$Ç$962), "", 'Data Entry'!$Ç$962)</f>
      </c>
      <c r="EF962">
        <f>IF(ISBLANK('Data Entry'!$È$962), "", 'Data Entry'!$È$962)</f>
      </c>
      <c r="EG962">
        <f>IF(ISBLANK('Data Entry'!$É$962), "", 'Data Entry'!$É$962)</f>
      </c>
      <c r="EH962">
        <f>IF(ISBLANK('Data Entry'!$Ê$962), "", 'Data Entry'!$Ê$962)</f>
      </c>
      <c r="EI962">
        <f>IF(ISBLANK('Data Entry'!$Ë$962), "", 'Data Entry'!$Ë$962)</f>
      </c>
      <c r="EJ962">
        <f>IF(ISBLANK('Data Entry'!$Ì$962), "", 'Data Entry'!$Ì$962)</f>
      </c>
      <c r="EK962">
        <f>IF(ISBLANK('Data Entry'!$Í$962), "", 'Data Entry'!$Í$962)</f>
      </c>
      <c r="EL962">
        <f>IF(ISBLANK('Data Entry'!$Î$962), "", 'Data Entry'!$Î$962)</f>
      </c>
      <c r="EM962">
        <f>IF(ISBLANK('Data Entry'!$Ï$962), "", 'Data Entry'!$Ï$962)</f>
      </c>
      <c r="EN962">
        <f>IF(ISBLANK('Data Entry'!$Ð$962), "", 'Data Entry'!$Ð$962)</f>
      </c>
      <c r="EO962">
        <f>IF(ISBLANK('Data Entry'!$Ñ$962), "", 'Data Entry'!$Ñ$962)</f>
      </c>
      <c r="EP962">
        <f>IF(ISBLANK('Data Entry'!$Ò$962), "", 'Data Entry'!$Ò$962)</f>
      </c>
      <c r="EQ962">
        <f>IF(ISBLANK('Data Entry'!$Ó$962), "", 'Data Entry'!$Ó$962)</f>
      </c>
      <c r="ER962">
        <f>IF(ISBLANK('Data Entry'!$Ô$962), "", 'Data Entry'!$Ô$962)</f>
      </c>
      <c r="ES962">
        <f>IF(ISBLANK('Data Entry'!$Õ$962), "", 'Data Entry'!$Õ$962)</f>
      </c>
      <c r="ET962">
        <f>IF(ISBLANK('Data Entry'!$Ö$962), "", 'Data Entry'!$Ö$962)</f>
      </c>
      <c r="EU962">
        <f>IF(ISBLANK('Data Entry'!$×$962), "", 'Data Entry'!$×$962)</f>
      </c>
      <c r="EV962">
        <f>IF(ISBLANK('Data Entry'!$Ø$962), "", 'Data Entry'!$Ø$962)</f>
      </c>
      <c r="EW962">
        <f>IF(ISBLANK('Data Entry'!$Ù$962), "", 'Data Entry'!$Ù$962)</f>
      </c>
      <c r="EX962">
        <f>IF(ISBLANK('Data Entry'!$Ú$962), "", 'Data Entry'!$Ú$962)</f>
      </c>
      <c r="EY962">
        <f>IF(ISBLANK('Data Entry'!$Û$962), "", 'Data Entry'!$Û$962)</f>
      </c>
      <c r="EZ962">
        <f>IF(ISBLANK('Data Entry'!$Ü$962), "", 'Data Entry'!$Ü$962)</f>
      </c>
      <c r="FA962">
        <f>IF(ISBLANK('Data Entry'!$Ý$962), "", 'Data Entry'!$Ý$962)</f>
      </c>
      <c r="FB962">
        <f>IF(ISBLANK('Data Entry'!$Þ$962), "", 'Data Entry'!$Þ$962)</f>
      </c>
      <c r="FC962">
        <f>IF(ISBLANK('Data Entry'!$ß$962), "", 'Data Entry'!$ß$962)</f>
      </c>
      <c r="FD962">
        <f>IF(ISBLANK('Data Entry'!$à$962), "", 'Data Entry'!$à$962)</f>
      </c>
      <c r="FE962">
        <f>IF(ISBLANK('Data Entry'!$á$962), "", 'Data Entry'!$á$962)</f>
      </c>
      <c r="FF962">
        <f>IF(ISBLANK('Data Entry'!$â$962), "", 'Data Entry'!$â$962)</f>
      </c>
      <c r="FG962">
        <f>IF(ISBLANK('Data Entry'!$ã$962), "", 'Data Entry'!$ã$962)</f>
      </c>
      <c r="FH962">
        <f>IF(ISBLANK('Data Entry'!$ä$962), "", 'Data Entry'!$ä$962)</f>
      </c>
      <c r="FI962">
        <f>IF(ISBLANK('Data Entry'!$å$962), "", 'Data Entry'!$å$962)</f>
      </c>
      <c r="FJ962">
        <f>IF(ISBLANK('Data Entry'!$æ$962), "", 'Data Entry'!$æ$962)</f>
      </c>
      <c r="FK962">
        <f>IF(ISBLANK('Data Entry'!$ç$962), "", 'Data Entry'!$ç$962)</f>
      </c>
      <c r="FL962">
        <f>IF(ISBLANK('Data Entry'!$è$962), "", 'Data Entry'!$è$962)</f>
      </c>
      <c r="FM962">
        <f>IF(ISBLANK('Data Entry'!$é$962), "", 'Data Entry'!$é$962)</f>
      </c>
      <c r="FN962">
        <f>IF(ISBLANK('Data Entry'!$ê$962), "", 'Data Entry'!$ê$962)</f>
      </c>
      <c r="FO962">
        <f>IF(ISBLANK('Data Entry'!$ë$962), "", 'Data Entry'!$ë$962)</f>
      </c>
      <c r="FP962">
        <f>IF(ISBLANK('Data Entry'!$ì$962), "", 'Data Entry'!$ì$962)</f>
      </c>
      <c r="FQ962">
        <f>IF(ISBLANK('Data Entry'!$í$962), "", 'Data Entry'!$í$962)</f>
      </c>
      <c r="FR962">
        <f>IF(ISBLANK('Data Entry'!$î$962), "", 'Data Entry'!$î$962)</f>
      </c>
      <c r="FS962">
        <f>IF(ISBLANK('Data Entry'!$ï$962), "", 'Data Entry'!$ï$962)</f>
      </c>
      <c r="FT962">
        <f>IF(ISBLANK('Data Entry'!$ð$962), "", 'Data Entry'!$ð$962)</f>
      </c>
      <c r="FU962">
        <f>IF(ISBLANK('Data Entry'!$ñ$962), "", 'Data Entry'!$ñ$962)</f>
      </c>
      <c r="FV962">
        <f>IF(ISBLANK('Data Entry'!$ò$962), "", 'Data Entry'!$ò$962)</f>
      </c>
      <c r="FW962">
        <f>IF(ISBLANK('Data Entry'!$ó$962), "", 'Data Entry'!$ó$962)</f>
      </c>
      <c r="FX962">
        <f>IF(ISBLANK('Data Entry'!$ô$962), "", 'Data Entry'!$ô$962)</f>
      </c>
      <c r="FY962">
        <f>IF(ISBLANK('Data Entry'!$õ$962), "", 'Data Entry'!$õ$962)</f>
      </c>
      <c r="FZ962">
        <f>IF(ISBLANK('Data Entry'!$ö$962), "", 'Data Entry'!$ö$962)</f>
      </c>
      <c r="GA962">
        <f>IF(ISBLANK('Data Entry'!$÷$962), "", 'Data Entry'!$÷$962)</f>
      </c>
      <c r="GB962">
        <f>IF(ISBLANK('Data Entry'!$ø$962), "", 'Data Entry'!$ø$962)</f>
      </c>
      <c r="GC962">
        <f>IF(ISBLANK('Data Entry'!$ù$962), "", 'Data Entry'!$ù$962)</f>
      </c>
      <c r="GD962">
        <f>IF(ISBLANK('Data Entry'!$ú$962), "", 'Data Entry'!$ú$962)</f>
      </c>
      <c r="GE962">
        <f>IF(ISBLANK('Data Entry'!$û$962), "", 'Data Entry'!$û$962)</f>
      </c>
      <c r="GF962">
        <f>IF(ISBLANK('Data Entry'!$ü$962), "", 'Data Entry'!$ü$962)</f>
      </c>
      <c r="GG962">
        <f>IF(ISBLANK('Data Entry'!$ý$962), "", 'Data Entry'!$ý$962)</f>
      </c>
      <c r="GH962">
        <f>IF(ISBLANK('Data Entry'!$þ$962), "", 'Data Entry'!$þ$962)</f>
      </c>
      <c r="GI962">
        <f>IF(ISBLANK('Data Entry'!$ÿ$962), "", 'Data Entry'!$ÿ$962)</f>
      </c>
      <c r="GJ962">
        <f>IF(ISBLANK('Data Entry'!$Ā$962), "", 'Data Entry'!$Ā$962)</f>
      </c>
      <c r="GK962">
        <f>IF(ISBLANK('Data Entry'!$ā$962), "", 'Data Entry'!$ā$962)</f>
      </c>
      <c r="GL962">
        <f>IF(ISBLANK('Data Entry'!$Ă$962), "", 'Data Entry'!$Ă$962)</f>
      </c>
      <c r="GM962">
        <f>IF(ISBLANK('Data Entry'!$ă$962), "", 'Data Entry'!$ă$962)</f>
      </c>
      <c r="GN962">
        <f>IF(ISBLANK('Data Entry'!$Ą$962), "", 'Data Entry'!$Ą$962)</f>
      </c>
      <c r="GO962">
        <f>IF(ISBLANK('Data Entry'!$ą$962), "", 'Data Entry'!$ą$962)</f>
      </c>
      <c r="GP962">
        <f>IF(ISBLANK('Data Entry'!$Ć$962), "", 'Data Entry'!$Ć$962)</f>
      </c>
      <c r="GQ962">
        <f>IF(ISBLANK('Data Entry'!$ć$962), "", 'Data Entry'!$ć$962)</f>
      </c>
      <c r="GR962">
        <f>IF(ISBLANK('Data Entry'!$Ĉ$962), "", 'Data Entry'!$Ĉ$962)</f>
      </c>
      <c r="GS962">
        <f>IF(ISBLANK('Data Entry'!$ĉ$962), "", 'Data Entry'!$ĉ$962)</f>
      </c>
      <c r="GT962">
        <f>IF(ISBLANK('Data Entry'!$Ċ$962), "", 'Data Entry'!$Ċ$962)</f>
      </c>
      <c r="GU962">
        <f>IF(ISBLANK('Data Entry'!$ċ$962), "", 'Data Entry'!$ċ$962)</f>
      </c>
      <c r="GV962">
        <f>IF(ISBLANK('Data Entry'!$Č$962), "", 'Data Entry'!$Č$962)</f>
      </c>
      <c r="GW962">
        <f>IF(ISBLANK('Data Entry'!$č$962), "", 'Data Entry'!$č$962)</f>
      </c>
      <c r="GX962">
        <f>IF(ISBLANK('Data Entry'!$Ď$962), "", 'Data Entry'!$Ď$962)</f>
      </c>
      <c r="GY962">
        <f>IF(ISBLANK('Data Entry'!$ď$962), "", 'Data Entry'!$ď$962)</f>
      </c>
      <c r="GZ962">
        <f>IF(ISBLANK('Data Entry'!$Đ$962), "", 'Data Entry'!$Đ$962)</f>
      </c>
      <c r="HA962">
        <f>IF(ISBLANK('Data Entry'!$đ$962), "", 'Data Entry'!$đ$962)</f>
      </c>
      <c r="HB962">
        <f>IF(ISBLANK('Data Entry'!$Ē$962), "", 'Data Entry'!$Ē$962)</f>
      </c>
      <c r="HC962">
        <f>IF(ISBLANK('Data Entry'!$ē$962), "", 'Data Entry'!$ē$962)</f>
      </c>
      <c r="HD962">
        <f>IF(ISBLANK('Data Entry'!$Ĕ$962), "", 'Data Entry'!$Ĕ$962)</f>
      </c>
      <c r="HE962">
        <f>IF(ISBLANK('Data Entry'!$ĕ$962), "", 'Data Entry'!$ĕ$962)</f>
      </c>
      <c r="HF962">
        <f>IF(ISBLANK('Data Entry'!$Ė$962), "", 'Data Entry'!$Ė$962)</f>
      </c>
      <c r="HG962">
        <f>IF(ISBLANK('Data Entry'!$ė$962), "", 'Data Entry'!$ė$962)</f>
      </c>
      <c r="HH962">
        <f>IF(ISBLANK('Data Entry'!$Ę$962), "", 'Data Entry'!$Ę$962)</f>
      </c>
      <c r="HI962">
        <f>IF(ISBLANK('Data Entry'!$ę$962), "", 'Data Entry'!$ę$962)</f>
      </c>
      <c r="HJ962">
        <f>IF(ISBLANK('Data Entry'!$Ě$962), "", 'Data Entry'!$Ě$962)</f>
      </c>
      <c r="HK962">
        <f>IF(ISBLANK('Data Entry'!$ě$962), "", 'Data Entry'!$ě$962)</f>
      </c>
      <c r="HL962">
        <f>IF(ISBLANK('Data Entry'!$Ĝ$962), "", 'Data Entry'!$Ĝ$962)</f>
      </c>
      <c r="HM962">
        <f>IF(ISBLANK('Data Entry'!$ĝ$962), "", 'Data Entry'!$ĝ$962)</f>
      </c>
      <c r="HN962">
        <f>IF(ISBLANK('Data Entry'!$Ğ$962), "", 'Data Entry'!$Ğ$962)</f>
      </c>
      <c r="HO962">
        <f>IF(ISBLANK('Data Entry'!$ğ$962), "", 'Data Entry'!$ğ$962)</f>
      </c>
      <c r="HP962">
        <f>IF(ISBLANK('Data Entry'!$Ġ$962), "", 'Data Entry'!$Ġ$962)</f>
      </c>
      <c r="HQ962">
        <f>IF(ISBLANK('Data Entry'!$ġ$962), "", 'Data Entry'!$ġ$962)</f>
      </c>
      <c r="HR962">
        <f>IF(ISBLANK('Data Entry'!$Ģ$962), "", 'Data Entry'!$Ģ$962)</f>
      </c>
      <c r="HS962">
        <f>IF(ISBLANK('Data Entry'!$ģ$962), "", 'Data Entry'!$ģ$962)</f>
      </c>
      <c r="HT962">
        <f>IF(ISBLANK('Data Entry'!$Ĥ$962), "", 'Data Entry'!$Ĥ$962)</f>
      </c>
      <c r="HU962">
        <f>IF(ISBLANK('Data Entry'!$ĥ$962), "", 'Data Entry'!$ĥ$962)</f>
      </c>
      <c r="HV962">
        <f>IF(ISBLANK('Data Entry'!$Ħ$962), "", 'Data Entry'!$Ħ$962)</f>
      </c>
      <c r="HW962">
        <f>IF(ISBLANK('Data Entry'!$ħ$962), "", 'Data Entry'!$ħ$962)</f>
      </c>
      <c r="HX962">
        <f>IF(ISBLANK('Data Entry'!$Ĩ$962), "", 'Data Entry'!$Ĩ$962)</f>
      </c>
      <c r="HY962">
        <f>IF(ISBLANK('Data Entry'!$ĩ$962), "", 'Data Entry'!$ĩ$962)</f>
      </c>
      <c r="HZ962">
        <f>IF(ISBLANK('Data Entry'!$Ī$962), "", 'Data Entry'!$Ī$962)</f>
      </c>
      <c r="IA962">
        <f>IF(ISBLANK('Data Entry'!$ī$962), "", 'Data Entry'!$ī$962)</f>
      </c>
      <c r="IB962">
        <f>IF(ISBLANK('Data Entry'!$Ĭ$962), "", 'Data Entry'!$Ĭ$962)</f>
      </c>
      <c r="IC962">
        <f>IF(ISBLANK('Data Entry'!$ĭ$962), "", 'Data Entry'!$ĭ$962)</f>
      </c>
      <c r="ID962">
        <f>IF(ISBLANK('Data Entry'!$Į$962), "", 'Data Entry'!$Į$962)</f>
      </c>
      <c r="IE962">
        <f>IF(ISBLANK('Data Entry'!$į$962), "", 'Data Entry'!$į$962)</f>
      </c>
      <c r="IF962">
        <f>IF(ISBLANK('Data Entry'!$İ$962), "", 'Data Entry'!$İ$962)</f>
      </c>
      <c r="IG962">
        <f>IF(ISBLANK('Data Entry'!$ı$962), "", 'Data Entry'!$ı$962)</f>
      </c>
      <c r="IH962">
        <f>IF(ISBLANK('Data Entry'!$Ĳ$962), "", 'Data Entry'!$Ĳ$962)</f>
      </c>
      <c r="II962">
        <f>IF(ISBLANK('Data Entry'!$ĳ$962), "", 'Data Entry'!$ĳ$962)</f>
      </c>
      <c r="IJ962">
        <f>IF(ISBLANK('Data Entry'!$Ĵ$962), "", 'Data Entry'!$Ĵ$962)</f>
      </c>
      <c r="IK962">
        <f>IF(ISBLANK('Data Entry'!$ĵ$962), "", 'Data Entry'!$ĵ$962)</f>
      </c>
      <c r="IL962">
        <f>IF(ISBLANK('Data Entry'!$Ķ$962), "", 'Data Entry'!$Ķ$962)</f>
      </c>
      <c r="IM962">
        <f>IF(ISBLANK('Data Entry'!$ķ$962), "", 'Data Entry'!$ķ$962)</f>
      </c>
      <c r="IN962">
        <f>IF(ISBLANK('Data Entry'!$ĸ$962), "", 'Data Entry'!$ĸ$962)</f>
      </c>
      <c r="IO962">
        <f>IF(ISBLANK('Data Entry'!$Ĺ$962), "", 'Data Entry'!$Ĺ$962)</f>
      </c>
      <c r="IP962">
        <f>IF(ISBLANK('Data Entry'!$ĺ$962), "", 'Data Entry'!$ĺ$962)</f>
      </c>
      <c r="IQ962">
        <f>IF(ISBLANK('Data Entry'!$Ļ$962), "", 'Data Entry'!$Ļ$962)</f>
      </c>
      <c r="IR962">
        <f>IF(ISBLANK('Data Entry'!$ļ$962), "", 'Data Entry'!$ļ$962)</f>
      </c>
      <c r="IS962">
        <f>IF(ISBLANK('Data Entry'!$Ľ$962), "", 'Data Entry'!$Ľ$962)</f>
      </c>
      <c r="IT962">
        <f>IF(ISBLANK('Data Entry'!$ľ$962), "", 'Data Entry'!$ľ$962)</f>
      </c>
    </row>
    <row r="963" spans="1:254" x14ac:dyDescent="0.25">
      <c r="A963">
        <f>IF(ISBLANK('Data Entry'!$A$963), "", 'Data Entry'!$A$963)</f>
      </c>
      <c r="B963">
        <f>IF(ISBLANK('Data Entry'!$B$963), "", 'Data Entry'!$B$963)</f>
      </c>
      <c r="C963">
        <f>IF(ISBLANK('Data Entry'!$C$963), "", 'Data Entry'!$C$963)</f>
      </c>
      <c r="D963">
        <f>IF(ISBLANK('Data Entry'!$D$963), "", 'Data Entry'!$D$963)</f>
      </c>
      <c r="E963">
        <f>IF(ISBLANK('Data Entry'!$E$963), "", 'Data Entry'!$E$963)</f>
      </c>
      <c r="F963">
        <f>IF(ISBLANK('Data Entry'!$F$963), "", 'Data Entry'!$F$963)</f>
      </c>
      <c r="G963">
        <f>IF(ISBLANK('Data Entry'!$G$963), "", 'Data Entry'!$G$963)</f>
      </c>
      <c r="H963">
        <f>IF(ISBLANK('Data Entry'!$H$963), "", 'Data Entry'!$H$963)</f>
      </c>
      <c r="I963">
        <f>IF(ISBLANK('Data Entry'!$I$963), "", 'Data Entry'!$I$963)</f>
      </c>
      <c r="J963">
        <f>IF(ISBLANK('Data Entry'!$J$963), "", 'Data Entry'!$J$963)</f>
      </c>
      <c r="K963">
        <f>IF(ISBLANK('Data Entry'!$K$963), "", 'Data Entry'!$K$963)</f>
      </c>
      <c r="L963">
        <f>IF(ISBLANK('Data Entry'!$L$963), "", 'Data Entry'!$L$963)</f>
      </c>
      <c r="M963">
        <f>IF(ISBLANK('Data Entry'!$M$963), "", 'Data Entry'!$M$963)</f>
      </c>
      <c r="N963">
        <f>IF(ISBLANK('Data Entry'!$N$963), "", 'Data Entry'!$N$963)</f>
      </c>
      <c r="O963">
        <f>IF(ISBLANK('Data Entry'!$O$963), "", 'Data Entry'!$O$963)</f>
      </c>
      <c r="P963">
        <f>IF(ISBLANK('Data Entry'!$P$963), "", 'Data Entry'!$P$963)</f>
      </c>
      <c r="Q963">
        <f>IF(ISBLANK('Data Entry'!$Q$963), "", 'Data Entry'!$Q$963)</f>
      </c>
      <c r="R963">
        <f>IF(ISBLANK('Data Entry'!$R$963), "", 'Data Entry'!$R$963)</f>
      </c>
      <c r="S963">
        <f>IF(ISBLANK('Data Entry'!$S$963), "", 'Data Entry'!$S$963)</f>
      </c>
      <c r="T963">
        <f>IF(ISBLANK('Data Entry'!$T$963), "", 'Data Entry'!$T$963)</f>
      </c>
      <c r="U963">
        <f>IF(ISBLANK('Data Entry'!$U$963), "", 'Data Entry'!$U$963)</f>
      </c>
      <c r="V963">
        <f>IF(ISBLANK('Data Entry'!$V$963), "", 'Data Entry'!$V$963)</f>
      </c>
      <c r="W963">
        <f>IF(ISBLANK('Data Entry'!$W$963), "", 'Data Entry'!$W$963)</f>
      </c>
      <c r="X963">
        <f>IF(ISBLANK('Data Entry'!$X$963), "", 'Data Entry'!$X$963)</f>
      </c>
      <c r="Y963">
        <f>IF(ISBLANK('Data Entry'!$Y$963), "", 'Data Entry'!$Y$963)</f>
      </c>
      <c r="Z963">
        <f>IF(ISBLANK('Data Entry'!$Z$963), "", 'Data Entry'!$Z$963)</f>
      </c>
      <c r="AA963">
        <f>IF(ISBLANK('Data Entry'!$[$963), "", 'Data Entry'!$[$963)</f>
      </c>
      <c r="AB963">
        <f>IF(ISBLANK('Data Entry'!$\$963), "", 'Data Entry'!$\$963)</f>
      </c>
      <c r="AC963">
        <f>IF(ISBLANK('Data Entry'!$]$963), "", 'Data Entry'!$]$963)</f>
      </c>
      <c r="AD963">
        <f>IF(ISBLANK('Data Entry'!$^$963), "", 'Data Entry'!$^$963)</f>
      </c>
      <c r="AE963">
        <f>IF(ISBLANK('Data Entry'!$_$963), "", 'Data Entry'!$_$963)</f>
      </c>
      <c r="AF963">
        <f>IF(ISBLANK('Data Entry'!$`$963), "", 'Data Entry'!$`$963)</f>
      </c>
      <c r="AG963">
        <f>IF(ISBLANK('Data Entry'!$a$963), "", 'Data Entry'!$a$963)</f>
      </c>
      <c r="AH963">
        <f>IF(ISBLANK('Data Entry'!$b$963), "", 'Data Entry'!$b$963)</f>
      </c>
      <c r="AI963">
        <f>IF(ISBLANK('Data Entry'!$c$963), "", 'Data Entry'!$c$963)</f>
      </c>
      <c r="AJ963">
        <f>IF(ISBLANK('Data Entry'!$d$963), "", 'Data Entry'!$d$963)</f>
      </c>
      <c r="AK963">
        <f>IF(ISBLANK('Data Entry'!$e$963), "", 'Data Entry'!$e$963)</f>
      </c>
      <c r="AL963">
        <f>IF(ISBLANK('Data Entry'!$f$963), "", 'Data Entry'!$f$963)</f>
      </c>
      <c r="AM963">
        <f>IF(ISBLANK('Data Entry'!$g$963), "", 'Data Entry'!$g$963)</f>
      </c>
      <c r="AN963">
        <f>IF(ISBLANK('Data Entry'!$h$963), "", 'Data Entry'!$h$963)</f>
      </c>
      <c r="AO963">
        <f>IF(ISBLANK('Data Entry'!$i$963), "", 'Data Entry'!$i$963)</f>
      </c>
      <c r="AP963">
        <f>IF(ISBLANK('Data Entry'!$j$963), "", 'Data Entry'!$j$963)</f>
      </c>
      <c r="AQ963">
        <f>IF(ISBLANK('Data Entry'!$k$963), "", 'Data Entry'!$k$963)</f>
      </c>
      <c r="AR963">
        <f>IF(ISBLANK('Data Entry'!$l$963), "", 'Data Entry'!$l$963)</f>
      </c>
      <c r="AS963">
        <f>IF(ISBLANK('Data Entry'!$m$963), "", 'Data Entry'!$m$963)</f>
      </c>
      <c r="AT963">
        <f>IF(ISBLANK('Data Entry'!$n$963), "", 'Data Entry'!$n$963)</f>
      </c>
      <c r="AU963">
        <f>IF(ISBLANK('Data Entry'!$o$963), "", 'Data Entry'!$o$963)</f>
      </c>
      <c r="AV963">
        <f>IF(ISBLANK('Data Entry'!$p$963), "", 'Data Entry'!$p$963)</f>
      </c>
      <c r="AW963">
        <f>IF(ISBLANK('Data Entry'!$q$963), "", 'Data Entry'!$q$963)</f>
      </c>
      <c r="AX963">
        <f>IF(ISBLANK('Data Entry'!$r$963), "", 'Data Entry'!$r$963)</f>
      </c>
      <c r="AY963">
        <f>IF(ISBLANK('Data Entry'!$s$963), "", 'Data Entry'!$s$963)</f>
      </c>
      <c r="AZ963">
        <f>IF(ISBLANK('Data Entry'!$t$963), "", 'Data Entry'!$t$963)</f>
      </c>
      <c r="BA963">
        <f>IF(ISBLANK('Data Entry'!$u$963), "", 'Data Entry'!$u$963)</f>
      </c>
      <c r="BB963">
        <f>IF(ISBLANK('Data Entry'!$v$963), "", 'Data Entry'!$v$963)</f>
      </c>
      <c r="BC963">
        <f>IF(ISBLANK('Data Entry'!$w$963), "", 'Data Entry'!$w$963)</f>
      </c>
      <c r="BD963">
        <f>IF(ISBLANK('Data Entry'!$x$963), "", 'Data Entry'!$x$963)</f>
      </c>
      <c r="BE963">
        <f>IF(ISBLANK('Data Entry'!$y$963), "", 'Data Entry'!$y$963)</f>
      </c>
      <c r="BF963">
        <f>IF(ISBLANK('Data Entry'!$z$963), "", 'Data Entry'!$z$963)</f>
      </c>
      <c r="BG963">
        <f>IF(ISBLANK('Data Entry'!${$963), "", 'Data Entry'!${$963)</f>
      </c>
      <c r="BH963">
        <f>IF(ISBLANK('Data Entry'!$|$963), "", 'Data Entry'!$|$963)</f>
      </c>
      <c r="BI963">
        <f>IF(ISBLANK('Data Entry'!$}$963), "", 'Data Entry'!$}$963)</f>
      </c>
      <c r="BJ963">
        <f>IF(ISBLANK('Data Entry'!$~$963), "", 'Data Entry'!$~$963)</f>
      </c>
      <c r="BK963">
        <f>IF(ISBLANK('Data Entry'!$$963), "", 'Data Entry'!$$963)</f>
      </c>
      <c r="BL963">
        <f>IF(ISBLANK('Data Entry'!$$963), "", 'Data Entry'!$$963)</f>
      </c>
      <c r="BM963">
        <f>IF(ISBLANK('Data Entry'!$$963), "", 'Data Entry'!$$963)</f>
      </c>
      <c r="BN963">
        <f>IF(ISBLANK('Data Entry'!$$963), "", 'Data Entry'!$$963)</f>
      </c>
      <c r="BO963">
        <f>IF(ISBLANK('Data Entry'!$$963), "", 'Data Entry'!$$963)</f>
      </c>
      <c r="BP963">
        <f>IF(ISBLANK('Data Entry'!$$963), "", 'Data Entry'!$$963)</f>
      </c>
      <c r="BQ963">
        <f>IF(ISBLANK('Data Entry'!$$963), "", 'Data Entry'!$$963)</f>
      </c>
      <c r="BR963">
        <f>IF(ISBLANK('Data Entry'!$$963), "", 'Data Entry'!$$963)</f>
      </c>
      <c r="BS963">
        <f>IF(ISBLANK('Data Entry'!$$963), "", 'Data Entry'!$$963)</f>
      </c>
      <c r="BT963">
        <f>IF(ISBLANK('Data Entry'!$$963), "", 'Data Entry'!$$963)</f>
      </c>
      <c r="BU963">
        <f>IF(ISBLANK('Data Entry'!$$963), "", 'Data Entry'!$$963)</f>
      </c>
      <c r="BV963">
        <f>IF(ISBLANK('Data Entry'!$$963), "", 'Data Entry'!$$963)</f>
      </c>
      <c r="BW963">
        <f>IF(ISBLANK('Data Entry'!$$963), "", 'Data Entry'!$$963)</f>
      </c>
      <c r="BX963">
        <f>IF(ISBLANK('Data Entry'!$$963), "", 'Data Entry'!$$963)</f>
      </c>
      <c r="BY963">
        <f>IF(ISBLANK('Data Entry'!$$963), "", 'Data Entry'!$$963)</f>
      </c>
      <c r="BZ963">
        <f>IF(ISBLANK('Data Entry'!$$963), "", 'Data Entry'!$$963)</f>
      </c>
      <c r="CA963">
        <f>IF(ISBLANK('Data Entry'!$$963), "", 'Data Entry'!$$963)</f>
      </c>
      <c r="CB963">
        <f>IF(ISBLANK('Data Entry'!$$963), "", 'Data Entry'!$$963)</f>
      </c>
      <c r="CC963">
        <f>IF(ISBLANK('Data Entry'!$$963), "", 'Data Entry'!$$963)</f>
      </c>
      <c r="CD963">
        <f>IF(ISBLANK('Data Entry'!$$963), "", 'Data Entry'!$$963)</f>
      </c>
      <c r="CE963">
        <f>IF(ISBLANK('Data Entry'!$$963), "", 'Data Entry'!$$963)</f>
      </c>
      <c r="CF963">
        <f>IF(ISBLANK('Data Entry'!$$963), "", 'Data Entry'!$$963)</f>
      </c>
      <c r="CG963">
        <f>IF(ISBLANK('Data Entry'!$$963), "", 'Data Entry'!$$963)</f>
      </c>
      <c r="CH963">
        <f>IF(ISBLANK('Data Entry'!$$963), "", 'Data Entry'!$$963)</f>
      </c>
      <c r="CI963">
        <f>IF(ISBLANK('Data Entry'!$$963), "", 'Data Entry'!$$963)</f>
      </c>
      <c r="CJ963">
        <f>IF(ISBLANK('Data Entry'!$$963), "", 'Data Entry'!$$963)</f>
      </c>
      <c r="CK963">
        <f>IF(ISBLANK('Data Entry'!$$963), "", 'Data Entry'!$$963)</f>
      </c>
      <c r="CL963">
        <f>IF(ISBLANK('Data Entry'!$$963), "", 'Data Entry'!$$963)</f>
      </c>
      <c r="CM963">
        <f>IF(ISBLANK('Data Entry'!$$963), "", 'Data Entry'!$$963)</f>
      </c>
      <c r="CN963">
        <f>IF(ISBLANK('Data Entry'!$$963), "", 'Data Entry'!$$963)</f>
      </c>
      <c r="CO963">
        <f>IF(ISBLANK('Data Entry'!$$963), "", 'Data Entry'!$$963)</f>
      </c>
      <c r="CP963">
        <f>IF(ISBLANK('Data Entry'!$$963), "", 'Data Entry'!$$963)</f>
      </c>
      <c r="CQ963">
        <f>IF(ISBLANK('Data Entry'!$$963), "", 'Data Entry'!$$963)</f>
      </c>
      <c r="CR963">
        <f>IF(ISBLANK('Data Entry'!$ $963), "", 'Data Entry'!$ $963)</f>
      </c>
      <c r="CS963">
        <f>IF(ISBLANK('Data Entry'!$¡$963), "", 'Data Entry'!$¡$963)</f>
      </c>
      <c r="CT963">
        <f>IF(ISBLANK('Data Entry'!$¢$963), "", 'Data Entry'!$¢$963)</f>
      </c>
      <c r="CU963">
        <f>IF(ISBLANK('Data Entry'!$£$963), "", 'Data Entry'!$£$963)</f>
      </c>
      <c r="CV963">
        <f>IF(ISBLANK('Data Entry'!$¤$963), "", 'Data Entry'!$¤$963)</f>
      </c>
      <c r="CW963">
        <f>IF(ISBLANK('Data Entry'!$¥$963), "", 'Data Entry'!$¥$963)</f>
      </c>
      <c r="CX963">
        <f>IF(ISBLANK('Data Entry'!$¦$963), "", 'Data Entry'!$¦$963)</f>
      </c>
      <c r="CY963">
        <f>IF(ISBLANK('Data Entry'!$§$963), "", 'Data Entry'!$§$963)</f>
      </c>
      <c r="CZ963">
        <f>IF(ISBLANK('Data Entry'!$¨$963), "", 'Data Entry'!$¨$963)</f>
      </c>
      <c r="DA963">
        <f>IF(ISBLANK('Data Entry'!$©$963), "", 'Data Entry'!$©$963)</f>
      </c>
      <c r="DB963">
        <f>IF(ISBLANK('Data Entry'!$ª$963), "", 'Data Entry'!$ª$963)</f>
      </c>
      <c r="DC963">
        <f>IF(ISBLANK('Data Entry'!$«$963), "", 'Data Entry'!$«$963)</f>
      </c>
      <c r="DD963">
        <f>IF(ISBLANK('Data Entry'!$¬$963), "", 'Data Entry'!$¬$963)</f>
      </c>
      <c r="DE963">
        <f>IF(ISBLANK('Data Entry'!$­$963), "", 'Data Entry'!$­$963)</f>
      </c>
      <c r="DF963">
        <f>IF(ISBLANK('Data Entry'!$®$963), "", 'Data Entry'!$®$963)</f>
      </c>
      <c r="DG963">
        <f>IF(ISBLANK('Data Entry'!$¯$963), "", 'Data Entry'!$¯$963)</f>
      </c>
      <c r="DH963">
        <f>IF(ISBLANK('Data Entry'!$°$963), "", 'Data Entry'!$°$963)</f>
      </c>
      <c r="DI963">
        <f>IF(ISBLANK('Data Entry'!$±$963), "", 'Data Entry'!$±$963)</f>
      </c>
      <c r="DJ963">
        <f>IF(ISBLANK('Data Entry'!$²$963), "", 'Data Entry'!$²$963)</f>
      </c>
      <c r="DK963">
        <f>IF(ISBLANK('Data Entry'!$³$963), "", 'Data Entry'!$³$963)</f>
      </c>
      <c r="DL963">
        <f>IF(ISBLANK('Data Entry'!$´$963), "", 'Data Entry'!$´$963)</f>
      </c>
      <c r="DM963">
        <f>IF(ISBLANK('Data Entry'!$µ$963), "", 'Data Entry'!$µ$963)</f>
      </c>
      <c r="DN963">
        <f>IF(ISBLANK('Data Entry'!$¶$963), "", 'Data Entry'!$¶$963)</f>
      </c>
      <c r="DO963">
        <f>IF(ISBLANK('Data Entry'!$·$963), "", 'Data Entry'!$·$963)</f>
      </c>
      <c r="DP963">
        <f>IF(ISBLANK('Data Entry'!$¸$963), "", 'Data Entry'!$¸$963)</f>
      </c>
      <c r="DQ963">
        <f>IF(ISBLANK('Data Entry'!$¹$963), "", 'Data Entry'!$¹$963)</f>
      </c>
      <c r="DR963">
        <f>IF(ISBLANK('Data Entry'!$º$963), "", 'Data Entry'!$º$963)</f>
      </c>
      <c r="DS963">
        <f>IF(ISBLANK('Data Entry'!$»$963), "", 'Data Entry'!$»$963)</f>
      </c>
      <c r="DT963">
        <f>IF(ISBLANK('Data Entry'!$¼$963), "", 'Data Entry'!$¼$963)</f>
      </c>
      <c r="DU963">
        <f>IF(ISBLANK('Data Entry'!$½$963), "", 'Data Entry'!$½$963)</f>
      </c>
      <c r="DV963">
        <f>IF(ISBLANK('Data Entry'!$¾$963), "", 'Data Entry'!$¾$963)</f>
      </c>
      <c r="DW963">
        <f>IF(ISBLANK('Data Entry'!$¿$963), "", 'Data Entry'!$¿$963)</f>
      </c>
      <c r="DX963">
        <f>IF(ISBLANK('Data Entry'!$À$963), "", 'Data Entry'!$À$963)</f>
      </c>
      <c r="DY963">
        <f>IF(ISBLANK('Data Entry'!$Á$963), "", 'Data Entry'!$Á$963)</f>
      </c>
      <c r="DZ963">
        <f>IF(ISBLANK('Data Entry'!$Â$963), "", 'Data Entry'!$Â$963)</f>
      </c>
      <c r="EA963">
        <f>IF(ISBLANK('Data Entry'!$Ã$963), "", 'Data Entry'!$Ã$963)</f>
      </c>
      <c r="EB963">
        <f>IF(ISBLANK('Data Entry'!$Ä$963), "", 'Data Entry'!$Ä$963)</f>
      </c>
      <c r="EC963">
        <f>IF(ISBLANK('Data Entry'!$Å$963), "", 'Data Entry'!$Å$963)</f>
      </c>
      <c r="ED963">
        <f>IF(ISBLANK('Data Entry'!$Æ$963), "", 'Data Entry'!$Æ$963)</f>
      </c>
      <c r="EE963">
        <f>IF(ISBLANK('Data Entry'!$Ç$963), "", 'Data Entry'!$Ç$963)</f>
      </c>
      <c r="EF963">
        <f>IF(ISBLANK('Data Entry'!$È$963), "", 'Data Entry'!$È$963)</f>
      </c>
      <c r="EG963">
        <f>IF(ISBLANK('Data Entry'!$É$963), "", 'Data Entry'!$É$963)</f>
      </c>
      <c r="EH963">
        <f>IF(ISBLANK('Data Entry'!$Ê$963), "", 'Data Entry'!$Ê$963)</f>
      </c>
      <c r="EI963">
        <f>IF(ISBLANK('Data Entry'!$Ë$963), "", 'Data Entry'!$Ë$963)</f>
      </c>
      <c r="EJ963">
        <f>IF(ISBLANK('Data Entry'!$Ì$963), "", 'Data Entry'!$Ì$963)</f>
      </c>
      <c r="EK963">
        <f>IF(ISBLANK('Data Entry'!$Í$963), "", 'Data Entry'!$Í$963)</f>
      </c>
      <c r="EL963">
        <f>IF(ISBLANK('Data Entry'!$Î$963), "", 'Data Entry'!$Î$963)</f>
      </c>
      <c r="EM963">
        <f>IF(ISBLANK('Data Entry'!$Ï$963), "", 'Data Entry'!$Ï$963)</f>
      </c>
      <c r="EN963">
        <f>IF(ISBLANK('Data Entry'!$Ð$963), "", 'Data Entry'!$Ð$963)</f>
      </c>
      <c r="EO963">
        <f>IF(ISBLANK('Data Entry'!$Ñ$963), "", 'Data Entry'!$Ñ$963)</f>
      </c>
      <c r="EP963">
        <f>IF(ISBLANK('Data Entry'!$Ò$963), "", 'Data Entry'!$Ò$963)</f>
      </c>
      <c r="EQ963">
        <f>IF(ISBLANK('Data Entry'!$Ó$963), "", 'Data Entry'!$Ó$963)</f>
      </c>
      <c r="ER963">
        <f>IF(ISBLANK('Data Entry'!$Ô$963), "", 'Data Entry'!$Ô$963)</f>
      </c>
      <c r="ES963">
        <f>IF(ISBLANK('Data Entry'!$Õ$963), "", 'Data Entry'!$Õ$963)</f>
      </c>
      <c r="ET963">
        <f>IF(ISBLANK('Data Entry'!$Ö$963), "", 'Data Entry'!$Ö$963)</f>
      </c>
      <c r="EU963">
        <f>IF(ISBLANK('Data Entry'!$×$963), "", 'Data Entry'!$×$963)</f>
      </c>
      <c r="EV963">
        <f>IF(ISBLANK('Data Entry'!$Ø$963), "", 'Data Entry'!$Ø$963)</f>
      </c>
      <c r="EW963">
        <f>IF(ISBLANK('Data Entry'!$Ù$963), "", 'Data Entry'!$Ù$963)</f>
      </c>
      <c r="EX963">
        <f>IF(ISBLANK('Data Entry'!$Ú$963), "", 'Data Entry'!$Ú$963)</f>
      </c>
      <c r="EY963">
        <f>IF(ISBLANK('Data Entry'!$Û$963), "", 'Data Entry'!$Û$963)</f>
      </c>
      <c r="EZ963">
        <f>IF(ISBLANK('Data Entry'!$Ü$963), "", 'Data Entry'!$Ü$963)</f>
      </c>
      <c r="FA963">
        <f>IF(ISBLANK('Data Entry'!$Ý$963), "", 'Data Entry'!$Ý$963)</f>
      </c>
      <c r="FB963">
        <f>IF(ISBLANK('Data Entry'!$Þ$963), "", 'Data Entry'!$Þ$963)</f>
      </c>
      <c r="FC963">
        <f>IF(ISBLANK('Data Entry'!$ß$963), "", 'Data Entry'!$ß$963)</f>
      </c>
      <c r="FD963">
        <f>IF(ISBLANK('Data Entry'!$à$963), "", 'Data Entry'!$à$963)</f>
      </c>
      <c r="FE963">
        <f>IF(ISBLANK('Data Entry'!$á$963), "", 'Data Entry'!$á$963)</f>
      </c>
      <c r="FF963">
        <f>IF(ISBLANK('Data Entry'!$â$963), "", 'Data Entry'!$â$963)</f>
      </c>
      <c r="FG963">
        <f>IF(ISBLANK('Data Entry'!$ã$963), "", 'Data Entry'!$ã$963)</f>
      </c>
      <c r="FH963">
        <f>IF(ISBLANK('Data Entry'!$ä$963), "", 'Data Entry'!$ä$963)</f>
      </c>
      <c r="FI963">
        <f>IF(ISBLANK('Data Entry'!$å$963), "", 'Data Entry'!$å$963)</f>
      </c>
      <c r="FJ963">
        <f>IF(ISBLANK('Data Entry'!$æ$963), "", 'Data Entry'!$æ$963)</f>
      </c>
      <c r="FK963">
        <f>IF(ISBLANK('Data Entry'!$ç$963), "", 'Data Entry'!$ç$963)</f>
      </c>
      <c r="FL963">
        <f>IF(ISBLANK('Data Entry'!$è$963), "", 'Data Entry'!$è$963)</f>
      </c>
      <c r="FM963">
        <f>IF(ISBLANK('Data Entry'!$é$963), "", 'Data Entry'!$é$963)</f>
      </c>
      <c r="FN963">
        <f>IF(ISBLANK('Data Entry'!$ê$963), "", 'Data Entry'!$ê$963)</f>
      </c>
      <c r="FO963">
        <f>IF(ISBLANK('Data Entry'!$ë$963), "", 'Data Entry'!$ë$963)</f>
      </c>
      <c r="FP963">
        <f>IF(ISBLANK('Data Entry'!$ì$963), "", 'Data Entry'!$ì$963)</f>
      </c>
      <c r="FQ963">
        <f>IF(ISBLANK('Data Entry'!$í$963), "", 'Data Entry'!$í$963)</f>
      </c>
      <c r="FR963">
        <f>IF(ISBLANK('Data Entry'!$î$963), "", 'Data Entry'!$î$963)</f>
      </c>
      <c r="FS963">
        <f>IF(ISBLANK('Data Entry'!$ï$963), "", 'Data Entry'!$ï$963)</f>
      </c>
      <c r="FT963">
        <f>IF(ISBLANK('Data Entry'!$ð$963), "", 'Data Entry'!$ð$963)</f>
      </c>
      <c r="FU963">
        <f>IF(ISBLANK('Data Entry'!$ñ$963), "", 'Data Entry'!$ñ$963)</f>
      </c>
      <c r="FV963">
        <f>IF(ISBLANK('Data Entry'!$ò$963), "", 'Data Entry'!$ò$963)</f>
      </c>
      <c r="FW963">
        <f>IF(ISBLANK('Data Entry'!$ó$963), "", 'Data Entry'!$ó$963)</f>
      </c>
      <c r="FX963">
        <f>IF(ISBLANK('Data Entry'!$ô$963), "", 'Data Entry'!$ô$963)</f>
      </c>
      <c r="FY963">
        <f>IF(ISBLANK('Data Entry'!$õ$963), "", 'Data Entry'!$õ$963)</f>
      </c>
      <c r="FZ963">
        <f>IF(ISBLANK('Data Entry'!$ö$963), "", 'Data Entry'!$ö$963)</f>
      </c>
      <c r="GA963">
        <f>IF(ISBLANK('Data Entry'!$÷$963), "", 'Data Entry'!$÷$963)</f>
      </c>
      <c r="GB963">
        <f>IF(ISBLANK('Data Entry'!$ø$963), "", 'Data Entry'!$ø$963)</f>
      </c>
      <c r="GC963">
        <f>IF(ISBLANK('Data Entry'!$ù$963), "", 'Data Entry'!$ù$963)</f>
      </c>
      <c r="GD963">
        <f>IF(ISBLANK('Data Entry'!$ú$963), "", 'Data Entry'!$ú$963)</f>
      </c>
      <c r="GE963">
        <f>IF(ISBLANK('Data Entry'!$û$963), "", 'Data Entry'!$û$963)</f>
      </c>
      <c r="GF963">
        <f>IF(ISBLANK('Data Entry'!$ü$963), "", 'Data Entry'!$ü$963)</f>
      </c>
      <c r="GG963">
        <f>IF(ISBLANK('Data Entry'!$ý$963), "", 'Data Entry'!$ý$963)</f>
      </c>
      <c r="GH963">
        <f>IF(ISBLANK('Data Entry'!$þ$963), "", 'Data Entry'!$þ$963)</f>
      </c>
      <c r="GI963">
        <f>IF(ISBLANK('Data Entry'!$ÿ$963), "", 'Data Entry'!$ÿ$963)</f>
      </c>
      <c r="GJ963">
        <f>IF(ISBLANK('Data Entry'!$Ā$963), "", 'Data Entry'!$Ā$963)</f>
      </c>
      <c r="GK963">
        <f>IF(ISBLANK('Data Entry'!$ā$963), "", 'Data Entry'!$ā$963)</f>
      </c>
      <c r="GL963">
        <f>IF(ISBLANK('Data Entry'!$Ă$963), "", 'Data Entry'!$Ă$963)</f>
      </c>
      <c r="GM963">
        <f>IF(ISBLANK('Data Entry'!$ă$963), "", 'Data Entry'!$ă$963)</f>
      </c>
      <c r="GN963">
        <f>IF(ISBLANK('Data Entry'!$Ą$963), "", 'Data Entry'!$Ą$963)</f>
      </c>
      <c r="GO963">
        <f>IF(ISBLANK('Data Entry'!$ą$963), "", 'Data Entry'!$ą$963)</f>
      </c>
      <c r="GP963">
        <f>IF(ISBLANK('Data Entry'!$Ć$963), "", 'Data Entry'!$Ć$963)</f>
      </c>
      <c r="GQ963">
        <f>IF(ISBLANK('Data Entry'!$ć$963), "", 'Data Entry'!$ć$963)</f>
      </c>
      <c r="GR963">
        <f>IF(ISBLANK('Data Entry'!$Ĉ$963), "", 'Data Entry'!$Ĉ$963)</f>
      </c>
      <c r="GS963">
        <f>IF(ISBLANK('Data Entry'!$ĉ$963), "", 'Data Entry'!$ĉ$963)</f>
      </c>
      <c r="GT963">
        <f>IF(ISBLANK('Data Entry'!$Ċ$963), "", 'Data Entry'!$Ċ$963)</f>
      </c>
      <c r="GU963">
        <f>IF(ISBLANK('Data Entry'!$ċ$963), "", 'Data Entry'!$ċ$963)</f>
      </c>
      <c r="GV963">
        <f>IF(ISBLANK('Data Entry'!$Č$963), "", 'Data Entry'!$Č$963)</f>
      </c>
      <c r="GW963">
        <f>IF(ISBLANK('Data Entry'!$č$963), "", 'Data Entry'!$č$963)</f>
      </c>
      <c r="GX963">
        <f>IF(ISBLANK('Data Entry'!$Ď$963), "", 'Data Entry'!$Ď$963)</f>
      </c>
      <c r="GY963">
        <f>IF(ISBLANK('Data Entry'!$ď$963), "", 'Data Entry'!$ď$963)</f>
      </c>
      <c r="GZ963">
        <f>IF(ISBLANK('Data Entry'!$Đ$963), "", 'Data Entry'!$Đ$963)</f>
      </c>
      <c r="HA963">
        <f>IF(ISBLANK('Data Entry'!$đ$963), "", 'Data Entry'!$đ$963)</f>
      </c>
      <c r="HB963">
        <f>IF(ISBLANK('Data Entry'!$Ē$963), "", 'Data Entry'!$Ē$963)</f>
      </c>
      <c r="HC963">
        <f>IF(ISBLANK('Data Entry'!$ē$963), "", 'Data Entry'!$ē$963)</f>
      </c>
      <c r="HD963">
        <f>IF(ISBLANK('Data Entry'!$Ĕ$963), "", 'Data Entry'!$Ĕ$963)</f>
      </c>
      <c r="HE963">
        <f>IF(ISBLANK('Data Entry'!$ĕ$963), "", 'Data Entry'!$ĕ$963)</f>
      </c>
      <c r="HF963">
        <f>IF(ISBLANK('Data Entry'!$Ė$963), "", 'Data Entry'!$Ė$963)</f>
      </c>
      <c r="HG963">
        <f>IF(ISBLANK('Data Entry'!$ė$963), "", 'Data Entry'!$ė$963)</f>
      </c>
      <c r="HH963">
        <f>IF(ISBLANK('Data Entry'!$Ę$963), "", 'Data Entry'!$Ę$963)</f>
      </c>
      <c r="HI963">
        <f>IF(ISBLANK('Data Entry'!$ę$963), "", 'Data Entry'!$ę$963)</f>
      </c>
      <c r="HJ963">
        <f>IF(ISBLANK('Data Entry'!$Ě$963), "", 'Data Entry'!$Ě$963)</f>
      </c>
      <c r="HK963">
        <f>IF(ISBLANK('Data Entry'!$ě$963), "", 'Data Entry'!$ě$963)</f>
      </c>
      <c r="HL963">
        <f>IF(ISBLANK('Data Entry'!$Ĝ$963), "", 'Data Entry'!$Ĝ$963)</f>
      </c>
      <c r="HM963">
        <f>IF(ISBLANK('Data Entry'!$ĝ$963), "", 'Data Entry'!$ĝ$963)</f>
      </c>
      <c r="HN963">
        <f>IF(ISBLANK('Data Entry'!$Ğ$963), "", 'Data Entry'!$Ğ$963)</f>
      </c>
      <c r="HO963">
        <f>IF(ISBLANK('Data Entry'!$ğ$963), "", 'Data Entry'!$ğ$963)</f>
      </c>
      <c r="HP963">
        <f>IF(ISBLANK('Data Entry'!$Ġ$963), "", 'Data Entry'!$Ġ$963)</f>
      </c>
      <c r="HQ963">
        <f>IF(ISBLANK('Data Entry'!$ġ$963), "", 'Data Entry'!$ġ$963)</f>
      </c>
      <c r="HR963">
        <f>IF(ISBLANK('Data Entry'!$Ģ$963), "", 'Data Entry'!$Ģ$963)</f>
      </c>
      <c r="HS963">
        <f>IF(ISBLANK('Data Entry'!$ģ$963), "", 'Data Entry'!$ģ$963)</f>
      </c>
      <c r="HT963">
        <f>IF(ISBLANK('Data Entry'!$Ĥ$963), "", 'Data Entry'!$Ĥ$963)</f>
      </c>
      <c r="HU963">
        <f>IF(ISBLANK('Data Entry'!$ĥ$963), "", 'Data Entry'!$ĥ$963)</f>
      </c>
      <c r="HV963">
        <f>IF(ISBLANK('Data Entry'!$Ħ$963), "", 'Data Entry'!$Ħ$963)</f>
      </c>
      <c r="HW963">
        <f>IF(ISBLANK('Data Entry'!$ħ$963), "", 'Data Entry'!$ħ$963)</f>
      </c>
      <c r="HX963">
        <f>IF(ISBLANK('Data Entry'!$Ĩ$963), "", 'Data Entry'!$Ĩ$963)</f>
      </c>
      <c r="HY963">
        <f>IF(ISBLANK('Data Entry'!$ĩ$963), "", 'Data Entry'!$ĩ$963)</f>
      </c>
      <c r="HZ963">
        <f>IF(ISBLANK('Data Entry'!$Ī$963), "", 'Data Entry'!$Ī$963)</f>
      </c>
      <c r="IA963">
        <f>IF(ISBLANK('Data Entry'!$ī$963), "", 'Data Entry'!$ī$963)</f>
      </c>
      <c r="IB963">
        <f>IF(ISBLANK('Data Entry'!$Ĭ$963), "", 'Data Entry'!$Ĭ$963)</f>
      </c>
      <c r="IC963">
        <f>IF(ISBLANK('Data Entry'!$ĭ$963), "", 'Data Entry'!$ĭ$963)</f>
      </c>
      <c r="ID963">
        <f>IF(ISBLANK('Data Entry'!$Į$963), "", 'Data Entry'!$Į$963)</f>
      </c>
      <c r="IE963">
        <f>IF(ISBLANK('Data Entry'!$į$963), "", 'Data Entry'!$į$963)</f>
      </c>
      <c r="IF963">
        <f>IF(ISBLANK('Data Entry'!$İ$963), "", 'Data Entry'!$İ$963)</f>
      </c>
      <c r="IG963">
        <f>IF(ISBLANK('Data Entry'!$ı$963), "", 'Data Entry'!$ı$963)</f>
      </c>
      <c r="IH963">
        <f>IF(ISBLANK('Data Entry'!$Ĳ$963), "", 'Data Entry'!$Ĳ$963)</f>
      </c>
      <c r="II963">
        <f>IF(ISBLANK('Data Entry'!$ĳ$963), "", 'Data Entry'!$ĳ$963)</f>
      </c>
      <c r="IJ963">
        <f>IF(ISBLANK('Data Entry'!$Ĵ$963), "", 'Data Entry'!$Ĵ$963)</f>
      </c>
      <c r="IK963">
        <f>IF(ISBLANK('Data Entry'!$ĵ$963), "", 'Data Entry'!$ĵ$963)</f>
      </c>
      <c r="IL963">
        <f>IF(ISBLANK('Data Entry'!$Ķ$963), "", 'Data Entry'!$Ķ$963)</f>
      </c>
      <c r="IM963">
        <f>IF(ISBLANK('Data Entry'!$ķ$963), "", 'Data Entry'!$ķ$963)</f>
      </c>
      <c r="IN963">
        <f>IF(ISBLANK('Data Entry'!$ĸ$963), "", 'Data Entry'!$ĸ$963)</f>
      </c>
      <c r="IO963">
        <f>IF(ISBLANK('Data Entry'!$Ĺ$963), "", 'Data Entry'!$Ĺ$963)</f>
      </c>
      <c r="IP963">
        <f>IF(ISBLANK('Data Entry'!$ĺ$963), "", 'Data Entry'!$ĺ$963)</f>
      </c>
      <c r="IQ963">
        <f>IF(ISBLANK('Data Entry'!$Ļ$963), "", 'Data Entry'!$Ļ$963)</f>
      </c>
      <c r="IR963">
        <f>IF(ISBLANK('Data Entry'!$ļ$963), "", 'Data Entry'!$ļ$963)</f>
      </c>
      <c r="IS963">
        <f>IF(ISBLANK('Data Entry'!$Ľ$963), "", 'Data Entry'!$Ľ$963)</f>
      </c>
      <c r="IT963">
        <f>IF(ISBLANK('Data Entry'!$ľ$963), "", 'Data Entry'!$ľ$963)</f>
      </c>
    </row>
    <row r="964" spans="1:254" x14ac:dyDescent="0.25">
      <c r="A964">
        <f>IF(ISBLANK('Data Entry'!$A$964), "", 'Data Entry'!$A$964)</f>
      </c>
      <c r="B964">
        <f>IF(ISBLANK('Data Entry'!$B$964), "", 'Data Entry'!$B$964)</f>
      </c>
      <c r="C964">
        <f>IF(ISBLANK('Data Entry'!$C$964), "", 'Data Entry'!$C$964)</f>
      </c>
      <c r="D964">
        <f>IF(ISBLANK('Data Entry'!$D$964), "", 'Data Entry'!$D$964)</f>
      </c>
      <c r="E964">
        <f>IF(ISBLANK('Data Entry'!$E$964), "", 'Data Entry'!$E$964)</f>
      </c>
      <c r="F964">
        <f>IF(ISBLANK('Data Entry'!$F$964), "", 'Data Entry'!$F$964)</f>
      </c>
      <c r="G964">
        <f>IF(ISBLANK('Data Entry'!$G$964), "", 'Data Entry'!$G$964)</f>
      </c>
      <c r="H964">
        <f>IF(ISBLANK('Data Entry'!$H$964), "", 'Data Entry'!$H$964)</f>
      </c>
      <c r="I964">
        <f>IF(ISBLANK('Data Entry'!$I$964), "", 'Data Entry'!$I$964)</f>
      </c>
      <c r="J964">
        <f>IF(ISBLANK('Data Entry'!$J$964), "", 'Data Entry'!$J$964)</f>
      </c>
      <c r="K964">
        <f>IF(ISBLANK('Data Entry'!$K$964), "", 'Data Entry'!$K$964)</f>
      </c>
      <c r="L964">
        <f>IF(ISBLANK('Data Entry'!$L$964), "", 'Data Entry'!$L$964)</f>
      </c>
      <c r="M964">
        <f>IF(ISBLANK('Data Entry'!$M$964), "", 'Data Entry'!$M$964)</f>
      </c>
      <c r="N964">
        <f>IF(ISBLANK('Data Entry'!$N$964), "", 'Data Entry'!$N$964)</f>
      </c>
      <c r="O964">
        <f>IF(ISBLANK('Data Entry'!$O$964), "", 'Data Entry'!$O$964)</f>
      </c>
      <c r="P964">
        <f>IF(ISBLANK('Data Entry'!$P$964), "", 'Data Entry'!$P$964)</f>
      </c>
      <c r="Q964">
        <f>IF(ISBLANK('Data Entry'!$Q$964), "", 'Data Entry'!$Q$964)</f>
      </c>
      <c r="R964">
        <f>IF(ISBLANK('Data Entry'!$R$964), "", 'Data Entry'!$R$964)</f>
      </c>
      <c r="S964">
        <f>IF(ISBLANK('Data Entry'!$S$964), "", 'Data Entry'!$S$964)</f>
      </c>
      <c r="T964">
        <f>IF(ISBLANK('Data Entry'!$T$964), "", 'Data Entry'!$T$964)</f>
      </c>
      <c r="U964">
        <f>IF(ISBLANK('Data Entry'!$U$964), "", 'Data Entry'!$U$964)</f>
      </c>
      <c r="V964">
        <f>IF(ISBLANK('Data Entry'!$V$964), "", 'Data Entry'!$V$964)</f>
      </c>
      <c r="W964">
        <f>IF(ISBLANK('Data Entry'!$W$964), "", 'Data Entry'!$W$964)</f>
      </c>
      <c r="X964">
        <f>IF(ISBLANK('Data Entry'!$X$964), "", 'Data Entry'!$X$964)</f>
      </c>
      <c r="Y964">
        <f>IF(ISBLANK('Data Entry'!$Y$964), "", 'Data Entry'!$Y$964)</f>
      </c>
      <c r="Z964">
        <f>IF(ISBLANK('Data Entry'!$Z$964), "", 'Data Entry'!$Z$964)</f>
      </c>
      <c r="AA964">
        <f>IF(ISBLANK('Data Entry'!$[$964), "", 'Data Entry'!$[$964)</f>
      </c>
      <c r="AB964">
        <f>IF(ISBLANK('Data Entry'!$\$964), "", 'Data Entry'!$\$964)</f>
      </c>
      <c r="AC964">
        <f>IF(ISBLANK('Data Entry'!$]$964), "", 'Data Entry'!$]$964)</f>
      </c>
      <c r="AD964">
        <f>IF(ISBLANK('Data Entry'!$^$964), "", 'Data Entry'!$^$964)</f>
      </c>
      <c r="AE964">
        <f>IF(ISBLANK('Data Entry'!$_$964), "", 'Data Entry'!$_$964)</f>
      </c>
      <c r="AF964">
        <f>IF(ISBLANK('Data Entry'!$`$964), "", 'Data Entry'!$`$964)</f>
      </c>
      <c r="AG964">
        <f>IF(ISBLANK('Data Entry'!$a$964), "", 'Data Entry'!$a$964)</f>
      </c>
      <c r="AH964">
        <f>IF(ISBLANK('Data Entry'!$b$964), "", 'Data Entry'!$b$964)</f>
      </c>
      <c r="AI964">
        <f>IF(ISBLANK('Data Entry'!$c$964), "", 'Data Entry'!$c$964)</f>
      </c>
      <c r="AJ964">
        <f>IF(ISBLANK('Data Entry'!$d$964), "", 'Data Entry'!$d$964)</f>
      </c>
      <c r="AK964">
        <f>IF(ISBLANK('Data Entry'!$e$964), "", 'Data Entry'!$e$964)</f>
      </c>
      <c r="AL964">
        <f>IF(ISBLANK('Data Entry'!$f$964), "", 'Data Entry'!$f$964)</f>
      </c>
      <c r="AM964">
        <f>IF(ISBLANK('Data Entry'!$g$964), "", 'Data Entry'!$g$964)</f>
      </c>
      <c r="AN964">
        <f>IF(ISBLANK('Data Entry'!$h$964), "", 'Data Entry'!$h$964)</f>
      </c>
      <c r="AO964">
        <f>IF(ISBLANK('Data Entry'!$i$964), "", 'Data Entry'!$i$964)</f>
      </c>
      <c r="AP964">
        <f>IF(ISBLANK('Data Entry'!$j$964), "", 'Data Entry'!$j$964)</f>
      </c>
      <c r="AQ964">
        <f>IF(ISBLANK('Data Entry'!$k$964), "", 'Data Entry'!$k$964)</f>
      </c>
      <c r="AR964">
        <f>IF(ISBLANK('Data Entry'!$l$964), "", 'Data Entry'!$l$964)</f>
      </c>
      <c r="AS964">
        <f>IF(ISBLANK('Data Entry'!$m$964), "", 'Data Entry'!$m$964)</f>
      </c>
      <c r="AT964">
        <f>IF(ISBLANK('Data Entry'!$n$964), "", 'Data Entry'!$n$964)</f>
      </c>
      <c r="AU964">
        <f>IF(ISBLANK('Data Entry'!$o$964), "", 'Data Entry'!$o$964)</f>
      </c>
      <c r="AV964">
        <f>IF(ISBLANK('Data Entry'!$p$964), "", 'Data Entry'!$p$964)</f>
      </c>
      <c r="AW964">
        <f>IF(ISBLANK('Data Entry'!$q$964), "", 'Data Entry'!$q$964)</f>
      </c>
      <c r="AX964">
        <f>IF(ISBLANK('Data Entry'!$r$964), "", 'Data Entry'!$r$964)</f>
      </c>
      <c r="AY964">
        <f>IF(ISBLANK('Data Entry'!$s$964), "", 'Data Entry'!$s$964)</f>
      </c>
      <c r="AZ964">
        <f>IF(ISBLANK('Data Entry'!$t$964), "", 'Data Entry'!$t$964)</f>
      </c>
      <c r="BA964">
        <f>IF(ISBLANK('Data Entry'!$u$964), "", 'Data Entry'!$u$964)</f>
      </c>
      <c r="BB964">
        <f>IF(ISBLANK('Data Entry'!$v$964), "", 'Data Entry'!$v$964)</f>
      </c>
      <c r="BC964">
        <f>IF(ISBLANK('Data Entry'!$w$964), "", 'Data Entry'!$w$964)</f>
      </c>
      <c r="BD964">
        <f>IF(ISBLANK('Data Entry'!$x$964), "", 'Data Entry'!$x$964)</f>
      </c>
      <c r="BE964">
        <f>IF(ISBLANK('Data Entry'!$y$964), "", 'Data Entry'!$y$964)</f>
      </c>
      <c r="BF964">
        <f>IF(ISBLANK('Data Entry'!$z$964), "", 'Data Entry'!$z$964)</f>
      </c>
      <c r="BG964">
        <f>IF(ISBLANK('Data Entry'!${$964), "", 'Data Entry'!${$964)</f>
      </c>
      <c r="BH964">
        <f>IF(ISBLANK('Data Entry'!$|$964), "", 'Data Entry'!$|$964)</f>
      </c>
      <c r="BI964">
        <f>IF(ISBLANK('Data Entry'!$}$964), "", 'Data Entry'!$}$964)</f>
      </c>
      <c r="BJ964">
        <f>IF(ISBLANK('Data Entry'!$~$964), "", 'Data Entry'!$~$964)</f>
      </c>
      <c r="BK964">
        <f>IF(ISBLANK('Data Entry'!$$964), "", 'Data Entry'!$$964)</f>
      </c>
      <c r="BL964">
        <f>IF(ISBLANK('Data Entry'!$$964), "", 'Data Entry'!$$964)</f>
      </c>
      <c r="BM964">
        <f>IF(ISBLANK('Data Entry'!$$964), "", 'Data Entry'!$$964)</f>
      </c>
      <c r="BN964">
        <f>IF(ISBLANK('Data Entry'!$$964), "", 'Data Entry'!$$964)</f>
      </c>
      <c r="BO964">
        <f>IF(ISBLANK('Data Entry'!$$964), "", 'Data Entry'!$$964)</f>
      </c>
      <c r="BP964">
        <f>IF(ISBLANK('Data Entry'!$$964), "", 'Data Entry'!$$964)</f>
      </c>
      <c r="BQ964">
        <f>IF(ISBLANK('Data Entry'!$$964), "", 'Data Entry'!$$964)</f>
      </c>
      <c r="BR964">
        <f>IF(ISBLANK('Data Entry'!$$964), "", 'Data Entry'!$$964)</f>
      </c>
      <c r="BS964">
        <f>IF(ISBLANK('Data Entry'!$$964), "", 'Data Entry'!$$964)</f>
      </c>
      <c r="BT964">
        <f>IF(ISBLANK('Data Entry'!$$964), "", 'Data Entry'!$$964)</f>
      </c>
      <c r="BU964">
        <f>IF(ISBLANK('Data Entry'!$$964), "", 'Data Entry'!$$964)</f>
      </c>
      <c r="BV964">
        <f>IF(ISBLANK('Data Entry'!$$964), "", 'Data Entry'!$$964)</f>
      </c>
      <c r="BW964">
        <f>IF(ISBLANK('Data Entry'!$$964), "", 'Data Entry'!$$964)</f>
      </c>
      <c r="BX964">
        <f>IF(ISBLANK('Data Entry'!$$964), "", 'Data Entry'!$$964)</f>
      </c>
      <c r="BY964">
        <f>IF(ISBLANK('Data Entry'!$$964), "", 'Data Entry'!$$964)</f>
      </c>
      <c r="BZ964">
        <f>IF(ISBLANK('Data Entry'!$$964), "", 'Data Entry'!$$964)</f>
      </c>
      <c r="CA964">
        <f>IF(ISBLANK('Data Entry'!$$964), "", 'Data Entry'!$$964)</f>
      </c>
      <c r="CB964">
        <f>IF(ISBLANK('Data Entry'!$$964), "", 'Data Entry'!$$964)</f>
      </c>
      <c r="CC964">
        <f>IF(ISBLANK('Data Entry'!$$964), "", 'Data Entry'!$$964)</f>
      </c>
      <c r="CD964">
        <f>IF(ISBLANK('Data Entry'!$$964), "", 'Data Entry'!$$964)</f>
      </c>
      <c r="CE964">
        <f>IF(ISBLANK('Data Entry'!$$964), "", 'Data Entry'!$$964)</f>
      </c>
      <c r="CF964">
        <f>IF(ISBLANK('Data Entry'!$$964), "", 'Data Entry'!$$964)</f>
      </c>
      <c r="CG964">
        <f>IF(ISBLANK('Data Entry'!$$964), "", 'Data Entry'!$$964)</f>
      </c>
      <c r="CH964">
        <f>IF(ISBLANK('Data Entry'!$$964), "", 'Data Entry'!$$964)</f>
      </c>
      <c r="CI964">
        <f>IF(ISBLANK('Data Entry'!$$964), "", 'Data Entry'!$$964)</f>
      </c>
      <c r="CJ964">
        <f>IF(ISBLANK('Data Entry'!$$964), "", 'Data Entry'!$$964)</f>
      </c>
      <c r="CK964">
        <f>IF(ISBLANK('Data Entry'!$$964), "", 'Data Entry'!$$964)</f>
      </c>
      <c r="CL964">
        <f>IF(ISBLANK('Data Entry'!$$964), "", 'Data Entry'!$$964)</f>
      </c>
      <c r="CM964">
        <f>IF(ISBLANK('Data Entry'!$$964), "", 'Data Entry'!$$964)</f>
      </c>
      <c r="CN964">
        <f>IF(ISBLANK('Data Entry'!$$964), "", 'Data Entry'!$$964)</f>
      </c>
      <c r="CO964">
        <f>IF(ISBLANK('Data Entry'!$$964), "", 'Data Entry'!$$964)</f>
      </c>
      <c r="CP964">
        <f>IF(ISBLANK('Data Entry'!$$964), "", 'Data Entry'!$$964)</f>
      </c>
      <c r="CQ964">
        <f>IF(ISBLANK('Data Entry'!$$964), "", 'Data Entry'!$$964)</f>
      </c>
      <c r="CR964">
        <f>IF(ISBLANK('Data Entry'!$ $964), "", 'Data Entry'!$ $964)</f>
      </c>
      <c r="CS964">
        <f>IF(ISBLANK('Data Entry'!$¡$964), "", 'Data Entry'!$¡$964)</f>
      </c>
      <c r="CT964">
        <f>IF(ISBLANK('Data Entry'!$¢$964), "", 'Data Entry'!$¢$964)</f>
      </c>
      <c r="CU964">
        <f>IF(ISBLANK('Data Entry'!$£$964), "", 'Data Entry'!$£$964)</f>
      </c>
      <c r="CV964">
        <f>IF(ISBLANK('Data Entry'!$¤$964), "", 'Data Entry'!$¤$964)</f>
      </c>
      <c r="CW964">
        <f>IF(ISBLANK('Data Entry'!$¥$964), "", 'Data Entry'!$¥$964)</f>
      </c>
      <c r="CX964">
        <f>IF(ISBLANK('Data Entry'!$¦$964), "", 'Data Entry'!$¦$964)</f>
      </c>
      <c r="CY964">
        <f>IF(ISBLANK('Data Entry'!$§$964), "", 'Data Entry'!$§$964)</f>
      </c>
      <c r="CZ964">
        <f>IF(ISBLANK('Data Entry'!$¨$964), "", 'Data Entry'!$¨$964)</f>
      </c>
      <c r="DA964">
        <f>IF(ISBLANK('Data Entry'!$©$964), "", 'Data Entry'!$©$964)</f>
      </c>
      <c r="DB964">
        <f>IF(ISBLANK('Data Entry'!$ª$964), "", 'Data Entry'!$ª$964)</f>
      </c>
      <c r="DC964">
        <f>IF(ISBLANK('Data Entry'!$«$964), "", 'Data Entry'!$«$964)</f>
      </c>
      <c r="DD964">
        <f>IF(ISBLANK('Data Entry'!$¬$964), "", 'Data Entry'!$¬$964)</f>
      </c>
      <c r="DE964">
        <f>IF(ISBLANK('Data Entry'!$­$964), "", 'Data Entry'!$­$964)</f>
      </c>
      <c r="DF964">
        <f>IF(ISBLANK('Data Entry'!$®$964), "", 'Data Entry'!$®$964)</f>
      </c>
      <c r="DG964">
        <f>IF(ISBLANK('Data Entry'!$¯$964), "", 'Data Entry'!$¯$964)</f>
      </c>
      <c r="DH964">
        <f>IF(ISBLANK('Data Entry'!$°$964), "", 'Data Entry'!$°$964)</f>
      </c>
      <c r="DI964">
        <f>IF(ISBLANK('Data Entry'!$±$964), "", 'Data Entry'!$±$964)</f>
      </c>
      <c r="DJ964">
        <f>IF(ISBLANK('Data Entry'!$²$964), "", 'Data Entry'!$²$964)</f>
      </c>
      <c r="DK964">
        <f>IF(ISBLANK('Data Entry'!$³$964), "", 'Data Entry'!$³$964)</f>
      </c>
      <c r="DL964">
        <f>IF(ISBLANK('Data Entry'!$´$964), "", 'Data Entry'!$´$964)</f>
      </c>
      <c r="DM964">
        <f>IF(ISBLANK('Data Entry'!$µ$964), "", 'Data Entry'!$µ$964)</f>
      </c>
      <c r="DN964">
        <f>IF(ISBLANK('Data Entry'!$¶$964), "", 'Data Entry'!$¶$964)</f>
      </c>
      <c r="DO964">
        <f>IF(ISBLANK('Data Entry'!$·$964), "", 'Data Entry'!$·$964)</f>
      </c>
      <c r="DP964">
        <f>IF(ISBLANK('Data Entry'!$¸$964), "", 'Data Entry'!$¸$964)</f>
      </c>
      <c r="DQ964">
        <f>IF(ISBLANK('Data Entry'!$¹$964), "", 'Data Entry'!$¹$964)</f>
      </c>
      <c r="DR964">
        <f>IF(ISBLANK('Data Entry'!$º$964), "", 'Data Entry'!$º$964)</f>
      </c>
      <c r="DS964">
        <f>IF(ISBLANK('Data Entry'!$»$964), "", 'Data Entry'!$»$964)</f>
      </c>
      <c r="DT964">
        <f>IF(ISBLANK('Data Entry'!$¼$964), "", 'Data Entry'!$¼$964)</f>
      </c>
      <c r="DU964">
        <f>IF(ISBLANK('Data Entry'!$½$964), "", 'Data Entry'!$½$964)</f>
      </c>
      <c r="DV964">
        <f>IF(ISBLANK('Data Entry'!$¾$964), "", 'Data Entry'!$¾$964)</f>
      </c>
      <c r="DW964">
        <f>IF(ISBLANK('Data Entry'!$¿$964), "", 'Data Entry'!$¿$964)</f>
      </c>
      <c r="DX964">
        <f>IF(ISBLANK('Data Entry'!$À$964), "", 'Data Entry'!$À$964)</f>
      </c>
      <c r="DY964">
        <f>IF(ISBLANK('Data Entry'!$Á$964), "", 'Data Entry'!$Á$964)</f>
      </c>
      <c r="DZ964">
        <f>IF(ISBLANK('Data Entry'!$Â$964), "", 'Data Entry'!$Â$964)</f>
      </c>
      <c r="EA964">
        <f>IF(ISBLANK('Data Entry'!$Ã$964), "", 'Data Entry'!$Ã$964)</f>
      </c>
      <c r="EB964">
        <f>IF(ISBLANK('Data Entry'!$Ä$964), "", 'Data Entry'!$Ä$964)</f>
      </c>
      <c r="EC964">
        <f>IF(ISBLANK('Data Entry'!$Å$964), "", 'Data Entry'!$Å$964)</f>
      </c>
      <c r="ED964">
        <f>IF(ISBLANK('Data Entry'!$Æ$964), "", 'Data Entry'!$Æ$964)</f>
      </c>
      <c r="EE964">
        <f>IF(ISBLANK('Data Entry'!$Ç$964), "", 'Data Entry'!$Ç$964)</f>
      </c>
      <c r="EF964">
        <f>IF(ISBLANK('Data Entry'!$È$964), "", 'Data Entry'!$È$964)</f>
      </c>
      <c r="EG964">
        <f>IF(ISBLANK('Data Entry'!$É$964), "", 'Data Entry'!$É$964)</f>
      </c>
      <c r="EH964">
        <f>IF(ISBLANK('Data Entry'!$Ê$964), "", 'Data Entry'!$Ê$964)</f>
      </c>
      <c r="EI964">
        <f>IF(ISBLANK('Data Entry'!$Ë$964), "", 'Data Entry'!$Ë$964)</f>
      </c>
      <c r="EJ964">
        <f>IF(ISBLANK('Data Entry'!$Ì$964), "", 'Data Entry'!$Ì$964)</f>
      </c>
      <c r="EK964">
        <f>IF(ISBLANK('Data Entry'!$Í$964), "", 'Data Entry'!$Í$964)</f>
      </c>
      <c r="EL964">
        <f>IF(ISBLANK('Data Entry'!$Î$964), "", 'Data Entry'!$Î$964)</f>
      </c>
      <c r="EM964">
        <f>IF(ISBLANK('Data Entry'!$Ï$964), "", 'Data Entry'!$Ï$964)</f>
      </c>
      <c r="EN964">
        <f>IF(ISBLANK('Data Entry'!$Ð$964), "", 'Data Entry'!$Ð$964)</f>
      </c>
      <c r="EO964">
        <f>IF(ISBLANK('Data Entry'!$Ñ$964), "", 'Data Entry'!$Ñ$964)</f>
      </c>
      <c r="EP964">
        <f>IF(ISBLANK('Data Entry'!$Ò$964), "", 'Data Entry'!$Ò$964)</f>
      </c>
      <c r="EQ964">
        <f>IF(ISBLANK('Data Entry'!$Ó$964), "", 'Data Entry'!$Ó$964)</f>
      </c>
      <c r="ER964">
        <f>IF(ISBLANK('Data Entry'!$Ô$964), "", 'Data Entry'!$Ô$964)</f>
      </c>
      <c r="ES964">
        <f>IF(ISBLANK('Data Entry'!$Õ$964), "", 'Data Entry'!$Õ$964)</f>
      </c>
      <c r="ET964">
        <f>IF(ISBLANK('Data Entry'!$Ö$964), "", 'Data Entry'!$Ö$964)</f>
      </c>
      <c r="EU964">
        <f>IF(ISBLANK('Data Entry'!$×$964), "", 'Data Entry'!$×$964)</f>
      </c>
      <c r="EV964">
        <f>IF(ISBLANK('Data Entry'!$Ø$964), "", 'Data Entry'!$Ø$964)</f>
      </c>
      <c r="EW964">
        <f>IF(ISBLANK('Data Entry'!$Ù$964), "", 'Data Entry'!$Ù$964)</f>
      </c>
      <c r="EX964">
        <f>IF(ISBLANK('Data Entry'!$Ú$964), "", 'Data Entry'!$Ú$964)</f>
      </c>
      <c r="EY964">
        <f>IF(ISBLANK('Data Entry'!$Û$964), "", 'Data Entry'!$Û$964)</f>
      </c>
      <c r="EZ964">
        <f>IF(ISBLANK('Data Entry'!$Ü$964), "", 'Data Entry'!$Ü$964)</f>
      </c>
      <c r="FA964">
        <f>IF(ISBLANK('Data Entry'!$Ý$964), "", 'Data Entry'!$Ý$964)</f>
      </c>
      <c r="FB964">
        <f>IF(ISBLANK('Data Entry'!$Þ$964), "", 'Data Entry'!$Þ$964)</f>
      </c>
      <c r="FC964">
        <f>IF(ISBLANK('Data Entry'!$ß$964), "", 'Data Entry'!$ß$964)</f>
      </c>
      <c r="FD964">
        <f>IF(ISBLANK('Data Entry'!$à$964), "", 'Data Entry'!$à$964)</f>
      </c>
      <c r="FE964">
        <f>IF(ISBLANK('Data Entry'!$á$964), "", 'Data Entry'!$á$964)</f>
      </c>
      <c r="FF964">
        <f>IF(ISBLANK('Data Entry'!$â$964), "", 'Data Entry'!$â$964)</f>
      </c>
      <c r="FG964">
        <f>IF(ISBLANK('Data Entry'!$ã$964), "", 'Data Entry'!$ã$964)</f>
      </c>
      <c r="FH964">
        <f>IF(ISBLANK('Data Entry'!$ä$964), "", 'Data Entry'!$ä$964)</f>
      </c>
      <c r="FI964">
        <f>IF(ISBLANK('Data Entry'!$å$964), "", 'Data Entry'!$å$964)</f>
      </c>
      <c r="FJ964">
        <f>IF(ISBLANK('Data Entry'!$æ$964), "", 'Data Entry'!$æ$964)</f>
      </c>
      <c r="FK964">
        <f>IF(ISBLANK('Data Entry'!$ç$964), "", 'Data Entry'!$ç$964)</f>
      </c>
      <c r="FL964">
        <f>IF(ISBLANK('Data Entry'!$è$964), "", 'Data Entry'!$è$964)</f>
      </c>
      <c r="FM964">
        <f>IF(ISBLANK('Data Entry'!$é$964), "", 'Data Entry'!$é$964)</f>
      </c>
      <c r="FN964">
        <f>IF(ISBLANK('Data Entry'!$ê$964), "", 'Data Entry'!$ê$964)</f>
      </c>
      <c r="FO964">
        <f>IF(ISBLANK('Data Entry'!$ë$964), "", 'Data Entry'!$ë$964)</f>
      </c>
      <c r="FP964">
        <f>IF(ISBLANK('Data Entry'!$ì$964), "", 'Data Entry'!$ì$964)</f>
      </c>
      <c r="FQ964">
        <f>IF(ISBLANK('Data Entry'!$í$964), "", 'Data Entry'!$í$964)</f>
      </c>
      <c r="FR964">
        <f>IF(ISBLANK('Data Entry'!$î$964), "", 'Data Entry'!$î$964)</f>
      </c>
      <c r="FS964">
        <f>IF(ISBLANK('Data Entry'!$ï$964), "", 'Data Entry'!$ï$964)</f>
      </c>
      <c r="FT964">
        <f>IF(ISBLANK('Data Entry'!$ð$964), "", 'Data Entry'!$ð$964)</f>
      </c>
      <c r="FU964">
        <f>IF(ISBLANK('Data Entry'!$ñ$964), "", 'Data Entry'!$ñ$964)</f>
      </c>
      <c r="FV964">
        <f>IF(ISBLANK('Data Entry'!$ò$964), "", 'Data Entry'!$ò$964)</f>
      </c>
      <c r="FW964">
        <f>IF(ISBLANK('Data Entry'!$ó$964), "", 'Data Entry'!$ó$964)</f>
      </c>
      <c r="FX964">
        <f>IF(ISBLANK('Data Entry'!$ô$964), "", 'Data Entry'!$ô$964)</f>
      </c>
      <c r="FY964">
        <f>IF(ISBLANK('Data Entry'!$õ$964), "", 'Data Entry'!$õ$964)</f>
      </c>
      <c r="FZ964">
        <f>IF(ISBLANK('Data Entry'!$ö$964), "", 'Data Entry'!$ö$964)</f>
      </c>
      <c r="GA964">
        <f>IF(ISBLANK('Data Entry'!$÷$964), "", 'Data Entry'!$÷$964)</f>
      </c>
      <c r="GB964">
        <f>IF(ISBLANK('Data Entry'!$ø$964), "", 'Data Entry'!$ø$964)</f>
      </c>
      <c r="GC964">
        <f>IF(ISBLANK('Data Entry'!$ù$964), "", 'Data Entry'!$ù$964)</f>
      </c>
      <c r="GD964">
        <f>IF(ISBLANK('Data Entry'!$ú$964), "", 'Data Entry'!$ú$964)</f>
      </c>
      <c r="GE964">
        <f>IF(ISBLANK('Data Entry'!$û$964), "", 'Data Entry'!$û$964)</f>
      </c>
      <c r="GF964">
        <f>IF(ISBLANK('Data Entry'!$ü$964), "", 'Data Entry'!$ü$964)</f>
      </c>
      <c r="GG964">
        <f>IF(ISBLANK('Data Entry'!$ý$964), "", 'Data Entry'!$ý$964)</f>
      </c>
      <c r="GH964">
        <f>IF(ISBLANK('Data Entry'!$þ$964), "", 'Data Entry'!$þ$964)</f>
      </c>
      <c r="GI964">
        <f>IF(ISBLANK('Data Entry'!$ÿ$964), "", 'Data Entry'!$ÿ$964)</f>
      </c>
      <c r="GJ964">
        <f>IF(ISBLANK('Data Entry'!$Ā$964), "", 'Data Entry'!$Ā$964)</f>
      </c>
      <c r="GK964">
        <f>IF(ISBLANK('Data Entry'!$ā$964), "", 'Data Entry'!$ā$964)</f>
      </c>
      <c r="GL964">
        <f>IF(ISBLANK('Data Entry'!$Ă$964), "", 'Data Entry'!$Ă$964)</f>
      </c>
      <c r="GM964">
        <f>IF(ISBLANK('Data Entry'!$ă$964), "", 'Data Entry'!$ă$964)</f>
      </c>
      <c r="GN964">
        <f>IF(ISBLANK('Data Entry'!$Ą$964), "", 'Data Entry'!$Ą$964)</f>
      </c>
      <c r="GO964">
        <f>IF(ISBLANK('Data Entry'!$ą$964), "", 'Data Entry'!$ą$964)</f>
      </c>
      <c r="GP964">
        <f>IF(ISBLANK('Data Entry'!$Ć$964), "", 'Data Entry'!$Ć$964)</f>
      </c>
      <c r="GQ964">
        <f>IF(ISBLANK('Data Entry'!$ć$964), "", 'Data Entry'!$ć$964)</f>
      </c>
      <c r="GR964">
        <f>IF(ISBLANK('Data Entry'!$Ĉ$964), "", 'Data Entry'!$Ĉ$964)</f>
      </c>
      <c r="GS964">
        <f>IF(ISBLANK('Data Entry'!$ĉ$964), "", 'Data Entry'!$ĉ$964)</f>
      </c>
      <c r="GT964">
        <f>IF(ISBLANK('Data Entry'!$Ċ$964), "", 'Data Entry'!$Ċ$964)</f>
      </c>
      <c r="GU964">
        <f>IF(ISBLANK('Data Entry'!$ċ$964), "", 'Data Entry'!$ċ$964)</f>
      </c>
      <c r="GV964">
        <f>IF(ISBLANK('Data Entry'!$Č$964), "", 'Data Entry'!$Č$964)</f>
      </c>
      <c r="GW964">
        <f>IF(ISBLANK('Data Entry'!$č$964), "", 'Data Entry'!$č$964)</f>
      </c>
      <c r="GX964">
        <f>IF(ISBLANK('Data Entry'!$Ď$964), "", 'Data Entry'!$Ď$964)</f>
      </c>
      <c r="GY964">
        <f>IF(ISBLANK('Data Entry'!$ď$964), "", 'Data Entry'!$ď$964)</f>
      </c>
      <c r="GZ964">
        <f>IF(ISBLANK('Data Entry'!$Đ$964), "", 'Data Entry'!$Đ$964)</f>
      </c>
      <c r="HA964">
        <f>IF(ISBLANK('Data Entry'!$đ$964), "", 'Data Entry'!$đ$964)</f>
      </c>
      <c r="HB964">
        <f>IF(ISBLANK('Data Entry'!$Ē$964), "", 'Data Entry'!$Ē$964)</f>
      </c>
      <c r="HC964">
        <f>IF(ISBLANK('Data Entry'!$ē$964), "", 'Data Entry'!$ē$964)</f>
      </c>
      <c r="HD964">
        <f>IF(ISBLANK('Data Entry'!$Ĕ$964), "", 'Data Entry'!$Ĕ$964)</f>
      </c>
      <c r="HE964">
        <f>IF(ISBLANK('Data Entry'!$ĕ$964), "", 'Data Entry'!$ĕ$964)</f>
      </c>
      <c r="HF964">
        <f>IF(ISBLANK('Data Entry'!$Ė$964), "", 'Data Entry'!$Ė$964)</f>
      </c>
      <c r="HG964">
        <f>IF(ISBLANK('Data Entry'!$ė$964), "", 'Data Entry'!$ė$964)</f>
      </c>
      <c r="HH964">
        <f>IF(ISBLANK('Data Entry'!$Ę$964), "", 'Data Entry'!$Ę$964)</f>
      </c>
      <c r="HI964">
        <f>IF(ISBLANK('Data Entry'!$ę$964), "", 'Data Entry'!$ę$964)</f>
      </c>
      <c r="HJ964">
        <f>IF(ISBLANK('Data Entry'!$Ě$964), "", 'Data Entry'!$Ě$964)</f>
      </c>
      <c r="HK964">
        <f>IF(ISBLANK('Data Entry'!$ě$964), "", 'Data Entry'!$ě$964)</f>
      </c>
      <c r="HL964">
        <f>IF(ISBLANK('Data Entry'!$Ĝ$964), "", 'Data Entry'!$Ĝ$964)</f>
      </c>
      <c r="HM964">
        <f>IF(ISBLANK('Data Entry'!$ĝ$964), "", 'Data Entry'!$ĝ$964)</f>
      </c>
      <c r="HN964">
        <f>IF(ISBLANK('Data Entry'!$Ğ$964), "", 'Data Entry'!$Ğ$964)</f>
      </c>
      <c r="HO964">
        <f>IF(ISBLANK('Data Entry'!$ğ$964), "", 'Data Entry'!$ğ$964)</f>
      </c>
      <c r="HP964">
        <f>IF(ISBLANK('Data Entry'!$Ġ$964), "", 'Data Entry'!$Ġ$964)</f>
      </c>
      <c r="HQ964">
        <f>IF(ISBLANK('Data Entry'!$ġ$964), "", 'Data Entry'!$ġ$964)</f>
      </c>
      <c r="HR964">
        <f>IF(ISBLANK('Data Entry'!$Ģ$964), "", 'Data Entry'!$Ģ$964)</f>
      </c>
      <c r="HS964">
        <f>IF(ISBLANK('Data Entry'!$ģ$964), "", 'Data Entry'!$ģ$964)</f>
      </c>
      <c r="HT964">
        <f>IF(ISBLANK('Data Entry'!$Ĥ$964), "", 'Data Entry'!$Ĥ$964)</f>
      </c>
      <c r="HU964">
        <f>IF(ISBLANK('Data Entry'!$ĥ$964), "", 'Data Entry'!$ĥ$964)</f>
      </c>
      <c r="HV964">
        <f>IF(ISBLANK('Data Entry'!$Ħ$964), "", 'Data Entry'!$Ħ$964)</f>
      </c>
      <c r="HW964">
        <f>IF(ISBLANK('Data Entry'!$ħ$964), "", 'Data Entry'!$ħ$964)</f>
      </c>
      <c r="HX964">
        <f>IF(ISBLANK('Data Entry'!$Ĩ$964), "", 'Data Entry'!$Ĩ$964)</f>
      </c>
      <c r="HY964">
        <f>IF(ISBLANK('Data Entry'!$ĩ$964), "", 'Data Entry'!$ĩ$964)</f>
      </c>
      <c r="HZ964">
        <f>IF(ISBLANK('Data Entry'!$Ī$964), "", 'Data Entry'!$Ī$964)</f>
      </c>
      <c r="IA964">
        <f>IF(ISBLANK('Data Entry'!$ī$964), "", 'Data Entry'!$ī$964)</f>
      </c>
      <c r="IB964">
        <f>IF(ISBLANK('Data Entry'!$Ĭ$964), "", 'Data Entry'!$Ĭ$964)</f>
      </c>
      <c r="IC964">
        <f>IF(ISBLANK('Data Entry'!$ĭ$964), "", 'Data Entry'!$ĭ$964)</f>
      </c>
      <c r="ID964">
        <f>IF(ISBLANK('Data Entry'!$Į$964), "", 'Data Entry'!$Į$964)</f>
      </c>
      <c r="IE964">
        <f>IF(ISBLANK('Data Entry'!$į$964), "", 'Data Entry'!$į$964)</f>
      </c>
      <c r="IF964">
        <f>IF(ISBLANK('Data Entry'!$İ$964), "", 'Data Entry'!$İ$964)</f>
      </c>
      <c r="IG964">
        <f>IF(ISBLANK('Data Entry'!$ı$964), "", 'Data Entry'!$ı$964)</f>
      </c>
      <c r="IH964">
        <f>IF(ISBLANK('Data Entry'!$Ĳ$964), "", 'Data Entry'!$Ĳ$964)</f>
      </c>
      <c r="II964">
        <f>IF(ISBLANK('Data Entry'!$ĳ$964), "", 'Data Entry'!$ĳ$964)</f>
      </c>
      <c r="IJ964">
        <f>IF(ISBLANK('Data Entry'!$Ĵ$964), "", 'Data Entry'!$Ĵ$964)</f>
      </c>
      <c r="IK964">
        <f>IF(ISBLANK('Data Entry'!$ĵ$964), "", 'Data Entry'!$ĵ$964)</f>
      </c>
      <c r="IL964">
        <f>IF(ISBLANK('Data Entry'!$Ķ$964), "", 'Data Entry'!$Ķ$964)</f>
      </c>
      <c r="IM964">
        <f>IF(ISBLANK('Data Entry'!$ķ$964), "", 'Data Entry'!$ķ$964)</f>
      </c>
      <c r="IN964">
        <f>IF(ISBLANK('Data Entry'!$ĸ$964), "", 'Data Entry'!$ĸ$964)</f>
      </c>
      <c r="IO964">
        <f>IF(ISBLANK('Data Entry'!$Ĺ$964), "", 'Data Entry'!$Ĺ$964)</f>
      </c>
      <c r="IP964">
        <f>IF(ISBLANK('Data Entry'!$ĺ$964), "", 'Data Entry'!$ĺ$964)</f>
      </c>
      <c r="IQ964">
        <f>IF(ISBLANK('Data Entry'!$Ļ$964), "", 'Data Entry'!$Ļ$964)</f>
      </c>
      <c r="IR964">
        <f>IF(ISBLANK('Data Entry'!$ļ$964), "", 'Data Entry'!$ļ$964)</f>
      </c>
      <c r="IS964">
        <f>IF(ISBLANK('Data Entry'!$Ľ$964), "", 'Data Entry'!$Ľ$964)</f>
      </c>
      <c r="IT964">
        <f>IF(ISBLANK('Data Entry'!$ľ$964), "", 'Data Entry'!$ľ$964)</f>
      </c>
    </row>
    <row r="965" spans="1:254" x14ac:dyDescent="0.25">
      <c r="A965">
        <f>IF(ISBLANK('Data Entry'!$A$965), "", 'Data Entry'!$A$965)</f>
      </c>
      <c r="B965">
        <f>IF(ISBLANK('Data Entry'!$B$965), "", 'Data Entry'!$B$965)</f>
      </c>
      <c r="C965">
        <f>IF(ISBLANK('Data Entry'!$C$965), "", 'Data Entry'!$C$965)</f>
      </c>
      <c r="D965">
        <f>IF(ISBLANK('Data Entry'!$D$965), "", 'Data Entry'!$D$965)</f>
      </c>
      <c r="E965">
        <f>IF(ISBLANK('Data Entry'!$E$965), "", 'Data Entry'!$E$965)</f>
      </c>
      <c r="F965">
        <f>IF(ISBLANK('Data Entry'!$F$965), "", 'Data Entry'!$F$965)</f>
      </c>
      <c r="G965">
        <f>IF(ISBLANK('Data Entry'!$G$965), "", 'Data Entry'!$G$965)</f>
      </c>
      <c r="H965">
        <f>IF(ISBLANK('Data Entry'!$H$965), "", 'Data Entry'!$H$965)</f>
      </c>
      <c r="I965">
        <f>IF(ISBLANK('Data Entry'!$I$965), "", 'Data Entry'!$I$965)</f>
      </c>
      <c r="J965">
        <f>IF(ISBLANK('Data Entry'!$J$965), "", 'Data Entry'!$J$965)</f>
      </c>
      <c r="K965">
        <f>IF(ISBLANK('Data Entry'!$K$965), "", 'Data Entry'!$K$965)</f>
      </c>
      <c r="L965">
        <f>IF(ISBLANK('Data Entry'!$L$965), "", 'Data Entry'!$L$965)</f>
      </c>
      <c r="M965">
        <f>IF(ISBLANK('Data Entry'!$M$965), "", 'Data Entry'!$M$965)</f>
      </c>
      <c r="N965">
        <f>IF(ISBLANK('Data Entry'!$N$965), "", 'Data Entry'!$N$965)</f>
      </c>
      <c r="O965">
        <f>IF(ISBLANK('Data Entry'!$O$965), "", 'Data Entry'!$O$965)</f>
      </c>
      <c r="P965">
        <f>IF(ISBLANK('Data Entry'!$P$965), "", 'Data Entry'!$P$965)</f>
      </c>
      <c r="Q965">
        <f>IF(ISBLANK('Data Entry'!$Q$965), "", 'Data Entry'!$Q$965)</f>
      </c>
      <c r="R965">
        <f>IF(ISBLANK('Data Entry'!$R$965), "", 'Data Entry'!$R$965)</f>
      </c>
      <c r="S965">
        <f>IF(ISBLANK('Data Entry'!$S$965), "", 'Data Entry'!$S$965)</f>
      </c>
      <c r="T965">
        <f>IF(ISBLANK('Data Entry'!$T$965), "", 'Data Entry'!$T$965)</f>
      </c>
      <c r="U965">
        <f>IF(ISBLANK('Data Entry'!$U$965), "", 'Data Entry'!$U$965)</f>
      </c>
      <c r="V965">
        <f>IF(ISBLANK('Data Entry'!$V$965), "", 'Data Entry'!$V$965)</f>
      </c>
      <c r="W965">
        <f>IF(ISBLANK('Data Entry'!$W$965), "", 'Data Entry'!$W$965)</f>
      </c>
      <c r="X965">
        <f>IF(ISBLANK('Data Entry'!$X$965), "", 'Data Entry'!$X$965)</f>
      </c>
      <c r="Y965">
        <f>IF(ISBLANK('Data Entry'!$Y$965), "", 'Data Entry'!$Y$965)</f>
      </c>
      <c r="Z965">
        <f>IF(ISBLANK('Data Entry'!$Z$965), "", 'Data Entry'!$Z$965)</f>
      </c>
      <c r="AA965">
        <f>IF(ISBLANK('Data Entry'!$[$965), "", 'Data Entry'!$[$965)</f>
      </c>
      <c r="AB965">
        <f>IF(ISBLANK('Data Entry'!$\$965), "", 'Data Entry'!$\$965)</f>
      </c>
      <c r="AC965">
        <f>IF(ISBLANK('Data Entry'!$]$965), "", 'Data Entry'!$]$965)</f>
      </c>
      <c r="AD965">
        <f>IF(ISBLANK('Data Entry'!$^$965), "", 'Data Entry'!$^$965)</f>
      </c>
      <c r="AE965">
        <f>IF(ISBLANK('Data Entry'!$_$965), "", 'Data Entry'!$_$965)</f>
      </c>
      <c r="AF965">
        <f>IF(ISBLANK('Data Entry'!$`$965), "", 'Data Entry'!$`$965)</f>
      </c>
      <c r="AG965">
        <f>IF(ISBLANK('Data Entry'!$a$965), "", 'Data Entry'!$a$965)</f>
      </c>
      <c r="AH965">
        <f>IF(ISBLANK('Data Entry'!$b$965), "", 'Data Entry'!$b$965)</f>
      </c>
      <c r="AI965">
        <f>IF(ISBLANK('Data Entry'!$c$965), "", 'Data Entry'!$c$965)</f>
      </c>
      <c r="AJ965">
        <f>IF(ISBLANK('Data Entry'!$d$965), "", 'Data Entry'!$d$965)</f>
      </c>
      <c r="AK965">
        <f>IF(ISBLANK('Data Entry'!$e$965), "", 'Data Entry'!$e$965)</f>
      </c>
      <c r="AL965">
        <f>IF(ISBLANK('Data Entry'!$f$965), "", 'Data Entry'!$f$965)</f>
      </c>
      <c r="AM965">
        <f>IF(ISBLANK('Data Entry'!$g$965), "", 'Data Entry'!$g$965)</f>
      </c>
      <c r="AN965">
        <f>IF(ISBLANK('Data Entry'!$h$965), "", 'Data Entry'!$h$965)</f>
      </c>
      <c r="AO965">
        <f>IF(ISBLANK('Data Entry'!$i$965), "", 'Data Entry'!$i$965)</f>
      </c>
      <c r="AP965">
        <f>IF(ISBLANK('Data Entry'!$j$965), "", 'Data Entry'!$j$965)</f>
      </c>
      <c r="AQ965">
        <f>IF(ISBLANK('Data Entry'!$k$965), "", 'Data Entry'!$k$965)</f>
      </c>
      <c r="AR965">
        <f>IF(ISBLANK('Data Entry'!$l$965), "", 'Data Entry'!$l$965)</f>
      </c>
      <c r="AS965">
        <f>IF(ISBLANK('Data Entry'!$m$965), "", 'Data Entry'!$m$965)</f>
      </c>
      <c r="AT965">
        <f>IF(ISBLANK('Data Entry'!$n$965), "", 'Data Entry'!$n$965)</f>
      </c>
      <c r="AU965">
        <f>IF(ISBLANK('Data Entry'!$o$965), "", 'Data Entry'!$o$965)</f>
      </c>
      <c r="AV965">
        <f>IF(ISBLANK('Data Entry'!$p$965), "", 'Data Entry'!$p$965)</f>
      </c>
      <c r="AW965">
        <f>IF(ISBLANK('Data Entry'!$q$965), "", 'Data Entry'!$q$965)</f>
      </c>
      <c r="AX965">
        <f>IF(ISBLANK('Data Entry'!$r$965), "", 'Data Entry'!$r$965)</f>
      </c>
      <c r="AY965">
        <f>IF(ISBLANK('Data Entry'!$s$965), "", 'Data Entry'!$s$965)</f>
      </c>
      <c r="AZ965">
        <f>IF(ISBLANK('Data Entry'!$t$965), "", 'Data Entry'!$t$965)</f>
      </c>
      <c r="BA965">
        <f>IF(ISBLANK('Data Entry'!$u$965), "", 'Data Entry'!$u$965)</f>
      </c>
      <c r="BB965">
        <f>IF(ISBLANK('Data Entry'!$v$965), "", 'Data Entry'!$v$965)</f>
      </c>
      <c r="BC965">
        <f>IF(ISBLANK('Data Entry'!$w$965), "", 'Data Entry'!$w$965)</f>
      </c>
      <c r="BD965">
        <f>IF(ISBLANK('Data Entry'!$x$965), "", 'Data Entry'!$x$965)</f>
      </c>
      <c r="BE965">
        <f>IF(ISBLANK('Data Entry'!$y$965), "", 'Data Entry'!$y$965)</f>
      </c>
      <c r="BF965">
        <f>IF(ISBLANK('Data Entry'!$z$965), "", 'Data Entry'!$z$965)</f>
      </c>
      <c r="BG965">
        <f>IF(ISBLANK('Data Entry'!${$965), "", 'Data Entry'!${$965)</f>
      </c>
      <c r="BH965">
        <f>IF(ISBLANK('Data Entry'!$|$965), "", 'Data Entry'!$|$965)</f>
      </c>
      <c r="BI965">
        <f>IF(ISBLANK('Data Entry'!$}$965), "", 'Data Entry'!$}$965)</f>
      </c>
      <c r="BJ965">
        <f>IF(ISBLANK('Data Entry'!$~$965), "", 'Data Entry'!$~$965)</f>
      </c>
      <c r="BK965">
        <f>IF(ISBLANK('Data Entry'!$$965), "", 'Data Entry'!$$965)</f>
      </c>
      <c r="BL965">
        <f>IF(ISBLANK('Data Entry'!$$965), "", 'Data Entry'!$$965)</f>
      </c>
      <c r="BM965">
        <f>IF(ISBLANK('Data Entry'!$$965), "", 'Data Entry'!$$965)</f>
      </c>
      <c r="BN965">
        <f>IF(ISBLANK('Data Entry'!$$965), "", 'Data Entry'!$$965)</f>
      </c>
      <c r="BO965">
        <f>IF(ISBLANK('Data Entry'!$$965), "", 'Data Entry'!$$965)</f>
      </c>
      <c r="BP965">
        <f>IF(ISBLANK('Data Entry'!$$965), "", 'Data Entry'!$$965)</f>
      </c>
      <c r="BQ965">
        <f>IF(ISBLANK('Data Entry'!$$965), "", 'Data Entry'!$$965)</f>
      </c>
      <c r="BR965">
        <f>IF(ISBLANK('Data Entry'!$$965), "", 'Data Entry'!$$965)</f>
      </c>
      <c r="BS965">
        <f>IF(ISBLANK('Data Entry'!$$965), "", 'Data Entry'!$$965)</f>
      </c>
      <c r="BT965">
        <f>IF(ISBLANK('Data Entry'!$$965), "", 'Data Entry'!$$965)</f>
      </c>
      <c r="BU965">
        <f>IF(ISBLANK('Data Entry'!$$965), "", 'Data Entry'!$$965)</f>
      </c>
      <c r="BV965">
        <f>IF(ISBLANK('Data Entry'!$$965), "", 'Data Entry'!$$965)</f>
      </c>
      <c r="BW965">
        <f>IF(ISBLANK('Data Entry'!$$965), "", 'Data Entry'!$$965)</f>
      </c>
      <c r="BX965">
        <f>IF(ISBLANK('Data Entry'!$$965), "", 'Data Entry'!$$965)</f>
      </c>
      <c r="BY965">
        <f>IF(ISBLANK('Data Entry'!$$965), "", 'Data Entry'!$$965)</f>
      </c>
      <c r="BZ965">
        <f>IF(ISBLANK('Data Entry'!$$965), "", 'Data Entry'!$$965)</f>
      </c>
      <c r="CA965">
        <f>IF(ISBLANK('Data Entry'!$$965), "", 'Data Entry'!$$965)</f>
      </c>
      <c r="CB965">
        <f>IF(ISBLANK('Data Entry'!$$965), "", 'Data Entry'!$$965)</f>
      </c>
      <c r="CC965">
        <f>IF(ISBLANK('Data Entry'!$$965), "", 'Data Entry'!$$965)</f>
      </c>
      <c r="CD965">
        <f>IF(ISBLANK('Data Entry'!$$965), "", 'Data Entry'!$$965)</f>
      </c>
      <c r="CE965">
        <f>IF(ISBLANK('Data Entry'!$$965), "", 'Data Entry'!$$965)</f>
      </c>
      <c r="CF965">
        <f>IF(ISBLANK('Data Entry'!$$965), "", 'Data Entry'!$$965)</f>
      </c>
      <c r="CG965">
        <f>IF(ISBLANK('Data Entry'!$$965), "", 'Data Entry'!$$965)</f>
      </c>
      <c r="CH965">
        <f>IF(ISBLANK('Data Entry'!$$965), "", 'Data Entry'!$$965)</f>
      </c>
      <c r="CI965">
        <f>IF(ISBLANK('Data Entry'!$$965), "", 'Data Entry'!$$965)</f>
      </c>
      <c r="CJ965">
        <f>IF(ISBLANK('Data Entry'!$$965), "", 'Data Entry'!$$965)</f>
      </c>
      <c r="CK965">
        <f>IF(ISBLANK('Data Entry'!$$965), "", 'Data Entry'!$$965)</f>
      </c>
      <c r="CL965">
        <f>IF(ISBLANK('Data Entry'!$$965), "", 'Data Entry'!$$965)</f>
      </c>
      <c r="CM965">
        <f>IF(ISBLANK('Data Entry'!$$965), "", 'Data Entry'!$$965)</f>
      </c>
      <c r="CN965">
        <f>IF(ISBLANK('Data Entry'!$$965), "", 'Data Entry'!$$965)</f>
      </c>
      <c r="CO965">
        <f>IF(ISBLANK('Data Entry'!$$965), "", 'Data Entry'!$$965)</f>
      </c>
      <c r="CP965">
        <f>IF(ISBLANK('Data Entry'!$$965), "", 'Data Entry'!$$965)</f>
      </c>
      <c r="CQ965">
        <f>IF(ISBLANK('Data Entry'!$$965), "", 'Data Entry'!$$965)</f>
      </c>
      <c r="CR965">
        <f>IF(ISBLANK('Data Entry'!$ $965), "", 'Data Entry'!$ $965)</f>
      </c>
      <c r="CS965">
        <f>IF(ISBLANK('Data Entry'!$¡$965), "", 'Data Entry'!$¡$965)</f>
      </c>
      <c r="CT965">
        <f>IF(ISBLANK('Data Entry'!$¢$965), "", 'Data Entry'!$¢$965)</f>
      </c>
      <c r="CU965">
        <f>IF(ISBLANK('Data Entry'!$£$965), "", 'Data Entry'!$£$965)</f>
      </c>
      <c r="CV965">
        <f>IF(ISBLANK('Data Entry'!$¤$965), "", 'Data Entry'!$¤$965)</f>
      </c>
      <c r="CW965">
        <f>IF(ISBLANK('Data Entry'!$¥$965), "", 'Data Entry'!$¥$965)</f>
      </c>
      <c r="CX965">
        <f>IF(ISBLANK('Data Entry'!$¦$965), "", 'Data Entry'!$¦$965)</f>
      </c>
      <c r="CY965">
        <f>IF(ISBLANK('Data Entry'!$§$965), "", 'Data Entry'!$§$965)</f>
      </c>
      <c r="CZ965">
        <f>IF(ISBLANK('Data Entry'!$¨$965), "", 'Data Entry'!$¨$965)</f>
      </c>
      <c r="DA965">
        <f>IF(ISBLANK('Data Entry'!$©$965), "", 'Data Entry'!$©$965)</f>
      </c>
      <c r="DB965">
        <f>IF(ISBLANK('Data Entry'!$ª$965), "", 'Data Entry'!$ª$965)</f>
      </c>
      <c r="DC965">
        <f>IF(ISBLANK('Data Entry'!$«$965), "", 'Data Entry'!$«$965)</f>
      </c>
      <c r="DD965">
        <f>IF(ISBLANK('Data Entry'!$¬$965), "", 'Data Entry'!$¬$965)</f>
      </c>
      <c r="DE965">
        <f>IF(ISBLANK('Data Entry'!$­$965), "", 'Data Entry'!$­$965)</f>
      </c>
      <c r="DF965">
        <f>IF(ISBLANK('Data Entry'!$®$965), "", 'Data Entry'!$®$965)</f>
      </c>
      <c r="DG965">
        <f>IF(ISBLANK('Data Entry'!$¯$965), "", 'Data Entry'!$¯$965)</f>
      </c>
      <c r="DH965">
        <f>IF(ISBLANK('Data Entry'!$°$965), "", 'Data Entry'!$°$965)</f>
      </c>
      <c r="DI965">
        <f>IF(ISBLANK('Data Entry'!$±$965), "", 'Data Entry'!$±$965)</f>
      </c>
      <c r="DJ965">
        <f>IF(ISBLANK('Data Entry'!$²$965), "", 'Data Entry'!$²$965)</f>
      </c>
      <c r="DK965">
        <f>IF(ISBLANK('Data Entry'!$³$965), "", 'Data Entry'!$³$965)</f>
      </c>
      <c r="DL965">
        <f>IF(ISBLANK('Data Entry'!$´$965), "", 'Data Entry'!$´$965)</f>
      </c>
      <c r="DM965">
        <f>IF(ISBLANK('Data Entry'!$µ$965), "", 'Data Entry'!$µ$965)</f>
      </c>
      <c r="DN965">
        <f>IF(ISBLANK('Data Entry'!$¶$965), "", 'Data Entry'!$¶$965)</f>
      </c>
      <c r="DO965">
        <f>IF(ISBLANK('Data Entry'!$·$965), "", 'Data Entry'!$·$965)</f>
      </c>
      <c r="DP965">
        <f>IF(ISBLANK('Data Entry'!$¸$965), "", 'Data Entry'!$¸$965)</f>
      </c>
      <c r="DQ965">
        <f>IF(ISBLANK('Data Entry'!$¹$965), "", 'Data Entry'!$¹$965)</f>
      </c>
      <c r="DR965">
        <f>IF(ISBLANK('Data Entry'!$º$965), "", 'Data Entry'!$º$965)</f>
      </c>
      <c r="DS965">
        <f>IF(ISBLANK('Data Entry'!$»$965), "", 'Data Entry'!$»$965)</f>
      </c>
      <c r="DT965">
        <f>IF(ISBLANK('Data Entry'!$¼$965), "", 'Data Entry'!$¼$965)</f>
      </c>
      <c r="DU965">
        <f>IF(ISBLANK('Data Entry'!$½$965), "", 'Data Entry'!$½$965)</f>
      </c>
      <c r="DV965">
        <f>IF(ISBLANK('Data Entry'!$¾$965), "", 'Data Entry'!$¾$965)</f>
      </c>
      <c r="DW965">
        <f>IF(ISBLANK('Data Entry'!$¿$965), "", 'Data Entry'!$¿$965)</f>
      </c>
      <c r="DX965">
        <f>IF(ISBLANK('Data Entry'!$À$965), "", 'Data Entry'!$À$965)</f>
      </c>
      <c r="DY965">
        <f>IF(ISBLANK('Data Entry'!$Á$965), "", 'Data Entry'!$Á$965)</f>
      </c>
      <c r="DZ965">
        <f>IF(ISBLANK('Data Entry'!$Â$965), "", 'Data Entry'!$Â$965)</f>
      </c>
      <c r="EA965">
        <f>IF(ISBLANK('Data Entry'!$Ã$965), "", 'Data Entry'!$Ã$965)</f>
      </c>
      <c r="EB965">
        <f>IF(ISBLANK('Data Entry'!$Ä$965), "", 'Data Entry'!$Ä$965)</f>
      </c>
      <c r="EC965">
        <f>IF(ISBLANK('Data Entry'!$Å$965), "", 'Data Entry'!$Å$965)</f>
      </c>
      <c r="ED965">
        <f>IF(ISBLANK('Data Entry'!$Æ$965), "", 'Data Entry'!$Æ$965)</f>
      </c>
      <c r="EE965">
        <f>IF(ISBLANK('Data Entry'!$Ç$965), "", 'Data Entry'!$Ç$965)</f>
      </c>
      <c r="EF965">
        <f>IF(ISBLANK('Data Entry'!$È$965), "", 'Data Entry'!$È$965)</f>
      </c>
      <c r="EG965">
        <f>IF(ISBLANK('Data Entry'!$É$965), "", 'Data Entry'!$É$965)</f>
      </c>
      <c r="EH965">
        <f>IF(ISBLANK('Data Entry'!$Ê$965), "", 'Data Entry'!$Ê$965)</f>
      </c>
      <c r="EI965">
        <f>IF(ISBLANK('Data Entry'!$Ë$965), "", 'Data Entry'!$Ë$965)</f>
      </c>
      <c r="EJ965">
        <f>IF(ISBLANK('Data Entry'!$Ì$965), "", 'Data Entry'!$Ì$965)</f>
      </c>
      <c r="EK965">
        <f>IF(ISBLANK('Data Entry'!$Í$965), "", 'Data Entry'!$Í$965)</f>
      </c>
      <c r="EL965">
        <f>IF(ISBLANK('Data Entry'!$Î$965), "", 'Data Entry'!$Î$965)</f>
      </c>
      <c r="EM965">
        <f>IF(ISBLANK('Data Entry'!$Ï$965), "", 'Data Entry'!$Ï$965)</f>
      </c>
      <c r="EN965">
        <f>IF(ISBLANK('Data Entry'!$Ð$965), "", 'Data Entry'!$Ð$965)</f>
      </c>
      <c r="EO965">
        <f>IF(ISBLANK('Data Entry'!$Ñ$965), "", 'Data Entry'!$Ñ$965)</f>
      </c>
      <c r="EP965">
        <f>IF(ISBLANK('Data Entry'!$Ò$965), "", 'Data Entry'!$Ò$965)</f>
      </c>
      <c r="EQ965">
        <f>IF(ISBLANK('Data Entry'!$Ó$965), "", 'Data Entry'!$Ó$965)</f>
      </c>
      <c r="ER965">
        <f>IF(ISBLANK('Data Entry'!$Ô$965), "", 'Data Entry'!$Ô$965)</f>
      </c>
      <c r="ES965">
        <f>IF(ISBLANK('Data Entry'!$Õ$965), "", 'Data Entry'!$Õ$965)</f>
      </c>
      <c r="ET965">
        <f>IF(ISBLANK('Data Entry'!$Ö$965), "", 'Data Entry'!$Ö$965)</f>
      </c>
      <c r="EU965">
        <f>IF(ISBLANK('Data Entry'!$×$965), "", 'Data Entry'!$×$965)</f>
      </c>
      <c r="EV965">
        <f>IF(ISBLANK('Data Entry'!$Ø$965), "", 'Data Entry'!$Ø$965)</f>
      </c>
      <c r="EW965">
        <f>IF(ISBLANK('Data Entry'!$Ù$965), "", 'Data Entry'!$Ù$965)</f>
      </c>
      <c r="EX965">
        <f>IF(ISBLANK('Data Entry'!$Ú$965), "", 'Data Entry'!$Ú$965)</f>
      </c>
      <c r="EY965">
        <f>IF(ISBLANK('Data Entry'!$Û$965), "", 'Data Entry'!$Û$965)</f>
      </c>
      <c r="EZ965">
        <f>IF(ISBLANK('Data Entry'!$Ü$965), "", 'Data Entry'!$Ü$965)</f>
      </c>
      <c r="FA965">
        <f>IF(ISBLANK('Data Entry'!$Ý$965), "", 'Data Entry'!$Ý$965)</f>
      </c>
      <c r="FB965">
        <f>IF(ISBLANK('Data Entry'!$Þ$965), "", 'Data Entry'!$Þ$965)</f>
      </c>
      <c r="FC965">
        <f>IF(ISBLANK('Data Entry'!$ß$965), "", 'Data Entry'!$ß$965)</f>
      </c>
      <c r="FD965">
        <f>IF(ISBLANK('Data Entry'!$à$965), "", 'Data Entry'!$à$965)</f>
      </c>
      <c r="FE965">
        <f>IF(ISBLANK('Data Entry'!$á$965), "", 'Data Entry'!$á$965)</f>
      </c>
      <c r="FF965">
        <f>IF(ISBLANK('Data Entry'!$â$965), "", 'Data Entry'!$â$965)</f>
      </c>
      <c r="FG965">
        <f>IF(ISBLANK('Data Entry'!$ã$965), "", 'Data Entry'!$ã$965)</f>
      </c>
      <c r="FH965">
        <f>IF(ISBLANK('Data Entry'!$ä$965), "", 'Data Entry'!$ä$965)</f>
      </c>
      <c r="FI965">
        <f>IF(ISBLANK('Data Entry'!$å$965), "", 'Data Entry'!$å$965)</f>
      </c>
      <c r="FJ965">
        <f>IF(ISBLANK('Data Entry'!$æ$965), "", 'Data Entry'!$æ$965)</f>
      </c>
      <c r="FK965">
        <f>IF(ISBLANK('Data Entry'!$ç$965), "", 'Data Entry'!$ç$965)</f>
      </c>
      <c r="FL965">
        <f>IF(ISBLANK('Data Entry'!$è$965), "", 'Data Entry'!$è$965)</f>
      </c>
      <c r="FM965">
        <f>IF(ISBLANK('Data Entry'!$é$965), "", 'Data Entry'!$é$965)</f>
      </c>
      <c r="FN965">
        <f>IF(ISBLANK('Data Entry'!$ê$965), "", 'Data Entry'!$ê$965)</f>
      </c>
      <c r="FO965">
        <f>IF(ISBLANK('Data Entry'!$ë$965), "", 'Data Entry'!$ë$965)</f>
      </c>
      <c r="FP965">
        <f>IF(ISBLANK('Data Entry'!$ì$965), "", 'Data Entry'!$ì$965)</f>
      </c>
      <c r="FQ965">
        <f>IF(ISBLANK('Data Entry'!$í$965), "", 'Data Entry'!$í$965)</f>
      </c>
      <c r="FR965">
        <f>IF(ISBLANK('Data Entry'!$î$965), "", 'Data Entry'!$î$965)</f>
      </c>
      <c r="FS965">
        <f>IF(ISBLANK('Data Entry'!$ï$965), "", 'Data Entry'!$ï$965)</f>
      </c>
      <c r="FT965">
        <f>IF(ISBLANK('Data Entry'!$ð$965), "", 'Data Entry'!$ð$965)</f>
      </c>
      <c r="FU965">
        <f>IF(ISBLANK('Data Entry'!$ñ$965), "", 'Data Entry'!$ñ$965)</f>
      </c>
      <c r="FV965">
        <f>IF(ISBLANK('Data Entry'!$ò$965), "", 'Data Entry'!$ò$965)</f>
      </c>
      <c r="FW965">
        <f>IF(ISBLANK('Data Entry'!$ó$965), "", 'Data Entry'!$ó$965)</f>
      </c>
      <c r="FX965">
        <f>IF(ISBLANK('Data Entry'!$ô$965), "", 'Data Entry'!$ô$965)</f>
      </c>
      <c r="FY965">
        <f>IF(ISBLANK('Data Entry'!$õ$965), "", 'Data Entry'!$õ$965)</f>
      </c>
      <c r="FZ965">
        <f>IF(ISBLANK('Data Entry'!$ö$965), "", 'Data Entry'!$ö$965)</f>
      </c>
      <c r="GA965">
        <f>IF(ISBLANK('Data Entry'!$÷$965), "", 'Data Entry'!$÷$965)</f>
      </c>
      <c r="GB965">
        <f>IF(ISBLANK('Data Entry'!$ø$965), "", 'Data Entry'!$ø$965)</f>
      </c>
      <c r="GC965">
        <f>IF(ISBLANK('Data Entry'!$ù$965), "", 'Data Entry'!$ù$965)</f>
      </c>
      <c r="GD965">
        <f>IF(ISBLANK('Data Entry'!$ú$965), "", 'Data Entry'!$ú$965)</f>
      </c>
      <c r="GE965">
        <f>IF(ISBLANK('Data Entry'!$û$965), "", 'Data Entry'!$û$965)</f>
      </c>
      <c r="GF965">
        <f>IF(ISBLANK('Data Entry'!$ü$965), "", 'Data Entry'!$ü$965)</f>
      </c>
      <c r="GG965">
        <f>IF(ISBLANK('Data Entry'!$ý$965), "", 'Data Entry'!$ý$965)</f>
      </c>
      <c r="GH965">
        <f>IF(ISBLANK('Data Entry'!$þ$965), "", 'Data Entry'!$þ$965)</f>
      </c>
      <c r="GI965">
        <f>IF(ISBLANK('Data Entry'!$ÿ$965), "", 'Data Entry'!$ÿ$965)</f>
      </c>
      <c r="GJ965">
        <f>IF(ISBLANK('Data Entry'!$Ā$965), "", 'Data Entry'!$Ā$965)</f>
      </c>
      <c r="GK965">
        <f>IF(ISBLANK('Data Entry'!$ā$965), "", 'Data Entry'!$ā$965)</f>
      </c>
      <c r="GL965">
        <f>IF(ISBLANK('Data Entry'!$Ă$965), "", 'Data Entry'!$Ă$965)</f>
      </c>
      <c r="GM965">
        <f>IF(ISBLANK('Data Entry'!$ă$965), "", 'Data Entry'!$ă$965)</f>
      </c>
      <c r="GN965">
        <f>IF(ISBLANK('Data Entry'!$Ą$965), "", 'Data Entry'!$Ą$965)</f>
      </c>
      <c r="GO965">
        <f>IF(ISBLANK('Data Entry'!$ą$965), "", 'Data Entry'!$ą$965)</f>
      </c>
      <c r="GP965">
        <f>IF(ISBLANK('Data Entry'!$Ć$965), "", 'Data Entry'!$Ć$965)</f>
      </c>
      <c r="GQ965">
        <f>IF(ISBLANK('Data Entry'!$ć$965), "", 'Data Entry'!$ć$965)</f>
      </c>
      <c r="GR965">
        <f>IF(ISBLANK('Data Entry'!$Ĉ$965), "", 'Data Entry'!$Ĉ$965)</f>
      </c>
      <c r="GS965">
        <f>IF(ISBLANK('Data Entry'!$ĉ$965), "", 'Data Entry'!$ĉ$965)</f>
      </c>
      <c r="GT965">
        <f>IF(ISBLANK('Data Entry'!$Ċ$965), "", 'Data Entry'!$Ċ$965)</f>
      </c>
      <c r="GU965">
        <f>IF(ISBLANK('Data Entry'!$ċ$965), "", 'Data Entry'!$ċ$965)</f>
      </c>
      <c r="GV965">
        <f>IF(ISBLANK('Data Entry'!$Č$965), "", 'Data Entry'!$Č$965)</f>
      </c>
      <c r="GW965">
        <f>IF(ISBLANK('Data Entry'!$č$965), "", 'Data Entry'!$č$965)</f>
      </c>
      <c r="GX965">
        <f>IF(ISBLANK('Data Entry'!$Ď$965), "", 'Data Entry'!$Ď$965)</f>
      </c>
      <c r="GY965">
        <f>IF(ISBLANK('Data Entry'!$ď$965), "", 'Data Entry'!$ď$965)</f>
      </c>
      <c r="GZ965">
        <f>IF(ISBLANK('Data Entry'!$Đ$965), "", 'Data Entry'!$Đ$965)</f>
      </c>
      <c r="HA965">
        <f>IF(ISBLANK('Data Entry'!$đ$965), "", 'Data Entry'!$đ$965)</f>
      </c>
      <c r="HB965">
        <f>IF(ISBLANK('Data Entry'!$Ē$965), "", 'Data Entry'!$Ē$965)</f>
      </c>
      <c r="HC965">
        <f>IF(ISBLANK('Data Entry'!$ē$965), "", 'Data Entry'!$ē$965)</f>
      </c>
      <c r="HD965">
        <f>IF(ISBLANK('Data Entry'!$Ĕ$965), "", 'Data Entry'!$Ĕ$965)</f>
      </c>
      <c r="HE965">
        <f>IF(ISBLANK('Data Entry'!$ĕ$965), "", 'Data Entry'!$ĕ$965)</f>
      </c>
      <c r="HF965">
        <f>IF(ISBLANK('Data Entry'!$Ė$965), "", 'Data Entry'!$Ė$965)</f>
      </c>
      <c r="HG965">
        <f>IF(ISBLANK('Data Entry'!$ė$965), "", 'Data Entry'!$ė$965)</f>
      </c>
      <c r="HH965">
        <f>IF(ISBLANK('Data Entry'!$Ę$965), "", 'Data Entry'!$Ę$965)</f>
      </c>
      <c r="HI965">
        <f>IF(ISBLANK('Data Entry'!$ę$965), "", 'Data Entry'!$ę$965)</f>
      </c>
      <c r="HJ965">
        <f>IF(ISBLANK('Data Entry'!$Ě$965), "", 'Data Entry'!$Ě$965)</f>
      </c>
      <c r="HK965">
        <f>IF(ISBLANK('Data Entry'!$ě$965), "", 'Data Entry'!$ě$965)</f>
      </c>
      <c r="HL965">
        <f>IF(ISBLANK('Data Entry'!$Ĝ$965), "", 'Data Entry'!$Ĝ$965)</f>
      </c>
      <c r="HM965">
        <f>IF(ISBLANK('Data Entry'!$ĝ$965), "", 'Data Entry'!$ĝ$965)</f>
      </c>
      <c r="HN965">
        <f>IF(ISBLANK('Data Entry'!$Ğ$965), "", 'Data Entry'!$Ğ$965)</f>
      </c>
      <c r="HO965">
        <f>IF(ISBLANK('Data Entry'!$ğ$965), "", 'Data Entry'!$ğ$965)</f>
      </c>
      <c r="HP965">
        <f>IF(ISBLANK('Data Entry'!$Ġ$965), "", 'Data Entry'!$Ġ$965)</f>
      </c>
      <c r="HQ965">
        <f>IF(ISBLANK('Data Entry'!$ġ$965), "", 'Data Entry'!$ġ$965)</f>
      </c>
      <c r="HR965">
        <f>IF(ISBLANK('Data Entry'!$Ģ$965), "", 'Data Entry'!$Ģ$965)</f>
      </c>
      <c r="HS965">
        <f>IF(ISBLANK('Data Entry'!$ģ$965), "", 'Data Entry'!$ģ$965)</f>
      </c>
      <c r="HT965">
        <f>IF(ISBLANK('Data Entry'!$Ĥ$965), "", 'Data Entry'!$Ĥ$965)</f>
      </c>
      <c r="HU965">
        <f>IF(ISBLANK('Data Entry'!$ĥ$965), "", 'Data Entry'!$ĥ$965)</f>
      </c>
      <c r="HV965">
        <f>IF(ISBLANK('Data Entry'!$Ħ$965), "", 'Data Entry'!$Ħ$965)</f>
      </c>
      <c r="HW965">
        <f>IF(ISBLANK('Data Entry'!$ħ$965), "", 'Data Entry'!$ħ$965)</f>
      </c>
      <c r="HX965">
        <f>IF(ISBLANK('Data Entry'!$Ĩ$965), "", 'Data Entry'!$Ĩ$965)</f>
      </c>
      <c r="HY965">
        <f>IF(ISBLANK('Data Entry'!$ĩ$965), "", 'Data Entry'!$ĩ$965)</f>
      </c>
      <c r="HZ965">
        <f>IF(ISBLANK('Data Entry'!$Ī$965), "", 'Data Entry'!$Ī$965)</f>
      </c>
      <c r="IA965">
        <f>IF(ISBLANK('Data Entry'!$ī$965), "", 'Data Entry'!$ī$965)</f>
      </c>
      <c r="IB965">
        <f>IF(ISBLANK('Data Entry'!$Ĭ$965), "", 'Data Entry'!$Ĭ$965)</f>
      </c>
      <c r="IC965">
        <f>IF(ISBLANK('Data Entry'!$ĭ$965), "", 'Data Entry'!$ĭ$965)</f>
      </c>
      <c r="ID965">
        <f>IF(ISBLANK('Data Entry'!$Į$965), "", 'Data Entry'!$Į$965)</f>
      </c>
      <c r="IE965">
        <f>IF(ISBLANK('Data Entry'!$į$965), "", 'Data Entry'!$į$965)</f>
      </c>
      <c r="IF965">
        <f>IF(ISBLANK('Data Entry'!$İ$965), "", 'Data Entry'!$İ$965)</f>
      </c>
      <c r="IG965">
        <f>IF(ISBLANK('Data Entry'!$ı$965), "", 'Data Entry'!$ı$965)</f>
      </c>
      <c r="IH965">
        <f>IF(ISBLANK('Data Entry'!$Ĳ$965), "", 'Data Entry'!$Ĳ$965)</f>
      </c>
      <c r="II965">
        <f>IF(ISBLANK('Data Entry'!$ĳ$965), "", 'Data Entry'!$ĳ$965)</f>
      </c>
      <c r="IJ965">
        <f>IF(ISBLANK('Data Entry'!$Ĵ$965), "", 'Data Entry'!$Ĵ$965)</f>
      </c>
      <c r="IK965">
        <f>IF(ISBLANK('Data Entry'!$ĵ$965), "", 'Data Entry'!$ĵ$965)</f>
      </c>
      <c r="IL965">
        <f>IF(ISBLANK('Data Entry'!$Ķ$965), "", 'Data Entry'!$Ķ$965)</f>
      </c>
      <c r="IM965">
        <f>IF(ISBLANK('Data Entry'!$ķ$965), "", 'Data Entry'!$ķ$965)</f>
      </c>
      <c r="IN965">
        <f>IF(ISBLANK('Data Entry'!$ĸ$965), "", 'Data Entry'!$ĸ$965)</f>
      </c>
      <c r="IO965">
        <f>IF(ISBLANK('Data Entry'!$Ĺ$965), "", 'Data Entry'!$Ĺ$965)</f>
      </c>
      <c r="IP965">
        <f>IF(ISBLANK('Data Entry'!$ĺ$965), "", 'Data Entry'!$ĺ$965)</f>
      </c>
      <c r="IQ965">
        <f>IF(ISBLANK('Data Entry'!$Ļ$965), "", 'Data Entry'!$Ļ$965)</f>
      </c>
      <c r="IR965">
        <f>IF(ISBLANK('Data Entry'!$ļ$965), "", 'Data Entry'!$ļ$965)</f>
      </c>
      <c r="IS965">
        <f>IF(ISBLANK('Data Entry'!$Ľ$965), "", 'Data Entry'!$Ľ$965)</f>
      </c>
      <c r="IT965">
        <f>IF(ISBLANK('Data Entry'!$ľ$965), "", 'Data Entry'!$ľ$965)</f>
      </c>
    </row>
    <row r="966" spans="1:254" x14ac:dyDescent="0.25">
      <c r="A966">
        <f>IF(ISBLANK('Data Entry'!$A$966), "", 'Data Entry'!$A$966)</f>
      </c>
      <c r="B966">
        <f>IF(ISBLANK('Data Entry'!$B$966), "", 'Data Entry'!$B$966)</f>
      </c>
      <c r="C966">
        <f>IF(ISBLANK('Data Entry'!$C$966), "", 'Data Entry'!$C$966)</f>
      </c>
      <c r="D966">
        <f>IF(ISBLANK('Data Entry'!$D$966), "", 'Data Entry'!$D$966)</f>
      </c>
      <c r="E966">
        <f>IF(ISBLANK('Data Entry'!$E$966), "", 'Data Entry'!$E$966)</f>
      </c>
      <c r="F966">
        <f>IF(ISBLANK('Data Entry'!$F$966), "", 'Data Entry'!$F$966)</f>
      </c>
      <c r="G966">
        <f>IF(ISBLANK('Data Entry'!$G$966), "", 'Data Entry'!$G$966)</f>
      </c>
      <c r="H966">
        <f>IF(ISBLANK('Data Entry'!$H$966), "", 'Data Entry'!$H$966)</f>
      </c>
      <c r="I966">
        <f>IF(ISBLANK('Data Entry'!$I$966), "", 'Data Entry'!$I$966)</f>
      </c>
      <c r="J966">
        <f>IF(ISBLANK('Data Entry'!$J$966), "", 'Data Entry'!$J$966)</f>
      </c>
      <c r="K966">
        <f>IF(ISBLANK('Data Entry'!$K$966), "", 'Data Entry'!$K$966)</f>
      </c>
      <c r="L966">
        <f>IF(ISBLANK('Data Entry'!$L$966), "", 'Data Entry'!$L$966)</f>
      </c>
      <c r="M966">
        <f>IF(ISBLANK('Data Entry'!$M$966), "", 'Data Entry'!$M$966)</f>
      </c>
      <c r="N966">
        <f>IF(ISBLANK('Data Entry'!$N$966), "", 'Data Entry'!$N$966)</f>
      </c>
      <c r="O966">
        <f>IF(ISBLANK('Data Entry'!$O$966), "", 'Data Entry'!$O$966)</f>
      </c>
      <c r="P966">
        <f>IF(ISBLANK('Data Entry'!$P$966), "", 'Data Entry'!$P$966)</f>
      </c>
      <c r="Q966">
        <f>IF(ISBLANK('Data Entry'!$Q$966), "", 'Data Entry'!$Q$966)</f>
      </c>
      <c r="R966">
        <f>IF(ISBLANK('Data Entry'!$R$966), "", 'Data Entry'!$R$966)</f>
      </c>
      <c r="S966">
        <f>IF(ISBLANK('Data Entry'!$S$966), "", 'Data Entry'!$S$966)</f>
      </c>
      <c r="T966">
        <f>IF(ISBLANK('Data Entry'!$T$966), "", 'Data Entry'!$T$966)</f>
      </c>
      <c r="U966">
        <f>IF(ISBLANK('Data Entry'!$U$966), "", 'Data Entry'!$U$966)</f>
      </c>
      <c r="V966">
        <f>IF(ISBLANK('Data Entry'!$V$966), "", 'Data Entry'!$V$966)</f>
      </c>
      <c r="W966">
        <f>IF(ISBLANK('Data Entry'!$W$966), "", 'Data Entry'!$W$966)</f>
      </c>
      <c r="X966">
        <f>IF(ISBLANK('Data Entry'!$X$966), "", 'Data Entry'!$X$966)</f>
      </c>
      <c r="Y966">
        <f>IF(ISBLANK('Data Entry'!$Y$966), "", 'Data Entry'!$Y$966)</f>
      </c>
      <c r="Z966">
        <f>IF(ISBLANK('Data Entry'!$Z$966), "", 'Data Entry'!$Z$966)</f>
      </c>
      <c r="AA966">
        <f>IF(ISBLANK('Data Entry'!$[$966), "", 'Data Entry'!$[$966)</f>
      </c>
      <c r="AB966">
        <f>IF(ISBLANK('Data Entry'!$\$966), "", 'Data Entry'!$\$966)</f>
      </c>
      <c r="AC966">
        <f>IF(ISBLANK('Data Entry'!$]$966), "", 'Data Entry'!$]$966)</f>
      </c>
      <c r="AD966">
        <f>IF(ISBLANK('Data Entry'!$^$966), "", 'Data Entry'!$^$966)</f>
      </c>
      <c r="AE966">
        <f>IF(ISBLANK('Data Entry'!$_$966), "", 'Data Entry'!$_$966)</f>
      </c>
      <c r="AF966">
        <f>IF(ISBLANK('Data Entry'!$`$966), "", 'Data Entry'!$`$966)</f>
      </c>
      <c r="AG966">
        <f>IF(ISBLANK('Data Entry'!$a$966), "", 'Data Entry'!$a$966)</f>
      </c>
      <c r="AH966">
        <f>IF(ISBLANK('Data Entry'!$b$966), "", 'Data Entry'!$b$966)</f>
      </c>
      <c r="AI966">
        <f>IF(ISBLANK('Data Entry'!$c$966), "", 'Data Entry'!$c$966)</f>
      </c>
      <c r="AJ966">
        <f>IF(ISBLANK('Data Entry'!$d$966), "", 'Data Entry'!$d$966)</f>
      </c>
      <c r="AK966">
        <f>IF(ISBLANK('Data Entry'!$e$966), "", 'Data Entry'!$e$966)</f>
      </c>
      <c r="AL966">
        <f>IF(ISBLANK('Data Entry'!$f$966), "", 'Data Entry'!$f$966)</f>
      </c>
      <c r="AM966">
        <f>IF(ISBLANK('Data Entry'!$g$966), "", 'Data Entry'!$g$966)</f>
      </c>
      <c r="AN966">
        <f>IF(ISBLANK('Data Entry'!$h$966), "", 'Data Entry'!$h$966)</f>
      </c>
      <c r="AO966">
        <f>IF(ISBLANK('Data Entry'!$i$966), "", 'Data Entry'!$i$966)</f>
      </c>
      <c r="AP966">
        <f>IF(ISBLANK('Data Entry'!$j$966), "", 'Data Entry'!$j$966)</f>
      </c>
      <c r="AQ966">
        <f>IF(ISBLANK('Data Entry'!$k$966), "", 'Data Entry'!$k$966)</f>
      </c>
      <c r="AR966">
        <f>IF(ISBLANK('Data Entry'!$l$966), "", 'Data Entry'!$l$966)</f>
      </c>
      <c r="AS966">
        <f>IF(ISBLANK('Data Entry'!$m$966), "", 'Data Entry'!$m$966)</f>
      </c>
      <c r="AT966">
        <f>IF(ISBLANK('Data Entry'!$n$966), "", 'Data Entry'!$n$966)</f>
      </c>
      <c r="AU966">
        <f>IF(ISBLANK('Data Entry'!$o$966), "", 'Data Entry'!$o$966)</f>
      </c>
      <c r="AV966">
        <f>IF(ISBLANK('Data Entry'!$p$966), "", 'Data Entry'!$p$966)</f>
      </c>
      <c r="AW966">
        <f>IF(ISBLANK('Data Entry'!$q$966), "", 'Data Entry'!$q$966)</f>
      </c>
      <c r="AX966">
        <f>IF(ISBLANK('Data Entry'!$r$966), "", 'Data Entry'!$r$966)</f>
      </c>
      <c r="AY966">
        <f>IF(ISBLANK('Data Entry'!$s$966), "", 'Data Entry'!$s$966)</f>
      </c>
      <c r="AZ966">
        <f>IF(ISBLANK('Data Entry'!$t$966), "", 'Data Entry'!$t$966)</f>
      </c>
      <c r="BA966">
        <f>IF(ISBLANK('Data Entry'!$u$966), "", 'Data Entry'!$u$966)</f>
      </c>
      <c r="BB966">
        <f>IF(ISBLANK('Data Entry'!$v$966), "", 'Data Entry'!$v$966)</f>
      </c>
      <c r="BC966">
        <f>IF(ISBLANK('Data Entry'!$w$966), "", 'Data Entry'!$w$966)</f>
      </c>
      <c r="BD966">
        <f>IF(ISBLANK('Data Entry'!$x$966), "", 'Data Entry'!$x$966)</f>
      </c>
      <c r="BE966">
        <f>IF(ISBLANK('Data Entry'!$y$966), "", 'Data Entry'!$y$966)</f>
      </c>
      <c r="BF966">
        <f>IF(ISBLANK('Data Entry'!$z$966), "", 'Data Entry'!$z$966)</f>
      </c>
      <c r="BG966">
        <f>IF(ISBLANK('Data Entry'!${$966), "", 'Data Entry'!${$966)</f>
      </c>
      <c r="BH966">
        <f>IF(ISBLANK('Data Entry'!$|$966), "", 'Data Entry'!$|$966)</f>
      </c>
      <c r="BI966">
        <f>IF(ISBLANK('Data Entry'!$}$966), "", 'Data Entry'!$}$966)</f>
      </c>
      <c r="BJ966">
        <f>IF(ISBLANK('Data Entry'!$~$966), "", 'Data Entry'!$~$966)</f>
      </c>
      <c r="BK966">
        <f>IF(ISBLANK('Data Entry'!$$966), "", 'Data Entry'!$$966)</f>
      </c>
      <c r="BL966">
        <f>IF(ISBLANK('Data Entry'!$$966), "", 'Data Entry'!$$966)</f>
      </c>
      <c r="BM966">
        <f>IF(ISBLANK('Data Entry'!$$966), "", 'Data Entry'!$$966)</f>
      </c>
      <c r="BN966">
        <f>IF(ISBLANK('Data Entry'!$$966), "", 'Data Entry'!$$966)</f>
      </c>
      <c r="BO966">
        <f>IF(ISBLANK('Data Entry'!$$966), "", 'Data Entry'!$$966)</f>
      </c>
      <c r="BP966">
        <f>IF(ISBLANK('Data Entry'!$$966), "", 'Data Entry'!$$966)</f>
      </c>
      <c r="BQ966">
        <f>IF(ISBLANK('Data Entry'!$$966), "", 'Data Entry'!$$966)</f>
      </c>
      <c r="BR966">
        <f>IF(ISBLANK('Data Entry'!$$966), "", 'Data Entry'!$$966)</f>
      </c>
      <c r="BS966">
        <f>IF(ISBLANK('Data Entry'!$$966), "", 'Data Entry'!$$966)</f>
      </c>
      <c r="BT966">
        <f>IF(ISBLANK('Data Entry'!$$966), "", 'Data Entry'!$$966)</f>
      </c>
      <c r="BU966">
        <f>IF(ISBLANK('Data Entry'!$$966), "", 'Data Entry'!$$966)</f>
      </c>
      <c r="BV966">
        <f>IF(ISBLANK('Data Entry'!$$966), "", 'Data Entry'!$$966)</f>
      </c>
      <c r="BW966">
        <f>IF(ISBLANK('Data Entry'!$$966), "", 'Data Entry'!$$966)</f>
      </c>
      <c r="BX966">
        <f>IF(ISBLANK('Data Entry'!$$966), "", 'Data Entry'!$$966)</f>
      </c>
      <c r="BY966">
        <f>IF(ISBLANK('Data Entry'!$$966), "", 'Data Entry'!$$966)</f>
      </c>
      <c r="BZ966">
        <f>IF(ISBLANK('Data Entry'!$$966), "", 'Data Entry'!$$966)</f>
      </c>
      <c r="CA966">
        <f>IF(ISBLANK('Data Entry'!$$966), "", 'Data Entry'!$$966)</f>
      </c>
      <c r="CB966">
        <f>IF(ISBLANK('Data Entry'!$$966), "", 'Data Entry'!$$966)</f>
      </c>
      <c r="CC966">
        <f>IF(ISBLANK('Data Entry'!$$966), "", 'Data Entry'!$$966)</f>
      </c>
      <c r="CD966">
        <f>IF(ISBLANK('Data Entry'!$$966), "", 'Data Entry'!$$966)</f>
      </c>
      <c r="CE966">
        <f>IF(ISBLANK('Data Entry'!$$966), "", 'Data Entry'!$$966)</f>
      </c>
      <c r="CF966">
        <f>IF(ISBLANK('Data Entry'!$$966), "", 'Data Entry'!$$966)</f>
      </c>
      <c r="CG966">
        <f>IF(ISBLANK('Data Entry'!$$966), "", 'Data Entry'!$$966)</f>
      </c>
      <c r="CH966">
        <f>IF(ISBLANK('Data Entry'!$$966), "", 'Data Entry'!$$966)</f>
      </c>
      <c r="CI966">
        <f>IF(ISBLANK('Data Entry'!$$966), "", 'Data Entry'!$$966)</f>
      </c>
      <c r="CJ966">
        <f>IF(ISBLANK('Data Entry'!$$966), "", 'Data Entry'!$$966)</f>
      </c>
      <c r="CK966">
        <f>IF(ISBLANK('Data Entry'!$$966), "", 'Data Entry'!$$966)</f>
      </c>
      <c r="CL966">
        <f>IF(ISBLANK('Data Entry'!$$966), "", 'Data Entry'!$$966)</f>
      </c>
      <c r="CM966">
        <f>IF(ISBLANK('Data Entry'!$$966), "", 'Data Entry'!$$966)</f>
      </c>
      <c r="CN966">
        <f>IF(ISBLANK('Data Entry'!$$966), "", 'Data Entry'!$$966)</f>
      </c>
      <c r="CO966">
        <f>IF(ISBLANK('Data Entry'!$$966), "", 'Data Entry'!$$966)</f>
      </c>
      <c r="CP966">
        <f>IF(ISBLANK('Data Entry'!$$966), "", 'Data Entry'!$$966)</f>
      </c>
      <c r="CQ966">
        <f>IF(ISBLANK('Data Entry'!$$966), "", 'Data Entry'!$$966)</f>
      </c>
      <c r="CR966">
        <f>IF(ISBLANK('Data Entry'!$ $966), "", 'Data Entry'!$ $966)</f>
      </c>
      <c r="CS966">
        <f>IF(ISBLANK('Data Entry'!$¡$966), "", 'Data Entry'!$¡$966)</f>
      </c>
      <c r="CT966">
        <f>IF(ISBLANK('Data Entry'!$¢$966), "", 'Data Entry'!$¢$966)</f>
      </c>
      <c r="CU966">
        <f>IF(ISBLANK('Data Entry'!$£$966), "", 'Data Entry'!$£$966)</f>
      </c>
      <c r="CV966">
        <f>IF(ISBLANK('Data Entry'!$¤$966), "", 'Data Entry'!$¤$966)</f>
      </c>
      <c r="CW966">
        <f>IF(ISBLANK('Data Entry'!$¥$966), "", 'Data Entry'!$¥$966)</f>
      </c>
      <c r="CX966">
        <f>IF(ISBLANK('Data Entry'!$¦$966), "", 'Data Entry'!$¦$966)</f>
      </c>
      <c r="CY966">
        <f>IF(ISBLANK('Data Entry'!$§$966), "", 'Data Entry'!$§$966)</f>
      </c>
      <c r="CZ966">
        <f>IF(ISBLANK('Data Entry'!$¨$966), "", 'Data Entry'!$¨$966)</f>
      </c>
      <c r="DA966">
        <f>IF(ISBLANK('Data Entry'!$©$966), "", 'Data Entry'!$©$966)</f>
      </c>
      <c r="DB966">
        <f>IF(ISBLANK('Data Entry'!$ª$966), "", 'Data Entry'!$ª$966)</f>
      </c>
      <c r="DC966">
        <f>IF(ISBLANK('Data Entry'!$«$966), "", 'Data Entry'!$«$966)</f>
      </c>
      <c r="DD966">
        <f>IF(ISBLANK('Data Entry'!$¬$966), "", 'Data Entry'!$¬$966)</f>
      </c>
      <c r="DE966">
        <f>IF(ISBLANK('Data Entry'!$­$966), "", 'Data Entry'!$­$966)</f>
      </c>
      <c r="DF966">
        <f>IF(ISBLANK('Data Entry'!$®$966), "", 'Data Entry'!$®$966)</f>
      </c>
      <c r="DG966">
        <f>IF(ISBLANK('Data Entry'!$¯$966), "", 'Data Entry'!$¯$966)</f>
      </c>
      <c r="DH966">
        <f>IF(ISBLANK('Data Entry'!$°$966), "", 'Data Entry'!$°$966)</f>
      </c>
      <c r="DI966">
        <f>IF(ISBLANK('Data Entry'!$±$966), "", 'Data Entry'!$±$966)</f>
      </c>
      <c r="DJ966">
        <f>IF(ISBLANK('Data Entry'!$²$966), "", 'Data Entry'!$²$966)</f>
      </c>
      <c r="DK966">
        <f>IF(ISBLANK('Data Entry'!$³$966), "", 'Data Entry'!$³$966)</f>
      </c>
      <c r="DL966">
        <f>IF(ISBLANK('Data Entry'!$´$966), "", 'Data Entry'!$´$966)</f>
      </c>
      <c r="DM966">
        <f>IF(ISBLANK('Data Entry'!$µ$966), "", 'Data Entry'!$µ$966)</f>
      </c>
      <c r="DN966">
        <f>IF(ISBLANK('Data Entry'!$¶$966), "", 'Data Entry'!$¶$966)</f>
      </c>
      <c r="DO966">
        <f>IF(ISBLANK('Data Entry'!$·$966), "", 'Data Entry'!$·$966)</f>
      </c>
      <c r="DP966">
        <f>IF(ISBLANK('Data Entry'!$¸$966), "", 'Data Entry'!$¸$966)</f>
      </c>
      <c r="DQ966">
        <f>IF(ISBLANK('Data Entry'!$¹$966), "", 'Data Entry'!$¹$966)</f>
      </c>
      <c r="DR966">
        <f>IF(ISBLANK('Data Entry'!$º$966), "", 'Data Entry'!$º$966)</f>
      </c>
      <c r="DS966">
        <f>IF(ISBLANK('Data Entry'!$»$966), "", 'Data Entry'!$»$966)</f>
      </c>
      <c r="DT966">
        <f>IF(ISBLANK('Data Entry'!$¼$966), "", 'Data Entry'!$¼$966)</f>
      </c>
      <c r="DU966">
        <f>IF(ISBLANK('Data Entry'!$½$966), "", 'Data Entry'!$½$966)</f>
      </c>
      <c r="DV966">
        <f>IF(ISBLANK('Data Entry'!$¾$966), "", 'Data Entry'!$¾$966)</f>
      </c>
      <c r="DW966">
        <f>IF(ISBLANK('Data Entry'!$¿$966), "", 'Data Entry'!$¿$966)</f>
      </c>
      <c r="DX966">
        <f>IF(ISBLANK('Data Entry'!$À$966), "", 'Data Entry'!$À$966)</f>
      </c>
      <c r="DY966">
        <f>IF(ISBLANK('Data Entry'!$Á$966), "", 'Data Entry'!$Á$966)</f>
      </c>
      <c r="DZ966">
        <f>IF(ISBLANK('Data Entry'!$Â$966), "", 'Data Entry'!$Â$966)</f>
      </c>
      <c r="EA966">
        <f>IF(ISBLANK('Data Entry'!$Ã$966), "", 'Data Entry'!$Ã$966)</f>
      </c>
      <c r="EB966">
        <f>IF(ISBLANK('Data Entry'!$Ä$966), "", 'Data Entry'!$Ä$966)</f>
      </c>
      <c r="EC966">
        <f>IF(ISBLANK('Data Entry'!$Å$966), "", 'Data Entry'!$Å$966)</f>
      </c>
      <c r="ED966">
        <f>IF(ISBLANK('Data Entry'!$Æ$966), "", 'Data Entry'!$Æ$966)</f>
      </c>
      <c r="EE966">
        <f>IF(ISBLANK('Data Entry'!$Ç$966), "", 'Data Entry'!$Ç$966)</f>
      </c>
      <c r="EF966">
        <f>IF(ISBLANK('Data Entry'!$È$966), "", 'Data Entry'!$È$966)</f>
      </c>
      <c r="EG966">
        <f>IF(ISBLANK('Data Entry'!$É$966), "", 'Data Entry'!$É$966)</f>
      </c>
      <c r="EH966">
        <f>IF(ISBLANK('Data Entry'!$Ê$966), "", 'Data Entry'!$Ê$966)</f>
      </c>
      <c r="EI966">
        <f>IF(ISBLANK('Data Entry'!$Ë$966), "", 'Data Entry'!$Ë$966)</f>
      </c>
      <c r="EJ966">
        <f>IF(ISBLANK('Data Entry'!$Ì$966), "", 'Data Entry'!$Ì$966)</f>
      </c>
      <c r="EK966">
        <f>IF(ISBLANK('Data Entry'!$Í$966), "", 'Data Entry'!$Í$966)</f>
      </c>
      <c r="EL966">
        <f>IF(ISBLANK('Data Entry'!$Î$966), "", 'Data Entry'!$Î$966)</f>
      </c>
      <c r="EM966">
        <f>IF(ISBLANK('Data Entry'!$Ï$966), "", 'Data Entry'!$Ï$966)</f>
      </c>
      <c r="EN966">
        <f>IF(ISBLANK('Data Entry'!$Ð$966), "", 'Data Entry'!$Ð$966)</f>
      </c>
      <c r="EO966">
        <f>IF(ISBLANK('Data Entry'!$Ñ$966), "", 'Data Entry'!$Ñ$966)</f>
      </c>
      <c r="EP966">
        <f>IF(ISBLANK('Data Entry'!$Ò$966), "", 'Data Entry'!$Ò$966)</f>
      </c>
      <c r="EQ966">
        <f>IF(ISBLANK('Data Entry'!$Ó$966), "", 'Data Entry'!$Ó$966)</f>
      </c>
      <c r="ER966">
        <f>IF(ISBLANK('Data Entry'!$Ô$966), "", 'Data Entry'!$Ô$966)</f>
      </c>
      <c r="ES966">
        <f>IF(ISBLANK('Data Entry'!$Õ$966), "", 'Data Entry'!$Õ$966)</f>
      </c>
      <c r="ET966">
        <f>IF(ISBLANK('Data Entry'!$Ö$966), "", 'Data Entry'!$Ö$966)</f>
      </c>
      <c r="EU966">
        <f>IF(ISBLANK('Data Entry'!$×$966), "", 'Data Entry'!$×$966)</f>
      </c>
      <c r="EV966">
        <f>IF(ISBLANK('Data Entry'!$Ø$966), "", 'Data Entry'!$Ø$966)</f>
      </c>
      <c r="EW966">
        <f>IF(ISBLANK('Data Entry'!$Ù$966), "", 'Data Entry'!$Ù$966)</f>
      </c>
      <c r="EX966">
        <f>IF(ISBLANK('Data Entry'!$Ú$966), "", 'Data Entry'!$Ú$966)</f>
      </c>
      <c r="EY966">
        <f>IF(ISBLANK('Data Entry'!$Û$966), "", 'Data Entry'!$Û$966)</f>
      </c>
      <c r="EZ966">
        <f>IF(ISBLANK('Data Entry'!$Ü$966), "", 'Data Entry'!$Ü$966)</f>
      </c>
      <c r="FA966">
        <f>IF(ISBLANK('Data Entry'!$Ý$966), "", 'Data Entry'!$Ý$966)</f>
      </c>
      <c r="FB966">
        <f>IF(ISBLANK('Data Entry'!$Þ$966), "", 'Data Entry'!$Þ$966)</f>
      </c>
      <c r="FC966">
        <f>IF(ISBLANK('Data Entry'!$ß$966), "", 'Data Entry'!$ß$966)</f>
      </c>
      <c r="FD966">
        <f>IF(ISBLANK('Data Entry'!$à$966), "", 'Data Entry'!$à$966)</f>
      </c>
      <c r="FE966">
        <f>IF(ISBLANK('Data Entry'!$á$966), "", 'Data Entry'!$á$966)</f>
      </c>
      <c r="FF966">
        <f>IF(ISBLANK('Data Entry'!$â$966), "", 'Data Entry'!$â$966)</f>
      </c>
      <c r="FG966">
        <f>IF(ISBLANK('Data Entry'!$ã$966), "", 'Data Entry'!$ã$966)</f>
      </c>
      <c r="FH966">
        <f>IF(ISBLANK('Data Entry'!$ä$966), "", 'Data Entry'!$ä$966)</f>
      </c>
      <c r="FI966">
        <f>IF(ISBLANK('Data Entry'!$å$966), "", 'Data Entry'!$å$966)</f>
      </c>
      <c r="FJ966">
        <f>IF(ISBLANK('Data Entry'!$æ$966), "", 'Data Entry'!$æ$966)</f>
      </c>
      <c r="FK966">
        <f>IF(ISBLANK('Data Entry'!$ç$966), "", 'Data Entry'!$ç$966)</f>
      </c>
      <c r="FL966">
        <f>IF(ISBLANK('Data Entry'!$è$966), "", 'Data Entry'!$è$966)</f>
      </c>
      <c r="FM966">
        <f>IF(ISBLANK('Data Entry'!$é$966), "", 'Data Entry'!$é$966)</f>
      </c>
      <c r="FN966">
        <f>IF(ISBLANK('Data Entry'!$ê$966), "", 'Data Entry'!$ê$966)</f>
      </c>
      <c r="FO966">
        <f>IF(ISBLANK('Data Entry'!$ë$966), "", 'Data Entry'!$ë$966)</f>
      </c>
      <c r="FP966">
        <f>IF(ISBLANK('Data Entry'!$ì$966), "", 'Data Entry'!$ì$966)</f>
      </c>
      <c r="FQ966">
        <f>IF(ISBLANK('Data Entry'!$í$966), "", 'Data Entry'!$í$966)</f>
      </c>
      <c r="FR966">
        <f>IF(ISBLANK('Data Entry'!$î$966), "", 'Data Entry'!$î$966)</f>
      </c>
      <c r="FS966">
        <f>IF(ISBLANK('Data Entry'!$ï$966), "", 'Data Entry'!$ï$966)</f>
      </c>
      <c r="FT966">
        <f>IF(ISBLANK('Data Entry'!$ð$966), "", 'Data Entry'!$ð$966)</f>
      </c>
      <c r="FU966">
        <f>IF(ISBLANK('Data Entry'!$ñ$966), "", 'Data Entry'!$ñ$966)</f>
      </c>
      <c r="FV966">
        <f>IF(ISBLANK('Data Entry'!$ò$966), "", 'Data Entry'!$ò$966)</f>
      </c>
      <c r="FW966">
        <f>IF(ISBLANK('Data Entry'!$ó$966), "", 'Data Entry'!$ó$966)</f>
      </c>
      <c r="FX966">
        <f>IF(ISBLANK('Data Entry'!$ô$966), "", 'Data Entry'!$ô$966)</f>
      </c>
      <c r="FY966">
        <f>IF(ISBLANK('Data Entry'!$õ$966), "", 'Data Entry'!$õ$966)</f>
      </c>
      <c r="FZ966">
        <f>IF(ISBLANK('Data Entry'!$ö$966), "", 'Data Entry'!$ö$966)</f>
      </c>
      <c r="GA966">
        <f>IF(ISBLANK('Data Entry'!$÷$966), "", 'Data Entry'!$÷$966)</f>
      </c>
      <c r="GB966">
        <f>IF(ISBLANK('Data Entry'!$ø$966), "", 'Data Entry'!$ø$966)</f>
      </c>
      <c r="GC966">
        <f>IF(ISBLANK('Data Entry'!$ù$966), "", 'Data Entry'!$ù$966)</f>
      </c>
      <c r="GD966">
        <f>IF(ISBLANK('Data Entry'!$ú$966), "", 'Data Entry'!$ú$966)</f>
      </c>
      <c r="GE966">
        <f>IF(ISBLANK('Data Entry'!$û$966), "", 'Data Entry'!$û$966)</f>
      </c>
      <c r="GF966">
        <f>IF(ISBLANK('Data Entry'!$ü$966), "", 'Data Entry'!$ü$966)</f>
      </c>
      <c r="GG966">
        <f>IF(ISBLANK('Data Entry'!$ý$966), "", 'Data Entry'!$ý$966)</f>
      </c>
      <c r="GH966">
        <f>IF(ISBLANK('Data Entry'!$þ$966), "", 'Data Entry'!$þ$966)</f>
      </c>
      <c r="GI966">
        <f>IF(ISBLANK('Data Entry'!$ÿ$966), "", 'Data Entry'!$ÿ$966)</f>
      </c>
      <c r="GJ966">
        <f>IF(ISBLANK('Data Entry'!$Ā$966), "", 'Data Entry'!$Ā$966)</f>
      </c>
      <c r="GK966">
        <f>IF(ISBLANK('Data Entry'!$ā$966), "", 'Data Entry'!$ā$966)</f>
      </c>
      <c r="GL966">
        <f>IF(ISBLANK('Data Entry'!$Ă$966), "", 'Data Entry'!$Ă$966)</f>
      </c>
      <c r="GM966">
        <f>IF(ISBLANK('Data Entry'!$ă$966), "", 'Data Entry'!$ă$966)</f>
      </c>
      <c r="GN966">
        <f>IF(ISBLANK('Data Entry'!$Ą$966), "", 'Data Entry'!$Ą$966)</f>
      </c>
      <c r="GO966">
        <f>IF(ISBLANK('Data Entry'!$ą$966), "", 'Data Entry'!$ą$966)</f>
      </c>
      <c r="GP966">
        <f>IF(ISBLANK('Data Entry'!$Ć$966), "", 'Data Entry'!$Ć$966)</f>
      </c>
      <c r="GQ966">
        <f>IF(ISBLANK('Data Entry'!$ć$966), "", 'Data Entry'!$ć$966)</f>
      </c>
      <c r="GR966">
        <f>IF(ISBLANK('Data Entry'!$Ĉ$966), "", 'Data Entry'!$Ĉ$966)</f>
      </c>
      <c r="GS966">
        <f>IF(ISBLANK('Data Entry'!$ĉ$966), "", 'Data Entry'!$ĉ$966)</f>
      </c>
      <c r="GT966">
        <f>IF(ISBLANK('Data Entry'!$Ċ$966), "", 'Data Entry'!$Ċ$966)</f>
      </c>
      <c r="GU966">
        <f>IF(ISBLANK('Data Entry'!$ċ$966), "", 'Data Entry'!$ċ$966)</f>
      </c>
      <c r="GV966">
        <f>IF(ISBLANK('Data Entry'!$Č$966), "", 'Data Entry'!$Č$966)</f>
      </c>
      <c r="GW966">
        <f>IF(ISBLANK('Data Entry'!$č$966), "", 'Data Entry'!$č$966)</f>
      </c>
      <c r="GX966">
        <f>IF(ISBLANK('Data Entry'!$Ď$966), "", 'Data Entry'!$Ď$966)</f>
      </c>
      <c r="GY966">
        <f>IF(ISBLANK('Data Entry'!$ď$966), "", 'Data Entry'!$ď$966)</f>
      </c>
      <c r="GZ966">
        <f>IF(ISBLANK('Data Entry'!$Đ$966), "", 'Data Entry'!$Đ$966)</f>
      </c>
      <c r="HA966">
        <f>IF(ISBLANK('Data Entry'!$đ$966), "", 'Data Entry'!$đ$966)</f>
      </c>
      <c r="HB966">
        <f>IF(ISBLANK('Data Entry'!$Ē$966), "", 'Data Entry'!$Ē$966)</f>
      </c>
      <c r="HC966">
        <f>IF(ISBLANK('Data Entry'!$ē$966), "", 'Data Entry'!$ē$966)</f>
      </c>
      <c r="HD966">
        <f>IF(ISBLANK('Data Entry'!$Ĕ$966), "", 'Data Entry'!$Ĕ$966)</f>
      </c>
      <c r="HE966">
        <f>IF(ISBLANK('Data Entry'!$ĕ$966), "", 'Data Entry'!$ĕ$966)</f>
      </c>
      <c r="HF966">
        <f>IF(ISBLANK('Data Entry'!$Ė$966), "", 'Data Entry'!$Ė$966)</f>
      </c>
      <c r="HG966">
        <f>IF(ISBLANK('Data Entry'!$ė$966), "", 'Data Entry'!$ė$966)</f>
      </c>
      <c r="HH966">
        <f>IF(ISBLANK('Data Entry'!$Ę$966), "", 'Data Entry'!$Ę$966)</f>
      </c>
      <c r="HI966">
        <f>IF(ISBLANK('Data Entry'!$ę$966), "", 'Data Entry'!$ę$966)</f>
      </c>
      <c r="HJ966">
        <f>IF(ISBLANK('Data Entry'!$Ě$966), "", 'Data Entry'!$Ě$966)</f>
      </c>
      <c r="HK966">
        <f>IF(ISBLANK('Data Entry'!$ě$966), "", 'Data Entry'!$ě$966)</f>
      </c>
      <c r="HL966">
        <f>IF(ISBLANK('Data Entry'!$Ĝ$966), "", 'Data Entry'!$Ĝ$966)</f>
      </c>
      <c r="HM966">
        <f>IF(ISBLANK('Data Entry'!$ĝ$966), "", 'Data Entry'!$ĝ$966)</f>
      </c>
      <c r="HN966">
        <f>IF(ISBLANK('Data Entry'!$Ğ$966), "", 'Data Entry'!$Ğ$966)</f>
      </c>
      <c r="HO966">
        <f>IF(ISBLANK('Data Entry'!$ğ$966), "", 'Data Entry'!$ğ$966)</f>
      </c>
      <c r="HP966">
        <f>IF(ISBLANK('Data Entry'!$Ġ$966), "", 'Data Entry'!$Ġ$966)</f>
      </c>
      <c r="HQ966">
        <f>IF(ISBLANK('Data Entry'!$ġ$966), "", 'Data Entry'!$ġ$966)</f>
      </c>
      <c r="HR966">
        <f>IF(ISBLANK('Data Entry'!$Ģ$966), "", 'Data Entry'!$Ģ$966)</f>
      </c>
      <c r="HS966">
        <f>IF(ISBLANK('Data Entry'!$ģ$966), "", 'Data Entry'!$ģ$966)</f>
      </c>
      <c r="HT966">
        <f>IF(ISBLANK('Data Entry'!$Ĥ$966), "", 'Data Entry'!$Ĥ$966)</f>
      </c>
      <c r="HU966">
        <f>IF(ISBLANK('Data Entry'!$ĥ$966), "", 'Data Entry'!$ĥ$966)</f>
      </c>
      <c r="HV966">
        <f>IF(ISBLANK('Data Entry'!$Ħ$966), "", 'Data Entry'!$Ħ$966)</f>
      </c>
      <c r="HW966">
        <f>IF(ISBLANK('Data Entry'!$ħ$966), "", 'Data Entry'!$ħ$966)</f>
      </c>
      <c r="HX966">
        <f>IF(ISBLANK('Data Entry'!$Ĩ$966), "", 'Data Entry'!$Ĩ$966)</f>
      </c>
      <c r="HY966">
        <f>IF(ISBLANK('Data Entry'!$ĩ$966), "", 'Data Entry'!$ĩ$966)</f>
      </c>
      <c r="HZ966">
        <f>IF(ISBLANK('Data Entry'!$Ī$966), "", 'Data Entry'!$Ī$966)</f>
      </c>
      <c r="IA966">
        <f>IF(ISBLANK('Data Entry'!$ī$966), "", 'Data Entry'!$ī$966)</f>
      </c>
      <c r="IB966">
        <f>IF(ISBLANK('Data Entry'!$Ĭ$966), "", 'Data Entry'!$Ĭ$966)</f>
      </c>
      <c r="IC966">
        <f>IF(ISBLANK('Data Entry'!$ĭ$966), "", 'Data Entry'!$ĭ$966)</f>
      </c>
      <c r="ID966">
        <f>IF(ISBLANK('Data Entry'!$Į$966), "", 'Data Entry'!$Į$966)</f>
      </c>
      <c r="IE966">
        <f>IF(ISBLANK('Data Entry'!$į$966), "", 'Data Entry'!$į$966)</f>
      </c>
      <c r="IF966">
        <f>IF(ISBLANK('Data Entry'!$İ$966), "", 'Data Entry'!$İ$966)</f>
      </c>
      <c r="IG966">
        <f>IF(ISBLANK('Data Entry'!$ı$966), "", 'Data Entry'!$ı$966)</f>
      </c>
      <c r="IH966">
        <f>IF(ISBLANK('Data Entry'!$Ĳ$966), "", 'Data Entry'!$Ĳ$966)</f>
      </c>
      <c r="II966">
        <f>IF(ISBLANK('Data Entry'!$ĳ$966), "", 'Data Entry'!$ĳ$966)</f>
      </c>
      <c r="IJ966">
        <f>IF(ISBLANK('Data Entry'!$Ĵ$966), "", 'Data Entry'!$Ĵ$966)</f>
      </c>
      <c r="IK966">
        <f>IF(ISBLANK('Data Entry'!$ĵ$966), "", 'Data Entry'!$ĵ$966)</f>
      </c>
      <c r="IL966">
        <f>IF(ISBLANK('Data Entry'!$Ķ$966), "", 'Data Entry'!$Ķ$966)</f>
      </c>
      <c r="IM966">
        <f>IF(ISBLANK('Data Entry'!$ķ$966), "", 'Data Entry'!$ķ$966)</f>
      </c>
      <c r="IN966">
        <f>IF(ISBLANK('Data Entry'!$ĸ$966), "", 'Data Entry'!$ĸ$966)</f>
      </c>
      <c r="IO966">
        <f>IF(ISBLANK('Data Entry'!$Ĺ$966), "", 'Data Entry'!$Ĺ$966)</f>
      </c>
      <c r="IP966">
        <f>IF(ISBLANK('Data Entry'!$ĺ$966), "", 'Data Entry'!$ĺ$966)</f>
      </c>
      <c r="IQ966">
        <f>IF(ISBLANK('Data Entry'!$Ļ$966), "", 'Data Entry'!$Ļ$966)</f>
      </c>
      <c r="IR966">
        <f>IF(ISBLANK('Data Entry'!$ļ$966), "", 'Data Entry'!$ļ$966)</f>
      </c>
      <c r="IS966">
        <f>IF(ISBLANK('Data Entry'!$Ľ$966), "", 'Data Entry'!$Ľ$966)</f>
      </c>
      <c r="IT966">
        <f>IF(ISBLANK('Data Entry'!$ľ$966), "", 'Data Entry'!$ľ$966)</f>
      </c>
    </row>
    <row r="967" spans="1:254" x14ac:dyDescent="0.25">
      <c r="A967">
        <f>IF(ISBLANK('Data Entry'!$A$967), "", 'Data Entry'!$A$967)</f>
      </c>
      <c r="B967">
        <f>IF(ISBLANK('Data Entry'!$B$967), "", 'Data Entry'!$B$967)</f>
      </c>
      <c r="C967">
        <f>IF(ISBLANK('Data Entry'!$C$967), "", 'Data Entry'!$C$967)</f>
      </c>
      <c r="D967">
        <f>IF(ISBLANK('Data Entry'!$D$967), "", 'Data Entry'!$D$967)</f>
      </c>
      <c r="E967">
        <f>IF(ISBLANK('Data Entry'!$E$967), "", 'Data Entry'!$E$967)</f>
      </c>
      <c r="F967">
        <f>IF(ISBLANK('Data Entry'!$F$967), "", 'Data Entry'!$F$967)</f>
      </c>
      <c r="G967">
        <f>IF(ISBLANK('Data Entry'!$G$967), "", 'Data Entry'!$G$967)</f>
      </c>
      <c r="H967">
        <f>IF(ISBLANK('Data Entry'!$H$967), "", 'Data Entry'!$H$967)</f>
      </c>
      <c r="I967">
        <f>IF(ISBLANK('Data Entry'!$I$967), "", 'Data Entry'!$I$967)</f>
      </c>
      <c r="J967">
        <f>IF(ISBLANK('Data Entry'!$J$967), "", 'Data Entry'!$J$967)</f>
      </c>
      <c r="K967">
        <f>IF(ISBLANK('Data Entry'!$K$967), "", 'Data Entry'!$K$967)</f>
      </c>
      <c r="L967">
        <f>IF(ISBLANK('Data Entry'!$L$967), "", 'Data Entry'!$L$967)</f>
      </c>
      <c r="M967">
        <f>IF(ISBLANK('Data Entry'!$M$967), "", 'Data Entry'!$M$967)</f>
      </c>
      <c r="N967">
        <f>IF(ISBLANK('Data Entry'!$N$967), "", 'Data Entry'!$N$967)</f>
      </c>
      <c r="O967">
        <f>IF(ISBLANK('Data Entry'!$O$967), "", 'Data Entry'!$O$967)</f>
      </c>
      <c r="P967">
        <f>IF(ISBLANK('Data Entry'!$P$967), "", 'Data Entry'!$P$967)</f>
      </c>
      <c r="Q967">
        <f>IF(ISBLANK('Data Entry'!$Q$967), "", 'Data Entry'!$Q$967)</f>
      </c>
      <c r="R967">
        <f>IF(ISBLANK('Data Entry'!$R$967), "", 'Data Entry'!$R$967)</f>
      </c>
      <c r="S967">
        <f>IF(ISBLANK('Data Entry'!$S$967), "", 'Data Entry'!$S$967)</f>
      </c>
      <c r="T967">
        <f>IF(ISBLANK('Data Entry'!$T$967), "", 'Data Entry'!$T$967)</f>
      </c>
      <c r="U967">
        <f>IF(ISBLANK('Data Entry'!$U$967), "", 'Data Entry'!$U$967)</f>
      </c>
      <c r="V967">
        <f>IF(ISBLANK('Data Entry'!$V$967), "", 'Data Entry'!$V$967)</f>
      </c>
      <c r="W967">
        <f>IF(ISBLANK('Data Entry'!$W$967), "", 'Data Entry'!$W$967)</f>
      </c>
      <c r="X967">
        <f>IF(ISBLANK('Data Entry'!$X$967), "", 'Data Entry'!$X$967)</f>
      </c>
      <c r="Y967">
        <f>IF(ISBLANK('Data Entry'!$Y$967), "", 'Data Entry'!$Y$967)</f>
      </c>
      <c r="Z967">
        <f>IF(ISBLANK('Data Entry'!$Z$967), "", 'Data Entry'!$Z$967)</f>
      </c>
      <c r="AA967">
        <f>IF(ISBLANK('Data Entry'!$[$967), "", 'Data Entry'!$[$967)</f>
      </c>
      <c r="AB967">
        <f>IF(ISBLANK('Data Entry'!$\$967), "", 'Data Entry'!$\$967)</f>
      </c>
      <c r="AC967">
        <f>IF(ISBLANK('Data Entry'!$]$967), "", 'Data Entry'!$]$967)</f>
      </c>
      <c r="AD967">
        <f>IF(ISBLANK('Data Entry'!$^$967), "", 'Data Entry'!$^$967)</f>
      </c>
      <c r="AE967">
        <f>IF(ISBLANK('Data Entry'!$_$967), "", 'Data Entry'!$_$967)</f>
      </c>
      <c r="AF967">
        <f>IF(ISBLANK('Data Entry'!$`$967), "", 'Data Entry'!$`$967)</f>
      </c>
      <c r="AG967">
        <f>IF(ISBLANK('Data Entry'!$a$967), "", 'Data Entry'!$a$967)</f>
      </c>
      <c r="AH967">
        <f>IF(ISBLANK('Data Entry'!$b$967), "", 'Data Entry'!$b$967)</f>
      </c>
      <c r="AI967">
        <f>IF(ISBLANK('Data Entry'!$c$967), "", 'Data Entry'!$c$967)</f>
      </c>
      <c r="AJ967">
        <f>IF(ISBLANK('Data Entry'!$d$967), "", 'Data Entry'!$d$967)</f>
      </c>
      <c r="AK967">
        <f>IF(ISBLANK('Data Entry'!$e$967), "", 'Data Entry'!$e$967)</f>
      </c>
      <c r="AL967">
        <f>IF(ISBLANK('Data Entry'!$f$967), "", 'Data Entry'!$f$967)</f>
      </c>
      <c r="AM967">
        <f>IF(ISBLANK('Data Entry'!$g$967), "", 'Data Entry'!$g$967)</f>
      </c>
      <c r="AN967">
        <f>IF(ISBLANK('Data Entry'!$h$967), "", 'Data Entry'!$h$967)</f>
      </c>
      <c r="AO967">
        <f>IF(ISBLANK('Data Entry'!$i$967), "", 'Data Entry'!$i$967)</f>
      </c>
      <c r="AP967">
        <f>IF(ISBLANK('Data Entry'!$j$967), "", 'Data Entry'!$j$967)</f>
      </c>
      <c r="AQ967">
        <f>IF(ISBLANK('Data Entry'!$k$967), "", 'Data Entry'!$k$967)</f>
      </c>
      <c r="AR967">
        <f>IF(ISBLANK('Data Entry'!$l$967), "", 'Data Entry'!$l$967)</f>
      </c>
      <c r="AS967">
        <f>IF(ISBLANK('Data Entry'!$m$967), "", 'Data Entry'!$m$967)</f>
      </c>
      <c r="AT967">
        <f>IF(ISBLANK('Data Entry'!$n$967), "", 'Data Entry'!$n$967)</f>
      </c>
      <c r="AU967">
        <f>IF(ISBLANK('Data Entry'!$o$967), "", 'Data Entry'!$o$967)</f>
      </c>
      <c r="AV967">
        <f>IF(ISBLANK('Data Entry'!$p$967), "", 'Data Entry'!$p$967)</f>
      </c>
      <c r="AW967">
        <f>IF(ISBLANK('Data Entry'!$q$967), "", 'Data Entry'!$q$967)</f>
      </c>
      <c r="AX967">
        <f>IF(ISBLANK('Data Entry'!$r$967), "", 'Data Entry'!$r$967)</f>
      </c>
      <c r="AY967">
        <f>IF(ISBLANK('Data Entry'!$s$967), "", 'Data Entry'!$s$967)</f>
      </c>
      <c r="AZ967">
        <f>IF(ISBLANK('Data Entry'!$t$967), "", 'Data Entry'!$t$967)</f>
      </c>
      <c r="BA967">
        <f>IF(ISBLANK('Data Entry'!$u$967), "", 'Data Entry'!$u$967)</f>
      </c>
      <c r="BB967">
        <f>IF(ISBLANK('Data Entry'!$v$967), "", 'Data Entry'!$v$967)</f>
      </c>
      <c r="BC967">
        <f>IF(ISBLANK('Data Entry'!$w$967), "", 'Data Entry'!$w$967)</f>
      </c>
      <c r="BD967">
        <f>IF(ISBLANK('Data Entry'!$x$967), "", 'Data Entry'!$x$967)</f>
      </c>
      <c r="BE967">
        <f>IF(ISBLANK('Data Entry'!$y$967), "", 'Data Entry'!$y$967)</f>
      </c>
      <c r="BF967">
        <f>IF(ISBLANK('Data Entry'!$z$967), "", 'Data Entry'!$z$967)</f>
      </c>
      <c r="BG967">
        <f>IF(ISBLANK('Data Entry'!${$967), "", 'Data Entry'!${$967)</f>
      </c>
      <c r="BH967">
        <f>IF(ISBLANK('Data Entry'!$|$967), "", 'Data Entry'!$|$967)</f>
      </c>
      <c r="BI967">
        <f>IF(ISBLANK('Data Entry'!$}$967), "", 'Data Entry'!$}$967)</f>
      </c>
      <c r="BJ967">
        <f>IF(ISBLANK('Data Entry'!$~$967), "", 'Data Entry'!$~$967)</f>
      </c>
      <c r="BK967">
        <f>IF(ISBLANK('Data Entry'!$$967), "", 'Data Entry'!$$967)</f>
      </c>
      <c r="BL967">
        <f>IF(ISBLANK('Data Entry'!$$967), "", 'Data Entry'!$$967)</f>
      </c>
      <c r="BM967">
        <f>IF(ISBLANK('Data Entry'!$$967), "", 'Data Entry'!$$967)</f>
      </c>
      <c r="BN967">
        <f>IF(ISBLANK('Data Entry'!$$967), "", 'Data Entry'!$$967)</f>
      </c>
      <c r="BO967">
        <f>IF(ISBLANK('Data Entry'!$$967), "", 'Data Entry'!$$967)</f>
      </c>
      <c r="BP967">
        <f>IF(ISBLANK('Data Entry'!$$967), "", 'Data Entry'!$$967)</f>
      </c>
      <c r="BQ967">
        <f>IF(ISBLANK('Data Entry'!$$967), "", 'Data Entry'!$$967)</f>
      </c>
      <c r="BR967">
        <f>IF(ISBLANK('Data Entry'!$$967), "", 'Data Entry'!$$967)</f>
      </c>
      <c r="BS967">
        <f>IF(ISBLANK('Data Entry'!$$967), "", 'Data Entry'!$$967)</f>
      </c>
      <c r="BT967">
        <f>IF(ISBLANK('Data Entry'!$$967), "", 'Data Entry'!$$967)</f>
      </c>
      <c r="BU967">
        <f>IF(ISBLANK('Data Entry'!$$967), "", 'Data Entry'!$$967)</f>
      </c>
      <c r="BV967">
        <f>IF(ISBLANK('Data Entry'!$$967), "", 'Data Entry'!$$967)</f>
      </c>
      <c r="BW967">
        <f>IF(ISBLANK('Data Entry'!$$967), "", 'Data Entry'!$$967)</f>
      </c>
      <c r="BX967">
        <f>IF(ISBLANK('Data Entry'!$$967), "", 'Data Entry'!$$967)</f>
      </c>
      <c r="BY967">
        <f>IF(ISBLANK('Data Entry'!$$967), "", 'Data Entry'!$$967)</f>
      </c>
      <c r="BZ967">
        <f>IF(ISBLANK('Data Entry'!$$967), "", 'Data Entry'!$$967)</f>
      </c>
      <c r="CA967">
        <f>IF(ISBLANK('Data Entry'!$$967), "", 'Data Entry'!$$967)</f>
      </c>
      <c r="CB967">
        <f>IF(ISBLANK('Data Entry'!$$967), "", 'Data Entry'!$$967)</f>
      </c>
      <c r="CC967">
        <f>IF(ISBLANK('Data Entry'!$$967), "", 'Data Entry'!$$967)</f>
      </c>
      <c r="CD967">
        <f>IF(ISBLANK('Data Entry'!$$967), "", 'Data Entry'!$$967)</f>
      </c>
      <c r="CE967">
        <f>IF(ISBLANK('Data Entry'!$$967), "", 'Data Entry'!$$967)</f>
      </c>
      <c r="CF967">
        <f>IF(ISBLANK('Data Entry'!$$967), "", 'Data Entry'!$$967)</f>
      </c>
      <c r="CG967">
        <f>IF(ISBLANK('Data Entry'!$$967), "", 'Data Entry'!$$967)</f>
      </c>
      <c r="CH967">
        <f>IF(ISBLANK('Data Entry'!$$967), "", 'Data Entry'!$$967)</f>
      </c>
      <c r="CI967">
        <f>IF(ISBLANK('Data Entry'!$$967), "", 'Data Entry'!$$967)</f>
      </c>
      <c r="CJ967">
        <f>IF(ISBLANK('Data Entry'!$$967), "", 'Data Entry'!$$967)</f>
      </c>
      <c r="CK967">
        <f>IF(ISBLANK('Data Entry'!$$967), "", 'Data Entry'!$$967)</f>
      </c>
      <c r="CL967">
        <f>IF(ISBLANK('Data Entry'!$$967), "", 'Data Entry'!$$967)</f>
      </c>
      <c r="CM967">
        <f>IF(ISBLANK('Data Entry'!$$967), "", 'Data Entry'!$$967)</f>
      </c>
      <c r="CN967">
        <f>IF(ISBLANK('Data Entry'!$$967), "", 'Data Entry'!$$967)</f>
      </c>
      <c r="CO967">
        <f>IF(ISBLANK('Data Entry'!$$967), "", 'Data Entry'!$$967)</f>
      </c>
      <c r="CP967">
        <f>IF(ISBLANK('Data Entry'!$$967), "", 'Data Entry'!$$967)</f>
      </c>
      <c r="CQ967">
        <f>IF(ISBLANK('Data Entry'!$$967), "", 'Data Entry'!$$967)</f>
      </c>
      <c r="CR967">
        <f>IF(ISBLANK('Data Entry'!$ $967), "", 'Data Entry'!$ $967)</f>
      </c>
      <c r="CS967">
        <f>IF(ISBLANK('Data Entry'!$¡$967), "", 'Data Entry'!$¡$967)</f>
      </c>
      <c r="CT967">
        <f>IF(ISBLANK('Data Entry'!$¢$967), "", 'Data Entry'!$¢$967)</f>
      </c>
      <c r="CU967">
        <f>IF(ISBLANK('Data Entry'!$£$967), "", 'Data Entry'!$£$967)</f>
      </c>
      <c r="CV967">
        <f>IF(ISBLANK('Data Entry'!$¤$967), "", 'Data Entry'!$¤$967)</f>
      </c>
      <c r="CW967">
        <f>IF(ISBLANK('Data Entry'!$¥$967), "", 'Data Entry'!$¥$967)</f>
      </c>
      <c r="CX967">
        <f>IF(ISBLANK('Data Entry'!$¦$967), "", 'Data Entry'!$¦$967)</f>
      </c>
      <c r="CY967">
        <f>IF(ISBLANK('Data Entry'!$§$967), "", 'Data Entry'!$§$967)</f>
      </c>
      <c r="CZ967">
        <f>IF(ISBLANK('Data Entry'!$¨$967), "", 'Data Entry'!$¨$967)</f>
      </c>
      <c r="DA967">
        <f>IF(ISBLANK('Data Entry'!$©$967), "", 'Data Entry'!$©$967)</f>
      </c>
      <c r="DB967">
        <f>IF(ISBLANK('Data Entry'!$ª$967), "", 'Data Entry'!$ª$967)</f>
      </c>
      <c r="DC967">
        <f>IF(ISBLANK('Data Entry'!$«$967), "", 'Data Entry'!$«$967)</f>
      </c>
      <c r="DD967">
        <f>IF(ISBLANK('Data Entry'!$¬$967), "", 'Data Entry'!$¬$967)</f>
      </c>
      <c r="DE967">
        <f>IF(ISBLANK('Data Entry'!$­$967), "", 'Data Entry'!$­$967)</f>
      </c>
      <c r="DF967">
        <f>IF(ISBLANK('Data Entry'!$®$967), "", 'Data Entry'!$®$967)</f>
      </c>
      <c r="DG967">
        <f>IF(ISBLANK('Data Entry'!$¯$967), "", 'Data Entry'!$¯$967)</f>
      </c>
      <c r="DH967">
        <f>IF(ISBLANK('Data Entry'!$°$967), "", 'Data Entry'!$°$967)</f>
      </c>
      <c r="DI967">
        <f>IF(ISBLANK('Data Entry'!$±$967), "", 'Data Entry'!$±$967)</f>
      </c>
      <c r="DJ967">
        <f>IF(ISBLANK('Data Entry'!$²$967), "", 'Data Entry'!$²$967)</f>
      </c>
      <c r="DK967">
        <f>IF(ISBLANK('Data Entry'!$³$967), "", 'Data Entry'!$³$967)</f>
      </c>
      <c r="DL967">
        <f>IF(ISBLANK('Data Entry'!$´$967), "", 'Data Entry'!$´$967)</f>
      </c>
      <c r="DM967">
        <f>IF(ISBLANK('Data Entry'!$µ$967), "", 'Data Entry'!$µ$967)</f>
      </c>
      <c r="DN967">
        <f>IF(ISBLANK('Data Entry'!$¶$967), "", 'Data Entry'!$¶$967)</f>
      </c>
      <c r="DO967">
        <f>IF(ISBLANK('Data Entry'!$·$967), "", 'Data Entry'!$·$967)</f>
      </c>
      <c r="DP967">
        <f>IF(ISBLANK('Data Entry'!$¸$967), "", 'Data Entry'!$¸$967)</f>
      </c>
      <c r="DQ967">
        <f>IF(ISBLANK('Data Entry'!$¹$967), "", 'Data Entry'!$¹$967)</f>
      </c>
      <c r="DR967">
        <f>IF(ISBLANK('Data Entry'!$º$967), "", 'Data Entry'!$º$967)</f>
      </c>
      <c r="DS967">
        <f>IF(ISBLANK('Data Entry'!$»$967), "", 'Data Entry'!$»$967)</f>
      </c>
      <c r="DT967">
        <f>IF(ISBLANK('Data Entry'!$¼$967), "", 'Data Entry'!$¼$967)</f>
      </c>
      <c r="DU967">
        <f>IF(ISBLANK('Data Entry'!$½$967), "", 'Data Entry'!$½$967)</f>
      </c>
      <c r="DV967">
        <f>IF(ISBLANK('Data Entry'!$¾$967), "", 'Data Entry'!$¾$967)</f>
      </c>
      <c r="DW967">
        <f>IF(ISBLANK('Data Entry'!$¿$967), "", 'Data Entry'!$¿$967)</f>
      </c>
      <c r="DX967">
        <f>IF(ISBLANK('Data Entry'!$À$967), "", 'Data Entry'!$À$967)</f>
      </c>
      <c r="DY967">
        <f>IF(ISBLANK('Data Entry'!$Á$967), "", 'Data Entry'!$Á$967)</f>
      </c>
      <c r="DZ967">
        <f>IF(ISBLANK('Data Entry'!$Â$967), "", 'Data Entry'!$Â$967)</f>
      </c>
      <c r="EA967">
        <f>IF(ISBLANK('Data Entry'!$Ã$967), "", 'Data Entry'!$Ã$967)</f>
      </c>
      <c r="EB967">
        <f>IF(ISBLANK('Data Entry'!$Ä$967), "", 'Data Entry'!$Ä$967)</f>
      </c>
      <c r="EC967">
        <f>IF(ISBLANK('Data Entry'!$Å$967), "", 'Data Entry'!$Å$967)</f>
      </c>
      <c r="ED967">
        <f>IF(ISBLANK('Data Entry'!$Æ$967), "", 'Data Entry'!$Æ$967)</f>
      </c>
      <c r="EE967">
        <f>IF(ISBLANK('Data Entry'!$Ç$967), "", 'Data Entry'!$Ç$967)</f>
      </c>
      <c r="EF967">
        <f>IF(ISBLANK('Data Entry'!$È$967), "", 'Data Entry'!$È$967)</f>
      </c>
      <c r="EG967">
        <f>IF(ISBLANK('Data Entry'!$É$967), "", 'Data Entry'!$É$967)</f>
      </c>
      <c r="EH967">
        <f>IF(ISBLANK('Data Entry'!$Ê$967), "", 'Data Entry'!$Ê$967)</f>
      </c>
      <c r="EI967">
        <f>IF(ISBLANK('Data Entry'!$Ë$967), "", 'Data Entry'!$Ë$967)</f>
      </c>
      <c r="EJ967">
        <f>IF(ISBLANK('Data Entry'!$Ì$967), "", 'Data Entry'!$Ì$967)</f>
      </c>
      <c r="EK967">
        <f>IF(ISBLANK('Data Entry'!$Í$967), "", 'Data Entry'!$Í$967)</f>
      </c>
      <c r="EL967">
        <f>IF(ISBLANK('Data Entry'!$Î$967), "", 'Data Entry'!$Î$967)</f>
      </c>
      <c r="EM967">
        <f>IF(ISBLANK('Data Entry'!$Ï$967), "", 'Data Entry'!$Ï$967)</f>
      </c>
      <c r="EN967">
        <f>IF(ISBLANK('Data Entry'!$Ð$967), "", 'Data Entry'!$Ð$967)</f>
      </c>
      <c r="EO967">
        <f>IF(ISBLANK('Data Entry'!$Ñ$967), "", 'Data Entry'!$Ñ$967)</f>
      </c>
      <c r="EP967">
        <f>IF(ISBLANK('Data Entry'!$Ò$967), "", 'Data Entry'!$Ò$967)</f>
      </c>
      <c r="EQ967">
        <f>IF(ISBLANK('Data Entry'!$Ó$967), "", 'Data Entry'!$Ó$967)</f>
      </c>
      <c r="ER967">
        <f>IF(ISBLANK('Data Entry'!$Ô$967), "", 'Data Entry'!$Ô$967)</f>
      </c>
      <c r="ES967">
        <f>IF(ISBLANK('Data Entry'!$Õ$967), "", 'Data Entry'!$Õ$967)</f>
      </c>
      <c r="ET967">
        <f>IF(ISBLANK('Data Entry'!$Ö$967), "", 'Data Entry'!$Ö$967)</f>
      </c>
      <c r="EU967">
        <f>IF(ISBLANK('Data Entry'!$×$967), "", 'Data Entry'!$×$967)</f>
      </c>
      <c r="EV967">
        <f>IF(ISBLANK('Data Entry'!$Ø$967), "", 'Data Entry'!$Ø$967)</f>
      </c>
      <c r="EW967">
        <f>IF(ISBLANK('Data Entry'!$Ù$967), "", 'Data Entry'!$Ù$967)</f>
      </c>
      <c r="EX967">
        <f>IF(ISBLANK('Data Entry'!$Ú$967), "", 'Data Entry'!$Ú$967)</f>
      </c>
      <c r="EY967">
        <f>IF(ISBLANK('Data Entry'!$Û$967), "", 'Data Entry'!$Û$967)</f>
      </c>
      <c r="EZ967">
        <f>IF(ISBLANK('Data Entry'!$Ü$967), "", 'Data Entry'!$Ü$967)</f>
      </c>
      <c r="FA967">
        <f>IF(ISBLANK('Data Entry'!$Ý$967), "", 'Data Entry'!$Ý$967)</f>
      </c>
      <c r="FB967">
        <f>IF(ISBLANK('Data Entry'!$Þ$967), "", 'Data Entry'!$Þ$967)</f>
      </c>
      <c r="FC967">
        <f>IF(ISBLANK('Data Entry'!$ß$967), "", 'Data Entry'!$ß$967)</f>
      </c>
      <c r="FD967">
        <f>IF(ISBLANK('Data Entry'!$à$967), "", 'Data Entry'!$à$967)</f>
      </c>
      <c r="FE967">
        <f>IF(ISBLANK('Data Entry'!$á$967), "", 'Data Entry'!$á$967)</f>
      </c>
      <c r="FF967">
        <f>IF(ISBLANK('Data Entry'!$â$967), "", 'Data Entry'!$â$967)</f>
      </c>
      <c r="FG967">
        <f>IF(ISBLANK('Data Entry'!$ã$967), "", 'Data Entry'!$ã$967)</f>
      </c>
      <c r="FH967">
        <f>IF(ISBLANK('Data Entry'!$ä$967), "", 'Data Entry'!$ä$967)</f>
      </c>
      <c r="FI967">
        <f>IF(ISBLANK('Data Entry'!$å$967), "", 'Data Entry'!$å$967)</f>
      </c>
      <c r="FJ967">
        <f>IF(ISBLANK('Data Entry'!$æ$967), "", 'Data Entry'!$æ$967)</f>
      </c>
      <c r="FK967">
        <f>IF(ISBLANK('Data Entry'!$ç$967), "", 'Data Entry'!$ç$967)</f>
      </c>
      <c r="FL967">
        <f>IF(ISBLANK('Data Entry'!$è$967), "", 'Data Entry'!$è$967)</f>
      </c>
      <c r="FM967">
        <f>IF(ISBLANK('Data Entry'!$é$967), "", 'Data Entry'!$é$967)</f>
      </c>
      <c r="FN967">
        <f>IF(ISBLANK('Data Entry'!$ê$967), "", 'Data Entry'!$ê$967)</f>
      </c>
      <c r="FO967">
        <f>IF(ISBLANK('Data Entry'!$ë$967), "", 'Data Entry'!$ë$967)</f>
      </c>
      <c r="FP967">
        <f>IF(ISBLANK('Data Entry'!$ì$967), "", 'Data Entry'!$ì$967)</f>
      </c>
      <c r="FQ967">
        <f>IF(ISBLANK('Data Entry'!$í$967), "", 'Data Entry'!$í$967)</f>
      </c>
      <c r="FR967">
        <f>IF(ISBLANK('Data Entry'!$î$967), "", 'Data Entry'!$î$967)</f>
      </c>
      <c r="FS967">
        <f>IF(ISBLANK('Data Entry'!$ï$967), "", 'Data Entry'!$ï$967)</f>
      </c>
      <c r="FT967">
        <f>IF(ISBLANK('Data Entry'!$ð$967), "", 'Data Entry'!$ð$967)</f>
      </c>
      <c r="FU967">
        <f>IF(ISBLANK('Data Entry'!$ñ$967), "", 'Data Entry'!$ñ$967)</f>
      </c>
      <c r="FV967">
        <f>IF(ISBLANK('Data Entry'!$ò$967), "", 'Data Entry'!$ò$967)</f>
      </c>
      <c r="FW967">
        <f>IF(ISBLANK('Data Entry'!$ó$967), "", 'Data Entry'!$ó$967)</f>
      </c>
      <c r="FX967">
        <f>IF(ISBLANK('Data Entry'!$ô$967), "", 'Data Entry'!$ô$967)</f>
      </c>
      <c r="FY967">
        <f>IF(ISBLANK('Data Entry'!$õ$967), "", 'Data Entry'!$õ$967)</f>
      </c>
      <c r="FZ967">
        <f>IF(ISBLANK('Data Entry'!$ö$967), "", 'Data Entry'!$ö$967)</f>
      </c>
      <c r="GA967">
        <f>IF(ISBLANK('Data Entry'!$÷$967), "", 'Data Entry'!$÷$967)</f>
      </c>
      <c r="GB967">
        <f>IF(ISBLANK('Data Entry'!$ø$967), "", 'Data Entry'!$ø$967)</f>
      </c>
      <c r="GC967">
        <f>IF(ISBLANK('Data Entry'!$ù$967), "", 'Data Entry'!$ù$967)</f>
      </c>
      <c r="GD967">
        <f>IF(ISBLANK('Data Entry'!$ú$967), "", 'Data Entry'!$ú$967)</f>
      </c>
      <c r="GE967">
        <f>IF(ISBLANK('Data Entry'!$û$967), "", 'Data Entry'!$û$967)</f>
      </c>
      <c r="GF967">
        <f>IF(ISBLANK('Data Entry'!$ü$967), "", 'Data Entry'!$ü$967)</f>
      </c>
      <c r="GG967">
        <f>IF(ISBLANK('Data Entry'!$ý$967), "", 'Data Entry'!$ý$967)</f>
      </c>
      <c r="GH967">
        <f>IF(ISBLANK('Data Entry'!$þ$967), "", 'Data Entry'!$þ$967)</f>
      </c>
      <c r="GI967">
        <f>IF(ISBLANK('Data Entry'!$ÿ$967), "", 'Data Entry'!$ÿ$967)</f>
      </c>
      <c r="GJ967">
        <f>IF(ISBLANK('Data Entry'!$Ā$967), "", 'Data Entry'!$Ā$967)</f>
      </c>
      <c r="GK967">
        <f>IF(ISBLANK('Data Entry'!$ā$967), "", 'Data Entry'!$ā$967)</f>
      </c>
      <c r="GL967">
        <f>IF(ISBLANK('Data Entry'!$Ă$967), "", 'Data Entry'!$Ă$967)</f>
      </c>
      <c r="GM967">
        <f>IF(ISBLANK('Data Entry'!$ă$967), "", 'Data Entry'!$ă$967)</f>
      </c>
      <c r="GN967">
        <f>IF(ISBLANK('Data Entry'!$Ą$967), "", 'Data Entry'!$Ą$967)</f>
      </c>
      <c r="GO967">
        <f>IF(ISBLANK('Data Entry'!$ą$967), "", 'Data Entry'!$ą$967)</f>
      </c>
      <c r="GP967">
        <f>IF(ISBLANK('Data Entry'!$Ć$967), "", 'Data Entry'!$Ć$967)</f>
      </c>
      <c r="GQ967">
        <f>IF(ISBLANK('Data Entry'!$ć$967), "", 'Data Entry'!$ć$967)</f>
      </c>
      <c r="GR967">
        <f>IF(ISBLANK('Data Entry'!$Ĉ$967), "", 'Data Entry'!$Ĉ$967)</f>
      </c>
      <c r="GS967">
        <f>IF(ISBLANK('Data Entry'!$ĉ$967), "", 'Data Entry'!$ĉ$967)</f>
      </c>
      <c r="GT967">
        <f>IF(ISBLANK('Data Entry'!$Ċ$967), "", 'Data Entry'!$Ċ$967)</f>
      </c>
      <c r="GU967">
        <f>IF(ISBLANK('Data Entry'!$ċ$967), "", 'Data Entry'!$ċ$967)</f>
      </c>
      <c r="GV967">
        <f>IF(ISBLANK('Data Entry'!$Č$967), "", 'Data Entry'!$Č$967)</f>
      </c>
      <c r="GW967">
        <f>IF(ISBLANK('Data Entry'!$č$967), "", 'Data Entry'!$č$967)</f>
      </c>
      <c r="GX967">
        <f>IF(ISBLANK('Data Entry'!$Ď$967), "", 'Data Entry'!$Ď$967)</f>
      </c>
      <c r="GY967">
        <f>IF(ISBLANK('Data Entry'!$ď$967), "", 'Data Entry'!$ď$967)</f>
      </c>
      <c r="GZ967">
        <f>IF(ISBLANK('Data Entry'!$Đ$967), "", 'Data Entry'!$Đ$967)</f>
      </c>
      <c r="HA967">
        <f>IF(ISBLANK('Data Entry'!$đ$967), "", 'Data Entry'!$đ$967)</f>
      </c>
      <c r="HB967">
        <f>IF(ISBLANK('Data Entry'!$Ē$967), "", 'Data Entry'!$Ē$967)</f>
      </c>
      <c r="HC967">
        <f>IF(ISBLANK('Data Entry'!$ē$967), "", 'Data Entry'!$ē$967)</f>
      </c>
      <c r="HD967">
        <f>IF(ISBLANK('Data Entry'!$Ĕ$967), "", 'Data Entry'!$Ĕ$967)</f>
      </c>
      <c r="HE967">
        <f>IF(ISBLANK('Data Entry'!$ĕ$967), "", 'Data Entry'!$ĕ$967)</f>
      </c>
      <c r="HF967">
        <f>IF(ISBLANK('Data Entry'!$Ė$967), "", 'Data Entry'!$Ė$967)</f>
      </c>
      <c r="HG967">
        <f>IF(ISBLANK('Data Entry'!$ė$967), "", 'Data Entry'!$ė$967)</f>
      </c>
      <c r="HH967">
        <f>IF(ISBLANK('Data Entry'!$Ę$967), "", 'Data Entry'!$Ę$967)</f>
      </c>
      <c r="HI967">
        <f>IF(ISBLANK('Data Entry'!$ę$967), "", 'Data Entry'!$ę$967)</f>
      </c>
      <c r="HJ967">
        <f>IF(ISBLANK('Data Entry'!$Ě$967), "", 'Data Entry'!$Ě$967)</f>
      </c>
      <c r="HK967">
        <f>IF(ISBLANK('Data Entry'!$ě$967), "", 'Data Entry'!$ě$967)</f>
      </c>
      <c r="HL967">
        <f>IF(ISBLANK('Data Entry'!$Ĝ$967), "", 'Data Entry'!$Ĝ$967)</f>
      </c>
      <c r="HM967">
        <f>IF(ISBLANK('Data Entry'!$ĝ$967), "", 'Data Entry'!$ĝ$967)</f>
      </c>
      <c r="HN967">
        <f>IF(ISBLANK('Data Entry'!$Ğ$967), "", 'Data Entry'!$Ğ$967)</f>
      </c>
      <c r="HO967">
        <f>IF(ISBLANK('Data Entry'!$ğ$967), "", 'Data Entry'!$ğ$967)</f>
      </c>
      <c r="HP967">
        <f>IF(ISBLANK('Data Entry'!$Ġ$967), "", 'Data Entry'!$Ġ$967)</f>
      </c>
      <c r="HQ967">
        <f>IF(ISBLANK('Data Entry'!$ġ$967), "", 'Data Entry'!$ġ$967)</f>
      </c>
      <c r="HR967">
        <f>IF(ISBLANK('Data Entry'!$Ģ$967), "", 'Data Entry'!$Ģ$967)</f>
      </c>
      <c r="HS967">
        <f>IF(ISBLANK('Data Entry'!$ģ$967), "", 'Data Entry'!$ģ$967)</f>
      </c>
      <c r="HT967">
        <f>IF(ISBLANK('Data Entry'!$Ĥ$967), "", 'Data Entry'!$Ĥ$967)</f>
      </c>
      <c r="HU967">
        <f>IF(ISBLANK('Data Entry'!$ĥ$967), "", 'Data Entry'!$ĥ$967)</f>
      </c>
      <c r="HV967">
        <f>IF(ISBLANK('Data Entry'!$Ħ$967), "", 'Data Entry'!$Ħ$967)</f>
      </c>
      <c r="HW967">
        <f>IF(ISBLANK('Data Entry'!$ħ$967), "", 'Data Entry'!$ħ$967)</f>
      </c>
      <c r="HX967">
        <f>IF(ISBLANK('Data Entry'!$Ĩ$967), "", 'Data Entry'!$Ĩ$967)</f>
      </c>
      <c r="HY967">
        <f>IF(ISBLANK('Data Entry'!$ĩ$967), "", 'Data Entry'!$ĩ$967)</f>
      </c>
      <c r="HZ967">
        <f>IF(ISBLANK('Data Entry'!$Ī$967), "", 'Data Entry'!$Ī$967)</f>
      </c>
      <c r="IA967">
        <f>IF(ISBLANK('Data Entry'!$ī$967), "", 'Data Entry'!$ī$967)</f>
      </c>
      <c r="IB967">
        <f>IF(ISBLANK('Data Entry'!$Ĭ$967), "", 'Data Entry'!$Ĭ$967)</f>
      </c>
      <c r="IC967">
        <f>IF(ISBLANK('Data Entry'!$ĭ$967), "", 'Data Entry'!$ĭ$967)</f>
      </c>
      <c r="ID967">
        <f>IF(ISBLANK('Data Entry'!$Į$967), "", 'Data Entry'!$Į$967)</f>
      </c>
      <c r="IE967">
        <f>IF(ISBLANK('Data Entry'!$į$967), "", 'Data Entry'!$į$967)</f>
      </c>
      <c r="IF967">
        <f>IF(ISBLANK('Data Entry'!$İ$967), "", 'Data Entry'!$İ$967)</f>
      </c>
      <c r="IG967">
        <f>IF(ISBLANK('Data Entry'!$ı$967), "", 'Data Entry'!$ı$967)</f>
      </c>
      <c r="IH967">
        <f>IF(ISBLANK('Data Entry'!$Ĳ$967), "", 'Data Entry'!$Ĳ$967)</f>
      </c>
      <c r="II967">
        <f>IF(ISBLANK('Data Entry'!$ĳ$967), "", 'Data Entry'!$ĳ$967)</f>
      </c>
      <c r="IJ967">
        <f>IF(ISBLANK('Data Entry'!$Ĵ$967), "", 'Data Entry'!$Ĵ$967)</f>
      </c>
      <c r="IK967">
        <f>IF(ISBLANK('Data Entry'!$ĵ$967), "", 'Data Entry'!$ĵ$967)</f>
      </c>
      <c r="IL967">
        <f>IF(ISBLANK('Data Entry'!$Ķ$967), "", 'Data Entry'!$Ķ$967)</f>
      </c>
      <c r="IM967">
        <f>IF(ISBLANK('Data Entry'!$ķ$967), "", 'Data Entry'!$ķ$967)</f>
      </c>
      <c r="IN967">
        <f>IF(ISBLANK('Data Entry'!$ĸ$967), "", 'Data Entry'!$ĸ$967)</f>
      </c>
      <c r="IO967">
        <f>IF(ISBLANK('Data Entry'!$Ĺ$967), "", 'Data Entry'!$Ĺ$967)</f>
      </c>
      <c r="IP967">
        <f>IF(ISBLANK('Data Entry'!$ĺ$967), "", 'Data Entry'!$ĺ$967)</f>
      </c>
      <c r="IQ967">
        <f>IF(ISBLANK('Data Entry'!$Ļ$967), "", 'Data Entry'!$Ļ$967)</f>
      </c>
      <c r="IR967">
        <f>IF(ISBLANK('Data Entry'!$ļ$967), "", 'Data Entry'!$ļ$967)</f>
      </c>
      <c r="IS967">
        <f>IF(ISBLANK('Data Entry'!$Ľ$967), "", 'Data Entry'!$Ľ$967)</f>
      </c>
      <c r="IT967">
        <f>IF(ISBLANK('Data Entry'!$ľ$967), "", 'Data Entry'!$ľ$967)</f>
      </c>
    </row>
    <row r="968" spans="1:254" x14ac:dyDescent="0.25">
      <c r="A968">
        <f>IF(ISBLANK('Data Entry'!$A$968), "", 'Data Entry'!$A$968)</f>
      </c>
      <c r="B968">
        <f>IF(ISBLANK('Data Entry'!$B$968), "", 'Data Entry'!$B$968)</f>
      </c>
      <c r="C968">
        <f>IF(ISBLANK('Data Entry'!$C$968), "", 'Data Entry'!$C$968)</f>
      </c>
      <c r="D968">
        <f>IF(ISBLANK('Data Entry'!$D$968), "", 'Data Entry'!$D$968)</f>
      </c>
      <c r="E968">
        <f>IF(ISBLANK('Data Entry'!$E$968), "", 'Data Entry'!$E$968)</f>
      </c>
      <c r="F968">
        <f>IF(ISBLANK('Data Entry'!$F$968), "", 'Data Entry'!$F$968)</f>
      </c>
      <c r="G968">
        <f>IF(ISBLANK('Data Entry'!$G$968), "", 'Data Entry'!$G$968)</f>
      </c>
      <c r="H968">
        <f>IF(ISBLANK('Data Entry'!$H$968), "", 'Data Entry'!$H$968)</f>
      </c>
      <c r="I968">
        <f>IF(ISBLANK('Data Entry'!$I$968), "", 'Data Entry'!$I$968)</f>
      </c>
      <c r="J968">
        <f>IF(ISBLANK('Data Entry'!$J$968), "", 'Data Entry'!$J$968)</f>
      </c>
      <c r="K968">
        <f>IF(ISBLANK('Data Entry'!$K$968), "", 'Data Entry'!$K$968)</f>
      </c>
      <c r="L968">
        <f>IF(ISBLANK('Data Entry'!$L$968), "", 'Data Entry'!$L$968)</f>
      </c>
      <c r="M968">
        <f>IF(ISBLANK('Data Entry'!$M$968), "", 'Data Entry'!$M$968)</f>
      </c>
      <c r="N968">
        <f>IF(ISBLANK('Data Entry'!$N$968), "", 'Data Entry'!$N$968)</f>
      </c>
      <c r="O968">
        <f>IF(ISBLANK('Data Entry'!$O$968), "", 'Data Entry'!$O$968)</f>
      </c>
      <c r="P968">
        <f>IF(ISBLANK('Data Entry'!$P$968), "", 'Data Entry'!$P$968)</f>
      </c>
      <c r="Q968">
        <f>IF(ISBLANK('Data Entry'!$Q$968), "", 'Data Entry'!$Q$968)</f>
      </c>
      <c r="R968">
        <f>IF(ISBLANK('Data Entry'!$R$968), "", 'Data Entry'!$R$968)</f>
      </c>
      <c r="S968">
        <f>IF(ISBLANK('Data Entry'!$S$968), "", 'Data Entry'!$S$968)</f>
      </c>
      <c r="T968">
        <f>IF(ISBLANK('Data Entry'!$T$968), "", 'Data Entry'!$T$968)</f>
      </c>
      <c r="U968">
        <f>IF(ISBLANK('Data Entry'!$U$968), "", 'Data Entry'!$U$968)</f>
      </c>
      <c r="V968">
        <f>IF(ISBLANK('Data Entry'!$V$968), "", 'Data Entry'!$V$968)</f>
      </c>
      <c r="W968">
        <f>IF(ISBLANK('Data Entry'!$W$968), "", 'Data Entry'!$W$968)</f>
      </c>
      <c r="X968">
        <f>IF(ISBLANK('Data Entry'!$X$968), "", 'Data Entry'!$X$968)</f>
      </c>
      <c r="Y968">
        <f>IF(ISBLANK('Data Entry'!$Y$968), "", 'Data Entry'!$Y$968)</f>
      </c>
      <c r="Z968">
        <f>IF(ISBLANK('Data Entry'!$Z$968), "", 'Data Entry'!$Z$968)</f>
      </c>
      <c r="AA968">
        <f>IF(ISBLANK('Data Entry'!$[$968), "", 'Data Entry'!$[$968)</f>
      </c>
      <c r="AB968">
        <f>IF(ISBLANK('Data Entry'!$\$968), "", 'Data Entry'!$\$968)</f>
      </c>
      <c r="AC968">
        <f>IF(ISBLANK('Data Entry'!$]$968), "", 'Data Entry'!$]$968)</f>
      </c>
      <c r="AD968">
        <f>IF(ISBLANK('Data Entry'!$^$968), "", 'Data Entry'!$^$968)</f>
      </c>
      <c r="AE968">
        <f>IF(ISBLANK('Data Entry'!$_$968), "", 'Data Entry'!$_$968)</f>
      </c>
      <c r="AF968">
        <f>IF(ISBLANK('Data Entry'!$`$968), "", 'Data Entry'!$`$968)</f>
      </c>
      <c r="AG968">
        <f>IF(ISBLANK('Data Entry'!$a$968), "", 'Data Entry'!$a$968)</f>
      </c>
      <c r="AH968">
        <f>IF(ISBLANK('Data Entry'!$b$968), "", 'Data Entry'!$b$968)</f>
      </c>
      <c r="AI968">
        <f>IF(ISBLANK('Data Entry'!$c$968), "", 'Data Entry'!$c$968)</f>
      </c>
      <c r="AJ968">
        <f>IF(ISBLANK('Data Entry'!$d$968), "", 'Data Entry'!$d$968)</f>
      </c>
      <c r="AK968">
        <f>IF(ISBLANK('Data Entry'!$e$968), "", 'Data Entry'!$e$968)</f>
      </c>
      <c r="AL968">
        <f>IF(ISBLANK('Data Entry'!$f$968), "", 'Data Entry'!$f$968)</f>
      </c>
      <c r="AM968">
        <f>IF(ISBLANK('Data Entry'!$g$968), "", 'Data Entry'!$g$968)</f>
      </c>
      <c r="AN968">
        <f>IF(ISBLANK('Data Entry'!$h$968), "", 'Data Entry'!$h$968)</f>
      </c>
      <c r="AO968">
        <f>IF(ISBLANK('Data Entry'!$i$968), "", 'Data Entry'!$i$968)</f>
      </c>
      <c r="AP968">
        <f>IF(ISBLANK('Data Entry'!$j$968), "", 'Data Entry'!$j$968)</f>
      </c>
      <c r="AQ968">
        <f>IF(ISBLANK('Data Entry'!$k$968), "", 'Data Entry'!$k$968)</f>
      </c>
      <c r="AR968">
        <f>IF(ISBLANK('Data Entry'!$l$968), "", 'Data Entry'!$l$968)</f>
      </c>
      <c r="AS968">
        <f>IF(ISBLANK('Data Entry'!$m$968), "", 'Data Entry'!$m$968)</f>
      </c>
      <c r="AT968">
        <f>IF(ISBLANK('Data Entry'!$n$968), "", 'Data Entry'!$n$968)</f>
      </c>
      <c r="AU968">
        <f>IF(ISBLANK('Data Entry'!$o$968), "", 'Data Entry'!$o$968)</f>
      </c>
      <c r="AV968">
        <f>IF(ISBLANK('Data Entry'!$p$968), "", 'Data Entry'!$p$968)</f>
      </c>
      <c r="AW968">
        <f>IF(ISBLANK('Data Entry'!$q$968), "", 'Data Entry'!$q$968)</f>
      </c>
      <c r="AX968">
        <f>IF(ISBLANK('Data Entry'!$r$968), "", 'Data Entry'!$r$968)</f>
      </c>
      <c r="AY968">
        <f>IF(ISBLANK('Data Entry'!$s$968), "", 'Data Entry'!$s$968)</f>
      </c>
      <c r="AZ968">
        <f>IF(ISBLANK('Data Entry'!$t$968), "", 'Data Entry'!$t$968)</f>
      </c>
      <c r="BA968">
        <f>IF(ISBLANK('Data Entry'!$u$968), "", 'Data Entry'!$u$968)</f>
      </c>
      <c r="BB968">
        <f>IF(ISBLANK('Data Entry'!$v$968), "", 'Data Entry'!$v$968)</f>
      </c>
      <c r="BC968">
        <f>IF(ISBLANK('Data Entry'!$w$968), "", 'Data Entry'!$w$968)</f>
      </c>
      <c r="BD968">
        <f>IF(ISBLANK('Data Entry'!$x$968), "", 'Data Entry'!$x$968)</f>
      </c>
      <c r="BE968">
        <f>IF(ISBLANK('Data Entry'!$y$968), "", 'Data Entry'!$y$968)</f>
      </c>
      <c r="BF968">
        <f>IF(ISBLANK('Data Entry'!$z$968), "", 'Data Entry'!$z$968)</f>
      </c>
      <c r="BG968">
        <f>IF(ISBLANK('Data Entry'!${$968), "", 'Data Entry'!${$968)</f>
      </c>
      <c r="BH968">
        <f>IF(ISBLANK('Data Entry'!$|$968), "", 'Data Entry'!$|$968)</f>
      </c>
      <c r="BI968">
        <f>IF(ISBLANK('Data Entry'!$}$968), "", 'Data Entry'!$}$968)</f>
      </c>
      <c r="BJ968">
        <f>IF(ISBLANK('Data Entry'!$~$968), "", 'Data Entry'!$~$968)</f>
      </c>
      <c r="BK968">
        <f>IF(ISBLANK('Data Entry'!$$968), "", 'Data Entry'!$$968)</f>
      </c>
      <c r="BL968">
        <f>IF(ISBLANK('Data Entry'!$$968), "", 'Data Entry'!$$968)</f>
      </c>
      <c r="BM968">
        <f>IF(ISBLANK('Data Entry'!$$968), "", 'Data Entry'!$$968)</f>
      </c>
      <c r="BN968">
        <f>IF(ISBLANK('Data Entry'!$$968), "", 'Data Entry'!$$968)</f>
      </c>
      <c r="BO968">
        <f>IF(ISBLANK('Data Entry'!$$968), "", 'Data Entry'!$$968)</f>
      </c>
      <c r="BP968">
        <f>IF(ISBLANK('Data Entry'!$$968), "", 'Data Entry'!$$968)</f>
      </c>
      <c r="BQ968">
        <f>IF(ISBLANK('Data Entry'!$$968), "", 'Data Entry'!$$968)</f>
      </c>
      <c r="BR968">
        <f>IF(ISBLANK('Data Entry'!$$968), "", 'Data Entry'!$$968)</f>
      </c>
      <c r="BS968">
        <f>IF(ISBLANK('Data Entry'!$$968), "", 'Data Entry'!$$968)</f>
      </c>
      <c r="BT968">
        <f>IF(ISBLANK('Data Entry'!$$968), "", 'Data Entry'!$$968)</f>
      </c>
      <c r="BU968">
        <f>IF(ISBLANK('Data Entry'!$$968), "", 'Data Entry'!$$968)</f>
      </c>
      <c r="BV968">
        <f>IF(ISBLANK('Data Entry'!$$968), "", 'Data Entry'!$$968)</f>
      </c>
      <c r="BW968">
        <f>IF(ISBLANK('Data Entry'!$$968), "", 'Data Entry'!$$968)</f>
      </c>
      <c r="BX968">
        <f>IF(ISBLANK('Data Entry'!$$968), "", 'Data Entry'!$$968)</f>
      </c>
      <c r="BY968">
        <f>IF(ISBLANK('Data Entry'!$$968), "", 'Data Entry'!$$968)</f>
      </c>
      <c r="BZ968">
        <f>IF(ISBLANK('Data Entry'!$$968), "", 'Data Entry'!$$968)</f>
      </c>
      <c r="CA968">
        <f>IF(ISBLANK('Data Entry'!$$968), "", 'Data Entry'!$$968)</f>
      </c>
      <c r="CB968">
        <f>IF(ISBLANK('Data Entry'!$$968), "", 'Data Entry'!$$968)</f>
      </c>
      <c r="CC968">
        <f>IF(ISBLANK('Data Entry'!$$968), "", 'Data Entry'!$$968)</f>
      </c>
      <c r="CD968">
        <f>IF(ISBLANK('Data Entry'!$$968), "", 'Data Entry'!$$968)</f>
      </c>
      <c r="CE968">
        <f>IF(ISBLANK('Data Entry'!$$968), "", 'Data Entry'!$$968)</f>
      </c>
      <c r="CF968">
        <f>IF(ISBLANK('Data Entry'!$$968), "", 'Data Entry'!$$968)</f>
      </c>
      <c r="CG968">
        <f>IF(ISBLANK('Data Entry'!$$968), "", 'Data Entry'!$$968)</f>
      </c>
      <c r="CH968">
        <f>IF(ISBLANK('Data Entry'!$$968), "", 'Data Entry'!$$968)</f>
      </c>
      <c r="CI968">
        <f>IF(ISBLANK('Data Entry'!$$968), "", 'Data Entry'!$$968)</f>
      </c>
      <c r="CJ968">
        <f>IF(ISBLANK('Data Entry'!$$968), "", 'Data Entry'!$$968)</f>
      </c>
      <c r="CK968">
        <f>IF(ISBLANK('Data Entry'!$$968), "", 'Data Entry'!$$968)</f>
      </c>
      <c r="CL968">
        <f>IF(ISBLANK('Data Entry'!$$968), "", 'Data Entry'!$$968)</f>
      </c>
      <c r="CM968">
        <f>IF(ISBLANK('Data Entry'!$$968), "", 'Data Entry'!$$968)</f>
      </c>
      <c r="CN968">
        <f>IF(ISBLANK('Data Entry'!$$968), "", 'Data Entry'!$$968)</f>
      </c>
      <c r="CO968">
        <f>IF(ISBLANK('Data Entry'!$$968), "", 'Data Entry'!$$968)</f>
      </c>
      <c r="CP968">
        <f>IF(ISBLANK('Data Entry'!$$968), "", 'Data Entry'!$$968)</f>
      </c>
      <c r="CQ968">
        <f>IF(ISBLANK('Data Entry'!$$968), "", 'Data Entry'!$$968)</f>
      </c>
      <c r="CR968">
        <f>IF(ISBLANK('Data Entry'!$ $968), "", 'Data Entry'!$ $968)</f>
      </c>
      <c r="CS968">
        <f>IF(ISBLANK('Data Entry'!$¡$968), "", 'Data Entry'!$¡$968)</f>
      </c>
      <c r="CT968">
        <f>IF(ISBLANK('Data Entry'!$¢$968), "", 'Data Entry'!$¢$968)</f>
      </c>
      <c r="CU968">
        <f>IF(ISBLANK('Data Entry'!$£$968), "", 'Data Entry'!$£$968)</f>
      </c>
      <c r="CV968">
        <f>IF(ISBLANK('Data Entry'!$¤$968), "", 'Data Entry'!$¤$968)</f>
      </c>
      <c r="CW968">
        <f>IF(ISBLANK('Data Entry'!$¥$968), "", 'Data Entry'!$¥$968)</f>
      </c>
      <c r="CX968">
        <f>IF(ISBLANK('Data Entry'!$¦$968), "", 'Data Entry'!$¦$968)</f>
      </c>
      <c r="CY968">
        <f>IF(ISBLANK('Data Entry'!$§$968), "", 'Data Entry'!$§$968)</f>
      </c>
      <c r="CZ968">
        <f>IF(ISBLANK('Data Entry'!$¨$968), "", 'Data Entry'!$¨$968)</f>
      </c>
      <c r="DA968">
        <f>IF(ISBLANK('Data Entry'!$©$968), "", 'Data Entry'!$©$968)</f>
      </c>
      <c r="DB968">
        <f>IF(ISBLANK('Data Entry'!$ª$968), "", 'Data Entry'!$ª$968)</f>
      </c>
      <c r="DC968">
        <f>IF(ISBLANK('Data Entry'!$«$968), "", 'Data Entry'!$«$968)</f>
      </c>
      <c r="DD968">
        <f>IF(ISBLANK('Data Entry'!$¬$968), "", 'Data Entry'!$¬$968)</f>
      </c>
      <c r="DE968">
        <f>IF(ISBLANK('Data Entry'!$­$968), "", 'Data Entry'!$­$968)</f>
      </c>
      <c r="DF968">
        <f>IF(ISBLANK('Data Entry'!$®$968), "", 'Data Entry'!$®$968)</f>
      </c>
      <c r="DG968">
        <f>IF(ISBLANK('Data Entry'!$¯$968), "", 'Data Entry'!$¯$968)</f>
      </c>
      <c r="DH968">
        <f>IF(ISBLANK('Data Entry'!$°$968), "", 'Data Entry'!$°$968)</f>
      </c>
      <c r="DI968">
        <f>IF(ISBLANK('Data Entry'!$±$968), "", 'Data Entry'!$±$968)</f>
      </c>
      <c r="DJ968">
        <f>IF(ISBLANK('Data Entry'!$²$968), "", 'Data Entry'!$²$968)</f>
      </c>
      <c r="DK968">
        <f>IF(ISBLANK('Data Entry'!$³$968), "", 'Data Entry'!$³$968)</f>
      </c>
      <c r="DL968">
        <f>IF(ISBLANK('Data Entry'!$´$968), "", 'Data Entry'!$´$968)</f>
      </c>
      <c r="DM968">
        <f>IF(ISBLANK('Data Entry'!$µ$968), "", 'Data Entry'!$µ$968)</f>
      </c>
      <c r="DN968">
        <f>IF(ISBLANK('Data Entry'!$¶$968), "", 'Data Entry'!$¶$968)</f>
      </c>
      <c r="DO968">
        <f>IF(ISBLANK('Data Entry'!$·$968), "", 'Data Entry'!$·$968)</f>
      </c>
      <c r="DP968">
        <f>IF(ISBLANK('Data Entry'!$¸$968), "", 'Data Entry'!$¸$968)</f>
      </c>
      <c r="DQ968">
        <f>IF(ISBLANK('Data Entry'!$¹$968), "", 'Data Entry'!$¹$968)</f>
      </c>
      <c r="DR968">
        <f>IF(ISBLANK('Data Entry'!$º$968), "", 'Data Entry'!$º$968)</f>
      </c>
      <c r="DS968">
        <f>IF(ISBLANK('Data Entry'!$»$968), "", 'Data Entry'!$»$968)</f>
      </c>
      <c r="DT968">
        <f>IF(ISBLANK('Data Entry'!$¼$968), "", 'Data Entry'!$¼$968)</f>
      </c>
      <c r="DU968">
        <f>IF(ISBLANK('Data Entry'!$½$968), "", 'Data Entry'!$½$968)</f>
      </c>
      <c r="DV968">
        <f>IF(ISBLANK('Data Entry'!$¾$968), "", 'Data Entry'!$¾$968)</f>
      </c>
      <c r="DW968">
        <f>IF(ISBLANK('Data Entry'!$¿$968), "", 'Data Entry'!$¿$968)</f>
      </c>
      <c r="DX968">
        <f>IF(ISBLANK('Data Entry'!$À$968), "", 'Data Entry'!$À$968)</f>
      </c>
      <c r="DY968">
        <f>IF(ISBLANK('Data Entry'!$Á$968), "", 'Data Entry'!$Á$968)</f>
      </c>
      <c r="DZ968">
        <f>IF(ISBLANK('Data Entry'!$Â$968), "", 'Data Entry'!$Â$968)</f>
      </c>
      <c r="EA968">
        <f>IF(ISBLANK('Data Entry'!$Ã$968), "", 'Data Entry'!$Ã$968)</f>
      </c>
      <c r="EB968">
        <f>IF(ISBLANK('Data Entry'!$Ä$968), "", 'Data Entry'!$Ä$968)</f>
      </c>
      <c r="EC968">
        <f>IF(ISBLANK('Data Entry'!$Å$968), "", 'Data Entry'!$Å$968)</f>
      </c>
      <c r="ED968">
        <f>IF(ISBLANK('Data Entry'!$Æ$968), "", 'Data Entry'!$Æ$968)</f>
      </c>
      <c r="EE968">
        <f>IF(ISBLANK('Data Entry'!$Ç$968), "", 'Data Entry'!$Ç$968)</f>
      </c>
      <c r="EF968">
        <f>IF(ISBLANK('Data Entry'!$È$968), "", 'Data Entry'!$È$968)</f>
      </c>
      <c r="EG968">
        <f>IF(ISBLANK('Data Entry'!$É$968), "", 'Data Entry'!$É$968)</f>
      </c>
      <c r="EH968">
        <f>IF(ISBLANK('Data Entry'!$Ê$968), "", 'Data Entry'!$Ê$968)</f>
      </c>
      <c r="EI968">
        <f>IF(ISBLANK('Data Entry'!$Ë$968), "", 'Data Entry'!$Ë$968)</f>
      </c>
      <c r="EJ968">
        <f>IF(ISBLANK('Data Entry'!$Ì$968), "", 'Data Entry'!$Ì$968)</f>
      </c>
      <c r="EK968">
        <f>IF(ISBLANK('Data Entry'!$Í$968), "", 'Data Entry'!$Í$968)</f>
      </c>
      <c r="EL968">
        <f>IF(ISBLANK('Data Entry'!$Î$968), "", 'Data Entry'!$Î$968)</f>
      </c>
      <c r="EM968">
        <f>IF(ISBLANK('Data Entry'!$Ï$968), "", 'Data Entry'!$Ï$968)</f>
      </c>
      <c r="EN968">
        <f>IF(ISBLANK('Data Entry'!$Ð$968), "", 'Data Entry'!$Ð$968)</f>
      </c>
      <c r="EO968">
        <f>IF(ISBLANK('Data Entry'!$Ñ$968), "", 'Data Entry'!$Ñ$968)</f>
      </c>
      <c r="EP968">
        <f>IF(ISBLANK('Data Entry'!$Ò$968), "", 'Data Entry'!$Ò$968)</f>
      </c>
      <c r="EQ968">
        <f>IF(ISBLANK('Data Entry'!$Ó$968), "", 'Data Entry'!$Ó$968)</f>
      </c>
      <c r="ER968">
        <f>IF(ISBLANK('Data Entry'!$Ô$968), "", 'Data Entry'!$Ô$968)</f>
      </c>
      <c r="ES968">
        <f>IF(ISBLANK('Data Entry'!$Õ$968), "", 'Data Entry'!$Õ$968)</f>
      </c>
      <c r="ET968">
        <f>IF(ISBLANK('Data Entry'!$Ö$968), "", 'Data Entry'!$Ö$968)</f>
      </c>
      <c r="EU968">
        <f>IF(ISBLANK('Data Entry'!$×$968), "", 'Data Entry'!$×$968)</f>
      </c>
      <c r="EV968">
        <f>IF(ISBLANK('Data Entry'!$Ø$968), "", 'Data Entry'!$Ø$968)</f>
      </c>
      <c r="EW968">
        <f>IF(ISBLANK('Data Entry'!$Ù$968), "", 'Data Entry'!$Ù$968)</f>
      </c>
      <c r="EX968">
        <f>IF(ISBLANK('Data Entry'!$Ú$968), "", 'Data Entry'!$Ú$968)</f>
      </c>
      <c r="EY968">
        <f>IF(ISBLANK('Data Entry'!$Û$968), "", 'Data Entry'!$Û$968)</f>
      </c>
      <c r="EZ968">
        <f>IF(ISBLANK('Data Entry'!$Ü$968), "", 'Data Entry'!$Ü$968)</f>
      </c>
      <c r="FA968">
        <f>IF(ISBLANK('Data Entry'!$Ý$968), "", 'Data Entry'!$Ý$968)</f>
      </c>
      <c r="FB968">
        <f>IF(ISBLANK('Data Entry'!$Þ$968), "", 'Data Entry'!$Þ$968)</f>
      </c>
      <c r="FC968">
        <f>IF(ISBLANK('Data Entry'!$ß$968), "", 'Data Entry'!$ß$968)</f>
      </c>
      <c r="FD968">
        <f>IF(ISBLANK('Data Entry'!$à$968), "", 'Data Entry'!$à$968)</f>
      </c>
      <c r="FE968">
        <f>IF(ISBLANK('Data Entry'!$á$968), "", 'Data Entry'!$á$968)</f>
      </c>
      <c r="FF968">
        <f>IF(ISBLANK('Data Entry'!$â$968), "", 'Data Entry'!$â$968)</f>
      </c>
      <c r="FG968">
        <f>IF(ISBLANK('Data Entry'!$ã$968), "", 'Data Entry'!$ã$968)</f>
      </c>
      <c r="FH968">
        <f>IF(ISBLANK('Data Entry'!$ä$968), "", 'Data Entry'!$ä$968)</f>
      </c>
      <c r="FI968">
        <f>IF(ISBLANK('Data Entry'!$å$968), "", 'Data Entry'!$å$968)</f>
      </c>
      <c r="FJ968">
        <f>IF(ISBLANK('Data Entry'!$æ$968), "", 'Data Entry'!$æ$968)</f>
      </c>
      <c r="FK968">
        <f>IF(ISBLANK('Data Entry'!$ç$968), "", 'Data Entry'!$ç$968)</f>
      </c>
      <c r="FL968">
        <f>IF(ISBLANK('Data Entry'!$è$968), "", 'Data Entry'!$è$968)</f>
      </c>
      <c r="FM968">
        <f>IF(ISBLANK('Data Entry'!$é$968), "", 'Data Entry'!$é$968)</f>
      </c>
      <c r="FN968">
        <f>IF(ISBLANK('Data Entry'!$ê$968), "", 'Data Entry'!$ê$968)</f>
      </c>
      <c r="FO968">
        <f>IF(ISBLANK('Data Entry'!$ë$968), "", 'Data Entry'!$ë$968)</f>
      </c>
      <c r="FP968">
        <f>IF(ISBLANK('Data Entry'!$ì$968), "", 'Data Entry'!$ì$968)</f>
      </c>
      <c r="FQ968">
        <f>IF(ISBLANK('Data Entry'!$í$968), "", 'Data Entry'!$í$968)</f>
      </c>
      <c r="FR968">
        <f>IF(ISBLANK('Data Entry'!$î$968), "", 'Data Entry'!$î$968)</f>
      </c>
      <c r="FS968">
        <f>IF(ISBLANK('Data Entry'!$ï$968), "", 'Data Entry'!$ï$968)</f>
      </c>
      <c r="FT968">
        <f>IF(ISBLANK('Data Entry'!$ð$968), "", 'Data Entry'!$ð$968)</f>
      </c>
      <c r="FU968">
        <f>IF(ISBLANK('Data Entry'!$ñ$968), "", 'Data Entry'!$ñ$968)</f>
      </c>
      <c r="FV968">
        <f>IF(ISBLANK('Data Entry'!$ò$968), "", 'Data Entry'!$ò$968)</f>
      </c>
      <c r="FW968">
        <f>IF(ISBLANK('Data Entry'!$ó$968), "", 'Data Entry'!$ó$968)</f>
      </c>
      <c r="FX968">
        <f>IF(ISBLANK('Data Entry'!$ô$968), "", 'Data Entry'!$ô$968)</f>
      </c>
      <c r="FY968">
        <f>IF(ISBLANK('Data Entry'!$õ$968), "", 'Data Entry'!$õ$968)</f>
      </c>
      <c r="FZ968">
        <f>IF(ISBLANK('Data Entry'!$ö$968), "", 'Data Entry'!$ö$968)</f>
      </c>
      <c r="GA968">
        <f>IF(ISBLANK('Data Entry'!$÷$968), "", 'Data Entry'!$÷$968)</f>
      </c>
      <c r="GB968">
        <f>IF(ISBLANK('Data Entry'!$ø$968), "", 'Data Entry'!$ø$968)</f>
      </c>
      <c r="GC968">
        <f>IF(ISBLANK('Data Entry'!$ù$968), "", 'Data Entry'!$ù$968)</f>
      </c>
      <c r="GD968">
        <f>IF(ISBLANK('Data Entry'!$ú$968), "", 'Data Entry'!$ú$968)</f>
      </c>
      <c r="GE968">
        <f>IF(ISBLANK('Data Entry'!$û$968), "", 'Data Entry'!$û$968)</f>
      </c>
      <c r="GF968">
        <f>IF(ISBLANK('Data Entry'!$ü$968), "", 'Data Entry'!$ü$968)</f>
      </c>
      <c r="GG968">
        <f>IF(ISBLANK('Data Entry'!$ý$968), "", 'Data Entry'!$ý$968)</f>
      </c>
      <c r="GH968">
        <f>IF(ISBLANK('Data Entry'!$þ$968), "", 'Data Entry'!$þ$968)</f>
      </c>
      <c r="GI968">
        <f>IF(ISBLANK('Data Entry'!$ÿ$968), "", 'Data Entry'!$ÿ$968)</f>
      </c>
      <c r="GJ968">
        <f>IF(ISBLANK('Data Entry'!$Ā$968), "", 'Data Entry'!$Ā$968)</f>
      </c>
      <c r="GK968">
        <f>IF(ISBLANK('Data Entry'!$ā$968), "", 'Data Entry'!$ā$968)</f>
      </c>
      <c r="GL968">
        <f>IF(ISBLANK('Data Entry'!$Ă$968), "", 'Data Entry'!$Ă$968)</f>
      </c>
      <c r="GM968">
        <f>IF(ISBLANK('Data Entry'!$ă$968), "", 'Data Entry'!$ă$968)</f>
      </c>
      <c r="GN968">
        <f>IF(ISBLANK('Data Entry'!$Ą$968), "", 'Data Entry'!$Ą$968)</f>
      </c>
      <c r="GO968">
        <f>IF(ISBLANK('Data Entry'!$ą$968), "", 'Data Entry'!$ą$968)</f>
      </c>
      <c r="GP968">
        <f>IF(ISBLANK('Data Entry'!$Ć$968), "", 'Data Entry'!$Ć$968)</f>
      </c>
      <c r="GQ968">
        <f>IF(ISBLANK('Data Entry'!$ć$968), "", 'Data Entry'!$ć$968)</f>
      </c>
      <c r="GR968">
        <f>IF(ISBLANK('Data Entry'!$Ĉ$968), "", 'Data Entry'!$Ĉ$968)</f>
      </c>
      <c r="GS968">
        <f>IF(ISBLANK('Data Entry'!$ĉ$968), "", 'Data Entry'!$ĉ$968)</f>
      </c>
      <c r="GT968">
        <f>IF(ISBLANK('Data Entry'!$Ċ$968), "", 'Data Entry'!$Ċ$968)</f>
      </c>
      <c r="GU968">
        <f>IF(ISBLANK('Data Entry'!$ċ$968), "", 'Data Entry'!$ċ$968)</f>
      </c>
      <c r="GV968">
        <f>IF(ISBLANK('Data Entry'!$Č$968), "", 'Data Entry'!$Č$968)</f>
      </c>
      <c r="GW968">
        <f>IF(ISBLANK('Data Entry'!$č$968), "", 'Data Entry'!$č$968)</f>
      </c>
      <c r="GX968">
        <f>IF(ISBLANK('Data Entry'!$Ď$968), "", 'Data Entry'!$Ď$968)</f>
      </c>
      <c r="GY968">
        <f>IF(ISBLANK('Data Entry'!$ď$968), "", 'Data Entry'!$ď$968)</f>
      </c>
      <c r="GZ968">
        <f>IF(ISBLANK('Data Entry'!$Đ$968), "", 'Data Entry'!$Đ$968)</f>
      </c>
      <c r="HA968">
        <f>IF(ISBLANK('Data Entry'!$đ$968), "", 'Data Entry'!$đ$968)</f>
      </c>
      <c r="HB968">
        <f>IF(ISBLANK('Data Entry'!$Ē$968), "", 'Data Entry'!$Ē$968)</f>
      </c>
      <c r="HC968">
        <f>IF(ISBLANK('Data Entry'!$ē$968), "", 'Data Entry'!$ē$968)</f>
      </c>
      <c r="HD968">
        <f>IF(ISBLANK('Data Entry'!$Ĕ$968), "", 'Data Entry'!$Ĕ$968)</f>
      </c>
      <c r="HE968">
        <f>IF(ISBLANK('Data Entry'!$ĕ$968), "", 'Data Entry'!$ĕ$968)</f>
      </c>
      <c r="HF968">
        <f>IF(ISBLANK('Data Entry'!$Ė$968), "", 'Data Entry'!$Ė$968)</f>
      </c>
      <c r="HG968">
        <f>IF(ISBLANK('Data Entry'!$ė$968), "", 'Data Entry'!$ė$968)</f>
      </c>
      <c r="HH968">
        <f>IF(ISBLANK('Data Entry'!$Ę$968), "", 'Data Entry'!$Ę$968)</f>
      </c>
      <c r="HI968">
        <f>IF(ISBLANK('Data Entry'!$ę$968), "", 'Data Entry'!$ę$968)</f>
      </c>
      <c r="HJ968">
        <f>IF(ISBLANK('Data Entry'!$Ě$968), "", 'Data Entry'!$Ě$968)</f>
      </c>
      <c r="HK968">
        <f>IF(ISBLANK('Data Entry'!$ě$968), "", 'Data Entry'!$ě$968)</f>
      </c>
      <c r="HL968">
        <f>IF(ISBLANK('Data Entry'!$Ĝ$968), "", 'Data Entry'!$Ĝ$968)</f>
      </c>
      <c r="HM968">
        <f>IF(ISBLANK('Data Entry'!$ĝ$968), "", 'Data Entry'!$ĝ$968)</f>
      </c>
      <c r="HN968">
        <f>IF(ISBLANK('Data Entry'!$Ğ$968), "", 'Data Entry'!$Ğ$968)</f>
      </c>
      <c r="HO968">
        <f>IF(ISBLANK('Data Entry'!$ğ$968), "", 'Data Entry'!$ğ$968)</f>
      </c>
      <c r="HP968">
        <f>IF(ISBLANK('Data Entry'!$Ġ$968), "", 'Data Entry'!$Ġ$968)</f>
      </c>
      <c r="HQ968">
        <f>IF(ISBLANK('Data Entry'!$ġ$968), "", 'Data Entry'!$ġ$968)</f>
      </c>
      <c r="HR968">
        <f>IF(ISBLANK('Data Entry'!$Ģ$968), "", 'Data Entry'!$Ģ$968)</f>
      </c>
      <c r="HS968">
        <f>IF(ISBLANK('Data Entry'!$ģ$968), "", 'Data Entry'!$ģ$968)</f>
      </c>
      <c r="HT968">
        <f>IF(ISBLANK('Data Entry'!$Ĥ$968), "", 'Data Entry'!$Ĥ$968)</f>
      </c>
      <c r="HU968">
        <f>IF(ISBLANK('Data Entry'!$ĥ$968), "", 'Data Entry'!$ĥ$968)</f>
      </c>
      <c r="HV968">
        <f>IF(ISBLANK('Data Entry'!$Ħ$968), "", 'Data Entry'!$Ħ$968)</f>
      </c>
      <c r="HW968">
        <f>IF(ISBLANK('Data Entry'!$ħ$968), "", 'Data Entry'!$ħ$968)</f>
      </c>
      <c r="HX968">
        <f>IF(ISBLANK('Data Entry'!$Ĩ$968), "", 'Data Entry'!$Ĩ$968)</f>
      </c>
      <c r="HY968">
        <f>IF(ISBLANK('Data Entry'!$ĩ$968), "", 'Data Entry'!$ĩ$968)</f>
      </c>
      <c r="HZ968">
        <f>IF(ISBLANK('Data Entry'!$Ī$968), "", 'Data Entry'!$Ī$968)</f>
      </c>
      <c r="IA968">
        <f>IF(ISBLANK('Data Entry'!$ī$968), "", 'Data Entry'!$ī$968)</f>
      </c>
      <c r="IB968">
        <f>IF(ISBLANK('Data Entry'!$Ĭ$968), "", 'Data Entry'!$Ĭ$968)</f>
      </c>
      <c r="IC968">
        <f>IF(ISBLANK('Data Entry'!$ĭ$968), "", 'Data Entry'!$ĭ$968)</f>
      </c>
      <c r="ID968">
        <f>IF(ISBLANK('Data Entry'!$Į$968), "", 'Data Entry'!$Į$968)</f>
      </c>
      <c r="IE968">
        <f>IF(ISBLANK('Data Entry'!$į$968), "", 'Data Entry'!$į$968)</f>
      </c>
      <c r="IF968">
        <f>IF(ISBLANK('Data Entry'!$İ$968), "", 'Data Entry'!$İ$968)</f>
      </c>
      <c r="IG968">
        <f>IF(ISBLANK('Data Entry'!$ı$968), "", 'Data Entry'!$ı$968)</f>
      </c>
      <c r="IH968">
        <f>IF(ISBLANK('Data Entry'!$Ĳ$968), "", 'Data Entry'!$Ĳ$968)</f>
      </c>
      <c r="II968">
        <f>IF(ISBLANK('Data Entry'!$ĳ$968), "", 'Data Entry'!$ĳ$968)</f>
      </c>
      <c r="IJ968">
        <f>IF(ISBLANK('Data Entry'!$Ĵ$968), "", 'Data Entry'!$Ĵ$968)</f>
      </c>
      <c r="IK968">
        <f>IF(ISBLANK('Data Entry'!$ĵ$968), "", 'Data Entry'!$ĵ$968)</f>
      </c>
      <c r="IL968">
        <f>IF(ISBLANK('Data Entry'!$Ķ$968), "", 'Data Entry'!$Ķ$968)</f>
      </c>
      <c r="IM968">
        <f>IF(ISBLANK('Data Entry'!$ķ$968), "", 'Data Entry'!$ķ$968)</f>
      </c>
      <c r="IN968">
        <f>IF(ISBLANK('Data Entry'!$ĸ$968), "", 'Data Entry'!$ĸ$968)</f>
      </c>
      <c r="IO968">
        <f>IF(ISBLANK('Data Entry'!$Ĺ$968), "", 'Data Entry'!$Ĺ$968)</f>
      </c>
      <c r="IP968">
        <f>IF(ISBLANK('Data Entry'!$ĺ$968), "", 'Data Entry'!$ĺ$968)</f>
      </c>
      <c r="IQ968">
        <f>IF(ISBLANK('Data Entry'!$Ļ$968), "", 'Data Entry'!$Ļ$968)</f>
      </c>
      <c r="IR968">
        <f>IF(ISBLANK('Data Entry'!$ļ$968), "", 'Data Entry'!$ļ$968)</f>
      </c>
      <c r="IS968">
        <f>IF(ISBLANK('Data Entry'!$Ľ$968), "", 'Data Entry'!$Ľ$968)</f>
      </c>
      <c r="IT968">
        <f>IF(ISBLANK('Data Entry'!$ľ$968), "", 'Data Entry'!$ľ$968)</f>
      </c>
    </row>
    <row r="969" spans="1:254" x14ac:dyDescent="0.25">
      <c r="A969">
        <f>IF(ISBLANK('Data Entry'!$A$969), "", 'Data Entry'!$A$969)</f>
      </c>
      <c r="B969">
        <f>IF(ISBLANK('Data Entry'!$B$969), "", 'Data Entry'!$B$969)</f>
      </c>
      <c r="C969">
        <f>IF(ISBLANK('Data Entry'!$C$969), "", 'Data Entry'!$C$969)</f>
      </c>
      <c r="D969">
        <f>IF(ISBLANK('Data Entry'!$D$969), "", 'Data Entry'!$D$969)</f>
      </c>
      <c r="E969">
        <f>IF(ISBLANK('Data Entry'!$E$969), "", 'Data Entry'!$E$969)</f>
      </c>
      <c r="F969">
        <f>IF(ISBLANK('Data Entry'!$F$969), "", 'Data Entry'!$F$969)</f>
      </c>
      <c r="G969">
        <f>IF(ISBLANK('Data Entry'!$G$969), "", 'Data Entry'!$G$969)</f>
      </c>
      <c r="H969">
        <f>IF(ISBLANK('Data Entry'!$H$969), "", 'Data Entry'!$H$969)</f>
      </c>
      <c r="I969">
        <f>IF(ISBLANK('Data Entry'!$I$969), "", 'Data Entry'!$I$969)</f>
      </c>
      <c r="J969">
        <f>IF(ISBLANK('Data Entry'!$J$969), "", 'Data Entry'!$J$969)</f>
      </c>
      <c r="K969">
        <f>IF(ISBLANK('Data Entry'!$K$969), "", 'Data Entry'!$K$969)</f>
      </c>
      <c r="L969">
        <f>IF(ISBLANK('Data Entry'!$L$969), "", 'Data Entry'!$L$969)</f>
      </c>
      <c r="M969">
        <f>IF(ISBLANK('Data Entry'!$M$969), "", 'Data Entry'!$M$969)</f>
      </c>
      <c r="N969">
        <f>IF(ISBLANK('Data Entry'!$N$969), "", 'Data Entry'!$N$969)</f>
      </c>
      <c r="O969">
        <f>IF(ISBLANK('Data Entry'!$O$969), "", 'Data Entry'!$O$969)</f>
      </c>
      <c r="P969">
        <f>IF(ISBLANK('Data Entry'!$P$969), "", 'Data Entry'!$P$969)</f>
      </c>
      <c r="Q969">
        <f>IF(ISBLANK('Data Entry'!$Q$969), "", 'Data Entry'!$Q$969)</f>
      </c>
      <c r="R969">
        <f>IF(ISBLANK('Data Entry'!$R$969), "", 'Data Entry'!$R$969)</f>
      </c>
      <c r="S969">
        <f>IF(ISBLANK('Data Entry'!$S$969), "", 'Data Entry'!$S$969)</f>
      </c>
      <c r="T969">
        <f>IF(ISBLANK('Data Entry'!$T$969), "", 'Data Entry'!$T$969)</f>
      </c>
      <c r="U969">
        <f>IF(ISBLANK('Data Entry'!$U$969), "", 'Data Entry'!$U$969)</f>
      </c>
      <c r="V969">
        <f>IF(ISBLANK('Data Entry'!$V$969), "", 'Data Entry'!$V$969)</f>
      </c>
      <c r="W969">
        <f>IF(ISBLANK('Data Entry'!$W$969), "", 'Data Entry'!$W$969)</f>
      </c>
      <c r="X969">
        <f>IF(ISBLANK('Data Entry'!$X$969), "", 'Data Entry'!$X$969)</f>
      </c>
      <c r="Y969">
        <f>IF(ISBLANK('Data Entry'!$Y$969), "", 'Data Entry'!$Y$969)</f>
      </c>
      <c r="Z969">
        <f>IF(ISBLANK('Data Entry'!$Z$969), "", 'Data Entry'!$Z$969)</f>
      </c>
      <c r="AA969">
        <f>IF(ISBLANK('Data Entry'!$[$969), "", 'Data Entry'!$[$969)</f>
      </c>
      <c r="AB969">
        <f>IF(ISBLANK('Data Entry'!$\$969), "", 'Data Entry'!$\$969)</f>
      </c>
      <c r="AC969">
        <f>IF(ISBLANK('Data Entry'!$]$969), "", 'Data Entry'!$]$969)</f>
      </c>
      <c r="AD969">
        <f>IF(ISBLANK('Data Entry'!$^$969), "", 'Data Entry'!$^$969)</f>
      </c>
      <c r="AE969">
        <f>IF(ISBLANK('Data Entry'!$_$969), "", 'Data Entry'!$_$969)</f>
      </c>
      <c r="AF969">
        <f>IF(ISBLANK('Data Entry'!$`$969), "", 'Data Entry'!$`$969)</f>
      </c>
      <c r="AG969">
        <f>IF(ISBLANK('Data Entry'!$a$969), "", 'Data Entry'!$a$969)</f>
      </c>
      <c r="AH969">
        <f>IF(ISBLANK('Data Entry'!$b$969), "", 'Data Entry'!$b$969)</f>
      </c>
      <c r="AI969">
        <f>IF(ISBLANK('Data Entry'!$c$969), "", 'Data Entry'!$c$969)</f>
      </c>
      <c r="AJ969">
        <f>IF(ISBLANK('Data Entry'!$d$969), "", 'Data Entry'!$d$969)</f>
      </c>
      <c r="AK969">
        <f>IF(ISBLANK('Data Entry'!$e$969), "", 'Data Entry'!$e$969)</f>
      </c>
      <c r="AL969">
        <f>IF(ISBLANK('Data Entry'!$f$969), "", 'Data Entry'!$f$969)</f>
      </c>
      <c r="AM969">
        <f>IF(ISBLANK('Data Entry'!$g$969), "", 'Data Entry'!$g$969)</f>
      </c>
      <c r="AN969">
        <f>IF(ISBLANK('Data Entry'!$h$969), "", 'Data Entry'!$h$969)</f>
      </c>
      <c r="AO969">
        <f>IF(ISBLANK('Data Entry'!$i$969), "", 'Data Entry'!$i$969)</f>
      </c>
      <c r="AP969">
        <f>IF(ISBLANK('Data Entry'!$j$969), "", 'Data Entry'!$j$969)</f>
      </c>
      <c r="AQ969">
        <f>IF(ISBLANK('Data Entry'!$k$969), "", 'Data Entry'!$k$969)</f>
      </c>
      <c r="AR969">
        <f>IF(ISBLANK('Data Entry'!$l$969), "", 'Data Entry'!$l$969)</f>
      </c>
      <c r="AS969">
        <f>IF(ISBLANK('Data Entry'!$m$969), "", 'Data Entry'!$m$969)</f>
      </c>
      <c r="AT969">
        <f>IF(ISBLANK('Data Entry'!$n$969), "", 'Data Entry'!$n$969)</f>
      </c>
      <c r="AU969">
        <f>IF(ISBLANK('Data Entry'!$o$969), "", 'Data Entry'!$o$969)</f>
      </c>
      <c r="AV969">
        <f>IF(ISBLANK('Data Entry'!$p$969), "", 'Data Entry'!$p$969)</f>
      </c>
      <c r="AW969">
        <f>IF(ISBLANK('Data Entry'!$q$969), "", 'Data Entry'!$q$969)</f>
      </c>
      <c r="AX969">
        <f>IF(ISBLANK('Data Entry'!$r$969), "", 'Data Entry'!$r$969)</f>
      </c>
      <c r="AY969">
        <f>IF(ISBLANK('Data Entry'!$s$969), "", 'Data Entry'!$s$969)</f>
      </c>
      <c r="AZ969">
        <f>IF(ISBLANK('Data Entry'!$t$969), "", 'Data Entry'!$t$969)</f>
      </c>
      <c r="BA969">
        <f>IF(ISBLANK('Data Entry'!$u$969), "", 'Data Entry'!$u$969)</f>
      </c>
      <c r="BB969">
        <f>IF(ISBLANK('Data Entry'!$v$969), "", 'Data Entry'!$v$969)</f>
      </c>
      <c r="BC969">
        <f>IF(ISBLANK('Data Entry'!$w$969), "", 'Data Entry'!$w$969)</f>
      </c>
      <c r="BD969">
        <f>IF(ISBLANK('Data Entry'!$x$969), "", 'Data Entry'!$x$969)</f>
      </c>
      <c r="BE969">
        <f>IF(ISBLANK('Data Entry'!$y$969), "", 'Data Entry'!$y$969)</f>
      </c>
      <c r="BF969">
        <f>IF(ISBLANK('Data Entry'!$z$969), "", 'Data Entry'!$z$969)</f>
      </c>
      <c r="BG969">
        <f>IF(ISBLANK('Data Entry'!${$969), "", 'Data Entry'!${$969)</f>
      </c>
      <c r="BH969">
        <f>IF(ISBLANK('Data Entry'!$|$969), "", 'Data Entry'!$|$969)</f>
      </c>
      <c r="BI969">
        <f>IF(ISBLANK('Data Entry'!$}$969), "", 'Data Entry'!$}$969)</f>
      </c>
      <c r="BJ969">
        <f>IF(ISBLANK('Data Entry'!$~$969), "", 'Data Entry'!$~$969)</f>
      </c>
      <c r="BK969">
        <f>IF(ISBLANK('Data Entry'!$$969), "", 'Data Entry'!$$969)</f>
      </c>
      <c r="BL969">
        <f>IF(ISBLANK('Data Entry'!$$969), "", 'Data Entry'!$$969)</f>
      </c>
      <c r="BM969">
        <f>IF(ISBLANK('Data Entry'!$$969), "", 'Data Entry'!$$969)</f>
      </c>
      <c r="BN969">
        <f>IF(ISBLANK('Data Entry'!$$969), "", 'Data Entry'!$$969)</f>
      </c>
      <c r="BO969">
        <f>IF(ISBLANK('Data Entry'!$$969), "", 'Data Entry'!$$969)</f>
      </c>
      <c r="BP969">
        <f>IF(ISBLANK('Data Entry'!$$969), "", 'Data Entry'!$$969)</f>
      </c>
      <c r="BQ969">
        <f>IF(ISBLANK('Data Entry'!$$969), "", 'Data Entry'!$$969)</f>
      </c>
      <c r="BR969">
        <f>IF(ISBLANK('Data Entry'!$$969), "", 'Data Entry'!$$969)</f>
      </c>
      <c r="BS969">
        <f>IF(ISBLANK('Data Entry'!$$969), "", 'Data Entry'!$$969)</f>
      </c>
      <c r="BT969">
        <f>IF(ISBLANK('Data Entry'!$$969), "", 'Data Entry'!$$969)</f>
      </c>
      <c r="BU969">
        <f>IF(ISBLANK('Data Entry'!$$969), "", 'Data Entry'!$$969)</f>
      </c>
      <c r="BV969">
        <f>IF(ISBLANK('Data Entry'!$$969), "", 'Data Entry'!$$969)</f>
      </c>
      <c r="BW969">
        <f>IF(ISBLANK('Data Entry'!$$969), "", 'Data Entry'!$$969)</f>
      </c>
      <c r="BX969">
        <f>IF(ISBLANK('Data Entry'!$$969), "", 'Data Entry'!$$969)</f>
      </c>
      <c r="BY969">
        <f>IF(ISBLANK('Data Entry'!$$969), "", 'Data Entry'!$$969)</f>
      </c>
      <c r="BZ969">
        <f>IF(ISBLANK('Data Entry'!$$969), "", 'Data Entry'!$$969)</f>
      </c>
      <c r="CA969">
        <f>IF(ISBLANK('Data Entry'!$$969), "", 'Data Entry'!$$969)</f>
      </c>
      <c r="CB969">
        <f>IF(ISBLANK('Data Entry'!$$969), "", 'Data Entry'!$$969)</f>
      </c>
      <c r="CC969">
        <f>IF(ISBLANK('Data Entry'!$$969), "", 'Data Entry'!$$969)</f>
      </c>
      <c r="CD969">
        <f>IF(ISBLANK('Data Entry'!$$969), "", 'Data Entry'!$$969)</f>
      </c>
      <c r="CE969">
        <f>IF(ISBLANK('Data Entry'!$$969), "", 'Data Entry'!$$969)</f>
      </c>
      <c r="CF969">
        <f>IF(ISBLANK('Data Entry'!$$969), "", 'Data Entry'!$$969)</f>
      </c>
      <c r="CG969">
        <f>IF(ISBLANK('Data Entry'!$$969), "", 'Data Entry'!$$969)</f>
      </c>
      <c r="CH969">
        <f>IF(ISBLANK('Data Entry'!$$969), "", 'Data Entry'!$$969)</f>
      </c>
      <c r="CI969">
        <f>IF(ISBLANK('Data Entry'!$$969), "", 'Data Entry'!$$969)</f>
      </c>
      <c r="CJ969">
        <f>IF(ISBLANK('Data Entry'!$$969), "", 'Data Entry'!$$969)</f>
      </c>
      <c r="CK969">
        <f>IF(ISBLANK('Data Entry'!$$969), "", 'Data Entry'!$$969)</f>
      </c>
      <c r="CL969">
        <f>IF(ISBLANK('Data Entry'!$$969), "", 'Data Entry'!$$969)</f>
      </c>
      <c r="CM969">
        <f>IF(ISBLANK('Data Entry'!$$969), "", 'Data Entry'!$$969)</f>
      </c>
      <c r="CN969">
        <f>IF(ISBLANK('Data Entry'!$$969), "", 'Data Entry'!$$969)</f>
      </c>
      <c r="CO969">
        <f>IF(ISBLANK('Data Entry'!$$969), "", 'Data Entry'!$$969)</f>
      </c>
      <c r="CP969">
        <f>IF(ISBLANK('Data Entry'!$$969), "", 'Data Entry'!$$969)</f>
      </c>
      <c r="CQ969">
        <f>IF(ISBLANK('Data Entry'!$$969), "", 'Data Entry'!$$969)</f>
      </c>
      <c r="CR969">
        <f>IF(ISBLANK('Data Entry'!$ $969), "", 'Data Entry'!$ $969)</f>
      </c>
      <c r="CS969">
        <f>IF(ISBLANK('Data Entry'!$¡$969), "", 'Data Entry'!$¡$969)</f>
      </c>
      <c r="CT969">
        <f>IF(ISBLANK('Data Entry'!$¢$969), "", 'Data Entry'!$¢$969)</f>
      </c>
      <c r="CU969">
        <f>IF(ISBLANK('Data Entry'!$£$969), "", 'Data Entry'!$£$969)</f>
      </c>
      <c r="CV969">
        <f>IF(ISBLANK('Data Entry'!$¤$969), "", 'Data Entry'!$¤$969)</f>
      </c>
      <c r="CW969">
        <f>IF(ISBLANK('Data Entry'!$¥$969), "", 'Data Entry'!$¥$969)</f>
      </c>
      <c r="CX969">
        <f>IF(ISBLANK('Data Entry'!$¦$969), "", 'Data Entry'!$¦$969)</f>
      </c>
      <c r="CY969">
        <f>IF(ISBLANK('Data Entry'!$§$969), "", 'Data Entry'!$§$969)</f>
      </c>
      <c r="CZ969">
        <f>IF(ISBLANK('Data Entry'!$¨$969), "", 'Data Entry'!$¨$969)</f>
      </c>
      <c r="DA969">
        <f>IF(ISBLANK('Data Entry'!$©$969), "", 'Data Entry'!$©$969)</f>
      </c>
      <c r="DB969">
        <f>IF(ISBLANK('Data Entry'!$ª$969), "", 'Data Entry'!$ª$969)</f>
      </c>
      <c r="DC969">
        <f>IF(ISBLANK('Data Entry'!$«$969), "", 'Data Entry'!$«$969)</f>
      </c>
      <c r="DD969">
        <f>IF(ISBLANK('Data Entry'!$¬$969), "", 'Data Entry'!$¬$969)</f>
      </c>
      <c r="DE969">
        <f>IF(ISBLANK('Data Entry'!$­$969), "", 'Data Entry'!$­$969)</f>
      </c>
      <c r="DF969">
        <f>IF(ISBLANK('Data Entry'!$®$969), "", 'Data Entry'!$®$969)</f>
      </c>
      <c r="DG969">
        <f>IF(ISBLANK('Data Entry'!$¯$969), "", 'Data Entry'!$¯$969)</f>
      </c>
      <c r="DH969">
        <f>IF(ISBLANK('Data Entry'!$°$969), "", 'Data Entry'!$°$969)</f>
      </c>
      <c r="DI969">
        <f>IF(ISBLANK('Data Entry'!$±$969), "", 'Data Entry'!$±$969)</f>
      </c>
      <c r="DJ969">
        <f>IF(ISBLANK('Data Entry'!$²$969), "", 'Data Entry'!$²$969)</f>
      </c>
      <c r="DK969">
        <f>IF(ISBLANK('Data Entry'!$³$969), "", 'Data Entry'!$³$969)</f>
      </c>
      <c r="DL969">
        <f>IF(ISBLANK('Data Entry'!$´$969), "", 'Data Entry'!$´$969)</f>
      </c>
      <c r="DM969">
        <f>IF(ISBLANK('Data Entry'!$µ$969), "", 'Data Entry'!$µ$969)</f>
      </c>
      <c r="DN969">
        <f>IF(ISBLANK('Data Entry'!$¶$969), "", 'Data Entry'!$¶$969)</f>
      </c>
      <c r="DO969">
        <f>IF(ISBLANK('Data Entry'!$·$969), "", 'Data Entry'!$·$969)</f>
      </c>
      <c r="DP969">
        <f>IF(ISBLANK('Data Entry'!$¸$969), "", 'Data Entry'!$¸$969)</f>
      </c>
      <c r="DQ969">
        <f>IF(ISBLANK('Data Entry'!$¹$969), "", 'Data Entry'!$¹$969)</f>
      </c>
      <c r="DR969">
        <f>IF(ISBLANK('Data Entry'!$º$969), "", 'Data Entry'!$º$969)</f>
      </c>
      <c r="DS969">
        <f>IF(ISBLANK('Data Entry'!$»$969), "", 'Data Entry'!$»$969)</f>
      </c>
      <c r="DT969">
        <f>IF(ISBLANK('Data Entry'!$¼$969), "", 'Data Entry'!$¼$969)</f>
      </c>
      <c r="DU969">
        <f>IF(ISBLANK('Data Entry'!$½$969), "", 'Data Entry'!$½$969)</f>
      </c>
      <c r="DV969">
        <f>IF(ISBLANK('Data Entry'!$¾$969), "", 'Data Entry'!$¾$969)</f>
      </c>
      <c r="DW969">
        <f>IF(ISBLANK('Data Entry'!$¿$969), "", 'Data Entry'!$¿$969)</f>
      </c>
      <c r="DX969">
        <f>IF(ISBLANK('Data Entry'!$À$969), "", 'Data Entry'!$À$969)</f>
      </c>
      <c r="DY969">
        <f>IF(ISBLANK('Data Entry'!$Á$969), "", 'Data Entry'!$Á$969)</f>
      </c>
      <c r="DZ969">
        <f>IF(ISBLANK('Data Entry'!$Â$969), "", 'Data Entry'!$Â$969)</f>
      </c>
      <c r="EA969">
        <f>IF(ISBLANK('Data Entry'!$Ã$969), "", 'Data Entry'!$Ã$969)</f>
      </c>
      <c r="EB969">
        <f>IF(ISBLANK('Data Entry'!$Ä$969), "", 'Data Entry'!$Ä$969)</f>
      </c>
      <c r="EC969">
        <f>IF(ISBLANK('Data Entry'!$Å$969), "", 'Data Entry'!$Å$969)</f>
      </c>
      <c r="ED969">
        <f>IF(ISBLANK('Data Entry'!$Æ$969), "", 'Data Entry'!$Æ$969)</f>
      </c>
      <c r="EE969">
        <f>IF(ISBLANK('Data Entry'!$Ç$969), "", 'Data Entry'!$Ç$969)</f>
      </c>
      <c r="EF969">
        <f>IF(ISBLANK('Data Entry'!$È$969), "", 'Data Entry'!$È$969)</f>
      </c>
      <c r="EG969">
        <f>IF(ISBLANK('Data Entry'!$É$969), "", 'Data Entry'!$É$969)</f>
      </c>
      <c r="EH969">
        <f>IF(ISBLANK('Data Entry'!$Ê$969), "", 'Data Entry'!$Ê$969)</f>
      </c>
      <c r="EI969">
        <f>IF(ISBLANK('Data Entry'!$Ë$969), "", 'Data Entry'!$Ë$969)</f>
      </c>
      <c r="EJ969">
        <f>IF(ISBLANK('Data Entry'!$Ì$969), "", 'Data Entry'!$Ì$969)</f>
      </c>
      <c r="EK969">
        <f>IF(ISBLANK('Data Entry'!$Í$969), "", 'Data Entry'!$Í$969)</f>
      </c>
      <c r="EL969">
        <f>IF(ISBLANK('Data Entry'!$Î$969), "", 'Data Entry'!$Î$969)</f>
      </c>
      <c r="EM969">
        <f>IF(ISBLANK('Data Entry'!$Ï$969), "", 'Data Entry'!$Ï$969)</f>
      </c>
      <c r="EN969">
        <f>IF(ISBLANK('Data Entry'!$Ð$969), "", 'Data Entry'!$Ð$969)</f>
      </c>
      <c r="EO969">
        <f>IF(ISBLANK('Data Entry'!$Ñ$969), "", 'Data Entry'!$Ñ$969)</f>
      </c>
      <c r="EP969">
        <f>IF(ISBLANK('Data Entry'!$Ò$969), "", 'Data Entry'!$Ò$969)</f>
      </c>
      <c r="EQ969">
        <f>IF(ISBLANK('Data Entry'!$Ó$969), "", 'Data Entry'!$Ó$969)</f>
      </c>
      <c r="ER969">
        <f>IF(ISBLANK('Data Entry'!$Ô$969), "", 'Data Entry'!$Ô$969)</f>
      </c>
      <c r="ES969">
        <f>IF(ISBLANK('Data Entry'!$Õ$969), "", 'Data Entry'!$Õ$969)</f>
      </c>
      <c r="ET969">
        <f>IF(ISBLANK('Data Entry'!$Ö$969), "", 'Data Entry'!$Ö$969)</f>
      </c>
      <c r="EU969">
        <f>IF(ISBLANK('Data Entry'!$×$969), "", 'Data Entry'!$×$969)</f>
      </c>
      <c r="EV969">
        <f>IF(ISBLANK('Data Entry'!$Ø$969), "", 'Data Entry'!$Ø$969)</f>
      </c>
      <c r="EW969">
        <f>IF(ISBLANK('Data Entry'!$Ù$969), "", 'Data Entry'!$Ù$969)</f>
      </c>
      <c r="EX969">
        <f>IF(ISBLANK('Data Entry'!$Ú$969), "", 'Data Entry'!$Ú$969)</f>
      </c>
      <c r="EY969">
        <f>IF(ISBLANK('Data Entry'!$Û$969), "", 'Data Entry'!$Û$969)</f>
      </c>
      <c r="EZ969">
        <f>IF(ISBLANK('Data Entry'!$Ü$969), "", 'Data Entry'!$Ü$969)</f>
      </c>
      <c r="FA969">
        <f>IF(ISBLANK('Data Entry'!$Ý$969), "", 'Data Entry'!$Ý$969)</f>
      </c>
      <c r="FB969">
        <f>IF(ISBLANK('Data Entry'!$Þ$969), "", 'Data Entry'!$Þ$969)</f>
      </c>
      <c r="FC969">
        <f>IF(ISBLANK('Data Entry'!$ß$969), "", 'Data Entry'!$ß$969)</f>
      </c>
      <c r="FD969">
        <f>IF(ISBLANK('Data Entry'!$à$969), "", 'Data Entry'!$à$969)</f>
      </c>
      <c r="FE969">
        <f>IF(ISBLANK('Data Entry'!$á$969), "", 'Data Entry'!$á$969)</f>
      </c>
      <c r="FF969">
        <f>IF(ISBLANK('Data Entry'!$â$969), "", 'Data Entry'!$â$969)</f>
      </c>
      <c r="FG969">
        <f>IF(ISBLANK('Data Entry'!$ã$969), "", 'Data Entry'!$ã$969)</f>
      </c>
      <c r="FH969">
        <f>IF(ISBLANK('Data Entry'!$ä$969), "", 'Data Entry'!$ä$969)</f>
      </c>
      <c r="FI969">
        <f>IF(ISBLANK('Data Entry'!$å$969), "", 'Data Entry'!$å$969)</f>
      </c>
      <c r="FJ969">
        <f>IF(ISBLANK('Data Entry'!$æ$969), "", 'Data Entry'!$æ$969)</f>
      </c>
      <c r="FK969">
        <f>IF(ISBLANK('Data Entry'!$ç$969), "", 'Data Entry'!$ç$969)</f>
      </c>
      <c r="FL969">
        <f>IF(ISBLANK('Data Entry'!$è$969), "", 'Data Entry'!$è$969)</f>
      </c>
      <c r="FM969">
        <f>IF(ISBLANK('Data Entry'!$é$969), "", 'Data Entry'!$é$969)</f>
      </c>
      <c r="FN969">
        <f>IF(ISBLANK('Data Entry'!$ê$969), "", 'Data Entry'!$ê$969)</f>
      </c>
      <c r="FO969">
        <f>IF(ISBLANK('Data Entry'!$ë$969), "", 'Data Entry'!$ë$969)</f>
      </c>
      <c r="FP969">
        <f>IF(ISBLANK('Data Entry'!$ì$969), "", 'Data Entry'!$ì$969)</f>
      </c>
      <c r="FQ969">
        <f>IF(ISBLANK('Data Entry'!$í$969), "", 'Data Entry'!$í$969)</f>
      </c>
      <c r="FR969">
        <f>IF(ISBLANK('Data Entry'!$î$969), "", 'Data Entry'!$î$969)</f>
      </c>
      <c r="FS969">
        <f>IF(ISBLANK('Data Entry'!$ï$969), "", 'Data Entry'!$ï$969)</f>
      </c>
      <c r="FT969">
        <f>IF(ISBLANK('Data Entry'!$ð$969), "", 'Data Entry'!$ð$969)</f>
      </c>
      <c r="FU969">
        <f>IF(ISBLANK('Data Entry'!$ñ$969), "", 'Data Entry'!$ñ$969)</f>
      </c>
      <c r="FV969">
        <f>IF(ISBLANK('Data Entry'!$ò$969), "", 'Data Entry'!$ò$969)</f>
      </c>
      <c r="FW969">
        <f>IF(ISBLANK('Data Entry'!$ó$969), "", 'Data Entry'!$ó$969)</f>
      </c>
      <c r="FX969">
        <f>IF(ISBLANK('Data Entry'!$ô$969), "", 'Data Entry'!$ô$969)</f>
      </c>
      <c r="FY969">
        <f>IF(ISBLANK('Data Entry'!$õ$969), "", 'Data Entry'!$õ$969)</f>
      </c>
      <c r="FZ969">
        <f>IF(ISBLANK('Data Entry'!$ö$969), "", 'Data Entry'!$ö$969)</f>
      </c>
      <c r="GA969">
        <f>IF(ISBLANK('Data Entry'!$÷$969), "", 'Data Entry'!$÷$969)</f>
      </c>
      <c r="GB969">
        <f>IF(ISBLANK('Data Entry'!$ø$969), "", 'Data Entry'!$ø$969)</f>
      </c>
      <c r="GC969">
        <f>IF(ISBLANK('Data Entry'!$ù$969), "", 'Data Entry'!$ù$969)</f>
      </c>
      <c r="GD969">
        <f>IF(ISBLANK('Data Entry'!$ú$969), "", 'Data Entry'!$ú$969)</f>
      </c>
      <c r="GE969">
        <f>IF(ISBLANK('Data Entry'!$û$969), "", 'Data Entry'!$û$969)</f>
      </c>
      <c r="GF969">
        <f>IF(ISBLANK('Data Entry'!$ü$969), "", 'Data Entry'!$ü$969)</f>
      </c>
      <c r="GG969">
        <f>IF(ISBLANK('Data Entry'!$ý$969), "", 'Data Entry'!$ý$969)</f>
      </c>
      <c r="GH969">
        <f>IF(ISBLANK('Data Entry'!$þ$969), "", 'Data Entry'!$þ$969)</f>
      </c>
      <c r="GI969">
        <f>IF(ISBLANK('Data Entry'!$ÿ$969), "", 'Data Entry'!$ÿ$969)</f>
      </c>
      <c r="GJ969">
        <f>IF(ISBLANK('Data Entry'!$Ā$969), "", 'Data Entry'!$Ā$969)</f>
      </c>
      <c r="GK969">
        <f>IF(ISBLANK('Data Entry'!$ā$969), "", 'Data Entry'!$ā$969)</f>
      </c>
      <c r="GL969">
        <f>IF(ISBLANK('Data Entry'!$Ă$969), "", 'Data Entry'!$Ă$969)</f>
      </c>
      <c r="GM969">
        <f>IF(ISBLANK('Data Entry'!$ă$969), "", 'Data Entry'!$ă$969)</f>
      </c>
      <c r="GN969">
        <f>IF(ISBLANK('Data Entry'!$Ą$969), "", 'Data Entry'!$Ą$969)</f>
      </c>
      <c r="GO969">
        <f>IF(ISBLANK('Data Entry'!$ą$969), "", 'Data Entry'!$ą$969)</f>
      </c>
      <c r="GP969">
        <f>IF(ISBLANK('Data Entry'!$Ć$969), "", 'Data Entry'!$Ć$969)</f>
      </c>
      <c r="GQ969">
        <f>IF(ISBLANK('Data Entry'!$ć$969), "", 'Data Entry'!$ć$969)</f>
      </c>
      <c r="GR969">
        <f>IF(ISBLANK('Data Entry'!$Ĉ$969), "", 'Data Entry'!$Ĉ$969)</f>
      </c>
      <c r="GS969">
        <f>IF(ISBLANK('Data Entry'!$ĉ$969), "", 'Data Entry'!$ĉ$969)</f>
      </c>
      <c r="GT969">
        <f>IF(ISBLANK('Data Entry'!$Ċ$969), "", 'Data Entry'!$Ċ$969)</f>
      </c>
      <c r="GU969">
        <f>IF(ISBLANK('Data Entry'!$ċ$969), "", 'Data Entry'!$ċ$969)</f>
      </c>
      <c r="GV969">
        <f>IF(ISBLANK('Data Entry'!$Č$969), "", 'Data Entry'!$Č$969)</f>
      </c>
      <c r="GW969">
        <f>IF(ISBLANK('Data Entry'!$č$969), "", 'Data Entry'!$č$969)</f>
      </c>
      <c r="GX969">
        <f>IF(ISBLANK('Data Entry'!$Ď$969), "", 'Data Entry'!$Ď$969)</f>
      </c>
      <c r="GY969">
        <f>IF(ISBLANK('Data Entry'!$ď$969), "", 'Data Entry'!$ď$969)</f>
      </c>
      <c r="GZ969">
        <f>IF(ISBLANK('Data Entry'!$Đ$969), "", 'Data Entry'!$Đ$969)</f>
      </c>
      <c r="HA969">
        <f>IF(ISBLANK('Data Entry'!$đ$969), "", 'Data Entry'!$đ$969)</f>
      </c>
      <c r="HB969">
        <f>IF(ISBLANK('Data Entry'!$Ē$969), "", 'Data Entry'!$Ē$969)</f>
      </c>
      <c r="HC969">
        <f>IF(ISBLANK('Data Entry'!$ē$969), "", 'Data Entry'!$ē$969)</f>
      </c>
      <c r="HD969">
        <f>IF(ISBLANK('Data Entry'!$Ĕ$969), "", 'Data Entry'!$Ĕ$969)</f>
      </c>
      <c r="HE969">
        <f>IF(ISBLANK('Data Entry'!$ĕ$969), "", 'Data Entry'!$ĕ$969)</f>
      </c>
      <c r="HF969">
        <f>IF(ISBLANK('Data Entry'!$Ė$969), "", 'Data Entry'!$Ė$969)</f>
      </c>
      <c r="HG969">
        <f>IF(ISBLANK('Data Entry'!$ė$969), "", 'Data Entry'!$ė$969)</f>
      </c>
      <c r="HH969">
        <f>IF(ISBLANK('Data Entry'!$Ę$969), "", 'Data Entry'!$Ę$969)</f>
      </c>
      <c r="HI969">
        <f>IF(ISBLANK('Data Entry'!$ę$969), "", 'Data Entry'!$ę$969)</f>
      </c>
      <c r="HJ969">
        <f>IF(ISBLANK('Data Entry'!$Ě$969), "", 'Data Entry'!$Ě$969)</f>
      </c>
      <c r="HK969">
        <f>IF(ISBLANK('Data Entry'!$ě$969), "", 'Data Entry'!$ě$969)</f>
      </c>
      <c r="HL969">
        <f>IF(ISBLANK('Data Entry'!$Ĝ$969), "", 'Data Entry'!$Ĝ$969)</f>
      </c>
      <c r="HM969">
        <f>IF(ISBLANK('Data Entry'!$ĝ$969), "", 'Data Entry'!$ĝ$969)</f>
      </c>
      <c r="HN969">
        <f>IF(ISBLANK('Data Entry'!$Ğ$969), "", 'Data Entry'!$Ğ$969)</f>
      </c>
      <c r="HO969">
        <f>IF(ISBLANK('Data Entry'!$ğ$969), "", 'Data Entry'!$ğ$969)</f>
      </c>
      <c r="HP969">
        <f>IF(ISBLANK('Data Entry'!$Ġ$969), "", 'Data Entry'!$Ġ$969)</f>
      </c>
      <c r="HQ969">
        <f>IF(ISBLANK('Data Entry'!$ġ$969), "", 'Data Entry'!$ġ$969)</f>
      </c>
      <c r="HR969">
        <f>IF(ISBLANK('Data Entry'!$Ģ$969), "", 'Data Entry'!$Ģ$969)</f>
      </c>
      <c r="HS969">
        <f>IF(ISBLANK('Data Entry'!$ģ$969), "", 'Data Entry'!$ģ$969)</f>
      </c>
      <c r="HT969">
        <f>IF(ISBLANK('Data Entry'!$Ĥ$969), "", 'Data Entry'!$Ĥ$969)</f>
      </c>
      <c r="HU969">
        <f>IF(ISBLANK('Data Entry'!$ĥ$969), "", 'Data Entry'!$ĥ$969)</f>
      </c>
      <c r="HV969">
        <f>IF(ISBLANK('Data Entry'!$Ħ$969), "", 'Data Entry'!$Ħ$969)</f>
      </c>
      <c r="HW969">
        <f>IF(ISBLANK('Data Entry'!$ħ$969), "", 'Data Entry'!$ħ$969)</f>
      </c>
      <c r="HX969">
        <f>IF(ISBLANK('Data Entry'!$Ĩ$969), "", 'Data Entry'!$Ĩ$969)</f>
      </c>
      <c r="HY969">
        <f>IF(ISBLANK('Data Entry'!$ĩ$969), "", 'Data Entry'!$ĩ$969)</f>
      </c>
      <c r="HZ969">
        <f>IF(ISBLANK('Data Entry'!$Ī$969), "", 'Data Entry'!$Ī$969)</f>
      </c>
      <c r="IA969">
        <f>IF(ISBLANK('Data Entry'!$ī$969), "", 'Data Entry'!$ī$969)</f>
      </c>
      <c r="IB969">
        <f>IF(ISBLANK('Data Entry'!$Ĭ$969), "", 'Data Entry'!$Ĭ$969)</f>
      </c>
      <c r="IC969">
        <f>IF(ISBLANK('Data Entry'!$ĭ$969), "", 'Data Entry'!$ĭ$969)</f>
      </c>
      <c r="ID969">
        <f>IF(ISBLANK('Data Entry'!$Į$969), "", 'Data Entry'!$Į$969)</f>
      </c>
      <c r="IE969">
        <f>IF(ISBLANK('Data Entry'!$į$969), "", 'Data Entry'!$į$969)</f>
      </c>
      <c r="IF969">
        <f>IF(ISBLANK('Data Entry'!$İ$969), "", 'Data Entry'!$İ$969)</f>
      </c>
      <c r="IG969">
        <f>IF(ISBLANK('Data Entry'!$ı$969), "", 'Data Entry'!$ı$969)</f>
      </c>
      <c r="IH969">
        <f>IF(ISBLANK('Data Entry'!$Ĳ$969), "", 'Data Entry'!$Ĳ$969)</f>
      </c>
      <c r="II969">
        <f>IF(ISBLANK('Data Entry'!$ĳ$969), "", 'Data Entry'!$ĳ$969)</f>
      </c>
      <c r="IJ969">
        <f>IF(ISBLANK('Data Entry'!$Ĵ$969), "", 'Data Entry'!$Ĵ$969)</f>
      </c>
      <c r="IK969">
        <f>IF(ISBLANK('Data Entry'!$ĵ$969), "", 'Data Entry'!$ĵ$969)</f>
      </c>
      <c r="IL969">
        <f>IF(ISBLANK('Data Entry'!$Ķ$969), "", 'Data Entry'!$Ķ$969)</f>
      </c>
      <c r="IM969">
        <f>IF(ISBLANK('Data Entry'!$ķ$969), "", 'Data Entry'!$ķ$969)</f>
      </c>
      <c r="IN969">
        <f>IF(ISBLANK('Data Entry'!$ĸ$969), "", 'Data Entry'!$ĸ$969)</f>
      </c>
      <c r="IO969">
        <f>IF(ISBLANK('Data Entry'!$Ĺ$969), "", 'Data Entry'!$Ĺ$969)</f>
      </c>
      <c r="IP969">
        <f>IF(ISBLANK('Data Entry'!$ĺ$969), "", 'Data Entry'!$ĺ$969)</f>
      </c>
      <c r="IQ969">
        <f>IF(ISBLANK('Data Entry'!$Ļ$969), "", 'Data Entry'!$Ļ$969)</f>
      </c>
      <c r="IR969">
        <f>IF(ISBLANK('Data Entry'!$ļ$969), "", 'Data Entry'!$ļ$969)</f>
      </c>
      <c r="IS969">
        <f>IF(ISBLANK('Data Entry'!$Ľ$969), "", 'Data Entry'!$Ľ$969)</f>
      </c>
      <c r="IT969">
        <f>IF(ISBLANK('Data Entry'!$ľ$969), "", 'Data Entry'!$ľ$969)</f>
      </c>
    </row>
    <row r="970" spans="1:254" x14ac:dyDescent="0.25">
      <c r="A970">
        <f>IF(ISBLANK('Data Entry'!$A$970), "", 'Data Entry'!$A$970)</f>
      </c>
      <c r="B970">
        <f>IF(ISBLANK('Data Entry'!$B$970), "", 'Data Entry'!$B$970)</f>
      </c>
      <c r="C970">
        <f>IF(ISBLANK('Data Entry'!$C$970), "", 'Data Entry'!$C$970)</f>
      </c>
      <c r="D970">
        <f>IF(ISBLANK('Data Entry'!$D$970), "", 'Data Entry'!$D$970)</f>
      </c>
      <c r="E970">
        <f>IF(ISBLANK('Data Entry'!$E$970), "", 'Data Entry'!$E$970)</f>
      </c>
      <c r="F970">
        <f>IF(ISBLANK('Data Entry'!$F$970), "", 'Data Entry'!$F$970)</f>
      </c>
      <c r="G970">
        <f>IF(ISBLANK('Data Entry'!$G$970), "", 'Data Entry'!$G$970)</f>
      </c>
      <c r="H970">
        <f>IF(ISBLANK('Data Entry'!$H$970), "", 'Data Entry'!$H$970)</f>
      </c>
      <c r="I970">
        <f>IF(ISBLANK('Data Entry'!$I$970), "", 'Data Entry'!$I$970)</f>
      </c>
      <c r="J970">
        <f>IF(ISBLANK('Data Entry'!$J$970), "", 'Data Entry'!$J$970)</f>
      </c>
      <c r="K970">
        <f>IF(ISBLANK('Data Entry'!$K$970), "", 'Data Entry'!$K$970)</f>
      </c>
      <c r="L970">
        <f>IF(ISBLANK('Data Entry'!$L$970), "", 'Data Entry'!$L$970)</f>
      </c>
      <c r="M970">
        <f>IF(ISBLANK('Data Entry'!$M$970), "", 'Data Entry'!$M$970)</f>
      </c>
      <c r="N970">
        <f>IF(ISBLANK('Data Entry'!$N$970), "", 'Data Entry'!$N$970)</f>
      </c>
      <c r="O970">
        <f>IF(ISBLANK('Data Entry'!$O$970), "", 'Data Entry'!$O$970)</f>
      </c>
      <c r="P970">
        <f>IF(ISBLANK('Data Entry'!$P$970), "", 'Data Entry'!$P$970)</f>
      </c>
      <c r="Q970">
        <f>IF(ISBLANK('Data Entry'!$Q$970), "", 'Data Entry'!$Q$970)</f>
      </c>
      <c r="R970">
        <f>IF(ISBLANK('Data Entry'!$R$970), "", 'Data Entry'!$R$970)</f>
      </c>
      <c r="S970">
        <f>IF(ISBLANK('Data Entry'!$S$970), "", 'Data Entry'!$S$970)</f>
      </c>
      <c r="T970">
        <f>IF(ISBLANK('Data Entry'!$T$970), "", 'Data Entry'!$T$970)</f>
      </c>
      <c r="U970">
        <f>IF(ISBLANK('Data Entry'!$U$970), "", 'Data Entry'!$U$970)</f>
      </c>
      <c r="V970">
        <f>IF(ISBLANK('Data Entry'!$V$970), "", 'Data Entry'!$V$970)</f>
      </c>
      <c r="W970">
        <f>IF(ISBLANK('Data Entry'!$W$970), "", 'Data Entry'!$W$970)</f>
      </c>
      <c r="X970">
        <f>IF(ISBLANK('Data Entry'!$X$970), "", 'Data Entry'!$X$970)</f>
      </c>
      <c r="Y970">
        <f>IF(ISBLANK('Data Entry'!$Y$970), "", 'Data Entry'!$Y$970)</f>
      </c>
      <c r="Z970">
        <f>IF(ISBLANK('Data Entry'!$Z$970), "", 'Data Entry'!$Z$970)</f>
      </c>
      <c r="AA970">
        <f>IF(ISBLANK('Data Entry'!$[$970), "", 'Data Entry'!$[$970)</f>
      </c>
      <c r="AB970">
        <f>IF(ISBLANK('Data Entry'!$\$970), "", 'Data Entry'!$\$970)</f>
      </c>
      <c r="AC970">
        <f>IF(ISBLANK('Data Entry'!$]$970), "", 'Data Entry'!$]$970)</f>
      </c>
      <c r="AD970">
        <f>IF(ISBLANK('Data Entry'!$^$970), "", 'Data Entry'!$^$970)</f>
      </c>
      <c r="AE970">
        <f>IF(ISBLANK('Data Entry'!$_$970), "", 'Data Entry'!$_$970)</f>
      </c>
      <c r="AF970">
        <f>IF(ISBLANK('Data Entry'!$`$970), "", 'Data Entry'!$`$970)</f>
      </c>
      <c r="AG970">
        <f>IF(ISBLANK('Data Entry'!$a$970), "", 'Data Entry'!$a$970)</f>
      </c>
      <c r="AH970">
        <f>IF(ISBLANK('Data Entry'!$b$970), "", 'Data Entry'!$b$970)</f>
      </c>
      <c r="AI970">
        <f>IF(ISBLANK('Data Entry'!$c$970), "", 'Data Entry'!$c$970)</f>
      </c>
      <c r="AJ970">
        <f>IF(ISBLANK('Data Entry'!$d$970), "", 'Data Entry'!$d$970)</f>
      </c>
      <c r="AK970">
        <f>IF(ISBLANK('Data Entry'!$e$970), "", 'Data Entry'!$e$970)</f>
      </c>
      <c r="AL970">
        <f>IF(ISBLANK('Data Entry'!$f$970), "", 'Data Entry'!$f$970)</f>
      </c>
      <c r="AM970">
        <f>IF(ISBLANK('Data Entry'!$g$970), "", 'Data Entry'!$g$970)</f>
      </c>
      <c r="AN970">
        <f>IF(ISBLANK('Data Entry'!$h$970), "", 'Data Entry'!$h$970)</f>
      </c>
      <c r="AO970">
        <f>IF(ISBLANK('Data Entry'!$i$970), "", 'Data Entry'!$i$970)</f>
      </c>
      <c r="AP970">
        <f>IF(ISBLANK('Data Entry'!$j$970), "", 'Data Entry'!$j$970)</f>
      </c>
      <c r="AQ970">
        <f>IF(ISBLANK('Data Entry'!$k$970), "", 'Data Entry'!$k$970)</f>
      </c>
      <c r="AR970">
        <f>IF(ISBLANK('Data Entry'!$l$970), "", 'Data Entry'!$l$970)</f>
      </c>
      <c r="AS970">
        <f>IF(ISBLANK('Data Entry'!$m$970), "", 'Data Entry'!$m$970)</f>
      </c>
      <c r="AT970">
        <f>IF(ISBLANK('Data Entry'!$n$970), "", 'Data Entry'!$n$970)</f>
      </c>
      <c r="AU970">
        <f>IF(ISBLANK('Data Entry'!$o$970), "", 'Data Entry'!$o$970)</f>
      </c>
      <c r="AV970">
        <f>IF(ISBLANK('Data Entry'!$p$970), "", 'Data Entry'!$p$970)</f>
      </c>
      <c r="AW970">
        <f>IF(ISBLANK('Data Entry'!$q$970), "", 'Data Entry'!$q$970)</f>
      </c>
      <c r="AX970">
        <f>IF(ISBLANK('Data Entry'!$r$970), "", 'Data Entry'!$r$970)</f>
      </c>
      <c r="AY970">
        <f>IF(ISBLANK('Data Entry'!$s$970), "", 'Data Entry'!$s$970)</f>
      </c>
      <c r="AZ970">
        <f>IF(ISBLANK('Data Entry'!$t$970), "", 'Data Entry'!$t$970)</f>
      </c>
      <c r="BA970">
        <f>IF(ISBLANK('Data Entry'!$u$970), "", 'Data Entry'!$u$970)</f>
      </c>
      <c r="BB970">
        <f>IF(ISBLANK('Data Entry'!$v$970), "", 'Data Entry'!$v$970)</f>
      </c>
      <c r="BC970">
        <f>IF(ISBLANK('Data Entry'!$w$970), "", 'Data Entry'!$w$970)</f>
      </c>
      <c r="BD970">
        <f>IF(ISBLANK('Data Entry'!$x$970), "", 'Data Entry'!$x$970)</f>
      </c>
      <c r="BE970">
        <f>IF(ISBLANK('Data Entry'!$y$970), "", 'Data Entry'!$y$970)</f>
      </c>
      <c r="BF970">
        <f>IF(ISBLANK('Data Entry'!$z$970), "", 'Data Entry'!$z$970)</f>
      </c>
      <c r="BG970">
        <f>IF(ISBLANK('Data Entry'!${$970), "", 'Data Entry'!${$970)</f>
      </c>
      <c r="BH970">
        <f>IF(ISBLANK('Data Entry'!$|$970), "", 'Data Entry'!$|$970)</f>
      </c>
      <c r="BI970">
        <f>IF(ISBLANK('Data Entry'!$}$970), "", 'Data Entry'!$}$970)</f>
      </c>
      <c r="BJ970">
        <f>IF(ISBLANK('Data Entry'!$~$970), "", 'Data Entry'!$~$970)</f>
      </c>
      <c r="BK970">
        <f>IF(ISBLANK('Data Entry'!$$970), "", 'Data Entry'!$$970)</f>
      </c>
      <c r="BL970">
        <f>IF(ISBLANK('Data Entry'!$$970), "", 'Data Entry'!$$970)</f>
      </c>
      <c r="BM970">
        <f>IF(ISBLANK('Data Entry'!$$970), "", 'Data Entry'!$$970)</f>
      </c>
      <c r="BN970">
        <f>IF(ISBLANK('Data Entry'!$$970), "", 'Data Entry'!$$970)</f>
      </c>
      <c r="BO970">
        <f>IF(ISBLANK('Data Entry'!$$970), "", 'Data Entry'!$$970)</f>
      </c>
      <c r="BP970">
        <f>IF(ISBLANK('Data Entry'!$$970), "", 'Data Entry'!$$970)</f>
      </c>
      <c r="BQ970">
        <f>IF(ISBLANK('Data Entry'!$$970), "", 'Data Entry'!$$970)</f>
      </c>
      <c r="BR970">
        <f>IF(ISBLANK('Data Entry'!$$970), "", 'Data Entry'!$$970)</f>
      </c>
      <c r="BS970">
        <f>IF(ISBLANK('Data Entry'!$$970), "", 'Data Entry'!$$970)</f>
      </c>
      <c r="BT970">
        <f>IF(ISBLANK('Data Entry'!$$970), "", 'Data Entry'!$$970)</f>
      </c>
      <c r="BU970">
        <f>IF(ISBLANK('Data Entry'!$$970), "", 'Data Entry'!$$970)</f>
      </c>
      <c r="BV970">
        <f>IF(ISBLANK('Data Entry'!$$970), "", 'Data Entry'!$$970)</f>
      </c>
      <c r="BW970">
        <f>IF(ISBLANK('Data Entry'!$$970), "", 'Data Entry'!$$970)</f>
      </c>
      <c r="BX970">
        <f>IF(ISBLANK('Data Entry'!$$970), "", 'Data Entry'!$$970)</f>
      </c>
      <c r="BY970">
        <f>IF(ISBLANK('Data Entry'!$$970), "", 'Data Entry'!$$970)</f>
      </c>
      <c r="BZ970">
        <f>IF(ISBLANK('Data Entry'!$$970), "", 'Data Entry'!$$970)</f>
      </c>
      <c r="CA970">
        <f>IF(ISBLANK('Data Entry'!$$970), "", 'Data Entry'!$$970)</f>
      </c>
      <c r="CB970">
        <f>IF(ISBLANK('Data Entry'!$$970), "", 'Data Entry'!$$970)</f>
      </c>
      <c r="CC970">
        <f>IF(ISBLANK('Data Entry'!$$970), "", 'Data Entry'!$$970)</f>
      </c>
      <c r="CD970">
        <f>IF(ISBLANK('Data Entry'!$$970), "", 'Data Entry'!$$970)</f>
      </c>
      <c r="CE970">
        <f>IF(ISBLANK('Data Entry'!$$970), "", 'Data Entry'!$$970)</f>
      </c>
      <c r="CF970">
        <f>IF(ISBLANK('Data Entry'!$$970), "", 'Data Entry'!$$970)</f>
      </c>
      <c r="CG970">
        <f>IF(ISBLANK('Data Entry'!$$970), "", 'Data Entry'!$$970)</f>
      </c>
      <c r="CH970">
        <f>IF(ISBLANK('Data Entry'!$$970), "", 'Data Entry'!$$970)</f>
      </c>
      <c r="CI970">
        <f>IF(ISBLANK('Data Entry'!$$970), "", 'Data Entry'!$$970)</f>
      </c>
      <c r="CJ970">
        <f>IF(ISBLANK('Data Entry'!$$970), "", 'Data Entry'!$$970)</f>
      </c>
      <c r="CK970">
        <f>IF(ISBLANK('Data Entry'!$$970), "", 'Data Entry'!$$970)</f>
      </c>
      <c r="CL970">
        <f>IF(ISBLANK('Data Entry'!$$970), "", 'Data Entry'!$$970)</f>
      </c>
      <c r="CM970">
        <f>IF(ISBLANK('Data Entry'!$$970), "", 'Data Entry'!$$970)</f>
      </c>
      <c r="CN970">
        <f>IF(ISBLANK('Data Entry'!$$970), "", 'Data Entry'!$$970)</f>
      </c>
      <c r="CO970">
        <f>IF(ISBLANK('Data Entry'!$$970), "", 'Data Entry'!$$970)</f>
      </c>
      <c r="CP970">
        <f>IF(ISBLANK('Data Entry'!$$970), "", 'Data Entry'!$$970)</f>
      </c>
      <c r="CQ970">
        <f>IF(ISBLANK('Data Entry'!$$970), "", 'Data Entry'!$$970)</f>
      </c>
      <c r="CR970">
        <f>IF(ISBLANK('Data Entry'!$ $970), "", 'Data Entry'!$ $970)</f>
      </c>
      <c r="CS970">
        <f>IF(ISBLANK('Data Entry'!$¡$970), "", 'Data Entry'!$¡$970)</f>
      </c>
      <c r="CT970">
        <f>IF(ISBLANK('Data Entry'!$¢$970), "", 'Data Entry'!$¢$970)</f>
      </c>
      <c r="CU970">
        <f>IF(ISBLANK('Data Entry'!$£$970), "", 'Data Entry'!$£$970)</f>
      </c>
      <c r="CV970">
        <f>IF(ISBLANK('Data Entry'!$¤$970), "", 'Data Entry'!$¤$970)</f>
      </c>
      <c r="CW970">
        <f>IF(ISBLANK('Data Entry'!$¥$970), "", 'Data Entry'!$¥$970)</f>
      </c>
      <c r="CX970">
        <f>IF(ISBLANK('Data Entry'!$¦$970), "", 'Data Entry'!$¦$970)</f>
      </c>
      <c r="CY970">
        <f>IF(ISBLANK('Data Entry'!$§$970), "", 'Data Entry'!$§$970)</f>
      </c>
      <c r="CZ970">
        <f>IF(ISBLANK('Data Entry'!$¨$970), "", 'Data Entry'!$¨$970)</f>
      </c>
      <c r="DA970">
        <f>IF(ISBLANK('Data Entry'!$©$970), "", 'Data Entry'!$©$970)</f>
      </c>
      <c r="DB970">
        <f>IF(ISBLANK('Data Entry'!$ª$970), "", 'Data Entry'!$ª$970)</f>
      </c>
      <c r="DC970">
        <f>IF(ISBLANK('Data Entry'!$«$970), "", 'Data Entry'!$«$970)</f>
      </c>
      <c r="DD970">
        <f>IF(ISBLANK('Data Entry'!$¬$970), "", 'Data Entry'!$¬$970)</f>
      </c>
      <c r="DE970">
        <f>IF(ISBLANK('Data Entry'!$­$970), "", 'Data Entry'!$­$970)</f>
      </c>
      <c r="DF970">
        <f>IF(ISBLANK('Data Entry'!$®$970), "", 'Data Entry'!$®$970)</f>
      </c>
      <c r="DG970">
        <f>IF(ISBLANK('Data Entry'!$¯$970), "", 'Data Entry'!$¯$970)</f>
      </c>
      <c r="DH970">
        <f>IF(ISBLANK('Data Entry'!$°$970), "", 'Data Entry'!$°$970)</f>
      </c>
      <c r="DI970">
        <f>IF(ISBLANK('Data Entry'!$±$970), "", 'Data Entry'!$±$970)</f>
      </c>
      <c r="DJ970">
        <f>IF(ISBLANK('Data Entry'!$²$970), "", 'Data Entry'!$²$970)</f>
      </c>
      <c r="DK970">
        <f>IF(ISBLANK('Data Entry'!$³$970), "", 'Data Entry'!$³$970)</f>
      </c>
      <c r="DL970">
        <f>IF(ISBLANK('Data Entry'!$´$970), "", 'Data Entry'!$´$970)</f>
      </c>
      <c r="DM970">
        <f>IF(ISBLANK('Data Entry'!$µ$970), "", 'Data Entry'!$µ$970)</f>
      </c>
      <c r="DN970">
        <f>IF(ISBLANK('Data Entry'!$¶$970), "", 'Data Entry'!$¶$970)</f>
      </c>
      <c r="DO970">
        <f>IF(ISBLANK('Data Entry'!$·$970), "", 'Data Entry'!$·$970)</f>
      </c>
      <c r="DP970">
        <f>IF(ISBLANK('Data Entry'!$¸$970), "", 'Data Entry'!$¸$970)</f>
      </c>
      <c r="DQ970">
        <f>IF(ISBLANK('Data Entry'!$¹$970), "", 'Data Entry'!$¹$970)</f>
      </c>
      <c r="DR970">
        <f>IF(ISBLANK('Data Entry'!$º$970), "", 'Data Entry'!$º$970)</f>
      </c>
      <c r="DS970">
        <f>IF(ISBLANK('Data Entry'!$»$970), "", 'Data Entry'!$»$970)</f>
      </c>
      <c r="DT970">
        <f>IF(ISBLANK('Data Entry'!$¼$970), "", 'Data Entry'!$¼$970)</f>
      </c>
      <c r="DU970">
        <f>IF(ISBLANK('Data Entry'!$½$970), "", 'Data Entry'!$½$970)</f>
      </c>
      <c r="DV970">
        <f>IF(ISBLANK('Data Entry'!$¾$970), "", 'Data Entry'!$¾$970)</f>
      </c>
      <c r="DW970">
        <f>IF(ISBLANK('Data Entry'!$¿$970), "", 'Data Entry'!$¿$970)</f>
      </c>
      <c r="DX970">
        <f>IF(ISBLANK('Data Entry'!$À$970), "", 'Data Entry'!$À$970)</f>
      </c>
      <c r="DY970">
        <f>IF(ISBLANK('Data Entry'!$Á$970), "", 'Data Entry'!$Á$970)</f>
      </c>
      <c r="DZ970">
        <f>IF(ISBLANK('Data Entry'!$Â$970), "", 'Data Entry'!$Â$970)</f>
      </c>
      <c r="EA970">
        <f>IF(ISBLANK('Data Entry'!$Ã$970), "", 'Data Entry'!$Ã$970)</f>
      </c>
      <c r="EB970">
        <f>IF(ISBLANK('Data Entry'!$Ä$970), "", 'Data Entry'!$Ä$970)</f>
      </c>
      <c r="EC970">
        <f>IF(ISBLANK('Data Entry'!$Å$970), "", 'Data Entry'!$Å$970)</f>
      </c>
      <c r="ED970">
        <f>IF(ISBLANK('Data Entry'!$Æ$970), "", 'Data Entry'!$Æ$970)</f>
      </c>
      <c r="EE970">
        <f>IF(ISBLANK('Data Entry'!$Ç$970), "", 'Data Entry'!$Ç$970)</f>
      </c>
      <c r="EF970">
        <f>IF(ISBLANK('Data Entry'!$È$970), "", 'Data Entry'!$È$970)</f>
      </c>
      <c r="EG970">
        <f>IF(ISBLANK('Data Entry'!$É$970), "", 'Data Entry'!$É$970)</f>
      </c>
      <c r="EH970">
        <f>IF(ISBLANK('Data Entry'!$Ê$970), "", 'Data Entry'!$Ê$970)</f>
      </c>
      <c r="EI970">
        <f>IF(ISBLANK('Data Entry'!$Ë$970), "", 'Data Entry'!$Ë$970)</f>
      </c>
      <c r="EJ970">
        <f>IF(ISBLANK('Data Entry'!$Ì$970), "", 'Data Entry'!$Ì$970)</f>
      </c>
      <c r="EK970">
        <f>IF(ISBLANK('Data Entry'!$Í$970), "", 'Data Entry'!$Í$970)</f>
      </c>
      <c r="EL970">
        <f>IF(ISBLANK('Data Entry'!$Î$970), "", 'Data Entry'!$Î$970)</f>
      </c>
      <c r="EM970">
        <f>IF(ISBLANK('Data Entry'!$Ï$970), "", 'Data Entry'!$Ï$970)</f>
      </c>
      <c r="EN970">
        <f>IF(ISBLANK('Data Entry'!$Ð$970), "", 'Data Entry'!$Ð$970)</f>
      </c>
      <c r="EO970">
        <f>IF(ISBLANK('Data Entry'!$Ñ$970), "", 'Data Entry'!$Ñ$970)</f>
      </c>
      <c r="EP970">
        <f>IF(ISBLANK('Data Entry'!$Ò$970), "", 'Data Entry'!$Ò$970)</f>
      </c>
      <c r="EQ970">
        <f>IF(ISBLANK('Data Entry'!$Ó$970), "", 'Data Entry'!$Ó$970)</f>
      </c>
      <c r="ER970">
        <f>IF(ISBLANK('Data Entry'!$Ô$970), "", 'Data Entry'!$Ô$970)</f>
      </c>
      <c r="ES970">
        <f>IF(ISBLANK('Data Entry'!$Õ$970), "", 'Data Entry'!$Õ$970)</f>
      </c>
      <c r="ET970">
        <f>IF(ISBLANK('Data Entry'!$Ö$970), "", 'Data Entry'!$Ö$970)</f>
      </c>
      <c r="EU970">
        <f>IF(ISBLANK('Data Entry'!$×$970), "", 'Data Entry'!$×$970)</f>
      </c>
      <c r="EV970">
        <f>IF(ISBLANK('Data Entry'!$Ø$970), "", 'Data Entry'!$Ø$970)</f>
      </c>
      <c r="EW970">
        <f>IF(ISBLANK('Data Entry'!$Ù$970), "", 'Data Entry'!$Ù$970)</f>
      </c>
      <c r="EX970">
        <f>IF(ISBLANK('Data Entry'!$Ú$970), "", 'Data Entry'!$Ú$970)</f>
      </c>
      <c r="EY970">
        <f>IF(ISBLANK('Data Entry'!$Û$970), "", 'Data Entry'!$Û$970)</f>
      </c>
      <c r="EZ970">
        <f>IF(ISBLANK('Data Entry'!$Ü$970), "", 'Data Entry'!$Ü$970)</f>
      </c>
      <c r="FA970">
        <f>IF(ISBLANK('Data Entry'!$Ý$970), "", 'Data Entry'!$Ý$970)</f>
      </c>
      <c r="FB970">
        <f>IF(ISBLANK('Data Entry'!$Þ$970), "", 'Data Entry'!$Þ$970)</f>
      </c>
      <c r="FC970">
        <f>IF(ISBLANK('Data Entry'!$ß$970), "", 'Data Entry'!$ß$970)</f>
      </c>
      <c r="FD970">
        <f>IF(ISBLANK('Data Entry'!$à$970), "", 'Data Entry'!$à$970)</f>
      </c>
      <c r="FE970">
        <f>IF(ISBLANK('Data Entry'!$á$970), "", 'Data Entry'!$á$970)</f>
      </c>
      <c r="FF970">
        <f>IF(ISBLANK('Data Entry'!$â$970), "", 'Data Entry'!$â$970)</f>
      </c>
      <c r="FG970">
        <f>IF(ISBLANK('Data Entry'!$ã$970), "", 'Data Entry'!$ã$970)</f>
      </c>
      <c r="FH970">
        <f>IF(ISBLANK('Data Entry'!$ä$970), "", 'Data Entry'!$ä$970)</f>
      </c>
      <c r="FI970">
        <f>IF(ISBLANK('Data Entry'!$å$970), "", 'Data Entry'!$å$970)</f>
      </c>
      <c r="FJ970">
        <f>IF(ISBLANK('Data Entry'!$æ$970), "", 'Data Entry'!$æ$970)</f>
      </c>
      <c r="FK970">
        <f>IF(ISBLANK('Data Entry'!$ç$970), "", 'Data Entry'!$ç$970)</f>
      </c>
      <c r="FL970">
        <f>IF(ISBLANK('Data Entry'!$è$970), "", 'Data Entry'!$è$970)</f>
      </c>
      <c r="FM970">
        <f>IF(ISBLANK('Data Entry'!$é$970), "", 'Data Entry'!$é$970)</f>
      </c>
      <c r="FN970">
        <f>IF(ISBLANK('Data Entry'!$ê$970), "", 'Data Entry'!$ê$970)</f>
      </c>
      <c r="FO970">
        <f>IF(ISBLANK('Data Entry'!$ë$970), "", 'Data Entry'!$ë$970)</f>
      </c>
      <c r="FP970">
        <f>IF(ISBLANK('Data Entry'!$ì$970), "", 'Data Entry'!$ì$970)</f>
      </c>
      <c r="FQ970">
        <f>IF(ISBLANK('Data Entry'!$í$970), "", 'Data Entry'!$í$970)</f>
      </c>
      <c r="FR970">
        <f>IF(ISBLANK('Data Entry'!$î$970), "", 'Data Entry'!$î$970)</f>
      </c>
      <c r="FS970">
        <f>IF(ISBLANK('Data Entry'!$ï$970), "", 'Data Entry'!$ï$970)</f>
      </c>
      <c r="FT970">
        <f>IF(ISBLANK('Data Entry'!$ð$970), "", 'Data Entry'!$ð$970)</f>
      </c>
      <c r="FU970">
        <f>IF(ISBLANK('Data Entry'!$ñ$970), "", 'Data Entry'!$ñ$970)</f>
      </c>
      <c r="FV970">
        <f>IF(ISBLANK('Data Entry'!$ò$970), "", 'Data Entry'!$ò$970)</f>
      </c>
      <c r="FW970">
        <f>IF(ISBLANK('Data Entry'!$ó$970), "", 'Data Entry'!$ó$970)</f>
      </c>
      <c r="FX970">
        <f>IF(ISBLANK('Data Entry'!$ô$970), "", 'Data Entry'!$ô$970)</f>
      </c>
      <c r="FY970">
        <f>IF(ISBLANK('Data Entry'!$õ$970), "", 'Data Entry'!$õ$970)</f>
      </c>
      <c r="FZ970">
        <f>IF(ISBLANK('Data Entry'!$ö$970), "", 'Data Entry'!$ö$970)</f>
      </c>
      <c r="GA970">
        <f>IF(ISBLANK('Data Entry'!$÷$970), "", 'Data Entry'!$÷$970)</f>
      </c>
      <c r="GB970">
        <f>IF(ISBLANK('Data Entry'!$ø$970), "", 'Data Entry'!$ø$970)</f>
      </c>
      <c r="GC970">
        <f>IF(ISBLANK('Data Entry'!$ù$970), "", 'Data Entry'!$ù$970)</f>
      </c>
      <c r="GD970">
        <f>IF(ISBLANK('Data Entry'!$ú$970), "", 'Data Entry'!$ú$970)</f>
      </c>
      <c r="GE970">
        <f>IF(ISBLANK('Data Entry'!$û$970), "", 'Data Entry'!$û$970)</f>
      </c>
      <c r="GF970">
        <f>IF(ISBLANK('Data Entry'!$ü$970), "", 'Data Entry'!$ü$970)</f>
      </c>
      <c r="GG970">
        <f>IF(ISBLANK('Data Entry'!$ý$970), "", 'Data Entry'!$ý$970)</f>
      </c>
      <c r="GH970">
        <f>IF(ISBLANK('Data Entry'!$þ$970), "", 'Data Entry'!$þ$970)</f>
      </c>
      <c r="GI970">
        <f>IF(ISBLANK('Data Entry'!$ÿ$970), "", 'Data Entry'!$ÿ$970)</f>
      </c>
      <c r="GJ970">
        <f>IF(ISBLANK('Data Entry'!$Ā$970), "", 'Data Entry'!$Ā$970)</f>
      </c>
      <c r="GK970">
        <f>IF(ISBLANK('Data Entry'!$ā$970), "", 'Data Entry'!$ā$970)</f>
      </c>
      <c r="GL970">
        <f>IF(ISBLANK('Data Entry'!$Ă$970), "", 'Data Entry'!$Ă$970)</f>
      </c>
      <c r="GM970">
        <f>IF(ISBLANK('Data Entry'!$ă$970), "", 'Data Entry'!$ă$970)</f>
      </c>
      <c r="GN970">
        <f>IF(ISBLANK('Data Entry'!$Ą$970), "", 'Data Entry'!$Ą$970)</f>
      </c>
      <c r="GO970">
        <f>IF(ISBLANK('Data Entry'!$ą$970), "", 'Data Entry'!$ą$970)</f>
      </c>
      <c r="GP970">
        <f>IF(ISBLANK('Data Entry'!$Ć$970), "", 'Data Entry'!$Ć$970)</f>
      </c>
      <c r="GQ970">
        <f>IF(ISBLANK('Data Entry'!$ć$970), "", 'Data Entry'!$ć$970)</f>
      </c>
      <c r="GR970">
        <f>IF(ISBLANK('Data Entry'!$Ĉ$970), "", 'Data Entry'!$Ĉ$970)</f>
      </c>
      <c r="GS970">
        <f>IF(ISBLANK('Data Entry'!$ĉ$970), "", 'Data Entry'!$ĉ$970)</f>
      </c>
      <c r="GT970">
        <f>IF(ISBLANK('Data Entry'!$Ċ$970), "", 'Data Entry'!$Ċ$970)</f>
      </c>
      <c r="GU970">
        <f>IF(ISBLANK('Data Entry'!$ċ$970), "", 'Data Entry'!$ċ$970)</f>
      </c>
      <c r="GV970">
        <f>IF(ISBLANK('Data Entry'!$Č$970), "", 'Data Entry'!$Č$970)</f>
      </c>
      <c r="GW970">
        <f>IF(ISBLANK('Data Entry'!$č$970), "", 'Data Entry'!$č$970)</f>
      </c>
      <c r="GX970">
        <f>IF(ISBLANK('Data Entry'!$Ď$970), "", 'Data Entry'!$Ď$970)</f>
      </c>
      <c r="GY970">
        <f>IF(ISBLANK('Data Entry'!$ď$970), "", 'Data Entry'!$ď$970)</f>
      </c>
      <c r="GZ970">
        <f>IF(ISBLANK('Data Entry'!$Đ$970), "", 'Data Entry'!$Đ$970)</f>
      </c>
      <c r="HA970">
        <f>IF(ISBLANK('Data Entry'!$đ$970), "", 'Data Entry'!$đ$970)</f>
      </c>
      <c r="HB970">
        <f>IF(ISBLANK('Data Entry'!$Ē$970), "", 'Data Entry'!$Ē$970)</f>
      </c>
      <c r="HC970">
        <f>IF(ISBLANK('Data Entry'!$ē$970), "", 'Data Entry'!$ē$970)</f>
      </c>
      <c r="HD970">
        <f>IF(ISBLANK('Data Entry'!$Ĕ$970), "", 'Data Entry'!$Ĕ$970)</f>
      </c>
      <c r="HE970">
        <f>IF(ISBLANK('Data Entry'!$ĕ$970), "", 'Data Entry'!$ĕ$970)</f>
      </c>
      <c r="HF970">
        <f>IF(ISBLANK('Data Entry'!$Ė$970), "", 'Data Entry'!$Ė$970)</f>
      </c>
      <c r="HG970">
        <f>IF(ISBLANK('Data Entry'!$ė$970), "", 'Data Entry'!$ė$970)</f>
      </c>
      <c r="HH970">
        <f>IF(ISBLANK('Data Entry'!$Ę$970), "", 'Data Entry'!$Ę$970)</f>
      </c>
      <c r="HI970">
        <f>IF(ISBLANK('Data Entry'!$ę$970), "", 'Data Entry'!$ę$970)</f>
      </c>
      <c r="HJ970">
        <f>IF(ISBLANK('Data Entry'!$Ě$970), "", 'Data Entry'!$Ě$970)</f>
      </c>
      <c r="HK970">
        <f>IF(ISBLANK('Data Entry'!$ě$970), "", 'Data Entry'!$ě$970)</f>
      </c>
      <c r="HL970">
        <f>IF(ISBLANK('Data Entry'!$Ĝ$970), "", 'Data Entry'!$Ĝ$970)</f>
      </c>
      <c r="HM970">
        <f>IF(ISBLANK('Data Entry'!$ĝ$970), "", 'Data Entry'!$ĝ$970)</f>
      </c>
      <c r="HN970">
        <f>IF(ISBLANK('Data Entry'!$Ğ$970), "", 'Data Entry'!$Ğ$970)</f>
      </c>
      <c r="HO970">
        <f>IF(ISBLANK('Data Entry'!$ğ$970), "", 'Data Entry'!$ğ$970)</f>
      </c>
      <c r="HP970">
        <f>IF(ISBLANK('Data Entry'!$Ġ$970), "", 'Data Entry'!$Ġ$970)</f>
      </c>
      <c r="HQ970">
        <f>IF(ISBLANK('Data Entry'!$ġ$970), "", 'Data Entry'!$ġ$970)</f>
      </c>
      <c r="HR970">
        <f>IF(ISBLANK('Data Entry'!$Ģ$970), "", 'Data Entry'!$Ģ$970)</f>
      </c>
      <c r="HS970">
        <f>IF(ISBLANK('Data Entry'!$ģ$970), "", 'Data Entry'!$ģ$970)</f>
      </c>
      <c r="HT970">
        <f>IF(ISBLANK('Data Entry'!$Ĥ$970), "", 'Data Entry'!$Ĥ$970)</f>
      </c>
      <c r="HU970">
        <f>IF(ISBLANK('Data Entry'!$ĥ$970), "", 'Data Entry'!$ĥ$970)</f>
      </c>
      <c r="HV970">
        <f>IF(ISBLANK('Data Entry'!$Ħ$970), "", 'Data Entry'!$Ħ$970)</f>
      </c>
      <c r="HW970">
        <f>IF(ISBLANK('Data Entry'!$ħ$970), "", 'Data Entry'!$ħ$970)</f>
      </c>
      <c r="HX970">
        <f>IF(ISBLANK('Data Entry'!$Ĩ$970), "", 'Data Entry'!$Ĩ$970)</f>
      </c>
      <c r="HY970">
        <f>IF(ISBLANK('Data Entry'!$ĩ$970), "", 'Data Entry'!$ĩ$970)</f>
      </c>
      <c r="HZ970">
        <f>IF(ISBLANK('Data Entry'!$Ī$970), "", 'Data Entry'!$Ī$970)</f>
      </c>
      <c r="IA970">
        <f>IF(ISBLANK('Data Entry'!$ī$970), "", 'Data Entry'!$ī$970)</f>
      </c>
      <c r="IB970">
        <f>IF(ISBLANK('Data Entry'!$Ĭ$970), "", 'Data Entry'!$Ĭ$970)</f>
      </c>
      <c r="IC970">
        <f>IF(ISBLANK('Data Entry'!$ĭ$970), "", 'Data Entry'!$ĭ$970)</f>
      </c>
      <c r="ID970">
        <f>IF(ISBLANK('Data Entry'!$Į$970), "", 'Data Entry'!$Į$970)</f>
      </c>
      <c r="IE970">
        <f>IF(ISBLANK('Data Entry'!$į$970), "", 'Data Entry'!$į$970)</f>
      </c>
      <c r="IF970">
        <f>IF(ISBLANK('Data Entry'!$İ$970), "", 'Data Entry'!$İ$970)</f>
      </c>
      <c r="IG970">
        <f>IF(ISBLANK('Data Entry'!$ı$970), "", 'Data Entry'!$ı$970)</f>
      </c>
      <c r="IH970">
        <f>IF(ISBLANK('Data Entry'!$Ĳ$970), "", 'Data Entry'!$Ĳ$970)</f>
      </c>
      <c r="II970">
        <f>IF(ISBLANK('Data Entry'!$ĳ$970), "", 'Data Entry'!$ĳ$970)</f>
      </c>
      <c r="IJ970">
        <f>IF(ISBLANK('Data Entry'!$Ĵ$970), "", 'Data Entry'!$Ĵ$970)</f>
      </c>
      <c r="IK970">
        <f>IF(ISBLANK('Data Entry'!$ĵ$970), "", 'Data Entry'!$ĵ$970)</f>
      </c>
      <c r="IL970">
        <f>IF(ISBLANK('Data Entry'!$Ķ$970), "", 'Data Entry'!$Ķ$970)</f>
      </c>
      <c r="IM970">
        <f>IF(ISBLANK('Data Entry'!$ķ$970), "", 'Data Entry'!$ķ$970)</f>
      </c>
      <c r="IN970">
        <f>IF(ISBLANK('Data Entry'!$ĸ$970), "", 'Data Entry'!$ĸ$970)</f>
      </c>
      <c r="IO970">
        <f>IF(ISBLANK('Data Entry'!$Ĺ$970), "", 'Data Entry'!$Ĺ$970)</f>
      </c>
      <c r="IP970">
        <f>IF(ISBLANK('Data Entry'!$ĺ$970), "", 'Data Entry'!$ĺ$970)</f>
      </c>
      <c r="IQ970">
        <f>IF(ISBLANK('Data Entry'!$Ļ$970), "", 'Data Entry'!$Ļ$970)</f>
      </c>
      <c r="IR970">
        <f>IF(ISBLANK('Data Entry'!$ļ$970), "", 'Data Entry'!$ļ$970)</f>
      </c>
      <c r="IS970">
        <f>IF(ISBLANK('Data Entry'!$Ľ$970), "", 'Data Entry'!$Ľ$970)</f>
      </c>
      <c r="IT970">
        <f>IF(ISBLANK('Data Entry'!$ľ$970), "", 'Data Entry'!$ľ$970)</f>
      </c>
    </row>
    <row r="971" spans="1:254" x14ac:dyDescent="0.25">
      <c r="A971">
        <f>IF(ISBLANK('Data Entry'!$A$971), "", 'Data Entry'!$A$971)</f>
      </c>
      <c r="B971">
        <f>IF(ISBLANK('Data Entry'!$B$971), "", 'Data Entry'!$B$971)</f>
      </c>
      <c r="C971">
        <f>IF(ISBLANK('Data Entry'!$C$971), "", 'Data Entry'!$C$971)</f>
      </c>
      <c r="D971">
        <f>IF(ISBLANK('Data Entry'!$D$971), "", 'Data Entry'!$D$971)</f>
      </c>
      <c r="E971">
        <f>IF(ISBLANK('Data Entry'!$E$971), "", 'Data Entry'!$E$971)</f>
      </c>
      <c r="F971">
        <f>IF(ISBLANK('Data Entry'!$F$971), "", 'Data Entry'!$F$971)</f>
      </c>
      <c r="G971">
        <f>IF(ISBLANK('Data Entry'!$G$971), "", 'Data Entry'!$G$971)</f>
      </c>
      <c r="H971">
        <f>IF(ISBLANK('Data Entry'!$H$971), "", 'Data Entry'!$H$971)</f>
      </c>
      <c r="I971">
        <f>IF(ISBLANK('Data Entry'!$I$971), "", 'Data Entry'!$I$971)</f>
      </c>
      <c r="J971">
        <f>IF(ISBLANK('Data Entry'!$J$971), "", 'Data Entry'!$J$971)</f>
      </c>
      <c r="K971">
        <f>IF(ISBLANK('Data Entry'!$K$971), "", 'Data Entry'!$K$971)</f>
      </c>
      <c r="L971">
        <f>IF(ISBLANK('Data Entry'!$L$971), "", 'Data Entry'!$L$971)</f>
      </c>
      <c r="M971">
        <f>IF(ISBLANK('Data Entry'!$M$971), "", 'Data Entry'!$M$971)</f>
      </c>
      <c r="N971">
        <f>IF(ISBLANK('Data Entry'!$N$971), "", 'Data Entry'!$N$971)</f>
      </c>
      <c r="O971">
        <f>IF(ISBLANK('Data Entry'!$O$971), "", 'Data Entry'!$O$971)</f>
      </c>
      <c r="P971">
        <f>IF(ISBLANK('Data Entry'!$P$971), "", 'Data Entry'!$P$971)</f>
      </c>
      <c r="Q971">
        <f>IF(ISBLANK('Data Entry'!$Q$971), "", 'Data Entry'!$Q$971)</f>
      </c>
      <c r="R971">
        <f>IF(ISBLANK('Data Entry'!$R$971), "", 'Data Entry'!$R$971)</f>
      </c>
      <c r="S971">
        <f>IF(ISBLANK('Data Entry'!$S$971), "", 'Data Entry'!$S$971)</f>
      </c>
      <c r="T971">
        <f>IF(ISBLANK('Data Entry'!$T$971), "", 'Data Entry'!$T$971)</f>
      </c>
      <c r="U971">
        <f>IF(ISBLANK('Data Entry'!$U$971), "", 'Data Entry'!$U$971)</f>
      </c>
      <c r="V971">
        <f>IF(ISBLANK('Data Entry'!$V$971), "", 'Data Entry'!$V$971)</f>
      </c>
      <c r="W971">
        <f>IF(ISBLANK('Data Entry'!$W$971), "", 'Data Entry'!$W$971)</f>
      </c>
      <c r="X971">
        <f>IF(ISBLANK('Data Entry'!$X$971), "", 'Data Entry'!$X$971)</f>
      </c>
      <c r="Y971">
        <f>IF(ISBLANK('Data Entry'!$Y$971), "", 'Data Entry'!$Y$971)</f>
      </c>
      <c r="Z971">
        <f>IF(ISBLANK('Data Entry'!$Z$971), "", 'Data Entry'!$Z$971)</f>
      </c>
      <c r="AA971">
        <f>IF(ISBLANK('Data Entry'!$[$971), "", 'Data Entry'!$[$971)</f>
      </c>
      <c r="AB971">
        <f>IF(ISBLANK('Data Entry'!$\$971), "", 'Data Entry'!$\$971)</f>
      </c>
      <c r="AC971">
        <f>IF(ISBLANK('Data Entry'!$]$971), "", 'Data Entry'!$]$971)</f>
      </c>
      <c r="AD971">
        <f>IF(ISBLANK('Data Entry'!$^$971), "", 'Data Entry'!$^$971)</f>
      </c>
      <c r="AE971">
        <f>IF(ISBLANK('Data Entry'!$_$971), "", 'Data Entry'!$_$971)</f>
      </c>
      <c r="AF971">
        <f>IF(ISBLANK('Data Entry'!$`$971), "", 'Data Entry'!$`$971)</f>
      </c>
      <c r="AG971">
        <f>IF(ISBLANK('Data Entry'!$a$971), "", 'Data Entry'!$a$971)</f>
      </c>
      <c r="AH971">
        <f>IF(ISBLANK('Data Entry'!$b$971), "", 'Data Entry'!$b$971)</f>
      </c>
      <c r="AI971">
        <f>IF(ISBLANK('Data Entry'!$c$971), "", 'Data Entry'!$c$971)</f>
      </c>
      <c r="AJ971">
        <f>IF(ISBLANK('Data Entry'!$d$971), "", 'Data Entry'!$d$971)</f>
      </c>
      <c r="AK971">
        <f>IF(ISBLANK('Data Entry'!$e$971), "", 'Data Entry'!$e$971)</f>
      </c>
      <c r="AL971">
        <f>IF(ISBLANK('Data Entry'!$f$971), "", 'Data Entry'!$f$971)</f>
      </c>
      <c r="AM971">
        <f>IF(ISBLANK('Data Entry'!$g$971), "", 'Data Entry'!$g$971)</f>
      </c>
      <c r="AN971">
        <f>IF(ISBLANK('Data Entry'!$h$971), "", 'Data Entry'!$h$971)</f>
      </c>
      <c r="AO971">
        <f>IF(ISBLANK('Data Entry'!$i$971), "", 'Data Entry'!$i$971)</f>
      </c>
      <c r="AP971">
        <f>IF(ISBLANK('Data Entry'!$j$971), "", 'Data Entry'!$j$971)</f>
      </c>
      <c r="AQ971">
        <f>IF(ISBLANK('Data Entry'!$k$971), "", 'Data Entry'!$k$971)</f>
      </c>
      <c r="AR971">
        <f>IF(ISBLANK('Data Entry'!$l$971), "", 'Data Entry'!$l$971)</f>
      </c>
      <c r="AS971">
        <f>IF(ISBLANK('Data Entry'!$m$971), "", 'Data Entry'!$m$971)</f>
      </c>
      <c r="AT971">
        <f>IF(ISBLANK('Data Entry'!$n$971), "", 'Data Entry'!$n$971)</f>
      </c>
      <c r="AU971">
        <f>IF(ISBLANK('Data Entry'!$o$971), "", 'Data Entry'!$o$971)</f>
      </c>
      <c r="AV971">
        <f>IF(ISBLANK('Data Entry'!$p$971), "", 'Data Entry'!$p$971)</f>
      </c>
      <c r="AW971">
        <f>IF(ISBLANK('Data Entry'!$q$971), "", 'Data Entry'!$q$971)</f>
      </c>
      <c r="AX971">
        <f>IF(ISBLANK('Data Entry'!$r$971), "", 'Data Entry'!$r$971)</f>
      </c>
      <c r="AY971">
        <f>IF(ISBLANK('Data Entry'!$s$971), "", 'Data Entry'!$s$971)</f>
      </c>
      <c r="AZ971">
        <f>IF(ISBLANK('Data Entry'!$t$971), "", 'Data Entry'!$t$971)</f>
      </c>
      <c r="BA971">
        <f>IF(ISBLANK('Data Entry'!$u$971), "", 'Data Entry'!$u$971)</f>
      </c>
      <c r="BB971">
        <f>IF(ISBLANK('Data Entry'!$v$971), "", 'Data Entry'!$v$971)</f>
      </c>
      <c r="BC971">
        <f>IF(ISBLANK('Data Entry'!$w$971), "", 'Data Entry'!$w$971)</f>
      </c>
      <c r="BD971">
        <f>IF(ISBLANK('Data Entry'!$x$971), "", 'Data Entry'!$x$971)</f>
      </c>
      <c r="BE971">
        <f>IF(ISBLANK('Data Entry'!$y$971), "", 'Data Entry'!$y$971)</f>
      </c>
      <c r="BF971">
        <f>IF(ISBLANK('Data Entry'!$z$971), "", 'Data Entry'!$z$971)</f>
      </c>
      <c r="BG971">
        <f>IF(ISBLANK('Data Entry'!${$971), "", 'Data Entry'!${$971)</f>
      </c>
      <c r="BH971">
        <f>IF(ISBLANK('Data Entry'!$|$971), "", 'Data Entry'!$|$971)</f>
      </c>
      <c r="BI971">
        <f>IF(ISBLANK('Data Entry'!$}$971), "", 'Data Entry'!$}$971)</f>
      </c>
      <c r="BJ971">
        <f>IF(ISBLANK('Data Entry'!$~$971), "", 'Data Entry'!$~$971)</f>
      </c>
      <c r="BK971">
        <f>IF(ISBLANK('Data Entry'!$$971), "", 'Data Entry'!$$971)</f>
      </c>
      <c r="BL971">
        <f>IF(ISBLANK('Data Entry'!$$971), "", 'Data Entry'!$$971)</f>
      </c>
      <c r="BM971">
        <f>IF(ISBLANK('Data Entry'!$$971), "", 'Data Entry'!$$971)</f>
      </c>
      <c r="BN971">
        <f>IF(ISBLANK('Data Entry'!$$971), "", 'Data Entry'!$$971)</f>
      </c>
      <c r="BO971">
        <f>IF(ISBLANK('Data Entry'!$$971), "", 'Data Entry'!$$971)</f>
      </c>
      <c r="BP971">
        <f>IF(ISBLANK('Data Entry'!$$971), "", 'Data Entry'!$$971)</f>
      </c>
      <c r="BQ971">
        <f>IF(ISBLANK('Data Entry'!$$971), "", 'Data Entry'!$$971)</f>
      </c>
      <c r="BR971">
        <f>IF(ISBLANK('Data Entry'!$$971), "", 'Data Entry'!$$971)</f>
      </c>
      <c r="BS971">
        <f>IF(ISBLANK('Data Entry'!$$971), "", 'Data Entry'!$$971)</f>
      </c>
      <c r="BT971">
        <f>IF(ISBLANK('Data Entry'!$$971), "", 'Data Entry'!$$971)</f>
      </c>
      <c r="BU971">
        <f>IF(ISBLANK('Data Entry'!$$971), "", 'Data Entry'!$$971)</f>
      </c>
      <c r="BV971">
        <f>IF(ISBLANK('Data Entry'!$$971), "", 'Data Entry'!$$971)</f>
      </c>
      <c r="BW971">
        <f>IF(ISBLANK('Data Entry'!$$971), "", 'Data Entry'!$$971)</f>
      </c>
      <c r="BX971">
        <f>IF(ISBLANK('Data Entry'!$$971), "", 'Data Entry'!$$971)</f>
      </c>
      <c r="BY971">
        <f>IF(ISBLANK('Data Entry'!$$971), "", 'Data Entry'!$$971)</f>
      </c>
      <c r="BZ971">
        <f>IF(ISBLANK('Data Entry'!$$971), "", 'Data Entry'!$$971)</f>
      </c>
      <c r="CA971">
        <f>IF(ISBLANK('Data Entry'!$$971), "", 'Data Entry'!$$971)</f>
      </c>
      <c r="CB971">
        <f>IF(ISBLANK('Data Entry'!$$971), "", 'Data Entry'!$$971)</f>
      </c>
      <c r="CC971">
        <f>IF(ISBLANK('Data Entry'!$$971), "", 'Data Entry'!$$971)</f>
      </c>
      <c r="CD971">
        <f>IF(ISBLANK('Data Entry'!$$971), "", 'Data Entry'!$$971)</f>
      </c>
      <c r="CE971">
        <f>IF(ISBLANK('Data Entry'!$$971), "", 'Data Entry'!$$971)</f>
      </c>
      <c r="CF971">
        <f>IF(ISBLANK('Data Entry'!$$971), "", 'Data Entry'!$$971)</f>
      </c>
      <c r="CG971">
        <f>IF(ISBLANK('Data Entry'!$$971), "", 'Data Entry'!$$971)</f>
      </c>
      <c r="CH971">
        <f>IF(ISBLANK('Data Entry'!$$971), "", 'Data Entry'!$$971)</f>
      </c>
      <c r="CI971">
        <f>IF(ISBLANK('Data Entry'!$$971), "", 'Data Entry'!$$971)</f>
      </c>
      <c r="CJ971">
        <f>IF(ISBLANK('Data Entry'!$$971), "", 'Data Entry'!$$971)</f>
      </c>
      <c r="CK971">
        <f>IF(ISBLANK('Data Entry'!$$971), "", 'Data Entry'!$$971)</f>
      </c>
      <c r="CL971">
        <f>IF(ISBLANK('Data Entry'!$$971), "", 'Data Entry'!$$971)</f>
      </c>
      <c r="CM971">
        <f>IF(ISBLANK('Data Entry'!$$971), "", 'Data Entry'!$$971)</f>
      </c>
      <c r="CN971">
        <f>IF(ISBLANK('Data Entry'!$$971), "", 'Data Entry'!$$971)</f>
      </c>
      <c r="CO971">
        <f>IF(ISBLANK('Data Entry'!$$971), "", 'Data Entry'!$$971)</f>
      </c>
      <c r="CP971">
        <f>IF(ISBLANK('Data Entry'!$$971), "", 'Data Entry'!$$971)</f>
      </c>
      <c r="CQ971">
        <f>IF(ISBLANK('Data Entry'!$$971), "", 'Data Entry'!$$971)</f>
      </c>
      <c r="CR971">
        <f>IF(ISBLANK('Data Entry'!$ $971), "", 'Data Entry'!$ $971)</f>
      </c>
      <c r="CS971">
        <f>IF(ISBLANK('Data Entry'!$¡$971), "", 'Data Entry'!$¡$971)</f>
      </c>
      <c r="CT971">
        <f>IF(ISBLANK('Data Entry'!$¢$971), "", 'Data Entry'!$¢$971)</f>
      </c>
      <c r="CU971">
        <f>IF(ISBLANK('Data Entry'!$£$971), "", 'Data Entry'!$£$971)</f>
      </c>
      <c r="CV971">
        <f>IF(ISBLANK('Data Entry'!$¤$971), "", 'Data Entry'!$¤$971)</f>
      </c>
      <c r="CW971">
        <f>IF(ISBLANK('Data Entry'!$¥$971), "", 'Data Entry'!$¥$971)</f>
      </c>
      <c r="CX971">
        <f>IF(ISBLANK('Data Entry'!$¦$971), "", 'Data Entry'!$¦$971)</f>
      </c>
      <c r="CY971">
        <f>IF(ISBLANK('Data Entry'!$§$971), "", 'Data Entry'!$§$971)</f>
      </c>
      <c r="CZ971">
        <f>IF(ISBLANK('Data Entry'!$¨$971), "", 'Data Entry'!$¨$971)</f>
      </c>
      <c r="DA971">
        <f>IF(ISBLANK('Data Entry'!$©$971), "", 'Data Entry'!$©$971)</f>
      </c>
      <c r="DB971">
        <f>IF(ISBLANK('Data Entry'!$ª$971), "", 'Data Entry'!$ª$971)</f>
      </c>
      <c r="DC971">
        <f>IF(ISBLANK('Data Entry'!$«$971), "", 'Data Entry'!$«$971)</f>
      </c>
      <c r="DD971">
        <f>IF(ISBLANK('Data Entry'!$¬$971), "", 'Data Entry'!$¬$971)</f>
      </c>
      <c r="DE971">
        <f>IF(ISBLANK('Data Entry'!$­$971), "", 'Data Entry'!$­$971)</f>
      </c>
      <c r="DF971">
        <f>IF(ISBLANK('Data Entry'!$®$971), "", 'Data Entry'!$®$971)</f>
      </c>
      <c r="DG971">
        <f>IF(ISBLANK('Data Entry'!$¯$971), "", 'Data Entry'!$¯$971)</f>
      </c>
      <c r="DH971">
        <f>IF(ISBLANK('Data Entry'!$°$971), "", 'Data Entry'!$°$971)</f>
      </c>
      <c r="DI971">
        <f>IF(ISBLANK('Data Entry'!$±$971), "", 'Data Entry'!$±$971)</f>
      </c>
      <c r="DJ971">
        <f>IF(ISBLANK('Data Entry'!$²$971), "", 'Data Entry'!$²$971)</f>
      </c>
      <c r="DK971">
        <f>IF(ISBLANK('Data Entry'!$³$971), "", 'Data Entry'!$³$971)</f>
      </c>
      <c r="DL971">
        <f>IF(ISBLANK('Data Entry'!$´$971), "", 'Data Entry'!$´$971)</f>
      </c>
      <c r="DM971">
        <f>IF(ISBLANK('Data Entry'!$µ$971), "", 'Data Entry'!$µ$971)</f>
      </c>
      <c r="DN971">
        <f>IF(ISBLANK('Data Entry'!$¶$971), "", 'Data Entry'!$¶$971)</f>
      </c>
      <c r="DO971">
        <f>IF(ISBLANK('Data Entry'!$·$971), "", 'Data Entry'!$·$971)</f>
      </c>
      <c r="DP971">
        <f>IF(ISBLANK('Data Entry'!$¸$971), "", 'Data Entry'!$¸$971)</f>
      </c>
      <c r="DQ971">
        <f>IF(ISBLANK('Data Entry'!$¹$971), "", 'Data Entry'!$¹$971)</f>
      </c>
      <c r="DR971">
        <f>IF(ISBLANK('Data Entry'!$º$971), "", 'Data Entry'!$º$971)</f>
      </c>
      <c r="DS971">
        <f>IF(ISBLANK('Data Entry'!$»$971), "", 'Data Entry'!$»$971)</f>
      </c>
      <c r="DT971">
        <f>IF(ISBLANK('Data Entry'!$¼$971), "", 'Data Entry'!$¼$971)</f>
      </c>
      <c r="DU971">
        <f>IF(ISBLANK('Data Entry'!$½$971), "", 'Data Entry'!$½$971)</f>
      </c>
      <c r="DV971">
        <f>IF(ISBLANK('Data Entry'!$¾$971), "", 'Data Entry'!$¾$971)</f>
      </c>
      <c r="DW971">
        <f>IF(ISBLANK('Data Entry'!$¿$971), "", 'Data Entry'!$¿$971)</f>
      </c>
      <c r="DX971">
        <f>IF(ISBLANK('Data Entry'!$À$971), "", 'Data Entry'!$À$971)</f>
      </c>
      <c r="DY971">
        <f>IF(ISBLANK('Data Entry'!$Á$971), "", 'Data Entry'!$Á$971)</f>
      </c>
      <c r="DZ971">
        <f>IF(ISBLANK('Data Entry'!$Â$971), "", 'Data Entry'!$Â$971)</f>
      </c>
      <c r="EA971">
        <f>IF(ISBLANK('Data Entry'!$Ã$971), "", 'Data Entry'!$Ã$971)</f>
      </c>
      <c r="EB971">
        <f>IF(ISBLANK('Data Entry'!$Ä$971), "", 'Data Entry'!$Ä$971)</f>
      </c>
      <c r="EC971">
        <f>IF(ISBLANK('Data Entry'!$Å$971), "", 'Data Entry'!$Å$971)</f>
      </c>
      <c r="ED971">
        <f>IF(ISBLANK('Data Entry'!$Æ$971), "", 'Data Entry'!$Æ$971)</f>
      </c>
      <c r="EE971">
        <f>IF(ISBLANK('Data Entry'!$Ç$971), "", 'Data Entry'!$Ç$971)</f>
      </c>
      <c r="EF971">
        <f>IF(ISBLANK('Data Entry'!$È$971), "", 'Data Entry'!$È$971)</f>
      </c>
      <c r="EG971">
        <f>IF(ISBLANK('Data Entry'!$É$971), "", 'Data Entry'!$É$971)</f>
      </c>
      <c r="EH971">
        <f>IF(ISBLANK('Data Entry'!$Ê$971), "", 'Data Entry'!$Ê$971)</f>
      </c>
      <c r="EI971">
        <f>IF(ISBLANK('Data Entry'!$Ë$971), "", 'Data Entry'!$Ë$971)</f>
      </c>
      <c r="EJ971">
        <f>IF(ISBLANK('Data Entry'!$Ì$971), "", 'Data Entry'!$Ì$971)</f>
      </c>
      <c r="EK971">
        <f>IF(ISBLANK('Data Entry'!$Í$971), "", 'Data Entry'!$Í$971)</f>
      </c>
      <c r="EL971">
        <f>IF(ISBLANK('Data Entry'!$Î$971), "", 'Data Entry'!$Î$971)</f>
      </c>
      <c r="EM971">
        <f>IF(ISBLANK('Data Entry'!$Ï$971), "", 'Data Entry'!$Ï$971)</f>
      </c>
      <c r="EN971">
        <f>IF(ISBLANK('Data Entry'!$Ð$971), "", 'Data Entry'!$Ð$971)</f>
      </c>
      <c r="EO971">
        <f>IF(ISBLANK('Data Entry'!$Ñ$971), "", 'Data Entry'!$Ñ$971)</f>
      </c>
      <c r="EP971">
        <f>IF(ISBLANK('Data Entry'!$Ò$971), "", 'Data Entry'!$Ò$971)</f>
      </c>
      <c r="EQ971">
        <f>IF(ISBLANK('Data Entry'!$Ó$971), "", 'Data Entry'!$Ó$971)</f>
      </c>
      <c r="ER971">
        <f>IF(ISBLANK('Data Entry'!$Ô$971), "", 'Data Entry'!$Ô$971)</f>
      </c>
      <c r="ES971">
        <f>IF(ISBLANK('Data Entry'!$Õ$971), "", 'Data Entry'!$Õ$971)</f>
      </c>
      <c r="ET971">
        <f>IF(ISBLANK('Data Entry'!$Ö$971), "", 'Data Entry'!$Ö$971)</f>
      </c>
      <c r="EU971">
        <f>IF(ISBLANK('Data Entry'!$×$971), "", 'Data Entry'!$×$971)</f>
      </c>
      <c r="EV971">
        <f>IF(ISBLANK('Data Entry'!$Ø$971), "", 'Data Entry'!$Ø$971)</f>
      </c>
      <c r="EW971">
        <f>IF(ISBLANK('Data Entry'!$Ù$971), "", 'Data Entry'!$Ù$971)</f>
      </c>
      <c r="EX971">
        <f>IF(ISBLANK('Data Entry'!$Ú$971), "", 'Data Entry'!$Ú$971)</f>
      </c>
      <c r="EY971">
        <f>IF(ISBLANK('Data Entry'!$Û$971), "", 'Data Entry'!$Û$971)</f>
      </c>
      <c r="EZ971">
        <f>IF(ISBLANK('Data Entry'!$Ü$971), "", 'Data Entry'!$Ü$971)</f>
      </c>
      <c r="FA971">
        <f>IF(ISBLANK('Data Entry'!$Ý$971), "", 'Data Entry'!$Ý$971)</f>
      </c>
      <c r="FB971">
        <f>IF(ISBLANK('Data Entry'!$Þ$971), "", 'Data Entry'!$Þ$971)</f>
      </c>
      <c r="FC971">
        <f>IF(ISBLANK('Data Entry'!$ß$971), "", 'Data Entry'!$ß$971)</f>
      </c>
      <c r="FD971">
        <f>IF(ISBLANK('Data Entry'!$à$971), "", 'Data Entry'!$à$971)</f>
      </c>
      <c r="FE971">
        <f>IF(ISBLANK('Data Entry'!$á$971), "", 'Data Entry'!$á$971)</f>
      </c>
      <c r="FF971">
        <f>IF(ISBLANK('Data Entry'!$â$971), "", 'Data Entry'!$â$971)</f>
      </c>
      <c r="FG971">
        <f>IF(ISBLANK('Data Entry'!$ã$971), "", 'Data Entry'!$ã$971)</f>
      </c>
      <c r="FH971">
        <f>IF(ISBLANK('Data Entry'!$ä$971), "", 'Data Entry'!$ä$971)</f>
      </c>
      <c r="FI971">
        <f>IF(ISBLANK('Data Entry'!$å$971), "", 'Data Entry'!$å$971)</f>
      </c>
      <c r="FJ971">
        <f>IF(ISBLANK('Data Entry'!$æ$971), "", 'Data Entry'!$æ$971)</f>
      </c>
      <c r="FK971">
        <f>IF(ISBLANK('Data Entry'!$ç$971), "", 'Data Entry'!$ç$971)</f>
      </c>
      <c r="FL971">
        <f>IF(ISBLANK('Data Entry'!$è$971), "", 'Data Entry'!$è$971)</f>
      </c>
      <c r="FM971">
        <f>IF(ISBLANK('Data Entry'!$é$971), "", 'Data Entry'!$é$971)</f>
      </c>
      <c r="FN971">
        <f>IF(ISBLANK('Data Entry'!$ê$971), "", 'Data Entry'!$ê$971)</f>
      </c>
      <c r="FO971">
        <f>IF(ISBLANK('Data Entry'!$ë$971), "", 'Data Entry'!$ë$971)</f>
      </c>
      <c r="FP971">
        <f>IF(ISBLANK('Data Entry'!$ì$971), "", 'Data Entry'!$ì$971)</f>
      </c>
      <c r="FQ971">
        <f>IF(ISBLANK('Data Entry'!$í$971), "", 'Data Entry'!$í$971)</f>
      </c>
      <c r="FR971">
        <f>IF(ISBLANK('Data Entry'!$î$971), "", 'Data Entry'!$î$971)</f>
      </c>
      <c r="FS971">
        <f>IF(ISBLANK('Data Entry'!$ï$971), "", 'Data Entry'!$ï$971)</f>
      </c>
      <c r="FT971">
        <f>IF(ISBLANK('Data Entry'!$ð$971), "", 'Data Entry'!$ð$971)</f>
      </c>
      <c r="FU971">
        <f>IF(ISBLANK('Data Entry'!$ñ$971), "", 'Data Entry'!$ñ$971)</f>
      </c>
      <c r="FV971">
        <f>IF(ISBLANK('Data Entry'!$ò$971), "", 'Data Entry'!$ò$971)</f>
      </c>
      <c r="FW971">
        <f>IF(ISBLANK('Data Entry'!$ó$971), "", 'Data Entry'!$ó$971)</f>
      </c>
      <c r="FX971">
        <f>IF(ISBLANK('Data Entry'!$ô$971), "", 'Data Entry'!$ô$971)</f>
      </c>
      <c r="FY971">
        <f>IF(ISBLANK('Data Entry'!$õ$971), "", 'Data Entry'!$õ$971)</f>
      </c>
      <c r="FZ971">
        <f>IF(ISBLANK('Data Entry'!$ö$971), "", 'Data Entry'!$ö$971)</f>
      </c>
      <c r="GA971">
        <f>IF(ISBLANK('Data Entry'!$÷$971), "", 'Data Entry'!$÷$971)</f>
      </c>
      <c r="GB971">
        <f>IF(ISBLANK('Data Entry'!$ø$971), "", 'Data Entry'!$ø$971)</f>
      </c>
      <c r="GC971">
        <f>IF(ISBLANK('Data Entry'!$ù$971), "", 'Data Entry'!$ù$971)</f>
      </c>
      <c r="GD971">
        <f>IF(ISBLANK('Data Entry'!$ú$971), "", 'Data Entry'!$ú$971)</f>
      </c>
      <c r="GE971">
        <f>IF(ISBLANK('Data Entry'!$û$971), "", 'Data Entry'!$û$971)</f>
      </c>
      <c r="GF971">
        <f>IF(ISBLANK('Data Entry'!$ü$971), "", 'Data Entry'!$ü$971)</f>
      </c>
      <c r="GG971">
        <f>IF(ISBLANK('Data Entry'!$ý$971), "", 'Data Entry'!$ý$971)</f>
      </c>
      <c r="GH971">
        <f>IF(ISBLANK('Data Entry'!$þ$971), "", 'Data Entry'!$þ$971)</f>
      </c>
      <c r="GI971">
        <f>IF(ISBLANK('Data Entry'!$ÿ$971), "", 'Data Entry'!$ÿ$971)</f>
      </c>
      <c r="GJ971">
        <f>IF(ISBLANK('Data Entry'!$Ā$971), "", 'Data Entry'!$Ā$971)</f>
      </c>
      <c r="GK971">
        <f>IF(ISBLANK('Data Entry'!$ā$971), "", 'Data Entry'!$ā$971)</f>
      </c>
      <c r="GL971">
        <f>IF(ISBLANK('Data Entry'!$Ă$971), "", 'Data Entry'!$Ă$971)</f>
      </c>
      <c r="GM971">
        <f>IF(ISBLANK('Data Entry'!$ă$971), "", 'Data Entry'!$ă$971)</f>
      </c>
      <c r="GN971">
        <f>IF(ISBLANK('Data Entry'!$Ą$971), "", 'Data Entry'!$Ą$971)</f>
      </c>
      <c r="GO971">
        <f>IF(ISBLANK('Data Entry'!$ą$971), "", 'Data Entry'!$ą$971)</f>
      </c>
      <c r="GP971">
        <f>IF(ISBLANK('Data Entry'!$Ć$971), "", 'Data Entry'!$Ć$971)</f>
      </c>
      <c r="GQ971">
        <f>IF(ISBLANK('Data Entry'!$ć$971), "", 'Data Entry'!$ć$971)</f>
      </c>
      <c r="GR971">
        <f>IF(ISBLANK('Data Entry'!$Ĉ$971), "", 'Data Entry'!$Ĉ$971)</f>
      </c>
      <c r="GS971">
        <f>IF(ISBLANK('Data Entry'!$ĉ$971), "", 'Data Entry'!$ĉ$971)</f>
      </c>
      <c r="GT971">
        <f>IF(ISBLANK('Data Entry'!$Ċ$971), "", 'Data Entry'!$Ċ$971)</f>
      </c>
      <c r="GU971">
        <f>IF(ISBLANK('Data Entry'!$ċ$971), "", 'Data Entry'!$ċ$971)</f>
      </c>
      <c r="GV971">
        <f>IF(ISBLANK('Data Entry'!$Č$971), "", 'Data Entry'!$Č$971)</f>
      </c>
      <c r="GW971">
        <f>IF(ISBLANK('Data Entry'!$č$971), "", 'Data Entry'!$č$971)</f>
      </c>
      <c r="GX971">
        <f>IF(ISBLANK('Data Entry'!$Ď$971), "", 'Data Entry'!$Ď$971)</f>
      </c>
      <c r="GY971">
        <f>IF(ISBLANK('Data Entry'!$ď$971), "", 'Data Entry'!$ď$971)</f>
      </c>
      <c r="GZ971">
        <f>IF(ISBLANK('Data Entry'!$Đ$971), "", 'Data Entry'!$Đ$971)</f>
      </c>
      <c r="HA971">
        <f>IF(ISBLANK('Data Entry'!$đ$971), "", 'Data Entry'!$đ$971)</f>
      </c>
      <c r="HB971">
        <f>IF(ISBLANK('Data Entry'!$Ē$971), "", 'Data Entry'!$Ē$971)</f>
      </c>
      <c r="HC971">
        <f>IF(ISBLANK('Data Entry'!$ē$971), "", 'Data Entry'!$ē$971)</f>
      </c>
      <c r="HD971">
        <f>IF(ISBLANK('Data Entry'!$Ĕ$971), "", 'Data Entry'!$Ĕ$971)</f>
      </c>
      <c r="HE971">
        <f>IF(ISBLANK('Data Entry'!$ĕ$971), "", 'Data Entry'!$ĕ$971)</f>
      </c>
      <c r="HF971">
        <f>IF(ISBLANK('Data Entry'!$Ė$971), "", 'Data Entry'!$Ė$971)</f>
      </c>
      <c r="HG971">
        <f>IF(ISBLANK('Data Entry'!$ė$971), "", 'Data Entry'!$ė$971)</f>
      </c>
      <c r="HH971">
        <f>IF(ISBLANK('Data Entry'!$Ę$971), "", 'Data Entry'!$Ę$971)</f>
      </c>
      <c r="HI971">
        <f>IF(ISBLANK('Data Entry'!$ę$971), "", 'Data Entry'!$ę$971)</f>
      </c>
      <c r="HJ971">
        <f>IF(ISBLANK('Data Entry'!$Ě$971), "", 'Data Entry'!$Ě$971)</f>
      </c>
      <c r="HK971">
        <f>IF(ISBLANK('Data Entry'!$ě$971), "", 'Data Entry'!$ě$971)</f>
      </c>
      <c r="HL971">
        <f>IF(ISBLANK('Data Entry'!$Ĝ$971), "", 'Data Entry'!$Ĝ$971)</f>
      </c>
      <c r="HM971">
        <f>IF(ISBLANK('Data Entry'!$ĝ$971), "", 'Data Entry'!$ĝ$971)</f>
      </c>
      <c r="HN971">
        <f>IF(ISBLANK('Data Entry'!$Ğ$971), "", 'Data Entry'!$Ğ$971)</f>
      </c>
      <c r="HO971">
        <f>IF(ISBLANK('Data Entry'!$ğ$971), "", 'Data Entry'!$ğ$971)</f>
      </c>
      <c r="HP971">
        <f>IF(ISBLANK('Data Entry'!$Ġ$971), "", 'Data Entry'!$Ġ$971)</f>
      </c>
      <c r="HQ971">
        <f>IF(ISBLANK('Data Entry'!$ġ$971), "", 'Data Entry'!$ġ$971)</f>
      </c>
      <c r="HR971">
        <f>IF(ISBLANK('Data Entry'!$Ģ$971), "", 'Data Entry'!$Ģ$971)</f>
      </c>
      <c r="HS971">
        <f>IF(ISBLANK('Data Entry'!$ģ$971), "", 'Data Entry'!$ģ$971)</f>
      </c>
      <c r="HT971">
        <f>IF(ISBLANK('Data Entry'!$Ĥ$971), "", 'Data Entry'!$Ĥ$971)</f>
      </c>
      <c r="HU971">
        <f>IF(ISBLANK('Data Entry'!$ĥ$971), "", 'Data Entry'!$ĥ$971)</f>
      </c>
      <c r="HV971">
        <f>IF(ISBLANK('Data Entry'!$Ħ$971), "", 'Data Entry'!$Ħ$971)</f>
      </c>
      <c r="HW971">
        <f>IF(ISBLANK('Data Entry'!$ħ$971), "", 'Data Entry'!$ħ$971)</f>
      </c>
      <c r="HX971">
        <f>IF(ISBLANK('Data Entry'!$Ĩ$971), "", 'Data Entry'!$Ĩ$971)</f>
      </c>
      <c r="HY971">
        <f>IF(ISBLANK('Data Entry'!$ĩ$971), "", 'Data Entry'!$ĩ$971)</f>
      </c>
      <c r="HZ971">
        <f>IF(ISBLANK('Data Entry'!$Ī$971), "", 'Data Entry'!$Ī$971)</f>
      </c>
      <c r="IA971">
        <f>IF(ISBLANK('Data Entry'!$ī$971), "", 'Data Entry'!$ī$971)</f>
      </c>
      <c r="IB971">
        <f>IF(ISBLANK('Data Entry'!$Ĭ$971), "", 'Data Entry'!$Ĭ$971)</f>
      </c>
      <c r="IC971">
        <f>IF(ISBLANK('Data Entry'!$ĭ$971), "", 'Data Entry'!$ĭ$971)</f>
      </c>
      <c r="ID971">
        <f>IF(ISBLANK('Data Entry'!$Į$971), "", 'Data Entry'!$Į$971)</f>
      </c>
      <c r="IE971">
        <f>IF(ISBLANK('Data Entry'!$į$971), "", 'Data Entry'!$į$971)</f>
      </c>
      <c r="IF971">
        <f>IF(ISBLANK('Data Entry'!$İ$971), "", 'Data Entry'!$İ$971)</f>
      </c>
      <c r="IG971">
        <f>IF(ISBLANK('Data Entry'!$ı$971), "", 'Data Entry'!$ı$971)</f>
      </c>
      <c r="IH971">
        <f>IF(ISBLANK('Data Entry'!$Ĳ$971), "", 'Data Entry'!$Ĳ$971)</f>
      </c>
      <c r="II971">
        <f>IF(ISBLANK('Data Entry'!$ĳ$971), "", 'Data Entry'!$ĳ$971)</f>
      </c>
      <c r="IJ971">
        <f>IF(ISBLANK('Data Entry'!$Ĵ$971), "", 'Data Entry'!$Ĵ$971)</f>
      </c>
      <c r="IK971">
        <f>IF(ISBLANK('Data Entry'!$ĵ$971), "", 'Data Entry'!$ĵ$971)</f>
      </c>
      <c r="IL971">
        <f>IF(ISBLANK('Data Entry'!$Ķ$971), "", 'Data Entry'!$Ķ$971)</f>
      </c>
      <c r="IM971">
        <f>IF(ISBLANK('Data Entry'!$ķ$971), "", 'Data Entry'!$ķ$971)</f>
      </c>
      <c r="IN971">
        <f>IF(ISBLANK('Data Entry'!$ĸ$971), "", 'Data Entry'!$ĸ$971)</f>
      </c>
      <c r="IO971">
        <f>IF(ISBLANK('Data Entry'!$Ĺ$971), "", 'Data Entry'!$Ĺ$971)</f>
      </c>
      <c r="IP971">
        <f>IF(ISBLANK('Data Entry'!$ĺ$971), "", 'Data Entry'!$ĺ$971)</f>
      </c>
      <c r="IQ971">
        <f>IF(ISBLANK('Data Entry'!$Ļ$971), "", 'Data Entry'!$Ļ$971)</f>
      </c>
      <c r="IR971">
        <f>IF(ISBLANK('Data Entry'!$ļ$971), "", 'Data Entry'!$ļ$971)</f>
      </c>
      <c r="IS971">
        <f>IF(ISBLANK('Data Entry'!$Ľ$971), "", 'Data Entry'!$Ľ$971)</f>
      </c>
      <c r="IT971">
        <f>IF(ISBLANK('Data Entry'!$ľ$971), "", 'Data Entry'!$ľ$971)</f>
      </c>
    </row>
    <row r="972" spans="1:254" x14ac:dyDescent="0.25">
      <c r="A972">
        <f>IF(ISBLANK('Data Entry'!$A$972), "", 'Data Entry'!$A$972)</f>
      </c>
      <c r="B972">
        <f>IF(ISBLANK('Data Entry'!$B$972), "", 'Data Entry'!$B$972)</f>
      </c>
      <c r="C972">
        <f>IF(ISBLANK('Data Entry'!$C$972), "", 'Data Entry'!$C$972)</f>
      </c>
      <c r="D972">
        <f>IF(ISBLANK('Data Entry'!$D$972), "", 'Data Entry'!$D$972)</f>
      </c>
      <c r="E972">
        <f>IF(ISBLANK('Data Entry'!$E$972), "", 'Data Entry'!$E$972)</f>
      </c>
      <c r="F972">
        <f>IF(ISBLANK('Data Entry'!$F$972), "", 'Data Entry'!$F$972)</f>
      </c>
      <c r="G972">
        <f>IF(ISBLANK('Data Entry'!$G$972), "", 'Data Entry'!$G$972)</f>
      </c>
      <c r="H972">
        <f>IF(ISBLANK('Data Entry'!$H$972), "", 'Data Entry'!$H$972)</f>
      </c>
      <c r="I972">
        <f>IF(ISBLANK('Data Entry'!$I$972), "", 'Data Entry'!$I$972)</f>
      </c>
      <c r="J972">
        <f>IF(ISBLANK('Data Entry'!$J$972), "", 'Data Entry'!$J$972)</f>
      </c>
      <c r="K972">
        <f>IF(ISBLANK('Data Entry'!$K$972), "", 'Data Entry'!$K$972)</f>
      </c>
      <c r="L972">
        <f>IF(ISBLANK('Data Entry'!$L$972), "", 'Data Entry'!$L$972)</f>
      </c>
      <c r="M972">
        <f>IF(ISBLANK('Data Entry'!$M$972), "", 'Data Entry'!$M$972)</f>
      </c>
      <c r="N972">
        <f>IF(ISBLANK('Data Entry'!$N$972), "", 'Data Entry'!$N$972)</f>
      </c>
      <c r="O972">
        <f>IF(ISBLANK('Data Entry'!$O$972), "", 'Data Entry'!$O$972)</f>
      </c>
      <c r="P972">
        <f>IF(ISBLANK('Data Entry'!$P$972), "", 'Data Entry'!$P$972)</f>
      </c>
      <c r="Q972">
        <f>IF(ISBLANK('Data Entry'!$Q$972), "", 'Data Entry'!$Q$972)</f>
      </c>
      <c r="R972">
        <f>IF(ISBLANK('Data Entry'!$R$972), "", 'Data Entry'!$R$972)</f>
      </c>
      <c r="S972">
        <f>IF(ISBLANK('Data Entry'!$S$972), "", 'Data Entry'!$S$972)</f>
      </c>
      <c r="T972">
        <f>IF(ISBLANK('Data Entry'!$T$972), "", 'Data Entry'!$T$972)</f>
      </c>
      <c r="U972">
        <f>IF(ISBLANK('Data Entry'!$U$972), "", 'Data Entry'!$U$972)</f>
      </c>
      <c r="V972">
        <f>IF(ISBLANK('Data Entry'!$V$972), "", 'Data Entry'!$V$972)</f>
      </c>
      <c r="W972">
        <f>IF(ISBLANK('Data Entry'!$W$972), "", 'Data Entry'!$W$972)</f>
      </c>
      <c r="X972">
        <f>IF(ISBLANK('Data Entry'!$X$972), "", 'Data Entry'!$X$972)</f>
      </c>
      <c r="Y972">
        <f>IF(ISBLANK('Data Entry'!$Y$972), "", 'Data Entry'!$Y$972)</f>
      </c>
      <c r="Z972">
        <f>IF(ISBLANK('Data Entry'!$Z$972), "", 'Data Entry'!$Z$972)</f>
      </c>
      <c r="AA972">
        <f>IF(ISBLANK('Data Entry'!$[$972), "", 'Data Entry'!$[$972)</f>
      </c>
      <c r="AB972">
        <f>IF(ISBLANK('Data Entry'!$\$972), "", 'Data Entry'!$\$972)</f>
      </c>
      <c r="AC972">
        <f>IF(ISBLANK('Data Entry'!$]$972), "", 'Data Entry'!$]$972)</f>
      </c>
      <c r="AD972">
        <f>IF(ISBLANK('Data Entry'!$^$972), "", 'Data Entry'!$^$972)</f>
      </c>
      <c r="AE972">
        <f>IF(ISBLANK('Data Entry'!$_$972), "", 'Data Entry'!$_$972)</f>
      </c>
      <c r="AF972">
        <f>IF(ISBLANK('Data Entry'!$`$972), "", 'Data Entry'!$`$972)</f>
      </c>
      <c r="AG972">
        <f>IF(ISBLANK('Data Entry'!$a$972), "", 'Data Entry'!$a$972)</f>
      </c>
      <c r="AH972">
        <f>IF(ISBLANK('Data Entry'!$b$972), "", 'Data Entry'!$b$972)</f>
      </c>
      <c r="AI972">
        <f>IF(ISBLANK('Data Entry'!$c$972), "", 'Data Entry'!$c$972)</f>
      </c>
      <c r="AJ972">
        <f>IF(ISBLANK('Data Entry'!$d$972), "", 'Data Entry'!$d$972)</f>
      </c>
      <c r="AK972">
        <f>IF(ISBLANK('Data Entry'!$e$972), "", 'Data Entry'!$e$972)</f>
      </c>
      <c r="AL972">
        <f>IF(ISBLANK('Data Entry'!$f$972), "", 'Data Entry'!$f$972)</f>
      </c>
      <c r="AM972">
        <f>IF(ISBLANK('Data Entry'!$g$972), "", 'Data Entry'!$g$972)</f>
      </c>
      <c r="AN972">
        <f>IF(ISBLANK('Data Entry'!$h$972), "", 'Data Entry'!$h$972)</f>
      </c>
      <c r="AO972">
        <f>IF(ISBLANK('Data Entry'!$i$972), "", 'Data Entry'!$i$972)</f>
      </c>
      <c r="AP972">
        <f>IF(ISBLANK('Data Entry'!$j$972), "", 'Data Entry'!$j$972)</f>
      </c>
      <c r="AQ972">
        <f>IF(ISBLANK('Data Entry'!$k$972), "", 'Data Entry'!$k$972)</f>
      </c>
      <c r="AR972">
        <f>IF(ISBLANK('Data Entry'!$l$972), "", 'Data Entry'!$l$972)</f>
      </c>
      <c r="AS972">
        <f>IF(ISBLANK('Data Entry'!$m$972), "", 'Data Entry'!$m$972)</f>
      </c>
      <c r="AT972">
        <f>IF(ISBLANK('Data Entry'!$n$972), "", 'Data Entry'!$n$972)</f>
      </c>
      <c r="AU972">
        <f>IF(ISBLANK('Data Entry'!$o$972), "", 'Data Entry'!$o$972)</f>
      </c>
      <c r="AV972">
        <f>IF(ISBLANK('Data Entry'!$p$972), "", 'Data Entry'!$p$972)</f>
      </c>
      <c r="AW972">
        <f>IF(ISBLANK('Data Entry'!$q$972), "", 'Data Entry'!$q$972)</f>
      </c>
      <c r="AX972">
        <f>IF(ISBLANK('Data Entry'!$r$972), "", 'Data Entry'!$r$972)</f>
      </c>
      <c r="AY972">
        <f>IF(ISBLANK('Data Entry'!$s$972), "", 'Data Entry'!$s$972)</f>
      </c>
      <c r="AZ972">
        <f>IF(ISBLANK('Data Entry'!$t$972), "", 'Data Entry'!$t$972)</f>
      </c>
      <c r="BA972">
        <f>IF(ISBLANK('Data Entry'!$u$972), "", 'Data Entry'!$u$972)</f>
      </c>
      <c r="BB972">
        <f>IF(ISBLANK('Data Entry'!$v$972), "", 'Data Entry'!$v$972)</f>
      </c>
      <c r="BC972">
        <f>IF(ISBLANK('Data Entry'!$w$972), "", 'Data Entry'!$w$972)</f>
      </c>
      <c r="BD972">
        <f>IF(ISBLANK('Data Entry'!$x$972), "", 'Data Entry'!$x$972)</f>
      </c>
      <c r="BE972">
        <f>IF(ISBLANK('Data Entry'!$y$972), "", 'Data Entry'!$y$972)</f>
      </c>
      <c r="BF972">
        <f>IF(ISBLANK('Data Entry'!$z$972), "", 'Data Entry'!$z$972)</f>
      </c>
      <c r="BG972">
        <f>IF(ISBLANK('Data Entry'!${$972), "", 'Data Entry'!${$972)</f>
      </c>
      <c r="BH972">
        <f>IF(ISBLANK('Data Entry'!$|$972), "", 'Data Entry'!$|$972)</f>
      </c>
      <c r="BI972">
        <f>IF(ISBLANK('Data Entry'!$}$972), "", 'Data Entry'!$}$972)</f>
      </c>
      <c r="BJ972">
        <f>IF(ISBLANK('Data Entry'!$~$972), "", 'Data Entry'!$~$972)</f>
      </c>
      <c r="BK972">
        <f>IF(ISBLANK('Data Entry'!$$972), "", 'Data Entry'!$$972)</f>
      </c>
      <c r="BL972">
        <f>IF(ISBLANK('Data Entry'!$$972), "", 'Data Entry'!$$972)</f>
      </c>
      <c r="BM972">
        <f>IF(ISBLANK('Data Entry'!$$972), "", 'Data Entry'!$$972)</f>
      </c>
      <c r="BN972">
        <f>IF(ISBLANK('Data Entry'!$$972), "", 'Data Entry'!$$972)</f>
      </c>
      <c r="BO972">
        <f>IF(ISBLANK('Data Entry'!$$972), "", 'Data Entry'!$$972)</f>
      </c>
      <c r="BP972">
        <f>IF(ISBLANK('Data Entry'!$$972), "", 'Data Entry'!$$972)</f>
      </c>
      <c r="BQ972">
        <f>IF(ISBLANK('Data Entry'!$$972), "", 'Data Entry'!$$972)</f>
      </c>
      <c r="BR972">
        <f>IF(ISBLANK('Data Entry'!$$972), "", 'Data Entry'!$$972)</f>
      </c>
      <c r="BS972">
        <f>IF(ISBLANK('Data Entry'!$$972), "", 'Data Entry'!$$972)</f>
      </c>
      <c r="BT972">
        <f>IF(ISBLANK('Data Entry'!$$972), "", 'Data Entry'!$$972)</f>
      </c>
      <c r="BU972">
        <f>IF(ISBLANK('Data Entry'!$$972), "", 'Data Entry'!$$972)</f>
      </c>
      <c r="BV972">
        <f>IF(ISBLANK('Data Entry'!$$972), "", 'Data Entry'!$$972)</f>
      </c>
      <c r="BW972">
        <f>IF(ISBLANK('Data Entry'!$$972), "", 'Data Entry'!$$972)</f>
      </c>
      <c r="BX972">
        <f>IF(ISBLANK('Data Entry'!$$972), "", 'Data Entry'!$$972)</f>
      </c>
      <c r="BY972">
        <f>IF(ISBLANK('Data Entry'!$$972), "", 'Data Entry'!$$972)</f>
      </c>
      <c r="BZ972">
        <f>IF(ISBLANK('Data Entry'!$$972), "", 'Data Entry'!$$972)</f>
      </c>
      <c r="CA972">
        <f>IF(ISBLANK('Data Entry'!$$972), "", 'Data Entry'!$$972)</f>
      </c>
      <c r="CB972">
        <f>IF(ISBLANK('Data Entry'!$$972), "", 'Data Entry'!$$972)</f>
      </c>
      <c r="CC972">
        <f>IF(ISBLANK('Data Entry'!$$972), "", 'Data Entry'!$$972)</f>
      </c>
      <c r="CD972">
        <f>IF(ISBLANK('Data Entry'!$$972), "", 'Data Entry'!$$972)</f>
      </c>
      <c r="CE972">
        <f>IF(ISBLANK('Data Entry'!$$972), "", 'Data Entry'!$$972)</f>
      </c>
      <c r="CF972">
        <f>IF(ISBLANK('Data Entry'!$$972), "", 'Data Entry'!$$972)</f>
      </c>
      <c r="CG972">
        <f>IF(ISBLANK('Data Entry'!$$972), "", 'Data Entry'!$$972)</f>
      </c>
      <c r="CH972">
        <f>IF(ISBLANK('Data Entry'!$$972), "", 'Data Entry'!$$972)</f>
      </c>
      <c r="CI972">
        <f>IF(ISBLANK('Data Entry'!$$972), "", 'Data Entry'!$$972)</f>
      </c>
      <c r="CJ972">
        <f>IF(ISBLANK('Data Entry'!$$972), "", 'Data Entry'!$$972)</f>
      </c>
      <c r="CK972">
        <f>IF(ISBLANK('Data Entry'!$$972), "", 'Data Entry'!$$972)</f>
      </c>
      <c r="CL972">
        <f>IF(ISBLANK('Data Entry'!$$972), "", 'Data Entry'!$$972)</f>
      </c>
      <c r="CM972">
        <f>IF(ISBLANK('Data Entry'!$$972), "", 'Data Entry'!$$972)</f>
      </c>
      <c r="CN972">
        <f>IF(ISBLANK('Data Entry'!$$972), "", 'Data Entry'!$$972)</f>
      </c>
      <c r="CO972">
        <f>IF(ISBLANK('Data Entry'!$$972), "", 'Data Entry'!$$972)</f>
      </c>
      <c r="CP972">
        <f>IF(ISBLANK('Data Entry'!$$972), "", 'Data Entry'!$$972)</f>
      </c>
      <c r="CQ972">
        <f>IF(ISBLANK('Data Entry'!$$972), "", 'Data Entry'!$$972)</f>
      </c>
      <c r="CR972">
        <f>IF(ISBLANK('Data Entry'!$ $972), "", 'Data Entry'!$ $972)</f>
      </c>
      <c r="CS972">
        <f>IF(ISBLANK('Data Entry'!$¡$972), "", 'Data Entry'!$¡$972)</f>
      </c>
      <c r="CT972">
        <f>IF(ISBLANK('Data Entry'!$¢$972), "", 'Data Entry'!$¢$972)</f>
      </c>
      <c r="CU972">
        <f>IF(ISBLANK('Data Entry'!$£$972), "", 'Data Entry'!$£$972)</f>
      </c>
      <c r="CV972">
        <f>IF(ISBLANK('Data Entry'!$¤$972), "", 'Data Entry'!$¤$972)</f>
      </c>
      <c r="CW972">
        <f>IF(ISBLANK('Data Entry'!$¥$972), "", 'Data Entry'!$¥$972)</f>
      </c>
      <c r="CX972">
        <f>IF(ISBLANK('Data Entry'!$¦$972), "", 'Data Entry'!$¦$972)</f>
      </c>
      <c r="CY972">
        <f>IF(ISBLANK('Data Entry'!$§$972), "", 'Data Entry'!$§$972)</f>
      </c>
      <c r="CZ972">
        <f>IF(ISBLANK('Data Entry'!$¨$972), "", 'Data Entry'!$¨$972)</f>
      </c>
      <c r="DA972">
        <f>IF(ISBLANK('Data Entry'!$©$972), "", 'Data Entry'!$©$972)</f>
      </c>
      <c r="DB972">
        <f>IF(ISBLANK('Data Entry'!$ª$972), "", 'Data Entry'!$ª$972)</f>
      </c>
      <c r="DC972">
        <f>IF(ISBLANK('Data Entry'!$«$972), "", 'Data Entry'!$«$972)</f>
      </c>
      <c r="DD972">
        <f>IF(ISBLANK('Data Entry'!$¬$972), "", 'Data Entry'!$¬$972)</f>
      </c>
      <c r="DE972">
        <f>IF(ISBLANK('Data Entry'!$­$972), "", 'Data Entry'!$­$972)</f>
      </c>
      <c r="DF972">
        <f>IF(ISBLANK('Data Entry'!$®$972), "", 'Data Entry'!$®$972)</f>
      </c>
      <c r="DG972">
        <f>IF(ISBLANK('Data Entry'!$¯$972), "", 'Data Entry'!$¯$972)</f>
      </c>
      <c r="DH972">
        <f>IF(ISBLANK('Data Entry'!$°$972), "", 'Data Entry'!$°$972)</f>
      </c>
      <c r="DI972">
        <f>IF(ISBLANK('Data Entry'!$±$972), "", 'Data Entry'!$±$972)</f>
      </c>
      <c r="DJ972">
        <f>IF(ISBLANK('Data Entry'!$²$972), "", 'Data Entry'!$²$972)</f>
      </c>
      <c r="DK972">
        <f>IF(ISBLANK('Data Entry'!$³$972), "", 'Data Entry'!$³$972)</f>
      </c>
      <c r="DL972">
        <f>IF(ISBLANK('Data Entry'!$´$972), "", 'Data Entry'!$´$972)</f>
      </c>
      <c r="DM972">
        <f>IF(ISBLANK('Data Entry'!$µ$972), "", 'Data Entry'!$µ$972)</f>
      </c>
      <c r="DN972">
        <f>IF(ISBLANK('Data Entry'!$¶$972), "", 'Data Entry'!$¶$972)</f>
      </c>
      <c r="DO972">
        <f>IF(ISBLANK('Data Entry'!$·$972), "", 'Data Entry'!$·$972)</f>
      </c>
      <c r="DP972">
        <f>IF(ISBLANK('Data Entry'!$¸$972), "", 'Data Entry'!$¸$972)</f>
      </c>
      <c r="DQ972">
        <f>IF(ISBLANK('Data Entry'!$¹$972), "", 'Data Entry'!$¹$972)</f>
      </c>
      <c r="DR972">
        <f>IF(ISBLANK('Data Entry'!$º$972), "", 'Data Entry'!$º$972)</f>
      </c>
      <c r="DS972">
        <f>IF(ISBLANK('Data Entry'!$»$972), "", 'Data Entry'!$»$972)</f>
      </c>
      <c r="DT972">
        <f>IF(ISBLANK('Data Entry'!$¼$972), "", 'Data Entry'!$¼$972)</f>
      </c>
      <c r="DU972">
        <f>IF(ISBLANK('Data Entry'!$½$972), "", 'Data Entry'!$½$972)</f>
      </c>
      <c r="DV972">
        <f>IF(ISBLANK('Data Entry'!$¾$972), "", 'Data Entry'!$¾$972)</f>
      </c>
      <c r="DW972">
        <f>IF(ISBLANK('Data Entry'!$¿$972), "", 'Data Entry'!$¿$972)</f>
      </c>
      <c r="DX972">
        <f>IF(ISBLANK('Data Entry'!$À$972), "", 'Data Entry'!$À$972)</f>
      </c>
      <c r="DY972">
        <f>IF(ISBLANK('Data Entry'!$Á$972), "", 'Data Entry'!$Á$972)</f>
      </c>
      <c r="DZ972">
        <f>IF(ISBLANK('Data Entry'!$Â$972), "", 'Data Entry'!$Â$972)</f>
      </c>
      <c r="EA972">
        <f>IF(ISBLANK('Data Entry'!$Ã$972), "", 'Data Entry'!$Ã$972)</f>
      </c>
      <c r="EB972">
        <f>IF(ISBLANK('Data Entry'!$Ä$972), "", 'Data Entry'!$Ä$972)</f>
      </c>
      <c r="EC972">
        <f>IF(ISBLANK('Data Entry'!$Å$972), "", 'Data Entry'!$Å$972)</f>
      </c>
      <c r="ED972">
        <f>IF(ISBLANK('Data Entry'!$Æ$972), "", 'Data Entry'!$Æ$972)</f>
      </c>
      <c r="EE972">
        <f>IF(ISBLANK('Data Entry'!$Ç$972), "", 'Data Entry'!$Ç$972)</f>
      </c>
      <c r="EF972">
        <f>IF(ISBLANK('Data Entry'!$È$972), "", 'Data Entry'!$È$972)</f>
      </c>
      <c r="EG972">
        <f>IF(ISBLANK('Data Entry'!$É$972), "", 'Data Entry'!$É$972)</f>
      </c>
      <c r="EH972">
        <f>IF(ISBLANK('Data Entry'!$Ê$972), "", 'Data Entry'!$Ê$972)</f>
      </c>
      <c r="EI972">
        <f>IF(ISBLANK('Data Entry'!$Ë$972), "", 'Data Entry'!$Ë$972)</f>
      </c>
      <c r="EJ972">
        <f>IF(ISBLANK('Data Entry'!$Ì$972), "", 'Data Entry'!$Ì$972)</f>
      </c>
      <c r="EK972">
        <f>IF(ISBLANK('Data Entry'!$Í$972), "", 'Data Entry'!$Í$972)</f>
      </c>
      <c r="EL972">
        <f>IF(ISBLANK('Data Entry'!$Î$972), "", 'Data Entry'!$Î$972)</f>
      </c>
      <c r="EM972">
        <f>IF(ISBLANK('Data Entry'!$Ï$972), "", 'Data Entry'!$Ï$972)</f>
      </c>
      <c r="EN972">
        <f>IF(ISBLANK('Data Entry'!$Ð$972), "", 'Data Entry'!$Ð$972)</f>
      </c>
      <c r="EO972">
        <f>IF(ISBLANK('Data Entry'!$Ñ$972), "", 'Data Entry'!$Ñ$972)</f>
      </c>
      <c r="EP972">
        <f>IF(ISBLANK('Data Entry'!$Ò$972), "", 'Data Entry'!$Ò$972)</f>
      </c>
      <c r="EQ972">
        <f>IF(ISBLANK('Data Entry'!$Ó$972), "", 'Data Entry'!$Ó$972)</f>
      </c>
      <c r="ER972">
        <f>IF(ISBLANK('Data Entry'!$Ô$972), "", 'Data Entry'!$Ô$972)</f>
      </c>
      <c r="ES972">
        <f>IF(ISBLANK('Data Entry'!$Õ$972), "", 'Data Entry'!$Õ$972)</f>
      </c>
      <c r="ET972">
        <f>IF(ISBLANK('Data Entry'!$Ö$972), "", 'Data Entry'!$Ö$972)</f>
      </c>
      <c r="EU972">
        <f>IF(ISBLANK('Data Entry'!$×$972), "", 'Data Entry'!$×$972)</f>
      </c>
      <c r="EV972">
        <f>IF(ISBLANK('Data Entry'!$Ø$972), "", 'Data Entry'!$Ø$972)</f>
      </c>
      <c r="EW972">
        <f>IF(ISBLANK('Data Entry'!$Ù$972), "", 'Data Entry'!$Ù$972)</f>
      </c>
      <c r="EX972">
        <f>IF(ISBLANK('Data Entry'!$Ú$972), "", 'Data Entry'!$Ú$972)</f>
      </c>
      <c r="EY972">
        <f>IF(ISBLANK('Data Entry'!$Û$972), "", 'Data Entry'!$Û$972)</f>
      </c>
      <c r="EZ972">
        <f>IF(ISBLANK('Data Entry'!$Ü$972), "", 'Data Entry'!$Ü$972)</f>
      </c>
      <c r="FA972">
        <f>IF(ISBLANK('Data Entry'!$Ý$972), "", 'Data Entry'!$Ý$972)</f>
      </c>
      <c r="FB972">
        <f>IF(ISBLANK('Data Entry'!$Þ$972), "", 'Data Entry'!$Þ$972)</f>
      </c>
      <c r="FC972">
        <f>IF(ISBLANK('Data Entry'!$ß$972), "", 'Data Entry'!$ß$972)</f>
      </c>
      <c r="FD972">
        <f>IF(ISBLANK('Data Entry'!$à$972), "", 'Data Entry'!$à$972)</f>
      </c>
      <c r="FE972">
        <f>IF(ISBLANK('Data Entry'!$á$972), "", 'Data Entry'!$á$972)</f>
      </c>
      <c r="FF972">
        <f>IF(ISBLANK('Data Entry'!$â$972), "", 'Data Entry'!$â$972)</f>
      </c>
      <c r="FG972">
        <f>IF(ISBLANK('Data Entry'!$ã$972), "", 'Data Entry'!$ã$972)</f>
      </c>
      <c r="FH972">
        <f>IF(ISBLANK('Data Entry'!$ä$972), "", 'Data Entry'!$ä$972)</f>
      </c>
      <c r="FI972">
        <f>IF(ISBLANK('Data Entry'!$å$972), "", 'Data Entry'!$å$972)</f>
      </c>
      <c r="FJ972">
        <f>IF(ISBLANK('Data Entry'!$æ$972), "", 'Data Entry'!$æ$972)</f>
      </c>
      <c r="FK972">
        <f>IF(ISBLANK('Data Entry'!$ç$972), "", 'Data Entry'!$ç$972)</f>
      </c>
      <c r="FL972">
        <f>IF(ISBLANK('Data Entry'!$è$972), "", 'Data Entry'!$è$972)</f>
      </c>
      <c r="FM972">
        <f>IF(ISBLANK('Data Entry'!$é$972), "", 'Data Entry'!$é$972)</f>
      </c>
      <c r="FN972">
        <f>IF(ISBLANK('Data Entry'!$ê$972), "", 'Data Entry'!$ê$972)</f>
      </c>
      <c r="FO972">
        <f>IF(ISBLANK('Data Entry'!$ë$972), "", 'Data Entry'!$ë$972)</f>
      </c>
      <c r="FP972">
        <f>IF(ISBLANK('Data Entry'!$ì$972), "", 'Data Entry'!$ì$972)</f>
      </c>
      <c r="FQ972">
        <f>IF(ISBLANK('Data Entry'!$í$972), "", 'Data Entry'!$í$972)</f>
      </c>
      <c r="FR972">
        <f>IF(ISBLANK('Data Entry'!$î$972), "", 'Data Entry'!$î$972)</f>
      </c>
      <c r="FS972">
        <f>IF(ISBLANK('Data Entry'!$ï$972), "", 'Data Entry'!$ï$972)</f>
      </c>
      <c r="FT972">
        <f>IF(ISBLANK('Data Entry'!$ð$972), "", 'Data Entry'!$ð$972)</f>
      </c>
      <c r="FU972">
        <f>IF(ISBLANK('Data Entry'!$ñ$972), "", 'Data Entry'!$ñ$972)</f>
      </c>
      <c r="FV972">
        <f>IF(ISBLANK('Data Entry'!$ò$972), "", 'Data Entry'!$ò$972)</f>
      </c>
      <c r="FW972">
        <f>IF(ISBLANK('Data Entry'!$ó$972), "", 'Data Entry'!$ó$972)</f>
      </c>
      <c r="FX972">
        <f>IF(ISBLANK('Data Entry'!$ô$972), "", 'Data Entry'!$ô$972)</f>
      </c>
      <c r="FY972">
        <f>IF(ISBLANK('Data Entry'!$õ$972), "", 'Data Entry'!$õ$972)</f>
      </c>
      <c r="FZ972">
        <f>IF(ISBLANK('Data Entry'!$ö$972), "", 'Data Entry'!$ö$972)</f>
      </c>
      <c r="GA972">
        <f>IF(ISBLANK('Data Entry'!$÷$972), "", 'Data Entry'!$÷$972)</f>
      </c>
      <c r="GB972">
        <f>IF(ISBLANK('Data Entry'!$ø$972), "", 'Data Entry'!$ø$972)</f>
      </c>
      <c r="GC972">
        <f>IF(ISBLANK('Data Entry'!$ù$972), "", 'Data Entry'!$ù$972)</f>
      </c>
      <c r="GD972">
        <f>IF(ISBLANK('Data Entry'!$ú$972), "", 'Data Entry'!$ú$972)</f>
      </c>
      <c r="GE972">
        <f>IF(ISBLANK('Data Entry'!$û$972), "", 'Data Entry'!$û$972)</f>
      </c>
      <c r="GF972">
        <f>IF(ISBLANK('Data Entry'!$ü$972), "", 'Data Entry'!$ü$972)</f>
      </c>
      <c r="GG972">
        <f>IF(ISBLANK('Data Entry'!$ý$972), "", 'Data Entry'!$ý$972)</f>
      </c>
      <c r="GH972">
        <f>IF(ISBLANK('Data Entry'!$þ$972), "", 'Data Entry'!$þ$972)</f>
      </c>
      <c r="GI972">
        <f>IF(ISBLANK('Data Entry'!$ÿ$972), "", 'Data Entry'!$ÿ$972)</f>
      </c>
      <c r="GJ972">
        <f>IF(ISBLANK('Data Entry'!$Ā$972), "", 'Data Entry'!$Ā$972)</f>
      </c>
      <c r="GK972">
        <f>IF(ISBLANK('Data Entry'!$ā$972), "", 'Data Entry'!$ā$972)</f>
      </c>
      <c r="GL972">
        <f>IF(ISBLANK('Data Entry'!$Ă$972), "", 'Data Entry'!$Ă$972)</f>
      </c>
      <c r="GM972">
        <f>IF(ISBLANK('Data Entry'!$ă$972), "", 'Data Entry'!$ă$972)</f>
      </c>
      <c r="GN972">
        <f>IF(ISBLANK('Data Entry'!$Ą$972), "", 'Data Entry'!$Ą$972)</f>
      </c>
      <c r="GO972">
        <f>IF(ISBLANK('Data Entry'!$ą$972), "", 'Data Entry'!$ą$972)</f>
      </c>
      <c r="GP972">
        <f>IF(ISBLANK('Data Entry'!$Ć$972), "", 'Data Entry'!$Ć$972)</f>
      </c>
      <c r="GQ972">
        <f>IF(ISBLANK('Data Entry'!$ć$972), "", 'Data Entry'!$ć$972)</f>
      </c>
      <c r="GR972">
        <f>IF(ISBLANK('Data Entry'!$Ĉ$972), "", 'Data Entry'!$Ĉ$972)</f>
      </c>
      <c r="GS972">
        <f>IF(ISBLANK('Data Entry'!$ĉ$972), "", 'Data Entry'!$ĉ$972)</f>
      </c>
      <c r="GT972">
        <f>IF(ISBLANK('Data Entry'!$Ċ$972), "", 'Data Entry'!$Ċ$972)</f>
      </c>
      <c r="GU972">
        <f>IF(ISBLANK('Data Entry'!$ċ$972), "", 'Data Entry'!$ċ$972)</f>
      </c>
      <c r="GV972">
        <f>IF(ISBLANK('Data Entry'!$Č$972), "", 'Data Entry'!$Č$972)</f>
      </c>
      <c r="GW972">
        <f>IF(ISBLANK('Data Entry'!$č$972), "", 'Data Entry'!$č$972)</f>
      </c>
      <c r="GX972">
        <f>IF(ISBLANK('Data Entry'!$Ď$972), "", 'Data Entry'!$Ď$972)</f>
      </c>
      <c r="GY972">
        <f>IF(ISBLANK('Data Entry'!$ď$972), "", 'Data Entry'!$ď$972)</f>
      </c>
      <c r="GZ972">
        <f>IF(ISBLANK('Data Entry'!$Đ$972), "", 'Data Entry'!$Đ$972)</f>
      </c>
      <c r="HA972">
        <f>IF(ISBLANK('Data Entry'!$đ$972), "", 'Data Entry'!$đ$972)</f>
      </c>
      <c r="HB972">
        <f>IF(ISBLANK('Data Entry'!$Ē$972), "", 'Data Entry'!$Ē$972)</f>
      </c>
      <c r="HC972">
        <f>IF(ISBLANK('Data Entry'!$ē$972), "", 'Data Entry'!$ē$972)</f>
      </c>
      <c r="HD972">
        <f>IF(ISBLANK('Data Entry'!$Ĕ$972), "", 'Data Entry'!$Ĕ$972)</f>
      </c>
      <c r="HE972">
        <f>IF(ISBLANK('Data Entry'!$ĕ$972), "", 'Data Entry'!$ĕ$972)</f>
      </c>
      <c r="HF972">
        <f>IF(ISBLANK('Data Entry'!$Ė$972), "", 'Data Entry'!$Ė$972)</f>
      </c>
      <c r="HG972">
        <f>IF(ISBLANK('Data Entry'!$ė$972), "", 'Data Entry'!$ė$972)</f>
      </c>
      <c r="HH972">
        <f>IF(ISBLANK('Data Entry'!$Ę$972), "", 'Data Entry'!$Ę$972)</f>
      </c>
      <c r="HI972">
        <f>IF(ISBLANK('Data Entry'!$ę$972), "", 'Data Entry'!$ę$972)</f>
      </c>
      <c r="HJ972">
        <f>IF(ISBLANK('Data Entry'!$Ě$972), "", 'Data Entry'!$Ě$972)</f>
      </c>
      <c r="HK972">
        <f>IF(ISBLANK('Data Entry'!$ě$972), "", 'Data Entry'!$ě$972)</f>
      </c>
      <c r="HL972">
        <f>IF(ISBLANK('Data Entry'!$Ĝ$972), "", 'Data Entry'!$Ĝ$972)</f>
      </c>
      <c r="HM972">
        <f>IF(ISBLANK('Data Entry'!$ĝ$972), "", 'Data Entry'!$ĝ$972)</f>
      </c>
      <c r="HN972">
        <f>IF(ISBLANK('Data Entry'!$Ğ$972), "", 'Data Entry'!$Ğ$972)</f>
      </c>
      <c r="HO972">
        <f>IF(ISBLANK('Data Entry'!$ğ$972), "", 'Data Entry'!$ğ$972)</f>
      </c>
      <c r="HP972">
        <f>IF(ISBLANK('Data Entry'!$Ġ$972), "", 'Data Entry'!$Ġ$972)</f>
      </c>
      <c r="HQ972">
        <f>IF(ISBLANK('Data Entry'!$ġ$972), "", 'Data Entry'!$ġ$972)</f>
      </c>
      <c r="HR972">
        <f>IF(ISBLANK('Data Entry'!$Ģ$972), "", 'Data Entry'!$Ģ$972)</f>
      </c>
      <c r="HS972">
        <f>IF(ISBLANK('Data Entry'!$ģ$972), "", 'Data Entry'!$ģ$972)</f>
      </c>
      <c r="HT972">
        <f>IF(ISBLANK('Data Entry'!$Ĥ$972), "", 'Data Entry'!$Ĥ$972)</f>
      </c>
      <c r="HU972">
        <f>IF(ISBLANK('Data Entry'!$ĥ$972), "", 'Data Entry'!$ĥ$972)</f>
      </c>
      <c r="HV972">
        <f>IF(ISBLANK('Data Entry'!$Ħ$972), "", 'Data Entry'!$Ħ$972)</f>
      </c>
      <c r="HW972">
        <f>IF(ISBLANK('Data Entry'!$ħ$972), "", 'Data Entry'!$ħ$972)</f>
      </c>
      <c r="HX972">
        <f>IF(ISBLANK('Data Entry'!$Ĩ$972), "", 'Data Entry'!$Ĩ$972)</f>
      </c>
      <c r="HY972">
        <f>IF(ISBLANK('Data Entry'!$ĩ$972), "", 'Data Entry'!$ĩ$972)</f>
      </c>
      <c r="HZ972">
        <f>IF(ISBLANK('Data Entry'!$Ī$972), "", 'Data Entry'!$Ī$972)</f>
      </c>
      <c r="IA972">
        <f>IF(ISBLANK('Data Entry'!$ī$972), "", 'Data Entry'!$ī$972)</f>
      </c>
      <c r="IB972">
        <f>IF(ISBLANK('Data Entry'!$Ĭ$972), "", 'Data Entry'!$Ĭ$972)</f>
      </c>
      <c r="IC972">
        <f>IF(ISBLANK('Data Entry'!$ĭ$972), "", 'Data Entry'!$ĭ$972)</f>
      </c>
      <c r="ID972">
        <f>IF(ISBLANK('Data Entry'!$Į$972), "", 'Data Entry'!$Į$972)</f>
      </c>
      <c r="IE972">
        <f>IF(ISBLANK('Data Entry'!$į$972), "", 'Data Entry'!$į$972)</f>
      </c>
      <c r="IF972">
        <f>IF(ISBLANK('Data Entry'!$İ$972), "", 'Data Entry'!$İ$972)</f>
      </c>
      <c r="IG972">
        <f>IF(ISBLANK('Data Entry'!$ı$972), "", 'Data Entry'!$ı$972)</f>
      </c>
      <c r="IH972">
        <f>IF(ISBLANK('Data Entry'!$Ĳ$972), "", 'Data Entry'!$Ĳ$972)</f>
      </c>
      <c r="II972">
        <f>IF(ISBLANK('Data Entry'!$ĳ$972), "", 'Data Entry'!$ĳ$972)</f>
      </c>
      <c r="IJ972">
        <f>IF(ISBLANK('Data Entry'!$Ĵ$972), "", 'Data Entry'!$Ĵ$972)</f>
      </c>
      <c r="IK972">
        <f>IF(ISBLANK('Data Entry'!$ĵ$972), "", 'Data Entry'!$ĵ$972)</f>
      </c>
      <c r="IL972">
        <f>IF(ISBLANK('Data Entry'!$Ķ$972), "", 'Data Entry'!$Ķ$972)</f>
      </c>
      <c r="IM972">
        <f>IF(ISBLANK('Data Entry'!$ķ$972), "", 'Data Entry'!$ķ$972)</f>
      </c>
      <c r="IN972">
        <f>IF(ISBLANK('Data Entry'!$ĸ$972), "", 'Data Entry'!$ĸ$972)</f>
      </c>
      <c r="IO972">
        <f>IF(ISBLANK('Data Entry'!$Ĺ$972), "", 'Data Entry'!$Ĺ$972)</f>
      </c>
      <c r="IP972">
        <f>IF(ISBLANK('Data Entry'!$ĺ$972), "", 'Data Entry'!$ĺ$972)</f>
      </c>
      <c r="IQ972">
        <f>IF(ISBLANK('Data Entry'!$Ļ$972), "", 'Data Entry'!$Ļ$972)</f>
      </c>
      <c r="IR972">
        <f>IF(ISBLANK('Data Entry'!$ļ$972), "", 'Data Entry'!$ļ$972)</f>
      </c>
      <c r="IS972">
        <f>IF(ISBLANK('Data Entry'!$Ľ$972), "", 'Data Entry'!$Ľ$972)</f>
      </c>
      <c r="IT972">
        <f>IF(ISBLANK('Data Entry'!$ľ$972), "", 'Data Entry'!$ľ$972)</f>
      </c>
    </row>
    <row r="973" spans="1:254" x14ac:dyDescent="0.25">
      <c r="A973">
        <f>IF(ISBLANK('Data Entry'!$A$973), "", 'Data Entry'!$A$973)</f>
      </c>
      <c r="B973">
        <f>IF(ISBLANK('Data Entry'!$B$973), "", 'Data Entry'!$B$973)</f>
      </c>
      <c r="C973">
        <f>IF(ISBLANK('Data Entry'!$C$973), "", 'Data Entry'!$C$973)</f>
      </c>
      <c r="D973">
        <f>IF(ISBLANK('Data Entry'!$D$973), "", 'Data Entry'!$D$973)</f>
      </c>
      <c r="E973">
        <f>IF(ISBLANK('Data Entry'!$E$973), "", 'Data Entry'!$E$973)</f>
      </c>
      <c r="F973">
        <f>IF(ISBLANK('Data Entry'!$F$973), "", 'Data Entry'!$F$973)</f>
      </c>
      <c r="G973">
        <f>IF(ISBLANK('Data Entry'!$G$973), "", 'Data Entry'!$G$973)</f>
      </c>
      <c r="H973">
        <f>IF(ISBLANK('Data Entry'!$H$973), "", 'Data Entry'!$H$973)</f>
      </c>
      <c r="I973">
        <f>IF(ISBLANK('Data Entry'!$I$973), "", 'Data Entry'!$I$973)</f>
      </c>
      <c r="J973">
        <f>IF(ISBLANK('Data Entry'!$J$973), "", 'Data Entry'!$J$973)</f>
      </c>
      <c r="K973">
        <f>IF(ISBLANK('Data Entry'!$K$973), "", 'Data Entry'!$K$973)</f>
      </c>
      <c r="L973">
        <f>IF(ISBLANK('Data Entry'!$L$973), "", 'Data Entry'!$L$973)</f>
      </c>
      <c r="M973">
        <f>IF(ISBLANK('Data Entry'!$M$973), "", 'Data Entry'!$M$973)</f>
      </c>
      <c r="N973">
        <f>IF(ISBLANK('Data Entry'!$N$973), "", 'Data Entry'!$N$973)</f>
      </c>
      <c r="O973">
        <f>IF(ISBLANK('Data Entry'!$O$973), "", 'Data Entry'!$O$973)</f>
      </c>
      <c r="P973">
        <f>IF(ISBLANK('Data Entry'!$P$973), "", 'Data Entry'!$P$973)</f>
      </c>
      <c r="Q973">
        <f>IF(ISBLANK('Data Entry'!$Q$973), "", 'Data Entry'!$Q$973)</f>
      </c>
      <c r="R973">
        <f>IF(ISBLANK('Data Entry'!$R$973), "", 'Data Entry'!$R$973)</f>
      </c>
      <c r="S973">
        <f>IF(ISBLANK('Data Entry'!$S$973), "", 'Data Entry'!$S$973)</f>
      </c>
      <c r="T973">
        <f>IF(ISBLANK('Data Entry'!$T$973), "", 'Data Entry'!$T$973)</f>
      </c>
      <c r="U973">
        <f>IF(ISBLANK('Data Entry'!$U$973), "", 'Data Entry'!$U$973)</f>
      </c>
      <c r="V973">
        <f>IF(ISBLANK('Data Entry'!$V$973), "", 'Data Entry'!$V$973)</f>
      </c>
      <c r="W973">
        <f>IF(ISBLANK('Data Entry'!$W$973), "", 'Data Entry'!$W$973)</f>
      </c>
      <c r="X973">
        <f>IF(ISBLANK('Data Entry'!$X$973), "", 'Data Entry'!$X$973)</f>
      </c>
      <c r="Y973">
        <f>IF(ISBLANK('Data Entry'!$Y$973), "", 'Data Entry'!$Y$973)</f>
      </c>
      <c r="Z973">
        <f>IF(ISBLANK('Data Entry'!$Z$973), "", 'Data Entry'!$Z$973)</f>
      </c>
      <c r="AA973">
        <f>IF(ISBLANK('Data Entry'!$[$973), "", 'Data Entry'!$[$973)</f>
      </c>
      <c r="AB973">
        <f>IF(ISBLANK('Data Entry'!$\$973), "", 'Data Entry'!$\$973)</f>
      </c>
      <c r="AC973">
        <f>IF(ISBLANK('Data Entry'!$]$973), "", 'Data Entry'!$]$973)</f>
      </c>
      <c r="AD973">
        <f>IF(ISBLANK('Data Entry'!$^$973), "", 'Data Entry'!$^$973)</f>
      </c>
      <c r="AE973">
        <f>IF(ISBLANK('Data Entry'!$_$973), "", 'Data Entry'!$_$973)</f>
      </c>
      <c r="AF973">
        <f>IF(ISBLANK('Data Entry'!$`$973), "", 'Data Entry'!$`$973)</f>
      </c>
      <c r="AG973">
        <f>IF(ISBLANK('Data Entry'!$a$973), "", 'Data Entry'!$a$973)</f>
      </c>
      <c r="AH973">
        <f>IF(ISBLANK('Data Entry'!$b$973), "", 'Data Entry'!$b$973)</f>
      </c>
      <c r="AI973">
        <f>IF(ISBLANK('Data Entry'!$c$973), "", 'Data Entry'!$c$973)</f>
      </c>
      <c r="AJ973">
        <f>IF(ISBLANK('Data Entry'!$d$973), "", 'Data Entry'!$d$973)</f>
      </c>
      <c r="AK973">
        <f>IF(ISBLANK('Data Entry'!$e$973), "", 'Data Entry'!$e$973)</f>
      </c>
      <c r="AL973">
        <f>IF(ISBLANK('Data Entry'!$f$973), "", 'Data Entry'!$f$973)</f>
      </c>
      <c r="AM973">
        <f>IF(ISBLANK('Data Entry'!$g$973), "", 'Data Entry'!$g$973)</f>
      </c>
      <c r="AN973">
        <f>IF(ISBLANK('Data Entry'!$h$973), "", 'Data Entry'!$h$973)</f>
      </c>
      <c r="AO973">
        <f>IF(ISBLANK('Data Entry'!$i$973), "", 'Data Entry'!$i$973)</f>
      </c>
      <c r="AP973">
        <f>IF(ISBLANK('Data Entry'!$j$973), "", 'Data Entry'!$j$973)</f>
      </c>
      <c r="AQ973">
        <f>IF(ISBLANK('Data Entry'!$k$973), "", 'Data Entry'!$k$973)</f>
      </c>
      <c r="AR973">
        <f>IF(ISBLANK('Data Entry'!$l$973), "", 'Data Entry'!$l$973)</f>
      </c>
      <c r="AS973">
        <f>IF(ISBLANK('Data Entry'!$m$973), "", 'Data Entry'!$m$973)</f>
      </c>
      <c r="AT973">
        <f>IF(ISBLANK('Data Entry'!$n$973), "", 'Data Entry'!$n$973)</f>
      </c>
      <c r="AU973">
        <f>IF(ISBLANK('Data Entry'!$o$973), "", 'Data Entry'!$o$973)</f>
      </c>
      <c r="AV973">
        <f>IF(ISBLANK('Data Entry'!$p$973), "", 'Data Entry'!$p$973)</f>
      </c>
      <c r="AW973">
        <f>IF(ISBLANK('Data Entry'!$q$973), "", 'Data Entry'!$q$973)</f>
      </c>
      <c r="AX973">
        <f>IF(ISBLANK('Data Entry'!$r$973), "", 'Data Entry'!$r$973)</f>
      </c>
      <c r="AY973">
        <f>IF(ISBLANK('Data Entry'!$s$973), "", 'Data Entry'!$s$973)</f>
      </c>
      <c r="AZ973">
        <f>IF(ISBLANK('Data Entry'!$t$973), "", 'Data Entry'!$t$973)</f>
      </c>
      <c r="BA973">
        <f>IF(ISBLANK('Data Entry'!$u$973), "", 'Data Entry'!$u$973)</f>
      </c>
      <c r="BB973">
        <f>IF(ISBLANK('Data Entry'!$v$973), "", 'Data Entry'!$v$973)</f>
      </c>
      <c r="BC973">
        <f>IF(ISBLANK('Data Entry'!$w$973), "", 'Data Entry'!$w$973)</f>
      </c>
      <c r="BD973">
        <f>IF(ISBLANK('Data Entry'!$x$973), "", 'Data Entry'!$x$973)</f>
      </c>
      <c r="BE973">
        <f>IF(ISBLANK('Data Entry'!$y$973), "", 'Data Entry'!$y$973)</f>
      </c>
      <c r="BF973">
        <f>IF(ISBLANK('Data Entry'!$z$973), "", 'Data Entry'!$z$973)</f>
      </c>
      <c r="BG973">
        <f>IF(ISBLANK('Data Entry'!${$973), "", 'Data Entry'!${$973)</f>
      </c>
      <c r="BH973">
        <f>IF(ISBLANK('Data Entry'!$|$973), "", 'Data Entry'!$|$973)</f>
      </c>
      <c r="BI973">
        <f>IF(ISBLANK('Data Entry'!$}$973), "", 'Data Entry'!$}$973)</f>
      </c>
      <c r="BJ973">
        <f>IF(ISBLANK('Data Entry'!$~$973), "", 'Data Entry'!$~$973)</f>
      </c>
      <c r="BK973">
        <f>IF(ISBLANK('Data Entry'!$$973), "", 'Data Entry'!$$973)</f>
      </c>
      <c r="BL973">
        <f>IF(ISBLANK('Data Entry'!$$973), "", 'Data Entry'!$$973)</f>
      </c>
      <c r="BM973">
        <f>IF(ISBLANK('Data Entry'!$$973), "", 'Data Entry'!$$973)</f>
      </c>
      <c r="BN973">
        <f>IF(ISBLANK('Data Entry'!$$973), "", 'Data Entry'!$$973)</f>
      </c>
      <c r="BO973">
        <f>IF(ISBLANK('Data Entry'!$$973), "", 'Data Entry'!$$973)</f>
      </c>
      <c r="BP973">
        <f>IF(ISBLANK('Data Entry'!$$973), "", 'Data Entry'!$$973)</f>
      </c>
      <c r="BQ973">
        <f>IF(ISBLANK('Data Entry'!$$973), "", 'Data Entry'!$$973)</f>
      </c>
      <c r="BR973">
        <f>IF(ISBLANK('Data Entry'!$$973), "", 'Data Entry'!$$973)</f>
      </c>
      <c r="BS973">
        <f>IF(ISBLANK('Data Entry'!$$973), "", 'Data Entry'!$$973)</f>
      </c>
      <c r="BT973">
        <f>IF(ISBLANK('Data Entry'!$$973), "", 'Data Entry'!$$973)</f>
      </c>
      <c r="BU973">
        <f>IF(ISBLANK('Data Entry'!$$973), "", 'Data Entry'!$$973)</f>
      </c>
      <c r="BV973">
        <f>IF(ISBLANK('Data Entry'!$$973), "", 'Data Entry'!$$973)</f>
      </c>
      <c r="BW973">
        <f>IF(ISBLANK('Data Entry'!$$973), "", 'Data Entry'!$$973)</f>
      </c>
      <c r="BX973">
        <f>IF(ISBLANK('Data Entry'!$$973), "", 'Data Entry'!$$973)</f>
      </c>
      <c r="BY973">
        <f>IF(ISBLANK('Data Entry'!$$973), "", 'Data Entry'!$$973)</f>
      </c>
      <c r="BZ973">
        <f>IF(ISBLANK('Data Entry'!$$973), "", 'Data Entry'!$$973)</f>
      </c>
      <c r="CA973">
        <f>IF(ISBLANK('Data Entry'!$$973), "", 'Data Entry'!$$973)</f>
      </c>
      <c r="CB973">
        <f>IF(ISBLANK('Data Entry'!$$973), "", 'Data Entry'!$$973)</f>
      </c>
      <c r="CC973">
        <f>IF(ISBLANK('Data Entry'!$$973), "", 'Data Entry'!$$973)</f>
      </c>
      <c r="CD973">
        <f>IF(ISBLANK('Data Entry'!$$973), "", 'Data Entry'!$$973)</f>
      </c>
      <c r="CE973">
        <f>IF(ISBLANK('Data Entry'!$$973), "", 'Data Entry'!$$973)</f>
      </c>
      <c r="CF973">
        <f>IF(ISBLANK('Data Entry'!$$973), "", 'Data Entry'!$$973)</f>
      </c>
      <c r="CG973">
        <f>IF(ISBLANK('Data Entry'!$$973), "", 'Data Entry'!$$973)</f>
      </c>
      <c r="CH973">
        <f>IF(ISBLANK('Data Entry'!$$973), "", 'Data Entry'!$$973)</f>
      </c>
      <c r="CI973">
        <f>IF(ISBLANK('Data Entry'!$$973), "", 'Data Entry'!$$973)</f>
      </c>
      <c r="CJ973">
        <f>IF(ISBLANK('Data Entry'!$$973), "", 'Data Entry'!$$973)</f>
      </c>
      <c r="CK973">
        <f>IF(ISBLANK('Data Entry'!$$973), "", 'Data Entry'!$$973)</f>
      </c>
      <c r="CL973">
        <f>IF(ISBLANK('Data Entry'!$$973), "", 'Data Entry'!$$973)</f>
      </c>
      <c r="CM973">
        <f>IF(ISBLANK('Data Entry'!$$973), "", 'Data Entry'!$$973)</f>
      </c>
      <c r="CN973">
        <f>IF(ISBLANK('Data Entry'!$$973), "", 'Data Entry'!$$973)</f>
      </c>
      <c r="CO973">
        <f>IF(ISBLANK('Data Entry'!$$973), "", 'Data Entry'!$$973)</f>
      </c>
      <c r="CP973">
        <f>IF(ISBLANK('Data Entry'!$$973), "", 'Data Entry'!$$973)</f>
      </c>
      <c r="CQ973">
        <f>IF(ISBLANK('Data Entry'!$$973), "", 'Data Entry'!$$973)</f>
      </c>
      <c r="CR973">
        <f>IF(ISBLANK('Data Entry'!$ $973), "", 'Data Entry'!$ $973)</f>
      </c>
      <c r="CS973">
        <f>IF(ISBLANK('Data Entry'!$¡$973), "", 'Data Entry'!$¡$973)</f>
      </c>
      <c r="CT973">
        <f>IF(ISBLANK('Data Entry'!$¢$973), "", 'Data Entry'!$¢$973)</f>
      </c>
      <c r="CU973">
        <f>IF(ISBLANK('Data Entry'!$£$973), "", 'Data Entry'!$£$973)</f>
      </c>
      <c r="CV973">
        <f>IF(ISBLANK('Data Entry'!$¤$973), "", 'Data Entry'!$¤$973)</f>
      </c>
      <c r="CW973">
        <f>IF(ISBLANK('Data Entry'!$¥$973), "", 'Data Entry'!$¥$973)</f>
      </c>
      <c r="CX973">
        <f>IF(ISBLANK('Data Entry'!$¦$973), "", 'Data Entry'!$¦$973)</f>
      </c>
      <c r="CY973">
        <f>IF(ISBLANK('Data Entry'!$§$973), "", 'Data Entry'!$§$973)</f>
      </c>
      <c r="CZ973">
        <f>IF(ISBLANK('Data Entry'!$¨$973), "", 'Data Entry'!$¨$973)</f>
      </c>
      <c r="DA973">
        <f>IF(ISBLANK('Data Entry'!$©$973), "", 'Data Entry'!$©$973)</f>
      </c>
      <c r="DB973">
        <f>IF(ISBLANK('Data Entry'!$ª$973), "", 'Data Entry'!$ª$973)</f>
      </c>
      <c r="DC973">
        <f>IF(ISBLANK('Data Entry'!$«$973), "", 'Data Entry'!$«$973)</f>
      </c>
      <c r="DD973">
        <f>IF(ISBLANK('Data Entry'!$¬$973), "", 'Data Entry'!$¬$973)</f>
      </c>
      <c r="DE973">
        <f>IF(ISBLANK('Data Entry'!$­$973), "", 'Data Entry'!$­$973)</f>
      </c>
      <c r="DF973">
        <f>IF(ISBLANK('Data Entry'!$®$973), "", 'Data Entry'!$®$973)</f>
      </c>
      <c r="DG973">
        <f>IF(ISBLANK('Data Entry'!$¯$973), "", 'Data Entry'!$¯$973)</f>
      </c>
      <c r="DH973">
        <f>IF(ISBLANK('Data Entry'!$°$973), "", 'Data Entry'!$°$973)</f>
      </c>
      <c r="DI973">
        <f>IF(ISBLANK('Data Entry'!$±$973), "", 'Data Entry'!$±$973)</f>
      </c>
      <c r="DJ973">
        <f>IF(ISBLANK('Data Entry'!$²$973), "", 'Data Entry'!$²$973)</f>
      </c>
      <c r="DK973">
        <f>IF(ISBLANK('Data Entry'!$³$973), "", 'Data Entry'!$³$973)</f>
      </c>
      <c r="DL973">
        <f>IF(ISBLANK('Data Entry'!$´$973), "", 'Data Entry'!$´$973)</f>
      </c>
      <c r="DM973">
        <f>IF(ISBLANK('Data Entry'!$µ$973), "", 'Data Entry'!$µ$973)</f>
      </c>
      <c r="DN973">
        <f>IF(ISBLANK('Data Entry'!$¶$973), "", 'Data Entry'!$¶$973)</f>
      </c>
      <c r="DO973">
        <f>IF(ISBLANK('Data Entry'!$·$973), "", 'Data Entry'!$·$973)</f>
      </c>
      <c r="DP973">
        <f>IF(ISBLANK('Data Entry'!$¸$973), "", 'Data Entry'!$¸$973)</f>
      </c>
      <c r="DQ973">
        <f>IF(ISBLANK('Data Entry'!$¹$973), "", 'Data Entry'!$¹$973)</f>
      </c>
      <c r="DR973">
        <f>IF(ISBLANK('Data Entry'!$º$973), "", 'Data Entry'!$º$973)</f>
      </c>
      <c r="DS973">
        <f>IF(ISBLANK('Data Entry'!$»$973), "", 'Data Entry'!$»$973)</f>
      </c>
      <c r="DT973">
        <f>IF(ISBLANK('Data Entry'!$¼$973), "", 'Data Entry'!$¼$973)</f>
      </c>
      <c r="DU973">
        <f>IF(ISBLANK('Data Entry'!$½$973), "", 'Data Entry'!$½$973)</f>
      </c>
      <c r="DV973">
        <f>IF(ISBLANK('Data Entry'!$¾$973), "", 'Data Entry'!$¾$973)</f>
      </c>
      <c r="DW973">
        <f>IF(ISBLANK('Data Entry'!$¿$973), "", 'Data Entry'!$¿$973)</f>
      </c>
      <c r="DX973">
        <f>IF(ISBLANK('Data Entry'!$À$973), "", 'Data Entry'!$À$973)</f>
      </c>
      <c r="DY973">
        <f>IF(ISBLANK('Data Entry'!$Á$973), "", 'Data Entry'!$Á$973)</f>
      </c>
      <c r="DZ973">
        <f>IF(ISBLANK('Data Entry'!$Â$973), "", 'Data Entry'!$Â$973)</f>
      </c>
      <c r="EA973">
        <f>IF(ISBLANK('Data Entry'!$Ã$973), "", 'Data Entry'!$Ã$973)</f>
      </c>
      <c r="EB973">
        <f>IF(ISBLANK('Data Entry'!$Ä$973), "", 'Data Entry'!$Ä$973)</f>
      </c>
      <c r="EC973">
        <f>IF(ISBLANK('Data Entry'!$Å$973), "", 'Data Entry'!$Å$973)</f>
      </c>
      <c r="ED973">
        <f>IF(ISBLANK('Data Entry'!$Æ$973), "", 'Data Entry'!$Æ$973)</f>
      </c>
      <c r="EE973">
        <f>IF(ISBLANK('Data Entry'!$Ç$973), "", 'Data Entry'!$Ç$973)</f>
      </c>
      <c r="EF973">
        <f>IF(ISBLANK('Data Entry'!$È$973), "", 'Data Entry'!$È$973)</f>
      </c>
      <c r="EG973">
        <f>IF(ISBLANK('Data Entry'!$É$973), "", 'Data Entry'!$É$973)</f>
      </c>
      <c r="EH973">
        <f>IF(ISBLANK('Data Entry'!$Ê$973), "", 'Data Entry'!$Ê$973)</f>
      </c>
      <c r="EI973">
        <f>IF(ISBLANK('Data Entry'!$Ë$973), "", 'Data Entry'!$Ë$973)</f>
      </c>
      <c r="EJ973">
        <f>IF(ISBLANK('Data Entry'!$Ì$973), "", 'Data Entry'!$Ì$973)</f>
      </c>
      <c r="EK973">
        <f>IF(ISBLANK('Data Entry'!$Í$973), "", 'Data Entry'!$Í$973)</f>
      </c>
      <c r="EL973">
        <f>IF(ISBLANK('Data Entry'!$Î$973), "", 'Data Entry'!$Î$973)</f>
      </c>
      <c r="EM973">
        <f>IF(ISBLANK('Data Entry'!$Ï$973), "", 'Data Entry'!$Ï$973)</f>
      </c>
      <c r="EN973">
        <f>IF(ISBLANK('Data Entry'!$Ð$973), "", 'Data Entry'!$Ð$973)</f>
      </c>
      <c r="EO973">
        <f>IF(ISBLANK('Data Entry'!$Ñ$973), "", 'Data Entry'!$Ñ$973)</f>
      </c>
      <c r="EP973">
        <f>IF(ISBLANK('Data Entry'!$Ò$973), "", 'Data Entry'!$Ò$973)</f>
      </c>
      <c r="EQ973">
        <f>IF(ISBLANK('Data Entry'!$Ó$973), "", 'Data Entry'!$Ó$973)</f>
      </c>
      <c r="ER973">
        <f>IF(ISBLANK('Data Entry'!$Ô$973), "", 'Data Entry'!$Ô$973)</f>
      </c>
      <c r="ES973">
        <f>IF(ISBLANK('Data Entry'!$Õ$973), "", 'Data Entry'!$Õ$973)</f>
      </c>
      <c r="ET973">
        <f>IF(ISBLANK('Data Entry'!$Ö$973), "", 'Data Entry'!$Ö$973)</f>
      </c>
      <c r="EU973">
        <f>IF(ISBLANK('Data Entry'!$×$973), "", 'Data Entry'!$×$973)</f>
      </c>
      <c r="EV973">
        <f>IF(ISBLANK('Data Entry'!$Ø$973), "", 'Data Entry'!$Ø$973)</f>
      </c>
      <c r="EW973">
        <f>IF(ISBLANK('Data Entry'!$Ù$973), "", 'Data Entry'!$Ù$973)</f>
      </c>
      <c r="EX973">
        <f>IF(ISBLANK('Data Entry'!$Ú$973), "", 'Data Entry'!$Ú$973)</f>
      </c>
      <c r="EY973">
        <f>IF(ISBLANK('Data Entry'!$Û$973), "", 'Data Entry'!$Û$973)</f>
      </c>
      <c r="EZ973">
        <f>IF(ISBLANK('Data Entry'!$Ü$973), "", 'Data Entry'!$Ü$973)</f>
      </c>
      <c r="FA973">
        <f>IF(ISBLANK('Data Entry'!$Ý$973), "", 'Data Entry'!$Ý$973)</f>
      </c>
      <c r="FB973">
        <f>IF(ISBLANK('Data Entry'!$Þ$973), "", 'Data Entry'!$Þ$973)</f>
      </c>
      <c r="FC973">
        <f>IF(ISBLANK('Data Entry'!$ß$973), "", 'Data Entry'!$ß$973)</f>
      </c>
      <c r="FD973">
        <f>IF(ISBLANK('Data Entry'!$à$973), "", 'Data Entry'!$à$973)</f>
      </c>
      <c r="FE973">
        <f>IF(ISBLANK('Data Entry'!$á$973), "", 'Data Entry'!$á$973)</f>
      </c>
      <c r="FF973">
        <f>IF(ISBLANK('Data Entry'!$â$973), "", 'Data Entry'!$â$973)</f>
      </c>
      <c r="FG973">
        <f>IF(ISBLANK('Data Entry'!$ã$973), "", 'Data Entry'!$ã$973)</f>
      </c>
      <c r="FH973">
        <f>IF(ISBLANK('Data Entry'!$ä$973), "", 'Data Entry'!$ä$973)</f>
      </c>
      <c r="FI973">
        <f>IF(ISBLANK('Data Entry'!$å$973), "", 'Data Entry'!$å$973)</f>
      </c>
      <c r="FJ973">
        <f>IF(ISBLANK('Data Entry'!$æ$973), "", 'Data Entry'!$æ$973)</f>
      </c>
      <c r="FK973">
        <f>IF(ISBLANK('Data Entry'!$ç$973), "", 'Data Entry'!$ç$973)</f>
      </c>
      <c r="FL973">
        <f>IF(ISBLANK('Data Entry'!$è$973), "", 'Data Entry'!$è$973)</f>
      </c>
      <c r="FM973">
        <f>IF(ISBLANK('Data Entry'!$é$973), "", 'Data Entry'!$é$973)</f>
      </c>
      <c r="FN973">
        <f>IF(ISBLANK('Data Entry'!$ê$973), "", 'Data Entry'!$ê$973)</f>
      </c>
      <c r="FO973">
        <f>IF(ISBLANK('Data Entry'!$ë$973), "", 'Data Entry'!$ë$973)</f>
      </c>
      <c r="FP973">
        <f>IF(ISBLANK('Data Entry'!$ì$973), "", 'Data Entry'!$ì$973)</f>
      </c>
      <c r="FQ973">
        <f>IF(ISBLANK('Data Entry'!$í$973), "", 'Data Entry'!$í$973)</f>
      </c>
      <c r="FR973">
        <f>IF(ISBLANK('Data Entry'!$î$973), "", 'Data Entry'!$î$973)</f>
      </c>
      <c r="FS973">
        <f>IF(ISBLANK('Data Entry'!$ï$973), "", 'Data Entry'!$ï$973)</f>
      </c>
      <c r="FT973">
        <f>IF(ISBLANK('Data Entry'!$ð$973), "", 'Data Entry'!$ð$973)</f>
      </c>
      <c r="FU973">
        <f>IF(ISBLANK('Data Entry'!$ñ$973), "", 'Data Entry'!$ñ$973)</f>
      </c>
      <c r="FV973">
        <f>IF(ISBLANK('Data Entry'!$ò$973), "", 'Data Entry'!$ò$973)</f>
      </c>
      <c r="FW973">
        <f>IF(ISBLANK('Data Entry'!$ó$973), "", 'Data Entry'!$ó$973)</f>
      </c>
      <c r="FX973">
        <f>IF(ISBLANK('Data Entry'!$ô$973), "", 'Data Entry'!$ô$973)</f>
      </c>
      <c r="FY973">
        <f>IF(ISBLANK('Data Entry'!$õ$973), "", 'Data Entry'!$õ$973)</f>
      </c>
      <c r="FZ973">
        <f>IF(ISBLANK('Data Entry'!$ö$973), "", 'Data Entry'!$ö$973)</f>
      </c>
      <c r="GA973">
        <f>IF(ISBLANK('Data Entry'!$÷$973), "", 'Data Entry'!$÷$973)</f>
      </c>
      <c r="GB973">
        <f>IF(ISBLANK('Data Entry'!$ø$973), "", 'Data Entry'!$ø$973)</f>
      </c>
      <c r="GC973">
        <f>IF(ISBLANK('Data Entry'!$ù$973), "", 'Data Entry'!$ù$973)</f>
      </c>
      <c r="GD973">
        <f>IF(ISBLANK('Data Entry'!$ú$973), "", 'Data Entry'!$ú$973)</f>
      </c>
      <c r="GE973">
        <f>IF(ISBLANK('Data Entry'!$û$973), "", 'Data Entry'!$û$973)</f>
      </c>
      <c r="GF973">
        <f>IF(ISBLANK('Data Entry'!$ü$973), "", 'Data Entry'!$ü$973)</f>
      </c>
      <c r="GG973">
        <f>IF(ISBLANK('Data Entry'!$ý$973), "", 'Data Entry'!$ý$973)</f>
      </c>
      <c r="GH973">
        <f>IF(ISBLANK('Data Entry'!$þ$973), "", 'Data Entry'!$þ$973)</f>
      </c>
      <c r="GI973">
        <f>IF(ISBLANK('Data Entry'!$ÿ$973), "", 'Data Entry'!$ÿ$973)</f>
      </c>
      <c r="GJ973">
        <f>IF(ISBLANK('Data Entry'!$Ā$973), "", 'Data Entry'!$Ā$973)</f>
      </c>
      <c r="GK973">
        <f>IF(ISBLANK('Data Entry'!$ā$973), "", 'Data Entry'!$ā$973)</f>
      </c>
      <c r="GL973">
        <f>IF(ISBLANK('Data Entry'!$Ă$973), "", 'Data Entry'!$Ă$973)</f>
      </c>
      <c r="GM973">
        <f>IF(ISBLANK('Data Entry'!$ă$973), "", 'Data Entry'!$ă$973)</f>
      </c>
      <c r="GN973">
        <f>IF(ISBLANK('Data Entry'!$Ą$973), "", 'Data Entry'!$Ą$973)</f>
      </c>
      <c r="GO973">
        <f>IF(ISBLANK('Data Entry'!$ą$973), "", 'Data Entry'!$ą$973)</f>
      </c>
      <c r="GP973">
        <f>IF(ISBLANK('Data Entry'!$Ć$973), "", 'Data Entry'!$Ć$973)</f>
      </c>
      <c r="GQ973">
        <f>IF(ISBLANK('Data Entry'!$ć$973), "", 'Data Entry'!$ć$973)</f>
      </c>
      <c r="GR973">
        <f>IF(ISBLANK('Data Entry'!$Ĉ$973), "", 'Data Entry'!$Ĉ$973)</f>
      </c>
      <c r="GS973">
        <f>IF(ISBLANK('Data Entry'!$ĉ$973), "", 'Data Entry'!$ĉ$973)</f>
      </c>
      <c r="GT973">
        <f>IF(ISBLANK('Data Entry'!$Ċ$973), "", 'Data Entry'!$Ċ$973)</f>
      </c>
      <c r="GU973">
        <f>IF(ISBLANK('Data Entry'!$ċ$973), "", 'Data Entry'!$ċ$973)</f>
      </c>
      <c r="GV973">
        <f>IF(ISBLANK('Data Entry'!$Č$973), "", 'Data Entry'!$Č$973)</f>
      </c>
      <c r="GW973">
        <f>IF(ISBLANK('Data Entry'!$č$973), "", 'Data Entry'!$č$973)</f>
      </c>
      <c r="GX973">
        <f>IF(ISBLANK('Data Entry'!$Ď$973), "", 'Data Entry'!$Ď$973)</f>
      </c>
      <c r="GY973">
        <f>IF(ISBLANK('Data Entry'!$ď$973), "", 'Data Entry'!$ď$973)</f>
      </c>
      <c r="GZ973">
        <f>IF(ISBLANK('Data Entry'!$Đ$973), "", 'Data Entry'!$Đ$973)</f>
      </c>
      <c r="HA973">
        <f>IF(ISBLANK('Data Entry'!$đ$973), "", 'Data Entry'!$đ$973)</f>
      </c>
      <c r="HB973">
        <f>IF(ISBLANK('Data Entry'!$Ē$973), "", 'Data Entry'!$Ē$973)</f>
      </c>
      <c r="HC973">
        <f>IF(ISBLANK('Data Entry'!$ē$973), "", 'Data Entry'!$ē$973)</f>
      </c>
      <c r="HD973">
        <f>IF(ISBLANK('Data Entry'!$Ĕ$973), "", 'Data Entry'!$Ĕ$973)</f>
      </c>
      <c r="HE973">
        <f>IF(ISBLANK('Data Entry'!$ĕ$973), "", 'Data Entry'!$ĕ$973)</f>
      </c>
      <c r="HF973">
        <f>IF(ISBLANK('Data Entry'!$Ė$973), "", 'Data Entry'!$Ė$973)</f>
      </c>
      <c r="HG973">
        <f>IF(ISBLANK('Data Entry'!$ė$973), "", 'Data Entry'!$ė$973)</f>
      </c>
      <c r="HH973">
        <f>IF(ISBLANK('Data Entry'!$Ę$973), "", 'Data Entry'!$Ę$973)</f>
      </c>
      <c r="HI973">
        <f>IF(ISBLANK('Data Entry'!$ę$973), "", 'Data Entry'!$ę$973)</f>
      </c>
      <c r="HJ973">
        <f>IF(ISBLANK('Data Entry'!$Ě$973), "", 'Data Entry'!$Ě$973)</f>
      </c>
      <c r="HK973">
        <f>IF(ISBLANK('Data Entry'!$ě$973), "", 'Data Entry'!$ě$973)</f>
      </c>
      <c r="HL973">
        <f>IF(ISBLANK('Data Entry'!$Ĝ$973), "", 'Data Entry'!$Ĝ$973)</f>
      </c>
      <c r="HM973">
        <f>IF(ISBLANK('Data Entry'!$ĝ$973), "", 'Data Entry'!$ĝ$973)</f>
      </c>
      <c r="HN973">
        <f>IF(ISBLANK('Data Entry'!$Ğ$973), "", 'Data Entry'!$Ğ$973)</f>
      </c>
      <c r="HO973">
        <f>IF(ISBLANK('Data Entry'!$ğ$973), "", 'Data Entry'!$ğ$973)</f>
      </c>
      <c r="HP973">
        <f>IF(ISBLANK('Data Entry'!$Ġ$973), "", 'Data Entry'!$Ġ$973)</f>
      </c>
      <c r="HQ973">
        <f>IF(ISBLANK('Data Entry'!$ġ$973), "", 'Data Entry'!$ġ$973)</f>
      </c>
      <c r="HR973">
        <f>IF(ISBLANK('Data Entry'!$Ģ$973), "", 'Data Entry'!$Ģ$973)</f>
      </c>
      <c r="HS973">
        <f>IF(ISBLANK('Data Entry'!$ģ$973), "", 'Data Entry'!$ģ$973)</f>
      </c>
      <c r="HT973">
        <f>IF(ISBLANK('Data Entry'!$Ĥ$973), "", 'Data Entry'!$Ĥ$973)</f>
      </c>
      <c r="HU973">
        <f>IF(ISBLANK('Data Entry'!$ĥ$973), "", 'Data Entry'!$ĥ$973)</f>
      </c>
      <c r="HV973">
        <f>IF(ISBLANK('Data Entry'!$Ħ$973), "", 'Data Entry'!$Ħ$973)</f>
      </c>
      <c r="HW973">
        <f>IF(ISBLANK('Data Entry'!$ħ$973), "", 'Data Entry'!$ħ$973)</f>
      </c>
      <c r="HX973">
        <f>IF(ISBLANK('Data Entry'!$Ĩ$973), "", 'Data Entry'!$Ĩ$973)</f>
      </c>
      <c r="HY973">
        <f>IF(ISBLANK('Data Entry'!$ĩ$973), "", 'Data Entry'!$ĩ$973)</f>
      </c>
      <c r="HZ973">
        <f>IF(ISBLANK('Data Entry'!$Ī$973), "", 'Data Entry'!$Ī$973)</f>
      </c>
      <c r="IA973">
        <f>IF(ISBLANK('Data Entry'!$ī$973), "", 'Data Entry'!$ī$973)</f>
      </c>
      <c r="IB973">
        <f>IF(ISBLANK('Data Entry'!$Ĭ$973), "", 'Data Entry'!$Ĭ$973)</f>
      </c>
      <c r="IC973">
        <f>IF(ISBLANK('Data Entry'!$ĭ$973), "", 'Data Entry'!$ĭ$973)</f>
      </c>
      <c r="ID973">
        <f>IF(ISBLANK('Data Entry'!$Į$973), "", 'Data Entry'!$Į$973)</f>
      </c>
      <c r="IE973">
        <f>IF(ISBLANK('Data Entry'!$į$973), "", 'Data Entry'!$į$973)</f>
      </c>
      <c r="IF973">
        <f>IF(ISBLANK('Data Entry'!$İ$973), "", 'Data Entry'!$İ$973)</f>
      </c>
      <c r="IG973">
        <f>IF(ISBLANK('Data Entry'!$ı$973), "", 'Data Entry'!$ı$973)</f>
      </c>
      <c r="IH973">
        <f>IF(ISBLANK('Data Entry'!$Ĳ$973), "", 'Data Entry'!$Ĳ$973)</f>
      </c>
      <c r="II973">
        <f>IF(ISBLANK('Data Entry'!$ĳ$973), "", 'Data Entry'!$ĳ$973)</f>
      </c>
      <c r="IJ973">
        <f>IF(ISBLANK('Data Entry'!$Ĵ$973), "", 'Data Entry'!$Ĵ$973)</f>
      </c>
      <c r="IK973">
        <f>IF(ISBLANK('Data Entry'!$ĵ$973), "", 'Data Entry'!$ĵ$973)</f>
      </c>
      <c r="IL973">
        <f>IF(ISBLANK('Data Entry'!$Ķ$973), "", 'Data Entry'!$Ķ$973)</f>
      </c>
      <c r="IM973">
        <f>IF(ISBLANK('Data Entry'!$ķ$973), "", 'Data Entry'!$ķ$973)</f>
      </c>
      <c r="IN973">
        <f>IF(ISBLANK('Data Entry'!$ĸ$973), "", 'Data Entry'!$ĸ$973)</f>
      </c>
      <c r="IO973">
        <f>IF(ISBLANK('Data Entry'!$Ĺ$973), "", 'Data Entry'!$Ĺ$973)</f>
      </c>
      <c r="IP973">
        <f>IF(ISBLANK('Data Entry'!$ĺ$973), "", 'Data Entry'!$ĺ$973)</f>
      </c>
      <c r="IQ973">
        <f>IF(ISBLANK('Data Entry'!$Ļ$973), "", 'Data Entry'!$Ļ$973)</f>
      </c>
      <c r="IR973">
        <f>IF(ISBLANK('Data Entry'!$ļ$973), "", 'Data Entry'!$ļ$973)</f>
      </c>
      <c r="IS973">
        <f>IF(ISBLANK('Data Entry'!$Ľ$973), "", 'Data Entry'!$Ľ$973)</f>
      </c>
      <c r="IT973">
        <f>IF(ISBLANK('Data Entry'!$ľ$973), "", 'Data Entry'!$ľ$973)</f>
      </c>
    </row>
    <row r="974" spans="1:254" x14ac:dyDescent="0.25">
      <c r="A974">
        <f>IF(ISBLANK('Data Entry'!$A$974), "", 'Data Entry'!$A$974)</f>
      </c>
      <c r="B974">
        <f>IF(ISBLANK('Data Entry'!$B$974), "", 'Data Entry'!$B$974)</f>
      </c>
      <c r="C974">
        <f>IF(ISBLANK('Data Entry'!$C$974), "", 'Data Entry'!$C$974)</f>
      </c>
      <c r="D974">
        <f>IF(ISBLANK('Data Entry'!$D$974), "", 'Data Entry'!$D$974)</f>
      </c>
      <c r="E974">
        <f>IF(ISBLANK('Data Entry'!$E$974), "", 'Data Entry'!$E$974)</f>
      </c>
      <c r="F974">
        <f>IF(ISBLANK('Data Entry'!$F$974), "", 'Data Entry'!$F$974)</f>
      </c>
      <c r="G974">
        <f>IF(ISBLANK('Data Entry'!$G$974), "", 'Data Entry'!$G$974)</f>
      </c>
      <c r="H974">
        <f>IF(ISBLANK('Data Entry'!$H$974), "", 'Data Entry'!$H$974)</f>
      </c>
      <c r="I974">
        <f>IF(ISBLANK('Data Entry'!$I$974), "", 'Data Entry'!$I$974)</f>
      </c>
      <c r="J974">
        <f>IF(ISBLANK('Data Entry'!$J$974), "", 'Data Entry'!$J$974)</f>
      </c>
      <c r="K974">
        <f>IF(ISBLANK('Data Entry'!$K$974), "", 'Data Entry'!$K$974)</f>
      </c>
      <c r="L974">
        <f>IF(ISBLANK('Data Entry'!$L$974), "", 'Data Entry'!$L$974)</f>
      </c>
      <c r="M974">
        <f>IF(ISBLANK('Data Entry'!$M$974), "", 'Data Entry'!$M$974)</f>
      </c>
      <c r="N974">
        <f>IF(ISBLANK('Data Entry'!$N$974), "", 'Data Entry'!$N$974)</f>
      </c>
      <c r="O974">
        <f>IF(ISBLANK('Data Entry'!$O$974), "", 'Data Entry'!$O$974)</f>
      </c>
      <c r="P974">
        <f>IF(ISBLANK('Data Entry'!$P$974), "", 'Data Entry'!$P$974)</f>
      </c>
      <c r="Q974">
        <f>IF(ISBLANK('Data Entry'!$Q$974), "", 'Data Entry'!$Q$974)</f>
      </c>
      <c r="R974">
        <f>IF(ISBLANK('Data Entry'!$R$974), "", 'Data Entry'!$R$974)</f>
      </c>
      <c r="S974">
        <f>IF(ISBLANK('Data Entry'!$S$974), "", 'Data Entry'!$S$974)</f>
      </c>
      <c r="T974">
        <f>IF(ISBLANK('Data Entry'!$T$974), "", 'Data Entry'!$T$974)</f>
      </c>
      <c r="U974">
        <f>IF(ISBLANK('Data Entry'!$U$974), "", 'Data Entry'!$U$974)</f>
      </c>
      <c r="V974">
        <f>IF(ISBLANK('Data Entry'!$V$974), "", 'Data Entry'!$V$974)</f>
      </c>
      <c r="W974">
        <f>IF(ISBLANK('Data Entry'!$W$974), "", 'Data Entry'!$W$974)</f>
      </c>
      <c r="X974">
        <f>IF(ISBLANK('Data Entry'!$X$974), "", 'Data Entry'!$X$974)</f>
      </c>
      <c r="Y974">
        <f>IF(ISBLANK('Data Entry'!$Y$974), "", 'Data Entry'!$Y$974)</f>
      </c>
      <c r="Z974">
        <f>IF(ISBLANK('Data Entry'!$Z$974), "", 'Data Entry'!$Z$974)</f>
      </c>
      <c r="AA974">
        <f>IF(ISBLANK('Data Entry'!$[$974), "", 'Data Entry'!$[$974)</f>
      </c>
      <c r="AB974">
        <f>IF(ISBLANK('Data Entry'!$\$974), "", 'Data Entry'!$\$974)</f>
      </c>
      <c r="AC974">
        <f>IF(ISBLANK('Data Entry'!$]$974), "", 'Data Entry'!$]$974)</f>
      </c>
      <c r="AD974">
        <f>IF(ISBLANK('Data Entry'!$^$974), "", 'Data Entry'!$^$974)</f>
      </c>
      <c r="AE974">
        <f>IF(ISBLANK('Data Entry'!$_$974), "", 'Data Entry'!$_$974)</f>
      </c>
      <c r="AF974">
        <f>IF(ISBLANK('Data Entry'!$`$974), "", 'Data Entry'!$`$974)</f>
      </c>
      <c r="AG974">
        <f>IF(ISBLANK('Data Entry'!$a$974), "", 'Data Entry'!$a$974)</f>
      </c>
      <c r="AH974">
        <f>IF(ISBLANK('Data Entry'!$b$974), "", 'Data Entry'!$b$974)</f>
      </c>
      <c r="AI974">
        <f>IF(ISBLANK('Data Entry'!$c$974), "", 'Data Entry'!$c$974)</f>
      </c>
      <c r="AJ974">
        <f>IF(ISBLANK('Data Entry'!$d$974), "", 'Data Entry'!$d$974)</f>
      </c>
      <c r="AK974">
        <f>IF(ISBLANK('Data Entry'!$e$974), "", 'Data Entry'!$e$974)</f>
      </c>
      <c r="AL974">
        <f>IF(ISBLANK('Data Entry'!$f$974), "", 'Data Entry'!$f$974)</f>
      </c>
      <c r="AM974">
        <f>IF(ISBLANK('Data Entry'!$g$974), "", 'Data Entry'!$g$974)</f>
      </c>
      <c r="AN974">
        <f>IF(ISBLANK('Data Entry'!$h$974), "", 'Data Entry'!$h$974)</f>
      </c>
      <c r="AO974">
        <f>IF(ISBLANK('Data Entry'!$i$974), "", 'Data Entry'!$i$974)</f>
      </c>
      <c r="AP974">
        <f>IF(ISBLANK('Data Entry'!$j$974), "", 'Data Entry'!$j$974)</f>
      </c>
      <c r="AQ974">
        <f>IF(ISBLANK('Data Entry'!$k$974), "", 'Data Entry'!$k$974)</f>
      </c>
      <c r="AR974">
        <f>IF(ISBLANK('Data Entry'!$l$974), "", 'Data Entry'!$l$974)</f>
      </c>
      <c r="AS974">
        <f>IF(ISBLANK('Data Entry'!$m$974), "", 'Data Entry'!$m$974)</f>
      </c>
      <c r="AT974">
        <f>IF(ISBLANK('Data Entry'!$n$974), "", 'Data Entry'!$n$974)</f>
      </c>
      <c r="AU974">
        <f>IF(ISBLANK('Data Entry'!$o$974), "", 'Data Entry'!$o$974)</f>
      </c>
      <c r="AV974">
        <f>IF(ISBLANK('Data Entry'!$p$974), "", 'Data Entry'!$p$974)</f>
      </c>
      <c r="AW974">
        <f>IF(ISBLANK('Data Entry'!$q$974), "", 'Data Entry'!$q$974)</f>
      </c>
      <c r="AX974">
        <f>IF(ISBLANK('Data Entry'!$r$974), "", 'Data Entry'!$r$974)</f>
      </c>
      <c r="AY974">
        <f>IF(ISBLANK('Data Entry'!$s$974), "", 'Data Entry'!$s$974)</f>
      </c>
      <c r="AZ974">
        <f>IF(ISBLANK('Data Entry'!$t$974), "", 'Data Entry'!$t$974)</f>
      </c>
      <c r="BA974">
        <f>IF(ISBLANK('Data Entry'!$u$974), "", 'Data Entry'!$u$974)</f>
      </c>
      <c r="BB974">
        <f>IF(ISBLANK('Data Entry'!$v$974), "", 'Data Entry'!$v$974)</f>
      </c>
      <c r="BC974">
        <f>IF(ISBLANK('Data Entry'!$w$974), "", 'Data Entry'!$w$974)</f>
      </c>
      <c r="BD974">
        <f>IF(ISBLANK('Data Entry'!$x$974), "", 'Data Entry'!$x$974)</f>
      </c>
      <c r="BE974">
        <f>IF(ISBLANK('Data Entry'!$y$974), "", 'Data Entry'!$y$974)</f>
      </c>
      <c r="BF974">
        <f>IF(ISBLANK('Data Entry'!$z$974), "", 'Data Entry'!$z$974)</f>
      </c>
      <c r="BG974">
        <f>IF(ISBLANK('Data Entry'!${$974), "", 'Data Entry'!${$974)</f>
      </c>
      <c r="BH974">
        <f>IF(ISBLANK('Data Entry'!$|$974), "", 'Data Entry'!$|$974)</f>
      </c>
      <c r="BI974">
        <f>IF(ISBLANK('Data Entry'!$}$974), "", 'Data Entry'!$}$974)</f>
      </c>
      <c r="BJ974">
        <f>IF(ISBLANK('Data Entry'!$~$974), "", 'Data Entry'!$~$974)</f>
      </c>
      <c r="BK974">
        <f>IF(ISBLANK('Data Entry'!$$974), "", 'Data Entry'!$$974)</f>
      </c>
      <c r="BL974">
        <f>IF(ISBLANK('Data Entry'!$$974), "", 'Data Entry'!$$974)</f>
      </c>
      <c r="BM974">
        <f>IF(ISBLANK('Data Entry'!$$974), "", 'Data Entry'!$$974)</f>
      </c>
      <c r="BN974">
        <f>IF(ISBLANK('Data Entry'!$$974), "", 'Data Entry'!$$974)</f>
      </c>
      <c r="BO974">
        <f>IF(ISBLANK('Data Entry'!$$974), "", 'Data Entry'!$$974)</f>
      </c>
      <c r="BP974">
        <f>IF(ISBLANK('Data Entry'!$$974), "", 'Data Entry'!$$974)</f>
      </c>
      <c r="BQ974">
        <f>IF(ISBLANK('Data Entry'!$$974), "", 'Data Entry'!$$974)</f>
      </c>
      <c r="BR974">
        <f>IF(ISBLANK('Data Entry'!$$974), "", 'Data Entry'!$$974)</f>
      </c>
      <c r="BS974">
        <f>IF(ISBLANK('Data Entry'!$$974), "", 'Data Entry'!$$974)</f>
      </c>
      <c r="BT974">
        <f>IF(ISBLANK('Data Entry'!$$974), "", 'Data Entry'!$$974)</f>
      </c>
      <c r="BU974">
        <f>IF(ISBLANK('Data Entry'!$$974), "", 'Data Entry'!$$974)</f>
      </c>
      <c r="BV974">
        <f>IF(ISBLANK('Data Entry'!$$974), "", 'Data Entry'!$$974)</f>
      </c>
      <c r="BW974">
        <f>IF(ISBLANK('Data Entry'!$$974), "", 'Data Entry'!$$974)</f>
      </c>
      <c r="BX974">
        <f>IF(ISBLANK('Data Entry'!$$974), "", 'Data Entry'!$$974)</f>
      </c>
      <c r="BY974">
        <f>IF(ISBLANK('Data Entry'!$$974), "", 'Data Entry'!$$974)</f>
      </c>
      <c r="BZ974">
        <f>IF(ISBLANK('Data Entry'!$$974), "", 'Data Entry'!$$974)</f>
      </c>
      <c r="CA974">
        <f>IF(ISBLANK('Data Entry'!$$974), "", 'Data Entry'!$$974)</f>
      </c>
      <c r="CB974">
        <f>IF(ISBLANK('Data Entry'!$$974), "", 'Data Entry'!$$974)</f>
      </c>
      <c r="CC974">
        <f>IF(ISBLANK('Data Entry'!$$974), "", 'Data Entry'!$$974)</f>
      </c>
      <c r="CD974">
        <f>IF(ISBLANK('Data Entry'!$$974), "", 'Data Entry'!$$974)</f>
      </c>
      <c r="CE974">
        <f>IF(ISBLANK('Data Entry'!$$974), "", 'Data Entry'!$$974)</f>
      </c>
      <c r="CF974">
        <f>IF(ISBLANK('Data Entry'!$$974), "", 'Data Entry'!$$974)</f>
      </c>
      <c r="CG974">
        <f>IF(ISBLANK('Data Entry'!$$974), "", 'Data Entry'!$$974)</f>
      </c>
      <c r="CH974">
        <f>IF(ISBLANK('Data Entry'!$$974), "", 'Data Entry'!$$974)</f>
      </c>
      <c r="CI974">
        <f>IF(ISBLANK('Data Entry'!$$974), "", 'Data Entry'!$$974)</f>
      </c>
      <c r="CJ974">
        <f>IF(ISBLANK('Data Entry'!$$974), "", 'Data Entry'!$$974)</f>
      </c>
      <c r="CK974">
        <f>IF(ISBLANK('Data Entry'!$$974), "", 'Data Entry'!$$974)</f>
      </c>
      <c r="CL974">
        <f>IF(ISBLANK('Data Entry'!$$974), "", 'Data Entry'!$$974)</f>
      </c>
      <c r="CM974">
        <f>IF(ISBLANK('Data Entry'!$$974), "", 'Data Entry'!$$974)</f>
      </c>
      <c r="CN974">
        <f>IF(ISBLANK('Data Entry'!$$974), "", 'Data Entry'!$$974)</f>
      </c>
      <c r="CO974">
        <f>IF(ISBLANK('Data Entry'!$$974), "", 'Data Entry'!$$974)</f>
      </c>
      <c r="CP974">
        <f>IF(ISBLANK('Data Entry'!$$974), "", 'Data Entry'!$$974)</f>
      </c>
      <c r="CQ974">
        <f>IF(ISBLANK('Data Entry'!$$974), "", 'Data Entry'!$$974)</f>
      </c>
      <c r="CR974">
        <f>IF(ISBLANK('Data Entry'!$ $974), "", 'Data Entry'!$ $974)</f>
      </c>
      <c r="CS974">
        <f>IF(ISBLANK('Data Entry'!$¡$974), "", 'Data Entry'!$¡$974)</f>
      </c>
      <c r="CT974">
        <f>IF(ISBLANK('Data Entry'!$¢$974), "", 'Data Entry'!$¢$974)</f>
      </c>
      <c r="CU974">
        <f>IF(ISBLANK('Data Entry'!$£$974), "", 'Data Entry'!$£$974)</f>
      </c>
      <c r="CV974">
        <f>IF(ISBLANK('Data Entry'!$¤$974), "", 'Data Entry'!$¤$974)</f>
      </c>
      <c r="CW974">
        <f>IF(ISBLANK('Data Entry'!$¥$974), "", 'Data Entry'!$¥$974)</f>
      </c>
      <c r="CX974">
        <f>IF(ISBLANK('Data Entry'!$¦$974), "", 'Data Entry'!$¦$974)</f>
      </c>
      <c r="CY974">
        <f>IF(ISBLANK('Data Entry'!$§$974), "", 'Data Entry'!$§$974)</f>
      </c>
      <c r="CZ974">
        <f>IF(ISBLANK('Data Entry'!$¨$974), "", 'Data Entry'!$¨$974)</f>
      </c>
      <c r="DA974">
        <f>IF(ISBLANK('Data Entry'!$©$974), "", 'Data Entry'!$©$974)</f>
      </c>
      <c r="DB974">
        <f>IF(ISBLANK('Data Entry'!$ª$974), "", 'Data Entry'!$ª$974)</f>
      </c>
      <c r="DC974">
        <f>IF(ISBLANK('Data Entry'!$«$974), "", 'Data Entry'!$«$974)</f>
      </c>
      <c r="DD974">
        <f>IF(ISBLANK('Data Entry'!$¬$974), "", 'Data Entry'!$¬$974)</f>
      </c>
      <c r="DE974">
        <f>IF(ISBLANK('Data Entry'!$­$974), "", 'Data Entry'!$­$974)</f>
      </c>
      <c r="DF974">
        <f>IF(ISBLANK('Data Entry'!$®$974), "", 'Data Entry'!$®$974)</f>
      </c>
      <c r="DG974">
        <f>IF(ISBLANK('Data Entry'!$¯$974), "", 'Data Entry'!$¯$974)</f>
      </c>
      <c r="DH974">
        <f>IF(ISBLANK('Data Entry'!$°$974), "", 'Data Entry'!$°$974)</f>
      </c>
      <c r="DI974">
        <f>IF(ISBLANK('Data Entry'!$±$974), "", 'Data Entry'!$±$974)</f>
      </c>
      <c r="DJ974">
        <f>IF(ISBLANK('Data Entry'!$²$974), "", 'Data Entry'!$²$974)</f>
      </c>
      <c r="DK974">
        <f>IF(ISBLANK('Data Entry'!$³$974), "", 'Data Entry'!$³$974)</f>
      </c>
      <c r="DL974">
        <f>IF(ISBLANK('Data Entry'!$´$974), "", 'Data Entry'!$´$974)</f>
      </c>
      <c r="DM974">
        <f>IF(ISBLANK('Data Entry'!$µ$974), "", 'Data Entry'!$µ$974)</f>
      </c>
      <c r="DN974">
        <f>IF(ISBLANK('Data Entry'!$¶$974), "", 'Data Entry'!$¶$974)</f>
      </c>
      <c r="DO974">
        <f>IF(ISBLANK('Data Entry'!$·$974), "", 'Data Entry'!$·$974)</f>
      </c>
      <c r="DP974">
        <f>IF(ISBLANK('Data Entry'!$¸$974), "", 'Data Entry'!$¸$974)</f>
      </c>
      <c r="DQ974">
        <f>IF(ISBLANK('Data Entry'!$¹$974), "", 'Data Entry'!$¹$974)</f>
      </c>
      <c r="DR974">
        <f>IF(ISBLANK('Data Entry'!$º$974), "", 'Data Entry'!$º$974)</f>
      </c>
      <c r="DS974">
        <f>IF(ISBLANK('Data Entry'!$»$974), "", 'Data Entry'!$»$974)</f>
      </c>
      <c r="DT974">
        <f>IF(ISBLANK('Data Entry'!$¼$974), "", 'Data Entry'!$¼$974)</f>
      </c>
      <c r="DU974">
        <f>IF(ISBLANK('Data Entry'!$½$974), "", 'Data Entry'!$½$974)</f>
      </c>
      <c r="DV974">
        <f>IF(ISBLANK('Data Entry'!$¾$974), "", 'Data Entry'!$¾$974)</f>
      </c>
      <c r="DW974">
        <f>IF(ISBLANK('Data Entry'!$¿$974), "", 'Data Entry'!$¿$974)</f>
      </c>
      <c r="DX974">
        <f>IF(ISBLANK('Data Entry'!$À$974), "", 'Data Entry'!$À$974)</f>
      </c>
      <c r="DY974">
        <f>IF(ISBLANK('Data Entry'!$Á$974), "", 'Data Entry'!$Á$974)</f>
      </c>
      <c r="DZ974">
        <f>IF(ISBLANK('Data Entry'!$Â$974), "", 'Data Entry'!$Â$974)</f>
      </c>
      <c r="EA974">
        <f>IF(ISBLANK('Data Entry'!$Ã$974), "", 'Data Entry'!$Ã$974)</f>
      </c>
      <c r="EB974">
        <f>IF(ISBLANK('Data Entry'!$Ä$974), "", 'Data Entry'!$Ä$974)</f>
      </c>
      <c r="EC974">
        <f>IF(ISBLANK('Data Entry'!$Å$974), "", 'Data Entry'!$Å$974)</f>
      </c>
      <c r="ED974">
        <f>IF(ISBLANK('Data Entry'!$Æ$974), "", 'Data Entry'!$Æ$974)</f>
      </c>
      <c r="EE974">
        <f>IF(ISBLANK('Data Entry'!$Ç$974), "", 'Data Entry'!$Ç$974)</f>
      </c>
      <c r="EF974">
        <f>IF(ISBLANK('Data Entry'!$È$974), "", 'Data Entry'!$È$974)</f>
      </c>
      <c r="EG974">
        <f>IF(ISBLANK('Data Entry'!$É$974), "", 'Data Entry'!$É$974)</f>
      </c>
      <c r="EH974">
        <f>IF(ISBLANK('Data Entry'!$Ê$974), "", 'Data Entry'!$Ê$974)</f>
      </c>
      <c r="EI974">
        <f>IF(ISBLANK('Data Entry'!$Ë$974), "", 'Data Entry'!$Ë$974)</f>
      </c>
      <c r="EJ974">
        <f>IF(ISBLANK('Data Entry'!$Ì$974), "", 'Data Entry'!$Ì$974)</f>
      </c>
      <c r="EK974">
        <f>IF(ISBLANK('Data Entry'!$Í$974), "", 'Data Entry'!$Í$974)</f>
      </c>
      <c r="EL974">
        <f>IF(ISBLANK('Data Entry'!$Î$974), "", 'Data Entry'!$Î$974)</f>
      </c>
      <c r="EM974">
        <f>IF(ISBLANK('Data Entry'!$Ï$974), "", 'Data Entry'!$Ï$974)</f>
      </c>
      <c r="EN974">
        <f>IF(ISBLANK('Data Entry'!$Ð$974), "", 'Data Entry'!$Ð$974)</f>
      </c>
      <c r="EO974">
        <f>IF(ISBLANK('Data Entry'!$Ñ$974), "", 'Data Entry'!$Ñ$974)</f>
      </c>
      <c r="EP974">
        <f>IF(ISBLANK('Data Entry'!$Ò$974), "", 'Data Entry'!$Ò$974)</f>
      </c>
      <c r="EQ974">
        <f>IF(ISBLANK('Data Entry'!$Ó$974), "", 'Data Entry'!$Ó$974)</f>
      </c>
      <c r="ER974">
        <f>IF(ISBLANK('Data Entry'!$Ô$974), "", 'Data Entry'!$Ô$974)</f>
      </c>
      <c r="ES974">
        <f>IF(ISBLANK('Data Entry'!$Õ$974), "", 'Data Entry'!$Õ$974)</f>
      </c>
      <c r="ET974">
        <f>IF(ISBLANK('Data Entry'!$Ö$974), "", 'Data Entry'!$Ö$974)</f>
      </c>
      <c r="EU974">
        <f>IF(ISBLANK('Data Entry'!$×$974), "", 'Data Entry'!$×$974)</f>
      </c>
      <c r="EV974">
        <f>IF(ISBLANK('Data Entry'!$Ø$974), "", 'Data Entry'!$Ø$974)</f>
      </c>
      <c r="EW974">
        <f>IF(ISBLANK('Data Entry'!$Ù$974), "", 'Data Entry'!$Ù$974)</f>
      </c>
      <c r="EX974">
        <f>IF(ISBLANK('Data Entry'!$Ú$974), "", 'Data Entry'!$Ú$974)</f>
      </c>
      <c r="EY974">
        <f>IF(ISBLANK('Data Entry'!$Û$974), "", 'Data Entry'!$Û$974)</f>
      </c>
      <c r="EZ974">
        <f>IF(ISBLANK('Data Entry'!$Ü$974), "", 'Data Entry'!$Ü$974)</f>
      </c>
      <c r="FA974">
        <f>IF(ISBLANK('Data Entry'!$Ý$974), "", 'Data Entry'!$Ý$974)</f>
      </c>
      <c r="FB974">
        <f>IF(ISBLANK('Data Entry'!$Þ$974), "", 'Data Entry'!$Þ$974)</f>
      </c>
      <c r="FC974">
        <f>IF(ISBLANK('Data Entry'!$ß$974), "", 'Data Entry'!$ß$974)</f>
      </c>
      <c r="FD974">
        <f>IF(ISBLANK('Data Entry'!$à$974), "", 'Data Entry'!$à$974)</f>
      </c>
      <c r="FE974">
        <f>IF(ISBLANK('Data Entry'!$á$974), "", 'Data Entry'!$á$974)</f>
      </c>
      <c r="FF974">
        <f>IF(ISBLANK('Data Entry'!$â$974), "", 'Data Entry'!$â$974)</f>
      </c>
      <c r="FG974">
        <f>IF(ISBLANK('Data Entry'!$ã$974), "", 'Data Entry'!$ã$974)</f>
      </c>
      <c r="FH974">
        <f>IF(ISBLANK('Data Entry'!$ä$974), "", 'Data Entry'!$ä$974)</f>
      </c>
      <c r="FI974">
        <f>IF(ISBLANK('Data Entry'!$å$974), "", 'Data Entry'!$å$974)</f>
      </c>
      <c r="FJ974">
        <f>IF(ISBLANK('Data Entry'!$æ$974), "", 'Data Entry'!$æ$974)</f>
      </c>
      <c r="FK974">
        <f>IF(ISBLANK('Data Entry'!$ç$974), "", 'Data Entry'!$ç$974)</f>
      </c>
      <c r="FL974">
        <f>IF(ISBLANK('Data Entry'!$è$974), "", 'Data Entry'!$è$974)</f>
      </c>
      <c r="FM974">
        <f>IF(ISBLANK('Data Entry'!$é$974), "", 'Data Entry'!$é$974)</f>
      </c>
      <c r="FN974">
        <f>IF(ISBLANK('Data Entry'!$ê$974), "", 'Data Entry'!$ê$974)</f>
      </c>
      <c r="FO974">
        <f>IF(ISBLANK('Data Entry'!$ë$974), "", 'Data Entry'!$ë$974)</f>
      </c>
      <c r="FP974">
        <f>IF(ISBLANK('Data Entry'!$ì$974), "", 'Data Entry'!$ì$974)</f>
      </c>
      <c r="FQ974">
        <f>IF(ISBLANK('Data Entry'!$í$974), "", 'Data Entry'!$í$974)</f>
      </c>
      <c r="FR974">
        <f>IF(ISBLANK('Data Entry'!$î$974), "", 'Data Entry'!$î$974)</f>
      </c>
      <c r="FS974">
        <f>IF(ISBLANK('Data Entry'!$ï$974), "", 'Data Entry'!$ï$974)</f>
      </c>
      <c r="FT974">
        <f>IF(ISBLANK('Data Entry'!$ð$974), "", 'Data Entry'!$ð$974)</f>
      </c>
      <c r="FU974">
        <f>IF(ISBLANK('Data Entry'!$ñ$974), "", 'Data Entry'!$ñ$974)</f>
      </c>
      <c r="FV974">
        <f>IF(ISBLANK('Data Entry'!$ò$974), "", 'Data Entry'!$ò$974)</f>
      </c>
      <c r="FW974">
        <f>IF(ISBLANK('Data Entry'!$ó$974), "", 'Data Entry'!$ó$974)</f>
      </c>
      <c r="FX974">
        <f>IF(ISBLANK('Data Entry'!$ô$974), "", 'Data Entry'!$ô$974)</f>
      </c>
      <c r="FY974">
        <f>IF(ISBLANK('Data Entry'!$õ$974), "", 'Data Entry'!$õ$974)</f>
      </c>
      <c r="FZ974">
        <f>IF(ISBLANK('Data Entry'!$ö$974), "", 'Data Entry'!$ö$974)</f>
      </c>
      <c r="GA974">
        <f>IF(ISBLANK('Data Entry'!$÷$974), "", 'Data Entry'!$÷$974)</f>
      </c>
      <c r="GB974">
        <f>IF(ISBLANK('Data Entry'!$ø$974), "", 'Data Entry'!$ø$974)</f>
      </c>
      <c r="GC974">
        <f>IF(ISBLANK('Data Entry'!$ù$974), "", 'Data Entry'!$ù$974)</f>
      </c>
      <c r="GD974">
        <f>IF(ISBLANK('Data Entry'!$ú$974), "", 'Data Entry'!$ú$974)</f>
      </c>
      <c r="GE974">
        <f>IF(ISBLANK('Data Entry'!$û$974), "", 'Data Entry'!$û$974)</f>
      </c>
      <c r="GF974">
        <f>IF(ISBLANK('Data Entry'!$ü$974), "", 'Data Entry'!$ü$974)</f>
      </c>
      <c r="GG974">
        <f>IF(ISBLANK('Data Entry'!$ý$974), "", 'Data Entry'!$ý$974)</f>
      </c>
      <c r="GH974">
        <f>IF(ISBLANK('Data Entry'!$þ$974), "", 'Data Entry'!$þ$974)</f>
      </c>
      <c r="GI974">
        <f>IF(ISBLANK('Data Entry'!$ÿ$974), "", 'Data Entry'!$ÿ$974)</f>
      </c>
      <c r="GJ974">
        <f>IF(ISBLANK('Data Entry'!$Ā$974), "", 'Data Entry'!$Ā$974)</f>
      </c>
      <c r="GK974">
        <f>IF(ISBLANK('Data Entry'!$ā$974), "", 'Data Entry'!$ā$974)</f>
      </c>
      <c r="GL974">
        <f>IF(ISBLANK('Data Entry'!$Ă$974), "", 'Data Entry'!$Ă$974)</f>
      </c>
      <c r="GM974">
        <f>IF(ISBLANK('Data Entry'!$ă$974), "", 'Data Entry'!$ă$974)</f>
      </c>
      <c r="GN974">
        <f>IF(ISBLANK('Data Entry'!$Ą$974), "", 'Data Entry'!$Ą$974)</f>
      </c>
      <c r="GO974">
        <f>IF(ISBLANK('Data Entry'!$ą$974), "", 'Data Entry'!$ą$974)</f>
      </c>
      <c r="GP974">
        <f>IF(ISBLANK('Data Entry'!$Ć$974), "", 'Data Entry'!$Ć$974)</f>
      </c>
      <c r="GQ974">
        <f>IF(ISBLANK('Data Entry'!$ć$974), "", 'Data Entry'!$ć$974)</f>
      </c>
      <c r="GR974">
        <f>IF(ISBLANK('Data Entry'!$Ĉ$974), "", 'Data Entry'!$Ĉ$974)</f>
      </c>
      <c r="GS974">
        <f>IF(ISBLANK('Data Entry'!$ĉ$974), "", 'Data Entry'!$ĉ$974)</f>
      </c>
      <c r="GT974">
        <f>IF(ISBLANK('Data Entry'!$Ċ$974), "", 'Data Entry'!$Ċ$974)</f>
      </c>
      <c r="GU974">
        <f>IF(ISBLANK('Data Entry'!$ċ$974), "", 'Data Entry'!$ċ$974)</f>
      </c>
      <c r="GV974">
        <f>IF(ISBLANK('Data Entry'!$Č$974), "", 'Data Entry'!$Č$974)</f>
      </c>
      <c r="GW974">
        <f>IF(ISBLANK('Data Entry'!$č$974), "", 'Data Entry'!$č$974)</f>
      </c>
      <c r="GX974">
        <f>IF(ISBLANK('Data Entry'!$Ď$974), "", 'Data Entry'!$Ď$974)</f>
      </c>
      <c r="GY974">
        <f>IF(ISBLANK('Data Entry'!$ď$974), "", 'Data Entry'!$ď$974)</f>
      </c>
      <c r="GZ974">
        <f>IF(ISBLANK('Data Entry'!$Đ$974), "", 'Data Entry'!$Đ$974)</f>
      </c>
      <c r="HA974">
        <f>IF(ISBLANK('Data Entry'!$đ$974), "", 'Data Entry'!$đ$974)</f>
      </c>
      <c r="HB974">
        <f>IF(ISBLANK('Data Entry'!$Ē$974), "", 'Data Entry'!$Ē$974)</f>
      </c>
      <c r="HC974">
        <f>IF(ISBLANK('Data Entry'!$ē$974), "", 'Data Entry'!$ē$974)</f>
      </c>
      <c r="HD974">
        <f>IF(ISBLANK('Data Entry'!$Ĕ$974), "", 'Data Entry'!$Ĕ$974)</f>
      </c>
      <c r="HE974">
        <f>IF(ISBLANK('Data Entry'!$ĕ$974), "", 'Data Entry'!$ĕ$974)</f>
      </c>
      <c r="HF974">
        <f>IF(ISBLANK('Data Entry'!$Ė$974), "", 'Data Entry'!$Ė$974)</f>
      </c>
      <c r="HG974">
        <f>IF(ISBLANK('Data Entry'!$ė$974), "", 'Data Entry'!$ė$974)</f>
      </c>
      <c r="HH974">
        <f>IF(ISBLANK('Data Entry'!$Ę$974), "", 'Data Entry'!$Ę$974)</f>
      </c>
      <c r="HI974">
        <f>IF(ISBLANK('Data Entry'!$ę$974), "", 'Data Entry'!$ę$974)</f>
      </c>
      <c r="HJ974">
        <f>IF(ISBLANK('Data Entry'!$Ě$974), "", 'Data Entry'!$Ě$974)</f>
      </c>
      <c r="HK974">
        <f>IF(ISBLANK('Data Entry'!$ě$974), "", 'Data Entry'!$ě$974)</f>
      </c>
      <c r="HL974">
        <f>IF(ISBLANK('Data Entry'!$Ĝ$974), "", 'Data Entry'!$Ĝ$974)</f>
      </c>
      <c r="HM974">
        <f>IF(ISBLANK('Data Entry'!$ĝ$974), "", 'Data Entry'!$ĝ$974)</f>
      </c>
      <c r="HN974">
        <f>IF(ISBLANK('Data Entry'!$Ğ$974), "", 'Data Entry'!$Ğ$974)</f>
      </c>
      <c r="HO974">
        <f>IF(ISBLANK('Data Entry'!$ğ$974), "", 'Data Entry'!$ğ$974)</f>
      </c>
      <c r="HP974">
        <f>IF(ISBLANK('Data Entry'!$Ġ$974), "", 'Data Entry'!$Ġ$974)</f>
      </c>
      <c r="HQ974">
        <f>IF(ISBLANK('Data Entry'!$ġ$974), "", 'Data Entry'!$ġ$974)</f>
      </c>
      <c r="HR974">
        <f>IF(ISBLANK('Data Entry'!$Ģ$974), "", 'Data Entry'!$Ģ$974)</f>
      </c>
      <c r="HS974">
        <f>IF(ISBLANK('Data Entry'!$ģ$974), "", 'Data Entry'!$ģ$974)</f>
      </c>
      <c r="HT974">
        <f>IF(ISBLANK('Data Entry'!$Ĥ$974), "", 'Data Entry'!$Ĥ$974)</f>
      </c>
      <c r="HU974">
        <f>IF(ISBLANK('Data Entry'!$ĥ$974), "", 'Data Entry'!$ĥ$974)</f>
      </c>
      <c r="HV974">
        <f>IF(ISBLANK('Data Entry'!$Ħ$974), "", 'Data Entry'!$Ħ$974)</f>
      </c>
      <c r="HW974">
        <f>IF(ISBLANK('Data Entry'!$ħ$974), "", 'Data Entry'!$ħ$974)</f>
      </c>
      <c r="HX974">
        <f>IF(ISBLANK('Data Entry'!$Ĩ$974), "", 'Data Entry'!$Ĩ$974)</f>
      </c>
      <c r="HY974">
        <f>IF(ISBLANK('Data Entry'!$ĩ$974), "", 'Data Entry'!$ĩ$974)</f>
      </c>
      <c r="HZ974">
        <f>IF(ISBLANK('Data Entry'!$Ī$974), "", 'Data Entry'!$Ī$974)</f>
      </c>
      <c r="IA974">
        <f>IF(ISBLANK('Data Entry'!$ī$974), "", 'Data Entry'!$ī$974)</f>
      </c>
      <c r="IB974">
        <f>IF(ISBLANK('Data Entry'!$Ĭ$974), "", 'Data Entry'!$Ĭ$974)</f>
      </c>
      <c r="IC974">
        <f>IF(ISBLANK('Data Entry'!$ĭ$974), "", 'Data Entry'!$ĭ$974)</f>
      </c>
      <c r="ID974">
        <f>IF(ISBLANK('Data Entry'!$Į$974), "", 'Data Entry'!$Į$974)</f>
      </c>
      <c r="IE974">
        <f>IF(ISBLANK('Data Entry'!$į$974), "", 'Data Entry'!$į$974)</f>
      </c>
      <c r="IF974">
        <f>IF(ISBLANK('Data Entry'!$İ$974), "", 'Data Entry'!$İ$974)</f>
      </c>
      <c r="IG974">
        <f>IF(ISBLANK('Data Entry'!$ı$974), "", 'Data Entry'!$ı$974)</f>
      </c>
      <c r="IH974">
        <f>IF(ISBLANK('Data Entry'!$Ĳ$974), "", 'Data Entry'!$Ĳ$974)</f>
      </c>
      <c r="II974">
        <f>IF(ISBLANK('Data Entry'!$ĳ$974), "", 'Data Entry'!$ĳ$974)</f>
      </c>
      <c r="IJ974">
        <f>IF(ISBLANK('Data Entry'!$Ĵ$974), "", 'Data Entry'!$Ĵ$974)</f>
      </c>
      <c r="IK974">
        <f>IF(ISBLANK('Data Entry'!$ĵ$974), "", 'Data Entry'!$ĵ$974)</f>
      </c>
      <c r="IL974">
        <f>IF(ISBLANK('Data Entry'!$Ķ$974), "", 'Data Entry'!$Ķ$974)</f>
      </c>
      <c r="IM974">
        <f>IF(ISBLANK('Data Entry'!$ķ$974), "", 'Data Entry'!$ķ$974)</f>
      </c>
      <c r="IN974">
        <f>IF(ISBLANK('Data Entry'!$ĸ$974), "", 'Data Entry'!$ĸ$974)</f>
      </c>
      <c r="IO974">
        <f>IF(ISBLANK('Data Entry'!$Ĺ$974), "", 'Data Entry'!$Ĺ$974)</f>
      </c>
      <c r="IP974">
        <f>IF(ISBLANK('Data Entry'!$ĺ$974), "", 'Data Entry'!$ĺ$974)</f>
      </c>
      <c r="IQ974">
        <f>IF(ISBLANK('Data Entry'!$Ļ$974), "", 'Data Entry'!$Ļ$974)</f>
      </c>
      <c r="IR974">
        <f>IF(ISBLANK('Data Entry'!$ļ$974), "", 'Data Entry'!$ļ$974)</f>
      </c>
      <c r="IS974">
        <f>IF(ISBLANK('Data Entry'!$Ľ$974), "", 'Data Entry'!$Ľ$974)</f>
      </c>
      <c r="IT974">
        <f>IF(ISBLANK('Data Entry'!$ľ$974), "", 'Data Entry'!$ľ$974)</f>
      </c>
    </row>
    <row r="975" spans="1:254" x14ac:dyDescent="0.25">
      <c r="A975">
        <f>IF(ISBLANK('Data Entry'!$A$975), "", 'Data Entry'!$A$975)</f>
      </c>
      <c r="B975">
        <f>IF(ISBLANK('Data Entry'!$B$975), "", 'Data Entry'!$B$975)</f>
      </c>
      <c r="C975">
        <f>IF(ISBLANK('Data Entry'!$C$975), "", 'Data Entry'!$C$975)</f>
      </c>
      <c r="D975">
        <f>IF(ISBLANK('Data Entry'!$D$975), "", 'Data Entry'!$D$975)</f>
      </c>
      <c r="E975">
        <f>IF(ISBLANK('Data Entry'!$E$975), "", 'Data Entry'!$E$975)</f>
      </c>
      <c r="F975">
        <f>IF(ISBLANK('Data Entry'!$F$975), "", 'Data Entry'!$F$975)</f>
      </c>
      <c r="G975">
        <f>IF(ISBLANK('Data Entry'!$G$975), "", 'Data Entry'!$G$975)</f>
      </c>
      <c r="H975">
        <f>IF(ISBLANK('Data Entry'!$H$975), "", 'Data Entry'!$H$975)</f>
      </c>
      <c r="I975">
        <f>IF(ISBLANK('Data Entry'!$I$975), "", 'Data Entry'!$I$975)</f>
      </c>
      <c r="J975">
        <f>IF(ISBLANK('Data Entry'!$J$975), "", 'Data Entry'!$J$975)</f>
      </c>
      <c r="K975">
        <f>IF(ISBLANK('Data Entry'!$K$975), "", 'Data Entry'!$K$975)</f>
      </c>
      <c r="L975">
        <f>IF(ISBLANK('Data Entry'!$L$975), "", 'Data Entry'!$L$975)</f>
      </c>
      <c r="M975">
        <f>IF(ISBLANK('Data Entry'!$M$975), "", 'Data Entry'!$M$975)</f>
      </c>
      <c r="N975">
        <f>IF(ISBLANK('Data Entry'!$N$975), "", 'Data Entry'!$N$975)</f>
      </c>
      <c r="O975">
        <f>IF(ISBLANK('Data Entry'!$O$975), "", 'Data Entry'!$O$975)</f>
      </c>
      <c r="P975">
        <f>IF(ISBLANK('Data Entry'!$P$975), "", 'Data Entry'!$P$975)</f>
      </c>
      <c r="Q975">
        <f>IF(ISBLANK('Data Entry'!$Q$975), "", 'Data Entry'!$Q$975)</f>
      </c>
      <c r="R975">
        <f>IF(ISBLANK('Data Entry'!$R$975), "", 'Data Entry'!$R$975)</f>
      </c>
      <c r="S975">
        <f>IF(ISBLANK('Data Entry'!$S$975), "", 'Data Entry'!$S$975)</f>
      </c>
      <c r="T975">
        <f>IF(ISBLANK('Data Entry'!$T$975), "", 'Data Entry'!$T$975)</f>
      </c>
      <c r="U975">
        <f>IF(ISBLANK('Data Entry'!$U$975), "", 'Data Entry'!$U$975)</f>
      </c>
      <c r="V975">
        <f>IF(ISBLANK('Data Entry'!$V$975), "", 'Data Entry'!$V$975)</f>
      </c>
      <c r="W975">
        <f>IF(ISBLANK('Data Entry'!$W$975), "", 'Data Entry'!$W$975)</f>
      </c>
      <c r="X975">
        <f>IF(ISBLANK('Data Entry'!$X$975), "", 'Data Entry'!$X$975)</f>
      </c>
      <c r="Y975">
        <f>IF(ISBLANK('Data Entry'!$Y$975), "", 'Data Entry'!$Y$975)</f>
      </c>
      <c r="Z975">
        <f>IF(ISBLANK('Data Entry'!$Z$975), "", 'Data Entry'!$Z$975)</f>
      </c>
      <c r="AA975">
        <f>IF(ISBLANK('Data Entry'!$[$975), "", 'Data Entry'!$[$975)</f>
      </c>
      <c r="AB975">
        <f>IF(ISBLANK('Data Entry'!$\$975), "", 'Data Entry'!$\$975)</f>
      </c>
      <c r="AC975">
        <f>IF(ISBLANK('Data Entry'!$]$975), "", 'Data Entry'!$]$975)</f>
      </c>
      <c r="AD975">
        <f>IF(ISBLANK('Data Entry'!$^$975), "", 'Data Entry'!$^$975)</f>
      </c>
      <c r="AE975">
        <f>IF(ISBLANK('Data Entry'!$_$975), "", 'Data Entry'!$_$975)</f>
      </c>
      <c r="AF975">
        <f>IF(ISBLANK('Data Entry'!$`$975), "", 'Data Entry'!$`$975)</f>
      </c>
      <c r="AG975">
        <f>IF(ISBLANK('Data Entry'!$a$975), "", 'Data Entry'!$a$975)</f>
      </c>
      <c r="AH975">
        <f>IF(ISBLANK('Data Entry'!$b$975), "", 'Data Entry'!$b$975)</f>
      </c>
      <c r="AI975">
        <f>IF(ISBLANK('Data Entry'!$c$975), "", 'Data Entry'!$c$975)</f>
      </c>
      <c r="AJ975">
        <f>IF(ISBLANK('Data Entry'!$d$975), "", 'Data Entry'!$d$975)</f>
      </c>
      <c r="AK975">
        <f>IF(ISBLANK('Data Entry'!$e$975), "", 'Data Entry'!$e$975)</f>
      </c>
      <c r="AL975">
        <f>IF(ISBLANK('Data Entry'!$f$975), "", 'Data Entry'!$f$975)</f>
      </c>
      <c r="AM975">
        <f>IF(ISBLANK('Data Entry'!$g$975), "", 'Data Entry'!$g$975)</f>
      </c>
      <c r="AN975">
        <f>IF(ISBLANK('Data Entry'!$h$975), "", 'Data Entry'!$h$975)</f>
      </c>
      <c r="AO975">
        <f>IF(ISBLANK('Data Entry'!$i$975), "", 'Data Entry'!$i$975)</f>
      </c>
      <c r="AP975">
        <f>IF(ISBLANK('Data Entry'!$j$975), "", 'Data Entry'!$j$975)</f>
      </c>
      <c r="AQ975">
        <f>IF(ISBLANK('Data Entry'!$k$975), "", 'Data Entry'!$k$975)</f>
      </c>
      <c r="AR975">
        <f>IF(ISBLANK('Data Entry'!$l$975), "", 'Data Entry'!$l$975)</f>
      </c>
      <c r="AS975">
        <f>IF(ISBLANK('Data Entry'!$m$975), "", 'Data Entry'!$m$975)</f>
      </c>
      <c r="AT975">
        <f>IF(ISBLANK('Data Entry'!$n$975), "", 'Data Entry'!$n$975)</f>
      </c>
      <c r="AU975">
        <f>IF(ISBLANK('Data Entry'!$o$975), "", 'Data Entry'!$o$975)</f>
      </c>
      <c r="AV975">
        <f>IF(ISBLANK('Data Entry'!$p$975), "", 'Data Entry'!$p$975)</f>
      </c>
      <c r="AW975">
        <f>IF(ISBLANK('Data Entry'!$q$975), "", 'Data Entry'!$q$975)</f>
      </c>
      <c r="AX975">
        <f>IF(ISBLANK('Data Entry'!$r$975), "", 'Data Entry'!$r$975)</f>
      </c>
      <c r="AY975">
        <f>IF(ISBLANK('Data Entry'!$s$975), "", 'Data Entry'!$s$975)</f>
      </c>
      <c r="AZ975">
        <f>IF(ISBLANK('Data Entry'!$t$975), "", 'Data Entry'!$t$975)</f>
      </c>
      <c r="BA975">
        <f>IF(ISBLANK('Data Entry'!$u$975), "", 'Data Entry'!$u$975)</f>
      </c>
      <c r="BB975">
        <f>IF(ISBLANK('Data Entry'!$v$975), "", 'Data Entry'!$v$975)</f>
      </c>
      <c r="BC975">
        <f>IF(ISBLANK('Data Entry'!$w$975), "", 'Data Entry'!$w$975)</f>
      </c>
      <c r="BD975">
        <f>IF(ISBLANK('Data Entry'!$x$975), "", 'Data Entry'!$x$975)</f>
      </c>
      <c r="BE975">
        <f>IF(ISBLANK('Data Entry'!$y$975), "", 'Data Entry'!$y$975)</f>
      </c>
      <c r="BF975">
        <f>IF(ISBLANK('Data Entry'!$z$975), "", 'Data Entry'!$z$975)</f>
      </c>
      <c r="BG975">
        <f>IF(ISBLANK('Data Entry'!${$975), "", 'Data Entry'!${$975)</f>
      </c>
      <c r="BH975">
        <f>IF(ISBLANK('Data Entry'!$|$975), "", 'Data Entry'!$|$975)</f>
      </c>
      <c r="BI975">
        <f>IF(ISBLANK('Data Entry'!$}$975), "", 'Data Entry'!$}$975)</f>
      </c>
      <c r="BJ975">
        <f>IF(ISBLANK('Data Entry'!$~$975), "", 'Data Entry'!$~$975)</f>
      </c>
      <c r="BK975">
        <f>IF(ISBLANK('Data Entry'!$$975), "", 'Data Entry'!$$975)</f>
      </c>
      <c r="BL975">
        <f>IF(ISBLANK('Data Entry'!$$975), "", 'Data Entry'!$$975)</f>
      </c>
      <c r="BM975">
        <f>IF(ISBLANK('Data Entry'!$$975), "", 'Data Entry'!$$975)</f>
      </c>
      <c r="BN975">
        <f>IF(ISBLANK('Data Entry'!$$975), "", 'Data Entry'!$$975)</f>
      </c>
      <c r="BO975">
        <f>IF(ISBLANK('Data Entry'!$$975), "", 'Data Entry'!$$975)</f>
      </c>
      <c r="BP975">
        <f>IF(ISBLANK('Data Entry'!$$975), "", 'Data Entry'!$$975)</f>
      </c>
      <c r="BQ975">
        <f>IF(ISBLANK('Data Entry'!$$975), "", 'Data Entry'!$$975)</f>
      </c>
      <c r="BR975">
        <f>IF(ISBLANK('Data Entry'!$$975), "", 'Data Entry'!$$975)</f>
      </c>
      <c r="BS975">
        <f>IF(ISBLANK('Data Entry'!$$975), "", 'Data Entry'!$$975)</f>
      </c>
      <c r="BT975">
        <f>IF(ISBLANK('Data Entry'!$$975), "", 'Data Entry'!$$975)</f>
      </c>
      <c r="BU975">
        <f>IF(ISBLANK('Data Entry'!$$975), "", 'Data Entry'!$$975)</f>
      </c>
      <c r="BV975">
        <f>IF(ISBLANK('Data Entry'!$$975), "", 'Data Entry'!$$975)</f>
      </c>
      <c r="BW975">
        <f>IF(ISBLANK('Data Entry'!$$975), "", 'Data Entry'!$$975)</f>
      </c>
      <c r="BX975">
        <f>IF(ISBLANK('Data Entry'!$$975), "", 'Data Entry'!$$975)</f>
      </c>
      <c r="BY975">
        <f>IF(ISBLANK('Data Entry'!$$975), "", 'Data Entry'!$$975)</f>
      </c>
      <c r="BZ975">
        <f>IF(ISBLANK('Data Entry'!$$975), "", 'Data Entry'!$$975)</f>
      </c>
      <c r="CA975">
        <f>IF(ISBLANK('Data Entry'!$$975), "", 'Data Entry'!$$975)</f>
      </c>
      <c r="CB975">
        <f>IF(ISBLANK('Data Entry'!$$975), "", 'Data Entry'!$$975)</f>
      </c>
      <c r="CC975">
        <f>IF(ISBLANK('Data Entry'!$$975), "", 'Data Entry'!$$975)</f>
      </c>
      <c r="CD975">
        <f>IF(ISBLANK('Data Entry'!$$975), "", 'Data Entry'!$$975)</f>
      </c>
      <c r="CE975">
        <f>IF(ISBLANK('Data Entry'!$$975), "", 'Data Entry'!$$975)</f>
      </c>
      <c r="CF975">
        <f>IF(ISBLANK('Data Entry'!$$975), "", 'Data Entry'!$$975)</f>
      </c>
      <c r="CG975">
        <f>IF(ISBLANK('Data Entry'!$$975), "", 'Data Entry'!$$975)</f>
      </c>
      <c r="CH975">
        <f>IF(ISBLANK('Data Entry'!$$975), "", 'Data Entry'!$$975)</f>
      </c>
      <c r="CI975">
        <f>IF(ISBLANK('Data Entry'!$$975), "", 'Data Entry'!$$975)</f>
      </c>
      <c r="CJ975">
        <f>IF(ISBLANK('Data Entry'!$$975), "", 'Data Entry'!$$975)</f>
      </c>
      <c r="CK975">
        <f>IF(ISBLANK('Data Entry'!$$975), "", 'Data Entry'!$$975)</f>
      </c>
      <c r="CL975">
        <f>IF(ISBLANK('Data Entry'!$$975), "", 'Data Entry'!$$975)</f>
      </c>
      <c r="CM975">
        <f>IF(ISBLANK('Data Entry'!$$975), "", 'Data Entry'!$$975)</f>
      </c>
      <c r="CN975">
        <f>IF(ISBLANK('Data Entry'!$$975), "", 'Data Entry'!$$975)</f>
      </c>
      <c r="CO975">
        <f>IF(ISBLANK('Data Entry'!$$975), "", 'Data Entry'!$$975)</f>
      </c>
      <c r="CP975">
        <f>IF(ISBLANK('Data Entry'!$$975), "", 'Data Entry'!$$975)</f>
      </c>
      <c r="CQ975">
        <f>IF(ISBLANK('Data Entry'!$$975), "", 'Data Entry'!$$975)</f>
      </c>
      <c r="CR975">
        <f>IF(ISBLANK('Data Entry'!$ $975), "", 'Data Entry'!$ $975)</f>
      </c>
      <c r="CS975">
        <f>IF(ISBLANK('Data Entry'!$¡$975), "", 'Data Entry'!$¡$975)</f>
      </c>
      <c r="CT975">
        <f>IF(ISBLANK('Data Entry'!$¢$975), "", 'Data Entry'!$¢$975)</f>
      </c>
      <c r="CU975">
        <f>IF(ISBLANK('Data Entry'!$£$975), "", 'Data Entry'!$£$975)</f>
      </c>
      <c r="CV975">
        <f>IF(ISBLANK('Data Entry'!$¤$975), "", 'Data Entry'!$¤$975)</f>
      </c>
      <c r="CW975">
        <f>IF(ISBLANK('Data Entry'!$¥$975), "", 'Data Entry'!$¥$975)</f>
      </c>
      <c r="CX975">
        <f>IF(ISBLANK('Data Entry'!$¦$975), "", 'Data Entry'!$¦$975)</f>
      </c>
      <c r="CY975">
        <f>IF(ISBLANK('Data Entry'!$§$975), "", 'Data Entry'!$§$975)</f>
      </c>
      <c r="CZ975">
        <f>IF(ISBLANK('Data Entry'!$¨$975), "", 'Data Entry'!$¨$975)</f>
      </c>
      <c r="DA975">
        <f>IF(ISBLANK('Data Entry'!$©$975), "", 'Data Entry'!$©$975)</f>
      </c>
      <c r="DB975">
        <f>IF(ISBLANK('Data Entry'!$ª$975), "", 'Data Entry'!$ª$975)</f>
      </c>
      <c r="DC975">
        <f>IF(ISBLANK('Data Entry'!$«$975), "", 'Data Entry'!$«$975)</f>
      </c>
      <c r="DD975">
        <f>IF(ISBLANK('Data Entry'!$¬$975), "", 'Data Entry'!$¬$975)</f>
      </c>
      <c r="DE975">
        <f>IF(ISBLANK('Data Entry'!$­$975), "", 'Data Entry'!$­$975)</f>
      </c>
      <c r="DF975">
        <f>IF(ISBLANK('Data Entry'!$®$975), "", 'Data Entry'!$®$975)</f>
      </c>
      <c r="DG975">
        <f>IF(ISBLANK('Data Entry'!$¯$975), "", 'Data Entry'!$¯$975)</f>
      </c>
      <c r="DH975">
        <f>IF(ISBLANK('Data Entry'!$°$975), "", 'Data Entry'!$°$975)</f>
      </c>
      <c r="DI975">
        <f>IF(ISBLANK('Data Entry'!$±$975), "", 'Data Entry'!$±$975)</f>
      </c>
      <c r="DJ975">
        <f>IF(ISBLANK('Data Entry'!$²$975), "", 'Data Entry'!$²$975)</f>
      </c>
      <c r="DK975">
        <f>IF(ISBLANK('Data Entry'!$³$975), "", 'Data Entry'!$³$975)</f>
      </c>
      <c r="DL975">
        <f>IF(ISBLANK('Data Entry'!$´$975), "", 'Data Entry'!$´$975)</f>
      </c>
      <c r="DM975">
        <f>IF(ISBLANK('Data Entry'!$µ$975), "", 'Data Entry'!$µ$975)</f>
      </c>
      <c r="DN975">
        <f>IF(ISBLANK('Data Entry'!$¶$975), "", 'Data Entry'!$¶$975)</f>
      </c>
      <c r="DO975">
        <f>IF(ISBLANK('Data Entry'!$·$975), "", 'Data Entry'!$·$975)</f>
      </c>
      <c r="DP975">
        <f>IF(ISBLANK('Data Entry'!$¸$975), "", 'Data Entry'!$¸$975)</f>
      </c>
      <c r="DQ975">
        <f>IF(ISBLANK('Data Entry'!$¹$975), "", 'Data Entry'!$¹$975)</f>
      </c>
      <c r="DR975">
        <f>IF(ISBLANK('Data Entry'!$º$975), "", 'Data Entry'!$º$975)</f>
      </c>
      <c r="DS975">
        <f>IF(ISBLANK('Data Entry'!$»$975), "", 'Data Entry'!$»$975)</f>
      </c>
      <c r="DT975">
        <f>IF(ISBLANK('Data Entry'!$¼$975), "", 'Data Entry'!$¼$975)</f>
      </c>
      <c r="DU975">
        <f>IF(ISBLANK('Data Entry'!$½$975), "", 'Data Entry'!$½$975)</f>
      </c>
      <c r="DV975">
        <f>IF(ISBLANK('Data Entry'!$¾$975), "", 'Data Entry'!$¾$975)</f>
      </c>
      <c r="DW975">
        <f>IF(ISBLANK('Data Entry'!$¿$975), "", 'Data Entry'!$¿$975)</f>
      </c>
      <c r="DX975">
        <f>IF(ISBLANK('Data Entry'!$À$975), "", 'Data Entry'!$À$975)</f>
      </c>
      <c r="DY975">
        <f>IF(ISBLANK('Data Entry'!$Á$975), "", 'Data Entry'!$Á$975)</f>
      </c>
      <c r="DZ975">
        <f>IF(ISBLANK('Data Entry'!$Â$975), "", 'Data Entry'!$Â$975)</f>
      </c>
      <c r="EA975">
        <f>IF(ISBLANK('Data Entry'!$Ã$975), "", 'Data Entry'!$Ã$975)</f>
      </c>
      <c r="EB975">
        <f>IF(ISBLANK('Data Entry'!$Ä$975), "", 'Data Entry'!$Ä$975)</f>
      </c>
      <c r="EC975">
        <f>IF(ISBLANK('Data Entry'!$Å$975), "", 'Data Entry'!$Å$975)</f>
      </c>
      <c r="ED975">
        <f>IF(ISBLANK('Data Entry'!$Æ$975), "", 'Data Entry'!$Æ$975)</f>
      </c>
      <c r="EE975">
        <f>IF(ISBLANK('Data Entry'!$Ç$975), "", 'Data Entry'!$Ç$975)</f>
      </c>
      <c r="EF975">
        <f>IF(ISBLANK('Data Entry'!$È$975), "", 'Data Entry'!$È$975)</f>
      </c>
      <c r="EG975">
        <f>IF(ISBLANK('Data Entry'!$É$975), "", 'Data Entry'!$É$975)</f>
      </c>
      <c r="EH975">
        <f>IF(ISBLANK('Data Entry'!$Ê$975), "", 'Data Entry'!$Ê$975)</f>
      </c>
      <c r="EI975">
        <f>IF(ISBLANK('Data Entry'!$Ë$975), "", 'Data Entry'!$Ë$975)</f>
      </c>
      <c r="EJ975">
        <f>IF(ISBLANK('Data Entry'!$Ì$975), "", 'Data Entry'!$Ì$975)</f>
      </c>
      <c r="EK975">
        <f>IF(ISBLANK('Data Entry'!$Í$975), "", 'Data Entry'!$Í$975)</f>
      </c>
      <c r="EL975">
        <f>IF(ISBLANK('Data Entry'!$Î$975), "", 'Data Entry'!$Î$975)</f>
      </c>
      <c r="EM975">
        <f>IF(ISBLANK('Data Entry'!$Ï$975), "", 'Data Entry'!$Ï$975)</f>
      </c>
      <c r="EN975">
        <f>IF(ISBLANK('Data Entry'!$Ð$975), "", 'Data Entry'!$Ð$975)</f>
      </c>
      <c r="EO975">
        <f>IF(ISBLANK('Data Entry'!$Ñ$975), "", 'Data Entry'!$Ñ$975)</f>
      </c>
      <c r="EP975">
        <f>IF(ISBLANK('Data Entry'!$Ò$975), "", 'Data Entry'!$Ò$975)</f>
      </c>
      <c r="EQ975">
        <f>IF(ISBLANK('Data Entry'!$Ó$975), "", 'Data Entry'!$Ó$975)</f>
      </c>
      <c r="ER975">
        <f>IF(ISBLANK('Data Entry'!$Ô$975), "", 'Data Entry'!$Ô$975)</f>
      </c>
      <c r="ES975">
        <f>IF(ISBLANK('Data Entry'!$Õ$975), "", 'Data Entry'!$Õ$975)</f>
      </c>
      <c r="ET975">
        <f>IF(ISBLANK('Data Entry'!$Ö$975), "", 'Data Entry'!$Ö$975)</f>
      </c>
      <c r="EU975">
        <f>IF(ISBLANK('Data Entry'!$×$975), "", 'Data Entry'!$×$975)</f>
      </c>
      <c r="EV975">
        <f>IF(ISBLANK('Data Entry'!$Ø$975), "", 'Data Entry'!$Ø$975)</f>
      </c>
      <c r="EW975">
        <f>IF(ISBLANK('Data Entry'!$Ù$975), "", 'Data Entry'!$Ù$975)</f>
      </c>
      <c r="EX975">
        <f>IF(ISBLANK('Data Entry'!$Ú$975), "", 'Data Entry'!$Ú$975)</f>
      </c>
      <c r="EY975">
        <f>IF(ISBLANK('Data Entry'!$Û$975), "", 'Data Entry'!$Û$975)</f>
      </c>
      <c r="EZ975">
        <f>IF(ISBLANK('Data Entry'!$Ü$975), "", 'Data Entry'!$Ü$975)</f>
      </c>
      <c r="FA975">
        <f>IF(ISBLANK('Data Entry'!$Ý$975), "", 'Data Entry'!$Ý$975)</f>
      </c>
      <c r="FB975">
        <f>IF(ISBLANK('Data Entry'!$Þ$975), "", 'Data Entry'!$Þ$975)</f>
      </c>
      <c r="FC975">
        <f>IF(ISBLANK('Data Entry'!$ß$975), "", 'Data Entry'!$ß$975)</f>
      </c>
      <c r="FD975">
        <f>IF(ISBLANK('Data Entry'!$à$975), "", 'Data Entry'!$à$975)</f>
      </c>
      <c r="FE975">
        <f>IF(ISBLANK('Data Entry'!$á$975), "", 'Data Entry'!$á$975)</f>
      </c>
      <c r="FF975">
        <f>IF(ISBLANK('Data Entry'!$â$975), "", 'Data Entry'!$â$975)</f>
      </c>
      <c r="FG975">
        <f>IF(ISBLANK('Data Entry'!$ã$975), "", 'Data Entry'!$ã$975)</f>
      </c>
      <c r="FH975">
        <f>IF(ISBLANK('Data Entry'!$ä$975), "", 'Data Entry'!$ä$975)</f>
      </c>
      <c r="FI975">
        <f>IF(ISBLANK('Data Entry'!$å$975), "", 'Data Entry'!$å$975)</f>
      </c>
      <c r="FJ975">
        <f>IF(ISBLANK('Data Entry'!$æ$975), "", 'Data Entry'!$æ$975)</f>
      </c>
      <c r="FK975">
        <f>IF(ISBLANK('Data Entry'!$ç$975), "", 'Data Entry'!$ç$975)</f>
      </c>
      <c r="FL975">
        <f>IF(ISBLANK('Data Entry'!$è$975), "", 'Data Entry'!$è$975)</f>
      </c>
      <c r="FM975">
        <f>IF(ISBLANK('Data Entry'!$é$975), "", 'Data Entry'!$é$975)</f>
      </c>
      <c r="FN975">
        <f>IF(ISBLANK('Data Entry'!$ê$975), "", 'Data Entry'!$ê$975)</f>
      </c>
      <c r="FO975">
        <f>IF(ISBLANK('Data Entry'!$ë$975), "", 'Data Entry'!$ë$975)</f>
      </c>
      <c r="FP975">
        <f>IF(ISBLANK('Data Entry'!$ì$975), "", 'Data Entry'!$ì$975)</f>
      </c>
      <c r="FQ975">
        <f>IF(ISBLANK('Data Entry'!$í$975), "", 'Data Entry'!$í$975)</f>
      </c>
      <c r="FR975">
        <f>IF(ISBLANK('Data Entry'!$î$975), "", 'Data Entry'!$î$975)</f>
      </c>
      <c r="FS975">
        <f>IF(ISBLANK('Data Entry'!$ï$975), "", 'Data Entry'!$ï$975)</f>
      </c>
      <c r="FT975">
        <f>IF(ISBLANK('Data Entry'!$ð$975), "", 'Data Entry'!$ð$975)</f>
      </c>
      <c r="FU975">
        <f>IF(ISBLANK('Data Entry'!$ñ$975), "", 'Data Entry'!$ñ$975)</f>
      </c>
      <c r="FV975">
        <f>IF(ISBLANK('Data Entry'!$ò$975), "", 'Data Entry'!$ò$975)</f>
      </c>
      <c r="FW975">
        <f>IF(ISBLANK('Data Entry'!$ó$975), "", 'Data Entry'!$ó$975)</f>
      </c>
      <c r="FX975">
        <f>IF(ISBLANK('Data Entry'!$ô$975), "", 'Data Entry'!$ô$975)</f>
      </c>
      <c r="FY975">
        <f>IF(ISBLANK('Data Entry'!$õ$975), "", 'Data Entry'!$õ$975)</f>
      </c>
      <c r="FZ975">
        <f>IF(ISBLANK('Data Entry'!$ö$975), "", 'Data Entry'!$ö$975)</f>
      </c>
      <c r="GA975">
        <f>IF(ISBLANK('Data Entry'!$÷$975), "", 'Data Entry'!$÷$975)</f>
      </c>
      <c r="GB975">
        <f>IF(ISBLANK('Data Entry'!$ø$975), "", 'Data Entry'!$ø$975)</f>
      </c>
      <c r="GC975">
        <f>IF(ISBLANK('Data Entry'!$ù$975), "", 'Data Entry'!$ù$975)</f>
      </c>
      <c r="GD975">
        <f>IF(ISBLANK('Data Entry'!$ú$975), "", 'Data Entry'!$ú$975)</f>
      </c>
      <c r="GE975">
        <f>IF(ISBLANK('Data Entry'!$û$975), "", 'Data Entry'!$û$975)</f>
      </c>
      <c r="GF975">
        <f>IF(ISBLANK('Data Entry'!$ü$975), "", 'Data Entry'!$ü$975)</f>
      </c>
      <c r="GG975">
        <f>IF(ISBLANK('Data Entry'!$ý$975), "", 'Data Entry'!$ý$975)</f>
      </c>
      <c r="GH975">
        <f>IF(ISBLANK('Data Entry'!$þ$975), "", 'Data Entry'!$þ$975)</f>
      </c>
      <c r="GI975">
        <f>IF(ISBLANK('Data Entry'!$ÿ$975), "", 'Data Entry'!$ÿ$975)</f>
      </c>
      <c r="GJ975">
        <f>IF(ISBLANK('Data Entry'!$Ā$975), "", 'Data Entry'!$Ā$975)</f>
      </c>
      <c r="GK975">
        <f>IF(ISBLANK('Data Entry'!$ā$975), "", 'Data Entry'!$ā$975)</f>
      </c>
      <c r="GL975">
        <f>IF(ISBLANK('Data Entry'!$Ă$975), "", 'Data Entry'!$Ă$975)</f>
      </c>
      <c r="GM975">
        <f>IF(ISBLANK('Data Entry'!$ă$975), "", 'Data Entry'!$ă$975)</f>
      </c>
      <c r="GN975">
        <f>IF(ISBLANK('Data Entry'!$Ą$975), "", 'Data Entry'!$Ą$975)</f>
      </c>
      <c r="GO975">
        <f>IF(ISBLANK('Data Entry'!$ą$975), "", 'Data Entry'!$ą$975)</f>
      </c>
      <c r="GP975">
        <f>IF(ISBLANK('Data Entry'!$Ć$975), "", 'Data Entry'!$Ć$975)</f>
      </c>
      <c r="GQ975">
        <f>IF(ISBLANK('Data Entry'!$ć$975), "", 'Data Entry'!$ć$975)</f>
      </c>
      <c r="GR975">
        <f>IF(ISBLANK('Data Entry'!$Ĉ$975), "", 'Data Entry'!$Ĉ$975)</f>
      </c>
      <c r="GS975">
        <f>IF(ISBLANK('Data Entry'!$ĉ$975), "", 'Data Entry'!$ĉ$975)</f>
      </c>
      <c r="GT975">
        <f>IF(ISBLANK('Data Entry'!$Ċ$975), "", 'Data Entry'!$Ċ$975)</f>
      </c>
      <c r="GU975">
        <f>IF(ISBLANK('Data Entry'!$ċ$975), "", 'Data Entry'!$ċ$975)</f>
      </c>
      <c r="GV975">
        <f>IF(ISBLANK('Data Entry'!$Č$975), "", 'Data Entry'!$Č$975)</f>
      </c>
      <c r="GW975">
        <f>IF(ISBLANK('Data Entry'!$č$975), "", 'Data Entry'!$č$975)</f>
      </c>
      <c r="GX975">
        <f>IF(ISBLANK('Data Entry'!$Ď$975), "", 'Data Entry'!$Ď$975)</f>
      </c>
      <c r="GY975">
        <f>IF(ISBLANK('Data Entry'!$ď$975), "", 'Data Entry'!$ď$975)</f>
      </c>
      <c r="GZ975">
        <f>IF(ISBLANK('Data Entry'!$Đ$975), "", 'Data Entry'!$Đ$975)</f>
      </c>
      <c r="HA975">
        <f>IF(ISBLANK('Data Entry'!$đ$975), "", 'Data Entry'!$đ$975)</f>
      </c>
      <c r="HB975">
        <f>IF(ISBLANK('Data Entry'!$Ē$975), "", 'Data Entry'!$Ē$975)</f>
      </c>
      <c r="HC975">
        <f>IF(ISBLANK('Data Entry'!$ē$975), "", 'Data Entry'!$ē$975)</f>
      </c>
      <c r="HD975">
        <f>IF(ISBLANK('Data Entry'!$Ĕ$975), "", 'Data Entry'!$Ĕ$975)</f>
      </c>
      <c r="HE975">
        <f>IF(ISBLANK('Data Entry'!$ĕ$975), "", 'Data Entry'!$ĕ$975)</f>
      </c>
      <c r="HF975">
        <f>IF(ISBLANK('Data Entry'!$Ė$975), "", 'Data Entry'!$Ė$975)</f>
      </c>
      <c r="HG975">
        <f>IF(ISBLANK('Data Entry'!$ė$975), "", 'Data Entry'!$ė$975)</f>
      </c>
      <c r="HH975">
        <f>IF(ISBLANK('Data Entry'!$Ę$975), "", 'Data Entry'!$Ę$975)</f>
      </c>
      <c r="HI975">
        <f>IF(ISBLANK('Data Entry'!$ę$975), "", 'Data Entry'!$ę$975)</f>
      </c>
      <c r="HJ975">
        <f>IF(ISBLANK('Data Entry'!$Ě$975), "", 'Data Entry'!$Ě$975)</f>
      </c>
      <c r="HK975">
        <f>IF(ISBLANK('Data Entry'!$ě$975), "", 'Data Entry'!$ě$975)</f>
      </c>
      <c r="HL975">
        <f>IF(ISBLANK('Data Entry'!$Ĝ$975), "", 'Data Entry'!$Ĝ$975)</f>
      </c>
      <c r="HM975">
        <f>IF(ISBLANK('Data Entry'!$ĝ$975), "", 'Data Entry'!$ĝ$975)</f>
      </c>
      <c r="HN975">
        <f>IF(ISBLANK('Data Entry'!$Ğ$975), "", 'Data Entry'!$Ğ$975)</f>
      </c>
      <c r="HO975">
        <f>IF(ISBLANK('Data Entry'!$ğ$975), "", 'Data Entry'!$ğ$975)</f>
      </c>
      <c r="HP975">
        <f>IF(ISBLANK('Data Entry'!$Ġ$975), "", 'Data Entry'!$Ġ$975)</f>
      </c>
      <c r="HQ975">
        <f>IF(ISBLANK('Data Entry'!$ġ$975), "", 'Data Entry'!$ġ$975)</f>
      </c>
      <c r="HR975">
        <f>IF(ISBLANK('Data Entry'!$Ģ$975), "", 'Data Entry'!$Ģ$975)</f>
      </c>
      <c r="HS975">
        <f>IF(ISBLANK('Data Entry'!$ģ$975), "", 'Data Entry'!$ģ$975)</f>
      </c>
      <c r="HT975">
        <f>IF(ISBLANK('Data Entry'!$Ĥ$975), "", 'Data Entry'!$Ĥ$975)</f>
      </c>
      <c r="HU975">
        <f>IF(ISBLANK('Data Entry'!$ĥ$975), "", 'Data Entry'!$ĥ$975)</f>
      </c>
      <c r="HV975">
        <f>IF(ISBLANK('Data Entry'!$Ħ$975), "", 'Data Entry'!$Ħ$975)</f>
      </c>
      <c r="HW975">
        <f>IF(ISBLANK('Data Entry'!$ħ$975), "", 'Data Entry'!$ħ$975)</f>
      </c>
      <c r="HX975">
        <f>IF(ISBLANK('Data Entry'!$Ĩ$975), "", 'Data Entry'!$Ĩ$975)</f>
      </c>
      <c r="HY975">
        <f>IF(ISBLANK('Data Entry'!$ĩ$975), "", 'Data Entry'!$ĩ$975)</f>
      </c>
      <c r="HZ975">
        <f>IF(ISBLANK('Data Entry'!$Ī$975), "", 'Data Entry'!$Ī$975)</f>
      </c>
      <c r="IA975">
        <f>IF(ISBLANK('Data Entry'!$ī$975), "", 'Data Entry'!$ī$975)</f>
      </c>
      <c r="IB975">
        <f>IF(ISBLANK('Data Entry'!$Ĭ$975), "", 'Data Entry'!$Ĭ$975)</f>
      </c>
      <c r="IC975">
        <f>IF(ISBLANK('Data Entry'!$ĭ$975), "", 'Data Entry'!$ĭ$975)</f>
      </c>
      <c r="ID975">
        <f>IF(ISBLANK('Data Entry'!$Į$975), "", 'Data Entry'!$Į$975)</f>
      </c>
      <c r="IE975">
        <f>IF(ISBLANK('Data Entry'!$į$975), "", 'Data Entry'!$į$975)</f>
      </c>
      <c r="IF975">
        <f>IF(ISBLANK('Data Entry'!$İ$975), "", 'Data Entry'!$İ$975)</f>
      </c>
      <c r="IG975">
        <f>IF(ISBLANK('Data Entry'!$ı$975), "", 'Data Entry'!$ı$975)</f>
      </c>
      <c r="IH975">
        <f>IF(ISBLANK('Data Entry'!$Ĳ$975), "", 'Data Entry'!$Ĳ$975)</f>
      </c>
      <c r="II975">
        <f>IF(ISBLANK('Data Entry'!$ĳ$975), "", 'Data Entry'!$ĳ$975)</f>
      </c>
      <c r="IJ975">
        <f>IF(ISBLANK('Data Entry'!$Ĵ$975), "", 'Data Entry'!$Ĵ$975)</f>
      </c>
      <c r="IK975">
        <f>IF(ISBLANK('Data Entry'!$ĵ$975), "", 'Data Entry'!$ĵ$975)</f>
      </c>
      <c r="IL975">
        <f>IF(ISBLANK('Data Entry'!$Ķ$975), "", 'Data Entry'!$Ķ$975)</f>
      </c>
      <c r="IM975">
        <f>IF(ISBLANK('Data Entry'!$ķ$975), "", 'Data Entry'!$ķ$975)</f>
      </c>
      <c r="IN975">
        <f>IF(ISBLANK('Data Entry'!$ĸ$975), "", 'Data Entry'!$ĸ$975)</f>
      </c>
      <c r="IO975">
        <f>IF(ISBLANK('Data Entry'!$Ĺ$975), "", 'Data Entry'!$Ĺ$975)</f>
      </c>
      <c r="IP975">
        <f>IF(ISBLANK('Data Entry'!$ĺ$975), "", 'Data Entry'!$ĺ$975)</f>
      </c>
      <c r="IQ975">
        <f>IF(ISBLANK('Data Entry'!$Ļ$975), "", 'Data Entry'!$Ļ$975)</f>
      </c>
      <c r="IR975">
        <f>IF(ISBLANK('Data Entry'!$ļ$975), "", 'Data Entry'!$ļ$975)</f>
      </c>
      <c r="IS975">
        <f>IF(ISBLANK('Data Entry'!$Ľ$975), "", 'Data Entry'!$Ľ$975)</f>
      </c>
      <c r="IT975">
        <f>IF(ISBLANK('Data Entry'!$ľ$975), "", 'Data Entry'!$ľ$975)</f>
      </c>
    </row>
    <row r="976" spans="1:254" x14ac:dyDescent="0.25">
      <c r="A976">
        <f>IF(ISBLANK('Data Entry'!$A$976), "", 'Data Entry'!$A$976)</f>
      </c>
      <c r="B976">
        <f>IF(ISBLANK('Data Entry'!$B$976), "", 'Data Entry'!$B$976)</f>
      </c>
      <c r="C976">
        <f>IF(ISBLANK('Data Entry'!$C$976), "", 'Data Entry'!$C$976)</f>
      </c>
      <c r="D976">
        <f>IF(ISBLANK('Data Entry'!$D$976), "", 'Data Entry'!$D$976)</f>
      </c>
      <c r="E976">
        <f>IF(ISBLANK('Data Entry'!$E$976), "", 'Data Entry'!$E$976)</f>
      </c>
      <c r="F976">
        <f>IF(ISBLANK('Data Entry'!$F$976), "", 'Data Entry'!$F$976)</f>
      </c>
      <c r="G976">
        <f>IF(ISBLANK('Data Entry'!$G$976), "", 'Data Entry'!$G$976)</f>
      </c>
      <c r="H976">
        <f>IF(ISBLANK('Data Entry'!$H$976), "", 'Data Entry'!$H$976)</f>
      </c>
      <c r="I976">
        <f>IF(ISBLANK('Data Entry'!$I$976), "", 'Data Entry'!$I$976)</f>
      </c>
      <c r="J976">
        <f>IF(ISBLANK('Data Entry'!$J$976), "", 'Data Entry'!$J$976)</f>
      </c>
      <c r="K976">
        <f>IF(ISBLANK('Data Entry'!$K$976), "", 'Data Entry'!$K$976)</f>
      </c>
      <c r="L976">
        <f>IF(ISBLANK('Data Entry'!$L$976), "", 'Data Entry'!$L$976)</f>
      </c>
      <c r="M976">
        <f>IF(ISBLANK('Data Entry'!$M$976), "", 'Data Entry'!$M$976)</f>
      </c>
      <c r="N976">
        <f>IF(ISBLANK('Data Entry'!$N$976), "", 'Data Entry'!$N$976)</f>
      </c>
      <c r="O976">
        <f>IF(ISBLANK('Data Entry'!$O$976), "", 'Data Entry'!$O$976)</f>
      </c>
      <c r="P976">
        <f>IF(ISBLANK('Data Entry'!$P$976), "", 'Data Entry'!$P$976)</f>
      </c>
      <c r="Q976">
        <f>IF(ISBLANK('Data Entry'!$Q$976), "", 'Data Entry'!$Q$976)</f>
      </c>
      <c r="R976">
        <f>IF(ISBLANK('Data Entry'!$R$976), "", 'Data Entry'!$R$976)</f>
      </c>
      <c r="S976">
        <f>IF(ISBLANK('Data Entry'!$S$976), "", 'Data Entry'!$S$976)</f>
      </c>
      <c r="T976">
        <f>IF(ISBLANK('Data Entry'!$T$976), "", 'Data Entry'!$T$976)</f>
      </c>
      <c r="U976">
        <f>IF(ISBLANK('Data Entry'!$U$976), "", 'Data Entry'!$U$976)</f>
      </c>
      <c r="V976">
        <f>IF(ISBLANK('Data Entry'!$V$976), "", 'Data Entry'!$V$976)</f>
      </c>
      <c r="W976">
        <f>IF(ISBLANK('Data Entry'!$W$976), "", 'Data Entry'!$W$976)</f>
      </c>
      <c r="X976">
        <f>IF(ISBLANK('Data Entry'!$X$976), "", 'Data Entry'!$X$976)</f>
      </c>
      <c r="Y976">
        <f>IF(ISBLANK('Data Entry'!$Y$976), "", 'Data Entry'!$Y$976)</f>
      </c>
      <c r="Z976">
        <f>IF(ISBLANK('Data Entry'!$Z$976), "", 'Data Entry'!$Z$976)</f>
      </c>
      <c r="AA976">
        <f>IF(ISBLANK('Data Entry'!$[$976), "", 'Data Entry'!$[$976)</f>
      </c>
      <c r="AB976">
        <f>IF(ISBLANK('Data Entry'!$\$976), "", 'Data Entry'!$\$976)</f>
      </c>
      <c r="AC976">
        <f>IF(ISBLANK('Data Entry'!$]$976), "", 'Data Entry'!$]$976)</f>
      </c>
      <c r="AD976">
        <f>IF(ISBLANK('Data Entry'!$^$976), "", 'Data Entry'!$^$976)</f>
      </c>
      <c r="AE976">
        <f>IF(ISBLANK('Data Entry'!$_$976), "", 'Data Entry'!$_$976)</f>
      </c>
      <c r="AF976">
        <f>IF(ISBLANK('Data Entry'!$`$976), "", 'Data Entry'!$`$976)</f>
      </c>
      <c r="AG976">
        <f>IF(ISBLANK('Data Entry'!$a$976), "", 'Data Entry'!$a$976)</f>
      </c>
      <c r="AH976">
        <f>IF(ISBLANK('Data Entry'!$b$976), "", 'Data Entry'!$b$976)</f>
      </c>
      <c r="AI976">
        <f>IF(ISBLANK('Data Entry'!$c$976), "", 'Data Entry'!$c$976)</f>
      </c>
      <c r="AJ976">
        <f>IF(ISBLANK('Data Entry'!$d$976), "", 'Data Entry'!$d$976)</f>
      </c>
      <c r="AK976">
        <f>IF(ISBLANK('Data Entry'!$e$976), "", 'Data Entry'!$e$976)</f>
      </c>
      <c r="AL976">
        <f>IF(ISBLANK('Data Entry'!$f$976), "", 'Data Entry'!$f$976)</f>
      </c>
      <c r="AM976">
        <f>IF(ISBLANK('Data Entry'!$g$976), "", 'Data Entry'!$g$976)</f>
      </c>
      <c r="AN976">
        <f>IF(ISBLANK('Data Entry'!$h$976), "", 'Data Entry'!$h$976)</f>
      </c>
      <c r="AO976">
        <f>IF(ISBLANK('Data Entry'!$i$976), "", 'Data Entry'!$i$976)</f>
      </c>
      <c r="AP976">
        <f>IF(ISBLANK('Data Entry'!$j$976), "", 'Data Entry'!$j$976)</f>
      </c>
      <c r="AQ976">
        <f>IF(ISBLANK('Data Entry'!$k$976), "", 'Data Entry'!$k$976)</f>
      </c>
      <c r="AR976">
        <f>IF(ISBLANK('Data Entry'!$l$976), "", 'Data Entry'!$l$976)</f>
      </c>
      <c r="AS976">
        <f>IF(ISBLANK('Data Entry'!$m$976), "", 'Data Entry'!$m$976)</f>
      </c>
      <c r="AT976">
        <f>IF(ISBLANK('Data Entry'!$n$976), "", 'Data Entry'!$n$976)</f>
      </c>
      <c r="AU976">
        <f>IF(ISBLANK('Data Entry'!$o$976), "", 'Data Entry'!$o$976)</f>
      </c>
      <c r="AV976">
        <f>IF(ISBLANK('Data Entry'!$p$976), "", 'Data Entry'!$p$976)</f>
      </c>
      <c r="AW976">
        <f>IF(ISBLANK('Data Entry'!$q$976), "", 'Data Entry'!$q$976)</f>
      </c>
      <c r="AX976">
        <f>IF(ISBLANK('Data Entry'!$r$976), "", 'Data Entry'!$r$976)</f>
      </c>
      <c r="AY976">
        <f>IF(ISBLANK('Data Entry'!$s$976), "", 'Data Entry'!$s$976)</f>
      </c>
      <c r="AZ976">
        <f>IF(ISBLANK('Data Entry'!$t$976), "", 'Data Entry'!$t$976)</f>
      </c>
      <c r="BA976">
        <f>IF(ISBLANK('Data Entry'!$u$976), "", 'Data Entry'!$u$976)</f>
      </c>
      <c r="BB976">
        <f>IF(ISBLANK('Data Entry'!$v$976), "", 'Data Entry'!$v$976)</f>
      </c>
      <c r="BC976">
        <f>IF(ISBLANK('Data Entry'!$w$976), "", 'Data Entry'!$w$976)</f>
      </c>
      <c r="BD976">
        <f>IF(ISBLANK('Data Entry'!$x$976), "", 'Data Entry'!$x$976)</f>
      </c>
      <c r="BE976">
        <f>IF(ISBLANK('Data Entry'!$y$976), "", 'Data Entry'!$y$976)</f>
      </c>
      <c r="BF976">
        <f>IF(ISBLANK('Data Entry'!$z$976), "", 'Data Entry'!$z$976)</f>
      </c>
      <c r="BG976">
        <f>IF(ISBLANK('Data Entry'!${$976), "", 'Data Entry'!${$976)</f>
      </c>
      <c r="BH976">
        <f>IF(ISBLANK('Data Entry'!$|$976), "", 'Data Entry'!$|$976)</f>
      </c>
      <c r="BI976">
        <f>IF(ISBLANK('Data Entry'!$}$976), "", 'Data Entry'!$}$976)</f>
      </c>
      <c r="BJ976">
        <f>IF(ISBLANK('Data Entry'!$~$976), "", 'Data Entry'!$~$976)</f>
      </c>
      <c r="BK976">
        <f>IF(ISBLANK('Data Entry'!$$976), "", 'Data Entry'!$$976)</f>
      </c>
      <c r="BL976">
        <f>IF(ISBLANK('Data Entry'!$$976), "", 'Data Entry'!$$976)</f>
      </c>
      <c r="BM976">
        <f>IF(ISBLANK('Data Entry'!$$976), "", 'Data Entry'!$$976)</f>
      </c>
      <c r="BN976">
        <f>IF(ISBLANK('Data Entry'!$$976), "", 'Data Entry'!$$976)</f>
      </c>
      <c r="BO976">
        <f>IF(ISBLANK('Data Entry'!$$976), "", 'Data Entry'!$$976)</f>
      </c>
      <c r="BP976">
        <f>IF(ISBLANK('Data Entry'!$$976), "", 'Data Entry'!$$976)</f>
      </c>
      <c r="BQ976">
        <f>IF(ISBLANK('Data Entry'!$$976), "", 'Data Entry'!$$976)</f>
      </c>
      <c r="BR976">
        <f>IF(ISBLANK('Data Entry'!$$976), "", 'Data Entry'!$$976)</f>
      </c>
      <c r="BS976">
        <f>IF(ISBLANK('Data Entry'!$$976), "", 'Data Entry'!$$976)</f>
      </c>
      <c r="BT976">
        <f>IF(ISBLANK('Data Entry'!$$976), "", 'Data Entry'!$$976)</f>
      </c>
      <c r="BU976">
        <f>IF(ISBLANK('Data Entry'!$$976), "", 'Data Entry'!$$976)</f>
      </c>
      <c r="BV976">
        <f>IF(ISBLANK('Data Entry'!$$976), "", 'Data Entry'!$$976)</f>
      </c>
      <c r="BW976">
        <f>IF(ISBLANK('Data Entry'!$$976), "", 'Data Entry'!$$976)</f>
      </c>
      <c r="BX976">
        <f>IF(ISBLANK('Data Entry'!$$976), "", 'Data Entry'!$$976)</f>
      </c>
      <c r="BY976">
        <f>IF(ISBLANK('Data Entry'!$$976), "", 'Data Entry'!$$976)</f>
      </c>
      <c r="BZ976">
        <f>IF(ISBLANK('Data Entry'!$$976), "", 'Data Entry'!$$976)</f>
      </c>
      <c r="CA976">
        <f>IF(ISBLANK('Data Entry'!$$976), "", 'Data Entry'!$$976)</f>
      </c>
      <c r="CB976">
        <f>IF(ISBLANK('Data Entry'!$$976), "", 'Data Entry'!$$976)</f>
      </c>
      <c r="CC976">
        <f>IF(ISBLANK('Data Entry'!$$976), "", 'Data Entry'!$$976)</f>
      </c>
      <c r="CD976">
        <f>IF(ISBLANK('Data Entry'!$$976), "", 'Data Entry'!$$976)</f>
      </c>
      <c r="CE976">
        <f>IF(ISBLANK('Data Entry'!$$976), "", 'Data Entry'!$$976)</f>
      </c>
      <c r="CF976">
        <f>IF(ISBLANK('Data Entry'!$$976), "", 'Data Entry'!$$976)</f>
      </c>
      <c r="CG976">
        <f>IF(ISBLANK('Data Entry'!$$976), "", 'Data Entry'!$$976)</f>
      </c>
      <c r="CH976">
        <f>IF(ISBLANK('Data Entry'!$$976), "", 'Data Entry'!$$976)</f>
      </c>
      <c r="CI976">
        <f>IF(ISBLANK('Data Entry'!$$976), "", 'Data Entry'!$$976)</f>
      </c>
      <c r="CJ976">
        <f>IF(ISBLANK('Data Entry'!$$976), "", 'Data Entry'!$$976)</f>
      </c>
      <c r="CK976">
        <f>IF(ISBLANK('Data Entry'!$$976), "", 'Data Entry'!$$976)</f>
      </c>
      <c r="CL976">
        <f>IF(ISBLANK('Data Entry'!$$976), "", 'Data Entry'!$$976)</f>
      </c>
      <c r="CM976">
        <f>IF(ISBLANK('Data Entry'!$$976), "", 'Data Entry'!$$976)</f>
      </c>
      <c r="CN976">
        <f>IF(ISBLANK('Data Entry'!$$976), "", 'Data Entry'!$$976)</f>
      </c>
      <c r="CO976">
        <f>IF(ISBLANK('Data Entry'!$$976), "", 'Data Entry'!$$976)</f>
      </c>
      <c r="CP976">
        <f>IF(ISBLANK('Data Entry'!$$976), "", 'Data Entry'!$$976)</f>
      </c>
      <c r="CQ976">
        <f>IF(ISBLANK('Data Entry'!$$976), "", 'Data Entry'!$$976)</f>
      </c>
      <c r="CR976">
        <f>IF(ISBLANK('Data Entry'!$ $976), "", 'Data Entry'!$ $976)</f>
      </c>
      <c r="CS976">
        <f>IF(ISBLANK('Data Entry'!$¡$976), "", 'Data Entry'!$¡$976)</f>
      </c>
      <c r="CT976">
        <f>IF(ISBLANK('Data Entry'!$¢$976), "", 'Data Entry'!$¢$976)</f>
      </c>
      <c r="CU976">
        <f>IF(ISBLANK('Data Entry'!$£$976), "", 'Data Entry'!$£$976)</f>
      </c>
      <c r="CV976">
        <f>IF(ISBLANK('Data Entry'!$¤$976), "", 'Data Entry'!$¤$976)</f>
      </c>
      <c r="CW976">
        <f>IF(ISBLANK('Data Entry'!$¥$976), "", 'Data Entry'!$¥$976)</f>
      </c>
      <c r="CX976">
        <f>IF(ISBLANK('Data Entry'!$¦$976), "", 'Data Entry'!$¦$976)</f>
      </c>
      <c r="CY976">
        <f>IF(ISBLANK('Data Entry'!$§$976), "", 'Data Entry'!$§$976)</f>
      </c>
      <c r="CZ976">
        <f>IF(ISBLANK('Data Entry'!$¨$976), "", 'Data Entry'!$¨$976)</f>
      </c>
      <c r="DA976">
        <f>IF(ISBLANK('Data Entry'!$©$976), "", 'Data Entry'!$©$976)</f>
      </c>
      <c r="DB976">
        <f>IF(ISBLANK('Data Entry'!$ª$976), "", 'Data Entry'!$ª$976)</f>
      </c>
      <c r="DC976">
        <f>IF(ISBLANK('Data Entry'!$«$976), "", 'Data Entry'!$«$976)</f>
      </c>
      <c r="DD976">
        <f>IF(ISBLANK('Data Entry'!$¬$976), "", 'Data Entry'!$¬$976)</f>
      </c>
      <c r="DE976">
        <f>IF(ISBLANK('Data Entry'!$­$976), "", 'Data Entry'!$­$976)</f>
      </c>
      <c r="DF976">
        <f>IF(ISBLANK('Data Entry'!$®$976), "", 'Data Entry'!$®$976)</f>
      </c>
      <c r="DG976">
        <f>IF(ISBLANK('Data Entry'!$¯$976), "", 'Data Entry'!$¯$976)</f>
      </c>
      <c r="DH976">
        <f>IF(ISBLANK('Data Entry'!$°$976), "", 'Data Entry'!$°$976)</f>
      </c>
      <c r="DI976">
        <f>IF(ISBLANK('Data Entry'!$±$976), "", 'Data Entry'!$±$976)</f>
      </c>
      <c r="DJ976">
        <f>IF(ISBLANK('Data Entry'!$²$976), "", 'Data Entry'!$²$976)</f>
      </c>
      <c r="DK976">
        <f>IF(ISBLANK('Data Entry'!$³$976), "", 'Data Entry'!$³$976)</f>
      </c>
      <c r="DL976">
        <f>IF(ISBLANK('Data Entry'!$´$976), "", 'Data Entry'!$´$976)</f>
      </c>
      <c r="DM976">
        <f>IF(ISBLANK('Data Entry'!$µ$976), "", 'Data Entry'!$µ$976)</f>
      </c>
      <c r="DN976">
        <f>IF(ISBLANK('Data Entry'!$¶$976), "", 'Data Entry'!$¶$976)</f>
      </c>
      <c r="DO976">
        <f>IF(ISBLANK('Data Entry'!$·$976), "", 'Data Entry'!$·$976)</f>
      </c>
      <c r="DP976">
        <f>IF(ISBLANK('Data Entry'!$¸$976), "", 'Data Entry'!$¸$976)</f>
      </c>
      <c r="DQ976">
        <f>IF(ISBLANK('Data Entry'!$¹$976), "", 'Data Entry'!$¹$976)</f>
      </c>
      <c r="DR976">
        <f>IF(ISBLANK('Data Entry'!$º$976), "", 'Data Entry'!$º$976)</f>
      </c>
      <c r="DS976">
        <f>IF(ISBLANK('Data Entry'!$»$976), "", 'Data Entry'!$»$976)</f>
      </c>
      <c r="DT976">
        <f>IF(ISBLANK('Data Entry'!$¼$976), "", 'Data Entry'!$¼$976)</f>
      </c>
      <c r="DU976">
        <f>IF(ISBLANK('Data Entry'!$½$976), "", 'Data Entry'!$½$976)</f>
      </c>
      <c r="DV976">
        <f>IF(ISBLANK('Data Entry'!$¾$976), "", 'Data Entry'!$¾$976)</f>
      </c>
      <c r="DW976">
        <f>IF(ISBLANK('Data Entry'!$¿$976), "", 'Data Entry'!$¿$976)</f>
      </c>
      <c r="DX976">
        <f>IF(ISBLANK('Data Entry'!$À$976), "", 'Data Entry'!$À$976)</f>
      </c>
      <c r="DY976">
        <f>IF(ISBLANK('Data Entry'!$Á$976), "", 'Data Entry'!$Á$976)</f>
      </c>
      <c r="DZ976">
        <f>IF(ISBLANK('Data Entry'!$Â$976), "", 'Data Entry'!$Â$976)</f>
      </c>
      <c r="EA976">
        <f>IF(ISBLANK('Data Entry'!$Ã$976), "", 'Data Entry'!$Ã$976)</f>
      </c>
      <c r="EB976">
        <f>IF(ISBLANK('Data Entry'!$Ä$976), "", 'Data Entry'!$Ä$976)</f>
      </c>
      <c r="EC976">
        <f>IF(ISBLANK('Data Entry'!$Å$976), "", 'Data Entry'!$Å$976)</f>
      </c>
      <c r="ED976">
        <f>IF(ISBLANK('Data Entry'!$Æ$976), "", 'Data Entry'!$Æ$976)</f>
      </c>
      <c r="EE976">
        <f>IF(ISBLANK('Data Entry'!$Ç$976), "", 'Data Entry'!$Ç$976)</f>
      </c>
      <c r="EF976">
        <f>IF(ISBLANK('Data Entry'!$È$976), "", 'Data Entry'!$È$976)</f>
      </c>
      <c r="EG976">
        <f>IF(ISBLANK('Data Entry'!$É$976), "", 'Data Entry'!$É$976)</f>
      </c>
      <c r="EH976">
        <f>IF(ISBLANK('Data Entry'!$Ê$976), "", 'Data Entry'!$Ê$976)</f>
      </c>
      <c r="EI976">
        <f>IF(ISBLANK('Data Entry'!$Ë$976), "", 'Data Entry'!$Ë$976)</f>
      </c>
      <c r="EJ976">
        <f>IF(ISBLANK('Data Entry'!$Ì$976), "", 'Data Entry'!$Ì$976)</f>
      </c>
      <c r="EK976">
        <f>IF(ISBLANK('Data Entry'!$Í$976), "", 'Data Entry'!$Í$976)</f>
      </c>
      <c r="EL976">
        <f>IF(ISBLANK('Data Entry'!$Î$976), "", 'Data Entry'!$Î$976)</f>
      </c>
      <c r="EM976">
        <f>IF(ISBLANK('Data Entry'!$Ï$976), "", 'Data Entry'!$Ï$976)</f>
      </c>
      <c r="EN976">
        <f>IF(ISBLANK('Data Entry'!$Ð$976), "", 'Data Entry'!$Ð$976)</f>
      </c>
      <c r="EO976">
        <f>IF(ISBLANK('Data Entry'!$Ñ$976), "", 'Data Entry'!$Ñ$976)</f>
      </c>
      <c r="EP976">
        <f>IF(ISBLANK('Data Entry'!$Ò$976), "", 'Data Entry'!$Ò$976)</f>
      </c>
      <c r="EQ976">
        <f>IF(ISBLANK('Data Entry'!$Ó$976), "", 'Data Entry'!$Ó$976)</f>
      </c>
      <c r="ER976">
        <f>IF(ISBLANK('Data Entry'!$Ô$976), "", 'Data Entry'!$Ô$976)</f>
      </c>
      <c r="ES976">
        <f>IF(ISBLANK('Data Entry'!$Õ$976), "", 'Data Entry'!$Õ$976)</f>
      </c>
      <c r="ET976">
        <f>IF(ISBLANK('Data Entry'!$Ö$976), "", 'Data Entry'!$Ö$976)</f>
      </c>
      <c r="EU976">
        <f>IF(ISBLANK('Data Entry'!$×$976), "", 'Data Entry'!$×$976)</f>
      </c>
      <c r="EV976">
        <f>IF(ISBLANK('Data Entry'!$Ø$976), "", 'Data Entry'!$Ø$976)</f>
      </c>
      <c r="EW976">
        <f>IF(ISBLANK('Data Entry'!$Ù$976), "", 'Data Entry'!$Ù$976)</f>
      </c>
      <c r="EX976">
        <f>IF(ISBLANK('Data Entry'!$Ú$976), "", 'Data Entry'!$Ú$976)</f>
      </c>
      <c r="EY976">
        <f>IF(ISBLANK('Data Entry'!$Û$976), "", 'Data Entry'!$Û$976)</f>
      </c>
      <c r="EZ976">
        <f>IF(ISBLANK('Data Entry'!$Ü$976), "", 'Data Entry'!$Ü$976)</f>
      </c>
      <c r="FA976">
        <f>IF(ISBLANK('Data Entry'!$Ý$976), "", 'Data Entry'!$Ý$976)</f>
      </c>
      <c r="FB976">
        <f>IF(ISBLANK('Data Entry'!$Þ$976), "", 'Data Entry'!$Þ$976)</f>
      </c>
      <c r="FC976">
        <f>IF(ISBLANK('Data Entry'!$ß$976), "", 'Data Entry'!$ß$976)</f>
      </c>
      <c r="FD976">
        <f>IF(ISBLANK('Data Entry'!$à$976), "", 'Data Entry'!$à$976)</f>
      </c>
      <c r="FE976">
        <f>IF(ISBLANK('Data Entry'!$á$976), "", 'Data Entry'!$á$976)</f>
      </c>
      <c r="FF976">
        <f>IF(ISBLANK('Data Entry'!$â$976), "", 'Data Entry'!$â$976)</f>
      </c>
      <c r="FG976">
        <f>IF(ISBLANK('Data Entry'!$ã$976), "", 'Data Entry'!$ã$976)</f>
      </c>
      <c r="FH976">
        <f>IF(ISBLANK('Data Entry'!$ä$976), "", 'Data Entry'!$ä$976)</f>
      </c>
      <c r="FI976">
        <f>IF(ISBLANK('Data Entry'!$å$976), "", 'Data Entry'!$å$976)</f>
      </c>
      <c r="FJ976">
        <f>IF(ISBLANK('Data Entry'!$æ$976), "", 'Data Entry'!$æ$976)</f>
      </c>
      <c r="FK976">
        <f>IF(ISBLANK('Data Entry'!$ç$976), "", 'Data Entry'!$ç$976)</f>
      </c>
      <c r="FL976">
        <f>IF(ISBLANK('Data Entry'!$è$976), "", 'Data Entry'!$è$976)</f>
      </c>
      <c r="FM976">
        <f>IF(ISBLANK('Data Entry'!$é$976), "", 'Data Entry'!$é$976)</f>
      </c>
      <c r="FN976">
        <f>IF(ISBLANK('Data Entry'!$ê$976), "", 'Data Entry'!$ê$976)</f>
      </c>
      <c r="FO976">
        <f>IF(ISBLANK('Data Entry'!$ë$976), "", 'Data Entry'!$ë$976)</f>
      </c>
      <c r="FP976">
        <f>IF(ISBLANK('Data Entry'!$ì$976), "", 'Data Entry'!$ì$976)</f>
      </c>
      <c r="FQ976">
        <f>IF(ISBLANK('Data Entry'!$í$976), "", 'Data Entry'!$í$976)</f>
      </c>
      <c r="FR976">
        <f>IF(ISBLANK('Data Entry'!$î$976), "", 'Data Entry'!$î$976)</f>
      </c>
      <c r="FS976">
        <f>IF(ISBLANK('Data Entry'!$ï$976), "", 'Data Entry'!$ï$976)</f>
      </c>
      <c r="FT976">
        <f>IF(ISBLANK('Data Entry'!$ð$976), "", 'Data Entry'!$ð$976)</f>
      </c>
      <c r="FU976">
        <f>IF(ISBLANK('Data Entry'!$ñ$976), "", 'Data Entry'!$ñ$976)</f>
      </c>
      <c r="FV976">
        <f>IF(ISBLANK('Data Entry'!$ò$976), "", 'Data Entry'!$ò$976)</f>
      </c>
      <c r="FW976">
        <f>IF(ISBLANK('Data Entry'!$ó$976), "", 'Data Entry'!$ó$976)</f>
      </c>
      <c r="FX976">
        <f>IF(ISBLANK('Data Entry'!$ô$976), "", 'Data Entry'!$ô$976)</f>
      </c>
      <c r="FY976">
        <f>IF(ISBLANK('Data Entry'!$õ$976), "", 'Data Entry'!$õ$976)</f>
      </c>
      <c r="FZ976">
        <f>IF(ISBLANK('Data Entry'!$ö$976), "", 'Data Entry'!$ö$976)</f>
      </c>
      <c r="GA976">
        <f>IF(ISBLANK('Data Entry'!$÷$976), "", 'Data Entry'!$÷$976)</f>
      </c>
      <c r="GB976">
        <f>IF(ISBLANK('Data Entry'!$ø$976), "", 'Data Entry'!$ø$976)</f>
      </c>
      <c r="GC976">
        <f>IF(ISBLANK('Data Entry'!$ù$976), "", 'Data Entry'!$ù$976)</f>
      </c>
      <c r="GD976">
        <f>IF(ISBLANK('Data Entry'!$ú$976), "", 'Data Entry'!$ú$976)</f>
      </c>
      <c r="GE976">
        <f>IF(ISBLANK('Data Entry'!$û$976), "", 'Data Entry'!$û$976)</f>
      </c>
      <c r="GF976">
        <f>IF(ISBLANK('Data Entry'!$ü$976), "", 'Data Entry'!$ü$976)</f>
      </c>
      <c r="GG976">
        <f>IF(ISBLANK('Data Entry'!$ý$976), "", 'Data Entry'!$ý$976)</f>
      </c>
      <c r="GH976">
        <f>IF(ISBLANK('Data Entry'!$þ$976), "", 'Data Entry'!$þ$976)</f>
      </c>
      <c r="GI976">
        <f>IF(ISBLANK('Data Entry'!$ÿ$976), "", 'Data Entry'!$ÿ$976)</f>
      </c>
      <c r="GJ976">
        <f>IF(ISBLANK('Data Entry'!$Ā$976), "", 'Data Entry'!$Ā$976)</f>
      </c>
      <c r="GK976">
        <f>IF(ISBLANK('Data Entry'!$ā$976), "", 'Data Entry'!$ā$976)</f>
      </c>
      <c r="GL976">
        <f>IF(ISBLANK('Data Entry'!$Ă$976), "", 'Data Entry'!$Ă$976)</f>
      </c>
      <c r="GM976">
        <f>IF(ISBLANK('Data Entry'!$ă$976), "", 'Data Entry'!$ă$976)</f>
      </c>
      <c r="GN976">
        <f>IF(ISBLANK('Data Entry'!$Ą$976), "", 'Data Entry'!$Ą$976)</f>
      </c>
      <c r="GO976">
        <f>IF(ISBLANK('Data Entry'!$ą$976), "", 'Data Entry'!$ą$976)</f>
      </c>
      <c r="GP976">
        <f>IF(ISBLANK('Data Entry'!$Ć$976), "", 'Data Entry'!$Ć$976)</f>
      </c>
      <c r="GQ976">
        <f>IF(ISBLANK('Data Entry'!$ć$976), "", 'Data Entry'!$ć$976)</f>
      </c>
      <c r="GR976">
        <f>IF(ISBLANK('Data Entry'!$Ĉ$976), "", 'Data Entry'!$Ĉ$976)</f>
      </c>
      <c r="GS976">
        <f>IF(ISBLANK('Data Entry'!$ĉ$976), "", 'Data Entry'!$ĉ$976)</f>
      </c>
      <c r="GT976">
        <f>IF(ISBLANK('Data Entry'!$Ċ$976), "", 'Data Entry'!$Ċ$976)</f>
      </c>
      <c r="GU976">
        <f>IF(ISBLANK('Data Entry'!$ċ$976), "", 'Data Entry'!$ċ$976)</f>
      </c>
      <c r="GV976">
        <f>IF(ISBLANK('Data Entry'!$Č$976), "", 'Data Entry'!$Č$976)</f>
      </c>
      <c r="GW976">
        <f>IF(ISBLANK('Data Entry'!$č$976), "", 'Data Entry'!$č$976)</f>
      </c>
      <c r="GX976">
        <f>IF(ISBLANK('Data Entry'!$Ď$976), "", 'Data Entry'!$Ď$976)</f>
      </c>
      <c r="GY976">
        <f>IF(ISBLANK('Data Entry'!$ď$976), "", 'Data Entry'!$ď$976)</f>
      </c>
      <c r="GZ976">
        <f>IF(ISBLANK('Data Entry'!$Đ$976), "", 'Data Entry'!$Đ$976)</f>
      </c>
      <c r="HA976">
        <f>IF(ISBLANK('Data Entry'!$đ$976), "", 'Data Entry'!$đ$976)</f>
      </c>
      <c r="HB976">
        <f>IF(ISBLANK('Data Entry'!$Ē$976), "", 'Data Entry'!$Ē$976)</f>
      </c>
      <c r="HC976">
        <f>IF(ISBLANK('Data Entry'!$ē$976), "", 'Data Entry'!$ē$976)</f>
      </c>
      <c r="HD976">
        <f>IF(ISBLANK('Data Entry'!$Ĕ$976), "", 'Data Entry'!$Ĕ$976)</f>
      </c>
      <c r="HE976">
        <f>IF(ISBLANK('Data Entry'!$ĕ$976), "", 'Data Entry'!$ĕ$976)</f>
      </c>
      <c r="HF976">
        <f>IF(ISBLANK('Data Entry'!$Ė$976), "", 'Data Entry'!$Ė$976)</f>
      </c>
      <c r="HG976">
        <f>IF(ISBLANK('Data Entry'!$ė$976), "", 'Data Entry'!$ė$976)</f>
      </c>
      <c r="HH976">
        <f>IF(ISBLANK('Data Entry'!$Ę$976), "", 'Data Entry'!$Ę$976)</f>
      </c>
      <c r="HI976">
        <f>IF(ISBLANK('Data Entry'!$ę$976), "", 'Data Entry'!$ę$976)</f>
      </c>
      <c r="HJ976">
        <f>IF(ISBLANK('Data Entry'!$Ě$976), "", 'Data Entry'!$Ě$976)</f>
      </c>
      <c r="HK976">
        <f>IF(ISBLANK('Data Entry'!$ě$976), "", 'Data Entry'!$ě$976)</f>
      </c>
      <c r="HL976">
        <f>IF(ISBLANK('Data Entry'!$Ĝ$976), "", 'Data Entry'!$Ĝ$976)</f>
      </c>
      <c r="HM976">
        <f>IF(ISBLANK('Data Entry'!$ĝ$976), "", 'Data Entry'!$ĝ$976)</f>
      </c>
      <c r="HN976">
        <f>IF(ISBLANK('Data Entry'!$Ğ$976), "", 'Data Entry'!$Ğ$976)</f>
      </c>
      <c r="HO976">
        <f>IF(ISBLANK('Data Entry'!$ğ$976), "", 'Data Entry'!$ğ$976)</f>
      </c>
      <c r="HP976">
        <f>IF(ISBLANK('Data Entry'!$Ġ$976), "", 'Data Entry'!$Ġ$976)</f>
      </c>
      <c r="HQ976">
        <f>IF(ISBLANK('Data Entry'!$ġ$976), "", 'Data Entry'!$ġ$976)</f>
      </c>
      <c r="HR976">
        <f>IF(ISBLANK('Data Entry'!$Ģ$976), "", 'Data Entry'!$Ģ$976)</f>
      </c>
      <c r="HS976">
        <f>IF(ISBLANK('Data Entry'!$ģ$976), "", 'Data Entry'!$ģ$976)</f>
      </c>
      <c r="HT976">
        <f>IF(ISBLANK('Data Entry'!$Ĥ$976), "", 'Data Entry'!$Ĥ$976)</f>
      </c>
      <c r="HU976">
        <f>IF(ISBLANK('Data Entry'!$ĥ$976), "", 'Data Entry'!$ĥ$976)</f>
      </c>
      <c r="HV976">
        <f>IF(ISBLANK('Data Entry'!$Ħ$976), "", 'Data Entry'!$Ħ$976)</f>
      </c>
      <c r="HW976">
        <f>IF(ISBLANK('Data Entry'!$ħ$976), "", 'Data Entry'!$ħ$976)</f>
      </c>
      <c r="HX976">
        <f>IF(ISBLANK('Data Entry'!$Ĩ$976), "", 'Data Entry'!$Ĩ$976)</f>
      </c>
      <c r="HY976">
        <f>IF(ISBLANK('Data Entry'!$ĩ$976), "", 'Data Entry'!$ĩ$976)</f>
      </c>
      <c r="HZ976">
        <f>IF(ISBLANK('Data Entry'!$Ī$976), "", 'Data Entry'!$Ī$976)</f>
      </c>
      <c r="IA976">
        <f>IF(ISBLANK('Data Entry'!$ī$976), "", 'Data Entry'!$ī$976)</f>
      </c>
      <c r="IB976">
        <f>IF(ISBLANK('Data Entry'!$Ĭ$976), "", 'Data Entry'!$Ĭ$976)</f>
      </c>
      <c r="IC976">
        <f>IF(ISBLANK('Data Entry'!$ĭ$976), "", 'Data Entry'!$ĭ$976)</f>
      </c>
      <c r="ID976">
        <f>IF(ISBLANK('Data Entry'!$Į$976), "", 'Data Entry'!$Į$976)</f>
      </c>
      <c r="IE976">
        <f>IF(ISBLANK('Data Entry'!$į$976), "", 'Data Entry'!$į$976)</f>
      </c>
      <c r="IF976">
        <f>IF(ISBLANK('Data Entry'!$İ$976), "", 'Data Entry'!$İ$976)</f>
      </c>
      <c r="IG976">
        <f>IF(ISBLANK('Data Entry'!$ı$976), "", 'Data Entry'!$ı$976)</f>
      </c>
      <c r="IH976">
        <f>IF(ISBLANK('Data Entry'!$Ĳ$976), "", 'Data Entry'!$Ĳ$976)</f>
      </c>
      <c r="II976">
        <f>IF(ISBLANK('Data Entry'!$ĳ$976), "", 'Data Entry'!$ĳ$976)</f>
      </c>
      <c r="IJ976">
        <f>IF(ISBLANK('Data Entry'!$Ĵ$976), "", 'Data Entry'!$Ĵ$976)</f>
      </c>
      <c r="IK976">
        <f>IF(ISBLANK('Data Entry'!$ĵ$976), "", 'Data Entry'!$ĵ$976)</f>
      </c>
      <c r="IL976">
        <f>IF(ISBLANK('Data Entry'!$Ķ$976), "", 'Data Entry'!$Ķ$976)</f>
      </c>
      <c r="IM976">
        <f>IF(ISBLANK('Data Entry'!$ķ$976), "", 'Data Entry'!$ķ$976)</f>
      </c>
      <c r="IN976">
        <f>IF(ISBLANK('Data Entry'!$ĸ$976), "", 'Data Entry'!$ĸ$976)</f>
      </c>
      <c r="IO976">
        <f>IF(ISBLANK('Data Entry'!$Ĺ$976), "", 'Data Entry'!$Ĺ$976)</f>
      </c>
      <c r="IP976">
        <f>IF(ISBLANK('Data Entry'!$ĺ$976), "", 'Data Entry'!$ĺ$976)</f>
      </c>
      <c r="IQ976">
        <f>IF(ISBLANK('Data Entry'!$Ļ$976), "", 'Data Entry'!$Ļ$976)</f>
      </c>
      <c r="IR976">
        <f>IF(ISBLANK('Data Entry'!$ļ$976), "", 'Data Entry'!$ļ$976)</f>
      </c>
      <c r="IS976">
        <f>IF(ISBLANK('Data Entry'!$Ľ$976), "", 'Data Entry'!$Ľ$976)</f>
      </c>
      <c r="IT976">
        <f>IF(ISBLANK('Data Entry'!$ľ$976), "", 'Data Entry'!$ľ$976)</f>
      </c>
    </row>
    <row r="977" spans="1:254" x14ac:dyDescent="0.25">
      <c r="A977">
        <f>IF(ISBLANK('Data Entry'!$A$977), "", 'Data Entry'!$A$977)</f>
      </c>
      <c r="B977">
        <f>IF(ISBLANK('Data Entry'!$B$977), "", 'Data Entry'!$B$977)</f>
      </c>
      <c r="C977">
        <f>IF(ISBLANK('Data Entry'!$C$977), "", 'Data Entry'!$C$977)</f>
      </c>
      <c r="D977">
        <f>IF(ISBLANK('Data Entry'!$D$977), "", 'Data Entry'!$D$977)</f>
      </c>
      <c r="E977">
        <f>IF(ISBLANK('Data Entry'!$E$977), "", 'Data Entry'!$E$977)</f>
      </c>
      <c r="F977">
        <f>IF(ISBLANK('Data Entry'!$F$977), "", 'Data Entry'!$F$977)</f>
      </c>
      <c r="G977">
        <f>IF(ISBLANK('Data Entry'!$G$977), "", 'Data Entry'!$G$977)</f>
      </c>
      <c r="H977">
        <f>IF(ISBLANK('Data Entry'!$H$977), "", 'Data Entry'!$H$977)</f>
      </c>
      <c r="I977">
        <f>IF(ISBLANK('Data Entry'!$I$977), "", 'Data Entry'!$I$977)</f>
      </c>
      <c r="J977">
        <f>IF(ISBLANK('Data Entry'!$J$977), "", 'Data Entry'!$J$977)</f>
      </c>
      <c r="K977">
        <f>IF(ISBLANK('Data Entry'!$K$977), "", 'Data Entry'!$K$977)</f>
      </c>
      <c r="L977">
        <f>IF(ISBLANK('Data Entry'!$L$977), "", 'Data Entry'!$L$977)</f>
      </c>
      <c r="M977">
        <f>IF(ISBLANK('Data Entry'!$M$977), "", 'Data Entry'!$M$977)</f>
      </c>
      <c r="N977">
        <f>IF(ISBLANK('Data Entry'!$N$977), "", 'Data Entry'!$N$977)</f>
      </c>
      <c r="O977">
        <f>IF(ISBLANK('Data Entry'!$O$977), "", 'Data Entry'!$O$977)</f>
      </c>
      <c r="P977">
        <f>IF(ISBLANK('Data Entry'!$P$977), "", 'Data Entry'!$P$977)</f>
      </c>
      <c r="Q977">
        <f>IF(ISBLANK('Data Entry'!$Q$977), "", 'Data Entry'!$Q$977)</f>
      </c>
      <c r="R977">
        <f>IF(ISBLANK('Data Entry'!$R$977), "", 'Data Entry'!$R$977)</f>
      </c>
      <c r="S977">
        <f>IF(ISBLANK('Data Entry'!$S$977), "", 'Data Entry'!$S$977)</f>
      </c>
      <c r="T977">
        <f>IF(ISBLANK('Data Entry'!$T$977), "", 'Data Entry'!$T$977)</f>
      </c>
      <c r="U977">
        <f>IF(ISBLANK('Data Entry'!$U$977), "", 'Data Entry'!$U$977)</f>
      </c>
      <c r="V977">
        <f>IF(ISBLANK('Data Entry'!$V$977), "", 'Data Entry'!$V$977)</f>
      </c>
      <c r="W977">
        <f>IF(ISBLANK('Data Entry'!$W$977), "", 'Data Entry'!$W$977)</f>
      </c>
      <c r="X977">
        <f>IF(ISBLANK('Data Entry'!$X$977), "", 'Data Entry'!$X$977)</f>
      </c>
      <c r="Y977">
        <f>IF(ISBLANK('Data Entry'!$Y$977), "", 'Data Entry'!$Y$977)</f>
      </c>
      <c r="Z977">
        <f>IF(ISBLANK('Data Entry'!$Z$977), "", 'Data Entry'!$Z$977)</f>
      </c>
      <c r="AA977">
        <f>IF(ISBLANK('Data Entry'!$[$977), "", 'Data Entry'!$[$977)</f>
      </c>
      <c r="AB977">
        <f>IF(ISBLANK('Data Entry'!$\$977), "", 'Data Entry'!$\$977)</f>
      </c>
      <c r="AC977">
        <f>IF(ISBLANK('Data Entry'!$]$977), "", 'Data Entry'!$]$977)</f>
      </c>
      <c r="AD977">
        <f>IF(ISBLANK('Data Entry'!$^$977), "", 'Data Entry'!$^$977)</f>
      </c>
      <c r="AE977">
        <f>IF(ISBLANK('Data Entry'!$_$977), "", 'Data Entry'!$_$977)</f>
      </c>
      <c r="AF977">
        <f>IF(ISBLANK('Data Entry'!$`$977), "", 'Data Entry'!$`$977)</f>
      </c>
      <c r="AG977">
        <f>IF(ISBLANK('Data Entry'!$a$977), "", 'Data Entry'!$a$977)</f>
      </c>
      <c r="AH977">
        <f>IF(ISBLANK('Data Entry'!$b$977), "", 'Data Entry'!$b$977)</f>
      </c>
      <c r="AI977">
        <f>IF(ISBLANK('Data Entry'!$c$977), "", 'Data Entry'!$c$977)</f>
      </c>
      <c r="AJ977">
        <f>IF(ISBLANK('Data Entry'!$d$977), "", 'Data Entry'!$d$977)</f>
      </c>
      <c r="AK977">
        <f>IF(ISBLANK('Data Entry'!$e$977), "", 'Data Entry'!$e$977)</f>
      </c>
      <c r="AL977">
        <f>IF(ISBLANK('Data Entry'!$f$977), "", 'Data Entry'!$f$977)</f>
      </c>
      <c r="AM977">
        <f>IF(ISBLANK('Data Entry'!$g$977), "", 'Data Entry'!$g$977)</f>
      </c>
      <c r="AN977">
        <f>IF(ISBLANK('Data Entry'!$h$977), "", 'Data Entry'!$h$977)</f>
      </c>
      <c r="AO977">
        <f>IF(ISBLANK('Data Entry'!$i$977), "", 'Data Entry'!$i$977)</f>
      </c>
      <c r="AP977">
        <f>IF(ISBLANK('Data Entry'!$j$977), "", 'Data Entry'!$j$977)</f>
      </c>
      <c r="AQ977">
        <f>IF(ISBLANK('Data Entry'!$k$977), "", 'Data Entry'!$k$977)</f>
      </c>
      <c r="AR977">
        <f>IF(ISBLANK('Data Entry'!$l$977), "", 'Data Entry'!$l$977)</f>
      </c>
      <c r="AS977">
        <f>IF(ISBLANK('Data Entry'!$m$977), "", 'Data Entry'!$m$977)</f>
      </c>
      <c r="AT977">
        <f>IF(ISBLANK('Data Entry'!$n$977), "", 'Data Entry'!$n$977)</f>
      </c>
      <c r="AU977">
        <f>IF(ISBLANK('Data Entry'!$o$977), "", 'Data Entry'!$o$977)</f>
      </c>
      <c r="AV977">
        <f>IF(ISBLANK('Data Entry'!$p$977), "", 'Data Entry'!$p$977)</f>
      </c>
      <c r="AW977">
        <f>IF(ISBLANK('Data Entry'!$q$977), "", 'Data Entry'!$q$977)</f>
      </c>
      <c r="AX977">
        <f>IF(ISBLANK('Data Entry'!$r$977), "", 'Data Entry'!$r$977)</f>
      </c>
      <c r="AY977">
        <f>IF(ISBLANK('Data Entry'!$s$977), "", 'Data Entry'!$s$977)</f>
      </c>
      <c r="AZ977">
        <f>IF(ISBLANK('Data Entry'!$t$977), "", 'Data Entry'!$t$977)</f>
      </c>
      <c r="BA977">
        <f>IF(ISBLANK('Data Entry'!$u$977), "", 'Data Entry'!$u$977)</f>
      </c>
      <c r="BB977">
        <f>IF(ISBLANK('Data Entry'!$v$977), "", 'Data Entry'!$v$977)</f>
      </c>
      <c r="BC977">
        <f>IF(ISBLANK('Data Entry'!$w$977), "", 'Data Entry'!$w$977)</f>
      </c>
      <c r="BD977">
        <f>IF(ISBLANK('Data Entry'!$x$977), "", 'Data Entry'!$x$977)</f>
      </c>
      <c r="BE977">
        <f>IF(ISBLANK('Data Entry'!$y$977), "", 'Data Entry'!$y$977)</f>
      </c>
      <c r="BF977">
        <f>IF(ISBLANK('Data Entry'!$z$977), "", 'Data Entry'!$z$977)</f>
      </c>
      <c r="BG977">
        <f>IF(ISBLANK('Data Entry'!${$977), "", 'Data Entry'!${$977)</f>
      </c>
      <c r="BH977">
        <f>IF(ISBLANK('Data Entry'!$|$977), "", 'Data Entry'!$|$977)</f>
      </c>
      <c r="BI977">
        <f>IF(ISBLANK('Data Entry'!$}$977), "", 'Data Entry'!$}$977)</f>
      </c>
      <c r="BJ977">
        <f>IF(ISBLANK('Data Entry'!$~$977), "", 'Data Entry'!$~$977)</f>
      </c>
      <c r="BK977">
        <f>IF(ISBLANK('Data Entry'!$$977), "", 'Data Entry'!$$977)</f>
      </c>
      <c r="BL977">
        <f>IF(ISBLANK('Data Entry'!$$977), "", 'Data Entry'!$$977)</f>
      </c>
      <c r="BM977">
        <f>IF(ISBLANK('Data Entry'!$$977), "", 'Data Entry'!$$977)</f>
      </c>
      <c r="BN977">
        <f>IF(ISBLANK('Data Entry'!$$977), "", 'Data Entry'!$$977)</f>
      </c>
      <c r="BO977">
        <f>IF(ISBLANK('Data Entry'!$$977), "", 'Data Entry'!$$977)</f>
      </c>
      <c r="BP977">
        <f>IF(ISBLANK('Data Entry'!$$977), "", 'Data Entry'!$$977)</f>
      </c>
      <c r="BQ977">
        <f>IF(ISBLANK('Data Entry'!$$977), "", 'Data Entry'!$$977)</f>
      </c>
      <c r="BR977">
        <f>IF(ISBLANK('Data Entry'!$$977), "", 'Data Entry'!$$977)</f>
      </c>
      <c r="BS977">
        <f>IF(ISBLANK('Data Entry'!$$977), "", 'Data Entry'!$$977)</f>
      </c>
      <c r="BT977">
        <f>IF(ISBLANK('Data Entry'!$$977), "", 'Data Entry'!$$977)</f>
      </c>
      <c r="BU977">
        <f>IF(ISBLANK('Data Entry'!$$977), "", 'Data Entry'!$$977)</f>
      </c>
      <c r="BV977">
        <f>IF(ISBLANK('Data Entry'!$$977), "", 'Data Entry'!$$977)</f>
      </c>
      <c r="BW977">
        <f>IF(ISBLANK('Data Entry'!$$977), "", 'Data Entry'!$$977)</f>
      </c>
      <c r="BX977">
        <f>IF(ISBLANK('Data Entry'!$$977), "", 'Data Entry'!$$977)</f>
      </c>
      <c r="BY977">
        <f>IF(ISBLANK('Data Entry'!$$977), "", 'Data Entry'!$$977)</f>
      </c>
      <c r="BZ977">
        <f>IF(ISBLANK('Data Entry'!$$977), "", 'Data Entry'!$$977)</f>
      </c>
      <c r="CA977">
        <f>IF(ISBLANK('Data Entry'!$$977), "", 'Data Entry'!$$977)</f>
      </c>
      <c r="CB977">
        <f>IF(ISBLANK('Data Entry'!$$977), "", 'Data Entry'!$$977)</f>
      </c>
      <c r="CC977">
        <f>IF(ISBLANK('Data Entry'!$$977), "", 'Data Entry'!$$977)</f>
      </c>
      <c r="CD977">
        <f>IF(ISBLANK('Data Entry'!$$977), "", 'Data Entry'!$$977)</f>
      </c>
      <c r="CE977">
        <f>IF(ISBLANK('Data Entry'!$$977), "", 'Data Entry'!$$977)</f>
      </c>
      <c r="CF977">
        <f>IF(ISBLANK('Data Entry'!$$977), "", 'Data Entry'!$$977)</f>
      </c>
      <c r="CG977">
        <f>IF(ISBLANK('Data Entry'!$$977), "", 'Data Entry'!$$977)</f>
      </c>
      <c r="CH977">
        <f>IF(ISBLANK('Data Entry'!$$977), "", 'Data Entry'!$$977)</f>
      </c>
      <c r="CI977">
        <f>IF(ISBLANK('Data Entry'!$$977), "", 'Data Entry'!$$977)</f>
      </c>
      <c r="CJ977">
        <f>IF(ISBLANK('Data Entry'!$$977), "", 'Data Entry'!$$977)</f>
      </c>
      <c r="CK977">
        <f>IF(ISBLANK('Data Entry'!$$977), "", 'Data Entry'!$$977)</f>
      </c>
      <c r="CL977">
        <f>IF(ISBLANK('Data Entry'!$$977), "", 'Data Entry'!$$977)</f>
      </c>
      <c r="CM977">
        <f>IF(ISBLANK('Data Entry'!$$977), "", 'Data Entry'!$$977)</f>
      </c>
      <c r="CN977">
        <f>IF(ISBLANK('Data Entry'!$$977), "", 'Data Entry'!$$977)</f>
      </c>
      <c r="CO977">
        <f>IF(ISBLANK('Data Entry'!$$977), "", 'Data Entry'!$$977)</f>
      </c>
      <c r="CP977">
        <f>IF(ISBLANK('Data Entry'!$$977), "", 'Data Entry'!$$977)</f>
      </c>
      <c r="CQ977">
        <f>IF(ISBLANK('Data Entry'!$$977), "", 'Data Entry'!$$977)</f>
      </c>
      <c r="CR977">
        <f>IF(ISBLANK('Data Entry'!$ $977), "", 'Data Entry'!$ $977)</f>
      </c>
      <c r="CS977">
        <f>IF(ISBLANK('Data Entry'!$¡$977), "", 'Data Entry'!$¡$977)</f>
      </c>
      <c r="CT977">
        <f>IF(ISBLANK('Data Entry'!$¢$977), "", 'Data Entry'!$¢$977)</f>
      </c>
      <c r="CU977">
        <f>IF(ISBLANK('Data Entry'!$£$977), "", 'Data Entry'!$£$977)</f>
      </c>
      <c r="CV977">
        <f>IF(ISBLANK('Data Entry'!$¤$977), "", 'Data Entry'!$¤$977)</f>
      </c>
      <c r="CW977">
        <f>IF(ISBLANK('Data Entry'!$¥$977), "", 'Data Entry'!$¥$977)</f>
      </c>
      <c r="CX977">
        <f>IF(ISBLANK('Data Entry'!$¦$977), "", 'Data Entry'!$¦$977)</f>
      </c>
      <c r="CY977">
        <f>IF(ISBLANK('Data Entry'!$§$977), "", 'Data Entry'!$§$977)</f>
      </c>
      <c r="CZ977">
        <f>IF(ISBLANK('Data Entry'!$¨$977), "", 'Data Entry'!$¨$977)</f>
      </c>
      <c r="DA977">
        <f>IF(ISBLANK('Data Entry'!$©$977), "", 'Data Entry'!$©$977)</f>
      </c>
      <c r="DB977">
        <f>IF(ISBLANK('Data Entry'!$ª$977), "", 'Data Entry'!$ª$977)</f>
      </c>
      <c r="DC977">
        <f>IF(ISBLANK('Data Entry'!$«$977), "", 'Data Entry'!$«$977)</f>
      </c>
      <c r="DD977">
        <f>IF(ISBLANK('Data Entry'!$¬$977), "", 'Data Entry'!$¬$977)</f>
      </c>
      <c r="DE977">
        <f>IF(ISBLANK('Data Entry'!$­$977), "", 'Data Entry'!$­$977)</f>
      </c>
      <c r="DF977">
        <f>IF(ISBLANK('Data Entry'!$®$977), "", 'Data Entry'!$®$977)</f>
      </c>
      <c r="DG977">
        <f>IF(ISBLANK('Data Entry'!$¯$977), "", 'Data Entry'!$¯$977)</f>
      </c>
      <c r="DH977">
        <f>IF(ISBLANK('Data Entry'!$°$977), "", 'Data Entry'!$°$977)</f>
      </c>
      <c r="DI977">
        <f>IF(ISBLANK('Data Entry'!$±$977), "", 'Data Entry'!$±$977)</f>
      </c>
      <c r="DJ977">
        <f>IF(ISBLANK('Data Entry'!$²$977), "", 'Data Entry'!$²$977)</f>
      </c>
      <c r="DK977">
        <f>IF(ISBLANK('Data Entry'!$³$977), "", 'Data Entry'!$³$977)</f>
      </c>
      <c r="DL977">
        <f>IF(ISBLANK('Data Entry'!$´$977), "", 'Data Entry'!$´$977)</f>
      </c>
      <c r="DM977">
        <f>IF(ISBLANK('Data Entry'!$µ$977), "", 'Data Entry'!$µ$977)</f>
      </c>
      <c r="DN977">
        <f>IF(ISBLANK('Data Entry'!$¶$977), "", 'Data Entry'!$¶$977)</f>
      </c>
      <c r="DO977">
        <f>IF(ISBLANK('Data Entry'!$·$977), "", 'Data Entry'!$·$977)</f>
      </c>
      <c r="DP977">
        <f>IF(ISBLANK('Data Entry'!$¸$977), "", 'Data Entry'!$¸$977)</f>
      </c>
      <c r="DQ977">
        <f>IF(ISBLANK('Data Entry'!$¹$977), "", 'Data Entry'!$¹$977)</f>
      </c>
      <c r="DR977">
        <f>IF(ISBLANK('Data Entry'!$º$977), "", 'Data Entry'!$º$977)</f>
      </c>
      <c r="DS977">
        <f>IF(ISBLANK('Data Entry'!$»$977), "", 'Data Entry'!$»$977)</f>
      </c>
      <c r="DT977">
        <f>IF(ISBLANK('Data Entry'!$¼$977), "", 'Data Entry'!$¼$977)</f>
      </c>
      <c r="DU977">
        <f>IF(ISBLANK('Data Entry'!$½$977), "", 'Data Entry'!$½$977)</f>
      </c>
      <c r="DV977">
        <f>IF(ISBLANK('Data Entry'!$¾$977), "", 'Data Entry'!$¾$977)</f>
      </c>
      <c r="DW977">
        <f>IF(ISBLANK('Data Entry'!$¿$977), "", 'Data Entry'!$¿$977)</f>
      </c>
      <c r="DX977">
        <f>IF(ISBLANK('Data Entry'!$À$977), "", 'Data Entry'!$À$977)</f>
      </c>
      <c r="DY977">
        <f>IF(ISBLANK('Data Entry'!$Á$977), "", 'Data Entry'!$Á$977)</f>
      </c>
      <c r="DZ977">
        <f>IF(ISBLANK('Data Entry'!$Â$977), "", 'Data Entry'!$Â$977)</f>
      </c>
      <c r="EA977">
        <f>IF(ISBLANK('Data Entry'!$Ã$977), "", 'Data Entry'!$Ã$977)</f>
      </c>
      <c r="EB977">
        <f>IF(ISBLANK('Data Entry'!$Ä$977), "", 'Data Entry'!$Ä$977)</f>
      </c>
      <c r="EC977">
        <f>IF(ISBLANK('Data Entry'!$Å$977), "", 'Data Entry'!$Å$977)</f>
      </c>
      <c r="ED977">
        <f>IF(ISBLANK('Data Entry'!$Æ$977), "", 'Data Entry'!$Æ$977)</f>
      </c>
      <c r="EE977">
        <f>IF(ISBLANK('Data Entry'!$Ç$977), "", 'Data Entry'!$Ç$977)</f>
      </c>
      <c r="EF977">
        <f>IF(ISBLANK('Data Entry'!$È$977), "", 'Data Entry'!$È$977)</f>
      </c>
      <c r="EG977">
        <f>IF(ISBLANK('Data Entry'!$É$977), "", 'Data Entry'!$É$977)</f>
      </c>
      <c r="EH977">
        <f>IF(ISBLANK('Data Entry'!$Ê$977), "", 'Data Entry'!$Ê$977)</f>
      </c>
      <c r="EI977">
        <f>IF(ISBLANK('Data Entry'!$Ë$977), "", 'Data Entry'!$Ë$977)</f>
      </c>
      <c r="EJ977">
        <f>IF(ISBLANK('Data Entry'!$Ì$977), "", 'Data Entry'!$Ì$977)</f>
      </c>
      <c r="EK977">
        <f>IF(ISBLANK('Data Entry'!$Í$977), "", 'Data Entry'!$Í$977)</f>
      </c>
      <c r="EL977">
        <f>IF(ISBLANK('Data Entry'!$Î$977), "", 'Data Entry'!$Î$977)</f>
      </c>
      <c r="EM977">
        <f>IF(ISBLANK('Data Entry'!$Ï$977), "", 'Data Entry'!$Ï$977)</f>
      </c>
      <c r="EN977">
        <f>IF(ISBLANK('Data Entry'!$Ð$977), "", 'Data Entry'!$Ð$977)</f>
      </c>
      <c r="EO977">
        <f>IF(ISBLANK('Data Entry'!$Ñ$977), "", 'Data Entry'!$Ñ$977)</f>
      </c>
      <c r="EP977">
        <f>IF(ISBLANK('Data Entry'!$Ò$977), "", 'Data Entry'!$Ò$977)</f>
      </c>
      <c r="EQ977">
        <f>IF(ISBLANK('Data Entry'!$Ó$977), "", 'Data Entry'!$Ó$977)</f>
      </c>
      <c r="ER977">
        <f>IF(ISBLANK('Data Entry'!$Ô$977), "", 'Data Entry'!$Ô$977)</f>
      </c>
      <c r="ES977">
        <f>IF(ISBLANK('Data Entry'!$Õ$977), "", 'Data Entry'!$Õ$977)</f>
      </c>
      <c r="ET977">
        <f>IF(ISBLANK('Data Entry'!$Ö$977), "", 'Data Entry'!$Ö$977)</f>
      </c>
      <c r="EU977">
        <f>IF(ISBLANK('Data Entry'!$×$977), "", 'Data Entry'!$×$977)</f>
      </c>
      <c r="EV977">
        <f>IF(ISBLANK('Data Entry'!$Ø$977), "", 'Data Entry'!$Ø$977)</f>
      </c>
      <c r="EW977">
        <f>IF(ISBLANK('Data Entry'!$Ù$977), "", 'Data Entry'!$Ù$977)</f>
      </c>
      <c r="EX977">
        <f>IF(ISBLANK('Data Entry'!$Ú$977), "", 'Data Entry'!$Ú$977)</f>
      </c>
      <c r="EY977">
        <f>IF(ISBLANK('Data Entry'!$Û$977), "", 'Data Entry'!$Û$977)</f>
      </c>
      <c r="EZ977">
        <f>IF(ISBLANK('Data Entry'!$Ü$977), "", 'Data Entry'!$Ü$977)</f>
      </c>
      <c r="FA977">
        <f>IF(ISBLANK('Data Entry'!$Ý$977), "", 'Data Entry'!$Ý$977)</f>
      </c>
      <c r="FB977">
        <f>IF(ISBLANK('Data Entry'!$Þ$977), "", 'Data Entry'!$Þ$977)</f>
      </c>
      <c r="FC977">
        <f>IF(ISBLANK('Data Entry'!$ß$977), "", 'Data Entry'!$ß$977)</f>
      </c>
      <c r="FD977">
        <f>IF(ISBLANK('Data Entry'!$à$977), "", 'Data Entry'!$à$977)</f>
      </c>
      <c r="FE977">
        <f>IF(ISBLANK('Data Entry'!$á$977), "", 'Data Entry'!$á$977)</f>
      </c>
      <c r="FF977">
        <f>IF(ISBLANK('Data Entry'!$â$977), "", 'Data Entry'!$â$977)</f>
      </c>
      <c r="FG977">
        <f>IF(ISBLANK('Data Entry'!$ã$977), "", 'Data Entry'!$ã$977)</f>
      </c>
      <c r="FH977">
        <f>IF(ISBLANK('Data Entry'!$ä$977), "", 'Data Entry'!$ä$977)</f>
      </c>
      <c r="FI977">
        <f>IF(ISBLANK('Data Entry'!$å$977), "", 'Data Entry'!$å$977)</f>
      </c>
      <c r="FJ977">
        <f>IF(ISBLANK('Data Entry'!$æ$977), "", 'Data Entry'!$æ$977)</f>
      </c>
      <c r="FK977">
        <f>IF(ISBLANK('Data Entry'!$ç$977), "", 'Data Entry'!$ç$977)</f>
      </c>
      <c r="FL977">
        <f>IF(ISBLANK('Data Entry'!$è$977), "", 'Data Entry'!$è$977)</f>
      </c>
      <c r="FM977">
        <f>IF(ISBLANK('Data Entry'!$é$977), "", 'Data Entry'!$é$977)</f>
      </c>
      <c r="FN977">
        <f>IF(ISBLANK('Data Entry'!$ê$977), "", 'Data Entry'!$ê$977)</f>
      </c>
      <c r="FO977">
        <f>IF(ISBLANK('Data Entry'!$ë$977), "", 'Data Entry'!$ë$977)</f>
      </c>
      <c r="FP977">
        <f>IF(ISBLANK('Data Entry'!$ì$977), "", 'Data Entry'!$ì$977)</f>
      </c>
      <c r="FQ977">
        <f>IF(ISBLANK('Data Entry'!$í$977), "", 'Data Entry'!$í$977)</f>
      </c>
      <c r="FR977">
        <f>IF(ISBLANK('Data Entry'!$î$977), "", 'Data Entry'!$î$977)</f>
      </c>
      <c r="FS977">
        <f>IF(ISBLANK('Data Entry'!$ï$977), "", 'Data Entry'!$ï$977)</f>
      </c>
      <c r="FT977">
        <f>IF(ISBLANK('Data Entry'!$ð$977), "", 'Data Entry'!$ð$977)</f>
      </c>
      <c r="FU977">
        <f>IF(ISBLANK('Data Entry'!$ñ$977), "", 'Data Entry'!$ñ$977)</f>
      </c>
      <c r="FV977">
        <f>IF(ISBLANK('Data Entry'!$ò$977), "", 'Data Entry'!$ò$977)</f>
      </c>
      <c r="FW977">
        <f>IF(ISBLANK('Data Entry'!$ó$977), "", 'Data Entry'!$ó$977)</f>
      </c>
      <c r="FX977">
        <f>IF(ISBLANK('Data Entry'!$ô$977), "", 'Data Entry'!$ô$977)</f>
      </c>
      <c r="FY977">
        <f>IF(ISBLANK('Data Entry'!$õ$977), "", 'Data Entry'!$õ$977)</f>
      </c>
      <c r="FZ977">
        <f>IF(ISBLANK('Data Entry'!$ö$977), "", 'Data Entry'!$ö$977)</f>
      </c>
      <c r="GA977">
        <f>IF(ISBLANK('Data Entry'!$÷$977), "", 'Data Entry'!$÷$977)</f>
      </c>
      <c r="GB977">
        <f>IF(ISBLANK('Data Entry'!$ø$977), "", 'Data Entry'!$ø$977)</f>
      </c>
      <c r="GC977">
        <f>IF(ISBLANK('Data Entry'!$ù$977), "", 'Data Entry'!$ù$977)</f>
      </c>
      <c r="GD977">
        <f>IF(ISBLANK('Data Entry'!$ú$977), "", 'Data Entry'!$ú$977)</f>
      </c>
      <c r="GE977">
        <f>IF(ISBLANK('Data Entry'!$û$977), "", 'Data Entry'!$û$977)</f>
      </c>
      <c r="GF977">
        <f>IF(ISBLANK('Data Entry'!$ü$977), "", 'Data Entry'!$ü$977)</f>
      </c>
      <c r="GG977">
        <f>IF(ISBLANK('Data Entry'!$ý$977), "", 'Data Entry'!$ý$977)</f>
      </c>
      <c r="GH977">
        <f>IF(ISBLANK('Data Entry'!$þ$977), "", 'Data Entry'!$þ$977)</f>
      </c>
      <c r="GI977">
        <f>IF(ISBLANK('Data Entry'!$ÿ$977), "", 'Data Entry'!$ÿ$977)</f>
      </c>
      <c r="GJ977">
        <f>IF(ISBLANK('Data Entry'!$Ā$977), "", 'Data Entry'!$Ā$977)</f>
      </c>
      <c r="GK977">
        <f>IF(ISBLANK('Data Entry'!$ā$977), "", 'Data Entry'!$ā$977)</f>
      </c>
      <c r="GL977">
        <f>IF(ISBLANK('Data Entry'!$Ă$977), "", 'Data Entry'!$Ă$977)</f>
      </c>
      <c r="GM977">
        <f>IF(ISBLANK('Data Entry'!$ă$977), "", 'Data Entry'!$ă$977)</f>
      </c>
      <c r="GN977">
        <f>IF(ISBLANK('Data Entry'!$Ą$977), "", 'Data Entry'!$Ą$977)</f>
      </c>
      <c r="GO977">
        <f>IF(ISBLANK('Data Entry'!$ą$977), "", 'Data Entry'!$ą$977)</f>
      </c>
      <c r="GP977">
        <f>IF(ISBLANK('Data Entry'!$Ć$977), "", 'Data Entry'!$Ć$977)</f>
      </c>
      <c r="GQ977">
        <f>IF(ISBLANK('Data Entry'!$ć$977), "", 'Data Entry'!$ć$977)</f>
      </c>
      <c r="GR977">
        <f>IF(ISBLANK('Data Entry'!$Ĉ$977), "", 'Data Entry'!$Ĉ$977)</f>
      </c>
      <c r="GS977">
        <f>IF(ISBLANK('Data Entry'!$ĉ$977), "", 'Data Entry'!$ĉ$977)</f>
      </c>
      <c r="GT977">
        <f>IF(ISBLANK('Data Entry'!$Ċ$977), "", 'Data Entry'!$Ċ$977)</f>
      </c>
      <c r="GU977">
        <f>IF(ISBLANK('Data Entry'!$ċ$977), "", 'Data Entry'!$ċ$977)</f>
      </c>
      <c r="GV977">
        <f>IF(ISBLANK('Data Entry'!$Č$977), "", 'Data Entry'!$Č$977)</f>
      </c>
      <c r="GW977">
        <f>IF(ISBLANK('Data Entry'!$č$977), "", 'Data Entry'!$č$977)</f>
      </c>
      <c r="GX977">
        <f>IF(ISBLANK('Data Entry'!$Ď$977), "", 'Data Entry'!$Ď$977)</f>
      </c>
      <c r="GY977">
        <f>IF(ISBLANK('Data Entry'!$ď$977), "", 'Data Entry'!$ď$977)</f>
      </c>
      <c r="GZ977">
        <f>IF(ISBLANK('Data Entry'!$Đ$977), "", 'Data Entry'!$Đ$977)</f>
      </c>
      <c r="HA977">
        <f>IF(ISBLANK('Data Entry'!$đ$977), "", 'Data Entry'!$đ$977)</f>
      </c>
      <c r="HB977">
        <f>IF(ISBLANK('Data Entry'!$Ē$977), "", 'Data Entry'!$Ē$977)</f>
      </c>
      <c r="HC977">
        <f>IF(ISBLANK('Data Entry'!$ē$977), "", 'Data Entry'!$ē$977)</f>
      </c>
      <c r="HD977">
        <f>IF(ISBLANK('Data Entry'!$Ĕ$977), "", 'Data Entry'!$Ĕ$977)</f>
      </c>
      <c r="HE977">
        <f>IF(ISBLANK('Data Entry'!$ĕ$977), "", 'Data Entry'!$ĕ$977)</f>
      </c>
      <c r="HF977">
        <f>IF(ISBLANK('Data Entry'!$Ė$977), "", 'Data Entry'!$Ė$977)</f>
      </c>
      <c r="HG977">
        <f>IF(ISBLANK('Data Entry'!$ė$977), "", 'Data Entry'!$ė$977)</f>
      </c>
      <c r="HH977">
        <f>IF(ISBLANK('Data Entry'!$Ę$977), "", 'Data Entry'!$Ę$977)</f>
      </c>
      <c r="HI977">
        <f>IF(ISBLANK('Data Entry'!$ę$977), "", 'Data Entry'!$ę$977)</f>
      </c>
      <c r="HJ977">
        <f>IF(ISBLANK('Data Entry'!$Ě$977), "", 'Data Entry'!$Ě$977)</f>
      </c>
      <c r="HK977">
        <f>IF(ISBLANK('Data Entry'!$ě$977), "", 'Data Entry'!$ě$977)</f>
      </c>
      <c r="HL977">
        <f>IF(ISBLANK('Data Entry'!$Ĝ$977), "", 'Data Entry'!$Ĝ$977)</f>
      </c>
      <c r="HM977">
        <f>IF(ISBLANK('Data Entry'!$ĝ$977), "", 'Data Entry'!$ĝ$977)</f>
      </c>
      <c r="HN977">
        <f>IF(ISBLANK('Data Entry'!$Ğ$977), "", 'Data Entry'!$Ğ$977)</f>
      </c>
      <c r="HO977">
        <f>IF(ISBLANK('Data Entry'!$ğ$977), "", 'Data Entry'!$ğ$977)</f>
      </c>
      <c r="HP977">
        <f>IF(ISBLANK('Data Entry'!$Ġ$977), "", 'Data Entry'!$Ġ$977)</f>
      </c>
      <c r="HQ977">
        <f>IF(ISBLANK('Data Entry'!$ġ$977), "", 'Data Entry'!$ġ$977)</f>
      </c>
      <c r="HR977">
        <f>IF(ISBLANK('Data Entry'!$Ģ$977), "", 'Data Entry'!$Ģ$977)</f>
      </c>
      <c r="HS977">
        <f>IF(ISBLANK('Data Entry'!$ģ$977), "", 'Data Entry'!$ģ$977)</f>
      </c>
      <c r="HT977">
        <f>IF(ISBLANK('Data Entry'!$Ĥ$977), "", 'Data Entry'!$Ĥ$977)</f>
      </c>
      <c r="HU977">
        <f>IF(ISBLANK('Data Entry'!$ĥ$977), "", 'Data Entry'!$ĥ$977)</f>
      </c>
      <c r="HV977">
        <f>IF(ISBLANK('Data Entry'!$Ħ$977), "", 'Data Entry'!$Ħ$977)</f>
      </c>
      <c r="HW977">
        <f>IF(ISBLANK('Data Entry'!$ħ$977), "", 'Data Entry'!$ħ$977)</f>
      </c>
      <c r="HX977">
        <f>IF(ISBLANK('Data Entry'!$Ĩ$977), "", 'Data Entry'!$Ĩ$977)</f>
      </c>
      <c r="HY977">
        <f>IF(ISBLANK('Data Entry'!$ĩ$977), "", 'Data Entry'!$ĩ$977)</f>
      </c>
      <c r="HZ977">
        <f>IF(ISBLANK('Data Entry'!$Ī$977), "", 'Data Entry'!$Ī$977)</f>
      </c>
      <c r="IA977">
        <f>IF(ISBLANK('Data Entry'!$ī$977), "", 'Data Entry'!$ī$977)</f>
      </c>
      <c r="IB977">
        <f>IF(ISBLANK('Data Entry'!$Ĭ$977), "", 'Data Entry'!$Ĭ$977)</f>
      </c>
      <c r="IC977">
        <f>IF(ISBLANK('Data Entry'!$ĭ$977), "", 'Data Entry'!$ĭ$977)</f>
      </c>
      <c r="ID977">
        <f>IF(ISBLANK('Data Entry'!$Į$977), "", 'Data Entry'!$Į$977)</f>
      </c>
      <c r="IE977">
        <f>IF(ISBLANK('Data Entry'!$į$977), "", 'Data Entry'!$į$977)</f>
      </c>
      <c r="IF977">
        <f>IF(ISBLANK('Data Entry'!$İ$977), "", 'Data Entry'!$İ$977)</f>
      </c>
      <c r="IG977">
        <f>IF(ISBLANK('Data Entry'!$ı$977), "", 'Data Entry'!$ı$977)</f>
      </c>
      <c r="IH977">
        <f>IF(ISBLANK('Data Entry'!$Ĳ$977), "", 'Data Entry'!$Ĳ$977)</f>
      </c>
      <c r="II977">
        <f>IF(ISBLANK('Data Entry'!$ĳ$977), "", 'Data Entry'!$ĳ$977)</f>
      </c>
      <c r="IJ977">
        <f>IF(ISBLANK('Data Entry'!$Ĵ$977), "", 'Data Entry'!$Ĵ$977)</f>
      </c>
      <c r="IK977">
        <f>IF(ISBLANK('Data Entry'!$ĵ$977), "", 'Data Entry'!$ĵ$977)</f>
      </c>
      <c r="IL977">
        <f>IF(ISBLANK('Data Entry'!$Ķ$977), "", 'Data Entry'!$Ķ$977)</f>
      </c>
      <c r="IM977">
        <f>IF(ISBLANK('Data Entry'!$ķ$977), "", 'Data Entry'!$ķ$977)</f>
      </c>
      <c r="IN977">
        <f>IF(ISBLANK('Data Entry'!$ĸ$977), "", 'Data Entry'!$ĸ$977)</f>
      </c>
      <c r="IO977">
        <f>IF(ISBLANK('Data Entry'!$Ĺ$977), "", 'Data Entry'!$Ĺ$977)</f>
      </c>
      <c r="IP977">
        <f>IF(ISBLANK('Data Entry'!$ĺ$977), "", 'Data Entry'!$ĺ$977)</f>
      </c>
      <c r="IQ977">
        <f>IF(ISBLANK('Data Entry'!$Ļ$977), "", 'Data Entry'!$Ļ$977)</f>
      </c>
      <c r="IR977">
        <f>IF(ISBLANK('Data Entry'!$ļ$977), "", 'Data Entry'!$ļ$977)</f>
      </c>
      <c r="IS977">
        <f>IF(ISBLANK('Data Entry'!$Ľ$977), "", 'Data Entry'!$Ľ$977)</f>
      </c>
      <c r="IT977">
        <f>IF(ISBLANK('Data Entry'!$ľ$977), "", 'Data Entry'!$ľ$977)</f>
      </c>
    </row>
    <row r="978" spans="1:254" x14ac:dyDescent="0.25">
      <c r="A978">
        <f>IF(ISBLANK('Data Entry'!$A$978), "", 'Data Entry'!$A$978)</f>
      </c>
      <c r="B978">
        <f>IF(ISBLANK('Data Entry'!$B$978), "", 'Data Entry'!$B$978)</f>
      </c>
      <c r="C978">
        <f>IF(ISBLANK('Data Entry'!$C$978), "", 'Data Entry'!$C$978)</f>
      </c>
      <c r="D978">
        <f>IF(ISBLANK('Data Entry'!$D$978), "", 'Data Entry'!$D$978)</f>
      </c>
      <c r="E978">
        <f>IF(ISBLANK('Data Entry'!$E$978), "", 'Data Entry'!$E$978)</f>
      </c>
      <c r="F978">
        <f>IF(ISBLANK('Data Entry'!$F$978), "", 'Data Entry'!$F$978)</f>
      </c>
      <c r="G978">
        <f>IF(ISBLANK('Data Entry'!$G$978), "", 'Data Entry'!$G$978)</f>
      </c>
      <c r="H978">
        <f>IF(ISBLANK('Data Entry'!$H$978), "", 'Data Entry'!$H$978)</f>
      </c>
      <c r="I978">
        <f>IF(ISBLANK('Data Entry'!$I$978), "", 'Data Entry'!$I$978)</f>
      </c>
      <c r="J978">
        <f>IF(ISBLANK('Data Entry'!$J$978), "", 'Data Entry'!$J$978)</f>
      </c>
      <c r="K978">
        <f>IF(ISBLANK('Data Entry'!$K$978), "", 'Data Entry'!$K$978)</f>
      </c>
      <c r="L978">
        <f>IF(ISBLANK('Data Entry'!$L$978), "", 'Data Entry'!$L$978)</f>
      </c>
      <c r="M978">
        <f>IF(ISBLANK('Data Entry'!$M$978), "", 'Data Entry'!$M$978)</f>
      </c>
      <c r="N978">
        <f>IF(ISBLANK('Data Entry'!$N$978), "", 'Data Entry'!$N$978)</f>
      </c>
      <c r="O978">
        <f>IF(ISBLANK('Data Entry'!$O$978), "", 'Data Entry'!$O$978)</f>
      </c>
      <c r="P978">
        <f>IF(ISBLANK('Data Entry'!$P$978), "", 'Data Entry'!$P$978)</f>
      </c>
      <c r="Q978">
        <f>IF(ISBLANK('Data Entry'!$Q$978), "", 'Data Entry'!$Q$978)</f>
      </c>
      <c r="R978">
        <f>IF(ISBLANK('Data Entry'!$R$978), "", 'Data Entry'!$R$978)</f>
      </c>
      <c r="S978">
        <f>IF(ISBLANK('Data Entry'!$S$978), "", 'Data Entry'!$S$978)</f>
      </c>
      <c r="T978">
        <f>IF(ISBLANK('Data Entry'!$T$978), "", 'Data Entry'!$T$978)</f>
      </c>
      <c r="U978">
        <f>IF(ISBLANK('Data Entry'!$U$978), "", 'Data Entry'!$U$978)</f>
      </c>
      <c r="V978">
        <f>IF(ISBLANK('Data Entry'!$V$978), "", 'Data Entry'!$V$978)</f>
      </c>
      <c r="W978">
        <f>IF(ISBLANK('Data Entry'!$W$978), "", 'Data Entry'!$W$978)</f>
      </c>
      <c r="X978">
        <f>IF(ISBLANK('Data Entry'!$X$978), "", 'Data Entry'!$X$978)</f>
      </c>
      <c r="Y978">
        <f>IF(ISBLANK('Data Entry'!$Y$978), "", 'Data Entry'!$Y$978)</f>
      </c>
      <c r="Z978">
        <f>IF(ISBLANK('Data Entry'!$Z$978), "", 'Data Entry'!$Z$978)</f>
      </c>
      <c r="AA978">
        <f>IF(ISBLANK('Data Entry'!$[$978), "", 'Data Entry'!$[$978)</f>
      </c>
      <c r="AB978">
        <f>IF(ISBLANK('Data Entry'!$\$978), "", 'Data Entry'!$\$978)</f>
      </c>
      <c r="AC978">
        <f>IF(ISBLANK('Data Entry'!$]$978), "", 'Data Entry'!$]$978)</f>
      </c>
      <c r="AD978">
        <f>IF(ISBLANK('Data Entry'!$^$978), "", 'Data Entry'!$^$978)</f>
      </c>
      <c r="AE978">
        <f>IF(ISBLANK('Data Entry'!$_$978), "", 'Data Entry'!$_$978)</f>
      </c>
      <c r="AF978">
        <f>IF(ISBLANK('Data Entry'!$`$978), "", 'Data Entry'!$`$978)</f>
      </c>
      <c r="AG978">
        <f>IF(ISBLANK('Data Entry'!$a$978), "", 'Data Entry'!$a$978)</f>
      </c>
      <c r="AH978">
        <f>IF(ISBLANK('Data Entry'!$b$978), "", 'Data Entry'!$b$978)</f>
      </c>
      <c r="AI978">
        <f>IF(ISBLANK('Data Entry'!$c$978), "", 'Data Entry'!$c$978)</f>
      </c>
      <c r="AJ978">
        <f>IF(ISBLANK('Data Entry'!$d$978), "", 'Data Entry'!$d$978)</f>
      </c>
      <c r="AK978">
        <f>IF(ISBLANK('Data Entry'!$e$978), "", 'Data Entry'!$e$978)</f>
      </c>
      <c r="AL978">
        <f>IF(ISBLANK('Data Entry'!$f$978), "", 'Data Entry'!$f$978)</f>
      </c>
      <c r="AM978">
        <f>IF(ISBLANK('Data Entry'!$g$978), "", 'Data Entry'!$g$978)</f>
      </c>
      <c r="AN978">
        <f>IF(ISBLANK('Data Entry'!$h$978), "", 'Data Entry'!$h$978)</f>
      </c>
      <c r="AO978">
        <f>IF(ISBLANK('Data Entry'!$i$978), "", 'Data Entry'!$i$978)</f>
      </c>
      <c r="AP978">
        <f>IF(ISBLANK('Data Entry'!$j$978), "", 'Data Entry'!$j$978)</f>
      </c>
      <c r="AQ978">
        <f>IF(ISBLANK('Data Entry'!$k$978), "", 'Data Entry'!$k$978)</f>
      </c>
      <c r="AR978">
        <f>IF(ISBLANK('Data Entry'!$l$978), "", 'Data Entry'!$l$978)</f>
      </c>
      <c r="AS978">
        <f>IF(ISBLANK('Data Entry'!$m$978), "", 'Data Entry'!$m$978)</f>
      </c>
      <c r="AT978">
        <f>IF(ISBLANK('Data Entry'!$n$978), "", 'Data Entry'!$n$978)</f>
      </c>
      <c r="AU978">
        <f>IF(ISBLANK('Data Entry'!$o$978), "", 'Data Entry'!$o$978)</f>
      </c>
      <c r="AV978">
        <f>IF(ISBLANK('Data Entry'!$p$978), "", 'Data Entry'!$p$978)</f>
      </c>
      <c r="AW978">
        <f>IF(ISBLANK('Data Entry'!$q$978), "", 'Data Entry'!$q$978)</f>
      </c>
      <c r="AX978">
        <f>IF(ISBLANK('Data Entry'!$r$978), "", 'Data Entry'!$r$978)</f>
      </c>
      <c r="AY978">
        <f>IF(ISBLANK('Data Entry'!$s$978), "", 'Data Entry'!$s$978)</f>
      </c>
      <c r="AZ978">
        <f>IF(ISBLANK('Data Entry'!$t$978), "", 'Data Entry'!$t$978)</f>
      </c>
      <c r="BA978">
        <f>IF(ISBLANK('Data Entry'!$u$978), "", 'Data Entry'!$u$978)</f>
      </c>
      <c r="BB978">
        <f>IF(ISBLANK('Data Entry'!$v$978), "", 'Data Entry'!$v$978)</f>
      </c>
      <c r="BC978">
        <f>IF(ISBLANK('Data Entry'!$w$978), "", 'Data Entry'!$w$978)</f>
      </c>
      <c r="BD978">
        <f>IF(ISBLANK('Data Entry'!$x$978), "", 'Data Entry'!$x$978)</f>
      </c>
      <c r="BE978">
        <f>IF(ISBLANK('Data Entry'!$y$978), "", 'Data Entry'!$y$978)</f>
      </c>
      <c r="BF978">
        <f>IF(ISBLANK('Data Entry'!$z$978), "", 'Data Entry'!$z$978)</f>
      </c>
      <c r="BG978">
        <f>IF(ISBLANK('Data Entry'!${$978), "", 'Data Entry'!${$978)</f>
      </c>
      <c r="BH978">
        <f>IF(ISBLANK('Data Entry'!$|$978), "", 'Data Entry'!$|$978)</f>
      </c>
      <c r="BI978">
        <f>IF(ISBLANK('Data Entry'!$}$978), "", 'Data Entry'!$}$978)</f>
      </c>
      <c r="BJ978">
        <f>IF(ISBLANK('Data Entry'!$~$978), "", 'Data Entry'!$~$978)</f>
      </c>
      <c r="BK978">
        <f>IF(ISBLANK('Data Entry'!$$978), "", 'Data Entry'!$$978)</f>
      </c>
      <c r="BL978">
        <f>IF(ISBLANK('Data Entry'!$$978), "", 'Data Entry'!$$978)</f>
      </c>
      <c r="BM978">
        <f>IF(ISBLANK('Data Entry'!$$978), "", 'Data Entry'!$$978)</f>
      </c>
      <c r="BN978">
        <f>IF(ISBLANK('Data Entry'!$$978), "", 'Data Entry'!$$978)</f>
      </c>
      <c r="BO978">
        <f>IF(ISBLANK('Data Entry'!$$978), "", 'Data Entry'!$$978)</f>
      </c>
      <c r="BP978">
        <f>IF(ISBLANK('Data Entry'!$$978), "", 'Data Entry'!$$978)</f>
      </c>
      <c r="BQ978">
        <f>IF(ISBLANK('Data Entry'!$$978), "", 'Data Entry'!$$978)</f>
      </c>
      <c r="BR978">
        <f>IF(ISBLANK('Data Entry'!$$978), "", 'Data Entry'!$$978)</f>
      </c>
      <c r="BS978">
        <f>IF(ISBLANK('Data Entry'!$$978), "", 'Data Entry'!$$978)</f>
      </c>
      <c r="BT978">
        <f>IF(ISBLANK('Data Entry'!$$978), "", 'Data Entry'!$$978)</f>
      </c>
      <c r="BU978">
        <f>IF(ISBLANK('Data Entry'!$$978), "", 'Data Entry'!$$978)</f>
      </c>
      <c r="BV978">
        <f>IF(ISBLANK('Data Entry'!$$978), "", 'Data Entry'!$$978)</f>
      </c>
      <c r="BW978">
        <f>IF(ISBLANK('Data Entry'!$$978), "", 'Data Entry'!$$978)</f>
      </c>
      <c r="BX978">
        <f>IF(ISBLANK('Data Entry'!$$978), "", 'Data Entry'!$$978)</f>
      </c>
      <c r="BY978">
        <f>IF(ISBLANK('Data Entry'!$$978), "", 'Data Entry'!$$978)</f>
      </c>
      <c r="BZ978">
        <f>IF(ISBLANK('Data Entry'!$$978), "", 'Data Entry'!$$978)</f>
      </c>
      <c r="CA978">
        <f>IF(ISBLANK('Data Entry'!$$978), "", 'Data Entry'!$$978)</f>
      </c>
      <c r="CB978">
        <f>IF(ISBLANK('Data Entry'!$$978), "", 'Data Entry'!$$978)</f>
      </c>
      <c r="CC978">
        <f>IF(ISBLANK('Data Entry'!$$978), "", 'Data Entry'!$$978)</f>
      </c>
      <c r="CD978">
        <f>IF(ISBLANK('Data Entry'!$$978), "", 'Data Entry'!$$978)</f>
      </c>
      <c r="CE978">
        <f>IF(ISBLANK('Data Entry'!$$978), "", 'Data Entry'!$$978)</f>
      </c>
      <c r="CF978">
        <f>IF(ISBLANK('Data Entry'!$$978), "", 'Data Entry'!$$978)</f>
      </c>
      <c r="CG978">
        <f>IF(ISBLANK('Data Entry'!$$978), "", 'Data Entry'!$$978)</f>
      </c>
      <c r="CH978">
        <f>IF(ISBLANK('Data Entry'!$$978), "", 'Data Entry'!$$978)</f>
      </c>
      <c r="CI978">
        <f>IF(ISBLANK('Data Entry'!$$978), "", 'Data Entry'!$$978)</f>
      </c>
      <c r="CJ978">
        <f>IF(ISBLANK('Data Entry'!$$978), "", 'Data Entry'!$$978)</f>
      </c>
      <c r="CK978">
        <f>IF(ISBLANK('Data Entry'!$$978), "", 'Data Entry'!$$978)</f>
      </c>
      <c r="CL978">
        <f>IF(ISBLANK('Data Entry'!$$978), "", 'Data Entry'!$$978)</f>
      </c>
      <c r="CM978">
        <f>IF(ISBLANK('Data Entry'!$$978), "", 'Data Entry'!$$978)</f>
      </c>
      <c r="CN978">
        <f>IF(ISBLANK('Data Entry'!$$978), "", 'Data Entry'!$$978)</f>
      </c>
      <c r="CO978">
        <f>IF(ISBLANK('Data Entry'!$$978), "", 'Data Entry'!$$978)</f>
      </c>
      <c r="CP978">
        <f>IF(ISBLANK('Data Entry'!$$978), "", 'Data Entry'!$$978)</f>
      </c>
      <c r="CQ978">
        <f>IF(ISBLANK('Data Entry'!$$978), "", 'Data Entry'!$$978)</f>
      </c>
      <c r="CR978">
        <f>IF(ISBLANK('Data Entry'!$ $978), "", 'Data Entry'!$ $978)</f>
      </c>
      <c r="CS978">
        <f>IF(ISBLANK('Data Entry'!$¡$978), "", 'Data Entry'!$¡$978)</f>
      </c>
      <c r="CT978">
        <f>IF(ISBLANK('Data Entry'!$¢$978), "", 'Data Entry'!$¢$978)</f>
      </c>
      <c r="CU978">
        <f>IF(ISBLANK('Data Entry'!$£$978), "", 'Data Entry'!$£$978)</f>
      </c>
      <c r="CV978">
        <f>IF(ISBLANK('Data Entry'!$¤$978), "", 'Data Entry'!$¤$978)</f>
      </c>
      <c r="CW978">
        <f>IF(ISBLANK('Data Entry'!$¥$978), "", 'Data Entry'!$¥$978)</f>
      </c>
      <c r="CX978">
        <f>IF(ISBLANK('Data Entry'!$¦$978), "", 'Data Entry'!$¦$978)</f>
      </c>
      <c r="CY978">
        <f>IF(ISBLANK('Data Entry'!$§$978), "", 'Data Entry'!$§$978)</f>
      </c>
      <c r="CZ978">
        <f>IF(ISBLANK('Data Entry'!$¨$978), "", 'Data Entry'!$¨$978)</f>
      </c>
      <c r="DA978">
        <f>IF(ISBLANK('Data Entry'!$©$978), "", 'Data Entry'!$©$978)</f>
      </c>
      <c r="DB978">
        <f>IF(ISBLANK('Data Entry'!$ª$978), "", 'Data Entry'!$ª$978)</f>
      </c>
      <c r="DC978">
        <f>IF(ISBLANK('Data Entry'!$«$978), "", 'Data Entry'!$«$978)</f>
      </c>
      <c r="DD978">
        <f>IF(ISBLANK('Data Entry'!$¬$978), "", 'Data Entry'!$¬$978)</f>
      </c>
      <c r="DE978">
        <f>IF(ISBLANK('Data Entry'!$­$978), "", 'Data Entry'!$­$978)</f>
      </c>
      <c r="DF978">
        <f>IF(ISBLANK('Data Entry'!$®$978), "", 'Data Entry'!$®$978)</f>
      </c>
      <c r="DG978">
        <f>IF(ISBLANK('Data Entry'!$¯$978), "", 'Data Entry'!$¯$978)</f>
      </c>
      <c r="DH978">
        <f>IF(ISBLANK('Data Entry'!$°$978), "", 'Data Entry'!$°$978)</f>
      </c>
      <c r="DI978">
        <f>IF(ISBLANK('Data Entry'!$±$978), "", 'Data Entry'!$±$978)</f>
      </c>
      <c r="DJ978">
        <f>IF(ISBLANK('Data Entry'!$²$978), "", 'Data Entry'!$²$978)</f>
      </c>
      <c r="DK978">
        <f>IF(ISBLANK('Data Entry'!$³$978), "", 'Data Entry'!$³$978)</f>
      </c>
      <c r="DL978">
        <f>IF(ISBLANK('Data Entry'!$´$978), "", 'Data Entry'!$´$978)</f>
      </c>
      <c r="DM978">
        <f>IF(ISBLANK('Data Entry'!$µ$978), "", 'Data Entry'!$µ$978)</f>
      </c>
      <c r="DN978">
        <f>IF(ISBLANK('Data Entry'!$¶$978), "", 'Data Entry'!$¶$978)</f>
      </c>
      <c r="DO978">
        <f>IF(ISBLANK('Data Entry'!$·$978), "", 'Data Entry'!$·$978)</f>
      </c>
      <c r="DP978">
        <f>IF(ISBLANK('Data Entry'!$¸$978), "", 'Data Entry'!$¸$978)</f>
      </c>
      <c r="DQ978">
        <f>IF(ISBLANK('Data Entry'!$¹$978), "", 'Data Entry'!$¹$978)</f>
      </c>
      <c r="DR978">
        <f>IF(ISBLANK('Data Entry'!$º$978), "", 'Data Entry'!$º$978)</f>
      </c>
      <c r="DS978">
        <f>IF(ISBLANK('Data Entry'!$»$978), "", 'Data Entry'!$»$978)</f>
      </c>
      <c r="DT978">
        <f>IF(ISBLANK('Data Entry'!$¼$978), "", 'Data Entry'!$¼$978)</f>
      </c>
      <c r="DU978">
        <f>IF(ISBLANK('Data Entry'!$½$978), "", 'Data Entry'!$½$978)</f>
      </c>
      <c r="DV978">
        <f>IF(ISBLANK('Data Entry'!$¾$978), "", 'Data Entry'!$¾$978)</f>
      </c>
      <c r="DW978">
        <f>IF(ISBLANK('Data Entry'!$¿$978), "", 'Data Entry'!$¿$978)</f>
      </c>
      <c r="DX978">
        <f>IF(ISBLANK('Data Entry'!$À$978), "", 'Data Entry'!$À$978)</f>
      </c>
      <c r="DY978">
        <f>IF(ISBLANK('Data Entry'!$Á$978), "", 'Data Entry'!$Á$978)</f>
      </c>
      <c r="DZ978">
        <f>IF(ISBLANK('Data Entry'!$Â$978), "", 'Data Entry'!$Â$978)</f>
      </c>
      <c r="EA978">
        <f>IF(ISBLANK('Data Entry'!$Ã$978), "", 'Data Entry'!$Ã$978)</f>
      </c>
      <c r="EB978">
        <f>IF(ISBLANK('Data Entry'!$Ä$978), "", 'Data Entry'!$Ä$978)</f>
      </c>
      <c r="EC978">
        <f>IF(ISBLANK('Data Entry'!$Å$978), "", 'Data Entry'!$Å$978)</f>
      </c>
      <c r="ED978">
        <f>IF(ISBLANK('Data Entry'!$Æ$978), "", 'Data Entry'!$Æ$978)</f>
      </c>
      <c r="EE978">
        <f>IF(ISBLANK('Data Entry'!$Ç$978), "", 'Data Entry'!$Ç$978)</f>
      </c>
      <c r="EF978">
        <f>IF(ISBLANK('Data Entry'!$È$978), "", 'Data Entry'!$È$978)</f>
      </c>
      <c r="EG978">
        <f>IF(ISBLANK('Data Entry'!$É$978), "", 'Data Entry'!$É$978)</f>
      </c>
      <c r="EH978">
        <f>IF(ISBLANK('Data Entry'!$Ê$978), "", 'Data Entry'!$Ê$978)</f>
      </c>
      <c r="EI978">
        <f>IF(ISBLANK('Data Entry'!$Ë$978), "", 'Data Entry'!$Ë$978)</f>
      </c>
      <c r="EJ978">
        <f>IF(ISBLANK('Data Entry'!$Ì$978), "", 'Data Entry'!$Ì$978)</f>
      </c>
      <c r="EK978">
        <f>IF(ISBLANK('Data Entry'!$Í$978), "", 'Data Entry'!$Í$978)</f>
      </c>
      <c r="EL978">
        <f>IF(ISBLANK('Data Entry'!$Î$978), "", 'Data Entry'!$Î$978)</f>
      </c>
      <c r="EM978">
        <f>IF(ISBLANK('Data Entry'!$Ï$978), "", 'Data Entry'!$Ï$978)</f>
      </c>
      <c r="EN978">
        <f>IF(ISBLANK('Data Entry'!$Ð$978), "", 'Data Entry'!$Ð$978)</f>
      </c>
      <c r="EO978">
        <f>IF(ISBLANK('Data Entry'!$Ñ$978), "", 'Data Entry'!$Ñ$978)</f>
      </c>
      <c r="EP978">
        <f>IF(ISBLANK('Data Entry'!$Ò$978), "", 'Data Entry'!$Ò$978)</f>
      </c>
      <c r="EQ978">
        <f>IF(ISBLANK('Data Entry'!$Ó$978), "", 'Data Entry'!$Ó$978)</f>
      </c>
      <c r="ER978">
        <f>IF(ISBLANK('Data Entry'!$Ô$978), "", 'Data Entry'!$Ô$978)</f>
      </c>
      <c r="ES978">
        <f>IF(ISBLANK('Data Entry'!$Õ$978), "", 'Data Entry'!$Õ$978)</f>
      </c>
      <c r="ET978">
        <f>IF(ISBLANK('Data Entry'!$Ö$978), "", 'Data Entry'!$Ö$978)</f>
      </c>
      <c r="EU978">
        <f>IF(ISBLANK('Data Entry'!$×$978), "", 'Data Entry'!$×$978)</f>
      </c>
      <c r="EV978">
        <f>IF(ISBLANK('Data Entry'!$Ø$978), "", 'Data Entry'!$Ø$978)</f>
      </c>
      <c r="EW978">
        <f>IF(ISBLANK('Data Entry'!$Ù$978), "", 'Data Entry'!$Ù$978)</f>
      </c>
      <c r="EX978">
        <f>IF(ISBLANK('Data Entry'!$Ú$978), "", 'Data Entry'!$Ú$978)</f>
      </c>
      <c r="EY978">
        <f>IF(ISBLANK('Data Entry'!$Û$978), "", 'Data Entry'!$Û$978)</f>
      </c>
      <c r="EZ978">
        <f>IF(ISBLANK('Data Entry'!$Ü$978), "", 'Data Entry'!$Ü$978)</f>
      </c>
      <c r="FA978">
        <f>IF(ISBLANK('Data Entry'!$Ý$978), "", 'Data Entry'!$Ý$978)</f>
      </c>
      <c r="FB978">
        <f>IF(ISBLANK('Data Entry'!$Þ$978), "", 'Data Entry'!$Þ$978)</f>
      </c>
      <c r="FC978">
        <f>IF(ISBLANK('Data Entry'!$ß$978), "", 'Data Entry'!$ß$978)</f>
      </c>
      <c r="FD978">
        <f>IF(ISBLANK('Data Entry'!$à$978), "", 'Data Entry'!$à$978)</f>
      </c>
      <c r="FE978">
        <f>IF(ISBLANK('Data Entry'!$á$978), "", 'Data Entry'!$á$978)</f>
      </c>
      <c r="FF978">
        <f>IF(ISBLANK('Data Entry'!$â$978), "", 'Data Entry'!$â$978)</f>
      </c>
      <c r="FG978">
        <f>IF(ISBLANK('Data Entry'!$ã$978), "", 'Data Entry'!$ã$978)</f>
      </c>
      <c r="FH978">
        <f>IF(ISBLANK('Data Entry'!$ä$978), "", 'Data Entry'!$ä$978)</f>
      </c>
      <c r="FI978">
        <f>IF(ISBLANK('Data Entry'!$å$978), "", 'Data Entry'!$å$978)</f>
      </c>
      <c r="FJ978">
        <f>IF(ISBLANK('Data Entry'!$æ$978), "", 'Data Entry'!$æ$978)</f>
      </c>
      <c r="FK978">
        <f>IF(ISBLANK('Data Entry'!$ç$978), "", 'Data Entry'!$ç$978)</f>
      </c>
      <c r="FL978">
        <f>IF(ISBLANK('Data Entry'!$è$978), "", 'Data Entry'!$è$978)</f>
      </c>
      <c r="FM978">
        <f>IF(ISBLANK('Data Entry'!$é$978), "", 'Data Entry'!$é$978)</f>
      </c>
      <c r="FN978">
        <f>IF(ISBLANK('Data Entry'!$ê$978), "", 'Data Entry'!$ê$978)</f>
      </c>
      <c r="FO978">
        <f>IF(ISBLANK('Data Entry'!$ë$978), "", 'Data Entry'!$ë$978)</f>
      </c>
      <c r="FP978">
        <f>IF(ISBLANK('Data Entry'!$ì$978), "", 'Data Entry'!$ì$978)</f>
      </c>
      <c r="FQ978">
        <f>IF(ISBLANK('Data Entry'!$í$978), "", 'Data Entry'!$í$978)</f>
      </c>
      <c r="FR978">
        <f>IF(ISBLANK('Data Entry'!$î$978), "", 'Data Entry'!$î$978)</f>
      </c>
      <c r="FS978">
        <f>IF(ISBLANK('Data Entry'!$ï$978), "", 'Data Entry'!$ï$978)</f>
      </c>
      <c r="FT978">
        <f>IF(ISBLANK('Data Entry'!$ð$978), "", 'Data Entry'!$ð$978)</f>
      </c>
      <c r="FU978">
        <f>IF(ISBLANK('Data Entry'!$ñ$978), "", 'Data Entry'!$ñ$978)</f>
      </c>
      <c r="FV978">
        <f>IF(ISBLANK('Data Entry'!$ò$978), "", 'Data Entry'!$ò$978)</f>
      </c>
      <c r="FW978">
        <f>IF(ISBLANK('Data Entry'!$ó$978), "", 'Data Entry'!$ó$978)</f>
      </c>
      <c r="FX978">
        <f>IF(ISBLANK('Data Entry'!$ô$978), "", 'Data Entry'!$ô$978)</f>
      </c>
      <c r="FY978">
        <f>IF(ISBLANK('Data Entry'!$õ$978), "", 'Data Entry'!$õ$978)</f>
      </c>
      <c r="FZ978">
        <f>IF(ISBLANK('Data Entry'!$ö$978), "", 'Data Entry'!$ö$978)</f>
      </c>
      <c r="GA978">
        <f>IF(ISBLANK('Data Entry'!$÷$978), "", 'Data Entry'!$÷$978)</f>
      </c>
      <c r="GB978">
        <f>IF(ISBLANK('Data Entry'!$ø$978), "", 'Data Entry'!$ø$978)</f>
      </c>
      <c r="GC978">
        <f>IF(ISBLANK('Data Entry'!$ù$978), "", 'Data Entry'!$ù$978)</f>
      </c>
      <c r="GD978">
        <f>IF(ISBLANK('Data Entry'!$ú$978), "", 'Data Entry'!$ú$978)</f>
      </c>
      <c r="GE978">
        <f>IF(ISBLANK('Data Entry'!$û$978), "", 'Data Entry'!$û$978)</f>
      </c>
      <c r="GF978">
        <f>IF(ISBLANK('Data Entry'!$ü$978), "", 'Data Entry'!$ü$978)</f>
      </c>
      <c r="GG978">
        <f>IF(ISBLANK('Data Entry'!$ý$978), "", 'Data Entry'!$ý$978)</f>
      </c>
      <c r="GH978">
        <f>IF(ISBLANK('Data Entry'!$þ$978), "", 'Data Entry'!$þ$978)</f>
      </c>
      <c r="GI978">
        <f>IF(ISBLANK('Data Entry'!$ÿ$978), "", 'Data Entry'!$ÿ$978)</f>
      </c>
      <c r="GJ978">
        <f>IF(ISBLANK('Data Entry'!$Ā$978), "", 'Data Entry'!$Ā$978)</f>
      </c>
      <c r="GK978">
        <f>IF(ISBLANK('Data Entry'!$ā$978), "", 'Data Entry'!$ā$978)</f>
      </c>
      <c r="GL978">
        <f>IF(ISBLANK('Data Entry'!$Ă$978), "", 'Data Entry'!$Ă$978)</f>
      </c>
      <c r="GM978">
        <f>IF(ISBLANK('Data Entry'!$ă$978), "", 'Data Entry'!$ă$978)</f>
      </c>
      <c r="GN978">
        <f>IF(ISBLANK('Data Entry'!$Ą$978), "", 'Data Entry'!$Ą$978)</f>
      </c>
      <c r="GO978">
        <f>IF(ISBLANK('Data Entry'!$ą$978), "", 'Data Entry'!$ą$978)</f>
      </c>
      <c r="GP978">
        <f>IF(ISBLANK('Data Entry'!$Ć$978), "", 'Data Entry'!$Ć$978)</f>
      </c>
      <c r="GQ978">
        <f>IF(ISBLANK('Data Entry'!$ć$978), "", 'Data Entry'!$ć$978)</f>
      </c>
      <c r="GR978">
        <f>IF(ISBLANK('Data Entry'!$Ĉ$978), "", 'Data Entry'!$Ĉ$978)</f>
      </c>
      <c r="GS978">
        <f>IF(ISBLANK('Data Entry'!$ĉ$978), "", 'Data Entry'!$ĉ$978)</f>
      </c>
      <c r="GT978">
        <f>IF(ISBLANK('Data Entry'!$Ċ$978), "", 'Data Entry'!$Ċ$978)</f>
      </c>
      <c r="GU978">
        <f>IF(ISBLANK('Data Entry'!$ċ$978), "", 'Data Entry'!$ċ$978)</f>
      </c>
      <c r="GV978">
        <f>IF(ISBLANK('Data Entry'!$Č$978), "", 'Data Entry'!$Č$978)</f>
      </c>
      <c r="GW978">
        <f>IF(ISBLANK('Data Entry'!$č$978), "", 'Data Entry'!$č$978)</f>
      </c>
      <c r="GX978">
        <f>IF(ISBLANK('Data Entry'!$Ď$978), "", 'Data Entry'!$Ď$978)</f>
      </c>
      <c r="GY978">
        <f>IF(ISBLANK('Data Entry'!$ď$978), "", 'Data Entry'!$ď$978)</f>
      </c>
      <c r="GZ978">
        <f>IF(ISBLANK('Data Entry'!$Đ$978), "", 'Data Entry'!$Đ$978)</f>
      </c>
      <c r="HA978">
        <f>IF(ISBLANK('Data Entry'!$đ$978), "", 'Data Entry'!$đ$978)</f>
      </c>
      <c r="HB978">
        <f>IF(ISBLANK('Data Entry'!$Ē$978), "", 'Data Entry'!$Ē$978)</f>
      </c>
      <c r="HC978">
        <f>IF(ISBLANK('Data Entry'!$ē$978), "", 'Data Entry'!$ē$978)</f>
      </c>
      <c r="HD978">
        <f>IF(ISBLANK('Data Entry'!$Ĕ$978), "", 'Data Entry'!$Ĕ$978)</f>
      </c>
      <c r="HE978">
        <f>IF(ISBLANK('Data Entry'!$ĕ$978), "", 'Data Entry'!$ĕ$978)</f>
      </c>
      <c r="HF978">
        <f>IF(ISBLANK('Data Entry'!$Ė$978), "", 'Data Entry'!$Ė$978)</f>
      </c>
      <c r="HG978">
        <f>IF(ISBLANK('Data Entry'!$ė$978), "", 'Data Entry'!$ė$978)</f>
      </c>
      <c r="HH978">
        <f>IF(ISBLANK('Data Entry'!$Ę$978), "", 'Data Entry'!$Ę$978)</f>
      </c>
      <c r="HI978">
        <f>IF(ISBLANK('Data Entry'!$ę$978), "", 'Data Entry'!$ę$978)</f>
      </c>
      <c r="HJ978">
        <f>IF(ISBLANK('Data Entry'!$Ě$978), "", 'Data Entry'!$Ě$978)</f>
      </c>
      <c r="HK978">
        <f>IF(ISBLANK('Data Entry'!$ě$978), "", 'Data Entry'!$ě$978)</f>
      </c>
      <c r="HL978">
        <f>IF(ISBLANK('Data Entry'!$Ĝ$978), "", 'Data Entry'!$Ĝ$978)</f>
      </c>
      <c r="HM978">
        <f>IF(ISBLANK('Data Entry'!$ĝ$978), "", 'Data Entry'!$ĝ$978)</f>
      </c>
      <c r="HN978">
        <f>IF(ISBLANK('Data Entry'!$Ğ$978), "", 'Data Entry'!$Ğ$978)</f>
      </c>
      <c r="HO978">
        <f>IF(ISBLANK('Data Entry'!$ğ$978), "", 'Data Entry'!$ğ$978)</f>
      </c>
      <c r="HP978">
        <f>IF(ISBLANK('Data Entry'!$Ġ$978), "", 'Data Entry'!$Ġ$978)</f>
      </c>
      <c r="HQ978">
        <f>IF(ISBLANK('Data Entry'!$ġ$978), "", 'Data Entry'!$ġ$978)</f>
      </c>
      <c r="HR978">
        <f>IF(ISBLANK('Data Entry'!$Ģ$978), "", 'Data Entry'!$Ģ$978)</f>
      </c>
      <c r="HS978">
        <f>IF(ISBLANK('Data Entry'!$ģ$978), "", 'Data Entry'!$ģ$978)</f>
      </c>
      <c r="HT978">
        <f>IF(ISBLANK('Data Entry'!$Ĥ$978), "", 'Data Entry'!$Ĥ$978)</f>
      </c>
      <c r="HU978">
        <f>IF(ISBLANK('Data Entry'!$ĥ$978), "", 'Data Entry'!$ĥ$978)</f>
      </c>
      <c r="HV978">
        <f>IF(ISBLANK('Data Entry'!$Ħ$978), "", 'Data Entry'!$Ħ$978)</f>
      </c>
      <c r="HW978">
        <f>IF(ISBLANK('Data Entry'!$ħ$978), "", 'Data Entry'!$ħ$978)</f>
      </c>
      <c r="HX978">
        <f>IF(ISBLANK('Data Entry'!$Ĩ$978), "", 'Data Entry'!$Ĩ$978)</f>
      </c>
      <c r="HY978">
        <f>IF(ISBLANK('Data Entry'!$ĩ$978), "", 'Data Entry'!$ĩ$978)</f>
      </c>
      <c r="HZ978">
        <f>IF(ISBLANK('Data Entry'!$Ī$978), "", 'Data Entry'!$Ī$978)</f>
      </c>
      <c r="IA978">
        <f>IF(ISBLANK('Data Entry'!$ī$978), "", 'Data Entry'!$ī$978)</f>
      </c>
      <c r="IB978">
        <f>IF(ISBLANK('Data Entry'!$Ĭ$978), "", 'Data Entry'!$Ĭ$978)</f>
      </c>
      <c r="IC978">
        <f>IF(ISBLANK('Data Entry'!$ĭ$978), "", 'Data Entry'!$ĭ$978)</f>
      </c>
      <c r="ID978">
        <f>IF(ISBLANK('Data Entry'!$Į$978), "", 'Data Entry'!$Į$978)</f>
      </c>
      <c r="IE978">
        <f>IF(ISBLANK('Data Entry'!$į$978), "", 'Data Entry'!$į$978)</f>
      </c>
      <c r="IF978">
        <f>IF(ISBLANK('Data Entry'!$İ$978), "", 'Data Entry'!$İ$978)</f>
      </c>
      <c r="IG978">
        <f>IF(ISBLANK('Data Entry'!$ı$978), "", 'Data Entry'!$ı$978)</f>
      </c>
      <c r="IH978">
        <f>IF(ISBLANK('Data Entry'!$Ĳ$978), "", 'Data Entry'!$Ĳ$978)</f>
      </c>
      <c r="II978">
        <f>IF(ISBLANK('Data Entry'!$ĳ$978), "", 'Data Entry'!$ĳ$978)</f>
      </c>
      <c r="IJ978">
        <f>IF(ISBLANK('Data Entry'!$Ĵ$978), "", 'Data Entry'!$Ĵ$978)</f>
      </c>
      <c r="IK978">
        <f>IF(ISBLANK('Data Entry'!$ĵ$978), "", 'Data Entry'!$ĵ$978)</f>
      </c>
      <c r="IL978">
        <f>IF(ISBLANK('Data Entry'!$Ķ$978), "", 'Data Entry'!$Ķ$978)</f>
      </c>
      <c r="IM978">
        <f>IF(ISBLANK('Data Entry'!$ķ$978), "", 'Data Entry'!$ķ$978)</f>
      </c>
      <c r="IN978">
        <f>IF(ISBLANK('Data Entry'!$ĸ$978), "", 'Data Entry'!$ĸ$978)</f>
      </c>
      <c r="IO978">
        <f>IF(ISBLANK('Data Entry'!$Ĺ$978), "", 'Data Entry'!$Ĺ$978)</f>
      </c>
      <c r="IP978">
        <f>IF(ISBLANK('Data Entry'!$ĺ$978), "", 'Data Entry'!$ĺ$978)</f>
      </c>
      <c r="IQ978">
        <f>IF(ISBLANK('Data Entry'!$Ļ$978), "", 'Data Entry'!$Ļ$978)</f>
      </c>
      <c r="IR978">
        <f>IF(ISBLANK('Data Entry'!$ļ$978), "", 'Data Entry'!$ļ$978)</f>
      </c>
      <c r="IS978">
        <f>IF(ISBLANK('Data Entry'!$Ľ$978), "", 'Data Entry'!$Ľ$978)</f>
      </c>
      <c r="IT978">
        <f>IF(ISBLANK('Data Entry'!$ľ$978), "", 'Data Entry'!$ľ$978)</f>
      </c>
    </row>
    <row r="979" spans="1:254" x14ac:dyDescent="0.25">
      <c r="A979">
        <f>IF(ISBLANK('Data Entry'!$A$979), "", 'Data Entry'!$A$979)</f>
      </c>
      <c r="B979">
        <f>IF(ISBLANK('Data Entry'!$B$979), "", 'Data Entry'!$B$979)</f>
      </c>
      <c r="C979">
        <f>IF(ISBLANK('Data Entry'!$C$979), "", 'Data Entry'!$C$979)</f>
      </c>
      <c r="D979">
        <f>IF(ISBLANK('Data Entry'!$D$979), "", 'Data Entry'!$D$979)</f>
      </c>
      <c r="E979">
        <f>IF(ISBLANK('Data Entry'!$E$979), "", 'Data Entry'!$E$979)</f>
      </c>
      <c r="F979">
        <f>IF(ISBLANK('Data Entry'!$F$979), "", 'Data Entry'!$F$979)</f>
      </c>
      <c r="G979">
        <f>IF(ISBLANK('Data Entry'!$G$979), "", 'Data Entry'!$G$979)</f>
      </c>
      <c r="H979">
        <f>IF(ISBLANK('Data Entry'!$H$979), "", 'Data Entry'!$H$979)</f>
      </c>
      <c r="I979">
        <f>IF(ISBLANK('Data Entry'!$I$979), "", 'Data Entry'!$I$979)</f>
      </c>
      <c r="J979">
        <f>IF(ISBLANK('Data Entry'!$J$979), "", 'Data Entry'!$J$979)</f>
      </c>
      <c r="K979">
        <f>IF(ISBLANK('Data Entry'!$K$979), "", 'Data Entry'!$K$979)</f>
      </c>
      <c r="L979">
        <f>IF(ISBLANK('Data Entry'!$L$979), "", 'Data Entry'!$L$979)</f>
      </c>
      <c r="M979">
        <f>IF(ISBLANK('Data Entry'!$M$979), "", 'Data Entry'!$M$979)</f>
      </c>
      <c r="N979">
        <f>IF(ISBLANK('Data Entry'!$N$979), "", 'Data Entry'!$N$979)</f>
      </c>
      <c r="O979">
        <f>IF(ISBLANK('Data Entry'!$O$979), "", 'Data Entry'!$O$979)</f>
      </c>
      <c r="P979">
        <f>IF(ISBLANK('Data Entry'!$P$979), "", 'Data Entry'!$P$979)</f>
      </c>
      <c r="Q979">
        <f>IF(ISBLANK('Data Entry'!$Q$979), "", 'Data Entry'!$Q$979)</f>
      </c>
      <c r="R979">
        <f>IF(ISBLANK('Data Entry'!$R$979), "", 'Data Entry'!$R$979)</f>
      </c>
      <c r="S979">
        <f>IF(ISBLANK('Data Entry'!$S$979), "", 'Data Entry'!$S$979)</f>
      </c>
      <c r="T979">
        <f>IF(ISBLANK('Data Entry'!$T$979), "", 'Data Entry'!$T$979)</f>
      </c>
      <c r="U979">
        <f>IF(ISBLANK('Data Entry'!$U$979), "", 'Data Entry'!$U$979)</f>
      </c>
      <c r="V979">
        <f>IF(ISBLANK('Data Entry'!$V$979), "", 'Data Entry'!$V$979)</f>
      </c>
      <c r="W979">
        <f>IF(ISBLANK('Data Entry'!$W$979), "", 'Data Entry'!$W$979)</f>
      </c>
      <c r="X979">
        <f>IF(ISBLANK('Data Entry'!$X$979), "", 'Data Entry'!$X$979)</f>
      </c>
      <c r="Y979">
        <f>IF(ISBLANK('Data Entry'!$Y$979), "", 'Data Entry'!$Y$979)</f>
      </c>
      <c r="Z979">
        <f>IF(ISBLANK('Data Entry'!$Z$979), "", 'Data Entry'!$Z$979)</f>
      </c>
      <c r="AA979">
        <f>IF(ISBLANK('Data Entry'!$[$979), "", 'Data Entry'!$[$979)</f>
      </c>
      <c r="AB979">
        <f>IF(ISBLANK('Data Entry'!$\$979), "", 'Data Entry'!$\$979)</f>
      </c>
      <c r="AC979">
        <f>IF(ISBLANK('Data Entry'!$]$979), "", 'Data Entry'!$]$979)</f>
      </c>
      <c r="AD979">
        <f>IF(ISBLANK('Data Entry'!$^$979), "", 'Data Entry'!$^$979)</f>
      </c>
      <c r="AE979">
        <f>IF(ISBLANK('Data Entry'!$_$979), "", 'Data Entry'!$_$979)</f>
      </c>
      <c r="AF979">
        <f>IF(ISBLANK('Data Entry'!$`$979), "", 'Data Entry'!$`$979)</f>
      </c>
      <c r="AG979">
        <f>IF(ISBLANK('Data Entry'!$a$979), "", 'Data Entry'!$a$979)</f>
      </c>
      <c r="AH979">
        <f>IF(ISBLANK('Data Entry'!$b$979), "", 'Data Entry'!$b$979)</f>
      </c>
      <c r="AI979">
        <f>IF(ISBLANK('Data Entry'!$c$979), "", 'Data Entry'!$c$979)</f>
      </c>
      <c r="AJ979">
        <f>IF(ISBLANK('Data Entry'!$d$979), "", 'Data Entry'!$d$979)</f>
      </c>
      <c r="AK979">
        <f>IF(ISBLANK('Data Entry'!$e$979), "", 'Data Entry'!$e$979)</f>
      </c>
      <c r="AL979">
        <f>IF(ISBLANK('Data Entry'!$f$979), "", 'Data Entry'!$f$979)</f>
      </c>
      <c r="AM979">
        <f>IF(ISBLANK('Data Entry'!$g$979), "", 'Data Entry'!$g$979)</f>
      </c>
      <c r="AN979">
        <f>IF(ISBLANK('Data Entry'!$h$979), "", 'Data Entry'!$h$979)</f>
      </c>
      <c r="AO979">
        <f>IF(ISBLANK('Data Entry'!$i$979), "", 'Data Entry'!$i$979)</f>
      </c>
      <c r="AP979">
        <f>IF(ISBLANK('Data Entry'!$j$979), "", 'Data Entry'!$j$979)</f>
      </c>
      <c r="AQ979">
        <f>IF(ISBLANK('Data Entry'!$k$979), "", 'Data Entry'!$k$979)</f>
      </c>
      <c r="AR979">
        <f>IF(ISBLANK('Data Entry'!$l$979), "", 'Data Entry'!$l$979)</f>
      </c>
      <c r="AS979">
        <f>IF(ISBLANK('Data Entry'!$m$979), "", 'Data Entry'!$m$979)</f>
      </c>
      <c r="AT979">
        <f>IF(ISBLANK('Data Entry'!$n$979), "", 'Data Entry'!$n$979)</f>
      </c>
      <c r="AU979">
        <f>IF(ISBLANK('Data Entry'!$o$979), "", 'Data Entry'!$o$979)</f>
      </c>
      <c r="AV979">
        <f>IF(ISBLANK('Data Entry'!$p$979), "", 'Data Entry'!$p$979)</f>
      </c>
      <c r="AW979">
        <f>IF(ISBLANK('Data Entry'!$q$979), "", 'Data Entry'!$q$979)</f>
      </c>
      <c r="AX979">
        <f>IF(ISBLANK('Data Entry'!$r$979), "", 'Data Entry'!$r$979)</f>
      </c>
      <c r="AY979">
        <f>IF(ISBLANK('Data Entry'!$s$979), "", 'Data Entry'!$s$979)</f>
      </c>
      <c r="AZ979">
        <f>IF(ISBLANK('Data Entry'!$t$979), "", 'Data Entry'!$t$979)</f>
      </c>
      <c r="BA979">
        <f>IF(ISBLANK('Data Entry'!$u$979), "", 'Data Entry'!$u$979)</f>
      </c>
      <c r="BB979">
        <f>IF(ISBLANK('Data Entry'!$v$979), "", 'Data Entry'!$v$979)</f>
      </c>
      <c r="BC979">
        <f>IF(ISBLANK('Data Entry'!$w$979), "", 'Data Entry'!$w$979)</f>
      </c>
      <c r="BD979">
        <f>IF(ISBLANK('Data Entry'!$x$979), "", 'Data Entry'!$x$979)</f>
      </c>
      <c r="BE979">
        <f>IF(ISBLANK('Data Entry'!$y$979), "", 'Data Entry'!$y$979)</f>
      </c>
      <c r="BF979">
        <f>IF(ISBLANK('Data Entry'!$z$979), "", 'Data Entry'!$z$979)</f>
      </c>
      <c r="BG979">
        <f>IF(ISBLANK('Data Entry'!${$979), "", 'Data Entry'!${$979)</f>
      </c>
      <c r="BH979">
        <f>IF(ISBLANK('Data Entry'!$|$979), "", 'Data Entry'!$|$979)</f>
      </c>
      <c r="BI979">
        <f>IF(ISBLANK('Data Entry'!$}$979), "", 'Data Entry'!$}$979)</f>
      </c>
      <c r="BJ979">
        <f>IF(ISBLANK('Data Entry'!$~$979), "", 'Data Entry'!$~$979)</f>
      </c>
      <c r="BK979">
        <f>IF(ISBLANK('Data Entry'!$$979), "", 'Data Entry'!$$979)</f>
      </c>
      <c r="BL979">
        <f>IF(ISBLANK('Data Entry'!$$979), "", 'Data Entry'!$$979)</f>
      </c>
      <c r="BM979">
        <f>IF(ISBLANK('Data Entry'!$$979), "", 'Data Entry'!$$979)</f>
      </c>
      <c r="BN979">
        <f>IF(ISBLANK('Data Entry'!$$979), "", 'Data Entry'!$$979)</f>
      </c>
      <c r="BO979">
        <f>IF(ISBLANK('Data Entry'!$$979), "", 'Data Entry'!$$979)</f>
      </c>
      <c r="BP979">
        <f>IF(ISBLANK('Data Entry'!$$979), "", 'Data Entry'!$$979)</f>
      </c>
      <c r="BQ979">
        <f>IF(ISBLANK('Data Entry'!$$979), "", 'Data Entry'!$$979)</f>
      </c>
      <c r="BR979">
        <f>IF(ISBLANK('Data Entry'!$$979), "", 'Data Entry'!$$979)</f>
      </c>
      <c r="BS979">
        <f>IF(ISBLANK('Data Entry'!$$979), "", 'Data Entry'!$$979)</f>
      </c>
      <c r="BT979">
        <f>IF(ISBLANK('Data Entry'!$$979), "", 'Data Entry'!$$979)</f>
      </c>
      <c r="BU979">
        <f>IF(ISBLANK('Data Entry'!$$979), "", 'Data Entry'!$$979)</f>
      </c>
      <c r="BV979">
        <f>IF(ISBLANK('Data Entry'!$$979), "", 'Data Entry'!$$979)</f>
      </c>
      <c r="BW979">
        <f>IF(ISBLANK('Data Entry'!$$979), "", 'Data Entry'!$$979)</f>
      </c>
      <c r="BX979">
        <f>IF(ISBLANK('Data Entry'!$$979), "", 'Data Entry'!$$979)</f>
      </c>
      <c r="BY979">
        <f>IF(ISBLANK('Data Entry'!$$979), "", 'Data Entry'!$$979)</f>
      </c>
      <c r="BZ979">
        <f>IF(ISBLANK('Data Entry'!$$979), "", 'Data Entry'!$$979)</f>
      </c>
      <c r="CA979">
        <f>IF(ISBLANK('Data Entry'!$$979), "", 'Data Entry'!$$979)</f>
      </c>
      <c r="CB979">
        <f>IF(ISBLANK('Data Entry'!$$979), "", 'Data Entry'!$$979)</f>
      </c>
      <c r="CC979">
        <f>IF(ISBLANK('Data Entry'!$$979), "", 'Data Entry'!$$979)</f>
      </c>
      <c r="CD979">
        <f>IF(ISBLANK('Data Entry'!$$979), "", 'Data Entry'!$$979)</f>
      </c>
      <c r="CE979">
        <f>IF(ISBLANK('Data Entry'!$$979), "", 'Data Entry'!$$979)</f>
      </c>
      <c r="CF979">
        <f>IF(ISBLANK('Data Entry'!$$979), "", 'Data Entry'!$$979)</f>
      </c>
      <c r="CG979">
        <f>IF(ISBLANK('Data Entry'!$$979), "", 'Data Entry'!$$979)</f>
      </c>
      <c r="CH979">
        <f>IF(ISBLANK('Data Entry'!$$979), "", 'Data Entry'!$$979)</f>
      </c>
      <c r="CI979">
        <f>IF(ISBLANK('Data Entry'!$$979), "", 'Data Entry'!$$979)</f>
      </c>
      <c r="CJ979">
        <f>IF(ISBLANK('Data Entry'!$$979), "", 'Data Entry'!$$979)</f>
      </c>
      <c r="CK979">
        <f>IF(ISBLANK('Data Entry'!$$979), "", 'Data Entry'!$$979)</f>
      </c>
      <c r="CL979">
        <f>IF(ISBLANK('Data Entry'!$$979), "", 'Data Entry'!$$979)</f>
      </c>
      <c r="CM979">
        <f>IF(ISBLANK('Data Entry'!$$979), "", 'Data Entry'!$$979)</f>
      </c>
      <c r="CN979">
        <f>IF(ISBLANK('Data Entry'!$$979), "", 'Data Entry'!$$979)</f>
      </c>
      <c r="CO979">
        <f>IF(ISBLANK('Data Entry'!$$979), "", 'Data Entry'!$$979)</f>
      </c>
      <c r="CP979">
        <f>IF(ISBLANK('Data Entry'!$$979), "", 'Data Entry'!$$979)</f>
      </c>
      <c r="CQ979">
        <f>IF(ISBLANK('Data Entry'!$$979), "", 'Data Entry'!$$979)</f>
      </c>
      <c r="CR979">
        <f>IF(ISBLANK('Data Entry'!$ $979), "", 'Data Entry'!$ $979)</f>
      </c>
      <c r="CS979">
        <f>IF(ISBLANK('Data Entry'!$¡$979), "", 'Data Entry'!$¡$979)</f>
      </c>
      <c r="CT979">
        <f>IF(ISBLANK('Data Entry'!$¢$979), "", 'Data Entry'!$¢$979)</f>
      </c>
      <c r="CU979">
        <f>IF(ISBLANK('Data Entry'!$£$979), "", 'Data Entry'!$£$979)</f>
      </c>
      <c r="CV979">
        <f>IF(ISBLANK('Data Entry'!$¤$979), "", 'Data Entry'!$¤$979)</f>
      </c>
      <c r="CW979">
        <f>IF(ISBLANK('Data Entry'!$¥$979), "", 'Data Entry'!$¥$979)</f>
      </c>
      <c r="CX979">
        <f>IF(ISBLANK('Data Entry'!$¦$979), "", 'Data Entry'!$¦$979)</f>
      </c>
      <c r="CY979">
        <f>IF(ISBLANK('Data Entry'!$§$979), "", 'Data Entry'!$§$979)</f>
      </c>
      <c r="CZ979">
        <f>IF(ISBLANK('Data Entry'!$¨$979), "", 'Data Entry'!$¨$979)</f>
      </c>
      <c r="DA979">
        <f>IF(ISBLANK('Data Entry'!$©$979), "", 'Data Entry'!$©$979)</f>
      </c>
      <c r="DB979">
        <f>IF(ISBLANK('Data Entry'!$ª$979), "", 'Data Entry'!$ª$979)</f>
      </c>
      <c r="DC979">
        <f>IF(ISBLANK('Data Entry'!$«$979), "", 'Data Entry'!$«$979)</f>
      </c>
      <c r="DD979">
        <f>IF(ISBLANK('Data Entry'!$¬$979), "", 'Data Entry'!$¬$979)</f>
      </c>
      <c r="DE979">
        <f>IF(ISBLANK('Data Entry'!$­$979), "", 'Data Entry'!$­$979)</f>
      </c>
      <c r="DF979">
        <f>IF(ISBLANK('Data Entry'!$®$979), "", 'Data Entry'!$®$979)</f>
      </c>
      <c r="DG979">
        <f>IF(ISBLANK('Data Entry'!$¯$979), "", 'Data Entry'!$¯$979)</f>
      </c>
      <c r="DH979">
        <f>IF(ISBLANK('Data Entry'!$°$979), "", 'Data Entry'!$°$979)</f>
      </c>
      <c r="DI979">
        <f>IF(ISBLANK('Data Entry'!$±$979), "", 'Data Entry'!$±$979)</f>
      </c>
      <c r="DJ979">
        <f>IF(ISBLANK('Data Entry'!$²$979), "", 'Data Entry'!$²$979)</f>
      </c>
      <c r="DK979">
        <f>IF(ISBLANK('Data Entry'!$³$979), "", 'Data Entry'!$³$979)</f>
      </c>
      <c r="DL979">
        <f>IF(ISBLANK('Data Entry'!$´$979), "", 'Data Entry'!$´$979)</f>
      </c>
      <c r="DM979">
        <f>IF(ISBLANK('Data Entry'!$µ$979), "", 'Data Entry'!$µ$979)</f>
      </c>
      <c r="DN979">
        <f>IF(ISBLANK('Data Entry'!$¶$979), "", 'Data Entry'!$¶$979)</f>
      </c>
      <c r="DO979">
        <f>IF(ISBLANK('Data Entry'!$·$979), "", 'Data Entry'!$·$979)</f>
      </c>
      <c r="DP979">
        <f>IF(ISBLANK('Data Entry'!$¸$979), "", 'Data Entry'!$¸$979)</f>
      </c>
      <c r="DQ979">
        <f>IF(ISBLANK('Data Entry'!$¹$979), "", 'Data Entry'!$¹$979)</f>
      </c>
      <c r="DR979">
        <f>IF(ISBLANK('Data Entry'!$º$979), "", 'Data Entry'!$º$979)</f>
      </c>
      <c r="DS979">
        <f>IF(ISBLANK('Data Entry'!$»$979), "", 'Data Entry'!$»$979)</f>
      </c>
      <c r="DT979">
        <f>IF(ISBLANK('Data Entry'!$¼$979), "", 'Data Entry'!$¼$979)</f>
      </c>
      <c r="DU979">
        <f>IF(ISBLANK('Data Entry'!$½$979), "", 'Data Entry'!$½$979)</f>
      </c>
      <c r="DV979">
        <f>IF(ISBLANK('Data Entry'!$¾$979), "", 'Data Entry'!$¾$979)</f>
      </c>
      <c r="DW979">
        <f>IF(ISBLANK('Data Entry'!$¿$979), "", 'Data Entry'!$¿$979)</f>
      </c>
      <c r="DX979">
        <f>IF(ISBLANK('Data Entry'!$À$979), "", 'Data Entry'!$À$979)</f>
      </c>
      <c r="DY979">
        <f>IF(ISBLANK('Data Entry'!$Á$979), "", 'Data Entry'!$Á$979)</f>
      </c>
      <c r="DZ979">
        <f>IF(ISBLANK('Data Entry'!$Â$979), "", 'Data Entry'!$Â$979)</f>
      </c>
      <c r="EA979">
        <f>IF(ISBLANK('Data Entry'!$Ã$979), "", 'Data Entry'!$Ã$979)</f>
      </c>
      <c r="EB979">
        <f>IF(ISBLANK('Data Entry'!$Ä$979), "", 'Data Entry'!$Ä$979)</f>
      </c>
      <c r="EC979">
        <f>IF(ISBLANK('Data Entry'!$Å$979), "", 'Data Entry'!$Å$979)</f>
      </c>
      <c r="ED979">
        <f>IF(ISBLANK('Data Entry'!$Æ$979), "", 'Data Entry'!$Æ$979)</f>
      </c>
      <c r="EE979">
        <f>IF(ISBLANK('Data Entry'!$Ç$979), "", 'Data Entry'!$Ç$979)</f>
      </c>
      <c r="EF979">
        <f>IF(ISBLANK('Data Entry'!$È$979), "", 'Data Entry'!$È$979)</f>
      </c>
      <c r="EG979">
        <f>IF(ISBLANK('Data Entry'!$É$979), "", 'Data Entry'!$É$979)</f>
      </c>
      <c r="EH979">
        <f>IF(ISBLANK('Data Entry'!$Ê$979), "", 'Data Entry'!$Ê$979)</f>
      </c>
      <c r="EI979">
        <f>IF(ISBLANK('Data Entry'!$Ë$979), "", 'Data Entry'!$Ë$979)</f>
      </c>
      <c r="EJ979">
        <f>IF(ISBLANK('Data Entry'!$Ì$979), "", 'Data Entry'!$Ì$979)</f>
      </c>
      <c r="EK979">
        <f>IF(ISBLANK('Data Entry'!$Í$979), "", 'Data Entry'!$Í$979)</f>
      </c>
      <c r="EL979">
        <f>IF(ISBLANK('Data Entry'!$Î$979), "", 'Data Entry'!$Î$979)</f>
      </c>
      <c r="EM979">
        <f>IF(ISBLANK('Data Entry'!$Ï$979), "", 'Data Entry'!$Ï$979)</f>
      </c>
      <c r="EN979">
        <f>IF(ISBLANK('Data Entry'!$Ð$979), "", 'Data Entry'!$Ð$979)</f>
      </c>
      <c r="EO979">
        <f>IF(ISBLANK('Data Entry'!$Ñ$979), "", 'Data Entry'!$Ñ$979)</f>
      </c>
      <c r="EP979">
        <f>IF(ISBLANK('Data Entry'!$Ò$979), "", 'Data Entry'!$Ò$979)</f>
      </c>
      <c r="EQ979">
        <f>IF(ISBLANK('Data Entry'!$Ó$979), "", 'Data Entry'!$Ó$979)</f>
      </c>
      <c r="ER979">
        <f>IF(ISBLANK('Data Entry'!$Ô$979), "", 'Data Entry'!$Ô$979)</f>
      </c>
      <c r="ES979">
        <f>IF(ISBLANK('Data Entry'!$Õ$979), "", 'Data Entry'!$Õ$979)</f>
      </c>
      <c r="ET979">
        <f>IF(ISBLANK('Data Entry'!$Ö$979), "", 'Data Entry'!$Ö$979)</f>
      </c>
      <c r="EU979">
        <f>IF(ISBLANK('Data Entry'!$×$979), "", 'Data Entry'!$×$979)</f>
      </c>
      <c r="EV979">
        <f>IF(ISBLANK('Data Entry'!$Ø$979), "", 'Data Entry'!$Ø$979)</f>
      </c>
      <c r="EW979">
        <f>IF(ISBLANK('Data Entry'!$Ù$979), "", 'Data Entry'!$Ù$979)</f>
      </c>
      <c r="EX979">
        <f>IF(ISBLANK('Data Entry'!$Ú$979), "", 'Data Entry'!$Ú$979)</f>
      </c>
      <c r="EY979">
        <f>IF(ISBLANK('Data Entry'!$Û$979), "", 'Data Entry'!$Û$979)</f>
      </c>
      <c r="EZ979">
        <f>IF(ISBLANK('Data Entry'!$Ü$979), "", 'Data Entry'!$Ü$979)</f>
      </c>
      <c r="FA979">
        <f>IF(ISBLANK('Data Entry'!$Ý$979), "", 'Data Entry'!$Ý$979)</f>
      </c>
      <c r="FB979">
        <f>IF(ISBLANK('Data Entry'!$Þ$979), "", 'Data Entry'!$Þ$979)</f>
      </c>
      <c r="FC979">
        <f>IF(ISBLANK('Data Entry'!$ß$979), "", 'Data Entry'!$ß$979)</f>
      </c>
      <c r="FD979">
        <f>IF(ISBLANK('Data Entry'!$à$979), "", 'Data Entry'!$à$979)</f>
      </c>
      <c r="FE979">
        <f>IF(ISBLANK('Data Entry'!$á$979), "", 'Data Entry'!$á$979)</f>
      </c>
      <c r="FF979">
        <f>IF(ISBLANK('Data Entry'!$â$979), "", 'Data Entry'!$â$979)</f>
      </c>
      <c r="FG979">
        <f>IF(ISBLANK('Data Entry'!$ã$979), "", 'Data Entry'!$ã$979)</f>
      </c>
      <c r="FH979">
        <f>IF(ISBLANK('Data Entry'!$ä$979), "", 'Data Entry'!$ä$979)</f>
      </c>
      <c r="FI979">
        <f>IF(ISBLANK('Data Entry'!$å$979), "", 'Data Entry'!$å$979)</f>
      </c>
      <c r="FJ979">
        <f>IF(ISBLANK('Data Entry'!$æ$979), "", 'Data Entry'!$æ$979)</f>
      </c>
      <c r="FK979">
        <f>IF(ISBLANK('Data Entry'!$ç$979), "", 'Data Entry'!$ç$979)</f>
      </c>
      <c r="FL979">
        <f>IF(ISBLANK('Data Entry'!$è$979), "", 'Data Entry'!$è$979)</f>
      </c>
      <c r="FM979">
        <f>IF(ISBLANK('Data Entry'!$é$979), "", 'Data Entry'!$é$979)</f>
      </c>
      <c r="FN979">
        <f>IF(ISBLANK('Data Entry'!$ê$979), "", 'Data Entry'!$ê$979)</f>
      </c>
      <c r="FO979">
        <f>IF(ISBLANK('Data Entry'!$ë$979), "", 'Data Entry'!$ë$979)</f>
      </c>
      <c r="FP979">
        <f>IF(ISBLANK('Data Entry'!$ì$979), "", 'Data Entry'!$ì$979)</f>
      </c>
      <c r="FQ979">
        <f>IF(ISBLANK('Data Entry'!$í$979), "", 'Data Entry'!$í$979)</f>
      </c>
      <c r="FR979">
        <f>IF(ISBLANK('Data Entry'!$î$979), "", 'Data Entry'!$î$979)</f>
      </c>
      <c r="FS979">
        <f>IF(ISBLANK('Data Entry'!$ï$979), "", 'Data Entry'!$ï$979)</f>
      </c>
      <c r="FT979">
        <f>IF(ISBLANK('Data Entry'!$ð$979), "", 'Data Entry'!$ð$979)</f>
      </c>
      <c r="FU979">
        <f>IF(ISBLANK('Data Entry'!$ñ$979), "", 'Data Entry'!$ñ$979)</f>
      </c>
      <c r="FV979">
        <f>IF(ISBLANK('Data Entry'!$ò$979), "", 'Data Entry'!$ò$979)</f>
      </c>
      <c r="FW979">
        <f>IF(ISBLANK('Data Entry'!$ó$979), "", 'Data Entry'!$ó$979)</f>
      </c>
      <c r="FX979">
        <f>IF(ISBLANK('Data Entry'!$ô$979), "", 'Data Entry'!$ô$979)</f>
      </c>
      <c r="FY979">
        <f>IF(ISBLANK('Data Entry'!$õ$979), "", 'Data Entry'!$õ$979)</f>
      </c>
      <c r="FZ979">
        <f>IF(ISBLANK('Data Entry'!$ö$979), "", 'Data Entry'!$ö$979)</f>
      </c>
      <c r="GA979">
        <f>IF(ISBLANK('Data Entry'!$÷$979), "", 'Data Entry'!$÷$979)</f>
      </c>
      <c r="GB979">
        <f>IF(ISBLANK('Data Entry'!$ø$979), "", 'Data Entry'!$ø$979)</f>
      </c>
      <c r="GC979">
        <f>IF(ISBLANK('Data Entry'!$ù$979), "", 'Data Entry'!$ù$979)</f>
      </c>
      <c r="GD979">
        <f>IF(ISBLANK('Data Entry'!$ú$979), "", 'Data Entry'!$ú$979)</f>
      </c>
      <c r="GE979">
        <f>IF(ISBLANK('Data Entry'!$û$979), "", 'Data Entry'!$û$979)</f>
      </c>
      <c r="GF979">
        <f>IF(ISBLANK('Data Entry'!$ü$979), "", 'Data Entry'!$ü$979)</f>
      </c>
      <c r="GG979">
        <f>IF(ISBLANK('Data Entry'!$ý$979), "", 'Data Entry'!$ý$979)</f>
      </c>
      <c r="GH979">
        <f>IF(ISBLANK('Data Entry'!$þ$979), "", 'Data Entry'!$þ$979)</f>
      </c>
      <c r="GI979">
        <f>IF(ISBLANK('Data Entry'!$ÿ$979), "", 'Data Entry'!$ÿ$979)</f>
      </c>
      <c r="GJ979">
        <f>IF(ISBLANK('Data Entry'!$Ā$979), "", 'Data Entry'!$Ā$979)</f>
      </c>
      <c r="GK979">
        <f>IF(ISBLANK('Data Entry'!$ā$979), "", 'Data Entry'!$ā$979)</f>
      </c>
      <c r="GL979">
        <f>IF(ISBLANK('Data Entry'!$Ă$979), "", 'Data Entry'!$Ă$979)</f>
      </c>
      <c r="GM979">
        <f>IF(ISBLANK('Data Entry'!$ă$979), "", 'Data Entry'!$ă$979)</f>
      </c>
      <c r="GN979">
        <f>IF(ISBLANK('Data Entry'!$Ą$979), "", 'Data Entry'!$Ą$979)</f>
      </c>
      <c r="GO979">
        <f>IF(ISBLANK('Data Entry'!$ą$979), "", 'Data Entry'!$ą$979)</f>
      </c>
      <c r="GP979">
        <f>IF(ISBLANK('Data Entry'!$Ć$979), "", 'Data Entry'!$Ć$979)</f>
      </c>
      <c r="GQ979">
        <f>IF(ISBLANK('Data Entry'!$ć$979), "", 'Data Entry'!$ć$979)</f>
      </c>
      <c r="GR979">
        <f>IF(ISBLANK('Data Entry'!$Ĉ$979), "", 'Data Entry'!$Ĉ$979)</f>
      </c>
      <c r="GS979">
        <f>IF(ISBLANK('Data Entry'!$ĉ$979), "", 'Data Entry'!$ĉ$979)</f>
      </c>
      <c r="GT979">
        <f>IF(ISBLANK('Data Entry'!$Ċ$979), "", 'Data Entry'!$Ċ$979)</f>
      </c>
      <c r="GU979">
        <f>IF(ISBLANK('Data Entry'!$ċ$979), "", 'Data Entry'!$ċ$979)</f>
      </c>
      <c r="GV979">
        <f>IF(ISBLANK('Data Entry'!$Č$979), "", 'Data Entry'!$Č$979)</f>
      </c>
      <c r="GW979">
        <f>IF(ISBLANK('Data Entry'!$č$979), "", 'Data Entry'!$č$979)</f>
      </c>
      <c r="GX979">
        <f>IF(ISBLANK('Data Entry'!$Ď$979), "", 'Data Entry'!$Ď$979)</f>
      </c>
      <c r="GY979">
        <f>IF(ISBLANK('Data Entry'!$ď$979), "", 'Data Entry'!$ď$979)</f>
      </c>
      <c r="GZ979">
        <f>IF(ISBLANK('Data Entry'!$Đ$979), "", 'Data Entry'!$Đ$979)</f>
      </c>
      <c r="HA979">
        <f>IF(ISBLANK('Data Entry'!$đ$979), "", 'Data Entry'!$đ$979)</f>
      </c>
      <c r="HB979">
        <f>IF(ISBLANK('Data Entry'!$Ē$979), "", 'Data Entry'!$Ē$979)</f>
      </c>
      <c r="HC979">
        <f>IF(ISBLANK('Data Entry'!$ē$979), "", 'Data Entry'!$ē$979)</f>
      </c>
      <c r="HD979">
        <f>IF(ISBLANK('Data Entry'!$Ĕ$979), "", 'Data Entry'!$Ĕ$979)</f>
      </c>
      <c r="HE979">
        <f>IF(ISBLANK('Data Entry'!$ĕ$979), "", 'Data Entry'!$ĕ$979)</f>
      </c>
      <c r="HF979">
        <f>IF(ISBLANK('Data Entry'!$Ė$979), "", 'Data Entry'!$Ė$979)</f>
      </c>
      <c r="HG979">
        <f>IF(ISBLANK('Data Entry'!$ė$979), "", 'Data Entry'!$ė$979)</f>
      </c>
      <c r="HH979">
        <f>IF(ISBLANK('Data Entry'!$Ę$979), "", 'Data Entry'!$Ę$979)</f>
      </c>
      <c r="HI979">
        <f>IF(ISBLANK('Data Entry'!$ę$979), "", 'Data Entry'!$ę$979)</f>
      </c>
      <c r="HJ979">
        <f>IF(ISBLANK('Data Entry'!$Ě$979), "", 'Data Entry'!$Ě$979)</f>
      </c>
      <c r="HK979">
        <f>IF(ISBLANK('Data Entry'!$ě$979), "", 'Data Entry'!$ě$979)</f>
      </c>
      <c r="HL979">
        <f>IF(ISBLANK('Data Entry'!$Ĝ$979), "", 'Data Entry'!$Ĝ$979)</f>
      </c>
      <c r="HM979">
        <f>IF(ISBLANK('Data Entry'!$ĝ$979), "", 'Data Entry'!$ĝ$979)</f>
      </c>
      <c r="HN979">
        <f>IF(ISBLANK('Data Entry'!$Ğ$979), "", 'Data Entry'!$Ğ$979)</f>
      </c>
      <c r="HO979">
        <f>IF(ISBLANK('Data Entry'!$ğ$979), "", 'Data Entry'!$ğ$979)</f>
      </c>
      <c r="HP979">
        <f>IF(ISBLANK('Data Entry'!$Ġ$979), "", 'Data Entry'!$Ġ$979)</f>
      </c>
      <c r="HQ979">
        <f>IF(ISBLANK('Data Entry'!$ġ$979), "", 'Data Entry'!$ġ$979)</f>
      </c>
      <c r="HR979">
        <f>IF(ISBLANK('Data Entry'!$Ģ$979), "", 'Data Entry'!$Ģ$979)</f>
      </c>
      <c r="HS979">
        <f>IF(ISBLANK('Data Entry'!$ģ$979), "", 'Data Entry'!$ģ$979)</f>
      </c>
      <c r="HT979">
        <f>IF(ISBLANK('Data Entry'!$Ĥ$979), "", 'Data Entry'!$Ĥ$979)</f>
      </c>
      <c r="HU979">
        <f>IF(ISBLANK('Data Entry'!$ĥ$979), "", 'Data Entry'!$ĥ$979)</f>
      </c>
      <c r="HV979">
        <f>IF(ISBLANK('Data Entry'!$Ħ$979), "", 'Data Entry'!$Ħ$979)</f>
      </c>
      <c r="HW979">
        <f>IF(ISBLANK('Data Entry'!$ħ$979), "", 'Data Entry'!$ħ$979)</f>
      </c>
      <c r="HX979">
        <f>IF(ISBLANK('Data Entry'!$Ĩ$979), "", 'Data Entry'!$Ĩ$979)</f>
      </c>
      <c r="HY979">
        <f>IF(ISBLANK('Data Entry'!$ĩ$979), "", 'Data Entry'!$ĩ$979)</f>
      </c>
      <c r="HZ979">
        <f>IF(ISBLANK('Data Entry'!$Ī$979), "", 'Data Entry'!$Ī$979)</f>
      </c>
      <c r="IA979">
        <f>IF(ISBLANK('Data Entry'!$ī$979), "", 'Data Entry'!$ī$979)</f>
      </c>
      <c r="IB979">
        <f>IF(ISBLANK('Data Entry'!$Ĭ$979), "", 'Data Entry'!$Ĭ$979)</f>
      </c>
      <c r="IC979">
        <f>IF(ISBLANK('Data Entry'!$ĭ$979), "", 'Data Entry'!$ĭ$979)</f>
      </c>
      <c r="ID979">
        <f>IF(ISBLANK('Data Entry'!$Į$979), "", 'Data Entry'!$Į$979)</f>
      </c>
      <c r="IE979">
        <f>IF(ISBLANK('Data Entry'!$į$979), "", 'Data Entry'!$į$979)</f>
      </c>
      <c r="IF979">
        <f>IF(ISBLANK('Data Entry'!$İ$979), "", 'Data Entry'!$İ$979)</f>
      </c>
      <c r="IG979">
        <f>IF(ISBLANK('Data Entry'!$ı$979), "", 'Data Entry'!$ı$979)</f>
      </c>
      <c r="IH979">
        <f>IF(ISBLANK('Data Entry'!$Ĳ$979), "", 'Data Entry'!$Ĳ$979)</f>
      </c>
      <c r="II979">
        <f>IF(ISBLANK('Data Entry'!$ĳ$979), "", 'Data Entry'!$ĳ$979)</f>
      </c>
      <c r="IJ979">
        <f>IF(ISBLANK('Data Entry'!$Ĵ$979), "", 'Data Entry'!$Ĵ$979)</f>
      </c>
      <c r="IK979">
        <f>IF(ISBLANK('Data Entry'!$ĵ$979), "", 'Data Entry'!$ĵ$979)</f>
      </c>
      <c r="IL979">
        <f>IF(ISBLANK('Data Entry'!$Ķ$979), "", 'Data Entry'!$Ķ$979)</f>
      </c>
      <c r="IM979">
        <f>IF(ISBLANK('Data Entry'!$ķ$979), "", 'Data Entry'!$ķ$979)</f>
      </c>
      <c r="IN979">
        <f>IF(ISBLANK('Data Entry'!$ĸ$979), "", 'Data Entry'!$ĸ$979)</f>
      </c>
      <c r="IO979">
        <f>IF(ISBLANK('Data Entry'!$Ĺ$979), "", 'Data Entry'!$Ĺ$979)</f>
      </c>
      <c r="IP979">
        <f>IF(ISBLANK('Data Entry'!$ĺ$979), "", 'Data Entry'!$ĺ$979)</f>
      </c>
      <c r="IQ979">
        <f>IF(ISBLANK('Data Entry'!$Ļ$979), "", 'Data Entry'!$Ļ$979)</f>
      </c>
      <c r="IR979">
        <f>IF(ISBLANK('Data Entry'!$ļ$979), "", 'Data Entry'!$ļ$979)</f>
      </c>
      <c r="IS979">
        <f>IF(ISBLANK('Data Entry'!$Ľ$979), "", 'Data Entry'!$Ľ$979)</f>
      </c>
      <c r="IT979">
        <f>IF(ISBLANK('Data Entry'!$ľ$979), "", 'Data Entry'!$ľ$979)</f>
      </c>
    </row>
    <row r="980" spans="1:254" x14ac:dyDescent="0.25">
      <c r="A980">
        <f>IF(ISBLANK('Data Entry'!$A$980), "", 'Data Entry'!$A$980)</f>
      </c>
      <c r="B980">
        <f>IF(ISBLANK('Data Entry'!$B$980), "", 'Data Entry'!$B$980)</f>
      </c>
      <c r="C980">
        <f>IF(ISBLANK('Data Entry'!$C$980), "", 'Data Entry'!$C$980)</f>
      </c>
      <c r="D980">
        <f>IF(ISBLANK('Data Entry'!$D$980), "", 'Data Entry'!$D$980)</f>
      </c>
      <c r="E980">
        <f>IF(ISBLANK('Data Entry'!$E$980), "", 'Data Entry'!$E$980)</f>
      </c>
      <c r="F980">
        <f>IF(ISBLANK('Data Entry'!$F$980), "", 'Data Entry'!$F$980)</f>
      </c>
      <c r="G980">
        <f>IF(ISBLANK('Data Entry'!$G$980), "", 'Data Entry'!$G$980)</f>
      </c>
      <c r="H980">
        <f>IF(ISBLANK('Data Entry'!$H$980), "", 'Data Entry'!$H$980)</f>
      </c>
      <c r="I980">
        <f>IF(ISBLANK('Data Entry'!$I$980), "", 'Data Entry'!$I$980)</f>
      </c>
      <c r="J980">
        <f>IF(ISBLANK('Data Entry'!$J$980), "", 'Data Entry'!$J$980)</f>
      </c>
      <c r="K980">
        <f>IF(ISBLANK('Data Entry'!$K$980), "", 'Data Entry'!$K$980)</f>
      </c>
      <c r="L980">
        <f>IF(ISBLANK('Data Entry'!$L$980), "", 'Data Entry'!$L$980)</f>
      </c>
      <c r="M980">
        <f>IF(ISBLANK('Data Entry'!$M$980), "", 'Data Entry'!$M$980)</f>
      </c>
      <c r="N980">
        <f>IF(ISBLANK('Data Entry'!$N$980), "", 'Data Entry'!$N$980)</f>
      </c>
      <c r="O980">
        <f>IF(ISBLANK('Data Entry'!$O$980), "", 'Data Entry'!$O$980)</f>
      </c>
      <c r="P980">
        <f>IF(ISBLANK('Data Entry'!$P$980), "", 'Data Entry'!$P$980)</f>
      </c>
      <c r="Q980">
        <f>IF(ISBLANK('Data Entry'!$Q$980), "", 'Data Entry'!$Q$980)</f>
      </c>
      <c r="R980">
        <f>IF(ISBLANK('Data Entry'!$R$980), "", 'Data Entry'!$R$980)</f>
      </c>
      <c r="S980">
        <f>IF(ISBLANK('Data Entry'!$S$980), "", 'Data Entry'!$S$980)</f>
      </c>
      <c r="T980">
        <f>IF(ISBLANK('Data Entry'!$T$980), "", 'Data Entry'!$T$980)</f>
      </c>
      <c r="U980">
        <f>IF(ISBLANK('Data Entry'!$U$980), "", 'Data Entry'!$U$980)</f>
      </c>
      <c r="V980">
        <f>IF(ISBLANK('Data Entry'!$V$980), "", 'Data Entry'!$V$980)</f>
      </c>
      <c r="W980">
        <f>IF(ISBLANK('Data Entry'!$W$980), "", 'Data Entry'!$W$980)</f>
      </c>
      <c r="X980">
        <f>IF(ISBLANK('Data Entry'!$X$980), "", 'Data Entry'!$X$980)</f>
      </c>
      <c r="Y980">
        <f>IF(ISBLANK('Data Entry'!$Y$980), "", 'Data Entry'!$Y$980)</f>
      </c>
      <c r="Z980">
        <f>IF(ISBLANK('Data Entry'!$Z$980), "", 'Data Entry'!$Z$980)</f>
      </c>
      <c r="AA980">
        <f>IF(ISBLANK('Data Entry'!$[$980), "", 'Data Entry'!$[$980)</f>
      </c>
      <c r="AB980">
        <f>IF(ISBLANK('Data Entry'!$\$980), "", 'Data Entry'!$\$980)</f>
      </c>
      <c r="AC980">
        <f>IF(ISBLANK('Data Entry'!$]$980), "", 'Data Entry'!$]$980)</f>
      </c>
      <c r="AD980">
        <f>IF(ISBLANK('Data Entry'!$^$980), "", 'Data Entry'!$^$980)</f>
      </c>
      <c r="AE980">
        <f>IF(ISBLANK('Data Entry'!$_$980), "", 'Data Entry'!$_$980)</f>
      </c>
      <c r="AF980">
        <f>IF(ISBLANK('Data Entry'!$`$980), "", 'Data Entry'!$`$980)</f>
      </c>
      <c r="AG980">
        <f>IF(ISBLANK('Data Entry'!$a$980), "", 'Data Entry'!$a$980)</f>
      </c>
      <c r="AH980">
        <f>IF(ISBLANK('Data Entry'!$b$980), "", 'Data Entry'!$b$980)</f>
      </c>
      <c r="AI980">
        <f>IF(ISBLANK('Data Entry'!$c$980), "", 'Data Entry'!$c$980)</f>
      </c>
      <c r="AJ980">
        <f>IF(ISBLANK('Data Entry'!$d$980), "", 'Data Entry'!$d$980)</f>
      </c>
      <c r="AK980">
        <f>IF(ISBLANK('Data Entry'!$e$980), "", 'Data Entry'!$e$980)</f>
      </c>
      <c r="AL980">
        <f>IF(ISBLANK('Data Entry'!$f$980), "", 'Data Entry'!$f$980)</f>
      </c>
      <c r="AM980">
        <f>IF(ISBLANK('Data Entry'!$g$980), "", 'Data Entry'!$g$980)</f>
      </c>
      <c r="AN980">
        <f>IF(ISBLANK('Data Entry'!$h$980), "", 'Data Entry'!$h$980)</f>
      </c>
      <c r="AO980">
        <f>IF(ISBLANK('Data Entry'!$i$980), "", 'Data Entry'!$i$980)</f>
      </c>
      <c r="AP980">
        <f>IF(ISBLANK('Data Entry'!$j$980), "", 'Data Entry'!$j$980)</f>
      </c>
      <c r="AQ980">
        <f>IF(ISBLANK('Data Entry'!$k$980), "", 'Data Entry'!$k$980)</f>
      </c>
      <c r="AR980">
        <f>IF(ISBLANK('Data Entry'!$l$980), "", 'Data Entry'!$l$980)</f>
      </c>
      <c r="AS980">
        <f>IF(ISBLANK('Data Entry'!$m$980), "", 'Data Entry'!$m$980)</f>
      </c>
      <c r="AT980">
        <f>IF(ISBLANK('Data Entry'!$n$980), "", 'Data Entry'!$n$980)</f>
      </c>
      <c r="AU980">
        <f>IF(ISBLANK('Data Entry'!$o$980), "", 'Data Entry'!$o$980)</f>
      </c>
      <c r="AV980">
        <f>IF(ISBLANK('Data Entry'!$p$980), "", 'Data Entry'!$p$980)</f>
      </c>
      <c r="AW980">
        <f>IF(ISBLANK('Data Entry'!$q$980), "", 'Data Entry'!$q$980)</f>
      </c>
      <c r="AX980">
        <f>IF(ISBLANK('Data Entry'!$r$980), "", 'Data Entry'!$r$980)</f>
      </c>
      <c r="AY980">
        <f>IF(ISBLANK('Data Entry'!$s$980), "", 'Data Entry'!$s$980)</f>
      </c>
      <c r="AZ980">
        <f>IF(ISBLANK('Data Entry'!$t$980), "", 'Data Entry'!$t$980)</f>
      </c>
      <c r="BA980">
        <f>IF(ISBLANK('Data Entry'!$u$980), "", 'Data Entry'!$u$980)</f>
      </c>
      <c r="BB980">
        <f>IF(ISBLANK('Data Entry'!$v$980), "", 'Data Entry'!$v$980)</f>
      </c>
      <c r="BC980">
        <f>IF(ISBLANK('Data Entry'!$w$980), "", 'Data Entry'!$w$980)</f>
      </c>
      <c r="BD980">
        <f>IF(ISBLANK('Data Entry'!$x$980), "", 'Data Entry'!$x$980)</f>
      </c>
      <c r="BE980">
        <f>IF(ISBLANK('Data Entry'!$y$980), "", 'Data Entry'!$y$980)</f>
      </c>
      <c r="BF980">
        <f>IF(ISBLANK('Data Entry'!$z$980), "", 'Data Entry'!$z$980)</f>
      </c>
      <c r="BG980">
        <f>IF(ISBLANK('Data Entry'!${$980), "", 'Data Entry'!${$980)</f>
      </c>
      <c r="BH980">
        <f>IF(ISBLANK('Data Entry'!$|$980), "", 'Data Entry'!$|$980)</f>
      </c>
      <c r="BI980">
        <f>IF(ISBLANK('Data Entry'!$}$980), "", 'Data Entry'!$}$980)</f>
      </c>
      <c r="BJ980">
        <f>IF(ISBLANK('Data Entry'!$~$980), "", 'Data Entry'!$~$980)</f>
      </c>
      <c r="BK980">
        <f>IF(ISBLANK('Data Entry'!$$980), "", 'Data Entry'!$$980)</f>
      </c>
      <c r="BL980">
        <f>IF(ISBLANK('Data Entry'!$$980), "", 'Data Entry'!$$980)</f>
      </c>
      <c r="BM980">
        <f>IF(ISBLANK('Data Entry'!$$980), "", 'Data Entry'!$$980)</f>
      </c>
      <c r="BN980">
        <f>IF(ISBLANK('Data Entry'!$$980), "", 'Data Entry'!$$980)</f>
      </c>
      <c r="BO980">
        <f>IF(ISBLANK('Data Entry'!$$980), "", 'Data Entry'!$$980)</f>
      </c>
      <c r="BP980">
        <f>IF(ISBLANK('Data Entry'!$$980), "", 'Data Entry'!$$980)</f>
      </c>
      <c r="BQ980">
        <f>IF(ISBLANK('Data Entry'!$$980), "", 'Data Entry'!$$980)</f>
      </c>
      <c r="BR980">
        <f>IF(ISBLANK('Data Entry'!$$980), "", 'Data Entry'!$$980)</f>
      </c>
      <c r="BS980">
        <f>IF(ISBLANK('Data Entry'!$$980), "", 'Data Entry'!$$980)</f>
      </c>
      <c r="BT980">
        <f>IF(ISBLANK('Data Entry'!$$980), "", 'Data Entry'!$$980)</f>
      </c>
      <c r="BU980">
        <f>IF(ISBLANK('Data Entry'!$$980), "", 'Data Entry'!$$980)</f>
      </c>
      <c r="BV980">
        <f>IF(ISBLANK('Data Entry'!$$980), "", 'Data Entry'!$$980)</f>
      </c>
      <c r="BW980">
        <f>IF(ISBLANK('Data Entry'!$$980), "", 'Data Entry'!$$980)</f>
      </c>
      <c r="BX980">
        <f>IF(ISBLANK('Data Entry'!$$980), "", 'Data Entry'!$$980)</f>
      </c>
      <c r="BY980">
        <f>IF(ISBLANK('Data Entry'!$$980), "", 'Data Entry'!$$980)</f>
      </c>
      <c r="BZ980">
        <f>IF(ISBLANK('Data Entry'!$$980), "", 'Data Entry'!$$980)</f>
      </c>
      <c r="CA980">
        <f>IF(ISBLANK('Data Entry'!$$980), "", 'Data Entry'!$$980)</f>
      </c>
      <c r="CB980">
        <f>IF(ISBLANK('Data Entry'!$$980), "", 'Data Entry'!$$980)</f>
      </c>
      <c r="CC980">
        <f>IF(ISBLANK('Data Entry'!$$980), "", 'Data Entry'!$$980)</f>
      </c>
      <c r="CD980">
        <f>IF(ISBLANK('Data Entry'!$$980), "", 'Data Entry'!$$980)</f>
      </c>
      <c r="CE980">
        <f>IF(ISBLANK('Data Entry'!$$980), "", 'Data Entry'!$$980)</f>
      </c>
      <c r="CF980">
        <f>IF(ISBLANK('Data Entry'!$$980), "", 'Data Entry'!$$980)</f>
      </c>
      <c r="CG980">
        <f>IF(ISBLANK('Data Entry'!$$980), "", 'Data Entry'!$$980)</f>
      </c>
      <c r="CH980">
        <f>IF(ISBLANK('Data Entry'!$$980), "", 'Data Entry'!$$980)</f>
      </c>
      <c r="CI980">
        <f>IF(ISBLANK('Data Entry'!$$980), "", 'Data Entry'!$$980)</f>
      </c>
      <c r="CJ980">
        <f>IF(ISBLANK('Data Entry'!$$980), "", 'Data Entry'!$$980)</f>
      </c>
      <c r="CK980">
        <f>IF(ISBLANK('Data Entry'!$$980), "", 'Data Entry'!$$980)</f>
      </c>
      <c r="CL980">
        <f>IF(ISBLANK('Data Entry'!$$980), "", 'Data Entry'!$$980)</f>
      </c>
      <c r="CM980">
        <f>IF(ISBLANK('Data Entry'!$$980), "", 'Data Entry'!$$980)</f>
      </c>
      <c r="CN980">
        <f>IF(ISBLANK('Data Entry'!$$980), "", 'Data Entry'!$$980)</f>
      </c>
      <c r="CO980">
        <f>IF(ISBLANK('Data Entry'!$$980), "", 'Data Entry'!$$980)</f>
      </c>
      <c r="CP980">
        <f>IF(ISBLANK('Data Entry'!$$980), "", 'Data Entry'!$$980)</f>
      </c>
      <c r="CQ980">
        <f>IF(ISBLANK('Data Entry'!$$980), "", 'Data Entry'!$$980)</f>
      </c>
      <c r="CR980">
        <f>IF(ISBLANK('Data Entry'!$ $980), "", 'Data Entry'!$ $980)</f>
      </c>
      <c r="CS980">
        <f>IF(ISBLANK('Data Entry'!$¡$980), "", 'Data Entry'!$¡$980)</f>
      </c>
      <c r="CT980">
        <f>IF(ISBLANK('Data Entry'!$¢$980), "", 'Data Entry'!$¢$980)</f>
      </c>
      <c r="CU980">
        <f>IF(ISBLANK('Data Entry'!$£$980), "", 'Data Entry'!$£$980)</f>
      </c>
      <c r="CV980">
        <f>IF(ISBLANK('Data Entry'!$¤$980), "", 'Data Entry'!$¤$980)</f>
      </c>
      <c r="CW980">
        <f>IF(ISBLANK('Data Entry'!$¥$980), "", 'Data Entry'!$¥$980)</f>
      </c>
      <c r="CX980">
        <f>IF(ISBLANK('Data Entry'!$¦$980), "", 'Data Entry'!$¦$980)</f>
      </c>
      <c r="CY980">
        <f>IF(ISBLANK('Data Entry'!$§$980), "", 'Data Entry'!$§$980)</f>
      </c>
      <c r="CZ980">
        <f>IF(ISBLANK('Data Entry'!$¨$980), "", 'Data Entry'!$¨$980)</f>
      </c>
      <c r="DA980">
        <f>IF(ISBLANK('Data Entry'!$©$980), "", 'Data Entry'!$©$980)</f>
      </c>
      <c r="DB980">
        <f>IF(ISBLANK('Data Entry'!$ª$980), "", 'Data Entry'!$ª$980)</f>
      </c>
      <c r="DC980">
        <f>IF(ISBLANK('Data Entry'!$«$980), "", 'Data Entry'!$«$980)</f>
      </c>
      <c r="DD980">
        <f>IF(ISBLANK('Data Entry'!$¬$980), "", 'Data Entry'!$¬$980)</f>
      </c>
      <c r="DE980">
        <f>IF(ISBLANK('Data Entry'!$­$980), "", 'Data Entry'!$­$980)</f>
      </c>
      <c r="DF980">
        <f>IF(ISBLANK('Data Entry'!$®$980), "", 'Data Entry'!$®$980)</f>
      </c>
      <c r="DG980">
        <f>IF(ISBLANK('Data Entry'!$¯$980), "", 'Data Entry'!$¯$980)</f>
      </c>
      <c r="DH980">
        <f>IF(ISBLANK('Data Entry'!$°$980), "", 'Data Entry'!$°$980)</f>
      </c>
      <c r="DI980">
        <f>IF(ISBLANK('Data Entry'!$±$980), "", 'Data Entry'!$±$980)</f>
      </c>
      <c r="DJ980">
        <f>IF(ISBLANK('Data Entry'!$²$980), "", 'Data Entry'!$²$980)</f>
      </c>
      <c r="DK980">
        <f>IF(ISBLANK('Data Entry'!$³$980), "", 'Data Entry'!$³$980)</f>
      </c>
      <c r="DL980">
        <f>IF(ISBLANK('Data Entry'!$´$980), "", 'Data Entry'!$´$980)</f>
      </c>
      <c r="DM980">
        <f>IF(ISBLANK('Data Entry'!$µ$980), "", 'Data Entry'!$µ$980)</f>
      </c>
      <c r="DN980">
        <f>IF(ISBLANK('Data Entry'!$¶$980), "", 'Data Entry'!$¶$980)</f>
      </c>
      <c r="DO980">
        <f>IF(ISBLANK('Data Entry'!$·$980), "", 'Data Entry'!$·$980)</f>
      </c>
      <c r="DP980">
        <f>IF(ISBLANK('Data Entry'!$¸$980), "", 'Data Entry'!$¸$980)</f>
      </c>
      <c r="DQ980">
        <f>IF(ISBLANK('Data Entry'!$¹$980), "", 'Data Entry'!$¹$980)</f>
      </c>
      <c r="DR980">
        <f>IF(ISBLANK('Data Entry'!$º$980), "", 'Data Entry'!$º$980)</f>
      </c>
      <c r="DS980">
        <f>IF(ISBLANK('Data Entry'!$»$980), "", 'Data Entry'!$»$980)</f>
      </c>
      <c r="DT980">
        <f>IF(ISBLANK('Data Entry'!$¼$980), "", 'Data Entry'!$¼$980)</f>
      </c>
      <c r="DU980">
        <f>IF(ISBLANK('Data Entry'!$½$980), "", 'Data Entry'!$½$980)</f>
      </c>
      <c r="DV980">
        <f>IF(ISBLANK('Data Entry'!$¾$980), "", 'Data Entry'!$¾$980)</f>
      </c>
      <c r="DW980">
        <f>IF(ISBLANK('Data Entry'!$¿$980), "", 'Data Entry'!$¿$980)</f>
      </c>
      <c r="DX980">
        <f>IF(ISBLANK('Data Entry'!$À$980), "", 'Data Entry'!$À$980)</f>
      </c>
      <c r="DY980">
        <f>IF(ISBLANK('Data Entry'!$Á$980), "", 'Data Entry'!$Á$980)</f>
      </c>
      <c r="DZ980">
        <f>IF(ISBLANK('Data Entry'!$Â$980), "", 'Data Entry'!$Â$980)</f>
      </c>
      <c r="EA980">
        <f>IF(ISBLANK('Data Entry'!$Ã$980), "", 'Data Entry'!$Ã$980)</f>
      </c>
      <c r="EB980">
        <f>IF(ISBLANK('Data Entry'!$Ä$980), "", 'Data Entry'!$Ä$980)</f>
      </c>
      <c r="EC980">
        <f>IF(ISBLANK('Data Entry'!$Å$980), "", 'Data Entry'!$Å$980)</f>
      </c>
      <c r="ED980">
        <f>IF(ISBLANK('Data Entry'!$Æ$980), "", 'Data Entry'!$Æ$980)</f>
      </c>
      <c r="EE980">
        <f>IF(ISBLANK('Data Entry'!$Ç$980), "", 'Data Entry'!$Ç$980)</f>
      </c>
      <c r="EF980">
        <f>IF(ISBLANK('Data Entry'!$È$980), "", 'Data Entry'!$È$980)</f>
      </c>
      <c r="EG980">
        <f>IF(ISBLANK('Data Entry'!$É$980), "", 'Data Entry'!$É$980)</f>
      </c>
      <c r="EH980">
        <f>IF(ISBLANK('Data Entry'!$Ê$980), "", 'Data Entry'!$Ê$980)</f>
      </c>
      <c r="EI980">
        <f>IF(ISBLANK('Data Entry'!$Ë$980), "", 'Data Entry'!$Ë$980)</f>
      </c>
      <c r="EJ980">
        <f>IF(ISBLANK('Data Entry'!$Ì$980), "", 'Data Entry'!$Ì$980)</f>
      </c>
      <c r="EK980">
        <f>IF(ISBLANK('Data Entry'!$Í$980), "", 'Data Entry'!$Í$980)</f>
      </c>
      <c r="EL980">
        <f>IF(ISBLANK('Data Entry'!$Î$980), "", 'Data Entry'!$Î$980)</f>
      </c>
      <c r="EM980">
        <f>IF(ISBLANK('Data Entry'!$Ï$980), "", 'Data Entry'!$Ï$980)</f>
      </c>
      <c r="EN980">
        <f>IF(ISBLANK('Data Entry'!$Ð$980), "", 'Data Entry'!$Ð$980)</f>
      </c>
      <c r="EO980">
        <f>IF(ISBLANK('Data Entry'!$Ñ$980), "", 'Data Entry'!$Ñ$980)</f>
      </c>
      <c r="EP980">
        <f>IF(ISBLANK('Data Entry'!$Ò$980), "", 'Data Entry'!$Ò$980)</f>
      </c>
      <c r="EQ980">
        <f>IF(ISBLANK('Data Entry'!$Ó$980), "", 'Data Entry'!$Ó$980)</f>
      </c>
      <c r="ER980">
        <f>IF(ISBLANK('Data Entry'!$Ô$980), "", 'Data Entry'!$Ô$980)</f>
      </c>
      <c r="ES980">
        <f>IF(ISBLANK('Data Entry'!$Õ$980), "", 'Data Entry'!$Õ$980)</f>
      </c>
      <c r="ET980">
        <f>IF(ISBLANK('Data Entry'!$Ö$980), "", 'Data Entry'!$Ö$980)</f>
      </c>
      <c r="EU980">
        <f>IF(ISBLANK('Data Entry'!$×$980), "", 'Data Entry'!$×$980)</f>
      </c>
      <c r="EV980">
        <f>IF(ISBLANK('Data Entry'!$Ø$980), "", 'Data Entry'!$Ø$980)</f>
      </c>
      <c r="EW980">
        <f>IF(ISBLANK('Data Entry'!$Ù$980), "", 'Data Entry'!$Ù$980)</f>
      </c>
      <c r="EX980">
        <f>IF(ISBLANK('Data Entry'!$Ú$980), "", 'Data Entry'!$Ú$980)</f>
      </c>
      <c r="EY980">
        <f>IF(ISBLANK('Data Entry'!$Û$980), "", 'Data Entry'!$Û$980)</f>
      </c>
      <c r="EZ980">
        <f>IF(ISBLANK('Data Entry'!$Ü$980), "", 'Data Entry'!$Ü$980)</f>
      </c>
      <c r="FA980">
        <f>IF(ISBLANK('Data Entry'!$Ý$980), "", 'Data Entry'!$Ý$980)</f>
      </c>
      <c r="FB980">
        <f>IF(ISBLANK('Data Entry'!$Þ$980), "", 'Data Entry'!$Þ$980)</f>
      </c>
      <c r="FC980">
        <f>IF(ISBLANK('Data Entry'!$ß$980), "", 'Data Entry'!$ß$980)</f>
      </c>
      <c r="FD980">
        <f>IF(ISBLANK('Data Entry'!$à$980), "", 'Data Entry'!$à$980)</f>
      </c>
      <c r="FE980">
        <f>IF(ISBLANK('Data Entry'!$á$980), "", 'Data Entry'!$á$980)</f>
      </c>
      <c r="FF980">
        <f>IF(ISBLANK('Data Entry'!$â$980), "", 'Data Entry'!$â$980)</f>
      </c>
      <c r="FG980">
        <f>IF(ISBLANK('Data Entry'!$ã$980), "", 'Data Entry'!$ã$980)</f>
      </c>
      <c r="FH980">
        <f>IF(ISBLANK('Data Entry'!$ä$980), "", 'Data Entry'!$ä$980)</f>
      </c>
      <c r="FI980">
        <f>IF(ISBLANK('Data Entry'!$å$980), "", 'Data Entry'!$å$980)</f>
      </c>
      <c r="FJ980">
        <f>IF(ISBLANK('Data Entry'!$æ$980), "", 'Data Entry'!$æ$980)</f>
      </c>
      <c r="FK980">
        <f>IF(ISBLANK('Data Entry'!$ç$980), "", 'Data Entry'!$ç$980)</f>
      </c>
      <c r="FL980">
        <f>IF(ISBLANK('Data Entry'!$è$980), "", 'Data Entry'!$è$980)</f>
      </c>
      <c r="FM980">
        <f>IF(ISBLANK('Data Entry'!$é$980), "", 'Data Entry'!$é$980)</f>
      </c>
      <c r="FN980">
        <f>IF(ISBLANK('Data Entry'!$ê$980), "", 'Data Entry'!$ê$980)</f>
      </c>
      <c r="FO980">
        <f>IF(ISBLANK('Data Entry'!$ë$980), "", 'Data Entry'!$ë$980)</f>
      </c>
      <c r="FP980">
        <f>IF(ISBLANK('Data Entry'!$ì$980), "", 'Data Entry'!$ì$980)</f>
      </c>
      <c r="FQ980">
        <f>IF(ISBLANK('Data Entry'!$í$980), "", 'Data Entry'!$í$980)</f>
      </c>
      <c r="FR980">
        <f>IF(ISBLANK('Data Entry'!$î$980), "", 'Data Entry'!$î$980)</f>
      </c>
      <c r="FS980">
        <f>IF(ISBLANK('Data Entry'!$ï$980), "", 'Data Entry'!$ï$980)</f>
      </c>
      <c r="FT980">
        <f>IF(ISBLANK('Data Entry'!$ð$980), "", 'Data Entry'!$ð$980)</f>
      </c>
      <c r="FU980">
        <f>IF(ISBLANK('Data Entry'!$ñ$980), "", 'Data Entry'!$ñ$980)</f>
      </c>
      <c r="FV980">
        <f>IF(ISBLANK('Data Entry'!$ò$980), "", 'Data Entry'!$ò$980)</f>
      </c>
      <c r="FW980">
        <f>IF(ISBLANK('Data Entry'!$ó$980), "", 'Data Entry'!$ó$980)</f>
      </c>
      <c r="FX980">
        <f>IF(ISBLANK('Data Entry'!$ô$980), "", 'Data Entry'!$ô$980)</f>
      </c>
      <c r="FY980">
        <f>IF(ISBLANK('Data Entry'!$õ$980), "", 'Data Entry'!$õ$980)</f>
      </c>
      <c r="FZ980">
        <f>IF(ISBLANK('Data Entry'!$ö$980), "", 'Data Entry'!$ö$980)</f>
      </c>
      <c r="GA980">
        <f>IF(ISBLANK('Data Entry'!$÷$980), "", 'Data Entry'!$÷$980)</f>
      </c>
      <c r="GB980">
        <f>IF(ISBLANK('Data Entry'!$ø$980), "", 'Data Entry'!$ø$980)</f>
      </c>
      <c r="GC980">
        <f>IF(ISBLANK('Data Entry'!$ù$980), "", 'Data Entry'!$ù$980)</f>
      </c>
      <c r="GD980">
        <f>IF(ISBLANK('Data Entry'!$ú$980), "", 'Data Entry'!$ú$980)</f>
      </c>
      <c r="GE980">
        <f>IF(ISBLANK('Data Entry'!$û$980), "", 'Data Entry'!$û$980)</f>
      </c>
      <c r="GF980">
        <f>IF(ISBLANK('Data Entry'!$ü$980), "", 'Data Entry'!$ü$980)</f>
      </c>
      <c r="GG980">
        <f>IF(ISBLANK('Data Entry'!$ý$980), "", 'Data Entry'!$ý$980)</f>
      </c>
      <c r="GH980">
        <f>IF(ISBLANK('Data Entry'!$þ$980), "", 'Data Entry'!$þ$980)</f>
      </c>
      <c r="GI980">
        <f>IF(ISBLANK('Data Entry'!$ÿ$980), "", 'Data Entry'!$ÿ$980)</f>
      </c>
      <c r="GJ980">
        <f>IF(ISBLANK('Data Entry'!$Ā$980), "", 'Data Entry'!$Ā$980)</f>
      </c>
      <c r="GK980">
        <f>IF(ISBLANK('Data Entry'!$ā$980), "", 'Data Entry'!$ā$980)</f>
      </c>
      <c r="GL980">
        <f>IF(ISBLANK('Data Entry'!$Ă$980), "", 'Data Entry'!$Ă$980)</f>
      </c>
      <c r="GM980">
        <f>IF(ISBLANK('Data Entry'!$ă$980), "", 'Data Entry'!$ă$980)</f>
      </c>
      <c r="GN980">
        <f>IF(ISBLANK('Data Entry'!$Ą$980), "", 'Data Entry'!$Ą$980)</f>
      </c>
      <c r="GO980">
        <f>IF(ISBLANK('Data Entry'!$ą$980), "", 'Data Entry'!$ą$980)</f>
      </c>
      <c r="GP980">
        <f>IF(ISBLANK('Data Entry'!$Ć$980), "", 'Data Entry'!$Ć$980)</f>
      </c>
      <c r="GQ980">
        <f>IF(ISBLANK('Data Entry'!$ć$980), "", 'Data Entry'!$ć$980)</f>
      </c>
      <c r="GR980">
        <f>IF(ISBLANK('Data Entry'!$Ĉ$980), "", 'Data Entry'!$Ĉ$980)</f>
      </c>
      <c r="GS980">
        <f>IF(ISBLANK('Data Entry'!$ĉ$980), "", 'Data Entry'!$ĉ$980)</f>
      </c>
      <c r="GT980">
        <f>IF(ISBLANK('Data Entry'!$Ċ$980), "", 'Data Entry'!$Ċ$980)</f>
      </c>
      <c r="GU980">
        <f>IF(ISBLANK('Data Entry'!$ċ$980), "", 'Data Entry'!$ċ$980)</f>
      </c>
      <c r="GV980">
        <f>IF(ISBLANK('Data Entry'!$Č$980), "", 'Data Entry'!$Č$980)</f>
      </c>
      <c r="GW980">
        <f>IF(ISBLANK('Data Entry'!$č$980), "", 'Data Entry'!$č$980)</f>
      </c>
      <c r="GX980">
        <f>IF(ISBLANK('Data Entry'!$Ď$980), "", 'Data Entry'!$Ď$980)</f>
      </c>
      <c r="GY980">
        <f>IF(ISBLANK('Data Entry'!$ď$980), "", 'Data Entry'!$ď$980)</f>
      </c>
      <c r="GZ980">
        <f>IF(ISBLANK('Data Entry'!$Đ$980), "", 'Data Entry'!$Đ$980)</f>
      </c>
      <c r="HA980">
        <f>IF(ISBLANK('Data Entry'!$đ$980), "", 'Data Entry'!$đ$980)</f>
      </c>
      <c r="HB980">
        <f>IF(ISBLANK('Data Entry'!$Ē$980), "", 'Data Entry'!$Ē$980)</f>
      </c>
      <c r="HC980">
        <f>IF(ISBLANK('Data Entry'!$ē$980), "", 'Data Entry'!$ē$980)</f>
      </c>
      <c r="HD980">
        <f>IF(ISBLANK('Data Entry'!$Ĕ$980), "", 'Data Entry'!$Ĕ$980)</f>
      </c>
      <c r="HE980">
        <f>IF(ISBLANK('Data Entry'!$ĕ$980), "", 'Data Entry'!$ĕ$980)</f>
      </c>
      <c r="HF980">
        <f>IF(ISBLANK('Data Entry'!$Ė$980), "", 'Data Entry'!$Ė$980)</f>
      </c>
      <c r="HG980">
        <f>IF(ISBLANK('Data Entry'!$ė$980), "", 'Data Entry'!$ė$980)</f>
      </c>
      <c r="HH980">
        <f>IF(ISBLANK('Data Entry'!$Ę$980), "", 'Data Entry'!$Ę$980)</f>
      </c>
      <c r="HI980">
        <f>IF(ISBLANK('Data Entry'!$ę$980), "", 'Data Entry'!$ę$980)</f>
      </c>
      <c r="HJ980">
        <f>IF(ISBLANK('Data Entry'!$Ě$980), "", 'Data Entry'!$Ě$980)</f>
      </c>
      <c r="HK980">
        <f>IF(ISBLANK('Data Entry'!$ě$980), "", 'Data Entry'!$ě$980)</f>
      </c>
      <c r="HL980">
        <f>IF(ISBLANK('Data Entry'!$Ĝ$980), "", 'Data Entry'!$Ĝ$980)</f>
      </c>
      <c r="HM980">
        <f>IF(ISBLANK('Data Entry'!$ĝ$980), "", 'Data Entry'!$ĝ$980)</f>
      </c>
      <c r="HN980">
        <f>IF(ISBLANK('Data Entry'!$Ğ$980), "", 'Data Entry'!$Ğ$980)</f>
      </c>
      <c r="HO980">
        <f>IF(ISBLANK('Data Entry'!$ğ$980), "", 'Data Entry'!$ğ$980)</f>
      </c>
      <c r="HP980">
        <f>IF(ISBLANK('Data Entry'!$Ġ$980), "", 'Data Entry'!$Ġ$980)</f>
      </c>
      <c r="HQ980">
        <f>IF(ISBLANK('Data Entry'!$ġ$980), "", 'Data Entry'!$ġ$980)</f>
      </c>
      <c r="HR980">
        <f>IF(ISBLANK('Data Entry'!$Ģ$980), "", 'Data Entry'!$Ģ$980)</f>
      </c>
      <c r="HS980">
        <f>IF(ISBLANK('Data Entry'!$ģ$980), "", 'Data Entry'!$ģ$980)</f>
      </c>
      <c r="HT980">
        <f>IF(ISBLANK('Data Entry'!$Ĥ$980), "", 'Data Entry'!$Ĥ$980)</f>
      </c>
      <c r="HU980">
        <f>IF(ISBLANK('Data Entry'!$ĥ$980), "", 'Data Entry'!$ĥ$980)</f>
      </c>
      <c r="HV980">
        <f>IF(ISBLANK('Data Entry'!$Ħ$980), "", 'Data Entry'!$Ħ$980)</f>
      </c>
      <c r="HW980">
        <f>IF(ISBLANK('Data Entry'!$ħ$980), "", 'Data Entry'!$ħ$980)</f>
      </c>
      <c r="HX980">
        <f>IF(ISBLANK('Data Entry'!$Ĩ$980), "", 'Data Entry'!$Ĩ$980)</f>
      </c>
      <c r="HY980">
        <f>IF(ISBLANK('Data Entry'!$ĩ$980), "", 'Data Entry'!$ĩ$980)</f>
      </c>
      <c r="HZ980">
        <f>IF(ISBLANK('Data Entry'!$Ī$980), "", 'Data Entry'!$Ī$980)</f>
      </c>
      <c r="IA980">
        <f>IF(ISBLANK('Data Entry'!$ī$980), "", 'Data Entry'!$ī$980)</f>
      </c>
      <c r="IB980">
        <f>IF(ISBLANK('Data Entry'!$Ĭ$980), "", 'Data Entry'!$Ĭ$980)</f>
      </c>
      <c r="IC980">
        <f>IF(ISBLANK('Data Entry'!$ĭ$980), "", 'Data Entry'!$ĭ$980)</f>
      </c>
      <c r="ID980">
        <f>IF(ISBLANK('Data Entry'!$Į$980), "", 'Data Entry'!$Į$980)</f>
      </c>
      <c r="IE980">
        <f>IF(ISBLANK('Data Entry'!$į$980), "", 'Data Entry'!$į$980)</f>
      </c>
      <c r="IF980">
        <f>IF(ISBLANK('Data Entry'!$İ$980), "", 'Data Entry'!$İ$980)</f>
      </c>
      <c r="IG980">
        <f>IF(ISBLANK('Data Entry'!$ı$980), "", 'Data Entry'!$ı$980)</f>
      </c>
      <c r="IH980">
        <f>IF(ISBLANK('Data Entry'!$Ĳ$980), "", 'Data Entry'!$Ĳ$980)</f>
      </c>
      <c r="II980">
        <f>IF(ISBLANK('Data Entry'!$ĳ$980), "", 'Data Entry'!$ĳ$980)</f>
      </c>
      <c r="IJ980">
        <f>IF(ISBLANK('Data Entry'!$Ĵ$980), "", 'Data Entry'!$Ĵ$980)</f>
      </c>
      <c r="IK980">
        <f>IF(ISBLANK('Data Entry'!$ĵ$980), "", 'Data Entry'!$ĵ$980)</f>
      </c>
      <c r="IL980">
        <f>IF(ISBLANK('Data Entry'!$Ķ$980), "", 'Data Entry'!$Ķ$980)</f>
      </c>
      <c r="IM980">
        <f>IF(ISBLANK('Data Entry'!$ķ$980), "", 'Data Entry'!$ķ$980)</f>
      </c>
      <c r="IN980">
        <f>IF(ISBLANK('Data Entry'!$ĸ$980), "", 'Data Entry'!$ĸ$980)</f>
      </c>
      <c r="IO980">
        <f>IF(ISBLANK('Data Entry'!$Ĺ$980), "", 'Data Entry'!$Ĺ$980)</f>
      </c>
      <c r="IP980">
        <f>IF(ISBLANK('Data Entry'!$ĺ$980), "", 'Data Entry'!$ĺ$980)</f>
      </c>
      <c r="IQ980">
        <f>IF(ISBLANK('Data Entry'!$Ļ$980), "", 'Data Entry'!$Ļ$980)</f>
      </c>
      <c r="IR980">
        <f>IF(ISBLANK('Data Entry'!$ļ$980), "", 'Data Entry'!$ļ$980)</f>
      </c>
      <c r="IS980">
        <f>IF(ISBLANK('Data Entry'!$Ľ$980), "", 'Data Entry'!$Ľ$980)</f>
      </c>
      <c r="IT980">
        <f>IF(ISBLANK('Data Entry'!$ľ$980), "", 'Data Entry'!$ľ$980)</f>
      </c>
    </row>
    <row r="981" spans="1:254" x14ac:dyDescent="0.25">
      <c r="A981">
        <f>IF(ISBLANK('Data Entry'!$A$981), "", 'Data Entry'!$A$981)</f>
      </c>
      <c r="B981">
        <f>IF(ISBLANK('Data Entry'!$B$981), "", 'Data Entry'!$B$981)</f>
      </c>
      <c r="C981">
        <f>IF(ISBLANK('Data Entry'!$C$981), "", 'Data Entry'!$C$981)</f>
      </c>
      <c r="D981">
        <f>IF(ISBLANK('Data Entry'!$D$981), "", 'Data Entry'!$D$981)</f>
      </c>
      <c r="E981">
        <f>IF(ISBLANK('Data Entry'!$E$981), "", 'Data Entry'!$E$981)</f>
      </c>
      <c r="F981">
        <f>IF(ISBLANK('Data Entry'!$F$981), "", 'Data Entry'!$F$981)</f>
      </c>
      <c r="G981">
        <f>IF(ISBLANK('Data Entry'!$G$981), "", 'Data Entry'!$G$981)</f>
      </c>
      <c r="H981">
        <f>IF(ISBLANK('Data Entry'!$H$981), "", 'Data Entry'!$H$981)</f>
      </c>
      <c r="I981">
        <f>IF(ISBLANK('Data Entry'!$I$981), "", 'Data Entry'!$I$981)</f>
      </c>
      <c r="J981">
        <f>IF(ISBLANK('Data Entry'!$J$981), "", 'Data Entry'!$J$981)</f>
      </c>
      <c r="K981">
        <f>IF(ISBLANK('Data Entry'!$K$981), "", 'Data Entry'!$K$981)</f>
      </c>
      <c r="L981">
        <f>IF(ISBLANK('Data Entry'!$L$981), "", 'Data Entry'!$L$981)</f>
      </c>
      <c r="M981">
        <f>IF(ISBLANK('Data Entry'!$M$981), "", 'Data Entry'!$M$981)</f>
      </c>
      <c r="N981">
        <f>IF(ISBLANK('Data Entry'!$N$981), "", 'Data Entry'!$N$981)</f>
      </c>
      <c r="O981">
        <f>IF(ISBLANK('Data Entry'!$O$981), "", 'Data Entry'!$O$981)</f>
      </c>
      <c r="P981">
        <f>IF(ISBLANK('Data Entry'!$P$981), "", 'Data Entry'!$P$981)</f>
      </c>
      <c r="Q981">
        <f>IF(ISBLANK('Data Entry'!$Q$981), "", 'Data Entry'!$Q$981)</f>
      </c>
      <c r="R981">
        <f>IF(ISBLANK('Data Entry'!$R$981), "", 'Data Entry'!$R$981)</f>
      </c>
      <c r="S981">
        <f>IF(ISBLANK('Data Entry'!$S$981), "", 'Data Entry'!$S$981)</f>
      </c>
      <c r="T981">
        <f>IF(ISBLANK('Data Entry'!$T$981), "", 'Data Entry'!$T$981)</f>
      </c>
      <c r="U981">
        <f>IF(ISBLANK('Data Entry'!$U$981), "", 'Data Entry'!$U$981)</f>
      </c>
      <c r="V981">
        <f>IF(ISBLANK('Data Entry'!$V$981), "", 'Data Entry'!$V$981)</f>
      </c>
      <c r="W981">
        <f>IF(ISBLANK('Data Entry'!$W$981), "", 'Data Entry'!$W$981)</f>
      </c>
      <c r="X981">
        <f>IF(ISBLANK('Data Entry'!$X$981), "", 'Data Entry'!$X$981)</f>
      </c>
      <c r="Y981">
        <f>IF(ISBLANK('Data Entry'!$Y$981), "", 'Data Entry'!$Y$981)</f>
      </c>
      <c r="Z981">
        <f>IF(ISBLANK('Data Entry'!$Z$981), "", 'Data Entry'!$Z$981)</f>
      </c>
      <c r="AA981">
        <f>IF(ISBLANK('Data Entry'!$[$981), "", 'Data Entry'!$[$981)</f>
      </c>
      <c r="AB981">
        <f>IF(ISBLANK('Data Entry'!$\$981), "", 'Data Entry'!$\$981)</f>
      </c>
      <c r="AC981">
        <f>IF(ISBLANK('Data Entry'!$]$981), "", 'Data Entry'!$]$981)</f>
      </c>
      <c r="AD981">
        <f>IF(ISBLANK('Data Entry'!$^$981), "", 'Data Entry'!$^$981)</f>
      </c>
      <c r="AE981">
        <f>IF(ISBLANK('Data Entry'!$_$981), "", 'Data Entry'!$_$981)</f>
      </c>
      <c r="AF981">
        <f>IF(ISBLANK('Data Entry'!$`$981), "", 'Data Entry'!$`$981)</f>
      </c>
      <c r="AG981">
        <f>IF(ISBLANK('Data Entry'!$a$981), "", 'Data Entry'!$a$981)</f>
      </c>
      <c r="AH981">
        <f>IF(ISBLANK('Data Entry'!$b$981), "", 'Data Entry'!$b$981)</f>
      </c>
      <c r="AI981">
        <f>IF(ISBLANK('Data Entry'!$c$981), "", 'Data Entry'!$c$981)</f>
      </c>
      <c r="AJ981">
        <f>IF(ISBLANK('Data Entry'!$d$981), "", 'Data Entry'!$d$981)</f>
      </c>
      <c r="AK981">
        <f>IF(ISBLANK('Data Entry'!$e$981), "", 'Data Entry'!$e$981)</f>
      </c>
      <c r="AL981">
        <f>IF(ISBLANK('Data Entry'!$f$981), "", 'Data Entry'!$f$981)</f>
      </c>
      <c r="AM981">
        <f>IF(ISBLANK('Data Entry'!$g$981), "", 'Data Entry'!$g$981)</f>
      </c>
      <c r="AN981">
        <f>IF(ISBLANK('Data Entry'!$h$981), "", 'Data Entry'!$h$981)</f>
      </c>
      <c r="AO981">
        <f>IF(ISBLANK('Data Entry'!$i$981), "", 'Data Entry'!$i$981)</f>
      </c>
      <c r="AP981">
        <f>IF(ISBLANK('Data Entry'!$j$981), "", 'Data Entry'!$j$981)</f>
      </c>
      <c r="AQ981">
        <f>IF(ISBLANK('Data Entry'!$k$981), "", 'Data Entry'!$k$981)</f>
      </c>
      <c r="AR981">
        <f>IF(ISBLANK('Data Entry'!$l$981), "", 'Data Entry'!$l$981)</f>
      </c>
      <c r="AS981">
        <f>IF(ISBLANK('Data Entry'!$m$981), "", 'Data Entry'!$m$981)</f>
      </c>
      <c r="AT981">
        <f>IF(ISBLANK('Data Entry'!$n$981), "", 'Data Entry'!$n$981)</f>
      </c>
      <c r="AU981">
        <f>IF(ISBLANK('Data Entry'!$o$981), "", 'Data Entry'!$o$981)</f>
      </c>
      <c r="AV981">
        <f>IF(ISBLANK('Data Entry'!$p$981), "", 'Data Entry'!$p$981)</f>
      </c>
      <c r="AW981">
        <f>IF(ISBLANK('Data Entry'!$q$981), "", 'Data Entry'!$q$981)</f>
      </c>
      <c r="AX981">
        <f>IF(ISBLANK('Data Entry'!$r$981), "", 'Data Entry'!$r$981)</f>
      </c>
      <c r="AY981">
        <f>IF(ISBLANK('Data Entry'!$s$981), "", 'Data Entry'!$s$981)</f>
      </c>
      <c r="AZ981">
        <f>IF(ISBLANK('Data Entry'!$t$981), "", 'Data Entry'!$t$981)</f>
      </c>
      <c r="BA981">
        <f>IF(ISBLANK('Data Entry'!$u$981), "", 'Data Entry'!$u$981)</f>
      </c>
      <c r="BB981">
        <f>IF(ISBLANK('Data Entry'!$v$981), "", 'Data Entry'!$v$981)</f>
      </c>
      <c r="BC981">
        <f>IF(ISBLANK('Data Entry'!$w$981), "", 'Data Entry'!$w$981)</f>
      </c>
      <c r="BD981">
        <f>IF(ISBLANK('Data Entry'!$x$981), "", 'Data Entry'!$x$981)</f>
      </c>
      <c r="BE981">
        <f>IF(ISBLANK('Data Entry'!$y$981), "", 'Data Entry'!$y$981)</f>
      </c>
      <c r="BF981">
        <f>IF(ISBLANK('Data Entry'!$z$981), "", 'Data Entry'!$z$981)</f>
      </c>
      <c r="BG981">
        <f>IF(ISBLANK('Data Entry'!${$981), "", 'Data Entry'!${$981)</f>
      </c>
      <c r="BH981">
        <f>IF(ISBLANK('Data Entry'!$|$981), "", 'Data Entry'!$|$981)</f>
      </c>
      <c r="BI981">
        <f>IF(ISBLANK('Data Entry'!$}$981), "", 'Data Entry'!$}$981)</f>
      </c>
      <c r="BJ981">
        <f>IF(ISBLANK('Data Entry'!$~$981), "", 'Data Entry'!$~$981)</f>
      </c>
      <c r="BK981">
        <f>IF(ISBLANK('Data Entry'!$$981), "", 'Data Entry'!$$981)</f>
      </c>
      <c r="BL981">
        <f>IF(ISBLANK('Data Entry'!$$981), "", 'Data Entry'!$$981)</f>
      </c>
      <c r="BM981">
        <f>IF(ISBLANK('Data Entry'!$$981), "", 'Data Entry'!$$981)</f>
      </c>
      <c r="BN981">
        <f>IF(ISBLANK('Data Entry'!$$981), "", 'Data Entry'!$$981)</f>
      </c>
      <c r="BO981">
        <f>IF(ISBLANK('Data Entry'!$$981), "", 'Data Entry'!$$981)</f>
      </c>
      <c r="BP981">
        <f>IF(ISBLANK('Data Entry'!$$981), "", 'Data Entry'!$$981)</f>
      </c>
      <c r="BQ981">
        <f>IF(ISBLANK('Data Entry'!$$981), "", 'Data Entry'!$$981)</f>
      </c>
      <c r="BR981">
        <f>IF(ISBLANK('Data Entry'!$$981), "", 'Data Entry'!$$981)</f>
      </c>
      <c r="BS981">
        <f>IF(ISBLANK('Data Entry'!$$981), "", 'Data Entry'!$$981)</f>
      </c>
      <c r="BT981">
        <f>IF(ISBLANK('Data Entry'!$$981), "", 'Data Entry'!$$981)</f>
      </c>
      <c r="BU981">
        <f>IF(ISBLANK('Data Entry'!$$981), "", 'Data Entry'!$$981)</f>
      </c>
      <c r="BV981">
        <f>IF(ISBLANK('Data Entry'!$$981), "", 'Data Entry'!$$981)</f>
      </c>
      <c r="BW981">
        <f>IF(ISBLANK('Data Entry'!$$981), "", 'Data Entry'!$$981)</f>
      </c>
      <c r="BX981">
        <f>IF(ISBLANK('Data Entry'!$$981), "", 'Data Entry'!$$981)</f>
      </c>
      <c r="BY981">
        <f>IF(ISBLANK('Data Entry'!$$981), "", 'Data Entry'!$$981)</f>
      </c>
      <c r="BZ981">
        <f>IF(ISBLANK('Data Entry'!$$981), "", 'Data Entry'!$$981)</f>
      </c>
      <c r="CA981">
        <f>IF(ISBLANK('Data Entry'!$$981), "", 'Data Entry'!$$981)</f>
      </c>
      <c r="CB981">
        <f>IF(ISBLANK('Data Entry'!$$981), "", 'Data Entry'!$$981)</f>
      </c>
      <c r="CC981">
        <f>IF(ISBLANK('Data Entry'!$$981), "", 'Data Entry'!$$981)</f>
      </c>
      <c r="CD981">
        <f>IF(ISBLANK('Data Entry'!$$981), "", 'Data Entry'!$$981)</f>
      </c>
      <c r="CE981">
        <f>IF(ISBLANK('Data Entry'!$$981), "", 'Data Entry'!$$981)</f>
      </c>
      <c r="CF981">
        <f>IF(ISBLANK('Data Entry'!$$981), "", 'Data Entry'!$$981)</f>
      </c>
      <c r="CG981">
        <f>IF(ISBLANK('Data Entry'!$$981), "", 'Data Entry'!$$981)</f>
      </c>
      <c r="CH981">
        <f>IF(ISBLANK('Data Entry'!$$981), "", 'Data Entry'!$$981)</f>
      </c>
      <c r="CI981">
        <f>IF(ISBLANK('Data Entry'!$$981), "", 'Data Entry'!$$981)</f>
      </c>
      <c r="CJ981">
        <f>IF(ISBLANK('Data Entry'!$$981), "", 'Data Entry'!$$981)</f>
      </c>
      <c r="CK981">
        <f>IF(ISBLANK('Data Entry'!$$981), "", 'Data Entry'!$$981)</f>
      </c>
      <c r="CL981">
        <f>IF(ISBLANK('Data Entry'!$$981), "", 'Data Entry'!$$981)</f>
      </c>
      <c r="CM981">
        <f>IF(ISBLANK('Data Entry'!$$981), "", 'Data Entry'!$$981)</f>
      </c>
      <c r="CN981">
        <f>IF(ISBLANK('Data Entry'!$$981), "", 'Data Entry'!$$981)</f>
      </c>
      <c r="CO981">
        <f>IF(ISBLANK('Data Entry'!$$981), "", 'Data Entry'!$$981)</f>
      </c>
      <c r="CP981">
        <f>IF(ISBLANK('Data Entry'!$$981), "", 'Data Entry'!$$981)</f>
      </c>
      <c r="CQ981">
        <f>IF(ISBLANK('Data Entry'!$$981), "", 'Data Entry'!$$981)</f>
      </c>
      <c r="CR981">
        <f>IF(ISBLANK('Data Entry'!$ $981), "", 'Data Entry'!$ $981)</f>
      </c>
      <c r="CS981">
        <f>IF(ISBLANK('Data Entry'!$¡$981), "", 'Data Entry'!$¡$981)</f>
      </c>
      <c r="CT981">
        <f>IF(ISBLANK('Data Entry'!$¢$981), "", 'Data Entry'!$¢$981)</f>
      </c>
      <c r="CU981">
        <f>IF(ISBLANK('Data Entry'!$£$981), "", 'Data Entry'!$£$981)</f>
      </c>
      <c r="CV981">
        <f>IF(ISBLANK('Data Entry'!$¤$981), "", 'Data Entry'!$¤$981)</f>
      </c>
      <c r="CW981">
        <f>IF(ISBLANK('Data Entry'!$¥$981), "", 'Data Entry'!$¥$981)</f>
      </c>
      <c r="CX981">
        <f>IF(ISBLANK('Data Entry'!$¦$981), "", 'Data Entry'!$¦$981)</f>
      </c>
      <c r="CY981">
        <f>IF(ISBLANK('Data Entry'!$§$981), "", 'Data Entry'!$§$981)</f>
      </c>
      <c r="CZ981">
        <f>IF(ISBLANK('Data Entry'!$¨$981), "", 'Data Entry'!$¨$981)</f>
      </c>
      <c r="DA981">
        <f>IF(ISBLANK('Data Entry'!$©$981), "", 'Data Entry'!$©$981)</f>
      </c>
      <c r="DB981">
        <f>IF(ISBLANK('Data Entry'!$ª$981), "", 'Data Entry'!$ª$981)</f>
      </c>
      <c r="DC981">
        <f>IF(ISBLANK('Data Entry'!$«$981), "", 'Data Entry'!$«$981)</f>
      </c>
      <c r="DD981">
        <f>IF(ISBLANK('Data Entry'!$¬$981), "", 'Data Entry'!$¬$981)</f>
      </c>
      <c r="DE981">
        <f>IF(ISBLANK('Data Entry'!$­$981), "", 'Data Entry'!$­$981)</f>
      </c>
      <c r="DF981">
        <f>IF(ISBLANK('Data Entry'!$®$981), "", 'Data Entry'!$®$981)</f>
      </c>
      <c r="DG981">
        <f>IF(ISBLANK('Data Entry'!$¯$981), "", 'Data Entry'!$¯$981)</f>
      </c>
      <c r="DH981">
        <f>IF(ISBLANK('Data Entry'!$°$981), "", 'Data Entry'!$°$981)</f>
      </c>
      <c r="DI981">
        <f>IF(ISBLANK('Data Entry'!$±$981), "", 'Data Entry'!$±$981)</f>
      </c>
      <c r="DJ981">
        <f>IF(ISBLANK('Data Entry'!$²$981), "", 'Data Entry'!$²$981)</f>
      </c>
      <c r="DK981">
        <f>IF(ISBLANK('Data Entry'!$³$981), "", 'Data Entry'!$³$981)</f>
      </c>
      <c r="DL981">
        <f>IF(ISBLANK('Data Entry'!$´$981), "", 'Data Entry'!$´$981)</f>
      </c>
      <c r="DM981">
        <f>IF(ISBLANK('Data Entry'!$µ$981), "", 'Data Entry'!$µ$981)</f>
      </c>
      <c r="DN981">
        <f>IF(ISBLANK('Data Entry'!$¶$981), "", 'Data Entry'!$¶$981)</f>
      </c>
      <c r="DO981">
        <f>IF(ISBLANK('Data Entry'!$·$981), "", 'Data Entry'!$·$981)</f>
      </c>
      <c r="DP981">
        <f>IF(ISBLANK('Data Entry'!$¸$981), "", 'Data Entry'!$¸$981)</f>
      </c>
      <c r="DQ981">
        <f>IF(ISBLANK('Data Entry'!$¹$981), "", 'Data Entry'!$¹$981)</f>
      </c>
      <c r="DR981">
        <f>IF(ISBLANK('Data Entry'!$º$981), "", 'Data Entry'!$º$981)</f>
      </c>
      <c r="DS981">
        <f>IF(ISBLANK('Data Entry'!$»$981), "", 'Data Entry'!$»$981)</f>
      </c>
      <c r="DT981">
        <f>IF(ISBLANK('Data Entry'!$¼$981), "", 'Data Entry'!$¼$981)</f>
      </c>
      <c r="DU981">
        <f>IF(ISBLANK('Data Entry'!$½$981), "", 'Data Entry'!$½$981)</f>
      </c>
      <c r="DV981">
        <f>IF(ISBLANK('Data Entry'!$¾$981), "", 'Data Entry'!$¾$981)</f>
      </c>
      <c r="DW981">
        <f>IF(ISBLANK('Data Entry'!$¿$981), "", 'Data Entry'!$¿$981)</f>
      </c>
      <c r="DX981">
        <f>IF(ISBLANK('Data Entry'!$À$981), "", 'Data Entry'!$À$981)</f>
      </c>
      <c r="DY981">
        <f>IF(ISBLANK('Data Entry'!$Á$981), "", 'Data Entry'!$Á$981)</f>
      </c>
      <c r="DZ981">
        <f>IF(ISBLANK('Data Entry'!$Â$981), "", 'Data Entry'!$Â$981)</f>
      </c>
      <c r="EA981">
        <f>IF(ISBLANK('Data Entry'!$Ã$981), "", 'Data Entry'!$Ã$981)</f>
      </c>
      <c r="EB981">
        <f>IF(ISBLANK('Data Entry'!$Ä$981), "", 'Data Entry'!$Ä$981)</f>
      </c>
      <c r="EC981">
        <f>IF(ISBLANK('Data Entry'!$Å$981), "", 'Data Entry'!$Å$981)</f>
      </c>
      <c r="ED981">
        <f>IF(ISBLANK('Data Entry'!$Æ$981), "", 'Data Entry'!$Æ$981)</f>
      </c>
      <c r="EE981">
        <f>IF(ISBLANK('Data Entry'!$Ç$981), "", 'Data Entry'!$Ç$981)</f>
      </c>
      <c r="EF981">
        <f>IF(ISBLANK('Data Entry'!$È$981), "", 'Data Entry'!$È$981)</f>
      </c>
      <c r="EG981">
        <f>IF(ISBLANK('Data Entry'!$É$981), "", 'Data Entry'!$É$981)</f>
      </c>
      <c r="EH981">
        <f>IF(ISBLANK('Data Entry'!$Ê$981), "", 'Data Entry'!$Ê$981)</f>
      </c>
      <c r="EI981">
        <f>IF(ISBLANK('Data Entry'!$Ë$981), "", 'Data Entry'!$Ë$981)</f>
      </c>
      <c r="EJ981">
        <f>IF(ISBLANK('Data Entry'!$Ì$981), "", 'Data Entry'!$Ì$981)</f>
      </c>
      <c r="EK981">
        <f>IF(ISBLANK('Data Entry'!$Í$981), "", 'Data Entry'!$Í$981)</f>
      </c>
      <c r="EL981">
        <f>IF(ISBLANK('Data Entry'!$Î$981), "", 'Data Entry'!$Î$981)</f>
      </c>
      <c r="EM981">
        <f>IF(ISBLANK('Data Entry'!$Ï$981), "", 'Data Entry'!$Ï$981)</f>
      </c>
      <c r="EN981">
        <f>IF(ISBLANK('Data Entry'!$Ð$981), "", 'Data Entry'!$Ð$981)</f>
      </c>
      <c r="EO981">
        <f>IF(ISBLANK('Data Entry'!$Ñ$981), "", 'Data Entry'!$Ñ$981)</f>
      </c>
      <c r="EP981">
        <f>IF(ISBLANK('Data Entry'!$Ò$981), "", 'Data Entry'!$Ò$981)</f>
      </c>
      <c r="EQ981">
        <f>IF(ISBLANK('Data Entry'!$Ó$981), "", 'Data Entry'!$Ó$981)</f>
      </c>
      <c r="ER981">
        <f>IF(ISBLANK('Data Entry'!$Ô$981), "", 'Data Entry'!$Ô$981)</f>
      </c>
      <c r="ES981">
        <f>IF(ISBLANK('Data Entry'!$Õ$981), "", 'Data Entry'!$Õ$981)</f>
      </c>
      <c r="ET981">
        <f>IF(ISBLANK('Data Entry'!$Ö$981), "", 'Data Entry'!$Ö$981)</f>
      </c>
      <c r="EU981">
        <f>IF(ISBLANK('Data Entry'!$×$981), "", 'Data Entry'!$×$981)</f>
      </c>
      <c r="EV981">
        <f>IF(ISBLANK('Data Entry'!$Ø$981), "", 'Data Entry'!$Ø$981)</f>
      </c>
      <c r="EW981">
        <f>IF(ISBLANK('Data Entry'!$Ù$981), "", 'Data Entry'!$Ù$981)</f>
      </c>
      <c r="EX981">
        <f>IF(ISBLANK('Data Entry'!$Ú$981), "", 'Data Entry'!$Ú$981)</f>
      </c>
      <c r="EY981">
        <f>IF(ISBLANK('Data Entry'!$Û$981), "", 'Data Entry'!$Û$981)</f>
      </c>
      <c r="EZ981">
        <f>IF(ISBLANK('Data Entry'!$Ü$981), "", 'Data Entry'!$Ü$981)</f>
      </c>
      <c r="FA981">
        <f>IF(ISBLANK('Data Entry'!$Ý$981), "", 'Data Entry'!$Ý$981)</f>
      </c>
      <c r="FB981">
        <f>IF(ISBLANK('Data Entry'!$Þ$981), "", 'Data Entry'!$Þ$981)</f>
      </c>
      <c r="FC981">
        <f>IF(ISBLANK('Data Entry'!$ß$981), "", 'Data Entry'!$ß$981)</f>
      </c>
      <c r="FD981">
        <f>IF(ISBLANK('Data Entry'!$à$981), "", 'Data Entry'!$à$981)</f>
      </c>
      <c r="FE981">
        <f>IF(ISBLANK('Data Entry'!$á$981), "", 'Data Entry'!$á$981)</f>
      </c>
      <c r="FF981">
        <f>IF(ISBLANK('Data Entry'!$â$981), "", 'Data Entry'!$â$981)</f>
      </c>
      <c r="FG981">
        <f>IF(ISBLANK('Data Entry'!$ã$981), "", 'Data Entry'!$ã$981)</f>
      </c>
      <c r="FH981">
        <f>IF(ISBLANK('Data Entry'!$ä$981), "", 'Data Entry'!$ä$981)</f>
      </c>
      <c r="FI981">
        <f>IF(ISBLANK('Data Entry'!$å$981), "", 'Data Entry'!$å$981)</f>
      </c>
      <c r="FJ981">
        <f>IF(ISBLANK('Data Entry'!$æ$981), "", 'Data Entry'!$æ$981)</f>
      </c>
      <c r="FK981">
        <f>IF(ISBLANK('Data Entry'!$ç$981), "", 'Data Entry'!$ç$981)</f>
      </c>
      <c r="FL981">
        <f>IF(ISBLANK('Data Entry'!$è$981), "", 'Data Entry'!$è$981)</f>
      </c>
      <c r="FM981">
        <f>IF(ISBLANK('Data Entry'!$é$981), "", 'Data Entry'!$é$981)</f>
      </c>
      <c r="FN981">
        <f>IF(ISBLANK('Data Entry'!$ê$981), "", 'Data Entry'!$ê$981)</f>
      </c>
      <c r="FO981">
        <f>IF(ISBLANK('Data Entry'!$ë$981), "", 'Data Entry'!$ë$981)</f>
      </c>
      <c r="FP981">
        <f>IF(ISBLANK('Data Entry'!$ì$981), "", 'Data Entry'!$ì$981)</f>
      </c>
      <c r="FQ981">
        <f>IF(ISBLANK('Data Entry'!$í$981), "", 'Data Entry'!$í$981)</f>
      </c>
      <c r="FR981">
        <f>IF(ISBLANK('Data Entry'!$î$981), "", 'Data Entry'!$î$981)</f>
      </c>
      <c r="FS981">
        <f>IF(ISBLANK('Data Entry'!$ï$981), "", 'Data Entry'!$ï$981)</f>
      </c>
      <c r="FT981">
        <f>IF(ISBLANK('Data Entry'!$ð$981), "", 'Data Entry'!$ð$981)</f>
      </c>
      <c r="FU981">
        <f>IF(ISBLANK('Data Entry'!$ñ$981), "", 'Data Entry'!$ñ$981)</f>
      </c>
      <c r="FV981">
        <f>IF(ISBLANK('Data Entry'!$ò$981), "", 'Data Entry'!$ò$981)</f>
      </c>
      <c r="FW981">
        <f>IF(ISBLANK('Data Entry'!$ó$981), "", 'Data Entry'!$ó$981)</f>
      </c>
      <c r="FX981">
        <f>IF(ISBLANK('Data Entry'!$ô$981), "", 'Data Entry'!$ô$981)</f>
      </c>
      <c r="FY981">
        <f>IF(ISBLANK('Data Entry'!$õ$981), "", 'Data Entry'!$õ$981)</f>
      </c>
      <c r="FZ981">
        <f>IF(ISBLANK('Data Entry'!$ö$981), "", 'Data Entry'!$ö$981)</f>
      </c>
      <c r="GA981">
        <f>IF(ISBLANK('Data Entry'!$÷$981), "", 'Data Entry'!$÷$981)</f>
      </c>
      <c r="GB981">
        <f>IF(ISBLANK('Data Entry'!$ø$981), "", 'Data Entry'!$ø$981)</f>
      </c>
      <c r="GC981">
        <f>IF(ISBLANK('Data Entry'!$ù$981), "", 'Data Entry'!$ù$981)</f>
      </c>
      <c r="GD981">
        <f>IF(ISBLANK('Data Entry'!$ú$981), "", 'Data Entry'!$ú$981)</f>
      </c>
      <c r="GE981">
        <f>IF(ISBLANK('Data Entry'!$û$981), "", 'Data Entry'!$û$981)</f>
      </c>
      <c r="GF981">
        <f>IF(ISBLANK('Data Entry'!$ü$981), "", 'Data Entry'!$ü$981)</f>
      </c>
      <c r="GG981">
        <f>IF(ISBLANK('Data Entry'!$ý$981), "", 'Data Entry'!$ý$981)</f>
      </c>
      <c r="GH981">
        <f>IF(ISBLANK('Data Entry'!$þ$981), "", 'Data Entry'!$þ$981)</f>
      </c>
      <c r="GI981">
        <f>IF(ISBLANK('Data Entry'!$ÿ$981), "", 'Data Entry'!$ÿ$981)</f>
      </c>
      <c r="GJ981">
        <f>IF(ISBLANK('Data Entry'!$Ā$981), "", 'Data Entry'!$Ā$981)</f>
      </c>
      <c r="GK981">
        <f>IF(ISBLANK('Data Entry'!$ā$981), "", 'Data Entry'!$ā$981)</f>
      </c>
      <c r="GL981">
        <f>IF(ISBLANK('Data Entry'!$Ă$981), "", 'Data Entry'!$Ă$981)</f>
      </c>
      <c r="GM981">
        <f>IF(ISBLANK('Data Entry'!$ă$981), "", 'Data Entry'!$ă$981)</f>
      </c>
      <c r="GN981">
        <f>IF(ISBLANK('Data Entry'!$Ą$981), "", 'Data Entry'!$Ą$981)</f>
      </c>
      <c r="GO981">
        <f>IF(ISBLANK('Data Entry'!$ą$981), "", 'Data Entry'!$ą$981)</f>
      </c>
      <c r="GP981">
        <f>IF(ISBLANK('Data Entry'!$Ć$981), "", 'Data Entry'!$Ć$981)</f>
      </c>
      <c r="GQ981">
        <f>IF(ISBLANK('Data Entry'!$ć$981), "", 'Data Entry'!$ć$981)</f>
      </c>
      <c r="GR981">
        <f>IF(ISBLANK('Data Entry'!$Ĉ$981), "", 'Data Entry'!$Ĉ$981)</f>
      </c>
      <c r="GS981">
        <f>IF(ISBLANK('Data Entry'!$ĉ$981), "", 'Data Entry'!$ĉ$981)</f>
      </c>
      <c r="GT981">
        <f>IF(ISBLANK('Data Entry'!$Ċ$981), "", 'Data Entry'!$Ċ$981)</f>
      </c>
      <c r="GU981">
        <f>IF(ISBLANK('Data Entry'!$ċ$981), "", 'Data Entry'!$ċ$981)</f>
      </c>
      <c r="GV981">
        <f>IF(ISBLANK('Data Entry'!$Č$981), "", 'Data Entry'!$Č$981)</f>
      </c>
      <c r="GW981">
        <f>IF(ISBLANK('Data Entry'!$č$981), "", 'Data Entry'!$č$981)</f>
      </c>
      <c r="GX981">
        <f>IF(ISBLANK('Data Entry'!$Ď$981), "", 'Data Entry'!$Ď$981)</f>
      </c>
      <c r="GY981">
        <f>IF(ISBLANK('Data Entry'!$ď$981), "", 'Data Entry'!$ď$981)</f>
      </c>
      <c r="GZ981">
        <f>IF(ISBLANK('Data Entry'!$Đ$981), "", 'Data Entry'!$Đ$981)</f>
      </c>
      <c r="HA981">
        <f>IF(ISBLANK('Data Entry'!$đ$981), "", 'Data Entry'!$đ$981)</f>
      </c>
      <c r="HB981">
        <f>IF(ISBLANK('Data Entry'!$Ē$981), "", 'Data Entry'!$Ē$981)</f>
      </c>
      <c r="HC981">
        <f>IF(ISBLANK('Data Entry'!$ē$981), "", 'Data Entry'!$ē$981)</f>
      </c>
      <c r="HD981">
        <f>IF(ISBLANK('Data Entry'!$Ĕ$981), "", 'Data Entry'!$Ĕ$981)</f>
      </c>
      <c r="HE981">
        <f>IF(ISBLANK('Data Entry'!$ĕ$981), "", 'Data Entry'!$ĕ$981)</f>
      </c>
      <c r="HF981">
        <f>IF(ISBLANK('Data Entry'!$Ė$981), "", 'Data Entry'!$Ė$981)</f>
      </c>
      <c r="HG981">
        <f>IF(ISBLANK('Data Entry'!$ė$981), "", 'Data Entry'!$ė$981)</f>
      </c>
      <c r="HH981">
        <f>IF(ISBLANK('Data Entry'!$Ę$981), "", 'Data Entry'!$Ę$981)</f>
      </c>
      <c r="HI981">
        <f>IF(ISBLANK('Data Entry'!$ę$981), "", 'Data Entry'!$ę$981)</f>
      </c>
      <c r="HJ981">
        <f>IF(ISBLANK('Data Entry'!$Ě$981), "", 'Data Entry'!$Ě$981)</f>
      </c>
      <c r="HK981">
        <f>IF(ISBLANK('Data Entry'!$ě$981), "", 'Data Entry'!$ě$981)</f>
      </c>
      <c r="HL981">
        <f>IF(ISBLANK('Data Entry'!$Ĝ$981), "", 'Data Entry'!$Ĝ$981)</f>
      </c>
      <c r="HM981">
        <f>IF(ISBLANK('Data Entry'!$ĝ$981), "", 'Data Entry'!$ĝ$981)</f>
      </c>
      <c r="HN981">
        <f>IF(ISBLANK('Data Entry'!$Ğ$981), "", 'Data Entry'!$Ğ$981)</f>
      </c>
      <c r="HO981">
        <f>IF(ISBLANK('Data Entry'!$ğ$981), "", 'Data Entry'!$ğ$981)</f>
      </c>
      <c r="HP981">
        <f>IF(ISBLANK('Data Entry'!$Ġ$981), "", 'Data Entry'!$Ġ$981)</f>
      </c>
      <c r="HQ981">
        <f>IF(ISBLANK('Data Entry'!$ġ$981), "", 'Data Entry'!$ġ$981)</f>
      </c>
      <c r="HR981">
        <f>IF(ISBLANK('Data Entry'!$Ģ$981), "", 'Data Entry'!$Ģ$981)</f>
      </c>
      <c r="HS981">
        <f>IF(ISBLANK('Data Entry'!$ģ$981), "", 'Data Entry'!$ģ$981)</f>
      </c>
      <c r="HT981">
        <f>IF(ISBLANK('Data Entry'!$Ĥ$981), "", 'Data Entry'!$Ĥ$981)</f>
      </c>
      <c r="HU981">
        <f>IF(ISBLANK('Data Entry'!$ĥ$981), "", 'Data Entry'!$ĥ$981)</f>
      </c>
      <c r="HV981">
        <f>IF(ISBLANK('Data Entry'!$Ħ$981), "", 'Data Entry'!$Ħ$981)</f>
      </c>
      <c r="HW981">
        <f>IF(ISBLANK('Data Entry'!$ħ$981), "", 'Data Entry'!$ħ$981)</f>
      </c>
      <c r="HX981">
        <f>IF(ISBLANK('Data Entry'!$Ĩ$981), "", 'Data Entry'!$Ĩ$981)</f>
      </c>
      <c r="HY981">
        <f>IF(ISBLANK('Data Entry'!$ĩ$981), "", 'Data Entry'!$ĩ$981)</f>
      </c>
      <c r="HZ981">
        <f>IF(ISBLANK('Data Entry'!$Ī$981), "", 'Data Entry'!$Ī$981)</f>
      </c>
      <c r="IA981">
        <f>IF(ISBLANK('Data Entry'!$ī$981), "", 'Data Entry'!$ī$981)</f>
      </c>
      <c r="IB981">
        <f>IF(ISBLANK('Data Entry'!$Ĭ$981), "", 'Data Entry'!$Ĭ$981)</f>
      </c>
      <c r="IC981">
        <f>IF(ISBLANK('Data Entry'!$ĭ$981), "", 'Data Entry'!$ĭ$981)</f>
      </c>
      <c r="ID981">
        <f>IF(ISBLANK('Data Entry'!$Į$981), "", 'Data Entry'!$Į$981)</f>
      </c>
      <c r="IE981">
        <f>IF(ISBLANK('Data Entry'!$į$981), "", 'Data Entry'!$į$981)</f>
      </c>
      <c r="IF981">
        <f>IF(ISBLANK('Data Entry'!$İ$981), "", 'Data Entry'!$İ$981)</f>
      </c>
      <c r="IG981">
        <f>IF(ISBLANK('Data Entry'!$ı$981), "", 'Data Entry'!$ı$981)</f>
      </c>
      <c r="IH981">
        <f>IF(ISBLANK('Data Entry'!$Ĳ$981), "", 'Data Entry'!$Ĳ$981)</f>
      </c>
      <c r="II981">
        <f>IF(ISBLANK('Data Entry'!$ĳ$981), "", 'Data Entry'!$ĳ$981)</f>
      </c>
      <c r="IJ981">
        <f>IF(ISBLANK('Data Entry'!$Ĵ$981), "", 'Data Entry'!$Ĵ$981)</f>
      </c>
      <c r="IK981">
        <f>IF(ISBLANK('Data Entry'!$ĵ$981), "", 'Data Entry'!$ĵ$981)</f>
      </c>
      <c r="IL981">
        <f>IF(ISBLANK('Data Entry'!$Ķ$981), "", 'Data Entry'!$Ķ$981)</f>
      </c>
      <c r="IM981">
        <f>IF(ISBLANK('Data Entry'!$ķ$981), "", 'Data Entry'!$ķ$981)</f>
      </c>
      <c r="IN981">
        <f>IF(ISBLANK('Data Entry'!$ĸ$981), "", 'Data Entry'!$ĸ$981)</f>
      </c>
      <c r="IO981">
        <f>IF(ISBLANK('Data Entry'!$Ĺ$981), "", 'Data Entry'!$Ĺ$981)</f>
      </c>
      <c r="IP981">
        <f>IF(ISBLANK('Data Entry'!$ĺ$981), "", 'Data Entry'!$ĺ$981)</f>
      </c>
      <c r="IQ981">
        <f>IF(ISBLANK('Data Entry'!$Ļ$981), "", 'Data Entry'!$Ļ$981)</f>
      </c>
      <c r="IR981">
        <f>IF(ISBLANK('Data Entry'!$ļ$981), "", 'Data Entry'!$ļ$981)</f>
      </c>
      <c r="IS981">
        <f>IF(ISBLANK('Data Entry'!$Ľ$981), "", 'Data Entry'!$Ľ$981)</f>
      </c>
      <c r="IT981">
        <f>IF(ISBLANK('Data Entry'!$ľ$981), "", 'Data Entry'!$ľ$981)</f>
      </c>
    </row>
    <row r="982" spans="1:254" x14ac:dyDescent="0.25">
      <c r="A982">
        <f>IF(ISBLANK('Data Entry'!$A$982), "", 'Data Entry'!$A$982)</f>
      </c>
      <c r="B982">
        <f>IF(ISBLANK('Data Entry'!$B$982), "", 'Data Entry'!$B$982)</f>
      </c>
      <c r="C982">
        <f>IF(ISBLANK('Data Entry'!$C$982), "", 'Data Entry'!$C$982)</f>
      </c>
      <c r="D982">
        <f>IF(ISBLANK('Data Entry'!$D$982), "", 'Data Entry'!$D$982)</f>
      </c>
      <c r="E982">
        <f>IF(ISBLANK('Data Entry'!$E$982), "", 'Data Entry'!$E$982)</f>
      </c>
      <c r="F982">
        <f>IF(ISBLANK('Data Entry'!$F$982), "", 'Data Entry'!$F$982)</f>
      </c>
      <c r="G982">
        <f>IF(ISBLANK('Data Entry'!$G$982), "", 'Data Entry'!$G$982)</f>
      </c>
      <c r="H982">
        <f>IF(ISBLANK('Data Entry'!$H$982), "", 'Data Entry'!$H$982)</f>
      </c>
      <c r="I982">
        <f>IF(ISBLANK('Data Entry'!$I$982), "", 'Data Entry'!$I$982)</f>
      </c>
      <c r="J982">
        <f>IF(ISBLANK('Data Entry'!$J$982), "", 'Data Entry'!$J$982)</f>
      </c>
      <c r="K982">
        <f>IF(ISBLANK('Data Entry'!$K$982), "", 'Data Entry'!$K$982)</f>
      </c>
      <c r="L982">
        <f>IF(ISBLANK('Data Entry'!$L$982), "", 'Data Entry'!$L$982)</f>
      </c>
      <c r="M982">
        <f>IF(ISBLANK('Data Entry'!$M$982), "", 'Data Entry'!$M$982)</f>
      </c>
      <c r="N982">
        <f>IF(ISBLANK('Data Entry'!$N$982), "", 'Data Entry'!$N$982)</f>
      </c>
      <c r="O982">
        <f>IF(ISBLANK('Data Entry'!$O$982), "", 'Data Entry'!$O$982)</f>
      </c>
      <c r="P982">
        <f>IF(ISBLANK('Data Entry'!$P$982), "", 'Data Entry'!$P$982)</f>
      </c>
      <c r="Q982">
        <f>IF(ISBLANK('Data Entry'!$Q$982), "", 'Data Entry'!$Q$982)</f>
      </c>
      <c r="R982">
        <f>IF(ISBLANK('Data Entry'!$R$982), "", 'Data Entry'!$R$982)</f>
      </c>
      <c r="S982">
        <f>IF(ISBLANK('Data Entry'!$S$982), "", 'Data Entry'!$S$982)</f>
      </c>
      <c r="T982">
        <f>IF(ISBLANK('Data Entry'!$T$982), "", 'Data Entry'!$T$982)</f>
      </c>
      <c r="U982">
        <f>IF(ISBLANK('Data Entry'!$U$982), "", 'Data Entry'!$U$982)</f>
      </c>
      <c r="V982">
        <f>IF(ISBLANK('Data Entry'!$V$982), "", 'Data Entry'!$V$982)</f>
      </c>
      <c r="W982">
        <f>IF(ISBLANK('Data Entry'!$W$982), "", 'Data Entry'!$W$982)</f>
      </c>
      <c r="X982">
        <f>IF(ISBLANK('Data Entry'!$X$982), "", 'Data Entry'!$X$982)</f>
      </c>
      <c r="Y982">
        <f>IF(ISBLANK('Data Entry'!$Y$982), "", 'Data Entry'!$Y$982)</f>
      </c>
      <c r="Z982">
        <f>IF(ISBLANK('Data Entry'!$Z$982), "", 'Data Entry'!$Z$982)</f>
      </c>
      <c r="AA982">
        <f>IF(ISBLANK('Data Entry'!$[$982), "", 'Data Entry'!$[$982)</f>
      </c>
      <c r="AB982">
        <f>IF(ISBLANK('Data Entry'!$\$982), "", 'Data Entry'!$\$982)</f>
      </c>
      <c r="AC982">
        <f>IF(ISBLANK('Data Entry'!$]$982), "", 'Data Entry'!$]$982)</f>
      </c>
      <c r="AD982">
        <f>IF(ISBLANK('Data Entry'!$^$982), "", 'Data Entry'!$^$982)</f>
      </c>
      <c r="AE982">
        <f>IF(ISBLANK('Data Entry'!$_$982), "", 'Data Entry'!$_$982)</f>
      </c>
      <c r="AF982">
        <f>IF(ISBLANK('Data Entry'!$`$982), "", 'Data Entry'!$`$982)</f>
      </c>
      <c r="AG982">
        <f>IF(ISBLANK('Data Entry'!$a$982), "", 'Data Entry'!$a$982)</f>
      </c>
      <c r="AH982">
        <f>IF(ISBLANK('Data Entry'!$b$982), "", 'Data Entry'!$b$982)</f>
      </c>
      <c r="AI982">
        <f>IF(ISBLANK('Data Entry'!$c$982), "", 'Data Entry'!$c$982)</f>
      </c>
      <c r="AJ982">
        <f>IF(ISBLANK('Data Entry'!$d$982), "", 'Data Entry'!$d$982)</f>
      </c>
      <c r="AK982">
        <f>IF(ISBLANK('Data Entry'!$e$982), "", 'Data Entry'!$e$982)</f>
      </c>
      <c r="AL982">
        <f>IF(ISBLANK('Data Entry'!$f$982), "", 'Data Entry'!$f$982)</f>
      </c>
      <c r="AM982">
        <f>IF(ISBLANK('Data Entry'!$g$982), "", 'Data Entry'!$g$982)</f>
      </c>
      <c r="AN982">
        <f>IF(ISBLANK('Data Entry'!$h$982), "", 'Data Entry'!$h$982)</f>
      </c>
      <c r="AO982">
        <f>IF(ISBLANK('Data Entry'!$i$982), "", 'Data Entry'!$i$982)</f>
      </c>
      <c r="AP982">
        <f>IF(ISBLANK('Data Entry'!$j$982), "", 'Data Entry'!$j$982)</f>
      </c>
      <c r="AQ982">
        <f>IF(ISBLANK('Data Entry'!$k$982), "", 'Data Entry'!$k$982)</f>
      </c>
      <c r="AR982">
        <f>IF(ISBLANK('Data Entry'!$l$982), "", 'Data Entry'!$l$982)</f>
      </c>
      <c r="AS982">
        <f>IF(ISBLANK('Data Entry'!$m$982), "", 'Data Entry'!$m$982)</f>
      </c>
      <c r="AT982">
        <f>IF(ISBLANK('Data Entry'!$n$982), "", 'Data Entry'!$n$982)</f>
      </c>
      <c r="AU982">
        <f>IF(ISBLANK('Data Entry'!$o$982), "", 'Data Entry'!$o$982)</f>
      </c>
      <c r="AV982">
        <f>IF(ISBLANK('Data Entry'!$p$982), "", 'Data Entry'!$p$982)</f>
      </c>
      <c r="AW982">
        <f>IF(ISBLANK('Data Entry'!$q$982), "", 'Data Entry'!$q$982)</f>
      </c>
      <c r="AX982">
        <f>IF(ISBLANK('Data Entry'!$r$982), "", 'Data Entry'!$r$982)</f>
      </c>
      <c r="AY982">
        <f>IF(ISBLANK('Data Entry'!$s$982), "", 'Data Entry'!$s$982)</f>
      </c>
      <c r="AZ982">
        <f>IF(ISBLANK('Data Entry'!$t$982), "", 'Data Entry'!$t$982)</f>
      </c>
      <c r="BA982">
        <f>IF(ISBLANK('Data Entry'!$u$982), "", 'Data Entry'!$u$982)</f>
      </c>
      <c r="BB982">
        <f>IF(ISBLANK('Data Entry'!$v$982), "", 'Data Entry'!$v$982)</f>
      </c>
      <c r="BC982">
        <f>IF(ISBLANK('Data Entry'!$w$982), "", 'Data Entry'!$w$982)</f>
      </c>
      <c r="BD982">
        <f>IF(ISBLANK('Data Entry'!$x$982), "", 'Data Entry'!$x$982)</f>
      </c>
      <c r="BE982">
        <f>IF(ISBLANK('Data Entry'!$y$982), "", 'Data Entry'!$y$982)</f>
      </c>
      <c r="BF982">
        <f>IF(ISBLANK('Data Entry'!$z$982), "", 'Data Entry'!$z$982)</f>
      </c>
      <c r="BG982">
        <f>IF(ISBLANK('Data Entry'!${$982), "", 'Data Entry'!${$982)</f>
      </c>
      <c r="BH982">
        <f>IF(ISBLANK('Data Entry'!$|$982), "", 'Data Entry'!$|$982)</f>
      </c>
      <c r="BI982">
        <f>IF(ISBLANK('Data Entry'!$}$982), "", 'Data Entry'!$}$982)</f>
      </c>
      <c r="BJ982">
        <f>IF(ISBLANK('Data Entry'!$~$982), "", 'Data Entry'!$~$982)</f>
      </c>
      <c r="BK982">
        <f>IF(ISBLANK('Data Entry'!$$982), "", 'Data Entry'!$$982)</f>
      </c>
      <c r="BL982">
        <f>IF(ISBLANK('Data Entry'!$$982), "", 'Data Entry'!$$982)</f>
      </c>
      <c r="BM982">
        <f>IF(ISBLANK('Data Entry'!$$982), "", 'Data Entry'!$$982)</f>
      </c>
      <c r="BN982">
        <f>IF(ISBLANK('Data Entry'!$$982), "", 'Data Entry'!$$982)</f>
      </c>
      <c r="BO982">
        <f>IF(ISBLANK('Data Entry'!$$982), "", 'Data Entry'!$$982)</f>
      </c>
      <c r="BP982">
        <f>IF(ISBLANK('Data Entry'!$$982), "", 'Data Entry'!$$982)</f>
      </c>
      <c r="BQ982">
        <f>IF(ISBLANK('Data Entry'!$$982), "", 'Data Entry'!$$982)</f>
      </c>
      <c r="BR982">
        <f>IF(ISBLANK('Data Entry'!$$982), "", 'Data Entry'!$$982)</f>
      </c>
      <c r="BS982">
        <f>IF(ISBLANK('Data Entry'!$$982), "", 'Data Entry'!$$982)</f>
      </c>
      <c r="BT982">
        <f>IF(ISBLANK('Data Entry'!$$982), "", 'Data Entry'!$$982)</f>
      </c>
      <c r="BU982">
        <f>IF(ISBLANK('Data Entry'!$$982), "", 'Data Entry'!$$982)</f>
      </c>
      <c r="BV982">
        <f>IF(ISBLANK('Data Entry'!$$982), "", 'Data Entry'!$$982)</f>
      </c>
      <c r="BW982">
        <f>IF(ISBLANK('Data Entry'!$$982), "", 'Data Entry'!$$982)</f>
      </c>
      <c r="BX982">
        <f>IF(ISBLANK('Data Entry'!$$982), "", 'Data Entry'!$$982)</f>
      </c>
      <c r="BY982">
        <f>IF(ISBLANK('Data Entry'!$$982), "", 'Data Entry'!$$982)</f>
      </c>
      <c r="BZ982">
        <f>IF(ISBLANK('Data Entry'!$$982), "", 'Data Entry'!$$982)</f>
      </c>
      <c r="CA982">
        <f>IF(ISBLANK('Data Entry'!$$982), "", 'Data Entry'!$$982)</f>
      </c>
      <c r="CB982">
        <f>IF(ISBLANK('Data Entry'!$$982), "", 'Data Entry'!$$982)</f>
      </c>
      <c r="CC982">
        <f>IF(ISBLANK('Data Entry'!$$982), "", 'Data Entry'!$$982)</f>
      </c>
      <c r="CD982">
        <f>IF(ISBLANK('Data Entry'!$$982), "", 'Data Entry'!$$982)</f>
      </c>
      <c r="CE982">
        <f>IF(ISBLANK('Data Entry'!$$982), "", 'Data Entry'!$$982)</f>
      </c>
      <c r="CF982">
        <f>IF(ISBLANK('Data Entry'!$$982), "", 'Data Entry'!$$982)</f>
      </c>
      <c r="CG982">
        <f>IF(ISBLANK('Data Entry'!$$982), "", 'Data Entry'!$$982)</f>
      </c>
      <c r="CH982">
        <f>IF(ISBLANK('Data Entry'!$$982), "", 'Data Entry'!$$982)</f>
      </c>
      <c r="CI982">
        <f>IF(ISBLANK('Data Entry'!$$982), "", 'Data Entry'!$$982)</f>
      </c>
      <c r="CJ982">
        <f>IF(ISBLANK('Data Entry'!$$982), "", 'Data Entry'!$$982)</f>
      </c>
      <c r="CK982">
        <f>IF(ISBLANK('Data Entry'!$$982), "", 'Data Entry'!$$982)</f>
      </c>
      <c r="CL982">
        <f>IF(ISBLANK('Data Entry'!$$982), "", 'Data Entry'!$$982)</f>
      </c>
      <c r="CM982">
        <f>IF(ISBLANK('Data Entry'!$$982), "", 'Data Entry'!$$982)</f>
      </c>
      <c r="CN982">
        <f>IF(ISBLANK('Data Entry'!$$982), "", 'Data Entry'!$$982)</f>
      </c>
      <c r="CO982">
        <f>IF(ISBLANK('Data Entry'!$$982), "", 'Data Entry'!$$982)</f>
      </c>
      <c r="CP982">
        <f>IF(ISBLANK('Data Entry'!$$982), "", 'Data Entry'!$$982)</f>
      </c>
      <c r="CQ982">
        <f>IF(ISBLANK('Data Entry'!$$982), "", 'Data Entry'!$$982)</f>
      </c>
      <c r="CR982">
        <f>IF(ISBLANK('Data Entry'!$ $982), "", 'Data Entry'!$ $982)</f>
      </c>
      <c r="CS982">
        <f>IF(ISBLANK('Data Entry'!$¡$982), "", 'Data Entry'!$¡$982)</f>
      </c>
      <c r="CT982">
        <f>IF(ISBLANK('Data Entry'!$¢$982), "", 'Data Entry'!$¢$982)</f>
      </c>
      <c r="CU982">
        <f>IF(ISBLANK('Data Entry'!$£$982), "", 'Data Entry'!$£$982)</f>
      </c>
      <c r="CV982">
        <f>IF(ISBLANK('Data Entry'!$¤$982), "", 'Data Entry'!$¤$982)</f>
      </c>
      <c r="CW982">
        <f>IF(ISBLANK('Data Entry'!$¥$982), "", 'Data Entry'!$¥$982)</f>
      </c>
      <c r="CX982">
        <f>IF(ISBLANK('Data Entry'!$¦$982), "", 'Data Entry'!$¦$982)</f>
      </c>
      <c r="CY982">
        <f>IF(ISBLANK('Data Entry'!$§$982), "", 'Data Entry'!$§$982)</f>
      </c>
      <c r="CZ982">
        <f>IF(ISBLANK('Data Entry'!$¨$982), "", 'Data Entry'!$¨$982)</f>
      </c>
      <c r="DA982">
        <f>IF(ISBLANK('Data Entry'!$©$982), "", 'Data Entry'!$©$982)</f>
      </c>
      <c r="DB982">
        <f>IF(ISBLANK('Data Entry'!$ª$982), "", 'Data Entry'!$ª$982)</f>
      </c>
      <c r="DC982">
        <f>IF(ISBLANK('Data Entry'!$«$982), "", 'Data Entry'!$«$982)</f>
      </c>
      <c r="DD982">
        <f>IF(ISBLANK('Data Entry'!$¬$982), "", 'Data Entry'!$¬$982)</f>
      </c>
      <c r="DE982">
        <f>IF(ISBLANK('Data Entry'!$­$982), "", 'Data Entry'!$­$982)</f>
      </c>
      <c r="DF982">
        <f>IF(ISBLANK('Data Entry'!$®$982), "", 'Data Entry'!$®$982)</f>
      </c>
      <c r="DG982">
        <f>IF(ISBLANK('Data Entry'!$¯$982), "", 'Data Entry'!$¯$982)</f>
      </c>
      <c r="DH982">
        <f>IF(ISBLANK('Data Entry'!$°$982), "", 'Data Entry'!$°$982)</f>
      </c>
      <c r="DI982">
        <f>IF(ISBLANK('Data Entry'!$±$982), "", 'Data Entry'!$±$982)</f>
      </c>
      <c r="DJ982">
        <f>IF(ISBLANK('Data Entry'!$²$982), "", 'Data Entry'!$²$982)</f>
      </c>
      <c r="DK982">
        <f>IF(ISBLANK('Data Entry'!$³$982), "", 'Data Entry'!$³$982)</f>
      </c>
      <c r="DL982">
        <f>IF(ISBLANK('Data Entry'!$´$982), "", 'Data Entry'!$´$982)</f>
      </c>
      <c r="DM982">
        <f>IF(ISBLANK('Data Entry'!$µ$982), "", 'Data Entry'!$µ$982)</f>
      </c>
      <c r="DN982">
        <f>IF(ISBLANK('Data Entry'!$¶$982), "", 'Data Entry'!$¶$982)</f>
      </c>
      <c r="DO982">
        <f>IF(ISBLANK('Data Entry'!$·$982), "", 'Data Entry'!$·$982)</f>
      </c>
      <c r="DP982">
        <f>IF(ISBLANK('Data Entry'!$¸$982), "", 'Data Entry'!$¸$982)</f>
      </c>
      <c r="DQ982">
        <f>IF(ISBLANK('Data Entry'!$¹$982), "", 'Data Entry'!$¹$982)</f>
      </c>
      <c r="DR982">
        <f>IF(ISBLANK('Data Entry'!$º$982), "", 'Data Entry'!$º$982)</f>
      </c>
      <c r="DS982">
        <f>IF(ISBLANK('Data Entry'!$»$982), "", 'Data Entry'!$»$982)</f>
      </c>
      <c r="DT982">
        <f>IF(ISBLANK('Data Entry'!$¼$982), "", 'Data Entry'!$¼$982)</f>
      </c>
      <c r="DU982">
        <f>IF(ISBLANK('Data Entry'!$½$982), "", 'Data Entry'!$½$982)</f>
      </c>
      <c r="DV982">
        <f>IF(ISBLANK('Data Entry'!$¾$982), "", 'Data Entry'!$¾$982)</f>
      </c>
      <c r="DW982">
        <f>IF(ISBLANK('Data Entry'!$¿$982), "", 'Data Entry'!$¿$982)</f>
      </c>
      <c r="DX982">
        <f>IF(ISBLANK('Data Entry'!$À$982), "", 'Data Entry'!$À$982)</f>
      </c>
      <c r="DY982">
        <f>IF(ISBLANK('Data Entry'!$Á$982), "", 'Data Entry'!$Á$982)</f>
      </c>
      <c r="DZ982">
        <f>IF(ISBLANK('Data Entry'!$Â$982), "", 'Data Entry'!$Â$982)</f>
      </c>
      <c r="EA982">
        <f>IF(ISBLANK('Data Entry'!$Ã$982), "", 'Data Entry'!$Ã$982)</f>
      </c>
      <c r="EB982">
        <f>IF(ISBLANK('Data Entry'!$Ä$982), "", 'Data Entry'!$Ä$982)</f>
      </c>
      <c r="EC982">
        <f>IF(ISBLANK('Data Entry'!$Å$982), "", 'Data Entry'!$Å$982)</f>
      </c>
      <c r="ED982">
        <f>IF(ISBLANK('Data Entry'!$Æ$982), "", 'Data Entry'!$Æ$982)</f>
      </c>
      <c r="EE982">
        <f>IF(ISBLANK('Data Entry'!$Ç$982), "", 'Data Entry'!$Ç$982)</f>
      </c>
      <c r="EF982">
        <f>IF(ISBLANK('Data Entry'!$È$982), "", 'Data Entry'!$È$982)</f>
      </c>
      <c r="EG982">
        <f>IF(ISBLANK('Data Entry'!$É$982), "", 'Data Entry'!$É$982)</f>
      </c>
      <c r="EH982">
        <f>IF(ISBLANK('Data Entry'!$Ê$982), "", 'Data Entry'!$Ê$982)</f>
      </c>
      <c r="EI982">
        <f>IF(ISBLANK('Data Entry'!$Ë$982), "", 'Data Entry'!$Ë$982)</f>
      </c>
      <c r="EJ982">
        <f>IF(ISBLANK('Data Entry'!$Ì$982), "", 'Data Entry'!$Ì$982)</f>
      </c>
      <c r="EK982">
        <f>IF(ISBLANK('Data Entry'!$Í$982), "", 'Data Entry'!$Í$982)</f>
      </c>
      <c r="EL982">
        <f>IF(ISBLANK('Data Entry'!$Î$982), "", 'Data Entry'!$Î$982)</f>
      </c>
      <c r="EM982">
        <f>IF(ISBLANK('Data Entry'!$Ï$982), "", 'Data Entry'!$Ï$982)</f>
      </c>
      <c r="EN982">
        <f>IF(ISBLANK('Data Entry'!$Ð$982), "", 'Data Entry'!$Ð$982)</f>
      </c>
      <c r="EO982">
        <f>IF(ISBLANK('Data Entry'!$Ñ$982), "", 'Data Entry'!$Ñ$982)</f>
      </c>
      <c r="EP982">
        <f>IF(ISBLANK('Data Entry'!$Ò$982), "", 'Data Entry'!$Ò$982)</f>
      </c>
      <c r="EQ982">
        <f>IF(ISBLANK('Data Entry'!$Ó$982), "", 'Data Entry'!$Ó$982)</f>
      </c>
      <c r="ER982">
        <f>IF(ISBLANK('Data Entry'!$Ô$982), "", 'Data Entry'!$Ô$982)</f>
      </c>
      <c r="ES982">
        <f>IF(ISBLANK('Data Entry'!$Õ$982), "", 'Data Entry'!$Õ$982)</f>
      </c>
      <c r="ET982">
        <f>IF(ISBLANK('Data Entry'!$Ö$982), "", 'Data Entry'!$Ö$982)</f>
      </c>
      <c r="EU982">
        <f>IF(ISBLANK('Data Entry'!$×$982), "", 'Data Entry'!$×$982)</f>
      </c>
      <c r="EV982">
        <f>IF(ISBLANK('Data Entry'!$Ø$982), "", 'Data Entry'!$Ø$982)</f>
      </c>
      <c r="EW982">
        <f>IF(ISBLANK('Data Entry'!$Ù$982), "", 'Data Entry'!$Ù$982)</f>
      </c>
      <c r="EX982">
        <f>IF(ISBLANK('Data Entry'!$Ú$982), "", 'Data Entry'!$Ú$982)</f>
      </c>
      <c r="EY982">
        <f>IF(ISBLANK('Data Entry'!$Û$982), "", 'Data Entry'!$Û$982)</f>
      </c>
      <c r="EZ982">
        <f>IF(ISBLANK('Data Entry'!$Ü$982), "", 'Data Entry'!$Ü$982)</f>
      </c>
      <c r="FA982">
        <f>IF(ISBLANK('Data Entry'!$Ý$982), "", 'Data Entry'!$Ý$982)</f>
      </c>
      <c r="FB982">
        <f>IF(ISBLANK('Data Entry'!$Þ$982), "", 'Data Entry'!$Þ$982)</f>
      </c>
      <c r="FC982">
        <f>IF(ISBLANK('Data Entry'!$ß$982), "", 'Data Entry'!$ß$982)</f>
      </c>
      <c r="FD982">
        <f>IF(ISBLANK('Data Entry'!$à$982), "", 'Data Entry'!$à$982)</f>
      </c>
      <c r="FE982">
        <f>IF(ISBLANK('Data Entry'!$á$982), "", 'Data Entry'!$á$982)</f>
      </c>
      <c r="FF982">
        <f>IF(ISBLANK('Data Entry'!$â$982), "", 'Data Entry'!$â$982)</f>
      </c>
      <c r="FG982">
        <f>IF(ISBLANK('Data Entry'!$ã$982), "", 'Data Entry'!$ã$982)</f>
      </c>
      <c r="FH982">
        <f>IF(ISBLANK('Data Entry'!$ä$982), "", 'Data Entry'!$ä$982)</f>
      </c>
      <c r="FI982">
        <f>IF(ISBLANK('Data Entry'!$å$982), "", 'Data Entry'!$å$982)</f>
      </c>
      <c r="FJ982">
        <f>IF(ISBLANK('Data Entry'!$æ$982), "", 'Data Entry'!$æ$982)</f>
      </c>
      <c r="FK982">
        <f>IF(ISBLANK('Data Entry'!$ç$982), "", 'Data Entry'!$ç$982)</f>
      </c>
      <c r="FL982">
        <f>IF(ISBLANK('Data Entry'!$è$982), "", 'Data Entry'!$è$982)</f>
      </c>
      <c r="FM982">
        <f>IF(ISBLANK('Data Entry'!$é$982), "", 'Data Entry'!$é$982)</f>
      </c>
      <c r="FN982">
        <f>IF(ISBLANK('Data Entry'!$ê$982), "", 'Data Entry'!$ê$982)</f>
      </c>
      <c r="FO982">
        <f>IF(ISBLANK('Data Entry'!$ë$982), "", 'Data Entry'!$ë$982)</f>
      </c>
      <c r="FP982">
        <f>IF(ISBLANK('Data Entry'!$ì$982), "", 'Data Entry'!$ì$982)</f>
      </c>
      <c r="FQ982">
        <f>IF(ISBLANK('Data Entry'!$í$982), "", 'Data Entry'!$í$982)</f>
      </c>
      <c r="FR982">
        <f>IF(ISBLANK('Data Entry'!$î$982), "", 'Data Entry'!$î$982)</f>
      </c>
      <c r="FS982">
        <f>IF(ISBLANK('Data Entry'!$ï$982), "", 'Data Entry'!$ï$982)</f>
      </c>
      <c r="FT982">
        <f>IF(ISBLANK('Data Entry'!$ð$982), "", 'Data Entry'!$ð$982)</f>
      </c>
      <c r="FU982">
        <f>IF(ISBLANK('Data Entry'!$ñ$982), "", 'Data Entry'!$ñ$982)</f>
      </c>
      <c r="FV982">
        <f>IF(ISBLANK('Data Entry'!$ò$982), "", 'Data Entry'!$ò$982)</f>
      </c>
      <c r="FW982">
        <f>IF(ISBLANK('Data Entry'!$ó$982), "", 'Data Entry'!$ó$982)</f>
      </c>
      <c r="FX982">
        <f>IF(ISBLANK('Data Entry'!$ô$982), "", 'Data Entry'!$ô$982)</f>
      </c>
      <c r="FY982">
        <f>IF(ISBLANK('Data Entry'!$õ$982), "", 'Data Entry'!$õ$982)</f>
      </c>
      <c r="FZ982">
        <f>IF(ISBLANK('Data Entry'!$ö$982), "", 'Data Entry'!$ö$982)</f>
      </c>
      <c r="GA982">
        <f>IF(ISBLANK('Data Entry'!$÷$982), "", 'Data Entry'!$÷$982)</f>
      </c>
      <c r="GB982">
        <f>IF(ISBLANK('Data Entry'!$ø$982), "", 'Data Entry'!$ø$982)</f>
      </c>
      <c r="GC982">
        <f>IF(ISBLANK('Data Entry'!$ù$982), "", 'Data Entry'!$ù$982)</f>
      </c>
      <c r="GD982">
        <f>IF(ISBLANK('Data Entry'!$ú$982), "", 'Data Entry'!$ú$982)</f>
      </c>
      <c r="GE982">
        <f>IF(ISBLANK('Data Entry'!$û$982), "", 'Data Entry'!$û$982)</f>
      </c>
      <c r="GF982">
        <f>IF(ISBLANK('Data Entry'!$ü$982), "", 'Data Entry'!$ü$982)</f>
      </c>
      <c r="GG982">
        <f>IF(ISBLANK('Data Entry'!$ý$982), "", 'Data Entry'!$ý$982)</f>
      </c>
      <c r="GH982">
        <f>IF(ISBLANK('Data Entry'!$þ$982), "", 'Data Entry'!$þ$982)</f>
      </c>
      <c r="GI982">
        <f>IF(ISBLANK('Data Entry'!$ÿ$982), "", 'Data Entry'!$ÿ$982)</f>
      </c>
      <c r="GJ982">
        <f>IF(ISBLANK('Data Entry'!$Ā$982), "", 'Data Entry'!$Ā$982)</f>
      </c>
      <c r="GK982">
        <f>IF(ISBLANK('Data Entry'!$ā$982), "", 'Data Entry'!$ā$982)</f>
      </c>
      <c r="GL982">
        <f>IF(ISBLANK('Data Entry'!$Ă$982), "", 'Data Entry'!$Ă$982)</f>
      </c>
      <c r="GM982">
        <f>IF(ISBLANK('Data Entry'!$ă$982), "", 'Data Entry'!$ă$982)</f>
      </c>
      <c r="GN982">
        <f>IF(ISBLANK('Data Entry'!$Ą$982), "", 'Data Entry'!$Ą$982)</f>
      </c>
      <c r="GO982">
        <f>IF(ISBLANK('Data Entry'!$ą$982), "", 'Data Entry'!$ą$982)</f>
      </c>
      <c r="GP982">
        <f>IF(ISBLANK('Data Entry'!$Ć$982), "", 'Data Entry'!$Ć$982)</f>
      </c>
      <c r="GQ982">
        <f>IF(ISBLANK('Data Entry'!$ć$982), "", 'Data Entry'!$ć$982)</f>
      </c>
      <c r="GR982">
        <f>IF(ISBLANK('Data Entry'!$Ĉ$982), "", 'Data Entry'!$Ĉ$982)</f>
      </c>
      <c r="GS982">
        <f>IF(ISBLANK('Data Entry'!$ĉ$982), "", 'Data Entry'!$ĉ$982)</f>
      </c>
      <c r="GT982">
        <f>IF(ISBLANK('Data Entry'!$Ċ$982), "", 'Data Entry'!$Ċ$982)</f>
      </c>
      <c r="GU982">
        <f>IF(ISBLANK('Data Entry'!$ċ$982), "", 'Data Entry'!$ċ$982)</f>
      </c>
      <c r="GV982">
        <f>IF(ISBLANK('Data Entry'!$Č$982), "", 'Data Entry'!$Č$982)</f>
      </c>
      <c r="GW982">
        <f>IF(ISBLANK('Data Entry'!$č$982), "", 'Data Entry'!$č$982)</f>
      </c>
      <c r="GX982">
        <f>IF(ISBLANK('Data Entry'!$Ď$982), "", 'Data Entry'!$Ď$982)</f>
      </c>
      <c r="GY982">
        <f>IF(ISBLANK('Data Entry'!$ď$982), "", 'Data Entry'!$ď$982)</f>
      </c>
      <c r="GZ982">
        <f>IF(ISBLANK('Data Entry'!$Đ$982), "", 'Data Entry'!$Đ$982)</f>
      </c>
      <c r="HA982">
        <f>IF(ISBLANK('Data Entry'!$đ$982), "", 'Data Entry'!$đ$982)</f>
      </c>
      <c r="HB982">
        <f>IF(ISBLANK('Data Entry'!$Ē$982), "", 'Data Entry'!$Ē$982)</f>
      </c>
      <c r="HC982">
        <f>IF(ISBLANK('Data Entry'!$ē$982), "", 'Data Entry'!$ē$982)</f>
      </c>
      <c r="HD982">
        <f>IF(ISBLANK('Data Entry'!$Ĕ$982), "", 'Data Entry'!$Ĕ$982)</f>
      </c>
      <c r="HE982">
        <f>IF(ISBLANK('Data Entry'!$ĕ$982), "", 'Data Entry'!$ĕ$982)</f>
      </c>
      <c r="HF982">
        <f>IF(ISBLANK('Data Entry'!$Ė$982), "", 'Data Entry'!$Ė$982)</f>
      </c>
      <c r="HG982">
        <f>IF(ISBLANK('Data Entry'!$ė$982), "", 'Data Entry'!$ė$982)</f>
      </c>
      <c r="HH982">
        <f>IF(ISBLANK('Data Entry'!$Ę$982), "", 'Data Entry'!$Ę$982)</f>
      </c>
      <c r="HI982">
        <f>IF(ISBLANK('Data Entry'!$ę$982), "", 'Data Entry'!$ę$982)</f>
      </c>
      <c r="HJ982">
        <f>IF(ISBLANK('Data Entry'!$Ě$982), "", 'Data Entry'!$Ě$982)</f>
      </c>
      <c r="HK982">
        <f>IF(ISBLANK('Data Entry'!$ě$982), "", 'Data Entry'!$ě$982)</f>
      </c>
      <c r="HL982">
        <f>IF(ISBLANK('Data Entry'!$Ĝ$982), "", 'Data Entry'!$Ĝ$982)</f>
      </c>
      <c r="HM982">
        <f>IF(ISBLANK('Data Entry'!$ĝ$982), "", 'Data Entry'!$ĝ$982)</f>
      </c>
      <c r="HN982">
        <f>IF(ISBLANK('Data Entry'!$Ğ$982), "", 'Data Entry'!$Ğ$982)</f>
      </c>
      <c r="HO982">
        <f>IF(ISBLANK('Data Entry'!$ğ$982), "", 'Data Entry'!$ğ$982)</f>
      </c>
      <c r="HP982">
        <f>IF(ISBLANK('Data Entry'!$Ġ$982), "", 'Data Entry'!$Ġ$982)</f>
      </c>
      <c r="HQ982">
        <f>IF(ISBLANK('Data Entry'!$ġ$982), "", 'Data Entry'!$ġ$982)</f>
      </c>
      <c r="HR982">
        <f>IF(ISBLANK('Data Entry'!$Ģ$982), "", 'Data Entry'!$Ģ$982)</f>
      </c>
      <c r="HS982">
        <f>IF(ISBLANK('Data Entry'!$ģ$982), "", 'Data Entry'!$ģ$982)</f>
      </c>
      <c r="HT982">
        <f>IF(ISBLANK('Data Entry'!$Ĥ$982), "", 'Data Entry'!$Ĥ$982)</f>
      </c>
      <c r="HU982">
        <f>IF(ISBLANK('Data Entry'!$ĥ$982), "", 'Data Entry'!$ĥ$982)</f>
      </c>
      <c r="HV982">
        <f>IF(ISBLANK('Data Entry'!$Ħ$982), "", 'Data Entry'!$Ħ$982)</f>
      </c>
      <c r="HW982">
        <f>IF(ISBLANK('Data Entry'!$ħ$982), "", 'Data Entry'!$ħ$982)</f>
      </c>
      <c r="HX982">
        <f>IF(ISBLANK('Data Entry'!$Ĩ$982), "", 'Data Entry'!$Ĩ$982)</f>
      </c>
      <c r="HY982">
        <f>IF(ISBLANK('Data Entry'!$ĩ$982), "", 'Data Entry'!$ĩ$982)</f>
      </c>
      <c r="HZ982">
        <f>IF(ISBLANK('Data Entry'!$Ī$982), "", 'Data Entry'!$Ī$982)</f>
      </c>
      <c r="IA982">
        <f>IF(ISBLANK('Data Entry'!$ī$982), "", 'Data Entry'!$ī$982)</f>
      </c>
      <c r="IB982">
        <f>IF(ISBLANK('Data Entry'!$Ĭ$982), "", 'Data Entry'!$Ĭ$982)</f>
      </c>
      <c r="IC982">
        <f>IF(ISBLANK('Data Entry'!$ĭ$982), "", 'Data Entry'!$ĭ$982)</f>
      </c>
      <c r="ID982">
        <f>IF(ISBLANK('Data Entry'!$Į$982), "", 'Data Entry'!$Į$982)</f>
      </c>
      <c r="IE982">
        <f>IF(ISBLANK('Data Entry'!$į$982), "", 'Data Entry'!$į$982)</f>
      </c>
      <c r="IF982">
        <f>IF(ISBLANK('Data Entry'!$İ$982), "", 'Data Entry'!$İ$982)</f>
      </c>
      <c r="IG982">
        <f>IF(ISBLANK('Data Entry'!$ı$982), "", 'Data Entry'!$ı$982)</f>
      </c>
      <c r="IH982">
        <f>IF(ISBLANK('Data Entry'!$Ĳ$982), "", 'Data Entry'!$Ĳ$982)</f>
      </c>
      <c r="II982">
        <f>IF(ISBLANK('Data Entry'!$ĳ$982), "", 'Data Entry'!$ĳ$982)</f>
      </c>
      <c r="IJ982">
        <f>IF(ISBLANK('Data Entry'!$Ĵ$982), "", 'Data Entry'!$Ĵ$982)</f>
      </c>
      <c r="IK982">
        <f>IF(ISBLANK('Data Entry'!$ĵ$982), "", 'Data Entry'!$ĵ$982)</f>
      </c>
      <c r="IL982">
        <f>IF(ISBLANK('Data Entry'!$Ķ$982), "", 'Data Entry'!$Ķ$982)</f>
      </c>
      <c r="IM982">
        <f>IF(ISBLANK('Data Entry'!$ķ$982), "", 'Data Entry'!$ķ$982)</f>
      </c>
      <c r="IN982">
        <f>IF(ISBLANK('Data Entry'!$ĸ$982), "", 'Data Entry'!$ĸ$982)</f>
      </c>
      <c r="IO982">
        <f>IF(ISBLANK('Data Entry'!$Ĺ$982), "", 'Data Entry'!$Ĺ$982)</f>
      </c>
      <c r="IP982">
        <f>IF(ISBLANK('Data Entry'!$ĺ$982), "", 'Data Entry'!$ĺ$982)</f>
      </c>
      <c r="IQ982">
        <f>IF(ISBLANK('Data Entry'!$Ļ$982), "", 'Data Entry'!$Ļ$982)</f>
      </c>
      <c r="IR982">
        <f>IF(ISBLANK('Data Entry'!$ļ$982), "", 'Data Entry'!$ļ$982)</f>
      </c>
      <c r="IS982">
        <f>IF(ISBLANK('Data Entry'!$Ľ$982), "", 'Data Entry'!$Ľ$982)</f>
      </c>
      <c r="IT982">
        <f>IF(ISBLANK('Data Entry'!$ľ$982), "", 'Data Entry'!$ľ$982)</f>
      </c>
    </row>
    <row r="983" spans="1:254" x14ac:dyDescent="0.25">
      <c r="A983">
        <f>IF(ISBLANK('Data Entry'!$A$983), "", 'Data Entry'!$A$983)</f>
      </c>
      <c r="B983">
        <f>IF(ISBLANK('Data Entry'!$B$983), "", 'Data Entry'!$B$983)</f>
      </c>
      <c r="C983">
        <f>IF(ISBLANK('Data Entry'!$C$983), "", 'Data Entry'!$C$983)</f>
      </c>
      <c r="D983">
        <f>IF(ISBLANK('Data Entry'!$D$983), "", 'Data Entry'!$D$983)</f>
      </c>
      <c r="E983">
        <f>IF(ISBLANK('Data Entry'!$E$983), "", 'Data Entry'!$E$983)</f>
      </c>
      <c r="F983">
        <f>IF(ISBLANK('Data Entry'!$F$983), "", 'Data Entry'!$F$983)</f>
      </c>
      <c r="G983">
        <f>IF(ISBLANK('Data Entry'!$G$983), "", 'Data Entry'!$G$983)</f>
      </c>
      <c r="H983">
        <f>IF(ISBLANK('Data Entry'!$H$983), "", 'Data Entry'!$H$983)</f>
      </c>
      <c r="I983">
        <f>IF(ISBLANK('Data Entry'!$I$983), "", 'Data Entry'!$I$983)</f>
      </c>
      <c r="J983">
        <f>IF(ISBLANK('Data Entry'!$J$983), "", 'Data Entry'!$J$983)</f>
      </c>
      <c r="K983">
        <f>IF(ISBLANK('Data Entry'!$K$983), "", 'Data Entry'!$K$983)</f>
      </c>
      <c r="L983">
        <f>IF(ISBLANK('Data Entry'!$L$983), "", 'Data Entry'!$L$983)</f>
      </c>
      <c r="M983">
        <f>IF(ISBLANK('Data Entry'!$M$983), "", 'Data Entry'!$M$983)</f>
      </c>
      <c r="N983">
        <f>IF(ISBLANK('Data Entry'!$N$983), "", 'Data Entry'!$N$983)</f>
      </c>
      <c r="O983">
        <f>IF(ISBLANK('Data Entry'!$O$983), "", 'Data Entry'!$O$983)</f>
      </c>
      <c r="P983">
        <f>IF(ISBLANK('Data Entry'!$P$983), "", 'Data Entry'!$P$983)</f>
      </c>
      <c r="Q983">
        <f>IF(ISBLANK('Data Entry'!$Q$983), "", 'Data Entry'!$Q$983)</f>
      </c>
      <c r="R983">
        <f>IF(ISBLANK('Data Entry'!$R$983), "", 'Data Entry'!$R$983)</f>
      </c>
      <c r="S983">
        <f>IF(ISBLANK('Data Entry'!$S$983), "", 'Data Entry'!$S$983)</f>
      </c>
      <c r="T983">
        <f>IF(ISBLANK('Data Entry'!$T$983), "", 'Data Entry'!$T$983)</f>
      </c>
      <c r="U983">
        <f>IF(ISBLANK('Data Entry'!$U$983), "", 'Data Entry'!$U$983)</f>
      </c>
      <c r="V983">
        <f>IF(ISBLANK('Data Entry'!$V$983), "", 'Data Entry'!$V$983)</f>
      </c>
      <c r="W983">
        <f>IF(ISBLANK('Data Entry'!$W$983), "", 'Data Entry'!$W$983)</f>
      </c>
      <c r="X983">
        <f>IF(ISBLANK('Data Entry'!$X$983), "", 'Data Entry'!$X$983)</f>
      </c>
      <c r="Y983">
        <f>IF(ISBLANK('Data Entry'!$Y$983), "", 'Data Entry'!$Y$983)</f>
      </c>
      <c r="Z983">
        <f>IF(ISBLANK('Data Entry'!$Z$983), "", 'Data Entry'!$Z$983)</f>
      </c>
      <c r="AA983">
        <f>IF(ISBLANK('Data Entry'!$[$983), "", 'Data Entry'!$[$983)</f>
      </c>
      <c r="AB983">
        <f>IF(ISBLANK('Data Entry'!$\$983), "", 'Data Entry'!$\$983)</f>
      </c>
      <c r="AC983">
        <f>IF(ISBLANK('Data Entry'!$]$983), "", 'Data Entry'!$]$983)</f>
      </c>
      <c r="AD983">
        <f>IF(ISBLANK('Data Entry'!$^$983), "", 'Data Entry'!$^$983)</f>
      </c>
      <c r="AE983">
        <f>IF(ISBLANK('Data Entry'!$_$983), "", 'Data Entry'!$_$983)</f>
      </c>
      <c r="AF983">
        <f>IF(ISBLANK('Data Entry'!$`$983), "", 'Data Entry'!$`$983)</f>
      </c>
      <c r="AG983">
        <f>IF(ISBLANK('Data Entry'!$a$983), "", 'Data Entry'!$a$983)</f>
      </c>
      <c r="AH983">
        <f>IF(ISBLANK('Data Entry'!$b$983), "", 'Data Entry'!$b$983)</f>
      </c>
      <c r="AI983">
        <f>IF(ISBLANK('Data Entry'!$c$983), "", 'Data Entry'!$c$983)</f>
      </c>
      <c r="AJ983">
        <f>IF(ISBLANK('Data Entry'!$d$983), "", 'Data Entry'!$d$983)</f>
      </c>
      <c r="AK983">
        <f>IF(ISBLANK('Data Entry'!$e$983), "", 'Data Entry'!$e$983)</f>
      </c>
      <c r="AL983">
        <f>IF(ISBLANK('Data Entry'!$f$983), "", 'Data Entry'!$f$983)</f>
      </c>
      <c r="AM983">
        <f>IF(ISBLANK('Data Entry'!$g$983), "", 'Data Entry'!$g$983)</f>
      </c>
      <c r="AN983">
        <f>IF(ISBLANK('Data Entry'!$h$983), "", 'Data Entry'!$h$983)</f>
      </c>
      <c r="AO983">
        <f>IF(ISBLANK('Data Entry'!$i$983), "", 'Data Entry'!$i$983)</f>
      </c>
      <c r="AP983">
        <f>IF(ISBLANK('Data Entry'!$j$983), "", 'Data Entry'!$j$983)</f>
      </c>
      <c r="AQ983">
        <f>IF(ISBLANK('Data Entry'!$k$983), "", 'Data Entry'!$k$983)</f>
      </c>
      <c r="AR983">
        <f>IF(ISBLANK('Data Entry'!$l$983), "", 'Data Entry'!$l$983)</f>
      </c>
      <c r="AS983">
        <f>IF(ISBLANK('Data Entry'!$m$983), "", 'Data Entry'!$m$983)</f>
      </c>
      <c r="AT983">
        <f>IF(ISBLANK('Data Entry'!$n$983), "", 'Data Entry'!$n$983)</f>
      </c>
      <c r="AU983">
        <f>IF(ISBLANK('Data Entry'!$o$983), "", 'Data Entry'!$o$983)</f>
      </c>
      <c r="AV983">
        <f>IF(ISBLANK('Data Entry'!$p$983), "", 'Data Entry'!$p$983)</f>
      </c>
      <c r="AW983">
        <f>IF(ISBLANK('Data Entry'!$q$983), "", 'Data Entry'!$q$983)</f>
      </c>
      <c r="AX983">
        <f>IF(ISBLANK('Data Entry'!$r$983), "", 'Data Entry'!$r$983)</f>
      </c>
      <c r="AY983">
        <f>IF(ISBLANK('Data Entry'!$s$983), "", 'Data Entry'!$s$983)</f>
      </c>
      <c r="AZ983">
        <f>IF(ISBLANK('Data Entry'!$t$983), "", 'Data Entry'!$t$983)</f>
      </c>
      <c r="BA983">
        <f>IF(ISBLANK('Data Entry'!$u$983), "", 'Data Entry'!$u$983)</f>
      </c>
      <c r="BB983">
        <f>IF(ISBLANK('Data Entry'!$v$983), "", 'Data Entry'!$v$983)</f>
      </c>
      <c r="BC983">
        <f>IF(ISBLANK('Data Entry'!$w$983), "", 'Data Entry'!$w$983)</f>
      </c>
      <c r="BD983">
        <f>IF(ISBLANK('Data Entry'!$x$983), "", 'Data Entry'!$x$983)</f>
      </c>
      <c r="BE983">
        <f>IF(ISBLANK('Data Entry'!$y$983), "", 'Data Entry'!$y$983)</f>
      </c>
      <c r="BF983">
        <f>IF(ISBLANK('Data Entry'!$z$983), "", 'Data Entry'!$z$983)</f>
      </c>
      <c r="BG983">
        <f>IF(ISBLANK('Data Entry'!${$983), "", 'Data Entry'!${$983)</f>
      </c>
      <c r="BH983">
        <f>IF(ISBLANK('Data Entry'!$|$983), "", 'Data Entry'!$|$983)</f>
      </c>
      <c r="BI983">
        <f>IF(ISBLANK('Data Entry'!$}$983), "", 'Data Entry'!$}$983)</f>
      </c>
      <c r="BJ983">
        <f>IF(ISBLANK('Data Entry'!$~$983), "", 'Data Entry'!$~$983)</f>
      </c>
      <c r="BK983">
        <f>IF(ISBLANK('Data Entry'!$$983), "", 'Data Entry'!$$983)</f>
      </c>
      <c r="BL983">
        <f>IF(ISBLANK('Data Entry'!$$983), "", 'Data Entry'!$$983)</f>
      </c>
      <c r="BM983">
        <f>IF(ISBLANK('Data Entry'!$$983), "", 'Data Entry'!$$983)</f>
      </c>
      <c r="BN983">
        <f>IF(ISBLANK('Data Entry'!$$983), "", 'Data Entry'!$$983)</f>
      </c>
      <c r="BO983">
        <f>IF(ISBLANK('Data Entry'!$$983), "", 'Data Entry'!$$983)</f>
      </c>
      <c r="BP983">
        <f>IF(ISBLANK('Data Entry'!$$983), "", 'Data Entry'!$$983)</f>
      </c>
      <c r="BQ983">
        <f>IF(ISBLANK('Data Entry'!$$983), "", 'Data Entry'!$$983)</f>
      </c>
      <c r="BR983">
        <f>IF(ISBLANK('Data Entry'!$$983), "", 'Data Entry'!$$983)</f>
      </c>
      <c r="BS983">
        <f>IF(ISBLANK('Data Entry'!$$983), "", 'Data Entry'!$$983)</f>
      </c>
      <c r="BT983">
        <f>IF(ISBLANK('Data Entry'!$$983), "", 'Data Entry'!$$983)</f>
      </c>
      <c r="BU983">
        <f>IF(ISBLANK('Data Entry'!$$983), "", 'Data Entry'!$$983)</f>
      </c>
      <c r="BV983">
        <f>IF(ISBLANK('Data Entry'!$$983), "", 'Data Entry'!$$983)</f>
      </c>
      <c r="BW983">
        <f>IF(ISBLANK('Data Entry'!$$983), "", 'Data Entry'!$$983)</f>
      </c>
      <c r="BX983">
        <f>IF(ISBLANK('Data Entry'!$$983), "", 'Data Entry'!$$983)</f>
      </c>
      <c r="BY983">
        <f>IF(ISBLANK('Data Entry'!$$983), "", 'Data Entry'!$$983)</f>
      </c>
      <c r="BZ983">
        <f>IF(ISBLANK('Data Entry'!$$983), "", 'Data Entry'!$$983)</f>
      </c>
      <c r="CA983">
        <f>IF(ISBLANK('Data Entry'!$$983), "", 'Data Entry'!$$983)</f>
      </c>
      <c r="CB983">
        <f>IF(ISBLANK('Data Entry'!$$983), "", 'Data Entry'!$$983)</f>
      </c>
      <c r="CC983">
        <f>IF(ISBLANK('Data Entry'!$$983), "", 'Data Entry'!$$983)</f>
      </c>
      <c r="CD983">
        <f>IF(ISBLANK('Data Entry'!$$983), "", 'Data Entry'!$$983)</f>
      </c>
      <c r="CE983">
        <f>IF(ISBLANK('Data Entry'!$$983), "", 'Data Entry'!$$983)</f>
      </c>
      <c r="CF983">
        <f>IF(ISBLANK('Data Entry'!$$983), "", 'Data Entry'!$$983)</f>
      </c>
      <c r="CG983">
        <f>IF(ISBLANK('Data Entry'!$$983), "", 'Data Entry'!$$983)</f>
      </c>
      <c r="CH983">
        <f>IF(ISBLANK('Data Entry'!$$983), "", 'Data Entry'!$$983)</f>
      </c>
      <c r="CI983">
        <f>IF(ISBLANK('Data Entry'!$$983), "", 'Data Entry'!$$983)</f>
      </c>
      <c r="CJ983">
        <f>IF(ISBLANK('Data Entry'!$$983), "", 'Data Entry'!$$983)</f>
      </c>
      <c r="CK983">
        <f>IF(ISBLANK('Data Entry'!$$983), "", 'Data Entry'!$$983)</f>
      </c>
      <c r="CL983">
        <f>IF(ISBLANK('Data Entry'!$$983), "", 'Data Entry'!$$983)</f>
      </c>
      <c r="CM983">
        <f>IF(ISBLANK('Data Entry'!$$983), "", 'Data Entry'!$$983)</f>
      </c>
      <c r="CN983">
        <f>IF(ISBLANK('Data Entry'!$$983), "", 'Data Entry'!$$983)</f>
      </c>
      <c r="CO983">
        <f>IF(ISBLANK('Data Entry'!$$983), "", 'Data Entry'!$$983)</f>
      </c>
      <c r="CP983">
        <f>IF(ISBLANK('Data Entry'!$$983), "", 'Data Entry'!$$983)</f>
      </c>
      <c r="CQ983">
        <f>IF(ISBLANK('Data Entry'!$$983), "", 'Data Entry'!$$983)</f>
      </c>
      <c r="CR983">
        <f>IF(ISBLANK('Data Entry'!$ $983), "", 'Data Entry'!$ $983)</f>
      </c>
      <c r="CS983">
        <f>IF(ISBLANK('Data Entry'!$¡$983), "", 'Data Entry'!$¡$983)</f>
      </c>
      <c r="CT983">
        <f>IF(ISBLANK('Data Entry'!$¢$983), "", 'Data Entry'!$¢$983)</f>
      </c>
      <c r="CU983">
        <f>IF(ISBLANK('Data Entry'!$£$983), "", 'Data Entry'!$£$983)</f>
      </c>
      <c r="CV983">
        <f>IF(ISBLANK('Data Entry'!$¤$983), "", 'Data Entry'!$¤$983)</f>
      </c>
      <c r="CW983">
        <f>IF(ISBLANK('Data Entry'!$¥$983), "", 'Data Entry'!$¥$983)</f>
      </c>
      <c r="CX983">
        <f>IF(ISBLANK('Data Entry'!$¦$983), "", 'Data Entry'!$¦$983)</f>
      </c>
      <c r="CY983">
        <f>IF(ISBLANK('Data Entry'!$§$983), "", 'Data Entry'!$§$983)</f>
      </c>
      <c r="CZ983">
        <f>IF(ISBLANK('Data Entry'!$¨$983), "", 'Data Entry'!$¨$983)</f>
      </c>
      <c r="DA983">
        <f>IF(ISBLANK('Data Entry'!$©$983), "", 'Data Entry'!$©$983)</f>
      </c>
      <c r="DB983">
        <f>IF(ISBLANK('Data Entry'!$ª$983), "", 'Data Entry'!$ª$983)</f>
      </c>
      <c r="DC983">
        <f>IF(ISBLANK('Data Entry'!$«$983), "", 'Data Entry'!$«$983)</f>
      </c>
      <c r="DD983">
        <f>IF(ISBLANK('Data Entry'!$¬$983), "", 'Data Entry'!$¬$983)</f>
      </c>
      <c r="DE983">
        <f>IF(ISBLANK('Data Entry'!$­$983), "", 'Data Entry'!$­$983)</f>
      </c>
      <c r="DF983">
        <f>IF(ISBLANK('Data Entry'!$®$983), "", 'Data Entry'!$®$983)</f>
      </c>
      <c r="DG983">
        <f>IF(ISBLANK('Data Entry'!$¯$983), "", 'Data Entry'!$¯$983)</f>
      </c>
      <c r="DH983">
        <f>IF(ISBLANK('Data Entry'!$°$983), "", 'Data Entry'!$°$983)</f>
      </c>
      <c r="DI983">
        <f>IF(ISBLANK('Data Entry'!$±$983), "", 'Data Entry'!$±$983)</f>
      </c>
      <c r="DJ983">
        <f>IF(ISBLANK('Data Entry'!$²$983), "", 'Data Entry'!$²$983)</f>
      </c>
      <c r="DK983">
        <f>IF(ISBLANK('Data Entry'!$³$983), "", 'Data Entry'!$³$983)</f>
      </c>
      <c r="DL983">
        <f>IF(ISBLANK('Data Entry'!$´$983), "", 'Data Entry'!$´$983)</f>
      </c>
      <c r="DM983">
        <f>IF(ISBLANK('Data Entry'!$µ$983), "", 'Data Entry'!$µ$983)</f>
      </c>
      <c r="DN983">
        <f>IF(ISBLANK('Data Entry'!$¶$983), "", 'Data Entry'!$¶$983)</f>
      </c>
      <c r="DO983">
        <f>IF(ISBLANK('Data Entry'!$·$983), "", 'Data Entry'!$·$983)</f>
      </c>
      <c r="DP983">
        <f>IF(ISBLANK('Data Entry'!$¸$983), "", 'Data Entry'!$¸$983)</f>
      </c>
      <c r="DQ983">
        <f>IF(ISBLANK('Data Entry'!$¹$983), "", 'Data Entry'!$¹$983)</f>
      </c>
      <c r="DR983">
        <f>IF(ISBLANK('Data Entry'!$º$983), "", 'Data Entry'!$º$983)</f>
      </c>
      <c r="DS983">
        <f>IF(ISBLANK('Data Entry'!$»$983), "", 'Data Entry'!$»$983)</f>
      </c>
      <c r="DT983">
        <f>IF(ISBLANK('Data Entry'!$¼$983), "", 'Data Entry'!$¼$983)</f>
      </c>
      <c r="DU983">
        <f>IF(ISBLANK('Data Entry'!$½$983), "", 'Data Entry'!$½$983)</f>
      </c>
      <c r="DV983">
        <f>IF(ISBLANK('Data Entry'!$¾$983), "", 'Data Entry'!$¾$983)</f>
      </c>
      <c r="DW983">
        <f>IF(ISBLANK('Data Entry'!$¿$983), "", 'Data Entry'!$¿$983)</f>
      </c>
      <c r="DX983">
        <f>IF(ISBLANK('Data Entry'!$À$983), "", 'Data Entry'!$À$983)</f>
      </c>
      <c r="DY983">
        <f>IF(ISBLANK('Data Entry'!$Á$983), "", 'Data Entry'!$Á$983)</f>
      </c>
      <c r="DZ983">
        <f>IF(ISBLANK('Data Entry'!$Â$983), "", 'Data Entry'!$Â$983)</f>
      </c>
      <c r="EA983">
        <f>IF(ISBLANK('Data Entry'!$Ã$983), "", 'Data Entry'!$Ã$983)</f>
      </c>
      <c r="EB983">
        <f>IF(ISBLANK('Data Entry'!$Ä$983), "", 'Data Entry'!$Ä$983)</f>
      </c>
      <c r="EC983">
        <f>IF(ISBLANK('Data Entry'!$Å$983), "", 'Data Entry'!$Å$983)</f>
      </c>
      <c r="ED983">
        <f>IF(ISBLANK('Data Entry'!$Æ$983), "", 'Data Entry'!$Æ$983)</f>
      </c>
      <c r="EE983">
        <f>IF(ISBLANK('Data Entry'!$Ç$983), "", 'Data Entry'!$Ç$983)</f>
      </c>
      <c r="EF983">
        <f>IF(ISBLANK('Data Entry'!$È$983), "", 'Data Entry'!$È$983)</f>
      </c>
      <c r="EG983">
        <f>IF(ISBLANK('Data Entry'!$É$983), "", 'Data Entry'!$É$983)</f>
      </c>
      <c r="EH983">
        <f>IF(ISBLANK('Data Entry'!$Ê$983), "", 'Data Entry'!$Ê$983)</f>
      </c>
      <c r="EI983">
        <f>IF(ISBLANK('Data Entry'!$Ë$983), "", 'Data Entry'!$Ë$983)</f>
      </c>
      <c r="EJ983">
        <f>IF(ISBLANK('Data Entry'!$Ì$983), "", 'Data Entry'!$Ì$983)</f>
      </c>
      <c r="EK983">
        <f>IF(ISBLANK('Data Entry'!$Í$983), "", 'Data Entry'!$Í$983)</f>
      </c>
      <c r="EL983">
        <f>IF(ISBLANK('Data Entry'!$Î$983), "", 'Data Entry'!$Î$983)</f>
      </c>
      <c r="EM983">
        <f>IF(ISBLANK('Data Entry'!$Ï$983), "", 'Data Entry'!$Ï$983)</f>
      </c>
      <c r="EN983">
        <f>IF(ISBLANK('Data Entry'!$Ð$983), "", 'Data Entry'!$Ð$983)</f>
      </c>
      <c r="EO983">
        <f>IF(ISBLANK('Data Entry'!$Ñ$983), "", 'Data Entry'!$Ñ$983)</f>
      </c>
      <c r="EP983">
        <f>IF(ISBLANK('Data Entry'!$Ò$983), "", 'Data Entry'!$Ò$983)</f>
      </c>
      <c r="EQ983">
        <f>IF(ISBLANK('Data Entry'!$Ó$983), "", 'Data Entry'!$Ó$983)</f>
      </c>
      <c r="ER983">
        <f>IF(ISBLANK('Data Entry'!$Ô$983), "", 'Data Entry'!$Ô$983)</f>
      </c>
      <c r="ES983">
        <f>IF(ISBLANK('Data Entry'!$Õ$983), "", 'Data Entry'!$Õ$983)</f>
      </c>
      <c r="ET983">
        <f>IF(ISBLANK('Data Entry'!$Ö$983), "", 'Data Entry'!$Ö$983)</f>
      </c>
      <c r="EU983">
        <f>IF(ISBLANK('Data Entry'!$×$983), "", 'Data Entry'!$×$983)</f>
      </c>
      <c r="EV983">
        <f>IF(ISBLANK('Data Entry'!$Ø$983), "", 'Data Entry'!$Ø$983)</f>
      </c>
      <c r="EW983">
        <f>IF(ISBLANK('Data Entry'!$Ù$983), "", 'Data Entry'!$Ù$983)</f>
      </c>
      <c r="EX983">
        <f>IF(ISBLANK('Data Entry'!$Ú$983), "", 'Data Entry'!$Ú$983)</f>
      </c>
      <c r="EY983">
        <f>IF(ISBLANK('Data Entry'!$Û$983), "", 'Data Entry'!$Û$983)</f>
      </c>
      <c r="EZ983">
        <f>IF(ISBLANK('Data Entry'!$Ü$983), "", 'Data Entry'!$Ü$983)</f>
      </c>
      <c r="FA983">
        <f>IF(ISBLANK('Data Entry'!$Ý$983), "", 'Data Entry'!$Ý$983)</f>
      </c>
      <c r="FB983">
        <f>IF(ISBLANK('Data Entry'!$Þ$983), "", 'Data Entry'!$Þ$983)</f>
      </c>
      <c r="FC983">
        <f>IF(ISBLANK('Data Entry'!$ß$983), "", 'Data Entry'!$ß$983)</f>
      </c>
      <c r="FD983">
        <f>IF(ISBLANK('Data Entry'!$à$983), "", 'Data Entry'!$à$983)</f>
      </c>
      <c r="FE983">
        <f>IF(ISBLANK('Data Entry'!$á$983), "", 'Data Entry'!$á$983)</f>
      </c>
      <c r="FF983">
        <f>IF(ISBLANK('Data Entry'!$â$983), "", 'Data Entry'!$â$983)</f>
      </c>
      <c r="FG983">
        <f>IF(ISBLANK('Data Entry'!$ã$983), "", 'Data Entry'!$ã$983)</f>
      </c>
      <c r="FH983">
        <f>IF(ISBLANK('Data Entry'!$ä$983), "", 'Data Entry'!$ä$983)</f>
      </c>
      <c r="FI983">
        <f>IF(ISBLANK('Data Entry'!$å$983), "", 'Data Entry'!$å$983)</f>
      </c>
      <c r="FJ983">
        <f>IF(ISBLANK('Data Entry'!$æ$983), "", 'Data Entry'!$æ$983)</f>
      </c>
      <c r="FK983">
        <f>IF(ISBLANK('Data Entry'!$ç$983), "", 'Data Entry'!$ç$983)</f>
      </c>
      <c r="FL983">
        <f>IF(ISBLANK('Data Entry'!$è$983), "", 'Data Entry'!$è$983)</f>
      </c>
      <c r="FM983">
        <f>IF(ISBLANK('Data Entry'!$é$983), "", 'Data Entry'!$é$983)</f>
      </c>
      <c r="FN983">
        <f>IF(ISBLANK('Data Entry'!$ê$983), "", 'Data Entry'!$ê$983)</f>
      </c>
      <c r="FO983">
        <f>IF(ISBLANK('Data Entry'!$ë$983), "", 'Data Entry'!$ë$983)</f>
      </c>
      <c r="FP983">
        <f>IF(ISBLANK('Data Entry'!$ì$983), "", 'Data Entry'!$ì$983)</f>
      </c>
      <c r="FQ983">
        <f>IF(ISBLANK('Data Entry'!$í$983), "", 'Data Entry'!$í$983)</f>
      </c>
      <c r="FR983">
        <f>IF(ISBLANK('Data Entry'!$î$983), "", 'Data Entry'!$î$983)</f>
      </c>
      <c r="FS983">
        <f>IF(ISBLANK('Data Entry'!$ï$983), "", 'Data Entry'!$ï$983)</f>
      </c>
      <c r="FT983">
        <f>IF(ISBLANK('Data Entry'!$ð$983), "", 'Data Entry'!$ð$983)</f>
      </c>
      <c r="FU983">
        <f>IF(ISBLANK('Data Entry'!$ñ$983), "", 'Data Entry'!$ñ$983)</f>
      </c>
      <c r="FV983">
        <f>IF(ISBLANK('Data Entry'!$ò$983), "", 'Data Entry'!$ò$983)</f>
      </c>
      <c r="FW983">
        <f>IF(ISBLANK('Data Entry'!$ó$983), "", 'Data Entry'!$ó$983)</f>
      </c>
      <c r="FX983">
        <f>IF(ISBLANK('Data Entry'!$ô$983), "", 'Data Entry'!$ô$983)</f>
      </c>
      <c r="FY983">
        <f>IF(ISBLANK('Data Entry'!$õ$983), "", 'Data Entry'!$õ$983)</f>
      </c>
      <c r="FZ983">
        <f>IF(ISBLANK('Data Entry'!$ö$983), "", 'Data Entry'!$ö$983)</f>
      </c>
      <c r="GA983">
        <f>IF(ISBLANK('Data Entry'!$÷$983), "", 'Data Entry'!$÷$983)</f>
      </c>
      <c r="GB983">
        <f>IF(ISBLANK('Data Entry'!$ø$983), "", 'Data Entry'!$ø$983)</f>
      </c>
      <c r="GC983">
        <f>IF(ISBLANK('Data Entry'!$ù$983), "", 'Data Entry'!$ù$983)</f>
      </c>
      <c r="GD983">
        <f>IF(ISBLANK('Data Entry'!$ú$983), "", 'Data Entry'!$ú$983)</f>
      </c>
      <c r="GE983">
        <f>IF(ISBLANK('Data Entry'!$û$983), "", 'Data Entry'!$û$983)</f>
      </c>
      <c r="GF983">
        <f>IF(ISBLANK('Data Entry'!$ü$983), "", 'Data Entry'!$ü$983)</f>
      </c>
      <c r="GG983">
        <f>IF(ISBLANK('Data Entry'!$ý$983), "", 'Data Entry'!$ý$983)</f>
      </c>
      <c r="GH983">
        <f>IF(ISBLANK('Data Entry'!$þ$983), "", 'Data Entry'!$þ$983)</f>
      </c>
      <c r="GI983">
        <f>IF(ISBLANK('Data Entry'!$ÿ$983), "", 'Data Entry'!$ÿ$983)</f>
      </c>
      <c r="GJ983">
        <f>IF(ISBLANK('Data Entry'!$Ā$983), "", 'Data Entry'!$Ā$983)</f>
      </c>
      <c r="GK983">
        <f>IF(ISBLANK('Data Entry'!$ā$983), "", 'Data Entry'!$ā$983)</f>
      </c>
      <c r="GL983">
        <f>IF(ISBLANK('Data Entry'!$Ă$983), "", 'Data Entry'!$Ă$983)</f>
      </c>
      <c r="GM983">
        <f>IF(ISBLANK('Data Entry'!$ă$983), "", 'Data Entry'!$ă$983)</f>
      </c>
      <c r="GN983">
        <f>IF(ISBLANK('Data Entry'!$Ą$983), "", 'Data Entry'!$Ą$983)</f>
      </c>
      <c r="GO983">
        <f>IF(ISBLANK('Data Entry'!$ą$983), "", 'Data Entry'!$ą$983)</f>
      </c>
      <c r="GP983">
        <f>IF(ISBLANK('Data Entry'!$Ć$983), "", 'Data Entry'!$Ć$983)</f>
      </c>
      <c r="GQ983">
        <f>IF(ISBLANK('Data Entry'!$ć$983), "", 'Data Entry'!$ć$983)</f>
      </c>
      <c r="GR983">
        <f>IF(ISBLANK('Data Entry'!$Ĉ$983), "", 'Data Entry'!$Ĉ$983)</f>
      </c>
      <c r="GS983">
        <f>IF(ISBLANK('Data Entry'!$ĉ$983), "", 'Data Entry'!$ĉ$983)</f>
      </c>
      <c r="GT983">
        <f>IF(ISBLANK('Data Entry'!$Ċ$983), "", 'Data Entry'!$Ċ$983)</f>
      </c>
      <c r="GU983">
        <f>IF(ISBLANK('Data Entry'!$ċ$983), "", 'Data Entry'!$ċ$983)</f>
      </c>
      <c r="GV983">
        <f>IF(ISBLANK('Data Entry'!$Č$983), "", 'Data Entry'!$Č$983)</f>
      </c>
      <c r="GW983">
        <f>IF(ISBLANK('Data Entry'!$č$983), "", 'Data Entry'!$č$983)</f>
      </c>
      <c r="GX983">
        <f>IF(ISBLANK('Data Entry'!$Ď$983), "", 'Data Entry'!$Ď$983)</f>
      </c>
      <c r="GY983">
        <f>IF(ISBLANK('Data Entry'!$ď$983), "", 'Data Entry'!$ď$983)</f>
      </c>
      <c r="GZ983">
        <f>IF(ISBLANK('Data Entry'!$Đ$983), "", 'Data Entry'!$Đ$983)</f>
      </c>
      <c r="HA983">
        <f>IF(ISBLANK('Data Entry'!$đ$983), "", 'Data Entry'!$đ$983)</f>
      </c>
      <c r="HB983">
        <f>IF(ISBLANK('Data Entry'!$Ē$983), "", 'Data Entry'!$Ē$983)</f>
      </c>
      <c r="HC983">
        <f>IF(ISBLANK('Data Entry'!$ē$983), "", 'Data Entry'!$ē$983)</f>
      </c>
      <c r="HD983">
        <f>IF(ISBLANK('Data Entry'!$Ĕ$983), "", 'Data Entry'!$Ĕ$983)</f>
      </c>
      <c r="HE983">
        <f>IF(ISBLANK('Data Entry'!$ĕ$983), "", 'Data Entry'!$ĕ$983)</f>
      </c>
      <c r="HF983">
        <f>IF(ISBLANK('Data Entry'!$Ė$983), "", 'Data Entry'!$Ė$983)</f>
      </c>
      <c r="HG983">
        <f>IF(ISBLANK('Data Entry'!$ė$983), "", 'Data Entry'!$ė$983)</f>
      </c>
      <c r="HH983">
        <f>IF(ISBLANK('Data Entry'!$Ę$983), "", 'Data Entry'!$Ę$983)</f>
      </c>
      <c r="HI983">
        <f>IF(ISBLANK('Data Entry'!$ę$983), "", 'Data Entry'!$ę$983)</f>
      </c>
      <c r="HJ983">
        <f>IF(ISBLANK('Data Entry'!$Ě$983), "", 'Data Entry'!$Ě$983)</f>
      </c>
      <c r="HK983">
        <f>IF(ISBLANK('Data Entry'!$ě$983), "", 'Data Entry'!$ě$983)</f>
      </c>
      <c r="HL983">
        <f>IF(ISBLANK('Data Entry'!$Ĝ$983), "", 'Data Entry'!$Ĝ$983)</f>
      </c>
      <c r="HM983">
        <f>IF(ISBLANK('Data Entry'!$ĝ$983), "", 'Data Entry'!$ĝ$983)</f>
      </c>
      <c r="HN983">
        <f>IF(ISBLANK('Data Entry'!$Ğ$983), "", 'Data Entry'!$Ğ$983)</f>
      </c>
      <c r="HO983">
        <f>IF(ISBLANK('Data Entry'!$ğ$983), "", 'Data Entry'!$ğ$983)</f>
      </c>
      <c r="HP983">
        <f>IF(ISBLANK('Data Entry'!$Ġ$983), "", 'Data Entry'!$Ġ$983)</f>
      </c>
      <c r="HQ983">
        <f>IF(ISBLANK('Data Entry'!$ġ$983), "", 'Data Entry'!$ġ$983)</f>
      </c>
      <c r="HR983">
        <f>IF(ISBLANK('Data Entry'!$Ģ$983), "", 'Data Entry'!$Ģ$983)</f>
      </c>
      <c r="HS983">
        <f>IF(ISBLANK('Data Entry'!$ģ$983), "", 'Data Entry'!$ģ$983)</f>
      </c>
      <c r="HT983">
        <f>IF(ISBLANK('Data Entry'!$Ĥ$983), "", 'Data Entry'!$Ĥ$983)</f>
      </c>
      <c r="HU983">
        <f>IF(ISBLANK('Data Entry'!$ĥ$983), "", 'Data Entry'!$ĥ$983)</f>
      </c>
      <c r="HV983">
        <f>IF(ISBLANK('Data Entry'!$Ħ$983), "", 'Data Entry'!$Ħ$983)</f>
      </c>
      <c r="HW983">
        <f>IF(ISBLANK('Data Entry'!$ħ$983), "", 'Data Entry'!$ħ$983)</f>
      </c>
      <c r="HX983">
        <f>IF(ISBLANK('Data Entry'!$Ĩ$983), "", 'Data Entry'!$Ĩ$983)</f>
      </c>
      <c r="HY983">
        <f>IF(ISBLANK('Data Entry'!$ĩ$983), "", 'Data Entry'!$ĩ$983)</f>
      </c>
      <c r="HZ983">
        <f>IF(ISBLANK('Data Entry'!$Ī$983), "", 'Data Entry'!$Ī$983)</f>
      </c>
      <c r="IA983">
        <f>IF(ISBLANK('Data Entry'!$ī$983), "", 'Data Entry'!$ī$983)</f>
      </c>
      <c r="IB983">
        <f>IF(ISBLANK('Data Entry'!$Ĭ$983), "", 'Data Entry'!$Ĭ$983)</f>
      </c>
      <c r="IC983">
        <f>IF(ISBLANK('Data Entry'!$ĭ$983), "", 'Data Entry'!$ĭ$983)</f>
      </c>
      <c r="ID983">
        <f>IF(ISBLANK('Data Entry'!$Į$983), "", 'Data Entry'!$Į$983)</f>
      </c>
      <c r="IE983">
        <f>IF(ISBLANK('Data Entry'!$į$983), "", 'Data Entry'!$į$983)</f>
      </c>
      <c r="IF983">
        <f>IF(ISBLANK('Data Entry'!$İ$983), "", 'Data Entry'!$İ$983)</f>
      </c>
      <c r="IG983">
        <f>IF(ISBLANK('Data Entry'!$ı$983), "", 'Data Entry'!$ı$983)</f>
      </c>
      <c r="IH983">
        <f>IF(ISBLANK('Data Entry'!$Ĳ$983), "", 'Data Entry'!$Ĳ$983)</f>
      </c>
      <c r="II983">
        <f>IF(ISBLANK('Data Entry'!$ĳ$983), "", 'Data Entry'!$ĳ$983)</f>
      </c>
      <c r="IJ983">
        <f>IF(ISBLANK('Data Entry'!$Ĵ$983), "", 'Data Entry'!$Ĵ$983)</f>
      </c>
      <c r="IK983">
        <f>IF(ISBLANK('Data Entry'!$ĵ$983), "", 'Data Entry'!$ĵ$983)</f>
      </c>
      <c r="IL983">
        <f>IF(ISBLANK('Data Entry'!$Ķ$983), "", 'Data Entry'!$Ķ$983)</f>
      </c>
      <c r="IM983">
        <f>IF(ISBLANK('Data Entry'!$ķ$983), "", 'Data Entry'!$ķ$983)</f>
      </c>
      <c r="IN983">
        <f>IF(ISBLANK('Data Entry'!$ĸ$983), "", 'Data Entry'!$ĸ$983)</f>
      </c>
      <c r="IO983">
        <f>IF(ISBLANK('Data Entry'!$Ĺ$983), "", 'Data Entry'!$Ĺ$983)</f>
      </c>
      <c r="IP983">
        <f>IF(ISBLANK('Data Entry'!$ĺ$983), "", 'Data Entry'!$ĺ$983)</f>
      </c>
      <c r="IQ983">
        <f>IF(ISBLANK('Data Entry'!$Ļ$983), "", 'Data Entry'!$Ļ$983)</f>
      </c>
      <c r="IR983">
        <f>IF(ISBLANK('Data Entry'!$ļ$983), "", 'Data Entry'!$ļ$983)</f>
      </c>
      <c r="IS983">
        <f>IF(ISBLANK('Data Entry'!$Ľ$983), "", 'Data Entry'!$Ľ$983)</f>
      </c>
      <c r="IT983">
        <f>IF(ISBLANK('Data Entry'!$ľ$983), "", 'Data Entry'!$ľ$983)</f>
      </c>
    </row>
    <row r="984" spans="1:254" x14ac:dyDescent="0.25">
      <c r="A984">
        <f>IF(ISBLANK('Data Entry'!$A$984), "", 'Data Entry'!$A$984)</f>
      </c>
      <c r="B984">
        <f>IF(ISBLANK('Data Entry'!$B$984), "", 'Data Entry'!$B$984)</f>
      </c>
      <c r="C984">
        <f>IF(ISBLANK('Data Entry'!$C$984), "", 'Data Entry'!$C$984)</f>
      </c>
      <c r="D984">
        <f>IF(ISBLANK('Data Entry'!$D$984), "", 'Data Entry'!$D$984)</f>
      </c>
      <c r="E984">
        <f>IF(ISBLANK('Data Entry'!$E$984), "", 'Data Entry'!$E$984)</f>
      </c>
      <c r="F984">
        <f>IF(ISBLANK('Data Entry'!$F$984), "", 'Data Entry'!$F$984)</f>
      </c>
      <c r="G984">
        <f>IF(ISBLANK('Data Entry'!$G$984), "", 'Data Entry'!$G$984)</f>
      </c>
      <c r="H984">
        <f>IF(ISBLANK('Data Entry'!$H$984), "", 'Data Entry'!$H$984)</f>
      </c>
      <c r="I984">
        <f>IF(ISBLANK('Data Entry'!$I$984), "", 'Data Entry'!$I$984)</f>
      </c>
      <c r="J984">
        <f>IF(ISBLANK('Data Entry'!$J$984), "", 'Data Entry'!$J$984)</f>
      </c>
      <c r="K984">
        <f>IF(ISBLANK('Data Entry'!$K$984), "", 'Data Entry'!$K$984)</f>
      </c>
      <c r="L984">
        <f>IF(ISBLANK('Data Entry'!$L$984), "", 'Data Entry'!$L$984)</f>
      </c>
      <c r="M984">
        <f>IF(ISBLANK('Data Entry'!$M$984), "", 'Data Entry'!$M$984)</f>
      </c>
      <c r="N984">
        <f>IF(ISBLANK('Data Entry'!$N$984), "", 'Data Entry'!$N$984)</f>
      </c>
      <c r="O984">
        <f>IF(ISBLANK('Data Entry'!$O$984), "", 'Data Entry'!$O$984)</f>
      </c>
      <c r="P984">
        <f>IF(ISBLANK('Data Entry'!$P$984), "", 'Data Entry'!$P$984)</f>
      </c>
      <c r="Q984">
        <f>IF(ISBLANK('Data Entry'!$Q$984), "", 'Data Entry'!$Q$984)</f>
      </c>
      <c r="R984">
        <f>IF(ISBLANK('Data Entry'!$R$984), "", 'Data Entry'!$R$984)</f>
      </c>
      <c r="S984">
        <f>IF(ISBLANK('Data Entry'!$S$984), "", 'Data Entry'!$S$984)</f>
      </c>
      <c r="T984">
        <f>IF(ISBLANK('Data Entry'!$T$984), "", 'Data Entry'!$T$984)</f>
      </c>
      <c r="U984">
        <f>IF(ISBLANK('Data Entry'!$U$984), "", 'Data Entry'!$U$984)</f>
      </c>
      <c r="V984">
        <f>IF(ISBLANK('Data Entry'!$V$984), "", 'Data Entry'!$V$984)</f>
      </c>
      <c r="W984">
        <f>IF(ISBLANK('Data Entry'!$W$984), "", 'Data Entry'!$W$984)</f>
      </c>
      <c r="X984">
        <f>IF(ISBLANK('Data Entry'!$X$984), "", 'Data Entry'!$X$984)</f>
      </c>
      <c r="Y984">
        <f>IF(ISBLANK('Data Entry'!$Y$984), "", 'Data Entry'!$Y$984)</f>
      </c>
      <c r="Z984">
        <f>IF(ISBLANK('Data Entry'!$Z$984), "", 'Data Entry'!$Z$984)</f>
      </c>
      <c r="AA984">
        <f>IF(ISBLANK('Data Entry'!$[$984), "", 'Data Entry'!$[$984)</f>
      </c>
      <c r="AB984">
        <f>IF(ISBLANK('Data Entry'!$\$984), "", 'Data Entry'!$\$984)</f>
      </c>
      <c r="AC984">
        <f>IF(ISBLANK('Data Entry'!$]$984), "", 'Data Entry'!$]$984)</f>
      </c>
      <c r="AD984">
        <f>IF(ISBLANK('Data Entry'!$^$984), "", 'Data Entry'!$^$984)</f>
      </c>
      <c r="AE984">
        <f>IF(ISBLANK('Data Entry'!$_$984), "", 'Data Entry'!$_$984)</f>
      </c>
      <c r="AF984">
        <f>IF(ISBLANK('Data Entry'!$`$984), "", 'Data Entry'!$`$984)</f>
      </c>
      <c r="AG984">
        <f>IF(ISBLANK('Data Entry'!$a$984), "", 'Data Entry'!$a$984)</f>
      </c>
      <c r="AH984">
        <f>IF(ISBLANK('Data Entry'!$b$984), "", 'Data Entry'!$b$984)</f>
      </c>
      <c r="AI984">
        <f>IF(ISBLANK('Data Entry'!$c$984), "", 'Data Entry'!$c$984)</f>
      </c>
      <c r="AJ984">
        <f>IF(ISBLANK('Data Entry'!$d$984), "", 'Data Entry'!$d$984)</f>
      </c>
      <c r="AK984">
        <f>IF(ISBLANK('Data Entry'!$e$984), "", 'Data Entry'!$e$984)</f>
      </c>
      <c r="AL984">
        <f>IF(ISBLANK('Data Entry'!$f$984), "", 'Data Entry'!$f$984)</f>
      </c>
      <c r="AM984">
        <f>IF(ISBLANK('Data Entry'!$g$984), "", 'Data Entry'!$g$984)</f>
      </c>
      <c r="AN984">
        <f>IF(ISBLANK('Data Entry'!$h$984), "", 'Data Entry'!$h$984)</f>
      </c>
      <c r="AO984">
        <f>IF(ISBLANK('Data Entry'!$i$984), "", 'Data Entry'!$i$984)</f>
      </c>
      <c r="AP984">
        <f>IF(ISBLANK('Data Entry'!$j$984), "", 'Data Entry'!$j$984)</f>
      </c>
      <c r="AQ984">
        <f>IF(ISBLANK('Data Entry'!$k$984), "", 'Data Entry'!$k$984)</f>
      </c>
      <c r="AR984">
        <f>IF(ISBLANK('Data Entry'!$l$984), "", 'Data Entry'!$l$984)</f>
      </c>
      <c r="AS984">
        <f>IF(ISBLANK('Data Entry'!$m$984), "", 'Data Entry'!$m$984)</f>
      </c>
      <c r="AT984">
        <f>IF(ISBLANK('Data Entry'!$n$984), "", 'Data Entry'!$n$984)</f>
      </c>
      <c r="AU984">
        <f>IF(ISBLANK('Data Entry'!$o$984), "", 'Data Entry'!$o$984)</f>
      </c>
      <c r="AV984">
        <f>IF(ISBLANK('Data Entry'!$p$984), "", 'Data Entry'!$p$984)</f>
      </c>
      <c r="AW984">
        <f>IF(ISBLANK('Data Entry'!$q$984), "", 'Data Entry'!$q$984)</f>
      </c>
      <c r="AX984">
        <f>IF(ISBLANK('Data Entry'!$r$984), "", 'Data Entry'!$r$984)</f>
      </c>
      <c r="AY984">
        <f>IF(ISBLANK('Data Entry'!$s$984), "", 'Data Entry'!$s$984)</f>
      </c>
      <c r="AZ984">
        <f>IF(ISBLANK('Data Entry'!$t$984), "", 'Data Entry'!$t$984)</f>
      </c>
      <c r="BA984">
        <f>IF(ISBLANK('Data Entry'!$u$984), "", 'Data Entry'!$u$984)</f>
      </c>
      <c r="BB984">
        <f>IF(ISBLANK('Data Entry'!$v$984), "", 'Data Entry'!$v$984)</f>
      </c>
      <c r="BC984">
        <f>IF(ISBLANK('Data Entry'!$w$984), "", 'Data Entry'!$w$984)</f>
      </c>
      <c r="BD984">
        <f>IF(ISBLANK('Data Entry'!$x$984), "", 'Data Entry'!$x$984)</f>
      </c>
      <c r="BE984">
        <f>IF(ISBLANK('Data Entry'!$y$984), "", 'Data Entry'!$y$984)</f>
      </c>
      <c r="BF984">
        <f>IF(ISBLANK('Data Entry'!$z$984), "", 'Data Entry'!$z$984)</f>
      </c>
      <c r="BG984">
        <f>IF(ISBLANK('Data Entry'!${$984), "", 'Data Entry'!${$984)</f>
      </c>
      <c r="BH984">
        <f>IF(ISBLANK('Data Entry'!$|$984), "", 'Data Entry'!$|$984)</f>
      </c>
      <c r="BI984">
        <f>IF(ISBLANK('Data Entry'!$}$984), "", 'Data Entry'!$}$984)</f>
      </c>
      <c r="BJ984">
        <f>IF(ISBLANK('Data Entry'!$~$984), "", 'Data Entry'!$~$984)</f>
      </c>
      <c r="BK984">
        <f>IF(ISBLANK('Data Entry'!$$984), "", 'Data Entry'!$$984)</f>
      </c>
      <c r="BL984">
        <f>IF(ISBLANK('Data Entry'!$$984), "", 'Data Entry'!$$984)</f>
      </c>
      <c r="BM984">
        <f>IF(ISBLANK('Data Entry'!$$984), "", 'Data Entry'!$$984)</f>
      </c>
      <c r="BN984">
        <f>IF(ISBLANK('Data Entry'!$$984), "", 'Data Entry'!$$984)</f>
      </c>
      <c r="BO984">
        <f>IF(ISBLANK('Data Entry'!$$984), "", 'Data Entry'!$$984)</f>
      </c>
      <c r="BP984">
        <f>IF(ISBLANK('Data Entry'!$$984), "", 'Data Entry'!$$984)</f>
      </c>
      <c r="BQ984">
        <f>IF(ISBLANK('Data Entry'!$$984), "", 'Data Entry'!$$984)</f>
      </c>
      <c r="BR984">
        <f>IF(ISBLANK('Data Entry'!$$984), "", 'Data Entry'!$$984)</f>
      </c>
      <c r="BS984">
        <f>IF(ISBLANK('Data Entry'!$$984), "", 'Data Entry'!$$984)</f>
      </c>
      <c r="BT984">
        <f>IF(ISBLANK('Data Entry'!$$984), "", 'Data Entry'!$$984)</f>
      </c>
      <c r="BU984">
        <f>IF(ISBLANK('Data Entry'!$$984), "", 'Data Entry'!$$984)</f>
      </c>
      <c r="BV984">
        <f>IF(ISBLANK('Data Entry'!$$984), "", 'Data Entry'!$$984)</f>
      </c>
      <c r="BW984">
        <f>IF(ISBLANK('Data Entry'!$$984), "", 'Data Entry'!$$984)</f>
      </c>
      <c r="BX984">
        <f>IF(ISBLANK('Data Entry'!$$984), "", 'Data Entry'!$$984)</f>
      </c>
      <c r="BY984">
        <f>IF(ISBLANK('Data Entry'!$$984), "", 'Data Entry'!$$984)</f>
      </c>
      <c r="BZ984">
        <f>IF(ISBLANK('Data Entry'!$$984), "", 'Data Entry'!$$984)</f>
      </c>
      <c r="CA984">
        <f>IF(ISBLANK('Data Entry'!$$984), "", 'Data Entry'!$$984)</f>
      </c>
      <c r="CB984">
        <f>IF(ISBLANK('Data Entry'!$$984), "", 'Data Entry'!$$984)</f>
      </c>
      <c r="CC984">
        <f>IF(ISBLANK('Data Entry'!$$984), "", 'Data Entry'!$$984)</f>
      </c>
      <c r="CD984">
        <f>IF(ISBLANK('Data Entry'!$$984), "", 'Data Entry'!$$984)</f>
      </c>
      <c r="CE984">
        <f>IF(ISBLANK('Data Entry'!$$984), "", 'Data Entry'!$$984)</f>
      </c>
      <c r="CF984">
        <f>IF(ISBLANK('Data Entry'!$$984), "", 'Data Entry'!$$984)</f>
      </c>
      <c r="CG984">
        <f>IF(ISBLANK('Data Entry'!$$984), "", 'Data Entry'!$$984)</f>
      </c>
      <c r="CH984">
        <f>IF(ISBLANK('Data Entry'!$$984), "", 'Data Entry'!$$984)</f>
      </c>
      <c r="CI984">
        <f>IF(ISBLANK('Data Entry'!$$984), "", 'Data Entry'!$$984)</f>
      </c>
      <c r="CJ984">
        <f>IF(ISBLANK('Data Entry'!$$984), "", 'Data Entry'!$$984)</f>
      </c>
      <c r="CK984">
        <f>IF(ISBLANK('Data Entry'!$$984), "", 'Data Entry'!$$984)</f>
      </c>
      <c r="CL984">
        <f>IF(ISBLANK('Data Entry'!$$984), "", 'Data Entry'!$$984)</f>
      </c>
      <c r="CM984">
        <f>IF(ISBLANK('Data Entry'!$$984), "", 'Data Entry'!$$984)</f>
      </c>
      <c r="CN984">
        <f>IF(ISBLANK('Data Entry'!$$984), "", 'Data Entry'!$$984)</f>
      </c>
      <c r="CO984">
        <f>IF(ISBLANK('Data Entry'!$$984), "", 'Data Entry'!$$984)</f>
      </c>
      <c r="CP984">
        <f>IF(ISBLANK('Data Entry'!$$984), "", 'Data Entry'!$$984)</f>
      </c>
      <c r="CQ984">
        <f>IF(ISBLANK('Data Entry'!$$984), "", 'Data Entry'!$$984)</f>
      </c>
      <c r="CR984">
        <f>IF(ISBLANK('Data Entry'!$ $984), "", 'Data Entry'!$ $984)</f>
      </c>
      <c r="CS984">
        <f>IF(ISBLANK('Data Entry'!$¡$984), "", 'Data Entry'!$¡$984)</f>
      </c>
      <c r="CT984">
        <f>IF(ISBLANK('Data Entry'!$¢$984), "", 'Data Entry'!$¢$984)</f>
      </c>
      <c r="CU984">
        <f>IF(ISBLANK('Data Entry'!$£$984), "", 'Data Entry'!$£$984)</f>
      </c>
      <c r="CV984">
        <f>IF(ISBLANK('Data Entry'!$¤$984), "", 'Data Entry'!$¤$984)</f>
      </c>
      <c r="CW984">
        <f>IF(ISBLANK('Data Entry'!$¥$984), "", 'Data Entry'!$¥$984)</f>
      </c>
      <c r="CX984">
        <f>IF(ISBLANK('Data Entry'!$¦$984), "", 'Data Entry'!$¦$984)</f>
      </c>
      <c r="CY984">
        <f>IF(ISBLANK('Data Entry'!$§$984), "", 'Data Entry'!$§$984)</f>
      </c>
      <c r="CZ984">
        <f>IF(ISBLANK('Data Entry'!$¨$984), "", 'Data Entry'!$¨$984)</f>
      </c>
      <c r="DA984">
        <f>IF(ISBLANK('Data Entry'!$©$984), "", 'Data Entry'!$©$984)</f>
      </c>
      <c r="DB984">
        <f>IF(ISBLANK('Data Entry'!$ª$984), "", 'Data Entry'!$ª$984)</f>
      </c>
      <c r="DC984">
        <f>IF(ISBLANK('Data Entry'!$«$984), "", 'Data Entry'!$«$984)</f>
      </c>
      <c r="DD984">
        <f>IF(ISBLANK('Data Entry'!$¬$984), "", 'Data Entry'!$¬$984)</f>
      </c>
      <c r="DE984">
        <f>IF(ISBLANK('Data Entry'!$­$984), "", 'Data Entry'!$­$984)</f>
      </c>
      <c r="DF984">
        <f>IF(ISBLANK('Data Entry'!$®$984), "", 'Data Entry'!$®$984)</f>
      </c>
      <c r="DG984">
        <f>IF(ISBLANK('Data Entry'!$¯$984), "", 'Data Entry'!$¯$984)</f>
      </c>
      <c r="DH984">
        <f>IF(ISBLANK('Data Entry'!$°$984), "", 'Data Entry'!$°$984)</f>
      </c>
      <c r="DI984">
        <f>IF(ISBLANK('Data Entry'!$±$984), "", 'Data Entry'!$±$984)</f>
      </c>
      <c r="DJ984">
        <f>IF(ISBLANK('Data Entry'!$²$984), "", 'Data Entry'!$²$984)</f>
      </c>
      <c r="DK984">
        <f>IF(ISBLANK('Data Entry'!$³$984), "", 'Data Entry'!$³$984)</f>
      </c>
      <c r="DL984">
        <f>IF(ISBLANK('Data Entry'!$´$984), "", 'Data Entry'!$´$984)</f>
      </c>
      <c r="DM984">
        <f>IF(ISBLANK('Data Entry'!$µ$984), "", 'Data Entry'!$µ$984)</f>
      </c>
      <c r="DN984">
        <f>IF(ISBLANK('Data Entry'!$¶$984), "", 'Data Entry'!$¶$984)</f>
      </c>
      <c r="DO984">
        <f>IF(ISBLANK('Data Entry'!$·$984), "", 'Data Entry'!$·$984)</f>
      </c>
      <c r="DP984">
        <f>IF(ISBLANK('Data Entry'!$¸$984), "", 'Data Entry'!$¸$984)</f>
      </c>
      <c r="DQ984">
        <f>IF(ISBLANK('Data Entry'!$¹$984), "", 'Data Entry'!$¹$984)</f>
      </c>
      <c r="DR984">
        <f>IF(ISBLANK('Data Entry'!$º$984), "", 'Data Entry'!$º$984)</f>
      </c>
      <c r="DS984">
        <f>IF(ISBLANK('Data Entry'!$»$984), "", 'Data Entry'!$»$984)</f>
      </c>
      <c r="DT984">
        <f>IF(ISBLANK('Data Entry'!$¼$984), "", 'Data Entry'!$¼$984)</f>
      </c>
      <c r="DU984">
        <f>IF(ISBLANK('Data Entry'!$½$984), "", 'Data Entry'!$½$984)</f>
      </c>
      <c r="DV984">
        <f>IF(ISBLANK('Data Entry'!$¾$984), "", 'Data Entry'!$¾$984)</f>
      </c>
      <c r="DW984">
        <f>IF(ISBLANK('Data Entry'!$¿$984), "", 'Data Entry'!$¿$984)</f>
      </c>
      <c r="DX984">
        <f>IF(ISBLANK('Data Entry'!$À$984), "", 'Data Entry'!$À$984)</f>
      </c>
      <c r="DY984">
        <f>IF(ISBLANK('Data Entry'!$Á$984), "", 'Data Entry'!$Á$984)</f>
      </c>
      <c r="DZ984">
        <f>IF(ISBLANK('Data Entry'!$Â$984), "", 'Data Entry'!$Â$984)</f>
      </c>
      <c r="EA984">
        <f>IF(ISBLANK('Data Entry'!$Ã$984), "", 'Data Entry'!$Ã$984)</f>
      </c>
      <c r="EB984">
        <f>IF(ISBLANK('Data Entry'!$Ä$984), "", 'Data Entry'!$Ä$984)</f>
      </c>
      <c r="EC984">
        <f>IF(ISBLANK('Data Entry'!$Å$984), "", 'Data Entry'!$Å$984)</f>
      </c>
      <c r="ED984">
        <f>IF(ISBLANK('Data Entry'!$Æ$984), "", 'Data Entry'!$Æ$984)</f>
      </c>
      <c r="EE984">
        <f>IF(ISBLANK('Data Entry'!$Ç$984), "", 'Data Entry'!$Ç$984)</f>
      </c>
      <c r="EF984">
        <f>IF(ISBLANK('Data Entry'!$È$984), "", 'Data Entry'!$È$984)</f>
      </c>
      <c r="EG984">
        <f>IF(ISBLANK('Data Entry'!$É$984), "", 'Data Entry'!$É$984)</f>
      </c>
      <c r="EH984">
        <f>IF(ISBLANK('Data Entry'!$Ê$984), "", 'Data Entry'!$Ê$984)</f>
      </c>
      <c r="EI984">
        <f>IF(ISBLANK('Data Entry'!$Ë$984), "", 'Data Entry'!$Ë$984)</f>
      </c>
      <c r="EJ984">
        <f>IF(ISBLANK('Data Entry'!$Ì$984), "", 'Data Entry'!$Ì$984)</f>
      </c>
      <c r="EK984">
        <f>IF(ISBLANK('Data Entry'!$Í$984), "", 'Data Entry'!$Í$984)</f>
      </c>
      <c r="EL984">
        <f>IF(ISBLANK('Data Entry'!$Î$984), "", 'Data Entry'!$Î$984)</f>
      </c>
      <c r="EM984">
        <f>IF(ISBLANK('Data Entry'!$Ï$984), "", 'Data Entry'!$Ï$984)</f>
      </c>
      <c r="EN984">
        <f>IF(ISBLANK('Data Entry'!$Ð$984), "", 'Data Entry'!$Ð$984)</f>
      </c>
      <c r="EO984">
        <f>IF(ISBLANK('Data Entry'!$Ñ$984), "", 'Data Entry'!$Ñ$984)</f>
      </c>
      <c r="EP984">
        <f>IF(ISBLANK('Data Entry'!$Ò$984), "", 'Data Entry'!$Ò$984)</f>
      </c>
      <c r="EQ984">
        <f>IF(ISBLANK('Data Entry'!$Ó$984), "", 'Data Entry'!$Ó$984)</f>
      </c>
      <c r="ER984">
        <f>IF(ISBLANK('Data Entry'!$Ô$984), "", 'Data Entry'!$Ô$984)</f>
      </c>
      <c r="ES984">
        <f>IF(ISBLANK('Data Entry'!$Õ$984), "", 'Data Entry'!$Õ$984)</f>
      </c>
      <c r="ET984">
        <f>IF(ISBLANK('Data Entry'!$Ö$984), "", 'Data Entry'!$Ö$984)</f>
      </c>
      <c r="EU984">
        <f>IF(ISBLANK('Data Entry'!$×$984), "", 'Data Entry'!$×$984)</f>
      </c>
      <c r="EV984">
        <f>IF(ISBLANK('Data Entry'!$Ø$984), "", 'Data Entry'!$Ø$984)</f>
      </c>
      <c r="EW984">
        <f>IF(ISBLANK('Data Entry'!$Ù$984), "", 'Data Entry'!$Ù$984)</f>
      </c>
      <c r="EX984">
        <f>IF(ISBLANK('Data Entry'!$Ú$984), "", 'Data Entry'!$Ú$984)</f>
      </c>
      <c r="EY984">
        <f>IF(ISBLANK('Data Entry'!$Û$984), "", 'Data Entry'!$Û$984)</f>
      </c>
      <c r="EZ984">
        <f>IF(ISBLANK('Data Entry'!$Ü$984), "", 'Data Entry'!$Ü$984)</f>
      </c>
      <c r="FA984">
        <f>IF(ISBLANK('Data Entry'!$Ý$984), "", 'Data Entry'!$Ý$984)</f>
      </c>
      <c r="FB984">
        <f>IF(ISBLANK('Data Entry'!$Þ$984), "", 'Data Entry'!$Þ$984)</f>
      </c>
      <c r="FC984">
        <f>IF(ISBLANK('Data Entry'!$ß$984), "", 'Data Entry'!$ß$984)</f>
      </c>
      <c r="FD984">
        <f>IF(ISBLANK('Data Entry'!$à$984), "", 'Data Entry'!$à$984)</f>
      </c>
      <c r="FE984">
        <f>IF(ISBLANK('Data Entry'!$á$984), "", 'Data Entry'!$á$984)</f>
      </c>
      <c r="FF984">
        <f>IF(ISBLANK('Data Entry'!$â$984), "", 'Data Entry'!$â$984)</f>
      </c>
      <c r="FG984">
        <f>IF(ISBLANK('Data Entry'!$ã$984), "", 'Data Entry'!$ã$984)</f>
      </c>
      <c r="FH984">
        <f>IF(ISBLANK('Data Entry'!$ä$984), "", 'Data Entry'!$ä$984)</f>
      </c>
      <c r="FI984">
        <f>IF(ISBLANK('Data Entry'!$å$984), "", 'Data Entry'!$å$984)</f>
      </c>
      <c r="FJ984">
        <f>IF(ISBLANK('Data Entry'!$æ$984), "", 'Data Entry'!$æ$984)</f>
      </c>
      <c r="FK984">
        <f>IF(ISBLANK('Data Entry'!$ç$984), "", 'Data Entry'!$ç$984)</f>
      </c>
      <c r="FL984">
        <f>IF(ISBLANK('Data Entry'!$è$984), "", 'Data Entry'!$è$984)</f>
      </c>
      <c r="FM984">
        <f>IF(ISBLANK('Data Entry'!$é$984), "", 'Data Entry'!$é$984)</f>
      </c>
      <c r="FN984">
        <f>IF(ISBLANK('Data Entry'!$ê$984), "", 'Data Entry'!$ê$984)</f>
      </c>
      <c r="FO984">
        <f>IF(ISBLANK('Data Entry'!$ë$984), "", 'Data Entry'!$ë$984)</f>
      </c>
      <c r="FP984">
        <f>IF(ISBLANK('Data Entry'!$ì$984), "", 'Data Entry'!$ì$984)</f>
      </c>
      <c r="FQ984">
        <f>IF(ISBLANK('Data Entry'!$í$984), "", 'Data Entry'!$í$984)</f>
      </c>
      <c r="FR984">
        <f>IF(ISBLANK('Data Entry'!$î$984), "", 'Data Entry'!$î$984)</f>
      </c>
      <c r="FS984">
        <f>IF(ISBLANK('Data Entry'!$ï$984), "", 'Data Entry'!$ï$984)</f>
      </c>
      <c r="FT984">
        <f>IF(ISBLANK('Data Entry'!$ð$984), "", 'Data Entry'!$ð$984)</f>
      </c>
      <c r="FU984">
        <f>IF(ISBLANK('Data Entry'!$ñ$984), "", 'Data Entry'!$ñ$984)</f>
      </c>
      <c r="FV984">
        <f>IF(ISBLANK('Data Entry'!$ò$984), "", 'Data Entry'!$ò$984)</f>
      </c>
      <c r="FW984">
        <f>IF(ISBLANK('Data Entry'!$ó$984), "", 'Data Entry'!$ó$984)</f>
      </c>
      <c r="FX984">
        <f>IF(ISBLANK('Data Entry'!$ô$984), "", 'Data Entry'!$ô$984)</f>
      </c>
      <c r="FY984">
        <f>IF(ISBLANK('Data Entry'!$õ$984), "", 'Data Entry'!$õ$984)</f>
      </c>
      <c r="FZ984">
        <f>IF(ISBLANK('Data Entry'!$ö$984), "", 'Data Entry'!$ö$984)</f>
      </c>
      <c r="GA984">
        <f>IF(ISBLANK('Data Entry'!$÷$984), "", 'Data Entry'!$÷$984)</f>
      </c>
      <c r="GB984">
        <f>IF(ISBLANK('Data Entry'!$ø$984), "", 'Data Entry'!$ø$984)</f>
      </c>
      <c r="GC984">
        <f>IF(ISBLANK('Data Entry'!$ù$984), "", 'Data Entry'!$ù$984)</f>
      </c>
      <c r="GD984">
        <f>IF(ISBLANK('Data Entry'!$ú$984), "", 'Data Entry'!$ú$984)</f>
      </c>
      <c r="GE984">
        <f>IF(ISBLANK('Data Entry'!$û$984), "", 'Data Entry'!$û$984)</f>
      </c>
      <c r="GF984">
        <f>IF(ISBLANK('Data Entry'!$ü$984), "", 'Data Entry'!$ü$984)</f>
      </c>
      <c r="GG984">
        <f>IF(ISBLANK('Data Entry'!$ý$984), "", 'Data Entry'!$ý$984)</f>
      </c>
      <c r="GH984">
        <f>IF(ISBLANK('Data Entry'!$þ$984), "", 'Data Entry'!$þ$984)</f>
      </c>
      <c r="GI984">
        <f>IF(ISBLANK('Data Entry'!$ÿ$984), "", 'Data Entry'!$ÿ$984)</f>
      </c>
      <c r="GJ984">
        <f>IF(ISBLANK('Data Entry'!$Ā$984), "", 'Data Entry'!$Ā$984)</f>
      </c>
      <c r="GK984">
        <f>IF(ISBLANK('Data Entry'!$ā$984), "", 'Data Entry'!$ā$984)</f>
      </c>
      <c r="GL984">
        <f>IF(ISBLANK('Data Entry'!$Ă$984), "", 'Data Entry'!$Ă$984)</f>
      </c>
      <c r="GM984">
        <f>IF(ISBLANK('Data Entry'!$ă$984), "", 'Data Entry'!$ă$984)</f>
      </c>
      <c r="GN984">
        <f>IF(ISBLANK('Data Entry'!$Ą$984), "", 'Data Entry'!$Ą$984)</f>
      </c>
      <c r="GO984">
        <f>IF(ISBLANK('Data Entry'!$ą$984), "", 'Data Entry'!$ą$984)</f>
      </c>
      <c r="GP984">
        <f>IF(ISBLANK('Data Entry'!$Ć$984), "", 'Data Entry'!$Ć$984)</f>
      </c>
      <c r="GQ984">
        <f>IF(ISBLANK('Data Entry'!$ć$984), "", 'Data Entry'!$ć$984)</f>
      </c>
      <c r="GR984">
        <f>IF(ISBLANK('Data Entry'!$Ĉ$984), "", 'Data Entry'!$Ĉ$984)</f>
      </c>
      <c r="GS984">
        <f>IF(ISBLANK('Data Entry'!$ĉ$984), "", 'Data Entry'!$ĉ$984)</f>
      </c>
      <c r="GT984">
        <f>IF(ISBLANK('Data Entry'!$Ċ$984), "", 'Data Entry'!$Ċ$984)</f>
      </c>
      <c r="GU984">
        <f>IF(ISBLANK('Data Entry'!$ċ$984), "", 'Data Entry'!$ċ$984)</f>
      </c>
      <c r="GV984">
        <f>IF(ISBLANK('Data Entry'!$Č$984), "", 'Data Entry'!$Č$984)</f>
      </c>
      <c r="GW984">
        <f>IF(ISBLANK('Data Entry'!$č$984), "", 'Data Entry'!$č$984)</f>
      </c>
      <c r="GX984">
        <f>IF(ISBLANK('Data Entry'!$Ď$984), "", 'Data Entry'!$Ď$984)</f>
      </c>
      <c r="GY984">
        <f>IF(ISBLANK('Data Entry'!$ď$984), "", 'Data Entry'!$ď$984)</f>
      </c>
      <c r="GZ984">
        <f>IF(ISBLANK('Data Entry'!$Đ$984), "", 'Data Entry'!$Đ$984)</f>
      </c>
      <c r="HA984">
        <f>IF(ISBLANK('Data Entry'!$đ$984), "", 'Data Entry'!$đ$984)</f>
      </c>
      <c r="HB984">
        <f>IF(ISBLANK('Data Entry'!$Ē$984), "", 'Data Entry'!$Ē$984)</f>
      </c>
      <c r="HC984">
        <f>IF(ISBLANK('Data Entry'!$ē$984), "", 'Data Entry'!$ē$984)</f>
      </c>
      <c r="HD984">
        <f>IF(ISBLANK('Data Entry'!$Ĕ$984), "", 'Data Entry'!$Ĕ$984)</f>
      </c>
      <c r="HE984">
        <f>IF(ISBLANK('Data Entry'!$ĕ$984), "", 'Data Entry'!$ĕ$984)</f>
      </c>
      <c r="HF984">
        <f>IF(ISBLANK('Data Entry'!$Ė$984), "", 'Data Entry'!$Ė$984)</f>
      </c>
      <c r="HG984">
        <f>IF(ISBLANK('Data Entry'!$ė$984), "", 'Data Entry'!$ė$984)</f>
      </c>
      <c r="HH984">
        <f>IF(ISBLANK('Data Entry'!$Ę$984), "", 'Data Entry'!$Ę$984)</f>
      </c>
      <c r="HI984">
        <f>IF(ISBLANK('Data Entry'!$ę$984), "", 'Data Entry'!$ę$984)</f>
      </c>
      <c r="HJ984">
        <f>IF(ISBLANK('Data Entry'!$Ě$984), "", 'Data Entry'!$Ě$984)</f>
      </c>
      <c r="HK984">
        <f>IF(ISBLANK('Data Entry'!$ě$984), "", 'Data Entry'!$ě$984)</f>
      </c>
      <c r="HL984">
        <f>IF(ISBLANK('Data Entry'!$Ĝ$984), "", 'Data Entry'!$Ĝ$984)</f>
      </c>
      <c r="HM984">
        <f>IF(ISBLANK('Data Entry'!$ĝ$984), "", 'Data Entry'!$ĝ$984)</f>
      </c>
      <c r="HN984">
        <f>IF(ISBLANK('Data Entry'!$Ğ$984), "", 'Data Entry'!$Ğ$984)</f>
      </c>
      <c r="HO984">
        <f>IF(ISBLANK('Data Entry'!$ğ$984), "", 'Data Entry'!$ğ$984)</f>
      </c>
      <c r="HP984">
        <f>IF(ISBLANK('Data Entry'!$Ġ$984), "", 'Data Entry'!$Ġ$984)</f>
      </c>
      <c r="HQ984">
        <f>IF(ISBLANK('Data Entry'!$ġ$984), "", 'Data Entry'!$ġ$984)</f>
      </c>
      <c r="HR984">
        <f>IF(ISBLANK('Data Entry'!$Ģ$984), "", 'Data Entry'!$Ģ$984)</f>
      </c>
      <c r="HS984">
        <f>IF(ISBLANK('Data Entry'!$ģ$984), "", 'Data Entry'!$ģ$984)</f>
      </c>
      <c r="HT984">
        <f>IF(ISBLANK('Data Entry'!$Ĥ$984), "", 'Data Entry'!$Ĥ$984)</f>
      </c>
      <c r="HU984">
        <f>IF(ISBLANK('Data Entry'!$ĥ$984), "", 'Data Entry'!$ĥ$984)</f>
      </c>
      <c r="HV984">
        <f>IF(ISBLANK('Data Entry'!$Ħ$984), "", 'Data Entry'!$Ħ$984)</f>
      </c>
      <c r="HW984">
        <f>IF(ISBLANK('Data Entry'!$ħ$984), "", 'Data Entry'!$ħ$984)</f>
      </c>
      <c r="HX984">
        <f>IF(ISBLANK('Data Entry'!$Ĩ$984), "", 'Data Entry'!$Ĩ$984)</f>
      </c>
      <c r="HY984">
        <f>IF(ISBLANK('Data Entry'!$ĩ$984), "", 'Data Entry'!$ĩ$984)</f>
      </c>
      <c r="HZ984">
        <f>IF(ISBLANK('Data Entry'!$Ī$984), "", 'Data Entry'!$Ī$984)</f>
      </c>
      <c r="IA984">
        <f>IF(ISBLANK('Data Entry'!$ī$984), "", 'Data Entry'!$ī$984)</f>
      </c>
      <c r="IB984">
        <f>IF(ISBLANK('Data Entry'!$Ĭ$984), "", 'Data Entry'!$Ĭ$984)</f>
      </c>
      <c r="IC984">
        <f>IF(ISBLANK('Data Entry'!$ĭ$984), "", 'Data Entry'!$ĭ$984)</f>
      </c>
      <c r="ID984">
        <f>IF(ISBLANK('Data Entry'!$Į$984), "", 'Data Entry'!$Į$984)</f>
      </c>
      <c r="IE984">
        <f>IF(ISBLANK('Data Entry'!$į$984), "", 'Data Entry'!$į$984)</f>
      </c>
      <c r="IF984">
        <f>IF(ISBLANK('Data Entry'!$İ$984), "", 'Data Entry'!$İ$984)</f>
      </c>
      <c r="IG984">
        <f>IF(ISBLANK('Data Entry'!$ı$984), "", 'Data Entry'!$ı$984)</f>
      </c>
      <c r="IH984">
        <f>IF(ISBLANK('Data Entry'!$Ĳ$984), "", 'Data Entry'!$Ĳ$984)</f>
      </c>
      <c r="II984">
        <f>IF(ISBLANK('Data Entry'!$ĳ$984), "", 'Data Entry'!$ĳ$984)</f>
      </c>
      <c r="IJ984">
        <f>IF(ISBLANK('Data Entry'!$Ĵ$984), "", 'Data Entry'!$Ĵ$984)</f>
      </c>
      <c r="IK984">
        <f>IF(ISBLANK('Data Entry'!$ĵ$984), "", 'Data Entry'!$ĵ$984)</f>
      </c>
      <c r="IL984">
        <f>IF(ISBLANK('Data Entry'!$Ķ$984), "", 'Data Entry'!$Ķ$984)</f>
      </c>
      <c r="IM984">
        <f>IF(ISBLANK('Data Entry'!$ķ$984), "", 'Data Entry'!$ķ$984)</f>
      </c>
      <c r="IN984">
        <f>IF(ISBLANK('Data Entry'!$ĸ$984), "", 'Data Entry'!$ĸ$984)</f>
      </c>
      <c r="IO984">
        <f>IF(ISBLANK('Data Entry'!$Ĺ$984), "", 'Data Entry'!$Ĺ$984)</f>
      </c>
      <c r="IP984">
        <f>IF(ISBLANK('Data Entry'!$ĺ$984), "", 'Data Entry'!$ĺ$984)</f>
      </c>
      <c r="IQ984">
        <f>IF(ISBLANK('Data Entry'!$Ļ$984), "", 'Data Entry'!$Ļ$984)</f>
      </c>
      <c r="IR984">
        <f>IF(ISBLANK('Data Entry'!$ļ$984), "", 'Data Entry'!$ļ$984)</f>
      </c>
      <c r="IS984">
        <f>IF(ISBLANK('Data Entry'!$Ľ$984), "", 'Data Entry'!$Ľ$984)</f>
      </c>
      <c r="IT984">
        <f>IF(ISBLANK('Data Entry'!$ľ$984), "", 'Data Entry'!$ľ$984)</f>
      </c>
    </row>
    <row r="985" spans="1:254" x14ac:dyDescent="0.25">
      <c r="A985">
        <f>IF(ISBLANK('Data Entry'!$A$985), "", 'Data Entry'!$A$985)</f>
      </c>
      <c r="B985">
        <f>IF(ISBLANK('Data Entry'!$B$985), "", 'Data Entry'!$B$985)</f>
      </c>
      <c r="C985">
        <f>IF(ISBLANK('Data Entry'!$C$985), "", 'Data Entry'!$C$985)</f>
      </c>
      <c r="D985">
        <f>IF(ISBLANK('Data Entry'!$D$985), "", 'Data Entry'!$D$985)</f>
      </c>
      <c r="E985">
        <f>IF(ISBLANK('Data Entry'!$E$985), "", 'Data Entry'!$E$985)</f>
      </c>
      <c r="F985">
        <f>IF(ISBLANK('Data Entry'!$F$985), "", 'Data Entry'!$F$985)</f>
      </c>
      <c r="G985">
        <f>IF(ISBLANK('Data Entry'!$G$985), "", 'Data Entry'!$G$985)</f>
      </c>
      <c r="H985">
        <f>IF(ISBLANK('Data Entry'!$H$985), "", 'Data Entry'!$H$985)</f>
      </c>
      <c r="I985">
        <f>IF(ISBLANK('Data Entry'!$I$985), "", 'Data Entry'!$I$985)</f>
      </c>
      <c r="J985">
        <f>IF(ISBLANK('Data Entry'!$J$985), "", 'Data Entry'!$J$985)</f>
      </c>
      <c r="K985">
        <f>IF(ISBLANK('Data Entry'!$K$985), "", 'Data Entry'!$K$985)</f>
      </c>
      <c r="L985">
        <f>IF(ISBLANK('Data Entry'!$L$985), "", 'Data Entry'!$L$985)</f>
      </c>
      <c r="M985">
        <f>IF(ISBLANK('Data Entry'!$M$985), "", 'Data Entry'!$M$985)</f>
      </c>
      <c r="N985">
        <f>IF(ISBLANK('Data Entry'!$N$985), "", 'Data Entry'!$N$985)</f>
      </c>
      <c r="O985">
        <f>IF(ISBLANK('Data Entry'!$O$985), "", 'Data Entry'!$O$985)</f>
      </c>
      <c r="P985">
        <f>IF(ISBLANK('Data Entry'!$P$985), "", 'Data Entry'!$P$985)</f>
      </c>
      <c r="Q985">
        <f>IF(ISBLANK('Data Entry'!$Q$985), "", 'Data Entry'!$Q$985)</f>
      </c>
      <c r="R985">
        <f>IF(ISBLANK('Data Entry'!$R$985), "", 'Data Entry'!$R$985)</f>
      </c>
      <c r="S985">
        <f>IF(ISBLANK('Data Entry'!$S$985), "", 'Data Entry'!$S$985)</f>
      </c>
      <c r="T985">
        <f>IF(ISBLANK('Data Entry'!$T$985), "", 'Data Entry'!$T$985)</f>
      </c>
      <c r="U985">
        <f>IF(ISBLANK('Data Entry'!$U$985), "", 'Data Entry'!$U$985)</f>
      </c>
      <c r="V985">
        <f>IF(ISBLANK('Data Entry'!$V$985), "", 'Data Entry'!$V$985)</f>
      </c>
      <c r="W985">
        <f>IF(ISBLANK('Data Entry'!$W$985), "", 'Data Entry'!$W$985)</f>
      </c>
      <c r="X985">
        <f>IF(ISBLANK('Data Entry'!$X$985), "", 'Data Entry'!$X$985)</f>
      </c>
      <c r="Y985">
        <f>IF(ISBLANK('Data Entry'!$Y$985), "", 'Data Entry'!$Y$985)</f>
      </c>
      <c r="Z985">
        <f>IF(ISBLANK('Data Entry'!$Z$985), "", 'Data Entry'!$Z$985)</f>
      </c>
      <c r="AA985">
        <f>IF(ISBLANK('Data Entry'!$[$985), "", 'Data Entry'!$[$985)</f>
      </c>
      <c r="AB985">
        <f>IF(ISBLANK('Data Entry'!$\$985), "", 'Data Entry'!$\$985)</f>
      </c>
      <c r="AC985">
        <f>IF(ISBLANK('Data Entry'!$]$985), "", 'Data Entry'!$]$985)</f>
      </c>
      <c r="AD985">
        <f>IF(ISBLANK('Data Entry'!$^$985), "", 'Data Entry'!$^$985)</f>
      </c>
      <c r="AE985">
        <f>IF(ISBLANK('Data Entry'!$_$985), "", 'Data Entry'!$_$985)</f>
      </c>
      <c r="AF985">
        <f>IF(ISBLANK('Data Entry'!$`$985), "", 'Data Entry'!$`$985)</f>
      </c>
      <c r="AG985">
        <f>IF(ISBLANK('Data Entry'!$a$985), "", 'Data Entry'!$a$985)</f>
      </c>
      <c r="AH985">
        <f>IF(ISBLANK('Data Entry'!$b$985), "", 'Data Entry'!$b$985)</f>
      </c>
      <c r="AI985">
        <f>IF(ISBLANK('Data Entry'!$c$985), "", 'Data Entry'!$c$985)</f>
      </c>
      <c r="AJ985">
        <f>IF(ISBLANK('Data Entry'!$d$985), "", 'Data Entry'!$d$985)</f>
      </c>
      <c r="AK985">
        <f>IF(ISBLANK('Data Entry'!$e$985), "", 'Data Entry'!$e$985)</f>
      </c>
      <c r="AL985">
        <f>IF(ISBLANK('Data Entry'!$f$985), "", 'Data Entry'!$f$985)</f>
      </c>
      <c r="AM985">
        <f>IF(ISBLANK('Data Entry'!$g$985), "", 'Data Entry'!$g$985)</f>
      </c>
      <c r="AN985">
        <f>IF(ISBLANK('Data Entry'!$h$985), "", 'Data Entry'!$h$985)</f>
      </c>
      <c r="AO985">
        <f>IF(ISBLANK('Data Entry'!$i$985), "", 'Data Entry'!$i$985)</f>
      </c>
      <c r="AP985">
        <f>IF(ISBLANK('Data Entry'!$j$985), "", 'Data Entry'!$j$985)</f>
      </c>
      <c r="AQ985">
        <f>IF(ISBLANK('Data Entry'!$k$985), "", 'Data Entry'!$k$985)</f>
      </c>
      <c r="AR985">
        <f>IF(ISBLANK('Data Entry'!$l$985), "", 'Data Entry'!$l$985)</f>
      </c>
      <c r="AS985">
        <f>IF(ISBLANK('Data Entry'!$m$985), "", 'Data Entry'!$m$985)</f>
      </c>
      <c r="AT985">
        <f>IF(ISBLANK('Data Entry'!$n$985), "", 'Data Entry'!$n$985)</f>
      </c>
      <c r="AU985">
        <f>IF(ISBLANK('Data Entry'!$o$985), "", 'Data Entry'!$o$985)</f>
      </c>
      <c r="AV985">
        <f>IF(ISBLANK('Data Entry'!$p$985), "", 'Data Entry'!$p$985)</f>
      </c>
      <c r="AW985">
        <f>IF(ISBLANK('Data Entry'!$q$985), "", 'Data Entry'!$q$985)</f>
      </c>
      <c r="AX985">
        <f>IF(ISBLANK('Data Entry'!$r$985), "", 'Data Entry'!$r$985)</f>
      </c>
      <c r="AY985">
        <f>IF(ISBLANK('Data Entry'!$s$985), "", 'Data Entry'!$s$985)</f>
      </c>
      <c r="AZ985">
        <f>IF(ISBLANK('Data Entry'!$t$985), "", 'Data Entry'!$t$985)</f>
      </c>
      <c r="BA985">
        <f>IF(ISBLANK('Data Entry'!$u$985), "", 'Data Entry'!$u$985)</f>
      </c>
      <c r="BB985">
        <f>IF(ISBLANK('Data Entry'!$v$985), "", 'Data Entry'!$v$985)</f>
      </c>
      <c r="BC985">
        <f>IF(ISBLANK('Data Entry'!$w$985), "", 'Data Entry'!$w$985)</f>
      </c>
      <c r="BD985">
        <f>IF(ISBLANK('Data Entry'!$x$985), "", 'Data Entry'!$x$985)</f>
      </c>
      <c r="BE985">
        <f>IF(ISBLANK('Data Entry'!$y$985), "", 'Data Entry'!$y$985)</f>
      </c>
      <c r="BF985">
        <f>IF(ISBLANK('Data Entry'!$z$985), "", 'Data Entry'!$z$985)</f>
      </c>
      <c r="BG985">
        <f>IF(ISBLANK('Data Entry'!${$985), "", 'Data Entry'!${$985)</f>
      </c>
      <c r="BH985">
        <f>IF(ISBLANK('Data Entry'!$|$985), "", 'Data Entry'!$|$985)</f>
      </c>
      <c r="BI985">
        <f>IF(ISBLANK('Data Entry'!$}$985), "", 'Data Entry'!$}$985)</f>
      </c>
      <c r="BJ985">
        <f>IF(ISBLANK('Data Entry'!$~$985), "", 'Data Entry'!$~$985)</f>
      </c>
      <c r="BK985">
        <f>IF(ISBLANK('Data Entry'!$$985), "", 'Data Entry'!$$985)</f>
      </c>
      <c r="BL985">
        <f>IF(ISBLANK('Data Entry'!$$985), "", 'Data Entry'!$$985)</f>
      </c>
      <c r="BM985">
        <f>IF(ISBLANK('Data Entry'!$$985), "", 'Data Entry'!$$985)</f>
      </c>
      <c r="BN985">
        <f>IF(ISBLANK('Data Entry'!$$985), "", 'Data Entry'!$$985)</f>
      </c>
      <c r="BO985">
        <f>IF(ISBLANK('Data Entry'!$$985), "", 'Data Entry'!$$985)</f>
      </c>
      <c r="BP985">
        <f>IF(ISBLANK('Data Entry'!$$985), "", 'Data Entry'!$$985)</f>
      </c>
      <c r="BQ985">
        <f>IF(ISBLANK('Data Entry'!$$985), "", 'Data Entry'!$$985)</f>
      </c>
      <c r="BR985">
        <f>IF(ISBLANK('Data Entry'!$$985), "", 'Data Entry'!$$985)</f>
      </c>
      <c r="BS985">
        <f>IF(ISBLANK('Data Entry'!$$985), "", 'Data Entry'!$$985)</f>
      </c>
      <c r="BT985">
        <f>IF(ISBLANK('Data Entry'!$$985), "", 'Data Entry'!$$985)</f>
      </c>
      <c r="BU985">
        <f>IF(ISBLANK('Data Entry'!$$985), "", 'Data Entry'!$$985)</f>
      </c>
      <c r="BV985">
        <f>IF(ISBLANK('Data Entry'!$$985), "", 'Data Entry'!$$985)</f>
      </c>
      <c r="BW985">
        <f>IF(ISBLANK('Data Entry'!$$985), "", 'Data Entry'!$$985)</f>
      </c>
      <c r="BX985">
        <f>IF(ISBLANK('Data Entry'!$$985), "", 'Data Entry'!$$985)</f>
      </c>
      <c r="BY985">
        <f>IF(ISBLANK('Data Entry'!$$985), "", 'Data Entry'!$$985)</f>
      </c>
      <c r="BZ985">
        <f>IF(ISBLANK('Data Entry'!$$985), "", 'Data Entry'!$$985)</f>
      </c>
      <c r="CA985">
        <f>IF(ISBLANK('Data Entry'!$$985), "", 'Data Entry'!$$985)</f>
      </c>
      <c r="CB985">
        <f>IF(ISBLANK('Data Entry'!$$985), "", 'Data Entry'!$$985)</f>
      </c>
      <c r="CC985">
        <f>IF(ISBLANK('Data Entry'!$$985), "", 'Data Entry'!$$985)</f>
      </c>
      <c r="CD985">
        <f>IF(ISBLANK('Data Entry'!$$985), "", 'Data Entry'!$$985)</f>
      </c>
      <c r="CE985">
        <f>IF(ISBLANK('Data Entry'!$$985), "", 'Data Entry'!$$985)</f>
      </c>
      <c r="CF985">
        <f>IF(ISBLANK('Data Entry'!$$985), "", 'Data Entry'!$$985)</f>
      </c>
      <c r="CG985">
        <f>IF(ISBLANK('Data Entry'!$$985), "", 'Data Entry'!$$985)</f>
      </c>
      <c r="CH985">
        <f>IF(ISBLANK('Data Entry'!$$985), "", 'Data Entry'!$$985)</f>
      </c>
      <c r="CI985">
        <f>IF(ISBLANK('Data Entry'!$$985), "", 'Data Entry'!$$985)</f>
      </c>
      <c r="CJ985">
        <f>IF(ISBLANK('Data Entry'!$$985), "", 'Data Entry'!$$985)</f>
      </c>
      <c r="CK985">
        <f>IF(ISBLANK('Data Entry'!$$985), "", 'Data Entry'!$$985)</f>
      </c>
      <c r="CL985">
        <f>IF(ISBLANK('Data Entry'!$$985), "", 'Data Entry'!$$985)</f>
      </c>
      <c r="CM985">
        <f>IF(ISBLANK('Data Entry'!$$985), "", 'Data Entry'!$$985)</f>
      </c>
      <c r="CN985">
        <f>IF(ISBLANK('Data Entry'!$$985), "", 'Data Entry'!$$985)</f>
      </c>
      <c r="CO985">
        <f>IF(ISBLANK('Data Entry'!$$985), "", 'Data Entry'!$$985)</f>
      </c>
      <c r="CP985">
        <f>IF(ISBLANK('Data Entry'!$$985), "", 'Data Entry'!$$985)</f>
      </c>
      <c r="CQ985">
        <f>IF(ISBLANK('Data Entry'!$$985), "", 'Data Entry'!$$985)</f>
      </c>
      <c r="CR985">
        <f>IF(ISBLANK('Data Entry'!$ $985), "", 'Data Entry'!$ $985)</f>
      </c>
      <c r="CS985">
        <f>IF(ISBLANK('Data Entry'!$¡$985), "", 'Data Entry'!$¡$985)</f>
      </c>
      <c r="CT985">
        <f>IF(ISBLANK('Data Entry'!$¢$985), "", 'Data Entry'!$¢$985)</f>
      </c>
      <c r="CU985">
        <f>IF(ISBLANK('Data Entry'!$£$985), "", 'Data Entry'!$£$985)</f>
      </c>
      <c r="CV985">
        <f>IF(ISBLANK('Data Entry'!$¤$985), "", 'Data Entry'!$¤$985)</f>
      </c>
      <c r="CW985">
        <f>IF(ISBLANK('Data Entry'!$¥$985), "", 'Data Entry'!$¥$985)</f>
      </c>
      <c r="CX985">
        <f>IF(ISBLANK('Data Entry'!$¦$985), "", 'Data Entry'!$¦$985)</f>
      </c>
      <c r="CY985">
        <f>IF(ISBLANK('Data Entry'!$§$985), "", 'Data Entry'!$§$985)</f>
      </c>
      <c r="CZ985">
        <f>IF(ISBLANK('Data Entry'!$¨$985), "", 'Data Entry'!$¨$985)</f>
      </c>
      <c r="DA985">
        <f>IF(ISBLANK('Data Entry'!$©$985), "", 'Data Entry'!$©$985)</f>
      </c>
      <c r="DB985">
        <f>IF(ISBLANK('Data Entry'!$ª$985), "", 'Data Entry'!$ª$985)</f>
      </c>
      <c r="DC985">
        <f>IF(ISBLANK('Data Entry'!$«$985), "", 'Data Entry'!$«$985)</f>
      </c>
      <c r="DD985">
        <f>IF(ISBLANK('Data Entry'!$¬$985), "", 'Data Entry'!$¬$985)</f>
      </c>
      <c r="DE985">
        <f>IF(ISBLANK('Data Entry'!$­$985), "", 'Data Entry'!$­$985)</f>
      </c>
      <c r="DF985">
        <f>IF(ISBLANK('Data Entry'!$®$985), "", 'Data Entry'!$®$985)</f>
      </c>
      <c r="DG985">
        <f>IF(ISBLANK('Data Entry'!$¯$985), "", 'Data Entry'!$¯$985)</f>
      </c>
      <c r="DH985">
        <f>IF(ISBLANK('Data Entry'!$°$985), "", 'Data Entry'!$°$985)</f>
      </c>
      <c r="DI985">
        <f>IF(ISBLANK('Data Entry'!$±$985), "", 'Data Entry'!$±$985)</f>
      </c>
      <c r="DJ985">
        <f>IF(ISBLANK('Data Entry'!$²$985), "", 'Data Entry'!$²$985)</f>
      </c>
      <c r="DK985">
        <f>IF(ISBLANK('Data Entry'!$³$985), "", 'Data Entry'!$³$985)</f>
      </c>
      <c r="DL985">
        <f>IF(ISBLANK('Data Entry'!$´$985), "", 'Data Entry'!$´$985)</f>
      </c>
      <c r="DM985">
        <f>IF(ISBLANK('Data Entry'!$µ$985), "", 'Data Entry'!$µ$985)</f>
      </c>
      <c r="DN985">
        <f>IF(ISBLANK('Data Entry'!$¶$985), "", 'Data Entry'!$¶$985)</f>
      </c>
      <c r="DO985">
        <f>IF(ISBLANK('Data Entry'!$·$985), "", 'Data Entry'!$·$985)</f>
      </c>
      <c r="DP985">
        <f>IF(ISBLANK('Data Entry'!$¸$985), "", 'Data Entry'!$¸$985)</f>
      </c>
      <c r="DQ985">
        <f>IF(ISBLANK('Data Entry'!$¹$985), "", 'Data Entry'!$¹$985)</f>
      </c>
      <c r="DR985">
        <f>IF(ISBLANK('Data Entry'!$º$985), "", 'Data Entry'!$º$985)</f>
      </c>
      <c r="DS985">
        <f>IF(ISBLANK('Data Entry'!$»$985), "", 'Data Entry'!$»$985)</f>
      </c>
      <c r="DT985">
        <f>IF(ISBLANK('Data Entry'!$¼$985), "", 'Data Entry'!$¼$985)</f>
      </c>
      <c r="DU985">
        <f>IF(ISBLANK('Data Entry'!$½$985), "", 'Data Entry'!$½$985)</f>
      </c>
      <c r="DV985">
        <f>IF(ISBLANK('Data Entry'!$¾$985), "", 'Data Entry'!$¾$985)</f>
      </c>
      <c r="DW985">
        <f>IF(ISBLANK('Data Entry'!$¿$985), "", 'Data Entry'!$¿$985)</f>
      </c>
      <c r="DX985">
        <f>IF(ISBLANK('Data Entry'!$À$985), "", 'Data Entry'!$À$985)</f>
      </c>
      <c r="DY985">
        <f>IF(ISBLANK('Data Entry'!$Á$985), "", 'Data Entry'!$Á$985)</f>
      </c>
      <c r="DZ985">
        <f>IF(ISBLANK('Data Entry'!$Â$985), "", 'Data Entry'!$Â$985)</f>
      </c>
      <c r="EA985">
        <f>IF(ISBLANK('Data Entry'!$Ã$985), "", 'Data Entry'!$Ã$985)</f>
      </c>
      <c r="EB985">
        <f>IF(ISBLANK('Data Entry'!$Ä$985), "", 'Data Entry'!$Ä$985)</f>
      </c>
      <c r="EC985">
        <f>IF(ISBLANK('Data Entry'!$Å$985), "", 'Data Entry'!$Å$985)</f>
      </c>
      <c r="ED985">
        <f>IF(ISBLANK('Data Entry'!$Æ$985), "", 'Data Entry'!$Æ$985)</f>
      </c>
      <c r="EE985">
        <f>IF(ISBLANK('Data Entry'!$Ç$985), "", 'Data Entry'!$Ç$985)</f>
      </c>
      <c r="EF985">
        <f>IF(ISBLANK('Data Entry'!$È$985), "", 'Data Entry'!$È$985)</f>
      </c>
      <c r="EG985">
        <f>IF(ISBLANK('Data Entry'!$É$985), "", 'Data Entry'!$É$985)</f>
      </c>
      <c r="EH985">
        <f>IF(ISBLANK('Data Entry'!$Ê$985), "", 'Data Entry'!$Ê$985)</f>
      </c>
      <c r="EI985">
        <f>IF(ISBLANK('Data Entry'!$Ë$985), "", 'Data Entry'!$Ë$985)</f>
      </c>
      <c r="EJ985">
        <f>IF(ISBLANK('Data Entry'!$Ì$985), "", 'Data Entry'!$Ì$985)</f>
      </c>
      <c r="EK985">
        <f>IF(ISBLANK('Data Entry'!$Í$985), "", 'Data Entry'!$Í$985)</f>
      </c>
      <c r="EL985">
        <f>IF(ISBLANK('Data Entry'!$Î$985), "", 'Data Entry'!$Î$985)</f>
      </c>
      <c r="EM985">
        <f>IF(ISBLANK('Data Entry'!$Ï$985), "", 'Data Entry'!$Ï$985)</f>
      </c>
      <c r="EN985">
        <f>IF(ISBLANK('Data Entry'!$Ð$985), "", 'Data Entry'!$Ð$985)</f>
      </c>
      <c r="EO985">
        <f>IF(ISBLANK('Data Entry'!$Ñ$985), "", 'Data Entry'!$Ñ$985)</f>
      </c>
      <c r="EP985">
        <f>IF(ISBLANK('Data Entry'!$Ò$985), "", 'Data Entry'!$Ò$985)</f>
      </c>
      <c r="EQ985">
        <f>IF(ISBLANK('Data Entry'!$Ó$985), "", 'Data Entry'!$Ó$985)</f>
      </c>
      <c r="ER985">
        <f>IF(ISBLANK('Data Entry'!$Ô$985), "", 'Data Entry'!$Ô$985)</f>
      </c>
      <c r="ES985">
        <f>IF(ISBLANK('Data Entry'!$Õ$985), "", 'Data Entry'!$Õ$985)</f>
      </c>
      <c r="ET985">
        <f>IF(ISBLANK('Data Entry'!$Ö$985), "", 'Data Entry'!$Ö$985)</f>
      </c>
      <c r="EU985">
        <f>IF(ISBLANK('Data Entry'!$×$985), "", 'Data Entry'!$×$985)</f>
      </c>
      <c r="EV985">
        <f>IF(ISBLANK('Data Entry'!$Ø$985), "", 'Data Entry'!$Ø$985)</f>
      </c>
      <c r="EW985">
        <f>IF(ISBLANK('Data Entry'!$Ù$985), "", 'Data Entry'!$Ù$985)</f>
      </c>
      <c r="EX985">
        <f>IF(ISBLANK('Data Entry'!$Ú$985), "", 'Data Entry'!$Ú$985)</f>
      </c>
      <c r="EY985">
        <f>IF(ISBLANK('Data Entry'!$Û$985), "", 'Data Entry'!$Û$985)</f>
      </c>
      <c r="EZ985">
        <f>IF(ISBLANK('Data Entry'!$Ü$985), "", 'Data Entry'!$Ü$985)</f>
      </c>
      <c r="FA985">
        <f>IF(ISBLANK('Data Entry'!$Ý$985), "", 'Data Entry'!$Ý$985)</f>
      </c>
      <c r="FB985">
        <f>IF(ISBLANK('Data Entry'!$Þ$985), "", 'Data Entry'!$Þ$985)</f>
      </c>
      <c r="FC985">
        <f>IF(ISBLANK('Data Entry'!$ß$985), "", 'Data Entry'!$ß$985)</f>
      </c>
      <c r="FD985">
        <f>IF(ISBLANK('Data Entry'!$à$985), "", 'Data Entry'!$à$985)</f>
      </c>
      <c r="FE985">
        <f>IF(ISBLANK('Data Entry'!$á$985), "", 'Data Entry'!$á$985)</f>
      </c>
      <c r="FF985">
        <f>IF(ISBLANK('Data Entry'!$â$985), "", 'Data Entry'!$â$985)</f>
      </c>
      <c r="FG985">
        <f>IF(ISBLANK('Data Entry'!$ã$985), "", 'Data Entry'!$ã$985)</f>
      </c>
      <c r="FH985">
        <f>IF(ISBLANK('Data Entry'!$ä$985), "", 'Data Entry'!$ä$985)</f>
      </c>
      <c r="FI985">
        <f>IF(ISBLANK('Data Entry'!$å$985), "", 'Data Entry'!$å$985)</f>
      </c>
      <c r="FJ985">
        <f>IF(ISBLANK('Data Entry'!$æ$985), "", 'Data Entry'!$æ$985)</f>
      </c>
      <c r="FK985">
        <f>IF(ISBLANK('Data Entry'!$ç$985), "", 'Data Entry'!$ç$985)</f>
      </c>
      <c r="FL985">
        <f>IF(ISBLANK('Data Entry'!$è$985), "", 'Data Entry'!$è$985)</f>
      </c>
      <c r="FM985">
        <f>IF(ISBLANK('Data Entry'!$é$985), "", 'Data Entry'!$é$985)</f>
      </c>
      <c r="FN985">
        <f>IF(ISBLANK('Data Entry'!$ê$985), "", 'Data Entry'!$ê$985)</f>
      </c>
      <c r="FO985">
        <f>IF(ISBLANK('Data Entry'!$ë$985), "", 'Data Entry'!$ë$985)</f>
      </c>
      <c r="FP985">
        <f>IF(ISBLANK('Data Entry'!$ì$985), "", 'Data Entry'!$ì$985)</f>
      </c>
      <c r="FQ985">
        <f>IF(ISBLANK('Data Entry'!$í$985), "", 'Data Entry'!$í$985)</f>
      </c>
      <c r="FR985">
        <f>IF(ISBLANK('Data Entry'!$î$985), "", 'Data Entry'!$î$985)</f>
      </c>
      <c r="FS985">
        <f>IF(ISBLANK('Data Entry'!$ï$985), "", 'Data Entry'!$ï$985)</f>
      </c>
      <c r="FT985">
        <f>IF(ISBLANK('Data Entry'!$ð$985), "", 'Data Entry'!$ð$985)</f>
      </c>
      <c r="FU985">
        <f>IF(ISBLANK('Data Entry'!$ñ$985), "", 'Data Entry'!$ñ$985)</f>
      </c>
      <c r="FV985">
        <f>IF(ISBLANK('Data Entry'!$ò$985), "", 'Data Entry'!$ò$985)</f>
      </c>
      <c r="FW985">
        <f>IF(ISBLANK('Data Entry'!$ó$985), "", 'Data Entry'!$ó$985)</f>
      </c>
      <c r="FX985">
        <f>IF(ISBLANK('Data Entry'!$ô$985), "", 'Data Entry'!$ô$985)</f>
      </c>
      <c r="FY985">
        <f>IF(ISBLANK('Data Entry'!$õ$985), "", 'Data Entry'!$õ$985)</f>
      </c>
      <c r="FZ985">
        <f>IF(ISBLANK('Data Entry'!$ö$985), "", 'Data Entry'!$ö$985)</f>
      </c>
      <c r="GA985">
        <f>IF(ISBLANK('Data Entry'!$÷$985), "", 'Data Entry'!$÷$985)</f>
      </c>
      <c r="GB985">
        <f>IF(ISBLANK('Data Entry'!$ø$985), "", 'Data Entry'!$ø$985)</f>
      </c>
      <c r="GC985">
        <f>IF(ISBLANK('Data Entry'!$ù$985), "", 'Data Entry'!$ù$985)</f>
      </c>
      <c r="GD985">
        <f>IF(ISBLANK('Data Entry'!$ú$985), "", 'Data Entry'!$ú$985)</f>
      </c>
      <c r="GE985">
        <f>IF(ISBLANK('Data Entry'!$û$985), "", 'Data Entry'!$û$985)</f>
      </c>
      <c r="GF985">
        <f>IF(ISBLANK('Data Entry'!$ü$985), "", 'Data Entry'!$ü$985)</f>
      </c>
      <c r="GG985">
        <f>IF(ISBLANK('Data Entry'!$ý$985), "", 'Data Entry'!$ý$985)</f>
      </c>
      <c r="GH985">
        <f>IF(ISBLANK('Data Entry'!$þ$985), "", 'Data Entry'!$þ$985)</f>
      </c>
      <c r="GI985">
        <f>IF(ISBLANK('Data Entry'!$ÿ$985), "", 'Data Entry'!$ÿ$985)</f>
      </c>
      <c r="GJ985">
        <f>IF(ISBLANK('Data Entry'!$Ā$985), "", 'Data Entry'!$Ā$985)</f>
      </c>
      <c r="GK985">
        <f>IF(ISBLANK('Data Entry'!$ā$985), "", 'Data Entry'!$ā$985)</f>
      </c>
      <c r="GL985">
        <f>IF(ISBLANK('Data Entry'!$Ă$985), "", 'Data Entry'!$Ă$985)</f>
      </c>
      <c r="GM985">
        <f>IF(ISBLANK('Data Entry'!$ă$985), "", 'Data Entry'!$ă$985)</f>
      </c>
      <c r="GN985">
        <f>IF(ISBLANK('Data Entry'!$Ą$985), "", 'Data Entry'!$Ą$985)</f>
      </c>
      <c r="GO985">
        <f>IF(ISBLANK('Data Entry'!$ą$985), "", 'Data Entry'!$ą$985)</f>
      </c>
      <c r="GP985">
        <f>IF(ISBLANK('Data Entry'!$Ć$985), "", 'Data Entry'!$Ć$985)</f>
      </c>
      <c r="GQ985">
        <f>IF(ISBLANK('Data Entry'!$ć$985), "", 'Data Entry'!$ć$985)</f>
      </c>
      <c r="GR985">
        <f>IF(ISBLANK('Data Entry'!$Ĉ$985), "", 'Data Entry'!$Ĉ$985)</f>
      </c>
      <c r="GS985">
        <f>IF(ISBLANK('Data Entry'!$ĉ$985), "", 'Data Entry'!$ĉ$985)</f>
      </c>
      <c r="GT985">
        <f>IF(ISBLANK('Data Entry'!$Ċ$985), "", 'Data Entry'!$Ċ$985)</f>
      </c>
      <c r="GU985">
        <f>IF(ISBLANK('Data Entry'!$ċ$985), "", 'Data Entry'!$ċ$985)</f>
      </c>
      <c r="GV985">
        <f>IF(ISBLANK('Data Entry'!$Č$985), "", 'Data Entry'!$Č$985)</f>
      </c>
      <c r="GW985">
        <f>IF(ISBLANK('Data Entry'!$č$985), "", 'Data Entry'!$č$985)</f>
      </c>
      <c r="GX985">
        <f>IF(ISBLANK('Data Entry'!$Ď$985), "", 'Data Entry'!$Ď$985)</f>
      </c>
      <c r="GY985">
        <f>IF(ISBLANK('Data Entry'!$ď$985), "", 'Data Entry'!$ď$985)</f>
      </c>
      <c r="GZ985">
        <f>IF(ISBLANK('Data Entry'!$Đ$985), "", 'Data Entry'!$Đ$985)</f>
      </c>
      <c r="HA985">
        <f>IF(ISBLANK('Data Entry'!$đ$985), "", 'Data Entry'!$đ$985)</f>
      </c>
      <c r="HB985">
        <f>IF(ISBLANK('Data Entry'!$Ē$985), "", 'Data Entry'!$Ē$985)</f>
      </c>
      <c r="HC985">
        <f>IF(ISBLANK('Data Entry'!$ē$985), "", 'Data Entry'!$ē$985)</f>
      </c>
      <c r="HD985">
        <f>IF(ISBLANK('Data Entry'!$Ĕ$985), "", 'Data Entry'!$Ĕ$985)</f>
      </c>
      <c r="HE985">
        <f>IF(ISBLANK('Data Entry'!$ĕ$985), "", 'Data Entry'!$ĕ$985)</f>
      </c>
      <c r="HF985">
        <f>IF(ISBLANK('Data Entry'!$Ė$985), "", 'Data Entry'!$Ė$985)</f>
      </c>
      <c r="HG985">
        <f>IF(ISBLANK('Data Entry'!$ė$985), "", 'Data Entry'!$ė$985)</f>
      </c>
      <c r="HH985">
        <f>IF(ISBLANK('Data Entry'!$Ę$985), "", 'Data Entry'!$Ę$985)</f>
      </c>
      <c r="HI985">
        <f>IF(ISBLANK('Data Entry'!$ę$985), "", 'Data Entry'!$ę$985)</f>
      </c>
      <c r="HJ985">
        <f>IF(ISBLANK('Data Entry'!$Ě$985), "", 'Data Entry'!$Ě$985)</f>
      </c>
      <c r="HK985">
        <f>IF(ISBLANK('Data Entry'!$ě$985), "", 'Data Entry'!$ě$985)</f>
      </c>
      <c r="HL985">
        <f>IF(ISBLANK('Data Entry'!$Ĝ$985), "", 'Data Entry'!$Ĝ$985)</f>
      </c>
      <c r="HM985">
        <f>IF(ISBLANK('Data Entry'!$ĝ$985), "", 'Data Entry'!$ĝ$985)</f>
      </c>
      <c r="HN985">
        <f>IF(ISBLANK('Data Entry'!$Ğ$985), "", 'Data Entry'!$Ğ$985)</f>
      </c>
      <c r="HO985">
        <f>IF(ISBLANK('Data Entry'!$ğ$985), "", 'Data Entry'!$ğ$985)</f>
      </c>
      <c r="HP985">
        <f>IF(ISBLANK('Data Entry'!$Ġ$985), "", 'Data Entry'!$Ġ$985)</f>
      </c>
      <c r="HQ985">
        <f>IF(ISBLANK('Data Entry'!$ġ$985), "", 'Data Entry'!$ġ$985)</f>
      </c>
      <c r="HR985">
        <f>IF(ISBLANK('Data Entry'!$Ģ$985), "", 'Data Entry'!$Ģ$985)</f>
      </c>
      <c r="HS985">
        <f>IF(ISBLANK('Data Entry'!$ģ$985), "", 'Data Entry'!$ģ$985)</f>
      </c>
      <c r="HT985">
        <f>IF(ISBLANK('Data Entry'!$Ĥ$985), "", 'Data Entry'!$Ĥ$985)</f>
      </c>
      <c r="HU985">
        <f>IF(ISBLANK('Data Entry'!$ĥ$985), "", 'Data Entry'!$ĥ$985)</f>
      </c>
      <c r="HV985">
        <f>IF(ISBLANK('Data Entry'!$Ħ$985), "", 'Data Entry'!$Ħ$985)</f>
      </c>
      <c r="HW985">
        <f>IF(ISBLANK('Data Entry'!$ħ$985), "", 'Data Entry'!$ħ$985)</f>
      </c>
      <c r="HX985">
        <f>IF(ISBLANK('Data Entry'!$Ĩ$985), "", 'Data Entry'!$Ĩ$985)</f>
      </c>
      <c r="HY985">
        <f>IF(ISBLANK('Data Entry'!$ĩ$985), "", 'Data Entry'!$ĩ$985)</f>
      </c>
      <c r="HZ985">
        <f>IF(ISBLANK('Data Entry'!$Ī$985), "", 'Data Entry'!$Ī$985)</f>
      </c>
      <c r="IA985">
        <f>IF(ISBLANK('Data Entry'!$ī$985), "", 'Data Entry'!$ī$985)</f>
      </c>
      <c r="IB985">
        <f>IF(ISBLANK('Data Entry'!$Ĭ$985), "", 'Data Entry'!$Ĭ$985)</f>
      </c>
      <c r="IC985">
        <f>IF(ISBLANK('Data Entry'!$ĭ$985), "", 'Data Entry'!$ĭ$985)</f>
      </c>
      <c r="ID985">
        <f>IF(ISBLANK('Data Entry'!$Į$985), "", 'Data Entry'!$Į$985)</f>
      </c>
      <c r="IE985">
        <f>IF(ISBLANK('Data Entry'!$į$985), "", 'Data Entry'!$į$985)</f>
      </c>
      <c r="IF985">
        <f>IF(ISBLANK('Data Entry'!$İ$985), "", 'Data Entry'!$İ$985)</f>
      </c>
      <c r="IG985">
        <f>IF(ISBLANK('Data Entry'!$ı$985), "", 'Data Entry'!$ı$985)</f>
      </c>
      <c r="IH985">
        <f>IF(ISBLANK('Data Entry'!$Ĳ$985), "", 'Data Entry'!$Ĳ$985)</f>
      </c>
      <c r="II985">
        <f>IF(ISBLANK('Data Entry'!$ĳ$985), "", 'Data Entry'!$ĳ$985)</f>
      </c>
      <c r="IJ985">
        <f>IF(ISBLANK('Data Entry'!$Ĵ$985), "", 'Data Entry'!$Ĵ$985)</f>
      </c>
      <c r="IK985">
        <f>IF(ISBLANK('Data Entry'!$ĵ$985), "", 'Data Entry'!$ĵ$985)</f>
      </c>
      <c r="IL985">
        <f>IF(ISBLANK('Data Entry'!$Ķ$985), "", 'Data Entry'!$Ķ$985)</f>
      </c>
      <c r="IM985">
        <f>IF(ISBLANK('Data Entry'!$ķ$985), "", 'Data Entry'!$ķ$985)</f>
      </c>
      <c r="IN985">
        <f>IF(ISBLANK('Data Entry'!$ĸ$985), "", 'Data Entry'!$ĸ$985)</f>
      </c>
      <c r="IO985">
        <f>IF(ISBLANK('Data Entry'!$Ĺ$985), "", 'Data Entry'!$Ĺ$985)</f>
      </c>
      <c r="IP985">
        <f>IF(ISBLANK('Data Entry'!$ĺ$985), "", 'Data Entry'!$ĺ$985)</f>
      </c>
      <c r="IQ985">
        <f>IF(ISBLANK('Data Entry'!$Ļ$985), "", 'Data Entry'!$Ļ$985)</f>
      </c>
      <c r="IR985">
        <f>IF(ISBLANK('Data Entry'!$ļ$985), "", 'Data Entry'!$ļ$985)</f>
      </c>
      <c r="IS985">
        <f>IF(ISBLANK('Data Entry'!$Ľ$985), "", 'Data Entry'!$Ľ$985)</f>
      </c>
      <c r="IT985">
        <f>IF(ISBLANK('Data Entry'!$ľ$985), "", 'Data Entry'!$ľ$985)</f>
      </c>
    </row>
    <row r="986" spans="1:254" x14ac:dyDescent="0.25">
      <c r="A986">
        <f>IF(ISBLANK('Data Entry'!$A$986), "", 'Data Entry'!$A$986)</f>
      </c>
      <c r="B986">
        <f>IF(ISBLANK('Data Entry'!$B$986), "", 'Data Entry'!$B$986)</f>
      </c>
      <c r="C986">
        <f>IF(ISBLANK('Data Entry'!$C$986), "", 'Data Entry'!$C$986)</f>
      </c>
      <c r="D986">
        <f>IF(ISBLANK('Data Entry'!$D$986), "", 'Data Entry'!$D$986)</f>
      </c>
      <c r="E986">
        <f>IF(ISBLANK('Data Entry'!$E$986), "", 'Data Entry'!$E$986)</f>
      </c>
      <c r="F986">
        <f>IF(ISBLANK('Data Entry'!$F$986), "", 'Data Entry'!$F$986)</f>
      </c>
      <c r="G986">
        <f>IF(ISBLANK('Data Entry'!$G$986), "", 'Data Entry'!$G$986)</f>
      </c>
      <c r="H986">
        <f>IF(ISBLANK('Data Entry'!$H$986), "", 'Data Entry'!$H$986)</f>
      </c>
      <c r="I986">
        <f>IF(ISBLANK('Data Entry'!$I$986), "", 'Data Entry'!$I$986)</f>
      </c>
      <c r="J986">
        <f>IF(ISBLANK('Data Entry'!$J$986), "", 'Data Entry'!$J$986)</f>
      </c>
      <c r="K986">
        <f>IF(ISBLANK('Data Entry'!$K$986), "", 'Data Entry'!$K$986)</f>
      </c>
      <c r="L986">
        <f>IF(ISBLANK('Data Entry'!$L$986), "", 'Data Entry'!$L$986)</f>
      </c>
      <c r="M986">
        <f>IF(ISBLANK('Data Entry'!$M$986), "", 'Data Entry'!$M$986)</f>
      </c>
      <c r="N986">
        <f>IF(ISBLANK('Data Entry'!$N$986), "", 'Data Entry'!$N$986)</f>
      </c>
      <c r="O986">
        <f>IF(ISBLANK('Data Entry'!$O$986), "", 'Data Entry'!$O$986)</f>
      </c>
      <c r="P986">
        <f>IF(ISBLANK('Data Entry'!$P$986), "", 'Data Entry'!$P$986)</f>
      </c>
      <c r="Q986">
        <f>IF(ISBLANK('Data Entry'!$Q$986), "", 'Data Entry'!$Q$986)</f>
      </c>
      <c r="R986">
        <f>IF(ISBLANK('Data Entry'!$R$986), "", 'Data Entry'!$R$986)</f>
      </c>
      <c r="S986">
        <f>IF(ISBLANK('Data Entry'!$S$986), "", 'Data Entry'!$S$986)</f>
      </c>
      <c r="T986">
        <f>IF(ISBLANK('Data Entry'!$T$986), "", 'Data Entry'!$T$986)</f>
      </c>
      <c r="U986">
        <f>IF(ISBLANK('Data Entry'!$U$986), "", 'Data Entry'!$U$986)</f>
      </c>
      <c r="V986">
        <f>IF(ISBLANK('Data Entry'!$V$986), "", 'Data Entry'!$V$986)</f>
      </c>
      <c r="W986">
        <f>IF(ISBLANK('Data Entry'!$W$986), "", 'Data Entry'!$W$986)</f>
      </c>
      <c r="X986">
        <f>IF(ISBLANK('Data Entry'!$X$986), "", 'Data Entry'!$X$986)</f>
      </c>
      <c r="Y986">
        <f>IF(ISBLANK('Data Entry'!$Y$986), "", 'Data Entry'!$Y$986)</f>
      </c>
      <c r="Z986">
        <f>IF(ISBLANK('Data Entry'!$Z$986), "", 'Data Entry'!$Z$986)</f>
      </c>
      <c r="AA986">
        <f>IF(ISBLANK('Data Entry'!$[$986), "", 'Data Entry'!$[$986)</f>
      </c>
      <c r="AB986">
        <f>IF(ISBLANK('Data Entry'!$\$986), "", 'Data Entry'!$\$986)</f>
      </c>
      <c r="AC986">
        <f>IF(ISBLANK('Data Entry'!$]$986), "", 'Data Entry'!$]$986)</f>
      </c>
      <c r="AD986">
        <f>IF(ISBLANK('Data Entry'!$^$986), "", 'Data Entry'!$^$986)</f>
      </c>
      <c r="AE986">
        <f>IF(ISBLANK('Data Entry'!$_$986), "", 'Data Entry'!$_$986)</f>
      </c>
      <c r="AF986">
        <f>IF(ISBLANK('Data Entry'!$`$986), "", 'Data Entry'!$`$986)</f>
      </c>
      <c r="AG986">
        <f>IF(ISBLANK('Data Entry'!$a$986), "", 'Data Entry'!$a$986)</f>
      </c>
      <c r="AH986">
        <f>IF(ISBLANK('Data Entry'!$b$986), "", 'Data Entry'!$b$986)</f>
      </c>
      <c r="AI986">
        <f>IF(ISBLANK('Data Entry'!$c$986), "", 'Data Entry'!$c$986)</f>
      </c>
      <c r="AJ986">
        <f>IF(ISBLANK('Data Entry'!$d$986), "", 'Data Entry'!$d$986)</f>
      </c>
      <c r="AK986">
        <f>IF(ISBLANK('Data Entry'!$e$986), "", 'Data Entry'!$e$986)</f>
      </c>
      <c r="AL986">
        <f>IF(ISBLANK('Data Entry'!$f$986), "", 'Data Entry'!$f$986)</f>
      </c>
      <c r="AM986">
        <f>IF(ISBLANK('Data Entry'!$g$986), "", 'Data Entry'!$g$986)</f>
      </c>
      <c r="AN986">
        <f>IF(ISBLANK('Data Entry'!$h$986), "", 'Data Entry'!$h$986)</f>
      </c>
      <c r="AO986">
        <f>IF(ISBLANK('Data Entry'!$i$986), "", 'Data Entry'!$i$986)</f>
      </c>
      <c r="AP986">
        <f>IF(ISBLANK('Data Entry'!$j$986), "", 'Data Entry'!$j$986)</f>
      </c>
      <c r="AQ986">
        <f>IF(ISBLANK('Data Entry'!$k$986), "", 'Data Entry'!$k$986)</f>
      </c>
      <c r="AR986">
        <f>IF(ISBLANK('Data Entry'!$l$986), "", 'Data Entry'!$l$986)</f>
      </c>
      <c r="AS986">
        <f>IF(ISBLANK('Data Entry'!$m$986), "", 'Data Entry'!$m$986)</f>
      </c>
      <c r="AT986">
        <f>IF(ISBLANK('Data Entry'!$n$986), "", 'Data Entry'!$n$986)</f>
      </c>
      <c r="AU986">
        <f>IF(ISBLANK('Data Entry'!$o$986), "", 'Data Entry'!$o$986)</f>
      </c>
      <c r="AV986">
        <f>IF(ISBLANK('Data Entry'!$p$986), "", 'Data Entry'!$p$986)</f>
      </c>
      <c r="AW986">
        <f>IF(ISBLANK('Data Entry'!$q$986), "", 'Data Entry'!$q$986)</f>
      </c>
      <c r="AX986">
        <f>IF(ISBLANK('Data Entry'!$r$986), "", 'Data Entry'!$r$986)</f>
      </c>
      <c r="AY986">
        <f>IF(ISBLANK('Data Entry'!$s$986), "", 'Data Entry'!$s$986)</f>
      </c>
      <c r="AZ986">
        <f>IF(ISBLANK('Data Entry'!$t$986), "", 'Data Entry'!$t$986)</f>
      </c>
      <c r="BA986">
        <f>IF(ISBLANK('Data Entry'!$u$986), "", 'Data Entry'!$u$986)</f>
      </c>
      <c r="BB986">
        <f>IF(ISBLANK('Data Entry'!$v$986), "", 'Data Entry'!$v$986)</f>
      </c>
      <c r="BC986">
        <f>IF(ISBLANK('Data Entry'!$w$986), "", 'Data Entry'!$w$986)</f>
      </c>
      <c r="BD986">
        <f>IF(ISBLANK('Data Entry'!$x$986), "", 'Data Entry'!$x$986)</f>
      </c>
      <c r="BE986">
        <f>IF(ISBLANK('Data Entry'!$y$986), "", 'Data Entry'!$y$986)</f>
      </c>
      <c r="BF986">
        <f>IF(ISBLANK('Data Entry'!$z$986), "", 'Data Entry'!$z$986)</f>
      </c>
      <c r="BG986">
        <f>IF(ISBLANK('Data Entry'!${$986), "", 'Data Entry'!${$986)</f>
      </c>
      <c r="BH986">
        <f>IF(ISBLANK('Data Entry'!$|$986), "", 'Data Entry'!$|$986)</f>
      </c>
      <c r="BI986">
        <f>IF(ISBLANK('Data Entry'!$}$986), "", 'Data Entry'!$}$986)</f>
      </c>
      <c r="BJ986">
        <f>IF(ISBLANK('Data Entry'!$~$986), "", 'Data Entry'!$~$986)</f>
      </c>
      <c r="BK986">
        <f>IF(ISBLANK('Data Entry'!$$986), "", 'Data Entry'!$$986)</f>
      </c>
      <c r="BL986">
        <f>IF(ISBLANK('Data Entry'!$$986), "", 'Data Entry'!$$986)</f>
      </c>
      <c r="BM986">
        <f>IF(ISBLANK('Data Entry'!$$986), "", 'Data Entry'!$$986)</f>
      </c>
      <c r="BN986">
        <f>IF(ISBLANK('Data Entry'!$$986), "", 'Data Entry'!$$986)</f>
      </c>
      <c r="BO986">
        <f>IF(ISBLANK('Data Entry'!$$986), "", 'Data Entry'!$$986)</f>
      </c>
      <c r="BP986">
        <f>IF(ISBLANK('Data Entry'!$$986), "", 'Data Entry'!$$986)</f>
      </c>
      <c r="BQ986">
        <f>IF(ISBLANK('Data Entry'!$$986), "", 'Data Entry'!$$986)</f>
      </c>
      <c r="BR986">
        <f>IF(ISBLANK('Data Entry'!$$986), "", 'Data Entry'!$$986)</f>
      </c>
      <c r="BS986">
        <f>IF(ISBLANK('Data Entry'!$$986), "", 'Data Entry'!$$986)</f>
      </c>
      <c r="BT986">
        <f>IF(ISBLANK('Data Entry'!$$986), "", 'Data Entry'!$$986)</f>
      </c>
      <c r="BU986">
        <f>IF(ISBLANK('Data Entry'!$$986), "", 'Data Entry'!$$986)</f>
      </c>
      <c r="BV986">
        <f>IF(ISBLANK('Data Entry'!$$986), "", 'Data Entry'!$$986)</f>
      </c>
      <c r="BW986">
        <f>IF(ISBLANK('Data Entry'!$$986), "", 'Data Entry'!$$986)</f>
      </c>
      <c r="BX986">
        <f>IF(ISBLANK('Data Entry'!$$986), "", 'Data Entry'!$$986)</f>
      </c>
      <c r="BY986">
        <f>IF(ISBLANK('Data Entry'!$$986), "", 'Data Entry'!$$986)</f>
      </c>
      <c r="BZ986">
        <f>IF(ISBLANK('Data Entry'!$$986), "", 'Data Entry'!$$986)</f>
      </c>
      <c r="CA986">
        <f>IF(ISBLANK('Data Entry'!$$986), "", 'Data Entry'!$$986)</f>
      </c>
      <c r="CB986">
        <f>IF(ISBLANK('Data Entry'!$$986), "", 'Data Entry'!$$986)</f>
      </c>
      <c r="CC986">
        <f>IF(ISBLANK('Data Entry'!$$986), "", 'Data Entry'!$$986)</f>
      </c>
      <c r="CD986">
        <f>IF(ISBLANK('Data Entry'!$$986), "", 'Data Entry'!$$986)</f>
      </c>
      <c r="CE986">
        <f>IF(ISBLANK('Data Entry'!$$986), "", 'Data Entry'!$$986)</f>
      </c>
      <c r="CF986">
        <f>IF(ISBLANK('Data Entry'!$$986), "", 'Data Entry'!$$986)</f>
      </c>
      <c r="CG986">
        <f>IF(ISBLANK('Data Entry'!$$986), "", 'Data Entry'!$$986)</f>
      </c>
      <c r="CH986">
        <f>IF(ISBLANK('Data Entry'!$$986), "", 'Data Entry'!$$986)</f>
      </c>
      <c r="CI986">
        <f>IF(ISBLANK('Data Entry'!$$986), "", 'Data Entry'!$$986)</f>
      </c>
      <c r="CJ986">
        <f>IF(ISBLANK('Data Entry'!$$986), "", 'Data Entry'!$$986)</f>
      </c>
      <c r="CK986">
        <f>IF(ISBLANK('Data Entry'!$$986), "", 'Data Entry'!$$986)</f>
      </c>
      <c r="CL986">
        <f>IF(ISBLANK('Data Entry'!$$986), "", 'Data Entry'!$$986)</f>
      </c>
      <c r="CM986">
        <f>IF(ISBLANK('Data Entry'!$$986), "", 'Data Entry'!$$986)</f>
      </c>
      <c r="CN986">
        <f>IF(ISBLANK('Data Entry'!$$986), "", 'Data Entry'!$$986)</f>
      </c>
      <c r="CO986">
        <f>IF(ISBLANK('Data Entry'!$$986), "", 'Data Entry'!$$986)</f>
      </c>
      <c r="CP986">
        <f>IF(ISBLANK('Data Entry'!$$986), "", 'Data Entry'!$$986)</f>
      </c>
      <c r="CQ986">
        <f>IF(ISBLANK('Data Entry'!$$986), "", 'Data Entry'!$$986)</f>
      </c>
      <c r="CR986">
        <f>IF(ISBLANK('Data Entry'!$ $986), "", 'Data Entry'!$ $986)</f>
      </c>
      <c r="CS986">
        <f>IF(ISBLANK('Data Entry'!$¡$986), "", 'Data Entry'!$¡$986)</f>
      </c>
      <c r="CT986">
        <f>IF(ISBLANK('Data Entry'!$¢$986), "", 'Data Entry'!$¢$986)</f>
      </c>
      <c r="CU986">
        <f>IF(ISBLANK('Data Entry'!$£$986), "", 'Data Entry'!$£$986)</f>
      </c>
      <c r="CV986">
        <f>IF(ISBLANK('Data Entry'!$¤$986), "", 'Data Entry'!$¤$986)</f>
      </c>
      <c r="CW986">
        <f>IF(ISBLANK('Data Entry'!$¥$986), "", 'Data Entry'!$¥$986)</f>
      </c>
      <c r="CX986">
        <f>IF(ISBLANK('Data Entry'!$¦$986), "", 'Data Entry'!$¦$986)</f>
      </c>
      <c r="CY986">
        <f>IF(ISBLANK('Data Entry'!$§$986), "", 'Data Entry'!$§$986)</f>
      </c>
      <c r="CZ986">
        <f>IF(ISBLANK('Data Entry'!$¨$986), "", 'Data Entry'!$¨$986)</f>
      </c>
      <c r="DA986">
        <f>IF(ISBLANK('Data Entry'!$©$986), "", 'Data Entry'!$©$986)</f>
      </c>
      <c r="DB986">
        <f>IF(ISBLANK('Data Entry'!$ª$986), "", 'Data Entry'!$ª$986)</f>
      </c>
      <c r="DC986">
        <f>IF(ISBLANK('Data Entry'!$«$986), "", 'Data Entry'!$«$986)</f>
      </c>
      <c r="DD986">
        <f>IF(ISBLANK('Data Entry'!$¬$986), "", 'Data Entry'!$¬$986)</f>
      </c>
      <c r="DE986">
        <f>IF(ISBLANK('Data Entry'!$­$986), "", 'Data Entry'!$­$986)</f>
      </c>
      <c r="DF986">
        <f>IF(ISBLANK('Data Entry'!$®$986), "", 'Data Entry'!$®$986)</f>
      </c>
      <c r="DG986">
        <f>IF(ISBLANK('Data Entry'!$¯$986), "", 'Data Entry'!$¯$986)</f>
      </c>
      <c r="DH986">
        <f>IF(ISBLANK('Data Entry'!$°$986), "", 'Data Entry'!$°$986)</f>
      </c>
      <c r="DI986">
        <f>IF(ISBLANK('Data Entry'!$±$986), "", 'Data Entry'!$±$986)</f>
      </c>
      <c r="DJ986">
        <f>IF(ISBLANK('Data Entry'!$²$986), "", 'Data Entry'!$²$986)</f>
      </c>
      <c r="DK986">
        <f>IF(ISBLANK('Data Entry'!$³$986), "", 'Data Entry'!$³$986)</f>
      </c>
      <c r="DL986">
        <f>IF(ISBLANK('Data Entry'!$´$986), "", 'Data Entry'!$´$986)</f>
      </c>
      <c r="DM986">
        <f>IF(ISBLANK('Data Entry'!$µ$986), "", 'Data Entry'!$µ$986)</f>
      </c>
      <c r="DN986">
        <f>IF(ISBLANK('Data Entry'!$¶$986), "", 'Data Entry'!$¶$986)</f>
      </c>
      <c r="DO986">
        <f>IF(ISBLANK('Data Entry'!$·$986), "", 'Data Entry'!$·$986)</f>
      </c>
      <c r="DP986">
        <f>IF(ISBLANK('Data Entry'!$¸$986), "", 'Data Entry'!$¸$986)</f>
      </c>
      <c r="DQ986">
        <f>IF(ISBLANK('Data Entry'!$¹$986), "", 'Data Entry'!$¹$986)</f>
      </c>
      <c r="DR986">
        <f>IF(ISBLANK('Data Entry'!$º$986), "", 'Data Entry'!$º$986)</f>
      </c>
      <c r="DS986">
        <f>IF(ISBLANK('Data Entry'!$»$986), "", 'Data Entry'!$»$986)</f>
      </c>
      <c r="DT986">
        <f>IF(ISBLANK('Data Entry'!$¼$986), "", 'Data Entry'!$¼$986)</f>
      </c>
      <c r="DU986">
        <f>IF(ISBLANK('Data Entry'!$½$986), "", 'Data Entry'!$½$986)</f>
      </c>
      <c r="DV986">
        <f>IF(ISBLANK('Data Entry'!$¾$986), "", 'Data Entry'!$¾$986)</f>
      </c>
      <c r="DW986">
        <f>IF(ISBLANK('Data Entry'!$¿$986), "", 'Data Entry'!$¿$986)</f>
      </c>
      <c r="DX986">
        <f>IF(ISBLANK('Data Entry'!$À$986), "", 'Data Entry'!$À$986)</f>
      </c>
      <c r="DY986">
        <f>IF(ISBLANK('Data Entry'!$Á$986), "", 'Data Entry'!$Á$986)</f>
      </c>
      <c r="DZ986">
        <f>IF(ISBLANK('Data Entry'!$Â$986), "", 'Data Entry'!$Â$986)</f>
      </c>
      <c r="EA986">
        <f>IF(ISBLANK('Data Entry'!$Ã$986), "", 'Data Entry'!$Ã$986)</f>
      </c>
      <c r="EB986">
        <f>IF(ISBLANK('Data Entry'!$Ä$986), "", 'Data Entry'!$Ä$986)</f>
      </c>
      <c r="EC986">
        <f>IF(ISBLANK('Data Entry'!$Å$986), "", 'Data Entry'!$Å$986)</f>
      </c>
      <c r="ED986">
        <f>IF(ISBLANK('Data Entry'!$Æ$986), "", 'Data Entry'!$Æ$986)</f>
      </c>
      <c r="EE986">
        <f>IF(ISBLANK('Data Entry'!$Ç$986), "", 'Data Entry'!$Ç$986)</f>
      </c>
      <c r="EF986">
        <f>IF(ISBLANK('Data Entry'!$È$986), "", 'Data Entry'!$È$986)</f>
      </c>
      <c r="EG986">
        <f>IF(ISBLANK('Data Entry'!$É$986), "", 'Data Entry'!$É$986)</f>
      </c>
      <c r="EH986">
        <f>IF(ISBLANK('Data Entry'!$Ê$986), "", 'Data Entry'!$Ê$986)</f>
      </c>
      <c r="EI986">
        <f>IF(ISBLANK('Data Entry'!$Ë$986), "", 'Data Entry'!$Ë$986)</f>
      </c>
      <c r="EJ986">
        <f>IF(ISBLANK('Data Entry'!$Ì$986), "", 'Data Entry'!$Ì$986)</f>
      </c>
      <c r="EK986">
        <f>IF(ISBLANK('Data Entry'!$Í$986), "", 'Data Entry'!$Í$986)</f>
      </c>
      <c r="EL986">
        <f>IF(ISBLANK('Data Entry'!$Î$986), "", 'Data Entry'!$Î$986)</f>
      </c>
      <c r="EM986">
        <f>IF(ISBLANK('Data Entry'!$Ï$986), "", 'Data Entry'!$Ï$986)</f>
      </c>
      <c r="EN986">
        <f>IF(ISBLANK('Data Entry'!$Ð$986), "", 'Data Entry'!$Ð$986)</f>
      </c>
      <c r="EO986">
        <f>IF(ISBLANK('Data Entry'!$Ñ$986), "", 'Data Entry'!$Ñ$986)</f>
      </c>
      <c r="EP986">
        <f>IF(ISBLANK('Data Entry'!$Ò$986), "", 'Data Entry'!$Ò$986)</f>
      </c>
      <c r="EQ986">
        <f>IF(ISBLANK('Data Entry'!$Ó$986), "", 'Data Entry'!$Ó$986)</f>
      </c>
      <c r="ER986">
        <f>IF(ISBLANK('Data Entry'!$Ô$986), "", 'Data Entry'!$Ô$986)</f>
      </c>
      <c r="ES986">
        <f>IF(ISBLANK('Data Entry'!$Õ$986), "", 'Data Entry'!$Õ$986)</f>
      </c>
      <c r="ET986">
        <f>IF(ISBLANK('Data Entry'!$Ö$986), "", 'Data Entry'!$Ö$986)</f>
      </c>
      <c r="EU986">
        <f>IF(ISBLANK('Data Entry'!$×$986), "", 'Data Entry'!$×$986)</f>
      </c>
      <c r="EV986">
        <f>IF(ISBLANK('Data Entry'!$Ø$986), "", 'Data Entry'!$Ø$986)</f>
      </c>
      <c r="EW986">
        <f>IF(ISBLANK('Data Entry'!$Ù$986), "", 'Data Entry'!$Ù$986)</f>
      </c>
      <c r="EX986">
        <f>IF(ISBLANK('Data Entry'!$Ú$986), "", 'Data Entry'!$Ú$986)</f>
      </c>
      <c r="EY986">
        <f>IF(ISBLANK('Data Entry'!$Û$986), "", 'Data Entry'!$Û$986)</f>
      </c>
      <c r="EZ986">
        <f>IF(ISBLANK('Data Entry'!$Ü$986), "", 'Data Entry'!$Ü$986)</f>
      </c>
      <c r="FA986">
        <f>IF(ISBLANK('Data Entry'!$Ý$986), "", 'Data Entry'!$Ý$986)</f>
      </c>
      <c r="FB986">
        <f>IF(ISBLANK('Data Entry'!$Þ$986), "", 'Data Entry'!$Þ$986)</f>
      </c>
      <c r="FC986">
        <f>IF(ISBLANK('Data Entry'!$ß$986), "", 'Data Entry'!$ß$986)</f>
      </c>
      <c r="FD986">
        <f>IF(ISBLANK('Data Entry'!$à$986), "", 'Data Entry'!$à$986)</f>
      </c>
      <c r="FE986">
        <f>IF(ISBLANK('Data Entry'!$á$986), "", 'Data Entry'!$á$986)</f>
      </c>
      <c r="FF986">
        <f>IF(ISBLANK('Data Entry'!$â$986), "", 'Data Entry'!$â$986)</f>
      </c>
      <c r="FG986">
        <f>IF(ISBLANK('Data Entry'!$ã$986), "", 'Data Entry'!$ã$986)</f>
      </c>
      <c r="FH986">
        <f>IF(ISBLANK('Data Entry'!$ä$986), "", 'Data Entry'!$ä$986)</f>
      </c>
      <c r="FI986">
        <f>IF(ISBLANK('Data Entry'!$å$986), "", 'Data Entry'!$å$986)</f>
      </c>
      <c r="FJ986">
        <f>IF(ISBLANK('Data Entry'!$æ$986), "", 'Data Entry'!$æ$986)</f>
      </c>
      <c r="FK986">
        <f>IF(ISBLANK('Data Entry'!$ç$986), "", 'Data Entry'!$ç$986)</f>
      </c>
      <c r="FL986">
        <f>IF(ISBLANK('Data Entry'!$è$986), "", 'Data Entry'!$è$986)</f>
      </c>
      <c r="FM986">
        <f>IF(ISBLANK('Data Entry'!$é$986), "", 'Data Entry'!$é$986)</f>
      </c>
      <c r="FN986">
        <f>IF(ISBLANK('Data Entry'!$ê$986), "", 'Data Entry'!$ê$986)</f>
      </c>
      <c r="FO986">
        <f>IF(ISBLANK('Data Entry'!$ë$986), "", 'Data Entry'!$ë$986)</f>
      </c>
      <c r="FP986">
        <f>IF(ISBLANK('Data Entry'!$ì$986), "", 'Data Entry'!$ì$986)</f>
      </c>
      <c r="FQ986">
        <f>IF(ISBLANK('Data Entry'!$í$986), "", 'Data Entry'!$í$986)</f>
      </c>
      <c r="FR986">
        <f>IF(ISBLANK('Data Entry'!$î$986), "", 'Data Entry'!$î$986)</f>
      </c>
      <c r="FS986">
        <f>IF(ISBLANK('Data Entry'!$ï$986), "", 'Data Entry'!$ï$986)</f>
      </c>
      <c r="FT986">
        <f>IF(ISBLANK('Data Entry'!$ð$986), "", 'Data Entry'!$ð$986)</f>
      </c>
      <c r="FU986">
        <f>IF(ISBLANK('Data Entry'!$ñ$986), "", 'Data Entry'!$ñ$986)</f>
      </c>
      <c r="FV986">
        <f>IF(ISBLANK('Data Entry'!$ò$986), "", 'Data Entry'!$ò$986)</f>
      </c>
      <c r="FW986">
        <f>IF(ISBLANK('Data Entry'!$ó$986), "", 'Data Entry'!$ó$986)</f>
      </c>
      <c r="FX986">
        <f>IF(ISBLANK('Data Entry'!$ô$986), "", 'Data Entry'!$ô$986)</f>
      </c>
      <c r="FY986">
        <f>IF(ISBLANK('Data Entry'!$õ$986), "", 'Data Entry'!$õ$986)</f>
      </c>
      <c r="FZ986">
        <f>IF(ISBLANK('Data Entry'!$ö$986), "", 'Data Entry'!$ö$986)</f>
      </c>
      <c r="GA986">
        <f>IF(ISBLANK('Data Entry'!$÷$986), "", 'Data Entry'!$÷$986)</f>
      </c>
      <c r="GB986">
        <f>IF(ISBLANK('Data Entry'!$ø$986), "", 'Data Entry'!$ø$986)</f>
      </c>
      <c r="GC986">
        <f>IF(ISBLANK('Data Entry'!$ù$986), "", 'Data Entry'!$ù$986)</f>
      </c>
      <c r="GD986">
        <f>IF(ISBLANK('Data Entry'!$ú$986), "", 'Data Entry'!$ú$986)</f>
      </c>
      <c r="GE986">
        <f>IF(ISBLANK('Data Entry'!$û$986), "", 'Data Entry'!$û$986)</f>
      </c>
      <c r="GF986">
        <f>IF(ISBLANK('Data Entry'!$ü$986), "", 'Data Entry'!$ü$986)</f>
      </c>
      <c r="GG986">
        <f>IF(ISBLANK('Data Entry'!$ý$986), "", 'Data Entry'!$ý$986)</f>
      </c>
      <c r="GH986">
        <f>IF(ISBLANK('Data Entry'!$þ$986), "", 'Data Entry'!$þ$986)</f>
      </c>
      <c r="GI986">
        <f>IF(ISBLANK('Data Entry'!$ÿ$986), "", 'Data Entry'!$ÿ$986)</f>
      </c>
      <c r="GJ986">
        <f>IF(ISBLANK('Data Entry'!$Ā$986), "", 'Data Entry'!$Ā$986)</f>
      </c>
      <c r="GK986">
        <f>IF(ISBLANK('Data Entry'!$ā$986), "", 'Data Entry'!$ā$986)</f>
      </c>
      <c r="GL986">
        <f>IF(ISBLANK('Data Entry'!$Ă$986), "", 'Data Entry'!$Ă$986)</f>
      </c>
      <c r="GM986">
        <f>IF(ISBLANK('Data Entry'!$ă$986), "", 'Data Entry'!$ă$986)</f>
      </c>
      <c r="GN986">
        <f>IF(ISBLANK('Data Entry'!$Ą$986), "", 'Data Entry'!$Ą$986)</f>
      </c>
      <c r="GO986">
        <f>IF(ISBLANK('Data Entry'!$ą$986), "", 'Data Entry'!$ą$986)</f>
      </c>
      <c r="GP986">
        <f>IF(ISBLANK('Data Entry'!$Ć$986), "", 'Data Entry'!$Ć$986)</f>
      </c>
      <c r="GQ986">
        <f>IF(ISBLANK('Data Entry'!$ć$986), "", 'Data Entry'!$ć$986)</f>
      </c>
      <c r="GR986">
        <f>IF(ISBLANK('Data Entry'!$Ĉ$986), "", 'Data Entry'!$Ĉ$986)</f>
      </c>
      <c r="GS986">
        <f>IF(ISBLANK('Data Entry'!$ĉ$986), "", 'Data Entry'!$ĉ$986)</f>
      </c>
      <c r="GT986">
        <f>IF(ISBLANK('Data Entry'!$Ċ$986), "", 'Data Entry'!$Ċ$986)</f>
      </c>
      <c r="GU986">
        <f>IF(ISBLANK('Data Entry'!$ċ$986), "", 'Data Entry'!$ċ$986)</f>
      </c>
      <c r="GV986">
        <f>IF(ISBLANK('Data Entry'!$Č$986), "", 'Data Entry'!$Č$986)</f>
      </c>
      <c r="GW986">
        <f>IF(ISBLANK('Data Entry'!$č$986), "", 'Data Entry'!$č$986)</f>
      </c>
      <c r="GX986">
        <f>IF(ISBLANK('Data Entry'!$Ď$986), "", 'Data Entry'!$Ď$986)</f>
      </c>
      <c r="GY986">
        <f>IF(ISBLANK('Data Entry'!$ď$986), "", 'Data Entry'!$ď$986)</f>
      </c>
      <c r="GZ986">
        <f>IF(ISBLANK('Data Entry'!$Đ$986), "", 'Data Entry'!$Đ$986)</f>
      </c>
      <c r="HA986">
        <f>IF(ISBLANK('Data Entry'!$đ$986), "", 'Data Entry'!$đ$986)</f>
      </c>
      <c r="HB986">
        <f>IF(ISBLANK('Data Entry'!$Ē$986), "", 'Data Entry'!$Ē$986)</f>
      </c>
      <c r="HC986">
        <f>IF(ISBLANK('Data Entry'!$ē$986), "", 'Data Entry'!$ē$986)</f>
      </c>
      <c r="HD986">
        <f>IF(ISBLANK('Data Entry'!$Ĕ$986), "", 'Data Entry'!$Ĕ$986)</f>
      </c>
      <c r="HE986">
        <f>IF(ISBLANK('Data Entry'!$ĕ$986), "", 'Data Entry'!$ĕ$986)</f>
      </c>
      <c r="HF986">
        <f>IF(ISBLANK('Data Entry'!$Ė$986), "", 'Data Entry'!$Ė$986)</f>
      </c>
      <c r="HG986">
        <f>IF(ISBLANK('Data Entry'!$ė$986), "", 'Data Entry'!$ė$986)</f>
      </c>
      <c r="HH986">
        <f>IF(ISBLANK('Data Entry'!$Ę$986), "", 'Data Entry'!$Ę$986)</f>
      </c>
      <c r="HI986">
        <f>IF(ISBLANK('Data Entry'!$ę$986), "", 'Data Entry'!$ę$986)</f>
      </c>
      <c r="HJ986">
        <f>IF(ISBLANK('Data Entry'!$Ě$986), "", 'Data Entry'!$Ě$986)</f>
      </c>
      <c r="HK986">
        <f>IF(ISBLANK('Data Entry'!$ě$986), "", 'Data Entry'!$ě$986)</f>
      </c>
      <c r="HL986">
        <f>IF(ISBLANK('Data Entry'!$Ĝ$986), "", 'Data Entry'!$Ĝ$986)</f>
      </c>
      <c r="HM986">
        <f>IF(ISBLANK('Data Entry'!$ĝ$986), "", 'Data Entry'!$ĝ$986)</f>
      </c>
      <c r="HN986">
        <f>IF(ISBLANK('Data Entry'!$Ğ$986), "", 'Data Entry'!$Ğ$986)</f>
      </c>
      <c r="HO986">
        <f>IF(ISBLANK('Data Entry'!$ğ$986), "", 'Data Entry'!$ğ$986)</f>
      </c>
      <c r="HP986">
        <f>IF(ISBLANK('Data Entry'!$Ġ$986), "", 'Data Entry'!$Ġ$986)</f>
      </c>
      <c r="HQ986">
        <f>IF(ISBLANK('Data Entry'!$ġ$986), "", 'Data Entry'!$ġ$986)</f>
      </c>
      <c r="HR986">
        <f>IF(ISBLANK('Data Entry'!$Ģ$986), "", 'Data Entry'!$Ģ$986)</f>
      </c>
      <c r="HS986">
        <f>IF(ISBLANK('Data Entry'!$ģ$986), "", 'Data Entry'!$ģ$986)</f>
      </c>
      <c r="HT986">
        <f>IF(ISBLANK('Data Entry'!$Ĥ$986), "", 'Data Entry'!$Ĥ$986)</f>
      </c>
      <c r="HU986">
        <f>IF(ISBLANK('Data Entry'!$ĥ$986), "", 'Data Entry'!$ĥ$986)</f>
      </c>
      <c r="HV986">
        <f>IF(ISBLANK('Data Entry'!$Ħ$986), "", 'Data Entry'!$Ħ$986)</f>
      </c>
      <c r="HW986">
        <f>IF(ISBLANK('Data Entry'!$ħ$986), "", 'Data Entry'!$ħ$986)</f>
      </c>
      <c r="HX986">
        <f>IF(ISBLANK('Data Entry'!$Ĩ$986), "", 'Data Entry'!$Ĩ$986)</f>
      </c>
      <c r="HY986">
        <f>IF(ISBLANK('Data Entry'!$ĩ$986), "", 'Data Entry'!$ĩ$986)</f>
      </c>
      <c r="HZ986">
        <f>IF(ISBLANK('Data Entry'!$Ī$986), "", 'Data Entry'!$Ī$986)</f>
      </c>
      <c r="IA986">
        <f>IF(ISBLANK('Data Entry'!$ī$986), "", 'Data Entry'!$ī$986)</f>
      </c>
      <c r="IB986">
        <f>IF(ISBLANK('Data Entry'!$Ĭ$986), "", 'Data Entry'!$Ĭ$986)</f>
      </c>
      <c r="IC986">
        <f>IF(ISBLANK('Data Entry'!$ĭ$986), "", 'Data Entry'!$ĭ$986)</f>
      </c>
      <c r="ID986">
        <f>IF(ISBLANK('Data Entry'!$Į$986), "", 'Data Entry'!$Į$986)</f>
      </c>
      <c r="IE986">
        <f>IF(ISBLANK('Data Entry'!$į$986), "", 'Data Entry'!$į$986)</f>
      </c>
      <c r="IF986">
        <f>IF(ISBLANK('Data Entry'!$İ$986), "", 'Data Entry'!$İ$986)</f>
      </c>
      <c r="IG986">
        <f>IF(ISBLANK('Data Entry'!$ı$986), "", 'Data Entry'!$ı$986)</f>
      </c>
      <c r="IH986">
        <f>IF(ISBLANK('Data Entry'!$Ĳ$986), "", 'Data Entry'!$Ĳ$986)</f>
      </c>
      <c r="II986">
        <f>IF(ISBLANK('Data Entry'!$ĳ$986), "", 'Data Entry'!$ĳ$986)</f>
      </c>
      <c r="IJ986">
        <f>IF(ISBLANK('Data Entry'!$Ĵ$986), "", 'Data Entry'!$Ĵ$986)</f>
      </c>
      <c r="IK986">
        <f>IF(ISBLANK('Data Entry'!$ĵ$986), "", 'Data Entry'!$ĵ$986)</f>
      </c>
      <c r="IL986">
        <f>IF(ISBLANK('Data Entry'!$Ķ$986), "", 'Data Entry'!$Ķ$986)</f>
      </c>
      <c r="IM986">
        <f>IF(ISBLANK('Data Entry'!$ķ$986), "", 'Data Entry'!$ķ$986)</f>
      </c>
      <c r="IN986">
        <f>IF(ISBLANK('Data Entry'!$ĸ$986), "", 'Data Entry'!$ĸ$986)</f>
      </c>
      <c r="IO986">
        <f>IF(ISBLANK('Data Entry'!$Ĺ$986), "", 'Data Entry'!$Ĺ$986)</f>
      </c>
      <c r="IP986">
        <f>IF(ISBLANK('Data Entry'!$ĺ$986), "", 'Data Entry'!$ĺ$986)</f>
      </c>
      <c r="IQ986">
        <f>IF(ISBLANK('Data Entry'!$Ļ$986), "", 'Data Entry'!$Ļ$986)</f>
      </c>
      <c r="IR986">
        <f>IF(ISBLANK('Data Entry'!$ļ$986), "", 'Data Entry'!$ļ$986)</f>
      </c>
      <c r="IS986">
        <f>IF(ISBLANK('Data Entry'!$Ľ$986), "", 'Data Entry'!$Ľ$986)</f>
      </c>
      <c r="IT986">
        <f>IF(ISBLANK('Data Entry'!$ľ$986), "", 'Data Entry'!$ľ$986)</f>
      </c>
    </row>
    <row r="987" spans="1:254" x14ac:dyDescent="0.25">
      <c r="A987">
        <f>IF(ISBLANK('Data Entry'!$A$987), "", 'Data Entry'!$A$987)</f>
      </c>
      <c r="B987">
        <f>IF(ISBLANK('Data Entry'!$B$987), "", 'Data Entry'!$B$987)</f>
      </c>
      <c r="C987">
        <f>IF(ISBLANK('Data Entry'!$C$987), "", 'Data Entry'!$C$987)</f>
      </c>
      <c r="D987">
        <f>IF(ISBLANK('Data Entry'!$D$987), "", 'Data Entry'!$D$987)</f>
      </c>
      <c r="E987">
        <f>IF(ISBLANK('Data Entry'!$E$987), "", 'Data Entry'!$E$987)</f>
      </c>
      <c r="F987">
        <f>IF(ISBLANK('Data Entry'!$F$987), "", 'Data Entry'!$F$987)</f>
      </c>
      <c r="G987">
        <f>IF(ISBLANK('Data Entry'!$G$987), "", 'Data Entry'!$G$987)</f>
      </c>
      <c r="H987">
        <f>IF(ISBLANK('Data Entry'!$H$987), "", 'Data Entry'!$H$987)</f>
      </c>
      <c r="I987">
        <f>IF(ISBLANK('Data Entry'!$I$987), "", 'Data Entry'!$I$987)</f>
      </c>
      <c r="J987">
        <f>IF(ISBLANK('Data Entry'!$J$987), "", 'Data Entry'!$J$987)</f>
      </c>
      <c r="K987">
        <f>IF(ISBLANK('Data Entry'!$K$987), "", 'Data Entry'!$K$987)</f>
      </c>
      <c r="L987">
        <f>IF(ISBLANK('Data Entry'!$L$987), "", 'Data Entry'!$L$987)</f>
      </c>
      <c r="M987">
        <f>IF(ISBLANK('Data Entry'!$M$987), "", 'Data Entry'!$M$987)</f>
      </c>
      <c r="N987">
        <f>IF(ISBLANK('Data Entry'!$N$987), "", 'Data Entry'!$N$987)</f>
      </c>
      <c r="O987">
        <f>IF(ISBLANK('Data Entry'!$O$987), "", 'Data Entry'!$O$987)</f>
      </c>
      <c r="P987">
        <f>IF(ISBLANK('Data Entry'!$P$987), "", 'Data Entry'!$P$987)</f>
      </c>
      <c r="Q987">
        <f>IF(ISBLANK('Data Entry'!$Q$987), "", 'Data Entry'!$Q$987)</f>
      </c>
      <c r="R987">
        <f>IF(ISBLANK('Data Entry'!$R$987), "", 'Data Entry'!$R$987)</f>
      </c>
      <c r="S987">
        <f>IF(ISBLANK('Data Entry'!$S$987), "", 'Data Entry'!$S$987)</f>
      </c>
      <c r="T987">
        <f>IF(ISBLANK('Data Entry'!$T$987), "", 'Data Entry'!$T$987)</f>
      </c>
      <c r="U987">
        <f>IF(ISBLANK('Data Entry'!$U$987), "", 'Data Entry'!$U$987)</f>
      </c>
      <c r="V987">
        <f>IF(ISBLANK('Data Entry'!$V$987), "", 'Data Entry'!$V$987)</f>
      </c>
      <c r="W987">
        <f>IF(ISBLANK('Data Entry'!$W$987), "", 'Data Entry'!$W$987)</f>
      </c>
      <c r="X987">
        <f>IF(ISBLANK('Data Entry'!$X$987), "", 'Data Entry'!$X$987)</f>
      </c>
      <c r="Y987">
        <f>IF(ISBLANK('Data Entry'!$Y$987), "", 'Data Entry'!$Y$987)</f>
      </c>
      <c r="Z987">
        <f>IF(ISBLANK('Data Entry'!$Z$987), "", 'Data Entry'!$Z$987)</f>
      </c>
      <c r="AA987">
        <f>IF(ISBLANK('Data Entry'!$[$987), "", 'Data Entry'!$[$987)</f>
      </c>
      <c r="AB987">
        <f>IF(ISBLANK('Data Entry'!$\$987), "", 'Data Entry'!$\$987)</f>
      </c>
      <c r="AC987">
        <f>IF(ISBLANK('Data Entry'!$]$987), "", 'Data Entry'!$]$987)</f>
      </c>
      <c r="AD987">
        <f>IF(ISBLANK('Data Entry'!$^$987), "", 'Data Entry'!$^$987)</f>
      </c>
      <c r="AE987">
        <f>IF(ISBLANK('Data Entry'!$_$987), "", 'Data Entry'!$_$987)</f>
      </c>
      <c r="AF987">
        <f>IF(ISBLANK('Data Entry'!$`$987), "", 'Data Entry'!$`$987)</f>
      </c>
      <c r="AG987">
        <f>IF(ISBLANK('Data Entry'!$a$987), "", 'Data Entry'!$a$987)</f>
      </c>
      <c r="AH987">
        <f>IF(ISBLANK('Data Entry'!$b$987), "", 'Data Entry'!$b$987)</f>
      </c>
      <c r="AI987">
        <f>IF(ISBLANK('Data Entry'!$c$987), "", 'Data Entry'!$c$987)</f>
      </c>
      <c r="AJ987">
        <f>IF(ISBLANK('Data Entry'!$d$987), "", 'Data Entry'!$d$987)</f>
      </c>
      <c r="AK987">
        <f>IF(ISBLANK('Data Entry'!$e$987), "", 'Data Entry'!$e$987)</f>
      </c>
      <c r="AL987">
        <f>IF(ISBLANK('Data Entry'!$f$987), "", 'Data Entry'!$f$987)</f>
      </c>
      <c r="AM987">
        <f>IF(ISBLANK('Data Entry'!$g$987), "", 'Data Entry'!$g$987)</f>
      </c>
      <c r="AN987">
        <f>IF(ISBLANK('Data Entry'!$h$987), "", 'Data Entry'!$h$987)</f>
      </c>
      <c r="AO987">
        <f>IF(ISBLANK('Data Entry'!$i$987), "", 'Data Entry'!$i$987)</f>
      </c>
      <c r="AP987">
        <f>IF(ISBLANK('Data Entry'!$j$987), "", 'Data Entry'!$j$987)</f>
      </c>
      <c r="AQ987">
        <f>IF(ISBLANK('Data Entry'!$k$987), "", 'Data Entry'!$k$987)</f>
      </c>
      <c r="AR987">
        <f>IF(ISBLANK('Data Entry'!$l$987), "", 'Data Entry'!$l$987)</f>
      </c>
      <c r="AS987">
        <f>IF(ISBLANK('Data Entry'!$m$987), "", 'Data Entry'!$m$987)</f>
      </c>
      <c r="AT987">
        <f>IF(ISBLANK('Data Entry'!$n$987), "", 'Data Entry'!$n$987)</f>
      </c>
      <c r="AU987">
        <f>IF(ISBLANK('Data Entry'!$o$987), "", 'Data Entry'!$o$987)</f>
      </c>
      <c r="AV987">
        <f>IF(ISBLANK('Data Entry'!$p$987), "", 'Data Entry'!$p$987)</f>
      </c>
      <c r="AW987">
        <f>IF(ISBLANK('Data Entry'!$q$987), "", 'Data Entry'!$q$987)</f>
      </c>
      <c r="AX987">
        <f>IF(ISBLANK('Data Entry'!$r$987), "", 'Data Entry'!$r$987)</f>
      </c>
      <c r="AY987">
        <f>IF(ISBLANK('Data Entry'!$s$987), "", 'Data Entry'!$s$987)</f>
      </c>
      <c r="AZ987">
        <f>IF(ISBLANK('Data Entry'!$t$987), "", 'Data Entry'!$t$987)</f>
      </c>
      <c r="BA987">
        <f>IF(ISBLANK('Data Entry'!$u$987), "", 'Data Entry'!$u$987)</f>
      </c>
      <c r="BB987">
        <f>IF(ISBLANK('Data Entry'!$v$987), "", 'Data Entry'!$v$987)</f>
      </c>
      <c r="BC987">
        <f>IF(ISBLANK('Data Entry'!$w$987), "", 'Data Entry'!$w$987)</f>
      </c>
      <c r="BD987">
        <f>IF(ISBLANK('Data Entry'!$x$987), "", 'Data Entry'!$x$987)</f>
      </c>
      <c r="BE987">
        <f>IF(ISBLANK('Data Entry'!$y$987), "", 'Data Entry'!$y$987)</f>
      </c>
      <c r="BF987">
        <f>IF(ISBLANK('Data Entry'!$z$987), "", 'Data Entry'!$z$987)</f>
      </c>
      <c r="BG987">
        <f>IF(ISBLANK('Data Entry'!${$987), "", 'Data Entry'!${$987)</f>
      </c>
      <c r="BH987">
        <f>IF(ISBLANK('Data Entry'!$|$987), "", 'Data Entry'!$|$987)</f>
      </c>
      <c r="BI987">
        <f>IF(ISBLANK('Data Entry'!$}$987), "", 'Data Entry'!$}$987)</f>
      </c>
      <c r="BJ987">
        <f>IF(ISBLANK('Data Entry'!$~$987), "", 'Data Entry'!$~$987)</f>
      </c>
      <c r="BK987">
        <f>IF(ISBLANK('Data Entry'!$$987), "", 'Data Entry'!$$987)</f>
      </c>
      <c r="BL987">
        <f>IF(ISBLANK('Data Entry'!$$987), "", 'Data Entry'!$$987)</f>
      </c>
      <c r="BM987">
        <f>IF(ISBLANK('Data Entry'!$$987), "", 'Data Entry'!$$987)</f>
      </c>
      <c r="BN987">
        <f>IF(ISBLANK('Data Entry'!$$987), "", 'Data Entry'!$$987)</f>
      </c>
      <c r="BO987">
        <f>IF(ISBLANK('Data Entry'!$$987), "", 'Data Entry'!$$987)</f>
      </c>
      <c r="BP987">
        <f>IF(ISBLANK('Data Entry'!$$987), "", 'Data Entry'!$$987)</f>
      </c>
      <c r="BQ987">
        <f>IF(ISBLANK('Data Entry'!$$987), "", 'Data Entry'!$$987)</f>
      </c>
      <c r="BR987">
        <f>IF(ISBLANK('Data Entry'!$$987), "", 'Data Entry'!$$987)</f>
      </c>
      <c r="BS987">
        <f>IF(ISBLANK('Data Entry'!$$987), "", 'Data Entry'!$$987)</f>
      </c>
      <c r="BT987">
        <f>IF(ISBLANK('Data Entry'!$$987), "", 'Data Entry'!$$987)</f>
      </c>
      <c r="BU987">
        <f>IF(ISBLANK('Data Entry'!$$987), "", 'Data Entry'!$$987)</f>
      </c>
      <c r="BV987">
        <f>IF(ISBLANK('Data Entry'!$$987), "", 'Data Entry'!$$987)</f>
      </c>
      <c r="BW987">
        <f>IF(ISBLANK('Data Entry'!$$987), "", 'Data Entry'!$$987)</f>
      </c>
      <c r="BX987">
        <f>IF(ISBLANK('Data Entry'!$$987), "", 'Data Entry'!$$987)</f>
      </c>
      <c r="BY987">
        <f>IF(ISBLANK('Data Entry'!$$987), "", 'Data Entry'!$$987)</f>
      </c>
      <c r="BZ987">
        <f>IF(ISBLANK('Data Entry'!$$987), "", 'Data Entry'!$$987)</f>
      </c>
      <c r="CA987">
        <f>IF(ISBLANK('Data Entry'!$$987), "", 'Data Entry'!$$987)</f>
      </c>
      <c r="CB987">
        <f>IF(ISBLANK('Data Entry'!$$987), "", 'Data Entry'!$$987)</f>
      </c>
      <c r="CC987">
        <f>IF(ISBLANK('Data Entry'!$$987), "", 'Data Entry'!$$987)</f>
      </c>
      <c r="CD987">
        <f>IF(ISBLANK('Data Entry'!$$987), "", 'Data Entry'!$$987)</f>
      </c>
      <c r="CE987">
        <f>IF(ISBLANK('Data Entry'!$$987), "", 'Data Entry'!$$987)</f>
      </c>
      <c r="CF987">
        <f>IF(ISBLANK('Data Entry'!$$987), "", 'Data Entry'!$$987)</f>
      </c>
      <c r="CG987">
        <f>IF(ISBLANK('Data Entry'!$$987), "", 'Data Entry'!$$987)</f>
      </c>
      <c r="CH987">
        <f>IF(ISBLANK('Data Entry'!$$987), "", 'Data Entry'!$$987)</f>
      </c>
      <c r="CI987">
        <f>IF(ISBLANK('Data Entry'!$$987), "", 'Data Entry'!$$987)</f>
      </c>
      <c r="CJ987">
        <f>IF(ISBLANK('Data Entry'!$$987), "", 'Data Entry'!$$987)</f>
      </c>
      <c r="CK987">
        <f>IF(ISBLANK('Data Entry'!$$987), "", 'Data Entry'!$$987)</f>
      </c>
      <c r="CL987">
        <f>IF(ISBLANK('Data Entry'!$$987), "", 'Data Entry'!$$987)</f>
      </c>
      <c r="CM987">
        <f>IF(ISBLANK('Data Entry'!$$987), "", 'Data Entry'!$$987)</f>
      </c>
      <c r="CN987">
        <f>IF(ISBLANK('Data Entry'!$$987), "", 'Data Entry'!$$987)</f>
      </c>
      <c r="CO987">
        <f>IF(ISBLANK('Data Entry'!$$987), "", 'Data Entry'!$$987)</f>
      </c>
      <c r="CP987">
        <f>IF(ISBLANK('Data Entry'!$$987), "", 'Data Entry'!$$987)</f>
      </c>
      <c r="CQ987">
        <f>IF(ISBLANK('Data Entry'!$$987), "", 'Data Entry'!$$987)</f>
      </c>
      <c r="CR987">
        <f>IF(ISBLANK('Data Entry'!$ $987), "", 'Data Entry'!$ $987)</f>
      </c>
      <c r="CS987">
        <f>IF(ISBLANK('Data Entry'!$¡$987), "", 'Data Entry'!$¡$987)</f>
      </c>
      <c r="CT987">
        <f>IF(ISBLANK('Data Entry'!$¢$987), "", 'Data Entry'!$¢$987)</f>
      </c>
      <c r="CU987">
        <f>IF(ISBLANK('Data Entry'!$£$987), "", 'Data Entry'!$£$987)</f>
      </c>
      <c r="CV987">
        <f>IF(ISBLANK('Data Entry'!$¤$987), "", 'Data Entry'!$¤$987)</f>
      </c>
      <c r="CW987">
        <f>IF(ISBLANK('Data Entry'!$¥$987), "", 'Data Entry'!$¥$987)</f>
      </c>
      <c r="CX987">
        <f>IF(ISBLANK('Data Entry'!$¦$987), "", 'Data Entry'!$¦$987)</f>
      </c>
      <c r="CY987">
        <f>IF(ISBLANK('Data Entry'!$§$987), "", 'Data Entry'!$§$987)</f>
      </c>
      <c r="CZ987">
        <f>IF(ISBLANK('Data Entry'!$¨$987), "", 'Data Entry'!$¨$987)</f>
      </c>
      <c r="DA987">
        <f>IF(ISBLANK('Data Entry'!$©$987), "", 'Data Entry'!$©$987)</f>
      </c>
      <c r="DB987">
        <f>IF(ISBLANK('Data Entry'!$ª$987), "", 'Data Entry'!$ª$987)</f>
      </c>
      <c r="DC987">
        <f>IF(ISBLANK('Data Entry'!$«$987), "", 'Data Entry'!$«$987)</f>
      </c>
      <c r="DD987">
        <f>IF(ISBLANK('Data Entry'!$¬$987), "", 'Data Entry'!$¬$987)</f>
      </c>
      <c r="DE987">
        <f>IF(ISBLANK('Data Entry'!$­$987), "", 'Data Entry'!$­$987)</f>
      </c>
      <c r="DF987">
        <f>IF(ISBLANK('Data Entry'!$®$987), "", 'Data Entry'!$®$987)</f>
      </c>
      <c r="DG987">
        <f>IF(ISBLANK('Data Entry'!$¯$987), "", 'Data Entry'!$¯$987)</f>
      </c>
      <c r="DH987">
        <f>IF(ISBLANK('Data Entry'!$°$987), "", 'Data Entry'!$°$987)</f>
      </c>
      <c r="DI987">
        <f>IF(ISBLANK('Data Entry'!$±$987), "", 'Data Entry'!$±$987)</f>
      </c>
      <c r="DJ987">
        <f>IF(ISBLANK('Data Entry'!$²$987), "", 'Data Entry'!$²$987)</f>
      </c>
      <c r="DK987">
        <f>IF(ISBLANK('Data Entry'!$³$987), "", 'Data Entry'!$³$987)</f>
      </c>
      <c r="DL987">
        <f>IF(ISBLANK('Data Entry'!$´$987), "", 'Data Entry'!$´$987)</f>
      </c>
      <c r="DM987">
        <f>IF(ISBLANK('Data Entry'!$µ$987), "", 'Data Entry'!$µ$987)</f>
      </c>
      <c r="DN987">
        <f>IF(ISBLANK('Data Entry'!$¶$987), "", 'Data Entry'!$¶$987)</f>
      </c>
      <c r="DO987">
        <f>IF(ISBLANK('Data Entry'!$·$987), "", 'Data Entry'!$·$987)</f>
      </c>
      <c r="DP987">
        <f>IF(ISBLANK('Data Entry'!$¸$987), "", 'Data Entry'!$¸$987)</f>
      </c>
      <c r="DQ987">
        <f>IF(ISBLANK('Data Entry'!$¹$987), "", 'Data Entry'!$¹$987)</f>
      </c>
      <c r="DR987">
        <f>IF(ISBLANK('Data Entry'!$º$987), "", 'Data Entry'!$º$987)</f>
      </c>
      <c r="DS987">
        <f>IF(ISBLANK('Data Entry'!$»$987), "", 'Data Entry'!$»$987)</f>
      </c>
      <c r="DT987">
        <f>IF(ISBLANK('Data Entry'!$¼$987), "", 'Data Entry'!$¼$987)</f>
      </c>
      <c r="DU987">
        <f>IF(ISBLANK('Data Entry'!$½$987), "", 'Data Entry'!$½$987)</f>
      </c>
      <c r="DV987">
        <f>IF(ISBLANK('Data Entry'!$¾$987), "", 'Data Entry'!$¾$987)</f>
      </c>
      <c r="DW987">
        <f>IF(ISBLANK('Data Entry'!$¿$987), "", 'Data Entry'!$¿$987)</f>
      </c>
      <c r="DX987">
        <f>IF(ISBLANK('Data Entry'!$À$987), "", 'Data Entry'!$À$987)</f>
      </c>
      <c r="DY987">
        <f>IF(ISBLANK('Data Entry'!$Á$987), "", 'Data Entry'!$Á$987)</f>
      </c>
      <c r="DZ987">
        <f>IF(ISBLANK('Data Entry'!$Â$987), "", 'Data Entry'!$Â$987)</f>
      </c>
      <c r="EA987">
        <f>IF(ISBLANK('Data Entry'!$Ã$987), "", 'Data Entry'!$Ã$987)</f>
      </c>
      <c r="EB987">
        <f>IF(ISBLANK('Data Entry'!$Ä$987), "", 'Data Entry'!$Ä$987)</f>
      </c>
      <c r="EC987">
        <f>IF(ISBLANK('Data Entry'!$Å$987), "", 'Data Entry'!$Å$987)</f>
      </c>
      <c r="ED987">
        <f>IF(ISBLANK('Data Entry'!$Æ$987), "", 'Data Entry'!$Æ$987)</f>
      </c>
      <c r="EE987">
        <f>IF(ISBLANK('Data Entry'!$Ç$987), "", 'Data Entry'!$Ç$987)</f>
      </c>
      <c r="EF987">
        <f>IF(ISBLANK('Data Entry'!$È$987), "", 'Data Entry'!$È$987)</f>
      </c>
      <c r="EG987">
        <f>IF(ISBLANK('Data Entry'!$É$987), "", 'Data Entry'!$É$987)</f>
      </c>
      <c r="EH987">
        <f>IF(ISBLANK('Data Entry'!$Ê$987), "", 'Data Entry'!$Ê$987)</f>
      </c>
      <c r="EI987">
        <f>IF(ISBLANK('Data Entry'!$Ë$987), "", 'Data Entry'!$Ë$987)</f>
      </c>
      <c r="EJ987">
        <f>IF(ISBLANK('Data Entry'!$Ì$987), "", 'Data Entry'!$Ì$987)</f>
      </c>
      <c r="EK987">
        <f>IF(ISBLANK('Data Entry'!$Í$987), "", 'Data Entry'!$Í$987)</f>
      </c>
      <c r="EL987">
        <f>IF(ISBLANK('Data Entry'!$Î$987), "", 'Data Entry'!$Î$987)</f>
      </c>
      <c r="EM987">
        <f>IF(ISBLANK('Data Entry'!$Ï$987), "", 'Data Entry'!$Ï$987)</f>
      </c>
      <c r="EN987">
        <f>IF(ISBLANK('Data Entry'!$Ð$987), "", 'Data Entry'!$Ð$987)</f>
      </c>
      <c r="EO987">
        <f>IF(ISBLANK('Data Entry'!$Ñ$987), "", 'Data Entry'!$Ñ$987)</f>
      </c>
      <c r="EP987">
        <f>IF(ISBLANK('Data Entry'!$Ò$987), "", 'Data Entry'!$Ò$987)</f>
      </c>
      <c r="EQ987">
        <f>IF(ISBLANK('Data Entry'!$Ó$987), "", 'Data Entry'!$Ó$987)</f>
      </c>
      <c r="ER987">
        <f>IF(ISBLANK('Data Entry'!$Ô$987), "", 'Data Entry'!$Ô$987)</f>
      </c>
      <c r="ES987">
        <f>IF(ISBLANK('Data Entry'!$Õ$987), "", 'Data Entry'!$Õ$987)</f>
      </c>
      <c r="ET987">
        <f>IF(ISBLANK('Data Entry'!$Ö$987), "", 'Data Entry'!$Ö$987)</f>
      </c>
      <c r="EU987">
        <f>IF(ISBLANK('Data Entry'!$×$987), "", 'Data Entry'!$×$987)</f>
      </c>
      <c r="EV987">
        <f>IF(ISBLANK('Data Entry'!$Ø$987), "", 'Data Entry'!$Ø$987)</f>
      </c>
      <c r="EW987">
        <f>IF(ISBLANK('Data Entry'!$Ù$987), "", 'Data Entry'!$Ù$987)</f>
      </c>
      <c r="EX987">
        <f>IF(ISBLANK('Data Entry'!$Ú$987), "", 'Data Entry'!$Ú$987)</f>
      </c>
      <c r="EY987">
        <f>IF(ISBLANK('Data Entry'!$Û$987), "", 'Data Entry'!$Û$987)</f>
      </c>
      <c r="EZ987">
        <f>IF(ISBLANK('Data Entry'!$Ü$987), "", 'Data Entry'!$Ü$987)</f>
      </c>
      <c r="FA987">
        <f>IF(ISBLANK('Data Entry'!$Ý$987), "", 'Data Entry'!$Ý$987)</f>
      </c>
      <c r="FB987">
        <f>IF(ISBLANK('Data Entry'!$Þ$987), "", 'Data Entry'!$Þ$987)</f>
      </c>
      <c r="FC987">
        <f>IF(ISBLANK('Data Entry'!$ß$987), "", 'Data Entry'!$ß$987)</f>
      </c>
      <c r="FD987">
        <f>IF(ISBLANK('Data Entry'!$à$987), "", 'Data Entry'!$à$987)</f>
      </c>
      <c r="FE987">
        <f>IF(ISBLANK('Data Entry'!$á$987), "", 'Data Entry'!$á$987)</f>
      </c>
      <c r="FF987">
        <f>IF(ISBLANK('Data Entry'!$â$987), "", 'Data Entry'!$â$987)</f>
      </c>
      <c r="FG987">
        <f>IF(ISBLANK('Data Entry'!$ã$987), "", 'Data Entry'!$ã$987)</f>
      </c>
      <c r="FH987">
        <f>IF(ISBLANK('Data Entry'!$ä$987), "", 'Data Entry'!$ä$987)</f>
      </c>
      <c r="FI987">
        <f>IF(ISBLANK('Data Entry'!$å$987), "", 'Data Entry'!$å$987)</f>
      </c>
      <c r="FJ987">
        <f>IF(ISBLANK('Data Entry'!$æ$987), "", 'Data Entry'!$æ$987)</f>
      </c>
      <c r="FK987">
        <f>IF(ISBLANK('Data Entry'!$ç$987), "", 'Data Entry'!$ç$987)</f>
      </c>
      <c r="FL987">
        <f>IF(ISBLANK('Data Entry'!$è$987), "", 'Data Entry'!$è$987)</f>
      </c>
      <c r="FM987">
        <f>IF(ISBLANK('Data Entry'!$é$987), "", 'Data Entry'!$é$987)</f>
      </c>
      <c r="FN987">
        <f>IF(ISBLANK('Data Entry'!$ê$987), "", 'Data Entry'!$ê$987)</f>
      </c>
      <c r="FO987">
        <f>IF(ISBLANK('Data Entry'!$ë$987), "", 'Data Entry'!$ë$987)</f>
      </c>
      <c r="FP987">
        <f>IF(ISBLANK('Data Entry'!$ì$987), "", 'Data Entry'!$ì$987)</f>
      </c>
      <c r="FQ987">
        <f>IF(ISBLANK('Data Entry'!$í$987), "", 'Data Entry'!$í$987)</f>
      </c>
      <c r="FR987">
        <f>IF(ISBLANK('Data Entry'!$î$987), "", 'Data Entry'!$î$987)</f>
      </c>
      <c r="FS987">
        <f>IF(ISBLANK('Data Entry'!$ï$987), "", 'Data Entry'!$ï$987)</f>
      </c>
      <c r="FT987">
        <f>IF(ISBLANK('Data Entry'!$ð$987), "", 'Data Entry'!$ð$987)</f>
      </c>
      <c r="FU987">
        <f>IF(ISBLANK('Data Entry'!$ñ$987), "", 'Data Entry'!$ñ$987)</f>
      </c>
      <c r="FV987">
        <f>IF(ISBLANK('Data Entry'!$ò$987), "", 'Data Entry'!$ò$987)</f>
      </c>
      <c r="FW987">
        <f>IF(ISBLANK('Data Entry'!$ó$987), "", 'Data Entry'!$ó$987)</f>
      </c>
      <c r="FX987">
        <f>IF(ISBLANK('Data Entry'!$ô$987), "", 'Data Entry'!$ô$987)</f>
      </c>
      <c r="FY987">
        <f>IF(ISBLANK('Data Entry'!$õ$987), "", 'Data Entry'!$õ$987)</f>
      </c>
      <c r="FZ987">
        <f>IF(ISBLANK('Data Entry'!$ö$987), "", 'Data Entry'!$ö$987)</f>
      </c>
      <c r="GA987">
        <f>IF(ISBLANK('Data Entry'!$÷$987), "", 'Data Entry'!$÷$987)</f>
      </c>
      <c r="GB987">
        <f>IF(ISBLANK('Data Entry'!$ø$987), "", 'Data Entry'!$ø$987)</f>
      </c>
      <c r="GC987">
        <f>IF(ISBLANK('Data Entry'!$ù$987), "", 'Data Entry'!$ù$987)</f>
      </c>
      <c r="GD987">
        <f>IF(ISBLANK('Data Entry'!$ú$987), "", 'Data Entry'!$ú$987)</f>
      </c>
      <c r="GE987">
        <f>IF(ISBLANK('Data Entry'!$û$987), "", 'Data Entry'!$û$987)</f>
      </c>
      <c r="GF987">
        <f>IF(ISBLANK('Data Entry'!$ü$987), "", 'Data Entry'!$ü$987)</f>
      </c>
      <c r="GG987">
        <f>IF(ISBLANK('Data Entry'!$ý$987), "", 'Data Entry'!$ý$987)</f>
      </c>
      <c r="GH987">
        <f>IF(ISBLANK('Data Entry'!$þ$987), "", 'Data Entry'!$þ$987)</f>
      </c>
      <c r="GI987">
        <f>IF(ISBLANK('Data Entry'!$ÿ$987), "", 'Data Entry'!$ÿ$987)</f>
      </c>
      <c r="GJ987">
        <f>IF(ISBLANK('Data Entry'!$Ā$987), "", 'Data Entry'!$Ā$987)</f>
      </c>
      <c r="GK987">
        <f>IF(ISBLANK('Data Entry'!$ā$987), "", 'Data Entry'!$ā$987)</f>
      </c>
      <c r="GL987">
        <f>IF(ISBLANK('Data Entry'!$Ă$987), "", 'Data Entry'!$Ă$987)</f>
      </c>
      <c r="GM987">
        <f>IF(ISBLANK('Data Entry'!$ă$987), "", 'Data Entry'!$ă$987)</f>
      </c>
      <c r="GN987">
        <f>IF(ISBLANK('Data Entry'!$Ą$987), "", 'Data Entry'!$Ą$987)</f>
      </c>
      <c r="GO987">
        <f>IF(ISBLANK('Data Entry'!$ą$987), "", 'Data Entry'!$ą$987)</f>
      </c>
      <c r="GP987">
        <f>IF(ISBLANK('Data Entry'!$Ć$987), "", 'Data Entry'!$Ć$987)</f>
      </c>
      <c r="GQ987">
        <f>IF(ISBLANK('Data Entry'!$ć$987), "", 'Data Entry'!$ć$987)</f>
      </c>
      <c r="GR987">
        <f>IF(ISBLANK('Data Entry'!$Ĉ$987), "", 'Data Entry'!$Ĉ$987)</f>
      </c>
      <c r="GS987">
        <f>IF(ISBLANK('Data Entry'!$ĉ$987), "", 'Data Entry'!$ĉ$987)</f>
      </c>
      <c r="GT987">
        <f>IF(ISBLANK('Data Entry'!$Ċ$987), "", 'Data Entry'!$Ċ$987)</f>
      </c>
      <c r="GU987">
        <f>IF(ISBLANK('Data Entry'!$ċ$987), "", 'Data Entry'!$ċ$987)</f>
      </c>
      <c r="GV987">
        <f>IF(ISBLANK('Data Entry'!$Č$987), "", 'Data Entry'!$Č$987)</f>
      </c>
      <c r="GW987">
        <f>IF(ISBLANK('Data Entry'!$č$987), "", 'Data Entry'!$č$987)</f>
      </c>
      <c r="GX987">
        <f>IF(ISBLANK('Data Entry'!$Ď$987), "", 'Data Entry'!$Ď$987)</f>
      </c>
      <c r="GY987">
        <f>IF(ISBLANK('Data Entry'!$ď$987), "", 'Data Entry'!$ď$987)</f>
      </c>
      <c r="GZ987">
        <f>IF(ISBLANK('Data Entry'!$Đ$987), "", 'Data Entry'!$Đ$987)</f>
      </c>
      <c r="HA987">
        <f>IF(ISBLANK('Data Entry'!$đ$987), "", 'Data Entry'!$đ$987)</f>
      </c>
      <c r="HB987">
        <f>IF(ISBLANK('Data Entry'!$Ē$987), "", 'Data Entry'!$Ē$987)</f>
      </c>
      <c r="HC987">
        <f>IF(ISBLANK('Data Entry'!$ē$987), "", 'Data Entry'!$ē$987)</f>
      </c>
      <c r="HD987">
        <f>IF(ISBLANK('Data Entry'!$Ĕ$987), "", 'Data Entry'!$Ĕ$987)</f>
      </c>
      <c r="HE987">
        <f>IF(ISBLANK('Data Entry'!$ĕ$987), "", 'Data Entry'!$ĕ$987)</f>
      </c>
      <c r="HF987">
        <f>IF(ISBLANK('Data Entry'!$Ė$987), "", 'Data Entry'!$Ė$987)</f>
      </c>
      <c r="HG987">
        <f>IF(ISBLANK('Data Entry'!$ė$987), "", 'Data Entry'!$ė$987)</f>
      </c>
      <c r="HH987">
        <f>IF(ISBLANK('Data Entry'!$Ę$987), "", 'Data Entry'!$Ę$987)</f>
      </c>
      <c r="HI987">
        <f>IF(ISBLANK('Data Entry'!$ę$987), "", 'Data Entry'!$ę$987)</f>
      </c>
      <c r="HJ987">
        <f>IF(ISBLANK('Data Entry'!$Ě$987), "", 'Data Entry'!$Ě$987)</f>
      </c>
      <c r="HK987">
        <f>IF(ISBLANK('Data Entry'!$ě$987), "", 'Data Entry'!$ě$987)</f>
      </c>
      <c r="HL987">
        <f>IF(ISBLANK('Data Entry'!$Ĝ$987), "", 'Data Entry'!$Ĝ$987)</f>
      </c>
      <c r="HM987">
        <f>IF(ISBLANK('Data Entry'!$ĝ$987), "", 'Data Entry'!$ĝ$987)</f>
      </c>
      <c r="HN987">
        <f>IF(ISBLANK('Data Entry'!$Ğ$987), "", 'Data Entry'!$Ğ$987)</f>
      </c>
      <c r="HO987">
        <f>IF(ISBLANK('Data Entry'!$ğ$987), "", 'Data Entry'!$ğ$987)</f>
      </c>
      <c r="HP987">
        <f>IF(ISBLANK('Data Entry'!$Ġ$987), "", 'Data Entry'!$Ġ$987)</f>
      </c>
      <c r="HQ987">
        <f>IF(ISBLANK('Data Entry'!$ġ$987), "", 'Data Entry'!$ġ$987)</f>
      </c>
      <c r="HR987">
        <f>IF(ISBLANK('Data Entry'!$Ģ$987), "", 'Data Entry'!$Ģ$987)</f>
      </c>
      <c r="HS987">
        <f>IF(ISBLANK('Data Entry'!$ģ$987), "", 'Data Entry'!$ģ$987)</f>
      </c>
      <c r="HT987">
        <f>IF(ISBLANK('Data Entry'!$Ĥ$987), "", 'Data Entry'!$Ĥ$987)</f>
      </c>
      <c r="HU987">
        <f>IF(ISBLANK('Data Entry'!$ĥ$987), "", 'Data Entry'!$ĥ$987)</f>
      </c>
      <c r="HV987">
        <f>IF(ISBLANK('Data Entry'!$Ħ$987), "", 'Data Entry'!$Ħ$987)</f>
      </c>
      <c r="HW987">
        <f>IF(ISBLANK('Data Entry'!$ħ$987), "", 'Data Entry'!$ħ$987)</f>
      </c>
      <c r="HX987">
        <f>IF(ISBLANK('Data Entry'!$Ĩ$987), "", 'Data Entry'!$Ĩ$987)</f>
      </c>
      <c r="HY987">
        <f>IF(ISBLANK('Data Entry'!$ĩ$987), "", 'Data Entry'!$ĩ$987)</f>
      </c>
      <c r="HZ987">
        <f>IF(ISBLANK('Data Entry'!$Ī$987), "", 'Data Entry'!$Ī$987)</f>
      </c>
      <c r="IA987">
        <f>IF(ISBLANK('Data Entry'!$ī$987), "", 'Data Entry'!$ī$987)</f>
      </c>
      <c r="IB987">
        <f>IF(ISBLANK('Data Entry'!$Ĭ$987), "", 'Data Entry'!$Ĭ$987)</f>
      </c>
      <c r="IC987">
        <f>IF(ISBLANK('Data Entry'!$ĭ$987), "", 'Data Entry'!$ĭ$987)</f>
      </c>
      <c r="ID987">
        <f>IF(ISBLANK('Data Entry'!$Į$987), "", 'Data Entry'!$Į$987)</f>
      </c>
      <c r="IE987">
        <f>IF(ISBLANK('Data Entry'!$į$987), "", 'Data Entry'!$į$987)</f>
      </c>
      <c r="IF987">
        <f>IF(ISBLANK('Data Entry'!$İ$987), "", 'Data Entry'!$İ$987)</f>
      </c>
      <c r="IG987">
        <f>IF(ISBLANK('Data Entry'!$ı$987), "", 'Data Entry'!$ı$987)</f>
      </c>
      <c r="IH987">
        <f>IF(ISBLANK('Data Entry'!$Ĳ$987), "", 'Data Entry'!$Ĳ$987)</f>
      </c>
      <c r="II987">
        <f>IF(ISBLANK('Data Entry'!$ĳ$987), "", 'Data Entry'!$ĳ$987)</f>
      </c>
      <c r="IJ987">
        <f>IF(ISBLANK('Data Entry'!$Ĵ$987), "", 'Data Entry'!$Ĵ$987)</f>
      </c>
      <c r="IK987">
        <f>IF(ISBLANK('Data Entry'!$ĵ$987), "", 'Data Entry'!$ĵ$987)</f>
      </c>
      <c r="IL987">
        <f>IF(ISBLANK('Data Entry'!$Ķ$987), "", 'Data Entry'!$Ķ$987)</f>
      </c>
      <c r="IM987">
        <f>IF(ISBLANK('Data Entry'!$ķ$987), "", 'Data Entry'!$ķ$987)</f>
      </c>
      <c r="IN987">
        <f>IF(ISBLANK('Data Entry'!$ĸ$987), "", 'Data Entry'!$ĸ$987)</f>
      </c>
      <c r="IO987">
        <f>IF(ISBLANK('Data Entry'!$Ĺ$987), "", 'Data Entry'!$Ĺ$987)</f>
      </c>
      <c r="IP987">
        <f>IF(ISBLANK('Data Entry'!$ĺ$987), "", 'Data Entry'!$ĺ$987)</f>
      </c>
      <c r="IQ987">
        <f>IF(ISBLANK('Data Entry'!$Ļ$987), "", 'Data Entry'!$Ļ$987)</f>
      </c>
      <c r="IR987">
        <f>IF(ISBLANK('Data Entry'!$ļ$987), "", 'Data Entry'!$ļ$987)</f>
      </c>
      <c r="IS987">
        <f>IF(ISBLANK('Data Entry'!$Ľ$987), "", 'Data Entry'!$Ľ$987)</f>
      </c>
      <c r="IT987">
        <f>IF(ISBLANK('Data Entry'!$ľ$987), "", 'Data Entry'!$ľ$987)</f>
      </c>
    </row>
    <row r="988" spans="1:254" x14ac:dyDescent="0.25">
      <c r="A988">
        <f>IF(ISBLANK('Data Entry'!$A$988), "", 'Data Entry'!$A$988)</f>
      </c>
      <c r="B988">
        <f>IF(ISBLANK('Data Entry'!$B$988), "", 'Data Entry'!$B$988)</f>
      </c>
      <c r="C988">
        <f>IF(ISBLANK('Data Entry'!$C$988), "", 'Data Entry'!$C$988)</f>
      </c>
      <c r="D988">
        <f>IF(ISBLANK('Data Entry'!$D$988), "", 'Data Entry'!$D$988)</f>
      </c>
      <c r="E988">
        <f>IF(ISBLANK('Data Entry'!$E$988), "", 'Data Entry'!$E$988)</f>
      </c>
      <c r="F988">
        <f>IF(ISBLANK('Data Entry'!$F$988), "", 'Data Entry'!$F$988)</f>
      </c>
      <c r="G988">
        <f>IF(ISBLANK('Data Entry'!$G$988), "", 'Data Entry'!$G$988)</f>
      </c>
      <c r="H988">
        <f>IF(ISBLANK('Data Entry'!$H$988), "", 'Data Entry'!$H$988)</f>
      </c>
      <c r="I988">
        <f>IF(ISBLANK('Data Entry'!$I$988), "", 'Data Entry'!$I$988)</f>
      </c>
      <c r="J988">
        <f>IF(ISBLANK('Data Entry'!$J$988), "", 'Data Entry'!$J$988)</f>
      </c>
      <c r="K988">
        <f>IF(ISBLANK('Data Entry'!$K$988), "", 'Data Entry'!$K$988)</f>
      </c>
      <c r="L988">
        <f>IF(ISBLANK('Data Entry'!$L$988), "", 'Data Entry'!$L$988)</f>
      </c>
      <c r="M988">
        <f>IF(ISBLANK('Data Entry'!$M$988), "", 'Data Entry'!$M$988)</f>
      </c>
      <c r="N988">
        <f>IF(ISBLANK('Data Entry'!$N$988), "", 'Data Entry'!$N$988)</f>
      </c>
      <c r="O988">
        <f>IF(ISBLANK('Data Entry'!$O$988), "", 'Data Entry'!$O$988)</f>
      </c>
      <c r="P988">
        <f>IF(ISBLANK('Data Entry'!$P$988), "", 'Data Entry'!$P$988)</f>
      </c>
      <c r="Q988">
        <f>IF(ISBLANK('Data Entry'!$Q$988), "", 'Data Entry'!$Q$988)</f>
      </c>
      <c r="R988">
        <f>IF(ISBLANK('Data Entry'!$R$988), "", 'Data Entry'!$R$988)</f>
      </c>
      <c r="S988">
        <f>IF(ISBLANK('Data Entry'!$S$988), "", 'Data Entry'!$S$988)</f>
      </c>
      <c r="T988">
        <f>IF(ISBLANK('Data Entry'!$T$988), "", 'Data Entry'!$T$988)</f>
      </c>
      <c r="U988">
        <f>IF(ISBLANK('Data Entry'!$U$988), "", 'Data Entry'!$U$988)</f>
      </c>
      <c r="V988">
        <f>IF(ISBLANK('Data Entry'!$V$988), "", 'Data Entry'!$V$988)</f>
      </c>
      <c r="W988">
        <f>IF(ISBLANK('Data Entry'!$W$988), "", 'Data Entry'!$W$988)</f>
      </c>
      <c r="X988">
        <f>IF(ISBLANK('Data Entry'!$X$988), "", 'Data Entry'!$X$988)</f>
      </c>
      <c r="Y988">
        <f>IF(ISBLANK('Data Entry'!$Y$988), "", 'Data Entry'!$Y$988)</f>
      </c>
      <c r="Z988">
        <f>IF(ISBLANK('Data Entry'!$Z$988), "", 'Data Entry'!$Z$988)</f>
      </c>
      <c r="AA988">
        <f>IF(ISBLANK('Data Entry'!$[$988), "", 'Data Entry'!$[$988)</f>
      </c>
      <c r="AB988">
        <f>IF(ISBLANK('Data Entry'!$\$988), "", 'Data Entry'!$\$988)</f>
      </c>
      <c r="AC988">
        <f>IF(ISBLANK('Data Entry'!$]$988), "", 'Data Entry'!$]$988)</f>
      </c>
      <c r="AD988">
        <f>IF(ISBLANK('Data Entry'!$^$988), "", 'Data Entry'!$^$988)</f>
      </c>
      <c r="AE988">
        <f>IF(ISBLANK('Data Entry'!$_$988), "", 'Data Entry'!$_$988)</f>
      </c>
      <c r="AF988">
        <f>IF(ISBLANK('Data Entry'!$`$988), "", 'Data Entry'!$`$988)</f>
      </c>
      <c r="AG988">
        <f>IF(ISBLANK('Data Entry'!$a$988), "", 'Data Entry'!$a$988)</f>
      </c>
      <c r="AH988">
        <f>IF(ISBLANK('Data Entry'!$b$988), "", 'Data Entry'!$b$988)</f>
      </c>
      <c r="AI988">
        <f>IF(ISBLANK('Data Entry'!$c$988), "", 'Data Entry'!$c$988)</f>
      </c>
      <c r="AJ988">
        <f>IF(ISBLANK('Data Entry'!$d$988), "", 'Data Entry'!$d$988)</f>
      </c>
      <c r="AK988">
        <f>IF(ISBLANK('Data Entry'!$e$988), "", 'Data Entry'!$e$988)</f>
      </c>
      <c r="AL988">
        <f>IF(ISBLANK('Data Entry'!$f$988), "", 'Data Entry'!$f$988)</f>
      </c>
      <c r="AM988">
        <f>IF(ISBLANK('Data Entry'!$g$988), "", 'Data Entry'!$g$988)</f>
      </c>
      <c r="AN988">
        <f>IF(ISBLANK('Data Entry'!$h$988), "", 'Data Entry'!$h$988)</f>
      </c>
      <c r="AO988">
        <f>IF(ISBLANK('Data Entry'!$i$988), "", 'Data Entry'!$i$988)</f>
      </c>
      <c r="AP988">
        <f>IF(ISBLANK('Data Entry'!$j$988), "", 'Data Entry'!$j$988)</f>
      </c>
      <c r="AQ988">
        <f>IF(ISBLANK('Data Entry'!$k$988), "", 'Data Entry'!$k$988)</f>
      </c>
      <c r="AR988">
        <f>IF(ISBLANK('Data Entry'!$l$988), "", 'Data Entry'!$l$988)</f>
      </c>
      <c r="AS988">
        <f>IF(ISBLANK('Data Entry'!$m$988), "", 'Data Entry'!$m$988)</f>
      </c>
      <c r="AT988">
        <f>IF(ISBLANK('Data Entry'!$n$988), "", 'Data Entry'!$n$988)</f>
      </c>
      <c r="AU988">
        <f>IF(ISBLANK('Data Entry'!$o$988), "", 'Data Entry'!$o$988)</f>
      </c>
      <c r="AV988">
        <f>IF(ISBLANK('Data Entry'!$p$988), "", 'Data Entry'!$p$988)</f>
      </c>
      <c r="AW988">
        <f>IF(ISBLANK('Data Entry'!$q$988), "", 'Data Entry'!$q$988)</f>
      </c>
      <c r="AX988">
        <f>IF(ISBLANK('Data Entry'!$r$988), "", 'Data Entry'!$r$988)</f>
      </c>
      <c r="AY988">
        <f>IF(ISBLANK('Data Entry'!$s$988), "", 'Data Entry'!$s$988)</f>
      </c>
      <c r="AZ988">
        <f>IF(ISBLANK('Data Entry'!$t$988), "", 'Data Entry'!$t$988)</f>
      </c>
      <c r="BA988">
        <f>IF(ISBLANK('Data Entry'!$u$988), "", 'Data Entry'!$u$988)</f>
      </c>
      <c r="BB988">
        <f>IF(ISBLANK('Data Entry'!$v$988), "", 'Data Entry'!$v$988)</f>
      </c>
      <c r="BC988">
        <f>IF(ISBLANK('Data Entry'!$w$988), "", 'Data Entry'!$w$988)</f>
      </c>
      <c r="BD988">
        <f>IF(ISBLANK('Data Entry'!$x$988), "", 'Data Entry'!$x$988)</f>
      </c>
      <c r="BE988">
        <f>IF(ISBLANK('Data Entry'!$y$988), "", 'Data Entry'!$y$988)</f>
      </c>
      <c r="BF988">
        <f>IF(ISBLANK('Data Entry'!$z$988), "", 'Data Entry'!$z$988)</f>
      </c>
      <c r="BG988">
        <f>IF(ISBLANK('Data Entry'!${$988), "", 'Data Entry'!${$988)</f>
      </c>
      <c r="BH988">
        <f>IF(ISBLANK('Data Entry'!$|$988), "", 'Data Entry'!$|$988)</f>
      </c>
      <c r="BI988">
        <f>IF(ISBLANK('Data Entry'!$}$988), "", 'Data Entry'!$}$988)</f>
      </c>
      <c r="BJ988">
        <f>IF(ISBLANK('Data Entry'!$~$988), "", 'Data Entry'!$~$988)</f>
      </c>
      <c r="BK988">
        <f>IF(ISBLANK('Data Entry'!$$988), "", 'Data Entry'!$$988)</f>
      </c>
      <c r="BL988">
        <f>IF(ISBLANK('Data Entry'!$$988), "", 'Data Entry'!$$988)</f>
      </c>
      <c r="BM988">
        <f>IF(ISBLANK('Data Entry'!$$988), "", 'Data Entry'!$$988)</f>
      </c>
      <c r="BN988">
        <f>IF(ISBLANK('Data Entry'!$$988), "", 'Data Entry'!$$988)</f>
      </c>
      <c r="BO988">
        <f>IF(ISBLANK('Data Entry'!$$988), "", 'Data Entry'!$$988)</f>
      </c>
      <c r="BP988">
        <f>IF(ISBLANK('Data Entry'!$$988), "", 'Data Entry'!$$988)</f>
      </c>
      <c r="BQ988">
        <f>IF(ISBLANK('Data Entry'!$$988), "", 'Data Entry'!$$988)</f>
      </c>
      <c r="BR988">
        <f>IF(ISBLANK('Data Entry'!$$988), "", 'Data Entry'!$$988)</f>
      </c>
      <c r="BS988">
        <f>IF(ISBLANK('Data Entry'!$$988), "", 'Data Entry'!$$988)</f>
      </c>
      <c r="BT988">
        <f>IF(ISBLANK('Data Entry'!$$988), "", 'Data Entry'!$$988)</f>
      </c>
      <c r="BU988">
        <f>IF(ISBLANK('Data Entry'!$$988), "", 'Data Entry'!$$988)</f>
      </c>
      <c r="BV988">
        <f>IF(ISBLANK('Data Entry'!$$988), "", 'Data Entry'!$$988)</f>
      </c>
      <c r="BW988">
        <f>IF(ISBLANK('Data Entry'!$$988), "", 'Data Entry'!$$988)</f>
      </c>
      <c r="BX988">
        <f>IF(ISBLANK('Data Entry'!$$988), "", 'Data Entry'!$$988)</f>
      </c>
      <c r="BY988">
        <f>IF(ISBLANK('Data Entry'!$$988), "", 'Data Entry'!$$988)</f>
      </c>
      <c r="BZ988">
        <f>IF(ISBLANK('Data Entry'!$$988), "", 'Data Entry'!$$988)</f>
      </c>
      <c r="CA988">
        <f>IF(ISBLANK('Data Entry'!$$988), "", 'Data Entry'!$$988)</f>
      </c>
      <c r="CB988">
        <f>IF(ISBLANK('Data Entry'!$$988), "", 'Data Entry'!$$988)</f>
      </c>
      <c r="CC988">
        <f>IF(ISBLANK('Data Entry'!$$988), "", 'Data Entry'!$$988)</f>
      </c>
      <c r="CD988">
        <f>IF(ISBLANK('Data Entry'!$$988), "", 'Data Entry'!$$988)</f>
      </c>
      <c r="CE988">
        <f>IF(ISBLANK('Data Entry'!$$988), "", 'Data Entry'!$$988)</f>
      </c>
      <c r="CF988">
        <f>IF(ISBLANK('Data Entry'!$$988), "", 'Data Entry'!$$988)</f>
      </c>
      <c r="CG988">
        <f>IF(ISBLANK('Data Entry'!$$988), "", 'Data Entry'!$$988)</f>
      </c>
      <c r="CH988">
        <f>IF(ISBLANK('Data Entry'!$$988), "", 'Data Entry'!$$988)</f>
      </c>
      <c r="CI988">
        <f>IF(ISBLANK('Data Entry'!$$988), "", 'Data Entry'!$$988)</f>
      </c>
      <c r="CJ988">
        <f>IF(ISBLANK('Data Entry'!$$988), "", 'Data Entry'!$$988)</f>
      </c>
      <c r="CK988">
        <f>IF(ISBLANK('Data Entry'!$$988), "", 'Data Entry'!$$988)</f>
      </c>
      <c r="CL988">
        <f>IF(ISBLANK('Data Entry'!$$988), "", 'Data Entry'!$$988)</f>
      </c>
      <c r="CM988">
        <f>IF(ISBLANK('Data Entry'!$$988), "", 'Data Entry'!$$988)</f>
      </c>
      <c r="CN988">
        <f>IF(ISBLANK('Data Entry'!$$988), "", 'Data Entry'!$$988)</f>
      </c>
      <c r="CO988">
        <f>IF(ISBLANK('Data Entry'!$$988), "", 'Data Entry'!$$988)</f>
      </c>
      <c r="CP988">
        <f>IF(ISBLANK('Data Entry'!$$988), "", 'Data Entry'!$$988)</f>
      </c>
      <c r="CQ988">
        <f>IF(ISBLANK('Data Entry'!$$988), "", 'Data Entry'!$$988)</f>
      </c>
      <c r="CR988">
        <f>IF(ISBLANK('Data Entry'!$ $988), "", 'Data Entry'!$ $988)</f>
      </c>
      <c r="CS988">
        <f>IF(ISBLANK('Data Entry'!$¡$988), "", 'Data Entry'!$¡$988)</f>
      </c>
      <c r="CT988">
        <f>IF(ISBLANK('Data Entry'!$¢$988), "", 'Data Entry'!$¢$988)</f>
      </c>
      <c r="CU988">
        <f>IF(ISBLANK('Data Entry'!$£$988), "", 'Data Entry'!$£$988)</f>
      </c>
      <c r="CV988">
        <f>IF(ISBLANK('Data Entry'!$¤$988), "", 'Data Entry'!$¤$988)</f>
      </c>
      <c r="CW988">
        <f>IF(ISBLANK('Data Entry'!$¥$988), "", 'Data Entry'!$¥$988)</f>
      </c>
      <c r="CX988">
        <f>IF(ISBLANK('Data Entry'!$¦$988), "", 'Data Entry'!$¦$988)</f>
      </c>
      <c r="CY988">
        <f>IF(ISBLANK('Data Entry'!$§$988), "", 'Data Entry'!$§$988)</f>
      </c>
      <c r="CZ988">
        <f>IF(ISBLANK('Data Entry'!$¨$988), "", 'Data Entry'!$¨$988)</f>
      </c>
      <c r="DA988">
        <f>IF(ISBLANK('Data Entry'!$©$988), "", 'Data Entry'!$©$988)</f>
      </c>
      <c r="DB988">
        <f>IF(ISBLANK('Data Entry'!$ª$988), "", 'Data Entry'!$ª$988)</f>
      </c>
      <c r="DC988">
        <f>IF(ISBLANK('Data Entry'!$«$988), "", 'Data Entry'!$«$988)</f>
      </c>
      <c r="DD988">
        <f>IF(ISBLANK('Data Entry'!$¬$988), "", 'Data Entry'!$¬$988)</f>
      </c>
      <c r="DE988">
        <f>IF(ISBLANK('Data Entry'!$­$988), "", 'Data Entry'!$­$988)</f>
      </c>
      <c r="DF988">
        <f>IF(ISBLANK('Data Entry'!$®$988), "", 'Data Entry'!$®$988)</f>
      </c>
      <c r="DG988">
        <f>IF(ISBLANK('Data Entry'!$¯$988), "", 'Data Entry'!$¯$988)</f>
      </c>
      <c r="DH988">
        <f>IF(ISBLANK('Data Entry'!$°$988), "", 'Data Entry'!$°$988)</f>
      </c>
      <c r="DI988">
        <f>IF(ISBLANK('Data Entry'!$±$988), "", 'Data Entry'!$±$988)</f>
      </c>
      <c r="DJ988">
        <f>IF(ISBLANK('Data Entry'!$²$988), "", 'Data Entry'!$²$988)</f>
      </c>
      <c r="DK988">
        <f>IF(ISBLANK('Data Entry'!$³$988), "", 'Data Entry'!$³$988)</f>
      </c>
      <c r="DL988">
        <f>IF(ISBLANK('Data Entry'!$´$988), "", 'Data Entry'!$´$988)</f>
      </c>
      <c r="DM988">
        <f>IF(ISBLANK('Data Entry'!$µ$988), "", 'Data Entry'!$µ$988)</f>
      </c>
      <c r="DN988">
        <f>IF(ISBLANK('Data Entry'!$¶$988), "", 'Data Entry'!$¶$988)</f>
      </c>
      <c r="DO988">
        <f>IF(ISBLANK('Data Entry'!$·$988), "", 'Data Entry'!$·$988)</f>
      </c>
      <c r="DP988">
        <f>IF(ISBLANK('Data Entry'!$¸$988), "", 'Data Entry'!$¸$988)</f>
      </c>
      <c r="DQ988">
        <f>IF(ISBLANK('Data Entry'!$¹$988), "", 'Data Entry'!$¹$988)</f>
      </c>
      <c r="DR988">
        <f>IF(ISBLANK('Data Entry'!$º$988), "", 'Data Entry'!$º$988)</f>
      </c>
      <c r="DS988">
        <f>IF(ISBLANK('Data Entry'!$»$988), "", 'Data Entry'!$»$988)</f>
      </c>
      <c r="DT988">
        <f>IF(ISBLANK('Data Entry'!$¼$988), "", 'Data Entry'!$¼$988)</f>
      </c>
      <c r="DU988">
        <f>IF(ISBLANK('Data Entry'!$½$988), "", 'Data Entry'!$½$988)</f>
      </c>
      <c r="DV988">
        <f>IF(ISBLANK('Data Entry'!$¾$988), "", 'Data Entry'!$¾$988)</f>
      </c>
      <c r="DW988">
        <f>IF(ISBLANK('Data Entry'!$¿$988), "", 'Data Entry'!$¿$988)</f>
      </c>
      <c r="DX988">
        <f>IF(ISBLANK('Data Entry'!$À$988), "", 'Data Entry'!$À$988)</f>
      </c>
      <c r="DY988">
        <f>IF(ISBLANK('Data Entry'!$Á$988), "", 'Data Entry'!$Á$988)</f>
      </c>
      <c r="DZ988">
        <f>IF(ISBLANK('Data Entry'!$Â$988), "", 'Data Entry'!$Â$988)</f>
      </c>
      <c r="EA988">
        <f>IF(ISBLANK('Data Entry'!$Ã$988), "", 'Data Entry'!$Ã$988)</f>
      </c>
      <c r="EB988">
        <f>IF(ISBLANK('Data Entry'!$Ä$988), "", 'Data Entry'!$Ä$988)</f>
      </c>
      <c r="EC988">
        <f>IF(ISBLANK('Data Entry'!$Å$988), "", 'Data Entry'!$Å$988)</f>
      </c>
      <c r="ED988">
        <f>IF(ISBLANK('Data Entry'!$Æ$988), "", 'Data Entry'!$Æ$988)</f>
      </c>
      <c r="EE988">
        <f>IF(ISBLANK('Data Entry'!$Ç$988), "", 'Data Entry'!$Ç$988)</f>
      </c>
      <c r="EF988">
        <f>IF(ISBLANK('Data Entry'!$È$988), "", 'Data Entry'!$È$988)</f>
      </c>
      <c r="EG988">
        <f>IF(ISBLANK('Data Entry'!$É$988), "", 'Data Entry'!$É$988)</f>
      </c>
      <c r="EH988">
        <f>IF(ISBLANK('Data Entry'!$Ê$988), "", 'Data Entry'!$Ê$988)</f>
      </c>
      <c r="EI988">
        <f>IF(ISBLANK('Data Entry'!$Ë$988), "", 'Data Entry'!$Ë$988)</f>
      </c>
      <c r="EJ988">
        <f>IF(ISBLANK('Data Entry'!$Ì$988), "", 'Data Entry'!$Ì$988)</f>
      </c>
      <c r="EK988">
        <f>IF(ISBLANK('Data Entry'!$Í$988), "", 'Data Entry'!$Í$988)</f>
      </c>
      <c r="EL988">
        <f>IF(ISBLANK('Data Entry'!$Î$988), "", 'Data Entry'!$Î$988)</f>
      </c>
      <c r="EM988">
        <f>IF(ISBLANK('Data Entry'!$Ï$988), "", 'Data Entry'!$Ï$988)</f>
      </c>
      <c r="EN988">
        <f>IF(ISBLANK('Data Entry'!$Ð$988), "", 'Data Entry'!$Ð$988)</f>
      </c>
      <c r="EO988">
        <f>IF(ISBLANK('Data Entry'!$Ñ$988), "", 'Data Entry'!$Ñ$988)</f>
      </c>
      <c r="EP988">
        <f>IF(ISBLANK('Data Entry'!$Ò$988), "", 'Data Entry'!$Ò$988)</f>
      </c>
      <c r="EQ988">
        <f>IF(ISBLANK('Data Entry'!$Ó$988), "", 'Data Entry'!$Ó$988)</f>
      </c>
      <c r="ER988">
        <f>IF(ISBLANK('Data Entry'!$Ô$988), "", 'Data Entry'!$Ô$988)</f>
      </c>
      <c r="ES988">
        <f>IF(ISBLANK('Data Entry'!$Õ$988), "", 'Data Entry'!$Õ$988)</f>
      </c>
      <c r="ET988">
        <f>IF(ISBLANK('Data Entry'!$Ö$988), "", 'Data Entry'!$Ö$988)</f>
      </c>
      <c r="EU988">
        <f>IF(ISBLANK('Data Entry'!$×$988), "", 'Data Entry'!$×$988)</f>
      </c>
      <c r="EV988">
        <f>IF(ISBLANK('Data Entry'!$Ø$988), "", 'Data Entry'!$Ø$988)</f>
      </c>
      <c r="EW988">
        <f>IF(ISBLANK('Data Entry'!$Ù$988), "", 'Data Entry'!$Ù$988)</f>
      </c>
      <c r="EX988">
        <f>IF(ISBLANK('Data Entry'!$Ú$988), "", 'Data Entry'!$Ú$988)</f>
      </c>
      <c r="EY988">
        <f>IF(ISBLANK('Data Entry'!$Û$988), "", 'Data Entry'!$Û$988)</f>
      </c>
      <c r="EZ988">
        <f>IF(ISBLANK('Data Entry'!$Ü$988), "", 'Data Entry'!$Ü$988)</f>
      </c>
      <c r="FA988">
        <f>IF(ISBLANK('Data Entry'!$Ý$988), "", 'Data Entry'!$Ý$988)</f>
      </c>
      <c r="FB988">
        <f>IF(ISBLANK('Data Entry'!$Þ$988), "", 'Data Entry'!$Þ$988)</f>
      </c>
      <c r="FC988">
        <f>IF(ISBLANK('Data Entry'!$ß$988), "", 'Data Entry'!$ß$988)</f>
      </c>
      <c r="FD988">
        <f>IF(ISBLANK('Data Entry'!$à$988), "", 'Data Entry'!$à$988)</f>
      </c>
      <c r="FE988">
        <f>IF(ISBLANK('Data Entry'!$á$988), "", 'Data Entry'!$á$988)</f>
      </c>
      <c r="FF988">
        <f>IF(ISBLANK('Data Entry'!$â$988), "", 'Data Entry'!$â$988)</f>
      </c>
      <c r="FG988">
        <f>IF(ISBLANK('Data Entry'!$ã$988), "", 'Data Entry'!$ã$988)</f>
      </c>
      <c r="FH988">
        <f>IF(ISBLANK('Data Entry'!$ä$988), "", 'Data Entry'!$ä$988)</f>
      </c>
      <c r="FI988">
        <f>IF(ISBLANK('Data Entry'!$å$988), "", 'Data Entry'!$å$988)</f>
      </c>
      <c r="FJ988">
        <f>IF(ISBLANK('Data Entry'!$æ$988), "", 'Data Entry'!$æ$988)</f>
      </c>
      <c r="FK988">
        <f>IF(ISBLANK('Data Entry'!$ç$988), "", 'Data Entry'!$ç$988)</f>
      </c>
      <c r="FL988">
        <f>IF(ISBLANK('Data Entry'!$è$988), "", 'Data Entry'!$è$988)</f>
      </c>
      <c r="FM988">
        <f>IF(ISBLANK('Data Entry'!$é$988), "", 'Data Entry'!$é$988)</f>
      </c>
      <c r="FN988">
        <f>IF(ISBLANK('Data Entry'!$ê$988), "", 'Data Entry'!$ê$988)</f>
      </c>
      <c r="FO988">
        <f>IF(ISBLANK('Data Entry'!$ë$988), "", 'Data Entry'!$ë$988)</f>
      </c>
      <c r="FP988">
        <f>IF(ISBLANK('Data Entry'!$ì$988), "", 'Data Entry'!$ì$988)</f>
      </c>
      <c r="FQ988">
        <f>IF(ISBLANK('Data Entry'!$í$988), "", 'Data Entry'!$í$988)</f>
      </c>
      <c r="FR988">
        <f>IF(ISBLANK('Data Entry'!$î$988), "", 'Data Entry'!$î$988)</f>
      </c>
      <c r="FS988">
        <f>IF(ISBLANK('Data Entry'!$ï$988), "", 'Data Entry'!$ï$988)</f>
      </c>
      <c r="FT988">
        <f>IF(ISBLANK('Data Entry'!$ð$988), "", 'Data Entry'!$ð$988)</f>
      </c>
      <c r="FU988">
        <f>IF(ISBLANK('Data Entry'!$ñ$988), "", 'Data Entry'!$ñ$988)</f>
      </c>
      <c r="FV988">
        <f>IF(ISBLANK('Data Entry'!$ò$988), "", 'Data Entry'!$ò$988)</f>
      </c>
      <c r="FW988">
        <f>IF(ISBLANK('Data Entry'!$ó$988), "", 'Data Entry'!$ó$988)</f>
      </c>
      <c r="FX988">
        <f>IF(ISBLANK('Data Entry'!$ô$988), "", 'Data Entry'!$ô$988)</f>
      </c>
      <c r="FY988">
        <f>IF(ISBLANK('Data Entry'!$õ$988), "", 'Data Entry'!$õ$988)</f>
      </c>
      <c r="FZ988">
        <f>IF(ISBLANK('Data Entry'!$ö$988), "", 'Data Entry'!$ö$988)</f>
      </c>
      <c r="GA988">
        <f>IF(ISBLANK('Data Entry'!$÷$988), "", 'Data Entry'!$÷$988)</f>
      </c>
      <c r="GB988">
        <f>IF(ISBLANK('Data Entry'!$ø$988), "", 'Data Entry'!$ø$988)</f>
      </c>
      <c r="GC988">
        <f>IF(ISBLANK('Data Entry'!$ù$988), "", 'Data Entry'!$ù$988)</f>
      </c>
      <c r="GD988">
        <f>IF(ISBLANK('Data Entry'!$ú$988), "", 'Data Entry'!$ú$988)</f>
      </c>
      <c r="GE988">
        <f>IF(ISBLANK('Data Entry'!$û$988), "", 'Data Entry'!$û$988)</f>
      </c>
      <c r="GF988">
        <f>IF(ISBLANK('Data Entry'!$ü$988), "", 'Data Entry'!$ü$988)</f>
      </c>
      <c r="GG988">
        <f>IF(ISBLANK('Data Entry'!$ý$988), "", 'Data Entry'!$ý$988)</f>
      </c>
      <c r="GH988">
        <f>IF(ISBLANK('Data Entry'!$þ$988), "", 'Data Entry'!$þ$988)</f>
      </c>
      <c r="GI988">
        <f>IF(ISBLANK('Data Entry'!$ÿ$988), "", 'Data Entry'!$ÿ$988)</f>
      </c>
      <c r="GJ988">
        <f>IF(ISBLANK('Data Entry'!$Ā$988), "", 'Data Entry'!$Ā$988)</f>
      </c>
      <c r="GK988">
        <f>IF(ISBLANK('Data Entry'!$ā$988), "", 'Data Entry'!$ā$988)</f>
      </c>
      <c r="GL988">
        <f>IF(ISBLANK('Data Entry'!$Ă$988), "", 'Data Entry'!$Ă$988)</f>
      </c>
      <c r="GM988">
        <f>IF(ISBLANK('Data Entry'!$ă$988), "", 'Data Entry'!$ă$988)</f>
      </c>
      <c r="GN988">
        <f>IF(ISBLANK('Data Entry'!$Ą$988), "", 'Data Entry'!$Ą$988)</f>
      </c>
      <c r="GO988">
        <f>IF(ISBLANK('Data Entry'!$ą$988), "", 'Data Entry'!$ą$988)</f>
      </c>
      <c r="GP988">
        <f>IF(ISBLANK('Data Entry'!$Ć$988), "", 'Data Entry'!$Ć$988)</f>
      </c>
      <c r="GQ988">
        <f>IF(ISBLANK('Data Entry'!$ć$988), "", 'Data Entry'!$ć$988)</f>
      </c>
      <c r="GR988">
        <f>IF(ISBLANK('Data Entry'!$Ĉ$988), "", 'Data Entry'!$Ĉ$988)</f>
      </c>
      <c r="GS988">
        <f>IF(ISBLANK('Data Entry'!$ĉ$988), "", 'Data Entry'!$ĉ$988)</f>
      </c>
      <c r="GT988">
        <f>IF(ISBLANK('Data Entry'!$Ċ$988), "", 'Data Entry'!$Ċ$988)</f>
      </c>
      <c r="GU988">
        <f>IF(ISBLANK('Data Entry'!$ċ$988), "", 'Data Entry'!$ċ$988)</f>
      </c>
      <c r="GV988">
        <f>IF(ISBLANK('Data Entry'!$Č$988), "", 'Data Entry'!$Č$988)</f>
      </c>
      <c r="GW988">
        <f>IF(ISBLANK('Data Entry'!$č$988), "", 'Data Entry'!$č$988)</f>
      </c>
      <c r="GX988">
        <f>IF(ISBLANK('Data Entry'!$Ď$988), "", 'Data Entry'!$Ď$988)</f>
      </c>
      <c r="GY988">
        <f>IF(ISBLANK('Data Entry'!$ď$988), "", 'Data Entry'!$ď$988)</f>
      </c>
      <c r="GZ988">
        <f>IF(ISBLANK('Data Entry'!$Đ$988), "", 'Data Entry'!$Đ$988)</f>
      </c>
      <c r="HA988">
        <f>IF(ISBLANK('Data Entry'!$đ$988), "", 'Data Entry'!$đ$988)</f>
      </c>
      <c r="HB988">
        <f>IF(ISBLANK('Data Entry'!$Ē$988), "", 'Data Entry'!$Ē$988)</f>
      </c>
      <c r="HC988">
        <f>IF(ISBLANK('Data Entry'!$ē$988), "", 'Data Entry'!$ē$988)</f>
      </c>
      <c r="HD988">
        <f>IF(ISBLANK('Data Entry'!$Ĕ$988), "", 'Data Entry'!$Ĕ$988)</f>
      </c>
      <c r="HE988">
        <f>IF(ISBLANK('Data Entry'!$ĕ$988), "", 'Data Entry'!$ĕ$988)</f>
      </c>
      <c r="HF988">
        <f>IF(ISBLANK('Data Entry'!$Ė$988), "", 'Data Entry'!$Ė$988)</f>
      </c>
      <c r="HG988">
        <f>IF(ISBLANK('Data Entry'!$ė$988), "", 'Data Entry'!$ė$988)</f>
      </c>
      <c r="HH988">
        <f>IF(ISBLANK('Data Entry'!$Ę$988), "", 'Data Entry'!$Ę$988)</f>
      </c>
      <c r="HI988">
        <f>IF(ISBLANK('Data Entry'!$ę$988), "", 'Data Entry'!$ę$988)</f>
      </c>
      <c r="HJ988">
        <f>IF(ISBLANK('Data Entry'!$Ě$988), "", 'Data Entry'!$Ě$988)</f>
      </c>
      <c r="HK988">
        <f>IF(ISBLANK('Data Entry'!$ě$988), "", 'Data Entry'!$ě$988)</f>
      </c>
      <c r="HL988">
        <f>IF(ISBLANK('Data Entry'!$Ĝ$988), "", 'Data Entry'!$Ĝ$988)</f>
      </c>
      <c r="HM988">
        <f>IF(ISBLANK('Data Entry'!$ĝ$988), "", 'Data Entry'!$ĝ$988)</f>
      </c>
      <c r="HN988">
        <f>IF(ISBLANK('Data Entry'!$Ğ$988), "", 'Data Entry'!$Ğ$988)</f>
      </c>
      <c r="HO988">
        <f>IF(ISBLANK('Data Entry'!$ğ$988), "", 'Data Entry'!$ğ$988)</f>
      </c>
      <c r="HP988">
        <f>IF(ISBLANK('Data Entry'!$Ġ$988), "", 'Data Entry'!$Ġ$988)</f>
      </c>
      <c r="HQ988">
        <f>IF(ISBLANK('Data Entry'!$ġ$988), "", 'Data Entry'!$ġ$988)</f>
      </c>
      <c r="HR988">
        <f>IF(ISBLANK('Data Entry'!$Ģ$988), "", 'Data Entry'!$Ģ$988)</f>
      </c>
      <c r="HS988">
        <f>IF(ISBLANK('Data Entry'!$ģ$988), "", 'Data Entry'!$ģ$988)</f>
      </c>
      <c r="HT988">
        <f>IF(ISBLANK('Data Entry'!$Ĥ$988), "", 'Data Entry'!$Ĥ$988)</f>
      </c>
      <c r="HU988">
        <f>IF(ISBLANK('Data Entry'!$ĥ$988), "", 'Data Entry'!$ĥ$988)</f>
      </c>
      <c r="HV988">
        <f>IF(ISBLANK('Data Entry'!$Ħ$988), "", 'Data Entry'!$Ħ$988)</f>
      </c>
      <c r="HW988">
        <f>IF(ISBLANK('Data Entry'!$ħ$988), "", 'Data Entry'!$ħ$988)</f>
      </c>
      <c r="HX988">
        <f>IF(ISBLANK('Data Entry'!$Ĩ$988), "", 'Data Entry'!$Ĩ$988)</f>
      </c>
      <c r="HY988">
        <f>IF(ISBLANK('Data Entry'!$ĩ$988), "", 'Data Entry'!$ĩ$988)</f>
      </c>
      <c r="HZ988">
        <f>IF(ISBLANK('Data Entry'!$Ī$988), "", 'Data Entry'!$Ī$988)</f>
      </c>
      <c r="IA988">
        <f>IF(ISBLANK('Data Entry'!$ī$988), "", 'Data Entry'!$ī$988)</f>
      </c>
      <c r="IB988">
        <f>IF(ISBLANK('Data Entry'!$Ĭ$988), "", 'Data Entry'!$Ĭ$988)</f>
      </c>
      <c r="IC988">
        <f>IF(ISBLANK('Data Entry'!$ĭ$988), "", 'Data Entry'!$ĭ$988)</f>
      </c>
      <c r="ID988">
        <f>IF(ISBLANK('Data Entry'!$Į$988), "", 'Data Entry'!$Į$988)</f>
      </c>
      <c r="IE988">
        <f>IF(ISBLANK('Data Entry'!$į$988), "", 'Data Entry'!$į$988)</f>
      </c>
      <c r="IF988">
        <f>IF(ISBLANK('Data Entry'!$İ$988), "", 'Data Entry'!$İ$988)</f>
      </c>
      <c r="IG988">
        <f>IF(ISBLANK('Data Entry'!$ı$988), "", 'Data Entry'!$ı$988)</f>
      </c>
      <c r="IH988">
        <f>IF(ISBLANK('Data Entry'!$Ĳ$988), "", 'Data Entry'!$Ĳ$988)</f>
      </c>
      <c r="II988">
        <f>IF(ISBLANK('Data Entry'!$ĳ$988), "", 'Data Entry'!$ĳ$988)</f>
      </c>
      <c r="IJ988">
        <f>IF(ISBLANK('Data Entry'!$Ĵ$988), "", 'Data Entry'!$Ĵ$988)</f>
      </c>
      <c r="IK988">
        <f>IF(ISBLANK('Data Entry'!$ĵ$988), "", 'Data Entry'!$ĵ$988)</f>
      </c>
      <c r="IL988">
        <f>IF(ISBLANK('Data Entry'!$Ķ$988), "", 'Data Entry'!$Ķ$988)</f>
      </c>
      <c r="IM988">
        <f>IF(ISBLANK('Data Entry'!$ķ$988), "", 'Data Entry'!$ķ$988)</f>
      </c>
      <c r="IN988">
        <f>IF(ISBLANK('Data Entry'!$ĸ$988), "", 'Data Entry'!$ĸ$988)</f>
      </c>
      <c r="IO988">
        <f>IF(ISBLANK('Data Entry'!$Ĺ$988), "", 'Data Entry'!$Ĺ$988)</f>
      </c>
      <c r="IP988">
        <f>IF(ISBLANK('Data Entry'!$ĺ$988), "", 'Data Entry'!$ĺ$988)</f>
      </c>
      <c r="IQ988">
        <f>IF(ISBLANK('Data Entry'!$Ļ$988), "", 'Data Entry'!$Ļ$988)</f>
      </c>
      <c r="IR988">
        <f>IF(ISBLANK('Data Entry'!$ļ$988), "", 'Data Entry'!$ļ$988)</f>
      </c>
      <c r="IS988">
        <f>IF(ISBLANK('Data Entry'!$Ľ$988), "", 'Data Entry'!$Ľ$988)</f>
      </c>
      <c r="IT988">
        <f>IF(ISBLANK('Data Entry'!$ľ$988), "", 'Data Entry'!$ľ$988)</f>
      </c>
    </row>
    <row r="989" spans="1:254" x14ac:dyDescent="0.25">
      <c r="A989">
        <f>IF(ISBLANK('Data Entry'!$A$989), "", 'Data Entry'!$A$989)</f>
      </c>
      <c r="B989">
        <f>IF(ISBLANK('Data Entry'!$B$989), "", 'Data Entry'!$B$989)</f>
      </c>
      <c r="C989">
        <f>IF(ISBLANK('Data Entry'!$C$989), "", 'Data Entry'!$C$989)</f>
      </c>
      <c r="D989">
        <f>IF(ISBLANK('Data Entry'!$D$989), "", 'Data Entry'!$D$989)</f>
      </c>
      <c r="E989">
        <f>IF(ISBLANK('Data Entry'!$E$989), "", 'Data Entry'!$E$989)</f>
      </c>
      <c r="F989">
        <f>IF(ISBLANK('Data Entry'!$F$989), "", 'Data Entry'!$F$989)</f>
      </c>
      <c r="G989">
        <f>IF(ISBLANK('Data Entry'!$G$989), "", 'Data Entry'!$G$989)</f>
      </c>
      <c r="H989">
        <f>IF(ISBLANK('Data Entry'!$H$989), "", 'Data Entry'!$H$989)</f>
      </c>
      <c r="I989">
        <f>IF(ISBLANK('Data Entry'!$I$989), "", 'Data Entry'!$I$989)</f>
      </c>
      <c r="J989">
        <f>IF(ISBLANK('Data Entry'!$J$989), "", 'Data Entry'!$J$989)</f>
      </c>
      <c r="K989">
        <f>IF(ISBLANK('Data Entry'!$K$989), "", 'Data Entry'!$K$989)</f>
      </c>
      <c r="L989">
        <f>IF(ISBLANK('Data Entry'!$L$989), "", 'Data Entry'!$L$989)</f>
      </c>
      <c r="M989">
        <f>IF(ISBLANK('Data Entry'!$M$989), "", 'Data Entry'!$M$989)</f>
      </c>
      <c r="N989">
        <f>IF(ISBLANK('Data Entry'!$N$989), "", 'Data Entry'!$N$989)</f>
      </c>
      <c r="O989">
        <f>IF(ISBLANK('Data Entry'!$O$989), "", 'Data Entry'!$O$989)</f>
      </c>
      <c r="P989">
        <f>IF(ISBLANK('Data Entry'!$P$989), "", 'Data Entry'!$P$989)</f>
      </c>
      <c r="Q989">
        <f>IF(ISBLANK('Data Entry'!$Q$989), "", 'Data Entry'!$Q$989)</f>
      </c>
      <c r="R989">
        <f>IF(ISBLANK('Data Entry'!$R$989), "", 'Data Entry'!$R$989)</f>
      </c>
      <c r="S989">
        <f>IF(ISBLANK('Data Entry'!$S$989), "", 'Data Entry'!$S$989)</f>
      </c>
      <c r="T989">
        <f>IF(ISBLANK('Data Entry'!$T$989), "", 'Data Entry'!$T$989)</f>
      </c>
      <c r="U989">
        <f>IF(ISBLANK('Data Entry'!$U$989), "", 'Data Entry'!$U$989)</f>
      </c>
      <c r="V989">
        <f>IF(ISBLANK('Data Entry'!$V$989), "", 'Data Entry'!$V$989)</f>
      </c>
      <c r="W989">
        <f>IF(ISBLANK('Data Entry'!$W$989), "", 'Data Entry'!$W$989)</f>
      </c>
      <c r="X989">
        <f>IF(ISBLANK('Data Entry'!$X$989), "", 'Data Entry'!$X$989)</f>
      </c>
      <c r="Y989">
        <f>IF(ISBLANK('Data Entry'!$Y$989), "", 'Data Entry'!$Y$989)</f>
      </c>
      <c r="Z989">
        <f>IF(ISBLANK('Data Entry'!$Z$989), "", 'Data Entry'!$Z$989)</f>
      </c>
      <c r="AA989">
        <f>IF(ISBLANK('Data Entry'!$[$989), "", 'Data Entry'!$[$989)</f>
      </c>
      <c r="AB989">
        <f>IF(ISBLANK('Data Entry'!$\$989), "", 'Data Entry'!$\$989)</f>
      </c>
      <c r="AC989">
        <f>IF(ISBLANK('Data Entry'!$]$989), "", 'Data Entry'!$]$989)</f>
      </c>
      <c r="AD989">
        <f>IF(ISBLANK('Data Entry'!$^$989), "", 'Data Entry'!$^$989)</f>
      </c>
      <c r="AE989">
        <f>IF(ISBLANK('Data Entry'!$_$989), "", 'Data Entry'!$_$989)</f>
      </c>
      <c r="AF989">
        <f>IF(ISBLANK('Data Entry'!$`$989), "", 'Data Entry'!$`$989)</f>
      </c>
      <c r="AG989">
        <f>IF(ISBLANK('Data Entry'!$a$989), "", 'Data Entry'!$a$989)</f>
      </c>
      <c r="AH989">
        <f>IF(ISBLANK('Data Entry'!$b$989), "", 'Data Entry'!$b$989)</f>
      </c>
      <c r="AI989">
        <f>IF(ISBLANK('Data Entry'!$c$989), "", 'Data Entry'!$c$989)</f>
      </c>
      <c r="AJ989">
        <f>IF(ISBLANK('Data Entry'!$d$989), "", 'Data Entry'!$d$989)</f>
      </c>
      <c r="AK989">
        <f>IF(ISBLANK('Data Entry'!$e$989), "", 'Data Entry'!$e$989)</f>
      </c>
      <c r="AL989">
        <f>IF(ISBLANK('Data Entry'!$f$989), "", 'Data Entry'!$f$989)</f>
      </c>
      <c r="AM989">
        <f>IF(ISBLANK('Data Entry'!$g$989), "", 'Data Entry'!$g$989)</f>
      </c>
      <c r="AN989">
        <f>IF(ISBLANK('Data Entry'!$h$989), "", 'Data Entry'!$h$989)</f>
      </c>
      <c r="AO989">
        <f>IF(ISBLANK('Data Entry'!$i$989), "", 'Data Entry'!$i$989)</f>
      </c>
      <c r="AP989">
        <f>IF(ISBLANK('Data Entry'!$j$989), "", 'Data Entry'!$j$989)</f>
      </c>
      <c r="AQ989">
        <f>IF(ISBLANK('Data Entry'!$k$989), "", 'Data Entry'!$k$989)</f>
      </c>
      <c r="AR989">
        <f>IF(ISBLANK('Data Entry'!$l$989), "", 'Data Entry'!$l$989)</f>
      </c>
      <c r="AS989">
        <f>IF(ISBLANK('Data Entry'!$m$989), "", 'Data Entry'!$m$989)</f>
      </c>
      <c r="AT989">
        <f>IF(ISBLANK('Data Entry'!$n$989), "", 'Data Entry'!$n$989)</f>
      </c>
      <c r="AU989">
        <f>IF(ISBLANK('Data Entry'!$o$989), "", 'Data Entry'!$o$989)</f>
      </c>
      <c r="AV989">
        <f>IF(ISBLANK('Data Entry'!$p$989), "", 'Data Entry'!$p$989)</f>
      </c>
      <c r="AW989">
        <f>IF(ISBLANK('Data Entry'!$q$989), "", 'Data Entry'!$q$989)</f>
      </c>
      <c r="AX989">
        <f>IF(ISBLANK('Data Entry'!$r$989), "", 'Data Entry'!$r$989)</f>
      </c>
      <c r="AY989">
        <f>IF(ISBLANK('Data Entry'!$s$989), "", 'Data Entry'!$s$989)</f>
      </c>
      <c r="AZ989">
        <f>IF(ISBLANK('Data Entry'!$t$989), "", 'Data Entry'!$t$989)</f>
      </c>
      <c r="BA989">
        <f>IF(ISBLANK('Data Entry'!$u$989), "", 'Data Entry'!$u$989)</f>
      </c>
      <c r="BB989">
        <f>IF(ISBLANK('Data Entry'!$v$989), "", 'Data Entry'!$v$989)</f>
      </c>
      <c r="BC989">
        <f>IF(ISBLANK('Data Entry'!$w$989), "", 'Data Entry'!$w$989)</f>
      </c>
      <c r="BD989">
        <f>IF(ISBLANK('Data Entry'!$x$989), "", 'Data Entry'!$x$989)</f>
      </c>
      <c r="BE989">
        <f>IF(ISBLANK('Data Entry'!$y$989), "", 'Data Entry'!$y$989)</f>
      </c>
      <c r="BF989">
        <f>IF(ISBLANK('Data Entry'!$z$989), "", 'Data Entry'!$z$989)</f>
      </c>
      <c r="BG989">
        <f>IF(ISBLANK('Data Entry'!${$989), "", 'Data Entry'!${$989)</f>
      </c>
      <c r="BH989">
        <f>IF(ISBLANK('Data Entry'!$|$989), "", 'Data Entry'!$|$989)</f>
      </c>
      <c r="BI989">
        <f>IF(ISBLANK('Data Entry'!$}$989), "", 'Data Entry'!$}$989)</f>
      </c>
      <c r="BJ989">
        <f>IF(ISBLANK('Data Entry'!$~$989), "", 'Data Entry'!$~$989)</f>
      </c>
      <c r="BK989">
        <f>IF(ISBLANK('Data Entry'!$$989), "", 'Data Entry'!$$989)</f>
      </c>
      <c r="BL989">
        <f>IF(ISBLANK('Data Entry'!$$989), "", 'Data Entry'!$$989)</f>
      </c>
      <c r="BM989">
        <f>IF(ISBLANK('Data Entry'!$$989), "", 'Data Entry'!$$989)</f>
      </c>
      <c r="BN989">
        <f>IF(ISBLANK('Data Entry'!$$989), "", 'Data Entry'!$$989)</f>
      </c>
      <c r="BO989">
        <f>IF(ISBLANK('Data Entry'!$$989), "", 'Data Entry'!$$989)</f>
      </c>
      <c r="BP989">
        <f>IF(ISBLANK('Data Entry'!$$989), "", 'Data Entry'!$$989)</f>
      </c>
      <c r="BQ989">
        <f>IF(ISBLANK('Data Entry'!$$989), "", 'Data Entry'!$$989)</f>
      </c>
      <c r="BR989">
        <f>IF(ISBLANK('Data Entry'!$$989), "", 'Data Entry'!$$989)</f>
      </c>
      <c r="BS989">
        <f>IF(ISBLANK('Data Entry'!$$989), "", 'Data Entry'!$$989)</f>
      </c>
      <c r="BT989">
        <f>IF(ISBLANK('Data Entry'!$$989), "", 'Data Entry'!$$989)</f>
      </c>
      <c r="BU989">
        <f>IF(ISBLANK('Data Entry'!$$989), "", 'Data Entry'!$$989)</f>
      </c>
      <c r="BV989">
        <f>IF(ISBLANK('Data Entry'!$$989), "", 'Data Entry'!$$989)</f>
      </c>
      <c r="BW989">
        <f>IF(ISBLANK('Data Entry'!$$989), "", 'Data Entry'!$$989)</f>
      </c>
      <c r="BX989">
        <f>IF(ISBLANK('Data Entry'!$$989), "", 'Data Entry'!$$989)</f>
      </c>
      <c r="BY989">
        <f>IF(ISBLANK('Data Entry'!$$989), "", 'Data Entry'!$$989)</f>
      </c>
      <c r="BZ989">
        <f>IF(ISBLANK('Data Entry'!$$989), "", 'Data Entry'!$$989)</f>
      </c>
      <c r="CA989">
        <f>IF(ISBLANK('Data Entry'!$$989), "", 'Data Entry'!$$989)</f>
      </c>
      <c r="CB989">
        <f>IF(ISBLANK('Data Entry'!$$989), "", 'Data Entry'!$$989)</f>
      </c>
      <c r="CC989">
        <f>IF(ISBLANK('Data Entry'!$$989), "", 'Data Entry'!$$989)</f>
      </c>
      <c r="CD989">
        <f>IF(ISBLANK('Data Entry'!$$989), "", 'Data Entry'!$$989)</f>
      </c>
      <c r="CE989">
        <f>IF(ISBLANK('Data Entry'!$$989), "", 'Data Entry'!$$989)</f>
      </c>
      <c r="CF989">
        <f>IF(ISBLANK('Data Entry'!$$989), "", 'Data Entry'!$$989)</f>
      </c>
      <c r="CG989">
        <f>IF(ISBLANK('Data Entry'!$$989), "", 'Data Entry'!$$989)</f>
      </c>
      <c r="CH989">
        <f>IF(ISBLANK('Data Entry'!$$989), "", 'Data Entry'!$$989)</f>
      </c>
      <c r="CI989">
        <f>IF(ISBLANK('Data Entry'!$$989), "", 'Data Entry'!$$989)</f>
      </c>
      <c r="CJ989">
        <f>IF(ISBLANK('Data Entry'!$$989), "", 'Data Entry'!$$989)</f>
      </c>
      <c r="CK989">
        <f>IF(ISBLANK('Data Entry'!$$989), "", 'Data Entry'!$$989)</f>
      </c>
      <c r="CL989">
        <f>IF(ISBLANK('Data Entry'!$$989), "", 'Data Entry'!$$989)</f>
      </c>
      <c r="CM989">
        <f>IF(ISBLANK('Data Entry'!$$989), "", 'Data Entry'!$$989)</f>
      </c>
      <c r="CN989">
        <f>IF(ISBLANK('Data Entry'!$$989), "", 'Data Entry'!$$989)</f>
      </c>
      <c r="CO989">
        <f>IF(ISBLANK('Data Entry'!$$989), "", 'Data Entry'!$$989)</f>
      </c>
      <c r="CP989">
        <f>IF(ISBLANK('Data Entry'!$$989), "", 'Data Entry'!$$989)</f>
      </c>
      <c r="CQ989">
        <f>IF(ISBLANK('Data Entry'!$$989), "", 'Data Entry'!$$989)</f>
      </c>
      <c r="CR989">
        <f>IF(ISBLANK('Data Entry'!$ $989), "", 'Data Entry'!$ $989)</f>
      </c>
      <c r="CS989">
        <f>IF(ISBLANK('Data Entry'!$¡$989), "", 'Data Entry'!$¡$989)</f>
      </c>
      <c r="CT989">
        <f>IF(ISBLANK('Data Entry'!$¢$989), "", 'Data Entry'!$¢$989)</f>
      </c>
      <c r="CU989">
        <f>IF(ISBLANK('Data Entry'!$£$989), "", 'Data Entry'!$£$989)</f>
      </c>
      <c r="CV989">
        <f>IF(ISBLANK('Data Entry'!$¤$989), "", 'Data Entry'!$¤$989)</f>
      </c>
      <c r="CW989">
        <f>IF(ISBLANK('Data Entry'!$¥$989), "", 'Data Entry'!$¥$989)</f>
      </c>
      <c r="CX989">
        <f>IF(ISBLANK('Data Entry'!$¦$989), "", 'Data Entry'!$¦$989)</f>
      </c>
      <c r="CY989">
        <f>IF(ISBLANK('Data Entry'!$§$989), "", 'Data Entry'!$§$989)</f>
      </c>
      <c r="CZ989">
        <f>IF(ISBLANK('Data Entry'!$¨$989), "", 'Data Entry'!$¨$989)</f>
      </c>
      <c r="DA989">
        <f>IF(ISBLANK('Data Entry'!$©$989), "", 'Data Entry'!$©$989)</f>
      </c>
      <c r="DB989">
        <f>IF(ISBLANK('Data Entry'!$ª$989), "", 'Data Entry'!$ª$989)</f>
      </c>
      <c r="DC989">
        <f>IF(ISBLANK('Data Entry'!$«$989), "", 'Data Entry'!$«$989)</f>
      </c>
      <c r="DD989">
        <f>IF(ISBLANK('Data Entry'!$¬$989), "", 'Data Entry'!$¬$989)</f>
      </c>
      <c r="DE989">
        <f>IF(ISBLANK('Data Entry'!$­$989), "", 'Data Entry'!$­$989)</f>
      </c>
      <c r="DF989">
        <f>IF(ISBLANK('Data Entry'!$®$989), "", 'Data Entry'!$®$989)</f>
      </c>
      <c r="DG989">
        <f>IF(ISBLANK('Data Entry'!$¯$989), "", 'Data Entry'!$¯$989)</f>
      </c>
      <c r="DH989">
        <f>IF(ISBLANK('Data Entry'!$°$989), "", 'Data Entry'!$°$989)</f>
      </c>
      <c r="DI989">
        <f>IF(ISBLANK('Data Entry'!$±$989), "", 'Data Entry'!$±$989)</f>
      </c>
      <c r="DJ989">
        <f>IF(ISBLANK('Data Entry'!$²$989), "", 'Data Entry'!$²$989)</f>
      </c>
      <c r="DK989">
        <f>IF(ISBLANK('Data Entry'!$³$989), "", 'Data Entry'!$³$989)</f>
      </c>
      <c r="DL989">
        <f>IF(ISBLANK('Data Entry'!$´$989), "", 'Data Entry'!$´$989)</f>
      </c>
      <c r="DM989">
        <f>IF(ISBLANK('Data Entry'!$µ$989), "", 'Data Entry'!$µ$989)</f>
      </c>
      <c r="DN989">
        <f>IF(ISBLANK('Data Entry'!$¶$989), "", 'Data Entry'!$¶$989)</f>
      </c>
      <c r="DO989">
        <f>IF(ISBLANK('Data Entry'!$·$989), "", 'Data Entry'!$·$989)</f>
      </c>
      <c r="DP989">
        <f>IF(ISBLANK('Data Entry'!$¸$989), "", 'Data Entry'!$¸$989)</f>
      </c>
      <c r="DQ989">
        <f>IF(ISBLANK('Data Entry'!$¹$989), "", 'Data Entry'!$¹$989)</f>
      </c>
      <c r="DR989">
        <f>IF(ISBLANK('Data Entry'!$º$989), "", 'Data Entry'!$º$989)</f>
      </c>
      <c r="DS989">
        <f>IF(ISBLANK('Data Entry'!$»$989), "", 'Data Entry'!$»$989)</f>
      </c>
      <c r="DT989">
        <f>IF(ISBLANK('Data Entry'!$¼$989), "", 'Data Entry'!$¼$989)</f>
      </c>
      <c r="DU989">
        <f>IF(ISBLANK('Data Entry'!$½$989), "", 'Data Entry'!$½$989)</f>
      </c>
      <c r="DV989">
        <f>IF(ISBLANK('Data Entry'!$¾$989), "", 'Data Entry'!$¾$989)</f>
      </c>
      <c r="DW989">
        <f>IF(ISBLANK('Data Entry'!$¿$989), "", 'Data Entry'!$¿$989)</f>
      </c>
      <c r="DX989">
        <f>IF(ISBLANK('Data Entry'!$À$989), "", 'Data Entry'!$À$989)</f>
      </c>
      <c r="DY989">
        <f>IF(ISBLANK('Data Entry'!$Á$989), "", 'Data Entry'!$Á$989)</f>
      </c>
      <c r="DZ989">
        <f>IF(ISBLANK('Data Entry'!$Â$989), "", 'Data Entry'!$Â$989)</f>
      </c>
      <c r="EA989">
        <f>IF(ISBLANK('Data Entry'!$Ã$989), "", 'Data Entry'!$Ã$989)</f>
      </c>
      <c r="EB989">
        <f>IF(ISBLANK('Data Entry'!$Ä$989), "", 'Data Entry'!$Ä$989)</f>
      </c>
      <c r="EC989">
        <f>IF(ISBLANK('Data Entry'!$Å$989), "", 'Data Entry'!$Å$989)</f>
      </c>
      <c r="ED989">
        <f>IF(ISBLANK('Data Entry'!$Æ$989), "", 'Data Entry'!$Æ$989)</f>
      </c>
      <c r="EE989">
        <f>IF(ISBLANK('Data Entry'!$Ç$989), "", 'Data Entry'!$Ç$989)</f>
      </c>
      <c r="EF989">
        <f>IF(ISBLANK('Data Entry'!$È$989), "", 'Data Entry'!$È$989)</f>
      </c>
      <c r="EG989">
        <f>IF(ISBLANK('Data Entry'!$É$989), "", 'Data Entry'!$É$989)</f>
      </c>
      <c r="EH989">
        <f>IF(ISBLANK('Data Entry'!$Ê$989), "", 'Data Entry'!$Ê$989)</f>
      </c>
      <c r="EI989">
        <f>IF(ISBLANK('Data Entry'!$Ë$989), "", 'Data Entry'!$Ë$989)</f>
      </c>
      <c r="EJ989">
        <f>IF(ISBLANK('Data Entry'!$Ì$989), "", 'Data Entry'!$Ì$989)</f>
      </c>
      <c r="EK989">
        <f>IF(ISBLANK('Data Entry'!$Í$989), "", 'Data Entry'!$Í$989)</f>
      </c>
      <c r="EL989">
        <f>IF(ISBLANK('Data Entry'!$Î$989), "", 'Data Entry'!$Î$989)</f>
      </c>
      <c r="EM989">
        <f>IF(ISBLANK('Data Entry'!$Ï$989), "", 'Data Entry'!$Ï$989)</f>
      </c>
      <c r="EN989">
        <f>IF(ISBLANK('Data Entry'!$Ð$989), "", 'Data Entry'!$Ð$989)</f>
      </c>
      <c r="EO989">
        <f>IF(ISBLANK('Data Entry'!$Ñ$989), "", 'Data Entry'!$Ñ$989)</f>
      </c>
      <c r="EP989">
        <f>IF(ISBLANK('Data Entry'!$Ò$989), "", 'Data Entry'!$Ò$989)</f>
      </c>
      <c r="EQ989">
        <f>IF(ISBLANK('Data Entry'!$Ó$989), "", 'Data Entry'!$Ó$989)</f>
      </c>
      <c r="ER989">
        <f>IF(ISBLANK('Data Entry'!$Ô$989), "", 'Data Entry'!$Ô$989)</f>
      </c>
      <c r="ES989">
        <f>IF(ISBLANK('Data Entry'!$Õ$989), "", 'Data Entry'!$Õ$989)</f>
      </c>
      <c r="ET989">
        <f>IF(ISBLANK('Data Entry'!$Ö$989), "", 'Data Entry'!$Ö$989)</f>
      </c>
      <c r="EU989">
        <f>IF(ISBLANK('Data Entry'!$×$989), "", 'Data Entry'!$×$989)</f>
      </c>
      <c r="EV989">
        <f>IF(ISBLANK('Data Entry'!$Ø$989), "", 'Data Entry'!$Ø$989)</f>
      </c>
      <c r="EW989">
        <f>IF(ISBLANK('Data Entry'!$Ù$989), "", 'Data Entry'!$Ù$989)</f>
      </c>
      <c r="EX989">
        <f>IF(ISBLANK('Data Entry'!$Ú$989), "", 'Data Entry'!$Ú$989)</f>
      </c>
      <c r="EY989">
        <f>IF(ISBLANK('Data Entry'!$Û$989), "", 'Data Entry'!$Û$989)</f>
      </c>
      <c r="EZ989">
        <f>IF(ISBLANK('Data Entry'!$Ü$989), "", 'Data Entry'!$Ü$989)</f>
      </c>
      <c r="FA989">
        <f>IF(ISBLANK('Data Entry'!$Ý$989), "", 'Data Entry'!$Ý$989)</f>
      </c>
      <c r="FB989">
        <f>IF(ISBLANK('Data Entry'!$Þ$989), "", 'Data Entry'!$Þ$989)</f>
      </c>
      <c r="FC989">
        <f>IF(ISBLANK('Data Entry'!$ß$989), "", 'Data Entry'!$ß$989)</f>
      </c>
      <c r="FD989">
        <f>IF(ISBLANK('Data Entry'!$à$989), "", 'Data Entry'!$à$989)</f>
      </c>
      <c r="FE989">
        <f>IF(ISBLANK('Data Entry'!$á$989), "", 'Data Entry'!$á$989)</f>
      </c>
      <c r="FF989">
        <f>IF(ISBLANK('Data Entry'!$â$989), "", 'Data Entry'!$â$989)</f>
      </c>
      <c r="FG989">
        <f>IF(ISBLANK('Data Entry'!$ã$989), "", 'Data Entry'!$ã$989)</f>
      </c>
      <c r="FH989">
        <f>IF(ISBLANK('Data Entry'!$ä$989), "", 'Data Entry'!$ä$989)</f>
      </c>
      <c r="FI989">
        <f>IF(ISBLANK('Data Entry'!$å$989), "", 'Data Entry'!$å$989)</f>
      </c>
      <c r="FJ989">
        <f>IF(ISBLANK('Data Entry'!$æ$989), "", 'Data Entry'!$æ$989)</f>
      </c>
      <c r="FK989">
        <f>IF(ISBLANK('Data Entry'!$ç$989), "", 'Data Entry'!$ç$989)</f>
      </c>
      <c r="FL989">
        <f>IF(ISBLANK('Data Entry'!$è$989), "", 'Data Entry'!$è$989)</f>
      </c>
      <c r="FM989">
        <f>IF(ISBLANK('Data Entry'!$é$989), "", 'Data Entry'!$é$989)</f>
      </c>
      <c r="FN989">
        <f>IF(ISBLANK('Data Entry'!$ê$989), "", 'Data Entry'!$ê$989)</f>
      </c>
      <c r="FO989">
        <f>IF(ISBLANK('Data Entry'!$ë$989), "", 'Data Entry'!$ë$989)</f>
      </c>
      <c r="FP989">
        <f>IF(ISBLANK('Data Entry'!$ì$989), "", 'Data Entry'!$ì$989)</f>
      </c>
      <c r="FQ989">
        <f>IF(ISBLANK('Data Entry'!$í$989), "", 'Data Entry'!$í$989)</f>
      </c>
      <c r="FR989">
        <f>IF(ISBLANK('Data Entry'!$î$989), "", 'Data Entry'!$î$989)</f>
      </c>
      <c r="FS989">
        <f>IF(ISBLANK('Data Entry'!$ï$989), "", 'Data Entry'!$ï$989)</f>
      </c>
      <c r="FT989">
        <f>IF(ISBLANK('Data Entry'!$ð$989), "", 'Data Entry'!$ð$989)</f>
      </c>
      <c r="FU989">
        <f>IF(ISBLANK('Data Entry'!$ñ$989), "", 'Data Entry'!$ñ$989)</f>
      </c>
      <c r="FV989">
        <f>IF(ISBLANK('Data Entry'!$ò$989), "", 'Data Entry'!$ò$989)</f>
      </c>
      <c r="FW989">
        <f>IF(ISBLANK('Data Entry'!$ó$989), "", 'Data Entry'!$ó$989)</f>
      </c>
      <c r="FX989">
        <f>IF(ISBLANK('Data Entry'!$ô$989), "", 'Data Entry'!$ô$989)</f>
      </c>
      <c r="FY989">
        <f>IF(ISBLANK('Data Entry'!$õ$989), "", 'Data Entry'!$õ$989)</f>
      </c>
      <c r="FZ989">
        <f>IF(ISBLANK('Data Entry'!$ö$989), "", 'Data Entry'!$ö$989)</f>
      </c>
      <c r="GA989">
        <f>IF(ISBLANK('Data Entry'!$÷$989), "", 'Data Entry'!$÷$989)</f>
      </c>
      <c r="GB989">
        <f>IF(ISBLANK('Data Entry'!$ø$989), "", 'Data Entry'!$ø$989)</f>
      </c>
      <c r="GC989">
        <f>IF(ISBLANK('Data Entry'!$ù$989), "", 'Data Entry'!$ù$989)</f>
      </c>
      <c r="GD989">
        <f>IF(ISBLANK('Data Entry'!$ú$989), "", 'Data Entry'!$ú$989)</f>
      </c>
      <c r="GE989">
        <f>IF(ISBLANK('Data Entry'!$û$989), "", 'Data Entry'!$û$989)</f>
      </c>
      <c r="GF989">
        <f>IF(ISBLANK('Data Entry'!$ü$989), "", 'Data Entry'!$ü$989)</f>
      </c>
      <c r="GG989">
        <f>IF(ISBLANK('Data Entry'!$ý$989), "", 'Data Entry'!$ý$989)</f>
      </c>
      <c r="GH989">
        <f>IF(ISBLANK('Data Entry'!$þ$989), "", 'Data Entry'!$þ$989)</f>
      </c>
      <c r="GI989">
        <f>IF(ISBLANK('Data Entry'!$ÿ$989), "", 'Data Entry'!$ÿ$989)</f>
      </c>
      <c r="GJ989">
        <f>IF(ISBLANK('Data Entry'!$Ā$989), "", 'Data Entry'!$Ā$989)</f>
      </c>
      <c r="GK989">
        <f>IF(ISBLANK('Data Entry'!$ā$989), "", 'Data Entry'!$ā$989)</f>
      </c>
      <c r="GL989">
        <f>IF(ISBLANK('Data Entry'!$Ă$989), "", 'Data Entry'!$Ă$989)</f>
      </c>
      <c r="GM989">
        <f>IF(ISBLANK('Data Entry'!$ă$989), "", 'Data Entry'!$ă$989)</f>
      </c>
      <c r="GN989">
        <f>IF(ISBLANK('Data Entry'!$Ą$989), "", 'Data Entry'!$Ą$989)</f>
      </c>
      <c r="GO989">
        <f>IF(ISBLANK('Data Entry'!$ą$989), "", 'Data Entry'!$ą$989)</f>
      </c>
      <c r="GP989">
        <f>IF(ISBLANK('Data Entry'!$Ć$989), "", 'Data Entry'!$Ć$989)</f>
      </c>
      <c r="GQ989">
        <f>IF(ISBLANK('Data Entry'!$ć$989), "", 'Data Entry'!$ć$989)</f>
      </c>
      <c r="GR989">
        <f>IF(ISBLANK('Data Entry'!$Ĉ$989), "", 'Data Entry'!$Ĉ$989)</f>
      </c>
      <c r="GS989">
        <f>IF(ISBLANK('Data Entry'!$ĉ$989), "", 'Data Entry'!$ĉ$989)</f>
      </c>
      <c r="GT989">
        <f>IF(ISBLANK('Data Entry'!$Ċ$989), "", 'Data Entry'!$Ċ$989)</f>
      </c>
      <c r="GU989">
        <f>IF(ISBLANK('Data Entry'!$ċ$989), "", 'Data Entry'!$ċ$989)</f>
      </c>
      <c r="GV989">
        <f>IF(ISBLANK('Data Entry'!$Č$989), "", 'Data Entry'!$Č$989)</f>
      </c>
      <c r="GW989">
        <f>IF(ISBLANK('Data Entry'!$č$989), "", 'Data Entry'!$č$989)</f>
      </c>
      <c r="GX989">
        <f>IF(ISBLANK('Data Entry'!$Ď$989), "", 'Data Entry'!$Ď$989)</f>
      </c>
      <c r="GY989">
        <f>IF(ISBLANK('Data Entry'!$ď$989), "", 'Data Entry'!$ď$989)</f>
      </c>
      <c r="GZ989">
        <f>IF(ISBLANK('Data Entry'!$Đ$989), "", 'Data Entry'!$Đ$989)</f>
      </c>
      <c r="HA989">
        <f>IF(ISBLANK('Data Entry'!$đ$989), "", 'Data Entry'!$đ$989)</f>
      </c>
      <c r="HB989">
        <f>IF(ISBLANK('Data Entry'!$Ē$989), "", 'Data Entry'!$Ē$989)</f>
      </c>
      <c r="HC989">
        <f>IF(ISBLANK('Data Entry'!$ē$989), "", 'Data Entry'!$ē$989)</f>
      </c>
      <c r="HD989">
        <f>IF(ISBLANK('Data Entry'!$Ĕ$989), "", 'Data Entry'!$Ĕ$989)</f>
      </c>
      <c r="HE989">
        <f>IF(ISBLANK('Data Entry'!$ĕ$989), "", 'Data Entry'!$ĕ$989)</f>
      </c>
      <c r="HF989">
        <f>IF(ISBLANK('Data Entry'!$Ė$989), "", 'Data Entry'!$Ė$989)</f>
      </c>
      <c r="HG989">
        <f>IF(ISBLANK('Data Entry'!$ė$989), "", 'Data Entry'!$ė$989)</f>
      </c>
      <c r="HH989">
        <f>IF(ISBLANK('Data Entry'!$Ę$989), "", 'Data Entry'!$Ę$989)</f>
      </c>
      <c r="HI989">
        <f>IF(ISBLANK('Data Entry'!$ę$989), "", 'Data Entry'!$ę$989)</f>
      </c>
      <c r="HJ989">
        <f>IF(ISBLANK('Data Entry'!$Ě$989), "", 'Data Entry'!$Ě$989)</f>
      </c>
      <c r="HK989">
        <f>IF(ISBLANK('Data Entry'!$ě$989), "", 'Data Entry'!$ě$989)</f>
      </c>
      <c r="HL989">
        <f>IF(ISBLANK('Data Entry'!$Ĝ$989), "", 'Data Entry'!$Ĝ$989)</f>
      </c>
      <c r="HM989">
        <f>IF(ISBLANK('Data Entry'!$ĝ$989), "", 'Data Entry'!$ĝ$989)</f>
      </c>
      <c r="HN989">
        <f>IF(ISBLANK('Data Entry'!$Ğ$989), "", 'Data Entry'!$Ğ$989)</f>
      </c>
      <c r="HO989">
        <f>IF(ISBLANK('Data Entry'!$ğ$989), "", 'Data Entry'!$ğ$989)</f>
      </c>
      <c r="HP989">
        <f>IF(ISBLANK('Data Entry'!$Ġ$989), "", 'Data Entry'!$Ġ$989)</f>
      </c>
      <c r="HQ989">
        <f>IF(ISBLANK('Data Entry'!$ġ$989), "", 'Data Entry'!$ġ$989)</f>
      </c>
      <c r="HR989">
        <f>IF(ISBLANK('Data Entry'!$Ģ$989), "", 'Data Entry'!$Ģ$989)</f>
      </c>
      <c r="HS989">
        <f>IF(ISBLANK('Data Entry'!$ģ$989), "", 'Data Entry'!$ģ$989)</f>
      </c>
      <c r="HT989">
        <f>IF(ISBLANK('Data Entry'!$Ĥ$989), "", 'Data Entry'!$Ĥ$989)</f>
      </c>
      <c r="HU989">
        <f>IF(ISBLANK('Data Entry'!$ĥ$989), "", 'Data Entry'!$ĥ$989)</f>
      </c>
      <c r="HV989">
        <f>IF(ISBLANK('Data Entry'!$Ħ$989), "", 'Data Entry'!$Ħ$989)</f>
      </c>
      <c r="HW989">
        <f>IF(ISBLANK('Data Entry'!$ħ$989), "", 'Data Entry'!$ħ$989)</f>
      </c>
      <c r="HX989">
        <f>IF(ISBLANK('Data Entry'!$Ĩ$989), "", 'Data Entry'!$Ĩ$989)</f>
      </c>
      <c r="HY989">
        <f>IF(ISBLANK('Data Entry'!$ĩ$989), "", 'Data Entry'!$ĩ$989)</f>
      </c>
      <c r="HZ989">
        <f>IF(ISBLANK('Data Entry'!$Ī$989), "", 'Data Entry'!$Ī$989)</f>
      </c>
      <c r="IA989">
        <f>IF(ISBLANK('Data Entry'!$ī$989), "", 'Data Entry'!$ī$989)</f>
      </c>
      <c r="IB989">
        <f>IF(ISBLANK('Data Entry'!$Ĭ$989), "", 'Data Entry'!$Ĭ$989)</f>
      </c>
      <c r="IC989">
        <f>IF(ISBLANK('Data Entry'!$ĭ$989), "", 'Data Entry'!$ĭ$989)</f>
      </c>
      <c r="ID989">
        <f>IF(ISBLANK('Data Entry'!$Į$989), "", 'Data Entry'!$Į$989)</f>
      </c>
      <c r="IE989">
        <f>IF(ISBLANK('Data Entry'!$į$989), "", 'Data Entry'!$į$989)</f>
      </c>
      <c r="IF989">
        <f>IF(ISBLANK('Data Entry'!$İ$989), "", 'Data Entry'!$İ$989)</f>
      </c>
      <c r="IG989">
        <f>IF(ISBLANK('Data Entry'!$ı$989), "", 'Data Entry'!$ı$989)</f>
      </c>
      <c r="IH989">
        <f>IF(ISBLANK('Data Entry'!$Ĳ$989), "", 'Data Entry'!$Ĳ$989)</f>
      </c>
      <c r="II989">
        <f>IF(ISBLANK('Data Entry'!$ĳ$989), "", 'Data Entry'!$ĳ$989)</f>
      </c>
      <c r="IJ989">
        <f>IF(ISBLANK('Data Entry'!$Ĵ$989), "", 'Data Entry'!$Ĵ$989)</f>
      </c>
      <c r="IK989">
        <f>IF(ISBLANK('Data Entry'!$ĵ$989), "", 'Data Entry'!$ĵ$989)</f>
      </c>
      <c r="IL989">
        <f>IF(ISBLANK('Data Entry'!$Ķ$989), "", 'Data Entry'!$Ķ$989)</f>
      </c>
      <c r="IM989">
        <f>IF(ISBLANK('Data Entry'!$ķ$989), "", 'Data Entry'!$ķ$989)</f>
      </c>
      <c r="IN989">
        <f>IF(ISBLANK('Data Entry'!$ĸ$989), "", 'Data Entry'!$ĸ$989)</f>
      </c>
      <c r="IO989">
        <f>IF(ISBLANK('Data Entry'!$Ĺ$989), "", 'Data Entry'!$Ĺ$989)</f>
      </c>
      <c r="IP989">
        <f>IF(ISBLANK('Data Entry'!$ĺ$989), "", 'Data Entry'!$ĺ$989)</f>
      </c>
      <c r="IQ989">
        <f>IF(ISBLANK('Data Entry'!$Ļ$989), "", 'Data Entry'!$Ļ$989)</f>
      </c>
      <c r="IR989">
        <f>IF(ISBLANK('Data Entry'!$ļ$989), "", 'Data Entry'!$ļ$989)</f>
      </c>
      <c r="IS989">
        <f>IF(ISBLANK('Data Entry'!$Ľ$989), "", 'Data Entry'!$Ľ$989)</f>
      </c>
      <c r="IT989">
        <f>IF(ISBLANK('Data Entry'!$ľ$989), "", 'Data Entry'!$ľ$989)</f>
      </c>
    </row>
    <row r="990" spans="1:254" x14ac:dyDescent="0.25">
      <c r="A990">
        <f>IF(ISBLANK('Data Entry'!$A$990), "", 'Data Entry'!$A$990)</f>
      </c>
      <c r="B990">
        <f>IF(ISBLANK('Data Entry'!$B$990), "", 'Data Entry'!$B$990)</f>
      </c>
      <c r="C990">
        <f>IF(ISBLANK('Data Entry'!$C$990), "", 'Data Entry'!$C$990)</f>
      </c>
      <c r="D990">
        <f>IF(ISBLANK('Data Entry'!$D$990), "", 'Data Entry'!$D$990)</f>
      </c>
      <c r="E990">
        <f>IF(ISBLANK('Data Entry'!$E$990), "", 'Data Entry'!$E$990)</f>
      </c>
      <c r="F990">
        <f>IF(ISBLANK('Data Entry'!$F$990), "", 'Data Entry'!$F$990)</f>
      </c>
      <c r="G990">
        <f>IF(ISBLANK('Data Entry'!$G$990), "", 'Data Entry'!$G$990)</f>
      </c>
      <c r="H990">
        <f>IF(ISBLANK('Data Entry'!$H$990), "", 'Data Entry'!$H$990)</f>
      </c>
      <c r="I990">
        <f>IF(ISBLANK('Data Entry'!$I$990), "", 'Data Entry'!$I$990)</f>
      </c>
      <c r="J990">
        <f>IF(ISBLANK('Data Entry'!$J$990), "", 'Data Entry'!$J$990)</f>
      </c>
      <c r="K990">
        <f>IF(ISBLANK('Data Entry'!$K$990), "", 'Data Entry'!$K$990)</f>
      </c>
      <c r="L990">
        <f>IF(ISBLANK('Data Entry'!$L$990), "", 'Data Entry'!$L$990)</f>
      </c>
      <c r="M990">
        <f>IF(ISBLANK('Data Entry'!$M$990), "", 'Data Entry'!$M$990)</f>
      </c>
      <c r="N990">
        <f>IF(ISBLANK('Data Entry'!$N$990), "", 'Data Entry'!$N$990)</f>
      </c>
      <c r="O990">
        <f>IF(ISBLANK('Data Entry'!$O$990), "", 'Data Entry'!$O$990)</f>
      </c>
      <c r="P990">
        <f>IF(ISBLANK('Data Entry'!$P$990), "", 'Data Entry'!$P$990)</f>
      </c>
      <c r="Q990">
        <f>IF(ISBLANK('Data Entry'!$Q$990), "", 'Data Entry'!$Q$990)</f>
      </c>
      <c r="R990">
        <f>IF(ISBLANK('Data Entry'!$R$990), "", 'Data Entry'!$R$990)</f>
      </c>
      <c r="S990">
        <f>IF(ISBLANK('Data Entry'!$S$990), "", 'Data Entry'!$S$990)</f>
      </c>
      <c r="T990">
        <f>IF(ISBLANK('Data Entry'!$T$990), "", 'Data Entry'!$T$990)</f>
      </c>
      <c r="U990">
        <f>IF(ISBLANK('Data Entry'!$U$990), "", 'Data Entry'!$U$990)</f>
      </c>
      <c r="V990">
        <f>IF(ISBLANK('Data Entry'!$V$990), "", 'Data Entry'!$V$990)</f>
      </c>
      <c r="W990">
        <f>IF(ISBLANK('Data Entry'!$W$990), "", 'Data Entry'!$W$990)</f>
      </c>
      <c r="X990">
        <f>IF(ISBLANK('Data Entry'!$X$990), "", 'Data Entry'!$X$990)</f>
      </c>
      <c r="Y990">
        <f>IF(ISBLANK('Data Entry'!$Y$990), "", 'Data Entry'!$Y$990)</f>
      </c>
      <c r="Z990">
        <f>IF(ISBLANK('Data Entry'!$Z$990), "", 'Data Entry'!$Z$990)</f>
      </c>
      <c r="AA990">
        <f>IF(ISBLANK('Data Entry'!$[$990), "", 'Data Entry'!$[$990)</f>
      </c>
      <c r="AB990">
        <f>IF(ISBLANK('Data Entry'!$\$990), "", 'Data Entry'!$\$990)</f>
      </c>
      <c r="AC990">
        <f>IF(ISBLANK('Data Entry'!$]$990), "", 'Data Entry'!$]$990)</f>
      </c>
      <c r="AD990">
        <f>IF(ISBLANK('Data Entry'!$^$990), "", 'Data Entry'!$^$990)</f>
      </c>
      <c r="AE990">
        <f>IF(ISBLANK('Data Entry'!$_$990), "", 'Data Entry'!$_$990)</f>
      </c>
      <c r="AF990">
        <f>IF(ISBLANK('Data Entry'!$`$990), "", 'Data Entry'!$`$990)</f>
      </c>
      <c r="AG990">
        <f>IF(ISBLANK('Data Entry'!$a$990), "", 'Data Entry'!$a$990)</f>
      </c>
      <c r="AH990">
        <f>IF(ISBLANK('Data Entry'!$b$990), "", 'Data Entry'!$b$990)</f>
      </c>
      <c r="AI990">
        <f>IF(ISBLANK('Data Entry'!$c$990), "", 'Data Entry'!$c$990)</f>
      </c>
      <c r="AJ990">
        <f>IF(ISBLANK('Data Entry'!$d$990), "", 'Data Entry'!$d$990)</f>
      </c>
      <c r="AK990">
        <f>IF(ISBLANK('Data Entry'!$e$990), "", 'Data Entry'!$e$990)</f>
      </c>
      <c r="AL990">
        <f>IF(ISBLANK('Data Entry'!$f$990), "", 'Data Entry'!$f$990)</f>
      </c>
      <c r="AM990">
        <f>IF(ISBLANK('Data Entry'!$g$990), "", 'Data Entry'!$g$990)</f>
      </c>
      <c r="AN990">
        <f>IF(ISBLANK('Data Entry'!$h$990), "", 'Data Entry'!$h$990)</f>
      </c>
      <c r="AO990">
        <f>IF(ISBLANK('Data Entry'!$i$990), "", 'Data Entry'!$i$990)</f>
      </c>
      <c r="AP990">
        <f>IF(ISBLANK('Data Entry'!$j$990), "", 'Data Entry'!$j$990)</f>
      </c>
      <c r="AQ990">
        <f>IF(ISBLANK('Data Entry'!$k$990), "", 'Data Entry'!$k$990)</f>
      </c>
      <c r="AR990">
        <f>IF(ISBLANK('Data Entry'!$l$990), "", 'Data Entry'!$l$990)</f>
      </c>
      <c r="AS990">
        <f>IF(ISBLANK('Data Entry'!$m$990), "", 'Data Entry'!$m$990)</f>
      </c>
      <c r="AT990">
        <f>IF(ISBLANK('Data Entry'!$n$990), "", 'Data Entry'!$n$990)</f>
      </c>
      <c r="AU990">
        <f>IF(ISBLANK('Data Entry'!$o$990), "", 'Data Entry'!$o$990)</f>
      </c>
      <c r="AV990">
        <f>IF(ISBLANK('Data Entry'!$p$990), "", 'Data Entry'!$p$990)</f>
      </c>
      <c r="AW990">
        <f>IF(ISBLANK('Data Entry'!$q$990), "", 'Data Entry'!$q$990)</f>
      </c>
      <c r="AX990">
        <f>IF(ISBLANK('Data Entry'!$r$990), "", 'Data Entry'!$r$990)</f>
      </c>
      <c r="AY990">
        <f>IF(ISBLANK('Data Entry'!$s$990), "", 'Data Entry'!$s$990)</f>
      </c>
      <c r="AZ990">
        <f>IF(ISBLANK('Data Entry'!$t$990), "", 'Data Entry'!$t$990)</f>
      </c>
      <c r="BA990">
        <f>IF(ISBLANK('Data Entry'!$u$990), "", 'Data Entry'!$u$990)</f>
      </c>
      <c r="BB990">
        <f>IF(ISBLANK('Data Entry'!$v$990), "", 'Data Entry'!$v$990)</f>
      </c>
      <c r="BC990">
        <f>IF(ISBLANK('Data Entry'!$w$990), "", 'Data Entry'!$w$990)</f>
      </c>
      <c r="BD990">
        <f>IF(ISBLANK('Data Entry'!$x$990), "", 'Data Entry'!$x$990)</f>
      </c>
      <c r="BE990">
        <f>IF(ISBLANK('Data Entry'!$y$990), "", 'Data Entry'!$y$990)</f>
      </c>
      <c r="BF990">
        <f>IF(ISBLANK('Data Entry'!$z$990), "", 'Data Entry'!$z$990)</f>
      </c>
      <c r="BG990">
        <f>IF(ISBLANK('Data Entry'!${$990), "", 'Data Entry'!${$990)</f>
      </c>
      <c r="BH990">
        <f>IF(ISBLANK('Data Entry'!$|$990), "", 'Data Entry'!$|$990)</f>
      </c>
      <c r="BI990">
        <f>IF(ISBLANK('Data Entry'!$}$990), "", 'Data Entry'!$}$990)</f>
      </c>
      <c r="BJ990">
        <f>IF(ISBLANK('Data Entry'!$~$990), "", 'Data Entry'!$~$990)</f>
      </c>
      <c r="BK990">
        <f>IF(ISBLANK('Data Entry'!$$990), "", 'Data Entry'!$$990)</f>
      </c>
      <c r="BL990">
        <f>IF(ISBLANK('Data Entry'!$$990), "", 'Data Entry'!$$990)</f>
      </c>
      <c r="BM990">
        <f>IF(ISBLANK('Data Entry'!$$990), "", 'Data Entry'!$$990)</f>
      </c>
      <c r="BN990">
        <f>IF(ISBLANK('Data Entry'!$$990), "", 'Data Entry'!$$990)</f>
      </c>
      <c r="BO990">
        <f>IF(ISBLANK('Data Entry'!$$990), "", 'Data Entry'!$$990)</f>
      </c>
      <c r="BP990">
        <f>IF(ISBLANK('Data Entry'!$$990), "", 'Data Entry'!$$990)</f>
      </c>
      <c r="BQ990">
        <f>IF(ISBLANK('Data Entry'!$$990), "", 'Data Entry'!$$990)</f>
      </c>
      <c r="BR990">
        <f>IF(ISBLANK('Data Entry'!$$990), "", 'Data Entry'!$$990)</f>
      </c>
      <c r="BS990">
        <f>IF(ISBLANK('Data Entry'!$$990), "", 'Data Entry'!$$990)</f>
      </c>
      <c r="BT990">
        <f>IF(ISBLANK('Data Entry'!$$990), "", 'Data Entry'!$$990)</f>
      </c>
      <c r="BU990">
        <f>IF(ISBLANK('Data Entry'!$$990), "", 'Data Entry'!$$990)</f>
      </c>
      <c r="BV990">
        <f>IF(ISBLANK('Data Entry'!$$990), "", 'Data Entry'!$$990)</f>
      </c>
      <c r="BW990">
        <f>IF(ISBLANK('Data Entry'!$$990), "", 'Data Entry'!$$990)</f>
      </c>
      <c r="BX990">
        <f>IF(ISBLANK('Data Entry'!$$990), "", 'Data Entry'!$$990)</f>
      </c>
      <c r="BY990">
        <f>IF(ISBLANK('Data Entry'!$$990), "", 'Data Entry'!$$990)</f>
      </c>
      <c r="BZ990">
        <f>IF(ISBLANK('Data Entry'!$$990), "", 'Data Entry'!$$990)</f>
      </c>
      <c r="CA990">
        <f>IF(ISBLANK('Data Entry'!$$990), "", 'Data Entry'!$$990)</f>
      </c>
      <c r="CB990">
        <f>IF(ISBLANK('Data Entry'!$$990), "", 'Data Entry'!$$990)</f>
      </c>
      <c r="CC990">
        <f>IF(ISBLANK('Data Entry'!$$990), "", 'Data Entry'!$$990)</f>
      </c>
      <c r="CD990">
        <f>IF(ISBLANK('Data Entry'!$$990), "", 'Data Entry'!$$990)</f>
      </c>
      <c r="CE990">
        <f>IF(ISBLANK('Data Entry'!$$990), "", 'Data Entry'!$$990)</f>
      </c>
      <c r="CF990">
        <f>IF(ISBLANK('Data Entry'!$$990), "", 'Data Entry'!$$990)</f>
      </c>
      <c r="CG990">
        <f>IF(ISBLANK('Data Entry'!$$990), "", 'Data Entry'!$$990)</f>
      </c>
      <c r="CH990">
        <f>IF(ISBLANK('Data Entry'!$$990), "", 'Data Entry'!$$990)</f>
      </c>
      <c r="CI990">
        <f>IF(ISBLANK('Data Entry'!$$990), "", 'Data Entry'!$$990)</f>
      </c>
      <c r="CJ990">
        <f>IF(ISBLANK('Data Entry'!$$990), "", 'Data Entry'!$$990)</f>
      </c>
      <c r="CK990">
        <f>IF(ISBLANK('Data Entry'!$$990), "", 'Data Entry'!$$990)</f>
      </c>
      <c r="CL990">
        <f>IF(ISBLANK('Data Entry'!$$990), "", 'Data Entry'!$$990)</f>
      </c>
      <c r="CM990">
        <f>IF(ISBLANK('Data Entry'!$$990), "", 'Data Entry'!$$990)</f>
      </c>
      <c r="CN990">
        <f>IF(ISBLANK('Data Entry'!$$990), "", 'Data Entry'!$$990)</f>
      </c>
      <c r="CO990">
        <f>IF(ISBLANK('Data Entry'!$$990), "", 'Data Entry'!$$990)</f>
      </c>
      <c r="CP990">
        <f>IF(ISBLANK('Data Entry'!$$990), "", 'Data Entry'!$$990)</f>
      </c>
      <c r="CQ990">
        <f>IF(ISBLANK('Data Entry'!$$990), "", 'Data Entry'!$$990)</f>
      </c>
      <c r="CR990">
        <f>IF(ISBLANK('Data Entry'!$ $990), "", 'Data Entry'!$ $990)</f>
      </c>
      <c r="CS990">
        <f>IF(ISBLANK('Data Entry'!$¡$990), "", 'Data Entry'!$¡$990)</f>
      </c>
      <c r="CT990">
        <f>IF(ISBLANK('Data Entry'!$¢$990), "", 'Data Entry'!$¢$990)</f>
      </c>
      <c r="CU990">
        <f>IF(ISBLANK('Data Entry'!$£$990), "", 'Data Entry'!$£$990)</f>
      </c>
      <c r="CV990">
        <f>IF(ISBLANK('Data Entry'!$¤$990), "", 'Data Entry'!$¤$990)</f>
      </c>
      <c r="CW990">
        <f>IF(ISBLANK('Data Entry'!$¥$990), "", 'Data Entry'!$¥$990)</f>
      </c>
      <c r="CX990">
        <f>IF(ISBLANK('Data Entry'!$¦$990), "", 'Data Entry'!$¦$990)</f>
      </c>
      <c r="CY990">
        <f>IF(ISBLANK('Data Entry'!$§$990), "", 'Data Entry'!$§$990)</f>
      </c>
      <c r="CZ990">
        <f>IF(ISBLANK('Data Entry'!$¨$990), "", 'Data Entry'!$¨$990)</f>
      </c>
      <c r="DA990">
        <f>IF(ISBLANK('Data Entry'!$©$990), "", 'Data Entry'!$©$990)</f>
      </c>
      <c r="DB990">
        <f>IF(ISBLANK('Data Entry'!$ª$990), "", 'Data Entry'!$ª$990)</f>
      </c>
      <c r="DC990">
        <f>IF(ISBLANK('Data Entry'!$«$990), "", 'Data Entry'!$«$990)</f>
      </c>
      <c r="DD990">
        <f>IF(ISBLANK('Data Entry'!$¬$990), "", 'Data Entry'!$¬$990)</f>
      </c>
      <c r="DE990">
        <f>IF(ISBLANK('Data Entry'!$­$990), "", 'Data Entry'!$­$990)</f>
      </c>
      <c r="DF990">
        <f>IF(ISBLANK('Data Entry'!$®$990), "", 'Data Entry'!$®$990)</f>
      </c>
      <c r="DG990">
        <f>IF(ISBLANK('Data Entry'!$¯$990), "", 'Data Entry'!$¯$990)</f>
      </c>
      <c r="DH990">
        <f>IF(ISBLANK('Data Entry'!$°$990), "", 'Data Entry'!$°$990)</f>
      </c>
      <c r="DI990">
        <f>IF(ISBLANK('Data Entry'!$±$990), "", 'Data Entry'!$±$990)</f>
      </c>
      <c r="DJ990">
        <f>IF(ISBLANK('Data Entry'!$²$990), "", 'Data Entry'!$²$990)</f>
      </c>
      <c r="DK990">
        <f>IF(ISBLANK('Data Entry'!$³$990), "", 'Data Entry'!$³$990)</f>
      </c>
      <c r="DL990">
        <f>IF(ISBLANK('Data Entry'!$´$990), "", 'Data Entry'!$´$990)</f>
      </c>
      <c r="DM990">
        <f>IF(ISBLANK('Data Entry'!$µ$990), "", 'Data Entry'!$µ$990)</f>
      </c>
      <c r="DN990">
        <f>IF(ISBLANK('Data Entry'!$¶$990), "", 'Data Entry'!$¶$990)</f>
      </c>
      <c r="DO990">
        <f>IF(ISBLANK('Data Entry'!$·$990), "", 'Data Entry'!$·$990)</f>
      </c>
      <c r="DP990">
        <f>IF(ISBLANK('Data Entry'!$¸$990), "", 'Data Entry'!$¸$990)</f>
      </c>
      <c r="DQ990">
        <f>IF(ISBLANK('Data Entry'!$¹$990), "", 'Data Entry'!$¹$990)</f>
      </c>
      <c r="DR990">
        <f>IF(ISBLANK('Data Entry'!$º$990), "", 'Data Entry'!$º$990)</f>
      </c>
      <c r="DS990">
        <f>IF(ISBLANK('Data Entry'!$»$990), "", 'Data Entry'!$»$990)</f>
      </c>
      <c r="DT990">
        <f>IF(ISBLANK('Data Entry'!$¼$990), "", 'Data Entry'!$¼$990)</f>
      </c>
      <c r="DU990">
        <f>IF(ISBLANK('Data Entry'!$½$990), "", 'Data Entry'!$½$990)</f>
      </c>
      <c r="DV990">
        <f>IF(ISBLANK('Data Entry'!$¾$990), "", 'Data Entry'!$¾$990)</f>
      </c>
      <c r="DW990">
        <f>IF(ISBLANK('Data Entry'!$¿$990), "", 'Data Entry'!$¿$990)</f>
      </c>
      <c r="DX990">
        <f>IF(ISBLANK('Data Entry'!$À$990), "", 'Data Entry'!$À$990)</f>
      </c>
      <c r="DY990">
        <f>IF(ISBLANK('Data Entry'!$Á$990), "", 'Data Entry'!$Á$990)</f>
      </c>
      <c r="DZ990">
        <f>IF(ISBLANK('Data Entry'!$Â$990), "", 'Data Entry'!$Â$990)</f>
      </c>
      <c r="EA990">
        <f>IF(ISBLANK('Data Entry'!$Ã$990), "", 'Data Entry'!$Ã$990)</f>
      </c>
      <c r="EB990">
        <f>IF(ISBLANK('Data Entry'!$Ä$990), "", 'Data Entry'!$Ä$990)</f>
      </c>
      <c r="EC990">
        <f>IF(ISBLANK('Data Entry'!$Å$990), "", 'Data Entry'!$Å$990)</f>
      </c>
      <c r="ED990">
        <f>IF(ISBLANK('Data Entry'!$Æ$990), "", 'Data Entry'!$Æ$990)</f>
      </c>
      <c r="EE990">
        <f>IF(ISBLANK('Data Entry'!$Ç$990), "", 'Data Entry'!$Ç$990)</f>
      </c>
      <c r="EF990">
        <f>IF(ISBLANK('Data Entry'!$È$990), "", 'Data Entry'!$È$990)</f>
      </c>
      <c r="EG990">
        <f>IF(ISBLANK('Data Entry'!$É$990), "", 'Data Entry'!$É$990)</f>
      </c>
      <c r="EH990">
        <f>IF(ISBLANK('Data Entry'!$Ê$990), "", 'Data Entry'!$Ê$990)</f>
      </c>
      <c r="EI990">
        <f>IF(ISBLANK('Data Entry'!$Ë$990), "", 'Data Entry'!$Ë$990)</f>
      </c>
      <c r="EJ990">
        <f>IF(ISBLANK('Data Entry'!$Ì$990), "", 'Data Entry'!$Ì$990)</f>
      </c>
      <c r="EK990">
        <f>IF(ISBLANK('Data Entry'!$Í$990), "", 'Data Entry'!$Í$990)</f>
      </c>
      <c r="EL990">
        <f>IF(ISBLANK('Data Entry'!$Î$990), "", 'Data Entry'!$Î$990)</f>
      </c>
      <c r="EM990">
        <f>IF(ISBLANK('Data Entry'!$Ï$990), "", 'Data Entry'!$Ï$990)</f>
      </c>
      <c r="EN990">
        <f>IF(ISBLANK('Data Entry'!$Ð$990), "", 'Data Entry'!$Ð$990)</f>
      </c>
      <c r="EO990">
        <f>IF(ISBLANK('Data Entry'!$Ñ$990), "", 'Data Entry'!$Ñ$990)</f>
      </c>
      <c r="EP990">
        <f>IF(ISBLANK('Data Entry'!$Ò$990), "", 'Data Entry'!$Ò$990)</f>
      </c>
      <c r="EQ990">
        <f>IF(ISBLANK('Data Entry'!$Ó$990), "", 'Data Entry'!$Ó$990)</f>
      </c>
      <c r="ER990">
        <f>IF(ISBLANK('Data Entry'!$Ô$990), "", 'Data Entry'!$Ô$990)</f>
      </c>
      <c r="ES990">
        <f>IF(ISBLANK('Data Entry'!$Õ$990), "", 'Data Entry'!$Õ$990)</f>
      </c>
      <c r="ET990">
        <f>IF(ISBLANK('Data Entry'!$Ö$990), "", 'Data Entry'!$Ö$990)</f>
      </c>
      <c r="EU990">
        <f>IF(ISBLANK('Data Entry'!$×$990), "", 'Data Entry'!$×$990)</f>
      </c>
      <c r="EV990">
        <f>IF(ISBLANK('Data Entry'!$Ø$990), "", 'Data Entry'!$Ø$990)</f>
      </c>
      <c r="EW990">
        <f>IF(ISBLANK('Data Entry'!$Ù$990), "", 'Data Entry'!$Ù$990)</f>
      </c>
      <c r="EX990">
        <f>IF(ISBLANK('Data Entry'!$Ú$990), "", 'Data Entry'!$Ú$990)</f>
      </c>
      <c r="EY990">
        <f>IF(ISBLANK('Data Entry'!$Û$990), "", 'Data Entry'!$Û$990)</f>
      </c>
      <c r="EZ990">
        <f>IF(ISBLANK('Data Entry'!$Ü$990), "", 'Data Entry'!$Ü$990)</f>
      </c>
      <c r="FA990">
        <f>IF(ISBLANK('Data Entry'!$Ý$990), "", 'Data Entry'!$Ý$990)</f>
      </c>
      <c r="FB990">
        <f>IF(ISBLANK('Data Entry'!$Þ$990), "", 'Data Entry'!$Þ$990)</f>
      </c>
      <c r="FC990">
        <f>IF(ISBLANK('Data Entry'!$ß$990), "", 'Data Entry'!$ß$990)</f>
      </c>
      <c r="FD990">
        <f>IF(ISBLANK('Data Entry'!$à$990), "", 'Data Entry'!$à$990)</f>
      </c>
      <c r="FE990">
        <f>IF(ISBLANK('Data Entry'!$á$990), "", 'Data Entry'!$á$990)</f>
      </c>
      <c r="FF990">
        <f>IF(ISBLANK('Data Entry'!$â$990), "", 'Data Entry'!$â$990)</f>
      </c>
      <c r="FG990">
        <f>IF(ISBLANK('Data Entry'!$ã$990), "", 'Data Entry'!$ã$990)</f>
      </c>
      <c r="FH990">
        <f>IF(ISBLANK('Data Entry'!$ä$990), "", 'Data Entry'!$ä$990)</f>
      </c>
      <c r="FI990">
        <f>IF(ISBLANK('Data Entry'!$å$990), "", 'Data Entry'!$å$990)</f>
      </c>
      <c r="FJ990">
        <f>IF(ISBLANK('Data Entry'!$æ$990), "", 'Data Entry'!$æ$990)</f>
      </c>
      <c r="FK990">
        <f>IF(ISBLANK('Data Entry'!$ç$990), "", 'Data Entry'!$ç$990)</f>
      </c>
      <c r="FL990">
        <f>IF(ISBLANK('Data Entry'!$è$990), "", 'Data Entry'!$è$990)</f>
      </c>
      <c r="FM990">
        <f>IF(ISBLANK('Data Entry'!$é$990), "", 'Data Entry'!$é$990)</f>
      </c>
      <c r="FN990">
        <f>IF(ISBLANK('Data Entry'!$ê$990), "", 'Data Entry'!$ê$990)</f>
      </c>
      <c r="FO990">
        <f>IF(ISBLANK('Data Entry'!$ë$990), "", 'Data Entry'!$ë$990)</f>
      </c>
      <c r="FP990">
        <f>IF(ISBLANK('Data Entry'!$ì$990), "", 'Data Entry'!$ì$990)</f>
      </c>
      <c r="FQ990">
        <f>IF(ISBLANK('Data Entry'!$í$990), "", 'Data Entry'!$í$990)</f>
      </c>
      <c r="FR990">
        <f>IF(ISBLANK('Data Entry'!$î$990), "", 'Data Entry'!$î$990)</f>
      </c>
      <c r="FS990">
        <f>IF(ISBLANK('Data Entry'!$ï$990), "", 'Data Entry'!$ï$990)</f>
      </c>
      <c r="FT990">
        <f>IF(ISBLANK('Data Entry'!$ð$990), "", 'Data Entry'!$ð$990)</f>
      </c>
      <c r="FU990">
        <f>IF(ISBLANK('Data Entry'!$ñ$990), "", 'Data Entry'!$ñ$990)</f>
      </c>
      <c r="FV990">
        <f>IF(ISBLANK('Data Entry'!$ò$990), "", 'Data Entry'!$ò$990)</f>
      </c>
      <c r="FW990">
        <f>IF(ISBLANK('Data Entry'!$ó$990), "", 'Data Entry'!$ó$990)</f>
      </c>
      <c r="FX990">
        <f>IF(ISBLANK('Data Entry'!$ô$990), "", 'Data Entry'!$ô$990)</f>
      </c>
      <c r="FY990">
        <f>IF(ISBLANK('Data Entry'!$õ$990), "", 'Data Entry'!$õ$990)</f>
      </c>
      <c r="FZ990">
        <f>IF(ISBLANK('Data Entry'!$ö$990), "", 'Data Entry'!$ö$990)</f>
      </c>
      <c r="GA990">
        <f>IF(ISBLANK('Data Entry'!$÷$990), "", 'Data Entry'!$÷$990)</f>
      </c>
      <c r="GB990">
        <f>IF(ISBLANK('Data Entry'!$ø$990), "", 'Data Entry'!$ø$990)</f>
      </c>
      <c r="GC990">
        <f>IF(ISBLANK('Data Entry'!$ù$990), "", 'Data Entry'!$ù$990)</f>
      </c>
      <c r="GD990">
        <f>IF(ISBLANK('Data Entry'!$ú$990), "", 'Data Entry'!$ú$990)</f>
      </c>
      <c r="GE990">
        <f>IF(ISBLANK('Data Entry'!$û$990), "", 'Data Entry'!$û$990)</f>
      </c>
      <c r="GF990">
        <f>IF(ISBLANK('Data Entry'!$ü$990), "", 'Data Entry'!$ü$990)</f>
      </c>
      <c r="GG990">
        <f>IF(ISBLANK('Data Entry'!$ý$990), "", 'Data Entry'!$ý$990)</f>
      </c>
      <c r="GH990">
        <f>IF(ISBLANK('Data Entry'!$þ$990), "", 'Data Entry'!$þ$990)</f>
      </c>
      <c r="GI990">
        <f>IF(ISBLANK('Data Entry'!$ÿ$990), "", 'Data Entry'!$ÿ$990)</f>
      </c>
      <c r="GJ990">
        <f>IF(ISBLANK('Data Entry'!$Ā$990), "", 'Data Entry'!$Ā$990)</f>
      </c>
      <c r="GK990">
        <f>IF(ISBLANK('Data Entry'!$ā$990), "", 'Data Entry'!$ā$990)</f>
      </c>
      <c r="GL990">
        <f>IF(ISBLANK('Data Entry'!$Ă$990), "", 'Data Entry'!$Ă$990)</f>
      </c>
      <c r="GM990">
        <f>IF(ISBLANK('Data Entry'!$ă$990), "", 'Data Entry'!$ă$990)</f>
      </c>
      <c r="GN990">
        <f>IF(ISBLANK('Data Entry'!$Ą$990), "", 'Data Entry'!$Ą$990)</f>
      </c>
      <c r="GO990">
        <f>IF(ISBLANK('Data Entry'!$ą$990), "", 'Data Entry'!$ą$990)</f>
      </c>
      <c r="GP990">
        <f>IF(ISBLANK('Data Entry'!$Ć$990), "", 'Data Entry'!$Ć$990)</f>
      </c>
      <c r="GQ990">
        <f>IF(ISBLANK('Data Entry'!$ć$990), "", 'Data Entry'!$ć$990)</f>
      </c>
      <c r="GR990">
        <f>IF(ISBLANK('Data Entry'!$Ĉ$990), "", 'Data Entry'!$Ĉ$990)</f>
      </c>
      <c r="GS990">
        <f>IF(ISBLANK('Data Entry'!$ĉ$990), "", 'Data Entry'!$ĉ$990)</f>
      </c>
      <c r="GT990">
        <f>IF(ISBLANK('Data Entry'!$Ċ$990), "", 'Data Entry'!$Ċ$990)</f>
      </c>
      <c r="GU990">
        <f>IF(ISBLANK('Data Entry'!$ċ$990), "", 'Data Entry'!$ċ$990)</f>
      </c>
      <c r="GV990">
        <f>IF(ISBLANK('Data Entry'!$Č$990), "", 'Data Entry'!$Č$990)</f>
      </c>
      <c r="GW990">
        <f>IF(ISBLANK('Data Entry'!$č$990), "", 'Data Entry'!$č$990)</f>
      </c>
      <c r="GX990">
        <f>IF(ISBLANK('Data Entry'!$Ď$990), "", 'Data Entry'!$Ď$990)</f>
      </c>
      <c r="GY990">
        <f>IF(ISBLANK('Data Entry'!$ď$990), "", 'Data Entry'!$ď$990)</f>
      </c>
      <c r="GZ990">
        <f>IF(ISBLANK('Data Entry'!$Đ$990), "", 'Data Entry'!$Đ$990)</f>
      </c>
      <c r="HA990">
        <f>IF(ISBLANK('Data Entry'!$đ$990), "", 'Data Entry'!$đ$990)</f>
      </c>
      <c r="HB990">
        <f>IF(ISBLANK('Data Entry'!$Ē$990), "", 'Data Entry'!$Ē$990)</f>
      </c>
      <c r="HC990">
        <f>IF(ISBLANK('Data Entry'!$ē$990), "", 'Data Entry'!$ē$990)</f>
      </c>
      <c r="HD990">
        <f>IF(ISBLANK('Data Entry'!$Ĕ$990), "", 'Data Entry'!$Ĕ$990)</f>
      </c>
      <c r="HE990">
        <f>IF(ISBLANK('Data Entry'!$ĕ$990), "", 'Data Entry'!$ĕ$990)</f>
      </c>
      <c r="HF990">
        <f>IF(ISBLANK('Data Entry'!$Ė$990), "", 'Data Entry'!$Ė$990)</f>
      </c>
      <c r="HG990">
        <f>IF(ISBLANK('Data Entry'!$ė$990), "", 'Data Entry'!$ė$990)</f>
      </c>
      <c r="HH990">
        <f>IF(ISBLANK('Data Entry'!$Ę$990), "", 'Data Entry'!$Ę$990)</f>
      </c>
      <c r="HI990">
        <f>IF(ISBLANK('Data Entry'!$ę$990), "", 'Data Entry'!$ę$990)</f>
      </c>
      <c r="HJ990">
        <f>IF(ISBLANK('Data Entry'!$Ě$990), "", 'Data Entry'!$Ě$990)</f>
      </c>
      <c r="HK990">
        <f>IF(ISBLANK('Data Entry'!$ě$990), "", 'Data Entry'!$ě$990)</f>
      </c>
      <c r="HL990">
        <f>IF(ISBLANK('Data Entry'!$Ĝ$990), "", 'Data Entry'!$Ĝ$990)</f>
      </c>
      <c r="HM990">
        <f>IF(ISBLANK('Data Entry'!$ĝ$990), "", 'Data Entry'!$ĝ$990)</f>
      </c>
      <c r="HN990">
        <f>IF(ISBLANK('Data Entry'!$Ğ$990), "", 'Data Entry'!$Ğ$990)</f>
      </c>
      <c r="HO990">
        <f>IF(ISBLANK('Data Entry'!$ğ$990), "", 'Data Entry'!$ğ$990)</f>
      </c>
      <c r="HP990">
        <f>IF(ISBLANK('Data Entry'!$Ġ$990), "", 'Data Entry'!$Ġ$990)</f>
      </c>
      <c r="HQ990">
        <f>IF(ISBLANK('Data Entry'!$ġ$990), "", 'Data Entry'!$ġ$990)</f>
      </c>
      <c r="HR990">
        <f>IF(ISBLANK('Data Entry'!$Ģ$990), "", 'Data Entry'!$Ģ$990)</f>
      </c>
      <c r="HS990">
        <f>IF(ISBLANK('Data Entry'!$ģ$990), "", 'Data Entry'!$ģ$990)</f>
      </c>
      <c r="HT990">
        <f>IF(ISBLANK('Data Entry'!$Ĥ$990), "", 'Data Entry'!$Ĥ$990)</f>
      </c>
      <c r="HU990">
        <f>IF(ISBLANK('Data Entry'!$ĥ$990), "", 'Data Entry'!$ĥ$990)</f>
      </c>
      <c r="HV990">
        <f>IF(ISBLANK('Data Entry'!$Ħ$990), "", 'Data Entry'!$Ħ$990)</f>
      </c>
      <c r="HW990">
        <f>IF(ISBLANK('Data Entry'!$ħ$990), "", 'Data Entry'!$ħ$990)</f>
      </c>
      <c r="HX990">
        <f>IF(ISBLANK('Data Entry'!$Ĩ$990), "", 'Data Entry'!$Ĩ$990)</f>
      </c>
      <c r="HY990">
        <f>IF(ISBLANK('Data Entry'!$ĩ$990), "", 'Data Entry'!$ĩ$990)</f>
      </c>
      <c r="HZ990">
        <f>IF(ISBLANK('Data Entry'!$Ī$990), "", 'Data Entry'!$Ī$990)</f>
      </c>
      <c r="IA990">
        <f>IF(ISBLANK('Data Entry'!$ī$990), "", 'Data Entry'!$ī$990)</f>
      </c>
      <c r="IB990">
        <f>IF(ISBLANK('Data Entry'!$Ĭ$990), "", 'Data Entry'!$Ĭ$990)</f>
      </c>
      <c r="IC990">
        <f>IF(ISBLANK('Data Entry'!$ĭ$990), "", 'Data Entry'!$ĭ$990)</f>
      </c>
      <c r="ID990">
        <f>IF(ISBLANK('Data Entry'!$Į$990), "", 'Data Entry'!$Į$990)</f>
      </c>
      <c r="IE990">
        <f>IF(ISBLANK('Data Entry'!$į$990), "", 'Data Entry'!$į$990)</f>
      </c>
      <c r="IF990">
        <f>IF(ISBLANK('Data Entry'!$İ$990), "", 'Data Entry'!$İ$990)</f>
      </c>
      <c r="IG990">
        <f>IF(ISBLANK('Data Entry'!$ı$990), "", 'Data Entry'!$ı$990)</f>
      </c>
      <c r="IH990">
        <f>IF(ISBLANK('Data Entry'!$Ĳ$990), "", 'Data Entry'!$Ĳ$990)</f>
      </c>
      <c r="II990">
        <f>IF(ISBLANK('Data Entry'!$ĳ$990), "", 'Data Entry'!$ĳ$990)</f>
      </c>
      <c r="IJ990">
        <f>IF(ISBLANK('Data Entry'!$Ĵ$990), "", 'Data Entry'!$Ĵ$990)</f>
      </c>
      <c r="IK990">
        <f>IF(ISBLANK('Data Entry'!$ĵ$990), "", 'Data Entry'!$ĵ$990)</f>
      </c>
      <c r="IL990">
        <f>IF(ISBLANK('Data Entry'!$Ķ$990), "", 'Data Entry'!$Ķ$990)</f>
      </c>
      <c r="IM990">
        <f>IF(ISBLANK('Data Entry'!$ķ$990), "", 'Data Entry'!$ķ$990)</f>
      </c>
      <c r="IN990">
        <f>IF(ISBLANK('Data Entry'!$ĸ$990), "", 'Data Entry'!$ĸ$990)</f>
      </c>
      <c r="IO990">
        <f>IF(ISBLANK('Data Entry'!$Ĺ$990), "", 'Data Entry'!$Ĺ$990)</f>
      </c>
      <c r="IP990">
        <f>IF(ISBLANK('Data Entry'!$ĺ$990), "", 'Data Entry'!$ĺ$990)</f>
      </c>
      <c r="IQ990">
        <f>IF(ISBLANK('Data Entry'!$Ļ$990), "", 'Data Entry'!$Ļ$990)</f>
      </c>
      <c r="IR990">
        <f>IF(ISBLANK('Data Entry'!$ļ$990), "", 'Data Entry'!$ļ$990)</f>
      </c>
      <c r="IS990">
        <f>IF(ISBLANK('Data Entry'!$Ľ$990), "", 'Data Entry'!$Ľ$990)</f>
      </c>
      <c r="IT990">
        <f>IF(ISBLANK('Data Entry'!$ľ$990), "", 'Data Entry'!$ľ$990)</f>
      </c>
    </row>
    <row r="991" spans="1:254" x14ac:dyDescent="0.25">
      <c r="A991">
        <f>IF(ISBLANK('Data Entry'!$A$991), "", 'Data Entry'!$A$991)</f>
      </c>
      <c r="B991">
        <f>IF(ISBLANK('Data Entry'!$B$991), "", 'Data Entry'!$B$991)</f>
      </c>
      <c r="C991">
        <f>IF(ISBLANK('Data Entry'!$C$991), "", 'Data Entry'!$C$991)</f>
      </c>
      <c r="D991">
        <f>IF(ISBLANK('Data Entry'!$D$991), "", 'Data Entry'!$D$991)</f>
      </c>
      <c r="E991">
        <f>IF(ISBLANK('Data Entry'!$E$991), "", 'Data Entry'!$E$991)</f>
      </c>
      <c r="F991">
        <f>IF(ISBLANK('Data Entry'!$F$991), "", 'Data Entry'!$F$991)</f>
      </c>
      <c r="G991">
        <f>IF(ISBLANK('Data Entry'!$G$991), "", 'Data Entry'!$G$991)</f>
      </c>
      <c r="H991">
        <f>IF(ISBLANK('Data Entry'!$H$991), "", 'Data Entry'!$H$991)</f>
      </c>
      <c r="I991">
        <f>IF(ISBLANK('Data Entry'!$I$991), "", 'Data Entry'!$I$991)</f>
      </c>
      <c r="J991">
        <f>IF(ISBLANK('Data Entry'!$J$991), "", 'Data Entry'!$J$991)</f>
      </c>
      <c r="K991">
        <f>IF(ISBLANK('Data Entry'!$K$991), "", 'Data Entry'!$K$991)</f>
      </c>
      <c r="L991">
        <f>IF(ISBLANK('Data Entry'!$L$991), "", 'Data Entry'!$L$991)</f>
      </c>
      <c r="M991">
        <f>IF(ISBLANK('Data Entry'!$M$991), "", 'Data Entry'!$M$991)</f>
      </c>
      <c r="N991">
        <f>IF(ISBLANK('Data Entry'!$N$991), "", 'Data Entry'!$N$991)</f>
      </c>
      <c r="O991">
        <f>IF(ISBLANK('Data Entry'!$O$991), "", 'Data Entry'!$O$991)</f>
      </c>
      <c r="P991">
        <f>IF(ISBLANK('Data Entry'!$P$991), "", 'Data Entry'!$P$991)</f>
      </c>
      <c r="Q991">
        <f>IF(ISBLANK('Data Entry'!$Q$991), "", 'Data Entry'!$Q$991)</f>
      </c>
      <c r="R991">
        <f>IF(ISBLANK('Data Entry'!$R$991), "", 'Data Entry'!$R$991)</f>
      </c>
      <c r="S991">
        <f>IF(ISBLANK('Data Entry'!$S$991), "", 'Data Entry'!$S$991)</f>
      </c>
      <c r="T991">
        <f>IF(ISBLANK('Data Entry'!$T$991), "", 'Data Entry'!$T$991)</f>
      </c>
      <c r="U991">
        <f>IF(ISBLANK('Data Entry'!$U$991), "", 'Data Entry'!$U$991)</f>
      </c>
      <c r="V991">
        <f>IF(ISBLANK('Data Entry'!$V$991), "", 'Data Entry'!$V$991)</f>
      </c>
      <c r="W991">
        <f>IF(ISBLANK('Data Entry'!$W$991), "", 'Data Entry'!$W$991)</f>
      </c>
      <c r="X991">
        <f>IF(ISBLANK('Data Entry'!$X$991), "", 'Data Entry'!$X$991)</f>
      </c>
      <c r="Y991">
        <f>IF(ISBLANK('Data Entry'!$Y$991), "", 'Data Entry'!$Y$991)</f>
      </c>
      <c r="Z991">
        <f>IF(ISBLANK('Data Entry'!$Z$991), "", 'Data Entry'!$Z$991)</f>
      </c>
      <c r="AA991">
        <f>IF(ISBLANK('Data Entry'!$[$991), "", 'Data Entry'!$[$991)</f>
      </c>
      <c r="AB991">
        <f>IF(ISBLANK('Data Entry'!$\$991), "", 'Data Entry'!$\$991)</f>
      </c>
      <c r="AC991">
        <f>IF(ISBLANK('Data Entry'!$]$991), "", 'Data Entry'!$]$991)</f>
      </c>
      <c r="AD991">
        <f>IF(ISBLANK('Data Entry'!$^$991), "", 'Data Entry'!$^$991)</f>
      </c>
      <c r="AE991">
        <f>IF(ISBLANK('Data Entry'!$_$991), "", 'Data Entry'!$_$991)</f>
      </c>
      <c r="AF991">
        <f>IF(ISBLANK('Data Entry'!$`$991), "", 'Data Entry'!$`$991)</f>
      </c>
      <c r="AG991">
        <f>IF(ISBLANK('Data Entry'!$a$991), "", 'Data Entry'!$a$991)</f>
      </c>
      <c r="AH991">
        <f>IF(ISBLANK('Data Entry'!$b$991), "", 'Data Entry'!$b$991)</f>
      </c>
      <c r="AI991">
        <f>IF(ISBLANK('Data Entry'!$c$991), "", 'Data Entry'!$c$991)</f>
      </c>
      <c r="AJ991">
        <f>IF(ISBLANK('Data Entry'!$d$991), "", 'Data Entry'!$d$991)</f>
      </c>
      <c r="AK991">
        <f>IF(ISBLANK('Data Entry'!$e$991), "", 'Data Entry'!$e$991)</f>
      </c>
      <c r="AL991">
        <f>IF(ISBLANK('Data Entry'!$f$991), "", 'Data Entry'!$f$991)</f>
      </c>
      <c r="AM991">
        <f>IF(ISBLANK('Data Entry'!$g$991), "", 'Data Entry'!$g$991)</f>
      </c>
      <c r="AN991">
        <f>IF(ISBLANK('Data Entry'!$h$991), "", 'Data Entry'!$h$991)</f>
      </c>
      <c r="AO991">
        <f>IF(ISBLANK('Data Entry'!$i$991), "", 'Data Entry'!$i$991)</f>
      </c>
      <c r="AP991">
        <f>IF(ISBLANK('Data Entry'!$j$991), "", 'Data Entry'!$j$991)</f>
      </c>
      <c r="AQ991">
        <f>IF(ISBLANK('Data Entry'!$k$991), "", 'Data Entry'!$k$991)</f>
      </c>
      <c r="AR991">
        <f>IF(ISBLANK('Data Entry'!$l$991), "", 'Data Entry'!$l$991)</f>
      </c>
      <c r="AS991">
        <f>IF(ISBLANK('Data Entry'!$m$991), "", 'Data Entry'!$m$991)</f>
      </c>
      <c r="AT991">
        <f>IF(ISBLANK('Data Entry'!$n$991), "", 'Data Entry'!$n$991)</f>
      </c>
      <c r="AU991">
        <f>IF(ISBLANK('Data Entry'!$o$991), "", 'Data Entry'!$o$991)</f>
      </c>
      <c r="AV991">
        <f>IF(ISBLANK('Data Entry'!$p$991), "", 'Data Entry'!$p$991)</f>
      </c>
      <c r="AW991">
        <f>IF(ISBLANK('Data Entry'!$q$991), "", 'Data Entry'!$q$991)</f>
      </c>
      <c r="AX991">
        <f>IF(ISBLANK('Data Entry'!$r$991), "", 'Data Entry'!$r$991)</f>
      </c>
      <c r="AY991">
        <f>IF(ISBLANK('Data Entry'!$s$991), "", 'Data Entry'!$s$991)</f>
      </c>
      <c r="AZ991">
        <f>IF(ISBLANK('Data Entry'!$t$991), "", 'Data Entry'!$t$991)</f>
      </c>
      <c r="BA991">
        <f>IF(ISBLANK('Data Entry'!$u$991), "", 'Data Entry'!$u$991)</f>
      </c>
      <c r="BB991">
        <f>IF(ISBLANK('Data Entry'!$v$991), "", 'Data Entry'!$v$991)</f>
      </c>
      <c r="BC991">
        <f>IF(ISBLANK('Data Entry'!$w$991), "", 'Data Entry'!$w$991)</f>
      </c>
      <c r="BD991">
        <f>IF(ISBLANK('Data Entry'!$x$991), "", 'Data Entry'!$x$991)</f>
      </c>
      <c r="BE991">
        <f>IF(ISBLANK('Data Entry'!$y$991), "", 'Data Entry'!$y$991)</f>
      </c>
      <c r="BF991">
        <f>IF(ISBLANK('Data Entry'!$z$991), "", 'Data Entry'!$z$991)</f>
      </c>
      <c r="BG991">
        <f>IF(ISBLANK('Data Entry'!${$991), "", 'Data Entry'!${$991)</f>
      </c>
      <c r="BH991">
        <f>IF(ISBLANK('Data Entry'!$|$991), "", 'Data Entry'!$|$991)</f>
      </c>
      <c r="BI991">
        <f>IF(ISBLANK('Data Entry'!$}$991), "", 'Data Entry'!$}$991)</f>
      </c>
      <c r="BJ991">
        <f>IF(ISBLANK('Data Entry'!$~$991), "", 'Data Entry'!$~$991)</f>
      </c>
      <c r="BK991">
        <f>IF(ISBLANK('Data Entry'!$$991), "", 'Data Entry'!$$991)</f>
      </c>
      <c r="BL991">
        <f>IF(ISBLANK('Data Entry'!$$991), "", 'Data Entry'!$$991)</f>
      </c>
      <c r="BM991">
        <f>IF(ISBLANK('Data Entry'!$$991), "", 'Data Entry'!$$991)</f>
      </c>
      <c r="BN991">
        <f>IF(ISBLANK('Data Entry'!$$991), "", 'Data Entry'!$$991)</f>
      </c>
      <c r="BO991">
        <f>IF(ISBLANK('Data Entry'!$$991), "", 'Data Entry'!$$991)</f>
      </c>
      <c r="BP991">
        <f>IF(ISBLANK('Data Entry'!$$991), "", 'Data Entry'!$$991)</f>
      </c>
      <c r="BQ991">
        <f>IF(ISBLANK('Data Entry'!$$991), "", 'Data Entry'!$$991)</f>
      </c>
      <c r="BR991">
        <f>IF(ISBLANK('Data Entry'!$$991), "", 'Data Entry'!$$991)</f>
      </c>
      <c r="BS991">
        <f>IF(ISBLANK('Data Entry'!$$991), "", 'Data Entry'!$$991)</f>
      </c>
      <c r="BT991">
        <f>IF(ISBLANK('Data Entry'!$$991), "", 'Data Entry'!$$991)</f>
      </c>
      <c r="BU991">
        <f>IF(ISBLANK('Data Entry'!$$991), "", 'Data Entry'!$$991)</f>
      </c>
      <c r="BV991">
        <f>IF(ISBLANK('Data Entry'!$$991), "", 'Data Entry'!$$991)</f>
      </c>
      <c r="BW991">
        <f>IF(ISBLANK('Data Entry'!$$991), "", 'Data Entry'!$$991)</f>
      </c>
      <c r="BX991">
        <f>IF(ISBLANK('Data Entry'!$$991), "", 'Data Entry'!$$991)</f>
      </c>
      <c r="BY991">
        <f>IF(ISBLANK('Data Entry'!$$991), "", 'Data Entry'!$$991)</f>
      </c>
      <c r="BZ991">
        <f>IF(ISBLANK('Data Entry'!$$991), "", 'Data Entry'!$$991)</f>
      </c>
      <c r="CA991">
        <f>IF(ISBLANK('Data Entry'!$$991), "", 'Data Entry'!$$991)</f>
      </c>
      <c r="CB991">
        <f>IF(ISBLANK('Data Entry'!$$991), "", 'Data Entry'!$$991)</f>
      </c>
      <c r="CC991">
        <f>IF(ISBLANK('Data Entry'!$$991), "", 'Data Entry'!$$991)</f>
      </c>
      <c r="CD991">
        <f>IF(ISBLANK('Data Entry'!$$991), "", 'Data Entry'!$$991)</f>
      </c>
      <c r="CE991">
        <f>IF(ISBLANK('Data Entry'!$$991), "", 'Data Entry'!$$991)</f>
      </c>
      <c r="CF991">
        <f>IF(ISBLANK('Data Entry'!$$991), "", 'Data Entry'!$$991)</f>
      </c>
      <c r="CG991">
        <f>IF(ISBLANK('Data Entry'!$$991), "", 'Data Entry'!$$991)</f>
      </c>
      <c r="CH991">
        <f>IF(ISBLANK('Data Entry'!$$991), "", 'Data Entry'!$$991)</f>
      </c>
      <c r="CI991">
        <f>IF(ISBLANK('Data Entry'!$$991), "", 'Data Entry'!$$991)</f>
      </c>
      <c r="CJ991">
        <f>IF(ISBLANK('Data Entry'!$$991), "", 'Data Entry'!$$991)</f>
      </c>
      <c r="CK991">
        <f>IF(ISBLANK('Data Entry'!$$991), "", 'Data Entry'!$$991)</f>
      </c>
      <c r="CL991">
        <f>IF(ISBLANK('Data Entry'!$$991), "", 'Data Entry'!$$991)</f>
      </c>
      <c r="CM991">
        <f>IF(ISBLANK('Data Entry'!$$991), "", 'Data Entry'!$$991)</f>
      </c>
      <c r="CN991">
        <f>IF(ISBLANK('Data Entry'!$$991), "", 'Data Entry'!$$991)</f>
      </c>
      <c r="CO991">
        <f>IF(ISBLANK('Data Entry'!$$991), "", 'Data Entry'!$$991)</f>
      </c>
      <c r="CP991">
        <f>IF(ISBLANK('Data Entry'!$$991), "", 'Data Entry'!$$991)</f>
      </c>
      <c r="CQ991">
        <f>IF(ISBLANK('Data Entry'!$$991), "", 'Data Entry'!$$991)</f>
      </c>
      <c r="CR991">
        <f>IF(ISBLANK('Data Entry'!$ $991), "", 'Data Entry'!$ $991)</f>
      </c>
      <c r="CS991">
        <f>IF(ISBLANK('Data Entry'!$¡$991), "", 'Data Entry'!$¡$991)</f>
      </c>
      <c r="CT991">
        <f>IF(ISBLANK('Data Entry'!$¢$991), "", 'Data Entry'!$¢$991)</f>
      </c>
      <c r="CU991">
        <f>IF(ISBLANK('Data Entry'!$£$991), "", 'Data Entry'!$£$991)</f>
      </c>
      <c r="CV991">
        <f>IF(ISBLANK('Data Entry'!$¤$991), "", 'Data Entry'!$¤$991)</f>
      </c>
      <c r="CW991">
        <f>IF(ISBLANK('Data Entry'!$¥$991), "", 'Data Entry'!$¥$991)</f>
      </c>
      <c r="CX991">
        <f>IF(ISBLANK('Data Entry'!$¦$991), "", 'Data Entry'!$¦$991)</f>
      </c>
      <c r="CY991">
        <f>IF(ISBLANK('Data Entry'!$§$991), "", 'Data Entry'!$§$991)</f>
      </c>
      <c r="CZ991">
        <f>IF(ISBLANK('Data Entry'!$¨$991), "", 'Data Entry'!$¨$991)</f>
      </c>
      <c r="DA991">
        <f>IF(ISBLANK('Data Entry'!$©$991), "", 'Data Entry'!$©$991)</f>
      </c>
      <c r="DB991">
        <f>IF(ISBLANK('Data Entry'!$ª$991), "", 'Data Entry'!$ª$991)</f>
      </c>
      <c r="DC991">
        <f>IF(ISBLANK('Data Entry'!$«$991), "", 'Data Entry'!$«$991)</f>
      </c>
      <c r="DD991">
        <f>IF(ISBLANK('Data Entry'!$¬$991), "", 'Data Entry'!$¬$991)</f>
      </c>
      <c r="DE991">
        <f>IF(ISBLANK('Data Entry'!$­$991), "", 'Data Entry'!$­$991)</f>
      </c>
      <c r="DF991">
        <f>IF(ISBLANK('Data Entry'!$®$991), "", 'Data Entry'!$®$991)</f>
      </c>
      <c r="DG991">
        <f>IF(ISBLANK('Data Entry'!$¯$991), "", 'Data Entry'!$¯$991)</f>
      </c>
      <c r="DH991">
        <f>IF(ISBLANK('Data Entry'!$°$991), "", 'Data Entry'!$°$991)</f>
      </c>
      <c r="DI991">
        <f>IF(ISBLANK('Data Entry'!$±$991), "", 'Data Entry'!$±$991)</f>
      </c>
      <c r="DJ991">
        <f>IF(ISBLANK('Data Entry'!$²$991), "", 'Data Entry'!$²$991)</f>
      </c>
      <c r="DK991">
        <f>IF(ISBLANK('Data Entry'!$³$991), "", 'Data Entry'!$³$991)</f>
      </c>
      <c r="DL991">
        <f>IF(ISBLANK('Data Entry'!$´$991), "", 'Data Entry'!$´$991)</f>
      </c>
      <c r="DM991">
        <f>IF(ISBLANK('Data Entry'!$µ$991), "", 'Data Entry'!$µ$991)</f>
      </c>
      <c r="DN991">
        <f>IF(ISBLANK('Data Entry'!$¶$991), "", 'Data Entry'!$¶$991)</f>
      </c>
      <c r="DO991">
        <f>IF(ISBLANK('Data Entry'!$·$991), "", 'Data Entry'!$·$991)</f>
      </c>
      <c r="DP991">
        <f>IF(ISBLANK('Data Entry'!$¸$991), "", 'Data Entry'!$¸$991)</f>
      </c>
      <c r="DQ991">
        <f>IF(ISBLANK('Data Entry'!$¹$991), "", 'Data Entry'!$¹$991)</f>
      </c>
      <c r="DR991">
        <f>IF(ISBLANK('Data Entry'!$º$991), "", 'Data Entry'!$º$991)</f>
      </c>
      <c r="DS991">
        <f>IF(ISBLANK('Data Entry'!$»$991), "", 'Data Entry'!$»$991)</f>
      </c>
      <c r="DT991">
        <f>IF(ISBLANK('Data Entry'!$¼$991), "", 'Data Entry'!$¼$991)</f>
      </c>
      <c r="DU991">
        <f>IF(ISBLANK('Data Entry'!$½$991), "", 'Data Entry'!$½$991)</f>
      </c>
      <c r="DV991">
        <f>IF(ISBLANK('Data Entry'!$¾$991), "", 'Data Entry'!$¾$991)</f>
      </c>
      <c r="DW991">
        <f>IF(ISBLANK('Data Entry'!$¿$991), "", 'Data Entry'!$¿$991)</f>
      </c>
      <c r="DX991">
        <f>IF(ISBLANK('Data Entry'!$À$991), "", 'Data Entry'!$À$991)</f>
      </c>
      <c r="DY991">
        <f>IF(ISBLANK('Data Entry'!$Á$991), "", 'Data Entry'!$Á$991)</f>
      </c>
      <c r="DZ991">
        <f>IF(ISBLANK('Data Entry'!$Â$991), "", 'Data Entry'!$Â$991)</f>
      </c>
      <c r="EA991">
        <f>IF(ISBLANK('Data Entry'!$Ã$991), "", 'Data Entry'!$Ã$991)</f>
      </c>
      <c r="EB991">
        <f>IF(ISBLANK('Data Entry'!$Ä$991), "", 'Data Entry'!$Ä$991)</f>
      </c>
      <c r="EC991">
        <f>IF(ISBLANK('Data Entry'!$Å$991), "", 'Data Entry'!$Å$991)</f>
      </c>
      <c r="ED991">
        <f>IF(ISBLANK('Data Entry'!$Æ$991), "", 'Data Entry'!$Æ$991)</f>
      </c>
      <c r="EE991">
        <f>IF(ISBLANK('Data Entry'!$Ç$991), "", 'Data Entry'!$Ç$991)</f>
      </c>
      <c r="EF991">
        <f>IF(ISBLANK('Data Entry'!$È$991), "", 'Data Entry'!$È$991)</f>
      </c>
      <c r="EG991">
        <f>IF(ISBLANK('Data Entry'!$É$991), "", 'Data Entry'!$É$991)</f>
      </c>
      <c r="EH991">
        <f>IF(ISBLANK('Data Entry'!$Ê$991), "", 'Data Entry'!$Ê$991)</f>
      </c>
      <c r="EI991">
        <f>IF(ISBLANK('Data Entry'!$Ë$991), "", 'Data Entry'!$Ë$991)</f>
      </c>
      <c r="EJ991">
        <f>IF(ISBLANK('Data Entry'!$Ì$991), "", 'Data Entry'!$Ì$991)</f>
      </c>
      <c r="EK991">
        <f>IF(ISBLANK('Data Entry'!$Í$991), "", 'Data Entry'!$Í$991)</f>
      </c>
      <c r="EL991">
        <f>IF(ISBLANK('Data Entry'!$Î$991), "", 'Data Entry'!$Î$991)</f>
      </c>
      <c r="EM991">
        <f>IF(ISBLANK('Data Entry'!$Ï$991), "", 'Data Entry'!$Ï$991)</f>
      </c>
      <c r="EN991">
        <f>IF(ISBLANK('Data Entry'!$Ð$991), "", 'Data Entry'!$Ð$991)</f>
      </c>
      <c r="EO991">
        <f>IF(ISBLANK('Data Entry'!$Ñ$991), "", 'Data Entry'!$Ñ$991)</f>
      </c>
      <c r="EP991">
        <f>IF(ISBLANK('Data Entry'!$Ò$991), "", 'Data Entry'!$Ò$991)</f>
      </c>
      <c r="EQ991">
        <f>IF(ISBLANK('Data Entry'!$Ó$991), "", 'Data Entry'!$Ó$991)</f>
      </c>
      <c r="ER991">
        <f>IF(ISBLANK('Data Entry'!$Ô$991), "", 'Data Entry'!$Ô$991)</f>
      </c>
      <c r="ES991">
        <f>IF(ISBLANK('Data Entry'!$Õ$991), "", 'Data Entry'!$Õ$991)</f>
      </c>
      <c r="ET991">
        <f>IF(ISBLANK('Data Entry'!$Ö$991), "", 'Data Entry'!$Ö$991)</f>
      </c>
      <c r="EU991">
        <f>IF(ISBLANK('Data Entry'!$×$991), "", 'Data Entry'!$×$991)</f>
      </c>
      <c r="EV991">
        <f>IF(ISBLANK('Data Entry'!$Ø$991), "", 'Data Entry'!$Ø$991)</f>
      </c>
      <c r="EW991">
        <f>IF(ISBLANK('Data Entry'!$Ù$991), "", 'Data Entry'!$Ù$991)</f>
      </c>
      <c r="EX991">
        <f>IF(ISBLANK('Data Entry'!$Ú$991), "", 'Data Entry'!$Ú$991)</f>
      </c>
      <c r="EY991">
        <f>IF(ISBLANK('Data Entry'!$Û$991), "", 'Data Entry'!$Û$991)</f>
      </c>
      <c r="EZ991">
        <f>IF(ISBLANK('Data Entry'!$Ü$991), "", 'Data Entry'!$Ü$991)</f>
      </c>
      <c r="FA991">
        <f>IF(ISBLANK('Data Entry'!$Ý$991), "", 'Data Entry'!$Ý$991)</f>
      </c>
      <c r="FB991">
        <f>IF(ISBLANK('Data Entry'!$Þ$991), "", 'Data Entry'!$Þ$991)</f>
      </c>
      <c r="FC991">
        <f>IF(ISBLANK('Data Entry'!$ß$991), "", 'Data Entry'!$ß$991)</f>
      </c>
      <c r="FD991">
        <f>IF(ISBLANK('Data Entry'!$à$991), "", 'Data Entry'!$à$991)</f>
      </c>
      <c r="FE991">
        <f>IF(ISBLANK('Data Entry'!$á$991), "", 'Data Entry'!$á$991)</f>
      </c>
      <c r="FF991">
        <f>IF(ISBLANK('Data Entry'!$â$991), "", 'Data Entry'!$â$991)</f>
      </c>
      <c r="FG991">
        <f>IF(ISBLANK('Data Entry'!$ã$991), "", 'Data Entry'!$ã$991)</f>
      </c>
      <c r="FH991">
        <f>IF(ISBLANK('Data Entry'!$ä$991), "", 'Data Entry'!$ä$991)</f>
      </c>
      <c r="FI991">
        <f>IF(ISBLANK('Data Entry'!$å$991), "", 'Data Entry'!$å$991)</f>
      </c>
      <c r="FJ991">
        <f>IF(ISBLANK('Data Entry'!$æ$991), "", 'Data Entry'!$æ$991)</f>
      </c>
      <c r="FK991">
        <f>IF(ISBLANK('Data Entry'!$ç$991), "", 'Data Entry'!$ç$991)</f>
      </c>
      <c r="FL991">
        <f>IF(ISBLANK('Data Entry'!$è$991), "", 'Data Entry'!$è$991)</f>
      </c>
      <c r="FM991">
        <f>IF(ISBLANK('Data Entry'!$é$991), "", 'Data Entry'!$é$991)</f>
      </c>
      <c r="FN991">
        <f>IF(ISBLANK('Data Entry'!$ê$991), "", 'Data Entry'!$ê$991)</f>
      </c>
      <c r="FO991">
        <f>IF(ISBLANK('Data Entry'!$ë$991), "", 'Data Entry'!$ë$991)</f>
      </c>
      <c r="FP991">
        <f>IF(ISBLANK('Data Entry'!$ì$991), "", 'Data Entry'!$ì$991)</f>
      </c>
      <c r="FQ991">
        <f>IF(ISBLANK('Data Entry'!$í$991), "", 'Data Entry'!$í$991)</f>
      </c>
      <c r="FR991">
        <f>IF(ISBLANK('Data Entry'!$î$991), "", 'Data Entry'!$î$991)</f>
      </c>
      <c r="FS991">
        <f>IF(ISBLANK('Data Entry'!$ï$991), "", 'Data Entry'!$ï$991)</f>
      </c>
      <c r="FT991">
        <f>IF(ISBLANK('Data Entry'!$ð$991), "", 'Data Entry'!$ð$991)</f>
      </c>
      <c r="FU991">
        <f>IF(ISBLANK('Data Entry'!$ñ$991), "", 'Data Entry'!$ñ$991)</f>
      </c>
      <c r="FV991">
        <f>IF(ISBLANK('Data Entry'!$ò$991), "", 'Data Entry'!$ò$991)</f>
      </c>
      <c r="FW991">
        <f>IF(ISBLANK('Data Entry'!$ó$991), "", 'Data Entry'!$ó$991)</f>
      </c>
      <c r="FX991">
        <f>IF(ISBLANK('Data Entry'!$ô$991), "", 'Data Entry'!$ô$991)</f>
      </c>
      <c r="FY991">
        <f>IF(ISBLANK('Data Entry'!$õ$991), "", 'Data Entry'!$õ$991)</f>
      </c>
      <c r="FZ991">
        <f>IF(ISBLANK('Data Entry'!$ö$991), "", 'Data Entry'!$ö$991)</f>
      </c>
      <c r="GA991">
        <f>IF(ISBLANK('Data Entry'!$÷$991), "", 'Data Entry'!$÷$991)</f>
      </c>
      <c r="GB991">
        <f>IF(ISBLANK('Data Entry'!$ø$991), "", 'Data Entry'!$ø$991)</f>
      </c>
      <c r="GC991">
        <f>IF(ISBLANK('Data Entry'!$ù$991), "", 'Data Entry'!$ù$991)</f>
      </c>
      <c r="GD991">
        <f>IF(ISBLANK('Data Entry'!$ú$991), "", 'Data Entry'!$ú$991)</f>
      </c>
      <c r="GE991">
        <f>IF(ISBLANK('Data Entry'!$û$991), "", 'Data Entry'!$û$991)</f>
      </c>
      <c r="GF991">
        <f>IF(ISBLANK('Data Entry'!$ü$991), "", 'Data Entry'!$ü$991)</f>
      </c>
      <c r="GG991">
        <f>IF(ISBLANK('Data Entry'!$ý$991), "", 'Data Entry'!$ý$991)</f>
      </c>
      <c r="GH991">
        <f>IF(ISBLANK('Data Entry'!$þ$991), "", 'Data Entry'!$þ$991)</f>
      </c>
      <c r="GI991">
        <f>IF(ISBLANK('Data Entry'!$ÿ$991), "", 'Data Entry'!$ÿ$991)</f>
      </c>
      <c r="GJ991">
        <f>IF(ISBLANK('Data Entry'!$Ā$991), "", 'Data Entry'!$Ā$991)</f>
      </c>
      <c r="GK991">
        <f>IF(ISBLANK('Data Entry'!$ā$991), "", 'Data Entry'!$ā$991)</f>
      </c>
      <c r="GL991">
        <f>IF(ISBLANK('Data Entry'!$Ă$991), "", 'Data Entry'!$Ă$991)</f>
      </c>
      <c r="GM991">
        <f>IF(ISBLANK('Data Entry'!$ă$991), "", 'Data Entry'!$ă$991)</f>
      </c>
      <c r="GN991">
        <f>IF(ISBLANK('Data Entry'!$Ą$991), "", 'Data Entry'!$Ą$991)</f>
      </c>
      <c r="GO991">
        <f>IF(ISBLANK('Data Entry'!$ą$991), "", 'Data Entry'!$ą$991)</f>
      </c>
      <c r="GP991">
        <f>IF(ISBLANK('Data Entry'!$Ć$991), "", 'Data Entry'!$Ć$991)</f>
      </c>
      <c r="GQ991">
        <f>IF(ISBLANK('Data Entry'!$ć$991), "", 'Data Entry'!$ć$991)</f>
      </c>
      <c r="GR991">
        <f>IF(ISBLANK('Data Entry'!$Ĉ$991), "", 'Data Entry'!$Ĉ$991)</f>
      </c>
      <c r="GS991">
        <f>IF(ISBLANK('Data Entry'!$ĉ$991), "", 'Data Entry'!$ĉ$991)</f>
      </c>
      <c r="GT991">
        <f>IF(ISBLANK('Data Entry'!$Ċ$991), "", 'Data Entry'!$Ċ$991)</f>
      </c>
      <c r="GU991">
        <f>IF(ISBLANK('Data Entry'!$ċ$991), "", 'Data Entry'!$ċ$991)</f>
      </c>
      <c r="GV991">
        <f>IF(ISBLANK('Data Entry'!$Č$991), "", 'Data Entry'!$Č$991)</f>
      </c>
      <c r="GW991">
        <f>IF(ISBLANK('Data Entry'!$č$991), "", 'Data Entry'!$č$991)</f>
      </c>
      <c r="GX991">
        <f>IF(ISBLANK('Data Entry'!$Ď$991), "", 'Data Entry'!$Ď$991)</f>
      </c>
      <c r="GY991">
        <f>IF(ISBLANK('Data Entry'!$ď$991), "", 'Data Entry'!$ď$991)</f>
      </c>
      <c r="GZ991">
        <f>IF(ISBLANK('Data Entry'!$Đ$991), "", 'Data Entry'!$Đ$991)</f>
      </c>
      <c r="HA991">
        <f>IF(ISBLANK('Data Entry'!$đ$991), "", 'Data Entry'!$đ$991)</f>
      </c>
      <c r="HB991">
        <f>IF(ISBLANK('Data Entry'!$Ē$991), "", 'Data Entry'!$Ē$991)</f>
      </c>
      <c r="HC991">
        <f>IF(ISBLANK('Data Entry'!$ē$991), "", 'Data Entry'!$ē$991)</f>
      </c>
      <c r="HD991">
        <f>IF(ISBLANK('Data Entry'!$Ĕ$991), "", 'Data Entry'!$Ĕ$991)</f>
      </c>
      <c r="HE991">
        <f>IF(ISBLANK('Data Entry'!$ĕ$991), "", 'Data Entry'!$ĕ$991)</f>
      </c>
      <c r="HF991">
        <f>IF(ISBLANK('Data Entry'!$Ė$991), "", 'Data Entry'!$Ė$991)</f>
      </c>
      <c r="HG991">
        <f>IF(ISBLANK('Data Entry'!$ė$991), "", 'Data Entry'!$ė$991)</f>
      </c>
      <c r="HH991">
        <f>IF(ISBLANK('Data Entry'!$Ę$991), "", 'Data Entry'!$Ę$991)</f>
      </c>
      <c r="HI991">
        <f>IF(ISBLANK('Data Entry'!$ę$991), "", 'Data Entry'!$ę$991)</f>
      </c>
      <c r="HJ991">
        <f>IF(ISBLANK('Data Entry'!$Ě$991), "", 'Data Entry'!$Ě$991)</f>
      </c>
      <c r="HK991">
        <f>IF(ISBLANK('Data Entry'!$ě$991), "", 'Data Entry'!$ě$991)</f>
      </c>
      <c r="HL991">
        <f>IF(ISBLANK('Data Entry'!$Ĝ$991), "", 'Data Entry'!$Ĝ$991)</f>
      </c>
      <c r="HM991">
        <f>IF(ISBLANK('Data Entry'!$ĝ$991), "", 'Data Entry'!$ĝ$991)</f>
      </c>
      <c r="HN991">
        <f>IF(ISBLANK('Data Entry'!$Ğ$991), "", 'Data Entry'!$Ğ$991)</f>
      </c>
      <c r="HO991">
        <f>IF(ISBLANK('Data Entry'!$ğ$991), "", 'Data Entry'!$ğ$991)</f>
      </c>
      <c r="HP991">
        <f>IF(ISBLANK('Data Entry'!$Ġ$991), "", 'Data Entry'!$Ġ$991)</f>
      </c>
      <c r="HQ991">
        <f>IF(ISBLANK('Data Entry'!$ġ$991), "", 'Data Entry'!$ġ$991)</f>
      </c>
      <c r="HR991">
        <f>IF(ISBLANK('Data Entry'!$Ģ$991), "", 'Data Entry'!$Ģ$991)</f>
      </c>
      <c r="HS991">
        <f>IF(ISBLANK('Data Entry'!$ģ$991), "", 'Data Entry'!$ģ$991)</f>
      </c>
      <c r="HT991">
        <f>IF(ISBLANK('Data Entry'!$Ĥ$991), "", 'Data Entry'!$Ĥ$991)</f>
      </c>
      <c r="HU991">
        <f>IF(ISBLANK('Data Entry'!$ĥ$991), "", 'Data Entry'!$ĥ$991)</f>
      </c>
      <c r="HV991">
        <f>IF(ISBLANK('Data Entry'!$Ħ$991), "", 'Data Entry'!$Ħ$991)</f>
      </c>
      <c r="HW991">
        <f>IF(ISBLANK('Data Entry'!$ħ$991), "", 'Data Entry'!$ħ$991)</f>
      </c>
      <c r="HX991">
        <f>IF(ISBLANK('Data Entry'!$Ĩ$991), "", 'Data Entry'!$Ĩ$991)</f>
      </c>
      <c r="HY991">
        <f>IF(ISBLANK('Data Entry'!$ĩ$991), "", 'Data Entry'!$ĩ$991)</f>
      </c>
      <c r="HZ991">
        <f>IF(ISBLANK('Data Entry'!$Ī$991), "", 'Data Entry'!$Ī$991)</f>
      </c>
      <c r="IA991">
        <f>IF(ISBLANK('Data Entry'!$ī$991), "", 'Data Entry'!$ī$991)</f>
      </c>
      <c r="IB991">
        <f>IF(ISBLANK('Data Entry'!$Ĭ$991), "", 'Data Entry'!$Ĭ$991)</f>
      </c>
      <c r="IC991">
        <f>IF(ISBLANK('Data Entry'!$ĭ$991), "", 'Data Entry'!$ĭ$991)</f>
      </c>
      <c r="ID991">
        <f>IF(ISBLANK('Data Entry'!$Į$991), "", 'Data Entry'!$Į$991)</f>
      </c>
      <c r="IE991">
        <f>IF(ISBLANK('Data Entry'!$į$991), "", 'Data Entry'!$į$991)</f>
      </c>
      <c r="IF991">
        <f>IF(ISBLANK('Data Entry'!$İ$991), "", 'Data Entry'!$İ$991)</f>
      </c>
      <c r="IG991">
        <f>IF(ISBLANK('Data Entry'!$ı$991), "", 'Data Entry'!$ı$991)</f>
      </c>
      <c r="IH991">
        <f>IF(ISBLANK('Data Entry'!$Ĳ$991), "", 'Data Entry'!$Ĳ$991)</f>
      </c>
      <c r="II991">
        <f>IF(ISBLANK('Data Entry'!$ĳ$991), "", 'Data Entry'!$ĳ$991)</f>
      </c>
      <c r="IJ991">
        <f>IF(ISBLANK('Data Entry'!$Ĵ$991), "", 'Data Entry'!$Ĵ$991)</f>
      </c>
      <c r="IK991">
        <f>IF(ISBLANK('Data Entry'!$ĵ$991), "", 'Data Entry'!$ĵ$991)</f>
      </c>
      <c r="IL991">
        <f>IF(ISBLANK('Data Entry'!$Ķ$991), "", 'Data Entry'!$Ķ$991)</f>
      </c>
      <c r="IM991">
        <f>IF(ISBLANK('Data Entry'!$ķ$991), "", 'Data Entry'!$ķ$991)</f>
      </c>
      <c r="IN991">
        <f>IF(ISBLANK('Data Entry'!$ĸ$991), "", 'Data Entry'!$ĸ$991)</f>
      </c>
      <c r="IO991">
        <f>IF(ISBLANK('Data Entry'!$Ĺ$991), "", 'Data Entry'!$Ĺ$991)</f>
      </c>
      <c r="IP991">
        <f>IF(ISBLANK('Data Entry'!$ĺ$991), "", 'Data Entry'!$ĺ$991)</f>
      </c>
      <c r="IQ991">
        <f>IF(ISBLANK('Data Entry'!$Ļ$991), "", 'Data Entry'!$Ļ$991)</f>
      </c>
      <c r="IR991">
        <f>IF(ISBLANK('Data Entry'!$ļ$991), "", 'Data Entry'!$ļ$991)</f>
      </c>
      <c r="IS991">
        <f>IF(ISBLANK('Data Entry'!$Ľ$991), "", 'Data Entry'!$Ľ$991)</f>
      </c>
      <c r="IT991">
        <f>IF(ISBLANK('Data Entry'!$ľ$991), "", 'Data Entry'!$ľ$991)</f>
      </c>
    </row>
    <row r="992" spans="1:254" x14ac:dyDescent="0.25">
      <c r="A992">
        <f>IF(ISBLANK('Data Entry'!$A$992), "", 'Data Entry'!$A$992)</f>
      </c>
      <c r="B992">
        <f>IF(ISBLANK('Data Entry'!$B$992), "", 'Data Entry'!$B$992)</f>
      </c>
      <c r="C992">
        <f>IF(ISBLANK('Data Entry'!$C$992), "", 'Data Entry'!$C$992)</f>
      </c>
      <c r="D992">
        <f>IF(ISBLANK('Data Entry'!$D$992), "", 'Data Entry'!$D$992)</f>
      </c>
      <c r="E992">
        <f>IF(ISBLANK('Data Entry'!$E$992), "", 'Data Entry'!$E$992)</f>
      </c>
      <c r="F992">
        <f>IF(ISBLANK('Data Entry'!$F$992), "", 'Data Entry'!$F$992)</f>
      </c>
      <c r="G992">
        <f>IF(ISBLANK('Data Entry'!$G$992), "", 'Data Entry'!$G$992)</f>
      </c>
      <c r="H992">
        <f>IF(ISBLANK('Data Entry'!$H$992), "", 'Data Entry'!$H$992)</f>
      </c>
      <c r="I992">
        <f>IF(ISBLANK('Data Entry'!$I$992), "", 'Data Entry'!$I$992)</f>
      </c>
      <c r="J992">
        <f>IF(ISBLANK('Data Entry'!$J$992), "", 'Data Entry'!$J$992)</f>
      </c>
      <c r="K992">
        <f>IF(ISBLANK('Data Entry'!$K$992), "", 'Data Entry'!$K$992)</f>
      </c>
      <c r="L992">
        <f>IF(ISBLANK('Data Entry'!$L$992), "", 'Data Entry'!$L$992)</f>
      </c>
      <c r="M992">
        <f>IF(ISBLANK('Data Entry'!$M$992), "", 'Data Entry'!$M$992)</f>
      </c>
      <c r="N992">
        <f>IF(ISBLANK('Data Entry'!$N$992), "", 'Data Entry'!$N$992)</f>
      </c>
      <c r="O992">
        <f>IF(ISBLANK('Data Entry'!$O$992), "", 'Data Entry'!$O$992)</f>
      </c>
      <c r="P992">
        <f>IF(ISBLANK('Data Entry'!$P$992), "", 'Data Entry'!$P$992)</f>
      </c>
      <c r="Q992">
        <f>IF(ISBLANK('Data Entry'!$Q$992), "", 'Data Entry'!$Q$992)</f>
      </c>
      <c r="R992">
        <f>IF(ISBLANK('Data Entry'!$R$992), "", 'Data Entry'!$R$992)</f>
      </c>
      <c r="S992">
        <f>IF(ISBLANK('Data Entry'!$S$992), "", 'Data Entry'!$S$992)</f>
      </c>
      <c r="T992">
        <f>IF(ISBLANK('Data Entry'!$T$992), "", 'Data Entry'!$T$992)</f>
      </c>
      <c r="U992">
        <f>IF(ISBLANK('Data Entry'!$U$992), "", 'Data Entry'!$U$992)</f>
      </c>
      <c r="V992">
        <f>IF(ISBLANK('Data Entry'!$V$992), "", 'Data Entry'!$V$992)</f>
      </c>
      <c r="W992">
        <f>IF(ISBLANK('Data Entry'!$W$992), "", 'Data Entry'!$W$992)</f>
      </c>
      <c r="X992">
        <f>IF(ISBLANK('Data Entry'!$X$992), "", 'Data Entry'!$X$992)</f>
      </c>
      <c r="Y992">
        <f>IF(ISBLANK('Data Entry'!$Y$992), "", 'Data Entry'!$Y$992)</f>
      </c>
      <c r="Z992">
        <f>IF(ISBLANK('Data Entry'!$Z$992), "", 'Data Entry'!$Z$992)</f>
      </c>
      <c r="AA992">
        <f>IF(ISBLANK('Data Entry'!$[$992), "", 'Data Entry'!$[$992)</f>
      </c>
      <c r="AB992">
        <f>IF(ISBLANK('Data Entry'!$\$992), "", 'Data Entry'!$\$992)</f>
      </c>
      <c r="AC992">
        <f>IF(ISBLANK('Data Entry'!$]$992), "", 'Data Entry'!$]$992)</f>
      </c>
      <c r="AD992">
        <f>IF(ISBLANK('Data Entry'!$^$992), "", 'Data Entry'!$^$992)</f>
      </c>
      <c r="AE992">
        <f>IF(ISBLANK('Data Entry'!$_$992), "", 'Data Entry'!$_$992)</f>
      </c>
      <c r="AF992">
        <f>IF(ISBLANK('Data Entry'!$`$992), "", 'Data Entry'!$`$992)</f>
      </c>
      <c r="AG992">
        <f>IF(ISBLANK('Data Entry'!$a$992), "", 'Data Entry'!$a$992)</f>
      </c>
      <c r="AH992">
        <f>IF(ISBLANK('Data Entry'!$b$992), "", 'Data Entry'!$b$992)</f>
      </c>
      <c r="AI992">
        <f>IF(ISBLANK('Data Entry'!$c$992), "", 'Data Entry'!$c$992)</f>
      </c>
      <c r="AJ992">
        <f>IF(ISBLANK('Data Entry'!$d$992), "", 'Data Entry'!$d$992)</f>
      </c>
      <c r="AK992">
        <f>IF(ISBLANK('Data Entry'!$e$992), "", 'Data Entry'!$e$992)</f>
      </c>
      <c r="AL992">
        <f>IF(ISBLANK('Data Entry'!$f$992), "", 'Data Entry'!$f$992)</f>
      </c>
      <c r="AM992">
        <f>IF(ISBLANK('Data Entry'!$g$992), "", 'Data Entry'!$g$992)</f>
      </c>
      <c r="AN992">
        <f>IF(ISBLANK('Data Entry'!$h$992), "", 'Data Entry'!$h$992)</f>
      </c>
      <c r="AO992">
        <f>IF(ISBLANK('Data Entry'!$i$992), "", 'Data Entry'!$i$992)</f>
      </c>
      <c r="AP992">
        <f>IF(ISBLANK('Data Entry'!$j$992), "", 'Data Entry'!$j$992)</f>
      </c>
      <c r="AQ992">
        <f>IF(ISBLANK('Data Entry'!$k$992), "", 'Data Entry'!$k$992)</f>
      </c>
      <c r="AR992">
        <f>IF(ISBLANK('Data Entry'!$l$992), "", 'Data Entry'!$l$992)</f>
      </c>
      <c r="AS992">
        <f>IF(ISBLANK('Data Entry'!$m$992), "", 'Data Entry'!$m$992)</f>
      </c>
      <c r="AT992">
        <f>IF(ISBLANK('Data Entry'!$n$992), "", 'Data Entry'!$n$992)</f>
      </c>
      <c r="AU992">
        <f>IF(ISBLANK('Data Entry'!$o$992), "", 'Data Entry'!$o$992)</f>
      </c>
      <c r="AV992">
        <f>IF(ISBLANK('Data Entry'!$p$992), "", 'Data Entry'!$p$992)</f>
      </c>
      <c r="AW992">
        <f>IF(ISBLANK('Data Entry'!$q$992), "", 'Data Entry'!$q$992)</f>
      </c>
      <c r="AX992">
        <f>IF(ISBLANK('Data Entry'!$r$992), "", 'Data Entry'!$r$992)</f>
      </c>
      <c r="AY992">
        <f>IF(ISBLANK('Data Entry'!$s$992), "", 'Data Entry'!$s$992)</f>
      </c>
      <c r="AZ992">
        <f>IF(ISBLANK('Data Entry'!$t$992), "", 'Data Entry'!$t$992)</f>
      </c>
      <c r="BA992">
        <f>IF(ISBLANK('Data Entry'!$u$992), "", 'Data Entry'!$u$992)</f>
      </c>
      <c r="BB992">
        <f>IF(ISBLANK('Data Entry'!$v$992), "", 'Data Entry'!$v$992)</f>
      </c>
      <c r="BC992">
        <f>IF(ISBLANK('Data Entry'!$w$992), "", 'Data Entry'!$w$992)</f>
      </c>
      <c r="BD992">
        <f>IF(ISBLANK('Data Entry'!$x$992), "", 'Data Entry'!$x$992)</f>
      </c>
      <c r="BE992">
        <f>IF(ISBLANK('Data Entry'!$y$992), "", 'Data Entry'!$y$992)</f>
      </c>
      <c r="BF992">
        <f>IF(ISBLANK('Data Entry'!$z$992), "", 'Data Entry'!$z$992)</f>
      </c>
      <c r="BG992">
        <f>IF(ISBLANK('Data Entry'!${$992), "", 'Data Entry'!${$992)</f>
      </c>
      <c r="BH992">
        <f>IF(ISBLANK('Data Entry'!$|$992), "", 'Data Entry'!$|$992)</f>
      </c>
      <c r="BI992">
        <f>IF(ISBLANK('Data Entry'!$}$992), "", 'Data Entry'!$}$992)</f>
      </c>
      <c r="BJ992">
        <f>IF(ISBLANK('Data Entry'!$~$992), "", 'Data Entry'!$~$992)</f>
      </c>
      <c r="BK992">
        <f>IF(ISBLANK('Data Entry'!$$992), "", 'Data Entry'!$$992)</f>
      </c>
      <c r="BL992">
        <f>IF(ISBLANK('Data Entry'!$$992), "", 'Data Entry'!$$992)</f>
      </c>
      <c r="BM992">
        <f>IF(ISBLANK('Data Entry'!$$992), "", 'Data Entry'!$$992)</f>
      </c>
      <c r="BN992">
        <f>IF(ISBLANK('Data Entry'!$$992), "", 'Data Entry'!$$992)</f>
      </c>
      <c r="BO992">
        <f>IF(ISBLANK('Data Entry'!$$992), "", 'Data Entry'!$$992)</f>
      </c>
      <c r="BP992">
        <f>IF(ISBLANK('Data Entry'!$$992), "", 'Data Entry'!$$992)</f>
      </c>
      <c r="BQ992">
        <f>IF(ISBLANK('Data Entry'!$$992), "", 'Data Entry'!$$992)</f>
      </c>
      <c r="BR992">
        <f>IF(ISBLANK('Data Entry'!$$992), "", 'Data Entry'!$$992)</f>
      </c>
      <c r="BS992">
        <f>IF(ISBLANK('Data Entry'!$$992), "", 'Data Entry'!$$992)</f>
      </c>
      <c r="BT992">
        <f>IF(ISBLANK('Data Entry'!$$992), "", 'Data Entry'!$$992)</f>
      </c>
      <c r="BU992">
        <f>IF(ISBLANK('Data Entry'!$$992), "", 'Data Entry'!$$992)</f>
      </c>
      <c r="BV992">
        <f>IF(ISBLANK('Data Entry'!$$992), "", 'Data Entry'!$$992)</f>
      </c>
      <c r="BW992">
        <f>IF(ISBLANK('Data Entry'!$$992), "", 'Data Entry'!$$992)</f>
      </c>
      <c r="BX992">
        <f>IF(ISBLANK('Data Entry'!$$992), "", 'Data Entry'!$$992)</f>
      </c>
      <c r="BY992">
        <f>IF(ISBLANK('Data Entry'!$$992), "", 'Data Entry'!$$992)</f>
      </c>
      <c r="BZ992">
        <f>IF(ISBLANK('Data Entry'!$$992), "", 'Data Entry'!$$992)</f>
      </c>
      <c r="CA992">
        <f>IF(ISBLANK('Data Entry'!$$992), "", 'Data Entry'!$$992)</f>
      </c>
      <c r="CB992">
        <f>IF(ISBLANK('Data Entry'!$$992), "", 'Data Entry'!$$992)</f>
      </c>
      <c r="CC992">
        <f>IF(ISBLANK('Data Entry'!$$992), "", 'Data Entry'!$$992)</f>
      </c>
      <c r="CD992">
        <f>IF(ISBLANK('Data Entry'!$$992), "", 'Data Entry'!$$992)</f>
      </c>
      <c r="CE992">
        <f>IF(ISBLANK('Data Entry'!$$992), "", 'Data Entry'!$$992)</f>
      </c>
      <c r="CF992">
        <f>IF(ISBLANK('Data Entry'!$$992), "", 'Data Entry'!$$992)</f>
      </c>
      <c r="CG992">
        <f>IF(ISBLANK('Data Entry'!$$992), "", 'Data Entry'!$$992)</f>
      </c>
      <c r="CH992">
        <f>IF(ISBLANK('Data Entry'!$$992), "", 'Data Entry'!$$992)</f>
      </c>
      <c r="CI992">
        <f>IF(ISBLANK('Data Entry'!$$992), "", 'Data Entry'!$$992)</f>
      </c>
      <c r="CJ992">
        <f>IF(ISBLANK('Data Entry'!$$992), "", 'Data Entry'!$$992)</f>
      </c>
      <c r="CK992">
        <f>IF(ISBLANK('Data Entry'!$$992), "", 'Data Entry'!$$992)</f>
      </c>
      <c r="CL992">
        <f>IF(ISBLANK('Data Entry'!$$992), "", 'Data Entry'!$$992)</f>
      </c>
      <c r="CM992">
        <f>IF(ISBLANK('Data Entry'!$$992), "", 'Data Entry'!$$992)</f>
      </c>
      <c r="CN992">
        <f>IF(ISBLANK('Data Entry'!$$992), "", 'Data Entry'!$$992)</f>
      </c>
      <c r="CO992">
        <f>IF(ISBLANK('Data Entry'!$$992), "", 'Data Entry'!$$992)</f>
      </c>
      <c r="CP992">
        <f>IF(ISBLANK('Data Entry'!$$992), "", 'Data Entry'!$$992)</f>
      </c>
      <c r="CQ992">
        <f>IF(ISBLANK('Data Entry'!$$992), "", 'Data Entry'!$$992)</f>
      </c>
      <c r="CR992">
        <f>IF(ISBLANK('Data Entry'!$ $992), "", 'Data Entry'!$ $992)</f>
      </c>
      <c r="CS992">
        <f>IF(ISBLANK('Data Entry'!$¡$992), "", 'Data Entry'!$¡$992)</f>
      </c>
      <c r="CT992">
        <f>IF(ISBLANK('Data Entry'!$¢$992), "", 'Data Entry'!$¢$992)</f>
      </c>
      <c r="CU992">
        <f>IF(ISBLANK('Data Entry'!$£$992), "", 'Data Entry'!$£$992)</f>
      </c>
      <c r="CV992">
        <f>IF(ISBLANK('Data Entry'!$¤$992), "", 'Data Entry'!$¤$992)</f>
      </c>
      <c r="CW992">
        <f>IF(ISBLANK('Data Entry'!$¥$992), "", 'Data Entry'!$¥$992)</f>
      </c>
      <c r="CX992">
        <f>IF(ISBLANK('Data Entry'!$¦$992), "", 'Data Entry'!$¦$992)</f>
      </c>
      <c r="CY992">
        <f>IF(ISBLANK('Data Entry'!$§$992), "", 'Data Entry'!$§$992)</f>
      </c>
      <c r="CZ992">
        <f>IF(ISBLANK('Data Entry'!$¨$992), "", 'Data Entry'!$¨$992)</f>
      </c>
      <c r="DA992">
        <f>IF(ISBLANK('Data Entry'!$©$992), "", 'Data Entry'!$©$992)</f>
      </c>
      <c r="DB992">
        <f>IF(ISBLANK('Data Entry'!$ª$992), "", 'Data Entry'!$ª$992)</f>
      </c>
      <c r="DC992">
        <f>IF(ISBLANK('Data Entry'!$«$992), "", 'Data Entry'!$«$992)</f>
      </c>
      <c r="DD992">
        <f>IF(ISBLANK('Data Entry'!$¬$992), "", 'Data Entry'!$¬$992)</f>
      </c>
      <c r="DE992">
        <f>IF(ISBLANK('Data Entry'!$­$992), "", 'Data Entry'!$­$992)</f>
      </c>
      <c r="DF992">
        <f>IF(ISBLANK('Data Entry'!$®$992), "", 'Data Entry'!$®$992)</f>
      </c>
      <c r="DG992">
        <f>IF(ISBLANK('Data Entry'!$¯$992), "", 'Data Entry'!$¯$992)</f>
      </c>
      <c r="DH992">
        <f>IF(ISBLANK('Data Entry'!$°$992), "", 'Data Entry'!$°$992)</f>
      </c>
      <c r="DI992">
        <f>IF(ISBLANK('Data Entry'!$±$992), "", 'Data Entry'!$±$992)</f>
      </c>
      <c r="DJ992">
        <f>IF(ISBLANK('Data Entry'!$²$992), "", 'Data Entry'!$²$992)</f>
      </c>
      <c r="DK992">
        <f>IF(ISBLANK('Data Entry'!$³$992), "", 'Data Entry'!$³$992)</f>
      </c>
      <c r="DL992">
        <f>IF(ISBLANK('Data Entry'!$´$992), "", 'Data Entry'!$´$992)</f>
      </c>
      <c r="DM992">
        <f>IF(ISBLANK('Data Entry'!$µ$992), "", 'Data Entry'!$µ$992)</f>
      </c>
      <c r="DN992">
        <f>IF(ISBLANK('Data Entry'!$¶$992), "", 'Data Entry'!$¶$992)</f>
      </c>
      <c r="DO992">
        <f>IF(ISBLANK('Data Entry'!$·$992), "", 'Data Entry'!$·$992)</f>
      </c>
      <c r="DP992">
        <f>IF(ISBLANK('Data Entry'!$¸$992), "", 'Data Entry'!$¸$992)</f>
      </c>
      <c r="DQ992">
        <f>IF(ISBLANK('Data Entry'!$¹$992), "", 'Data Entry'!$¹$992)</f>
      </c>
      <c r="DR992">
        <f>IF(ISBLANK('Data Entry'!$º$992), "", 'Data Entry'!$º$992)</f>
      </c>
      <c r="DS992">
        <f>IF(ISBLANK('Data Entry'!$»$992), "", 'Data Entry'!$»$992)</f>
      </c>
      <c r="DT992">
        <f>IF(ISBLANK('Data Entry'!$¼$992), "", 'Data Entry'!$¼$992)</f>
      </c>
      <c r="DU992">
        <f>IF(ISBLANK('Data Entry'!$½$992), "", 'Data Entry'!$½$992)</f>
      </c>
      <c r="DV992">
        <f>IF(ISBLANK('Data Entry'!$¾$992), "", 'Data Entry'!$¾$992)</f>
      </c>
      <c r="DW992">
        <f>IF(ISBLANK('Data Entry'!$¿$992), "", 'Data Entry'!$¿$992)</f>
      </c>
      <c r="DX992">
        <f>IF(ISBLANK('Data Entry'!$À$992), "", 'Data Entry'!$À$992)</f>
      </c>
      <c r="DY992">
        <f>IF(ISBLANK('Data Entry'!$Á$992), "", 'Data Entry'!$Á$992)</f>
      </c>
      <c r="DZ992">
        <f>IF(ISBLANK('Data Entry'!$Â$992), "", 'Data Entry'!$Â$992)</f>
      </c>
      <c r="EA992">
        <f>IF(ISBLANK('Data Entry'!$Ã$992), "", 'Data Entry'!$Ã$992)</f>
      </c>
      <c r="EB992">
        <f>IF(ISBLANK('Data Entry'!$Ä$992), "", 'Data Entry'!$Ä$992)</f>
      </c>
      <c r="EC992">
        <f>IF(ISBLANK('Data Entry'!$Å$992), "", 'Data Entry'!$Å$992)</f>
      </c>
      <c r="ED992">
        <f>IF(ISBLANK('Data Entry'!$Æ$992), "", 'Data Entry'!$Æ$992)</f>
      </c>
      <c r="EE992">
        <f>IF(ISBLANK('Data Entry'!$Ç$992), "", 'Data Entry'!$Ç$992)</f>
      </c>
      <c r="EF992">
        <f>IF(ISBLANK('Data Entry'!$È$992), "", 'Data Entry'!$È$992)</f>
      </c>
      <c r="EG992">
        <f>IF(ISBLANK('Data Entry'!$É$992), "", 'Data Entry'!$É$992)</f>
      </c>
      <c r="EH992">
        <f>IF(ISBLANK('Data Entry'!$Ê$992), "", 'Data Entry'!$Ê$992)</f>
      </c>
      <c r="EI992">
        <f>IF(ISBLANK('Data Entry'!$Ë$992), "", 'Data Entry'!$Ë$992)</f>
      </c>
      <c r="EJ992">
        <f>IF(ISBLANK('Data Entry'!$Ì$992), "", 'Data Entry'!$Ì$992)</f>
      </c>
      <c r="EK992">
        <f>IF(ISBLANK('Data Entry'!$Í$992), "", 'Data Entry'!$Í$992)</f>
      </c>
      <c r="EL992">
        <f>IF(ISBLANK('Data Entry'!$Î$992), "", 'Data Entry'!$Î$992)</f>
      </c>
      <c r="EM992">
        <f>IF(ISBLANK('Data Entry'!$Ï$992), "", 'Data Entry'!$Ï$992)</f>
      </c>
      <c r="EN992">
        <f>IF(ISBLANK('Data Entry'!$Ð$992), "", 'Data Entry'!$Ð$992)</f>
      </c>
      <c r="EO992">
        <f>IF(ISBLANK('Data Entry'!$Ñ$992), "", 'Data Entry'!$Ñ$992)</f>
      </c>
      <c r="EP992">
        <f>IF(ISBLANK('Data Entry'!$Ò$992), "", 'Data Entry'!$Ò$992)</f>
      </c>
      <c r="EQ992">
        <f>IF(ISBLANK('Data Entry'!$Ó$992), "", 'Data Entry'!$Ó$992)</f>
      </c>
      <c r="ER992">
        <f>IF(ISBLANK('Data Entry'!$Ô$992), "", 'Data Entry'!$Ô$992)</f>
      </c>
      <c r="ES992">
        <f>IF(ISBLANK('Data Entry'!$Õ$992), "", 'Data Entry'!$Õ$992)</f>
      </c>
      <c r="ET992">
        <f>IF(ISBLANK('Data Entry'!$Ö$992), "", 'Data Entry'!$Ö$992)</f>
      </c>
      <c r="EU992">
        <f>IF(ISBLANK('Data Entry'!$×$992), "", 'Data Entry'!$×$992)</f>
      </c>
      <c r="EV992">
        <f>IF(ISBLANK('Data Entry'!$Ø$992), "", 'Data Entry'!$Ø$992)</f>
      </c>
      <c r="EW992">
        <f>IF(ISBLANK('Data Entry'!$Ù$992), "", 'Data Entry'!$Ù$992)</f>
      </c>
      <c r="EX992">
        <f>IF(ISBLANK('Data Entry'!$Ú$992), "", 'Data Entry'!$Ú$992)</f>
      </c>
      <c r="EY992">
        <f>IF(ISBLANK('Data Entry'!$Û$992), "", 'Data Entry'!$Û$992)</f>
      </c>
      <c r="EZ992">
        <f>IF(ISBLANK('Data Entry'!$Ü$992), "", 'Data Entry'!$Ü$992)</f>
      </c>
      <c r="FA992">
        <f>IF(ISBLANK('Data Entry'!$Ý$992), "", 'Data Entry'!$Ý$992)</f>
      </c>
      <c r="FB992">
        <f>IF(ISBLANK('Data Entry'!$Þ$992), "", 'Data Entry'!$Þ$992)</f>
      </c>
      <c r="FC992">
        <f>IF(ISBLANK('Data Entry'!$ß$992), "", 'Data Entry'!$ß$992)</f>
      </c>
      <c r="FD992">
        <f>IF(ISBLANK('Data Entry'!$à$992), "", 'Data Entry'!$à$992)</f>
      </c>
      <c r="FE992">
        <f>IF(ISBLANK('Data Entry'!$á$992), "", 'Data Entry'!$á$992)</f>
      </c>
      <c r="FF992">
        <f>IF(ISBLANK('Data Entry'!$â$992), "", 'Data Entry'!$â$992)</f>
      </c>
      <c r="FG992">
        <f>IF(ISBLANK('Data Entry'!$ã$992), "", 'Data Entry'!$ã$992)</f>
      </c>
      <c r="FH992">
        <f>IF(ISBLANK('Data Entry'!$ä$992), "", 'Data Entry'!$ä$992)</f>
      </c>
      <c r="FI992">
        <f>IF(ISBLANK('Data Entry'!$å$992), "", 'Data Entry'!$å$992)</f>
      </c>
      <c r="FJ992">
        <f>IF(ISBLANK('Data Entry'!$æ$992), "", 'Data Entry'!$æ$992)</f>
      </c>
      <c r="FK992">
        <f>IF(ISBLANK('Data Entry'!$ç$992), "", 'Data Entry'!$ç$992)</f>
      </c>
      <c r="FL992">
        <f>IF(ISBLANK('Data Entry'!$è$992), "", 'Data Entry'!$è$992)</f>
      </c>
      <c r="FM992">
        <f>IF(ISBLANK('Data Entry'!$é$992), "", 'Data Entry'!$é$992)</f>
      </c>
      <c r="FN992">
        <f>IF(ISBLANK('Data Entry'!$ê$992), "", 'Data Entry'!$ê$992)</f>
      </c>
      <c r="FO992">
        <f>IF(ISBLANK('Data Entry'!$ë$992), "", 'Data Entry'!$ë$992)</f>
      </c>
      <c r="FP992">
        <f>IF(ISBLANK('Data Entry'!$ì$992), "", 'Data Entry'!$ì$992)</f>
      </c>
      <c r="FQ992">
        <f>IF(ISBLANK('Data Entry'!$í$992), "", 'Data Entry'!$í$992)</f>
      </c>
      <c r="FR992">
        <f>IF(ISBLANK('Data Entry'!$î$992), "", 'Data Entry'!$î$992)</f>
      </c>
      <c r="FS992">
        <f>IF(ISBLANK('Data Entry'!$ï$992), "", 'Data Entry'!$ï$992)</f>
      </c>
      <c r="FT992">
        <f>IF(ISBLANK('Data Entry'!$ð$992), "", 'Data Entry'!$ð$992)</f>
      </c>
      <c r="FU992">
        <f>IF(ISBLANK('Data Entry'!$ñ$992), "", 'Data Entry'!$ñ$992)</f>
      </c>
      <c r="FV992">
        <f>IF(ISBLANK('Data Entry'!$ò$992), "", 'Data Entry'!$ò$992)</f>
      </c>
      <c r="FW992">
        <f>IF(ISBLANK('Data Entry'!$ó$992), "", 'Data Entry'!$ó$992)</f>
      </c>
      <c r="FX992">
        <f>IF(ISBLANK('Data Entry'!$ô$992), "", 'Data Entry'!$ô$992)</f>
      </c>
      <c r="FY992">
        <f>IF(ISBLANK('Data Entry'!$õ$992), "", 'Data Entry'!$õ$992)</f>
      </c>
      <c r="FZ992">
        <f>IF(ISBLANK('Data Entry'!$ö$992), "", 'Data Entry'!$ö$992)</f>
      </c>
      <c r="GA992">
        <f>IF(ISBLANK('Data Entry'!$÷$992), "", 'Data Entry'!$÷$992)</f>
      </c>
      <c r="GB992">
        <f>IF(ISBLANK('Data Entry'!$ø$992), "", 'Data Entry'!$ø$992)</f>
      </c>
      <c r="GC992">
        <f>IF(ISBLANK('Data Entry'!$ù$992), "", 'Data Entry'!$ù$992)</f>
      </c>
      <c r="GD992">
        <f>IF(ISBLANK('Data Entry'!$ú$992), "", 'Data Entry'!$ú$992)</f>
      </c>
      <c r="GE992">
        <f>IF(ISBLANK('Data Entry'!$û$992), "", 'Data Entry'!$û$992)</f>
      </c>
      <c r="GF992">
        <f>IF(ISBLANK('Data Entry'!$ü$992), "", 'Data Entry'!$ü$992)</f>
      </c>
      <c r="GG992">
        <f>IF(ISBLANK('Data Entry'!$ý$992), "", 'Data Entry'!$ý$992)</f>
      </c>
      <c r="GH992">
        <f>IF(ISBLANK('Data Entry'!$þ$992), "", 'Data Entry'!$þ$992)</f>
      </c>
      <c r="GI992">
        <f>IF(ISBLANK('Data Entry'!$ÿ$992), "", 'Data Entry'!$ÿ$992)</f>
      </c>
      <c r="GJ992">
        <f>IF(ISBLANK('Data Entry'!$Ā$992), "", 'Data Entry'!$Ā$992)</f>
      </c>
      <c r="GK992">
        <f>IF(ISBLANK('Data Entry'!$ā$992), "", 'Data Entry'!$ā$992)</f>
      </c>
      <c r="GL992">
        <f>IF(ISBLANK('Data Entry'!$Ă$992), "", 'Data Entry'!$Ă$992)</f>
      </c>
      <c r="GM992">
        <f>IF(ISBLANK('Data Entry'!$ă$992), "", 'Data Entry'!$ă$992)</f>
      </c>
      <c r="GN992">
        <f>IF(ISBLANK('Data Entry'!$Ą$992), "", 'Data Entry'!$Ą$992)</f>
      </c>
      <c r="GO992">
        <f>IF(ISBLANK('Data Entry'!$ą$992), "", 'Data Entry'!$ą$992)</f>
      </c>
      <c r="GP992">
        <f>IF(ISBLANK('Data Entry'!$Ć$992), "", 'Data Entry'!$Ć$992)</f>
      </c>
      <c r="GQ992">
        <f>IF(ISBLANK('Data Entry'!$ć$992), "", 'Data Entry'!$ć$992)</f>
      </c>
      <c r="GR992">
        <f>IF(ISBLANK('Data Entry'!$Ĉ$992), "", 'Data Entry'!$Ĉ$992)</f>
      </c>
      <c r="GS992">
        <f>IF(ISBLANK('Data Entry'!$ĉ$992), "", 'Data Entry'!$ĉ$992)</f>
      </c>
      <c r="GT992">
        <f>IF(ISBLANK('Data Entry'!$Ċ$992), "", 'Data Entry'!$Ċ$992)</f>
      </c>
      <c r="GU992">
        <f>IF(ISBLANK('Data Entry'!$ċ$992), "", 'Data Entry'!$ċ$992)</f>
      </c>
      <c r="GV992">
        <f>IF(ISBLANK('Data Entry'!$Č$992), "", 'Data Entry'!$Č$992)</f>
      </c>
      <c r="GW992">
        <f>IF(ISBLANK('Data Entry'!$č$992), "", 'Data Entry'!$č$992)</f>
      </c>
      <c r="GX992">
        <f>IF(ISBLANK('Data Entry'!$Ď$992), "", 'Data Entry'!$Ď$992)</f>
      </c>
      <c r="GY992">
        <f>IF(ISBLANK('Data Entry'!$ď$992), "", 'Data Entry'!$ď$992)</f>
      </c>
      <c r="GZ992">
        <f>IF(ISBLANK('Data Entry'!$Đ$992), "", 'Data Entry'!$Đ$992)</f>
      </c>
      <c r="HA992">
        <f>IF(ISBLANK('Data Entry'!$đ$992), "", 'Data Entry'!$đ$992)</f>
      </c>
      <c r="HB992">
        <f>IF(ISBLANK('Data Entry'!$Ē$992), "", 'Data Entry'!$Ē$992)</f>
      </c>
      <c r="HC992">
        <f>IF(ISBLANK('Data Entry'!$ē$992), "", 'Data Entry'!$ē$992)</f>
      </c>
      <c r="HD992">
        <f>IF(ISBLANK('Data Entry'!$Ĕ$992), "", 'Data Entry'!$Ĕ$992)</f>
      </c>
      <c r="HE992">
        <f>IF(ISBLANK('Data Entry'!$ĕ$992), "", 'Data Entry'!$ĕ$992)</f>
      </c>
      <c r="HF992">
        <f>IF(ISBLANK('Data Entry'!$Ė$992), "", 'Data Entry'!$Ė$992)</f>
      </c>
      <c r="HG992">
        <f>IF(ISBLANK('Data Entry'!$ė$992), "", 'Data Entry'!$ė$992)</f>
      </c>
      <c r="HH992">
        <f>IF(ISBLANK('Data Entry'!$Ę$992), "", 'Data Entry'!$Ę$992)</f>
      </c>
      <c r="HI992">
        <f>IF(ISBLANK('Data Entry'!$ę$992), "", 'Data Entry'!$ę$992)</f>
      </c>
      <c r="HJ992">
        <f>IF(ISBLANK('Data Entry'!$Ě$992), "", 'Data Entry'!$Ě$992)</f>
      </c>
      <c r="HK992">
        <f>IF(ISBLANK('Data Entry'!$ě$992), "", 'Data Entry'!$ě$992)</f>
      </c>
      <c r="HL992">
        <f>IF(ISBLANK('Data Entry'!$Ĝ$992), "", 'Data Entry'!$Ĝ$992)</f>
      </c>
      <c r="HM992">
        <f>IF(ISBLANK('Data Entry'!$ĝ$992), "", 'Data Entry'!$ĝ$992)</f>
      </c>
      <c r="HN992">
        <f>IF(ISBLANK('Data Entry'!$Ğ$992), "", 'Data Entry'!$Ğ$992)</f>
      </c>
      <c r="HO992">
        <f>IF(ISBLANK('Data Entry'!$ğ$992), "", 'Data Entry'!$ğ$992)</f>
      </c>
      <c r="HP992">
        <f>IF(ISBLANK('Data Entry'!$Ġ$992), "", 'Data Entry'!$Ġ$992)</f>
      </c>
      <c r="HQ992">
        <f>IF(ISBLANK('Data Entry'!$ġ$992), "", 'Data Entry'!$ġ$992)</f>
      </c>
      <c r="HR992">
        <f>IF(ISBLANK('Data Entry'!$Ģ$992), "", 'Data Entry'!$Ģ$992)</f>
      </c>
      <c r="HS992">
        <f>IF(ISBLANK('Data Entry'!$ģ$992), "", 'Data Entry'!$ģ$992)</f>
      </c>
      <c r="HT992">
        <f>IF(ISBLANK('Data Entry'!$Ĥ$992), "", 'Data Entry'!$Ĥ$992)</f>
      </c>
      <c r="HU992">
        <f>IF(ISBLANK('Data Entry'!$ĥ$992), "", 'Data Entry'!$ĥ$992)</f>
      </c>
      <c r="HV992">
        <f>IF(ISBLANK('Data Entry'!$Ħ$992), "", 'Data Entry'!$Ħ$992)</f>
      </c>
      <c r="HW992">
        <f>IF(ISBLANK('Data Entry'!$ħ$992), "", 'Data Entry'!$ħ$992)</f>
      </c>
      <c r="HX992">
        <f>IF(ISBLANK('Data Entry'!$Ĩ$992), "", 'Data Entry'!$Ĩ$992)</f>
      </c>
      <c r="HY992">
        <f>IF(ISBLANK('Data Entry'!$ĩ$992), "", 'Data Entry'!$ĩ$992)</f>
      </c>
      <c r="HZ992">
        <f>IF(ISBLANK('Data Entry'!$Ī$992), "", 'Data Entry'!$Ī$992)</f>
      </c>
      <c r="IA992">
        <f>IF(ISBLANK('Data Entry'!$ī$992), "", 'Data Entry'!$ī$992)</f>
      </c>
      <c r="IB992">
        <f>IF(ISBLANK('Data Entry'!$Ĭ$992), "", 'Data Entry'!$Ĭ$992)</f>
      </c>
      <c r="IC992">
        <f>IF(ISBLANK('Data Entry'!$ĭ$992), "", 'Data Entry'!$ĭ$992)</f>
      </c>
      <c r="ID992">
        <f>IF(ISBLANK('Data Entry'!$Į$992), "", 'Data Entry'!$Į$992)</f>
      </c>
      <c r="IE992">
        <f>IF(ISBLANK('Data Entry'!$į$992), "", 'Data Entry'!$į$992)</f>
      </c>
      <c r="IF992">
        <f>IF(ISBLANK('Data Entry'!$İ$992), "", 'Data Entry'!$İ$992)</f>
      </c>
      <c r="IG992">
        <f>IF(ISBLANK('Data Entry'!$ı$992), "", 'Data Entry'!$ı$992)</f>
      </c>
      <c r="IH992">
        <f>IF(ISBLANK('Data Entry'!$Ĳ$992), "", 'Data Entry'!$Ĳ$992)</f>
      </c>
      <c r="II992">
        <f>IF(ISBLANK('Data Entry'!$ĳ$992), "", 'Data Entry'!$ĳ$992)</f>
      </c>
      <c r="IJ992">
        <f>IF(ISBLANK('Data Entry'!$Ĵ$992), "", 'Data Entry'!$Ĵ$992)</f>
      </c>
      <c r="IK992">
        <f>IF(ISBLANK('Data Entry'!$ĵ$992), "", 'Data Entry'!$ĵ$992)</f>
      </c>
      <c r="IL992">
        <f>IF(ISBLANK('Data Entry'!$Ķ$992), "", 'Data Entry'!$Ķ$992)</f>
      </c>
      <c r="IM992">
        <f>IF(ISBLANK('Data Entry'!$ķ$992), "", 'Data Entry'!$ķ$992)</f>
      </c>
      <c r="IN992">
        <f>IF(ISBLANK('Data Entry'!$ĸ$992), "", 'Data Entry'!$ĸ$992)</f>
      </c>
      <c r="IO992">
        <f>IF(ISBLANK('Data Entry'!$Ĺ$992), "", 'Data Entry'!$Ĺ$992)</f>
      </c>
      <c r="IP992">
        <f>IF(ISBLANK('Data Entry'!$ĺ$992), "", 'Data Entry'!$ĺ$992)</f>
      </c>
      <c r="IQ992">
        <f>IF(ISBLANK('Data Entry'!$Ļ$992), "", 'Data Entry'!$Ļ$992)</f>
      </c>
      <c r="IR992">
        <f>IF(ISBLANK('Data Entry'!$ļ$992), "", 'Data Entry'!$ļ$992)</f>
      </c>
      <c r="IS992">
        <f>IF(ISBLANK('Data Entry'!$Ľ$992), "", 'Data Entry'!$Ľ$992)</f>
      </c>
      <c r="IT992">
        <f>IF(ISBLANK('Data Entry'!$ľ$992), "", 'Data Entry'!$ľ$992)</f>
      </c>
    </row>
    <row r="993" spans="1:254" x14ac:dyDescent="0.25">
      <c r="A993">
        <f>IF(ISBLANK('Data Entry'!$A$993), "", 'Data Entry'!$A$993)</f>
      </c>
      <c r="B993">
        <f>IF(ISBLANK('Data Entry'!$B$993), "", 'Data Entry'!$B$993)</f>
      </c>
      <c r="C993">
        <f>IF(ISBLANK('Data Entry'!$C$993), "", 'Data Entry'!$C$993)</f>
      </c>
      <c r="D993">
        <f>IF(ISBLANK('Data Entry'!$D$993), "", 'Data Entry'!$D$993)</f>
      </c>
      <c r="E993">
        <f>IF(ISBLANK('Data Entry'!$E$993), "", 'Data Entry'!$E$993)</f>
      </c>
      <c r="F993">
        <f>IF(ISBLANK('Data Entry'!$F$993), "", 'Data Entry'!$F$993)</f>
      </c>
      <c r="G993">
        <f>IF(ISBLANK('Data Entry'!$G$993), "", 'Data Entry'!$G$993)</f>
      </c>
      <c r="H993">
        <f>IF(ISBLANK('Data Entry'!$H$993), "", 'Data Entry'!$H$993)</f>
      </c>
      <c r="I993">
        <f>IF(ISBLANK('Data Entry'!$I$993), "", 'Data Entry'!$I$993)</f>
      </c>
      <c r="J993">
        <f>IF(ISBLANK('Data Entry'!$J$993), "", 'Data Entry'!$J$993)</f>
      </c>
      <c r="K993">
        <f>IF(ISBLANK('Data Entry'!$K$993), "", 'Data Entry'!$K$993)</f>
      </c>
      <c r="L993">
        <f>IF(ISBLANK('Data Entry'!$L$993), "", 'Data Entry'!$L$993)</f>
      </c>
      <c r="M993">
        <f>IF(ISBLANK('Data Entry'!$M$993), "", 'Data Entry'!$M$993)</f>
      </c>
      <c r="N993">
        <f>IF(ISBLANK('Data Entry'!$N$993), "", 'Data Entry'!$N$993)</f>
      </c>
      <c r="O993">
        <f>IF(ISBLANK('Data Entry'!$O$993), "", 'Data Entry'!$O$993)</f>
      </c>
      <c r="P993">
        <f>IF(ISBLANK('Data Entry'!$P$993), "", 'Data Entry'!$P$993)</f>
      </c>
      <c r="Q993">
        <f>IF(ISBLANK('Data Entry'!$Q$993), "", 'Data Entry'!$Q$993)</f>
      </c>
      <c r="R993">
        <f>IF(ISBLANK('Data Entry'!$R$993), "", 'Data Entry'!$R$993)</f>
      </c>
      <c r="S993">
        <f>IF(ISBLANK('Data Entry'!$S$993), "", 'Data Entry'!$S$993)</f>
      </c>
      <c r="T993">
        <f>IF(ISBLANK('Data Entry'!$T$993), "", 'Data Entry'!$T$993)</f>
      </c>
      <c r="U993">
        <f>IF(ISBLANK('Data Entry'!$U$993), "", 'Data Entry'!$U$993)</f>
      </c>
      <c r="V993">
        <f>IF(ISBLANK('Data Entry'!$V$993), "", 'Data Entry'!$V$993)</f>
      </c>
      <c r="W993">
        <f>IF(ISBLANK('Data Entry'!$W$993), "", 'Data Entry'!$W$993)</f>
      </c>
      <c r="X993">
        <f>IF(ISBLANK('Data Entry'!$X$993), "", 'Data Entry'!$X$993)</f>
      </c>
      <c r="Y993">
        <f>IF(ISBLANK('Data Entry'!$Y$993), "", 'Data Entry'!$Y$993)</f>
      </c>
      <c r="Z993">
        <f>IF(ISBLANK('Data Entry'!$Z$993), "", 'Data Entry'!$Z$993)</f>
      </c>
      <c r="AA993">
        <f>IF(ISBLANK('Data Entry'!$[$993), "", 'Data Entry'!$[$993)</f>
      </c>
      <c r="AB993">
        <f>IF(ISBLANK('Data Entry'!$\$993), "", 'Data Entry'!$\$993)</f>
      </c>
      <c r="AC993">
        <f>IF(ISBLANK('Data Entry'!$]$993), "", 'Data Entry'!$]$993)</f>
      </c>
      <c r="AD993">
        <f>IF(ISBLANK('Data Entry'!$^$993), "", 'Data Entry'!$^$993)</f>
      </c>
      <c r="AE993">
        <f>IF(ISBLANK('Data Entry'!$_$993), "", 'Data Entry'!$_$993)</f>
      </c>
      <c r="AF993">
        <f>IF(ISBLANK('Data Entry'!$`$993), "", 'Data Entry'!$`$993)</f>
      </c>
      <c r="AG993">
        <f>IF(ISBLANK('Data Entry'!$a$993), "", 'Data Entry'!$a$993)</f>
      </c>
      <c r="AH993">
        <f>IF(ISBLANK('Data Entry'!$b$993), "", 'Data Entry'!$b$993)</f>
      </c>
      <c r="AI993">
        <f>IF(ISBLANK('Data Entry'!$c$993), "", 'Data Entry'!$c$993)</f>
      </c>
      <c r="AJ993">
        <f>IF(ISBLANK('Data Entry'!$d$993), "", 'Data Entry'!$d$993)</f>
      </c>
      <c r="AK993">
        <f>IF(ISBLANK('Data Entry'!$e$993), "", 'Data Entry'!$e$993)</f>
      </c>
      <c r="AL993">
        <f>IF(ISBLANK('Data Entry'!$f$993), "", 'Data Entry'!$f$993)</f>
      </c>
      <c r="AM993">
        <f>IF(ISBLANK('Data Entry'!$g$993), "", 'Data Entry'!$g$993)</f>
      </c>
      <c r="AN993">
        <f>IF(ISBLANK('Data Entry'!$h$993), "", 'Data Entry'!$h$993)</f>
      </c>
      <c r="AO993">
        <f>IF(ISBLANK('Data Entry'!$i$993), "", 'Data Entry'!$i$993)</f>
      </c>
      <c r="AP993">
        <f>IF(ISBLANK('Data Entry'!$j$993), "", 'Data Entry'!$j$993)</f>
      </c>
      <c r="AQ993">
        <f>IF(ISBLANK('Data Entry'!$k$993), "", 'Data Entry'!$k$993)</f>
      </c>
      <c r="AR993">
        <f>IF(ISBLANK('Data Entry'!$l$993), "", 'Data Entry'!$l$993)</f>
      </c>
      <c r="AS993">
        <f>IF(ISBLANK('Data Entry'!$m$993), "", 'Data Entry'!$m$993)</f>
      </c>
      <c r="AT993">
        <f>IF(ISBLANK('Data Entry'!$n$993), "", 'Data Entry'!$n$993)</f>
      </c>
      <c r="AU993">
        <f>IF(ISBLANK('Data Entry'!$o$993), "", 'Data Entry'!$o$993)</f>
      </c>
      <c r="AV993">
        <f>IF(ISBLANK('Data Entry'!$p$993), "", 'Data Entry'!$p$993)</f>
      </c>
      <c r="AW993">
        <f>IF(ISBLANK('Data Entry'!$q$993), "", 'Data Entry'!$q$993)</f>
      </c>
      <c r="AX993">
        <f>IF(ISBLANK('Data Entry'!$r$993), "", 'Data Entry'!$r$993)</f>
      </c>
      <c r="AY993">
        <f>IF(ISBLANK('Data Entry'!$s$993), "", 'Data Entry'!$s$993)</f>
      </c>
      <c r="AZ993">
        <f>IF(ISBLANK('Data Entry'!$t$993), "", 'Data Entry'!$t$993)</f>
      </c>
      <c r="BA993">
        <f>IF(ISBLANK('Data Entry'!$u$993), "", 'Data Entry'!$u$993)</f>
      </c>
      <c r="BB993">
        <f>IF(ISBLANK('Data Entry'!$v$993), "", 'Data Entry'!$v$993)</f>
      </c>
      <c r="BC993">
        <f>IF(ISBLANK('Data Entry'!$w$993), "", 'Data Entry'!$w$993)</f>
      </c>
      <c r="BD993">
        <f>IF(ISBLANK('Data Entry'!$x$993), "", 'Data Entry'!$x$993)</f>
      </c>
      <c r="BE993">
        <f>IF(ISBLANK('Data Entry'!$y$993), "", 'Data Entry'!$y$993)</f>
      </c>
      <c r="BF993">
        <f>IF(ISBLANK('Data Entry'!$z$993), "", 'Data Entry'!$z$993)</f>
      </c>
      <c r="BG993">
        <f>IF(ISBLANK('Data Entry'!${$993), "", 'Data Entry'!${$993)</f>
      </c>
      <c r="BH993">
        <f>IF(ISBLANK('Data Entry'!$|$993), "", 'Data Entry'!$|$993)</f>
      </c>
      <c r="BI993">
        <f>IF(ISBLANK('Data Entry'!$}$993), "", 'Data Entry'!$}$993)</f>
      </c>
      <c r="BJ993">
        <f>IF(ISBLANK('Data Entry'!$~$993), "", 'Data Entry'!$~$993)</f>
      </c>
      <c r="BK993">
        <f>IF(ISBLANK('Data Entry'!$$993), "", 'Data Entry'!$$993)</f>
      </c>
      <c r="BL993">
        <f>IF(ISBLANK('Data Entry'!$$993), "", 'Data Entry'!$$993)</f>
      </c>
      <c r="BM993">
        <f>IF(ISBLANK('Data Entry'!$$993), "", 'Data Entry'!$$993)</f>
      </c>
      <c r="BN993">
        <f>IF(ISBLANK('Data Entry'!$$993), "", 'Data Entry'!$$993)</f>
      </c>
      <c r="BO993">
        <f>IF(ISBLANK('Data Entry'!$$993), "", 'Data Entry'!$$993)</f>
      </c>
      <c r="BP993">
        <f>IF(ISBLANK('Data Entry'!$$993), "", 'Data Entry'!$$993)</f>
      </c>
      <c r="BQ993">
        <f>IF(ISBLANK('Data Entry'!$$993), "", 'Data Entry'!$$993)</f>
      </c>
      <c r="BR993">
        <f>IF(ISBLANK('Data Entry'!$$993), "", 'Data Entry'!$$993)</f>
      </c>
      <c r="BS993">
        <f>IF(ISBLANK('Data Entry'!$$993), "", 'Data Entry'!$$993)</f>
      </c>
      <c r="BT993">
        <f>IF(ISBLANK('Data Entry'!$$993), "", 'Data Entry'!$$993)</f>
      </c>
      <c r="BU993">
        <f>IF(ISBLANK('Data Entry'!$$993), "", 'Data Entry'!$$993)</f>
      </c>
      <c r="BV993">
        <f>IF(ISBLANK('Data Entry'!$$993), "", 'Data Entry'!$$993)</f>
      </c>
      <c r="BW993">
        <f>IF(ISBLANK('Data Entry'!$$993), "", 'Data Entry'!$$993)</f>
      </c>
      <c r="BX993">
        <f>IF(ISBLANK('Data Entry'!$$993), "", 'Data Entry'!$$993)</f>
      </c>
      <c r="BY993">
        <f>IF(ISBLANK('Data Entry'!$$993), "", 'Data Entry'!$$993)</f>
      </c>
      <c r="BZ993">
        <f>IF(ISBLANK('Data Entry'!$$993), "", 'Data Entry'!$$993)</f>
      </c>
      <c r="CA993">
        <f>IF(ISBLANK('Data Entry'!$$993), "", 'Data Entry'!$$993)</f>
      </c>
      <c r="CB993">
        <f>IF(ISBLANK('Data Entry'!$$993), "", 'Data Entry'!$$993)</f>
      </c>
      <c r="CC993">
        <f>IF(ISBLANK('Data Entry'!$$993), "", 'Data Entry'!$$993)</f>
      </c>
      <c r="CD993">
        <f>IF(ISBLANK('Data Entry'!$$993), "", 'Data Entry'!$$993)</f>
      </c>
      <c r="CE993">
        <f>IF(ISBLANK('Data Entry'!$$993), "", 'Data Entry'!$$993)</f>
      </c>
      <c r="CF993">
        <f>IF(ISBLANK('Data Entry'!$$993), "", 'Data Entry'!$$993)</f>
      </c>
      <c r="CG993">
        <f>IF(ISBLANK('Data Entry'!$$993), "", 'Data Entry'!$$993)</f>
      </c>
      <c r="CH993">
        <f>IF(ISBLANK('Data Entry'!$$993), "", 'Data Entry'!$$993)</f>
      </c>
      <c r="CI993">
        <f>IF(ISBLANK('Data Entry'!$$993), "", 'Data Entry'!$$993)</f>
      </c>
      <c r="CJ993">
        <f>IF(ISBLANK('Data Entry'!$$993), "", 'Data Entry'!$$993)</f>
      </c>
      <c r="CK993">
        <f>IF(ISBLANK('Data Entry'!$$993), "", 'Data Entry'!$$993)</f>
      </c>
      <c r="CL993">
        <f>IF(ISBLANK('Data Entry'!$$993), "", 'Data Entry'!$$993)</f>
      </c>
      <c r="CM993">
        <f>IF(ISBLANK('Data Entry'!$$993), "", 'Data Entry'!$$993)</f>
      </c>
      <c r="CN993">
        <f>IF(ISBLANK('Data Entry'!$$993), "", 'Data Entry'!$$993)</f>
      </c>
      <c r="CO993">
        <f>IF(ISBLANK('Data Entry'!$$993), "", 'Data Entry'!$$993)</f>
      </c>
      <c r="CP993">
        <f>IF(ISBLANK('Data Entry'!$$993), "", 'Data Entry'!$$993)</f>
      </c>
      <c r="CQ993">
        <f>IF(ISBLANK('Data Entry'!$$993), "", 'Data Entry'!$$993)</f>
      </c>
      <c r="CR993">
        <f>IF(ISBLANK('Data Entry'!$ $993), "", 'Data Entry'!$ $993)</f>
      </c>
      <c r="CS993">
        <f>IF(ISBLANK('Data Entry'!$¡$993), "", 'Data Entry'!$¡$993)</f>
      </c>
      <c r="CT993">
        <f>IF(ISBLANK('Data Entry'!$¢$993), "", 'Data Entry'!$¢$993)</f>
      </c>
      <c r="CU993">
        <f>IF(ISBLANK('Data Entry'!$£$993), "", 'Data Entry'!$£$993)</f>
      </c>
      <c r="CV993">
        <f>IF(ISBLANK('Data Entry'!$¤$993), "", 'Data Entry'!$¤$993)</f>
      </c>
      <c r="CW993">
        <f>IF(ISBLANK('Data Entry'!$¥$993), "", 'Data Entry'!$¥$993)</f>
      </c>
      <c r="CX993">
        <f>IF(ISBLANK('Data Entry'!$¦$993), "", 'Data Entry'!$¦$993)</f>
      </c>
      <c r="CY993">
        <f>IF(ISBLANK('Data Entry'!$§$993), "", 'Data Entry'!$§$993)</f>
      </c>
      <c r="CZ993">
        <f>IF(ISBLANK('Data Entry'!$¨$993), "", 'Data Entry'!$¨$993)</f>
      </c>
      <c r="DA993">
        <f>IF(ISBLANK('Data Entry'!$©$993), "", 'Data Entry'!$©$993)</f>
      </c>
      <c r="DB993">
        <f>IF(ISBLANK('Data Entry'!$ª$993), "", 'Data Entry'!$ª$993)</f>
      </c>
      <c r="DC993">
        <f>IF(ISBLANK('Data Entry'!$«$993), "", 'Data Entry'!$«$993)</f>
      </c>
      <c r="DD993">
        <f>IF(ISBLANK('Data Entry'!$¬$993), "", 'Data Entry'!$¬$993)</f>
      </c>
      <c r="DE993">
        <f>IF(ISBLANK('Data Entry'!$­$993), "", 'Data Entry'!$­$993)</f>
      </c>
      <c r="DF993">
        <f>IF(ISBLANK('Data Entry'!$®$993), "", 'Data Entry'!$®$993)</f>
      </c>
      <c r="DG993">
        <f>IF(ISBLANK('Data Entry'!$¯$993), "", 'Data Entry'!$¯$993)</f>
      </c>
      <c r="DH993">
        <f>IF(ISBLANK('Data Entry'!$°$993), "", 'Data Entry'!$°$993)</f>
      </c>
      <c r="DI993">
        <f>IF(ISBLANK('Data Entry'!$±$993), "", 'Data Entry'!$±$993)</f>
      </c>
      <c r="DJ993">
        <f>IF(ISBLANK('Data Entry'!$²$993), "", 'Data Entry'!$²$993)</f>
      </c>
      <c r="DK993">
        <f>IF(ISBLANK('Data Entry'!$³$993), "", 'Data Entry'!$³$993)</f>
      </c>
      <c r="DL993">
        <f>IF(ISBLANK('Data Entry'!$´$993), "", 'Data Entry'!$´$993)</f>
      </c>
      <c r="DM993">
        <f>IF(ISBLANK('Data Entry'!$µ$993), "", 'Data Entry'!$µ$993)</f>
      </c>
      <c r="DN993">
        <f>IF(ISBLANK('Data Entry'!$¶$993), "", 'Data Entry'!$¶$993)</f>
      </c>
      <c r="DO993">
        <f>IF(ISBLANK('Data Entry'!$·$993), "", 'Data Entry'!$·$993)</f>
      </c>
      <c r="DP993">
        <f>IF(ISBLANK('Data Entry'!$¸$993), "", 'Data Entry'!$¸$993)</f>
      </c>
      <c r="DQ993">
        <f>IF(ISBLANK('Data Entry'!$¹$993), "", 'Data Entry'!$¹$993)</f>
      </c>
      <c r="DR993">
        <f>IF(ISBLANK('Data Entry'!$º$993), "", 'Data Entry'!$º$993)</f>
      </c>
      <c r="DS993">
        <f>IF(ISBLANK('Data Entry'!$»$993), "", 'Data Entry'!$»$993)</f>
      </c>
      <c r="DT993">
        <f>IF(ISBLANK('Data Entry'!$¼$993), "", 'Data Entry'!$¼$993)</f>
      </c>
      <c r="DU993">
        <f>IF(ISBLANK('Data Entry'!$½$993), "", 'Data Entry'!$½$993)</f>
      </c>
      <c r="DV993">
        <f>IF(ISBLANK('Data Entry'!$¾$993), "", 'Data Entry'!$¾$993)</f>
      </c>
      <c r="DW993">
        <f>IF(ISBLANK('Data Entry'!$¿$993), "", 'Data Entry'!$¿$993)</f>
      </c>
      <c r="DX993">
        <f>IF(ISBLANK('Data Entry'!$À$993), "", 'Data Entry'!$À$993)</f>
      </c>
      <c r="DY993">
        <f>IF(ISBLANK('Data Entry'!$Á$993), "", 'Data Entry'!$Á$993)</f>
      </c>
      <c r="DZ993">
        <f>IF(ISBLANK('Data Entry'!$Â$993), "", 'Data Entry'!$Â$993)</f>
      </c>
      <c r="EA993">
        <f>IF(ISBLANK('Data Entry'!$Ã$993), "", 'Data Entry'!$Ã$993)</f>
      </c>
      <c r="EB993">
        <f>IF(ISBLANK('Data Entry'!$Ä$993), "", 'Data Entry'!$Ä$993)</f>
      </c>
      <c r="EC993">
        <f>IF(ISBLANK('Data Entry'!$Å$993), "", 'Data Entry'!$Å$993)</f>
      </c>
      <c r="ED993">
        <f>IF(ISBLANK('Data Entry'!$Æ$993), "", 'Data Entry'!$Æ$993)</f>
      </c>
      <c r="EE993">
        <f>IF(ISBLANK('Data Entry'!$Ç$993), "", 'Data Entry'!$Ç$993)</f>
      </c>
      <c r="EF993">
        <f>IF(ISBLANK('Data Entry'!$È$993), "", 'Data Entry'!$È$993)</f>
      </c>
      <c r="EG993">
        <f>IF(ISBLANK('Data Entry'!$É$993), "", 'Data Entry'!$É$993)</f>
      </c>
      <c r="EH993">
        <f>IF(ISBLANK('Data Entry'!$Ê$993), "", 'Data Entry'!$Ê$993)</f>
      </c>
      <c r="EI993">
        <f>IF(ISBLANK('Data Entry'!$Ë$993), "", 'Data Entry'!$Ë$993)</f>
      </c>
      <c r="EJ993">
        <f>IF(ISBLANK('Data Entry'!$Ì$993), "", 'Data Entry'!$Ì$993)</f>
      </c>
      <c r="EK993">
        <f>IF(ISBLANK('Data Entry'!$Í$993), "", 'Data Entry'!$Í$993)</f>
      </c>
      <c r="EL993">
        <f>IF(ISBLANK('Data Entry'!$Î$993), "", 'Data Entry'!$Î$993)</f>
      </c>
      <c r="EM993">
        <f>IF(ISBLANK('Data Entry'!$Ï$993), "", 'Data Entry'!$Ï$993)</f>
      </c>
      <c r="EN993">
        <f>IF(ISBLANK('Data Entry'!$Ð$993), "", 'Data Entry'!$Ð$993)</f>
      </c>
      <c r="EO993">
        <f>IF(ISBLANK('Data Entry'!$Ñ$993), "", 'Data Entry'!$Ñ$993)</f>
      </c>
      <c r="EP993">
        <f>IF(ISBLANK('Data Entry'!$Ò$993), "", 'Data Entry'!$Ò$993)</f>
      </c>
      <c r="EQ993">
        <f>IF(ISBLANK('Data Entry'!$Ó$993), "", 'Data Entry'!$Ó$993)</f>
      </c>
      <c r="ER993">
        <f>IF(ISBLANK('Data Entry'!$Ô$993), "", 'Data Entry'!$Ô$993)</f>
      </c>
      <c r="ES993">
        <f>IF(ISBLANK('Data Entry'!$Õ$993), "", 'Data Entry'!$Õ$993)</f>
      </c>
      <c r="ET993">
        <f>IF(ISBLANK('Data Entry'!$Ö$993), "", 'Data Entry'!$Ö$993)</f>
      </c>
      <c r="EU993">
        <f>IF(ISBLANK('Data Entry'!$×$993), "", 'Data Entry'!$×$993)</f>
      </c>
      <c r="EV993">
        <f>IF(ISBLANK('Data Entry'!$Ø$993), "", 'Data Entry'!$Ø$993)</f>
      </c>
      <c r="EW993">
        <f>IF(ISBLANK('Data Entry'!$Ù$993), "", 'Data Entry'!$Ù$993)</f>
      </c>
      <c r="EX993">
        <f>IF(ISBLANK('Data Entry'!$Ú$993), "", 'Data Entry'!$Ú$993)</f>
      </c>
      <c r="EY993">
        <f>IF(ISBLANK('Data Entry'!$Û$993), "", 'Data Entry'!$Û$993)</f>
      </c>
      <c r="EZ993">
        <f>IF(ISBLANK('Data Entry'!$Ü$993), "", 'Data Entry'!$Ü$993)</f>
      </c>
      <c r="FA993">
        <f>IF(ISBLANK('Data Entry'!$Ý$993), "", 'Data Entry'!$Ý$993)</f>
      </c>
      <c r="FB993">
        <f>IF(ISBLANK('Data Entry'!$Þ$993), "", 'Data Entry'!$Þ$993)</f>
      </c>
      <c r="FC993">
        <f>IF(ISBLANK('Data Entry'!$ß$993), "", 'Data Entry'!$ß$993)</f>
      </c>
      <c r="FD993">
        <f>IF(ISBLANK('Data Entry'!$à$993), "", 'Data Entry'!$à$993)</f>
      </c>
      <c r="FE993">
        <f>IF(ISBLANK('Data Entry'!$á$993), "", 'Data Entry'!$á$993)</f>
      </c>
      <c r="FF993">
        <f>IF(ISBLANK('Data Entry'!$â$993), "", 'Data Entry'!$â$993)</f>
      </c>
      <c r="FG993">
        <f>IF(ISBLANK('Data Entry'!$ã$993), "", 'Data Entry'!$ã$993)</f>
      </c>
      <c r="FH993">
        <f>IF(ISBLANK('Data Entry'!$ä$993), "", 'Data Entry'!$ä$993)</f>
      </c>
      <c r="FI993">
        <f>IF(ISBLANK('Data Entry'!$å$993), "", 'Data Entry'!$å$993)</f>
      </c>
      <c r="FJ993">
        <f>IF(ISBLANK('Data Entry'!$æ$993), "", 'Data Entry'!$æ$993)</f>
      </c>
      <c r="FK993">
        <f>IF(ISBLANK('Data Entry'!$ç$993), "", 'Data Entry'!$ç$993)</f>
      </c>
      <c r="FL993">
        <f>IF(ISBLANK('Data Entry'!$è$993), "", 'Data Entry'!$è$993)</f>
      </c>
      <c r="FM993">
        <f>IF(ISBLANK('Data Entry'!$é$993), "", 'Data Entry'!$é$993)</f>
      </c>
      <c r="FN993">
        <f>IF(ISBLANK('Data Entry'!$ê$993), "", 'Data Entry'!$ê$993)</f>
      </c>
      <c r="FO993">
        <f>IF(ISBLANK('Data Entry'!$ë$993), "", 'Data Entry'!$ë$993)</f>
      </c>
      <c r="FP993">
        <f>IF(ISBLANK('Data Entry'!$ì$993), "", 'Data Entry'!$ì$993)</f>
      </c>
      <c r="FQ993">
        <f>IF(ISBLANK('Data Entry'!$í$993), "", 'Data Entry'!$í$993)</f>
      </c>
      <c r="FR993">
        <f>IF(ISBLANK('Data Entry'!$î$993), "", 'Data Entry'!$î$993)</f>
      </c>
      <c r="FS993">
        <f>IF(ISBLANK('Data Entry'!$ï$993), "", 'Data Entry'!$ï$993)</f>
      </c>
      <c r="FT993">
        <f>IF(ISBLANK('Data Entry'!$ð$993), "", 'Data Entry'!$ð$993)</f>
      </c>
      <c r="FU993">
        <f>IF(ISBLANK('Data Entry'!$ñ$993), "", 'Data Entry'!$ñ$993)</f>
      </c>
      <c r="FV993">
        <f>IF(ISBLANK('Data Entry'!$ò$993), "", 'Data Entry'!$ò$993)</f>
      </c>
      <c r="FW993">
        <f>IF(ISBLANK('Data Entry'!$ó$993), "", 'Data Entry'!$ó$993)</f>
      </c>
      <c r="FX993">
        <f>IF(ISBLANK('Data Entry'!$ô$993), "", 'Data Entry'!$ô$993)</f>
      </c>
      <c r="FY993">
        <f>IF(ISBLANK('Data Entry'!$õ$993), "", 'Data Entry'!$õ$993)</f>
      </c>
      <c r="FZ993">
        <f>IF(ISBLANK('Data Entry'!$ö$993), "", 'Data Entry'!$ö$993)</f>
      </c>
      <c r="GA993">
        <f>IF(ISBLANK('Data Entry'!$÷$993), "", 'Data Entry'!$÷$993)</f>
      </c>
      <c r="GB993">
        <f>IF(ISBLANK('Data Entry'!$ø$993), "", 'Data Entry'!$ø$993)</f>
      </c>
      <c r="GC993">
        <f>IF(ISBLANK('Data Entry'!$ù$993), "", 'Data Entry'!$ù$993)</f>
      </c>
      <c r="GD993">
        <f>IF(ISBLANK('Data Entry'!$ú$993), "", 'Data Entry'!$ú$993)</f>
      </c>
      <c r="GE993">
        <f>IF(ISBLANK('Data Entry'!$û$993), "", 'Data Entry'!$û$993)</f>
      </c>
      <c r="GF993">
        <f>IF(ISBLANK('Data Entry'!$ü$993), "", 'Data Entry'!$ü$993)</f>
      </c>
      <c r="GG993">
        <f>IF(ISBLANK('Data Entry'!$ý$993), "", 'Data Entry'!$ý$993)</f>
      </c>
      <c r="GH993">
        <f>IF(ISBLANK('Data Entry'!$þ$993), "", 'Data Entry'!$þ$993)</f>
      </c>
      <c r="GI993">
        <f>IF(ISBLANK('Data Entry'!$ÿ$993), "", 'Data Entry'!$ÿ$993)</f>
      </c>
      <c r="GJ993">
        <f>IF(ISBLANK('Data Entry'!$Ā$993), "", 'Data Entry'!$Ā$993)</f>
      </c>
      <c r="GK993">
        <f>IF(ISBLANK('Data Entry'!$ā$993), "", 'Data Entry'!$ā$993)</f>
      </c>
      <c r="GL993">
        <f>IF(ISBLANK('Data Entry'!$Ă$993), "", 'Data Entry'!$Ă$993)</f>
      </c>
      <c r="GM993">
        <f>IF(ISBLANK('Data Entry'!$ă$993), "", 'Data Entry'!$ă$993)</f>
      </c>
      <c r="GN993">
        <f>IF(ISBLANK('Data Entry'!$Ą$993), "", 'Data Entry'!$Ą$993)</f>
      </c>
      <c r="GO993">
        <f>IF(ISBLANK('Data Entry'!$ą$993), "", 'Data Entry'!$ą$993)</f>
      </c>
      <c r="GP993">
        <f>IF(ISBLANK('Data Entry'!$Ć$993), "", 'Data Entry'!$Ć$993)</f>
      </c>
      <c r="GQ993">
        <f>IF(ISBLANK('Data Entry'!$ć$993), "", 'Data Entry'!$ć$993)</f>
      </c>
      <c r="GR993">
        <f>IF(ISBLANK('Data Entry'!$Ĉ$993), "", 'Data Entry'!$Ĉ$993)</f>
      </c>
      <c r="GS993">
        <f>IF(ISBLANK('Data Entry'!$ĉ$993), "", 'Data Entry'!$ĉ$993)</f>
      </c>
      <c r="GT993">
        <f>IF(ISBLANK('Data Entry'!$Ċ$993), "", 'Data Entry'!$Ċ$993)</f>
      </c>
      <c r="GU993">
        <f>IF(ISBLANK('Data Entry'!$ċ$993), "", 'Data Entry'!$ċ$993)</f>
      </c>
      <c r="GV993">
        <f>IF(ISBLANK('Data Entry'!$Č$993), "", 'Data Entry'!$Č$993)</f>
      </c>
      <c r="GW993">
        <f>IF(ISBLANK('Data Entry'!$č$993), "", 'Data Entry'!$č$993)</f>
      </c>
      <c r="GX993">
        <f>IF(ISBLANK('Data Entry'!$Ď$993), "", 'Data Entry'!$Ď$993)</f>
      </c>
      <c r="GY993">
        <f>IF(ISBLANK('Data Entry'!$ď$993), "", 'Data Entry'!$ď$993)</f>
      </c>
      <c r="GZ993">
        <f>IF(ISBLANK('Data Entry'!$Đ$993), "", 'Data Entry'!$Đ$993)</f>
      </c>
      <c r="HA993">
        <f>IF(ISBLANK('Data Entry'!$đ$993), "", 'Data Entry'!$đ$993)</f>
      </c>
      <c r="HB993">
        <f>IF(ISBLANK('Data Entry'!$Ē$993), "", 'Data Entry'!$Ē$993)</f>
      </c>
      <c r="HC993">
        <f>IF(ISBLANK('Data Entry'!$ē$993), "", 'Data Entry'!$ē$993)</f>
      </c>
      <c r="HD993">
        <f>IF(ISBLANK('Data Entry'!$Ĕ$993), "", 'Data Entry'!$Ĕ$993)</f>
      </c>
      <c r="HE993">
        <f>IF(ISBLANK('Data Entry'!$ĕ$993), "", 'Data Entry'!$ĕ$993)</f>
      </c>
      <c r="HF993">
        <f>IF(ISBLANK('Data Entry'!$Ė$993), "", 'Data Entry'!$Ė$993)</f>
      </c>
      <c r="HG993">
        <f>IF(ISBLANK('Data Entry'!$ė$993), "", 'Data Entry'!$ė$993)</f>
      </c>
      <c r="HH993">
        <f>IF(ISBLANK('Data Entry'!$Ę$993), "", 'Data Entry'!$Ę$993)</f>
      </c>
      <c r="HI993">
        <f>IF(ISBLANK('Data Entry'!$ę$993), "", 'Data Entry'!$ę$993)</f>
      </c>
      <c r="HJ993">
        <f>IF(ISBLANK('Data Entry'!$Ě$993), "", 'Data Entry'!$Ě$993)</f>
      </c>
      <c r="HK993">
        <f>IF(ISBLANK('Data Entry'!$ě$993), "", 'Data Entry'!$ě$993)</f>
      </c>
      <c r="HL993">
        <f>IF(ISBLANK('Data Entry'!$Ĝ$993), "", 'Data Entry'!$Ĝ$993)</f>
      </c>
      <c r="HM993">
        <f>IF(ISBLANK('Data Entry'!$ĝ$993), "", 'Data Entry'!$ĝ$993)</f>
      </c>
      <c r="HN993">
        <f>IF(ISBLANK('Data Entry'!$Ğ$993), "", 'Data Entry'!$Ğ$993)</f>
      </c>
      <c r="HO993">
        <f>IF(ISBLANK('Data Entry'!$ğ$993), "", 'Data Entry'!$ğ$993)</f>
      </c>
      <c r="HP993">
        <f>IF(ISBLANK('Data Entry'!$Ġ$993), "", 'Data Entry'!$Ġ$993)</f>
      </c>
      <c r="HQ993">
        <f>IF(ISBLANK('Data Entry'!$ġ$993), "", 'Data Entry'!$ġ$993)</f>
      </c>
      <c r="HR993">
        <f>IF(ISBLANK('Data Entry'!$Ģ$993), "", 'Data Entry'!$Ģ$993)</f>
      </c>
      <c r="HS993">
        <f>IF(ISBLANK('Data Entry'!$ģ$993), "", 'Data Entry'!$ģ$993)</f>
      </c>
      <c r="HT993">
        <f>IF(ISBLANK('Data Entry'!$Ĥ$993), "", 'Data Entry'!$Ĥ$993)</f>
      </c>
      <c r="HU993">
        <f>IF(ISBLANK('Data Entry'!$ĥ$993), "", 'Data Entry'!$ĥ$993)</f>
      </c>
      <c r="HV993">
        <f>IF(ISBLANK('Data Entry'!$Ħ$993), "", 'Data Entry'!$Ħ$993)</f>
      </c>
      <c r="HW993">
        <f>IF(ISBLANK('Data Entry'!$ħ$993), "", 'Data Entry'!$ħ$993)</f>
      </c>
      <c r="HX993">
        <f>IF(ISBLANK('Data Entry'!$Ĩ$993), "", 'Data Entry'!$Ĩ$993)</f>
      </c>
      <c r="HY993">
        <f>IF(ISBLANK('Data Entry'!$ĩ$993), "", 'Data Entry'!$ĩ$993)</f>
      </c>
      <c r="HZ993">
        <f>IF(ISBLANK('Data Entry'!$Ī$993), "", 'Data Entry'!$Ī$993)</f>
      </c>
      <c r="IA993">
        <f>IF(ISBLANK('Data Entry'!$ī$993), "", 'Data Entry'!$ī$993)</f>
      </c>
      <c r="IB993">
        <f>IF(ISBLANK('Data Entry'!$Ĭ$993), "", 'Data Entry'!$Ĭ$993)</f>
      </c>
      <c r="IC993">
        <f>IF(ISBLANK('Data Entry'!$ĭ$993), "", 'Data Entry'!$ĭ$993)</f>
      </c>
      <c r="ID993">
        <f>IF(ISBLANK('Data Entry'!$Į$993), "", 'Data Entry'!$Į$993)</f>
      </c>
      <c r="IE993">
        <f>IF(ISBLANK('Data Entry'!$į$993), "", 'Data Entry'!$į$993)</f>
      </c>
      <c r="IF993">
        <f>IF(ISBLANK('Data Entry'!$İ$993), "", 'Data Entry'!$İ$993)</f>
      </c>
      <c r="IG993">
        <f>IF(ISBLANK('Data Entry'!$ı$993), "", 'Data Entry'!$ı$993)</f>
      </c>
      <c r="IH993">
        <f>IF(ISBLANK('Data Entry'!$Ĳ$993), "", 'Data Entry'!$Ĳ$993)</f>
      </c>
      <c r="II993">
        <f>IF(ISBLANK('Data Entry'!$ĳ$993), "", 'Data Entry'!$ĳ$993)</f>
      </c>
      <c r="IJ993">
        <f>IF(ISBLANK('Data Entry'!$Ĵ$993), "", 'Data Entry'!$Ĵ$993)</f>
      </c>
      <c r="IK993">
        <f>IF(ISBLANK('Data Entry'!$ĵ$993), "", 'Data Entry'!$ĵ$993)</f>
      </c>
      <c r="IL993">
        <f>IF(ISBLANK('Data Entry'!$Ķ$993), "", 'Data Entry'!$Ķ$993)</f>
      </c>
      <c r="IM993">
        <f>IF(ISBLANK('Data Entry'!$ķ$993), "", 'Data Entry'!$ķ$993)</f>
      </c>
      <c r="IN993">
        <f>IF(ISBLANK('Data Entry'!$ĸ$993), "", 'Data Entry'!$ĸ$993)</f>
      </c>
      <c r="IO993">
        <f>IF(ISBLANK('Data Entry'!$Ĺ$993), "", 'Data Entry'!$Ĺ$993)</f>
      </c>
      <c r="IP993">
        <f>IF(ISBLANK('Data Entry'!$ĺ$993), "", 'Data Entry'!$ĺ$993)</f>
      </c>
      <c r="IQ993">
        <f>IF(ISBLANK('Data Entry'!$Ļ$993), "", 'Data Entry'!$Ļ$993)</f>
      </c>
      <c r="IR993">
        <f>IF(ISBLANK('Data Entry'!$ļ$993), "", 'Data Entry'!$ļ$993)</f>
      </c>
      <c r="IS993">
        <f>IF(ISBLANK('Data Entry'!$Ľ$993), "", 'Data Entry'!$Ľ$993)</f>
      </c>
      <c r="IT993">
        <f>IF(ISBLANK('Data Entry'!$ľ$993), "", 'Data Entry'!$ľ$993)</f>
      </c>
    </row>
    <row r="994" spans="1:254" x14ac:dyDescent="0.25">
      <c r="A994">
        <f>IF(ISBLANK('Data Entry'!$A$994), "", 'Data Entry'!$A$994)</f>
      </c>
      <c r="B994">
        <f>IF(ISBLANK('Data Entry'!$B$994), "", 'Data Entry'!$B$994)</f>
      </c>
      <c r="C994">
        <f>IF(ISBLANK('Data Entry'!$C$994), "", 'Data Entry'!$C$994)</f>
      </c>
      <c r="D994">
        <f>IF(ISBLANK('Data Entry'!$D$994), "", 'Data Entry'!$D$994)</f>
      </c>
      <c r="E994">
        <f>IF(ISBLANK('Data Entry'!$E$994), "", 'Data Entry'!$E$994)</f>
      </c>
      <c r="F994">
        <f>IF(ISBLANK('Data Entry'!$F$994), "", 'Data Entry'!$F$994)</f>
      </c>
      <c r="G994">
        <f>IF(ISBLANK('Data Entry'!$G$994), "", 'Data Entry'!$G$994)</f>
      </c>
      <c r="H994">
        <f>IF(ISBLANK('Data Entry'!$H$994), "", 'Data Entry'!$H$994)</f>
      </c>
      <c r="I994">
        <f>IF(ISBLANK('Data Entry'!$I$994), "", 'Data Entry'!$I$994)</f>
      </c>
      <c r="J994">
        <f>IF(ISBLANK('Data Entry'!$J$994), "", 'Data Entry'!$J$994)</f>
      </c>
      <c r="K994">
        <f>IF(ISBLANK('Data Entry'!$K$994), "", 'Data Entry'!$K$994)</f>
      </c>
      <c r="L994">
        <f>IF(ISBLANK('Data Entry'!$L$994), "", 'Data Entry'!$L$994)</f>
      </c>
      <c r="M994">
        <f>IF(ISBLANK('Data Entry'!$M$994), "", 'Data Entry'!$M$994)</f>
      </c>
      <c r="N994">
        <f>IF(ISBLANK('Data Entry'!$N$994), "", 'Data Entry'!$N$994)</f>
      </c>
      <c r="O994">
        <f>IF(ISBLANK('Data Entry'!$O$994), "", 'Data Entry'!$O$994)</f>
      </c>
      <c r="P994">
        <f>IF(ISBLANK('Data Entry'!$P$994), "", 'Data Entry'!$P$994)</f>
      </c>
      <c r="Q994">
        <f>IF(ISBLANK('Data Entry'!$Q$994), "", 'Data Entry'!$Q$994)</f>
      </c>
      <c r="R994">
        <f>IF(ISBLANK('Data Entry'!$R$994), "", 'Data Entry'!$R$994)</f>
      </c>
      <c r="S994">
        <f>IF(ISBLANK('Data Entry'!$S$994), "", 'Data Entry'!$S$994)</f>
      </c>
      <c r="T994">
        <f>IF(ISBLANK('Data Entry'!$T$994), "", 'Data Entry'!$T$994)</f>
      </c>
      <c r="U994">
        <f>IF(ISBLANK('Data Entry'!$U$994), "", 'Data Entry'!$U$994)</f>
      </c>
      <c r="V994">
        <f>IF(ISBLANK('Data Entry'!$V$994), "", 'Data Entry'!$V$994)</f>
      </c>
      <c r="W994">
        <f>IF(ISBLANK('Data Entry'!$W$994), "", 'Data Entry'!$W$994)</f>
      </c>
      <c r="X994">
        <f>IF(ISBLANK('Data Entry'!$X$994), "", 'Data Entry'!$X$994)</f>
      </c>
      <c r="Y994">
        <f>IF(ISBLANK('Data Entry'!$Y$994), "", 'Data Entry'!$Y$994)</f>
      </c>
      <c r="Z994">
        <f>IF(ISBLANK('Data Entry'!$Z$994), "", 'Data Entry'!$Z$994)</f>
      </c>
      <c r="AA994">
        <f>IF(ISBLANK('Data Entry'!$[$994), "", 'Data Entry'!$[$994)</f>
      </c>
      <c r="AB994">
        <f>IF(ISBLANK('Data Entry'!$\$994), "", 'Data Entry'!$\$994)</f>
      </c>
      <c r="AC994">
        <f>IF(ISBLANK('Data Entry'!$]$994), "", 'Data Entry'!$]$994)</f>
      </c>
      <c r="AD994">
        <f>IF(ISBLANK('Data Entry'!$^$994), "", 'Data Entry'!$^$994)</f>
      </c>
      <c r="AE994">
        <f>IF(ISBLANK('Data Entry'!$_$994), "", 'Data Entry'!$_$994)</f>
      </c>
      <c r="AF994">
        <f>IF(ISBLANK('Data Entry'!$`$994), "", 'Data Entry'!$`$994)</f>
      </c>
      <c r="AG994">
        <f>IF(ISBLANK('Data Entry'!$a$994), "", 'Data Entry'!$a$994)</f>
      </c>
      <c r="AH994">
        <f>IF(ISBLANK('Data Entry'!$b$994), "", 'Data Entry'!$b$994)</f>
      </c>
      <c r="AI994">
        <f>IF(ISBLANK('Data Entry'!$c$994), "", 'Data Entry'!$c$994)</f>
      </c>
      <c r="AJ994">
        <f>IF(ISBLANK('Data Entry'!$d$994), "", 'Data Entry'!$d$994)</f>
      </c>
      <c r="AK994">
        <f>IF(ISBLANK('Data Entry'!$e$994), "", 'Data Entry'!$e$994)</f>
      </c>
      <c r="AL994">
        <f>IF(ISBLANK('Data Entry'!$f$994), "", 'Data Entry'!$f$994)</f>
      </c>
      <c r="AM994">
        <f>IF(ISBLANK('Data Entry'!$g$994), "", 'Data Entry'!$g$994)</f>
      </c>
      <c r="AN994">
        <f>IF(ISBLANK('Data Entry'!$h$994), "", 'Data Entry'!$h$994)</f>
      </c>
      <c r="AO994">
        <f>IF(ISBLANK('Data Entry'!$i$994), "", 'Data Entry'!$i$994)</f>
      </c>
      <c r="AP994">
        <f>IF(ISBLANK('Data Entry'!$j$994), "", 'Data Entry'!$j$994)</f>
      </c>
      <c r="AQ994">
        <f>IF(ISBLANK('Data Entry'!$k$994), "", 'Data Entry'!$k$994)</f>
      </c>
      <c r="AR994">
        <f>IF(ISBLANK('Data Entry'!$l$994), "", 'Data Entry'!$l$994)</f>
      </c>
      <c r="AS994">
        <f>IF(ISBLANK('Data Entry'!$m$994), "", 'Data Entry'!$m$994)</f>
      </c>
      <c r="AT994">
        <f>IF(ISBLANK('Data Entry'!$n$994), "", 'Data Entry'!$n$994)</f>
      </c>
      <c r="AU994">
        <f>IF(ISBLANK('Data Entry'!$o$994), "", 'Data Entry'!$o$994)</f>
      </c>
      <c r="AV994">
        <f>IF(ISBLANK('Data Entry'!$p$994), "", 'Data Entry'!$p$994)</f>
      </c>
      <c r="AW994">
        <f>IF(ISBLANK('Data Entry'!$q$994), "", 'Data Entry'!$q$994)</f>
      </c>
      <c r="AX994">
        <f>IF(ISBLANK('Data Entry'!$r$994), "", 'Data Entry'!$r$994)</f>
      </c>
      <c r="AY994">
        <f>IF(ISBLANK('Data Entry'!$s$994), "", 'Data Entry'!$s$994)</f>
      </c>
      <c r="AZ994">
        <f>IF(ISBLANK('Data Entry'!$t$994), "", 'Data Entry'!$t$994)</f>
      </c>
      <c r="BA994">
        <f>IF(ISBLANK('Data Entry'!$u$994), "", 'Data Entry'!$u$994)</f>
      </c>
      <c r="BB994">
        <f>IF(ISBLANK('Data Entry'!$v$994), "", 'Data Entry'!$v$994)</f>
      </c>
      <c r="BC994">
        <f>IF(ISBLANK('Data Entry'!$w$994), "", 'Data Entry'!$w$994)</f>
      </c>
      <c r="BD994">
        <f>IF(ISBLANK('Data Entry'!$x$994), "", 'Data Entry'!$x$994)</f>
      </c>
      <c r="BE994">
        <f>IF(ISBLANK('Data Entry'!$y$994), "", 'Data Entry'!$y$994)</f>
      </c>
      <c r="BF994">
        <f>IF(ISBLANK('Data Entry'!$z$994), "", 'Data Entry'!$z$994)</f>
      </c>
      <c r="BG994">
        <f>IF(ISBLANK('Data Entry'!${$994), "", 'Data Entry'!${$994)</f>
      </c>
      <c r="BH994">
        <f>IF(ISBLANK('Data Entry'!$|$994), "", 'Data Entry'!$|$994)</f>
      </c>
      <c r="BI994">
        <f>IF(ISBLANK('Data Entry'!$}$994), "", 'Data Entry'!$}$994)</f>
      </c>
      <c r="BJ994">
        <f>IF(ISBLANK('Data Entry'!$~$994), "", 'Data Entry'!$~$994)</f>
      </c>
      <c r="BK994">
        <f>IF(ISBLANK('Data Entry'!$$994), "", 'Data Entry'!$$994)</f>
      </c>
      <c r="BL994">
        <f>IF(ISBLANK('Data Entry'!$$994), "", 'Data Entry'!$$994)</f>
      </c>
      <c r="BM994">
        <f>IF(ISBLANK('Data Entry'!$$994), "", 'Data Entry'!$$994)</f>
      </c>
      <c r="BN994">
        <f>IF(ISBLANK('Data Entry'!$$994), "", 'Data Entry'!$$994)</f>
      </c>
      <c r="BO994">
        <f>IF(ISBLANK('Data Entry'!$$994), "", 'Data Entry'!$$994)</f>
      </c>
      <c r="BP994">
        <f>IF(ISBLANK('Data Entry'!$$994), "", 'Data Entry'!$$994)</f>
      </c>
      <c r="BQ994">
        <f>IF(ISBLANK('Data Entry'!$$994), "", 'Data Entry'!$$994)</f>
      </c>
      <c r="BR994">
        <f>IF(ISBLANK('Data Entry'!$$994), "", 'Data Entry'!$$994)</f>
      </c>
      <c r="BS994">
        <f>IF(ISBLANK('Data Entry'!$$994), "", 'Data Entry'!$$994)</f>
      </c>
      <c r="BT994">
        <f>IF(ISBLANK('Data Entry'!$$994), "", 'Data Entry'!$$994)</f>
      </c>
      <c r="BU994">
        <f>IF(ISBLANK('Data Entry'!$$994), "", 'Data Entry'!$$994)</f>
      </c>
      <c r="BV994">
        <f>IF(ISBLANK('Data Entry'!$$994), "", 'Data Entry'!$$994)</f>
      </c>
      <c r="BW994">
        <f>IF(ISBLANK('Data Entry'!$$994), "", 'Data Entry'!$$994)</f>
      </c>
      <c r="BX994">
        <f>IF(ISBLANK('Data Entry'!$$994), "", 'Data Entry'!$$994)</f>
      </c>
      <c r="BY994">
        <f>IF(ISBLANK('Data Entry'!$$994), "", 'Data Entry'!$$994)</f>
      </c>
      <c r="BZ994">
        <f>IF(ISBLANK('Data Entry'!$$994), "", 'Data Entry'!$$994)</f>
      </c>
      <c r="CA994">
        <f>IF(ISBLANK('Data Entry'!$$994), "", 'Data Entry'!$$994)</f>
      </c>
      <c r="CB994">
        <f>IF(ISBLANK('Data Entry'!$$994), "", 'Data Entry'!$$994)</f>
      </c>
      <c r="CC994">
        <f>IF(ISBLANK('Data Entry'!$$994), "", 'Data Entry'!$$994)</f>
      </c>
      <c r="CD994">
        <f>IF(ISBLANK('Data Entry'!$$994), "", 'Data Entry'!$$994)</f>
      </c>
      <c r="CE994">
        <f>IF(ISBLANK('Data Entry'!$$994), "", 'Data Entry'!$$994)</f>
      </c>
      <c r="CF994">
        <f>IF(ISBLANK('Data Entry'!$$994), "", 'Data Entry'!$$994)</f>
      </c>
      <c r="CG994">
        <f>IF(ISBLANK('Data Entry'!$$994), "", 'Data Entry'!$$994)</f>
      </c>
      <c r="CH994">
        <f>IF(ISBLANK('Data Entry'!$$994), "", 'Data Entry'!$$994)</f>
      </c>
      <c r="CI994">
        <f>IF(ISBLANK('Data Entry'!$$994), "", 'Data Entry'!$$994)</f>
      </c>
      <c r="CJ994">
        <f>IF(ISBLANK('Data Entry'!$$994), "", 'Data Entry'!$$994)</f>
      </c>
      <c r="CK994">
        <f>IF(ISBLANK('Data Entry'!$$994), "", 'Data Entry'!$$994)</f>
      </c>
      <c r="CL994">
        <f>IF(ISBLANK('Data Entry'!$$994), "", 'Data Entry'!$$994)</f>
      </c>
      <c r="CM994">
        <f>IF(ISBLANK('Data Entry'!$$994), "", 'Data Entry'!$$994)</f>
      </c>
      <c r="CN994">
        <f>IF(ISBLANK('Data Entry'!$$994), "", 'Data Entry'!$$994)</f>
      </c>
      <c r="CO994">
        <f>IF(ISBLANK('Data Entry'!$$994), "", 'Data Entry'!$$994)</f>
      </c>
      <c r="CP994">
        <f>IF(ISBLANK('Data Entry'!$$994), "", 'Data Entry'!$$994)</f>
      </c>
      <c r="CQ994">
        <f>IF(ISBLANK('Data Entry'!$$994), "", 'Data Entry'!$$994)</f>
      </c>
      <c r="CR994">
        <f>IF(ISBLANK('Data Entry'!$ $994), "", 'Data Entry'!$ $994)</f>
      </c>
      <c r="CS994">
        <f>IF(ISBLANK('Data Entry'!$¡$994), "", 'Data Entry'!$¡$994)</f>
      </c>
      <c r="CT994">
        <f>IF(ISBLANK('Data Entry'!$¢$994), "", 'Data Entry'!$¢$994)</f>
      </c>
      <c r="CU994">
        <f>IF(ISBLANK('Data Entry'!$£$994), "", 'Data Entry'!$£$994)</f>
      </c>
      <c r="CV994">
        <f>IF(ISBLANK('Data Entry'!$¤$994), "", 'Data Entry'!$¤$994)</f>
      </c>
      <c r="CW994">
        <f>IF(ISBLANK('Data Entry'!$¥$994), "", 'Data Entry'!$¥$994)</f>
      </c>
      <c r="CX994">
        <f>IF(ISBLANK('Data Entry'!$¦$994), "", 'Data Entry'!$¦$994)</f>
      </c>
      <c r="CY994">
        <f>IF(ISBLANK('Data Entry'!$§$994), "", 'Data Entry'!$§$994)</f>
      </c>
      <c r="CZ994">
        <f>IF(ISBLANK('Data Entry'!$¨$994), "", 'Data Entry'!$¨$994)</f>
      </c>
      <c r="DA994">
        <f>IF(ISBLANK('Data Entry'!$©$994), "", 'Data Entry'!$©$994)</f>
      </c>
      <c r="DB994">
        <f>IF(ISBLANK('Data Entry'!$ª$994), "", 'Data Entry'!$ª$994)</f>
      </c>
      <c r="DC994">
        <f>IF(ISBLANK('Data Entry'!$«$994), "", 'Data Entry'!$«$994)</f>
      </c>
      <c r="DD994">
        <f>IF(ISBLANK('Data Entry'!$¬$994), "", 'Data Entry'!$¬$994)</f>
      </c>
      <c r="DE994">
        <f>IF(ISBLANK('Data Entry'!$­$994), "", 'Data Entry'!$­$994)</f>
      </c>
      <c r="DF994">
        <f>IF(ISBLANK('Data Entry'!$®$994), "", 'Data Entry'!$®$994)</f>
      </c>
      <c r="DG994">
        <f>IF(ISBLANK('Data Entry'!$¯$994), "", 'Data Entry'!$¯$994)</f>
      </c>
      <c r="DH994">
        <f>IF(ISBLANK('Data Entry'!$°$994), "", 'Data Entry'!$°$994)</f>
      </c>
      <c r="DI994">
        <f>IF(ISBLANK('Data Entry'!$±$994), "", 'Data Entry'!$±$994)</f>
      </c>
      <c r="DJ994">
        <f>IF(ISBLANK('Data Entry'!$²$994), "", 'Data Entry'!$²$994)</f>
      </c>
      <c r="DK994">
        <f>IF(ISBLANK('Data Entry'!$³$994), "", 'Data Entry'!$³$994)</f>
      </c>
      <c r="DL994">
        <f>IF(ISBLANK('Data Entry'!$´$994), "", 'Data Entry'!$´$994)</f>
      </c>
      <c r="DM994">
        <f>IF(ISBLANK('Data Entry'!$µ$994), "", 'Data Entry'!$µ$994)</f>
      </c>
      <c r="DN994">
        <f>IF(ISBLANK('Data Entry'!$¶$994), "", 'Data Entry'!$¶$994)</f>
      </c>
      <c r="DO994">
        <f>IF(ISBLANK('Data Entry'!$·$994), "", 'Data Entry'!$·$994)</f>
      </c>
      <c r="DP994">
        <f>IF(ISBLANK('Data Entry'!$¸$994), "", 'Data Entry'!$¸$994)</f>
      </c>
      <c r="DQ994">
        <f>IF(ISBLANK('Data Entry'!$¹$994), "", 'Data Entry'!$¹$994)</f>
      </c>
      <c r="DR994">
        <f>IF(ISBLANK('Data Entry'!$º$994), "", 'Data Entry'!$º$994)</f>
      </c>
      <c r="DS994">
        <f>IF(ISBLANK('Data Entry'!$»$994), "", 'Data Entry'!$»$994)</f>
      </c>
      <c r="DT994">
        <f>IF(ISBLANK('Data Entry'!$¼$994), "", 'Data Entry'!$¼$994)</f>
      </c>
      <c r="DU994">
        <f>IF(ISBLANK('Data Entry'!$½$994), "", 'Data Entry'!$½$994)</f>
      </c>
      <c r="DV994">
        <f>IF(ISBLANK('Data Entry'!$¾$994), "", 'Data Entry'!$¾$994)</f>
      </c>
      <c r="DW994">
        <f>IF(ISBLANK('Data Entry'!$¿$994), "", 'Data Entry'!$¿$994)</f>
      </c>
      <c r="DX994">
        <f>IF(ISBLANK('Data Entry'!$À$994), "", 'Data Entry'!$À$994)</f>
      </c>
      <c r="DY994">
        <f>IF(ISBLANK('Data Entry'!$Á$994), "", 'Data Entry'!$Á$994)</f>
      </c>
      <c r="DZ994">
        <f>IF(ISBLANK('Data Entry'!$Â$994), "", 'Data Entry'!$Â$994)</f>
      </c>
      <c r="EA994">
        <f>IF(ISBLANK('Data Entry'!$Ã$994), "", 'Data Entry'!$Ã$994)</f>
      </c>
      <c r="EB994">
        <f>IF(ISBLANK('Data Entry'!$Ä$994), "", 'Data Entry'!$Ä$994)</f>
      </c>
      <c r="EC994">
        <f>IF(ISBLANK('Data Entry'!$Å$994), "", 'Data Entry'!$Å$994)</f>
      </c>
      <c r="ED994">
        <f>IF(ISBLANK('Data Entry'!$Æ$994), "", 'Data Entry'!$Æ$994)</f>
      </c>
      <c r="EE994">
        <f>IF(ISBLANK('Data Entry'!$Ç$994), "", 'Data Entry'!$Ç$994)</f>
      </c>
      <c r="EF994">
        <f>IF(ISBLANK('Data Entry'!$È$994), "", 'Data Entry'!$È$994)</f>
      </c>
      <c r="EG994">
        <f>IF(ISBLANK('Data Entry'!$É$994), "", 'Data Entry'!$É$994)</f>
      </c>
      <c r="EH994">
        <f>IF(ISBLANK('Data Entry'!$Ê$994), "", 'Data Entry'!$Ê$994)</f>
      </c>
      <c r="EI994">
        <f>IF(ISBLANK('Data Entry'!$Ë$994), "", 'Data Entry'!$Ë$994)</f>
      </c>
      <c r="EJ994">
        <f>IF(ISBLANK('Data Entry'!$Ì$994), "", 'Data Entry'!$Ì$994)</f>
      </c>
      <c r="EK994">
        <f>IF(ISBLANK('Data Entry'!$Í$994), "", 'Data Entry'!$Í$994)</f>
      </c>
      <c r="EL994">
        <f>IF(ISBLANK('Data Entry'!$Î$994), "", 'Data Entry'!$Î$994)</f>
      </c>
      <c r="EM994">
        <f>IF(ISBLANK('Data Entry'!$Ï$994), "", 'Data Entry'!$Ï$994)</f>
      </c>
      <c r="EN994">
        <f>IF(ISBLANK('Data Entry'!$Ð$994), "", 'Data Entry'!$Ð$994)</f>
      </c>
      <c r="EO994">
        <f>IF(ISBLANK('Data Entry'!$Ñ$994), "", 'Data Entry'!$Ñ$994)</f>
      </c>
      <c r="EP994">
        <f>IF(ISBLANK('Data Entry'!$Ò$994), "", 'Data Entry'!$Ò$994)</f>
      </c>
      <c r="EQ994">
        <f>IF(ISBLANK('Data Entry'!$Ó$994), "", 'Data Entry'!$Ó$994)</f>
      </c>
      <c r="ER994">
        <f>IF(ISBLANK('Data Entry'!$Ô$994), "", 'Data Entry'!$Ô$994)</f>
      </c>
      <c r="ES994">
        <f>IF(ISBLANK('Data Entry'!$Õ$994), "", 'Data Entry'!$Õ$994)</f>
      </c>
      <c r="ET994">
        <f>IF(ISBLANK('Data Entry'!$Ö$994), "", 'Data Entry'!$Ö$994)</f>
      </c>
      <c r="EU994">
        <f>IF(ISBLANK('Data Entry'!$×$994), "", 'Data Entry'!$×$994)</f>
      </c>
      <c r="EV994">
        <f>IF(ISBLANK('Data Entry'!$Ø$994), "", 'Data Entry'!$Ø$994)</f>
      </c>
      <c r="EW994">
        <f>IF(ISBLANK('Data Entry'!$Ù$994), "", 'Data Entry'!$Ù$994)</f>
      </c>
      <c r="EX994">
        <f>IF(ISBLANK('Data Entry'!$Ú$994), "", 'Data Entry'!$Ú$994)</f>
      </c>
      <c r="EY994">
        <f>IF(ISBLANK('Data Entry'!$Û$994), "", 'Data Entry'!$Û$994)</f>
      </c>
      <c r="EZ994">
        <f>IF(ISBLANK('Data Entry'!$Ü$994), "", 'Data Entry'!$Ü$994)</f>
      </c>
      <c r="FA994">
        <f>IF(ISBLANK('Data Entry'!$Ý$994), "", 'Data Entry'!$Ý$994)</f>
      </c>
      <c r="FB994">
        <f>IF(ISBLANK('Data Entry'!$Þ$994), "", 'Data Entry'!$Þ$994)</f>
      </c>
      <c r="FC994">
        <f>IF(ISBLANK('Data Entry'!$ß$994), "", 'Data Entry'!$ß$994)</f>
      </c>
      <c r="FD994">
        <f>IF(ISBLANK('Data Entry'!$à$994), "", 'Data Entry'!$à$994)</f>
      </c>
      <c r="FE994">
        <f>IF(ISBLANK('Data Entry'!$á$994), "", 'Data Entry'!$á$994)</f>
      </c>
      <c r="FF994">
        <f>IF(ISBLANK('Data Entry'!$â$994), "", 'Data Entry'!$â$994)</f>
      </c>
      <c r="FG994">
        <f>IF(ISBLANK('Data Entry'!$ã$994), "", 'Data Entry'!$ã$994)</f>
      </c>
      <c r="FH994">
        <f>IF(ISBLANK('Data Entry'!$ä$994), "", 'Data Entry'!$ä$994)</f>
      </c>
      <c r="FI994">
        <f>IF(ISBLANK('Data Entry'!$å$994), "", 'Data Entry'!$å$994)</f>
      </c>
      <c r="FJ994">
        <f>IF(ISBLANK('Data Entry'!$æ$994), "", 'Data Entry'!$æ$994)</f>
      </c>
      <c r="FK994">
        <f>IF(ISBLANK('Data Entry'!$ç$994), "", 'Data Entry'!$ç$994)</f>
      </c>
      <c r="FL994">
        <f>IF(ISBLANK('Data Entry'!$è$994), "", 'Data Entry'!$è$994)</f>
      </c>
      <c r="FM994">
        <f>IF(ISBLANK('Data Entry'!$é$994), "", 'Data Entry'!$é$994)</f>
      </c>
      <c r="FN994">
        <f>IF(ISBLANK('Data Entry'!$ê$994), "", 'Data Entry'!$ê$994)</f>
      </c>
      <c r="FO994">
        <f>IF(ISBLANK('Data Entry'!$ë$994), "", 'Data Entry'!$ë$994)</f>
      </c>
      <c r="FP994">
        <f>IF(ISBLANK('Data Entry'!$ì$994), "", 'Data Entry'!$ì$994)</f>
      </c>
      <c r="FQ994">
        <f>IF(ISBLANK('Data Entry'!$í$994), "", 'Data Entry'!$í$994)</f>
      </c>
      <c r="FR994">
        <f>IF(ISBLANK('Data Entry'!$î$994), "", 'Data Entry'!$î$994)</f>
      </c>
      <c r="FS994">
        <f>IF(ISBLANK('Data Entry'!$ï$994), "", 'Data Entry'!$ï$994)</f>
      </c>
      <c r="FT994">
        <f>IF(ISBLANK('Data Entry'!$ð$994), "", 'Data Entry'!$ð$994)</f>
      </c>
      <c r="FU994">
        <f>IF(ISBLANK('Data Entry'!$ñ$994), "", 'Data Entry'!$ñ$994)</f>
      </c>
      <c r="FV994">
        <f>IF(ISBLANK('Data Entry'!$ò$994), "", 'Data Entry'!$ò$994)</f>
      </c>
      <c r="FW994">
        <f>IF(ISBLANK('Data Entry'!$ó$994), "", 'Data Entry'!$ó$994)</f>
      </c>
      <c r="FX994">
        <f>IF(ISBLANK('Data Entry'!$ô$994), "", 'Data Entry'!$ô$994)</f>
      </c>
      <c r="FY994">
        <f>IF(ISBLANK('Data Entry'!$õ$994), "", 'Data Entry'!$õ$994)</f>
      </c>
      <c r="FZ994">
        <f>IF(ISBLANK('Data Entry'!$ö$994), "", 'Data Entry'!$ö$994)</f>
      </c>
      <c r="GA994">
        <f>IF(ISBLANK('Data Entry'!$÷$994), "", 'Data Entry'!$÷$994)</f>
      </c>
      <c r="GB994">
        <f>IF(ISBLANK('Data Entry'!$ø$994), "", 'Data Entry'!$ø$994)</f>
      </c>
      <c r="GC994">
        <f>IF(ISBLANK('Data Entry'!$ù$994), "", 'Data Entry'!$ù$994)</f>
      </c>
      <c r="GD994">
        <f>IF(ISBLANK('Data Entry'!$ú$994), "", 'Data Entry'!$ú$994)</f>
      </c>
      <c r="GE994">
        <f>IF(ISBLANK('Data Entry'!$û$994), "", 'Data Entry'!$û$994)</f>
      </c>
      <c r="GF994">
        <f>IF(ISBLANK('Data Entry'!$ü$994), "", 'Data Entry'!$ü$994)</f>
      </c>
      <c r="GG994">
        <f>IF(ISBLANK('Data Entry'!$ý$994), "", 'Data Entry'!$ý$994)</f>
      </c>
      <c r="GH994">
        <f>IF(ISBLANK('Data Entry'!$þ$994), "", 'Data Entry'!$þ$994)</f>
      </c>
      <c r="GI994">
        <f>IF(ISBLANK('Data Entry'!$ÿ$994), "", 'Data Entry'!$ÿ$994)</f>
      </c>
      <c r="GJ994">
        <f>IF(ISBLANK('Data Entry'!$Ā$994), "", 'Data Entry'!$Ā$994)</f>
      </c>
      <c r="GK994">
        <f>IF(ISBLANK('Data Entry'!$ā$994), "", 'Data Entry'!$ā$994)</f>
      </c>
      <c r="GL994">
        <f>IF(ISBLANK('Data Entry'!$Ă$994), "", 'Data Entry'!$Ă$994)</f>
      </c>
      <c r="GM994">
        <f>IF(ISBLANK('Data Entry'!$ă$994), "", 'Data Entry'!$ă$994)</f>
      </c>
      <c r="GN994">
        <f>IF(ISBLANK('Data Entry'!$Ą$994), "", 'Data Entry'!$Ą$994)</f>
      </c>
      <c r="GO994">
        <f>IF(ISBLANK('Data Entry'!$ą$994), "", 'Data Entry'!$ą$994)</f>
      </c>
      <c r="GP994">
        <f>IF(ISBLANK('Data Entry'!$Ć$994), "", 'Data Entry'!$Ć$994)</f>
      </c>
      <c r="GQ994">
        <f>IF(ISBLANK('Data Entry'!$ć$994), "", 'Data Entry'!$ć$994)</f>
      </c>
      <c r="GR994">
        <f>IF(ISBLANK('Data Entry'!$Ĉ$994), "", 'Data Entry'!$Ĉ$994)</f>
      </c>
      <c r="GS994">
        <f>IF(ISBLANK('Data Entry'!$ĉ$994), "", 'Data Entry'!$ĉ$994)</f>
      </c>
      <c r="GT994">
        <f>IF(ISBLANK('Data Entry'!$Ċ$994), "", 'Data Entry'!$Ċ$994)</f>
      </c>
      <c r="GU994">
        <f>IF(ISBLANK('Data Entry'!$ċ$994), "", 'Data Entry'!$ċ$994)</f>
      </c>
      <c r="GV994">
        <f>IF(ISBLANK('Data Entry'!$Č$994), "", 'Data Entry'!$Č$994)</f>
      </c>
      <c r="GW994">
        <f>IF(ISBLANK('Data Entry'!$č$994), "", 'Data Entry'!$č$994)</f>
      </c>
      <c r="GX994">
        <f>IF(ISBLANK('Data Entry'!$Ď$994), "", 'Data Entry'!$Ď$994)</f>
      </c>
      <c r="GY994">
        <f>IF(ISBLANK('Data Entry'!$ď$994), "", 'Data Entry'!$ď$994)</f>
      </c>
      <c r="GZ994">
        <f>IF(ISBLANK('Data Entry'!$Đ$994), "", 'Data Entry'!$Đ$994)</f>
      </c>
      <c r="HA994">
        <f>IF(ISBLANK('Data Entry'!$đ$994), "", 'Data Entry'!$đ$994)</f>
      </c>
      <c r="HB994">
        <f>IF(ISBLANK('Data Entry'!$Ē$994), "", 'Data Entry'!$Ē$994)</f>
      </c>
      <c r="HC994">
        <f>IF(ISBLANK('Data Entry'!$ē$994), "", 'Data Entry'!$ē$994)</f>
      </c>
      <c r="HD994">
        <f>IF(ISBLANK('Data Entry'!$Ĕ$994), "", 'Data Entry'!$Ĕ$994)</f>
      </c>
      <c r="HE994">
        <f>IF(ISBLANK('Data Entry'!$ĕ$994), "", 'Data Entry'!$ĕ$994)</f>
      </c>
      <c r="HF994">
        <f>IF(ISBLANK('Data Entry'!$Ė$994), "", 'Data Entry'!$Ė$994)</f>
      </c>
      <c r="HG994">
        <f>IF(ISBLANK('Data Entry'!$ė$994), "", 'Data Entry'!$ė$994)</f>
      </c>
      <c r="HH994">
        <f>IF(ISBLANK('Data Entry'!$Ę$994), "", 'Data Entry'!$Ę$994)</f>
      </c>
      <c r="HI994">
        <f>IF(ISBLANK('Data Entry'!$ę$994), "", 'Data Entry'!$ę$994)</f>
      </c>
      <c r="HJ994">
        <f>IF(ISBLANK('Data Entry'!$Ě$994), "", 'Data Entry'!$Ě$994)</f>
      </c>
      <c r="HK994">
        <f>IF(ISBLANK('Data Entry'!$ě$994), "", 'Data Entry'!$ě$994)</f>
      </c>
      <c r="HL994">
        <f>IF(ISBLANK('Data Entry'!$Ĝ$994), "", 'Data Entry'!$Ĝ$994)</f>
      </c>
      <c r="HM994">
        <f>IF(ISBLANK('Data Entry'!$ĝ$994), "", 'Data Entry'!$ĝ$994)</f>
      </c>
      <c r="HN994">
        <f>IF(ISBLANK('Data Entry'!$Ğ$994), "", 'Data Entry'!$Ğ$994)</f>
      </c>
      <c r="HO994">
        <f>IF(ISBLANK('Data Entry'!$ğ$994), "", 'Data Entry'!$ğ$994)</f>
      </c>
      <c r="HP994">
        <f>IF(ISBLANK('Data Entry'!$Ġ$994), "", 'Data Entry'!$Ġ$994)</f>
      </c>
      <c r="HQ994">
        <f>IF(ISBLANK('Data Entry'!$ġ$994), "", 'Data Entry'!$ġ$994)</f>
      </c>
      <c r="HR994">
        <f>IF(ISBLANK('Data Entry'!$Ģ$994), "", 'Data Entry'!$Ģ$994)</f>
      </c>
      <c r="HS994">
        <f>IF(ISBLANK('Data Entry'!$ģ$994), "", 'Data Entry'!$ģ$994)</f>
      </c>
      <c r="HT994">
        <f>IF(ISBLANK('Data Entry'!$Ĥ$994), "", 'Data Entry'!$Ĥ$994)</f>
      </c>
      <c r="HU994">
        <f>IF(ISBLANK('Data Entry'!$ĥ$994), "", 'Data Entry'!$ĥ$994)</f>
      </c>
      <c r="HV994">
        <f>IF(ISBLANK('Data Entry'!$Ħ$994), "", 'Data Entry'!$Ħ$994)</f>
      </c>
      <c r="HW994">
        <f>IF(ISBLANK('Data Entry'!$ħ$994), "", 'Data Entry'!$ħ$994)</f>
      </c>
      <c r="HX994">
        <f>IF(ISBLANK('Data Entry'!$Ĩ$994), "", 'Data Entry'!$Ĩ$994)</f>
      </c>
      <c r="HY994">
        <f>IF(ISBLANK('Data Entry'!$ĩ$994), "", 'Data Entry'!$ĩ$994)</f>
      </c>
      <c r="HZ994">
        <f>IF(ISBLANK('Data Entry'!$Ī$994), "", 'Data Entry'!$Ī$994)</f>
      </c>
      <c r="IA994">
        <f>IF(ISBLANK('Data Entry'!$ī$994), "", 'Data Entry'!$ī$994)</f>
      </c>
      <c r="IB994">
        <f>IF(ISBLANK('Data Entry'!$Ĭ$994), "", 'Data Entry'!$Ĭ$994)</f>
      </c>
      <c r="IC994">
        <f>IF(ISBLANK('Data Entry'!$ĭ$994), "", 'Data Entry'!$ĭ$994)</f>
      </c>
      <c r="ID994">
        <f>IF(ISBLANK('Data Entry'!$Į$994), "", 'Data Entry'!$Į$994)</f>
      </c>
      <c r="IE994">
        <f>IF(ISBLANK('Data Entry'!$į$994), "", 'Data Entry'!$į$994)</f>
      </c>
      <c r="IF994">
        <f>IF(ISBLANK('Data Entry'!$İ$994), "", 'Data Entry'!$İ$994)</f>
      </c>
      <c r="IG994">
        <f>IF(ISBLANK('Data Entry'!$ı$994), "", 'Data Entry'!$ı$994)</f>
      </c>
      <c r="IH994">
        <f>IF(ISBLANK('Data Entry'!$Ĳ$994), "", 'Data Entry'!$Ĳ$994)</f>
      </c>
      <c r="II994">
        <f>IF(ISBLANK('Data Entry'!$ĳ$994), "", 'Data Entry'!$ĳ$994)</f>
      </c>
      <c r="IJ994">
        <f>IF(ISBLANK('Data Entry'!$Ĵ$994), "", 'Data Entry'!$Ĵ$994)</f>
      </c>
      <c r="IK994">
        <f>IF(ISBLANK('Data Entry'!$ĵ$994), "", 'Data Entry'!$ĵ$994)</f>
      </c>
      <c r="IL994">
        <f>IF(ISBLANK('Data Entry'!$Ķ$994), "", 'Data Entry'!$Ķ$994)</f>
      </c>
      <c r="IM994">
        <f>IF(ISBLANK('Data Entry'!$ķ$994), "", 'Data Entry'!$ķ$994)</f>
      </c>
      <c r="IN994">
        <f>IF(ISBLANK('Data Entry'!$ĸ$994), "", 'Data Entry'!$ĸ$994)</f>
      </c>
      <c r="IO994">
        <f>IF(ISBLANK('Data Entry'!$Ĺ$994), "", 'Data Entry'!$Ĺ$994)</f>
      </c>
      <c r="IP994">
        <f>IF(ISBLANK('Data Entry'!$ĺ$994), "", 'Data Entry'!$ĺ$994)</f>
      </c>
      <c r="IQ994">
        <f>IF(ISBLANK('Data Entry'!$Ļ$994), "", 'Data Entry'!$Ļ$994)</f>
      </c>
      <c r="IR994">
        <f>IF(ISBLANK('Data Entry'!$ļ$994), "", 'Data Entry'!$ļ$994)</f>
      </c>
      <c r="IS994">
        <f>IF(ISBLANK('Data Entry'!$Ľ$994), "", 'Data Entry'!$Ľ$994)</f>
      </c>
      <c r="IT994">
        <f>IF(ISBLANK('Data Entry'!$ľ$994), "", 'Data Entry'!$ľ$994)</f>
      </c>
    </row>
    <row r="995" spans="1:254" x14ac:dyDescent="0.25">
      <c r="A995">
        <f>IF(ISBLANK('Data Entry'!$A$995), "", 'Data Entry'!$A$995)</f>
      </c>
      <c r="B995">
        <f>IF(ISBLANK('Data Entry'!$B$995), "", 'Data Entry'!$B$995)</f>
      </c>
      <c r="C995">
        <f>IF(ISBLANK('Data Entry'!$C$995), "", 'Data Entry'!$C$995)</f>
      </c>
      <c r="D995">
        <f>IF(ISBLANK('Data Entry'!$D$995), "", 'Data Entry'!$D$995)</f>
      </c>
      <c r="E995">
        <f>IF(ISBLANK('Data Entry'!$E$995), "", 'Data Entry'!$E$995)</f>
      </c>
      <c r="F995">
        <f>IF(ISBLANK('Data Entry'!$F$995), "", 'Data Entry'!$F$995)</f>
      </c>
      <c r="G995">
        <f>IF(ISBLANK('Data Entry'!$G$995), "", 'Data Entry'!$G$995)</f>
      </c>
      <c r="H995">
        <f>IF(ISBLANK('Data Entry'!$H$995), "", 'Data Entry'!$H$995)</f>
      </c>
      <c r="I995">
        <f>IF(ISBLANK('Data Entry'!$I$995), "", 'Data Entry'!$I$995)</f>
      </c>
      <c r="J995">
        <f>IF(ISBLANK('Data Entry'!$J$995), "", 'Data Entry'!$J$995)</f>
      </c>
      <c r="K995">
        <f>IF(ISBLANK('Data Entry'!$K$995), "", 'Data Entry'!$K$995)</f>
      </c>
      <c r="L995">
        <f>IF(ISBLANK('Data Entry'!$L$995), "", 'Data Entry'!$L$995)</f>
      </c>
      <c r="M995">
        <f>IF(ISBLANK('Data Entry'!$M$995), "", 'Data Entry'!$M$995)</f>
      </c>
      <c r="N995">
        <f>IF(ISBLANK('Data Entry'!$N$995), "", 'Data Entry'!$N$995)</f>
      </c>
      <c r="O995">
        <f>IF(ISBLANK('Data Entry'!$O$995), "", 'Data Entry'!$O$995)</f>
      </c>
      <c r="P995">
        <f>IF(ISBLANK('Data Entry'!$P$995), "", 'Data Entry'!$P$995)</f>
      </c>
      <c r="Q995">
        <f>IF(ISBLANK('Data Entry'!$Q$995), "", 'Data Entry'!$Q$995)</f>
      </c>
      <c r="R995">
        <f>IF(ISBLANK('Data Entry'!$R$995), "", 'Data Entry'!$R$995)</f>
      </c>
      <c r="S995">
        <f>IF(ISBLANK('Data Entry'!$S$995), "", 'Data Entry'!$S$995)</f>
      </c>
      <c r="T995">
        <f>IF(ISBLANK('Data Entry'!$T$995), "", 'Data Entry'!$T$995)</f>
      </c>
      <c r="U995">
        <f>IF(ISBLANK('Data Entry'!$U$995), "", 'Data Entry'!$U$995)</f>
      </c>
      <c r="V995">
        <f>IF(ISBLANK('Data Entry'!$V$995), "", 'Data Entry'!$V$995)</f>
      </c>
      <c r="W995">
        <f>IF(ISBLANK('Data Entry'!$W$995), "", 'Data Entry'!$W$995)</f>
      </c>
      <c r="X995">
        <f>IF(ISBLANK('Data Entry'!$X$995), "", 'Data Entry'!$X$995)</f>
      </c>
      <c r="Y995">
        <f>IF(ISBLANK('Data Entry'!$Y$995), "", 'Data Entry'!$Y$995)</f>
      </c>
      <c r="Z995">
        <f>IF(ISBLANK('Data Entry'!$Z$995), "", 'Data Entry'!$Z$995)</f>
      </c>
      <c r="AA995">
        <f>IF(ISBLANK('Data Entry'!$[$995), "", 'Data Entry'!$[$995)</f>
      </c>
      <c r="AB995">
        <f>IF(ISBLANK('Data Entry'!$\$995), "", 'Data Entry'!$\$995)</f>
      </c>
      <c r="AC995">
        <f>IF(ISBLANK('Data Entry'!$]$995), "", 'Data Entry'!$]$995)</f>
      </c>
      <c r="AD995">
        <f>IF(ISBLANK('Data Entry'!$^$995), "", 'Data Entry'!$^$995)</f>
      </c>
      <c r="AE995">
        <f>IF(ISBLANK('Data Entry'!$_$995), "", 'Data Entry'!$_$995)</f>
      </c>
      <c r="AF995">
        <f>IF(ISBLANK('Data Entry'!$`$995), "", 'Data Entry'!$`$995)</f>
      </c>
      <c r="AG995">
        <f>IF(ISBLANK('Data Entry'!$a$995), "", 'Data Entry'!$a$995)</f>
      </c>
      <c r="AH995">
        <f>IF(ISBLANK('Data Entry'!$b$995), "", 'Data Entry'!$b$995)</f>
      </c>
      <c r="AI995">
        <f>IF(ISBLANK('Data Entry'!$c$995), "", 'Data Entry'!$c$995)</f>
      </c>
      <c r="AJ995">
        <f>IF(ISBLANK('Data Entry'!$d$995), "", 'Data Entry'!$d$995)</f>
      </c>
      <c r="AK995">
        <f>IF(ISBLANK('Data Entry'!$e$995), "", 'Data Entry'!$e$995)</f>
      </c>
      <c r="AL995">
        <f>IF(ISBLANK('Data Entry'!$f$995), "", 'Data Entry'!$f$995)</f>
      </c>
      <c r="AM995">
        <f>IF(ISBLANK('Data Entry'!$g$995), "", 'Data Entry'!$g$995)</f>
      </c>
      <c r="AN995">
        <f>IF(ISBLANK('Data Entry'!$h$995), "", 'Data Entry'!$h$995)</f>
      </c>
      <c r="AO995">
        <f>IF(ISBLANK('Data Entry'!$i$995), "", 'Data Entry'!$i$995)</f>
      </c>
      <c r="AP995">
        <f>IF(ISBLANK('Data Entry'!$j$995), "", 'Data Entry'!$j$995)</f>
      </c>
      <c r="AQ995">
        <f>IF(ISBLANK('Data Entry'!$k$995), "", 'Data Entry'!$k$995)</f>
      </c>
      <c r="AR995">
        <f>IF(ISBLANK('Data Entry'!$l$995), "", 'Data Entry'!$l$995)</f>
      </c>
      <c r="AS995">
        <f>IF(ISBLANK('Data Entry'!$m$995), "", 'Data Entry'!$m$995)</f>
      </c>
      <c r="AT995">
        <f>IF(ISBLANK('Data Entry'!$n$995), "", 'Data Entry'!$n$995)</f>
      </c>
      <c r="AU995">
        <f>IF(ISBLANK('Data Entry'!$o$995), "", 'Data Entry'!$o$995)</f>
      </c>
      <c r="AV995">
        <f>IF(ISBLANK('Data Entry'!$p$995), "", 'Data Entry'!$p$995)</f>
      </c>
      <c r="AW995">
        <f>IF(ISBLANK('Data Entry'!$q$995), "", 'Data Entry'!$q$995)</f>
      </c>
      <c r="AX995">
        <f>IF(ISBLANK('Data Entry'!$r$995), "", 'Data Entry'!$r$995)</f>
      </c>
      <c r="AY995">
        <f>IF(ISBLANK('Data Entry'!$s$995), "", 'Data Entry'!$s$995)</f>
      </c>
      <c r="AZ995">
        <f>IF(ISBLANK('Data Entry'!$t$995), "", 'Data Entry'!$t$995)</f>
      </c>
      <c r="BA995">
        <f>IF(ISBLANK('Data Entry'!$u$995), "", 'Data Entry'!$u$995)</f>
      </c>
      <c r="BB995">
        <f>IF(ISBLANK('Data Entry'!$v$995), "", 'Data Entry'!$v$995)</f>
      </c>
      <c r="BC995">
        <f>IF(ISBLANK('Data Entry'!$w$995), "", 'Data Entry'!$w$995)</f>
      </c>
      <c r="BD995">
        <f>IF(ISBLANK('Data Entry'!$x$995), "", 'Data Entry'!$x$995)</f>
      </c>
      <c r="BE995">
        <f>IF(ISBLANK('Data Entry'!$y$995), "", 'Data Entry'!$y$995)</f>
      </c>
      <c r="BF995">
        <f>IF(ISBLANK('Data Entry'!$z$995), "", 'Data Entry'!$z$995)</f>
      </c>
      <c r="BG995">
        <f>IF(ISBLANK('Data Entry'!${$995), "", 'Data Entry'!${$995)</f>
      </c>
      <c r="BH995">
        <f>IF(ISBLANK('Data Entry'!$|$995), "", 'Data Entry'!$|$995)</f>
      </c>
      <c r="BI995">
        <f>IF(ISBLANK('Data Entry'!$}$995), "", 'Data Entry'!$}$995)</f>
      </c>
      <c r="BJ995">
        <f>IF(ISBLANK('Data Entry'!$~$995), "", 'Data Entry'!$~$995)</f>
      </c>
      <c r="BK995">
        <f>IF(ISBLANK('Data Entry'!$$995), "", 'Data Entry'!$$995)</f>
      </c>
      <c r="BL995">
        <f>IF(ISBLANK('Data Entry'!$$995), "", 'Data Entry'!$$995)</f>
      </c>
      <c r="BM995">
        <f>IF(ISBLANK('Data Entry'!$$995), "", 'Data Entry'!$$995)</f>
      </c>
      <c r="BN995">
        <f>IF(ISBLANK('Data Entry'!$$995), "", 'Data Entry'!$$995)</f>
      </c>
      <c r="BO995">
        <f>IF(ISBLANK('Data Entry'!$$995), "", 'Data Entry'!$$995)</f>
      </c>
      <c r="BP995">
        <f>IF(ISBLANK('Data Entry'!$$995), "", 'Data Entry'!$$995)</f>
      </c>
      <c r="BQ995">
        <f>IF(ISBLANK('Data Entry'!$$995), "", 'Data Entry'!$$995)</f>
      </c>
      <c r="BR995">
        <f>IF(ISBLANK('Data Entry'!$$995), "", 'Data Entry'!$$995)</f>
      </c>
      <c r="BS995">
        <f>IF(ISBLANK('Data Entry'!$$995), "", 'Data Entry'!$$995)</f>
      </c>
      <c r="BT995">
        <f>IF(ISBLANK('Data Entry'!$$995), "", 'Data Entry'!$$995)</f>
      </c>
      <c r="BU995">
        <f>IF(ISBLANK('Data Entry'!$$995), "", 'Data Entry'!$$995)</f>
      </c>
      <c r="BV995">
        <f>IF(ISBLANK('Data Entry'!$$995), "", 'Data Entry'!$$995)</f>
      </c>
      <c r="BW995">
        <f>IF(ISBLANK('Data Entry'!$$995), "", 'Data Entry'!$$995)</f>
      </c>
      <c r="BX995">
        <f>IF(ISBLANK('Data Entry'!$$995), "", 'Data Entry'!$$995)</f>
      </c>
      <c r="BY995">
        <f>IF(ISBLANK('Data Entry'!$$995), "", 'Data Entry'!$$995)</f>
      </c>
      <c r="BZ995">
        <f>IF(ISBLANK('Data Entry'!$$995), "", 'Data Entry'!$$995)</f>
      </c>
      <c r="CA995">
        <f>IF(ISBLANK('Data Entry'!$$995), "", 'Data Entry'!$$995)</f>
      </c>
      <c r="CB995">
        <f>IF(ISBLANK('Data Entry'!$$995), "", 'Data Entry'!$$995)</f>
      </c>
      <c r="CC995">
        <f>IF(ISBLANK('Data Entry'!$$995), "", 'Data Entry'!$$995)</f>
      </c>
      <c r="CD995">
        <f>IF(ISBLANK('Data Entry'!$$995), "", 'Data Entry'!$$995)</f>
      </c>
      <c r="CE995">
        <f>IF(ISBLANK('Data Entry'!$$995), "", 'Data Entry'!$$995)</f>
      </c>
      <c r="CF995">
        <f>IF(ISBLANK('Data Entry'!$$995), "", 'Data Entry'!$$995)</f>
      </c>
      <c r="CG995">
        <f>IF(ISBLANK('Data Entry'!$$995), "", 'Data Entry'!$$995)</f>
      </c>
      <c r="CH995">
        <f>IF(ISBLANK('Data Entry'!$$995), "", 'Data Entry'!$$995)</f>
      </c>
      <c r="CI995">
        <f>IF(ISBLANK('Data Entry'!$$995), "", 'Data Entry'!$$995)</f>
      </c>
      <c r="CJ995">
        <f>IF(ISBLANK('Data Entry'!$$995), "", 'Data Entry'!$$995)</f>
      </c>
      <c r="CK995">
        <f>IF(ISBLANK('Data Entry'!$$995), "", 'Data Entry'!$$995)</f>
      </c>
      <c r="CL995">
        <f>IF(ISBLANK('Data Entry'!$$995), "", 'Data Entry'!$$995)</f>
      </c>
      <c r="CM995">
        <f>IF(ISBLANK('Data Entry'!$$995), "", 'Data Entry'!$$995)</f>
      </c>
      <c r="CN995">
        <f>IF(ISBLANK('Data Entry'!$$995), "", 'Data Entry'!$$995)</f>
      </c>
      <c r="CO995">
        <f>IF(ISBLANK('Data Entry'!$$995), "", 'Data Entry'!$$995)</f>
      </c>
      <c r="CP995">
        <f>IF(ISBLANK('Data Entry'!$$995), "", 'Data Entry'!$$995)</f>
      </c>
      <c r="CQ995">
        <f>IF(ISBLANK('Data Entry'!$$995), "", 'Data Entry'!$$995)</f>
      </c>
      <c r="CR995">
        <f>IF(ISBLANK('Data Entry'!$ $995), "", 'Data Entry'!$ $995)</f>
      </c>
      <c r="CS995">
        <f>IF(ISBLANK('Data Entry'!$¡$995), "", 'Data Entry'!$¡$995)</f>
      </c>
      <c r="CT995">
        <f>IF(ISBLANK('Data Entry'!$¢$995), "", 'Data Entry'!$¢$995)</f>
      </c>
      <c r="CU995">
        <f>IF(ISBLANK('Data Entry'!$£$995), "", 'Data Entry'!$£$995)</f>
      </c>
      <c r="CV995">
        <f>IF(ISBLANK('Data Entry'!$¤$995), "", 'Data Entry'!$¤$995)</f>
      </c>
      <c r="CW995">
        <f>IF(ISBLANK('Data Entry'!$¥$995), "", 'Data Entry'!$¥$995)</f>
      </c>
      <c r="CX995">
        <f>IF(ISBLANK('Data Entry'!$¦$995), "", 'Data Entry'!$¦$995)</f>
      </c>
      <c r="CY995">
        <f>IF(ISBLANK('Data Entry'!$§$995), "", 'Data Entry'!$§$995)</f>
      </c>
      <c r="CZ995">
        <f>IF(ISBLANK('Data Entry'!$¨$995), "", 'Data Entry'!$¨$995)</f>
      </c>
      <c r="DA995">
        <f>IF(ISBLANK('Data Entry'!$©$995), "", 'Data Entry'!$©$995)</f>
      </c>
      <c r="DB995">
        <f>IF(ISBLANK('Data Entry'!$ª$995), "", 'Data Entry'!$ª$995)</f>
      </c>
      <c r="DC995">
        <f>IF(ISBLANK('Data Entry'!$«$995), "", 'Data Entry'!$«$995)</f>
      </c>
      <c r="DD995">
        <f>IF(ISBLANK('Data Entry'!$¬$995), "", 'Data Entry'!$¬$995)</f>
      </c>
      <c r="DE995">
        <f>IF(ISBLANK('Data Entry'!$­$995), "", 'Data Entry'!$­$995)</f>
      </c>
      <c r="DF995">
        <f>IF(ISBLANK('Data Entry'!$®$995), "", 'Data Entry'!$®$995)</f>
      </c>
      <c r="DG995">
        <f>IF(ISBLANK('Data Entry'!$¯$995), "", 'Data Entry'!$¯$995)</f>
      </c>
      <c r="DH995">
        <f>IF(ISBLANK('Data Entry'!$°$995), "", 'Data Entry'!$°$995)</f>
      </c>
      <c r="DI995">
        <f>IF(ISBLANK('Data Entry'!$±$995), "", 'Data Entry'!$±$995)</f>
      </c>
      <c r="DJ995">
        <f>IF(ISBLANK('Data Entry'!$²$995), "", 'Data Entry'!$²$995)</f>
      </c>
      <c r="DK995">
        <f>IF(ISBLANK('Data Entry'!$³$995), "", 'Data Entry'!$³$995)</f>
      </c>
      <c r="DL995">
        <f>IF(ISBLANK('Data Entry'!$´$995), "", 'Data Entry'!$´$995)</f>
      </c>
      <c r="DM995">
        <f>IF(ISBLANK('Data Entry'!$µ$995), "", 'Data Entry'!$µ$995)</f>
      </c>
      <c r="DN995">
        <f>IF(ISBLANK('Data Entry'!$¶$995), "", 'Data Entry'!$¶$995)</f>
      </c>
      <c r="DO995">
        <f>IF(ISBLANK('Data Entry'!$·$995), "", 'Data Entry'!$·$995)</f>
      </c>
      <c r="DP995">
        <f>IF(ISBLANK('Data Entry'!$¸$995), "", 'Data Entry'!$¸$995)</f>
      </c>
      <c r="DQ995">
        <f>IF(ISBLANK('Data Entry'!$¹$995), "", 'Data Entry'!$¹$995)</f>
      </c>
      <c r="DR995">
        <f>IF(ISBLANK('Data Entry'!$º$995), "", 'Data Entry'!$º$995)</f>
      </c>
      <c r="DS995">
        <f>IF(ISBLANK('Data Entry'!$»$995), "", 'Data Entry'!$»$995)</f>
      </c>
      <c r="DT995">
        <f>IF(ISBLANK('Data Entry'!$¼$995), "", 'Data Entry'!$¼$995)</f>
      </c>
      <c r="DU995">
        <f>IF(ISBLANK('Data Entry'!$½$995), "", 'Data Entry'!$½$995)</f>
      </c>
      <c r="DV995">
        <f>IF(ISBLANK('Data Entry'!$¾$995), "", 'Data Entry'!$¾$995)</f>
      </c>
      <c r="DW995">
        <f>IF(ISBLANK('Data Entry'!$¿$995), "", 'Data Entry'!$¿$995)</f>
      </c>
      <c r="DX995">
        <f>IF(ISBLANK('Data Entry'!$À$995), "", 'Data Entry'!$À$995)</f>
      </c>
      <c r="DY995">
        <f>IF(ISBLANK('Data Entry'!$Á$995), "", 'Data Entry'!$Á$995)</f>
      </c>
      <c r="DZ995">
        <f>IF(ISBLANK('Data Entry'!$Â$995), "", 'Data Entry'!$Â$995)</f>
      </c>
      <c r="EA995">
        <f>IF(ISBLANK('Data Entry'!$Ã$995), "", 'Data Entry'!$Ã$995)</f>
      </c>
      <c r="EB995">
        <f>IF(ISBLANK('Data Entry'!$Ä$995), "", 'Data Entry'!$Ä$995)</f>
      </c>
      <c r="EC995">
        <f>IF(ISBLANK('Data Entry'!$Å$995), "", 'Data Entry'!$Å$995)</f>
      </c>
      <c r="ED995">
        <f>IF(ISBLANK('Data Entry'!$Æ$995), "", 'Data Entry'!$Æ$995)</f>
      </c>
      <c r="EE995">
        <f>IF(ISBLANK('Data Entry'!$Ç$995), "", 'Data Entry'!$Ç$995)</f>
      </c>
      <c r="EF995">
        <f>IF(ISBLANK('Data Entry'!$È$995), "", 'Data Entry'!$È$995)</f>
      </c>
      <c r="EG995">
        <f>IF(ISBLANK('Data Entry'!$É$995), "", 'Data Entry'!$É$995)</f>
      </c>
      <c r="EH995">
        <f>IF(ISBLANK('Data Entry'!$Ê$995), "", 'Data Entry'!$Ê$995)</f>
      </c>
      <c r="EI995">
        <f>IF(ISBLANK('Data Entry'!$Ë$995), "", 'Data Entry'!$Ë$995)</f>
      </c>
      <c r="EJ995">
        <f>IF(ISBLANK('Data Entry'!$Ì$995), "", 'Data Entry'!$Ì$995)</f>
      </c>
      <c r="EK995">
        <f>IF(ISBLANK('Data Entry'!$Í$995), "", 'Data Entry'!$Í$995)</f>
      </c>
      <c r="EL995">
        <f>IF(ISBLANK('Data Entry'!$Î$995), "", 'Data Entry'!$Î$995)</f>
      </c>
      <c r="EM995">
        <f>IF(ISBLANK('Data Entry'!$Ï$995), "", 'Data Entry'!$Ï$995)</f>
      </c>
      <c r="EN995">
        <f>IF(ISBLANK('Data Entry'!$Ð$995), "", 'Data Entry'!$Ð$995)</f>
      </c>
      <c r="EO995">
        <f>IF(ISBLANK('Data Entry'!$Ñ$995), "", 'Data Entry'!$Ñ$995)</f>
      </c>
      <c r="EP995">
        <f>IF(ISBLANK('Data Entry'!$Ò$995), "", 'Data Entry'!$Ò$995)</f>
      </c>
      <c r="EQ995">
        <f>IF(ISBLANK('Data Entry'!$Ó$995), "", 'Data Entry'!$Ó$995)</f>
      </c>
      <c r="ER995">
        <f>IF(ISBLANK('Data Entry'!$Ô$995), "", 'Data Entry'!$Ô$995)</f>
      </c>
      <c r="ES995">
        <f>IF(ISBLANK('Data Entry'!$Õ$995), "", 'Data Entry'!$Õ$995)</f>
      </c>
      <c r="ET995">
        <f>IF(ISBLANK('Data Entry'!$Ö$995), "", 'Data Entry'!$Ö$995)</f>
      </c>
      <c r="EU995">
        <f>IF(ISBLANK('Data Entry'!$×$995), "", 'Data Entry'!$×$995)</f>
      </c>
      <c r="EV995">
        <f>IF(ISBLANK('Data Entry'!$Ø$995), "", 'Data Entry'!$Ø$995)</f>
      </c>
      <c r="EW995">
        <f>IF(ISBLANK('Data Entry'!$Ù$995), "", 'Data Entry'!$Ù$995)</f>
      </c>
      <c r="EX995">
        <f>IF(ISBLANK('Data Entry'!$Ú$995), "", 'Data Entry'!$Ú$995)</f>
      </c>
      <c r="EY995">
        <f>IF(ISBLANK('Data Entry'!$Û$995), "", 'Data Entry'!$Û$995)</f>
      </c>
      <c r="EZ995">
        <f>IF(ISBLANK('Data Entry'!$Ü$995), "", 'Data Entry'!$Ü$995)</f>
      </c>
      <c r="FA995">
        <f>IF(ISBLANK('Data Entry'!$Ý$995), "", 'Data Entry'!$Ý$995)</f>
      </c>
      <c r="FB995">
        <f>IF(ISBLANK('Data Entry'!$Þ$995), "", 'Data Entry'!$Þ$995)</f>
      </c>
      <c r="FC995">
        <f>IF(ISBLANK('Data Entry'!$ß$995), "", 'Data Entry'!$ß$995)</f>
      </c>
      <c r="FD995">
        <f>IF(ISBLANK('Data Entry'!$à$995), "", 'Data Entry'!$à$995)</f>
      </c>
      <c r="FE995">
        <f>IF(ISBLANK('Data Entry'!$á$995), "", 'Data Entry'!$á$995)</f>
      </c>
      <c r="FF995">
        <f>IF(ISBLANK('Data Entry'!$â$995), "", 'Data Entry'!$â$995)</f>
      </c>
      <c r="FG995">
        <f>IF(ISBLANK('Data Entry'!$ã$995), "", 'Data Entry'!$ã$995)</f>
      </c>
      <c r="FH995">
        <f>IF(ISBLANK('Data Entry'!$ä$995), "", 'Data Entry'!$ä$995)</f>
      </c>
      <c r="FI995">
        <f>IF(ISBLANK('Data Entry'!$å$995), "", 'Data Entry'!$å$995)</f>
      </c>
      <c r="FJ995">
        <f>IF(ISBLANK('Data Entry'!$æ$995), "", 'Data Entry'!$æ$995)</f>
      </c>
      <c r="FK995">
        <f>IF(ISBLANK('Data Entry'!$ç$995), "", 'Data Entry'!$ç$995)</f>
      </c>
      <c r="FL995">
        <f>IF(ISBLANK('Data Entry'!$è$995), "", 'Data Entry'!$è$995)</f>
      </c>
      <c r="FM995">
        <f>IF(ISBLANK('Data Entry'!$é$995), "", 'Data Entry'!$é$995)</f>
      </c>
      <c r="FN995">
        <f>IF(ISBLANK('Data Entry'!$ê$995), "", 'Data Entry'!$ê$995)</f>
      </c>
      <c r="FO995">
        <f>IF(ISBLANK('Data Entry'!$ë$995), "", 'Data Entry'!$ë$995)</f>
      </c>
      <c r="FP995">
        <f>IF(ISBLANK('Data Entry'!$ì$995), "", 'Data Entry'!$ì$995)</f>
      </c>
      <c r="FQ995">
        <f>IF(ISBLANK('Data Entry'!$í$995), "", 'Data Entry'!$í$995)</f>
      </c>
      <c r="FR995">
        <f>IF(ISBLANK('Data Entry'!$î$995), "", 'Data Entry'!$î$995)</f>
      </c>
      <c r="FS995">
        <f>IF(ISBLANK('Data Entry'!$ï$995), "", 'Data Entry'!$ï$995)</f>
      </c>
      <c r="FT995">
        <f>IF(ISBLANK('Data Entry'!$ð$995), "", 'Data Entry'!$ð$995)</f>
      </c>
      <c r="FU995">
        <f>IF(ISBLANK('Data Entry'!$ñ$995), "", 'Data Entry'!$ñ$995)</f>
      </c>
      <c r="FV995">
        <f>IF(ISBLANK('Data Entry'!$ò$995), "", 'Data Entry'!$ò$995)</f>
      </c>
      <c r="FW995">
        <f>IF(ISBLANK('Data Entry'!$ó$995), "", 'Data Entry'!$ó$995)</f>
      </c>
      <c r="FX995">
        <f>IF(ISBLANK('Data Entry'!$ô$995), "", 'Data Entry'!$ô$995)</f>
      </c>
      <c r="FY995">
        <f>IF(ISBLANK('Data Entry'!$õ$995), "", 'Data Entry'!$õ$995)</f>
      </c>
      <c r="FZ995">
        <f>IF(ISBLANK('Data Entry'!$ö$995), "", 'Data Entry'!$ö$995)</f>
      </c>
      <c r="GA995">
        <f>IF(ISBLANK('Data Entry'!$÷$995), "", 'Data Entry'!$÷$995)</f>
      </c>
      <c r="GB995">
        <f>IF(ISBLANK('Data Entry'!$ø$995), "", 'Data Entry'!$ø$995)</f>
      </c>
      <c r="GC995">
        <f>IF(ISBLANK('Data Entry'!$ù$995), "", 'Data Entry'!$ù$995)</f>
      </c>
      <c r="GD995">
        <f>IF(ISBLANK('Data Entry'!$ú$995), "", 'Data Entry'!$ú$995)</f>
      </c>
      <c r="GE995">
        <f>IF(ISBLANK('Data Entry'!$û$995), "", 'Data Entry'!$û$995)</f>
      </c>
      <c r="GF995">
        <f>IF(ISBLANK('Data Entry'!$ü$995), "", 'Data Entry'!$ü$995)</f>
      </c>
      <c r="GG995">
        <f>IF(ISBLANK('Data Entry'!$ý$995), "", 'Data Entry'!$ý$995)</f>
      </c>
      <c r="GH995">
        <f>IF(ISBLANK('Data Entry'!$þ$995), "", 'Data Entry'!$þ$995)</f>
      </c>
      <c r="GI995">
        <f>IF(ISBLANK('Data Entry'!$ÿ$995), "", 'Data Entry'!$ÿ$995)</f>
      </c>
      <c r="GJ995">
        <f>IF(ISBLANK('Data Entry'!$Ā$995), "", 'Data Entry'!$Ā$995)</f>
      </c>
      <c r="GK995">
        <f>IF(ISBLANK('Data Entry'!$ā$995), "", 'Data Entry'!$ā$995)</f>
      </c>
      <c r="GL995">
        <f>IF(ISBLANK('Data Entry'!$Ă$995), "", 'Data Entry'!$Ă$995)</f>
      </c>
      <c r="GM995">
        <f>IF(ISBLANK('Data Entry'!$ă$995), "", 'Data Entry'!$ă$995)</f>
      </c>
      <c r="GN995">
        <f>IF(ISBLANK('Data Entry'!$Ą$995), "", 'Data Entry'!$Ą$995)</f>
      </c>
      <c r="GO995">
        <f>IF(ISBLANK('Data Entry'!$ą$995), "", 'Data Entry'!$ą$995)</f>
      </c>
      <c r="GP995">
        <f>IF(ISBLANK('Data Entry'!$Ć$995), "", 'Data Entry'!$Ć$995)</f>
      </c>
      <c r="GQ995">
        <f>IF(ISBLANK('Data Entry'!$ć$995), "", 'Data Entry'!$ć$995)</f>
      </c>
      <c r="GR995">
        <f>IF(ISBLANK('Data Entry'!$Ĉ$995), "", 'Data Entry'!$Ĉ$995)</f>
      </c>
      <c r="GS995">
        <f>IF(ISBLANK('Data Entry'!$ĉ$995), "", 'Data Entry'!$ĉ$995)</f>
      </c>
      <c r="GT995">
        <f>IF(ISBLANK('Data Entry'!$Ċ$995), "", 'Data Entry'!$Ċ$995)</f>
      </c>
      <c r="GU995">
        <f>IF(ISBLANK('Data Entry'!$ċ$995), "", 'Data Entry'!$ċ$995)</f>
      </c>
      <c r="GV995">
        <f>IF(ISBLANK('Data Entry'!$Č$995), "", 'Data Entry'!$Č$995)</f>
      </c>
      <c r="GW995">
        <f>IF(ISBLANK('Data Entry'!$č$995), "", 'Data Entry'!$č$995)</f>
      </c>
      <c r="GX995">
        <f>IF(ISBLANK('Data Entry'!$Ď$995), "", 'Data Entry'!$Ď$995)</f>
      </c>
      <c r="GY995">
        <f>IF(ISBLANK('Data Entry'!$ď$995), "", 'Data Entry'!$ď$995)</f>
      </c>
      <c r="GZ995">
        <f>IF(ISBLANK('Data Entry'!$Đ$995), "", 'Data Entry'!$Đ$995)</f>
      </c>
      <c r="HA995">
        <f>IF(ISBLANK('Data Entry'!$đ$995), "", 'Data Entry'!$đ$995)</f>
      </c>
      <c r="HB995">
        <f>IF(ISBLANK('Data Entry'!$Ē$995), "", 'Data Entry'!$Ē$995)</f>
      </c>
      <c r="HC995">
        <f>IF(ISBLANK('Data Entry'!$ē$995), "", 'Data Entry'!$ē$995)</f>
      </c>
      <c r="HD995">
        <f>IF(ISBLANK('Data Entry'!$Ĕ$995), "", 'Data Entry'!$Ĕ$995)</f>
      </c>
      <c r="HE995">
        <f>IF(ISBLANK('Data Entry'!$ĕ$995), "", 'Data Entry'!$ĕ$995)</f>
      </c>
      <c r="HF995">
        <f>IF(ISBLANK('Data Entry'!$Ė$995), "", 'Data Entry'!$Ė$995)</f>
      </c>
      <c r="HG995">
        <f>IF(ISBLANK('Data Entry'!$ė$995), "", 'Data Entry'!$ė$995)</f>
      </c>
      <c r="HH995">
        <f>IF(ISBLANK('Data Entry'!$Ę$995), "", 'Data Entry'!$Ę$995)</f>
      </c>
      <c r="HI995">
        <f>IF(ISBLANK('Data Entry'!$ę$995), "", 'Data Entry'!$ę$995)</f>
      </c>
      <c r="HJ995">
        <f>IF(ISBLANK('Data Entry'!$Ě$995), "", 'Data Entry'!$Ě$995)</f>
      </c>
      <c r="HK995">
        <f>IF(ISBLANK('Data Entry'!$ě$995), "", 'Data Entry'!$ě$995)</f>
      </c>
      <c r="HL995">
        <f>IF(ISBLANK('Data Entry'!$Ĝ$995), "", 'Data Entry'!$Ĝ$995)</f>
      </c>
      <c r="HM995">
        <f>IF(ISBLANK('Data Entry'!$ĝ$995), "", 'Data Entry'!$ĝ$995)</f>
      </c>
      <c r="HN995">
        <f>IF(ISBLANK('Data Entry'!$Ğ$995), "", 'Data Entry'!$Ğ$995)</f>
      </c>
      <c r="HO995">
        <f>IF(ISBLANK('Data Entry'!$ğ$995), "", 'Data Entry'!$ğ$995)</f>
      </c>
      <c r="HP995">
        <f>IF(ISBLANK('Data Entry'!$Ġ$995), "", 'Data Entry'!$Ġ$995)</f>
      </c>
      <c r="HQ995">
        <f>IF(ISBLANK('Data Entry'!$ġ$995), "", 'Data Entry'!$ġ$995)</f>
      </c>
      <c r="HR995">
        <f>IF(ISBLANK('Data Entry'!$Ģ$995), "", 'Data Entry'!$Ģ$995)</f>
      </c>
      <c r="HS995">
        <f>IF(ISBLANK('Data Entry'!$ģ$995), "", 'Data Entry'!$ģ$995)</f>
      </c>
      <c r="HT995">
        <f>IF(ISBLANK('Data Entry'!$Ĥ$995), "", 'Data Entry'!$Ĥ$995)</f>
      </c>
      <c r="HU995">
        <f>IF(ISBLANK('Data Entry'!$ĥ$995), "", 'Data Entry'!$ĥ$995)</f>
      </c>
      <c r="HV995">
        <f>IF(ISBLANK('Data Entry'!$Ħ$995), "", 'Data Entry'!$Ħ$995)</f>
      </c>
      <c r="HW995">
        <f>IF(ISBLANK('Data Entry'!$ħ$995), "", 'Data Entry'!$ħ$995)</f>
      </c>
      <c r="HX995">
        <f>IF(ISBLANK('Data Entry'!$Ĩ$995), "", 'Data Entry'!$Ĩ$995)</f>
      </c>
      <c r="HY995">
        <f>IF(ISBLANK('Data Entry'!$ĩ$995), "", 'Data Entry'!$ĩ$995)</f>
      </c>
      <c r="HZ995">
        <f>IF(ISBLANK('Data Entry'!$Ī$995), "", 'Data Entry'!$Ī$995)</f>
      </c>
      <c r="IA995">
        <f>IF(ISBLANK('Data Entry'!$ī$995), "", 'Data Entry'!$ī$995)</f>
      </c>
      <c r="IB995">
        <f>IF(ISBLANK('Data Entry'!$Ĭ$995), "", 'Data Entry'!$Ĭ$995)</f>
      </c>
      <c r="IC995">
        <f>IF(ISBLANK('Data Entry'!$ĭ$995), "", 'Data Entry'!$ĭ$995)</f>
      </c>
      <c r="ID995">
        <f>IF(ISBLANK('Data Entry'!$Į$995), "", 'Data Entry'!$Į$995)</f>
      </c>
      <c r="IE995">
        <f>IF(ISBLANK('Data Entry'!$į$995), "", 'Data Entry'!$į$995)</f>
      </c>
      <c r="IF995">
        <f>IF(ISBLANK('Data Entry'!$İ$995), "", 'Data Entry'!$İ$995)</f>
      </c>
      <c r="IG995">
        <f>IF(ISBLANK('Data Entry'!$ı$995), "", 'Data Entry'!$ı$995)</f>
      </c>
      <c r="IH995">
        <f>IF(ISBLANK('Data Entry'!$Ĳ$995), "", 'Data Entry'!$Ĳ$995)</f>
      </c>
      <c r="II995">
        <f>IF(ISBLANK('Data Entry'!$ĳ$995), "", 'Data Entry'!$ĳ$995)</f>
      </c>
      <c r="IJ995">
        <f>IF(ISBLANK('Data Entry'!$Ĵ$995), "", 'Data Entry'!$Ĵ$995)</f>
      </c>
      <c r="IK995">
        <f>IF(ISBLANK('Data Entry'!$ĵ$995), "", 'Data Entry'!$ĵ$995)</f>
      </c>
      <c r="IL995">
        <f>IF(ISBLANK('Data Entry'!$Ķ$995), "", 'Data Entry'!$Ķ$995)</f>
      </c>
      <c r="IM995">
        <f>IF(ISBLANK('Data Entry'!$ķ$995), "", 'Data Entry'!$ķ$995)</f>
      </c>
      <c r="IN995">
        <f>IF(ISBLANK('Data Entry'!$ĸ$995), "", 'Data Entry'!$ĸ$995)</f>
      </c>
      <c r="IO995">
        <f>IF(ISBLANK('Data Entry'!$Ĺ$995), "", 'Data Entry'!$Ĺ$995)</f>
      </c>
      <c r="IP995">
        <f>IF(ISBLANK('Data Entry'!$ĺ$995), "", 'Data Entry'!$ĺ$995)</f>
      </c>
      <c r="IQ995">
        <f>IF(ISBLANK('Data Entry'!$Ļ$995), "", 'Data Entry'!$Ļ$995)</f>
      </c>
      <c r="IR995">
        <f>IF(ISBLANK('Data Entry'!$ļ$995), "", 'Data Entry'!$ļ$995)</f>
      </c>
      <c r="IS995">
        <f>IF(ISBLANK('Data Entry'!$Ľ$995), "", 'Data Entry'!$Ľ$995)</f>
      </c>
      <c r="IT995">
        <f>IF(ISBLANK('Data Entry'!$ľ$995), "", 'Data Entry'!$ľ$995)</f>
      </c>
    </row>
    <row r="996" spans="1:254" x14ac:dyDescent="0.25">
      <c r="A996">
        <f>IF(ISBLANK('Data Entry'!$A$996), "", 'Data Entry'!$A$996)</f>
      </c>
      <c r="B996">
        <f>IF(ISBLANK('Data Entry'!$B$996), "", 'Data Entry'!$B$996)</f>
      </c>
      <c r="C996">
        <f>IF(ISBLANK('Data Entry'!$C$996), "", 'Data Entry'!$C$996)</f>
      </c>
      <c r="D996">
        <f>IF(ISBLANK('Data Entry'!$D$996), "", 'Data Entry'!$D$996)</f>
      </c>
      <c r="E996">
        <f>IF(ISBLANK('Data Entry'!$E$996), "", 'Data Entry'!$E$996)</f>
      </c>
      <c r="F996">
        <f>IF(ISBLANK('Data Entry'!$F$996), "", 'Data Entry'!$F$996)</f>
      </c>
      <c r="G996">
        <f>IF(ISBLANK('Data Entry'!$G$996), "", 'Data Entry'!$G$996)</f>
      </c>
      <c r="H996">
        <f>IF(ISBLANK('Data Entry'!$H$996), "", 'Data Entry'!$H$996)</f>
      </c>
      <c r="I996">
        <f>IF(ISBLANK('Data Entry'!$I$996), "", 'Data Entry'!$I$996)</f>
      </c>
      <c r="J996">
        <f>IF(ISBLANK('Data Entry'!$J$996), "", 'Data Entry'!$J$996)</f>
      </c>
      <c r="K996">
        <f>IF(ISBLANK('Data Entry'!$K$996), "", 'Data Entry'!$K$996)</f>
      </c>
      <c r="L996">
        <f>IF(ISBLANK('Data Entry'!$L$996), "", 'Data Entry'!$L$996)</f>
      </c>
      <c r="M996">
        <f>IF(ISBLANK('Data Entry'!$M$996), "", 'Data Entry'!$M$996)</f>
      </c>
      <c r="N996">
        <f>IF(ISBLANK('Data Entry'!$N$996), "", 'Data Entry'!$N$996)</f>
      </c>
      <c r="O996">
        <f>IF(ISBLANK('Data Entry'!$O$996), "", 'Data Entry'!$O$996)</f>
      </c>
      <c r="P996">
        <f>IF(ISBLANK('Data Entry'!$P$996), "", 'Data Entry'!$P$996)</f>
      </c>
      <c r="Q996">
        <f>IF(ISBLANK('Data Entry'!$Q$996), "", 'Data Entry'!$Q$996)</f>
      </c>
      <c r="R996">
        <f>IF(ISBLANK('Data Entry'!$R$996), "", 'Data Entry'!$R$996)</f>
      </c>
      <c r="S996">
        <f>IF(ISBLANK('Data Entry'!$S$996), "", 'Data Entry'!$S$996)</f>
      </c>
      <c r="T996">
        <f>IF(ISBLANK('Data Entry'!$T$996), "", 'Data Entry'!$T$996)</f>
      </c>
      <c r="U996">
        <f>IF(ISBLANK('Data Entry'!$U$996), "", 'Data Entry'!$U$996)</f>
      </c>
      <c r="V996">
        <f>IF(ISBLANK('Data Entry'!$V$996), "", 'Data Entry'!$V$996)</f>
      </c>
      <c r="W996">
        <f>IF(ISBLANK('Data Entry'!$W$996), "", 'Data Entry'!$W$996)</f>
      </c>
      <c r="X996">
        <f>IF(ISBLANK('Data Entry'!$X$996), "", 'Data Entry'!$X$996)</f>
      </c>
      <c r="Y996">
        <f>IF(ISBLANK('Data Entry'!$Y$996), "", 'Data Entry'!$Y$996)</f>
      </c>
      <c r="Z996">
        <f>IF(ISBLANK('Data Entry'!$Z$996), "", 'Data Entry'!$Z$996)</f>
      </c>
      <c r="AA996">
        <f>IF(ISBLANK('Data Entry'!$[$996), "", 'Data Entry'!$[$996)</f>
      </c>
      <c r="AB996">
        <f>IF(ISBLANK('Data Entry'!$\$996), "", 'Data Entry'!$\$996)</f>
      </c>
      <c r="AC996">
        <f>IF(ISBLANK('Data Entry'!$]$996), "", 'Data Entry'!$]$996)</f>
      </c>
      <c r="AD996">
        <f>IF(ISBLANK('Data Entry'!$^$996), "", 'Data Entry'!$^$996)</f>
      </c>
      <c r="AE996">
        <f>IF(ISBLANK('Data Entry'!$_$996), "", 'Data Entry'!$_$996)</f>
      </c>
      <c r="AF996">
        <f>IF(ISBLANK('Data Entry'!$`$996), "", 'Data Entry'!$`$996)</f>
      </c>
      <c r="AG996">
        <f>IF(ISBLANK('Data Entry'!$a$996), "", 'Data Entry'!$a$996)</f>
      </c>
      <c r="AH996">
        <f>IF(ISBLANK('Data Entry'!$b$996), "", 'Data Entry'!$b$996)</f>
      </c>
      <c r="AI996">
        <f>IF(ISBLANK('Data Entry'!$c$996), "", 'Data Entry'!$c$996)</f>
      </c>
      <c r="AJ996">
        <f>IF(ISBLANK('Data Entry'!$d$996), "", 'Data Entry'!$d$996)</f>
      </c>
      <c r="AK996">
        <f>IF(ISBLANK('Data Entry'!$e$996), "", 'Data Entry'!$e$996)</f>
      </c>
      <c r="AL996">
        <f>IF(ISBLANK('Data Entry'!$f$996), "", 'Data Entry'!$f$996)</f>
      </c>
      <c r="AM996">
        <f>IF(ISBLANK('Data Entry'!$g$996), "", 'Data Entry'!$g$996)</f>
      </c>
      <c r="AN996">
        <f>IF(ISBLANK('Data Entry'!$h$996), "", 'Data Entry'!$h$996)</f>
      </c>
      <c r="AO996">
        <f>IF(ISBLANK('Data Entry'!$i$996), "", 'Data Entry'!$i$996)</f>
      </c>
      <c r="AP996">
        <f>IF(ISBLANK('Data Entry'!$j$996), "", 'Data Entry'!$j$996)</f>
      </c>
      <c r="AQ996">
        <f>IF(ISBLANK('Data Entry'!$k$996), "", 'Data Entry'!$k$996)</f>
      </c>
      <c r="AR996">
        <f>IF(ISBLANK('Data Entry'!$l$996), "", 'Data Entry'!$l$996)</f>
      </c>
      <c r="AS996">
        <f>IF(ISBLANK('Data Entry'!$m$996), "", 'Data Entry'!$m$996)</f>
      </c>
      <c r="AT996">
        <f>IF(ISBLANK('Data Entry'!$n$996), "", 'Data Entry'!$n$996)</f>
      </c>
      <c r="AU996">
        <f>IF(ISBLANK('Data Entry'!$o$996), "", 'Data Entry'!$o$996)</f>
      </c>
      <c r="AV996">
        <f>IF(ISBLANK('Data Entry'!$p$996), "", 'Data Entry'!$p$996)</f>
      </c>
      <c r="AW996">
        <f>IF(ISBLANK('Data Entry'!$q$996), "", 'Data Entry'!$q$996)</f>
      </c>
      <c r="AX996">
        <f>IF(ISBLANK('Data Entry'!$r$996), "", 'Data Entry'!$r$996)</f>
      </c>
      <c r="AY996">
        <f>IF(ISBLANK('Data Entry'!$s$996), "", 'Data Entry'!$s$996)</f>
      </c>
      <c r="AZ996">
        <f>IF(ISBLANK('Data Entry'!$t$996), "", 'Data Entry'!$t$996)</f>
      </c>
      <c r="BA996">
        <f>IF(ISBLANK('Data Entry'!$u$996), "", 'Data Entry'!$u$996)</f>
      </c>
      <c r="BB996">
        <f>IF(ISBLANK('Data Entry'!$v$996), "", 'Data Entry'!$v$996)</f>
      </c>
      <c r="BC996">
        <f>IF(ISBLANK('Data Entry'!$w$996), "", 'Data Entry'!$w$996)</f>
      </c>
      <c r="BD996">
        <f>IF(ISBLANK('Data Entry'!$x$996), "", 'Data Entry'!$x$996)</f>
      </c>
      <c r="BE996">
        <f>IF(ISBLANK('Data Entry'!$y$996), "", 'Data Entry'!$y$996)</f>
      </c>
      <c r="BF996">
        <f>IF(ISBLANK('Data Entry'!$z$996), "", 'Data Entry'!$z$996)</f>
      </c>
      <c r="BG996">
        <f>IF(ISBLANK('Data Entry'!${$996), "", 'Data Entry'!${$996)</f>
      </c>
      <c r="BH996">
        <f>IF(ISBLANK('Data Entry'!$|$996), "", 'Data Entry'!$|$996)</f>
      </c>
      <c r="BI996">
        <f>IF(ISBLANK('Data Entry'!$}$996), "", 'Data Entry'!$}$996)</f>
      </c>
      <c r="BJ996">
        <f>IF(ISBLANK('Data Entry'!$~$996), "", 'Data Entry'!$~$996)</f>
      </c>
      <c r="BK996">
        <f>IF(ISBLANK('Data Entry'!$$996), "", 'Data Entry'!$$996)</f>
      </c>
      <c r="BL996">
        <f>IF(ISBLANK('Data Entry'!$$996), "", 'Data Entry'!$$996)</f>
      </c>
      <c r="BM996">
        <f>IF(ISBLANK('Data Entry'!$$996), "", 'Data Entry'!$$996)</f>
      </c>
      <c r="BN996">
        <f>IF(ISBLANK('Data Entry'!$$996), "", 'Data Entry'!$$996)</f>
      </c>
      <c r="BO996">
        <f>IF(ISBLANK('Data Entry'!$$996), "", 'Data Entry'!$$996)</f>
      </c>
      <c r="BP996">
        <f>IF(ISBLANK('Data Entry'!$$996), "", 'Data Entry'!$$996)</f>
      </c>
      <c r="BQ996">
        <f>IF(ISBLANK('Data Entry'!$$996), "", 'Data Entry'!$$996)</f>
      </c>
      <c r="BR996">
        <f>IF(ISBLANK('Data Entry'!$$996), "", 'Data Entry'!$$996)</f>
      </c>
      <c r="BS996">
        <f>IF(ISBLANK('Data Entry'!$$996), "", 'Data Entry'!$$996)</f>
      </c>
      <c r="BT996">
        <f>IF(ISBLANK('Data Entry'!$$996), "", 'Data Entry'!$$996)</f>
      </c>
      <c r="BU996">
        <f>IF(ISBLANK('Data Entry'!$$996), "", 'Data Entry'!$$996)</f>
      </c>
      <c r="BV996">
        <f>IF(ISBLANK('Data Entry'!$$996), "", 'Data Entry'!$$996)</f>
      </c>
      <c r="BW996">
        <f>IF(ISBLANK('Data Entry'!$$996), "", 'Data Entry'!$$996)</f>
      </c>
      <c r="BX996">
        <f>IF(ISBLANK('Data Entry'!$$996), "", 'Data Entry'!$$996)</f>
      </c>
      <c r="BY996">
        <f>IF(ISBLANK('Data Entry'!$$996), "", 'Data Entry'!$$996)</f>
      </c>
      <c r="BZ996">
        <f>IF(ISBLANK('Data Entry'!$$996), "", 'Data Entry'!$$996)</f>
      </c>
      <c r="CA996">
        <f>IF(ISBLANK('Data Entry'!$$996), "", 'Data Entry'!$$996)</f>
      </c>
      <c r="CB996">
        <f>IF(ISBLANK('Data Entry'!$$996), "", 'Data Entry'!$$996)</f>
      </c>
      <c r="CC996">
        <f>IF(ISBLANK('Data Entry'!$$996), "", 'Data Entry'!$$996)</f>
      </c>
      <c r="CD996">
        <f>IF(ISBLANK('Data Entry'!$$996), "", 'Data Entry'!$$996)</f>
      </c>
      <c r="CE996">
        <f>IF(ISBLANK('Data Entry'!$$996), "", 'Data Entry'!$$996)</f>
      </c>
      <c r="CF996">
        <f>IF(ISBLANK('Data Entry'!$$996), "", 'Data Entry'!$$996)</f>
      </c>
      <c r="CG996">
        <f>IF(ISBLANK('Data Entry'!$$996), "", 'Data Entry'!$$996)</f>
      </c>
      <c r="CH996">
        <f>IF(ISBLANK('Data Entry'!$$996), "", 'Data Entry'!$$996)</f>
      </c>
      <c r="CI996">
        <f>IF(ISBLANK('Data Entry'!$$996), "", 'Data Entry'!$$996)</f>
      </c>
      <c r="CJ996">
        <f>IF(ISBLANK('Data Entry'!$$996), "", 'Data Entry'!$$996)</f>
      </c>
      <c r="CK996">
        <f>IF(ISBLANK('Data Entry'!$$996), "", 'Data Entry'!$$996)</f>
      </c>
      <c r="CL996">
        <f>IF(ISBLANK('Data Entry'!$$996), "", 'Data Entry'!$$996)</f>
      </c>
      <c r="CM996">
        <f>IF(ISBLANK('Data Entry'!$$996), "", 'Data Entry'!$$996)</f>
      </c>
      <c r="CN996">
        <f>IF(ISBLANK('Data Entry'!$$996), "", 'Data Entry'!$$996)</f>
      </c>
      <c r="CO996">
        <f>IF(ISBLANK('Data Entry'!$$996), "", 'Data Entry'!$$996)</f>
      </c>
      <c r="CP996">
        <f>IF(ISBLANK('Data Entry'!$$996), "", 'Data Entry'!$$996)</f>
      </c>
      <c r="CQ996">
        <f>IF(ISBLANK('Data Entry'!$$996), "", 'Data Entry'!$$996)</f>
      </c>
      <c r="CR996">
        <f>IF(ISBLANK('Data Entry'!$ $996), "", 'Data Entry'!$ $996)</f>
      </c>
      <c r="CS996">
        <f>IF(ISBLANK('Data Entry'!$¡$996), "", 'Data Entry'!$¡$996)</f>
      </c>
      <c r="CT996">
        <f>IF(ISBLANK('Data Entry'!$¢$996), "", 'Data Entry'!$¢$996)</f>
      </c>
      <c r="CU996">
        <f>IF(ISBLANK('Data Entry'!$£$996), "", 'Data Entry'!$£$996)</f>
      </c>
      <c r="CV996">
        <f>IF(ISBLANK('Data Entry'!$¤$996), "", 'Data Entry'!$¤$996)</f>
      </c>
      <c r="CW996">
        <f>IF(ISBLANK('Data Entry'!$¥$996), "", 'Data Entry'!$¥$996)</f>
      </c>
      <c r="CX996">
        <f>IF(ISBLANK('Data Entry'!$¦$996), "", 'Data Entry'!$¦$996)</f>
      </c>
      <c r="CY996">
        <f>IF(ISBLANK('Data Entry'!$§$996), "", 'Data Entry'!$§$996)</f>
      </c>
      <c r="CZ996">
        <f>IF(ISBLANK('Data Entry'!$¨$996), "", 'Data Entry'!$¨$996)</f>
      </c>
      <c r="DA996">
        <f>IF(ISBLANK('Data Entry'!$©$996), "", 'Data Entry'!$©$996)</f>
      </c>
      <c r="DB996">
        <f>IF(ISBLANK('Data Entry'!$ª$996), "", 'Data Entry'!$ª$996)</f>
      </c>
      <c r="DC996">
        <f>IF(ISBLANK('Data Entry'!$«$996), "", 'Data Entry'!$«$996)</f>
      </c>
      <c r="DD996">
        <f>IF(ISBLANK('Data Entry'!$¬$996), "", 'Data Entry'!$¬$996)</f>
      </c>
      <c r="DE996">
        <f>IF(ISBLANK('Data Entry'!$­$996), "", 'Data Entry'!$­$996)</f>
      </c>
      <c r="DF996">
        <f>IF(ISBLANK('Data Entry'!$®$996), "", 'Data Entry'!$®$996)</f>
      </c>
      <c r="DG996">
        <f>IF(ISBLANK('Data Entry'!$¯$996), "", 'Data Entry'!$¯$996)</f>
      </c>
      <c r="DH996">
        <f>IF(ISBLANK('Data Entry'!$°$996), "", 'Data Entry'!$°$996)</f>
      </c>
      <c r="DI996">
        <f>IF(ISBLANK('Data Entry'!$±$996), "", 'Data Entry'!$±$996)</f>
      </c>
      <c r="DJ996">
        <f>IF(ISBLANK('Data Entry'!$²$996), "", 'Data Entry'!$²$996)</f>
      </c>
      <c r="DK996">
        <f>IF(ISBLANK('Data Entry'!$³$996), "", 'Data Entry'!$³$996)</f>
      </c>
      <c r="DL996">
        <f>IF(ISBLANK('Data Entry'!$´$996), "", 'Data Entry'!$´$996)</f>
      </c>
      <c r="DM996">
        <f>IF(ISBLANK('Data Entry'!$µ$996), "", 'Data Entry'!$µ$996)</f>
      </c>
      <c r="DN996">
        <f>IF(ISBLANK('Data Entry'!$¶$996), "", 'Data Entry'!$¶$996)</f>
      </c>
      <c r="DO996">
        <f>IF(ISBLANK('Data Entry'!$·$996), "", 'Data Entry'!$·$996)</f>
      </c>
      <c r="DP996">
        <f>IF(ISBLANK('Data Entry'!$¸$996), "", 'Data Entry'!$¸$996)</f>
      </c>
      <c r="DQ996">
        <f>IF(ISBLANK('Data Entry'!$¹$996), "", 'Data Entry'!$¹$996)</f>
      </c>
      <c r="DR996">
        <f>IF(ISBLANK('Data Entry'!$º$996), "", 'Data Entry'!$º$996)</f>
      </c>
      <c r="DS996">
        <f>IF(ISBLANK('Data Entry'!$»$996), "", 'Data Entry'!$»$996)</f>
      </c>
      <c r="DT996">
        <f>IF(ISBLANK('Data Entry'!$¼$996), "", 'Data Entry'!$¼$996)</f>
      </c>
      <c r="DU996">
        <f>IF(ISBLANK('Data Entry'!$½$996), "", 'Data Entry'!$½$996)</f>
      </c>
      <c r="DV996">
        <f>IF(ISBLANK('Data Entry'!$¾$996), "", 'Data Entry'!$¾$996)</f>
      </c>
      <c r="DW996">
        <f>IF(ISBLANK('Data Entry'!$¿$996), "", 'Data Entry'!$¿$996)</f>
      </c>
      <c r="DX996">
        <f>IF(ISBLANK('Data Entry'!$À$996), "", 'Data Entry'!$À$996)</f>
      </c>
      <c r="DY996">
        <f>IF(ISBLANK('Data Entry'!$Á$996), "", 'Data Entry'!$Á$996)</f>
      </c>
      <c r="DZ996">
        <f>IF(ISBLANK('Data Entry'!$Â$996), "", 'Data Entry'!$Â$996)</f>
      </c>
      <c r="EA996">
        <f>IF(ISBLANK('Data Entry'!$Ã$996), "", 'Data Entry'!$Ã$996)</f>
      </c>
      <c r="EB996">
        <f>IF(ISBLANK('Data Entry'!$Ä$996), "", 'Data Entry'!$Ä$996)</f>
      </c>
      <c r="EC996">
        <f>IF(ISBLANK('Data Entry'!$Å$996), "", 'Data Entry'!$Å$996)</f>
      </c>
      <c r="ED996">
        <f>IF(ISBLANK('Data Entry'!$Æ$996), "", 'Data Entry'!$Æ$996)</f>
      </c>
      <c r="EE996">
        <f>IF(ISBLANK('Data Entry'!$Ç$996), "", 'Data Entry'!$Ç$996)</f>
      </c>
      <c r="EF996">
        <f>IF(ISBLANK('Data Entry'!$È$996), "", 'Data Entry'!$È$996)</f>
      </c>
      <c r="EG996">
        <f>IF(ISBLANK('Data Entry'!$É$996), "", 'Data Entry'!$É$996)</f>
      </c>
      <c r="EH996">
        <f>IF(ISBLANK('Data Entry'!$Ê$996), "", 'Data Entry'!$Ê$996)</f>
      </c>
      <c r="EI996">
        <f>IF(ISBLANK('Data Entry'!$Ë$996), "", 'Data Entry'!$Ë$996)</f>
      </c>
      <c r="EJ996">
        <f>IF(ISBLANK('Data Entry'!$Ì$996), "", 'Data Entry'!$Ì$996)</f>
      </c>
      <c r="EK996">
        <f>IF(ISBLANK('Data Entry'!$Í$996), "", 'Data Entry'!$Í$996)</f>
      </c>
      <c r="EL996">
        <f>IF(ISBLANK('Data Entry'!$Î$996), "", 'Data Entry'!$Î$996)</f>
      </c>
      <c r="EM996">
        <f>IF(ISBLANK('Data Entry'!$Ï$996), "", 'Data Entry'!$Ï$996)</f>
      </c>
      <c r="EN996">
        <f>IF(ISBLANK('Data Entry'!$Ð$996), "", 'Data Entry'!$Ð$996)</f>
      </c>
      <c r="EO996">
        <f>IF(ISBLANK('Data Entry'!$Ñ$996), "", 'Data Entry'!$Ñ$996)</f>
      </c>
      <c r="EP996">
        <f>IF(ISBLANK('Data Entry'!$Ò$996), "", 'Data Entry'!$Ò$996)</f>
      </c>
      <c r="EQ996">
        <f>IF(ISBLANK('Data Entry'!$Ó$996), "", 'Data Entry'!$Ó$996)</f>
      </c>
      <c r="ER996">
        <f>IF(ISBLANK('Data Entry'!$Ô$996), "", 'Data Entry'!$Ô$996)</f>
      </c>
      <c r="ES996">
        <f>IF(ISBLANK('Data Entry'!$Õ$996), "", 'Data Entry'!$Õ$996)</f>
      </c>
      <c r="ET996">
        <f>IF(ISBLANK('Data Entry'!$Ö$996), "", 'Data Entry'!$Ö$996)</f>
      </c>
      <c r="EU996">
        <f>IF(ISBLANK('Data Entry'!$×$996), "", 'Data Entry'!$×$996)</f>
      </c>
      <c r="EV996">
        <f>IF(ISBLANK('Data Entry'!$Ø$996), "", 'Data Entry'!$Ø$996)</f>
      </c>
      <c r="EW996">
        <f>IF(ISBLANK('Data Entry'!$Ù$996), "", 'Data Entry'!$Ù$996)</f>
      </c>
      <c r="EX996">
        <f>IF(ISBLANK('Data Entry'!$Ú$996), "", 'Data Entry'!$Ú$996)</f>
      </c>
      <c r="EY996">
        <f>IF(ISBLANK('Data Entry'!$Û$996), "", 'Data Entry'!$Û$996)</f>
      </c>
      <c r="EZ996">
        <f>IF(ISBLANK('Data Entry'!$Ü$996), "", 'Data Entry'!$Ü$996)</f>
      </c>
      <c r="FA996">
        <f>IF(ISBLANK('Data Entry'!$Ý$996), "", 'Data Entry'!$Ý$996)</f>
      </c>
      <c r="FB996">
        <f>IF(ISBLANK('Data Entry'!$Þ$996), "", 'Data Entry'!$Þ$996)</f>
      </c>
      <c r="FC996">
        <f>IF(ISBLANK('Data Entry'!$ß$996), "", 'Data Entry'!$ß$996)</f>
      </c>
      <c r="FD996">
        <f>IF(ISBLANK('Data Entry'!$à$996), "", 'Data Entry'!$à$996)</f>
      </c>
      <c r="FE996">
        <f>IF(ISBLANK('Data Entry'!$á$996), "", 'Data Entry'!$á$996)</f>
      </c>
      <c r="FF996">
        <f>IF(ISBLANK('Data Entry'!$â$996), "", 'Data Entry'!$â$996)</f>
      </c>
      <c r="FG996">
        <f>IF(ISBLANK('Data Entry'!$ã$996), "", 'Data Entry'!$ã$996)</f>
      </c>
      <c r="FH996">
        <f>IF(ISBLANK('Data Entry'!$ä$996), "", 'Data Entry'!$ä$996)</f>
      </c>
      <c r="FI996">
        <f>IF(ISBLANK('Data Entry'!$å$996), "", 'Data Entry'!$å$996)</f>
      </c>
      <c r="FJ996">
        <f>IF(ISBLANK('Data Entry'!$æ$996), "", 'Data Entry'!$æ$996)</f>
      </c>
      <c r="FK996">
        <f>IF(ISBLANK('Data Entry'!$ç$996), "", 'Data Entry'!$ç$996)</f>
      </c>
      <c r="FL996">
        <f>IF(ISBLANK('Data Entry'!$è$996), "", 'Data Entry'!$è$996)</f>
      </c>
      <c r="FM996">
        <f>IF(ISBLANK('Data Entry'!$é$996), "", 'Data Entry'!$é$996)</f>
      </c>
      <c r="FN996">
        <f>IF(ISBLANK('Data Entry'!$ê$996), "", 'Data Entry'!$ê$996)</f>
      </c>
      <c r="FO996">
        <f>IF(ISBLANK('Data Entry'!$ë$996), "", 'Data Entry'!$ë$996)</f>
      </c>
      <c r="FP996">
        <f>IF(ISBLANK('Data Entry'!$ì$996), "", 'Data Entry'!$ì$996)</f>
      </c>
      <c r="FQ996">
        <f>IF(ISBLANK('Data Entry'!$í$996), "", 'Data Entry'!$í$996)</f>
      </c>
      <c r="FR996">
        <f>IF(ISBLANK('Data Entry'!$î$996), "", 'Data Entry'!$î$996)</f>
      </c>
      <c r="FS996">
        <f>IF(ISBLANK('Data Entry'!$ï$996), "", 'Data Entry'!$ï$996)</f>
      </c>
      <c r="FT996">
        <f>IF(ISBLANK('Data Entry'!$ð$996), "", 'Data Entry'!$ð$996)</f>
      </c>
      <c r="FU996">
        <f>IF(ISBLANK('Data Entry'!$ñ$996), "", 'Data Entry'!$ñ$996)</f>
      </c>
      <c r="FV996">
        <f>IF(ISBLANK('Data Entry'!$ò$996), "", 'Data Entry'!$ò$996)</f>
      </c>
      <c r="FW996">
        <f>IF(ISBLANK('Data Entry'!$ó$996), "", 'Data Entry'!$ó$996)</f>
      </c>
      <c r="FX996">
        <f>IF(ISBLANK('Data Entry'!$ô$996), "", 'Data Entry'!$ô$996)</f>
      </c>
      <c r="FY996">
        <f>IF(ISBLANK('Data Entry'!$õ$996), "", 'Data Entry'!$õ$996)</f>
      </c>
      <c r="FZ996">
        <f>IF(ISBLANK('Data Entry'!$ö$996), "", 'Data Entry'!$ö$996)</f>
      </c>
      <c r="GA996">
        <f>IF(ISBLANK('Data Entry'!$÷$996), "", 'Data Entry'!$÷$996)</f>
      </c>
      <c r="GB996">
        <f>IF(ISBLANK('Data Entry'!$ø$996), "", 'Data Entry'!$ø$996)</f>
      </c>
      <c r="GC996">
        <f>IF(ISBLANK('Data Entry'!$ù$996), "", 'Data Entry'!$ù$996)</f>
      </c>
      <c r="GD996">
        <f>IF(ISBLANK('Data Entry'!$ú$996), "", 'Data Entry'!$ú$996)</f>
      </c>
      <c r="GE996">
        <f>IF(ISBLANK('Data Entry'!$û$996), "", 'Data Entry'!$û$996)</f>
      </c>
      <c r="GF996">
        <f>IF(ISBLANK('Data Entry'!$ü$996), "", 'Data Entry'!$ü$996)</f>
      </c>
      <c r="GG996">
        <f>IF(ISBLANK('Data Entry'!$ý$996), "", 'Data Entry'!$ý$996)</f>
      </c>
      <c r="GH996">
        <f>IF(ISBLANK('Data Entry'!$þ$996), "", 'Data Entry'!$þ$996)</f>
      </c>
      <c r="GI996">
        <f>IF(ISBLANK('Data Entry'!$ÿ$996), "", 'Data Entry'!$ÿ$996)</f>
      </c>
      <c r="GJ996">
        <f>IF(ISBLANK('Data Entry'!$Ā$996), "", 'Data Entry'!$Ā$996)</f>
      </c>
      <c r="GK996">
        <f>IF(ISBLANK('Data Entry'!$ā$996), "", 'Data Entry'!$ā$996)</f>
      </c>
      <c r="GL996">
        <f>IF(ISBLANK('Data Entry'!$Ă$996), "", 'Data Entry'!$Ă$996)</f>
      </c>
      <c r="GM996">
        <f>IF(ISBLANK('Data Entry'!$ă$996), "", 'Data Entry'!$ă$996)</f>
      </c>
      <c r="GN996">
        <f>IF(ISBLANK('Data Entry'!$Ą$996), "", 'Data Entry'!$Ą$996)</f>
      </c>
      <c r="GO996">
        <f>IF(ISBLANK('Data Entry'!$ą$996), "", 'Data Entry'!$ą$996)</f>
      </c>
      <c r="GP996">
        <f>IF(ISBLANK('Data Entry'!$Ć$996), "", 'Data Entry'!$Ć$996)</f>
      </c>
      <c r="GQ996">
        <f>IF(ISBLANK('Data Entry'!$ć$996), "", 'Data Entry'!$ć$996)</f>
      </c>
      <c r="GR996">
        <f>IF(ISBLANK('Data Entry'!$Ĉ$996), "", 'Data Entry'!$Ĉ$996)</f>
      </c>
      <c r="GS996">
        <f>IF(ISBLANK('Data Entry'!$ĉ$996), "", 'Data Entry'!$ĉ$996)</f>
      </c>
      <c r="GT996">
        <f>IF(ISBLANK('Data Entry'!$Ċ$996), "", 'Data Entry'!$Ċ$996)</f>
      </c>
      <c r="GU996">
        <f>IF(ISBLANK('Data Entry'!$ċ$996), "", 'Data Entry'!$ċ$996)</f>
      </c>
      <c r="GV996">
        <f>IF(ISBLANK('Data Entry'!$Č$996), "", 'Data Entry'!$Č$996)</f>
      </c>
      <c r="GW996">
        <f>IF(ISBLANK('Data Entry'!$č$996), "", 'Data Entry'!$č$996)</f>
      </c>
      <c r="GX996">
        <f>IF(ISBLANK('Data Entry'!$Ď$996), "", 'Data Entry'!$Ď$996)</f>
      </c>
      <c r="GY996">
        <f>IF(ISBLANK('Data Entry'!$ď$996), "", 'Data Entry'!$ď$996)</f>
      </c>
      <c r="GZ996">
        <f>IF(ISBLANK('Data Entry'!$Đ$996), "", 'Data Entry'!$Đ$996)</f>
      </c>
      <c r="HA996">
        <f>IF(ISBLANK('Data Entry'!$đ$996), "", 'Data Entry'!$đ$996)</f>
      </c>
      <c r="HB996">
        <f>IF(ISBLANK('Data Entry'!$Ē$996), "", 'Data Entry'!$Ē$996)</f>
      </c>
      <c r="HC996">
        <f>IF(ISBLANK('Data Entry'!$ē$996), "", 'Data Entry'!$ē$996)</f>
      </c>
      <c r="HD996">
        <f>IF(ISBLANK('Data Entry'!$Ĕ$996), "", 'Data Entry'!$Ĕ$996)</f>
      </c>
      <c r="HE996">
        <f>IF(ISBLANK('Data Entry'!$ĕ$996), "", 'Data Entry'!$ĕ$996)</f>
      </c>
      <c r="HF996">
        <f>IF(ISBLANK('Data Entry'!$Ė$996), "", 'Data Entry'!$Ė$996)</f>
      </c>
      <c r="HG996">
        <f>IF(ISBLANK('Data Entry'!$ė$996), "", 'Data Entry'!$ė$996)</f>
      </c>
      <c r="HH996">
        <f>IF(ISBLANK('Data Entry'!$Ę$996), "", 'Data Entry'!$Ę$996)</f>
      </c>
      <c r="HI996">
        <f>IF(ISBLANK('Data Entry'!$ę$996), "", 'Data Entry'!$ę$996)</f>
      </c>
      <c r="HJ996">
        <f>IF(ISBLANK('Data Entry'!$Ě$996), "", 'Data Entry'!$Ě$996)</f>
      </c>
      <c r="HK996">
        <f>IF(ISBLANK('Data Entry'!$ě$996), "", 'Data Entry'!$ě$996)</f>
      </c>
      <c r="HL996">
        <f>IF(ISBLANK('Data Entry'!$Ĝ$996), "", 'Data Entry'!$Ĝ$996)</f>
      </c>
      <c r="HM996">
        <f>IF(ISBLANK('Data Entry'!$ĝ$996), "", 'Data Entry'!$ĝ$996)</f>
      </c>
      <c r="HN996">
        <f>IF(ISBLANK('Data Entry'!$Ğ$996), "", 'Data Entry'!$Ğ$996)</f>
      </c>
      <c r="HO996">
        <f>IF(ISBLANK('Data Entry'!$ğ$996), "", 'Data Entry'!$ğ$996)</f>
      </c>
      <c r="HP996">
        <f>IF(ISBLANK('Data Entry'!$Ġ$996), "", 'Data Entry'!$Ġ$996)</f>
      </c>
      <c r="HQ996">
        <f>IF(ISBLANK('Data Entry'!$ġ$996), "", 'Data Entry'!$ġ$996)</f>
      </c>
      <c r="HR996">
        <f>IF(ISBLANK('Data Entry'!$Ģ$996), "", 'Data Entry'!$Ģ$996)</f>
      </c>
      <c r="HS996">
        <f>IF(ISBLANK('Data Entry'!$ģ$996), "", 'Data Entry'!$ģ$996)</f>
      </c>
      <c r="HT996">
        <f>IF(ISBLANK('Data Entry'!$Ĥ$996), "", 'Data Entry'!$Ĥ$996)</f>
      </c>
      <c r="HU996">
        <f>IF(ISBLANK('Data Entry'!$ĥ$996), "", 'Data Entry'!$ĥ$996)</f>
      </c>
      <c r="HV996">
        <f>IF(ISBLANK('Data Entry'!$Ħ$996), "", 'Data Entry'!$Ħ$996)</f>
      </c>
      <c r="HW996">
        <f>IF(ISBLANK('Data Entry'!$ħ$996), "", 'Data Entry'!$ħ$996)</f>
      </c>
      <c r="HX996">
        <f>IF(ISBLANK('Data Entry'!$Ĩ$996), "", 'Data Entry'!$Ĩ$996)</f>
      </c>
      <c r="HY996">
        <f>IF(ISBLANK('Data Entry'!$ĩ$996), "", 'Data Entry'!$ĩ$996)</f>
      </c>
      <c r="HZ996">
        <f>IF(ISBLANK('Data Entry'!$Ī$996), "", 'Data Entry'!$Ī$996)</f>
      </c>
      <c r="IA996">
        <f>IF(ISBLANK('Data Entry'!$ī$996), "", 'Data Entry'!$ī$996)</f>
      </c>
      <c r="IB996">
        <f>IF(ISBLANK('Data Entry'!$Ĭ$996), "", 'Data Entry'!$Ĭ$996)</f>
      </c>
      <c r="IC996">
        <f>IF(ISBLANK('Data Entry'!$ĭ$996), "", 'Data Entry'!$ĭ$996)</f>
      </c>
      <c r="ID996">
        <f>IF(ISBLANK('Data Entry'!$Į$996), "", 'Data Entry'!$Į$996)</f>
      </c>
      <c r="IE996">
        <f>IF(ISBLANK('Data Entry'!$į$996), "", 'Data Entry'!$į$996)</f>
      </c>
      <c r="IF996">
        <f>IF(ISBLANK('Data Entry'!$İ$996), "", 'Data Entry'!$İ$996)</f>
      </c>
      <c r="IG996">
        <f>IF(ISBLANK('Data Entry'!$ı$996), "", 'Data Entry'!$ı$996)</f>
      </c>
      <c r="IH996">
        <f>IF(ISBLANK('Data Entry'!$Ĳ$996), "", 'Data Entry'!$Ĳ$996)</f>
      </c>
      <c r="II996">
        <f>IF(ISBLANK('Data Entry'!$ĳ$996), "", 'Data Entry'!$ĳ$996)</f>
      </c>
      <c r="IJ996">
        <f>IF(ISBLANK('Data Entry'!$Ĵ$996), "", 'Data Entry'!$Ĵ$996)</f>
      </c>
      <c r="IK996">
        <f>IF(ISBLANK('Data Entry'!$ĵ$996), "", 'Data Entry'!$ĵ$996)</f>
      </c>
      <c r="IL996">
        <f>IF(ISBLANK('Data Entry'!$Ķ$996), "", 'Data Entry'!$Ķ$996)</f>
      </c>
      <c r="IM996">
        <f>IF(ISBLANK('Data Entry'!$ķ$996), "", 'Data Entry'!$ķ$996)</f>
      </c>
      <c r="IN996">
        <f>IF(ISBLANK('Data Entry'!$ĸ$996), "", 'Data Entry'!$ĸ$996)</f>
      </c>
      <c r="IO996">
        <f>IF(ISBLANK('Data Entry'!$Ĺ$996), "", 'Data Entry'!$Ĺ$996)</f>
      </c>
      <c r="IP996">
        <f>IF(ISBLANK('Data Entry'!$ĺ$996), "", 'Data Entry'!$ĺ$996)</f>
      </c>
      <c r="IQ996">
        <f>IF(ISBLANK('Data Entry'!$Ļ$996), "", 'Data Entry'!$Ļ$996)</f>
      </c>
      <c r="IR996">
        <f>IF(ISBLANK('Data Entry'!$ļ$996), "", 'Data Entry'!$ļ$996)</f>
      </c>
      <c r="IS996">
        <f>IF(ISBLANK('Data Entry'!$Ľ$996), "", 'Data Entry'!$Ľ$996)</f>
      </c>
      <c r="IT996">
        <f>IF(ISBLANK('Data Entry'!$ľ$996), "", 'Data Entry'!$ľ$996)</f>
      </c>
    </row>
    <row r="997" spans="1:254" x14ac:dyDescent="0.25">
      <c r="A997">
        <f>IF(ISBLANK('Data Entry'!$A$997), "", 'Data Entry'!$A$997)</f>
      </c>
      <c r="B997">
        <f>IF(ISBLANK('Data Entry'!$B$997), "", 'Data Entry'!$B$997)</f>
      </c>
      <c r="C997">
        <f>IF(ISBLANK('Data Entry'!$C$997), "", 'Data Entry'!$C$997)</f>
      </c>
      <c r="D997">
        <f>IF(ISBLANK('Data Entry'!$D$997), "", 'Data Entry'!$D$997)</f>
      </c>
      <c r="E997">
        <f>IF(ISBLANK('Data Entry'!$E$997), "", 'Data Entry'!$E$997)</f>
      </c>
      <c r="F997">
        <f>IF(ISBLANK('Data Entry'!$F$997), "", 'Data Entry'!$F$997)</f>
      </c>
      <c r="G997">
        <f>IF(ISBLANK('Data Entry'!$G$997), "", 'Data Entry'!$G$997)</f>
      </c>
      <c r="H997">
        <f>IF(ISBLANK('Data Entry'!$H$997), "", 'Data Entry'!$H$997)</f>
      </c>
      <c r="I997">
        <f>IF(ISBLANK('Data Entry'!$I$997), "", 'Data Entry'!$I$997)</f>
      </c>
      <c r="J997">
        <f>IF(ISBLANK('Data Entry'!$J$997), "", 'Data Entry'!$J$997)</f>
      </c>
      <c r="K997">
        <f>IF(ISBLANK('Data Entry'!$K$997), "", 'Data Entry'!$K$997)</f>
      </c>
      <c r="L997">
        <f>IF(ISBLANK('Data Entry'!$L$997), "", 'Data Entry'!$L$997)</f>
      </c>
      <c r="M997">
        <f>IF(ISBLANK('Data Entry'!$M$997), "", 'Data Entry'!$M$997)</f>
      </c>
      <c r="N997">
        <f>IF(ISBLANK('Data Entry'!$N$997), "", 'Data Entry'!$N$997)</f>
      </c>
      <c r="O997">
        <f>IF(ISBLANK('Data Entry'!$O$997), "", 'Data Entry'!$O$997)</f>
      </c>
      <c r="P997">
        <f>IF(ISBLANK('Data Entry'!$P$997), "", 'Data Entry'!$P$997)</f>
      </c>
      <c r="Q997">
        <f>IF(ISBLANK('Data Entry'!$Q$997), "", 'Data Entry'!$Q$997)</f>
      </c>
      <c r="R997">
        <f>IF(ISBLANK('Data Entry'!$R$997), "", 'Data Entry'!$R$997)</f>
      </c>
      <c r="S997">
        <f>IF(ISBLANK('Data Entry'!$S$997), "", 'Data Entry'!$S$997)</f>
      </c>
      <c r="T997">
        <f>IF(ISBLANK('Data Entry'!$T$997), "", 'Data Entry'!$T$997)</f>
      </c>
      <c r="U997">
        <f>IF(ISBLANK('Data Entry'!$U$997), "", 'Data Entry'!$U$997)</f>
      </c>
      <c r="V997">
        <f>IF(ISBLANK('Data Entry'!$V$997), "", 'Data Entry'!$V$997)</f>
      </c>
      <c r="W997">
        <f>IF(ISBLANK('Data Entry'!$W$997), "", 'Data Entry'!$W$997)</f>
      </c>
      <c r="X997">
        <f>IF(ISBLANK('Data Entry'!$X$997), "", 'Data Entry'!$X$997)</f>
      </c>
      <c r="Y997">
        <f>IF(ISBLANK('Data Entry'!$Y$997), "", 'Data Entry'!$Y$997)</f>
      </c>
      <c r="Z997">
        <f>IF(ISBLANK('Data Entry'!$Z$997), "", 'Data Entry'!$Z$997)</f>
      </c>
      <c r="AA997">
        <f>IF(ISBLANK('Data Entry'!$[$997), "", 'Data Entry'!$[$997)</f>
      </c>
      <c r="AB997">
        <f>IF(ISBLANK('Data Entry'!$\$997), "", 'Data Entry'!$\$997)</f>
      </c>
      <c r="AC997">
        <f>IF(ISBLANK('Data Entry'!$]$997), "", 'Data Entry'!$]$997)</f>
      </c>
      <c r="AD997">
        <f>IF(ISBLANK('Data Entry'!$^$997), "", 'Data Entry'!$^$997)</f>
      </c>
      <c r="AE997">
        <f>IF(ISBLANK('Data Entry'!$_$997), "", 'Data Entry'!$_$997)</f>
      </c>
      <c r="AF997">
        <f>IF(ISBLANK('Data Entry'!$`$997), "", 'Data Entry'!$`$997)</f>
      </c>
      <c r="AG997">
        <f>IF(ISBLANK('Data Entry'!$a$997), "", 'Data Entry'!$a$997)</f>
      </c>
      <c r="AH997">
        <f>IF(ISBLANK('Data Entry'!$b$997), "", 'Data Entry'!$b$997)</f>
      </c>
      <c r="AI997">
        <f>IF(ISBLANK('Data Entry'!$c$997), "", 'Data Entry'!$c$997)</f>
      </c>
      <c r="AJ997">
        <f>IF(ISBLANK('Data Entry'!$d$997), "", 'Data Entry'!$d$997)</f>
      </c>
      <c r="AK997">
        <f>IF(ISBLANK('Data Entry'!$e$997), "", 'Data Entry'!$e$997)</f>
      </c>
      <c r="AL997">
        <f>IF(ISBLANK('Data Entry'!$f$997), "", 'Data Entry'!$f$997)</f>
      </c>
      <c r="AM997">
        <f>IF(ISBLANK('Data Entry'!$g$997), "", 'Data Entry'!$g$997)</f>
      </c>
      <c r="AN997">
        <f>IF(ISBLANK('Data Entry'!$h$997), "", 'Data Entry'!$h$997)</f>
      </c>
      <c r="AO997">
        <f>IF(ISBLANK('Data Entry'!$i$997), "", 'Data Entry'!$i$997)</f>
      </c>
      <c r="AP997">
        <f>IF(ISBLANK('Data Entry'!$j$997), "", 'Data Entry'!$j$997)</f>
      </c>
      <c r="AQ997">
        <f>IF(ISBLANK('Data Entry'!$k$997), "", 'Data Entry'!$k$997)</f>
      </c>
      <c r="AR997">
        <f>IF(ISBLANK('Data Entry'!$l$997), "", 'Data Entry'!$l$997)</f>
      </c>
      <c r="AS997">
        <f>IF(ISBLANK('Data Entry'!$m$997), "", 'Data Entry'!$m$997)</f>
      </c>
      <c r="AT997">
        <f>IF(ISBLANK('Data Entry'!$n$997), "", 'Data Entry'!$n$997)</f>
      </c>
      <c r="AU997">
        <f>IF(ISBLANK('Data Entry'!$o$997), "", 'Data Entry'!$o$997)</f>
      </c>
      <c r="AV997">
        <f>IF(ISBLANK('Data Entry'!$p$997), "", 'Data Entry'!$p$997)</f>
      </c>
      <c r="AW997">
        <f>IF(ISBLANK('Data Entry'!$q$997), "", 'Data Entry'!$q$997)</f>
      </c>
      <c r="AX997">
        <f>IF(ISBLANK('Data Entry'!$r$997), "", 'Data Entry'!$r$997)</f>
      </c>
      <c r="AY997">
        <f>IF(ISBLANK('Data Entry'!$s$997), "", 'Data Entry'!$s$997)</f>
      </c>
      <c r="AZ997">
        <f>IF(ISBLANK('Data Entry'!$t$997), "", 'Data Entry'!$t$997)</f>
      </c>
      <c r="BA997">
        <f>IF(ISBLANK('Data Entry'!$u$997), "", 'Data Entry'!$u$997)</f>
      </c>
      <c r="BB997">
        <f>IF(ISBLANK('Data Entry'!$v$997), "", 'Data Entry'!$v$997)</f>
      </c>
      <c r="BC997">
        <f>IF(ISBLANK('Data Entry'!$w$997), "", 'Data Entry'!$w$997)</f>
      </c>
      <c r="BD997">
        <f>IF(ISBLANK('Data Entry'!$x$997), "", 'Data Entry'!$x$997)</f>
      </c>
      <c r="BE997">
        <f>IF(ISBLANK('Data Entry'!$y$997), "", 'Data Entry'!$y$997)</f>
      </c>
      <c r="BF997">
        <f>IF(ISBLANK('Data Entry'!$z$997), "", 'Data Entry'!$z$997)</f>
      </c>
      <c r="BG997">
        <f>IF(ISBLANK('Data Entry'!${$997), "", 'Data Entry'!${$997)</f>
      </c>
      <c r="BH997">
        <f>IF(ISBLANK('Data Entry'!$|$997), "", 'Data Entry'!$|$997)</f>
      </c>
      <c r="BI997">
        <f>IF(ISBLANK('Data Entry'!$}$997), "", 'Data Entry'!$}$997)</f>
      </c>
      <c r="BJ997">
        <f>IF(ISBLANK('Data Entry'!$~$997), "", 'Data Entry'!$~$997)</f>
      </c>
      <c r="BK997">
        <f>IF(ISBLANK('Data Entry'!$$997), "", 'Data Entry'!$$997)</f>
      </c>
      <c r="BL997">
        <f>IF(ISBLANK('Data Entry'!$$997), "", 'Data Entry'!$$997)</f>
      </c>
      <c r="BM997">
        <f>IF(ISBLANK('Data Entry'!$$997), "", 'Data Entry'!$$997)</f>
      </c>
      <c r="BN997">
        <f>IF(ISBLANK('Data Entry'!$$997), "", 'Data Entry'!$$997)</f>
      </c>
      <c r="BO997">
        <f>IF(ISBLANK('Data Entry'!$$997), "", 'Data Entry'!$$997)</f>
      </c>
      <c r="BP997">
        <f>IF(ISBLANK('Data Entry'!$$997), "", 'Data Entry'!$$997)</f>
      </c>
      <c r="BQ997">
        <f>IF(ISBLANK('Data Entry'!$$997), "", 'Data Entry'!$$997)</f>
      </c>
      <c r="BR997">
        <f>IF(ISBLANK('Data Entry'!$$997), "", 'Data Entry'!$$997)</f>
      </c>
      <c r="BS997">
        <f>IF(ISBLANK('Data Entry'!$$997), "", 'Data Entry'!$$997)</f>
      </c>
      <c r="BT997">
        <f>IF(ISBLANK('Data Entry'!$$997), "", 'Data Entry'!$$997)</f>
      </c>
      <c r="BU997">
        <f>IF(ISBLANK('Data Entry'!$$997), "", 'Data Entry'!$$997)</f>
      </c>
      <c r="BV997">
        <f>IF(ISBLANK('Data Entry'!$$997), "", 'Data Entry'!$$997)</f>
      </c>
      <c r="BW997">
        <f>IF(ISBLANK('Data Entry'!$$997), "", 'Data Entry'!$$997)</f>
      </c>
      <c r="BX997">
        <f>IF(ISBLANK('Data Entry'!$$997), "", 'Data Entry'!$$997)</f>
      </c>
      <c r="BY997">
        <f>IF(ISBLANK('Data Entry'!$$997), "", 'Data Entry'!$$997)</f>
      </c>
      <c r="BZ997">
        <f>IF(ISBLANK('Data Entry'!$$997), "", 'Data Entry'!$$997)</f>
      </c>
      <c r="CA997">
        <f>IF(ISBLANK('Data Entry'!$$997), "", 'Data Entry'!$$997)</f>
      </c>
      <c r="CB997">
        <f>IF(ISBLANK('Data Entry'!$$997), "", 'Data Entry'!$$997)</f>
      </c>
      <c r="CC997">
        <f>IF(ISBLANK('Data Entry'!$$997), "", 'Data Entry'!$$997)</f>
      </c>
      <c r="CD997">
        <f>IF(ISBLANK('Data Entry'!$$997), "", 'Data Entry'!$$997)</f>
      </c>
      <c r="CE997">
        <f>IF(ISBLANK('Data Entry'!$$997), "", 'Data Entry'!$$997)</f>
      </c>
      <c r="CF997">
        <f>IF(ISBLANK('Data Entry'!$$997), "", 'Data Entry'!$$997)</f>
      </c>
      <c r="CG997">
        <f>IF(ISBLANK('Data Entry'!$$997), "", 'Data Entry'!$$997)</f>
      </c>
      <c r="CH997">
        <f>IF(ISBLANK('Data Entry'!$$997), "", 'Data Entry'!$$997)</f>
      </c>
      <c r="CI997">
        <f>IF(ISBLANK('Data Entry'!$$997), "", 'Data Entry'!$$997)</f>
      </c>
      <c r="CJ997">
        <f>IF(ISBLANK('Data Entry'!$$997), "", 'Data Entry'!$$997)</f>
      </c>
      <c r="CK997">
        <f>IF(ISBLANK('Data Entry'!$$997), "", 'Data Entry'!$$997)</f>
      </c>
      <c r="CL997">
        <f>IF(ISBLANK('Data Entry'!$$997), "", 'Data Entry'!$$997)</f>
      </c>
      <c r="CM997">
        <f>IF(ISBLANK('Data Entry'!$$997), "", 'Data Entry'!$$997)</f>
      </c>
      <c r="CN997">
        <f>IF(ISBLANK('Data Entry'!$$997), "", 'Data Entry'!$$997)</f>
      </c>
      <c r="CO997">
        <f>IF(ISBLANK('Data Entry'!$$997), "", 'Data Entry'!$$997)</f>
      </c>
      <c r="CP997">
        <f>IF(ISBLANK('Data Entry'!$$997), "", 'Data Entry'!$$997)</f>
      </c>
      <c r="CQ997">
        <f>IF(ISBLANK('Data Entry'!$$997), "", 'Data Entry'!$$997)</f>
      </c>
      <c r="CR997">
        <f>IF(ISBLANK('Data Entry'!$ $997), "", 'Data Entry'!$ $997)</f>
      </c>
      <c r="CS997">
        <f>IF(ISBLANK('Data Entry'!$¡$997), "", 'Data Entry'!$¡$997)</f>
      </c>
      <c r="CT997">
        <f>IF(ISBLANK('Data Entry'!$¢$997), "", 'Data Entry'!$¢$997)</f>
      </c>
      <c r="CU997">
        <f>IF(ISBLANK('Data Entry'!$£$997), "", 'Data Entry'!$£$997)</f>
      </c>
      <c r="CV997">
        <f>IF(ISBLANK('Data Entry'!$¤$997), "", 'Data Entry'!$¤$997)</f>
      </c>
      <c r="CW997">
        <f>IF(ISBLANK('Data Entry'!$¥$997), "", 'Data Entry'!$¥$997)</f>
      </c>
      <c r="CX997">
        <f>IF(ISBLANK('Data Entry'!$¦$997), "", 'Data Entry'!$¦$997)</f>
      </c>
      <c r="CY997">
        <f>IF(ISBLANK('Data Entry'!$§$997), "", 'Data Entry'!$§$997)</f>
      </c>
      <c r="CZ997">
        <f>IF(ISBLANK('Data Entry'!$¨$997), "", 'Data Entry'!$¨$997)</f>
      </c>
      <c r="DA997">
        <f>IF(ISBLANK('Data Entry'!$©$997), "", 'Data Entry'!$©$997)</f>
      </c>
      <c r="DB997">
        <f>IF(ISBLANK('Data Entry'!$ª$997), "", 'Data Entry'!$ª$997)</f>
      </c>
      <c r="DC997">
        <f>IF(ISBLANK('Data Entry'!$«$997), "", 'Data Entry'!$«$997)</f>
      </c>
      <c r="DD997">
        <f>IF(ISBLANK('Data Entry'!$¬$997), "", 'Data Entry'!$¬$997)</f>
      </c>
      <c r="DE997">
        <f>IF(ISBLANK('Data Entry'!$­$997), "", 'Data Entry'!$­$997)</f>
      </c>
      <c r="DF997">
        <f>IF(ISBLANK('Data Entry'!$®$997), "", 'Data Entry'!$®$997)</f>
      </c>
      <c r="DG997">
        <f>IF(ISBLANK('Data Entry'!$¯$997), "", 'Data Entry'!$¯$997)</f>
      </c>
      <c r="DH997">
        <f>IF(ISBLANK('Data Entry'!$°$997), "", 'Data Entry'!$°$997)</f>
      </c>
      <c r="DI997">
        <f>IF(ISBLANK('Data Entry'!$±$997), "", 'Data Entry'!$±$997)</f>
      </c>
      <c r="DJ997">
        <f>IF(ISBLANK('Data Entry'!$²$997), "", 'Data Entry'!$²$997)</f>
      </c>
      <c r="DK997">
        <f>IF(ISBLANK('Data Entry'!$³$997), "", 'Data Entry'!$³$997)</f>
      </c>
      <c r="DL997">
        <f>IF(ISBLANK('Data Entry'!$´$997), "", 'Data Entry'!$´$997)</f>
      </c>
      <c r="DM997">
        <f>IF(ISBLANK('Data Entry'!$µ$997), "", 'Data Entry'!$µ$997)</f>
      </c>
      <c r="DN997">
        <f>IF(ISBLANK('Data Entry'!$¶$997), "", 'Data Entry'!$¶$997)</f>
      </c>
      <c r="DO997">
        <f>IF(ISBLANK('Data Entry'!$·$997), "", 'Data Entry'!$·$997)</f>
      </c>
      <c r="DP997">
        <f>IF(ISBLANK('Data Entry'!$¸$997), "", 'Data Entry'!$¸$997)</f>
      </c>
      <c r="DQ997">
        <f>IF(ISBLANK('Data Entry'!$¹$997), "", 'Data Entry'!$¹$997)</f>
      </c>
      <c r="DR997">
        <f>IF(ISBLANK('Data Entry'!$º$997), "", 'Data Entry'!$º$997)</f>
      </c>
      <c r="DS997">
        <f>IF(ISBLANK('Data Entry'!$»$997), "", 'Data Entry'!$»$997)</f>
      </c>
      <c r="DT997">
        <f>IF(ISBLANK('Data Entry'!$¼$997), "", 'Data Entry'!$¼$997)</f>
      </c>
      <c r="DU997">
        <f>IF(ISBLANK('Data Entry'!$½$997), "", 'Data Entry'!$½$997)</f>
      </c>
      <c r="DV997">
        <f>IF(ISBLANK('Data Entry'!$¾$997), "", 'Data Entry'!$¾$997)</f>
      </c>
      <c r="DW997">
        <f>IF(ISBLANK('Data Entry'!$¿$997), "", 'Data Entry'!$¿$997)</f>
      </c>
      <c r="DX997">
        <f>IF(ISBLANK('Data Entry'!$À$997), "", 'Data Entry'!$À$997)</f>
      </c>
      <c r="DY997">
        <f>IF(ISBLANK('Data Entry'!$Á$997), "", 'Data Entry'!$Á$997)</f>
      </c>
      <c r="DZ997">
        <f>IF(ISBLANK('Data Entry'!$Â$997), "", 'Data Entry'!$Â$997)</f>
      </c>
      <c r="EA997">
        <f>IF(ISBLANK('Data Entry'!$Ã$997), "", 'Data Entry'!$Ã$997)</f>
      </c>
      <c r="EB997">
        <f>IF(ISBLANK('Data Entry'!$Ä$997), "", 'Data Entry'!$Ä$997)</f>
      </c>
      <c r="EC997">
        <f>IF(ISBLANK('Data Entry'!$Å$997), "", 'Data Entry'!$Å$997)</f>
      </c>
      <c r="ED997">
        <f>IF(ISBLANK('Data Entry'!$Æ$997), "", 'Data Entry'!$Æ$997)</f>
      </c>
      <c r="EE997">
        <f>IF(ISBLANK('Data Entry'!$Ç$997), "", 'Data Entry'!$Ç$997)</f>
      </c>
      <c r="EF997">
        <f>IF(ISBLANK('Data Entry'!$È$997), "", 'Data Entry'!$È$997)</f>
      </c>
      <c r="EG997">
        <f>IF(ISBLANK('Data Entry'!$É$997), "", 'Data Entry'!$É$997)</f>
      </c>
      <c r="EH997">
        <f>IF(ISBLANK('Data Entry'!$Ê$997), "", 'Data Entry'!$Ê$997)</f>
      </c>
      <c r="EI997">
        <f>IF(ISBLANK('Data Entry'!$Ë$997), "", 'Data Entry'!$Ë$997)</f>
      </c>
      <c r="EJ997">
        <f>IF(ISBLANK('Data Entry'!$Ì$997), "", 'Data Entry'!$Ì$997)</f>
      </c>
      <c r="EK997">
        <f>IF(ISBLANK('Data Entry'!$Í$997), "", 'Data Entry'!$Í$997)</f>
      </c>
      <c r="EL997">
        <f>IF(ISBLANK('Data Entry'!$Î$997), "", 'Data Entry'!$Î$997)</f>
      </c>
      <c r="EM997">
        <f>IF(ISBLANK('Data Entry'!$Ï$997), "", 'Data Entry'!$Ï$997)</f>
      </c>
      <c r="EN997">
        <f>IF(ISBLANK('Data Entry'!$Ð$997), "", 'Data Entry'!$Ð$997)</f>
      </c>
      <c r="EO997">
        <f>IF(ISBLANK('Data Entry'!$Ñ$997), "", 'Data Entry'!$Ñ$997)</f>
      </c>
      <c r="EP997">
        <f>IF(ISBLANK('Data Entry'!$Ò$997), "", 'Data Entry'!$Ò$997)</f>
      </c>
      <c r="EQ997">
        <f>IF(ISBLANK('Data Entry'!$Ó$997), "", 'Data Entry'!$Ó$997)</f>
      </c>
      <c r="ER997">
        <f>IF(ISBLANK('Data Entry'!$Ô$997), "", 'Data Entry'!$Ô$997)</f>
      </c>
      <c r="ES997">
        <f>IF(ISBLANK('Data Entry'!$Õ$997), "", 'Data Entry'!$Õ$997)</f>
      </c>
      <c r="ET997">
        <f>IF(ISBLANK('Data Entry'!$Ö$997), "", 'Data Entry'!$Ö$997)</f>
      </c>
      <c r="EU997">
        <f>IF(ISBLANK('Data Entry'!$×$997), "", 'Data Entry'!$×$997)</f>
      </c>
      <c r="EV997">
        <f>IF(ISBLANK('Data Entry'!$Ø$997), "", 'Data Entry'!$Ø$997)</f>
      </c>
      <c r="EW997">
        <f>IF(ISBLANK('Data Entry'!$Ù$997), "", 'Data Entry'!$Ù$997)</f>
      </c>
      <c r="EX997">
        <f>IF(ISBLANK('Data Entry'!$Ú$997), "", 'Data Entry'!$Ú$997)</f>
      </c>
      <c r="EY997">
        <f>IF(ISBLANK('Data Entry'!$Û$997), "", 'Data Entry'!$Û$997)</f>
      </c>
      <c r="EZ997">
        <f>IF(ISBLANK('Data Entry'!$Ü$997), "", 'Data Entry'!$Ü$997)</f>
      </c>
      <c r="FA997">
        <f>IF(ISBLANK('Data Entry'!$Ý$997), "", 'Data Entry'!$Ý$997)</f>
      </c>
      <c r="FB997">
        <f>IF(ISBLANK('Data Entry'!$Þ$997), "", 'Data Entry'!$Þ$997)</f>
      </c>
      <c r="FC997">
        <f>IF(ISBLANK('Data Entry'!$ß$997), "", 'Data Entry'!$ß$997)</f>
      </c>
      <c r="FD997">
        <f>IF(ISBLANK('Data Entry'!$à$997), "", 'Data Entry'!$à$997)</f>
      </c>
      <c r="FE997">
        <f>IF(ISBLANK('Data Entry'!$á$997), "", 'Data Entry'!$á$997)</f>
      </c>
      <c r="FF997">
        <f>IF(ISBLANK('Data Entry'!$â$997), "", 'Data Entry'!$â$997)</f>
      </c>
      <c r="FG997">
        <f>IF(ISBLANK('Data Entry'!$ã$997), "", 'Data Entry'!$ã$997)</f>
      </c>
      <c r="FH997">
        <f>IF(ISBLANK('Data Entry'!$ä$997), "", 'Data Entry'!$ä$997)</f>
      </c>
      <c r="FI997">
        <f>IF(ISBLANK('Data Entry'!$å$997), "", 'Data Entry'!$å$997)</f>
      </c>
      <c r="FJ997">
        <f>IF(ISBLANK('Data Entry'!$æ$997), "", 'Data Entry'!$æ$997)</f>
      </c>
      <c r="FK997">
        <f>IF(ISBLANK('Data Entry'!$ç$997), "", 'Data Entry'!$ç$997)</f>
      </c>
      <c r="FL997">
        <f>IF(ISBLANK('Data Entry'!$è$997), "", 'Data Entry'!$è$997)</f>
      </c>
      <c r="FM997">
        <f>IF(ISBLANK('Data Entry'!$é$997), "", 'Data Entry'!$é$997)</f>
      </c>
      <c r="FN997">
        <f>IF(ISBLANK('Data Entry'!$ê$997), "", 'Data Entry'!$ê$997)</f>
      </c>
      <c r="FO997">
        <f>IF(ISBLANK('Data Entry'!$ë$997), "", 'Data Entry'!$ë$997)</f>
      </c>
      <c r="FP997">
        <f>IF(ISBLANK('Data Entry'!$ì$997), "", 'Data Entry'!$ì$997)</f>
      </c>
      <c r="FQ997">
        <f>IF(ISBLANK('Data Entry'!$í$997), "", 'Data Entry'!$í$997)</f>
      </c>
      <c r="FR997">
        <f>IF(ISBLANK('Data Entry'!$î$997), "", 'Data Entry'!$î$997)</f>
      </c>
      <c r="FS997">
        <f>IF(ISBLANK('Data Entry'!$ï$997), "", 'Data Entry'!$ï$997)</f>
      </c>
      <c r="FT997">
        <f>IF(ISBLANK('Data Entry'!$ð$997), "", 'Data Entry'!$ð$997)</f>
      </c>
      <c r="FU997">
        <f>IF(ISBLANK('Data Entry'!$ñ$997), "", 'Data Entry'!$ñ$997)</f>
      </c>
      <c r="FV997">
        <f>IF(ISBLANK('Data Entry'!$ò$997), "", 'Data Entry'!$ò$997)</f>
      </c>
      <c r="FW997">
        <f>IF(ISBLANK('Data Entry'!$ó$997), "", 'Data Entry'!$ó$997)</f>
      </c>
      <c r="FX997">
        <f>IF(ISBLANK('Data Entry'!$ô$997), "", 'Data Entry'!$ô$997)</f>
      </c>
      <c r="FY997">
        <f>IF(ISBLANK('Data Entry'!$õ$997), "", 'Data Entry'!$õ$997)</f>
      </c>
      <c r="FZ997">
        <f>IF(ISBLANK('Data Entry'!$ö$997), "", 'Data Entry'!$ö$997)</f>
      </c>
      <c r="GA997">
        <f>IF(ISBLANK('Data Entry'!$÷$997), "", 'Data Entry'!$÷$997)</f>
      </c>
      <c r="GB997">
        <f>IF(ISBLANK('Data Entry'!$ø$997), "", 'Data Entry'!$ø$997)</f>
      </c>
      <c r="GC997">
        <f>IF(ISBLANK('Data Entry'!$ù$997), "", 'Data Entry'!$ù$997)</f>
      </c>
      <c r="GD997">
        <f>IF(ISBLANK('Data Entry'!$ú$997), "", 'Data Entry'!$ú$997)</f>
      </c>
      <c r="GE997">
        <f>IF(ISBLANK('Data Entry'!$û$997), "", 'Data Entry'!$û$997)</f>
      </c>
      <c r="GF997">
        <f>IF(ISBLANK('Data Entry'!$ü$997), "", 'Data Entry'!$ü$997)</f>
      </c>
      <c r="GG997">
        <f>IF(ISBLANK('Data Entry'!$ý$997), "", 'Data Entry'!$ý$997)</f>
      </c>
      <c r="GH997">
        <f>IF(ISBLANK('Data Entry'!$þ$997), "", 'Data Entry'!$þ$997)</f>
      </c>
      <c r="GI997">
        <f>IF(ISBLANK('Data Entry'!$ÿ$997), "", 'Data Entry'!$ÿ$997)</f>
      </c>
      <c r="GJ997">
        <f>IF(ISBLANK('Data Entry'!$Ā$997), "", 'Data Entry'!$Ā$997)</f>
      </c>
      <c r="GK997">
        <f>IF(ISBLANK('Data Entry'!$ā$997), "", 'Data Entry'!$ā$997)</f>
      </c>
      <c r="GL997">
        <f>IF(ISBLANK('Data Entry'!$Ă$997), "", 'Data Entry'!$Ă$997)</f>
      </c>
      <c r="GM997">
        <f>IF(ISBLANK('Data Entry'!$ă$997), "", 'Data Entry'!$ă$997)</f>
      </c>
      <c r="GN997">
        <f>IF(ISBLANK('Data Entry'!$Ą$997), "", 'Data Entry'!$Ą$997)</f>
      </c>
      <c r="GO997">
        <f>IF(ISBLANK('Data Entry'!$ą$997), "", 'Data Entry'!$ą$997)</f>
      </c>
      <c r="GP997">
        <f>IF(ISBLANK('Data Entry'!$Ć$997), "", 'Data Entry'!$Ć$997)</f>
      </c>
      <c r="GQ997">
        <f>IF(ISBLANK('Data Entry'!$ć$997), "", 'Data Entry'!$ć$997)</f>
      </c>
      <c r="GR997">
        <f>IF(ISBLANK('Data Entry'!$Ĉ$997), "", 'Data Entry'!$Ĉ$997)</f>
      </c>
      <c r="GS997">
        <f>IF(ISBLANK('Data Entry'!$ĉ$997), "", 'Data Entry'!$ĉ$997)</f>
      </c>
      <c r="GT997">
        <f>IF(ISBLANK('Data Entry'!$Ċ$997), "", 'Data Entry'!$Ċ$997)</f>
      </c>
      <c r="GU997">
        <f>IF(ISBLANK('Data Entry'!$ċ$997), "", 'Data Entry'!$ċ$997)</f>
      </c>
      <c r="GV997">
        <f>IF(ISBLANK('Data Entry'!$Č$997), "", 'Data Entry'!$Č$997)</f>
      </c>
      <c r="GW997">
        <f>IF(ISBLANK('Data Entry'!$č$997), "", 'Data Entry'!$č$997)</f>
      </c>
      <c r="GX997">
        <f>IF(ISBLANK('Data Entry'!$Ď$997), "", 'Data Entry'!$Ď$997)</f>
      </c>
      <c r="GY997">
        <f>IF(ISBLANK('Data Entry'!$ď$997), "", 'Data Entry'!$ď$997)</f>
      </c>
      <c r="GZ997">
        <f>IF(ISBLANK('Data Entry'!$Đ$997), "", 'Data Entry'!$Đ$997)</f>
      </c>
      <c r="HA997">
        <f>IF(ISBLANK('Data Entry'!$đ$997), "", 'Data Entry'!$đ$997)</f>
      </c>
      <c r="HB997">
        <f>IF(ISBLANK('Data Entry'!$Ē$997), "", 'Data Entry'!$Ē$997)</f>
      </c>
      <c r="HC997">
        <f>IF(ISBLANK('Data Entry'!$ē$997), "", 'Data Entry'!$ē$997)</f>
      </c>
      <c r="HD997">
        <f>IF(ISBLANK('Data Entry'!$Ĕ$997), "", 'Data Entry'!$Ĕ$997)</f>
      </c>
      <c r="HE997">
        <f>IF(ISBLANK('Data Entry'!$ĕ$997), "", 'Data Entry'!$ĕ$997)</f>
      </c>
      <c r="HF997">
        <f>IF(ISBLANK('Data Entry'!$Ė$997), "", 'Data Entry'!$Ė$997)</f>
      </c>
      <c r="HG997">
        <f>IF(ISBLANK('Data Entry'!$ė$997), "", 'Data Entry'!$ė$997)</f>
      </c>
      <c r="HH997">
        <f>IF(ISBLANK('Data Entry'!$Ę$997), "", 'Data Entry'!$Ę$997)</f>
      </c>
      <c r="HI997">
        <f>IF(ISBLANK('Data Entry'!$ę$997), "", 'Data Entry'!$ę$997)</f>
      </c>
      <c r="HJ997">
        <f>IF(ISBLANK('Data Entry'!$Ě$997), "", 'Data Entry'!$Ě$997)</f>
      </c>
      <c r="HK997">
        <f>IF(ISBLANK('Data Entry'!$ě$997), "", 'Data Entry'!$ě$997)</f>
      </c>
      <c r="HL997">
        <f>IF(ISBLANK('Data Entry'!$Ĝ$997), "", 'Data Entry'!$Ĝ$997)</f>
      </c>
      <c r="HM997">
        <f>IF(ISBLANK('Data Entry'!$ĝ$997), "", 'Data Entry'!$ĝ$997)</f>
      </c>
      <c r="HN997">
        <f>IF(ISBLANK('Data Entry'!$Ğ$997), "", 'Data Entry'!$Ğ$997)</f>
      </c>
      <c r="HO997">
        <f>IF(ISBLANK('Data Entry'!$ğ$997), "", 'Data Entry'!$ğ$997)</f>
      </c>
      <c r="HP997">
        <f>IF(ISBLANK('Data Entry'!$Ġ$997), "", 'Data Entry'!$Ġ$997)</f>
      </c>
      <c r="HQ997">
        <f>IF(ISBLANK('Data Entry'!$ġ$997), "", 'Data Entry'!$ġ$997)</f>
      </c>
      <c r="HR997">
        <f>IF(ISBLANK('Data Entry'!$Ģ$997), "", 'Data Entry'!$Ģ$997)</f>
      </c>
      <c r="HS997">
        <f>IF(ISBLANK('Data Entry'!$ģ$997), "", 'Data Entry'!$ģ$997)</f>
      </c>
      <c r="HT997">
        <f>IF(ISBLANK('Data Entry'!$Ĥ$997), "", 'Data Entry'!$Ĥ$997)</f>
      </c>
      <c r="HU997">
        <f>IF(ISBLANK('Data Entry'!$ĥ$997), "", 'Data Entry'!$ĥ$997)</f>
      </c>
      <c r="HV997">
        <f>IF(ISBLANK('Data Entry'!$Ħ$997), "", 'Data Entry'!$Ħ$997)</f>
      </c>
      <c r="HW997">
        <f>IF(ISBLANK('Data Entry'!$ħ$997), "", 'Data Entry'!$ħ$997)</f>
      </c>
      <c r="HX997">
        <f>IF(ISBLANK('Data Entry'!$Ĩ$997), "", 'Data Entry'!$Ĩ$997)</f>
      </c>
      <c r="HY997">
        <f>IF(ISBLANK('Data Entry'!$ĩ$997), "", 'Data Entry'!$ĩ$997)</f>
      </c>
      <c r="HZ997">
        <f>IF(ISBLANK('Data Entry'!$Ī$997), "", 'Data Entry'!$Ī$997)</f>
      </c>
      <c r="IA997">
        <f>IF(ISBLANK('Data Entry'!$ī$997), "", 'Data Entry'!$ī$997)</f>
      </c>
      <c r="IB997">
        <f>IF(ISBLANK('Data Entry'!$Ĭ$997), "", 'Data Entry'!$Ĭ$997)</f>
      </c>
      <c r="IC997">
        <f>IF(ISBLANK('Data Entry'!$ĭ$997), "", 'Data Entry'!$ĭ$997)</f>
      </c>
      <c r="ID997">
        <f>IF(ISBLANK('Data Entry'!$Į$997), "", 'Data Entry'!$Į$997)</f>
      </c>
      <c r="IE997">
        <f>IF(ISBLANK('Data Entry'!$į$997), "", 'Data Entry'!$į$997)</f>
      </c>
      <c r="IF997">
        <f>IF(ISBLANK('Data Entry'!$İ$997), "", 'Data Entry'!$İ$997)</f>
      </c>
      <c r="IG997">
        <f>IF(ISBLANK('Data Entry'!$ı$997), "", 'Data Entry'!$ı$997)</f>
      </c>
      <c r="IH997">
        <f>IF(ISBLANK('Data Entry'!$Ĳ$997), "", 'Data Entry'!$Ĳ$997)</f>
      </c>
      <c r="II997">
        <f>IF(ISBLANK('Data Entry'!$ĳ$997), "", 'Data Entry'!$ĳ$997)</f>
      </c>
      <c r="IJ997">
        <f>IF(ISBLANK('Data Entry'!$Ĵ$997), "", 'Data Entry'!$Ĵ$997)</f>
      </c>
      <c r="IK997">
        <f>IF(ISBLANK('Data Entry'!$ĵ$997), "", 'Data Entry'!$ĵ$997)</f>
      </c>
      <c r="IL997">
        <f>IF(ISBLANK('Data Entry'!$Ķ$997), "", 'Data Entry'!$Ķ$997)</f>
      </c>
      <c r="IM997">
        <f>IF(ISBLANK('Data Entry'!$ķ$997), "", 'Data Entry'!$ķ$997)</f>
      </c>
      <c r="IN997">
        <f>IF(ISBLANK('Data Entry'!$ĸ$997), "", 'Data Entry'!$ĸ$997)</f>
      </c>
      <c r="IO997">
        <f>IF(ISBLANK('Data Entry'!$Ĺ$997), "", 'Data Entry'!$Ĺ$997)</f>
      </c>
      <c r="IP997">
        <f>IF(ISBLANK('Data Entry'!$ĺ$997), "", 'Data Entry'!$ĺ$997)</f>
      </c>
      <c r="IQ997">
        <f>IF(ISBLANK('Data Entry'!$Ļ$997), "", 'Data Entry'!$Ļ$997)</f>
      </c>
      <c r="IR997">
        <f>IF(ISBLANK('Data Entry'!$ļ$997), "", 'Data Entry'!$ļ$997)</f>
      </c>
      <c r="IS997">
        <f>IF(ISBLANK('Data Entry'!$Ľ$997), "", 'Data Entry'!$Ľ$997)</f>
      </c>
      <c r="IT997">
        <f>IF(ISBLANK('Data Entry'!$ľ$997), "", 'Data Entry'!$ľ$997)</f>
      </c>
    </row>
    <row r="998" spans="1:254" x14ac:dyDescent="0.25">
      <c r="A998">
        <f>IF(ISBLANK('Data Entry'!$A$998), "", 'Data Entry'!$A$998)</f>
      </c>
      <c r="B998">
        <f>IF(ISBLANK('Data Entry'!$B$998), "", 'Data Entry'!$B$998)</f>
      </c>
      <c r="C998">
        <f>IF(ISBLANK('Data Entry'!$C$998), "", 'Data Entry'!$C$998)</f>
      </c>
      <c r="D998">
        <f>IF(ISBLANK('Data Entry'!$D$998), "", 'Data Entry'!$D$998)</f>
      </c>
      <c r="E998">
        <f>IF(ISBLANK('Data Entry'!$E$998), "", 'Data Entry'!$E$998)</f>
      </c>
      <c r="F998">
        <f>IF(ISBLANK('Data Entry'!$F$998), "", 'Data Entry'!$F$998)</f>
      </c>
      <c r="G998">
        <f>IF(ISBLANK('Data Entry'!$G$998), "", 'Data Entry'!$G$998)</f>
      </c>
      <c r="H998">
        <f>IF(ISBLANK('Data Entry'!$H$998), "", 'Data Entry'!$H$998)</f>
      </c>
      <c r="I998">
        <f>IF(ISBLANK('Data Entry'!$I$998), "", 'Data Entry'!$I$998)</f>
      </c>
      <c r="J998">
        <f>IF(ISBLANK('Data Entry'!$J$998), "", 'Data Entry'!$J$998)</f>
      </c>
      <c r="K998">
        <f>IF(ISBLANK('Data Entry'!$K$998), "", 'Data Entry'!$K$998)</f>
      </c>
      <c r="L998">
        <f>IF(ISBLANK('Data Entry'!$L$998), "", 'Data Entry'!$L$998)</f>
      </c>
      <c r="M998">
        <f>IF(ISBLANK('Data Entry'!$M$998), "", 'Data Entry'!$M$998)</f>
      </c>
      <c r="N998">
        <f>IF(ISBLANK('Data Entry'!$N$998), "", 'Data Entry'!$N$998)</f>
      </c>
      <c r="O998">
        <f>IF(ISBLANK('Data Entry'!$O$998), "", 'Data Entry'!$O$998)</f>
      </c>
      <c r="P998">
        <f>IF(ISBLANK('Data Entry'!$P$998), "", 'Data Entry'!$P$998)</f>
      </c>
      <c r="Q998">
        <f>IF(ISBLANK('Data Entry'!$Q$998), "", 'Data Entry'!$Q$998)</f>
      </c>
      <c r="R998">
        <f>IF(ISBLANK('Data Entry'!$R$998), "", 'Data Entry'!$R$998)</f>
      </c>
      <c r="S998">
        <f>IF(ISBLANK('Data Entry'!$S$998), "", 'Data Entry'!$S$998)</f>
      </c>
      <c r="T998">
        <f>IF(ISBLANK('Data Entry'!$T$998), "", 'Data Entry'!$T$998)</f>
      </c>
      <c r="U998">
        <f>IF(ISBLANK('Data Entry'!$U$998), "", 'Data Entry'!$U$998)</f>
      </c>
      <c r="V998">
        <f>IF(ISBLANK('Data Entry'!$V$998), "", 'Data Entry'!$V$998)</f>
      </c>
      <c r="W998">
        <f>IF(ISBLANK('Data Entry'!$W$998), "", 'Data Entry'!$W$998)</f>
      </c>
      <c r="X998">
        <f>IF(ISBLANK('Data Entry'!$X$998), "", 'Data Entry'!$X$998)</f>
      </c>
      <c r="Y998">
        <f>IF(ISBLANK('Data Entry'!$Y$998), "", 'Data Entry'!$Y$998)</f>
      </c>
      <c r="Z998">
        <f>IF(ISBLANK('Data Entry'!$Z$998), "", 'Data Entry'!$Z$998)</f>
      </c>
      <c r="AA998">
        <f>IF(ISBLANK('Data Entry'!$[$998), "", 'Data Entry'!$[$998)</f>
      </c>
      <c r="AB998">
        <f>IF(ISBLANK('Data Entry'!$\$998), "", 'Data Entry'!$\$998)</f>
      </c>
      <c r="AC998">
        <f>IF(ISBLANK('Data Entry'!$]$998), "", 'Data Entry'!$]$998)</f>
      </c>
      <c r="AD998">
        <f>IF(ISBLANK('Data Entry'!$^$998), "", 'Data Entry'!$^$998)</f>
      </c>
      <c r="AE998">
        <f>IF(ISBLANK('Data Entry'!$_$998), "", 'Data Entry'!$_$998)</f>
      </c>
      <c r="AF998">
        <f>IF(ISBLANK('Data Entry'!$`$998), "", 'Data Entry'!$`$998)</f>
      </c>
      <c r="AG998">
        <f>IF(ISBLANK('Data Entry'!$a$998), "", 'Data Entry'!$a$998)</f>
      </c>
      <c r="AH998">
        <f>IF(ISBLANK('Data Entry'!$b$998), "", 'Data Entry'!$b$998)</f>
      </c>
      <c r="AI998">
        <f>IF(ISBLANK('Data Entry'!$c$998), "", 'Data Entry'!$c$998)</f>
      </c>
      <c r="AJ998">
        <f>IF(ISBLANK('Data Entry'!$d$998), "", 'Data Entry'!$d$998)</f>
      </c>
      <c r="AK998">
        <f>IF(ISBLANK('Data Entry'!$e$998), "", 'Data Entry'!$e$998)</f>
      </c>
      <c r="AL998">
        <f>IF(ISBLANK('Data Entry'!$f$998), "", 'Data Entry'!$f$998)</f>
      </c>
      <c r="AM998">
        <f>IF(ISBLANK('Data Entry'!$g$998), "", 'Data Entry'!$g$998)</f>
      </c>
      <c r="AN998">
        <f>IF(ISBLANK('Data Entry'!$h$998), "", 'Data Entry'!$h$998)</f>
      </c>
      <c r="AO998">
        <f>IF(ISBLANK('Data Entry'!$i$998), "", 'Data Entry'!$i$998)</f>
      </c>
      <c r="AP998">
        <f>IF(ISBLANK('Data Entry'!$j$998), "", 'Data Entry'!$j$998)</f>
      </c>
      <c r="AQ998">
        <f>IF(ISBLANK('Data Entry'!$k$998), "", 'Data Entry'!$k$998)</f>
      </c>
      <c r="AR998">
        <f>IF(ISBLANK('Data Entry'!$l$998), "", 'Data Entry'!$l$998)</f>
      </c>
      <c r="AS998">
        <f>IF(ISBLANK('Data Entry'!$m$998), "", 'Data Entry'!$m$998)</f>
      </c>
      <c r="AT998">
        <f>IF(ISBLANK('Data Entry'!$n$998), "", 'Data Entry'!$n$998)</f>
      </c>
      <c r="AU998">
        <f>IF(ISBLANK('Data Entry'!$o$998), "", 'Data Entry'!$o$998)</f>
      </c>
      <c r="AV998">
        <f>IF(ISBLANK('Data Entry'!$p$998), "", 'Data Entry'!$p$998)</f>
      </c>
      <c r="AW998">
        <f>IF(ISBLANK('Data Entry'!$q$998), "", 'Data Entry'!$q$998)</f>
      </c>
      <c r="AX998">
        <f>IF(ISBLANK('Data Entry'!$r$998), "", 'Data Entry'!$r$998)</f>
      </c>
      <c r="AY998">
        <f>IF(ISBLANK('Data Entry'!$s$998), "", 'Data Entry'!$s$998)</f>
      </c>
      <c r="AZ998">
        <f>IF(ISBLANK('Data Entry'!$t$998), "", 'Data Entry'!$t$998)</f>
      </c>
      <c r="BA998">
        <f>IF(ISBLANK('Data Entry'!$u$998), "", 'Data Entry'!$u$998)</f>
      </c>
      <c r="BB998">
        <f>IF(ISBLANK('Data Entry'!$v$998), "", 'Data Entry'!$v$998)</f>
      </c>
      <c r="BC998">
        <f>IF(ISBLANK('Data Entry'!$w$998), "", 'Data Entry'!$w$998)</f>
      </c>
      <c r="BD998">
        <f>IF(ISBLANK('Data Entry'!$x$998), "", 'Data Entry'!$x$998)</f>
      </c>
      <c r="BE998">
        <f>IF(ISBLANK('Data Entry'!$y$998), "", 'Data Entry'!$y$998)</f>
      </c>
      <c r="BF998">
        <f>IF(ISBLANK('Data Entry'!$z$998), "", 'Data Entry'!$z$998)</f>
      </c>
      <c r="BG998">
        <f>IF(ISBLANK('Data Entry'!${$998), "", 'Data Entry'!${$998)</f>
      </c>
      <c r="BH998">
        <f>IF(ISBLANK('Data Entry'!$|$998), "", 'Data Entry'!$|$998)</f>
      </c>
      <c r="BI998">
        <f>IF(ISBLANK('Data Entry'!$}$998), "", 'Data Entry'!$}$998)</f>
      </c>
      <c r="BJ998">
        <f>IF(ISBLANK('Data Entry'!$~$998), "", 'Data Entry'!$~$998)</f>
      </c>
      <c r="BK998">
        <f>IF(ISBLANK('Data Entry'!$$998), "", 'Data Entry'!$$998)</f>
      </c>
      <c r="BL998">
        <f>IF(ISBLANK('Data Entry'!$$998), "", 'Data Entry'!$$998)</f>
      </c>
      <c r="BM998">
        <f>IF(ISBLANK('Data Entry'!$$998), "", 'Data Entry'!$$998)</f>
      </c>
      <c r="BN998">
        <f>IF(ISBLANK('Data Entry'!$$998), "", 'Data Entry'!$$998)</f>
      </c>
      <c r="BO998">
        <f>IF(ISBLANK('Data Entry'!$$998), "", 'Data Entry'!$$998)</f>
      </c>
      <c r="BP998">
        <f>IF(ISBLANK('Data Entry'!$$998), "", 'Data Entry'!$$998)</f>
      </c>
      <c r="BQ998">
        <f>IF(ISBLANK('Data Entry'!$$998), "", 'Data Entry'!$$998)</f>
      </c>
      <c r="BR998">
        <f>IF(ISBLANK('Data Entry'!$$998), "", 'Data Entry'!$$998)</f>
      </c>
      <c r="BS998">
        <f>IF(ISBLANK('Data Entry'!$$998), "", 'Data Entry'!$$998)</f>
      </c>
      <c r="BT998">
        <f>IF(ISBLANK('Data Entry'!$$998), "", 'Data Entry'!$$998)</f>
      </c>
      <c r="BU998">
        <f>IF(ISBLANK('Data Entry'!$$998), "", 'Data Entry'!$$998)</f>
      </c>
      <c r="BV998">
        <f>IF(ISBLANK('Data Entry'!$$998), "", 'Data Entry'!$$998)</f>
      </c>
      <c r="BW998">
        <f>IF(ISBLANK('Data Entry'!$$998), "", 'Data Entry'!$$998)</f>
      </c>
      <c r="BX998">
        <f>IF(ISBLANK('Data Entry'!$$998), "", 'Data Entry'!$$998)</f>
      </c>
      <c r="BY998">
        <f>IF(ISBLANK('Data Entry'!$$998), "", 'Data Entry'!$$998)</f>
      </c>
      <c r="BZ998">
        <f>IF(ISBLANK('Data Entry'!$$998), "", 'Data Entry'!$$998)</f>
      </c>
      <c r="CA998">
        <f>IF(ISBLANK('Data Entry'!$$998), "", 'Data Entry'!$$998)</f>
      </c>
      <c r="CB998">
        <f>IF(ISBLANK('Data Entry'!$$998), "", 'Data Entry'!$$998)</f>
      </c>
      <c r="CC998">
        <f>IF(ISBLANK('Data Entry'!$$998), "", 'Data Entry'!$$998)</f>
      </c>
      <c r="CD998">
        <f>IF(ISBLANK('Data Entry'!$$998), "", 'Data Entry'!$$998)</f>
      </c>
      <c r="CE998">
        <f>IF(ISBLANK('Data Entry'!$$998), "", 'Data Entry'!$$998)</f>
      </c>
      <c r="CF998">
        <f>IF(ISBLANK('Data Entry'!$$998), "", 'Data Entry'!$$998)</f>
      </c>
      <c r="CG998">
        <f>IF(ISBLANK('Data Entry'!$$998), "", 'Data Entry'!$$998)</f>
      </c>
      <c r="CH998">
        <f>IF(ISBLANK('Data Entry'!$$998), "", 'Data Entry'!$$998)</f>
      </c>
      <c r="CI998">
        <f>IF(ISBLANK('Data Entry'!$$998), "", 'Data Entry'!$$998)</f>
      </c>
      <c r="CJ998">
        <f>IF(ISBLANK('Data Entry'!$$998), "", 'Data Entry'!$$998)</f>
      </c>
      <c r="CK998">
        <f>IF(ISBLANK('Data Entry'!$$998), "", 'Data Entry'!$$998)</f>
      </c>
      <c r="CL998">
        <f>IF(ISBLANK('Data Entry'!$$998), "", 'Data Entry'!$$998)</f>
      </c>
      <c r="CM998">
        <f>IF(ISBLANK('Data Entry'!$$998), "", 'Data Entry'!$$998)</f>
      </c>
      <c r="CN998">
        <f>IF(ISBLANK('Data Entry'!$$998), "", 'Data Entry'!$$998)</f>
      </c>
      <c r="CO998">
        <f>IF(ISBLANK('Data Entry'!$$998), "", 'Data Entry'!$$998)</f>
      </c>
      <c r="CP998">
        <f>IF(ISBLANK('Data Entry'!$$998), "", 'Data Entry'!$$998)</f>
      </c>
      <c r="CQ998">
        <f>IF(ISBLANK('Data Entry'!$$998), "", 'Data Entry'!$$998)</f>
      </c>
      <c r="CR998">
        <f>IF(ISBLANK('Data Entry'!$ $998), "", 'Data Entry'!$ $998)</f>
      </c>
      <c r="CS998">
        <f>IF(ISBLANK('Data Entry'!$¡$998), "", 'Data Entry'!$¡$998)</f>
      </c>
      <c r="CT998">
        <f>IF(ISBLANK('Data Entry'!$¢$998), "", 'Data Entry'!$¢$998)</f>
      </c>
      <c r="CU998">
        <f>IF(ISBLANK('Data Entry'!$£$998), "", 'Data Entry'!$£$998)</f>
      </c>
      <c r="CV998">
        <f>IF(ISBLANK('Data Entry'!$¤$998), "", 'Data Entry'!$¤$998)</f>
      </c>
      <c r="CW998">
        <f>IF(ISBLANK('Data Entry'!$¥$998), "", 'Data Entry'!$¥$998)</f>
      </c>
      <c r="CX998">
        <f>IF(ISBLANK('Data Entry'!$¦$998), "", 'Data Entry'!$¦$998)</f>
      </c>
      <c r="CY998">
        <f>IF(ISBLANK('Data Entry'!$§$998), "", 'Data Entry'!$§$998)</f>
      </c>
      <c r="CZ998">
        <f>IF(ISBLANK('Data Entry'!$¨$998), "", 'Data Entry'!$¨$998)</f>
      </c>
      <c r="DA998">
        <f>IF(ISBLANK('Data Entry'!$©$998), "", 'Data Entry'!$©$998)</f>
      </c>
      <c r="DB998">
        <f>IF(ISBLANK('Data Entry'!$ª$998), "", 'Data Entry'!$ª$998)</f>
      </c>
      <c r="DC998">
        <f>IF(ISBLANK('Data Entry'!$«$998), "", 'Data Entry'!$«$998)</f>
      </c>
      <c r="DD998">
        <f>IF(ISBLANK('Data Entry'!$¬$998), "", 'Data Entry'!$¬$998)</f>
      </c>
      <c r="DE998">
        <f>IF(ISBLANK('Data Entry'!$­$998), "", 'Data Entry'!$­$998)</f>
      </c>
      <c r="DF998">
        <f>IF(ISBLANK('Data Entry'!$®$998), "", 'Data Entry'!$®$998)</f>
      </c>
      <c r="DG998">
        <f>IF(ISBLANK('Data Entry'!$¯$998), "", 'Data Entry'!$¯$998)</f>
      </c>
      <c r="DH998">
        <f>IF(ISBLANK('Data Entry'!$°$998), "", 'Data Entry'!$°$998)</f>
      </c>
      <c r="DI998">
        <f>IF(ISBLANK('Data Entry'!$±$998), "", 'Data Entry'!$±$998)</f>
      </c>
      <c r="DJ998">
        <f>IF(ISBLANK('Data Entry'!$²$998), "", 'Data Entry'!$²$998)</f>
      </c>
      <c r="DK998">
        <f>IF(ISBLANK('Data Entry'!$³$998), "", 'Data Entry'!$³$998)</f>
      </c>
      <c r="DL998">
        <f>IF(ISBLANK('Data Entry'!$´$998), "", 'Data Entry'!$´$998)</f>
      </c>
      <c r="DM998">
        <f>IF(ISBLANK('Data Entry'!$µ$998), "", 'Data Entry'!$µ$998)</f>
      </c>
      <c r="DN998">
        <f>IF(ISBLANK('Data Entry'!$¶$998), "", 'Data Entry'!$¶$998)</f>
      </c>
      <c r="DO998">
        <f>IF(ISBLANK('Data Entry'!$·$998), "", 'Data Entry'!$·$998)</f>
      </c>
      <c r="DP998">
        <f>IF(ISBLANK('Data Entry'!$¸$998), "", 'Data Entry'!$¸$998)</f>
      </c>
      <c r="DQ998">
        <f>IF(ISBLANK('Data Entry'!$¹$998), "", 'Data Entry'!$¹$998)</f>
      </c>
      <c r="DR998">
        <f>IF(ISBLANK('Data Entry'!$º$998), "", 'Data Entry'!$º$998)</f>
      </c>
      <c r="DS998">
        <f>IF(ISBLANK('Data Entry'!$»$998), "", 'Data Entry'!$»$998)</f>
      </c>
      <c r="DT998">
        <f>IF(ISBLANK('Data Entry'!$¼$998), "", 'Data Entry'!$¼$998)</f>
      </c>
      <c r="DU998">
        <f>IF(ISBLANK('Data Entry'!$½$998), "", 'Data Entry'!$½$998)</f>
      </c>
      <c r="DV998">
        <f>IF(ISBLANK('Data Entry'!$¾$998), "", 'Data Entry'!$¾$998)</f>
      </c>
      <c r="DW998">
        <f>IF(ISBLANK('Data Entry'!$¿$998), "", 'Data Entry'!$¿$998)</f>
      </c>
      <c r="DX998">
        <f>IF(ISBLANK('Data Entry'!$À$998), "", 'Data Entry'!$À$998)</f>
      </c>
      <c r="DY998">
        <f>IF(ISBLANK('Data Entry'!$Á$998), "", 'Data Entry'!$Á$998)</f>
      </c>
      <c r="DZ998">
        <f>IF(ISBLANK('Data Entry'!$Â$998), "", 'Data Entry'!$Â$998)</f>
      </c>
      <c r="EA998">
        <f>IF(ISBLANK('Data Entry'!$Ã$998), "", 'Data Entry'!$Ã$998)</f>
      </c>
      <c r="EB998">
        <f>IF(ISBLANK('Data Entry'!$Ä$998), "", 'Data Entry'!$Ä$998)</f>
      </c>
      <c r="EC998">
        <f>IF(ISBLANK('Data Entry'!$Å$998), "", 'Data Entry'!$Å$998)</f>
      </c>
      <c r="ED998">
        <f>IF(ISBLANK('Data Entry'!$Æ$998), "", 'Data Entry'!$Æ$998)</f>
      </c>
      <c r="EE998">
        <f>IF(ISBLANK('Data Entry'!$Ç$998), "", 'Data Entry'!$Ç$998)</f>
      </c>
      <c r="EF998">
        <f>IF(ISBLANK('Data Entry'!$È$998), "", 'Data Entry'!$È$998)</f>
      </c>
      <c r="EG998">
        <f>IF(ISBLANK('Data Entry'!$É$998), "", 'Data Entry'!$É$998)</f>
      </c>
      <c r="EH998">
        <f>IF(ISBLANK('Data Entry'!$Ê$998), "", 'Data Entry'!$Ê$998)</f>
      </c>
      <c r="EI998">
        <f>IF(ISBLANK('Data Entry'!$Ë$998), "", 'Data Entry'!$Ë$998)</f>
      </c>
      <c r="EJ998">
        <f>IF(ISBLANK('Data Entry'!$Ì$998), "", 'Data Entry'!$Ì$998)</f>
      </c>
      <c r="EK998">
        <f>IF(ISBLANK('Data Entry'!$Í$998), "", 'Data Entry'!$Í$998)</f>
      </c>
      <c r="EL998">
        <f>IF(ISBLANK('Data Entry'!$Î$998), "", 'Data Entry'!$Î$998)</f>
      </c>
      <c r="EM998">
        <f>IF(ISBLANK('Data Entry'!$Ï$998), "", 'Data Entry'!$Ï$998)</f>
      </c>
      <c r="EN998">
        <f>IF(ISBLANK('Data Entry'!$Ð$998), "", 'Data Entry'!$Ð$998)</f>
      </c>
      <c r="EO998">
        <f>IF(ISBLANK('Data Entry'!$Ñ$998), "", 'Data Entry'!$Ñ$998)</f>
      </c>
      <c r="EP998">
        <f>IF(ISBLANK('Data Entry'!$Ò$998), "", 'Data Entry'!$Ò$998)</f>
      </c>
      <c r="EQ998">
        <f>IF(ISBLANK('Data Entry'!$Ó$998), "", 'Data Entry'!$Ó$998)</f>
      </c>
      <c r="ER998">
        <f>IF(ISBLANK('Data Entry'!$Ô$998), "", 'Data Entry'!$Ô$998)</f>
      </c>
      <c r="ES998">
        <f>IF(ISBLANK('Data Entry'!$Õ$998), "", 'Data Entry'!$Õ$998)</f>
      </c>
      <c r="ET998">
        <f>IF(ISBLANK('Data Entry'!$Ö$998), "", 'Data Entry'!$Ö$998)</f>
      </c>
      <c r="EU998">
        <f>IF(ISBLANK('Data Entry'!$×$998), "", 'Data Entry'!$×$998)</f>
      </c>
      <c r="EV998">
        <f>IF(ISBLANK('Data Entry'!$Ø$998), "", 'Data Entry'!$Ø$998)</f>
      </c>
      <c r="EW998">
        <f>IF(ISBLANK('Data Entry'!$Ù$998), "", 'Data Entry'!$Ù$998)</f>
      </c>
      <c r="EX998">
        <f>IF(ISBLANK('Data Entry'!$Ú$998), "", 'Data Entry'!$Ú$998)</f>
      </c>
      <c r="EY998">
        <f>IF(ISBLANK('Data Entry'!$Û$998), "", 'Data Entry'!$Û$998)</f>
      </c>
      <c r="EZ998">
        <f>IF(ISBLANK('Data Entry'!$Ü$998), "", 'Data Entry'!$Ü$998)</f>
      </c>
      <c r="FA998">
        <f>IF(ISBLANK('Data Entry'!$Ý$998), "", 'Data Entry'!$Ý$998)</f>
      </c>
      <c r="FB998">
        <f>IF(ISBLANK('Data Entry'!$Þ$998), "", 'Data Entry'!$Þ$998)</f>
      </c>
      <c r="FC998">
        <f>IF(ISBLANK('Data Entry'!$ß$998), "", 'Data Entry'!$ß$998)</f>
      </c>
      <c r="FD998">
        <f>IF(ISBLANK('Data Entry'!$à$998), "", 'Data Entry'!$à$998)</f>
      </c>
      <c r="FE998">
        <f>IF(ISBLANK('Data Entry'!$á$998), "", 'Data Entry'!$á$998)</f>
      </c>
      <c r="FF998">
        <f>IF(ISBLANK('Data Entry'!$â$998), "", 'Data Entry'!$â$998)</f>
      </c>
      <c r="FG998">
        <f>IF(ISBLANK('Data Entry'!$ã$998), "", 'Data Entry'!$ã$998)</f>
      </c>
      <c r="FH998">
        <f>IF(ISBLANK('Data Entry'!$ä$998), "", 'Data Entry'!$ä$998)</f>
      </c>
      <c r="FI998">
        <f>IF(ISBLANK('Data Entry'!$å$998), "", 'Data Entry'!$å$998)</f>
      </c>
      <c r="FJ998">
        <f>IF(ISBLANK('Data Entry'!$æ$998), "", 'Data Entry'!$æ$998)</f>
      </c>
      <c r="FK998">
        <f>IF(ISBLANK('Data Entry'!$ç$998), "", 'Data Entry'!$ç$998)</f>
      </c>
      <c r="FL998">
        <f>IF(ISBLANK('Data Entry'!$è$998), "", 'Data Entry'!$è$998)</f>
      </c>
      <c r="FM998">
        <f>IF(ISBLANK('Data Entry'!$é$998), "", 'Data Entry'!$é$998)</f>
      </c>
      <c r="FN998">
        <f>IF(ISBLANK('Data Entry'!$ê$998), "", 'Data Entry'!$ê$998)</f>
      </c>
      <c r="FO998">
        <f>IF(ISBLANK('Data Entry'!$ë$998), "", 'Data Entry'!$ë$998)</f>
      </c>
      <c r="FP998">
        <f>IF(ISBLANK('Data Entry'!$ì$998), "", 'Data Entry'!$ì$998)</f>
      </c>
      <c r="FQ998">
        <f>IF(ISBLANK('Data Entry'!$í$998), "", 'Data Entry'!$í$998)</f>
      </c>
      <c r="FR998">
        <f>IF(ISBLANK('Data Entry'!$î$998), "", 'Data Entry'!$î$998)</f>
      </c>
      <c r="FS998">
        <f>IF(ISBLANK('Data Entry'!$ï$998), "", 'Data Entry'!$ï$998)</f>
      </c>
      <c r="FT998">
        <f>IF(ISBLANK('Data Entry'!$ð$998), "", 'Data Entry'!$ð$998)</f>
      </c>
      <c r="FU998">
        <f>IF(ISBLANK('Data Entry'!$ñ$998), "", 'Data Entry'!$ñ$998)</f>
      </c>
      <c r="FV998">
        <f>IF(ISBLANK('Data Entry'!$ò$998), "", 'Data Entry'!$ò$998)</f>
      </c>
      <c r="FW998">
        <f>IF(ISBLANK('Data Entry'!$ó$998), "", 'Data Entry'!$ó$998)</f>
      </c>
      <c r="FX998">
        <f>IF(ISBLANK('Data Entry'!$ô$998), "", 'Data Entry'!$ô$998)</f>
      </c>
      <c r="FY998">
        <f>IF(ISBLANK('Data Entry'!$õ$998), "", 'Data Entry'!$õ$998)</f>
      </c>
      <c r="FZ998">
        <f>IF(ISBLANK('Data Entry'!$ö$998), "", 'Data Entry'!$ö$998)</f>
      </c>
      <c r="GA998">
        <f>IF(ISBLANK('Data Entry'!$÷$998), "", 'Data Entry'!$÷$998)</f>
      </c>
      <c r="GB998">
        <f>IF(ISBLANK('Data Entry'!$ø$998), "", 'Data Entry'!$ø$998)</f>
      </c>
      <c r="GC998">
        <f>IF(ISBLANK('Data Entry'!$ù$998), "", 'Data Entry'!$ù$998)</f>
      </c>
      <c r="GD998">
        <f>IF(ISBLANK('Data Entry'!$ú$998), "", 'Data Entry'!$ú$998)</f>
      </c>
      <c r="GE998">
        <f>IF(ISBLANK('Data Entry'!$û$998), "", 'Data Entry'!$û$998)</f>
      </c>
      <c r="GF998">
        <f>IF(ISBLANK('Data Entry'!$ü$998), "", 'Data Entry'!$ü$998)</f>
      </c>
      <c r="GG998">
        <f>IF(ISBLANK('Data Entry'!$ý$998), "", 'Data Entry'!$ý$998)</f>
      </c>
      <c r="GH998">
        <f>IF(ISBLANK('Data Entry'!$þ$998), "", 'Data Entry'!$þ$998)</f>
      </c>
      <c r="GI998">
        <f>IF(ISBLANK('Data Entry'!$ÿ$998), "", 'Data Entry'!$ÿ$998)</f>
      </c>
      <c r="GJ998">
        <f>IF(ISBLANK('Data Entry'!$Ā$998), "", 'Data Entry'!$Ā$998)</f>
      </c>
      <c r="GK998">
        <f>IF(ISBLANK('Data Entry'!$ā$998), "", 'Data Entry'!$ā$998)</f>
      </c>
      <c r="GL998">
        <f>IF(ISBLANK('Data Entry'!$Ă$998), "", 'Data Entry'!$Ă$998)</f>
      </c>
      <c r="GM998">
        <f>IF(ISBLANK('Data Entry'!$ă$998), "", 'Data Entry'!$ă$998)</f>
      </c>
      <c r="GN998">
        <f>IF(ISBLANK('Data Entry'!$Ą$998), "", 'Data Entry'!$Ą$998)</f>
      </c>
      <c r="GO998">
        <f>IF(ISBLANK('Data Entry'!$ą$998), "", 'Data Entry'!$ą$998)</f>
      </c>
      <c r="GP998">
        <f>IF(ISBLANK('Data Entry'!$Ć$998), "", 'Data Entry'!$Ć$998)</f>
      </c>
      <c r="GQ998">
        <f>IF(ISBLANK('Data Entry'!$ć$998), "", 'Data Entry'!$ć$998)</f>
      </c>
      <c r="GR998">
        <f>IF(ISBLANK('Data Entry'!$Ĉ$998), "", 'Data Entry'!$Ĉ$998)</f>
      </c>
      <c r="GS998">
        <f>IF(ISBLANK('Data Entry'!$ĉ$998), "", 'Data Entry'!$ĉ$998)</f>
      </c>
      <c r="GT998">
        <f>IF(ISBLANK('Data Entry'!$Ċ$998), "", 'Data Entry'!$Ċ$998)</f>
      </c>
      <c r="GU998">
        <f>IF(ISBLANK('Data Entry'!$ċ$998), "", 'Data Entry'!$ċ$998)</f>
      </c>
      <c r="GV998">
        <f>IF(ISBLANK('Data Entry'!$Č$998), "", 'Data Entry'!$Č$998)</f>
      </c>
      <c r="GW998">
        <f>IF(ISBLANK('Data Entry'!$č$998), "", 'Data Entry'!$č$998)</f>
      </c>
      <c r="GX998">
        <f>IF(ISBLANK('Data Entry'!$Ď$998), "", 'Data Entry'!$Ď$998)</f>
      </c>
      <c r="GY998">
        <f>IF(ISBLANK('Data Entry'!$ď$998), "", 'Data Entry'!$ď$998)</f>
      </c>
      <c r="GZ998">
        <f>IF(ISBLANK('Data Entry'!$Đ$998), "", 'Data Entry'!$Đ$998)</f>
      </c>
      <c r="HA998">
        <f>IF(ISBLANK('Data Entry'!$đ$998), "", 'Data Entry'!$đ$998)</f>
      </c>
      <c r="HB998">
        <f>IF(ISBLANK('Data Entry'!$Ē$998), "", 'Data Entry'!$Ē$998)</f>
      </c>
      <c r="HC998">
        <f>IF(ISBLANK('Data Entry'!$ē$998), "", 'Data Entry'!$ē$998)</f>
      </c>
      <c r="HD998">
        <f>IF(ISBLANK('Data Entry'!$Ĕ$998), "", 'Data Entry'!$Ĕ$998)</f>
      </c>
      <c r="HE998">
        <f>IF(ISBLANK('Data Entry'!$ĕ$998), "", 'Data Entry'!$ĕ$998)</f>
      </c>
      <c r="HF998">
        <f>IF(ISBLANK('Data Entry'!$Ė$998), "", 'Data Entry'!$Ė$998)</f>
      </c>
      <c r="HG998">
        <f>IF(ISBLANK('Data Entry'!$ė$998), "", 'Data Entry'!$ė$998)</f>
      </c>
      <c r="HH998">
        <f>IF(ISBLANK('Data Entry'!$Ę$998), "", 'Data Entry'!$Ę$998)</f>
      </c>
      <c r="HI998">
        <f>IF(ISBLANK('Data Entry'!$ę$998), "", 'Data Entry'!$ę$998)</f>
      </c>
      <c r="HJ998">
        <f>IF(ISBLANK('Data Entry'!$Ě$998), "", 'Data Entry'!$Ě$998)</f>
      </c>
      <c r="HK998">
        <f>IF(ISBLANK('Data Entry'!$ě$998), "", 'Data Entry'!$ě$998)</f>
      </c>
      <c r="HL998">
        <f>IF(ISBLANK('Data Entry'!$Ĝ$998), "", 'Data Entry'!$Ĝ$998)</f>
      </c>
      <c r="HM998">
        <f>IF(ISBLANK('Data Entry'!$ĝ$998), "", 'Data Entry'!$ĝ$998)</f>
      </c>
      <c r="HN998">
        <f>IF(ISBLANK('Data Entry'!$Ğ$998), "", 'Data Entry'!$Ğ$998)</f>
      </c>
      <c r="HO998">
        <f>IF(ISBLANK('Data Entry'!$ğ$998), "", 'Data Entry'!$ğ$998)</f>
      </c>
      <c r="HP998">
        <f>IF(ISBLANK('Data Entry'!$Ġ$998), "", 'Data Entry'!$Ġ$998)</f>
      </c>
      <c r="HQ998">
        <f>IF(ISBLANK('Data Entry'!$ġ$998), "", 'Data Entry'!$ġ$998)</f>
      </c>
      <c r="HR998">
        <f>IF(ISBLANK('Data Entry'!$Ģ$998), "", 'Data Entry'!$Ģ$998)</f>
      </c>
      <c r="HS998">
        <f>IF(ISBLANK('Data Entry'!$ģ$998), "", 'Data Entry'!$ģ$998)</f>
      </c>
      <c r="HT998">
        <f>IF(ISBLANK('Data Entry'!$Ĥ$998), "", 'Data Entry'!$Ĥ$998)</f>
      </c>
      <c r="HU998">
        <f>IF(ISBLANK('Data Entry'!$ĥ$998), "", 'Data Entry'!$ĥ$998)</f>
      </c>
      <c r="HV998">
        <f>IF(ISBLANK('Data Entry'!$Ħ$998), "", 'Data Entry'!$Ħ$998)</f>
      </c>
      <c r="HW998">
        <f>IF(ISBLANK('Data Entry'!$ħ$998), "", 'Data Entry'!$ħ$998)</f>
      </c>
      <c r="HX998">
        <f>IF(ISBLANK('Data Entry'!$Ĩ$998), "", 'Data Entry'!$Ĩ$998)</f>
      </c>
      <c r="HY998">
        <f>IF(ISBLANK('Data Entry'!$ĩ$998), "", 'Data Entry'!$ĩ$998)</f>
      </c>
      <c r="HZ998">
        <f>IF(ISBLANK('Data Entry'!$Ī$998), "", 'Data Entry'!$Ī$998)</f>
      </c>
      <c r="IA998">
        <f>IF(ISBLANK('Data Entry'!$ī$998), "", 'Data Entry'!$ī$998)</f>
      </c>
      <c r="IB998">
        <f>IF(ISBLANK('Data Entry'!$Ĭ$998), "", 'Data Entry'!$Ĭ$998)</f>
      </c>
      <c r="IC998">
        <f>IF(ISBLANK('Data Entry'!$ĭ$998), "", 'Data Entry'!$ĭ$998)</f>
      </c>
      <c r="ID998">
        <f>IF(ISBLANK('Data Entry'!$Į$998), "", 'Data Entry'!$Į$998)</f>
      </c>
      <c r="IE998">
        <f>IF(ISBLANK('Data Entry'!$į$998), "", 'Data Entry'!$į$998)</f>
      </c>
      <c r="IF998">
        <f>IF(ISBLANK('Data Entry'!$İ$998), "", 'Data Entry'!$İ$998)</f>
      </c>
      <c r="IG998">
        <f>IF(ISBLANK('Data Entry'!$ı$998), "", 'Data Entry'!$ı$998)</f>
      </c>
      <c r="IH998">
        <f>IF(ISBLANK('Data Entry'!$Ĳ$998), "", 'Data Entry'!$Ĳ$998)</f>
      </c>
      <c r="II998">
        <f>IF(ISBLANK('Data Entry'!$ĳ$998), "", 'Data Entry'!$ĳ$998)</f>
      </c>
      <c r="IJ998">
        <f>IF(ISBLANK('Data Entry'!$Ĵ$998), "", 'Data Entry'!$Ĵ$998)</f>
      </c>
      <c r="IK998">
        <f>IF(ISBLANK('Data Entry'!$ĵ$998), "", 'Data Entry'!$ĵ$998)</f>
      </c>
      <c r="IL998">
        <f>IF(ISBLANK('Data Entry'!$Ķ$998), "", 'Data Entry'!$Ķ$998)</f>
      </c>
      <c r="IM998">
        <f>IF(ISBLANK('Data Entry'!$ķ$998), "", 'Data Entry'!$ķ$998)</f>
      </c>
      <c r="IN998">
        <f>IF(ISBLANK('Data Entry'!$ĸ$998), "", 'Data Entry'!$ĸ$998)</f>
      </c>
      <c r="IO998">
        <f>IF(ISBLANK('Data Entry'!$Ĺ$998), "", 'Data Entry'!$Ĺ$998)</f>
      </c>
      <c r="IP998">
        <f>IF(ISBLANK('Data Entry'!$ĺ$998), "", 'Data Entry'!$ĺ$998)</f>
      </c>
      <c r="IQ998">
        <f>IF(ISBLANK('Data Entry'!$Ļ$998), "", 'Data Entry'!$Ļ$998)</f>
      </c>
      <c r="IR998">
        <f>IF(ISBLANK('Data Entry'!$ļ$998), "", 'Data Entry'!$ļ$998)</f>
      </c>
      <c r="IS998">
        <f>IF(ISBLANK('Data Entry'!$Ľ$998), "", 'Data Entry'!$Ľ$998)</f>
      </c>
      <c r="IT998">
        <f>IF(ISBLANK('Data Entry'!$ľ$998), "", 'Data Entry'!$ľ$998)</f>
      </c>
    </row>
    <row r="999" spans="1:254" x14ac:dyDescent="0.25">
      <c r="A999">
        <f>IF(ISBLANK('Data Entry'!$A$999), "", 'Data Entry'!$A$999)</f>
      </c>
      <c r="B999">
        <f>IF(ISBLANK('Data Entry'!$B$999), "", 'Data Entry'!$B$999)</f>
      </c>
      <c r="C999">
        <f>IF(ISBLANK('Data Entry'!$C$999), "", 'Data Entry'!$C$999)</f>
      </c>
      <c r="D999">
        <f>IF(ISBLANK('Data Entry'!$D$999), "", 'Data Entry'!$D$999)</f>
      </c>
      <c r="E999">
        <f>IF(ISBLANK('Data Entry'!$E$999), "", 'Data Entry'!$E$999)</f>
      </c>
      <c r="F999">
        <f>IF(ISBLANK('Data Entry'!$F$999), "", 'Data Entry'!$F$999)</f>
      </c>
      <c r="G999">
        <f>IF(ISBLANK('Data Entry'!$G$999), "", 'Data Entry'!$G$999)</f>
      </c>
      <c r="H999">
        <f>IF(ISBLANK('Data Entry'!$H$999), "", 'Data Entry'!$H$999)</f>
      </c>
      <c r="I999">
        <f>IF(ISBLANK('Data Entry'!$I$999), "", 'Data Entry'!$I$999)</f>
      </c>
      <c r="J999">
        <f>IF(ISBLANK('Data Entry'!$J$999), "", 'Data Entry'!$J$999)</f>
      </c>
      <c r="K999">
        <f>IF(ISBLANK('Data Entry'!$K$999), "", 'Data Entry'!$K$999)</f>
      </c>
      <c r="L999">
        <f>IF(ISBLANK('Data Entry'!$L$999), "", 'Data Entry'!$L$999)</f>
      </c>
      <c r="M999">
        <f>IF(ISBLANK('Data Entry'!$M$999), "", 'Data Entry'!$M$999)</f>
      </c>
      <c r="N999">
        <f>IF(ISBLANK('Data Entry'!$N$999), "", 'Data Entry'!$N$999)</f>
      </c>
      <c r="O999">
        <f>IF(ISBLANK('Data Entry'!$O$999), "", 'Data Entry'!$O$999)</f>
      </c>
      <c r="P999">
        <f>IF(ISBLANK('Data Entry'!$P$999), "", 'Data Entry'!$P$999)</f>
      </c>
      <c r="Q999">
        <f>IF(ISBLANK('Data Entry'!$Q$999), "", 'Data Entry'!$Q$999)</f>
      </c>
      <c r="R999">
        <f>IF(ISBLANK('Data Entry'!$R$999), "", 'Data Entry'!$R$999)</f>
      </c>
      <c r="S999">
        <f>IF(ISBLANK('Data Entry'!$S$999), "", 'Data Entry'!$S$999)</f>
      </c>
      <c r="T999">
        <f>IF(ISBLANK('Data Entry'!$T$999), "", 'Data Entry'!$T$999)</f>
      </c>
      <c r="U999">
        <f>IF(ISBLANK('Data Entry'!$U$999), "", 'Data Entry'!$U$999)</f>
      </c>
      <c r="V999">
        <f>IF(ISBLANK('Data Entry'!$V$999), "", 'Data Entry'!$V$999)</f>
      </c>
      <c r="W999">
        <f>IF(ISBLANK('Data Entry'!$W$999), "", 'Data Entry'!$W$999)</f>
      </c>
      <c r="X999">
        <f>IF(ISBLANK('Data Entry'!$X$999), "", 'Data Entry'!$X$999)</f>
      </c>
      <c r="Y999">
        <f>IF(ISBLANK('Data Entry'!$Y$999), "", 'Data Entry'!$Y$999)</f>
      </c>
      <c r="Z999">
        <f>IF(ISBLANK('Data Entry'!$Z$999), "", 'Data Entry'!$Z$999)</f>
      </c>
      <c r="AA999">
        <f>IF(ISBLANK('Data Entry'!$[$999), "", 'Data Entry'!$[$999)</f>
      </c>
      <c r="AB999">
        <f>IF(ISBLANK('Data Entry'!$\$999), "", 'Data Entry'!$\$999)</f>
      </c>
      <c r="AC999">
        <f>IF(ISBLANK('Data Entry'!$]$999), "", 'Data Entry'!$]$999)</f>
      </c>
      <c r="AD999">
        <f>IF(ISBLANK('Data Entry'!$^$999), "", 'Data Entry'!$^$999)</f>
      </c>
      <c r="AE999">
        <f>IF(ISBLANK('Data Entry'!$_$999), "", 'Data Entry'!$_$999)</f>
      </c>
      <c r="AF999">
        <f>IF(ISBLANK('Data Entry'!$`$999), "", 'Data Entry'!$`$999)</f>
      </c>
      <c r="AG999">
        <f>IF(ISBLANK('Data Entry'!$a$999), "", 'Data Entry'!$a$999)</f>
      </c>
      <c r="AH999">
        <f>IF(ISBLANK('Data Entry'!$b$999), "", 'Data Entry'!$b$999)</f>
      </c>
      <c r="AI999">
        <f>IF(ISBLANK('Data Entry'!$c$999), "", 'Data Entry'!$c$999)</f>
      </c>
      <c r="AJ999">
        <f>IF(ISBLANK('Data Entry'!$d$999), "", 'Data Entry'!$d$999)</f>
      </c>
      <c r="AK999">
        <f>IF(ISBLANK('Data Entry'!$e$999), "", 'Data Entry'!$e$999)</f>
      </c>
      <c r="AL999">
        <f>IF(ISBLANK('Data Entry'!$f$999), "", 'Data Entry'!$f$999)</f>
      </c>
      <c r="AM999">
        <f>IF(ISBLANK('Data Entry'!$g$999), "", 'Data Entry'!$g$999)</f>
      </c>
      <c r="AN999">
        <f>IF(ISBLANK('Data Entry'!$h$999), "", 'Data Entry'!$h$999)</f>
      </c>
      <c r="AO999">
        <f>IF(ISBLANK('Data Entry'!$i$999), "", 'Data Entry'!$i$999)</f>
      </c>
      <c r="AP999">
        <f>IF(ISBLANK('Data Entry'!$j$999), "", 'Data Entry'!$j$999)</f>
      </c>
      <c r="AQ999">
        <f>IF(ISBLANK('Data Entry'!$k$999), "", 'Data Entry'!$k$999)</f>
      </c>
      <c r="AR999">
        <f>IF(ISBLANK('Data Entry'!$l$999), "", 'Data Entry'!$l$999)</f>
      </c>
      <c r="AS999">
        <f>IF(ISBLANK('Data Entry'!$m$999), "", 'Data Entry'!$m$999)</f>
      </c>
      <c r="AT999">
        <f>IF(ISBLANK('Data Entry'!$n$999), "", 'Data Entry'!$n$999)</f>
      </c>
      <c r="AU999">
        <f>IF(ISBLANK('Data Entry'!$o$999), "", 'Data Entry'!$o$999)</f>
      </c>
      <c r="AV999">
        <f>IF(ISBLANK('Data Entry'!$p$999), "", 'Data Entry'!$p$999)</f>
      </c>
      <c r="AW999">
        <f>IF(ISBLANK('Data Entry'!$q$999), "", 'Data Entry'!$q$999)</f>
      </c>
      <c r="AX999">
        <f>IF(ISBLANK('Data Entry'!$r$999), "", 'Data Entry'!$r$999)</f>
      </c>
      <c r="AY999">
        <f>IF(ISBLANK('Data Entry'!$s$999), "", 'Data Entry'!$s$999)</f>
      </c>
      <c r="AZ999">
        <f>IF(ISBLANK('Data Entry'!$t$999), "", 'Data Entry'!$t$999)</f>
      </c>
      <c r="BA999">
        <f>IF(ISBLANK('Data Entry'!$u$999), "", 'Data Entry'!$u$999)</f>
      </c>
      <c r="BB999">
        <f>IF(ISBLANK('Data Entry'!$v$999), "", 'Data Entry'!$v$999)</f>
      </c>
      <c r="BC999">
        <f>IF(ISBLANK('Data Entry'!$w$999), "", 'Data Entry'!$w$999)</f>
      </c>
      <c r="BD999">
        <f>IF(ISBLANK('Data Entry'!$x$999), "", 'Data Entry'!$x$999)</f>
      </c>
      <c r="BE999">
        <f>IF(ISBLANK('Data Entry'!$y$999), "", 'Data Entry'!$y$999)</f>
      </c>
      <c r="BF999">
        <f>IF(ISBLANK('Data Entry'!$z$999), "", 'Data Entry'!$z$999)</f>
      </c>
      <c r="BG999">
        <f>IF(ISBLANK('Data Entry'!${$999), "", 'Data Entry'!${$999)</f>
      </c>
      <c r="BH999">
        <f>IF(ISBLANK('Data Entry'!$|$999), "", 'Data Entry'!$|$999)</f>
      </c>
      <c r="BI999">
        <f>IF(ISBLANK('Data Entry'!$}$999), "", 'Data Entry'!$}$999)</f>
      </c>
      <c r="BJ999">
        <f>IF(ISBLANK('Data Entry'!$~$999), "", 'Data Entry'!$~$999)</f>
      </c>
      <c r="BK999">
        <f>IF(ISBLANK('Data Entry'!$$999), "", 'Data Entry'!$$999)</f>
      </c>
      <c r="BL999">
        <f>IF(ISBLANK('Data Entry'!$$999), "", 'Data Entry'!$$999)</f>
      </c>
      <c r="BM999">
        <f>IF(ISBLANK('Data Entry'!$$999), "", 'Data Entry'!$$999)</f>
      </c>
      <c r="BN999">
        <f>IF(ISBLANK('Data Entry'!$$999), "", 'Data Entry'!$$999)</f>
      </c>
      <c r="BO999">
        <f>IF(ISBLANK('Data Entry'!$$999), "", 'Data Entry'!$$999)</f>
      </c>
      <c r="BP999">
        <f>IF(ISBLANK('Data Entry'!$$999), "", 'Data Entry'!$$999)</f>
      </c>
      <c r="BQ999">
        <f>IF(ISBLANK('Data Entry'!$$999), "", 'Data Entry'!$$999)</f>
      </c>
      <c r="BR999">
        <f>IF(ISBLANK('Data Entry'!$$999), "", 'Data Entry'!$$999)</f>
      </c>
      <c r="BS999">
        <f>IF(ISBLANK('Data Entry'!$$999), "", 'Data Entry'!$$999)</f>
      </c>
      <c r="BT999">
        <f>IF(ISBLANK('Data Entry'!$$999), "", 'Data Entry'!$$999)</f>
      </c>
      <c r="BU999">
        <f>IF(ISBLANK('Data Entry'!$$999), "", 'Data Entry'!$$999)</f>
      </c>
      <c r="BV999">
        <f>IF(ISBLANK('Data Entry'!$$999), "", 'Data Entry'!$$999)</f>
      </c>
      <c r="BW999">
        <f>IF(ISBLANK('Data Entry'!$$999), "", 'Data Entry'!$$999)</f>
      </c>
      <c r="BX999">
        <f>IF(ISBLANK('Data Entry'!$$999), "", 'Data Entry'!$$999)</f>
      </c>
      <c r="BY999">
        <f>IF(ISBLANK('Data Entry'!$$999), "", 'Data Entry'!$$999)</f>
      </c>
      <c r="BZ999">
        <f>IF(ISBLANK('Data Entry'!$$999), "", 'Data Entry'!$$999)</f>
      </c>
      <c r="CA999">
        <f>IF(ISBLANK('Data Entry'!$$999), "", 'Data Entry'!$$999)</f>
      </c>
      <c r="CB999">
        <f>IF(ISBLANK('Data Entry'!$$999), "", 'Data Entry'!$$999)</f>
      </c>
      <c r="CC999">
        <f>IF(ISBLANK('Data Entry'!$$999), "", 'Data Entry'!$$999)</f>
      </c>
      <c r="CD999">
        <f>IF(ISBLANK('Data Entry'!$$999), "", 'Data Entry'!$$999)</f>
      </c>
      <c r="CE999">
        <f>IF(ISBLANK('Data Entry'!$$999), "", 'Data Entry'!$$999)</f>
      </c>
      <c r="CF999">
        <f>IF(ISBLANK('Data Entry'!$$999), "", 'Data Entry'!$$999)</f>
      </c>
      <c r="CG999">
        <f>IF(ISBLANK('Data Entry'!$$999), "", 'Data Entry'!$$999)</f>
      </c>
      <c r="CH999">
        <f>IF(ISBLANK('Data Entry'!$$999), "", 'Data Entry'!$$999)</f>
      </c>
      <c r="CI999">
        <f>IF(ISBLANK('Data Entry'!$$999), "", 'Data Entry'!$$999)</f>
      </c>
      <c r="CJ999">
        <f>IF(ISBLANK('Data Entry'!$$999), "", 'Data Entry'!$$999)</f>
      </c>
      <c r="CK999">
        <f>IF(ISBLANK('Data Entry'!$$999), "", 'Data Entry'!$$999)</f>
      </c>
      <c r="CL999">
        <f>IF(ISBLANK('Data Entry'!$$999), "", 'Data Entry'!$$999)</f>
      </c>
      <c r="CM999">
        <f>IF(ISBLANK('Data Entry'!$$999), "", 'Data Entry'!$$999)</f>
      </c>
      <c r="CN999">
        <f>IF(ISBLANK('Data Entry'!$$999), "", 'Data Entry'!$$999)</f>
      </c>
      <c r="CO999">
        <f>IF(ISBLANK('Data Entry'!$$999), "", 'Data Entry'!$$999)</f>
      </c>
      <c r="CP999">
        <f>IF(ISBLANK('Data Entry'!$$999), "", 'Data Entry'!$$999)</f>
      </c>
      <c r="CQ999">
        <f>IF(ISBLANK('Data Entry'!$$999), "", 'Data Entry'!$$999)</f>
      </c>
      <c r="CR999">
        <f>IF(ISBLANK('Data Entry'!$ $999), "", 'Data Entry'!$ $999)</f>
      </c>
      <c r="CS999">
        <f>IF(ISBLANK('Data Entry'!$¡$999), "", 'Data Entry'!$¡$999)</f>
      </c>
      <c r="CT999">
        <f>IF(ISBLANK('Data Entry'!$¢$999), "", 'Data Entry'!$¢$999)</f>
      </c>
      <c r="CU999">
        <f>IF(ISBLANK('Data Entry'!$£$999), "", 'Data Entry'!$£$999)</f>
      </c>
      <c r="CV999">
        <f>IF(ISBLANK('Data Entry'!$¤$999), "", 'Data Entry'!$¤$999)</f>
      </c>
      <c r="CW999">
        <f>IF(ISBLANK('Data Entry'!$¥$999), "", 'Data Entry'!$¥$999)</f>
      </c>
      <c r="CX999">
        <f>IF(ISBLANK('Data Entry'!$¦$999), "", 'Data Entry'!$¦$999)</f>
      </c>
      <c r="CY999">
        <f>IF(ISBLANK('Data Entry'!$§$999), "", 'Data Entry'!$§$999)</f>
      </c>
      <c r="CZ999">
        <f>IF(ISBLANK('Data Entry'!$¨$999), "", 'Data Entry'!$¨$999)</f>
      </c>
      <c r="DA999">
        <f>IF(ISBLANK('Data Entry'!$©$999), "", 'Data Entry'!$©$999)</f>
      </c>
      <c r="DB999">
        <f>IF(ISBLANK('Data Entry'!$ª$999), "", 'Data Entry'!$ª$999)</f>
      </c>
      <c r="DC999">
        <f>IF(ISBLANK('Data Entry'!$«$999), "", 'Data Entry'!$«$999)</f>
      </c>
      <c r="DD999">
        <f>IF(ISBLANK('Data Entry'!$¬$999), "", 'Data Entry'!$¬$999)</f>
      </c>
      <c r="DE999">
        <f>IF(ISBLANK('Data Entry'!$­$999), "", 'Data Entry'!$­$999)</f>
      </c>
      <c r="DF999">
        <f>IF(ISBLANK('Data Entry'!$®$999), "", 'Data Entry'!$®$999)</f>
      </c>
      <c r="DG999">
        <f>IF(ISBLANK('Data Entry'!$¯$999), "", 'Data Entry'!$¯$999)</f>
      </c>
      <c r="DH999">
        <f>IF(ISBLANK('Data Entry'!$°$999), "", 'Data Entry'!$°$999)</f>
      </c>
      <c r="DI999">
        <f>IF(ISBLANK('Data Entry'!$±$999), "", 'Data Entry'!$±$999)</f>
      </c>
      <c r="DJ999">
        <f>IF(ISBLANK('Data Entry'!$²$999), "", 'Data Entry'!$²$999)</f>
      </c>
      <c r="DK999">
        <f>IF(ISBLANK('Data Entry'!$³$999), "", 'Data Entry'!$³$999)</f>
      </c>
      <c r="DL999">
        <f>IF(ISBLANK('Data Entry'!$´$999), "", 'Data Entry'!$´$999)</f>
      </c>
      <c r="DM999">
        <f>IF(ISBLANK('Data Entry'!$µ$999), "", 'Data Entry'!$µ$999)</f>
      </c>
      <c r="DN999">
        <f>IF(ISBLANK('Data Entry'!$¶$999), "", 'Data Entry'!$¶$999)</f>
      </c>
      <c r="DO999">
        <f>IF(ISBLANK('Data Entry'!$·$999), "", 'Data Entry'!$·$999)</f>
      </c>
      <c r="DP999">
        <f>IF(ISBLANK('Data Entry'!$¸$999), "", 'Data Entry'!$¸$999)</f>
      </c>
      <c r="DQ999">
        <f>IF(ISBLANK('Data Entry'!$¹$999), "", 'Data Entry'!$¹$999)</f>
      </c>
      <c r="DR999">
        <f>IF(ISBLANK('Data Entry'!$º$999), "", 'Data Entry'!$º$999)</f>
      </c>
      <c r="DS999">
        <f>IF(ISBLANK('Data Entry'!$»$999), "", 'Data Entry'!$»$999)</f>
      </c>
      <c r="DT999">
        <f>IF(ISBLANK('Data Entry'!$¼$999), "", 'Data Entry'!$¼$999)</f>
      </c>
      <c r="DU999">
        <f>IF(ISBLANK('Data Entry'!$½$999), "", 'Data Entry'!$½$999)</f>
      </c>
      <c r="DV999">
        <f>IF(ISBLANK('Data Entry'!$¾$999), "", 'Data Entry'!$¾$999)</f>
      </c>
      <c r="DW999">
        <f>IF(ISBLANK('Data Entry'!$¿$999), "", 'Data Entry'!$¿$999)</f>
      </c>
      <c r="DX999">
        <f>IF(ISBLANK('Data Entry'!$À$999), "", 'Data Entry'!$À$999)</f>
      </c>
      <c r="DY999">
        <f>IF(ISBLANK('Data Entry'!$Á$999), "", 'Data Entry'!$Á$999)</f>
      </c>
      <c r="DZ999">
        <f>IF(ISBLANK('Data Entry'!$Â$999), "", 'Data Entry'!$Â$999)</f>
      </c>
      <c r="EA999">
        <f>IF(ISBLANK('Data Entry'!$Ã$999), "", 'Data Entry'!$Ã$999)</f>
      </c>
      <c r="EB999">
        <f>IF(ISBLANK('Data Entry'!$Ä$999), "", 'Data Entry'!$Ä$999)</f>
      </c>
      <c r="EC999">
        <f>IF(ISBLANK('Data Entry'!$Å$999), "", 'Data Entry'!$Å$999)</f>
      </c>
      <c r="ED999">
        <f>IF(ISBLANK('Data Entry'!$Æ$999), "", 'Data Entry'!$Æ$999)</f>
      </c>
      <c r="EE999">
        <f>IF(ISBLANK('Data Entry'!$Ç$999), "", 'Data Entry'!$Ç$999)</f>
      </c>
      <c r="EF999">
        <f>IF(ISBLANK('Data Entry'!$È$999), "", 'Data Entry'!$È$999)</f>
      </c>
      <c r="EG999">
        <f>IF(ISBLANK('Data Entry'!$É$999), "", 'Data Entry'!$É$999)</f>
      </c>
      <c r="EH999">
        <f>IF(ISBLANK('Data Entry'!$Ê$999), "", 'Data Entry'!$Ê$999)</f>
      </c>
      <c r="EI999">
        <f>IF(ISBLANK('Data Entry'!$Ë$999), "", 'Data Entry'!$Ë$999)</f>
      </c>
      <c r="EJ999">
        <f>IF(ISBLANK('Data Entry'!$Ì$999), "", 'Data Entry'!$Ì$999)</f>
      </c>
      <c r="EK999">
        <f>IF(ISBLANK('Data Entry'!$Í$999), "", 'Data Entry'!$Í$999)</f>
      </c>
      <c r="EL999">
        <f>IF(ISBLANK('Data Entry'!$Î$999), "", 'Data Entry'!$Î$999)</f>
      </c>
      <c r="EM999">
        <f>IF(ISBLANK('Data Entry'!$Ï$999), "", 'Data Entry'!$Ï$999)</f>
      </c>
      <c r="EN999">
        <f>IF(ISBLANK('Data Entry'!$Ð$999), "", 'Data Entry'!$Ð$999)</f>
      </c>
      <c r="EO999">
        <f>IF(ISBLANK('Data Entry'!$Ñ$999), "", 'Data Entry'!$Ñ$999)</f>
      </c>
      <c r="EP999">
        <f>IF(ISBLANK('Data Entry'!$Ò$999), "", 'Data Entry'!$Ò$999)</f>
      </c>
      <c r="EQ999">
        <f>IF(ISBLANK('Data Entry'!$Ó$999), "", 'Data Entry'!$Ó$999)</f>
      </c>
      <c r="ER999">
        <f>IF(ISBLANK('Data Entry'!$Ô$999), "", 'Data Entry'!$Ô$999)</f>
      </c>
      <c r="ES999">
        <f>IF(ISBLANK('Data Entry'!$Õ$999), "", 'Data Entry'!$Õ$999)</f>
      </c>
      <c r="ET999">
        <f>IF(ISBLANK('Data Entry'!$Ö$999), "", 'Data Entry'!$Ö$999)</f>
      </c>
      <c r="EU999">
        <f>IF(ISBLANK('Data Entry'!$×$999), "", 'Data Entry'!$×$999)</f>
      </c>
      <c r="EV999">
        <f>IF(ISBLANK('Data Entry'!$Ø$999), "", 'Data Entry'!$Ø$999)</f>
      </c>
      <c r="EW999">
        <f>IF(ISBLANK('Data Entry'!$Ù$999), "", 'Data Entry'!$Ù$999)</f>
      </c>
      <c r="EX999">
        <f>IF(ISBLANK('Data Entry'!$Ú$999), "", 'Data Entry'!$Ú$999)</f>
      </c>
      <c r="EY999">
        <f>IF(ISBLANK('Data Entry'!$Û$999), "", 'Data Entry'!$Û$999)</f>
      </c>
      <c r="EZ999">
        <f>IF(ISBLANK('Data Entry'!$Ü$999), "", 'Data Entry'!$Ü$999)</f>
      </c>
      <c r="FA999">
        <f>IF(ISBLANK('Data Entry'!$Ý$999), "", 'Data Entry'!$Ý$999)</f>
      </c>
      <c r="FB999">
        <f>IF(ISBLANK('Data Entry'!$Þ$999), "", 'Data Entry'!$Þ$999)</f>
      </c>
      <c r="FC999">
        <f>IF(ISBLANK('Data Entry'!$ß$999), "", 'Data Entry'!$ß$999)</f>
      </c>
      <c r="FD999">
        <f>IF(ISBLANK('Data Entry'!$à$999), "", 'Data Entry'!$à$999)</f>
      </c>
      <c r="FE999">
        <f>IF(ISBLANK('Data Entry'!$á$999), "", 'Data Entry'!$á$999)</f>
      </c>
      <c r="FF999">
        <f>IF(ISBLANK('Data Entry'!$â$999), "", 'Data Entry'!$â$999)</f>
      </c>
      <c r="FG999">
        <f>IF(ISBLANK('Data Entry'!$ã$999), "", 'Data Entry'!$ã$999)</f>
      </c>
      <c r="FH999">
        <f>IF(ISBLANK('Data Entry'!$ä$999), "", 'Data Entry'!$ä$999)</f>
      </c>
      <c r="FI999">
        <f>IF(ISBLANK('Data Entry'!$å$999), "", 'Data Entry'!$å$999)</f>
      </c>
      <c r="FJ999">
        <f>IF(ISBLANK('Data Entry'!$æ$999), "", 'Data Entry'!$æ$999)</f>
      </c>
      <c r="FK999">
        <f>IF(ISBLANK('Data Entry'!$ç$999), "", 'Data Entry'!$ç$999)</f>
      </c>
      <c r="FL999">
        <f>IF(ISBLANK('Data Entry'!$è$999), "", 'Data Entry'!$è$999)</f>
      </c>
      <c r="FM999">
        <f>IF(ISBLANK('Data Entry'!$é$999), "", 'Data Entry'!$é$999)</f>
      </c>
      <c r="FN999">
        <f>IF(ISBLANK('Data Entry'!$ê$999), "", 'Data Entry'!$ê$999)</f>
      </c>
      <c r="FO999">
        <f>IF(ISBLANK('Data Entry'!$ë$999), "", 'Data Entry'!$ë$999)</f>
      </c>
      <c r="FP999">
        <f>IF(ISBLANK('Data Entry'!$ì$999), "", 'Data Entry'!$ì$999)</f>
      </c>
      <c r="FQ999">
        <f>IF(ISBLANK('Data Entry'!$í$999), "", 'Data Entry'!$í$999)</f>
      </c>
      <c r="FR999">
        <f>IF(ISBLANK('Data Entry'!$î$999), "", 'Data Entry'!$î$999)</f>
      </c>
      <c r="FS999">
        <f>IF(ISBLANK('Data Entry'!$ï$999), "", 'Data Entry'!$ï$999)</f>
      </c>
      <c r="FT999">
        <f>IF(ISBLANK('Data Entry'!$ð$999), "", 'Data Entry'!$ð$999)</f>
      </c>
      <c r="FU999">
        <f>IF(ISBLANK('Data Entry'!$ñ$999), "", 'Data Entry'!$ñ$999)</f>
      </c>
      <c r="FV999">
        <f>IF(ISBLANK('Data Entry'!$ò$999), "", 'Data Entry'!$ò$999)</f>
      </c>
      <c r="FW999">
        <f>IF(ISBLANK('Data Entry'!$ó$999), "", 'Data Entry'!$ó$999)</f>
      </c>
      <c r="FX999">
        <f>IF(ISBLANK('Data Entry'!$ô$999), "", 'Data Entry'!$ô$999)</f>
      </c>
      <c r="FY999">
        <f>IF(ISBLANK('Data Entry'!$õ$999), "", 'Data Entry'!$õ$999)</f>
      </c>
      <c r="FZ999">
        <f>IF(ISBLANK('Data Entry'!$ö$999), "", 'Data Entry'!$ö$999)</f>
      </c>
      <c r="GA999">
        <f>IF(ISBLANK('Data Entry'!$÷$999), "", 'Data Entry'!$÷$999)</f>
      </c>
      <c r="GB999">
        <f>IF(ISBLANK('Data Entry'!$ø$999), "", 'Data Entry'!$ø$999)</f>
      </c>
      <c r="GC999">
        <f>IF(ISBLANK('Data Entry'!$ù$999), "", 'Data Entry'!$ù$999)</f>
      </c>
      <c r="GD999">
        <f>IF(ISBLANK('Data Entry'!$ú$999), "", 'Data Entry'!$ú$999)</f>
      </c>
      <c r="GE999">
        <f>IF(ISBLANK('Data Entry'!$û$999), "", 'Data Entry'!$û$999)</f>
      </c>
      <c r="GF999">
        <f>IF(ISBLANK('Data Entry'!$ü$999), "", 'Data Entry'!$ü$999)</f>
      </c>
      <c r="GG999">
        <f>IF(ISBLANK('Data Entry'!$ý$999), "", 'Data Entry'!$ý$999)</f>
      </c>
      <c r="GH999">
        <f>IF(ISBLANK('Data Entry'!$þ$999), "", 'Data Entry'!$þ$999)</f>
      </c>
      <c r="GI999">
        <f>IF(ISBLANK('Data Entry'!$ÿ$999), "", 'Data Entry'!$ÿ$999)</f>
      </c>
      <c r="GJ999">
        <f>IF(ISBLANK('Data Entry'!$Ā$999), "", 'Data Entry'!$Ā$999)</f>
      </c>
      <c r="GK999">
        <f>IF(ISBLANK('Data Entry'!$ā$999), "", 'Data Entry'!$ā$999)</f>
      </c>
      <c r="GL999">
        <f>IF(ISBLANK('Data Entry'!$Ă$999), "", 'Data Entry'!$Ă$999)</f>
      </c>
      <c r="GM999">
        <f>IF(ISBLANK('Data Entry'!$ă$999), "", 'Data Entry'!$ă$999)</f>
      </c>
      <c r="GN999">
        <f>IF(ISBLANK('Data Entry'!$Ą$999), "", 'Data Entry'!$Ą$999)</f>
      </c>
      <c r="GO999">
        <f>IF(ISBLANK('Data Entry'!$ą$999), "", 'Data Entry'!$ą$999)</f>
      </c>
      <c r="GP999">
        <f>IF(ISBLANK('Data Entry'!$Ć$999), "", 'Data Entry'!$Ć$999)</f>
      </c>
      <c r="GQ999">
        <f>IF(ISBLANK('Data Entry'!$ć$999), "", 'Data Entry'!$ć$999)</f>
      </c>
      <c r="GR999">
        <f>IF(ISBLANK('Data Entry'!$Ĉ$999), "", 'Data Entry'!$Ĉ$999)</f>
      </c>
      <c r="GS999">
        <f>IF(ISBLANK('Data Entry'!$ĉ$999), "", 'Data Entry'!$ĉ$999)</f>
      </c>
      <c r="GT999">
        <f>IF(ISBLANK('Data Entry'!$Ċ$999), "", 'Data Entry'!$Ċ$999)</f>
      </c>
      <c r="GU999">
        <f>IF(ISBLANK('Data Entry'!$ċ$999), "", 'Data Entry'!$ċ$999)</f>
      </c>
      <c r="GV999">
        <f>IF(ISBLANK('Data Entry'!$Č$999), "", 'Data Entry'!$Č$999)</f>
      </c>
      <c r="GW999">
        <f>IF(ISBLANK('Data Entry'!$č$999), "", 'Data Entry'!$č$999)</f>
      </c>
      <c r="GX999">
        <f>IF(ISBLANK('Data Entry'!$Ď$999), "", 'Data Entry'!$Ď$999)</f>
      </c>
      <c r="GY999">
        <f>IF(ISBLANK('Data Entry'!$ď$999), "", 'Data Entry'!$ď$999)</f>
      </c>
      <c r="GZ999">
        <f>IF(ISBLANK('Data Entry'!$Đ$999), "", 'Data Entry'!$Đ$999)</f>
      </c>
      <c r="HA999">
        <f>IF(ISBLANK('Data Entry'!$đ$999), "", 'Data Entry'!$đ$999)</f>
      </c>
      <c r="HB999">
        <f>IF(ISBLANK('Data Entry'!$Ē$999), "", 'Data Entry'!$Ē$999)</f>
      </c>
      <c r="HC999">
        <f>IF(ISBLANK('Data Entry'!$ē$999), "", 'Data Entry'!$ē$999)</f>
      </c>
      <c r="HD999">
        <f>IF(ISBLANK('Data Entry'!$Ĕ$999), "", 'Data Entry'!$Ĕ$999)</f>
      </c>
      <c r="HE999">
        <f>IF(ISBLANK('Data Entry'!$ĕ$999), "", 'Data Entry'!$ĕ$999)</f>
      </c>
      <c r="HF999">
        <f>IF(ISBLANK('Data Entry'!$Ė$999), "", 'Data Entry'!$Ė$999)</f>
      </c>
      <c r="HG999">
        <f>IF(ISBLANK('Data Entry'!$ė$999), "", 'Data Entry'!$ė$999)</f>
      </c>
      <c r="HH999">
        <f>IF(ISBLANK('Data Entry'!$Ę$999), "", 'Data Entry'!$Ę$999)</f>
      </c>
      <c r="HI999">
        <f>IF(ISBLANK('Data Entry'!$ę$999), "", 'Data Entry'!$ę$999)</f>
      </c>
      <c r="HJ999">
        <f>IF(ISBLANK('Data Entry'!$Ě$999), "", 'Data Entry'!$Ě$999)</f>
      </c>
      <c r="HK999">
        <f>IF(ISBLANK('Data Entry'!$ě$999), "", 'Data Entry'!$ě$999)</f>
      </c>
      <c r="HL999">
        <f>IF(ISBLANK('Data Entry'!$Ĝ$999), "", 'Data Entry'!$Ĝ$999)</f>
      </c>
      <c r="HM999">
        <f>IF(ISBLANK('Data Entry'!$ĝ$999), "", 'Data Entry'!$ĝ$999)</f>
      </c>
      <c r="HN999">
        <f>IF(ISBLANK('Data Entry'!$Ğ$999), "", 'Data Entry'!$Ğ$999)</f>
      </c>
      <c r="HO999">
        <f>IF(ISBLANK('Data Entry'!$ğ$999), "", 'Data Entry'!$ğ$999)</f>
      </c>
      <c r="HP999">
        <f>IF(ISBLANK('Data Entry'!$Ġ$999), "", 'Data Entry'!$Ġ$999)</f>
      </c>
      <c r="HQ999">
        <f>IF(ISBLANK('Data Entry'!$ġ$999), "", 'Data Entry'!$ġ$999)</f>
      </c>
      <c r="HR999">
        <f>IF(ISBLANK('Data Entry'!$Ģ$999), "", 'Data Entry'!$Ģ$999)</f>
      </c>
      <c r="HS999">
        <f>IF(ISBLANK('Data Entry'!$ģ$999), "", 'Data Entry'!$ģ$999)</f>
      </c>
      <c r="HT999">
        <f>IF(ISBLANK('Data Entry'!$Ĥ$999), "", 'Data Entry'!$Ĥ$999)</f>
      </c>
      <c r="HU999">
        <f>IF(ISBLANK('Data Entry'!$ĥ$999), "", 'Data Entry'!$ĥ$999)</f>
      </c>
      <c r="HV999">
        <f>IF(ISBLANK('Data Entry'!$Ħ$999), "", 'Data Entry'!$Ħ$999)</f>
      </c>
      <c r="HW999">
        <f>IF(ISBLANK('Data Entry'!$ħ$999), "", 'Data Entry'!$ħ$999)</f>
      </c>
      <c r="HX999">
        <f>IF(ISBLANK('Data Entry'!$Ĩ$999), "", 'Data Entry'!$Ĩ$999)</f>
      </c>
      <c r="HY999">
        <f>IF(ISBLANK('Data Entry'!$ĩ$999), "", 'Data Entry'!$ĩ$999)</f>
      </c>
      <c r="HZ999">
        <f>IF(ISBLANK('Data Entry'!$Ī$999), "", 'Data Entry'!$Ī$999)</f>
      </c>
      <c r="IA999">
        <f>IF(ISBLANK('Data Entry'!$ī$999), "", 'Data Entry'!$ī$999)</f>
      </c>
      <c r="IB999">
        <f>IF(ISBLANK('Data Entry'!$Ĭ$999), "", 'Data Entry'!$Ĭ$999)</f>
      </c>
      <c r="IC999">
        <f>IF(ISBLANK('Data Entry'!$ĭ$999), "", 'Data Entry'!$ĭ$999)</f>
      </c>
      <c r="ID999">
        <f>IF(ISBLANK('Data Entry'!$Į$999), "", 'Data Entry'!$Į$999)</f>
      </c>
      <c r="IE999">
        <f>IF(ISBLANK('Data Entry'!$į$999), "", 'Data Entry'!$į$999)</f>
      </c>
      <c r="IF999">
        <f>IF(ISBLANK('Data Entry'!$İ$999), "", 'Data Entry'!$İ$999)</f>
      </c>
      <c r="IG999">
        <f>IF(ISBLANK('Data Entry'!$ı$999), "", 'Data Entry'!$ı$999)</f>
      </c>
      <c r="IH999">
        <f>IF(ISBLANK('Data Entry'!$Ĳ$999), "", 'Data Entry'!$Ĳ$999)</f>
      </c>
      <c r="II999">
        <f>IF(ISBLANK('Data Entry'!$ĳ$999), "", 'Data Entry'!$ĳ$999)</f>
      </c>
      <c r="IJ999">
        <f>IF(ISBLANK('Data Entry'!$Ĵ$999), "", 'Data Entry'!$Ĵ$999)</f>
      </c>
      <c r="IK999">
        <f>IF(ISBLANK('Data Entry'!$ĵ$999), "", 'Data Entry'!$ĵ$999)</f>
      </c>
      <c r="IL999">
        <f>IF(ISBLANK('Data Entry'!$Ķ$999), "", 'Data Entry'!$Ķ$999)</f>
      </c>
      <c r="IM999">
        <f>IF(ISBLANK('Data Entry'!$ķ$999), "", 'Data Entry'!$ķ$999)</f>
      </c>
      <c r="IN999">
        <f>IF(ISBLANK('Data Entry'!$ĸ$999), "", 'Data Entry'!$ĸ$999)</f>
      </c>
      <c r="IO999">
        <f>IF(ISBLANK('Data Entry'!$Ĺ$999), "", 'Data Entry'!$Ĺ$999)</f>
      </c>
      <c r="IP999">
        <f>IF(ISBLANK('Data Entry'!$ĺ$999), "", 'Data Entry'!$ĺ$999)</f>
      </c>
      <c r="IQ999">
        <f>IF(ISBLANK('Data Entry'!$Ļ$999), "", 'Data Entry'!$Ļ$999)</f>
      </c>
      <c r="IR999">
        <f>IF(ISBLANK('Data Entry'!$ļ$999), "", 'Data Entry'!$ļ$999)</f>
      </c>
      <c r="IS999">
        <f>IF(ISBLANK('Data Entry'!$Ľ$999), "", 'Data Entry'!$Ľ$999)</f>
      </c>
      <c r="IT999">
        <f>IF(ISBLANK('Data Entry'!$ľ$999), "", 'Data Entry'!$ľ$999)</f>
      </c>
    </row>
    <row r="1000" spans="1:254" x14ac:dyDescent="0.25">
      <c r="A1000">
        <f>IF(ISBLANK('Data Entry'!$A$1000), "", 'Data Entry'!$A$1000)</f>
      </c>
      <c r="B1000">
        <f>IF(ISBLANK('Data Entry'!$B$1000), "", 'Data Entry'!$B$1000)</f>
      </c>
      <c r="C1000">
        <f>IF(ISBLANK('Data Entry'!$C$1000), "", 'Data Entry'!$C$1000)</f>
      </c>
      <c r="D1000">
        <f>IF(ISBLANK('Data Entry'!$D$1000), "", 'Data Entry'!$D$1000)</f>
      </c>
      <c r="E1000">
        <f>IF(ISBLANK('Data Entry'!$E$1000), "", 'Data Entry'!$E$1000)</f>
      </c>
      <c r="F1000">
        <f>IF(ISBLANK('Data Entry'!$F$1000), "", 'Data Entry'!$F$1000)</f>
      </c>
      <c r="G1000">
        <f>IF(ISBLANK('Data Entry'!$G$1000), "", 'Data Entry'!$G$1000)</f>
      </c>
      <c r="H1000">
        <f>IF(ISBLANK('Data Entry'!$H$1000), "", 'Data Entry'!$H$1000)</f>
      </c>
      <c r="I1000">
        <f>IF(ISBLANK('Data Entry'!$I$1000), "", 'Data Entry'!$I$1000)</f>
      </c>
      <c r="J1000">
        <f>IF(ISBLANK('Data Entry'!$J$1000), "", 'Data Entry'!$J$1000)</f>
      </c>
      <c r="K1000">
        <f>IF(ISBLANK('Data Entry'!$K$1000), "", 'Data Entry'!$K$1000)</f>
      </c>
      <c r="L1000">
        <f>IF(ISBLANK('Data Entry'!$L$1000), "", 'Data Entry'!$L$1000)</f>
      </c>
      <c r="M1000">
        <f>IF(ISBLANK('Data Entry'!$M$1000), "", 'Data Entry'!$M$1000)</f>
      </c>
      <c r="N1000">
        <f>IF(ISBLANK('Data Entry'!$N$1000), "", 'Data Entry'!$N$1000)</f>
      </c>
      <c r="O1000">
        <f>IF(ISBLANK('Data Entry'!$O$1000), "", 'Data Entry'!$O$1000)</f>
      </c>
      <c r="P1000">
        <f>IF(ISBLANK('Data Entry'!$P$1000), "", 'Data Entry'!$P$1000)</f>
      </c>
      <c r="Q1000">
        <f>IF(ISBLANK('Data Entry'!$Q$1000), "", 'Data Entry'!$Q$1000)</f>
      </c>
      <c r="R1000">
        <f>IF(ISBLANK('Data Entry'!$R$1000), "", 'Data Entry'!$R$1000)</f>
      </c>
      <c r="S1000">
        <f>IF(ISBLANK('Data Entry'!$S$1000), "", 'Data Entry'!$S$1000)</f>
      </c>
      <c r="T1000">
        <f>IF(ISBLANK('Data Entry'!$T$1000), "", 'Data Entry'!$T$1000)</f>
      </c>
      <c r="U1000">
        <f>IF(ISBLANK('Data Entry'!$U$1000), "", 'Data Entry'!$U$1000)</f>
      </c>
      <c r="V1000">
        <f>IF(ISBLANK('Data Entry'!$V$1000), "", 'Data Entry'!$V$1000)</f>
      </c>
      <c r="W1000">
        <f>IF(ISBLANK('Data Entry'!$W$1000), "", 'Data Entry'!$W$1000)</f>
      </c>
      <c r="X1000">
        <f>IF(ISBLANK('Data Entry'!$X$1000), "", 'Data Entry'!$X$1000)</f>
      </c>
      <c r="Y1000">
        <f>IF(ISBLANK('Data Entry'!$Y$1000), "", 'Data Entry'!$Y$1000)</f>
      </c>
      <c r="Z1000">
        <f>IF(ISBLANK('Data Entry'!$Z$1000), "", 'Data Entry'!$Z$1000)</f>
      </c>
      <c r="AA1000">
        <f>IF(ISBLANK('Data Entry'!$[$1000), "", 'Data Entry'!$[$1000)</f>
      </c>
      <c r="AB1000">
        <f>IF(ISBLANK('Data Entry'!$\$1000), "", 'Data Entry'!$\$1000)</f>
      </c>
      <c r="AC1000">
        <f>IF(ISBLANK('Data Entry'!$]$1000), "", 'Data Entry'!$]$1000)</f>
      </c>
      <c r="AD1000">
        <f>IF(ISBLANK('Data Entry'!$^$1000), "", 'Data Entry'!$^$1000)</f>
      </c>
      <c r="AE1000">
        <f>IF(ISBLANK('Data Entry'!$_$1000), "", 'Data Entry'!$_$1000)</f>
      </c>
      <c r="AF1000">
        <f>IF(ISBLANK('Data Entry'!$`$1000), "", 'Data Entry'!$`$1000)</f>
      </c>
      <c r="AG1000">
        <f>IF(ISBLANK('Data Entry'!$a$1000), "", 'Data Entry'!$a$1000)</f>
      </c>
      <c r="AH1000">
        <f>IF(ISBLANK('Data Entry'!$b$1000), "", 'Data Entry'!$b$1000)</f>
      </c>
      <c r="AI1000">
        <f>IF(ISBLANK('Data Entry'!$c$1000), "", 'Data Entry'!$c$1000)</f>
      </c>
      <c r="AJ1000">
        <f>IF(ISBLANK('Data Entry'!$d$1000), "", 'Data Entry'!$d$1000)</f>
      </c>
      <c r="AK1000">
        <f>IF(ISBLANK('Data Entry'!$e$1000), "", 'Data Entry'!$e$1000)</f>
      </c>
      <c r="AL1000">
        <f>IF(ISBLANK('Data Entry'!$f$1000), "", 'Data Entry'!$f$1000)</f>
      </c>
      <c r="AM1000">
        <f>IF(ISBLANK('Data Entry'!$g$1000), "", 'Data Entry'!$g$1000)</f>
      </c>
      <c r="AN1000">
        <f>IF(ISBLANK('Data Entry'!$h$1000), "", 'Data Entry'!$h$1000)</f>
      </c>
      <c r="AO1000">
        <f>IF(ISBLANK('Data Entry'!$i$1000), "", 'Data Entry'!$i$1000)</f>
      </c>
      <c r="AP1000">
        <f>IF(ISBLANK('Data Entry'!$j$1000), "", 'Data Entry'!$j$1000)</f>
      </c>
      <c r="AQ1000">
        <f>IF(ISBLANK('Data Entry'!$k$1000), "", 'Data Entry'!$k$1000)</f>
      </c>
      <c r="AR1000">
        <f>IF(ISBLANK('Data Entry'!$l$1000), "", 'Data Entry'!$l$1000)</f>
      </c>
      <c r="AS1000">
        <f>IF(ISBLANK('Data Entry'!$m$1000), "", 'Data Entry'!$m$1000)</f>
      </c>
      <c r="AT1000">
        <f>IF(ISBLANK('Data Entry'!$n$1000), "", 'Data Entry'!$n$1000)</f>
      </c>
      <c r="AU1000">
        <f>IF(ISBLANK('Data Entry'!$o$1000), "", 'Data Entry'!$o$1000)</f>
      </c>
      <c r="AV1000">
        <f>IF(ISBLANK('Data Entry'!$p$1000), "", 'Data Entry'!$p$1000)</f>
      </c>
      <c r="AW1000">
        <f>IF(ISBLANK('Data Entry'!$q$1000), "", 'Data Entry'!$q$1000)</f>
      </c>
      <c r="AX1000">
        <f>IF(ISBLANK('Data Entry'!$r$1000), "", 'Data Entry'!$r$1000)</f>
      </c>
      <c r="AY1000">
        <f>IF(ISBLANK('Data Entry'!$s$1000), "", 'Data Entry'!$s$1000)</f>
      </c>
      <c r="AZ1000">
        <f>IF(ISBLANK('Data Entry'!$t$1000), "", 'Data Entry'!$t$1000)</f>
      </c>
      <c r="BA1000">
        <f>IF(ISBLANK('Data Entry'!$u$1000), "", 'Data Entry'!$u$1000)</f>
      </c>
      <c r="BB1000">
        <f>IF(ISBLANK('Data Entry'!$v$1000), "", 'Data Entry'!$v$1000)</f>
      </c>
      <c r="BC1000">
        <f>IF(ISBLANK('Data Entry'!$w$1000), "", 'Data Entry'!$w$1000)</f>
      </c>
      <c r="BD1000">
        <f>IF(ISBLANK('Data Entry'!$x$1000), "", 'Data Entry'!$x$1000)</f>
      </c>
      <c r="BE1000">
        <f>IF(ISBLANK('Data Entry'!$y$1000), "", 'Data Entry'!$y$1000)</f>
      </c>
      <c r="BF1000">
        <f>IF(ISBLANK('Data Entry'!$z$1000), "", 'Data Entry'!$z$1000)</f>
      </c>
      <c r="BG1000">
        <f>IF(ISBLANK('Data Entry'!${$1000), "", 'Data Entry'!${$1000)</f>
      </c>
      <c r="BH1000">
        <f>IF(ISBLANK('Data Entry'!$|$1000), "", 'Data Entry'!$|$1000)</f>
      </c>
      <c r="BI1000">
        <f>IF(ISBLANK('Data Entry'!$}$1000), "", 'Data Entry'!$}$1000)</f>
      </c>
      <c r="BJ1000">
        <f>IF(ISBLANK('Data Entry'!$~$1000), "", 'Data Entry'!$~$1000)</f>
      </c>
      <c r="BK1000">
        <f>IF(ISBLANK('Data Entry'!$$1000), "", 'Data Entry'!$$1000)</f>
      </c>
      <c r="BL1000">
        <f>IF(ISBLANK('Data Entry'!$$1000), "", 'Data Entry'!$$1000)</f>
      </c>
      <c r="BM1000">
        <f>IF(ISBLANK('Data Entry'!$$1000), "", 'Data Entry'!$$1000)</f>
      </c>
      <c r="BN1000">
        <f>IF(ISBLANK('Data Entry'!$$1000), "", 'Data Entry'!$$1000)</f>
      </c>
      <c r="BO1000">
        <f>IF(ISBLANK('Data Entry'!$$1000), "", 'Data Entry'!$$1000)</f>
      </c>
      <c r="BP1000">
        <f>IF(ISBLANK('Data Entry'!$$1000), "", 'Data Entry'!$$1000)</f>
      </c>
      <c r="BQ1000">
        <f>IF(ISBLANK('Data Entry'!$$1000), "", 'Data Entry'!$$1000)</f>
      </c>
      <c r="BR1000">
        <f>IF(ISBLANK('Data Entry'!$$1000), "", 'Data Entry'!$$1000)</f>
      </c>
      <c r="BS1000">
        <f>IF(ISBLANK('Data Entry'!$$1000), "", 'Data Entry'!$$1000)</f>
      </c>
      <c r="BT1000">
        <f>IF(ISBLANK('Data Entry'!$$1000), "", 'Data Entry'!$$1000)</f>
      </c>
      <c r="BU1000">
        <f>IF(ISBLANK('Data Entry'!$$1000), "", 'Data Entry'!$$1000)</f>
      </c>
      <c r="BV1000">
        <f>IF(ISBLANK('Data Entry'!$$1000), "", 'Data Entry'!$$1000)</f>
      </c>
      <c r="BW1000">
        <f>IF(ISBLANK('Data Entry'!$$1000), "", 'Data Entry'!$$1000)</f>
      </c>
      <c r="BX1000">
        <f>IF(ISBLANK('Data Entry'!$$1000), "", 'Data Entry'!$$1000)</f>
      </c>
      <c r="BY1000">
        <f>IF(ISBLANK('Data Entry'!$$1000), "", 'Data Entry'!$$1000)</f>
      </c>
      <c r="BZ1000">
        <f>IF(ISBLANK('Data Entry'!$$1000), "", 'Data Entry'!$$1000)</f>
      </c>
      <c r="CA1000">
        <f>IF(ISBLANK('Data Entry'!$$1000), "", 'Data Entry'!$$1000)</f>
      </c>
      <c r="CB1000">
        <f>IF(ISBLANK('Data Entry'!$$1000), "", 'Data Entry'!$$1000)</f>
      </c>
      <c r="CC1000">
        <f>IF(ISBLANK('Data Entry'!$$1000), "", 'Data Entry'!$$1000)</f>
      </c>
      <c r="CD1000">
        <f>IF(ISBLANK('Data Entry'!$$1000), "", 'Data Entry'!$$1000)</f>
      </c>
      <c r="CE1000">
        <f>IF(ISBLANK('Data Entry'!$$1000), "", 'Data Entry'!$$1000)</f>
      </c>
      <c r="CF1000">
        <f>IF(ISBLANK('Data Entry'!$$1000), "", 'Data Entry'!$$1000)</f>
      </c>
      <c r="CG1000">
        <f>IF(ISBLANK('Data Entry'!$$1000), "", 'Data Entry'!$$1000)</f>
      </c>
      <c r="CH1000">
        <f>IF(ISBLANK('Data Entry'!$$1000), "", 'Data Entry'!$$1000)</f>
      </c>
      <c r="CI1000">
        <f>IF(ISBLANK('Data Entry'!$$1000), "", 'Data Entry'!$$1000)</f>
      </c>
      <c r="CJ1000">
        <f>IF(ISBLANK('Data Entry'!$$1000), "", 'Data Entry'!$$1000)</f>
      </c>
      <c r="CK1000">
        <f>IF(ISBLANK('Data Entry'!$$1000), "", 'Data Entry'!$$1000)</f>
      </c>
      <c r="CL1000">
        <f>IF(ISBLANK('Data Entry'!$$1000), "", 'Data Entry'!$$1000)</f>
      </c>
      <c r="CM1000">
        <f>IF(ISBLANK('Data Entry'!$$1000), "", 'Data Entry'!$$1000)</f>
      </c>
      <c r="CN1000">
        <f>IF(ISBLANK('Data Entry'!$$1000), "", 'Data Entry'!$$1000)</f>
      </c>
      <c r="CO1000">
        <f>IF(ISBLANK('Data Entry'!$$1000), "", 'Data Entry'!$$1000)</f>
      </c>
      <c r="CP1000">
        <f>IF(ISBLANK('Data Entry'!$$1000), "", 'Data Entry'!$$1000)</f>
      </c>
      <c r="CQ1000">
        <f>IF(ISBLANK('Data Entry'!$$1000), "", 'Data Entry'!$$1000)</f>
      </c>
      <c r="CR1000">
        <f>IF(ISBLANK('Data Entry'!$ $1000), "", 'Data Entry'!$ $1000)</f>
      </c>
      <c r="CS1000">
        <f>IF(ISBLANK('Data Entry'!$¡$1000), "", 'Data Entry'!$¡$1000)</f>
      </c>
      <c r="CT1000">
        <f>IF(ISBLANK('Data Entry'!$¢$1000), "", 'Data Entry'!$¢$1000)</f>
      </c>
      <c r="CU1000">
        <f>IF(ISBLANK('Data Entry'!$£$1000), "", 'Data Entry'!$£$1000)</f>
      </c>
      <c r="CV1000">
        <f>IF(ISBLANK('Data Entry'!$¤$1000), "", 'Data Entry'!$¤$1000)</f>
      </c>
      <c r="CW1000">
        <f>IF(ISBLANK('Data Entry'!$¥$1000), "", 'Data Entry'!$¥$1000)</f>
      </c>
      <c r="CX1000">
        <f>IF(ISBLANK('Data Entry'!$¦$1000), "", 'Data Entry'!$¦$1000)</f>
      </c>
      <c r="CY1000">
        <f>IF(ISBLANK('Data Entry'!$§$1000), "", 'Data Entry'!$§$1000)</f>
      </c>
      <c r="CZ1000">
        <f>IF(ISBLANK('Data Entry'!$¨$1000), "", 'Data Entry'!$¨$1000)</f>
      </c>
      <c r="DA1000">
        <f>IF(ISBLANK('Data Entry'!$©$1000), "", 'Data Entry'!$©$1000)</f>
      </c>
      <c r="DB1000">
        <f>IF(ISBLANK('Data Entry'!$ª$1000), "", 'Data Entry'!$ª$1000)</f>
      </c>
      <c r="DC1000">
        <f>IF(ISBLANK('Data Entry'!$«$1000), "", 'Data Entry'!$«$1000)</f>
      </c>
      <c r="DD1000">
        <f>IF(ISBLANK('Data Entry'!$¬$1000), "", 'Data Entry'!$¬$1000)</f>
      </c>
      <c r="DE1000">
        <f>IF(ISBLANK('Data Entry'!$­$1000), "", 'Data Entry'!$­$1000)</f>
      </c>
      <c r="DF1000">
        <f>IF(ISBLANK('Data Entry'!$®$1000), "", 'Data Entry'!$®$1000)</f>
      </c>
      <c r="DG1000">
        <f>IF(ISBLANK('Data Entry'!$¯$1000), "", 'Data Entry'!$¯$1000)</f>
      </c>
      <c r="DH1000">
        <f>IF(ISBLANK('Data Entry'!$°$1000), "", 'Data Entry'!$°$1000)</f>
      </c>
      <c r="DI1000">
        <f>IF(ISBLANK('Data Entry'!$±$1000), "", 'Data Entry'!$±$1000)</f>
      </c>
      <c r="DJ1000">
        <f>IF(ISBLANK('Data Entry'!$²$1000), "", 'Data Entry'!$²$1000)</f>
      </c>
      <c r="DK1000">
        <f>IF(ISBLANK('Data Entry'!$³$1000), "", 'Data Entry'!$³$1000)</f>
      </c>
      <c r="DL1000">
        <f>IF(ISBLANK('Data Entry'!$´$1000), "", 'Data Entry'!$´$1000)</f>
      </c>
      <c r="DM1000">
        <f>IF(ISBLANK('Data Entry'!$µ$1000), "", 'Data Entry'!$µ$1000)</f>
      </c>
      <c r="DN1000">
        <f>IF(ISBLANK('Data Entry'!$¶$1000), "", 'Data Entry'!$¶$1000)</f>
      </c>
      <c r="DO1000">
        <f>IF(ISBLANK('Data Entry'!$·$1000), "", 'Data Entry'!$·$1000)</f>
      </c>
      <c r="DP1000">
        <f>IF(ISBLANK('Data Entry'!$¸$1000), "", 'Data Entry'!$¸$1000)</f>
      </c>
      <c r="DQ1000">
        <f>IF(ISBLANK('Data Entry'!$¹$1000), "", 'Data Entry'!$¹$1000)</f>
      </c>
      <c r="DR1000">
        <f>IF(ISBLANK('Data Entry'!$º$1000), "", 'Data Entry'!$º$1000)</f>
      </c>
      <c r="DS1000">
        <f>IF(ISBLANK('Data Entry'!$»$1000), "", 'Data Entry'!$»$1000)</f>
      </c>
      <c r="DT1000">
        <f>IF(ISBLANK('Data Entry'!$¼$1000), "", 'Data Entry'!$¼$1000)</f>
      </c>
      <c r="DU1000">
        <f>IF(ISBLANK('Data Entry'!$½$1000), "", 'Data Entry'!$½$1000)</f>
      </c>
      <c r="DV1000">
        <f>IF(ISBLANK('Data Entry'!$¾$1000), "", 'Data Entry'!$¾$1000)</f>
      </c>
      <c r="DW1000">
        <f>IF(ISBLANK('Data Entry'!$¿$1000), "", 'Data Entry'!$¿$1000)</f>
      </c>
      <c r="DX1000">
        <f>IF(ISBLANK('Data Entry'!$À$1000), "", 'Data Entry'!$À$1000)</f>
      </c>
      <c r="DY1000">
        <f>IF(ISBLANK('Data Entry'!$Á$1000), "", 'Data Entry'!$Á$1000)</f>
      </c>
      <c r="DZ1000">
        <f>IF(ISBLANK('Data Entry'!$Â$1000), "", 'Data Entry'!$Â$1000)</f>
      </c>
      <c r="EA1000">
        <f>IF(ISBLANK('Data Entry'!$Ã$1000), "", 'Data Entry'!$Ã$1000)</f>
      </c>
      <c r="EB1000">
        <f>IF(ISBLANK('Data Entry'!$Ä$1000), "", 'Data Entry'!$Ä$1000)</f>
      </c>
      <c r="EC1000">
        <f>IF(ISBLANK('Data Entry'!$Å$1000), "", 'Data Entry'!$Å$1000)</f>
      </c>
      <c r="ED1000">
        <f>IF(ISBLANK('Data Entry'!$Æ$1000), "", 'Data Entry'!$Æ$1000)</f>
      </c>
      <c r="EE1000">
        <f>IF(ISBLANK('Data Entry'!$Ç$1000), "", 'Data Entry'!$Ç$1000)</f>
      </c>
      <c r="EF1000">
        <f>IF(ISBLANK('Data Entry'!$È$1000), "", 'Data Entry'!$È$1000)</f>
      </c>
      <c r="EG1000">
        <f>IF(ISBLANK('Data Entry'!$É$1000), "", 'Data Entry'!$É$1000)</f>
      </c>
      <c r="EH1000">
        <f>IF(ISBLANK('Data Entry'!$Ê$1000), "", 'Data Entry'!$Ê$1000)</f>
      </c>
      <c r="EI1000">
        <f>IF(ISBLANK('Data Entry'!$Ë$1000), "", 'Data Entry'!$Ë$1000)</f>
      </c>
      <c r="EJ1000">
        <f>IF(ISBLANK('Data Entry'!$Ì$1000), "", 'Data Entry'!$Ì$1000)</f>
      </c>
      <c r="EK1000">
        <f>IF(ISBLANK('Data Entry'!$Í$1000), "", 'Data Entry'!$Í$1000)</f>
      </c>
      <c r="EL1000">
        <f>IF(ISBLANK('Data Entry'!$Î$1000), "", 'Data Entry'!$Î$1000)</f>
      </c>
      <c r="EM1000">
        <f>IF(ISBLANK('Data Entry'!$Ï$1000), "", 'Data Entry'!$Ï$1000)</f>
      </c>
      <c r="EN1000">
        <f>IF(ISBLANK('Data Entry'!$Ð$1000), "", 'Data Entry'!$Ð$1000)</f>
      </c>
      <c r="EO1000">
        <f>IF(ISBLANK('Data Entry'!$Ñ$1000), "", 'Data Entry'!$Ñ$1000)</f>
      </c>
      <c r="EP1000">
        <f>IF(ISBLANK('Data Entry'!$Ò$1000), "", 'Data Entry'!$Ò$1000)</f>
      </c>
      <c r="EQ1000">
        <f>IF(ISBLANK('Data Entry'!$Ó$1000), "", 'Data Entry'!$Ó$1000)</f>
      </c>
      <c r="ER1000">
        <f>IF(ISBLANK('Data Entry'!$Ô$1000), "", 'Data Entry'!$Ô$1000)</f>
      </c>
      <c r="ES1000">
        <f>IF(ISBLANK('Data Entry'!$Õ$1000), "", 'Data Entry'!$Õ$1000)</f>
      </c>
      <c r="ET1000">
        <f>IF(ISBLANK('Data Entry'!$Ö$1000), "", 'Data Entry'!$Ö$1000)</f>
      </c>
      <c r="EU1000">
        <f>IF(ISBLANK('Data Entry'!$×$1000), "", 'Data Entry'!$×$1000)</f>
      </c>
      <c r="EV1000">
        <f>IF(ISBLANK('Data Entry'!$Ø$1000), "", 'Data Entry'!$Ø$1000)</f>
      </c>
      <c r="EW1000">
        <f>IF(ISBLANK('Data Entry'!$Ù$1000), "", 'Data Entry'!$Ù$1000)</f>
      </c>
      <c r="EX1000">
        <f>IF(ISBLANK('Data Entry'!$Ú$1000), "", 'Data Entry'!$Ú$1000)</f>
      </c>
      <c r="EY1000">
        <f>IF(ISBLANK('Data Entry'!$Û$1000), "", 'Data Entry'!$Û$1000)</f>
      </c>
      <c r="EZ1000">
        <f>IF(ISBLANK('Data Entry'!$Ü$1000), "", 'Data Entry'!$Ü$1000)</f>
      </c>
      <c r="FA1000">
        <f>IF(ISBLANK('Data Entry'!$Ý$1000), "", 'Data Entry'!$Ý$1000)</f>
      </c>
      <c r="FB1000">
        <f>IF(ISBLANK('Data Entry'!$Þ$1000), "", 'Data Entry'!$Þ$1000)</f>
      </c>
      <c r="FC1000">
        <f>IF(ISBLANK('Data Entry'!$ß$1000), "", 'Data Entry'!$ß$1000)</f>
      </c>
      <c r="FD1000">
        <f>IF(ISBLANK('Data Entry'!$à$1000), "", 'Data Entry'!$à$1000)</f>
      </c>
      <c r="FE1000">
        <f>IF(ISBLANK('Data Entry'!$á$1000), "", 'Data Entry'!$á$1000)</f>
      </c>
      <c r="FF1000">
        <f>IF(ISBLANK('Data Entry'!$â$1000), "", 'Data Entry'!$â$1000)</f>
      </c>
      <c r="FG1000">
        <f>IF(ISBLANK('Data Entry'!$ã$1000), "", 'Data Entry'!$ã$1000)</f>
      </c>
      <c r="FH1000">
        <f>IF(ISBLANK('Data Entry'!$ä$1000), "", 'Data Entry'!$ä$1000)</f>
      </c>
      <c r="FI1000">
        <f>IF(ISBLANK('Data Entry'!$å$1000), "", 'Data Entry'!$å$1000)</f>
      </c>
      <c r="FJ1000">
        <f>IF(ISBLANK('Data Entry'!$æ$1000), "", 'Data Entry'!$æ$1000)</f>
      </c>
      <c r="FK1000">
        <f>IF(ISBLANK('Data Entry'!$ç$1000), "", 'Data Entry'!$ç$1000)</f>
      </c>
      <c r="FL1000">
        <f>IF(ISBLANK('Data Entry'!$è$1000), "", 'Data Entry'!$è$1000)</f>
      </c>
      <c r="FM1000">
        <f>IF(ISBLANK('Data Entry'!$é$1000), "", 'Data Entry'!$é$1000)</f>
      </c>
      <c r="FN1000">
        <f>IF(ISBLANK('Data Entry'!$ê$1000), "", 'Data Entry'!$ê$1000)</f>
      </c>
      <c r="FO1000">
        <f>IF(ISBLANK('Data Entry'!$ë$1000), "", 'Data Entry'!$ë$1000)</f>
      </c>
      <c r="FP1000">
        <f>IF(ISBLANK('Data Entry'!$ì$1000), "", 'Data Entry'!$ì$1000)</f>
      </c>
      <c r="FQ1000">
        <f>IF(ISBLANK('Data Entry'!$í$1000), "", 'Data Entry'!$í$1000)</f>
      </c>
      <c r="FR1000">
        <f>IF(ISBLANK('Data Entry'!$î$1000), "", 'Data Entry'!$î$1000)</f>
      </c>
      <c r="FS1000">
        <f>IF(ISBLANK('Data Entry'!$ï$1000), "", 'Data Entry'!$ï$1000)</f>
      </c>
      <c r="FT1000">
        <f>IF(ISBLANK('Data Entry'!$ð$1000), "", 'Data Entry'!$ð$1000)</f>
      </c>
      <c r="FU1000">
        <f>IF(ISBLANK('Data Entry'!$ñ$1000), "", 'Data Entry'!$ñ$1000)</f>
      </c>
      <c r="FV1000">
        <f>IF(ISBLANK('Data Entry'!$ò$1000), "", 'Data Entry'!$ò$1000)</f>
      </c>
      <c r="FW1000">
        <f>IF(ISBLANK('Data Entry'!$ó$1000), "", 'Data Entry'!$ó$1000)</f>
      </c>
      <c r="FX1000">
        <f>IF(ISBLANK('Data Entry'!$ô$1000), "", 'Data Entry'!$ô$1000)</f>
      </c>
      <c r="FY1000">
        <f>IF(ISBLANK('Data Entry'!$õ$1000), "", 'Data Entry'!$õ$1000)</f>
      </c>
      <c r="FZ1000">
        <f>IF(ISBLANK('Data Entry'!$ö$1000), "", 'Data Entry'!$ö$1000)</f>
      </c>
      <c r="GA1000">
        <f>IF(ISBLANK('Data Entry'!$÷$1000), "", 'Data Entry'!$÷$1000)</f>
      </c>
      <c r="GB1000">
        <f>IF(ISBLANK('Data Entry'!$ø$1000), "", 'Data Entry'!$ø$1000)</f>
      </c>
      <c r="GC1000">
        <f>IF(ISBLANK('Data Entry'!$ù$1000), "", 'Data Entry'!$ù$1000)</f>
      </c>
      <c r="GD1000">
        <f>IF(ISBLANK('Data Entry'!$ú$1000), "", 'Data Entry'!$ú$1000)</f>
      </c>
      <c r="GE1000">
        <f>IF(ISBLANK('Data Entry'!$û$1000), "", 'Data Entry'!$û$1000)</f>
      </c>
      <c r="GF1000">
        <f>IF(ISBLANK('Data Entry'!$ü$1000), "", 'Data Entry'!$ü$1000)</f>
      </c>
      <c r="GG1000">
        <f>IF(ISBLANK('Data Entry'!$ý$1000), "", 'Data Entry'!$ý$1000)</f>
      </c>
      <c r="GH1000">
        <f>IF(ISBLANK('Data Entry'!$þ$1000), "", 'Data Entry'!$þ$1000)</f>
      </c>
      <c r="GI1000">
        <f>IF(ISBLANK('Data Entry'!$ÿ$1000), "", 'Data Entry'!$ÿ$1000)</f>
      </c>
      <c r="GJ1000">
        <f>IF(ISBLANK('Data Entry'!$Ā$1000), "", 'Data Entry'!$Ā$1000)</f>
      </c>
      <c r="GK1000">
        <f>IF(ISBLANK('Data Entry'!$ā$1000), "", 'Data Entry'!$ā$1000)</f>
      </c>
      <c r="GL1000">
        <f>IF(ISBLANK('Data Entry'!$Ă$1000), "", 'Data Entry'!$Ă$1000)</f>
      </c>
      <c r="GM1000">
        <f>IF(ISBLANK('Data Entry'!$ă$1000), "", 'Data Entry'!$ă$1000)</f>
      </c>
      <c r="GN1000">
        <f>IF(ISBLANK('Data Entry'!$Ą$1000), "", 'Data Entry'!$Ą$1000)</f>
      </c>
      <c r="GO1000">
        <f>IF(ISBLANK('Data Entry'!$ą$1000), "", 'Data Entry'!$ą$1000)</f>
      </c>
      <c r="GP1000">
        <f>IF(ISBLANK('Data Entry'!$Ć$1000), "", 'Data Entry'!$Ć$1000)</f>
      </c>
      <c r="GQ1000">
        <f>IF(ISBLANK('Data Entry'!$ć$1000), "", 'Data Entry'!$ć$1000)</f>
      </c>
      <c r="GR1000">
        <f>IF(ISBLANK('Data Entry'!$Ĉ$1000), "", 'Data Entry'!$Ĉ$1000)</f>
      </c>
      <c r="GS1000">
        <f>IF(ISBLANK('Data Entry'!$ĉ$1000), "", 'Data Entry'!$ĉ$1000)</f>
      </c>
      <c r="GT1000">
        <f>IF(ISBLANK('Data Entry'!$Ċ$1000), "", 'Data Entry'!$Ċ$1000)</f>
      </c>
      <c r="GU1000">
        <f>IF(ISBLANK('Data Entry'!$ċ$1000), "", 'Data Entry'!$ċ$1000)</f>
      </c>
      <c r="GV1000">
        <f>IF(ISBLANK('Data Entry'!$Č$1000), "", 'Data Entry'!$Č$1000)</f>
      </c>
      <c r="GW1000">
        <f>IF(ISBLANK('Data Entry'!$č$1000), "", 'Data Entry'!$č$1000)</f>
      </c>
      <c r="GX1000">
        <f>IF(ISBLANK('Data Entry'!$Ď$1000), "", 'Data Entry'!$Ď$1000)</f>
      </c>
      <c r="GY1000">
        <f>IF(ISBLANK('Data Entry'!$ď$1000), "", 'Data Entry'!$ď$1000)</f>
      </c>
      <c r="GZ1000">
        <f>IF(ISBLANK('Data Entry'!$Đ$1000), "", 'Data Entry'!$Đ$1000)</f>
      </c>
      <c r="HA1000">
        <f>IF(ISBLANK('Data Entry'!$đ$1000), "", 'Data Entry'!$đ$1000)</f>
      </c>
      <c r="HB1000">
        <f>IF(ISBLANK('Data Entry'!$Ē$1000), "", 'Data Entry'!$Ē$1000)</f>
      </c>
      <c r="HC1000">
        <f>IF(ISBLANK('Data Entry'!$ē$1000), "", 'Data Entry'!$ē$1000)</f>
      </c>
      <c r="HD1000">
        <f>IF(ISBLANK('Data Entry'!$Ĕ$1000), "", 'Data Entry'!$Ĕ$1000)</f>
      </c>
      <c r="HE1000">
        <f>IF(ISBLANK('Data Entry'!$ĕ$1000), "", 'Data Entry'!$ĕ$1000)</f>
      </c>
      <c r="HF1000">
        <f>IF(ISBLANK('Data Entry'!$Ė$1000), "", 'Data Entry'!$Ė$1000)</f>
      </c>
      <c r="HG1000">
        <f>IF(ISBLANK('Data Entry'!$ė$1000), "", 'Data Entry'!$ė$1000)</f>
      </c>
      <c r="HH1000">
        <f>IF(ISBLANK('Data Entry'!$Ę$1000), "", 'Data Entry'!$Ę$1000)</f>
      </c>
      <c r="HI1000">
        <f>IF(ISBLANK('Data Entry'!$ę$1000), "", 'Data Entry'!$ę$1000)</f>
      </c>
      <c r="HJ1000">
        <f>IF(ISBLANK('Data Entry'!$Ě$1000), "", 'Data Entry'!$Ě$1000)</f>
      </c>
      <c r="HK1000">
        <f>IF(ISBLANK('Data Entry'!$ě$1000), "", 'Data Entry'!$ě$1000)</f>
      </c>
      <c r="HL1000">
        <f>IF(ISBLANK('Data Entry'!$Ĝ$1000), "", 'Data Entry'!$Ĝ$1000)</f>
      </c>
      <c r="HM1000">
        <f>IF(ISBLANK('Data Entry'!$ĝ$1000), "", 'Data Entry'!$ĝ$1000)</f>
      </c>
      <c r="HN1000">
        <f>IF(ISBLANK('Data Entry'!$Ğ$1000), "", 'Data Entry'!$Ğ$1000)</f>
      </c>
      <c r="HO1000">
        <f>IF(ISBLANK('Data Entry'!$ğ$1000), "", 'Data Entry'!$ğ$1000)</f>
      </c>
      <c r="HP1000">
        <f>IF(ISBLANK('Data Entry'!$Ġ$1000), "", 'Data Entry'!$Ġ$1000)</f>
      </c>
      <c r="HQ1000">
        <f>IF(ISBLANK('Data Entry'!$ġ$1000), "", 'Data Entry'!$ġ$1000)</f>
      </c>
      <c r="HR1000">
        <f>IF(ISBLANK('Data Entry'!$Ģ$1000), "", 'Data Entry'!$Ģ$1000)</f>
      </c>
      <c r="HS1000">
        <f>IF(ISBLANK('Data Entry'!$ģ$1000), "", 'Data Entry'!$ģ$1000)</f>
      </c>
      <c r="HT1000">
        <f>IF(ISBLANK('Data Entry'!$Ĥ$1000), "", 'Data Entry'!$Ĥ$1000)</f>
      </c>
      <c r="HU1000">
        <f>IF(ISBLANK('Data Entry'!$ĥ$1000), "", 'Data Entry'!$ĥ$1000)</f>
      </c>
      <c r="HV1000">
        <f>IF(ISBLANK('Data Entry'!$Ħ$1000), "", 'Data Entry'!$Ħ$1000)</f>
      </c>
      <c r="HW1000">
        <f>IF(ISBLANK('Data Entry'!$ħ$1000), "", 'Data Entry'!$ħ$1000)</f>
      </c>
      <c r="HX1000">
        <f>IF(ISBLANK('Data Entry'!$Ĩ$1000), "", 'Data Entry'!$Ĩ$1000)</f>
      </c>
      <c r="HY1000">
        <f>IF(ISBLANK('Data Entry'!$ĩ$1000), "", 'Data Entry'!$ĩ$1000)</f>
      </c>
      <c r="HZ1000">
        <f>IF(ISBLANK('Data Entry'!$Ī$1000), "", 'Data Entry'!$Ī$1000)</f>
      </c>
      <c r="IA1000">
        <f>IF(ISBLANK('Data Entry'!$ī$1000), "", 'Data Entry'!$ī$1000)</f>
      </c>
      <c r="IB1000">
        <f>IF(ISBLANK('Data Entry'!$Ĭ$1000), "", 'Data Entry'!$Ĭ$1000)</f>
      </c>
      <c r="IC1000">
        <f>IF(ISBLANK('Data Entry'!$ĭ$1000), "", 'Data Entry'!$ĭ$1000)</f>
      </c>
      <c r="ID1000">
        <f>IF(ISBLANK('Data Entry'!$Į$1000), "", 'Data Entry'!$Į$1000)</f>
      </c>
      <c r="IE1000">
        <f>IF(ISBLANK('Data Entry'!$į$1000), "", 'Data Entry'!$į$1000)</f>
      </c>
      <c r="IF1000">
        <f>IF(ISBLANK('Data Entry'!$İ$1000), "", 'Data Entry'!$İ$1000)</f>
      </c>
      <c r="IG1000">
        <f>IF(ISBLANK('Data Entry'!$ı$1000), "", 'Data Entry'!$ı$1000)</f>
      </c>
      <c r="IH1000">
        <f>IF(ISBLANK('Data Entry'!$Ĳ$1000), "", 'Data Entry'!$Ĳ$1000)</f>
      </c>
      <c r="II1000">
        <f>IF(ISBLANK('Data Entry'!$ĳ$1000), "", 'Data Entry'!$ĳ$1000)</f>
      </c>
      <c r="IJ1000">
        <f>IF(ISBLANK('Data Entry'!$Ĵ$1000), "", 'Data Entry'!$Ĵ$1000)</f>
      </c>
      <c r="IK1000">
        <f>IF(ISBLANK('Data Entry'!$ĵ$1000), "", 'Data Entry'!$ĵ$1000)</f>
      </c>
      <c r="IL1000">
        <f>IF(ISBLANK('Data Entry'!$Ķ$1000), "", 'Data Entry'!$Ķ$1000)</f>
      </c>
      <c r="IM1000">
        <f>IF(ISBLANK('Data Entry'!$ķ$1000), "", 'Data Entry'!$ķ$1000)</f>
      </c>
      <c r="IN1000">
        <f>IF(ISBLANK('Data Entry'!$ĸ$1000), "", 'Data Entry'!$ĸ$1000)</f>
      </c>
      <c r="IO1000">
        <f>IF(ISBLANK('Data Entry'!$Ĺ$1000), "", 'Data Entry'!$Ĺ$1000)</f>
      </c>
      <c r="IP1000">
        <f>IF(ISBLANK('Data Entry'!$ĺ$1000), "", 'Data Entry'!$ĺ$1000)</f>
      </c>
      <c r="IQ1000">
        <f>IF(ISBLANK('Data Entry'!$Ļ$1000), "", 'Data Entry'!$Ļ$1000)</f>
      </c>
      <c r="IR1000">
        <f>IF(ISBLANK('Data Entry'!$ļ$1000), "", 'Data Entry'!$ļ$1000)</f>
      </c>
      <c r="IS1000">
        <f>IF(ISBLANK('Data Entry'!$Ľ$1000), "", 'Data Entry'!$Ľ$1000)</f>
      </c>
      <c r="IT1000">
        <f>IF(ISBLANK('Data Entry'!$ľ$1000), "", 'Data Entry'!$ľ$1000)</f>
      </c>
    </row>
    <row r="1001" spans="1:254" x14ac:dyDescent="0.25">
      <c r="A1001">
        <f>IF(ISBLANK('Data Entry'!$A$1001), "", 'Data Entry'!$A$1001)</f>
      </c>
      <c r="B1001">
        <f>IF(ISBLANK('Data Entry'!$B$1001), "", 'Data Entry'!$B$1001)</f>
      </c>
      <c r="C1001">
        <f>IF(ISBLANK('Data Entry'!$C$1001), "", 'Data Entry'!$C$1001)</f>
      </c>
      <c r="D1001">
        <f>IF(ISBLANK('Data Entry'!$D$1001), "", 'Data Entry'!$D$1001)</f>
      </c>
      <c r="E1001">
        <f>IF(ISBLANK('Data Entry'!$E$1001), "", 'Data Entry'!$E$1001)</f>
      </c>
      <c r="F1001">
        <f>IF(ISBLANK('Data Entry'!$F$1001), "", 'Data Entry'!$F$1001)</f>
      </c>
      <c r="G1001">
        <f>IF(ISBLANK('Data Entry'!$G$1001), "", 'Data Entry'!$G$1001)</f>
      </c>
      <c r="H1001">
        <f>IF(ISBLANK('Data Entry'!$H$1001), "", 'Data Entry'!$H$1001)</f>
      </c>
      <c r="I1001">
        <f>IF(ISBLANK('Data Entry'!$I$1001), "", 'Data Entry'!$I$1001)</f>
      </c>
      <c r="J1001">
        <f>IF(ISBLANK('Data Entry'!$J$1001), "", 'Data Entry'!$J$1001)</f>
      </c>
      <c r="K1001">
        <f>IF(ISBLANK('Data Entry'!$K$1001), "", 'Data Entry'!$K$1001)</f>
      </c>
      <c r="L1001">
        <f>IF(ISBLANK('Data Entry'!$L$1001), "", 'Data Entry'!$L$1001)</f>
      </c>
      <c r="M1001">
        <f>IF(ISBLANK('Data Entry'!$M$1001), "", 'Data Entry'!$M$1001)</f>
      </c>
      <c r="N1001">
        <f>IF(ISBLANK('Data Entry'!$N$1001), "", 'Data Entry'!$N$1001)</f>
      </c>
      <c r="O1001">
        <f>IF(ISBLANK('Data Entry'!$O$1001), "", 'Data Entry'!$O$1001)</f>
      </c>
      <c r="P1001">
        <f>IF(ISBLANK('Data Entry'!$P$1001), "", 'Data Entry'!$P$1001)</f>
      </c>
      <c r="Q1001">
        <f>IF(ISBLANK('Data Entry'!$Q$1001), "", 'Data Entry'!$Q$1001)</f>
      </c>
      <c r="R1001">
        <f>IF(ISBLANK('Data Entry'!$R$1001), "", 'Data Entry'!$R$1001)</f>
      </c>
      <c r="S1001">
        <f>IF(ISBLANK('Data Entry'!$S$1001), "", 'Data Entry'!$S$1001)</f>
      </c>
      <c r="T1001">
        <f>IF(ISBLANK('Data Entry'!$T$1001), "", 'Data Entry'!$T$1001)</f>
      </c>
      <c r="U1001">
        <f>IF(ISBLANK('Data Entry'!$U$1001), "", 'Data Entry'!$U$1001)</f>
      </c>
      <c r="V1001">
        <f>IF(ISBLANK('Data Entry'!$V$1001), "", 'Data Entry'!$V$1001)</f>
      </c>
      <c r="W1001">
        <f>IF(ISBLANK('Data Entry'!$W$1001), "", 'Data Entry'!$W$1001)</f>
      </c>
      <c r="X1001">
        <f>IF(ISBLANK('Data Entry'!$X$1001), "", 'Data Entry'!$X$1001)</f>
      </c>
      <c r="Y1001">
        <f>IF(ISBLANK('Data Entry'!$Y$1001), "", 'Data Entry'!$Y$1001)</f>
      </c>
      <c r="Z1001">
        <f>IF(ISBLANK('Data Entry'!$Z$1001), "", 'Data Entry'!$Z$1001)</f>
      </c>
      <c r="AA1001">
        <f>IF(ISBLANK('Data Entry'!$[$1001), "", 'Data Entry'!$[$1001)</f>
      </c>
      <c r="AB1001">
        <f>IF(ISBLANK('Data Entry'!$\$1001), "", 'Data Entry'!$\$1001)</f>
      </c>
      <c r="AC1001">
        <f>IF(ISBLANK('Data Entry'!$]$1001), "", 'Data Entry'!$]$1001)</f>
      </c>
      <c r="AD1001">
        <f>IF(ISBLANK('Data Entry'!$^$1001), "", 'Data Entry'!$^$1001)</f>
      </c>
      <c r="AE1001">
        <f>IF(ISBLANK('Data Entry'!$_$1001), "", 'Data Entry'!$_$1001)</f>
      </c>
      <c r="AF1001">
        <f>IF(ISBLANK('Data Entry'!$`$1001), "", 'Data Entry'!$`$1001)</f>
      </c>
      <c r="AG1001">
        <f>IF(ISBLANK('Data Entry'!$a$1001), "", 'Data Entry'!$a$1001)</f>
      </c>
      <c r="AH1001">
        <f>IF(ISBLANK('Data Entry'!$b$1001), "", 'Data Entry'!$b$1001)</f>
      </c>
      <c r="AI1001">
        <f>IF(ISBLANK('Data Entry'!$c$1001), "", 'Data Entry'!$c$1001)</f>
      </c>
      <c r="AJ1001">
        <f>IF(ISBLANK('Data Entry'!$d$1001), "", 'Data Entry'!$d$1001)</f>
      </c>
      <c r="AK1001">
        <f>IF(ISBLANK('Data Entry'!$e$1001), "", 'Data Entry'!$e$1001)</f>
      </c>
      <c r="AL1001">
        <f>IF(ISBLANK('Data Entry'!$f$1001), "", 'Data Entry'!$f$1001)</f>
      </c>
      <c r="AM1001">
        <f>IF(ISBLANK('Data Entry'!$g$1001), "", 'Data Entry'!$g$1001)</f>
      </c>
      <c r="AN1001">
        <f>IF(ISBLANK('Data Entry'!$h$1001), "", 'Data Entry'!$h$1001)</f>
      </c>
      <c r="AO1001">
        <f>IF(ISBLANK('Data Entry'!$i$1001), "", 'Data Entry'!$i$1001)</f>
      </c>
      <c r="AP1001">
        <f>IF(ISBLANK('Data Entry'!$j$1001), "", 'Data Entry'!$j$1001)</f>
      </c>
      <c r="AQ1001">
        <f>IF(ISBLANK('Data Entry'!$k$1001), "", 'Data Entry'!$k$1001)</f>
      </c>
      <c r="AR1001">
        <f>IF(ISBLANK('Data Entry'!$l$1001), "", 'Data Entry'!$l$1001)</f>
      </c>
      <c r="AS1001">
        <f>IF(ISBLANK('Data Entry'!$m$1001), "", 'Data Entry'!$m$1001)</f>
      </c>
      <c r="AT1001">
        <f>IF(ISBLANK('Data Entry'!$n$1001), "", 'Data Entry'!$n$1001)</f>
      </c>
      <c r="AU1001">
        <f>IF(ISBLANK('Data Entry'!$o$1001), "", 'Data Entry'!$o$1001)</f>
      </c>
      <c r="AV1001">
        <f>IF(ISBLANK('Data Entry'!$p$1001), "", 'Data Entry'!$p$1001)</f>
      </c>
      <c r="AW1001">
        <f>IF(ISBLANK('Data Entry'!$q$1001), "", 'Data Entry'!$q$1001)</f>
      </c>
      <c r="AX1001">
        <f>IF(ISBLANK('Data Entry'!$r$1001), "", 'Data Entry'!$r$1001)</f>
      </c>
      <c r="AY1001">
        <f>IF(ISBLANK('Data Entry'!$s$1001), "", 'Data Entry'!$s$1001)</f>
      </c>
      <c r="AZ1001">
        <f>IF(ISBLANK('Data Entry'!$t$1001), "", 'Data Entry'!$t$1001)</f>
      </c>
      <c r="BA1001">
        <f>IF(ISBLANK('Data Entry'!$u$1001), "", 'Data Entry'!$u$1001)</f>
      </c>
      <c r="BB1001">
        <f>IF(ISBLANK('Data Entry'!$v$1001), "", 'Data Entry'!$v$1001)</f>
      </c>
      <c r="BC1001">
        <f>IF(ISBLANK('Data Entry'!$w$1001), "", 'Data Entry'!$w$1001)</f>
      </c>
      <c r="BD1001">
        <f>IF(ISBLANK('Data Entry'!$x$1001), "", 'Data Entry'!$x$1001)</f>
      </c>
      <c r="BE1001">
        <f>IF(ISBLANK('Data Entry'!$y$1001), "", 'Data Entry'!$y$1001)</f>
      </c>
      <c r="BF1001">
        <f>IF(ISBLANK('Data Entry'!$z$1001), "", 'Data Entry'!$z$1001)</f>
      </c>
      <c r="BG1001">
        <f>IF(ISBLANK('Data Entry'!${$1001), "", 'Data Entry'!${$1001)</f>
      </c>
      <c r="BH1001">
        <f>IF(ISBLANK('Data Entry'!$|$1001), "", 'Data Entry'!$|$1001)</f>
      </c>
      <c r="BI1001">
        <f>IF(ISBLANK('Data Entry'!$}$1001), "", 'Data Entry'!$}$1001)</f>
      </c>
      <c r="BJ1001">
        <f>IF(ISBLANK('Data Entry'!$~$1001), "", 'Data Entry'!$~$1001)</f>
      </c>
      <c r="BK1001">
        <f>IF(ISBLANK('Data Entry'!$$1001), "", 'Data Entry'!$$1001)</f>
      </c>
      <c r="BL1001">
        <f>IF(ISBLANK('Data Entry'!$$1001), "", 'Data Entry'!$$1001)</f>
      </c>
      <c r="BM1001">
        <f>IF(ISBLANK('Data Entry'!$$1001), "", 'Data Entry'!$$1001)</f>
      </c>
      <c r="BN1001">
        <f>IF(ISBLANK('Data Entry'!$$1001), "", 'Data Entry'!$$1001)</f>
      </c>
      <c r="BO1001">
        <f>IF(ISBLANK('Data Entry'!$$1001), "", 'Data Entry'!$$1001)</f>
      </c>
      <c r="BP1001">
        <f>IF(ISBLANK('Data Entry'!$$1001), "", 'Data Entry'!$$1001)</f>
      </c>
      <c r="BQ1001">
        <f>IF(ISBLANK('Data Entry'!$$1001), "", 'Data Entry'!$$1001)</f>
      </c>
      <c r="BR1001">
        <f>IF(ISBLANK('Data Entry'!$$1001), "", 'Data Entry'!$$1001)</f>
      </c>
      <c r="BS1001">
        <f>IF(ISBLANK('Data Entry'!$$1001), "", 'Data Entry'!$$1001)</f>
      </c>
      <c r="BT1001">
        <f>IF(ISBLANK('Data Entry'!$$1001), "", 'Data Entry'!$$1001)</f>
      </c>
      <c r="BU1001">
        <f>IF(ISBLANK('Data Entry'!$$1001), "", 'Data Entry'!$$1001)</f>
      </c>
      <c r="BV1001">
        <f>IF(ISBLANK('Data Entry'!$$1001), "", 'Data Entry'!$$1001)</f>
      </c>
      <c r="BW1001">
        <f>IF(ISBLANK('Data Entry'!$$1001), "", 'Data Entry'!$$1001)</f>
      </c>
      <c r="BX1001">
        <f>IF(ISBLANK('Data Entry'!$$1001), "", 'Data Entry'!$$1001)</f>
      </c>
      <c r="BY1001">
        <f>IF(ISBLANK('Data Entry'!$$1001), "", 'Data Entry'!$$1001)</f>
      </c>
      <c r="BZ1001">
        <f>IF(ISBLANK('Data Entry'!$$1001), "", 'Data Entry'!$$1001)</f>
      </c>
      <c r="CA1001">
        <f>IF(ISBLANK('Data Entry'!$$1001), "", 'Data Entry'!$$1001)</f>
      </c>
      <c r="CB1001">
        <f>IF(ISBLANK('Data Entry'!$$1001), "", 'Data Entry'!$$1001)</f>
      </c>
      <c r="CC1001">
        <f>IF(ISBLANK('Data Entry'!$$1001), "", 'Data Entry'!$$1001)</f>
      </c>
      <c r="CD1001">
        <f>IF(ISBLANK('Data Entry'!$$1001), "", 'Data Entry'!$$1001)</f>
      </c>
      <c r="CE1001">
        <f>IF(ISBLANK('Data Entry'!$$1001), "", 'Data Entry'!$$1001)</f>
      </c>
      <c r="CF1001">
        <f>IF(ISBLANK('Data Entry'!$$1001), "", 'Data Entry'!$$1001)</f>
      </c>
      <c r="CG1001">
        <f>IF(ISBLANK('Data Entry'!$$1001), "", 'Data Entry'!$$1001)</f>
      </c>
      <c r="CH1001">
        <f>IF(ISBLANK('Data Entry'!$$1001), "", 'Data Entry'!$$1001)</f>
      </c>
      <c r="CI1001">
        <f>IF(ISBLANK('Data Entry'!$$1001), "", 'Data Entry'!$$1001)</f>
      </c>
      <c r="CJ1001">
        <f>IF(ISBLANK('Data Entry'!$$1001), "", 'Data Entry'!$$1001)</f>
      </c>
      <c r="CK1001">
        <f>IF(ISBLANK('Data Entry'!$$1001), "", 'Data Entry'!$$1001)</f>
      </c>
      <c r="CL1001">
        <f>IF(ISBLANK('Data Entry'!$$1001), "", 'Data Entry'!$$1001)</f>
      </c>
      <c r="CM1001">
        <f>IF(ISBLANK('Data Entry'!$$1001), "", 'Data Entry'!$$1001)</f>
      </c>
      <c r="CN1001">
        <f>IF(ISBLANK('Data Entry'!$$1001), "", 'Data Entry'!$$1001)</f>
      </c>
      <c r="CO1001">
        <f>IF(ISBLANK('Data Entry'!$$1001), "", 'Data Entry'!$$1001)</f>
      </c>
      <c r="CP1001">
        <f>IF(ISBLANK('Data Entry'!$$1001), "", 'Data Entry'!$$1001)</f>
      </c>
      <c r="CQ1001">
        <f>IF(ISBLANK('Data Entry'!$$1001), "", 'Data Entry'!$$1001)</f>
      </c>
      <c r="CR1001">
        <f>IF(ISBLANK('Data Entry'!$ $1001), "", 'Data Entry'!$ $1001)</f>
      </c>
      <c r="CS1001">
        <f>IF(ISBLANK('Data Entry'!$¡$1001), "", 'Data Entry'!$¡$1001)</f>
      </c>
      <c r="CT1001">
        <f>IF(ISBLANK('Data Entry'!$¢$1001), "", 'Data Entry'!$¢$1001)</f>
      </c>
      <c r="CU1001">
        <f>IF(ISBLANK('Data Entry'!$£$1001), "", 'Data Entry'!$£$1001)</f>
      </c>
      <c r="CV1001">
        <f>IF(ISBLANK('Data Entry'!$¤$1001), "", 'Data Entry'!$¤$1001)</f>
      </c>
      <c r="CW1001">
        <f>IF(ISBLANK('Data Entry'!$¥$1001), "", 'Data Entry'!$¥$1001)</f>
      </c>
      <c r="CX1001">
        <f>IF(ISBLANK('Data Entry'!$¦$1001), "", 'Data Entry'!$¦$1001)</f>
      </c>
      <c r="CY1001">
        <f>IF(ISBLANK('Data Entry'!$§$1001), "", 'Data Entry'!$§$1001)</f>
      </c>
      <c r="CZ1001">
        <f>IF(ISBLANK('Data Entry'!$¨$1001), "", 'Data Entry'!$¨$1001)</f>
      </c>
      <c r="DA1001">
        <f>IF(ISBLANK('Data Entry'!$©$1001), "", 'Data Entry'!$©$1001)</f>
      </c>
      <c r="DB1001">
        <f>IF(ISBLANK('Data Entry'!$ª$1001), "", 'Data Entry'!$ª$1001)</f>
      </c>
      <c r="DC1001">
        <f>IF(ISBLANK('Data Entry'!$«$1001), "", 'Data Entry'!$«$1001)</f>
      </c>
      <c r="DD1001">
        <f>IF(ISBLANK('Data Entry'!$¬$1001), "", 'Data Entry'!$¬$1001)</f>
      </c>
      <c r="DE1001">
        <f>IF(ISBLANK('Data Entry'!$­$1001), "", 'Data Entry'!$­$1001)</f>
      </c>
      <c r="DF1001">
        <f>IF(ISBLANK('Data Entry'!$®$1001), "", 'Data Entry'!$®$1001)</f>
      </c>
      <c r="DG1001">
        <f>IF(ISBLANK('Data Entry'!$¯$1001), "", 'Data Entry'!$¯$1001)</f>
      </c>
      <c r="DH1001">
        <f>IF(ISBLANK('Data Entry'!$°$1001), "", 'Data Entry'!$°$1001)</f>
      </c>
      <c r="DI1001">
        <f>IF(ISBLANK('Data Entry'!$±$1001), "", 'Data Entry'!$±$1001)</f>
      </c>
      <c r="DJ1001">
        <f>IF(ISBLANK('Data Entry'!$²$1001), "", 'Data Entry'!$²$1001)</f>
      </c>
      <c r="DK1001">
        <f>IF(ISBLANK('Data Entry'!$³$1001), "", 'Data Entry'!$³$1001)</f>
      </c>
      <c r="DL1001">
        <f>IF(ISBLANK('Data Entry'!$´$1001), "", 'Data Entry'!$´$1001)</f>
      </c>
      <c r="DM1001">
        <f>IF(ISBLANK('Data Entry'!$µ$1001), "", 'Data Entry'!$µ$1001)</f>
      </c>
      <c r="DN1001">
        <f>IF(ISBLANK('Data Entry'!$¶$1001), "", 'Data Entry'!$¶$1001)</f>
      </c>
      <c r="DO1001">
        <f>IF(ISBLANK('Data Entry'!$·$1001), "", 'Data Entry'!$·$1001)</f>
      </c>
      <c r="DP1001">
        <f>IF(ISBLANK('Data Entry'!$¸$1001), "", 'Data Entry'!$¸$1001)</f>
      </c>
      <c r="DQ1001">
        <f>IF(ISBLANK('Data Entry'!$¹$1001), "", 'Data Entry'!$¹$1001)</f>
      </c>
      <c r="DR1001">
        <f>IF(ISBLANK('Data Entry'!$º$1001), "", 'Data Entry'!$º$1001)</f>
      </c>
      <c r="DS1001">
        <f>IF(ISBLANK('Data Entry'!$»$1001), "", 'Data Entry'!$»$1001)</f>
      </c>
      <c r="DT1001">
        <f>IF(ISBLANK('Data Entry'!$¼$1001), "", 'Data Entry'!$¼$1001)</f>
      </c>
      <c r="DU1001">
        <f>IF(ISBLANK('Data Entry'!$½$1001), "", 'Data Entry'!$½$1001)</f>
      </c>
      <c r="DV1001">
        <f>IF(ISBLANK('Data Entry'!$¾$1001), "", 'Data Entry'!$¾$1001)</f>
      </c>
      <c r="DW1001">
        <f>IF(ISBLANK('Data Entry'!$¿$1001), "", 'Data Entry'!$¿$1001)</f>
      </c>
      <c r="DX1001">
        <f>IF(ISBLANK('Data Entry'!$À$1001), "", 'Data Entry'!$À$1001)</f>
      </c>
      <c r="DY1001">
        <f>IF(ISBLANK('Data Entry'!$Á$1001), "", 'Data Entry'!$Á$1001)</f>
      </c>
      <c r="DZ1001">
        <f>IF(ISBLANK('Data Entry'!$Â$1001), "", 'Data Entry'!$Â$1001)</f>
      </c>
      <c r="EA1001">
        <f>IF(ISBLANK('Data Entry'!$Ã$1001), "", 'Data Entry'!$Ã$1001)</f>
      </c>
      <c r="EB1001">
        <f>IF(ISBLANK('Data Entry'!$Ä$1001), "", 'Data Entry'!$Ä$1001)</f>
      </c>
      <c r="EC1001">
        <f>IF(ISBLANK('Data Entry'!$Å$1001), "", 'Data Entry'!$Å$1001)</f>
      </c>
      <c r="ED1001">
        <f>IF(ISBLANK('Data Entry'!$Æ$1001), "", 'Data Entry'!$Æ$1001)</f>
      </c>
      <c r="EE1001">
        <f>IF(ISBLANK('Data Entry'!$Ç$1001), "", 'Data Entry'!$Ç$1001)</f>
      </c>
      <c r="EF1001">
        <f>IF(ISBLANK('Data Entry'!$È$1001), "", 'Data Entry'!$È$1001)</f>
      </c>
      <c r="EG1001">
        <f>IF(ISBLANK('Data Entry'!$É$1001), "", 'Data Entry'!$É$1001)</f>
      </c>
      <c r="EH1001">
        <f>IF(ISBLANK('Data Entry'!$Ê$1001), "", 'Data Entry'!$Ê$1001)</f>
      </c>
      <c r="EI1001">
        <f>IF(ISBLANK('Data Entry'!$Ë$1001), "", 'Data Entry'!$Ë$1001)</f>
      </c>
      <c r="EJ1001">
        <f>IF(ISBLANK('Data Entry'!$Ì$1001), "", 'Data Entry'!$Ì$1001)</f>
      </c>
      <c r="EK1001">
        <f>IF(ISBLANK('Data Entry'!$Í$1001), "", 'Data Entry'!$Í$1001)</f>
      </c>
      <c r="EL1001">
        <f>IF(ISBLANK('Data Entry'!$Î$1001), "", 'Data Entry'!$Î$1001)</f>
      </c>
      <c r="EM1001">
        <f>IF(ISBLANK('Data Entry'!$Ï$1001), "", 'Data Entry'!$Ï$1001)</f>
      </c>
      <c r="EN1001">
        <f>IF(ISBLANK('Data Entry'!$Ð$1001), "", 'Data Entry'!$Ð$1001)</f>
      </c>
      <c r="EO1001">
        <f>IF(ISBLANK('Data Entry'!$Ñ$1001), "", 'Data Entry'!$Ñ$1001)</f>
      </c>
      <c r="EP1001">
        <f>IF(ISBLANK('Data Entry'!$Ò$1001), "", 'Data Entry'!$Ò$1001)</f>
      </c>
      <c r="EQ1001">
        <f>IF(ISBLANK('Data Entry'!$Ó$1001), "", 'Data Entry'!$Ó$1001)</f>
      </c>
      <c r="ER1001">
        <f>IF(ISBLANK('Data Entry'!$Ô$1001), "", 'Data Entry'!$Ô$1001)</f>
      </c>
      <c r="ES1001">
        <f>IF(ISBLANK('Data Entry'!$Õ$1001), "", 'Data Entry'!$Õ$1001)</f>
      </c>
      <c r="ET1001">
        <f>IF(ISBLANK('Data Entry'!$Ö$1001), "", 'Data Entry'!$Ö$1001)</f>
      </c>
      <c r="EU1001">
        <f>IF(ISBLANK('Data Entry'!$×$1001), "", 'Data Entry'!$×$1001)</f>
      </c>
      <c r="EV1001">
        <f>IF(ISBLANK('Data Entry'!$Ø$1001), "", 'Data Entry'!$Ø$1001)</f>
      </c>
      <c r="EW1001">
        <f>IF(ISBLANK('Data Entry'!$Ù$1001), "", 'Data Entry'!$Ù$1001)</f>
      </c>
      <c r="EX1001">
        <f>IF(ISBLANK('Data Entry'!$Ú$1001), "", 'Data Entry'!$Ú$1001)</f>
      </c>
      <c r="EY1001">
        <f>IF(ISBLANK('Data Entry'!$Û$1001), "", 'Data Entry'!$Û$1001)</f>
      </c>
      <c r="EZ1001">
        <f>IF(ISBLANK('Data Entry'!$Ü$1001), "", 'Data Entry'!$Ü$1001)</f>
      </c>
      <c r="FA1001">
        <f>IF(ISBLANK('Data Entry'!$Ý$1001), "", 'Data Entry'!$Ý$1001)</f>
      </c>
      <c r="FB1001">
        <f>IF(ISBLANK('Data Entry'!$Þ$1001), "", 'Data Entry'!$Þ$1001)</f>
      </c>
      <c r="FC1001">
        <f>IF(ISBLANK('Data Entry'!$ß$1001), "", 'Data Entry'!$ß$1001)</f>
      </c>
      <c r="FD1001">
        <f>IF(ISBLANK('Data Entry'!$à$1001), "", 'Data Entry'!$à$1001)</f>
      </c>
      <c r="FE1001">
        <f>IF(ISBLANK('Data Entry'!$á$1001), "", 'Data Entry'!$á$1001)</f>
      </c>
      <c r="FF1001">
        <f>IF(ISBLANK('Data Entry'!$â$1001), "", 'Data Entry'!$â$1001)</f>
      </c>
      <c r="FG1001">
        <f>IF(ISBLANK('Data Entry'!$ã$1001), "", 'Data Entry'!$ã$1001)</f>
      </c>
      <c r="FH1001">
        <f>IF(ISBLANK('Data Entry'!$ä$1001), "", 'Data Entry'!$ä$1001)</f>
      </c>
      <c r="FI1001">
        <f>IF(ISBLANK('Data Entry'!$å$1001), "", 'Data Entry'!$å$1001)</f>
      </c>
      <c r="FJ1001">
        <f>IF(ISBLANK('Data Entry'!$æ$1001), "", 'Data Entry'!$æ$1001)</f>
      </c>
      <c r="FK1001">
        <f>IF(ISBLANK('Data Entry'!$ç$1001), "", 'Data Entry'!$ç$1001)</f>
      </c>
      <c r="FL1001">
        <f>IF(ISBLANK('Data Entry'!$è$1001), "", 'Data Entry'!$è$1001)</f>
      </c>
      <c r="FM1001">
        <f>IF(ISBLANK('Data Entry'!$é$1001), "", 'Data Entry'!$é$1001)</f>
      </c>
      <c r="FN1001">
        <f>IF(ISBLANK('Data Entry'!$ê$1001), "", 'Data Entry'!$ê$1001)</f>
      </c>
      <c r="FO1001">
        <f>IF(ISBLANK('Data Entry'!$ë$1001), "", 'Data Entry'!$ë$1001)</f>
      </c>
      <c r="FP1001">
        <f>IF(ISBLANK('Data Entry'!$ì$1001), "", 'Data Entry'!$ì$1001)</f>
      </c>
      <c r="FQ1001">
        <f>IF(ISBLANK('Data Entry'!$í$1001), "", 'Data Entry'!$í$1001)</f>
      </c>
      <c r="FR1001">
        <f>IF(ISBLANK('Data Entry'!$î$1001), "", 'Data Entry'!$î$1001)</f>
      </c>
      <c r="FS1001">
        <f>IF(ISBLANK('Data Entry'!$ï$1001), "", 'Data Entry'!$ï$1001)</f>
      </c>
      <c r="FT1001">
        <f>IF(ISBLANK('Data Entry'!$ð$1001), "", 'Data Entry'!$ð$1001)</f>
      </c>
      <c r="FU1001">
        <f>IF(ISBLANK('Data Entry'!$ñ$1001), "", 'Data Entry'!$ñ$1001)</f>
      </c>
      <c r="FV1001">
        <f>IF(ISBLANK('Data Entry'!$ò$1001), "", 'Data Entry'!$ò$1001)</f>
      </c>
      <c r="FW1001">
        <f>IF(ISBLANK('Data Entry'!$ó$1001), "", 'Data Entry'!$ó$1001)</f>
      </c>
      <c r="FX1001">
        <f>IF(ISBLANK('Data Entry'!$ô$1001), "", 'Data Entry'!$ô$1001)</f>
      </c>
      <c r="FY1001">
        <f>IF(ISBLANK('Data Entry'!$õ$1001), "", 'Data Entry'!$õ$1001)</f>
      </c>
      <c r="FZ1001">
        <f>IF(ISBLANK('Data Entry'!$ö$1001), "", 'Data Entry'!$ö$1001)</f>
      </c>
      <c r="GA1001">
        <f>IF(ISBLANK('Data Entry'!$÷$1001), "", 'Data Entry'!$÷$1001)</f>
      </c>
      <c r="GB1001">
        <f>IF(ISBLANK('Data Entry'!$ø$1001), "", 'Data Entry'!$ø$1001)</f>
      </c>
      <c r="GC1001">
        <f>IF(ISBLANK('Data Entry'!$ù$1001), "", 'Data Entry'!$ù$1001)</f>
      </c>
      <c r="GD1001">
        <f>IF(ISBLANK('Data Entry'!$ú$1001), "", 'Data Entry'!$ú$1001)</f>
      </c>
      <c r="GE1001">
        <f>IF(ISBLANK('Data Entry'!$û$1001), "", 'Data Entry'!$û$1001)</f>
      </c>
      <c r="GF1001">
        <f>IF(ISBLANK('Data Entry'!$ü$1001), "", 'Data Entry'!$ü$1001)</f>
      </c>
      <c r="GG1001">
        <f>IF(ISBLANK('Data Entry'!$ý$1001), "", 'Data Entry'!$ý$1001)</f>
      </c>
      <c r="GH1001">
        <f>IF(ISBLANK('Data Entry'!$þ$1001), "", 'Data Entry'!$þ$1001)</f>
      </c>
      <c r="GI1001">
        <f>IF(ISBLANK('Data Entry'!$ÿ$1001), "", 'Data Entry'!$ÿ$1001)</f>
      </c>
      <c r="GJ1001">
        <f>IF(ISBLANK('Data Entry'!$Ā$1001), "", 'Data Entry'!$Ā$1001)</f>
      </c>
      <c r="GK1001">
        <f>IF(ISBLANK('Data Entry'!$ā$1001), "", 'Data Entry'!$ā$1001)</f>
      </c>
      <c r="GL1001">
        <f>IF(ISBLANK('Data Entry'!$Ă$1001), "", 'Data Entry'!$Ă$1001)</f>
      </c>
      <c r="GM1001">
        <f>IF(ISBLANK('Data Entry'!$ă$1001), "", 'Data Entry'!$ă$1001)</f>
      </c>
      <c r="GN1001">
        <f>IF(ISBLANK('Data Entry'!$Ą$1001), "", 'Data Entry'!$Ą$1001)</f>
      </c>
      <c r="GO1001">
        <f>IF(ISBLANK('Data Entry'!$ą$1001), "", 'Data Entry'!$ą$1001)</f>
      </c>
      <c r="GP1001">
        <f>IF(ISBLANK('Data Entry'!$Ć$1001), "", 'Data Entry'!$Ć$1001)</f>
      </c>
      <c r="GQ1001">
        <f>IF(ISBLANK('Data Entry'!$ć$1001), "", 'Data Entry'!$ć$1001)</f>
      </c>
      <c r="GR1001">
        <f>IF(ISBLANK('Data Entry'!$Ĉ$1001), "", 'Data Entry'!$Ĉ$1001)</f>
      </c>
      <c r="GS1001">
        <f>IF(ISBLANK('Data Entry'!$ĉ$1001), "", 'Data Entry'!$ĉ$1001)</f>
      </c>
      <c r="GT1001">
        <f>IF(ISBLANK('Data Entry'!$Ċ$1001), "", 'Data Entry'!$Ċ$1001)</f>
      </c>
      <c r="GU1001">
        <f>IF(ISBLANK('Data Entry'!$ċ$1001), "", 'Data Entry'!$ċ$1001)</f>
      </c>
      <c r="GV1001">
        <f>IF(ISBLANK('Data Entry'!$Č$1001), "", 'Data Entry'!$Č$1001)</f>
      </c>
      <c r="GW1001">
        <f>IF(ISBLANK('Data Entry'!$č$1001), "", 'Data Entry'!$č$1001)</f>
      </c>
      <c r="GX1001">
        <f>IF(ISBLANK('Data Entry'!$Ď$1001), "", 'Data Entry'!$Ď$1001)</f>
      </c>
      <c r="GY1001">
        <f>IF(ISBLANK('Data Entry'!$ď$1001), "", 'Data Entry'!$ď$1001)</f>
      </c>
      <c r="GZ1001">
        <f>IF(ISBLANK('Data Entry'!$Đ$1001), "", 'Data Entry'!$Đ$1001)</f>
      </c>
      <c r="HA1001">
        <f>IF(ISBLANK('Data Entry'!$đ$1001), "", 'Data Entry'!$đ$1001)</f>
      </c>
      <c r="HB1001">
        <f>IF(ISBLANK('Data Entry'!$Ē$1001), "", 'Data Entry'!$Ē$1001)</f>
      </c>
      <c r="HC1001">
        <f>IF(ISBLANK('Data Entry'!$ē$1001), "", 'Data Entry'!$ē$1001)</f>
      </c>
      <c r="HD1001">
        <f>IF(ISBLANK('Data Entry'!$Ĕ$1001), "", 'Data Entry'!$Ĕ$1001)</f>
      </c>
      <c r="HE1001">
        <f>IF(ISBLANK('Data Entry'!$ĕ$1001), "", 'Data Entry'!$ĕ$1001)</f>
      </c>
      <c r="HF1001">
        <f>IF(ISBLANK('Data Entry'!$Ė$1001), "", 'Data Entry'!$Ė$1001)</f>
      </c>
      <c r="HG1001">
        <f>IF(ISBLANK('Data Entry'!$ė$1001), "", 'Data Entry'!$ė$1001)</f>
      </c>
      <c r="HH1001">
        <f>IF(ISBLANK('Data Entry'!$Ę$1001), "", 'Data Entry'!$Ę$1001)</f>
      </c>
      <c r="HI1001">
        <f>IF(ISBLANK('Data Entry'!$ę$1001), "", 'Data Entry'!$ę$1001)</f>
      </c>
      <c r="HJ1001">
        <f>IF(ISBLANK('Data Entry'!$Ě$1001), "", 'Data Entry'!$Ě$1001)</f>
      </c>
      <c r="HK1001">
        <f>IF(ISBLANK('Data Entry'!$ě$1001), "", 'Data Entry'!$ě$1001)</f>
      </c>
      <c r="HL1001">
        <f>IF(ISBLANK('Data Entry'!$Ĝ$1001), "", 'Data Entry'!$Ĝ$1001)</f>
      </c>
      <c r="HM1001">
        <f>IF(ISBLANK('Data Entry'!$ĝ$1001), "", 'Data Entry'!$ĝ$1001)</f>
      </c>
      <c r="HN1001">
        <f>IF(ISBLANK('Data Entry'!$Ğ$1001), "", 'Data Entry'!$Ğ$1001)</f>
      </c>
      <c r="HO1001">
        <f>IF(ISBLANK('Data Entry'!$ğ$1001), "", 'Data Entry'!$ğ$1001)</f>
      </c>
      <c r="HP1001">
        <f>IF(ISBLANK('Data Entry'!$Ġ$1001), "", 'Data Entry'!$Ġ$1001)</f>
      </c>
      <c r="HQ1001">
        <f>IF(ISBLANK('Data Entry'!$ġ$1001), "", 'Data Entry'!$ġ$1001)</f>
      </c>
      <c r="HR1001">
        <f>IF(ISBLANK('Data Entry'!$Ģ$1001), "", 'Data Entry'!$Ģ$1001)</f>
      </c>
      <c r="HS1001">
        <f>IF(ISBLANK('Data Entry'!$ģ$1001), "", 'Data Entry'!$ģ$1001)</f>
      </c>
      <c r="HT1001">
        <f>IF(ISBLANK('Data Entry'!$Ĥ$1001), "", 'Data Entry'!$Ĥ$1001)</f>
      </c>
      <c r="HU1001">
        <f>IF(ISBLANK('Data Entry'!$ĥ$1001), "", 'Data Entry'!$ĥ$1001)</f>
      </c>
      <c r="HV1001">
        <f>IF(ISBLANK('Data Entry'!$Ħ$1001), "", 'Data Entry'!$Ħ$1001)</f>
      </c>
      <c r="HW1001">
        <f>IF(ISBLANK('Data Entry'!$ħ$1001), "", 'Data Entry'!$ħ$1001)</f>
      </c>
      <c r="HX1001">
        <f>IF(ISBLANK('Data Entry'!$Ĩ$1001), "", 'Data Entry'!$Ĩ$1001)</f>
      </c>
      <c r="HY1001">
        <f>IF(ISBLANK('Data Entry'!$ĩ$1001), "", 'Data Entry'!$ĩ$1001)</f>
      </c>
      <c r="HZ1001">
        <f>IF(ISBLANK('Data Entry'!$Ī$1001), "", 'Data Entry'!$Ī$1001)</f>
      </c>
      <c r="IA1001">
        <f>IF(ISBLANK('Data Entry'!$ī$1001), "", 'Data Entry'!$ī$1001)</f>
      </c>
      <c r="IB1001">
        <f>IF(ISBLANK('Data Entry'!$Ĭ$1001), "", 'Data Entry'!$Ĭ$1001)</f>
      </c>
      <c r="IC1001">
        <f>IF(ISBLANK('Data Entry'!$ĭ$1001), "", 'Data Entry'!$ĭ$1001)</f>
      </c>
      <c r="ID1001">
        <f>IF(ISBLANK('Data Entry'!$Į$1001), "", 'Data Entry'!$Į$1001)</f>
      </c>
      <c r="IE1001">
        <f>IF(ISBLANK('Data Entry'!$į$1001), "", 'Data Entry'!$į$1001)</f>
      </c>
      <c r="IF1001">
        <f>IF(ISBLANK('Data Entry'!$İ$1001), "", 'Data Entry'!$İ$1001)</f>
      </c>
      <c r="IG1001">
        <f>IF(ISBLANK('Data Entry'!$ı$1001), "", 'Data Entry'!$ı$1001)</f>
      </c>
      <c r="IH1001">
        <f>IF(ISBLANK('Data Entry'!$Ĳ$1001), "", 'Data Entry'!$Ĳ$1001)</f>
      </c>
      <c r="II1001">
        <f>IF(ISBLANK('Data Entry'!$ĳ$1001), "", 'Data Entry'!$ĳ$1001)</f>
      </c>
      <c r="IJ1001">
        <f>IF(ISBLANK('Data Entry'!$Ĵ$1001), "", 'Data Entry'!$Ĵ$1001)</f>
      </c>
      <c r="IK1001">
        <f>IF(ISBLANK('Data Entry'!$ĵ$1001), "", 'Data Entry'!$ĵ$1001)</f>
      </c>
      <c r="IL1001">
        <f>IF(ISBLANK('Data Entry'!$Ķ$1001), "", 'Data Entry'!$Ķ$1001)</f>
      </c>
      <c r="IM1001">
        <f>IF(ISBLANK('Data Entry'!$ķ$1001), "", 'Data Entry'!$ķ$1001)</f>
      </c>
      <c r="IN1001">
        <f>IF(ISBLANK('Data Entry'!$ĸ$1001), "", 'Data Entry'!$ĸ$1001)</f>
      </c>
      <c r="IO1001">
        <f>IF(ISBLANK('Data Entry'!$Ĺ$1001), "", 'Data Entry'!$Ĺ$1001)</f>
      </c>
      <c r="IP1001">
        <f>IF(ISBLANK('Data Entry'!$ĺ$1001), "", 'Data Entry'!$ĺ$1001)</f>
      </c>
      <c r="IQ1001">
        <f>IF(ISBLANK('Data Entry'!$Ļ$1001), "", 'Data Entry'!$Ļ$1001)</f>
      </c>
      <c r="IR1001">
        <f>IF(ISBLANK('Data Entry'!$ļ$1001), "", 'Data Entry'!$ļ$1001)</f>
      </c>
      <c r="IS1001">
        <f>IF(ISBLANK('Data Entry'!$Ľ$1001), "", 'Data Entry'!$Ľ$1001)</f>
      </c>
      <c r="IT1001">
        <f>IF(ISBLANK('Data Entry'!$ľ$1001), "", 'Data Entry'!$ľ$1001)</f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Schema Description</vt:lpstr>
      <vt:lpstr>Data Entry</vt:lpstr>
      <vt:lpstr>Schema conformant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2023-10-25T19:37:31Z</dcterms:created>
  <dcterms:modified xsi:type="dcterms:W3CDTF">2023-10-25T19:37:31Z</dcterms:modified>
</cp:coreProperties>
</file>